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4.xml" ContentType="application/vnd.openxmlformats-officedocument.drawing+xml"/>
  <Override PartName="/xl/tables/table1.xml" ContentType="application/vnd.openxmlformats-officedocument.spreadsheetml.table+xml"/>
  <Override PartName="/xl/comments5.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5.xml" ContentType="application/vnd.openxmlformats-officedocument.drawing+xml"/>
  <Override PartName="/xl/comments6.xml" ContentType="application/vnd.openxmlformats-officedocument.spreadsheetml.comments+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drawings/drawing7.xml" ContentType="application/vnd.openxmlformats-officedocument.drawing+xml"/>
  <Override PartName="/xl/comments8.xml" ContentType="application/vnd.openxmlformats-officedocument.spreadsheetml.comments+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8.xml" ContentType="application/vnd.openxmlformats-officedocument.drawing+xml"/>
  <Override PartName="/xl/charts/chart69.xml" ContentType="application/vnd.openxmlformats-officedocument.drawingml.chart+xml"/>
  <Override PartName="/xl/drawings/drawing9.xml" ContentType="application/vnd.openxmlformats-officedocument.drawing+xml"/>
  <Override PartName="/xl/charts/chart7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arey\Research\UT-Projects\EnergyInstitute\Reports\CostOfEnergy\Infrastructure\GitHub_project\UT_EIoF_webtool\rplumber-app-dev\master_R_scripts\"/>
    </mc:Choice>
  </mc:AlternateContent>
  <bookViews>
    <workbookView xWindow="0" yWindow="0" windowWidth="17871" windowHeight="6951" activeTab="2"/>
  </bookViews>
  <sheets>
    <sheet name="To Do" sheetId="1" r:id="rId1"/>
    <sheet name="MANUAL" sheetId="2" r:id="rId2"/>
    <sheet name="Input_xlsx" sheetId="26" r:id="rId3"/>
    <sheet name="Inputs" sheetId="3" r:id="rId4"/>
    <sheet name="Dashboard" sheetId="4" r:id="rId5"/>
    <sheet name="Aggregation" sheetId="5" r:id="rId6"/>
    <sheet name="Model" sheetId="6" r:id="rId7"/>
    <sheet name="Inflation GDP Population" sheetId="7" r:id="rId8"/>
    <sheet name="Assumptions (NG Heating)" sheetId="8" r:id="rId9"/>
    <sheet name="Assumptions (T&amp;D)" sheetId="9" r:id="rId10"/>
    <sheet name="Assumptions (O&amp;G Upstream)" sheetId="10" r:id="rId11"/>
    <sheet name="Assumptions (Oil G&amp;T)" sheetId="11" r:id="rId12"/>
    <sheet name="Assumptions (NG Midstream)" sheetId="12" r:id="rId13"/>
    <sheet name="Assumptions (Coal)" sheetId="13" r:id="rId14"/>
    <sheet name="Assumptions (NG)" sheetId="14" r:id="rId15"/>
    <sheet name="Assumptions (Wind)" sheetId="15" r:id="rId16"/>
    <sheet name="Assumptions (Solar)" sheetId="16" r:id="rId17"/>
    <sheet name="Assumptions (Nuclear)" sheetId="17" r:id="rId18"/>
    <sheet name="Assumptions (Hydro)" sheetId="18" r:id="rId19"/>
    <sheet name="Assumptions (Geo)" sheetId="19" r:id="rId20"/>
    <sheet name="Assumptions (MSW)" sheetId="20" r:id="rId21"/>
    <sheet name="Assumptions (Biomass)" sheetId="21" r:id="rId22"/>
    <sheet name="Assumptions (Petroleum)" sheetId="22" r:id="rId23"/>
    <sheet name="Assumptions (Battery)" sheetId="23" r:id="rId24"/>
    <sheet name="NG &amp; WE nom price" sheetId="24" r:id="rId25"/>
    <sheet name="NG &amp; WE real price" sheetId="25" r:id="rId26"/>
  </sheets>
  <definedNames>
    <definedName name="solver_opt" localSheetId="9">'Assumptions (T&amp;D)'!$L$53</definedName>
  </definedNames>
  <calcPr calcId="162913"/>
</workbook>
</file>

<file path=xl/calcChain.xml><?xml version="1.0" encoding="utf-8"?>
<calcChain xmlns="http://schemas.openxmlformats.org/spreadsheetml/2006/main">
  <c r="M11" i="26" l="1"/>
  <c r="V638" i="6" l="1"/>
  <c r="W53" i="23" l="1"/>
  <c r="Y52" i="23"/>
  <c r="X52" i="23"/>
  <c r="W52" i="23"/>
  <c r="W51" i="23"/>
  <c r="W50" i="23"/>
  <c r="W49" i="23"/>
  <c r="X48" i="23"/>
  <c r="W48" i="23"/>
  <c r="W47" i="23"/>
  <c r="Y46" i="23"/>
  <c r="X46" i="23"/>
  <c r="W46" i="23"/>
  <c r="W45" i="23"/>
  <c r="BA43" i="23"/>
  <c r="AZ43" i="23"/>
  <c r="AY43" i="23"/>
  <c r="AX43" i="23"/>
  <c r="AW43" i="23"/>
  <c r="AV43" i="23"/>
  <c r="AU43" i="23"/>
  <c r="AT43" i="23"/>
  <c r="AS43" i="23"/>
  <c r="AR43" i="23"/>
  <c r="AQ43" i="23"/>
  <c r="AP43" i="23"/>
  <c r="AO43" i="23"/>
  <c r="AN43" i="23"/>
  <c r="AM43" i="23"/>
  <c r="AL43" i="23"/>
  <c r="AK43" i="23"/>
  <c r="AJ43" i="23"/>
  <c r="AI43" i="23"/>
  <c r="AH43" i="23"/>
  <c r="AG43" i="23"/>
  <c r="AF43" i="23"/>
  <c r="AE43" i="23"/>
  <c r="AD43" i="23"/>
  <c r="AC43" i="23"/>
  <c r="AB43" i="23"/>
  <c r="AA43" i="23"/>
  <c r="Z43" i="23"/>
  <c r="Y43" i="23"/>
  <c r="X43" i="23"/>
  <c r="W43" i="23"/>
  <c r="AH41" i="23"/>
  <c r="AI41" i="23" s="1"/>
  <c r="AJ41" i="23" s="1"/>
  <c r="AK41" i="23" s="1"/>
  <c r="AL41" i="23" s="1"/>
  <c r="AM41" i="23" s="1"/>
  <c r="AN41" i="23" s="1"/>
  <c r="AO41" i="23" s="1"/>
  <c r="AP41" i="23" s="1"/>
  <c r="AQ41" i="23" s="1"/>
  <c r="AR41" i="23" s="1"/>
  <c r="AS41" i="23" s="1"/>
  <c r="AT41" i="23" s="1"/>
  <c r="AU41" i="23" s="1"/>
  <c r="AV41" i="23" s="1"/>
  <c r="AW41" i="23" s="1"/>
  <c r="AX41" i="23" s="1"/>
  <c r="AY41" i="23" s="1"/>
  <c r="AZ41" i="23" s="1"/>
  <c r="AB41" i="23"/>
  <c r="AC41" i="23" s="1"/>
  <c r="AD41" i="23" s="1"/>
  <c r="AE41" i="23" s="1"/>
  <c r="AF41" i="23" s="1"/>
  <c r="AG41" i="23" s="1"/>
  <c r="Z41" i="23"/>
  <c r="AA41" i="23" s="1"/>
  <c r="X41" i="23"/>
  <c r="Y41" i="23" s="1"/>
  <c r="W41" i="23"/>
  <c r="V41" i="23"/>
  <c r="U41" i="23" s="1"/>
  <c r="T41" i="23"/>
  <c r="S41" i="23" s="1"/>
  <c r="R41" i="23" s="1"/>
  <c r="Q41" i="23" s="1"/>
  <c r="P41" i="23" s="1"/>
  <c r="O41" i="23"/>
  <c r="N41" i="23"/>
  <c r="M41" i="23" s="1"/>
  <c r="L41" i="23" s="1"/>
  <c r="K41" i="23" s="1"/>
  <c r="J41" i="23" s="1"/>
  <c r="I41" i="23" s="1"/>
  <c r="H41" i="23" s="1"/>
  <c r="G41" i="23" s="1"/>
  <c r="F41" i="23" s="1"/>
  <c r="E41" i="23" s="1"/>
  <c r="D41" i="23" s="1"/>
  <c r="C41" i="23" s="1"/>
  <c r="B41" i="23" s="1"/>
  <c r="AX40" i="23"/>
  <c r="AY40" i="23" s="1"/>
  <c r="AZ40" i="23" s="1"/>
  <c r="AK40" i="23"/>
  <c r="AL40" i="23" s="1"/>
  <c r="AM40" i="23" s="1"/>
  <c r="AN40" i="23" s="1"/>
  <c r="AO40" i="23" s="1"/>
  <c r="AP40" i="23" s="1"/>
  <c r="AQ40" i="23" s="1"/>
  <c r="AR40" i="23" s="1"/>
  <c r="AS40" i="23" s="1"/>
  <c r="AT40" i="23" s="1"/>
  <c r="AU40" i="23" s="1"/>
  <c r="AV40" i="23" s="1"/>
  <c r="AW40" i="23" s="1"/>
  <c r="Y40" i="23"/>
  <c r="Z40" i="23" s="1"/>
  <c r="AA40" i="23" s="1"/>
  <c r="AB40" i="23" s="1"/>
  <c r="AC40" i="23" s="1"/>
  <c r="AD40" i="23" s="1"/>
  <c r="AE40" i="23" s="1"/>
  <c r="AF40" i="23" s="1"/>
  <c r="AG40" i="23" s="1"/>
  <c r="AH40" i="23" s="1"/>
  <c r="AI40" i="23" s="1"/>
  <c r="AJ40" i="23" s="1"/>
  <c r="X40" i="23"/>
  <c r="W40" i="23"/>
  <c r="U40" i="23"/>
  <c r="T40" i="23"/>
  <c r="S40" i="23" s="1"/>
  <c r="R40" i="23" s="1"/>
  <c r="Q40" i="23" s="1"/>
  <c r="P40" i="23" s="1"/>
  <c r="O40" i="23" s="1"/>
  <c r="N40" i="23" s="1"/>
  <c r="M40" i="23" s="1"/>
  <c r="L40" i="23" s="1"/>
  <c r="K40" i="23" s="1"/>
  <c r="J40" i="23" s="1"/>
  <c r="I40" i="23"/>
  <c r="V39" i="23"/>
  <c r="V38" i="23"/>
  <c r="AZ37" i="23"/>
  <c r="AY37" i="23"/>
  <c r="AX37" i="23"/>
  <c r="AW37" i="23"/>
  <c r="AV37" i="23"/>
  <c r="AU37" i="23"/>
  <c r="AT37" i="23"/>
  <c r="AS37" i="23"/>
  <c r="AR37" i="23"/>
  <c r="AQ37" i="23"/>
  <c r="AP37" i="23"/>
  <c r="AO37" i="23"/>
  <c r="AN37" i="23"/>
  <c r="AM37" i="23"/>
  <c r="AL37" i="23"/>
  <c r="AK37" i="23"/>
  <c r="AJ37" i="23"/>
  <c r="AI37" i="23"/>
  <c r="AH37" i="23"/>
  <c r="AG37" i="23"/>
  <c r="AF37" i="23"/>
  <c r="AE37" i="23"/>
  <c r="AD37" i="23"/>
  <c r="AC37" i="23"/>
  <c r="AB37" i="23"/>
  <c r="AA37" i="23"/>
  <c r="Z37" i="23"/>
  <c r="Y37" i="23"/>
  <c r="X37" i="23"/>
  <c r="W37" i="23"/>
  <c r="V37" i="23"/>
  <c r="U37" i="23"/>
  <c r="T37" i="23"/>
  <c r="S37" i="23"/>
  <c r="R37" i="23"/>
  <c r="AZ36" i="23"/>
  <c r="AY36" i="23"/>
  <c r="AX36" i="23"/>
  <c r="AW36" i="23"/>
  <c r="AV36" i="23"/>
  <c r="AU36" i="23"/>
  <c r="AT36" i="23"/>
  <c r="AS36" i="23"/>
  <c r="AR36" i="23"/>
  <c r="AQ36" i="23"/>
  <c r="AP36" i="23"/>
  <c r="AO36" i="23"/>
  <c r="AN36" i="23"/>
  <c r="AM36" i="23"/>
  <c r="AL36" i="23"/>
  <c r="AK36" i="23"/>
  <c r="AJ36" i="23"/>
  <c r="AI36" i="23"/>
  <c r="AH36" i="23"/>
  <c r="AG36" i="23"/>
  <c r="AF36" i="23"/>
  <c r="AE36" i="23"/>
  <c r="AD36" i="23"/>
  <c r="AC36" i="23"/>
  <c r="AB36" i="23"/>
  <c r="AA36" i="23"/>
  <c r="Z36" i="23"/>
  <c r="Y36" i="23"/>
  <c r="X36" i="23"/>
  <c r="W36" i="23"/>
  <c r="V36" i="23"/>
  <c r="U36" i="23"/>
  <c r="T36" i="23"/>
  <c r="S36" i="23"/>
  <c r="R36" i="23"/>
  <c r="W30" i="23"/>
  <c r="X30" i="23" s="1"/>
  <c r="Y30" i="23" s="1"/>
  <c r="Z30" i="23" s="1"/>
  <c r="AA30" i="23" s="1"/>
  <c r="AB30" i="23" s="1"/>
  <c r="AC30" i="23" s="1"/>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Z29" i="23"/>
  <c r="AA29" i="23" s="1"/>
  <c r="AB29" i="23" s="1"/>
  <c r="AC29" i="23" s="1"/>
  <c r="AD29" i="23" s="1"/>
  <c r="AE29" i="23" s="1"/>
  <c r="AF29" i="23" s="1"/>
  <c r="AG29" i="23" s="1"/>
  <c r="AH29" i="23" s="1"/>
  <c r="AI29" i="23" s="1"/>
  <c r="AJ29" i="23" s="1"/>
  <c r="AK29" i="23" s="1"/>
  <c r="AL29" i="23" s="1"/>
  <c r="AM29" i="23" s="1"/>
  <c r="AN29" i="23" s="1"/>
  <c r="AO29" i="23" s="1"/>
  <c r="AP29" i="23" s="1"/>
  <c r="AQ29" i="23" s="1"/>
  <c r="AR29" i="23" s="1"/>
  <c r="AS29" i="23" s="1"/>
  <c r="AT29" i="23" s="1"/>
  <c r="AU29" i="23" s="1"/>
  <c r="AV29" i="23" s="1"/>
  <c r="AW29" i="23" s="1"/>
  <c r="AX29" i="23" s="1"/>
  <c r="AY29" i="23" s="1"/>
  <c r="AZ29" i="23" s="1"/>
  <c r="W29" i="23"/>
  <c r="X29" i="23" s="1"/>
  <c r="Y29" i="23" s="1"/>
  <c r="AC27" i="23"/>
  <c r="AD27" i="23" s="1"/>
  <c r="AE27" i="23" s="1"/>
  <c r="AF27" i="23" s="1"/>
  <c r="AG27" i="23" s="1"/>
  <c r="AH27" i="23" s="1"/>
  <c r="AI27" i="23" s="1"/>
  <c r="AJ27" i="23" s="1"/>
  <c r="AK27" i="23" s="1"/>
  <c r="AL27" i="23" s="1"/>
  <c r="AM27" i="23" s="1"/>
  <c r="AN27" i="23" s="1"/>
  <c r="AO27" i="23" s="1"/>
  <c r="AP27" i="23" s="1"/>
  <c r="AQ27" i="23" s="1"/>
  <c r="AR27" i="23" s="1"/>
  <c r="AS27" i="23" s="1"/>
  <c r="AT27" i="23" s="1"/>
  <c r="AU27" i="23" s="1"/>
  <c r="AV27" i="23" s="1"/>
  <c r="AW27" i="23" s="1"/>
  <c r="AX27" i="23" s="1"/>
  <c r="AY27" i="23" s="1"/>
  <c r="AZ27" i="23" s="1"/>
  <c r="Y27" i="23"/>
  <c r="Z27" i="23" s="1"/>
  <c r="AA27" i="23" s="1"/>
  <c r="AB27" i="23" s="1"/>
  <c r="X27" i="23"/>
  <c r="W27" i="23"/>
  <c r="U27" i="23"/>
  <c r="T27" i="23"/>
  <c r="S27" i="23" s="1"/>
  <c r="R27" i="23" s="1"/>
  <c r="Q27" i="23" s="1"/>
  <c r="P27" i="23" s="1"/>
  <c r="O27" i="23" s="1"/>
  <c r="N27" i="23"/>
  <c r="M27" i="23" s="1"/>
  <c r="L27" i="23" s="1"/>
  <c r="K27" i="23" s="1"/>
  <c r="J27" i="23"/>
  <c r="I27" i="23" s="1"/>
  <c r="H27" i="23" s="1"/>
  <c r="G27" i="23" s="1"/>
  <c r="F27" i="23" s="1"/>
  <c r="E27" i="23" s="1"/>
  <c r="D27" i="23" s="1"/>
  <c r="C27" i="23"/>
  <c r="B27" i="23" s="1"/>
  <c r="V26" i="23"/>
  <c r="Z25" i="23"/>
  <c r="AA25" i="23" s="1"/>
  <c r="AB25" i="23" s="1"/>
  <c r="AC25" i="23" s="1"/>
  <c r="AD25" i="23" s="1"/>
  <c r="AE25" i="23" s="1"/>
  <c r="AF25" i="23" s="1"/>
  <c r="AG25" i="23" s="1"/>
  <c r="AH25" i="23" s="1"/>
  <c r="AI25" i="23" s="1"/>
  <c r="AJ25" i="23" s="1"/>
  <c r="AK25" i="23" s="1"/>
  <c r="AL25" i="23" s="1"/>
  <c r="AM25" i="23" s="1"/>
  <c r="AN25" i="23" s="1"/>
  <c r="AO25" i="23" s="1"/>
  <c r="AP25" i="23" s="1"/>
  <c r="AQ25" i="23" s="1"/>
  <c r="AR25" i="23" s="1"/>
  <c r="AS25" i="23" s="1"/>
  <c r="AT25" i="23" s="1"/>
  <c r="AU25" i="23" s="1"/>
  <c r="AV25" i="23" s="1"/>
  <c r="AW25" i="23" s="1"/>
  <c r="AX25" i="23" s="1"/>
  <c r="AY25" i="23" s="1"/>
  <c r="AZ25" i="23" s="1"/>
  <c r="Y25" i="23"/>
  <c r="X25" i="23"/>
  <c r="W25" i="23"/>
  <c r="U25" i="23"/>
  <c r="T25" i="23" s="1"/>
  <c r="S25" i="23" s="1"/>
  <c r="R25" i="23" s="1"/>
  <c r="Q25" i="23" s="1"/>
  <c r="P25" i="23" s="1"/>
  <c r="O25" i="23" s="1"/>
  <c r="N25" i="23" s="1"/>
  <c r="M25" i="23" s="1"/>
  <c r="L25" i="23" s="1"/>
  <c r="K25" i="23" s="1"/>
  <c r="J25" i="23" s="1"/>
  <c r="I25" i="23" s="1"/>
  <c r="H25" i="23" s="1"/>
  <c r="G25" i="23" s="1"/>
  <c r="F25" i="23" s="1"/>
  <c r="E25" i="23" s="1"/>
  <c r="D25" i="23" s="1"/>
  <c r="C25" i="23" s="1"/>
  <c r="B25" i="23" s="1"/>
  <c r="AD24" i="23"/>
  <c r="AE24" i="23" s="1"/>
  <c r="AF24" i="23" s="1"/>
  <c r="AG24" i="23" s="1"/>
  <c r="AH24" i="23" s="1"/>
  <c r="AI24" i="23" s="1"/>
  <c r="AJ24" i="23" s="1"/>
  <c r="AK24" i="23" s="1"/>
  <c r="AL24" i="23" s="1"/>
  <c r="AM24" i="23" s="1"/>
  <c r="AN24" i="23" s="1"/>
  <c r="AO24" i="23" s="1"/>
  <c r="AP24" i="23" s="1"/>
  <c r="AQ24" i="23" s="1"/>
  <c r="AR24" i="23" s="1"/>
  <c r="AS24" i="23" s="1"/>
  <c r="AT24" i="23" s="1"/>
  <c r="AU24" i="23" s="1"/>
  <c r="AV24" i="23" s="1"/>
  <c r="AW24" i="23" s="1"/>
  <c r="AX24" i="23" s="1"/>
  <c r="AY24" i="23" s="1"/>
  <c r="AZ24" i="23" s="1"/>
  <c r="W24" i="23"/>
  <c r="X24" i="23" s="1"/>
  <c r="Y24" i="23" s="1"/>
  <c r="Z24" i="23" s="1"/>
  <c r="AA24" i="23" s="1"/>
  <c r="AB24" i="23" s="1"/>
  <c r="AC24" i="23" s="1"/>
  <c r="U24" i="23"/>
  <c r="T24" i="23" s="1"/>
  <c r="S24" i="23" s="1"/>
  <c r="R24" i="23" s="1"/>
  <c r="Q24" i="23" s="1"/>
  <c r="P24" i="23" s="1"/>
  <c r="O24" i="23" s="1"/>
  <c r="N24" i="23" s="1"/>
  <c r="M24" i="23"/>
  <c r="L24" i="23" s="1"/>
  <c r="K24" i="23"/>
  <c r="J24" i="23" s="1"/>
  <c r="X22" i="23"/>
  <c r="Y22" i="23" s="1"/>
  <c r="Z22" i="23" s="1"/>
  <c r="AA22" i="23" s="1"/>
  <c r="AB22" i="23" s="1"/>
  <c r="AC22" i="23" s="1"/>
  <c r="AD22" i="23" s="1"/>
  <c r="AE22" i="23" s="1"/>
  <c r="AF22" i="23" s="1"/>
  <c r="AG22" i="23" s="1"/>
  <c r="AH22" i="23" s="1"/>
  <c r="AI22" i="23" s="1"/>
  <c r="AJ22" i="23" s="1"/>
  <c r="AK22" i="23" s="1"/>
  <c r="AL22" i="23" s="1"/>
  <c r="AM22" i="23" s="1"/>
  <c r="AN22" i="23" s="1"/>
  <c r="AO22" i="23" s="1"/>
  <c r="AP22" i="23" s="1"/>
  <c r="AQ22" i="23" s="1"/>
  <c r="AR22" i="23" s="1"/>
  <c r="AS22" i="23" s="1"/>
  <c r="AT22" i="23" s="1"/>
  <c r="AU22" i="23" s="1"/>
  <c r="AV22" i="23" s="1"/>
  <c r="AW22" i="23" s="1"/>
  <c r="AX22" i="23" s="1"/>
  <c r="AY22" i="23" s="1"/>
  <c r="AZ22" i="23" s="1"/>
  <c r="W22" i="23"/>
  <c r="U22" i="23"/>
  <c r="T22" i="23" s="1"/>
  <c r="S22" i="23" s="1"/>
  <c r="R22" i="23" s="1"/>
  <c r="Q22" i="23"/>
  <c r="P22" i="23" s="1"/>
  <c r="O22" i="23" s="1"/>
  <c r="N22" i="23" s="1"/>
  <c r="M22" i="23" s="1"/>
  <c r="L22" i="23" s="1"/>
  <c r="K22" i="23" s="1"/>
  <c r="J22" i="23" s="1"/>
  <c r="W21" i="23"/>
  <c r="X21" i="23" s="1"/>
  <c r="Y21" i="23" s="1"/>
  <c r="Z21" i="23" s="1"/>
  <c r="AA21" i="23" s="1"/>
  <c r="AB21" i="23" s="1"/>
  <c r="AC21" i="23" s="1"/>
  <c r="AD21" i="23" s="1"/>
  <c r="AE21" i="23" s="1"/>
  <c r="AF21" i="23" s="1"/>
  <c r="AG21" i="23" s="1"/>
  <c r="AH21" i="23" s="1"/>
  <c r="AI21" i="23" s="1"/>
  <c r="AJ21" i="23" s="1"/>
  <c r="AK21" i="23" s="1"/>
  <c r="AL21" i="23" s="1"/>
  <c r="AM21" i="23" s="1"/>
  <c r="AN21" i="23" s="1"/>
  <c r="AO21" i="23" s="1"/>
  <c r="AP21" i="23" s="1"/>
  <c r="AQ21" i="23" s="1"/>
  <c r="AR21" i="23" s="1"/>
  <c r="AS21" i="23" s="1"/>
  <c r="AT21" i="23" s="1"/>
  <c r="AU21" i="23" s="1"/>
  <c r="AV21" i="23" s="1"/>
  <c r="AW21" i="23" s="1"/>
  <c r="AX21" i="23" s="1"/>
  <c r="AY21" i="23" s="1"/>
  <c r="AZ21" i="23" s="1"/>
  <c r="U21" i="23"/>
  <c r="T21" i="23" s="1"/>
  <c r="S21" i="23" s="1"/>
  <c r="R21" i="23" s="1"/>
  <c r="Q21" i="23"/>
  <c r="P21" i="23"/>
  <c r="O21" i="23" s="1"/>
  <c r="N21" i="23" s="1"/>
  <c r="M21" i="23" s="1"/>
  <c r="L21" i="23" s="1"/>
  <c r="K21" i="23" s="1"/>
  <c r="J21" i="23" s="1"/>
  <c r="I21" i="23" s="1"/>
  <c r="H21" i="23" s="1"/>
  <c r="G21" i="23" s="1"/>
  <c r="F21" i="23" s="1"/>
  <c r="E21" i="23" s="1"/>
  <c r="D21" i="23" s="1"/>
  <c r="C21" i="23" s="1"/>
  <c r="B21" i="23" s="1"/>
  <c r="X20" i="23"/>
  <c r="Y20" i="23" s="1"/>
  <c r="W20" i="23"/>
  <c r="U20" i="23"/>
  <c r="T20" i="23" s="1"/>
  <c r="S20" i="23" s="1"/>
  <c r="R20" i="23" s="1"/>
  <c r="Q20" i="23" s="1"/>
  <c r="P20" i="23" s="1"/>
  <c r="O20" i="23" s="1"/>
  <c r="N20" i="23" s="1"/>
  <c r="M20" i="23" s="1"/>
  <c r="L20" i="23" s="1"/>
  <c r="K20" i="23" s="1"/>
  <c r="J20" i="23" s="1"/>
  <c r="I20" i="23" s="1"/>
  <c r="H20" i="23" s="1"/>
  <c r="G20" i="23" s="1"/>
  <c r="F20" i="23" s="1"/>
  <c r="E20" i="23" s="1"/>
  <c r="D20" i="23" s="1"/>
  <c r="C20" i="23" s="1"/>
  <c r="B20" i="23" s="1"/>
  <c r="AD19" i="23"/>
  <c r="AE19" i="23" s="1"/>
  <c r="AF19" i="23" s="1"/>
  <c r="AG19" i="23" s="1"/>
  <c r="AH19" i="23" s="1"/>
  <c r="AI19" i="23" s="1"/>
  <c r="AJ19" i="23" s="1"/>
  <c r="AK19" i="23" s="1"/>
  <c r="AL19" i="23" s="1"/>
  <c r="AM19" i="23" s="1"/>
  <c r="AN19" i="23" s="1"/>
  <c r="AO19" i="23" s="1"/>
  <c r="AP19" i="23" s="1"/>
  <c r="AQ19" i="23" s="1"/>
  <c r="AR19" i="23" s="1"/>
  <c r="AS19" i="23" s="1"/>
  <c r="AT19" i="23" s="1"/>
  <c r="AU19" i="23" s="1"/>
  <c r="AV19" i="23" s="1"/>
  <c r="AW19" i="23" s="1"/>
  <c r="AX19" i="23" s="1"/>
  <c r="AY19" i="23" s="1"/>
  <c r="AZ19" i="23" s="1"/>
  <c r="Y19" i="23"/>
  <c r="Z19" i="23" s="1"/>
  <c r="AA19" i="23" s="1"/>
  <c r="AB19" i="23" s="1"/>
  <c r="AC19" i="23" s="1"/>
  <c r="X19" i="23"/>
  <c r="W19" i="23"/>
  <c r="U19" i="23"/>
  <c r="T19" i="23"/>
  <c r="S19" i="23" s="1"/>
  <c r="R19" i="23" s="1"/>
  <c r="Q19" i="23" s="1"/>
  <c r="P19" i="23" s="1"/>
  <c r="O19" i="23" s="1"/>
  <c r="N19" i="23" s="1"/>
  <c r="M19" i="23" s="1"/>
  <c r="L19" i="23" s="1"/>
  <c r="K19" i="23" s="1"/>
  <c r="J19" i="23" s="1"/>
  <c r="W18" i="23"/>
  <c r="X18" i="23" s="1"/>
  <c r="Y18" i="23" s="1"/>
  <c r="Z18" i="23" s="1"/>
  <c r="AA18" i="23" s="1"/>
  <c r="AB18" i="23" s="1"/>
  <c r="AC18" i="23" s="1"/>
  <c r="AD18" i="23" s="1"/>
  <c r="AE18" i="23" s="1"/>
  <c r="AF18" i="23" s="1"/>
  <c r="AG18" i="23" s="1"/>
  <c r="AH18" i="23" s="1"/>
  <c r="AI18" i="23" s="1"/>
  <c r="AJ18" i="23" s="1"/>
  <c r="AK18" i="23" s="1"/>
  <c r="AL18" i="23" s="1"/>
  <c r="AM18" i="23" s="1"/>
  <c r="AN18" i="23" s="1"/>
  <c r="AO18" i="23" s="1"/>
  <c r="AP18" i="23" s="1"/>
  <c r="AQ18" i="23" s="1"/>
  <c r="AR18" i="23" s="1"/>
  <c r="AS18" i="23" s="1"/>
  <c r="AT18" i="23" s="1"/>
  <c r="AU18" i="23" s="1"/>
  <c r="AV18" i="23" s="1"/>
  <c r="AW18" i="23" s="1"/>
  <c r="AX18" i="23" s="1"/>
  <c r="AY18" i="23" s="1"/>
  <c r="AZ18" i="23" s="1"/>
  <c r="U18" i="23"/>
  <c r="T18" i="23" s="1"/>
  <c r="S18" i="23" s="1"/>
  <c r="R18" i="23" s="1"/>
  <c r="Q18" i="23" s="1"/>
  <c r="P18" i="23" s="1"/>
  <c r="O18" i="23" s="1"/>
  <c r="N18" i="23" s="1"/>
  <c r="M18" i="23" s="1"/>
  <c r="L18" i="23" s="1"/>
  <c r="K18" i="23" s="1"/>
  <c r="J18" i="23" s="1"/>
  <c r="AG17" i="23"/>
  <c r="AH17" i="23" s="1"/>
  <c r="AI17" i="23" s="1"/>
  <c r="AJ17" i="23" s="1"/>
  <c r="AK17" i="23" s="1"/>
  <c r="AL17" i="23" s="1"/>
  <c r="AM17" i="23" s="1"/>
  <c r="AN17" i="23" s="1"/>
  <c r="AO17" i="23" s="1"/>
  <c r="AP17" i="23" s="1"/>
  <c r="AQ17" i="23" s="1"/>
  <c r="AR17" i="23" s="1"/>
  <c r="AS17" i="23" s="1"/>
  <c r="AT17" i="23" s="1"/>
  <c r="AU17" i="23" s="1"/>
  <c r="AV17" i="23" s="1"/>
  <c r="AW17" i="23" s="1"/>
  <c r="AX17" i="23" s="1"/>
  <c r="AY17" i="23" s="1"/>
  <c r="AZ17" i="23" s="1"/>
  <c r="Z17" i="23"/>
  <c r="AA17" i="23" s="1"/>
  <c r="AB17" i="23" s="1"/>
  <c r="AC17" i="23" s="1"/>
  <c r="AD17" i="23" s="1"/>
  <c r="AE17" i="23" s="1"/>
  <c r="AF17" i="23" s="1"/>
  <c r="Y17" i="23"/>
  <c r="W17" i="23"/>
  <c r="X17" i="23" s="1"/>
  <c r="U17" i="23"/>
  <c r="T17" i="23"/>
  <c r="S17" i="23" s="1"/>
  <c r="R17" i="23" s="1"/>
  <c r="Q17" i="23" s="1"/>
  <c r="P17" i="23" s="1"/>
  <c r="O17" i="23" s="1"/>
  <c r="N17" i="23" s="1"/>
  <c r="M17" i="23" s="1"/>
  <c r="L17" i="23" s="1"/>
  <c r="K17" i="23" s="1"/>
  <c r="J17" i="23" s="1"/>
  <c r="W16" i="23"/>
  <c r="X16" i="23" s="1"/>
  <c r="Y16" i="23" s="1"/>
  <c r="Z16" i="23" s="1"/>
  <c r="AA16" i="23" s="1"/>
  <c r="AB16" i="23" s="1"/>
  <c r="AC16" i="23" s="1"/>
  <c r="AD16" i="23" s="1"/>
  <c r="AE16" i="23" s="1"/>
  <c r="AF16" i="23" s="1"/>
  <c r="AG16" i="23" s="1"/>
  <c r="AH16" i="23" s="1"/>
  <c r="AI16" i="23" s="1"/>
  <c r="AJ16" i="23" s="1"/>
  <c r="AK16" i="23" s="1"/>
  <c r="AL16" i="23" s="1"/>
  <c r="AM16" i="23" s="1"/>
  <c r="AN16" i="23" s="1"/>
  <c r="AO16" i="23" s="1"/>
  <c r="AP16" i="23" s="1"/>
  <c r="AQ16" i="23" s="1"/>
  <c r="AR16" i="23" s="1"/>
  <c r="AS16" i="23" s="1"/>
  <c r="AT16" i="23" s="1"/>
  <c r="AU16" i="23" s="1"/>
  <c r="AV16" i="23" s="1"/>
  <c r="AW16" i="23" s="1"/>
  <c r="AX16" i="23" s="1"/>
  <c r="AY16" i="23" s="1"/>
  <c r="AZ16" i="23" s="1"/>
  <c r="U16" i="23"/>
  <c r="T16" i="23" s="1"/>
  <c r="S16" i="23" s="1"/>
  <c r="R16" i="23" s="1"/>
  <c r="Q16" i="23" s="1"/>
  <c r="P16" i="23" s="1"/>
  <c r="O16" i="23" s="1"/>
  <c r="N16" i="23" s="1"/>
  <c r="M16" i="23" s="1"/>
  <c r="L16" i="23" s="1"/>
  <c r="K16" i="23" s="1"/>
  <c r="J16" i="23" s="1"/>
  <c r="Z15" i="23"/>
  <c r="AA15" i="23" s="1"/>
  <c r="AB15" i="23" s="1"/>
  <c r="AC15" i="23" s="1"/>
  <c r="AD15" i="23" s="1"/>
  <c r="AE15" i="23" s="1"/>
  <c r="AF15" i="23" s="1"/>
  <c r="AG15" i="23" s="1"/>
  <c r="AH15" i="23" s="1"/>
  <c r="AI15" i="23" s="1"/>
  <c r="AJ15" i="23" s="1"/>
  <c r="AK15" i="23" s="1"/>
  <c r="AL15" i="23" s="1"/>
  <c r="AM15" i="23" s="1"/>
  <c r="AN15" i="23" s="1"/>
  <c r="AO15" i="23" s="1"/>
  <c r="AP15" i="23" s="1"/>
  <c r="AQ15" i="23" s="1"/>
  <c r="AR15" i="23" s="1"/>
  <c r="AS15" i="23" s="1"/>
  <c r="AT15" i="23" s="1"/>
  <c r="AU15" i="23" s="1"/>
  <c r="AV15" i="23" s="1"/>
  <c r="AW15" i="23" s="1"/>
  <c r="AX15" i="23" s="1"/>
  <c r="AY15" i="23" s="1"/>
  <c r="AZ15" i="23" s="1"/>
  <c r="Y15" i="23"/>
  <c r="W15" i="23"/>
  <c r="X15" i="23" s="1"/>
  <c r="U15" i="23"/>
  <c r="T15" i="23"/>
  <c r="S15" i="23" s="1"/>
  <c r="R15" i="23" s="1"/>
  <c r="V14" i="23"/>
  <c r="V9" i="23"/>
  <c r="V6" i="23"/>
  <c r="AA4" i="23"/>
  <c r="AB4" i="23" s="1"/>
  <c r="AC4" i="23" s="1"/>
  <c r="AD4" i="23" s="1"/>
  <c r="AE4" i="23" s="1"/>
  <c r="AF4" i="23" s="1"/>
  <c r="AG4" i="23" s="1"/>
  <c r="AH4" i="23" s="1"/>
  <c r="AI4" i="23" s="1"/>
  <c r="AJ4" i="23" s="1"/>
  <c r="AK4" i="23" s="1"/>
  <c r="AL4" i="23" s="1"/>
  <c r="AM4" i="23" s="1"/>
  <c r="AN4" i="23" s="1"/>
  <c r="AO4" i="23" s="1"/>
  <c r="AP4" i="23" s="1"/>
  <c r="AQ4" i="23" s="1"/>
  <c r="AR4" i="23" s="1"/>
  <c r="AS4" i="23" s="1"/>
  <c r="AT4" i="23" s="1"/>
  <c r="AU4" i="23" s="1"/>
  <c r="AV4" i="23" s="1"/>
  <c r="AW4" i="23" s="1"/>
  <c r="AX4" i="23" s="1"/>
  <c r="AY4" i="23" s="1"/>
  <c r="AZ4" i="23" s="1"/>
  <c r="Z4" i="23"/>
  <c r="X4" i="23"/>
  <c r="Y4" i="23" s="1"/>
  <c r="W4" i="23"/>
  <c r="U4" i="23"/>
  <c r="U2" i="23" s="1"/>
  <c r="X2" i="23"/>
  <c r="Y2" i="23" s="1"/>
  <c r="Z2" i="23" s="1"/>
  <c r="AA2" i="23" s="1"/>
  <c r="AB2" i="23" s="1"/>
  <c r="AC2" i="23" s="1"/>
  <c r="AD2" i="23" s="1"/>
  <c r="AE2" i="23" s="1"/>
  <c r="AF2" i="23" s="1"/>
  <c r="AG2" i="23" s="1"/>
  <c r="AH2" i="23" s="1"/>
  <c r="AI2" i="23" s="1"/>
  <c r="AJ2" i="23" s="1"/>
  <c r="AK2" i="23" s="1"/>
  <c r="AL2" i="23" s="1"/>
  <c r="AM2" i="23" s="1"/>
  <c r="AN2" i="23" s="1"/>
  <c r="AO2" i="23" s="1"/>
  <c r="AP2" i="23" s="1"/>
  <c r="AQ2" i="23" s="1"/>
  <c r="AR2" i="23" s="1"/>
  <c r="AS2" i="23" s="1"/>
  <c r="AT2" i="23" s="1"/>
  <c r="AU2" i="23" s="1"/>
  <c r="AV2" i="23" s="1"/>
  <c r="AW2" i="23" s="1"/>
  <c r="AX2" i="23" s="1"/>
  <c r="AY2" i="23" s="1"/>
  <c r="AZ2" i="23" s="1"/>
  <c r="W2" i="23"/>
  <c r="Y128" i="22"/>
  <c r="X128" i="22"/>
  <c r="W128" i="22"/>
  <c r="W127" i="22"/>
  <c r="Y126" i="22"/>
  <c r="X126" i="22"/>
  <c r="W126" i="22"/>
  <c r="W125" i="22"/>
  <c r="Y124" i="22"/>
  <c r="X124" i="22"/>
  <c r="W124" i="22"/>
  <c r="W123" i="22"/>
  <c r="W122" i="22"/>
  <c r="X121" i="22"/>
  <c r="W121" i="22"/>
  <c r="W120" i="22"/>
  <c r="W119" i="22"/>
  <c r="W118" i="22"/>
  <c r="W117" i="22"/>
  <c r="W116" i="22"/>
  <c r="W115" i="22"/>
  <c r="W114" i="22"/>
  <c r="X113" i="22"/>
  <c r="W113" i="22"/>
  <c r="W112" i="22"/>
  <c r="W111" i="22"/>
  <c r="W110" i="22"/>
  <c r="W109" i="22"/>
  <c r="W108" i="22"/>
  <c r="X107" i="22"/>
  <c r="W107" i="22"/>
  <c r="W106" i="22"/>
  <c r="W105" i="22"/>
  <c r="W104" i="22"/>
  <c r="W103" i="22"/>
  <c r="W102" i="22"/>
  <c r="X101" i="22"/>
  <c r="W101" i="22"/>
  <c r="W100" i="22"/>
  <c r="W99" i="22"/>
  <c r="W98" i="22"/>
  <c r="W97" i="22"/>
  <c r="W96" i="22"/>
  <c r="X95" i="22"/>
  <c r="W95" i="22"/>
  <c r="W94" i="22"/>
  <c r="Y93" i="22"/>
  <c r="X93" i="22"/>
  <c r="W93" i="22"/>
  <c r="W92" i="22"/>
  <c r="Y91" i="22"/>
  <c r="X91" i="22"/>
  <c r="W91" i="22"/>
  <c r="W90" i="22"/>
  <c r="X89" i="22"/>
  <c r="W89" i="22"/>
  <c r="W88" i="22"/>
  <c r="X87" i="22"/>
  <c r="W87" i="22"/>
  <c r="W86" i="22"/>
  <c r="Y85" i="22"/>
  <c r="X85" i="22"/>
  <c r="W85" i="22"/>
  <c r="W84" i="22"/>
  <c r="Y83" i="22"/>
  <c r="X83" i="22"/>
  <c r="W83" i="22"/>
  <c r="W82" i="22"/>
  <c r="X81" i="22"/>
  <c r="W81" i="22"/>
  <c r="W80" i="22"/>
  <c r="X79" i="22"/>
  <c r="W79" i="22"/>
  <c r="W78" i="22"/>
  <c r="Y77" i="22"/>
  <c r="X77" i="22"/>
  <c r="W77" i="22"/>
  <c r="W76" i="22"/>
  <c r="Y75" i="22"/>
  <c r="X75" i="22"/>
  <c r="W75" i="22"/>
  <c r="W74" i="22"/>
  <c r="X73" i="22"/>
  <c r="W73" i="22"/>
  <c r="W72" i="22"/>
  <c r="X71" i="22"/>
  <c r="W71" i="22"/>
  <c r="W70" i="22"/>
  <c r="Y69" i="22"/>
  <c r="X69" i="22"/>
  <c r="W69" i="22"/>
  <c r="W68" i="22"/>
  <c r="Y67" i="22"/>
  <c r="X67" i="22"/>
  <c r="W67" i="22"/>
  <c r="W66" i="22"/>
  <c r="X65" i="22"/>
  <c r="W65" i="22"/>
  <c r="W64" i="22"/>
  <c r="X63" i="22"/>
  <c r="W63" i="22"/>
  <c r="W62" i="22"/>
  <c r="W61" i="22"/>
  <c r="Y60" i="22"/>
  <c r="X60" i="22"/>
  <c r="W60" i="22"/>
  <c r="W59" i="22"/>
  <c r="W58" i="22"/>
  <c r="W57" i="22"/>
  <c r="X56" i="22"/>
  <c r="W56" i="22"/>
  <c r="W55" i="22"/>
  <c r="W54" i="22"/>
  <c r="W53" i="22"/>
  <c r="X52" i="22"/>
  <c r="W52" i="22"/>
  <c r="W51" i="22"/>
  <c r="W50" i="22"/>
  <c r="Z49" i="22"/>
  <c r="Y49" i="22"/>
  <c r="X49" i="22"/>
  <c r="W49" i="22"/>
  <c r="X48" i="22"/>
  <c r="W48" i="22"/>
  <c r="X47" i="22"/>
  <c r="W47" i="22"/>
  <c r="W46" i="22"/>
  <c r="Y45" i="22"/>
  <c r="X45" i="22"/>
  <c r="W45" i="22"/>
  <c r="X44" i="22"/>
  <c r="W44" i="22"/>
  <c r="X43" i="22"/>
  <c r="W43" i="22"/>
  <c r="W42" i="22"/>
  <c r="Y41" i="22"/>
  <c r="X41" i="22"/>
  <c r="W41" i="22"/>
  <c r="Y40" i="22"/>
  <c r="X40" i="22"/>
  <c r="W40" i="22"/>
  <c r="W39" i="22"/>
  <c r="W38" i="22"/>
  <c r="X34" i="22"/>
  <c r="Y34" i="22" s="1"/>
  <c r="Z34" i="22" s="1"/>
  <c r="AA34" i="22" s="1"/>
  <c r="AB34" i="22" s="1"/>
  <c r="AC34" i="22" s="1"/>
  <c r="AD34" i="22" s="1"/>
  <c r="AE34" i="22" s="1"/>
  <c r="AF34" i="22" s="1"/>
  <c r="AG34" i="22" s="1"/>
  <c r="AH34" i="22" s="1"/>
  <c r="AI34" i="22" s="1"/>
  <c r="AJ34" i="22" s="1"/>
  <c r="AK34" i="22" s="1"/>
  <c r="AL34" i="22" s="1"/>
  <c r="AM34" i="22" s="1"/>
  <c r="AN34" i="22" s="1"/>
  <c r="AO34" i="22" s="1"/>
  <c r="AP34" i="22" s="1"/>
  <c r="AQ34" i="22" s="1"/>
  <c r="AR34" i="22" s="1"/>
  <c r="AS34" i="22" s="1"/>
  <c r="AT34" i="22" s="1"/>
  <c r="AU34" i="22" s="1"/>
  <c r="AV34" i="22" s="1"/>
  <c r="AW34" i="22" s="1"/>
  <c r="AX34" i="22" s="1"/>
  <c r="AY34" i="22" s="1"/>
  <c r="AZ34" i="22" s="1"/>
  <c r="W34" i="22"/>
  <c r="V34" i="22"/>
  <c r="U34" i="22" s="1"/>
  <c r="T34" i="22"/>
  <c r="S34" i="22"/>
  <c r="R34" i="22" s="1"/>
  <c r="Q34" i="22" s="1"/>
  <c r="P34" i="22" s="1"/>
  <c r="O34" i="22" s="1"/>
  <c r="N34" i="22" s="1"/>
  <c r="M34" i="22" s="1"/>
  <c r="L34" i="22" s="1"/>
  <c r="K34" i="22" s="1"/>
  <c r="J34" i="22" s="1"/>
  <c r="I34" i="22" s="1"/>
  <c r="H34" i="22" s="1"/>
  <c r="G34" i="22" s="1"/>
  <c r="F34" i="22" s="1"/>
  <c r="E34" i="22" s="1"/>
  <c r="D34" i="22" s="1"/>
  <c r="C34" i="22"/>
  <c r="B34" i="22" s="1"/>
  <c r="W33" i="22"/>
  <c r="X33" i="22" s="1"/>
  <c r="Y33" i="22" s="1"/>
  <c r="Z33" i="22" s="1"/>
  <c r="AA33" i="22" s="1"/>
  <c r="AB33" i="22" s="1"/>
  <c r="AC33" i="22" s="1"/>
  <c r="AD33" i="22" s="1"/>
  <c r="AE33" i="22" s="1"/>
  <c r="AF33" i="22" s="1"/>
  <c r="AG33" i="22" s="1"/>
  <c r="AH33" i="22" s="1"/>
  <c r="AI33" i="22" s="1"/>
  <c r="AJ33" i="22" s="1"/>
  <c r="AK33" i="22" s="1"/>
  <c r="AL33" i="22" s="1"/>
  <c r="AM33" i="22" s="1"/>
  <c r="AN33" i="22" s="1"/>
  <c r="AO33" i="22" s="1"/>
  <c r="AP33" i="22" s="1"/>
  <c r="AQ33" i="22" s="1"/>
  <c r="AR33" i="22" s="1"/>
  <c r="AS33" i="22" s="1"/>
  <c r="AT33" i="22" s="1"/>
  <c r="AU33" i="22" s="1"/>
  <c r="AV33" i="22" s="1"/>
  <c r="AW33" i="22" s="1"/>
  <c r="AX33" i="22" s="1"/>
  <c r="AY33" i="22" s="1"/>
  <c r="AZ33" i="22" s="1"/>
  <c r="U33" i="22"/>
  <c r="T33" i="22" s="1"/>
  <c r="S33" i="22" s="1"/>
  <c r="R33" i="22"/>
  <c r="Q33" i="22" s="1"/>
  <c r="P33" i="22" s="1"/>
  <c r="O33" i="22" s="1"/>
  <c r="N33" i="22" s="1"/>
  <c r="M33" i="22"/>
  <c r="L33" i="22" s="1"/>
  <c r="K33" i="22" s="1"/>
  <c r="J33" i="22"/>
  <c r="I33" i="22" s="1"/>
  <c r="V32" i="22"/>
  <c r="V31" i="22"/>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W23" i="22"/>
  <c r="X22" i="22"/>
  <c r="Y22" i="22" s="1"/>
  <c r="Z22" i="22" s="1"/>
  <c r="AA22" i="22" s="1"/>
  <c r="AB22" i="22" s="1"/>
  <c r="AC22" i="22" s="1"/>
  <c r="AD22" i="22" s="1"/>
  <c r="AE22" i="22" s="1"/>
  <c r="AF22" i="22" s="1"/>
  <c r="AG22" i="22" s="1"/>
  <c r="AH22" i="22" s="1"/>
  <c r="AI22" i="22" s="1"/>
  <c r="AJ22" i="22" s="1"/>
  <c r="AK22" i="22" s="1"/>
  <c r="AL22" i="22" s="1"/>
  <c r="AM22" i="22" s="1"/>
  <c r="AN22" i="22" s="1"/>
  <c r="AO22" i="22" s="1"/>
  <c r="AP22" i="22" s="1"/>
  <c r="AQ22" i="22" s="1"/>
  <c r="AR22" i="22" s="1"/>
  <c r="AS22" i="22" s="1"/>
  <c r="AT22" i="22" s="1"/>
  <c r="AU22" i="22" s="1"/>
  <c r="AV22" i="22" s="1"/>
  <c r="AW22" i="22" s="1"/>
  <c r="AX22" i="22" s="1"/>
  <c r="AY22" i="22" s="1"/>
  <c r="AZ22" i="22" s="1"/>
  <c r="W22" i="22"/>
  <c r="Y20" i="22"/>
  <c r="Z20" i="22" s="1"/>
  <c r="AA20" i="22" s="1"/>
  <c r="AB20" i="22" s="1"/>
  <c r="AC20" i="22" s="1"/>
  <c r="AD20" i="22" s="1"/>
  <c r="AE20" i="22" s="1"/>
  <c r="AF20" i="22" s="1"/>
  <c r="AG20" i="22" s="1"/>
  <c r="AH20" i="22" s="1"/>
  <c r="AI20" i="22" s="1"/>
  <c r="AJ20" i="22" s="1"/>
  <c r="AK20" i="22" s="1"/>
  <c r="AL20" i="22" s="1"/>
  <c r="AM20" i="22" s="1"/>
  <c r="AN20" i="22" s="1"/>
  <c r="AO20" i="22" s="1"/>
  <c r="AP20" i="22" s="1"/>
  <c r="AQ20" i="22" s="1"/>
  <c r="AR20" i="22" s="1"/>
  <c r="AS20" i="22" s="1"/>
  <c r="AT20" i="22" s="1"/>
  <c r="AU20" i="22" s="1"/>
  <c r="AV20" i="22" s="1"/>
  <c r="AW20" i="22" s="1"/>
  <c r="AX20" i="22" s="1"/>
  <c r="AY20" i="22" s="1"/>
  <c r="AZ20" i="22" s="1"/>
  <c r="X20" i="22"/>
  <c r="W20" i="22"/>
  <c r="U20" i="22"/>
  <c r="T20" i="22"/>
  <c r="S20" i="22" s="1"/>
  <c r="R20" i="22" s="1"/>
  <c r="Q20" i="22"/>
  <c r="P20" i="22" s="1"/>
  <c r="O20" i="22" s="1"/>
  <c r="N20" i="22" s="1"/>
  <c r="M20" i="22" s="1"/>
  <c r="L20" i="22"/>
  <c r="K20" i="22" s="1"/>
  <c r="J20" i="22" s="1"/>
  <c r="I20" i="22" s="1"/>
  <c r="H20" i="22" s="1"/>
  <c r="G20" i="22" s="1"/>
  <c r="F20" i="22" s="1"/>
  <c r="E20" i="22" s="1"/>
  <c r="D20" i="22" s="1"/>
  <c r="C20" i="22" s="1"/>
  <c r="B20" i="22" s="1"/>
  <c r="W19" i="22"/>
  <c r="X19" i="22" s="1"/>
  <c r="V19" i="22"/>
  <c r="U19" i="22" s="1"/>
  <c r="T19" i="22" s="1"/>
  <c r="W18" i="22"/>
  <c r="U18" i="22"/>
  <c r="W17" i="22"/>
  <c r="W16" i="22"/>
  <c r="X16" i="22" s="1"/>
  <c r="Y16" i="22" s="1"/>
  <c r="Z16" i="22" s="1"/>
  <c r="AA16" i="22" s="1"/>
  <c r="AB16" i="22" s="1"/>
  <c r="AC16" i="22" s="1"/>
  <c r="AD16" i="22" s="1"/>
  <c r="AE16" i="22" s="1"/>
  <c r="AF16" i="22" s="1"/>
  <c r="AG16" i="22" s="1"/>
  <c r="AH16" i="22" s="1"/>
  <c r="AI16" i="22" s="1"/>
  <c r="AJ16" i="22" s="1"/>
  <c r="AK16" i="22" s="1"/>
  <c r="AL16" i="22" s="1"/>
  <c r="AM16" i="22" s="1"/>
  <c r="AN16" i="22" s="1"/>
  <c r="AO16" i="22" s="1"/>
  <c r="AP16" i="22" s="1"/>
  <c r="AQ16" i="22" s="1"/>
  <c r="AR16" i="22" s="1"/>
  <c r="AS16" i="22" s="1"/>
  <c r="AT16" i="22" s="1"/>
  <c r="AU16" i="22" s="1"/>
  <c r="AV16" i="22" s="1"/>
  <c r="AW16" i="22" s="1"/>
  <c r="AX16" i="22" s="1"/>
  <c r="AY16" i="22" s="1"/>
  <c r="AZ16" i="22" s="1"/>
  <c r="AF15" i="22"/>
  <c r="AG15" i="22" s="1"/>
  <c r="AH15" i="22" s="1"/>
  <c r="AI15" i="22" s="1"/>
  <c r="AJ15" i="22" s="1"/>
  <c r="AK15" i="22" s="1"/>
  <c r="AL15" i="22" s="1"/>
  <c r="AM15" i="22" s="1"/>
  <c r="AN15" i="22" s="1"/>
  <c r="AO15" i="22" s="1"/>
  <c r="AP15" i="22" s="1"/>
  <c r="AQ15" i="22" s="1"/>
  <c r="AR15" i="22" s="1"/>
  <c r="AS15" i="22" s="1"/>
  <c r="AT15" i="22" s="1"/>
  <c r="AU15" i="22" s="1"/>
  <c r="AV15" i="22" s="1"/>
  <c r="AW15" i="22" s="1"/>
  <c r="AX15" i="22" s="1"/>
  <c r="AY15" i="22" s="1"/>
  <c r="AZ15" i="22" s="1"/>
  <c r="X15" i="22"/>
  <c r="Y15" i="22" s="1"/>
  <c r="Z15" i="22" s="1"/>
  <c r="AA15" i="22" s="1"/>
  <c r="AB15" i="22" s="1"/>
  <c r="AC15" i="22" s="1"/>
  <c r="AD15" i="22" s="1"/>
  <c r="AE15" i="22" s="1"/>
  <c r="W15" i="22"/>
  <c r="W14" i="22"/>
  <c r="V13" i="22"/>
  <c r="V8" i="22"/>
  <c r="V5" i="22"/>
  <c r="W3" i="22"/>
  <c r="X3" i="22" s="1"/>
  <c r="Y3" i="22" s="1"/>
  <c r="Z3" i="22" s="1"/>
  <c r="AA3" i="22" s="1"/>
  <c r="AB3" i="22" s="1"/>
  <c r="AC3" i="22" s="1"/>
  <c r="AD3" i="22" s="1"/>
  <c r="AE3" i="22" s="1"/>
  <c r="AF3" i="22" s="1"/>
  <c r="AG3" i="22" s="1"/>
  <c r="AH3" i="22" s="1"/>
  <c r="AI3" i="22" s="1"/>
  <c r="AJ3" i="22" s="1"/>
  <c r="AK3" i="22" s="1"/>
  <c r="AL3" i="22" s="1"/>
  <c r="AM3" i="22" s="1"/>
  <c r="AN3" i="22" s="1"/>
  <c r="AO3" i="22" s="1"/>
  <c r="AP3" i="22" s="1"/>
  <c r="AQ3" i="22" s="1"/>
  <c r="AR3" i="22" s="1"/>
  <c r="AS3" i="22" s="1"/>
  <c r="AT3" i="22" s="1"/>
  <c r="AU3" i="22" s="1"/>
  <c r="AV3" i="22" s="1"/>
  <c r="AW3" i="22" s="1"/>
  <c r="AX3" i="22" s="1"/>
  <c r="AY3" i="22" s="1"/>
  <c r="AZ3" i="22" s="1"/>
  <c r="U3" i="22"/>
  <c r="T3" i="22" s="1"/>
  <c r="T2" i="22" s="1"/>
  <c r="S3" i="22"/>
  <c r="R3" i="22" s="1"/>
  <c r="Q3" i="22" s="1"/>
  <c r="P3" i="22" s="1"/>
  <c r="O3" i="22" s="1"/>
  <c r="N3" i="22" s="1"/>
  <c r="M3" i="22" s="1"/>
  <c r="L3" i="22" s="1"/>
  <c r="K3" i="22" s="1"/>
  <c r="J3" i="22" s="1"/>
  <c r="I3" i="22" s="1"/>
  <c r="H3" i="22" s="1"/>
  <c r="G3" i="22" s="1"/>
  <c r="F3" i="22" s="1"/>
  <c r="E3" i="22" s="1"/>
  <c r="D3" i="22" s="1"/>
  <c r="C3" i="22"/>
  <c r="B3" i="22" s="1"/>
  <c r="W2" i="22"/>
  <c r="U2" i="22"/>
  <c r="W111" i="21"/>
  <c r="Y110" i="21"/>
  <c r="X110" i="21"/>
  <c r="W110" i="21"/>
  <c r="W109" i="21"/>
  <c r="Z108" i="21"/>
  <c r="Y108" i="21"/>
  <c r="X108" i="21"/>
  <c r="W108" i="21"/>
  <c r="W107" i="21"/>
  <c r="Y106" i="21"/>
  <c r="X106" i="21"/>
  <c r="W106" i="21"/>
  <c r="W105" i="21"/>
  <c r="Y104" i="21"/>
  <c r="X104" i="21"/>
  <c r="W104" i="21"/>
  <c r="W103" i="21"/>
  <c r="X102" i="21"/>
  <c r="W102" i="21"/>
  <c r="W101" i="21"/>
  <c r="X100" i="21"/>
  <c r="W100" i="21"/>
  <c r="W99" i="21"/>
  <c r="X98" i="21"/>
  <c r="W98" i="21"/>
  <c r="W97" i="21"/>
  <c r="X96" i="21"/>
  <c r="W96" i="21"/>
  <c r="W95" i="21"/>
  <c r="X94" i="21"/>
  <c r="W94" i="21"/>
  <c r="X93" i="21"/>
  <c r="W93" i="21"/>
  <c r="X92" i="21"/>
  <c r="W92" i="21"/>
  <c r="W91" i="21"/>
  <c r="Y90" i="21"/>
  <c r="X90" i="21"/>
  <c r="W90" i="21"/>
  <c r="W89" i="21"/>
  <c r="W88" i="21"/>
  <c r="W87" i="21"/>
  <c r="W86" i="21"/>
  <c r="W85" i="21"/>
  <c r="W84" i="21"/>
  <c r="X83" i="21"/>
  <c r="W83" i="21"/>
  <c r="W82" i="21"/>
  <c r="X81" i="21"/>
  <c r="W81" i="21"/>
  <c r="W80" i="21"/>
  <c r="W79" i="21"/>
  <c r="W78" i="21"/>
  <c r="W77" i="21"/>
  <c r="W76" i="21"/>
  <c r="X75" i="21"/>
  <c r="W75" i="21"/>
  <c r="W74" i="21"/>
  <c r="W73" i="21"/>
  <c r="W72" i="21"/>
  <c r="W71" i="21"/>
  <c r="W70" i="21"/>
  <c r="W69" i="21"/>
  <c r="W68" i="21"/>
  <c r="X67" i="21"/>
  <c r="W67" i="21"/>
  <c r="W66" i="21"/>
  <c r="W65" i="21"/>
  <c r="W64" i="21"/>
  <c r="W63" i="21"/>
  <c r="W62" i="21"/>
  <c r="W61" i="21"/>
  <c r="X60" i="21"/>
  <c r="W60" i="21"/>
  <c r="W59" i="21"/>
  <c r="W58" i="21"/>
  <c r="W57" i="21"/>
  <c r="X56" i="21"/>
  <c r="W56" i="21"/>
  <c r="W55" i="21"/>
  <c r="W54" i="21"/>
  <c r="W53" i="21"/>
  <c r="X52" i="21"/>
  <c r="W52" i="21"/>
  <c r="W51" i="21"/>
  <c r="W50" i="21"/>
  <c r="W49" i="21"/>
  <c r="X48" i="21"/>
  <c r="W48" i="21"/>
  <c r="W47" i="21"/>
  <c r="W46" i="21"/>
  <c r="Y45" i="21"/>
  <c r="X45" i="21"/>
  <c r="W45" i="21"/>
  <c r="W44" i="21"/>
  <c r="W43" i="21"/>
  <c r="W42" i="21"/>
  <c r="W41" i="21"/>
  <c r="X40" i="21"/>
  <c r="W40" i="21"/>
  <c r="W39" i="21"/>
  <c r="X38" i="21"/>
  <c r="W38" i="21"/>
  <c r="W36" i="21"/>
  <c r="V34" i="21"/>
  <c r="U34" i="21"/>
  <c r="Y33" i="21"/>
  <c r="Z33" i="21" s="1"/>
  <c r="AA33" i="21" s="1"/>
  <c r="AB33" i="21" s="1"/>
  <c r="AC33" i="21" s="1"/>
  <c r="AD33" i="21" s="1"/>
  <c r="AE33" i="21" s="1"/>
  <c r="AF33" i="21" s="1"/>
  <c r="AG33" i="21" s="1"/>
  <c r="AH33" i="21" s="1"/>
  <c r="AI33" i="21" s="1"/>
  <c r="AJ33" i="21" s="1"/>
  <c r="AK33" i="21" s="1"/>
  <c r="AL33" i="21" s="1"/>
  <c r="AM33" i="21" s="1"/>
  <c r="AN33" i="21" s="1"/>
  <c r="AO33" i="21" s="1"/>
  <c r="AP33" i="21" s="1"/>
  <c r="AQ33" i="21" s="1"/>
  <c r="AR33" i="21" s="1"/>
  <c r="AS33" i="21" s="1"/>
  <c r="AT33" i="21" s="1"/>
  <c r="AU33" i="21" s="1"/>
  <c r="AV33" i="21" s="1"/>
  <c r="AW33" i="21" s="1"/>
  <c r="AX33" i="21" s="1"/>
  <c r="AY33" i="21" s="1"/>
  <c r="AZ33" i="21" s="1"/>
  <c r="X33" i="21"/>
  <c r="W33" i="21"/>
  <c r="U33" i="21"/>
  <c r="T33" i="21"/>
  <c r="S33" i="21" s="1"/>
  <c r="R33" i="21" s="1"/>
  <c r="Q33" i="21" s="1"/>
  <c r="P33" i="21" s="1"/>
  <c r="O33" i="21" s="1"/>
  <c r="N33" i="21" s="1"/>
  <c r="M33" i="21" s="1"/>
  <c r="L33" i="21" s="1"/>
  <c r="K33" i="21" s="1"/>
  <c r="J33" i="21" s="1"/>
  <c r="I33" i="21" s="1"/>
  <c r="V32" i="21"/>
  <c r="V31"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AX22" i="21"/>
  <c r="AY22" i="21" s="1"/>
  <c r="AZ22" i="21" s="1"/>
  <c r="AC22" i="21"/>
  <c r="AD22" i="21" s="1"/>
  <c r="AE22" i="21" s="1"/>
  <c r="AF22" i="21" s="1"/>
  <c r="AG22" i="21" s="1"/>
  <c r="AH22" i="21" s="1"/>
  <c r="AI22" i="21" s="1"/>
  <c r="AJ22" i="21" s="1"/>
  <c r="AK22" i="21" s="1"/>
  <c r="AL22" i="21" s="1"/>
  <c r="AM22" i="21" s="1"/>
  <c r="AN22" i="21" s="1"/>
  <c r="AO22" i="21" s="1"/>
  <c r="AP22" i="21" s="1"/>
  <c r="AQ22" i="21" s="1"/>
  <c r="AR22" i="21" s="1"/>
  <c r="AS22" i="21" s="1"/>
  <c r="AT22" i="21" s="1"/>
  <c r="AU22" i="21" s="1"/>
  <c r="AV22" i="21" s="1"/>
  <c r="AW22" i="21" s="1"/>
  <c r="Y22" i="21"/>
  <c r="Z22" i="21" s="1"/>
  <c r="AA22" i="21" s="1"/>
  <c r="AB22" i="21" s="1"/>
  <c r="W22" i="21"/>
  <c r="X22" i="21" s="1"/>
  <c r="AR20" i="21"/>
  <c r="AS20" i="21" s="1"/>
  <c r="AT20" i="21" s="1"/>
  <c r="AU20" i="21" s="1"/>
  <c r="AV20" i="21" s="1"/>
  <c r="AW20" i="21" s="1"/>
  <c r="AX20" i="21" s="1"/>
  <c r="AY20" i="21" s="1"/>
  <c r="AZ20" i="21" s="1"/>
  <c r="W20" i="21"/>
  <c r="X20" i="21" s="1"/>
  <c r="Y20" i="21" s="1"/>
  <c r="Z20" i="21" s="1"/>
  <c r="AA20" i="21" s="1"/>
  <c r="AB20" i="21" s="1"/>
  <c r="AC20" i="21" s="1"/>
  <c r="AD20" i="21" s="1"/>
  <c r="AE20" i="21" s="1"/>
  <c r="AF20" i="21" s="1"/>
  <c r="AG20" i="21" s="1"/>
  <c r="AH20" i="21" s="1"/>
  <c r="AI20" i="21" s="1"/>
  <c r="AJ20" i="21" s="1"/>
  <c r="AK20" i="21" s="1"/>
  <c r="AL20" i="21" s="1"/>
  <c r="AM20" i="21" s="1"/>
  <c r="AN20" i="21" s="1"/>
  <c r="AO20" i="21" s="1"/>
  <c r="AP20" i="21" s="1"/>
  <c r="AQ20" i="21" s="1"/>
  <c r="U20" i="21"/>
  <c r="T20" i="21"/>
  <c r="S20" i="21"/>
  <c r="R20" i="21"/>
  <c r="Q20" i="21" s="1"/>
  <c r="P20" i="21" s="1"/>
  <c r="O20" i="21" s="1"/>
  <c r="N20" i="21" s="1"/>
  <c r="M20" i="21" s="1"/>
  <c r="L20" i="21" s="1"/>
  <c r="K20" i="21" s="1"/>
  <c r="J20" i="21" s="1"/>
  <c r="I20" i="21" s="1"/>
  <c r="H20" i="21" s="1"/>
  <c r="G20" i="21" s="1"/>
  <c r="F20" i="21" s="1"/>
  <c r="E20" i="21" s="1"/>
  <c r="D20" i="21" s="1"/>
  <c r="C20" i="21" s="1"/>
  <c r="B20" i="21" s="1"/>
  <c r="V19" i="21"/>
  <c r="W19" i="21" s="1"/>
  <c r="U19" i="21"/>
  <c r="AY16" i="21"/>
  <c r="AZ16" i="21" s="1"/>
  <c r="AI16" i="21"/>
  <c r="AJ16" i="21" s="1"/>
  <c r="AK16" i="21" s="1"/>
  <c r="AL16" i="21" s="1"/>
  <c r="AM16" i="21" s="1"/>
  <c r="AN16" i="21" s="1"/>
  <c r="AO16" i="21" s="1"/>
  <c r="AP16" i="21" s="1"/>
  <c r="AQ16" i="21" s="1"/>
  <c r="AR16" i="21" s="1"/>
  <c r="AS16" i="21" s="1"/>
  <c r="AT16" i="21" s="1"/>
  <c r="AU16" i="21" s="1"/>
  <c r="AV16" i="21" s="1"/>
  <c r="AW16" i="21" s="1"/>
  <c r="AX16" i="21" s="1"/>
  <c r="Z16" i="21"/>
  <c r="AA16" i="21" s="1"/>
  <c r="AB16" i="21" s="1"/>
  <c r="AC16" i="21" s="1"/>
  <c r="AD16" i="21" s="1"/>
  <c r="AE16" i="21" s="1"/>
  <c r="AF16" i="21" s="1"/>
  <c r="AG16" i="21" s="1"/>
  <c r="AH16" i="21" s="1"/>
  <c r="W16" i="21"/>
  <c r="X16" i="21" s="1"/>
  <c r="Y16" i="21" s="1"/>
  <c r="AN15" i="21"/>
  <c r="AO15" i="21" s="1"/>
  <c r="AP15" i="21" s="1"/>
  <c r="AQ15" i="21" s="1"/>
  <c r="AR15" i="21" s="1"/>
  <c r="AS15" i="21" s="1"/>
  <c r="AT15" i="21" s="1"/>
  <c r="AU15" i="21" s="1"/>
  <c r="AV15" i="21" s="1"/>
  <c r="AW15" i="21" s="1"/>
  <c r="AX15" i="21" s="1"/>
  <c r="AY15" i="21" s="1"/>
  <c r="AZ15" i="21" s="1"/>
  <c r="X15" i="21"/>
  <c r="Y15" i="21" s="1"/>
  <c r="Z15" i="21" s="1"/>
  <c r="AA15" i="21" s="1"/>
  <c r="AB15" i="21" s="1"/>
  <c r="AC15" i="21" s="1"/>
  <c r="AD15" i="21" s="1"/>
  <c r="AE15" i="21" s="1"/>
  <c r="AF15" i="21" s="1"/>
  <c r="AG15" i="21" s="1"/>
  <c r="AH15" i="21" s="1"/>
  <c r="AI15" i="21" s="1"/>
  <c r="AJ15" i="21" s="1"/>
  <c r="AK15" i="21" s="1"/>
  <c r="AL15" i="21" s="1"/>
  <c r="AM15" i="21" s="1"/>
  <c r="W15" i="21"/>
  <c r="Z14" i="21"/>
  <c r="AA14" i="21" s="1"/>
  <c r="AB14" i="21" s="1"/>
  <c r="AC14" i="21" s="1"/>
  <c r="AD14" i="21" s="1"/>
  <c r="AE14" i="21" s="1"/>
  <c r="AF14" i="21" s="1"/>
  <c r="AG14" i="21" s="1"/>
  <c r="AH14" i="21" s="1"/>
  <c r="AI14" i="21" s="1"/>
  <c r="AJ14" i="21" s="1"/>
  <c r="AK14" i="21" s="1"/>
  <c r="AL14" i="21" s="1"/>
  <c r="AM14" i="21" s="1"/>
  <c r="AN14" i="21" s="1"/>
  <c r="AO14" i="21" s="1"/>
  <c r="AP14" i="21" s="1"/>
  <c r="AQ14" i="21" s="1"/>
  <c r="AR14" i="21" s="1"/>
  <c r="AS14" i="21" s="1"/>
  <c r="AT14" i="21" s="1"/>
  <c r="AU14" i="21" s="1"/>
  <c r="AV14" i="21" s="1"/>
  <c r="AW14" i="21" s="1"/>
  <c r="AX14" i="21" s="1"/>
  <c r="AY14" i="21" s="1"/>
  <c r="W14" i="21"/>
  <c r="X14" i="21" s="1"/>
  <c r="Y14" i="21" s="1"/>
  <c r="V13" i="21"/>
  <c r="V5" i="21"/>
  <c r="V8" i="21" s="1"/>
  <c r="AZ3" i="21"/>
  <c r="AJ3" i="21"/>
  <c r="AK3" i="21" s="1"/>
  <c r="AL3" i="21" s="1"/>
  <c r="AM3" i="21" s="1"/>
  <c r="AN3" i="21" s="1"/>
  <c r="AO3" i="21" s="1"/>
  <c r="AP3" i="21" s="1"/>
  <c r="AQ3" i="21" s="1"/>
  <c r="AR3" i="21" s="1"/>
  <c r="AS3" i="21" s="1"/>
  <c r="AT3" i="21" s="1"/>
  <c r="AU3" i="21" s="1"/>
  <c r="AV3" i="21" s="1"/>
  <c r="AW3" i="21" s="1"/>
  <c r="AX3" i="21" s="1"/>
  <c r="AY3" i="21" s="1"/>
  <c r="AA3" i="21"/>
  <c r="AB3" i="21" s="1"/>
  <c r="AC3" i="21" s="1"/>
  <c r="AD3" i="21" s="1"/>
  <c r="AE3" i="21" s="1"/>
  <c r="AF3" i="21" s="1"/>
  <c r="AG3" i="21" s="1"/>
  <c r="AH3" i="21" s="1"/>
  <c r="AI3" i="21" s="1"/>
  <c r="X3" i="21"/>
  <c r="Y3" i="21" s="1"/>
  <c r="Z3" i="21" s="1"/>
  <c r="W3" i="21"/>
  <c r="U3" i="21"/>
  <c r="T3" i="21"/>
  <c r="S3" i="21"/>
  <c r="R3" i="21" s="1"/>
  <c r="Q3" i="21" s="1"/>
  <c r="P3" i="21" s="1"/>
  <c r="O3" i="21" s="1"/>
  <c r="N3" i="21" s="1"/>
  <c r="M3" i="21" s="1"/>
  <c r="L3" i="21" s="1"/>
  <c r="K3" i="21" s="1"/>
  <c r="J3" i="21" s="1"/>
  <c r="I3" i="21" s="1"/>
  <c r="H3" i="21" s="1"/>
  <c r="G3" i="21" s="1"/>
  <c r="F3" i="21"/>
  <c r="E3" i="21" s="1"/>
  <c r="D3" i="21" s="1"/>
  <c r="C3" i="21" s="1"/>
  <c r="B3" i="21" s="1"/>
  <c r="X82" i="20"/>
  <c r="W82" i="20"/>
  <c r="W81" i="20"/>
  <c r="X80" i="20"/>
  <c r="W80" i="20"/>
  <c r="W79" i="20"/>
  <c r="X78" i="20"/>
  <c r="W78" i="20"/>
  <c r="W77" i="20"/>
  <c r="Y76" i="20"/>
  <c r="X76" i="20"/>
  <c r="W76" i="20"/>
  <c r="W75" i="20"/>
  <c r="W74" i="20"/>
  <c r="W73" i="20"/>
  <c r="X72" i="20"/>
  <c r="W72" i="20"/>
  <c r="W71" i="20"/>
  <c r="X70" i="20"/>
  <c r="W70" i="20"/>
  <c r="W69" i="20"/>
  <c r="W68" i="20"/>
  <c r="W67" i="20"/>
  <c r="X66" i="20"/>
  <c r="W66" i="20"/>
  <c r="W65" i="20"/>
  <c r="W64" i="20"/>
  <c r="W63" i="20"/>
  <c r="Y62" i="20"/>
  <c r="X62" i="20"/>
  <c r="W62" i="20"/>
  <c r="X61" i="20"/>
  <c r="W61" i="20"/>
  <c r="W60" i="20"/>
  <c r="W59" i="20"/>
  <c r="Y58" i="20"/>
  <c r="X58" i="20"/>
  <c r="W58" i="20"/>
  <c r="X57" i="20"/>
  <c r="W57" i="20"/>
  <c r="W56" i="20"/>
  <c r="W55" i="20"/>
  <c r="Y54" i="20"/>
  <c r="X54" i="20"/>
  <c r="W54" i="20"/>
  <c r="X53" i="20"/>
  <c r="W53" i="20"/>
  <c r="W52" i="20"/>
  <c r="W51" i="20"/>
  <c r="Y50" i="20"/>
  <c r="X50" i="20"/>
  <c r="W50" i="20"/>
  <c r="X49" i="20"/>
  <c r="W49" i="20"/>
  <c r="W48" i="20"/>
  <c r="W47" i="20"/>
  <c r="Y46" i="20"/>
  <c r="X46" i="20"/>
  <c r="W46" i="20"/>
  <c r="X45" i="20"/>
  <c r="W45" i="20"/>
  <c r="W44" i="20"/>
  <c r="W43" i="20"/>
  <c r="Y42" i="20"/>
  <c r="X42" i="20"/>
  <c r="W42" i="20"/>
  <c r="W41" i="20"/>
  <c r="W40" i="20"/>
  <c r="W39" i="20"/>
  <c r="Y38" i="20"/>
  <c r="X38" i="20"/>
  <c r="W38" i="20"/>
  <c r="W36" i="20"/>
  <c r="V34" i="20"/>
  <c r="U34" i="20" s="1"/>
  <c r="AJ33" i="20"/>
  <c r="AK33" i="20" s="1"/>
  <c r="AL33" i="20" s="1"/>
  <c r="AM33" i="20" s="1"/>
  <c r="AN33" i="20" s="1"/>
  <c r="AO33" i="20" s="1"/>
  <c r="AP33" i="20" s="1"/>
  <c r="AQ33" i="20" s="1"/>
  <c r="AR33" i="20" s="1"/>
  <c r="AS33" i="20" s="1"/>
  <c r="AT33" i="20" s="1"/>
  <c r="AU33" i="20" s="1"/>
  <c r="AV33" i="20" s="1"/>
  <c r="AW33" i="20" s="1"/>
  <c r="AX33" i="20" s="1"/>
  <c r="AY33" i="20" s="1"/>
  <c r="AZ33" i="20" s="1"/>
  <c r="AB33" i="20"/>
  <c r="AC33" i="20" s="1"/>
  <c r="AD33" i="20" s="1"/>
  <c r="AE33" i="20" s="1"/>
  <c r="AF33" i="20" s="1"/>
  <c r="AG33" i="20" s="1"/>
  <c r="AH33" i="20" s="1"/>
  <c r="AI33" i="20" s="1"/>
  <c r="Y33" i="20"/>
  <c r="Z33" i="20" s="1"/>
  <c r="AA33" i="20" s="1"/>
  <c r="X33" i="20"/>
  <c r="W33" i="20"/>
  <c r="U33" i="20"/>
  <c r="T33" i="20"/>
  <c r="S33" i="20" s="1"/>
  <c r="R33" i="20" s="1"/>
  <c r="Q33" i="20" s="1"/>
  <c r="P33" i="20" s="1"/>
  <c r="O33" i="20"/>
  <c r="N33" i="20" s="1"/>
  <c r="M33" i="20" s="1"/>
  <c r="L33" i="20" s="1"/>
  <c r="K33" i="20" s="1"/>
  <c r="J33" i="20" s="1"/>
  <c r="I33" i="20" s="1"/>
  <c r="V32" i="20"/>
  <c r="V31" i="20"/>
  <c r="AZ30" i="20"/>
  <c r="AY30" i="20"/>
  <c r="AX30" i="20"/>
  <c r="AW30" i="20"/>
  <c r="AV30" i="20"/>
  <c r="AU30" i="20"/>
  <c r="AT30"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AZ29" i="20"/>
  <c r="AY29" i="20"/>
  <c r="AX29" i="20"/>
  <c r="AW29" i="20"/>
  <c r="AV29" i="20"/>
  <c r="AU29" i="20"/>
  <c r="AT29" i="20"/>
  <c r="AS29" i="20"/>
  <c r="AR29" i="20"/>
  <c r="AQ29" i="20"/>
  <c r="AP29" i="20"/>
  <c r="AO29" i="20"/>
  <c r="AN29" i="20"/>
  <c r="AM29" i="20"/>
  <c r="AL29" i="20"/>
  <c r="AK29" i="20"/>
  <c r="AJ29" i="20"/>
  <c r="AI29" i="20"/>
  <c r="AH29" i="20"/>
  <c r="AG29" i="20"/>
  <c r="AF29" i="20"/>
  <c r="AE29" i="20"/>
  <c r="AD29" i="20"/>
  <c r="AC29" i="20"/>
  <c r="AB29" i="20"/>
  <c r="AA29" i="20"/>
  <c r="Z29" i="20"/>
  <c r="Y29" i="20"/>
  <c r="X29" i="20"/>
  <c r="W29" i="20"/>
  <c r="V29" i="20"/>
  <c r="U29" i="20"/>
  <c r="T29" i="20"/>
  <c r="S29" i="20"/>
  <c r="R29" i="20"/>
  <c r="W23" i="20"/>
  <c r="AD22" i="20"/>
  <c r="AE22" i="20" s="1"/>
  <c r="AF22" i="20" s="1"/>
  <c r="AG22" i="20" s="1"/>
  <c r="AH22" i="20" s="1"/>
  <c r="AI22" i="20" s="1"/>
  <c r="AJ22" i="20" s="1"/>
  <c r="AK22" i="20" s="1"/>
  <c r="AL22" i="20" s="1"/>
  <c r="AM22" i="20" s="1"/>
  <c r="AN22" i="20" s="1"/>
  <c r="AO22" i="20" s="1"/>
  <c r="AP22" i="20" s="1"/>
  <c r="AQ22" i="20" s="1"/>
  <c r="AR22" i="20" s="1"/>
  <c r="AS22" i="20" s="1"/>
  <c r="AT22" i="20" s="1"/>
  <c r="AU22" i="20" s="1"/>
  <c r="AV22" i="20" s="1"/>
  <c r="AW22" i="20" s="1"/>
  <c r="AX22" i="20" s="1"/>
  <c r="AY22" i="20" s="1"/>
  <c r="AZ22" i="20" s="1"/>
  <c r="W22" i="20"/>
  <c r="X22" i="20" s="1"/>
  <c r="Y22" i="20" s="1"/>
  <c r="Z22" i="20" s="1"/>
  <c r="AA22" i="20" s="1"/>
  <c r="AB22" i="20" s="1"/>
  <c r="AC22" i="20" s="1"/>
  <c r="AM20" i="20"/>
  <c r="AN20" i="20" s="1"/>
  <c r="AO20" i="20" s="1"/>
  <c r="AP20" i="20" s="1"/>
  <c r="AQ20" i="20" s="1"/>
  <c r="AR20" i="20" s="1"/>
  <c r="AS20" i="20" s="1"/>
  <c r="AT20" i="20" s="1"/>
  <c r="AU20" i="20" s="1"/>
  <c r="AV20" i="20" s="1"/>
  <c r="AW20" i="20" s="1"/>
  <c r="AX20" i="20" s="1"/>
  <c r="AY20" i="20" s="1"/>
  <c r="AZ20" i="20" s="1"/>
  <c r="AE20" i="20"/>
  <c r="AF20" i="20" s="1"/>
  <c r="AG20" i="20" s="1"/>
  <c r="AH20" i="20" s="1"/>
  <c r="AI20" i="20" s="1"/>
  <c r="AJ20" i="20" s="1"/>
  <c r="AK20" i="20" s="1"/>
  <c r="AL20" i="20" s="1"/>
  <c r="W20" i="20"/>
  <c r="X20" i="20" s="1"/>
  <c r="Y20" i="20" s="1"/>
  <c r="Z20" i="20" s="1"/>
  <c r="AA20" i="20" s="1"/>
  <c r="AB20" i="20" s="1"/>
  <c r="AC20" i="20" s="1"/>
  <c r="AD20" i="20" s="1"/>
  <c r="U20" i="20"/>
  <c r="T20" i="20"/>
  <c r="S20" i="20"/>
  <c r="R20" i="20"/>
  <c r="Q20" i="20" s="1"/>
  <c r="P20" i="20" s="1"/>
  <c r="O20" i="20" s="1"/>
  <c r="N20" i="20" s="1"/>
  <c r="M20" i="20" s="1"/>
  <c r="L20" i="20" s="1"/>
  <c r="K20" i="20" s="1"/>
  <c r="J20" i="20" s="1"/>
  <c r="I20" i="20" s="1"/>
  <c r="H20" i="20" s="1"/>
  <c r="G20" i="20" s="1"/>
  <c r="F20" i="20" s="1"/>
  <c r="E20" i="20" s="1"/>
  <c r="D20" i="20" s="1"/>
  <c r="C20" i="20" s="1"/>
  <c r="B20" i="20"/>
  <c r="V19" i="20"/>
  <c r="W19" i="20" s="1"/>
  <c r="W17" i="20"/>
  <c r="AB16" i="20"/>
  <c r="AC16" i="20" s="1"/>
  <c r="AD16" i="20" s="1"/>
  <c r="AE16" i="20" s="1"/>
  <c r="AF16" i="20" s="1"/>
  <c r="AG16" i="20" s="1"/>
  <c r="AH16" i="20" s="1"/>
  <c r="AI16" i="20" s="1"/>
  <c r="AJ16" i="20" s="1"/>
  <c r="AK16" i="20" s="1"/>
  <c r="AL16" i="20" s="1"/>
  <c r="AM16" i="20" s="1"/>
  <c r="AN16" i="20" s="1"/>
  <c r="AO16" i="20" s="1"/>
  <c r="AP16" i="20" s="1"/>
  <c r="AQ16" i="20" s="1"/>
  <c r="AR16" i="20" s="1"/>
  <c r="AS16" i="20" s="1"/>
  <c r="AT16" i="20" s="1"/>
  <c r="AU16" i="20" s="1"/>
  <c r="AV16" i="20" s="1"/>
  <c r="AW16" i="20" s="1"/>
  <c r="AX16" i="20" s="1"/>
  <c r="AY16" i="20" s="1"/>
  <c r="AZ16" i="20" s="1"/>
  <c r="X16" i="20"/>
  <c r="Y16" i="20" s="1"/>
  <c r="Z16" i="20" s="1"/>
  <c r="AA16" i="20" s="1"/>
  <c r="W16" i="20"/>
  <c r="AI15" i="20"/>
  <c r="AJ15" i="20" s="1"/>
  <c r="AK15" i="20" s="1"/>
  <c r="AL15" i="20" s="1"/>
  <c r="AM15" i="20" s="1"/>
  <c r="AN15" i="20" s="1"/>
  <c r="AO15" i="20" s="1"/>
  <c r="AP15" i="20" s="1"/>
  <c r="AQ15" i="20" s="1"/>
  <c r="AR15" i="20" s="1"/>
  <c r="AS15" i="20" s="1"/>
  <c r="AT15" i="20" s="1"/>
  <c r="AU15" i="20" s="1"/>
  <c r="AV15" i="20" s="1"/>
  <c r="AW15" i="20" s="1"/>
  <c r="AX15" i="20" s="1"/>
  <c r="AY15" i="20" s="1"/>
  <c r="AZ15" i="20" s="1"/>
  <c r="AA15" i="20"/>
  <c r="AB15" i="20" s="1"/>
  <c r="AC15" i="20" s="1"/>
  <c r="AD15" i="20" s="1"/>
  <c r="AE15" i="20" s="1"/>
  <c r="AF15" i="20" s="1"/>
  <c r="AG15" i="20" s="1"/>
  <c r="AH15" i="20" s="1"/>
  <c r="W15" i="20"/>
  <c r="X15" i="20" s="1"/>
  <c r="Y15" i="20" s="1"/>
  <c r="Z15" i="20" s="1"/>
  <c r="Y14" i="20"/>
  <c r="X14" i="20"/>
  <c r="W14" i="20"/>
  <c r="V13" i="20"/>
  <c r="V8" i="20"/>
  <c r="V5" i="20"/>
  <c r="W3" i="20"/>
  <c r="X3" i="20" s="1"/>
  <c r="Y3" i="20" s="1"/>
  <c r="Z3" i="20" s="1"/>
  <c r="AA3" i="20" s="1"/>
  <c r="AB3" i="20" s="1"/>
  <c r="AC3" i="20" s="1"/>
  <c r="AD3" i="20" s="1"/>
  <c r="AE3" i="20" s="1"/>
  <c r="AF3" i="20" s="1"/>
  <c r="AG3" i="20" s="1"/>
  <c r="AH3" i="20" s="1"/>
  <c r="AI3" i="20" s="1"/>
  <c r="AJ3" i="20" s="1"/>
  <c r="AK3" i="20" s="1"/>
  <c r="AL3" i="20" s="1"/>
  <c r="AM3" i="20" s="1"/>
  <c r="AN3" i="20" s="1"/>
  <c r="AO3" i="20" s="1"/>
  <c r="AP3" i="20" s="1"/>
  <c r="AQ3" i="20" s="1"/>
  <c r="AR3" i="20" s="1"/>
  <c r="AS3" i="20" s="1"/>
  <c r="AT3" i="20" s="1"/>
  <c r="AU3" i="20" s="1"/>
  <c r="AV3" i="20" s="1"/>
  <c r="AW3" i="20" s="1"/>
  <c r="AX3" i="20" s="1"/>
  <c r="AY3" i="20" s="1"/>
  <c r="AZ3" i="20" s="1"/>
  <c r="U3" i="20"/>
  <c r="T3" i="20" s="1"/>
  <c r="S3" i="20" s="1"/>
  <c r="R3" i="20" s="1"/>
  <c r="Q3" i="20" s="1"/>
  <c r="P3" i="20" s="1"/>
  <c r="O3" i="20" s="1"/>
  <c r="N3" i="20" s="1"/>
  <c r="M3" i="20" s="1"/>
  <c r="L3" i="20" s="1"/>
  <c r="K3" i="20" s="1"/>
  <c r="J3" i="20" s="1"/>
  <c r="I3" i="20" s="1"/>
  <c r="H3" i="20" s="1"/>
  <c r="G3" i="20" s="1"/>
  <c r="F3" i="20" s="1"/>
  <c r="E3" i="20" s="1"/>
  <c r="D3" i="20" s="1"/>
  <c r="C3" i="20" s="1"/>
  <c r="B3" i="20" s="1"/>
  <c r="W2" i="20"/>
  <c r="W71" i="19"/>
  <c r="W70" i="19"/>
  <c r="W69" i="19"/>
  <c r="W68" i="19"/>
  <c r="W67" i="19"/>
  <c r="X66" i="19"/>
  <c r="W66" i="19"/>
  <c r="W65" i="19"/>
  <c r="W64" i="19"/>
  <c r="W63" i="19"/>
  <c r="X62" i="19"/>
  <c r="W62" i="19"/>
  <c r="W61" i="19"/>
  <c r="W60" i="19"/>
  <c r="W59" i="19"/>
  <c r="X58" i="19"/>
  <c r="W58" i="19"/>
  <c r="W57" i="19"/>
  <c r="W56" i="19"/>
  <c r="W55" i="19"/>
  <c r="X54" i="19"/>
  <c r="W54" i="19"/>
  <c r="W53" i="19"/>
  <c r="W52" i="19"/>
  <c r="W51" i="19"/>
  <c r="X50" i="19"/>
  <c r="W50" i="19"/>
  <c r="W49" i="19"/>
  <c r="W48" i="19"/>
  <c r="W47" i="19"/>
  <c r="X46" i="19"/>
  <c r="W46" i="19"/>
  <c r="W45" i="19"/>
  <c r="W44" i="19"/>
  <c r="W43" i="19"/>
  <c r="X42" i="19"/>
  <c r="W42" i="19"/>
  <c r="W41" i="19"/>
  <c r="W40" i="19"/>
  <c r="W39" i="19"/>
  <c r="X38" i="19"/>
  <c r="W38" i="19"/>
  <c r="W36" i="19"/>
  <c r="V34" i="19"/>
  <c r="U34" i="19"/>
  <c r="X33" i="19"/>
  <c r="Y33" i="19" s="1"/>
  <c r="Z33" i="19" s="1"/>
  <c r="AA33" i="19" s="1"/>
  <c r="AB33" i="19" s="1"/>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W33" i="19"/>
  <c r="U33" i="19"/>
  <c r="T33" i="19"/>
  <c r="S33" i="19"/>
  <c r="R33" i="19" s="1"/>
  <c r="Q33" i="19" s="1"/>
  <c r="P33" i="19" s="1"/>
  <c r="O33" i="19" s="1"/>
  <c r="N33" i="19" s="1"/>
  <c r="M33" i="19" s="1"/>
  <c r="L33" i="19" s="1"/>
  <c r="K33" i="19"/>
  <c r="J33" i="19" s="1"/>
  <c r="I33" i="19" s="1"/>
  <c r="V32" i="19"/>
  <c r="V31" i="19"/>
  <c r="AZ30" i="19"/>
  <c r="AY30" i="19"/>
  <c r="AX30" i="19"/>
  <c r="AW30" i="19"/>
  <c r="AV30" i="19"/>
  <c r="AU30" i="19"/>
  <c r="AT30" i="19"/>
  <c r="AS30" i="19"/>
  <c r="AR30" i="19"/>
  <c r="AQ30" i="19"/>
  <c r="AP30" i="19"/>
  <c r="AO30" i="19"/>
  <c r="AN30" i="19"/>
  <c r="AM30" i="19"/>
  <c r="AL30" i="19"/>
  <c r="AK30" i="19"/>
  <c r="AJ30" i="19"/>
  <c r="AI30" i="19"/>
  <c r="AH30" i="19"/>
  <c r="AG30" i="19"/>
  <c r="AF30" i="19"/>
  <c r="AE30" i="19"/>
  <c r="AD30" i="19"/>
  <c r="AC30" i="19"/>
  <c r="AB30" i="19"/>
  <c r="AA30" i="19"/>
  <c r="Z30" i="19"/>
  <c r="Y30" i="19"/>
  <c r="X30" i="19"/>
  <c r="W30" i="19"/>
  <c r="V30" i="19"/>
  <c r="U30" i="19"/>
  <c r="T30" i="19"/>
  <c r="S30" i="19"/>
  <c r="R30" i="19"/>
  <c r="AZ29" i="19"/>
  <c r="AY29" i="19"/>
  <c r="AX29"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W23" i="19"/>
  <c r="AH22" i="19"/>
  <c r="AI22" i="19" s="1"/>
  <c r="AJ22" i="19" s="1"/>
  <c r="AK22" i="19" s="1"/>
  <c r="AL22" i="19" s="1"/>
  <c r="AM22" i="19" s="1"/>
  <c r="AN22" i="19" s="1"/>
  <c r="AO22" i="19" s="1"/>
  <c r="AP22" i="19" s="1"/>
  <c r="AQ22" i="19" s="1"/>
  <c r="AR22" i="19" s="1"/>
  <c r="AS22" i="19" s="1"/>
  <c r="AT22" i="19" s="1"/>
  <c r="AU22" i="19" s="1"/>
  <c r="AV22" i="19" s="1"/>
  <c r="AW22" i="19" s="1"/>
  <c r="AX22" i="19" s="1"/>
  <c r="AY22" i="19" s="1"/>
  <c r="AZ22" i="19" s="1"/>
  <c r="Z22" i="19"/>
  <c r="AA22" i="19" s="1"/>
  <c r="AB22" i="19" s="1"/>
  <c r="AC22" i="19" s="1"/>
  <c r="AD22" i="19" s="1"/>
  <c r="AE22" i="19" s="1"/>
  <c r="AF22" i="19" s="1"/>
  <c r="AG22" i="19" s="1"/>
  <c r="Y22" i="19"/>
  <c r="W22" i="19"/>
  <c r="X22" i="19" s="1"/>
  <c r="AY20" i="19"/>
  <c r="AZ20" i="19" s="1"/>
  <c r="AA20" i="19"/>
  <c r="AB20" i="19" s="1"/>
  <c r="AC20" i="19" s="1"/>
  <c r="AD20" i="19" s="1"/>
  <c r="AE20" i="19" s="1"/>
  <c r="AF20" i="19" s="1"/>
  <c r="AG20" i="19" s="1"/>
  <c r="AH20" i="19" s="1"/>
  <c r="AI20" i="19" s="1"/>
  <c r="AJ20" i="19" s="1"/>
  <c r="AK20" i="19" s="1"/>
  <c r="AL20" i="19" s="1"/>
  <c r="AM20" i="19" s="1"/>
  <c r="AN20" i="19" s="1"/>
  <c r="AO20" i="19" s="1"/>
  <c r="AP20" i="19" s="1"/>
  <c r="AQ20" i="19" s="1"/>
  <c r="AR20" i="19" s="1"/>
  <c r="AS20" i="19" s="1"/>
  <c r="AT20" i="19" s="1"/>
  <c r="AU20" i="19" s="1"/>
  <c r="AV20" i="19" s="1"/>
  <c r="AW20" i="19" s="1"/>
  <c r="AX20" i="19" s="1"/>
  <c r="X20" i="19"/>
  <c r="Y20" i="19" s="1"/>
  <c r="Z20" i="19" s="1"/>
  <c r="W20" i="19"/>
  <c r="U20" i="19"/>
  <c r="T20" i="19"/>
  <c r="S20" i="19"/>
  <c r="R20" i="19" s="1"/>
  <c r="Q20" i="19" s="1"/>
  <c r="P20" i="19" s="1"/>
  <c r="O20" i="19" s="1"/>
  <c r="N20" i="19" s="1"/>
  <c r="M20" i="19" s="1"/>
  <c r="L20" i="19" s="1"/>
  <c r="K20" i="19" s="1"/>
  <c r="J20" i="19" s="1"/>
  <c r="I20" i="19" s="1"/>
  <c r="H20" i="19" s="1"/>
  <c r="G20" i="19" s="1"/>
  <c r="F20" i="19" s="1"/>
  <c r="E20" i="19" s="1"/>
  <c r="D20" i="19" s="1"/>
  <c r="C20" i="19" s="1"/>
  <c r="B20" i="19" s="1"/>
  <c r="V19" i="19"/>
  <c r="W19" i="19" s="1"/>
  <c r="W17" i="19"/>
  <c r="X16" i="19"/>
  <c r="Y16" i="19" s="1"/>
  <c r="Z16" i="19" s="1"/>
  <c r="AA16" i="19" s="1"/>
  <c r="AB16" i="19" s="1"/>
  <c r="AC16" i="19" s="1"/>
  <c r="AD16" i="19" s="1"/>
  <c r="AE16" i="19" s="1"/>
  <c r="AF16" i="19" s="1"/>
  <c r="AG16" i="19" s="1"/>
  <c r="AH16" i="19" s="1"/>
  <c r="AI16" i="19" s="1"/>
  <c r="AJ16" i="19" s="1"/>
  <c r="AK16" i="19" s="1"/>
  <c r="AL16" i="19" s="1"/>
  <c r="AM16" i="19" s="1"/>
  <c r="AN16" i="19" s="1"/>
  <c r="AO16" i="19" s="1"/>
  <c r="AP16" i="19" s="1"/>
  <c r="AQ16" i="19" s="1"/>
  <c r="AR16" i="19" s="1"/>
  <c r="AS16" i="19" s="1"/>
  <c r="AT16" i="19" s="1"/>
  <c r="AU16" i="19" s="1"/>
  <c r="AV16" i="19" s="1"/>
  <c r="AW16" i="19" s="1"/>
  <c r="AX16" i="19" s="1"/>
  <c r="AY16" i="19" s="1"/>
  <c r="AZ16" i="19" s="1"/>
  <c r="W16" i="19"/>
  <c r="W15" i="19"/>
  <c r="X15" i="19" s="1"/>
  <c r="Y15" i="19" s="1"/>
  <c r="Z15" i="19" s="1"/>
  <c r="AA15" i="19" s="1"/>
  <c r="AB15" i="19" s="1"/>
  <c r="AC15" i="19" s="1"/>
  <c r="AD15" i="19" s="1"/>
  <c r="AE15" i="19" s="1"/>
  <c r="AF15" i="19" s="1"/>
  <c r="AG15" i="19" s="1"/>
  <c r="AH15" i="19" s="1"/>
  <c r="AI15" i="19" s="1"/>
  <c r="AJ15" i="19" s="1"/>
  <c r="AK15" i="19" s="1"/>
  <c r="AL15" i="19" s="1"/>
  <c r="AM15" i="19" s="1"/>
  <c r="AN15" i="19" s="1"/>
  <c r="AO15" i="19" s="1"/>
  <c r="AP15" i="19" s="1"/>
  <c r="AQ15" i="19" s="1"/>
  <c r="AR15" i="19" s="1"/>
  <c r="AS15" i="19" s="1"/>
  <c r="AT15" i="19" s="1"/>
  <c r="AU15" i="19" s="1"/>
  <c r="AV15" i="19" s="1"/>
  <c r="AW15" i="19" s="1"/>
  <c r="AX15" i="19" s="1"/>
  <c r="AY15" i="19" s="1"/>
  <c r="AZ15" i="19" s="1"/>
  <c r="X14" i="19"/>
  <c r="Y14" i="19" s="1"/>
  <c r="Z14" i="19" s="1"/>
  <c r="AA14" i="19" s="1"/>
  <c r="AB14" i="19" s="1"/>
  <c r="AC14" i="19" s="1"/>
  <c r="AD14" i="19" s="1"/>
  <c r="AE14" i="19" s="1"/>
  <c r="AF14" i="19" s="1"/>
  <c r="AG14" i="19" s="1"/>
  <c r="AH14" i="19" s="1"/>
  <c r="AI14" i="19" s="1"/>
  <c r="AJ14" i="19" s="1"/>
  <c r="AK14" i="19" s="1"/>
  <c r="AL14" i="19" s="1"/>
  <c r="AM14" i="19" s="1"/>
  <c r="AN14" i="19" s="1"/>
  <c r="AO14" i="19" s="1"/>
  <c r="AP14" i="19" s="1"/>
  <c r="AQ14" i="19" s="1"/>
  <c r="AR14" i="19" s="1"/>
  <c r="AS14" i="19" s="1"/>
  <c r="AT14" i="19" s="1"/>
  <c r="AU14" i="19" s="1"/>
  <c r="AV14" i="19" s="1"/>
  <c r="W14" i="19"/>
  <c r="V13" i="19"/>
  <c r="V5" i="19"/>
  <c r="V8" i="19" s="1"/>
  <c r="AX3" i="19"/>
  <c r="AY3" i="19" s="1"/>
  <c r="AZ3" i="19" s="1"/>
  <c r="Z3" i="19"/>
  <c r="AA3" i="19" s="1"/>
  <c r="AB3" i="19" s="1"/>
  <c r="AC3" i="19" s="1"/>
  <c r="AD3" i="19" s="1"/>
  <c r="AE3" i="19" s="1"/>
  <c r="AF3" i="19" s="1"/>
  <c r="AG3" i="19" s="1"/>
  <c r="AH3" i="19" s="1"/>
  <c r="AI3" i="19" s="1"/>
  <c r="AJ3" i="19" s="1"/>
  <c r="AK3" i="19" s="1"/>
  <c r="AL3" i="19" s="1"/>
  <c r="AM3" i="19" s="1"/>
  <c r="AN3" i="19" s="1"/>
  <c r="AO3" i="19" s="1"/>
  <c r="AP3" i="19" s="1"/>
  <c r="AQ3" i="19" s="1"/>
  <c r="AR3" i="19" s="1"/>
  <c r="AS3" i="19" s="1"/>
  <c r="AT3" i="19" s="1"/>
  <c r="AU3" i="19" s="1"/>
  <c r="AV3" i="19" s="1"/>
  <c r="AW3" i="19" s="1"/>
  <c r="Y3" i="19"/>
  <c r="W3" i="19"/>
  <c r="X3" i="19" s="1"/>
  <c r="U3" i="19"/>
  <c r="T3" i="19"/>
  <c r="S3" i="19" s="1"/>
  <c r="R3" i="19" s="1"/>
  <c r="Q3" i="19" s="1"/>
  <c r="P3" i="19" s="1"/>
  <c r="O3" i="19" s="1"/>
  <c r="N3" i="19" s="1"/>
  <c r="M3" i="19" s="1"/>
  <c r="L3" i="19"/>
  <c r="K3" i="19" s="1"/>
  <c r="J3" i="19" s="1"/>
  <c r="I3" i="19" s="1"/>
  <c r="H3" i="19" s="1"/>
  <c r="G3" i="19" s="1"/>
  <c r="F3" i="19" s="1"/>
  <c r="E3" i="19" s="1"/>
  <c r="D3" i="19" s="1"/>
  <c r="C3" i="19" s="1"/>
  <c r="B3" i="19" s="1"/>
  <c r="W2" i="19"/>
  <c r="W161" i="18"/>
  <c r="X160" i="18"/>
  <c r="W160" i="18"/>
  <c r="W159" i="18"/>
  <c r="W158" i="18"/>
  <c r="W157" i="18"/>
  <c r="W156" i="18"/>
  <c r="W155" i="18"/>
  <c r="W154" i="18"/>
  <c r="W153" i="18"/>
  <c r="X152" i="18"/>
  <c r="W152" i="18"/>
  <c r="W151" i="18"/>
  <c r="W150" i="18"/>
  <c r="W149" i="18"/>
  <c r="W148" i="18"/>
  <c r="W147" i="18"/>
  <c r="W146" i="18"/>
  <c r="W145" i="18"/>
  <c r="X144" i="18"/>
  <c r="W144" i="18"/>
  <c r="W143" i="18"/>
  <c r="W142" i="18"/>
  <c r="W141" i="18"/>
  <c r="W140" i="18"/>
  <c r="W139" i="18"/>
  <c r="X138" i="18"/>
  <c r="W138" i="18"/>
  <c r="W137" i="18"/>
  <c r="W136" i="18"/>
  <c r="W135" i="18"/>
  <c r="W134" i="18"/>
  <c r="W133" i="18"/>
  <c r="X132" i="18"/>
  <c r="W132" i="18"/>
  <c r="W131" i="18"/>
  <c r="W130" i="18"/>
  <c r="W129" i="18"/>
  <c r="W128" i="18"/>
  <c r="W127" i="18"/>
  <c r="W126" i="18"/>
  <c r="W125" i="18"/>
  <c r="X124" i="18"/>
  <c r="W124" i="18"/>
  <c r="W123" i="18"/>
  <c r="W122" i="18"/>
  <c r="W121" i="18"/>
  <c r="W120" i="18"/>
  <c r="W119" i="18"/>
  <c r="X118" i="18"/>
  <c r="W118" i="18"/>
  <c r="W117" i="18"/>
  <c r="X116" i="18"/>
  <c r="W116" i="18"/>
  <c r="W115" i="18"/>
  <c r="Y114" i="18"/>
  <c r="X114" i="18"/>
  <c r="W114" i="18"/>
  <c r="W113" i="18"/>
  <c r="X112" i="18"/>
  <c r="W112" i="18"/>
  <c r="W111" i="18"/>
  <c r="X110" i="18"/>
  <c r="W110" i="18"/>
  <c r="W109" i="18"/>
  <c r="X108" i="18"/>
  <c r="W108" i="18"/>
  <c r="W107" i="18"/>
  <c r="Y106" i="18"/>
  <c r="X106" i="18"/>
  <c r="W106" i="18"/>
  <c r="W105" i="18"/>
  <c r="X104" i="18"/>
  <c r="W104" i="18"/>
  <c r="W103" i="18"/>
  <c r="X102" i="18"/>
  <c r="W102" i="18"/>
  <c r="W101" i="18"/>
  <c r="X100" i="18"/>
  <c r="W100" i="18"/>
  <c r="W99" i="18"/>
  <c r="Y98" i="18"/>
  <c r="X98" i="18"/>
  <c r="W98" i="18"/>
  <c r="W97" i="18"/>
  <c r="X96" i="18"/>
  <c r="W96" i="18"/>
  <c r="W95" i="18"/>
  <c r="X94" i="18"/>
  <c r="W94" i="18"/>
  <c r="W93" i="18"/>
  <c r="X92" i="18"/>
  <c r="W92" i="18"/>
  <c r="W91" i="18"/>
  <c r="Y90" i="18"/>
  <c r="X90" i="18"/>
  <c r="W90" i="18"/>
  <c r="W89" i="18"/>
  <c r="X88" i="18"/>
  <c r="W88" i="18"/>
  <c r="W87" i="18"/>
  <c r="X86" i="18"/>
  <c r="W86" i="18"/>
  <c r="W85" i="18"/>
  <c r="X84" i="18"/>
  <c r="W84" i="18"/>
  <c r="W83" i="18"/>
  <c r="Y82" i="18"/>
  <c r="X82" i="18"/>
  <c r="W82" i="18"/>
  <c r="W81" i="18"/>
  <c r="X80" i="18"/>
  <c r="W80" i="18"/>
  <c r="W79" i="18"/>
  <c r="X78" i="18"/>
  <c r="W78" i="18"/>
  <c r="W77" i="18"/>
  <c r="X76" i="18"/>
  <c r="W76" i="18"/>
  <c r="W75" i="18"/>
  <c r="Y74" i="18"/>
  <c r="X74" i="18"/>
  <c r="W74" i="18"/>
  <c r="W73" i="18"/>
  <c r="X72" i="18"/>
  <c r="W72" i="18"/>
  <c r="W71" i="18"/>
  <c r="X70" i="18"/>
  <c r="W70" i="18"/>
  <c r="W69" i="18"/>
  <c r="X68" i="18"/>
  <c r="W68" i="18"/>
  <c r="W67" i="18"/>
  <c r="Y66" i="18"/>
  <c r="X66" i="18"/>
  <c r="W66" i="18"/>
  <c r="W65" i="18"/>
  <c r="X64" i="18"/>
  <c r="W64" i="18"/>
  <c r="W63" i="18"/>
  <c r="W62" i="18"/>
  <c r="X61" i="18"/>
  <c r="W61" i="18"/>
  <c r="X60" i="18"/>
  <c r="W60" i="18"/>
  <c r="W59" i="18"/>
  <c r="W58" i="18"/>
  <c r="X57" i="18"/>
  <c r="W57" i="18"/>
  <c r="X56" i="18"/>
  <c r="W56" i="18"/>
  <c r="W55" i="18"/>
  <c r="W54" i="18"/>
  <c r="X53" i="18"/>
  <c r="W53" i="18"/>
  <c r="X52" i="18"/>
  <c r="W52" i="18"/>
  <c r="W51" i="18"/>
  <c r="W50" i="18"/>
  <c r="X49" i="18"/>
  <c r="W49" i="18"/>
  <c r="X48" i="18"/>
  <c r="W48" i="18"/>
  <c r="W47" i="18"/>
  <c r="Y46" i="18"/>
  <c r="X46" i="18"/>
  <c r="W46" i="18"/>
  <c r="Y45" i="18"/>
  <c r="X45" i="18"/>
  <c r="W45" i="18"/>
  <c r="W44" i="18"/>
  <c r="W43" i="18"/>
  <c r="Y42" i="18"/>
  <c r="X42" i="18"/>
  <c r="W42" i="18"/>
  <c r="X41" i="18"/>
  <c r="W41" i="18"/>
  <c r="W40" i="18"/>
  <c r="W39" i="18"/>
  <c r="Z38" i="18"/>
  <c r="Y38" i="18"/>
  <c r="X38" i="18"/>
  <c r="W38" i="18"/>
  <c r="V34" i="18"/>
  <c r="Y33" i="18"/>
  <c r="Z33" i="18" s="1"/>
  <c r="AA33" i="18" s="1"/>
  <c r="AB33" i="18" s="1"/>
  <c r="AC33"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X33" i="18"/>
  <c r="W33" i="18"/>
  <c r="U33" i="18"/>
  <c r="T33" i="18"/>
  <c r="S33" i="18" s="1"/>
  <c r="R33" i="18" s="1"/>
  <c r="Q33" i="18"/>
  <c r="P33" i="18" s="1"/>
  <c r="O33" i="18" s="1"/>
  <c r="N33" i="18" s="1"/>
  <c r="M33" i="18" s="1"/>
  <c r="L33" i="18" s="1"/>
  <c r="K33" i="18" s="1"/>
  <c r="J33" i="18" s="1"/>
  <c r="I33" i="18" s="1"/>
  <c r="V32" i="18"/>
  <c r="V31" i="18"/>
  <c r="AZ30" i="18"/>
  <c r="AY30" i="18"/>
  <c r="AX30" i="18"/>
  <c r="AW30" i="18"/>
  <c r="AV30" i="18"/>
  <c r="AU30" i="18"/>
  <c r="AT30" i="18"/>
  <c r="AS30" i="18"/>
  <c r="AR30" i="18"/>
  <c r="AQ30" i="18"/>
  <c r="AP30" i="18"/>
  <c r="AO30" i="18"/>
  <c r="AN30" i="18"/>
  <c r="AM30" i="18"/>
  <c r="AL30" i="18"/>
  <c r="AK30" i="18"/>
  <c r="AJ30" i="18"/>
  <c r="AI30" i="18"/>
  <c r="AH30" i="18"/>
  <c r="AG30" i="18"/>
  <c r="AF30" i="18"/>
  <c r="AE30" i="18"/>
  <c r="AD30" i="18"/>
  <c r="AC30" i="18"/>
  <c r="AB30" i="18"/>
  <c r="AA30" i="18"/>
  <c r="Z30" i="18"/>
  <c r="Y30" i="18"/>
  <c r="X30" i="18"/>
  <c r="W30" i="18"/>
  <c r="V30" i="18"/>
  <c r="U30" i="18"/>
  <c r="T30" i="18"/>
  <c r="S30" i="18"/>
  <c r="R30" i="18"/>
  <c r="AZ29" i="18"/>
  <c r="AY29" i="18"/>
  <c r="AX29" i="18"/>
  <c r="AW29" i="18"/>
  <c r="AV29" i="18"/>
  <c r="AU29" i="18"/>
  <c r="AT29" i="18"/>
  <c r="AS29" i="18"/>
  <c r="AR29" i="18"/>
  <c r="AQ29" i="18"/>
  <c r="AP29" i="18"/>
  <c r="AO29" i="18"/>
  <c r="AN29" i="18"/>
  <c r="AM29" i="18"/>
  <c r="AL29" i="18"/>
  <c r="AK29" i="18"/>
  <c r="AJ29" i="18"/>
  <c r="AI29" i="18"/>
  <c r="AH29" i="18"/>
  <c r="AG29" i="18"/>
  <c r="AF29" i="18"/>
  <c r="AE29" i="18"/>
  <c r="AD29" i="18"/>
  <c r="AC29" i="18"/>
  <c r="AB29" i="18"/>
  <c r="AA29" i="18"/>
  <c r="Z29" i="18"/>
  <c r="Y29" i="18"/>
  <c r="X29" i="18"/>
  <c r="W29" i="18"/>
  <c r="V29" i="18"/>
  <c r="U29" i="18"/>
  <c r="T29" i="18"/>
  <c r="S29" i="18"/>
  <c r="R29" i="18"/>
  <c r="AP22" i="18"/>
  <c r="AQ22" i="18" s="1"/>
  <c r="AR22" i="18" s="1"/>
  <c r="AS22" i="18" s="1"/>
  <c r="AT22" i="18" s="1"/>
  <c r="AU22" i="18" s="1"/>
  <c r="AV22" i="18" s="1"/>
  <c r="AW22" i="18" s="1"/>
  <c r="AX22" i="18" s="1"/>
  <c r="AY22" i="18" s="1"/>
  <c r="AZ22" i="18" s="1"/>
  <c r="AH22" i="18"/>
  <c r="AI22" i="18" s="1"/>
  <c r="AJ22" i="18" s="1"/>
  <c r="AK22" i="18" s="1"/>
  <c r="AL22" i="18" s="1"/>
  <c r="AM22" i="18" s="1"/>
  <c r="AN22" i="18" s="1"/>
  <c r="AO22" i="18" s="1"/>
  <c r="Z22" i="18"/>
  <c r="AA22" i="18" s="1"/>
  <c r="AB22" i="18" s="1"/>
  <c r="AC22" i="18" s="1"/>
  <c r="AD22" i="18" s="1"/>
  <c r="AE22" i="18" s="1"/>
  <c r="AF22" i="18" s="1"/>
  <c r="AG22" i="18" s="1"/>
  <c r="W22" i="18"/>
  <c r="X22" i="18" s="1"/>
  <c r="Y22" i="18" s="1"/>
  <c r="AV20" i="18"/>
  <c r="AW20" i="18" s="1"/>
  <c r="AX20" i="18" s="1"/>
  <c r="AY20" i="18" s="1"/>
  <c r="AZ20" i="18" s="1"/>
  <c r="X20" i="18"/>
  <c r="Y20" i="18" s="1"/>
  <c r="Z20" i="18" s="1"/>
  <c r="AA20" i="18" s="1"/>
  <c r="AB20" i="18" s="1"/>
  <c r="AC20" i="18" s="1"/>
  <c r="AD20" i="18" s="1"/>
  <c r="AE20" i="18" s="1"/>
  <c r="AF20" i="18" s="1"/>
  <c r="AG20" i="18" s="1"/>
  <c r="AH20" i="18" s="1"/>
  <c r="AI20" i="18" s="1"/>
  <c r="AJ20" i="18" s="1"/>
  <c r="AK20" i="18" s="1"/>
  <c r="AL20" i="18" s="1"/>
  <c r="AM20" i="18" s="1"/>
  <c r="AN20" i="18" s="1"/>
  <c r="AO20" i="18" s="1"/>
  <c r="AP20" i="18" s="1"/>
  <c r="AQ20" i="18" s="1"/>
  <c r="AR20" i="18" s="1"/>
  <c r="AS20" i="18" s="1"/>
  <c r="AT20" i="18" s="1"/>
  <c r="AU20" i="18" s="1"/>
  <c r="W20" i="18"/>
  <c r="U20" i="18"/>
  <c r="T20" i="18"/>
  <c r="S20" i="18"/>
  <c r="R20" i="18" s="1"/>
  <c r="Q20" i="18" s="1"/>
  <c r="P20" i="18" s="1"/>
  <c r="O20" i="18" s="1"/>
  <c r="N20" i="18" s="1"/>
  <c r="M20" i="18" s="1"/>
  <c r="L20" i="18" s="1"/>
  <c r="K20" i="18"/>
  <c r="J20" i="18" s="1"/>
  <c r="I20" i="18" s="1"/>
  <c r="H20" i="18" s="1"/>
  <c r="G20" i="18" s="1"/>
  <c r="F20" i="18" s="1"/>
  <c r="E20" i="18" s="1"/>
  <c r="D20" i="18" s="1"/>
  <c r="C20" i="18" s="1"/>
  <c r="B20" i="18" s="1"/>
  <c r="V19" i="18"/>
  <c r="Y16" i="18"/>
  <c r="Z16" i="18" s="1"/>
  <c r="AA16" i="18" s="1"/>
  <c r="AB16" i="18" s="1"/>
  <c r="AC16" i="18" s="1"/>
  <c r="AD16" i="18" s="1"/>
  <c r="AE16" i="18" s="1"/>
  <c r="AF16" i="18" s="1"/>
  <c r="AG16" i="18" s="1"/>
  <c r="AH16" i="18" s="1"/>
  <c r="AI16" i="18" s="1"/>
  <c r="AJ16" i="18" s="1"/>
  <c r="AK16" i="18" s="1"/>
  <c r="AL16" i="18" s="1"/>
  <c r="AM16" i="18" s="1"/>
  <c r="AN16" i="18" s="1"/>
  <c r="AO16" i="18" s="1"/>
  <c r="AP16" i="18" s="1"/>
  <c r="AQ16" i="18" s="1"/>
  <c r="AR16" i="18" s="1"/>
  <c r="AS16" i="18" s="1"/>
  <c r="AT16" i="18" s="1"/>
  <c r="AU16" i="18" s="1"/>
  <c r="AV16" i="18" s="1"/>
  <c r="AW16" i="18" s="1"/>
  <c r="AX16" i="18" s="1"/>
  <c r="AY16" i="18" s="1"/>
  <c r="AZ16" i="18" s="1"/>
  <c r="X16" i="18"/>
  <c r="W16" i="18"/>
  <c r="AM15" i="18"/>
  <c r="AN15" i="18" s="1"/>
  <c r="AO15" i="18" s="1"/>
  <c r="AP15" i="18" s="1"/>
  <c r="AQ15" i="18" s="1"/>
  <c r="AR15" i="18" s="1"/>
  <c r="AS15" i="18" s="1"/>
  <c r="AT15" i="18" s="1"/>
  <c r="AU15" i="18" s="1"/>
  <c r="AV15" i="18" s="1"/>
  <c r="AW15" i="18" s="1"/>
  <c r="AX15" i="18" s="1"/>
  <c r="AY15" i="18" s="1"/>
  <c r="AZ15" i="18" s="1"/>
  <c r="AE15" i="18"/>
  <c r="AF15" i="18" s="1"/>
  <c r="AG15" i="18" s="1"/>
  <c r="AH15" i="18" s="1"/>
  <c r="AI15" i="18" s="1"/>
  <c r="AJ15" i="18" s="1"/>
  <c r="AK15" i="18" s="1"/>
  <c r="AL15" i="18" s="1"/>
  <c r="W15" i="18"/>
  <c r="X15" i="18" s="1"/>
  <c r="Y15" i="18" s="1"/>
  <c r="Z15" i="18" s="1"/>
  <c r="AA15" i="18" s="1"/>
  <c r="AB15" i="18" s="1"/>
  <c r="AC15" i="18" s="1"/>
  <c r="AD15" i="18" s="1"/>
  <c r="Y14" i="18"/>
  <c r="Z14" i="18" s="1"/>
  <c r="X14" i="18"/>
  <c r="W14" i="18"/>
  <c r="V13" i="18"/>
  <c r="V8" i="18"/>
  <c r="V5" i="18"/>
  <c r="W3" i="18"/>
  <c r="X3" i="18" s="1"/>
  <c r="Y3" i="18" s="1"/>
  <c r="Z3" i="18" s="1"/>
  <c r="AA3" i="18" s="1"/>
  <c r="AB3" i="18" s="1"/>
  <c r="AC3" i="18" s="1"/>
  <c r="AD3" i="18" s="1"/>
  <c r="AE3" i="18" s="1"/>
  <c r="AF3" i="18" s="1"/>
  <c r="AG3" i="18" s="1"/>
  <c r="AH3" i="18" s="1"/>
  <c r="AI3" i="18" s="1"/>
  <c r="AJ3" i="18" s="1"/>
  <c r="AK3" i="18" s="1"/>
  <c r="AL3" i="18" s="1"/>
  <c r="AM3" i="18" s="1"/>
  <c r="AN3" i="18" s="1"/>
  <c r="AO3" i="18" s="1"/>
  <c r="AP3" i="18" s="1"/>
  <c r="AQ3" i="18" s="1"/>
  <c r="AR3" i="18" s="1"/>
  <c r="AS3" i="18" s="1"/>
  <c r="AT3" i="18" s="1"/>
  <c r="AU3" i="18" s="1"/>
  <c r="AV3" i="18" s="1"/>
  <c r="AW3" i="18" s="1"/>
  <c r="AX3" i="18" s="1"/>
  <c r="AY3" i="18" s="1"/>
  <c r="AZ3" i="18" s="1"/>
  <c r="U3" i="18"/>
  <c r="T3" i="18" s="1"/>
  <c r="S3" i="18" s="1"/>
  <c r="R3" i="18"/>
  <c r="Q3" i="18" s="1"/>
  <c r="P3" i="18" s="1"/>
  <c r="O3" i="18" s="1"/>
  <c r="N3" i="18" s="1"/>
  <c r="M3" i="18" s="1"/>
  <c r="L3" i="18" s="1"/>
  <c r="K3" i="18" s="1"/>
  <c r="J3" i="18"/>
  <c r="I3" i="18" s="1"/>
  <c r="H3" i="18" s="1"/>
  <c r="G3" i="18" s="1"/>
  <c r="F3" i="18" s="1"/>
  <c r="E3" i="18" s="1"/>
  <c r="D3" i="18" s="1"/>
  <c r="C3" i="18" s="1"/>
  <c r="B3" i="18"/>
  <c r="X70" i="17"/>
  <c r="W70" i="17"/>
  <c r="W69" i="17"/>
  <c r="W68" i="17"/>
  <c r="X67" i="17"/>
  <c r="W67" i="17"/>
  <c r="X66" i="17"/>
  <c r="W66" i="17"/>
  <c r="W65" i="17"/>
  <c r="Y64" i="17"/>
  <c r="X64" i="17"/>
  <c r="W64" i="17"/>
  <c r="Y63" i="17"/>
  <c r="X63" i="17"/>
  <c r="W63" i="17"/>
  <c r="W62" i="17"/>
  <c r="W61" i="17"/>
  <c r="W60" i="17"/>
  <c r="Y59" i="17"/>
  <c r="X59" i="17"/>
  <c r="W59" i="17"/>
  <c r="W58" i="17"/>
  <c r="W57" i="17"/>
  <c r="W56" i="17"/>
  <c r="Y55" i="17"/>
  <c r="X55" i="17"/>
  <c r="W55" i="17"/>
  <c r="W54" i="17"/>
  <c r="W53" i="17"/>
  <c r="W52" i="17"/>
  <c r="Y51" i="17"/>
  <c r="X51" i="17"/>
  <c r="W51" i="17"/>
  <c r="W50" i="17"/>
  <c r="W49" i="17"/>
  <c r="Y48" i="17"/>
  <c r="X48" i="17"/>
  <c r="W48" i="17"/>
  <c r="X47" i="17"/>
  <c r="W47" i="17"/>
  <c r="W46" i="17"/>
  <c r="Y42" i="17"/>
  <c r="Z42" i="17" s="1"/>
  <c r="AA42" i="17" s="1"/>
  <c r="AB42" i="17" s="1"/>
  <c r="AC42" i="17" s="1"/>
  <c r="AD42" i="17" s="1"/>
  <c r="AE42" i="17" s="1"/>
  <c r="AF42" i="17" s="1"/>
  <c r="AG42" i="17" s="1"/>
  <c r="AH42" i="17" s="1"/>
  <c r="AI42" i="17" s="1"/>
  <c r="AJ42" i="17" s="1"/>
  <c r="AK42" i="17" s="1"/>
  <c r="AL42" i="17" s="1"/>
  <c r="AM42" i="17" s="1"/>
  <c r="AN42" i="17" s="1"/>
  <c r="AO42" i="17" s="1"/>
  <c r="AP42" i="17" s="1"/>
  <c r="AQ42" i="17" s="1"/>
  <c r="AR42" i="17" s="1"/>
  <c r="AS42" i="17" s="1"/>
  <c r="AT42" i="17" s="1"/>
  <c r="AU42" i="17" s="1"/>
  <c r="AV42" i="17" s="1"/>
  <c r="AW42" i="17" s="1"/>
  <c r="AX42" i="17" s="1"/>
  <c r="AY42" i="17" s="1"/>
  <c r="AZ42" i="17" s="1"/>
  <c r="X42" i="17"/>
  <c r="V41" i="17"/>
  <c r="Y38" i="17"/>
  <c r="Z38" i="17" s="1"/>
  <c r="AA38" i="17" s="1"/>
  <c r="AB38" i="17" s="1"/>
  <c r="AC38" i="17" s="1"/>
  <c r="AD38" i="17" s="1"/>
  <c r="AE38" i="17" s="1"/>
  <c r="AF38" i="17" s="1"/>
  <c r="AG38" i="17" s="1"/>
  <c r="AH38" i="17" s="1"/>
  <c r="AI38" i="17" s="1"/>
  <c r="AJ38" i="17" s="1"/>
  <c r="AK38" i="17" s="1"/>
  <c r="AL38" i="17" s="1"/>
  <c r="AM38" i="17" s="1"/>
  <c r="AN38" i="17" s="1"/>
  <c r="AO38" i="17" s="1"/>
  <c r="AP38" i="17" s="1"/>
  <c r="AQ38" i="17" s="1"/>
  <c r="AR38" i="17" s="1"/>
  <c r="AS38" i="17" s="1"/>
  <c r="AT38" i="17" s="1"/>
  <c r="AU38" i="17" s="1"/>
  <c r="AV38" i="17" s="1"/>
  <c r="AW38" i="17" s="1"/>
  <c r="AX38" i="17" s="1"/>
  <c r="AY38" i="17" s="1"/>
  <c r="AZ38" i="17" s="1"/>
  <c r="X38" i="17"/>
  <c r="W38" i="17"/>
  <c r="U38" i="17"/>
  <c r="T38" i="17"/>
  <c r="S38" i="17" s="1"/>
  <c r="R38" i="17" s="1"/>
  <c r="Q38" i="17" s="1"/>
  <c r="P38" i="17" s="1"/>
  <c r="O38" i="17" s="1"/>
  <c r="N38" i="17" s="1"/>
  <c r="M38" i="17" s="1"/>
  <c r="L38" i="17"/>
  <c r="K38" i="17" s="1"/>
  <c r="J38" i="17" s="1"/>
  <c r="I38" i="17" s="1"/>
  <c r="V37" i="17"/>
  <c r="V36" i="17"/>
  <c r="AZ35" i="17"/>
  <c r="AY35" i="17"/>
  <c r="AX35" i="17"/>
  <c r="AW35" i="17"/>
  <c r="AV35" i="17"/>
  <c r="AU35" i="17"/>
  <c r="AT35" i="17"/>
  <c r="AS35" i="17"/>
  <c r="AR35" i="17"/>
  <c r="AQ35" i="17"/>
  <c r="AP35" i="17"/>
  <c r="AO35" i="17"/>
  <c r="AN35" i="17"/>
  <c r="AM35" i="17"/>
  <c r="AL35" i="17"/>
  <c r="AK35" i="17"/>
  <c r="AJ35" i="17"/>
  <c r="AI35" i="17"/>
  <c r="AH35" i="17"/>
  <c r="AG35" i="17"/>
  <c r="AF35" i="17"/>
  <c r="AE35" i="17"/>
  <c r="AD35" i="17"/>
  <c r="AC35" i="17"/>
  <c r="AB35" i="17"/>
  <c r="AA35" i="17"/>
  <c r="Z35" i="17"/>
  <c r="Y35" i="17"/>
  <c r="X35" i="17"/>
  <c r="W35" i="17"/>
  <c r="V35" i="17"/>
  <c r="U35" i="17"/>
  <c r="T35" i="17"/>
  <c r="S35" i="17"/>
  <c r="R35" i="17"/>
  <c r="AZ34" i="17"/>
  <c r="AY34" i="17"/>
  <c r="AX34" i="17"/>
  <c r="AW34" i="17"/>
  <c r="AV34" i="17"/>
  <c r="AU34" i="17"/>
  <c r="AT34" i="17"/>
  <c r="AS34" i="17"/>
  <c r="AR34" i="17"/>
  <c r="AQ34" i="17"/>
  <c r="AP34" i="17"/>
  <c r="AO34" i="17"/>
  <c r="AN34" i="17"/>
  <c r="AM34" i="17"/>
  <c r="AL34" i="17"/>
  <c r="AK34" i="17"/>
  <c r="AJ34" i="17"/>
  <c r="AI34" i="17"/>
  <c r="AH34" i="17"/>
  <c r="AG34" i="17"/>
  <c r="AF34" i="17"/>
  <c r="AE34" i="17"/>
  <c r="AD34" i="17"/>
  <c r="AC34" i="17"/>
  <c r="AB34" i="17"/>
  <c r="AA34" i="17"/>
  <c r="Z34" i="17"/>
  <c r="Y34" i="17"/>
  <c r="X34" i="17"/>
  <c r="W34" i="17"/>
  <c r="V34" i="17"/>
  <c r="U34" i="17"/>
  <c r="T34" i="17"/>
  <c r="S34" i="17"/>
  <c r="R34" i="17"/>
  <c r="W27" i="17"/>
  <c r="X27" i="17" s="1"/>
  <c r="Y27" i="17" s="1"/>
  <c r="Z27" i="17" s="1"/>
  <c r="AA27" i="17" s="1"/>
  <c r="AB27" i="17" s="1"/>
  <c r="AC27" i="17" s="1"/>
  <c r="AD27" i="17" s="1"/>
  <c r="AE27" i="17" s="1"/>
  <c r="AF27" i="17" s="1"/>
  <c r="AG27" i="17" s="1"/>
  <c r="AH27" i="17" s="1"/>
  <c r="AI27" i="17" s="1"/>
  <c r="AJ27" i="17" s="1"/>
  <c r="AK27" i="17" s="1"/>
  <c r="AL27" i="17" s="1"/>
  <c r="AM27" i="17" s="1"/>
  <c r="AN27" i="17" s="1"/>
  <c r="AO27" i="17" s="1"/>
  <c r="AP27" i="17" s="1"/>
  <c r="AQ27" i="17" s="1"/>
  <c r="AR27" i="17" s="1"/>
  <c r="AS27" i="17" s="1"/>
  <c r="AT27" i="17" s="1"/>
  <c r="AU27" i="17" s="1"/>
  <c r="AV27" i="17" s="1"/>
  <c r="AW27" i="17" s="1"/>
  <c r="AX27" i="17" s="1"/>
  <c r="AY27" i="17" s="1"/>
  <c r="AZ27" i="17" s="1"/>
  <c r="W25" i="17"/>
  <c r="X25" i="17" s="1"/>
  <c r="Y25" i="17" s="1"/>
  <c r="Z25" i="17" s="1"/>
  <c r="AA25" i="17" s="1"/>
  <c r="AB25" i="17" s="1"/>
  <c r="AC25" i="17" s="1"/>
  <c r="AD25" i="17" s="1"/>
  <c r="AE25" i="17" s="1"/>
  <c r="AF25" i="17" s="1"/>
  <c r="AG25" i="17" s="1"/>
  <c r="AH25" i="17" s="1"/>
  <c r="AI25" i="17" s="1"/>
  <c r="AJ25" i="17" s="1"/>
  <c r="AK25" i="17" s="1"/>
  <c r="AL25" i="17" s="1"/>
  <c r="AM25" i="17" s="1"/>
  <c r="AN25" i="17" s="1"/>
  <c r="AO25" i="17" s="1"/>
  <c r="AP25" i="17" s="1"/>
  <c r="AQ25" i="17" s="1"/>
  <c r="AR25" i="17" s="1"/>
  <c r="AS25" i="17" s="1"/>
  <c r="AT25" i="17" s="1"/>
  <c r="AU25" i="17" s="1"/>
  <c r="AV25" i="17" s="1"/>
  <c r="AW25" i="17" s="1"/>
  <c r="AX25" i="17" s="1"/>
  <c r="AY25" i="17" s="1"/>
  <c r="AZ25" i="17" s="1"/>
  <c r="U25" i="17"/>
  <c r="T25" i="17" s="1"/>
  <c r="S25" i="17" s="1"/>
  <c r="R25" i="17" s="1"/>
  <c r="Q25" i="17" s="1"/>
  <c r="P25" i="17" s="1"/>
  <c r="O25" i="17" s="1"/>
  <c r="N25" i="17"/>
  <c r="M25" i="17" s="1"/>
  <c r="L25" i="17" s="1"/>
  <c r="K25" i="17" s="1"/>
  <c r="J25" i="17" s="1"/>
  <c r="I25" i="17" s="1"/>
  <c r="H25" i="17" s="1"/>
  <c r="G25" i="17" s="1"/>
  <c r="F25" i="17"/>
  <c r="E25" i="17" s="1"/>
  <c r="D25" i="17" s="1"/>
  <c r="C25" i="17" s="1"/>
  <c r="B25" i="17" s="1"/>
  <c r="AI23" i="17"/>
  <c r="AJ23" i="17" s="1"/>
  <c r="AK23" i="17" s="1"/>
  <c r="AL23" i="17" s="1"/>
  <c r="AM23" i="17" s="1"/>
  <c r="AN23" i="17" s="1"/>
  <c r="AO23" i="17" s="1"/>
  <c r="AP23" i="17" s="1"/>
  <c r="AQ23" i="17" s="1"/>
  <c r="AR23" i="17" s="1"/>
  <c r="AS23" i="17" s="1"/>
  <c r="AT23" i="17" s="1"/>
  <c r="AU23" i="17" s="1"/>
  <c r="AV23" i="17" s="1"/>
  <c r="AW23" i="17" s="1"/>
  <c r="AX23" i="17" s="1"/>
  <c r="AY23" i="17" s="1"/>
  <c r="AZ23" i="17" s="1"/>
  <c r="AH23" i="17"/>
  <c r="AG23" i="17"/>
  <c r="W23" i="17"/>
  <c r="X23" i="17" s="1"/>
  <c r="Y23" i="17" s="1"/>
  <c r="Z23" i="17" s="1"/>
  <c r="AA23" i="17" s="1"/>
  <c r="AB23" i="17" s="1"/>
  <c r="AC23" i="17" s="1"/>
  <c r="AD23" i="17" s="1"/>
  <c r="AE23" i="17" s="1"/>
  <c r="AC22" i="17"/>
  <c r="AD22" i="17" s="1"/>
  <c r="AE22" i="17" s="1"/>
  <c r="AF22" i="17" s="1"/>
  <c r="AG22" i="17" s="1"/>
  <c r="AH22" i="17" s="1"/>
  <c r="AI22" i="17" s="1"/>
  <c r="AJ22" i="17" s="1"/>
  <c r="AK22" i="17" s="1"/>
  <c r="AL22" i="17" s="1"/>
  <c r="AM22" i="17" s="1"/>
  <c r="AN22" i="17" s="1"/>
  <c r="AO22" i="17" s="1"/>
  <c r="AP22" i="17" s="1"/>
  <c r="AQ22" i="17" s="1"/>
  <c r="AR22" i="17" s="1"/>
  <c r="AS22" i="17" s="1"/>
  <c r="AT22" i="17" s="1"/>
  <c r="AU22" i="17" s="1"/>
  <c r="AV22" i="17" s="1"/>
  <c r="AW22" i="17" s="1"/>
  <c r="AX22" i="17" s="1"/>
  <c r="AY22" i="17" s="1"/>
  <c r="AZ22" i="17" s="1"/>
  <c r="W22" i="17"/>
  <c r="X22" i="17" s="1"/>
  <c r="Y22" i="17" s="1"/>
  <c r="Z22" i="17" s="1"/>
  <c r="AA22" i="17" s="1"/>
  <c r="U22" i="17"/>
  <c r="T22" i="17" s="1"/>
  <c r="W20" i="17"/>
  <c r="X20" i="17" s="1"/>
  <c r="Y20" i="17" s="1"/>
  <c r="Z20" i="17" s="1"/>
  <c r="AA20" i="17" s="1"/>
  <c r="AB20" i="17" s="1"/>
  <c r="AC20" i="17" s="1"/>
  <c r="AD20" i="17" s="1"/>
  <c r="AE20" i="17" s="1"/>
  <c r="AF20" i="17" s="1"/>
  <c r="AG20" i="17" s="1"/>
  <c r="AH20" i="17" s="1"/>
  <c r="AI20" i="17" s="1"/>
  <c r="AJ20" i="17" s="1"/>
  <c r="AK20" i="17" s="1"/>
  <c r="AL20" i="17" s="1"/>
  <c r="AM20" i="17" s="1"/>
  <c r="AN20" i="17" s="1"/>
  <c r="AO20" i="17" s="1"/>
  <c r="AP20" i="17" s="1"/>
  <c r="AQ20" i="17" s="1"/>
  <c r="AR20" i="17" s="1"/>
  <c r="AS20" i="17" s="1"/>
  <c r="AT20" i="17" s="1"/>
  <c r="AU20" i="17" s="1"/>
  <c r="AV20" i="17" s="1"/>
  <c r="AW20" i="17" s="1"/>
  <c r="AX20" i="17" s="1"/>
  <c r="AY20" i="17" s="1"/>
  <c r="AZ20" i="17" s="1"/>
  <c r="U20" i="17"/>
  <c r="T20" i="17"/>
  <c r="S20" i="17" s="1"/>
  <c r="R20" i="17" s="1"/>
  <c r="Q20" i="17"/>
  <c r="P20" i="17"/>
  <c r="O20" i="17" s="1"/>
  <c r="N20" i="17" s="1"/>
  <c r="M20" i="17" s="1"/>
  <c r="L20" i="17" s="1"/>
  <c r="K20" i="17" s="1"/>
  <c r="J20" i="17" s="1"/>
  <c r="I20" i="17" s="1"/>
  <c r="H20" i="17"/>
  <c r="G20" i="17" s="1"/>
  <c r="F20" i="17" s="1"/>
  <c r="E20" i="17" s="1"/>
  <c r="D20" i="17" s="1"/>
  <c r="C20" i="17" s="1"/>
  <c r="B20" i="17" s="1"/>
  <c r="AG16" i="17"/>
  <c r="AH16" i="17" s="1"/>
  <c r="AI16" i="17" s="1"/>
  <c r="AJ16" i="17" s="1"/>
  <c r="AK16" i="17" s="1"/>
  <c r="AL16" i="17" s="1"/>
  <c r="AM16" i="17" s="1"/>
  <c r="AN16" i="17" s="1"/>
  <c r="AO16" i="17" s="1"/>
  <c r="AP16" i="17" s="1"/>
  <c r="AQ16" i="17" s="1"/>
  <c r="AR16" i="17" s="1"/>
  <c r="AS16" i="17" s="1"/>
  <c r="AT16" i="17" s="1"/>
  <c r="AU16" i="17" s="1"/>
  <c r="AV16" i="17" s="1"/>
  <c r="AW16" i="17" s="1"/>
  <c r="AX16" i="17" s="1"/>
  <c r="AY16" i="17" s="1"/>
  <c r="AZ16" i="17" s="1"/>
  <c r="Y16" i="17"/>
  <c r="Z16" i="17" s="1"/>
  <c r="AA16" i="17" s="1"/>
  <c r="AB16" i="17" s="1"/>
  <c r="AC16" i="17" s="1"/>
  <c r="AD16" i="17" s="1"/>
  <c r="AE16" i="17" s="1"/>
  <c r="AF16" i="17" s="1"/>
  <c r="X16" i="17"/>
  <c r="W16" i="17"/>
  <c r="W15" i="17"/>
  <c r="X15" i="17" s="1"/>
  <c r="Y15" i="17" s="1"/>
  <c r="Z15" i="17" s="1"/>
  <c r="AA15" i="17" s="1"/>
  <c r="AB15" i="17" s="1"/>
  <c r="AC15" i="17" s="1"/>
  <c r="AD15" i="17" s="1"/>
  <c r="AE15" i="17" s="1"/>
  <c r="AF15" i="17" s="1"/>
  <c r="AG15" i="17" s="1"/>
  <c r="AH15" i="17" s="1"/>
  <c r="AI15" i="17" s="1"/>
  <c r="AJ15" i="17" s="1"/>
  <c r="AK15" i="17" s="1"/>
  <c r="AL15" i="17" s="1"/>
  <c r="AM15" i="17" s="1"/>
  <c r="AN15" i="17" s="1"/>
  <c r="AO15" i="17" s="1"/>
  <c r="AP15" i="17" s="1"/>
  <c r="AQ15" i="17" s="1"/>
  <c r="AR15" i="17" s="1"/>
  <c r="AS15" i="17" s="1"/>
  <c r="AT15" i="17" s="1"/>
  <c r="AU15" i="17" s="1"/>
  <c r="AV15" i="17" s="1"/>
  <c r="AW15" i="17" s="1"/>
  <c r="AX15" i="17" s="1"/>
  <c r="AY15" i="17" s="1"/>
  <c r="AZ15" i="17" s="1"/>
  <c r="Y14" i="17"/>
  <c r="Z14" i="17" s="1"/>
  <c r="AA14" i="17" s="1"/>
  <c r="AB14" i="17" s="1"/>
  <c r="AC14" i="17" s="1"/>
  <c r="AD14" i="17" s="1"/>
  <c r="AE14" i="17" s="1"/>
  <c r="AF14" i="17" s="1"/>
  <c r="AG14" i="17" s="1"/>
  <c r="AH14" i="17" s="1"/>
  <c r="AI14" i="17" s="1"/>
  <c r="AJ14" i="17" s="1"/>
  <c r="AK14" i="17" s="1"/>
  <c r="AL14" i="17" s="1"/>
  <c r="AM14" i="17" s="1"/>
  <c r="AN14" i="17" s="1"/>
  <c r="AO14" i="17" s="1"/>
  <c r="AP14" i="17" s="1"/>
  <c r="AQ14" i="17" s="1"/>
  <c r="AR14" i="17" s="1"/>
  <c r="AS14" i="17" s="1"/>
  <c r="AT14" i="17" s="1"/>
  <c r="AU14" i="17" s="1"/>
  <c r="AV14" i="17" s="1"/>
  <c r="AW14" i="17" s="1"/>
  <c r="AX14" i="17" s="1"/>
  <c r="AY14" i="17" s="1"/>
  <c r="AZ14" i="17" s="1"/>
  <c r="W14" i="17"/>
  <c r="X14" i="17" s="1"/>
  <c r="V13" i="17"/>
  <c r="V8" i="17"/>
  <c r="V5" i="17"/>
  <c r="W3" i="17"/>
  <c r="X3" i="17" s="1"/>
  <c r="Y3" i="17" s="1"/>
  <c r="Z3" i="17" s="1"/>
  <c r="AA3" i="17" s="1"/>
  <c r="AB3" i="17" s="1"/>
  <c r="AC3" i="17" s="1"/>
  <c r="AD3" i="17" s="1"/>
  <c r="AE3" i="17" s="1"/>
  <c r="AF3" i="17" s="1"/>
  <c r="AG3" i="17" s="1"/>
  <c r="AH3" i="17" s="1"/>
  <c r="AI3" i="17" s="1"/>
  <c r="AJ3" i="17" s="1"/>
  <c r="AK3" i="17" s="1"/>
  <c r="AL3" i="17" s="1"/>
  <c r="AM3" i="17" s="1"/>
  <c r="AN3" i="17" s="1"/>
  <c r="AO3" i="17" s="1"/>
  <c r="AP3" i="17" s="1"/>
  <c r="AQ3" i="17" s="1"/>
  <c r="AR3" i="17" s="1"/>
  <c r="AS3" i="17" s="1"/>
  <c r="AT3" i="17" s="1"/>
  <c r="AU3" i="17" s="1"/>
  <c r="AV3" i="17" s="1"/>
  <c r="AW3" i="17" s="1"/>
  <c r="AX3" i="17" s="1"/>
  <c r="AY3" i="17" s="1"/>
  <c r="AZ3" i="17" s="1"/>
  <c r="U3" i="17"/>
  <c r="T3" i="17" s="1"/>
  <c r="S3" i="17" s="1"/>
  <c r="R3" i="17" s="1"/>
  <c r="Q3" i="17" s="1"/>
  <c r="P3" i="17" s="1"/>
  <c r="O3" i="17" s="1"/>
  <c r="N3" i="17" s="1"/>
  <c r="M3" i="17" s="1"/>
  <c r="L3" i="17" s="1"/>
  <c r="K3" i="17" s="1"/>
  <c r="J3" i="17" s="1"/>
  <c r="I3" i="17" s="1"/>
  <c r="H3" i="17" s="1"/>
  <c r="G3" i="17" s="1"/>
  <c r="F3" i="17" s="1"/>
  <c r="E3" i="17" s="1"/>
  <c r="D3" i="17" s="1"/>
  <c r="C3" i="17" s="1"/>
  <c r="B3" i="17" s="1"/>
  <c r="W69" i="16"/>
  <c r="W68" i="16"/>
  <c r="X67" i="16"/>
  <c r="W67" i="16"/>
  <c r="W66" i="16"/>
  <c r="W65" i="16"/>
  <c r="W64" i="16"/>
  <c r="X63" i="16"/>
  <c r="W63" i="16"/>
  <c r="W62" i="16"/>
  <c r="W61" i="16"/>
  <c r="W60" i="16"/>
  <c r="X59" i="16"/>
  <c r="W59" i="16"/>
  <c r="W58" i="16"/>
  <c r="W57" i="16"/>
  <c r="W56" i="16"/>
  <c r="X55" i="16"/>
  <c r="W55" i="16"/>
  <c r="W54" i="16"/>
  <c r="W53" i="16"/>
  <c r="W52" i="16"/>
  <c r="X51" i="16"/>
  <c r="W51" i="16"/>
  <c r="W50" i="16"/>
  <c r="W49" i="16"/>
  <c r="W48" i="16"/>
  <c r="V44" i="16"/>
  <c r="AW43" i="16"/>
  <c r="AX43" i="16" s="1"/>
  <c r="AY43" i="16" s="1"/>
  <c r="AZ43" i="16" s="1"/>
  <c r="W43" i="16"/>
  <c r="X43" i="16" s="1"/>
  <c r="Y43" i="16" s="1"/>
  <c r="Z43" i="16" s="1"/>
  <c r="AA43" i="16" s="1"/>
  <c r="AB43" i="16" s="1"/>
  <c r="AC43" i="16" s="1"/>
  <c r="AD43" i="16" s="1"/>
  <c r="AE43" i="16" s="1"/>
  <c r="AF43" i="16" s="1"/>
  <c r="AG43" i="16" s="1"/>
  <c r="AH43" i="16" s="1"/>
  <c r="AI43" i="16" s="1"/>
  <c r="AJ43" i="16" s="1"/>
  <c r="AK43" i="16" s="1"/>
  <c r="AL43" i="16" s="1"/>
  <c r="AM43" i="16" s="1"/>
  <c r="AN43" i="16" s="1"/>
  <c r="AO43" i="16" s="1"/>
  <c r="AP43" i="16" s="1"/>
  <c r="AQ43" i="16" s="1"/>
  <c r="AR43" i="16" s="1"/>
  <c r="AS43" i="16" s="1"/>
  <c r="AT43" i="16" s="1"/>
  <c r="AU43" i="16" s="1"/>
  <c r="AV43" i="16" s="1"/>
  <c r="U43" i="16"/>
  <c r="T43" i="16"/>
  <c r="S43" i="16" s="1"/>
  <c r="R43" i="16" s="1"/>
  <c r="Q43" i="16" s="1"/>
  <c r="P43" i="16"/>
  <c r="O43" i="16" s="1"/>
  <c r="N43" i="16" s="1"/>
  <c r="M43" i="16" s="1"/>
  <c r="L43" i="16"/>
  <c r="K43" i="16" s="1"/>
  <c r="J43" i="16" s="1"/>
  <c r="I43" i="16" s="1"/>
  <c r="V42" i="16"/>
  <c r="V41" i="16"/>
  <c r="AZ40" i="16"/>
  <c r="AY40" i="16"/>
  <c r="AX40" i="16"/>
  <c r="AW40" i="16"/>
  <c r="AV40" i="16"/>
  <c r="AU40" i="16"/>
  <c r="AT40" i="16"/>
  <c r="AS40" i="16"/>
  <c r="AR40" i="16"/>
  <c r="AQ40" i="16"/>
  <c r="AP40" i="16"/>
  <c r="AO40" i="16"/>
  <c r="AN40" i="16"/>
  <c r="AM40" i="16"/>
  <c r="AL40" i="16"/>
  <c r="AK40" i="16"/>
  <c r="AJ40" i="16"/>
  <c r="AI40" i="16"/>
  <c r="AH40" i="16"/>
  <c r="AG40" i="16"/>
  <c r="AF40" i="16"/>
  <c r="AE40" i="16"/>
  <c r="AD40" i="16"/>
  <c r="AC40" i="16"/>
  <c r="AB40" i="16"/>
  <c r="AA40" i="16"/>
  <c r="Z40" i="16"/>
  <c r="Y40" i="16"/>
  <c r="X40" i="16"/>
  <c r="W40" i="16"/>
  <c r="V40" i="16"/>
  <c r="U40" i="16"/>
  <c r="T40" i="16"/>
  <c r="S40" i="16"/>
  <c r="R40" i="16"/>
  <c r="AZ39" i="16"/>
  <c r="AY39" i="16"/>
  <c r="AX39" i="16"/>
  <c r="AW39" i="16"/>
  <c r="AV39" i="16"/>
  <c r="AU39" i="16"/>
  <c r="AT39" i="16"/>
  <c r="AS39" i="16"/>
  <c r="AR39" i="16"/>
  <c r="AQ39" i="16"/>
  <c r="AP39" i="16"/>
  <c r="AO39" i="16"/>
  <c r="AN39" i="16"/>
  <c r="AM39" i="16"/>
  <c r="AL39" i="16"/>
  <c r="AK39" i="16"/>
  <c r="AJ39" i="16"/>
  <c r="AI39" i="16"/>
  <c r="AH39" i="16"/>
  <c r="AG39" i="16"/>
  <c r="AF39" i="16"/>
  <c r="AE39" i="16"/>
  <c r="AD39" i="16"/>
  <c r="AC39" i="16"/>
  <c r="AB39" i="16"/>
  <c r="AA39" i="16"/>
  <c r="Z39" i="16"/>
  <c r="Y39" i="16"/>
  <c r="X39" i="16"/>
  <c r="W39" i="16"/>
  <c r="V39" i="16"/>
  <c r="U39" i="16"/>
  <c r="T39" i="16"/>
  <c r="S39" i="16"/>
  <c r="R39" i="16"/>
  <c r="Z28" i="16"/>
  <c r="AA28" i="16" s="1"/>
  <c r="AB28" i="16" s="1"/>
  <c r="AC28" i="16" s="1"/>
  <c r="AD28" i="16" s="1"/>
  <c r="AE28" i="16" s="1"/>
  <c r="AF28" i="16" s="1"/>
  <c r="AG28" i="16" s="1"/>
  <c r="AH28" i="16" s="1"/>
  <c r="AI28" i="16" s="1"/>
  <c r="AJ28" i="16" s="1"/>
  <c r="AK28" i="16" s="1"/>
  <c r="AL28" i="16" s="1"/>
  <c r="AM28" i="16" s="1"/>
  <c r="AN28" i="16" s="1"/>
  <c r="AO28" i="16" s="1"/>
  <c r="AP28" i="16" s="1"/>
  <c r="AQ28" i="16" s="1"/>
  <c r="AR28" i="16" s="1"/>
  <c r="AS28" i="16" s="1"/>
  <c r="AT28" i="16" s="1"/>
  <c r="AU28" i="16" s="1"/>
  <c r="AV28" i="16" s="1"/>
  <c r="AW28" i="16" s="1"/>
  <c r="AX28" i="16" s="1"/>
  <c r="AY28" i="16" s="1"/>
  <c r="AZ28" i="16" s="1"/>
  <c r="W28" i="16"/>
  <c r="X28" i="16" s="1"/>
  <c r="Y28" i="16" s="1"/>
  <c r="AR27" i="16"/>
  <c r="AS27" i="16" s="1"/>
  <c r="AT27" i="16" s="1"/>
  <c r="AU27" i="16" s="1"/>
  <c r="AV27" i="16" s="1"/>
  <c r="AW27" i="16" s="1"/>
  <c r="AX27" i="16" s="1"/>
  <c r="AY27" i="16" s="1"/>
  <c r="AZ27" i="16" s="1"/>
  <c r="AB27" i="16"/>
  <c r="AC27" i="16" s="1"/>
  <c r="AD27" i="16" s="1"/>
  <c r="AE27" i="16" s="1"/>
  <c r="AF27" i="16" s="1"/>
  <c r="AG27" i="16" s="1"/>
  <c r="AH27" i="16" s="1"/>
  <c r="AI27" i="16" s="1"/>
  <c r="AJ27" i="16" s="1"/>
  <c r="AK27" i="16" s="1"/>
  <c r="AL27" i="16" s="1"/>
  <c r="AM27" i="16" s="1"/>
  <c r="AN27" i="16" s="1"/>
  <c r="AO27" i="16" s="1"/>
  <c r="AP27" i="16" s="1"/>
  <c r="AQ27" i="16" s="1"/>
  <c r="X27" i="16"/>
  <c r="Y27" i="16" s="1"/>
  <c r="Z27" i="16" s="1"/>
  <c r="AA27" i="16" s="1"/>
  <c r="W27" i="16"/>
  <c r="U27" i="16"/>
  <c r="T27" i="16"/>
  <c r="S27" i="16"/>
  <c r="R27" i="16" s="1"/>
  <c r="Q27" i="16" s="1"/>
  <c r="P27" i="16" s="1"/>
  <c r="O27" i="16"/>
  <c r="N27" i="16" s="1"/>
  <c r="M27" i="16" s="1"/>
  <c r="L27" i="16" s="1"/>
  <c r="K27" i="16"/>
  <c r="J27" i="16" s="1"/>
  <c r="I27" i="16" s="1"/>
  <c r="H27" i="16" s="1"/>
  <c r="G27" i="16"/>
  <c r="F27" i="16" s="1"/>
  <c r="E27" i="16" s="1"/>
  <c r="D27" i="16" s="1"/>
  <c r="C27" i="16" s="1"/>
  <c r="B27" i="16" s="1"/>
  <c r="W24" i="16"/>
  <c r="X24" i="16" s="1"/>
  <c r="Y24" i="16" s="1"/>
  <c r="Z24" i="16" s="1"/>
  <c r="AA24" i="16" s="1"/>
  <c r="AB24" i="16" s="1"/>
  <c r="AC24" i="16" s="1"/>
  <c r="AD24" i="16" s="1"/>
  <c r="AE24" i="16" s="1"/>
  <c r="AF24" i="16" s="1"/>
  <c r="AG24" i="16" s="1"/>
  <c r="AH24" i="16" s="1"/>
  <c r="AI24" i="16" s="1"/>
  <c r="AJ24" i="16" s="1"/>
  <c r="AK24" i="16" s="1"/>
  <c r="AL24" i="16" s="1"/>
  <c r="AM24" i="16" s="1"/>
  <c r="AN24" i="16" s="1"/>
  <c r="AO24" i="16" s="1"/>
  <c r="AP24" i="16" s="1"/>
  <c r="AQ24" i="16" s="1"/>
  <c r="AR24" i="16" s="1"/>
  <c r="AS24" i="16" s="1"/>
  <c r="AT24" i="16" s="1"/>
  <c r="AU24" i="16" s="1"/>
  <c r="AV24" i="16" s="1"/>
  <c r="AW24" i="16" s="1"/>
  <c r="AX24" i="16" s="1"/>
  <c r="AY24" i="16" s="1"/>
  <c r="AZ24" i="16" s="1"/>
  <c r="AF23" i="16"/>
  <c r="AG23" i="16" s="1"/>
  <c r="AH23" i="16" s="1"/>
  <c r="AI23" i="16" s="1"/>
  <c r="AJ23" i="16" s="1"/>
  <c r="AK23" i="16" s="1"/>
  <c r="AL23" i="16" s="1"/>
  <c r="AM23" i="16" s="1"/>
  <c r="AN23" i="16" s="1"/>
  <c r="AO23" i="16" s="1"/>
  <c r="AP23" i="16" s="1"/>
  <c r="AQ23" i="16" s="1"/>
  <c r="AR23" i="16" s="1"/>
  <c r="AS23" i="16" s="1"/>
  <c r="AT23" i="16" s="1"/>
  <c r="AU23" i="16" s="1"/>
  <c r="AV23" i="16" s="1"/>
  <c r="AW23" i="16" s="1"/>
  <c r="AX23" i="16" s="1"/>
  <c r="AY23" i="16" s="1"/>
  <c r="AZ23" i="16" s="1"/>
  <c r="X23" i="16"/>
  <c r="Y23" i="16" s="1"/>
  <c r="Z23" i="16" s="1"/>
  <c r="AA23" i="16" s="1"/>
  <c r="AB23" i="16" s="1"/>
  <c r="AC23" i="16" s="1"/>
  <c r="AD23" i="16" s="1"/>
  <c r="AE23" i="16" s="1"/>
  <c r="W23" i="16"/>
  <c r="U23" i="16"/>
  <c r="T23" i="16"/>
  <c r="S23" i="16"/>
  <c r="R23" i="16" s="1"/>
  <c r="Q23" i="16" s="1"/>
  <c r="P23" i="16" s="1"/>
  <c r="O23" i="16"/>
  <c r="N23" i="16" s="1"/>
  <c r="M23" i="16" s="1"/>
  <c r="L23" i="16" s="1"/>
  <c r="K23" i="16"/>
  <c r="J23" i="16" s="1"/>
  <c r="I23" i="16" s="1"/>
  <c r="H23" i="16" s="1"/>
  <c r="G23" i="16" s="1"/>
  <c r="F23" i="16" s="1"/>
  <c r="E23" i="16" s="1"/>
  <c r="D23" i="16" s="1"/>
  <c r="C23" i="16" s="1"/>
  <c r="B23" i="16" s="1"/>
  <c r="AT21" i="16"/>
  <c r="AU21" i="16" s="1"/>
  <c r="AV21" i="16" s="1"/>
  <c r="AW21" i="16" s="1"/>
  <c r="AX21" i="16" s="1"/>
  <c r="AY21" i="16" s="1"/>
  <c r="AZ21" i="16" s="1"/>
  <c r="W21" i="16"/>
  <c r="X21" i="16" s="1"/>
  <c r="Y21" i="16" s="1"/>
  <c r="Z21" i="16" s="1"/>
  <c r="AA21" i="16" s="1"/>
  <c r="AB21" i="16" s="1"/>
  <c r="AC21" i="16" s="1"/>
  <c r="AD21" i="16" s="1"/>
  <c r="AE21" i="16" s="1"/>
  <c r="AF21" i="16" s="1"/>
  <c r="AG21" i="16" s="1"/>
  <c r="AH21" i="16" s="1"/>
  <c r="AI21" i="16" s="1"/>
  <c r="AJ21" i="16" s="1"/>
  <c r="AK21" i="16" s="1"/>
  <c r="AL21" i="16" s="1"/>
  <c r="AM21" i="16" s="1"/>
  <c r="AN21" i="16" s="1"/>
  <c r="AO21" i="16" s="1"/>
  <c r="AP21" i="16" s="1"/>
  <c r="AQ21" i="16" s="1"/>
  <c r="AR21" i="16" s="1"/>
  <c r="AS21" i="16" s="1"/>
  <c r="U21" i="16"/>
  <c r="T21" i="16" s="1"/>
  <c r="S21" i="16" s="1"/>
  <c r="R21" i="16" s="1"/>
  <c r="Q21" i="16"/>
  <c r="P21" i="16" s="1"/>
  <c r="O21" i="16" s="1"/>
  <c r="N21" i="16" s="1"/>
  <c r="M21" i="16" s="1"/>
  <c r="L21" i="16" s="1"/>
  <c r="K21" i="16" s="1"/>
  <c r="J21" i="16" s="1"/>
  <c r="I21" i="16" s="1"/>
  <c r="H21" i="16" s="1"/>
  <c r="G21" i="16" s="1"/>
  <c r="F21" i="16" s="1"/>
  <c r="E21" i="16" s="1"/>
  <c r="D21" i="16" s="1"/>
  <c r="C21" i="16" s="1"/>
  <c r="B21" i="16" s="1"/>
  <c r="V17" i="16"/>
  <c r="V16" i="16"/>
  <c r="V7" i="16"/>
  <c r="V10" i="16" s="1"/>
  <c r="X5" i="16"/>
  <c r="Y5" i="16" s="1"/>
  <c r="Z5" i="16" s="1"/>
  <c r="AA5" i="16" s="1"/>
  <c r="AB5" i="16" s="1"/>
  <c r="AC5" i="16" s="1"/>
  <c r="AD5" i="16" s="1"/>
  <c r="AE5" i="16" s="1"/>
  <c r="AF5" i="16" s="1"/>
  <c r="AG5" i="16" s="1"/>
  <c r="AH5" i="16" s="1"/>
  <c r="AI5" i="16" s="1"/>
  <c r="AJ5" i="16" s="1"/>
  <c r="AK5" i="16" s="1"/>
  <c r="AL5" i="16" s="1"/>
  <c r="AM5" i="16" s="1"/>
  <c r="AN5" i="16" s="1"/>
  <c r="AO5" i="16" s="1"/>
  <c r="AP5" i="16" s="1"/>
  <c r="AQ5" i="16" s="1"/>
  <c r="AR5" i="16" s="1"/>
  <c r="AS5" i="16" s="1"/>
  <c r="AT5" i="16" s="1"/>
  <c r="AU5" i="16" s="1"/>
  <c r="AV5" i="16" s="1"/>
  <c r="AW5" i="16" s="1"/>
  <c r="AX5" i="16" s="1"/>
  <c r="AY5" i="16" s="1"/>
  <c r="AZ5" i="16" s="1"/>
  <c r="W5" i="16"/>
  <c r="W4" i="16"/>
  <c r="X4" i="16" s="1"/>
  <c r="Y4" i="16" s="1"/>
  <c r="Z4" i="16" s="1"/>
  <c r="AA4" i="16" s="1"/>
  <c r="AB4" i="16" s="1"/>
  <c r="AC4" i="16" s="1"/>
  <c r="AD4" i="16" s="1"/>
  <c r="AE4" i="16" s="1"/>
  <c r="AF4" i="16" s="1"/>
  <c r="AG4" i="16" s="1"/>
  <c r="AH4" i="16" s="1"/>
  <c r="AI4" i="16" s="1"/>
  <c r="AJ4" i="16" s="1"/>
  <c r="AK4" i="16" s="1"/>
  <c r="AL4" i="16" s="1"/>
  <c r="AM4" i="16" s="1"/>
  <c r="AN4" i="16" s="1"/>
  <c r="AO4" i="16" s="1"/>
  <c r="AP4" i="16" s="1"/>
  <c r="AQ4" i="16" s="1"/>
  <c r="AR4" i="16" s="1"/>
  <c r="AS4" i="16" s="1"/>
  <c r="AT4" i="16" s="1"/>
  <c r="AU4" i="16" s="1"/>
  <c r="AV4" i="16" s="1"/>
  <c r="AW4" i="16" s="1"/>
  <c r="AX4" i="16" s="1"/>
  <c r="AY4" i="16" s="1"/>
  <c r="AZ4" i="16" s="1"/>
  <c r="U2" i="16"/>
  <c r="T2" i="16" s="1"/>
  <c r="S2" i="16" s="1"/>
  <c r="R2" i="16" s="1"/>
  <c r="Q2" i="16" s="1"/>
  <c r="P2" i="16" s="1"/>
  <c r="O2" i="16" s="1"/>
  <c r="N2" i="16" s="1"/>
  <c r="M2" i="16" s="1"/>
  <c r="L2" i="16" s="1"/>
  <c r="K2" i="16" s="1"/>
  <c r="J2" i="16" s="1"/>
  <c r="I2" i="16" s="1"/>
  <c r="H2" i="16" s="1"/>
  <c r="G2" i="16" s="1"/>
  <c r="F2" i="16" s="1"/>
  <c r="E2" i="16" s="1"/>
  <c r="D2" i="16" s="1"/>
  <c r="C2" i="16" s="1"/>
  <c r="B2" i="16" s="1"/>
  <c r="W76" i="15"/>
  <c r="X75" i="15"/>
  <c r="W75" i="15"/>
  <c r="W74" i="15"/>
  <c r="W73" i="15"/>
  <c r="W72" i="15"/>
  <c r="X71" i="15"/>
  <c r="W71" i="15"/>
  <c r="W70" i="15"/>
  <c r="W69" i="15"/>
  <c r="W68" i="15"/>
  <c r="X67" i="15"/>
  <c r="W67" i="15"/>
  <c r="W66" i="15"/>
  <c r="W65" i="15"/>
  <c r="W64" i="15"/>
  <c r="X63" i="15"/>
  <c r="W63" i="15"/>
  <c r="W62" i="15"/>
  <c r="W61" i="15"/>
  <c r="W60" i="15"/>
  <c r="X59" i="15"/>
  <c r="W59" i="15"/>
  <c r="W58" i="15"/>
  <c r="W57" i="15"/>
  <c r="W56" i="15"/>
  <c r="X55" i="15"/>
  <c r="W55" i="15"/>
  <c r="W54" i="15"/>
  <c r="W53" i="15"/>
  <c r="W52" i="15"/>
  <c r="X51" i="15"/>
  <c r="W51" i="15"/>
  <c r="W50" i="15"/>
  <c r="W49" i="15"/>
  <c r="W48" i="15"/>
  <c r="X47" i="15"/>
  <c r="W47" i="15"/>
  <c r="W46" i="15"/>
  <c r="W45" i="15"/>
  <c r="W44" i="15"/>
  <c r="X43" i="15"/>
  <c r="W43" i="15"/>
  <c r="W42" i="15"/>
  <c r="W41" i="15"/>
  <c r="W40" i="15"/>
  <c r="AX36" i="15"/>
  <c r="AY36" i="15" s="1"/>
  <c r="AZ36" i="15" s="1"/>
  <c r="Z36" i="15"/>
  <c r="AA36" i="15" s="1"/>
  <c r="AB36" i="15" s="1"/>
  <c r="AC36" i="15" s="1"/>
  <c r="AD36" i="15" s="1"/>
  <c r="AE36" i="15" s="1"/>
  <c r="AF36" i="15" s="1"/>
  <c r="AG36" i="15" s="1"/>
  <c r="AH36" i="15" s="1"/>
  <c r="AI36" i="15" s="1"/>
  <c r="AJ36" i="15" s="1"/>
  <c r="AK36" i="15" s="1"/>
  <c r="AL36" i="15" s="1"/>
  <c r="AM36" i="15" s="1"/>
  <c r="AN36" i="15" s="1"/>
  <c r="AO36" i="15" s="1"/>
  <c r="AP36" i="15" s="1"/>
  <c r="AQ36" i="15" s="1"/>
  <c r="AR36" i="15" s="1"/>
  <c r="AS36" i="15" s="1"/>
  <c r="AT36" i="15" s="1"/>
  <c r="AU36" i="15" s="1"/>
  <c r="AV36" i="15" s="1"/>
  <c r="AW36" i="15" s="1"/>
  <c r="W36" i="15"/>
  <c r="X36" i="15" s="1"/>
  <c r="Y36" i="15" s="1"/>
  <c r="V36" i="15"/>
  <c r="W35" i="15"/>
  <c r="X35" i="15" s="1"/>
  <c r="Y35" i="15" s="1"/>
  <c r="Z35" i="15" s="1"/>
  <c r="AA35" i="15" s="1"/>
  <c r="AB35" i="15" s="1"/>
  <c r="AC35" i="15" s="1"/>
  <c r="AD35" i="15" s="1"/>
  <c r="AE35" i="15" s="1"/>
  <c r="AF35" i="15" s="1"/>
  <c r="AG35" i="15" s="1"/>
  <c r="AH35" i="15" s="1"/>
  <c r="AI35" i="15" s="1"/>
  <c r="AJ35" i="15" s="1"/>
  <c r="AK35" i="15" s="1"/>
  <c r="AL35" i="15" s="1"/>
  <c r="AM35" i="15" s="1"/>
  <c r="AN35" i="15" s="1"/>
  <c r="AO35" i="15" s="1"/>
  <c r="AP35" i="15" s="1"/>
  <c r="AQ35" i="15" s="1"/>
  <c r="AR35" i="15" s="1"/>
  <c r="AS35" i="15" s="1"/>
  <c r="AT35" i="15" s="1"/>
  <c r="AU35" i="15" s="1"/>
  <c r="AV35" i="15" s="1"/>
  <c r="AW35" i="15" s="1"/>
  <c r="AX35" i="15" s="1"/>
  <c r="AY35" i="15" s="1"/>
  <c r="AZ35" i="15" s="1"/>
  <c r="U35" i="15"/>
  <c r="T35" i="15" s="1"/>
  <c r="S35" i="15" s="1"/>
  <c r="R35" i="15" s="1"/>
  <c r="Q35" i="15" s="1"/>
  <c r="P35" i="15" s="1"/>
  <c r="O35" i="15" s="1"/>
  <c r="N35" i="15" s="1"/>
  <c r="M35" i="15" s="1"/>
  <c r="L35" i="15" s="1"/>
  <c r="K35" i="15" s="1"/>
  <c r="J35" i="15" s="1"/>
  <c r="I35" i="15" s="1"/>
  <c r="V34" i="15"/>
  <c r="V33" i="15"/>
  <c r="AZ32" i="15"/>
  <c r="AY32" i="15"/>
  <c r="AX32" i="15"/>
  <c r="AW32" i="15"/>
  <c r="AV32" i="15"/>
  <c r="AU32" i="15"/>
  <c r="AT32" i="15"/>
  <c r="AS32" i="15"/>
  <c r="AR32" i="15"/>
  <c r="AQ32" i="15"/>
  <c r="AP32" i="15"/>
  <c r="AO32" i="15"/>
  <c r="AN32" i="15"/>
  <c r="AM32" i="15"/>
  <c r="AL32" i="15"/>
  <c r="AK32" i="15"/>
  <c r="AJ32" i="15"/>
  <c r="AI32" i="15"/>
  <c r="AH32" i="15"/>
  <c r="AG32" i="15"/>
  <c r="AF32" i="15"/>
  <c r="AE32" i="15"/>
  <c r="AD32" i="15"/>
  <c r="AC32" i="15"/>
  <c r="AB32" i="15"/>
  <c r="AA32" i="15"/>
  <c r="Z32" i="15"/>
  <c r="Y32" i="15"/>
  <c r="X32" i="15"/>
  <c r="W32" i="15"/>
  <c r="V32" i="15"/>
  <c r="U32" i="15"/>
  <c r="T32" i="15"/>
  <c r="S32" i="15"/>
  <c r="R32" i="15"/>
  <c r="AZ31" i="15"/>
  <c r="AY31" i="15"/>
  <c r="AX31" i="15"/>
  <c r="AW31" i="15"/>
  <c r="AV31" i="15"/>
  <c r="AU31" i="15"/>
  <c r="AT31" i="15"/>
  <c r="AS31" i="15"/>
  <c r="AR31" i="15"/>
  <c r="AQ31" i="15"/>
  <c r="AP31" i="15"/>
  <c r="AO31" i="15"/>
  <c r="AN31" i="15"/>
  <c r="AM31" i="15"/>
  <c r="AL31" i="15"/>
  <c r="AK31" i="15"/>
  <c r="AJ31" i="15"/>
  <c r="AI31" i="15"/>
  <c r="AH31" i="15"/>
  <c r="AG31" i="15"/>
  <c r="AF31" i="15"/>
  <c r="AE31" i="15"/>
  <c r="AD31" i="15"/>
  <c r="AC31" i="15"/>
  <c r="AB31" i="15"/>
  <c r="AA31" i="15"/>
  <c r="Z31" i="15"/>
  <c r="Y31" i="15"/>
  <c r="X31" i="15"/>
  <c r="W31" i="15"/>
  <c r="V31" i="15"/>
  <c r="U31" i="15"/>
  <c r="T31" i="15"/>
  <c r="S31" i="15"/>
  <c r="R31" i="15"/>
  <c r="AH24" i="15"/>
  <c r="AI24" i="15" s="1"/>
  <c r="AJ24" i="15" s="1"/>
  <c r="AK24" i="15" s="1"/>
  <c r="AL24" i="15" s="1"/>
  <c r="AM24" i="15" s="1"/>
  <c r="AN24" i="15" s="1"/>
  <c r="AO24" i="15" s="1"/>
  <c r="AP24" i="15" s="1"/>
  <c r="AQ24" i="15" s="1"/>
  <c r="AR24" i="15" s="1"/>
  <c r="AS24" i="15" s="1"/>
  <c r="AT24" i="15" s="1"/>
  <c r="AU24" i="15" s="1"/>
  <c r="AV24" i="15" s="1"/>
  <c r="AW24" i="15" s="1"/>
  <c r="AX24" i="15" s="1"/>
  <c r="AY24" i="15" s="1"/>
  <c r="AZ24" i="15" s="1"/>
  <c r="Z24" i="15"/>
  <c r="AA24" i="15" s="1"/>
  <c r="AB24" i="15" s="1"/>
  <c r="AC24" i="15" s="1"/>
  <c r="AD24" i="15" s="1"/>
  <c r="AE24" i="15" s="1"/>
  <c r="AF24" i="15" s="1"/>
  <c r="AG24" i="15" s="1"/>
  <c r="W24" i="15"/>
  <c r="X24" i="15" s="1"/>
  <c r="Y24" i="15" s="1"/>
  <c r="AN23" i="15"/>
  <c r="AO23" i="15" s="1"/>
  <c r="AP23" i="15" s="1"/>
  <c r="AQ23" i="15" s="1"/>
  <c r="AR23" i="15" s="1"/>
  <c r="AS23" i="15" s="1"/>
  <c r="AT23" i="15" s="1"/>
  <c r="AU23" i="15" s="1"/>
  <c r="AV23" i="15" s="1"/>
  <c r="AW23" i="15" s="1"/>
  <c r="AX23" i="15" s="1"/>
  <c r="AY23" i="15" s="1"/>
  <c r="AZ23" i="15" s="1"/>
  <c r="X23" i="15"/>
  <c r="Y23" i="15" s="1"/>
  <c r="Z23" i="15" s="1"/>
  <c r="AA23" i="15" s="1"/>
  <c r="AB23" i="15" s="1"/>
  <c r="AC23" i="15" s="1"/>
  <c r="AD23" i="15" s="1"/>
  <c r="AE23" i="15" s="1"/>
  <c r="AF23" i="15" s="1"/>
  <c r="AG23" i="15" s="1"/>
  <c r="AH23" i="15" s="1"/>
  <c r="AI23" i="15" s="1"/>
  <c r="AJ23" i="15" s="1"/>
  <c r="AK23" i="15" s="1"/>
  <c r="AL23" i="15" s="1"/>
  <c r="AM23" i="15" s="1"/>
  <c r="W23" i="15"/>
  <c r="U23" i="15"/>
  <c r="T23" i="15"/>
  <c r="S23" i="15"/>
  <c r="R23" i="15" s="1"/>
  <c r="Q23" i="15" s="1"/>
  <c r="P23" i="15" s="1"/>
  <c r="O23" i="15" s="1"/>
  <c r="N23" i="15" s="1"/>
  <c r="M23" i="15" s="1"/>
  <c r="L23" i="15" s="1"/>
  <c r="K23" i="15"/>
  <c r="J23" i="15" s="1"/>
  <c r="I23" i="15" s="1"/>
  <c r="H23" i="15" s="1"/>
  <c r="G23" i="15" s="1"/>
  <c r="F23" i="15" s="1"/>
  <c r="E23" i="15" s="1"/>
  <c r="D23" i="15" s="1"/>
  <c r="C23" i="15"/>
  <c r="B23" i="15" s="1"/>
  <c r="W22" i="15"/>
  <c r="X22" i="15" s="1"/>
  <c r="W20" i="15"/>
  <c r="X20" i="15" s="1"/>
  <c r="Y20" i="15" s="1"/>
  <c r="Z20" i="15" s="1"/>
  <c r="AA20" i="15" s="1"/>
  <c r="AB20" i="15" s="1"/>
  <c r="AC20" i="15" s="1"/>
  <c r="AD20" i="15" s="1"/>
  <c r="AE20" i="15" s="1"/>
  <c r="AF20" i="15" s="1"/>
  <c r="AG20" i="15" s="1"/>
  <c r="AH20" i="15" s="1"/>
  <c r="AI20" i="15" s="1"/>
  <c r="AJ20" i="15" s="1"/>
  <c r="AK20" i="15" s="1"/>
  <c r="AL20" i="15" s="1"/>
  <c r="AM20" i="15" s="1"/>
  <c r="AN20" i="15" s="1"/>
  <c r="AO20" i="15" s="1"/>
  <c r="AP20" i="15" s="1"/>
  <c r="AQ20" i="15" s="1"/>
  <c r="AR20" i="15" s="1"/>
  <c r="AS20" i="15" s="1"/>
  <c r="AT20" i="15" s="1"/>
  <c r="AU20" i="15" s="1"/>
  <c r="AV20" i="15" s="1"/>
  <c r="AW20" i="15" s="1"/>
  <c r="AX20" i="15" s="1"/>
  <c r="AY20" i="15" s="1"/>
  <c r="AZ20" i="15" s="1"/>
  <c r="AZ19" i="15"/>
  <c r="X19" i="15"/>
  <c r="Y19" i="15" s="1"/>
  <c r="Z19" i="15" s="1"/>
  <c r="AA19" i="15" s="1"/>
  <c r="AB19" i="15" s="1"/>
  <c r="AC19" i="15" s="1"/>
  <c r="AD19" i="15" s="1"/>
  <c r="AE19" i="15" s="1"/>
  <c r="AF19" i="15" s="1"/>
  <c r="AG19" i="15" s="1"/>
  <c r="AH19" i="15" s="1"/>
  <c r="AI19" i="15" s="1"/>
  <c r="AJ19" i="15" s="1"/>
  <c r="AK19" i="15" s="1"/>
  <c r="AL19" i="15" s="1"/>
  <c r="AM19" i="15" s="1"/>
  <c r="AN19" i="15" s="1"/>
  <c r="AO19" i="15" s="1"/>
  <c r="AP19" i="15" s="1"/>
  <c r="AQ19" i="15" s="1"/>
  <c r="AR19" i="15" s="1"/>
  <c r="AS19" i="15" s="1"/>
  <c r="AT19" i="15" s="1"/>
  <c r="AU19" i="15" s="1"/>
  <c r="AV19" i="15" s="1"/>
  <c r="AW19" i="15" s="1"/>
  <c r="AX19" i="15" s="1"/>
  <c r="AY19" i="15" s="1"/>
  <c r="W19" i="15"/>
  <c r="W18" i="15"/>
  <c r="V17" i="15"/>
  <c r="V16" i="15"/>
  <c r="V10" i="15"/>
  <c r="AF5" i="15"/>
  <c r="AG5" i="15" s="1"/>
  <c r="AH5" i="15" s="1"/>
  <c r="AI5" i="15" s="1"/>
  <c r="AJ5" i="15" s="1"/>
  <c r="AK5" i="15" s="1"/>
  <c r="AL5" i="15" s="1"/>
  <c r="AM5" i="15" s="1"/>
  <c r="AN5" i="15" s="1"/>
  <c r="AO5" i="15" s="1"/>
  <c r="AP5" i="15" s="1"/>
  <c r="AQ5" i="15" s="1"/>
  <c r="AR5" i="15" s="1"/>
  <c r="AS5" i="15" s="1"/>
  <c r="AT5" i="15" s="1"/>
  <c r="AU5" i="15" s="1"/>
  <c r="AV5" i="15" s="1"/>
  <c r="AW5" i="15" s="1"/>
  <c r="AX5" i="15" s="1"/>
  <c r="AY5" i="15" s="1"/>
  <c r="AZ5" i="15" s="1"/>
  <c r="X5" i="15"/>
  <c r="Y5" i="15" s="1"/>
  <c r="Z5" i="15" s="1"/>
  <c r="AA5" i="15" s="1"/>
  <c r="AB5" i="15" s="1"/>
  <c r="AC5" i="15" s="1"/>
  <c r="AD5" i="15" s="1"/>
  <c r="AE5" i="15" s="1"/>
  <c r="W5" i="15"/>
  <c r="W4" i="15"/>
  <c r="X4" i="15" s="1"/>
  <c r="Y4" i="15" s="1"/>
  <c r="Z4" i="15" s="1"/>
  <c r="AA4" i="15" s="1"/>
  <c r="AB4" i="15" s="1"/>
  <c r="AC4" i="15" s="1"/>
  <c r="AD4" i="15" s="1"/>
  <c r="AE4" i="15" s="1"/>
  <c r="AF4" i="15" s="1"/>
  <c r="AG4" i="15" s="1"/>
  <c r="AH4" i="15" s="1"/>
  <c r="AI4" i="15" s="1"/>
  <c r="AJ4" i="15" s="1"/>
  <c r="AK4" i="15" s="1"/>
  <c r="AL4" i="15" s="1"/>
  <c r="AM4" i="15" s="1"/>
  <c r="AN4" i="15" s="1"/>
  <c r="AO4" i="15" s="1"/>
  <c r="AP4" i="15" s="1"/>
  <c r="AQ4" i="15" s="1"/>
  <c r="AR4" i="15" s="1"/>
  <c r="AS4" i="15" s="1"/>
  <c r="AT4" i="15" s="1"/>
  <c r="AU4" i="15" s="1"/>
  <c r="AV4" i="15" s="1"/>
  <c r="AW4" i="15" s="1"/>
  <c r="AX4" i="15" s="1"/>
  <c r="AY4" i="15" s="1"/>
  <c r="AZ4" i="15" s="1"/>
  <c r="W3" i="15"/>
  <c r="X3" i="15" s="1"/>
  <c r="Y3" i="15" s="1"/>
  <c r="Z3" i="15" s="1"/>
  <c r="X207" i="14"/>
  <c r="W207" i="14"/>
  <c r="X206" i="14"/>
  <c r="W206" i="14"/>
  <c r="W205" i="14"/>
  <c r="W204" i="14"/>
  <c r="X203" i="14"/>
  <c r="W203" i="14"/>
  <c r="X202" i="14"/>
  <c r="W202" i="14"/>
  <c r="W201" i="14"/>
  <c r="W200" i="14"/>
  <c r="X199" i="14"/>
  <c r="W199" i="14"/>
  <c r="X198" i="14"/>
  <c r="W198" i="14"/>
  <c r="W197" i="14"/>
  <c r="W196" i="14"/>
  <c r="X195" i="14"/>
  <c r="W195" i="14"/>
  <c r="X194" i="14"/>
  <c r="W194" i="14"/>
  <c r="W193" i="14"/>
  <c r="W192" i="14"/>
  <c r="X191" i="14"/>
  <c r="W191" i="14"/>
  <c r="X190" i="14"/>
  <c r="W190" i="14"/>
  <c r="W189" i="14"/>
  <c r="W188" i="14"/>
  <c r="X187" i="14"/>
  <c r="W187" i="14"/>
  <c r="X186" i="14"/>
  <c r="W186" i="14"/>
  <c r="W185" i="14"/>
  <c r="W184" i="14"/>
  <c r="X183" i="14"/>
  <c r="W183" i="14"/>
  <c r="X182" i="14"/>
  <c r="W182" i="14"/>
  <c r="W181" i="14"/>
  <c r="W180" i="14"/>
  <c r="X179" i="14"/>
  <c r="W179" i="14"/>
  <c r="X178" i="14"/>
  <c r="W178" i="14"/>
  <c r="W177" i="14"/>
  <c r="W176" i="14"/>
  <c r="X175" i="14"/>
  <c r="W175" i="14"/>
  <c r="X174" i="14"/>
  <c r="W174" i="14"/>
  <c r="W173" i="14"/>
  <c r="W172" i="14"/>
  <c r="X171" i="14"/>
  <c r="W171" i="14"/>
  <c r="X170" i="14"/>
  <c r="W170" i="14"/>
  <c r="W169" i="14"/>
  <c r="W168" i="14"/>
  <c r="X167" i="14"/>
  <c r="W167" i="14"/>
  <c r="X166" i="14"/>
  <c r="W166" i="14"/>
  <c r="W165" i="14"/>
  <c r="W164" i="14"/>
  <c r="X163" i="14"/>
  <c r="W163" i="14"/>
  <c r="X162" i="14"/>
  <c r="W162" i="14"/>
  <c r="W161" i="14"/>
  <c r="W160" i="14"/>
  <c r="X159" i="14"/>
  <c r="W159" i="14"/>
  <c r="X158" i="14"/>
  <c r="W158" i="14"/>
  <c r="W157" i="14"/>
  <c r="W156" i="14"/>
  <c r="X155" i="14"/>
  <c r="W155" i="14"/>
  <c r="X154" i="14"/>
  <c r="W154" i="14"/>
  <c r="W153" i="14"/>
  <c r="W152" i="14"/>
  <c r="X151" i="14"/>
  <c r="W151" i="14"/>
  <c r="X150" i="14"/>
  <c r="W150" i="14"/>
  <c r="W149" i="14"/>
  <c r="W148" i="14"/>
  <c r="X147" i="14"/>
  <c r="W147" i="14"/>
  <c r="X146" i="14"/>
  <c r="W146" i="14"/>
  <c r="W145" i="14"/>
  <c r="W144" i="14"/>
  <c r="X143" i="14"/>
  <c r="W143" i="14"/>
  <c r="X142" i="14"/>
  <c r="W142" i="14"/>
  <c r="W141" i="14"/>
  <c r="W140" i="14"/>
  <c r="X139" i="14"/>
  <c r="W139" i="14"/>
  <c r="X138" i="14"/>
  <c r="W138" i="14"/>
  <c r="W137" i="14"/>
  <c r="W136" i="14"/>
  <c r="X135" i="14"/>
  <c r="W135" i="14"/>
  <c r="X134" i="14"/>
  <c r="W134" i="14"/>
  <c r="W133" i="14"/>
  <c r="W132" i="14"/>
  <c r="X131" i="14"/>
  <c r="W131" i="14"/>
  <c r="X130" i="14"/>
  <c r="W130" i="14"/>
  <c r="W129" i="14"/>
  <c r="W128" i="14"/>
  <c r="W124" i="14"/>
  <c r="W123" i="14"/>
  <c r="W122" i="14"/>
  <c r="X121" i="14"/>
  <c r="W121" i="14"/>
  <c r="W120" i="14"/>
  <c r="W119" i="14"/>
  <c r="W118" i="14"/>
  <c r="X117" i="14"/>
  <c r="W117" i="14"/>
  <c r="W116" i="14"/>
  <c r="W115" i="14"/>
  <c r="W114" i="14"/>
  <c r="X113" i="14"/>
  <c r="W113" i="14"/>
  <c r="W112" i="14"/>
  <c r="W111" i="14"/>
  <c r="W110" i="14"/>
  <c r="X109" i="14"/>
  <c r="W109" i="14"/>
  <c r="W108" i="14"/>
  <c r="W107" i="14"/>
  <c r="W106" i="14"/>
  <c r="X105" i="14"/>
  <c r="W105" i="14"/>
  <c r="W104" i="14"/>
  <c r="W103" i="14"/>
  <c r="W102" i="14"/>
  <c r="X101" i="14"/>
  <c r="W101" i="14"/>
  <c r="W100" i="14"/>
  <c r="W99" i="14"/>
  <c r="W98" i="14"/>
  <c r="X97" i="14"/>
  <c r="W97" i="14"/>
  <c r="W96" i="14"/>
  <c r="W95" i="14"/>
  <c r="W94" i="14"/>
  <c r="X93" i="14"/>
  <c r="W93" i="14"/>
  <c r="W92" i="14"/>
  <c r="W91" i="14"/>
  <c r="W90" i="14"/>
  <c r="X89" i="14"/>
  <c r="W89" i="14"/>
  <c r="W88" i="14"/>
  <c r="W87" i="14"/>
  <c r="W86" i="14"/>
  <c r="X85" i="14"/>
  <c r="W85" i="14"/>
  <c r="W84" i="14"/>
  <c r="W83" i="14"/>
  <c r="W82" i="14"/>
  <c r="X81" i="14"/>
  <c r="W81" i="14"/>
  <c r="W80" i="14"/>
  <c r="W79" i="14"/>
  <c r="W78" i="14"/>
  <c r="X77" i="14"/>
  <c r="W77" i="14"/>
  <c r="W76" i="14"/>
  <c r="W75" i="14"/>
  <c r="W74" i="14"/>
  <c r="X73" i="14"/>
  <c r="W73" i="14"/>
  <c r="W72" i="14"/>
  <c r="W71" i="14"/>
  <c r="W70" i="14"/>
  <c r="X69" i="14"/>
  <c r="W69" i="14"/>
  <c r="W68" i="14"/>
  <c r="W67" i="14"/>
  <c r="W66" i="14"/>
  <c r="X65" i="14"/>
  <c r="W65" i="14"/>
  <c r="W64" i="14"/>
  <c r="W63" i="14"/>
  <c r="W62" i="14"/>
  <c r="X61" i="14"/>
  <c r="W61" i="14"/>
  <c r="W60" i="14"/>
  <c r="W59" i="14"/>
  <c r="V53" i="14"/>
  <c r="P53"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C33" i="14" s="1"/>
  <c r="AB52" i="14"/>
  <c r="AA52" i="14"/>
  <c r="Z52" i="14"/>
  <c r="Y52" i="14"/>
  <c r="X52" i="14"/>
  <c r="W52" i="14"/>
  <c r="V52" i="14"/>
  <c r="U52" i="14"/>
  <c r="T52" i="14"/>
  <c r="S52" i="14"/>
  <c r="S33" i="14" s="1"/>
  <c r="R52" i="14"/>
  <c r="R32" i="14" s="1"/>
  <c r="Q52" i="14"/>
  <c r="Q32" i="14" s="1"/>
  <c r="P52" i="14"/>
  <c r="O52" i="14"/>
  <c r="O33" i="14" s="1"/>
  <c r="N52" i="14"/>
  <c r="N32" i="14" s="1"/>
  <c r="M52" i="14"/>
  <c r="M33" i="14" s="1"/>
  <c r="L52" i="14"/>
  <c r="K52" i="14"/>
  <c r="K33" i="14" s="1"/>
  <c r="J52" i="14"/>
  <c r="J32" i="14" s="1"/>
  <c r="I52" i="14"/>
  <c r="I33" i="14" s="1"/>
  <c r="H52" i="14"/>
  <c r="G52" i="14"/>
  <c r="G33" i="14" s="1"/>
  <c r="F52" i="14"/>
  <c r="F32" i="14" s="1"/>
  <c r="E52" i="14"/>
  <c r="E32" i="14" s="1"/>
  <c r="D52" i="14"/>
  <c r="C52" i="14"/>
  <c r="C33" i="14" s="1"/>
  <c r="B52" i="14"/>
  <c r="B32" i="14" s="1"/>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H51" i="14"/>
  <c r="AK50" i="14"/>
  <c r="AL50" i="14" s="1"/>
  <c r="AM50" i="14" s="1"/>
  <c r="AN50" i="14" s="1"/>
  <c r="AO50" i="14" s="1"/>
  <c r="AP50" i="14" s="1"/>
  <c r="AQ50" i="14" s="1"/>
  <c r="AR50" i="14" s="1"/>
  <c r="AS50" i="14" s="1"/>
  <c r="AT50" i="14" s="1"/>
  <c r="AU50" i="14" s="1"/>
  <c r="AV50" i="14" s="1"/>
  <c r="AW50" i="14" s="1"/>
  <c r="AX50" i="14" s="1"/>
  <c r="AY50" i="14" s="1"/>
  <c r="AZ50" i="14" s="1"/>
  <c r="W50" i="14"/>
  <c r="X50" i="14" s="1"/>
  <c r="Y50" i="14" s="1"/>
  <c r="Z50" i="14" s="1"/>
  <c r="AA50" i="14" s="1"/>
  <c r="AB50" i="14" s="1"/>
  <c r="AC50" i="14" s="1"/>
  <c r="AD50" i="14" s="1"/>
  <c r="AE50" i="14" s="1"/>
  <c r="AF50" i="14" s="1"/>
  <c r="AG50" i="14" s="1"/>
  <c r="AH50" i="14" s="1"/>
  <c r="AI50" i="14" s="1"/>
  <c r="AJ50" i="14" s="1"/>
  <c r="U50" i="14"/>
  <c r="T50" i="14"/>
  <c r="S50" i="14" s="1"/>
  <c r="R50" i="14" s="1"/>
  <c r="Q50" i="14" s="1"/>
  <c r="P50" i="14" s="1"/>
  <c r="O50" i="14" s="1"/>
  <c r="N50" i="14" s="1"/>
  <c r="M50" i="14" s="1"/>
  <c r="L50" i="14" s="1"/>
  <c r="K50" i="14" s="1"/>
  <c r="J50" i="14" s="1"/>
  <c r="I50" i="14" s="1"/>
  <c r="V49" i="14"/>
  <c r="V48"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N47"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C46" i="14"/>
  <c r="U36" i="14"/>
  <c r="T36" i="14" s="1"/>
  <c r="S36" i="14" s="1"/>
  <c r="R36" i="14" s="1"/>
  <c r="Q36" i="14" s="1"/>
  <c r="P36" i="14" s="1"/>
  <c r="O36" i="14"/>
  <c r="N36" i="14" s="1"/>
  <c r="M36" i="14" s="1"/>
  <c r="L36" i="14" s="1"/>
  <c r="K36" i="14" s="1"/>
  <c r="J36" i="14"/>
  <c r="I36" i="14" s="1"/>
  <c r="H36" i="14" s="1"/>
  <c r="G36" i="14" s="1"/>
  <c r="F36" i="14" s="1"/>
  <c r="E36" i="14" s="1"/>
  <c r="D36" i="14" s="1"/>
  <c r="C36" i="14" s="1"/>
  <c r="B36" i="14" s="1"/>
  <c r="AN35" i="14"/>
  <c r="AO35" i="14" s="1"/>
  <c r="AP35" i="14" s="1"/>
  <c r="AQ35" i="14" s="1"/>
  <c r="AR35" i="14" s="1"/>
  <c r="AS35" i="14" s="1"/>
  <c r="AT35" i="14" s="1"/>
  <c r="AU35" i="14" s="1"/>
  <c r="AV35" i="14" s="1"/>
  <c r="AW35" i="14" s="1"/>
  <c r="AX35" i="14" s="1"/>
  <c r="AY35" i="14" s="1"/>
  <c r="AZ35" i="14" s="1"/>
  <c r="X35" i="14"/>
  <c r="Y35" i="14" s="1"/>
  <c r="Z35" i="14" s="1"/>
  <c r="AA35" i="14" s="1"/>
  <c r="AB35" i="14" s="1"/>
  <c r="AC35" i="14" s="1"/>
  <c r="AD35" i="14" s="1"/>
  <c r="AE35" i="14" s="1"/>
  <c r="AF35" i="14" s="1"/>
  <c r="AG35" i="14" s="1"/>
  <c r="AH35" i="14" s="1"/>
  <c r="AI35" i="14" s="1"/>
  <c r="AJ35" i="14" s="1"/>
  <c r="AK35" i="14" s="1"/>
  <c r="AL35" i="14" s="1"/>
  <c r="AM35" i="14" s="1"/>
  <c r="W35" i="14"/>
  <c r="AH34" i="14"/>
  <c r="AI34" i="14" s="1"/>
  <c r="AJ34" i="14" s="1"/>
  <c r="AK34" i="14" s="1"/>
  <c r="AL34" i="14" s="1"/>
  <c r="AM34" i="14" s="1"/>
  <c r="AN34" i="14" s="1"/>
  <c r="AO34" i="14" s="1"/>
  <c r="AP34" i="14" s="1"/>
  <c r="AQ34" i="14" s="1"/>
  <c r="AR34" i="14" s="1"/>
  <c r="AS34" i="14" s="1"/>
  <c r="AT34" i="14" s="1"/>
  <c r="AU34" i="14" s="1"/>
  <c r="AV34" i="14" s="1"/>
  <c r="AW34" i="14" s="1"/>
  <c r="AX34" i="14" s="1"/>
  <c r="AY34" i="14" s="1"/>
  <c r="AZ34" i="14" s="1"/>
  <c r="AB34" i="14"/>
  <c r="AC34" i="14" s="1"/>
  <c r="AD34" i="14" s="1"/>
  <c r="AE34" i="14" s="1"/>
  <c r="AF34" i="14" s="1"/>
  <c r="AG34" i="14" s="1"/>
  <c r="W34" i="14"/>
  <c r="X34" i="14" s="1"/>
  <c r="Y34" i="14" s="1"/>
  <c r="Z34" i="14" s="1"/>
  <c r="AA34" i="14" s="1"/>
  <c r="T33" i="14"/>
  <c r="R33" i="14"/>
  <c r="Q33" i="14"/>
  <c r="P33" i="14"/>
  <c r="N33" i="14"/>
  <c r="L33" i="14"/>
  <c r="J33" i="14"/>
  <c r="H33" i="14"/>
  <c r="F33" i="14"/>
  <c r="E33" i="14"/>
  <c r="D33" i="14"/>
  <c r="B33" i="14"/>
  <c r="AC32" i="14"/>
  <c r="S32" i="14"/>
  <c r="P32" i="14"/>
  <c r="O32" i="14"/>
  <c r="M32" i="14"/>
  <c r="L32" i="14"/>
  <c r="K32" i="14"/>
  <c r="I32" i="14"/>
  <c r="H32" i="14"/>
  <c r="G32" i="14"/>
  <c r="D32" i="14"/>
  <c r="C32" i="14"/>
  <c r="AD31" i="14"/>
  <c r="AD33" i="14" s="1"/>
  <c r="U31" i="14"/>
  <c r="V31" i="14" s="1"/>
  <c r="T31" i="14"/>
  <c r="AD30" i="14"/>
  <c r="AE30" i="14" s="1"/>
  <c r="AE32" i="14" s="1"/>
  <c r="W30" i="14"/>
  <c r="T30" i="14"/>
  <c r="U30" i="14" s="1"/>
  <c r="V30" i="14" s="1"/>
  <c r="AF29" i="14"/>
  <c r="AG29" i="14" s="1"/>
  <c r="AH29" i="14" s="1"/>
  <c r="AI29" i="14" s="1"/>
  <c r="AJ29" i="14" s="1"/>
  <c r="AK29" i="14" s="1"/>
  <c r="AL29" i="14" s="1"/>
  <c r="AM29" i="14" s="1"/>
  <c r="AN29" i="14" s="1"/>
  <c r="AO29" i="14" s="1"/>
  <c r="AP29" i="14" s="1"/>
  <c r="AQ29" i="14" s="1"/>
  <c r="AR29" i="14" s="1"/>
  <c r="AS29" i="14" s="1"/>
  <c r="AT29" i="14" s="1"/>
  <c r="AU29" i="14" s="1"/>
  <c r="AV29" i="14" s="1"/>
  <c r="AW29" i="14" s="1"/>
  <c r="AX29" i="14" s="1"/>
  <c r="AY29" i="14" s="1"/>
  <c r="AZ29" i="14" s="1"/>
  <c r="AB29" i="14"/>
  <c r="AC29" i="14" s="1"/>
  <c r="AD29" i="14" s="1"/>
  <c r="AE29" i="14" s="1"/>
  <c r="X29" i="14"/>
  <c r="Y29" i="14" s="1"/>
  <c r="Z29" i="14" s="1"/>
  <c r="AA29" i="14" s="1"/>
  <c r="W29" i="14"/>
  <c r="U29" i="14"/>
  <c r="T29" i="14"/>
  <c r="S29" i="14"/>
  <c r="R29" i="14" s="1"/>
  <c r="Q29" i="14" s="1"/>
  <c r="P29" i="14" s="1"/>
  <c r="O29" i="14"/>
  <c r="N29" i="14" s="1"/>
  <c r="M29" i="14" s="1"/>
  <c r="L29" i="14" s="1"/>
  <c r="K29" i="14"/>
  <c r="J29" i="14" s="1"/>
  <c r="I29" i="14" s="1"/>
  <c r="H29" i="14" s="1"/>
  <c r="G29" i="14" s="1"/>
  <c r="F29" i="14" s="1"/>
  <c r="E29" i="14" s="1"/>
  <c r="D29" i="14" s="1"/>
  <c r="C29" i="14" s="1"/>
  <c r="B29" i="14" s="1"/>
  <c r="W26" i="14"/>
  <c r="U22" i="14"/>
  <c r="U21" i="14"/>
  <c r="T21" i="14" s="1"/>
  <c r="S21" i="14" s="1"/>
  <c r="R21" i="14" s="1"/>
  <c r="Q21" i="14"/>
  <c r="P21" i="14" s="1"/>
  <c r="O21" i="14" s="1"/>
  <c r="N21" i="14" s="1"/>
  <c r="M21" i="14" s="1"/>
  <c r="L21" i="14" s="1"/>
  <c r="K21" i="14" s="1"/>
  <c r="J21" i="14" s="1"/>
  <c r="I21" i="14" s="1"/>
  <c r="H21" i="14" s="1"/>
  <c r="G21" i="14" s="1"/>
  <c r="F21" i="14" s="1"/>
  <c r="E21" i="14" s="1"/>
  <c r="D21" i="14" s="1"/>
  <c r="C21" i="14" s="1"/>
  <c r="B21" i="14" s="1"/>
  <c r="U19" i="14"/>
  <c r="T19" i="14"/>
  <c r="S19" i="14"/>
  <c r="R19" i="14" s="1"/>
  <c r="Q19" i="14" s="1"/>
  <c r="P19" i="14" s="1"/>
  <c r="O19" i="14"/>
  <c r="N19" i="14" s="1"/>
  <c r="M19" i="14" s="1"/>
  <c r="L19" i="14" s="1"/>
  <c r="K19" i="14" s="1"/>
  <c r="J19" i="14" s="1"/>
  <c r="I19" i="14" s="1"/>
  <c r="H19" i="14" s="1"/>
  <c r="G19" i="14" s="1"/>
  <c r="F19" i="14" s="1"/>
  <c r="E19" i="14" s="1"/>
  <c r="D19" i="14" s="1"/>
  <c r="C19" i="14" s="1"/>
  <c r="B19" i="14" s="1"/>
  <c r="U18" i="14"/>
  <c r="AZ16" i="14"/>
  <c r="V16" i="14"/>
  <c r="U16" i="14"/>
  <c r="T16" i="14"/>
  <c r="S16" i="14"/>
  <c r="R16" i="14"/>
  <c r="Q16" i="14"/>
  <c r="P16" i="14"/>
  <c r="O16" i="14"/>
  <c r="N16" i="14"/>
  <c r="M16" i="14"/>
  <c r="L16" i="14"/>
  <c r="K16" i="14"/>
  <c r="J16" i="14"/>
  <c r="I16" i="14"/>
  <c r="H16" i="14"/>
  <c r="G16" i="14"/>
  <c r="F16" i="14"/>
  <c r="E16" i="14"/>
  <c r="D16" i="14"/>
  <c r="C16" i="14"/>
  <c r="B16" i="14"/>
  <c r="AZ15" i="14"/>
  <c r="AX15" i="14" s="1"/>
  <c r="AY15" i="14"/>
  <c r="AV15" i="14"/>
  <c r="AU15" i="14"/>
  <c r="AR15" i="14"/>
  <c r="AQ15" i="14"/>
  <c r="AN15" i="14"/>
  <c r="AM15" i="14"/>
  <c r="AJ15" i="14"/>
  <c r="AI15" i="14"/>
  <c r="AF15" i="14"/>
  <c r="AE15" i="14"/>
  <c r="AB15" i="14"/>
  <c r="AA15" i="14"/>
  <c r="X15" i="14"/>
  <c r="W15" i="14"/>
  <c r="V14" i="14"/>
  <c r="V12" i="14"/>
  <c r="V6" i="14"/>
  <c r="V9" i="14" s="1"/>
  <c r="W4" i="14"/>
  <c r="X4" i="14" s="1"/>
  <c r="Y4" i="14" s="1"/>
  <c r="Z4" i="14" s="1"/>
  <c r="AA4" i="14" s="1"/>
  <c r="AB4" i="14" s="1"/>
  <c r="AC4" i="14" s="1"/>
  <c r="AD4" i="14" s="1"/>
  <c r="AE4" i="14" s="1"/>
  <c r="AF4" i="14" s="1"/>
  <c r="AG4" i="14" s="1"/>
  <c r="AH4" i="14" s="1"/>
  <c r="AI4" i="14" s="1"/>
  <c r="AJ4" i="14" s="1"/>
  <c r="AK4" i="14" s="1"/>
  <c r="AL4" i="14" s="1"/>
  <c r="AM4" i="14" s="1"/>
  <c r="AN4" i="14" s="1"/>
  <c r="AO4" i="14" s="1"/>
  <c r="AP4" i="14" s="1"/>
  <c r="AQ4" i="14" s="1"/>
  <c r="AR4" i="14" s="1"/>
  <c r="AS4" i="14" s="1"/>
  <c r="AT4" i="14" s="1"/>
  <c r="AU4" i="14" s="1"/>
  <c r="AV4" i="14" s="1"/>
  <c r="AW4" i="14" s="1"/>
  <c r="AX4" i="14" s="1"/>
  <c r="AY4" i="14" s="1"/>
  <c r="AZ4" i="14" s="1"/>
  <c r="U4" i="14"/>
  <c r="T4" i="14"/>
  <c r="S4" i="14" s="1"/>
  <c r="R4" i="14" s="1"/>
  <c r="Q4" i="14" s="1"/>
  <c r="P4" i="14" s="1"/>
  <c r="O4" i="14" s="1"/>
  <c r="N4" i="14" s="1"/>
  <c r="M4" i="14" s="1"/>
  <c r="L4" i="14" s="1"/>
  <c r="K4" i="14" s="1"/>
  <c r="J4" i="14" s="1"/>
  <c r="I4" i="14" s="1"/>
  <c r="H4" i="14"/>
  <c r="G4" i="14" s="1"/>
  <c r="F4" i="14" s="1"/>
  <c r="E4" i="14" s="1"/>
  <c r="D4" i="14" s="1"/>
  <c r="C4" i="14" s="1"/>
  <c r="B4" i="14" s="1"/>
  <c r="X123" i="13"/>
  <c r="W123" i="13"/>
  <c r="W122" i="13"/>
  <c r="W121" i="13"/>
  <c r="W120" i="13"/>
  <c r="X119" i="13"/>
  <c r="W119" i="13"/>
  <c r="W118" i="13"/>
  <c r="W117" i="13"/>
  <c r="W116" i="13"/>
  <c r="X115" i="13"/>
  <c r="W115" i="13"/>
  <c r="W114" i="13"/>
  <c r="W113" i="13"/>
  <c r="Y112" i="13"/>
  <c r="X112" i="13"/>
  <c r="W112" i="13"/>
  <c r="Y111" i="13"/>
  <c r="X111" i="13"/>
  <c r="W111" i="13"/>
  <c r="W110" i="13"/>
  <c r="W109" i="13"/>
  <c r="Z108" i="13"/>
  <c r="Y108" i="13"/>
  <c r="X108" i="13"/>
  <c r="W108" i="13"/>
  <c r="X107" i="13"/>
  <c r="W107" i="13"/>
  <c r="W106" i="13"/>
  <c r="W105" i="13"/>
  <c r="Z104" i="13"/>
  <c r="Y104" i="13"/>
  <c r="X104" i="13"/>
  <c r="W104" i="13"/>
  <c r="X103" i="13"/>
  <c r="W103" i="13"/>
  <c r="X102" i="13"/>
  <c r="W102" i="13"/>
  <c r="W101" i="13"/>
  <c r="W100" i="13"/>
  <c r="X99" i="13"/>
  <c r="W99" i="13"/>
  <c r="X98" i="13"/>
  <c r="W98" i="13"/>
  <c r="W97" i="13"/>
  <c r="W96" i="13"/>
  <c r="X95" i="13"/>
  <c r="W95" i="13"/>
  <c r="X94" i="13"/>
  <c r="W94" i="13"/>
  <c r="W93" i="13"/>
  <c r="Y92" i="13"/>
  <c r="X92" i="13"/>
  <c r="W92" i="13"/>
  <c r="Y91" i="13"/>
  <c r="X91" i="13"/>
  <c r="W91" i="13"/>
  <c r="X90" i="13"/>
  <c r="W90" i="13"/>
  <c r="W89" i="13"/>
  <c r="Y88" i="13"/>
  <c r="X88" i="13"/>
  <c r="W88" i="13"/>
  <c r="Y87" i="13"/>
  <c r="X87" i="13"/>
  <c r="W87" i="13"/>
  <c r="W86" i="13"/>
  <c r="W85" i="13"/>
  <c r="W84" i="13"/>
  <c r="Y83" i="13"/>
  <c r="X83" i="13"/>
  <c r="W83" i="13"/>
  <c r="W82" i="13"/>
  <c r="W81" i="13"/>
  <c r="W80" i="13"/>
  <c r="Y79" i="13"/>
  <c r="X79" i="13"/>
  <c r="W79" i="13"/>
  <c r="W78" i="13"/>
  <c r="W77" i="13"/>
  <c r="X76" i="13"/>
  <c r="W76" i="13"/>
  <c r="W75" i="13"/>
  <c r="W74" i="13"/>
  <c r="Y73" i="13"/>
  <c r="X73" i="13"/>
  <c r="W73" i="13"/>
  <c r="X72" i="13"/>
  <c r="W72" i="13"/>
  <c r="W71" i="13"/>
  <c r="W70" i="13"/>
  <c r="Y69" i="13"/>
  <c r="X69" i="13"/>
  <c r="W69" i="13"/>
  <c r="X68" i="13"/>
  <c r="W68" i="13"/>
  <c r="W67" i="13"/>
  <c r="W66" i="13"/>
  <c r="Y65" i="13"/>
  <c r="X65" i="13"/>
  <c r="W65" i="13"/>
  <c r="X64" i="13"/>
  <c r="W64" i="13"/>
  <c r="W63" i="13"/>
  <c r="W62" i="13"/>
  <c r="Y61" i="13"/>
  <c r="X61" i="13"/>
  <c r="W61" i="13"/>
  <c r="X60" i="13"/>
  <c r="W60" i="13"/>
  <c r="W59" i="13"/>
  <c r="W58" i="13"/>
  <c r="Y57" i="13"/>
  <c r="X57" i="13"/>
  <c r="W57" i="13"/>
  <c r="X56" i="13"/>
  <c r="W56" i="13"/>
  <c r="W55" i="13"/>
  <c r="W54" i="13"/>
  <c r="Y53" i="13"/>
  <c r="X53" i="13"/>
  <c r="W53" i="13"/>
  <c r="X52" i="13"/>
  <c r="W52" i="13"/>
  <c r="W51" i="13"/>
  <c r="W50" i="13"/>
  <c r="AZ46" i="13"/>
  <c r="AY46" i="13"/>
  <c r="AX46" i="13"/>
  <c r="AW46" i="13"/>
  <c r="AV46" i="13"/>
  <c r="AU46" i="13"/>
  <c r="AT46" i="13"/>
  <c r="AS46" i="13"/>
  <c r="AR46" i="13"/>
  <c r="AQ46" i="13"/>
  <c r="AP46" i="13"/>
  <c r="AO46" i="13"/>
  <c r="AN46" i="13"/>
  <c r="AM46" i="13"/>
  <c r="AL46" i="13"/>
  <c r="AK46" i="13"/>
  <c r="AJ46" i="13"/>
  <c r="AI46" i="13"/>
  <c r="AH46" i="13"/>
  <c r="AG46" i="13"/>
  <c r="AF46" i="13"/>
  <c r="AE46" i="13"/>
  <c r="AD46" i="13"/>
  <c r="AC46" i="13"/>
  <c r="AB46" i="13"/>
  <c r="AA46" i="13"/>
  <c r="Z46" i="13"/>
  <c r="Y46" i="13"/>
  <c r="X46" i="13"/>
  <c r="W46" i="13"/>
  <c r="V46" i="13"/>
  <c r="U46" i="13"/>
  <c r="T46" i="13"/>
  <c r="S46" i="13"/>
  <c r="R46" i="13"/>
  <c r="Q46" i="13"/>
  <c r="P46" i="13"/>
  <c r="O46" i="13"/>
  <c r="N46" i="13"/>
  <c r="M46" i="13"/>
  <c r="L46" i="13"/>
  <c r="K46" i="13"/>
  <c r="J46" i="13"/>
  <c r="V45" i="13"/>
  <c r="R45" i="13" s="1"/>
  <c r="S2" i="13" s="1"/>
  <c r="N45" i="13"/>
  <c r="J45" i="13"/>
  <c r="F45" i="13"/>
  <c r="AS42" i="13"/>
  <c r="AT42" i="13" s="1"/>
  <c r="AU42" i="13" s="1"/>
  <c r="AV42" i="13" s="1"/>
  <c r="AW42" i="13" s="1"/>
  <c r="AX42" i="13" s="1"/>
  <c r="AY42" i="13" s="1"/>
  <c r="AZ42" i="13" s="1"/>
  <c r="AC42" i="13"/>
  <c r="AD42" i="13" s="1"/>
  <c r="AE42" i="13" s="1"/>
  <c r="AF42" i="13" s="1"/>
  <c r="AG42" i="13" s="1"/>
  <c r="AH42" i="13" s="1"/>
  <c r="AI42" i="13" s="1"/>
  <c r="AJ42" i="13" s="1"/>
  <c r="AK42" i="13" s="1"/>
  <c r="AL42" i="13" s="1"/>
  <c r="AM42" i="13" s="1"/>
  <c r="AN42" i="13" s="1"/>
  <c r="AO42" i="13" s="1"/>
  <c r="AP42" i="13" s="1"/>
  <c r="AQ42" i="13" s="1"/>
  <c r="AR42" i="13" s="1"/>
  <c r="Y42" i="13"/>
  <c r="Z42" i="13" s="1"/>
  <c r="AA42" i="13" s="1"/>
  <c r="AB42" i="13" s="1"/>
  <c r="X42" i="13"/>
  <c r="W42" i="13"/>
  <c r="U42" i="13"/>
  <c r="T42" i="13"/>
  <c r="S42" i="13" s="1"/>
  <c r="R42" i="13" s="1"/>
  <c r="Q42" i="13" s="1"/>
  <c r="P42" i="13" s="1"/>
  <c r="O42" i="13" s="1"/>
  <c r="N42" i="13" s="1"/>
  <c r="M42" i="13" s="1"/>
  <c r="L42" i="13" s="1"/>
  <c r="K42" i="13" s="1"/>
  <c r="J42" i="13" s="1"/>
  <c r="I42" i="13" s="1"/>
  <c r="V41" i="13"/>
  <c r="V40" i="13"/>
  <c r="AZ39" i="13"/>
  <c r="AY39" i="13"/>
  <c r="AX39" i="13"/>
  <c r="AW39" i="13"/>
  <c r="AV39" i="13"/>
  <c r="AU39" i="13"/>
  <c r="AT39" i="13"/>
  <c r="AS39" i="13"/>
  <c r="AR39" i="13"/>
  <c r="AQ39" i="13"/>
  <c r="AP39" i="13"/>
  <c r="AO39" i="13"/>
  <c r="AN39" i="13"/>
  <c r="AM39" i="13"/>
  <c r="AL39" i="13"/>
  <c r="AK39" i="13"/>
  <c r="AJ39" i="13"/>
  <c r="AI39" i="13"/>
  <c r="AH39" i="13"/>
  <c r="AG39" i="13"/>
  <c r="AF39" i="13"/>
  <c r="AE39" i="13"/>
  <c r="AD39" i="13"/>
  <c r="AC39" i="13"/>
  <c r="AB39" i="13"/>
  <c r="AA39" i="13"/>
  <c r="Z39" i="13"/>
  <c r="Y39" i="13"/>
  <c r="X39" i="13"/>
  <c r="W39" i="13"/>
  <c r="V39" i="13"/>
  <c r="U39" i="13"/>
  <c r="T39" i="13"/>
  <c r="S39" i="13"/>
  <c r="R39" i="13"/>
  <c r="N39" i="13"/>
  <c r="J39" i="13"/>
  <c r="F39" i="13"/>
  <c r="B39" i="13"/>
  <c r="AZ38" i="13"/>
  <c r="AY38" i="13"/>
  <c r="AX38" i="13"/>
  <c r="AW38" i="13"/>
  <c r="AV38" i="13"/>
  <c r="AU38" i="13"/>
  <c r="AT38" i="13"/>
  <c r="AS38" i="13"/>
  <c r="AR38" i="13"/>
  <c r="AQ38" i="13"/>
  <c r="AP38" i="13"/>
  <c r="AO38" i="13"/>
  <c r="AN38" i="13"/>
  <c r="AM38" i="13"/>
  <c r="AL38" i="13"/>
  <c r="AK38" i="13"/>
  <c r="AJ38" i="13"/>
  <c r="AI38" i="13"/>
  <c r="AH38" i="13"/>
  <c r="AG38" i="13"/>
  <c r="AF38" i="13"/>
  <c r="AE38" i="13"/>
  <c r="AD38" i="13"/>
  <c r="AC38" i="13"/>
  <c r="AB38" i="13"/>
  <c r="AA38" i="13"/>
  <c r="Z38" i="13"/>
  <c r="Y38" i="13"/>
  <c r="X38" i="13"/>
  <c r="W38" i="13"/>
  <c r="V38" i="13"/>
  <c r="U38" i="13"/>
  <c r="T38" i="13"/>
  <c r="S38" i="13"/>
  <c r="R38" i="13"/>
  <c r="Q38" i="13"/>
  <c r="M38" i="13"/>
  <c r="I38" i="13"/>
  <c r="E38" i="13"/>
  <c r="W31" i="13"/>
  <c r="X31" i="13" s="1"/>
  <c r="Y31" i="13" s="1"/>
  <c r="Z31" i="13" s="1"/>
  <c r="AA31" i="13" s="1"/>
  <c r="AB31" i="13" s="1"/>
  <c r="AC31" i="13" s="1"/>
  <c r="AD31" i="13" s="1"/>
  <c r="AE31" i="13" s="1"/>
  <c r="AF31" i="13" s="1"/>
  <c r="AG31" i="13" s="1"/>
  <c r="AH31" i="13" s="1"/>
  <c r="AI31" i="13" s="1"/>
  <c r="AJ31" i="13" s="1"/>
  <c r="AK31" i="13" s="1"/>
  <c r="AL31" i="13" s="1"/>
  <c r="AM31" i="13" s="1"/>
  <c r="AN31" i="13" s="1"/>
  <c r="AO31" i="13" s="1"/>
  <c r="AP31" i="13" s="1"/>
  <c r="AQ31" i="13" s="1"/>
  <c r="AR31" i="13" s="1"/>
  <c r="AS31" i="13" s="1"/>
  <c r="AT31" i="13" s="1"/>
  <c r="AU31" i="13" s="1"/>
  <c r="AV31" i="13" s="1"/>
  <c r="AW31" i="13" s="1"/>
  <c r="AX31" i="13" s="1"/>
  <c r="AY31" i="13" s="1"/>
  <c r="AZ31" i="13" s="1"/>
  <c r="X30" i="13"/>
  <c r="Y30" i="13" s="1"/>
  <c r="Z30" i="13" s="1"/>
  <c r="AA30" i="13" s="1"/>
  <c r="AB30" i="13" s="1"/>
  <c r="AC30" i="13" s="1"/>
  <c r="AD30" i="13" s="1"/>
  <c r="AE30" i="13" s="1"/>
  <c r="AF30" i="13" s="1"/>
  <c r="AG30" i="13" s="1"/>
  <c r="AH30" i="13" s="1"/>
  <c r="AI30" i="13" s="1"/>
  <c r="AJ30" i="13" s="1"/>
  <c r="AK30" i="13" s="1"/>
  <c r="AL30" i="13" s="1"/>
  <c r="AM30" i="13" s="1"/>
  <c r="AN30" i="13" s="1"/>
  <c r="AO30" i="13" s="1"/>
  <c r="AP30" i="13" s="1"/>
  <c r="AQ30" i="13" s="1"/>
  <c r="AR30" i="13" s="1"/>
  <c r="AS30" i="13" s="1"/>
  <c r="AT30" i="13" s="1"/>
  <c r="AU30" i="13" s="1"/>
  <c r="AV30" i="13" s="1"/>
  <c r="AW30" i="13" s="1"/>
  <c r="AX30" i="13" s="1"/>
  <c r="AY30" i="13" s="1"/>
  <c r="AZ30" i="13" s="1"/>
  <c r="W30" i="13"/>
  <c r="AZ29" i="13"/>
  <c r="AY29" i="13"/>
  <c r="AX29" i="13"/>
  <c r="AW29" i="13"/>
  <c r="AV29" i="13"/>
  <c r="AU29" i="13"/>
  <c r="AT29" i="13"/>
  <c r="AS29" i="13"/>
  <c r="AR29" i="13"/>
  <c r="AQ29" i="13"/>
  <c r="AP29" i="13"/>
  <c r="AO29" i="13"/>
  <c r="AN29" i="13"/>
  <c r="AM29" i="13"/>
  <c r="AL29" i="13"/>
  <c r="AK29" i="13"/>
  <c r="AJ29" i="13"/>
  <c r="AI29" i="13"/>
  <c r="AH29" i="13"/>
  <c r="AG29" i="13"/>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B29" i="13"/>
  <c r="AC27" i="13"/>
  <c r="AD27" i="13" s="1"/>
  <c r="AE27" i="13" s="1"/>
  <c r="AF27" i="13" s="1"/>
  <c r="AG27" i="13" s="1"/>
  <c r="AH27" i="13" s="1"/>
  <c r="AI27" i="13" s="1"/>
  <c r="AJ27" i="13" s="1"/>
  <c r="AK27" i="13" s="1"/>
  <c r="AL27" i="13" s="1"/>
  <c r="AM27" i="13" s="1"/>
  <c r="AN27" i="13" s="1"/>
  <c r="AO27" i="13" s="1"/>
  <c r="AP27" i="13" s="1"/>
  <c r="AQ27" i="13" s="1"/>
  <c r="AR27" i="13" s="1"/>
  <c r="AS27" i="13" s="1"/>
  <c r="AT27" i="13" s="1"/>
  <c r="AU27" i="13" s="1"/>
  <c r="AV27" i="13" s="1"/>
  <c r="AW27" i="13" s="1"/>
  <c r="AX27" i="13" s="1"/>
  <c r="AY27" i="13" s="1"/>
  <c r="AZ27" i="13" s="1"/>
  <c r="Y27" i="13"/>
  <c r="Z27" i="13" s="1"/>
  <c r="AA27" i="13" s="1"/>
  <c r="AB27" i="13" s="1"/>
  <c r="X27" i="13"/>
  <c r="W27" i="13"/>
  <c r="W26" i="13"/>
  <c r="V26" i="13"/>
  <c r="U25" i="13"/>
  <c r="AF22" i="13"/>
  <c r="W22" i="13"/>
  <c r="V22" i="13"/>
  <c r="AG21" i="13"/>
  <c r="X21" i="13"/>
  <c r="W21" i="13"/>
  <c r="W20" i="13"/>
  <c r="X20" i="13" s="1"/>
  <c r="Y20" i="13" s="1"/>
  <c r="Z20" i="13" s="1"/>
  <c r="AA20" i="13" s="1"/>
  <c r="AB20" i="13" s="1"/>
  <c r="AC20" i="13" s="1"/>
  <c r="AD20" i="13" s="1"/>
  <c r="AE20" i="13" s="1"/>
  <c r="AF20" i="13" s="1"/>
  <c r="AG20" i="13" s="1"/>
  <c r="AH20" i="13" s="1"/>
  <c r="AI20" i="13" s="1"/>
  <c r="AJ20" i="13" s="1"/>
  <c r="AK20" i="13" s="1"/>
  <c r="AL20" i="13" s="1"/>
  <c r="AM20" i="13" s="1"/>
  <c r="AN20" i="13" s="1"/>
  <c r="AO20" i="13" s="1"/>
  <c r="AP20" i="13" s="1"/>
  <c r="AQ20" i="13" s="1"/>
  <c r="AR20" i="13" s="1"/>
  <c r="AS20" i="13" s="1"/>
  <c r="AT20" i="13" s="1"/>
  <c r="AU20" i="13" s="1"/>
  <c r="AV20" i="13" s="1"/>
  <c r="AW20" i="13" s="1"/>
  <c r="AX20" i="13" s="1"/>
  <c r="AY20" i="13" s="1"/>
  <c r="AZ20" i="13" s="1"/>
  <c r="V19" i="13"/>
  <c r="W18" i="13"/>
  <c r="W16" i="13"/>
  <c r="X16" i="13" s="1"/>
  <c r="Y16" i="13" s="1"/>
  <c r="Z16" i="13" s="1"/>
  <c r="AA16" i="13" s="1"/>
  <c r="AB16" i="13" s="1"/>
  <c r="AC16" i="13" s="1"/>
  <c r="AD16" i="13" s="1"/>
  <c r="AE16" i="13" s="1"/>
  <c r="AF16" i="13" s="1"/>
  <c r="AG16" i="13" s="1"/>
  <c r="AH16" i="13" s="1"/>
  <c r="AI16" i="13" s="1"/>
  <c r="AJ16" i="13" s="1"/>
  <c r="AK16" i="13" s="1"/>
  <c r="AL16" i="13" s="1"/>
  <c r="AM16" i="13" s="1"/>
  <c r="AN16" i="13" s="1"/>
  <c r="AO16" i="13" s="1"/>
  <c r="AP16" i="13" s="1"/>
  <c r="AQ16" i="13" s="1"/>
  <c r="AR16" i="13" s="1"/>
  <c r="AS16" i="13" s="1"/>
  <c r="AT16" i="13" s="1"/>
  <c r="AU16" i="13" s="1"/>
  <c r="AV16" i="13" s="1"/>
  <c r="AW16" i="13" s="1"/>
  <c r="AX16" i="13" s="1"/>
  <c r="AY16" i="13" s="1"/>
  <c r="AZ16" i="13" s="1"/>
  <c r="Y15" i="13"/>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X15" i="13"/>
  <c r="W15" i="13"/>
  <c r="V13" i="13"/>
  <c r="V11" i="13"/>
  <c r="V5" i="13"/>
  <c r="V8" i="13" s="1"/>
  <c r="Y3" i="13"/>
  <c r="Z3" i="13" s="1"/>
  <c r="AA3" i="13" s="1"/>
  <c r="AB3" i="13" s="1"/>
  <c r="AC3" i="13" s="1"/>
  <c r="AD3" i="13" s="1"/>
  <c r="AE3" i="13" s="1"/>
  <c r="AF3" i="13" s="1"/>
  <c r="AG3" i="13" s="1"/>
  <c r="AH3" i="13" s="1"/>
  <c r="AI3" i="13" s="1"/>
  <c r="AJ3" i="13" s="1"/>
  <c r="AK3" i="13" s="1"/>
  <c r="AL3" i="13" s="1"/>
  <c r="AM3" i="13" s="1"/>
  <c r="AN3" i="13" s="1"/>
  <c r="AO3" i="13" s="1"/>
  <c r="AP3" i="13" s="1"/>
  <c r="AQ3" i="13" s="1"/>
  <c r="AR3" i="13" s="1"/>
  <c r="AS3" i="13" s="1"/>
  <c r="AT3" i="13" s="1"/>
  <c r="AU3" i="13" s="1"/>
  <c r="AV3" i="13" s="1"/>
  <c r="AW3" i="13" s="1"/>
  <c r="AX3" i="13" s="1"/>
  <c r="AY3" i="13" s="1"/>
  <c r="AZ3" i="13" s="1"/>
  <c r="X3" i="13"/>
  <c r="W3" i="13"/>
  <c r="U3" i="13"/>
  <c r="T3" i="13"/>
  <c r="S3" i="13" s="1"/>
  <c r="R3" i="13" s="1"/>
  <c r="Q3" i="13" s="1"/>
  <c r="P3" i="13"/>
  <c r="O3" i="13" s="1"/>
  <c r="N3" i="13" s="1"/>
  <c r="M3" i="13" s="1"/>
  <c r="L3" i="13"/>
  <c r="K3" i="13" s="1"/>
  <c r="J3" i="13" s="1"/>
  <c r="I3" i="13" s="1"/>
  <c r="H3" i="13" s="1"/>
  <c r="G3" i="13" s="1"/>
  <c r="F3" i="13" s="1"/>
  <c r="E3" i="13" s="1"/>
  <c r="D3" i="13" s="1"/>
  <c r="C3" i="13" s="1"/>
  <c r="B3" i="13" s="1"/>
  <c r="W2" i="13"/>
  <c r="X78" i="12"/>
  <c r="Y78" i="12" s="1"/>
  <c r="Z78" i="12" s="1"/>
  <c r="AA78" i="12" s="1"/>
  <c r="AB78" i="12" s="1"/>
  <c r="AC78" i="12" s="1"/>
  <c r="AD78" i="12" s="1"/>
  <c r="AE78" i="12" s="1"/>
  <c r="AF78" i="12" s="1"/>
  <c r="AG78" i="12" s="1"/>
  <c r="AH78" i="12" s="1"/>
  <c r="AI78" i="12" s="1"/>
  <c r="AJ78" i="12" s="1"/>
  <c r="AK78" i="12" s="1"/>
  <c r="AL78" i="12" s="1"/>
  <c r="AM78" i="12" s="1"/>
  <c r="AN78" i="12" s="1"/>
  <c r="AO78" i="12" s="1"/>
  <c r="AP78" i="12" s="1"/>
  <c r="AQ78" i="12" s="1"/>
  <c r="AR78" i="12" s="1"/>
  <c r="AS78" i="12" s="1"/>
  <c r="AT78" i="12" s="1"/>
  <c r="AU78" i="12" s="1"/>
  <c r="AV78" i="12" s="1"/>
  <c r="AW78" i="12" s="1"/>
  <c r="AX78" i="12" s="1"/>
  <c r="AY78" i="12" s="1"/>
  <c r="AZ78" i="12" s="1"/>
  <c r="W78" i="12"/>
  <c r="B77" i="12"/>
  <c r="B71" i="12"/>
  <c r="B74" i="12" s="1"/>
  <c r="U68" i="12"/>
  <c r="T68" i="12"/>
  <c r="K68" i="12"/>
  <c r="J68" i="12"/>
  <c r="I68" i="12"/>
  <c r="H68" i="12"/>
  <c r="G68" i="12"/>
  <c r="F68" i="12"/>
  <c r="E68" i="12"/>
  <c r="D68" i="12"/>
  <c r="C68" i="12"/>
  <c r="B68" i="12"/>
  <c r="T67" i="12"/>
  <c r="S67" i="12"/>
  <c r="E66" i="12"/>
  <c r="AZ65" i="12"/>
  <c r="AY65" i="12"/>
  <c r="AX65" i="12"/>
  <c r="AW65" i="12"/>
  <c r="AV65" i="12"/>
  <c r="AU65" i="12"/>
  <c r="AT65" i="12"/>
  <c r="AS65" i="12"/>
  <c r="AR65" i="12"/>
  <c r="AQ65" i="12"/>
  <c r="AP65" i="12"/>
  <c r="AO65" i="12"/>
  <c r="AN65" i="12"/>
  <c r="AM65" i="12"/>
  <c r="AL65" i="12"/>
  <c r="AK65" i="12"/>
  <c r="AJ65" i="12"/>
  <c r="AI65" i="12"/>
  <c r="AH65" i="12"/>
  <c r="AG65" i="12"/>
  <c r="AF65" i="12"/>
  <c r="AE65" i="12"/>
  <c r="AD65" i="12"/>
  <c r="AC65" i="12"/>
  <c r="AB65" i="12"/>
  <c r="AA65" i="12"/>
  <c r="Z65" i="12"/>
  <c r="Y65" i="12"/>
  <c r="X65" i="12"/>
  <c r="W65" i="12"/>
  <c r="V65" i="12"/>
  <c r="U65" i="12"/>
  <c r="T65" i="12"/>
  <c r="S65" i="12"/>
  <c r="AZ64" i="12"/>
  <c r="AY64" i="12"/>
  <c r="AX64" i="12"/>
  <c r="AW64" i="12"/>
  <c r="AV64" i="12"/>
  <c r="AU64" i="12"/>
  <c r="AT64" i="12"/>
  <c r="AS64" i="12"/>
  <c r="AR64" i="12"/>
  <c r="AQ64" i="12"/>
  <c r="AP64" i="12"/>
  <c r="AO64" i="12"/>
  <c r="AN64" i="12"/>
  <c r="AM64" i="12"/>
  <c r="AL64" i="12"/>
  <c r="AK64" i="12"/>
  <c r="AJ64" i="12"/>
  <c r="AI64" i="12"/>
  <c r="AH64" i="12"/>
  <c r="AG64" i="12"/>
  <c r="AF64" i="12"/>
  <c r="AE64" i="12"/>
  <c r="AD64" i="12"/>
  <c r="AC64" i="12"/>
  <c r="AB64" i="12"/>
  <c r="AA64" i="12"/>
  <c r="Z64" i="12"/>
  <c r="Y64" i="12"/>
  <c r="X64" i="12"/>
  <c r="W64" i="12"/>
  <c r="V64" i="12"/>
  <c r="U64" i="12"/>
  <c r="T64" i="12"/>
  <c r="S64" i="12"/>
  <c r="R63" i="12"/>
  <c r="Q63" i="12"/>
  <c r="P63" i="12"/>
  <c r="O63" i="12"/>
  <c r="N63" i="12"/>
  <c r="M63" i="12"/>
  <c r="L63" i="12"/>
  <c r="K63" i="12"/>
  <c r="J63" i="12"/>
  <c r="I63" i="12"/>
  <c r="H63" i="12"/>
  <c r="G63" i="12"/>
  <c r="F63" i="12"/>
  <c r="E63" i="12"/>
  <c r="D63" i="12"/>
  <c r="C63" i="12"/>
  <c r="B63" i="12"/>
  <c r="R62" i="12"/>
  <c r="Q62" i="12"/>
  <c r="P62" i="12"/>
  <c r="O62" i="12"/>
  <c r="N62" i="12"/>
  <c r="M62" i="12"/>
  <c r="L62" i="12"/>
  <c r="K62" i="12"/>
  <c r="J62" i="12"/>
  <c r="I62" i="12"/>
  <c r="H62" i="12"/>
  <c r="G62" i="12"/>
  <c r="F62" i="12"/>
  <c r="E62" i="12"/>
  <c r="D62" i="12"/>
  <c r="S62" i="12" s="1"/>
  <c r="C62" i="12"/>
  <c r="B62" i="12"/>
  <c r="T61" i="12"/>
  <c r="R61" i="12"/>
  <c r="Q61" i="12"/>
  <c r="P61" i="12"/>
  <c r="O61" i="12"/>
  <c r="N61" i="12"/>
  <c r="M61" i="12"/>
  <c r="L61" i="12"/>
  <c r="K61" i="12"/>
  <c r="J61" i="12"/>
  <c r="I61" i="12"/>
  <c r="H61" i="12"/>
  <c r="G61" i="12"/>
  <c r="F61" i="12"/>
  <c r="E61" i="12"/>
  <c r="D61" i="12"/>
  <c r="S61" i="12" s="1"/>
  <c r="C61" i="12"/>
  <c r="B61" i="12"/>
  <c r="R60" i="12"/>
  <c r="Q60" i="12"/>
  <c r="P60" i="12"/>
  <c r="O60" i="12"/>
  <c r="N60" i="12"/>
  <c r="M60" i="12"/>
  <c r="L60" i="12"/>
  <c r="K60" i="12"/>
  <c r="J60" i="12"/>
  <c r="I60" i="12"/>
  <c r="H60" i="12"/>
  <c r="G60" i="12"/>
  <c r="F60" i="12"/>
  <c r="E60" i="12"/>
  <c r="D60" i="12"/>
  <c r="C60" i="12"/>
  <c r="B60" i="12"/>
  <c r="R59" i="12"/>
  <c r="Q59" i="12"/>
  <c r="P59" i="12"/>
  <c r="O59" i="12"/>
  <c r="N59" i="12"/>
  <c r="M59" i="12"/>
  <c r="L59" i="12"/>
  <c r="K59" i="12"/>
  <c r="J59" i="12"/>
  <c r="I59" i="12"/>
  <c r="H59" i="12"/>
  <c r="G59" i="12"/>
  <c r="F59" i="12"/>
  <c r="E59" i="12"/>
  <c r="D59" i="12"/>
  <c r="C59" i="12"/>
  <c r="B59" i="12"/>
  <c r="AZ58" i="12"/>
  <c r="AY58" i="12"/>
  <c r="AX58" i="12"/>
  <c r="AW58" i="12"/>
  <c r="AV58" i="12"/>
  <c r="AU58" i="12"/>
  <c r="AT58" i="12"/>
  <c r="AS58" i="12"/>
  <c r="AR58" i="12"/>
  <c r="AQ58" i="12"/>
  <c r="AP58" i="12"/>
  <c r="AO58" i="12"/>
  <c r="AN58" i="12"/>
  <c r="AM58" i="12"/>
  <c r="AL58" i="12"/>
  <c r="AK58" i="12"/>
  <c r="AJ58" i="12"/>
  <c r="AI58" i="12"/>
  <c r="AH58" i="12"/>
  <c r="AG58" i="12"/>
  <c r="AF58" i="12"/>
  <c r="AE58" i="12"/>
  <c r="AD58" i="12"/>
  <c r="AC58" i="12"/>
  <c r="AB58" i="12"/>
  <c r="AA58" i="12"/>
  <c r="Z58" i="12"/>
  <c r="Y58" i="12"/>
  <c r="X58" i="12"/>
  <c r="W58" i="12"/>
  <c r="V58" i="12"/>
  <c r="U58" i="12"/>
  <c r="T58" i="12"/>
  <c r="S58" i="12"/>
  <c r="R58" i="12"/>
  <c r="Q58" i="12"/>
  <c r="Q66" i="12" s="1"/>
  <c r="P58" i="12"/>
  <c r="P66" i="12" s="1"/>
  <c r="O58" i="12"/>
  <c r="O66" i="12" s="1"/>
  <c r="N58" i="12"/>
  <c r="M58" i="12"/>
  <c r="M66" i="12" s="1"/>
  <c r="L58" i="12"/>
  <c r="L66" i="12" s="1"/>
  <c r="K58" i="12"/>
  <c r="K66" i="12" s="1"/>
  <c r="J58" i="12"/>
  <c r="I58" i="12"/>
  <c r="I66" i="12" s="1"/>
  <c r="H58" i="12"/>
  <c r="H66" i="12" s="1"/>
  <c r="G58" i="12"/>
  <c r="G66" i="12" s="1"/>
  <c r="F58" i="12"/>
  <c r="E58" i="12"/>
  <c r="D58" i="12"/>
  <c r="D66" i="12" s="1"/>
  <c r="C58" i="12"/>
  <c r="C66" i="12" s="1"/>
  <c r="B58" i="12"/>
  <c r="AF79" i="11"/>
  <c r="AG79" i="11" s="1"/>
  <c r="AH79" i="11" s="1"/>
  <c r="AI79" i="11" s="1"/>
  <c r="AJ79" i="11" s="1"/>
  <c r="AK79" i="11" s="1"/>
  <c r="AL79" i="11" s="1"/>
  <c r="AM79" i="11" s="1"/>
  <c r="AN79" i="11" s="1"/>
  <c r="AO79" i="11" s="1"/>
  <c r="AP79" i="11" s="1"/>
  <c r="AQ79" i="11" s="1"/>
  <c r="AR79" i="11" s="1"/>
  <c r="AS79" i="11" s="1"/>
  <c r="AT79" i="11" s="1"/>
  <c r="AU79" i="11" s="1"/>
  <c r="AV79" i="11" s="1"/>
  <c r="AW79" i="11" s="1"/>
  <c r="AX79" i="11" s="1"/>
  <c r="AY79" i="11" s="1"/>
  <c r="AZ79" i="11" s="1"/>
  <c r="AB79" i="11"/>
  <c r="AC79" i="11" s="1"/>
  <c r="AD79" i="11" s="1"/>
  <c r="AE79" i="11" s="1"/>
  <c r="X79" i="11"/>
  <c r="Y79" i="11" s="1"/>
  <c r="Z79" i="11" s="1"/>
  <c r="AA79" i="11" s="1"/>
  <c r="W79" i="11"/>
  <c r="B78" i="11"/>
  <c r="B72" i="11"/>
  <c r="B75" i="11" s="1"/>
  <c r="AZ59" i="11"/>
  <c r="AY59" i="11"/>
  <c r="AX59" i="11"/>
  <c r="AW59" i="11"/>
  <c r="AV59" i="11"/>
  <c r="AU59" i="11"/>
  <c r="AT59" i="11"/>
  <c r="AS59" i="11"/>
  <c r="AR59" i="11"/>
  <c r="AQ59" i="11"/>
  <c r="AP59" i="11"/>
  <c r="AO59" i="11"/>
  <c r="AN59" i="11"/>
  <c r="AM59" i="11"/>
  <c r="AL59" i="11"/>
  <c r="AK59" i="11"/>
  <c r="AJ59" i="11"/>
  <c r="AI59" i="11"/>
  <c r="AH59" i="11"/>
  <c r="AG59" i="11"/>
  <c r="AF59" i="11"/>
  <c r="AE59" i="11"/>
  <c r="AD59" i="11"/>
  <c r="AC59" i="11"/>
  <c r="AB59" i="11"/>
  <c r="AA59" i="11"/>
  <c r="Z59" i="11"/>
  <c r="Y59" i="11"/>
  <c r="X59" i="11"/>
  <c r="W59" i="11"/>
  <c r="V59" i="11"/>
  <c r="U59" i="11"/>
  <c r="T59" i="11"/>
  <c r="S59" i="11"/>
  <c r="R59" i="11"/>
  <c r="Q59" i="11"/>
  <c r="P59" i="11"/>
  <c r="O59" i="11"/>
  <c r="N59" i="11"/>
  <c r="M59" i="11"/>
  <c r="L59" i="11"/>
  <c r="K59" i="11"/>
  <c r="J59" i="11"/>
  <c r="I59" i="11"/>
  <c r="H59" i="11"/>
  <c r="G59" i="11"/>
  <c r="F59" i="11"/>
  <c r="E59" i="11"/>
  <c r="D59" i="11"/>
  <c r="C59" i="11"/>
  <c r="B59" i="11"/>
  <c r="AZ49" i="11"/>
  <c r="AY49" i="11"/>
  <c r="AX49" i="11"/>
  <c r="AW49" i="11"/>
  <c r="AV49" i="11"/>
  <c r="AU49" i="11"/>
  <c r="AT49" i="11"/>
  <c r="AS49" i="11"/>
  <c r="AR49" i="11"/>
  <c r="AQ49" i="11"/>
  <c r="AP49" i="11"/>
  <c r="AO49" i="11"/>
  <c r="AN49" i="11"/>
  <c r="AM49" i="11"/>
  <c r="AL49" i="11"/>
  <c r="AK49" i="11"/>
  <c r="AJ49" i="11"/>
  <c r="AI49" i="11"/>
  <c r="AH49" i="11"/>
  <c r="AG49" i="11"/>
  <c r="AF49" i="11"/>
  <c r="AE49" i="11"/>
  <c r="AD49" i="11"/>
  <c r="AC49" i="11"/>
  <c r="AB49" i="11"/>
  <c r="AA49" i="11"/>
  <c r="Z49" i="11"/>
  <c r="Y49" i="11"/>
  <c r="X49" i="11"/>
  <c r="W49" i="11"/>
  <c r="V49" i="11"/>
  <c r="U49" i="11"/>
  <c r="T49" i="11"/>
  <c r="Q49" i="11"/>
  <c r="P49" i="11"/>
  <c r="M49" i="11"/>
  <c r="L49" i="11"/>
  <c r="I49" i="11"/>
  <c r="H49" i="11"/>
  <c r="E49" i="11"/>
  <c r="D49" i="11"/>
  <c r="S47" i="11"/>
  <c r="S49" i="11" s="1"/>
  <c r="R47" i="11"/>
  <c r="R49" i="11" s="1"/>
  <c r="Q47" i="11"/>
  <c r="P47" i="11"/>
  <c r="O47" i="11"/>
  <c r="O49" i="11" s="1"/>
  <c r="N47" i="11"/>
  <c r="N49" i="11" s="1"/>
  <c r="M47" i="11"/>
  <c r="L47" i="11"/>
  <c r="K47" i="11"/>
  <c r="K49" i="11" s="1"/>
  <c r="J47" i="11"/>
  <c r="J49" i="11" s="1"/>
  <c r="I47" i="11"/>
  <c r="H47" i="11"/>
  <c r="G47" i="11"/>
  <c r="G49" i="11" s="1"/>
  <c r="F47" i="11"/>
  <c r="F49" i="11" s="1"/>
  <c r="E47" i="11"/>
  <c r="D47" i="11"/>
  <c r="C47" i="11"/>
  <c r="C49" i="11" s="1"/>
  <c r="B47" i="11"/>
  <c r="B49" i="11" s="1"/>
  <c r="AZ41" i="11"/>
  <c r="AY41" i="11"/>
  <c r="AX41" i="11"/>
  <c r="AW41" i="11"/>
  <c r="AV41" i="11"/>
  <c r="AU41" i="11"/>
  <c r="AT41" i="11"/>
  <c r="AS41" i="11"/>
  <c r="AR41" i="11"/>
  <c r="AQ41" i="11"/>
  <c r="AP41" i="11"/>
  <c r="AO41" i="11"/>
  <c r="AN41" i="11"/>
  <c r="AM41" i="11"/>
  <c r="AL41" i="11"/>
  <c r="AK41" i="11"/>
  <c r="AJ41" i="11"/>
  <c r="AI41" i="11"/>
  <c r="AH41" i="11"/>
  <c r="AG41" i="11"/>
  <c r="AF41" i="11"/>
  <c r="AE41" i="11"/>
  <c r="AD41" i="11"/>
  <c r="AC41" i="11"/>
  <c r="AB41" i="11"/>
  <c r="AA41" i="11"/>
  <c r="Z41" i="11"/>
  <c r="Y41" i="11"/>
  <c r="X41" i="11"/>
  <c r="W41" i="11"/>
  <c r="V41" i="11"/>
  <c r="U41" i="11"/>
  <c r="T41" i="11"/>
  <c r="S41" i="11"/>
  <c r="R41" i="11"/>
  <c r="Q41" i="11"/>
  <c r="P41" i="11"/>
  <c r="O41" i="11"/>
  <c r="N41" i="11"/>
  <c r="M41" i="11"/>
  <c r="L41" i="11"/>
  <c r="K41" i="11"/>
  <c r="J41" i="11"/>
  <c r="I41" i="11"/>
  <c r="H41" i="11"/>
  <c r="G41" i="11"/>
  <c r="F41" i="11"/>
  <c r="E41" i="11"/>
  <c r="D41" i="11"/>
  <c r="C41" i="11"/>
  <c r="B41" i="11"/>
  <c r="AZ40" i="11"/>
  <c r="BA3333" i="6" s="1"/>
  <c r="AY40" i="11"/>
  <c r="AX40" i="11"/>
  <c r="AW40" i="11"/>
  <c r="AV40" i="11"/>
  <c r="AW3333" i="6" s="1"/>
  <c r="AU40" i="11"/>
  <c r="AT40" i="11"/>
  <c r="AS40" i="11"/>
  <c r="AR40" i="11"/>
  <c r="AS3333" i="6" s="1"/>
  <c r="AQ40" i="11"/>
  <c r="AP40" i="11"/>
  <c r="AO40" i="11"/>
  <c r="AN40" i="11"/>
  <c r="AO3333" i="6" s="1"/>
  <c r="AM40" i="11"/>
  <c r="AL40" i="11"/>
  <c r="AK40" i="11"/>
  <c r="AJ40" i="11"/>
  <c r="AK3333" i="6" s="1"/>
  <c r="AI40" i="11"/>
  <c r="AH40" i="11"/>
  <c r="AG40" i="11"/>
  <c r="AF40" i="11"/>
  <c r="AG3333" i="6" s="1"/>
  <c r="AE40" i="11"/>
  <c r="AD40" i="11"/>
  <c r="AC40" i="11"/>
  <c r="AB40" i="11"/>
  <c r="AC3333" i="6" s="1"/>
  <c r="AA40" i="11"/>
  <c r="Z40" i="11"/>
  <c r="Y40" i="11"/>
  <c r="X40" i="11"/>
  <c r="Y3333" i="6" s="1"/>
  <c r="W40" i="11"/>
  <c r="V40" i="11"/>
  <c r="U40" i="11"/>
  <c r="T40" i="11"/>
  <c r="U3333" i="6" s="1"/>
  <c r="S40" i="11"/>
  <c r="R40" i="11"/>
  <c r="Q40" i="11"/>
  <c r="P40" i="11"/>
  <c r="Q3333" i="6" s="1"/>
  <c r="O40" i="11"/>
  <c r="N40" i="11"/>
  <c r="M40" i="11"/>
  <c r="L40" i="11"/>
  <c r="M3333" i="6" s="1"/>
  <c r="K40" i="11"/>
  <c r="J40" i="11"/>
  <c r="I40" i="11"/>
  <c r="H40" i="11"/>
  <c r="I3333" i="6" s="1"/>
  <c r="G40" i="11"/>
  <c r="F40" i="11"/>
  <c r="E40" i="11"/>
  <c r="D40" i="11"/>
  <c r="E3333" i="6" s="1"/>
  <c r="C40" i="11"/>
  <c r="B40" i="11"/>
  <c r="AZ39" i="11"/>
  <c r="AY39" i="11"/>
  <c r="AX39" i="11"/>
  <c r="AW39" i="11"/>
  <c r="AV39" i="11"/>
  <c r="AU39" i="11"/>
  <c r="AT39" i="11"/>
  <c r="AS39" i="11"/>
  <c r="AR39" i="11"/>
  <c r="AQ39" i="11"/>
  <c r="AP39" i="11"/>
  <c r="AO39" i="11"/>
  <c r="AN39" i="11"/>
  <c r="AM39" i="11"/>
  <c r="AL39" i="11"/>
  <c r="AK39" i="11"/>
  <c r="AJ39" i="11"/>
  <c r="AI39" i="11"/>
  <c r="AH39" i="11"/>
  <c r="AG39" i="11"/>
  <c r="AF39" i="11"/>
  <c r="AE39" i="11"/>
  <c r="AD39" i="11"/>
  <c r="AC39" i="11"/>
  <c r="AB39" i="11"/>
  <c r="AA39" i="11"/>
  <c r="Z39" i="11"/>
  <c r="Y39" i="11"/>
  <c r="X39" i="11"/>
  <c r="W39" i="11"/>
  <c r="V39" i="11"/>
  <c r="U39" i="11"/>
  <c r="T39" i="11"/>
  <c r="S39" i="11"/>
  <c r="R39" i="11"/>
  <c r="Q39" i="11"/>
  <c r="P39" i="11"/>
  <c r="O39" i="11"/>
  <c r="N39" i="11"/>
  <c r="M39" i="11"/>
  <c r="L39" i="11"/>
  <c r="K39" i="11"/>
  <c r="J39" i="11"/>
  <c r="I39" i="11"/>
  <c r="H39" i="11"/>
  <c r="G39" i="11"/>
  <c r="F39" i="11"/>
  <c r="E39" i="11"/>
  <c r="D39" i="11"/>
  <c r="C39" i="11"/>
  <c r="B39" i="11"/>
  <c r="R38" i="11"/>
  <c r="Q38" i="11"/>
  <c r="P38" i="11"/>
  <c r="O38" i="11"/>
  <c r="N38" i="11"/>
  <c r="M38" i="11"/>
  <c r="L38" i="11"/>
  <c r="K38" i="11"/>
  <c r="T38" i="11" s="1"/>
  <c r="J38" i="11"/>
  <c r="S38" i="11" s="1"/>
  <c r="I38" i="11"/>
  <c r="H38" i="11"/>
  <c r="G38" i="11"/>
  <c r="F38" i="11"/>
  <c r="E38" i="11"/>
  <c r="D38" i="11"/>
  <c r="C38" i="11"/>
  <c r="B38" i="11"/>
  <c r="AZ37" i="11"/>
  <c r="AY37" i="11"/>
  <c r="AX37" i="11"/>
  <c r="AW37" i="11"/>
  <c r="AV37" i="11"/>
  <c r="AU37" i="11"/>
  <c r="AT37" i="11"/>
  <c r="AS37" i="11"/>
  <c r="AR37" i="11"/>
  <c r="AQ37" i="11"/>
  <c r="AP37" i="11"/>
  <c r="AO37" i="11"/>
  <c r="AN37" i="11"/>
  <c r="AM37" i="11"/>
  <c r="AL37" i="11"/>
  <c r="AK37" i="11"/>
  <c r="AJ37" i="11"/>
  <c r="AI37" i="11"/>
  <c r="AH37" i="11"/>
  <c r="AG37" i="11"/>
  <c r="AF37" i="11"/>
  <c r="AE37" i="11"/>
  <c r="AD37" i="11"/>
  <c r="AC37" i="11"/>
  <c r="AB37" i="11"/>
  <c r="AA37" i="11"/>
  <c r="Z37" i="11"/>
  <c r="Y37" i="11"/>
  <c r="X37" i="11"/>
  <c r="W37" i="11"/>
  <c r="V37" i="11"/>
  <c r="U37" i="11"/>
  <c r="T37" i="11"/>
  <c r="S37" i="11"/>
  <c r="R37" i="11"/>
  <c r="S36" i="11" s="1"/>
  <c r="Q37" i="11"/>
  <c r="P37" i="11"/>
  <c r="O37" i="11"/>
  <c r="N37" i="11"/>
  <c r="M37" i="11"/>
  <c r="L37" i="11"/>
  <c r="K37" i="11"/>
  <c r="J37" i="11"/>
  <c r="I37" i="11"/>
  <c r="H37" i="11"/>
  <c r="G37" i="11"/>
  <c r="F37" i="11"/>
  <c r="E37" i="11"/>
  <c r="D37" i="11"/>
  <c r="C37" i="11"/>
  <c r="B37" i="11"/>
  <c r="R36" i="11"/>
  <c r="Q36" i="11"/>
  <c r="P36" i="11"/>
  <c r="O36" i="11"/>
  <c r="N36" i="11"/>
  <c r="M36" i="11"/>
  <c r="L36" i="11"/>
  <c r="K36" i="11"/>
  <c r="J36" i="11"/>
  <c r="I36" i="11"/>
  <c r="H36" i="11"/>
  <c r="G36" i="11"/>
  <c r="F36" i="11"/>
  <c r="E36" i="11"/>
  <c r="D36" i="11"/>
  <c r="C36" i="11"/>
  <c r="B36" i="11"/>
  <c r="R24" i="11"/>
  <c r="Q24" i="11"/>
  <c r="P24" i="11"/>
  <c r="O24" i="11"/>
  <c r="N24" i="11"/>
  <c r="M24" i="11"/>
  <c r="L24" i="11"/>
  <c r="K24" i="11"/>
  <c r="J24" i="11"/>
  <c r="I24" i="11"/>
  <c r="H24" i="11"/>
  <c r="G24" i="11"/>
  <c r="F24" i="11"/>
  <c r="E24" i="11"/>
  <c r="D24" i="11"/>
  <c r="C24" i="11"/>
  <c r="R13" i="11"/>
  <c r="Q13" i="11"/>
  <c r="P13" i="11"/>
  <c r="O13" i="11"/>
  <c r="N13" i="11"/>
  <c r="M13" i="11"/>
  <c r="L13" i="11"/>
  <c r="K13" i="11"/>
  <c r="J13" i="11"/>
  <c r="I13" i="11"/>
  <c r="H13" i="11"/>
  <c r="G13" i="11"/>
  <c r="F13" i="11"/>
  <c r="E13" i="11"/>
  <c r="D13" i="11"/>
  <c r="C13" i="11"/>
  <c r="R2" i="11"/>
  <c r="Q2" i="11"/>
  <c r="P2" i="11"/>
  <c r="O2" i="11"/>
  <c r="N2" i="11"/>
  <c r="M2" i="11"/>
  <c r="L2" i="11"/>
  <c r="K2" i="11"/>
  <c r="J2" i="11"/>
  <c r="I2" i="11"/>
  <c r="H2" i="11"/>
  <c r="G2" i="11"/>
  <c r="F2" i="11"/>
  <c r="E2" i="11"/>
  <c r="D2" i="11"/>
  <c r="C2" i="11"/>
  <c r="AE345" i="10"/>
  <c r="AF345" i="10" s="1"/>
  <c r="AG345" i="10" s="1"/>
  <c r="AH345" i="10" s="1"/>
  <c r="AI345" i="10" s="1"/>
  <c r="AJ345" i="10" s="1"/>
  <c r="AK345" i="10" s="1"/>
  <c r="AL345" i="10" s="1"/>
  <c r="AM345" i="10" s="1"/>
  <c r="AN345" i="10" s="1"/>
  <c r="AO345" i="10" s="1"/>
  <c r="AP345" i="10" s="1"/>
  <c r="AQ345" i="10" s="1"/>
  <c r="AR345" i="10" s="1"/>
  <c r="AS345" i="10" s="1"/>
  <c r="AT345" i="10" s="1"/>
  <c r="AU345" i="10" s="1"/>
  <c r="AV345" i="10" s="1"/>
  <c r="AW345" i="10" s="1"/>
  <c r="AX345" i="10" s="1"/>
  <c r="AY345" i="10" s="1"/>
  <c r="AZ345" i="10" s="1"/>
  <c r="AA345" i="10"/>
  <c r="AB345" i="10" s="1"/>
  <c r="AC345" i="10" s="1"/>
  <c r="AD345" i="10" s="1"/>
  <c r="W345" i="10"/>
  <c r="X345" i="10" s="1"/>
  <c r="Y345" i="10" s="1"/>
  <c r="Z345" i="10" s="1"/>
  <c r="B341" i="10"/>
  <c r="B338" i="10"/>
  <c r="BA314" i="10"/>
  <c r="AZ314" i="10"/>
  <c r="AZ3497" i="6" s="1"/>
  <c r="AY314" i="10"/>
  <c r="AX314" i="10"/>
  <c r="AW314" i="10"/>
  <c r="AV314" i="10"/>
  <c r="AV3497" i="6" s="1"/>
  <c r="AU314" i="10"/>
  <c r="AT314" i="10"/>
  <c r="AS314" i="10"/>
  <c r="AR314" i="10"/>
  <c r="AR3497" i="6" s="1"/>
  <c r="AQ314" i="10"/>
  <c r="AP314" i="10"/>
  <c r="AO314" i="10"/>
  <c r="AN314" i="10"/>
  <c r="AN3497" i="6" s="1"/>
  <c r="AM314" i="10"/>
  <c r="AL314" i="10"/>
  <c r="AK314" i="10"/>
  <c r="AJ314" i="10"/>
  <c r="AJ3497" i="6" s="1"/>
  <c r="AI314" i="10"/>
  <c r="AH314" i="10"/>
  <c r="AG314" i="10"/>
  <c r="AF314" i="10"/>
  <c r="AF3497" i="6" s="1"/>
  <c r="AE314" i="10"/>
  <c r="AD314" i="10"/>
  <c r="AC314" i="10"/>
  <c r="AB314" i="10"/>
  <c r="AB3497" i="6" s="1"/>
  <c r="AA314" i="10"/>
  <c r="Z314" i="10"/>
  <c r="Y314" i="10"/>
  <c r="X314" i="10"/>
  <c r="X3497" i="6" s="1"/>
  <c r="W314" i="10"/>
  <c r="V314" i="10"/>
  <c r="I314" i="10"/>
  <c r="H314" i="10"/>
  <c r="H3497" i="6" s="1"/>
  <c r="G314" i="10"/>
  <c r="F314" i="10"/>
  <c r="E314" i="10"/>
  <c r="D314" i="10"/>
  <c r="D3497" i="6" s="1"/>
  <c r="C314" i="10"/>
  <c r="BA305" i="10"/>
  <c r="AZ305" i="10"/>
  <c r="AY305" i="10"/>
  <c r="AY3338" i="6" s="1"/>
  <c r="AX305" i="10"/>
  <c r="AW305" i="10"/>
  <c r="AV305" i="10"/>
  <c r="AU305" i="10"/>
  <c r="AU3338" i="6" s="1"/>
  <c r="AT305" i="10"/>
  <c r="AS305" i="10"/>
  <c r="AR305" i="10"/>
  <c r="AQ305" i="10"/>
  <c r="AQ3338" i="6" s="1"/>
  <c r="AP305" i="10"/>
  <c r="AO305" i="10"/>
  <c r="AN305" i="10"/>
  <c r="AM305" i="10"/>
  <c r="AM3338" i="6" s="1"/>
  <c r="AL305" i="10"/>
  <c r="AK305" i="10"/>
  <c r="AJ305" i="10"/>
  <c r="AI305" i="10"/>
  <c r="AI3338" i="6" s="1"/>
  <c r="AH305" i="10"/>
  <c r="AG305" i="10"/>
  <c r="AF305" i="10"/>
  <c r="AE305" i="10"/>
  <c r="AE3338" i="6" s="1"/>
  <c r="AD305" i="10"/>
  <c r="AC305" i="10"/>
  <c r="AB305" i="10"/>
  <c r="AA305" i="10"/>
  <c r="AA3338" i="6" s="1"/>
  <c r="Z305" i="10"/>
  <c r="Y305" i="10"/>
  <c r="X305" i="10"/>
  <c r="W305" i="10"/>
  <c r="W3338" i="6" s="1"/>
  <c r="V305" i="10"/>
  <c r="U305" i="10"/>
  <c r="J300" i="10"/>
  <c r="I300" i="10"/>
  <c r="H300" i="10"/>
  <c r="G300" i="10"/>
  <c r="F300" i="10"/>
  <c r="E300" i="10"/>
  <c r="D300" i="10"/>
  <c r="C300" i="10"/>
  <c r="S298" i="10"/>
  <c r="R298" i="10"/>
  <c r="Q298" i="10"/>
  <c r="P298" i="10"/>
  <c r="O298" i="10"/>
  <c r="N298" i="10"/>
  <c r="T293" i="10"/>
  <c r="U293" i="10" s="1"/>
  <c r="U292" i="10"/>
  <c r="T292" i="10"/>
  <c r="T291" i="10"/>
  <c r="U291" i="10" s="1"/>
  <c r="U283" i="10"/>
  <c r="U298" i="10" s="1"/>
  <c r="T283" i="10"/>
  <c r="T280" i="10"/>
  <c r="S280" i="10"/>
  <c r="P280" i="10"/>
  <c r="O280" i="10"/>
  <c r="L280" i="10"/>
  <c r="K280" i="10"/>
  <c r="H280" i="10"/>
  <c r="G280" i="10"/>
  <c r="D280" i="10"/>
  <c r="C280" i="10"/>
  <c r="U273" i="10"/>
  <c r="T273" i="10"/>
  <c r="S273" i="10"/>
  <c r="R273" i="10"/>
  <c r="Q273" i="10"/>
  <c r="P273" i="10"/>
  <c r="O273" i="10"/>
  <c r="N273" i="10"/>
  <c r="M273" i="10"/>
  <c r="L273" i="10"/>
  <c r="K273" i="10"/>
  <c r="J273" i="10"/>
  <c r="I273" i="10"/>
  <c r="H273" i="10"/>
  <c r="G273" i="10"/>
  <c r="F273" i="10"/>
  <c r="E273" i="10"/>
  <c r="D273" i="10"/>
  <c r="C273" i="10"/>
  <c r="U256" i="10"/>
  <c r="T256" i="10"/>
  <c r="S256" i="10"/>
  <c r="R256" i="10"/>
  <c r="Q256" i="10"/>
  <c r="P256" i="10"/>
  <c r="O256" i="10"/>
  <c r="N256" i="10"/>
  <c r="M256" i="10"/>
  <c r="L256" i="10"/>
  <c r="K256" i="10"/>
  <c r="J256" i="10"/>
  <c r="I256" i="10"/>
  <c r="H256" i="10"/>
  <c r="G256" i="10"/>
  <c r="F256" i="10"/>
  <c r="E256" i="10"/>
  <c r="D256" i="10"/>
  <c r="U254" i="10"/>
  <c r="T254" i="10"/>
  <c r="S254" i="10"/>
  <c r="R254" i="10"/>
  <c r="Q254" i="10"/>
  <c r="P254" i="10"/>
  <c r="O254" i="10"/>
  <c r="N254" i="10"/>
  <c r="M254" i="10"/>
  <c r="L254" i="10"/>
  <c r="K254" i="10"/>
  <c r="J254" i="10"/>
  <c r="I254" i="10"/>
  <c r="H254" i="10"/>
  <c r="G254" i="10"/>
  <c r="F254" i="10"/>
  <c r="E254" i="10"/>
  <c r="D254" i="10"/>
  <c r="N249" i="10"/>
  <c r="R247" i="10"/>
  <c r="Q247" i="10"/>
  <c r="P247" i="10"/>
  <c r="O247" i="10"/>
  <c r="S246" i="10"/>
  <c r="N244" i="10"/>
  <c r="S238" i="10"/>
  <c r="R238" i="10"/>
  <c r="Q238" i="10"/>
  <c r="P238" i="10"/>
  <c r="O238" i="10"/>
  <c r="N238" i="10"/>
  <c r="R233" i="10"/>
  <c r="S233" i="10" s="1"/>
  <c r="T233" i="10" s="1"/>
  <c r="U233" i="10" s="1"/>
  <c r="Q233" i="10"/>
  <c r="P233" i="10"/>
  <c r="O233" i="10"/>
  <c r="N233" i="10"/>
  <c r="M233" i="10"/>
  <c r="L233" i="10"/>
  <c r="K233" i="10"/>
  <c r="J233" i="10"/>
  <c r="I233" i="10"/>
  <c r="H233" i="10" s="1"/>
  <c r="G233" i="10" s="1"/>
  <c r="F233" i="10"/>
  <c r="E233" i="10" s="1"/>
  <c r="D233" i="10" s="1"/>
  <c r="C233" i="10" s="1"/>
  <c r="U225" i="10"/>
  <c r="U224" i="10"/>
  <c r="U226" i="10" s="1"/>
  <c r="U302" i="10" s="1"/>
  <c r="U223" i="10"/>
  <c r="U222" i="10"/>
  <c r="U221" i="10"/>
  <c r="U220" i="10"/>
  <c r="Q215" i="10"/>
  <c r="Q222" i="10" s="1"/>
  <c r="P213" i="10"/>
  <c r="P220" i="10" s="1"/>
  <c r="O211" i="10"/>
  <c r="U210" i="10"/>
  <c r="V218" i="10" s="1"/>
  <c r="S210" i="10"/>
  <c r="R210" i="10"/>
  <c r="Q210" i="10"/>
  <c r="P210" i="10"/>
  <c r="O210" i="10"/>
  <c r="N210" i="10"/>
  <c r="M210" i="10"/>
  <c r="L210" i="10"/>
  <c r="U209" i="10"/>
  <c r="V217" i="10" s="1"/>
  <c r="P217" i="10" s="1"/>
  <c r="P224" i="10" s="1"/>
  <c r="R209" i="10"/>
  <c r="Q209" i="10"/>
  <c r="P209" i="10"/>
  <c r="O209" i="10"/>
  <c r="N209" i="10"/>
  <c r="M209" i="10"/>
  <c r="L209" i="10"/>
  <c r="K209" i="10"/>
  <c r="U208" i="10"/>
  <c r="V216" i="10" s="1"/>
  <c r="Q216" i="10" s="1"/>
  <c r="Q223" i="10" s="1"/>
  <c r="R208" i="10"/>
  <c r="Q208" i="10"/>
  <c r="P208" i="10"/>
  <c r="O208" i="10"/>
  <c r="N208" i="10"/>
  <c r="M208" i="10"/>
  <c r="M216" i="10" s="1"/>
  <c r="M223" i="10" s="1"/>
  <c r="L208" i="10"/>
  <c r="K208" i="10"/>
  <c r="U207" i="10"/>
  <c r="V215" i="10" s="1"/>
  <c r="Q207" i="10"/>
  <c r="P207" i="10"/>
  <c r="O207" i="10"/>
  <c r="N207" i="10"/>
  <c r="M207" i="10"/>
  <c r="L207" i="10"/>
  <c r="K207" i="10"/>
  <c r="U206" i="10"/>
  <c r="Q206" i="10"/>
  <c r="P206" i="10"/>
  <c r="O206" i="10"/>
  <c r="N206" i="10"/>
  <c r="N211" i="10" s="1"/>
  <c r="M206" i="10"/>
  <c r="L206" i="10"/>
  <c r="U205" i="10"/>
  <c r="V213" i="10" s="1"/>
  <c r="Q205" i="10"/>
  <c r="P205" i="10"/>
  <c r="P211" i="10" s="1"/>
  <c r="O205" i="10"/>
  <c r="N205" i="10"/>
  <c r="M205" i="10"/>
  <c r="L205" i="10"/>
  <c r="L211" i="10" s="1"/>
  <c r="BA188" i="10"/>
  <c r="AZ188" i="10"/>
  <c r="AY188" i="10"/>
  <c r="AX188" i="10"/>
  <c r="AX3337" i="6" s="1"/>
  <c r="AW188" i="10"/>
  <c r="AV188" i="10"/>
  <c r="AU188" i="10"/>
  <c r="AT188" i="10"/>
  <c r="AT3337" i="6" s="1"/>
  <c r="AS188" i="10"/>
  <c r="AR188" i="10"/>
  <c r="AQ188" i="10"/>
  <c r="AP188" i="10"/>
  <c r="AP3337" i="6" s="1"/>
  <c r="AO188" i="10"/>
  <c r="AN188" i="10"/>
  <c r="AM188" i="10"/>
  <c r="AL188" i="10"/>
  <c r="AL3337" i="6" s="1"/>
  <c r="AK188" i="10"/>
  <c r="AJ188" i="10"/>
  <c r="AI188" i="10"/>
  <c r="AH188" i="10"/>
  <c r="AH3337" i="6" s="1"/>
  <c r="AG188" i="10"/>
  <c r="AF188" i="10"/>
  <c r="AE188" i="10"/>
  <c r="AD188" i="10"/>
  <c r="AD3337" i="6" s="1"/>
  <c r="AC188" i="10"/>
  <c r="AB188" i="10"/>
  <c r="AA188" i="10"/>
  <c r="Z188" i="10"/>
  <c r="Z3337" i="6" s="1"/>
  <c r="Y188" i="10"/>
  <c r="X188" i="10"/>
  <c r="W188" i="10"/>
  <c r="V188" i="10"/>
  <c r="V3337" i="6" s="1"/>
  <c r="S188" i="10"/>
  <c r="R188" i="10"/>
  <c r="R3337" i="6" s="1"/>
  <c r="O188" i="10"/>
  <c r="N188" i="10"/>
  <c r="N3337" i="6" s="1"/>
  <c r="J188" i="10"/>
  <c r="J3337" i="6" s="1"/>
  <c r="U187" i="10"/>
  <c r="U188" i="10" s="1"/>
  <c r="T187" i="10"/>
  <c r="T188" i="10" s="1"/>
  <c r="T3337" i="6" s="1"/>
  <c r="S187" i="10"/>
  <c r="R187" i="10"/>
  <c r="Q187" i="10"/>
  <c r="Q188" i="10" s="1"/>
  <c r="P187" i="10"/>
  <c r="P188" i="10" s="1"/>
  <c r="P3337" i="6" s="1"/>
  <c r="O187" i="10"/>
  <c r="N187" i="10"/>
  <c r="M187" i="10"/>
  <c r="M188" i="10" s="1"/>
  <c r="L187" i="10"/>
  <c r="L188" i="10" s="1"/>
  <c r="L3337" i="6" s="1"/>
  <c r="K187" i="10"/>
  <c r="J187" i="10"/>
  <c r="I187" i="10"/>
  <c r="H187" i="10"/>
  <c r="H188" i="10" s="1"/>
  <c r="H3337" i="6" s="1"/>
  <c r="G187" i="10"/>
  <c r="F187" i="10"/>
  <c r="E187" i="10"/>
  <c r="D187" i="10"/>
  <c r="C187" i="10"/>
  <c r="K182" i="10"/>
  <c r="K188" i="10" s="1"/>
  <c r="J182" i="10"/>
  <c r="I182" i="10" s="1"/>
  <c r="H182" i="10" s="1"/>
  <c r="G182" i="10" s="1"/>
  <c r="G188" i="10" s="1"/>
  <c r="F182" i="10"/>
  <c r="E182" i="10" s="1"/>
  <c r="D182" i="10" s="1"/>
  <c r="C182" i="10" s="1"/>
  <c r="C188" i="10" s="1"/>
  <c r="U180" i="10"/>
  <c r="T180" i="10"/>
  <c r="S180" i="10"/>
  <c r="R180" i="10"/>
  <c r="Q180" i="10"/>
  <c r="P180" i="10"/>
  <c r="O180" i="10"/>
  <c r="N180" i="10"/>
  <c r="M180" i="10"/>
  <c r="T178" i="10"/>
  <c r="S178" i="10"/>
  <c r="R178" i="10"/>
  <c r="Q178" i="10"/>
  <c r="P178" i="10"/>
  <c r="O178" i="10"/>
  <c r="N178" i="10"/>
  <c r="M178" i="10"/>
  <c r="L178" i="10"/>
  <c r="K178" i="10"/>
  <c r="J178" i="10"/>
  <c r="I178" i="10"/>
  <c r="H178" i="10"/>
  <c r="G178" i="10"/>
  <c r="F178" i="10"/>
  <c r="E178" i="10"/>
  <c r="D178" i="10"/>
  <c r="C178" i="10"/>
  <c r="T177" i="10"/>
  <c r="S177" i="10"/>
  <c r="R177" i="10"/>
  <c r="Q177" i="10"/>
  <c r="P177" i="10"/>
  <c r="O177" i="10"/>
  <c r="N177" i="10"/>
  <c r="M177" i="10"/>
  <c r="L177" i="10"/>
  <c r="K177" i="10"/>
  <c r="J177" i="10"/>
  <c r="I177" i="10"/>
  <c r="H177" i="10"/>
  <c r="G177" i="10"/>
  <c r="F177" i="10"/>
  <c r="E177" i="10"/>
  <c r="D177" i="10"/>
  <c r="C177" i="10"/>
  <c r="T176" i="10"/>
  <c r="S176" i="10"/>
  <c r="R176" i="10"/>
  <c r="Q176" i="10"/>
  <c r="P176" i="10"/>
  <c r="O176" i="10"/>
  <c r="N176" i="10"/>
  <c r="M176" i="10"/>
  <c r="L176" i="10"/>
  <c r="K176" i="10"/>
  <c r="J176" i="10"/>
  <c r="I176" i="10"/>
  <c r="H176" i="10"/>
  <c r="G176" i="10"/>
  <c r="F176" i="10"/>
  <c r="E176" i="10"/>
  <c r="D176" i="10"/>
  <c r="C176" i="10"/>
  <c r="T175" i="10"/>
  <c r="S175" i="10"/>
  <c r="R175" i="10"/>
  <c r="Q175" i="10"/>
  <c r="P175" i="10"/>
  <c r="O175" i="10"/>
  <c r="N175" i="10"/>
  <c r="M175" i="10"/>
  <c r="L175" i="10"/>
  <c r="K175" i="10"/>
  <c r="J175" i="10"/>
  <c r="I175" i="10"/>
  <c r="H175" i="10"/>
  <c r="G175" i="10"/>
  <c r="F175" i="10"/>
  <c r="E175" i="10"/>
  <c r="D175" i="10"/>
  <c r="C175" i="10"/>
  <c r="U82" i="10"/>
  <c r="U280" i="10" s="1"/>
  <c r="T82" i="10"/>
  <c r="S82" i="10"/>
  <c r="R82" i="10"/>
  <c r="R280" i="10" s="1"/>
  <c r="Q82" i="10"/>
  <c r="Q280" i="10" s="1"/>
  <c r="P82" i="10"/>
  <c r="O82" i="10"/>
  <c r="N82" i="10"/>
  <c r="N280" i="10" s="1"/>
  <c r="M82" i="10"/>
  <c r="M280" i="10" s="1"/>
  <c r="L82" i="10"/>
  <c r="K82" i="10"/>
  <c r="J82" i="10"/>
  <c r="J280" i="10" s="1"/>
  <c r="I82" i="10"/>
  <c r="I280" i="10" s="1"/>
  <c r="H82" i="10"/>
  <c r="G82" i="10"/>
  <c r="F82" i="10"/>
  <c r="F280" i="10" s="1"/>
  <c r="E82" i="10"/>
  <c r="E280" i="10" s="1"/>
  <c r="D82" i="10"/>
  <c r="C82" i="10"/>
  <c r="T74" i="10"/>
  <c r="S74" i="10"/>
  <c r="R74" i="10"/>
  <c r="Q74" i="10"/>
  <c r="P74" i="10"/>
  <c r="O74" i="10"/>
  <c r="N74" i="10"/>
  <c r="M74" i="10"/>
  <c r="L74" i="10"/>
  <c r="K74" i="10"/>
  <c r="J74" i="10"/>
  <c r="I74" i="10"/>
  <c r="H74" i="10"/>
  <c r="G74" i="10"/>
  <c r="F74" i="10"/>
  <c r="E74" i="10"/>
  <c r="D74" i="10"/>
  <c r="T73" i="10"/>
  <c r="S73" i="10"/>
  <c r="R73" i="10"/>
  <c r="Q73" i="10"/>
  <c r="P73" i="10"/>
  <c r="O73" i="10"/>
  <c r="N73" i="10"/>
  <c r="M73" i="10"/>
  <c r="L73" i="10"/>
  <c r="K73" i="10"/>
  <c r="J73" i="10"/>
  <c r="I73" i="10"/>
  <c r="H73" i="10"/>
  <c r="G73" i="10"/>
  <c r="F73" i="10"/>
  <c r="E73" i="10"/>
  <c r="D73" i="10"/>
  <c r="T72" i="10"/>
  <c r="S72" i="10"/>
  <c r="R72" i="10"/>
  <c r="Q72" i="10"/>
  <c r="P72" i="10"/>
  <c r="O72" i="10"/>
  <c r="N72" i="10"/>
  <c r="M72" i="10"/>
  <c r="L72" i="10"/>
  <c r="K72" i="10"/>
  <c r="J72" i="10"/>
  <c r="I72" i="10"/>
  <c r="H72" i="10"/>
  <c r="G72" i="10"/>
  <c r="F72" i="10"/>
  <c r="E72" i="10"/>
  <c r="D72" i="10"/>
  <c r="S115" i="9"/>
  <c r="R115" i="9"/>
  <c r="Q115" i="9"/>
  <c r="P115" i="9"/>
  <c r="O115" i="9"/>
  <c r="N115" i="9"/>
  <c r="M115" i="9"/>
  <c r="L115" i="9"/>
  <c r="K115" i="9"/>
  <c r="J115" i="9"/>
  <c r="I115" i="9"/>
  <c r="H115" i="9"/>
  <c r="G115" i="9"/>
  <c r="F115" i="9"/>
  <c r="E115" i="9"/>
  <c r="D115" i="9"/>
  <c r="C115" i="9"/>
  <c r="B115" i="9"/>
  <c r="Y103" i="9"/>
  <c r="Z103" i="9" s="1"/>
  <c r="AA103" i="9" s="1"/>
  <c r="AB103" i="9" s="1"/>
  <c r="AC103" i="9" s="1"/>
  <c r="AD103" i="9" s="1"/>
  <c r="X103" i="9"/>
  <c r="W103" i="9"/>
  <c r="B102" i="9"/>
  <c r="B99" i="9"/>
  <c r="B96" i="9"/>
  <c r="V93" i="9"/>
  <c r="U93" i="9"/>
  <c r="U92" i="9" s="1"/>
  <c r="T93" i="9"/>
  <c r="T92" i="9"/>
  <c r="S92" i="9"/>
  <c r="R92" i="9"/>
  <c r="Q92" i="9"/>
  <c r="P92" i="9"/>
  <c r="O92" i="9"/>
  <c r="N92" i="9"/>
  <c r="M92" i="9"/>
  <c r="L92" i="9"/>
  <c r="K92" i="9"/>
  <c r="J92" i="9"/>
  <c r="I92" i="9"/>
  <c r="H92" i="9"/>
  <c r="G92" i="9"/>
  <c r="F92" i="9"/>
  <c r="E92" i="9"/>
  <c r="D92" i="9"/>
  <c r="C92" i="9"/>
  <c r="U74" i="9"/>
  <c r="T74" i="9"/>
  <c r="Q73" i="9"/>
  <c r="P73" i="9"/>
  <c r="M73" i="9"/>
  <c r="L73" i="9"/>
  <c r="I73" i="9"/>
  <c r="H73" i="9"/>
  <c r="E73" i="9"/>
  <c r="D73" i="9"/>
  <c r="S72" i="9"/>
  <c r="R72" i="9"/>
  <c r="R73" i="9" s="1"/>
  <c r="Q72" i="9"/>
  <c r="P72" i="9"/>
  <c r="O72" i="9"/>
  <c r="N72" i="9"/>
  <c r="N73" i="9" s="1"/>
  <c r="M72" i="9"/>
  <c r="L72" i="9"/>
  <c r="K72" i="9"/>
  <c r="J72" i="9"/>
  <c r="J73" i="9" s="1"/>
  <c r="I72" i="9"/>
  <c r="H72" i="9"/>
  <c r="G72" i="9"/>
  <c r="F72" i="9"/>
  <c r="E72" i="9"/>
  <c r="D72" i="9"/>
  <c r="C72" i="9"/>
  <c r="B72" i="9"/>
  <c r="B71" i="9" s="1"/>
  <c r="U71" i="9"/>
  <c r="S71" i="9"/>
  <c r="R71" i="9"/>
  <c r="Q71" i="9"/>
  <c r="P71" i="9"/>
  <c r="O71" i="9"/>
  <c r="N71" i="9"/>
  <c r="M71" i="9"/>
  <c r="L71" i="9"/>
  <c r="K71" i="9"/>
  <c r="J71" i="9"/>
  <c r="I71" i="9"/>
  <c r="H71" i="9"/>
  <c r="G71" i="9"/>
  <c r="E71" i="9"/>
  <c r="D71" i="9"/>
  <c r="U69" i="9"/>
  <c r="U72" i="9" s="1"/>
  <c r="T69" i="9"/>
  <c r="U68" i="9"/>
  <c r="T68" i="9"/>
  <c r="S68" i="9"/>
  <c r="T66" i="9"/>
  <c r="S66" i="9"/>
  <c r="U65" i="9"/>
  <c r="T65" i="9"/>
  <c r="S65" i="9"/>
  <c r="T64" i="9"/>
  <c r="S64" i="9"/>
  <c r="U63" i="9"/>
  <c r="T63" i="9"/>
  <c r="S63" i="9"/>
  <c r="T61" i="9"/>
  <c r="S61" i="9"/>
  <c r="U60" i="9"/>
  <c r="T60" i="9"/>
  <c r="S60" i="9"/>
  <c r="T58" i="9"/>
  <c r="S58" i="9"/>
  <c r="U57" i="9"/>
  <c r="T57" i="9"/>
  <c r="S57" i="9"/>
  <c r="I47" i="9"/>
  <c r="H47" i="9"/>
  <c r="G47" i="9" s="1"/>
  <c r="F47" i="9"/>
  <c r="E47" i="9"/>
  <c r="D47" i="9"/>
  <c r="C47" i="9"/>
  <c r="B47" i="9"/>
  <c r="I46" i="9"/>
  <c r="H46" i="9"/>
  <c r="G46" i="9" s="1"/>
  <c r="F46" i="9"/>
  <c r="E46" i="9"/>
  <c r="D46" i="9"/>
  <c r="C46" i="9"/>
  <c r="B46" i="9"/>
  <c r="I45" i="9"/>
  <c r="I12" i="9" s="1"/>
  <c r="I11" i="9" s="1"/>
  <c r="H45" i="9"/>
  <c r="F45" i="9"/>
  <c r="E45" i="9"/>
  <c r="E12" i="9" s="1"/>
  <c r="E11" i="9" s="1"/>
  <c r="D45" i="9"/>
  <c r="C45" i="9"/>
  <c r="B45" i="9"/>
  <c r="T22" i="9"/>
  <c r="S22" i="9"/>
  <c r="R22" i="9"/>
  <c r="Q22" i="9"/>
  <c r="P22" i="9"/>
  <c r="O22" i="9"/>
  <c r="N22" i="9"/>
  <c r="M22" i="9"/>
  <c r="L22" i="9"/>
  <c r="K22" i="9"/>
  <c r="J22" i="9"/>
  <c r="I22" i="9"/>
  <c r="H22" i="9"/>
  <c r="G22" i="9"/>
  <c r="F22" i="9"/>
  <c r="E22" i="9"/>
  <c r="D22" i="9"/>
  <c r="C22" i="9"/>
  <c r="B22"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U16" i="9"/>
  <c r="T16" i="9"/>
  <c r="S16" i="9"/>
  <c r="N15" i="9"/>
  <c r="J15" i="9"/>
  <c r="O14" i="9"/>
  <c r="K14" i="9"/>
  <c r="Y12" i="9"/>
  <c r="X12" i="9"/>
  <c r="W12" i="9"/>
  <c r="V12" i="9"/>
  <c r="U12" i="9"/>
  <c r="T12" i="9"/>
  <c r="S12" i="9"/>
  <c r="R12" i="9"/>
  <c r="R11" i="9" s="1"/>
  <c r="R14" i="9" s="1"/>
  <c r="Q12" i="9"/>
  <c r="P12" i="9"/>
  <c r="O12" i="9"/>
  <c r="O11" i="9" s="1"/>
  <c r="N12" i="9"/>
  <c r="N11" i="9" s="1"/>
  <c r="N14" i="9" s="1"/>
  <c r="M12" i="9"/>
  <c r="L12" i="9"/>
  <c r="K12" i="9"/>
  <c r="K11" i="9" s="1"/>
  <c r="J12" i="9"/>
  <c r="J11" i="9" s="1"/>
  <c r="J14" i="9" s="1"/>
  <c r="F12" i="9"/>
  <c r="F11" i="9" s="1"/>
  <c r="C12" i="9"/>
  <c r="C11" i="9" s="1"/>
  <c r="C14" i="9" s="1"/>
  <c r="B12" i="9"/>
  <c r="B11" i="9" s="1"/>
  <c r="B14" i="9" s="1"/>
  <c r="Q11" i="9"/>
  <c r="P11" i="9"/>
  <c r="M11" i="9"/>
  <c r="L11" i="9"/>
  <c r="U8" i="9"/>
  <c r="T8" i="9"/>
  <c r="S8" i="9"/>
  <c r="U6" i="9"/>
  <c r="T6" i="9"/>
  <c r="S6" i="9"/>
  <c r="S5" i="9"/>
  <c r="U4" i="9"/>
  <c r="T4" i="9"/>
  <c r="S4" i="9"/>
  <c r="U3" i="9"/>
  <c r="T3" i="9"/>
  <c r="S3" i="9"/>
  <c r="S49" i="8"/>
  <c r="R49" i="8"/>
  <c r="Q49" i="8"/>
  <c r="P49" i="8"/>
  <c r="O49" i="8"/>
  <c r="L49" i="8"/>
  <c r="G49" i="8"/>
  <c r="E49" i="8"/>
  <c r="D49" i="8"/>
  <c r="B49" i="8"/>
  <c r="S48" i="8"/>
  <c r="R48" i="8"/>
  <c r="Q48" i="8"/>
  <c r="O48" i="8"/>
  <c r="N48" i="8"/>
  <c r="L48" i="8"/>
  <c r="K48" i="8"/>
  <c r="J48" i="8"/>
  <c r="G48" i="8"/>
  <c r="F48" i="8"/>
  <c r="E48" i="8"/>
  <c r="B48" i="8"/>
  <c r="S47" i="8"/>
  <c r="R47" i="8"/>
  <c r="Q47" i="8"/>
  <c r="P47" i="8"/>
  <c r="O47" i="8"/>
  <c r="L47" i="8"/>
  <c r="G47" i="8"/>
  <c r="E47" i="8"/>
  <c r="D47" i="8"/>
  <c r="B47" i="8"/>
  <c r="S46" i="8"/>
  <c r="R46" i="8"/>
  <c r="Q46" i="8"/>
  <c r="O46" i="8"/>
  <c r="N46" i="8"/>
  <c r="L46" i="8"/>
  <c r="J46" i="8"/>
  <c r="G46" i="8"/>
  <c r="B46" i="8"/>
  <c r="S45" i="8"/>
  <c r="R45" i="8"/>
  <c r="Q45" i="8"/>
  <c r="L45" i="8"/>
  <c r="G45" i="8"/>
  <c r="B45" i="8"/>
  <c r="M43" i="8"/>
  <c r="H43" i="8"/>
  <c r="I43" i="8" s="1"/>
  <c r="C43" i="8"/>
  <c r="P42" i="8"/>
  <c r="O42" i="8"/>
  <c r="N42" i="8"/>
  <c r="M42" i="8"/>
  <c r="K42" i="8"/>
  <c r="J42" i="8"/>
  <c r="I42" i="8"/>
  <c r="H42" i="8"/>
  <c r="F42" i="8"/>
  <c r="E42" i="8"/>
  <c r="D42" i="8"/>
  <c r="C42" i="8"/>
  <c r="P41" i="8"/>
  <c r="O41" i="8"/>
  <c r="N41" i="8"/>
  <c r="M41" i="8"/>
  <c r="K41" i="8"/>
  <c r="J41" i="8"/>
  <c r="I41" i="8"/>
  <c r="H41" i="8"/>
  <c r="F41" i="8"/>
  <c r="E41" i="8"/>
  <c r="D41" i="8"/>
  <c r="C41" i="8"/>
  <c r="AZ40" i="8"/>
  <c r="AY40" i="8"/>
  <c r="AX40" i="8"/>
  <c r="AW40" i="8"/>
  <c r="AV40" i="8"/>
  <c r="AU40" i="8"/>
  <c r="AT40" i="8"/>
  <c r="AS40" i="8"/>
  <c r="AR40" i="8"/>
  <c r="AQ40" i="8"/>
  <c r="AP40" i="8"/>
  <c r="AO40" i="8"/>
  <c r="AN40" i="8"/>
  <c r="AM40" i="8"/>
  <c r="AL40" i="8"/>
  <c r="AK40" i="8"/>
  <c r="AJ40" i="8"/>
  <c r="AI40" i="8"/>
  <c r="AH40" i="8"/>
  <c r="AG40" i="8"/>
  <c r="AF40" i="8"/>
  <c r="AE40" i="8"/>
  <c r="AD40" i="8"/>
  <c r="AC40" i="8"/>
  <c r="AB40" i="8"/>
  <c r="AA40" i="8"/>
  <c r="Z40" i="8"/>
  <c r="Y40" i="8"/>
  <c r="X40" i="8"/>
  <c r="W40" i="8"/>
  <c r="V40" i="8"/>
  <c r="U40" i="8"/>
  <c r="T40" i="8"/>
  <c r="P40" i="8"/>
  <c r="P46" i="8" s="1"/>
  <c r="O40" i="8"/>
  <c r="N40" i="8"/>
  <c r="M40" i="8"/>
  <c r="K40" i="8"/>
  <c r="K46" i="8" s="1"/>
  <c r="J40" i="8"/>
  <c r="I40" i="8"/>
  <c r="H40" i="8"/>
  <c r="F40" i="8"/>
  <c r="F46" i="8" s="1"/>
  <c r="E40" i="8"/>
  <c r="E46" i="8" s="1"/>
  <c r="D40" i="8"/>
  <c r="D46" i="8" s="1"/>
  <c r="C40" i="8"/>
  <c r="AZ39" i="8"/>
  <c r="AY39" i="8"/>
  <c r="AX39" i="8"/>
  <c r="AW39" i="8"/>
  <c r="AV39" i="8"/>
  <c r="AU39" i="8"/>
  <c r="AT39" i="8"/>
  <c r="AS39" i="8"/>
  <c r="AR39" i="8"/>
  <c r="AQ39" i="8"/>
  <c r="AP39" i="8"/>
  <c r="AO39" i="8"/>
  <c r="AN39" i="8"/>
  <c r="AM39" i="8"/>
  <c r="AL39" i="8"/>
  <c r="AK39" i="8"/>
  <c r="AJ39" i="8"/>
  <c r="AI39" i="8"/>
  <c r="AH39" i="8"/>
  <c r="AG39" i="8"/>
  <c r="AF39" i="8"/>
  <c r="AE39" i="8"/>
  <c r="AD39" i="8"/>
  <c r="AC39" i="8"/>
  <c r="AB39" i="8"/>
  <c r="AA39" i="8"/>
  <c r="Z39" i="8"/>
  <c r="Y39" i="8"/>
  <c r="X39" i="8"/>
  <c r="W39" i="8"/>
  <c r="V39" i="8"/>
  <c r="U39" i="8"/>
  <c r="T39" i="8"/>
  <c r="P39" i="8"/>
  <c r="P48" i="8" s="1"/>
  <c r="O39" i="8"/>
  <c r="N39" i="8"/>
  <c r="N49" i="8" s="1"/>
  <c r="M39" i="8"/>
  <c r="K39" i="8"/>
  <c r="K49" i="8" s="1"/>
  <c r="J39" i="8"/>
  <c r="J49" i="8" s="1"/>
  <c r="I39" i="8"/>
  <c r="I48" i="8" s="1"/>
  <c r="H39" i="8"/>
  <c r="H48" i="8" s="1"/>
  <c r="F39" i="8"/>
  <c r="F49" i="8" s="1"/>
  <c r="E39" i="8"/>
  <c r="D39" i="8"/>
  <c r="D48" i="8" s="1"/>
  <c r="C39" i="8"/>
  <c r="R38" i="8"/>
  <c r="Q38" i="8"/>
  <c r="P38" i="8"/>
  <c r="O38" i="8"/>
  <c r="N38" i="8"/>
  <c r="M38" i="8"/>
  <c r="L38" i="8"/>
  <c r="K38" i="8"/>
  <c r="J38" i="8"/>
  <c r="I38" i="8"/>
  <c r="H38" i="8"/>
  <c r="G38" i="8"/>
  <c r="F38" i="8"/>
  <c r="E38" i="8"/>
  <c r="D38" i="8"/>
  <c r="C38" i="8"/>
  <c r="B38" i="8"/>
  <c r="R37" i="8"/>
  <c r="Q37" i="8"/>
  <c r="P37" i="8"/>
  <c r="O37" i="8"/>
  <c r="N37" i="8"/>
  <c r="M37" i="8"/>
  <c r="L37" i="8"/>
  <c r="K37" i="8"/>
  <c r="J37" i="8"/>
  <c r="I37" i="8"/>
  <c r="H37" i="8"/>
  <c r="G37" i="8"/>
  <c r="F37" i="8"/>
  <c r="E37" i="8"/>
  <c r="D37" i="8"/>
  <c r="C37" i="8"/>
  <c r="B37" i="8"/>
  <c r="R36" i="8"/>
  <c r="Q36" i="8"/>
  <c r="P36" i="8"/>
  <c r="O36" i="8"/>
  <c r="N36" i="8"/>
  <c r="M36" i="8"/>
  <c r="L36" i="8"/>
  <c r="K36" i="8"/>
  <c r="J36" i="8"/>
  <c r="I36" i="8"/>
  <c r="H36" i="8"/>
  <c r="G36" i="8"/>
  <c r="F36" i="8"/>
  <c r="E36" i="8"/>
  <c r="D36" i="8"/>
  <c r="C36" i="8"/>
  <c r="B36" i="8"/>
  <c r="R29" i="8"/>
  <c r="Q29" i="8"/>
  <c r="P29" i="8"/>
  <c r="O29" i="8"/>
  <c r="N29" i="8"/>
  <c r="M29" i="8"/>
  <c r="L29" i="8"/>
  <c r="K29" i="8"/>
  <c r="J29" i="8"/>
  <c r="I29" i="8"/>
  <c r="H29" i="8"/>
  <c r="G29" i="8"/>
  <c r="F29" i="8"/>
  <c r="E29" i="8"/>
  <c r="D29" i="8"/>
  <c r="C29" i="8"/>
  <c r="B29" i="8"/>
  <c r="R28" i="8"/>
  <c r="Q28" i="8"/>
  <c r="P28" i="8"/>
  <c r="O28" i="8"/>
  <c r="N28" i="8"/>
  <c r="M28" i="8"/>
  <c r="L28" i="8"/>
  <c r="K28" i="8"/>
  <c r="J28" i="8"/>
  <c r="I28" i="8"/>
  <c r="H28" i="8"/>
  <c r="G28" i="8"/>
  <c r="F28" i="8"/>
  <c r="E28" i="8"/>
  <c r="D28" i="8"/>
  <c r="C28" i="8"/>
  <c r="B28" i="8"/>
  <c r="R27" i="8"/>
  <c r="Q27" i="8"/>
  <c r="P27" i="8"/>
  <c r="O27" i="8"/>
  <c r="N27" i="8"/>
  <c r="M27" i="8"/>
  <c r="L27" i="8"/>
  <c r="K27" i="8"/>
  <c r="J27" i="8"/>
  <c r="I27" i="8"/>
  <c r="H27" i="8"/>
  <c r="G27" i="8"/>
  <c r="F27" i="8"/>
  <c r="E27" i="8"/>
  <c r="D27" i="8"/>
  <c r="C27" i="8"/>
  <c r="B27" i="8"/>
  <c r="W26" i="8"/>
  <c r="X26" i="8" s="1"/>
  <c r="Y26" i="8" s="1"/>
  <c r="Z26" i="8" s="1"/>
  <c r="AA26" i="8" s="1"/>
  <c r="AB26" i="8" s="1"/>
  <c r="AC26" i="8" s="1"/>
  <c r="AD26" i="8" s="1"/>
  <c r="AE26" i="8" s="1"/>
  <c r="AF26" i="8" s="1"/>
  <c r="AG26" i="8" s="1"/>
  <c r="AH26" i="8" s="1"/>
  <c r="AI26" i="8" s="1"/>
  <c r="AJ26" i="8" s="1"/>
  <c r="AK26" i="8" s="1"/>
  <c r="AL26" i="8" s="1"/>
  <c r="AM26" i="8" s="1"/>
  <c r="AN26" i="8" s="1"/>
  <c r="AO26" i="8" s="1"/>
  <c r="AP26" i="8" s="1"/>
  <c r="AQ26" i="8" s="1"/>
  <c r="AR26" i="8" s="1"/>
  <c r="AS26" i="8" s="1"/>
  <c r="AT26" i="8" s="1"/>
  <c r="AU26" i="8" s="1"/>
  <c r="AV26" i="8" s="1"/>
  <c r="AW26" i="8" s="1"/>
  <c r="AX26" i="8" s="1"/>
  <c r="AY26" i="8" s="1"/>
  <c r="AZ26" i="8" s="1"/>
  <c r="T26" i="8"/>
  <c r="U26" i="8" s="1"/>
  <c r="V26" i="8" s="1"/>
  <c r="T25" i="8"/>
  <c r="U24" i="8"/>
  <c r="T24" i="8"/>
  <c r="S23" i="8"/>
  <c r="S20" i="8"/>
  <c r="R20" i="8"/>
  <c r="Q20" i="8"/>
  <c r="P20" i="8"/>
  <c r="O20" i="8"/>
  <c r="N20" i="8"/>
  <c r="M20" i="8"/>
  <c r="L20" i="8"/>
  <c r="K20" i="8"/>
  <c r="J20" i="8"/>
  <c r="I20" i="8"/>
  <c r="H20" i="8"/>
  <c r="G20" i="8"/>
  <c r="F20" i="8"/>
  <c r="E20" i="8"/>
  <c r="D20" i="8"/>
  <c r="C20" i="8"/>
  <c r="B20" i="8"/>
  <c r="S19" i="8"/>
  <c r="R19" i="8"/>
  <c r="Q19" i="8"/>
  <c r="P19" i="8"/>
  <c r="O19" i="8"/>
  <c r="N19" i="8"/>
  <c r="M19" i="8"/>
  <c r="L19" i="8"/>
  <c r="K19" i="8"/>
  <c r="J19" i="8"/>
  <c r="I19" i="8"/>
  <c r="H19" i="8"/>
  <c r="G19" i="8"/>
  <c r="F19" i="8"/>
  <c r="E19" i="8"/>
  <c r="D19" i="8"/>
  <c r="C19" i="8"/>
  <c r="B19" i="8"/>
  <c r="S18" i="8"/>
  <c r="R18" i="8"/>
  <c r="Q18" i="8"/>
  <c r="P18" i="8"/>
  <c r="O18" i="8"/>
  <c r="N18" i="8"/>
  <c r="M18" i="8"/>
  <c r="L18" i="8"/>
  <c r="K18" i="8"/>
  <c r="J18" i="8"/>
  <c r="I18" i="8"/>
  <c r="H18" i="8"/>
  <c r="G18" i="8"/>
  <c r="F18" i="8"/>
  <c r="E18" i="8"/>
  <c r="D18" i="8"/>
  <c r="C18" i="8"/>
  <c r="B18" i="8"/>
  <c r="R17" i="8"/>
  <c r="Q17" i="8"/>
  <c r="P17" i="8"/>
  <c r="O17" i="8"/>
  <c r="N17" i="8"/>
  <c r="M17" i="8"/>
  <c r="L17" i="8"/>
  <c r="K17" i="8"/>
  <c r="J17" i="8"/>
  <c r="I17" i="8"/>
  <c r="H17" i="8"/>
  <c r="G17" i="8"/>
  <c r="F17" i="8"/>
  <c r="E17" i="8"/>
  <c r="D17" i="8"/>
  <c r="C17" i="8"/>
  <c r="B17" i="8"/>
  <c r="R16" i="8"/>
  <c r="Q16" i="8"/>
  <c r="P16" i="8"/>
  <c r="O16" i="8"/>
  <c r="N16" i="8"/>
  <c r="M16" i="8"/>
  <c r="L16" i="8"/>
  <c r="K16" i="8"/>
  <c r="J16" i="8"/>
  <c r="I16" i="8"/>
  <c r="H16" i="8"/>
  <c r="G16" i="8"/>
  <c r="F16" i="8"/>
  <c r="E16" i="8"/>
  <c r="D16" i="8"/>
  <c r="C16" i="8"/>
  <c r="B16" i="8"/>
  <c r="R15" i="8"/>
  <c r="Q15" i="8"/>
  <c r="P15" i="8"/>
  <c r="O15" i="8"/>
  <c r="N15" i="8"/>
  <c r="M15" i="8"/>
  <c r="L15" i="8"/>
  <c r="K15" i="8"/>
  <c r="J15" i="8"/>
  <c r="I15" i="8"/>
  <c r="H15" i="8"/>
  <c r="G15" i="8"/>
  <c r="F15" i="8"/>
  <c r="E15" i="8"/>
  <c r="D15" i="8"/>
  <c r="C15" i="8"/>
  <c r="B15" i="8"/>
  <c r="R11" i="8"/>
  <c r="Q11" i="8"/>
  <c r="P11" i="8"/>
  <c r="O11" i="8"/>
  <c r="N11" i="8"/>
  <c r="M11" i="8"/>
  <c r="L11" i="8"/>
  <c r="K11" i="8"/>
  <c r="J11" i="8"/>
  <c r="I11" i="8"/>
  <c r="H11" i="8"/>
  <c r="G11" i="8"/>
  <c r="F11" i="8"/>
  <c r="E11" i="8"/>
  <c r="D11" i="8"/>
  <c r="C11" i="8"/>
  <c r="B11" i="8"/>
  <c r="R10" i="8"/>
  <c r="Q10" i="8"/>
  <c r="P10" i="8"/>
  <c r="O10" i="8"/>
  <c r="N10" i="8"/>
  <c r="M10" i="8"/>
  <c r="L10" i="8"/>
  <c r="K10" i="8"/>
  <c r="J10" i="8"/>
  <c r="I10" i="8"/>
  <c r="H10" i="8"/>
  <c r="G10" i="8"/>
  <c r="F10" i="8"/>
  <c r="E10" i="8"/>
  <c r="D10" i="8"/>
  <c r="C10" i="8"/>
  <c r="B10" i="8"/>
  <c r="R9" i="8"/>
  <c r="Q9" i="8"/>
  <c r="P9" i="8"/>
  <c r="O9" i="8"/>
  <c r="N9" i="8"/>
  <c r="M9" i="8"/>
  <c r="L9" i="8"/>
  <c r="K9" i="8"/>
  <c r="J9" i="8"/>
  <c r="I9" i="8"/>
  <c r="H9" i="8"/>
  <c r="G9" i="8"/>
  <c r="F9" i="8"/>
  <c r="E9" i="8"/>
  <c r="D9" i="8"/>
  <c r="C9" i="8"/>
  <c r="B9" i="8"/>
  <c r="AZ4" i="8"/>
  <c r="AY4" i="8"/>
  <c r="AX4" i="8"/>
  <c r="AW4" i="8"/>
  <c r="AV4" i="8"/>
  <c r="AU4" i="8"/>
  <c r="AT4" i="8"/>
  <c r="AS4" i="8"/>
  <c r="AR4" i="8"/>
  <c r="AQ4" i="8"/>
  <c r="AP4" i="8"/>
  <c r="AO4" i="8"/>
  <c r="AN4" i="8"/>
  <c r="AM4" i="8"/>
  <c r="AL4" i="8"/>
  <c r="AK4" i="8"/>
  <c r="AJ4" i="8"/>
  <c r="AI4" i="8"/>
  <c r="AH4"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P26" i="7"/>
  <c r="V26" i="7"/>
  <c r="T26" i="7"/>
  <c r="S26" i="7"/>
  <c r="R26" i="7"/>
  <c r="Q26" i="7"/>
  <c r="P26" i="7"/>
  <c r="O26" i="7"/>
  <c r="N26" i="7"/>
  <c r="M26" i="7"/>
  <c r="L26" i="7"/>
  <c r="K26" i="7"/>
  <c r="J26" i="7"/>
  <c r="I26" i="7"/>
  <c r="H26" i="7"/>
  <c r="G26" i="7"/>
  <c r="F26" i="7"/>
  <c r="E26" i="7"/>
  <c r="D26" i="7"/>
  <c r="C26" i="7"/>
  <c r="B26" i="7"/>
  <c r="AZ25" i="7"/>
  <c r="AP25" i="7"/>
  <c r="AG25" i="7"/>
  <c r="AH25" i="7" s="1"/>
  <c r="AF25" i="7"/>
  <c r="V25" i="7"/>
  <c r="U25" i="7"/>
  <c r="AZ24" i="7"/>
  <c r="AP24" i="7"/>
  <c r="AG24" i="7"/>
  <c r="AH24" i="7" s="1"/>
  <c r="AF24" i="7"/>
  <c r="V24" i="7"/>
  <c r="U24" i="7"/>
  <c r="AZ23" i="7"/>
  <c r="AZ26" i="7" s="1"/>
  <c r="AP23" i="7"/>
  <c r="AG23" i="7"/>
  <c r="AF23" i="7"/>
  <c r="AF26" i="7" s="1"/>
  <c r="V23" i="7"/>
  <c r="U23" i="7"/>
  <c r="U26" i="7" s="1"/>
  <c r="T20" i="7"/>
  <c r="S20" i="7"/>
  <c r="R20" i="7"/>
  <c r="Q20" i="7"/>
  <c r="P20" i="7"/>
  <c r="O20" i="7"/>
  <c r="N20" i="7"/>
  <c r="M20" i="7"/>
  <c r="L20" i="7"/>
  <c r="K20" i="7"/>
  <c r="J20" i="7"/>
  <c r="I20" i="7"/>
  <c r="H20" i="7"/>
  <c r="G20" i="7"/>
  <c r="F20" i="7"/>
  <c r="E20" i="7"/>
  <c r="D20" i="7"/>
  <c r="C20" i="7"/>
  <c r="B20" i="7"/>
  <c r="T15" i="7"/>
  <c r="S15" i="7"/>
  <c r="R15" i="7"/>
  <c r="Q15" i="7"/>
  <c r="P15" i="7"/>
  <c r="O15" i="7"/>
  <c r="N15" i="7"/>
  <c r="M15" i="7"/>
  <c r="L15" i="7"/>
  <c r="K15" i="7"/>
  <c r="J15" i="7"/>
  <c r="I15" i="7"/>
  <c r="H15" i="7"/>
  <c r="G15" i="7"/>
  <c r="F15" i="7"/>
  <c r="E15" i="7"/>
  <c r="D15" i="7"/>
  <c r="U15" i="7" s="1"/>
  <c r="C15" i="7"/>
  <c r="T14" i="7"/>
  <c r="S14" i="7"/>
  <c r="R14" i="7"/>
  <c r="Q14" i="7"/>
  <c r="P14" i="7"/>
  <c r="O14" i="7"/>
  <c r="N14" i="7"/>
  <c r="M14" i="7"/>
  <c r="L14" i="7"/>
  <c r="K14" i="7"/>
  <c r="J14" i="7"/>
  <c r="I14" i="7"/>
  <c r="H14" i="7"/>
  <c r="G14" i="7"/>
  <c r="F14" i="7"/>
  <c r="E14" i="7"/>
  <c r="D14" i="7"/>
  <c r="C14" i="7"/>
  <c r="D13" i="7"/>
  <c r="E13" i="7" s="1"/>
  <c r="F13" i="7" s="1"/>
  <c r="G13" i="7" s="1"/>
  <c r="H13" i="7" s="1"/>
  <c r="I13" i="7" s="1"/>
  <c r="J13" i="7" s="1"/>
  <c r="K13" i="7" s="1"/>
  <c r="L13" i="7" s="1"/>
  <c r="M13" i="7" s="1"/>
  <c r="N13" i="7" s="1"/>
  <c r="O13" i="7" s="1"/>
  <c r="P13" i="7" s="1"/>
  <c r="Q13" i="7" s="1"/>
  <c r="R13" i="7" s="1"/>
  <c r="S13" i="7" s="1"/>
  <c r="T13" i="7" s="1"/>
  <c r="U13" i="7" s="1"/>
  <c r="V13" i="7" s="1"/>
  <c r="W13" i="7" s="1"/>
  <c r="X13" i="7" s="1"/>
  <c r="Y13" i="7" s="1"/>
  <c r="Z13" i="7" s="1"/>
  <c r="AA13" i="7" s="1"/>
  <c r="AB13" i="7" s="1"/>
  <c r="AC13" i="7" s="1"/>
  <c r="AD13" i="7" s="1"/>
  <c r="AE13" i="7" s="1"/>
  <c r="AF13" i="7" s="1"/>
  <c r="AG13" i="7" s="1"/>
  <c r="AH13" i="7" s="1"/>
  <c r="AI13" i="7" s="1"/>
  <c r="AJ13" i="7" s="1"/>
  <c r="AK13" i="7" s="1"/>
  <c r="AL13" i="7" s="1"/>
  <c r="AM13" i="7" s="1"/>
  <c r="AN13" i="7" s="1"/>
  <c r="AO13" i="7" s="1"/>
  <c r="AP13" i="7" s="1"/>
  <c r="AQ13" i="7" s="1"/>
  <c r="AR13" i="7" s="1"/>
  <c r="AS13" i="7" s="1"/>
  <c r="AT13" i="7" s="1"/>
  <c r="AU13" i="7" s="1"/>
  <c r="AV13" i="7" s="1"/>
  <c r="AW13" i="7" s="1"/>
  <c r="AX13" i="7" s="1"/>
  <c r="AY13" i="7" s="1"/>
  <c r="AZ13" i="7" s="1"/>
  <c r="C13" i="7"/>
  <c r="T8" i="7"/>
  <c r="T51" i="14" s="1"/>
  <c r="S8" i="7"/>
  <c r="S51" i="14" s="1"/>
  <c r="R8" i="7"/>
  <c r="R51" i="14" s="1"/>
  <c r="Q8" i="7"/>
  <c r="Q51" i="14" s="1"/>
  <c r="P8" i="7"/>
  <c r="P51" i="14" s="1"/>
  <c r="O8" i="7"/>
  <c r="O51" i="14" s="1"/>
  <c r="N8" i="7"/>
  <c r="N51" i="14" s="1"/>
  <c r="M8" i="7"/>
  <c r="M51" i="14" s="1"/>
  <c r="L8" i="7"/>
  <c r="L51" i="14" s="1"/>
  <c r="K8" i="7"/>
  <c r="K51" i="14" s="1"/>
  <c r="J8" i="7"/>
  <c r="J51" i="14" s="1"/>
  <c r="I8" i="7"/>
  <c r="I51" i="14" s="1"/>
  <c r="H8" i="7"/>
  <c r="G8" i="7"/>
  <c r="G51" i="14" s="1"/>
  <c r="F8" i="7"/>
  <c r="F51" i="14" s="1"/>
  <c r="E8" i="7"/>
  <c r="E51" i="14" s="1"/>
  <c r="D8" i="7"/>
  <c r="D51" i="14" s="1"/>
  <c r="C8" i="7"/>
  <c r="C51" i="14" s="1"/>
  <c r="B8" i="7"/>
  <c r="B51" i="14" s="1"/>
  <c r="W6"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W7" i="7" s="1"/>
  <c r="U5" i="7"/>
  <c r="U7" i="7" s="1"/>
  <c r="T5" i="7"/>
  <c r="S5" i="7"/>
  <c r="D5"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U4" i="7"/>
  <c r="U6" i="7" s="1"/>
  <c r="T4" i="7"/>
  <c r="S4" i="7"/>
  <c r="I4" i="7"/>
  <c r="Q3" i="7"/>
  <c r="P3" i="7"/>
  <c r="O3" i="7"/>
  <c r="O39" i="13" s="1"/>
  <c r="N3" i="7"/>
  <c r="M3" i="7"/>
  <c r="L3" i="7"/>
  <c r="K3" i="7"/>
  <c r="K39" i="13" s="1"/>
  <c r="J3" i="7"/>
  <c r="J30" i="18" s="1"/>
  <c r="I3" i="7"/>
  <c r="H3" i="7"/>
  <c r="G3" i="7"/>
  <c r="G39" i="13" s="1"/>
  <c r="F3" i="7"/>
  <c r="E3" i="7"/>
  <c r="D3" i="7"/>
  <c r="C3" i="7"/>
  <c r="C39" i="13" s="1"/>
  <c r="B3" i="7"/>
  <c r="Q2" i="7"/>
  <c r="P2" i="7"/>
  <c r="O2" i="7"/>
  <c r="O38" i="13" s="1"/>
  <c r="N2" i="7"/>
  <c r="N38" i="13" s="1"/>
  <c r="M2" i="7"/>
  <c r="L2" i="7"/>
  <c r="K2" i="7"/>
  <c r="K38" i="13" s="1"/>
  <c r="J2" i="7"/>
  <c r="J38" i="13" s="1"/>
  <c r="I2" i="7"/>
  <c r="H2" i="7"/>
  <c r="G2" i="7"/>
  <c r="G38" i="13" s="1"/>
  <c r="F2" i="7"/>
  <c r="F38" i="13" s="1"/>
  <c r="E2" i="7"/>
  <c r="D2" i="7"/>
  <c r="C2" i="7"/>
  <c r="C38" i="13" s="1"/>
  <c r="B2" i="7"/>
  <c r="B38" i="13" s="1"/>
  <c r="C4319" i="6"/>
  <c r="AW3501" i="6"/>
  <c r="AG3501" i="6"/>
  <c r="Q3501" i="6"/>
  <c r="E3501" i="6"/>
  <c r="AZ3500" i="6"/>
  <c r="AY3500" i="6"/>
  <c r="AV3500" i="6"/>
  <c r="AU3500" i="6"/>
  <c r="AR3500" i="6"/>
  <c r="AQ3500" i="6"/>
  <c r="AN3500" i="6"/>
  <c r="AM3500" i="6"/>
  <c r="AJ3500" i="6"/>
  <c r="AI3500" i="6"/>
  <c r="AF3500" i="6"/>
  <c r="AE3500" i="6"/>
  <c r="AB3500" i="6"/>
  <c r="AA3500" i="6"/>
  <c r="X3500" i="6"/>
  <c r="W3500" i="6"/>
  <c r="T3500" i="6"/>
  <c r="S3500" i="6"/>
  <c r="P3500" i="6"/>
  <c r="O3500" i="6"/>
  <c r="L3500" i="6"/>
  <c r="K3500" i="6"/>
  <c r="H3500" i="6"/>
  <c r="G3500" i="6"/>
  <c r="D3500" i="6"/>
  <c r="C3500" i="6"/>
  <c r="BA3497" i="6"/>
  <c r="AY3497" i="6"/>
  <c r="AY3501" i="6" s="1"/>
  <c r="AX3497" i="6"/>
  <c r="AW3497" i="6"/>
  <c r="AU3497" i="6"/>
  <c r="AU3501" i="6" s="1"/>
  <c r="AT3497" i="6"/>
  <c r="AS3497" i="6"/>
  <c r="AQ3497" i="6"/>
  <c r="AQ3501" i="6" s="1"/>
  <c r="AP3497" i="6"/>
  <c r="AO3497" i="6"/>
  <c r="AM3497" i="6"/>
  <c r="AM3501" i="6" s="1"/>
  <c r="AL3497" i="6"/>
  <c r="AK3497" i="6"/>
  <c r="AI3497" i="6"/>
  <c r="AI3501" i="6" s="1"/>
  <c r="AH3497" i="6"/>
  <c r="AG3497" i="6"/>
  <c r="AE3497" i="6"/>
  <c r="AE3501" i="6" s="1"/>
  <c r="AD3497" i="6"/>
  <c r="AC3497" i="6"/>
  <c r="AA3497" i="6"/>
  <c r="AA3501" i="6" s="1"/>
  <c r="Z3497" i="6"/>
  <c r="Y3497" i="6"/>
  <c r="W3497" i="6"/>
  <c r="W3501" i="6" s="1"/>
  <c r="V3497" i="6"/>
  <c r="U3497" i="6"/>
  <c r="T3497" i="6"/>
  <c r="T3501" i="6" s="1"/>
  <c r="S3497" i="6"/>
  <c r="S3501" i="6" s="1"/>
  <c r="R3497" i="6"/>
  <c r="Q3497" i="6"/>
  <c r="P3497" i="6"/>
  <c r="P3501" i="6" s="1"/>
  <c r="O3497" i="6"/>
  <c r="O3501" i="6" s="1"/>
  <c r="N3497" i="6"/>
  <c r="M3497" i="6"/>
  <c r="L3497" i="6"/>
  <c r="L3501" i="6" s="1"/>
  <c r="K3497" i="6"/>
  <c r="K3501" i="6" s="1"/>
  <c r="J3497" i="6"/>
  <c r="I3497" i="6"/>
  <c r="G3497" i="6"/>
  <c r="G3501" i="6" s="1"/>
  <c r="F3497" i="6"/>
  <c r="E3497" i="6"/>
  <c r="C3497" i="6"/>
  <c r="C3501" i="6" s="1"/>
  <c r="BT3496" i="6"/>
  <c r="BP3496" i="6"/>
  <c r="BL3496" i="6"/>
  <c r="BH3496" i="6"/>
  <c r="BD3496" i="6"/>
  <c r="BL3495" i="6"/>
  <c r="BH3495" i="6"/>
  <c r="BP3494" i="6"/>
  <c r="BL3494" i="6"/>
  <c r="BH3494" i="6"/>
  <c r="BD3494" i="6"/>
  <c r="AZ3494" i="6"/>
  <c r="BP3493" i="6"/>
  <c r="BD3493" i="6"/>
  <c r="AZ3493" i="6"/>
  <c r="BP3492" i="6"/>
  <c r="BL3492" i="6"/>
  <c r="BH3492" i="6"/>
  <c r="BD3492" i="6"/>
  <c r="AZ3492" i="6"/>
  <c r="BL3490" i="6"/>
  <c r="BH3490" i="6"/>
  <c r="BD3490" i="6"/>
  <c r="AZ3490" i="6"/>
  <c r="AV3490" i="6"/>
  <c r="BD3489" i="6"/>
  <c r="AZ3489" i="6"/>
  <c r="BL3488" i="6"/>
  <c r="BH3488" i="6"/>
  <c r="BD3488" i="6"/>
  <c r="AZ3488" i="6"/>
  <c r="AV3488" i="6"/>
  <c r="BH3487" i="6"/>
  <c r="AR3487" i="6"/>
  <c r="BH3486" i="6"/>
  <c r="BD3486" i="6"/>
  <c r="AZ3486" i="6"/>
  <c r="AV3486" i="6"/>
  <c r="AR3486" i="6"/>
  <c r="BH3484" i="6"/>
  <c r="BD3484" i="6"/>
  <c r="AZ3484" i="6"/>
  <c r="AV3484" i="6"/>
  <c r="AR3484" i="6"/>
  <c r="BH3483" i="6"/>
  <c r="AV3483" i="6"/>
  <c r="AR3483" i="6"/>
  <c r="BD3482" i="6"/>
  <c r="AZ3482" i="6"/>
  <c r="AV3482" i="6"/>
  <c r="AR3482" i="6"/>
  <c r="AN3482" i="6"/>
  <c r="AZ3481" i="6"/>
  <c r="BD3480" i="6"/>
  <c r="AZ3480" i="6"/>
  <c r="AV3480" i="6"/>
  <c r="AR3480" i="6"/>
  <c r="AN3480" i="6"/>
  <c r="AV3479" i="6"/>
  <c r="AR3479" i="6"/>
  <c r="AZ3478" i="6"/>
  <c r="AV3478" i="6"/>
  <c r="AR3478" i="6"/>
  <c r="AN3478" i="6"/>
  <c r="AJ3478" i="6"/>
  <c r="AZ3477" i="6"/>
  <c r="AN3477" i="6"/>
  <c r="AJ3477" i="6"/>
  <c r="AZ3476" i="6"/>
  <c r="AV3476" i="6"/>
  <c r="AR3476" i="6"/>
  <c r="AN3476" i="6"/>
  <c r="AJ3476" i="6"/>
  <c r="AV3474" i="6"/>
  <c r="AR3474" i="6"/>
  <c r="AN3474" i="6"/>
  <c r="AJ3474" i="6"/>
  <c r="AF3474" i="6"/>
  <c r="AN3473" i="6"/>
  <c r="AJ3473" i="6"/>
  <c r="AV3472" i="6"/>
  <c r="AR3472" i="6"/>
  <c r="AN3472" i="6"/>
  <c r="AJ3472" i="6"/>
  <c r="AF3472" i="6"/>
  <c r="AR3471" i="6"/>
  <c r="AB3471" i="6"/>
  <c r="AR3470" i="6"/>
  <c r="AN3470" i="6"/>
  <c r="AJ3470" i="6"/>
  <c r="AF3470" i="6"/>
  <c r="AB3470" i="6"/>
  <c r="AR3468" i="6"/>
  <c r="AN3468" i="6"/>
  <c r="AJ3468" i="6"/>
  <c r="AF3468" i="6"/>
  <c r="AB3468" i="6"/>
  <c r="AR3467" i="6"/>
  <c r="AF3467" i="6"/>
  <c r="AB3467" i="6"/>
  <c r="AN3466" i="6"/>
  <c r="AJ3466" i="6"/>
  <c r="AF3466" i="6"/>
  <c r="AB3466" i="6"/>
  <c r="X3466" i="6"/>
  <c r="AJ3465" i="6"/>
  <c r="AN3464" i="6"/>
  <c r="AJ3464" i="6"/>
  <c r="AF3464" i="6"/>
  <c r="AB3464" i="6"/>
  <c r="X3464" i="6"/>
  <c r="AF3463" i="6"/>
  <c r="AB3463" i="6"/>
  <c r="AJ3462" i="6"/>
  <c r="AF3462" i="6"/>
  <c r="AB3462" i="6"/>
  <c r="X3462" i="6"/>
  <c r="T3462" i="6"/>
  <c r="AJ3461" i="6"/>
  <c r="T3461" i="6"/>
  <c r="AJ3460" i="6"/>
  <c r="AF3460" i="6"/>
  <c r="AB3460" i="6"/>
  <c r="X3460" i="6"/>
  <c r="T3460" i="6"/>
  <c r="AF3459" i="6"/>
  <c r="AB3459" i="6"/>
  <c r="P3459" i="6"/>
  <c r="AF3458" i="6"/>
  <c r="AB3458" i="6"/>
  <c r="X3458" i="6"/>
  <c r="T3458" i="6"/>
  <c r="P3458" i="6"/>
  <c r="T3457" i="6"/>
  <c r="AF3456" i="6"/>
  <c r="AB3456" i="6"/>
  <c r="X3456" i="6"/>
  <c r="T3456" i="6"/>
  <c r="P3456" i="6"/>
  <c r="AF3455" i="6"/>
  <c r="AB3455" i="6"/>
  <c r="P3455" i="6"/>
  <c r="L3455" i="6"/>
  <c r="AB3454" i="6"/>
  <c r="X3454" i="6"/>
  <c r="T3454" i="6"/>
  <c r="P3454" i="6"/>
  <c r="L3454" i="6"/>
  <c r="T3453" i="6"/>
  <c r="AB3452" i="6"/>
  <c r="X3452" i="6"/>
  <c r="T3452" i="6"/>
  <c r="P3452" i="6"/>
  <c r="L3452" i="6"/>
  <c r="AB3451" i="6"/>
  <c r="P3451" i="6"/>
  <c r="L3451" i="6"/>
  <c r="X3450" i="6"/>
  <c r="T3450" i="6"/>
  <c r="P3450" i="6"/>
  <c r="L3450" i="6"/>
  <c r="H3450" i="6"/>
  <c r="T3449" i="6"/>
  <c r="X3448" i="6"/>
  <c r="T3448" i="6"/>
  <c r="P3448" i="6"/>
  <c r="L3448" i="6"/>
  <c r="H3448" i="6"/>
  <c r="P3447" i="6"/>
  <c r="L3447" i="6"/>
  <c r="T3446" i="6"/>
  <c r="P3446" i="6"/>
  <c r="L3446" i="6"/>
  <c r="H3446" i="6"/>
  <c r="D3446" i="6"/>
  <c r="BR3444" i="6"/>
  <c r="BN3444" i="6"/>
  <c r="BB3444" i="6"/>
  <c r="BN3442" i="6"/>
  <c r="BR3438" i="6"/>
  <c r="BN3438" i="6"/>
  <c r="BB3438" i="6"/>
  <c r="AX3438" i="6"/>
  <c r="BN3436" i="6"/>
  <c r="BB3436" i="6"/>
  <c r="AX3436" i="6"/>
  <c r="BN3434" i="6"/>
  <c r="AX3434" i="6"/>
  <c r="BB3430" i="6"/>
  <c r="AX3430" i="6"/>
  <c r="BB3428" i="6"/>
  <c r="AX3428" i="6"/>
  <c r="AL3428" i="6"/>
  <c r="AX3426" i="6"/>
  <c r="BB3422" i="6"/>
  <c r="AX3422" i="6"/>
  <c r="AL3422" i="6"/>
  <c r="AH3422" i="6"/>
  <c r="AX3420" i="6"/>
  <c r="AL3420" i="6"/>
  <c r="AH3420" i="6"/>
  <c r="AX3418" i="6"/>
  <c r="AH3418" i="6"/>
  <c r="AL3414" i="6"/>
  <c r="AH3414" i="6"/>
  <c r="AL3412" i="6"/>
  <c r="AH3412" i="6"/>
  <c r="V3412" i="6"/>
  <c r="AH3410" i="6"/>
  <c r="AH3408" i="6"/>
  <c r="AL3406" i="6"/>
  <c r="AH3406" i="6"/>
  <c r="V3406" i="6"/>
  <c r="R3406" i="6"/>
  <c r="AH3404" i="6"/>
  <c r="V3404" i="6"/>
  <c r="R3404" i="6"/>
  <c r="AH3402" i="6"/>
  <c r="R3402" i="6"/>
  <c r="R3400" i="6"/>
  <c r="V3398" i="6"/>
  <c r="R3398" i="6"/>
  <c r="V3396" i="6"/>
  <c r="R3396" i="6"/>
  <c r="F3396" i="6"/>
  <c r="R3394" i="6"/>
  <c r="BY3392" i="6"/>
  <c r="BY3341" i="6" s="1" a="1"/>
  <c r="BY3341" i="6" s="1"/>
  <c r="BW3392" i="6"/>
  <c r="BQ3392" i="6"/>
  <c r="BO3392" i="6"/>
  <c r="BI3392" i="6"/>
  <c r="BG3392" i="6"/>
  <c r="BA3392" i="6"/>
  <c r="BW3390" i="6"/>
  <c r="BO3390" i="6"/>
  <c r="BG3390" i="6"/>
  <c r="AY3390" i="6"/>
  <c r="BQ3386" i="6"/>
  <c r="BO3386" i="6"/>
  <c r="BI3386" i="6"/>
  <c r="BG3386" i="6"/>
  <c r="BA3386" i="6"/>
  <c r="AY3386" i="6"/>
  <c r="BQ3384" i="6"/>
  <c r="BO3384" i="6"/>
  <c r="BI3384" i="6"/>
  <c r="BG3384" i="6"/>
  <c r="BA3384" i="6"/>
  <c r="AY3384" i="6"/>
  <c r="AS3384" i="6"/>
  <c r="BO3382" i="6"/>
  <c r="BG3382" i="6"/>
  <c r="AY3382" i="6"/>
  <c r="AQ3382" i="6"/>
  <c r="BI3378" i="6"/>
  <c r="BG3378" i="6"/>
  <c r="BA3378" i="6"/>
  <c r="AY3378" i="6"/>
  <c r="AS3378" i="6"/>
  <c r="AQ3378" i="6"/>
  <c r="BI3376" i="6"/>
  <c r="BG3376" i="6"/>
  <c r="BA3376" i="6"/>
  <c r="AY3376" i="6"/>
  <c r="AS3376" i="6"/>
  <c r="AQ3376" i="6"/>
  <c r="AK3376" i="6"/>
  <c r="BG3374" i="6"/>
  <c r="AY3374" i="6"/>
  <c r="AQ3374" i="6"/>
  <c r="AI3374" i="6"/>
  <c r="BA3370" i="6"/>
  <c r="AY3370" i="6"/>
  <c r="AS3370" i="6"/>
  <c r="AQ3370" i="6"/>
  <c r="AK3370" i="6"/>
  <c r="AI3370" i="6"/>
  <c r="BA3368" i="6"/>
  <c r="AY3368" i="6"/>
  <c r="AS3368" i="6"/>
  <c r="AQ3368" i="6"/>
  <c r="AK3368" i="6"/>
  <c r="AI3368" i="6"/>
  <c r="AC3368" i="6"/>
  <c r="AY3366" i="6"/>
  <c r="AQ3366" i="6"/>
  <c r="AI3366" i="6"/>
  <c r="AA3366" i="6"/>
  <c r="AS3362" i="6"/>
  <c r="AQ3362" i="6"/>
  <c r="AK3362" i="6"/>
  <c r="AI3362" i="6"/>
  <c r="AC3362" i="6"/>
  <c r="AA3362" i="6"/>
  <c r="AS3360" i="6"/>
  <c r="AQ3360" i="6"/>
  <c r="AK3360" i="6"/>
  <c r="AI3360" i="6"/>
  <c r="AC3360" i="6"/>
  <c r="AA3360" i="6"/>
  <c r="U3360" i="6"/>
  <c r="AQ3358" i="6"/>
  <c r="AI3358" i="6"/>
  <c r="AA3358" i="6"/>
  <c r="S3358" i="6"/>
  <c r="AK3354" i="6"/>
  <c r="AI3354" i="6"/>
  <c r="AC3354" i="6"/>
  <c r="AA3354" i="6"/>
  <c r="U3354" i="6"/>
  <c r="S3354" i="6"/>
  <c r="AK3352" i="6"/>
  <c r="AI3352" i="6"/>
  <c r="AC3352" i="6"/>
  <c r="AA3352" i="6"/>
  <c r="U3352" i="6"/>
  <c r="S3352" i="6"/>
  <c r="M3352" i="6"/>
  <c r="AI3350" i="6"/>
  <c r="AA3350" i="6"/>
  <c r="S3350" i="6"/>
  <c r="K3350" i="6"/>
  <c r="AC3346" i="6"/>
  <c r="AA3346" i="6"/>
  <c r="U3346" i="6"/>
  <c r="S3346" i="6"/>
  <c r="M3346" i="6"/>
  <c r="K3346" i="6"/>
  <c r="AC3344" i="6"/>
  <c r="AA3344" i="6"/>
  <c r="U3344" i="6"/>
  <c r="S3344" i="6"/>
  <c r="M3344" i="6"/>
  <c r="K3344" i="6"/>
  <c r="E3344" i="6"/>
  <c r="AA3342" i="6"/>
  <c r="S3342" i="6"/>
  <c r="K3342" i="6"/>
  <c r="C3342" i="6"/>
  <c r="C3341" i="6" s="1" a="1"/>
  <c r="C3341" i="6" s="1"/>
  <c r="BA3340" i="6"/>
  <c r="AW3340" i="6"/>
  <c r="AS3340" i="6"/>
  <c r="AP3340" i="6"/>
  <c r="AO3340" i="6"/>
  <c r="AK3340" i="6"/>
  <c r="AG3340" i="6"/>
  <c r="AF3340" i="6"/>
  <c r="AC3340" i="6"/>
  <c r="Y3340" i="6"/>
  <c r="U3340" i="6"/>
  <c r="Q3340" i="6"/>
  <c r="P3340" i="6"/>
  <c r="M3340" i="6"/>
  <c r="L3340" i="6"/>
  <c r="J3340" i="6"/>
  <c r="I3340" i="6"/>
  <c r="E3340" i="6"/>
  <c r="BA3339" i="6"/>
  <c r="AY3339" i="6"/>
  <c r="AW3339" i="6"/>
  <c r="AX3440" i="6" s="1"/>
  <c r="AU3339" i="6"/>
  <c r="BF3438" i="6" s="1"/>
  <c r="AS3339" i="6"/>
  <c r="AQ3339" i="6"/>
  <c r="AO3339" i="6"/>
  <c r="AQ3380" i="6" s="1"/>
  <c r="AM3339" i="6"/>
  <c r="BF3430" i="6" s="1"/>
  <c r="AK3339" i="6"/>
  <c r="AI3339" i="6"/>
  <c r="AG3339" i="6"/>
  <c r="AI3372" i="6" s="1"/>
  <c r="AE3339" i="6"/>
  <c r="AP3422" i="6" s="1"/>
  <c r="AC3339" i="6"/>
  <c r="AA3339" i="6"/>
  <c r="Y3339" i="6"/>
  <c r="AA3364" i="6" s="1"/>
  <c r="W3339" i="6"/>
  <c r="AP3414" i="6" s="1"/>
  <c r="U3339" i="6"/>
  <c r="S3339" i="6"/>
  <c r="Q3339" i="6"/>
  <c r="S3356" i="6" s="1"/>
  <c r="O3339" i="6"/>
  <c r="Z3406" i="6" s="1"/>
  <c r="M3339" i="6"/>
  <c r="K3339" i="6"/>
  <c r="I3339" i="6"/>
  <c r="K3348" i="6" s="1"/>
  <c r="G3339" i="6"/>
  <c r="Z3398" i="6" s="1"/>
  <c r="E3339" i="6"/>
  <c r="C3339" i="6"/>
  <c r="BA3338" i="6"/>
  <c r="BS3496" i="6" s="1"/>
  <c r="AZ3338" i="6"/>
  <c r="BP3495" i="6" s="1"/>
  <c r="AX3338" i="6"/>
  <c r="AW3338" i="6"/>
  <c r="BO3492" i="6" s="1"/>
  <c r="AV3338" i="6"/>
  <c r="AT3338" i="6"/>
  <c r="BH3489" i="6" s="1"/>
  <c r="AS3338" i="6"/>
  <c r="BK3488" i="6" s="1"/>
  <c r="AR3338" i="6"/>
  <c r="AP3338" i="6"/>
  <c r="AO3338" i="6"/>
  <c r="BG3484" i="6" s="1"/>
  <c r="AN3338" i="6"/>
  <c r="AL3338" i="6"/>
  <c r="AK3338" i="6"/>
  <c r="BC3480" i="6" s="1"/>
  <c r="AJ3338" i="6"/>
  <c r="AZ3479" i="6" s="1"/>
  <c r="AH3338" i="6"/>
  <c r="AG3338" i="6"/>
  <c r="AY3476" i="6" s="1"/>
  <c r="AF3338" i="6"/>
  <c r="AD3338" i="6"/>
  <c r="AR3473" i="6" s="1"/>
  <c r="AC3338" i="6"/>
  <c r="AU3472" i="6" s="1"/>
  <c r="AB3338" i="6"/>
  <c r="Z3338" i="6"/>
  <c r="Y3338" i="6"/>
  <c r="AQ3468" i="6" s="1"/>
  <c r="X3338" i="6"/>
  <c r="V3338" i="6"/>
  <c r="U3338" i="6"/>
  <c r="AM3464" i="6" s="1"/>
  <c r="T3338" i="6"/>
  <c r="AJ3463" i="6" s="1"/>
  <c r="S3338" i="6"/>
  <c r="AM3462" i="6" s="1"/>
  <c r="R3338" i="6"/>
  <c r="Q3338" i="6"/>
  <c r="AI3460" i="6" s="1"/>
  <c r="P3338" i="6"/>
  <c r="AJ3459" i="6" s="1"/>
  <c r="O3338" i="6"/>
  <c r="AI3458" i="6" s="1"/>
  <c r="N3338" i="6"/>
  <c r="M3338" i="6"/>
  <c r="AE3456" i="6" s="1"/>
  <c r="L3338" i="6"/>
  <c r="T3455" i="6" s="1"/>
  <c r="K3338" i="6"/>
  <c r="AE3454" i="6" s="1"/>
  <c r="J3338" i="6"/>
  <c r="I3338" i="6"/>
  <c r="AA3452" i="6" s="1"/>
  <c r="H3338" i="6"/>
  <c r="T3451" i="6" s="1"/>
  <c r="G3338" i="6"/>
  <c r="AA3450" i="6" s="1"/>
  <c r="F3338" i="6"/>
  <c r="E3338" i="6"/>
  <c r="W3448" i="6" s="1"/>
  <c r="D3338" i="6"/>
  <c r="T3447" i="6" s="1"/>
  <c r="C3338" i="6"/>
  <c r="W3446" i="6" s="1"/>
  <c r="BA3337" i="6"/>
  <c r="AZ3337" i="6"/>
  <c r="AY3337" i="6"/>
  <c r="AW3337" i="6"/>
  <c r="AV3337" i="6"/>
  <c r="AU3337" i="6"/>
  <c r="AS3337" i="6"/>
  <c r="AR3337" i="6"/>
  <c r="AQ3337" i="6"/>
  <c r="AO3337" i="6"/>
  <c r="AN3337" i="6"/>
  <c r="AM3337" i="6"/>
  <c r="AK3337" i="6"/>
  <c r="AJ3337" i="6"/>
  <c r="AI3337" i="6"/>
  <c r="AG3337" i="6"/>
  <c r="AF3337" i="6"/>
  <c r="AE3337" i="6"/>
  <c r="AC3337" i="6"/>
  <c r="AB3337" i="6"/>
  <c r="AA3337" i="6"/>
  <c r="Y3337" i="6"/>
  <c r="X3337" i="6"/>
  <c r="W3337" i="6"/>
  <c r="U3337" i="6"/>
  <c r="S3337" i="6"/>
  <c r="Q3337" i="6"/>
  <c r="O3337" i="6"/>
  <c r="M3337" i="6"/>
  <c r="K3337" i="6"/>
  <c r="G3337" i="6"/>
  <c r="C3337" i="6"/>
  <c r="AZ3333" i="6"/>
  <c r="AY3333" i="6"/>
  <c r="AX3333" i="6"/>
  <c r="AV3333" i="6"/>
  <c r="AU3333" i="6"/>
  <c r="AT3333" i="6"/>
  <c r="AR3333" i="6"/>
  <c r="AQ3333" i="6"/>
  <c r="AP3333" i="6"/>
  <c r="AN3333" i="6"/>
  <c r="AM3333" i="6"/>
  <c r="AL3333" i="6"/>
  <c r="AJ3333" i="6"/>
  <c r="AI3333" i="6"/>
  <c r="AH3333" i="6"/>
  <c r="AF3333" i="6"/>
  <c r="AE3333" i="6"/>
  <c r="AD3333" i="6"/>
  <c r="AB3333" i="6"/>
  <c r="AA3333" i="6"/>
  <c r="Z3333" i="6"/>
  <c r="X3333" i="6"/>
  <c r="W3333" i="6"/>
  <c r="V3333" i="6"/>
  <c r="T3333" i="6"/>
  <c r="S3333" i="6"/>
  <c r="R3333" i="6"/>
  <c r="P3333" i="6"/>
  <c r="O3333" i="6"/>
  <c r="N3333" i="6"/>
  <c r="L3333" i="6"/>
  <c r="K3333" i="6"/>
  <c r="J3333" i="6"/>
  <c r="H3333" i="6"/>
  <c r="G3333" i="6"/>
  <c r="F3333" i="6"/>
  <c r="D3333" i="6"/>
  <c r="C3333" i="6"/>
  <c r="BO3331" i="6"/>
  <c r="BM3331" i="6"/>
  <c r="BG3331" i="6"/>
  <c r="BE3331" i="6"/>
  <c r="BS3330" i="6"/>
  <c r="BQ3330" i="6"/>
  <c r="BK3330" i="6"/>
  <c r="BI3330" i="6"/>
  <c r="BC3330" i="6"/>
  <c r="BA3330" i="6"/>
  <c r="BM3329" i="6"/>
  <c r="BO3327" i="6"/>
  <c r="BM3327" i="6"/>
  <c r="BG3327" i="6"/>
  <c r="BE3327" i="6"/>
  <c r="AY3327" i="6"/>
  <c r="AW3327" i="6"/>
  <c r="BK3326" i="6"/>
  <c r="BI3326" i="6"/>
  <c r="BC3326" i="6"/>
  <c r="BA3326" i="6"/>
  <c r="AU3326" i="6"/>
  <c r="BM3325" i="6"/>
  <c r="BG3323" i="6"/>
  <c r="BE3323" i="6"/>
  <c r="AY3323" i="6"/>
  <c r="AW3323" i="6"/>
  <c r="BK3322" i="6"/>
  <c r="BI3322" i="6"/>
  <c r="BC3322" i="6"/>
  <c r="BA3322" i="6"/>
  <c r="AU3322" i="6"/>
  <c r="AS3322" i="6"/>
  <c r="BE3321" i="6"/>
  <c r="BG3319" i="6"/>
  <c r="BE3319" i="6"/>
  <c r="AY3319" i="6"/>
  <c r="AW3319" i="6"/>
  <c r="AQ3319" i="6"/>
  <c r="AO3319" i="6"/>
  <c r="BC3318" i="6"/>
  <c r="BA3318" i="6"/>
  <c r="AU3318" i="6"/>
  <c r="AS3318" i="6"/>
  <c r="AM3318" i="6"/>
  <c r="BE3317" i="6"/>
  <c r="AY3315" i="6"/>
  <c r="AW3315" i="6"/>
  <c r="AQ3315" i="6"/>
  <c r="AO3315" i="6"/>
  <c r="BC3314" i="6"/>
  <c r="BA3314" i="6"/>
  <c r="AU3314" i="6"/>
  <c r="AS3314" i="6"/>
  <c r="AM3314" i="6"/>
  <c r="AK3314" i="6"/>
  <c r="AW3313" i="6"/>
  <c r="AY3311" i="6"/>
  <c r="AW3311" i="6"/>
  <c r="AQ3311" i="6"/>
  <c r="AO3311" i="6"/>
  <c r="AI3311" i="6"/>
  <c r="AG3311" i="6"/>
  <c r="AU3310" i="6"/>
  <c r="AS3310" i="6"/>
  <c r="AM3310" i="6"/>
  <c r="AK3310" i="6"/>
  <c r="AE3310" i="6"/>
  <c r="AW3309" i="6"/>
  <c r="AQ3307" i="6"/>
  <c r="AO3307" i="6"/>
  <c r="AI3307" i="6"/>
  <c r="AG3307" i="6"/>
  <c r="AU3306" i="6"/>
  <c r="AS3306" i="6"/>
  <c r="AM3306" i="6"/>
  <c r="AK3306" i="6"/>
  <c r="AE3306" i="6"/>
  <c r="AC3306" i="6"/>
  <c r="AO3305" i="6"/>
  <c r="AQ3303" i="6"/>
  <c r="AO3303" i="6"/>
  <c r="AI3303" i="6"/>
  <c r="AG3303" i="6"/>
  <c r="AA3303" i="6"/>
  <c r="Y3303" i="6"/>
  <c r="AM3302" i="6"/>
  <c r="AK3302" i="6"/>
  <c r="AE3302" i="6"/>
  <c r="AC3302" i="6"/>
  <c r="W3302" i="6"/>
  <c r="AO3301" i="6"/>
  <c r="AK3299" i="6"/>
  <c r="AI3299" i="6"/>
  <c r="AE3299" i="6"/>
  <c r="AD3299" i="6"/>
  <c r="Z3299" i="6"/>
  <c r="Y3299" i="6"/>
  <c r="U3299" i="6"/>
  <c r="AM3298" i="6"/>
  <c r="AI3298" i="6"/>
  <c r="AH3298" i="6"/>
  <c r="AD3298" i="6"/>
  <c r="AC3298" i="6"/>
  <c r="Y3298" i="6"/>
  <c r="W3298" i="6"/>
  <c r="S3298" i="6"/>
  <c r="AG3297" i="6"/>
  <c r="AI3295" i="6"/>
  <c r="AE3295" i="6"/>
  <c r="AD3295" i="6"/>
  <c r="Z3295" i="6"/>
  <c r="Y3295" i="6"/>
  <c r="U3295" i="6"/>
  <c r="S3295" i="6"/>
  <c r="AI3294" i="6"/>
  <c r="AH3294" i="6"/>
  <c r="AD3294" i="6"/>
  <c r="AC3294" i="6"/>
  <c r="Y3294" i="6"/>
  <c r="W3294" i="6"/>
  <c r="S3294" i="6"/>
  <c r="R3294" i="6"/>
  <c r="V3293" i="6"/>
  <c r="AE3291" i="6"/>
  <c r="AD3291" i="6"/>
  <c r="Z3291" i="6"/>
  <c r="Y3291" i="6"/>
  <c r="U3291" i="6"/>
  <c r="S3291" i="6"/>
  <c r="O3291" i="6"/>
  <c r="N3291" i="6"/>
  <c r="AD3290" i="6"/>
  <c r="AC3290" i="6"/>
  <c r="Y3290" i="6"/>
  <c r="W3290" i="6"/>
  <c r="S3290" i="6"/>
  <c r="R3290" i="6"/>
  <c r="N3290" i="6"/>
  <c r="M3290" i="6"/>
  <c r="Q3289" i="6"/>
  <c r="Z3287" i="6"/>
  <c r="Y3287" i="6"/>
  <c r="U3287" i="6"/>
  <c r="S3287" i="6"/>
  <c r="O3287" i="6"/>
  <c r="N3287" i="6"/>
  <c r="J3287" i="6"/>
  <c r="I3287" i="6"/>
  <c r="Y3286" i="6"/>
  <c r="W3286" i="6"/>
  <c r="S3286" i="6"/>
  <c r="R3286" i="6"/>
  <c r="N3286" i="6"/>
  <c r="M3286" i="6"/>
  <c r="I3286" i="6"/>
  <c r="G3286" i="6"/>
  <c r="K3285" i="6"/>
  <c r="U3283" i="6"/>
  <c r="S3283" i="6"/>
  <c r="O3283" i="6"/>
  <c r="N3283" i="6"/>
  <c r="J3283" i="6"/>
  <c r="I3283" i="6"/>
  <c r="E3283" i="6"/>
  <c r="W3282" i="6"/>
  <c r="S3282" i="6"/>
  <c r="R3282" i="6"/>
  <c r="N3282" i="6"/>
  <c r="M3282" i="6"/>
  <c r="I3282" i="6"/>
  <c r="G3282" i="6"/>
  <c r="C3282" i="6"/>
  <c r="C3281" i="6" s="1"/>
  <c r="D3280" i="6"/>
  <c r="BX3278" i="6"/>
  <c r="BT3278" i="6"/>
  <c r="BS3278" i="6"/>
  <c r="BO3278" i="6"/>
  <c r="BM3278" i="6"/>
  <c r="BI3278" i="6"/>
  <c r="BH3278" i="6"/>
  <c r="BD3278" i="6"/>
  <c r="BC3278" i="6"/>
  <c r="BP3277" i="6"/>
  <c r="BT3274" i="6"/>
  <c r="BS3274" i="6"/>
  <c r="BO3274" i="6"/>
  <c r="BM3274" i="6"/>
  <c r="BI3274" i="6"/>
  <c r="BH3274" i="6"/>
  <c r="BD3274" i="6"/>
  <c r="BC3274" i="6"/>
  <c r="AY3274" i="6"/>
  <c r="AW3274" i="6"/>
  <c r="BK3273" i="6"/>
  <c r="BN3270" i="6"/>
  <c r="BM3270" i="6"/>
  <c r="BJ3270" i="6"/>
  <c r="BI3270" i="6"/>
  <c r="BF3270" i="6"/>
  <c r="BE3270" i="6"/>
  <c r="BB3270" i="6"/>
  <c r="BA3270" i="6"/>
  <c r="AX3270" i="6"/>
  <c r="AW3270" i="6"/>
  <c r="AT3270" i="6"/>
  <c r="AS3270" i="6"/>
  <c r="BI3269" i="6"/>
  <c r="AS3269" i="6"/>
  <c r="BJ3266" i="6"/>
  <c r="BI3266" i="6"/>
  <c r="BF3266" i="6"/>
  <c r="BE3266" i="6"/>
  <c r="BB3266" i="6"/>
  <c r="BA3266" i="6"/>
  <c r="AX3266" i="6"/>
  <c r="AW3266" i="6"/>
  <c r="AT3266" i="6"/>
  <c r="AS3266" i="6"/>
  <c r="AP3266" i="6"/>
  <c r="AO3266" i="6"/>
  <c r="BF3262" i="6"/>
  <c r="BE3262" i="6"/>
  <c r="BB3262" i="6"/>
  <c r="BA3262" i="6"/>
  <c r="AX3262" i="6"/>
  <c r="AW3262" i="6"/>
  <c r="AT3262" i="6"/>
  <c r="AS3262" i="6"/>
  <c r="AP3262" i="6"/>
  <c r="AO3262" i="6"/>
  <c r="AL3262" i="6"/>
  <c r="AK3262" i="6"/>
  <c r="BF3261" i="6"/>
  <c r="AX3261" i="6"/>
  <c r="AP3261" i="6"/>
  <c r="BB3258" i="6"/>
  <c r="BA3258" i="6"/>
  <c r="AX3258" i="6"/>
  <c r="AW3258" i="6"/>
  <c r="AT3258" i="6"/>
  <c r="AS3258" i="6"/>
  <c r="AP3258" i="6"/>
  <c r="AO3258" i="6"/>
  <c r="AL3258" i="6"/>
  <c r="AK3258" i="6"/>
  <c r="AH3258" i="6"/>
  <c r="AG3258" i="6"/>
  <c r="AX3257" i="6"/>
  <c r="AP3257" i="6"/>
  <c r="AH3257" i="6"/>
  <c r="AX3254" i="6"/>
  <c r="AW3254" i="6"/>
  <c r="AT3254" i="6"/>
  <c r="AS3254" i="6"/>
  <c r="AP3254" i="6"/>
  <c r="AO3254" i="6"/>
  <c r="AL3254" i="6"/>
  <c r="AK3254" i="6"/>
  <c r="AH3254" i="6"/>
  <c r="AG3254" i="6"/>
  <c r="AD3254" i="6"/>
  <c r="AC3254" i="6"/>
  <c r="AX3253" i="6"/>
  <c r="AP3253" i="6"/>
  <c r="AH3253" i="6"/>
  <c r="AT3250" i="6"/>
  <c r="AS3250" i="6"/>
  <c r="AP3250" i="6"/>
  <c r="AO3250" i="6"/>
  <c r="AL3250" i="6"/>
  <c r="AK3250" i="6"/>
  <c r="AH3250" i="6"/>
  <c r="AG3250" i="6"/>
  <c r="AD3250" i="6"/>
  <c r="AC3250" i="6"/>
  <c r="Z3250" i="6"/>
  <c r="Y3250" i="6"/>
  <c r="AP3246" i="6"/>
  <c r="AO3246" i="6"/>
  <c r="AL3246" i="6"/>
  <c r="AK3246" i="6"/>
  <c r="AH3246" i="6"/>
  <c r="AG3246" i="6"/>
  <c r="AD3246" i="6"/>
  <c r="AC3246" i="6"/>
  <c r="Z3246" i="6"/>
  <c r="Y3246" i="6"/>
  <c r="V3246" i="6"/>
  <c r="U3246" i="6"/>
  <c r="AP3245" i="6"/>
  <c r="AH3245" i="6"/>
  <c r="Z3245" i="6"/>
  <c r="AL3242" i="6"/>
  <c r="AK3242" i="6"/>
  <c r="AH3242" i="6"/>
  <c r="AG3242" i="6"/>
  <c r="AD3242" i="6"/>
  <c r="AC3242" i="6"/>
  <c r="Z3242" i="6"/>
  <c r="Y3242" i="6"/>
  <c r="V3242" i="6"/>
  <c r="U3242" i="6"/>
  <c r="R3242" i="6"/>
  <c r="Q3242" i="6"/>
  <c r="AH3241" i="6"/>
  <c r="Z3241" i="6"/>
  <c r="R3241" i="6"/>
  <c r="AH3238" i="6"/>
  <c r="AG3238" i="6"/>
  <c r="AD3238" i="6"/>
  <c r="AC3238" i="6"/>
  <c r="Z3238" i="6"/>
  <c r="Y3238" i="6"/>
  <c r="V3238" i="6"/>
  <c r="U3238" i="6"/>
  <c r="R3238" i="6"/>
  <c r="Q3238" i="6"/>
  <c r="N3238" i="6"/>
  <c r="M3238" i="6"/>
  <c r="AH3237" i="6"/>
  <c r="Z3237" i="6"/>
  <c r="R3237" i="6"/>
  <c r="AD3234" i="6"/>
  <c r="AC3234" i="6"/>
  <c r="Z3234" i="6"/>
  <c r="Y3234" i="6"/>
  <c r="V3234" i="6"/>
  <c r="U3234" i="6"/>
  <c r="R3234" i="6"/>
  <c r="Q3234" i="6"/>
  <c r="N3234" i="6"/>
  <c r="M3234" i="6"/>
  <c r="J3234" i="6"/>
  <c r="I3234" i="6"/>
  <c r="Z3230" i="6"/>
  <c r="Y3230" i="6"/>
  <c r="V3230" i="6"/>
  <c r="U3230" i="6"/>
  <c r="R3230" i="6"/>
  <c r="Q3230" i="6"/>
  <c r="N3230" i="6"/>
  <c r="M3230" i="6"/>
  <c r="J3230" i="6"/>
  <c r="I3230" i="6"/>
  <c r="F3230" i="6"/>
  <c r="E3230" i="6"/>
  <c r="Z3229" i="6"/>
  <c r="R3229" i="6"/>
  <c r="J3229" i="6"/>
  <c r="BW3226" i="6"/>
  <c r="BV3226" i="6"/>
  <c r="BS3226" i="6"/>
  <c r="BR3226" i="6"/>
  <c r="BO3226" i="6"/>
  <c r="BN3226" i="6"/>
  <c r="BK3226" i="6"/>
  <c r="BJ3226" i="6"/>
  <c r="BG3226" i="6"/>
  <c r="BF3226" i="6"/>
  <c r="BC3226" i="6"/>
  <c r="BB3226" i="6"/>
  <c r="BW3225" i="6"/>
  <c r="BO3225" i="6"/>
  <c r="BG3225" i="6"/>
  <c r="AY3225" i="6"/>
  <c r="BS3222" i="6"/>
  <c r="BR3222" i="6"/>
  <c r="BO3222" i="6"/>
  <c r="BN3222" i="6"/>
  <c r="BK3222" i="6"/>
  <c r="BJ3222" i="6"/>
  <c r="BG3222" i="6"/>
  <c r="BF3222" i="6"/>
  <c r="BC3222" i="6"/>
  <c r="BB3222" i="6"/>
  <c r="AY3222" i="6"/>
  <c r="AX3222" i="6"/>
  <c r="BO3221" i="6"/>
  <c r="BG3221" i="6"/>
  <c r="AY3221" i="6"/>
  <c r="BO3218" i="6"/>
  <c r="BN3218" i="6"/>
  <c r="BK3218" i="6"/>
  <c r="BJ3218" i="6"/>
  <c r="BG3218" i="6"/>
  <c r="BF3218" i="6"/>
  <c r="BC3218" i="6"/>
  <c r="BB3218" i="6"/>
  <c r="AY3218" i="6"/>
  <c r="AX3218" i="6"/>
  <c r="AU3218" i="6"/>
  <c r="AT3218" i="6"/>
  <c r="BO3217" i="6"/>
  <c r="BG3217" i="6"/>
  <c r="AY3217" i="6"/>
  <c r="AQ3217" i="6"/>
  <c r="BK3214" i="6"/>
  <c r="BJ3214" i="6"/>
  <c r="BG3214" i="6"/>
  <c r="BF3214" i="6"/>
  <c r="BC3214" i="6"/>
  <c r="BB3214" i="6"/>
  <c r="AY3214" i="6"/>
  <c r="AX3214" i="6"/>
  <c r="AU3214" i="6"/>
  <c r="AT3214" i="6"/>
  <c r="AQ3214" i="6"/>
  <c r="AP3214" i="6"/>
  <c r="BG3210" i="6"/>
  <c r="BF3210" i="6"/>
  <c r="BC3210" i="6"/>
  <c r="BB3210" i="6"/>
  <c r="AY3210" i="6"/>
  <c r="AX3210" i="6"/>
  <c r="AU3210" i="6"/>
  <c r="AT3210" i="6"/>
  <c r="AQ3210" i="6"/>
  <c r="AP3210" i="6"/>
  <c r="AM3210" i="6"/>
  <c r="AL3210" i="6"/>
  <c r="BG3209" i="6"/>
  <c r="AY3209" i="6"/>
  <c r="AQ3209" i="6"/>
  <c r="AI3209" i="6"/>
  <c r="AI3208" i="6"/>
  <c r="BC3206" i="6"/>
  <c r="BB3206" i="6"/>
  <c r="AY3206" i="6"/>
  <c r="AX3206" i="6"/>
  <c r="AU3206" i="6"/>
  <c r="AT3206" i="6"/>
  <c r="AQ3206" i="6"/>
  <c r="AP3206" i="6"/>
  <c r="AM3206" i="6"/>
  <c r="AL3206" i="6"/>
  <c r="AI3206" i="6"/>
  <c r="AH3206" i="6"/>
  <c r="AY3205" i="6"/>
  <c r="AQ3205" i="6"/>
  <c r="AI3205" i="6"/>
  <c r="AY3202" i="6"/>
  <c r="AX3202" i="6"/>
  <c r="AU3202" i="6"/>
  <c r="AT3202" i="6"/>
  <c r="AQ3202" i="6"/>
  <c r="AP3202" i="6"/>
  <c r="AM3202" i="6"/>
  <c r="AL3202" i="6"/>
  <c r="AI3202" i="6"/>
  <c r="AH3202" i="6"/>
  <c r="AE3202" i="6"/>
  <c r="AD3202" i="6"/>
  <c r="AY3201" i="6"/>
  <c r="AQ3201" i="6"/>
  <c r="AI3201" i="6"/>
  <c r="AA3201" i="6"/>
  <c r="AU3198" i="6"/>
  <c r="AT3198" i="6"/>
  <c r="AQ3198" i="6"/>
  <c r="AP3198" i="6"/>
  <c r="AM3198" i="6"/>
  <c r="AL3198" i="6"/>
  <c r="AI3198" i="6"/>
  <c r="AH3198" i="6"/>
  <c r="AE3198" i="6"/>
  <c r="AD3198" i="6"/>
  <c r="AA3198" i="6"/>
  <c r="Z3198" i="6"/>
  <c r="AI3197" i="6"/>
  <c r="AQ3194" i="6"/>
  <c r="AP3194" i="6"/>
  <c r="AM3194" i="6"/>
  <c r="AL3194" i="6"/>
  <c r="AI3194" i="6"/>
  <c r="AH3194" i="6"/>
  <c r="AE3194" i="6"/>
  <c r="AD3194" i="6"/>
  <c r="AA3194" i="6"/>
  <c r="Z3194" i="6"/>
  <c r="W3194" i="6"/>
  <c r="V3194" i="6"/>
  <c r="AQ3193" i="6"/>
  <c r="AI3193" i="6"/>
  <c r="AA3193" i="6"/>
  <c r="S3193" i="6"/>
  <c r="AI3192" i="6"/>
  <c r="AM3190" i="6"/>
  <c r="AL3190" i="6"/>
  <c r="AI3190" i="6"/>
  <c r="AH3190" i="6"/>
  <c r="AE3190" i="6"/>
  <c r="AD3190" i="6"/>
  <c r="AA3190" i="6"/>
  <c r="Z3190" i="6"/>
  <c r="W3190" i="6"/>
  <c r="V3190" i="6"/>
  <c r="S3190" i="6"/>
  <c r="R3190" i="6"/>
  <c r="AI3189" i="6"/>
  <c r="AA3189" i="6"/>
  <c r="S3189" i="6"/>
  <c r="AI3186" i="6"/>
  <c r="AH3186" i="6"/>
  <c r="AE3186" i="6"/>
  <c r="AD3186" i="6"/>
  <c r="AA3186" i="6"/>
  <c r="Z3186" i="6"/>
  <c r="W3186" i="6"/>
  <c r="V3186" i="6"/>
  <c r="S3186" i="6"/>
  <c r="R3186" i="6"/>
  <c r="O3186" i="6"/>
  <c r="N3186" i="6"/>
  <c r="AI3185" i="6"/>
  <c r="AA3185" i="6"/>
  <c r="S3185" i="6"/>
  <c r="K3185" i="6"/>
  <c r="AE3182" i="6"/>
  <c r="AD3182" i="6"/>
  <c r="AA3182" i="6"/>
  <c r="Z3182" i="6"/>
  <c r="W3182" i="6"/>
  <c r="V3182" i="6"/>
  <c r="S3182" i="6"/>
  <c r="R3182" i="6"/>
  <c r="O3182" i="6"/>
  <c r="N3182" i="6"/>
  <c r="K3182" i="6"/>
  <c r="J3182" i="6"/>
  <c r="AA3178" i="6"/>
  <c r="Z3178" i="6"/>
  <c r="W3178" i="6"/>
  <c r="V3178" i="6"/>
  <c r="S3178" i="6"/>
  <c r="R3178" i="6"/>
  <c r="O3178" i="6"/>
  <c r="N3178" i="6"/>
  <c r="K3178" i="6"/>
  <c r="J3178" i="6"/>
  <c r="G3178" i="6"/>
  <c r="F3178" i="6"/>
  <c r="AA3177" i="6"/>
  <c r="S3177" i="6"/>
  <c r="K3177" i="6"/>
  <c r="C3177" i="6"/>
  <c r="C3176" i="6" s="1" a="1"/>
  <c r="C3176" i="6" s="1"/>
  <c r="AZ3175" i="6"/>
  <c r="AY3175" i="6"/>
  <c r="AV3175" i="6"/>
  <c r="AU3175" i="6"/>
  <c r="AR3175" i="6"/>
  <c r="AQ3175" i="6"/>
  <c r="AN3175" i="6"/>
  <c r="AM3175" i="6"/>
  <c r="AJ3175" i="6"/>
  <c r="AI3175" i="6"/>
  <c r="AF3175" i="6"/>
  <c r="AE3175" i="6"/>
  <c r="AB3175" i="6"/>
  <c r="AA3175" i="6"/>
  <c r="X3175" i="6"/>
  <c r="W3175" i="6"/>
  <c r="T3175" i="6"/>
  <c r="S3175" i="6"/>
  <c r="P3175" i="6"/>
  <c r="O3175" i="6"/>
  <c r="L3175" i="6"/>
  <c r="K3175" i="6"/>
  <c r="H3175" i="6"/>
  <c r="G3175" i="6"/>
  <c r="D3175" i="6"/>
  <c r="C3175" i="6"/>
  <c r="AZ3174" i="6"/>
  <c r="AY3174" i="6"/>
  <c r="AX3174" i="6"/>
  <c r="AV3174" i="6"/>
  <c r="AU3174" i="6"/>
  <c r="BP3273" i="6" s="1"/>
  <c r="AR3174" i="6"/>
  <c r="BP3270" i="6" s="1"/>
  <c r="AQ3174" i="6"/>
  <c r="BA3269" i="6" s="1"/>
  <c r="AN3174" i="6"/>
  <c r="BL3266" i="6" s="1"/>
  <c r="AM3174" i="6"/>
  <c r="AQ3213" i="6" s="1"/>
  <c r="AJ3174" i="6"/>
  <c r="BH3262" i="6" s="1"/>
  <c r="AI3174" i="6"/>
  <c r="AH3174" i="6"/>
  <c r="AY3208" i="6" s="1"/>
  <c r="AF3174" i="6"/>
  <c r="BD3258" i="6" s="1"/>
  <c r="AE3174" i="6"/>
  <c r="BA3257" i="6" s="1"/>
  <c r="AB3174" i="6"/>
  <c r="AZ3254" i="6" s="1"/>
  <c r="AA3174" i="6"/>
  <c r="AT3253" i="6" s="1"/>
  <c r="X3174" i="6"/>
  <c r="AV3250" i="6" s="1"/>
  <c r="W3174" i="6"/>
  <c r="T3174" i="6"/>
  <c r="AR3246" i="6" s="1"/>
  <c r="S3174" i="6"/>
  <c r="R3174" i="6"/>
  <c r="P3174" i="6"/>
  <c r="AN3242" i="6" s="1"/>
  <c r="O3174" i="6"/>
  <c r="AK3241" i="6" s="1"/>
  <c r="L3174" i="6"/>
  <c r="AJ3238" i="6" s="1"/>
  <c r="K3174" i="6"/>
  <c r="AD3237" i="6" s="1"/>
  <c r="H3174" i="6"/>
  <c r="AF3234" i="6" s="1"/>
  <c r="G3174" i="6"/>
  <c r="D3174" i="6"/>
  <c r="AB3230" i="6" s="1"/>
  <c r="C3174" i="6"/>
  <c r="BA3173" i="6"/>
  <c r="AZ3173" i="6"/>
  <c r="BQ3331" i="6" s="1"/>
  <c r="AY3173" i="6"/>
  <c r="AX3173" i="6"/>
  <c r="AW3173" i="6"/>
  <c r="AV3173" i="6"/>
  <c r="BI3327" i="6" s="1"/>
  <c r="AU3173" i="6"/>
  <c r="AT3173" i="6"/>
  <c r="AS3173" i="6"/>
  <c r="AR3173" i="6"/>
  <c r="BI3323" i="6" s="1"/>
  <c r="AQ3173" i="6"/>
  <c r="AP3173" i="6"/>
  <c r="AO3173" i="6"/>
  <c r="AN3173" i="6"/>
  <c r="BA3319" i="6" s="1"/>
  <c r="AM3173" i="6"/>
  <c r="AL3173" i="6"/>
  <c r="AK3173" i="6"/>
  <c r="AJ3173" i="6"/>
  <c r="BA3315" i="6" s="1"/>
  <c r="AI3173" i="6"/>
  <c r="AH3173" i="6"/>
  <c r="AG3173" i="6"/>
  <c r="AF3173" i="6"/>
  <c r="AS3311" i="6" s="1"/>
  <c r="AE3173" i="6"/>
  <c r="AD3173" i="6"/>
  <c r="AC3173" i="6"/>
  <c r="AB3173" i="6"/>
  <c r="AS3307" i="6" s="1"/>
  <c r="AA3173" i="6"/>
  <c r="Z3173" i="6"/>
  <c r="Y3173" i="6"/>
  <c r="X3173" i="6"/>
  <c r="AK3303" i="6" s="1"/>
  <c r="W3173" i="6"/>
  <c r="V3173" i="6"/>
  <c r="U3173" i="6"/>
  <c r="T3173" i="6"/>
  <c r="AL3299" i="6" s="1"/>
  <c r="S3173" i="6"/>
  <c r="R3173" i="6"/>
  <c r="Q3173" i="6"/>
  <c r="P3173" i="6"/>
  <c r="AG3295" i="6" s="1"/>
  <c r="O3173" i="6"/>
  <c r="N3173" i="6"/>
  <c r="M3173" i="6"/>
  <c r="L3173" i="6"/>
  <c r="AA3291" i="6" s="1"/>
  <c r="K3173" i="6"/>
  <c r="J3173" i="6"/>
  <c r="I3173" i="6"/>
  <c r="H3173" i="6"/>
  <c r="AA3287" i="6" s="1"/>
  <c r="G3173" i="6"/>
  <c r="F3173" i="6"/>
  <c r="E3173" i="6"/>
  <c r="D3173" i="6"/>
  <c r="V3283" i="6" s="1"/>
  <c r="C3173" i="6"/>
  <c r="BA3172" i="6"/>
  <c r="AZ3172" i="6"/>
  <c r="AY3172" i="6"/>
  <c r="AX3172" i="6"/>
  <c r="AW3172" i="6"/>
  <c r="AV3172" i="6"/>
  <c r="AU3172" i="6"/>
  <c r="AT3172" i="6"/>
  <c r="AS3172" i="6"/>
  <c r="AR3172" i="6"/>
  <c r="AQ3172" i="6"/>
  <c r="AP3172" i="6"/>
  <c r="AO3172" i="6"/>
  <c r="AN3172" i="6"/>
  <c r="AM3172" i="6"/>
  <c r="AL3172" i="6"/>
  <c r="AK3172" i="6"/>
  <c r="AJ3172" i="6"/>
  <c r="AI3172" i="6"/>
  <c r="AH3172" i="6"/>
  <c r="AG3172" i="6"/>
  <c r="AF3172" i="6"/>
  <c r="AE3172" i="6"/>
  <c r="AD3172" i="6"/>
  <c r="AC3172" i="6"/>
  <c r="AB3172" i="6"/>
  <c r="AA3172" i="6"/>
  <c r="Z3172" i="6"/>
  <c r="Y3172" i="6"/>
  <c r="X3172" i="6"/>
  <c r="W3172" i="6"/>
  <c r="V3172" i="6"/>
  <c r="U3172" i="6"/>
  <c r="T3172" i="6"/>
  <c r="S3172" i="6"/>
  <c r="R3172" i="6"/>
  <c r="Q3172" i="6"/>
  <c r="P3172" i="6"/>
  <c r="O3172" i="6"/>
  <c r="N3172" i="6"/>
  <c r="M3172" i="6"/>
  <c r="L3172" i="6"/>
  <c r="K3172" i="6"/>
  <c r="J3172" i="6"/>
  <c r="I3172" i="6"/>
  <c r="H3172" i="6"/>
  <c r="G3172" i="6"/>
  <c r="F3172" i="6"/>
  <c r="E3172" i="6"/>
  <c r="D3172" i="6"/>
  <c r="C3172" i="6"/>
  <c r="T3171" i="6"/>
  <c r="S3171" i="6"/>
  <c r="R3171" i="6"/>
  <c r="Q3171" i="6"/>
  <c r="P3171" i="6"/>
  <c r="O3171" i="6"/>
  <c r="N3171" i="6"/>
  <c r="M3171" i="6"/>
  <c r="L3171" i="6"/>
  <c r="K3171" i="6"/>
  <c r="J3171" i="6"/>
  <c r="I3171" i="6"/>
  <c r="H3171" i="6"/>
  <c r="G3171" i="6"/>
  <c r="F3171" i="6"/>
  <c r="E3171" i="6"/>
  <c r="D3171" i="6"/>
  <c r="C3171" i="6"/>
  <c r="C3170" i="6"/>
  <c r="BA3169" i="6"/>
  <c r="AZ3169" i="6"/>
  <c r="AY3169" i="6"/>
  <c r="AX3169" i="6"/>
  <c r="AW3169" i="6"/>
  <c r="AV3169" i="6"/>
  <c r="AU3169" i="6"/>
  <c r="AT3169" i="6"/>
  <c r="AS3169" i="6"/>
  <c r="AR3169" i="6"/>
  <c r="AQ3169" i="6"/>
  <c r="AP3169" i="6"/>
  <c r="AO3169" i="6"/>
  <c r="AN3169" i="6"/>
  <c r="AM3169" i="6"/>
  <c r="AL3169" i="6"/>
  <c r="AK3169" i="6"/>
  <c r="AJ3169" i="6"/>
  <c r="AI3169" i="6"/>
  <c r="AH3169" i="6"/>
  <c r="AG3169" i="6"/>
  <c r="AF3169" i="6"/>
  <c r="AE3169" i="6"/>
  <c r="AD3169" i="6"/>
  <c r="AC3169" i="6"/>
  <c r="AB3169" i="6"/>
  <c r="AA3169" i="6"/>
  <c r="Z3169" i="6"/>
  <c r="Y3169" i="6"/>
  <c r="X3169" i="6"/>
  <c r="W3169" i="6"/>
  <c r="V3169" i="6"/>
  <c r="U3169" i="6"/>
  <c r="T3169" i="6"/>
  <c r="S3169" i="6"/>
  <c r="R3169" i="6"/>
  <c r="Q3169" i="6"/>
  <c r="P3169" i="6"/>
  <c r="O3169" i="6"/>
  <c r="N3169" i="6"/>
  <c r="M3169" i="6"/>
  <c r="L3169" i="6"/>
  <c r="K3169" i="6"/>
  <c r="J3169" i="6"/>
  <c r="I3169" i="6"/>
  <c r="H3169" i="6"/>
  <c r="G3169" i="6"/>
  <c r="F3169" i="6"/>
  <c r="E3169" i="6"/>
  <c r="D3169" i="6"/>
  <c r="C3169" i="6"/>
  <c r="AO3132" i="6"/>
  <c r="AL3132" i="6"/>
  <c r="AK3132" i="6"/>
  <c r="AH3132" i="6"/>
  <c r="AG3132" i="6"/>
  <c r="AD3132" i="6"/>
  <c r="AC3132" i="6"/>
  <c r="Z3132" i="6"/>
  <c r="Y3132" i="6"/>
  <c r="V3132" i="6"/>
  <c r="U3132" i="6"/>
  <c r="AL3131" i="6"/>
  <c r="AD3131" i="6"/>
  <c r="V3131" i="6"/>
  <c r="AL3129" i="6"/>
  <c r="AK3129" i="6"/>
  <c r="AH3129" i="6"/>
  <c r="AG3129" i="6"/>
  <c r="AD3129" i="6"/>
  <c r="AC3129" i="6"/>
  <c r="Z3129" i="6"/>
  <c r="Y3129" i="6"/>
  <c r="V3129" i="6"/>
  <c r="U3129" i="6"/>
  <c r="R3129" i="6"/>
  <c r="AK3128" i="6"/>
  <c r="AH3128" i="6"/>
  <c r="AG3128" i="6"/>
  <c r="AD3128" i="6"/>
  <c r="AC3128" i="6"/>
  <c r="Z3128" i="6"/>
  <c r="Y3128" i="6"/>
  <c r="V3128" i="6"/>
  <c r="U3128" i="6"/>
  <c r="R3128" i="6"/>
  <c r="Q3128" i="6"/>
  <c r="AD3127" i="6"/>
  <c r="V3127" i="6"/>
  <c r="AH3125" i="6"/>
  <c r="AG3125" i="6"/>
  <c r="AD3125" i="6"/>
  <c r="AC3125" i="6"/>
  <c r="Z3125" i="6"/>
  <c r="Y3125" i="6"/>
  <c r="V3125" i="6"/>
  <c r="U3125" i="6"/>
  <c r="R3125" i="6"/>
  <c r="Q3125" i="6"/>
  <c r="N3125" i="6"/>
  <c r="AG3124" i="6"/>
  <c r="AD3124" i="6"/>
  <c r="AC3124" i="6"/>
  <c r="Z3124" i="6"/>
  <c r="Y3124" i="6"/>
  <c r="V3124" i="6"/>
  <c r="U3124" i="6"/>
  <c r="R3124" i="6"/>
  <c r="Q3124" i="6"/>
  <c r="N3124" i="6"/>
  <c r="M3124" i="6"/>
  <c r="AD3123" i="6"/>
  <c r="V3123" i="6"/>
  <c r="N3123" i="6"/>
  <c r="AD3121" i="6"/>
  <c r="AC3121" i="6"/>
  <c r="Z3121" i="6"/>
  <c r="Y3121" i="6"/>
  <c r="V3121" i="6"/>
  <c r="U3121" i="6"/>
  <c r="R3121" i="6"/>
  <c r="Q3121" i="6"/>
  <c r="N3121" i="6"/>
  <c r="M3121" i="6"/>
  <c r="J3121" i="6"/>
  <c r="AC3120" i="6"/>
  <c r="Z3120" i="6"/>
  <c r="Y3120" i="6"/>
  <c r="V3120" i="6"/>
  <c r="U3120" i="6"/>
  <c r="R3120" i="6"/>
  <c r="Q3120" i="6"/>
  <c r="N3120" i="6"/>
  <c r="M3120" i="6"/>
  <c r="J3120" i="6"/>
  <c r="I3120" i="6"/>
  <c r="V3119" i="6"/>
  <c r="N3119" i="6"/>
  <c r="Z3117" i="6"/>
  <c r="Y3117" i="6"/>
  <c r="V3117" i="6"/>
  <c r="U3117" i="6"/>
  <c r="R3117" i="6"/>
  <c r="Q3117" i="6"/>
  <c r="N3117" i="6"/>
  <c r="M3117" i="6"/>
  <c r="J3117" i="6"/>
  <c r="I3117" i="6"/>
  <c r="F3117" i="6"/>
  <c r="Y3116" i="6"/>
  <c r="V3116" i="6"/>
  <c r="U3116" i="6"/>
  <c r="R3116" i="6"/>
  <c r="Q3116" i="6"/>
  <c r="N3116" i="6"/>
  <c r="M3116" i="6"/>
  <c r="J3116" i="6"/>
  <c r="I3116" i="6"/>
  <c r="F3116" i="6"/>
  <c r="E3116" i="6"/>
  <c r="V3115" i="6"/>
  <c r="N3115" i="6"/>
  <c r="F3115" i="6"/>
  <c r="AH3079" i="6"/>
  <c r="AC3075" i="6"/>
  <c r="Z3075" i="6"/>
  <c r="U3075" i="6"/>
  <c r="R3075" i="6"/>
  <c r="U3067" i="6"/>
  <c r="R3067" i="6"/>
  <c r="M3067" i="6"/>
  <c r="J3067" i="6"/>
  <c r="AG3027" i="6"/>
  <c r="AB3023" i="6"/>
  <c r="Y3023" i="6"/>
  <c r="T3023" i="6"/>
  <c r="Q3023" i="6"/>
  <c r="T3015" i="6"/>
  <c r="Q3015" i="6"/>
  <c r="L3015" i="6"/>
  <c r="I3015" i="6"/>
  <c r="I3011" i="6"/>
  <c r="U3007" i="6"/>
  <c r="R3007" i="6"/>
  <c r="Q3007" i="6"/>
  <c r="N3007" i="6"/>
  <c r="M3007" i="6"/>
  <c r="J3007" i="6"/>
  <c r="I3007" i="6"/>
  <c r="F3007" i="6"/>
  <c r="E3007" i="6"/>
  <c r="U3006" i="6"/>
  <c r="Q3006" i="6"/>
  <c r="M3006" i="6"/>
  <c r="I3006" i="6"/>
  <c r="E3006" i="6"/>
  <c r="R3063" i="6" s="1"/>
  <c r="U3005" i="6"/>
  <c r="AN3132" i="6" s="1"/>
  <c r="T3005" i="6"/>
  <c r="S3005" i="6"/>
  <c r="R3005" i="6"/>
  <c r="AJ3129" i="6" s="1"/>
  <c r="Q3005" i="6"/>
  <c r="AJ3128" i="6" s="1"/>
  <c r="P3005" i="6"/>
  <c r="O3005" i="6"/>
  <c r="N3005" i="6"/>
  <c r="AF3125" i="6" s="1"/>
  <c r="M3005" i="6"/>
  <c r="AF3124" i="6" s="1"/>
  <c r="L3005" i="6"/>
  <c r="K3005" i="6"/>
  <c r="J3005" i="6"/>
  <c r="AB3121" i="6" s="1"/>
  <c r="I3005" i="6"/>
  <c r="AB3120" i="6" s="1"/>
  <c r="H3005" i="6"/>
  <c r="G3005" i="6"/>
  <c r="F3005" i="6"/>
  <c r="X3117" i="6" s="1"/>
  <c r="E3005" i="6"/>
  <c r="X3116" i="6" s="1"/>
  <c r="D3005" i="6"/>
  <c r="C3005" i="6"/>
  <c r="V3004" i="6"/>
  <c r="U3004" i="6"/>
  <c r="T3004" i="6"/>
  <c r="S3004" i="6"/>
  <c r="R3004" i="6"/>
  <c r="Q3004" i="6"/>
  <c r="P3004" i="6"/>
  <c r="O3004" i="6"/>
  <c r="N3004" i="6"/>
  <c r="M3004" i="6"/>
  <c r="L3004" i="6"/>
  <c r="K3004" i="6"/>
  <c r="J3004" i="6"/>
  <c r="I3004" i="6"/>
  <c r="H3004" i="6"/>
  <c r="G3004" i="6"/>
  <c r="F3004" i="6"/>
  <c r="E3004" i="6"/>
  <c r="D3004" i="6"/>
  <c r="C3004" i="6"/>
  <c r="S3003" i="6"/>
  <c r="R3003" i="6"/>
  <c r="Q3003" i="6"/>
  <c r="P3003" i="6"/>
  <c r="O3003" i="6"/>
  <c r="N3003" i="6"/>
  <c r="M3003" i="6"/>
  <c r="L3003" i="6"/>
  <c r="K3003" i="6"/>
  <c r="J3003" i="6"/>
  <c r="I3003" i="6"/>
  <c r="H3003" i="6"/>
  <c r="G3003" i="6"/>
  <c r="F3003" i="6"/>
  <c r="E3003" i="6"/>
  <c r="D3003" i="6"/>
  <c r="C3003" i="6"/>
  <c r="U3002" i="6"/>
  <c r="T3002" i="6"/>
  <c r="S3002" i="6"/>
  <c r="R3002" i="6"/>
  <c r="Q3002" i="6"/>
  <c r="P3002" i="6"/>
  <c r="O3002" i="6"/>
  <c r="N3002" i="6"/>
  <c r="M3002" i="6"/>
  <c r="L3002" i="6"/>
  <c r="K3002" i="6"/>
  <c r="J3002" i="6"/>
  <c r="I3002" i="6"/>
  <c r="H3002" i="6"/>
  <c r="G3002" i="6"/>
  <c r="F3002" i="6"/>
  <c r="E3002" i="6"/>
  <c r="D3002" i="6"/>
  <c r="C3002" i="6"/>
  <c r="AN2966" i="6"/>
  <c r="AH2966" i="6"/>
  <c r="AC2966" i="6"/>
  <c r="X2966" i="6"/>
  <c r="AK2964" i="6"/>
  <c r="AF2964" i="6"/>
  <c r="Z2964" i="6"/>
  <c r="U2964" i="6"/>
  <c r="R2962" i="6"/>
  <c r="AK2961" i="6"/>
  <c r="AJ2961" i="6"/>
  <c r="AH2961" i="6"/>
  <c r="AG2961" i="6"/>
  <c r="AF2961" i="6"/>
  <c r="AD2961" i="6"/>
  <c r="AC2961" i="6"/>
  <c r="AB2961" i="6"/>
  <c r="Z2961" i="6"/>
  <c r="Y2961" i="6"/>
  <c r="X2961" i="6"/>
  <c r="V2961" i="6"/>
  <c r="U2961" i="6"/>
  <c r="T2961" i="6"/>
  <c r="R2961" i="6"/>
  <c r="Q2961" i="6"/>
  <c r="AF2960" i="6"/>
  <c r="Z2960" i="6"/>
  <c r="U2960" i="6"/>
  <c r="P2960" i="6"/>
  <c r="AH2958" i="6"/>
  <c r="AG2957" i="6"/>
  <c r="AF2957" i="6"/>
  <c r="AD2957" i="6"/>
  <c r="AC2957" i="6"/>
  <c r="AB2957" i="6"/>
  <c r="Z2957" i="6"/>
  <c r="Y2957" i="6"/>
  <c r="X2957" i="6"/>
  <c r="V2957" i="6"/>
  <c r="U2957" i="6"/>
  <c r="T2957" i="6"/>
  <c r="R2957" i="6"/>
  <c r="Q2957" i="6"/>
  <c r="P2957" i="6"/>
  <c r="N2957" i="6"/>
  <c r="M2957" i="6"/>
  <c r="AF2956" i="6"/>
  <c r="Z2956" i="6"/>
  <c r="U2956" i="6"/>
  <c r="P2956" i="6"/>
  <c r="AC2954" i="6"/>
  <c r="AC2953" i="6"/>
  <c r="AB2953" i="6"/>
  <c r="Z2953" i="6"/>
  <c r="Y2953" i="6"/>
  <c r="X2953" i="6"/>
  <c r="V2953" i="6"/>
  <c r="U2953" i="6"/>
  <c r="T2953" i="6"/>
  <c r="R2953" i="6"/>
  <c r="Q2953" i="6"/>
  <c r="P2953" i="6"/>
  <c r="N2953" i="6"/>
  <c r="M2953" i="6"/>
  <c r="L2953" i="6"/>
  <c r="J2953" i="6"/>
  <c r="I2953" i="6"/>
  <c r="Z2952" i="6"/>
  <c r="U2952" i="6"/>
  <c r="P2952" i="6"/>
  <c r="J2952" i="6"/>
  <c r="X2950" i="6"/>
  <c r="Y2949" i="6"/>
  <c r="X2949" i="6"/>
  <c r="V2949" i="6"/>
  <c r="U2949" i="6"/>
  <c r="T2949" i="6"/>
  <c r="R2949" i="6"/>
  <c r="Q2949" i="6"/>
  <c r="P2949" i="6"/>
  <c r="N2949" i="6"/>
  <c r="M2949" i="6"/>
  <c r="L2949" i="6"/>
  <c r="J2949" i="6"/>
  <c r="I2949" i="6"/>
  <c r="H2949" i="6"/>
  <c r="F2949" i="6"/>
  <c r="E2949" i="6"/>
  <c r="U2948" i="6"/>
  <c r="P2948" i="6"/>
  <c r="J2948" i="6"/>
  <c r="E2948" i="6"/>
  <c r="AD2908" i="6"/>
  <c r="Y2908" i="6"/>
  <c r="T2908" i="6"/>
  <c r="AB2907" i="6"/>
  <c r="V2904" i="6"/>
  <c r="Q2904" i="6"/>
  <c r="T2900" i="6"/>
  <c r="D2895" i="6"/>
  <c r="Z2859" i="6"/>
  <c r="AE2856" i="6"/>
  <c r="AC2856" i="6"/>
  <c r="Y2856" i="6"/>
  <c r="X2856" i="6"/>
  <c r="T2856" i="6"/>
  <c r="S2856" i="6"/>
  <c r="AC2855" i="6"/>
  <c r="R2855" i="6"/>
  <c r="AA2852" i="6"/>
  <c r="W2852" i="6"/>
  <c r="U2852" i="6"/>
  <c r="Q2852" i="6"/>
  <c r="P2852" i="6"/>
  <c r="T2848" i="6"/>
  <c r="I2848" i="6"/>
  <c r="O2843" i="6"/>
  <c r="E2843" i="6"/>
  <c r="V2840" i="6"/>
  <c r="R2840" i="6"/>
  <c r="Q2840" i="6"/>
  <c r="M2840" i="6"/>
  <c r="L2840" i="6"/>
  <c r="I2840" i="6"/>
  <c r="H2840" i="6"/>
  <c r="E2840" i="6"/>
  <c r="T2839" i="6"/>
  <c r="Z2911" i="6" s="1"/>
  <c r="Q2839" i="6"/>
  <c r="Z2908" i="6" s="1"/>
  <c r="P2839" i="6"/>
  <c r="M2839" i="6"/>
  <c r="Y2904" i="6" s="1"/>
  <c r="I2839" i="6"/>
  <c r="E2839" i="6"/>
  <c r="D2839" i="6"/>
  <c r="O2895" i="6" s="1"/>
  <c r="V2838" i="6"/>
  <c r="AK2966" i="6" s="1"/>
  <c r="T2838" i="6"/>
  <c r="AL2964" i="6" s="1"/>
  <c r="S2838" i="6"/>
  <c r="R2838" i="6"/>
  <c r="AC2962" i="6" s="1"/>
  <c r="Q2838" i="6"/>
  <c r="AI2961" i="6" s="1"/>
  <c r="P2838" i="6"/>
  <c r="AG2960" i="6" s="1"/>
  <c r="O2838" i="6"/>
  <c r="N2838" i="6"/>
  <c r="X2958" i="6" s="1"/>
  <c r="M2838" i="6"/>
  <c r="AE2957" i="6" s="1"/>
  <c r="L2838" i="6"/>
  <c r="AB2956" i="6" s="1"/>
  <c r="K2838" i="6"/>
  <c r="J2838" i="6"/>
  <c r="R2954" i="6" s="1"/>
  <c r="I2838" i="6"/>
  <c r="AA2953" i="6" s="1"/>
  <c r="H2838" i="6"/>
  <c r="AB2952" i="6" s="1"/>
  <c r="G2838" i="6"/>
  <c r="F2838" i="6"/>
  <c r="M2950" i="6" s="1"/>
  <c r="E2838" i="6"/>
  <c r="W2949" i="6" s="1"/>
  <c r="D2838" i="6"/>
  <c r="V2948" i="6" s="1"/>
  <c r="C2838" i="6"/>
  <c r="V2837" i="6"/>
  <c r="U2837" i="6"/>
  <c r="T2837" i="6"/>
  <c r="S2837" i="6"/>
  <c r="R2837" i="6"/>
  <c r="Q2837" i="6"/>
  <c r="P2837" i="6"/>
  <c r="O2837" i="6"/>
  <c r="N2837" i="6"/>
  <c r="M2837" i="6"/>
  <c r="L2837" i="6"/>
  <c r="K2837" i="6"/>
  <c r="J2837" i="6"/>
  <c r="I2837" i="6"/>
  <c r="H2837" i="6"/>
  <c r="G2837" i="6"/>
  <c r="F2837" i="6"/>
  <c r="E2837" i="6"/>
  <c r="D2837" i="6"/>
  <c r="C2837" i="6"/>
  <c r="S2836" i="6"/>
  <c r="R2836" i="6"/>
  <c r="Q2836" i="6"/>
  <c r="P2836" i="6"/>
  <c r="O2836" i="6"/>
  <c r="N2836" i="6"/>
  <c r="M2836" i="6"/>
  <c r="L2836" i="6"/>
  <c r="K2836" i="6"/>
  <c r="J2836" i="6"/>
  <c r="I2836" i="6"/>
  <c r="H2836" i="6"/>
  <c r="G2836" i="6"/>
  <c r="F2836" i="6"/>
  <c r="E2836" i="6"/>
  <c r="D2836" i="6"/>
  <c r="C2836" i="6"/>
  <c r="U2835" i="6"/>
  <c r="T2835" i="6"/>
  <c r="S2835" i="6"/>
  <c r="R2835" i="6"/>
  <c r="Q2835" i="6"/>
  <c r="P2835" i="6"/>
  <c r="O2835" i="6"/>
  <c r="N2835" i="6"/>
  <c r="M2835" i="6"/>
  <c r="L2835" i="6"/>
  <c r="K2835" i="6"/>
  <c r="J2835" i="6"/>
  <c r="I2835" i="6"/>
  <c r="H2835" i="6"/>
  <c r="G2835" i="6"/>
  <c r="F2835" i="6"/>
  <c r="E2835" i="6"/>
  <c r="D2835" i="6"/>
  <c r="C2835" i="6"/>
  <c r="O2671" i="6"/>
  <c r="K2671" i="6"/>
  <c r="V2670" i="6"/>
  <c r="U2670" i="6"/>
  <c r="T2670" i="6"/>
  <c r="S2670" i="6"/>
  <c r="R2670" i="6"/>
  <c r="Q2670" i="6"/>
  <c r="P2670" i="6"/>
  <c r="O2670" i="6"/>
  <c r="N2670" i="6"/>
  <c r="M2670" i="6"/>
  <c r="L2670" i="6"/>
  <c r="K2670" i="6"/>
  <c r="J2670" i="6"/>
  <c r="I2670" i="6"/>
  <c r="H2670" i="6"/>
  <c r="G2670" i="6"/>
  <c r="F2670" i="6"/>
  <c r="E2670" i="6"/>
  <c r="D2670" i="6"/>
  <c r="C2670" i="6"/>
  <c r="S2669" i="6"/>
  <c r="R2669" i="6"/>
  <c r="Q2669" i="6"/>
  <c r="P2669" i="6"/>
  <c r="O2669" i="6"/>
  <c r="N2669" i="6"/>
  <c r="M2669" i="6"/>
  <c r="L2669" i="6"/>
  <c r="K2669" i="6"/>
  <c r="J2669" i="6"/>
  <c r="I2669" i="6"/>
  <c r="H2669" i="6"/>
  <c r="G2669" i="6"/>
  <c r="F2669" i="6"/>
  <c r="E2669" i="6"/>
  <c r="D2669" i="6"/>
  <c r="C2669" i="6"/>
  <c r="T2668" i="6"/>
  <c r="S2668" i="6"/>
  <c r="R2668" i="6"/>
  <c r="Q2668" i="6"/>
  <c r="P2668" i="6"/>
  <c r="O2668" i="6"/>
  <c r="N2668" i="6"/>
  <c r="M2668" i="6"/>
  <c r="L2668" i="6"/>
  <c r="K2668" i="6"/>
  <c r="J2668" i="6"/>
  <c r="I2668" i="6"/>
  <c r="H2668" i="6"/>
  <c r="G2668" i="6"/>
  <c r="F2668" i="6"/>
  <c r="E2668" i="6"/>
  <c r="D2668" i="6"/>
  <c r="C2668" i="6"/>
  <c r="AL2633" i="6"/>
  <c r="AK2633" i="6"/>
  <c r="AJ2633" i="6"/>
  <c r="AI2633" i="6"/>
  <c r="AH2633" i="6"/>
  <c r="AG2633" i="6"/>
  <c r="AF2633" i="6"/>
  <c r="AE2633" i="6"/>
  <c r="AD2633" i="6"/>
  <c r="AC2633" i="6"/>
  <c r="AB2633" i="6"/>
  <c r="AA2633" i="6"/>
  <c r="Z2633" i="6"/>
  <c r="Y2633" i="6"/>
  <c r="X2633" i="6"/>
  <c r="W2633" i="6"/>
  <c r="Y2620" i="6"/>
  <c r="X2620" i="6"/>
  <c r="W2620" i="6"/>
  <c r="V2620" i="6"/>
  <c r="U2620" i="6"/>
  <c r="T2620" i="6"/>
  <c r="S2620" i="6"/>
  <c r="R2620" i="6"/>
  <c r="Q2620" i="6"/>
  <c r="P2620" i="6"/>
  <c r="O2620" i="6"/>
  <c r="N2620" i="6"/>
  <c r="M2620" i="6"/>
  <c r="L2620" i="6"/>
  <c r="K2620" i="6"/>
  <c r="J2620" i="6"/>
  <c r="X2619" i="6"/>
  <c r="W2619" i="6"/>
  <c r="V2619" i="6"/>
  <c r="U2619" i="6"/>
  <c r="T2619" i="6"/>
  <c r="S2619" i="6"/>
  <c r="R2619" i="6"/>
  <c r="Q2619" i="6"/>
  <c r="P2619" i="6"/>
  <c r="O2619" i="6"/>
  <c r="N2619" i="6"/>
  <c r="M2619" i="6"/>
  <c r="L2619" i="6"/>
  <c r="K2619" i="6"/>
  <c r="J2619" i="6"/>
  <c r="I2619" i="6"/>
  <c r="W2618" i="6"/>
  <c r="V2618" i="6"/>
  <c r="U2618" i="6"/>
  <c r="T2618" i="6"/>
  <c r="S2618" i="6"/>
  <c r="R2618" i="6"/>
  <c r="Q2618" i="6"/>
  <c r="P2618" i="6"/>
  <c r="O2618" i="6"/>
  <c r="N2618" i="6"/>
  <c r="M2618" i="6"/>
  <c r="L2618" i="6"/>
  <c r="K2618" i="6"/>
  <c r="J2618" i="6"/>
  <c r="I2618" i="6"/>
  <c r="H2618" i="6"/>
  <c r="V2617" i="6"/>
  <c r="U2617" i="6"/>
  <c r="T2617" i="6"/>
  <c r="S2617" i="6"/>
  <c r="R2617" i="6"/>
  <c r="Q2617" i="6"/>
  <c r="P2617" i="6"/>
  <c r="O2617" i="6"/>
  <c r="N2617" i="6"/>
  <c r="M2617" i="6"/>
  <c r="L2617" i="6"/>
  <c r="K2617" i="6"/>
  <c r="J2617" i="6"/>
  <c r="I2617" i="6"/>
  <c r="H2617" i="6"/>
  <c r="G2617" i="6"/>
  <c r="U2616" i="6"/>
  <c r="T2616" i="6"/>
  <c r="S2616" i="6"/>
  <c r="R2616" i="6"/>
  <c r="Q2616" i="6"/>
  <c r="P2616" i="6"/>
  <c r="O2616" i="6"/>
  <c r="N2616" i="6"/>
  <c r="M2616" i="6"/>
  <c r="L2616" i="6"/>
  <c r="K2616" i="6"/>
  <c r="J2616" i="6"/>
  <c r="I2616" i="6"/>
  <c r="H2616" i="6"/>
  <c r="G2616" i="6"/>
  <c r="G2612" i="6" s="1"/>
  <c r="F2616" i="6"/>
  <c r="T2615" i="6"/>
  <c r="S2615" i="6"/>
  <c r="R2615" i="6"/>
  <c r="Q2615" i="6"/>
  <c r="P2615" i="6"/>
  <c r="O2615" i="6"/>
  <c r="N2615" i="6"/>
  <c r="M2615" i="6"/>
  <c r="L2615" i="6"/>
  <c r="K2615" i="6"/>
  <c r="J2615" i="6"/>
  <c r="I2615" i="6"/>
  <c r="H2615" i="6"/>
  <c r="G2615" i="6"/>
  <c r="F2615" i="6"/>
  <c r="F2612" i="6" s="1"/>
  <c r="E2615" i="6"/>
  <c r="S2614" i="6"/>
  <c r="R2614" i="6"/>
  <c r="Q2614" i="6"/>
  <c r="P2614" i="6"/>
  <c r="O2614" i="6"/>
  <c r="N2614" i="6"/>
  <c r="M2614" i="6"/>
  <c r="L2614" i="6"/>
  <c r="K2614" i="6"/>
  <c r="J2614" i="6"/>
  <c r="I2614" i="6"/>
  <c r="H2614" i="6"/>
  <c r="G2614" i="6"/>
  <c r="F2614" i="6"/>
  <c r="E2614" i="6"/>
  <c r="D2614" i="6"/>
  <c r="R2613" i="6"/>
  <c r="Q2613" i="6"/>
  <c r="P2613" i="6"/>
  <c r="O2613" i="6"/>
  <c r="N2613" i="6"/>
  <c r="M2613" i="6"/>
  <c r="L2613" i="6"/>
  <c r="K2613" i="6"/>
  <c r="J2613" i="6"/>
  <c r="I2613" i="6"/>
  <c r="H2613" i="6"/>
  <c r="H2612" i="6" s="1"/>
  <c r="G2613" i="6"/>
  <c r="F2613" i="6"/>
  <c r="E2613" i="6"/>
  <c r="D2613" i="6"/>
  <c r="D2612" i="6" s="1"/>
  <c r="C2613" i="6"/>
  <c r="C2612" i="6"/>
  <c r="C2665" i="6" s="1"/>
  <c r="AK2581" i="6"/>
  <c r="AJ2581" i="6"/>
  <c r="AI2581" i="6"/>
  <c r="AH2581" i="6"/>
  <c r="AG2581" i="6"/>
  <c r="AF2581" i="6"/>
  <c r="AE2581" i="6"/>
  <c r="AD2581" i="6"/>
  <c r="AC2581" i="6"/>
  <c r="AB2581" i="6"/>
  <c r="AA2581" i="6"/>
  <c r="Z2581" i="6"/>
  <c r="Y2581" i="6"/>
  <c r="X2581" i="6"/>
  <c r="W2581" i="6"/>
  <c r="X2568" i="6"/>
  <c r="W2568" i="6"/>
  <c r="V2568" i="6"/>
  <c r="U2568" i="6"/>
  <c r="T2568" i="6"/>
  <c r="S2568" i="6"/>
  <c r="R2568" i="6"/>
  <c r="Q2568" i="6"/>
  <c r="P2568" i="6"/>
  <c r="O2568" i="6"/>
  <c r="N2568" i="6"/>
  <c r="M2568" i="6"/>
  <c r="L2568" i="6"/>
  <c r="K2568" i="6"/>
  <c r="J2568" i="6"/>
  <c r="W2567" i="6"/>
  <c r="V2567" i="6"/>
  <c r="U2567" i="6"/>
  <c r="T2567" i="6"/>
  <c r="S2567" i="6"/>
  <c r="R2567" i="6"/>
  <c r="Q2567" i="6"/>
  <c r="P2567" i="6"/>
  <c r="O2567" i="6"/>
  <c r="N2567" i="6"/>
  <c r="M2567" i="6"/>
  <c r="L2567" i="6"/>
  <c r="K2567" i="6"/>
  <c r="J2567" i="6"/>
  <c r="I2567" i="6"/>
  <c r="V2566" i="6"/>
  <c r="U2566" i="6"/>
  <c r="T2566" i="6"/>
  <c r="S2566" i="6"/>
  <c r="R2566" i="6"/>
  <c r="Q2566" i="6"/>
  <c r="P2566" i="6"/>
  <c r="O2566" i="6"/>
  <c r="N2566" i="6"/>
  <c r="M2566" i="6"/>
  <c r="L2566" i="6"/>
  <c r="K2566" i="6"/>
  <c r="J2566" i="6"/>
  <c r="I2566" i="6"/>
  <c r="H2566" i="6"/>
  <c r="U2565" i="6"/>
  <c r="T2565" i="6"/>
  <c r="S2565" i="6"/>
  <c r="R2565" i="6"/>
  <c r="Q2565" i="6"/>
  <c r="P2565" i="6"/>
  <c r="O2565" i="6"/>
  <c r="N2565" i="6"/>
  <c r="M2565" i="6"/>
  <c r="L2565" i="6"/>
  <c r="K2565" i="6"/>
  <c r="J2565" i="6"/>
  <c r="I2565" i="6"/>
  <c r="H2565" i="6"/>
  <c r="G2565" i="6"/>
  <c r="T2564" i="6"/>
  <c r="S2564" i="6"/>
  <c r="R2564" i="6"/>
  <c r="Q2564" i="6"/>
  <c r="P2564" i="6"/>
  <c r="O2564" i="6"/>
  <c r="N2564" i="6"/>
  <c r="M2564" i="6"/>
  <c r="L2564" i="6"/>
  <c r="K2564" i="6"/>
  <c r="J2564" i="6"/>
  <c r="I2564" i="6"/>
  <c r="H2564" i="6"/>
  <c r="G2564" i="6"/>
  <c r="F2564" i="6"/>
  <c r="S2563" i="6"/>
  <c r="R2563" i="6"/>
  <c r="Q2563" i="6"/>
  <c r="P2563" i="6"/>
  <c r="O2563" i="6"/>
  <c r="N2563" i="6"/>
  <c r="M2563" i="6"/>
  <c r="L2563" i="6"/>
  <c r="K2563" i="6"/>
  <c r="J2563" i="6"/>
  <c r="I2563" i="6"/>
  <c r="H2563" i="6"/>
  <c r="G2563" i="6"/>
  <c r="F2563" i="6"/>
  <c r="E2563" i="6"/>
  <c r="R2562" i="6"/>
  <c r="Q2562" i="6"/>
  <c r="P2562" i="6"/>
  <c r="O2562" i="6"/>
  <c r="N2562" i="6"/>
  <c r="M2562" i="6"/>
  <c r="L2562" i="6"/>
  <c r="K2562" i="6"/>
  <c r="J2562" i="6"/>
  <c r="I2562" i="6"/>
  <c r="H2562" i="6"/>
  <c r="G2562" i="6"/>
  <c r="F2562" i="6"/>
  <c r="E2562" i="6"/>
  <c r="D2562" i="6"/>
  <c r="Q2561" i="6"/>
  <c r="P2561" i="6"/>
  <c r="O2561" i="6"/>
  <c r="N2561" i="6"/>
  <c r="M2561" i="6"/>
  <c r="L2561" i="6"/>
  <c r="K2561" i="6"/>
  <c r="J2561" i="6"/>
  <c r="I2561" i="6"/>
  <c r="H2561" i="6"/>
  <c r="G2561" i="6"/>
  <c r="F2561" i="6"/>
  <c r="E2561" i="6"/>
  <c r="D2561" i="6"/>
  <c r="C2561" i="6"/>
  <c r="J2560" i="6" a="1"/>
  <c r="J2560" i="6" s="1"/>
  <c r="I2560" i="6" a="1"/>
  <c r="I2560" i="6" s="1"/>
  <c r="H2560" i="6" a="1"/>
  <c r="H2560" i="6"/>
  <c r="G2560" i="6" a="1"/>
  <c r="G2560" i="6" s="1"/>
  <c r="F2560" i="6" a="1"/>
  <c r="F2560" i="6"/>
  <c r="E2560" i="6" a="1"/>
  <c r="E2560" i="6" s="1"/>
  <c r="D2560" i="6" a="1"/>
  <c r="D2560" i="6" s="1"/>
  <c r="C2560" i="6" a="1"/>
  <c r="C2560" i="6" s="1"/>
  <c r="AK2529" i="6"/>
  <c r="AJ2529" i="6"/>
  <c r="AI2529" i="6"/>
  <c r="AH2529" i="6"/>
  <c r="AG2529" i="6"/>
  <c r="AF2529" i="6"/>
  <c r="AE2529" i="6"/>
  <c r="AD2529" i="6"/>
  <c r="AC2529" i="6"/>
  <c r="AB2529" i="6"/>
  <c r="AA2529" i="6"/>
  <c r="Z2529" i="6"/>
  <c r="Y2529" i="6"/>
  <c r="X2529" i="6"/>
  <c r="W2529" i="6"/>
  <c r="X2516" i="6"/>
  <c r="W2516" i="6"/>
  <c r="V2516" i="6"/>
  <c r="U2516" i="6"/>
  <c r="T2516" i="6"/>
  <c r="S2516" i="6"/>
  <c r="R2516" i="6"/>
  <c r="Q2516" i="6"/>
  <c r="P2516" i="6"/>
  <c r="O2516" i="6"/>
  <c r="N2516" i="6"/>
  <c r="M2516" i="6"/>
  <c r="L2516" i="6"/>
  <c r="K2516" i="6"/>
  <c r="J2516" i="6"/>
  <c r="W2515" i="6"/>
  <c r="V2515" i="6"/>
  <c r="U2515" i="6"/>
  <c r="T2515" i="6"/>
  <c r="S2515" i="6"/>
  <c r="R2515" i="6"/>
  <c r="Q2515" i="6"/>
  <c r="P2515" i="6"/>
  <c r="O2515" i="6"/>
  <c r="N2515" i="6"/>
  <c r="M2515" i="6"/>
  <c r="L2515" i="6"/>
  <c r="K2515" i="6"/>
  <c r="J2515" i="6"/>
  <c r="I2515" i="6"/>
  <c r="V2514" i="6"/>
  <c r="U2514" i="6"/>
  <c r="T2514" i="6"/>
  <c r="S2514" i="6"/>
  <c r="R2514" i="6"/>
  <c r="Q2514" i="6"/>
  <c r="P2514" i="6"/>
  <c r="O2514" i="6"/>
  <c r="N2514" i="6"/>
  <c r="M2514" i="6"/>
  <c r="L2514" i="6"/>
  <c r="K2514" i="6"/>
  <c r="J2514" i="6"/>
  <c r="I2514" i="6"/>
  <c r="H2514" i="6"/>
  <c r="U2513" i="6"/>
  <c r="T2513" i="6"/>
  <c r="S2513" i="6"/>
  <c r="R2513" i="6"/>
  <c r="Q2513" i="6"/>
  <c r="P2513" i="6"/>
  <c r="O2513" i="6"/>
  <c r="N2513" i="6"/>
  <c r="M2513" i="6"/>
  <c r="L2513" i="6"/>
  <c r="K2513" i="6"/>
  <c r="J2513" i="6"/>
  <c r="I2513" i="6"/>
  <c r="H2513" i="6"/>
  <c r="G2513" i="6"/>
  <c r="T2512" i="6"/>
  <c r="S2512" i="6"/>
  <c r="R2512" i="6"/>
  <c r="Q2512" i="6"/>
  <c r="P2512" i="6"/>
  <c r="O2512" i="6"/>
  <c r="N2512" i="6"/>
  <c r="M2512" i="6"/>
  <c r="L2512" i="6"/>
  <c r="K2512" i="6"/>
  <c r="J2512" i="6"/>
  <c r="I2512" i="6"/>
  <c r="H2512" i="6"/>
  <c r="G2512" i="6"/>
  <c r="F2512" i="6"/>
  <c r="S2511" i="6"/>
  <c r="R2511" i="6"/>
  <c r="Q2511" i="6"/>
  <c r="P2511" i="6"/>
  <c r="O2511" i="6"/>
  <c r="N2511" i="6"/>
  <c r="M2511" i="6"/>
  <c r="L2511" i="6"/>
  <c r="K2511" i="6"/>
  <c r="J2511" i="6"/>
  <c r="I2511" i="6"/>
  <c r="H2511" i="6"/>
  <c r="G2511" i="6"/>
  <c r="F2511" i="6"/>
  <c r="E2511" i="6"/>
  <c r="R2510" i="6"/>
  <c r="Q2510" i="6"/>
  <c r="P2510" i="6"/>
  <c r="O2510" i="6"/>
  <c r="N2510" i="6"/>
  <c r="M2510" i="6"/>
  <c r="L2510" i="6"/>
  <c r="K2510" i="6"/>
  <c r="J2510" i="6"/>
  <c r="I2510" i="6"/>
  <c r="H2510" i="6"/>
  <c r="G2510" i="6"/>
  <c r="F2510" i="6"/>
  <c r="E2510" i="6"/>
  <c r="D2510" i="6"/>
  <c r="Q2509" i="6"/>
  <c r="P2509" i="6"/>
  <c r="O2509" i="6"/>
  <c r="N2509" i="6"/>
  <c r="M2509" i="6"/>
  <c r="L2509" i="6"/>
  <c r="K2509" i="6"/>
  <c r="J2509" i="6"/>
  <c r="I2509" i="6"/>
  <c r="H2509" i="6"/>
  <c r="G2509" i="6"/>
  <c r="F2509" i="6"/>
  <c r="E2509" i="6"/>
  <c r="D2509" i="6"/>
  <c r="C2509" i="6"/>
  <c r="J2508" i="6" a="1"/>
  <c r="J2508" i="6" s="1"/>
  <c r="I2508" i="6" a="1"/>
  <c r="I2508" i="6" s="1"/>
  <c r="H2508" i="6" a="1"/>
  <c r="H2508" i="6" s="1"/>
  <c r="G2508" i="6" a="1"/>
  <c r="G2508" i="6" s="1"/>
  <c r="F2508" i="6" a="1"/>
  <c r="F2508" i="6" s="1"/>
  <c r="E2508" i="6" a="1"/>
  <c r="E2508" i="6" s="1"/>
  <c r="D2508" i="6" a="1"/>
  <c r="D2508" i="6" s="1"/>
  <c r="C2508" i="6" a="1"/>
  <c r="C2508" i="6" s="1"/>
  <c r="I2506" i="6"/>
  <c r="E2506" i="6"/>
  <c r="V2475" i="6"/>
  <c r="V2454" i="6" s="1"/>
  <c r="I2462" i="6"/>
  <c r="H2461" i="6"/>
  <c r="H2454" i="6" s="1"/>
  <c r="G2460" i="6"/>
  <c r="G2454" i="6" s="1"/>
  <c r="F2459" i="6"/>
  <c r="E2458" i="6"/>
  <c r="D2457" i="6"/>
  <c r="D2454" i="6" s="1"/>
  <c r="C2456" i="6"/>
  <c r="C2455" i="6"/>
  <c r="C2454" i="6" s="1"/>
  <c r="BA2454" i="6"/>
  <c r="I2454" i="6"/>
  <c r="I2507" i="6" s="1"/>
  <c r="F2454" i="6"/>
  <c r="F2507" i="6" s="1"/>
  <c r="E2454" i="6"/>
  <c r="E2507" i="6" s="1"/>
  <c r="X2453" i="6"/>
  <c r="W2453" i="6"/>
  <c r="V2453" i="6"/>
  <c r="U2453" i="6"/>
  <c r="T2453" i="6"/>
  <c r="S2453" i="6"/>
  <c r="R2453" i="6"/>
  <c r="Q2453" i="6"/>
  <c r="P2453" i="6"/>
  <c r="O2453" i="6"/>
  <c r="N2453" i="6"/>
  <c r="M2453" i="6"/>
  <c r="L2453" i="6"/>
  <c r="J2453" i="6"/>
  <c r="I2453" i="6"/>
  <c r="H2453" i="6"/>
  <c r="G2453" i="6"/>
  <c r="F2453" i="6"/>
  <c r="E2453" i="6"/>
  <c r="D2453" i="6"/>
  <c r="C2453" i="6"/>
  <c r="Y2452" i="6"/>
  <c r="W2451" i="6"/>
  <c r="W2450" i="6"/>
  <c r="BA2448" i="6"/>
  <c r="BA2450" i="6" s="1"/>
  <c r="X2448" i="6"/>
  <c r="X2450" i="6" s="1"/>
  <c r="W2448" i="6"/>
  <c r="W2449" i="6" s="1"/>
  <c r="U2448" i="6"/>
  <c r="U2450" i="6" s="1"/>
  <c r="T2448" i="6"/>
  <c r="T2450" i="6" s="1"/>
  <c r="S2448" i="6"/>
  <c r="S2449" i="6" s="1"/>
  <c r="BA2447" i="6"/>
  <c r="Z2447" i="6"/>
  <c r="X2447" i="6"/>
  <c r="Y2447" i="6" s="1"/>
  <c r="W2447" i="6"/>
  <c r="V2447" i="6"/>
  <c r="V2448" i="6" s="1"/>
  <c r="V2450" i="6" s="1"/>
  <c r="U2447" i="6"/>
  <c r="T2447" i="6"/>
  <c r="S2447" i="6"/>
  <c r="R2447" i="6"/>
  <c r="Q2447" i="6"/>
  <c r="P2447" i="6"/>
  <c r="O2447" i="6"/>
  <c r="N2447" i="6"/>
  <c r="M2447" i="6"/>
  <c r="L2447" i="6"/>
  <c r="K2447" i="6"/>
  <c r="BA2286" i="6"/>
  <c r="U2253" i="6"/>
  <c r="BA2233" i="6"/>
  <c r="BA2285" i="6" s="1"/>
  <c r="W2231" i="6"/>
  <c r="AJ2412" i="6" s="1"/>
  <c r="W2230" i="6"/>
  <c r="BA2229" i="6"/>
  <c r="W2229" i="6"/>
  <c r="V2229" i="6"/>
  <c r="U2229" i="6"/>
  <c r="T2229" i="6"/>
  <c r="S2229" i="6"/>
  <c r="W2228" i="6"/>
  <c r="BA2227" i="6"/>
  <c r="X2227" i="6"/>
  <c r="X2229" i="6" s="1"/>
  <c r="BA2226" i="6"/>
  <c r="BA2012" i="6"/>
  <c r="X2011" i="6"/>
  <c r="W2010" i="6"/>
  <c r="W2009" i="6"/>
  <c r="BA2008" i="6"/>
  <c r="W2008" i="6"/>
  <c r="V2008" i="6"/>
  <c r="U2008" i="6"/>
  <c r="T2008" i="6"/>
  <c r="S2008" i="6"/>
  <c r="W2007" i="6"/>
  <c r="BA2006" i="6"/>
  <c r="X2006" i="6" s="1"/>
  <c r="X2008" i="6" s="1"/>
  <c r="BA2005" i="6"/>
  <c r="X2005" i="6"/>
  <c r="AL1966" i="6"/>
  <c r="AJ1966" i="6"/>
  <c r="AI1966" i="6"/>
  <c r="AH1966" i="6"/>
  <c r="AF1966" i="6"/>
  <c r="AE1966" i="6"/>
  <c r="AD1966" i="6"/>
  <c r="AB1966" i="6"/>
  <c r="AA1966" i="6"/>
  <c r="Z1966" i="6"/>
  <c r="X1966" i="6"/>
  <c r="W1966" i="6"/>
  <c r="AK1914" i="6"/>
  <c r="AI1914" i="6"/>
  <c r="AH1914" i="6"/>
  <c r="AG1914" i="6"/>
  <c r="AE1914" i="6"/>
  <c r="AD1914" i="6"/>
  <c r="AC1914" i="6"/>
  <c r="AA1914" i="6"/>
  <c r="Z1914" i="6"/>
  <c r="Y1914" i="6"/>
  <c r="W1914" i="6"/>
  <c r="AK1862" i="6"/>
  <c r="AJ1862" i="6"/>
  <c r="AH1862" i="6"/>
  <c r="AG1862" i="6"/>
  <c r="AF1862" i="6"/>
  <c r="AD1862" i="6"/>
  <c r="AC1862" i="6"/>
  <c r="AB1862" i="6"/>
  <c r="Z1862" i="6"/>
  <c r="Y1862" i="6"/>
  <c r="X1862" i="6"/>
  <c r="BA1840" i="6"/>
  <c r="BA1839" i="6"/>
  <c r="V1808" i="6"/>
  <c r="T1808" i="6"/>
  <c r="BA1787" i="6"/>
  <c r="X1786" i="6"/>
  <c r="W1785" i="6"/>
  <c r="AK1966" i="6" s="1"/>
  <c r="W1784" i="6"/>
  <c r="W1783" i="6"/>
  <c r="V1783" i="6"/>
  <c r="U1783" i="6"/>
  <c r="T1783" i="6"/>
  <c r="S1783" i="6"/>
  <c r="W1782" i="6"/>
  <c r="AH1737" i="6"/>
  <c r="AG1737" i="6"/>
  <c r="AF1737" i="6"/>
  <c r="AE1737" i="6"/>
  <c r="AD1737" i="6"/>
  <c r="AC1737" i="6"/>
  <c r="AB1737" i="6"/>
  <c r="AA1737" i="6"/>
  <c r="Z1737" i="6"/>
  <c r="Y1737" i="6"/>
  <c r="X1737" i="6"/>
  <c r="W1737" i="6"/>
  <c r="V1737" i="6"/>
  <c r="U1737" i="6"/>
  <c r="T1737" i="6"/>
  <c r="S1737" i="6"/>
  <c r="V1725" i="6"/>
  <c r="U1725" i="6"/>
  <c r="T1725" i="6"/>
  <c r="S1725" i="6"/>
  <c r="R1725" i="6"/>
  <c r="Q1725" i="6"/>
  <c r="P1725" i="6"/>
  <c r="O1725" i="6"/>
  <c r="N1725" i="6"/>
  <c r="M1725" i="6"/>
  <c r="L1725" i="6"/>
  <c r="K1725" i="6"/>
  <c r="J1725" i="6"/>
  <c r="I1725" i="6"/>
  <c r="H1725" i="6"/>
  <c r="G1725" i="6"/>
  <c r="S1722" i="6"/>
  <c r="R1722" i="6"/>
  <c r="Q1722" i="6"/>
  <c r="P1722" i="6"/>
  <c r="O1722" i="6"/>
  <c r="N1722" i="6"/>
  <c r="M1722" i="6"/>
  <c r="L1722" i="6"/>
  <c r="K1722" i="6"/>
  <c r="J1722" i="6"/>
  <c r="I1722" i="6"/>
  <c r="H1722" i="6"/>
  <c r="G1722" i="6"/>
  <c r="F1722" i="6"/>
  <c r="E1722" i="6"/>
  <c r="D1722" i="6"/>
  <c r="AG1685" i="6"/>
  <c r="AF1685" i="6"/>
  <c r="AE1685" i="6"/>
  <c r="AD1685" i="6"/>
  <c r="AC1685" i="6"/>
  <c r="AB1685" i="6"/>
  <c r="AA1685" i="6"/>
  <c r="Z1685" i="6"/>
  <c r="Y1685" i="6"/>
  <c r="X1685" i="6"/>
  <c r="W1685" i="6"/>
  <c r="V1685" i="6"/>
  <c r="U1685" i="6"/>
  <c r="T1685" i="6"/>
  <c r="S1685" i="6"/>
  <c r="U1673" i="6"/>
  <c r="T1673" i="6"/>
  <c r="S1673" i="6"/>
  <c r="R1673" i="6"/>
  <c r="Q1673" i="6"/>
  <c r="P1673" i="6"/>
  <c r="O1673" i="6"/>
  <c r="N1673" i="6"/>
  <c r="M1673" i="6"/>
  <c r="L1673" i="6"/>
  <c r="K1673" i="6"/>
  <c r="J1673" i="6"/>
  <c r="I1673" i="6"/>
  <c r="H1673" i="6"/>
  <c r="G1673" i="6"/>
  <c r="R1670" i="6"/>
  <c r="Q1670" i="6"/>
  <c r="P1670" i="6"/>
  <c r="O1670" i="6"/>
  <c r="N1670" i="6"/>
  <c r="M1670" i="6"/>
  <c r="L1670" i="6"/>
  <c r="K1670" i="6"/>
  <c r="J1670" i="6"/>
  <c r="I1670" i="6"/>
  <c r="H1670" i="6"/>
  <c r="G1670" i="6"/>
  <c r="F1670" i="6"/>
  <c r="E1670" i="6"/>
  <c r="D1670" i="6"/>
  <c r="AI1637" i="6"/>
  <c r="AC1637" i="6"/>
  <c r="X1637" i="6"/>
  <c r="AG1633" i="6"/>
  <c r="AF1633" i="6"/>
  <c r="AE1633" i="6"/>
  <c r="AD1633" i="6"/>
  <c r="AC1633" i="6"/>
  <c r="AB1633" i="6"/>
  <c r="AA1633" i="6"/>
  <c r="Z1633" i="6"/>
  <c r="Y1633" i="6"/>
  <c r="X1633" i="6"/>
  <c r="W1633" i="6"/>
  <c r="V1633" i="6"/>
  <c r="U1633" i="6"/>
  <c r="T1633" i="6"/>
  <c r="S1633" i="6"/>
  <c r="U1621" i="6"/>
  <c r="T1621" i="6"/>
  <c r="S1621" i="6"/>
  <c r="R1621" i="6"/>
  <c r="Q1621" i="6"/>
  <c r="P1621" i="6"/>
  <c r="O1621" i="6"/>
  <c r="N1621" i="6"/>
  <c r="M1621" i="6"/>
  <c r="L1621" i="6"/>
  <c r="K1621" i="6"/>
  <c r="J1621" i="6"/>
  <c r="I1621" i="6"/>
  <c r="H1621" i="6"/>
  <c r="G1621" i="6"/>
  <c r="R1618" i="6"/>
  <c r="Q1618" i="6"/>
  <c r="P1618" i="6"/>
  <c r="O1618" i="6"/>
  <c r="N1618" i="6"/>
  <c r="M1618" i="6"/>
  <c r="L1618" i="6"/>
  <c r="K1618" i="6"/>
  <c r="J1618" i="6"/>
  <c r="I1618" i="6"/>
  <c r="H1618" i="6"/>
  <c r="G1618" i="6"/>
  <c r="F1618" i="6"/>
  <c r="E1618" i="6"/>
  <c r="D1618" i="6"/>
  <c r="V1583" i="6"/>
  <c r="T1583" i="6"/>
  <c r="R1579" i="6"/>
  <c r="Q1579" i="6"/>
  <c r="P1579" i="6"/>
  <c r="F1567" i="6"/>
  <c r="E1567" i="6"/>
  <c r="D1567" i="6"/>
  <c r="C1564" i="6"/>
  <c r="BA1562" i="6"/>
  <c r="BA1614" i="6" s="1"/>
  <c r="X1561" i="6"/>
  <c r="W1560" i="6"/>
  <c r="AL1741" i="6" s="1"/>
  <c r="W1559" i="6"/>
  <c r="X1558" i="6"/>
  <c r="W1558" i="6"/>
  <c r="V1558" i="6"/>
  <c r="U1558" i="6"/>
  <c r="T1558" i="6"/>
  <c r="S1558" i="6"/>
  <c r="W1557" i="6"/>
  <c r="BA1556" i="6"/>
  <c r="BA1558" i="6" s="1"/>
  <c r="X1556" i="6"/>
  <c r="Y1556" i="6" s="1"/>
  <c r="BA1555" i="6"/>
  <c r="X1555" i="6"/>
  <c r="AK1412" i="6"/>
  <c r="AG1412" i="6"/>
  <c r="AC1412" i="6"/>
  <c r="Y1412" i="6"/>
  <c r="BA1389" i="6"/>
  <c r="T1358" i="6"/>
  <c r="BA1337" i="6"/>
  <c r="BA1390" i="6" s="1"/>
  <c r="X1336" i="6"/>
  <c r="W1335" i="6"/>
  <c r="AL1516" i="6" s="1"/>
  <c r="W1334" i="6"/>
  <c r="W1333" i="6"/>
  <c r="V1333" i="6"/>
  <c r="U1333" i="6"/>
  <c r="T1333" i="6"/>
  <c r="S1333" i="6"/>
  <c r="K1333" i="6"/>
  <c r="W1332" i="6"/>
  <c r="BA1331" i="6"/>
  <c r="X1331" i="6" s="1"/>
  <c r="W1331" i="6"/>
  <c r="BA1330" i="6"/>
  <c r="X1330" i="6"/>
  <c r="AJ1289" i="6"/>
  <c r="AI1289" i="6"/>
  <c r="AH1289" i="6"/>
  <c r="AG1289" i="6"/>
  <c r="AF1289" i="6"/>
  <c r="AE1289" i="6"/>
  <c r="AD1289" i="6"/>
  <c r="AC1289" i="6"/>
  <c r="AB1289" i="6"/>
  <c r="AA1289" i="6"/>
  <c r="Z1289" i="6"/>
  <c r="Y1289" i="6"/>
  <c r="X1289" i="6"/>
  <c r="W1289" i="6"/>
  <c r="V1289" i="6"/>
  <c r="U1289" i="6"/>
  <c r="AI1288" i="6"/>
  <c r="AH1288" i="6"/>
  <c r="AG1288" i="6"/>
  <c r="AF1288" i="6"/>
  <c r="AE1288" i="6"/>
  <c r="AD1288" i="6"/>
  <c r="AC1288" i="6"/>
  <c r="AB1288" i="6"/>
  <c r="AA1288" i="6"/>
  <c r="Z1288" i="6"/>
  <c r="Y1288" i="6"/>
  <c r="X1288" i="6"/>
  <c r="W1288" i="6"/>
  <c r="V1288" i="6"/>
  <c r="U1288" i="6"/>
  <c r="T1288" i="6"/>
  <c r="AG1286" i="6"/>
  <c r="AF1286" i="6"/>
  <c r="AE1286" i="6"/>
  <c r="AD1286" i="6"/>
  <c r="AC1286" i="6"/>
  <c r="AB1286" i="6"/>
  <c r="AA1286" i="6"/>
  <c r="Z1286" i="6"/>
  <c r="Y1286" i="6"/>
  <c r="X1286" i="6"/>
  <c r="W1286" i="6"/>
  <c r="V1286" i="6"/>
  <c r="U1286" i="6"/>
  <c r="T1286" i="6"/>
  <c r="S1286" i="6"/>
  <c r="R1286" i="6"/>
  <c r="AF1285" i="6"/>
  <c r="AE1285" i="6"/>
  <c r="AD1285" i="6"/>
  <c r="AC1285" i="6"/>
  <c r="AB1285" i="6"/>
  <c r="AA1285" i="6"/>
  <c r="Z1285" i="6"/>
  <c r="Y1285" i="6"/>
  <c r="X1285" i="6"/>
  <c r="W1285" i="6"/>
  <c r="V1285" i="6"/>
  <c r="U1285" i="6"/>
  <c r="T1285" i="6"/>
  <c r="S1285" i="6"/>
  <c r="R1285" i="6"/>
  <c r="Q1285" i="6"/>
  <c r="AE1284" i="6"/>
  <c r="AD1284" i="6"/>
  <c r="AC1284" i="6"/>
  <c r="AB1284" i="6"/>
  <c r="AA1284" i="6"/>
  <c r="Z1284" i="6"/>
  <c r="Y1284" i="6"/>
  <c r="X1284" i="6"/>
  <c r="W1284" i="6"/>
  <c r="V1284" i="6"/>
  <c r="U1284" i="6"/>
  <c r="T1284" i="6"/>
  <c r="S1284" i="6"/>
  <c r="R1284" i="6"/>
  <c r="Q1284" i="6"/>
  <c r="P1284" i="6"/>
  <c r="AD1283" i="6"/>
  <c r="AC1283" i="6"/>
  <c r="AB1283" i="6"/>
  <c r="AA1283" i="6"/>
  <c r="Z1283" i="6"/>
  <c r="Y1283" i="6"/>
  <c r="X1283" i="6"/>
  <c r="W1283" i="6"/>
  <c r="V1283" i="6"/>
  <c r="U1283" i="6"/>
  <c r="T1283" i="6"/>
  <c r="S1283" i="6"/>
  <c r="R1283" i="6"/>
  <c r="Q1283" i="6"/>
  <c r="P1283" i="6"/>
  <c r="O1283" i="6"/>
  <c r="AC1282" i="6"/>
  <c r="AB1282" i="6"/>
  <c r="AA1282" i="6"/>
  <c r="Z1282" i="6"/>
  <c r="Y1282" i="6"/>
  <c r="X1282" i="6"/>
  <c r="W1282" i="6"/>
  <c r="V1282" i="6"/>
  <c r="U1282" i="6"/>
  <c r="T1282" i="6"/>
  <c r="S1282" i="6"/>
  <c r="R1282" i="6"/>
  <c r="Q1282" i="6"/>
  <c r="P1282" i="6"/>
  <c r="O1282" i="6"/>
  <c r="N1282" i="6"/>
  <c r="AB1281" i="6"/>
  <c r="AA1281" i="6"/>
  <c r="Z1281" i="6"/>
  <c r="Y1281" i="6"/>
  <c r="X1281" i="6"/>
  <c r="W1281" i="6"/>
  <c r="V1281" i="6"/>
  <c r="U1281" i="6"/>
  <c r="T1281" i="6"/>
  <c r="S1281" i="6"/>
  <c r="R1281" i="6"/>
  <c r="Q1281" i="6"/>
  <c r="P1281" i="6"/>
  <c r="O1281" i="6"/>
  <c r="N1281" i="6"/>
  <c r="M1281" i="6"/>
  <c r="AA1280" i="6"/>
  <c r="Z1280" i="6"/>
  <c r="Y1280" i="6"/>
  <c r="X1280" i="6"/>
  <c r="W1280" i="6"/>
  <c r="V1280" i="6"/>
  <c r="U1280" i="6"/>
  <c r="T1280" i="6"/>
  <c r="S1280" i="6"/>
  <c r="R1280" i="6"/>
  <c r="Q1280" i="6"/>
  <c r="P1280" i="6"/>
  <c r="O1280" i="6"/>
  <c r="N1280" i="6"/>
  <c r="M1280" i="6"/>
  <c r="L1280" i="6"/>
  <c r="Z1279" i="6"/>
  <c r="Y1279" i="6"/>
  <c r="X1279" i="6"/>
  <c r="W1279" i="6"/>
  <c r="V1279" i="6"/>
  <c r="U1279" i="6"/>
  <c r="T1279" i="6"/>
  <c r="S1279" i="6"/>
  <c r="R1279" i="6"/>
  <c r="Q1279" i="6"/>
  <c r="P1279" i="6"/>
  <c r="O1279" i="6"/>
  <c r="N1279" i="6"/>
  <c r="M1279" i="6"/>
  <c r="L1279" i="6"/>
  <c r="K1279" i="6"/>
  <c r="Y1278" i="6"/>
  <c r="X1278" i="6"/>
  <c r="W1278" i="6"/>
  <c r="V1278" i="6"/>
  <c r="U1278" i="6"/>
  <c r="T1278" i="6"/>
  <c r="S1278" i="6"/>
  <c r="R1278" i="6"/>
  <c r="Q1278" i="6"/>
  <c r="P1278" i="6"/>
  <c r="O1278" i="6"/>
  <c r="N1278" i="6"/>
  <c r="M1278" i="6"/>
  <c r="L1278" i="6"/>
  <c r="K1278" i="6"/>
  <c r="J1278" i="6"/>
  <c r="X1277" i="6"/>
  <c r="W1277" i="6"/>
  <c r="V1277" i="6"/>
  <c r="U1277" i="6"/>
  <c r="T1277" i="6"/>
  <c r="S1277" i="6"/>
  <c r="R1277" i="6"/>
  <c r="Q1277" i="6"/>
  <c r="P1277" i="6"/>
  <c r="O1277" i="6"/>
  <c r="N1277" i="6"/>
  <c r="M1277" i="6"/>
  <c r="L1277" i="6"/>
  <c r="K1277" i="6"/>
  <c r="J1277" i="6"/>
  <c r="I1277" i="6"/>
  <c r="W1276" i="6"/>
  <c r="V1276" i="6"/>
  <c r="U1276" i="6"/>
  <c r="T1276" i="6"/>
  <c r="S1276" i="6"/>
  <c r="R1276" i="6"/>
  <c r="Q1276" i="6"/>
  <c r="P1276" i="6"/>
  <c r="O1276" i="6"/>
  <c r="N1276" i="6"/>
  <c r="M1276" i="6"/>
  <c r="L1276" i="6"/>
  <c r="K1276" i="6"/>
  <c r="J1276" i="6"/>
  <c r="I1276" i="6"/>
  <c r="H1276" i="6"/>
  <c r="V1275" i="6"/>
  <c r="U1275" i="6"/>
  <c r="T1275" i="6"/>
  <c r="S1275" i="6"/>
  <c r="R1275" i="6"/>
  <c r="Q1275" i="6"/>
  <c r="P1275" i="6"/>
  <c r="O1275" i="6"/>
  <c r="N1275" i="6"/>
  <c r="M1275" i="6"/>
  <c r="L1275" i="6"/>
  <c r="K1275" i="6"/>
  <c r="J1275" i="6"/>
  <c r="I1275" i="6"/>
  <c r="H1275" i="6"/>
  <c r="G1275" i="6"/>
  <c r="U1274" i="6"/>
  <c r="T1274" i="6"/>
  <c r="S1274" i="6"/>
  <c r="R1274" i="6"/>
  <c r="Q1274" i="6"/>
  <c r="P1274" i="6"/>
  <c r="O1274" i="6"/>
  <c r="N1274" i="6"/>
  <c r="M1274" i="6"/>
  <c r="L1274" i="6"/>
  <c r="K1274" i="6"/>
  <c r="J1274" i="6"/>
  <c r="I1274" i="6"/>
  <c r="H1274" i="6"/>
  <c r="G1274" i="6"/>
  <c r="F1274" i="6"/>
  <c r="T1273" i="6"/>
  <c r="S1273" i="6"/>
  <c r="R1273" i="6"/>
  <c r="Q1273" i="6"/>
  <c r="Q1270" i="6" s="1"/>
  <c r="P1273" i="6"/>
  <c r="O1273" i="6"/>
  <c r="N1273" i="6"/>
  <c r="M1273" i="6"/>
  <c r="M1270" i="6" s="1"/>
  <c r="L1273" i="6"/>
  <c r="K1273" i="6"/>
  <c r="J1273" i="6"/>
  <c r="I1273" i="6"/>
  <c r="I1270" i="6" s="1"/>
  <c r="H1273" i="6"/>
  <c r="G1273" i="6"/>
  <c r="F1273" i="6"/>
  <c r="E1273" i="6"/>
  <c r="E1270" i="6" s="1"/>
  <c r="S1272" i="6"/>
  <c r="R1272" i="6"/>
  <c r="Q1272" i="6"/>
  <c r="P1272" i="6"/>
  <c r="P1270" i="6" s="1"/>
  <c r="O1272" i="6"/>
  <c r="N1272" i="6"/>
  <c r="M1272" i="6"/>
  <c r="L1272" i="6"/>
  <c r="L1270" i="6" s="1"/>
  <c r="K1272" i="6"/>
  <c r="J1272" i="6"/>
  <c r="I1272" i="6"/>
  <c r="H1272" i="6"/>
  <c r="H1270" i="6" s="1"/>
  <c r="G1272" i="6"/>
  <c r="F1272" i="6"/>
  <c r="E1272" i="6"/>
  <c r="D1272" i="6"/>
  <c r="D1270" i="6" s="1"/>
  <c r="R1271" i="6"/>
  <c r="Q1271" i="6"/>
  <c r="P1271" i="6"/>
  <c r="O1271" i="6"/>
  <c r="O1270" i="6" s="1"/>
  <c r="N1271" i="6"/>
  <c r="M1271" i="6"/>
  <c r="L1271" i="6"/>
  <c r="K1271" i="6"/>
  <c r="K1270" i="6" s="1"/>
  <c r="J1271" i="6"/>
  <c r="I1271" i="6"/>
  <c r="H1271" i="6"/>
  <c r="G1271" i="6"/>
  <c r="G1270" i="6" s="1"/>
  <c r="F1271" i="6"/>
  <c r="E1271" i="6"/>
  <c r="D1271" i="6"/>
  <c r="C1271" i="6"/>
  <c r="C1270" i="6" s="1"/>
  <c r="BQ1270" i="6"/>
  <c r="R1270" i="6"/>
  <c r="N1270" i="6"/>
  <c r="J1270" i="6"/>
  <c r="F1270" i="6"/>
  <c r="AI1237" i="6"/>
  <c r="AH1237" i="6"/>
  <c r="AG1237" i="6"/>
  <c r="AF1237" i="6"/>
  <c r="AE1237" i="6"/>
  <c r="AD1237" i="6"/>
  <c r="AC1237" i="6"/>
  <c r="AB1237" i="6"/>
  <c r="AA1237" i="6"/>
  <c r="Z1237" i="6"/>
  <c r="Y1237" i="6"/>
  <c r="X1237" i="6"/>
  <c r="W1237" i="6"/>
  <c r="V1237" i="6"/>
  <c r="U1237" i="6"/>
  <c r="AH1236" i="6"/>
  <c r="AG1236" i="6"/>
  <c r="AF1236" i="6"/>
  <c r="AE1236" i="6"/>
  <c r="AD1236" i="6"/>
  <c r="AC1236" i="6"/>
  <c r="AB1236" i="6"/>
  <c r="AA1236" i="6"/>
  <c r="Z1236" i="6"/>
  <c r="Y1236" i="6"/>
  <c r="X1236" i="6"/>
  <c r="W1236" i="6"/>
  <c r="V1236" i="6"/>
  <c r="U1236" i="6"/>
  <c r="T1236" i="6"/>
  <c r="AF1234" i="6"/>
  <c r="AE1234" i="6"/>
  <c r="AD1234" i="6"/>
  <c r="AC1234" i="6"/>
  <c r="AB1234" i="6"/>
  <c r="AA1234" i="6"/>
  <c r="Z1234" i="6"/>
  <c r="Y1234" i="6"/>
  <c r="X1234" i="6"/>
  <c r="W1234" i="6"/>
  <c r="V1234" i="6"/>
  <c r="U1234" i="6"/>
  <c r="T1234" i="6"/>
  <c r="S1234" i="6"/>
  <c r="R1234" i="6"/>
  <c r="AE1233" i="6"/>
  <c r="AD1233" i="6"/>
  <c r="AC1233" i="6"/>
  <c r="AB1233" i="6"/>
  <c r="AA1233" i="6"/>
  <c r="Z1233" i="6"/>
  <c r="Y1233" i="6"/>
  <c r="X1233" i="6"/>
  <c r="W1233" i="6"/>
  <c r="V1233" i="6"/>
  <c r="U1233" i="6"/>
  <c r="T1233" i="6"/>
  <c r="S1233" i="6"/>
  <c r="R1233" i="6"/>
  <c r="Q1233" i="6"/>
  <c r="AD1232" i="6"/>
  <c r="AC1232" i="6"/>
  <c r="AB1232" i="6"/>
  <c r="AA1232" i="6"/>
  <c r="Z1232" i="6"/>
  <c r="Y1232" i="6"/>
  <c r="X1232" i="6"/>
  <c r="W1232" i="6"/>
  <c r="V1232" i="6"/>
  <c r="U1232" i="6"/>
  <c r="T1232" i="6"/>
  <c r="S1232" i="6"/>
  <c r="R1232" i="6"/>
  <c r="Q1232" i="6"/>
  <c r="P1232" i="6"/>
  <c r="AC1231" i="6"/>
  <c r="AB1231" i="6"/>
  <c r="AA1231" i="6"/>
  <c r="Z1231" i="6"/>
  <c r="Y1231" i="6"/>
  <c r="X1231" i="6"/>
  <c r="W1231" i="6"/>
  <c r="V1231" i="6"/>
  <c r="U1231" i="6"/>
  <c r="T1231" i="6"/>
  <c r="S1231" i="6"/>
  <c r="R1231" i="6"/>
  <c r="Q1231" i="6"/>
  <c r="P1231" i="6"/>
  <c r="O1231" i="6"/>
  <c r="AB1230" i="6"/>
  <c r="AA1230" i="6"/>
  <c r="Z1230" i="6"/>
  <c r="Y1230" i="6"/>
  <c r="X1230" i="6"/>
  <c r="W1230" i="6"/>
  <c r="V1230" i="6"/>
  <c r="U1230" i="6"/>
  <c r="T1230" i="6"/>
  <c r="S1230" i="6"/>
  <c r="R1230" i="6"/>
  <c r="Q1230" i="6"/>
  <c r="P1230" i="6"/>
  <c r="O1230" i="6"/>
  <c r="N1230" i="6"/>
  <c r="AA1229" i="6"/>
  <c r="Z1229" i="6"/>
  <c r="Y1229" i="6"/>
  <c r="X1229" i="6"/>
  <c r="W1229" i="6"/>
  <c r="V1229" i="6"/>
  <c r="U1229" i="6"/>
  <c r="T1229" i="6"/>
  <c r="S1229" i="6"/>
  <c r="R1229" i="6"/>
  <c r="Q1229" i="6"/>
  <c r="P1229" i="6"/>
  <c r="O1229" i="6"/>
  <c r="N1229" i="6"/>
  <c r="M1229" i="6"/>
  <c r="Z1228" i="6"/>
  <c r="Y1228" i="6"/>
  <c r="X1228" i="6"/>
  <c r="W1228" i="6"/>
  <c r="V1228" i="6"/>
  <c r="U1228" i="6"/>
  <c r="T1228" i="6"/>
  <c r="S1228" i="6"/>
  <c r="R1228" i="6"/>
  <c r="Q1228" i="6"/>
  <c r="P1228" i="6"/>
  <c r="O1228" i="6"/>
  <c r="N1228" i="6"/>
  <c r="M1228" i="6"/>
  <c r="L1228" i="6"/>
  <c r="Y1227" i="6"/>
  <c r="X1227" i="6"/>
  <c r="W1227" i="6"/>
  <c r="V1227" i="6"/>
  <c r="U1227" i="6"/>
  <c r="T1227" i="6"/>
  <c r="S1227" i="6"/>
  <c r="R1227" i="6"/>
  <c r="Q1227" i="6"/>
  <c r="P1227" i="6"/>
  <c r="O1227" i="6"/>
  <c r="N1227" i="6"/>
  <c r="M1227" i="6"/>
  <c r="L1227" i="6"/>
  <c r="K1227" i="6"/>
  <c r="X1226" i="6"/>
  <c r="W1226" i="6"/>
  <c r="V1226" i="6"/>
  <c r="U1226" i="6"/>
  <c r="T1226" i="6"/>
  <c r="S1226" i="6"/>
  <c r="R1226" i="6"/>
  <c r="Q1226" i="6"/>
  <c r="P1226" i="6"/>
  <c r="O1226" i="6"/>
  <c r="N1226" i="6"/>
  <c r="M1226" i="6"/>
  <c r="L1226" i="6"/>
  <c r="K1226" i="6"/>
  <c r="J1226" i="6"/>
  <c r="W1225" i="6"/>
  <c r="V1225" i="6"/>
  <c r="U1225" i="6"/>
  <c r="T1225" i="6"/>
  <c r="S1225" i="6"/>
  <c r="R1225" i="6"/>
  <c r="Q1225" i="6"/>
  <c r="P1225" i="6"/>
  <c r="O1225" i="6"/>
  <c r="N1225" i="6"/>
  <c r="M1225" i="6"/>
  <c r="L1225" i="6"/>
  <c r="K1225" i="6"/>
  <c r="J1225" i="6"/>
  <c r="I1225" i="6"/>
  <c r="V1224" i="6"/>
  <c r="U1224" i="6"/>
  <c r="T1224" i="6"/>
  <c r="S1224" i="6"/>
  <c r="R1224" i="6"/>
  <c r="Q1224" i="6"/>
  <c r="P1224" i="6"/>
  <c r="O1224" i="6"/>
  <c r="N1224" i="6"/>
  <c r="M1224" i="6"/>
  <c r="L1224" i="6"/>
  <c r="K1224" i="6"/>
  <c r="J1224" i="6"/>
  <c r="I1224" i="6"/>
  <c r="H1224" i="6"/>
  <c r="U1223" i="6"/>
  <c r="T1223" i="6"/>
  <c r="S1223" i="6"/>
  <c r="R1223" i="6"/>
  <c r="Q1223" i="6"/>
  <c r="P1223" i="6"/>
  <c r="O1223" i="6"/>
  <c r="N1223" i="6"/>
  <c r="M1223" i="6"/>
  <c r="L1223" i="6"/>
  <c r="K1223" i="6"/>
  <c r="J1223" i="6"/>
  <c r="I1223" i="6"/>
  <c r="H1223" i="6"/>
  <c r="G1223" i="6"/>
  <c r="T1222" i="6"/>
  <c r="S1222" i="6"/>
  <c r="R1222" i="6"/>
  <c r="Q1222" i="6"/>
  <c r="P1222" i="6"/>
  <c r="O1222" i="6"/>
  <c r="N1222" i="6"/>
  <c r="M1222" i="6"/>
  <c r="L1222" i="6"/>
  <c r="K1222" i="6"/>
  <c r="J1222" i="6"/>
  <c r="I1222" i="6"/>
  <c r="H1222" i="6"/>
  <c r="G1222" i="6"/>
  <c r="F1222" i="6"/>
  <c r="S1221" i="6"/>
  <c r="R1221" i="6"/>
  <c r="Q1221" i="6"/>
  <c r="P1221" i="6"/>
  <c r="O1221" i="6"/>
  <c r="N1221" i="6"/>
  <c r="M1221" i="6"/>
  <c r="L1221" i="6"/>
  <c r="K1221" i="6"/>
  <c r="J1221" i="6"/>
  <c r="I1221" i="6"/>
  <c r="H1221" i="6"/>
  <c r="G1221" i="6"/>
  <c r="F1221" i="6"/>
  <c r="E1221" i="6"/>
  <c r="R1220" i="6"/>
  <c r="Q1220" i="6"/>
  <c r="P1220" i="6"/>
  <c r="O1220" i="6"/>
  <c r="N1220" i="6"/>
  <c r="M1220" i="6"/>
  <c r="L1220" i="6"/>
  <c r="K1220" i="6"/>
  <c r="J1220" i="6"/>
  <c r="I1220" i="6"/>
  <c r="H1220" i="6"/>
  <c r="G1220" i="6"/>
  <c r="F1220" i="6"/>
  <c r="E1220" i="6"/>
  <c r="D1220" i="6"/>
  <c r="Q1219" i="6"/>
  <c r="P1219" i="6"/>
  <c r="O1219" i="6"/>
  <c r="N1219" i="6"/>
  <c r="M1219" i="6"/>
  <c r="L1219" i="6"/>
  <c r="K1219" i="6"/>
  <c r="J1219" i="6"/>
  <c r="I1219" i="6"/>
  <c r="H1219" i="6"/>
  <c r="G1219" i="6"/>
  <c r="F1219" i="6"/>
  <c r="E1219" i="6"/>
  <c r="D1219" i="6"/>
  <c r="C1219" i="6"/>
  <c r="BP1218" i="6" a="1"/>
  <c r="BP1218" i="6" s="1"/>
  <c r="R1218" i="6" a="1"/>
  <c r="R1218" i="6" s="1"/>
  <c r="Q1218" i="6" a="1"/>
  <c r="Q1218" i="6" s="1"/>
  <c r="P1218" i="6" a="1"/>
  <c r="P1218" i="6" s="1"/>
  <c r="O1218" i="6" a="1"/>
  <c r="O1218" i="6" s="1"/>
  <c r="N1218" i="6" a="1"/>
  <c r="N1218" i="6" s="1"/>
  <c r="M1218" i="6" a="1"/>
  <c r="M1218" i="6" s="1"/>
  <c r="L1218" i="6" a="1"/>
  <c r="L1218" i="6" s="1"/>
  <c r="K1218" i="6" a="1"/>
  <c r="K1218" i="6" s="1"/>
  <c r="J1218" i="6" a="1"/>
  <c r="J1218" i="6" s="1"/>
  <c r="I1218" i="6" a="1"/>
  <c r="I1218" i="6" s="1"/>
  <c r="H1218" i="6" a="1"/>
  <c r="H1218" i="6" s="1"/>
  <c r="G1218" i="6" a="1"/>
  <c r="G1218" i="6" s="1"/>
  <c r="F1218" i="6" a="1"/>
  <c r="F1218" i="6" s="1"/>
  <c r="E1218" i="6" a="1"/>
  <c r="E1218" i="6" s="1"/>
  <c r="D1218" i="6" a="1"/>
  <c r="D1218" i="6" s="1"/>
  <c r="C1218" i="6" a="1"/>
  <c r="C1218" i="6" s="1"/>
  <c r="AI1185" i="6"/>
  <c r="AH1185" i="6"/>
  <c r="AG1185" i="6"/>
  <c r="AF1185" i="6"/>
  <c r="AE1185" i="6"/>
  <c r="AD1185" i="6"/>
  <c r="AC1185" i="6"/>
  <c r="AB1185" i="6"/>
  <c r="AA1185" i="6"/>
  <c r="Z1185" i="6"/>
  <c r="Y1185" i="6"/>
  <c r="X1185" i="6"/>
  <c r="W1185" i="6"/>
  <c r="V1185" i="6"/>
  <c r="U1185" i="6"/>
  <c r="AH1184" i="6"/>
  <c r="AG1184" i="6"/>
  <c r="AF1184" i="6"/>
  <c r="AE1184" i="6"/>
  <c r="AD1184" i="6"/>
  <c r="AC1184" i="6"/>
  <c r="AB1184" i="6"/>
  <c r="AA1184" i="6"/>
  <c r="Z1184" i="6"/>
  <c r="Y1184" i="6"/>
  <c r="X1184" i="6"/>
  <c r="W1184" i="6"/>
  <c r="V1184" i="6"/>
  <c r="U1184" i="6"/>
  <c r="T1184" i="6"/>
  <c r="AF1182" i="6"/>
  <c r="AE1182" i="6"/>
  <c r="AD1182" i="6"/>
  <c r="AC1182" i="6"/>
  <c r="AB1182" i="6"/>
  <c r="AA1182" i="6"/>
  <c r="Z1182" i="6"/>
  <c r="Y1182" i="6"/>
  <c r="X1182" i="6"/>
  <c r="W1182" i="6"/>
  <c r="V1182" i="6"/>
  <c r="U1182" i="6"/>
  <c r="T1182" i="6"/>
  <c r="S1182" i="6"/>
  <c r="R1182" i="6"/>
  <c r="AE1181" i="6"/>
  <c r="AD1181" i="6"/>
  <c r="AC1181" i="6"/>
  <c r="AB1181" i="6"/>
  <c r="AA1181" i="6"/>
  <c r="Z1181" i="6"/>
  <c r="Y1181" i="6"/>
  <c r="X1181" i="6"/>
  <c r="W1181" i="6"/>
  <c r="V1181" i="6"/>
  <c r="U1181" i="6"/>
  <c r="T1181" i="6"/>
  <c r="S1181" i="6"/>
  <c r="R1181" i="6"/>
  <c r="Q1181" i="6"/>
  <c r="AD1180" i="6"/>
  <c r="AC1180" i="6"/>
  <c r="AB1180" i="6"/>
  <c r="AA1180" i="6"/>
  <c r="Z1180" i="6"/>
  <c r="Y1180" i="6"/>
  <c r="X1180" i="6"/>
  <c r="W1180" i="6"/>
  <c r="V1180" i="6"/>
  <c r="U1180" i="6"/>
  <c r="T1180" i="6"/>
  <c r="S1180" i="6"/>
  <c r="R1180" i="6"/>
  <c r="Q1180" i="6"/>
  <c r="P1180" i="6"/>
  <c r="AC1179" i="6"/>
  <c r="AB1179" i="6"/>
  <c r="AA1179" i="6"/>
  <c r="Z1179" i="6"/>
  <c r="Y1179" i="6"/>
  <c r="X1179" i="6"/>
  <c r="W1179" i="6"/>
  <c r="V1179" i="6"/>
  <c r="U1179" i="6"/>
  <c r="T1179" i="6"/>
  <c r="S1179" i="6"/>
  <c r="R1179" i="6"/>
  <c r="Q1179" i="6"/>
  <c r="P1179" i="6"/>
  <c r="O1179" i="6"/>
  <c r="AB1178" i="6"/>
  <c r="AA1178" i="6"/>
  <c r="Z1178" i="6"/>
  <c r="Y1178" i="6"/>
  <c r="X1178" i="6"/>
  <c r="W1178" i="6"/>
  <c r="V1178" i="6"/>
  <c r="U1178" i="6"/>
  <c r="T1178" i="6"/>
  <c r="S1178" i="6"/>
  <c r="R1178" i="6"/>
  <c r="Q1178" i="6"/>
  <c r="P1178" i="6"/>
  <c r="O1178" i="6"/>
  <c r="N1178" i="6"/>
  <c r="AA1177" i="6"/>
  <c r="Z1177" i="6"/>
  <c r="Y1177" i="6"/>
  <c r="X1177" i="6"/>
  <c r="W1177" i="6"/>
  <c r="V1177" i="6"/>
  <c r="U1177" i="6"/>
  <c r="T1177" i="6"/>
  <c r="S1177" i="6"/>
  <c r="R1177" i="6"/>
  <c r="Q1177" i="6"/>
  <c r="P1177" i="6"/>
  <c r="O1177" i="6"/>
  <c r="N1177" i="6"/>
  <c r="M1177" i="6"/>
  <c r="Z1176" i="6"/>
  <c r="Y1176" i="6"/>
  <c r="X1176" i="6"/>
  <c r="W1176" i="6"/>
  <c r="V1176" i="6"/>
  <c r="U1176" i="6"/>
  <c r="T1176" i="6"/>
  <c r="S1176" i="6"/>
  <c r="R1176" i="6"/>
  <c r="Q1176" i="6"/>
  <c r="P1176" i="6"/>
  <c r="O1176" i="6"/>
  <c r="N1176" i="6"/>
  <c r="M1176" i="6"/>
  <c r="L1176" i="6"/>
  <c r="Y1175" i="6"/>
  <c r="X1175" i="6"/>
  <c r="W1175" i="6"/>
  <c r="V1175" i="6"/>
  <c r="U1175" i="6"/>
  <c r="T1175" i="6"/>
  <c r="S1175" i="6"/>
  <c r="R1175" i="6"/>
  <c r="Q1175" i="6"/>
  <c r="P1175" i="6"/>
  <c r="O1175" i="6"/>
  <c r="N1175" i="6"/>
  <c r="M1175" i="6"/>
  <c r="L1175" i="6"/>
  <c r="K1175" i="6"/>
  <c r="X1174" i="6"/>
  <c r="W1174" i="6"/>
  <c r="V1174" i="6"/>
  <c r="U1174" i="6"/>
  <c r="T1174" i="6"/>
  <c r="S1174" i="6"/>
  <c r="R1174" i="6"/>
  <c r="Q1174" i="6"/>
  <c r="P1174" i="6"/>
  <c r="O1174" i="6"/>
  <c r="N1174" i="6"/>
  <c r="M1174" i="6"/>
  <c r="L1174" i="6"/>
  <c r="K1174" i="6"/>
  <c r="J1174" i="6"/>
  <c r="W1173" i="6"/>
  <c r="V1173" i="6"/>
  <c r="U1173" i="6"/>
  <c r="T1173" i="6"/>
  <c r="S1173" i="6"/>
  <c r="R1173" i="6"/>
  <c r="Q1173" i="6"/>
  <c r="P1173" i="6"/>
  <c r="O1173" i="6"/>
  <c r="N1173" i="6"/>
  <c r="M1173" i="6"/>
  <c r="L1173" i="6"/>
  <c r="K1173" i="6"/>
  <c r="J1173" i="6"/>
  <c r="I1173" i="6"/>
  <c r="V1172" i="6"/>
  <c r="U1172" i="6"/>
  <c r="T1172" i="6"/>
  <c r="S1172" i="6"/>
  <c r="R1172" i="6"/>
  <c r="Q1172" i="6"/>
  <c r="P1172" i="6"/>
  <c r="O1172" i="6"/>
  <c r="N1172" i="6"/>
  <c r="M1172" i="6"/>
  <c r="L1172" i="6"/>
  <c r="K1172" i="6"/>
  <c r="J1172" i="6"/>
  <c r="I1172" i="6"/>
  <c r="H1172" i="6"/>
  <c r="U1171" i="6"/>
  <c r="T1171" i="6"/>
  <c r="S1171" i="6"/>
  <c r="R1171" i="6"/>
  <c r="Q1171" i="6"/>
  <c r="P1171" i="6"/>
  <c r="O1171" i="6"/>
  <c r="N1171" i="6"/>
  <c r="M1171" i="6"/>
  <c r="L1171" i="6"/>
  <c r="K1171" i="6"/>
  <c r="J1171" i="6"/>
  <c r="I1171" i="6"/>
  <c r="H1171" i="6"/>
  <c r="G1171" i="6"/>
  <c r="T1170" i="6"/>
  <c r="S1170" i="6"/>
  <c r="R1170" i="6"/>
  <c r="Q1170" i="6"/>
  <c r="P1170" i="6"/>
  <c r="O1170" i="6"/>
  <c r="N1170" i="6"/>
  <c r="M1170" i="6"/>
  <c r="L1170" i="6"/>
  <c r="K1170" i="6"/>
  <c r="J1170" i="6"/>
  <c r="I1170" i="6"/>
  <c r="H1170" i="6"/>
  <c r="G1170" i="6"/>
  <c r="F1170" i="6"/>
  <c r="S1169" i="6"/>
  <c r="R1169" i="6"/>
  <c r="Q1169" i="6"/>
  <c r="P1169" i="6"/>
  <c r="O1169" i="6"/>
  <c r="N1169" i="6"/>
  <c r="M1169" i="6"/>
  <c r="L1169" i="6"/>
  <c r="K1169" i="6"/>
  <c r="J1169" i="6"/>
  <c r="I1169" i="6"/>
  <c r="H1169" i="6"/>
  <c r="G1169" i="6"/>
  <c r="F1169" i="6"/>
  <c r="E1169" i="6"/>
  <c r="R1168" i="6"/>
  <c r="Q1168" i="6"/>
  <c r="P1168" i="6"/>
  <c r="O1168" i="6"/>
  <c r="N1168" i="6"/>
  <c r="M1168" i="6"/>
  <c r="L1168" i="6"/>
  <c r="K1168" i="6"/>
  <c r="J1168" i="6"/>
  <c r="I1168" i="6"/>
  <c r="H1168" i="6"/>
  <c r="G1168" i="6"/>
  <c r="F1168" i="6"/>
  <c r="E1168" i="6"/>
  <c r="D1168" i="6"/>
  <c r="Q1167" i="6"/>
  <c r="P1167" i="6"/>
  <c r="O1167" i="6"/>
  <c r="N1167" i="6"/>
  <c r="M1167" i="6"/>
  <c r="L1167" i="6"/>
  <c r="K1167" i="6"/>
  <c r="J1167" i="6"/>
  <c r="I1167" i="6"/>
  <c r="H1167" i="6"/>
  <c r="G1167" i="6"/>
  <c r="F1167" i="6"/>
  <c r="E1167" i="6"/>
  <c r="D1167" i="6"/>
  <c r="C1167" i="6"/>
  <c r="BP1166" i="6" a="1"/>
  <c r="BP1166" i="6"/>
  <c r="R1166" i="6" a="1"/>
  <c r="R1166" i="6"/>
  <c r="Q1166" i="6" a="1"/>
  <c r="Q1166" i="6" s="1"/>
  <c r="P1166" i="6" a="1"/>
  <c r="P1166" i="6"/>
  <c r="O1166" i="6" a="1"/>
  <c r="O1166" i="6" s="1"/>
  <c r="N1166" i="6" a="1"/>
  <c r="N1166" i="6"/>
  <c r="M1166" i="6" a="1"/>
  <c r="M1166" i="6" s="1"/>
  <c r="L1166" i="6" a="1"/>
  <c r="L1166" i="6"/>
  <c r="K1166" i="6" a="1"/>
  <c r="K1166" i="6" s="1"/>
  <c r="J1166" i="6" a="1"/>
  <c r="J1166" i="6"/>
  <c r="I1166" i="6" a="1"/>
  <c r="I1166" i="6" s="1"/>
  <c r="H1166" i="6" a="1"/>
  <c r="H1166" i="6"/>
  <c r="G1166" i="6" a="1"/>
  <c r="G1166" i="6" s="1"/>
  <c r="F1166" i="6" a="1"/>
  <c r="F1166" i="6"/>
  <c r="E1166" i="6" a="1"/>
  <c r="E1166" i="6" s="1"/>
  <c r="D1166" i="6" a="1"/>
  <c r="D1166" i="6"/>
  <c r="C1166" i="6" a="1"/>
  <c r="C1166" i="6" s="1"/>
  <c r="T1131" i="6"/>
  <c r="S1131" i="6"/>
  <c r="R1131" i="6"/>
  <c r="Q1131" i="6"/>
  <c r="P1131" i="6"/>
  <c r="O1131" i="6"/>
  <c r="S1130" i="6"/>
  <c r="R1130" i="6"/>
  <c r="Q1130" i="6"/>
  <c r="P1130" i="6"/>
  <c r="O1130" i="6"/>
  <c r="N1130" i="6"/>
  <c r="Q1128" i="6"/>
  <c r="P1128" i="6"/>
  <c r="O1128" i="6"/>
  <c r="N1128" i="6"/>
  <c r="M1128" i="6"/>
  <c r="L1128" i="6"/>
  <c r="P1127" i="6"/>
  <c r="O1127" i="6"/>
  <c r="N1127" i="6"/>
  <c r="M1127" i="6"/>
  <c r="L1127" i="6"/>
  <c r="K1127" i="6"/>
  <c r="O1126" i="6"/>
  <c r="N1126" i="6"/>
  <c r="M1126" i="6"/>
  <c r="L1126" i="6"/>
  <c r="K1126" i="6"/>
  <c r="J1126" i="6"/>
  <c r="N1125" i="6"/>
  <c r="M1125" i="6"/>
  <c r="L1125" i="6"/>
  <c r="K1125" i="6"/>
  <c r="J1125" i="6"/>
  <c r="I1125" i="6"/>
  <c r="M1124" i="6"/>
  <c r="L1124" i="6"/>
  <c r="K1124" i="6"/>
  <c r="J1124" i="6"/>
  <c r="I1124" i="6"/>
  <c r="H1124" i="6"/>
  <c r="L1123" i="6"/>
  <c r="L1112" i="6" s="1"/>
  <c r="K1123" i="6"/>
  <c r="J1123" i="6"/>
  <c r="I1123" i="6"/>
  <c r="H1123" i="6"/>
  <c r="G1123" i="6"/>
  <c r="K1122" i="6"/>
  <c r="J1122" i="6"/>
  <c r="I1122" i="6"/>
  <c r="I1112" i="6" s="1"/>
  <c r="H1122" i="6"/>
  <c r="G1122" i="6"/>
  <c r="F1122" i="6"/>
  <c r="J1121" i="6"/>
  <c r="J1112" i="6" s="1"/>
  <c r="I1121" i="6"/>
  <c r="H1121" i="6"/>
  <c r="G1121" i="6"/>
  <c r="F1121" i="6"/>
  <c r="E1121" i="6"/>
  <c r="I1120" i="6"/>
  <c r="H1120" i="6"/>
  <c r="G1120" i="6"/>
  <c r="F1120" i="6"/>
  <c r="E1120" i="6"/>
  <c r="D1120" i="6"/>
  <c r="H1119" i="6"/>
  <c r="H1112" i="6" s="1"/>
  <c r="G1119" i="6"/>
  <c r="F1119" i="6"/>
  <c r="E1119" i="6"/>
  <c r="D1119" i="6"/>
  <c r="C1119" i="6"/>
  <c r="G1118" i="6"/>
  <c r="F1118" i="6"/>
  <c r="E1118" i="6"/>
  <c r="D1118" i="6"/>
  <c r="C1118" i="6"/>
  <c r="F1117" i="6"/>
  <c r="F1112" i="6" s="1"/>
  <c r="E1117" i="6"/>
  <c r="D1117" i="6"/>
  <c r="C1117" i="6"/>
  <c r="E1116" i="6"/>
  <c r="E1112" i="6" s="1"/>
  <c r="D1116" i="6"/>
  <c r="D1112" i="6" s="1"/>
  <c r="C1116" i="6"/>
  <c r="D1115" i="6"/>
  <c r="C1115" i="6"/>
  <c r="C1114" i="6"/>
  <c r="C1113" i="6"/>
  <c r="BA1112" i="6"/>
  <c r="BA1164" i="6" s="1"/>
  <c r="K1112" i="6"/>
  <c r="K1164" i="6" s="1"/>
  <c r="G1112" i="6"/>
  <c r="G1164" i="6" s="1"/>
  <c r="C1112" i="6"/>
  <c r="C1164" i="6" s="1"/>
  <c r="W1109" i="6"/>
  <c r="V1108" i="6"/>
  <c r="U1108" i="6"/>
  <c r="T1108" i="6"/>
  <c r="S1108" i="6"/>
  <c r="T1107" i="6"/>
  <c r="T1106" i="6"/>
  <c r="T1105" i="6"/>
  <c r="BA1104" i="6"/>
  <c r="BA1108" i="6" s="1"/>
  <c r="W1104" i="6"/>
  <c r="BA1103" i="6"/>
  <c r="W1103" i="6"/>
  <c r="W1110" i="6" s="1"/>
  <c r="L1048" i="6"/>
  <c r="K1048" i="6"/>
  <c r="J1048" i="6"/>
  <c r="I1048" i="6"/>
  <c r="H1048" i="6"/>
  <c r="G1048" i="6"/>
  <c r="H1044" i="6"/>
  <c r="G1044" i="6"/>
  <c r="F1044" i="6"/>
  <c r="E1044" i="6"/>
  <c r="D1044" i="6"/>
  <c r="C1044" i="6"/>
  <c r="C1043" i="6"/>
  <c r="U996" i="6"/>
  <c r="T996" i="6"/>
  <c r="S996" i="6"/>
  <c r="R996" i="6"/>
  <c r="Q996" i="6"/>
  <c r="P996" i="6"/>
  <c r="O996" i="6"/>
  <c r="N996" i="6"/>
  <c r="M996" i="6"/>
  <c r="L996" i="6"/>
  <c r="K996" i="6"/>
  <c r="J996" i="6"/>
  <c r="I996" i="6"/>
  <c r="H996" i="6"/>
  <c r="G996" i="6"/>
  <c r="Q992" i="6"/>
  <c r="P992" i="6"/>
  <c r="O992" i="6"/>
  <c r="N992" i="6"/>
  <c r="M992" i="6"/>
  <c r="L992" i="6"/>
  <c r="K992" i="6"/>
  <c r="J992" i="6"/>
  <c r="I992" i="6"/>
  <c r="H992" i="6"/>
  <c r="G992" i="6"/>
  <c r="F992" i="6"/>
  <c r="E992" i="6"/>
  <c r="D992" i="6"/>
  <c r="C992" i="6"/>
  <c r="C991" i="6" a="1"/>
  <c r="C991" i="6" s="1"/>
  <c r="U944" i="6"/>
  <c r="T944" i="6"/>
  <c r="S944" i="6"/>
  <c r="R944" i="6"/>
  <c r="Q944" i="6"/>
  <c r="P944" i="6"/>
  <c r="O944" i="6"/>
  <c r="N944" i="6"/>
  <c r="M944" i="6"/>
  <c r="L944" i="6"/>
  <c r="K944" i="6"/>
  <c r="J944" i="6"/>
  <c r="I944" i="6"/>
  <c r="H944" i="6"/>
  <c r="G944" i="6"/>
  <c r="Q940" i="6"/>
  <c r="P940" i="6"/>
  <c r="O940" i="6"/>
  <c r="N940" i="6"/>
  <c r="M940" i="6"/>
  <c r="L940" i="6"/>
  <c r="K940" i="6"/>
  <c r="J940" i="6"/>
  <c r="I940" i="6"/>
  <c r="H940" i="6"/>
  <c r="G940" i="6"/>
  <c r="F940" i="6"/>
  <c r="E940" i="6"/>
  <c r="D940" i="6"/>
  <c r="C940" i="6"/>
  <c r="C939" i="6" a="1"/>
  <c r="C939" i="6" s="1"/>
  <c r="BA938" i="6"/>
  <c r="F937" i="6"/>
  <c r="F890" i="6"/>
  <c r="C886" i="6"/>
  <c r="BA885" i="6"/>
  <c r="BA937" i="6" s="1"/>
  <c r="F885" i="6"/>
  <c r="F938" i="6" s="1"/>
  <c r="W883" i="6"/>
  <c r="W882" i="6"/>
  <c r="W881" i="6"/>
  <c r="V881" i="6"/>
  <c r="U881" i="6"/>
  <c r="T881" i="6"/>
  <c r="S881" i="6"/>
  <c r="W880" i="6"/>
  <c r="BA879" i="6"/>
  <c r="BA877" i="6" s="1"/>
  <c r="W879" i="6"/>
  <c r="X879" i="6" s="1"/>
  <c r="BA878" i="6"/>
  <c r="X878" i="6"/>
  <c r="AI735" i="6"/>
  <c r="AE735" i="6"/>
  <c r="AA735" i="6"/>
  <c r="W735" i="6"/>
  <c r="BA713" i="6"/>
  <c r="BA712" i="6"/>
  <c r="BA660" i="6"/>
  <c r="W658" i="6"/>
  <c r="AB839" i="6" s="1"/>
  <c r="W657" i="6"/>
  <c r="W656" i="6"/>
  <c r="V656" i="6"/>
  <c r="U656" i="6"/>
  <c r="T656" i="6"/>
  <c r="S656" i="6"/>
  <c r="W655" i="6"/>
  <c r="BA654" i="6"/>
  <c r="X654" i="6"/>
  <c r="W654" i="6"/>
  <c r="BA653" i="6"/>
  <c r="X653" i="6"/>
  <c r="BA652" i="6"/>
  <c r="T645" i="6"/>
  <c r="S645" i="6"/>
  <c r="H645" i="6"/>
  <c r="D645" i="6"/>
  <c r="C645" i="6"/>
  <c r="T644" i="6"/>
  <c r="S644" i="6"/>
  <c r="R644" i="6"/>
  <c r="Q644" i="6"/>
  <c r="P644" i="6"/>
  <c r="O644" i="6"/>
  <c r="N644" i="6"/>
  <c r="M644" i="6"/>
  <c r="L644" i="6"/>
  <c r="K644" i="6"/>
  <c r="J644" i="6"/>
  <c r="I644" i="6"/>
  <c r="H644" i="6"/>
  <c r="G644" i="6"/>
  <c r="F644" i="6"/>
  <c r="E644" i="6"/>
  <c r="D644" i="6"/>
  <c r="C644" i="6"/>
  <c r="T643" i="6"/>
  <c r="S643" i="6"/>
  <c r="R643" i="6"/>
  <c r="N643" i="6"/>
  <c r="M643" i="6"/>
  <c r="J643" i="6"/>
  <c r="I643" i="6"/>
  <c r="H643" i="6"/>
  <c r="D643" i="6"/>
  <c r="C643" i="6"/>
  <c r="T642" i="6"/>
  <c r="S642" i="6"/>
  <c r="R642" i="6"/>
  <c r="Q642" i="6"/>
  <c r="P642" i="6"/>
  <c r="O642" i="6"/>
  <c r="N642" i="6"/>
  <c r="M642" i="6"/>
  <c r="L642" i="6"/>
  <c r="K642" i="6"/>
  <c r="J642" i="6"/>
  <c r="I642" i="6"/>
  <c r="H642" i="6"/>
  <c r="G642" i="6"/>
  <c r="F642" i="6"/>
  <c r="E642" i="6"/>
  <c r="D642" i="6"/>
  <c r="C642" i="6"/>
  <c r="T641" i="6"/>
  <c r="S641" i="6"/>
  <c r="T33" i="5" s="1"/>
  <c r="R641" i="6"/>
  <c r="Q641" i="6"/>
  <c r="P641" i="6"/>
  <c r="O641" i="6"/>
  <c r="P33" i="5" s="1"/>
  <c r="N641" i="6"/>
  <c r="M641" i="6"/>
  <c r="L641" i="6"/>
  <c r="K641" i="6"/>
  <c r="L33" i="5" s="1"/>
  <c r="J641" i="6"/>
  <c r="I641" i="6"/>
  <c r="H641" i="6"/>
  <c r="G641" i="6"/>
  <c r="H33" i="5" s="1"/>
  <c r="F641" i="6"/>
  <c r="E641" i="6"/>
  <c r="D641" i="6"/>
  <c r="C641" i="6"/>
  <c r="D33" i="5" s="1"/>
  <c r="BA640" i="6"/>
  <c r="AZ640" i="6"/>
  <c r="AY640" i="6"/>
  <c r="AX640" i="6"/>
  <c r="AY32" i="5" s="1"/>
  <c r="AW640" i="6"/>
  <c r="AV640" i="6"/>
  <c r="AU640" i="6"/>
  <c r="AT640" i="6"/>
  <c r="AU32" i="5" s="1"/>
  <c r="AS640" i="6"/>
  <c r="AR640" i="6"/>
  <c r="AQ640" i="6"/>
  <c r="AP640" i="6"/>
  <c r="AQ32" i="5" s="1"/>
  <c r="AO640" i="6"/>
  <c r="AN640" i="6"/>
  <c r="AM640" i="6"/>
  <c r="AL640" i="6"/>
  <c r="AM32" i="5" s="1"/>
  <c r="AK640" i="6"/>
  <c r="AJ640" i="6"/>
  <c r="AI640" i="6"/>
  <c r="AH640" i="6"/>
  <c r="AI32" i="5" s="1"/>
  <c r="AG640" i="6"/>
  <c r="AF640" i="6"/>
  <c r="AE640" i="6"/>
  <c r="AD640" i="6"/>
  <c r="AE32" i="5" s="1"/>
  <c r="AC640" i="6"/>
  <c r="AB640" i="6"/>
  <c r="AA640" i="6"/>
  <c r="Z640" i="6"/>
  <c r="AA32" i="5" s="1"/>
  <c r="Y640" i="6"/>
  <c r="X640" i="6"/>
  <c r="W640" i="6"/>
  <c r="V640" i="6"/>
  <c r="W32" i="5" s="1"/>
  <c r="U640" i="6"/>
  <c r="T640" i="6"/>
  <c r="S640" i="6"/>
  <c r="R640" i="6"/>
  <c r="S32" i="5" s="1"/>
  <c r="Q640" i="6"/>
  <c r="P640" i="6"/>
  <c r="O640" i="6"/>
  <c r="N640" i="6"/>
  <c r="O32" i="5" s="1"/>
  <c r="M640" i="6"/>
  <c r="L640" i="6"/>
  <c r="K640" i="6"/>
  <c r="J640" i="6"/>
  <c r="K32" i="5" s="1"/>
  <c r="I640" i="6"/>
  <c r="H640" i="6"/>
  <c r="G640" i="6"/>
  <c r="F640" i="6"/>
  <c r="G32" i="5" s="1"/>
  <c r="E640" i="6"/>
  <c r="D640" i="6"/>
  <c r="C640" i="6"/>
  <c r="BA639" i="6"/>
  <c r="AZ639" i="6"/>
  <c r="AY639" i="6"/>
  <c r="AX639" i="6"/>
  <c r="AW639" i="6"/>
  <c r="AV639" i="6"/>
  <c r="AU639" i="6"/>
  <c r="AT639" i="6"/>
  <c r="AS639" i="6"/>
  <c r="AR639" i="6"/>
  <c r="AQ639" i="6"/>
  <c r="AP639" i="6"/>
  <c r="AO639" i="6"/>
  <c r="AN639" i="6"/>
  <c r="AM639" i="6"/>
  <c r="AL639" i="6"/>
  <c r="AK639" i="6"/>
  <c r="AJ639" i="6"/>
  <c r="AI639" i="6"/>
  <c r="AH639" i="6"/>
  <c r="AG639" i="6"/>
  <c r="AF639" i="6"/>
  <c r="AE639" i="6"/>
  <c r="AD639" i="6"/>
  <c r="AC639" i="6"/>
  <c r="AB639" i="6"/>
  <c r="AA639" i="6"/>
  <c r="Z639" i="6"/>
  <c r="Y639" i="6"/>
  <c r="X639" i="6"/>
  <c r="W639" i="6"/>
  <c r="V639" i="6"/>
  <c r="U639" i="6"/>
  <c r="T639" i="6"/>
  <c r="S639" i="6"/>
  <c r="R639" i="6"/>
  <c r="R645" i="6" s="1"/>
  <c r="Q639" i="6"/>
  <c r="P639" i="6"/>
  <c r="O639" i="6"/>
  <c r="N639" i="6"/>
  <c r="N645" i="6" s="1"/>
  <c r="M639" i="6"/>
  <c r="M645" i="6" s="1"/>
  <c r="L639" i="6"/>
  <c r="K639" i="6"/>
  <c r="J639" i="6"/>
  <c r="J645" i="6" s="1"/>
  <c r="I639" i="6"/>
  <c r="I645" i="6" s="1"/>
  <c r="H639" i="6"/>
  <c r="G639" i="6"/>
  <c r="F639" i="6"/>
  <c r="E639" i="6"/>
  <c r="D639" i="6"/>
  <c r="C639" i="6"/>
  <c r="U638" i="6"/>
  <c r="T638" i="6"/>
  <c r="U34" i="5" s="1"/>
  <c r="S638" i="6"/>
  <c r="R638" i="6"/>
  <c r="Q638" i="6"/>
  <c r="P638" i="6"/>
  <c r="Q34" i="5" s="1"/>
  <c r="O638" i="6"/>
  <c r="N638" i="6"/>
  <c r="M638" i="6"/>
  <c r="L638" i="6"/>
  <c r="M34" i="5" s="1"/>
  <c r="K638" i="6"/>
  <c r="J638" i="6"/>
  <c r="I638" i="6"/>
  <c r="H638" i="6"/>
  <c r="I34" i="5" s="1"/>
  <c r="G638" i="6"/>
  <c r="F638" i="6"/>
  <c r="E638" i="6"/>
  <c r="D638" i="6"/>
  <c r="E34" i="5" s="1"/>
  <c r="C638" i="6"/>
  <c r="BA637" i="6"/>
  <c r="AZ637" i="6"/>
  <c r="AY637" i="6"/>
  <c r="AX637" i="6"/>
  <c r="AW637" i="6"/>
  <c r="AV637" i="6"/>
  <c r="AU637" i="6"/>
  <c r="AT637" i="6"/>
  <c r="AS637" i="6"/>
  <c r="AR637" i="6"/>
  <c r="AQ637" i="6"/>
  <c r="AP637" i="6"/>
  <c r="AO637" i="6"/>
  <c r="AN637" i="6"/>
  <c r="AM637" i="6"/>
  <c r="AL637" i="6"/>
  <c r="AK637" i="6"/>
  <c r="AJ637" i="6"/>
  <c r="AI637" i="6"/>
  <c r="AH637" i="6"/>
  <c r="AG637" i="6"/>
  <c r="AF637" i="6"/>
  <c r="AE637" i="6"/>
  <c r="AD637" i="6"/>
  <c r="AC637" i="6"/>
  <c r="AB637" i="6"/>
  <c r="AA637" i="6"/>
  <c r="Z637" i="6"/>
  <c r="Y637" i="6"/>
  <c r="X637" i="6"/>
  <c r="W637" i="6"/>
  <c r="V637" i="6"/>
  <c r="U637" i="6"/>
  <c r="T637" i="6"/>
  <c r="S637" i="6"/>
  <c r="R637" i="6"/>
  <c r="Q637" i="6"/>
  <c r="P637" i="6"/>
  <c r="O637" i="6"/>
  <c r="N637" i="6"/>
  <c r="M637" i="6"/>
  <c r="L637" i="6"/>
  <c r="K637" i="6"/>
  <c r="J637" i="6"/>
  <c r="I637" i="6"/>
  <c r="H637" i="6"/>
  <c r="G637" i="6"/>
  <c r="F637" i="6"/>
  <c r="E637" i="6"/>
  <c r="D637" i="6"/>
  <c r="C637" i="6"/>
  <c r="BA475" i="6"/>
  <c r="BA423" i="6"/>
  <c r="BA476" i="6" s="1"/>
  <c r="U419" i="6"/>
  <c r="T419" i="6"/>
  <c r="S419" i="6"/>
  <c r="O419" i="6"/>
  <c r="U418" i="6"/>
  <c r="T418" i="6"/>
  <c r="S418" i="6"/>
  <c r="R418" i="6"/>
  <c r="Q418" i="6"/>
  <c r="P418" i="6"/>
  <c r="O418" i="6"/>
  <c r="N418" i="6"/>
  <c r="M418" i="6"/>
  <c r="L418" i="6"/>
  <c r="K418" i="6"/>
  <c r="J418" i="6"/>
  <c r="I418" i="6"/>
  <c r="H418" i="6"/>
  <c r="G418" i="6"/>
  <c r="F418" i="6"/>
  <c r="E418" i="6"/>
  <c r="D418" i="6"/>
  <c r="C418" i="6"/>
  <c r="U416" i="6"/>
  <c r="T416" i="6"/>
  <c r="S416" i="6"/>
  <c r="R416" i="6"/>
  <c r="Q416" i="6"/>
  <c r="P416" i="6"/>
  <c r="O416" i="6"/>
  <c r="N416" i="6"/>
  <c r="M416" i="6"/>
  <c r="L416" i="6"/>
  <c r="K416" i="6"/>
  <c r="J416" i="6"/>
  <c r="I416" i="6"/>
  <c r="H416" i="6"/>
  <c r="G416" i="6"/>
  <c r="F416" i="6"/>
  <c r="E416" i="6"/>
  <c r="D416" i="6"/>
  <c r="C416" i="6"/>
  <c r="T414" i="6"/>
  <c r="S414" i="6"/>
  <c r="R414" i="6"/>
  <c r="Q414" i="6"/>
  <c r="P414" i="6"/>
  <c r="O414" i="6"/>
  <c r="N414" i="6"/>
  <c r="M414" i="6"/>
  <c r="L414" i="6"/>
  <c r="K414" i="6"/>
  <c r="J414" i="6"/>
  <c r="I414" i="6"/>
  <c r="H414" i="6"/>
  <c r="G414" i="6"/>
  <c r="F414" i="6"/>
  <c r="E414" i="6"/>
  <c r="D414" i="6"/>
  <c r="C414" i="6"/>
  <c r="BA413" i="6"/>
  <c r="BA635" i="6" s="1"/>
  <c r="V413" i="6"/>
  <c r="U22" i="9" s="1"/>
  <c r="BA412" i="6"/>
  <c r="V412" i="6"/>
  <c r="U412" i="6"/>
  <c r="U414" i="6" s="1"/>
  <c r="U408" i="6"/>
  <c r="T408" i="6"/>
  <c r="S408" i="6"/>
  <c r="R408" i="6"/>
  <c r="Q408" i="6"/>
  <c r="P408" i="6"/>
  <c r="O408" i="6"/>
  <c r="N408" i="6"/>
  <c r="M408" i="6"/>
  <c r="L408" i="6"/>
  <c r="K408" i="6"/>
  <c r="J408" i="6"/>
  <c r="I408" i="6"/>
  <c r="H408" i="6"/>
  <c r="G408" i="6"/>
  <c r="F408" i="6"/>
  <c r="E408" i="6"/>
  <c r="D408" i="6"/>
  <c r="C408" i="6"/>
  <c r="AK372" i="6"/>
  <c r="AG372" i="6"/>
  <c r="AC372" i="6"/>
  <c r="Y372" i="6"/>
  <c r="U372" i="6"/>
  <c r="AK371" i="6"/>
  <c r="AG371" i="6"/>
  <c r="AC371" i="6"/>
  <c r="Y371" i="6"/>
  <c r="U371" i="6"/>
  <c r="Q371" i="6"/>
  <c r="AG370" i="6"/>
  <c r="AC370" i="6"/>
  <c r="Y370" i="6"/>
  <c r="U370" i="6"/>
  <c r="Q370" i="6"/>
  <c r="AG368" i="6"/>
  <c r="AC368" i="6"/>
  <c r="Y368" i="6"/>
  <c r="U368" i="6"/>
  <c r="Q368" i="6"/>
  <c r="AG367" i="6"/>
  <c r="AC367" i="6"/>
  <c r="Y367" i="6"/>
  <c r="U367" i="6"/>
  <c r="Q367" i="6"/>
  <c r="M367" i="6"/>
  <c r="AC366" i="6"/>
  <c r="Y366" i="6"/>
  <c r="U366" i="6"/>
  <c r="Q366" i="6"/>
  <c r="M366" i="6"/>
  <c r="AC364" i="6"/>
  <c r="Y364" i="6"/>
  <c r="U364" i="6"/>
  <c r="Q364" i="6"/>
  <c r="M364" i="6"/>
  <c r="AC363" i="6"/>
  <c r="Y363" i="6"/>
  <c r="U363" i="6"/>
  <c r="Q363" i="6"/>
  <c r="M363" i="6"/>
  <c r="I363" i="6"/>
  <c r="Y362" i="6"/>
  <c r="U362" i="6"/>
  <c r="Q362" i="6"/>
  <c r="M362" i="6"/>
  <c r="I362" i="6"/>
  <c r="Y360" i="6"/>
  <c r="U360" i="6"/>
  <c r="Q360" i="6"/>
  <c r="M360" i="6"/>
  <c r="I360" i="6"/>
  <c r="Y359" i="6"/>
  <c r="U359" i="6"/>
  <c r="Q359" i="6"/>
  <c r="M359" i="6"/>
  <c r="I359" i="6"/>
  <c r="E359" i="6"/>
  <c r="U358" i="6"/>
  <c r="Q358" i="6"/>
  <c r="M358" i="6"/>
  <c r="I358" i="6"/>
  <c r="E358" i="6"/>
  <c r="AM318" i="6"/>
  <c r="AI318" i="6"/>
  <c r="AE318" i="6"/>
  <c r="AA318" i="6"/>
  <c r="W318" i="6"/>
  <c r="S318" i="6"/>
  <c r="AI314" i="6"/>
  <c r="AE314" i="6"/>
  <c r="AA314" i="6"/>
  <c r="W314" i="6"/>
  <c r="S314" i="6"/>
  <c r="O314" i="6"/>
  <c r="AE310" i="6"/>
  <c r="AA310" i="6"/>
  <c r="W310" i="6"/>
  <c r="S310" i="6"/>
  <c r="O310" i="6"/>
  <c r="K310" i="6"/>
  <c r="AA306" i="6"/>
  <c r="W306" i="6"/>
  <c r="S306" i="6"/>
  <c r="O306" i="6"/>
  <c r="K306" i="6"/>
  <c r="G306" i="6"/>
  <c r="AN266" i="6"/>
  <c r="AM266" i="6"/>
  <c r="AJ266" i="6"/>
  <c r="AI266" i="6"/>
  <c r="AF266" i="6"/>
  <c r="AE266" i="6"/>
  <c r="AB266" i="6"/>
  <c r="AA266" i="6"/>
  <c r="X266" i="6"/>
  <c r="W266" i="6"/>
  <c r="T266" i="6"/>
  <c r="S266" i="6"/>
  <c r="AJ262" i="6"/>
  <c r="AI262" i="6"/>
  <c r="AF262" i="6"/>
  <c r="AE262" i="6"/>
  <c r="AB262" i="6"/>
  <c r="AA262" i="6"/>
  <c r="X262" i="6"/>
  <c r="W262" i="6"/>
  <c r="T262" i="6"/>
  <c r="S262" i="6"/>
  <c r="P262" i="6"/>
  <c r="O262" i="6"/>
  <c r="AF258" i="6"/>
  <c r="AE258" i="6"/>
  <c r="AB258" i="6"/>
  <c r="AA258" i="6"/>
  <c r="X258" i="6"/>
  <c r="W258" i="6"/>
  <c r="T258" i="6"/>
  <c r="S258" i="6"/>
  <c r="P258" i="6"/>
  <c r="O258" i="6"/>
  <c r="L258" i="6"/>
  <c r="K258" i="6"/>
  <c r="AB254" i="6"/>
  <c r="AA254" i="6"/>
  <c r="X254" i="6"/>
  <c r="W254" i="6"/>
  <c r="T254" i="6"/>
  <c r="S254" i="6"/>
  <c r="P254" i="6"/>
  <c r="O254" i="6"/>
  <c r="L254" i="6"/>
  <c r="K254" i="6"/>
  <c r="H254" i="6"/>
  <c r="G254" i="6"/>
  <c r="Q250" i="6"/>
  <c r="P250" i="6"/>
  <c r="M250" i="6"/>
  <c r="L250" i="6"/>
  <c r="I250" i="6"/>
  <c r="H250" i="6"/>
  <c r="E250" i="6"/>
  <c r="D250" i="6"/>
  <c r="Q249" i="6"/>
  <c r="AL318" i="6" s="1"/>
  <c r="P249" i="6"/>
  <c r="AL317" i="6" s="1"/>
  <c r="M249" i="6"/>
  <c r="AH314" i="6" s="1"/>
  <c r="L249" i="6"/>
  <c r="AH313" i="6" s="1"/>
  <c r="I249" i="6"/>
  <c r="AD310" i="6" s="1"/>
  <c r="H249" i="6"/>
  <c r="AD309" i="6" s="1"/>
  <c r="E249" i="6"/>
  <c r="Z306" i="6" s="1"/>
  <c r="D249" i="6"/>
  <c r="Z305" i="6" s="1"/>
  <c r="S248" i="6"/>
  <c r="AJ373" i="6" s="1"/>
  <c r="R248" i="6"/>
  <c r="AJ372" i="6" s="1"/>
  <c r="Q248" i="6"/>
  <c r="AJ371" i="6" s="1"/>
  <c r="P248" i="6"/>
  <c r="AJ370" i="6" s="1"/>
  <c r="O248" i="6"/>
  <c r="AF369" i="6" s="1"/>
  <c r="N248" i="6"/>
  <c r="AF368" i="6" s="1"/>
  <c r="M248" i="6"/>
  <c r="AF367" i="6" s="1"/>
  <c r="L248" i="6"/>
  <c r="AF366" i="6" s="1"/>
  <c r="K248" i="6"/>
  <c r="AB365" i="6" s="1"/>
  <c r="J248" i="6"/>
  <c r="AB364" i="6" s="1"/>
  <c r="I248" i="6"/>
  <c r="AB363" i="6" s="1"/>
  <c r="H248" i="6"/>
  <c r="AB362" i="6" s="1"/>
  <c r="G248" i="6"/>
  <c r="X361" i="6" s="1"/>
  <c r="F248" i="6"/>
  <c r="X360" i="6" s="1"/>
  <c r="E248" i="6"/>
  <c r="X359" i="6" s="1"/>
  <c r="D248" i="6"/>
  <c r="X358" i="6" s="1"/>
  <c r="C248" i="6"/>
  <c r="T357" i="6" s="1"/>
  <c r="T247" i="6"/>
  <c r="S247" i="6"/>
  <c r="R247" i="6"/>
  <c r="Q247" i="6"/>
  <c r="P247" i="6"/>
  <c r="O247" i="6"/>
  <c r="N247" i="6"/>
  <c r="M247" i="6"/>
  <c r="L247" i="6"/>
  <c r="K247" i="6"/>
  <c r="J247" i="6"/>
  <c r="I247" i="6"/>
  <c r="H247" i="6"/>
  <c r="G247" i="6"/>
  <c r="F247" i="6"/>
  <c r="E247" i="6"/>
  <c r="D247" i="6"/>
  <c r="C247" i="6"/>
  <c r="S246" i="6"/>
  <c r="R246" i="6"/>
  <c r="Q246" i="6"/>
  <c r="P246" i="6"/>
  <c r="O246" i="6"/>
  <c r="N246" i="6"/>
  <c r="M246" i="6"/>
  <c r="L246" i="6"/>
  <c r="K246" i="6"/>
  <c r="J246" i="6"/>
  <c r="I246" i="6"/>
  <c r="H246" i="6"/>
  <c r="G246" i="6"/>
  <c r="F246" i="6"/>
  <c r="E246" i="6"/>
  <c r="D246" i="6"/>
  <c r="C246" i="6"/>
  <c r="U245" i="6"/>
  <c r="T245" i="6"/>
  <c r="S245" i="6"/>
  <c r="R245" i="6"/>
  <c r="Q245" i="6"/>
  <c r="P245" i="6"/>
  <c r="O245" i="6"/>
  <c r="N245" i="6"/>
  <c r="M245" i="6"/>
  <c r="L245" i="6"/>
  <c r="K245" i="6"/>
  <c r="J245" i="6"/>
  <c r="I245" i="6"/>
  <c r="H245" i="6"/>
  <c r="G245" i="6"/>
  <c r="F245" i="6"/>
  <c r="E245" i="6"/>
  <c r="D245" i="6"/>
  <c r="C245" i="6"/>
  <c r="U244" i="6"/>
  <c r="T244" i="6"/>
  <c r="S244" i="6"/>
  <c r="R244" i="6"/>
  <c r="Q244" i="6"/>
  <c r="P244" i="6"/>
  <c r="O244" i="6"/>
  <c r="N244" i="6"/>
  <c r="M244" i="6"/>
  <c r="L244" i="6"/>
  <c r="K244" i="6"/>
  <c r="J244" i="6"/>
  <c r="I244" i="6"/>
  <c r="H244" i="6"/>
  <c r="G244" i="6"/>
  <c r="F244" i="6"/>
  <c r="E244" i="6"/>
  <c r="D244" i="6"/>
  <c r="C244" i="6"/>
  <c r="AQ204" i="6"/>
  <c r="AP204" i="6"/>
  <c r="AO204" i="6"/>
  <c r="AN204" i="6"/>
  <c r="AM204" i="6"/>
  <c r="AL204" i="6"/>
  <c r="AK204" i="6"/>
  <c r="AJ204" i="6"/>
  <c r="AI204" i="6"/>
  <c r="AH204" i="6"/>
  <c r="AG204" i="6"/>
  <c r="AF204" i="6"/>
  <c r="AE204" i="6"/>
  <c r="AD204" i="6"/>
  <c r="AC204" i="6"/>
  <c r="AB204" i="6"/>
  <c r="AA204" i="6"/>
  <c r="Z204" i="6"/>
  <c r="Y204" i="6"/>
  <c r="X204" i="6"/>
  <c r="W204" i="6"/>
  <c r="AP203" i="6"/>
  <c r="AO203" i="6"/>
  <c r="AN203" i="6"/>
  <c r="AM203" i="6"/>
  <c r="AL203" i="6"/>
  <c r="AK203" i="6"/>
  <c r="AJ203" i="6"/>
  <c r="AI203" i="6"/>
  <c r="AH203" i="6"/>
  <c r="AG203" i="6"/>
  <c r="AF203" i="6"/>
  <c r="AE203" i="6"/>
  <c r="AD203" i="6"/>
  <c r="AC203" i="6"/>
  <c r="AB203" i="6"/>
  <c r="AA203" i="6"/>
  <c r="Z203" i="6"/>
  <c r="Y203" i="6"/>
  <c r="X203" i="6"/>
  <c r="W203" i="6"/>
  <c r="V203" i="6"/>
  <c r="AN201" i="6"/>
  <c r="AM201" i="6"/>
  <c r="AL201" i="6"/>
  <c r="AK201" i="6"/>
  <c r="AJ201" i="6"/>
  <c r="AI201" i="6"/>
  <c r="AH201" i="6"/>
  <c r="AG201" i="6"/>
  <c r="AF201" i="6"/>
  <c r="AE201" i="6"/>
  <c r="AD201" i="6"/>
  <c r="AC201" i="6"/>
  <c r="AB201" i="6"/>
  <c r="AA201" i="6"/>
  <c r="Z201" i="6"/>
  <c r="Y201" i="6"/>
  <c r="X201" i="6"/>
  <c r="W201" i="6"/>
  <c r="V201" i="6"/>
  <c r="U201" i="6"/>
  <c r="T201" i="6"/>
  <c r="AM200" i="6"/>
  <c r="AL200" i="6"/>
  <c r="AK200" i="6"/>
  <c r="AJ200" i="6"/>
  <c r="AI200" i="6"/>
  <c r="AH200" i="6"/>
  <c r="AG200" i="6"/>
  <c r="AF200" i="6"/>
  <c r="AE200" i="6"/>
  <c r="AD200" i="6"/>
  <c r="AC200" i="6"/>
  <c r="AB200" i="6"/>
  <c r="AA200" i="6"/>
  <c r="Z200" i="6"/>
  <c r="Y200" i="6"/>
  <c r="X200" i="6"/>
  <c r="W200" i="6"/>
  <c r="V200" i="6"/>
  <c r="U200" i="6"/>
  <c r="T200" i="6"/>
  <c r="S200" i="6"/>
  <c r="Y186" i="6"/>
  <c r="X186" i="6"/>
  <c r="W186" i="6"/>
  <c r="V186" i="6"/>
  <c r="U186" i="6"/>
  <c r="T186" i="6"/>
  <c r="S186" i="6"/>
  <c r="R186" i="6"/>
  <c r="Q186" i="6"/>
  <c r="P186" i="6"/>
  <c r="O186" i="6"/>
  <c r="N186" i="6"/>
  <c r="M186" i="6"/>
  <c r="L186" i="6"/>
  <c r="K186" i="6"/>
  <c r="J186" i="6"/>
  <c r="I186" i="6"/>
  <c r="H186" i="6"/>
  <c r="G186" i="6"/>
  <c r="F186" i="6"/>
  <c r="E186" i="6"/>
  <c r="BV183" i="6"/>
  <c r="AK152" i="6"/>
  <c r="AJ152" i="6"/>
  <c r="AI152" i="6"/>
  <c r="AH152" i="6"/>
  <c r="AG152" i="6"/>
  <c r="AF152" i="6"/>
  <c r="AE152" i="6"/>
  <c r="AD152" i="6"/>
  <c r="AC152" i="6"/>
  <c r="AB152" i="6"/>
  <c r="AA152" i="6"/>
  <c r="Z152" i="6"/>
  <c r="Y152" i="6"/>
  <c r="X152" i="6"/>
  <c r="W152" i="6"/>
  <c r="AJ151" i="6"/>
  <c r="AI151" i="6"/>
  <c r="AH151" i="6"/>
  <c r="AG151" i="6"/>
  <c r="AF151" i="6"/>
  <c r="AE151" i="6"/>
  <c r="AD151" i="6"/>
  <c r="AC151" i="6"/>
  <c r="AB151" i="6"/>
  <c r="AA151" i="6"/>
  <c r="Z151" i="6"/>
  <c r="Y151" i="6"/>
  <c r="X151" i="6"/>
  <c r="W151" i="6"/>
  <c r="V151" i="6"/>
  <c r="AH149" i="6"/>
  <c r="AG149" i="6"/>
  <c r="AF149" i="6"/>
  <c r="AE149" i="6"/>
  <c r="AD149" i="6"/>
  <c r="AC149" i="6"/>
  <c r="AB149" i="6"/>
  <c r="AA149" i="6"/>
  <c r="Z149" i="6"/>
  <c r="Y149" i="6"/>
  <c r="X149" i="6"/>
  <c r="W149" i="6"/>
  <c r="V149" i="6"/>
  <c r="U149" i="6"/>
  <c r="T149" i="6"/>
  <c r="AG148" i="6"/>
  <c r="AF148" i="6"/>
  <c r="AE148" i="6"/>
  <c r="AD148" i="6"/>
  <c r="AC148" i="6"/>
  <c r="AB148" i="6"/>
  <c r="AA148" i="6"/>
  <c r="Z148" i="6"/>
  <c r="Y148" i="6"/>
  <c r="X148" i="6"/>
  <c r="W148" i="6"/>
  <c r="V148" i="6"/>
  <c r="U148" i="6"/>
  <c r="T148" i="6"/>
  <c r="S148" i="6"/>
  <c r="S134" i="6"/>
  <c r="R134" i="6"/>
  <c r="Q134" i="6"/>
  <c r="P134" i="6"/>
  <c r="O134" i="6"/>
  <c r="N134" i="6"/>
  <c r="M134" i="6"/>
  <c r="L134" i="6"/>
  <c r="K134" i="6"/>
  <c r="J134" i="6"/>
  <c r="I134" i="6"/>
  <c r="H134" i="6"/>
  <c r="G134" i="6"/>
  <c r="F134" i="6"/>
  <c r="E134" i="6"/>
  <c r="AK100" i="6"/>
  <c r="AJ100" i="6"/>
  <c r="AI100" i="6"/>
  <c r="AH100" i="6"/>
  <c r="AG100" i="6"/>
  <c r="AF100" i="6"/>
  <c r="AE100" i="6"/>
  <c r="AD100" i="6"/>
  <c r="AC100" i="6"/>
  <c r="AB100" i="6"/>
  <c r="AA100" i="6"/>
  <c r="Z100" i="6"/>
  <c r="Y100" i="6"/>
  <c r="X100" i="6"/>
  <c r="W100" i="6"/>
  <c r="AJ99" i="6"/>
  <c r="AI99" i="6"/>
  <c r="AH99" i="6"/>
  <c r="AG99" i="6"/>
  <c r="AF99" i="6"/>
  <c r="AE99" i="6"/>
  <c r="AD99" i="6"/>
  <c r="AC99" i="6"/>
  <c r="AB99" i="6"/>
  <c r="AA99" i="6"/>
  <c r="Z99" i="6"/>
  <c r="Y99" i="6"/>
  <c r="X99" i="6"/>
  <c r="W99" i="6"/>
  <c r="V99" i="6"/>
  <c r="AH97" i="6"/>
  <c r="AG97" i="6"/>
  <c r="AF97" i="6"/>
  <c r="AE97" i="6"/>
  <c r="AD97" i="6"/>
  <c r="AC97" i="6"/>
  <c r="AB97" i="6"/>
  <c r="AA97" i="6"/>
  <c r="Z97" i="6"/>
  <c r="Y97" i="6"/>
  <c r="X97" i="6"/>
  <c r="W97" i="6"/>
  <c r="V97" i="6"/>
  <c r="U97" i="6"/>
  <c r="T97" i="6"/>
  <c r="AG96" i="6"/>
  <c r="AF96" i="6"/>
  <c r="AE96" i="6"/>
  <c r="AD96" i="6"/>
  <c r="AC96" i="6"/>
  <c r="AB96" i="6"/>
  <c r="AA96" i="6"/>
  <c r="Z96" i="6"/>
  <c r="Y96" i="6"/>
  <c r="X96" i="6"/>
  <c r="W96" i="6"/>
  <c r="V96" i="6"/>
  <c r="U96" i="6"/>
  <c r="T96" i="6"/>
  <c r="S96" i="6"/>
  <c r="S82" i="6"/>
  <c r="R82" i="6"/>
  <c r="Q82" i="6"/>
  <c r="P82" i="6"/>
  <c r="O82" i="6"/>
  <c r="N82" i="6"/>
  <c r="M82" i="6"/>
  <c r="L82" i="6"/>
  <c r="K82" i="6"/>
  <c r="J82" i="6"/>
  <c r="I82" i="6"/>
  <c r="H82" i="6"/>
  <c r="G82" i="6"/>
  <c r="F82" i="6"/>
  <c r="E82" i="6"/>
  <c r="V37" i="6"/>
  <c r="U37" i="6"/>
  <c r="T37" i="6"/>
  <c r="S37" i="6"/>
  <c r="R37" i="6"/>
  <c r="Q37" i="6"/>
  <c r="U36" i="6"/>
  <c r="T36" i="6"/>
  <c r="S36" i="6"/>
  <c r="R36" i="6"/>
  <c r="Q36" i="6"/>
  <c r="P36" i="6"/>
  <c r="T35" i="6"/>
  <c r="S35" i="6"/>
  <c r="S34" i="6"/>
  <c r="R34" i="6"/>
  <c r="Q34" i="6"/>
  <c r="P34" i="6"/>
  <c r="O34" i="6"/>
  <c r="N34" i="6"/>
  <c r="R33" i="6"/>
  <c r="Q33" i="6"/>
  <c r="P33" i="6"/>
  <c r="O33" i="6"/>
  <c r="N33" i="6"/>
  <c r="M33" i="6"/>
  <c r="D19" i="6"/>
  <c r="C19" i="6"/>
  <c r="BA16" i="6"/>
  <c r="BA77" i="6" s="1"/>
  <c r="X15" i="6"/>
  <c r="W13" i="6"/>
  <c r="BA12" i="6"/>
  <c r="V12" i="6"/>
  <c r="U12" i="6"/>
  <c r="T12" i="6"/>
  <c r="S12" i="6"/>
  <c r="P12" i="6"/>
  <c r="O12" i="6"/>
  <c r="L12" i="6"/>
  <c r="K12" i="6"/>
  <c r="H12" i="6"/>
  <c r="G12" i="6"/>
  <c r="D12" i="6"/>
  <c r="C12" i="6"/>
  <c r="V11" i="6"/>
  <c r="U11" i="6"/>
  <c r="T11" i="6"/>
  <c r="S11" i="6"/>
  <c r="R11" i="6"/>
  <c r="Q11" i="6"/>
  <c r="P11" i="6"/>
  <c r="O11" i="6"/>
  <c r="N11" i="6"/>
  <c r="M11" i="6"/>
  <c r="L11" i="6"/>
  <c r="K11" i="6"/>
  <c r="J11" i="6"/>
  <c r="I11" i="6"/>
  <c r="H11" i="6"/>
  <c r="G11" i="6"/>
  <c r="F11" i="6"/>
  <c r="E11" i="6"/>
  <c r="D11" i="6"/>
  <c r="C11" i="6"/>
  <c r="BA9" i="6"/>
  <c r="BA7" i="6" s="1"/>
  <c r="W9" i="6"/>
  <c r="BA8" i="6"/>
  <c r="U38" i="5"/>
  <c r="Q38" i="5"/>
  <c r="M38" i="5"/>
  <c r="I38" i="5"/>
  <c r="E38" i="5"/>
  <c r="BB36" i="5"/>
  <c r="BA36" i="5"/>
  <c r="AZ36" i="5"/>
  <c r="AY36" i="5"/>
  <c r="AX36" i="5"/>
  <c r="AW36" i="5"/>
  <c r="AV36" i="5"/>
  <c r="AU36" i="5"/>
  <c r="AT36" i="5"/>
  <c r="AS36" i="5"/>
  <c r="AR36" i="5"/>
  <c r="AQ36" i="5"/>
  <c r="AP36" i="5"/>
  <c r="AO36" i="5"/>
  <c r="AN36" i="5"/>
  <c r="AM36" i="5"/>
  <c r="AL36" i="5"/>
  <c r="AK36" i="5"/>
  <c r="AJ36" i="5"/>
  <c r="AI36" i="5"/>
  <c r="AH36" i="5"/>
  <c r="AG36" i="5"/>
  <c r="AF36" i="5"/>
  <c r="AE36" i="5"/>
  <c r="AD36" i="5"/>
  <c r="AC36" i="5"/>
  <c r="AB36" i="5"/>
  <c r="AA36" i="5"/>
  <c r="Z36" i="5"/>
  <c r="Y36" i="5"/>
  <c r="X36" i="5"/>
  <c r="W36" i="5"/>
  <c r="V36" i="5"/>
  <c r="U36" i="5"/>
  <c r="T36" i="5"/>
  <c r="T38" i="5" s="1"/>
  <c r="S36" i="5"/>
  <c r="R36" i="5"/>
  <c r="Q36" i="5"/>
  <c r="P36" i="5"/>
  <c r="P38" i="5" s="1"/>
  <c r="O36" i="5"/>
  <c r="N36" i="5"/>
  <c r="M36" i="5"/>
  <c r="L36" i="5"/>
  <c r="L38" i="5" s="1"/>
  <c r="K36" i="5"/>
  <c r="J36" i="5"/>
  <c r="I36" i="5"/>
  <c r="H36" i="5"/>
  <c r="H38" i="5" s="1"/>
  <c r="G36" i="5"/>
  <c r="F36" i="5"/>
  <c r="E36" i="5"/>
  <c r="D36" i="5"/>
  <c r="D38" i="5" s="1"/>
  <c r="V35" i="5"/>
  <c r="U35" i="5"/>
  <c r="T35" i="5"/>
  <c r="S35" i="5"/>
  <c r="R35" i="5"/>
  <c r="Q35" i="5"/>
  <c r="P35" i="5"/>
  <c r="O35" i="5"/>
  <c r="N35" i="5"/>
  <c r="M35" i="5"/>
  <c r="L35" i="5"/>
  <c r="K35" i="5"/>
  <c r="J35" i="5"/>
  <c r="I35" i="5"/>
  <c r="H35" i="5"/>
  <c r="G35" i="5"/>
  <c r="F35" i="5"/>
  <c r="E35" i="5"/>
  <c r="D35" i="5"/>
  <c r="V34" i="5"/>
  <c r="V38" i="5" s="1"/>
  <c r="T34" i="5"/>
  <c r="S34" i="5"/>
  <c r="S38" i="5" s="1"/>
  <c r="R34" i="5"/>
  <c r="R38" i="5" s="1"/>
  <c r="P34" i="5"/>
  <c r="O34" i="5"/>
  <c r="N34" i="5"/>
  <c r="N38" i="5" s="1"/>
  <c r="L34" i="5"/>
  <c r="K34" i="5"/>
  <c r="K38" i="5" s="1"/>
  <c r="J34" i="5"/>
  <c r="J38" i="5" s="1"/>
  <c r="H34" i="5"/>
  <c r="G34" i="5"/>
  <c r="F34" i="5"/>
  <c r="F38" i="5" s="1"/>
  <c r="D34" i="5"/>
  <c r="U33" i="5"/>
  <c r="S33" i="5"/>
  <c r="R33" i="5"/>
  <c r="Q33" i="5"/>
  <c r="O33" i="5"/>
  <c r="N33" i="5"/>
  <c r="M33" i="5"/>
  <c r="K33" i="5"/>
  <c r="J33" i="5"/>
  <c r="I33" i="5"/>
  <c r="G33" i="5"/>
  <c r="F33" i="5"/>
  <c r="E33" i="5"/>
  <c r="BB32" i="5"/>
  <c r="BA32" i="5"/>
  <c r="AZ32" i="5"/>
  <c r="AX32" i="5"/>
  <c r="AW32" i="5"/>
  <c r="AV32" i="5"/>
  <c r="AT32" i="5"/>
  <c r="AS32" i="5"/>
  <c r="AR32" i="5"/>
  <c r="AP32" i="5"/>
  <c r="AO32" i="5"/>
  <c r="AN32" i="5"/>
  <c r="AL32" i="5"/>
  <c r="AK32" i="5"/>
  <c r="AJ32" i="5"/>
  <c r="AH32" i="5"/>
  <c r="AG32" i="5"/>
  <c r="AF32" i="5"/>
  <c r="AD32" i="5"/>
  <c r="AC32" i="5"/>
  <c r="AB32" i="5"/>
  <c r="Z32" i="5"/>
  <c r="Y32" i="5"/>
  <c r="X32" i="5"/>
  <c r="V32" i="5"/>
  <c r="U32" i="5"/>
  <c r="T32" i="5"/>
  <c r="R32" i="5"/>
  <c r="Q32" i="5"/>
  <c r="P32" i="5"/>
  <c r="N32" i="5"/>
  <c r="M32" i="5"/>
  <c r="L32" i="5"/>
  <c r="J32" i="5"/>
  <c r="I32" i="5"/>
  <c r="H32" i="5"/>
  <c r="F32" i="5"/>
  <c r="E32" i="5"/>
  <c r="D32" i="5"/>
  <c r="BB31" i="5"/>
  <c r="BA31" i="5"/>
  <c r="AZ31" i="5"/>
  <c r="AY31" i="5"/>
  <c r="AX31" i="5"/>
  <c r="AW31" i="5"/>
  <c r="AV31" i="5"/>
  <c r="AU31" i="5"/>
  <c r="AT31" i="5"/>
  <c r="AS31" i="5"/>
  <c r="AR31" i="5"/>
  <c r="AQ31" i="5"/>
  <c r="AP31" i="5"/>
  <c r="AO31" i="5"/>
  <c r="AN31" i="5"/>
  <c r="AM31" i="5"/>
  <c r="AL31" i="5"/>
  <c r="AK31" i="5"/>
  <c r="AJ31" i="5"/>
  <c r="AI31" i="5"/>
  <c r="AH31" i="5"/>
  <c r="AG31" i="5"/>
  <c r="AF31" i="5"/>
  <c r="AE31" i="5"/>
  <c r="AD31" i="5"/>
  <c r="AC31" i="5"/>
  <c r="AB31" i="5"/>
  <c r="AA31" i="5"/>
  <c r="Z31" i="5"/>
  <c r="Y31" i="5"/>
  <c r="X31" i="5"/>
  <c r="W31" i="5"/>
  <c r="V31" i="5"/>
  <c r="U31" i="5"/>
  <c r="T31" i="5"/>
  <c r="S31" i="5"/>
  <c r="R31" i="5"/>
  <c r="Q31" i="5"/>
  <c r="P31" i="5"/>
  <c r="O31" i="5"/>
  <c r="N31" i="5"/>
  <c r="M31" i="5"/>
  <c r="L31" i="5"/>
  <c r="K31" i="5"/>
  <c r="J31" i="5"/>
  <c r="I31" i="5"/>
  <c r="H31" i="5"/>
  <c r="G31" i="5"/>
  <c r="F31" i="5"/>
  <c r="E31" i="5"/>
  <c r="D31"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T30" i="5"/>
  <c r="S30" i="5"/>
  <c r="R30" i="5"/>
  <c r="Q30" i="5"/>
  <c r="P30" i="5"/>
  <c r="O30" i="5"/>
  <c r="N30" i="5"/>
  <c r="M30" i="5"/>
  <c r="L30" i="5"/>
  <c r="K30" i="5"/>
  <c r="I30" i="5"/>
  <c r="H30" i="5"/>
  <c r="D30" i="5"/>
  <c r="S29" i="5"/>
  <c r="R29" i="5"/>
  <c r="Q29" i="5"/>
  <c r="O29" i="5"/>
  <c r="N29" i="5"/>
  <c r="M29" i="5"/>
  <c r="K29" i="5"/>
  <c r="J29" i="5"/>
  <c r="I29" i="5"/>
  <c r="G29" i="5"/>
  <c r="F29" i="5"/>
  <c r="E29" i="5"/>
  <c r="V28" i="5"/>
  <c r="U28" i="5"/>
  <c r="T28" i="5"/>
  <c r="S28" i="5"/>
  <c r="R28" i="5"/>
  <c r="Q28" i="5"/>
  <c r="P28" i="5"/>
  <c r="O28" i="5"/>
  <c r="N28" i="5"/>
  <c r="M28" i="5"/>
  <c r="L28" i="5"/>
  <c r="K28" i="5"/>
  <c r="J28" i="5"/>
  <c r="I28" i="5"/>
  <c r="H28" i="5"/>
  <c r="G28" i="5"/>
  <c r="F28" i="5"/>
  <c r="E28" i="5"/>
  <c r="D28" i="5"/>
  <c r="P27" i="5"/>
  <c r="L27" i="5"/>
  <c r="U26" i="5"/>
  <c r="T26" i="5"/>
  <c r="S26" i="5"/>
  <c r="R26" i="5"/>
  <c r="Q26" i="5"/>
  <c r="P26" i="5"/>
  <c r="O26" i="5"/>
  <c r="N26" i="5"/>
  <c r="M26" i="5"/>
  <c r="L26" i="5"/>
  <c r="K26" i="5"/>
  <c r="J26" i="5"/>
  <c r="I26" i="5"/>
  <c r="H26" i="5"/>
  <c r="G26" i="5"/>
  <c r="F26" i="5"/>
  <c r="E26" i="5"/>
  <c r="D26" i="5"/>
  <c r="W23" i="5"/>
  <c r="V23" i="5"/>
  <c r="U23" i="5"/>
  <c r="T23" i="5"/>
  <c r="S23" i="5"/>
  <c r="R23" i="5"/>
  <c r="Q23" i="5"/>
  <c r="P23" i="5"/>
  <c r="O23" i="5"/>
  <c r="N23" i="5"/>
  <c r="M23" i="5"/>
  <c r="L23" i="5"/>
  <c r="K23" i="5"/>
  <c r="J23" i="5"/>
  <c r="I23" i="5"/>
  <c r="H23" i="5"/>
  <c r="G23" i="5"/>
  <c r="F23" i="5"/>
  <c r="E23" i="5"/>
  <c r="D23" i="5"/>
  <c r="BB22" i="5"/>
  <c r="Z21" i="5"/>
  <c r="X21" i="5"/>
  <c r="W21" i="5"/>
  <c r="V21" i="5"/>
  <c r="U21" i="5"/>
  <c r="T21" i="5"/>
  <c r="S21" i="5"/>
  <c r="R21" i="5"/>
  <c r="Q21" i="5"/>
  <c r="P21" i="5"/>
  <c r="O21" i="5"/>
  <c r="N21" i="5"/>
  <c r="M21" i="5"/>
  <c r="L21" i="5"/>
  <c r="K21" i="5"/>
  <c r="J21" i="5"/>
  <c r="I21" i="5"/>
  <c r="H21" i="5"/>
  <c r="G21" i="5"/>
  <c r="F21" i="5"/>
  <c r="E21" i="5"/>
  <c r="D21" i="5"/>
  <c r="W20" i="5"/>
  <c r="V20" i="5"/>
  <c r="U20" i="5"/>
  <c r="T20" i="5"/>
  <c r="S20" i="5"/>
  <c r="R20" i="5"/>
  <c r="Q20" i="5"/>
  <c r="P20" i="5"/>
  <c r="O20" i="5"/>
  <c r="N20" i="5"/>
  <c r="M20" i="5"/>
  <c r="L20" i="5"/>
  <c r="K20" i="5"/>
  <c r="J20" i="5"/>
  <c r="I20" i="5"/>
  <c r="H20" i="5"/>
  <c r="G20" i="5"/>
  <c r="F20" i="5"/>
  <c r="E20" i="5"/>
  <c r="D20" i="5"/>
  <c r="U19" i="5"/>
  <c r="U18" i="5"/>
  <c r="BB16" i="5"/>
  <c r="Y16" i="5"/>
  <c r="X16" i="5"/>
  <c r="W16" i="5"/>
  <c r="V16" i="5"/>
  <c r="U16" i="5"/>
  <c r="T16" i="5"/>
  <c r="K16" i="5"/>
  <c r="J16" i="5"/>
  <c r="I16" i="5"/>
  <c r="H16" i="5"/>
  <c r="G16" i="5"/>
  <c r="F16" i="5"/>
  <c r="E16" i="5"/>
  <c r="D16" i="5"/>
  <c r="BB15" i="5"/>
  <c r="W15" i="5"/>
  <c r="V15" i="5"/>
  <c r="U15" i="5"/>
  <c r="T15" i="5"/>
  <c r="S15" i="5"/>
  <c r="R15" i="5"/>
  <c r="Q15" i="5"/>
  <c r="P15" i="5"/>
  <c r="O15" i="5"/>
  <c r="N15" i="5"/>
  <c r="M15" i="5"/>
  <c r="L15" i="5"/>
  <c r="K15" i="5"/>
  <c r="J15" i="5"/>
  <c r="I15" i="5"/>
  <c r="H15" i="5"/>
  <c r="G15" i="5"/>
  <c r="F15" i="5"/>
  <c r="E15" i="5"/>
  <c r="D15" i="5"/>
  <c r="BB14" i="5"/>
  <c r="AA14" i="5"/>
  <c r="Z14" i="5"/>
  <c r="Y14" i="5"/>
  <c r="X14" i="5"/>
  <c r="W14" i="5"/>
  <c r="V14" i="5"/>
  <c r="U14" i="5"/>
  <c r="T14" i="5"/>
  <c r="S14" i="5"/>
  <c r="R14" i="5"/>
  <c r="Q14" i="5"/>
  <c r="P14" i="5"/>
  <c r="O14" i="5"/>
  <c r="N14" i="5"/>
  <c r="M14" i="5"/>
  <c r="L14" i="5"/>
  <c r="K14" i="5"/>
  <c r="J14" i="5"/>
  <c r="I14" i="5"/>
  <c r="H14" i="5"/>
  <c r="G14" i="5"/>
  <c r="F14" i="5"/>
  <c r="E14" i="5"/>
  <c r="D14" i="5"/>
  <c r="BB13" i="5"/>
  <c r="X13" i="5"/>
  <c r="W13" i="5"/>
  <c r="V13" i="5"/>
  <c r="U13" i="5"/>
  <c r="T13" i="5"/>
  <c r="S13" i="5"/>
  <c r="R13" i="5"/>
  <c r="Q13" i="5"/>
  <c r="P13" i="5"/>
  <c r="O13" i="5"/>
  <c r="N13" i="5"/>
  <c r="M13" i="5"/>
  <c r="L13" i="5"/>
  <c r="K13" i="5"/>
  <c r="J13" i="5"/>
  <c r="I13" i="5"/>
  <c r="H13" i="5"/>
  <c r="G13" i="5"/>
  <c r="F13" i="5"/>
  <c r="E13" i="5"/>
  <c r="D13" i="5"/>
  <c r="X12" i="5"/>
  <c r="W12" i="5"/>
  <c r="V12" i="5"/>
  <c r="U12" i="5"/>
  <c r="T12" i="5"/>
  <c r="S12" i="5"/>
  <c r="R12" i="5"/>
  <c r="Q12" i="5"/>
  <c r="P12" i="5"/>
  <c r="O12" i="5"/>
  <c r="N12" i="5"/>
  <c r="M12" i="5"/>
  <c r="L12" i="5"/>
  <c r="K12" i="5"/>
  <c r="J12" i="5"/>
  <c r="I12" i="5"/>
  <c r="H12" i="5"/>
  <c r="G12" i="5"/>
  <c r="F12" i="5"/>
  <c r="E12" i="5"/>
  <c r="D12" i="5"/>
  <c r="BB11" i="5"/>
  <c r="Y11" i="5"/>
  <c r="X11" i="5"/>
  <c r="W11" i="5"/>
  <c r="V11" i="5"/>
  <c r="U11" i="5"/>
  <c r="T11" i="5"/>
  <c r="S11" i="5"/>
  <c r="R11" i="5"/>
  <c r="Q11" i="5"/>
  <c r="P11" i="5"/>
  <c r="O11" i="5"/>
  <c r="N11" i="5"/>
  <c r="M11" i="5"/>
  <c r="L11" i="5"/>
  <c r="K11" i="5"/>
  <c r="J11" i="5"/>
  <c r="I11" i="5"/>
  <c r="H11" i="5"/>
  <c r="G11" i="5"/>
  <c r="F11" i="5"/>
  <c r="E11" i="5"/>
  <c r="D11" i="5"/>
  <c r="BB10" i="5"/>
  <c r="Y10" i="5"/>
  <c r="X10" i="5"/>
  <c r="W10" i="5"/>
  <c r="V10" i="5"/>
  <c r="U10" i="5"/>
  <c r="T10" i="5"/>
  <c r="S10" i="5"/>
  <c r="R10" i="5"/>
  <c r="Q10" i="5"/>
  <c r="P10" i="5"/>
  <c r="O10" i="5"/>
  <c r="N10" i="5"/>
  <c r="M10" i="5"/>
  <c r="L10" i="5"/>
  <c r="K10" i="5"/>
  <c r="J10" i="5"/>
  <c r="I10" i="5"/>
  <c r="H10" i="5"/>
  <c r="G10" i="5"/>
  <c r="F10" i="5"/>
  <c r="E10" i="5"/>
  <c r="D10" i="5"/>
  <c r="BB9" i="5"/>
  <c r="X9" i="5"/>
  <c r="W9" i="5"/>
  <c r="V9" i="5"/>
  <c r="U9" i="5"/>
  <c r="T9" i="5"/>
  <c r="S9" i="5"/>
  <c r="R9" i="5"/>
  <c r="Q9" i="5"/>
  <c r="P9" i="5"/>
  <c r="O9" i="5"/>
  <c r="N9" i="5"/>
  <c r="M9" i="5"/>
  <c r="L9" i="5"/>
  <c r="K9" i="5"/>
  <c r="J9" i="5"/>
  <c r="I9" i="5"/>
  <c r="H9" i="5"/>
  <c r="G9" i="5"/>
  <c r="F9" i="5"/>
  <c r="E9" i="5"/>
  <c r="D9" i="5"/>
  <c r="BB7" i="5"/>
  <c r="Y7" i="5"/>
  <c r="X7" i="5"/>
  <c r="W7" i="5"/>
  <c r="V7" i="5"/>
  <c r="U7" i="5"/>
  <c r="T7" i="5"/>
  <c r="S7" i="5"/>
  <c r="R7" i="5"/>
  <c r="Q7" i="5"/>
  <c r="P7" i="5"/>
  <c r="O7" i="5"/>
  <c r="N7" i="5"/>
  <c r="M7" i="5"/>
  <c r="L7" i="5"/>
  <c r="K7" i="5"/>
  <c r="J7" i="5"/>
  <c r="I7" i="5"/>
  <c r="H7" i="5"/>
  <c r="G7" i="5"/>
  <c r="F7" i="5"/>
  <c r="E7" i="5"/>
  <c r="D7" i="5"/>
  <c r="BB6" i="5"/>
  <c r="Y6" i="5"/>
  <c r="X6" i="5"/>
  <c r="W6" i="5"/>
  <c r="V6" i="5"/>
  <c r="U6" i="5"/>
  <c r="T6" i="5"/>
  <c r="S6" i="5"/>
  <c r="R6" i="5"/>
  <c r="Q6" i="5"/>
  <c r="P6" i="5"/>
  <c r="O6" i="5"/>
  <c r="N6" i="5"/>
  <c r="M6" i="5"/>
  <c r="L6" i="5"/>
  <c r="K6" i="5"/>
  <c r="J6" i="5"/>
  <c r="I6" i="5"/>
  <c r="H6" i="5"/>
  <c r="G6" i="5"/>
  <c r="F6" i="5"/>
  <c r="E6" i="5"/>
  <c r="D6" i="5"/>
  <c r="BB5" i="5"/>
  <c r="V5" i="5"/>
  <c r="U5" i="5"/>
  <c r="T5" i="5"/>
  <c r="S5" i="5"/>
  <c r="R5" i="5"/>
  <c r="Q5" i="5"/>
  <c r="P5" i="5"/>
  <c r="O5" i="5"/>
  <c r="N5" i="5"/>
  <c r="M5" i="5"/>
  <c r="L5" i="5"/>
  <c r="K5" i="5"/>
  <c r="J5" i="5"/>
  <c r="I5" i="5"/>
  <c r="H5" i="5"/>
  <c r="G5" i="5"/>
  <c r="F5" i="5"/>
  <c r="E5" i="5"/>
  <c r="D5" i="5"/>
  <c r="BB4" i="5"/>
  <c r="V4" i="5"/>
  <c r="U4" i="5"/>
  <c r="T4" i="5"/>
  <c r="S4" i="5"/>
  <c r="R4" i="5"/>
  <c r="Q4" i="5"/>
  <c r="P4" i="5"/>
  <c r="O4" i="5"/>
  <c r="N4" i="5"/>
  <c r="M4" i="5"/>
  <c r="L4" i="5"/>
  <c r="K4" i="5"/>
  <c r="J4" i="5"/>
  <c r="I4" i="5"/>
  <c r="H4" i="5"/>
  <c r="G4" i="5"/>
  <c r="F4" i="5"/>
  <c r="E4" i="5"/>
  <c r="D4" i="5"/>
  <c r="BB3" i="5"/>
  <c r="X3" i="5"/>
  <c r="W3" i="5"/>
  <c r="V3" i="5"/>
  <c r="U3" i="5"/>
  <c r="T3" i="5"/>
  <c r="S3" i="5"/>
  <c r="R3" i="5"/>
  <c r="Q3" i="5"/>
  <c r="P3" i="5"/>
  <c r="O3" i="5"/>
  <c r="N3" i="5"/>
  <c r="M3" i="5"/>
  <c r="L3" i="5"/>
  <c r="K3" i="5"/>
  <c r="J3" i="5"/>
  <c r="I3" i="5"/>
  <c r="H3" i="5"/>
  <c r="G3" i="5"/>
  <c r="F3" i="5"/>
  <c r="E3" i="5"/>
  <c r="D3" i="5"/>
  <c r="W2" i="5"/>
  <c r="V2" i="5"/>
  <c r="U2" i="5"/>
  <c r="T2" i="5"/>
  <c r="S2" i="5"/>
  <c r="R2" i="5"/>
  <c r="Q2" i="5"/>
  <c r="P2" i="5"/>
  <c r="O2" i="5"/>
  <c r="N2" i="5"/>
  <c r="M2" i="5"/>
  <c r="L2" i="5"/>
  <c r="K2" i="5"/>
  <c r="J2" i="5"/>
  <c r="I2" i="5"/>
  <c r="H2" i="5"/>
  <c r="G2" i="5"/>
  <c r="F2" i="5"/>
  <c r="E2" i="5"/>
  <c r="D2" i="5"/>
  <c r="A35" i="3"/>
  <c r="B34" i="3"/>
  <c r="A34" i="3"/>
  <c r="B33" i="3"/>
  <c r="A33" i="3"/>
  <c r="B32" i="3"/>
  <c r="A32" i="3"/>
  <c r="B31" i="3"/>
  <c r="A31" i="3"/>
  <c r="B30" i="3"/>
  <c r="A30" i="3"/>
  <c r="B29" i="3"/>
  <c r="A29" i="3"/>
  <c r="B28" i="3"/>
  <c r="A28" i="3"/>
  <c r="B27" i="3"/>
  <c r="A27" i="3"/>
  <c r="B26" i="3"/>
  <c r="A26" i="3"/>
  <c r="B25" i="3"/>
  <c r="AZ20" i="14" s="1"/>
  <c r="A25" i="3"/>
  <c r="B24" i="3"/>
  <c r="AZ18" i="14" s="1"/>
  <c r="A24" i="3"/>
  <c r="B23" i="3"/>
  <c r="A23" i="3"/>
  <c r="B22" i="3"/>
  <c r="A22" i="3"/>
  <c r="B18" i="3"/>
  <c r="BA638" i="6" s="1"/>
  <c r="BB34" i="5" s="1"/>
  <c r="J15" i="3"/>
  <c r="F15" i="3"/>
  <c r="F20" i="4" s="1"/>
  <c r="E15" i="3"/>
  <c r="E20" i="4" s="1"/>
  <c r="J14" i="3"/>
  <c r="F14" i="3"/>
  <c r="F19" i="4" s="1"/>
  <c r="E14" i="3"/>
  <c r="E19" i="4" s="1"/>
  <c r="J13" i="3"/>
  <c r="F13" i="3"/>
  <c r="F18" i="4" s="1"/>
  <c r="E13" i="3"/>
  <c r="E18" i="4" s="1"/>
  <c r="J12" i="3"/>
  <c r="F12" i="3"/>
  <c r="F17" i="4" s="1"/>
  <c r="E12" i="3"/>
  <c r="E17" i="4" s="1"/>
  <c r="J11" i="3"/>
  <c r="F11" i="3"/>
  <c r="BA1781" i="6" s="1"/>
  <c r="E11" i="3"/>
  <c r="BA1780" i="6" s="1"/>
  <c r="J10" i="3"/>
  <c r="F10" i="3"/>
  <c r="F15" i="4" s="1"/>
  <c r="E10" i="3"/>
  <c r="E15" i="4" s="1"/>
  <c r="J9" i="3"/>
  <c r="F9" i="3"/>
  <c r="F14" i="4" s="1"/>
  <c r="E9" i="3"/>
  <c r="E14" i="4" s="1"/>
  <c r="J8" i="3"/>
  <c r="F8" i="3"/>
  <c r="F13" i="4" s="1"/>
  <c r="E8" i="3"/>
  <c r="E13" i="4" s="1"/>
  <c r="J7" i="3"/>
  <c r="F7" i="3"/>
  <c r="F12" i="4" s="1"/>
  <c r="E7" i="3"/>
  <c r="E12" i="4" s="1"/>
  <c r="J6" i="3"/>
  <c r="F6" i="3"/>
  <c r="E6" i="3"/>
  <c r="J5" i="3"/>
  <c r="F5" i="3"/>
  <c r="F11" i="4" s="1"/>
  <c r="E5" i="3"/>
  <c r="E11" i="4" s="1"/>
  <c r="J4" i="3"/>
  <c r="F4" i="3"/>
  <c r="F10" i="4" s="1"/>
  <c r="E4" i="3"/>
  <c r="E10" i="4" s="1"/>
  <c r="J3" i="3"/>
  <c r="F3" i="3"/>
  <c r="F9" i="4" s="1"/>
  <c r="E3" i="3"/>
  <c r="E16" i="3" s="1"/>
  <c r="G10" i="4" l="1"/>
  <c r="G13" i="4"/>
  <c r="X1780" i="6"/>
  <c r="BB2" i="5"/>
  <c r="BB12" i="5"/>
  <c r="G17" i="4"/>
  <c r="E9" i="4"/>
  <c r="O38" i="5"/>
  <c r="G20" i="4"/>
  <c r="W10" i="6"/>
  <c r="W11" i="6"/>
  <c r="W237" i="6"/>
  <c r="W12" i="6"/>
  <c r="X9" i="6"/>
  <c r="X877" i="6"/>
  <c r="X881" i="6"/>
  <c r="Y879" i="6"/>
  <c r="G9" i="4"/>
  <c r="G12" i="4"/>
  <c r="G15" i="4"/>
  <c r="G19" i="4"/>
  <c r="G38" i="5"/>
  <c r="G11" i="4"/>
  <c r="G14" i="4"/>
  <c r="G18" i="4"/>
  <c r="E16" i="4"/>
  <c r="D253" i="6"/>
  <c r="P253" i="6"/>
  <c r="AB253" i="6"/>
  <c r="H257" i="6"/>
  <c r="T257" i="6"/>
  <c r="AF257" i="6"/>
  <c r="T261" i="6"/>
  <c r="AB261" i="6"/>
  <c r="P265" i="6"/>
  <c r="AB265" i="6"/>
  <c r="AJ265" i="6"/>
  <c r="G305" i="6"/>
  <c r="O309" i="6"/>
  <c r="W309" i="6"/>
  <c r="AE309" i="6"/>
  <c r="O313" i="6"/>
  <c r="W313" i="6"/>
  <c r="AI313" i="6"/>
  <c r="W317" i="6"/>
  <c r="AE317" i="6"/>
  <c r="L355" i="6"/>
  <c r="M357" i="6"/>
  <c r="U357" i="6"/>
  <c r="I361" i="6"/>
  <c r="Q361" i="6"/>
  <c r="Q365" i="6"/>
  <c r="Y365" i="6"/>
  <c r="AC365" i="6"/>
  <c r="Q369" i="6"/>
  <c r="U369" i="6"/>
  <c r="AC369" i="6"/>
  <c r="U373" i="6"/>
  <c r="AC373" i="6"/>
  <c r="AK373" i="6"/>
  <c r="BA1783" i="6"/>
  <c r="BA1779" i="6"/>
  <c r="X1781" i="6"/>
  <c r="F16" i="3"/>
  <c r="AW18" i="14"/>
  <c r="AS18" i="14"/>
  <c r="AO18" i="14"/>
  <c r="AK18" i="14"/>
  <c r="AG18" i="14"/>
  <c r="AC18" i="14"/>
  <c r="Y18" i="14"/>
  <c r="AV18" i="14"/>
  <c r="AR18" i="14"/>
  <c r="AN18" i="14"/>
  <c r="AJ18" i="14"/>
  <c r="AF18" i="14"/>
  <c r="AB18" i="14"/>
  <c r="X18" i="14"/>
  <c r="AY18" i="14"/>
  <c r="AU18" i="14"/>
  <c r="AQ18" i="14"/>
  <c r="AM18" i="14"/>
  <c r="AI18" i="14"/>
  <c r="AE18" i="14"/>
  <c r="AA18" i="14"/>
  <c r="W18" i="14"/>
  <c r="AT18" i="14"/>
  <c r="AD18" i="14"/>
  <c r="AP18" i="14"/>
  <c r="Z18" i="14"/>
  <c r="AL18" i="14"/>
  <c r="AH18" i="14"/>
  <c r="AX18" i="14"/>
  <c r="F16" i="4"/>
  <c r="W5" i="5"/>
  <c r="BA78" i="6"/>
  <c r="F250" i="6"/>
  <c r="J250" i="6"/>
  <c r="N250" i="6"/>
  <c r="R250" i="6"/>
  <c r="E253" i="6"/>
  <c r="I253" i="6"/>
  <c r="M253" i="6"/>
  <c r="Q253" i="6"/>
  <c r="U253" i="6"/>
  <c r="Y253" i="6"/>
  <c r="E254" i="6"/>
  <c r="I254" i="6"/>
  <c r="M254" i="6"/>
  <c r="Q254" i="6"/>
  <c r="U254" i="6"/>
  <c r="Y254" i="6"/>
  <c r="AC254" i="6"/>
  <c r="I257" i="6"/>
  <c r="M257" i="6"/>
  <c r="Q257" i="6"/>
  <c r="U257" i="6"/>
  <c r="Y257" i="6"/>
  <c r="AC257" i="6"/>
  <c r="I258" i="6"/>
  <c r="M258" i="6"/>
  <c r="Q258" i="6"/>
  <c r="U258" i="6"/>
  <c r="Y258" i="6"/>
  <c r="AC258" i="6"/>
  <c r="AG258" i="6"/>
  <c r="M261" i="6"/>
  <c r="Q261" i="6"/>
  <c r="U261" i="6"/>
  <c r="Y261" i="6"/>
  <c r="AC261" i="6"/>
  <c r="AG261" i="6"/>
  <c r="M262" i="6"/>
  <c r="Q262" i="6"/>
  <c r="U262" i="6"/>
  <c r="Y262" i="6"/>
  <c r="AC262" i="6"/>
  <c r="AG262" i="6"/>
  <c r="AK262" i="6"/>
  <c r="Q265" i="6"/>
  <c r="U265" i="6"/>
  <c r="Y265" i="6"/>
  <c r="AC265" i="6"/>
  <c r="AG265" i="6"/>
  <c r="AK265" i="6"/>
  <c r="Q266" i="6"/>
  <c r="U266" i="6"/>
  <c r="Y266" i="6"/>
  <c r="AC266" i="6"/>
  <c r="AG266" i="6"/>
  <c r="AK266" i="6"/>
  <c r="AO266" i="6"/>
  <c r="D305" i="6"/>
  <c r="H305" i="6"/>
  <c r="L305" i="6"/>
  <c r="P305" i="6"/>
  <c r="T305" i="6"/>
  <c r="X305" i="6"/>
  <c r="AB305" i="6"/>
  <c r="H306" i="6"/>
  <c r="L306" i="6"/>
  <c r="P306" i="6"/>
  <c r="T306" i="6"/>
  <c r="X306" i="6"/>
  <c r="AB306" i="6"/>
  <c r="H309" i="6"/>
  <c r="L309" i="6"/>
  <c r="P309" i="6"/>
  <c r="T309" i="6"/>
  <c r="X309" i="6"/>
  <c r="AB309" i="6"/>
  <c r="AF309" i="6"/>
  <c r="L310" i="6"/>
  <c r="P310" i="6"/>
  <c r="T310" i="6"/>
  <c r="X310" i="6"/>
  <c r="AB310" i="6"/>
  <c r="AF310" i="6"/>
  <c r="L313" i="6"/>
  <c r="P313" i="6"/>
  <c r="T313" i="6"/>
  <c r="X313" i="6"/>
  <c r="AB313" i="6"/>
  <c r="AF313" i="6"/>
  <c r="AJ313" i="6"/>
  <c r="P314" i="6"/>
  <c r="T314" i="6"/>
  <c r="X314" i="6"/>
  <c r="AB314" i="6"/>
  <c r="AF314" i="6"/>
  <c r="AJ314" i="6"/>
  <c r="P317" i="6"/>
  <c r="T317" i="6"/>
  <c r="X317" i="6"/>
  <c r="AB317" i="6"/>
  <c r="AF317" i="6"/>
  <c r="AJ317" i="6"/>
  <c r="AN317" i="6"/>
  <c r="T318" i="6"/>
  <c r="X318" i="6"/>
  <c r="AB318" i="6"/>
  <c r="AF318" i="6"/>
  <c r="AJ318" i="6"/>
  <c r="AN318" i="6"/>
  <c r="E355" i="6"/>
  <c r="I355" i="6"/>
  <c r="M355" i="6"/>
  <c r="Q355" i="6"/>
  <c r="F357" i="6"/>
  <c r="F356" i="6" s="1"/>
  <c r="J357" i="6"/>
  <c r="N357" i="6"/>
  <c r="R357" i="6"/>
  <c r="V357" i="6"/>
  <c r="F358" i="6"/>
  <c r="J358" i="6"/>
  <c r="N358" i="6"/>
  <c r="R358" i="6"/>
  <c r="V358" i="6"/>
  <c r="F359" i="6"/>
  <c r="J359" i="6"/>
  <c r="N359" i="6"/>
  <c r="R359" i="6"/>
  <c r="V359" i="6"/>
  <c r="F360" i="6"/>
  <c r="J360" i="6"/>
  <c r="N360" i="6"/>
  <c r="R360" i="6"/>
  <c r="V360" i="6"/>
  <c r="Z360" i="6"/>
  <c r="J361" i="6"/>
  <c r="N361" i="6"/>
  <c r="R361" i="6"/>
  <c r="V361" i="6"/>
  <c r="Z361" i="6"/>
  <c r="J362" i="6"/>
  <c r="N362" i="6"/>
  <c r="R362" i="6"/>
  <c r="V362" i="6"/>
  <c r="Z362" i="6"/>
  <c r="J363" i="6"/>
  <c r="N363" i="6"/>
  <c r="R363" i="6"/>
  <c r="V363" i="6"/>
  <c r="Z363" i="6"/>
  <c r="J364" i="6"/>
  <c r="N364" i="6"/>
  <c r="R364" i="6"/>
  <c r="V364" i="6"/>
  <c r="Z364" i="6"/>
  <c r="AD364" i="6"/>
  <c r="N365" i="6"/>
  <c r="R365" i="6"/>
  <c r="V365" i="6"/>
  <c r="Z365" i="6"/>
  <c r="AD365" i="6"/>
  <c r="N366" i="6"/>
  <c r="R366" i="6"/>
  <c r="V366" i="6"/>
  <c r="Z366" i="6"/>
  <c r="AD366" i="6"/>
  <c r="N367" i="6"/>
  <c r="R367" i="6"/>
  <c r="V367" i="6"/>
  <c r="Z367" i="6"/>
  <c r="AD367" i="6"/>
  <c r="N368" i="6"/>
  <c r="R368" i="6"/>
  <c r="V368" i="6"/>
  <c r="Z368" i="6"/>
  <c r="AD368" i="6"/>
  <c r="AH368" i="6"/>
  <c r="R369" i="6"/>
  <c r="V369" i="6"/>
  <c r="Z369" i="6"/>
  <c r="AD369" i="6"/>
  <c r="AH369" i="6"/>
  <c r="R370" i="6"/>
  <c r="V370" i="6"/>
  <c r="Z370" i="6"/>
  <c r="AD370" i="6"/>
  <c r="AH370" i="6"/>
  <c r="R371" i="6"/>
  <c r="V371" i="6"/>
  <c r="Z371" i="6"/>
  <c r="AD371" i="6"/>
  <c r="AH371" i="6"/>
  <c r="R372" i="6"/>
  <c r="V372" i="6"/>
  <c r="Z372" i="6"/>
  <c r="AD372" i="6"/>
  <c r="AH372" i="6"/>
  <c r="AL372" i="6"/>
  <c r="V373" i="6"/>
  <c r="Z373" i="6"/>
  <c r="AD373" i="6"/>
  <c r="AH373" i="6"/>
  <c r="AL373" i="6"/>
  <c r="W412" i="6"/>
  <c r="Y654" i="6"/>
  <c r="AZ22" i="9"/>
  <c r="Z787" i="6"/>
  <c r="AD787" i="6"/>
  <c r="AH787" i="6"/>
  <c r="Y839" i="6"/>
  <c r="AL1291" i="6"/>
  <c r="AH1291" i="6"/>
  <c r="AD1291" i="6"/>
  <c r="Z1291" i="6"/>
  <c r="AH1239" i="6"/>
  <c r="AD1239" i="6"/>
  <c r="Z1239" i="6"/>
  <c r="AI1187" i="6"/>
  <c r="AE1187" i="6"/>
  <c r="AA1187" i="6"/>
  <c r="W1187" i="6"/>
  <c r="U1133" i="6"/>
  <c r="Q1133" i="6"/>
  <c r="AK1291" i="6"/>
  <c r="AG1291" i="6"/>
  <c r="AC1291" i="6"/>
  <c r="Y1291" i="6"/>
  <c r="AK1239" i="6"/>
  <c r="AG1239" i="6"/>
  <c r="AC1239" i="6"/>
  <c r="Y1239" i="6"/>
  <c r="AH1187" i="6"/>
  <c r="AD1187" i="6"/>
  <c r="Z1187" i="6"/>
  <c r="T1133" i="6"/>
  <c r="X1111" i="6"/>
  <c r="AJ1291" i="6"/>
  <c r="AF1291" i="6"/>
  <c r="AB1291" i="6"/>
  <c r="X1291" i="6"/>
  <c r="AJ1239" i="6"/>
  <c r="AF1239" i="6"/>
  <c r="AB1239" i="6"/>
  <c r="X1239" i="6"/>
  <c r="AK1187" i="6"/>
  <c r="AG1187" i="6"/>
  <c r="AC1187" i="6"/>
  <c r="Y1187" i="6"/>
  <c r="S1133" i="6"/>
  <c r="AI1291" i="6"/>
  <c r="AE1291" i="6"/>
  <c r="AA1291" i="6"/>
  <c r="W1291" i="6"/>
  <c r="AI1239" i="6"/>
  <c r="AE1239" i="6"/>
  <c r="AA1239" i="6"/>
  <c r="W1239" i="6"/>
  <c r="AJ1187" i="6"/>
  <c r="AF1187" i="6"/>
  <c r="AB1187" i="6"/>
  <c r="X1187" i="6"/>
  <c r="V1133" i="6"/>
  <c r="R1133" i="6"/>
  <c r="L253" i="6"/>
  <c r="T253" i="6"/>
  <c r="P257" i="6"/>
  <c r="AB257" i="6"/>
  <c r="L261" i="6"/>
  <c r="X261" i="6"/>
  <c r="AJ261" i="6"/>
  <c r="X265" i="6"/>
  <c r="AN265" i="6"/>
  <c r="O305" i="6"/>
  <c r="W305" i="6"/>
  <c r="AA305" i="6"/>
  <c r="K309" i="6"/>
  <c r="S309" i="6"/>
  <c r="AA309" i="6"/>
  <c r="S313" i="6"/>
  <c r="AA313" i="6"/>
  <c r="AE313" i="6"/>
  <c r="S317" i="6"/>
  <c r="AA317" i="6"/>
  <c r="AI317" i="6"/>
  <c r="AM317" i="6"/>
  <c r="D355" i="6"/>
  <c r="P355" i="6"/>
  <c r="I357" i="6"/>
  <c r="I356" i="6" s="1"/>
  <c r="Q357" i="6"/>
  <c r="Q356" i="6" s="1"/>
  <c r="M361" i="6"/>
  <c r="Y361" i="6"/>
  <c r="M365" i="6"/>
  <c r="U365" i="6"/>
  <c r="Y369" i="6"/>
  <c r="AG369" i="6"/>
  <c r="Y373" i="6"/>
  <c r="AG373" i="6"/>
  <c r="W4" i="5"/>
  <c r="X8" i="6"/>
  <c r="AZ14" i="13"/>
  <c r="F249" i="6"/>
  <c r="J249" i="6"/>
  <c r="N249" i="6"/>
  <c r="R249" i="6"/>
  <c r="C250" i="6"/>
  <c r="G250" i="6"/>
  <c r="K250" i="6"/>
  <c r="O250" i="6"/>
  <c r="S250" i="6"/>
  <c r="F253" i="6"/>
  <c r="J253" i="6"/>
  <c r="N253" i="6"/>
  <c r="R253" i="6"/>
  <c r="V253" i="6"/>
  <c r="Z253" i="6"/>
  <c r="F254" i="6"/>
  <c r="J254" i="6"/>
  <c r="N254" i="6"/>
  <c r="R254" i="6"/>
  <c r="V254" i="6"/>
  <c r="Z254" i="6"/>
  <c r="J257" i="6"/>
  <c r="N257" i="6"/>
  <c r="R257" i="6"/>
  <c r="V257" i="6"/>
  <c r="Z257" i="6"/>
  <c r="AD257" i="6"/>
  <c r="J258" i="6"/>
  <c r="N258" i="6"/>
  <c r="R258" i="6"/>
  <c r="V258" i="6"/>
  <c r="Z258" i="6"/>
  <c r="AD258" i="6"/>
  <c r="N261" i="6"/>
  <c r="R261" i="6"/>
  <c r="V261" i="6"/>
  <c r="Z261" i="6"/>
  <c r="AD261" i="6"/>
  <c r="AH261" i="6"/>
  <c r="N262" i="6"/>
  <c r="R262" i="6"/>
  <c r="V262" i="6"/>
  <c r="Z262" i="6"/>
  <c r="AD262" i="6"/>
  <c r="AH262" i="6"/>
  <c r="R265" i="6"/>
  <c r="V265" i="6"/>
  <c r="Z265" i="6"/>
  <c r="AD265" i="6"/>
  <c r="AH265" i="6"/>
  <c r="AL265" i="6"/>
  <c r="R266" i="6"/>
  <c r="V266" i="6"/>
  <c r="Z266" i="6"/>
  <c r="AD266" i="6"/>
  <c r="AH266" i="6"/>
  <c r="AL266" i="6"/>
  <c r="E305" i="6"/>
  <c r="I305" i="6"/>
  <c r="M305" i="6"/>
  <c r="Q305" i="6"/>
  <c r="U305" i="6"/>
  <c r="Y305" i="6"/>
  <c r="E306" i="6"/>
  <c r="I306" i="6"/>
  <c r="M306" i="6"/>
  <c r="Q306" i="6"/>
  <c r="U306" i="6"/>
  <c r="Y306" i="6"/>
  <c r="AC306" i="6"/>
  <c r="I309" i="6"/>
  <c r="M309" i="6"/>
  <c r="Q309" i="6"/>
  <c r="U309" i="6"/>
  <c r="Y309" i="6"/>
  <c r="AC309" i="6"/>
  <c r="I310" i="6"/>
  <c r="M310" i="6"/>
  <c r="Q310" i="6"/>
  <c r="U310" i="6"/>
  <c r="Y310" i="6"/>
  <c r="AC310" i="6"/>
  <c r="AG310" i="6"/>
  <c r="M313" i="6"/>
  <c r="Q313" i="6"/>
  <c r="U313" i="6"/>
  <c r="Y313" i="6"/>
  <c r="AC313" i="6"/>
  <c r="AG313" i="6"/>
  <c r="M314" i="6"/>
  <c r="Q314" i="6"/>
  <c r="U314" i="6"/>
  <c r="Y314" i="6"/>
  <c r="AC314" i="6"/>
  <c r="AG314" i="6"/>
  <c r="AK314" i="6"/>
  <c r="Q317" i="6"/>
  <c r="U317" i="6"/>
  <c r="Y317" i="6"/>
  <c r="AC317" i="6"/>
  <c r="AG317" i="6"/>
  <c r="AK317" i="6"/>
  <c r="Q318" i="6"/>
  <c r="U318" i="6"/>
  <c r="Y318" i="6"/>
  <c r="AC318" i="6"/>
  <c r="AG318" i="6"/>
  <c r="AK318" i="6"/>
  <c r="AO318" i="6"/>
  <c r="F355" i="6"/>
  <c r="J355" i="6"/>
  <c r="N355" i="6"/>
  <c r="R355" i="6"/>
  <c r="C357" i="6"/>
  <c r="C356" i="6" s="1"/>
  <c r="G357" i="6"/>
  <c r="K357" i="6"/>
  <c r="O357" i="6"/>
  <c r="S357" i="6"/>
  <c r="W357" i="6"/>
  <c r="G358" i="6"/>
  <c r="K358" i="6"/>
  <c r="O358" i="6"/>
  <c r="S358" i="6"/>
  <c r="W358" i="6"/>
  <c r="G359" i="6"/>
  <c r="K359" i="6"/>
  <c r="O359" i="6"/>
  <c r="S359" i="6"/>
  <c r="W359" i="6"/>
  <c r="G360" i="6"/>
  <c r="K360" i="6"/>
  <c r="O360" i="6"/>
  <c r="S360" i="6"/>
  <c r="W360" i="6"/>
  <c r="G361" i="6"/>
  <c r="K361" i="6"/>
  <c r="O361" i="6"/>
  <c r="S361" i="6"/>
  <c r="W361" i="6"/>
  <c r="AA361" i="6"/>
  <c r="K362" i="6"/>
  <c r="O362" i="6"/>
  <c r="S362" i="6"/>
  <c r="W362" i="6"/>
  <c r="AA362" i="6"/>
  <c r="K363" i="6"/>
  <c r="O363" i="6"/>
  <c r="S363" i="6"/>
  <c r="W363" i="6"/>
  <c r="AA363" i="6"/>
  <c r="K364" i="6"/>
  <c r="O364" i="6"/>
  <c r="S364" i="6"/>
  <c r="W364" i="6"/>
  <c r="AA364" i="6"/>
  <c r="K365" i="6"/>
  <c r="O365" i="6"/>
  <c r="S365" i="6"/>
  <c r="W365" i="6"/>
  <c r="AA365" i="6"/>
  <c r="AE365" i="6"/>
  <c r="O366" i="6"/>
  <c r="S366" i="6"/>
  <c r="W366" i="6"/>
  <c r="AA366" i="6"/>
  <c r="AE366" i="6"/>
  <c r="O367" i="6"/>
  <c r="S367" i="6"/>
  <c r="W367" i="6"/>
  <c r="AA367" i="6"/>
  <c r="AE367" i="6"/>
  <c r="O368" i="6"/>
  <c r="S368" i="6"/>
  <c r="W368" i="6"/>
  <c r="AA368" i="6"/>
  <c r="AE368" i="6"/>
  <c r="O369" i="6"/>
  <c r="S369" i="6"/>
  <c r="W369" i="6"/>
  <c r="AA369" i="6"/>
  <c r="AE369" i="6"/>
  <c r="AI369" i="6"/>
  <c r="S370" i="6"/>
  <c r="W370" i="6"/>
  <c r="AA370" i="6"/>
  <c r="AE370" i="6"/>
  <c r="AI370" i="6"/>
  <c r="S371" i="6"/>
  <c r="W371" i="6"/>
  <c r="AA371" i="6"/>
  <c r="AE371" i="6"/>
  <c r="AI371" i="6"/>
  <c r="S372" i="6"/>
  <c r="W372" i="6"/>
  <c r="AA372" i="6"/>
  <c r="AE372" i="6"/>
  <c r="AI372" i="6"/>
  <c r="S373" i="6"/>
  <c r="W373" i="6"/>
  <c r="AA373" i="6"/>
  <c r="AE373" i="6"/>
  <c r="AI373" i="6"/>
  <c r="AM373" i="6"/>
  <c r="BA414" i="6"/>
  <c r="BA419" i="6"/>
  <c r="Y653" i="6"/>
  <c r="X656" i="6"/>
  <c r="X659" i="6"/>
  <c r="X735" i="6"/>
  <c r="AB735" i="6"/>
  <c r="AF735" i="6"/>
  <c r="AJ735" i="6"/>
  <c r="W787" i="6"/>
  <c r="AA787" i="6"/>
  <c r="AE787" i="6"/>
  <c r="AI787" i="6"/>
  <c r="Z839" i="6"/>
  <c r="Y878" i="6"/>
  <c r="X884" i="6"/>
  <c r="D1164" i="6"/>
  <c r="D1165" i="6"/>
  <c r="H1164" i="6"/>
  <c r="H1165" i="6"/>
  <c r="J1165" i="6"/>
  <c r="J1164" i="6"/>
  <c r="I1164" i="6"/>
  <c r="I1165" i="6"/>
  <c r="L1164" i="6"/>
  <c r="L1165" i="6"/>
  <c r="H253" i="6"/>
  <c r="X253" i="6"/>
  <c r="L257" i="6"/>
  <c r="X257" i="6"/>
  <c r="P261" i="6"/>
  <c r="AF261" i="6"/>
  <c r="T265" i="6"/>
  <c r="AF265" i="6"/>
  <c r="K305" i="6"/>
  <c r="S305" i="6"/>
  <c r="H355" i="6"/>
  <c r="E357" i="6"/>
  <c r="E356" i="6" s="1"/>
  <c r="U361" i="6"/>
  <c r="AY20" i="14"/>
  <c r="AU20" i="14"/>
  <c r="AQ20" i="14"/>
  <c r="AM20" i="14"/>
  <c r="AI20" i="14"/>
  <c r="AE20" i="14"/>
  <c r="AA20" i="14"/>
  <c r="W20" i="14"/>
  <c r="AX20" i="14"/>
  <c r="AT20" i="14"/>
  <c r="AP20" i="14"/>
  <c r="AL20" i="14"/>
  <c r="AH20" i="14"/>
  <c r="AD20" i="14"/>
  <c r="Z20" i="14"/>
  <c r="AW20" i="14"/>
  <c r="AS20" i="14"/>
  <c r="AO20" i="14"/>
  <c r="AK20" i="14"/>
  <c r="AG20" i="14"/>
  <c r="AC20" i="14"/>
  <c r="Y20" i="14"/>
  <c r="AV20" i="14"/>
  <c r="AF20" i="14"/>
  <c r="AR20" i="14"/>
  <c r="AB20" i="14"/>
  <c r="AN20" i="14"/>
  <c r="X20" i="14"/>
  <c r="AJ20" i="14"/>
  <c r="D29" i="5"/>
  <c r="H29" i="5"/>
  <c r="L29" i="5"/>
  <c r="P29" i="5"/>
  <c r="T29" i="5"/>
  <c r="BA237" i="6"/>
  <c r="BB23" i="5" s="1"/>
  <c r="C249" i="6"/>
  <c r="G249" i="6"/>
  <c r="K249" i="6"/>
  <c r="O249" i="6"/>
  <c r="S249" i="6"/>
  <c r="G253" i="6"/>
  <c r="K253" i="6"/>
  <c r="O253" i="6"/>
  <c r="S253" i="6"/>
  <c r="W253" i="6"/>
  <c r="AA253" i="6"/>
  <c r="K257" i="6"/>
  <c r="O257" i="6"/>
  <c r="S257" i="6"/>
  <c r="W257" i="6"/>
  <c r="AA257" i="6"/>
  <c r="AE257" i="6"/>
  <c r="O261" i="6"/>
  <c r="S261" i="6"/>
  <c r="W261" i="6"/>
  <c r="AA261" i="6"/>
  <c r="AE261" i="6"/>
  <c r="AI261" i="6"/>
  <c r="S265" i="6"/>
  <c r="W265" i="6"/>
  <c r="AA265" i="6"/>
  <c r="AE265" i="6"/>
  <c r="AI265" i="6"/>
  <c r="AM265" i="6"/>
  <c r="F305" i="6"/>
  <c r="J305" i="6"/>
  <c r="N305" i="6"/>
  <c r="R305" i="6"/>
  <c r="V305" i="6"/>
  <c r="F306" i="6"/>
  <c r="J306" i="6"/>
  <c r="N306" i="6"/>
  <c r="R306" i="6"/>
  <c r="V306" i="6"/>
  <c r="J309" i="6"/>
  <c r="N309" i="6"/>
  <c r="R309" i="6"/>
  <c r="V309" i="6"/>
  <c r="Z309" i="6"/>
  <c r="J310" i="6"/>
  <c r="N310" i="6"/>
  <c r="R310" i="6"/>
  <c r="V310" i="6"/>
  <c r="Z310" i="6"/>
  <c r="N313" i="6"/>
  <c r="R313" i="6"/>
  <c r="V313" i="6"/>
  <c r="Z313" i="6"/>
  <c r="AD313" i="6"/>
  <c r="N314" i="6"/>
  <c r="R314" i="6"/>
  <c r="V314" i="6"/>
  <c r="Z314" i="6"/>
  <c r="AD314" i="6"/>
  <c r="R317" i="6"/>
  <c r="V317" i="6"/>
  <c r="Z317" i="6"/>
  <c r="AD317" i="6"/>
  <c r="AH317" i="6"/>
  <c r="R318" i="6"/>
  <c r="V318" i="6"/>
  <c r="Z318" i="6"/>
  <c r="AD318" i="6"/>
  <c r="AH318" i="6"/>
  <c r="C355" i="6"/>
  <c r="G355" i="6"/>
  <c r="K355" i="6"/>
  <c r="O355" i="6"/>
  <c r="S355" i="6"/>
  <c r="D357" i="6"/>
  <c r="H357" i="6"/>
  <c r="L357" i="6"/>
  <c r="P357" i="6"/>
  <c r="D358" i="6"/>
  <c r="H358" i="6"/>
  <c r="L358" i="6"/>
  <c r="P358" i="6"/>
  <c r="T358" i="6"/>
  <c r="H359" i="6"/>
  <c r="L359" i="6"/>
  <c r="P359" i="6"/>
  <c r="T359" i="6"/>
  <c r="H360" i="6"/>
  <c r="L360" i="6"/>
  <c r="P360" i="6"/>
  <c r="T360" i="6"/>
  <c r="H361" i="6"/>
  <c r="L361" i="6"/>
  <c r="P361" i="6"/>
  <c r="T361" i="6"/>
  <c r="H362" i="6"/>
  <c r="L362" i="6"/>
  <c r="P362" i="6"/>
  <c r="T362" i="6"/>
  <c r="X362" i="6"/>
  <c r="L363" i="6"/>
  <c r="P363" i="6"/>
  <c r="T363" i="6"/>
  <c r="X363" i="6"/>
  <c r="L364" i="6"/>
  <c r="P364" i="6"/>
  <c r="T364" i="6"/>
  <c r="X364" i="6"/>
  <c r="L365" i="6"/>
  <c r="P365" i="6"/>
  <c r="T365" i="6"/>
  <c r="X365" i="6"/>
  <c r="L366" i="6"/>
  <c r="P366" i="6"/>
  <c r="T366" i="6"/>
  <c r="X366" i="6"/>
  <c r="AB366" i="6"/>
  <c r="P367" i="6"/>
  <c r="T367" i="6"/>
  <c r="X367" i="6"/>
  <c r="AB367" i="6"/>
  <c r="P368" i="6"/>
  <c r="T368" i="6"/>
  <c r="X368" i="6"/>
  <c r="AB368" i="6"/>
  <c r="P369" i="6"/>
  <c r="T369" i="6"/>
  <c r="X369" i="6"/>
  <c r="AB369" i="6"/>
  <c r="P370" i="6"/>
  <c r="T370" i="6"/>
  <c r="X370" i="6"/>
  <c r="AB370" i="6"/>
  <c r="AF370" i="6"/>
  <c r="T371" i="6"/>
  <c r="X371" i="6"/>
  <c r="AB371" i="6"/>
  <c r="AF371" i="6"/>
  <c r="T372" i="6"/>
  <c r="X372" i="6"/>
  <c r="AB372" i="6"/>
  <c r="AF372" i="6"/>
  <c r="T373" i="6"/>
  <c r="X373" i="6"/>
  <c r="AB373" i="6"/>
  <c r="AF373" i="6"/>
  <c r="V414" i="6"/>
  <c r="V419" i="6"/>
  <c r="X652" i="6"/>
  <c r="BA656" i="6"/>
  <c r="Y735" i="6"/>
  <c r="AC735" i="6"/>
  <c r="AG735" i="6"/>
  <c r="AK735" i="6"/>
  <c r="X787" i="6"/>
  <c r="AB787" i="6"/>
  <c r="AF787" i="6"/>
  <c r="AJ787" i="6"/>
  <c r="W839" i="6"/>
  <c r="AA839" i="6"/>
  <c r="BA881" i="6"/>
  <c r="E1164" i="6"/>
  <c r="E1165" i="6"/>
  <c r="F1165" i="6"/>
  <c r="F1164" i="6"/>
  <c r="Z735" i="6"/>
  <c r="AD735" i="6"/>
  <c r="AH735" i="6"/>
  <c r="Y787" i="6"/>
  <c r="AC787" i="6"/>
  <c r="AG787" i="6"/>
  <c r="AK787" i="6"/>
  <c r="X839" i="6"/>
  <c r="X1329" i="6"/>
  <c r="X1333" i="6"/>
  <c r="Y1331" i="6"/>
  <c r="Y1554" i="6"/>
  <c r="Y1558" i="6"/>
  <c r="Z1556" i="6"/>
  <c r="C1165" i="6"/>
  <c r="G1165" i="6"/>
  <c r="K1165" i="6"/>
  <c r="Z1464" i="6"/>
  <c r="AD1464" i="6"/>
  <c r="AH1464" i="6"/>
  <c r="W1516" i="6"/>
  <c r="AA1516" i="6"/>
  <c r="AE1516" i="6"/>
  <c r="AI1516" i="6"/>
  <c r="Y1689" i="6"/>
  <c r="AD1689" i="6"/>
  <c r="AJ1689" i="6"/>
  <c r="AA1741" i="6"/>
  <c r="AG1741" i="6"/>
  <c r="BA1102" i="6"/>
  <c r="W1108" i="6"/>
  <c r="Y1330" i="6"/>
  <c r="Z1412" i="6"/>
  <c r="AD1412" i="6"/>
  <c r="AH1412" i="6"/>
  <c r="W1464" i="6"/>
  <c r="AA1464" i="6"/>
  <c r="AE1464" i="6"/>
  <c r="AI1464" i="6"/>
  <c r="X1516" i="6"/>
  <c r="AB1516" i="6"/>
  <c r="AF1516" i="6"/>
  <c r="AJ1516" i="6"/>
  <c r="Y1555" i="6"/>
  <c r="AJ1741" i="6"/>
  <c r="AF1741" i="6"/>
  <c r="AB1741" i="6"/>
  <c r="X1741" i="6"/>
  <c r="AI1689" i="6"/>
  <c r="AE1689" i="6"/>
  <c r="AA1689" i="6"/>
  <c r="W1689" i="6"/>
  <c r="AH1637" i="6"/>
  <c r="AD1637" i="6"/>
  <c r="Z1637" i="6"/>
  <c r="U1583" i="6"/>
  <c r="Y1637" i="6"/>
  <c r="AE1637" i="6"/>
  <c r="AJ1637" i="6"/>
  <c r="Z1689" i="6"/>
  <c r="AF1689" i="6"/>
  <c r="AK1689" i="6"/>
  <c r="W1741" i="6"/>
  <c r="AC1741" i="6"/>
  <c r="AH1741" i="6"/>
  <c r="BA2064" i="6"/>
  <c r="BA2065" i="6"/>
  <c r="C2506" i="6"/>
  <c r="C2507" i="6"/>
  <c r="V2507" i="6"/>
  <c r="V2506" i="6"/>
  <c r="X1104" i="6"/>
  <c r="BA1165" i="6"/>
  <c r="BA1333" i="6"/>
  <c r="U1358" i="6"/>
  <c r="W1412" i="6"/>
  <c r="AA1412" i="6"/>
  <c r="AE1412" i="6"/>
  <c r="AI1412" i="6"/>
  <c r="X1464" i="6"/>
  <c r="AB1464" i="6"/>
  <c r="AF1464" i="6"/>
  <c r="AJ1464" i="6"/>
  <c r="Y1516" i="6"/>
  <c r="AC1516" i="6"/>
  <c r="AG1516" i="6"/>
  <c r="AK1516" i="6"/>
  <c r="X1554" i="6"/>
  <c r="X1560" i="6"/>
  <c r="BA1615" i="6"/>
  <c r="AA1637" i="6"/>
  <c r="AF1637" i="6"/>
  <c r="AK1637" i="6"/>
  <c r="AB1689" i="6"/>
  <c r="AG1689" i="6"/>
  <c r="Y1741" i="6"/>
  <c r="AD1741" i="6"/>
  <c r="AI1741" i="6"/>
  <c r="G2506" i="6"/>
  <c r="G2507" i="6"/>
  <c r="F2665" i="6"/>
  <c r="F2664" i="6"/>
  <c r="X1103" i="6"/>
  <c r="BA1329" i="6"/>
  <c r="V1358" i="6"/>
  <c r="X1412" i="6"/>
  <c r="AB1412" i="6"/>
  <c r="AF1412" i="6"/>
  <c r="AJ1412" i="6"/>
  <c r="Y1464" i="6"/>
  <c r="AC1464" i="6"/>
  <c r="AG1464" i="6"/>
  <c r="AK1464" i="6"/>
  <c r="Z1516" i="6"/>
  <c r="AD1516" i="6"/>
  <c r="AH1516" i="6"/>
  <c r="BA1554" i="6"/>
  <c r="W1637" i="6"/>
  <c r="AB1637" i="6"/>
  <c r="AG1637" i="6"/>
  <c r="X1689" i="6"/>
  <c r="AC1689" i="6"/>
  <c r="AH1689" i="6"/>
  <c r="Z1741" i="6"/>
  <c r="AE1741" i="6"/>
  <c r="AK1741" i="6"/>
  <c r="X2010" i="6"/>
  <c r="Y2005" i="6"/>
  <c r="Y2006" i="6"/>
  <c r="X2004" i="6"/>
  <c r="D2507" i="6"/>
  <c r="D2506" i="6"/>
  <c r="H2507" i="6"/>
  <c r="H2506" i="6"/>
  <c r="U2254" i="6"/>
  <c r="W2308" i="6"/>
  <c r="AA2308" i="6"/>
  <c r="AE2308" i="6"/>
  <c r="AI2308" i="6"/>
  <c r="AM2308" i="6"/>
  <c r="AQ2308" i="6"/>
  <c r="AU2308" i="6"/>
  <c r="Y2360" i="6"/>
  <c r="AC2360" i="6"/>
  <c r="AG2360" i="6"/>
  <c r="AK2360" i="6"/>
  <c r="AO2360" i="6"/>
  <c r="AS2360" i="6"/>
  <c r="Y2412" i="6"/>
  <c r="AC2412" i="6"/>
  <c r="AG2412" i="6"/>
  <c r="AK2412" i="6"/>
  <c r="X2449" i="6"/>
  <c r="AK2635" i="6"/>
  <c r="AG2635" i="6"/>
  <c r="AC2635" i="6"/>
  <c r="Y2635" i="6"/>
  <c r="AK2583" i="6"/>
  <c r="AG2583" i="6"/>
  <c r="AC2583" i="6"/>
  <c r="Y2583" i="6"/>
  <c r="AJ2531" i="6"/>
  <c r="AF2531" i="6"/>
  <c r="AB2531" i="6"/>
  <c r="AJ2635" i="6"/>
  <c r="AE2635" i="6"/>
  <c r="Z2635" i="6"/>
  <c r="AI2583" i="6"/>
  <c r="AD2583" i="6"/>
  <c r="AK2531" i="6"/>
  <c r="AE2531" i="6"/>
  <c r="Z2531" i="6"/>
  <c r="AN2635" i="6"/>
  <c r="AI2635" i="6"/>
  <c r="AD2635" i="6"/>
  <c r="AM2583" i="6"/>
  <c r="AH2583" i="6"/>
  <c r="AB2583" i="6"/>
  <c r="AI2531" i="6"/>
  <c r="AD2531" i="6"/>
  <c r="Y2531" i="6"/>
  <c r="AM2635" i="6"/>
  <c r="AH2635" i="6"/>
  <c r="AB2635" i="6"/>
  <c r="AL2583" i="6"/>
  <c r="AF2583" i="6"/>
  <c r="AA2583" i="6"/>
  <c r="AM2531" i="6"/>
  <c r="AH2531" i="6"/>
  <c r="AC2531" i="6"/>
  <c r="AG2531" i="6"/>
  <c r="Z2583" i="6"/>
  <c r="D2665" i="6"/>
  <c r="D2664" i="6"/>
  <c r="H2665" i="6"/>
  <c r="H2664" i="6"/>
  <c r="G2664" i="6"/>
  <c r="AL2635" i="6"/>
  <c r="AH2792" i="6"/>
  <c r="AD2792" i="6"/>
  <c r="Z2792" i="6"/>
  <c r="V2792" i="6"/>
  <c r="R2792" i="6"/>
  <c r="AE2792" i="6"/>
  <c r="Y2792" i="6"/>
  <c r="T2792" i="6"/>
  <c r="O2792" i="6"/>
  <c r="AI2792" i="6"/>
  <c r="AC2792" i="6"/>
  <c r="X2792" i="6"/>
  <c r="S2792" i="6"/>
  <c r="AA2792" i="6"/>
  <c r="P2792" i="6"/>
  <c r="AG2792" i="6"/>
  <c r="W2792" i="6"/>
  <c r="AF2792" i="6"/>
  <c r="U2792" i="6"/>
  <c r="AB2792" i="6"/>
  <c r="O2672" i="6"/>
  <c r="Q2792" i="6"/>
  <c r="V2254" i="6"/>
  <c r="X2308" i="6"/>
  <c r="AB2308" i="6"/>
  <c r="AF2308" i="6"/>
  <c r="AJ2308" i="6"/>
  <c r="AN2308" i="6"/>
  <c r="AR2308" i="6"/>
  <c r="Z2360" i="6"/>
  <c r="AD2360" i="6"/>
  <c r="AH2360" i="6"/>
  <c r="AL2360" i="6"/>
  <c r="AP2360" i="6"/>
  <c r="AT2360" i="6"/>
  <c r="Z2412" i="6"/>
  <c r="AD2412" i="6"/>
  <c r="AH2412" i="6"/>
  <c r="AL2412" i="6"/>
  <c r="AA2447" i="6"/>
  <c r="Y2448" i="6"/>
  <c r="T2449" i="6"/>
  <c r="S2450" i="6"/>
  <c r="Z2452" i="6"/>
  <c r="Z2453" i="6"/>
  <c r="AL2531" i="6"/>
  <c r="AE2583" i="6"/>
  <c r="E2612" i="6"/>
  <c r="I2612" i="6"/>
  <c r="U1808" i="6"/>
  <c r="W1862" i="6"/>
  <c r="AA1862" i="6"/>
  <c r="AE1862" i="6"/>
  <c r="AI1862" i="6"/>
  <c r="X1914" i="6"/>
  <c r="AB1914" i="6"/>
  <c r="AF1914" i="6"/>
  <c r="AJ1914" i="6"/>
  <c r="Y1966" i="6"/>
  <c r="AC1966" i="6"/>
  <c r="AG1966" i="6"/>
  <c r="BA2225" i="6"/>
  <c r="Y2227" i="6"/>
  <c r="Y2308" i="6"/>
  <c r="AC2308" i="6"/>
  <c r="AG2308" i="6"/>
  <c r="AK2308" i="6"/>
  <c r="AO2308" i="6"/>
  <c r="AS2308" i="6"/>
  <c r="W2360" i="6"/>
  <c r="AA2360" i="6"/>
  <c r="AE2360" i="6"/>
  <c r="AI2360" i="6"/>
  <c r="AM2360" i="6"/>
  <c r="AQ2360" i="6"/>
  <c r="AU2360" i="6"/>
  <c r="W2412" i="6"/>
  <c r="AA2412" i="6"/>
  <c r="AE2412" i="6"/>
  <c r="AI2412" i="6"/>
  <c r="U2449" i="6"/>
  <c r="BA2449" i="6"/>
  <c r="X2477" i="6"/>
  <c r="X2454" i="6" s="1"/>
  <c r="F2506" i="6"/>
  <c r="AJ2583" i="6"/>
  <c r="J2612" i="6"/>
  <c r="AA2635" i="6"/>
  <c r="BA2004" i="6"/>
  <c r="X2226" i="6"/>
  <c r="X2232" i="6"/>
  <c r="T2254" i="6"/>
  <c r="Z2308" i="6"/>
  <c r="AD2308" i="6"/>
  <c r="AH2308" i="6"/>
  <c r="AL2308" i="6"/>
  <c r="AP2308" i="6"/>
  <c r="AT2308" i="6"/>
  <c r="X2360" i="6"/>
  <c r="AB2360" i="6"/>
  <c r="AF2360" i="6"/>
  <c r="AJ2360" i="6"/>
  <c r="AN2360" i="6"/>
  <c r="AR2360" i="6"/>
  <c r="X2412" i="6"/>
  <c r="AB2412" i="6"/>
  <c r="AF2412" i="6"/>
  <c r="V2449" i="6"/>
  <c r="X2452" i="6"/>
  <c r="AA2531" i="6"/>
  <c r="AF2635" i="6"/>
  <c r="G2665" i="6"/>
  <c r="O2673" i="6"/>
  <c r="AD2788" i="6"/>
  <c r="Z2788" i="6"/>
  <c r="V2788" i="6"/>
  <c r="R2788" i="6"/>
  <c r="N2788" i="6"/>
  <c r="AE2788" i="6"/>
  <c r="Y2788" i="6"/>
  <c r="T2788" i="6"/>
  <c r="O2788" i="6"/>
  <c r="AC2788" i="6"/>
  <c r="X2788" i="6"/>
  <c r="S2788" i="6"/>
  <c r="M2788" i="6"/>
  <c r="U2788" i="6"/>
  <c r="K2788" i="6"/>
  <c r="AB2788" i="6"/>
  <c r="Q2788" i="6"/>
  <c r="AA2788" i="6"/>
  <c r="P2788" i="6"/>
  <c r="K2673" i="6"/>
  <c r="L2788" i="6"/>
  <c r="C2664" i="6"/>
  <c r="W2788" i="6"/>
  <c r="K2672" i="6"/>
  <c r="W2947" i="6"/>
  <c r="S2947" i="6"/>
  <c r="O2947" i="6"/>
  <c r="K2947" i="6"/>
  <c r="G2947" i="6"/>
  <c r="C2947" i="6"/>
  <c r="C2946" i="6" s="1"/>
  <c r="R2945" i="6"/>
  <c r="R2998" i="6" s="1"/>
  <c r="N2945" i="6"/>
  <c r="N2998" i="6" s="1"/>
  <c r="J2945" i="6"/>
  <c r="J2998" i="6" s="1"/>
  <c r="F2945" i="6"/>
  <c r="F2998" i="6" s="1"/>
  <c r="C2840" i="6"/>
  <c r="R2947" i="6"/>
  <c r="M2947" i="6"/>
  <c r="H2947" i="6"/>
  <c r="T2945" i="6"/>
  <c r="T2998" i="6" s="1"/>
  <c r="O2945" i="6"/>
  <c r="I2945" i="6"/>
  <c r="D2945" i="6"/>
  <c r="D2998" i="6" s="1"/>
  <c r="C2839" i="6"/>
  <c r="V2947" i="6"/>
  <c r="Q2947" i="6"/>
  <c r="L2947" i="6"/>
  <c r="F2947" i="6"/>
  <c r="S2945" i="6"/>
  <c r="M2945" i="6"/>
  <c r="M2998" i="6" s="1"/>
  <c r="H2945" i="6"/>
  <c r="H2998" i="6" s="1"/>
  <c r="C2945" i="6"/>
  <c r="U2947" i="6"/>
  <c r="P2947" i="6"/>
  <c r="J2947" i="6"/>
  <c r="E2947" i="6"/>
  <c r="E2946" i="6" s="1"/>
  <c r="Q2945" i="6"/>
  <c r="L2945" i="6"/>
  <c r="L2998" i="6" s="1"/>
  <c r="G2945" i="6"/>
  <c r="AA2951" i="6"/>
  <c r="W2951" i="6"/>
  <c r="S2951" i="6"/>
  <c r="O2951" i="6"/>
  <c r="K2951" i="6"/>
  <c r="G2951" i="6"/>
  <c r="G2840" i="6"/>
  <c r="X2951" i="6"/>
  <c r="R2951" i="6"/>
  <c r="M2951" i="6"/>
  <c r="H2951" i="6"/>
  <c r="V2951" i="6"/>
  <c r="Q2951" i="6"/>
  <c r="L2951" i="6"/>
  <c r="G2839" i="6"/>
  <c r="Z2951" i="6"/>
  <c r="U2951" i="6"/>
  <c r="P2951" i="6"/>
  <c r="J2951" i="6"/>
  <c r="AE2955" i="6"/>
  <c r="AA2955" i="6"/>
  <c r="W2955" i="6"/>
  <c r="S2955" i="6"/>
  <c r="O2955" i="6"/>
  <c r="K2955" i="6"/>
  <c r="K2840" i="6"/>
  <c r="AC2955" i="6"/>
  <c r="X2955" i="6"/>
  <c r="R2955" i="6"/>
  <c r="M2955" i="6"/>
  <c r="AB2955" i="6"/>
  <c r="V2955" i="6"/>
  <c r="Q2955" i="6"/>
  <c r="L2955" i="6"/>
  <c r="Z2955" i="6"/>
  <c r="U2955" i="6"/>
  <c r="P2955" i="6"/>
  <c r="AI2959" i="6"/>
  <c r="AE2959" i="6"/>
  <c r="AA2959" i="6"/>
  <c r="W2959" i="6"/>
  <c r="S2959" i="6"/>
  <c r="O2959" i="6"/>
  <c r="O2840" i="6"/>
  <c r="AH2959" i="6"/>
  <c r="AC2959" i="6"/>
  <c r="X2959" i="6"/>
  <c r="R2959" i="6"/>
  <c r="AG2959" i="6"/>
  <c r="AB2959" i="6"/>
  <c r="V2959" i="6"/>
  <c r="Q2959" i="6"/>
  <c r="AF2959" i="6"/>
  <c r="Z2959" i="6"/>
  <c r="U2959" i="6"/>
  <c r="P2959" i="6"/>
  <c r="AM2963" i="6"/>
  <c r="AI2963" i="6"/>
  <c r="AE2963" i="6"/>
  <c r="AA2963" i="6"/>
  <c r="W2963" i="6"/>
  <c r="S2963" i="6"/>
  <c r="S2840" i="6"/>
  <c r="AH2963" i="6"/>
  <c r="AC2963" i="6"/>
  <c r="X2963" i="6"/>
  <c r="S2839" i="6"/>
  <c r="AL2963" i="6"/>
  <c r="AG2963" i="6"/>
  <c r="AB2963" i="6"/>
  <c r="V2963" i="6"/>
  <c r="AK2963" i="6"/>
  <c r="AF2963" i="6"/>
  <c r="Z2963" i="6"/>
  <c r="U2963" i="6"/>
  <c r="S2896" i="6"/>
  <c r="O2896" i="6"/>
  <c r="K2896" i="6"/>
  <c r="G2896" i="6"/>
  <c r="R2844" i="6"/>
  <c r="N2844" i="6"/>
  <c r="J2844" i="6"/>
  <c r="F2844" i="6"/>
  <c r="P2896" i="6"/>
  <c r="J2896" i="6"/>
  <c r="E2896" i="6"/>
  <c r="O2844" i="6"/>
  <c r="I2844" i="6"/>
  <c r="N2896" i="6"/>
  <c r="I2896" i="6"/>
  <c r="S2844" i="6"/>
  <c r="M2844" i="6"/>
  <c r="H2844" i="6"/>
  <c r="R2896" i="6"/>
  <c r="M2896" i="6"/>
  <c r="H2896" i="6"/>
  <c r="O2839" i="6"/>
  <c r="L2844" i="6"/>
  <c r="L2896" i="6"/>
  <c r="T2947" i="6"/>
  <c r="Y2951" i="6"/>
  <c r="AD2955" i="6"/>
  <c r="T2963" i="6"/>
  <c r="T3114" i="6"/>
  <c r="P3114" i="6"/>
  <c r="L3114" i="6"/>
  <c r="H3114" i="6"/>
  <c r="D3114" i="6"/>
  <c r="S3112" i="6"/>
  <c r="S3165" i="6" s="1"/>
  <c r="O3112" i="6"/>
  <c r="O3165" i="6" s="1"/>
  <c r="K3112" i="6"/>
  <c r="K3165" i="6" s="1"/>
  <c r="G3112" i="6"/>
  <c r="G3165" i="6" s="1"/>
  <c r="C3112" i="6"/>
  <c r="C3165" i="6" s="1"/>
  <c r="C3006" i="6"/>
  <c r="W3114" i="6"/>
  <c r="S3114" i="6"/>
  <c r="O3114" i="6"/>
  <c r="K3114" i="6"/>
  <c r="G3114" i="6"/>
  <c r="C3114" i="6"/>
  <c r="C3113" i="6" s="1"/>
  <c r="R3112" i="6"/>
  <c r="R3165" i="6" s="1"/>
  <c r="N3112" i="6"/>
  <c r="N3165" i="6" s="1"/>
  <c r="J3112" i="6"/>
  <c r="J3165" i="6" s="1"/>
  <c r="F3112" i="6"/>
  <c r="F3165" i="6" s="1"/>
  <c r="C3007" i="6"/>
  <c r="Q3114" i="6"/>
  <c r="I3114" i="6"/>
  <c r="P3112" i="6"/>
  <c r="H3112" i="6"/>
  <c r="V3114" i="6"/>
  <c r="N3114" i="6"/>
  <c r="F3114" i="6"/>
  <c r="F3113" i="6" s="1"/>
  <c r="U3112" i="6"/>
  <c r="M3112" i="6"/>
  <c r="E3112" i="6"/>
  <c r="U3114" i="6"/>
  <c r="M3114" i="6"/>
  <c r="E3114" i="6"/>
  <c r="T3112" i="6"/>
  <c r="L3112" i="6"/>
  <c r="D3112" i="6"/>
  <c r="X3118" i="6"/>
  <c r="T3118" i="6"/>
  <c r="P3118" i="6"/>
  <c r="L3118" i="6"/>
  <c r="H3118" i="6"/>
  <c r="G3006" i="6"/>
  <c r="AA3118" i="6"/>
  <c r="W3118" i="6"/>
  <c r="S3118" i="6"/>
  <c r="O3118" i="6"/>
  <c r="K3118" i="6"/>
  <c r="G3118" i="6"/>
  <c r="G3007" i="6"/>
  <c r="Y3118" i="6"/>
  <c r="Q3118" i="6"/>
  <c r="I3118" i="6"/>
  <c r="V3118" i="6"/>
  <c r="N3118" i="6"/>
  <c r="U3118" i="6"/>
  <c r="M3118" i="6"/>
  <c r="AB3122" i="6"/>
  <c r="X3122" i="6"/>
  <c r="T3122" i="6"/>
  <c r="P3122" i="6"/>
  <c r="L3122" i="6"/>
  <c r="K3006" i="6"/>
  <c r="AE3122" i="6"/>
  <c r="AA3122" i="6"/>
  <c r="W3122" i="6"/>
  <c r="S3122" i="6"/>
  <c r="O3122" i="6"/>
  <c r="K3122" i="6"/>
  <c r="K3007" i="6"/>
  <c r="Y3122" i="6"/>
  <c r="Q3122" i="6"/>
  <c r="AD3122" i="6"/>
  <c r="V3122" i="6"/>
  <c r="N3122" i="6"/>
  <c r="AC3122" i="6"/>
  <c r="U3122" i="6"/>
  <c r="M3122" i="6"/>
  <c r="AF3126" i="6"/>
  <c r="AB3126" i="6"/>
  <c r="X3126" i="6"/>
  <c r="T3126" i="6"/>
  <c r="P3126" i="6"/>
  <c r="O3006" i="6"/>
  <c r="AI3126" i="6"/>
  <c r="AE3126" i="6"/>
  <c r="AA3126" i="6"/>
  <c r="W3126" i="6"/>
  <c r="S3126" i="6"/>
  <c r="O3126" i="6"/>
  <c r="O3007" i="6"/>
  <c r="AG3126" i="6"/>
  <c r="Y3126" i="6"/>
  <c r="Q3126" i="6"/>
  <c r="AD3126" i="6"/>
  <c r="V3126" i="6"/>
  <c r="AC3126" i="6"/>
  <c r="U3126" i="6"/>
  <c r="AJ3130" i="6"/>
  <c r="AF3130" i="6"/>
  <c r="AB3130" i="6"/>
  <c r="X3130" i="6"/>
  <c r="T3130" i="6"/>
  <c r="S3006" i="6"/>
  <c r="AM3130" i="6"/>
  <c r="AI3130" i="6"/>
  <c r="AE3130" i="6"/>
  <c r="AA3130" i="6"/>
  <c r="W3130" i="6"/>
  <c r="S3130" i="6"/>
  <c r="S3007" i="6"/>
  <c r="AG3130" i="6"/>
  <c r="Y3130" i="6"/>
  <c r="AL3130" i="6"/>
  <c r="AD3130" i="6"/>
  <c r="V3130" i="6"/>
  <c r="AK3130" i="6"/>
  <c r="AC3130" i="6"/>
  <c r="U3130" i="6"/>
  <c r="J3114" i="6"/>
  <c r="R3118" i="6"/>
  <c r="Z3130" i="6"/>
  <c r="AB3233" i="6"/>
  <c r="X3233" i="6"/>
  <c r="T3233" i="6"/>
  <c r="P3233" i="6"/>
  <c r="L3233" i="6"/>
  <c r="H3233" i="6"/>
  <c r="AC3181" i="6"/>
  <c r="Y3181" i="6"/>
  <c r="U3181" i="6"/>
  <c r="Q3181" i="6"/>
  <c r="M3181" i="6"/>
  <c r="I3181" i="6"/>
  <c r="AE3233" i="6"/>
  <c r="AA3233" i="6"/>
  <c r="W3233" i="6"/>
  <c r="S3233" i="6"/>
  <c r="O3233" i="6"/>
  <c r="K3233" i="6"/>
  <c r="G3233" i="6"/>
  <c r="AB3181" i="6"/>
  <c r="X3181" i="6"/>
  <c r="T3181" i="6"/>
  <c r="P3181" i="6"/>
  <c r="L3181" i="6"/>
  <c r="H3181" i="6"/>
  <c r="Y3233" i="6"/>
  <c r="Q3233" i="6"/>
  <c r="I3233" i="6"/>
  <c r="Z3181" i="6"/>
  <c r="R3181" i="6"/>
  <c r="J3181" i="6"/>
  <c r="AD3233" i="6"/>
  <c r="V3233" i="6"/>
  <c r="N3233" i="6"/>
  <c r="AE3181" i="6"/>
  <c r="W3181" i="6"/>
  <c r="O3181" i="6"/>
  <c r="G3181" i="6"/>
  <c r="AC3233" i="6"/>
  <c r="U3233" i="6"/>
  <c r="M3233" i="6"/>
  <c r="AD3181" i="6"/>
  <c r="V3181" i="6"/>
  <c r="N3181" i="6"/>
  <c r="Z3233" i="6"/>
  <c r="R3233" i="6"/>
  <c r="J3233" i="6"/>
  <c r="BV3276" i="6"/>
  <c r="BR3276" i="6"/>
  <c r="BN3276" i="6"/>
  <c r="BJ3276" i="6"/>
  <c r="BF3276" i="6"/>
  <c r="BB3276" i="6"/>
  <c r="AX3276" i="6"/>
  <c r="BQ3276" i="6"/>
  <c r="BL3276" i="6"/>
  <c r="BG3276" i="6"/>
  <c r="BA3276" i="6"/>
  <c r="BU3224" i="6"/>
  <c r="BQ3224" i="6"/>
  <c r="BM3224" i="6"/>
  <c r="BI3224" i="6"/>
  <c r="BE3224" i="6"/>
  <c r="BA3224" i="6"/>
  <c r="BU3276" i="6"/>
  <c r="BP3276" i="6"/>
  <c r="BK3276" i="6"/>
  <c r="BE3276" i="6"/>
  <c r="AZ3276" i="6"/>
  <c r="BT3224" i="6"/>
  <c r="BP3224" i="6"/>
  <c r="BL3224" i="6"/>
  <c r="BH3224" i="6"/>
  <c r="BD3224" i="6"/>
  <c r="AZ3224" i="6"/>
  <c r="BT3276" i="6"/>
  <c r="BO3276" i="6"/>
  <c r="BI3276" i="6"/>
  <c r="BD3276" i="6"/>
  <c r="AY3276" i="6"/>
  <c r="BM3276" i="6"/>
  <c r="BV3224" i="6"/>
  <c r="BN3224" i="6"/>
  <c r="BF3224" i="6"/>
  <c r="AX3224" i="6"/>
  <c r="BH3276" i="6"/>
  <c r="BS3224" i="6"/>
  <c r="BK3224" i="6"/>
  <c r="BC3224" i="6"/>
  <c r="BC3276" i="6"/>
  <c r="BR3224" i="6"/>
  <c r="BJ3224" i="6"/>
  <c r="BB3224" i="6"/>
  <c r="BS3276" i="6"/>
  <c r="BO3224" i="6"/>
  <c r="I2998" i="6"/>
  <c r="Q2998" i="6"/>
  <c r="W2900" i="6"/>
  <c r="S2900" i="6"/>
  <c r="O2900" i="6"/>
  <c r="K2900" i="6"/>
  <c r="V2848" i="6"/>
  <c r="R2848" i="6"/>
  <c r="N2848" i="6"/>
  <c r="J2848" i="6"/>
  <c r="R2900" i="6"/>
  <c r="M2900" i="6"/>
  <c r="W2848" i="6"/>
  <c r="Q2848" i="6"/>
  <c r="L2848" i="6"/>
  <c r="V2900" i="6"/>
  <c r="Q2900" i="6"/>
  <c r="L2900" i="6"/>
  <c r="U2848" i="6"/>
  <c r="P2848" i="6"/>
  <c r="K2848" i="6"/>
  <c r="U2900" i="6"/>
  <c r="P2900" i="6"/>
  <c r="J2900" i="6"/>
  <c r="AC2907" i="6"/>
  <c r="Y2907" i="6"/>
  <c r="U2907" i="6"/>
  <c r="Q2907" i="6"/>
  <c r="AB2855" i="6"/>
  <c r="X2855" i="6"/>
  <c r="T2855" i="6"/>
  <c r="P2855" i="6"/>
  <c r="AA2907" i="6"/>
  <c r="V2907" i="6"/>
  <c r="P2907" i="6"/>
  <c r="Z2855" i="6"/>
  <c r="U2855" i="6"/>
  <c r="Z2907" i="6"/>
  <c r="T2907" i="6"/>
  <c r="AD2855" i="6"/>
  <c r="Y2855" i="6"/>
  <c r="S2855" i="6"/>
  <c r="AD2907" i="6"/>
  <c r="X2907" i="6"/>
  <c r="S2907" i="6"/>
  <c r="I2843" i="6"/>
  <c r="E2844" i="6"/>
  <c r="P2844" i="6"/>
  <c r="M2848" i="6"/>
  <c r="V2855" i="6"/>
  <c r="AD2859" i="6"/>
  <c r="J2895" i="6"/>
  <c r="Q2896" i="6"/>
  <c r="T2911" i="6"/>
  <c r="E2945" i="6"/>
  <c r="E2998" i="6" s="1"/>
  <c r="D2947" i="6"/>
  <c r="H2950" i="6"/>
  <c r="I2951" i="6"/>
  <c r="M2954" i="6"/>
  <c r="N2955" i="6"/>
  <c r="R2958" i="6"/>
  <c r="T2959" i="6"/>
  <c r="X2962" i="6"/>
  <c r="Y2963" i="6"/>
  <c r="X3071" i="6"/>
  <c r="T3071" i="6"/>
  <c r="P3071" i="6"/>
  <c r="AA3019" i="6"/>
  <c r="W3019" i="6"/>
  <c r="S3019" i="6"/>
  <c r="O3019" i="6"/>
  <c r="AA3071" i="6"/>
  <c r="W3071" i="6"/>
  <c r="S3071" i="6"/>
  <c r="O3071" i="6"/>
  <c r="Z3019" i="6"/>
  <c r="V3019" i="6"/>
  <c r="R3019" i="6"/>
  <c r="N3019" i="6"/>
  <c r="Y3071" i="6"/>
  <c r="Q3071" i="6"/>
  <c r="X3019" i="6"/>
  <c r="P3019" i="6"/>
  <c r="V3071" i="6"/>
  <c r="N3071" i="6"/>
  <c r="U3019" i="6"/>
  <c r="M3019" i="6"/>
  <c r="U3071" i="6"/>
  <c r="M3071" i="6"/>
  <c r="T3019" i="6"/>
  <c r="J3063" i="6"/>
  <c r="I3112" i="6"/>
  <c r="R3114" i="6"/>
  <c r="Z3118" i="6"/>
  <c r="R3126" i="6"/>
  <c r="AH3130" i="6"/>
  <c r="X3284" i="6"/>
  <c r="T3284" i="6"/>
  <c r="P3284" i="6"/>
  <c r="L3284" i="6"/>
  <c r="H3284" i="6"/>
  <c r="Y3284" i="6"/>
  <c r="S3284" i="6"/>
  <c r="N3284" i="6"/>
  <c r="I3284" i="6"/>
  <c r="AH3280" i="6"/>
  <c r="E3174" i="6"/>
  <c r="W3284" i="6"/>
  <c r="R3284" i="6"/>
  <c r="M3284" i="6"/>
  <c r="G3284" i="6"/>
  <c r="E3175" i="6"/>
  <c r="V3284" i="6"/>
  <c r="Q3284" i="6"/>
  <c r="K3284" i="6"/>
  <c r="F3284" i="6"/>
  <c r="AF3280" i="6"/>
  <c r="Z3280" i="6"/>
  <c r="U3280" i="6"/>
  <c r="P3280" i="6"/>
  <c r="J3280" i="6"/>
  <c r="E3280" i="6"/>
  <c r="E3284" i="6"/>
  <c r="Y3280" i="6"/>
  <c r="U3284" i="6"/>
  <c r="T3280" i="6"/>
  <c r="O3284" i="6"/>
  <c r="N3280" i="6"/>
  <c r="J3284" i="6"/>
  <c r="AD3280" i="6"/>
  <c r="I3280" i="6"/>
  <c r="AB3288" i="6"/>
  <c r="X3288" i="6"/>
  <c r="T3288" i="6"/>
  <c r="P3288" i="6"/>
  <c r="L3288" i="6"/>
  <c r="Y3288" i="6"/>
  <c r="S3288" i="6"/>
  <c r="N3288" i="6"/>
  <c r="I3288" i="6"/>
  <c r="I3174" i="6"/>
  <c r="AC3288" i="6"/>
  <c r="W3288" i="6"/>
  <c r="R3288" i="6"/>
  <c r="M3288" i="6"/>
  <c r="AL3280" i="6"/>
  <c r="I3175" i="6"/>
  <c r="AA3288" i="6"/>
  <c r="V3288" i="6"/>
  <c r="Q3288" i="6"/>
  <c r="K3288" i="6"/>
  <c r="AK3280" i="6"/>
  <c r="J3288" i="6"/>
  <c r="Z3288" i="6"/>
  <c r="U3288" i="6"/>
  <c r="AJ3280" i="6"/>
  <c r="O3288" i="6"/>
  <c r="AF3292" i="6"/>
  <c r="AB3292" i="6"/>
  <c r="X3292" i="6"/>
  <c r="T3292" i="6"/>
  <c r="P3292" i="6"/>
  <c r="AD3292" i="6"/>
  <c r="Y3292" i="6"/>
  <c r="S3292" i="6"/>
  <c r="N3292" i="6"/>
  <c r="M3174" i="6"/>
  <c r="AC3292" i="6"/>
  <c r="W3292" i="6"/>
  <c r="R3292" i="6"/>
  <c r="M3292" i="6"/>
  <c r="M3175" i="6"/>
  <c r="AG3292" i="6"/>
  <c r="AA3292" i="6"/>
  <c r="V3292" i="6"/>
  <c r="Q3292" i="6"/>
  <c r="AP3280" i="6"/>
  <c r="O3292" i="6"/>
  <c r="AE3292" i="6"/>
  <c r="AO3280" i="6"/>
  <c r="Z3292" i="6"/>
  <c r="U3292" i="6"/>
  <c r="AJ3296" i="6"/>
  <c r="AF3296" i="6"/>
  <c r="AB3296" i="6"/>
  <c r="X3296" i="6"/>
  <c r="T3296" i="6"/>
  <c r="AI3296" i="6"/>
  <c r="AD3296" i="6"/>
  <c r="Y3296" i="6"/>
  <c r="S3296" i="6"/>
  <c r="Q3174" i="6"/>
  <c r="AH3296" i="6"/>
  <c r="AC3296" i="6"/>
  <c r="W3296" i="6"/>
  <c r="R3296" i="6"/>
  <c r="Q3175" i="6"/>
  <c r="AG3296" i="6"/>
  <c r="AA3296" i="6"/>
  <c r="V3296" i="6"/>
  <c r="Q3296" i="6"/>
  <c r="Z3296" i="6"/>
  <c r="AT3280" i="6"/>
  <c r="U3296" i="6"/>
  <c r="AK3296" i="6"/>
  <c r="AE3296" i="6"/>
  <c r="AN3300" i="6"/>
  <c r="AJ3300" i="6"/>
  <c r="AF3300" i="6"/>
  <c r="AB3300" i="6"/>
  <c r="X3300" i="6"/>
  <c r="AO3300" i="6"/>
  <c r="AI3300" i="6"/>
  <c r="AD3300" i="6"/>
  <c r="Y3300" i="6"/>
  <c r="AX3280" i="6"/>
  <c r="U3174" i="6"/>
  <c r="AM3300" i="6"/>
  <c r="AH3300" i="6"/>
  <c r="AC3300" i="6"/>
  <c r="W3300" i="6"/>
  <c r="U3175" i="6"/>
  <c r="AL3300" i="6"/>
  <c r="AG3300" i="6"/>
  <c r="AA3300" i="6"/>
  <c r="V3300" i="6"/>
  <c r="AV3280" i="6"/>
  <c r="AE3300" i="6"/>
  <c r="Z3300" i="6"/>
  <c r="U3300" i="6"/>
  <c r="AK3300" i="6"/>
  <c r="AR3304" i="6"/>
  <c r="AN3304" i="6"/>
  <c r="AJ3304" i="6"/>
  <c r="AF3304" i="6"/>
  <c r="AB3304" i="6"/>
  <c r="AP3304" i="6"/>
  <c r="AL3304" i="6"/>
  <c r="AH3304" i="6"/>
  <c r="AD3304" i="6"/>
  <c r="Z3304" i="6"/>
  <c r="AQ3304" i="6"/>
  <c r="AI3304" i="6"/>
  <c r="AA3304" i="6"/>
  <c r="Y3174" i="6"/>
  <c r="AO3304" i="6"/>
  <c r="AG3304" i="6"/>
  <c r="Y3304" i="6"/>
  <c r="BB3280" i="6"/>
  <c r="Y3175" i="6"/>
  <c r="AM3304" i="6"/>
  <c r="AE3304" i="6"/>
  <c r="BA3280" i="6"/>
  <c r="AS3304" i="6"/>
  <c r="AK3304" i="6"/>
  <c r="AC3304" i="6"/>
  <c r="AZ3280" i="6"/>
  <c r="AV3308" i="6"/>
  <c r="AR3308" i="6"/>
  <c r="AN3308" i="6"/>
  <c r="AJ3308" i="6"/>
  <c r="AF3308" i="6"/>
  <c r="AT3308" i="6"/>
  <c r="AP3308" i="6"/>
  <c r="AL3308" i="6"/>
  <c r="AH3308" i="6"/>
  <c r="AD3308" i="6"/>
  <c r="AQ3308" i="6"/>
  <c r="AI3308" i="6"/>
  <c r="AC3174" i="6"/>
  <c r="AW3308" i="6"/>
  <c r="AO3308" i="6"/>
  <c r="AG3308" i="6"/>
  <c r="AC3175" i="6"/>
  <c r="AU3308" i="6"/>
  <c r="AM3308" i="6"/>
  <c r="AE3308" i="6"/>
  <c r="BF3280" i="6"/>
  <c r="AC3308" i="6"/>
  <c r="AS3308" i="6"/>
  <c r="BE3280" i="6"/>
  <c r="AK3308" i="6"/>
  <c r="AZ3312" i="6"/>
  <c r="AV3312" i="6"/>
  <c r="AR3312" i="6"/>
  <c r="AN3312" i="6"/>
  <c r="AJ3312" i="6"/>
  <c r="AX3312" i="6"/>
  <c r="AT3312" i="6"/>
  <c r="AP3312" i="6"/>
  <c r="AL3312" i="6"/>
  <c r="AH3312" i="6"/>
  <c r="AY3312" i="6"/>
  <c r="AQ3312" i="6"/>
  <c r="AI3312" i="6"/>
  <c r="AG3174" i="6"/>
  <c r="AW3312" i="6"/>
  <c r="AO3312" i="6"/>
  <c r="AG3312" i="6"/>
  <c r="AG3175" i="6"/>
  <c r="AU3312" i="6"/>
  <c r="AM3312" i="6"/>
  <c r="BA3312" i="6"/>
  <c r="BJ3280" i="6"/>
  <c r="AS3312" i="6"/>
  <c r="AK3312" i="6"/>
  <c r="BD3316" i="6"/>
  <c r="AZ3316" i="6"/>
  <c r="AV3316" i="6"/>
  <c r="AR3316" i="6"/>
  <c r="AN3316" i="6"/>
  <c r="BB3316" i="6"/>
  <c r="AX3316" i="6"/>
  <c r="AT3316" i="6"/>
  <c r="AP3316" i="6"/>
  <c r="AL3316" i="6"/>
  <c r="AY3316" i="6"/>
  <c r="AQ3316" i="6"/>
  <c r="BN3280" i="6"/>
  <c r="AK3174" i="6"/>
  <c r="BE3316" i="6"/>
  <c r="AW3316" i="6"/>
  <c r="AO3316" i="6"/>
  <c r="AK3175" i="6"/>
  <c r="BC3316" i="6"/>
  <c r="AU3316" i="6"/>
  <c r="AM3316" i="6"/>
  <c r="BL3280" i="6"/>
  <c r="AK3316" i="6"/>
  <c r="BA3316" i="6"/>
  <c r="AS3316" i="6"/>
  <c r="BH3320" i="6"/>
  <c r="BD3320" i="6"/>
  <c r="AZ3320" i="6"/>
  <c r="AV3320" i="6"/>
  <c r="AR3320" i="6"/>
  <c r="BF3320" i="6"/>
  <c r="BB3320" i="6"/>
  <c r="AX3320" i="6"/>
  <c r="AT3320" i="6"/>
  <c r="AP3320" i="6"/>
  <c r="BG3320" i="6"/>
  <c r="AY3320" i="6"/>
  <c r="AQ3320" i="6"/>
  <c r="AO3174" i="6"/>
  <c r="BE3320" i="6"/>
  <c r="AW3320" i="6"/>
  <c r="AO3320" i="6"/>
  <c r="BR3280" i="6"/>
  <c r="AO3175" i="6"/>
  <c r="BC3320" i="6"/>
  <c r="AU3320" i="6"/>
  <c r="BQ3280" i="6"/>
  <c r="BP3280" i="6"/>
  <c r="BI3320" i="6"/>
  <c r="BA3320" i="6"/>
  <c r="AS3320" i="6"/>
  <c r="BL3324" i="6"/>
  <c r="BH3324" i="6"/>
  <c r="BD3324" i="6"/>
  <c r="AZ3324" i="6"/>
  <c r="AV3324" i="6"/>
  <c r="BJ3324" i="6"/>
  <c r="BF3324" i="6"/>
  <c r="BB3324" i="6"/>
  <c r="AX3324" i="6"/>
  <c r="AT3324" i="6"/>
  <c r="BG3324" i="6"/>
  <c r="AY3324" i="6"/>
  <c r="AS3174" i="6"/>
  <c r="BM3324" i="6"/>
  <c r="BE3324" i="6"/>
  <c r="AW3324" i="6"/>
  <c r="AS3175" i="6"/>
  <c r="BK3324" i="6"/>
  <c r="BC3324" i="6"/>
  <c r="AU3324" i="6"/>
  <c r="BV3280" i="6"/>
  <c r="AS3324" i="6"/>
  <c r="BI3324" i="6"/>
  <c r="BA3324" i="6"/>
  <c r="BU3280" i="6"/>
  <c r="BP3328" i="6"/>
  <c r="BL3328" i="6"/>
  <c r="BH3328" i="6"/>
  <c r="BD3328" i="6"/>
  <c r="AZ3328" i="6"/>
  <c r="BN3328" i="6"/>
  <c r="BJ3328" i="6"/>
  <c r="BF3328" i="6"/>
  <c r="BB3328" i="6"/>
  <c r="AX3328" i="6"/>
  <c r="BO3328" i="6"/>
  <c r="BG3328" i="6"/>
  <c r="AY3328" i="6"/>
  <c r="AW3174" i="6"/>
  <c r="BM3328" i="6"/>
  <c r="BE3328" i="6"/>
  <c r="AW3328" i="6"/>
  <c r="AW3175" i="6"/>
  <c r="BK3328" i="6"/>
  <c r="BC3328" i="6"/>
  <c r="BQ3328" i="6"/>
  <c r="BI3328" i="6"/>
  <c r="BZ3280" i="6"/>
  <c r="BA3328" i="6"/>
  <c r="BT3332" i="6"/>
  <c r="BP3332" i="6"/>
  <c r="BL3332" i="6"/>
  <c r="BH3332" i="6"/>
  <c r="BD3332" i="6"/>
  <c r="BR3332" i="6"/>
  <c r="BN3332" i="6"/>
  <c r="BJ3332" i="6"/>
  <c r="BF3332" i="6"/>
  <c r="BB3332" i="6"/>
  <c r="BO3332" i="6"/>
  <c r="BG3332" i="6"/>
  <c r="CD3280" i="6"/>
  <c r="BA3174" i="6"/>
  <c r="BU3332" i="6"/>
  <c r="BU3281" i="6" s="1"/>
  <c r="BM3332" i="6"/>
  <c r="BE3332" i="6"/>
  <c r="BA3175" i="6"/>
  <c r="BS3332" i="6"/>
  <c r="BK3332" i="6"/>
  <c r="BC3332" i="6"/>
  <c r="CB3280" i="6"/>
  <c r="BA3332" i="6"/>
  <c r="BQ3332" i="6"/>
  <c r="BI3332" i="6"/>
  <c r="AR3249" i="6"/>
  <c r="AN3249" i="6"/>
  <c r="AJ3249" i="6"/>
  <c r="AF3249" i="6"/>
  <c r="AB3249" i="6"/>
  <c r="X3249" i="6"/>
  <c r="AS3197" i="6"/>
  <c r="AO3197" i="6"/>
  <c r="AK3197" i="6"/>
  <c r="AG3197" i="6"/>
  <c r="AC3197" i="6"/>
  <c r="Y3197" i="6"/>
  <c r="AU3249" i="6"/>
  <c r="AQ3249" i="6"/>
  <c r="AM3249" i="6"/>
  <c r="AI3249" i="6"/>
  <c r="AE3249" i="6"/>
  <c r="AA3249" i="6"/>
  <c r="W3249" i="6"/>
  <c r="AR3197" i="6"/>
  <c r="AN3197" i="6"/>
  <c r="AJ3197" i="6"/>
  <c r="AF3197" i="6"/>
  <c r="AB3197" i="6"/>
  <c r="X3197" i="6"/>
  <c r="AO3249" i="6"/>
  <c r="AG3249" i="6"/>
  <c r="Y3249" i="6"/>
  <c r="AP3197" i="6"/>
  <c r="AH3197" i="6"/>
  <c r="Z3197" i="6"/>
  <c r="AT3249" i="6"/>
  <c r="AL3249" i="6"/>
  <c r="AD3249" i="6"/>
  <c r="AU3197" i="6"/>
  <c r="AM3197" i="6"/>
  <c r="AE3197" i="6"/>
  <c r="W3197" i="6"/>
  <c r="AS3249" i="6"/>
  <c r="AK3249" i="6"/>
  <c r="AC3249" i="6"/>
  <c r="AT3197" i="6"/>
  <c r="AL3197" i="6"/>
  <c r="AD3197" i="6"/>
  <c r="AP3249" i="6"/>
  <c r="AH3249" i="6"/>
  <c r="Z3249" i="6"/>
  <c r="K3181" i="6"/>
  <c r="AQ3197" i="6"/>
  <c r="AQ3208" i="6"/>
  <c r="K2839" i="6"/>
  <c r="F2840" i="6"/>
  <c r="J2843" i="6"/>
  <c r="G2844" i="6"/>
  <c r="Q2844" i="6"/>
  <c r="O2848" i="6"/>
  <c r="W2855" i="6"/>
  <c r="U2859" i="6"/>
  <c r="AE2859" i="6"/>
  <c r="I2900" i="6"/>
  <c r="R2907" i="6"/>
  <c r="K2945" i="6"/>
  <c r="I2947" i="6"/>
  <c r="N2951" i="6"/>
  <c r="T2955" i="6"/>
  <c r="Y2959" i="6"/>
  <c r="AD2963" i="6"/>
  <c r="Q3011" i="6"/>
  <c r="Q3019" i="6"/>
  <c r="R3071" i="6"/>
  <c r="Q3112" i="6"/>
  <c r="R3122" i="6"/>
  <c r="Z3126" i="6"/>
  <c r="AN3244" i="6"/>
  <c r="AJ3244" i="6"/>
  <c r="AF3244" i="6"/>
  <c r="AB3244" i="6"/>
  <c r="X3244" i="6"/>
  <c r="T3244" i="6"/>
  <c r="AO3192" i="6"/>
  <c r="AK3192" i="6"/>
  <c r="AG3192" i="6"/>
  <c r="AC3192" i="6"/>
  <c r="Y3192" i="6"/>
  <c r="U3192" i="6"/>
  <c r="AM3244" i="6"/>
  <c r="AI3244" i="6"/>
  <c r="AE3244" i="6"/>
  <c r="AA3244" i="6"/>
  <c r="W3244" i="6"/>
  <c r="S3244" i="6"/>
  <c r="AN3192" i="6"/>
  <c r="AJ3192" i="6"/>
  <c r="AF3192" i="6"/>
  <c r="AB3192" i="6"/>
  <c r="X3192" i="6"/>
  <c r="T3192" i="6"/>
  <c r="AO3244" i="6"/>
  <c r="AG3244" i="6"/>
  <c r="Y3244" i="6"/>
  <c r="AP3192" i="6"/>
  <c r="AH3192" i="6"/>
  <c r="Z3192" i="6"/>
  <c r="R3192" i="6"/>
  <c r="AL3244" i="6"/>
  <c r="AD3244" i="6"/>
  <c r="V3244" i="6"/>
  <c r="AM3192" i="6"/>
  <c r="AE3192" i="6"/>
  <c r="W3192" i="6"/>
  <c r="AK3244" i="6"/>
  <c r="AC3244" i="6"/>
  <c r="U3244" i="6"/>
  <c r="AL3192" i="6"/>
  <c r="AD3192" i="6"/>
  <c r="V3192" i="6"/>
  <c r="AP3244" i="6"/>
  <c r="AH3244" i="6"/>
  <c r="Z3244" i="6"/>
  <c r="R3244" i="6"/>
  <c r="BH3265" i="6"/>
  <c r="BD3265" i="6"/>
  <c r="AZ3265" i="6"/>
  <c r="AV3265" i="6"/>
  <c r="AR3265" i="6"/>
  <c r="AN3265" i="6"/>
  <c r="BI3213" i="6"/>
  <c r="BE3213" i="6"/>
  <c r="BA3213" i="6"/>
  <c r="AW3213" i="6"/>
  <c r="AS3213" i="6"/>
  <c r="AO3213" i="6"/>
  <c r="BK3265" i="6"/>
  <c r="BG3265" i="6"/>
  <c r="BC3265" i="6"/>
  <c r="AY3265" i="6"/>
  <c r="AU3265" i="6"/>
  <c r="AQ3265" i="6"/>
  <c r="AM3265" i="6"/>
  <c r="BH3213" i="6"/>
  <c r="BD3213" i="6"/>
  <c r="AZ3213" i="6"/>
  <c r="AV3213" i="6"/>
  <c r="AR3213" i="6"/>
  <c r="AN3213" i="6"/>
  <c r="BE3265" i="6"/>
  <c r="AW3265" i="6"/>
  <c r="AO3265" i="6"/>
  <c r="BF3213" i="6"/>
  <c r="AX3213" i="6"/>
  <c r="AP3213" i="6"/>
  <c r="BJ3265" i="6"/>
  <c r="BB3265" i="6"/>
  <c r="AT3265" i="6"/>
  <c r="BK3213" i="6"/>
  <c r="BC3213" i="6"/>
  <c r="AU3213" i="6"/>
  <c r="AM3213" i="6"/>
  <c r="BI3265" i="6"/>
  <c r="BA3265" i="6"/>
  <c r="AS3265" i="6"/>
  <c r="BJ3213" i="6"/>
  <c r="BB3213" i="6"/>
  <c r="AT3213" i="6"/>
  <c r="BF3265" i="6"/>
  <c r="AX3265" i="6"/>
  <c r="AP3265" i="6"/>
  <c r="S3181" i="6"/>
  <c r="S3192" i="6"/>
  <c r="AY3213" i="6"/>
  <c r="AY3224" i="6"/>
  <c r="C2998" i="6"/>
  <c r="G2998" i="6"/>
  <c r="K2998" i="6"/>
  <c r="O2998" i="6"/>
  <c r="S2998" i="6"/>
  <c r="T2836" i="6"/>
  <c r="U2836" i="6" s="1"/>
  <c r="W2950" i="6"/>
  <c r="S2950" i="6"/>
  <c r="O2950" i="6"/>
  <c r="K2950" i="6"/>
  <c r="G2950" i="6"/>
  <c r="F2839" i="6"/>
  <c r="V2950" i="6"/>
  <c r="Q2950" i="6"/>
  <c r="L2950" i="6"/>
  <c r="F2950" i="6"/>
  <c r="Z2950" i="6"/>
  <c r="U2950" i="6"/>
  <c r="P2950" i="6"/>
  <c r="J2950" i="6"/>
  <c r="Y2950" i="6"/>
  <c r="T2950" i="6"/>
  <c r="N2950" i="6"/>
  <c r="I2950" i="6"/>
  <c r="AA2954" i="6"/>
  <c r="W2954" i="6"/>
  <c r="S2954" i="6"/>
  <c r="O2954" i="6"/>
  <c r="K2954" i="6"/>
  <c r="J2839" i="6"/>
  <c r="AB2954" i="6"/>
  <c r="V2954" i="6"/>
  <c r="Q2954" i="6"/>
  <c r="L2954" i="6"/>
  <c r="J2840" i="6"/>
  <c r="Z2954" i="6"/>
  <c r="U2954" i="6"/>
  <c r="P2954" i="6"/>
  <c r="J2954" i="6"/>
  <c r="AD2954" i="6"/>
  <c r="Y2954" i="6"/>
  <c r="T2954" i="6"/>
  <c r="N2954" i="6"/>
  <c r="AE2958" i="6"/>
  <c r="AA2958" i="6"/>
  <c r="W2958" i="6"/>
  <c r="S2958" i="6"/>
  <c r="O2958" i="6"/>
  <c r="N2839" i="6"/>
  <c r="AG2958" i="6"/>
  <c r="AB2958" i="6"/>
  <c r="V2958" i="6"/>
  <c r="Q2958" i="6"/>
  <c r="AF2958" i="6"/>
  <c r="Z2958" i="6"/>
  <c r="U2958" i="6"/>
  <c r="P2958" i="6"/>
  <c r="N2840" i="6"/>
  <c r="AD2958" i="6"/>
  <c r="Y2958" i="6"/>
  <c r="T2958" i="6"/>
  <c r="N2958" i="6"/>
  <c r="AI2962" i="6"/>
  <c r="AE2962" i="6"/>
  <c r="AA2962" i="6"/>
  <c r="W2962" i="6"/>
  <c r="S2962" i="6"/>
  <c r="R2839" i="6"/>
  <c r="AL2962" i="6"/>
  <c r="AG2962" i="6"/>
  <c r="AB2962" i="6"/>
  <c r="V2962" i="6"/>
  <c r="AK2962" i="6"/>
  <c r="AF2962" i="6"/>
  <c r="Z2962" i="6"/>
  <c r="U2962" i="6"/>
  <c r="AJ2962" i="6"/>
  <c r="AD2962" i="6"/>
  <c r="Y2962" i="6"/>
  <c r="T2962" i="6"/>
  <c r="Q2895" i="6"/>
  <c r="M2895" i="6"/>
  <c r="I2895" i="6"/>
  <c r="E2895" i="6"/>
  <c r="P2843" i="6"/>
  <c r="L2843" i="6"/>
  <c r="H2843" i="6"/>
  <c r="D2843" i="6"/>
  <c r="N2895" i="6"/>
  <c r="H2895" i="6"/>
  <c r="R2843" i="6"/>
  <c r="M2843" i="6"/>
  <c r="G2843" i="6"/>
  <c r="R2895" i="6"/>
  <c r="L2895" i="6"/>
  <c r="G2895" i="6"/>
  <c r="Q2843" i="6"/>
  <c r="K2843" i="6"/>
  <c r="F2843" i="6"/>
  <c r="P2895" i="6"/>
  <c r="K2895" i="6"/>
  <c r="F2895" i="6"/>
  <c r="AG2911" i="6"/>
  <c r="AC2911" i="6"/>
  <c r="Y2911" i="6"/>
  <c r="U2911" i="6"/>
  <c r="AF2859" i="6"/>
  <c r="AB2859" i="6"/>
  <c r="X2859" i="6"/>
  <c r="T2859" i="6"/>
  <c r="AD2911" i="6"/>
  <c r="X2911" i="6"/>
  <c r="AH2859" i="6"/>
  <c r="AC2859" i="6"/>
  <c r="W2859" i="6"/>
  <c r="AH2911" i="6"/>
  <c r="AB2911" i="6"/>
  <c r="W2911" i="6"/>
  <c r="AG2859" i="6"/>
  <c r="AA2859" i="6"/>
  <c r="V2859" i="6"/>
  <c r="AF2911" i="6"/>
  <c r="AA2911" i="6"/>
  <c r="V2911" i="6"/>
  <c r="N2843" i="6"/>
  <c r="K2844" i="6"/>
  <c r="S2848" i="6"/>
  <c r="Q2855" i="6"/>
  <c r="AA2855" i="6"/>
  <c r="Y2859" i="6"/>
  <c r="F2896" i="6"/>
  <c r="N2900" i="6"/>
  <c r="W2907" i="6"/>
  <c r="AE2911" i="6"/>
  <c r="P2945" i="6"/>
  <c r="P2998" i="6" s="1"/>
  <c r="N2947" i="6"/>
  <c r="R2950" i="6"/>
  <c r="T2951" i="6"/>
  <c r="X2954" i="6"/>
  <c r="Y2955" i="6"/>
  <c r="AC2958" i="6"/>
  <c r="AD2959" i="6"/>
  <c r="AH2962" i="6"/>
  <c r="AJ2963" i="6"/>
  <c r="P3063" i="6"/>
  <c r="L3063" i="6"/>
  <c r="H3063" i="6"/>
  <c r="S3011" i="6"/>
  <c r="O3011" i="6"/>
  <c r="K3011" i="6"/>
  <c r="G3011" i="6"/>
  <c r="S3063" i="6"/>
  <c r="O3063" i="6"/>
  <c r="K3063" i="6"/>
  <c r="G3063" i="6"/>
  <c r="R3011" i="6"/>
  <c r="N3011" i="6"/>
  <c r="J3011" i="6"/>
  <c r="F3011" i="6"/>
  <c r="Q3063" i="6"/>
  <c r="I3063" i="6"/>
  <c r="P3011" i="6"/>
  <c r="H3011" i="6"/>
  <c r="N3063" i="6"/>
  <c r="F3063" i="6"/>
  <c r="M3011" i="6"/>
  <c r="E3011" i="6"/>
  <c r="M3063" i="6"/>
  <c r="E3063" i="6"/>
  <c r="L3011" i="6"/>
  <c r="AF3079" i="6"/>
  <c r="AB3079" i="6"/>
  <c r="X3079" i="6"/>
  <c r="AI3027" i="6"/>
  <c r="AE3027" i="6"/>
  <c r="AA3027" i="6"/>
  <c r="W3027" i="6"/>
  <c r="AI3079" i="6"/>
  <c r="AE3079" i="6"/>
  <c r="AA3079" i="6"/>
  <c r="W3079" i="6"/>
  <c r="AH3027" i="6"/>
  <c r="AD3027" i="6"/>
  <c r="Z3027" i="6"/>
  <c r="V3027" i="6"/>
  <c r="AG3079" i="6"/>
  <c r="Y3079" i="6"/>
  <c r="AF3027" i="6"/>
  <c r="X3027" i="6"/>
  <c r="AD3079" i="6"/>
  <c r="V3079" i="6"/>
  <c r="AC3027" i="6"/>
  <c r="U3027" i="6"/>
  <c r="AC3079" i="6"/>
  <c r="U3079" i="6"/>
  <c r="AB3027" i="6"/>
  <c r="Y3019" i="6"/>
  <c r="Y3027" i="6"/>
  <c r="Z3071" i="6"/>
  <c r="Z3079" i="6"/>
  <c r="J3118" i="6"/>
  <c r="Z3122" i="6"/>
  <c r="AH3126" i="6"/>
  <c r="BD3260" i="6"/>
  <c r="AZ3260" i="6"/>
  <c r="AV3260" i="6"/>
  <c r="AR3260" i="6"/>
  <c r="AN3260" i="6"/>
  <c r="AJ3260" i="6"/>
  <c r="BE3208" i="6"/>
  <c r="BA3208" i="6"/>
  <c r="AW3208" i="6"/>
  <c r="AS3208" i="6"/>
  <c r="AO3208" i="6"/>
  <c r="AK3208" i="6"/>
  <c r="BC3260" i="6"/>
  <c r="AY3260" i="6"/>
  <c r="AU3260" i="6"/>
  <c r="AQ3260" i="6"/>
  <c r="AM3260" i="6"/>
  <c r="AI3260" i="6"/>
  <c r="BD3208" i="6"/>
  <c r="AZ3208" i="6"/>
  <c r="AV3208" i="6"/>
  <c r="AR3208" i="6"/>
  <c r="AN3208" i="6"/>
  <c r="AJ3208" i="6"/>
  <c r="BE3260" i="6"/>
  <c r="AW3260" i="6"/>
  <c r="AO3260" i="6"/>
  <c r="BF3208" i="6"/>
  <c r="AX3208" i="6"/>
  <c r="AP3208" i="6"/>
  <c r="AH3208" i="6"/>
  <c r="BB3260" i="6"/>
  <c r="AT3260" i="6"/>
  <c r="AL3260" i="6"/>
  <c r="BC3208" i="6"/>
  <c r="AU3208" i="6"/>
  <c r="AM3208" i="6"/>
  <c r="BA3260" i="6"/>
  <c r="AS3260" i="6"/>
  <c r="AK3260" i="6"/>
  <c r="BB3208" i="6"/>
  <c r="AT3208" i="6"/>
  <c r="AL3208" i="6"/>
  <c r="BF3260" i="6"/>
  <c r="AX3260" i="6"/>
  <c r="AP3260" i="6"/>
  <c r="AH3260" i="6"/>
  <c r="AA3181" i="6"/>
  <c r="AA3192" i="6"/>
  <c r="AA3197" i="6"/>
  <c r="BG3213" i="6"/>
  <c r="BG3224" i="6"/>
  <c r="M2904" i="6"/>
  <c r="R2904" i="6"/>
  <c r="X2904" i="6"/>
  <c r="U2908" i="6"/>
  <c r="F2948" i="6"/>
  <c r="L2948" i="6"/>
  <c r="Q2948" i="6"/>
  <c r="L2952" i="6"/>
  <c r="Q2952" i="6"/>
  <c r="V2952" i="6"/>
  <c r="L2956" i="6"/>
  <c r="Q2956" i="6"/>
  <c r="V2956" i="6"/>
  <c r="Q2960" i="6"/>
  <c r="V2960" i="6"/>
  <c r="AB2960" i="6"/>
  <c r="V2964" i="6"/>
  <c r="AB2964" i="6"/>
  <c r="AG2964" i="6"/>
  <c r="Y2966" i="6"/>
  <c r="AD2966" i="6"/>
  <c r="AJ2966" i="6"/>
  <c r="AO2966" i="6"/>
  <c r="D3165" i="6"/>
  <c r="H3165" i="6"/>
  <c r="L3165" i="6"/>
  <c r="P3165" i="6"/>
  <c r="X3115" i="6"/>
  <c r="T3115" i="6"/>
  <c r="P3115" i="6"/>
  <c r="L3115" i="6"/>
  <c r="H3115" i="6"/>
  <c r="D3115" i="6"/>
  <c r="D3007" i="6"/>
  <c r="W3115" i="6"/>
  <c r="S3115" i="6"/>
  <c r="O3115" i="6"/>
  <c r="K3115" i="6"/>
  <c r="G3115" i="6"/>
  <c r="AB3119" i="6"/>
  <c r="X3119" i="6"/>
  <c r="T3119" i="6"/>
  <c r="P3119" i="6"/>
  <c r="L3119" i="6"/>
  <c r="H3119" i="6"/>
  <c r="H3007" i="6"/>
  <c r="AA3119" i="6"/>
  <c r="W3119" i="6"/>
  <c r="S3119" i="6"/>
  <c r="O3119" i="6"/>
  <c r="K3119" i="6"/>
  <c r="AF3123" i="6"/>
  <c r="AB3123" i="6"/>
  <c r="X3123" i="6"/>
  <c r="T3123" i="6"/>
  <c r="P3123" i="6"/>
  <c r="L3123" i="6"/>
  <c r="L3007" i="6"/>
  <c r="AE3123" i="6"/>
  <c r="AA3123" i="6"/>
  <c r="W3123" i="6"/>
  <c r="S3123" i="6"/>
  <c r="O3123" i="6"/>
  <c r="AJ3127" i="6"/>
  <c r="AF3127" i="6"/>
  <c r="AB3127" i="6"/>
  <c r="X3127" i="6"/>
  <c r="T3127" i="6"/>
  <c r="P3127" i="6"/>
  <c r="P3007" i="6"/>
  <c r="AI3127" i="6"/>
  <c r="AE3127" i="6"/>
  <c r="AA3127" i="6"/>
  <c r="W3127" i="6"/>
  <c r="S3127" i="6"/>
  <c r="AN3131" i="6"/>
  <c r="AJ3131" i="6"/>
  <c r="AF3131" i="6"/>
  <c r="AB3131" i="6"/>
  <c r="X3131" i="6"/>
  <c r="T3131" i="6"/>
  <c r="T3007" i="6"/>
  <c r="AM3131" i="6"/>
  <c r="AI3131" i="6"/>
  <c r="AE3131" i="6"/>
  <c r="AA3131" i="6"/>
  <c r="W3131" i="6"/>
  <c r="H3006" i="6"/>
  <c r="P3006" i="6"/>
  <c r="I3115" i="6"/>
  <c r="Q3115" i="6"/>
  <c r="I3119" i="6"/>
  <c r="Q3119" i="6"/>
  <c r="Y3119" i="6"/>
  <c r="Q3123" i="6"/>
  <c r="Y3123" i="6"/>
  <c r="Q3127" i="6"/>
  <c r="Y3127" i="6"/>
  <c r="AG3127" i="6"/>
  <c r="Y3131" i="6"/>
  <c r="AG3131" i="6"/>
  <c r="X3285" i="6"/>
  <c r="T3285" i="6"/>
  <c r="P3285" i="6"/>
  <c r="L3285" i="6"/>
  <c r="H3285" i="6"/>
  <c r="AI3280" i="6"/>
  <c r="Z3285" i="6"/>
  <c r="U3285" i="6"/>
  <c r="O3285" i="6"/>
  <c r="J3285" i="6"/>
  <c r="F3175" i="6"/>
  <c r="Y3285" i="6"/>
  <c r="S3285" i="6"/>
  <c r="N3285" i="6"/>
  <c r="I3285" i="6"/>
  <c r="W3285" i="6"/>
  <c r="R3285" i="6"/>
  <c r="M3285" i="6"/>
  <c r="G3285" i="6"/>
  <c r="AB3289" i="6"/>
  <c r="X3289" i="6"/>
  <c r="T3289" i="6"/>
  <c r="P3289" i="6"/>
  <c r="L3289" i="6"/>
  <c r="AM3280" i="6"/>
  <c r="Z3289" i="6"/>
  <c r="U3289" i="6"/>
  <c r="O3289" i="6"/>
  <c r="J3289" i="6"/>
  <c r="J3175" i="6"/>
  <c r="AD3289" i="6"/>
  <c r="Y3289" i="6"/>
  <c r="S3289" i="6"/>
  <c r="N3289" i="6"/>
  <c r="AC3289" i="6"/>
  <c r="W3289" i="6"/>
  <c r="R3289" i="6"/>
  <c r="M3289" i="6"/>
  <c r="AF3293" i="6"/>
  <c r="AB3293" i="6"/>
  <c r="X3293" i="6"/>
  <c r="T3293" i="6"/>
  <c r="P3293" i="6"/>
  <c r="AQ3280" i="6"/>
  <c r="AE3293" i="6"/>
  <c r="Z3293" i="6"/>
  <c r="U3293" i="6"/>
  <c r="O3293" i="6"/>
  <c r="N3175" i="6"/>
  <c r="AD3293" i="6"/>
  <c r="Y3293" i="6"/>
  <c r="S3293" i="6"/>
  <c r="N3293" i="6"/>
  <c r="AH3293" i="6"/>
  <c r="AC3293" i="6"/>
  <c r="W3293" i="6"/>
  <c r="R3293" i="6"/>
  <c r="AJ3297" i="6"/>
  <c r="AF3297" i="6"/>
  <c r="AB3297" i="6"/>
  <c r="X3297" i="6"/>
  <c r="T3297" i="6"/>
  <c r="AU3280" i="6"/>
  <c r="AK3297" i="6"/>
  <c r="AE3297" i="6"/>
  <c r="Z3297" i="6"/>
  <c r="U3297" i="6"/>
  <c r="R3175" i="6"/>
  <c r="AI3297" i="6"/>
  <c r="AD3297" i="6"/>
  <c r="Y3297" i="6"/>
  <c r="S3297" i="6"/>
  <c r="AH3297" i="6"/>
  <c r="AC3297" i="6"/>
  <c r="W3297" i="6"/>
  <c r="R3297" i="6"/>
  <c r="AN3301" i="6"/>
  <c r="AJ3301" i="6"/>
  <c r="AF3301" i="6"/>
  <c r="AB3301" i="6"/>
  <c r="X3301" i="6"/>
  <c r="AY3280" i="6"/>
  <c r="AP3301" i="6"/>
  <c r="AL3301" i="6"/>
  <c r="AH3301" i="6"/>
  <c r="AM3301" i="6"/>
  <c r="AE3301" i="6"/>
  <c r="Z3301" i="6"/>
  <c r="V3175" i="6"/>
  <c r="AK3301" i="6"/>
  <c r="AD3301" i="6"/>
  <c r="Y3301" i="6"/>
  <c r="AI3301" i="6"/>
  <c r="AC3301" i="6"/>
  <c r="W3301" i="6"/>
  <c r="AR3305" i="6"/>
  <c r="AN3305" i="6"/>
  <c r="AJ3305" i="6"/>
  <c r="AF3305" i="6"/>
  <c r="AB3305" i="6"/>
  <c r="BC3280" i="6"/>
  <c r="AT3305" i="6"/>
  <c r="AP3305" i="6"/>
  <c r="AL3305" i="6"/>
  <c r="AH3305" i="6"/>
  <c r="AD3305" i="6"/>
  <c r="Z3305" i="6"/>
  <c r="AM3305" i="6"/>
  <c r="AE3305" i="6"/>
  <c r="Z3175" i="6"/>
  <c r="AS3305" i="6"/>
  <c r="AK3305" i="6"/>
  <c r="AC3305" i="6"/>
  <c r="AQ3305" i="6"/>
  <c r="AI3305" i="6"/>
  <c r="AA3305" i="6"/>
  <c r="AV3309" i="6"/>
  <c r="AR3309" i="6"/>
  <c r="AN3309" i="6"/>
  <c r="AJ3309" i="6"/>
  <c r="AF3309" i="6"/>
  <c r="BG3280" i="6"/>
  <c r="AX3309" i="6"/>
  <c r="AT3309" i="6"/>
  <c r="AP3309" i="6"/>
  <c r="AL3309" i="6"/>
  <c r="AH3309" i="6"/>
  <c r="AD3309" i="6"/>
  <c r="AU3309" i="6"/>
  <c r="AM3309" i="6"/>
  <c r="AE3309" i="6"/>
  <c r="AD3175" i="6"/>
  <c r="AS3309" i="6"/>
  <c r="AK3309" i="6"/>
  <c r="AQ3309" i="6"/>
  <c r="AI3309" i="6"/>
  <c r="AZ3313" i="6"/>
  <c r="AV3313" i="6"/>
  <c r="AR3313" i="6"/>
  <c r="AN3313" i="6"/>
  <c r="AJ3313" i="6"/>
  <c r="BK3280" i="6"/>
  <c r="BB3313" i="6"/>
  <c r="AX3313" i="6"/>
  <c r="AT3313" i="6"/>
  <c r="AP3313" i="6"/>
  <c r="AL3313" i="6"/>
  <c r="AH3313" i="6"/>
  <c r="AU3313" i="6"/>
  <c r="AM3313" i="6"/>
  <c r="AH3175" i="6"/>
  <c r="BA3313" i="6"/>
  <c r="AS3313" i="6"/>
  <c r="AK3313" i="6"/>
  <c r="AY3313" i="6"/>
  <c r="AQ3313" i="6"/>
  <c r="AI3313" i="6"/>
  <c r="BD3317" i="6"/>
  <c r="AZ3317" i="6"/>
  <c r="AV3317" i="6"/>
  <c r="AR3317" i="6"/>
  <c r="AN3317" i="6"/>
  <c r="BO3280" i="6"/>
  <c r="BF3317" i="6"/>
  <c r="BB3317" i="6"/>
  <c r="AX3317" i="6"/>
  <c r="AT3317" i="6"/>
  <c r="AP3317" i="6"/>
  <c r="AL3317" i="6"/>
  <c r="BC3317" i="6"/>
  <c r="AU3317" i="6"/>
  <c r="AM3317" i="6"/>
  <c r="AL3175" i="6"/>
  <c r="BA3317" i="6"/>
  <c r="AS3317" i="6"/>
  <c r="AY3317" i="6"/>
  <c r="AQ3317" i="6"/>
  <c r="BH3321" i="6"/>
  <c r="BD3321" i="6"/>
  <c r="AZ3321" i="6"/>
  <c r="AV3321" i="6"/>
  <c r="AR3321" i="6"/>
  <c r="BS3280" i="6"/>
  <c r="BJ3321" i="6"/>
  <c r="BF3321" i="6"/>
  <c r="BB3321" i="6"/>
  <c r="AX3321" i="6"/>
  <c r="AT3321" i="6"/>
  <c r="AP3321" i="6"/>
  <c r="BC3321" i="6"/>
  <c r="AU3321" i="6"/>
  <c r="AP3175" i="6"/>
  <c r="BI3321" i="6"/>
  <c r="BA3321" i="6"/>
  <c r="AS3321" i="6"/>
  <c r="BG3321" i="6"/>
  <c r="AY3321" i="6"/>
  <c r="AQ3321" i="6"/>
  <c r="BL3325" i="6"/>
  <c r="BH3325" i="6"/>
  <c r="BD3325" i="6"/>
  <c r="AZ3325" i="6"/>
  <c r="AV3325" i="6"/>
  <c r="BW3280" i="6"/>
  <c r="BN3325" i="6"/>
  <c r="BJ3325" i="6"/>
  <c r="BF3325" i="6"/>
  <c r="BB3325" i="6"/>
  <c r="AX3325" i="6"/>
  <c r="AT3325" i="6"/>
  <c r="BK3325" i="6"/>
  <c r="BC3325" i="6"/>
  <c r="AU3325" i="6"/>
  <c r="AT3175" i="6"/>
  <c r="BI3325" i="6"/>
  <c r="BA3325" i="6"/>
  <c r="BG3325" i="6"/>
  <c r="AY3325" i="6"/>
  <c r="BP3329" i="6"/>
  <c r="BL3329" i="6"/>
  <c r="BH3329" i="6"/>
  <c r="BD3329" i="6"/>
  <c r="AZ3329" i="6"/>
  <c r="CA3280" i="6"/>
  <c r="BR3329" i="6"/>
  <c r="BN3329" i="6"/>
  <c r="BJ3329" i="6"/>
  <c r="BF3329" i="6"/>
  <c r="BB3329" i="6"/>
  <c r="AX3329" i="6"/>
  <c r="BK3329" i="6"/>
  <c r="BC3329" i="6"/>
  <c r="AX3175" i="6"/>
  <c r="BQ3329" i="6"/>
  <c r="BI3329" i="6"/>
  <c r="BA3329" i="6"/>
  <c r="BO3329" i="6"/>
  <c r="BG3329" i="6"/>
  <c r="AY3329" i="6"/>
  <c r="X3229" i="6"/>
  <c r="T3229" i="6"/>
  <c r="P3229" i="6"/>
  <c r="L3229" i="6"/>
  <c r="H3229" i="6"/>
  <c r="D3229" i="6"/>
  <c r="Y3177" i="6"/>
  <c r="U3177" i="6"/>
  <c r="Q3177" i="6"/>
  <c r="M3177" i="6"/>
  <c r="I3177" i="6"/>
  <c r="E3177" i="6"/>
  <c r="AA3229" i="6"/>
  <c r="W3229" i="6"/>
  <c r="S3229" i="6"/>
  <c r="O3229" i="6"/>
  <c r="K3229" i="6"/>
  <c r="G3229" i="6"/>
  <c r="C3229" i="6"/>
  <c r="C3228" i="6" s="1" a="1"/>
  <c r="C3228" i="6" s="1"/>
  <c r="C3334" i="6" s="1"/>
  <c r="X3177" i="6"/>
  <c r="T3177" i="6"/>
  <c r="P3177" i="6"/>
  <c r="L3177" i="6"/>
  <c r="H3177" i="6"/>
  <c r="D3177" i="6"/>
  <c r="N3174" i="6"/>
  <c r="AN3245" i="6"/>
  <c r="AJ3245" i="6"/>
  <c r="AF3245" i="6"/>
  <c r="AB3245" i="6"/>
  <c r="X3245" i="6"/>
  <c r="T3245" i="6"/>
  <c r="AO3193" i="6"/>
  <c r="AK3193" i="6"/>
  <c r="AG3193" i="6"/>
  <c r="AC3193" i="6"/>
  <c r="Y3193" i="6"/>
  <c r="U3193" i="6"/>
  <c r="AQ3245" i="6"/>
  <c r="AM3245" i="6"/>
  <c r="AI3245" i="6"/>
  <c r="AE3245" i="6"/>
  <c r="AA3245" i="6"/>
  <c r="W3245" i="6"/>
  <c r="S3245" i="6"/>
  <c r="AN3193" i="6"/>
  <c r="AJ3193" i="6"/>
  <c r="AF3193" i="6"/>
  <c r="AB3193" i="6"/>
  <c r="X3193" i="6"/>
  <c r="T3193" i="6"/>
  <c r="AD3174" i="6"/>
  <c r="BD3261" i="6"/>
  <c r="AZ3261" i="6"/>
  <c r="AV3261" i="6"/>
  <c r="AR3261" i="6"/>
  <c r="AN3261" i="6"/>
  <c r="AJ3261" i="6"/>
  <c r="BE3209" i="6"/>
  <c r="BA3209" i="6"/>
  <c r="AW3209" i="6"/>
  <c r="AS3209" i="6"/>
  <c r="AO3209" i="6"/>
  <c r="AK3209" i="6"/>
  <c r="BG3261" i="6"/>
  <c r="BC3261" i="6"/>
  <c r="AY3261" i="6"/>
  <c r="AU3261" i="6"/>
  <c r="AQ3261" i="6"/>
  <c r="AM3261" i="6"/>
  <c r="AI3261" i="6"/>
  <c r="BD3209" i="6"/>
  <c r="AZ3209" i="6"/>
  <c r="AV3209" i="6"/>
  <c r="AR3209" i="6"/>
  <c r="AN3209" i="6"/>
  <c r="AJ3209" i="6"/>
  <c r="AT3174" i="6"/>
  <c r="BV3277" i="6"/>
  <c r="BR3277" i="6"/>
  <c r="BN3277" i="6"/>
  <c r="BJ3277" i="6"/>
  <c r="BF3277" i="6"/>
  <c r="BB3277" i="6"/>
  <c r="BT3277" i="6"/>
  <c r="BO3277" i="6"/>
  <c r="BI3277" i="6"/>
  <c r="BD3277" i="6"/>
  <c r="AY3277" i="6"/>
  <c r="BU3225" i="6"/>
  <c r="BQ3225" i="6"/>
  <c r="BM3225" i="6"/>
  <c r="BI3225" i="6"/>
  <c r="BE3225" i="6"/>
  <c r="BA3225" i="6"/>
  <c r="BS3277" i="6"/>
  <c r="BM3277" i="6"/>
  <c r="BH3277" i="6"/>
  <c r="BC3277" i="6"/>
  <c r="BT3225" i="6"/>
  <c r="BP3225" i="6"/>
  <c r="BL3225" i="6"/>
  <c r="BH3225" i="6"/>
  <c r="BD3225" i="6"/>
  <c r="AZ3225" i="6"/>
  <c r="BW3277" i="6"/>
  <c r="BQ3277" i="6"/>
  <c r="BL3277" i="6"/>
  <c r="BG3277" i="6"/>
  <c r="BA3277" i="6"/>
  <c r="F3177" i="6"/>
  <c r="N3177" i="6"/>
  <c r="V3177" i="6"/>
  <c r="N3185" i="6"/>
  <c r="V3185" i="6"/>
  <c r="AD3185" i="6"/>
  <c r="V3189" i="6"/>
  <c r="AD3189" i="6"/>
  <c r="AL3189" i="6"/>
  <c r="V3193" i="6"/>
  <c r="AD3193" i="6"/>
  <c r="AL3193" i="6"/>
  <c r="AD3201" i="6"/>
  <c r="AL3201" i="6"/>
  <c r="AT3201" i="6"/>
  <c r="AL3205" i="6"/>
  <c r="AT3205" i="6"/>
  <c r="BB3205" i="6"/>
  <c r="AL3209" i="6"/>
  <c r="AT3209" i="6"/>
  <c r="BB3209" i="6"/>
  <c r="AT3217" i="6"/>
  <c r="BB3217" i="6"/>
  <c r="BJ3217" i="6"/>
  <c r="BB3221" i="6"/>
  <c r="BJ3221" i="6"/>
  <c r="BR3221" i="6"/>
  <c r="BB3225" i="6"/>
  <c r="BJ3225" i="6"/>
  <c r="BR3225" i="6"/>
  <c r="E3229" i="6"/>
  <c r="M3229" i="6"/>
  <c r="U3229" i="6"/>
  <c r="M3237" i="6"/>
  <c r="U3237" i="6"/>
  <c r="AC3237" i="6"/>
  <c r="U3241" i="6"/>
  <c r="AC3241" i="6"/>
  <c r="U3245" i="6"/>
  <c r="AC3245" i="6"/>
  <c r="AK3245" i="6"/>
  <c r="AC3253" i="6"/>
  <c r="AK3253" i="6"/>
  <c r="AS3253" i="6"/>
  <c r="AK3257" i="6"/>
  <c r="AS3257" i="6"/>
  <c r="AK3261" i="6"/>
  <c r="AS3261" i="6"/>
  <c r="BA3261" i="6"/>
  <c r="AW3269" i="6"/>
  <c r="BM3269" i="6"/>
  <c r="AU3273" i="6"/>
  <c r="AZ3277" i="6"/>
  <c r="BU3277" i="6"/>
  <c r="Q3285" i="6"/>
  <c r="V3289" i="6"/>
  <c r="AA3293" i="6"/>
  <c r="AL3297" i="6"/>
  <c r="V3301" i="6"/>
  <c r="AY3388" i="6"/>
  <c r="W2948" i="6"/>
  <c r="S2948" i="6"/>
  <c r="O2948" i="6"/>
  <c r="K2948" i="6"/>
  <c r="G2948" i="6"/>
  <c r="AA2952" i="6"/>
  <c r="W2952" i="6"/>
  <c r="S2952" i="6"/>
  <c r="O2952" i="6"/>
  <c r="K2952" i="6"/>
  <c r="AE2956" i="6"/>
  <c r="AA2956" i="6"/>
  <c r="W2956" i="6"/>
  <c r="S2956" i="6"/>
  <c r="O2956" i="6"/>
  <c r="AI2960" i="6"/>
  <c r="AE2960" i="6"/>
  <c r="AA2960" i="6"/>
  <c r="W2960" i="6"/>
  <c r="S2960" i="6"/>
  <c r="AM2964" i="6"/>
  <c r="AI2964" i="6"/>
  <c r="AE2964" i="6"/>
  <c r="AA2964" i="6"/>
  <c r="W2964" i="6"/>
  <c r="L2839" i="6"/>
  <c r="AE2908" i="6"/>
  <c r="AA2908" i="6"/>
  <c r="W2908" i="6"/>
  <c r="S2908" i="6"/>
  <c r="AD2856" i="6"/>
  <c r="Z2856" i="6"/>
  <c r="V2856" i="6"/>
  <c r="R2856" i="6"/>
  <c r="D2840" i="6"/>
  <c r="T2840" i="6"/>
  <c r="M2852" i="6"/>
  <c r="S2852" i="6"/>
  <c r="X2852" i="6"/>
  <c r="U2856" i="6"/>
  <c r="AA2856" i="6"/>
  <c r="N2904" i="6"/>
  <c r="T2904" i="6"/>
  <c r="Q2908" i="6"/>
  <c r="V2908" i="6"/>
  <c r="AB2908" i="6"/>
  <c r="H2948" i="6"/>
  <c r="M2948" i="6"/>
  <c r="R2948" i="6"/>
  <c r="X2948" i="6"/>
  <c r="H2952" i="6"/>
  <c r="M2952" i="6"/>
  <c r="R2952" i="6"/>
  <c r="X2952" i="6"/>
  <c r="M2956" i="6"/>
  <c r="R2956" i="6"/>
  <c r="X2956" i="6"/>
  <c r="AC2956" i="6"/>
  <c r="R2960" i="6"/>
  <c r="X2960" i="6"/>
  <c r="AC2960" i="6"/>
  <c r="AH2960" i="6"/>
  <c r="X2964" i="6"/>
  <c r="AC2964" i="6"/>
  <c r="AH2964" i="6"/>
  <c r="AN2964" i="6"/>
  <c r="Z2966" i="6"/>
  <c r="AF2966" i="6"/>
  <c r="E3165" i="6"/>
  <c r="I3165" i="6"/>
  <c r="M3165" i="6"/>
  <c r="Q3165" i="6"/>
  <c r="T3067" i="6"/>
  <c r="P3067" i="6"/>
  <c r="L3067" i="6"/>
  <c r="W3015" i="6"/>
  <c r="S3015" i="6"/>
  <c r="O3015" i="6"/>
  <c r="K3015" i="6"/>
  <c r="W3067" i="6"/>
  <c r="S3067" i="6"/>
  <c r="O3067" i="6"/>
  <c r="K3067" i="6"/>
  <c r="V3015" i="6"/>
  <c r="R3015" i="6"/>
  <c r="N3015" i="6"/>
  <c r="J3015" i="6"/>
  <c r="AB3075" i="6"/>
  <c r="X3075" i="6"/>
  <c r="T3075" i="6"/>
  <c r="AE3023" i="6"/>
  <c r="AA3023" i="6"/>
  <c r="W3023" i="6"/>
  <c r="S3023" i="6"/>
  <c r="AE3075" i="6"/>
  <c r="AA3075" i="6"/>
  <c r="W3075" i="6"/>
  <c r="S3075" i="6"/>
  <c r="AD3023" i="6"/>
  <c r="Z3023" i="6"/>
  <c r="V3023" i="6"/>
  <c r="R3023" i="6"/>
  <c r="M3015" i="6"/>
  <c r="U3015" i="6"/>
  <c r="U3023" i="6"/>
  <c r="AC3023" i="6"/>
  <c r="N3067" i="6"/>
  <c r="V3067" i="6"/>
  <c r="V3075" i="6"/>
  <c r="AD3075" i="6"/>
  <c r="J3115" i="6"/>
  <c r="R3115" i="6"/>
  <c r="J3119" i="6"/>
  <c r="R3119" i="6"/>
  <c r="Z3119" i="6"/>
  <c r="R3123" i="6"/>
  <c r="Z3123" i="6"/>
  <c r="R3127" i="6"/>
  <c r="Z3127" i="6"/>
  <c r="AH3127" i="6"/>
  <c r="Z3131" i="6"/>
  <c r="AH3131" i="6"/>
  <c r="J3174" i="6"/>
  <c r="AJ3241" i="6"/>
  <c r="AF3241" i="6"/>
  <c r="AB3241" i="6"/>
  <c r="X3241" i="6"/>
  <c r="T3241" i="6"/>
  <c r="P3241" i="6"/>
  <c r="AK3189" i="6"/>
  <c r="AG3189" i="6"/>
  <c r="AC3189" i="6"/>
  <c r="Y3189" i="6"/>
  <c r="U3189" i="6"/>
  <c r="Q3189" i="6"/>
  <c r="AM3241" i="6"/>
  <c r="AI3241" i="6"/>
  <c r="AE3241" i="6"/>
  <c r="AA3241" i="6"/>
  <c r="W3241" i="6"/>
  <c r="S3241" i="6"/>
  <c r="O3241" i="6"/>
  <c r="AJ3189" i="6"/>
  <c r="AF3189" i="6"/>
  <c r="AB3189" i="6"/>
  <c r="X3189" i="6"/>
  <c r="T3189" i="6"/>
  <c r="P3189" i="6"/>
  <c r="Z3174" i="6"/>
  <c r="AZ3257" i="6"/>
  <c r="AV3257" i="6"/>
  <c r="AR3257" i="6"/>
  <c r="AN3257" i="6"/>
  <c r="AJ3257" i="6"/>
  <c r="AF3257" i="6"/>
  <c r="BA3205" i="6"/>
  <c r="AW3205" i="6"/>
  <c r="AS3205" i="6"/>
  <c r="AO3205" i="6"/>
  <c r="AK3205" i="6"/>
  <c r="AG3205" i="6"/>
  <c r="BC3257" i="6"/>
  <c r="AY3257" i="6"/>
  <c r="AU3257" i="6"/>
  <c r="AQ3257" i="6"/>
  <c r="AM3257" i="6"/>
  <c r="AI3257" i="6"/>
  <c r="AE3257" i="6"/>
  <c r="AZ3205" i="6"/>
  <c r="AV3205" i="6"/>
  <c r="AR3205" i="6"/>
  <c r="AN3205" i="6"/>
  <c r="AJ3205" i="6"/>
  <c r="AF3205" i="6"/>
  <c r="AP3174" i="6"/>
  <c r="BR3273" i="6"/>
  <c r="BN3273" i="6"/>
  <c r="BJ3273" i="6"/>
  <c r="BF3273" i="6"/>
  <c r="BB3273" i="6"/>
  <c r="AX3273" i="6"/>
  <c r="BO3273" i="6"/>
  <c r="BI3273" i="6"/>
  <c r="BD3273" i="6"/>
  <c r="AY3273" i="6"/>
  <c r="BQ3221" i="6"/>
  <c r="BM3221" i="6"/>
  <c r="BI3221" i="6"/>
  <c r="BE3221" i="6"/>
  <c r="BA3221" i="6"/>
  <c r="AW3221" i="6"/>
  <c r="BS3273" i="6"/>
  <c r="BM3273" i="6"/>
  <c r="BH3273" i="6"/>
  <c r="BC3273" i="6"/>
  <c r="AW3273" i="6"/>
  <c r="BP3221" i="6"/>
  <c r="BL3221" i="6"/>
  <c r="BH3221" i="6"/>
  <c r="BD3221" i="6"/>
  <c r="AZ3221" i="6"/>
  <c r="AV3221" i="6"/>
  <c r="BQ3273" i="6"/>
  <c r="BL3273" i="6"/>
  <c r="BG3273" i="6"/>
  <c r="BA3273" i="6"/>
  <c r="AV3273" i="6"/>
  <c r="G3177" i="6"/>
  <c r="O3177" i="6"/>
  <c r="W3177" i="6"/>
  <c r="O3185" i="6"/>
  <c r="W3185" i="6"/>
  <c r="AE3185" i="6"/>
  <c r="O3189" i="6"/>
  <c r="W3189" i="6"/>
  <c r="AE3189" i="6"/>
  <c r="AM3189" i="6"/>
  <c r="W3193" i="6"/>
  <c r="AE3193" i="6"/>
  <c r="AM3193" i="6"/>
  <c r="AE3201" i="6"/>
  <c r="AM3201" i="6"/>
  <c r="AU3201" i="6"/>
  <c r="AE3205" i="6"/>
  <c r="AM3205" i="6"/>
  <c r="AU3205" i="6"/>
  <c r="BC3205" i="6"/>
  <c r="AM3209" i="6"/>
  <c r="AU3209" i="6"/>
  <c r="BC3209" i="6"/>
  <c r="AU3217" i="6"/>
  <c r="BC3217" i="6"/>
  <c r="BK3217" i="6"/>
  <c r="AU3221" i="6"/>
  <c r="BC3221" i="6"/>
  <c r="BK3221" i="6"/>
  <c r="BS3221" i="6"/>
  <c r="BC3225" i="6"/>
  <c r="BK3225" i="6"/>
  <c r="BS3225" i="6"/>
  <c r="F3229" i="6"/>
  <c r="N3229" i="6"/>
  <c r="V3229" i="6"/>
  <c r="N3237" i="6"/>
  <c r="V3237" i="6"/>
  <c r="V3241" i="6"/>
  <c r="AD3241" i="6"/>
  <c r="AL3241" i="6"/>
  <c r="V3245" i="6"/>
  <c r="AD3245" i="6"/>
  <c r="AL3245" i="6"/>
  <c r="AD3253" i="6"/>
  <c r="AL3253" i="6"/>
  <c r="AL3257" i="6"/>
  <c r="AT3257" i="6"/>
  <c r="BB3257" i="6"/>
  <c r="AL3261" i="6"/>
  <c r="AT3261" i="6"/>
  <c r="BB3261" i="6"/>
  <c r="AZ3273" i="6"/>
  <c r="BE3277" i="6"/>
  <c r="V3285" i="6"/>
  <c r="AA3289" i="6"/>
  <c r="AG3293" i="6"/>
  <c r="V3297" i="6"/>
  <c r="AA3301" i="6"/>
  <c r="AG3309" i="6"/>
  <c r="AO3317" i="6"/>
  <c r="AW3325" i="6"/>
  <c r="AQ3469" i="6"/>
  <c r="AM3469" i="6"/>
  <c r="AI3469" i="6"/>
  <c r="AE3469" i="6"/>
  <c r="AA3469" i="6"/>
  <c r="Z3339" i="6"/>
  <c r="AT3469" i="6"/>
  <c r="AP3469" i="6"/>
  <c r="AL3469" i="6"/>
  <c r="AH3469" i="6"/>
  <c r="AD3469" i="6"/>
  <c r="Z3469" i="6"/>
  <c r="AS3469" i="6"/>
  <c r="AO3469" i="6"/>
  <c r="AK3469" i="6"/>
  <c r="AG3469" i="6"/>
  <c r="AC3469" i="6"/>
  <c r="AF3469" i="6"/>
  <c r="AR3469" i="6"/>
  <c r="AR3445" i="6" s="1"/>
  <c r="AB3469" i="6"/>
  <c r="AN3469" i="6"/>
  <c r="AY3475" i="6"/>
  <c r="AU3475" i="6"/>
  <c r="AQ3475" i="6"/>
  <c r="AM3475" i="6"/>
  <c r="AI3475" i="6"/>
  <c r="AX3475" i="6"/>
  <c r="AT3475" i="6"/>
  <c r="AP3475" i="6"/>
  <c r="AL3475" i="6"/>
  <c r="AH3475" i="6"/>
  <c r="AW3475" i="6"/>
  <c r="AS3475" i="6"/>
  <c r="AO3475" i="6"/>
  <c r="AK3475" i="6"/>
  <c r="AG3475" i="6"/>
  <c r="AF3339" i="6"/>
  <c r="AN3475" i="6"/>
  <c r="AZ3475" i="6"/>
  <c r="AJ3475" i="6"/>
  <c r="AV3475" i="6"/>
  <c r="AF3475" i="6"/>
  <c r="BG3485" i="6"/>
  <c r="BC3485" i="6"/>
  <c r="AY3485" i="6"/>
  <c r="AU3485" i="6"/>
  <c r="AQ3485" i="6"/>
  <c r="AP3339" i="6"/>
  <c r="BJ3485" i="6"/>
  <c r="BF3485" i="6"/>
  <c r="BB3485" i="6"/>
  <c r="AX3485" i="6"/>
  <c r="AT3485" i="6"/>
  <c r="AP3485" i="6"/>
  <c r="BI3485" i="6"/>
  <c r="BE3485" i="6"/>
  <c r="BA3485" i="6"/>
  <c r="AW3485" i="6"/>
  <c r="AS3485" i="6"/>
  <c r="AV3485" i="6"/>
  <c r="BH3485" i="6"/>
  <c r="BH3445" i="6" s="1"/>
  <c r="AR3485" i="6"/>
  <c r="BD3485" i="6"/>
  <c r="BO3491" i="6"/>
  <c r="BK3491" i="6"/>
  <c r="BG3491" i="6"/>
  <c r="BC3491" i="6"/>
  <c r="AY3491" i="6"/>
  <c r="BN3491" i="6"/>
  <c r="BJ3491" i="6"/>
  <c r="BF3491" i="6"/>
  <c r="BB3491" i="6"/>
  <c r="AX3491" i="6"/>
  <c r="BM3491" i="6"/>
  <c r="BI3491" i="6"/>
  <c r="BE3491" i="6"/>
  <c r="BA3491" i="6"/>
  <c r="AW3491" i="6"/>
  <c r="AV3339" i="6"/>
  <c r="BD3491" i="6"/>
  <c r="BP3491" i="6"/>
  <c r="BP3445" i="6" s="1"/>
  <c r="AZ3491" i="6"/>
  <c r="BL3491" i="6"/>
  <c r="AV3491" i="6"/>
  <c r="AG3400" i="6"/>
  <c r="AC3400" i="6"/>
  <c r="Y3400" i="6"/>
  <c r="U3400" i="6"/>
  <c r="Q3400" i="6"/>
  <c r="M3400" i="6"/>
  <c r="I3400" i="6"/>
  <c r="AD3348" i="6"/>
  <c r="Z3348" i="6"/>
  <c r="V3348" i="6"/>
  <c r="R3348" i="6"/>
  <c r="N3348" i="6"/>
  <c r="J3348" i="6"/>
  <c r="AF3400" i="6"/>
  <c r="AB3400" i="6"/>
  <c r="X3400" i="6"/>
  <c r="T3400" i="6"/>
  <c r="P3400" i="6"/>
  <c r="L3400" i="6"/>
  <c r="AE3400" i="6"/>
  <c r="AA3400" i="6"/>
  <c r="W3400" i="6"/>
  <c r="S3400" i="6"/>
  <c r="O3400" i="6"/>
  <c r="K3400" i="6"/>
  <c r="AF3348" i="6"/>
  <c r="AB3348" i="6"/>
  <c r="X3348" i="6"/>
  <c r="T3348" i="6"/>
  <c r="P3348" i="6"/>
  <c r="L3348" i="6"/>
  <c r="AD3400" i="6"/>
  <c r="N3400" i="6"/>
  <c r="AG3348" i="6"/>
  <c r="Y3348" i="6"/>
  <c r="Q3348" i="6"/>
  <c r="I3348" i="6"/>
  <c r="Z3400" i="6"/>
  <c r="J3400" i="6"/>
  <c r="AE3348" i="6"/>
  <c r="W3348" i="6"/>
  <c r="O3348" i="6"/>
  <c r="V3400" i="6"/>
  <c r="AC3348" i="6"/>
  <c r="U3348" i="6"/>
  <c r="M3348" i="6"/>
  <c r="AO3408" i="6"/>
  <c r="AK3408" i="6"/>
  <c r="AG3408" i="6"/>
  <c r="AC3408" i="6"/>
  <c r="Y3408" i="6"/>
  <c r="U3408" i="6"/>
  <c r="Q3408" i="6"/>
  <c r="AL3356" i="6"/>
  <c r="AH3356" i="6"/>
  <c r="AD3356" i="6"/>
  <c r="Z3356" i="6"/>
  <c r="V3356" i="6"/>
  <c r="R3356" i="6"/>
  <c r="AN3408" i="6"/>
  <c r="AJ3408" i="6"/>
  <c r="AF3408" i="6"/>
  <c r="AB3408" i="6"/>
  <c r="X3408" i="6"/>
  <c r="T3408" i="6"/>
  <c r="AM3408" i="6"/>
  <c r="AI3408" i="6"/>
  <c r="AE3408" i="6"/>
  <c r="AA3408" i="6"/>
  <c r="W3408" i="6"/>
  <c r="S3408" i="6"/>
  <c r="AN3356" i="6"/>
  <c r="AJ3356" i="6"/>
  <c r="AF3356" i="6"/>
  <c r="AB3356" i="6"/>
  <c r="X3356" i="6"/>
  <c r="T3356" i="6"/>
  <c r="AD3408" i="6"/>
  <c r="AO3356" i="6"/>
  <c r="AG3356" i="6"/>
  <c r="Y3356" i="6"/>
  <c r="Q3356" i="6"/>
  <c r="Z3408" i="6"/>
  <c r="AM3356" i="6"/>
  <c r="AE3356" i="6"/>
  <c r="W3356" i="6"/>
  <c r="AL3408" i="6"/>
  <c r="V3408" i="6"/>
  <c r="AK3356" i="6"/>
  <c r="AC3356" i="6"/>
  <c r="U3356" i="6"/>
  <c r="AW3416" i="6"/>
  <c r="AS3416" i="6"/>
  <c r="AO3416" i="6"/>
  <c r="AK3416" i="6"/>
  <c r="AG3416" i="6"/>
  <c r="AC3416" i="6"/>
  <c r="Y3416" i="6"/>
  <c r="AT3364" i="6"/>
  <c r="AP3364" i="6"/>
  <c r="AL3364" i="6"/>
  <c r="AH3364" i="6"/>
  <c r="AD3364" i="6"/>
  <c r="Z3364" i="6"/>
  <c r="AV3416" i="6"/>
  <c r="AR3416" i="6"/>
  <c r="AN3416" i="6"/>
  <c r="AJ3416" i="6"/>
  <c r="AF3416" i="6"/>
  <c r="AB3416" i="6"/>
  <c r="AU3416" i="6"/>
  <c r="AQ3416" i="6"/>
  <c r="AM3416" i="6"/>
  <c r="AI3416" i="6"/>
  <c r="AE3416" i="6"/>
  <c r="AA3416" i="6"/>
  <c r="AV3364" i="6"/>
  <c r="AR3364" i="6"/>
  <c r="AN3364" i="6"/>
  <c r="AJ3364" i="6"/>
  <c r="AF3364" i="6"/>
  <c r="AB3364" i="6"/>
  <c r="AT3416" i="6"/>
  <c r="AD3416" i="6"/>
  <c r="AW3364" i="6"/>
  <c r="AO3364" i="6"/>
  <c r="AG3364" i="6"/>
  <c r="Y3364" i="6"/>
  <c r="AP3416" i="6"/>
  <c r="Z3416" i="6"/>
  <c r="AU3364" i="6"/>
  <c r="AM3364" i="6"/>
  <c r="AE3364" i="6"/>
  <c r="AL3416" i="6"/>
  <c r="AS3364" i="6"/>
  <c r="AK3364" i="6"/>
  <c r="AC3364" i="6"/>
  <c r="BE3424" i="6"/>
  <c r="BA3424" i="6"/>
  <c r="AW3424" i="6"/>
  <c r="AS3424" i="6"/>
  <c r="AO3424" i="6"/>
  <c r="AK3424" i="6"/>
  <c r="AG3424" i="6"/>
  <c r="BB3372" i="6"/>
  <c r="AX3372" i="6"/>
  <c r="AT3372" i="6"/>
  <c r="AP3372" i="6"/>
  <c r="AL3372" i="6"/>
  <c r="AH3372" i="6"/>
  <c r="BD3424" i="6"/>
  <c r="AZ3424" i="6"/>
  <c r="AV3424" i="6"/>
  <c r="AR3424" i="6"/>
  <c r="AN3424" i="6"/>
  <c r="AJ3424" i="6"/>
  <c r="BC3424" i="6"/>
  <c r="AY3424" i="6"/>
  <c r="AU3424" i="6"/>
  <c r="AQ3424" i="6"/>
  <c r="AM3424" i="6"/>
  <c r="AI3424" i="6"/>
  <c r="BD3372" i="6"/>
  <c r="AZ3372" i="6"/>
  <c r="AV3372" i="6"/>
  <c r="AR3372" i="6"/>
  <c r="AN3372" i="6"/>
  <c r="AJ3372" i="6"/>
  <c r="AT3424" i="6"/>
  <c r="BE3372" i="6"/>
  <c r="AW3372" i="6"/>
  <c r="AO3372" i="6"/>
  <c r="AG3372" i="6"/>
  <c r="AP3424" i="6"/>
  <c r="BC3372" i="6"/>
  <c r="AU3372" i="6"/>
  <c r="AM3372" i="6"/>
  <c r="BB3424" i="6"/>
  <c r="AL3424" i="6"/>
  <c r="BA3372" i="6"/>
  <c r="AS3372" i="6"/>
  <c r="AK3372" i="6"/>
  <c r="BM3432" i="6"/>
  <c r="BI3432" i="6"/>
  <c r="BE3432" i="6"/>
  <c r="BA3432" i="6"/>
  <c r="AW3432" i="6"/>
  <c r="AS3432" i="6"/>
  <c r="AO3432" i="6"/>
  <c r="BJ3380" i="6"/>
  <c r="BF3380" i="6"/>
  <c r="BB3380" i="6"/>
  <c r="AX3380" i="6"/>
  <c r="AT3380" i="6"/>
  <c r="AP3380" i="6"/>
  <c r="BL3432" i="6"/>
  <c r="BH3432" i="6"/>
  <c r="BD3432" i="6"/>
  <c r="AZ3432" i="6"/>
  <c r="AV3432" i="6"/>
  <c r="AR3432" i="6"/>
  <c r="BK3432" i="6"/>
  <c r="BG3432" i="6"/>
  <c r="BC3432" i="6"/>
  <c r="AY3432" i="6"/>
  <c r="AU3432" i="6"/>
  <c r="AQ3432" i="6"/>
  <c r="BL3380" i="6"/>
  <c r="BH3380" i="6"/>
  <c r="BD3380" i="6"/>
  <c r="AZ3380" i="6"/>
  <c r="AV3380" i="6"/>
  <c r="AR3380" i="6"/>
  <c r="BJ3432" i="6"/>
  <c r="AT3432" i="6"/>
  <c r="BM3380" i="6"/>
  <c r="BE3380" i="6"/>
  <c r="AW3380" i="6"/>
  <c r="AO3380" i="6"/>
  <c r="BF3432" i="6"/>
  <c r="AP3432" i="6"/>
  <c r="BK3380" i="6"/>
  <c r="BC3380" i="6"/>
  <c r="AU3380" i="6"/>
  <c r="BB3432" i="6"/>
  <c r="BI3380" i="6"/>
  <c r="BA3380" i="6"/>
  <c r="AS3380" i="6"/>
  <c r="BU3440" i="6"/>
  <c r="BQ3440" i="6"/>
  <c r="BM3440" i="6"/>
  <c r="BI3440" i="6"/>
  <c r="BE3440" i="6"/>
  <c r="BA3440" i="6"/>
  <c r="AW3440" i="6"/>
  <c r="BR3388" i="6"/>
  <c r="BN3388" i="6"/>
  <c r="BJ3388" i="6"/>
  <c r="BF3388" i="6"/>
  <c r="BB3388" i="6"/>
  <c r="AX3388" i="6"/>
  <c r="BT3440" i="6"/>
  <c r="BP3440" i="6"/>
  <c r="BL3440" i="6"/>
  <c r="BH3440" i="6"/>
  <c r="BD3440" i="6"/>
  <c r="AZ3440" i="6"/>
  <c r="BS3440" i="6"/>
  <c r="BO3440" i="6"/>
  <c r="BK3440" i="6"/>
  <c r="BG3440" i="6"/>
  <c r="BC3440" i="6"/>
  <c r="AY3440" i="6"/>
  <c r="BT3388" i="6"/>
  <c r="BP3388" i="6"/>
  <c r="BL3388" i="6"/>
  <c r="BH3388" i="6"/>
  <c r="BD3388" i="6"/>
  <c r="AZ3388" i="6"/>
  <c r="BJ3440" i="6"/>
  <c r="BU3388" i="6"/>
  <c r="BM3388" i="6"/>
  <c r="BE3388" i="6"/>
  <c r="AW3388" i="6"/>
  <c r="BF3440" i="6"/>
  <c r="BS3388" i="6"/>
  <c r="BK3388" i="6"/>
  <c r="BC3388" i="6"/>
  <c r="BR3440" i="6"/>
  <c r="BB3440" i="6"/>
  <c r="BQ3388" i="6"/>
  <c r="BI3388" i="6"/>
  <c r="BA3388" i="6"/>
  <c r="Z3340" i="6"/>
  <c r="AV3340" i="6"/>
  <c r="S3348" i="6"/>
  <c r="AA3356" i="6"/>
  <c r="AI3364" i="6"/>
  <c r="AQ3372" i="6"/>
  <c r="AY3380" i="6"/>
  <c r="BG3388" i="6"/>
  <c r="AH3424" i="6"/>
  <c r="AX3432" i="6"/>
  <c r="BN3440" i="6"/>
  <c r="AZ3485" i="6"/>
  <c r="BH3491" i="6"/>
  <c r="Y3500" i="6"/>
  <c r="Y3501" i="6"/>
  <c r="AM2966" i="6"/>
  <c r="AI2966" i="6"/>
  <c r="AE2966" i="6"/>
  <c r="AA2966" i="6"/>
  <c r="W2966" i="6"/>
  <c r="V2839" i="6"/>
  <c r="AP2966" i="6"/>
  <c r="H2839" i="6"/>
  <c r="AA2904" i="6"/>
  <c r="W2904" i="6"/>
  <c r="S2904" i="6"/>
  <c r="O2904" i="6"/>
  <c r="Z2852" i="6"/>
  <c r="V2852" i="6"/>
  <c r="R2852" i="6"/>
  <c r="N2852" i="6"/>
  <c r="P2840" i="6"/>
  <c r="O2852" i="6"/>
  <c r="T2852" i="6"/>
  <c r="Y2852" i="6"/>
  <c r="Q2856" i="6"/>
  <c r="W2856" i="6"/>
  <c r="AB2856" i="6"/>
  <c r="P2904" i="6"/>
  <c r="U2904" i="6"/>
  <c r="Z2904" i="6"/>
  <c r="R2908" i="6"/>
  <c r="X2908" i="6"/>
  <c r="AC2908" i="6"/>
  <c r="D2948" i="6"/>
  <c r="I2948" i="6"/>
  <c r="N2948" i="6"/>
  <c r="T2948" i="6"/>
  <c r="I2952" i="6"/>
  <c r="N2952" i="6"/>
  <c r="T2952" i="6"/>
  <c r="Y2952" i="6"/>
  <c r="N2956" i="6"/>
  <c r="T2956" i="6"/>
  <c r="Y2956" i="6"/>
  <c r="AD2956" i="6"/>
  <c r="T2960" i="6"/>
  <c r="Y2960" i="6"/>
  <c r="AD2960" i="6"/>
  <c r="AJ2960" i="6"/>
  <c r="T2964" i="6"/>
  <c r="Y2964" i="6"/>
  <c r="AD2964" i="6"/>
  <c r="AJ2964" i="6"/>
  <c r="V2966" i="6"/>
  <c r="AB2966" i="6"/>
  <c r="AG2966" i="6"/>
  <c r="AL2966" i="6"/>
  <c r="T3003" i="6"/>
  <c r="U3003" i="6" s="1"/>
  <c r="V3003" i="6" s="1"/>
  <c r="D3006" i="6"/>
  <c r="L3006" i="6"/>
  <c r="T3006" i="6"/>
  <c r="P3015" i="6"/>
  <c r="X3023" i="6"/>
  <c r="I3067" i="6"/>
  <c r="Q3067" i="6"/>
  <c r="Q3075" i="6"/>
  <c r="Y3075" i="6"/>
  <c r="E3115" i="6"/>
  <c r="M3115" i="6"/>
  <c r="U3115" i="6"/>
  <c r="M3119" i="6"/>
  <c r="U3119" i="6"/>
  <c r="M3123" i="6"/>
  <c r="U3123" i="6"/>
  <c r="AC3123" i="6"/>
  <c r="U3127" i="6"/>
  <c r="AC3127" i="6"/>
  <c r="U3131" i="6"/>
  <c r="AC3131" i="6"/>
  <c r="AK3131" i="6"/>
  <c r="F3174" i="6"/>
  <c r="AF3237" i="6"/>
  <c r="AB3237" i="6"/>
  <c r="X3237" i="6"/>
  <c r="T3237" i="6"/>
  <c r="P3237" i="6"/>
  <c r="L3237" i="6"/>
  <c r="AG3185" i="6"/>
  <c r="AC3185" i="6"/>
  <c r="Y3185" i="6"/>
  <c r="U3185" i="6"/>
  <c r="Q3185" i="6"/>
  <c r="M3185" i="6"/>
  <c r="AI3237" i="6"/>
  <c r="AE3237" i="6"/>
  <c r="AA3237" i="6"/>
  <c r="W3237" i="6"/>
  <c r="S3237" i="6"/>
  <c r="O3237" i="6"/>
  <c r="K3237" i="6"/>
  <c r="AF3185" i="6"/>
  <c r="AB3185" i="6"/>
  <c r="X3185" i="6"/>
  <c r="T3185" i="6"/>
  <c r="P3185" i="6"/>
  <c r="L3185" i="6"/>
  <c r="V3174" i="6"/>
  <c r="AV3253" i="6"/>
  <c r="AR3253" i="6"/>
  <c r="AN3253" i="6"/>
  <c r="AJ3253" i="6"/>
  <c r="AF3253" i="6"/>
  <c r="AB3253" i="6"/>
  <c r="AW3201" i="6"/>
  <c r="AS3201" i="6"/>
  <c r="AO3201" i="6"/>
  <c r="AK3201" i="6"/>
  <c r="AG3201" i="6"/>
  <c r="AC3201" i="6"/>
  <c r="AY3253" i="6"/>
  <c r="AU3253" i="6"/>
  <c r="AQ3253" i="6"/>
  <c r="AM3253" i="6"/>
  <c r="AI3253" i="6"/>
  <c r="AE3253" i="6"/>
  <c r="AA3253" i="6"/>
  <c r="AV3201" i="6"/>
  <c r="AR3201" i="6"/>
  <c r="AN3201" i="6"/>
  <c r="AJ3201" i="6"/>
  <c r="AF3201" i="6"/>
  <c r="AB3201" i="6"/>
  <c r="AL3174" i="6"/>
  <c r="BL3269" i="6"/>
  <c r="BH3269" i="6"/>
  <c r="BD3269" i="6"/>
  <c r="AZ3269" i="6"/>
  <c r="AV3269" i="6"/>
  <c r="AR3269" i="6"/>
  <c r="BM3217" i="6"/>
  <c r="BI3217" i="6"/>
  <c r="BE3217" i="6"/>
  <c r="BA3217" i="6"/>
  <c r="AW3217" i="6"/>
  <c r="AS3217" i="6"/>
  <c r="BO3269" i="6"/>
  <c r="BK3269" i="6"/>
  <c r="BG3269" i="6"/>
  <c r="BC3269" i="6"/>
  <c r="AY3269" i="6"/>
  <c r="AU3269" i="6"/>
  <c r="AQ3269" i="6"/>
  <c r="BL3217" i="6"/>
  <c r="BH3217" i="6"/>
  <c r="BD3217" i="6"/>
  <c r="AZ3217" i="6"/>
  <c r="AV3217" i="6"/>
  <c r="AR3217" i="6"/>
  <c r="BN3269" i="6"/>
  <c r="BJ3269" i="6"/>
  <c r="BF3269" i="6"/>
  <c r="BB3269" i="6"/>
  <c r="AX3269" i="6"/>
  <c r="AT3269" i="6"/>
  <c r="J3177" i="6"/>
  <c r="R3177" i="6"/>
  <c r="Z3177" i="6"/>
  <c r="R3185" i="6"/>
  <c r="Z3185" i="6"/>
  <c r="AH3185" i="6"/>
  <c r="R3189" i="6"/>
  <c r="Z3189" i="6"/>
  <c r="AH3189" i="6"/>
  <c r="Z3193" i="6"/>
  <c r="AH3193" i="6"/>
  <c r="AP3193" i="6"/>
  <c r="AH3201" i="6"/>
  <c r="AP3201" i="6"/>
  <c r="AX3201" i="6"/>
  <c r="AH3205" i="6"/>
  <c r="AP3205" i="6"/>
  <c r="AX3205" i="6"/>
  <c r="AP3209" i="6"/>
  <c r="AX3209" i="6"/>
  <c r="BF3209" i="6"/>
  <c r="AX3217" i="6"/>
  <c r="BF3217" i="6"/>
  <c r="BN3217" i="6"/>
  <c r="AX3221" i="6"/>
  <c r="BF3221" i="6"/>
  <c r="BN3221" i="6"/>
  <c r="BF3225" i="6"/>
  <c r="BN3225" i="6"/>
  <c r="BV3225" i="6"/>
  <c r="I3229" i="6"/>
  <c r="Q3229" i="6"/>
  <c r="Y3229" i="6"/>
  <c r="Q3237" i="6"/>
  <c r="Y3237" i="6"/>
  <c r="AG3237" i="6"/>
  <c r="Q3241" i="6"/>
  <c r="Y3241" i="6"/>
  <c r="AG3241" i="6"/>
  <c r="Y3245" i="6"/>
  <c r="AG3245" i="6"/>
  <c r="AO3245" i="6"/>
  <c r="AG3253" i="6"/>
  <c r="AO3253" i="6"/>
  <c r="AW3253" i="6"/>
  <c r="AG3257" i="6"/>
  <c r="AO3257" i="6"/>
  <c r="AW3257" i="6"/>
  <c r="AO3261" i="6"/>
  <c r="AW3261" i="6"/>
  <c r="BE3261" i="6"/>
  <c r="BE3269" i="6"/>
  <c r="BE3273" i="6"/>
  <c r="BK3277" i="6"/>
  <c r="F3285" i="6"/>
  <c r="K3289" i="6"/>
  <c r="Q3293" i="6"/>
  <c r="AA3297" i="6"/>
  <c r="AG3301" i="6"/>
  <c r="AG3305" i="6"/>
  <c r="AO3309" i="6"/>
  <c r="AO3313" i="6"/>
  <c r="AW3317" i="6"/>
  <c r="AW3321" i="6"/>
  <c r="BE3325" i="6"/>
  <c r="BE3329" i="6"/>
  <c r="AA3348" i="6"/>
  <c r="AI3356" i="6"/>
  <c r="AQ3364" i="6"/>
  <c r="AY3372" i="6"/>
  <c r="BG3380" i="6"/>
  <c r="BO3388" i="6"/>
  <c r="R3408" i="6"/>
  <c r="AH3416" i="6"/>
  <c r="AX3424" i="6"/>
  <c r="AJ3469" i="6"/>
  <c r="AR3475" i="6"/>
  <c r="T71" i="9"/>
  <c r="T72" i="9"/>
  <c r="U2838" i="6"/>
  <c r="S218" i="10"/>
  <c r="S225" i="10" s="1"/>
  <c r="O218" i="10"/>
  <c r="O225" i="10" s="1"/>
  <c r="R218" i="10"/>
  <c r="R225" i="10" s="1"/>
  <c r="N218" i="10"/>
  <c r="N225" i="10" s="1"/>
  <c r="Q218" i="10"/>
  <c r="Q225" i="10" s="1"/>
  <c r="M218" i="10"/>
  <c r="M225" i="10" s="1"/>
  <c r="P218" i="10"/>
  <c r="P225" i="10" s="1"/>
  <c r="L218" i="10"/>
  <c r="L225" i="10" s="1"/>
  <c r="Z57" i="13"/>
  <c r="X59" i="13"/>
  <c r="Z73" i="13"/>
  <c r="X75" i="13"/>
  <c r="W57" i="14"/>
  <c r="X60" i="14"/>
  <c r="X124" i="14"/>
  <c r="X169" i="14"/>
  <c r="Y183" i="14"/>
  <c r="X201" i="14"/>
  <c r="AO3500" i="6"/>
  <c r="AO3501" i="6"/>
  <c r="J16" i="9"/>
  <c r="J18" i="9"/>
  <c r="E14" i="9"/>
  <c r="E15" i="9" s="1"/>
  <c r="V60" i="9"/>
  <c r="AE103" i="9"/>
  <c r="T36" i="11"/>
  <c r="U3171" i="6"/>
  <c r="AG22" i="13"/>
  <c r="AH21" i="13"/>
  <c r="Y64" i="13"/>
  <c r="Y119" i="13"/>
  <c r="X92" i="14"/>
  <c r="C45" i="8"/>
  <c r="D43" i="8"/>
  <c r="P15" i="9"/>
  <c r="P14" i="9"/>
  <c r="F14" i="9"/>
  <c r="F15" i="9"/>
  <c r="V92" i="9"/>
  <c r="V66" i="9"/>
  <c r="V64" i="9"/>
  <c r="V61" i="9"/>
  <c r="W3005" i="6" s="1"/>
  <c r="V58" i="9"/>
  <c r="V16" i="9"/>
  <c r="V8" i="9"/>
  <c r="W2670" i="6" s="1"/>
  <c r="V3" i="9"/>
  <c r="V69" i="9"/>
  <c r="W93" i="9"/>
  <c r="V74" i="9"/>
  <c r="V68" i="9"/>
  <c r="W2837" i="6" s="1"/>
  <c r="V65" i="9"/>
  <c r="V63" i="9"/>
  <c r="V57" i="9"/>
  <c r="W3002" i="6" s="1"/>
  <c r="V4" i="9"/>
  <c r="O217" i="10"/>
  <c r="O224" i="10" s="1"/>
  <c r="K217" i="10"/>
  <c r="K224" i="10" s="1"/>
  <c r="R217" i="10"/>
  <c r="R224" i="10" s="1"/>
  <c r="N217" i="10"/>
  <c r="N224" i="10" s="1"/>
  <c r="Q217" i="10"/>
  <c r="Q224" i="10" s="1"/>
  <c r="M217" i="10"/>
  <c r="M224" i="10" s="1"/>
  <c r="L217" i="10"/>
  <c r="L224" i="10" s="1"/>
  <c r="AW16" i="14"/>
  <c r="AS16" i="14"/>
  <c r="AO16" i="14"/>
  <c r="AK16" i="14"/>
  <c r="AG16" i="14"/>
  <c r="AC16" i="14"/>
  <c r="Y16" i="14"/>
  <c r="AV16" i="14"/>
  <c r="AF16" i="14"/>
  <c r="AR16" i="14"/>
  <c r="AB16" i="14"/>
  <c r="AN16" i="14"/>
  <c r="X16" i="14"/>
  <c r="AJ16" i="14"/>
  <c r="X137" i="14"/>
  <c r="Y151" i="14"/>
  <c r="S3281" i="6"/>
  <c r="W3449" i="6"/>
  <c r="S3449" i="6"/>
  <c r="O3449" i="6"/>
  <c r="K3449" i="6"/>
  <c r="G3449" i="6"/>
  <c r="F3339" i="6"/>
  <c r="Z3449" i="6"/>
  <c r="V3449" i="6"/>
  <c r="R3449" i="6"/>
  <c r="N3449" i="6"/>
  <c r="J3449" i="6"/>
  <c r="F3449" i="6"/>
  <c r="Y3449" i="6"/>
  <c r="U3449" i="6"/>
  <c r="Q3449" i="6"/>
  <c r="M3449" i="6"/>
  <c r="I3449" i="6"/>
  <c r="AA3453" i="6"/>
  <c r="W3453" i="6"/>
  <c r="S3453" i="6"/>
  <c r="O3453" i="6"/>
  <c r="K3453" i="6"/>
  <c r="J3339" i="6"/>
  <c r="AD3453" i="6"/>
  <c r="Z3453" i="6"/>
  <c r="V3453" i="6"/>
  <c r="R3453" i="6"/>
  <c r="N3453" i="6"/>
  <c r="J3453" i="6"/>
  <c r="AC3453" i="6"/>
  <c r="Y3453" i="6"/>
  <c r="U3453" i="6"/>
  <c r="Q3453" i="6"/>
  <c r="M3453" i="6"/>
  <c r="AE3457" i="6"/>
  <c r="AA3457" i="6"/>
  <c r="W3457" i="6"/>
  <c r="S3457" i="6"/>
  <c r="O3457" i="6"/>
  <c r="N3339" i="6"/>
  <c r="AH3457" i="6"/>
  <c r="AD3457" i="6"/>
  <c r="Z3457" i="6"/>
  <c r="V3457" i="6"/>
  <c r="R3457" i="6"/>
  <c r="N3457" i="6"/>
  <c r="AG3457" i="6"/>
  <c r="AC3457" i="6"/>
  <c r="Y3457" i="6"/>
  <c r="U3457" i="6"/>
  <c r="Q3457" i="6"/>
  <c r="AI3461" i="6"/>
  <c r="AE3461" i="6"/>
  <c r="AA3461" i="6"/>
  <c r="W3461" i="6"/>
  <c r="S3461" i="6"/>
  <c r="R3339" i="6"/>
  <c r="AL3461" i="6"/>
  <c r="AH3461" i="6"/>
  <c r="AD3461" i="6"/>
  <c r="Z3461" i="6"/>
  <c r="V3461" i="6"/>
  <c r="R3461" i="6"/>
  <c r="AK3461" i="6"/>
  <c r="AG3461" i="6"/>
  <c r="AC3461" i="6"/>
  <c r="Y3461" i="6"/>
  <c r="U3461" i="6"/>
  <c r="AM3465" i="6"/>
  <c r="AI3465" i="6"/>
  <c r="AE3465" i="6"/>
  <c r="AA3465" i="6"/>
  <c r="W3465" i="6"/>
  <c r="V3339" i="6"/>
  <c r="AP3465" i="6"/>
  <c r="AL3465" i="6"/>
  <c r="AH3465" i="6"/>
  <c r="AD3465" i="6"/>
  <c r="Z3465" i="6"/>
  <c r="V3465" i="6"/>
  <c r="AO3465" i="6"/>
  <c r="AK3465" i="6"/>
  <c r="AG3465" i="6"/>
  <c r="AC3465" i="6"/>
  <c r="Y3465" i="6"/>
  <c r="AU3471" i="6"/>
  <c r="AQ3471" i="6"/>
  <c r="AM3471" i="6"/>
  <c r="AI3471" i="6"/>
  <c r="AE3471" i="6"/>
  <c r="AT3471" i="6"/>
  <c r="AP3471" i="6"/>
  <c r="AL3471" i="6"/>
  <c r="AH3471" i="6"/>
  <c r="AD3471" i="6"/>
  <c r="AS3471" i="6"/>
  <c r="AO3471" i="6"/>
  <c r="AK3471" i="6"/>
  <c r="AG3471" i="6"/>
  <c r="AC3471" i="6"/>
  <c r="AB3339" i="6"/>
  <c r="BC3481" i="6"/>
  <c r="AY3481" i="6"/>
  <c r="AU3481" i="6"/>
  <c r="AQ3481" i="6"/>
  <c r="AM3481" i="6"/>
  <c r="AL3339" i="6"/>
  <c r="BF3481" i="6"/>
  <c r="BB3481" i="6"/>
  <c r="AX3481" i="6"/>
  <c r="AT3481" i="6"/>
  <c r="AP3481" i="6"/>
  <c r="AL3481" i="6"/>
  <c r="BE3481" i="6"/>
  <c r="BA3481" i="6"/>
  <c r="AW3481" i="6"/>
  <c r="AS3481" i="6"/>
  <c r="AO3481" i="6"/>
  <c r="BK3487" i="6"/>
  <c r="BG3487" i="6"/>
  <c r="BC3487" i="6"/>
  <c r="AY3487" i="6"/>
  <c r="AU3487" i="6"/>
  <c r="BJ3487" i="6"/>
  <c r="BF3487" i="6"/>
  <c r="BB3487" i="6"/>
  <c r="AX3487" i="6"/>
  <c r="AT3487" i="6"/>
  <c r="BI3487" i="6"/>
  <c r="BE3487" i="6"/>
  <c r="BA3487" i="6"/>
  <c r="AW3487" i="6"/>
  <c r="AS3487" i="6"/>
  <c r="AR3339" i="6"/>
  <c r="Y3394" i="6"/>
  <c r="U3394" i="6"/>
  <c r="Q3394" i="6"/>
  <c r="M3394" i="6"/>
  <c r="I3394" i="6"/>
  <c r="E3394" i="6"/>
  <c r="Z3342" i="6"/>
  <c r="V3342" i="6"/>
  <c r="R3342" i="6"/>
  <c r="N3342" i="6"/>
  <c r="J3342" i="6"/>
  <c r="F3342" i="6"/>
  <c r="X3394" i="6"/>
  <c r="T3394" i="6"/>
  <c r="P3394" i="6"/>
  <c r="L3394" i="6"/>
  <c r="H3394" i="6"/>
  <c r="D3394" i="6"/>
  <c r="AA3394" i="6"/>
  <c r="W3394" i="6"/>
  <c r="S3394" i="6"/>
  <c r="O3394" i="6"/>
  <c r="K3394" i="6"/>
  <c r="G3394" i="6"/>
  <c r="C3394" i="6"/>
  <c r="C3393" i="6" s="1" a="1"/>
  <c r="C3393" i="6" s="1"/>
  <c r="X3342" i="6"/>
  <c r="T3342" i="6"/>
  <c r="P3342" i="6"/>
  <c r="L3342" i="6"/>
  <c r="H3342" i="6"/>
  <c r="D3342" i="6"/>
  <c r="AG3402" i="6"/>
  <c r="AC3402" i="6"/>
  <c r="Y3402" i="6"/>
  <c r="U3402" i="6"/>
  <c r="Q3402" i="6"/>
  <c r="M3402" i="6"/>
  <c r="AH3350" i="6"/>
  <c r="AD3350" i="6"/>
  <c r="Z3350" i="6"/>
  <c r="V3350" i="6"/>
  <c r="R3350" i="6"/>
  <c r="N3350" i="6"/>
  <c r="AF3402" i="6"/>
  <c r="AB3402" i="6"/>
  <c r="X3402" i="6"/>
  <c r="T3402" i="6"/>
  <c r="P3402" i="6"/>
  <c r="L3402" i="6"/>
  <c r="AI3402" i="6"/>
  <c r="AE3402" i="6"/>
  <c r="AA3402" i="6"/>
  <c r="W3402" i="6"/>
  <c r="S3402" i="6"/>
  <c r="O3402" i="6"/>
  <c r="K3402" i="6"/>
  <c r="AF3350" i="6"/>
  <c r="AB3350" i="6"/>
  <c r="X3350" i="6"/>
  <c r="T3350" i="6"/>
  <c r="P3350" i="6"/>
  <c r="L3350" i="6"/>
  <c r="AO3410" i="6"/>
  <c r="AK3410" i="6"/>
  <c r="AG3410" i="6"/>
  <c r="AC3410" i="6"/>
  <c r="Y3410" i="6"/>
  <c r="U3410" i="6"/>
  <c r="AP3358" i="6"/>
  <c r="AL3358" i="6"/>
  <c r="AH3358" i="6"/>
  <c r="AD3358" i="6"/>
  <c r="Z3358" i="6"/>
  <c r="V3358" i="6"/>
  <c r="AN3410" i="6"/>
  <c r="AJ3410" i="6"/>
  <c r="AF3410" i="6"/>
  <c r="AB3410" i="6"/>
  <c r="X3410" i="6"/>
  <c r="T3410" i="6"/>
  <c r="AQ3410" i="6"/>
  <c r="AM3410" i="6"/>
  <c r="AI3410" i="6"/>
  <c r="AE3410" i="6"/>
  <c r="AA3410" i="6"/>
  <c r="W3410" i="6"/>
  <c r="S3410" i="6"/>
  <c r="AN3358" i="6"/>
  <c r="AJ3358" i="6"/>
  <c r="AF3358" i="6"/>
  <c r="AB3358" i="6"/>
  <c r="X3358" i="6"/>
  <c r="T3358" i="6"/>
  <c r="AW3418" i="6"/>
  <c r="AS3418" i="6"/>
  <c r="AO3418" i="6"/>
  <c r="AK3418" i="6"/>
  <c r="AG3418" i="6"/>
  <c r="AC3418" i="6"/>
  <c r="AX3366" i="6"/>
  <c r="AT3366" i="6"/>
  <c r="AP3366" i="6"/>
  <c r="AL3366" i="6"/>
  <c r="AH3366" i="6"/>
  <c r="AD3366" i="6"/>
  <c r="AV3418" i="6"/>
  <c r="AR3418" i="6"/>
  <c r="AN3418" i="6"/>
  <c r="AJ3418" i="6"/>
  <c r="AF3418" i="6"/>
  <c r="AB3418" i="6"/>
  <c r="AY3418" i="6"/>
  <c r="AU3418" i="6"/>
  <c r="AQ3418" i="6"/>
  <c r="AM3418" i="6"/>
  <c r="AI3418" i="6"/>
  <c r="AE3418" i="6"/>
  <c r="AA3418" i="6"/>
  <c r="AV3366" i="6"/>
  <c r="AR3366" i="6"/>
  <c r="AN3366" i="6"/>
  <c r="AJ3366" i="6"/>
  <c r="AF3366" i="6"/>
  <c r="AB3366" i="6"/>
  <c r="BE3426" i="6"/>
  <c r="BA3426" i="6"/>
  <c r="AW3426" i="6"/>
  <c r="AS3426" i="6"/>
  <c r="AO3426" i="6"/>
  <c r="AK3426" i="6"/>
  <c r="BF3374" i="6"/>
  <c r="BB3374" i="6"/>
  <c r="AX3374" i="6"/>
  <c r="AT3374" i="6"/>
  <c r="AP3374" i="6"/>
  <c r="AL3374" i="6"/>
  <c r="BD3426" i="6"/>
  <c r="AZ3426" i="6"/>
  <c r="AV3426" i="6"/>
  <c r="AR3426" i="6"/>
  <c r="AN3426" i="6"/>
  <c r="AJ3426" i="6"/>
  <c r="BG3426" i="6"/>
  <c r="BC3426" i="6"/>
  <c r="AY3426" i="6"/>
  <c r="AU3426" i="6"/>
  <c r="AQ3426" i="6"/>
  <c r="AM3426" i="6"/>
  <c r="AI3426" i="6"/>
  <c r="BD3374" i="6"/>
  <c r="AZ3374" i="6"/>
  <c r="AV3374" i="6"/>
  <c r="AR3374" i="6"/>
  <c r="AN3374" i="6"/>
  <c r="AJ3374" i="6"/>
  <c r="BM3434" i="6"/>
  <c r="BI3434" i="6"/>
  <c r="BE3434" i="6"/>
  <c r="BA3434" i="6"/>
  <c r="AW3434" i="6"/>
  <c r="AS3434" i="6"/>
  <c r="BN3382" i="6"/>
  <c r="BJ3382" i="6"/>
  <c r="BF3382" i="6"/>
  <c r="BB3382" i="6"/>
  <c r="AX3382" i="6"/>
  <c r="AT3382" i="6"/>
  <c r="BL3434" i="6"/>
  <c r="BH3434" i="6"/>
  <c r="BD3434" i="6"/>
  <c r="AZ3434" i="6"/>
  <c r="AV3434" i="6"/>
  <c r="AR3434" i="6"/>
  <c r="BO3434" i="6"/>
  <c r="BK3434" i="6"/>
  <c r="BG3434" i="6"/>
  <c r="BC3434" i="6"/>
  <c r="AY3434" i="6"/>
  <c r="AU3434" i="6"/>
  <c r="AQ3434" i="6"/>
  <c r="BL3382" i="6"/>
  <c r="BH3382" i="6"/>
  <c r="BD3382" i="6"/>
  <c r="AZ3382" i="6"/>
  <c r="AV3382" i="6"/>
  <c r="AR3382" i="6"/>
  <c r="BU3442" i="6"/>
  <c r="BQ3442" i="6"/>
  <c r="BM3442" i="6"/>
  <c r="BI3442" i="6"/>
  <c r="BE3442" i="6"/>
  <c r="BA3442" i="6"/>
  <c r="BV3390" i="6"/>
  <c r="BR3390" i="6"/>
  <c r="BN3390" i="6"/>
  <c r="BJ3390" i="6"/>
  <c r="BF3390" i="6"/>
  <c r="BB3390" i="6"/>
  <c r="BT3442" i="6"/>
  <c r="BP3442" i="6"/>
  <c r="BL3442" i="6"/>
  <c r="BH3442" i="6"/>
  <c r="BD3442" i="6"/>
  <c r="AZ3442" i="6"/>
  <c r="BW3442" i="6"/>
  <c r="BS3442" i="6"/>
  <c r="BO3442" i="6"/>
  <c r="BK3442" i="6"/>
  <c r="BG3442" i="6"/>
  <c r="BC3442" i="6"/>
  <c r="AY3442" i="6"/>
  <c r="BT3390" i="6"/>
  <c r="BP3390" i="6"/>
  <c r="BL3390" i="6"/>
  <c r="BH3390" i="6"/>
  <c r="BD3390" i="6"/>
  <c r="AZ3390" i="6"/>
  <c r="F3340" i="6"/>
  <c r="V3340" i="6"/>
  <c r="AB3340" i="6"/>
  <c r="AL3340" i="6"/>
  <c r="AR3340" i="6"/>
  <c r="E3342" i="6"/>
  <c r="M3342" i="6"/>
  <c r="U3342" i="6"/>
  <c r="M3350" i="6"/>
  <c r="U3350" i="6"/>
  <c r="AC3350" i="6"/>
  <c r="U3358" i="6"/>
  <c r="AC3358" i="6"/>
  <c r="AK3358" i="6"/>
  <c r="AC3366" i="6"/>
  <c r="AK3366" i="6"/>
  <c r="AS3366" i="6"/>
  <c r="AK3374" i="6"/>
  <c r="AS3374" i="6"/>
  <c r="BA3374" i="6"/>
  <c r="AS3382" i="6"/>
  <c r="BA3382" i="6"/>
  <c r="BI3382" i="6"/>
  <c r="BA3390" i="6"/>
  <c r="BI3390" i="6"/>
  <c r="BQ3390" i="6"/>
  <c r="F3394" i="6"/>
  <c r="V3394" i="6"/>
  <c r="V3402" i="6"/>
  <c r="V3410" i="6"/>
  <c r="AL3410" i="6"/>
  <c r="AL3418" i="6"/>
  <c r="AL3426" i="6"/>
  <c r="BB3426" i="6"/>
  <c r="BB3434" i="6"/>
  <c r="BB3442" i="6"/>
  <c r="BR3442" i="6"/>
  <c r="H3449" i="6"/>
  <c r="X3449" i="6"/>
  <c r="X3453" i="6"/>
  <c r="X3457" i="6"/>
  <c r="X3461" i="6"/>
  <c r="X3465" i="6"/>
  <c r="AN3465" i="6"/>
  <c r="AF3471" i="6"/>
  <c r="AV3471" i="6"/>
  <c r="AN3481" i="6"/>
  <c r="BD3481" i="6"/>
  <c r="AV3487" i="6"/>
  <c r="BL3487" i="6"/>
  <c r="I3500" i="6"/>
  <c r="M3500" i="6"/>
  <c r="Q3500" i="6"/>
  <c r="U3500" i="6"/>
  <c r="AK3500" i="6"/>
  <c r="BA3500" i="6"/>
  <c r="U3501" i="6"/>
  <c r="AK3501" i="6"/>
  <c r="BA3501" i="6"/>
  <c r="D36" i="23"/>
  <c r="D29" i="22"/>
  <c r="D29" i="21"/>
  <c r="D29" i="20"/>
  <c r="D29" i="19"/>
  <c r="D29" i="18"/>
  <c r="D39" i="16"/>
  <c r="D31" i="15"/>
  <c r="D34" i="17"/>
  <c r="D46" i="14"/>
  <c r="D38" i="13"/>
  <c r="D4" i="7"/>
  <c r="H36" i="23"/>
  <c r="H29" i="22"/>
  <c r="H29" i="21"/>
  <c r="H29" i="19"/>
  <c r="H29" i="20"/>
  <c r="H29" i="18"/>
  <c r="H39" i="16"/>
  <c r="H31" i="15"/>
  <c r="H34" i="17"/>
  <c r="H38" i="13"/>
  <c r="H4" i="7"/>
  <c r="H46" i="14"/>
  <c r="L36" i="23"/>
  <c r="L29" i="22"/>
  <c r="L29" i="20"/>
  <c r="L29" i="19"/>
  <c r="L29" i="18"/>
  <c r="L29" i="21"/>
  <c r="L39" i="16"/>
  <c r="L31" i="15"/>
  <c r="L46" i="14"/>
  <c r="L34" i="17"/>
  <c r="L38" i="13"/>
  <c r="L4" i="7"/>
  <c r="P36" i="23"/>
  <c r="P29" i="22"/>
  <c r="P29" i="21"/>
  <c r="P29" i="19"/>
  <c r="P29" i="20"/>
  <c r="P29" i="18"/>
  <c r="P39" i="16"/>
  <c r="P31" i="15"/>
  <c r="P34" i="17"/>
  <c r="P46" i="14"/>
  <c r="P38" i="13"/>
  <c r="P4" i="7"/>
  <c r="D37" i="23"/>
  <c r="D30" i="22"/>
  <c r="E2229" i="6" s="1"/>
  <c r="D30" i="21"/>
  <c r="E2008" i="6" s="1"/>
  <c r="D30" i="20"/>
  <c r="E1783" i="6" s="1"/>
  <c r="D30" i="19"/>
  <c r="E1558" i="6" s="1"/>
  <c r="D35" i="17"/>
  <c r="E1108" i="6" s="1"/>
  <c r="D30" i="18"/>
  <c r="E1333" i="6" s="1"/>
  <c r="D40" i="16"/>
  <c r="E881" i="6" s="1"/>
  <c r="D32" i="15"/>
  <c r="E656" i="6" s="1"/>
  <c r="D47" i="14"/>
  <c r="E419" i="6" s="1"/>
  <c r="D39" i="13"/>
  <c r="E12" i="6" s="1"/>
  <c r="H37" i="23"/>
  <c r="H30" i="22"/>
  <c r="I2229" i="6" s="1"/>
  <c r="H30" i="21"/>
  <c r="I2008" i="6" s="1"/>
  <c r="H30" i="20"/>
  <c r="I1783" i="6" s="1"/>
  <c r="H30" i="19"/>
  <c r="I1558" i="6" s="1"/>
  <c r="H35" i="17"/>
  <c r="I1108" i="6" s="1"/>
  <c r="H30" i="18"/>
  <c r="I1333" i="6" s="1"/>
  <c r="H40" i="16"/>
  <c r="I881" i="6" s="1"/>
  <c r="H32" i="15"/>
  <c r="I656" i="6" s="1"/>
  <c r="H47" i="14"/>
  <c r="I419" i="6" s="1"/>
  <c r="H39" i="13"/>
  <c r="I12" i="6" s="1"/>
  <c r="L37" i="23"/>
  <c r="L30" i="22"/>
  <c r="M2229" i="6" s="1"/>
  <c r="L30" i="21"/>
  <c r="M2008" i="6" s="1"/>
  <c r="L30" i="20"/>
  <c r="M1783" i="6" s="1"/>
  <c r="L30" i="19"/>
  <c r="M1558" i="6" s="1"/>
  <c r="L35" i="17"/>
  <c r="M1108" i="6" s="1"/>
  <c r="L30" i="18"/>
  <c r="M1333" i="6" s="1"/>
  <c r="L40" i="16"/>
  <c r="M881" i="6" s="1"/>
  <c r="L32" i="15"/>
  <c r="M656" i="6" s="1"/>
  <c r="L47" i="14"/>
  <c r="M419" i="6" s="1"/>
  <c r="L39" i="13"/>
  <c r="M12" i="6" s="1"/>
  <c r="P37" i="23"/>
  <c r="P30" i="21"/>
  <c r="Q2008" i="6" s="1"/>
  <c r="P30" i="22"/>
  <c r="Q2229" i="6" s="1"/>
  <c r="P30" i="20"/>
  <c r="Q1783" i="6" s="1"/>
  <c r="P30" i="19"/>
  <c r="Q1558" i="6" s="1"/>
  <c r="P35" i="17"/>
  <c r="Q1108" i="6" s="1"/>
  <c r="P30" i="18"/>
  <c r="Q1333" i="6" s="1"/>
  <c r="P40" i="16"/>
  <c r="Q881" i="6" s="1"/>
  <c r="P32" i="15"/>
  <c r="Q656" i="6" s="1"/>
  <c r="P47" i="14"/>
  <c r="Q419" i="6" s="1"/>
  <c r="P39" i="13"/>
  <c r="Q12" i="6" s="1"/>
  <c r="M4" i="7"/>
  <c r="U38" i="23"/>
  <c r="U31" i="22"/>
  <c r="U31" i="21"/>
  <c r="U31" i="20"/>
  <c r="U31" i="19"/>
  <c r="U36" i="17"/>
  <c r="U31" i="18"/>
  <c r="U41" i="16"/>
  <c r="U33" i="15"/>
  <c r="U48" i="14"/>
  <c r="U40" i="13"/>
  <c r="T6" i="7"/>
  <c r="H5" i="7"/>
  <c r="J43" i="8"/>
  <c r="I45" i="8"/>
  <c r="V6" i="9"/>
  <c r="N16" i="9"/>
  <c r="N18" i="9"/>
  <c r="F73" i="9"/>
  <c r="F71" i="9"/>
  <c r="D188" i="10"/>
  <c r="D3337" i="6" s="1"/>
  <c r="E30" i="5" s="1"/>
  <c r="T62" i="12"/>
  <c r="Z53" i="13"/>
  <c r="X55" i="13"/>
  <c r="Y60" i="13"/>
  <c r="Z69" i="13"/>
  <c r="X71" i="13"/>
  <c r="Y76" i="13"/>
  <c r="X93" i="13"/>
  <c r="Y99" i="13"/>
  <c r="X101" i="13"/>
  <c r="W31" i="14"/>
  <c r="X31" i="14" s="1"/>
  <c r="V33" i="14"/>
  <c r="U33" i="14"/>
  <c r="X145" i="14"/>
  <c r="Y159" i="14"/>
  <c r="X177" i="14"/>
  <c r="Y191" i="14"/>
  <c r="F3006" i="6"/>
  <c r="J3006" i="6"/>
  <c r="N3006" i="6"/>
  <c r="R3006" i="6"/>
  <c r="G3116" i="6"/>
  <c r="K3116" i="6"/>
  <c r="O3116" i="6"/>
  <c r="S3116" i="6"/>
  <c r="W3116" i="6"/>
  <c r="G3117" i="6"/>
  <c r="K3117" i="6"/>
  <c r="O3117" i="6"/>
  <c r="S3117" i="6"/>
  <c r="W3117" i="6"/>
  <c r="K3120" i="6"/>
  <c r="O3120" i="6"/>
  <c r="S3120" i="6"/>
  <c r="W3120" i="6"/>
  <c r="AA3120" i="6"/>
  <c r="K3121" i="6"/>
  <c r="O3121" i="6"/>
  <c r="S3121" i="6"/>
  <c r="W3121" i="6"/>
  <c r="AA3121" i="6"/>
  <c r="O3124" i="6"/>
  <c r="S3124" i="6"/>
  <c r="W3124" i="6"/>
  <c r="AA3124" i="6"/>
  <c r="AE3124" i="6"/>
  <c r="O3125" i="6"/>
  <c r="S3125" i="6"/>
  <c r="W3125" i="6"/>
  <c r="AA3125" i="6"/>
  <c r="AE3125" i="6"/>
  <c r="S3128" i="6"/>
  <c r="W3128" i="6"/>
  <c r="AA3128" i="6"/>
  <c r="AE3128" i="6"/>
  <c r="AI3128" i="6"/>
  <c r="S3129" i="6"/>
  <c r="W3129" i="6"/>
  <c r="AA3129" i="6"/>
  <c r="AE3129" i="6"/>
  <c r="AI3129" i="6"/>
  <c r="W3132" i="6"/>
  <c r="AA3132" i="6"/>
  <c r="AE3132" i="6"/>
  <c r="AI3132" i="6"/>
  <c r="AM3132" i="6"/>
  <c r="T3282" i="6"/>
  <c r="P3282" i="6"/>
  <c r="L3282" i="6"/>
  <c r="H3282" i="6"/>
  <c r="D3282" i="6"/>
  <c r="AE3280" i="6"/>
  <c r="AA3280" i="6"/>
  <c r="W3280" i="6"/>
  <c r="S3280" i="6"/>
  <c r="O3280" i="6"/>
  <c r="K3280" i="6"/>
  <c r="G3280" i="6"/>
  <c r="C3280" i="6"/>
  <c r="X3286" i="6"/>
  <c r="T3286" i="6"/>
  <c r="P3286" i="6"/>
  <c r="L3286" i="6"/>
  <c r="H3286" i="6"/>
  <c r="AB3290" i="6"/>
  <c r="X3290" i="6"/>
  <c r="T3290" i="6"/>
  <c r="P3290" i="6"/>
  <c r="L3290" i="6"/>
  <c r="AF3294" i="6"/>
  <c r="AB3294" i="6"/>
  <c r="X3294" i="6"/>
  <c r="T3294" i="6"/>
  <c r="P3294" i="6"/>
  <c r="AJ3298" i="6"/>
  <c r="AF3298" i="6"/>
  <c r="AB3298" i="6"/>
  <c r="X3298" i="6"/>
  <c r="T3298" i="6"/>
  <c r="AN3302" i="6"/>
  <c r="AJ3302" i="6"/>
  <c r="AF3302" i="6"/>
  <c r="AB3302" i="6"/>
  <c r="X3302" i="6"/>
  <c r="AP3302" i="6"/>
  <c r="AL3302" i="6"/>
  <c r="AH3302" i="6"/>
  <c r="AD3302" i="6"/>
  <c r="Z3302" i="6"/>
  <c r="AR3306" i="6"/>
  <c r="AN3306" i="6"/>
  <c r="AJ3306" i="6"/>
  <c r="AF3306" i="6"/>
  <c r="AB3306" i="6"/>
  <c r="AT3306" i="6"/>
  <c r="AP3306" i="6"/>
  <c r="AL3306" i="6"/>
  <c r="AH3306" i="6"/>
  <c r="AD3306" i="6"/>
  <c r="AV3310" i="6"/>
  <c r="AR3310" i="6"/>
  <c r="AN3310" i="6"/>
  <c r="AJ3310" i="6"/>
  <c r="AF3310" i="6"/>
  <c r="AX3310" i="6"/>
  <c r="AT3310" i="6"/>
  <c r="AP3310" i="6"/>
  <c r="AL3310" i="6"/>
  <c r="AH3310" i="6"/>
  <c r="AZ3314" i="6"/>
  <c r="AV3314" i="6"/>
  <c r="AR3314" i="6"/>
  <c r="AN3314" i="6"/>
  <c r="AJ3314" i="6"/>
  <c r="BB3314" i="6"/>
  <c r="AX3314" i="6"/>
  <c r="AT3314" i="6"/>
  <c r="AP3314" i="6"/>
  <c r="AL3314" i="6"/>
  <c r="BD3318" i="6"/>
  <c r="AZ3318" i="6"/>
  <c r="AV3318" i="6"/>
  <c r="AR3318" i="6"/>
  <c r="AN3318" i="6"/>
  <c r="BF3318" i="6"/>
  <c r="BB3318" i="6"/>
  <c r="AX3318" i="6"/>
  <c r="AT3318" i="6"/>
  <c r="AP3318" i="6"/>
  <c r="BH3322" i="6"/>
  <c r="BD3322" i="6"/>
  <c r="AZ3322" i="6"/>
  <c r="AV3322" i="6"/>
  <c r="AR3322" i="6"/>
  <c r="BJ3322" i="6"/>
  <c r="BF3322" i="6"/>
  <c r="BB3322" i="6"/>
  <c r="AX3322" i="6"/>
  <c r="AT3322" i="6"/>
  <c r="BL3326" i="6"/>
  <c r="BH3326" i="6"/>
  <c r="BD3326" i="6"/>
  <c r="AZ3326" i="6"/>
  <c r="AV3326" i="6"/>
  <c r="BN3326" i="6"/>
  <c r="BJ3326" i="6"/>
  <c r="BF3326" i="6"/>
  <c r="BB3326" i="6"/>
  <c r="AX3326" i="6"/>
  <c r="BP3330" i="6"/>
  <c r="BL3330" i="6"/>
  <c r="BH3330" i="6"/>
  <c r="BD3330" i="6"/>
  <c r="AZ3330" i="6"/>
  <c r="BR3330" i="6"/>
  <c r="BN3330" i="6"/>
  <c r="BJ3330" i="6"/>
  <c r="BF3330" i="6"/>
  <c r="BB3330" i="6"/>
  <c r="BR3274" i="6"/>
  <c r="BN3274" i="6"/>
  <c r="BJ3274" i="6"/>
  <c r="BF3274" i="6"/>
  <c r="BB3274" i="6"/>
  <c r="AX3274" i="6"/>
  <c r="BV3278" i="6"/>
  <c r="BR3278" i="6"/>
  <c r="BN3278" i="6"/>
  <c r="BJ3278" i="6"/>
  <c r="BF3278" i="6"/>
  <c r="BB3278" i="6"/>
  <c r="D3178" i="6"/>
  <c r="H3178" i="6"/>
  <c r="L3178" i="6"/>
  <c r="P3178" i="6"/>
  <c r="T3178" i="6"/>
  <c r="X3178" i="6"/>
  <c r="AB3178" i="6"/>
  <c r="H3182" i="6"/>
  <c r="L3182" i="6"/>
  <c r="P3182" i="6"/>
  <c r="T3182" i="6"/>
  <c r="X3182" i="6"/>
  <c r="AB3182" i="6"/>
  <c r="AF3182" i="6"/>
  <c r="L3186" i="6"/>
  <c r="P3186" i="6"/>
  <c r="T3186" i="6"/>
  <c r="X3186" i="6"/>
  <c r="AB3186" i="6"/>
  <c r="AF3186" i="6"/>
  <c r="AJ3186" i="6"/>
  <c r="P3190" i="6"/>
  <c r="T3190" i="6"/>
  <c r="X3190" i="6"/>
  <c r="AB3190" i="6"/>
  <c r="AF3190" i="6"/>
  <c r="AJ3190" i="6"/>
  <c r="AN3190" i="6"/>
  <c r="T3194" i="6"/>
  <c r="X3194" i="6"/>
  <c r="AB3194" i="6"/>
  <c r="AF3194" i="6"/>
  <c r="AJ3194" i="6"/>
  <c r="AN3194" i="6"/>
  <c r="AR3194" i="6"/>
  <c r="X3198" i="6"/>
  <c r="AB3198" i="6"/>
  <c r="AF3198" i="6"/>
  <c r="AJ3198" i="6"/>
  <c r="AN3198" i="6"/>
  <c r="AR3198" i="6"/>
  <c r="AV3198" i="6"/>
  <c r="AB3202" i="6"/>
  <c r="AF3202" i="6"/>
  <c r="AJ3202" i="6"/>
  <c r="AN3202" i="6"/>
  <c r="AR3202" i="6"/>
  <c r="AV3202" i="6"/>
  <c r="AZ3202" i="6"/>
  <c r="AF3206" i="6"/>
  <c r="AJ3206" i="6"/>
  <c r="AN3206" i="6"/>
  <c r="AR3206" i="6"/>
  <c r="AV3206" i="6"/>
  <c r="AZ3206" i="6"/>
  <c r="BD3206" i="6"/>
  <c r="AJ3210" i="6"/>
  <c r="AN3210" i="6"/>
  <c r="AR3210" i="6"/>
  <c r="AV3210" i="6"/>
  <c r="AZ3210" i="6"/>
  <c r="BD3210" i="6"/>
  <c r="BH3210" i="6"/>
  <c r="AN3214" i="6"/>
  <c r="AR3214" i="6"/>
  <c r="AV3214" i="6"/>
  <c r="AZ3214" i="6"/>
  <c r="BD3214" i="6"/>
  <c r="BH3214" i="6"/>
  <c r="BL3214" i="6"/>
  <c r="AR3218" i="6"/>
  <c r="AV3218" i="6"/>
  <c r="AZ3218" i="6"/>
  <c r="BD3218" i="6"/>
  <c r="BH3218" i="6"/>
  <c r="BL3218" i="6"/>
  <c r="BP3218" i="6"/>
  <c r="AV3222" i="6"/>
  <c r="AZ3222" i="6"/>
  <c r="BD3222" i="6"/>
  <c r="BH3222" i="6"/>
  <c r="BL3222" i="6"/>
  <c r="BP3222" i="6"/>
  <c r="BT3222" i="6"/>
  <c r="AZ3226" i="6"/>
  <c r="BD3226" i="6"/>
  <c r="BH3226" i="6"/>
  <c r="BL3226" i="6"/>
  <c r="BP3226" i="6"/>
  <c r="BT3226" i="6"/>
  <c r="BX3226" i="6"/>
  <c r="G3230" i="6"/>
  <c r="K3230" i="6"/>
  <c r="O3230" i="6"/>
  <c r="S3230" i="6"/>
  <c r="W3230" i="6"/>
  <c r="AA3230" i="6"/>
  <c r="K3234" i="6"/>
  <c r="O3234" i="6"/>
  <c r="S3234" i="6"/>
  <c r="W3234" i="6"/>
  <c r="AA3234" i="6"/>
  <c r="AE3234" i="6"/>
  <c r="O3238" i="6"/>
  <c r="S3238" i="6"/>
  <c r="W3238" i="6"/>
  <c r="AA3238" i="6"/>
  <c r="AE3238" i="6"/>
  <c r="AI3238" i="6"/>
  <c r="S3242" i="6"/>
  <c r="W3242" i="6"/>
  <c r="AA3242" i="6"/>
  <c r="AE3242" i="6"/>
  <c r="AI3242" i="6"/>
  <c r="AM3242" i="6"/>
  <c r="W3246" i="6"/>
  <c r="AA3246" i="6"/>
  <c r="AE3246" i="6"/>
  <c r="AI3246" i="6"/>
  <c r="AM3246" i="6"/>
  <c r="AQ3246" i="6"/>
  <c r="AA3250" i="6"/>
  <c r="AE3250" i="6"/>
  <c r="AI3250" i="6"/>
  <c r="AM3250" i="6"/>
  <c r="AQ3250" i="6"/>
  <c r="AU3250" i="6"/>
  <c r="AE3254" i="6"/>
  <c r="AI3254" i="6"/>
  <c r="AM3254" i="6"/>
  <c r="AQ3254" i="6"/>
  <c r="AU3254" i="6"/>
  <c r="AY3254" i="6"/>
  <c r="AI3258" i="6"/>
  <c r="AM3258" i="6"/>
  <c r="AQ3258" i="6"/>
  <c r="AU3258" i="6"/>
  <c r="AY3258" i="6"/>
  <c r="BC3258" i="6"/>
  <c r="AM3262" i="6"/>
  <c r="AQ3262" i="6"/>
  <c r="AU3262" i="6"/>
  <c r="AY3262" i="6"/>
  <c r="BC3262" i="6"/>
  <c r="BG3262" i="6"/>
  <c r="AQ3266" i="6"/>
  <c r="AU3266" i="6"/>
  <c r="AY3266" i="6"/>
  <c r="BC3266" i="6"/>
  <c r="BG3266" i="6"/>
  <c r="BK3266" i="6"/>
  <c r="AU3270" i="6"/>
  <c r="AY3270" i="6"/>
  <c r="BC3270" i="6"/>
  <c r="BG3270" i="6"/>
  <c r="BK3270" i="6"/>
  <c r="BO3270" i="6"/>
  <c r="AZ3274" i="6"/>
  <c r="BE3274" i="6"/>
  <c r="BK3274" i="6"/>
  <c r="BP3274" i="6"/>
  <c r="AZ3278" i="6"/>
  <c r="BE3278" i="6"/>
  <c r="BK3278" i="6"/>
  <c r="BP3278" i="6"/>
  <c r="BU3278" i="6"/>
  <c r="F3280" i="6"/>
  <c r="L3280" i="6"/>
  <c r="Q3280" i="6"/>
  <c r="V3280" i="6"/>
  <c r="AB3280" i="6"/>
  <c r="AG3280" i="6"/>
  <c r="AR3280" i="6"/>
  <c r="AW3280" i="6"/>
  <c r="BH3280" i="6"/>
  <c r="BM3280" i="6"/>
  <c r="BX3280" i="6"/>
  <c r="CC3280" i="6"/>
  <c r="E3282" i="6"/>
  <c r="E3281" i="6" s="1"/>
  <c r="J3282" i="6"/>
  <c r="O3282" i="6"/>
  <c r="U3282" i="6"/>
  <c r="F3283" i="6"/>
  <c r="K3283" i="6"/>
  <c r="Q3283" i="6"/>
  <c r="J3286" i="6"/>
  <c r="O3286" i="6"/>
  <c r="U3286" i="6"/>
  <c r="Z3286" i="6"/>
  <c r="K3287" i="6"/>
  <c r="Q3287" i="6"/>
  <c r="V3287" i="6"/>
  <c r="O3290" i="6"/>
  <c r="U3290" i="6"/>
  <c r="Z3290" i="6"/>
  <c r="AE3290" i="6"/>
  <c r="Q3291" i="6"/>
  <c r="V3291" i="6"/>
  <c r="O3294" i="6"/>
  <c r="U3294" i="6"/>
  <c r="Z3294" i="6"/>
  <c r="AE3294" i="6"/>
  <c r="Q3295" i="6"/>
  <c r="V3295" i="6"/>
  <c r="AA3295" i="6"/>
  <c r="U3298" i="6"/>
  <c r="Z3298" i="6"/>
  <c r="AE3298" i="6"/>
  <c r="AK3298" i="6"/>
  <c r="V3299" i="6"/>
  <c r="AA3299" i="6"/>
  <c r="AG3299" i="6"/>
  <c r="Y3302" i="6"/>
  <c r="AG3302" i="6"/>
  <c r="AO3302" i="6"/>
  <c r="AC3303" i="6"/>
  <c r="AG3306" i="6"/>
  <c r="AO3306" i="6"/>
  <c r="AC3307" i="6"/>
  <c r="AK3307" i="6"/>
  <c r="AG3310" i="6"/>
  <c r="AO3310" i="6"/>
  <c r="AW3310" i="6"/>
  <c r="AK3311" i="6"/>
  <c r="AO3314" i="6"/>
  <c r="AW3314" i="6"/>
  <c r="AK3315" i="6"/>
  <c r="AS3315" i="6"/>
  <c r="AO3318" i="6"/>
  <c r="AW3318" i="6"/>
  <c r="BE3318" i="6"/>
  <c r="AS3319" i="6"/>
  <c r="AW3322" i="6"/>
  <c r="BE3322" i="6"/>
  <c r="AS3323" i="6"/>
  <c r="BA3323" i="6"/>
  <c r="AW3326" i="6"/>
  <c r="BE3326" i="6"/>
  <c r="BM3326" i="6"/>
  <c r="BA3327" i="6"/>
  <c r="BE3330" i="6"/>
  <c r="BM3330" i="6"/>
  <c r="BA3331" i="6"/>
  <c r="BI3331" i="6"/>
  <c r="AQ3467" i="6"/>
  <c r="AM3467" i="6"/>
  <c r="AI3467" i="6"/>
  <c r="AE3467" i="6"/>
  <c r="AA3467" i="6"/>
  <c r="AP3467" i="6"/>
  <c r="AL3467" i="6"/>
  <c r="AH3467" i="6"/>
  <c r="AD3467" i="6"/>
  <c r="Z3467" i="6"/>
  <c r="AO3467" i="6"/>
  <c r="AK3467" i="6"/>
  <c r="AG3467" i="6"/>
  <c r="AC3467" i="6"/>
  <c r="Y3467" i="6"/>
  <c r="X3339" i="6"/>
  <c r="AY3477" i="6"/>
  <c r="AU3477" i="6"/>
  <c r="AQ3477" i="6"/>
  <c r="AM3477" i="6"/>
  <c r="AI3477" i="6"/>
  <c r="AH3339" i="6"/>
  <c r="BB3477" i="6"/>
  <c r="AX3477" i="6"/>
  <c r="AT3477" i="6"/>
  <c r="AP3477" i="6"/>
  <c r="AL3477" i="6"/>
  <c r="AH3477" i="6"/>
  <c r="BA3477" i="6"/>
  <c r="AW3477" i="6"/>
  <c r="AS3477" i="6"/>
  <c r="AO3477" i="6"/>
  <c r="AK3477" i="6"/>
  <c r="BG3483" i="6"/>
  <c r="BC3483" i="6"/>
  <c r="AY3483" i="6"/>
  <c r="AU3483" i="6"/>
  <c r="AQ3483" i="6"/>
  <c r="BF3483" i="6"/>
  <c r="BB3483" i="6"/>
  <c r="AX3483" i="6"/>
  <c r="AT3483" i="6"/>
  <c r="AP3483" i="6"/>
  <c r="BE3483" i="6"/>
  <c r="BA3483" i="6"/>
  <c r="AW3483" i="6"/>
  <c r="AS3483" i="6"/>
  <c r="AO3483" i="6"/>
  <c r="AN3339" i="6"/>
  <c r="BO3493" i="6"/>
  <c r="BK3493" i="6"/>
  <c r="BG3493" i="6"/>
  <c r="BC3493" i="6"/>
  <c r="AY3493" i="6"/>
  <c r="AX3339" i="6"/>
  <c r="BR3493" i="6"/>
  <c r="BN3493" i="6"/>
  <c r="BJ3493" i="6"/>
  <c r="BF3493" i="6"/>
  <c r="BB3493" i="6"/>
  <c r="AX3493" i="6"/>
  <c r="BQ3493" i="6"/>
  <c r="BM3493" i="6"/>
  <c r="BI3493" i="6"/>
  <c r="BE3493" i="6"/>
  <c r="BA3493" i="6"/>
  <c r="AC3396" i="6"/>
  <c r="Y3396" i="6"/>
  <c r="U3396" i="6"/>
  <c r="Q3396" i="6"/>
  <c r="M3396" i="6"/>
  <c r="I3396" i="6"/>
  <c r="E3396" i="6"/>
  <c r="Z3344" i="6"/>
  <c r="V3344" i="6"/>
  <c r="R3344" i="6"/>
  <c r="N3344" i="6"/>
  <c r="J3344" i="6"/>
  <c r="F3344" i="6"/>
  <c r="AB3396" i="6"/>
  <c r="X3396" i="6"/>
  <c r="T3396" i="6"/>
  <c r="P3396" i="6"/>
  <c r="L3396" i="6"/>
  <c r="H3396" i="6"/>
  <c r="AA3396" i="6"/>
  <c r="W3396" i="6"/>
  <c r="S3396" i="6"/>
  <c r="O3396" i="6"/>
  <c r="K3396" i="6"/>
  <c r="G3396" i="6"/>
  <c r="AB3344" i="6"/>
  <c r="X3344" i="6"/>
  <c r="T3344" i="6"/>
  <c r="P3344" i="6"/>
  <c r="L3344" i="6"/>
  <c r="H3344" i="6"/>
  <c r="AK3404" i="6"/>
  <c r="AG3404" i="6"/>
  <c r="AC3404" i="6"/>
  <c r="Y3404" i="6"/>
  <c r="U3404" i="6"/>
  <c r="Q3404" i="6"/>
  <c r="M3404" i="6"/>
  <c r="AH3352" i="6"/>
  <c r="AD3352" i="6"/>
  <c r="Z3352" i="6"/>
  <c r="V3352" i="6"/>
  <c r="R3352" i="6"/>
  <c r="N3352" i="6"/>
  <c r="AJ3404" i="6"/>
  <c r="AF3404" i="6"/>
  <c r="AB3404" i="6"/>
  <c r="X3404" i="6"/>
  <c r="T3404" i="6"/>
  <c r="P3404" i="6"/>
  <c r="AI3404" i="6"/>
  <c r="AE3404" i="6"/>
  <c r="AA3404" i="6"/>
  <c r="W3404" i="6"/>
  <c r="S3404" i="6"/>
  <c r="O3404" i="6"/>
  <c r="AJ3352" i="6"/>
  <c r="AF3352" i="6"/>
  <c r="AB3352" i="6"/>
  <c r="X3352" i="6"/>
  <c r="T3352" i="6"/>
  <c r="P3352" i="6"/>
  <c r="AS3412" i="6"/>
  <c r="AO3412" i="6"/>
  <c r="AK3412" i="6"/>
  <c r="AG3412" i="6"/>
  <c r="AC3412" i="6"/>
  <c r="Y3412" i="6"/>
  <c r="U3412" i="6"/>
  <c r="AP3360" i="6"/>
  <c r="AL3360" i="6"/>
  <c r="AH3360" i="6"/>
  <c r="AD3360" i="6"/>
  <c r="Z3360" i="6"/>
  <c r="V3360" i="6"/>
  <c r="AR3412" i="6"/>
  <c r="AN3412" i="6"/>
  <c r="AJ3412" i="6"/>
  <c r="AF3412" i="6"/>
  <c r="AB3412" i="6"/>
  <c r="X3412" i="6"/>
  <c r="AQ3412" i="6"/>
  <c r="AM3412" i="6"/>
  <c r="AI3412" i="6"/>
  <c r="AE3412" i="6"/>
  <c r="AA3412" i="6"/>
  <c r="W3412" i="6"/>
  <c r="AR3360" i="6"/>
  <c r="AN3360" i="6"/>
  <c r="AJ3360" i="6"/>
  <c r="AF3360" i="6"/>
  <c r="AB3360" i="6"/>
  <c r="X3360" i="6"/>
  <c r="BA3420" i="6"/>
  <c r="AW3420" i="6"/>
  <c r="AS3420" i="6"/>
  <c r="AO3420" i="6"/>
  <c r="AK3420" i="6"/>
  <c r="AG3420" i="6"/>
  <c r="AC3420" i="6"/>
  <c r="AX3368" i="6"/>
  <c r="AT3368" i="6"/>
  <c r="AP3368" i="6"/>
  <c r="AL3368" i="6"/>
  <c r="AH3368" i="6"/>
  <c r="AD3368" i="6"/>
  <c r="AZ3420" i="6"/>
  <c r="AV3420" i="6"/>
  <c r="AR3420" i="6"/>
  <c r="AN3420" i="6"/>
  <c r="AJ3420" i="6"/>
  <c r="AF3420" i="6"/>
  <c r="AY3420" i="6"/>
  <c r="AU3420" i="6"/>
  <c r="AQ3420" i="6"/>
  <c r="AM3420" i="6"/>
  <c r="AI3420" i="6"/>
  <c r="AE3420" i="6"/>
  <c r="AZ3368" i="6"/>
  <c r="AV3368" i="6"/>
  <c r="AR3368" i="6"/>
  <c r="AN3368" i="6"/>
  <c r="AJ3368" i="6"/>
  <c r="AF3368" i="6"/>
  <c r="BI3428" i="6"/>
  <c r="BE3428" i="6"/>
  <c r="BA3428" i="6"/>
  <c r="AW3428" i="6"/>
  <c r="AS3428" i="6"/>
  <c r="AO3428" i="6"/>
  <c r="AK3428" i="6"/>
  <c r="BF3376" i="6"/>
  <c r="BB3376" i="6"/>
  <c r="AX3376" i="6"/>
  <c r="AT3376" i="6"/>
  <c r="AP3376" i="6"/>
  <c r="AL3376" i="6"/>
  <c r="BH3428" i="6"/>
  <c r="BD3428" i="6"/>
  <c r="AZ3428" i="6"/>
  <c r="AV3428" i="6"/>
  <c r="AR3428" i="6"/>
  <c r="AN3428" i="6"/>
  <c r="BG3428" i="6"/>
  <c r="BC3428" i="6"/>
  <c r="AY3428" i="6"/>
  <c r="AU3428" i="6"/>
  <c r="AQ3428" i="6"/>
  <c r="AM3428" i="6"/>
  <c r="BH3376" i="6"/>
  <c r="BD3376" i="6"/>
  <c r="AZ3376" i="6"/>
  <c r="AV3376" i="6"/>
  <c r="AR3376" i="6"/>
  <c r="AN3376" i="6"/>
  <c r="BQ3436" i="6"/>
  <c r="BM3436" i="6"/>
  <c r="BI3436" i="6"/>
  <c r="BE3436" i="6"/>
  <c r="BA3436" i="6"/>
  <c r="AW3436" i="6"/>
  <c r="AS3436" i="6"/>
  <c r="BN3384" i="6"/>
  <c r="BJ3384" i="6"/>
  <c r="BF3384" i="6"/>
  <c r="BB3384" i="6"/>
  <c r="AX3384" i="6"/>
  <c r="AT3384" i="6"/>
  <c r="BP3436" i="6"/>
  <c r="BL3436" i="6"/>
  <c r="BH3436" i="6"/>
  <c r="BD3436" i="6"/>
  <c r="AZ3436" i="6"/>
  <c r="AV3436" i="6"/>
  <c r="BO3436" i="6"/>
  <c r="BK3436" i="6"/>
  <c r="BG3436" i="6"/>
  <c r="BC3436" i="6"/>
  <c r="AY3436" i="6"/>
  <c r="AU3436" i="6"/>
  <c r="BP3384" i="6"/>
  <c r="BL3384" i="6"/>
  <c r="BH3384" i="6"/>
  <c r="BD3384" i="6"/>
  <c r="AZ3384" i="6"/>
  <c r="AV3384" i="6"/>
  <c r="BY3444" i="6"/>
  <c r="BY3393" i="6" s="1" a="1"/>
  <c r="BY3393" i="6" s="1"/>
  <c r="BU3444" i="6"/>
  <c r="BQ3444" i="6"/>
  <c r="BM3444" i="6"/>
  <c r="BI3444" i="6"/>
  <c r="BE3444" i="6"/>
  <c r="BA3444" i="6"/>
  <c r="BV3392" i="6"/>
  <c r="BR3392" i="6"/>
  <c r="BN3392" i="6"/>
  <c r="BJ3392" i="6"/>
  <c r="BF3392" i="6"/>
  <c r="BB3392" i="6"/>
  <c r="BX3444" i="6"/>
  <c r="BT3444" i="6"/>
  <c r="BP3444" i="6"/>
  <c r="BL3444" i="6"/>
  <c r="BH3444" i="6"/>
  <c r="BD3444" i="6"/>
  <c r="BW3444" i="6"/>
  <c r="BS3444" i="6"/>
  <c r="BO3444" i="6"/>
  <c r="BK3444" i="6"/>
  <c r="BG3444" i="6"/>
  <c r="BC3444" i="6"/>
  <c r="BX3392" i="6"/>
  <c r="BT3392" i="6"/>
  <c r="BP3392" i="6"/>
  <c r="BL3392" i="6"/>
  <c r="BH3392" i="6"/>
  <c r="BD3392" i="6"/>
  <c r="H3340" i="6"/>
  <c r="R3340" i="6"/>
  <c r="X3340" i="6"/>
  <c r="AH3340" i="6"/>
  <c r="AN3340" i="6"/>
  <c r="AX3340" i="6"/>
  <c r="G3342" i="6"/>
  <c r="O3342" i="6"/>
  <c r="W3342" i="6"/>
  <c r="G3344" i="6"/>
  <c r="O3344" i="6"/>
  <c r="W3344" i="6"/>
  <c r="G3346" i="6"/>
  <c r="O3346" i="6"/>
  <c r="W3346" i="6"/>
  <c r="AE3346" i="6"/>
  <c r="O3350" i="6"/>
  <c r="W3350" i="6"/>
  <c r="AE3350" i="6"/>
  <c r="O3352" i="6"/>
  <c r="W3352" i="6"/>
  <c r="AE3352" i="6"/>
  <c r="O3354" i="6"/>
  <c r="W3354" i="6"/>
  <c r="AE3354" i="6"/>
  <c r="AM3354" i="6"/>
  <c r="W3358" i="6"/>
  <c r="AE3358" i="6"/>
  <c r="AM3358" i="6"/>
  <c r="W3360" i="6"/>
  <c r="AE3360" i="6"/>
  <c r="AM3360" i="6"/>
  <c r="W3362" i="6"/>
  <c r="AE3362" i="6"/>
  <c r="AM3362" i="6"/>
  <c r="AU3362" i="6"/>
  <c r="AE3366" i="6"/>
  <c r="AM3366" i="6"/>
  <c r="AU3366" i="6"/>
  <c r="AE3368" i="6"/>
  <c r="AM3368" i="6"/>
  <c r="AU3368" i="6"/>
  <c r="AE3370" i="6"/>
  <c r="AM3370" i="6"/>
  <c r="AU3370" i="6"/>
  <c r="BC3370" i="6"/>
  <c r="AM3374" i="6"/>
  <c r="AU3374" i="6"/>
  <c r="BC3374" i="6"/>
  <c r="AM3376" i="6"/>
  <c r="AU3376" i="6"/>
  <c r="BC3376" i="6"/>
  <c r="AM3378" i="6"/>
  <c r="AU3378" i="6"/>
  <c r="BC3378" i="6"/>
  <c r="BK3378" i="6"/>
  <c r="AU3382" i="6"/>
  <c r="BC3382" i="6"/>
  <c r="BK3382" i="6"/>
  <c r="AU3384" i="6"/>
  <c r="BC3384" i="6"/>
  <c r="BK3384" i="6"/>
  <c r="AU3386" i="6"/>
  <c r="BC3386" i="6"/>
  <c r="BK3386" i="6"/>
  <c r="BS3386" i="6"/>
  <c r="BC3390" i="6"/>
  <c r="BK3390" i="6"/>
  <c r="BS3390" i="6"/>
  <c r="BC3392" i="6"/>
  <c r="BK3392" i="6"/>
  <c r="BS3392" i="6"/>
  <c r="J3394" i="6"/>
  <c r="Z3394" i="6"/>
  <c r="J3396" i="6"/>
  <c r="Z3396" i="6"/>
  <c r="J3398" i="6"/>
  <c r="Z3402" i="6"/>
  <c r="Z3404" i="6"/>
  <c r="Z3410" i="6"/>
  <c r="AP3410" i="6"/>
  <c r="Z3412" i="6"/>
  <c r="AP3412" i="6"/>
  <c r="Z3414" i="6"/>
  <c r="AP3418" i="6"/>
  <c r="AP3420" i="6"/>
  <c r="AP3426" i="6"/>
  <c r="BF3426" i="6"/>
  <c r="AP3428" i="6"/>
  <c r="BF3428" i="6"/>
  <c r="AP3430" i="6"/>
  <c r="BF3434" i="6"/>
  <c r="BF3436" i="6"/>
  <c r="BF3442" i="6"/>
  <c r="BV3442" i="6"/>
  <c r="BF3444" i="6"/>
  <c r="BV3444" i="6"/>
  <c r="D3447" i="6"/>
  <c r="D3445" i="6" s="1"/>
  <c r="L3449" i="6"/>
  <c r="L3453" i="6"/>
  <c r="AB3453" i="6"/>
  <c r="AB3445" i="6" s="1"/>
  <c r="AB3457" i="6"/>
  <c r="T3459" i="6"/>
  <c r="T3445" i="6" s="1"/>
  <c r="AB3461" i="6"/>
  <c r="T3463" i="6"/>
  <c r="AB3465" i="6"/>
  <c r="AJ3467" i="6"/>
  <c r="AJ3445" i="6" s="1"/>
  <c r="AJ3471" i="6"/>
  <c r="AR3477" i="6"/>
  <c r="AJ3479" i="6"/>
  <c r="AR3481" i="6"/>
  <c r="AZ3483" i="6"/>
  <c r="AZ3487" i="6"/>
  <c r="BH3493" i="6"/>
  <c r="AZ3495" i="6"/>
  <c r="E3500" i="6"/>
  <c r="AG3500" i="6"/>
  <c r="AW3500" i="6"/>
  <c r="I3501" i="6"/>
  <c r="Q4" i="7"/>
  <c r="L5" i="7"/>
  <c r="U39" i="23"/>
  <c r="V2451" i="6" s="1"/>
  <c r="U32" i="22"/>
  <c r="V2230" i="6" s="1"/>
  <c r="U32" i="21"/>
  <c r="V2009" i="6" s="1"/>
  <c r="U32" i="20"/>
  <c r="V1784" i="6" s="1"/>
  <c r="U32" i="19"/>
  <c r="V1559" i="6" s="1"/>
  <c r="U37" i="17"/>
  <c r="V1109" i="6" s="1"/>
  <c r="U32" i="18"/>
  <c r="V1334" i="6" s="1"/>
  <c r="U49" i="14"/>
  <c r="V420" i="6" s="1"/>
  <c r="U42" i="16"/>
  <c r="V882" i="6" s="1"/>
  <c r="U34" i="15"/>
  <c r="V657" i="6" s="1"/>
  <c r="U41" i="13"/>
  <c r="V13" i="6" s="1"/>
  <c r="W38" i="23"/>
  <c r="W31" i="22"/>
  <c r="W31" i="21"/>
  <c r="W31" i="19"/>
  <c r="W31" i="18"/>
  <c r="W31" i="20"/>
  <c r="W36" i="17"/>
  <c r="W41" i="16"/>
  <c r="W48" i="14"/>
  <c r="W33" i="15"/>
  <c r="X6" i="7"/>
  <c r="T7" i="7"/>
  <c r="V15" i="7"/>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U16" i="7"/>
  <c r="U44" i="8"/>
  <c r="V24" i="8"/>
  <c r="T44" i="8"/>
  <c r="U25" i="8"/>
  <c r="V25" i="8" s="1"/>
  <c r="W25" i="8" s="1"/>
  <c r="X25" i="8" s="1"/>
  <c r="Y25" i="8" s="1"/>
  <c r="Z25" i="8" s="1"/>
  <c r="AA25" i="8" s="1"/>
  <c r="AB25" i="8" s="1"/>
  <c r="AC25" i="8" s="1"/>
  <c r="AD25" i="8" s="1"/>
  <c r="AE25" i="8" s="1"/>
  <c r="AF25" i="8" s="1"/>
  <c r="AG25" i="8" s="1"/>
  <c r="AH25" i="8" s="1"/>
  <c r="AI25" i="8" s="1"/>
  <c r="AJ25" i="8" s="1"/>
  <c r="AK25" i="8" s="1"/>
  <c r="AL25" i="8" s="1"/>
  <c r="AM25" i="8" s="1"/>
  <c r="AN25" i="8" s="1"/>
  <c r="AO25" i="8" s="1"/>
  <c r="AP25" i="8" s="1"/>
  <c r="AQ25" i="8" s="1"/>
  <c r="AR25" i="8" s="1"/>
  <c r="AS25" i="8" s="1"/>
  <c r="AT25" i="8" s="1"/>
  <c r="AU25" i="8" s="1"/>
  <c r="AV25" i="8" s="1"/>
  <c r="AW25" i="8" s="1"/>
  <c r="AX25" i="8" s="1"/>
  <c r="AY25" i="8" s="1"/>
  <c r="AZ25" i="8" s="1"/>
  <c r="C49" i="8"/>
  <c r="C47" i="8"/>
  <c r="C48" i="8"/>
  <c r="M48" i="8"/>
  <c r="M49" i="8"/>
  <c r="M47" i="8"/>
  <c r="M45" i="8"/>
  <c r="N43" i="8"/>
  <c r="H49" i="8"/>
  <c r="T5" i="9"/>
  <c r="U5" i="9" s="1"/>
  <c r="L14" i="9"/>
  <c r="L15" i="9" s="1"/>
  <c r="B15" i="9"/>
  <c r="R15" i="9"/>
  <c r="N20" i="9"/>
  <c r="G45" i="9"/>
  <c r="G12" i="9" s="1"/>
  <c r="G11" i="9" s="1"/>
  <c r="H12" i="9"/>
  <c r="H11" i="9" s="1"/>
  <c r="C73" i="9"/>
  <c r="G73" i="9"/>
  <c r="K73" i="9"/>
  <c r="O73" i="9"/>
  <c r="E188" i="10"/>
  <c r="E3337" i="6" s="1"/>
  <c r="F30" i="5" s="1"/>
  <c r="I188" i="10"/>
  <c r="I3337" i="6" s="1"/>
  <c r="J30" i="5" s="1"/>
  <c r="M211" i="10"/>
  <c r="Q211" i="10"/>
  <c r="U211" i="10"/>
  <c r="P215" i="10"/>
  <c r="P222" i="10" s="1"/>
  <c r="L215" i="10"/>
  <c r="L222" i="10" s="1"/>
  <c r="O215" i="10"/>
  <c r="O222" i="10" s="1"/>
  <c r="K215" i="10"/>
  <c r="K222" i="10" s="1"/>
  <c r="N215" i="10"/>
  <c r="N222" i="10" s="1"/>
  <c r="AQ3466" i="6"/>
  <c r="AM3466" i="6"/>
  <c r="AI3466" i="6"/>
  <c r="AE3466" i="6"/>
  <c r="AA3466" i="6"/>
  <c r="W3466" i="6"/>
  <c r="W3340" i="6"/>
  <c r="AP3466" i="6"/>
  <c r="AL3466" i="6"/>
  <c r="AH3466" i="6"/>
  <c r="AD3466" i="6"/>
  <c r="Z3466" i="6"/>
  <c r="AO3466" i="6"/>
  <c r="AK3466" i="6"/>
  <c r="AG3466" i="6"/>
  <c r="AC3466" i="6"/>
  <c r="Y3466" i="6"/>
  <c r="AU3470" i="6"/>
  <c r="AQ3470" i="6"/>
  <c r="AM3470" i="6"/>
  <c r="AI3470" i="6"/>
  <c r="AE3470" i="6"/>
  <c r="AA3470" i="6"/>
  <c r="AA3340" i="6"/>
  <c r="AT3470" i="6"/>
  <c r="AP3470" i="6"/>
  <c r="AL3470" i="6"/>
  <c r="AH3470" i="6"/>
  <c r="AD3470" i="6"/>
  <c r="AS3470" i="6"/>
  <c r="AO3470" i="6"/>
  <c r="AK3470" i="6"/>
  <c r="AG3470" i="6"/>
  <c r="AC3470" i="6"/>
  <c r="AY3474" i="6"/>
  <c r="AU3474" i="6"/>
  <c r="AQ3474" i="6"/>
  <c r="AM3474" i="6"/>
  <c r="AI3474" i="6"/>
  <c r="AE3474" i="6"/>
  <c r="AE3340" i="6"/>
  <c r="AX3474" i="6"/>
  <c r="AT3474" i="6"/>
  <c r="AP3474" i="6"/>
  <c r="AL3474" i="6"/>
  <c r="AH3474" i="6"/>
  <c r="AW3474" i="6"/>
  <c r="AS3474" i="6"/>
  <c r="AO3474" i="6"/>
  <c r="AK3474" i="6"/>
  <c r="AG3474" i="6"/>
  <c r="BC3478" i="6"/>
  <c r="AY3478" i="6"/>
  <c r="AU3478" i="6"/>
  <c r="AQ3478" i="6"/>
  <c r="AM3478" i="6"/>
  <c r="AI3478" i="6"/>
  <c r="AI3340" i="6"/>
  <c r="BB3478" i="6"/>
  <c r="AX3478" i="6"/>
  <c r="AT3478" i="6"/>
  <c r="AP3478" i="6"/>
  <c r="AL3478" i="6"/>
  <c r="BA3478" i="6"/>
  <c r="AW3478" i="6"/>
  <c r="AS3478" i="6"/>
  <c r="AO3478" i="6"/>
  <c r="AK3478" i="6"/>
  <c r="BG3482" i="6"/>
  <c r="BC3482" i="6"/>
  <c r="AY3482" i="6"/>
  <c r="AU3482" i="6"/>
  <c r="AQ3482" i="6"/>
  <c r="AM3482" i="6"/>
  <c r="AM3340" i="6"/>
  <c r="BF3482" i="6"/>
  <c r="BB3482" i="6"/>
  <c r="AX3482" i="6"/>
  <c r="AT3482" i="6"/>
  <c r="AP3482" i="6"/>
  <c r="BE3482" i="6"/>
  <c r="BA3482" i="6"/>
  <c r="AW3482" i="6"/>
  <c r="AS3482" i="6"/>
  <c r="AO3482" i="6"/>
  <c r="BK3486" i="6"/>
  <c r="BG3486" i="6"/>
  <c r="BC3486" i="6"/>
  <c r="AY3486" i="6"/>
  <c r="AU3486" i="6"/>
  <c r="AQ3486" i="6"/>
  <c r="AQ3340" i="6"/>
  <c r="BJ3486" i="6"/>
  <c r="BF3486" i="6"/>
  <c r="BB3486" i="6"/>
  <c r="AX3486" i="6"/>
  <c r="AT3486" i="6"/>
  <c r="BI3486" i="6"/>
  <c r="BE3486" i="6"/>
  <c r="BA3486" i="6"/>
  <c r="AW3486" i="6"/>
  <c r="AS3486" i="6"/>
  <c r="BO3490" i="6"/>
  <c r="BK3490" i="6"/>
  <c r="BG3490" i="6"/>
  <c r="BC3490" i="6"/>
  <c r="AY3490" i="6"/>
  <c r="AU3490" i="6"/>
  <c r="AU3340" i="6"/>
  <c r="BN3490" i="6"/>
  <c r="BJ3490" i="6"/>
  <c r="BF3490" i="6"/>
  <c r="BB3490" i="6"/>
  <c r="AX3490" i="6"/>
  <c r="BM3490" i="6"/>
  <c r="BI3490" i="6"/>
  <c r="BE3490" i="6"/>
  <c r="BA3490" i="6"/>
  <c r="AW3490" i="6"/>
  <c r="BS3494" i="6"/>
  <c r="BO3494" i="6"/>
  <c r="BK3494" i="6"/>
  <c r="BG3494" i="6"/>
  <c r="BC3494" i="6"/>
  <c r="AY3494" i="6"/>
  <c r="AY3340" i="6"/>
  <c r="BR3494" i="6"/>
  <c r="BN3494" i="6"/>
  <c r="BJ3494" i="6"/>
  <c r="BF3494" i="6"/>
  <c r="BB3494" i="6"/>
  <c r="BQ3494" i="6"/>
  <c r="BM3494" i="6"/>
  <c r="BI3494" i="6"/>
  <c r="BE3494" i="6"/>
  <c r="BA3494" i="6"/>
  <c r="D3501" i="6"/>
  <c r="H3501" i="6"/>
  <c r="X3501" i="6"/>
  <c r="AB3501" i="6"/>
  <c r="AF3501" i="6"/>
  <c r="AJ3501" i="6"/>
  <c r="AN3501" i="6"/>
  <c r="AR3501" i="6"/>
  <c r="AV3501" i="6"/>
  <c r="AZ3501" i="6"/>
  <c r="U38" i="11"/>
  <c r="B66" i="12"/>
  <c r="F66" i="12"/>
  <c r="J66" i="12"/>
  <c r="N66" i="12"/>
  <c r="R66" i="12"/>
  <c r="U61" i="12"/>
  <c r="X22" i="13"/>
  <c r="Y21" i="13"/>
  <c r="B45" i="13"/>
  <c r="X51" i="13"/>
  <c r="Y56" i="13"/>
  <c r="Z65" i="13"/>
  <c r="X67" i="13"/>
  <c r="Y72" i="13"/>
  <c r="Z88" i="13"/>
  <c r="AY16" i="14"/>
  <c r="X76" i="14"/>
  <c r="X108" i="14"/>
  <c r="Y135" i="14"/>
  <c r="X153" i="14"/>
  <c r="Y167" i="14"/>
  <c r="X185" i="14"/>
  <c r="Y199" i="14"/>
  <c r="G2949" i="6"/>
  <c r="K2949" i="6"/>
  <c r="O2949" i="6"/>
  <c r="S2949" i="6"/>
  <c r="K2953" i="6"/>
  <c r="O2953" i="6"/>
  <c r="S2953" i="6"/>
  <c r="W2953" i="6"/>
  <c r="O2957" i="6"/>
  <c r="S2957" i="6"/>
  <c r="W2957" i="6"/>
  <c r="AA2957" i="6"/>
  <c r="S2961" i="6"/>
  <c r="W2961" i="6"/>
  <c r="AA2961" i="6"/>
  <c r="AE2961" i="6"/>
  <c r="H3116" i="6"/>
  <c r="L3116" i="6"/>
  <c r="P3116" i="6"/>
  <c r="T3116" i="6"/>
  <c r="H3117" i="6"/>
  <c r="L3117" i="6"/>
  <c r="P3117" i="6"/>
  <c r="T3117" i="6"/>
  <c r="L3120" i="6"/>
  <c r="P3120" i="6"/>
  <c r="T3120" i="6"/>
  <c r="X3120" i="6"/>
  <c r="L3121" i="6"/>
  <c r="P3121" i="6"/>
  <c r="T3121" i="6"/>
  <c r="X3121" i="6"/>
  <c r="P3124" i="6"/>
  <c r="T3124" i="6"/>
  <c r="X3124" i="6"/>
  <c r="AB3124" i="6"/>
  <c r="P3125" i="6"/>
  <c r="T3125" i="6"/>
  <c r="X3125" i="6"/>
  <c r="AB3125" i="6"/>
  <c r="T3128" i="6"/>
  <c r="X3128" i="6"/>
  <c r="AB3128" i="6"/>
  <c r="AF3128" i="6"/>
  <c r="T3129" i="6"/>
  <c r="X3129" i="6"/>
  <c r="AB3129" i="6"/>
  <c r="AF3129" i="6"/>
  <c r="X3132" i="6"/>
  <c r="AB3132" i="6"/>
  <c r="AF3132" i="6"/>
  <c r="AJ3132" i="6"/>
  <c r="X3283" i="6"/>
  <c r="T3283" i="6"/>
  <c r="P3283" i="6"/>
  <c r="L3283" i="6"/>
  <c r="H3283" i="6"/>
  <c r="D3283" i="6"/>
  <c r="AB3287" i="6"/>
  <c r="X3287" i="6"/>
  <c r="T3287" i="6"/>
  <c r="P3287" i="6"/>
  <c r="L3287" i="6"/>
  <c r="H3287" i="6"/>
  <c r="AF3291" i="6"/>
  <c r="AB3291" i="6"/>
  <c r="X3291" i="6"/>
  <c r="T3291" i="6"/>
  <c r="P3291" i="6"/>
  <c r="L3291" i="6"/>
  <c r="AJ3295" i="6"/>
  <c r="AF3295" i="6"/>
  <c r="AB3295" i="6"/>
  <c r="X3295" i="6"/>
  <c r="T3295" i="6"/>
  <c r="P3295" i="6"/>
  <c r="AN3299" i="6"/>
  <c r="AN3281" i="6" s="1"/>
  <c r="AJ3299" i="6"/>
  <c r="AF3299" i="6"/>
  <c r="AB3299" i="6"/>
  <c r="X3299" i="6"/>
  <c r="T3299" i="6"/>
  <c r="AR3303" i="6"/>
  <c r="AN3303" i="6"/>
  <c r="AJ3303" i="6"/>
  <c r="AF3303" i="6"/>
  <c r="AB3303" i="6"/>
  <c r="X3303" i="6"/>
  <c r="AP3303" i="6"/>
  <c r="AL3303" i="6"/>
  <c r="AH3303" i="6"/>
  <c r="AD3303" i="6"/>
  <c r="Z3303" i="6"/>
  <c r="AV3307" i="6"/>
  <c r="AR3307" i="6"/>
  <c r="AN3307" i="6"/>
  <c r="AJ3307" i="6"/>
  <c r="AF3307" i="6"/>
  <c r="AB3307" i="6"/>
  <c r="AT3307" i="6"/>
  <c r="AP3307" i="6"/>
  <c r="AL3307" i="6"/>
  <c r="AH3307" i="6"/>
  <c r="AD3307" i="6"/>
  <c r="AZ3311" i="6"/>
  <c r="AV3311" i="6"/>
  <c r="AR3311" i="6"/>
  <c r="AN3311" i="6"/>
  <c r="AJ3311" i="6"/>
  <c r="AF3311" i="6"/>
  <c r="AX3311" i="6"/>
  <c r="AT3311" i="6"/>
  <c r="AP3311" i="6"/>
  <c r="AL3311" i="6"/>
  <c r="AH3311" i="6"/>
  <c r="BD3315" i="6"/>
  <c r="AZ3315" i="6"/>
  <c r="AV3315" i="6"/>
  <c r="AR3315" i="6"/>
  <c r="AN3315" i="6"/>
  <c r="AJ3315" i="6"/>
  <c r="BB3315" i="6"/>
  <c r="AX3315" i="6"/>
  <c r="AT3315" i="6"/>
  <c r="AP3315" i="6"/>
  <c r="AL3315" i="6"/>
  <c r="BH3319" i="6"/>
  <c r="BD3319" i="6"/>
  <c r="AZ3319" i="6"/>
  <c r="AV3319" i="6"/>
  <c r="AR3319" i="6"/>
  <c r="AN3319" i="6"/>
  <c r="BF3319" i="6"/>
  <c r="BB3319" i="6"/>
  <c r="AX3319" i="6"/>
  <c r="AT3319" i="6"/>
  <c r="AP3319" i="6"/>
  <c r="BL3323" i="6"/>
  <c r="BH3323" i="6"/>
  <c r="BD3323" i="6"/>
  <c r="AZ3323" i="6"/>
  <c r="AV3323" i="6"/>
  <c r="AR3323" i="6"/>
  <c r="BJ3323" i="6"/>
  <c r="BF3323" i="6"/>
  <c r="BB3323" i="6"/>
  <c r="AX3323" i="6"/>
  <c r="AT3323" i="6"/>
  <c r="BP3327" i="6"/>
  <c r="BL3327" i="6"/>
  <c r="BH3327" i="6"/>
  <c r="BD3327" i="6"/>
  <c r="AZ3327" i="6"/>
  <c r="AV3327" i="6"/>
  <c r="BN3327" i="6"/>
  <c r="BJ3327" i="6"/>
  <c r="BF3327" i="6"/>
  <c r="BB3327" i="6"/>
  <c r="AX3327" i="6"/>
  <c r="BT3331" i="6"/>
  <c r="BT3281" i="6" s="1"/>
  <c r="BP3331" i="6"/>
  <c r="BL3331" i="6"/>
  <c r="BH3331" i="6"/>
  <c r="BD3331" i="6"/>
  <c r="AZ3331" i="6"/>
  <c r="BR3331" i="6"/>
  <c r="BN3331" i="6"/>
  <c r="BJ3331" i="6"/>
  <c r="BF3331" i="6"/>
  <c r="BB3331" i="6"/>
  <c r="E3178" i="6"/>
  <c r="I3178" i="6"/>
  <c r="M3178" i="6"/>
  <c r="Q3178" i="6"/>
  <c r="U3178" i="6"/>
  <c r="Y3178" i="6"/>
  <c r="I3182" i="6"/>
  <c r="M3182" i="6"/>
  <c r="Q3182" i="6"/>
  <c r="U3182" i="6"/>
  <c r="Y3182" i="6"/>
  <c r="AC3182" i="6"/>
  <c r="M3186" i="6"/>
  <c r="Q3186" i="6"/>
  <c r="U3186" i="6"/>
  <c r="Y3186" i="6"/>
  <c r="AC3186" i="6"/>
  <c r="AG3186" i="6"/>
  <c r="Q3190" i="6"/>
  <c r="U3190" i="6"/>
  <c r="Y3190" i="6"/>
  <c r="AC3190" i="6"/>
  <c r="AG3190" i="6"/>
  <c r="AK3190" i="6"/>
  <c r="U3194" i="6"/>
  <c r="Y3194" i="6"/>
  <c r="AC3194" i="6"/>
  <c r="AG3194" i="6"/>
  <c r="AK3194" i="6"/>
  <c r="AO3194" i="6"/>
  <c r="Y3198" i="6"/>
  <c r="AC3198" i="6"/>
  <c r="AG3198" i="6"/>
  <c r="AK3198" i="6"/>
  <c r="AO3198" i="6"/>
  <c r="AS3198" i="6"/>
  <c r="AC3202" i="6"/>
  <c r="AG3202" i="6"/>
  <c r="AK3202" i="6"/>
  <c r="AO3202" i="6"/>
  <c r="AS3202" i="6"/>
  <c r="AW3202" i="6"/>
  <c r="AG3206" i="6"/>
  <c r="AK3206" i="6"/>
  <c r="AO3206" i="6"/>
  <c r="AS3206" i="6"/>
  <c r="AW3206" i="6"/>
  <c r="BA3206" i="6"/>
  <c r="AK3210" i="6"/>
  <c r="AO3210" i="6"/>
  <c r="AS3210" i="6"/>
  <c r="AW3210" i="6"/>
  <c r="BA3210" i="6"/>
  <c r="BE3210" i="6"/>
  <c r="AO3214" i="6"/>
  <c r="AS3214" i="6"/>
  <c r="AW3214" i="6"/>
  <c r="BA3214" i="6"/>
  <c r="BE3214" i="6"/>
  <c r="BI3214" i="6"/>
  <c r="AS3218" i="6"/>
  <c r="AW3218" i="6"/>
  <c r="BA3218" i="6"/>
  <c r="BE3218" i="6"/>
  <c r="BI3218" i="6"/>
  <c r="BM3218" i="6"/>
  <c r="AW3222" i="6"/>
  <c r="BA3222" i="6"/>
  <c r="BE3222" i="6"/>
  <c r="BI3222" i="6"/>
  <c r="BM3222" i="6"/>
  <c r="BQ3222" i="6"/>
  <c r="BA3226" i="6"/>
  <c r="BE3226" i="6"/>
  <c r="BI3226" i="6"/>
  <c r="BM3226" i="6"/>
  <c r="BQ3226" i="6"/>
  <c r="BU3226" i="6"/>
  <c r="D3230" i="6"/>
  <c r="H3230" i="6"/>
  <c r="L3230" i="6"/>
  <c r="P3230" i="6"/>
  <c r="T3230" i="6"/>
  <c r="X3230" i="6"/>
  <c r="H3234" i="6"/>
  <c r="L3234" i="6"/>
  <c r="P3234" i="6"/>
  <c r="T3234" i="6"/>
  <c r="X3234" i="6"/>
  <c r="AB3234" i="6"/>
  <c r="L3238" i="6"/>
  <c r="P3238" i="6"/>
  <c r="T3238" i="6"/>
  <c r="X3238" i="6"/>
  <c r="AB3238" i="6"/>
  <c r="AF3238" i="6"/>
  <c r="P3242" i="6"/>
  <c r="T3242" i="6"/>
  <c r="X3242" i="6"/>
  <c r="AB3242" i="6"/>
  <c r="AF3242" i="6"/>
  <c r="AJ3242" i="6"/>
  <c r="T3246" i="6"/>
  <c r="X3246" i="6"/>
  <c r="AB3246" i="6"/>
  <c r="AF3246" i="6"/>
  <c r="AJ3246" i="6"/>
  <c r="AN3246" i="6"/>
  <c r="X3250" i="6"/>
  <c r="AB3250" i="6"/>
  <c r="AF3250" i="6"/>
  <c r="AJ3250" i="6"/>
  <c r="AN3250" i="6"/>
  <c r="AR3250" i="6"/>
  <c r="AB3254" i="6"/>
  <c r="AF3254" i="6"/>
  <c r="AJ3254" i="6"/>
  <c r="AN3254" i="6"/>
  <c r="AR3254" i="6"/>
  <c r="AV3254" i="6"/>
  <c r="AF3258" i="6"/>
  <c r="AJ3258" i="6"/>
  <c r="AN3258" i="6"/>
  <c r="AR3258" i="6"/>
  <c r="AV3258" i="6"/>
  <c r="AZ3258" i="6"/>
  <c r="AJ3262" i="6"/>
  <c r="AN3262" i="6"/>
  <c r="AR3262" i="6"/>
  <c r="AV3262" i="6"/>
  <c r="AZ3262" i="6"/>
  <c r="BD3262" i="6"/>
  <c r="AN3266" i="6"/>
  <c r="AR3266" i="6"/>
  <c r="AV3266" i="6"/>
  <c r="AZ3266" i="6"/>
  <c r="BD3266" i="6"/>
  <c r="BH3266" i="6"/>
  <c r="AR3270" i="6"/>
  <c r="AV3270" i="6"/>
  <c r="AZ3270" i="6"/>
  <c r="BD3270" i="6"/>
  <c r="BH3270" i="6"/>
  <c r="BL3270" i="6"/>
  <c r="AV3274" i="6"/>
  <c r="BA3274" i="6"/>
  <c r="BG3274" i="6"/>
  <c r="BL3274" i="6"/>
  <c r="BQ3274" i="6"/>
  <c r="BA3278" i="6"/>
  <c r="BG3278" i="6"/>
  <c r="BL3278" i="6"/>
  <c r="BQ3278" i="6"/>
  <c r="BW3278" i="6"/>
  <c r="H3280" i="6"/>
  <c r="M3280" i="6"/>
  <c r="R3280" i="6"/>
  <c r="X3280" i="6"/>
  <c r="AC3280" i="6"/>
  <c r="AN3280" i="6"/>
  <c r="AS3280" i="6"/>
  <c r="BD3280" i="6"/>
  <c r="BI3280" i="6"/>
  <c r="BT3280" i="6"/>
  <c r="BY3280" i="6"/>
  <c r="F3282" i="6"/>
  <c r="F3281" i="6" s="1"/>
  <c r="F3170" i="6" s="1"/>
  <c r="K3282" i="6"/>
  <c r="K3281" i="6" s="1"/>
  <c r="Q3282" i="6"/>
  <c r="Q3281" i="6" s="1"/>
  <c r="V3282" i="6"/>
  <c r="G3283" i="6"/>
  <c r="G3281" i="6" s="1"/>
  <c r="M3283" i="6"/>
  <c r="M3281" i="6" s="1"/>
  <c r="R3283" i="6"/>
  <c r="R3281" i="6" s="1"/>
  <c r="W3283" i="6"/>
  <c r="W3281" i="6" s="1"/>
  <c r="K3286" i="6"/>
  <c r="Q3286" i="6"/>
  <c r="V3286" i="6"/>
  <c r="AA3286" i="6"/>
  <c r="M3287" i="6"/>
  <c r="R3287" i="6"/>
  <c r="W3287" i="6"/>
  <c r="K3290" i="6"/>
  <c r="Q3290" i="6"/>
  <c r="V3290" i="6"/>
  <c r="AA3290" i="6"/>
  <c r="M3291" i="6"/>
  <c r="R3291" i="6"/>
  <c r="W3291" i="6"/>
  <c r="AC3291" i="6"/>
  <c r="Q3294" i="6"/>
  <c r="V3294" i="6"/>
  <c r="AA3294" i="6"/>
  <c r="AG3294" i="6"/>
  <c r="R3295" i="6"/>
  <c r="W3295" i="6"/>
  <c r="AC3295" i="6"/>
  <c r="AH3295" i="6"/>
  <c r="V3298" i="6"/>
  <c r="AA3298" i="6"/>
  <c r="AG3298" i="6"/>
  <c r="AL3298" i="6"/>
  <c r="W3299" i="6"/>
  <c r="AC3299" i="6"/>
  <c r="AH3299" i="6"/>
  <c r="AM3299" i="6"/>
  <c r="AM3281" i="6" s="1"/>
  <c r="AA3302" i="6"/>
  <c r="AI3302" i="6"/>
  <c r="AI3281" i="6" s="1"/>
  <c r="AQ3302" i="6"/>
  <c r="AE3303" i="6"/>
  <c r="AM3303" i="6"/>
  <c r="AA3306" i="6"/>
  <c r="AI3306" i="6"/>
  <c r="AQ3306" i="6"/>
  <c r="AE3307" i="6"/>
  <c r="AM3307" i="6"/>
  <c r="AU3307" i="6"/>
  <c r="AU3281" i="6" s="1"/>
  <c r="AI3310" i="6"/>
  <c r="AQ3310" i="6"/>
  <c r="AY3310" i="6"/>
  <c r="AM3311" i="6"/>
  <c r="AU3311" i="6"/>
  <c r="AI3314" i="6"/>
  <c r="AQ3314" i="6"/>
  <c r="AY3314" i="6"/>
  <c r="AM3315" i="6"/>
  <c r="AU3315" i="6"/>
  <c r="BC3315" i="6"/>
  <c r="BC3281" i="6" s="1"/>
  <c r="AQ3318" i="6"/>
  <c r="AY3318" i="6"/>
  <c r="BG3318" i="6"/>
  <c r="AU3319" i="6"/>
  <c r="BC3319" i="6"/>
  <c r="AQ3322" i="6"/>
  <c r="AY3322" i="6"/>
  <c r="BG3322" i="6"/>
  <c r="AU3323" i="6"/>
  <c r="BC3323" i="6"/>
  <c r="BK3323" i="6"/>
  <c r="BK3281" i="6" s="1"/>
  <c r="AY3326" i="6"/>
  <c r="BG3326" i="6"/>
  <c r="BO3326" i="6"/>
  <c r="BO3281" i="6" s="1"/>
  <c r="BC3327" i="6"/>
  <c r="BK3327" i="6"/>
  <c r="AY3330" i="6"/>
  <c r="BG3330" i="6"/>
  <c r="BO3330" i="6"/>
  <c r="BC3331" i="6"/>
  <c r="BK3331" i="6"/>
  <c r="BS3331" i="6"/>
  <c r="BS3281" i="6" s="1"/>
  <c r="C3335" i="6"/>
  <c r="W3447" i="6"/>
  <c r="S3447" i="6"/>
  <c r="O3447" i="6"/>
  <c r="K3447" i="6"/>
  <c r="G3447" i="6"/>
  <c r="V3447" i="6"/>
  <c r="R3447" i="6"/>
  <c r="N3447" i="6"/>
  <c r="J3447" i="6"/>
  <c r="F3447" i="6"/>
  <c r="U3447" i="6"/>
  <c r="Q3447" i="6"/>
  <c r="M3447" i="6"/>
  <c r="I3447" i="6"/>
  <c r="E3447" i="6"/>
  <c r="D3339" i="6"/>
  <c r="AA3451" i="6"/>
  <c r="W3451" i="6"/>
  <c r="S3451" i="6"/>
  <c r="O3451" i="6"/>
  <c r="K3451" i="6"/>
  <c r="Z3451" i="6"/>
  <c r="V3451" i="6"/>
  <c r="R3451" i="6"/>
  <c r="N3451" i="6"/>
  <c r="J3451" i="6"/>
  <c r="Y3451" i="6"/>
  <c r="U3451" i="6"/>
  <c r="Q3451" i="6"/>
  <c r="M3451" i="6"/>
  <c r="I3451" i="6"/>
  <c r="H3339" i="6"/>
  <c r="AE3455" i="6"/>
  <c r="AA3455" i="6"/>
  <c r="W3455" i="6"/>
  <c r="S3455" i="6"/>
  <c r="O3455" i="6"/>
  <c r="AD3455" i="6"/>
  <c r="Z3455" i="6"/>
  <c r="V3455" i="6"/>
  <c r="R3455" i="6"/>
  <c r="N3455" i="6"/>
  <c r="AC3455" i="6"/>
  <c r="Y3455" i="6"/>
  <c r="U3455" i="6"/>
  <c r="Q3455" i="6"/>
  <c r="M3455" i="6"/>
  <c r="L3339" i="6"/>
  <c r="AI3459" i="6"/>
  <c r="AE3459" i="6"/>
  <c r="AA3459" i="6"/>
  <c r="W3459" i="6"/>
  <c r="S3459" i="6"/>
  <c r="AH3459" i="6"/>
  <c r="AD3459" i="6"/>
  <c r="Z3459" i="6"/>
  <c r="V3459" i="6"/>
  <c r="R3459" i="6"/>
  <c r="AG3459" i="6"/>
  <c r="AC3459" i="6"/>
  <c r="Y3459" i="6"/>
  <c r="U3459" i="6"/>
  <c r="Q3459" i="6"/>
  <c r="P3339" i="6"/>
  <c r="AM3463" i="6"/>
  <c r="AI3463" i="6"/>
  <c r="AE3463" i="6"/>
  <c r="AA3463" i="6"/>
  <c r="W3463" i="6"/>
  <c r="AL3463" i="6"/>
  <c r="AH3463" i="6"/>
  <c r="AD3463" i="6"/>
  <c r="Z3463" i="6"/>
  <c r="V3463" i="6"/>
  <c r="AK3463" i="6"/>
  <c r="AG3463" i="6"/>
  <c r="AC3463" i="6"/>
  <c r="Y3463" i="6"/>
  <c r="U3463" i="6"/>
  <c r="T3339" i="6"/>
  <c r="AU3473" i="6"/>
  <c r="AQ3473" i="6"/>
  <c r="AM3473" i="6"/>
  <c r="AI3473" i="6"/>
  <c r="AE3473" i="6"/>
  <c r="AD3339" i="6"/>
  <c r="AX3473" i="6"/>
  <c r="AX3445" i="6" s="1"/>
  <c r="AT3473" i="6"/>
  <c r="AP3473" i="6"/>
  <c r="AL3473" i="6"/>
  <c r="AH3473" i="6"/>
  <c r="AD3473" i="6"/>
  <c r="AW3473" i="6"/>
  <c r="AS3473" i="6"/>
  <c r="AO3473" i="6"/>
  <c r="AK3473" i="6"/>
  <c r="AG3473" i="6"/>
  <c r="BC3479" i="6"/>
  <c r="AY3479" i="6"/>
  <c r="AU3479" i="6"/>
  <c r="AQ3479" i="6"/>
  <c r="AM3479" i="6"/>
  <c r="BB3479" i="6"/>
  <c r="AX3479" i="6"/>
  <c r="AT3479" i="6"/>
  <c r="AP3479" i="6"/>
  <c r="AL3479" i="6"/>
  <c r="BA3479" i="6"/>
  <c r="AW3479" i="6"/>
  <c r="AS3479" i="6"/>
  <c r="AO3479" i="6"/>
  <c r="AK3479" i="6"/>
  <c r="AJ3339" i="6"/>
  <c r="BK3489" i="6"/>
  <c r="BG3489" i="6"/>
  <c r="BC3489" i="6"/>
  <c r="AY3489" i="6"/>
  <c r="AU3489" i="6"/>
  <c r="AT3339" i="6"/>
  <c r="BN3489" i="6"/>
  <c r="BJ3489" i="6"/>
  <c r="BF3489" i="6"/>
  <c r="BB3489" i="6"/>
  <c r="AX3489" i="6"/>
  <c r="AT3489" i="6"/>
  <c r="BM3489" i="6"/>
  <c r="BI3489" i="6"/>
  <c r="BE3489" i="6"/>
  <c r="BA3489" i="6"/>
  <c r="AW3489" i="6"/>
  <c r="BS3495" i="6"/>
  <c r="BO3495" i="6"/>
  <c r="BK3495" i="6"/>
  <c r="BG3495" i="6"/>
  <c r="BC3495" i="6"/>
  <c r="BR3495" i="6"/>
  <c r="BN3495" i="6"/>
  <c r="BJ3495" i="6"/>
  <c r="BF3495" i="6"/>
  <c r="BB3495" i="6"/>
  <c r="BQ3495" i="6"/>
  <c r="BM3495" i="6"/>
  <c r="BI3495" i="6"/>
  <c r="BE3495" i="6"/>
  <c r="BA3495" i="6"/>
  <c r="AZ3339" i="6"/>
  <c r="AC3398" i="6"/>
  <c r="Y3398" i="6"/>
  <c r="U3398" i="6"/>
  <c r="Q3398" i="6"/>
  <c r="M3398" i="6"/>
  <c r="I3398" i="6"/>
  <c r="AD3346" i="6"/>
  <c r="Z3346" i="6"/>
  <c r="V3346" i="6"/>
  <c r="R3346" i="6"/>
  <c r="N3346" i="6"/>
  <c r="J3346" i="6"/>
  <c r="AB3398" i="6"/>
  <c r="X3398" i="6"/>
  <c r="T3398" i="6"/>
  <c r="P3398" i="6"/>
  <c r="L3398" i="6"/>
  <c r="H3398" i="6"/>
  <c r="AE3398" i="6"/>
  <c r="AA3398" i="6"/>
  <c r="W3398" i="6"/>
  <c r="S3398" i="6"/>
  <c r="O3398" i="6"/>
  <c r="K3398" i="6"/>
  <c r="G3398" i="6"/>
  <c r="AB3346" i="6"/>
  <c r="X3346" i="6"/>
  <c r="T3346" i="6"/>
  <c r="P3346" i="6"/>
  <c r="L3346" i="6"/>
  <c r="H3346" i="6"/>
  <c r="AK3406" i="6"/>
  <c r="AG3406" i="6"/>
  <c r="AC3406" i="6"/>
  <c r="Y3406" i="6"/>
  <c r="U3406" i="6"/>
  <c r="Q3406" i="6"/>
  <c r="AL3354" i="6"/>
  <c r="AH3354" i="6"/>
  <c r="AD3354" i="6"/>
  <c r="Z3354" i="6"/>
  <c r="V3354" i="6"/>
  <c r="R3354" i="6"/>
  <c r="AJ3406" i="6"/>
  <c r="AF3406" i="6"/>
  <c r="AB3406" i="6"/>
  <c r="X3406" i="6"/>
  <c r="T3406" i="6"/>
  <c r="P3406" i="6"/>
  <c r="AM3406" i="6"/>
  <c r="AI3406" i="6"/>
  <c r="AE3406" i="6"/>
  <c r="AA3406" i="6"/>
  <c r="W3406" i="6"/>
  <c r="S3406" i="6"/>
  <c r="O3406" i="6"/>
  <c r="AJ3354" i="6"/>
  <c r="AF3354" i="6"/>
  <c r="AB3354" i="6"/>
  <c r="X3354" i="6"/>
  <c r="T3354" i="6"/>
  <c r="P3354" i="6"/>
  <c r="AS3414" i="6"/>
  <c r="AO3414" i="6"/>
  <c r="AK3414" i="6"/>
  <c r="AG3414" i="6"/>
  <c r="AC3414" i="6"/>
  <c r="Y3414" i="6"/>
  <c r="AT3362" i="6"/>
  <c r="AP3362" i="6"/>
  <c r="AL3362" i="6"/>
  <c r="AH3362" i="6"/>
  <c r="AD3362" i="6"/>
  <c r="Z3362" i="6"/>
  <c r="AR3414" i="6"/>
  <c r="AN3414" i="6"/>
  <c r="AJ3414" i="6"/>
  <c r="AF3414" i="6"/>
  <c r="AB3414" i="6"/>
  <c r="X3414" i="6"/>
  <c r="AU3414" i="6"/>
  <c r="AQ3414" i="6"/>
  <c r="AM3414" i="6"/>
  <c r="AI3414" i="6"/>
  <c r="AE3414" i="6"/>
  <c r="AA3414" i="6"/>
  <c r="W3414" i="6"/>
  <c r="AR3362" i="6"/>
  <c r="AN3362" i="6"/>
  <c r="AJ3362" i="6"/>
  <c r="AF3362" i="6"/>
  <c r="AB3362" i="6"/>
  <c r="X3362" i="6"/>
  <c r="BA3422" i="6"/>
  <c r="AW3422" i="6"/>
  <c r="AS3422" i="6"/>
  <c r="AO3422" i="6"/>
  <c r="AK3422" i="6"/>
  <c r="AG3422" i="6"/>
  <c r="BB3370" i="6"/>
  <c r="AX3370" i="6"/>
  <c r="AT3370" i="6"/>
  <c r="AP3370" i="6"/>
  <c r="AL3370" i="6"/>
  <c r="AH3370" i="6"/>
  <c r="AZ3422" i="6"/>
  <c r="AV3422" i="6"/>
  <c r="AR3422" i="6"/>
  <c r="AN3422" i="6"/>
  <c r="AJ3422" i="6"/>
  <c r="AF3422" i="6"/>
  <c r="BC3422" i="6"/>
  <c r="AY3422" i="6"/>
  <c r="AU3422" i="6"/>
  <c r="AQ3422" i="6"/>
  <c r="AM3422" i="6"/>
  <c r="AI3422" i="6"/>
  <c r="AE3422" i="6"/>
  <c r="AZ3370" i="6"/>
  <c r="AV3370" i="6"/>
  <c r="AR3370" i="6"/>
  <c r="AN3370" i="6"/>
  <c r="AJ3370" i="6"/>
  <c r="AF3370" i="6"/>
  <c r="BI3430" i="6"/>
  <c r="BE3430" i="6"/>
  <c r="BA3430" i="6"/>
  <c r="AW3430" i="6"/>
  <c r="AS3430" i="6"/>
  <c r="AO3430" i="6"/>
  <c r="BJ3378" i="6"/>
  <c r="BF3378" i="6"/>
  <c r="BB3378" i="6"/>
  <c r="AX3378" i="6"/>
  <c r="AT3378" i="6"/>
  <c r="AP3378" i="6"/>
  <c r="BH3430" i="6"/>
  <c r="BD3430" i="6"/>
  <c r="AZ3430" i="6"/>
  <c r="AV3430" i="6"/>
  <c r="AR3430" i="6"/>
  <c r="AN3430" i="6"/>
  <c r="BK3430" i="6"/>
  <c r="BG3430" i="6"/>
  <c r="BC3430" i="6"/>
  <c r="AY3430" i="6"/>
  <c r="AU3430" i="6"/>
  <c r="AQ3430" i="6"/>
  <c r="AM3430" i="6"/>
  <c r="BH3378" i="6"/>
  <c r="BD3378" i="6"/>
  <c r="AZ3378" i="6"/>
  <c r="AV3378" i="6"/>
  <c r="AR3378" i="6"/>
  <c r="AN3378" i="6"/>
  <c r="BQ3438" i="6"/>
  <c r="BM3438" i="6"/>
  <c r="BI3438" i="6"/>
  <c r="BE3438" i="6"/>
  <c r="BA3438" i="6"/>
  <c r="AW3438" i="6"/>
  <c r="BR3386" i="6"/>
  <c r="BN3386" i="6"/>
  <c r="BJ3386" i="6"/>
  <c r="BF3386" i="6"/>
  <c r="BB3386" i="6"/>
  <c r="AX3386" i="6"/>
  <c r="BP3438" i="6"/>
  <c r="BL3438" i="6"/>
  <c r="BH3438" i="6"/>
  <c r="BD3438" i="6"/>
  <c r="AZ3438" i="6"/>
  <c r="AV3438" i="6"/>
  <c r="BS3438" i="6"/>
  <c r="BO3438" i="6"/>
  <c r="BK3438" i="6"/>
  <c r="BG3438" i="6"/>
  <c r="BC3438" i="6"/>
  <c r="AY3438" i="6"/>
  <c r="AU3438" i="6"/>
  <c r="BP3386" i="6"/>
  <c r="BL3386" i="6"/>
  <c r="BH3386" i="6"/>
  <c r="BD3386" i="6"/>
  <c r="AZ3386" i="6"/>
  <c r="AV3386" i="6"/>
  <c r="D3340" i="6"/>
  <c r="N3340" i="6"/>
  <c r="T3340" i="6"/>
  <c r="AD3340" i="6"/>
  <c r="AJ3340" i="6"/>
  <c r="AT3340" i="6"/>
  <c r="AZ3340" i="6"/>
  <c r="I3342" i="6"/>
  <c r="Q3342" i="6"/>
  <c r="Y3342" i="6"/>
  <c r="I3344" i="6"/>
  <c r="Q3344" i="6"/>
  <c r="Y3344" i="6"/>
  <c r="I3346" i="6"/>
  <c r="Q3346" i="6"/>
  <c r="Y3346" i="6"/>
  <c r="Q3350" i="6"/>
  <c r="Y3350" i="6"/>
  <c r="AG3350" i="6"/>
  <c r="Q3352" i="6"/>
  <c r="Y3352" i="6"/>
  <c r="AG3352" i="6"/>
  <c r="Q3354" i="6"/>
  <c r="Y3354" i="6"/>
  <c r="AG3354" i="6"/>
  <c r="Y3358" i="6"/>
  <c r="AG3358" i="6"/>
  <c r="AO3358" i="6"/>
  <c r="Y3360" i="6"/>
  <c r="AG3360" i="6"/>
  <c r="AO3360" i="6"/>
  <c r="Y3362" i="6"/>
  <c r="AG3362" i="6"/>
  <c r="AO3362" i="6"/>
  <c r="AG3366" i="6"/>
  <c r="AO3366" i="6"/>
  <c r="AW3366" i="6"/>
  <c r="AG3368" i="6"/>
  <c r="AO3368" i="6"/>
  <c r="AW3368" i="6"/>
  <c r="AG3370" i="6"/>
  <c r="AO3370" i="6"/>
  <c r="AW3370" i="6"/>
  <c r="AO3374" i="6"/>
  <c r="AW3374" i="6"/>
  <c r="BE3374" i="6"/>
  <c r="AO3376" i="6"/>
  <c r="AW3376" i="6"/>
  <c r="BE3376" i="6"/>
  <c r="AO3378" i="6"/>
  <c r="AW3378" i="6"/>
  <c r="BE3378" i="6"/>
  <c r="AW3382" i="6"/>
  <c r="BE3382" i="6"/>
  <c r="BM3382" i="6"/>
  <c r="AW3384" i="6"/>
  <c r="BE3384" i="6"/>
  <c r="BM3384" i="6"/>
  <c r="AW3386" i="6"/>
  <c r="BE3386" i="6"/>
  <c r="BM3386" i="6"/>
  <c r="BE3390" i="6"/>
  <c r="BM3390" i="6"/>
  <c r="BU3390" i="6"/>
  <c r="BE3392" i="6"/>
  <c r="BM3392" i="6"/>
  <c r="BU3392" i="6"/>
  <c r="N3394" i="6"/>
  <c r="N3396" i="6"/>
  <c r="N3398" i="6"/>
  <c r="AD3398" i="6"/>
  <c r="N3402" i="6"/>
  <c r="AD3402" i="6"/>
  <c r="N3404" i="6"/>
  <c r="AD3404" i="6"/>
  <c r="AD3406" i="6"/>
  <c r="AD3410" i="6"/>
  <c r="AD3412" i="6"/>
  <c r="AD3414" i="6"/>
  <c r="AT3414" i="6"/>
  <c r="AD3418" i="6"/>
  <c r="AT3418" i="6"/>
  <c r="AD3420" i="6"/>
  <c r="AT3420" i="6"/>
  <c r="AT3422" i="6"/>
  <c r="AT3426" i="6"/>
  <c r="AT3428" i="6"/>
  <c r="AT3430" i="6"/>
  <c r="BJ3430" i="6"/>
  <c r="AT3434" i="6"/>
  <c r="BJ3434" i="6"/>
  <c r="AT3436" i="6"/>
  <c r="BJ3436" i="6"/>
  <c r="BJ3438" i="6"/>
  <c r="BJ3442" i="6"/>
  <c r="BJ3444" i="6"/>
  <c r="L3445" i="6"/>
  <c r="H3447" i="6"/>
  <c r="H3445" i="6" s="1"/>
  <c r="X3447" i="6"/>
  <c r="P3449" i="6"/>
  <c r="P3445" i="6" s="1"/>
  <c r="H3451" i="6"/>
  <c r="X3451" i="6"/>
  <c r="P3453" i="6"/>
  <c r="X3455" i="6"/>
  <c r="P3457" i="6"/>
  <c r="AF3457" i="6"/>
  <c r="AF3445" i="6" s="1"/>
  <c r="X3459" i="6"/>
  <c r="AF3461" i="6"/>
  <c r="X3463" i="6"/>
  <c r="AN3463" i="6"/>
  <c r="AF3465" i="6"/>
  <c r="X3467" i="6"/>
  <c r="AN3467" i="6"/>
  <c r="AN3471" i="6"/>
  <c r="AF3473" i="6"/>
  <c r="AV3473" i="6"/>
  <c r="AV3477" i="6"/>
  <c r="AN3479" i="6"/>
  <c r="BD3479" i="6"/>
  <c r="BD3445" i="6" s="1"/>
  <c r="AV3481" i="6"/>
  <c r="AN3483" i="6"/>
  <c r="BD3483" i="6"/>
  <c r="BD3487" i="6"/>
  <c r="AV3489" i="6"/>
  <c r="BL3489" i="6"/>
  <c r="BL3493" i="6"/>
  <c r="BD3495" i="6"/>
  <c r="BT3495" i="6"/>
  <c r="BT3445" i="6" s="1"/>
  <c r="AC3500" i="6"/>
  <c r="AS3500" i="6"/>
  <c r="M3501" i="6"/>
  <c r="AC3501" i="6"/>
  <c r="AS3501" i="6"/>
  <c r="E4" i="7"/>
  <c r="P5" i="7"/>
  <c r="W39" i="23"/>
  <c r="X2451" i="6" s="1"/>
  <c r="W32" i="22"/>
  <c r="W32" i="21"/>
  <c r="X2009" i="6" s="1"/>
  <c r="W32" i="20"/>
  <c r="W32" i="18"/>
  <c r="X1334" i="6" s="1"/>
  <c r="W32" i="19"/>
  <c r="X1559" i="6" s="1"/>
  <c r="W37" i="17"/>
  <c r="W42" i="16"/>
  <c r="X882" i="6" s="1"/>
  <c r="W34" i="15"/>
  <c r="X657" i="6" s="1"/>
  <c r="W49" i="14"/>
  <c r="W41" i="13"/>
  <c r="X7" i="7"/>
  <c r="U14" i="7"/>
  <c r="AG26" i="7"/>
  <c r="AH23" i="7"/>
  <c r="AH26" i="7" s="1"/>
  <c r="C46" i="8"/>
  <c r="H46" i="8"/>
  <c r="M46" i="8"/>
  <c r="H45" i="8"/>
  <c r="H47" i="8"/>
  <c r="W6" i="9"/>
  <c r="C15" i="9"/>
  <c r="K15" i="9"/>
  <c r="O15" i="9"/>
  <c r="D12" i="9"/>
  <c r="D11" i="9" s="1"/>
  <c r="I15" i="9"/>
  <c r="I14" i="9"/>
  <c r="F188" i="10"/>
  <c r="F3337" i="6" s="1"/>
  <c r="G30" i="5" s="1"/>
  <c r="O213" i="10"/>
  <c r="O220" i="10" s="1"/>
  <c r="N213" i="10"/>
  <c r="N220" i="10" s="1"/>
  <c r="Q213" i="10"/>
  <c r="Q220" i="10" s="1"/>
  <c r="M213" i="10"/>
  <c r="M220" i="10" s="1"/>
  <c r="P216" i="10"/>
  <c r="P223" i="10" s="1"/>
  <c r="L216" i="10"/>
  <c r="L223" i="10" s="1"/>
  <c r="O216" i="10"/>
  <c r="O223" i="10" s="1"/>
  <c r="K216" i="10"/>
  <c r="K223" i="10" s="1"/>
  <c r="R216" i="10"/>
  <c r="R223" i="10" s="1"/>
  <c r="N216" i="10"/>
  <c r="N223" i="10" s="1"/>
  <c r="L213" i="10"/>
  <c r="L220" i="10" s="1"/>
  <c r="M215" i="10"/>
  <c r="M222" i="10" s="1"/>
  <c r="T60" i="12"/>
  <c r="S60" i="12"/>
  <c r="U62" i="12"/>
  <c r="U67" i="12"/>
  <c r="V68" i="12"/>
  <c r="W40" i="13"/>
  <c r="U45" i="13"/>
  <c r="U32" i="13" s="1"/>
  <c r="Q45" i="13"/>
  <c r="Q2" i="13" s="1"/>
  <c r="M45" i="13"/>
  <c r="I45" i="13"/>
  <c r="E45" i="13"/>
  <c r="W32" i="13"/>
  <c r="W24" i="13"/>
  <c r="W19" i="13"/>
  <c r="T45" i="13"/>
  <c r="P45" i="13"/>
  <c r="L45" i="13"/>
  <c r="H45" i="13"/>
  <c r="D45" i="13"/>
  <c r="U24" i="13"/>
  <c r="W17" i="13"/>
  <c r="X17" i="13" s="1"/>
  <c r="Y17" i="13" s="1"/>
  <c r="Z17" i="13" s="1"/>
  <c r="AA17" i="13" s="1"/>
  <c r="AB17" i="13" s="1"/>
  <c r="AC17" i="13" s="1"/>
  <c r="AD17" i="13" s="1"/>
  <c r="AE17" i="13" s="1"/>
  <c r="AF17" i="13" s="1"/>
  <c r="AG17" i="13" s="1"/>
  <c r="AH17" i="13" s="1"/>
  <c r="AI17" i="13" s="1"/>
  <c r="AJ17" i="13" s="1"/>
  <c r="AK17" i="13" s="1"/>
  <c r="AL17" i="13" s="1"/>
  <c r="AM17" i="13" s="1"/>
  <c r="AN17" i="13" s="1"/>
  <c r="AO17" i="13" s="1"/>
  <c r="AP17" i="13" s="1"/>
  <c r="AQ17" i="13" s="1"/>
  <c r="AR17" i="13" s="1"/>
  <c r="AS17" i="13" s="1"/>
  <c r="AT17" i="13" s="1"/>
  <c r="AU17" i="13" s="1"/>
  <c r="AV17" i="13" s="1"/>
  <c r="AW17" i="13" s="1"/>
  <c r="AX17" i="13" s="1"/>
  <c r="AY17" i="13" s="1"/>
  <c r="AZ17" i="13" s="1"/>
  <c r="W45" i="13"/>
  <c r="X45" i="13" s="1"/>
  <c r="Y45" i="13" s="1"/>
  <c r="Z45" i="13" s="1"/>
  <c r="AA45" i="13" s="1"/>
  <c r="AB45" i="13" s="1"/>
  <c r="AC45" i="13" s="1"/>
  <c r="AD45" i="13" s="1"/>
  <c r="AE45" i="13" s="1"/>
  <c r="AF45" i="13" s="1"/>
  <c r="AG45" i="13" s="1"/>
  <c r="AH45" i="13" s="1"/>
  <c r="AI45" i="13" s="1"/>
  <c r="AJ45" i="13" s="1"/>
  <c r="AK45" i="13" s="1"/>
  <c r="AL45" i="13" s="1"/>
  <c r="AM45" i="13" s="1"/>
  <c r="AN45" i="13" s="1"/>
  <c r="AO45" i="13" s="1"/>
  <c r="AP45" i="13" s="1"/>
  <c r="AQ45" i="13" s="1"/>
  <c r="AR45" i="13" s="1"/>
  <c r="AS45" i="13" s="1"/>
  <c r="AT45" i="13" s="1"/>
  <c r="AU45" i="13" s="1"/>
  <c r="AV45" i="13" s="1"/>
  <c r="AW45" i="13" s="1"/>
  <c r="AX45" i="13" s="1"/>
  <c r="AY45" i="13" s="1"/>
  <c r="AZ45" i="13" s="1"/>
  <c r="S45" i="13"/>
  <c r="T2" i="13" s="1"/>
  <c r="U2" i="13" s="1"/>
  <c r="O45" i="13"/>
  <c r="K45" i="13"/>
  <c r="G45" i="13"/>
  <c r="C45" i="13"/>
  <c r="W25" i="13"/>
  <c r="Y52" i="13"/>
  <c r="Z61" i="13"/>
  <c r="X63" i="13"/>
  <c r="Y63" i="13" s="1"/>
  <c r="Y68" i="13"/>
  <c r="Y95" i="13"/>
  <c r="X97" i="13"/>
  <c r="Y103" i="13"/>
  <c r="Y106" i="13"/>
  <c r="Z106" i="13" s="1"/>
  <c r="X106" i="13"/>
  <c r="X129" i="14"/>
  <c r="Y143" i="14"/>
  <c r="X161" i="14"/>
  <c r="Y175" i="14"/>
  <c r="X193" i="14"/>
  <c r="Y207" i="14"/>
  <c r="Z207" i="14" s="1"/>
  <c r="X68" i="20"/>
  <c r="E3446" i="6"/>
  <c r="E3445" i="6" s="1"/>
  <c r="I3446" i="6"/>
  <c r="M3446" i="6"/>
  <c r="Q3446" i="6"/>
  <c r="U3446" i="6"/>
  <c r="E3448" i="6"/>
  <c r="I3448" i="6"/>
  <c r="M3448" i="6"/>
  <c r="Q3448" i="6"/>
  <c r="U3448" i="6"/>
  <c r="Y3448" i="6"/>
  <c r="I3450" i="6"/>
  <c r="M3450" i="6"/>
  <c r="Q3450" i="6"/>
  <c r="U3450" i="6"/>
  <c r="Y3450" i="6"/>
  <c r="I3452" i="6"/>
  <c r="M3452" i="6"/>
  <c r="Q3452" i="6"/>
  <c r="U3452" i="6"/>
  <c r="Y3452" i="6"/>
  <c r="AC3452" i="6"/>
  <c r="M3454" i="6"/>
  <c r="Q3454" i="6"/>
  <c r="U3454" i="6"/>
  <c r="Y3454" i="6"/>
  <c r="AC3454" i="6"/>
  <c r="M3456" i="6"/>
  <c r="Q3456" i="6"/>
  <c r="U3456" i="6"/>
  <c r="Y3456" i="6"/>
  <c r="AC3456" i="6"/>
  <c r="AG3456" i="6"/>
  <c r="Q3458" i="6"/>
  <c r="U3458" i="6"/>
  <c r="Y3458" i="6"/>
  <c r="AC3458" i="6"/>
  <c r="AG3458" i="6"/>
  <c r="Q3460" i="6"/>
  <c r="U3460" i="6"/>
  <c r="Y3460" i="6"/>
  <c r="AC3460" i="6"/>
  <c r="AG3460" i="6"/>
  <c r="AK3460" i="6"/>
  <c r="U3462" i="6"/>
  <c r="Y3462" i="6"/>
  <c r="AC3462" i="6"/>
  <c r="AG3462" i="6"/>
  <c r="AK3462" i="6"/>
  <c r="U3464" i="6"/>
  <c r="Y3464" i="6"/>
  <c r="AC3464" i="6"/>
  <c r="AG3464" i="6"/>
  <c r="AK3464" i="6"/>
  <c r="AO3464" i="6"/>
  <c r="Y3468" i="6"/>
  <c r="AC3468" i="6"/>
  <c r="AG3468" i="6"/>
  <c r="AK3468" i="6"/>
  <c r="AO3468" i="6"/>
  <c r="AS3468" i="6"/>
  <c r="AC3472" i="6"/>
  <c r="AG3472" i="6"/>
  <c r="AK3472" i="6"/>
  <c r="AO3472" i="6"/>
  <c r="AS3472" i="6"/>
  <c r="AW3472" i="6"/>
  <c r="AG3476" i="6"/>
  <c r="AK3476" i="6"/>
  <c r="AO3476" i="6"/>
  <c r="AS3476" i="6"/>
  <c r="AW3476" i="6"/>
  <c r="BA3476" i="6"/>
  <c r="AK3480" i="6"/>
  <c r="AO3480" i="6"/>
  <c r="AS3480" i="6"/>
  <c r="AW3480" i="6"/>
  <c r="BA3480" i="6"/>
  <c r="BE3480" i="6"/>
  <c r="AO3484" i="6"/>
  <c r="AS3484" i="6"/>
  <c r="AW3484" i="6"/>
  <c r="BA3484" i="6"/>
  <c r="BE3484" i="6"/>
  <c r="BI3484" i="6"/>
  <c r="AS3488" i="6"/>
  <c r="AW3488" i="6"/>
  <c r="BA3488" i="6"/>
  <c r="BE3488" i="6"/>
  <c r="BI3488" i="6"/>
  <c r="BM3488" i="6"/>
  <c r="AW3492" i="6"/>
  <c r="BA3492" i="6"/>
  <c r="BE3492" i="6"/>
  <c r="BI3492" i="6"/>
  <c r="BM3492" i="6"/>
  <c r="BQ3492" i="6"/>
  <c r="BQ3445" i="6" s="1"/>
  <c r="BA3496" i="6"/>
  <c r="BE3496" i="6"/>
  <c r="BI3496" i="6"/>
  <c r="BM3496" i="6"/>
  <c r="BQ3496" i="6"/>
  <c r="BU3496" i="6"/>
  <c r="BU3445" i="6" s="1"/>
  <c r="C3498" i="6"/>
  <c r="F3501" i="6"/>
  <c r="J3501" i="6"/>
  <c r="N3501" i="6"/>
  <c r="R3501" i="6"/>
  <c r="V3501" i="6"/>
  <c r="Z3501" i="6"/>
  <c r="AD3501" i="6"/>
  <c r="AH3501" i="6"/>
  <c r="AL3501" i="6"/>
  <c r="AP3501" i="6"/>
  <c r="AT3501" i="6"/>
  <c r="AX3501" i="6"/>
  <c r="E36" i="23"/>
  <c r="E29" i="22"/>
  <c r="E29" i="21"/>
  <c r="E29" i="19"/>
  <c r="E29" i="20"/>
  <c r="E29" i="18"/>
  <c r="E34" i="17"/>
  <c r="E39" i="16"/>
  <c r="E46" i="14"/>
  <c r="I36" i="23"/>
  <c r="I29" i="22"/>
  <c r="I29" i="21"/>
  <c r="I29" i="20"/>
  <c r="I34" i="17"/>
  <c r="I29" i="19"/>
  <c r="I29" i="18"/>
  <c r="I31" i="15"/>
  <c r="I46" i="14"/>
  <c r="M36" i="23"/>
  <c r="M29" i="22"/>
  <c r="M29" i="21"/>
  <c r="M29" i="19"/>
  <c r="M29" i="18"/>
  <c r="M34" i="17"/>
  <c r="M29" i="20"/>
  <c r="M39" i="16"/>
  <c r="Q36" i="23"/>
  <c r="Q29" i="22"/>
  <c r="Q29" i="21"/>
  <c r="Q29" i="20"/>
  <c r="Q34" i="17"/>
  <c r="Q29" i="19"/>
  <c r="Q29" i="18"/>
  <c r="Q46" i="14"/>
  <c r="Q39" i="16"/>
  <c r="Q31" i="15"/>
  <c r="E37" i="23"/>
  <c r="E30" i="22"/>
  <c r="F2229" i="6" s="1"/>
  <c r="E30" i="21"/>
  <c r="F2008" i="6" s="1"/>
  <c r="E30" i="20"/>
  <c r="F1783" i="6" s="1"/>
  <c r="E30" i="19"/>
  <c r="F1558" i="6" s="1"/>
  <c r="E30" i="18"/>
  <c r="F1333" i="6" s="1"/>
  <c r="E40" i="16"/>
  <c r="F881" i="6" s="1"/>
  <c r="E32" i="15"/>
  <c r="F656" i="6" s="1"/>
  <c r="E35" i="17"/>
  <c r="F1108" i="6" s="1"/>
  <c r="E47" i="14"/>
  <c r="F419" i="6" s="1"/>
  <c r="I37" i="23"/>
  <c r="I30" i="22"/>
  <c r="J2229" i="6" s="1"/>
  <c r="I30" i="21"/>
  <c r="J2008" i="6" s="1"/>
  <c r="I30" i="19"/>
  <c r="J1558" i="6" s="1"/>
  <c r="I30" i="20"/>
  <c r="J1783" i="6" s="1"/>
  <c r="I30" i="18"/>
  <c r="J1333" i="6" s="1"/>
  <c r="I40" i="16"/>
  <c r="J881" i="6" s="1"/>
  <c r="I32" i="15"/>
  <c r="J656" i="6" s="1"/>
  <c r="I35" i="17"/>
  <c r="J1108" i="6" s="1"/>
  <c r="M37" i="23"/>
  <c r="M30" i="22"/>
  <c r="N2229" i="6" s="1"/>
  <c r="M30" i="21"/>
  <c r="N2008" i="6" s="1"/>
  <c r="M30" i="20"/>
  <c r="N1783" i="6" s="1"/>
  <c r="M30" i="19"/>
  <c r="N1558" i="6" s="1"/>
  <c r="M30" i="18"/>
  <c r="N1333" i="6" s="1"/>
  <c r="M40" i="16"/>
  <c r="N881" i="6" s="1"/>
  <c r="M32" i="15"/>
  <c r="N656" i="6" s="1"/>
  <c r="M35" i="17"/>
  <c r="N1108" i="6" s="1"/>
  <c r="M47" i="14"/>
  <c r="N419" i="6" s="1"/>
  <c r="Q37" i="23"/>
  <c r="Q30" i="22"/>
  <c r="R2229" i="6" s="1"/>
  <c r="Q30" i="21"/>
  <c r="R2008" i="6" s="1"/>
  <c r="Q30" i="19"/>
  <c r="R1558" i="6" s="1"/>
  <c r="Q30" i="20"/>
  <c r="R1783" i="6" s="1"/>
  <c r="Q30" i="18"/>
  <c r="R1333" i="6" s="1"/>
  <c r="Q40" i="16"/>
  <c r="R881" i="6" s="1"/>
  <c r="Q32" i="15"/>
  <c r="R656" i="6" s="1"/>
  <c r="Q35" i="17"/>
  <c r="R1108" i="6" s="1"/>
  <c r="Q47" i="14"/>
  <c r="R419" i="6" s="1"/>
  <c r="F4" i="7"/>
  <c r="J4" i="7"/>
  <c r="N4" i="7"/>
  <c r="R4" i="7"/>
  <c r="E5" i="7"/>
  <c r="I5" i="7"/>
  <c r="M5" i="7"/>
  <c r="Q5" i="7"/>
  <c r="Z24" i="7"/>
  <c r="I47" i="8"/>
  <c r="I49" i="8"/>
  <c r="V214" i="10"/>
  <c r="T298" i="10"/>
  <c r="Y82" i="13"/>
  <c r="X105" i="13"/>
  <c r="Z110" i="13"/>
  <c r="Y110" i="13"/>
  <c r="Z112" i="13"/>
  <c r="X114" i="13"/>
  <c r="X122" i="13"/>
  <c r="T18" i="14"/>
  <c r="S18" i="14" s="1"/>
  <c r="R18" i="14" s="1"/>
  <c r="Q18" i="14" s="1"/>
  <c r="P18" i="14" s="1"/>
  <c r="O18" i="14" s="1"/>
  <c r="N18" i="14" s="1"/>
  <c r="M18" i="14" s="1"/>
  <c r="L18" i="14" s="1"/>
  <c r="K18" i="14" s="1"/>
  <c r="J18" i="14" s="1"/>
  <c r="I18" i="14" s="1"/>
  <c r="H18" i="14" s="1"/>
  <c r="G18" i="14" s="1"/>
  <c r="F18" i="14" s="1"/>
  <c r="E18" i="14" s="1"/>
  <c r="D18" i="14" s="1"/>
  <c r="C18" i="14" s="1"/>
  <c r="B18" i="14" s="1"/>
  <c r="U53" i="14"/>
  <c r="Q53" i="14"/>
  <c r="M53" i="14"/>
  <c r="I53" i="14"/>
  <c r="E53" i="14"/>
  <c r="T53" i="14"/>
  <c r="O53" i="14"/>
  <c r="J53" i="14"/>
  <c r="D53" i="14"/>
  <c r="W24" i="14"/>
  <c r="X24" i="14" s="1"/>
  <c r="Y24" i="14" s="1"/>
  <c r="Z24" i="14" s="1"/>
  <c r="AA24" i="14" s="1"/>
  <c r="AB24" i="14" s="1"/>
  <c r="AC24" i="14" s="1"/>
  <c r="AD24" i="14" s="1"/>
  <c r="AE24" i="14" s="1"/>
  <c r="AF24" i="14" s="1"/>
  <c r="AG24" i="14" s="1"/>
  <c r="AH24" i="14" s="1"/>
  <c r="AI24" i="14" s="1"/>
  <c r="AJ24" i="14" s="1"/>
  <c r="AK24" i="14" s="1"/>
  <c r="AL24" i="14" s="1"/>
  <c r="AM24" i="14" s="1"/>
  <c r="AN24" i="14" s="1"/>
  <c r="AO24" i="14" s="1"/>
  <c r="AP24" i="14" s="1"/>
  <c r="AQ24" i="14" s="1"/>
  <c r="AR24" i="14" s="1"/>
  <c r="AS24" i="14" s="1"/>
  <c r="AT24" i="14" s="1"/>
  <c r="AU24" i="14" s="1"/>
  <c r="AV24" i="14" s="1"/>
  <c r="AW24" i="14" s="1"/>
  <c r="AX24" i="14" s="1"/>
  <c r="AY24" i="14" s="1"/>
  <c r="AZ24" i="14" s="1"/>
  <c r="S53" i="14"/>
  <c r="N53" i="14"/>
  <c r="H53" i="14"/>
  <c r="C53" i="14"/>
  <c r="W27" i="14"/>
  <c r="X27" i="14" s="1"/>
  <c r="Y27" i="14" s="1"/>
  <c r="Z27" i="14" s="1"/>
  <c r="AA27" i="14" s="1"/>
  <c r="AB27" i="14" s="1"/>
  <c r="AC27" i="14" s="1"/>
  <c r="AD27" i="14" s="1"/>
  <c r="AE27" i="14" s="1"/>
  <c r="AF27" i="14" s="1"/>
  <c r="AG27" i="14" s="1"/>
  <c r="AH27" i="14" s="1"/>
  <c r="AI27" i="14" s="1"/>
  <c r="AJ27" i="14" s="1"/>
  <c r="AK27" i="14" s="1"/>
  <c r="AL27" i="14" s="1"/>
  <c r="AM27" i="14" s="1"/>
  <c r="AN27" i="14" s="1"/>
  <c r="AO27" i="14" s="1"/>
  <c r="AP27" i="14" s="1"/>
  <c r="AQ27" i="14" s="1"/>
  <c r="AR27" i="14" s="1"/>
  <c r="AS27" i="14" s="1"/>
  <c r="AT27" i="14" s="1"/>
  <c r="AU27" i="14" s="1"/>
  <c r="AV27" i="14" s="1"/>
  <c r="AW27" i="14" s="1"/>
  <c r="AX27" i="14" s="1"/>
  <c r="AY27" i="14" s="1"/>
  <c r="AZ27" i="14" s="1"/>
  <c r="W2" i="14"/>
  <c r="X2" i="14" s="1"/>
  <c r="Y2" i="14" s="1"/>
  <c r="Z2" i="14" s="1"/>
  <c r="AA2" i="14" s="1"/>
  <c r="AB2" i="14" s="1"/>
  <c r="AC2" i="14" s="1"/>
  <c r="AD2" i="14" s="1"/>
  <c r="AE2" i="14" s="1"/>
  <c r="AF2" i="14" s="1"/>
  <c r="AG2" i="14" s="1"/>
  <c r="AH2" i="14" s="1"/>
  <c r="AI2" i="14" s="1"/>
  <c r="AJ2" i="14" s="1"/>
  <c r="AK2" i="14" s="1"/>
  <c r="AL2" i="14" s="1"/>
  <c r="AM2" i="14" s="1"/>
  <c r="AN2" i="14" s="1"/>
  <c r="AO2" i="14" s="1"/>
  <c r="AP2" i="14" s="1"/>
  <c r="AQ2" i="14" s="1"/>
  <c r="AR2" i="14" s="1"/>
  <c r="AS2" i="14" s="1"/>
  <c r="AT2" i="14" s="1"/>
  <c r="AU2" i="14" s="1"/>
  <c r="AV2" i="14" s="1"/>
  <c r="AW2" i="14" s="1"/>
  <c r="AX2" i="14" s="1"/>
  <c r="AY2" i="14" s="1"/>
  <c r="AZ2" i="14" s="1"/>
  <c r="W53" i="14"/>
  <c r="X53" i="14" s="1"/>
  <c r="Y53" i="14" s="1"/>
  <c r="Z53" i="14" s="1"/>
  <c r="AA53" i="14" s="1"/>
  <c r="AB53" i="14" s="1"/>
  <c r="AC53" i="14" s="1"/>
  <c r="AD53" i="14" s="1"/>
  <c r="AE53" i="14" s="1"/>
  <c r="AF53" i="14" s="1"/>
  <c r="AG53" i="14" s="1"/>
  <c r="AH53" i="14" s="1"/>
  <c r="AI53" i="14" s="1"/>
  <c r="AJ53" i="14" s="1"/>
  <c r="AK53" i="14" s="1"/>
  <c r="AL53" i="14" s="1"/>
  <c r="AM53" i="14" s="1"/>
  <c r="AN53" i="14" s="1"/>
  <c r="AO53" i="14" s="1"/>
  <c r="AP53" i="14" s="1"/>
  <c r="AQ53" i="14" s="1"/>
  <c r="AR53" i="14" s="1"/>
  <c r="AS53" i="14" s="1"/>
  <c r="AT53" i="14" s="1"/>
  <c r="AU53" i="14" s="1"/>
  <c r="AV53" i="14" s="1"/>
  <c r="AW53" i="14" s="1"/>
  <c r="AX53" i="14" s="1"/>
  <c r="AY53" i="14" s="1"/>
  <c r="AZ53" i="14" s="1"/>
  <c r="R53" i="14"/>
  <c r="L53" i="14"/>
  <c r="G53" i="14"/>
  <c r="B53" i="14"/>
  <c r="W36" i="14"/>
  <c r="X36" i="14" s="1"/>
  <c r="Y36" i="14" s="1"/>
  <c r="Z36" i="14" s="1"/>
  <c r="AA36" i="14" s="1"/>
  <c r="AB36" i="14" s="1"/>
  <c r="AC36" i="14" s="1"/>
  <c r="AD36" i="14" s="1"/>
  <c r="AE36" i="14" s="1"/>
  <c r="AF36" i="14" s="1"/>
  <c r="AG36" i="14" s="1"/>
  <c r="AH36" i="14" s="1"/>
  <c r="AI36" i="14" s="1"/>
  <c r="AJ36" i="14" s="1"/>
  <c r="AK36" i="14" s="1"/>
  <c r="AL36" i="14" s="1"/>
  <c r="AM36" i="14" s="1"/>
  <c r="AN36" i="14" s="1"/>
  <c r="AO36" i="14" s="1"/>
  <c r="AP36" i="14" s="1"/>
  <c r="AQ36" i="14" s="1"/>
  <c r="AR36" i="14" s="1"/>
  <c r="AS36" i="14" s="1"/>
  <c r="AT36" i="14" s="1"/>
  <c r="AU36" i="14" s="1"/>
  <c r="AV36" i="14" s="1"/>
  <c r="AW36" i="14" s="1"/>
  <c r="AX36" i="14" s="1"/>
  <c r="AY36" i="14" s="1"/>
  <c r="AZ36" i="14" s="1"/>
  <c r="W23" i="14"/>
  <c r="X23" i="14" s="1"/>
  <c r="Y23" i="14" s="1"/>
  <c r="Z23" i="14" s="1"/>
  <c r="AA23" i="14" s="1"/>
  <c r="AB23" i="14" s="1"/>
  <c r="AC23" i="14" s="1"/>
  <c r="AD23" i="14" s="1"/>
  <c r="AE23" i="14" s="1"/>
  <c r="AF23" i="14" s="1"/>
  <c r="AG23" i="14" s="1"/>
  <c r="AH23" i="14" s="1"/>
  <c r="AI23" i="14" s="1"/>
  <c r="AJ23" i="14" s="1"/>
  <c r="AK23" i="14" s="1"/>
  <c r="AL23" i="14" s="1"/>
  <c r="AM23" i="14" s="1"/>
  <c r="AN23" i="14" s="1"/>
  <c r="AO23" i="14" s="1"/>
  <c r="AP23" i="14" s="1"/>
  <c r="AQ23" i="14" s="1"/>
  <c r="AR23" i="14" s="1"/>
  <c r="AS23" i="14" s="1"/>
  <c r="AT23" i="14" s="1"/>
  <c r="AU23" i="14" s="1"/>
  <c r="AV23" i="14" s="1"/>
  <c r="AW23" i="14" s="1"/>
  <c r="AX23" i="14" s="1"/>
  <c r="AY23" i="14" s="1"/>
  <c r="AZ23" i="14" s="1"/>
  <c r="X72" i="14"/>
  <c r="Y72" i="14" s="1"/>
  <c r="Y88" i="14"/>
  <c r="X88" i="14"/>
  <c r="X104" i="14"/>
  <c r="Z120" i="14"/>
  <c r="Y120" i="14"/>
  <c r="AA120" i="14"/>
  <c r="X120" i="14"/>
  <c r="E31" i="15"/>
  <c r="X46" i="15"/>
  <c r="X54" i="15"/>
  <c r="X62" i="15"/>
  <c r="X70" i="15"/>
  <c r="Y51" i="16"/>
  <c r="F3446" i="6"/>
  <c r="J3446" i="6"/>
  <c r="J3445" i="6" s="1"/>
  <c r="N3446" i="6"/>
  <c r="R3446" i="6"/>
  <c r="V3446" i="6"/>
  <c r="F3448" i="6"/>
  <c r="J3448" i="6"/>
  <c r="N3448" i="6"/>
  <c r="R3448" i="6"/>
  <c r="V3448" i="6"/>
  <c r="J3450" i="6"/>
  <c r="N3450" i="6"/>
  <c r="R3450" i="6"/>
  <c r="V3450" i="6"/>
  <c r="Z3450" i="6"/>
  <c r="J3452" i="6"/>
  <c r="N3452" i="6"/>
  <c r="R3452" i="6"/>
  <c r="V3452" i="6"/>
  <c r="Z3452" i="6"/>
  <c r="N3454" i="6"/>
  <c r="R3454" i="6"/>
  <c r="V3454" i="6"/>
  <c r="Z3454" i="6"/>
  <c r="AD3454" i="6"/>
  <c r="N3456" i="6"/>
  <c r="R3456" i="6"/>
  <c r="V3456" i="6"/>
  <c r="Z3456" i="6"/>
  <c r="AD3456" i="6"/>
  <c r="R3458" i="6"/>
  <c r="V3458" i="6"/>
  <c r="Z3458" i="6"/>
  <c r="AD3458" i="6"/>
  <c r="AH3458" i="6"/>
  <c r="R3460" i="6"/>
  <c r="V3460" i="6"/>
  <c r="Z3460" i="6"/>
  <c r="AD3460" i="6"/>
  <c r="AH3460" i="6"/>
  <c r="V3462" i="6"/>
  <c r="Z3462" i="6"/>
  <c r="AD3462" i="6"/>
  <c r="AH3462" i="6"/>
  <c r="AL3462" i="6"/>
  <c r="V3464" i="6"/>
  <c r="Z3464" i="6"/>
  <c r="AD3464" i="6"/>
  <c r="AH3464" i="6"/>
  <c r="AL3464" i="6"/>
  <c r="Z3468" i="6"/>
  <c r="AD3468" i="6"/>
  <c r="AH3468" i="6"/>
  <c r="AL3468" i="6"/>
  <c r="AP3468" i="6"/>
  <c r="AD3472" i="6"/>
  <c r="AH3472" i="6"/>
  <c r="AL3472" i="6"/>
  <c r="AP3472" i="6"/>
  <c r="AT3472" i="6"/>
  <c r="AH3476" i="6"/>
  <c r="AL3476" i="6"/>
  <c r="AP3476" i="6"/>
  <c r="AT3476" i="6"/>
  <c r="AX3476" i="6"/>
  <c r="AL3480" i="6"/>
  <c r="AP3480" i="6"/>
  <c r="AT3480" i="6"/>
  <c r="AX3480" i="6"/>
  <c r="BB3480" i="6"/>
  <c r="AP3484" i="6"/>
  <c r="AT3484" i="6"/>
  <c r="AX3484" i="6"/>
  <c r="BB3484" i="6"/>
  <c r="BF3484" i="6"/>
  <c r="AT3488" i="6"/>
  <c r="AX3488" i="6"/>
  <c r="BB3488" i="6"/>
  <c r="BF3488" i="6"/>
  <c r="BJ3488" i="6"/>
  <c r="AX3492" i="6"/>
  <c r="BB3492" i="6"/>
  <c r="BF3492" i="6"/>
  <c r="BJ3492" i="6"/>
  <c r="BN3492" i="6"/>
  <c r="BB3496" i="6"/>
  <c r="BF3496" i="6"/>
  <c r="BJ3496" i="6"/>
  <c r="BN3496" i="6"/>
  <c r="BR3496" i="6"/>
  <c r="F3500" i="6"/>
  <c r="J3500" i="6"/>
  <c r="N3500" i="6"/>
  <c r="R3500" i="6"/>
  <c r="V3500" i="6"/>
  <c r="Z3500" i="6"/>
  <c r="AD3500" i="6"/>
  <c r="AH3500" i="6"/>
  <c r="AL3500" i="6"/>
  <c r="AP3500" i="6"/>
  <c r="AT3500" i="6"/>
  <c r="AX3500" i="6"/>
  <c r="B36" i="23"/>
  <c r="B29" i="22"/>
  <c r="B29" i="21"/>
  <c r="B29" i="20"/>
  <c r="B29" i="19"/>
  <c r="B34" i="17"/>
  <c r="B46" i="14"/>
  <c r="B29" i="18"/>
  <c r="B39" i="16"/>
  <c r="B31" i="15"/>
  <c r="F36" i="23"/>
  <c r="F29" i="22"/>
  <c r="F29" i="21"/>
  <c r="F29" i="20"/>
  <c r="F29" i="19"/>
  <c r="F34" i="17"/>
  <c r="F29" i="18"/>
  <c r="F46" i="14"/>
  <c r="F39" i="16"/>
  <c r="F31" i="15"/>
  <c r="J36" i="23"/>
  <c r="J29" i="22"/>
  <c r="J29" i="21"/>
  <c r="J29" i="20"/>
  <c r="J29" i="19"/>
  <c r="J34" i="17"/>
  <c r="J46" i="14"/>
  <c r="J29" i="18"/>
  <c r="J39" i="16"/>
  <c r="J31" i="15"/>
  <c r="N36" i="23"/>
  <c r="N29" i="22"/>
  <c r="N29" i="21"/>
  <c r="N29" i="20"/>
  <c r="N29" i="19"/>
  <c r="N34" i="17"/>
  <c r="N29" i="18"/>
  <c r="N46" i="14"/>
  <c r="N39" i="16"/>
  <c r="N31" i="15"/>
  <c r="B37" i="23"/>
  <c r="B30" i="22"/>
  <c r="C2229" i="6" s="1"/>
  <c r="B30" i="21"/>
  <c r="C2008" i="6" s="1"/>
  <c r="B30" i="20"/>
  <c r="C1783" i="6" s="1"/>
  <c r="B35" i="17"/>
  <c r="C1108" i="6" s="1"/>
  <c r="B30" i="19"/>
  <c r="C1558" i="6" s="1"/>
  <c r="B30" i="18"/>
  <c r="C1333" i="6" s="1"/>
  <c r="B47" i="14"/>
  <c r="C419" i="6" s="1"/>
  <c r="B40" i="16"/>
  <c r="C881" i="6" s="1"/>
  <c r="B32" i="15"/>
  <c r="C656" i="6" s="1"/>
  <c r="F37" i="23"/>
  <c r="F30" i="22"/>
  <c r="G2229" i="6" s="1"/>
  <c r="F30" i="21"/>
  <c r="G2008" i="6" s="1"/>
  <c r="F30" i="19"/>
  <c r="G1558" i="6" s="1"/>
  <c r="F30" i="18"/>
  <c r="G1333" i="6" s="1"/>
  <c r="F35" i="17"/>
  <c r="G1108" i="6" s="1"/>
  <c r="F40" i="16"/>
  <c r="G881" i="6" s="1"/>
  <c r="F47" i="14"/>
  <c r="G419" i="6" s="1"/>
  <c r="F30" i="20"/>
  <c r="G1783" i="6" s="1"/>
  <c r="J37" i="23"/>
  <c r="J30" i="22"/>
  <c r="K2229" i="6" s="1"/>
  <c r="J30" i="21"/>
  <c r="K2008" i="6" s="1"/>
  <c r="J30" i="20"/>
  <c r="K1783" i="6" s="1"/>
  <c r="J30" i="19"/>
  <c r="K1558" i="6" s="1"/>
  <c r="J35" i="17"/>
  <c r="K1108" i="6" s="1"/>
  <c r="J32" i="15"/>
  <c r="K656" i="6" s="1"/>
  <c r="J47" i="14"/>
  <c r="K419" i="6" s="1"/>
  <c r="N37" i="23"/>
  <c r="N30" i="22"/>
  <c r="O2229" i="6" s="1"/>
  <c r="N30" i="21"/>
  <c r="O2008" i="6" s="1"/>
  <c r="N30" i="19"/>
  <c r="O1558" i="6" s="1"/>
  <c r="N30" i="20"/>
  <c r="O1783" i="6" s="1"/>
  <c r="N30" i="18"/>
  <c r="O1333" i="6" s="1"/>
  <c r="N35" i="17"/>
  <c r="O1108" i="6" s="1"/>
  <c r="N40" i="16"/>
  <c r="O881" i="6" s="1"/>
  <c r="C4" i="7"/>
  <c r="G4" i="7"/>
  <c r="K4" i="7"/>
  <c r="O4" i="7"/>
  <c r="F5" i="7"/>
  <c r="J5" i="7"/>
  <c r="N5" i="7"/>
  <c r="R5" i="7"/>
  <c r="W23" i="7"/>
  <c r="AQ23" i="7"/>
  <c r="W24" i="7"/>
  <c r="AA24" i="7"/>
  <c r="AB24" i="7" s="1"/>
  <c r="AC24" i="7" s="1"/>
  <c r="AD24" i="7" s="1"/>
  <c r="AE24" i="7" s="1"/>
  <c r="AI24" i="7"/>
  <c r="AQ24" i="7"/>
  <c r="W25" i="7"/>
  <c r="X25" i="7" s="1"/>
  <c r="Y25" i="7" s="1"/>
  <c r="Z25" i="7" s="1"/>
  <c r="AA25" i="7" s="1"/>
  <c r="AB25" i="7" s="1"/>
  <c r="AC25" i="7" s="1"/>
  <c r="AD25" i="7" s="1"/>
  <c r="AE25" i="7" s="1"/>
  <c r="AI25" i="7"/>
  <c r="AQ25" i="7"/>
  <c r="AR25" i="7" s="1"/>
  <c r="AS25" i="7" s="1"/>
  <c r="AT25" i="7" s="1"/>
  <c r="AU25" i="7" s="1"/>
  <c r="AV25" i="7" s="1"/>
  <c r="AW25" i="7" s="1"/>
  <c r="AX25" i="7" s="1"/>
  <c r="AY25" i="7" s="1"/>
  <c r="F47" i="8"/>
  <c r="J47" i="8"/>
  <c r="N47" i="8"/>
  <c r="M14" i="9"/>
  <c r="M15" i="9" s="1"/>
  <c r="Q14" i="9"/>
  <c r="Q15" i="9" s="1"/>
  <c r="U58" i="9"/>
  <c r="V3002" i="6" s="1"/>
  <c r="W60" i="9"/>
  <c r="U61" i="9"/>
  <c r="V3005" i="6" s="1"/>
  <c r="U64" i="9"/>
  <c r="V2835" i="6" s="1"/>
  <c r="U66" i="9"/>
  <c r="C71" i="9"/>
  <c r="V67" i="12"/>
  <c r="W68" i="12"/>
  <c r="W48" i="13"/>
  <c r="X50" i="13"/>
  <c r="Z52" i="13"/>
  <c r="AA53" i="13"/>
  <c r="AC53" i="13" s="1"/>
  <c r="X54" i="13"/>
  <c r="Z56" i="13"/>
  <c r="AA57" i="13"/>
  <c r="X58" i="13"/>
  <c r="Z60" i="13"/>
  <c r="AA61" i="13"/>
  <c r="X62" i="13"/>
  <c r="Z64" i="13"/>
  <c r="AA65" i="13"/>
  <c r="X66" i="13"/>
  <c r="Z68" i="13"/>
  <c r="AA69" i="13"/>
  <c r="X70" i="13"/>
  <c r="Z72" i="13"/>
  <c r="AA73" i="13"/>
  <c r="X74" i="13"/>
  <c r="Z76" i="13"/>
  <c r="AB76" i="13" s="1"/>
  <c r="X77" i="13"/>
  <c r="X78" i="13"/>
  <c r="X81" i="13"/>
  <c r="X82" i="13"/>
  <c r="Y85" i="13"/>
  <c r="X85" i="13"/>
  <c r="X86" i="13"/>
  <c r="Y90" i="13"/>
  <c r="Z92" i="13"/>
  <c r="Y107" i="13"/>
  <c r="X109" i="13"/>
  <c r="X110" i="13"/>
  <c r="Y115" i="13"/>
  <c r="Y123" i="13"/>
  <c r="T22" i="14"/>
  <c r="S22" i="14" s="1"/>
  <c r="R22" i="14" s="1"/>
  <c r="Q22" i="14" s="1"/>
  <c r="P22" i="14" s="1"/>
  <c r="O22" i="14" s="1"/>
  <c r="N22" i="14" s="1"/>
  <c r="M22" i="14" s="1"/>
  <c r="L22" i="14" s="1"/>
  <c r="K22" i="14" s="1"/>
  <c r="J22" i="14" s="1"/>
  <c r="I22" i="14" s="1"/>
  <c r="H22" i="14" s="1"/>
  <c r="G22" i="14" s="1"/>
  <c r="F22" i="14" s="1"/>
  <c r="E22" i="14" s="1"/>
  <c r="D22" i="14" s="1"/>
  <c r="C22" i="14" s="1"/>
  <c r="B22" i="14" s="1"/>
  <c r="U20" i="14"/>
  <c r="AF30" i="14"/>
  <c r="M46" i="14"/>
  <c r="U32" i="14"/>
  <c r="F53" i="14"/>
  <c r="X68" i="14"/>
  <c r="X84" i="14"/>
  <c r="X100" i="14"/>
  <c r="X116" i="14"/>
  <c r="Y116" i="14" s="1"/>
  <c r="Y131" i="14"/>
  <c r="X133" i="14"/>
  <c r="Y139" i="14"/>
  <c r="X141" i="14"/>
  <c r="Z147" i="14"/>
  <c r="Y147" i="14"/>
  <c r="X149" i="14"/>
  <c r="Y155" i="14"/>
  <c r="X157" i="14"/>
  <c r="Y163" i="14"/>
  <c r="X165" i="14"/>
  <c r="Y171" i="14"/>
  <c r="X173" i="14"/>
  <c r="Y179" i="14"/>
  <c r="Z179" i="14" s="1"/>
  <c r="X181" i="14"/>
  <c r="Y187" i="14"/>
  <c r="X189" i="14"/>
  <c r="Y195" i="14"/>
  <c r="X197" i="14"/>
  <c r="Y203" i="14"/>
  <c r="X205" i="14"/>
  <c r="Y205" i="14" s="1"/>
  <c r="AA3" i="15"/>
  <c r="AB3" i="15" s="1"/>
  <c r="AC3" i="15" s="1"/>
  <c r="AD3" i="15" s="1"/>
  <c r="AE3" i="15" s="1"/>
  <c r="AF3" i="15" s="1"/>
  <c r="AG3" i="15" s="1"/>
  <c r="AH3" i="15" s="1"/>
  <c r="AI3" i="15" s="1"/>
  <c r="AJ3" i="15" s="1"/>
  <c r="AK3" i="15" s="1"/>
  <c r="AL3" i="15" s="1"/>
  <c r="AM3" i="15" s="1"/>
  <c r="AN3" i="15" s="1"/>
  <c r="AO3" i="15" s="1"/>
  <c r="AP3" i="15" s="1"/>
  <c r="AQ3" i="15" s="1"/>
  <c r="AR3" i="15" s="1"/>
  <c r="AS3" i="15" s="1"/>
  <c r="AT3" i="15" s="1"/>
  <c r="AU3" i="15" s="1"/>
  <c r="AV3" i="15" s="1"/>
  <c r="AW3" i="15" s="1"/>
  <c r="AX3" i="15" s="1"/>
  <c r="AY3" i="15" s="1"/>
  <c r="AZ3" i="15" s="1"/>
  <c r="M31" i="15"/>
  <c r="F32" i="15"/>
  <c r="G656" i="6" s="1"/>
  <c r="I39" i="16"/>
  <c r="J40" i="16"/>
  <c r="K881" i="6" s="1"/>
  <c r="Y59" i="16"/>
  <c r="Y64" i="18"/>
  <c r="Y72" i="18"/>
  <c r="Y80" i="18"/>
  <c r="Z88" i="18"/>
  <c r="Y88" i="18"/>
  <c r="Y96" i="18"/>
  <c r="Y104" i="18"/>
  <c r="Y112" i="18"/>
  <c r="C3340" i="6"/>
  <c r="G3340" i="6"/>
  <c r="K3340" i="6"/>
  <c r="O3340" i="6"/>
  <c r="S3340" i="6"/>
  <c r="C3446" i="6"/>
  <c r="C3445" i="6" s="1"/>
  <c r="C3499" i="6" s="1"/>
  <c r="G3446" i="6"/>
  <c r="K3446" i="6"/>
  <c r="O3446" i="6"/>
  <c r="S3446" i="6"/>
  <c r="G3448" i="6"/>
  <c r="K3448" i="6"/>
  <c r="O3448" i="6"/>
  <c r="S3448" i="6"/>
  <c r="G3450" i="6"/>
  <c r="K3450" i="6"/>
  <c r="O3450" i="6"/>
  <c r="S3450" i="6"/>
  <c r="W3450" i="6"/>
  <c r="K3452" i="6"/>
  <c r="O3452" i="6"/>
  <c r="S3452" i="6"/>
  <c r="W3452" i="6"/>
  <c r="K3454" i="6"/>
  <c r="O3454" i="6"/>
  <c r="S3454" i="6"/>
  <c r="W3454" i="6"/>
  <c r="AA3454" i="6"/>
  <c r="O3456" i="6"/>
  <c r="S3456" i="6"/>
  <c r="W3456" i="6"/>
  <c r="AA3456" i="6"/>
  <c r="O3458" i="6"/>
  <c r="S3458" i="6"/>
  <c r="W3458" i="6"/>
  <c r="AA3458" i="6"/>
  <c r="AE3458" i="6"/>
  <c r="S3460" i="6"/>
  <c r="W3460" i="6"/>
  <c r="AA3460" i="6"/>
  <c r="AE3460" i="6"/>
  <c r="S3462" i="6"/>
  <c r="W3462" i="6"/>
  <c r="AA3462" i="6"/>
  <c r="AE3462" i="6"/>
  <c r="AI3462" i="6"/>
  <c r="W3464" i="6"/>
  <c r="AA3464" i="6"/>
  <c r="AE3464" i="6"/>
  <c r="AI3464" i="6"/>
  <c r="AA3468" i="6"/>
  <c r="AE3468" i="6"/>
  <c r="AI3468" i="6"/>
  <c r="AM3468" i="6"/>
  <c r="AE3472" i="6"/>
  <c r="AI3472" i="6"/>
  <c r="AM3472" i="6"/>
  <c r="AQ3472" i="6"/>
  <c r="AI3476" i="6"/>
  <c r="AM3476" i="6"/>
  <c r="AQ3476" i="6"/>
  <c r="AU3476" i="6"/>
  <c r="AM3480" i="6"/>
  <c r="AQ3480" i="6"/>
  <c r="AU3480" i="6"/>
  <c r="AY3480" i="6"/>
  <c r="AQ3484" i="6"/>
  <c r="AU3484" i="6"/>
  <c r="AY3484" i="6"/>
  <c r="BC3484" i="6"/>
  <c r="AU3488" i="6"/>
  <c r="AY3488" i="6"/>
  <c r="BC3488" i="6"/>
  <c r="BG3488" i="6"/>
  <c r="AY3492" i="6"/>
  <c r="BC3492" i="6"/>
  <c r="BG3492" i="6"/>
  <c r="BK3492" i="6"/>
  <c r="BC3496" i="6"/>
  <c r="BG3496" i="6"/>
  <c r="BK3496" i="6"/>
  <c r="BO3496" i="6"/>
  <c r="C36" i="23"/>
  <c r="C29" i="22"/>
  <c r="C29" i="21"/>
  <c r="C29" i="20"/>
  <c r="C29" i="19"/>
  <c r="C34" i="17"/>
  <c r="C29" i="18"/>
  <c r="C39" i="16"/>
  <c r="C31" i="15"/>
  <c r="G36" i="23"/>
  <c r="G29" i="21"/>
  <c r="G29" i="22"/>
  <c r="G29" i="20"/>
  <c r="G29" i="19"/>
  <c r="G34" i="17"/>
  <c r="G29" i="18"/>
  <c r="G39" i="16"/>
  <c r="G31" i="15"/>
  <c r="G46" i="14"/>
  <c r="K36" i="23"/>
  <c r="K29" i="22"/>
  <c r="K29" i="21"/>
  <c r="K29" i="20"/>
  <c r="K29" i="19"/>
  <c r="K34" i="17"/>
  <c r="K29" i="18"/>
  <c r="K39" i="16"/>
  <c r="K31" i="15"/>
  <c r="K46" i="14"/>
  <c r="O36" i="23"/>
  <c r="O29" i="22"/>
  <c r="O29" i="21"/>
  <c r="O29" i="20"/>
  <c r="O29" i="19"/>
  <c r="O34" i="17"/>
  <c r="O29" i="18"/>
  <c r="O39" i="16"/>
  <c r="O31" i="15"/>
  <c r="O46" i="14"/>
  <c r="C37" i="23"/>
  <c r="C30" i="22"/>
  <c r="D2229" i="6" s="1"/>
  <c r="C30" i="20"/>
  <c r="D1783" i="6" s="1"/>
  <c r="C30" i="19"/>
  <c r="D1558" i="6" s="1"/>
  <c r="C30" i="21"/>
  <c r="D2008" i="6" s="1"/>
  <c r="C35" i="17"/>
  <c r="D1108" i="6" s="1"/>
  <c r="C47" i="14"/>
  <c r="D419" i="6" s="1"/>
  <c r="C30" i="18"/>
  <c r="D1333" i="6" s="1"/>
  <c r="C40" i="16"/>
  <c r="D881" i="6" s="1"/>
  <c r="C32" i="15"/>
  <c r="D656" i="6" s="1"/>
  <c r="G37" i="23"/>
  <c r="G30" i="22"/>
  <c r="H2229" i="6" s="1"/>
  <c r="G30" i="20"/>
  <c r="H1783" i="6" s="1"/>
  <c r="G30" i="19"/>
  <c r="H1558" i="6" s="1"/>
  <c r="G30" i="21"/>
  <c r="H2008" i="6" s="1"/>
  <c r="G35" i="17"/>
  <c r="H1108" i="6" s="1"/>
  <c r="G30" i="18"/>
  <c r="H1333" i="6" s="1"/>
  <c r="G47" i="14"/>
  <c r="H419" i="6" s="1"/>
  <c r="G40" i="16"/>
  <c r="H881" i="6" s="1"/>
  <c r="G32" i="15"/>
  <c r="H656" i="6" s="1"/>
  <c r="K37" i="23"/>
  <c r="K30" i="22"/>
  <c r="L2229" i="6" s="1"/>
  <c r="K30" i="21"/>
  <c r="L2008" i="6" s="1"/>
  <c r="K30" i="20"/>
  <c r="L1783" i="6" s="1"/>
  <c r="K30" i="19"/>
  <c r="L1558" i="6" s="1"/>
  <c r="K35" i="17"/>
  <c r="L1108" i="6" s="1"/>
  <c r="K47" i="14"/>
  <c r="L419" i="6" s="1"/>
  <c r="K30" i="18"/>
  <c r="L1333" i="6" s="1"/>
  <c r="K40" i="16"/>
  <c r="L881" i="6" s="1"/>
  <c r="K32" i="15"/>
  <c r="L656" i="6" s="1"/>
  <c r="O37" i="23"/>
  <c r="O30" i="22"/>
  <c r="P2229" i="6" s="1"/>
  <c r="O30" i="21"/>
  <c r="P2008" i="6" s="1"/>
  <c r="O30" i="20"/>
  <c r="P1783" i="6" s="1"/>
  <c r="O30" i="19"/>
  <c r="P1558" i="6" s="1"/>
  <c r="O35" i="17"/>
  <c r="P1108" i="6" s="1"/>
  <c r="O30" i="18"/>
  <c r="P1333" i="6" s="1"/>
  <c r="O47" i="14"/>
  <c r="P419" i="6" s="1"/>
  <c r="O40" i="16"/>
  <c r="P881" i="6" s="1"/>
  <c r="O32" i="15"/>
  <c r="P656" i="6" s="1"/>
  <c r="C5" i="7"/>
  <c r="G5" i="7"/>
  <c r="K5" i="7"/>
  <c r="O5" i="7"/>
  <c r="X23" i="7"/>
  <c r="X24" i="7"/>
  <c r="Y24" i="7" s="1"/>
  <c r="AJ24" i="7"/>
  <c r="AK24" i="7" s="1"/>
  <c r="AL24" i="7" s="1"/>
  <c r="AM24" i="7" s="1"/>
  <c r="AN24" i="7" s="1"/>
  <c r="AO24" i="7" s="1"/>
  <c r="AR24" i="7"/>
  <c r="AS24" i="7" s="1"/>
  <c r="AT24" i="7" s="1"/>
  <c r="AU24" i="7" s="1"/>
  <c r="AV24" i="7" s="1"/>
  <c r="AW24" i="7" s="1"/>
  <c r="AX24" i="7" s="1"/>
  <c r="AY24" i="7" s="1"/>
  <c r="AJ25" i="7"/>
  <c r="AK25" i="7" s="1"/>
  <c r="AL25" i="7" s="1"/>
  <c r="AM25" i="7" s="1"/>
  <c r="AN25" i="7" s="1"/>
  <c r="AO25" i="7" s="1"/>
  <c r="I46" i="8"/>
  <c r="K47" i="8"/>
  <c r="X60" i="9"/>
  <c r="W67" i="12"/>
  <c r="E39" i="13"/>
  <c r="F12" i="6" s="1"/>
  <c r="I39" i="13"/>
  <c r="J12" i="6" s="1"/>
  <c r="M39" i="13"/>
  <c r="N12" i="6" s="1"/>
  <c r="Q39" i="13"/>
  <c r="R12" i="6" s="1"/>
  <c r="Y50" i="13"/>
  <c r="AA52" i="13"/>
  <c r="AB53" i="13"/>
  <c r="AB57" i="13"/>
  <c r="AA60" i="13"/>
  <c r="Y62" i="13"/>
  <c r="AA64" i="13"/>
  <c r="Y66" i="13"/>
  <c r="AA68" i="13"/>
  <c r="AB69" i="13"/>
  <c r="AB73" i="13"/>
  <c r="AA76" i="13"/>
  <c r="X89" i="13"/>
  <c r="Y94" i="13"/>
  <c r="Y98" i="13"/>
  <c r="Z98" i="13" s="1"/>
  <c r="Y102" i="13"/>
  <c r="X118" i="13"/>
  <c r="W3" i="14"/>
  <c r="X3" i="14" s="1"/>
  <c r="Y3" i="14" s="1"/>
  <c r="Z3" i="14" s="1"/>
  <c r="AA3" i="14" s="1"/>
  <c r="AB3" i="14" s="1"/>
  <c r="AC3" i="14" s="1"/>
  <c r="AD3" i="14" s="1"/>
  <c r="AE3" i="14" s="1"/>
  <c r="AF3" i="14" s="1"/>
  <c r="AG3" i="14" s="1"/>
  <c r="AH3" i="14" s="1"/>
  <c r="AI3" i="14" s="1"/>
  <c r="AJ3" i="14" s="1"/>
  <c r="AK3" i="14" s="1"/>
  <c r="AL3" i="14" s="1"/>
  <c r="AM3" i="14" s="1"/>
  <c r="AN3" i="14" s="1"/>
  <c r="AO3" i="14" s="1"/>
  <c r="AP3" i="14" s="1"/>
  <c r="AQ3" i="14" s="1"/>
  <c r="AR3" i="14" s="1"/>
  <c r="AS3" i="14" s="1"/>
  <c r="AT3" i="14" s="1"/>
  <c r="AU3" i="14" s="1"/>
  <c r="AV3" i="14" s="1"/>
  <c r="AW3" i="14" s="1"/>
  <c r="AX3" i="14" s="1"/>
  <c r="AY3" i="14" s="1"/>
  <c r="AZ3" i="14" s="1"/>
  <c r="W32" i="14"/>
  <c r="X30" i="14"/>
  <c r="I47" i="14"/>
  <c r="J419" i="6" s="1"/>
  <c r="K53" i="14"/>
  <c r="X64" i="14"/>
  <c r="X80" i="14"/>
  <c r="Y80" i="14" s="1"/>
  <c r="X96" i="14"/>
  <c r="X112" i="14"/>
  <c r="Y112" i="14" s="1"/>
  <c r="N32" i="15"/>
  <c r="O656" i="6" s="1"/>
  <c r="Y67" i="16"/>
  <c r="W41" i="17"/>
  <c r="X41" i="17" s="1"/>
  <c r="Y41" i="17" s="1"/>
  <c r="Z41" i="17" s="1"/>
  <c r="AA41" i="17" s="1"/>
  <c r="AB41" i="17" s="1"/>
  <c r="AC41" i="17" s="1"/>
  <c r="AD41" i="17" s="1"/>
  <c r="AE41" i="17" s="1"/>
  <c r="AF41" i="17" s="1"/>
  <c r="AG41" i="17" s="1"/>
  <c r="AH41" i="17" s="1"/>
  <c r="AI41" i="17" s="1"/>
  <c r="AJ41" i="17" s="1"/>
  <c r="AK41" i="17" s="1"/>
  <c r="AL41" i="17" s="1"/>
  <c r="AM41" i="17" s="1"/>
  <c r="AN41" i="17" s="1"/>
  <c r="AO41" i="17" s="1"/>
  <c r="AP41" i="17" s="1"/>
  <c r="AQ41" i="17" s="1"/>
  <c r="AR41" i="17" s="1"/>
  <c r="AS41" i="17" s="1"/>
  <c r="AT41" i="17" s="1"/>
  <c r="AU41" i="17" s="1"/>
  <c r="AV41" i="17" s="1"/>
  <c r="AW41" i="17" s="1"/>
  <c r="AX41" i="17" s="1"/>
  <c r="AY41" i="17" s="1"/>
  <c r="AZ41" i="17" s="1"/>
  <c r="W18" i="17"/>
  <c r="X18" i="17" s="1"/>
  <c r="Y18" i="17" s="1"/>
  <c r="Z18" i="17" s="1"/>
  <c r="AA18" i="17" s="1"/>
  <c r="AB18" i="17" s="1"/>
  <c r="AC18" i="17" s="1"/>
  <c r="AD18" i="17" s="1"/>
  <c r="AE18" i="17" s="1"/>
  <c r="AF18" i="17" s="1"/>
  <c r="AG18" i="17" s="1"/>
  <c r="AH18" i="17" s="1"/>
  <c r="AI18" i="17" s="1"/>
  <c r="AJ18" i="17" s="1"/>
  <c r="AK18" i="17" s="1"/>
  <c r="AL18" i="17" s="1"/>
  <c r="AM18" i="17" s="1"/>
  <c r="AN18" i="17" s="1"/>
  <c r="AO18" i="17" s="1"/>
  <c r="AP18" i="17" s="1"/>
  <c r="AQ18" i="17" s="1"/>
  <c r="AR18" i="17" s="1"/>
  <c r="AS18" i="17" s="1"/>
  <c r="AT18" i="17" s="1"/>
  <c r="AU18" i="17" s="1"/>
  <c r="AV18" i="17" s="1"/>
  <c r="AW18" i="17" s="1"/>
  <c r="AX18" i="17" s="1"/>
  <c r="AY18" i="17" s="1"/>
  <c r="AZ18" i="17" s="1"/>
  <c r="U41" i="17"/>
  <c r="W17" i="17"/>
  <c r="X17" i="17" s="1"/>
  <c r="Y17" i="17" s="1"/>
  <c r="Z17" i="17" s="1"/>
  <c r="AA17" i="17" s="1"/>
  <c r="AB17" i="17" s="1"/>
  <c r="AC17" i="17" s="1"/>
  <c r="AD17" i="17" s="1"/>
  <c r="AE17" i="17" s="1"/>
  <c r="AF17" i="17" s="1"/>
  <c r="AG17" i="17" s="1"/>
  <c r="AH17" i="17" s="1"/>
  <c r="AI17" i="17" s="1"/>
  <c r="AJ17" i="17" s="1"/>
  <c r="AK17" i="17" s="1"/>
  <c r="AL17" i="17" s="1"/>
  <c r="AM17" i="17" s="1"/>
  <c r="AN17" i="17" s="1"/>
  <c r="AO17" i="17" s="1"/>
  <c r="AP17" i="17" s="1"/>
  <c r="AQ17" i="17" s="1"/>
  <c r="AR17" i="17" s="1"/>
  <c r="AS17" i="17" s="1"/>
  <c r="AT17" i="17" s="1"/>
  <c r="AU17" i="17" s="1"/>
  <c r="AV17" i="17" s="1"/>
  <c r="AW17" i="17" s="1"/>
  <c r="AX17" i="17" s="1"/>
  <c r="AY17" i="17" s="1"/>
  <c r="AZ17" i="17" s="1"/>
  <c r="W2" i="17"/>
  <c r="X2" i="17" s="1"/>
  <c r="Y2" i="17" s="1"/>
  <c r="Z2" i="17" s="1"/>
  <c r="AA2" i="17" s="1"/>
  <c r="AB2" i="17" s="1"/>
  <c r="AC2" i="17" s="1"/>
  <c r="AD2" i="17" s="1"/>
  <c r="AE2" i="17" s="1"/>
  <c r="AF2" i="17" s="1"/>
  <c r="AG2" i="17" s="1"/>
  <c r="AH2" i="17" s="1"/>
  <c r="AI2" i="17" s="1"/>
  <c r="AJ2" i="17" s="1"/>
  <c r="AK2" i="17" s="1"/>
  <c r="AL2" i="17" s="1"/>
  <c r="AM2" i="17" s="1"/>
  <c r="AN2" i="17" s="1"/>
  <c r="AO2" i="17" s="1"/>
  <c r="AP2" i="17" s="1"/>
  <c r="AQ2" i="17" s="1"/>
  <c r="AR2" i="17" s="1"/>
  <c r="AS2" i="17" s="1"/>
  <c r="AT2" i="17" s="1"/>
  <c r="AU2" i="17" s="1"/>
  <c r="AV2" i="17" s="1"/>
  <c r="AW2" i="17" s="1"/>
  <c r="AX2" i="17" s="1"/>
  <c r="AY2" i="17" s="1"/>
  <c r="AZ2" i="17" s="1"/>
  <c r="W28" i="17"/>
  <c r="X28" i="17" s="1"/>
  <c r="Y28" i="17" s="1"/>
  <c r="Z28" i="17" s="1"/>
  <c r="AA28" i="17" s="1"/>
  <c r="AB28" i="17" s="1"/>
  <c r="AC28" i="17" s="1"/>
  <c r="AD28" i="17" s="1"/>
  <c r="AE28" i="17" s="1"/>
  <c r="AF28" i="17" s="1"/>
  <c r="AG28" i="17" s="1"/>
  <c r="AH28" i="17" s="1"/>
  <c r="AI28" i="17" s="1"/>
  <c r="AJ28" i="17" s="1"/>
  <c r="AK28" i="17" s="1"/>
  <c r="AL28" i="17" s="1"/>
  <c r="AM28" i="17" s="1"/>
  <c r="AN28" i="17" s="1"/>
  <c r="AO28" i="17" s="1"/>
  <c r="AP28" i="17" s="1"/>
  <c r="AQ28" i="17" s="1"/>
  <c r="AR28" i="17" s="1"/>
  <c r="AS28" i="17" s="1"/>
  <c r="AT28" i="17" s="1"/>
  <c r="AU28" i="17" s="1"/>
  <c r="AV28" i="17" s="1"/>
  <c r="AW28" i="17" s="1"/>
  <c r="AX28" i="17" s="1"/>
  <c r="AY28" i="17" s="1"/>
  <c r="AZ28" i="17" s="1"/>
  <c r="T32" i="14"/>
  <c r="X63" i="14"/>
  <c r="X67" i="14"/>
  <c r="X71" i="14"/>
  <c r="X75" i="14"/>
  <c r="X79" i="14"/>
  <c r="X83" i="14"/>
  <c r="X87" i="14"/>
  <c r="X91" i="14"/>
  <c r="X95" i="14"/>
  <c r="X99" i="14"/>
  <c r="X103" i="14"/>
  <c r="X107" i="14"/>
  <c r="X111" i="14"/>
  <c r="X115" i="14"/>
  <c r="X119" i="14"/>
  <c r="X123" i="14"/>
  <c r="Y22" i="15"/>
  <c r="Z22" i="15" s="1"/>
  <c r="AA22" i="15" s="1"/>
  <c r="AB22" i="15" s="1"/>
  <c r="AC22" i="15" s="1"/>
  <c r="AD22" i="15" s="1"/>
  <c r="AE22" i="15" s="1"/>
  <c r="AF22" i="15" s="1"/>
  <c r="AG22" i="15" s="1"/>
  <c r="AH22" i="15" s="1"/>
  <c r="AI22" i="15" s="1"/>
  <c r="AJ22" i="15" s="1"/>
  <c r="AK22" i="15" s="1"/>
  <c r="AL22" i="15" s="1"/>
  <c r="AM22" i="15" s="1"/>
  <c r="AN22" i="15" s="1"/>
  <c r="AO22" i="15" s="1"/>
  <c r="AP22" i="15" s="1"/>
  <c r="AQ22" i="15" s="1"/>
  <c r="AR22" i="15" s="1"/>
  <c r="AS22" i="15" s="1"/>
  <c r="AT22" i="15" s="1"/>
  <c r="AU22" i="15" s="1"/>
  <c r="AV22" i="15" s="1"/>
  <c r="AW22" i="15" s="1"/>
  <c r="AX22" i="15" s="1"/>
  <c r="AY22" i="15" s="1"/>
  <c r="AZ22" i="15" s="1"/>
  <c r="Y47" i="15"/>
  <c r="Y55" i="15"/>
  <c r="Y63" i="15"/>
  <c r="Z71" i="15"/>
  <c r="Y71" i="15"/>
  <c r="X54" i="16"/>
  <c r="X62" i="16"/>
  <c r="Y67" i="17"/>
  <c r="X69" i="17"/>
  <c r="Y69" i="17" s="1"/>
  <c r="Z42" i="18"/>
  <c r="Y49" i="18"/>
  <c r="X51" i="18"/>
  <c r="Y57" i="18"/>
  <c r="X59" i="18"/>
  <c r="Y134" i="18"/>
  <c r="X134" i="18"/>
  <c r="AZ14" i="21"/>
  <c r="X65" i="21"/>
  <c r="Z79" i="13"/>
  <c r="Z83" i="13"/>
  <c r="Z87" i="13"/>
  <c r="AA88" i="13"/>
  <c r="Z91" i="13"/>
  <c r="Z95" i="13"/>
  <c r="Z99" i="13"/>
  <c r="AA104" i="13"/>
  <c r="Z107" i="13"/>
  <c r="AA108" i="13"/>
  <c r="Z111" i="13"/>
  <c r="AA112" i="13"/>
  <c r="X113" i="13"/>
  <c r="Z115" i="13"/>
  <c r="X117" i="13"/>
  <c r="X121" i="13"/>
  <c r="Y15" i="14"/>
  <c r="AC15" i="14"/>
  <c r="AG15" i="14"/>
  <c r="AK15" i="14"/>
  <c r="AO15" i="14"/>
  <c r="AS15" i="14"/>
  <c r="AW15" i="14"/>
  <c r="Z16" i="14"/>
  <c r="AD16" i="14"/>
  <c r="AH16" i="14"/>
  <c r="AL16" i="14"/>
  <c r="AP16" i="14"/>
  <c r="AT16" i="14"/>
  <c r="AX16" i="14"/>
  <c r="V32" i="14"/>
  <c r="AD32" i="14"/>
  <c r="Y61" i="14"/>
  <c r="Y65" i="14"/>
  <c r="Y69" i="14"/>
  <c r="Y73" i="14"/>
  <c r="Y77" i="14"/>
  <c r="Y81" i="14"/>
  <c r="Y85" i="14"/>
  <c r="Y89" i="14"/>
  <c r="Y93" i="14"/>
  <c r="Y97" i="14"/>
  <c r="Y101" i="14"/>
  <c r="Y105" i="14"/>
  <c r="Y109" i="14"/>
  <c r="Y113" i="14"/>
  <c r="Y117" i="14"/>
  <c r="Y121" i="14"/>
  <c r="X18" i="15"/>
  <c r="Y18" i="15" s="1"/>
  <c r="Z18" i="15" s="1"/>
  <c r="AA18" i="15" s="1"/>
  <c r="AB18" i="15" s="1"/>
  <c r="AC18" i="15" s="1"/>
  <c r="AD18" i="15" s="1"/>
  <c r="AE18" i="15" s="1"/>
  <c r="AF18" i="15" s="1"/>
  <c r="AG18" i="15" s="1"/>
  <c r="AH18" i="15" s="1"/>
  <c r="AI18" i="15" s="1"/>
  <c r="AJ18" i="15" s="1"/>
  <c r="AK18" i="15" s="1"/>
  <c r="AL18" i="15" s="1"/>
  <c r="AM18" i="15" s="1"/>
  <c r="AN18" i="15" s="1"/>
  <c r="AO18" i="15" s="1"/>
  <c r="AP18" i="15" s="1"/>
  <c r="AQ18" i="15" s="1"/>
  <c r="AR18" i="15" s="1"/>
  <c r="AS18" i="15" s="1"/>
  <c r="AT18" i="15" s="1"/>
  <c r="AU18" i="15" s="1"/>
  <c r="AV18" i="15" s="1"/>
  <c r="AW18" i="15" s="1"/>
  <c r="AX18" i="15" s="1"/>
  <c r="AY18" i="15" s="1"/>
  <c r="AZ18" i="15" s="1"/>
  <c r="U36" i="15"/>
  <c r="W25" i="15"/>
  <c r="X25" i="15" s="1"/>
  <c r="Y25" i="15" s="1"/>
  <c r="Z25" i="15" s="1"/>
  <c r="AA25" i="15" s="1"/>
  <c r="AB25" i="15" s="1"/>
  <c r="AC25" i="15" s="1"/>
  <c r="AD25" i="15" s="1"/>
  <c r="AE25" i="15" s="1"/>
  <c r="AF25" i="15" s="1"/>
  <c r="AG25" i="15" s="1"/>
  <c r="AH25" i="15" s="1"/>
  <c r="AI25" i="15" s="1"/>
  <c r="AJ25" i="15" s="1"/>
  <c r="AK25" i="15" s="1"/>
  <c r="AL25" i="15" s="1"/>
  <c r="AM25" i="15" s="1"/>
  <c r="AN25" i="15" s="1"/>
  <c r="AO25" i="15" s="1"/>
  <c r="AP25" i="15" s="1"/>
  <c r="AQ25" i="15" s="1"/>
  <c r="AR25" i="15" s="1"/>
  <c r="AS25" i="15" s="1"/>
  <c r="AT25" i="15" s="1"/>
  <c r="AU25" i="15" s="1"/>
  <c r="AV25" i="15" s="1"/>
  <c r="AW25" i="15" s="1"/>
  <c r="AX25" i="15" s="1"/>
  <c r="AY25" i="15" s="1"/>
  <c r="AZ25" i="15" s="1"/>
  <c r="W21" i="15"/>
  <c r="W2" i="15"/>
  <c r="X2" i="15" s="1"/>
  <c r="Y2" i="15" s="1"/>
  <c r="Z2" i="15" s="1"/>
  <c r="AA2" i="15" s="1"/>
  <c r="AB2" i="15" s="1"/>
  <c r="AC2" i="15" s="1"/>
  <c r="AD2" i="15" s="1"/>
  <c r="AE2" i="15" s="1"/>
  <c r="AF2" i="15" s="1"/>
  <c r="AG2" i="15" s="1"/>
  <c r="AH2" i="15" s="1"/>
  <c r="AI2" i="15" s="1"/>
  <c r="AJ2" i="15" s="1"/>
  <c r="AK2" i="15" s="1"/>
  <c r="AL2" i="15" s="1"/>
  <c r="AM2" i="15" s="1"/>
  <c r="AN2" i="15" s="1"/>
  <c r="AO2" i="15" s="1"/>
  <c r="AP2" i="15" s="1"/>
  <c r="AQ2" i="15" s="1"/>
  <c r="AR2" i="15" s="1"/>
  <c r="AS2" i="15" s="1"/>
  <c r="AT2" i="15" s="1"/>
  <c r="AU2" i="15" s="1"/>
  <c r="AV2" i="15" s="1"/>
  <c r="AW2" i="15" s="1"/>
  <c r="AX2" i="15" s="1"/>
  <c r="AY2" i="15" s="1"/>
  <c r="AZ2" i="15" s="1"/>
  <c r="X41" i="15"/>
  <c r="X42" i="15"/>
  <c r="Z43" i="15"/>
  <c r="X50" i="15"/>
  <c r="Y58" i="15"/>
  <c r="X58" i="15"/>
  <c r="X66" i="15"/>
  <c r="X74" i="15"/>
  <c r="U44" i="16"/>
  <c r="W29" i="16"/>
  <c r="W25" i="16"/>
  <c r="W3" i="16"/>
  <c r="X3" i="16" s="1"/>
  <c r="Y3" i="16" s="1"/>
  <c r="Z3" i="16" s="1"/>
  <c r="AA3" i="16" s="1"/>
  <c r="AB3" i="16" s="1"/>
  <c r="AC3" i="16" s="1"/>
  <c r="AD3" i="16" s="1"/>
  <c r="AE3" i="16" s="1"/>
  <c r="AF3" i="16" s="1"/>
  <c r="AG3" i="16" s="1"/>
  <c r="AH3" i="16" s="1"/>
  <c r="AI3" i="16" s="1"/>
  <c r="AJ3" i="16" s="1"/>
  <c r="AK3" i="16" s="1"/>
  <c r="AL3" i="16" s="1"/>
  <c r="AM3" i="16" s="1"/>
  <c r="AN3" i="16" s="1"/>
  <c r="AO3" i="16" s="1"/>
  <c r="AP3" i="16" s="1"/>
  <c r="AQ3" i="16" s="1"/>
  <c r="AR3" i="16" s="1"/>
  <c r="AS3" i="16" s="1"/>
  <c r="AT3" i="16" s="1"/>
  <c r="AU3" i="16" s="1"/>
  <c r="AV3" i="16" s="1"/>
  <c r="AW3" i="16" s="1"/>
  <c r="AX3" i="16" s="1"/>
  <c r="AY3" i="16" s="1"/>
  <c r="AZ3" i="16" s="1"/>
  <c r="U3" i="16"/>
  <c r="T3" i="16" s="1"/>
  <c r="W44" i="16"/>
  <c r="X44" i="16" s="1"/>
  <c r="Y44" i="16" s="1"/>
  <c r="Z44" i="16" s="1"/>
  <c r="AA44" i="16" s="1"/>
  <c r="AB44" i="16" s="1"/>
  <c r="AC44" i="16" s="1"/>
  <c r="AD44" i="16" s="1"/>
  <c r="AE44" i="16" s="1"/>
  <c r="AF44" i="16" s="1"/>
  <c r="AG44" i="16" s="1"/>
  <c r="AH44" i="16" s="1"/>
  <c r="AI44" i="16" s="1"/>
  <c r="AJ44" i="16" s="1"/>
  <c r="AK44" i="16" s="1"/>
  <c r="AL44" i="16" s="1"/>
  <c r="AM44" i="16" s="1"/>
  <c r="AN44" i="16" s="1"/>
  <c r="AO44" i="16" s="1"/>
  <c r="AP44" i="16" s="1"/>
  <c r="AQ44" i="16" s="1"/>
  <c r="AR44" i="16" s="1"/>
  <c r="AS44" i="16" s="1"/>
  <c r="AT44" i="16" s="1"/>
  <c r="AU44" i="16" s="1"/>
  <c r="AV44" i="16" s="1"/>
  <c r="AW44" i="16" s="1"/>
  <c r="AX44" i="16" s="1"/>
  <c r="AY44" i="16" s="1"/>
  <c r="AZ44" i="16" s="1"/>
  <c r="W26" i="16"/>
  <c r="X26" i="16" s="1"/>
  <c r="Y26" i="16" s="1"/>
  <c r="Z26" i="16" s="1"/>
  <c r="AA26" i="16" s="1"/>
  <c r="AB26" i="16" s="1"/>
  <c r="AC26" i="16" s="1"/>
  <c r="AD26" i="16" s="1"/>
  <c r="AE26" i="16" s="1"/>
  <c r="AF26" i="16" s="1"/>
  <c r="AG26" i="16" s="1"/>
  <c r="AH26" i="16" s="1"/>
  <c r="AI26" i="16" s="1"/>
  <c r="AJ26" i="16" s="1"/>
  <c r="AK26" i="16" s="1"/>
  <c r="AL26" i="16" s="1"/>
  <c r="AM26" i="16" s="1"/>
  <c r="AN26" i="16" s="1"/>
  <c r="AO26" i="16" s="1"/>
  <c r="AP26" i="16" s="1"/>
  <c r="AQ26" i="16" s="1"/>
  <c r="AR26" i="16" s="1"/>
  <c r="AS26" i="16" s="1"/>
  <c r="AT26" i="16" s="1"/>
  <c r="AU26" i="16" s="1"/>
  <c r="AV26" i="16" s="1"/>
  <c r="AW26" i="16" s="1"/>
  <c r="AX26" i="16" s="1"/>
  <c r="AY26" i="16" s="1"/>
  <c r="AZ26" i="16" s="1"/>
  <c r="W2" i="16"/>
  <c r="X2" i="16" s="1"/>
  <c r="Y2" i="16" s="1"/>
  <c r="Z2" i="16" s="1"/>
  <c r="AA2" i="16" s="1"/>
  <c r="AB2" i="16" s="1"/>
  <c r="AC2" i="16" s="1"/>
  <c r="AD2" i="16" s="1"/>
  <c r="AE2" i="16" s="1"/>
  <c r="AF2" i="16" s="1"/>
  <c r="AG2" i="16" s="1"/>
  <c r="AH2" i="16" s="1"/>
  <c r="AI2" i="16" s="1"/>
  <c r="AJ2" i="16" s="1"/>
  <c r="AK2" i="16" s="1"/>
  <c r="AL2" i="16" s="1"/>
  <c r="AM2" i="16" s="1"/>
  <c r="AN2" i="16" s="1"/>
  <c r="AO2" i="16" s="1"/>
  <c r="AP2" i="16" s="1"/>
  <c r="AQ2" i="16" s="1"/>
  <c r="AR2" i="16" s="1"/>
  <c r="AS2" i="16" s="1"/>
  <c r="AT2" i="16" s="1"/>
  <c r="AU2" i="16" s="1"/>
  <c r="AV2" i="16" s="1"/>
  <c r="AW2" i="16" s="1"/>
  <c r="AX2" i="16" s="1"/>
  <c r="AY2" i="16" s="1"/>
  <c r="AZ2" i="16" s="1"/>
  <c r="Z55" i="16"/>
  <c r="Y55" i="16"/>
  <c r="Y63" i="16"/>
  <c r="Z48" i="17"/>
  <c r="AA14" i="18"/>
  <c r="AB14" i="18" s="1"/>
  <c r="AC14" i="18" s="1"/>
  <c r="AD14" i="18" s="1"/>
  <c r="AE14" i="18" s="1"/>
  <c r="AF14" i="18" s="1"/>
  <c r="AG14" i="18" s="1"/>
  <c r="AH14" i="18" s="1"/>
  <c r="AI14" i="18" s="1"/>
  <c r="AJ14" i="18" s="1"/>
  <c r="AK14" i="18" s="1"/>
  <c r="AL14" i="18" s="1"/>
  <c r="AM14" i="18" s="1"/>
  <c r="AN14" i="18" s="1"/>
  <c r="AO14" i="18" s="1"/>
  <c r="AP14" i="18" s="1"/>
  <c r="AQ14" i="18" s="1"/>
  <c r="AR14" i="18" s="1"/>
  <c r="AS14" i="18" s="1"/>
  <c r="AT14" i="18" s="1"/>
  <c r="AU14" i="18" s="1"/>
  <c r="AV14" i="18" s="1"/>
  <c r="AW14" i="18" s="1"/>
  <c r="AX14" i="18" s="1"/>
  <c r="AY14" i="18" s="1"/>
  <c r="AZ14" i="18" s="1"/>
  <c r="AW14" i="19"/>
  <c r="AX14" i="19" s="1"/>
  <c r="AY14" i="19" s="1"/>
  <c r="AZ14" i="19" s="1"/>
  <c r="X53" i="19"/>
  <c r="X64" i="19"/>
  <c r="AA79" i="13"/>
  <c r="X80" i="13"/>
  <c r="AA83" i="13"/>
  <c r="X84" i="13"/>
  <c r="AA87" i="13"/>
  <c r="AA95" i="13"/>
  <c r="X96" i="13"/>
  <c r="X100" i="13"/>
  <c r="AB104" i="13"/>
  <c r="AB108" i="13"/>
  <c r="AA111" i="13"/>
  <c r="AB112" i="13"/>
  <c r="X116" i="13"/>
  <c r="Y117" i="13"/>
  <c r="X120" i="13"/>
  <c r="Y121" i="13"/>
  <c r="Z15" i="14"/>
  <c r="AD15" i="14"/>
  <c r="AH15" i="14"/>
  <c r="AL15" i="14"/>
  <c r="AP15" i="14"/>
  <c r="AT15" i="14"/>
  <c r="W16" i="14"/>
  <c r="AA16" i="14"/>
  <c r="AE16" i="14"/>
  <c r="AI16" i="14"/>
  <c r="AM16" i="14"/>
  <c r="AQ16" i="14"/>
  <c r="AU16" i="14"/>
  <c r="AE31" i="14"/>
  <c r="W33" i="14"/>
  <c r="X59" i="14"/>
  <c r="Y130" i="14"/>
  <c r="Y134" i="14"/>
  <c r="Y138" i="14"/>
  <c r="Y142" i="14"/>
  <c r="Y146" i="14"/>
  <c r="Z146" i="14" s="1"/>
  <c r="Y150" i="14"/>
  <c r="Y154" i="14"/>
  <c r="Y158" i="14"/>
  <c r="Y162" i="14"/>
  <c r="Y166" i="14"/>
  <c r="Y170" i="14"/>
  <c r="Y174" i="14"/>
  <c r="Z178" i="14"/>
  <c r="Y178" i="14"/>
  <c r="Y182" i="14"/>
  <c r="Y186" i="14"/>
  <c r="Y190" i="14"/>
  <c r="Y194" i="14"/>
  <c r="Y198" i="14"/>
  <c r="Y202" i="14"/>
  <c r="Y206" i="14"/>
  <c r="Y43" i="15"/>
  <c r="Y51" i="15"/>
  <c r="Y59" i="15"/>
  <c r="Y67" i="15"/>
  <c r="Y75" i="15"/>
  <c r="X50" i="16"/>
  <c r="X58" i="16"/>
  <c r="X66" i="16"/>
  <c r="X65" i="17"/>
  <c r="W19" i="18"/>
  <c r="X47" i="18"/>
  <c r="Y53" i="18"/>
  <c r="X55" i="18"/>
  <c r="Y61" i="18"/>
  <c r="X63" i="18"/>
  <c r="X71" i="18"/>
  <c r="X79" i="18"/>
  <c r="X87" i="18"/>
  <c r="X95" i="18"/>
  <c r="X103" i="18"/>
  <c r="X111" i="18"/>
  <c r="U34" i="18"/>
  <c r="U19" i="18" s="1"/>
  <c r="W23" i="18"/>
  <c r="W2" i="18"/>
  <c r="W18" i="18"/>
  <c r="X18" i="18" s="1"/>
  <c r="Y18" i="18" s="1"/>
  <c r="Z18" i="18" s="1"/>
  <c r="AA18" i="18" s="1"/>
  <c r="AB18" i="18" s="1"/>
  <c r="AC18" i="18" s="1"/>
  <c r="AD18" i="18" s="1"/>
  <c r="AE18" i="18" s="1"/>
  <c r="AF18" i="18" s="1"/>
  <c r="AG18" i="18" s="1"/>
  <c r="AH18" i="18" s="1"/>
  <c r="AI18" i="18" s="1"/>
  <c r="AJ18" i="18" s="1"/>
  <c r="AK18" i="18" s="1"/>
  <c r="AL18" i="18" s="1"/>
  <c r="AM18" i="18" s="1"/>
  <c r="AN18" i="18" s="1"/>
  <c r="AO18" i="18" s="1"/>
  <c r="AP18" i="18" s="1"/>
  <c r="AQ18" i="18" s="1"/>
  <c r="AR18" i="18" s="1"/>
  <c r="AS18" i="18" s="1"/>
  <c r="AT18" i="18" s="1"/>
  <c r="AU18" i="18" s="1"/>
  <c r="AV18" i="18" s="1"/>
  <c r="AW18" i="18" s="1"/>
  <c r="AX18" i="18" s="1"/>
  <c r="AY18" i="18" s="1"/>
  <c r="AZ18" i="18" s="1"/>
  <c r="Y40" i="18"/>
  <c r="Z40" i="18" s="1"/>
  <c r="X69" i="18"/>
  <c r="Y77" i="18"/>
  <c r="X77" i="18"/>
  <c r="X85" i="18"/>
  <c r="Z86" i="18"/>
  <c r="X93" i="18"/>
  <c r="Z94" i="18"/>
  <c r="X101" i="18"/>
  <c r="X109" i="18"/>
  <c r="X117" i="18"/>
  <c r="X120" i="18"/>
  <c r="X129" i="18"/>
  <c r="Y129" i="18"/>
  <c r="Y132" i="18"/>
  <c r="AA160" i="18"/>
  <c r="T34" i="19"/>
  <c r="S34" i="19" s="1"/>
  <c r="R34" i="19" s="1"/>
  <c r="Q34" i="19" s="1"/>
  <c r="P34" i="19" s="1"/>
  <c r="O34" i="19" s="1"/>
  <c r="N34" i="19" s="1"/>
  <c r="M34" i="19" s="1"/>
  <c r="L34" i="19" s="1"/>
  <c r="K34" i="19" s="1"/>
  <c r="J34" i="19" s="1"/>
  <c r="I34" i="19" s="1"/>
  <c r="H34" i="19" s="1"/>
  <c r="G34" i="19" s="1"/>
  <c r="F34" i="19" s="1"/>
  <c r="E34" i="19" s="1"/>
  <c r="D34" i="19" s="1"/>
  <c r="C34" i="19" s="1"/>
  <c r="B34" i="19" s="1"/>
  <c r="U2" i="19"/>
  <c r="T2" i="19" s="1"/>
  <c r="U18" i="19"/>
  <c r="U17" i="19"/>
  <c r="T34" i="20"/>
  <c r="S34" i="20" s="1"/>
  <c r="R34" i="20" s="1"/>
  <c r="Q34" i="20" s="1"/>
  <c r="P34" i="20" s="1"/>
  <c r="O34" i="20" s="1"/>
  <c r="N34" i="20" s="1"/>
  <c r="M34" i="20" s="1"/>
  <c r="L34" i="20" s="1"/>
  <c r="K34" i="20" s="1"/>
  <c r="J34" i="20" s="1"/>
  <c r="I34" i="20" s="1"/>
  <c r="H34" i="20" s="1"/>
  <c r="G34" i="20" s="1"/>
  <c r="F34" i="20" s="1"/>
  <c r="E34" i="20" s="1"/>
  <c r="D34" i="20" s="1"/>
  <c r="C34" i="20" s="1"/>
  <c r="B34" i="20" s="1"/>
  <c r="U2" i="20"/>
  <c r="U18" i="20"/>
  <c r="T18" i="20" s="1"/>
  <c r="S18" i="20" s="1"/>
  <c r="R18" i="20" s="1"/>
  <c r="Q18" i="20" s="1"/>
  <c r="P18" i="20" s="1"/>
  <c r="O18" i="20" s="1"/>
  <c r="N18" i="20" s="1"/>
  <c r="M18" i="20" s="1"/>
  <c r="L18" i="20" s="1"/>
  <c r="K18" i="20" s="1"/>
  <c r="J18" i="20" s="1"/>
  <c r="I18" i="20" s="1"/>
  <c r="H18" i="20" s="1"/>
  <c r="G18" i="20" s="1"/>
  <c r="F18" i="20" s="1"/>
  <c r="E18" i="20" s="1"/>
  <c r="D18" i="20" s="1"/>
  <c r="C18" i="20" s="1"/>
  <c r="B18" i="20" s="1"/>
  <c r="U17" i="20"/>
  <c r="X45" i="15"/>
  <c r="X49" i="15"/>
  <c r="X53" i="15"/>
  <c r="X57" i="15"/>
  <c r="X61" i="15"/>
  <c r="X65" i="15"/>
  <c r="X69" i="15"/>
  <c r="X73" i="15"/>
  <c r="X49" i="16"/>
  <c r="X53" i="16"/>
  <c r="X57" i="16"/>
  <c r="X61" i="16"/>
  <c r="X65" i="16"/>
  <c r="X69" i="16"/>
  <c r="W44" i="17"/>
  <c r="X46" i="17"/>
  <c r="Y50" i="17"/>
  <c r="Y62" i="17"/>
  <c r="Z64" i="17"/>
  <c r="W17" i="18"/>
  <c r="W34" i="18"/>
  <c r="X34" i="18" s="1"/>
  <c r="Y34" i="18" s="1"/>
  <c r="Z34" i="18" s="1"/>
  <c r="AA34" i="18" s="1"/>
  <c r="AB34" i="18" s="1"/>
  <c r="AC34" i="18" s="1"/>
  <c r="AD34" i="18" s="1"/>
  <c r="AE34" i="18" s="1"/>
  <c r="AF34" i="18" s="1"/>
  <c r="AG34" i="18" s="1"/>
  <c r="AH34" i="18" s="1"/>
  <c r="AI34" i="18" s="1"/>
  <c r="AJ34" i="18" s="1"/>
  <c r="AK34" i="18" s="1"/>
  <c r="AL34" i="18" s="1"/>
  <c r="AM34" i="18" s="1"/>
  <c r="AN34" i="18" s="1"/>
  <c r="AO34" i="18" s="1"/>
  <c r="AP34" i="18" s="1"/>
  <c r="AQ34" i="18" s="1"/>
  <c r="AR34" i="18" s="1"/>
  <c r="AS34" i="18" s="1"/>
  <c r="AT34" i="18" s="1"/>
  <c r="AU34" i="18" s="1"/>
  <c r="AV34" i="18" s="1"/>
  <c r="AW34" i="18" s="1"/>
  <c r="AX34" i="18" s="1"/>
  <c r="AY34" i="18" s="1"/>
  <c r="AZ34" i="18" s="1"/>
  <c r="W36" i="18"/>
  <c r="X1335" i="6" s="1"/>
  <c r="X39" i="18"/>
  <c r="X40" i="18"/>
  <c r="Z46" i="18"/>
  <c r="X67" i="18"/>
  <c r="Y70" i="18"/>
  <c r="X75" i="18"/>
  <c r="Y78" i="18"/>
  <c r="X83" i="18"/>
  <c r="Y83" i="18" s="1"/>
  <c r="Y86" i="18"/>
  <c r="X91" i="18"/>
  <c r="Y94" i="18"/>
  <c r="X99" i="18"/>
  <c r="Y102" i="18"/>
  <c r="X107" i="18"/>
  <c r="Y110" i="18"/>
  <c r="X115" i="18"/>
  <c r="Y118" i="18"/>
  <c r="X121" i="18"/>
  <c r="X142" i="18"/>
  <c r="U19" i="20"/>
  <c r="T19" i="20" s="1"/>
  <c r="S19" i="20" s="1"/>
  <c r="R19" i="20" s="1"/>
  <c r="Q19" i="20" s="1"/>
  <c r="P19" i="20" s="1"/>
  <c r="O19" i="20" s="1"/>
  <c r="N19" i="20" s="1"/>
  <c r="M19" i="20" s="1"/>
  <c r="L19" i="20" s="1"/>
  <c r="K19" i="20" s="1"/>
  <c r="J19" i="20" s="1"/>
  <c r="I19" i="20" s="1"/>
  <c r="H19" i="20" s="1"/>
  <c r="G19" i="20" s="1"/>
  <c r="F19" i="20" s="1"/>
  <c r="E19" i="20" s="1"/>
  <c r="D19" i="20" s="1"/>
  <c r="C19" i="20" s="1"/>
  <c r="B19" i="20" s="1"/>
  <c r="X62" i="14"/>
  <c r="X66" i="14"/>
  <c r="X70" i="14"/>
  <c r="X74" i="14"/>
  <c r="X78" i="14"/>
  <c r="X82" i="14"/>
  <c r="X86" i="14"/>
  <c r="X90" i="14"/>
  <c r="X94" i="14"/>
  <c r="X98" i="14"/>
  <c r="X102" i="14"/>
  <c r="X106" i="14"/>
  <c r="X110" i="14"/>
  <c r="X114" i="14"/>
  <c r="X118" i="14"/>
  <c r="X122" i="14"/>
  <c r="W126" i="14"/>
  <c r="X128" i="14"/>
  <c r="X132" i="14"/>
  <c r="X136" i="14"/>
  <c r="X140" i="14"/>
  <c r="X144" i="14"/>
  <c r="X148" i="14"/>
  <c r="X152" i="14"/>
  <c r="X156" i="14"/>
  <c r="X160" i="14"/>
  <c r="X164" i="14"/>
  <c r="X168" i="14"/>
  <c r="X172" i="14"/>
  <c r="X176" i="14"/>
  <c r="X180" i="14"/>
  <c r="X184" i="14"/>
  <c r="X188" i="14"/>
  <c r="X192" i="14"/>
  <c r="X196" i="14"/>
  <c r="X200" i="14"/>
  <c r="X204" i="14"/>
  <c r="W38" i="15"/>
  <c r="X658" i="6" s="1"/>
  <c r="X40" i="15"/>
  <c r="X44" i="15"/>
  <c r="Y45" i="15"/>
  <c r="X48" i="15"/>
  <c r="Y49" i="15"/>
  <c r="X52" i="15"/>
  <c r="X56" i="15"/>
  <c r="Y57" i="15"/>
  <c r="X60" i="15"/>
  <c r="Y61" i="15"/>
  <c r="X64" i="15"/>
  <c r="Y65" i="15"/>
  <c r="X68" i="15"/>
  <c r="X72" i="15"/>
  <c r="Y73" i="15"/>
  <c r="X76" i="15"/>
  <c r="W46" i="16"/>
  <c r="X883" i="6" s="1"/>
  <c r="X48" i="16"/>
  <c r="Y49" i="16"/>
  <c r="X52" i="16"/>
  <c r="X56" i="16"/>
  <c r="Y57" i="16"/>
  <c r="X60" i="16"/>
  <c r="Y61" i="16"/>
  <c r="X64" i="16"/>
  <c r="Y65" i="16"/>
  <c r="X68" i="16"/>
  <c r="Y47" i="17"/>
  <c r="X49" i="17"/>
  <c r="X50" i="17"/>
  <c r="Z51" i="17"/>
  <c r="X53" i="17"/>
  <c r="X54" i="17"/>
  <c r="Z55" i="17"/>
  <c r="X57" i="17"/>
  <c r="X58" i="17"/>
  <c r="Z59" i="17"/>
  <c r="X61" i="17"/>
  <c r="X62" i="17"/>
  <c r="AC64" i="17"/>
  <c r="Y66" i="17"/>
  <c r="Z70" i="17"/>
  <c r="Y70" i="17"/>
  <c r="Y41" i="18"/>
  <c r="X43" i="18"/>
  <c r="X44" i="18"/>
  <c r="Y48" i="18"/>
  <c r="Z52" i="18"/>
  <c r="Y52" i="18"/>
  <c r="Y56" i="18"/>
  <c r="Y60" i="18"/>
  <c r="X65" i="18"/>
  <c r="Z66" i="18"/>
  <c r="Y68" i="18"/>
  <c r="X73" i="18"/>
  <c r="Z74" i="18"/>
  <c r="Y76" i="18"/>
  <c r="Y81" i="18"/>
  <c r="X81" i="18"/>
  <c r="Z82" i="18"/>
  <c r="Y84" i="18"/>
  <c r="X89" i="18"/>
  <c r="Z90" i="18"/>
  <c r="Y92" i="18"/>
  <c r="X97" i="18"/>
  <c r="Z98" i="18"/>
  <c r="Y100" i="18"/>
  <c r="X105" i="18"/>
  <c r="Y108" i="18"/>
  <c r="AB110" i="18"/>
  <c r="X113" i="18"/>
  <c r="Y116" i="18"/>
  <c r="X41" i="19"/>
  <c r="X57" i="19"/>
  <c r="Z47" i="17"/>
  <c r="AA48" i="17"/>
  <c r="Z63" i="17"/>
  <c r="AA64" i="17"/>
  <c r="Z67" i="17"/>
  <c r="AA38" i="18"/>
  <c r="Z41" i="18"/>
  <c r="AA42" i="18"/>
  <c r="Z45" i="18"/>
  <c r="Z49" i="18"/>
  <c r="Z106" i="18"/>
  <c r="Z110" i="18"/>
  <c r="Z112" i="18"/>
  <c r="Z114" i="18"/>
  <c r="Y124" i="18"/>
  <c r="X126" i="18"/>
  <c r="X150" i="18"/>
  <c r="X49" i="19"/>
  <c r="Z14" i="20"/>
  <c r="AA14" i="20" s="1"/>
  <c r="AB14" i="20" s="1"/>
  <c r="AC14" i="20" s="1"/>
  <c r="AD14" i="20" s="1"/>
  <c r="AE14" i="20" s="1"/>
  <c r="AF14" i="20" s="1"/>
  <c r="AG14" i="20" s="1"/>
  <c r="AH14" i="20" s="1"/>
  <c r="AI14" i="20" s="1"/>
  <c r="AJ14" i="20" s="1"/>
  <c r="AK14" i="20" s="1"/>
  <c r="AL14" i="20" s="1"/>
  <c r="AM14" i="20" s="1"/>
  <c r="AN14" i="20" s="1"/>
  <c r="AO14" i="20" s="1"/>
  <c r="AP14" i="20" s="1"/>
  <c r="AQ14" i="20" s="1"/>
  <c r="AR14" i="20" s="1"/>
  <c r="AS14" i="20" s="1"/>
  <c r="AT14" i="20" s="1"/>
  <c r="AU14" i="20" s="1"/>
  <c r="AV14" i="20" s="1"/>
  <c r="AW14" i="20" s="1"/>
  <c r="AX14" i="20" s="1"/>
  <c r="AY14" i="20" s="1"/>
  <c r="AZ14" i="20" s="1"/>
  <c r="AA70" i="20"/>
  <c r="AA47" i="17"/>
  <c r="AB48" i="17"/>
  <c r="X52" i="17"/>
  <c r="AA55" i="17"/>
  <c r="X56" i="17"/>
  <c r="AA59" i="17"/>
  <c r="X60" i="17"/>
  <c r="AB64" i="17"/>
  <c r="AA67" i="17"/>
  <c r="X68" i="17"/>
  <c r="AA41" i="18"/>
  <c r="AA45" i="18"/>
  <c r="AA49" i="18"/>
  <c r="X50" i="18"/>
  <c r="X54" i="18"/>
  <c r="X58" i="18"/>
  <c r="X62" i="18"/>
  <c r="AA74" i="18"/>
  <c r="AA82" i="18"/>
  <c r="AA110" i="18"/>
  <c r="X119" i="18"/>
  <c r="Y158" i="18"/>
  <c r="X158" i="18"/>
  <c r="X2" i="19"/>
  <c r="Y2" i="19" s="1"/>
  <c r="Z2" i="19" s="1"/>
  <c r="AA2" i="19" s="1"/>
  <c r="AB2" i="19" s="1"/>
  <c r="AC2" i="19" s="1"/>
  <c r="AD2" i="19" s="1"/>
  <c r="AE2" i="19" s="1"/>
  <c r="AF2" i="19" s="1"/>
  <c r="AG2" i="19" s="1"/>
  <c r="AH2" i="19" s="1"/>
  <c r="AI2" i="19" s="1"/>
  <c r="AJ2" i="19" s="1"/>
  <c r="AK2" i="19" s="1"/>
  <c r="AL2" i="19" s="1"/>
  <c r="AM2" i="19" s="1"/>
  <c r="AN2" i="19" s="1"/>
  <c r="AO2" i="19" s="1"/>
  <c r="AP2" i="19" s="1"/>
  <c r="AQ2" i="19" s="1"/>
  <c r="AR2" i="19" s="1"/>
  <c r="AS2" i="19" s="1"/>
  <c r="AT2" i="19" s="1"/>
  <c r="AU2" i="19" s="1"/>
  <c r="AV2" i="19" s="1"/>
  <c r="AW2" i="19" s="1"/>
  <c r="AX2" i="19" s="1"/>
  <c r="AY2" i="19" s="1"/>
  <c r="AZ2" i="19" s="1"/>
  <c r="X23" i="19"/>
  <c r="Y23" i="19" s="1"/>
  <c r="Z23" i="19" s="1"/>
  <c r="AA23" i="19" s="1"/>
  <c r="AB23" i="19" s="1"/>
  <c r="AC23" i="19" s="1"/>
  <c r="AD23" i="19" s="1"/>
  <c r="AE23" i="19" s="1"/>
  <c r="AF23" i="19" s="1"/>
  <c r="AG23" i="19" s="1"/>
  <c r="AH23" i="19" s="1"/>
  <c r="AI23" i="19" s="1"/>
  <c r="AJ23" i="19" s="1"/>
  <c r="AK23" i="19" s="1"/>
  <c r="AL23" i="19" s="1"/>
  <c r="AM23" i="19" s="1"/>
  <c r="AN23" i="19" s="1"/>
  <c r="AO23" i="19" s="1"/>
  <c r="AP23" i="19" s="1"/>
  <c r="AQ23" i="19" s="1"/>
  <c r="AR23" i="19" s="1"/>
  <c r="AS23" i="19" s="1"/>
  <c r="AT23" i="19" s="1"/>
  <c r="AU23" i="19" s="1"/>
  <c r="AV23" i="19" s="1"/>
  <c r="AW23" i="19" s="1"/>
  <c r="AX23" i="19" s="1"/>
  <c r="AY23" i="19" s="1"/>
  <c r="AZ23" i="19" s="1"/>
  <c r="X45" i="19"/>
  <c r="X61" i="19"/>
  <c r="Y61" i="19" s="1"/>
  <c r="Y74" i="20"/>
  <c r="X74" i="20"/>
  <c r="X77" i="20"/>
  <c r="Y78" i="20"/>
  <c r="X123" i="18"/>
  <c r="X131" i="18"/>
  <c r="Z140" i="18"/>
  <c r="Y140" i="18"/>
  <c r="Z148" i="18"/>
  <c r="Y148" i="18"/>
  <c r="X17" i="19"/>
  <c r="W18" i="19"/>
  <c r="W34" i="19"/>
  <c r="X34" i="19" s="1"/>
  <c r="Y34" i="19" s="1"/>
  <c r="Z34" i="19" s="1"/>
  <c r="AA34" i="19" s="1"/>
  <c r="AB34" i="19" s="1"/>
  <c r="AC34" i="19" s="1"/>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Z38" i="19"/>
  <c r="Y40" i="19"/>
  <c r="X40" i="19"/>
  <c r="X44" i="19"/>
  <c r="Z46" i="19"/>
  <c r="Y48" i="19"/>
  <c r="X48" i="19"/>
  <c r="X52" i="19"/>
  <c r="Z54" i="19"/>
  <c r="Y56" i="19"/>
  <c r="X56" i="19"/>
  <c r="X60" i="19"/>
  <c r="Z62" i="19"/>
  <c r="AB46" i="20"/>
  <c r="AB50" i="20"/>
  <c r="Y66" i="20"/>
  <c r="X125" i="18"/>
  <c r="X128" i="18"/>
  <c r="X133" i="18"/>
  <c r="X136" i="18"/>
  <c r="Y138" i="18"/>
  <c r="X140" i="18"/>
  <c r="X148" i="18"/>
  <c r="X156" i="18"/>
  <c r="U19" i="19"/>
  <c r="Y38" i="19"/>
  <c r="Y42" i="19"/>
  <c r="Y46" i="19"/>
  <c r="Y50" i="19"/>
  <c r="Y54" i="19"/>
  <c r="Y58" i="19"/>
  <c r="Y62" i="19"/>
  <c r="Z68" i="19"/>
  <c r="Y68" i="19"/>
  <c r="X70" i="19"/>
  <c r="Y41" i="20"/>
  <c r="Z45" i="20"/>
  <c r="Y45" i="20"/>
  <c r="AC46" i="20"/>
  <c r="Y49" i="20"/>
  <c r="Z49" i="20" s="1"/>
  <c r="Y53" i="20"/>
  <c r="Y57" i="20"/>
  <c r="Z57" i="20" s="1"/>
  <c r="Y61" i="20"/>
  <c r="Y64" i="20"/>
  <c r="Z72" i="20"/>
  <c r="Y72" i="20"/>
  <c r="AA76" i="20"/>
  <c r="T19" i="21"/>
  <c r="S19" i="21" s="1"/>
  <c r="R19" i="21" s="1"/>
  <c r="Q19" i="21" s="1"/>
  <c r="P19" i="21" s="1"/>
  <c r="O19" i="21" s="1"/>
  <c r="N19" i="21" s="1"/>
  <c r="M19" i="21" s="1"/>
  <c r="L19" i="21" s="1"/>
  <c r="K19" i="21" s="1"/>
  <c r="J19" i="21" s="1"/>
  <c r="I19" i="21" s="1"/>
  <c r="H19" i="21" s="1"/>
  <c r="G19" i="21" s="1"/>
  <c r="F19" i="21" s="1"/>
  <c r="E19" i="21" s="1"/>
  <c r="D19" i="21" s="1"/>
  <c r="C19" i="21" s="1"/>
  <c r="B19" i="21" s="1"/>
  <c r="X122" i="18"/>
  <c r="Z124" i="18"/>
  <c r="AA124" i="18" s="1"/>
  <c r="Y125" i="18"/>
  <c r="X127" i="18"/>
  <c r="X130" i="18"/>
  <c r="X135" i="18"/>
  <c r="Y136" i="18"/>
  <c r="Z144" i="18"/>
  <c r="Y144" i="18"/>
  <c r="X146" i="18"/>
  <c r="Y152" i="18"/>
  <c r="X154" i="18"/>
  <c r="Z160" i="18"/>
  <c r="Y160" i="18"/>
  <c r="X19" i="19"/>
  <c r="Y19" i="19" s="1"/>
  <c r="Z19" i="19" s="1"/>
  <c r="AA19" i="19" s="1"/>
  <c r="AB19" i="19" s="1"/>
  <c r="AC19" i="19" s="1"/>
  <c r="AD19" i="19" s="1"/>
  <c r="AE19" i="19" s="1"/>
  <c r="AF19" i="19" s="1"/>
  <c r="AG19" i="19" s="1"/>
  <c r="AH19" i="19" s="1"/>
  <c r="AI19" i="19" s="1"/>
  <c r="AJ19" i="19" s="1"/>
  <c r="AK19" i="19" s="1"/>
  <c r="AL19" i="19" s="1"/>
  <c r="AM19" i="19" s="1"/>
  <c r="AN19" i="19" s="1"/>
  <c r="AO19" i="19" s="1"/>
  <c r="AP19" i="19" s="1"/>
  <c r="AQ19" i="19" s="1"/>
  <c r="AR19" i="19" s="1"/>
  <c r="AS19" i="19" s="1"/>
  <c r="AT19" i="19" s="1"/>
  <c r="AU19" i="19" s="1"/>
  <c r="AV19" i="19" s="1"/>
  <c r="AW19" i="19" s="1"/>
  <c r="AX19" i="19" s="1"/>
  <c r="AY19" i="19" s="1"/>
  <c r="AZ19" i="19" s="1"/>
  <c r="Y66" i="19"/>
  <c r="X68" i="19"/>
  <c r="W18" i="20"/>
  <c r="W34" i="20"/>
  <c r="Z38" i="20"/>
  <c r="X40" i="20"/>
  <c r="X41" i="20"/>
  <c r="Z42" i="20"/>
  <c r="AB42" i="20" s="1"/>
  <c r="X44" i="20"/>
  <c r="AD46" i="20"/>
  <c r="Z46" i="20"/>
  <c r="X48" i="20"/>
  <c r="Z50" i="20"/>
  <c r="X52" i="20"/>
  <c r="Z54" i="20"/>
  <c r="Y56" i="20"/>
  <c r="X56" i="20"/>
  <c r="Z58" i="20"/>
  <c r="Y60" i="20"/>
  <c r="X60" i="20"/>
  <c r="Z62" i="20"/>
  <c r="X64" i="20"/>
  <c r="Z70" i="20"/>
  <c r="Y70" i="20"/>
  <c r="X75" i="20"/>
  <c r="Z80" i="20"/>
  <c r="AA80" i="20"/>
  <c r="Y80" i="20"/>
  <c r="T34" i="21"/>
  <c r="S34" i="21" s="1"/>
  <c r="R34" i="21" s="1"/>
  <c r="Q34" i="21" s="1"/>
  <c r="P34" i="21" s="1"/>
  <c r="O34" i="21" s="1"/>
  <c r="N34" i="21" s="1"/>
  <c r="M34" i="21" s="1"/>
  <c r="L34" i="21" s="1"/>
  <c r="K34" i="21" s="1"/>
  <c r="J34" i="21" s="1"/>
  <c r="I34" i="21" s="1"/>
  <c r="H34" i="21" s="1"/>
  <c r="G34" i="21" s="1"/>
  <c r="F34" i="21" s="1"/>
  <c r="E34" i="21" s="1"/>
  <c r="D34" i="21" s="1"/>
  <c r="C34" i="21" s="1"/>
  <c r="B34" i="21" s="1"/>
  <c r="U17" i="21"/>
  <c r="X39" i="21"/>
  <c r="Z48" i="21"/>
  <c r="Y48" i="21"/>
  <c r="Y63" i="21"/>
  <c r="X63" i="21"/>
  <c r="Z76" i="20"/>
  <c r="AB76" i="20"/>
  <c r="X79" i="20"/>
  <c r="Y82" i="20"/>
  <c r="U18" i="21"/>
  <c r="T18" i="21" s="1"/>
  <c r="S18" i="21" s="1"/>
  <c r="R18" i="21" s="1"/>
  <c r="Q18" i="21" s="1"/>
  <c r="P18" i="21" s="1"/>
  <c r="O18" i="21" s="1"/>
  <c r="N18" i="21" s="1"/>
  <c r="M18" i="21" s="1"/>
  <c r="L18" i="21" s="1"/>
  <c r="K18" i="21" s="1"/>
  <c r="J18" i="21" s="1"/>
  <c r="I18" i="21" s="1"/>
  <c r="H18" i="21" s="1"/>
  <c r="G18" i="21" s="1"/>
  <c r="F18" i="21" s="1"/>
  <c r="E18" i="21" s="1"/>
  <c r="D18" i="21" s="1"/>
  <c r="C18" i="21" s="1"/>
  <c r="B18" i="21" s="1"/>
  <c r="W18" i="21"/>
  <c r="X18" i="21" s="1"/>
  <c r="Y18" i="21" s="1"/>
  <c r="Z18" i="21" s="1"/>
  <c r="AA18" i="21" s="1"/>
  <c r="AB18" i="21" s="1"/>
  <c r="AC18" i="21" s="1"/>
  <c r="AD18" i="21" s="1"/>
  <c r="AE18" i="21" s="1"/>
  <c r="AF18" i="21" s="1"/>
  <c r="AG18" i="21" s="1"/>
  <c r="AH18" i="21" s="1"/>
  <c r="AI18" i="21" s="1"/>
  <c r="AJ18" i="21" s="1"/>
  <c r="AK18" i="21" s="1"/>
  <c r="AL18" i="21" s="1"/>
  <c r="AM18" i="21" s="1"/>
  <c r="AN18" i="21" s="1"/>
  <c r="AO18" i="21" s="1"/>
  <c r="AP18" i="21" s="1"/>
  <c r="AQ18" i="21" s="1"/>
  <c r="AR18" i="21" s="1"/>
  <c r="AS18" i="21" s="1"/>
  <c r="AT18" i="21" s="1"/>
  <c r="AU18" i="21" s="1"/>
  <c r="AV18" i="21" s="1"/>
  <c r="AW18" i="21" s="1"/>
  <c r="AX18" i="21" s="1"/>
  <c r="AY18" i="21" s="1"/>
  <c r="AZ18" i="21" s="1"/>
  <c r="W17" i="21"/>
  <c r="W34" i="21"/>
  <c r="X34" i="21" s="1"/>
  <c r="Y34" i="21" s="1"/>
  <c r="Z34" i="21" s="1"/>
  <c r="AA34" i="21" s="1"/>
  <c r="AB34" i="21" s="1"/>
  <c r="AC34" i="21" s="1"/>
  <c r="AD34" i="21" s="1"/>
  <c r="AE34" i="21" s="1"/>
  <c r="AF34" i="21" s="1"/>
  <c r="AG34" i="21" s="1"/>
  <c r="AH34" i="21" s="1"/>
  <c r="AI34" i="21" s="1"/>
  <c r="AJ34" i="21" s="1"/>
  <c r="AK34" i="21" s="1"/>
  <c r="AL34" i="21" s="1"/>
  <c r="AM34" i="21" s="1"/>
  <c r="AN34" i="21" s="1"/>
  <c r="AO34" i="21" s="1"/>
  <c r="AP34" i="21" s="1"/>
  <c r="AQ34" i="21" s="1"/>
  <c r="AR34" i="21" s="1"/>
  <c r="AS34" i="21" s="1"/>
  <c r="AT34" i="21" s="1"/>
  <c r="AU34" i="21" s="1"/>
  <c r="AV34" i="21" s="1"/>
  <c r="AW34" i="21" s="1"/>
  <c r="AX34" i="21" s="1"/>
  <c r="AY34" i="21" s="1"/>
  <c r="AZ34" i="21" s="1"/>
  <c r="W23" i="21"/>
  <c r="W2" i="21"/>
  <c r="X2" i="21" s="1"/>
  <c r="Y2" i="21" s="1"/>
  <c r="Z2" i="21" s="1"/>
  <c r="AA2" i="21" s="1"/>
  <c r="AB2" i="21" s="1"/>
  <c r="AC2" i="21" s="1"/>
  <c r="AD2" i="21" s="1"/>
  <c r="AE2" i="21" s="1"/>
  <c r="AF2" i="21" s="1"/>
  <c r="AG2" i="21" s="1"/>
  <c r="AH2" i="21" s="1"/>
  <c r="AI2" i="21" s="1"/>
  <c r="AJ2" i="21" s="1"/>
  <c r="AK2" i="21" s="1"/>
  <c r="AL2" i="21" s="1"/>
  <c r="AM2" i="21" s="1"/>
  <c r="AN2" i="21" s="1"/>
  <c r="AO2" i="21" s="1"/>
  <c r="AP2" i="21" s="1"/>
  <c r="AQ2" i="21" s="1"/>
  <c r="AR2" i="21" s="1"/>
  <c r="AS2" i="21" s="1"/>
  <c r="AT2" i="21" s="1"/>
  <c r="AU2" i="21" s="1"/>
  <c r="AV2" i="21" s="1"/>
  <c r="AW2" i="21" s="1"/>
  <c r="AX2" i="21" s="1"/>
  <c r="AY2" i="21" s="1"/>
  <c r="AZ2" i="21" s="1"/>
  <c r="Y38" i="21"/>
  <c r="X137" i="18"/>
  <c r="X139" i="18"/>
  <c r="X141" i="18"/>
  <c r="X143" i="18"/>
  <c r="X145" i="18"/>
  <c r="X147" i="18"/>
  <c r="X149" i="18"/>
  <c r="X151" i="18"/>
  <c r="X153" i="18"/>
  <c r="X155" i="18"/>
  <c r="X157" i="18"/>
  <c r="X159" i="18"/>
  <c r="X161" i="18"/>
  <c r="X39" i="19"/>
  <c r="X43" i="19"/>
  <c r="X47" i="19"/>
  <c r="X51" i="19"/>
  <c r="X55" i="19"/>
  <c r="X59" i="19"/>
  <c r="X63" i="19"/>
  <c r="X65" i="19"/>
  <c r="X67" i="19"/>
  <c r="X69" i="19"/>
  <c r="X71" i="19"/>
  <c r="AA38" i="20"/>
  <c r="X39" i="20"/>
  <c r="AA42" i="20"/>
  <c r="X43" i="20"/>
  <c r="AA46" i="20"/>
  <c r="AE46" i="20"/>
  <c r="X47" i="20"/>
  <c r="AA50" i="20"/>
  <c r="X51" i="20"/>
  <c r="AA54" i="20"/>
  <c r="X55" i="20"/>
  <c r="X59" i="20"/>
  <c r="X63" i="20"/>
  <c r="X65" i="20"/>
  <c r="X67" i="20"/>
  <c r="X69" i="20"/>
  <c r="X71" i="20"/>
  <c r="X73" i="20"/>
  <c r="AC76" i="20"/>
  <c r="X81" i="20"/>
  <c r="U2" i="21"/>
  <c r="T2" i="21" s="1"/>
  <c r="X79" i="21"/>
  <c r="X42" i="22"/>
  <c r="Y42" i="22" s="1"/>
  <c r="Y48" i="22"/>
  <c r="AB48" i="22" s="1"/>
  <c r="AC48" i="22"/>
  <c r="Z128" i="22"/>
  <c r="Y44" i="21"/>
  <c r="Z44" i="21" s="1"/>
  <c r="Y51" i="21"/>
  <c r="X51" i="21"/>
  <c r="X59" i="21"/>
  <c r="Z106" i="21"/>
  <c r="Y40" i="21"/>
  <c r="X41" i="21"/>
  <c r="X43" i="21"/>
  <c r="X44" i="21"/>
  <c r="Z45" i="21"/>
  <c r="X47" i="21"/>
  <c r="X53" i="21"/>
  <c r="X54" i="21"/>
  <c r="X55" i="21"/>
  <c r="X71" i="21"/>
  <c r="X73" i="21"/>
  <c r="X87" i="21"/>
  <c r="Z94" i="21"/>
  <c r="X97" i="21"/>
  <c r="X46" i="22"/>
  <c r="Z81" i="21"/>
  <c r="Y81" i="21"/>
  <c r="Y94" i="21"/>
  <c r="S2" i="22"/>
  <c r="S19" i="22"/>
  <c r="R19" i="22" s="1"/>
  <c r="Q19" i="22" s="1"/>
  <c r="P19" i="22" s="1"/>
  <c r="O19" i="22" s="1"/>
  <c r="N19" i="22" s="1"/>
  <c r="M19" i="22" s="1"/>
  <c r="L19" i="22" s="1"/>
  <c r="K19" i="22" s="1"/>
  <c r="J19" i="22" s="1"/>
  <c r="I19" i="22" s="1"/>
  <c r="H19" i="22" s="1"/>
  <c r="G19" i="22" s="1"/>
  <c r="F19" i="22" s="1"/>
  <c r="E19" i="22" s="1"/>
  <c r="D19" i="22" s="1"/>
  <c r="C19" i="22" s="1"/>
  <c r="B19" i="22" s="1"/>
  <c r="Z41" i="22"/>
  <c r="X59" i="22"/>
  <c r="Z56" i="21"/>
  <c r="X58" i="21"/>
  <c r="X62" i="21"/>
  <c r="Y77" i="21"/>
  <c r="Y98" i="21"/>
  <c r="X101" i="21"/>
  <c r="Z102" i="21"/>
  <c r="Z104" i="21"/>
  <c r="X14" i="22"/>
  <c r="Y14" i="22" s="1"/>
  <c r="Z14" i="22" s="1"/>
  <c r="AA14" i="22" s="1"/>
  <c r="AB14" i="22" s="1"/>
  <c r="AC14" i="22" s="1"/>
  <c r="AD14" i="22" s="1"/>
  <c r="AE14" i="22" s="1"/>
  <c r="AF14" i="22" s="1"/>
  <c r="AG14" i="22" s="1"/>
  <c r="AH14" i="22" s="1"/>
  <c r="AI14" i="22" s="1"/>
  <c r="AJ14" i="22" s="1"/>
  <c r="AK14" i="22" s="1"/>
  <c r="AL14" i="22" s="1"/>
  <c r="AM14" i="22" s="1"/>
  <c r="AN14" i="22" s="1"/>
  <c r="AO14" i="22" s="1"/>
  <c r="AP14" i="22" s="1"/>
  <c r="AQ14" i="22" s="1"/>
  <c r="AR14" i="22" s="1"/>
  <c r="AS14" i="22" s="1"/>
  <c r="AT14" i="22" s="1"/>
  <c r="AU14" i="22" s="1"/>
  <c r="AV14" i="22" s="1"/>
  <c r="AW14" i="22" s="1"/>
  <c r="AX14" i="22" s="1"/>
  <c r="AY14" i="22" s="1"/>
  <c r="AZ14" i="22" s="1"/>
  <c r="Y19" i="22"/>
  <c r="Z19" i="22" s="1"/>
  <c r="AA19" i="22" s="1"/>
  <c r="AB19" i="22" s="1"/>
  <c r="AC19" i="22" s="1"/>
  <c r="AD19" i="22" s="1"/>
  <c r="AE19" i="22" s="1"/>
  <c r="AF19" i="22" s="1"/>
  <c r="AG19" i="22" s="1"/>
  <c r="AH19" i="22" s="1"/>
  <c r="AI19" i="22" s="1"/>
  <c r="AJ19" i="22" s="1"/>
  <c r="AK19" i="22" s="1"/>
  <c r="AL19" i="22" s="1"/>
  <c r="AM19" i="22" s="1"/>
  <c r="AN19" i="22" s="1"/>
  <c r="AO19" i="22" s="1"/>
  <c r="AP19" i="22" s="1"/>
  <c r="AQ19" i="22" s="1"/>
  <c r="AR19" i="22" s="1"/>
  <c r="AS19" i="22" s="1"/>
  <c r="AT19" i="22" s="1"/>
  <c r="AU19" i="22" s="1"/>
  <c r="AV19" i="22" s="1"/>
  <c r="AW19" i="22" s="1"/>
  <c r="AX19" i="22" s="1"/>
  <c r="AY19" i="22" s="1"/>
  <c r="AZ19" i="22" s="1"/>
  <c r="Y55" i="22"/>
  <c r="X55" i="22"/>
  <c r="X42" i="21"/>
  <c r="AA45" i="21"/>
  <c r="X46" i="21"/>
  <c r="X49" i="21"/>
  <c r="X50" i="21"/>
  <c r="Y52" i="21"/>
  <c r="Y56" i="21"/>
  <c r="Y60" i="21"/>
  <c r="Z67" i="21"/>
  <c r="Y67" i="21"/>
  <c r="X69" i="21"/>
  <c r="Y75" i="21"/>
  <c r="X77" i="21"/>
  <c r="Z83" i="21"/>
  <c r="Y83" i="21"/>
  <c r="X85" i="21"/>
  <c r="X89" i="21"/>
  <c r="Z90" i="21"/>
  <c r="Y93" i="21"/>
  <c r="AA93" i="21"/>
  <c r="Z93" i="21"/>
  <c r="Y102" i="21"/>
  <c r="Z110" i="21"/>
  <c r="X23" i="22"/>
  <c r="Y23" i="22" s="1"/>
  <c r="Z23" i="22" s="1"/>
  <c r="AA23" i="22" s="1"/>
  <c r="AB23" i="22" s="1"/>
  <c r="AC23" i="22" s="1"/>
  <c r="AD23" i="22" s="1"/>
  <c r="AE23" i="22" s="1"/>
  <c r="AF23" i="22" s="1"/>
  <c r="AG23" i="22" s="1"/>
  <c r="AH23" i="22" s="1"/>
  <c r="AI23" i="22" s="1"/>
  <c r="AJ23" i="22" s="1"/>
  <c r="AK23" i="22" s="1"/>
  <c r="AL23" i="22" s="1"/>
  <c r="AM23" i="22" s="1"/>
  <c r="AN23" i="22" s="1"/>
  <c r="AO23" i="22" s="1"/>
  <c r="AP23" i="22" s="1"/>
  <c r="AQ23" i="22" s="1"/>
  <c r="AR23" i="22" s="1"/>
  <c r="AS23" i="22" s="1"/>
  <c r="AT23" i="22" s="1"/>
  <c r="AU23" i="22" s="1"/>
  <c r="AV23" i="22" s="1"/>
  <c r="AW23" i="22" s="1"/>
  <c r="AX23" i="22" s="1"/>
  <c r="AY23" i="22" s="1"/>
  <c r="AZ23" i="22" s="1"/>
  <c r="X2" i="22"/>
  <c r="Y2" i="22" s="1"/>
  <c r="Z2" i="22" s="1"/>
  <c r="AA2" i="22" s="1"/>
  <c r="AB2" i="22" s="1"/>
  <c r="AC2" i="22" s="1"/>
  <c r="AD2" i="22" s="1"/>
  <c r="AE2" i="22" s="1"/>
  <c r="AF2" i="22" s="1"/>
  <c r="AG2" i="22" s="1"/>
  <c r="AH2" i="22" s="1"/>
  <c r="AI2" i="22" s="1"/>
  <c r="AJ2" i="22" s="1"/>
  <c r="AK2" i="22" s="1"/>
  <c r="AL2" i="22" s="1"/>
  <c r="AM2" i="22" s="1"/>
  <c r="AN2" i="22" s="1"/>
  <c r="AO2" i="22" s="1"/>
  <c r="AP2" i="22" s="1"/>
  <c r="AQ2" i="22" s="1"/>
  <c r="AR2" i="22" s="1"/>
  <c r="AS2" i="22" s="1"/>
  <c r="AT2" i="22" s="1"/>
  <c r="AU2" i="22" s="1"/>
  <c r="AV2" i="22" s="1"/>
  <c r="AW2" i="22" s="1"/>
  <c r="AX2" i="22" s="1"/>
  <c r="AY2" i="22" s="1"/>
  <c r="AZ2" i="22" s="1"/>
  <c r="X17" i="22"/>
  <c r="Y44" i="22"/>
  <c r="Y47" i="22"/>
  <c r="X51" i="22"/>
  <c r="Y91" i="21"/>
  <c r="Y95" i="21"/>
  <c r="Z105" i="21"/>
  <c r="Y105" i="21"/>
  <c r="T18" i="22"/>
  <c r="S18" i="22" s="1"/>
  <c r="R18" i="22" s="1"/>
  <c r="Q18" i="22" s="1"/>
  <c r="P18" i="22" s="1"/>
  <c r="O18" i="22" s="1"/>
  <c r="N18" i="22" s="1"/>
  <c r="M18" i="22" s="1"/>
  <c r="L18" i="22" s="1"/>
  <c r="K18" i="22" s="1"/>
  <c r="J18" i="22" s="1"/>
  <c r="I18" i="22" s="1"/>
  <c r="H18" i="22" s="1"/>
  <c r="G18" i="22" s="1"/>
  <c r="F18" i="22" s="1"/>
  <c r="E18" i="22" s="1"/>
  <c r="D18" i="22" s="1"/>
  <c r="C18" i="22" s="1"/>
  <c r="B18" i="22" s="1"/>
  <c r="Y39" i="22"/>
  <c r="Y50" i="22"/>
  <c r="X50" i="22"/>
  <c r="Z52" i="22"/>
  <c r="X54" i="22"/>
  <c r="Z56" i="22"/>
  <c r="X58" i="22"/>
  <c r="Z60" i="22"/>
  <c r="X62" i="22"/>
  <c r="Y66" i="22"/>
  <c r="X66" i="22"/>
  <c r="X74" i="22"/>
  <c r="Y82" i="22"/>
  <c r="X82" i="22"/>
  <c r="X90" i="22"/>
  <c r="Y107" i="22"/>
  <c r="Z111" i="22"/>
  <c r="Y111" i="22"/>
  <c r="X111" i="22"/>
  <c r="X119" i="22"/>
  <c r="Z126" i="22"/>
  <c r="AA48" i="21"/>
  <c r="X57" i="21"/>
  <c r="X61" i="21"/>
  <c r="X64" i="21"/>
  <c r="X66" i="21"/>
  <c r="X68" i="21"/>
  <c r="X70" i="21"/>
  <c r="X72" i="21"/>
  <c r="X74" i="21"/>
  <c r="X76" i="21"/>
  <c r="X78" i="21"/>
  <c r="X80" i="21"/>
  <c r="X82" i="21"/>
  <c r="X84" i="21"/>
  <c r="X86" i="21"/>
  <c r="X88" i="21"/>
  <c r="X91" i="21"/>
  <c r="Y92" i="21"/>
  <c r="X95" i="21"/>
  <c r="Y96" i="21"/>
  <c r="X99" i="21"/>
  <c r="Y100" i="21"/>
  <c r="X103" i="21"/>
  <c r="X105" i="21"/>
  <c r="X107" i="21"/>
  <c r="X109" i="21"/>
  <c r="X111" i="21"/>
  <c r="X18" i="22"/>
  <c r="Y18" i="22" s="1"/>
  <c r="Z18" i="22" s="1"/>
  <c r="AA18" i="22" s="1"/>
  <c r="AB18" i="22" s="1"/>
  <c r="AC18" i="22" s="1"/>
  <c r="AD18" i="22" s="1"/>
  <c r="AE18" i="22" s="1"/>
  <c r="AF18" i="22" s="1"/>
  <c r="AG18" i="22" s="1"/>
  <c r="AH18" i="22" s="1"/>
  <c r="AI18" i="22" s="1"/>
  <c r="AJ18" i="22" s="1"/>
  <c r="AK18" i="22" s="1"/>
  <c r="AL18" i="22" s="1"/>
  <c r="AM18" i="22" s="1"/>
  <c r="AN18" i="22" s="1"/>
  <c r="AO18" i="22" s="1"/>
  <c r="AP18" i="22" s="1"/>
  <c r="AQ18" i="22" s="1"/>
  <c r="AR18" i="22" s="1"/>
  <c r="AS18" i="22" s="1"/>
  <c r="AT18" i="22" s="1"/>
  <c r="AU18" i="22" s="1"/>
  <c r="AV18" i="22" s="1"/>
  <c r="AW18" i="22" s="1"/>
  <c r="AX18" i="22" s="1"/>
  <c r="AY18" i="22" s="1"/>
  <c r="AZ18" i="22" s="1"/>
  <c r="U17" i="22"/>
  <c r="X38" i="22"/>
  <c r="W36" i="22"/>
  <c r="X39" i="22"/>
  <c r="Y43" i="22"/>
  <c r="Z45" i="22"/>
  <c r="Y52" i="22"/>
  <c r="Y56" i="22"/>
  <c r="X64" i="22"/>
  <c r="Y65" i="22"/>
  <c r="X72" i="22"/>
  <c r="Y73" i="22"/>
  <c r="Z75" i="22"/>
  <c r="X80" i="22"/>
  <c r="Y81" i="22"/>
  <c r="Z83" i="22"/>
  <c r="X88" i="22"/>
  <c r="Y89" i="22"/>
  <c r="Z91" i="22"/>
  <c r="X105" i="22"/>
  <c r="AA94" i="21"/>
  <c r="AA102" i="21"/>
  <c r="AA106" i="21"/>
  <c r="AA108" i="21"/>
  <c r="AA110" i="21"/>
  <c r="Z40" i="22"/>
  <c r="AA41" i="22"/>
  <c r="Z48" i="22"/>
  <c r="AA49" i="22"/>
  <c r="X61" i="22"/>
  <c r="X70" i="22"/>
  <c r="Y70" i="22" s="1"/>
  <c r="X78" i="22"/>
  <c r="Z79" i="22"/>
  <c r="X86" i="22"/>
  <c r="Y94" i="22"/>
  <c r="X94" i="22"/>
  <c r="X96" i="22"/>
  <c r="Z96" i="22"/>
  <c r="Y99" i="22"/>
  <c r="AB108" i="21"/>
  <c r="AA40" i="22"/>
  <c r="AA48" i="22"/>
  <c r="X53" i="22"/>
  <c r="AA56" i="22"/>
  <c r="X57" i="22"/>
  <c r="Y63" i="22"/>
  <c r="X68" i="22"/>
  <c r="Y71" i="22"/>
  <c r="X76" i="22"/>
  <c r="Z77" i="22"/>
  <c r="Y79" i="22"/>
  <c r="X84" i="22"/>
  <c r="Z85" i="22"/>
  <c r="Y87" i="22"/>
  <c r="X92" i="22"/>
  <c r="Z93" i="22"/>
  <c r="Z94" i="22"/>
  <c r="Y95" i="22"/>
  <c r="Y96" i="22"/>
  <c r="X97" i="22"/>
  <c r="X99" i="22"/>
  <c r="Z63" i="22"/>
  <c r="Z65" i="22"/>
  <c r="Z67" i="22"/>
  <c r="Z69" i="22"/>
  <c r="Z71" i="22"/>
  <c r="Z73" i="22"/>
  <c r="Y109" i="22"/>
  <c r="X115" i="22"/>
  <c r="Z124" i="22"/>
  <c r="AA63" i="22"/>
  <c r="AA69" i="22"/>
  <c r="AA71" i="22"/>
  <c r="AA77" i="22"/>
  <c r="AA85" i="22"/>
  <c r="AA91" i="22"/>
  <c r="Y101" i="22"/>
  <c r="X103" i="22"/>
  <c r="X109" i="22"/>
  <c r="X117" i="22"/>
  <c r="Y117" i="22" s="1"/>
  <c r="Q15" i="23"/>
  <c r="P15" i="23" s="1"/>
  <c r="T2" i="23"/>
  <c r="Y125" i="22"/>
  <c r="Z113" i="22"/>
  <c r="Y113" i="22"/>
  <c r="Y121" i="22"/>
  <c r="X123" i="22"/>
  <c r="X125" i="22"/>
  <c r="X127" i="22"/>
  <c r="U26" i="23"/>
  <c r="T26" i="23" s="1"/>
  <c r="S26" i="23" s="1"/>
  <c r="R26" i="23" s="1"/>
  <c r="Q26" i="23" s="1"/>
  <c r="P26" i="23" s="1"/>
  <c r="O26" i="23" s="1"/>
  <c r="N26" i="23" s="1"/>
  <c r="M26" i="23" s="1"/>
  <c r="L26" i="23" s="1"/>
  <c r="K26" i="23" s="1"/>
  <c r="J26" i="23" s="1"/>
  <c r="I26" i="23" s="1"/>
  <c r="H26" i="23" s="1"/>
  <c r="G26" i="23" s="1"/>
  <c r="F26" i="23" s="1"/>
  <c r="E26" i="23" s="1"/>
  <c r="D26" i="23" s="1"/>
  <c r="C26" i="23" s="1"/>
  <c r="B26" i="23" s="1"/>
  <c r="W26" i="23"/>
  <c r="X26" i="23" s="1"/>
  <c r="Y26" i="23" s="1"/>
  <c r="Z26" i="23" s="1"/>
  <c r="AA26" i="23" s="1"/>
  <c r="AB26" i="23" s="1"/>
  <c r="AC26" i="23" s="1"/>
  <c r="AD26" i="23" s="1"/>
  <c r="AE26" i="23" s="1"/>
  <c r="AF26" i="23" s="1"/>
  <c r="AG26" i="23" s="1"/>
  <c r="AH26" i="23" s="1"/>
  <c r="AI26" i="23" s="1"/>
  <c r="AJ26" i="23" s="1"/>
  <c r="AK26" i="23" s="1"/>
  <c r="AL26" i="23" s="1"/>
  <c r="AM26" i="23" s="1"/>
  <c r="AN26" i="23" s="1"/>
  <c r="AO26" i="23" s="1"/>
  <c r="AP26" i="23" s="1"/>
  <c r="AQ26" i="23" s="1"/>
  <c r="AR26" i="23" s="1"/>
  <c r="AS26" i="23" s="1"/>
  <c r="AT26" i="23" s="1"/>
  <c r="AU26" i="23" s="1"/>
  <c r="AV26" i="23" s="1"/>
  <c r="AW26" i="23" s="1"/>
  <c r="AX26" i="23" s="1"/>
  <c r="AY26" i="23" s="1"/>
  <c r="AZ26" i="23" s="1"/>
  <c r="Z50" i="23"/>
  <c r="X50" i="23"/>
  <c r="Y50" i="23"/>
  <c r="T4" i="23"/>
  <c r="S4" i="23" s="1"/>
  <c r="R4" i="23" s="1"/>
  <c r="Q4" i="23" s="1"/>
  <c r="P4" i="23" s="1"/>
  <c r="O4" i="23" s="1"/>
  <c r="N4" i="23" s="1"/>
  <c r="M4" i="23" s="1"/>
  <c r="L4" i="23" s="1"/>
  <c r="K4" i="23" s="1"/>
  <c r="J4" i="23" s="1"/>
  <c r="I4" i="23" s="1"/>
  <c r="H4" i="23" s="1"/>
  <c r="G4" i="23" s="1"/>
  <c r="F4" i="23" s="1"/>
  <c r="E4" i="23" s="1"/>
  <c r="D4" i="23" s="1"/>
  <c r="C4" i="23" s="1"/>
  <c r="B4" i="23" s="1"/>
  <c r="AA126" i="22"/>
  <c r="AA128" i="22"/>
  <c r="X53" i="23"/>
  <c r="Y53" i="23"/>
  <c r="X98" i="22"/>
  <c r="X100" i="22"/>
  <c r="X102" i="22"/>
  <c r="X104" i="22"/>
  <c r="X106" i="22"/>
  <c r="X108" i="22"/>
  <c r="X110" i="22"/>
  <c r="X112" i="22"/>
  <c r="X114" i="22"/>
  <c r="X116" i="22"/>
  <c r="X118" i="22"/>
  <c r="X120" i="22"/>
  <c r="X122" i="22"/>
  <c r="Z20" i="23"/>
  <c r="AA20" i="23" s="1"/>
  <c r="AB20" i="23" s="1"/>
  <c r="AC20" i="23" s="1"/>
  <c r="AD20" i="23" s="1"/>
  <c r="AE20" i="23" s="1"/>
  <c r="AF20" i="23" s="1"/>
  <c r="AG20" i="23" s="1"/>
  <c r="AH20" i="23" s="1"/>
  <c r="AI20" i="23" s="1"/>
  <c r="AJ20" i="23" s="1"/>
  <c r="AK20" i="23" s="1"/>
  <c r="AL20" i="23" s="1"/>
  <c r="AM20" i="23" s="1"/>
  <c r="AN20" i="23" s="1"/>
  <c r="AO20" i="23" s="1"/>
  <c r="AP20" i="23" s="1"/>
  <c r="AQ20" i="23" s="1"/>
  <c r="AR20" i="23" s="1"/>
  <c r="AS20" i="23" s="1"/>
  <c r="AT20" i="23" s="1"/>
  <c r="AU20" i="23" s="1"/>
  <c r="AV20" i="23" s="1"/>
  <c r="AW20" i="23" s="1"/>
  <c r="AX20" i="23" s="1"/>
  <c r="AY20" i="23" s="1"/>
  <c r="AZ20" i="23" s="1"/>
  <c r="X51" i="23"/>
  <c r="Z51" i="23"/>
  <c r="AA51" i="23"/>
  <c r="Y51" i="23"/>
  <c r="Z48" i="23"/>
  <c r="Y48" i="23"/>
  <c r="X45" i="23"/>
  <c r="Y45" i="23"/>
  <c r="Z46" i="23"/>
  <c r="X49" i="23"/>
  <c r="X47" i="23"/>
  <c r="Z52" i="23"/>
  <c r="AA52" i="23" s="1"/>
  <c r="AA207" i="14" l="1"/>
  <c r="Z49" i="23"/>
  <c r="Y49" i="23"/>
  <c r="AA49" i="23"/>
  <c r="AB49" i="23"/>
  <c r="S2" i="23"/>
  <c r="AH2632" i="6"/>
  <c r="AD2632" i="6"/>
  <c r="Z2632" i="6"/>
  <c r="V2632" i="6"/>
  <c r="AI2580" i="6"/>
  <c r="AE2580" i="6"/>
  <c r="AA2580" i="6"/>
  <c r="W2580" i="6"/>
  <c r="AH2528" i="6"/>
  <c r="AD2528" i="6"/>
  <c r="Z2528" i="6"/>
  <c r="V2528" i="6"/>
  <c r="AG2632" i="6"/>
  <c r="AB2632" i="6"/>
  <c r="W2632" i="6"/>
  <c r="AH2580" i="6"/>
  <c r="AC2580" i="6"/>
  <c r="X2580" i="6"/>
  <c r="AJ2528" i="6"/>
  <c r="AE2528" i="6"/>
  <c r="Y2528" i="6"/>
  <c r="U2474" i="6"/>
  <c r="U2454" i="6" s="1"/>
  <c r="AK2632" i="6"/>
  <c r="AF2632" i="6"/>
  <c r="AA2632" i="6"/>
  <c r="AG2580" i="6"/>
  <c r="AB2580" i="6"/>
  <c r="V2580" i="6"/>
  <c r="AI2528" i="6"/>
  <c r="AC2528" i="6"/>
  <c r="X2528" i="6"/>
  <c r="AJ2632" i="6"/>
  <c r="AE2632" i="6"/>
  <c r="Y2632" i="6"/>
  <c r="AF2580" i="6"/>
  <c r="Z2580" i="6"/>
  <c r="AG2528" i="6"/>
  <c r="AB2528" i="6"/>
  <c r="W2528" i="6"/>
  <c r="Y2580" i="6"/>
  <c r="AA2528" i="6"/>
  <c r="AI2632" i="6"/>
  <c r="AC2632" i="6"/>
  <c r="AJ2580" i="6"/>
  <c r="X2632" i="6"/>
  <c r="AD2580" i="6"/>
  <c r="AF2528" i="6"/>
  <c r="Y109" i="21"/>
  <c r="Z82" i="21"/>
  <c r="Y82" i="21"/>
  <c r="Z82" i="22"/>
  <c r="AB82" i="22"/>
  <c r="AA82" i="22"/>
  <c r="Z50" i="22"/>
  <c r="Z39" i="22"/>
  <c r="Z110" i="22"/>
  <c r="Y110" i="22"/>
  <c r="AC50" i="23"/>
  <c r="AB50" i="23"/>
  <c r="AA50" i="23"/>
  <c r="AA60" i="22"/>
  <c r="AA96" i="22"/>
  <c r="AA94" i="22"/>
  <c r="AC94" i="22"/>
  <c r="AB94" i="22"/>
  <c r="AA65" i="22"/>
  <c r="Z44" i="22"/>
  <c r="Z89" i="21"/>
  <c r="Y89" i="21"/>
  <c r="AB102" i="21"/>
  <c r="Z98" i="21"/>
  <c r="Y53" i="21"/>
  <c r="Z71" i="20"/>
  <c r="Y71" i="20"/>
  <c r="Y59" i="19"/>
  <c r="Y43" i="19"/>
  <c r="Y128" i="18"/>
  <c r="AB124" i="18"/>
  <c r="AA148" i="18"/>
  <c r="Y126" i="18"/>
  <c r="AB38" i="18"/>
  <c r="Z116" i="18"/>
  <c r="Z48" i="16"/>
  <c r="Y48" i="16"/>
  <c r="X46" i="16"/>
  <c r="Y64" i="15"/>
  <c r="Y56" i="15"/>
  <c r="Z68" i="18"/>
  <c r="AB40" i="18"/>
  <c r="AA40" i="18"/>
  <c r="Z69" i="15"/>
  <c r="Y69" i="15"/>
  <c r="T17" i="20"/>
  <c r="V1782" i="6"/>
  <c r="AA43" i="15"/>
  <c r="AB83" i="13"/>
  <c r="AB59" i="17"/>
  <c r="Z112" i="14"/>
  <c r="AA80" i="14"/>
  <c r="Z80" i="14"/>
  <c r="AA147" i="14"/>
  <c r="AA92" i="13"/>
  <c r="Z78" i="13"/>
  <c r="Y78" i="13"/>
  <c r="Y70" i="13"/>
  <c r="AA56" i="13"/>
  <c r="Q16" i="9"/>
  <c r="Q18" i="9"/>
  <c r="R2671" i="6"/>
  <c r="AA88" i="14"/>
  <c r="Z88" i="14"/>
  <c r="Y129" i="14"/>
  <c r="AA106" i="13"/>
  <c r="M3170" i="6"/>
  <c r="E16" i="9"/>
  <c r="E18" i="9"/>
  <c r="E23" i="9"/>
  <c r="F2671" i="6"/>
  <c r="AB52" i="23"/>
  <c r="AC52" i="23"/>
  <c r="Y74" i="21"/>
  <c r="Y85" i="21"/>
  <c r="Z85" i="21" s="1"/>
  <c r="Z55" i="22"/>
  <c r="Y73" i="21"/>
  <c r="Y157" i="18"/>
  <c r="Z157" i="18" s="1"/>
  <c r="Y141" i="18"/>
  <c r="X17" i="21"/>
  <c r="X2007" i="6"/>
  <c r="Z63" i="21"/>
  <c r="AB63" i="21" s="1"/>
  <c r="AB80" i="20"/>
  <c r="Z60" i="20"/>
  <c r="AA60" i="20"/>
  <c r="Z56" i="20"/>
  <c r="AA45" i="20"/>
  <c r="AB45" i="20"/>
  <c r="Z41" i="20"/>
  <c r="Y70" i="19"/>
  <c r="Z128" i="18"/>
  <c r="Z56" i="19"/>
  <c r="Z48" i="19"/>
  <c r="Z40" i="19"/>
  <c r="X18" i="19"/>
  <c r="Y18" i="19" s="1"/>
  <c r="Z18" i="19" s="1"/>
  <c r="AA18" i="19" s="1"/>
  <c r="AB18" i="19" s="1"/>
  <c r="AC18" i="19" s="1"/>
  <c r="AD18" i="19" s="1"/>
  <c r="AE18" i="19" s="1"/>
  <c r="AF18" i="19" s="1"/>
  <c r="AG18" i="19" s="1"/>
  <c r="AH18" i="19" s="1"/>
  <c r="AI18" i="19" s="1"/>
  <c r="AJ18" i="19" s="1"/>
  <c r="AK18" i="19" s="1"/>
  <c r="AL18" i="19" s="1"/>
  <c r="AM18" i="19" s="1"/>
  <c r="AN18" i="19" s="1"/>
  <c r="AO18" i="19" s="1"/>
  <c r="AP18" i="19" s="1"/>
  <c r="AQ18" i="19" s="1"/>
  <c r="AR18" i="19" s="1"/>
  <c r="AS18" i="19" s="1"/>
  <c r="AT18" i="19" s="1"/>
  <c r="AU18" i="19" s="1"/>
  <c r="AV18" i="19" s="1"/>
  <c r="AW18" i="19" s="1"/>
  <c r="AX18" i="19" s="1"/>
  <c r="AY18" i="19" s="1"/>
  <c r="AZ18" i="19" s="1"/>
  <c r="X1557" i="6"/>
  <c r="AA140" i="18"/>
  <c r="Y119" i="18"/>
  <c r="Z52" i="17"/>
  <c r="Y52" i="17"/>
  <c r="AA112" i="18"/>
  <c r="AB63" i="17"/>
  <c r="AA63" i="17"/>
  <c r="AB66" i="18"/>
  <c r="AA66" i="18"/>
  <c r="Z64" i="16"/>
  <c r="Y64" i="16"/>
  <c r="Z56" i="16"/>
  <c r="Y56" i="16"/>
  <c r="AC1065" i="6"/>
  <c r="Y1065" i="6"/>
  <c r="AK1013" i="6"/>
  <c r="AG1013" i="6"/>
  <c r="AC1013" i="6"/>
  <c r="Y1013" i="6"/>
  <c r="AL961" i="6"/>
  <c r="AH961" i="6"/>
  <c r="AD961" i="6"/>
  <c r="Z961" i="6"/>
  <c r="AB1065" i="6"/>
  <c r="X1065" i="6"/>
  <c r="AJ1013" i="6"/>
  <c r="AF1013" i="6"/>
  <c r="AB1013" i="6"/>
  <c r="X1013" i="6"/>
  <c r="AA1065" i="6"/>
  <c r="AI1013" i="6"/>
  <c r="AE1013" i="6"/>
  <c r="AA1013" i="6"/>
  <c r="AJ961" i="6"/>
  <c r="AF961" i="6"/>
  <c r="AB961" i="6"/>
  <c r="X961" i="6"/>
  <c r="Z1065" i="6"/>
  <c r="AH1013" i="6"/>
  <c r="AK961" i="6"/>
  <c r="AC961" i="6"/>
  <c r="W907" i="6"/>
  <c r="W885" i="6" s="1"/>
  <c r="AD1013" i="6"/>
  <c r="AI961" i="6"/>
  <c r="AA961" i="6"/>
  <c r="Y884" i="6"/>
  <c r="Z1013" i="6"/>
  <c r="AG961" i="6"/>
  <c r="Y961" i="6"/>
  <c r="AL1013" i="6"/>
  <c r="AE961" i="6"/>
  <c r="Y72" i="15"/>
  <c r="Y52" i="15"/>
  <c r="Y44" i="15"/>
  <c r="Z118" i="18"/>
  <c r="AA118" i="18"/>
  <c r="Z100" i="18"/>
  <c r="X36" i="18"/>
  <c r="Z39" i="18"/>
  <c r="Y39" i="18"/>
  <c r="Z62" i="17"/>
  <c r="Y53" i="16"/>
  <c r="Z77" i="18"/>
  <c r="AF31" i="14"/>
  <c r="AE33" i="14"/>
  <c r="AA52" i="18"/>
  <c r="AA55" i="16"/>
  <c r="Y113" i="13"/>
  <c r="X408" i="6"/>
  <c r="X245" i="6"/>
  <c r="X244" i="6"/>
  <c r="Y28" i="5" s="1"/>
  <c r="G3445" i="6"/>
  <c r="Z104" i="18"/>
  <c r="AA104" i="18"/>
  <c r="Z96" i="18"/>
  <c r="Z64" i="18"/>
  <c r="AA179" i="14"/>
  <c r="Y86" i="13"/>
  <c r="W245" i="6"/>
  <c r="W408" i="6"/>
  <c r="W244" i="6"/>
  <c r="X28" i="5" s="1"/>
  <c r="AN3133" i="6"/>
  <c r="AJ3133" i="6"/>
  <c r="AF3133" i="6"/>
  <c r="AB3133" i="6"/>
  <c r="X3133" i="6"/>
  <c r="AM3133" i="6"/>
  <c r="AI3133" i="6"/>
  <c r="AE3133" i="6"/>
  <c r="AA3133" i="6"/>
  <c r="W3133" i="6"/>
  <c r="V3006" i="6"/>
  <c r="AK3133" i="6"/>
  <c r="AC3133" i="6"/>
  <c r="AP3133" i="6"/>
  <c r="AH3133" i="6"/>
  <c r="Z3133" i="6"/>
  <c r="V3007" i="6"/>
  <c r="AO3133" i="6"/>
  <c r="AG3133" i="6"/>
  <c r="Y3133" i="6"/>
  <c r="AL3133" i="6"/>
  <c r="AD3133" i="6"/>
  <c r="V3133" i="6"/>
  <c r="V3112" i="6"/>
  <c r="W3112" i="6"/>
  <c r="M20" i="9"/>
  <c r="M24" i="9" s="1"/>
  <c r="M16" i="9"/>
  <c r="M18" i="9"/>
  <c r="N2671" i="6"/>
  <c r="AB88" i="14"/>
  <c r="AK3445" i="6"/>
  <c r="Q3445" i="6"/>
  <c r="AB106" i="13"/>
  <c r="AB56" i="13"/>
  <c r="AI3445" i="6"/>
  <c r="AE3445" i="6"/>
  <c r="G3170" i="6"/>
  <c r="AA93" i="22"/>
  <c r="AA79" i="22"/>
  <c r="Z109" i="21"/>
  <c r="Y47" i="23"/>
  <c r="Y118" i="22"/>
  <c r="Z102" i="22"/>
  <c r="Y102" i="22"/>
  <c r="Z121" i="22"/>
  <c r="Z117" i="22"/>
  <c r="AA73" i="22"/>
  <c r="Y76" i="22"/>
  <c r="Y68" i="22"/>
  <c r="Z70" i="22"/>
  <c r="AB110" i="21"/>
  <c r="AB106" i="21"/>
  <c r="AA90" i="21"/>
  <c r="AA75" i="22"/>
  <c r="AB75" i="22"/>
  <c r="Z43" i="22"/>
  <c r="AA52" i="22"/>
  <c r="AA55" i="22"/>
  <c r="AA56" i="21"/>
  <c r="Y87" i="21"/>
  <c r="Z42" i="22"/>
  <c r="Y63" i="20"/>
  <c r="Y65" i="19"/>
  <c r="AA63" i="21"/>
  <c r="AA58" i="20"/>
  <c r="AB58" i="20"/>
  <c r="AB54" i="20"/>
  <c r="Z152" i="18"/>
  <c r="AA152" i="18"/>
  <c r="Z61" i="20"/>
  <c r="AA61" i="20" s="1"/>
  <c r="AA57" i="20"/>
  <c r="AB57" i="20"/>
  <c r="Z53" i="20"/>
  <c r="AA49" i="20"/>
  <c r="AA62" i="19"/>
  <c r="AA46" i="19"/>
  <c r="Y131" i="18"/>
  <c r="Z61" i="19"/>
  <c r="Z158" i="18"/>
  <c r="Y62" i="18"/>
  <c r="Z81" i="18"/>
  <c r="Z52" i="16"/>
  <c r="Y52" i="16"/>
  <c r="Y68" i="15"/>
  <c r="Y60" i="15"/>
  <c r="Y200" i="14"/>
  <c r="Y184" i="14"/>
  <c r="Y168" i="14"/>
  <c r="Y152" i="14"/>
  <c r="Y136" i="14"/>
  <c r="Y114" i="14"/>
  <c r="Y98" i="14"/>
  <c r="Y82" i="14"/>
  <c r="Y66" i="14"/>
  <c r="Y121" i="18"/>
  <c r="Z83" i="18"/>
  <c r="Z70" i="18"/>
  <c r="AA70" i="18"/>
  <c r="Y53" i="15"/>
  <c r="Z132" i="18"/>
  <c r="Y109" i="18"/>
  <c r="Y103" i="18"/>
  <c r="Y71" i="18"/>
  <c r="Y66" i="16"/>
  <c r="Y50" i="16"/>
  <c r="Z194" i="14"/>
  <c r="AA178" i="14"/>
  <c r="Z162" i="14"/>
  <c r="AA146" i="14"/>
  <c r="AB146" i="14"/>
  <c r="Z130" i="14"/>
  <c r="Y100" i="13"/>
  <c r="AB52" i="18"/>
  <c r="AA70" i="17"/>
  <c r="Z69" i="17"/>
  <c r="AA98" i="13"/>
  <c r="AB104" i="18"/>
  <c r="AA88" i="18"/>
  <c r="AA205" i="14"/>
  <c r="Z205" i="14"/>
  <c r="AB179" i="14"/>
  <c r="Y141" i="14"/>
  <c r="AA116" i="14"/>
  <c r="Z116" i="14"/>
  <c r="Z85" i="13"/>
  <c r="AA72" i="13"/>
  <c r="AB61" i="13"/>
  <c r="Y54" i="13"/>
  <c r="AQ26" i="7"/>
  <c r="AR23" i="7"/>
  <c r="Z82" i="13"/>
  <c r="Z129" i="14"/>
  <c r="AA103" i="13"/>
  <c r="Z103" i="13"/>
  <c r="X24" i="13"/>
  <c r="Y24" i="13" s="1"/>
  <c r="Z24" i="13" s="1"/>
  <c r="AA24" i="13" s="1"/>
  <c r="AB24" i="13" s="1"/>
  <c r="AC24" i="13" s="1"/>
  <c r="AD24" i="13" s="1"/>
  <c r="AE24" i="13" s="1"/>
  <c r="AF24" i="13" s="1"/>
  <c r="AG24" i="13" s="1"/>
  <c r="AH24" i="13" s="1"/>
  <c r="AI24" i="13" s="1"/>
  <c r="AJ24" i="13" s="1"/>
  <c r="AK24" i="13" s="1"/>
  <c r="AL24" i="13" s="1"/>
  <c r="AM24" i="13" s="1"/>
  <c r="AN24" i="13" s="1"/>
  <c r="AO24" i="13" s="1"/>
  <c r="AP24" i="13" s="1"/>
  <c r="AQ24" i="13" s="1"/>
  <c r="AR24" i="13" s="1"/>
  <c r="AS24" i="13" s="1"/>
  <c r="AT24" i="13" s="1"/>
  <c r="AU24" i="13" s="1"/>
  <c r="AV24" i="13" s="1"/>
  <c r="AW24" i="13" s="1"/>
  <c r="AX24" i="13" s="1"/>
  <c r="AY24" i="13" s="1"/>
  <c r="AZ24" i="13" s="1"/>
  <c r="X10" i="6"/>
  <c r="X68" i="12"/>
  <c r="L20" i="9"/>
  <c r="L24" i="9" s="1"/>
  <c r="L16" i="9"/>
  <c r="L18" i="9"/>
  <c r="M2671" i="6"/>
  <c r="Z125" i="22"/>
  <c r="AA124" i="22"/>
  <c r="AB95" i="22"/>
  <c r="Z95" i="22"/>
  <c r="AA95" i="22"/>
  <c r="Y53" i="22"/>
  <c r="Z53" i="22"/>
  <c r="Y66" i="21"/>
  <c r="Z66" i="22"/>
  <c r="AA66" i="22"/>
  <c r="AB60" i="22"/>
  <c r="Y54" i="22"/>
  <c r="AB49" i="22"/>
  <c r="AC108" i="21"/>
  <c r="AD108" i="21" s="1"/>
  <c r="Y69" i="21"/>
  <c r="Z69" i="21" s="1"/>
  <c r="Y101" i="21"/>
  <c r="Y58" i="21"/>
  <c r="R2" i="22"/>
  <c r="T2252" i="6"/>
  <c r="T2253" i="6"/>
  <c r="AB81" i="21"/>
  <c r="AA81" i="21"/>
  <c r="Y46" i="22"/>
  <c r="Z46" i="22" s="1"/>
  <c r="Z73" i="21"/>
  <c r="Z53" i="21"/>
  <c r="AA73" i="21"/>
  <c r="Y59" i="21"/>
  <c r="Y47" i="20"/>
  <c r="Y149" i="18"/>
  <c r="Z149" i="18" s="1"/>
  <c r="X34" i="20"/>
  <c r="Y34" i="20" s="1"/>
  <c r="Z34" i="20" s="1"/>
  <c r="AA34" i="20" s="1"/>
  <c r="AB34" i="20" s="1"/>
  <c r="AC34" i="20" s="1"/>
  <c r="AD34" i="20" s="1"/>
  <c r="AE34" i="20" s="1"/>
  <c r="AF34" i="20" s="1"/>
  <c r="AG34" i="20" s="1"/>
  <c r="AH34" i="20" s="1"/>
  <c r="AI34" i="20" s="1"/>
  <c r="AJ34" i="20" s="1"/>
  <c r="AK34" i="20" s="1"/>
  <c r="AL34" i="20" s="1"/>
  <c r="AM34" i="20" s="1"/>
  <c r="AN34" i="20" s="1"/>
  <c r="AO34" i="20" s="1"/>
  <c r="AP34" i="20" s="1"/>
  <c r="AQ34" i="20" s="1"/>
  <c r="AR34" i="20" s="1"/>
  <c r="AS34" i="20" s="1"/>
  <c r="AT34" i="20" s="1"/>
  <c r="AU34" i="20" s="1"/>
  <c r="AV34" i="20" s="1"/>
  <c r="AW34" i="20" s="1"/>
  <c r="AX34" i="20" s="1"/>
  <c r="AY34" i="20" s="1"/>
  <c r="AZ34" i="20" s="1"/>
  <c r="X23" i="20"/>
  <c r="X2" i="20"/>
  <c r="X19" i="20"/>
  <c r="Y19" i="20" s="1"/>
  <c r="Z19" i="20" s="1"/>
  <c r="AA19" i="20" s="1"/>
  <c r="AB19" i="20" s="1"/>
  <c r="AC19" i="20" s="1"/>
  <c r="AD19" i="20" s="1"/>
  <c r="AE19" i="20" s="1"/>
  <c r="AF19" i="20" s="1"/>
  <c r="AG19" i="20" s="1"/>
  <c r="AH19" i="20" s="1"/>
  <c r="AI19" i="20" s="1"/>
  <c r="AJ19" i="20" s="1"/>
  <c r="AK19" i="20" s="1"/>
  <c r="AL19" i="20" s="1"/>
  <c r="AM19" i="20" s="1"/>
  <c r="AN19" i="20" s="1"/>
  <c r="AO19" i="20" s="1"/>
  <c r="AP19" i="20" s="1"/>
  <c r="AQ19" i="20" s="1"/>
  <c r="AR19" i="20" s="1"/>
  <c r="AS19" i="20" s="1"/>
  <c r="AT19" i="20" s="1"/>
  <c r="AU19" i="20" s="1"/>
  <c r="AV19" i="20" s="1"/>
  <c r="AW19" i="20" s="1"/>
  <c r="AX19" i="20" s="1"/>
  <c r="AY19" i="20" s="1"/>
  <c r="AZ19" i="20" s="1"/>
  <c r="X17" i="20"/>
  <c r="Z138" i="18"/>
  <c r="AB98" i="18"/>
  <c r="AA98" i="18"/>
  <c r="AB68" i="18"/>
  <c r="AA68" i="18"/>
  <c r="Y68" i="16"/>
  <c r="Y60" i="16"/>
  <c r="Y76" i="15"/>
  <c r="Y48" i="15"/>
  <c r="Z102" i="18"/>
  <c r="W1359" i="6"/>
  <c r="Y1336" i="6"/>
  <c r="Y69" i="16"/>
  <c r="AA56" i="16"/>
  <c r="S2" i="19"/>
  <c r="U1582" i="6"/>
  <c r="Y55" i="18"/>
  <c r="AB70" i="17"/>
  <c r="X25" i="16"/>
  <c r="Y25" i="16" s="1"/>
  <c r="Z25" i="16" s="1"/>
  <c r="AA25" i="16" s="1"/>
  <c r="AB25" i="16" s="1"/>
  <c r="AC25" i="16" s="1"/>
  <c r="AD25" i="16" s="1"/>
  <c r="AE25" i="16" s="1"/>
  <c r="AF25" i="16" s="1"/>
  <c r="AG25" i="16" s="1"/>
  <c r="AH25" i="16" s="1"/>
  <c r="AI25" i="16" s="1"/>
  <c r="AJ25" i="16" s="1"/>
  <c r="AK25" i="16" s="1"/>
  <c r="AL25" i="16" s="1"/>
  <c r="AM25" i="16" s="1"/>
  <c r="AN25" i="16" s="1"/>
  <c r="AO25" i="16" s="1"/>
  <c r="AP25" i="16" s="1"/>
  <c r="AQ25" i="16" s="1"/>
  <c r="AR25" i="16" s="1"/>
  <c r="AS25" i="16" s="1"/>
  <c r="AT25" i="16" s="1"/>
  <c r="AU25" i="16" s="1"/>
  <c r="AV25" i="16" s="1"/>
  <c r="AW25" i="16" s="1"/>
  <c r="AX25" i="16" s="1"/>
  <c r="AY25" i="16" s="1"/>
  <c r="AZ25" i="16" s="1"/>
  <c r="BA880" i="6" s="1"/>
  <c r="X880" i="6"/>
  <c r="Z58" i="15"/>
  <c r="X21" i="15"/>
  <c r="Y21" i="15" s="1"/>
  <c r="Z21" i="15" s="1"/>
  <c r="AA21" i="15" s="1"/>
  <c r="AB21" i="15" s="1"/>
  <c r="AC21" i="15" s="1"/>
  <c r="AD21" i="15" s="1"/>
  <c r="AE21" i="15" s="1"/>
  <c r="AF21" i="15" s="1"/>
  <c r="AG21" i="15" s="1"/>
  <c r="AH21" i="15" s="1"/>
  <c r="AI21" i="15" s="1"/>
  <c r="AJ21" i="15" s="1"/>
  <c r="AK21" i="15" s="1"/>
  <c r="AL21" i="15" s="1"/>
  <c r="AM21" i="15" s="1"/>
  <c r="AN21" i="15" s="1"/>
  <c r="AO21" i="15" s="1"/>
  <c r="AP21" i="15" s="1"/>
  <c r="AQ21" i="15" s="1"/>
  <c r="AR21" i="15" s="1"/>
  <c r="AS21" i="15" s="1"/>
  <c r="AT21" i="15" s="1"/>
  <c r="AU21" i="15" s="1"/>
  <c r="AV21" i="15" s="1"/>
  <c r="AW21" i="15" s="1"/>
  <c r="AX21" i="15" s="1"/>
  <c r="AY21" i="15" s="1"/>
  <c r="AZ21" i="15" s="1"/>
  <c r="BA655" i="6" s="1"/>
  <c r="X655" i="6"/>
  <c r="AA115" i="13"/>
  <c r="AA107" i="13"/>
  <c r="AB107" i="13"/>
  <c r="AA99" i="13"/>
  <c r="AB91" i="13"/>
  <c r="AA91" i="13"/>
  <c r="Y62" i="16"/>
  <c r="AA71" i="15"/>
  <c r="Z67" i="16"/>
  <c r="AC104" i="18"/>
  <c r="AC179" i="14"/>
  <c r="Y173" i="14"/>
  <c r="AB116" i="14"/>
  <c r="T20" i="14"/>
  <c r="S20" i="14" s="1"/>
  <c r="R20" i="14" s="1"/>
  <c r="Q20" i="14" s="1"/>
  <c r="P20" i="14" s="1"/>
  <c r="O20" i="14" s="1"/>
  <c r="N20" i="14" s="1"/>
  <c r="M20" i="14" s="1"/>
  <c r="L20" i="14" s="1"/>
  <c r="K20" i="14" s="1"/>
  <c r="J20" i="14" s="1"/>
  <c r="I20" i="14" s="1"/>
  <c r="H20" i="14" s="1"/>
  <c r="G20" i="14" s="1"/>
  <c r="F20" i="14" s="1"/>
  <c r="E20" i="14" s="1"/>
  <c r="D20" i="14" s="1"/>
  <c r="C20" i="14" s="1"/>
  <c r="B20" i="14" s="1"/>
  <c r="V417" i="6"/>
  <c r="Y77" i="13"/>
  <c r="Z77" i="13" s="1"/>
  <c r="V3165" i="6"/>
  <c r="AB120" i="14"/>
  <c r="Y104" i="14"/>
  <c r="AD88" i="14"/>
  <c r="AC88" i="14"/>
  <c r="AA72" i="14"/>
  <c r="Z72" i="14"/>
  <c r="Y114" i="13"/>
  <c r="AB207" i="14"/>
  <c r="AD106" i="13"/>
  <c r="AC106" i="13"/>
  <c r="AB103" i="13"/>
  <c r="Z63" i="13"/>
  <c r="R3170" i="6"/>
  <c r="V2668" i="6"/>
  <c r="V5" i="9"/>
  <c r="X39" i="23"/>
  <c r="Y2451" i="6" s="1"/>
  <c r="X32" i="22"/>
  <c r="X32" i="21"/>
  <c r="X32" i="20"/>
  <c r="X32" i="19"/>
  <c r="X32" i="18"/>
  <c r="X34" i="15"/>
  <c r="X37" i="17"/>
  <c r="X42" i="16"/>
  <c r="X49" i="14"/>
  <c r="Y7" i="7"/>
  <c r="X41" i="13"/>
  <c r="BQ3437" i="6"/>
  <c r="BM3437" i="6"/>
  <c r="BI3437" i="6"/>
  <c r="BE3437" i="6"/>
  <c r="BA3437" i="6"/>
  <c r="AW3437" i="6"/>
  <c r="BR3385" i="6"/>
  <c r="BN3385" i="6"/>
  <c r="BJ3385" i="6"/>
  <c r="BF3385" i="6"/>
  <c r="BB3385" i="6"/>
  <c r="AX3385" i="6"/>
  <c r="AT3385" i="6"/>
  <c r="BP3437" i="6"/>
  <c r="BL3437" i="6"/>
  <c r="BH3437" i="6"/>
  <c r="BD3437" i="6"/>
  <c r="AZ3437" i="6"/>
  <c r="AV3437" i="6"/>
  <c r="BO3437" i="6"/>
  <c r="BK3437" i="6"/>
  <c r="BG3437" i="6"/>
  <c r="BC3437" i="6"/>
  <c r="AY3437" i="6"/>
  <c r="AU3437" i="6"/>
  <c r="BP3385" i="6"/>
  <c r="BL3385" i="6"/>
  <c r="BH3385" i="6"/>
  <c r="BD3385" i="6"/>
  <c r="AZ3385" i="6"/>
  <c r="AV3385" i="6"/>
  <c r="BR3437" i="6"/>
  <c r="BB3437" i="6"/>
  <c r="BM3385" i="6"/>
  <c r="BE3385" i="6"/>
  <c r="AW3385" i="6"/>
  <c r="BN3437" i="6"/>
  <c r="AX3437" i="6"/>
  <c r="BK3385" i="6"/>
  <c r="BC3385" i="6"/>
  <c r="AU3385" i="6"/>
  <c r="BJ3437" i="6"/>
  <c r="AT3437" i="6"/>
  <c r="BQ3385" i="6"/>
  <c r="BI3385" i="6"/>
  <c r="BA3385" i="6"/>
  <c r="BF3437" i="6"/>
  <c r="BO3385" i="6"/>
  <c r="BG3385" i="6"/>
  <c r="AY3385" i="6"/>
  <c r="AK3407" i="6"/>
  <c r="AG3407" i="6"/>
  <c r="AC3407" i="6"/>
  <c r="Y3407" i="6"/>
  <c r="U3407" i="6"/>
  <c r="Q3407" i="6"/>
  <c r="AL3355" i="6"/>
  <c r="AH3355" i="6"/>
  <c r="AD3355" i="6"/>
  <c r="Z3355" i="6"/>
  <c r="V3355" i="6"/>
  <c r="R3355" i="6"/>
  <c r="AN3407" i="6"/>
  <c r="AJ3407" i="6"/>
  <c r="AF3407" i="6"/>
  <c r="AB3407" i="6"/>
  <c r="X3407" i="6"/>
  <c r="T3407" i="6"/>
  <c r="P3407" i="6"/>
  <c r="AM3407" i="6"/>
  <c r="AI3407" i="6"/>
  <c r="AE3407" i="6"/>
  <c r="AA3407" i="6"/>
  <c r="W3407" i="6"/>
  <c r="S3407" i="6"/>
  <c r="AN3355" i="6"/>
  <c r="AJ3355" i="6"/>
  <c r="AF3355" i="6"/>
  <c r="AB3355" i="6"/>
  <c r="X3355" i="6"/>
  <c r="T3355" i="6"/>
  <c r="P3355" i="6"/>
  <c r="AL3407" i="6"/>
  <c r="V3407" i="6"/>
  <c r="AG3355" i="6"/>
  <c r="Y3355" i="6"/>
  <c r="Q3355" i="6"/>
  <c r="AH3407" i="6"/>
  <c r="R3407" i="6"/>
  <c r="AM3355" i="6"/>
  <c r="AE3355" i="6"/>
  <c r="W3355" i="6"/>
  <c r="AD3407" i="6"/>
  <c r="AK3355" i="6"/>
  <c r="AC3355" i="6"/>
  <c r="U3355" i="6"/>
  <c r="AA3355" i="6"/>
  <c r="Z3407" i="6"/>
  <c r="S3355" i="6"/>
  <c r="AI3355" i="6"/>
  <c r="Z112" i="22"/>
  <c r="Y112" i="22"/>
  <c r="AB128" i="22"/>
  <c r="AB85" i="22"/>
  <c r="Y86" i="22"/>
  <c r="Z100" i="21"/>
  <c r="Z92" i="21"/>
  <c r="Y76" i="21"/>
  <c r="Z76" i="21"/>
  <c r="Z68" i="21"/>
  <c r="Y68" i="21"/>
  <c r="Y50" i="21"/>
  <c r="Z40" i="21"/>
  <c r="Z81" i="20"/>
  <c r="Y81" i="20"/>
  <c r="Y65" i="20"/>
  <c r="Z59" i="20"/>
  <c r="Y59" i="20"/>
  <c r="Z67" i="19"/>
  <c r="Y67" i="19"/>
  <c r="Y39" i="19"/>
  <c r="X36" i="19"/>
  <c r="Y159" i="18"/>
  <c r="Y151" i="18"/>
  <c r="Y79" i="20"/>
  <c r="Z79" i="20"/>
  <c r="X36" i="21"/>
  <c r="Y52" i="20"/>
  <c r="Y40" i="20"/>
  <c r="X18" i="20"/>
  <c r="Y18" i="20" s="1"/>
  <c r="Z18" i="20" s="1"/>
  <c r="AA18" i="20" s="1"/>
  <c r="AB18" i="20" s="1"/>
  <c r="AC18" i="20" s="1"/>
  <c r="AD18" i="20" s="1"/>
  <c r="AE18" i="20" s="1"/>
  <c r="AF18" i="20" s="1"/>
  <c r="AG18" i="20" s="1"/>
  <c r="AH18" i="20" s="1"/>
  <c r="AI18" i="20" s="1"/>
  <c r="AJ18" i="20" s="1"/>
  <c r="AK18" i="20" s="1"/>
  <c r="AL18" i="20" s="1"/>
  <c r="AM18" i="20" s="1"/>
  <c r="AN18" i="20" s="1"/>
  <c r="AO18" i="20" s="1"/>
  <c r="AP18" i="20" s="1"/>
  <c r="AQ18" i="20" s="1"/>
  <c r="AR18" i="20" s="1"/>
  <c r="AS18" i="20" s="1"/>
  <c r="AT18" i="20" s="1"/>
  <c r="AU18" i="20" s="1"/>
  <c r="AV18" i="20" s="1"/>
  <c r="AW18" i="20" s="1"/>
  <c r="AX18" i="20" s="1"/>
  <c r="AY18" i="20" s="1"/>
  <c r="AZ18" i="20" s="1"/>
  <c r="AB160" i="18"/>
  <c r="AB70" i="20"/>
  <c r="Y57" i="19"/>
  <c r="Z57" i="19"/>
  <c r="AA57" i="19" s="1"/>
  <c r="Y105" i="18"/>
  <c r="Z56" i="18"/>
  <c r="Y40" i="15"/>
  <c r="X38" i="15"/>
  <c r="Y180" i="14"/>
  <c r="Y78" i="14"/>
  <c r="Y62" i="14"/>
  <c r="Y142" i="18"/>
  <c r="Y107" i="18"/>
  <c r="Z92" i="18"/>
  <c r="Y75" i="18"/>
  <c r="Z50" i="17"/>
  <c r="Z57" i="16"/>
  <c r="Z73" i="15"/>
  <c r="Z57" i="15"/>
  <c r="Y101" i="18"/>
  <c r="Y69" i="18"/>
  <c r="AA46" i="23"/>
  <c r="AA48" i="23"/>
  <c r="AB51" i="23"/>
  <c r="AB126" i="22"/>
  <c r="Y122" i="22"/>
  <c r="Y114" i="22"/>
  <c r="Y106" i="22"/>
  <c r="Y98" i="22"/>
  <c r="AB125" i="22"/>
  <c r="AA125" i="22"/>
  <c r="Y127" i="22"/>
  <c r="Y123" i="22"/>
  <c r="O15" i="23"/>
  <c r="Q2448" i="6"/>
  <c r="AA113" i="22"/>
  <c r="Z101" i="22"/>
  <c r="AB101" i="22" s="1"/>
  <c r="Y103" i="22"/>
  <c r="AB69" i="22"/>
  <c r="Y97" i="22"/>
  <c r="Y92" i="22"/>
  <c r="AB79" i="22"/>
  <c r="AB77" i="22"/>
  <c r="AC71" i="22"/>
  <c r="AB71" i="22"/>
  <c r="AC63" i="22"/>
  <c r="AB63" i="22"/>
  <c r="AB45" i="22"/>
  <c r="AB41" i="22"/>
  <c r="AB96" i="22"/>
  <c r="Y78" i="22"/>
  <c r="Y61" i="22"/>
  <c r="AD48" i="22"/>
  <c r="AA45" i="22"/>
  <c r="AB40" i="22"/>
  <c r="AA104" i="21"/>
  <c r="AA100" i="21"/>
  <c r="AA92" i="21"/>
  <c r="Z89" i="22"/>
  <c r="Y88" i="22"/>
  <c r="AB73" i="22"/>
  <c r="AC56" i="22"/>
  <c r="AB56" i="22"/>
  <c r="AB52" i="22"/>
  <c r="X36" i="22"/>
  <c r="Z38" i="22"/>
  <c r="Y38" i="22"/>
  <c r="T17" i="22"/>
  <c r="V2228" i="6"/>
  <c r="AA105" i="21"/>
  <c r="Y86" i="21"/>
  <c r="Z86" i="21"/>
  <c r="Y78" i="21"/>
  <c r="Y70" i="21"/>
  <c r="Z70" i="21"/>
  <c r="Y61" i="21"/>
  <c r="Z61" i="21"/>
  <c r="Y119" i="22"/>
  <c r="AA111" i="22"/>
  <c r="AB111" i="22" s="1"/>
  <c r="Z107" i="22"/>
  <c r="Z90" i="22"/>
  <c r="Y90" i="22"/>
  <c r="AC77" i="22"/>
  <c r="Z74" i="22"/>
  <c r="Y74" i="22"/>
  <c r="Y62" i="22"/>
  <c r="Z62" i="22"/>
  <c r="Y51" i="22"/>
  <c r="AC40" i="22"/>
  <c r="Y17" i="22"/>
  <c r="AC102" i="21"/>
  <c r="AB93" i="21"/>
  <c r="Z75" i="21"/>
  <c r="AB56" i="21"/>
  <c r="Z46" i="21"/>
  <c r="Y46" i="21"/>
  <c r="AC110" i="21"/>
  <c r="Z77" i="21"/>
  <c r="Y62" i="21"/>
  <c r="Z60" i="21"/>
  <c r="Y59" i="22"/>
  <c r="AC81" i="21"/>
  <c r="Y97" i="21"/>
  <c r="AB94" i="21"/>
  <c r="Y47" i="21"/>
  <c r="Z51" i="21"/>
  <c r="AC128" i="22"/>
  <c r="Z78" i="20"/>
  <c r="Y73" i="20"/>
  <c r="Y67" i="20"/>
  <c r="AA62" i="20"/>
  <c r="Y55" i="20"/>
  <c r="X36" i="20"/>
  <c r="Z39" i="20"/>
  <c r="Y39" i="20"/>
  <c r="Y69" i="19"/>
  <c r="Z69" i="19"/>
  <c r="Y51" i="19"/>
  <c r="Y161" i="18"/>
  <c r="Y153" i="18"/>
  <c r="Y145" i="18"/>
  <c r="Y137" i="18"/>
  <c r="Y39" i="21"/>
  <c r="X23" i="21"/>
  <c r="Y23" i="21" s="1"/>
  <c r="Z23" i="21" s="1"/>
  <c r="AA23" i="21" s="1"/>
  <c r="AB23" i="21" s="1"/>
  <c r="AC23" i="21" s="1"/>
  <c r="AD23" i="21" s="1"/>
  <c r="AE23" i="21" s="1"/>
  <c r="AF23" i="21" s="1"/>
  <c r="AG23" i="21" s="1"/>
  <c r="AH23" i="21" s="1"/>
  <c r="AI23" i="21" s="1"/>
  <c r="AJ23" i="21" s="1"/>
  <c r="AK23" i="21" s="1"/>
  <c r="AL23" i="21" s="1"/>
  <c r="AM23" i="21" s="1"/>
  <c r="AN23" i="21" s="1"/>
  <c r="AO23" i="21" s="1"/>
  <c r="AP23" i="21" s="1"/>
  <c r="AQ23" i="21" s="1"/>
  <c r="AR23" i="21" s="1"/>
  <c r="AS23" i="21" s="1"/>
  <c r="AT23" i="21" s="1"/>
  <c r="AU23" i="21" s="1"/>
  <c r="AV23" i="21" s="1"/>
  <c r="AW23" i="21" s="1"/>
  <c r="AX23" i="21" s="1"/>
  <c r="AY23" i="21" s="1"/>
  <c r="AZ23" i="21" s="1"/>
  <c r="X19" i="21"/>
  <c r="Y19" i="21" s="1"/>
  <c r="Z19" i="21" s="1"/>
  <c r="AA19" i="21" s="1"/>
  <c r="AB19" i="21" s="1"/>
  <c r="AC19" i="21" s="1"/>
  <c r="AD19" i="21" s="1"/>
  <c r="AE19" i="21" s="1"/>
  <c r="AF19" i="21" s="1"/>
  <c r="AG19" i="21" s="1"/>
  <c r="AH19" i="21" s="1"/>
  <c r="AI19" i="21" s="1"/>
  <c r="AJ19" i="21" s="1"/>
  <c r="AK19" i="21" s="1"/>
  <c r="AL19" i="21" s="1"/>
  <c r="AM19" i="21" s="1"/>
  <c r="AN19" i="21" s="1"/>
  <c r="AO19" i="21" s="1"/>
  <c r="AP19" i="21" s="1"/>
  <c r="AQ19" i="21" s="1"/>
  <c r="AR19" i="21" s="1"/>
  <c r="AS19" i="21" s="1"/>
  <c r="AT19" i="21" s="1"/>
  <c r="AU19" i="21" s="1"/>
  <c r="AV19" i="21" s="1"/>
  <c r="AW19" i="21" s="1"/>
  <c r="AX19" i="21" s="1"/>
  <c r="AY19" i="21" s="1"/>
  <c r="AZ19" i="21" s="1"/>
  <c r="Z82" i="20"/>
  <c r="AA59" i="20"/>
  <c r="AA67" i="19"/>
  <c r="Z39" i="21"/>
  <c r="T17" i="21"/>
  <c r="V2007" i="6"/>
  <c r="Y48" i="20"/>
  <c r="AA68" i="19"/>
  <c r="Z66" i="19"/>
  <c r="Z135" i="18"/>
  <c r="Y135" i="18"/>
  <c r="Y130" i="18"/>
  <c r="Z127" i="18"/>
  <c r="Y127" i="18"/>
  <c r="Y122" i="18"/>
  <c r="AA72" i="20"/>
  <c r="Z64" i="20"/>
  <c r="T19" i="19"/>
  <c r="S19" i="19" s="1"/>
  <c r="R19" i="19" s="1"/>
  <c r="Q19" i="19" s="1"/>
  <c r="P19" i="19" s="1"/>
  <c r="O19" i="19" s="1"/>
  <c r="N19" i="19" s="1"/>
  <c r="M19" i="19" s="1"/>
  <c r="L19" i="19" s="1"/>
  <c r="K19" i="19" s="1"/>
  <c r="J19" i="19" s="1"/>
  <c r="I19" i="19" s="1"/>
  <c r="H19" i="19" s="1"/>
  <c r="G19" i="19" s="1"/>
  <c r="F19" i="19" s="1"/>
  <c r="E19" i="19" s="1"/>
  <c r="D19" i="19" s="1"/>
  <c r="C19" i="19" s="1"/>
  <c r="B19" i="19" s="1"/>
  <c r="Y154" i="18"/>
  <c r="AB148" i="18"/>
  <c r="AA125" i="18"/>
  <c r="Z125" i="18"/>
  <c r="Z66" i="20"/>
  <c r="Y60" i="19"/>
  <c r="Z58" i="19"/>
  <c r="Y52" i="19"/>
  <c r="Z50" i="19"/>
  <c r="Y44" i="19"/>
  <c r="Z42" i="19"/>
  <c r="Y77" i="20"/>
  <c r="Z74" i="20"/>
  <c r="Y54" i="18"/>
  <c r="AB46" i="18"/>
  <c r="AB42" i="18"/>
  <c r="Y60" i="17"/>
  <c r="AA51" i="17"/>
  <c r="AC80" i="20"/>
  <c r="AA66" i="19"/>
  <c r="Y49" i="19"/>
  <c r="Z108" i="18"/>
  <c r="AA46" i="18"/>
  <c r="Y41" i="19"/>
  <c r="Z41" i="19"/>
  <c r="AA41" i="19" s="1"/>
  <c r="Y113" i="18"/>
  <c r="Y97" i="18"/>
  <c r="Y65" i="18"/>
  <c r="Z60" i="18"/>
  <c r="AB41" i="18"/>
  <c r="AB47" i="17"/>
  <c r="AA840" i="6"/>
  <c r="AI788" i="6"/>
  <c r="AE788" i="6"/>
  <c r="AA788" i="6"/>
  <c r="AJ736" i="6"/>
  <c r="AF736" i="6"/>
  <c r="AB736" i="6"/>
  <c r="X736" i="6"/>
  <c r="Z840" i="6"/>
  <c r="AL788" i="6"/>
  <c r="AH788" i="6"/>
  <c r="AD788" i="6"/>
  <c r="Z788" i="6"/>
  <c r="AI736" i="6"/>
  <c r="AE736" i="6"/>
  <c r="AA736" i="6"/>
  <c r="Y659" i="6"/>
  <c r="AC840" i="6"/>
  <c r="Y840" i="6"/>
  <c r="AK788" i="6"/>
  <c r="AG788" i="6"/>
  <c r="AC788" i="6"/>
  <c r="Y788" i="6"/>
  <c r="AL736" i="6"/>
  <c r="AH736" i="6"/>
  <c r="AD736" i="6"/>
  <c r="Z736" i="6"/>
  <c r="W682" i="6"/>
  <c r="AB840" i="6"/>
  <c r="X840" i="6"/>
  <c r="AJ788" i="6"/>
  <c r="AF788" i="6"/>
  <c r="AB788" i="6"/>
  <c r="X788" i="6"/>
  <c r="AK736" i="6"/>
  <c r="AG736" i="6"/>
  <c r="AC736" i="6"/>
  <c r="Y736" i="6"/>
  <c r="Y192" i="14"/>
  <c r="Y176" i="14"/>
  <c r="Y160" i="14"/>
  <c r="Y144" i="14"/>
  <c r="Y128" i="14"/>
  <c r="X126" i="14"/>
  <c r="Y122" i="14"/>
  <c r="Y106" i="14"/>
  <c r="Y90" i="14"/>
  <c r="Y74" i="14"/>
  <c r="AC110" i="18"/>
  <c r="Y99" i="18"/>
  <c r="Z84" i="18"/>
  <c r="Y67" i="18"/>
  <c r="Y44" i="18"/>
  <c r="Z44" i="18"/>
  <c r="Y54" i="17"/>
  <c r="Z61" i="16"/>
  <c r="Z61" i="15"/>
  <c r="AA61" i="15" s="1"/>
  <c r="Z45" i="15"/>
  <c r="T2" i="20"/>
  <c r="T17" i="19"/>
  <c r="V1557" i="6"/>
  <c r="Y117" i="18"/>
  <c r="Y93" i="18"/>
  <c r="Z78" i="18"/>
  <c r="X23" i="18"/>
  <c r="Y23" i="18" s="1"/>
  <c r="Z23" i="18" s="1"/>
  <c r="AA23" i="18" s="1"/>
  <c r="AB23" i="18" s="1"/>
  <c r="AC23" i="18" s="1"/>
  <c r="AD23" i="18" s="1"/>
  <c r="AE23" i="18" s="1"/>
  <c r="AF23" i="18" s="1"/>
  <c r="AG23" i="18" s="1"/>
  <c r="AH23" i="18" s="1"/>
  <c r="AI23" i="18" s="1"/>
  <c r="AJ23" i="18" s="1"/>
  <c r="AK23" i="18" s="1"/>
  <c r="AL23" i="18" s="1"/>
  <c r="AM23" i="18" s="1"/>
  <c r="AN23" i="18" s="1"/>
  <c r="AO23" i="18" s="1"/>
  <c r="AP23" i="18" s="1"/>
  <c r="AQ23" i="18" s="1"/>
  <c r="AR23" i="18" s="1"/>
  <c r="AS23" i="18" s="1"/>
  <c r="AT23" i="18" s="1"/>
  <c r="AU23" i="18" s="1"/>
  <c r="AV23" i="18" s="1"/>
  <c r="AW23" i="18" s="1"/>
  <c r="AX23" i="18" s="1"/>
  <c r="AY23" i="18" s="1"/>
  <c r="AZ23" i="18" s="1"/>
  <c r="AA73" i="15"/>
  <c r="AA57" i="15"/>
  <c r="Y111" i="18"/>
  <c r="Y87" i="18"/>
  <c r="AB74" i="18"/>
  <c r="Y47" i="18"/>
  <c r="Y58" i="16"/>
  <c r="Z75" i="15"/>
  <c r="Z67" i="15"/>
  <c r="Z59" i="15"/>
  <c r="Z51" i="15"/>
  <c r="AB43" i="15"/>
  <c r="Z202" i="14"/>
  <c r="Z186" i="14"/>
  <c r="Z170" i="14"/>
  <c r="Z154" i="14"/>
  <c r="Z138" i="14"/>
  <c r="Y84" i="13"/>
  <c r="Z84" i="13"/>
  <c r="Y64" i="19"/>
  <c r="AA60" i="18"/>
  <c r="S3" i="16"/>
  <c r="AA1063" i="6"/>
  <c r="W1063" i="6"/>
  <c r="AG1011" i="6"/>
  <c r="AC1011" i="6"/>
  <c r="Y1011" i="6"/>
  <c r="AH959" i="6"/>
  <c r="AD959" i="6"/>
  <c r="Z959" i="6"/>
  <c r="V959" i="6"/>
  <c r="Z1063" i="6"/>
  <c r="V1063" i="6"/>
  <c r="AJ1011" i="6"/>
  <c r="AF1011" i="6"/>
  <c r="AB1011" i="6"/>
  <c r="X1011" i="6"/>
  <c r="Y1063" i="6"/>
  <c r="AI1011" i="6"/>
  <c r="AE1011" i="6"/>
  <c r="AA1011" i="6"/>
  <c r="W1011" i="6"/>
  <c r="AJ959" i="6"/>
  <c r="AF959" i="6"/>
  <c r="AB959" i="6"/>
  <c r="X959" i="6"/>
  <c r="X1063" i="6"/>
  <c r="AD1011" i="6"/>
  <c r="AG959" i="6"/>
  <c r="Y959" i="6"/>
  <c r="Z1011" i="6"/>
  <c r="AE959" i="6"/>
  <c r="W959" i="6"/>
  <c r="V1011" i="6"/>
  <c r="AC959" i="6"/>
  <c r="U905" i="6"/>
  <c r="U885" i="6" s="1"/>
  <c r="AH1011" i="6"/>
  <c r="AI959" i="6"/>
  <c r="AA959" i="6"/>
  <c r="T44" i="16"/>
  <c r="S44" i="16" s="1"/>
  <c r="R44" i="16" s="1"/>
  <c r="Q44" i="16" s="1"/>
  <c r="P44" i="16" s="1"/>
  <c r="O44" i="16" s="1"/>
  <c r="N44" i="16" s="1"/>
  <c r="M44" i="16" s="1"/>
  <c r="L44" i="16" s="1"/>
  <c r="K44" i="16" s="1"/>
  <c r="J44" i="16" s="1"/>
  <c r="I44" i="16" s="1"/>
  <c r="H44" i="16" s="1"/>
  <c r="G44" i="16" s="1"/>
  <c r="F44" i="16" s="1"/>
  <c r="E44" i="16" s="1"/>
  <c r="D44" i="16" s="1"/>
  <c r="C44" i="16" s="1"/>
  <c r="B44" i="16" s="1"/>
  <c r="U25" i="16"/>
  <c r="U26" i="16"/>
  <c r="T26" i="16" s="1"/>
  <c r="S26" i="16" s="1"/>
  <c r="R26" i="16" s="1"/>
  <c r="Q26" i="16" s="1"/>
  <c r="P26" i="16" s="1"/>
  <c r="O26" i="16" s="1"/>
  <c r="N26" i="16" s="1"/>
  <c r="M26" i="16" s="1"/>
  <c r="L26" i="16" s="1"/>
  <c r="K26" i="16" s="1"/>
  <c r="J26" i="16" s="1"/>
  <c r="I26" i="16" s="1"/>
  <c r="H26" i="16" s="1"/>
  <c r="G26" i="16" s="1"/>
  <c r="F26" i="16" s="1"/>
  <c r="E26" i="16" s="1"/>
  <c r="D26" i="16" s="1"/>
  <c r="C26" i="16" s="1"/>
  <c r="B26" i="16" s="1"/>
  <c r="Y74" i="15"/>
  <c r="Y41" i="15"/>
  <c r="T36" i="15"/>
  <c r="S36" i="15" s="1"/>
  <c r="R36" i="15" s="1"/>
  <c r="Q36" i="15" s="1"/>
  <c r="P36" i="15" s="1"/>
  <c r="O36" i="15" s="1"/>
  <c r="N36" i="15" s="1"/>
  <c r="M36" i="15" s="1"/>
  <c r="L36" i="15" s="1"/>
  <c r="K36" i="15" s="1"/>
  <c r="J36" i="15" s="1"/>
  <c r="I36" i="15" s="1"/>
  <c r="H36" i="15" s="1"/>
  <c r="G36" i="15" s="1"/>
  <c r="F36" i="15" s="1"/>
  <c r="E36" i="15" s="1"/>
  <c r="D36" i="15" s="1"/>
  <c r="C36" i="15" s="1"/>
  <c r="B36" i="15" s="1"/>
  <c r="U25" i="15"/>
  <c r="T25" i="15" s="1"/>
  <c r="S25" i="15" s="1"/>
  <c r="R25" i="15" s="1"/>
  <c r="Q25" i="15" s="1"/>
  <c r="P25" i="15" s="1"/>
  <c r="O25" i="15" s="1"/>
  <c r="N25" i="15" s="1"/>
  <c r="M25" i="15" s="1"/>
  <c r="L25" i="15" s="1"/>
  <c r="K25" i="15" s="1"/>
  <c r="J25" i="15" s="1"/>
  <c r="I25" i="15" s="1"/>
  <c r="H25" i="15" s="1"/>
  <c r="G25" i="15" s="1"/>
  <c r="F25" i="15" s="1"/>
  <c r="E25" i="15" s="1"/>
  <c r="D25" i="15" s="1"/>
  <c r="C25" i="15" s="1"/>
  <c r="B25" i="15" s="1"/>
  <c r="U21" i="15"/>
  <c r="U2" i="15"/>
  <c r="Z121" i="13"/>
  <c r="Z117" i="13"/>
  <c r="AB111" i="13"/>
  <c r="AB87" i="13"/>
  <c r="AB79" i="13"/>
  <c r="Y65" i="21"/>
  <c r="Z134" i="18"/>
  <c r="Y59" i="18"/>
  <c r="AB49" i="18"/>
  <c r="AC49" i="18"/>
  <c r="AB45" i="18"/>
  <c r="AC42" i="18"/>
  <c r="Y54" i="16"/>
  <c r="Z55" i="15"/>
  <c r="Y42" i="15"/>
  <c r="Y96" i="14"/>
  <c r="Y30" i="14"/>
  <c r="X32" i="14"/>
  <c r="Y74" i="13"/>
  <c r="AB65" i="13"/>
  <c r="Y58" i="13"/>
  <c r="O3445" i="6"/>
  <c r="AB112" i="18"/>
  <c r="AC112" i="18"/>
  <c r="Z72" i="18"/>
  <c r="Z59" i="16"/>
  <c r="Z195" i="14"/>
  <c r="Y189" i="14"/>
  <c r="Z163" i="14"/>
  <c r="Y157" i="14"/>
  <c r="Z131" i="14"/>
  <c r="Y84" i="14"/>
  <c r="Z84" i="14"/>
  <c r="AC112" i="13"/>
  <c r="Y81" i="13"/>
  <c r="Z62" i="13"/>
  <c r="AI23" i="7"/>
  <c r="R3445" i="6"/>
  <c r="Z51" i="16"/>
  <c r="X26" i="14"/>
  <c r="Y26" i="14" s="1"/>
  <c r="Z26" i="14" s="1"/>
  <c r="AA26" i="14" s="1"/>
  <c r="AB26" i="14" s="1"/>
  <c r="AC26" i="14" s="1"/>
  <c r="AD26" i="14" s="1"/>
  <c r="AE26" i="14" s="1"/>
  <c r="AF26" i="14" s="1"/>
  <c r="AG26" i="14" s="1"/>
  <c r="AH26" i="14" s="1"/>
  <c r="AI26" i="14" s="1"/>
  <c r="AJ26" i="14" s="1"/>
  <c r="AK26" i="14" s="1"/>
  <c r="AL26" i="14" s="1"/>
  <c r="AM26" i="14" s="1"/>
  <c r="AN26" i="14" s="1"/>
  <c r="AO26" i="14" s="1"/>
  <c r="AP26" i="14" s="1"/>
  <c r="AQ26" i="14" s="1"/>
  <c r="AR26" i="14" s="1"/>
  <c r="AS26" i="14" s="1"/>
  <c r="AT26" i="14" s="1"/>
  <c r="AU26" i="14" s="1"/>
  <c r="AV26" i="14" s="1"/>
  <c r="AW26" i="14" s="1"/>
  <c r="AX26" i="14" s="1"/>
  <c r="AY26" i="14" s="1"/>
  <c r="AZ26" i="14" s="1"/>
  <c r="Y122" i="13"/>
  <c r="Z122" i="13"/>
  <c r="AD112" i="13"/>
  <c r="Y105" i="13"/>
  <c r="P214" i="10"/>
  <c r="P221" i="10" s="1"/>
  <c r="P226" i="10" s="1"/>
  <c r="P302" i="10" s="1"/>
  <c r="L214" i="10"/>
  <c r="L221" i="10" s="1"/>
  <c r="L226" i="10" s="1"/>
  <c r="O214" i="10"/>
  <c r="O221" i="10" s="1"/>
  <c r="N214" i="10"/>
  <c r="N221" i="10" s="1"/>
  <c r="Q214" i="10"/>
  <c r="Q221" i="10" s="1"/>
  <c r="M214" i="10"/>
  <c r="M221" i="10" s="1"/>
  <c r="AC3445" i="6"/>
  <c r="I3445" i="6"/>
  <c r="Y193" i="14"/>
  <c r="Z175" i="14"/>
  <c r="Y97" i="13"/>
  <c r="AB68" i="13"/>
  <c r="T32" i="13"/>
  <c r="S32" i="13" s="1"/>
  <c r="R32" i="13" s="1"/>
  <c r="Q32" i="13" s="1"/>
  <c r="P32" i="13" s="1"/>
  <c r="O32" i="13" s="1"/>
  <c r="N32" i="13" s="1"/>
  <c r="M32" i="13" s="1"/>
  <c r="L32" i="13" s="1"/>
  <c r="K32" i="13" s="1"/>
  <c r="J32" i="13" s="1"/>
  <c r="I32" i="13" s="1"/>
  <c r="H32" i="13" s="1"/>
  <c r="G32" i="13" s="1"/>
  <c r="F32" i="13" s="1"/>
  <c r="E32" i="13" s="1"/>
  <c r="D32" i="13" s="1"/>
  <c r="C32" i="13" s="1"/>
  <c r="B32" i="13" s="1"/>
  <c r="S59" i="12"/>
  <c r="T246" i="6"/>
  <c r="O226" i="10"/>
  <c r="O302" i="10" s="1"/>
  <c r="I16" i="9"/>
  <c r="I18" i="9"/>
  <c r="I23" i="9"/>
  <c r="J2671" i="6"/>
  <c r="C18" i="9"/>
  <c r="C23" i="9"/>
  <c r="C16" i="9"/>
  <c r="D2671" i="6"/>
  <c r="BE3427" i="6"/>
  <c r="BA3427" i="6"/>
  <c r="AW3427" i="6"/>
  <c r="AS3427" i="6"/>
  <c r="AO3427" i="6"/>
  <c r="AK3427" i="6"/>
  <c r="BF3375" i="6"/>
  <c r="BB3375" i="6"/>
  <c r="AX3375" i="6"/>
  <c r="AT3375" i="6"/>
  <c r="AP3375" i="6"/>
  <c r="AL3375" i="6"/>
  <c r="BH3427" i="6"/>
  <c r="BD3427" i="6"/>
  <c r="AZ3427" i="6"/>
  <c r="AV3427" i="6"/>
  <c r="AR3427" i="6"/>
  <c r="AN3427" i="6"/>
  <c r="AJ3427" i="6"/>
  <c r="BG3427" i="6"/>
  <c r="BC3427" i="6"/>
  <c r="AY3427" i="6"/>
  <c r="AU3427" i="6"/>
  <c r="AQ3427" i="6"/>
  <c r="AM3427" i="6"/>
  <c r="BH3375" i="6"/>
  <c r="BD3375" i="6"/>
  <c r="AZ3375" i="6"/>
  <c r="AV3375" i="6"/>
  <c r="AR3375" i="6"/>
  <c r="AN3375" i="6"/>
  <c r="AJ3375" i="6"/>
  <c r="BB3427" i="6"/>
  <c r="AL3427" i="6"/>
  <c r="BE3375" i="6"/>
  <c r="AW3375" i="6"/>
  <c r="AO3375" i="6"/>
  <c r="AX3427" i="6"/>
  <c r="BC3375" i="6"/>
  <c r="AU3375" i="6"/>
  <c r="AM3375" i="6"/>
  <c r="AT3427" i="6"/>
  <c r="BA3375" i="6"/>
  <c r="AS3375" i="6"/>
  <c r="AK3375" i="6"/>
  <c r="AP3427" i="6"/>
  <c r="AQ3375" i="6"/>
  <c r="BG3375" i="6"/>
  <c r="BF3427" i="6"/>
  <c r="AY3375" i="6"/>
  <c r="AC3399" i="6"/>
  <c r="Y3399" i="6"/>
  <c r="U3399" i="6"/>
  <c r="Q3399" i="6"/>
  <c r="M3399" i="6"/>
  <c r="I3399" i="6"/>
  <c r="AD3347" i="6"/>
  <c r="Z3347" i="6"/>
  <c r="V3347" i="6"/>
  <c r="R3347" i="6"/>
  <c r="N3347" i="6"/>
  <c r="J3347" i="6"/>
  <c r="AF3399" i="6"/>
  <c r="AB3399" i="6"/>
  <c r="X3399" i="6"/>
  <c r="T3399" i="6"/>
  <c r="P3399" i="6"/>
  <c r="L3399" i="6"/>
  <c r="H3399" i="6"/>
  <c r="AE3399" i="6"/>
  <c r="AE3393" i="6" s="1" a="1"/>
  <c r="AE3393" i="6" s="1"/>
  <c r="AA3399" i="6"/>
  <c r="W3399" i="6"/>
  <c r="S3399" i="6"/>
  <c r="O3399" i="6"/>
  <c r="K3399" i="6"/>
  <c r="AF3347" i="6"/>
  <c r="AB3347" i="6"/>
  <c r="X3347" i="6"/>
  <c r="T3347" i="6"/>
  <c r="P3347" i="6"/>
  <c r="L3347" i="6"/>
  <c r="H3347" i="6"/>
  <c r="V3399" i="6"/>
  <c r="Y3347" i="6"/>
  <c r="Q3347" i="6"/>
  <c r="I3347" i="6"/>
  <c r="R3399" i="6"/>
  <c r="AE3347" i="6"/>
  <c r="W3347" i="6"/>
  <c r="O3347" i="6"/>
  <c r="AD3399" i="6"/>
  <c r="N3399" i="6"/>
  <c r="AC3347" i="6"/>
  <c r="U3347" i="6"/>
  <c r="M3347" i="6"/>
  <c r="Z3399" i="6"/>
  <c r="S3347" i="6"/>
  <c r="J3399" i="6"/>
  <c r="K3347" i="6"/>
  <c r="AA3347" i="6"/>
  <c r="Y3395" i="6"/>
  <c r="U3395" i="6"/>
  <c r="Q3395" i="6"/>
  <c r="M3395" i="6"/>
  <c r="I3395" i="6"/>
  <c r="E3395" i="6"/>
  <c r="Z3343" i="6"/>
  <c r="V3343" i="6"/>
  <c r="R3343" i="6"/>
  <c r="N3343" i="6"/>
  <c r="J3343" i="6"/>
  <c r="F3343" i="6"/>
  <c r="AB3395" i="6"/>
  <c r="X3395" i="6"/>
  <c r="T3395" i="6"/>
  <c r="P3395" i="6"/>
  <c r="L3395" i="6"/>
  <c r="H3395" i="6"/>
  <c r="D3395" i="6"/>
  <c r="AA3395" i="6"/>
  <c r="W3395" i="6"/>
  <c r="S3395" i="6"/>
  <c r="O3395" i="6"/>
  <c r="K3395" i="6"/>
  <c r="G3395" i="6"/>
  <c r="AB3343" i="6"/>
  <c r="X3343" i="6"/>
  <c r="T3343" i="6"/>
  <c r="P3343" i="6"/>
  <c r="L3343" i="6"/>
  <c r="H3343" i="6"/>
  <c r="D3343" i="6"/>
  <c r="V3395" i="6"/>
  <c r="F3395" i="6"/>
  <c r="Y3343" i="6"/>
  <c r="Q3343" i="6"/>
  <c r="Q3341" i="6" s="1" a="1"/>
  <c r="Q3341" i="6" s="1"/>
  <c r="I3343" i="6"/>
  <c r="R3395" i="6"/>
  <c r="W3343" i="6"/>
  <c r="O3343" i="6"/>
  <c r="G3343" i="6"/>
  <c r="N3395" i="6"/>
  <c r="U3343" i="6"/>
  <c r="M3343" i="6"/>
  <c r="E3343" i="6"/>
  <c r="K3343" i="6"/>
  <c r="Z3395" i="6"/>
  <c r="J3395" i="6"/>
  <c r="AA3343" i="6"/>
  <c r="S3343" i="6"/>
  <c r="BG3281" i="6"/>
  <c r="AA3281" i="6"/>
  <c r="V3281" i="6"/>
  <c r="BH3281" i="6"/>
  <c r="AR3281" i="6"/>
  <c r="AJ3281" i="6"/>
  <c r="AB3281" i="6"/>
  <c r="Y185" i="14"/>
  <c r="Z167" i="14"/>
  <c r="Y22" i="13"/>
  <c r="Z21" i="13"/>
  <c r="V3171" i="6"/>
  <c r="BS3445" i="6"/>
  <c r="BK3445" i="6"/>
  <c r="BC3445" i="6"/>
  <c r="AU3445" i="6"/>
  <c r="T42" i="8"/>
  <c r="U644" i="6" s="1"/>
  <c r="T41" i="8"/>
  <c r="U642" i="6" s="1"/>
  <c r="T43" i="8"/>
  <c r="U643" i="6" s="1"/>
  <c r="U641" i="6"/>
  <c r="V33" i="5" s="1"/>
  <c r="V16" i="7"/>
  <c r="W16" i="7" s="1"/>
  <c r="X16" i="7" s="1"/>
  <c r="Y16" i="7" s="1"/>
  <c r="Z16" i="7" s="1"/>
  <c r="AA16" i="7" s="1"/>
  <c r="AB16" i="7" s="1"/>
  <c r="AC16" i="7" s="1"/>
  <c r="AD16" i="7" s="1"/>
  <c r="AE16" i="7" s="1"/>
  <c r="AF16" i="7" s="1"/>
  <c r="AG16" i="7" s="1"/>
  <c r="AH16" i="7" s="1"/>
  <c r="AI16" i="7" s="1"/>
  <c r="AJ16" i="7" s="1"/>
  <c r="AK16" i="7" s="1"/>
  <c r="AL16" i="7" s="1"/>
  <c r="AM16" i="7" s="1"/>
  <c r="AN16" i="7" s="1"/>
  <c r="AO16" i="7" s="1"/>
  <c r="AP16" i="7" s="1"/>
  <c r="AQ16" i="7" s="1"/>
  <c r="AR16" i="7" s="1"/>
  <c r="AS16" i="7" s="1"/>
  <c r="AT16" i="7" s="1"/>
  <c r="AU16" i="7" s="1"/>
  <c r="AV16" i="7" s="1"/>
  <c r="AW16" i="7" s="1"/>
  <c r="AX16" i="7" s="1"/>
  <c r="AY16" i="7" s="1"/>
  <c r="AZ16" i="7" s="1"/>
  <c r="BR3445" i="6"/>
  <c r="AS3415" i="6"/>
  <c r="AO3415" i="6"/>
  <c r="AK3415" i="6"/>
  <c r="AG3415" i="6"/>
  <c r="AC3415" i="6"/>
  <c r="Y3415" i="6"/>
  <c r="AT3363" i="6"/>
  <c r="AP3363" i="6"/>
  <c r="AL3363" i="6"/>
  <c r="AH3363" i="6"/>
  <c r="AD3363" i="6"/>
  <c r="Z3363" i="6"/>
  <c r="AV3415" i="6"/>
  <c r="AR3415" i="6"/>
  <c r="AN3415" i="6"/>
  <c r="AJ3415" i="6"/>
  <c r="AF3415" i="6"/>
  <c r="AB3415" i="6"/>
  <c r="X3415" i="6"/>
  <c r="AU3415" i="6"/>
  <c r="AU3393" i="6" s="1" a="1"/>
  <c r="AU3393" i="6" s="1"/>
  <c r="AQ3415" i="6"/>
  <c r="AM3415" i="6"/>
  <c r="AI3415" i="6"/>
  <c r="AE3415" i="6"/>
  <c r="AA3415" i="6"/>
  <c r="AV3363" i="6"/>
  <c r="AR3363" i="6"/>
  <c r="AN3363" i="6"/>
  <c r="AJ3363" i="6"/>
  <c r="AF3363" i="6"/>
  <c r="AB3363" i="6"/>
  <c r="X3363" i="6"/>
  <c r="AL3415" i="6"/>
  <c r="AO3363" i="6"/>
  <c r="AG3363" i="6"/>
  <c r="Y3363" i="6"/>
  <c r="AH3415" i="6"/>
  <c r="AU3363" i="6"/>
  <c r="AM3363" i="6"/>
  <c r="AE3363" i="6"/>
  <c r="AT3415" i="6"/>
  <c r="AD3415" i="6"/>
  <c r="AS3363" i="6"/>
  <c r="AK3363" i="6"/>
  <c r="AC3363" i="6"/>
  <c r="AI3363" i="6"/>
  <c r="AP3415" i="6"/>
  <c r="AA3363" i="6"/>
  <c r="Z3415" i="6"/>
  <c r="AQ3363" i="6"/>
  <c r="AE3281" i="6"/>
  <c r="J3281" i="6"/>
  <c r="D3281" i="6"/>
  <c r="T3281" i="6"/>
  <c r="Z3072" i="6"/>
  <c r="V3072" i="6"/>
  <c r="R3072" i="6"/>
  <c r="N3072" i="6"/>
  <c r="Y3020" i="6"/>
  <c r="U3020" i="6"/>
  <c r="Q3020" i="6"/>
  <c r="Y3072" i="6"/>
  <c r="U3072" i="6"/>
  <c r="Q3072" i="6"/>
  <c r="AB3020" i="6"/>
  <c r="X3020" i="6"/>
  <c r="T3020" i="6"/>
  <c r="P3020" i="6"/>
  <c r="AA3072" i="6"/>
  <c r="S3072" i="6"/>
  <c r="Z3020" i="6"/>
  <c r="R3020" i="6"/>
  <c r="X3072" i="6"/>
  <c r="P3072" i="6"/>
  <c r="W3020" i="6"/>
  <c r="O3020" i="6"/>
  <c r="W3072" i="6"/>
  <c r="O3072" i="6"/>
  <c r="V3020" i="6"/>
  <c r="N3020" i="6"/>
  <c r="AB3072" i="6"/>
  <c r="AA3020" i="6"/>
  <c r="T3072" i="6"/>
  <c r="S3020" i="6"/>
  <c r="Z191" i="14"/>
  <c r="Y101" i="13"/>
  <c r="Y71" i="13"/>
  <c r="Z71" i="13"/>
  <c r="V62" i="12"/>
  <c r="BL3445" i="6"/>
  <c r="AV3445" i="6"/>
  <c r="BM3435" i="6"/>
  <c r="BI3435" i="6"/>
  <c r="BE3435" i="6"/>
  <c r="BA3435" i="6"/>
  <c r="AW3435" i="6"/>
  <c r="AS3435" i="6"/>
  <c r="BN3383" i="6"/>
  <c r="BJ3383" i="6"/>
  <c r="BF3383" i="6"/>
  <c r="BB3383" i="6"/>
  <c r="AX3383" i="6"/>
  <c r="AT3383" i="6"/>
  <c r="BP3435" i="6"/>
  <c r="BL3435" i="6"/>
  <c r="BH3435" i="6"/>
  <c r="BD3435" i="6"/>
  <c r="AZ3435" i="6"/>
  <c r="AV3435" i="6"/>
  <c r="AR3435" i="6"/>
  <c r="BO3435" i="6"/>
  <c r="BK3435" i="6"/>
  <c r="BG3435" i="6"/>
  <c r="BC3435" i="6"/>
  <c r="AY3435" i="6"/>
  <c r="AU3435" i="6"/>
  <c r="BP3383" i="6"/>
  <c r="BL3383" i="6"/>
  <c r="BH3383" i="6"/>
  <c r="BD3383" i="6"/>
  <c r="AZ3383" i="6"/>
  <c r="AV3383" i="6"/>
  <c r="AR3383" i="6"/>
  <c r="BB3435" i="6"/>
  <c r="BM3383" i="6"/>
  <c r="BE3383" i="6"/>
  <c r="AW3383" i="6"/>
  <c r="BN3435" i="6"/>
  <c r="AX3435" i="6"/>
  <c r="BK3383" i="6"/>
  <c r="BC3383" i="6"/>
  <c r="AU3383" i="6"/>
  <c r="BJ3435" i="6"/>
  <c r="AT3435" i="6"/>
  <c r="BI3383" i="6"/>
  <c r="BA3383" i="6"/>
  <c r="AS3383" i="6"/>
  <c r="BF3435" i="6"/>
  <c r="AY3383" i="6"/>
  <c r="BO3383" i="6"/>
  <c r="BG3383" i="6"/>
  <c r="AS3413" i="6"/>
  <c r="AO3413" i="6"/>
  <c r="AK3413" i="6"/>
  <c r="AG3413" i="6"/>
  <c r="AC3413" i="6"/>
  <c r="Y3413" i="6"/>
  <c r="AT3361" i="6"/>
  <c r="AP3361" i="6"/>
  <c r="AL3361" i="6"/>
  <c r="AH3361" i="6"/>
  <c r="AD3361" i="6"/>
  <c r="Z3361" i="6"/>
  <c r="V3361" i="6"/>
  <c r="AR3413" i="6"/>
  <c r="AN3413" i="6"/>
  <c r="AJ3413" i="6"/>
  <c r="AF3413" i="6"/>
  <c r="AB3413" i="6"/>
  <c r="X3413" i="6"/>
  <c r="AQ3413" i="6"/>
  <c r="AM3413" i="6"/>
  <c r="AI3413" i="6"/>
  <c r="AE3413" i="6"/>
  <c r="AA3413" i="6"/>
  <c r="W3413" i="6"/>
  <c r="AR3361" i="6"/>
  <c r="AN3361" i="6"/>
  <c r="AJ3361" i="6"/>
  <c r="AF3361" i="6"/>
  <c r="AB3361" i="6"/>
  <c r="X3361" i="6"/>
  <c r="AL3413" i="6"/>
  <c r="V3413" i="6"/>
  <c r="AO3361" i="6"/>
  <c r="AG3361" i="6"/>
  <c r="Y3361" i="6"/>
  <c r="AH3413" i="6"/>
  <c r="AM3361" i="6"/>
  <c r="AE3361" i="6"/>
  <c r="W3361" i="6"/>
  <c r="AT3413" i="6"/>
  <c r="AD3413" i="6"/>
  <c r="AS3361" i="6"/>
  <c r="AK3361" i="6"/>
  <c r="AC3361" i="6"/>
  <c r="AQ3361" i="6"/>
  <c r="AP3413" i="6"/>
  <c r="AI3361" i="6"/>
  <c r="Z3413" i="6"/>
  <c r="AA3361" i="6"/>
  <c r="AL3445" i="6"/>
  <c r="AC3397" i="6"/>
  <c r="Y3397" i="6"/>
  <c r="U3397" i="6"/>
  <c r="Q3397" i="6"/>
  <c r="M3397" i="6"/>
  <c r="I3397" i="6"/>
  <c r="AD3345" i="6"/>
  <c r="Z3345" i="6"/>
  <c r="V3345" i="6"/>
  <c r="V3341" i="6" s="1" a="1"/>
  <c r="V3341" i="6" s="1"/>
  <c r="R3345" i="6"/>
  <c r="N3345" i="6"/>
  <c r="J3345" i="6"/>
  <c r="F3345" i="6"/>
  <c r="F3341" i="6" s="1" a="1"/>
  <c r="F3341" i="6" s="1"/>
  <c r="AB3397" i="6"/>
  <c r="X3397" i="6"/>
  <c r="T3397" i="6"/>
  <c r="P3397" i="6"/>
  <c r="L3397" i="6"/>
  <c r="L3393" i="6" s="1" a="1"/>
  <c r="L3393" i="6" s="1"/>
  <c r="H3397" i="6"/>
  <c r="AA3397" i="6"/>
  <c r="W3397" i="6"/>
  <c r="S3397" i="6"/>
  <c r="O3397" i="6"/>
  <c r="K3397" i="6"/>
  <c r="G3397" i="6"/>
  <c r="G3393" i="6" s="1" a="1"/>
  <c r="G3393" i="6" s="1"/>
  <c r="AB3345" i="6"/>
  <c r="X3345" i="6"/>
  <c r="T3345" i="6"/>
  <c r="P3345" i="6"/>
  <c r="P3341" i="6" s="1" a="1"/>
  <c r="P3341" i="6" s="1"/>
  <c r="L3345" i="6"/>
  <c r="H3345" i="6"/>
  <c r="V3397" i="6"/>
  <c r="F3397" i="6"/>
  <c r="Y3345" i="6"/>
  <c r="Q3345" i="6"/>
  <c r="I3345" i="6"/>
  <c r="R3397" i="6"/>
  <c r="W3345" i="6"/>
  <c r="W3341" i="6" s="1" a="1"/>
  <c r="W3341" i="6" s="1"/>
  <c r="O3345" i="6"/>
  <c r="G3345" i="6"/>
  <c r="AD3397" i="6"/>
  <c r="N3397" i="6"/>
  <c r="AC3345" i="6"/>
  <c r="U3345" i="6"/>
  <c r="M3345" i="6"/>
  <c r="M3341" i="6" s="1" a="1"/>
  <c r="M3341" i="6" s="1"/>
  <c r="Z3397" i="6"/>
  <c r="AA3345" i="6"/>
  <c r="J3397" i="6"/>
  <c r="J3393" i="6" s="1" a="1"/>
  <c r="J3393" i="6" s="1"/>
  <c r="S3345" i="6"/>
  <c r="K3345" i="6"/>
  <c r="Z151" i="14"/>
  <c r="W2668" i="6"/>
  <c r="AN3134" i="6"/>
  <c r="AJ3134" i="6"/>
  <c r="AF3134" i="6"/>
  <c r="AB3134" i="6"/>
  <c r="X3134" i="6"/>
  <c r="W3006" i="6"/>
  <c r="AQ3134" i="6"/>
  <c r="AM3134" i="6"/>
  <c r="AI3134" i="6"/>
  <c r="AE3134" i="6"/>
  <c r="AA3134" i="6"/>
  <c r="W3134" i="6"/>
  <c r="W3007" i="6"/>
  <c r="AO3134" i="6"/>
  <c r="AG3134" i="6"/>
  <c r="Y3134" i="6"/>
  <c r="AL3134" i="6"/>
  <c r="AD3134" i="6"/>
  <c r="AK3134" i="6"/>
  <c r="AC3134" i="6"/>
  <c r="Z3134" i="6"/>
  <c r="AP3134" i="6"/>
  <c r="AH3134" i="6"/>
  <c r="P20" i="9"/>
  <c r="P24" i="9"/>
  <c r="P16" i="9"/>
  <c r="P18" i="9"/>
  <c r="Q2671" i="6"/>
  <c r="W3004" i="6"/>
  <c r="E3170" i="6"/>
  <c r="Z183" i="14"/>
  <c r="AC73" i="13"/>
  <c r="AM2965" i="6"/>
  <c r="AI2965" i="6"/>
  <c r="AE2965" i="6"/>
  <c r="AA2965" i="6"/>
  <c r="W2965" i="6"/>
  <c r="AK2965" i="6"/>
  <c r="AF2965" i="6"/>
  <c r="Z2965" i="6"/>
  <c r="U2965" i="6"/>
  <c r="U2840" i="6"/>
  <c r="AO2965" i="6"/>
  <c r="AJ2965" i="6"/>
  <c r="AD2965" i="6"/>
  <c r="Y2965" i="6"/>
  <c r="AN2965" i="6"/>
  <c r="AH2965" i="6"/>
  <c r="AC2965" i="6"/>
  <c r="X2965" i="6"/>
  <c r="AL2965" i="6"/>
  <c r="AG2965" i="6"/>
  <c r="AB2965" i="6"/>
  <c r="V2965" i="6"/>
  <c r="U2839" i="6"/>
  <c r="BH3264" i="6"/>
  <c r="BD3264" i="6"/>
  <c r="AZ3264" i="6"/>
  <c r="AV3264" i="6"/>
  <c r="AR3264" i="6"/>
  <c r="AN3264" i="6"/>
  <c r="BI3212" i="6"/>
  <c r="BE3212" i="6"/>
  <c r="BA3212" i="6"/>
  <c r="AW3212" i="6"/>
  <c r="AS3212" i="6"/>
  <c r="AO3212" i="6"/>
  <c r="BG3264" i="6"/>
  <c r="BC3264" i="6"/>
  <c r="AY3264" i="6"/>
  <c r="AU3264" i="6"/>
  <c r="AQ3264" i="6"/>
  <c r="AM3264" i="6"/>
  <c r="BH3212" i="6"/>
  <c r="BD3212" i="6"/>
  <c r="AZ3212" i="6"/>
  <c r="AV3212" i="6"/>
  <c r="AR3212" i="6"/>
  <c r="AN3212" i="6"/>
  <c r="BE3264" i="6"/>
  <c r="AW3264" i="6"/>
  <c r="AO3264" i="6"/>
  <c r="BF3212" i="6"/>
  <c r="AX3212" i="6"/>
  <c r="AP3212" i="6"/>
  <c r="BJ3264" i="6"/>
  <c r="BB3264" i="6"/>
  <c r="AT3264" i="6"/>
  <c r="AL3264" i="6"/>
  <c r="BC3212" i="6"/>
  <c r="AU3212" i="6"/>
  <c r="AM3212" i="6"/>
  <c r="BI3264" i="6"/>
  <c r="BA3264" i="6"/>
  <c r="AS3264" i="6"/>
  <c r="BJ3212" i="6"/>
  <c r="BB3212" i="6"/>
  <c r="AT3212" i="6"/>
  <c r="AL3212" i="6"/>
  <c r="BF3264" i="6"/>
  <c r="AX3264" i="6"/>
  <c r="AP3264" i="6"/>
  <c r="AY3212" i="6"/>
  <c r="AQ3212" i="6"/>
  <c r="BG3212" i="6"/>
  <c r="W3003" i="6"/>
  <c r="X3003" i="6" s="1"/>
  <c r="AZ3445" i="6"/>
  <c r="AZ3256" i="6"/>
  <c r="AV3256" i="6"/>
  <c r="AR3256" i="6"/>
  <c r="AN3256" i="6"/>
  <c r="AJ3256" i="6"/>
  <c r="AF3256" i="6"/>
  <c r="BA3204" i="6"/>
  <c r="AW3204" i="6"/>
  <c r="AS3204" i="6"/>
  <c r="AO3204" i="6"/>
  <c r="AK3204" i="6"/>
  <c r="AG3204" i="6"/>
  <c r="AY3256" i="6"/>
  <c r="AU3256" i="6"/>
  <c r="AQ3256" i="6"/>
  <c r="AM3256" i="6"/>
  <c r="AI3256" i="6"/>
  <c r="AE3256" i="6"/>
  <c r="AZ3204" i="6"/>
  <c r="AV3204" i="6"/>
  <c r="AR3204" i="6"/>
  <c r="AN3204" i="6"/>
  <c r="AJ3204" i="6"/>
  <c r="AF3204" i="6"/>
  <c r="AW3256" i="6"/>
  <c r="AO3256" i="6"/>
  <c r="AG3256" i="6"/>
  <c r="AX3204" i="6"/>
  <c r="AP3204" i="6"/>
  <c r="AH3204" i="6"/>
  <c r="BB3256" i="6"/>
  <c r="AT3256" i="6"/>
  <c r="AL3256" i="6"/>
  <c r="AD3256" i="6"/>
  <c r="AU3204" i="6"/>
  <c r="AM3204" i="6"/>
  <c r="AE3204" i="6"/>
  <c r="BA3256" i="6"/>
  <c r="AS3256" i="6"/>
  <c r="AK3256" i="6"/>
  <c r="BB3204" i="6"/>
  <c r="AT3204" i="6"/>
  <c r="AL3204" i="6"/>
  <c r="AD3204" i="6"/>
  <c r="AX3256" i="6"/>
  <c r="AP3256" i="6"/>
  <c r="AH3256" i="6"/>
  <c r="AI3204" i="6"/>
  <c r="AY3204" i="6"/>
  <c r="AQ3204" i="6"/>
  <c r="D3228" i="6" a="1"/>
  <c r="D3228" i="6" s="1"/>
  <c r="BR3281" i="6"/>
  <c r="BN3281" i="6"/>
  <c r="V3066" i="6"/>
  <c r="R3066" i="6"/>
  <c r="N3066" i="6"/>
  <c r="J3066" i="6"/>
  <c r="U3014" i="6"/>
  <c r="Q3014" i="6"/>
  <c r="M3014" i="6"/>
  <c r="I3014" i="6"/>
  <c r="U3066" i="6"/>
  <c r="Q3066" i="6"/>
  <c r="M3066" i="6"/>
  <c r="I3066" i="6"/>
  <c r="T3014" i="6"/>
  <c r="P3014" i="6"/>
  <c r="L3014" i="6"/>
  <c r="H3014" i="6"/>
  <c r="O3066" i="6"/>
  <c r="V3014" i="6"/>
  <c r="N3014" i="6"/>
  <c r="T3066" i="6"/>
  <c r="L3066" i="6"/>
  <c r="S3014" i="6"/>
  <c r="K3014" i="6"/>
  <c r="S3066" i="6"/>
  <c r="K3066" i="6"/>
  <c r="R3014" i="6"/>
  <c r="J3014" i="6"/>
  <c r="P3066" i="6"/>
  <c r="O3014" i="6"/>
  <c r="H3066" i="6"/>
  <c r="AC2909" i="6"/>
  <c r="Y2909" i="6"/>
  <c r="U2909" i="6"/>
  <c r="AF2857" i="6"/>
  <c r="AB2857" i="6"/>
  <c r="X2857" i="6"/>
  <c r="T2857" i="6"/>
  <c r="AE2909" i="6"/>
  <c r="Z2909" i="6"/>
  <c r="T2909" i="6"/>
  <c r="AD2857" i="6"/>
  <c r="Y2857" i="6"/>
  <c r="S2857" i="6"/>
  <c r="AD2909" i="6"/>
  <c r="X2909" i="6"/>
  <c r="S2909" i="6"/>
  <c r="AC2857" i="6"/>
  <c r="W2857" i="6"/>
  <c r="R2857" i="6"/>
  <c r="AB2909" i="6"/>
  <c r="W2909" i="6"/>
  <c r="R2909" i="6"/>
  <c r="AE2857" i="6"/>
  <c r="U2857" i="6"/>
  <c r="AF2909" i="6"/>
  <c r="AA2857" i="6"/>
  <c r="AA2909" i="6"/>
  <c r="Z2857" i="6"/>
  <c r="V2909" i="6"/>
  <c r="V2857" i="6"/>
  <c r="V2836" i="6"/>
  <c r="W2836" i="6" s="1"/>
  <c r="BL3267" i="6"/>
  <c r="BH3267" i="6"/>
  <c r="BD3267" i="6"/>
  <c r="AZ3267" i="6"/>
  <c r="AV3267" i="6"/>
  <c r="AR3267" i="6"/>
  <c r="BM3215" i="6"/>
  <c r="BI3215" i="6"/>
  <c r="BE3215" i="6"/>
  <c r="BA3215" i="6"/>
  <c r="AW3215" i="6"/>
  <c r="AS3215" i="6"/>
  <c r="AO3215" i="6"/>
  <c r="BK3267" i="6"/>
  <c r="BG3267" i="6"/>
  <c r="BC3267" i="6"/>
  <c r="AY3267" i="6"/>
  <c r="AU3267" i="6"/>
  <c r="AQ3267" i="6"/>
  <c r="BL3215" i="6"/>
  <c r="BH3215" i="6"/>
  <c r="BD3215" i="6"/>
  <c r="AZ3215" i="6"/>
  <c r="AV3215" i="6"/>
  <c r="AR3215" i="6"/>
  <c r="BJ3267" i="6"/>
  <c r="BF3267" i="6"/>
  <c r="BB3267" i="6"/>
  <c r="AX3267" i="6"/>
  <c r="AT3267" i="6"/>
  <c r="AP3267" i="6"/>
  <c r="BE3267" i="6"/>
  <c r="AO3267" i="6"/>
  <c r="BF3215" i="6"/>
  <c r="AX3215" i="6"/>
  <c r="AP3215" i="6"/>
  <c r="BA3267" i="6"/>
  <c r="BK3215" i="6"/>
  <c r="BC3215" i="6"/>
  <c r="AU3215" i="6"/>
  <c r="BM3267" i="6"/>
  <c r="AW3267" i="6"/>
  <c r="BJ3215" i="6"/>
  <c r="BB3215" i="6"/>
  <c r="AT3215" i="6"/>
  <c r="BI3267" i="6"/>
  <c r="AS3267" i="6"/>
  <c r="BG3215" i="6"/>
  <c r="AY3215" i="6"/>
  <c r="AQ3215" i="6"/>
  <c r="BE3281" i="6"/>
  <c r="AV3251" i="6"/>
  <c r="AR3251" i="6"/>
  <c r="AN3251" i="6"/>
  <c r="AJ3251" i="6"/>
  <c r="AF3251" i="6"/>
  <c r="AB3251" i="6"/>
  <c r="AW3199" i="6"/>
  <c r="AS3199" i="6"/>
  <c r="AO3199" i="6"/>
  <c r="AK3199" i="6"/>
  <c r="AG3199" i="6"/>
  <c r="AC3199" i="6"/>
  <c r="Y3199" i="6"/>
  <c r="AU3251" i="6"/>
  <c r="AQ3251" i="6"/>
  <c r="AM3251" i="6"/>
  <c r="AI3251" i="6"/>
  <c r="AE3251" i="6"/>
  <c r="AA3251" i="6"/>
  <c r="AV3199" i="6"/>
  <c r="AR3199" i="6"/>
  <c r="AN3199" i="6"/>
  <c r="AJ3199" i="6"/>
  <c r="AF3199" i="6"/>
  <c r="AB3199" i="6"/>
  <c r="AW3251" i="6"/>
  <c r="AO3251" i="6"/>
  <c r="AG3251" i="6"/>
  <c r="Y3251" i="6"/>
  <c r="AP3199" i="6"/>
  <c r="AH3199" i="6"/>
  <c r="Z3199" i="6"/>
  <c r="AT3251" i="6"/>
  <c r="AL3251" i="6"/>
  <c r="AD3251" i="6"/>
  <c r="AU3199" i="6"/>
  <c r="AM3199" i="6"/>
  <c r="AE3199" i="6"/>
  <c r="AS3251" i="6"/>
  <c r="AK3251" i="6"/>
  <c r="AC3251" i="6"/>
  <c r="AT3199" i="6"/>
  <c r="AL3199" i="6"/>
  <c r="AD3199" i="6"/>
  <c r="AP3251" i="6"/>
  <c r="AH3251" i="6"/>
  <c r="Z3251" i="6"/>
  <c r="AI3199" i="6"/>
  <c r="AA3199" i="6"/>
  <c r="AQ3199" i="6"/>
  <c r="AR3247" i="6"/>
  <c r="AN3247" i="6"/>
  <c r="AJ3247" i="6"/>
  <c r="AF3247" i="6"/>
  <c r="AB3247" i="6"/>
  <c r="X3247" i="6"/>
  <c r="AS3195" i="6"/>
  <c r="AO3195" i="6"/>
  <c r="AK3195" i="6"/>
  <c r="AG3195" i="6"/>
  <c r="AC3195" i="6"/>
  <c r="Y3195" i="6"/>
  <c r="U3195" i="6"/>
  <c r="AQ3247" i="6"/>
  <c r="AM3247" i="6"/>
  <c r="AI3247" i="6"/>
  <c r="AE3247" i="6"/>
  <c r="AA3247" i="6"/>
  <c r="W3247" i="6"/>
  <c r="AR3195" i="6"/>
  <c r="AN3195" i="6"/>
  <c r="AJ3195" i="6"/>
  <c r="AF3195" i="6"/>
  <c r="AB3195" i="6"/>
  <c r="X3195" i="6"/>
  <c r="AO3247" i="6"/>
  <c r="AG3247" i="6"/>
  <c r="Y3247" i="6"/>
  <c r="AP3195" i="6"/>
  <c r="AH3195" i="6"/>
  <c r="Z3195" i="6"/>
  <c r="AL3247" i="6"/>
  <c r="AD3247" i="6"/>
  <c r="V3247" i="6"/>
  <c r="AM3195" i="6"/>
  <c r="AE3195" i="6"/>
  <c r="W3195" i="6"/>
  <c r="AS3247" i="6"/>
  <c r="AK3247" i="6"/>
  <c r="AC3247" i="6"/>
  <c r="U3247" i="6"/>
  <c r="AL3195" i="6"/>
  <c r="AD3195" i="6"/>
  <c r="V3195" i="6"/>
  <c r="AP3247" i="6"/>
  <c r="AH3247" i="6"/>
  <c r="Z3247" i="6"/>
  <c r="AQ3195" i="6"/>
  <c r="AI3195" i="6"/>
  <c r="AA3195" i="6"/>
  <c r="AK3281" i="6"/>
  <c r="AG3281" i="6"/>
  <c r="AF3235" i="6"/>
  <c r="AB3235" i="6"/>
  <c r="X3235" i="6"/>
  <c r="T3235" i="6"/>
  <c r="P3235" i="6"/>
  <c r="L3235" i="6"/>
  <c r="AG3183" i="6"/>
  <c r="AC3183" i="6"/>
  <c r="Y3183" i="6"/>
  <c r="U3183" i="6"/>
  <c r="Q3183" i="6"/>
  <c r="M3183" i="6"/>
  <c r="I3183" i="6"/>
  <c r="AE3235" i="6"/>
  <c r="AA3235" i="6"/>
  <c r="W3235" i="6"/>
  <c r="S3235" i="6"/>
  <c r="O3235" i="6"/>
  <c r="K3235" i="6"/>
  <c r="AF3183" i="6"/>
  <c r="AB3183" i="6"/>
  <c r="X3183" i="6"/>
  <c r="T3183" i="6"/>
  <c r="P3183" i="6"/>
  <c r="L3183" i="6"/>
  <c r="AG3235" i="6"/>
  <c r="Y3235" i="6"/>
  <c r="Q3235" i="6"/>
  <c r="I3235" i="6"/>
  <c r="Z3183" i="6"/>
  <c r="R3183" i="6"/>
  <c r="J3183" i="6"/>
  <c r="AD3235" i="6"/>
  <c r="V3235" i="6"/>
  <c r="N3235" i="6"/>
  <c r="AE3183" i="6"/>
  <c r="W3183" i="6"/>
  <c r="O3183" i="6"/>
  <c r="AC3235" i="6"/>
  <c r="U3235" i="6"/>
  <c r="M3235" i="6"/>
  <c r="AD3183" i="6"/>
  <c r="V3183" i="6"/>
  <c r="N3183" i="6"/>
  <c r="Z3235" i="6"/>
  <c r="R3235" i="6"/>
  <c r="J3235" i="6"/>
  <c r="AA3183" i="6"/>
  <c r="S3183" i="6"/>
  <c r="K3183" i="6"/>
  <c r="I3281" i="6"/>
  <c r="J3113" i="6"/>
  <c r="E3113" i="6"/>
  <c r="N3113" i="6"/>
  <c r="S3113" i="6"/>
  <c r="H3113" i="6"/>
  <c r="AA2906" i="6"/>
  <c r="W2906" i="6"/>
  <c r="S2906" i="6"/>
  <c r="O2906" i="6"/>
  <c r="Z2854" i="6"/>
  <c r="V2854" i="6"/>
  <c r="R2854" i="6"/>
  <c r="Y2906" i="6"/>
  <c r="T2906" i="6"/>
  <c r="AC2854" i="6"/>
  <c r="X2854" i="6"/>
  <c r="S2854" i="6"/>
  <c r="AC2906" i="6"/>
  <c r="X2906" i="6"/>
  <c r="R2906" i="6"/>
  <c r="AB2854" i="6"/>
  <c r="W2854" i="6"/>
  <c r="Q2854" i="6"/>
  <c r="AB2906" i="6"/>
  <c r="V2906" i="6"/>
  <c r="Q2906" i="6"/>
  <c r="P2906" i="6"/>
  <c r="T2854" i="6"/>
  <c r="AA2854" i="6"/>
  <c r="P2854" i="6"/>
  <c r="Z2906" i="6"/>
  <c r="Y2854" i="6"/>
  <c r="O2854" i="6"/>
  <c r="U2906" i="6"/>
  <c r="U2854" i="6"/>
  <c r="S2898" i="6"/>
  <c r="O2898" i="6"/>
  <c r="K2898" i="6"/>
  <c r="G2898" i="6"/>
  <c r="R2846" i="6"/>
  <c r="N2846" i="6"/>
  <c r="J2846" i="6"/>
  <c r="T2898" i="6"/>
  <c r="N2898" i="6"/>
  <c r="I2898" i="6"/>
  <c r="S2846" i="6"/>
  <c r="M2846" i="6"/>
  <c r="H2846" i="6"/>
  <c r="R2898" i="6"/>
  <c r="M2898" i="6"/>
  <c r="H2898" i="6"/>
  <c r="Q2846" i="6"/>
  <c r="L2846" i="6"/>
  <c r="G2846" i="6"/>
  <c r="Q2898" i="6"/>
  <c r="L2898" i="6"/>
  <c r="U2898" i="6"/>
  <c r="O2846" i="6"/>
  <c r="P2898" i="6"/>
  <c r="U2846" i="6"/>
  <c r="K2846" i="6"/>
  <c r="J2898" i="6"/>
  <c r="T2846" i="6"/>
  <c r="I2846" i="6"/>
  <c r="P2846" i="6"/>
  <c r="U2946" i="6"/>
  <c r="L2946" i="6"/>
  <c r="R2946" i="6"/>
  <c r="O2946" i="6"/>
  <c r="X2507" i="6"/>
  <c r="X2506" i="6"/>
  <c r="R2448" i="6"/>
  <c r="Y2010" i="6"/>
  <c r="Z2005" i="6"/>
  <c r="Y2009" i="6"/>
  <c r="X1109" i="6"/>
  <c r="X1110" i="6"/>
  <c r="Y1103" i="6"/>
  <c r="Y9" i="5"/>
  <c r="Z1330" i="6"/>
  <c r="Y1334" i="6"/>
  <c r="Y1335" i="6"/>
  <c r="Z10" i="5"/>
  <c r="Z1558" i="6"/>
  <c r="AA1556" i="6"/>
  <c r="Y1329" i="6"/>
  <c r="Y1333" i="6"/>
  <c r="Z1331" i="6"/>
  <c r="AF1012" i="6"/>
  <c r="V906" i="6"/>
  <c r="V885" i="6" s="1"/>
  <c r="AD960" i="6"/>
  <c r="AG1012" i="6"/>
  <c r="Z1012" i="6"/>
  <c r="X960" i="6"/>
  <c r="W1012" i="6"/>
  <c r="Z1064" i="6"/>
  <c r="D356" i="6"/>
  <c r="AD308" i="6"/>
  <c r="Z308" i="6"/>
  <c r="V308" i="6"/>
  <c r="R308" i="6"/>
  <c r="N308" i="6"/>
  <c r="J308" i="6"/>
  <c r="AE256" i="6"/>
  <c r="AA256" i="6"/>
  <c r="W256" i="6"/>
  <c r="S256" i="6"/>
  <c r="O256" i="6"/>
  <c r="K256" i="6"/>
  <c r="G256" i="6"/>
  <c r="O308" i="6"/>
  <c r="X256" i="6"/>
  <c r="AC308" i="6"/>
  <c r="Y308" i="6"/>
  <c r="U308" i="6"/>
  <c r="Q308" i="6"/>
  <c r="M308" i="6"/>
  <c r="I308" i="6"/>
  <c r="AD256" i="6"/>
  <c r="Z256" i="6"/>
  <c r="V256" i="6"/>
  <c r="R256" i="6"/>
  <c r="N256" i="6"/>
  <c r="J256" i="6"/>
  <c r="AA308" i="6"/>
  <c r="S308" i="6"/>
  <c r="G308" i="6"/>
  <c r="AB256" i="6"/>
  <c r="P256" i="6"/>
  <c r="H256" i="6"/>
  <c r="AB308" i="6"/>
  <c r="X308" i="6"/>
  <c r="T308" i="6"/>
  <c r="P308" i="6"/>
  <c r="L308" i="6"/>
  <c r="H308" i="6"/>
  <c r="AC256" i="6"/>
  <c r="Y256" i="6"/>
  <c r="U256" i="6"/>
  <c r="Q256" i="6"/>
  <c r="M256" i="6"/>
  <c r="I256" i="6"/>
  <c r="AE308" i="6"/>
  <c r="W308" i="6"/>
  <c r="K308" i="6"/>
  <c r="T256" i="6"/>
  <c r="L256" i="6"/>
  <c r="W960" i="6"/>
  <c r="K356" i="6"/>
  <c r="AL315" i="6"/>
  <c r="AH315" i="6"/>
  <c r="AD315" i="6"/>
  <c r="Z315" i="6"/>
  <c r="V315" i="6"/>
  <c r="R315" i="6"/>
  <c r="N315" i="6"/>
  <c r="AI263" i="6"/>
  <c r="AE263" i="6"/>
  <c r="AA263" i="6"/>
  <c r="W263" i="6"/>
  <c r="S263" i="6"/>
  <c r="O263" i="6"/>
  <c r="AE315" i="6"/>
  <c r="S315" i="6"/>
  <c r="AB263" i="6"/>
  <c r="AK315" i="6"/>
  <c r="AG315" i="6"/>
  <c r="AC315" i="6"/>
  <c r="Y315" i="6"/>
  <c r="U315" i="6"/>
  <c r="Q315" i="6"/>
  <c r="AL263" i="6"/>
  <c r="AH263" i="6"/>
  <c r="AD263" i="6"/>
  <c r="Z263" i="6"/>
  <c r="V263" i="6"/>
  <c r="R263" i="6"/>
  <c r="N263" i="6"/>
  <c r="AI315" i="6"/>
  <c r="W315" i="6"/>
  <c r="AF263" i="6"/>
  <c r="T263" i="6"/>
  <c r="AJ315" i="6"/>
  <c r="AF315" i="6"/>
  <c r="AB315" i="6"/>
  <c r="X315" i="6"/>
  <c r="T315" i="6"/>
  <c r="P315" i="6"/>
  <c r="AK263" i="6"/>
  <c r="AG263" i="6"/>
  <c r="AC263" i="6"/>
  <c r="Y263" i="6"/>
  <c r="U263" i="6"/>
  <c r="Q263" i="6"/>
  <c r="AA315" i="6"/>
  <c r="O315" i="6"/>
  <c r="AJ263" i="6"/>
  <c r="X263" i="6"/>
  <c r="P263" i="6"/>
  <c r="V25" i="14"/>
  <c r="V28" i="14"/>
  <c r="W420" i="6"/>
  <c r="W415" i="6"/>
  <c r="X4" i="5"/>
  <c r="W421" i="6"/>
  <c r="W417" i="6"/>
  <c r="X412" i="6"/>
  <c r="X5" i="5"/>
  <c r="W413" i="6"/>
  <c r="X2" i="5"/>
  <c r="J356" i="6"/>
  <c r="X1782" i="6"/>
  <c r="Y1780" i="6"/>
  <c r="X1785" i="6"/>
  <c r="X1784" i="6"/>
  <c r="Y12" i="5"/>
  <c r="Q226" i="10"/>
  <c r="O18" i="9"/>
  <c r="O20" i="9"/>
  <c r="O24" i="9"/>
  <c r="P2671" i="6"/>
  <c r="O16" i="9"/>
  <c r="X3445" i="6"/>
  <c r="Y120" i="22"/>
  <c r="Y104" i="22"/>
  <c r="AA104" i="22" s="1"/>
  <c r="Z104" i="22"/>
  <c r="AA112" i="22"/>
  <c r="Y115" i="22"/>
  <c r="Z81" i="22"/>
  <c r="Y80" i="22"/>
  <c r="Y64" i="22"/>
  <c r="AA39" i="22"/>
  <c r="Z96" i="21"/>
  <c r="Y84" i="21"/>
  <c r="Z50" i="21"/>
  <c r="AA50" i="21"/>
  <c r="Y55" i="21"/>
  <c r="Z55" i="21" s="1"/>
  <c r="AD128" i="22"/>
  <c r="Y43" i="20"/>
  <c r="Y55" i="19"/>
  <c r="Y143" i="18"/>
  <c r="AF46" i="20"/>
  <c r="AA41" i="20"/>
  <c r="AC41" i="20" s="1"/>
  <c r="AB41" i="20"/>
  <c r="AB38" i="20"/>
  <c r="Y17" i="19"/>
  <c r="Y1557" i="6"/>
  <c r="Y156" i="18"/>
  <c r="Y45" i="19"/>
  <c r="Z45" i="19"/>
  <c r="Y58" i="18"/>
  <c r="Y68" i="17"/>
  <c r="AA144" i="18"/>
  <c r="Y73" i="18"/>
  <c r="Z57" i="17"/>
  <c r="Y57" i="17"/>
  <c r="Y196" i="14"/>
  <c r="Y164" i="14"/>
  <c r="Y148" i="14"/>
  <c r="Y132" i="14"/>
  <c r="Y110" i="14"/>
  <c r="Y94" i="14"/>
  <c r="AA45" i="23"/>
  <c r="Z45" i="23"/>
  <c r="AC51" i="23"/>
  <c r="Y116" i="22"/>
  <c r="Z116" i="22"/>
  <c r="Y108" i="22"/>
  <c r="Z108" i="22"/>
  <c r="Z100" i="22"/>
  <c r="Y100" i="22"/>
  <c r="Z53" i="23"/>
  <c r="AA116" i="22"/>
  <c r="AA108" i="22"/>
  <c r="AA100" i="22"/>
  <c r="AA101" i="22"/>
  <c r="AA87" i="22"/>
  <c r="AA83" i="22"/>
  <c r="AA67" i="22"/>
  <c r="Z109" i="22"/>
  <c r="Y84" i="22"/>
  <c r="AD77" i="22"/>
  <c r="Y57" i="22"/>
  <c r="Z57" i="22"/>
  <c r="Z99" i="22"/>
  <c r="Z87" i="22"/>
  <c r="AB87" i="22" s="1"/>
  <c r="AA57" i="22"/>
  <c r="Y105" i="22"/>
  <c r="AB91" i="22"/>
  <c r="AC91" i="22"/>
  <c r="AD91" i="22" s="1"/>
  <c r="Y72" i="22"/>
  <c r="AC45" i="22"/>
  <c r="Z99" i="21"/>
  <c r="Z95" i="21"/>
  <c r="Z91" i="21"/>
  <c r="Y88" i="21"/>
  <c r="Y80" i="21"/>
  <c r="Y72" i="21"/>
  <c r="Y64" i="21"/>
  <c r="Y57" i="21"/>
  <c r="Z57" i="21"/>
  <c r="Y58" i="22"/>
  <c r="Y111" i="21"/>
  <c r="Y107" i="21"/>
  <c r="Y103" i="21"/>
  <c r="Y99" i="21"/>
  <c r="AA76" i="21"/>
  <c r="AA68" i="21"/>
  <c r="AA57" i="21"/>
  <c r="Z47" i="22"/>
  <c r="AC93" i="21"/>
  <c r="AA75" i="21"/>
  <c r="Z52" i="21"/>
  <c r="Y49" i="21"/>
  <c r="Z42" i="21"/>
  <c r="Y42" i="21"/>
  <c r="AC41" i="22"/>
  <c r="AC94" i="21"/>
  <c r="AB75" i="21"/>
  <c r="Y71" i="21"/>
  <c r="Z47" i="21"/>
  <c r="AA44" i="21"/>
  <c r="Y43" i="21"/>
  <c r="Y41" i="21"/>
  <c r="Y54" i="21"/>
  <c r="Y79" i="21"/>
  <c r="S2" i="21"/>
  <c r="U2032" i="6"/>
  <c r="Y69" i="20"/>
  <c r="Y51" i="20"/>
  <c r="Y71" i="19"/>
  <c r="Y63" i="19"/>
  <c r="AA54" i="19"/>
  <c r="Y47" i="19"/>
  <c r="AA38" i="19"/>
  <c r="Y155" i="18"/>
  <c r="Z155" i="18"/>
  <c r="Y147" i="18"/>
  <c r="Z147" i="18"/>
  <c r="Y139" i="18"/>
  <c r="Z139" i="18"/>
  <c r="AA83" i="21"/>
  <c r="AA40" i="21"/>
  <c r="Z38" i="21"/>
  <c r="AA82" i="20"/>
  <c r="AA81" i="20"/>
  <c r="AD76" i="20"/>
  <c r="AA67" i="21"/>
  <c r="AB48" i="21"/>
  <c r="Y75" i="20"/>
  <c r="AC70" i="20"/>
  <c r="Z44" i="20"/>
  <c r="Y44" i="20"/>
  <c r="AC160" i="18"/>
  <c r="Y133" i="18"/>
  <c r="AB45" i="21"/>
  <c r="AC50" i="20"/>
  <c r="AC42" i="20"/>
  <c r="AC38" i="20"/>
  <c r="Y146" i="18"/>
  <c r="AB140" i="18"/>
  <c r="AB125" i="18"/>
  <c r="Y123" i="18"/>
  <c r="AB62" i="20"/>
  <c r="Z136" i="18"/>
  <c r="AC124" i="18"/>
  <c r="AA114" i="18"/>
  <c r="AA106" i="18"/>
  <c r="AA94" i="18"/>
  <c r="AA90" i="18"/>
  <c r="AA86" i="18"/>
  <c r="Y50" i="18"/>
  <c r="Y56" i="17"/>
  <c r="Y150" i="18"/>
  <c r="AA66" i="20"/>
  <c r="Z107" i="18"/>
  <c r="Y89" i="18"/>
  <c r="Z75" i="18"/>
  <c r="Z48" i="18"/>
  <c r="AA44" i="18"/>
  <c r="Y43" i="18"/>
  <c r="Z66" i="17"/>
  <c r="AB62" i="17"/>
  <c r="AA62" i="17"/>
  <c r="AC62" i="17" s="1"/>
  <c r="Y61" i="17"/>
  <c r="Z53" i="17"/>
  <c r="Y53" i="17"/>
  <c r="AA50" i="17"/>
  <c r="AA49" i="17"/>
  <c r="Z49" i="17"/>
  <c r="Y49" i="17"/>
  <c r="Y204" i="14"/>
  <c r="Y188" i="14"/>
  <c r="Y172" i="14"/>
  <c r="Y156" i="14"/>
  <c r="Y140" i="14"/>
  <c r="Y118" i="14"/>
  <c r="Y102" i="14"/>
  <c r="Y86" i="14"/>
  <c r="Y70" i="14"/>
  <c r="Y115" i="18"/>
  <c r="Y91" i="18"/>
  <c r="Z76" i="18"/>
  <c r="X17" i="18"/>
  <c r="X1332" i="6"/>
  <c r="AD64" i="17"/>
  <c r="Y58" i="17"/>
  <c r="Z58" i="17"/>
  <c r="X44" i="17"/>
  <c r="Z65" i="16"/>
  <c r="Z49" i="16"/>
  <c r="Z65" i="15"/>
  <c r="Z49" i="15"/>
  <c r="T18" i="19"/>
  <c r="S18" i="19" s="1"/>
  <c r="R18" i="19" s="1"/>
  <c r="Q18" i="19" s="1"/>
  <c r="P18" i="19" s="1"/>
  <c r="O18" i="19" s="1"/>
  <c r="N18" i="19" s="1"/>
  <c r="M18" i="19" s="1"/>
  <c r="L18" i="19" s="1"/>
  <c r="K18" i="19" s="1"/>
  <c r="J18" i="19" s="1"/>
  <c r="I18" i="19" s="1"/>
  <c r="H18" i="19" s="1"/>
  <c r="G18" i="19" s="1"/>
  <c r="F18" i="19" s="1"/>
  <c r="E18" i="19" s="1"/>
  <c r="D18" i="19" s="1"/>
  <c r="C18" i="19" s="1"/>
  <c r="B18" i="19" s="1"/>
  <c r="Z129" i="18"/>
  <c r="Y120" i="18"/>
  <c r="Y85" i="18"/>
  <c r="U17" i="18"/>
  <c r="T34" i="18"/>
  <c r="S34" i="18" s="1"/>
  <c r="R34" i="18" s="1"/>
  <c r="Q34" i="18" s="1"/>
  <c r="P34" i="18" s="1"/>
  <c r="O34" i="18" s="1"/>
  <c r="N34" i="18" s="1"/>
  <c r="M34" i="18" s="1"/>
  <c r="L34" i="18" s="1"/>
  <c r="K34" i="18" s="1"/>
  <c r="J34" i="18" s="1"/>
  <c r="I34" i="18" s="1"/>
  <c r="H34" i="18" s="1"/>
  <c r="G34" i="18" s="1"/>
  <c r="F34" i="18" s="1"/>
  <c r="E34" i="18" s="1"/>
  <c r="D34" i="18" s="1"/>
  <c r="C34" i="18" s="1"/>
  <c r="B34" i="18" s="1"/>
  <c r="U2" i="18"/>
  <c r="T2" i="18" s="1"/>
  <c r="AA1517" i="6" s="1"/>
  <c r="U18" i="18"/>
  <c r="T18" i="18" s="1"/>
  <c r="S18" i="18" s="1"/>
  <c r="R18" i="18" s="1"/>
  <c r="Q18" i="18" s="1"/>
  <c r="P18" i="18" s="1"/>
  <c r="O18" i="18" s="1"/>
  <c r="N18" i="18" s="1"/>
  <c r="M18" i="18" s="1"/>
  <c r="L18" i="18" s="1"/>
  <c r="K18" i="18" s="1"/>
  <c r="J18" i="18" s="1"/>
  <c r="I18" i="18" s="1"/>
  <c r="H18" i="18" s="1"/>
  <c r="G18" i="18" s="1"/>
  <c r="F18" i="18" s="1"/>
  <c r="E18" i="18" s="1"/>
  <c r="D18" i="18" s="1"/>
  <c r="C18" i="18" s="1"/>
  <c r="B18" i="18" s="1"/>
  <c r="Y46" i="17"/>
  <c r="AA49" i="16"/>
  <c r="Y79" i="18"/>
  <c r="AB55" i="17"/>
  <c r="Z206" i="14"/>
  <c r="Z190" i="14"/>
  <c r="Z174" i="14"/>
  <c r="Z158" i="14"/>
  <c r="Z142" i="14"/>
  <c r="X57" i="14"/>
  <c r="X56" i="14" s="1"/>
  <c r="Y80" i="13"/>
  <c r="Z80" i="13"/>
  <c r="Y53" i="19"/>
  <c r="AB51" i="17"/>
  <c r="AC48" i="17"/>
  <c r="Y66" i="15"/>
  <c r="AC104" i="13"/>
  <c r="Z57" i="18"/>
  <c r="Z47" i="15"/>
  <c r="Y119" i="14"/>
  <c r="Z117" i="14"/>
  <c r="Y111" i="14"/>
  <c r="Z109" i="14"/>
  <c r="Y103" i="14"/>
  <c r="Z101" i="14"/>
  <c r="Y95" i="14"/>
  <c r="Z93" i="14"/>
  <c r="Y87" i="14"/>
  <c r="Z85" i="14"/>
  <c r="Y79" i="14"/>
  <c r="Z77" i="14"/>
  <c r="Y71" i="14"/>
  <c r="Z69" i="14"/>
  <c r="Y63" i="14"/>
  <c r="Z61" i="14"/>
  <c r="T41" i="17"/>
  <c r="S41" i="17" s="1"/>
  <c r="U2" i="17"/>
  <c r="T2" i="17" s="1"/>
  <c r="AA206" i="14"/>
  <c r="AA174" i="14"/>
  <c r="AA142" i="14"/>
  <c r="Z94" i="13"/>
  <c r="Y3004" i="6"/>
  <c r="K3445" i="6"/>
  <c r="Z187" i="14"/>
  <c r="Y181" i="14"/>
  <c r="Z155" i="14"/>
  <c r="Y149" i="14"/>
  <c r="Y68" i="14"/>
  <c r="Z68" i="14"/>
  <c r="AF32" i="14"/>
  <c r="AG30" i="14"/>
  <c r="Z123" i="13"/>
  <c r="AB115" i="13"/>
  <c r="AB110" i="13"/>
  <c r="Y109" i="13"/>
  <c r="Z74" i="13"/>
  <c r="Z58" i="13"/>
  <c r="X3004" i="6"/>
  <c r="N3445" i="6"/>
  <c r="Y62" i="15"/>
  <c r="Z62" i="15"/>
  <c r="Y46" i="15"/>
  <c r="AA202" i="14"/>
  <c r="AA186" i="14"/>
  <c r="AA170" i="14"/>
  <c r="AA154" i="14"/>
  <c r="AA138" i="14"/>
  <c r="BA415" i="6"/>
  <c r="BI3445" i="6"/>
  <c r="BA3445" i="6"/>
  <c r="AS3445" i="6"/>
  <c r="AG3445" i="6"/>
  <c r="U3445" i="6"/>
  <c r="Y68" i="20"/>
  <c r="AB95" i="13"/>
  <c r="AC68" i="13"/>
  <c r="AB52" i="13"/>
  <c r="X19" i="13"/>
  <c r="Y19" i="13" s="1"/>
  <c r="Z19" i="13" s="1"/>
  <c r="AA19" i="13" s="1"/>
  <c r="AB19" i="13" s="1"/>
  <c r="AC19" i="13" s="1"/>
  <c r="AD19" i="13" s="1"/>
  <c r="AE19" i="13" s="1"/>
  <c r="AF19" i="13" s="1"/>
  <c r="AG19" i="13" s="1"/>
  <c r="AH19" i="13" s="1"/>
  <c r="AI19" i="13" s="1"/>
  <c r="AJ19" i="13" s="1"/>
  <c r="AK19" i="13" s="1"/>
  <c r="AL19" i="13" s="1"/>
  <c r="AM19" i="13" s="1"/>
  <c r="AN19" i="13" s="1"/>
  <c r="AO19" i="13" s="1"/>
  <c r="AP19" i="13" s="1"/>
  <c r="AQ19" i="13" s="1"/>
  <c r="AR19" i="13" s="1"/>
  <c r="AS19" i="13" s="1"/>
  <c r="AT19" i="13" s="1"/>
  <c r="AU19" i="13" s="1"/>
  <c r="AV19" i="13" s="1"/>
  <c r="AW19" i="13" s="1"/>
  <c r="AX19" i="13" s="1"/>
  <c r="AY19" i="13" s="1"/>
  <c r="AZ19" i="13" s="1"/>
  <c r="X67" i="12"/>
  <c r="V244" i="6"/>
  <c r="W28" i="5" s="1"/>
  <c r="V245" i="6"/>
  <c r="V408" i="6"/>
  <c r="V247" i="6"/>
  <c r="U246" i="6"/>
  <c r="M226" i="10"/>
  <c r="M302" i="10" s="1"/>
  <c r="D14" i="9"/>
  <c r="D15" i="9" s="1"/>
  <c r="U17" i="7"/>
  <c r="V17" i="7" s="1"/>
  <c r="W17" i="7" s="1"/>
  <c r="X17" i="7" s="1"/>
  <c r="Y17" i="7" s="1"/>
  <c r="Z17" i="7" s="1"/>
  <c r="AA17" i="7" s="1"/>
  <c r="AB17" i="7" s="1"/>
  <c r="AC17" i="7" s="1"/>
  <c r="AD17" i="7" s="1"/>
  <c r="AE17" i="7" s="1"/>
  <c r="AF17" i="7" s="1"/>
  <c r="AG17" i="7" s="1"/>
  <c r="AH17" i="7" s="1"/>
  <c r="AI17" i="7" s="1"/>
  <c r="AJ17" i="7" s="1"/>
  <c r="AK17" i="7" s="1"/>
  <c r="AL17" i="7" s="1"/>
  <c r="AM17" i="7" s="1"/>
  <c r="AN17" i="7" s="1"/>
  <c r="AO17" i="7" s="1"/>
  <c r="AP17" i="7" s="1"/>
  <c r="AQ17" i="7" s="1"/>
  <c r="AR17" i="7" s="1"/>
  <c r="AS17" i="7" s="1"/>
  <c r="AT17" i="7" s="1"/>
  <c r="AU17" i="7" s="1"/>
  <c r="AV17" i="7" s="1"/>
  <c r="AW17" i="7" s="1"/>
  <c r="AX17" i="7" s="1"/>
  <c r="AY17" i="7" s="1"/>
  <c r="AZ17" i="7" s="1"/>
  <c r="V14" i="7"/>
  <c r="W14" i="7" s="1"/>
  <c r="X14" i="7" s="1"/>
  <c r="Y14" i="7" s="1"/>
  <c r="Z14" i="7" s="1"/>
  <c r="AA14" i="7" s="1"/>
  <c r="AB14" i="7" s="1"/>
  <c r="AC14" i="7" s="1"/>
  <c r="AD14" i="7" s="1"/>
  <c r="AE14" i="7" s="1"/>
  <c r="AF14" i="7" s="1"/>
  <c r="AG14" i="7" s="1"/>
  <c r="AH14" i="7" s="1"/>
  <c r="AI14" i="7" s="1"/>
  <c r="AJ14" i="7" s="1"/>
  <c r="AK14" i="7" s="1"/>
  <c r="AL14" i="7" s="1"/>
  <c r="AM14" i="7" s="1"/>
  <c r="AN14" i="7" s="1"/>
  <c r="AO14" i="7" s="1"/>
  <c r="AP14" i="7" s="1"/>
  <c r="AQ14" i="7" s="1"/>
  <c r="AR14" i="7" s="1"/>
  <c r="AS14" i="7" s="1"/>
  <c r="AT14" i="7" s="1"/>
  <c r="AU14" i="7" s="1"/>
  <c r="AV14" i="7" s="1"/>
  <c r="AW14" i="7" s="1"/>
  <c r="AX14" i="7" s="1"/>
  <c r="AY14" i="7" s="1"/>
  <c r="AZ14" i="7" s="1"/>
  <c r="B20" i="3"/>
  <c r="I3341" i="6" a="1"/>
  <c r="I3341" i="6" s="1"/>
  <c r="BN3445" i="6"/>
  <c r="AO3411" i="6"/>
  <c r="AK3411" i="6"/>
  <c r="AG3411" i="6"/>
  <c r="AC3411" i="6"/>
  <c r="Y3411" i="6"/>
  <c r="U3411" i="6"/>
  <c r="AP3359" i="6"/>
  <c r="AL3359" i="6"/>
  <c r="AH3359" i="6"/>
  <c r="AD3359" i="6"/>
  <c r="Z3359" i="6"/>
  <c r="V3359" i="6"/>
  <c r="AR3411" i="6"/>
  <c r="AN3411" i="6"/>
  <c r="AJ3411" i="6"/>
  <c r="AF3411" i="6"/>
  <c r="AB3411" i="6"/>
  <c r="X3411" i="6"/>
  <c r="T3411" i="6"/>
  <c r="AQ3411" i="6"/>
  <c r="AQ3393" i="6" s="1" a="1"/>
  <c r="AQ3393" i="6" s="1"/>
  <c r="AM3411" i="6"/>
  <c r="AI3411" i="6"/>
  <c r="AE3411" i="6"/>
  <c r="AA3411" i="6"/>
  <c r="W3411" i="6"/>
  <c r="AR3359" i="6"/>
  <c r="AN3359" i="6"/>
  <c r="AJ3359" i="6"/>
  <c r="AF3359" i="6"/>
  <c r="AB3359" i="6"/>
  <c r="X3359" i="6"/>
  <c r="T3359" i="6"/>
  <c r="AL3411" i="6"/>
  <c r="V3411" i="6"/>
  <c r="AO3359" i="6"/>
  <c r="AG3359" i="6"/>
  <c r="Y3359" i="6"/>
  <c r="AH3411" i="6"/>
  <c r="AM3359" i="6"/>
  <c r="AE3359" i="6"/>
  <c r="W3359" i="6"/>
  <c r="AD3411" i="6"/>
  <c r="AK3359" i="6"/>
  <c r="AC3359" i="6"/>
  <c r="U3359" i="6"/>
  <c r="AA3359" i="6"/>
  <c r="AP3411" i="6"/>
  <c r="AQ3359" i="6"/>
  <c r="Z3411" i="6"/>
  <c r="AI3359" i="6"/>
  <c r="AM3445" i="6"/>
  <c r="BL3281" i="6"/>
  <c r="AV3281" i="6"/>
  <c r="AC69" i="13"/>
  <c r="Y67" i="13"/>
  <c r="AB60" i="13"/>
  <c r="U60" i="12"/>
  <c r="R16" i="9"/>
  <c r="R18" i="9"/>
  <c r="R23" i="9"/>
  <c r="S2671" i="6"/>
  <c r="V44" i="8"/>
  <c r="W24" i="8"/>
  <c r="BU3441" i="6"/>
  <c r="BQ3441" i="6"/>
  <c r="BM3441" i="6"/>
  <c r="BI3441" i="6"/>
  <c r="BE3441" i="6"/>
  <c r="BA3441" i="6"/>
  <c r="BV3389" i="6"/>
  <c r="BR3389" i="6"/>
  <c r="BN3389" i="6"/>
  <c r="BJ3389" i="6"/>
  <c r="BF3389" i="6"/>
  <c r="BB3389" i="6"/>
  <c r="AX3389" i="6"/>
  <c r="BT3441" i="6"/>
  <c r="BP3441" i="6"/>
  <c r="BL3441" i="6"/>
  <c r="BH3441" i="6"/>
  <c r="BD3441" i="6"/>
  <c r="AZ3441" i="6"/>
  <c r="BS3441" i="6"/>
  <c r="BO3441" i="6"/>
  <c r="BK3441" i="6"/>
  <c r="BG3441" i="6"/>
  <c r="BC3441" i="6"/>
  <c r="AY3441" i="6"/>
  <c r="BT3389" i="6"/>
  <c r="BP3389" i="6"/>
  <c r="BL3389" i="6"/>
  <c r="BH3389" i="6"/>
  <c r="BD3389" i="6"/>
  <c r="AZ3389" i="6"/>
  <c r="BR3441" i="6"/>
  <c r="BB3441" i="6"/>
  <c r="BU3389" i="6"/>
  <c r="BU3341" i="6" s="1" a="1"/>
  <c r="BU3341" i="6" s="1"/>
  <c r="BM3389" i="6"/>
  <c r="BE3389" i="6"/>
  <c r="BN3441" i="6"/>
  <c r="AX3441" i="6"/>
  <c r="BS3389" i="6"/>
  <c r="BK3389" i="6"/>
  <c r="BC3389" i="6"/>
  <c r="BJ3441" i="6"/>
  <c r="BQ3389" i="6"/>
  <c r="BI3389" i="6"/>
  <c r="BA3389" i="6"/>
  <c r="BF3441" i="6"/>
  <c r="BO3389" i="6"/>
  <c r="BG3389" i="6"/>
  <c r="BV3441" i="6"/>
  <c r="AY3389" i="6"/>
  <c r="BB3445" i="6"/>
  <c r="H3281" i="6"/>
  <c r="V3068" i="6"/>
  <c r="R3068" i="6"/>
  <c r="N3068" i="6"/>
  <c r="J3068" i="6"/>
  <c r="U3016" i="6"/>
  <c r="Q3016" i="6"/>
  <c r="M3016" i="6"/>
  <c r="U3068" i="6"/>
  <c r="Q3068" i="6"/>
  <c r="M3068" i="6"/>
  <c r="X3016" i="6"/>
  <c r="T3016" i="6"/>
  <c r="P3016" i="6"/>
  <c r="L3016" i="6"/>
  <c r="S3068" i="6"/>
  <c r="K3068" i="6"/>
  <c r="R3016" i="6"/>
  <c r="J3016" i="6"/>
  <c r="X3068" i="6"/>
  <c r="P3068" i="6"/>
  <c r="W3016" i="6"/>
  <c r="O3016" i="6"/>
  <c r="W3068" i="6"/>
  <c r="O3068" i="6"/>
  <c r="V3016" i="6"/>
  <c r="N3016" i="6"/>
  <c r="T3068" i="6"/>
  <c r="S3016" i="6"/>
  <c r="L3068" i="6"/>
  <c r="K3016" i="6"/>
  <c r="Y145" i="14"/>
  <c r="AB99" i="13"/>
  <c r="Y93" i="13"/>
  <c r="AC76" i="13"/>
  <c r="Y55" i="13"/>
  <c r="X26" i="13"/>
  <c r="Y26" i="13" s="1"/>
  <c r="Z26" i="13" s="1"/>
  <c r="AA26" i="13" s="1"/>
  <c r="AB26" i="13" s="1"/>
  <c r="AC26" i="13" s="1"/>
  <c r="AD26" i="13" s="1"/>
  <c r="AE26" i="13" s="1"/>
  <c r="AF26" i="13" s="1"/>
  <c r="AG26" i="13" s="1"/>
  <c r="AH26" i="13" s="1"/>
  <c r="AI26" i="13" s="1"/>
  <c r="AJ26" i="13" s="1"/>
  <c r="AK26" i="13" s="1"/>
  <c r="AL26" i="13" s="1"/>
  <c r="AM26" i="13" s="1"/>
  <c r="AN26" i="13" s="1"/>
  <c r="AO26" i="13" s="1"/>
  <c r="AP26" i="13" s="1"/>
  <c r="AQ26" i="13" s="1"/>
  <c r="AR26" i="13" s="1"/>
  <c r="AS26" i="13" s="1"/>
  <c r="AT26" i="13" s="1"/>
  <c r="AU26" i="13" s="1"/>
  <c r="AV26" i="13" s="1"/>
  <c r="AW26" i="13" s="1"/>
  <c r="AX26" i="13" s="1"/>
  <c r="AY26" i="13" s="1"/>
  <c r="AZ26" i="13" s="1"/>
  <c r="E3341" i="6" a="1"/>
  <c r="E3341" i="6" s="1"/>
  <c r="D3341" i="6" a="1"/>
  <c r="D3341" i="6" s="1"/>
  <c r="AW3419" i="6"/>
  <c r="AS3419" i="6"/>
  <c r="AO3419" i="6"/>
  <c r="AK3419" i="6"/>
  <c r="AG3419" i="6"/>
  <c r="AC3419" i="6"/>
  <c r="AX3367" i="6"/>
  <c r="AT3367" i="6"/>
  <c r="AP3367" i="6"/>
  <c r="AL3367" i="6"/>
  <c r="AH3367" i="6"/>
  <c r="AD3367" i="6"/>
  <c r="AZ3419" i="6"/>
  <c r="AV3419" i="6"/>
  <c r="AR3419" i="6"/>
  <c r="AN3419" i="6"/>
  <c r="AJ3419" i="6"/>
  <c r="AF3419" i="6"/>
  <c r="AB3419" i="6"/>
  <c r="AY3419" i="6"/>
  <c r="AY3393" i="6" s="1" a="1"/>
  <c r="AY3393" i="6" s="1"/>
  <c r="AU3419" i="6"/>
  <c r="AQ3419" i="6"/>
  <c r="AM3419" i="6"/>
  <c r="AI3419" i="6"/>
  <c r="AE3419" i="6"/>
  <c r="AZ3367" i="6"/>
  <c r="AV3367" i="6"/>
  <c r="AR3367" i="6"/>
  <c r="AN3367" i="6"/>
  <c r="AJ3367" i="6"/>
  <c r="AF3367" i="6"/>
  <c r="AB3367" i="6"/>
  <c r="AL3419" i="6"/>
  <c r="AW3367" i="6"/>
  <c r="AO3367" i="6"/>
  <c r="AG3367" i="6"/>
  <c r="AX3419" i="6"/>
  <c r="AH3419" i="6"/>
  <c r="AU3367" i="6"/>
  <c r="AM3367" i="6"/>
  <c r="AE3367" i="6"/>
  <c r="AT3419" i="6"/>
  <c r="AD3419" i="6"/>
  <c r="AS3367" i="6"/>
  <c r="AK3367" i="6"/>
  <c r="AC3367" i="6"/>
  <c r="AI3367" i="6"/>
  <c r="AY3367" i="6"/>
  <c r="AP3419" i="6"/>
  <c r="AQ3367" i="6"/>
  <c r="AO3409" i="6"/>
  <c r="AK3409" i="6"/>
  <c r="AG3409" i="6"/>
  <c r="AC3409" i="6"/>
  <c r="Y3409" i="6"/>
  <c r="U3409" i="6"/>
  <c r="AP3357" i="6"/>
  <c r="AL3357" i="6"/>
  <c r="AH3357" i="6"/>
  <c r="AD3357" i="6"/>
  <c r="Z3357" i="6"/>
  <c r="V3357" i="6"/>
  <c r="R3357" i="6"/>
  <c r="AN3409" i="6"/>
  <c r="AJ3409" i="6"/>
  <c r="AF3409" i="6"/>
  <c r="AB3409" i="6"/>
  <c r="X3409" i="6"/>
  <c r="T3409" i="6"/>
  <c r="AM3409" i="6"/>
  <c r="AM3393" i="6" s="1" a="1"/>
  <c r="AM3393" i="6" s="1"/>
  <c r="AI3409" i="6"/>
  <c r="AE3409" i="6"/>
  <c r="AA3409" i="6"/>
  <c r="W3409" i="6"/>
  <c r="S3409" i="6"/>
  <c r="AN3357" i="6"/>
  <c r="AJ3357" i="6"/>
  <c r="AF3357" i="6"/>
  <c r="AB3357" i="6"/>
  <c r="X3357" i="6"/>
  <c r="T3357" i="6"/>
  <c r="AL3409" i="6"/>
  <c r="V3409" i="6"/>
  <c r="AO3357" i="6"/>
  <c r="AO3341" i="6" s="1" a="1"/>
  <c r="AO3341" i="6" s="1"/>
  <c r="AG3357" i="6"/>
  <c r="Y3357" i="6"/>
  <c r="AH3409" i="6"/>
  <c r="R3409" i="6"/>
  <c r="AM3357" i="6"/>
  <c r="AE3357" i="6"/>
  <c r="W3357" i="6"/>
  <c r="AD3409" i="6"/>
  <c r="AK3357" i="6"/>
  <c r="AC3357" i="6"/>
  <c r="U3357" i="6"/>
  <c r="AP3409" i="6"/>
  <c r="AI3357" i="6"/>
  <c r="Z3409" i="6"/>
  <c r="AA3357" i="6"/>
  <c r="S3357" i="6"/>
  <c r="AH3445" i="6"/>
  <c r="W3165" i="6"/>
  <c r="F16" i="9"/>
  <c r="F18" i="9"/>
  <c r="F23" i="9"/>
  <c r="G2671" i="6"/>
  <c r="X6" i="9"/>
  <c r="Z119" i="13"/>
  <c r="AB64" i="13"/>
  <c r="V38" i="11"/>
  <c r="Y60" i="9"/>
  <c r="Z60" i="9"/>
  <c r="Q3170" i="6"/>
  <c r="W56" i="14"/>
  <c r="AC108" i="13"/>
  <c r="Y75" i="13"/>
  <c r="Z75" i="13"/>
  <c r="X18" i="13"/>
  <c r="Y18" i="13" s="1"/>
  <c r="Z18" i="13" s="1"/>
  <c r="AA18" i="13" s="1"/>
  <c r="AB18" i="13" s="1"/>
  <c r="AC18" i="13" s="1"/>
  <c r="AD18" i="13" s="1"/>
  <c r="AE18" i="13" s="1"/>
  <c r="AF18" i="13" s="1"/>
  <c r="AG18" i="13" s="1"/>
  <c r="AH18" i="13" s="1"/>
  <c r="AI18" i="13" s="1"/>
  <c r="AJ18" i="13" s="1"/>
  <c r="AK18" i="13" s="1"/>
  <c r="AL18" i="13" s="1"/>
  <c r="AM18" i="13" s="1"/>
  <c r="AN18" i="13" s="1"/>
  <c r="AO18" i="13" s="1"/>
  <c r="AP18" i="13" s="1"/>
  <c r="AQ18" i="13" s="1"/>
  <c r="AR18" i="13" s="1"/>
  <c r="AS18" i="13" s="1"/>
  <c r="AT18" i="13" s="1"/>
  <c r="AU18" i="13" s="1"/>
  <c r="AV18" i="13" s="1"/>
  <c r="AW18" i="13" s="1"/>
  <c r="AX18" i="13" s="1"/>
  <c r="AY18" i="13" s="1"/>
  <c r="AZ18" i="13" s="1"/>
  <c r="AH3078" i="6"/>
  <c r="AD3078" i="6"/>
  <c r="Z3078" i="6"/>
  <c r="V3078" i="6"/>
  <c r="AG3026" i="6"/>
  <c r="AC3026" i="6"/>
  <c r="Y3026" i="6"/>
  <c r="U3026" i="6"/>
  <c r="AG3078" i="6"/>
  <c r="AC3078" i="6"/>
  <c r="Y3078" i="6"/>
  <c r="U3078" i="6"/>
  <c r="AF3026" i="6"/>
  <c r="AB3026" i="6"/>
  <c r="X3026" i="6"/>
  <c r="T3026" i="6"/>
  <c r="AE3078" i="6"/>
  <c r="W3078" i="6"/>
  <c r="AD3026" i="6"/>
  <c r="V3026" i="6"/>
  <c r="AB3078" i="6"/>
  <c r="T3078" i="6"/>
  <c r="AA3026" i="6"/>
  <c r="AA3078" i="6"/>
  <c r="AH3026" i="6"/>
  <c r="Z3026" i="6"/>
  <c r="AF3078" i="6"/>
  <c r="AE3026" i="6"/>
  <c r="X3078" i="6"/>
  <c r="W3026" i="6"/>
  <c r="AG2913" i="6"/>
  <c r="AC2913" i="6"/>
  <c r="Y2913" i="6"/>
  <c r="AJ2861" i="6"/>
  <c r="AF2861" i="6"/>
  <c r="AB2861" i="6"/>
  <c r="X2861" i="6"/>
  <c r="AH2913" i="6"/>
  <c r="AB2913" i="6"/>
  <c r="W2913" i="6"/>
  <c r="AG2861" i="6"/>
  <c r="AA2861" i="6"/>
  <c r="V2861" i="6"/>
  <c r="AF2913" i="6"/>
  <c r="AA2913" i="6"/>
  <c r="V2913" i="6"/>
  <c r="AE2861" i="6"/>
  <c r="Z2861" i="6"/>
  <c r="AJ2913" i="6"/>
  <c r="AE2913" i="6"/>
  <c r="Z2913" i="6"/>
  <c r="X2913" i="6"/>
  <c r="AC2861" i="6"/>
  <c r="AI2861" i="6"/>
  <c r="Y2861" i="6"/>
  <c r="AI2913" i="6"/>
  <c r="AH2861" i="6"/>
  <c r="W2861" i="6"/>
  <c r="AD2913" i="6"/>
  <c r="AD2861" i="6"/>
  <c r="AT3445" i="6"/>
  <c r="BS3176" i="6" a="1"/>
  <c r="BS3176" i="6" s="1"/>
  <c r="AF3236" i="6"/>
  <c r="AB3236" i="6"/>
  <c r="X3236" i="6"/>
  <c r="T3236" i="6"/>
  <c r="P3236" i="6"/>
  <c r="L3236" i="6"/>
  <c r="AG3184" i="6"/>
  <c r="AC3184" i="6"/>
  <c r="Y3184" i="6"/>
  <c r="U3184" i="6"/>
  <c r="Q3184" i="6"/>
  <c r="M3184" i="6"/>
  <c r="AE3236" i="6"/>
  <c r="AE3228" i="6" s="1" a="1"/>
  <c r="AE3228" i="6" s="1"/>
  <c r="AA3236" i="6"/>
  <c r="W3236" i="6"/>
  <c r="S3236" i="6"/>
  <c r="O3236" i="6"/>
  <c r="K3236" i="6"/>
  <c r="AF3184" i="6"/>
  <c r="AB3184" i="6"/>
  <c r="X3184" i="6"/>
  <c r="T3184" i="6"/>
  <c r="P3184" i="6"/>
  <c r="L3184" i="6"/>
  <c r="AG3236" i="6"/>
  <c r="Y3236" i="6"/>
  <c r="Q3236" i="6"/>
  <c r="AH3184" i="6"/>
  <c r="Z3184" i="6"/>
  <c r="R3184" i="6"/>
  <c r="J3184" i="6"/>
  <c r="AD3236" i="6"/>
  <c r="V3236" i="6"/>
  <c r="N3236" i="6"/>
  <c r="AE3184" i="6"/>
  <c r="W3184" i="6"/>
  <c r="O3184" i="6"/>
  <c r="AC3236" i="6"/>
  <c r="U3236" i="6"/>
  <c r="M3236" i="6"/>
  <c r="AD3184" i="6"/>
  <c r="V3184" i="6"/>
  <c r="N3184" i="6"/>
  <c r="AH3236" i="6"/>
  <c r="Z3236" i="6"/>
  <c r="R3236" i="6"/>
  <c r="J3236" i="6"/>
  <c r="K3184" i="6"/>
  <c r="AA3184" i="6"/>
  <c r="S3184" i="6"/>
  <c r="U3165" i="6"/>
  <c r="AL3281" i="6"/>
  <c r="BR3272" i="6"/>
  <c r="BN3272" i="6"/>
  <c r="BJ3272" i="6"/>
  <c r="BF3272" i="6"/>
  <c r="BB3272" i="6"/>
  <c r="AX3272" i="6"/>
  <c r="BQ3272" i="6"/>
  <c r="BL3272" i="6"/>
  <c r="BG3272" i="6"/>
  <c r="BA3272" i="6"/>
  <c r="AV3272" i="6"/>
  <c r="BQ3220" i="6"/>
  <c r="BM3220" i="6"/>
  <c r="BI3220" i="6"/>
  <c r="BE3220" i="6"/>
  <c r="BA3220" i="6"/>
  <c r="AW3220" i="6"/>
  <c r="BP3272" i="6"/>
  <c r="BK3272" i="6"/>
  <c r="BE3272" i="6"/>
  <c r="AZ3272" i="6"/>
  <c r="AU3272" i="6"/>
  <c r="BP3220" i="6"/>
  <c r="BL3220" i="6"/>
  <c r="BH3220" i="6"/>
  <c r="BD3220" i="6"/>
  <c r="AZ3220" i="6"/>
  <c r="AV3220" i="6"/>
  <c r="BO3272" i="6"/>
  <c r="BI3272" i="6"/>
  <c r="BD3272" i="6"/>
  <c r="AY3272" i="6"/>
  <c r="AT3272" i="6"/>
  <c r="BH3272" i="6"/>
  <c r="BN3220" i="6"/>
  <c r="BF3220" i="6"/>
  <c r="AX3220" i="6"/>
  <c r="BC3272" i="6"/>
  <c r="BK3220" i="6"/>
  <c r="BC3220" i="6"/>
  <c r="AU3220" i="6"/>
  <c r="AW3272" i="6"/>
  <c r="BR3220" i="6"/>
  <c r="BJ3220" i="6"/>
  <c r="BB3220" i="6"/>
  <c r="AT3220" i="6"/>
  <c r="BM3272" i="6"/>
  <c r="BO3220" i="6"/>
  <c r="BG3220" i="6"/>
  <c r="AY3220" i="6"/>
  <c r="D3176" i="6" a="1"/>
  <c r="D3176" i="6" s="1"/>
  <c r="BJ3281" i="6"/>
  <c r="BF3281" i="6"/>
  <c r="T3165" i="6"/>
  <c r="N2946" i="6"/>
  <c r="R2893" i="6" a="1"/>
  <c r="R2893" i="6" s="1"/>
  <c r="R3000" i="6" s="1"/>
  <c r="C2999" i="6"/>
  <c r="I2946" i="6"/>
  <c r="BV3279" i="6"/>
  <c r="BV3228" i="6" s="1" a="1"/>
  <c r="BV3228" i="6" s="1"/>
  <c r="BR3279" i="6"/>
  <c r="BN3279" i="6"/>
  <c r="BJ3279" i="6"/>
  <c r="BF3279" i="6"/>
  <c r="BB3279" i="6"/>
  <c r="BY3279" i="6"/>
  <c r="BY3228" i="6" s="1" a="1"/>
  <c r="BY3228" i="6" s="1"/>
  <c r="BT3279" i="6"/>
  <c r="BO3279" i="6"/>
  <c r="BI3279" i="6"/>
  <c r="BD3279" i="6"/>
  <c r="BY3227" i="6"/>
  <c r="BY3176" i="6" s="1" a="1"/>
  <c r="BY3176" i="6" s="1"/>
  <c r="BU3227" i="6"/>
  <c r="BQ3227" i="6"/>
  <c r="BM3227" i="6"/>
  <c r="BI3227" i="6"/>
  <c r="BE3227" i="6"/>
  <c r="BA3227" i="6"/>
  <c r="BX3279" i="6"/>
  <c r="BX3228" i="6" s="1" a="1"/>
  <c r="BX3228" i="6" s="1"/>
  <c r="BS3279" i="6"/>
  <c r="BM3279" i="6"/>
  <c r="BH3279" i="6"/>
  <c r="BC3279" i="6"/>
  <c r="BX3227" i="6"/>
  <c r="BX3176" i="6" s="1" a="1"/>
  <c r="BX3176" i="6" s="1"/>
  <c r="BT3227" i="6"/>
  <c r="BP3227" i="6"/>
  <c r="BL3227" i="6"/>
  <c r="BH3227" i="6"/>
  <c r="BD3227" i="6"/>
  <c r="BW3279" i="6"/>
  <c r="BW3228" i="6" s="1" a="1"/>
  <c r="BW3228" i="6" s="1"/>
  <c r="BQ3279" i="6"/>
  <c r="BL3279" i="6"/>
  <c r="BG3279" i="6"/>
  <c r="BA3279" i="6"/>
  <c r="BE3279" i="6"/>
  <c r="BV3227" i="6"/>
  <c r="BN3227" i="6"/>
  <c r="BF3227" i="6"/>
  <c r="BU3279" i="6"/>
  <c r="BS3227" i="6"/>
  <c r="BK3227" i="6"/>
  <c r="BC3227" i="6"/>
  <c r="BP3279" i="6"/>
  <c r="BR3227" i="6"/>
  <c r="BJ3227" i="6"/>
  <c r="BB3227" i="6"/>
  <c r="BK3279" i="6"/>
  <c r="BW3227" i="6"/>
  <c r="BW3176" i="6" s="1" a="1"/>
  <c r="BW3176" i="6" s="1"/>
  <c r="BO3227" i="6"/>
  <c r="BG3227" i="6"/>
  <c r="BR3275" i="6"/>
  <c r="BN3275" i="6"/>
  <c r="BJ3275" i="6"/>
  <c r="BF3275" i="6"/>
  <c r="BB3275" i="6"/>
  <c r="AX3275" i="6"/>
  <c r="BT3275" i="6"/>
  <c r="BT3228" i="6" s="1" a="1"/>
  <c r="BT3228" i="6" s="1"/>
  <c r="BO3275" i="6"/>
  <c r="BI3275" i="6"/>
  <c r="BD3275" i="6"/>
  <c r="AY3275" i="6"/>
  <c r="BU3223" i="6"/>
  <c r="BU3176" i="6" s="1" a="1"/>
  <c r="BU3176" i="6" s="1"/>
  <c r="BQ3223" i="6"/>
  <c r="BM3223" i="6"/>
  <c r="BI3223" i="6"/>
  <c r="BE3223" i="6"/>
  <c r="BA3223" i="6"/>
  <c r="AW3223" i="6"/>
  <c r="BS3275" i="6"/>
  <c r="BM3275" i="6"/>
  <c r="BH3275" i="6"/>
  <c r="BC3275" i="6"/>
  <c r="AW3275" i="6"/>
  <c r="BT3223" i="6"/>
  <c r="BT3176" i="6" s="1" a="1"/>
  <c r="BT3176" i="6" s="1"/>
  <c r="BP3223" i="6"/>
  <c r="BL3223" i="6"/>
  <c r="BH3223" i="6"/>
  <c r="BD3223" i="6"/>
  <c r="AZ3223" i="6"/>
  <c r="BQ3275" i="6"/>
  <c r="BL3275" i="6"/>
  <c r="BG3275" i="6"/>
  <c r="BA3275" i="6"/>
  <c r="BP3275" i="6"/>
  <c r="BN3223" i="6"/>
  <c r="BF3223" i="6"/>
  <c r="BF3176" i="6" s="1" a="1"/>
  <c r="BF3176" i="6" s="1"/>
  <c r="AX3223" i="6"/>
  <c r="BK3275" i="6"/>
  <c r="BS3223" i="6"/>
  <c r="BK3223" i="6"/>
  <c r="BC3223" i="6"/>
  <c r="BE3275" i="6"/>
  <c r="BR3223" i="6"/>
  <c r="BJ3223" i="6"/>
  <c r="BB3223" i="6"/>
  <c r="BU3275" i="6"/>
  <c r="AZ3275" i="6"/>
  <c r="AY3223" i="6"/>
  <c r="BO3223" i="6"/>
  <c r="BG3223" i="6"/>
  <c r="BH3263" i="6"/>
  <c r="BD3263" i="6"/>
  <c r="AZ3263" i="6"/>
  <c r="AV3263" i="6"/>
  <c r="AR3263" i="6"/>
  <c r="AN3263" i="6"/>
  <c r="BI3211" i="6"/>
  <c r="BE3211" i="6"/>
  <c r="BA3211" i="6"/>
  <c r="AW3211" i="6"/>
  <c r="AS3211" i="6"/>
  <c r="AO3211" i="6"/>
  <c r="AK3211" i="6"/>
  <c r="BG3263" i="6"/>
  <c r="BG3228" i="6" s="1" a="1"/>
  <c r="BG3228" i="6" s="1"/>
  <c r="BC3263" i="6"/>
  <c r="AY3263" i="6"/>
  <c r="AU3263" i="6"/>
  <c r="AQ3263" i="6"/>
  <c r="AM3263" i="6"/>
  <c r="BH3211" i="6"/>
  <c r="BH3176" i="6" s="1" a="1"/>
  <c r="BH3176" i="6" s="1"/>
  <c r="BD3211" i="6"/>
  <c r="AZ3211" i="6"/>
  <c r="AV3211" i="6"/>
  <c r="AR3211" i="6"/>
  <c r="AN3211" i="6"/>
  <c r="BE3263" i="6"/>
  <c r="AW3263" i="6"/>
  <c r="AO3263" i="6"/>
  <c r="BF3211" i="6"/>
  <c r="AX3211" i="6"/>
  <c r="AP3211" i="6"/>
  <c r="BB3263" i="6"/>
  <c r="AT3263" i="6"/>
  <c r="AL3263" i="6"/>
  <c r="BC3211" i="6"/>
  <c r="AU3211" i="6"/>
  <c r="AM3211" i="6"/>
  <c r="BI3263" i="6"/>
  <c r="BI3228" i="6" s="1" a="1"/>
  <c r="BI3228" i="6" s="1"/>
  <c r="BA3263" i="6"/>
  <c r="AS3263" i="6"/>
  <c r="AK3263" i="6"/>
  <c r="BB3211" i="6"/>
  <c r="AT3211" i="6"/>
  <c r="AL3211" i="6"/>
  <c r="BF3263" i="6"/>
  <c r="BF3228" i="6" s="1" a="1"/>
  <c r="BF3228" i="6" s="1"/>
  <c r="AX3263" i="6"/>
  <c r="AP3263" i="6"/>
  <c r="AQ3211" i="6"/>
  <c r="BG3211" i="6"/>
  <c r="AY3211" i="6"/>
  <c r="BD3259" i="6"/>
  <c r="AZ3259" i="6"/>
  <c r="AV3259" i="6"/>
  <c r="AR3259" i="6"/>
  <c r="AN3259" i="6"/>
  <c r="AJ3259" i="6"/>
  <c r="BE3207" i="6"/>
  <c r="BA3207" i="6"/>
  <c r="AW3207" i="6"/>
  <c r="AS3207" i="6"/>
  <c r="AO3207" i="6"/>
  <c r="AK3207" i="6"/>
  <c r="AG3207" i="6"/>
  <c r="BC3259" i="6"/>
  <c r="BC3228" i="6" s="1" a="1"/>
  <c r="BC3228" i="6" s="1"/>
  <c r="AY3259" i="6"/>
  <c r="AU3259" i="6"/>
  <c r="AQ3259" i="6"/>
  <c r="AM3259" i="6"/>
  <c r="AI3259" i="6"/>
  <c r="BD3207" i="6"/>
  <c r="BD3176" i="6" s="1" a="1"/>
  <c r="BD3176" i="6" s="1"/>
  <c r="AZ3207" i="6"/>
  <c r="AV3207" i="6"/>
  <c r="AR3207" i="6"/>
  <c r="AN3207" i="6"/>
  <c r="AJ3207" i="6"/>
  <c r="BE3259" i="6"/>
  <c r="AW3259" i="6"/>
  <c r="AO3259" i="6"/>
  <c r="AG3259" i="6"/>
  <c r="AX3207" i="6"/>
  <c r="AP3207" i="6"/>
  <c r="AH3207" i="6"/>
  <c r="BB3259" i="6"/>
  <c r="AT3259" i="6"/>
  <c r="AL3259" i="6"/>
  <c r="BC3207" i="6"/>
  <c r="AU3207" i="6"/>
  <c r="AM3207" i="6"/>
  <c r="BA3259" i="6"/>
  <c r="AS3259" i="6"/>
  <c r="AK3259" i="6"/>
  <c r="BB3207" i="6"/>
  <c r="AT3207" i="6"/>
  <c r="AL3207" i="6"/>
  <c r="AX3259" i="6"/>
  <c r="AP3259" i="6"/>
  <c r="AH3259" i="6"/>
  <c r="AY3207" i="6"/>
  <c r="AQ3207" i="6"/>
  <c r="AI3207" i="6"/>
  <c r="AO3281" i="6"/>
  <c r="AN3243" i="6"/>
  <c r="AJ3243" i="6"/>
  <c r="AF3243" i="6"/>
  <c r="AB3243" i="6"/>
  <c r="X3243" i="6"/>
  <c r="X3228" i="6" s="1" a="1"/>
  <c r="X3228" i="6" s="1"/>
  <c r="T3243" i="6"/>
  <c r="AO3191" i="6"/>
  <c r="AK3191" i="6"/>
  <c r="AG3191" i="6"/>
  <c r="AC3191" i="6"/>
  <c r="Y3191" i="6"/>
  <c r="U3191" i="6"/>
  <c r="Q3191" i="6"/>
  <c r="AM3243" i="6"/>
  <c r="AM3228" i="6" s="1" a="1"/>
  <c r="AM3228" i="6" s="1"/>
  <c r="AI3243" i="6"/>
  <c r="AE3243" i="6"/>
  <c r="AA3243" i="6"/>
  <c r="W3243" i="6"/>
  <c r="S3243" i="6"/>
  <c r="AN3191" i="6"/>
  <c r="AN3176" i="6" s="1" a="1"/>
  <c r="AN3176" i="6" s="1"/>
  <c r="AJ3191" i="6"/>
  <c r="AF3191" i="6"/>
  <c r="AB3191" i="6"/>
  <c r="X3191" i="6"/>
  <c r="T3191" i="6"/>
  <c r="AO3243" i="6"/>
  <c r="AG3243" i="6"/>
  <c r="Y3243" i="6"/>
  <c r="Q3243" i="6"/>
  <c r="AH3191" i="6"/>
  <c r="Z3191" i="6"/>
  <c r="R3191" i="6"/>
  <c r="AL3243" i="6"/>
  <c r="AD3243" i="6"/>
  <c r="V3243" i="6"/>
  <c r="AM3191" i="6"/>
  <c r="AE3191" i="6"/>
  <c r="W3191" i="6"/>
  <c r="AK3243" i="6"/>
  <c r="AC3243" i="6"/>
  <c r="U3243" i="6"/>
  <c r="AL3191" i="6"/>
  <c r="AD3191" i="6"/>
  <c r="V3191" i="6"/>
  <c r="AH3243" i="6"/>
  <c r="Z3243" i="6"/>
  <c r="R3243" i="6"/>
  <c r="S3191" i="6"/>
  <c r="AI3191" i="6"/>
  <c r="AA3191" i="6"/>
  <c r="N3281" i="6"/>
  <c r="R3113" i="6"/>
  <c r="X3069" i="6"/>
  <c r="T3069" i="6"/>
  <c r="P3069" i="6"/>
  <c r="L3069" i="6"/>
  <c r="W3017" i="6"/>
  <c r="S3017" i="6"/>
  <c r="O3017" i="6"/>
  <c r="K3017" i="6"/>
  <c r="W3069" i="6"/>
  <c r="S3069" i="6"/>
  <c r="O3069" i="6"/>
  <c r="K3069" i="6"/>
  <c r="V3017" i="6"/>
  <c r="R3017" i="6"/>
  <c r="N3017" i="6"/>
  <c r="U3069" i="6"/>
  <c r="M3069" i="6"/>
  <c r="T3017" i="6"/>
  <c r="L3017" i="6"/>
  <c r="R3069" i="6"/>
  <c r="Y3017" i="6"/>
  <c r="Q3017" i="6"/>
  <c r="Y3069" i="6"/>
  <c r="Q3069" i="6"/>
  <c r="X3017" i="6"/>
  <c r="P3017" i="6"/>
  <c r="V3069" i="6"/>
  <c r="U3017" i="6"/>
  <c r="N3069" i="6"/>
  <c r="M3017" i="6"/>
  <c r="M3113" i="6"/>
  <c r="V3113" i="6"/>
  <c r="G3113" i="6"/>
  <c r="W3113" i="6"/>
  <c r="L3113" i="6"/>
  <c r="U2945" i="6"/>
  <c r="U2998" i="6" s="1"/>
  <c r="Q2946" i="6"/>
  <c r="S2946" i="6"/>
  <c r="V2735" i="6"/>
  <c r="R2735" i="6"/>
  <c r="N2735" i="6"/>
  <c r="Y2683" i="6"/>
  <c r="U2683" i="6"/>
  <c r="Q2683" i="6"/>
  <c r="M2683" i="6"/>
  <c r="W2735" i="6"/>
  <c r="Q2735" i="6"/>
  <c r="L2735" i="6"/>
  <c r="U2735" i="6"/>
  <c r="P2735" i="6"/>
  <c r="K2735" i="6"/>
  <c r="Y2735" i="6"/>
  <c r="T2735" i="6"/>
  <c r="O2735" i="6"/>
  <c r="T2683" i="6"/>
  <c r="O2683" i="6"/>
  <c r="X2735" i="6"/>
  <c r="X2683" i="6"/>
  <c r="S2683" i="6"/>
  <c r="N2683" i="6"/>
  <c r="S2735" i="6"/>
  <c r="W2683" i="6"/>
  <c r="R2683" i="6"/>
  <c r="L2683" i="6"/>
  <c r="M2735" i="6"/>
  <c r="V2683" i="6"/>
  <c r="P2683" i="6"/>
  <c r="K2683" i="6"/>
  <c r="J2665" i="6"/>
  <c r="Z2227" i="6"/>
  <c r="Y2225" i="6"/>
  <c r="Y2229" i="6"/>
  <c r="V2033" i="6"/>
  <c r="U2033" i="6"/>
  <c r="AJ2192" i="6"/>
  <c r="AF2192" i="6"/>
  <c r="AB2192" i="6"/>
  <c r="X2192" i="6"/>
  <c r="AJ2140" i="6"/>
  <c r="AF2140" i="6"/>
  <c r="AB2140" i="6"/>
  <c r="X2140" i="6"/>
  <c r="AI2088" i="6"/>
  <c r="AE2088" i="6"/>
  <c r="AA2088" i="6"/>
  <c r="U2034" i="6"/>
  <c r="AM2192" i="6"/>
  <c r="AI2192" i="6"/>
  <c r="AE2192" i="6"/>
  <c r="AA2192" i="6"/>
  <c r="AI2140" i="6"/>
  <c r="AE2140" i="6"/>
  <c r="AA2140" i="6"/>
  <c r="AL2088" i="6"/>
  <c r="AH2088" i="6"/>
  <c r="AD2088" i="6"/>
  <c r="Z2088" i="6"/>
  <c r="AL2192" i="6"/>
  <c r="AH2192" i="6"/>
  <c r="AD2192" i="6"/>
  <c r="Z2192" i="6"/>
  <c r="AL2140" i="6"/>
  <c r="AH2140" i="6"/>
  <c r="AD2140" i="6"/>
  <c r="Z2140" i="6"/>
  <c r="AK2088" i="6"/>
  <c r="AG2088" i="6"/>
  <c r="AC2088" i="6"/>
  <c r="Y2088" i="6"/>
  <c r="W2034" i="6"/>
  <c r="Y2011" i="6"/>
  <c r="AK2192" i="6"/>
  <c r="Y2140" i="6"/>
  <c r="X2088" i="6"/>
  <c r="AG2192" i="6"/>
  <c r="AK2140" i="6"/>
  <c r="AJ2088" i="6"/>
  <c r="AC2192" i="6"/>
  <c r="AG2140" i="6"/>
  <c r="AF2088" i="6"/>
  <c r="Y2192" i="6"/>
  <c r="AC2140" i="6"/>
  <c r="AB2088" i="6"/>
  <c r="V2034" i="6"/>
  <c r="AK1742" i="6"/>
  <c r="AG1742" i="6"/>
  <c r="AC1742" i="6"/>
  <c r="Y1742" i="6"/>
  <c r="AK1690" i="6"/>
  <c r="AG1690" i="6"/>
  <c r="AC1690" i="6"/>
  <c r="Y1690" i="6"/>
  <c r="AJ1638" i="6"/>
  <c r="AF1638" i="6"/>
  <c r="AB1638" i="6"/>
  <c r="X1638" i="6"/>
  <c r="AL1742" i="6"/>
  <c r="AF1742" i="6"/>
  <c r="AA1742" i="6"/>
  <c r="AJ1690" i="6"/>
  <c r="AE1690" i="6"/>
  <c r="Z1690" i="6"/>
  <c r="AI1638" i="6"/>
  <c r="AD1638" i="6"/>
  <c r="Y1638" i="6"/>
  <c r="U1584" i="6"/>
  <c r="AJ1742" i="6"/>
  <c r="AE1742" i="6"/>
  <c r="Z1742" i="6"/>
  <c r="AI1690" i="6"/>
  <c r="AD1690" i="6"/>
  <c r="X1690" i="6"/>
  <c r="AH1638" i="6"/>
  <c r="AC1638" i="6"/>
  <c r="AI1742" i="6"/>
  <c r="AD1742" i="6"/>
  <c r="X1742" i="6"/>
  <c r="AH1690" i="6"/>
  <c r="AB1690" i="6"/>
  <c r="AL1638" i="6"/>
  <c r="AG1638" i="6"/>
  <c r="AA1638" i="6"/>
  <c r="W1584" i="6"/>
  <c r="Y1561" i="6"/>
  <c r="AM1742" i="6"/>
  <c r="AH1742" i="6"/>
  <c r="AB1742" i="6"/>
  <c r="AL1690" i="6"/>
  <c r="AF1690" i="6"/>
  <c r="AA1690" i="6"/>
  <c r="AK1638" i="6"/>
  <c r="AE1638" i="6"/>
  <c r="Z1638" i="6"/>
  <c r="V1584" i="6"/>
  <c r="AI960" i="6"/>
  <c r="AB1012" i="6"/>
  <c r="W1064" i="6"/>
  <c r="AH960" i="6"/>
  <c r="AK1012" i="6"/>
  <c r="AD1012" i="6"/>
  <c r="AB960" i="6"/>
  <c r="AA1012" i="6"/>
  <c r="P356" i="6"/>
  <c r="AP320" i="6"/>
  <c r="AL320" i="6"/>
  <c r="AH320" i="6"/>
  <c r="AD320" i="6"/>
  <c r="Z320" i="6"/>
  <c r="V320" i="6"/>
  <c r="AQ268" i="6"/>
  <c r="AM268" i="6"/>
  <c r="AI268" i="6"/>
  <c r="AE268" i="6"/>
  <c r="AA268" i="6"/>
  <c r="W268" i="6"/>
  <c r="S268" i="6"/>
  <c r="AM320" i="6"/>
  <c r="AA320" i="6"/>
  <c r="AF268" i="6"/>
  <c r="X268" i="6"/>
  <c r="AO320" i="6"/>
  <c r="AK320" i="6"/>
  <c r="AG320" i="6"/>
  <c r="AC320" i="6"/>
  <c r="Y320" i="6"/>
  <c r="U320" i="6"/>
  <c r="AP268" i="6"/>
  <c r="AL268" i="6"/>
  <c r="AH268" i="6"/>
  <c r="AD268" i="6"/>
  <c r="Z268" i="6"/>
  <c r="V268" i="6"/>
  <c r="AI320" i="6"/>
  <c r="W320" i="6"/>
  <c r="AJ268" i="6"/>
  <c r="T268" i="6"/>
  <c r="AN320" i="6"/>
  <c r="AJ320" i="6"/>
  <c r="AF320" i="6"/>
  <c r="AB320" i="6"/>
  <c r="X320" i="6"/>
  <c r="T320" i="6"/>
  <c r="AO268" i="6"/>
  <c r="AK268" i="6"/>
  <c r="AG268" i="6"/>
  <c r="AC268" i="6"/>
  <c r="Y268" i="6"/>
  <c r="U268" i="6"/>
  <c r="AQ320" i="6"/>
  <c r="AE320" i="6"/>
  <c r="S320" i="6"/>
  <c r="AN268" i="6"/>
  <c r="AB268" i="6"/>
  <c r="Z304" i="6"/>
  <c r="V304" i="6"/>
  <c r="R304" i="6"/>
  <c r="N304" i="6"/>
  <c r="J304" i="6"/>
  <c r="J303" i="6" s="1" a="1"/>
  <c r="J303" i="6" s="1"/>
  <c r="F304" i="6"/>
  <c r="AA252" i="6"/>
  <c r="W252" i="6"/>
  <c r="S252" i="6"/>
  <c r="O252" i="6"/>
  <c r="K252" i="6"/>
  <c r="G252" i="6"/>
  <c r="C252" i="6"/>
  <c r="C251" i="6" s="1" a="1"/>
  <c r="C251" i="6" s="1"/>
  <c r="C409" i="6" s="1"/>
  <c r="W304" i="6"/>
  <c r="K304" i="6"/>
  <c r="T252" i="6"/>
  <c r="Y304" i="6"/>
  <c r="U304" i="6"/>
  <c r="Q304" i="6"/>
  <c r="M304" i="6"/>
  <c r="I304" i="6"/>
  <c r="I303" i="6" s="1" a="1"/>
  <c r="I303" i="6" s="1"/>
  <c r="E304" i="6"/>
  <c r="E303" i="6" s="1" a="1"/>
  <c r="E303" i="6" s="1"/>
  <c r="Z252" i="6"/>
  <c r="V252" i="6"/>
  <c r="R252" i="6"/>
  <c r="R251" i="6" s="1" a="1"/>
  <c r="R251" i="6" s="1"/>
  <c r="R409" i="6" s="1"/>
  <c r="N252" i="6"/>
  <c r="J252" i="6"/>
  <c r="F252" i="6"/>
  <c r="AA304" i="6"/>
  <c r="S304" i="6"/>
  <c r="G304" i="6"/>
  <c r="X252" i="6"/>
  <c r="L252" i="6"/>
  <c r="D252" i="6"/>
  <c r="D251" i="6" s="1" a="1"/>
  <c r="D251" i="6" s="1"/>
  <c r="D409" i="6" s="1"/>
  <c r="X304" i="6"/>
  <c r="T304" i="6"/>
  <c r="P304" i="6"/>
  <c r="P303" i="6" s="1" a="1"/>
  <c r="P303" i="6" s="1"/>
  <c r="L304" i="6"/>
  <c r="H304" i="6"/>
  <c r="D304" i="6"/>
  <c r="D303" i="6" s="1" a="1"/>
  <c r="D303" i="6" s="1"/>
  <c r="Y252" i="6"/>
  <c r="U252" i="6"/>
  <c r="Q252" i="6"/>
  <c r="M252" i="6"/>
  <c r="I252" i="6"/>
  <c r="I251" i="6" s="1" a="1"/>
  <c r="I251" i="6" s="1"/>
  <c r="I409" i="6" s="1"/>
  <c r="E252" i="6"/>
  <c r="E251" i="6" s="1" a="1"/>
  <c r="E251" i="6" s="1"/>
  <c r="E409" i="6" s="1"/>
  <c r="O304" i="6"/>
  <c r="C304" i="6"/>
  <c r="C303" i="6" s="1" a="1"/>
  <c r="C303" i="6" s="1"/>
  <c r="P252" i="6"/>
  <c r="P251" i="6" s="1" a="1"/>
  <c r="P251" i="6" s="1"/>
  <c r="P409" i="6" s="1"/>
  <c r="H252" i="6"/>
  <c r="Y880" i="6"/>
  <c r="Z878" i="6"/>
  <c r="Y882" i="6"/>
  <c r="Z7" i="5"/>
  <c r="Y883" i="6"/>
  <c r="G356" i="6"/>
  <c r="AH311" i="6"/>
  <c r="AD311" i="6"/>
  <c r="Z311" i="6"/>
  <c r="V311" i="6"/>
  <c r="R311" i="6"/>
  <c r="N311" i="6"/>
  <c r="J311" i="6"/>
  <c r="AE259" i="6"/>
  <c r="AA259" i="6"/>
  <c r="W259" i="6"/>
  <c r="S259" i="6"/>
  <c r="O259" i="6"/>
  <c r="K259" i="6"/>
  <c r="W311" i="6"/>
  <c r="K311" i="6"/>
  <c r="AB259" i="6"/>
  <c r="L259" i="6"/>
  <c r="AG311" i="6"/>
  <c r="AC311" i="6"/>
  <c r="Y311" i="6"/>
  <c r="U311" i="6"/>
  <c r="Q311" i="6"/>
  <c r="M311" i="6"/>
  <c r="AH259" i="6"/>
  <c r="AD259" i="6"/>
  <c r="Z259" i="6"/>
  <c r="V259" i="6"/>
  <c r="R259" i="6"/>
  <c r="N259" i="6"/>
  <c r="J259" i="6"/>
  <c r="AA311" i="6"/>
  <c r="O311" i="6"/>
  <c r="X259" i="6"/>
  <c r="P259" i="6"/>
  <c r="AF311" i="6"/>
  <c r="AB311" i="6"/>
  <c r="X311" i="6"/>
  <c r="T311" i="6"/>
  <c r="P311" i="6"/>
  <c r="L311" i="6"/>
  <c r="AG259" i="6"/>
  <c r="AC259" i="6"/>
  <c r="Y259" i="6"/>
  <c r="U259" i="6"/>
  <c r="Q259" i="6"/>
  <c r="M259" i="6"/>
  <c r="AE311" i="6"/>
  <c r="S311" i="6"/>
  <c r="AF259" i="6"/>
  <c r="T259" i="6"/>
  <c r="X14" i="6"/>
  <c r="Y8" i="6"/>
  <c r="Y2" i="5"/>
  <c r="X13" i="6"/>
  <c r="Y3" i="5"/>
  <c r="AJ1012" i="6"/>
  <c r="AX21" i="9"/>
  <c r="AT21" i="9"/>
  <c r="AP21" i="9"/>
  <c r="AL21" i="9"/>
  <c r="AH21" i="9"/>
  <c r="AD21" i="9"/>
  <c r="Z21" i="9"/>
  <c r="V21" i="9"/>
  <c r="R21" i="9"/>
  <c r="N21" i="9"/>
  <c r="N23" i="9" s="1"/>
  <c r="J21" i="9"/>
  <c r="J23" i="9" s="1"/>
  <c r="AW21" i="9"/>
  <c r="AS21" i="9"/>
  <c r="AO21" i="9"/>
  <c r="AK21" i="9"/>
  <c r="AG21" i="9"/>
  <c r="AC21" i="9"/>
  <c r="Y21" i="9"/>
  <c r="U21" i="9"/>
  <c r="Q21" i="9"/>
  <c r="Q23" i="9" s="1"/>
  <c r="M21" i="9"/>
  <c r="M23" i="9" s="1"/>
  <c r="AZ21" i="9"/>
  <c r="AV21" i="9"/>
  <c r="AR21" i="9"/>
  <c r="AN21" i="9"/>
  <c r="AJ21" i="9"/>
  <c r="AF21" i="9"/>
  <c r="AB21" i="9"/>
  <c r="X21" i="9"/>
  <c r="T21" i="9"/>
  <c r="P21" i="9"/>
  <c r="P23" i="9" s="1"/>
  <c r="L21" i="9"/>
  <c r="L23" i="9" s="1"/>
  <c r="AM21" i="9"/>
  <c r="W21" i="9"/>
  <c r="AY21" i="9"/>
  <c r="AI21" i="9"/>
  <c r="S21" i="9"/>
  <c r="AU21" i="9"/>
  <c r="AE21" i="9"/>
  <c r="O21" i="9"/>
  <c r="O23" i="9" s="1"/>
  <c r="AQ21" i="9"/>
  <c r="AA21" i="9"/>
  <c r="K21" i="9"/>
  <c r="K23" i="9" s="1"/>
  <c r="D15" i="3"/>
  <c r="D14" i="3"/>
  <c r="D13" i="3"/>
  <c r="D12" i="3"/>
  <c r="D11" i="3"/>
  <c r="D10" i="3"/>
  <c r="D9" i="3"/>
  <c r="D8" i="3"/>
  <c r="D7" i="3"/>
  <c r="D6" i="3"/>
  <c r="D5" i="3"/>
  <c r="D4" i="3"/>
  <c r="D3" i="3"/>
  <c r="AQ3281" i="6"/>
  <c r="K3170" i="6"/>
  <c r="BP3281" i="6"/>
  <c r="AZ3281" i="6"/>
  <c r="AF3281" i="6"/>
  <c r="X3281" i="6"/>
  <c r="Z199" i="14"/>
  <c r="Y76" i="14"/>
  <c r="AA94" i="13"/>
  <c r="X2" i="13"/>
  <c r="Y2" i="13" s="1"/>
  <c r="Z2" i="13" s="1"/>
  <c r="AA2" i="13" s="1"/>
  <c r="AB2" i="13" s="1"/>
  <c r="AC2" i="13" s="1"/>
  <c r="AD2" i="13" s="1"/>
  <c r="AE2" i="13" s="1"/>
  <c r="AF2" i="13" s="1"/>
  <c r="AG2" i="13" s="1"/>
  <c r="AH2" i="13" s="1"/>
  <c r="AI2" i="13" s="1"/>
  <c r="AJ2" i="13" s="1"/>
  <c r="AK2" i="13" s="1"/>
  <c r="AL2" i="13" s="1"/>
  <c r="AM2" i="13" s="1"/>
  <c r="AN2" i="13" s="1"/>
  <c r="AO2" i="13" s="1"/>
  <c r="AP2" i="13" s="1"/>
  <c r="AQ2" i="13" s="1"/>
  <c r="AR2" i="13" s="1"/>
  <c r="AS2" i="13" s="1"/>
  <c r="AT2" i="13" s="1"/>
  <c r="AU2" i="13" s="1"/>
  <c r="AV2" i="13" s="1"/>
  <c r="AW2" i="13" s="1"/>
  <c r="AX2" i="13" s="1"/>
  <c r="AY2" i="13" s="1"/>
  <c r="AZ2" i="13" s="1"/>
  <c r="BO3445" i="6"/>
  <c r="BG3445" i="6"/>
  <c r="AY3445" i="6"/>
  <c r="AQ3445" i="6"/>
  <c r="H15" i="9"/>
  <c r="H14" i="9"/>
  <c r="B16" i="9"/>
  <c r="B18" i="9"/>
  <c r="B23" i="9"/>
  <c r="C2671" i="6"/>
  <c r="W5" i="9"/>
  <c r="U2668" i="6"/>
  <c r="U41" i="8"/>
  <c r="V642" i="6" s="1"/>
  <c r="U43" i="8"/>
  <c r="V643" i="6" s="1"/>
  <c r="U42" i="8"/>
  <c r="V644" i="6" s="1"/>
  <c r="V641" i="6"/>
  <c r="W33" i="5" s="1"/>
  <c r="T39" i="23"/>
  <c r="U2451" i="6" s="1"/>
  <c r="T32" i="22"/>
  <c r="U2230" i="6" s="1"/>
  <c r="T32" i="21"/>
  <c r="U2009" i="6" s="1"/>
  <c r="T32" i="19"/>
  <c r="U1559" i="6" s="1"/>
  <c r="T32" i="20"/>
  <c r="U1784" i="6" s="1"/>
  <c r="T32" i="18"/>
  <c r="U1334" i="6" s="1"/>
  <c r="T37" i="17"/>
  <c r="U1109" i="6" s="1"/>
  <c r="T42" i="16"/>
  <c r="U882" i="6" s="1"/>
  <c r="T49" i="14"/>
  <c r="U420" i="6" s="1"/>
  <c r="S7" i="7"/>
  <c r="T34" i="15"/>
  <c r="U657" i="6" s="1"/>
  <c r="T41" i="13"/>
  <c r="U13" i="6" s="1"/>
  <c r="G3341" i="6" a="1"/>
  <c r="G3341" i="6" s="1"/>
  <c r="BQ3393" i="6" a="1"/>
  <c r="BQ3393" i="6" s="1"/>
  <c r="BE3425" i="6"/>
  <c r="BE3393" i="6" s="1" a="1"/>
  <c r="BE3393" i="6" s="1"/>
  <c r="BA3425" i="6"/>
  <c r="AW3425" i="6"/>
  <c r="AS3425" i="6"/>
  <c r="AO3425" i="6"/>
  <c r="AK3425" i="6"/>
  <c r="BF3373" i="6"/>
  <c r="BB3373" i="6"/>
  <c r="AX3373" i="6"/>
  <c r="AT3373" i="6"/>
  <c r="AP3373" i="6"/>
  <c r="AL3373" i="6"/>
  <c r="AH3373" i="6"/>
  <c r="BD3425" i="6"/>
  <c r="AZ3425" i="6"/>
  <c r="AV3425" i="6"/>
  <c r="AR3425" i="6"/>
  <c r="AN3425" i="6"/>
  <c r="AJ3425" i="6"/>
  <c r="BC3425" i="6"/>
  <c r="AY3425" i="6"/>
  <c r="AU3425" i="6"/>
  <c r="AQ3425" i="6"/>
  <c r="AM3425" i="6"/>
  <c r="AI3425" i="6"/>
  <c r="BD3373" i="6"/>
  <c r="AZ3373" i="6"/>
  <c r="AV3373" i="6"/>
  <c r="AR3373" i="6"/>
  <c r="AN3373" i="6"/>
  <c r="AJ3373" i="6"/>
  <c r="BB3425" i="6"/>
  <c r="AL3425" i="6"/>
  <c r="BE3373" i="6"/>
  <c r="BE3341" i="6" s="1" a="1"/>
  <c r="BE3341" i="6" s="1"/>
  <c r="AW3373" i="6"/>
  <c r="AW3341" i="6" s="1" a="1"/>
  <c r="AW3341" i="6" s="1"/>
  <c r="AO3373" i="6"/>
  <c r="AX3425" i="6"/>
  <c r="AH3425" i="6"/>
  <c r="BC3373" i="6"/>
  <c r="BC3341" i="6" s="1" a="1"/>
  <c r="BC3341" i="6" s="1"/>
  <c r="AU3373" i="6"/>
  <c r="AM3373" i="6"/>
  <c r="AT3425" i="6"/>
  <c r="BA3373" i="6"/>
  <c r="AS3373" i="6"/>
  <c r="AK3373" i="6"/>
  <c r="AY3373" i="6"/>
  <c r="BF3425" i="6"/>
  <c r="AQ3373" i="6"/>
  <c r="AP3425" i="6"/>
  <c r="AI3373" i="6"/>
  <c r="U3281" i="6"/>
  <c r="L3281" i="6"/>
  <c r="R3064" i="6"/>
  <c r="N3064" i="6"/>
  <c r="J3064" i="6"/>
  <c r="F3064" i="6"/>
  <c r="Q3012" i="6"/>
  <c r="M3012" i="6"/>
  <c r="I3012" i="6"/>
  <c r="Q3064" i="6"/>
  <c r="M3064" i="6"/>
  <c r="I3064" i="6"/>
  <c r="T3012" i="6"/>
  <c r="P3012" i="6"/>
  <c r="L3012" i="6"/>
  <c r="H3012" i="6"/>
  <c r="S3064" i="6"/>
  <c r="S3060" i="6" s="1" a="1"/>
  <c r="S3060" i="6" s="1"/>
  <c r="K3064" i="6"/>
  <c r="R3012" i="6"/>
  <c r="J3012" i="6"/>
  <c r="P3064" i="6"/>
  <c r="H3064" i="6"/>
  <c r="O3012" i="6"/>
  <c r="G3012" i="6"/>
  <c r="O3064" i="6"/>
  <c r="G3064" i="6"/>
  <c r="N3012" i="6"/>
  <c r="F3012" i="6"/>
  <c r="L3064" i="6"/>
  <c r="K3012" i="6"/>
  <c r="T3064" i="6"/>
  <c r="S3012" i="6"/>
  <c r="S3008" i="6" s="1" a="1"/>
  <c r="S3008" i="6" s="1"/>
  <c r="Y31" i="14"/>
  <c r="X33" i="14"/>
  <c r="AD69" i="13"/>
  <c r="U247" i="6"/>
  <c r="V61" i="12"/>
  <c r="T59" i="12"/>
  <c r="N24" i="9"/>
  <c r="F3393" i="6" a="1"/>
  <c r="F3393" i="6" s="1"/>
  <c r="H3341" i="6" a="1"/>
  <c r="H3341" i="6" s="1"/>
  <c r="D3393" i="6" a="1"/>
  <c r="D3393" i="6" s="1"/>
  <c r="D3498" i="6" s="1"/>
  <c r="E3393" i="6" a="1"/>
  <c r="E3393" i="6" s="1"/>
  <c r="E3499" i="6" s="1"/>
  <c r="BF3445" i="6"/>
  <c r="AK3405" i="6"/>
  <c r="AK3393" i="6" s="1" a="1"/>
  <c r="AK3393" i="6" s="1"/>
  <c r="AG3405" i="6"/>
  <c r="AC3405" i="6"/>
  <c r="Y3405" i="6"/>
  <c r="U3405" i="6"/>
  <c r="Q3405" i="6"/>
  <c r="AL3353" i="6"/>
  <c r="AH3353" i="6"/>
  <c r="AD3353" i="6"/>
  <c r="Z3353" i="6"/>
  <c r="V3353" i="6"/>
  <c r="R3353" i="6"/>
  <c r="N3353" i="6"/>
  <c r="N3341" i="6" s="1" a="1"/>
  <c r="N3341" i="6" s="1"/>
  <c r="AJ3405" i="6"/>
  <c r="AF3405" i="6"/>
  <c r="AB3405" i="6"/>
  <c r="X3405" i="6"/>
  <c r="X3393" i="6" s="1" a="1"/>
  <c r="X3393" i="6" s="1"/>
  <c r="T3405" i="6"/>
  <c r="P3405" i="6"/>
  <c r="AI3405" i="6"/>
  <c r="AE3405" i="6"/>
  <c r="AA3405" i="6"/>
  <c r="W3405" i="6"/>
  <c r="S3405" i="6"/>
  <c r="O3405" i="6"/>
  <c r="AJ3353" i="6"/>
  <c r="AF3353" i="6"/>
  <c r="AB3353" i="6"/>
  <c r="X3353" i="6"/>
  <c r="X3341" i="6" s="1" a="1"/>
  <c r="X3341" i="6" s="1"/>
  <c r="T3353" i="6"/>
  <c r="P3353" i="6"/>
  <c r="AL3405" i="6"/>
  <c r="V3405" i="6"/>
  <c r="AG3353" i="6"/>
  <c r="Y3353" i="6"/>
  <c r="Q3353" i="6"/>
  <c r="AH3405" i="6"/>
  <c r="R3405" i="6"/>
  <c r="AE3353" i="6"/>
  <c r="W3353" i="6"/>
  <c r="O3353" i="6"/>
  <c r="O3341" i="6" s="1" a="1"/>
  <c r="O3341" i="6" s="1"/>
  <c r="AD3405" i="6"/>
  <c r="N3405" i="6"/>
  <c r="AK3353" i="6"/>
  <c r="AC3353" i="6"/>
  <c r="U3353" i="6"/>
  <c r="AI3353" i="6"/>
  <c r="AA3353" i="6"/>
  <c r="Z3405" i="6"/>
  <c r="S3353" i="6"/>
  <c r="AD3445" i="6"/>
  <c r="Y137" i="14"/>
  <c r="W2835" i="6"/>
  <c r="W69" i="9"/>
  <c r="X93" i="9"/>
  <c r="W74" i="9"/>
  <c r="W68" i="9"/>
  <c r="X2837" i="6" s="1"/>
  <c r="W65" i="9"/>
  <c r="W63" i="9"/>
  <c r="W57" i="9"/>
  <c r="W4" i="9"/>
  <c r="W92" i="9"/>
  <c r="W66" i="9"/>
  <c r="W64" i="9"/>
  <c r="W61" i="9"/>
  <c r="X3005" i="6" s="1"/>
  <c r="W58" i="9"/>
  <c r="W16" i="9"/>
  <c r="W8" i="9"/>
  <c r="X2670" i="6" s="1"/>
  <c r="W3" i="9"/>
  <c r="X2668" i="6" s="1"/>
  <c r="E43" i="8"/>
  <c r="D45" i="8"/>
  <c r="E643" i="6"/>
  <c r="E645" i="6" s="1"/>
  <c r="AI21" i="13"/>
  <c r="AH22" i="13"/>
  <c r="Y201" i="14"/>
  <c r="W62" i="12"/>
  <c r="Y169" i="14"/>
  <c r="Y60" i="14"/>
  <c r="AC57" i="13"/>
  <c r="AB3232" i="6"/>
  <c r="X3232" i="6"/>
  <c r="T3232" i="6"/>
  <c r="P3232" i="6"/>
  <c r="L3232" i="6"/>
  <c r="H3232" i="6"/>
  <c r="AC3180" i="6"/>
  <c r="Y3180" i="6"/>
  <c r="U3180" i="6"/>
  <c r="Q3180" i="6"/>
  <c r="M3180" i="6"/>
  <c r="I3180" i="6"/>
  <c r="AA3232" i="6"/>
  <c r="W3232" i="6"/>
  <c r="S3232" i="6"/>
  <c r="O3232" i="6"/>
  <c r="K3232" i="6"/>
  <c r="K3228" i="6" s="1" a="1"/>
  <c r="K3228" i="6" s="1"/>
  <c r="G3232" i="6"/>
  <c r="AB3180" i="6"/>
  <c r="X3180" i="6"/>
  <c r="T3180" i="6"/>
  <c r="P3180" i="6"/>
  <c r="L3180" i="6"/>
  <c r="H3180" i="6"/>
  <c r="Y3232" i="6"/>
  <c r="Q3232" i="6"/>
  <c r="I3232" i="6"/>
  <c r="Z3180" i="6"/>
  <c r="R3180" i="6"/>
  <c r="R3176" i="6" s="1" a="1"/>
  <c r="R3176" i="6" s="1"/>
  <c r="J3180" i="6"/>
  <c r="AD3232" i="6"/>
  <c r="V3232" i="6"/>
  <c r="N3232" i="6"/>
  <c r="F3232" i="6"/>
  <c r="W3180" i="6"/>
  <c r="O3180" i="6"/>
  <c r="G3180" i="6"/>
  <c r="AC3232" i="6"/>
  <c r="U3232" i="6"/>
  <c r="M3232" i="6"/>
  <c r="AD3180" i="6"/>
  <c r="V3180" i="6"/>
  <c r="N3180" i="6"/>
  <c r="F3180" i="6"/>
  <c r="Z3232" i="6"/>
  <c r="R3232" i="6"/>
  <c r="J3232" i="6"/>
  <c r="S3180" i="6"/>
  <c r="K3180" i="6"/>
  <c r="AA3180" i="6"/>
  <c r="Z3070" i="6"/>
  <c r="V3070" i="6"/>
  <c r="R3070" i="6"/>
  <c r="N3070" i="6"/>
  <c r="Y3018" i="6"/>
  <c r="U3018" i="6"/>
  <c r="Q3018" i="6"/>
  <c r="M3018" i="6"/>
  <c r="Y3070" i="6"/>
  <c r="U3070" i="6"/>
  <c r="Q3070" i="6"/>
  <c r="M3070" i="6"/>
  <c r="X3018" i="6"/>
  <c r="T3018" i="6"/>
  <c r="P3018" i="6"/>
  <c r="L3018" i="6"/>
  <c r="W3070" i="6"/>
  <c r="O3070" i="6"/>
  <c r="V3018" i="6"/>
  <c r="N3018" i="6"/>
  <c r="T3070" i="6"/>
  <c r="L3070" i="6"/>
  <c r="S3018" i="6"/>
  <c r="S3070" i="6"/>
  <c r="Z3018" i="6"/>
  <c r="R3018" i="6"/>
  <c r="X3070" i="6"/>
  <c r="W3018" i="6"/>
  <c r="P3070" i="6"/>
  <c r="O3018" i="6"/>
  <c r="BJ3445" i="6"/>
  <c r="BA3423" i="6"/>
  <c r="AW3423" i="6"/>
  <c r="AS3423" i="6"/>
  <c r="AO3423" i="6"/>
  <c r="AK3423" i="6"/>
  <c r="AG3423" i="6"/>
  <c r="BB3371" i="6"/>
  <c r="AX3371" i="6"/>
  <c r="AT3371" i="6"/>
  <c r="AP3371" i="6"/>
  <c r="AL3371" i="6"/>
  <c r="AH3371" i="6"/>
  <c r="BD3423" i="6"/>
  <c r="AZ3423" i="6"/>
  <c r="AV3423" i="6"/>
  <c r="AR3423" i="6"/>
  <c r="AN3423" i="6"/>
  <c r="AJ3423" i="6"/>
  <c r="AF3423" i="6"/>
  <c r="BC3423" i="6"/>
  <c r="AY3423" i="6"/>
  <c r="AU3423" i="6"/>
  <c r="AQ3423" i="6"/>
  <c r="AM3423" i="6"/>
  <c r="AI3423" i="6"/>
  <c r="BD3371" i="6"/>
  <c r="AZ3371" i="6"/>
  <c r="AV3371" i="6"/>
  <c r="AR3371" i="6"/>
  <c r="AN3371" i="6"/>
  <c r="AJ3371" i="6"/>
  <c r="AF3371" i="6"/>
  <c r="BB3423" i="6"/>
  <c r="AL3423" i="6"/>
  <c r="AW3371" i="6"/>
  <c r="AO3371" i="6"/>
  <c r="AG3371" i="6"/>
  <c r="AX3423" i="6"/>
  <c r="AH3423" i="6"/>
  <c r="BC3371" i="6"/>
  <c r="AU3371" i="6"/>
  <c r="AM3371" i="6"/>
  <c r="AT3423" i="6"/>
  <c r="BA3371" i="6"/>
  <c r="AS3371" i="6"/>
  <c r="AK3371" i="6"/>
  <c r="AQ3371" i="6"/>
  <c r="AI3371" i="6"/>
  <c r="AP3423" i="6"/>
  <c r="AY3371" i="6"/>
  <c r="AW3417" i="6"/>
  <c r="AW3393" i="6" s="1" a="1"/>
  <c r="AW3393" i="6" s="1"/>
  <c r="AS3417" i="6"/>
  <c r="AO3417" i="6"/>
  <c r="AO3393" i="6" s="1" a="1"/>
  <c r="AO3393" i="6" s="1"/>
  <c r="AK3417" i="6"/>
  <c r="AG3417" i="6"/>
  <c r="AC3417" i="6"/>
  <c r="AX3365" i="6"/>
  <c r="AX3341" i="6" s="1" a="1"/>
  <c r="AX3341" i="6" s="1"/>
  <c r="AT3365" i="6"/>
  <c r="AP3365" i="6"/>
  <c r="AL3365" i="6"/>
  <c r="AH3365" i="6"/>
  <c r="AD3365" i="6"/>
  <c r="Z3365" i="6"/>
  <c r="AV3417" i="6"/>
  <c r="AR3417" i="6"/>
  <c r="AN3417" i="6"/>
  <c r="AJ3417" i="6"/>
  <c r="AF3417" i="6"/>
  <c r="AB3417" i="6"/>
  <c r="AU3417" i="6"/>
  <c r="AQ3417" i="6"/>
  <c r="AM3417" i="6"/>
  <c r="AI3417" i="6"/>
  <c r="AE3417" i="6"/>
  <c r="AA3417" i="6"/>
  <c r="AV3365" i="6"/>
  <c r="AR3365" i="6"/>
  <c r="AN3365" i="6"/>
  <c r="AJ3365" i="6"/>
  <c r="AF3365" i="6"/>
  <c r="AB3365" i="6"/>
  <c r="AL3417" i="6"/>
  <c r="AW3365" i="6"/>
  <c r="AO3365" i="6"/>
  <c r="AG3365" i="6"/>
  <c r="AX3417" i="6"/>
  <c r="AH3417" i="6"/>
  <c r="AU3365" i="6"/>
  <c r="AU3341" i="6" s="1" a="1"/>
  <c r="AU3341" i="6" s="1"/>
  <c r="AM3365" i="6"/>
  <c r="AE3365" i="6"/>
  <c r="AT3417" i="6"/>
  <c r="AD3417" i="6"/>
  <c r="AS3365" i="6"/>
  <c r="AK3365" i="6"/>
  <c r="AC3365" i="6"/>
  <c r="AQ3365" i="6"/>
  <c r="AP3417" i="6"/>
  <c r="AI3365" i="6"/>
  <c r="Z3417" i="6"/>
  <c r="AA3365" i="6"/>
  <c r="G3176" i="6" a="1"/>
  <c r="G3176" i="6" s="1"/>
  <c r="BS3228" i="6" a="1"/>
  <c r="BS3228" i="6" s="1"/>
  <c r="AV3252" i="6"/>
  <c r="AR3252" i="6"/>
  <c r="AN3252" i="6"/>
  <c r="AJ3252" i="6"/>
  <c r="AF3252" i="6"/>
  <c r="AB3252" i="6"/>
  <c r="AW3200" i="6"/>
  <c r="AS3200" i="6"/>
  <c r="AO3200" i="6"/>
  <c r="AK3200" i="6"/>
  <c r="AG3200" i="6"/>
  <c r="AC3200" i="6"/>
  <c r="AU3252" i="6"/>
  <c r="AU3228" i="6" s="1" a="1"/>
  <c r="AU3228" i="6" s="1"/>
  <c r="AQ3252" i="6"/>
  <c r="AM3252" i="6"/>
  <c r="AI3252" i="6"/>
  <c r="AE3252" i="6"/>
  <c r="AA3252" i="6"/>
  <c r="AV3200" i="6"/>
  <c r="AV3176" i="6" s="1" a="1"/>
  <c r="AV3176" i="6" s="1"/>
  <c r="AR3200" i="6"/>
  <c r="AN3200" i="6"/>
  <c r="AJ3200" i="6"/>
  <c r="AF3200" i="6"/>
  <c r="AB3200" i="6"/>
  <c r="AW3252" i="6"/>
  <c r="AO3252" i="6"/>
  <c r="AG3252" i="6"/>
  <c r="AX3200" i="6"/>
  <c r="AP3200" i="6"/>
  <c r="AH3200" i="6"/>
  <c r="Z3200" i="6"/>
  <c r="AT3252" i="6"/>
  <c r="AL3252" i="6"/>
  <c r="AD3252" i="6"/>
  <c r="AU3200" i="6"/>
  <c r="AU3176" i="6" s="1" a="1"/>
  <c r="AU3176" i="6" s="1"/>
  <c r="AM3200" i="6"/>
  <c r="AE3200" i="6"/>
  <c r="AS3252" i="6"/>
  <c r="AK3252" i="6"/>
  <c r="AC3252" i="6"/>
  <c r="AT3200" i="6"/>
  <c r="AL3200" i="6"/>
  <c r="AD3200" i="6"/>
  <c r="AX3252" i="6"/>
  <c r="AP3252" i="6"/>
  <c r="AH3252" i="6"/>
  <c r="Z3252" i="6"/>
  <c r="AQ3200" i="6"/>
  <c r="AI3200" i="6"/>
  <c r="AA3200" i="6"/>
  <c r="Y2903" i="6"/>
  <c r="U2903" i="6"/>
  <c r="Q2903" i="6"/>
  <c r="M2903" i="6"/>
  <c r="X2851" i="6"/>
  <c r="T2851" i="6"/>
  <c r="P2851" i="6"/>
  <c r="L2851" i="6"/>
  <c r="X2903" i="6"/>
  <c r="S2903" i="6"/>
  <c r="N2903" i="6"/>
  <c r="W2851" i="6"/>
  <c r="R2851" i="6"/>
  <c r="M2851" i="6"/>
  <c r="W2903" i="6"/>
  <c r="R2903" i="6"/>
  <c r="L2903" i="6"/>
  <c r="V2851" i="6"/>
  <c r="Q2851" i="6"/>
  <c r="V2903" i="6"/>
  <c r="P2903" i="6"/>
  <c r="O2903" i="6"/>
  <c r="S2851" i="6"/>
  <c r="Z2851" i="6"/>
  <c r="O2851" i="6"/>
  <c r="Z2903" i="6"/>
  <c r="Y2851" i="6"/>
  <c r="N2851" i="6"/>
  <c r="T2903" i="6"/>
  <c r="U2851" i="6"/>
  <c r="E3176" i="6" a="1"/>
  <c r="E3176" i="6" s="1"/>
  <c r="BB3281" i="6"/>
  <c r="AX3281" i="6"/>
  <c r="AP3281" i="6"/>
  <c r="AD3281" i="6"/>
  <c r="Z3281" i="6"/>
  <c r="Q2897" i="6"/>
  <c r="M2897" i="6"/>
  <c r="I2897" i="6"/>
  <c r="T2845" i="6"/>
  <c r="P2845" i="6"/>
  <c r="L2845" i="6"/>
  <c r="H2845" i="6"/>
  <c r="R2897" i="6"/>
  <c r="L2897" i="6"/>
  <c r="G2897" i="6"/>
  <c r="Q2845" i="6"/>
  <c r="K2845" i="6"/>
  <c r="F2845" i="6"/>
  <c r="P2897" i="6"/>
  <c r="K2897" i="6"/>
  <c r="F2897" i="6"/>
  <c r="O2845" i="6"/>
  <c r="J2845" i="6"/>
  <c r="T2897" i="6"/>
  <c r="T2893" i="6" s="1" a="1"/>
  <c r="T2893" i="6" s="1"/>
  <c r="O2897" i="6"/>
  <c r="J2897" i="6"/>
  <c r="N2897" i="6"/>
  <c r="R2845" i="6"/>
  <c r="R2841" i="6" s="1" a="1"/>
  <c r="R2841" i="6" s="1"/>
  <c r="R2999" i="6" s="1"/>
  <c r="G2845" i="6"/>
  <c r="H2897" i="6"/>
  <c r="N2845" i="6"/>
  <c r="M2845" i="6"/>
  <c r="S2897" i="6"/>
  <c r="S2893" i="6" s="1" a="1"/>
  <c r="S2893" i="6" s="1"/>
  <c r="S2845" i="6"/>
  <c r="I2845" i="6"/>
  <c r="BQ3281" i="6"/>
  <c r="BM3281" i="6"/>
  <c r="BI3281" i="6"/>
  <c r="BA3281" i="6"/>
  <c r="AW3281" i="6"/>
  <c r="AJ3239" i="6"/>
  <c r="AF3239" i="6"/>
  <c r="AB3239" i="6"/>
  <c r="X3239" i="6"/>
  <c r="T3239" i="6"/>
  <c r="P3239" i="6"/>
  <c r="AK3187" i="6"/>
  <c r="AG3187" i="6"/>
  <c r="AC3187" i="6"/>
  <c r="Y3187" i="6"/>
  <c r="U3187" i="6"/>
  <c r="Q3187" i="6"/>
  <c r="M3187" i="6"/>
  <c r="AI3239" i="6"/>
  <c r="AI3228" i="6" s="1" a="1"/>
  <c r="AI3228" i="6" s="1"/>
  <c r="AE3239" i="6"/>
  <c r="AA3239" i="6"/>
  <c r="W3239" i="6"/>
  <c r="S3239" i="6"/>
  <c r="O3239" i="6"/>
  <c r="AJ3187" i="6"/>
  <c r="AF3187" i="6"/>
  <c r="AF3176" i="6" s="1" a="1"/>
  <c r="AF3176" i="6" s="1"/>
  <c r="AB3187" i="6"/>
  <c r="X3187" i="6"/>
  <c r="T3187" i="6"/>
  <c r="P3187" i="6"/>
  <c r="AG3239" i="6"/>
  <c r="Y3239" i="6"/>
  <c r="Q3239" i="6"/>
  <c r="AH3187" i="6"/>
  <c r="Z3187" i="6"/>
  <c r="R3187" i="6"/>
  <c r="AD3239" i="6"/>
  <c r="V3239" i="6"/>
  <c r="N3239" i="6"/>
  <c r="AE3187" i="6"/>
  <c r="W3187" i="6"/>
  <c r="O3187" i="6"/>
  <c r="AK3239" i="6"/>
  <c r="AC3239" i="6"/>
  <c r="U3239" i="6"/>
  <c r="M3239" i="6"/>
  <c r="AD3187" i="6"/>
  <c r="V3187" i="6"/>
  <c r="N3187" i="6"/>
  <c r="AH3239" i="6"/>
  <c r="Z3239" i="6"/>
  <c r="R3239" i="6"/>
  <c r="AA3187" i="6"/>
  <c r="S3187" i="6"/>
  <c r="AI3187" i="6"/>
  <c r="AI3176" i="6" s="1" a="1"/>
  <c r="AI3176" i="6" s="1"/>
  <c r="AB3231" i="6"/>
  <c r="X3231" i="6"/>
  <c r="T3231" i="6"/>
  <c r="T3228" i="6" s="1" a="1"/>
  <c r="T3228" i="6" s="1"/>
  <c r="P3231" i="6"/>
  <c r="P3228" i="6" s="1" a="1"/>
  <c r="P3228" i="6" s="1"/>
  <c r="L3231" i="6"/>
  <c r="L3228" i="6" s="1" a="1"/>
  <c r="L3228" i="6" s="1"/>
  <c r="H3231" i="6"/>
  <c r="H3228" i="6" s="1" a="1"/>
  <c r="H3228" i="6" s="1"/>
  <c r="AC3179" i="6"/>
  <c r="Y3179" i="6"/>
  <c r="U3179" i="6"/>
  <c r="U3176" i="6" s="1" a="1"/>
  <c r="U3176" i="6" s="1"/>
  <c r="Q3179" i="6"/>
  <c r="Q3176" i="6" s="1" a="1"/>
  <c r="Q3176" i="6" s="1"/>
  <c r="M3179" i="6"/>
  <c r="M3176" i="6" s="1" a="1"/>
  <c r="M3176" i="6" s="1"/>
  <c r="I3179" i="6"/>
  <c r="I3176" i="6" s="1" a="1"/>
  <c r="I3176" i="6" s="1"/>
  <c r="E3179" i="6"/>
  <c r="AA3231" i="6"/>
  <c r="AA3228" i="6" s="1" a="1"/>
  <c r="AA3228" i="6" s="1"/>
  <c r="W3231" i="6"/>
  <c r="W3228" i="6" s="1" a="1"/>
  <c r="W3228" i="6" s="1"/>
  <c r="S3231" i="6"/>
  <c r="S3228" i="6" s="1" a="1"/>
  <c r="S3228" i="6" s="1"/>
  <c r="O3231" i="6"/>
  <c r="O3228" i="6" s="1" a="1"/>
  <c r="O3228" i="6" s="1"/>
  <c r="K3231" i="6"/>
  <c r="G3231" i="6"/>
  <c r="G3228" i="6" s="1" a="1"/>
  <c r="G3228" i="6" s="1"/>
  <c r="AB3179" i="6"/>
  <c r="AB3176" i="6" s="1" a="1"/>
  <c r="AB3176" i="6" s="1"/>
  <c r="X3179" i="6"/>
  <c r="X3176" i="6" s="1" a="1"/>
  <c r="X3176" i="6" s="1"/>
  <c r="T3179" i="6"/>
  <c r="T3176" i="6" s="1" a="1"/>
  <c r="T3176" i="6" s="1"/>
  <c r="P3179" i="6"/>
  <c r="P3176" i="6" s="1" a="1"/>
  <c r="P3176" i="6" s="1"/>
  <c r="L3179" i="6"/>
  <c r="L3176" i="6" s="1" a="1"/>
  <c r="L3176" i="6" s="1"/>
  <c r="H3179" i="6"/>
  <c r="H3176" i="6" s="1" a="1"/>
  <c r="H3176" i="6" s="1"/>
  <c r="Y3231" i="6"/>
  <c r="Y3228" i="6" s="1" a="1"/>
  <c r="Y3228" i="6" s="1"/>
  <c r="Q3231" i="6"/>
  <c r="Q3228" i="6" s="1" a="1"/>
  <c r="Q3228" i="6" s="1"/>
  <c r="I3231" i="6"/>
  <c r="I3228" i="6" s="1" a="1"/>
  <c r="I3228" i="6" s="1"/>
  <c r="Z3179" i="6"/>
  <c r="Z3176" i="6" s="1" a="1"/>
  <c r="Z3176" i="6" s="1"/>
  <c r="R3179" i="6"/>
  <c r="J3179" i="6"/>
  <c r="J3176" i="6" s="1" a="1"/>
  <c r="J3176" i="6" s="1"/>
  <c r="V3231" i="6"/>
  <c r="V3228" i="6" s="1" a="1"/>
  <c r="V3228" i="6" s="1"/>
  <c r="N3231" i="6"/>
  <c r="N3228" i="6" s="1" a="1"/>
  <c r="N3228" i="6" s="1"/>
  <c r="F3231" i="6"/>
  <c r="F3228" i="6" s="1" a="1"/>
  <c r="F3228" i="6" s="1"/>
  <c r="W3179" i="6"/>
  <c r="W3176" i="6" s="1" a="1"/>
  <c r="W3176" i="6" s="1"/>
  <c r="O3179" i="6"/>
  <c r="O3176" i="6" s="1" a="1"/>
  <c r="O3176" i="6" s="1"/>
  <c r="G3179" i="6"/>
  <c r="AC3231" i="6"/>
  <c r="U3231" i="6"/>
  <c r="U3228" i="6" s="1" a="1"/>
  <c r="U3228" i="6" s="1"/>
  <c r="M3231" i="6"/>
  <c r="M3228" i="6" s="1" a="1"/>
  <c r="M3228" i="6" s="1"/>
  <c r="E3231" i="6"/>
  <c r="E3228" i="6" s="1" a="1"/>
  <c r="E3228" i="6" s="1"/>
  <c r="V3179" i="6"/>
  <c r="V3176" i="6" s="1" a="1"/>
  <c r="V3176" i="6" s="1"/>
  <c r="N3179" i="6"/>
  <c r="F3179" i="6"/>
  <c r="F3176" i="6" s="1" a="1"/>
  <c r="F3176" i="6" s="1"/>
  <c r="Z3231" i="6"/>
  <c r="R3231" i="6"/>
  <c r="J3231" i="6"/>
  <c r="J3228" i="6" s="1" a="1"/>
  <c r="J3228" i="6" s="1"/>
  <c r="K3179" i="6"/>
  <c r="K3176" i="6" s="1" a="1"/>
  <c r="K3176" i="6" s="1"/>
  <c r="AA3179" i="6"/>
  <c r="S3179" i="6"/>
  <c r="E3000" i="6"/>
  <c r="BV3176" i="6" a="1"/>
  <c r="BV3176" i="6" s="1"/>
  <c r="AF3077" i="6"/>
  <c r="AB3077" i="6"/>
  <c r="X3077" i="6"/>
  <c r="T3077" i="6"/>
  <c r="AE3025" i="6"/>
  <c r="AA3025" i="6"/>
  <c r="W3025" i="6"/>
  <c r="S3025" i="6"/>
  <c r="AE3077" i="6"/>
  <c r="AA3077" i="6"/>
  <c r="W3077" i="6"/>
  <c r="S3077" i="6"/>
  <c r="AD3025" i="6"/>
  <c r="Z3025" i="6"/>
  <c r="V3025" i="6"/>
  <c r="AC3077" i="6"/>
  <c r="U3077" i="6"/>
  <c r="AB3025" i="6"/>
  <c r="T3025" i="6"/>
  <c r="Z3077" i="6"/>
  <c r="AG3025" i="6"/>
  <c r="Y3025" i="6"/>
  <c r="AG3077" i="6"/>
  <c r="Y3077" i="6"/>
  <c r="AF3025" i="6"/>
  <c r="X3025" i="6"/>
  <c r="V3077" i="6"/>
  <c r="U3025" i="6"/>
  <c r="AD3077" i="6"/>
  <c r="AC3025" i="6"/>
  <c r="T3065" i="6"/>
  <c r="P3065" i="6"/>
  <c r="L3065" i="6"/>
  <c r="H3065" i="6"/>
  <c r="S3013" i="6"/>
  <c r="O3013" i="6"/>
  <c r="K3013" i="6"/>
  <c r="G3013" i="6"/>
  <c r="S3065" i="6"/>
  <c r="O3065" i="6"/>
  <c r="K3065" i="6"/>
  <c r="G3065" i="6"/>
  <c r="R3013" i="6"/>
  <c r="N3013" i="6"/>
  <c r="J3013" i="6"/>
  <c r="U3065" i="6"/>
  <c r="U3060" i="6" s="1" a="1"/>
  <c r="U3060" i="6" s="1"/>
  <c r="M3065" i="6"/>
  <c r="T3013" i="6"/>
  <c r="L3013" i="6"/>
  <c r="R3065" i="6"/>
  <c r="J3065" i="6"/>
  <c r="Q3013" i="6"/>
  <c r="I3013" i="6"/>
  <c r="Q3065" i="6"/>
  <c r="I3065" i="6"/>
  <c r="P3013" i="6"/>
  <c r="H3013" i="6"/>
  <c r="U3013" i="6"/>
  <c r="U3008" i="6" s="1" a="1"/>
  <c r="U3008" i="6" s="1"/>
  <c r="N3065" i="6"/>
  <c r="M3013" i="6"/>
  <c r="U3113" i="6"/>
  <c r="I3113" i="6"/>
  <c r="K3113" i="6"/>
  <c r="P3061" i="6"/>
  <c r="P3060" i="6" s="1" a="1"/>
  <c r="P3060" i="6" s="1"/>
  <c r="L3061" i="6"/>
  <c r="H3061" i="6"/>
  <c r="D3061" i="6"/>
  <c r="O3009" i="6"/>
  <c r="K3009" i="6"/>
  <c r="G3009" i="6"/>
  <c r="C3009" i="6"/>
  <c r="C3008" i="6" s="1" a="1"/>
  <c r="C3008" i="6" s="1"/>
  <c r="O3061" i="6"/>
  <c r="O3060" i="6" s="1" a="1"/>
  <c r="O3060" i="6" s="1"/>
  <c r="K3061" i="6"/>
  <c r="G3061" i="6"/>
  <c r="C3061" i="6"/>
  <c r="C3060" i="6" s="1" a="1"/>
  <c r="C3060" i="6" s="1"/>
  <c r="N3009" i="6"/>
  <c r="N3008" i="6" s="1" a="1"/>
  <c r="N3008" i="6" s="1"/>
  <c r="J3009" i="6"/>
  <c r="F3009" i="6"/>
  <c r="M3061" i="6"/>
  <c r="E3061" i="6"/>
  <c r="E3060" i="6" s="1" a="1"/>
  <c r="E3060" i="6" s="1"/>
  <c r="E3167" i="6" s="1"/>
  <c r="L3009" i="6"/>
  <c r="D3009" i="6"/>
  <c r="J3061" i="6"/>
  <c r="Q3009" i="6"/>
  <c r="I3009" i="6"/>
  <c r="Q3061" i="6"/>
  <c r="I3061" i="6"/>
  <c r="P3009" i="6"/>
  <c r="H3009" i="6"/>
  <c r="N3061" i="6"/>
  <c r="M3009" i="6"/>
  <c r="F3061" i="6"/>
  <c r="F3060" i="6" s="1" a="1"/>
  <c r="F3060" i="6" s="1"/>
  <c r="E3009" i="6"/>
  <c r="P3113" i="6"/>
  <c r="P3167" i="6" s="1"/>
  <c r="AE2910" i="6"/>
  <c r="AA2910" i="6"/>
  <c r="W2910" i="6"/>
  <c r="S2910" i="6"/>
  <c r="AD2858" i="6"/>
  <c r="Z2858" i="6"/>
  <c r="V2858" i="6"/>
  <c r="AG2910" i="6"/>
  <c r="AB2910" i="6"/>
  <c r="V2910" i="6"/>
  <c r="AF2858" i="6"/>
  <c r="AA2858" i="6"/>
  <c r="U2858" i="6"/>
  <c r="AF2910" i="6"/>
  <c r="Z2910" i="6"/>
  <c r="U2910" i="6"/>
  <c r="AE2858" i="6"/>
  <c r="Y2858" i="6"/>
  <c r="T2858" i="6"/>
  <c r="AD2910" i="6"/>
  <c r="Y2910" i="6"/>
  <c r="T2910" i="6"/>
  <c r="X2910" i="6"/>
  <c r="AB2858" i="6"/>
  <c r="X2858" i="6"/>
  <c r="AG2858" i="6"/>
  <c r="W2858" i="6"/>
  <c r="AC2910" i="6"/>
  <c r="AC2858" i="6"/>
  <c r="S2858" i="6"/>
  <c r="J2946" i="6"/>
  <c r="J3000" i="6" s="1"/>
  <c r="V2946" i="6"/>
  <c r="H2946" i="6"/>
  <c r="H3000" i="6" s="1"/>
  <c r="F3000" i="6"/>
  <c r="V2945" i="6"/>
  <c r="V2998" i="6" s="1"/>
  <c r="G2946" i="6"/>
  <c r="G3000" i="6" s="1"/>
  <c r="X2230" i="6"/>
  <c r="X2231" i="6"/>
  <c r="X2225" i="6"/>
  <c r="X2228" i="6"/>
  <c r="Y2226" i="6"/>
  <c r="Y13" i="5"/>
  <c r="I2664" i="6"/>
  <c r="I2665" i="6"/>
  <c r="Y2004" i="6"/>
  <c r="Y2008" i="6"/>
  <c r="Z2006" i="6"/>
  <c r="Y1104" i="6"/>
  <c r="X1108" i="6"/>
  <c r="X1102" i="6"/>
  <c r="AA960" i="6"/>
  <c r="AG960" i="6"/>
  <c r="AA1064" i="6"/>
  <c r="Y1012" i="6"/>
  <c r="X1064" i="6"/>
  <c r="AH1012" i="6"/>
  <c r="AF960" i="6"/>
  <c r="AE1012" i="6"/>
  <c r="L356" i="6"/>
  <c r="AL316" i="6"/>
  <c r="AH316" i="6"/>
  <c r="AD316" i="6"/>
  <c r="Z316" i="6"/>
  <c r="V316" i="6"/>
  <c r="R316" i="6"/>
  <c r="AM264" i="6"/>
  <c r="AI264" i="6"/>
  <c r="AE264" i="6"/>
  <c r="AA264" i="6"/>
  <c r="W264" i="6"/>
  <c r="S264" i="6"/>
  <c r="O264" i="6"/>
  <c r="AI316" i="6"/>
  <c r="W316" i="6"/>
  <c r="AB264" i="6"/>
  <c r="P264" i="6"/>
  <c r="AK316" i="6"/>
  <c r="AG316" i="6"/>
  <c r="AC316" i="6"/>
  <c r="Y316" i="6"/>
  <c r="U316" i="6"/>
  <c r="Q316" i="6"/>
  <c r="AL264" i="6"/>
  <c r="AH264" i="6"/>
  <c r="AD264" i="6"/>
  <c r="Z264" i="6"/>
  <c r="V264" i="6"/>
  <c r="R264" i="6"/>
  <c r="AE316" i="6"/>
  <c r="S316" i="6"/>
  <c r="AJ264" i="6"/>
  <c r="X264" i="6"/>
  <c r="AJ316" i="6"/>
  <c r="AF316" i="6"/>
  <c r="AB316" i="6"/>
  <c r="X316" i="6"/>
  <c r="T316" i="6"/>
  <c r="P316" i="6"/>
  <c r="AK264" i="6"/>
  <c r="AG264" i="6"/>
  <c r="AC264" i="6"/>
  <c r="Y264" i="6"/>
  <c r="U264" i="6"/>
  <c r="Q264" i="6"/>
  <c r="AM316" i="6"/>
  <c r="AA316" i="6"/>
  <c r="O316" i="6"/>
  <c r="AF264" i="6"/>
  <c r="T264" i="6"/>
  <c r="S356" i="6"/>
  <c r="AD307" i="6"/>
  <c r="Z307" i="6"/>
  <c r="V307" i="6"/>
  <c r="R307" i="6"/>
  <c r="N307" i="6"/>
  <c r="J307" i="6"/>
  <c r="F307" i="6"/>
  <c r="AA255" i="6"/>
  <c r="W255" i="6"/>
  <c r="S255" i="6"/>
  <c r="O255" i="6"/>
  <c r="K255" i="6"/>
  <c r="G255" i="6"/>
  <c r="S307" i="6"/>
  <c r="AB255" i="6"/>
  <c r="P255" i="6"/>
  <c r="AC307" i="6"/>
  <c r="Y307" i="6"/>
  <c r="U307" i="6"/>
  <c r="Q307" i="6"/>
  <c r="M307" i="6"/>
  <c r="I307" i="6"/>
  <c r="AD255" i="6"/>
  <c r="Z255" i="6"/>
  <c r="V255" i="6"/>
  <c r="R255" i="6"/>
  <c r="N255" i="6"/>
  <c r="J255" i="6"/>
  <c r="F255" i="6"/>
  <c r="W307" i="6"/>
  <c r="K307" i="6"/>
  <c r="T255" i="6"/>
  <c r="H255" i="6"/>
  <c r="AB307" i="6"/>
  <c r="X307" i="6"/>
  <c r="T307" i="6"/>
  <c r="P307" i="6"/>
  <c r="L307" i="6"/>
  <c r="H307" i="6"/>
  <c r="AC255" i="6"/>
  <c r="Y255" i="6"/>
  <c r="U255" i="6"/>
  <c r="Q255" i="6"/>
  <c r="M255" i="6"/>
  <c r="I255" i="6"/>
  <c r="AA307" i="6"/>
  <c r="O307" i="6"/>
  <c r="G307" i="6"/>
  <c r="X255" i="6"/>
  <c r="L255" i="6"/>
  <c r="AK960" i="6"/>
  <c r="Y656" i="6"/>
  <c r="Z654" i="6"/>
  <c r="Y652" i="6"/>
  <c r="R356" i="6"/>
  <c r="Y1781" i="6"/>
  <c r="X1779" i="6"/>
  <c r="X1783" i="6"/>
  <c r="M356" i="6"/>
  <c r="Y877" i="6"/>
  <c r="Y881" i="6"/>
  <c r="Z879" i="6"/>
  <c r="X2" i="18"/>
  <c r="Y2" i="18" s="1"/>
  <c r="Z2" i="18" s="1"/>
  <c r="AA2" i="18" s="1"/>
  <c r="AB2" i="18" s="1"/>
  <c r="AC2" i="18" s="1"/>
  <c r="AD2" i="18" s="1"/>
  <c r="AE2" i="18" s="1"/>
  <c r="AF2" i="18" s="1"/>
  <c r="AG2" i="18" s="1"/>
  <c r="AH2" i="18" s="1"/>
  <c r="AI2" i="18" s="1"/>
  <c r="AJ2" i="18" s="1"/>
  <c r="AK2" i="18" s="1"/>
  <c r="AL2" i="18" s="1"/>
  <c r="AM2" i="18" s="1"/>
  <c r="AN2" i="18" s="1"/>
  <c r="AO2" i="18" s="1"/>
  <c r="AP2" i="18" s="1"/>
  <c r="AQ2" i="18" s="1"/>
  <c r="AR2" i="18" s="1"/>
  <c r="AS2" i="18" s="1"/>
  <c r="AT2" i="18" s="1"/>
  <c r="AU2" i="18" s="1"/>
  <c r="AV2" i="18" s="1"/>
  <c r="AW2" i="18" s="1"/>
  <c r="AX2" i="18" s="1"/>
  <c r="AY2" i="18" s="1"/>
  <c r="AZ2" i="18" s="1"/>
  <c r="AA57" i="16"/>
  <c r="Y95" i="18"/>
  <c r="AB82" i="18"/>
  <c r="Y63" i="18"/>
  <c r="Z61" i="18"/>
  <c r="Z53" i="18"/>
  <c r="X19" i="18"/>
  <c r="Y19" i="18" s="1"/>
  <c r="Z19" i="18" s="1"/>
  <c r="AA19" i="18" s="1"/>
  <c r="AB19" i="18" s="1"/>
  <c r="AC19" i="18" s="1"/>
  <c r="AD19" i="18" s="1"/>
  <c r="AE19" i="18" s="1"/>
  <c r="AF19" i="18" s="1"/>
  <c r="AG19" i="18" s="1"/>
  <c r="AH19" i="18" s="1"/>
  <c r="AI19" i="18" s="1"/>
  <c r="AJ19" i="18" s="1"/>
  <c r="AK19" i="18" s="1"/>
  <c r="AL19" i="18" s="1"/>
  <c r="AM19" i="18" s="1"/>
  <c r="AN19" i="18" s="1"/>
  <c r="AO19" i="18" s="1"/>
  <c r="AP19" i="18" s="1"/>
  <c r="AQ19" i="18" s="1"/>
  <c r="AR19" i="18" s="1"/>
  <c r="AS19" i="18" s="1"/>
  <c r="AT19" i="18" s="1"/>
  <c r="AU19" i="18" s="1"/>
  <c r="AV19" i="18" s="1"/>
  <c r="AW19" i="18" s="1"/>
  <c r="AX19" i="18" s="1"/>
  <c r="AY19" i="18" s="1"/>
  <c r="AZ19" i="18" s="1"/>
  <c r="Y65" i="17"/>
  <c r="Z198" i="14"/>
  <c r="Z182" i="14"/>
  <c r="Z166" i="14"/>
  <c r="Z150" i="14"/>
  <c r="Z134" i="14"/>
  <c r="Z120" i="13"/>
  <c r="Y120" i="13"/>
  <c r="Z116" i="13"/>
  <c r="Y116" i="13"/>
  <c r="Y96" i="13"/>
  <c r="AB88" i="13"/>
  <c r="Z64" i="19"/>
  <c r="Z63" i="16"/>
  <c r="X29" i="16"/>
  <c r="Y29" i="16" s="1"/>
  <c r="Z29" i="16" s="1"/>
  <c r="AA29" i="16" s="1"/>
  <c r="AB29" i="16" s="1"/>
  <c r="AC29" i="16" s="1"/>
  <c r="AD29" i="16" s="1"/>
  <c r="AE29" i="16" s="1"/>
  <c r="AF29" i="16" s="1"/>
  <c r="AG29" i="16" s="1"/>
  <c r="AH29" i="16" s="1"/>
  <c r="AI29" i="16" s="1"/>
  <c r="AJ29" i="16" s="1"/>
  <c r="AK29" i="16" s="1"/>
  <c r="AL29" i="16" s="1"/>
  <c r="AM29" i="16" s="1"/>
  <c r="AN29" i="16" s="1"/>
  <c r="AO29" i="16" s="1"/>
  <c r="AP29" i="16" s="1"/>
  <c r="AQ29" i="16" s="1"/>
  <c r="AR29" i="16" s="1"/>
  <c r="AS29" i="16" s="1"/>
  <c r="AT29" i="16" s="1"/>
  <c r="AU29" i="16" s="1"/>
  <c r="AV29" i="16" s="1"/>
  <c r="AW29" i="16" s="1"/>
  <c r="AX29" i="16" s="1"/>
  <c r="AY29" i="16" s="1"/>
  <c r="AZ29" i="16" s="1"/>
  <c r="Y50" i="15"/>
  <c r="AC43" i="15"/>
  <c r="AD43" i="15"/>
  <c r="AB186" i="14"/>
  <c r="AB170" i="14"/>
  <c r="AB154" i="14"/>
  <c r="Y59" i="14"/>
  <c r="AB121" i="13"/>
  <c r="AA84" i="13"/>
  <c r="Z65" i="21"/>
  <c r="AA134" i="18"/>
  <c r="Y51" i="18"/>
  <c r="AB67" i="17"/>
  <c r="Z63" i="15"/>
  <c r="Y123" i="14"/>
  <c r="Z121" i="14"/>
  <c r="Y115" i="14"/>
  <c r="Z113" i="14"/>
  <c r="Y107" i="14"/>
  <c r="Z105" i="14"/>
  <c r="Y99" i="14"/>
  <c r="Z97" i="14"/>
  <c r="Y91" i="14"/>
  <c r="Z89" i="14"/>
  <c r="Y83" i="14"/>
  <c r="Z81" i="14"/>
  <c r="Y75" i="14"/>
  <c r="Z73" i="14"/>
  <c r="Y67" i="14"/>
  <c r="Z65" i="14"/>
  <c r="AA121" i="13"/>
  <c r="AA190" i="14"/>
  <c r="AA158" i="14"/>
  <c r="Y64" i="14"/>
  <c r="Z64" i="14"/>
  <c r="Y118" i="13"/>
  <c r="Z118" i="13"/>
  <c r="AA110" i="13"/>
  <c r="Z102" i="13"/>
  <c r="Y89" i="13"/>
  <c r="X26" i="7"/>
  <c r="Y23" i="7"/>
  <c r="S3445" i="6"/>
  <c r="AB88" i="18"/>
  <c r="AC88" i="18"/>
  <c r="AD88" i="18" s="1"/>
  <c r="Z80" i="18"/>
  <c r="Z203" i="14"/>
  <c r="Y197" i="14"/>
  <c r="Z171" i="14"/>
  <c r="Y165" i="14"/>
  <c r="Z139" i="14"/>
  <c r="Y133" i="14"/>
  <c r="Y100" i="14"/>
  <c r="AC111" i="13"/>
  <c r="AC107" i="13"/>
  <c r="Z90" i="13"/>
  <c r="Z66" i="13"/>
  <c r="X48" i="13"/>
  <c r="Z50" i="13"/>
  <c r="W26" i="7"/>
  <c r="V3445" i="6"/>
  <c r="F3445" i="6"/>
  <c r="F3499" i="6" s="1"/>
  <c r="Y70" i="15"/>
  <c r="Z70" i="15"/>
  <c r="AA62" i="15"/>
  <c r="Y54" i="15"/>
  <c r="U26" i="14"/>
  <c r="T26" i="14" s="1"/>
  <c r="S26" i="14" s="1"/>
  <c r="R26" i="14" s="1"/>
  <c r="Q26" i="14" s="1"/>
  <c r="P26" i="14" s="1"/>
  <c r="O26" i="14" s="1"/>
  <c r="N26" i="14" s="1"/>
  <c r="M26" i="14" s="1"/>
  <c r="L26" i="14" s="1"/>
  <c r="K26" i="14" s="1"/>
  <c r="J26" i="14" s="1"/>
  <c r="I26" i="14" s="1"/>
  <c r="H26" i="14" s="1"/>
  <c r="G26" i="14" s="1"/>
  <c r="F26" i="14" s="1"/>
  <c r="E26" i="14" s="1"/>
  <c r="D26" i="14" s="1"/>
  <c r="C26" i="14" s="1"/>
  <c r="B26" i="14" s="1"/>
  <c r="U3" i="14"/>
  <c r="T3" i="14" s="1"/>
  <c r="S3" i="14" s="1"/>
  <c r="R3" i="14" s="1"/>
  <c r="Q3" i="14" s="1"/>
  <c r="P3" i="14" s="1"/>
  <c r="O3" i="14" s="1"/>
  <c r="N3" i="14" s="1"/>
  <c r="M3" i="14" s="1"/>
  <c r="L3" i="14" s="1"/>
  <c r="K3" i="14" s="1"/>
  <c r="J3" i="14" s="1"/>
  <c r="I3" i="14" s="1"/>
  <c r="H3" i="14" s="1"/>
  <c r="G3" i="14" s="1"/>
  <c r="F3" i="14" s="1"/>
  <c r="E3" i="14" s="1"/>
  <c r="D3" i="14" s="1"/>
  <c r="C3" i="14" s="1"/>
  <c r="B3" i="14" s="1"/>
  <c r="U24" i="14"/>
  <c r="T24" i="14" s="1"/>
  <c r="S24" i="14" s="1"/>
  <c r="R24" i="14" s="1"/>
  <c r="Q24" i="14" s="1"/>
  <c r="P24" i="14" s="1"/>
  <c r="O24" i="14" s="1"/>
  <c r="N24" i="14" s="1"/>
  <c r="M24" i="14" s="1"/>
  <c r="L24" i="14" s="1"/>
  <c r="K24" i="14" s="1"/>
  <c r="J24" i="14" s="1"/>
  <c r="I24" i="14" s="1"/>
  <c r="H24" i="14" s="1"/>
  <c r="G24" i="14" s="1"/>
  <c r="F24" i="14" s="1"/>
  <c r="E24" i="14" s="1"/>
  <c r="D24" i="14" s="1"/>
  <c r="C24" i="14" s="1"/>
  <c r="B24" i="14" s="1"/>
  <c r="U27" i="14"/>
  <c r="T27" i="14" s="1"/>
  <c r="S27" i="14" s="1"/>
  <c r="R27" i="14" s="1"/>
  <c r="Q27" i="14" s="1"/>
  <c r="P27" i="14" s="1"/>
  <c r="O27" i="14" s="1"/>
  <c r="N27" i="14" s="1"/>
  <c r="M27" i="14" s="1"/>
  <c r="L27" i="14" s="1"/>
  <c r="K27" i="14" s="1"/>
  <c r="J27" i="14" s="1"/>
  <c r="I27" i="14" s="1"/>
  <c r="H27" i="14" s="1"/>
  <c r="G27" i="14" s="1"/>
  <c r="F27" i="14" s="1"/>
  <c r="E27" i="14" s="1"/>
  <c r="D27" i="14" s="1"/>
  <c r="C27" i="14" s="1"/>
  <c r="B27" i="14" s="1"/>
  <c r="U2" i="14"/>
  <c r="T2" i="14" s="1"/>
  <c r="U23" i="14"/>
  <c r="AA62" i="13"/>
  <c r="BM3445" i="6"/>
  <c r="BE3445" i="6"/>
  <c r="AW3445" i="6"/>
  <c r="AO3445" i="6"/>
  <c r="Y3445" i="6"/>
  <c r="M3445" i="6"/>
  <c r="Y161" i="14"/>
  <c r="Z143" i="14"/>
  <c r="AC61" i="13"/>
  <c r="X25" i="13"/>
  <c r="Y25" i="13" s="1"/>
  <c r="Z25" i="13" s="1"/>
  <c r="AA25" i="13" s="1"/>
  <c r="AB25" i="13" s="1"/>
  <c r="AC25" i="13" s="1"/>
  <c r="AD25" i="13" s="1"/>
  <c r="AE25" i="13" s="1"/>
  <c r="AF25" i="13" s="1"/>
  <c r="AG25" i="13" s="1"/>
  <c r="AH25" i="13" s="1"/>
  <c r="AI25" i="13" s="1"/>
  <c r="AJ25" i="13" s="1"/>
  <c r="AK25" i="13" s="1"/>
  <c r="AL25" i="13" s="1"/>
  <c r="AM25" i="13" s="1"/>
  <c r="AN25" i="13" s="1"/>
  <c r="AO25" i="13" s="1"/>
  <c r="AP25" i="13" s="1"/>
  <c r="AQ25" i="13" s="1"/>
  <c r="AR25" i="13" s="1"/>
  <c r="AS25" i="13" s="1"/>
  <c r="AT25" i="13" s="1"/>
  <c r="AU25" i="13" s="1"/>
  <c r="AV25" i="13" s="1"/>
  <c r="AW25" i="13" s="1"/>
  <c r="AX25" i="13" s="1"/>
  <c r="AY25" i="13" s="1"/>
  <c r="AZ25" i="13" s="1"/>
  <c r="T24" i="13"/>
  <c r="V10" i="6"/>
  <c r="X32" i="13"/>
  <c r="Y32" i="13" s="1"/>
  <c r="Z32" i="13" s="1"/>
  <c r="AA32" i="13" s="1"/>
  <c r="AB32" i="13" s="1"/>
  <c r="AC32" i="13" s="1"/>
  <c r="AD32" i="13" s="1"/>
  <c r="AE32" i="13" s="1"/>
  <c r="AF32" i="13" s="1"/>
  <c r="AG32" i="13" s="1"/>
  <c r="AH32" i="13" s="1"/>
  <c r="AI32" i="13" s="1"/>
  <c r="AJ32" i="13" s="1"/>
  <c r="AK32" i="13" s="1"/>
  <c r="AL32" i="13" s="1"/>
  <c r="AM32" i="13" s="1"/>
  <c r="AN32" i="13" s="1"/>
  <c r="AO32" i="13" s="1"/>
  <c r="AP32" i="13" s="1"/>
  <c r="AQ32" i="13" s="1"/>
  <c r="AR32" i="13" s="1"/>
  <c r="AS32" i="13" s="1"/>
  <c r="AT32" i="13" s="1"/>
  <c r="AU32" i="13" s="1"/>
  <c r="AV32" i="13" s="1"/>
  <c r="AW32" i="13" s="1"/>
  <c r="AX32" i="13" s="1"/>
  <c r="AY32" i="13" s="1"/>
  <c r="AZ32" i="13" s="1"/>
  <c r="P2" i="13"/>
  <c r="R35" i="6"/>
  <c r="N226" i="10"/>
  <c r="N302" i="10" s="1"/>
  <c r="K18" i="9"/>
  <c r="K20" i="9"/>
  <c r="Q20" i="9" s="1"/>
  <c r="L2671" i="6"/>
  <c r="K24" i="9"/>
  <c r="K16" i="9"/>
  <c r="AN3445" i="6"/>
  <c r="BU3443" i="6"/>
  <c r="BU3393" i="6" s="1" a="1"/>
  <c r="BU3393" i="6" s="1"/>
  <c r="BQ3443" i="6"/>
  <c r="BM3443" i="6"/>
  <c r="BI3443" i="6"/>
  <c r="BE3443" i="6"/>
  <c r="BA3443" i="6"/>
  <c r="BV3391" i="6"/>
  <c r="BR3391" i="6"/>
  <c r="BN3391" i="6"/>
  <c r="BJ3391" i="6"/>
  <c r="BF3391" i="6"/>
  <c r="BB3391" i="6"/>
  <c r="BX3443" i="6"/>
  <c r="BX3393" i="6" s="1" a="1"/>
  <c r="BX3393" i="6" s="1"/>
  <c r="BT3443" i="6"/>
  <c r="BP3443" i="6"/>
  <c r="BL3443" i="6"/>
  <c r="BH3443" i="6"/>
  <c r="BD3443" i="6"/>
  <c r="AZ3443" i="6"/>
  <c r="BW3443" i="6"/>
  <c r="BS3443" i="6"/>
  <c r="BO3443" i="6"/>
  <c r="BK3443" i="6"/>
  <c r="BG3443" i="6"/>
  <c r="BC3443" i="6"/>
  <c r="BX3391" i="6"/>
  <c r="BX3341" i="6" s="1" a="1"/>
  <c r="BX3341" i="6" s="1"/>
  <c r="BT3391" i="6"/>
  <c r="BP3391" i="6"/>
  <c r="BL3391" i="6"/>
  <c r="BH3391" i="6"/>
  <c r="BD3391" i="6"/>
  <c r="AZ3391" i="6"/>
  <c r="BR3443" i="6"/>
  <c r="BB3443" i="6"/>
  <c r="BU3391" i="6"/>
  <c r="BM3391" i="6"/>
  <c r="BE3391" i="6"/>
  <c r="BN3443" i="6"/>
  <c r="BS3391" i="6"/>
  <c r="BK3391" i="6"/>
  <c r="BC3391" i="6"/>
  <c r="BJ3443" i="6"/>
  <c r="BQ3391" i="6"/>
  <c r="BI3391" i="6"/>
  <c r="BA3391" i="6"/>
  <c r="BV3443" i="6"/>
  <c r="BG3391" i="6"/>
  <c r="BF3443" i="6"/>
  <c r="BW3391" i="6"/>
  <c r="BW3341" i="6" s="1" a="1"/>
  <c r="BW3341" i="6" s="1"/>
  <c r="BO3391" i="6"/>
  <c r="BA3421" i="6"/>
  <c r="BA3393" i="6" s="1" a="1"/>
  <c r="BA3393" i="6" s="1"/>
  <c r="AW3421" i="6"/>
  <c r="AS3421" i="6"/>
  <c r="AO3421" i="6"/>
  <c r="AK3421" i="6"/>
  <c r="AG3421" i="6"/>
  <c r="BB3369" i="6"/>
  <c r="AX3369" i="6"/>
  <c r="AT3369" i="6"/>
  <c r="AP3369" i="6"/>
  <c r="AL3369" i="6"/>
  <c r="AH3369" i="6"/>
  <c r="AD3369" i="6"/>
  <c r="AZ3421" i="6"/>
  <c r="AV3421" i="6"/>
  <c r="AR3421" i="6"/>
  <c r="AN3421" i="6"/>
  <c r="AJ3421" i="6"/>
  <c r="AF3421" i="6"/>
  <c r="AY3421" i="6"/>
  <c r="AU3421" i="6"/>
  <c r="AQ3421" i="6"/>
  <c r="AM3421" i="6"/>
  <c r="AI3421" i="6"/>
  <c r="AE3421" i="6"/>
  <c r="AZ3369" i="6"/>
  <c r="AV3369" i="6"/>
  <c r="AR3369" i="6"/>
  <c r="AN3369" i="6"/>
  <c r="AJ3369" i="6"/>
  <c r="AF3369" i="6"/>
  <c r="BB3421" i="6"/>
  <c r="AL3421" i="6"/>
  <c r="AW3369" i="6"/>
  <c r="AO3369" i="6"/>
  <c r="AG3369" i="6"/>
  <c r="AX3421" i="6"/>
  <c r="AH3421" i="6"/>
  <c r="AU3369" i="6"/>
  <c r="AM3369" i="6"/>
  <c r="AE3369" i="6"/>
  <c r="AT3421" i="6"/>
  <c r="AD3421" i="6"/>
  <c r="BA3369" i="6"/>
  <c r="AS3369" i="6"/>
  <c r="AK3369" i="6"/>
  <c r="AY3369" i="6"/>
  <c r="AQ3369" i="6"/>
  <c r="AI3369" i="6"/>
  <c r="AP3421" i="6"/>
  <c r="AG3403" i="6"/>
  <c r="AC3403" i="6"/>
  <c r="Y3403" i="6"/>
  <c r="U3403" i="6"/>
  <c r="Q3403" i="6"/>
  <c r="M3403" i="6"/>
  <c r="AH3351" i="6"/>
  <c r="AD3351" i="6"/>
  <c r="Z3351" i="6"/>
  <c r="V3351" i="6"/>
  <c r="R3351" i="6"/>
  <c r="N3351" i="6"/>
  <c r="AJ3403" i="6"/>
  <c r="AF3403" i="6"/>
  <c r="AB3403" i="6"/>
  <c r="X3403" i="6"/>
  <c r="T3403" i="6"/>
  <c r="P3403" i="6"/>
  <c r="L3403" i="6"/>
  <c r="AI3403" i="6"/>
  <c r="AI3393" i="6" s="1" a="1"/>
  <c r="AI3393" i="6" s="1"/>
  <c r="AE3403" i="6"/>
  <c r="AA3403" i="6"/>
  <c r="W3403" i="6"/>
  <c r="S3403" i="6"/>
  <c r="O3403" i="6"/>
  <c r="AJ3351" i="6"/>
  <c r="AF3351" i="6"/>
  <c r="AB3351" i="6"/>
  <c r="X3351" i="6"/>
  <c r="T3351" i="6"/>
  <c r="P3351" i="6"/>
  <c r="L3351" i="6"/>
  <c r="V3403" i="6"/>
  <c r="AG3351" i="6"/>
  <c r="Y3351" i="6"/>
  <c r="Y3341" i="6" s="1" a="1"/>
  <c r="Y3341" i="6" s="1"/>
  <c r="Q3351" i="6"/>
  <c r="AH3403" i="6"/>
  <c r="R3403" i="6"/>
  <c r="AE3351" i="6"/>
  <c r="W3351" i="6"/>
  <c r="O3351" i="6"/>
  <c r="AD3403" i="6"/>
  <c r="N3403" i="6"/>
  <c r="N3393" i="6" s="1" a="1"/>
  <c r="N3393" i="6" s="1"/>
  <c r="AC3351" i="6"/>
  <c r="U3351" i="6"/>
  <c r="M3351" i="6"/>
  <c r="S3351" i="6"/>
  <c r="Z3403" i="6"/>
  <c r="AI3351" i="6"/>
  <c r="AA3351" i="6"/>
  <c r="AA3445" i="6"/>
  <c r="W3445" i="6"/>
  <c r="AY3281" i="6"/>
  <c r="BD3281" i="6"/>
  <c r="Y153" i="14"/>
  <c r="Z135" i="14"/>
  <c r="Y108" i="14"/>
  <c r="Y51" i="13"/>
  <c r="Z51" i="13"/>
  <c r="W61" i="12"/>
  <c r="X247" i="6" s="1"/>
  <c r="G15" i="9"/>
  <c r="G14" i="9"/>
  <c r="X5" i="9"/>
  <c r="N45" i="8"/>
  <c r="O43" i="8"/>
  <c r="O643" i="6"/>
  <c r="O645" i="6" s="1"/>
  <c r="X38" i="23"/>
  <c r="X31" i="22"/>
  <c r="X31" i="20"/>
  <c r="X31" i="19"/>
  <c r="X31" i="21"/>
  <c r="X36" i="17"/>
  <c r="X31" i="18"/>
  <c r="X48" i="14"/>
  <c r="X41" i="16"/>
  <c r="X33" i="15"/>
  <c r="Y6" i="7"/>
  <c r="X40" i="13"/>
  <c r="BI3431" i="6"/>
  <c r="BE3431" i="6"/>
  <c r="BA3431" i="6"/>
  <c r="AW3431" i="6"/>
  <c r="AS3431" i="6"/>
  <c r="AO3431" i="6"/>
  <c r="BJ3379" i="6"/>
  <c r="BF3379" i="6"/>
  <c r="BB3379" i="6"/>
  <c r="AX3379" i="6"/>
  <c r="AT3379" i="6"/>
  <c r="AP3379" i="6"/>
  <c r="BL3431" i="6"/>
  <c r="BH3431" i="6"/>
  <c r="BD3431" i="6"/>
  <c r="AZ3431" i="6"/>
  <c r="AV3431" i="6"/>
  <c r="AR3431" i="6"/>
  <c r="AN3431" i="6"/>
  <c r="BK3431" i="6"/>
  <c r="BK3393" i="6" s="1" a="1"/>
  <c r="BK3393" i="6" s="1"/>
  <c r="BG3431" i="6"/>
  <c r="BC3431" i="6"/>
  <c r="AY3431" i="6"/>
  <c r="AU3431" i="6"/>
  <c r="AQ3431" i="6"/>
  <c r="BL3379" i="6"/>
  <c r="BH3379" i="6"/>
  <c r="BD3379" i="6"/>
  <c r="AZ3379" i="6"/>
  <c r="AV3379" i="6"/>
  <c r="AR3379" i="6"/>
  <c r="AN3379" i="6"/>
  <c r="BB3431" i="6"/>
  <c r="BE3379" i="6"/>
  <c r="AW3379" i="6"/>
  <c r="AO3379" i="6"/>
  <c r="AX3431" i="6"/>
  <c r="BK3379" i="6"/>
  <c r="BK3341" i="6" s="1" a="1"/>
  <c r="BK3341" i="6" s="1"/>
  <c r="BC3379" i="6"/>
  <c r="AU3379" i="6"/>
  <c r="BJ3431" i="6"/>
  <c r="AT3431" i="6"/>
  <c r="BI3379" i="6"/>
  <c r="BA3379" i="6"/>
  <c r="AS3379" i="6"/>
  <c r="AY3379" i="6"/>
  <c r="AQ3379" i="6"/>
  <c r="BF3431" i="6"/>
  <c r="AP3431" i="6"/>
  <c r="BG3379" i="6"/>
  <c r="O3281" i="6"/>
  <c r="P3281" i="6"/>
  <c r="AD3076" i="6"/>
  <c r="Z3076" i="6"/>
  <c r="V3076" i="6"/>
  <c r="R3076" i="6"/>
  <c r="AC3024" i="6"/>
  <c r="Y3024" i="6"/>
  <c r="U3024" i="6"/>
  <c r="AC3076" i="6"/>
  <c r="Y3076" i="6"/>
  <c r="U3076" i="6"/>
  <c r="AF3024" i="6"/>
  <c r="AB3024" i="6"/>
  <c r="X3024" i="6"/>
  <c r="T3024" i="6"/>
  <c r="AA3076" i="6"/>
  <c r="S3076" i="6"/>
  <c r="Z3024" i="6"/>
  <c r="R3024" i="6"/>
  <c r="AF3076" i="6"/>
  <c r="X3076" i="6"/>
  <c r="AE3024" i="6"/>
  <c r="W3024" i="6"/>
  <c r="AE3076" i="6"/>
  <c r="W3076" i="6"/>
  <c r="AD3024" i="6"/>
  <c r="V3024" i="6"/>
  <c r="AB3076" i="6"/>
  <c r="AA3024" i="6"/>
  <c r="T3076" i="6"/>
  <c r="S3024" i="6"/>
  <c r="Y177" i="14"/>
  <c r="Z159" i="14"/>
  <c r="AD53" i="13"/>
  <c r="K43" i="8"/>
  <c r="J45" i="8"/>
  <c r="K643" i="6"/>
  <c r="K645" i="6" s="1"/>
  <c r="T38" i="23"/>
  <c r="T31" i="22"/>
  <c r="T31" i="21"/>
  <c r="T31" i="20"/>
  <c r="T31" i="19"/>
  <c r="T36" i="17"/>
  <c r="T48" i="14"/>
  <c r="T41" i="16"/>
  <c r="T31" i="18"/>
  <c r="T33" i="15"/>
  <c r="T40" i="13"/>
  <c r="S6" i="7"/>
  <c r="I3498" i="6"/>
  <c r="BW3393" i="6" a="1"/>
  <c r="BW3393" i="6" s="1"/>
  <c r="H3393" i="6" a="1"/>
  <c r="H3393" i="6" s="1"/>
  <c r="H3499" i="6" s="1"/>
  <c r="I3393" i="6" a="1"/>
  <c r="I3393" i="6" s="1"/>
  <c r="I3499" i="6" s="1"/>
  <c r="Y3393" i="6" a="1"/>
  <c r="Y3393" i="6" s="1"/>
  <c r="BI3429" i="6"/>
  <c r="BI3393" i="6" s="1" a="1"/>
  <c r="BI3393" i="6" s="1"/>
  <c r="BE3429" i="6"/>
  <c r="BA3429" i="6"/>
  <c r="AW3429" i="6"/>
  <c r="AS3429" i="6"/>
  <c r="AS3393" i="6" s="1" a="1"/>
  <c r="AS3393" i="6" s="1"/>
  <c r="AO3429" i="6"/>
  <c r="BJ3377" i="6"/>
  <c r="BF3377" i="6"/>
  <c r="BB3377" i="6"/>
  <c r="AX3377" i="6"/>
  <c r="AT3377" i="6"/>
  <c r="AP3377" i="6"/>
  <c r="AL3377" i="6"/>
  <c r="BH3429" i="6"/>
  <c r="BD3429" i="6"/>
  <c r="AZ3429" i="6"/>
  <c r="AV3429" i="6"/>
  <c r="AR3429" i="6"/>
  <c r="AN3429" i="6"/>
  <c r="BG3429" i="6"/>
  <c r="BG3393" i="6" s="1" a="1"/>
  <c r="BG3393" i="6" s="1"/>
  <c r="BC3429" i="6"/>
  <c r="BC3393" i="6" s="1" a="1"/>
  <c r="BC3393" i="6" s="1"/>
  <c r="AY3429" i="6"/>
  <c r="AU3429" i="6"/>
  <c r="AQ3429" i="6"/>
  <c r="AM3429" i="6"/>
  <c r="BH3377" i="6"/>
  <c r="BD3377" i="6"/>
  <c r="AZ3377" i="6"/>
  <c r="AV3377" i="6"/>
  <c r="AR3377" i="6"/>
  <c r="AN3377" i="6"/>
  <c r="BB3429" i="6"/>
  <c r="AL3429" i="6"/>
  <c r="BE3377" i="6"/>
  <c r="AW3377" i="6"/>
  <c r="AO3377" i="6"/>
  <c r="AX3429" i="6"/>
  <c r="BC3377" i="6"/>
  <c r="AU3377" i="6"/>
  <c r="AM3377" i="6"/>
  <c r="AM3341" i="6" s="1" a="1"/>
  <c r="AM3341" i="6" s="1"/>
  <c r="BJ3429" i="6"/>
  <c r="AT3429" i="6"/>
  <c r="BI3377" i="6"/>
  <c r="BA3377" i="6"/>
  <c r="AS3377" i="6"/>
  <c r="BG3377" i="6"/>
  <c r="AY3377" i="6"/>
  <c r="BF3429" i="6"/>
  <c r="AQ3377" i="6"/>
  <c r="AP3429" i="6"/>
  <c r="AP3445" i="6"/>
  <c r="AG3401" i="6"/>
  <c r="AG3393" i="6" s="1" a="1"/>
  <c r="AG3393" i="6" s="1"/>
  <c r="AC3401" i="6"/>
  <c r="AC3393" i="6" s="1" a="1"/>
  <c r="AC3393" i="6" s="1"/>
  <c r="Y3401" i="6"/>
  <c r="U3401" i="6"/>
  <c r="U3393" i="6" s="1" a="1"/>
  <c r="U3393" i="6" s="1"/>
  <c r="Q3401" i="6"/>
  <c r="Q3393" i="6" s="1" a="1"/>
  <c r="Q3393" i="6" s="1"/>
  <c r="M3401" i="6"/>
  <c r="M3393" i="6" s="1" a="1"/>
  <c r="M3393" i="6" s="1"/>
  <c r="AH3349" i="6"/>
  <c r="AD3349" i="6"/>
  <c r="Z3349" i="6"/>
  <c r="Z3341" i="6" s="1" a="1"/>
  <c r="Z3341" i="6" s="1"/>
  <c r="V3349" i="6"/>
  <c r="R3349" i="6"/>
  <c r="R3341" i="6" s="1" a="1"/>
  <c r="R3341" i="6" s="1"/>
  <c r="N3349" i="6"/>
  <c r="J3349" i="6"/>
  <c r="J3341" i="6" s="1" a="1"/>
  <c r="J3341" i="6" s="1"/>
  <c r="AF3401" i="6"/>
  <c r="AB3401" i="6"/>
  <c r="X3401" i="6"/>
  <c r="T3401" i="6"/>
  <c r="T3393" i="6" s="1" a="1"/>
  <c r="T3393" i="6" s="1"/>
  <c r="P3401" i="6"/>
  <c r="P3393" i="6" s="1" a="1"/>
  <c r="P3393" i="6" s="1"/>
  <c r="L3401" i="6"/>
  <c r="AE3401" i="6"/>
  <c r="AA3401" i="6"/>
  <c r="AA3393" i="6" s="1" a="1"/>
  <c r="AA3393" i="6" s="1"/>
  <c r="W3401" i="6"/>
  <c r="W3393" i="6" s="1" a="1"/>
  <c r="W3393" i="6" s="1"/>
  <c r="S3401" i="6"/>
  <c r="S3393" i="6" s="1" a="1"/>
  <c r="S3393" i="6" s="1"/>
  <c r="O3401" i="6"/>
  <c r="O3393" i="6" s="1" a="1"/>
  <c r="O3393" i="6" s="1"/>
  <c r="K3401" i="6"/>
  <c r="K3393" i="6" s="1" a="1"/>
  <c r="K3393" i="6" s="1"/>
  <c r="AF3349" i="6"/>
  <c r="AB3349" i="6"/>
  <c r="X3349" i="6"/>
  <c r="T3349" i="6"/>
  <c r="T3341" i="6" s="1" a="1"/>
  <c r="T3341" i="6" s="1"/>
  <c r="P3349" i="6"/>
  <c r="L3349" i="6"/>
  <c r="L3341" i="6" s="1" a="1"/>
  <c r="L3341" i="6" s="1"/>
  <c r="V3401" i="6"/>
  <c r="V3393" i="6" s="1" a="1"/>
  <c r="V3393" i="6" s="1"/>
  <c r="AG3349" i="6"/>
  <c r="AG3341" i="6" s="1" a="1"/>
  <c r="AG3341" i="6" s="1"/>
  <c r="Y3349" i="6"/>
  <c r="Q3349" i="6"/>
  <c r="AH3401" i="6"/>
  <c r="R3401" i="6"/>
  <c r="AE3349" i="6"/>
  <c r="AE3341" i="6" s="1" a="1"/>
  <c r="AE3341" i="6" s="1"/>
  <c r="W3349" i="6"/>
  <c r="O3349" i="6"/>
  <c r="AD3401" i="6"/>
  <c r="N3401" i="6"/>
  <c r="AC3349" i="6"/>
  <c r="U3349" i="6"/>
  <c r="U3341" i="6" s="1" a="1"/>
  <c r="U3341" i="6" s="1"/>
  <c r="M3349" i="6"/>
  <c r="Z3401" i="6"/>
  <c r="Z3393" i="6" s="1" a="1"/>
  <c r="Z3393" i="6" s="1"/>
  <c r="AA3349" i="6"/>
  <c r="J3401" i="6"/>
  <c r="S3349" i="6"/>
  <c r="K3349" i="6"/>
  <c r="Z3445" i="6"/>
  <c r="S3170" i="6"/>
  <c r="V71" i="9"/>
  <c r="V72" i="9"/>
  <c r="W2838" i="6"/>
  <c r="Y92" i="14"/>
  <c r="Z92" i="14"/>
  <c r="U36" i="11"/>
  <c r="AF103" i="9"/>
  <c r="Z201" i="14"/>
  <c r="T25" i="13"/>
  <c r="S25" i="13" s="1"/>
  <c r="R25" i="13" s="1"/>
  <c r="Q25" i="13" s="1"/>
  <c r="P25" i="13" s="1"/>
  <c r="O25" i="13" s="1"/>
  <c r="N25" i="13" s="1"/>
  <c r="M25" i="13" s="1"/>
  <c r="L25" i="13" s="1"/>
  <c r="K25" i="13" s="1"/>
  <c r="J25" i="13" s="1"/>
  <c r="I25" i="13" s="1"/>
  <c r="H25" i="13" s="1"/>
  <c r="G25" i="13" s="1"/>
  <c r="F25" i="13" s="1"/>
  <c r="E25" i="13" s="1"/>
  <c r="D25" i="13" s="1"/>
  <c r="C25" i="13" s="1"/>
  <c r="B25" i="13" s="1"/>
  <c r="Z169" i="14"/>
  <c r="AA169" i="14" s="1"/>
  <c r="Y124" i="14"/>
  <c r="Z124" i="14"/>
  <c r="AA124" i="14" s="1"/>
  <c r="AD73" i="13"/>
  <c r="Y59" i="13"/>
  <c r="AR3248" i="6"/>
  <c r="AN3248" i="6"/>
  <c r="AJ3248" i="6"/>
  <c r="AF3248" i="6"/>
  <c r="AB3248" i="6"/>
  <c r="X3248" i="6"/>
  <c r="AS3196" i="6"/>
  <c r="AO3196" i="6"/>
  <c r="AK3196" i="6"/>
  <c r="AG3196" i="6"/>
  <c r="AC3196" i="6"/>
  <c r="Y3196" i="6"/>
  <c r="AQ3248" i="6"/>
  <c r="AM3248" i="6"/>
  <c r="AI3248" i="6"/>
  <c r="AE3248" i="6"/>
  <c r="AA3248" i="6"/>
  <c r="W3248" i="6"/>
  <c r="AR3196" i="6"/>
  <c r="AN3196" i="6"/>
  <c r="AJ3196" i="6"/>
  <c r="AF3196" i="6"/>
  <c r="AB3196" i="6"/>
  <c r="X3196" i="6"/>
  <c r="AO3248" i="6"/>
  <c r="AG3248" i="6"/>
  <c r="Y3248" i="6"/>
  <c r="AP3196" i="6"/>
  <c r="AP3176" i="6" s="1" a="1"/>
  <c r="AP3176" i="6" s="1"/>
  <c r="AH3196" i="6"/>
  <c r="Z3196" i="6"/>
  <c r="AT3248" i="6"/>
  <c r="AL3248" i="6"/>
  <c r="AD3248" i="6"/>
  <c r="V3248" i="6"/>
  <c r="AM3196" i="6"/>
  <c r="AM3176" i="6" s="1" a="1"/>
  <c r="AM3176" i="6" s="1"/>
  <c r="AE3196" i="6"/>
  <c r="AE3176" i="6" s="1" a="1"/>
  <c r="AE3176" i="6" s="1"/>
  <c r="W3196" i="6"/>
  <c r="AS3248" i="6"/>
  <c r="AK3248" i="6"/>
  <c r="AC3248" i="6"/>
  <c r="AT3196" i="6"/>
  <c r="AL3196" i="6"/>
  <c r="AD3196" i="6"/>
  <c r="V3196" i="6"/>
  <c r="AP3248" i="6"/>
  <c r="AP3228" i="6" s="1" a="1"/>
  <c r="AP3228" i="6" s="1"/>
  <c r="AH3248" i="6"/>
  <c r="Z3248" i="6"/>
  <c r="AQ3196" i="6"/>
  <c r="AI3196" i="6"/>
  <c r="AA3196" i="6"/>
  <c r="R3062" i="6"/>
  <c r="N3062" i="6"/>
  <c r="J3062" i="6"/>
  <c r="F3062" i="6"/>
  <c r="Q3010" i="6"/>
  <c r="M3010" i="6"/>
  <c r="I3010" i="6"/>
  <c r="E3010" i="6"/>
  <c r="Q3062" i="6"/>
  <c r="M3062" i="6"/>
  <c r="I3062" i="6"/>
  <c r="E3062" i="6"/>
  <c r="P3010" i="6"/>
  <c r="L3010" i="6"/>
  <c r="H3010" i="6"/>
  <c r="D3010" i="6"/>
  <c r="O3062" i="6"/>
  <c r="G3062" i="6"/>
  <c r="N3010" i="6"/>
  <c r="F3010" i="6"/>
  <c r="L3062" i="6"/>
  <c r="D3062" i="6"/>
  <c r="K3010" i="6"/>
  <c r="K3062" i="6"/>
  <c r="R3010" i="6"/>
  <c r="J3010" i="6"/>
  <c r="H3062" i="6"/>
  <c r="G3010" i="6"/>
  <c r="P3062" i="6"/>
  <c r="O3010" i="6"/>
  <c r="U2899" i="6"/>
  <c r="Q2899" i="6"/>
  <c r="M2899" i="6"/>
  <c r="I2899" i="6"/>
  <c r="T2847" i="6"/>
  <c r="P2847" i="6"/>
  <c r="L2847" i="6"/>
  <c r="H2847" i="6"/>
  <c r="V2899" i="6"/>
  <c r="P2899" i="6"/>
  <c r="K2899" i="6"/>
  <c r="U2847" i="6"/>
  <c r="O2847" i="6"/>
  <c r="J2847" i="6"/>
  <c r="T2899" i="6"/>
  <c r="O2899" i="6"/>
  <c r="J2899" i="6"/>
  <c r="S2847" i="6"/>
  <c r="S2841" i="6" s="1" a="1"/>
  <c r="S2841" i="6" s="1"/>
  <c r="N2847" i="6"/>
  <c r="I2847" i="6"/>
  <c r="S2899" i="6"/>
  <c r="N2899" i="6"/>
  <c r="H2899" i="6"/>
  <c r="V2847" i="6"/>
  <c r="K2847" i="6"/>
  <c r="R2847" i="6"/>
  <c r="R2899" i="6"/>
  <c r="Q2847" i="6"/>
  <c r="L2899" i="6"/>
  <c r="M2847" i="6"/>
  <c r="BQ3439" i="6"/>
  <c r="BM3439" i="6"/>
  <c r="BM3393" i="6" s="1" a="1"/>
  <c r="BM3393" i="6" s="1"/>
  <c r="BI3439" i="6"/>
  <c r="BE3439" i="6"/>
  <c r="BA3439" i="6"/>
  <c r="AW3439" i="6"/>
  <c r="BR3387" i="6"/>
  <c r="BN3387" i="6"/>
  <c r="BJ3387" i="6"/>
  <c r="BF3387" i="6"/>
  <c r="BB3387" i="6"/>
  <c r="AX3387" i="6"/>
  <c r="BT3439" i="6"/>
  <c r="BP3439" i="6"/>
  <c r="BL3439" i="6"/>
  <c r="BH3439" i="6"/>
  <c r="BD3439" i="6"/>
  <c r="AZ3439" i="6"/>
  <c r="AV3439" i="6"/>
  <c r="BS3439" i="6"/>
  <c r="BS3393" i="6" s="1" a="1"/>
  <c r="BS3393" i="6" s="1"/>
  <c r="BO3439" i="6"/>
  <c r="BO3393" i="6" s="1" a="1"/>
  <c r="BO3393" i="6" s="1"/>
  <c r="BK3439" i="6"/>
  <c r="BG3439" i="6"/>
  <c r="BC3439" i="6"/>
  <c r="AY3439" i="6"/>
  <c r="BT3387" i="6"/>
  <c r="BT3341" i="6" s="1" a="1"/>
  <c r="BT3341" i="6" s="1"/>
  <c r="BP3387" i="6"/>
  <c r="BL3387" i="6"/>
  <c r="BH3387" i="6"/>
  <c r="BD3387" i="6"/>
  <c r="AZ3387" i="6"/>
  <c r="AV3387" i="6"/>
  <c r="BR3439" i="6"/>
  <c r="BB3439" i="6"/>
  <c r="BM3387" i="6"/>
  <c r="BE3387" i="6"/>
  <c r="AW3387" i="6"/>
  <c r="BN3439" i="6"/>
  <c r="AX3439" i="6"/>
  <c r="BS3387" i="6"/>
  <c r="BS3341" i="6" s="1" a="1"/>
  <c r="BS3341" i="6" s="1"/>
  <c r="BK3387" i="6"/>
  <c r="BC3387" i="6"/>
  <c r="BJ3439" i="6"/>
  <c r="BQ3387" i="6"/>
  <c r="BI3387" i="6"/>
  <c r="BA3387" i="6"/>
  <c r="BG3387" i="6"/>
  <c r="AY3387" i="6"/>
  <c r="BF3439" i="6"/>
  <c r="BO3387" i="6"/>
  <c r="BM3433" i="6"/>
  <c r="BI3433" i="6"/>
  <c r="BE3433" i="6"/>
  <c r="BA3433" i="6"/>
  <c r="AW3433" i="6"/>
  <c r="AS3433" i="6"/>
  <c r="BN3381" i="6"/>
  <c r="BN3341" i="6" s="1" a="1"/>
  <c r="BN3341" i="6" s="1"/>
  <c r="BJ3381" i="6"/>
  <c r="BF3381" i="6"/>
  <c r="BB3381" i="6"/>
  <c r="AX3381" i="6"/>
  <c r="AT3381" i="6"/>
  <c r="AP3381" i="6"/>
  <c r="BL3433" i="6"/>
  <c r="BH3433" i="6"/>
  <c r="BD3433" i="6"/>
  <c r="AZ3433" i="6"/>
  <c r="AV3433" i="6"/>
  <c r="AR3433" i="6"/>
  <c r="BK3433" i="6"/>
  <c r="BG3433" i="6"/>
  <c r="BC3433" i="6"/>
  <c r="AY3433" i="6"/>
  <c r="AU3433" i="6"/>
  <c r="AQ3433" i="6"/>
  <c r="BL3381" i="6"/>
  <c r="BH3381" i="6"/>
  <c r="BD3381" i="6"/>
  <c r="AZ3381" i="6"/>
  <c r="AV3381" i="6"/>
  <c r="AR3381" i="6"/>
  <c r="BB3433" i="6"/>
  <c r="BM3381" i="6"/>
  <c r="BM3341" i="6" s="1" a="1"/>
  <c r="BM3341" i="6" s="1"/>
  <c r="BE3381" i="6"/>
  <c r="AW3381" i="6"/>
  <c r="BN3433" i="6"/>
  <c r="BN3393" i="6" s="1" a="1"/>
  <c r="BN3393" i="6" s="1"/>
  <c r="AX3433" i="6"/>
  <c r="BK3381" i="6"/>
  <c r="BC3381" i="6"/>
  <c r="AU3381" i="6"/>
  <c r="BJ3433" i="6"/>
  <c r="AT3433" i="6"/>
  <c r="BI3381" i="6"/>
  <c r="BA3381" i="6"/>
  <c r="AS3381" i="6"/>
  <c r="AP3433" i="6"/>
  <c r="BG3381" i="6"/>
  <c r="AY3381" i="6"/>
  <c r="BF3433" i="6"/>
  <c r="AQ3381" i="6"/>
  <c r="BC3176" i="6" a="1"/>
  <c r="BC3176" i="6" s="1"/>
  <c r="BL3268" i="6"/>
  <c r="BH3268" i="6"/>
  <c r="BD3268" i="6"/>
  <c r="AZ3268" i="6"/>
  <c r="AV3268" i="6"/>
  <c r="AR3268" i="6"/>
  <c r="BM3216" i="6"/>
  <c r="BI3216" i="6"/>
  <c r="BE3216" i="6"/>
  <c r="BA3216" i="6"/>
  <c r="AW3216" i="6"/>
  <c r="AS3216" i="6"/>
  <c r="BK3268" i="6"/>
  <c r="BK3228" i="6" s="1" a="1"/>
  <c r="BK3228" i="6" s="1"/>
  <c r="BG3268" i="6"/>
  <c r="BC3268" i="6"/>
  <c r="AY3268" i="6"/>
  <c r="AU3268" i="6"/>
  <c r="AQ3268" i="6"/>
  <c r="BL3216" i="6"/>
  <c r="BL3176" i="6" s="1" a="1"/>
  <c r="BL3176" i="6" s="1"/>
  <c r="BH3216" i="6"/>
  <c r="BD3216" i="6"/>
  <c r="AZ3216" i="6"/>
  <c r="AV3216" i="6"/>
  <c r="AR3216" i="6"/>
  <c r="AR3176" i="6" s="1" a="1"/>
  <c r="AR3176" i="6" s="1"/>
  <c r="BN3268" i="6"/>
  <c r="BJ3268" i="6"/>
  <c r="BF3268" i="6"/>
  <c r="BB3268" i="6"/>
  <c r="AX3268" i="6"/>
  <c r="AT3268" i="6"/>
  <c r="AP3268" i="6"/>
  <c r="BM3268" i="6"/>
  <c r="AW3268" i="6"/>
  <c r="BN3216" i="6"/>
  <c r="BF3216" i="6"/>
  <c r="AX3216" i="6"/>
  <c r="AP3216" i="6"/>
  <c r="BI3268" i="6"/>
  <c r="AS3268" i="6"/>
  <c r="BK3216" i="6"/>
  <c r="BK3176" i="6" s="1" a="1"/>
  <c r="BK3176" i="6" s="1"/>
  <c r="BC3216" i="6"/>
  <c r="AU3216" i="6"/>
  <c r="BE3268" i="6"/>
  <c r="BJ3216" i="6"/>
  <c r="BB3216" i="6"/>
  <c r="AT3216" i="6"/>
  <c r="BA3268" i="6"/>
  <c r="AQ3216" i="6"/>
  <c r="BG3216" i="6"/>
  <c r="AY3216" i="6"/>
  <c r="N3176" i="6" a="1"/>
  <c r="N3176" i="6" s="1"/>
  <c r="AJ3240" i="6"/>
  <c r="AF3240" i="6"/>
  <c r="AB3240" i="6"/>
  <c r="X3240" i="6"/>
  <c r="T3240" i="6"/>
  <c r="P3240" i="6"/>
  <c r="AK3188" i="6"/>
  <c r="AG3188" i="6"/>
  <c r="AC3188" i="6"/>
  <c r="Y3188" i="6"/>
  <c r="U3188" i="6"/>
  <c r="Q3188" i="6"/>
  <c r="AI3240" i="6"/>
  <c r="AE3240" i="6"/>
  <c r="AA3240" i="6"/>
  <c r="W3240" i="6"/>
  <c r="S3240" i="6"/>
  <c r="O3240" i="6"/>
  <c r="AJ3188" i="6"/>
  <c r="AJ3176" i="6" s="1" a="1"/>
  <c r="AJ3176" i="6" s="1"/>
  <c r="AF3188" i="6"/>
  <c r="AB3188" i="6"/>
  <c r="X3188" i="6"/>
  <c r="T3188" i="6"/>
  <c r="P3188" i="6"/>
  <c r="AG3240" i="6"/>
  <c r="Y3240" i="6"/>
  <c r="Q3240" i="6"/>
  <c r="AH3188" i="6"/>
  <c r="Z3188" i="6"/>
  <c r="R3188" i="6"/>
  <c r="AL3240" i="6"/>
  <c r="AD3240" i="6"/>
  <c r="V3240" i="6"/>
  <c r="N3240" i="6"/>
  <c r="AE3188" i="6"/>
  <c r="W3188" i="6"/>
  <c r="O3188" i="6"/>
  <c r="AK3240" i="6"/>
  <c r="AC3240" i="6"/>
  <c r="U3240" i="6"/>
  <c r="AL3188" i="6"/>
  <c r="AD3188" i="6"/>
  <c r="V3188" i="6"/>
  <c r="N3188" i="6"/>
  <c r="AH3240" i="6"/>
  <c r="Z3240" i="6"/>
  <c r="R3240" i="6"/>
  <c r="AI3188" i="6"/>
  <c r="AA3188" i="6"/>
  <c r="S3188" i="6"/>
  <c r="Y3176" i="6" a="1"/>
  <c r="Y3176" i="6" s="1"/>
  <c r="AT3281" i="6"/>
  <c r="AH3281" i="6"/>
  <c r="AD3074" i="6"/>
  <c r="Z3074" i="6"/>
  <c r="V3074" i="6"/>
  <c r="R3074" i="6"/>
  <c r="AC3022" i="6"/>
  <c r="Y3022" i="6"/>
  <c r="U3022" i="6"/>
  <c r="Q3022" i="6"/>
  <c r="AC3074" i="6"/>
  <c r="Y3074" i="6"/>
  <c r="U3074" i="6"/>
  <c r="Q3074" i="6"/>
  <c r="AB3022" i="6"/>
  <c r="X3022" i="6"/>
  <c r="T3022" i="6"/>
  <c r="P3022" i="6"/>
  <c r="W3074" i="6"/>
  <c r="AD3022" i="6"/>
  <c r="V3022" i="6"/>
  <c r="AB3074" i="6"/>
  <c r="T3074" i="6"/>
  <c r="AA3022" i="6"/>
  <c r="S3022" i="6"/>
  <c r="AA3074" i="6"/>
  <c r="S3074" i="6"/>
  <c r="Z3022" i="6"/>
  <c r="R3022" i="6"/>
  <c r="P3074" i="6"/>
  <c r="X3074" i="6"/>
  <c r="W3022" i="6"/>
  <c r="Y2905" i="6"/>
  <c r="U2905" i="6"/>
  <c r="Q2905" i="6"/>
  <c r="AB2853" i="6"/>
  <c r="X2853" i="6"/>
  <c r="T2853" i="6"/>
  <c r="P2853" i="6"/>
  <c r="AB2905" i="6"/>
  <c r="W2905" i="6"/>
  <c r="R2905" i="6"/>
  <c r="AA2853" i="6"/>
  <c r="V2853" i="6"/>
  <c r="Q2853" i="6"/>
  <c r="AA2905" i="6"/>
  <c r="V2905" i="6"/>
  <c r="P2905" i="6"/>
  <c r="Z2853" i="6"/>
  <c r="U2853" i="6"/>
  <c r="O2853" i="6"/>
  <c r="Z2905" i="6"/>
  <c r="T2905" i="6"/>
  <c r="O2905" i="6"/>
  <c r="W2853" i="6"/>
  <c r="X2905" i="6"/>
  <c r="S2853" i="6"/>
  <c r="S2905" i="6"/>
  <c r="R2853" i="6"/>
  <c r="N2905" i="6"/>
  <c r="Y2853" i="6"/>
  <c r="N2853" i="6"/>
  <c r="U2901" i="6"/>
  <c r="Q2901" i="6"/>
  <c r="M2901" i="6"/>
  <c r="X2849" i="6"/>
  <c r="T2849" i="6"/>
  <c r="P2849" i="6"/>
  <c r="L2849" i="6"/>
  <c r="T2901" i="6"/>
  <c r="O2901" i="6"/>
  <c r="J2901" i="6"/>
  <c r="S2849" i="6"/>
  <c r="N2849" i="6"/>
  <c r="X2901" i="6"/>
  <c r="S2901" i="6"/>
  <c r="N2901" i="6"/>
  <c r="W2849" i="6"/>
  <c r="R2849" i="6"/>
  <c r="M2849" i="6"/>
  <c r="W2901" i="6"/>
  <c r="R2901" i="6"/>
  <c r="L2901" i="6"/>
  <c r="V2901" i="6"/>
  <c r="O2849" i="6"/>
  <c r="P2901" i="6"/>
  <c r="V2849" i="6"/>
  <c r="K2849" i="6"/>
  <c r="K2901" i="6"/>
  <c r="U2849" i="6"/>
  <c r="J2849" i="6"/>
  <c r="Q2849" i="6"/>
  <c r="W2902" i="6"/>
  <c r="S2902" i="6"/>
  <c r="O2902" i="6"/>
  <c r="K2902" i="6"/>
  <c r="V2850" i="6"/>
  <c r="R2850" i="6"/>
  <c r="N2850" i="6"/>
  <c r="V2902" i="6"/>
  <c r="Q2902" i="6"/>
  <c r="L2902" i="6"/>
  <c r="U2850" i="6"/>
  <c r="P2850" i="6"/>
  <c r="K2850" i="6"/>
  <c r="U2902" i="6"/>
  <c r="P2902" i="6"/>
  <c r="Y2850" i="6"/>
  <c r="T2850" i="6"/>
  <c r="O2850" i="6"/>
  <c r="Y2902" i="6"/>
  <c r="T2902" i="6"/>
  <c r="N2902" i="6"/>
  <c r="W2850" i="6"/>
  <c r="L2850" i="6"/>
  <c r="X2902" i="6"/>
  <c r="S2850" i="6"/>
  <c r="R2902" i="6"/>
  <c r="Q2850" i="6"/>
  <c r="M2902" i="6"/>
  <c r="X2850" i="6"/>
  <c r="M2850" i="6"/>
  <c r="BP3271" i="6"/>
  <c r="BP3228" i="6" s="1" a="1"/>
  <c r="BP3228" i="6" s="1"/>
  <c r="BL3271" i="6"/>
  <c r="BH3271" i="6"/>
  <c r="BD3271" i="6"/>
  <c r="AZ3271" i="6"/>
  <c r="AV3271" i="6"/>
  <c r="BQ3219" i="6"/>
  <c r="BM3219" i="6"/>
  <c r="BI3219" i="6"/>
  <c r="BE3219" i="6"/>
  <c r="BA3219" i="6"/>
  <c r="AW3219" i="6"/>
  <c r="AS3219" i="6"/>
  <c r="BO3271" i="6"/>
  <c r="BO3228" i="6" s="1" a="1"/>
  <c r="BO3228" i="6" s="1"/>
  <c r="BK3271" i="6"/>
  <c r="BG3271" i="6"/>
  <c r="BC3271" i="6"/>
  <c r="AY3271" i="6"/>
  <c r="AU3271" i="6"/>
  <c r="BP3219" i="6"/>
  <c r="BP3176" i="6" s="1" a="1"/>
  <c r="BP3176" i="6" s="1"/>
  <c r="BL3219" i="6"/>
  <c r="BH3219" i="6"/>
  <c r="BD3219" i="6"/>
  <c r="AZ3219" i="6"/>
  <c r="AV3219" i="6"/>
  <c r="BN3271" i="6"/>
  <c r="BJ3271" i="6"/>
  <c r="BF3271" i="6"/>
  <c r="BB3271" i="6"/>
  <c r="AX3271" i="6"/>
  <c r="AT3271" i="6"/>
  <c r="BM3271" i="6"/>
  <c r="AW3271" i="6"/>
  <c r="BN3219" i="6"/>
  <c r="BF3219" i="6"/>
  <c r="AX3219" i="6"/>
  <c r="BI3271" i="6"/>
  <c r="AS3271" i="6"/>
  <c r="BK3219" i="6"/>
  <c r="BC3219" i="6"/>
  <c r="AU3219" i="6"/>
  <c r="BE3271" i="6"/>
  <c r="BJ3219" i="6"/>
  <c r="BB3219" i="6"/>
  <c r="AT3219" i="6"/>
  <c r="BQ3271" i="6"/>
  <c r="BQ3228" i="6" s="1" a="1"/>
  <c r="BQ3228" i="6" s="1"/>
  <c r="BA3271" i="6"/>
  <c r="BG3219" i="6"/>
  <c r="AY3219" i="6"/>
  <c r="BO3219" i="6"/>
  <c r="BO3176" i="6" s="1" a="1"/>
  <c r="BO3176" i="6" s="1"/>
  <c r="AZ3255" i="6"/>
  <c r="AV3255" i="6"/>
  <c r="AR3255" i="6"/>
  <c r="AN3255" i="6"/>
  <c r="AJ3255" i="6"/>
  <c r="AF3255" i="6"/>
  <c r="BA3203" i="6"/>
  <c r="AW3203" i="6"/>
  <c r="AS3203" i="6"/>
  <c r="AO3203" i="6"/>
  <c r="AK3203" i="6"/>
  <c r="AG3203" i="6"/>
  <c r="AC3203" i="6"/>
  <c r="AY3255" i="6"/>
  <c r="AY3228" i="6" s="1" a="1"/>
  <c r="AY3228" i="6" s="1"/>
  <c r="AU3255" i="6"/>
  <c r="AQ3255" i="6"/>
  <c r="AQ3228" i="6" s="1" a="1"/>
  <c r="AQ3228" i="6" s="1"/>
  <c r="AM3255" i="6"/>
  <c r="AI3255" i="6"/>
  <c r="AE3255" i="6"/>
  <c r="AZ3203" i="6"/>
  <c r="AZ3176" i="6" s="1" a="1"/>
  <c r="AZ3176" i="6" s="1"/>
  <c r="AV3203" i="6"/>
  <c r="AR3203" i="6"/>
  <c r="AN3203" i="6"/>
  <c r="AJ3203" i="6"/>
  <c r="AF3203" i="6"/>
  <c r="AW3255" i="6"/>
  <c r="AO3255" i="6"/>
  <c r="AG3255" i="6"/>
  <c r="AX3203" i="6"/>
  <c r="AP3203" i="6"/>
  <c r="AH3203" i="6"/>
  <c r="AT3255" i="6"/>
  <c r="AL3255" i="6"/>
  <c r="AD3255" i="6"/>
  <c r="AU3203" i="6"/>
  <c r="AM3203" i="6"/>
  <c r="AE3203" i="6"/>
  <c r="BA3255" i="6"/>
  <c r="BA3228" i="6" s="1" a="1"/>
  <c r="BA3228" i="6" s="1"/>
  <c r="AS3255" i="6"/>
  <c r="AK3255" i="6"/>
  <c r="AC3255" i="6"/>
  <c r="AT3203" i="6"/>
  <c r="AL3203" i="6"/>
  <c r="AD3203" i="6"/>
  <c r="AX3255" i="6"/>
  <c r="AP3255" i="6"/>
  <c r="AH3255" i="6"/>
  <c r="AY3203" i="6"/>
  <c r="AY3176" i="6" s="1" a="1"/>
  <c r="AY3176" i="6" s="1"/>
  <c r="AQ3203" i="6"/>
  <c r="AI3203" i="6"/>
  <c r="AS3281" i="6"/>
  <c r="AC3281" i="6"/>
  <c r="Y3281" i="6"/>
  <c r="D2946" i="6"/>
  <c r="D2999" i="6" s="1"/>
  <c r="AB3073" i="6"/>
  <c r="X3073" i="6"/>
  <c r="T3073" i="6"/>
  <c r="P3073" i="6"/>
  <c r="AA3021" i="6"/>
  <c r="W3021" i="6"/>
  <c r="S3021" i="6"/>
  <c r="O3021" i="6"/>
  <c r="AA3073" i="6"/>
  <c r="W3073" i="6"/>
  <c r="S3073" i="6"/>
  <c r="O3073" i="6"/>
  <c r="Z3021" i="6"/>
  <c r="V3021" i="6"/>
  <c r="R3021" i="6"/>
  <c r="AC3073" i="6"/>
  <c r="U3073" i="6"/>
  <c r="AB3021" i="6"/>
  <c r="T3021" i="6"/>
  <c r="Z3073" i="6"/>
  <c r="R3073" i="6"/>
  <c r="Y3021" i="6"/>
  <c r="Q3021" i="6"/>
  <c r="Y3073" i="6"/>
  <c r="Q3073" i="6"/>
  <c r="X3021" i="6"/>
  <c r="P3021" i="6"/>
  <c r="AC3021" i="6"/>
  <c r="V3073" i="6"/>
  <c r="U3021" i="6"/>
  <c r="Q3113" i="6"/>
  <c r="O3113" i="6"/>
  <c r="O3167" i="6" s="1"/>
  <c r="C3167" i="6"/>
  <c r="C3166" i="6"/>
  <c r="D3113" i="6"/>
  <c r="T3113" i="6"/>
  <c r="T2946" i="6"/>
  <c r="T3000" i="6" s="1"/>
  <c r="P2946" i="6"/>
  <c r="F2946" i="6"/>
  <c r="F2999" i="6" s="1"/>
  <c r="O2894" i="6"/>
  <c r="K2894" i="6"/>
  <c r="G2894" i="6"/>
  <c r="G2893" i="6" s="1" a="1"/>
  <c r="G2893" i="6" s="1"/>
  <c r="C2894" i="6"/>
  <c r="C2893" i="6" s="1" a="1"/>
  <c r="C2893" i="6" s="1"/>
  <c r="C3000" i="6" s="1"/>
  <c r="N2842" i="6"/>
  <c r="N2841" i="6" s="1" a="1"/>
  <c r="N2841" i="6" s="1"/>
  <c r="J2842" i="6"/>
  <c r="F2842" i="6"/>
  <c r="F2841" i="6" s="1" a="1"/>
  <c r="F2841" i="6" s="1"/>
  <c r="Q2894" i="6"/>
  <c r="L2894" i="6"/>
  <c r="F2894" i="6"/>
  <c r="F2893" i="6" s="1" a="1"/>
  <c r="F2893" i="6" s="1"/>
  <c r="P2842" i="6"/>
  <c r="P2841" i="6" s="1" a="1"/>
  <c r="P2841" i="6" s="1"/>
  <c r="K2842" i="6"/>
  <c r="E2842" i="6"/>
  <c r="E2841" i="6" s="1" a="1"/>
  <c r="E2841" i="6" s="1"/>
  <c r="P2894" i="6"/>
  <c r="J2894" i="6"/>
  <c r="J2893" i="6" s="1" a="1"/>
  <c r="J2893" i="6" s="1"/>
  <c r="E2894" i="6"/>
  <c r="E2893" i="6" s="1" a="1"/>
  <c r="E2893" i="6" s="1"/>
  <c r="E2999" i="6" s="1"/>
  <c r="O2842" i="6"/>
  <c r="I2842" i="6"/>
  <c r="D2842" i="6"/>
  <c r="D2841" i="6" s="1" a="1"/>
  <c r="D2841" i="6" s="1"/>
  <c r="N2894" i="6"/>
  <c r="I2894" i="6"/>
  <c r="D2894" i="6"/>
  <c r="D2893" i="6" s="1" a="1"/>
  <c r="D2893" i="6" s="1"/>
  <c r="M2894" i="6"/>
  <c r="M2893" i="6" s="1" a="1"/>
  <c r="M2893" i="6" s="1"/>
  <c r="Q2842" i="6"/>
  <c r="G2842" i="6"/>
  <c r="G2841" i="6" s="1" a="1"/>
  <c r="G2841" i="6" s="1"/>
  <c r="H2894" i="6"/>
  <c r="H2893" i="6" s="1" a="1"/>
  <c r="H2893" i="6" s="1"/>
  <c r="M2842" i="6"/>
  <c r="M2841" i="6" s="1" a="1"/>
  <c r="M2841" i="6" s="1"/>
  <c r="C2842" i="6"/>
  <c r="C2841" i="6" s="1" a="1"/>
  <c r="C2841" i="6" s="1"/>
  <c r="L2842" i="6"/>
  <c r="L2841" i="6" s="1" a="1"/>
  <c r="L2841" i="6" s="1"/>
  <c r="H2842" i="6"/>
  <c r="M2946" i="6"/>
  <c r="M2999" i="6" s="1"/>
  <c r="K2946" i="6"/>
  <c r="AJ2634" i="6"/>
  <c r="AF2634" i="6"/>
  <c r="AB2634" i="6"/>
  <c r="X2634" i="6"/>
  <c r="AI2582" i="6"/>
  <c r="AE2582" i="6"/>
  <c r="AA2582" i="6"/>
  <c r="AL2530" i="6"/>
  <c r="AH2530" i="6"/>
  <c r="AD2530" i="6"/>
  <c r="Z2530" i="6"/>
  <c r="AI2634" i="6"/>
  <c r="AD2634" i="6"/>
  <c r="Y2634" i="6"/>
  <c r="AL2582" i="6"/>
  <c r="AG2582" i="6"/>
  <c r="AB2582" i="6"/>
  <c r="AI2530" i="6"/>
  <c r="AC2530" i="6"/>
  <c r="X2530" i="6"/>
  <c r="AM2634" i="6"/>
  <c r="AH2634" i="6"/>
  <c r="AC2634" i="6"/>
  <c r="AK2582" i="6"/>
  <c r="AF2582" i="6"/>
  <c r="Z2582" i="6"/>
  <c r="AG2530" i="6"/>
  <c r="AB2530" i="6"/>
  <c r="AL2634" i="6"/>
  <c r="AG2634" i="6"/>
  <c r="AA2634" i="6"/>
  <c r="AJ2582" i="6"/>
  <c r="AD2582" i="6"/>
  <c r="Y2582" i="6"/>
  <c r="AK2530" i="6"/>
  <c r="AF2530" i="6"/>
  <c r="AA2530" i="6"/>
  <c r="Z2634" i="6"/>
  <c r="AH2582" i="6"/>
  <c r="AC2582" i="6"/>
  <c r="AJ2530" i="6"/>
  <c r="AK2634" i="6"/>
  <c r="X2582" i="6"/>
  <c r="AE2530" i="6"/>
  <c r="W2476" i="6"/>
  <c r="W2454" i="6" s="1"/>
  <c r="AE2634" i="6"/>
  <c r="Y2530" i="6"/>
  <c r="Y2453" i="6"/>
  <c r="Y21" i="5"/>
  <c r="E2665" i="6"/>
  <c r="E2664" i="6"/>
  <c r="AL2636" i="6"/>
  <c r="AH2636" i="6"/>
  <c r="AD2636" i="6"/>
  <c r="Z2636" i="6"/>
  <c r="AM2584" i="6"/>
  <c r="AI2584" i="6"/>
  <c r="AE2584" i="6"/>
  <c r="AA2584" i="6"/>
  <c r="AL2532" i="6"/>
  <c r="AH2532" i="6"/>
  <c r="AD2532" i="6"/>
  <c r="Z2532" i="6"/>
  <c r="AK2636" i="6"/>
  <c r="AF2636" i="6"/>
  <c r="AA2636" i="6"/>
  <c r="AK2584" i="6"/>
  <c r="AF2584" i="6"/>
  <c r="Z2584" i="6"/>
  <c r="AM2532" i="6"/>
  <c r="AG2532" i="6"/>
  <c r="AB2532" i="6"/>
  <c r="Y2478" i="6"/>
  <c r="Y2454" i="6" s="1"/>
  <c r="AO2636" i="6"/>
  <c r="AJ2636" i="6"/>
  <c r="AE2636" i="6"/>
  <c r="AJ2584" i="6"/>
  <c r="AD2584" i="6"/>
  <c r="AK2532" i="6"/>
  <c r="AF2532" i="6"/>
  <c r="AA2532" i="6"/>
  <c r="AN2636" i="6"/>
  <c r="AI2636" i="6"/>
  <c r="AC2636" i="6"/>
  <c r="AN2584" i="6"/>
  <c r="AH2584" i="6"/>
  <c r="AC2584" i="6"/>
  <c r="AJ2532" i="6"/>
  <c r="AE2532" i="6"/>
  <c r="AM2636" i="6"/>
  <c r="AB2584" i="6"/>
  <c r="AI2532" i="6"/>
  <c r="AG2636" i="6"/>
  <c r="AC2532" i="6"/>
  <c r="AA2453" i="6"/>
  <c r="AB2636" i="6"/>
  <c r="AL2584" i="6"/>
  <c r="AG2584" i="6"/>
  <c r="AN2532" i="6"/>
  <c r="AA21" i="5"/>
  <c r="Z2448" i="6"/>
  <c r="Y2450" i="6"/>
  <c r="Y2449" i="6"/>
  <c r="Z16" i="5"/>
  <c r="AA2452" i="6"/>
  <c r="AB2447" i="6"/>
  <c r="AB14" i="5"/>
  <c r="Z2739" i="6"/>
  <c r="V2739" i="6"/>
  <c r="R2739" i="6"/>
  <c r="AC2687" i="6"/>
  <c r="Y2687" i="6"/>
  <c r="U2687" i="6"/>
  <c r="Q2687" i="6"/>
  <c r="Y2739" i="6"/>
  <c r="T2739" i="6"/>
  <c r="O2739" i="6"/>
  <c r="AC2739" i="6"/>
  <c r="X2739" i="6"/>
  <c r="S2739" i="6"/>
  <c r="AB2739" i="6"/>
  <c r="W2739" i="6"/>
  <c r="Q2739" i="6"/>
  <c r="P2739" i="6"/>
  <c r="AB2687" i="6"/>
  <c r="W2687" i="6"/>
  <c r="R2687" i="6"/>
  <c r="AA2687" i="6"/>
  <c r="V2687" i="6"/>
  <c r="P2687" i="6"/>
  <c r="AA2739" i="6"/>
  <c r="Z2687" i="6"/>
  <c r="T2687" i="6"/>
  <c r="O2687" i="6"/>
  <c r="U2739" i="6"/>
  <c r="X2687" i="6"/>
  <c r="S2687" i="6"/>
  <c r="Y1560" i="6"/>
  <c r="Z1555" i="6"/>
  <c r="Y1559" i="6"/>
  <c r="Z11" i="5"/>
  <c r="Y960" i="6"/>
  <c r="Z960" i="6"/>
  <c r="AC1012" i="6"/>
  <c r="AB1064" i="6"/>
  <c r="Y1064" i="6"/>
  <c r="AJ960" i="6"/>
  <c r="AI1012" i="6"/>
  <c r="H356" i="6"/>
  <c r="AH312" i="6"/>
  <c r="AD312" i="6"/>
  <c r="Z312" i="6"/>
  <c r="V312" i="6"/>
  <c r="R312" i="6"/>
  <c r="N312" i="6"/>
  <c r="AI260" i="6"/>
  <c r="AE260" i="6"/>
  <c r="AA260" i="6"/>
  <c r="W260" i="6"/>
  <c r="S260" i="6"/>
  <c r="O260" i="6"/>
  <c r="K260" i="6"/>
  <c r="AA312" i="6"/>
  <c r="K312" i="6"/>
  <c r="AB260" i="6"/>
  <c r="P260" i="6"/>
  <c r="AG312" i="6"/>
  <c r="AC312" i="6"/>
  <c r="Y312" i="6"/>
  <c r="U312" i="6"/>
  <c r="Q312" i="6"/>
  <c r="M312" i="6"/>
  <c r="AH260" i="6"/>
  <c r="AD260" i="6"/>
  <c r="Z260" i="6"/>
  <c r="V260" i="6"/>
  <c r="R260" i="6"/>
  <c r="N260" i="6"/>
  <c r="AI312" i="6"/>
  <c r="W312" i="6"/>
  <c r="O312" i="6"/>
  <c r="X260" i="6"/>
  <c r="L260" i="6"/>
  <c r="AF312" i="6"/>
  <c r="AB312" i="6"/>
  <c r="X312" i="6"/>
  <c r="T312" i="6"/>
  <c r="P312" i="6"/>
  <c r="L312" i="6"/>
  <c r="AG260" i="6"/>
  <c r="AC260" i="6"/>
  <c r="Y260" i="6"/>
  <c r="U260" i="6"/>
  <c r="Q260" i="6"/>
  <c r="M260" i="6"/>
  <c r="AE312" i="6"/>
  <c r="S312" i="6"/>
  <c r="AF260" i="6"/>
  <c r="T260" i="6"/>
  <c r="AE960" i="6"/>
  <c r="Z653" i="6"/>
  <c r="Z6" i="5"/>
  <c r="Y657" i="6"/>
  <c r="Y655" i="6"/>
  <c r="Y658" i="6"/>
  <c r="O356" i="6"/>
  <c r="AP319" i="6"/>
  <c r="AL319" i="6"/>
  <c r="AH319" i="6"/>
  <c r="AD319" i="6"/>
  <c r="Z319" i="6"/>
  <c r="V319" i="6"/>
  <c r="R319" i="6"/>
  <c r="AM267" i="6"/>
  <c r="AI267" i="6"/>
  <c r="AE267" i="6"/>
  <c r="AA267" i="6"/>
  <c r="W267" i="6"/>
  <c r="S267" i="6"/>
  <c r="AM319" i="6"/>
  <c r="AA319" i="6"/>
  <c r="AF267" i="6"/>
  <c r="X267" i="6"/>
  <c r="AO319" i="6"/>
  <c r="AK319" i="6"/>
  <c r="AG319" i="6"/>
  <c r="AC319" i="6"/>
  <c r="Y319" i="6"/>
  <c r="U319" i="6"/>
  <c r="AP267" i="6"/>
  <c r="AL267" i="6"/>
  <c r="AH267" i="6"/>
  <c r="AD267" i="6"/>
  <c r="Z267" i="6"/>
  <c r="V267" i="6"/>
  <c r="R267" i="6"/>
  <c r="AI319" i="6"/>
  <c r="W319" i="6"/>
  <c r="AJ267" i="6"/>
  <c r="AB267" i="6"/>
  <c r="T267" i="6"/>
  <c r="AN319" i="6"/>
  <c r="AJ319" i="6"/>
  <c r="AF319" i="6"/>
  <c r="AB319" i="6"/>
  <c r="X319" i="6"/>
  <c r="T319" i="6"/>
  <c r="AO267" i="6"/>
  <c r="AK267" i="6"/>
  <c r="AG267" i="6"/>
  <c r="AC267" i="6"/>
  <c r="Y267" i="6"/>
  <c r="U267" i="6"/>
  <c r="AE319" i="6"/>
  <c r="S319" i="6"/>
  <c r="AN267" i="6"/>
  <c r="AC960" i="6"/>
  <c r="N356" i="6"/>
  <c r="G16" i="4"/>
  <c r="X1012" i="6"/>
  <c r="W14" i="13"/>
  <c r="X11" i="6"/>
  <c r="X237" i="6"/>
  <c r="X12" i="6"/>
  <c r="Y9" i="6"/>
  <c r="X7" i="6"/>
  <c r="E21" i="4"/>
  <c r="F21" i="4"/>
  <c r="F3334" i="6" l="1"/>
  <c r="F3335" i="6"/>
  <c r="AU3334" i="6"/>
  <c r="AU3335" i="6"/>
  <c r="S23" i="9"/>
  <c r="S2999" i="6"/>
  <c r="AM3334" i="6"/>
  <c r="AM3335" i="6"/>
  <c r="AA149" i="18"/>
  <c r="E3335" i="6"/>
  <c r="E3334" i="6"/>
  <c r="L3499" i="6"/>
  <c r="L3498" i="6"/>
  <c r="K226" i="10"/>
  <c r="L302" i="10"/>
  <c r="AA157" i="18"/>
  <c r="AB169" i="14"/>
  <c r="P3498" i="6"/>
  <c r="P3499" i="6"/>
  <c r="M3335" i="6"/>
  <c r="M3334" i="6"/>
  <c r="S3335" i="6"/>
  <c r="AI3334" i="6"/>
  <c r="AI3335" i="6"/>
  <c r="S3166" i="6"/>
  <c r="S3167" i="6"/>
  <c r="AB57" i="19"/>
  <c r="AB69" i="21"/>
  <c r="AA69" i="21"/>
  <c r="T3499" i="6"/>
  <c r="T3498" i="6"/>
  <c r="Q3334" i="6"/>
  <c r="Q3335" i="6"/>
  <c r="G3335" i="6"/>
  <c r="G3334" i="6"/>
  <c r="W3334" i="6"/>
  <c r="W3335" i="6"/>
  <c r="K3334" i="6"/>
  <c r="K3335" i="6"/>
  <c r="D23" i="9"/>
  <c r="D16" i="9"/>
  <c r="D18" i="9"/>
  <c r="E2671" i="6"/>
  <c r="J3499" i="6"/>
  <c r="J3498" i="6"/>
  <c r="AC111" i="22"/>
  <c r="M3000" i="6"/>
  <c r="AQ2967" i="6"/>
  <c r="AM2967" i="6"/>
  <c r="AI2967" i="6"/>
  <c r="AE2967" i="6"/>
  <c r="AA2967" i="6"/>
  <c r="W2967" i="6"/>
  <c r="W2946" i="6" s="1"/>
  <c r="W2840" i="6"/>
  <c r="AP2967" i="6"/>
  <c r="AL2967" i="6"/>
  <c r="AH2967" i="6"/>
  <c r="AD2967" i="6"/>
  <c r="Z2967" i="6"/>
  <c r="AO2967" i="6"/>
  <c r="AG2967" i="6"/>
  <c r="Y2967" i="6"/>
  <c r="AN2967" i="6"/>
  <c r="AF2967" i="6"/>
  <c r="X2967" i="6"/>
  <c r="W2839" i="6"/>
  <c r="AK2967" i="6"/>
  <c r="AC2967" i="6"/>
  <c r="AJ2967" i="6"/>
  <c r="AB2967" i="6"/>
  <c r="S38" i="23"/>
  <c r="S31" i="22"/>
  <c r="S31" i="21"/>
  <c r="S31" i="20"/>
  <c r="S31" i="18"/>
  <c r="S36" i="17"/>
  <c r="S31" i="19"/>
  <c r="S48" i="14"/>
  <c r="S41" i="16"/>
  <c r="S33" i="15"/>
  <c r="S40" i="13"/>
  <c r="R6" i="7"/>
  <c r="O3170" i="6"/>
  <c r="O3335" i="6"/>
  <c r="O3334" i="6"/>
  <c r="AA3499" i="6"/>
  <c r="M3499" i="6"/>
  <c r="M3498" i="6"/>
  <c r="S2" i="14"/>
  <c r="U443" i="6"/>
  <c r="AA139" i="14"/>
  <c r="AA118" i="13"/>
  <c r="Z75" i="14"/>
  <c r="AA75" i="14"/>
  <c r="Z83" i="14"/>
  <c r="AA83" i="14"/>
  <c r="AA51" i="18"/>
  <c r="Z51" i="18"/>
  <c r="P3008" i="6" a="1"/>
  <c r="P3008" i="6" s="1"/>
  <c r="F43" i="8"/>
  <c r="E45" i="8"/>
  <c r="F643" i="6"/>
  <c r="F645" i="6" s="1"/>
  <c r="Z31" i="14"/>
  <c r="Y33" i="14"/>
  <c r="U3334" i="6"/>
  <c r="U3335" i="6"/>
  <c r="AA878" i="6"/>
  <c r="AA7" i="5"/>
  <c r="Z880" i="6"/>
  <c r="S251" i="6" a="1"/>
  <c r="S251" i="6" s="1"/>
  <c r="S409" i="6" s="1"/>
  <c r="BR3228" i="6" a="1"/>
  <c r="BR3228" i="6" s="1"/>
  <c r="U3166" i="6"/>
  <c r="U3167" i="6"/>
  <c r="AP3393" i="6" a="1"/>
  <c r="AP3393" i="6" s="1"/>
  <c r="X24" i="8"/>
  <c r="W44" i="8"/>
  <c r="AD841" i="6"/>
  <c r="Z841" i="6"/>
  <c r="AK789" i="6"/>
  <c r="AG789" i="6"/>
  <c r="AC789" i="6"/>
  <c r="Y789" i="6"/>
  <c r="AL737" i="6"/>
  <c r="AH737" i="6"/>
  <c r="AD737" i="6"/>
  <c r="Z737" i="6"/>
  <c r="AC841" i="6"/>
  <c r="Y841" i="6"/>
  <c r="AJ789" i="6"/>
  <c r="AF789" i="6"/>
  <c r="AB789" i="6"/>
  <c r="AK737" i="6"/>
  <c r="AG737" i="6"/>
  <c r="AC737" i="6"/>
  <c r="Y737" i="6"/>
  <c r="AB841" i="6"/>
  <c r="AM789" i="6"/>
  <c r="AI789" i="6"/>
  <c r="AE789" i="6"/>
  <c r="AA789" i="6"/>
  <c r="AJ737" i="6"/>
  <c r="AF737" i="6"/>
  <c r="AB737" i="6"/>
  <c r="X683" i="6"/>
  <c r="Z659" i="6"/>
  <c r="AA841" i="6"/>
  <c r="AL789" i="6"/>
  <c r="AH789" i="6"/>
  <c r="AD789" i="6"/>
  <c r="Z789" i="6"/>
  <c r="AM737" i="6"/>
  <c r="AI737" i="6"/>
  <c r="AE737" i="6"/>
  <c r="AA737" i="6"/>
  <c r="W683" i="6"/>
  <c r="AA653" i="6"/>
  <c r="Z655" i="6"/>
  <c r="AA6" i="5"/>
  <c r="AL1743" i="6"/>
  <c r="AH1743" i="6"/>
  <c r="AD1743" i="6"/>
  <c r="Z1743" i="6"/>
  <c r="AM1691" i="6"/>
  <c r="AI1691" i="6"/>
  <c r="AE1691" i="6"/>
  <c r="AA1691" i="6"/>
  <c r="AL1639" i="6"/>
  <c r="AH1639" i="6"/>
  <c r="AD1639" i="6"/>
  <c r="Z1639" i="6"/>
  <c r="AM1743" i="6"/>
  <c r="AG1743" i="6"/>
  <c r="AB1743" i="6"/>
  <c r="AL1691" i="6"/>
  <c r="AG1691" i="6"/>
  <c r="AB1691" i="6"/>
  <c r="AK1639" i="6"/>
  <c r="AF1639" i="6"/>
  <c r="AA1639" i="6"/>
  <c r="W1585" i="6"/>
  <c r="AK1743" i="6"/>
  <c r="AF1743" i="6"/>
  <c r="AA1743" i="6"/>
  <c r="AK1691" i="6"/>
  <c r="AF1691" i="6"/>
  <c r="Z1691" i="6"/>
  <c r="AJ1639" i="6"/>
  <c r="AE1639" i="6"/>
  <c r="Y1639" i="6"/>
  <c r="V1585" i="6"/>
  <c r="Z1561" i="6"/>
  <c r="AJ1743" i="6"/>
  <c r="AE1743" i="6"/>
  <c r="Y1743" i="6"/>
  <c r="AJ1691" i="6"/>
  <c r="AD1691" i="6"/>
  <c r="Y1691" i="6"/>
  <c r="AI1639" i="6"/>
  <c r="AC1639" i="6"/>
  <c r="AN1743" i="6"/>
  <c r="AI1743" i="6"/>
  <c r="AC1743" i="6"/>
  <c r="AH1691" i="6"/>
  <c r="AC1691" i="6"/>
  <c r="AM1639" i="6"/>
  <c r="AG1639" i="6"/>
  <c r="AB1639" i="6"/>
  <c r="X1585" i="6"/>
  <c r="AM2637" i="6"/>
  <c r="AI2637" i="6"/>
  <c r="AE2637" i="6"/>
  <c r="AA2637" i="6"/>
  <c r="AO2585" i="6"/>
  <c r="AK2585" i="6"/>
  <c r="AG2585" i="6"/>
  <c r="AC2585" i="6"/>
  <c r="AN2533" i="6"/>
  <c r="AJ2533" i="6"/>
  <c r="AF2533" i="6"/>
  <c r="AB2533" i="6"/>
  <c r="AL2637" i="6"/>
  <c r="AG2637" i="6"/>
  <c r="AB2637" i="6"/>
  <c r="AM2585" i="6"/>
  <c r="AH2585" i="6"/>
  <c r="AB2585" i="6"/>
  <c r="AO2533" i="6"/>
  <c r="AI2533" i="6"/>
  <c r="AD2533" i="6"/>
  <c r="AB2453" i="6"/>
  <c r="AP2637" i="6"/>
  <c r="AK2637" i="6"/>
  <c r="AF2637" i="6"/>
  <c r="AL2585" i="6"/>
  <c r="AF2585" i="6"/>
  <c r="AA2585" i="6"/>
  <c r="AM2533" i="6"/>
  <c r="AH2533" i="6"/>
  <c r="AC2533" i="6"/>
  <c r="AO2637" i="6"/>
  <c r="AJ2637" i="6"/>
  <c r="AD2637" i="6"/>
  <c r="AJ2585" i="6"/>
  <c r="AE2585" i="6"/>
  <c r="AL2533" i="6"/>
  <c r="AG2533" i="6"/>
  <c r="AA2533" i="6"/>
  <c r="AI2585" i="6"/>
  <c r="Z2479" i="6"/>
  <c r="Z2454" i="6" s="1"/>
  <c r="AN2637" i="6"/>
  <c r="AD2585" i="6"/>
  <c r="AK2533" i="6"/>
  <c r="AH2637" i="6"/>
  <c r="AE2533" i="6"/>
  <c r="AC2637" i="6"/>
  <c r="AN2585" i="6"/>
  <c r="AB21" i="5"/>
  <c r="Z2450" i="6"/>
  <c r="Z2449" i="6"/>
  <c r="AA2448" i="6"/>
  <c r="AA16" i="5"/>
  <c r="Y2507" i="6"/>
  <c r="Y2506" i="6"/>
  <c r="W2506" i="6"/>
  <c r="W2507" i="6"/>
  <c r="I2893" i="6" a="1"/>
  <c r="I2893" i="6" s="1"/>
  <c r="I2999" i="6" s="1"/>
  <c r="O2841" i="6" a="1"/>
  <c r="O2841" i="6" s="1"/>
  <c r="L2893" i="6" a="1"/>
  <c r="L2893" i="6" s="1"/>
  <c r="L3000" i="6" s="1"/>
  <c r="O2893" i="6" a="1"/>
  <c r="O2893" i="6" s="1"/>
  <c r="D10" i="4"/>
  <c r="D12" i="4"/>
  <c r="D19" i="4"/>
  <c r="D11" i="4"/>
  <c r="D18" i="4"/>
  <c r="D17" i="4"/>
  <c r="D20" i="4"/>
  <c r="D13" i="4"/>
  <c r="D9" i="4"/>
  <c r="D15" i="4"/>
  <c r="D14" i="4"/>
  <c r="Q2841" i="6" a="1"/>
  <c r="Q2841" i="6" s="1"/>
  <c r="N2893" i="6" a="1"/>
  <c r="N2893" i="6" s="1"/>
  <c r="N3000" i="6" s="1"/>
  <c r="K2841" i="6" a="1"/>
  <c r="K2841" i="6" s="1"/>
  <c r="Q2893" i="6" a="1"/>
  <c r="Q2893" i="6" s="1"/>
  <c r="Q2999" i="6" s="1"/>
  <c r="W2945" i="6"/>
  <c r="Y3335" i="6"/>
  <c r="Y3334" i="6"/>
  <c r="AZ3228" i="6" a="1"/>
  <c r="AZ3228" i="6" s="1"/>
  <c r="BQ3176" i="6" a="1"/>
  <c r="BQ3176" i="6" s="1"/>
  <c r="AL3228" i="6" a="1"/>
  <c r="AL3228" i="6" s="1"/>
  <c r="BN3228" i="6" a="1"/>
  <c r="BN3228" i="6" s="1"/>
  <c r="AT3176" i="6" a="1"/>
  <c r="AT3176" i="6" s="1"/>
  <c r="AB124" i="14"/>
  <c r="U3170" i="6"/>
  <c r="AA92" i="14"/>
  <c r="AB92" i="14" s="1"/>
  <c r="BJ3393" i="6" a="1"/>
  <c r="BJ3393" i="6" s="1"/>
  <c r="W3499" i="6"/>
  <c r="W3498" i="6"/>
  <c r="Q24" i="9"/>
  <c r="R24" i="9" s="1"/>
  <c r="S24" i="13"/>
  <c r="U10" i="6"/>
  <c r="AW3498" i="6"/>
  <c r="AW3499" i="6"/>
  <c r="AC110" i="13"/>
  <c r="T23" i="14"/>
  <c r="V415" i="6"/>
  <c r="AB62" i="13"/>
  <c r="AA80" i="18"/>
  <c r="AA64" i="14"/>
  <c r="AB64" i="14" s="1"/>
  <c r="Z67" i="14"/>
  <c r="AA67" i="14"/>
  <c r="AA97" i="14"/>
  <c r="AA105" i="14"/>
  <c r="Z123" i="14"/>
  <c r="AA123" i="14"/>
  <c r="AA116" i="13"/>
  <c r="AA61" i="18"/>
  <c r="AA95" i="18"/>
  <c r="Z95" i="18"/>
  <c r="Z881" i="6"/>
  <c r="AA879" i="6"/>
  <c r="Z877" i="6"/>
  <c r="Y1108" i="6"/>
  <c r="Y1102" i="6"/>
  <c r="Z1104" i="6"/>
  <c r="Y2230" i="6"/>
  <c r="Y2231" i="6"/>
  <c r="Z2226" i="6"/>
  <c r="Z13" i="5"/>
  <c r="E3008" i="6" a="1"/>
  <c r="E3008" i="6" s="1"/>
  <c r="H3008" i="6" a="1"/>
  <c r="H3008" i="6" s="1"/>
  <c r="I3008" i="6" a="1"/>
  <c r="I3008" i="6" s="1"/>
  <c r="L3008" i="6" a="1"/>
  <c r="L3008" i="6" s="1"/>
  <c r="J3008" i="6" a="1"/>
  <c r="J3008" i="6" s="1"/>
  <c r="K3060" i="6" a="1"/>
  <c r="K3060" i="6" s="1"/>
  <c r="K3167" i="6" s="1"/>
  <c r="K3008" i="6" a="1"/>
  <c r="K3008" i="6" s="1"/>
  <c r="L3060" i="6" a="1"/>
  <c r="L3060" i="6" s="1"/>
  <c r="L3167" i="6" s="1"/>
  <c r="AA3176" i="6" a="1"/>
  <c r="AA3176" i="6" s="1"/>
  <c r="Z3228" i="6" a="1"/>
  <c r="Z3228" i="6" s="1"/>
  <c r="AB3228" i="6" a="1"/>
  <c r="AB3228" i="6" s="1"/>
  <c r="AK3176" i="6" a="1"/>
  <c r="AK3176" i="6" s="1"/>
  <c r="BA3335" i="6"/>
  <c r="T2841" i="6" a="1"/>
  <c r="T2841" i="6" s="1"/>
  <c r="P3166" i="6"/>
  <c r="AP3334" i="6"/>
  <c r="AP3335" i="6"/>
  <c r="AX3228" i="6" a="1"/>
  <c r="AX3228" i="6" s="1"/>
  <c r="AX3176" i="6" a="1"/>
  <c r="AX3176" i="6" s="1"/>
  <c r="AX3393" i="6" a="1"/>
  <c r="AX3393" i="6" s="1"/>
  <c r="BD3341" i="6" a="1"/>
  <c r="BD3341" i="6" s="1"/>
  <c r="AJ21" i="13"/>
  <c r="AI22" i="13"/>
  <c r="X2835" i="6"/>
  <c r="Y93" i="9"/>
  <c r="X74" i="9"/>
  <c r="X68" i="9"/>
  <c r="Y2837" i="6" s="1"/>
  <c r="X65" i="9"/>
  <c r="X63" i="9"/>
  <c r="X57" i="9"/>
  <c r="Y3002" i="6" s="1"/>
  <c r="X4" i="9"/>
  <c r="X92" i="9"/>
  <c r="X66" i="9"/>
  <c r="X64" i="9"/>
  <c r="X61" i="9"/>
  <c r="Y3005" i="6" s="1"/>
  <c r="X58" i="9"/>
  <c r="X16" i="9"/>
  <c r="X8" i="9"/>
  <c r="Y2670" i="6" s="1"/>
  <c r="X3" i="9"/>
  <c r="Y2668" i="6" s="1"/>
  <c r="X69" i="9"/>
  <c r="T3060" i="6" a="1"/>
  <c r="T3060" i="6" s="1"/>
  <c r="V2780" i="6"/>
  <c r="R2780" i="6"/>
  <c r="N2780" i="6"/>
  <c r="J2780" i="6"/>
  <c r="F2780" i="6"/>
  <c r="E2778" i="6"/>
  <c r="E2831" i="6" s="1"/>
  <c r="T2780" i="6"/>
  <c r="O2780" i="6"/>
  <c r="I2780" i="6"/>
  <c r="D2780" i="6"/>
  <c r="S2780" i="6"/>
  <c r="M2780" i="6"/>
  <c r="H2780" i="6"/>
  <c r="C2780" i="6"/>
  <c r="C2779" i="6" s="1"/>
  <c r="U2780" i="6"/>
  <c r="K2780" i="6"/>
  <c r="D2778" i="6"/>
  <c r="D2831" i="6" s="1"/>
  <c r="Q2780" i="6"/>
  <c r="G2780" i="6"/>
  <c r="C2778" i="6"/>
  <c r="C2831" i="6" s="1"/>
  <c r="P2780" i="6"/>
  <c r="E2780" i="6"/>
  <c r="G2778" i="6"/>
  <c r="G2831" i="6" s="1"/>
  <c r="W2780" i="6"/>
  <c r="C2673" i="6"/>
  <c r="L2780" i="6"/>
  <c r="F2778" i="6"/>
  <c r="F2831" i="6" s="1"/>
  <c r="C2672" i="6"/>
  <c r="D27" i="5"/>
  <c r="AZ3335" i="6"/>
  <c r="AZ3334" i="6"/>
  <c r="AQ3335" i="6"/>
  <c r="D16" i="3"/>
  <c r="H251" i="6" a="1"/>
  <c r="H251" i="6" s="1"/>
  <c r="H409" i="6" s="1"/>
  <c r="L303" i="6" a="1"/>
  <c r="L303" i="6" s="1"/>
  <c r="S303" i="6" a="1"/>
  <c r="S303" i="6" s="1"/>
  <c r="N251" i="6" a="1"/>
  <c r="N251" i="6" s="1"/>
  <c r="N409" i="6" s="1"/>
  <c r="O251" i="6" a="1"/>
  <c r="O251" i="6" s="1"/>
  <c r="O409" i="6" s="1"/>
  <c r="F303" i="6" a="1"/>
  <c r="F303" i="6" s="1"/>
  <c r="AO3228" i="6" a="1"/>
  <c r="AO3228" i="6" s="1"/>
  <c r="BD3228" i="6" a="1"/>
  <c r="BD3228" i="6" s="1"/>
  <c r="BI3176" i="6" a="1"/>
  <c r="BI3176" i="6" s="1"/>
  <c r="S3000" i="6"/>
  <c r="AL3335" i="6"/>
  <c r="E3166" i="6"/>
  <c r="W3171" i="6"/>
  <c r="W38" i="11"/>
  <c r="AP3341" i="6" a="1"/>
  <c r="AP3341" i="6" s="1"/>
  <c r="AZ3393" i="6" a="1"/>
  <c r="AZ3393" i="6" s="1"/>
  <c r="BV3341" i="6" a="1"/>
  <c r="BV3341" i="6" s="1"/>
  <c r="AL2796" i="6"/>
  <c r="AH2796" i="6"/>
  <c r="AD2796" i="6"/>
  <c r="Z2796" i="6"/>
  <c r="V2796" i="6"/>
  <c r="AJ2796" i="6"/>
  <c r="AE2796" i="6"/>
  <c r="Y2796" i="6"/>
  <c r="T2796" i="6"/>
  <c r="AI2796" i="6"/>
  <c r="AC2796" i="6"/>
  <c r="X2796" i="6"/>
  <c r="S2796" i="6"/>
  <c r="AF2796" i="6"/>
  <c r="U2796" i="6"/>
  <c r="AM2796" i="6"/>
  <c r="AB2796" i="6"/>
  <c r="AK2796" i="6"/>
  <c r="AA2796" i="6"/>
  <c r="S2673" i="6"/>
  <c r="AG2796" i="6"/>
  <c r="W2796" i="6"/>
  <c r="S2672" i="6"/>
  <c r="T27" i="5"/>
  <c r="T2669" i="6"/>
  <c r="AR3393" i="6" a="1"/>
  <c r="AR3393" i="6" s="1"/>
  <c r="V246" i="6"/>
  <c r="AC95" i="13"/>
  <c r="AG3498" i="6"/>
  <c r="AG3499" i="6"/>
  <c r="Z149" i="14"/>
  <c r="AA181" i="14"/>
  <c r="Z181" i="14"/>
  <c r="K3499" i="6"/>
  <c r="K3498" i="6"/>
  <c r="AA57" i="18"/>
  <c r="AA79" i="18"/>
  <c r="AB79" i="18"/>
  <c r="AC79" i="18" s="1"/>
  <c r="Z79" i="18"/>
  <c r="Y44" i="17"/>
  <c r="T17" i="18"/>
  <c r="V1332" i="6"/>
  <c r="Y17" i="18"/>
  <c r="Y1332" i="6"/>
  <c r="Z91" i="18"/>
  <c r="Z70" i="14"/>
  <c r="Z140" i="14"/>
  <c r="Z204" i="14"/>
  <c r="AB50" i="17"/>
  <c r="AA50" i="18"/>
  <c r="Z50" i="18"/>
  <c r="AB90" i="18"/>
  <c r="AC90" i="18" s="1"/>
  <c r="AA136" i="18"/>
  <c r="AD136" i="18" s="1"/>
  <c r="Z75" i="20"/>
  <c r="AB54" i="19"/>
  <c r="AA63" i="19"/>
  <c r="Z63" i="19"/>
  <c r="Z71" i="19"/>
  <c r="Z69" i="20"/>
  <c r="R2" i="21"/>
  <c r="T2032" i="6"/>
  <c r="AJ2191" i="6"/>
  <c r="W2139" i="6"/>
  <c r="T2033" i="6"/>
  <c r="AF2191" i="6"/>
  <c r="AI2139" i="6"/>
  <c r="AH2087" i="6"/>
  <c r="T2031" i="6"/>
  <c r="T2012" i="6" s="1"/>
  <c r="AB2191" i="6"/>
  <c r="AE2139" i="6"/>
  <c r="AD2087" i="6"/>
  <c r="X2191" i="6"/>
  <c r="AA2139" i="6"/>
  <c r="Z2087" i="6"/>
  <c r="AA2087" i="6"/>
  <c r="AB2139" i="6"/>
  <c r="AC2191" i="6"/>
  <c r="AB2087" i="6"/>
  <c r="AC2139" i="6"/>
  <c r="AD2191" i="6"/>
  <c r="AC2087" i="6"/>
  <c r="AD2139" i="6"/>
  <c r="AE2191" i="6"/>
  <c r="AE2087" i="6"/>
  <c r="AF2139" i="6"/>
  <c r="AG2191" i="6"/>
  <c r="AF2087" i="6"/>
  <c r="AG2139" i="6"/>
  <c r="AH2191" i="6"/>
  <c r="AG2087" i="6"/>
  <c r="AH2139" i="6"/>
  <c r="AI2087" i="6"/>
  <c r="AJ2139" i="6"/>
  <c r="AK2191" i="6"/>
  <c r="AJ2087" i="6"/>
  <c r="AK2139" i="6"/>
  <c r="AL2191" i="6"/>
  <c r="AK2087" i="6"/>
  <c r="W2191" i="6"/>
  <c r="AI2191" i="6"/>
  <c r="W2087" i="6"/>
  <c r="X2139" i="6"/>
  <c r="Y2191" i="6"/>
  <c r="X2087" i="6"/>
  <c r="Y2139" i="6"/>
  <c r="Z2191" i="6"/>
  <c r="Y2087" i="6"/>
  <c r="Z2139" i="6"/>
  <c r="AA2191" i="6"/>
  <c r="Z88" i="21"/>
  <c r="AA95" i="21"/>
  <c r="AA72" i="22"/>
  <c r="Z72" i="22"/>
  <c r="AB67" i="22"/>
  <c r="AD67" i="22"/>
  <c r="AC67" i="22"/>
  <c r="AA53" i="23"/>
  <c r="AB53" i="23"/>
  <c r="Z110" i="14"/>
  <c r="AA57" i="17"/>
  <c r="AB57" i="17" s="1"/>
  <c r="Z58" i="18"/>
  <c r="Z156" i="18"/>
  <c r="AC54" i="19"/>
  <c r="X413" i="6"/>
  <c r="W414" i="6"/>
  <c r="W635" i="6"/>
  <c r="X23" i="5" s="1"/>
  <c r="W419" i="6"/>
  <c r="X15" i="5"/>
  <c r="V22" i="9"/>
  <c r="AI602" i="6"/>
  <c r="AE602" i="6"/>
  <c r="AA602" i="6"/>
  <c r="W602" i="6"/>
  <c r="AH550" i="6"/>
  <c r="AD550" i="6"/>
  <c r="Z550" i="6"/>
  <c r="AH498" i="6"/>
  <c r="AD498" i="6"/>
  <c r="Z498" i="6"/>
  <c r="V444" i="6"/>
  <c r="AL602" i="6"/>
  <c r="AH602" i="6"/>
  <c r="AD602" i="6"/>
  <c r="Z602" i="6"/>
  <c r="AK550" i="6"/>
  <c r="AG550" i="6"/>
  <c r="AC550" i="6"/>
  <c r="Y550" i="6"/>
  <c r="AK498" i="6"/>
  <c r="AG498" i="6"/>
  <c r="AC498" i="6"/>
  <c r="Y498" i="6"/>
  <c r="U444" i="6"/>
  <c r="AF602" i="6"/>
  <c r="X602" i="6"/>
  <c r="AE550" i="6"/>
  <c r="W550" i="6"/>
  <c r="AE498" i="6"/>
  <c r="W498" i="6"/>
  <c r="AK602" i="6"/>
  <c r="AG602" i="6"/>
  <c r="AC602" i="6"/>
  <c r="Y602" i="6"/>
  <c r="AJ550" i="6"/>
  <c r="AF550" i="6"/>
  <c r="AB550" i="6"/>
  <c r="X550" i="6"/>
  <c r="AJ498" i="6"/>
  <c r="AF498" i="6"/>
  <c r="AB498" i="6"/>
  <c r="X498" i="6"/>
  <c r="T444" i="6"/>
  <c r="X422" i="6"/>
  <c r="AJ602" i="6"/>
  <c r="AB602" i="6"/>
  <c r="AI550" i="6"/>
  <c r="AA550" i="6"/>
  <c r="AI498" i="6"/>
  <c r="AA498" i="6"/>
  <c r="X20" i="5"/>
  <c r="U28" i="14"/>
  <c r="T28" i="14" s="1"/>
  <c r="S28" i="14" s="1"/>
  <c r="R28" i="14" s="1"/>
  <c r="Q28" i="14" s="1"/>
  <c r="P28" i="14" s="1"/>
  <c r="O28" i="14" s="1"/>
  <c r="N28" i="14" s="1"/>
  <c r="M28" i="14" s="1"/>
  <c r="L28" i="14" s="1"/>
  <c r="K28" i="14" s="1"/>
  <c r="J28" i="14" s="1"/>
  <c r="I28" i="14" s="1"/>
  <c r="H28" i="14" s="1"/>
  <c r="G28" i="14" s="1"/>
  <c r="F28" i="14" s="1"/>
  <c r="E28" i="14" s="1"/>
  <c r="D28" i="14" s="1"/>
  <c r="C28" i="14" s="1"/>
  <c r="B28" i="14" s="1"/>
  <c r="W28" i="14"/>
  <c r="X28" i="14" s="1"/>
  <c r="Y28" i="14" s="1"/>
  <c r="Z28" i="14" s="1"/>
  <c r="AA28" i="14" s="1"/>
  <c r="AB28" i="14" s="1"/>
  <c r="AC28" i="14" s="1"/>
  <c r="AD28" i="14" s="1"/>
  <c r="AE28" i="14" s="1"/>
  <c r="AF28" i="14" s="1"/>
  <c r="AG28" i="14" s="1"/>
  <c r="AH28" i="14" s="1"/>
  <c r="AI28" i="14" s="1"/>
  <c r="AJ28" i="14" s="1"/>
  <c r="AK28" i="14" s="1"/>
  <c r="AL28" i="14" s="1"/>
  <c r="AM28" i="14" s="1"/>
  <c r="AN28" i="14" s="1"/>
  <c r="AO28" i="14" s="1"/>
  <c r="AP28" i="14" s="1"/>
  <c r="AQ28" i="14" s="1"/>
  <c r="AR28" i="14" s="1"/>
  <c r="AS28" i="14" s="1"/>
  <c r="AT28" i="14" s="1"/>
  <c r="AU28" i="14" s="1"/>
  <c r="AV28" i="14" s="1"/>
  <c r="AW28" i="14" s="1"/>
  <c r="AX28" i="14" s="1"/>
  <c r="AY28" i="14" s="1"/>
  <c r="AZ28" i="14" s="1"/>
  <c r="Z1333" i="6"/>
  <c r="AA1331" i="6"/>
  <c r="Z1329" i="6"/>
  <c r="AA1558" i="6"/>
  <c r="AB1556" i="6"/>
  <c r="AA1554" i="6"/>
  <c r="AM1292" i="6"/>
  <c r="AI1292" i="6"/>
  <c r="AE1292" i="6"/>
  <c r="AA1292" i="6"/>
  <c r="AJ1240" i="6"/>
  <c r="AF1240" i="6"/>
  <c r="AB1240" i="6"/>
  <c r="X1240" i="6"/>
  <c r="AK1188" i="6"/>
  <c r="AG1188" i="6"/>
  <c r="AC1188" i="6"/>
  <c r="Y1188" i="6"/>
  <c r="T1134" i="6"/>
  <c r="Y1111" i="6"/>
  <c r="AL1292" i="6"/>
  <c r="AH1292" i="6"/>
  <c r="AD1292" i="6"/>
  <c r="Z1292" i="6"/>
  <c r="AI1240" i="6"/>
  <c r="AE1240" i="6"/>
  <c r="AA1240" i="6"/>
  <c r="AJ1188" i="6"/>
  <c r="AF1188" i="6"/>
  <c r="AB1188" i="6"/>
  <c r="X1188" i="6"/>
  <c r="W1134" i="6"/>
  <c r="S1134" i="6"/>
  <c r="AK1292" i="6"/>
  <c r="AG1292" i="6"/>
  <c r="AC1292" i="6"/>
  <c r="Y1292" i="6"/>
  <c r="AL1240" i="6"/>
  <c r="AH1240" i="6"/>
  <c r="AD1240" i="6"/>
  <c r="Z1240" i="6"/>
  <c r="AI1188" i="6"/>
  <c r="AE1188" i="6"/>
  <c r="AA1188" i="6"/>
  <c r="V1134" i="6"/>
  <c r="R1134" i="6"/>
  <c r="AJ1292" i="6"/>
  <c r="AF1292" i="6"/>
  <c r="AB1292" i="6"/>
  <c r="X1292" i="6"/>
  <c r="AK1240" i="6"/>
  <c r="AG1240" i="6"/>
  <c r="AC1240" i="6"/>
  <c r="Y1240" i="6"/>
  <c r="AL1188" i="6"/>
  <c r="AH1188" i="6"/>
  <c r="AD1188" i="6"/>
  <c r="Z1188" i="6"/>
  <c r="U1134" i="6"/>
  <c r="AK2193" i="6"/>
  <c r="AG2193" i="6"/>
  <c r="AC2193" i="6"/>
  <c r="Y2193" i="6"/>
  <c r="AL2141" i="6"/>
  <c r="AH2141" i="6"/>
  <c r="AD2141" i="6"/>
  <c r="Z2141" i="6"/>
  <c r="AK2089" i="6"/>
  <c r="AG2089" i="6"/>
  <c r="AC2089" i="6"/>
  <c r="Y2089" i="6"/>
  <c r="W2035" i="6"/>
  <c r="AN2193" i="6"/>
  <c r="AJ2193" i="6"/>
  <c r="AF2193" i="6"/>
  <c r="AB2193" i="6"/>
  <c r="AK2141" i="6"/>
  <c r="AG2141" i="6"/>
  <c r="AC2141" i="6"/>
  <c r="Y2141" i="6"/>
  <c r="AJ2089" i="6"/>
  <c r="AF2089" i="6"/>
  <c r="AB2089" i="6"/>
  <c r="V2035" i="6"/>
  <c r="Z2011" i="6"/>
  <c r="AM2193" i="6"/>
  <c r="AI2193" i="6"/>
  <c r="AE2193" i="6"/>
  <c r="AA2193" i="6"/>
  <c r="AJ2141" i="6"/>
  <c r="AF2141" i="6"/>
  <c r="AB2141" i="6"/>
  <c r="AM2089" i="6"/>
  <c r="AI2089" i="6"/>
  <c r="AE2089" i="6"/>
  <c r="AA2089" i="6"/>
  <c r="AL2193" i="6"/>
  <c r="AA2141" i="6"/>
  <c r="Z2089" i="6"/>
  <c r="AH2193" i="6"/>
  <c r="AM2141" i="6"/>
  <c r="AL2089" i="6"/>
  <c r="AD2193" i="6"/>
  <c r="AI2141" i="6"/>
  <c r="AH2089" i="6"/>
  <c r="X2035" i="6"/>
  <c r="Z2193" i="6"/>
  <c r="AE2141" i="6"/>
  <c r="AD2089" i="6"/>
  <c r="AF3228" i="6" a="1"/>
  <c r="AF3228" i="6" s="1"/>
  <c r="AF3335" i="6" s="1"/>
  <c r="AR3228" i="6" a="1"/>
  <c r="AR3228" i="6" s="1"/>
  <c r="AW3176" i="6" a="1"/>
  <c r="AW3176" i="6" s="1"/>
  <c r="G2999" i="6"/>
  <c r="BJ3176" i="6" a="1"/>
  <c r="BJ3176" i="6" s="1"/>
  <c r="AA183" i="14"/>
  <c r="AC64" i="13"/>
  <c r="AA151" i="14"/>
  <c r="AD3393" i="6" a="1"/>
  <c r="AD3393" i="6" s="1"/>
  <c r="BP3341" i="6" a="1"/>
  <c r="BP3341" i="6" s="1"/>
  <c r="AC60" i="13"/>
  <c r="AA101" i="13"/>
  <c r="Z101" i="13"/>
  <c r="AV3341" i="6" a="1"/>
  <c r="AV3341" i="6" s="1"/>
  <c r="AA21" i="13"/>
  <c r="Z22" i="13"/>
  <c r="AA167" i="14"/>
  <c r="AB167" i="14" s="1"/>
  <c r="AA3334" i="6"/>
  <c r="AA3335" i="6"/>
  <c r="AF3341" i="6" a="1"/>
  <c r="AF3341" i="6" s="1"/>
  <c r="BG3341" i="6" a="1"/>
  <c r="BG3341" i="6" s="1"/>
  <c r="V2781" i="6"/>
  <c r="R2781" i="6"/>
  <c r="N2781" i="6"/>
  <c r="J2781" i="6"/>
  <c r="F2781" i="6"/>
  <c r="U2781" i="6"/>
  <c r="P2781" i="6"/>
  <c r="K2781" i="6"/>
  <c r="E2781" i="6"/>
  <c r="T2781" i="6"/>
  <c r="O2781" i="6"/>
  <c r="I2781" i="6"/>
  <c r="D2781" i="6"/>
  <c r="W2781" i="6"/>
  <c r="L2781" i="6"/>
  <c r="S2781" i="6"/>
  <c r="H2781" i="6"/>
  <c r="Q2781" i="6"/>
  <c r="G2781" i="6"/>
  <c r="M2781" i="6"/>
  <c r="D2672" i="6"/>
  <c r="X2781" i="6"/>
  <c r="D2673" i="6"/>
  <c r="E27" i="5"/>
  <c r="AD2787" i="6"/>
  <c r="Z2787" i="6"/>
  <c r="V2787" i="6"/>
  <c r="R2787" i="6"/>
  <c r="N2787" i="6"/>
  <c r="J2787" i="6"/>
  <c r="J2673" i="6"/>
  <c r="AC2787" i="6"/>
  <c r="X2787" i="6"/>
  <c r="S2787" i="6"/>
  <c r="M2787" i="6"/>
  <c r="AB2787" i="6"/>
  <c r="W2787" i="6"/>
  <c r="Q2787" i="6"/>
  <c r="L2787" i="6"/>
  <c r="T2787" i="6"/>
  <c r="AA2787" i="6"/>
  <c r="P2787" i="6"/>
  <c r="Y2787" i="6"/>
  <c r="O2787" i="6"/>
  <c r="U2787" i="6"/>
  <c r="K2787" i="6"/>
  <c r="J2672" i="6"/>
  <c r="K27" i="5"/>
  <c r="AA175" i="14"/>
  <c r="Z68" i="20"/>
  <c r="AA50" i="13"/>
  <c r="AA66" i="13"/>
  <c r="AA51" i="16"/>
  <c r="AB51" i="16"/>
  <c r="AA66" i="17"/>
  <c r="AD60" i="13"/>
  <c r="AD76" i="13"/>
  <c r="AA131" i="14"/>
  <c r="AA59" i="16"/>
  <c r="AB59" i="16"/>
  <c r="AA74" i="13"/>
  <c r="AE76" i="13"/>
  <c r="Z30" i="14"/>
  <c r="Y32" i="14"/>
  <c r="AA134" i="14"/>
  <c r="AA166" i="14"/>
  <c r="AA198" i="14"/>
  <c r="AC45" i="18"/>
  <c r="Z59" i="18"/>
  <c r="AA65" i="21"/>
  <c r="AE112" i="13"/>
  <c r="T2" i="15"/>
  <c r="V681" i="6"/>
  <c r="U937" i="6"/>
  <c r="U938" i="6"/>
  <c r="AA51" i="15"/>
  <c r="Z58" i="16"/>
  <c r="AA58" i="16" s="1"/>
  <c r="AB95" i="18"/>
  <c r="Z111" i="18"/>
  <c r="AA61" i="16"/>
  <c r="AB49" i="16"/>
  <c r="Z54" i="17"/>
  <c r="Z67" i="18"/>
  <c r="AB107" i="18"/>
  <c r="AA90" i="14"/>
  <c r="Z90" i="14"/>
  <c r="Z122" i="14"/>
  <c r="AA122" i="14" s="1"/>
  <c r="Y126" i="14"/>
  <c r="Z128" i="14"/>
  <c r="Z160" i="14"/>
  <c r="Z192" i="14"/>
  <c r="AB86" i="18"/>
  <c r="AD110" i="18"/>
  <c r="Z49" i="19"/>
  <c r="AC148" i="18"/>
  <c r="Z44" i="19"/>
  <c r="AA50" i="19"/>
  <c r="AB50" i="19"/>
  <c r="AC125" i="18"/>
  <c r="AB130" i="18"/>
  <c r="Z130" i="18"/>
  <c r="AB66" i="19"/>
  <c r="AC66" i="19"/>
  <c r="AA64" i="20"/>
  <c r="AD70" i="20"/>
  <c r="AA75" i="20"/>
  <c r="AD80" i="20"/>
  <c r="AA155" i="18"/>
  <c r="AA39" i="21"/>
  <c r="AB39" i="21" s="1"/>
  <c r="Z137" i="18"/>
  <c r="AB155" i="18"/>
  <c r="AA42" i="19"/>
  <c r="AA58" i="19"/>
  <c r="AA69" i="19"/>
  <c r="AB69" i="19"/>
  <c r="Z62" i="21"/>
  <c r="AB42" i="21"/>
  <c r="AD102" i="21"/>
  <c r="Z51" i="22"/>
  <c r="AB51" i="22" s="1"/>
  <c r="Z103" i="21"/>
  <c r="Z111" i="21"/>
  <c r="AB74" i="22"/>
  <c r="AA74" i="22"/>
  <c r="AB90" i="22"/>
  <c r="AA90" i="22"/>
  <c r="AB107" i="22"/>
  <c r="AA107" i="22"/>
  <c r="AA61" i="21"/>
  <c r="Y36" i="22"/>
  <c r="AA38" i="22"/>
  <c r="AC52" i="22"/>
  <c r="AD56" i="22"/>
  <c r="Z58" i="22"/>
  <c r="AC73" i="22"/>
  <c r="AA89" i="22"/>
  <c r="AE77" i="22"/>
  <c r="AB103" i="22"/>
  <c r="AD103" i="22" s="1"/>
  <c r="AB113" i="22"/>
  <c r="Z106" i="22"/>
  <c r="AB108" i="22"/>
  <c r="Z114" i="22"/>
  <c r="Z122" i="22"/>
  <c r="Z120" i="18"/>
  <c r="AB73" i="15"/>
  <c r="AC57" i="16"/>
  <c r="AB57" i="16"/>
  <c r="AA107" i="18"/>
  <c r="Z40" i="15"/>
  <c r="AA58" i="17"/>
  <c r="Z105" i="18"/>
  <c r="AC50" i="19"/>
  <c r="AA151" i="18"/>
  <c r="Z151" i="18"/>
  <c r="Z65" i="20"/>
  <c r="AD81" i="21"/>
  <c r="AB50" i="21"/>
  <c r="AC126" i="22"/>
  <c r="AC85" i="22"/>
  <c r="Y39" i="23"/>
  <c r="Z2451" i="6" s="1"/>
  <c r="Y32" i="22"/>
  <c r="Y32" i="20"/>
  <c r="Y32" i="19"/>
  <c r="Y32" i="21"/>
  <c r="Y37" i="17"/>
  <c r="Y49" i="14"/>
  <c r="Y32" i="18"/>
  <c r="Y42" i="16"/>
  <c r="Z882" i="6" s="1"/>
  <c r="Y34" i="15"/>
  <c r="Z657" i="6" s="1"/>
  <c r="Y41" i="13"/>
  <c r="Z7" i="7"/>
  <c r="T2999" i="6"/>
  <c r="AE106" i="13"/>
  <c r="AB71" i="15"/>
  <c r="AD115" i="13"/>
  <c r="AA1413" i="6"/>
  <c r="AB1465" i="6"/>
  <c r="AB1517" i="6"/>
  <c r="X1413" i="6"/>
  <c r="Y1465" i="6"/>
  <c r="Y1517" i="6"/>
  <c r="AG1413" i="6"/>
  <c r="AH1465" i="6"/>
  <c r="AH1517" i="6"/>
  <c r="AH1413" i="6"/>
  <c r="AI1465" i="6"/>
  <c r="AM1517" i="6"/>
  <c r="Z60" i="16"/>
  <c r="Z68" i="16"/>
  <c r="AC98" i="18"/>
  <c r="AD98" i="18" s="1"/>
  <c r="AA74" i="20"/>
  <c r="Y2" i="20"/>
  <c r="Z2" i="20" s="1"/>
  <c r="AA2" i="20" s="1"/>
  <c r="AB2" i="20" s="1"/>
  <c r="AC2" i="20" s="1"/>
  <c r="AD2" i="20" s="1"/>
  <c r="AE2" i="20" s="1"/>
  <c r="AF2" i="20" s="1"/>
  <c r="AG2" i="20" s="1"/>
  <c r="AH2" i="20" s="1"/>
  <c r="AI2" i="20" s="1"/>
  <c r="AJ2" i="20" s="1"/>
  <c r="AK2" i="20" s="1"/>
  <c r="AL2" i="20" s="1"/>
  <c r="AM2" i="20" s="1"/>
  <c r="AN2" i="20" s="1"/>
  <c r="AO2" i="20" s="1"/>
  <c r="AP2" i="20" s="1"/>
  <c r="AQ2" i="20" s="1"/>
  <c r="AR2" i="20" s="1"/>
  <c r="AS2" i="20" s="1"/>
  <c r="AT2" i="20" s="1"/>
  <c r="AU2" i="20" s="1"/>
  <c r="AV2" i="20" s="1"/>
  <c r="AW2" i="20" s="1"/>
  <c r="AX2" i="20" s="1"/>
  <c r="AY2" i="20" s="1"/>
  <c r="AZ2" i="20" s="1"/>
  <c r="Z101" i="21"/>
  <c r="AC69" i="21"/>
  <c r="AC95" i="22"/>
  <c r="Z54" i="13"/>
  <c r="AB72" i="13"/>
  <c r="AA85" i="13"/>
  <c r="AB205" i="14"/>
  <c r="AA83" i="18"/>
  <c r="Z121" i="18"/>
  <c r="Z82" i="14"/>
  <c r="AA86" i="14"/>
  <c r="Z98" i="14"/>
  <c r="AA102" i="14"/>
  <c r="Z114" i="14"/>
  <c r="AA52" i="16"/>
  <c r="AA81" i="18"/>
  <c r="AA61" i="19"/>
  <c r="AB61" i="19" s="1"/>
  <c r="Z131" i="18"/>
  <c r="AA131" i="18"/>
  <c r="AB46" i="19"/>
  <c r="AC49" i="20"/>
  <c r="AB49" i="20"/>
  <c r="AC57" i="20"/>
  <c r="AB136" i="18"/>
  <c r="AC58" i="20"/>
  <c r="AA42" i="22"/>
  <c r="AA42" i="21"/>
  <c r="AD110" i="21"/>
  <c r="AA121" i="22"/>
  <c r="Z47" i="23"/>
  <c r="AA99" i="22"/>
  <c r="L2999" i="6"/>
  <c r="D3499" i="6"/>
  <c r="AK3498" i="6"/>
  <c r="AK3499" i="6"/>
  <c r="AC120" i="14"/>
  <c r="X3112" i="6"/>
  <c r="AH3080" i="6"/>
  <c r="AD3080" i="6"/>
  <c r="Z3080" i="6"/>
  <c r="V3080" i="6"/>
  <c r="AG3028" i="6"/>
  <c r="AC3028" i="6"/>
  <c r="Y3028" i="6"/>
  <c r="AG3080" i="6"/>
  <c r="AC3080" i="6"/>
  <c r="Y3080" i="6"/>
  <c r="AJ3028" i="6"/>
  <c r="AF3028" i="6"/>
  <c r="AB3028" i="6"/>
  <c r="X3028" i="6"/>
  <c r="AI3080" i="6"/>
  <c r="AA3080" i="6"/>
  <c r="AH3028" i="6"/>
  <c r="Z3028" i="6"/>
  <c r="AF3080" i="6"/>
  <c r="X3080" i="6"/>
  <c r="AE3028" i="6"/>
  <c r="W3028" i="6"/>
  <c r="W3008" i="6" s="1" a="1"/>
  <c r="W3008" i="6" s="1"/>
  <c r="AE3080" i="6"/>
  <c r="W3080" i="6"/>
  <c r="W3060" i="6" s="1" a="1"/>
  <c r="W3060" i="6" s="1"/>
  <c r="AD3028" i="6"/>
  <c r="V3028" i="6"/>
  <c r="V3008" i="6" s="1" a="1"/>
  <c r="V3008" i="6" s="1"/>
  <c r="AJ3080" i="6"/>
  <c r="AI3028" i="6"/>
  <c r="AB3080" i="6"/>
  <c r="AA3028" i="6"/>
  <c r="Y67" i="12"/>
  <c r="W247" i="6"/>
  <c r="AB77" i="13"/>
  <c r="AA77" i="13"/>
  <c r="Z173" i="14"/>
  <c r="AF179" i="14"/>
  <c r="AD179" i="14"/>
  <c r="AA96" i="18"/>
  <c r="AC55" i="16"/>
  <c r="AB94" i="18"/>
  <c r="Z53" i="16"/>
  <c r="AA52" i="15"/>
  <c r="AB56" i="16"/>
  <c r="AD56" i="16"/>
  <c r="AA64" i="16"/>
  <c r="AA100" i="18"/>
  <c r="AC63" i="17"/>
  <c r="AA52" i="17"/>
  <c r="AA70" i="19"/>
  <c r="Z70" i="19"/>
  <c r="AC45" i="20"/>
  <c r="AB72" i="20"/>
  <c r="AB60" i="20"/>
  <c r="AB90" i="21"/>
  <c r="Z54" i="22"/>
  <c r="Z74" i="21"/>
  <c r="AD52" i="23"/>
  <c r="Z2783" i="6"/>
  <c r="V2783" i="6"/>
  <c r="R2783" i="6"/>
  <c r="N2783" i="6"/>
  <c r="J2783" i="6"/>
  <c r="F2783" i="6"/>
  <c r="F2673" i="6"/>
  <c r="X2783" i="6"/>
  <c r="S2783" i="6"/>
  <c r="M2783" i="6"/>
  <c r="H2783" i="6"/>
  <c r="W2783" i="6"/>
  <c r="Q2783" i="6"/>
  <c r="L2783" i="6"/>
  <c r="G2783" i="6"/>
  <c r="Y2783" i="6"/>
  <c r="O2783" i="6"/>
  <c r="U2783" i="6"/>
  <c r="K2783" i="6"/>
  <c r="T2783" i="6"/>
  <c r="I2783" i="6"/>
  <c r="P2783" i="6"/>
  <c r="F2672" i="6"/>
  <c r="G27" i="5"/>
  <c r="H3498" i="6"/>
  <c r="Z70" i="13"/>
  <c r="Y48" i="13"/>
  <c r="AE43" i="15"/>
  <c r="AD111" i="13"/>
  <c r="AA194" i="14"/>
  <c r="Z66" i="16"/>
  <c r="Z103" i="18"/>
  <c r="S17" i="20"/>
  <c r="U1782" i="6"/>
  <c r="AA69" i="15"/>
  <c r="Z64" i="15"/>
  <c r="AA48" i="16"/>
  <c r="AC38" i="18"/>
  <c r="AB73" i="21"/>
  <c r="Z87" i="21"/>
  <c r="AC87" i="21" s="1"/>
  <c r="AA98" i="21"/>
  <c r="AA44" i="22"/>
  <c r="Z76" i="22"/>
  <c r="AA110" i="22"/>
  <c r="AC82" i="22"/>
  <c r="AA109" i="21"/>
  <c r="AE57" i="13"/>
  <c r="AA117" i="22"/>
  <c r="AC59" i="17"/>
  <c r="Z80" i="22"/>
  <c r="AA80" i="22"/>
  <c r="AF77" i="22"/>
  <c r="AH2793" i="6"/>
  <c r="AD2793" i="6"/>
  <c r="Z2793" i="6"/>
  <c r="V2793" i="6"/>
  <c r="R2793" i="6"/>
  <c r="AF2793" i="6"/>
  <c r="AA2793" i="6"/>
  <c r="U2793" i="6"/>
  <c r="P2793" i="6"/>
  <c r="AJ2793" i="6"/>
  <c r="AE2793" i="6"/>
  <c r="Y2793" i="6"/>
  <c r="T2793" i="6"/>
  <c r="AB2793" i="6"/>
  <c r="Q2793" i="6"/>
  <c r="AI2793" i="6"/>
  <c r="X2793" i="6"/>
  <c r="AG2793" i="6"/>
  <c r="W2793" i="6"/>
  <c r="AC2793" i="6"/>
  <c r="S2793" i="6"/>
  <c r="P2672" i="6"/>
  <c r="P2673" i="6"/>
  <c r="Q27" i="5"/>
  <c r="W25" i="14"/>
  <c r="X25" i="14" s="1"/>
  <c r="Y25" i="14" s="1"/>
  <c r="Z25" i="14" s="1"/>
  <c r="AA25" i="14" s="1"/>
  <c r="AB25" i="14" s="1"/>
  <c r="AC25" i="14" s="1"/>
  <c r="AD25" i="14" s="1"/>
  <c r="AE25" i="14" s="1"/>
  <c r="AF25" i="14" s="1"/>
  <c r="AG25" i="14" s="1"/>
  <c r="AH25" i="14" s="1"/>
  <c r="AI25" i="14" s="1"/>
  <c r="AJ25" i="14" s="1"/>
  <c r="AK25" i="14" s="1"/>
  <c r="AL25" i="14" s="1"/>
  <c r="AM25" i="14" s="1"/>
  <c r="AN25" i="14" s="1"/>
  <c r="AO25" i="14" s="1"/>
  <c r="AP25" i="14" s="1"/>
  <c r="AQ25" i="14" s="1"/>
  <c r="AR25" i="14" s="1"/>
  <c r="AS25" i="14" s="1"/>
  <c r="AT25" i="14" s="1"/>
  <c r="AU25" i="14" s="1"/>
  <c r="AV25" i="14" s="1"/>
  <c r="AW25" i="14" s="1"/>
  <c r="AX25" i="14" s="1"/>
  <c r="AY25" i="14" s="1"/>
  <c r="AZ25" i="14" s="1"/>
  <c r="U25" i="14"/>
  <c r="T25" i="14" s="1"/>
  <c r="S25" i="14" s="1"/>
  <c r="R25" i="14" s="1"/>
  <c r="Q25" i="14" s="1"/>
  <c r="P25" i="14" s="1"/>
  <c r="O25" i="14" s="1"/>
  <c r="N25" i="14" s="1"/>
  <c r="M25" i="14" s="1"/>
  <c r="L25" i="14" s="1"/>
  <c r="K25" i="14" s="1"/>
  <c r="J25" i="14" s="1"/>
  <c r="I25" i="14" s="1"/>
  <c r="H25" i="14" s="1"/>
  <c r="G25" i="14" s="1"/>
  <c r="F25" i="14" s="1"/>
  <c r="E25" i="14" s="1"/>
  <c r="D25" i="14" s="1"/>
  <c r="C25" i="14" s="1"/>
  <c r="B25" i="14" s="1"/>
  <c r="V938" i="6"/>
  <c r="V937" i="6"/>
  <c r="AA1330" i="6"/>
  <c r="Z1334" i="6"/>
  <c r="Z1335" i="6"/>
  <c r="AA10" i="5"/>
  <c r="R2450" i="6"/>
  <c r="R2449" i="6"/>
  <c r="S16" i="5"/>
  <c r="AQ3176" i="6" a="1"/>
  <c r="AQ3176" i="6" s="1"/>
  <c r="AQ3334" i="6" s="1"/>
  <c r="AW3228" i="6" a="1"/>
  <c r="AW3228" i="6" s="1"/>
  <c r="BM3228" i="6" a="1"/>
  <c r="BM3228" i="6" s="1"/>
  <c r="BL3228" i="6" a="1"/>
  <c r="BL3228" i="6" s="1"/>
  <c r="X2836" i="6"/>
  <c r="Y2836" i="6" s="1"/>
  <c r="V3060" i="6" a="1"/>
  <c r="V3060" i="6" s="1"/>
  <c r="V3166" i="6" s="1"/>
  <c r="BB3228" i="6" a="1"/>
  <c r="BB3228" i="6" s="1"/>
  <c r="AZ3498" i="6"/>
  <c r="AZ3499" i="6"/>
  <c r="X26" i="5"/>
  <c r="AS3341" i="6" a="1"/>
  <c r="AS3341" i="6" s="1"/>
  <c r="AT3341" i="6" a="1"/>
  <c r="AT3341" i="6" s="1"/>
  <c r="BO3341" i="6" a="1"/>
  <c r="BO3341" i="6" s="1"/>
  <c r="BP3393" i="6" a="1"/>
  <c r="BP3393" i="6" s="1"/>
  <c r="AA71" i="13"/>
  <c r="AB71" i="13"/>
  <c r="T3334" i="6"/>
  <c r="T3170" i="6"/>
  <c r="T3335" i="6"/>
  <c r="AV3393" i="6" a="1"/>
  <c r="AV3393" i="6" s="1"/>
  <c r="U645" i="6"/>
  <c r="AR3334" i="6"/>
  <c r="AR3335" i="6"/>
  <c r="AF3393" i="6" a="1"/>
  <c r="AF3393" i="6" s="1"/>
  <c r="Z193" i="14"/>
  <c r="AA122" i="13"/>
  <c r="AB70" i="15"/>
  <c r="AA163" i="14"/>
  <c r="AA189" i="14"/>
  <c r="Z189" i="14"/>
  <c r="AB197" i="14"/>
  <c r="Z96" i="14"/>
  <c r="AC75" i="14"/>
  <c r="AB83" i="14"/>
  <c r="AC123" i="14"/>
  <c r="Z42" i="15"/>
  <c r="AA55" i="15"/>
  <c r="Z54" i="16"/>
  <c r="AD42" i="18"/>
  <c r="AB134" i="18"/>
  <c r="AB158" i="14"/>
  <c r="AB190" i="14"/>
  <c r="AC190" i="14" s="1"/>
  <c r="T21" i="15"/>
  <c r="V655" i="6"/>
  <c r="Z74" i="15"/>
  <c r="AA64" i="19"/>
  <c r="AF112" i="13"/>
  <c r="AB81" i="14"/>
  <c r="AA75" i="15"/>
  <c r="Z47" i="18"/>
  <c r="AB63" i="18"/>
  <c r="AA78" i="18"/>
  <c r="AB78" i="18" s="1"/>
  <c r="Z117" i="18"/>
  <c r="AB204" i="14"/>
  <c r="W660" i="6"/>
  <c r="V682" i="6"/>
  <c r="AC41" i="18"/>
  <c r="AA65" i="18"/>
  <c r="Z113" i="18"/>
  <c r="AC46" i="18"/>
  <c r="Z150" i="18"/>
  <c r="Z60" i="17"/>
  <c r="AC60" i="17" s="1"/>
  <c r="Z60" i="19"/>
  <c r="AA60" i="19"/>
  <c r="AC136" i="18"/>
  <c r="AD125" i="18"/>
  <c r="AA127" i="18"/>
  <c r="AA130" i="18"/>
  <c r="AA135" i="18"/>
  <c r="AB135" i="18"/>
  <c r="AD160" i="18"/>
  <c r="AD38" i="20"/>
  <c r="AD50" i="20"/>
  <c r="Z145" i="18"/>
  <c r="AA145" i="18" s="1"/>
  <c r="Z51" i="19"/>
  <c r="Y36" i="20"/>
  <c r="AA39" i="20"/>
  <c r="AA55" i="20"/>
  <c r="Z55" i="20"/>
  <c r="AB47" i="21"/>
  <c r="Z71" i="21"/>
  <c r="Z97" i="21"/>
  <c r="AA97" i="21"/>
  <c r="Z59" i="22"/>
  <c r="AA59" i="22" s="1"/>
  <c r="AA60" i="21"/>
  <c r="AA62" i="21"/>
  <c r="AA46" i="21"/>
  <c r="AB46" i="21"/>
  <c r="AC75" i="21"/>
  <c r="AA77" i="21"/>
  <c r="Y2228" i="6"/>
  <c r="Z107" i="21"/>
  <c r="Z119" i="22"/>
  <c r="AB70" i="21"/>
  <c r="AA70" i="21"/>
  <c r="Z78" i="21"/>
  <c r="AB105" i="21"/>
  <c r="Z88" i="22"/>
  <c r="AB89" i="22"/>
  <c r="AD41" i="22"/>
  <c r="AE41" i="22" s="1"/>
  <c r="AC79" i="22"/>
  <c r="AD71" i="22"/>
  <c r="AE71" i="22"/>
  <c r="AC101" i="22"/>
  <c r="AA114" i="22"/>
  <c r="AA122" i="22"/>
  <c r="AB116" i="22"/>
  <c r="AB48" i="23"/>
  <c r="AB57" i="15"/>
  <c r="AA75" i="18"/>
  <c r="AA92" i="18"/>
  <c r="Z78" i="14"/>
  <c r="Z133" i="18"/>
  <c r="AA79" i="20"/>
  <c r="Z39" i="19"/>
  <c r="AB67" i="19"/>
  <c r="AB59" i="20"/>
  <c r="AB68" i="21"/>
  <c r="AC68" i="21"/>
  <c r="AB76" i="21"/>
  <c r="Z127" i="22"/>
  <c r="AE128" i="22"/>
  <c r="AB63" i="13"/>
  <c r="AA63" i="13"/>
  <c r="AF106" i="13"/>
  <c r="AB66" i="13"/>
  <c r="AF73" i="13"/>
  <c r="Z69" i="16"/>
  <c r="AD62" i="17"/>
  <c r="AE1413" i="6"/>
  <c r="AF1465" i="6"/>
  <c r="AF1517" i="6"/>
  <c r="AB1413" i="6"/>
  <c r="AC1465" i="6"/>
  <c r="AC1517" i="6"/>
  <c r="AK1413" i="6"/>
  <c r="AL1465" i="6"/>
  <c r="AL1517" i="6"/>
  <c r="AL1413" i="6"/>
  <c r="AA102" i="18"/>
  <c r="Z76" i="15"/>
  <c r="AC68" i="18"/>
  <c r="AD41" i="18"/>
  <c r="AA138" i="18"/>
  <c r="Y23" i="20"/>
  <c r="Z23" i="20" s="1"/>
  <c r="AA23" i="20" s="1"/>
  <c r="AB23" i="20" s="1"/>
  <c r="AC23" i="20" s="1"/>
  <c r="AD23" i="20" s="1"/>
  <c r="AE23" i="20" s="1"/>
  <c r="AF23" i="20" s="1"/>
  <c r="AG23" i="20" s="1"/>
  <c r="AH23" i="20" s="1"/>
  <c r="AI23" i="20" s="1"/>
  <c r="AJ23" i="20" s="1"/>
  <c r="AK23" i="20" s="1"/>
  <c r="AL23" i="20" s="1"/>
  <c r="AM23" i="20" s="1"/>
  <c r="AN23" i="20" s="1"/>
  <c r="AO23" i="20" s="1"/>
  <c r="AP23" i="20" s="1"/>
  <c r="AQ23" i="20" s="1"/>
  <c r="AR23" i="20" s="1"/>
  <c r="AS23" i="20" s="1"/>
  <c r="AT23" i="20" s="1"/>
  <c r="AU23" i="20" s="1"/>
  <c r="AV23" i="20" s="1"/>
  <c r="AW23" i="20" s="1"/>
  <c r="AX23" i="20" s="1"/>
  <c r="AY23" i="20" s="1"/>
  <c r="AZ23" i="20" s="1"/>
  <c r="AA139" i="18"/>
  <c r="AA53" i="21"/>
  <c r="T2233" i="6"/>
  <c r="AC60" i="22"/>
  <c r="Z66" i="21"/>
  <c r="AB124" i="22"/>
  <c r="AC125" i="22"/>
  <c r="AA129" i="14"/>
  <c r="AC65" i="13"/>
  <c r="AB98" i="13"/>
  <c r="AA69" i="17"/>
  <c r="AB178" i="14"/>
  <c r="AC178" i="14"/>
  <c r="T19" i="18"/>
  <c r="S19" i="18" s="1"/>
  <c r="R19" i="18" s="1"/>
  <c r="Q19" i="18" s="1"/>
  <c r="P19" i="18" s="1"/>
  <c r="O19" i="18" s="1"/>
  <c r="N19" i="18" s="1"/>
  <c r="M19" i="18" s="1"/>
  <c r="L19" i="18" s="1"/>
  <c r="K19" i="18" s="1"/>
  <c r="J19" i="18" s="1"/>
  <c r="I19" i="18" s="1"/>
  <c r="H19" i="18" s="1"/>
  <c r="G19" i="18" s="1"/>
  <c r="F19" i="18" s="1"/>
  <c r="E19" i="18" s="1"/>
  <c r="D19" i="18" s="1"/>
  <c r="C19" i="18" s="1"/>
  <c r="B19" i="18" s="1"/>
  <c r="Z53" i="15"/>
  <c r="AB70" i="18"/>
  <c r="AC70" i="18" s="1"/>
  <c r="Z66" i="14"/>
  <c r="AA70" i="14"/>
  <c r="Z68" i="15"/>
  <c r="Z63" i="20"/>
  <c r="AB42" i="22"/>
  <c r="AC106" i="21"/>
  <c r="AB70" i="22"/>
  <c r="AA70" i="22"/>
  <c r="AA102" i="22"/>
  <c r="AH2791" i="6"/>
  <c r="AD2791" i="6"/>
  <c r="Z2791" i="6"/>
  <c r="V2791" i="6"/>
  <c r="R2791" i="6"/>
  <c r="N2791" i="6"/>
  <c r="N2673" i="6"/>
  <c r="AC2791" i="6"/>
  <c r="X2791" i="6"/>
  <c r="S2791" i="6"/>
  <c r="AG2791" i="6"/>
  <c r="AB2791" i="6"/>
  <c r="W2791" i="6"/>
  <c r="Q2791" i="6"/>
  <c r="Y2791" i="6"/>
  <c r="O2791" i="6"/>
  <c r="AF2791" i="6"/>
  <c r="U2791" i="6"/>
  <c r="AE2791" i="6"/>
  <c r="T2791" i="6"/>
  <c r="AA2791" i="6"/>
  <c r="P2791" i="6"/>
  <c r="N2672" i="6"/>
  <c r="O27" i="5"/>
  <c r="Y3112" i="6"/>
  <c r="AB50" i="13"/>
  <c r="Z86" i="13"/>
  <c r="AA173" i="14"/>
  <c r="AA64" i="18"/>
  <c r="AC66" i="13"/>
  <c r="Z113" i="13"/>
  <c r="AA77" i="18"/>
  <c r="Y36" i="18"/>
  <c r="AB118" i="18"/>
  <c r="AC118" i="18"/>
  <c r="Z52" i="15"/>
  <c r="AC66" i="18"/>
  <c r="AB100" i="18"/>
  <c r="AD112" i="18"/>
  <c r="AA48" i="19"/>
  <c r="AA56" i="19"/>
  <c r="AA128" i="18"/>
  <c r="AB70" i="19"/>
  <c r="AD45" i="20"/>
  <c r="AA56" i="20"/>
  <c r="AC60" i="20"/>
  <c r="AC63" i="21"/>
  <c r="AB157" i="18"/>
  <c r="AD55" i="22"/>
  <c r="AD49" i="22"/>
  <c r="D3000" i="6"/>
  <c r="AC207" i="14"/>
  <c r="AB72" i="14"/>
  <c r="AL2795" i="6"/>
  <c r="AH2795" i="6"/>
  <c r="AD2795" i="6"/>
  <c r="Z2795" i="6"/>
  <c r="V2795" i="6"/>
  <c r="R2795" i="6"/>
  <c r="R2673" i="6"/>
  <c r="AI2795" i="6"/>
  <c r="AC2795" i="6"/>
  <c r="X2795" i="6"/>
  <c r="S2795" i="6"/>
  <c r="AG2795" i="6"/>
  <c r="AB2795" i="6"/>
  <c r="W2795" i="6"/>
  <c r="AE2795" i="6"/>
  <c r="T2795" i="6"/>
  <c r="AK2795" i="6"/>
  <c r="AA2795" i="6"/>
  <c r="AJ2795" i="6"/>
  <c r="Y2795" i="6"/>
  <c r="AF2795" i="6"/>
  <c r="U2795" i="6"/>
  <c r="R2672" i="6"/>
  <c r="S27" i="5"/>
  <c r="AC56" i="13"/>
  <c r="AA70" i="13"/>
  <c r="AA78" i="13"/>
  <c r="AB92" i="13"/>
  <c r="AB147" i="14"/>
  <c r="AA112" i="14"/>
  <c r="AC83" i="13"/>
  <c r="AA162" i="14"/>
  <c r="AB162" i="14" s="1"/>
  <c r="AA66" i="16"/>
  <c r="Z71" i="18"/>
  <c r="AA103" i="18"/>
  <c r="Z56" i="15"/>
  <c r="Y46" i="16"/>
  <c r="Z883" i="6" s="1"/>
  <c r="Z43" i="19"/>
  <c r="AA71" i="20"/>
  <c r="AA51" i="21"/>
  <c r="AE102" i="21"/>
  <c r="AA89" i="21"/>
  <c r="AB44" i="22"/>
  <c r="AA76" i="22"/>
  <c r="AC124" i="22"/>
  <c r="AD50" i="23"/>
  <c r="AA50" i="22"/>
  <c r="AD82" i="22"/>
  <c r="U2507" i="6"/>
  <c r="U2506" i="6"/>
  <c r="AC49" i="23"/>
  <c r="AD95" i="22"/>
  <c r="AA69" i="16"/>
  <c r="AC103" i="13"/>
  <c r="X14" i="13"/>
  <c r="Y237" i="6"/>
  <c r="Y12" i="6"/>
  <c r="Z9" i="6"/>
  <c r="Y7" i="6"/>
  <c r="AC2447" i="6"/>
  <c r="AB2452" i="6"/>
  <c r="AC14" i="5"/>
  <c r="V36" i="11"/>
  <c r="V3170" i="6"/>
  <c r="AA177" i="14"/>
  <c r="Z177" i="14"/>
  <c r="AA143" i="14"/>
  <c r="AA203" i="14"/>
  <c r="S3499" i="6"/>
  <c r="AA113" i="14"/>
  <c r="AA63" i="16"/>
  <c r="Z2008" i="6"/>
  <c r="AA2006" i="6"/>
  <c r="Z2004" i="6"/>
  <c r="O3008" i="6" a="1"/>
  <c r="O3008" i="6" s="1"/>
  <c r="BD3393" i="6" a="1"/>
  <c r="BD3393" i="6" s="1"/>
  <c r="BF3393" i="6" a="1"/>
  <c r="BF3393" i="6" s="1"/>
  <c r="AN3228" i="6" a="1"/>
  <c r="AN3228" i="6" s="1"/>
  <c r="AE108" i="13"/>
  <c r="AA3004" i="6"/>
  <c r="AY3341" i="6" a="1"/>
  <c r="AY3341" i="6" s="1"/>
  <c r="U59" i="12"/>
  <c r="V60" i="12"/>
  <c r="AQ3341" i="6" a="1"/>
  <c r="AQ3341" i="6" s="1"/>
  <c r="Y408" i="6"/>
  <c r="Y244" i="6"/>
  <c r="Z28" i="5" s="1"/>
  <c r="Y245" i="6"/>
  <c r="AS3498" i="6"/>
  <c r="AS3499" i="6"/>
  <c r="AA68" i="14"/>
  <c r="AA155" i="14"/>
  <c r="AA187" i="14"/>
  <c r="AC142" i="14"/>
  <c r="AD142" i="14" s="1"/>
  <c r="AA129" i="18"/>
  <c r="AA65" i="15"/>
  <c r="AB65" i="15" s="1"/>
  <c r="Z86" i="14"/>
  <c r="Z156" i="14"/>
  <c r="AA53" i="17"/>
  <c r="Z43" i="18"/>
  <c r="AB66" i="20"/>
  <c r="Z123" i="18"/>
  <c r="AC62" i="20"/>
  <c r="AA38" i="21"/>
  <c r="AB38" i="19"/>
  <c r="AA52" i="21"/>
  <c r="AA64" i="21"/>
  <c r="Z64" i="21"/>
  <c r="Z72" i="21"/>
  <c r="Z80" i="21"/>
  <c r="AA88" i="21"/>
  <c r="Z94" i="14"/>
  <c r="Z164" i="14"/>
  <c r="Z196" i="14"/>
  <c r="Z68" i="17"/>
  <c r="AA68" i="17" s="1"/>
  <c r="AA45" i="19"/>
  <c r="Z55" i="19"/>
  <c r="D16" i="4"/>
  <c r="AA1555" i="6"/>
  <c r="Z1559" i="6"/>
  <c r="AA11" i="5"/>
  <c r="H2841" i="6" a="1"/>
  <c r="H2841" i="6" s="1"/>
  <c r="H2999" i="6" s="1"/>
  <c r="I2841" i="6" a="1"/>
  <c r="I2841" i="6" s="1"/>
  <c r="P2893" i="6" a="1"/>
  <c r="P2893" i="6" s="1"/>
  <c r="P2999" i="6" s="1"/>
  <c r="J2841" i="6" a="1"/>
  <c r="J2841" i="6" s="1"/>
  <c r="J2999" i="6" s="1"/>
  <c r="K2893" i="6" a="1"/>
  <c r="K2893" i="6" s="1"/>
  <c r="K3000" i="6" s="1"/>
  <c r="BA3176" i="6" a="1"/>
  <c r="BA3176" i="6" s="1"/>
  <c r="BA3334" i="6" s="1"/>
  <c r="L3166" i="6"/>
  <c r="AL3176" i="6" a="1"/>
  <c r="AL3176" i="6" s="1"/>
  <c r="AL3334" i="6" s="1"/>
  <c r="BT3393" i="6" a="1"/>
  <c r="BT3393" i="6" s="1"/>
  <c r="R3008" i="6" a="1"/>
  <c r="R3008" i="6" s="1"/>
  <c r="R3060" i="6" a="1"/>
  <c r="R3060" i="6" s="1"/>
  <c r="R3166" i="6" s="1"/>
  <c r="AT3228" i="6" a="1"/>
  <c r="AT3228" i="6" s="1"/>
  <c r="Z59" i="13"/>
  <c r="AA201" i="14"/>
  <c r="AA137" i="14"/>
  <c r="AH3393" i="6" a="1"/>
  <c r="AH3393" i="6" s="1"/>
  <c r="AH3499" i="6" s="1"/>
  <c r="AP3498" i="6"/>
  <c r="AP3499" i="6"/>
  <c r="BI3341" i="6" a="1"/>
  <c r="BI3341" i="6" s="1"/>
  <c r="BJ3341" i="6" a="1"/>
  <c r="BJ3341" i="6" s="1"/>
  <c r="BL3341" i="6" a="1"/>
  <c r="BL3341" i="6" s="1"/>
  <c r="Z108" i="14"/>
  <c r="AA108" i="14"/>
  <c r="AJ3341" i="6" a="1"/>
  <c r="AJ3341" i="6" s="1"/>
  <c r="BA3341" i="6" a="1"/>
  <c r="BA3341" i="6" s="1"/>
  <c r="BB3393" i="6" a="1"/>
  <c r="BB3393" i="6" s="1"/>
  <c r="AN3499" i="6"/>
  <c r="AC143" i="14"/>
  <c r="Y3499" i="6"/>
  <c r="Y3498" i="6"/>
  <c r="AD110" i="13"/>
  <c r="Z54" i="15"/>
  <c r="AE53" i="13"/>
  <c r="AD64" i="13"/>
  <c r="Z100" i="14"/>
  <c r="AA100" i="14"/>
  <c r="Y26" i="7"/>
  <c r="Z23" i="7"/>
  <c r="Z89" i="13"/>
  <c r="AA65" i="14"/>
  <c r="AA73" i="14"/>
  <c r="Z91" i="14"/>
  <c r="AA91" i="14"/>
  <c r="Z99" i="14"/>
  <c r="AA99" i="14"/>
  <c r="AD123" i="14"/>
  <c r="AA63" i="15"/>
  <c r="AB63" i="15"/>
  <c r="AC67" i="17"/>
  <c r="AB138" i="14"/>
  <c r="AB202" i="14"/>
  <c r="Z50" i="15"/>
  <c r="AA50" i="15"/>
  <c r="AB84" i="13"/>
  <c r="Z96" i="13"/>
  <c r="AB150" i="14"/>
  <c r="AA150" i="14"/>
  <c r="AC150" i="14" s="1"/>
  <c r="AB61" i="18"/>
  <c r="AA63" i="18"/>
  <c r="Z63" i="18"/>
  <c r="O3166" i="6"/>
  <c r="M3008" i="6" a="1"/>
  <c r="M3008" i="6" s="1"/>
  <c r="I3060" i="6" a="1"/>
  <c r="I3060" i="6" s="1"/>
  <c r="I3166" i="6" s="1"/>
  <c r="J3060" i="6" a="1"/>
  <c r="J3060" i="6" s="1"/>
  <c r="M3060" i="6" a="1"/>
  <c r="M3060" i="6" s="1"/>
  <c r="M3167" i="6" s="1"/>
  <c r="D3060" i="6" a="1"/>
  <c r="D3060" i="6" s="1"/>
  <c r="D3167" i="6" s="1"/>
  <c r="AC3176" i="6" a="1"/>
  <c r="AC3176" i="6" s="1"/>
  <c r="AJ3228" i="6" a="1"/>
  <c r="AJ3228" i="6" s="1"/>
  <c r="AJ3334" i="6" s="1"/>
  <c r="Z3335" i="6"/>
  <c r="Z3334" i="6"/>
  <c r="Z60" i="14"/>
  <c r="Y26" i="5"/>
  <c r="AR3135" i="6"/>
  <c r="AN3135" i="6"/>
  <c r="AJ3135" i="6"/>
  <c r="AF3135" i="6"/>
  <c r="AB3135" i="6"/>
  <c r="X3135" i="6"/>
  <c r="X3113" i="6" s="1"/>
  <c r="X3007" i="6"/>
  <c r="AQ3135" i="6"/>
  <c r="AM3135" i="6"/>
  <c r="AI3135" i="6"/>
  <c r="AE3135" i="6"/>
  <c r="AA3135" i="6"/>
  <c r="AK3135" i="6"/>
  <c r="AC3135" i="6"/>
  <c r="AP3135" i="6"/>
  <c r="AH3135" i="6"/>
  <c r="Z3135" i="6"/>
  <c r="AO3135" i="6"/>
  <c r="AG3135" i="6"/>
  <c r="Y3135" i="6"/>
  <c r="X3006" i="6"/>
  <c r="AL3135" i="6"/>
  <c r="AD3135" i="6"/>
  <c r="W2998" i="6"/>
  <c r="AK3341" i="6" a="1"/>
  <c r="AK3341" i="6" s="1"/>
  <c r="AL3393" i="6" a="1"/>
  <c r="AL3393" i="6" s="1"/>
  <c r="AL3499" i="6" s="1"/>
  <c r="X61" i="12"/>
  <c r="T3008" i="6" a="1"/>
  <c r="T3008" i="6" s="1"/>
  <c r="T3166" i="6" s="1"/>
  <c r="AQ3499" i="6"/>
  <c r="AQ3498" i="6"/>
  <c r="AA199" i="14"/>
  <c r="T23" i="9"/>
  <c r="Z2" i="5"/>
  <c r="Y13" i="6"/>
  <c r="Z3" i="5"/>
  <c r="Z8" i="6"/>
  <c r="Y14" i="6"/>
  <c r="AB1066" i="6"/>
  <c r="AM1014" i="6"/>
  <c r="AI1014" i="6"/>
  <c r="AE1014" i="6"/>
  <c r="AA1014" i="6"/>
  <c r="AJ962" i="6"/>
  <c r="AF962" i="6"/>
  <c r="AB962" i="6"/>
  <c r="AA1066" i="6"/>
  <c r="AL1014" i="6"/>
  <c r="AH1014" i="6"/>
  <c r="AD1014" i="6"/>
  <c r="Z1014" i="6"/>
  <c r="AD1066" i="6"/>
  <c r="Z1066" i="6"/>
  <c r="AK1014" i="6"/>
  <c r="AG1014" i="6"/>
  <c r="AC1014" i="6"/>
  <c r="Y1014" i="6"/>
  <c r="AL962" i="6"/>
  <c r="AH962" i="6"/>
  <c r="AD962" i="6"/>
  <c r="Z962" i="6"/>
  <c r="AC1066" i="6"/>
  <c r="Y1066" i="6"/>
  <c r="AJ1014" i="6"/>
  <c r="AM962" i="6"/>
  <c r="AE962" i="6"/>
  <c r="Z884" i="6"/>
  <c r="AF1014" i="6"/>
  <c r="AK962" i="6"/>
  <c r="AC962" i="6"/>
  <c r="AB1014" i="6"/>
  <c r="AI962" i="6"/>
  <c r="AA962" i="6"/>
  <c r="AG962" i="6"/>
  <c r="Y962" i="6"/>
  <c r="X908" i="6"/>
  <c r="X885" i="6" s="1"/>
  <c r="M251" i="6" a="1"/>
  <c r="M251" i="6" s="1"/>
  <c r="M409" i="6" s="1"/>
  <c r="F251" i="6" a="1"/>
  <c r="F251" i="6" s="1"/>
  <c r="F409" i="6" s="1"/>
  <c r="M303" i="6" a="1"/>
  <c r="M303" i="6" s="1"/>
  <c r="G251" i="6" a="1"/>
  <c r="G251" i="6" s="1"/>
  <c r="G409" i="6" s="1"/>
  <c r="N303" i="6" a="1"/>
  <c r="N303" i="6" s="1"/>
  <c r="Z2225" i="6"/>
  <c r="Z2229" i="6"/>
  <c r="AA2227" i="6"/>
  <c r="K3166" i="6"/>
  <c r="F3167" i="6"/>
  <c r="I3000" i="6"/>
  <c r="AO3335" i="6"/>
  <c r="BE3176" i="6" a="1"/>
  <c r="BE3176" i="6" s="1"/>
  <c r="BG3176" i="6" a="1"/>
  <c r="BG3176" i="6" s="1"/>
  <c r="BH3228" i="6" a="1"/>
  <c r="BH3228" i="6" s="1"/>
  <c r="T3167" i="6"/>
  <c r="AH3228" i="6" a="1"/>
  <c r="AH3228" i="6" s="1"/>
  <c r="AH3334" i="6" s="1"/>
  <c r="AH3176" i="6" a="1"/>
  <c r="AH3176" i="6" s="1"/>
  <c r="AD57" i="13"/>
  <c r="Z3004" i="6"/>
  <c r="Z2784" i="6"/>
  <c r="V2784" i="6"/>
  <c r="R2784" i="6"/>
  <c r="N2784" i="6"/>
  <c r="J2784" i="6"/>
  <c r="Y2784" i="6"/>
  <c r="T2784" i="6"/>
  <c r="O2784" i="6"/>
  <c r="I2784" i="6"/>
  <c r="X2784" i="6"/>
  <c r="S2784" i="6"/>
  <c r="M2784" i="6"/>
  <c r="H2784" i="6"/>
  <c r="AA2784" i="6"/>
  <c r="P2784" i="6"/>
  <c r="W2784" i="6"/>
  <c r="L2784" i="6"/>
  <c r="U2784" i="6"/>
  <c r="K2784" i="6"/>
  <c r="Q2784" i="6"/>
  <c r="G2673" i="6"/>
  <c r="G2784" i="6"/>
  <c r="G2672" i="6"/>
  <c r="H27" i="5"/>
  <c r="X62" i="12"/>
  <c r="AA93" i="13"/>
  <c r="AC93" i="13" s="1"/>
  <c r="Z93" i="13"/>
  <c r="AB93" i="13" s="1"/>
  <c r="AC99" i="13"/>
  <c r="BV3393" i="6" a="1"/>
  <c r="BV3393" i="6" s="1"/>
  <c r="V43" i="8"/>
  <c r="W643" i="6" s="1"/>
  <c r="W645" i="6" s="1"/>
  <c r="V42" i="8"/>
  <c r="W644" i="6" s="1"/>
  <c r="V41" i="8"/>
  <c r="W642" i="6" s="1"/>
  <c r="W641" i="6"/>
  <c r="X33" i="5" s="1"/>
  <c r="AC88" i="13"/>
  <c r="AM3498" i="6"/>
  <c r="AM3499" i="6"/>
  <c r="AC52" i="13"/>
  <c r="AA68" i="20"/>
  <c r="BA3498" i="6"/>
  <c r="BA3499" i="6"/>
  <c r="AB62" i="15"/>
  <c r="AC62" i="15"/>
  <c r="AA123" i="13"/>
  <c r="AH30" i="14"/>
  <c r="AG32" i="14"/>
  <c r="AC187" i="14"/>
  <c r="S2" i="17"/>
  <c r="U1132" i="6"/>
  <c r="Z63" i="14"/>
  <c r="Z71" i="14"/>
  <c r="Z79" i="14"/>
  <c r="Z87" i="14"/>
  <c r="Z95" i="14"/>
  <c r="Z103" i="14"/>
  <c r="Z111" i="14"/>
  <c r="Z119" i="14"/>
  <c r="AB119" i="14"/>
  <c r="AC119" i="14"/>
  <c r="AB57" i="18"/>
  <c r="Z66" i="15"/>
  <c r="AC158" i="14"/>
  <c r="AE158" i="14" s="1"/>
  <c r="AD158" i="14"/>
  <c r="AC55" i="17"/>
  <c r="Z46" i="17"/>
  <c r="S2" i="18"/>
  <c r="U1357" i="6"/>
  <c r="AA49" i="15"/>
  <c r="AC49" i="16"/>
  <c r="AA76" i="18"/>
  <c r="AA91" i="18"/>
  <c r="Z115" i="18"/>
  <c r="Z102" i="14"/>
  <c r="Z172" i="14"/>
  <c r="AB44" i="18"/>
  <c r="Z89" i="18"/>
  <c r="AB144" i="18"/>
  <c r="AC144" i="18"/>
  <c r="AE144" i="18" s="1"/>
  <c r="AB67" i="21"/>
  <c r="AB82" i="20"/>
  <c r="Z47" i="19"/>
  <c r="Z51" i="20"/>
  <c r="AA79" i="21"/>
  <c r="AB44" i="21"/>
  <c r="AA71" i="21"/>
  <c r="AC42" i="21"/>
  <c r="Z49" i="21"/>
  <c r="AA47" i="22"/>
  <c r="AB95" i="21"/>
  <c r="AA91" i="21"/>
  <c r="Z148" i="14"/>
  <c r="Z73" i="18"/>
  <c r="Z17" i="19"/>
  <c r="Z1557" i="6"/>
  <c r="Z43" i="20"/>
  <c r="Z84" i="21"/>
  <c r="AB39" i="22"/>
  <c r="AA81" i="22"/>
  <c r="Z120" i="22"/>
  <c r="Q302" i="10"/>
  <c r="R226" i="10"/>
  <c r="AM1967" i="6"/>
  <c r="AI1967" i="6"/>
  <c r="AE1967" i="6"/>
  <c r="AA1967" i="6"/>
  <c r="AI1915" i="6"/>
  <c r="AE1915" i="6"/>
  <c r="AA1915" i="6"/>
  <c r="AL1863" i="6"/>
  <c r="AH1863" i="6"/>
  <c r="AD1863" i="6"/>
  <c r="Z1863" i="6"/>
  <c r="AL1967" i="6"/>
  <c r="AH1967" i="6"/>
  <c r="AD1967" i="6"/>
  <c r="Z1967" i="6"/>
  <c r="AL1915" i="6"/>
  <c r="AH1915" i="6"/>
  <c r="AD1915" i="6"/>
  <c r="Z1915" i="6"/>
  <c r="AK1863" i="6"/>
  <c r="AG1863" i="6"/>
  <c r="AC1863" i="6"/>
  <c r="Y1863" i="6"/>
  <c r="W1809" i="6"/>
  <c r="Y1786" i="6"/>
  <c r="AK1967" i="6"/>
  <c r="AG1967" i="6"/>
  <c r="AC1967" i="6"/>
  <c r="Y1967" i="6"/>
  <c r="AK1915" i="6"/>
  <c r="AG1915" i="6"/>
  <c r="AC1915" i="6"/>
  <c r="Y1915" i="6"/>
  <c r="AJ1863" i="6"/>
  <c r="AF1863" i="6"/>
  <c r="AB1863" i="6"/>
  <c r="X1863" i="6"/>
  <c r="AB1967" i="6"/>
  <c r="AF1915" i="6"/>
  <c r="AE1863" i="6"/>
  <c r="X1967" i="6"/>
  <c r="AB1915" i="6"/>
  <c r="AA1863" i="6"/>
  <c r="V1809" i="6"/>
  <c r="AJ1967" i="6"/>
  <c r="X1915" i="6"/>
  <c r="U1809" i="6"/>
  <c r="AF1967" i="6"/>
  <c r="AJ1915" i="6"/>
  <c r="AI1863" i="6"/>
  <c r="X421" i="6"/>
  <c r="X417" i="6"/>
  <c r="Y412" i="6"/>
  <c r="Y5" i="5"/>
  <c r="X420" i="6"/>
  <c r="X414" i="6"/>
  <c r="X415" i="6"/>
  <c r="Y4" i="5"/>
  <c r="N2999" i="6"/>
  <c r="R3167" i="6"/>
  <c r="Q3000" i="6"/>
  <c r="I3334" i="6"/>
  <c r="I3170" i="6"/>
  <c r="I3335" i="6"/>
  <c r="AG3176" i="6" a="1"/>
  <c r="AG3176" i="6" s="1"/>
  <c r="AS3176" i="6" a="1"/>
  <c r="AS3176" i="6" s="1"/>
  <c r="AV3228" i="6" a="1"/>
  <c r="AV3228" i="6" s="1"/>
  <c r="AV3335" i="6" s="1"/>
  <c r="Y3003" i="6"/>
  <c r="Z3003" i="6" s="1"/>
  <c r="BJ3228" i="6" a="1"/>
  <c r="BJ3228" i="6" s="1"/>
  <c r="AC3341" i="6" a="1"/>
  <c r="AC3341" i="6" s="1"/>
  <c r="AD3341" i="6" a="1"/>
  <c r="AD3341" i="6" s="1"/>
  <c r="D3170" i="6"/>
  <c r="D3334" i="6"/>
  <c r="D3335" i="6"/>
  <c r="J3170" i="6"/>
  <c r="J3334" i="6"/>
  <c r="J3335" i="6"/>
  <c r="E3498" i="6"/>
  <c r="AU3498" i="6"/>
  <c r="AU3499" i="6"/>
  <c r="Y61" i="12"/>
  <c r="AA102" i="13"/>
  <c r="S3341" i="6" a="1"/>
  <c r="S3341" i="6" s="1"/>
  <c r="S3498" i="6" s="1"/>
  <c r="K3341" i="6" a="1"/>
  <c r="K3341" i="6" s="1"/>
  <c r="R3393" i="6" a="1"/>
  <c r="R3393" i="6" s="1"/>
  <c r="R3498" i="6" s="1"/>
  <c r="AB3341" i="6" a="1"/>
  <c r="AB3341" i="6" s="1"/>
  <c r="BH3341" i="6" a="1"/>
  <c r="BH3341" i="6" s="1"/>
  <c r="T248" i="6"/>
  <c r="S66" i="12"/>
  <c r="AD68" i="13"/>
  <c r="Z105" i="13"/>
  <c r="AA105" i="13"/>
  <c r="AI26" i="7"/>
  <c r="AJ23" i="7"/>
  <c r="AB74" i="13"/>
  <c r="AA81" i="13"/>
  <c r="AA84" i="14"/>
  <c r="AA195" i="14"/>
  <c r="AB80" i="18"/>
  <c r="O3499" i="6"/>
  <c r="O3498" i="6"/>
  <c r="AA58" i="13"/>
  <c r="AC62" i="13"/>
  <c r="AD62" i="13" s="1"/>
  <c r="AC79" i="13"/>
  <c r="AC87" i="13"/>
  <c r="AA117" i="13"/>
  <c r="AC121" i="13"/>
  <c r="Z41" i="15"/>
  <c r="R3" i="16"/>
  <c r="X1062" i="6"/>
  <c r="AI1010" i="6"/>
  <c r="AE1010" i="6"/>
  <c r="AA1010" i="6"/>
  <c r="W1010" i="6"/>
  <c r="AF958" i="6"/>
  <c r="AB958" i="6"/>
  <c r="X958" i="6"/>
  <c r="W1062" i="6"/>
  <c r="AH1010" i="6"/>
  <c r="AD1010" i="6"/>
  <c r="Z1010" i="6"/>
  <c r="V1010" i="6"/>
  <c r="Z1062" i="6"/>
  <c r="V1062" i="6"/>
  <c r="AG1010" i="6"/>
  <c r="AC1010" i="6"/>
  <c r="Y1010" i="6"/>
  <c r="U1010" i="6"/>
  <c r="AH958" i="6"/>
  <c r="AD958" i="6"/>
  <c r="Z958" i="6"/>
  <c r="V958" i="6"/>
  <c r="Y1062" i="6"/>
  <c r="U1062" i="6"/>
  <c r="AB1010" i="6"/>
  <c r="AE958" i="6"/>
  <c r="W958" i="6"/>
  <c r="X1010" i="6"/>
  <c r="AC958" i="6"/>
  <c r="U958" i="6"/>
  <c r="AI958" i="6"/>
  <c r="AA958" i="6"/>
  <c r="AF1010" i="6"/>
  <c r="AG958" i="6"/>
  <c r="Y958" i="6"/>
  <c r="T904" i="6"/>
  <c r="T885" i="6" s="1"/>
  <c r="AB60" i="18"/>
  <c r="AB73" i="14"/>
  <c r="AA95" i="14"/>
  <c r="AB105" i="14"/>
  <c r="AA67" i="15"/>
  <c r="AD74" i="18"/>
  <c r="AC95" i="18"/>
  <c r="AB106" i="18"/>
  <c r="Z93" i="18"/>
  <c r="AA93" i="18"/>
  <c r="AB129" i="18"/>
  <c r="S17" i="19"/>
  <c r="U1557" i="6"/>
  <c r="AC50" i="17"/>
  <c r="AA84" i="18"/>
  <c r="AC107" i="18"/>
  <c r="AA74" i="14"/>
  <c r="Z74" i="14"/>
  <c r="AA106" i="14"/>
  <c r="Z106" i="14"/>
  <c r="Z144" i="14"/>
  <c r="Z176" i="14"/>
  <c r="AD47" i="17"/>
  <c r="AC47" i="17"/>
  <c r="AD55" i="17"/>
  <c r="AC60" i="18"/>
  <c r="Z65" i="18"/>
  <c r="Z97" i="18"/>
  <c r="AB41" i="19"/>
  <c r="AE42" i="18"/>
  <c r="AA108" i="18"/>
  <c r="AA60" i="17"/>
  <c r="AB60" i="17"/>
  <c r="AB50" i="18"/>
  <c r="AC50" i="18" s="1"/>
  <c r="AC140" i="18"/>
  <c r="AB42" i="19"/>
  <c r="Z146" i="18"/>
  <c r="AD144" i="18"/>
  <c r="Z48" i="20"/>
  <c r="AA48" i="20" s="1"/>
  <c r="AE76" i="20"/>
  <c r="Z153" i="18"/>
  <c r="AC69" i="19"/>
  <c r="AA67" i="20"/>
  <c r="Z67" i="20"/>
  <c r="Z73" i="20"/>
  <c r="AB81" i="20"/>
  <c r="Z79" i="21"/>
  <c r="AF67" i="22"/>
  <c r="AC55" i="21"/>
  <c r="AD94" i="21"/>
  <c r="AB77" i="21"/>
  <c r="AD93" i="21"/>
  <c r="Z17" i="22"/>
  <c r="Z2228" i="6"/>
  <c r="AA62" i="22"/>
  <c r="AA78" i="21"/>
  <c r="S17" i="22"/>
  <c r="U2228" i="6"/>
  <c r="AB80" i="22"/>
  <c r="Z105" i="22"/>
  <c r="AC69" i="22"/>
  <c r="AC103" i="22"/>
  <c r="Z103" i="22"/>
  <c r="AE67" i="22"/>
  <c r="AE91" i="22"/>
  <c r="Q2450" i="6"/>
  <c r="Q2449" i="6"/>
  <c r="R16" i="5"/>
  <c r="Z123" i="22"/>
  <c r="Z101" i="18"/>
  <c r="AA101" i="18"/>
  <c r="AD57" i="16"/>
  <c r="Z142" i="18"/>
  <c r="AA142" i="18" s="1"/>
  <c r="AG46" i="20"/>
  <c r="Z62" i="14"/>
  <c r="Z180" i="14"/>
  <c r="Y38" i="15"/>
  <c r="Z658" i="6" s="1"/>
  <c r="AA40" i="15"/>
  <c r="AB40" i="15"/>
  <c r="AB58" i="17"/>
  <c r="AA133" i="18"/>
  <c r="AC38" i="19"/>
  <c r="AD41" i="20"/>
  <c r="AC45" i="21"/>
  <c r="Z159" i="18"/>
  <c r="AC67" i="19"/>
  <c r="AD67" i="19" s="1"/>
  <c r="AC59" i="20"/>
  <c r="AD59" i="20"/>
  <c r="AB40" i="21"/>
  <c r="AA55" i="21"/>
  <c r="AD55" i="21" s="1"/>
  <c r="AB92" i="21"/>
  <c r="AC87" i="22"/>
  <c r="AN3341" i="6" a="1"/>
  <c r="AN3341" i="6" s="1"/>
  <c r="BQ3341" i="6" a="1"/>
  <c r="BQ3341" i="6" s="1"/>
  <c r="BR3393" i="6" a="1"/>
  <c r="BR3393" i="6" s="1"/>
  <c r="AE73" i="13"/>
  <c r="AD99" i="13"/>
  <c r="AD107" i="13"/>
  <c r="AA58" i="15"/>
  <c r="AD87" i="13"/>
  <c r="U1562" i="6"/>
  <c r="AI1413" i="6"/>
  <c r="AJ1465" i="6"/>
  <c r="AJ1517" i="6"/>
  <c r="AF1413" i="6"/>
  <c r="AG1465" i="6"/>
  <c r="AG1517" i="6"/>
  <c r="Y1413" i="6"/>
  <c r="Z1465" i="6"/>
  <c r="Z1517" i="6"/>
  <c r="Z1413" i="6"/>
  <c r="AA1465" i="6"/>
  <c r="AE1517" i="6"/>
  <c r="Y17" i="20"/>
  <c r="Y1782" i="6"/>
  <c r="Z47" i="20"/>
  <c r="Q2" i="22"/>
  <c r="AI2411" i="6"/>
  <c r="AE2411" i="6"/>
  <c r="AA2411" i="6"/>
  <c r="W2411" i="6"/>
  <c r="AR2359" i="6"/>
  <c r="AN2359" i="6"/>
  <c r="AJ2359" i="6"/>
  <c r="AF2359" i="6"/>
  <c r="AB2359" i="6"/>
  <c r="X2359" i="6"/>
  <c r="AT2307" i="6"/>
  <c r="AP2307" i="6"/>
  <c r="AL2307" i="6"/>
  <c r="AH2307" i="6"/>
  <c r="AD2307" i="6"/>
  <c r="Z2307" i="6"/>
  <c r="V2307" i="6"/>
  <c r="AH2411" i="6"/>
  <c r="AD2411" i="6"/>
  <c r="Z2411" i="6"/>
  <c r="V2411" i="6"/>
  <c r="AQ2359" i="6"/>
  <c r="AM2359" i="6"/>
  <c r="AI2359" i="6"/>
  <c r="AE2359" i="6"/>
  <c r="AA2359" i="6"/>
  <c r="W2359" i="6"/>
  <c r="AS2307" i="6"/>
  <c r="AO2307" i="6"/>
  <c r="AK2307" i="6"/>
  <c r="AG2307" i="6"/>
  <c r="AC2307" i="6"/>
  <c r="Y2307" i="6"/>
  <c r="S2252" i="6"/>
  <c r="AK2411" i="6"/>
  <c r="AG2411" i="6"/>
  <c r="AC2411" i="6"/>
  <c r="Y2411" i="6"/>
  <c r="AT2359" i="6"/>
  <c r="AP2359" i="6"/>
  <c r="AL2359" i="6"/>
  <c r="AH2359" i="6"/>
  <c r="AD2359" i="6"/>
  <c r="Z2359" i="6"/>
  <c r="V2359" i="6"/>
  <c r="AR2307" i="6"/>
  <c r="AN2307" i="6"/>
  <c r="AJ2307" i="6"/>
  <c r="AF2307" i="6"/>
  <c r="AB2307" i="6"/>
  <c r="X2307" i="6"/>
  <c r="AJ2411" i="6"/>
  <c r="AF2411" i="6"/>
  <c r="AB2411" i="6"/>
  <c r="X2411" i="6"/>
  <c r="AS2359" i="6"/>
  <c r="AO2359" i="6"/>
  <c r="AK2359" i="6"/>
  <c r="AG2359" i="6"/>
  <c r="AC2359" i="6"/>
  <c r="Y2359" i="6"/>
  <c r="AQ2307" i="6"/>
  <c r="AM2307" i="6"/>
  <c r="AI2307" i="6"/>
  <c r="AE2307" i="6"/>
  <c r="AA2307" i="6"/>
  <c r="W2307" i="6"/>
  <c r="S2253" i="6"/>
  <c r="S2251" i="6"/>
  <c r="S2233" i="6" s="1"/>
  <c r="AA53" i="22"/>
  <c r="AE95" i="22"/>
  <c r="P3000" i="6"/>
  <c r="AD2790" i="6"/>
  <c r="Z2790" i="6"/>
  <c r="V2790" i="6"/>
  <c r="R2790" i="6"/>
  <c r="N2790" i="6"/>
  <c r="M2672" i="6"/>
  <c r="AG2790" i="6"/>
  <c r="AB2790" i="6"/>
  <c r="W2790" i="6"/>
  <c r="Q2790" i="6"/>
  <c r="AF2790" i="6"/>
  <c r="AA2790" i="6"/>
  <c r="U2790" i="6"/>
  <c r="P2790" i="6"/>
  <c r="X2790" i="6"/>
  <c r="M2790" i="6"/>
  <c r="AE2790" i="6"/>
  <c r="T2790" i="6"/>
  <c r="AC2790" i="6"/>
  <c r="S2790" i="6"/>
  <c r="M2673" i="6"/>
  <c r="Y2790" i="6"/>
  <c r="O2790" i="6"/>
  <c r="N27" i="5"/>
  <c r="R20" i="9"/>
  <c r="Y68" i="12"/>
  <c r="AA82" i="13"/>
  <c r="AC72" i="14"/>
  <c r="Z100" i="13"/>
  <c r="AA132" i="18"/>
  <c r="AB53" i="15"/>
  <c r="AA152" i="14"/>
  <c r="Z184" i="14"/>
  <c r="Z200" i="14"/>
  <c r="Z60" i="15"/>
  <c r="Z62" i="18"/>
  <c r="AB152" i="18"/>
  <c r="AC152" i="18" s="1"/>
  <c r="AD42" i="20"/>
  <c r="Z65" i="19"/>
  <c r="AC75" i="22"/>
  <c r="AD40" i="22"/>
  <c r="AE40" i="22"/>
  <c r="AD63" i="22"/>
  <c r="AE63" i="22" s="1"/>
  <c r="AB118" i="22"/>
  <c r="AC48" i="23"/>
  <c r="AE3498" i="6"/>
  <c r="AE3499" i="6"/>
  <c r="Z114" i="13"/>
  <c r="AE120" i="14"/>
  <c r="AD120" i="14"/>
  <c r="S20" i="9"/>
  <c r="AC77" i="13"/>
  <c r="AC116" i="14"/>
  <c r="G3499" i="6"/>
  <c r="G3498" i="6"/>
  <c r="AA67" i="16"/>
  <c r="AB67" i="16" s="1"/>
  <c r="AG31" i="14"/>
  <c r="AF33" i="14"/>
  <c r="Z44" i="15"/>
  <c r="Z119" i="18"/>
  <c r="AA43" i="20"/>
  <c r="Z59" i="21"/>
  <c r="AB46" i="22"/>
  <c r="AC55" i="22"/>
  <c r="AB55" i="22"/>
  <c r="AA85" i="21"/>
  <c r="AC49" i="22"/>
  <c r="AE52" i="23"/>
  <c r="AE88" i="14"/>
  <c r="AE56" i="13"/>
  <c r="AC115" i="13"/>
  <c r="Z141" i="14"/>
  <c r="AC50" i="13"/>
  <c r="AD83" i="13"/>
  <c r="AA130" i="14"/>
  <c r="AA71" i="18"/>
  <c r="AC40" i="18"/>
  <c r="AD40" i="18" s="1"/>
  <c r="AC74" i="18"/>
  <c r="Z126" i="18"/>
  <c r="AA53" i="20"/>
  <c r="AB61" i="20"/>
  <c r="AC61" i="20" s="1"/>
  <c r="AA55" i="19"/>
  <c r="Z59" i="19"/>
  <c r="AB87" i="21"/>
  <c r="AC44" i="22"/>
  <c r="AD111" i="22"/>
  <c r="AD94" i="22"/>
  <c r="Z68" i="22"/>
  <c r="AB76" i="22"/>
  <c r="AB110" i="22"/>
  <c r="AA82" i="21"/>
  <c r="AB109" i="21"/>
  <c r="AB112" i="14"/>
  <c r="AF76" i="13"/>
  <c r="AB80" i="14"/>
  <c r="AA159" i="14"/>
  <c r="P3170" i="6"/>
  <c r="P3334" i="6"/>
  <c r="P3335" i="6"/>
  <c r="AD2789" i="6"/>
  <c r="Z2789" i="6"/>
  <c r="V2789" i="6"/>
  <c r="R2789" i="6"/>
  <c r="N2789" i="6"/>
  <c r="AF2789" i="6"/>
  <c r="AA2789" i="6"/>
  <c r="U2789" i="6"/>
  <c r="P2789" i="6"/>
  <c r="AE2789" i="6"/>
  <c r="Y2789" i="6"/>
  <c r="T2789" i="6"/>
  <c r="O2789" i="6"/>
  <c r="W2789" i="6"/>
  <c r="L2789" i="6"/>
  <c r="AC2789" i="6"/>
  <c r="S2789" i="6"/>
  <c r="AB2789" i="6"/>
  <c r="Q2789" i="6"/>
  <c r="X2789" i="6"/>
  <c r="M2789" i="6"/>
  <c r="L2673" i="6"/>
  <c r="L2672" i="6"/>
  <c r="M27" i="5"/>
  <c r="O2" i="13"/>
  <c r="Q32" i="6"/>
  <c r="Q16" i="6" s="1"/>
  <c r="Q35" i="6"/>
  <c r="AA161" i="14"/>
  <c r="Z161" i="14"/>
  <c r="AA165" i="14"/>
  <c r="Z165" i="14"/>
  <c r="AA121" i="14"/>
  <c r="AB134" i="14"/>
  <c r="AA654" i="6"/>
  <c r="Z652" i="6"/>
  <c r="Z656" i="6"/>
  <c r="Q3008" i="6" a="1"/>
  <c r="Q3008" i="6" s="1"/>
  <c r="AK3228" i="6" a="1"/>
  <c r="AK3228" i="6" s="1"/>
  <c r="AK3335" i="6" s="1"/>
  <c r="AX3334" i="6"/>
  <c r="AX3335" i="6"/>
  <c r="AD3176" i="6" a="1"/>
  <c r="AD3176" i="6" s="1"/>
  <c r="W71" i="9"/>
  <c r="W72" i="9"/>
  <c r="X2838" i="6"/>
  <c r="U248" i="6"/>
  <c r="T66" i="12"/>
  <c r="L3170" i="6"/>
  <c r="L3334" i="6"/>
  <c r="L3335" i="6"/>
  <c r="BF3341" i="6" a="1"/>
  <c r="BF3341" i="6" s="1"/>
  <c r="V26" i="5"/>
  <c r="H23" i="9"/>
  <c r="H16" i="9"/>
  <c r="H18" i="9"/>
  <c r="I2671" i="6"/>
  <c r="X3335" i="6"/>
  <c r="X3334" i="6"/>
  <c r="L251" i="6" a="1"/>
  <c r="L251" i="6" s="1"/>
  <c r="L409" i="6" s="1"/>
  <c r="AT3335" i="6"/>
  <c r="AT3334" i="6"/>
  <c r="BN3176" i="6" a="1"/>
  <c r="BN3176" i="6" s="1"/>
  <c r="AA75" i="13"/>
  <c r="AD124" i="14"/>
  <c r="AC124" i="14"/>
  <c r="AC169" i="14"/>
  <c r="AG103" i="9"/>
  <c r="Z137" i="14"/>
  <c r="Z3499" i="6"/>
  <c r="Z3498" i="6"/>
  <c r="AH3341" i="6" a="1"/>
  <c r="AH3341" i="6" s="1"/>
  <c r="K45" i="8"/>
  <c r="L643" i="6"/>
  <c r="L645" i="6" s="1"/>
  <c r="BL3393" i="6" a="1"/>
  <c r="BL3393" i="6" s="1"/>
  <c r="Y38" i="23"/>
  <c r="Y31" i="21"/>
  <c r="Y31" i="22"/>
  <c r="Y31" i="20"/>
  <c r="Y31" i="19"/>
  <c r="Y36" i="17"/>
  <c r="Y31" i="18"/>
  <c r="Y41" i="16"/>
  <c r="Y33" i="15"/>
  <c r="Y48" i="14"/>
  <c r="Z6" i="7"/>
  <c r="Y40" i="13"/>
  <c r="O45" i="8"/>
  <c r="P43" i="8"/>
  <c r="P643" i="6"/>
  <c r="P645" i="6" s="1"/>
  <c r="G18" i="9"/>
  <c r="G23" i="9"/>
  <c r="H2671" i="6"/>
  <c r="G16" i="9"/>
  <c r="AA51" i="13"/>
  <c r="AA135" i="14"/>
  <c r="AY3334" i="6"/>
  <c r="AY3335" i="6"/>
  <c r="AI3341" i="6" a="1"/>
  <c r="AI3341" i="6" s="1"/>
  <c r="AJ3393" i="6" a="1"/>
  <c r="AJ3393" i="6" s="1"/>
  <c r="BB3341" i="6" a="1"/>
  <c r="BB3341" i="6" s="1"/>
  <c r="AB143" i="14"/>
  <c r="AO3498" i="6"/>
  <c r="AO3499" i="6"/>
  <c r="AA70" i="15"/>
  <c r="V3499" i="6"/>
  <c r="V3498" i="6"/>
  <c r="AA90" i="13"/>
  <c r="AD108" i="13"/>
  <c r="AA133" i="14"/>
  <c r="Z133" i="14"/>
  <c r="AB139" i="14"/>
  <c r="AA171" i="14"/>
  <c r="AA197" i="14"/>
  <c r="Z197" i="14"/>
  <c r="AB203" i="14"/>
  <c r="AA89" i="13"/>
  <c r="AA81" i="14"/>
  <c r="AA89" i="14"/>
  <c r="AB89" i="14" s="1"/>
  <c r="Z107" i="14"/>
  <c r="Z115" i="14"/>
  <c r="AD67" i="17"/>
  <c r="AA120" i="13"/>
  <c r="Y57" i="14"/>
  <c r="Y56" i="14" s="1"/>
  <c r="AB116" i="13"/>
  <c r="AA182" i="14"/>
  <c r="AB182" i="14"/>
  <c r="AA65" i="17"/>
  <c r="Z65" i="17"/>
  <c r="AA53" i="18"/>
  <c r="AC82" i="18"/>
  <c r="Y1783" i="6"/>
  <c r="Y1779" i="6"/>
  <c r="Z1781" i="6"/>
  <c r="AK2413" i="6"/>
  <c r="AG2413" i="6"/>
  <c r="AC2413" i="6"/>
  <c r="Y2413" i="6"/>
  <c r="AV2361" i="6"/>
  <c r="AR2361" i="6"/>
  <c r="AN2361" i="6"/>
  <c r="AJ2361" i="6"/>
  <c r="AF2361" i="6"/>
  <c r="AB2361" i="6"/>
  <c r="X2361" i="6"/>
  <c r="AT2309" i="6"/>
  <c r="AP2309" i="6"/>
  <c r="AL2309" i="6"/>
  <c r="AH2309" i="6"/>
  <c r="AD2309" i="6"/>
  <c r="Z2309" i="6"/>
  <c r="V2255" i="6"/>
  <c r="AJ2413" i="6"/>
  <c r="AF2413" i="6"/>
  <c r="AB2413" i="6"/>
  <c r="X2413" i="6"/>
  <c r="AU2361" i="6"/>
  <c r="AQ2361" i="6"/>
  <c r="AM2361" i="6"/>
  <c r="AI2361" i="6"/>
  <c r="AE2361" i="6"/>
  <c r="AA2361" i="6"/>
  <c r="AS2309" i="6"/>
  <c r="AO2309" i="6"/>
  <c r="AK2309" i="6"/>
  <c r="AG2309" i="6"/>
  <c r="AC2309" i="6"/>
  <c r="Y2309" i="6"/>
  <c r="U2255" i="6"/>
  <c r="U2233" i="6" s="1"/>
  <c r="AM2413" i="6"/>
  <c r="AI2413" i="6"/>
  <c r="AE2413" i="6"/>
  <c r="AA2413" i="6"/>
  <c r="AT2361" i="6"/>
  <c r="AP2361" i="6"/>
  <c r="AL2361" i="6"/>
  <c r="AH2361" i="6"/>
  <c r="AD2361" i="6"/>
  <c r="Z2361" i="6"/>
  <c r="AV2309" i="6"/>
  <c r="AR2309" i="6"/>
  <c r="AN2309" i="6"/>
  <c r="AJ2309" i="6"/>
  <c r="AF2309" i="6"/>
  <c r="AB2309" i="6"/>
  <c r="X2309" i="6"/>
  <c r="AL2413" i="6"/>
  <c r="AH2413" i="6"/>
  <c r="AD2413" i="6"/>
  <c r="Z2413" i="6"/>
  <c r="AS2361" i="6"/>
  <c r="AO2361" i="6"/>
  <c r="AK2361" i="6"/>
  <c r="AG2361" i="6"/>
  <c r="AC2361" i="6"/>
  <c r="Y2361" i="6"/>
  <c r="AU2309" i="6"/>
  <c r="AQ2309" i="6"/>
  <c r="AM2309" i="6"/>
  <c r="AI2309" i="6"/>
  <c r="AE2309" i="6"/>
  <c r="AA2309" i="6"/>
  <c r="W2255" i="6"/>
  <c r="Y2232" i="6"/>
  <c r="N3060" i="6" a="1"/>
  <c r="N3060" i="6" s="1"/>
  <c r="Q3060" i="6" a="1"/>
  <c r="Q3060" i="6" s="1"/>
  <c r="Q3167" i="6" s="1"/>
  <c r="D3008" i="6" a="1"/>
  <c r="D3008" i="6" s="1"/>
  <c r="F3008" i="6" a="1"/>
  <c r="F3008" i="6" s="1"/>
  <c r="F3166" i="6" s="1"/>
  <c r="G3060" i="6" a="1"/>
  <c r="G3060" i="6" s="1"/>
  <c r="G3166" i="6" s="1"/>
  <c r="G3008" i="6" a="1"/>
  <c r="G3008" i="6" s="1"/>
  <c r="H3060" i="6" a="1"/>
  <c r="H3060" i="6" s="1"/>
  <c r="H3167" i="6" s="1"/>
  <c r="S3176" i="6" a="1"/>
  <c r="S3176" i="6" s="1"/>
  <c r="S3334" i="6" s="1"/>
  <c r="R3228" i="6" a="1"/>
  <c r="R3228" i="6" s="1"/>
  <c r="AC3228" i="6" a="1"/>
  <c r="AC3228" i="6" s="1"/>
  <c r="AC3334" i="6" s="1"/>
  <c r="AW3334" i="6"/>
  <c r="AW3335" i="6"/>
  <c r="AD3335" i="6"/>
  <c r="AD3228" i="6" a="1"/>
  <c r="AD3228" i="6" s="1"/>
  <c r="AD3334" i="6" s="1"/>
  <c r="X3002" i="6"/>
  <c r="X3165" i="6" s="1"/>
  <c r="AD3498" i="6"/>
  <c r="AD3499" i="6"/>
  <c r="AL3341" i="6" a="1"/>
  <c r="AL3341" i="6" s="1"/>
  <c r="F3498" i="6"/>
  <c r="S39" i="23"/>
  <c r="T2451" i="6" s="1"/>
  <c r="S32" i="22"/>
  <c r="T2230" i="6" s="1"/>
  <c r="S32" i="21"/>
  <c r="T2009" i="6" s="1"/>
  <c r="S32" i="20"/>
  <c r="T1784" i="6" s="1"/>
  <c r="S32" i="19"/>
  <c r="T1559" i="6" s="1"/>
  <c r="S32" i="18"/>
  <c r="T1334" i="6" s="1"/>
  <c r="S42" i="16"/>
  <c r="T882" i="6" s="1"/>
  <c r="S34" i="15"/>
  <c r="T657" i="6" s="1"/>
  <c r="S37" i="17"/>
  <c r="T1109" i="6" s="1"/>
  <c r="S49" i="14"/>
  <c r="T420" i="6" s="1"/>
  <c r="S41" i="13"/>
  <c r="T13" i="6" s="1"/>
  <c r="R7" i="7"/>
  <c r="V645" i="6"/>
  <c r="Y5" i="9"/>
  <c r="AY3499" i="6"/>
  <c r="AY3498" i="6"/>
  <c r="Z76" i="14"/>
  <c r="AP205" i="6"/>
  <c r="AL205" i="6"/>
  <c r="AH205" i="6"/>
  <c r="AD205" i="6"/>
  <c r="Z205" i="6"/>
  <c r="AK153" i="6"/>
  <c r="AG153" i="6"/>
  <c r="AC153" i="6"/>
  <c r="Y153" i="6"/>
  <c r="AJ101" i="6"/>
  <c r="AF101" i="6"/>
  <c r="AB101" i="6"/>
  <c r="X101" i="6"/>
  <c r="U38" i="6"/>
  <c r="AI205" i="6"/>
  <c r="AL153" i="6"/>
  <c r="Y101" i="6"/>
  <c r="AO205" i="6"/>
  <c r="AK205" i="6"/>
  <c r="AG205" i="6"/>
  <c r="AC205" i="6"/>
  <c r="Y205" i="6"/>
  <c r="AJ153" i="6"/>
  <c r="AF153" i="6"/>
  <c r="AB153" i="6"/>
  <c r="X153" i="6"/>
  <c r="AI101" i="6"/>
  <c r="AE101" i="6"/>
  <c r="AA101" i="6"/>
  <c r="T38" i="6"/>
  <c r="Y15" i="6"/>
  <c r="AM205" i="6"/>
  <c r="AA205" i="6"/>
  <c r="AH153" i="6"/>
  <c r="Z153" i="6"/>
  <c r="AK101" i="6"/>
  <c r="AC101" i="6"/>
  <c r="AR205" i="6"/>
  <c r="AN205" i="6"/>
  <c r="AJ205" i="6"/>
  <c r="AF205" i="6"/>
  <c r="AB205" i="6"/>
  <c r="X205" i="6"/>
  <c r="AI153" i="6"/>
  <c r="AE153" i="6"/>
  <c r="AA153" i="6"/>
  <c r="AL101" i="6"/>
  <c r="AH101" i="6"/>
  <c r="AD101" i="6"/>
  <c r="Z101" i="6"/>
  <c r="W38" i="6"/>
  <c r="S38" i="6"/>
  <c r="Y10" i="6"/>
  <c r="AQ205" i="6"/>
  <c r="AE205" i="6"/>
  <c r="AD153" i="6"/>
  <c r="AG101" i="6"/>
  <c r="Y11" i="6"/>
  <c r="V38" i="6"/>
  <c r="R38" i="6"/>
  <c r="R16" i="6" s="1"/>
  <c r="O303" i="6" a="1"/>
  <c r="O303" i="6" s="1"/>
  <c r="Q251" i="6" a="1"/>
  <c r="Q251" i="6" s="1"/>
  <c r="Q409" i="6" s="1"/>
  <c r="H303" i="6" a="1"/>
  <c r="H303" i="6" s="1"/>
  <c r="G303" i="6" a="1"/>
  <c r="G303" i="6" s="1"/>
  <c r="J251" i="6" a="1"/>
  <c r="J251" i="6" s="1"/>
  <c r="J409" i="6" s="1"/>
  <c r="Q303" i="6" a="1"/>
  <c r="Q303" i="6" s="1"/>
  <c r="K303" i="6" a="1"/>
  <c r="K303" i="6" s="1"/>
  <c r="K251" i="6" a="1"/>
  <c r="K251" i="6" s="1"/>
  <c r="K409" i="6" s="1"/>
  <c r="R303" i="6" a="1"/>
  <c r="R303" i="6" s="1"/>
  <c r="V1562" i="6"/>
  <c r="V2012" i="6"/>
  <c r="N3170" i="6"/>
  <c r="N3335" i="6"/>
  <c r="N3334" i="6"/>
  <c r="AO3176" i="6" a="1"/>
  <c r="AO3176" i="6" s="1"/>
  <c r="AO3334" i="6" s="1"/>
  <c r="BE3228" i="6" a="1"/>
  <c r="BE3228" i="6" s="1"/>
  <c r="BU3228" i="6" a="1"/>
  <c r="BU3228" i="6" s="1"/>
  <c r="BR3176" i="6" a="1"/>
  <c r="BR3176" i="6" s="1"/>
  <c r="AA60" i="14"/>
  <c r="AA119" i="13"/>
  <c r="AZ3341" i="6" a="1"/>
  <c r="AZ3341" i="6" s="1"/>
  <c r="Z55" i="13"/>
  <c r="AA145" i="14"/>
  <c r="Z145" i="14"/>
  <c r="H3170" i="6"/>
  <c r="H3335" i="6"/>
  <c r="H3334" i="6"/>
  <c r="Y6" i="9"/>
  <c r="Z6" i="9" s="1"/>
  <c r="Z67" i="13"/>
  <c r="AR3341" i="6" a="1"/>
  <c r="AR3341" i="6" s="1"/>
  <c r="U3498" i="6"/>
  <c r="U3499" i="6"/>
  <c r="Z46" i="15"/>
  <c r="N3498" i="6"/>
  <c r="N3499" i="6"/>
  <c r="Z109" i="13"/>
  <c r="AB155" i="14"/>
  <c r="AB187" i="14"/>
  <c r="AB94" i="13"/>
  <c r="AD94" i="13"/>
  <c r="AC94" i="13"/>
  <c r="T24" i="17"/>
  <c r="R41" i="17"/>
  <c r="T19" i="17"/>
  <c r="T21" i="17"/>
  <c r="AA61" i="14"/>
  <c r="AA69" i="14"/>
  <c r="AA77" i="14"/>
  <c r="AA85" i="14"/>
  <c r="AB85" i="14" s="1"/>
  <c r="AA93" i="14"/>
  <c r="AA101" i="14"/>
  <c r="AA109" i="14"/>
  <c r="AC109" i="14" s="1"/>
  <c r="AA117" i="14"/>
  <c r="AA47" i="15"/>
  <c r="AA80" i="13"/>
  <c r="AD104" i="13"/>
  <c r="AC73" i="14"/>
  <c r="AC105" i="14"/>
  <c r="AD48" i="17"/>
  <c r="AE48" i="17" s="1"/>
  <c r="AC51" i="17"/>
  <c r="Z53" i="19"/>
  <c r="Z59" i="14"/>
  <c r="AA59" i="14"/>
  <c r="AE55" i="17"/>
  <c r="AA65" i="16"/>
  <c r="AA140" i="14"/>
  <c r="AA156" i="14"/>
  <c r="AA204" i="14"/>
  <c r="AD49" i="16"/>
  <c r="Z118" i="14"/>
  <c r="Z188" i="14"/>
  <c r="AC49" i="17"/>
  <c r="AB49" i="17"/>
  <c r="AB53" i="17"/>
  <c r="Z61" i="17"/>
  <c r="AA43" i="18"/>
  <c r="Z56" i="17"/>
  <c r="AB114" i="18"/>
  <c r="AE50" i="20"/>
  <c r="AB44" i="20"/>
  <c r="U2012" i="6"/>
  <c r="Z41" i="21"/>
  <c r="Z43" i="21"/>
  <c r="AA47" i="21"/>
  <c r="AB52" i="21"/>
  <c r="AC88" i="21"/>
  <c r="AA99" i="21"/>
  <c r="AD45" i="22"/>
  <c r="AA105" i="22"/>
  <c r="AB105" i="22" s="1"/>
  <c r="Z84" i="22"/>
  <c r="AA109" i="22"/>
  <c r="AD51" i="23"/>
  <c r="AB45" i="23"/>
  <c r="Z132" i="14"/>
  <c r="AD54" i="19"/>
  <c r="AA146" i="18"/>
  <c r="AH46" i="20"/>
  <c r="AA143" i="18"/>
  <c r="Z143" i="18"/>
  <c r="Z54" i="21"/>
  <c r="AB55" i="21"/>
  <c r="AC39" i="22"/>
  <c r="Z64" i="22"/>
  <c r="Z115" i="22"/>
  <c r="AB104" i="22"/>
  <c r="X3498" i="6"/>
  <c r="X3499" i="6"/>
  <c r="Y1785" i="6"/>
  <c r="Y1784" i="6"/>
  <c r="Z1780" i="6"/>
  <c r="Z12" i="5"/>
  <c r="W416" i="6"/>
  <c r="W418" i="6"/>
  <c r="X35" i="5"/>
  <c r="Z1554" i="6"/>
  <c r="AN1518" i="6"/>
  <c r="AJ1518" i="6"/>
  <c r="AF1518" i="6"/>
  <c r="AB1518" i="6"/>
  <c r="AK1466" i="6"/>
  <c r="AG1466" i="6"/>
  <c r="AC1466" i="6"/>
  <c r="Y1466" i="6"/>
  <c r="AJ1414" i="6"/>
  <c r="AF1414" i="6"/>
  <c r="AB1414" i="6"/>
  <c r="V1360" i="6"/>
  <c r="Z1336" i="6"/>
  <c r="AM1518" i="6"/>
  <c r="AI1518" i="6"/>
  <c r="AE1518" i="6"/>
  <c r="AA1518" i="6"/>
  <c r="AJ1466" i="6"/>
  <c r="AF1466" i="6"/>
  <c r="AB1466" i="6"/>
  <c r="AM1414" i="6"/>
  <c r="AI1414" i="6"/>
  <c r="AE1414" i="6"/>
  <c r="AA1414" i="6"/>
  <c r="AL1518" i="6"/>
  <c r="AH1518" i="6"/>
  <c r="AD1518" i="6"/>
  <c r="Z1518" i="6"/>
  <c r="AM1466" i="6"/>
  <c r="AI1466" i="6"/>
  <c r="AE1466" i="6"/>
  <c r="AA1466" i="6"/>
  <c r="AL1414" i="6"/>
  <c r="AH1414" i="6"/>
  <c r="AD1414" i="6"/>
  <c r="Z1414" i="6"/>
  <c r="X1360" i="6"/>
  <c r="AK1518" i="6"/>
  <c r="AG1518" i="6"/>
  <c r="AC1518" i="6"/>
  <c r="Y1518" i="6"/>
  <c r="AL1466" i="6"/>
  <c r="AH1466" i="6"/>
  <c r="AD1466" i="6"/>
  <c r="Z1466" i="6"/>
  <c r="AK1414" i="6"/>
  <c r="AG1414" i="6"/>
  <c r="AC1414" i="6"/>
  <c r="Y1414" i="6"/>
  <c r="W1360" i="6"/>
  <c r="Y1109" i="6"/>
  <c r="Y1110" i="6"/>
  <c r="Z1103" i="6"/>
  <c r="Z9" i="5"/>
  <c r="AA2005" i="6"/>
  <c r="Z2009" i="6"/>
  <c r="AG3228" i="6" a="1"/>
  <c r="AG3228" i="6" s="1"/>
  <c r="AG3334" i="6" s="1"/>
  <c r="AS3228" i="6" a="1"/>
  <c r="AS3228" i="6" s="1"/>
  <c r="AS3335" i="6" s="1"/>
  <c r="BM3176" i="6" a="1"/>
  <c r="BM3176" i="6" s="1"/>
  <c r="BB3176" i="6" a="1"/>
  <c r="BB3176" i="6" s="1"/>
  <c r="AI2912" i="6"/>
  <c r="AE2912" i="6"/>
  <c r="AA2912" i="6"/>
  <c r="W2912" i="6"/>
  <c r="AH2860" i="6"/>
  <c r="AD2860" i="6"/>
  <c r="Z2860" i="6"/>
  <c r="V2860" i="6"/>
  <c r="V2841" i="6" s="1" a="1"/>
  <c r="V2841" i="6" s="1"/>
  <c r="AF2912" i="6"/>
  <c r="Z2912" i="6"/>
  <c r="U2912" i="6"/>
  <c r="U2893" i="6" s="1" a="1"/>
  <c r="U2893" i="6" s="1"/>
  <c r="AE2860" i="6"/>
  <c r="Y2860" i="6"/>
  <c r="AD2912" i="6"/>
  <c r="Y2912" i="6"/>
  <c r="AI2860" i="6"/>
  <c r="AC2860" i="6"/>
  <c r="X2860" i="6"/>
  <c r="AH2912" i="6"/>
  <c r="AC2912" i="6"/>
  <c r="X2912" i="6"/>
  <c r="AF2860" i="6"/>
  <c r="U2860" i="6"/>
  <c r="U2841" i="6" s="1" a="1"/>
  <c r="U2841" i="6" s="1"/>
  <c r="AG2912" i="6"/>
  <c r="AB2860" i="6"/>
  <c r="AB2912" i="6"/>
  <c r="AA2860" i="6"/>
  <c r="V2912" i="6"/>
  <c r="V2893" i="6" s="1" a="1"/>
  <c r="V2893" i="6" s="1"/>
  <c r="AG2860" i="6"/>
  <c r="W2860" i="6"/>
  <c r="AA48" i="18"/>
  <c r="AH2794" i="6"/>
  <c r="AD2794" i="6"/>
  <c r="Z2794" i="6"/>
  <c r="V2794" i="6"/>
  <c r="R2794" i="6"/>
  <c r="Q2672" i="6"/>
  <c r="AG2794" i="6"/>
  <c r="AB2794" i="6"/>
  <c r="W2794" i="6"/>
  <c r="Q2794" i="6"/>
  <c r="AK2794" i="6"/>
  <c r="AF2794" i="6"/>
  <c r="AA2794" i="6"/>
  <c r="U2794" i="6"/>
  <c r="AC2794" i="6"/>
  <c r="S2794" i="6"/>
  <c r="AJ2794" i="6"/>
  <c r="Y2794" i="6"/>
  <c r="AI2794" i="6"/>
  <c r="X2794" i="6"/>
  <c r="AE2794" i="6"/>
  <c r="Q2673" i="6"/>
  <c r="T2794" i="6"/>
  <c r="R27" i="5"/>
  <c r="AJ3081" i="6"/>
  <c r="AF3081" i="6"/>
  <c r="AB3081" i="6"/>
  <c r="X3081" i="6"/>
  <c r="AI3029" i="6"/>
  <c r="AE3029" i="6"/>
  <c r="AA3029" i="6"/>
  <c r="W3029" i="6"/>
  <c r="AI3081" i="6"/>
  <c r="AE3081" i="6"/>
  <c r="AA3081" i="6"/>
  <c r="W3081" i="6"/>
  <c r="AH3029" i="6"/>
  <c r="AD3029" i="6"/>
  <c r="Z3029" i="6"/>
  <c r="AK3081" i="6"/>
  <c r="AC3081" i="6"/>
  <c r="AJ3029" i="6"/>
  <c r="AB3029" i="6"/>
  <c r="AH3081" i="6"/>
  <c r="Z3081" i="6"/>
  <c r="AG3029" i="6"/>
  <c r="Y3029" i="6"/>
  <c r="AG3081" i="6"/>
  <c r="Y3081" i="6"/>
  <c r="AF3029" i="6"/>
  <c r="X3029" i="6"/>
  <c r="AD3081" i="6"/>
  <c r="AC3029" i="6"/>
  <c r="AK3029" i="6"/>
  <c r="AT3393" i="6" a="1"/>
  <c r="AT3393" i="6" s="1"/>
  <c r="AT3498" i="6" s="1"/>
  <c r="AV3498" i="6"/>
  <c r="AV3499" i="6"/>
  <c r="AA191" i="14"/>
  <c r="AE3334" i="6"/>
  <c r="AE3335" i="6"/>
  <c r="Z153" i="14"/>
  <c r="AA185" i="14"/>
  <c r="Z185" i="14"/>
  <c r="AB3334" i="6"/>
  <c r="AB3335" i="6"/>
  <c r="V3334" i="6"/>
  <c r="V3335" i="6"/>
  <c r="AA3341" i="6" a="1"/>
  <c r="AA3341" i="6" s="1"/>
  <c r="AA3498" i="6" s="1"/>
  <c r="AB3393" i="6" a="1"/>
  <c r="AB3393" i="6" s="1"/>
  <c r="BH3393" i="6" a="1"/>
  <c r="BH3393" i="6" s="1"/>
  <c r="Z97" i="13"/>
  <c r="AC3498" i="6"/>
  <c r="AC3499" i="6"/>
  <c r="AB66" i="17"/>
  <c r="AA60" i="9"/>
  <c r="Z81" i="13"/>
  <c r="Z157" i="14"/>
  <c r="AC197" i="14"/>
  <c r="AA72" i="18"/>
  <c r="AB67" i="14"/>
  <c r="AB75" i="14"/>
  <c r="AC83" i="14"/>
  <c r="AB91" i="14"/>
  <c r="AB123" i="14"/>
  <c r="AA42" i="15"/>
  <c r="AC63" i="15"/>
  <c r="AA54" i="16"/>
  <c r="AE49" i="18"/>
  <c r="AB51" i="18"/>
  <c r="AB65" i="21"/>
  <c r="AE111" i="13"/>
  <c r="AB142" i="14"/>
  <c r="AB174" i="14"/>
  <c r="AB206" i="14"/>
  <c r="AB42" i="15"/>
  <c r="AB47" i="15"/>
  <c r="T25" i="16"/>
  <c r="V880" i="6"/>
  <c r="AB80" i="13"/>
  <c r="AF108" i="13"/>
  <c r="AB65" i="14"/>
  <c r="AB77" i="14"/>
  <c r="AA87" i="14"/>
  <c r="AB97" i="14"/>
  <c r="AB109" i="14"/>
  <c r="AA119" i="14"/>
  <c r="AD154" i="14"/>
  <c r="AC154" i="14"/>
  <c r="AC170" i="14"/>
  <c r="AE186" i="14"/>
  <c r="AD186" i="14"/>
  <c r="AC186" i="14"/>
  <c r="AE202" i="14"/>
  <c r="AF202" i="14" s="1"/>
  <c r="AD202" i="14"/>
  <c r="AC202" i="14"/>
  <c r="AA59" i="15"/>
  <c r="AB59" i="15" s="1"/>
  <c r="AC63" i="18"/>
  <c r="Z87" i="18"/>
  <c r="S2" i="20"/>
  <c r="U1807" i="6"/>
  <c r="U1787" i="6" s="1"/>
  <c r="AC61" i="16"/>
  <c r="Z85" i="18"/>
  <c r="Z99" i="18"/>
  <c r="AB156" i="14"/>
  <c r="AD49" i="18"/>
  <c r="AA58" i="18"/>
  <c r="AA54" i="18"/>
  <c r="AB54" i="18"/>
  <c r="Z54" i="18"/>
  <c r="AE110" i="18"/>
  <c r="Z77" i="20"/>
  <c r="Z52" i="19"/>
  <c r="AA52" i="19"/>
  <c r="AB58" i="19"/>
  <c r="Z154" i="18"/>
  <c r="Z122" i="18"/>
  <c r="AA122" i="18"/>
  <c r="AD124" i="18"/>
  <c r="AB68" i="19"/>
  <c r="S17" i="21"/>
  <c r="U2007" i="6"/>
  <c r="AC48" i="21"/>
  <c r="Z161" i="18"/>
  <c r="AB63" i="19"/>
  <c r="AB78" i="20"/>
  <c r="AA78" i="20"/>
  <c r="AC78" i="20"/>
  <c r="AC50" i="21"/>
  <c r="AC46" i="21"/>
  <c r="AC56" i="21"/>
  <c r="AC83" i="21"/>
  <c r="AA51" i="22"/>
  <c r="AB57" i="21"/>
  <c r="AA86" i="21"/>
  <c r="AB88" i="21"/>
  <c r="AB83" i="22"/>
  <c r="AA96" i="21"/>
  <c r="AB104" i="21"/>
  <c r="AE48" i="22"/>
  <c r="Z61" i="22"/>
  <c r="Z78" i="22"/>
  <c r="AB57" i="22"/>
  <c r="AG77" i="22"/>
  <c r="Z92" i="22"/>
  <c r="Z97" i="22"/>
  <c r="AA103" i="22"/>
  <c r="N15" i="23"/>
  <c r="P2448" i="6"/>
  <c r="Z98" i="22"/>
  <c r="AB100" i="22"/>
  <c r="AB114" i="22"/>
  <c r="AB122" i="22"/>
  <c r="AB46" i="23"/>
  <c r="Z69" i="18"/>
  <c r="AA148" i="14"/>
  <c r="AB61" i="15"/>
  <c r="AB61" i="16"/>
  <c r="AB56" i="18"/>
  <c r="AA56" i="18"/>
  <c r="AA105" i="18"/>
  <c r="Y36" i="19"/>
  <c r="Z1560" i="6" s="1"/>
  <c r="Z40" i="20"/>
  <c r="Z52" i="20"/>
  <c r="Y36" i="21"/>
  <c r="Z2010" i="6" s="1"/>
  <c r="AB83" i="21"/>
  <c r="AA65" i="20"/>
  <c r="AC76" i="21"/>
  <c r="AB100" i="21"/>
  <c r="AA107" i="21"/>
  <c r="AB107" i="21" s="1"/>
  <c r="AB81" i="22"/>
  <c r="Z86" i="22"/>
  <c r="AC96" i="22"/>
  <c r="AB112" i="22"/>
  <c r="AC112" i="22" s="1"/>
  <c r="AN3393" i="6" a="1"/>
  <c r="AN3393" i="6" s="1"/>
  <c r="AN3498" i="6" s="1"/>
  <c r="BR3341" i="6" a="1"/>
  <c r="BR3341" i="6" s="1"/>
  <c r="W26" i="5"/>
  <c r="AC63" i="13"/>
  <c r="V416" i="6"/>
  <c r="V418" i="6"/>
  <c r="W35" i="5"/>
  <c r="AD95" i="13"/>
  <c r="R2" i="19"/>
  <c r="T1582" i="6"/>
  <c r="T1581" i="6"/>
  <c r="T1562" i="6" s="1"/>
  <c r="U1359" i="6"/>
  <c r="X1465" i="6"/>
  <c r="X1517" i="6"/>
  <c r="V1359" i="6"/>
  <c r="AJ1413" i="6"/>
  <c r="AK1465" i="6"/>
  <c r="AK1517" i="6"/>
  <c r="AC1413" i="6"/>
  <c r="AD1465" i="6"/>
  <c r="AD1517" i="6"/>
  <c r="AD1413" i="6"/>
  <c r="AE1465" i="6"/>
  <c r="AI1517" i="6"/>
  <c r="AA45" i="15"/>
  <c r="Z48" i="15"/>
  <c r="AA44" i="20"/>
  <c r="AB66" i="22"/>
  <c r="AR26" i="7"/>
  <c r="AS23" i="7"/>
  <c r="AD61" i="13"/>
  <c r="AE69" i="13"/>
  <c r="AE88" i="18"/>
  <c r="AC146" i="14"/>
  <c r="AD178" i="14"/>
  <c r="AA53" i="15"/>
  <c r="Z136" i="14"/>
  <c r="Z152" i="14"/>
  <c r="Z168" i="14"/>
  <c r="AE64" i="17"/>
  <c r="AA158" i="18"/>
  <c r="AB62" i="19"/>
  <c r="AB64" i="20"/>
  <c r="AC54" i="20"/>
  <c r="AA69" i="20"/>
  <c r="AA59" i="21"/>
  <c r="AA87" i="21"/>
  <c r="AD56" i="21"/>
  <c r="AD52" i="22"/>
  <c r="AE52" i="22"/>
  <c r="AD126" i="22"/>
  <c r="AF40" i="22"/>
  <c r="Z118" i="22"/>
  <c r="AB93" i="22"/>
  <c r="AI3499" i="6"/>
  <c r="AI3498" i="6"/>
  <c r="Q3498" i="6"/>
  <c r="Q3499" i="6"/>
  <c r="Z104" i="14"/>
  <c r="AA104" i="14" s="1"/>
  <c r="AC91" i="13"/>
  <c r="AB173" i="14"/>
  <c r="AE179" i="14"/>
  <c r="Z62" i="16"/>
  <c r="AB55" i="16"/>
  <c r="Z55" i="18"/>
  <c r="AE160" i="18"/>
  <c r="AA39" i="18"/>
  <c r="Z72" i="15"/>
  <c r="W937" i="6"/>
  <c r="W938" i="6"/>
  <c r="AC56" i="16"/>
  <c r="AC70" i="17"/>
  <c r="AC52" i="18"/>
  <c r="AA40" i="19"/>
  <c r="Y17" i="21"/>
  <c r="Y2007" i="6"/>
  <c r="Z141" i="18"/>
  <c r="AA147" i="18"/>
  <c r="AB59" i="21"/>
  <c r="Z58" i="21"/>
  <c r="AE108" i="21"/>
  <c r="AD56" i="13"/>
  <c r="AC92" i="13"/>
  <c r="AA141" i="14"/>
  <c r="AB194" i="14"/>
  <c r="Z50" i="16"/>
  <c r="AB103" i="18"/>
  <c r="Z109" i="18"/>
  <c r="AA116" i="18"/>
  <c r="AD45" i="18"/>
  <c r="AA126" i="18"/>
  <c r="AB158" i="18"/>
  <c r="AA46" i="22"/>
  <c r="AA43" i="22"/>
  <c r="AB65" i="22"/>
  <c r="AA68" i="22"/>
  <c r="AC76" i="22"/>
  <c r="AE51" i="23"/>
  <c r="R2" i="23"/>
  <c r="AG2631" i="6"/>
  <c r="AC2631" i="6"/>
  <c r="Y2631" i="6"/>
  <c r="U2631" i="6"/>
  <c r="AG2579" i="6"/>
  <c r="AC2579" i="6"/>
  <c r="Y2579" i="6"/>
  <c r="U2579" i="6"/>
  <c r="AF2527" i="6"/>
  <c r="AB2527" i="6"/>
  <c r="X2527" i="6"/>
  <c r="AF2631" i="6"/>
  <c r="AA2631" i="6"/>
  <c r="V2631" i="6"/>
  <c r="AF2579" i="6"/>
  <c r="AA2579" i="6"/>
  <c r="V2579" i="6"/>
  <c r="AH2527" i="6"/>
  <c r="AC2527" i="6"/>
  <c r="W2527" i="6"/>
  <c r="AJ2631" i="6"/>
  <c r="AE2631" i="6"/>
  <c r="Z2631" i="6"/>
  <c r="AE2579" i="6"/>
  <c r="Z2579" i="6"/>
  <c r="AG2527" i="6"/>
  <c r="AA2527" i="6"/>
  <c r="V2527" i="6"/>
  <c r="AI2631" i="6"/>
  <c r="AD2631" i="6"/>
  <c r="X2631" i="6"/>
  <c r="AI2579" i="6"/>
  <c r="AD2579" i="6"/>
  <c r="X2579" i="6"/>
  <c r="AE2527" i="6"/>
  <c r="Z2527" i="6"/>
  <c r="U2527" i="6"/>
  <c r="AH2631" i="6"/>
  <c r="T2473" i="6"/>
  <c r="T2454" i="6" s="1"/>
  <c r="AB2631" i="6"/>
  <c r="AH2579" i="6"/>
  <c r="AI2527" i="6"/>
  <c r="W2631" i="6"/>
  <c r="AB2579" i="6"/>
  <c r="AD2527" i="6"/>
  <c r="W2579" i="6"/>
  <c r="Y2527" i="6"/>
  <c r="AA118" i="22"/>
  <c r="AD104" i="18"/>
  <c r="AL2194" i="6" l="1"/>
  <c r="AH2194" i="6"/>
  <c r="AD2194" i="6"/>
  <c r="Z2194" i="6"/>
  <c r="AN2142" i="6"/>
  <c r="AJ2142" i="6"/>
  <c r="AF2142" i="6"/>
  <c r="AB2142" i="6"/>
  <c r="AM2090" i="6"/>
  <c r="AI2090" i="6"/>
  <c r="AE2090" i="6"/>
  <c r="AA2090" i="6"/>
  <c r="Y2036" i="6"/>
  <c r="AA2011" i="6"/>
  <c r="AO2194" i="6"/>
  <c r="AK2194" i="6"/>
  <c r="AG2194" i="6"/>
  <c r="AC2194" i="6"/>
  <c r="AM2142" i="6"/>
  <c r="AI2142" i="6"/>
  <c r="AE2142" i="6"/>
  <c r="AA2142" i="6"/>
  <c r="AL2090" i="6"/>
  <c r="AH2090" i="6"/>
  <c r="AD2090" i="6"/>
  <c r="Z2090" i="6"/>
  <c r="X2036" i="6"/>
  <c r="AN2194" i="6"/>
  <c r="AJ2194" i="6"/>
  <c r="AF2194" i="6"/>
  <c r="AB2194" i="6"/>
  <c r="AL2142" i="6"/>
  <c r="AH2142" i="6"/>
  <c r="AD2142" i="6"/>
  <c r="Z2142" i="6"/>
  <c r="AK2090" i="6"/>
  <c r="AG2090" i="6"/>
  <c r="AC2090" i="6"/>
  <c r="W2036" i="6"/>
  <c r="AM2194" i="6"/>
  <c r="AC2142" i="6"/>
  <c r="AB2090" i="6"/>
  <c r="AI2194" i="6"/>
  <c r="AN2090" i="6"/>
  <c r="AE2194" i="6"/>
  <c r="AK2142" i="6"/>
  <c r="AJ2090" i="6"/>
  <c r="AA2194" i="6"/>
  <c r="AG2142" i="6"/>
  <c r="AF2090" i="6"/>
  <c r="AD150" i="14"/>
  <c r="AE1067" i="6"/>
  <c r="AA1067" i="6"/>
  <c r="AK1015" i="6"/>
  <c r="AG1015" i="6"/>
  <c r="AC1015" i="6"/>
  <c r="AL963" i="6"/>
  <c r="AH963" i="6"/>
  <c r="AD963" i="6"/>
  <c r="Z963" i="6"/>
  <c r="AD1067" i="6"/>
  <c r="Z1067" i="6"/>
  <c r="AN1015" i="6"/>
  <c r="AJ1015" i="6"/>
  <c r="AF1015" i="6"/>
  <c r="AB1015" i="6"/>
  <c r="AC1067" i="6"/>
  <c r="AM1015" i="6"/>
  <c r="AI1015" i="6"/>
  <c r="AE1015" i="6"/>
  <c r="AA1015" i="6"/>
  <c r="AN963" i="6"/>
  <c r="AJ963" i="6"/>
  <c r="AF963" i="6"/>
  <c r="AB963" i="6"/>
  <c r="AB1067" i="6"/>
  <c r="AL1015" i="6"/>
  <c r="AG963" i="6"/>
  <c r="AH1015" i="6"/>
  <c r="AM963" i="6"/>
  <c r="AE963" i="6"/>
  <c r="AD1015" i="6"/>
  <c r="AK963" i="6"/>
  <c r="AC963" i="6"/>
  <c r="Y909" i="6"/>
  <c r="Y885" i="6" s="1"/>
  <c r="Z1015" i="6"/>
  <c r="AI963" i="6"/>
  <c r="AA963" i="6"/>
  <c r="AA884" i="6"/>
  <c r="AB59" i="22"/>
  <c r="AD59" i="22" s="1"/>
  <c r="AC59" i="22"/>
  <c r="AC61" i="19"/>
  <c r="AD61" i="19"/>
  <c r="AC57" i="17"/>
  <c r="AD90" i="18"/>
  <c r="AE90" i="18"/>
  <c r="AF144" i="18"/>
  <c r="AC92" i="14"/>
  <c r="AD92" i="14"/>
  <c r="AC59" i="15"/>
  <c r="U2999" i="6"/>
  <c r="U3000" i="6"/>
  <c r="AF41" i="22"/>
  <c r="W3167" i="6"/>
  <c r="W3166" i="6"/>
  <c r="AG202" i="14"/>
  <c r="AE109" i="14"/>
  <c r="AD109" i="14"/>
  <c r="R77" i="6"/>
  <c r="R78" i="6"/>
  <c r="AD152" i="18"/>
  <c r="AE152" i="18"/>
  <c r="AF152" i="18" s="1"/>
  <c r="AE67" i="19"/>
  <c r="AD50" i="18"/>
  <c r="AC65" i="15"/>
  <c r="W2012" i="6"/>
  <c r="AM1744" i="6"/>
  <c r="AI1744" i="6"/>
  <c r="AE1744" i="6"/>
  <c r="AA1744" i="6"/>
  <c r="AK1692" i="6"/>
  <c r="AG1692" i="6"/>
  <c r="AC1692" i="6"/>
  <c r="AN1640" i="6"/>
  <c r="AJ1640" i="6"/>
  <c r="AF1640" i="6"/>
  <c r="AB1640" i="6"/>
  <c r="AN1744" i="6"/>
  <c r="AH1744" i="6"/>
  <c r="AC1744" i="6"/>
  <c r="AN1692" i="6"/>
  <c r="AI1692" i="6"/>
  <c r="AD1692" i="6"/>
  <c r="AM1640" i="6"/>
  <c r="AH1640" i="6"/>
  <c r="AC1640" i="6"/>
  <c r="Y1586" i="6"/>
  <c r="AA1561" i="6"/>
  <c r="AL1744" i="6"/>
  <c r="AG1744" i="6"/>
  <c r="AB1744" i="6"/>
  <c r="AM1692" i="6"/>
  <c r="AH1692" i="6"/>
  <c r="AB1692" i="6"/>
  <c r="AL1640" i="6"/>
  <c r="AG1640" i="6"/>
  <c r="AA1640" i="6"/>
  <c r="X1586" i="6"/>
  <c r="AK1744" i="6"/>
  <c r="AF1744" i="6"/>
  <c r="Z1744" i="6"/>
  <c r="AL1692" i="6"/>
  <c r="AF1692" i="6"/>
  <c r="AA1692" i="6"/>
  <c r="AK1640" i="6"/>
  <c r="AE1640" i="6"/>
  <c r="Z1640" i="6"/>
  <c r="W1586" i="6"/>
  <c r="W1562" i="6" s="1"/>
  <c r="AO1744" i="6"/>
  <c r="AJ1744" i="6"/>
  <c r="AD1744" i="6"/>
  <c r="AJ1692" i="6"/>
  <c r="AE1692" i="6"/>
  <c r="Z1692" i="6"/>
  <c r="AI1640" i="6"/>
  <c r="AD1640" i="6"/>
  <c r="V2999" i="6"/>
  <c r="V3000" i="6"/>
  <c r="AE89" i="14"/>
  <c r="AC89" i="14"/>
  <c r="AD89" i="14"/>
  <c r="AC67" i="16"/>
  <c r="AC842" i="6"/>
  <c r="AM790" i="6"/>
  <c r="AI790" i="6"/>
  <c r="AE790" i="6"/>
  <c r="AA790" i="6"/>
  <c r="AN738" i="6"/>
  <c r="AJ738" i="6"/>
  <c r="AF738" i="6"/>
  <c r="AB738" i="6"/>
  <c r="AB842" i="6"/>
  <c r="AL790" i="6"/>
  <c r="AH790" i="6"/>
  <c r="AD790" i="6"/>
  <c r="Z790" i="6"/>
  <c r="AM738" i="6"/>
  <c r="AI738" i="6"/>
  <c r="AE738" i="6"/>
  <c r="AA738" i="6"/>
  <c r="X684" i="6"/>
  <c r="AE842" i="6"/>
  <c r="AA842" i="6"/>
  <c r="AK790" i="6"/>
  <c r="AG790" i="6"/>
  <c r="AC790" i="6"/>
  <c r="AL738" i="6"/>
  <c r="AH738" i="6"/>
  <c r="AD738" i="6"/>
  <c r="Z738" i="6"/>
  <c r="AD842" i="6"/>
  <c r="Z842" i="6"/>
  <c r="AN790" i="6"/>
  <c r="AJ790" i="6"/>
  <c r="AF790" i="6"/>
  <c r="AB790" i="6"/>
  <c r="AK738" i="6"/>
  <c r="AG738" i="6"/>
  <c r="AC738" i="6"/>
  <c r="AA659" i="6"/>
  <c r="Y684" i="6"/>
  <c r="AD93" i="13"/>
  <c r="AC39" i="21"/>
  <c r="AD39" i="21"/>
  <c r="AB58" i="16"/>
  <c r="AE136" i="18"/>
  <c r="AC64" i="14"/>
  <c r="AE55" i="21"/>
  <c r="AG55" i="21" s="1"/>
  <c r="AB58" i="18"/>
  <c r="AC108" i="22"/>
  <c r="AC107" i="21"/>
  <c r="AE107" i="21" s="1"/>
  <c r="Z17" i="18"/>
  <c r="Z1332" i="6"/>
  <c r="AC80" i="13"/>
  <c r="AV3334" i="6"/>
  <c r="AH3498" i="6"/>
  <c r="X3171" i="6"/>
  <c r="X38" i="11"/>
  <c r="N2727" i="6"/>
  <c r="J2727" i="6"/>
  <c r="F2727" i="6"/>
  <c r="Q2675" i="6"/>
  <c r="M2675" i="6"/>
  <c r="I2675" i="6"/>
  <c r="E2675" i="6"/>
  <c r="Q2727" i="6"/>
  <c r="L2727" i="6"/>
  <c r="G2727" i="6"/>
  <c r="P2727" i="6"/>
  <c r="K2727" i="6"/>
  <c r="E2727" i="6"/>
  <c r="O2727" i="6"/>
  <c r="I2727" i="6"/>
  <c r="D2727" i="6"/>
  <c r="M2727" i="6"/>
  <c r="O2675" i="6"/>
  <c r="J2675" i="6"/>
  <c r="D2675" i="6"/>
  <c r="H2727" i="6"/>
  <c r="N2675" i="6"/>
  <c r="H2675" i="6"/>
  <c r="C2675" i="6"/>
  <c r="C2674" i="6" s="1" a="1"/>
  <c r="C2674" i="6" s="1"/>
  <c r="C2727" i="6"/>
  <c r="C2726" i="6" s="1" a="1"/>
  <c r="C2726" i="6" s="1"/>
  <c r="L2675" i="6"/>
  <c r="G2675" i="6"/>
  <c r="P2675" i="6"/>
  <c r="K2675" i="6"/>
  <c r="F2675" i="6"/>
  <c r="N2778" i="6"/>
  <c r="N2831" i="6" s="1"/>
  <c r="Q2778" i="6"/>
  <c r="Q2831" i="6" s="1"/>
  <c r="Y2835" i="6"/>
  <c r="Y92" i="9"/>
  <c r="Y66" i="9"/>
  <c r="Y64" i="9"/>
  <c r="Y61" i="9"/>
  <c r="Z3005" i="6" s="1"/>
  <c r="Y58" i="9"/>
  <c r="Y16" i="9"/>
  <c r="Y8" i="9"/>
  <c r="Z2670" i="6" s="1"/>
  <c r="Y3" i="9"/>
  <c r="Y69" i="9"/>
  <c r="Y4" i="9"/>
  <c r="Z93" i="9"/>
  <c r="Y74" i="9"/>
  <c r="Y68" i="9"/>
  <c r="Z2837" i="6" s="1"/>
  <c r="Y65" i="9"/>
  <c r="Y63" i="9"/>
  <c r="Z2835" i="6" s="1"/>
  <c r="Y57" i="9"/>
  <c r="Z3002" i="6" s="1"/>
  <c r="AJ22" i="13"/>
  <c r="AK21" i="13"/>
  <c r="AD95" i="18"/>
  <c r="AA59" i="13"/>
  <c r="AA2449" i="6"/>
  <c r="AA2450" i="6"/>
  <c r="AB2448" i="6"/>
  <c r="AB16" i="5"/>
  <c r="AA655" i="6"/>
  <c r="AB653" i="6"/>
  <c r="AB6" i="5"/>
  <c r="W43" i="8"/>
  <c r="X643" i="6" s="1"/>
  <c r="X645" i="6" s="1"/>
  <c r="W42" i="8"/>
  <c r="X644" i="6" s="1"/>
  <c r="W41" i="8"/>
  <c r="X642" i="6" s="1"/>
  <c r="X641" i="6"/>
  <c r="Y33" i="5" s="1"/>
  <c r="AA880" i="6"/>
  <c r="AB878" i="6"/>
  <c r="AB7" i="5"/>
  <c r="R2" i="14"/>
  <c r="T443" i="6"/>
  <c r="T442" i="6"/>
  <c r="R38" i="23"/>
  <c r="R31" i="22"/>
  <c r="R31" i="21"/>
  <c r="R31" i="19"/>
  <c r="R31" i="20"/>
  <c r="R31" i="18"/>
  <c r="R41" i="16"/>
  <c r="R33" i="15"/>
  <c r="R36" i="17"/>
  <c r="R48" i="14"/>
  <c r="R40" i="13"/>
  <c r="Q6" i="7"/>
  <c r="AC3335" i="6"/>
  <c r="AA86" i="22"/>
  <c r="AA78" i="22"/>
  <c r="AE62" i="17"/>
  <c r="V2782" i="6"/>
  <c r="R2782" i="6"/>
  <c r="N2782" i="6"/>
  <c r="J2782" i="6"/>
  <c r="F2782" i="6"/>
  <c r="F2779" i="6" s="1"/>
  <c r="E2672" i="6"/>
  <c r="W2782" i="6"/>
  <c r="Q2782" i="6"/>
  <c r="Q2779" i="6" s="1"/>
  <c r="L2782" i="6"/>
  <c r="G2782" i="6"/>
  <c r="U2782" i="6"/>
  <c r="P2782" i="6"/>
  <c r="K2782" i="6"/>
  <c r="E2782" i="6"/>
  <c r="E2779" i="6" s="1"/>
  <c r="X2782" i="6"/>
  <c r="M2782" i="6"/>
  <c r="M2779" i="6" s="1"/>
  <c r="T2782" i="6"/>
  <c r="I2782" i="6"/>
  <c r="S2782" i="6"/>
  <c r="H2782" i="6"/>
  <c r="Y2782" i="6"/>
  <c r="O2782" i="6"/>
  <c r="E2673" i="6"/>
  <c r="F27" i="5"/>
  <c r="AB65" i="17"/>
  <c r="AB113" i="14"/>
  <c r="AC110" i="22"/>
  <c r="AC109" i="21"/>
  <c r="AC57" i="19"/>
  <c r="AD60" i="17"/>
  <c r="AA54" i="22"/>
  <c r="AD49" i="17"/>
  <c r="AE70" i="20"/>
  <c r="AF111" i="13"/>
  <c r="AB51" i="13"/>
  <c r="Q3166" i="6"/>
  <c r="AC62" i="19"/>
  <c r="AF62" i="19" s="1"/>
  <c r="AD62" i="19"/>
  <c r="R17" i="21"/>
  <c r="T2007" i="6"/>
  <c r="AB3004" i="6"/>
  <c r="AA72" i="15"/>
  <c r="Z36" i="18"/>
  <c r="AA40" i="20"/>
  <c r="M15" i="23"/>
  <c r="O2448" i="6"/>
  <c r="AC54" i="18"/>
  <c r="U1839" i="6"/>
  <c r="U1840" i="6"/>
  <c r="AC42" i="15"/>
  <c r="AD2741" i="6"/>
  <c r="Z2741" i="6"/>
  <c r="V2741" i="6"/>
  <c r="R2741" i="6"/>
  <c r="AC2689" i="6"/>
  <c r="Y2689" i="6"/>
  <c r="U2689" i="6"/>
  <c r="Q2689" i="6"/>
  <c r="AC2741" i="6"/>
  <c r="X2741" i="6"/>
  <c r="S2741" i="6"/>
  <c r="AB2741" i="6"/>
  <c r="W2741" i="6"/>
  <c r="Q2741" i="6"/>
  <c r="AA2741" i="6"/>
  <c r="U2741" i="6"/>
  <c r="AE2741" i="6"/>
  <c r="AA2689" i="6"/>
  <c r="V2689" i="6"/>
  <c r="Y2741" i="6"/>
  <c r="AE2689" i="6"/>
  <c r="Z2689" i="6"/>
  <c r="T2689" i="6"/>
  <c r="T2741" i="6"/>
  <c r="AD2689" i="6"/>
  <c r="X2689" i="6"/>
  <c r="S2689" i="6"/>
  <c r="AB2689" i="6"/>
  <c r="W2689" i="6"/>
  <c r="R2689" i="6"/>
  <c r="AN1968" i="6"/>
  <c r="AJ1968" i="6"/>
  <c r="AF1968" i="6"/>
  <c r="AB1968" i="6"/>
  <c r="AK1916" i="6"/>
  <c r="AG1916" i="6"/>
  <c r="AC1916" i="6"/>
  <c r="Y1916" i="6"/>
  <c r="AJ1864" i="6"/>
  <c r="AF1864" i="6"/>
  <c r="AB1864" i="6"/>
  <c r="AM1968" i="6"/>
  <c r="AI1968" i="6"/>
  <c r="AE1968" i="6"/>
  <c r="AA1968" i="6"/>
  <c r="AJ1916" i="6"/>
  <c r="AF1916" i="6"/>
  <c r="AB1916" i="6"/>
  <c r="AM1864" i="6"/>
  <c r="AI1864" i="6"/>
  <c r="AE1864" i="6"/>
  <c r="AA1864" i="6"/>
  <c r="AL1968" i="6"/>
  <c r="AH1968" i="6"/>
  <c r="AD1968" i="6"/>
  <c r="Z1968" i="6"/>
  <c r="AM1916" i="6"/>
  <c r="AI1916" i="6"/>
  <c r="AE1916" i="6"/>
  <c r="AA1916" i="6"/>
  <c r="AL1864" i="6"/>
  <c r="AH1864" i="6"/>
  <c r="AD1864" i="6"/>
  <c r="Z1864" i="6"/>
  <c r="AC1968" i="6"/>
  <c r="AH1916" i="6"/>
  <c r="AG1864" i="6"/>
  <c r="V1810" i="6"/>
  <c r="Y1968" i="6"/>
  <c r="AD1916" i="6"/>
  <c r="AC1864" i="6"/>
  <c r="Z1786" i="6"/>
  <c r="AK1968" i="6"/>
  <c r="Z1916" i="6"/>
  <c r="Y1864" i="6"/>
  <c r="X1810" i="6"/>
  <c r="AG1968" i="6"/>
  <c r="AL1916" i="6"/>
  <c r="AK1864" i="6"/>
  <c r="W1810" i="6"/>
  <c r="AD88" i="21"/>
  <c r="AA43" i="21"/>
  <c r="U2064" i="6"/>
  <c r="U2065" i="6"/>
  <c r="U21" i="17"/>
  <c r="U1106" i="6"/>
  <c r="V19" i="5" s="1"/>
  <c r="AA109" i="13"/>
  <c r="AB119" i="13"/>
  <c r="AC119" i="13"/>
  <c r="AD119" i="13" s="1"/>
  <c r="V2065" i="6"/>
  <c r="V2064" i="6"/>
  <c r="AA115" i="14"/>
  <c r="AA107" i="14"/>
  <c r="AN375" i="6"/>
  <c r="AJ375" i="6"/>
  <c r="AF375" i="6"/>
  <c r="AB375" i="6"/>
  <c r="X375" i="6"/>
  <c r="AM375" i="6"/>
  <c r="AI375" i="6"/>
  <c r="AE375" i="6"/>
  <c r="AA375" i="6"/>
  <c r="W375" i="6"/>
  <c r="AO375" i="6"/>
  <c r="AG375" i="6"/>
  <c r="Y375" i="6"/>
  <c r="AL375" i="6"/>
  <c r="AH375" i="6"/>
  <c r="AD375" i="6"/>
  <c r="Z375" i="6"/>
  <c r="V375" i="6"/>
  <c r="U249" i="6"/>
  <c r="V29" i="5"/>
  <c r="AK375" i="6"/>
  <c r="AC375" i="6"/>
  <c r="U375" i="6"/>
  <c r="U250" i="6"/>
  <c r="AD87" i="21"/>
  <c r="AA65" i="19"/>
  <c r="P2" i="22"/>
  <c r="AH2410" i="6"/>
  <c r="AD2410" i="6"/>
  <c r="Z2410" i="6"/>
  <c r="V2410" i="6"/>
  <c r="AR2358" i="6"/>
  <c r="AN2358" i="6"/>
  <c r="AJ2358" i="6"/>
  <c r="AF2358" i="6"/>
  <c r="AB2358" i="6"/>
  <c r="X2358" i="6"/>
  <c r="AP2306" i="6"/>
  <c r="AL2306" i="6"/>
  <c r="AH2306" i="6"/>
  <c r="AD2306" i="6"/>
  <c r="Z2306" i="6"/>
  <c r="V2306" i="6"/>
  <c r="R2251" i="6"/>
  <c r="AG2410" i="6"/>
  <c r="AC2410" i="6"/>
  <c r="Y2410" i="6"/>
  <c r="U2410" i="6"/>
  <c r="AQ2358" i="6"/>
  <c r="AM2358" i="6"/>
  <c r="AI2358" i="6"/>
  <c r="AE2358" i="6"/>
  <c r="AA2358" i="6"/>
  <c r="W2358" i="6"/>
  <c r="AS2306" i="6"/>
  <c r="AO2306" i="6"/>
  <c r="AK2306" i="6"/>
  <c r="AG2306" i="6"/>
  <c r="AC2306" i="6"/>
  <c r="Y2306" i="6"/>
  <c r="U2306" i="6"/>
  <c r="AJ2410" i="6"/>
  <c r="AF2410" i="6"/>
  <c r="AB2410" i="6"/>
  <c r="X2410" i="6"/>
  <c r="AP2358" i="6"/>
  <c r="AL2358" i="6"/>
  <c r="AH2358" i="6"/>
  <c r="AD2358" i="6"/>
  <c r="Z2358" i="6"/>
  <c r="V2358" i="6"/>
  <c r="AR2306" i="6"/>
  <c r="AN2306" i="6"/>
  <c r="AJ2306" i="6"/>
  <c r="AF2306" i="6"/>
  <c r="AB2306" i="6"/>
  <c r="X2306" i="6"/>
  <c r="R2252" i="6"/>
  <c r="R2250" i="6"/>
  <c r="AI2410" i="6"/>
  <c r="AE2410" i="6"/>
  <c r="AA2410" i="6"/>
  <c r="W2410" i="6"/>
  <c r="AS2358" i="6"/>
  <c r="AO2358" i="6"/>
  <c r="AK2358" i="6"/>
  <c r="AG2358" i="6"/>
  <c r="AC2358" i="6"/>
  <c r="Y2358" i="6"/>
  <c r="U2358" i="6"/>
  <c r="AQ2306" i="6"/>
  <c r="AM2306" i="6"/>
  <c r="AI2306" i="6"/>
  <c r="AE2306" i="6"/>
  <c r="AA2306" i="6"/>
  <c r="W2306" i="6"/>
  <c r="Z17" i="20"/>
  <c r="Z1782" i="6"/>
  <c r="AA159" i="18"/>
  <c r="AC83" i="22"/>
  <c r="AA17" i="22"/>
  <c r="AB69" i="20"/>
  <c r="AC69" i="20" s="1"/>
  <c r="AB48" i="20"/>
  <c r="AE94" i="13"/>
  <c r="AE62" i="13"/>
  <c r="AF62" i="13" s="1"/>
  <c r="AA17" i="19"/>
  <c r="AA1557" i="6"/>
  <c r="AA49" i="21"/>
  <c r="AB76" i="18"/>
  <c r="Z44" i="17"/>
  <c r="AD52" i="13"/>
  <c r="Y62" i="12"/>
  <c r="R2731" i="6"/>
  <c r="N2731" i="6"/>
  <c r="J2731" i="6"/>
  <c r="U2679" i="6"/>
  <c r="Q2679" i="6"/>
  <c r="M2679" i="6"/>
  <c r="I2679" i="6"/>
  <c r="T2731" i="6"/>
  <c r="O2731" i="6"/>
  <c r="I2731" i="6"/>
  <c r="S2731" i="6"/>
  <c r="M2731" i="6"/>
  <c r="H2731" i="6"/>
  <c r="Q2731" i="6"/>
  <c r="L2731" i="6"/>
  <c r="G2731" i="6"/>
  <c r="U2731" i="6"/>
  <c r="R2679" i="6"/>
  <c r="L2679" i="6"/>
  <c r="G2679" i="6"/>
  <c r="P2731" i="6"/>
  <c r="P2679" i="6"/>
  <c r="K2679" i="6"/>
  <c r="K2731" i="6"/>
  <c r="T2679" i="6"/>
  <c r="O2679" i="6"/>
  <c r="J2679" i="6"/>
  <c r="S2679" i="6"/>
  <c r="N2679" i="6"/>
  <c r="H2679" i="6"/>
  <c r="AA2229" i="6"/>
  <c r="AB2227" i="6"/>
  <c r="X937" i="6"/>
  <c r="X938" i="6"/>
  <c r="Z13" i="6"/>
  <c r="AA3" i="5"/>
  <c r="Z14" i="6"/>
  <c r="AA8" i="6"/>
  <c r="AD63" i="18"/>
  <c r="AD169" i="14"/>
  <c r="Z36" i="21"/>
  <c r="AB43" i="18"/>
  <c r="AC66" i="17"/>
  <c r="AC156" i="14"/>
  <c r="Y14" i="13"/>
  <c r="Z237" i="6"/>
  <c r="Z7" i="6"/>
  <c r="Z12" i="6"/>
  <c r="AA9" i="6"/>
  <c r="AD110" i="22"/>
  <c r="AA43" i="19"/>
  <c r="AD147" i="14"/>
  <c r="AE147" i="14"/>
  <c r="AC147" i="14"/>
  <c r="AB56" i="20"/>
  <c r="AB48" i="19"/>
  <c r="AD48" i="19" s="1"/>
  <c r="AC48" i="19"/>
  <c r="AA113" i="13"/>
  <c r="AB2738" i="6"/>
  <c r="X2738" i="6"/>
  <c r="T2738" i="6"/>
  <c r="P2738" i="6"/>
  <c r="AA2686" i="6"/>
  <c r="W2686" i="6"/>
  <c r="S2686" i="6"/>
  <c r="O2686" i="6"/>
  <c r="W2738" i="6"/>
  <c r="R2738" i="6"/>
  <c r="AA2738" i="6"/>
  <c r="V2738" i="6"/>
  <c r="Q2738" i="6"/>
  <c r="Z2738" i="6"/>
  <c r="U2738" i="6"/>
  <c r="O2738" i="6"/>
  <c r="Z2686" i="6"/>
  <c r="U2686" i="6"/>
  <c r="P2686" i="6"/>
  <c r="Y2738" i="6"/>
  <c r="Y2686" i="6"/>
  <c r="T2686" i="6"/>
  <c r="N2686" i="6"/>
  <c r="S2738" i="6"/>
  <c r="X2686" i="6"/>
  <c r="R2686" i="6"/>
  <c r="N2738" i="6"/>
  <c r="AB2686" i="6"/>
  <c r="V2686" i="6"/>
  <c r="Q2686" i="6"/>
  <c r="AA66" i="14"/>
  <c r="AD70" i="18"/>
  <c r="AE70" i="18" s="1"/>
  <c r="AB129" i="14"/>
  <c r="AA47" i="20"/>
  <c r="AA76" i="15"/>
  <c r="AB69" i="16"/>
  <c r="AC69" i="16" s="1"/>
  <c r="AA127" i="22"/>
  <c r="AA119" i="22"/>
  <c r="AB119" i="22"/>
  <c r="AF160" i="18"/>
  <c r="AC106" i="18"/>
  <c r="AD143" i="14"/>
  <c r="AO1519" i="6"/>
  <c r="AK1519" i="6"/>
  <c r="AG1519" i="6"/>
  <c r="AC1519" i="6"/>
  <c r="AM1467" i="6"/>
  <c r="AI1467" i="6"/>
  <c r="AE1467" i="6"/>
  <c r="AA1467" i="6"/>
  <c r="AL1415" i="6"/>
  <c r="AH1415" i="6"/>
  <c r="AD1415" i="6"/>
  <c r="Z1415" i="6"/>
  <c r="X1361" i="6"/>
  <c r="AN1519" i="6"/>
  <c r="AJ1519" i="6"/>
  <c r="AF1519" i="6"/>
  <c r="AB1519" i="6"/>
  <c r="AL1467" i="6"/>
  <c r="AH1467" i="6"/>
  <c r="AD1467" i="6"/>
  <c r="Z1467" i="6"/>
  <c r="AK1415" i="6"/>
  <c r="AG1415" i="6"/>
  <c r="AC1415" i="6"/>
  <c r="W1361" i="6"/>
  <c r="W1337" i="6" s="1"/>
  <c r="AM1519" i="6"/>
  <c r="AI1519" i="6"/>
  <c r="AE1519" i="6"/>
  <c r="AA1519" i="6"/>
  <c r="AK1467" i="6"/>
  <c r="AG1467" i="6"/>
  <c r="AC1467" i="6"/>
  <c r="AN1415" i="6"/>
  <c r="AJ1415" i="6"/>
  <c r="AF1415" i="6"/>
  <c r="AB1415" i="6"/>
  <c r="AL1519" i="6"/>
  <c r="AH1519" i="6"/>
  <c r="AD1519" i="6"/>
  <c r="Z1519" i="6"/>
  <c r="AN1467" i="6"/>
  <c r="AJ1467" i="6"/>
  <c r="AF1467" i="6"/>
  <c r="AB1467" i="6"/>
  <c r="AM1415" i="6"/>
  <c r="AI1415" i="6"/>
  <c r="AE1415" i="6"/>
  <c r="AA1415" i="6"/>
  <c r="Y1361" i="6"/>
  <c r="AA1336" i="6"/>
  <c r="AD39" i="22"/>
  <c r="AF102" i="21"/>
  <c r="AF49" i="18"/>
  <c r="AB116" i="18"/>
  <c r="AB69" i="15"/>
  <c r="AC69" i="15"/>
  <c r="T2730" i="6"/>
  <c r="P2730" i="6"/>
  <c r="L2730" i="6"/>
  <c r="H2730" i="6"/>
  <c r="S2678" i="6"/>
  <c r="O2678" i="6"/>
  <c r="K2678" i="6"/>
  <c r="G2678" i="6"/>
  <c r="R2730" i="6"/>
  <c r="M2730" i="6"/>
  <c r="G2730" i="6"/>
  <c r="Q2730" i="6"/>
  <c r="K2730" i="6"/>
  <c r="F2730" i="6"/>
  <c r="O2730" i="6"/>
  <c r="J2730" i="6"/>
  <c r="N2730" i="6"/>
  <c r="P2678" i="6"/>
  <c r="J2678" i="6"/>
  <c r="I2730" i="6"/>
  <c r="T2678" i="6"/>
  <c r="N2678" i="6"/>
  <c r="I2678" i="6"/>
  <c r="R2678" i="6"/>
  <c r="M2678" i="6"/>
  <c r="H2678" i="6"/>
  <c r="S2730" i="6"/>
  <c r="Q2678" i="6"/>
  <c r="L2678" i="6"/>
  <c r="F2678" i="6"/>
  <c r="AB74" i="21"/>
  <c r="AA74" i="21"/>
  <c r="AB113" i="13"/>
  <c r="AD113" i="13" s="1"/>
  <c r="AB96" i="18"/>
  <c r="AC96" i="18"/>
  <c r="AB65" i="19"/>
  <c r="AA118" i="14"/>
  <c r="AA54" i="13"/>
  <c r="AB54" i="13"/>
  <c r="AD50" i="21"/>
  <c r="AC81" i="20"/>
  <c r="AD107" i="18"/>
  <c r="AD66" i="19"/>
  <c r="AA192" i="14"/>
  <c r="AA67" i="18"/>
  <c r="AA54" i="17"/>
  <c r="AB54" i="17"/>
  <c r="AF186" i="14"/>
  <c r="AG76" i="13"/>
  <c r="X2734" i="6"/>
  <c r="T2734" i="6"/>
  <c r="P2734" i="6"/>
  <c r="L2734" i="6"/>
  <c r="W2682" i="6"/>
  <c r="S2682" i="6"/>
  <c r="O2682" i="6"/>
  <c r="K2682" i="6"/>
  <c r="U2734" i="6"/>
  <c r="O2734" i="6"/>
  <c r="J2734" i="6"/>
  <c r="S2734" i="6"/>
  <c r="N2734" i="6"/>
  <c r="W2734" i="6"/>
  <c r="R2734" i="6"/>
  <c r="M2734" i="6"/>
  <c r="V2734" i="6"/>
  <c r="X2682" i="6"/>
  <c r="R2682" i="6"/>
  <c r="M2682" i="6"/>
  <c r="Q2734" i="6"/>
  <c r="V2682" i="6"/>
  <c r="Q2682" i="6"/>
  <c r="L2682" i="6"/>
  <c r="K2734" i="6"/>
  <c r="U2682" i="6"/>
  <c r="P2682" i="6"/>
  <c r="J2682" i="6"/>
  <c r="T2682" i="6"/>
  <c r="N2682" i="6"/>
  <c r="AA22" i="13"/>
  <c r="AB21" i="13"/>
  <c r="Q2" i="23"/>
  <c r="AF2630" i="6"/>
  <c r="AB2630" i="6"/>
  <c r="X2630" i="6"/>
  <c r="T2630" i="6"/>
  <c r="AE2578" i="6"/>
  <c r="AA2578" i="6"/>
  <c r="W2578" i="6"/>
  <c r="AH2526" i="6"/>
  <c r="AD2526" i="6"/>
  <c r="Z2526" i="6"/>
  <c r="V2526" i="6"/>
  <c r="AE2630" i="6"/>
  <c r="Z2630" i="6"/>
  <c r="U2630" i="6"/>
  <c r="AD2578" i="6"/>
  <c r="Y2578" i="6"/>
  <c r="T2578" i="6"/>
  <c r="AF2526" i="6"/>
  <c r="AA2526" i="6"/>
  <c r="U2526" i="6"/>
  <c r="AI2630" i="6"/>
  <c r="AD2630" i="6"/>
  <c r="Y2630" i="6"/>
  <c r="AH2578" i="6"/>
  <c r="AC2578" i="6"/>
  <c r="X2578" i="6"/>
  <c r="AE2526" i="6"/>
  <c r="Y2526" i="6"/>
  <c r="T2526" i="6"/>
  <c r="AH2630" i="6"/>
  <c r="AC2630" i="6"/>
  <c r="W2630" i="6"/>
  <c r="AG2578" i="6"/>
  <c r="AB2578" i="6"/>
  <c r="V2578" i="6"/>
  <c r="AC2526" i="6"/>
  <c r="X2526" i="6"/>
  <c r="AA2630" i="6"/>
  <c r="AF2578" i="6"/>
  <c r="AG2526" i="6"/>
  <c r="V2630" i="6"/>
  <c r="Z2578" i="6"/>
  <c r="AB2526" i="6"/>
  <c r="S2472" i="6"/>
  <c r="S2454" i="6" s="1"/>
  <c r="U2578" i="6"/>
  <c r="W2526" i="6"/>
  <c r="AG2630" i="6"/>
  <c r="AB43" i="22"/>
  <c r="Z46" i="16"/>
  <c r="AA883" i="6" s="1"/>
  <c r="AB66" i="16"/>
  <c r="AC194" i="14"/>
  <c r="AE107" i="13"/>
  <c r="AD92" i="13"/>
  <c r="AE92" i="13"/>
  <c r="AC46" i="22"/>
  <c r="AB39" i="18"/>
  <c r="AB117" i="13"/>
  <c r="AD48" i="23"/>
  <c r="AC158" i="18"/>
  <c r="AC53" i="15"/>
  <c r="AS26" i="7"/>
  <c r="AT23" i="7"/>
  <c r="V1337" i="6"/>
  <c r="T1614" i="6"/>
  <c r="T1615" i="6"/>
  <c r="AC100" i="21"/>
  <c r="AB65" i="20"/>
  <c r="AC56" i="18"/>
  <c r="AB142" i="18"/>
  <c r="AA69" i="18"/>
  <c r="AC46" i="23"/>
  <c r="AA98" i="22"/>
  <c r="AE42" i="20"/>
  <c r="AA154" i="18"/>
  <c r="AB154" i="18"/>
  <c r="AC154" i="18"/>
  <c r="AB52" i="19"/>
  <c r="AB84" i="18"/>
  <c r="AB65" i="18"/>
  <c r="AB86" i="14"/>
  <c r="R2" i="20"/>
  <c r="T1807" i="6"/>
  <c r="T1806" i="6"/>
  <c r="AA87" i="18"/>
  <c r="AD59" i="15"/>
  <c r="AE59" i="15" s="1"/>
  <c r="AD170" i="14"/>
  <c r="AE170" i="14" s="1"/>
  <c r="AE95" i="13"/>
  <c r="AG95" i="13" s="1"/>
  <c r="AA41" i="15"/>
  <c r="AA157" i="14"/>
  <c r="AB133" i="14"/>
  <c r="AC70" i="15"/>
  <c r="AE70" i="15" s="1"/>
  <c r="AF107" i="13"/>
  <c r="AA97" i="13"/>
  <c r="AB185" i="14"/>
  <c r="AA2010" i="6"/>
  <c r="AB2005" i="6"/>
  <c r="AA64" i="22"/>
  <c r="AB96" i="21"/>
  <c r="AB143" i="18"/>
  <c r="AC143" i="18" s="1"/>
  <c r="AC45" i="23"/>
  <c r="AC47" i="21"/>
  <c r="AB43" i="21"/>
  <c r="AA150" i="18"/>
  <c r="AA61" i="17"/>
  <c r="AA188" i="14"/>
  <c r="AF55" i="17"/>
  <c r="AA53" i="19"/>
  <c r="U19" i="17"/>
  <c r="U1105" i="6"/>
  <c r="AB145" i="14"/>
  <c r="AT3499" i="6"/>
  <c r="V1615" i="6"/>
  <c r="V1614" i="6"/>
  <c r="AA76" i="14"/>
  <c r="AD75" i="14"/>
  <c r="AB135" i="14"/>
  <c r="Z38" i="23"/>
  <c r="Z31" i="22"/>
  <c r="Z31" i="21"/>
  <c r="Z31" i="19"/>
  <c r="Z31" i="20"/>
  <c r="Z31" i="18"/>
  <c r="Z41" i="16"/>
  <c r="Z33" i="15"/>
  <c r="Z36" i="17"/>
  <c r="Z40" i="13"/>
  <c r="Z48" i="14"/>
  <c r="AA6" i="7"/>
  <c r="AB159" i="14"/>
  <c r="AE124" i="14"/>
  <c r="AQ2968" i="6"/>
  <c r="AM2968" i="6"/>
  <c r="AI2968" i="6"/>
  <c r="AE2968" i="6"/>
  <c r="AA2968" i="6"/>
  <c r="AP2968" i="6"/>
  <c r="AL2968" i="6"/>
  <c r="AH2968" i="6"/>
  <c r="AD2968" i="6"/>
  <c r="Z2968" i="6"/>
  <c r="AK2968" i="6"/>
  <c r="AC2968" i="6"/>
  <c r="X2839" i="6"/>
  <c r="AR2968" i="6"/>
  <c r="AJ2968" i="6"/>
  <c r="AB2968" i="6"/>
  <c r="AO2968" i="6"/>
  <c r="AG2968" i="6"/>
  <c r="Y2968" i="6"/>
  <c r="AF2968" i="6"/>
  <c r="X2968" i="6"/>
  <c r="X2840" i="6"/>
  <c r="AN2968" i="6"/>
  <c r="AE40" i="18"/>
  <c r="AE56" i="16"/>
  <c r="AD55" i="16"/>
  <c r="AA62" i="16"/>
  <c r="AC93" i="22"/>
  <c r="AC70" i="22"/>
  <c r="AA184" i="14"/>
  <c r="AA168" i="14"/>
  <c r="AB82" i="13"/>
  <c r="AC82" i="13"/>
  <c r="Z2737" i="6"/>
  <c r="V2737" i="6"/>
  <c r="R2737" i="6"/>
  <c r="N2737" i="6"/>
  <c r="Y2685" i="6"/>
  <c r="U2685" i="6"/>
  <c r="Q2685" i="6"/>
  <c r="M2685" i="6"/>
  <c r="AA2737" i="6"/>
  <c r="U2737" i="6"/>
  <c r="P2737" i="6"/>
  <c r="Y2737" i="6"/>
  <c r="T2737" i="6"/>
  <c r="O2737" i="6"/>
  <c r="X2737" i="6"/>
  <c r="S2737" i="6"/>
  <c r="M2737" i="6"/>
  <c r="W2737" i="6"/>
  <c r="X2685" i="6"/>
  <c r="S2685" i="6"/>
  <c r="N2685" i="6"/>
  <c r="Q2737" i="6"/>
  <c r="W2685" i="6"/>
  <c r="R2685" i="6"/>
  <c r="AA2685" i="6"/>
  <c r="V2685" i="6"/>
  <c r="P2685" i="6"/>
  <c r="Z2685" i="6"/>
  <c r="T2685" i="6"/>
  <c r="O2685" i="6"/>
  <c r="AF88" i="14"/>
  <c r="AD100" i="21"/>
  <c r="AC94" i="18"/>
  <c r="AB101" i="18"/>
  <c r="AE103" i="22"/>
  <c r="AD69" i="22"/>
  <c r="Z36" i="22"/>
  <c r="AC51" i="22"/>
  <c r="AD51" i="22" s="1"/>
  <c r="AE93" i="21"/>
  <c r="AC77" i="21"/>
  <c r="AD45" i="21"/>
  <c r="AE66" i="19"/>
  <c r="AB133" i="18"/>
  <c r="AD140" i="18"/>
  <c r="AC106" i="14"/>
  <c r="AB106" i="14"/>
  <c r="Z1043" i="6"/>
  <c r="AB89" i="13"/>
  <c r="AB48" i="18"/>
  <c r="AC104" i="22"/>
  <c r="AC81" i="22"/>
  <c r="AA84" i="21"/>
  <c r="AB146" i="18"/>
  <c r="AA73" i="18"/>
  <c r="AD87" i="22"/>
  <c r="AF91" i="22"/>
  <c r="AE50" i="18"/>
  <c r="AG50" i="18" s="1"/>
  <c r="AA66" i="15"/>
  <c r="AB66" i="15" s="1"/>
  <c r="AC77" i="14"/>
  <c r="AD119" i="14"/>
  <c r="AF95" i="13"/>
  <c r="AE52" i="13"/>
  <c r="AE93" i="13"/>
  <c r="AF3334" i="6"/>
  <c r="AL3082" i="6"/>
  <c r="AH3082" i="6"/>
  <c r="AD3082" i="6"/>
  <c r="Z3082" i="6"/>
  <c r="AK3030" i="6"/>
  <c r="AG3030" i="6"/>
  <c r="AC3030" i="6"/>
  <c r="Y3030" i="6"/>
  <c r="AK3082" i="6"/>
  <c r="AG3082" i="6"/>
  <c r="AC3082" i="6"/>
  <c r="Y3082" i="6"/>
  <c r="AJ3030" i="6"/>
  <c r="AF3030" i="6"/>
  <c r="AB3030" i="6"/>
  <c r="X3030" i="6"/>
  <c r="X3008" i="6" s="1" a="1"/>
  <c r="X3008" i="6" s="1"/>
  <c r="AE3082" i="6"/>
  <c r="AL3030" i="6"/>
  <c r="AD3030" i="6"/>
  <c r="AJ3082" i="6"/>
  <c r="AB3082" i="6"/>
  <c r="AI3030" i="6"/>
  <c r="AA3030" i="6"/>
  <c r="AI3082" i="6"/>
  <c r="AA3082" i="6"/>
  <c r="AH3030" i="6"/>
  <c r="Z3030" i="6"/>
  <c r="AF3082" i="6"/>
  <c r="AE3030" i="6"/>
  <c r="X3082" i="6"/>
  <c r="X3060" i="6" s="1" a="1"/>
  <c r="X3060" i="6" s="1"/>
  <c r="AG73" i="13"/>
  <c r="AB120" i="13"/>
  <c r="AC116" i="13"/>
  <c r="AC139" i="14"/>
  <c r="AB100" i="14"/>
  <c r="AB108" i="14"/>
  <c r="AS3334" i="6"/>
  <c r="AB43" i="20"/>
  <c r="AB55" i="19"/>
  <c r="AG144" i="18"/>
  <c r="AH144" i="18" s="1"/>
  <c r="AE88" i="21"/>
  <c r="AA72" i="21"/>
  <c r="AD66" i="17"/>
  <c r="AD187" i="14"/>
  <c r="AN3334" i="6"/>
  <c r="AN3335" i="6"/>
  <c r="AB63" i="16"/>
  <c r="AD83" i="14"/>
  <c r="W36" i="11"/>
  <c r="W3170" i="6"/>
  <c r="AG107" i="13"/>
  <c r="AC65" i="22"/>
  <c r="AC66" i="16"/>
  <c r="AD194" i="14"/>
  <c r="AB130" i="14"/>
  <c r="AC112" i="14"/>
  <c r="AD112" i="14" s="1"/>
  <c r="AB78" i="13"/>
  <c r="AF52" i="23"/>
  <c r="AB56" i="19"/>
  <c r="AC56" i="19"/>
  <c r="AF120" i="14"/>
  <c r="AD70" i="22"/>
  <c r="AD106" i="21"/>
  <c r="AD54" i="20"/>
  <c r="AA68" i="15"/>
  <c r="AA60" i="15"/>
  <c r="AB152" i="14"/>
  <c r="AC98" i="13"/>
  <c r="AD60" i="22"/>
  <c r="AC73" i="21"/>
  <c r="AF110" i="18"/>
  <c r="AH107" i="13"/>
  <c r="AC71" i="15"/>
  <c r="AD112" i="22"/>
  <c r="AD81" i="20"/>
  <c r="Z36" i="19"/>
  <c r="AA39" i="19"/>
  <c r="AB79" i="20"/>
  <c r="AB92" i="18"/>
  <c r="AB72" i="21"/>
  <c r="AC40" i="21"/>
  <c r="AD62" i="20"/>
  <c r="AA51" i="19"/>
  <c r="AC135" i="18"/>
  <c r="AB127" i="18"/>
  <c r="AC66" i="20"/>
  <c r="AB60" i="19"/>
  <c r="AE67" i="17"/>
  <c r="AE60" i="17"/>
  <c r="AC41" i="19"/>
  <c r="AA99" i="18"/>
  <c r="AA71" i="14"/>
  <c r="AB55" i="15"/>
  <c r="AC80" i="18"/>
  <c r="AG112" i="13"/>
  <c r="AB102" i="13"/>
  <c r="AD70" i="15"/>
  <c r="AB122" i="13"/>
  <c r="AA193" i="14"/>
  <c r="AC71" i="13"/>
  <c r="AG3335" i="6"/>
  <c r="AD60" i="20"/>
  <c r="AC95" i="21"/>
  <c r="AD95" i="21" s="1"/>
  <c r="AA56" i="17"/>
  <c r="AB48" i="16"/>
  <c r="AA64" i="15"/>
  <c r="R17" i="20"/>
  <c r="T1782" i="6"/>
  <c r="AB70" i="13"/>
  <c r="AB85" i="21"/>
  <c r="AA141" i="18"/>
  <c r="AE45" i="20"/>
  <c r="AF45" i="20"/>
  <c r="AB64" i="16"/>
  <c r="AD64" i="16" s="1"/>
  <c r="AC64" i="16"/>
  <c r="AD118" i="18"/>
  <c r="AE104" i="18"/>
  <c r="AF104" i="18" s="1"/>
  <c r="AD77" i="13"/>
  <c r="Z67" i="12"/>
  <c r="AC96" i="21"/>
  <c r="AE54" i="20"/>
  <c r="AC46" i="19"/>
  <c r="AA114" i="14"/>
  <c r="AB98" i="14"/>
  <c r="AA98" i="14"/>
  <c r="AA82" i="14"/>
  <c r="AB83" i="18"/>
  <c r="AB85" i="13"/>
  <c r="AD72" i="13"/>
  <c r="AC72" i="13"/>
  <c r="AD72" i="14"/>
  <c r="Z61" i="12"/>
  <c r="AA101" i="21"/>
  <c r="AB53" i="21"/>
  <c r="AE41" i="18"/>
  <c r="AA68" i="16"/>
  <c r="V3167" i="6"/>
  <c r="AG106" i="13"/>
  <c r="AD85" i="22"/>
  <c r="AD96" i="22"/>
  <c r="AF126" i="22"/>
  <c r="AE126" i="22"/>
  <c r="AE50" i="21"/>
  <c r="AF50" i="21"/>
  <c r="AB38" i="21"/>
  <c r="AC122" i="22"/>
  <c r="AA106" i="22"/>
  <c r="AA97" i="22"/>
  <c r="AH77" i="22"/>
  <c r="AF63" i="22"/>
  <c r="AE56" i="22"/>
  <c r="AB38" i="22"/>
  <c r="AC70" i="21"/>
  <c r="AA103" i="21"/>
  <c r="AG102" i="21"/>
  <c r="AB51" i="21"/>
  <c r="AF48" i="22"/>
  <c r="AE39" i="21"/>
  <c r="AF39" i="21"/>
  <c r="AG39" i="21" s="1"/>
  <c r="AA113" i="18"/>
  <c r="AB192" i="14"/>
  <c r="AA160" i="14"/>
  <c r="AB90" i="14"/>
  <c r="AD50" i="17"/>
  <c r="AC134" i="14"/>
  <c r="V660" i="6"/>
  <c r="AE104" i="13"/>
  <c r="AA59" i="18"/>
  <c r="AC74" i="13"/>
  <c r="AD80" i="18"/>
  <c r="AD139" i="14"/>
  <c r="AG111" i="13"/>
  <c r="AJ111" i="13" s="1"/>
  <c r="AB68" i="20"/>
  <c r="AB161" i="14"/>
  <c r="AJ3335" i="6"/>
  <c r="AB177" i="14"/>
  <c r="AB101" i="13"/>
  <c r="AB151" i="14"/>
  <c r="G3167" i="6"/>
  <c r="AC1556" i="6"/>
  <c r="AB1558" i="6"/>
  <c r="AD104" i="22"/>
  <c r="AA156" i="18"/>
  <c r="AC58" i="18"/>
  <c r="AC116" i="22"/>
  <c r="AC100" i="22"/>
  <c r="AB75" i="20"/>
  <c r="AF90" i="18"/>
  <c r="AF50" i="18"/>
  <c r="AC204" i="14"/>
  <c r="AB91" i="18"/>
  <c r="AF158" i="14"/>
  <c r="Y38" i="11"/>
  <c r="K2778" i="6"/>
  <c r="K2831" i="6" s="1"/>
  <c r="L2778" i="6"/>
  <c r="L2831" i="6" s="1"/>
  <c r="S2778" i="6"/>
  <c r="S2831" i="6" s="1"/>
  <c r="D2779" i="6"/>
  <c r="X71" i="9"/>
  <c r="X72" i="9"/>
  <c r="Y2838" i="6"/>
  <c r="Z2836" i="6" s="1"/>
  <c r="AX3499" i="6"/>
  <c r="AX3498" i="6"/>
  <c r="Z1102" i="6"/>
  <c r="AA1104" i="6"/>
  <c r="Z1108" i="6"/>
  <c r="AB879" i="6"/>
  <c r="AA877" i="6"/>
  <c r="AA881" i="6"/>
  <c r="R24" i="13"/>
  <c r="T10" i="6"/>
  <c r="AB137" i="14"/>
  <c r="X44" i="8"/>
  <c r="Y24" i="8"/>
  <c r="F45" i="8"/>
  <c r="G643" i="6"/>
  <c r="G645" i="6" s="1"/>
  <c r="AB62" i="22"/>
  <c r="AA96" i="14"/>
  <c r="T20" i="9"/>
  <c r="AE87" i="21"/>
  <c r="AA61" i="22"/>
  <c r="AB82" i="21"/>
  <c r="AC82" i="21" s="1"/>
  <c r="AD73" i="22"/>
  <c r="AG40" i="22"/>
  <c r="AC84" i="18"/>
  <c r="AD108" i="22"/>
  <c r="AE108" i="22" s="1"/>
  <c r="AA103" i="14"/>
  <c r="AB118" i="13"/>
  <c r="AA58" i="21"/>
  <c r="AE142" i="14"/>
  <c r="D3166" i="6"/>
  <c r="P2450" i="6"/>
  <c r="P2449" i="6"/>
  <c r="Q16" i="5"/>
  <c r="AB86" i="21"/>
  <c r="AC86" i="21" s="1"/>
  <c r="AH111" i="13"/>
  <c r="AD105" i="14"/>
  <c r="AB72" i="18"/>
  <c r="AC72" i="18"/>
  <c r="AB3498" i="6"/>
  <c r="AB3499" i="6"/>
  <c r="AN1293" i="6"/>
  <c r="AJ1293" i="6"/>
  <c r="AF1293" i="6"/>
  <c r="AB1293" i="6"/>
  <c r="AL1241" i="6"/>
  <c r="AH1241" i="6"/>
  <c r="AD1241" i="6"/>
  <c r="Z1241" i="6"/>
  <c r="AM1189" i="6"/>
  <c r="AI1189" i="6"/>
  <c r="AE1189" i="6"/>
  <c r="AA1189" i="6"/>
  <c r="W1135" i="6"/>
  <c r="S1135" i="6"/>
  <c r="AM1293" i="6"/>
  <c r="AI1293" i="6"/>
  <c r="AE1293" i="6"/>
  <c r="AA1293" i="6"/>
  <c r="AK1241" i="6"/>
  <c r="AG1241" i="6"/>
  <c r="AC1241" i="6"/>
  <c r="Y1241" i="6"/>
  <c r="AL1189" i="6"/>
  <c r="AH1189" i="6"/>
  <c r="AD1189" i="6"/>
  <c r="Z1189" i="6"/>
  <c r="V1135" i="6"/>
  <c r="AL1293" i="6"/>
  <c r="AH1293" i="6"/>
  <c r="AD1293" i="6"/>
  <c r="Z1293" i="6"/>
  <c r="AJ1241" i="6"/>
  <c r="AF1241" i="6"/>
  <c r="AB1241" i="6"/>
  <c r="AK1189" i="6"/>
  <c r="AG1189" i="6"/>
  <c r="AC1189" i="6"/>
  <c r="Y1189" i="6"/>
  <c r="U1135" i="6"/>
  <c r="AK1293" i="6"/>
  <c r="AG1293" i="6"/>
  <c r="AC1293" i="6"/>
  <c r="Y1293" i="6"/>
  <c r="AM1241" i="6"/>
  <c r="AI1241" i="6"/>
  <c r="AE1241" i="6"/>
  <c r="AA1241" i="6"/>
  <c r="AJ1189" i="6"/>
  <c r="AF1189" i="6"/>
  <c r="AB1189" i="6"/>
  <c r="X1135" i="6"/>
  <c r="T1135" i="6"/>
  <c r="Z1111" i="6"/>
  <c r="AC44" i="20"/>
  <c r="Z57" i="14"/>
  <c r="Z2786" i="6"/>
  <c r="V2786" i="6"/>
  <c r="R2786" i="6"/>
  <c r="N2786" i="6"/>
  <c r="J2786" i="6"/>
  <c r="I2672" i="6"/>
  <c r="AB2786" i="6"/>
  <c r="W2786" i="6"/>
  <c r="Q2786" i="6"/>
  <c r="L2786" i="6"/>
  <c r="AA2786" i="6"/>
  <c r="U2786" i="6"/>
  <c r="P2786" i="6"/>
  <c r="K2786" i="6"/>
  <c r="AC2786" i="6"/>
  <c r="S2786" i="6"/>
  <c r="Y2786" i="6"/>
  <c r="O2786" i="6"/>
  <c r="X2786" i="6"/>
  <c r="M2786" i="6"/>
  <c r="T2786" i="6"/>
  <c r="I2786" i="6"/>
  <c r="I2673" i="6"/>
  <c r="J27" i="5"/>
  <c r="N2" i="13"/>
  <c r="P35" i="6"/>
  <c r="P31" i="6"/>
  <c r="P32" i="6"/>
  <c r="AB47" i="20"/>
  <c r="AA52" i="20"/>
  <c r="AA180" i="14"/>
  <c r="AA123" i="22"/>
  <c r="AF48" i="17"/>
  <c r="AA176" i="14"/>
  <c r="AB105" i="13"/>
  <c r="AE68" i="13"/>
  <c r="AJ603" i="6"/>
  <c r="AF603" i="6"/>
  <c r="AB603" i="6"/>
  <c r="X603" i="6"/>
  <c r="AJ551" i="6"/>
  <c r="AF551" i="6"/>
  <c r="AB551" i="6"/>
  <c r="X551" i="6"/>
  <c r="AJ499" i="6"/>
  <c r="AF499" i="6"/>
  <c r="AB499" i="6"/>
  <c r="X499" i="6"/>
  <c r="AM603" i="6"/>
  <c r="AI603" i="6"/>
  <c r="AE603" i="6"/>
  <c r="AA603" i="6"/>
  <c r="AI551" i="6"/>
  <c r="AE551" i="6"/>
  <c r="AA551" i="6"/>
  <c r="AI499" i="6"/>
  <c r="AE499" i="6"/>
  <c r="AA499" i="6"/>
  <c r="W445" i="6"/>
  <c r="Y422" i="6"/>
  <c r="AK603" i="6"/>
  <c r="AG603" i="6"/>
  <c r="Y603" i="6"/>
  <c r="AG551" i="6"/>
  <c r="Y551" i="6"/>
  <c r="AG499" i="6"/>
  <c r="Y499" i="6"/>
  <c r="U445" i="6"/>
  <c r="AL603" i="6"/>
  <c r="AH603" i="6"/>
  <c r="AD603" i="6"/>
  <c r="Z603" i="6"/>
  <c r="AL551" i="6"/>
  <c r="AH551" i="6"/>
  <c r="AD551" i="6"/>
  <c r="Z551" i="6"/>
  <c r="AL499" i="6"/>
  <c r="AH499" i="6"/>
  <c r="AD499" i="6"/>
  <c r="Z499" i="6"/>
  <c r="V445" i="6"/>
  <c r="AC603" i="6"/>
  <c r="AK551" i="6"/>
  <c r="AC551" i="6"/>
  <c r="AK499" i="6"/>
  <c r="AC499" i="6"/>
  <c r="AC57" i="21"/>
  <c r="AA47" i="19"/>
  <c r="AA115" i="18"/>
  <c r="J3167" i="6"/>
  <c r="J3166" i="6"/>
  <c r="Z26" i="7"/>
  <c r="AA23" i="7"/>
  <c r="AC159" i="14"/>
  <c r="AC72" i="21"/>
  <c r="V59" i="12"/>
  <c r="W246" i="6"/>
  <c r="AA2008" i="6"/>
  <c r="AB2006" i="6"/>
  <c r="AA2004" i="6"/>
  <c r="AC103" i="18"/>
  <c r="AA86" i="13"/>
  <c r="AD65" i="13"/>
  <c r="AE65" i="13"/>
  <c r="AF65" i="13" s="1"/>
  <c r="AE45" i="22"/>
  <c r="AD83" i="22"/>
  <c r="AB60" i="21"/>
  <c r="AC60" i="21" s="1"/>
  <c r="AC78" i="18"/>
  <c r="AD78" i="18"/>
  <c r="AC182" i="14"/>
  <c r="AD182" i="14" s="1"/>
  <c r="AB163" i="14"/>
  <c r="AC163" i="14"/>
  <c r="AD59" i="17"/>
  <c r="AE110" i="22"/>
  <c r="AB98" i="21"/>
  <c r="AD61" i="20"/>
  <c r="AC162" i="14"/>
  <c r="AC70" i="19"/>
  <c r="AD63" i="17"/>
  <c r="AD70" i="17"/>
  <c r="AB99" i="22"/>
  <c r="AC131" i="18"/>
  <c r="AB131" i="18"/>
  <c r="Z68" i="12"/>
  <c r="AA68" i="12" s="1"/>
  <c r="AB53" i="22"/>
  <c r="AA60" i="16"/>
  <c r="AE59" i="20"/>
  <c r="AA92" i="22"/>
  <c r="AA58" i="22"/>
  <c r="AB62" i="21"/>
  <c r="AE80" i="20"/>
  <c r="AC64" i="20"/>
  <c r="AC86" i="18"/>
  <c r="AB101" i="14"/>
  <c r="AB183" i="14"/>
  <c r="AB1331" i="6"/>
  <c r="AA1329" i="6"/>
  <c r="AA1333" i="6"/>
  <c r="AD96" i="18"/>
  <c r="AF96" i="18" s="1"/>
  <c r="T2507" i="6"/>
  <c r="T2506" i="6"/>
  <c r="AF92" i="13"/>
  <c r="AF108" i="21"/>
  <c r="AC59" i="21"/>
  <c r="Z17" i="21"/>
  <c r="Z2007" i="6"/>
  <c r="AE49" i="16"/>
  <c r="AD91" i="13"/>
  <c r="AD93" i="22"/>
  <c r="AE62" i="19"/>
  <c r="AG62" i="19" s="1"/>
  <c r="AD158" i="18"/>
  <c r="AA136" i="14"/>
  <c r="AA109" i="18"/>
  <c r="AB86" i="22"/>
  <c r="AC86" i="22"/>
  <c r="AA54" i="21"/>
  <c r="AD46" i="18"/>
  <c r="AE50" i="17"/>
  <c r="AD46" i="23"/>
  <c r="AE46" i="23" s="1"/>
  <c r="AB78" i="22"/>
  <c r="AE78" i="20"/>
  <c r="AD78" i="20"/>
  <c r="AF78" i="20"/>
  <c r="AB47" i="19"/>
  <c r="AA161" i="18"/>
  <c r="AB147" i="18"/>
  <c r="AF76" i="20"/>
  <c r="AE44" i="20"/>
  <c r="AB122" i="18"/>
  <c r="AD51" i="17"/>
  <c r="AH49" i="18"/>
  <c r="AK49" i="18" s="1"/>
  <c r="AG49" i="18"/>
  <c r="AJ49" i="18"/>
  <c r="AI49" i="18"/>
  <c r="AC129" i="18"/>
  <c r="AH202" i="14"/>
  <c r="AG186" i="14"/>
  <c r="AC138" i="14"/>
  <c r="S25" i="16"/>
  <c r="U880" i="6"/>
  <c r="AI111" i="13"/>
  <c r="AB54" i="16"/>
  <c r="AD42" i="15"/>
  <c r="AD73" i="14"/>
  <c r="AC100" i="14"/>
  <c r="W60" i="12"/>
  <c r="Z1784" i="6"/>
  <c r="AA1780" i="6"/>
  <c r="Z1785" i="6"/>
  <c r="AA12" i="5"/>
  <c r="AE104" i="22"/>
  <c r="AA115" i="22"/>
  <c r="AI46" i="20"/>
  <c r="AF51" i="23"/>
  <c r="AD101" i="22"/>
  <c r="AE94" i="21"/>
  <c r="AB49" i="21"/>
  <c r="AC49" i="21" s="1"/>
  <c r="AC63" i="19"/>
  <c r="AD44" i="20"/>
  <c r="AF50" i="20"/>
  <c r="AC114" i="18"/>
  <c r="AD82" i="18"/>
  <c r="AE82" i="18" s="1"/>
  <c r="AC53" i="17"/>
  <c r="AD204" i="14"/>
  <c r="AC86" i="14"/>
  <c r="AC174" i="14"/>
  <c r="AF142" i="14"/>
  <c r="AC47" i="15"/>
  <c r="AD77" i="14"/>
  <c r="R24" i="17"/>
  <c r="R21" i="17"/>
  <c r="Q41" i="17"/>
  <c r="P41" i="17" s="1"/>
  <c r="O41" i="17" s="1"/>
  <c r="N41" i="17" s="1"/>
  <c r="M41" i="17" s="1"/>
  <c r="L41" i="17" s="1"/>
  <c r="K41" i="17" s="1"/>
  <c r="J41" i="17" s="1"/>
  <c r="I41" i="17" s="1"/>
  <c r="H41" i="17" s="1"/>
  <c r="G41" i="17" s="1"/>
  <c r="F41" i="17" s="1"/>
  <c r="E41" i="17" s="1"/>
  <c r="D41" i="17" s="1"/>
  <c r="C41" i="17" s="1"/>
  <c r="B41" i="17" s="1"/>
  <c r="R19" i="17"/>
  <c r="Y20" i="5"/>
  <c r="R3335" i="6"/>
  <c r="R3334" i="6"/>
  <c r="N3166" i="6"/>
  <c r="N3167" i="6"/>
  <c r="U2285" i="6"/>
  <c r="U2286" i="6"/>
  <c r="AA1781" i="6"/>
  <c r="Z1779" i="6"/>
  <c r="Z1783" i="6"/>
  <c r="AB53" i="18"/>
  <c r="AC81" i="14"/>
  <c r="Z48" i="13"/>
  <c r="Z2785" i="6"/>
  <c r="V2785" i="6"/>
  <c r="R2785" i="6"/>
  <c r="N2785" i="6"/>
  <c r="J2785" i="6"/>
  <c r="J2779" i="6" s="1"/>
  <c r="AA2785" i="6"/>
  <c r="U2785" i="6"/>
  <c r="P2785" i="6"/>
  <c r="P2779" i="6" s="1"/>
  <c r="K2785" i="6"/>
  <c r="K2779" i="6" s="1"/>
  <c r="Y2785" i="6"/>
  <c r="T2785" i="6"/>
  <c r="O2785" i="6"/>
  <c r="I2785" i="6"/>
  <c r="AB2785" i="6"/>
  <c r="Q2785" i="6"/>
  <c r="X2785" i="6"/>
  <c r="M2785" i="6"/>
  <c r="W2785" i="6"/>
  <c r="L2785" i="6"/>
  <c r="S2785" i="6"/>
  <c r="S2779" i="6" s="1"/>
  <c r="H2785" i="6"/>
  <c r="H2673" i="6"/>
  <c r="H2672" i="6"/>
  <c r="I27" i="5"/>
  <c r="P45" i="8"/>
  <c r="Q643" i="6"/>
  <c r="Q645" i="6" s="1"/>
  <c r="AH103" i="9"/>
  <c r="AF124" i="14"/>
  <c r="AB166" i="14"/>
  <c r="AG51" i="23"/>
  <c r="AC51" i="21"/>
  <c r="AB109" i="18"/>
  <c r="AG88" i="14"/>
  <c r="AE49" i="22"/>
  <c r="AA119" i="18"/>
  <c r="AA44" i="15"/>
  <c r="AA38" i="15" s="1"/>
  <c r="AG120" i="14"/>
  <c r="AH120" i="14" s="1"/>
  <c r="AC118" i="22"/>
  <c r="AC42" i="22"/>
  <c r="AD42" i="22" s="1"/>
  <c r="AA62" i="18"/>
  <c r="AB132" i="18"/>
  <c r="AA100" i="13"/>
  <c r="AF88" i="18"/>
  <c r="AC85" i="13"/>
  <c r="AB74" i="20"/>
  <c r="AE115" i="13"/>
  <c r="AC92" i="21"/>
  <c r="AD76" i="21"/>
  <c r="AB180" i="14"/>
  <c r="AA62" i="14"/>
  <c r="AB78" i="21"/>
  <c r="AC67" i="21"/>
  <c r="AB67" i="20"/>
  <c r="AA153" i="18"/>
  <c r="AC48" i="20"/>
  <c r="AF42" i="20"/>
  <c r="AD135" i="18"/>
  <c r="AF60" i="17"/>
  <c r="AB108" i="18"/>
  <c r="AC108" i="18"/>
  <c r="AD60" i="18"/>
  <c r="AF47" i="17"/>
  <c r="AE47" i="17"/>
  <c r="AC74" i="14"/>
  <c r="AD74" i="14" s="1"/>
  <c r="AB74" i="14"/>
  <c r="R17" i="19"/>
  <c r="T1557" i="6"/>
  <c r="AB93" i="18"/>
  <c r="AB117" i="14"/>
  <c r="AA63" i="14"/>
  <c r="T937" i="6"/>
  <c r="T938" i="6"/>
  <c r="AC117" i="13"/>
  <c r="AD79" i="13"/>
  <c r="AB81" i="13"/>
  <c r="AB58" i="13"/>
  <c r="AC105" i="13"/>
  <c r="AN374" i="6"/>
  <c r="AJ374" i="6"/>
  <c r="AF374" i="6"/>
  <c r="AB374" i="6"/>
  <c r="X374" i="6"/>
  <c r="T374" i="6"/>
  <c r="T356" i="6" s="1"/>
  <c r="T250" i="6"/>
  <c r="AM374" i="6"/>
  <c r="AI374" i="6"/>
  <c r="AE374" i="6"/>
  <c r="AA374" i="6"/>
  <c r="W374" i="6"/>
  <c r="AK374" i="6"/>
  <c r="AC374" i="6"/>
  <c r="U374" i="6"/>
  <c r="U356" i="6" s="1"/>
  <c r="AL374" i="6"/>
  <c r="AH374" i="6"/>
  <c r="AD374" i="6"/>
  <c r="Z374" i="6"/>
  <c r="V374" i="6"/>
  <c r="AG374" i="6"/>
  <c r="Y374" i="6"/>
  <c r="T249" i="6"/>
  <c r="U29" i="5"/>
  <c r="U355" i="6"/>
  <c r="T355" i="6"/>
  <c r="AA153" i="14"/>
  <c r="AK3334" i="6"/>
  <c r="Y418" i="6"/>
  <c r="Y421" i="6"/>
  <c r="Y417" i="6"/>
  <c r="Z412" i="6"/>
  <c r="Y420" i="6"/>
  <c r="Y415" i="6"/>
  <c r="Z4" i="5"/>
  <c r="Z5" i="5"/>
  <c r="AC43" i="20"/>
  <c r="AA123" i="18"/>
  <c r="AD107" i="21"/>
  <c r="AB47" i="22"/>
  <c r="AC52" i="21"/>
  <c r="AC146" i="18"/>
  <c r="AB150" i="18"/>
  <c r="U1337" i="6"/>
  <c r="AC206" i="14"/>
  <c r="AD206" i="14"/>
  <c r="AB53" i="19"/>
  <c r="AB95" i="14"/>
  <c r="AB87" i="14"/>
  <c r="AC155" i="14"/>
  <c r="AB123" i="13"/>
  <c r="AB109" i="13"/>
  <c r="AD62" i="15"/>
  <c r="AF93" i="13"/>
  <c r="AB199" i="14"/>
  <c r="AA61" i="12"/>
  <c r="AE63" i="18"/>
  <c r="AE154" i="14"/>
  <c r="AE73" i="14"/>
  <c r="AC65" i="14"/>
  <c r="X60" i="12"/>
  <c r="Y60" i="12" s="1"/>
  <c r="AB201" i="14"/>
  <c r="AH3335" i="6"/>
  <c r="K2999" i="6"/>
  <c r="AA94" i="14"/>
  <c r="AF88" i="21"/>
  <c r="AA80" i="21"/>
  <c r="AD47" i="21"/>
  <c r="AB79" i="21"/>
  <c r="AD106" i="18"/>
  <c r="AC48" i="18"/>
  <c r="AD48" i="18" s="1"/>
  <c r="AC53" i="19"/>
  <c r="AD53" i="19" s="1"/>
  <c r="Y247" i="6"/>
  <c r="AA55" i="13"/>
  <c r="X2945" i="6"/>
  <c r="X2998" i="6" s="1"/>
  <c r="AE143" i="14"/>
  <c r="AN2638" i="6"/>
  <c r="AJ2638" i="6"/>
  <c r="AF2638" i="6"/>
  <c r="AB2638" i="6"/>
  <c r="AM2586" i="6"/>
  <c r="AI2586" i="6"/>
  <c r="AE2586" i="6"/>
  <c r="AP2534" i="6"/>
  <c r="AL2534" i="6"/>
  <c r="AH2534" i="6"/>
  <c r="AD2534" i="6"/>
  <c r="AM2638" i="6"/>
  <c r="AH2638" i="6"/>
  <c r="AC2638" i="6"/>
  <c r="AO2586" i="6"/>
  <c r="AJ2586" i="6"/>
  <c r="AD2586" i="6"/>
  <c r="AK2534" i="6"/>
  <c r="AF2534" i="6"/>
  <c r="AQ2638" i="6"/>
  <c r="AL2638" i="6"/>
  <c r="AG2638" i="6"/>
  <c r="AN2586" i="6"/>
  <c r="AH2586" i="6"/>
  <c r="AC2586" i="6"/>
  <c r="AO2534" i="6"/>
  <c r="AJ2534" i="6"/>
  <c r="AE2534" i="6"/>
  <c r="AP2638" i="6"/>
  <c r="AK2638" i="6"/>
  <c r="AE2638" i="6"/>
  <c r="AL2586" i="6"/>
  <c r="AG2586" i="6"/>
  <c r="AB2586" i="6"/>
  <c r="AN2534" i="6"/>
  <c r="AI2534" i="6"/>
  <c r="AC2534" i="6"/>
  <c r="AD2638" i="6"/>
  <c r="AP2586" i="6"/>
  <c r="AB2534" i="6"/>
  <c r="AC2453" i="6"/>
  <c r="AK2586" i="6"/>
  <c r="AO2638" i="6"/>
  <c r="AF2586" i="6"/>
  <c r="AM2534" i="6"/>
  <c r="AI2638" i="6"/>
  <c r="AG2534" i="6"/>
  <c r="AA2480" i="6"/>
  <c r="AA2454" i="6" s="1"/>
  <c r="AC21" i="5"/>
  <c r="AB50" i="22"/>
  <c r="AF40" i="18"/>
  <c r="AC78" i="13"/>
  <c r="AE55" i="22"/>
  <c r="AB58" i="21"/>
  <c r="AD66" i="18"/>
  <c r="AC113" i="13"/>
  <c r="AB64" i="18"/>
  <c r="AG179" i="14"/>
  <c r="AD125" i="22"/>
  <c r="AB121" i="22"/>
  <c r="AE111" i="22"/>
  <c r="AA63" i="20"/>
  <c r="AA200" i="14"/>
  <c r="AB168" i="14"/>
  <c r="AE178" i="14"/>
  <c r="AD146" i="14"/>
  <c r="AB100" i="13"/>
  <c r="AD207" i="14"/>
  <c r="AC66" i="22"/>
  <c r="AH88" i="14"/>
  <c r="AB39" i="19"/>
  <c r="AA132" i="14"/>
  <c r="AF71" i="22"/>
  <c r="AG63" i="22"/>
  <c r="AF45" i="22"/>
  <c r="AH40" i="22"/>
  <c r="AA88" i="22"/>
  <c r="AC105" i="21"/>
  <c r="AC62" i="22"/>
  <c r="AD77" i="21"/>
  <c r="AB97" i="21"/>
  <c r="AC67" i="20"/>
  <c r="AE62" i="20"/>
  <c r="AD69" i="19"/>
  <c r="AE54" i="19"/>
  <c r="AF62" i="20"/>
  <c r="AC127" i="18"/>
  <c r="AA77" i="20"/>
  <c r="AE46" i="18"/>
  <c r="AA97" i="18"/>
  <c r="AA46" i="17"/>
  <c r="AC90" i="14"/>
  <c r="AB70" i="14"/>
  <c r="AB75" i="18"/>
  <c r="AD61" i="16"/>
  <c r="AC61" i="15"/>
  <c r="AD61" i="15" s="1"/>
  <c r="AA47" i="18"/>
  <c r="AB75" i="15"/>
  <c r="AC166" i="14"/>
  <c r="AB61" i="14"/>
  <c r="AC84" i="13"/>
  <c r="AB115" i="14"/>
  <c r="AD81" i="14"/>
  <c r="AB189" i="14"/>
  <c r="AC133" i="14"/>
  <c r="AB84" i="14"/>
  <c r="R3499" i="6"/>
  <c r="AL3498" i="6"/>
  <c r="H3166" i="6"/>
  <c r="Y2945" i="6"/>
  <c r="AA1335" i="6"/>
  <c r="AB1330" i="6"/>
  <c r="AB10" i="5"/>
  <c r="AB117" i="22"/>
  <c r="AC117" i="22"/>
  <c r="AD76" i="22"/>
  <c r="AC43" i="22"/>
  <c r="AD44" i="22"/>
  <c r="AC109" i="18"/>
  <c r="AE64" i="13"/>
  <c r="AD46" i="22"/>
  <c r="AD59" i="21"/>
  <c r="AC157" i="18"/>
  <c r="AD63" i="21"/>
  <c r="AB119" i="18"/>
  <c r="AB52" i="17"/>
  <c r="AD52" i="18"/>
  <c r="AB72" i="15"/>
  <c r="AC72" i="15" s="1"/>
  <c r="AA55" i="18"/>
  <c r="AB86" i="13"/>
  <c r="Z244" i="6"/>
  <c r="AA28" i="5" s="1"/>
  <c r="Z245" i="6"/>
  <c r="Z247" i="6"/>
  <c r="Z408" i="6"/>
  <c r="AD79" i="22"/>
  <c r="AD75" i="22"/>
  <c r="AD49" i="20"/>
  <c r="AC52" i="16"/>
  <c r="AB52" i="16"/>
  <c r="AB184" i="14"/>
  <c r="AA121" i="18"/>
  <c r="AD124" i="22"/>
  <c r="AF95" i="22"/>
  <c r="AA66" i="21"/>
  <c r="AE98" i="18"/>
  <c r="AD68" i="18"/>
  <c r="AA114" i="13"/>
  <c r="AE85" i="22"/>
  <c r="AB151" i="18"/>
  <c r="AB105" i="18"/>
  <c r="AE57" i="16"/>
  <c r="AC73" i="15"/>
  <c r="AB64" i="21"/>
  <c r="AB61" i="21"/>
  <c r="AC107" i="22"/>
  <c r="AC90" i="22"/>
  <c r="AC74" i="22"/>
  <c r="AE77" i="21"/>
  <c r="AF55" i="21"/>
  <c r="AA73" i="20"/>
  <c r="AC42" i="19"/>
  <c r="AD42" i="19"/>
  <c r="AB145" i="18"/>
  <c r="AA137" i="18"/>
  <c r="AF70" i="20"/>
  <c r="AC68" i="19"/>
  <c r="AA44" i="19"/>
  <c r="AD148" i="18"/>
  <c r="AE124" i="18"/>
  <c r="Z126" i="14"/>
  <c r="AA128" i="14"/>
  <c r="AB128" i="14"/>
  <c r="AB67" i="18"/>
  <c r="AB65" i="16"/>
  <c r="AE61" i="16"/>
  <c r="AA111" i="18"/>
  <c r="AC65" i="17"/>
  <c r="AD65" i="17" s="1"/>
  <c r="AB67" i="15"/>
  <c r="AB51" i="15"/>
  <c r="AF43" i="15"/>
  <c r="AB121" i="14"/>
  <c r="AA79" i="14"/>
  <c r="S2" i="15"/>
  <c r="U681" i="6"/>
  <c r="U680" i="6"/>
  <c r="AD117" i="13"/>
  <c r="AC134" i="18"/>
  <c r="AF109" i="14"/>
  <c r="AA30" i="14"/>
  <c r="Z32" i="14"/>
  <c r="AE60" i="13"/>
  <c r="AB131" i="14"/>
  <c r="AC84" i="14"/>
  <c r="AD66" i="13"/>
  <c r="AE66" i="13"/>
  <c r="AB175" i="14"/>
  <c r="AC175" i="14"/>
  <c r="AF68" i="13"/>
  <c r="AC51" i="13"/>
  <c r="I3167" i="6"/>
  <c r="Y413" i="6"/>
  <c r="X635" i="6"/>
  <c r="Y23" i="5" s="1"/>
  <c r="X419" i="6"/>
  <c r="W22" i="9"/>
  <c r="Y15" i="5"/>
  <c r="AC53" i="23"/>
  <c r="AD96" i="21"/>
  <c r="AD83" i="21"/>
  <c r="AD57" i="17"/>
  <c r="AA110" i="14"/>
  <c r="AB110" i="14" s="1"/>
  <c r="AD100" i="22"/>
  <c r="AG67" i="22"/>
  <c r="AB72" i="22"/>
  <c r="AA111" i="21"/>
  <c r="AB91" i="21"/>
  <c r="AD57" i="21"/>
  <c r="AE57" i="21" s="1"/>
  <c r="AB58" i="22"/>
  <c r="AB71" i="21"/>
  <c r="T2064" i="6"/>
  <c r="T2065" i="6"/>
  <c r="Q2" i="21"/>
  <c r="AH2190" i="6"/>
  <c r="AD2190" i="6"/>
  <c r="Z2190" i="6"/>
  <c r="V2190" i="6"/>
  <c r="AJ2138" i="6"/>
  <c r="AF2138" i="6"/>
  <c r="AB2138" i="6"/>
  <c r="X2138" i="6"/>
  <c r="AI2086" i="6"/>
  <c r="AE2086" i="6"/>
  <c r="AA2086" i="6"/>
  <c r="W2086" i="6"/>
  <c r="S2031" i="6"/>
  <c r="AK2190" i="6"/>
  <c r="AG2190" i="6"/>
  <c r="AC2190" i="6"/>
  <c r="Y2190" i="6"/>
  <c r="AI2138" i="6"/>
  <c r="AE2138" i="6"/>
  <c r="AA2138" i="6"/>
  <c r="W2138" i="6"/>
  <c r="AH2086" i="6"/>
  <c r="AD2086" i="6"/>
  <c r="Z2086" i="6"/>
  <c r="V2086" i="6"/>
  <c r="AJ2190" i="6"/>
  <c r="AF2190" i="6"/>
  <c r="AB2190" i="6"/>
  <c r="X2190" i="6"/>
  <c r="AH2138" i="6"/>
  <c r="AD2138" i="6"/>
  <c r="Z2138" i="6"/>
  <c r="V2138" i="6"/>
  <c r="AG2086" i="6"/>
  <c r="AC2086" i="6"/>
  <c r="Y2086" i="6"/>
  <c r="S2032" i="6"/>
  <c r="S2030" i="6"/>
  <c r="S2012" i="6" s="1"/>
  <c r="AI2190" i="6"/>
  <c r="AJ2086" i="6"/>
  <c r="AE2190" i="6"/>
  <c r="AG2138" i="6"/>
  <c r="AF2086" i="6"/>
  <c r="AA2190" i="6"/>
  <c r="AC2138" i="6"/>
  <c r="AB2086" i="6"/>
  <c r="W2190" i="6"/>
  <c r="Y2138" i="6"/>
  <c r="X2086" i="6"/>
  <c r="AA71" i="19"/>
  <c r="AF136" i="18"/>
  <c r="AC44" i="18"/>
  <c r="AF64" i="17"/>
  <c r="AF57" i="16"/>
  <c r="AB85" i="18"/>
  <c r="AC85" i="18" s="1"/>
  <c r="AA85" i="18"/>
  <c r="AD79" i="18"/>
  <c r="AE79" i="18" s="1"/>
  <c r="AD190" i="14"/>
  <c r="AG48" i="17"/>
  <c r="AB181" i="14"/>
  <c r="AA149" i="14"/>
  <c r="AC68" i="20"/>
  <c r="R2778" i="6"/>
  <c r="R2831" i="6" s="1"/>
  <c r="C2833" i="6"/>
  <c r="C2832" i="6"/>
  <c r="J2778" i="6"/>
  <c r="J2831" i="6" s="1"/>
  <c r="I2779" i="6"/>
  <c r="I2778" i="6"/>
  <c r="I2831" i="6" s="1"/>
  <c r="N2779" i="6"/>
  <c r="Z26" i="5"/>
  <c r="AR3136" i="6"/>
  <c r="AN3136" i="6"/>
  <c r="AJ3136" i="6"/>
  <c r="AF3136" i="6"/>
  <c r="AB3136" i="6"/>
  <c r="AQ3136" i="6"/>
  <c r="AM3136" i="6"/>
  <c r="AI3136" i="6"/>
  <c r="AE3136" i="6"/>
  <c r="AA3136" i="6"/>
  <c r="AO3136" i="6"/>
  <c r="AG3136" i="6"/>
  <c r="Y3136" i="6"/>
  <c r="Y3113" i="6" s="1"/>
  <c r="Y3007" i="6"/>
  <c r="AL3136" i="6"/>
  <c r="AD3136" i="6"/>
  <c r="Y3006" i="6"/>
  <c r="AS3136" i="6"/>
  <c r="AK3136" i="6"/>
  <c r="AC3136" i="6"/>
  <c r="AP3136" i="6"/>
  <c r="AH3136" i="6"/>
  <c r="Z3136" i="6"/>
  <c r="AB75" i="13"/>
  <c r="Z2231" i="6"/>
  <c r="AA2226" i="6"/>
  <c r="AA2228" i="6" s="1"/>
  <c r="Z2230" i="6"/>
  <c r="AA13" i="5"/>
  <c r="AC61" i="18"/>
  <c r="AB198" i="14"/>
  <c r="AE123" i="14"/>
  <c r="AE105" i="14"/>
  <c r="AE80" i="18"/>
  <c r="AF80" i="18" s="1"/>
  <c r="AA54" i="15"/>
  <c r="S23" i="14"/>
  <c r="U415" i="6"/>
  <c r="AB59" i="13"/>
  <c r="AC59" i="13" s="1"/>
  <c r="X660" i="6"/>
  <c r="AA31" i="14"/>
  <c r="Z33" i="14"/>
  <c r="AE139" i="14"/>
  <c r="AI2914" i="6"/>
  <c r="AE2914" i="6"/>
  <c r="AA2914" i="6"/>
  <c r="W2914" i="6"/>
  <c r="W2893" i="6" s="1" a="1"/>
  <c r="W2893" i="6" s="1"/>
  <c r="AH2862" i="6"/>
  <c r="AD2862" i="6"/>
  <c r="Z2862" i="6"/>
  <c r="AJ2914" i="6"/>
  <c r="AD2914" i="6"/>
  <c r="Y2914" i="6"/>
  <c r="AI2862" i="6"/>
  <c r="AC2862" i="6"/>
  <c r="X2862" i="6"/>
  <c r="AH2914" i="6"/>
  <c r="AC2914" i="6"/>
  <c r="X2914" i="6"/>
  <c r="AG2862" i="6"/>
  <c r="AB2862" i="6"/>
  <c r="W2862" i="6"/>
  <c r="W2841" i="6" s="1" a="1"/>
  <c r="W2841" i="6" s="1"/>
  <c r="AG2914" i="6"/>
  <c r="AB2914" i="6"/>
  <c r="AF2914" i="6"/>
  <c r="AJ2862" i="6"/>
  <c r="Y2862" i="6"/>
  <c r="Z2914" i="6"/>
  <c r="AF2862" i="6"/>
  <c r="AE2862" i="6"/>
  <c r="AK2914" i="6"/>
  <c r="AK2862" i="6"/>
  <c r="AA2862" i="6"/>
  <c r="AD75" i="21"/>
  <c r="AC65" i="21"/>
  <c r="AH73" i="13"/>
  <c r="AE140" i="18"/>
  <c r="AB45" i="15"/>
  <c r="AE101" i="22"/>
  <c r="AE75" i="21"/>
  <c r="AD38" i="18"/>
  <c r="AE38" i="18" s="1"/>
  <c r="AH179" i="14"/>
  <c r="AD68" i="21"/>
  <c r="K302" i="10"/>
  <c r="J226" i="10"/>
  <c r="U23" i="9"/>
  <c r="AG88" i="18"/>
  <c r="AC161" i="14"/>
  <c r="AD161" i="14" s="1"/>
  <c r="AB149" i="18"/>
  <c r="AC149" i="18"/>
  <c r="AD149" i="18" s="1"/>
  <c r="AE99" i="13"/>
  <c r="AC58" i="19"/>
  <c r="Q2" i="19"/>
  <c r="AI1740" i="6"/>
  <c r="AE1740" i="6"/>
  <c r="AA1740" i="6"/>
  <c r="W1740" i="6"/>
  <c r="AG1688" i="6"/>
  <c r="AC1688" i="6"/>
  <c r="Y1688" i="6"/>
  <c r="AJ1636" i="6"/>
  <c r="AF1636" i="6"/>
  <c r="AB1636" i="6"/>
  <c r="X1636" i="6"/>
  <c r="AJ1740" i="6"/>
  <c r="AD1740" i="6"/>
  <c r="Y1740" i="6"/>
  <c r="AF1688" i="6"/>
  <c r="AA1688" i="6"/>
  <c r="V1688" i="6"/>
  <c r="AE1636" i="6"/>
  <c r="Z1636" i="6"/>
  <c r="S1581" i="6"/>
  <c r="AH1740" i="6"/>
  <c r="AC1740" i="6"/>
  <c r="X1740" i="6"/>
  <c r="AJ1688" i="6"/>
  <c r="AE1688" i="6"/>
  <c r="Z1688" i="6"/>
  <c r="AI1636" i="6"/>
  <c r="AD1636" i="6"/>
  <c r="Y1636" i="6"/>
  <c r="AG1740" i="6"/>
  <c r="AB1740" i="6"/>
  <c r="V1740" i="6"/>
  <c r="AI1688" i="6"/>
  <c r="AD1688" i="6"/>
  <c r="X1688" i="6"/>
  <c r="AH1636" i="6"/>
  <c r="AC1636" i="6"/>
  <c r="W1636" i="6"/>
  <c r="S1582" i="6"/>
  <c r="S1580" i="6"/>
  <c r="S1562" i="6" s="1"/>
  <c r="AK1740" i="6"/>
  <c r="AF1740" i="6"/>
  <c r="Z1740" i="6"/>
  <c r="AH1688" i="6"/>
  <c r="AB1688" i="6"/>
  <c r="W1688" i="6"/>
  <c r="AG1636" i="6"/>
  <c r="AA1636" i="6"/>
  <c r="V1636" i="6"/>
  <c r="AF46" i="23"/>
  <c r="Z1109" i="6"/>
  <c r="Z1110" i="6"/>
  <c r="AA1103" i="6"/>
  <c r="AA9" i="5"/>
  <c r="AC57" i="22"/>
  <c r="AG45" i="22"/>
  <c r="AH45" i="22" s="1"/>
  <c r="AA41" i="21"/>
  <c r="AB59" i="14"/>
  <c r="AC117" i="14"/>
  <c r="AC101" i="14"/>
  <c r="AC85" i="14"/>
  <c r="U24" i="17"/>
  <c r="U1107" i="6"/>
  <c r="V18" i="5" s="1"/>
  <c r="AA46" i="15"/>
  <c r="AC145" i="14"/>
  <c r="R39" i="23"/>
  <c r="S2451" i="6" s="1"/>
  <c r="R32" i="22"/>
  <c r="S2230" i="6" s="1"/>
  <c r="R32" i="21"/>
  <c r="S2009" i="6" s="1"/>
  <c r="R32" i="20"/>
  <c r="S1784" i="6" s="1"/>
  <c r="R32" i="19"/>
  <c r="S1559" i="6" s="1"/>
  <c r="R37" i="17"/>
  <c r="S1109" i="6" s="1"/>
  <c r="R32" i="18"/>
  <c r="S1334" i="6" s="1"/>
  <c r="R42" i="16"/>
  <c r="S882" i="6" s="1"/>
  <c r="R34" i="15"/>
  <c r="S657" i="6" s="1"/>
  <c r="R41" i="13"/>
  <c r="S13" i="6" s="1"/>
  <c r="R49" i="14"/>
  <c r="S420" i="6" s="1"/>
  <c r="Q7" i="7"/>
  <c r="AD120" i="13"/>
  <c r="AC120" i="13"/>
  <c r="AD197" i="14"/>
  <c r="AC171" i="14"/>
  <c r="AD171" i="14" s="1"/>
  <c r="AB171" i="14"/>
  <c r="AJ3499" i="6"/>
  <c r="AJ3498" i="6"/>
  <c r="AA652" i="6"/>
  <c r="AB654" i="6"/>
  <c r="AA656" i="6"/>
  <c r="Q77" i="6"/>
  <c r="Q78" i="6"/>
  <c r="X2736" i="6"/>
  <c r="T2736" i="6"/>
  <c r="P2736" i="6"/>
  <c r="L2736" i="6"/>
  <c r="W2684" i="6"/>
  <c r="S2684" i="6"/>
  <c r="O2684" i="6"/>
  <c r="Y2736" i="6"/>
  <c r="S2736" i="6"/>
  <c r="N2736" i="6"/>
  <c r="W2736" i="6"/>
  <c r="R2736" i="6"/>
  <c r="M2736" i="6"/>
  <c r="V2736" i="6"/>
  <c r="Q2736" i="6"/>
  <c r="O2736" i="6"/>
  <c r="V2684" i="6"/>
  <c r="Q2684" i="6"/>
  <c r="L2684" i="6"/>
  <c r="Z2684" i="6"/>
  <c r="U2684" i="6"/>
  <c r="P2684" i="6"/>
  <c r="Z2736" i="6"/>
  <c r="Y2684" i="6"/>
  <c r="T2684" i="6"/>
  <c r="N2684" i="6"/>
  <c r="U2736" i="6"/>
  <c r="X2684" i="6"/>
  <c r="R2684" i="6"/>
  <c r="M2684" i="6"/>
  <c r="AC80" i="14"/>
  <c r="AD80" i="14"/>
  <c r="AE94" i="22"/>
  <c r="AA59" i="19"/>
  <c r="AB126" i="18"/>
  <c r="AG33" i="14"/>
  <c r="AH31" i="14"/>
  <c r="AF52" i="22"/>
  <c r="AE56" i="21"/>
  <c r="AB60" i="15"/>
  <c r="S2286" i="6"/>
  <c r="S2285" i="6"/>
  <c r="U1614" i="6"/>
  <c r="U1615" i="6"/>
  <c r="AB104" i="14"/>
  <c r="Z36" i="20"/>
  <c r="AG160" i="18"/>
  <c r="AC142" i="18"/>
  <c r="R17" i="22"/>
  <c r="T2228" i="6"/>
  <c r="AD146" i="18"/>
  <c r="AA144" i="14"/>
  <c r="AD84" i="18"/>
  <c r="Q3" i="16"/>
  <c r="Y1061" i="6"/>
  <c r="Y1043" i="6" s="1"/>
  <c r="U1061" i="6"/>
  <c r="AG1009" i="6"/>
  <c r="AC1009" i="6"/>
  <c r="Y1009" i="6"/>
  <c r="U1009" i="6"/>
  <c r="AH957" i="6"/>
  <c r="AD957" i="6"/>
  <c r="Z957" i="6"/>
  <c r="V957" i="6"/>
  <c r="X1061" i="6"/>
  <c r="T1061" i="6"/>
  <c r="AF1009" i="6"/>
  <c r="AB1009" i="6"/>
  <c r="X1009" i="6"/>
  <c r="T1009" i="6"/>
  <c r="W1061" i="6"/>
  <c r="AE1009" i="6"/>
  <c r="AA1009" i="6"/>
  <c r="W1009" i="6"/>
  <c r="AF957" i="6"/>
  <c r="AB957" i="6"/>
  <c r="X957" i="6"/>
  <c r="T957" i="6"/>
  <c r="V1061" i="6"/>
  <c r="Z1009" i="6"/>
  <c r="AC957" i="6"/>
  <c r="U957" i="6"/>
  <c r="S903" i="6"/>
  <c r="S885" i="6" s="1"/>
  <c r="V1009" i="6"/>
  <c r="AA957" i="6"/>
  <c r="AH1009" i="6"/>
  <c r="AG957" i="6"/>
  <c r="Y957" i="6"/>
  <c r="AD1009" i="6"/>
  <c r="AE957" i="6"/>
  <c r="W957" i="6"/>
  <c r="AF69" i="13"/>
  <c r="AJ26" i="7"/>
  <c r="AK23" i="7"/>
  <c r="AA6" i="9"/>
  <c r="AE169" i="14"/>
  <c r="AF169" i="14" s="1"/>
  <c r="AA3003" i="6"/>
  <c r="X416" i="6"/>
  <c r="X418" i="6"/>
  <c r="Y35" i="5"/>
  <c r="V1787" i="6"/>
  <c r="R302" i="10"/>
  <c r="S226" i="10"/>
  <c r="AE39" i="22"/>
  <c r="AB148" i="14"/>
  <c r="AC105" i="22"/>
  <c r="AD42" i="21"/>
  <c r="AA89" i="18"/>
  <c r="AA172" i="14"/>
  <c r="AD86" i="14"/>
  <c r="AD44" i="18"/>
  <c r="AC58" i="17"/>
  <c r="R2" i="18"/>
  <c r="T1357" i="6"/>
  <c r="T1356" i="6"/>
  <c r="AC95" i="14"/>
  <c r="AC87" i="14"/>
  <c r="R2" i="17"/>
  <c r="T1132" i="6"/>
  <c r="AI30" i="14"/>
  <c r="AH32" i="14"/>
  <c r="AE62" i="15"/>
  <c r="AD88" i="13"/>
  <c r="AP206" i="6"/>
  <c r="AL206" i="6"/>
  <c r="AH206" i="6"/>
  <c r="AD206" i="6"/>
  <c r="Z206" i="6"/>
  <c r="AM154" i="6"/>
  <c r="AI154" i="6"/>
  <c r="AE154" i="6"/>
  <c r="AA154" i="6"/>
  <c r="AL102" i="6"/>
  <c r="AH102" i="6"/>
  <c r="AD102" i="6"/>
  <c r="Z102" i="6"/>
  <c r="X39" i="6"/>
  <c r="T39" i="6"/>
  <c r="Z15" i="6"/>
  <c r="AM206" i="6"/>
  <c r="AA206" i="6"/>
  <c r="AJ154" i="6"/>
  <c r="AM102" i="6"/>
  <c r="AA102" i="6"/>
  <c r="AS206" i="6"/>
  <c r="AO206" i="6"/>
  <c r="AK206" i="6"/>
  <c r="AG206" i="6"/>
  <c r="AC206" i="6"/>
  <c r="Y206" i="6"/>
  <c r="AL154" i="6"/>
  <c r="AH154" i="6"/>
  <c r="AD154" i="6"/>
  <c r="Z154" i="6"/>
  <c r="AK102" i="6"/>
  <c r="AG102" i="6"/>
  <c r="AC102" i="6"/>
  <c r="Y102" i="6"/>
  <c r="W39" i="6"/>
  <c r="S39" i="6"/>
  <c r="S16" i="6" s="1"/>
  <c r="Z10" i="6"/>
  <c r="Z20" i="5"/>
  <c r="AE206" i="6"/>
  <c r="AF154" i="6"/>
  <c r="AE102" i="6"/>
  <c r="AR206" i="6"/>
  <c r="AN206" i="6"/>
  <c r="AJ206" i="6"/>
  <c r="AF206" i="6"/>
  <c r="AB206" i="6"/>
  <c r="AK154" i="6"/>
  <c r="AG154" i="6"/>
  <c r="AC154" i="6"/>
  <c r="Y154" i="6"/>
  <c r="AJ102" i="6"/>
  <c r="AF102" i="6"/>
  <c r="AB102" i="6"/>
  <c r="V39" i="6"/>
  <c r="Z11" i="6"/>
  <c r="AQ206" i="6"/>
  <c r="AI206" i="6"/>
  <c r="AB154" i="6"/>
  <c r="AI102" i="6"/>
  <c r="U39" i="6"/>
  <c r="AB60" i="14"/>
  <c r="AA96" i="13"/>
  <c r="AF73" i="14"/>
  <c r="AC203" i="14"/>
  <c r="AB90" i="13"/>
  <c r="AA1560" i="6"/>
  <c r="AB1555" i="6"/>
  <c r="AB11" i="5"/>
  <c r="AB68" i="17"/>
  <c r="AB94" i="14"/>
  <c r="AA51" i="20"/>
  <c r="AA36" i="21"/>
  <c r="AD48" i="21"/>
  <c r="AC43" i="18"/>
  <c r="AD65" i="15"/>
  <c r="AG108" i="13"/>
  <c r="AE187" i="14"/>
  <c r="AF187" i="14" s="1"/>
  <c r="AA67" i="13"/>
  <c r="U66" i="12"/>
  <c r="V248" i="6"/>
  <c r="AB55" i="13"/>
  <c r="AF143" i="14"/>
  <c r="AG143" i="14" s="1"/>
  <c r="AC2452" i="6"/>
  <c r="AD2447" i="6"/>
  <c r="AD14" i="5"/>
  <c r="AD49" i="23"/>
  <c r="AD109" i="21"/>
  <c r="AB68" i="22"/>
  <c r="AB89" i="21"/>
  <c r="AD89" i="21" s="1"/>
  <c r="AC89" i="21"/>
  <c r="AD51" i="21"/>
  <c r="AB71" i="20"/>
  <c r="AA56" i="15"/>
  <c r="AB141" i="14"/>
  <c r="AF56" i="13"/>
  <c r="AG56" i="13" s="1"/>
  <c r="AF2742" i="6"/>
  <c r="AB2742" i="6"/>
  <c r="X2742" i="6"/>
  <c r="T2742" i="6"/>
  <c r="AE2690" i="6"/>
  <c r="AA2690" i="6"/>
  <c r="W2690" i="6"/>
  <c r="S2690" i="6"/>
  <c r="AE2742" i="6"/>
  <c r="Z2742" i="6"/>
  <c r="U2742" i="6"/>
  <c r="AD2742" i="6"/>
  <c r="Y2742" i="6"/>
  <c r="S2742" i="6"/>
  <c r="AC2742" i="6"/>
  <c r="W2742" i="6"/>
  <c r="R2742" i="6"/>
  <c r="AC2690" i="6"/>
  <c r="X2690" i="6"/>
  <c r="R2690" i="6"/>
  <c r="AB2690" i="6"/>
  <c r="V2690" i="6"/>
  <c r="AA2742" i="6"/>
  <c r="AF2690" i="6"/>
  <c r="Z2690" i="6"/>
  <c r="U2690" i="6"/>
  <c r="V2742" i="6"/>
  <c r="AD2690" i="6"/>
  <c r="Y2690" i="6"/>
  <c r="T2690" i="6"/>
  <c r="AF55" i="22"/>
  <c r="AG55" i="22" s="1"/>
  <c r="AC90" i="21"/>
  <c r="AE59" i="21"/>
  <c r="AB128" i="18"/>
  <c r="AC128" i="18"/>
  <c r="AB40" i="19"/>
  <c r="AC119" i="18"/>
  <c r="AD119" i="18" s="1"/>
  <c r="AB52" i="15"/>
  <c r="AB77" i="18"/>
  <c r="AE96" i="18"/>
  <c r="AC173" i="14"/>
  <c r="AC102" i="22"/>
  <c r="AB102" i="22"/>
  <c r="AE75" i="22"/>
  <c r="AD57" i="20"/>
  <c r="AB121" i="18"/>
  <c r="AB69" i="17"/>
  <c r="AF57" i="13"/>
  <c r="AD103" i="13"/>
  <c r="AD69" i="21"/>
  <c r="T2285" i="6"/>
  <c r="T2286" i="6"/>
  <c r="AA48" i="15"/>
  <c r="AE91" i="13"/>
  <c r="AD63" i="13"/>
  <c r="AF128" i="22"/>
  <c r="AF67" i="19"/>
  <c r="AA78" i="14"/>
  <c r="AC57" i="15"/>
  <c r="AC61" i="21"/>
  <c r="AC104" i="21"/>
  <c r="AB55" i="20"/>
  <c r="AB39" i="20"/>
  <c r="AE69" i="19"/>
  <c r="AE38" i="20"/>
  <c r="AD127" i="18"/>
  <c r="AE125" i="18"/>
  <c r="AD60" i="19"/>
  <c r="AC60" i="19"/>
  <c r="AG60" i="17"/>
  <c r="AE49" i="17"/>
  <c r="W712" i="6"/>
  <c r="W713" i="6"/>
  <c r="AB140" i="14"/>
  <c r="AA117" i="18"/>
  <c r="AE190" i="14"/>
  <c r="AB93" i="14"/>
  <c r="S21" i="15"/>
  <c r="U655" i="6"/>
  <c r="AC51" i="18"/>
  <c r="AE42" i="15"/>
  <c r="AC67" i="14"/>
  <c r="AB60" i="9"/>
  <c r="AC122" i="13"/>
  <c r="AB193" i="14"/>
  <c r="AF3498" i="6"/>
  <c r="AF3499" i="6"/>
  <c r="AC167" i="14"/>
  <c r="AD71" i="13"/>
  <c r="AB2740" i="6"/>
  <c r="X2740" i="6"/>
  <c r="T2740" i="6"/>
  <c r="P2740" i="6"/>
  <c r="AA2688" i="6"/>
  <c r="W2688" i="6"/>
  <c r="S2688" i="6"/>
  <c r="AA2740" i="6"/>
  <c r="V2740" i="6"/>
  <c r="Q2740" i="6"/>
  <c r="Z2740" i="6"/>
  <c r="U2740" i="6"/>
  <c r="AD2740" i="6"/>
  <c r="Y2740" i="6"/>
  <c r="S2740" i="6"/>
  <c r="W2740" i="6"/>
  <c r="AD2688" i="6"/>
  <c r="Y2688" i="6"/>
  <c r="T2688" i="6"/>
  <c r="R2740" i="6"/>
  <c r="AC2688" i="6"/>
  <c r="X2688" i="6"/>
  <c r="R2688" i="6"/>
  <c r="AB2688" i="6"/>
  <c r="V2688" i="6"/>
  <c r="Q2688" i="6"/>
  <c r="AC2740" i="6"/>
  <c r="Z2688" i="6"/>
  <c r="U2688" i="6"/>
  <c r="P2688" i="6"/>
  <c r="AE82" i="22"/>
  <c r="AH51" i="23"/>
  <c r="AI51" i="23" s="1"/>
  <c r="AE50" i="23"/>
  <c r="AB53" i="20"/>
  <c r="AC126" i="18"/>
  <c r="AD69" i="15"/>
  <c r="AB71" i="18"/>
  <c r="AA50" i="16"/>
  <c r="AE83" i="13"/>
  <c r="AH56" i="13"/>
  <c r="AI56" i="13" s="1"/>
  <c r="AG52" i="23"/>
  <c r="AC74" i="21"/>
  <c r="AC72" i="20"/>
  <c r="AB138" i="18"/>
  <c r="AE112" i="18"/>
  <c r="AC100" i="18"/>
  <c r="AD100" i="18"/>
  <c r="AE100" i="18"/>
  <c r="AA53" i="16"/>
  <c r="AD67" i="16"/>
  <c r="AD116" i="14"/>
  <c r="AA47" i="23"/>
  <c r="AE48" i="23"/>
  <c r="AD118" i="22"/>
  <c r="AE118" i="22" s="1"/>
  <c r="AI40" i="22"/>
  <c r="AE70" i="22"/>
  <c r="AD58" i="20"/>
  <c r="AB62" i="18"/>
  <c r="AC81" i="18"/>
  <c r="AB81" i="18"/>
  <c r="AC60" i="15"/>
  <c r="AB200" i="14"/>
  <c r="AD85" i="13"/>
  <c r="AC54" i="13"/>
  <c r="AB102" i="18"/>
  <c r="AB58" i="15"/>
  <c r="AI107" i="13"/>
  <c r="Z39" i="23"/>
  <c r="AA2451" i="6" s="1"/>
  <c r="Z32" i="22"/>
  <c r="Z32" i="21"/>
  <c r="AA2009" i="6" s="1"/>
  <c r="Z32" i="20"/>
  <c r="Z32" i="19"/>
  <c r="AA1559" i="6" s="1"/>
  <c r="Z37" i="17"/>
  <c r="Z32" i="18"/>
  <c r="AA1334" i="6" s="1"/>
  <c r="Z42" i="16"/>
  <c r="AA882" i="6" s="1"/>
  <c r="Z34" i="15"/>
  <c r="AA657" i="6" s="1"/>
  <c r="Z49" i="14"/>
  <c r="Z41" i="13"/>
  <c r="AA7" i="7"/>
  <c r="AA120" i="22"/>
  <c r="AE81" i="21"/>
  <c r="AD40" i="21"/>
  <c r="AD38" i="19"/>
  <c r="Z38" i="15"/>
  <c r="AA658" i="6" s="1"/>
  <c r="AC40" i="15"/>
  <c r="AD142" i="18"/>
  <c r="AD73" i="15"/>
  <c r="AA120" i="18"/>
  <c r="AC114" i="22"/>
  <c r="AC113" i="22"/>
  <c r="AE87" i="22"/>
  <c r="AC89" i="22"/>
  <c r="AC80" i="22"/>
  <c r="AD90" i="22"/>
  <c r="AD74" i="22"/>
  <c r="AC44" i="21"/>
  <c r="AC82" i="20"/>
  <c r="AC155" i="18"/>
  <c r="AD155" i="18"/>
  <c r="AE135" i="18"/>
  <c r="AC130" i="18"/>
  <c r="AJ46" i="20"/>
  <c r="AD50" i="19"/>
  <c r="AE50" i="19"/>
  <c r="AB77" i="20"/>
  <c r="AE74" i="18"/>
  <c r="AF74" i="18" s="1"/>
  <c r="AD54" i="18"/>
  <c r="AF42" i="18"/>
  <c r="AA49" i="19"/>
  <c r="AC192" i="14"/>
  <c r="AB160" i="14"/>
  <c r="AB122" i="14"/>
  <c r="AB49" i="15"/>
  <c r="AA111" i="14"/>
  <c r="AB69" i="14"/>
  <c r="AE87" i="13"/>
  <c r="AB64" i="19"/>
  <c r="AB50" i="15"/>
  <c r="AC50" i="15" s="1"/>
  <c r="AD121" i="13"/>
  <c r="AH112" i="13"/>
  <c r="AI112" i="13"/>
  <c r="AB59" i="18"/>
  <c r="AE45" i="18"/>
  <c r="AC89" i="13"/>
  <c r="AD89" i="13" s="1"/>
  <c r="AF53" i="13"/>
  <c r="AC59" i="16"/>
  <c r="AB195" i="14"/>
  <c r="AB165" i="14"/>
  <c r="AC51" i="16"/>
  <c r="AD51" i="16" s="1"/>
  <c r="AA48" i="13"/>
  <c r="AD50" i="13"/>
  <c r="AE50" i="13"/>
  <c r="P2728" i="6"/>
  <c r="L2728" i="6"/>
  <c r="H2728" i="6"/>
  <c r="D2728" i="6"/>
  <c r="O2676" i="6"/>
  <c r="K2676" i="6"/>
  <c r="G2676" i="6"/>
  <c r="N2728" i="6"/>
  <c r="I2728" i="6"/>
  <c r="R2728" i="6"/>
  <c r="M2728" i="6"/>
  <c r="G2728" i="6"/>
  <c r="Q2728" i="6"/>
  <c r="K2728" i="6"/>
  <c r="F2728" i="6"/>
  <c r="Q2676" i="6"/>
  <c r="L2676" i="6"/>
  <c r="F2676" i="6"/>
  <c r="O2728" i="6"/>
  <c r="P2676" i="6"/>
  <c r="J2676" i="6"/>
  <c r="E2676" i="6"/>
  <c r="J2728" i="6"/>
  <c r="N2676" i="6"/>
  <c r="I2676" i="6"/>
  <c r="D2676" i="6"/>
  <c r="E2728" i="6"/>
  <c r="R2676" i="6"/>
  <c r="M2676" i="6"/>
  <c r="H2676" i="6"/>
  <c r="AD167" i="14"/>
  <c r="AC101" i="13"/>
  <c r="AB109" i="22"/>
  <c r="AE96" i="21"/>
  <c r="AB84" i="21"/>
  <c r="AB45" i="19"/>
  <c r="AA84" i="22"/>
  <c r="AC58" i="22"/>
  <c r="AD63" i="19"/>
  <c r="AE63" i="19"/>
  <c r="AD75" i="20"/>
  <c r="AC75" i="20"/>
  <c r="AG42" i="20"/>
  <c r="AD156" i="14"/>
  <c r="AE156" i="14" s="1"/>
  <c r="AC65" i="16"/>
  <c r="S17" i="18"/>
  <c r="U1332" i="6"/>
  <c r="AE65" i="15"/>
  <c r="AD80" i="13"/>
  <c r="AC57" i="18"/>
  <c r="AB68" i="14"/>
  <c r="AR3498" i="6"/>
  <c r="AR3499" i="6"/>
  <c r="AD2743" i="6"/>
  <c r="Z2743" i="6"/>
  <c r="V2743" i="6"/>
  <c r="AG2691" i="6"/>
  <c r="AC2691" i="6"/>
  <c r="Y2691" i="6"/>
  <c r="U2691" i="6"/>
  <c r="AG2743" i="6"/>
  <c r="AB2743" i="6"/>
  <c r="W2743" i="6"/>
  <c r="AF2743" i="6"/>
  <c r="AA2743" i="6"/>
  <c r="U2743" i="6"/>
  <c r="AE2743" i="6"/>
  <c r="Y2743" i="6"/>
  <c r="T2743" i="6"/>
  <c r="X2743" i="6"/>
  <c r="AE2691" i="6"/>
  <c r="Z2691" i="6"/>
  <c r="T2691" i="6"/>
  <c r="S2743" i="6"/>
  <c r="AD2691" i="6"/>
  <c r="X2691" i="6"/>
  <c r="S2691" i="6"/>
  <c r="AB2691" i="6"/>
  <c r="W2691" i="6"/>
  <c r="AC2743" i="6"/>
  <c r="AF2691" i="6"/>
  <c r="AA2691" i="6"/>
  <c r="V2691" i="6"/>
  <c r="L2779" i="6"/>
  <c r="P2778" i="6"/>
  <c r="P2831" i="6" s="1"/>
  <c r="H2778" i="6"/>
  <c r="H2831" i="6" s="1"/>
  <c r="G2779" i="6"/>
  <c r="O2778" i="6"/>
  <c r="O2831" i="6" s="1"/>
  <c r="H2779" i="6"/>
  <c r="O2779" i="6"/>
  <c r="M2778" i="6"/>
  <c r="M2831" i="6" s="1"/>
  <c r="R2779" i="6"/>
  <c r="Y3165" i="6"/>
  <c r="AL2414" i="6"/>
  <c r="AH2414" i="6"/>
  <c r="AD2414" i="6"/>
  <c r="Z2414" i="6"/>
  <c r="AV2362" i="6"/>
  <c r="AR2362" i="6"/>
  <c r="AN2362" i="6"/>
  <c r="AJ2362" i="6"/>
  <c r="AF2362" i="6"/>
  <c r="AB2362" i="6"/>
  <c r="AT2310" i="6"/>
  <c r="AP2310" i="6"/>
  <c r="AL2310" i="6"/>
  <c r="AH2310" i="6"/>
  <c r="AD2310" i="6"/>
  <c r="Z2310" i="6"/>
  <c r="X2256" i="6"/>
  <c r="AK2414" i="6"/>
  <c r="AG2414" i="6"/>
  <c r="AC2414" i="6"/>
  <c r="Y2414" i="6"/>
  <c r="AU2362" i="6"/>
  <c r="AQ2362" i="6"/>
  <c r="AM2362" i="6"/>
  <c r="AI2362" i="6"/>
  <c r="AE2362" i="6"/>
  <c r="AA2362" i="6"/>
  <c r="AW2310" i="6"/>
  <c r="AS2310" i="6"/>
  <c r="AO2310" i="6"/>
  <c r="AK2310" i="6"/>
  <c r="AG2310" i="6"/>
  <c r="AC2310" i="6"/>
  <c r="Y2310" i="6"/>
  <c r="W2256" i="6"/>
  <c r="AN2414" i="6"/>
  <c r="AJ2414" i="6"/>
  <c r="AF2414" i="6"/>
  <c r="AB2414" i="6"/>
  <c r="AT2362" i="6"/>
  <c r="AP2362" i="6"/>
  <c r="AL2362" i="6"/>
  <c r="AH2362" i="6"/>
  <c r="AD2362" i="6"/>
  <c r="Z2362" i="6"/>
  <c r="AV2310" i="6"/>
  <c r="AR2310" i="6"/>
  <c r="AN2310" i="6"/>
  <c r="AJ2310" i="6"/>
  <c r="AF2310" i="6"/>
  <c r="AB2310" i="6"/>
  <c r="V2256" i="6"/>
  <c r="V2233" i="6" s="1"/>
  <c r="Z2232" i="6"/>
  <c r="AM2414" i="6"/>
  <c r="AI2414" i="6"/>
  <c r="AE2414" i="6"/>
  <c r="AA2414" i="6"/>
  <c r="AW2362" i="6"/>
  <c r="AS2362" i="6"/>
  <c r="AO2362" i="6"/>
  <c r="AK2362" i="6"/>
  <c r="AG2362" i="6"/>
  <c r="AC2362" i="6"/>
  <c r="Y2362" i="6"/>
  <c r="AU2310" i="6"/>
  <c r="AQ2310" i="6"/>
  <c r="AM2310" i="6"/>
  <c r="AI2310" i="6"/>
  <c r="AE2310" i="6"/>
  <c r="AA2310" i="6"/>
  <c r="AF105" i="14"/>
  <c r="AC97" i="14"/>
  <c r="AD67" i="14"/>
  <c r="AE110" i="13"/>
  <c r="O2999" i="6"/>
  <c r="O3000" i="6"/>
  <c r="Z2506" i="6"/>
  <c r="Z2507" i="6"/>
  <c r="AE83" i="14"/>
  <c r="AE75" i="14"/>
  <c r="AF139" i="14"/>
  <c r="U423" i="6"/>
  <c r="X2946" i="6"/>
  <c r="AF75" i="22"/>
  <c r="AC205" i="14"/>
  <c r="AD205" i="14" s="1"/>
  <c r="AD46" i="21"/>
  <c r="AE41" i="20"/>
  <c r="M3166" i="6"/>
  <c r="AD63" i="15"/>
  <c r="AE61" i="13"/>
  <c r="AC129" i="14"/>
  <c r="AG67" i="19"/>
  <c r="AB191" i="14"/>
  <c r="AB139" i="18"/>
  <c r="AC91" i="14"/>
  <c r="AE110" i="21"/>
  <c r="AF104" i="22"/>
  <c r="AA196" i="14"/>
  <c r="AE47" i="21"/>
  <c r="AC116" i="18"/>
  <c r="S24" i="9"/>
  <c r="T24" i="9" s="1"/>
  <c r="Z5" i="9"/>
  <c r="AA5" i="9" s="1"/>
  <c r="AA74" i="15"/>
  <c r="AA164" i="14"/>
  <c r="AB99" i="21"/>
  <c r="AB102" i="14"/>
  <c r="AF104" i="13"/>
  <c r="AF94" i="13"/>
  <c r="AB99" i="14"/>
  <c r="AE72" i="15" l="1"/>
  <c r="AD72" i="15"/>
  <c r="X3167" i="6"/>
  <c r="X3166" i="6"/>
  <c r="AG152" i="18"/>
  <c r="AH152" i="18"/>
  <c r="AI152" i="18" s="1"/>
  <c r="S78" i="6"/>
  <c r="S77" i="6"/>
  <c r="AD69" i="16"/>
  <c r="AF70" i="18"/>
  <c r="AG70" i="18" s="1"/>
  <c r="AD69" i="20"/>
  <c r="V2285" i="6"/>
  <c r="V2286" i="6"/>
  <c r="AD59" i="13"/>
  <c r="AE61" i="15"/>
  <c r="AF61" i="15"/>
  <c r="AD86" i="21"/>
  <c r="AE51" i="22"/>
  <c r="AF51" i="22"/>
  <c r="AE74" i="14"/>
  <c r="AF108" i="22"/>
  <c r="AG108" i="22" s="1"/>
  <c r="AE72" i="20"/>
  <c r="AF72" i="20" s="1"/>
  <c r="AH75" i="22"/>
  <c r="AH73" i="14"/>
  <c r="AC110" i="14"/>
  <c r="AF146" i="18"/>
  <c r="AE48" i="20"/>
  <c r="AE42" i="22"/>
  <c r="AF42" i="22" s="1"/>
  <c r="AK111" i="13"/>
  <c r="AE112" i="14"/>
  <c r="AF112" i="14"/>
  <c r="AG187" i="14"/>
  <c r="AK187" i="14" s="1"/>
  <c r="AI144" i="18"/>
  <c r="AJ144" i="18" s="1"/>
  <c r="Y3008" i="6" a="1"/>
  <c r="Y3008" i="6" s="1"/>
  <c r="AF143" i="18"/>
  <c r="AD143" i="18"/>
  <c r="AG143" i="18"/>
  <c r="AE143" i="18"/>
  <c r="AH95" i="13"/>
  <c r="AI95" i="13" s="1"/>
  <c r="W1389" i="6"/>
  <c r="W1390" i="6"/>
  <c r="AG62" i="13"/>
  <c r="AD59" i="14"/>
  <c r="AF59" i="14" s="1"/>
  <c r="W3000" i="6"/>
  <c r="W2999" i="6"/>
  <c r="AF204" i="14"/>
  <c r="AD1068" i="6"/>
  <c r="AM1016" i="6"/>
  <c r="AI1016" i="6"/>
  <c r="AE1016" i="6"/>
  <c r="AA1016" i="6"/>
  <c r="AN964" i="6"/>
  <c r="AJ964" i="6"/>
  <c r="AF964" i="6"/>
  <c r="AB964" i="6"/>
  <c r="AC1068" i="6"/>
  <c r="AL1016" i="6"/>
  <c r="AH1016" i="6"/>
  <c r="AD1016" i="6"/>
  <c r="AF1068" i="6"/>
  <c r="AB1068" i="6"/>
  <c r="AO1016" i="6"/>
  <c r="AK1016" i="6"/>
  <c r="AG1016" i="6"/>
  <c r="AC1016" i="6"/>
  <c r="AL964" i="6"/>
  <c r="AH964" i="6"/>
  <c r="AD964" i="6"/>
  <c r="AE1068" i="6"/>
  <c r="AA1068" i="6"/>
  <c r="AN1016" i="6"/>
  <c r="AI964" i="6"/>
  <c r="AA964" i="6"/>
  <c r="AJ1016" i="6"/>
  <c r="AO964" i="6"/>
  <c r="AG964" i="6"/>
  <c r="Z910" i="6"/>
  <c r="Z885" i="6" s="1"/>
  <c r="AF1016" i="6"/>
  <c r="AM964" i="6"/>
  <c r="AE964" i="6"/>
  <c r="AB884" i="6"/>
  <c r="AB1016" i="6"/>
  <c r="AK964" i="6"/>
  <c r="AC964" i="6"/>
  <c r="E2832" i="6"/>
  <c r="AF843" i="6"/>
  <c r="AB843" i="6"/>
  <c r="AO791" i="6"/>
  <c r="AK791" i="6"/>
  <c r="AG791" i="6"/>
  <c r="AC791" i="6"/>
  <c r="AL739" i="6"/>
  <c r="AH739" i="6"/>
  <c r="AD739" i="6"/>
  <c r="AE843" i="6"/>
  <c r="AA843" i="6"/>
  <c r="AN791" i="6"/>
  <c r="AJ791" i="6"/>
  <c r="AF791" i="6"/>
  <c r="AB791" i="6"/>
  <c r="AO739" i="6"/>
  <c r="AK739" i="6"/>
  <c r="AG739" i="6"/>
  <c r="AC739" i="6"/>
  <c r="AD843" i="6"/>
  <c r="AM791" i="6"/>
  <c r="AI791" i="6"/>
  <c r="AE791" i="6"/>
  <c r="AA791" i="6"/>
  <c r="AN739" i="6"/>
  <c r="AJ739" i="6"/>
  <c r="AF739" i="6"/>
  <c r="AB739" i="6"/>
  <c r="Z685" i="6"/>
  <c r="AB659" i="6"/>
  <c r="AC843" i="6"/>
  <c r="AL791" i="6"/>
  <c r="AH791" i="6"/>
  <c r="AD791" i="6"/>
  <c r="AM739" i="6"/>
  <c r="AI739" i="6"/>
  <c r="AE739" i="6"/>
  <c r="AA739" i="6"/>
  <c r="Y685" i="6"/>
  <c r="AJ51" i="23"/>
  <c r="AE159" i="14"/>
  <c r="AD82" i="21"/>
  <c r="AE82" i="21"/>
  <c r="AG104" i="18"/>
  <c r="AH104" i="18" s="1"/>
  <c r="AE58" i="22"/>
  <c r="Y59" i="12"/>
  <c r="Z246" i="6"/>
  <c r="Z60" i="12"/>
  <c r="AA60" i="12" s="1"/>
  <c r="AB68" i="12"/>
  <c r="AH65" i="13"/>
  <c r="AL111" i="13"/>
  <c r="AH39" i="21"/>
  <c r="AF170" i="14"/>
  <c r="AE48" i="19"/>
  <c r="AG48" i="19" s="1"/>
  <c r="AE119" i="13"/>
  <c r="AF119" i="13" s="1"/>
  <c r="AF107" i="21"/>
  <c r="AH107" i="21"/>
  <c r="AC99" i="14"/>
  <c r="AF99" i="14" s="1"/>
  <c r="AD99" i="14"/>
  <c r="AE99" i="14"/>
  <c r="R17" i="18"/>
  <c r="T1332" i="6"/>
  <c r="AD44" i="21"/>
  <c r="AC58" i="15"/>
  <c r="AE58" i="20"/>
  <c r="AF58" i="20"/>
  <c r="AG58" i="20" s="1"/>
  <c r="AD97" i="14"/>
  <c r="AF38" i="20"/>
  <c r="AE69" i="21"/>
  <c r="AC68" i="22"/>
  <c r="AD68" i="22"/>
  <c r="AB1560" i="6"/>
  <c r="AC1555" i="6"/>
  <c r="AC11" i="5"/>
  <c r="Q2" i="18"/>
  <c r="AK1515" i="6"/>
  <c r="AG1515" i="6"/>
  <c r="AC1515" i="6"/>
  <c r="Y1515" i="6"/>
  <c r="AI1463" i="6"/>
  <c r="AE1463" i="6"/>
  <c r="AA1463" i="6"/>
  <c r="W1463" i="6"/>
  <c r="AH1411" i="6"/>
  <c r="AD1411" i="6"/>
  <c r="Z1411" i="6"/>
  <c r="V1411" i="6"/>
  <c r="AJ1515" i="6"/>
  <c r="AF1515" i="6"/>
  <c r="AB1515" i="6"/>
  <c r="X1515" i="6"/>
  <c r="AH1463" i="6"/>
  <c r="AD1463" i="6"/>
  <c r="Z1463" i="6"/>
  <c r="V1463" i="6"/>
  <c r="AG1411" i="6"/>
  <c r="AC1411" i="6"/>
  <c r="Y1411" i="6"/>
  <c r="S1357" i="6"/>
  <c r="S1355" i="6"/>
  <c r="AI1515" i="6"/>
  <c r="AE1515" i="6"/>
  <c r="AA1515" i="6"/>
  <c r="W1515" i="6"/>
  <c r="AG1463" i="6"/>
  <c r="AC1463" i="6"/>
  <c r="Y1463" i="6"/>
  <c r="AJ1411" i="6"/>
  <c r="AF1411" i="6"/>
  <c r="AB1411" i="6"/>
  <c r="X1411" i="6"/>
  <c r="AH1515" i="6"/>
  <c r="AD1515" i="6"/>
  <c r="Z1515" i="6"/>
  <c r="V1515" i="6"/>
  <c r="AJ1463" i="6"/>
  <c r="AF1463" i="6"/>
  <c r="AB1463" i="6"/>
  <c r="X1463" i="6"/>
  <c r="AI1411" i="6"/>
  <c r="AE1411" i="6"/>
  <c r="AA1411" i="6"/>
  <c r="W1411" i="6"/>
  <c r="S1356" i="6"/>
  <c r="AK107" i="13"/>
  <c r="AL107" i="13" s="1"/>
  <c r="AF59" i="21"/>
  <c r="AG59" i="21" s="1"/>
  <c r="AA57" i="14"/>
  <c r="AA56" i="14" s="1"/>
  <c r="AH99" i="13"/>
  <c r="AF99" i="13"/>
  <c r="AB31" i="14"/>
  <c r="AB33" i="14" s="1"/>
  <c r="AA33" i="14"/>
  <c r="AB54" i="15"/>
  <c r="AE67" i="14"/>
  <c r="AM2415" i="6"/>
  <c r="AI2415" i="6"/>
  <c r="AE2415" i="6"/>
  <c r="AA2415" i="6"/>
  <c r="AV2363" i="6"/>
  <c r="AR2363" i="6"/>
  <c r="AN2363" i="6"/>
  <c r="AJ2363" i="6"/>
  <c r="AF2363" i="6"/>
  <c r="AB2363" i="6"/>
  <c r="AX2311" i="6"/>
  <c r="AT2311" i="6"/>
  <c r="AP2311" i="6"/>
  <c r="AL2311" i="6"/>
  <c r="AH2311" i="6"/>
  <c r="AD2311" i="6"/>
  <c r="Z2311" i="6"/>
  <c r="AL2415" i="6"/>
  <c r="AH2415" i="6"/>
  <c r="AD2415" i="6"/>
  <c r="Z2415" i="6"/>
  <c r="AU2363" i="6"/>
  <c r="AQ2363" i="6"/>
  <c r="AM2363" i="6"/>
  <c r="AI2363" i="6"/>
  <c r="AE2363" i="6"/>
  <c r="AA2363" i="6"/>
  <c r="AW2311" i="6"/>
  <c r="AS2311" i="6"/>
  <c r="AO2311" i="6"/>
  <c r="AK2311" i="6"/>
  <c r="AG2311" i="6"/>
  <c r="AC2311" i="6"/>
  <c r="Y2257" i="6"/>
  <c r="AA2232" i="6"/>
  <c r="AO2415" i="6"/>
  <c r="AK2415" i="6"/>
  <c r="AG2415" i="6"/>
  <c r="AC2415" i="6"/>
  <c r="AX2363" i="6"/>
  <c r="AT2363" i="6"/>
  <c r="AP2363" i="6"/>
  <c r="AL2363" i="6"/>
  <c r="AH2363" i="6"/>
  <c r="AD2363" i="6"/>
  <c r="Z2363" i="6"/>
  <c r="AV2311" i="6"/>
  <c r="AR2311" i="6"/>
  <c r="AN2311" i="6"/>
  <c r="AJ2311" i="6"/>
  <c r="AF2311" i="6"/>
  <c r="AB2311" i="6"/>
  <c r="X2257" i="6"/>
  <c r="AN2415" i="6"/>
  <c r="AJ2415" i="6"/>
  <c r="AF2415" i="6"/>
  <c r="AB2415" i="6"/>
  <c r="AW2363" i="6"/>
  <c r="AS2363" i="6"/>
  <c r="AO2363" i="6"/>
  <c r="AK2363" i="6"/>
  <c r="AG2363" i="6"/>
  <c r="AC2363" i="6"/>
  <c r="AU2311" i="6"/>
  <c r="AQ2311" i="6"/>
  <c r="AM2311" i="6"/>
  <c r="AI2311" i="6"/>
  <c r="AE2311" i="6"/>
  <c r="AA2311" i="6"/>
  <c r="W2257" i="6"/>
  <c r="W2233" i="6" s="1"/>
  <c r="Y635" i="6"/>
  <c r="Z23" i="5" s="1"/>
  <c r="Y419" i="6"/>
  <c r="Z413" i="6"/>
  <c r="Z15" i="5"/>
  <c r="X22" i="9"/>
  <c r="AC67" i="15"/>
  <c r="AC160" i="14"/>
  <c r="AB44" i="19"/>
  <c r="AC44" i="19" s="1"/>
  <c r="AD58" i="19"/>
  <c r="AD89" i="22"/>
  <c r="AD68" i="19"/>
  <c r="AE68" i="19" s="1"/>
  <c r="AF68" i="19" s="1"/>
  <c r="AB114" i="13"/>
  <c r="AE68" i="18"/>
  <c r="AE103" i="13"/>
  <c r="AA46" i="16"/>
  <c r="AB883" i="6" s="1"/>
  <c r="AF189" i="14"/>
  <c r="AC45" i="15"/>
  <c r="AB97" i="18"/>
  <c r="AD105" i="21"/>
  <c r="AC200" i="14"/>
  <c r="AC121" i="22"/>
  <c r="AD64" i="18"/>
  <c r="AE46" i="22"/>
  <c r="AA2506" i="6"/>
  <c r="AA2507" i="6"/>
  <c r="AC64" i="21"/>
  <c r="AC201" i="14"/>
  <c r="AC123" i="13"/>
  <c r="AF190" i="14"/>
  <c r="U1390" i="6"/>
  <c r="U1389" i="6"/>
  <c r="AD82" i="20"/>
  <c r="Y414" i="6"/>
  <c r="AD51" i="13"/>
  <c r="AF110" i="13"/>
  <c r="AF79" i="13"/>
  <c r="AE79" i="13"/>
  <c r="AE67" i="20"/>
  <c r="AD105" i="22"/>
  <c r="AB62" i="14"/>
  <c r="AH88" i="18"/>
  <c r="AC40" i="19"/>
  <c r="T2732" i="6"/>
  <c r="P2732" i="6"/>
  <c r="L2732" i="6"/>
  <c r="H2732" i="6"/>
  <c r="S2680" i="6"/>
  <c r="O2680" i="6"/>
  <c r="K2680" i="6"/>
  <c r="V2732" i="6"/>
  <c r="Q2732" i="6"/>
  <c r="K2732" i="6"/>
  <c r="U2732" i="6"/>
  <c r="O2732" i="6"/>
  <c r="J2732" i="6"/>
  <c r="S2732" i="6"/>
  <c r="N2732" i="6"/>
  <c r="I2732" i="6"/>
  <c r="T2680" i="6"/>
  <c r="N2680" i="6"/>
  <c r="I2680" i="6"/>
  <c r="I2674" i="6" s="1" a="1"/>
  <c r="I2674" i="6" s="1"/>
  <c r="R2680" i="6"/>
  <c r="M2680" i="6"/>
  <c r="H2680" i="6"/>
  <c r="R2732" i="6"/>
  <c r="V2680" i="6"/>
  <c r="Q2680" i="6"/>
  <c r="L2680" i="6"/>
  <c r="M2732" i="6"/>
  <c r="M2726" i="6" s="1" a="1"/>
  <c r="M2726" i="6" s="1"/>
  <c r="U2680" i="6"/>
  <c r="P2680" i="6"/>
  <c r="J2680" i="6"/>
  <c r="AE81" i="14"/>
  <c r="AE65" i="17"/>
  <c r="Q24" i="17"/>
  <c r="S1107" i="6"/>
  <c r="T18" i="5" s="1"/>
  <c r="AB115" i="22"/>
  <c r="W59" i="12"/>
  <c r="X246" i="6"/>
  <c r="AD138" i="14"/>
  <c r="AE138" i="14"/>
  <c r="AB1329" i="6"/>
  <c r="AB1333" i="6"/>
  <c r="AC1331" i="6"/>
  <c r="AF80" i="20"/>
  <c r="AD58" i="22"/>
  <c r="AH57" i="16"/>
  <c r="AC151" i="18"/>
  <c r="AD141" i="14"/>
  <c r="AE141" i="14" s="1"/>
  <c r="AG39" i="22"/>
  <c r="AH39" i="22" s="1"/>
  <c r="AI39" i="22" s="1"/>
  <c r="AD57" i="15"/>
  <c r="AG52" i="22"/>
  <c r="AE113" i="13"/>
  <c r="V66" i="12"/>
  <c r="W248" i="6"/>
  <c r="AC94" i="14"/>
  <c r="AA26" i="7"/>
  <c r="AB23" i="7"/>
  <c r="AC75" i="13"/>
  <c r="AF141" i="14"/>
  <c r="AC53" i="20"/>
  <c r="V2733" i="6"/>
  <c r="R2733" i="6"/>
  <c r="N2733" i="6"/>
  <c r="J2733" i="6"/>
  <c r="J2726" i="6" s="1" a="1"/>
  <c r="J2726" i="6" s="1"/>
  <c r="U2681" i="6"/>
  <c r="Q2681" i="6"/>
  <c r="M2681" i="6"/>
  <c r="I2681" i="6"/>
  <c r="S2733" i="6"/>
  <c r="M2733" i="6"/>
  <c r="W2733" i="6"/>
  <c r="Q2733" i="6"/>
  <c r="Q2726" i="6" s="1" a="1"/>
  <c r="Q2726" i="6" s="1"/>
  <c r="L2733" i="6"/>
  <c r="U2733" i="6"/>
  <c r="P2733" i="6"/>
  <c r="K2733" i="6"/>
  <c r="O2733" i="6"/>
  <c r="V2681" i="6"/>
  <c r="P2681" i="6"/>
  <c r="K2681" i="6"/>
  <c r="I2733" i="6"/>
  <c r="T2681" i="6"/>
  <c r="O2681" i="6"/>
  <c r="J2681" i="6"/>
  <c r="S2681" i="6"/>
  <c r="N2681" i="6"/>
  <c r="T2733" i="6"/>
  <c r="W2681" i="6"/>
  <c r="R2681" i="6"/>
  <c r="L2681" i="6"/>
  <c r="AE171" i="14"/>
  <c r="AF96" i="21"/>
  <c r="AC58" i="21"/>
  <c r="U17" i="5"/>
  <c r="U24" i="5" s="1"/>
  <c r="U42" i="5" s="1"/>
  <c r="AB877" i="6"/>
  <c r="AB881" i="6"/>
  <c r="AC879" i="6"/>
  <c r="AB149" i="14"/>
  <c r="AC149" i="14" s="1"/>
  <c r="AH81" i="14"/>
  <c r="AE75" i="20"/>
  <c r="AE116" i="22"/>
  <c r="AD116" i="22"/>
  <c r="AF116" i="22"/>
  <c r="AB156" i="18"/>
  <c r="AC156" i="18"/>
  <c r="AF161" i="14"/>
  <c r="AE161" i="14"/>
  <c r="AD68" i="20"/>
  <c r="V712" i="6"/>
  <c r="V713" i="6"/>
  <c r="AD130" i="18"/>
  <c r="AF85" i="22"/>
  <c r="AG99" i="13"/>
  <c r="AB68" i="16"/>
  <c r="AA245" i="6"/>
  <c r="AA244" i="6"/>
  <c r="AB28" i="5" s="1"/>
  <c r="AA246" i="6"/>
  <c r="AA408" i="6"/>
  <c r="AA67" i="12"/>
  <c r="AC77" i="18"/>
  <c r="AH42" i="20"/>
  <c r="AG76" i="20"/>
  <c r="AE76" i="22"/>
  <c r="AE60" i="20"/>
  <c r="AC109" i="22"/>
  <c r="AC193" i="14"/>
  <c r="AD100" i="14"/>
  <c r="AD84" i="13"/>
  <c r="AD66" i="20"/>
  <c r="AF135" i="18"/>
  <c r="X3170" i="6"/>
  <c r="X36" i="11"/>
  <c r="AC63" i="16"/>
  <c r="AG69" i="13"/>
  <c r="AD91" i="14"/>
  <c r="AB61" i="12"/>
  <c r="AH57" i="13"/>
  <c r="AI57" i="13" s="1"/>
  <c r="AJ57" i="13" s="1"/>
  <c r="AC109" i="13"/>
  <c r="AB103" i="14"/>
  <c r="AE77" i="14"/>
  <c r="AC49" i="15"/>
  <c r="AD58" i="17"/>
  <c r="AE58" i="17" s="1"/>
  <c r="AC84" i="21"/>
  <c r="AH68" i="13"/>
  <c r="AF154" i="14"/>
  <c r="AE60" i="18"/>
  <c r="AD48" i="20"/>
  <c r="AD67" i="20"/>
  <c r="AF77" i="21"/>
  <c r="AF49" i="16"/>
  <c r="AI160" i="18"/>
  <c r="AC184" i="14"/>
  <c r="AE67" i="16"/>
  <c r="AF115" i="13"/>
  <c r="AG142" i="14"/>
  <c r="AG49" i="17"/>
  <c r="AB2010" i="6"/>
  <c r="AC2005" i="6"/>
  <c r="AC157" i="14"/>
  <c r="AC115" i="14"/>
  <c r="T1787" i="6"/>
  <c r="AD94" i="18"/>
  <c r="AC65" i="20"/>
  <c r="V1389" i="6"/>
  <c r="V1390" i="6"/>
  <c r="AT26" i="7"/>
  <c r="AU23" i="7"/>
  <c r="AE158" i="18"/>
  <c r="AC39" i="18"/>
  <c r="AI42" i="20"/>
  <c r="AD67" i="18"/>
  <c r="AD192" i="14"/>
  <c r="AB118" i="14"/>
  <c r="AH160" i="18"/>
  <c r="AC139" i="18"/>
  <c r="AE129" i="14"/>
  <c r="AF129" i="14" s="1"/>
  <c r="AD129" i="14"/>
  <c r="AE98" i="13"/>
  <c r="AF48" i="23"/>
  <c r="AG48" i="23" s="1"/>
  <c r="AF63" i="18"/>
  <c r="AC61" i="12"/>
  <c r="AT207" i="6"/>
  <c r="AP207" i="6"/>
  <c r="AL207" i="6"/>
  <c r="AH207" i="6"/>
  <c r="AD207" i="6"/>
  <c r="Z207" i="6"/>
  <c r="AK155" i="6"/>
  <c r="AG155" i="6"/>
  <c r="AC155" i="6"/>
  <c r="AN103" i="6"/>
  <c r="AJ103" i="6"/>
  <c r="AF103" i="6"/>
  <c r="AB103" i="6"/>
  <c r="W40" i="6"/>
  <c r="AA10" i="6"/>
  <c r="AM207" i="6"/>
  <c r="AE207" i="6"/>
  <c r="AA207" i="6"/>
  <c r="AL155" i="6"/>
  <c r="AK103" i="6"/>
  <c r="AS207" i="6"/>
  <c r="AO207" i="6"/>
  <c r="AK207" i="6"/>
  <c r="AG207" i="6"/>
  <c r="AC207" i="6"/>
  <c r="AN155" i="6"/>
  <c r="AJ155" i="6"/>
  <c r="AF155" i="6"/>
  <c r="AB155" i="6"/>
  <c r="AM103" i="6"/>
  <c r="AI103" i="6"/>
  <c r="AE103" i="6"/>
  <c r="AA103" i="6"/>
  <c r="V40" i="6"/>
  <c r="AA11" i="6"/>
  <c r="AD155" i="6"/>
  <c r="AC103" i="6"/>
  <c r="AR207" i="6"/>
  <c r="AN207" i="6"/>
  <c r="AJ207" i="6"/>
  <c r="AF207" i="6"/>
  <c r="AB207" i="6"/>
  <c r="AM155" i="6"/>
  <c r="AI155" i="6"/>
  <c r="AE155" i="6"/>
  <c r="AA155" i="6"/>
  <c r="AL103" i="6"/>
  <c r="AH103" i="6"/>
  <c r="AD103" i="6"/>
  <c r="Z103" i="6"/>
  <c r="Y40" i="6"/>
  <c r="U40" i="6"/>
  <c r="AQ207" i="6"/>
  <c r="AI207" i="6"/>
  <c r="AH155" i="6"/>
  <c r="Z155" i="6"/>
  <c r="AG103" i="6"/>
  <c r="X40" i="6"/>
  <c r="AA15" i="6"/>
  <c r="T40" i="6"/>
  <c r="T16" i="6" s="1"/>
  <c r="AB46" i="17"/>
  <c r="AG49" i="16"/>
  <c r="AF54" i="19"/>
  <c r="AC47" i="19"/>
  <c r="AB159" i="18"/>
  <c r="AC159" i="18" s="1"/>
  <c r="AA17" i="20"/>
  <c r="AA1782" i="6"/>
  <c r="AF178" i="14"/>
  <c r="AF83" i="13"/>
  <c r="AG110" i="18"/>
  <c r="AP322" i="6"/>
  <c r="AL322" i="6"/>
  <c r="AH322" i="6"/>
  <c r="AD322" i="6"/>
  <c r="Z322" i="6"/>
  <c r="V322" i="6"/>
  <c r="AQ270" i="6"/>
  <c r="AM270" i="6"/>
  <c r="AI270" i="6"/>
  <c r="AE270" i="6"/>
  <c r="AA270" i="6"/>
  <c r="W270" i="6"/>
  <c r="AI322" i="6"/>
  <c r="AJ270" i="6"/>
  <c r="AB270" i="6"/>
  <c r="AS322" i="6"/>
  <c r="AO322" i="6"/>
  <c r="AK322" i="6"/>
  <c r="AG322" i="6"/>
  <c r="AC322" i="6"/>
  <c r="Y322" i="6"/>
  <c r="U322" i="6"/>
  <c r="AP270" i="6"/>
  <c r="AL270" i="6"/>
  <c r="AH270" i="6"/>
  <c r="AD270" i="6"/>
  <c r="Z270" i="6"/>
  <c r="V270" i="6"/>
  <c r="AQ322" i="6"/>
  <c r="AA322" i="6"/>
  <c r="W322" i="6"/>
  <c r="AR322" i="6"/>
  <c r="AN322" i="6"/>
  <c r="AJ322" i="6"/>
  <c r="AF322" i="6"/>
  <c r="AB322" i="6"/>
  <c r="X322" i="6"/>
  <c r="AS270" i="6"/>
  <c r="AO270" i="6"/>
  <c r="AK270" i="6"/>
  <c r="AG270" i="6"/>
  <c r="AC270" i="6"/>
  <c r="Y270" i="6"/>
  <c r="U270" i="6"/>
  <c r="AM322" i="6"/>
  <c r="AE322" i="6"/>
  <c r="AR270" i="6"/>
  <c r="AN270" i="6"/>
  <c r="AF270" i="6"/>
  <c r="X270" i="6"/>
  <c r="V21" i="17"/>
  <c r="V1106" i="6"/>
  <c r="W19" i="5" s="1"/>
  <c r="AB99" i="18"/>
  <c r="AE86" i="21"/>
  <c r="AB40" i="20"/>
  <c r="AE146" i="14"/>
  <c r="AE43" i="22"/>
  <c r="AF43" i="22" s="1"/>
  <c r="AG43" i="22" s="1"/>
  <c r="AH43" i="22" s="1"/>
  <c r="AI43" i="22" s="1"/>
  <c r="AJ43" i="22" s="1"/>
  <c r="AK43" i="22" s="1"/>
  <c r="AL43" i="22" s="1"/>
  <c r="AM43" i="22" s="1"/>
  <c r="AN43" i="22" s="1"/>
  <c r="AC185" i="14"/>
  <c r="AC52" i="19"/>
  <c r="AC69" i="18"/>
  <c r="AC52" i="20"/>
  <c r="AE206" i="14"/>
  <c r="AG70" i="20"/>
  <c r="AB56" i="17"/>
  <c r="AC54" i="22"/>
  <c r="AB54" i="22"/>
  <c r="AD134" i="14"/>
  <c r="R2729" i="6"/>
  <c r="N2729" i="6"/>
  <c r="N2726" i="6" s="1" a="1"/>
  <c r="N2726" i="6" s="1"/>
  <c r="J2729" i="6"/>
  <c r="F2729" i="6"/>
  <c r="Q2677" i="6"/>
  <c r="M2677" i="6"/>
  <c r="M2674" i="6" s="1" a="1"/>
  <c r="M2674" i="6" s="1"/>
  <c r="I2677" i="6"/>
  <c r="E2677" i="6"/>
  <c r="P2729" i="6"/>
  <c r="K2729" i="6"/>
  <c r="K2726" i="6" s="1" a="1"/>
  <c r="K2726" i="6" s="1"/>
  <c r="E2729" i="6"/>
  <c r="O2729" i="6"/>
  <c r="I2729" i="6"/>
  <c r="S2729" i="6"/>
  <c r="S2726" i="6" s="1" a="1"/>
  <c r="S2726" i="6" s="1"/>
  <c r="S2833" i="6" s="1"/>
  <c r="M2729" i="6"/>
  <c r="H2729" i="6"/>
  <c r="G2729" i="6"/>
  <c r="S2677" i="6"/>
  <c r="S2674" i="6" s="1" a="1"/>
  <c r="S2674" i="6" s="1"/>
  <c r="N2677" i="6"/>
  <c r="H2677" i="6"/>
  <c r="R2677" i="6"/>
  <c r="L2677" i="6"/>
  <c r="L2674" i="6" s="1" a="1"/>
  <c r="L2674" i="6" s="1"/>
  <c r="G2677" i="6"/>
  <c r="Q2729" i="6"/>
  <c r="P2677" i="6"/>
  <c r="P2674" i="6" s="1" a="1"/>
  <c r="P2674" i="6" s="1"/>
  <c r="K2677" i="6"/>
  <c r="F2677" i="6"/>
  <c r="L2729" i="6"/>
  <c r="O2677" i="6"/>
  <c r="J2677" i="6"/>
  <c r="J2674" i="6" s="1" a="1"/>
  <c r="J2674" i="6" s="1"/>
  <c r="AF62" i="17"/>
  <c r="Q2" i="14"/>
  <c r="AH601" i="6"/>
  <c r="AD601" i="6"/>
  <c r="Z601" i="6"/>
  <c r="V601" i="6"/>
  <c r="AJ549" i="6"/>
  <c r="AF549" i="6"/>
  <c r="AB549" i="6"/>
  <c r="X549" i="6"/>
  <c r="AJ497" i="6"/>
  <c r="AF497" i="6"/>
  <c r="AB497" i="6"/>
  <c r="X497" i="6"/>
  <c r="AK601" i="6"/>
  <c r="AG601" i="6"/>
  <c r="AC601" i="6"/>
  <c r="Y601" i="6"/>
  <c r="AI549" i="6"/>
  <c r="AE549" i="6"/>
  <c r="AA549" i="6"/>
  <c r="W549" i="6"/>
  <c r="AI497" i="6"/>
  <c r="AE497" i="6"/>
  <c r="AA497" i="6"/>
  <c r="W497" i="6"/>
  <c r="S443" i="6"/>
  <c r="S441" i="6"/>
  <c r="S423" i="6" s="1"/>
  <c r="AE601" i="6"/>
  <c r="AA601" i="6"/>
  <c r="AC549" i="6"/>
  <c r="AC497" i="6"/>
  <c r="Y497" i="6"/>
  <c r="S442" i="6"/>
  <c r="AJ601" i="6"/>
  <c r="AF601" i="6"/>
  <c r="AB601" i="6"/>
  <c r="X601" i="6"/>
  <c r="AH549" i="6"/>
  <c r="AD549" i="6"/>
  <c r="Z549" i="6"/>
  <c r="V549" i="6"/>
  <c r="AE529" i="6"/>
  <c r="AH497" i="6"/>
  <c r="AD497" i="6"/>
  <c r="Z497" i="6"/>
  <c r="V497" i="6"/>
  <c r="AI601" i="6"/>
  <c r="W601" i="6"/>
  <c r="AG549" i="6"/>
  <c r="Y549" i="6"/>
  <c r="AG497" i="6"/>
  <c r="AD51" i="18"/>
  <c r="AB880" i="6"/>
  <c r="AC878" i="6"/>
  <c r="AC7" i="5"/>
  <c r="AF67" i="14"/>
  <c r="AH67" i="14" s="1"/>
  <c r="Z92" i="9"/>
  <c r="Z66" i="9"/>
  <c r="Z64" i="9"/>
  <c r="Z61" i="9"/>
  <c r="AA3005" i="6" s="1"/>
  <c r="Z58" i="9"/>
  <c r="Z16" i="9"/>
  <c r="Z8" i="9"/>
  <c r="AA2670" i="6" s="1"/>
  <c r="Z3" i="9"/>
  <c r="AA2668" i="6" s="1"/>
  <c r="Z69" i="9"/>
  <c r="AA93" i="9"/>
  <c r="Z74" i="9"/>
  <c r="Z68" i="9"/>
  <c r="AA2837" i="6" s="1"/>
  <c r="Z65" i="9"/>
  <c r="Z63" i="9"/>
  <c r="Z57" i="9"/>
  <c r="AA3002" i="6" s="1"/>
  <c r="Z4" i="9"/>
  <c r="K2674" i="6" a="1"/>
  <c r="K2674" i="6" s="1"/>
  <c r="H2726" i="6" a="1"/>
  <c r="H2726" i="6" s="1"/>
  <c r="E2726" i="6" a="1"/>
  <c r="E2726" i="6" s="1"/>
  <c r="E2833" i="6" s="1"/>
  <c r="L2726" i="6" a="1"/>
  <c r="L2726" i="6" s="1"/>
  <c r="AC66" i="15"/>
  <c r="AD85" i="18"/>
  <c r="AA17" i="18"/>
  <c r="AA1332" i="6"/>
  <c r="AC91" i="18"/>
  <c r="AH50" i="18"/>
  <c r="AI50" i="18" s="1"/>
  <c r="Y660" i="6"/>
  <c r="AF89" i="14"/>
  <c r="AC59" i="14"/>
  <c r="AG46" i="23"/>
  <c r="AG107" i="21"/>
  <c r="W2064" i="6"/>
  <c r="W2065" i="6"/>
  <c r="AE86" i="14"/>
  <c r="AH60" i="17"/>
  <c r="AG89" i="13"/>
  <c r="AJ107" i="13"/>
  <c r="AM107" i="13" s="1"/>
  <c r="AE61" i="20"/>
  <c r="AF61" i="20" s="1"/>
  <c r="AG61" i="20" s="1"/>
  <c r="AH61" i="20" s="1"/>
  <c r="AE66" i="17"/>
  <c r="AE81" i="22"/>
  <c r="AC181" i="14"/>
  <c r="AD122" i="14"/>
  <c r="AD81" i="18"/>
  <c r="AI73" i="13"/>
  <c r="AE51" i="21"/>
  <c r="AD81" i="22"/>
  <c r="AC85" i="21"/>
  <c r="AG94" i="13"/>
  <c r="AF57" i="17"/>
  <c r="AG57" i="17" s="1"/>
  <c r="AF61" i="19"/>
  <c r="AE59" i="22"/>
  <c r="AF94" i="22"/>
  <c r="R2674" i="6" a="1"/>
  <c r="R2674" i="6" s="1"/>
  <c r="AE46" i="21"/>
  <c r="AG155" i="18"/>
  <c r="AA39" i="23"/>
  <c r="AB2451" i="6" s="1"/>
  <c r="AA32" i="22"/>
  <c r="AA32" i="21"/>
  <c r="AB2009" i="6" s="1"/>
  <c r="AA32" i="19"/>
  <c r="AB1559" i="6" s="1"/>
  <c r="AA32" i="18"/>
  <c r="AA42" i="16"/>
  <c r="AB882" i="6" s="1"/>
  <c r="AA34" i="15"/>
  <c r="AB657" i="6" s="1"/>
  <c r="AA32" i="20"/>
  <c r="AA37" i="17"/>
  <c r="AA49" i="14"/>
  <c r="AA41" i="13"/>
  <c r="AB7" i="7"/>
  <c r="AB47" i="23"/>
  <c r="AC71" i="18"/>
  <c r="R21" i="15"/>
  <c r="T655" i="6"/>
  <c r="AF87" i="22"/>
  <c r="AC102" i="18"/>
  <c r="AE102" i="22"/>
  <c r="AC141" i="14"/>
  <c r="AG83" i="13"/>
  <c r="AC71" i="20"/>
  <c r="AD71" i="20" s="1"/>
  <c r="AE49" i="23"/>
  <c r="AF49" i="23"/>
  <c r="AD2452" i="6"/>
  <c r="AE2447" i="6"/>
  <c r="AE14" i="5"/>
  <c r="AN376" i="6"/>
  <c r="AJ376" i="6"/>
  <c r="AF376" i="6"/>
  <c r="AB376" i="6"/>
  <c r="X376" i="6"/>
  <c r="AM376" i="6"/>
  <c r="AI376" i="6"/>
  <c r="AE376" i="6"/>
  <c r="AA376" i="6"/>
  <c r="W376" i="6"/>
  <c r="V249" i="6"/>
  <c r="W29" i="5"/>
  <c r="AK376" i="6"/>
  <c r="AC376" i="6"/>
  <c r="AP376" i="6"/>
  <c r="AL376" i="6"/>
  <c r="AH376" i="6"/>
  <c r="AD376" i="6"/>
  <c r="Z376" i="6"/>
  <c r="V376" i="6"/>
  <c r="V356" i="6" s="1"/>
  <c r="V250" i="6"/>
  <c r="AO376" i="6"/>
  <c r="AG376" i="6"/>
  <c r="Y376" i="6"/>
  <c r="AC68" i="17"/>
  <c r="AN1745" i="6"/>
  <c r="AJ1745" i="6"/>
  <c r="AF1745" i="6"/>
  <c r="AB1745" i="6"/>
  <c r="AM1693" i="6"/>
  <c r="AI1693" i="6"/>
  <c r="AE1693" i="6"/>
  <c r="AA1693" i="6"/>
  <c r="AL1641" i="6"/>
  <c r="AH1641" i="6"/>
  <c r="AD1641" i="6"/>
  <c r="AO1745" i="6"/>
  <c r="AI1745" i="6"/>
  <c r="AD1745" i="6"/>
  <c r="AK1693" i="6"/>
  <c r="AF1693" i="6"/>
  <c r="AO1641" i="6"/>
  <c r="AJ1641" i="6"/>
  <c r="AE1641" i="6"/>
  <c r="AM1745" i="6"/>
  <c r="AH1745" i="6"/>
  <c r="AC1745" i="6"/>
  <c r="AO1693" i="6"/>
  <c r="AJ1693" i="6"/>
  <c r="AD1693" i="6"/>
  <c r="AN1641" i="6"/>
  <c r="AI1641" i="6"/>
  <c r="AC1641" i="6"/>
  <c r="Z1587" i="6"/>
  <c r="AL1745" i="6"/>
  <c r="AG1745" i="6"/>
  <c r="AA1745" i="6"/>
  <c r="AN1693" i="6"/>
  <c r="AH1693" i="6"/>
  <c r="AC1693" i="6"/>
  <c r="AM1641" i="6"/>
  <c r="AG1641" i="6"/>
  <c r="AB1641" i="6"/>
  <c r="Y1587" i="6"/>
  <c r="AP1745" i="6"/>
  <c r="AK1745" i="6"/>
  <c r="AE1745" i="6"/>
  <c r="AL1693" i="6"/>
  <c r="AG1693" i="6"/>
  <c r="AB1693" i="6"/>
  <c r="AK1641" i="6"/>
  <c r="AF1641" i="6"/>
  <c r="AA1641" i="6"/>
  <c r="X1587" i="6"/>
  <c r="X1562" i="6" s="1"/>
  <c r="AB1561" i="6"/>
  <c r="AC90" i="13"/>
  <c r="Q2" i="17"/>
  <c r="S1132" i="6"/>
  <c r="S1112" i="6" s="1"/>
  <c r="AD84" i="22"/>
  <c r="V1839" i="6"/>
  <c r="V1840" i="6"/>
  <c r="AK26" i="7"/>
  <c r="AL23" i="7"/>
  <c r="Q17" i="22"/>
  <c r="S2228" i="6"/>
  <c r="AD60" i="15"/>
  <c r="AE60" i="15" s="1"/>
  <c r="AE80" i="14"/>
  <c r="AF80" i="14" s="1"/>
  <c r="AA1110" i="6"/>
  <c r="AB1103" i="6"/>
  <c r="AA1109" i="6"/>
  <c r="AB9" i="5"/>
  <c r="S1614" i="6"/>
  <c r="S1615" i="6"/>
  <c r="P2" i="19"/>
  <c r="AH1739" i="6"/>
  <c r="AD1739" i="6"/>
  <c r="Z1739" i="6"/>
  <c r="V1739" i="6"/>
  <c r="AI1687" i="6"/>
  <c r="AE1687" i="6"/>
  <c r="AA1687" i="6"/>
  <c r="W1687" i="6"/>
  <c r="AH1635" i="6"/>
  <c r="AD1635" i="6"/>
  <c r="Z1635" i="6"/>
  <c r="V1635" i="6"/>
  <c r="AI1739" i="6"/>
  <c r="AC1739" i="6"/>
  <c r="X1739" i="6"/>
  <c r="AD1687" i="6"/>
  <c r="Y1687" i="6"/>
  <c r="AI1635" i="6"/>
  <c r="AC1635" i="6"/>
  <c r="X1635" i="6"/>
  <c r="AG1739" i="6"/>
  <c r="AB1739" i="6"/>
  <c r="W1739" i="6"/>
  <c r="AH1687" i="6"/>
  <c r="AC1687" i="6"/>
  <c r="X1687" i="6"/>
  <c r="AG1635" i="6"/>
  <c r="AB1635" i="6"/>
  <c r="W1635" i="6"/>
  <c r="R1581" i="6"/>
  <c r="AF1739" i="6"/>
  <c r="AA1739" i="6"/>
  <c r="U1739" i="6"/>
  <c r="AG1687" i="6"/>
  <c r="AB1687" i="6"/>
  <c r="V1687" i="6"/>
  <c r="AF1635" i="6"/>
  <c r="AA1635" i="6"/>
  <c r="U1635" i="6"/>
  <c r="AJ1739" i="6"/>
  <c r="AE1739" i="6"/>
  <c r="Y1739" i="6"/>
  <c r="AF1687" i="6"/>
  <c r="Z1687" i="6"/>
  <c r="U1687" i="6"/>
  <c r="AE1635" i="6"/>
  <c r="Y1635" i="6"/>
  <c r="R1580" i="6"/>
  <c r="R1562" i="6" s="1"/>
  <c r="R23" i="14"/>
  <c r="T415" i="6"/>
  <c r="AG67" i="14"/>
  <c r="AC198" i="14"/>
  <c r="AD198" i="14"/>
  <c r="AF79" i="18"/>
  <c r="AG79" i="18" s="1"/>
  <c r="AB71" i="19"/>
  <c r="S2064" i="6"/>
  <c r="S2065" i="6"/>
  <c r="AH67" i="22"/>
  <c r="R2" i="15"/>
  <c r="Y838" i="6"/>
  <c r="AI786" i="6"/>
  <c r="AE786" i="6"/>
  <c r="AA786" i="6"/>
  <c r="W786" i="6"/>
  <c r="AJ734" i="6"/>
  <c r="AF734" i="6"/>
  <c r="AB734" i="6"/>
  <c r="X734" i="6"/>
  <c r="X838" i="6"/>
  <c r="AH786" i="6"/>
  <c r="AD786" i="6"/>
  <c r="Z786" i="6"/>
  <c r="V786" i="6"/>
  <c r="AI734" i="6"/>
  <c r="AE734" i="6"/>
  <c r="AA734" i="6"/>
  <c r="W734" i="6"/>
  <c r="T680" i="6"/>
  <c r="AA838" i="6"/>
  <c r="AA818" i="6" s="1"/>
  <c r="W838" i="6"/>
  <c r="AG786" i="6"/>
  <c r="AC786" i="6"/>
  <c r="Y786" i="6"/>
  <c r="AH734" i="6"/>
  <c r="AD734" i="6"/>
  <c r="Z734" i="6"/>
  <c r="V734" i="6"/>
  <c r="T679" i="6"/>
  <c r="T660" i="6" s="1"/>
  <c r="Z838" i="6"/>
  <c r="V838" i="6"/>
  <c r="AJ786" i="6"/>
  <c r="AF786" i="6"/>
  <c r="AB786" i="6"/>
  <c r="X786" i="6"/>
  <c r="AG734" i="6"/>
  <c r="AC734" i="6"/>
  <c r="Y734" i="6"/>
  <c r="AB79" i="14"/>
  <c r="AA126" i="14"/>
  <c r="AD128" i="14"/>
  <c r="AE128" i="14"/>
  <c r="AC128" i="14"/>
  <c r="AB137" i="18"/>
  <c r="AE74" i="22"/>
  <c r="AC66" i="21"/>
  <c r="AD66" i="21" s="1"/>
  <c r="AG95" i="22"/>
  <c r="AH95" i="22" s="1"/>
  <c r="AI95" i="22" s="1"/>
  <c r="AJ95" i="22" s="1"/>
  <c r="AK95" i="22" s="1"/>
  <c r="AH52" i="23"/>
  <c r="AD116" i="18"/>
  <c r="AD80" i="22"/>
  <c r="AF71" i="13"/>
  <c r="AJ62" i="15"/>
  <c r="AK62" i="15" s="1"/>
  <c r="AC70" i="14"/>
  <c r="AF47" i="21"/>
  <c r="AE90" i="22"/>
  <c r="AD61" i="21"/>
  <c r="AE105" i="21"/>
  <c r="AF105" i="21" s="1"/>
  <c r="AB88" i="22"/>
  <c r="AG128" i="22"/>
  <c r="AF111" i="22"/>
  <c r="AE79" i="22"/>
  <c r="AE203" i="14"/>
  <c r="AB46" i="15"/>
  <c r="AI187" i="14"/>
  <c r="AE48" i="21"/>
  <c r="AB196" i="14"/>
  <c r="AF62" i="15"/>
  <c r="AB96" i="13"/>
  <c r="AE120" i="13"/>
  <c r="AD52" i="21"/>
  <c r="AF100" i="22"/>
  <c r="AD94" i="14"/>
  <c r="Z414" i="6"/>
  <c r="Z420" i="6"/>
  <c r="Z415" i="6"/>
  <c r="AA4" i="5"/>
  <c r="Z418" i="6"/>
  <c r="Z421" i="6"/>
  <c r="Z417" i="6"/>
  <c r="AA412" i="6"/>
  <c r="AA5" i="5"/>
  <c r="V355" i="6"/>
  <c r="AP321" i="6"/>
  <c r="AL321" i="6"/>
  <c r="AH321" i="6"/>
  <c r="AD321" i="6"/>
  <c r="Z321" i="6"/>
  <c r="V321" i="6"/>
  <c r="AQ269" i="6"/>
  <c r="AM269" i="6"/>
  <c r="AI269" i="6"/>
  <c r="AE269" i="6"/>
  <c r="AA269" i="6"/>
  <c r="W269" i="6"/>
  <c r="AM321" i="6"/>
  <c r="AA321" i="6"/>
  <c r="AR269" i="6"/>
  <c r="AJ269" i="6"/>
  <c r="AB269" i="6"/>
  <c r="T269" i="6"/>
  <c r="T251" i="6" s="1" a="1"/>
  <c r="T251" i="6" s="1"/>
  <c r="AO321" i="6"/>
  <c r="AK321" i="6"/>
  <c r="AG321" i="6"/>
  <c r="AC321" i="6"/>
  <c r="Y321" i="6"/>
  <c r="U321" i="6"/>
  <c r="U303" i="6" s="1" a="1"/>
  <c r="U303" i="6" s="1"/>
  <c r="AP269" i="6"/>
  <c r="AL269" i="6"/>
  <c r="AH269" i="6"/>
  <c r="AD269" i="6"/>
  <c r="Z269" i="6"/>
  <c r="V269" i="6"/>
  <c r="AI321" i="6"/>
  <c r="W321" i="6"/>
  <c r="AR321" i="6"/>
  <c r="AN321" i="6"/>
  <c r="AJ321" i="6"/>
  <c r="AF321" i="6"/>
  <c r="AB321" i="6"/>
  <c r="X321" i="6"/>
  <c r="T321" i="6"/>
  <c r="T303" i="6" s="1" a="1"/>
  <c r="T303" i="6" s="1"/>
  <c r="AO269" i="6"/>
  <c r="AK269" i="6"/>
  <c r="AG269" i="6"/>
  <c r="AC269" i="6"/>
  <c r="Y269" i="6"/>
  <c r="U269" i="6"/>
  <c r="U251" i="6" s="1" a="1"/>
  <c r="U251" i="6" s="1"/>
  <c r="U409" i="6" s="1"/>
  <c r="AQ321" i="6"/>
  <c r="AE321" i="6"/>
  <c r="AN269" i="6"/>
  <c r="AF269" i="6"/>
  <c r="X269" i="6"/>
  <c r="AG110" i="13"/>
  <c r="AH110" i="13" s="1"/>
  <c r="Q17" i="19"/>
  <c r="S1557" i="6"/>
  <c r="AJ160" i="18"/>
  <c r="AE125" i="22"/>
  <c r="AC100" i="13"/>
  <c r="AC132" i="18"/>
  <c r="AG75" i="22"/>
  <c r="AF82" i="22"/>
  <c r="AI81" i="14"/>
  <c r="Q19" i="17"/>
  <c r="S1105" i="6"/>
  <c r="AE85" i="14"/>
  <c r="AD114" i="18"/>
  <c r="AO1969" i="6"/>
  <c r="AK1969" i="6"/>
  <c r="AG1969" i="6"/>
  <c r="AC1969" i="6"/>
  <c r="AM1917" i="6"/>
  <c r="AI1917" i="6"/>
  <c r="AE1917" i="6"/>
  <c r="AA1917" i="6"/>
  <c r="AL1865" i="6"/>
  <c r="AH1865" i="6"/>
  <c r="AD1865" i="6"/>
  <c r="Z1865" i="6"/>
  <c r="AN1969" i="6"/>
  <c r="AJ1969" i="6"/>
  <c r="AF1969" i="6"/>
  <c r="AB1969" i="6"/>
  <c r="AL1917" i="6"/>
  <c r="AH1917" i="6"/>
  <c r="AD1917" i="6"/>
  <c r="Z1917" i="6"/>
  <c r="AK1865" i="6"/>
  <c r="AG1865" i="6"/>
  <c r="AC1865" i="6"/>
  <c r="W1811" i="6"/>
  <c r="W1787" i="6" s="1"/>
  <c r="AM1969" i="6"/>
  <c r="AI1969" i="6"/>
  <c r="AE1969" i="6"/>
  <c r="AA1969" i="6"/>
  <c r="AK1917" i="6"/>
  <c r="AG1917" i="6"/>
  <c r="AC1917" i="6"/>
  <c r="AN1865" i="6"/>
  <c r="AJ1865" i="6"/>
  <c r="AF1865" i="6"/>
  <c r="AB1865" i="6"/>
  <c r="AD1969" i="6"/>
  <c r="AJ1917" i="6"/>
  <c r="AI1865" i="6"/>
  <c r="Y1811" i="6"/>
  <c r="AA1786" i="6"/>
  <c r="Z1969" i="6"/>
  <c r="AF1917" i="6"/>
  <c r="AE1865" i="6"/>
  <c r="X1811" i="6"/>
  <c r="AL1969" i="6"/>
  <c r="AB1917" i="6"/>
  <c r="AA1865" i="6"/>
  <c r="AH1969" i="6"/>
  <c r="AN1917" i="6"/>
  <c r="AM1865" i="6"/>
  <c r="AC54" i="16"/>
  <c r="AD54" i="16" s="1"/>
  <c r="AG82" i="18"/>
  <c r="AB161" i="18"/>
  <c r="AC161" i="18"/>
  <c r="AB49" i="19"/>
  <c r="AE106" i="18"/>
  <c r="AE73" i="15"/>
  <c r="AD67" i="21"/>
  <c r="AG96" i="18"/>
  <c r="AD134" i="18"/>
  <c r="AG47" i="21"/>
  <c r="AB123" i="22"/>
  <c r="P16" i="6"/>
  <c r="Z56" i="14"/>
  <c r="AE51" i="17"/>
  <c r="AC118" i="13"/>
  <c r="AE73" i="22"/>
  <c r="AB61" i="22"/>
  <c r="AC61" i="22" s="1"/>
  <c r="AE51" i="13"/>
  <c r="T15" i="9"/>
  <c r="U2671" i="6" s="1"/>
  <c r="U20" i="9"/>
  <c r="V20" i="9"/>
  <c r="AD62" i="22"/>
  <c r="Q24" i="13"/>
  <c r="S10" i="6"/>
  <c r="AQ2969" i="6"/>
  <c r="AM2969" i="6"/>
  <c r="AI2969" i="6"/>
  <c r="AE2969" i="6"/>
  <c r="AA2969" i="6"/>
  <c r="AP2969" i="6"/>
  <c r="AL2969" i="6"/>
  <c r="AH2969" i="6"/>
  <c r="AD2969" i="6"/>
  <c r="Z2969" i="6"/>
  <c r="AO2969" i="6"/>
  <c r="AG2969" i="6"/>
  <c r="Y2969" i="6"/>
  <c r="Y2946" i="6" s="1"/>
  <c r="AN2969" i="6"/>
  <c r="AF2969" i="6"/>
  <c r="Y2840" i="6"/>
  <c r="AS2969" i="6"/>
  <c r="AK2969" i="6"/>
  <c r="AC2969" i="6"/>
  <c r="AR2969" i="6"/>
  <c r="AJ2969" i="6"/>
  <c r="AB2969" i="6"/>
  <c r="Y2839" i="6"/>
  <c r="Z3171" i="6"/>
  <c r="AJ50" i="18"/>
  <c r="AF58" i="22"/>
  <c r="AB1554" i="6"/>
  <c r="AC151" i="14"/>
  <c r="AD101" i="13"/>
  <c r="AD105" i="13"/>
  <c r="AE134" i="18"/>
  <c r="AF134" i="18" s="1"/>
  <c r="AE146" i="18"/>
  <c r="AD70" i="21"/>
  <c r="AB36" i="22"/>
  <c r="AC38" i="22"/>
  <c r="AD38" i="22"/>
  <c r="AA36" i="22"/>
  <c r="AG126" i="22"/>
  <c r="AB101" i="21"/>
  <c r="AE72" i="13"/>
  <c r="AD83" i="18"/>
  <c r="AC98" i="14"/>
  <c r="AE77" i="13"/>
  <c r="AH77" i="13"/>
  <c r="AF77" i="13"/>
  <c r="AG77" i="13" s="1"/>
  <c r="AF118" i="18"/>
  <c r="AG118" i="18" s="1"/>
  <c r="AE118" i="18"/>
  <c r="Q17" i="20"/>
  <c r="S1782" i="6"/>
  <c r="AB64" i="15"/>
  <c r="AE95" i="21"/>
  <c r="AE71" i="13"/>
  <c r="AB71" i="14"/>
  <c r="AE78" i="18"/>
  <c r="AF127" i="18"/>
  <c r="AG62" i="20"/>
  <c r="AD60" i="21"/>
  <c r="AH63" i="22"/>
  <c r="AC53" i="22"/>
  <c r="AB68" i="15"/>
  <c r="AF54" i="20"/>
  <c r="AD70" i="19"/>
  <c r="AH55" i="22"/>
  <c r="AH64" i="13"/>
  <c r="AG92" i="13"/>
  <c r="AD65" i="22"/>
  <c r="AE65" i="22"/>
  <c r="AC63" i="14"/>
  <c r="AC93" i="14"/>
  <c r="AD72" i="21"/>
  <c r="AB73" i="18"/>
  <c r="AD43" i="20"/>
  <c r="AD106" i="14"/>
  <c r="AB176" i="14"/>
  <c r="AF50" i="17"/>
  <c r="AG60" i="18"/>
  <c r="AF93" i="21"/>
  <c r="AC101" i="18"/>
  <c r="AD73" i="21"/>
  <c r="AC168" i="14"/>
  <c r="AD200" i="14"/>
  <c r="AC86" i="13"/>
  <c r="AB62" i="16"/>
  <c r="AD62" i="16"/>
  <c r="AB55" i="18"/>
  <c r="AG115" i="13"/>
  <c r="AH115" i="13" s="1"/>
  <c r="AG74" i="18"/>
  <c r="AJ74" i="18"/>
  <c r="AG110" i="22"/>
  <c r="AH110" i="22" s="1"/>
  <c r="AI110" i="22" s="1"/>
  <c r="AF51" i="13"/>
  <c r="AD61" i="14"/>
  <c r="AD93" i="14"/>
  <c r="AD101" i="14"/>
  <c r="AB188" i="14"/>
  <c r="AC188" i="14"/>
  <c r="AB61" i="17"/>
  <c r="AB132" i="14"/>
  <c r="AC132" i="14" s="1"/>
  <c r="AM2195" i="6"/>
  <c r="AI2195" i="6"/>
  <c r="AE2195" i="6"/>
  <c r="AA2195" i="6"/>
  <c r="AL2143" i="6"/>
  <c r="AH2143" i="6"/>
  <c r="AD2143" i="6"/>
  <c r="AO2091" i="6"/>
  <c r="AK2091" i="6"/>
  <c r="AG2091" i="6"/>
  <c r="AC2091" i="6"/>
  <c r="AP2195" i="6"/>
  <c r="AL2195" i="6"/>
  <c r="AH2195" i="6"/>
  <c r="AD2195" i="6"/>
  <c r="AO2143" i="6"/>
  <c r="AK2143" i="6"/>
  <c r="AG2143" i="6"/>
  <c r="AC2143" i="6"/>
  <c r="AN2091" i="6"/>
  <c r="AJ2091" i="6"/>
  <c r="AF2091" i="6"/>
  <c r="AB2091" i="6"/>
  <c r="Z2037" i="6"/>
  <c r="AO2195" i="6"/>
  <c r="AK2195" i="6"/>
  <c r="AG2195" i="6"/>
  <c r="AC2195" i="6"/>
  <c r="AN2143" i="6"/>
  <c r="AJ2143" i="6"/>
  <c r="AF2143" i="6"/>
  <c r="AB2143" i="6"/>
  <c r="AM2091" i="6"/>
  <c r="AI2091" i="6"/>
  <c r="AE2091" i="6"/>
  <c r="AA2091" i="6"/>
  <c r="Y2037" i="6"/>
  <c r="AN2195" i="6"/>
  <c r="AE2143" i="6"/>
  <c r="AD2091" i="6"/>
  <c r="AJ2195" i="6"/>
  <c r="AA2143" i="6"/>
  <c r="X2037" i="6"/>
  <c r="X2012" i="6" s="1"/>
  <c r="AB2011" i="6"/>
  <c r="AF2195" i="6"/>
  <c r="AM2143" i="6"/>
  <c r="AL2091" i="6"/>
  <c r="AB2195" i="6"/>
  <c r="AI2143" i="6"/>
  <c r="AH2091" i="6"/>
  <c r="AB157" i="14"/>
  <c r="AF42" i="15"/>
  <c r="AE80" i="13"/>
  <c r="AF51" i="17"/>
  <c r="AB123" i="18"/>
  <c r="AD122" i="22"/>
  <c r="AC68" i="12"/>
  <c r="AG64" i="17"/>
  <c r="AE70" i="17"/>
  <c r="AC104" i="14"/>
  <c r="AE59" i="18"/>
  <c r="AC67" i="18"/>
  <c r="AD71" i="15"/>
  <c r="AD54" i="13"/>
  <c r="AD121" i="18"/>
  <c r="AE69" i="15"/>
  <c r="AC189" i="14"/>
  <c r="AI45" i="22"/>
  <c r="AE57" i="15"/>
  <c r="AB76" i="15"/>
  <c r="AC76" i="15"/>
  <c r="AF68" i="18"/>
  <c r="AD139" i="18"/>
  <c r="AB66" i="14"/>
  <c r="AC62" i="16"/>
  <c r="AH143" i="14"/>
  <c r="AD43" i="18"/>
  <c r="AD87" i="14"/>
  <c r="AE42" i="21"/>
  <c r="AC81" i="13"/>
  <c r="AC58" i="13"/>
  <c r="AE107" i="18"/>
  <c r="AB141" i="18"/>
  <c r="AD126" i="18"/>
  <c r="AB107" i="14"/>
  <c r="AD145" i="14"/>
  <c r="AD47" i="15"/>
  <c r="AF49" i="17"/>
  <c r="AH49" i="17" s="1"/>
  <c r="AG68" i="19"/>
  <c r="AH68" i="19"/>
  <c r="AF72" i="15"/>
  <c r="AG72" i="15" s="1"/>
  <c r="Q17" i="21"/>
  <c r="S2007" i="6"/>
  <c r="AB69" i="18"/>
  <c r="AI62" i="19"/>
  <c r="AH62" i="19"/>
  <c r="AD53" i="17"/>
  <c r="AD57" i="19"/>
  <c r="AG111" i="22"/>
  <c r="AD86" i="22"/>
  <c r="AD102" i="22"/>
  <c r="AB655" i="6"/>
  <c r="AC653" i="6"/>
  <c r="AC6" i="5"/>
  <c r="AB658" i="6"/>
  <c r="AB2450" i="6"/>
  <c r="AB2449" i="6"/>
  <c r="AC2448" i="6"/>
  <c r="AC16" i="5"/>
  <c r="AF82" i="18"/>
  <c r="AK22" i="13"/>
  <c r="AL21" i="13"/>
  <c r="D2674" i="6" a="1"/>
  <c r="D2674" i="6" s="1"/>
  <c r="D2726" i="6" a="1"/>
  <c r="D2726" i="6" s="1"/>
  <c r="D2832" i="6" s="1"/>
  <c r="Q2674" i="6" a="1"/>
  <c r="Q2674" i="6" s="1"/>
  <c r="Z38" i="11"/>
  <c r="AH105" i="14"/>
  <c r="AK50" i="18"/>
  <c r="AF63" i="19"/>
  <c r="AD64" i="14"/>
  <c r="AG136" i="18"/>
  <c r="AC59" i="18"/>
  <c r="AF98" i="18"/>
  <c r="AF87" i="21"/>
  <c r="AB117" i="18"/>
  <c r="AD67" i="15"/>
  <c r="AE112" i="22"/>
  <c r="AC98" i="21"/>
  <c r="AF65" i="15"/>
  <c r="AJ67" i="19"/>
  <c r="AK67" i="19" s="1"/>
  <c r="AL67" i="19" s="1"/>
  <c r="AF56" i="21"/>
  <c r="AE100" i="22"/>
  <c r="AB59" i="19"/>
  <c r="AC122" i="14"/>
  <c r="AD162" i="14"/>
  <c r="AB172" i="14"/>
  <c r="AD85" i="14"/>
  <c r="AE57" i="17"/>
  <c r="AG61" i="19"/>
  <c r="AH61" i="19" s="1"/>
  <c r="AI61" i="19" s="1"/>
  <c r="AJ61" i="19" s="1"/>
  <c r="AK61" i="19" s="1"/>
  <c r="AL61" i="19" s="1"/>
  <c r="AC68" i="14"/>
  <c r="AB74" i="15"/>
  <c r="AE89" i="13"/>
  <c r="AF75" i="14"/>
  <c r="AD57" i="18"/>
  <c r="R2726" i="6" a="1"/>
  <c r="R2726" i="6" s="1"/>
  <c r="R2832" i="6" s="1"/>
  <c r="AF51" i="16"/>
  <c r="AC195" i="14"/>
  <c r="AH53" i="13"/>
  <c r="AI53" i="13" s="1"/>
  <c r="AG53" i="13"/>
  <c r="AF45" i="18"/>
  <c r="AJ112" i="13"/>
  <c r="AD50" i="15"/>
  <c r="AB111" i="14"/>
  <c r="AF125" i="18"/>
  <c r="AC138" i="18"/>
  <c r="AC3004" i="6"/>
  <c r="AE127" i="18"/>
  <c r="AC55" i="20"/>
  <c r="AH128" i="22"/>
  <c r="AE57" i="20"/>
  <c r="AC52" i="15"/>
  <c r="AB56" i="15"/>
  <c r="AE89" i="21"/>
  <c r="AF89" i="21"/>
  <c r="AG89" i="21" s="1"/>
  <c r="AO2639" i="6"/>
  <c r="AK2639" i="6"/>
  <c r="AG2639" i="6"/>
  <c r="AC2639" i="6"/>
  <c r="AO2587" i="6"/>
  <c r="AK2587" i="6"/>
  <c r="AG2587" i="6"/>
  <c r="AC2587" i="6"/>
  <c r="AN2535" i="6"/>
  <c r="AJ2535" i="6"/>
  <c r="AF2535" i="6"/>
  <c r="AN2639" i="6"/>
  <c r="AI2639" i="6"/>
  <c r="AD2639" i="6"/>
  <c r="AQ2587" i="6"/>
  <c r="AL2587" i="6"/>
  <c r="AF2587" i="6"/>
  <c r="AM2535" i="6"/>
  <c r="AH2535" i="6"/>
  <c r="AC2535" i="6"/>
  <c r="AR2639" i="6"/>
  <c r="AM2639" i="6"/>
  <c r="AH2639" i="6"/>
  <c r="AP2587" i="6"/>
  <c r="AJ2587" i="6"/>
  <c r="AE2587" i="6"/>
  <c r="AQ2535" i="6"/>
  <c r="AL2535" i="6"/>
  <c r="AG2535" i="6"/>
  <c r="AQ2639" i="6"/>
  <c r="AL2639" i="6"/>
  <c r="AF2639" i="6"/>
  <c r="AN2587" i="6"/>
  <c r="AI2587" i="6"/>
  <c r="AD2587" i="6"/>
  <c r="AP2535" i="6"/>
  <c r="AK2535" i="6"/>
  <c r="AE2535" i="6"/>
  <c r="AJ2639" i="6"/>
  <c r="AI2535" i="6"/>
  <c r="AE2639" i="6"/>
  <c r="AD2535" i="6"/>
  <c r="AM2587" i="6"/>
  <c r="AB2481" i="6"/>
  <c r="AB2454" i="6" s="1"/>
  <c r="AP2639" i="6"/>
  <c r="AH2587" i="6"/>
  <c r="AO2535" i="6"/>
  <c r="AD2453" i="6"/>
  <c r="AD21" i="5"/>
  <c r="AB51" i="20"/>
  <c r="AJ30" i="14"/>
  <c r="AI32" i="14"/>
  <c r="T1337" i="6"/>
  <c r="AD102" i="14"/>
  <c r="AE102" i="14" s="1"/>
  <c r="AC51" i="20"/>
  <c r="AC148" i="14"/>
  <c r="S302" i="10"/>
  <c r="T226" i="10"/>
  <c r="T302" i="10" s="1"/>
  <c r="S937" i="6"/>
  <c r="S938" i="6"/>
  <c r="AB144" i="14"/>
  <c r="AH33" i="14"/>
  <c r="AI31" i="14"/>
  <c r="Q39" i="23"/>
  <c r="R2451" i="6" s="1"/>
  <c r="Q32" i="22"/>
  <c r="R2230" i="6" s="1"/>
  <c r="Q32" i="21"/>
  <c r="R2009" i="6" s="1"/>
  <c r="Q32" i="20"/>
  <c r="R1784" i="6" s="1"/>
  <c r="Q32" i="19"/>
  <c r="R1559" i="6" s="1"/>
  <c r="Q37" i="17"/>
  <c r="R1109" i="6" s="1"/>
  <c r="Q49" i="14"/>
  <c r="R420" i="6" s="1"/>
  <c r="Q32" i="18"/>
  <c r="R1334" i="6" s="1"/>
  <c r="Q42" i="16"/>
  <c r="R882" i="6" s="1"/>
  <c r="Q34" i="15"/>
  <c r="R657" i="6" s="1"/>
  <c r="Q41" i="13"/>
  <c r="R13" i="6" s="1"/>
  <c r="P7" i="7"/>
  <c r="V24" i="17"/>
  <c r="V1107" i="6"/>
  <c r="W18" i="5" s="1"/>
  <c r="AO1294" i="6"/>
  <c r="AK1294" i="6"/>
  <c r="AG1294" i="6"/>
  <c r="AC1294" i="6"/>
  <c r="AN1242" i="6"/>
  <c r="AJ1242" i="6"/>
  <c r="AF1242" i="6"/>
  <c r="AB1242" i="6"/>
  <c r="AK1190" i="6"/>
  <c r="AG1190" i="6"/>
  <c r="AC1190" i="6"/>
  <c r="V1136" i="6"/>
  <c r="AN1294" i="6"/>
  <c r="AJ1294" i="6"/>
  <c r="AF1294" i="6"/>
  <c r="AB1294" i="6"/>
  <c r="AM1242" i="6"/>
  <c r="AI1242" i="6"/>
  <c r="AE1242" i="6"/>
  <c r="AA1242" i="6"/>
  <c r="AN1190" i="6"/>
  <c r="AJ1190" i="6"/>
  <c r="AF1190" i="6"/>
  <c r="AB1190" i="6"/>
  <c r="Y1136" i="6"/>
  <c r="U1136" i="6"/>
  <c r="AM1294" i="6"/>
  <c r="AI1294" i="6"/>
  <c r="AE1294" i="6"/>
  <c r="AA1294" i="6"/>
  <c r="AL1242" i="6"/>
  <c r="AH1242" i="6"/>
  <c r="AD1242" i="6"/>
  <c r="Z1242" i="6"/>
  <c r="AM1190" i="6"/>
  <c r="AI1190" i="6"/>
  <c r="AE1190" i="6"/>
  <c r="AA1190" i="6"/>
  <c r="X1136" i="6"/>
  <c r="T1136" i="6"/>
  <c r="T1112" i="6" s="1"/>
  <c r="AA1111" i="6"/>
  <c r="AL1294" i="6"/>
  <c r="AH1294" i="6"/>
  <c r="AD1294" i="6"/>
  <c r="Z1294" i="6"/>
  <c r="AK1242" i="6"/>
  <c r="AG1242" i="6"/>
  <c r="AC1242" i="6"/>
  <c r="AL1190" i="6"/>
  <c r="AH1190" i="6"/>
  <c r="AD1190" i="6"/>
  <c r="Z1190" i="6"/>
  <c r="W1136" i="6"/>
  <c r="AC39" i="20"/>
  <c r="AE149" i="18"/>
  <c r="J302" i="10"/>
  <c r="I226" i="10"/>
  <c r="AE119" i="18"/>
  <c r="X713" i="6"/>
  <c r="X712" i="6"/>
  <c r="AG80" i="18"/>
  <c r="AE85" i="18"/>
  <c r="AF75" i="20"/>
  <c r="AC72" i="22"/>
  <c r="AB84" i="22"/>
  <c r="AD110" i="14"/>
  <c r="AF66" i="13"/>
  <c r="AG66" i="13" s="1"/>
  <c r="AE51" i="16"/>
  <c r="AC131" i="14"/>
  <c r="AF59" i="18"/>
  <c r="AG109" i="14"/>
  <c r="AC121" i="14"/>
  <c r="AD121" i="14"/>
  <c r="AG43" i="15"/>
  <c r="AH43" i="15" s="1"/>
  <c r="AC111" i="18"/>
  <c r="AD65" i="16"/>
  <c r="AE148" i="18"/>
  <c r="AG90" i="22"/>
  <c r="AC105" i="18"/>
  <c r="AF91" i="13"/>
  <c r="AB48" i="15"/>
  <c r="AE52" i="16"/>
  <c r="AF52" i="16" s="1"/>
  <c r="AC52" i="17"/>
  <c r="AE63" i="21"/>
  <c r="AF63" i="21" s="1"/>
  <c r="AI64" i="13"/>
  <c r="AF64" i="13"/>
  <c r="AG64" i="13"/>
  <c r="AE80" i="22"/>
  <c r="AC1330" i="6"/>
  <c r="AB1334" i="6"/>
  <c r="AC10" i="5"/>
  <c r="AB47" i="18"/>
  <c r="AC75" i="18"/>
  <c r="AE60" i="19"/>
  <c r="AE130" i="18"/>
  <c r="AC145" i="18"/>
  <c r="AC69" i="17"/>
  <c r="AB63" i="20"/>
  <c r="AE116" i="14"/>
  <c r="AF116" i="14" s="1"/>
  <c r="AI179" i="14"/>
  <c r="AJ179" i="14" s="1"/>
  <c r="AD40" i="19"/>
  <c r="AD78" i="13"/>
  <c r="AF126" i="18"/>
  <c r="AC50" i="22"/>
  <c r="Z35" i="5"/>
  <c r="Y416" i="6"/>
  <c r="AC153" i="14"/>
  <c r="AD153" i="14" s="1"/>
  <c r="T409" i="6"/>
  <c r="AB63" i="14"/>
  <c r="AG74" i="14"/>
  <c r="AH74" i="14" s="1"/>
  <c r="AC144" i="14"/>
  <c r="AG47" i="17"/>
  <c r="AD108" i="18"/>
  <c r="AE108" i="18"/>
  <c r="AF48" i="21"/>
  <c r="AE62" i="18"/>
  <c r="AC62" i="18"/>
  <c r="AF62" i="18" s="1"/>
  <c r="AD62" i="18"/>
  <c r="AD173" i="14"/>
  <c r="AB44" i="15"/>
  <c r="AG49" i="22"/>
  <c r="AI88" i="14"/>
  <c r="AE126" i="18"/>
  <c r="AI103" i="9"/>
  <c r="AF81" i="14"/>
  <c r="AG81" i="14" s="1"/>
  <c r="AC53" i="18"/>
  <c r="AC69" i="14"/>
  <c r="AE53" i="19"/>
  <c r="AF53" i="19" s="1"/>
  <c r="AD174" i="14"/>
  <c r="AA1785" i="6"/>
  <c r="AB1780" i="6"/>
  <c r="AA1784" i="6"/>
  <c r="AB12" i="5"/>
  <c r="AG42" i="15"/>
  <c r="AH42" i="15" s="1"/>
  <c r="AE88" i="13"/>
  <c r="AG73" i="14"/>
  <c r="R25" i="16"/>
  <c r="T880" i="6"/>
  <c r="AD129" i="18"/>
  <c r="AD104" i="21"/>
  <c r="AD45" i="15"/>
  <c r="AF125" i="22"/>
  <c r="AC183" i="14"/>
  <c r="AB92" i="22"/>
  <c r="AB60" i="16"/>
  <c r="AD131" i="18"/>
  <c r="AE83" i="21"/>
  <c r="AE63" i="17"/>
  <c r="AD90" i="21"/>
  <c r="AE59" i="17"/>
  <c r="AF94" i="21"/>
  <c r="AG65" i="13"/>
  <c r="AC2006" i="6"/>
  <c r="AB2004" i="6"/>
  <c r="AB2008" i="6"/>
  <c r="AF156" i="14"/>
  <c r="AG156" i="14" s="1"/>
  <c r="AE63" i="15"/>
  <c r="AI68" i="13"/>
  <c r="AC180" i="14"/>
  <c r="AG56" i="21"/>
  <c r="AH56" i="21" s="1"/>
  <c r="AE197" i="14"/>
  <c r="AC165" i="14"/>
  <c r="AG108" i="21"/>
  <c r="AH108" i="21" s="1"/>
  <c r="AI108" i="21" s="1"/>
  <c r="AF89" i="13"/>
  <c r="Y44" i="8"/>
  <c r="Z24" i="8"/>
  <c r="AH187" i="14"/>
  <c r="AE97" i="14"/>
  <c r="AF123" i="14"/>
  <c r="AA1102" i="6"/>
  <c r="AB1104" i="6"/>
  <c r="AA1108" i="6"/>
  <c r="AH108" i="13"/>
  <c r="AJ64" i="13"/>
  <c r="AD91" i="18"/>
  <c r="AE204" i="14"/>
  <c r="AC1554" i="6"/>
  <c r="AC1558" i="6"/>
  <c r="AD1556" i="6"/>
  <c r="AB153" i="14"/>
  <c r="AE68" i="20"/>
  <c r="AD59" i="16"/>
  <c r="AH49" i="16"/>
  <c r="AI49" i="16" s="1"/>
  <c r="AH64" i="17"/>
  <c r="AE90" i="14"/>
  <c r="AE61" i="21"/>
  <c r="AF61" i="21" s="1"/>
  <c r="AI77" i="22"/>
  <c r="AG38" i="20"/>
  <c r="AH38" i="20" s="1"/>
  <c r="AD38" i="21"/>
  <c r="AE38" i="21" s="1"/>
  <c r="AC38" i="21"/>
  <c r="AD151" i="18"/>
  <c r="AC53" i="21"/>
  <c r="AD53" i="21"/>
  <c r="AE53" i="21" s="1"/>
  <c r="AE85" i="13"/>
  <c r="AC83" i="18"/>
  <c r="AC121" i="18"/>
  <c r="AB82" i="14"/>
  <c r="AD98" i="14"/>
  <c r="AB114" i="14"/>
  <c r="AF70" i="22"/>
  <c r="AB53" i="16"/>
  <c r="AD85" i="21"/>
  <c r="AB50" i="16"/>
  <c r="AD48" i="16"/>
  <c r="AC48" i="16"/>
  <c r="AE44" i="22"/>
  <c r="AD122" i="13"/>
  <c r="AE122" i="13" s="1"/>
  <c r="AC102" i="13"/>
  <c r="AF46" i="18"/>
  <c r="AF67" i="17"/>
  <c r="AB51" i="19"/>
  <c r="AC79" i="20"/>
  <c r="AA36" i="19"/>
  <c r="AF59" i="20"/>
  <c r="AI99" i="13"/>
  <c r="AE60" i="22"/>
  <c r="AC152" i="14"/>
  <c r="AG113" i="13"/>
  <c r="AH113" i="13" s="1"/>
  <c r="AC130" i="14"/>
  <c r="AF50" i="23"/>
  <c r="AF203" i="14"/>
  <c r="AC150" i="18"/>
  <c r="AD116" i="13"/>
  <c r="AB115" i="18"/>
  <c r="AG88" i="21"/>
  <c r="AG91" i="22"/>
  <c r="AH91" i="22"/>
  <c r="AG68" i="13"/>
  <c r="AE119" i="14"/>
  <c r="AF140" i="18"/>
  <c r="AB153" i="18"/>
  <c r="AE69" i="22"/>
  <c r="AE94" i="18"/>
  <c r="AF56" i="16"/>
  <c r="AF39" i="22"/>
  <c r="AG161" i="14"/>
  <c r="AE121" i="14"/>
  <c r="AK2915" i="6"/>
  <c r="AG2915" i="6"/>
  <c r="AC2915" i="6"/>
  <c r="Y2915" i="6"/>
  <c r="AJ2863" i="6"/>
  <c r="AF2863" i="6"/>
  <c r="AB2863" i="6"/>
  <c r="X2863" i="6"/>
  <c r="X2841" i="6" s="1" a="1"/>
  <c r="X2841" i="6" s="1"/>
  <c r="AL2915" i="6"/>
  <c r="AF2915" i="6"/>
  <c r="AA2915" i="6"/>
  <c r="AK2863" i="6"/>
  <c r="AE2863" i="6"/>
  <c r="Z2863" i="6"/>
  <c r="AJ2915" i="6"/>
  <c r="AE2915" i="6"/>
  <c r="Z2915" i="6"/>
  <c r="AI2863" i="6"/>
  <c r="AD2863" i="6"/>
  <c r="Y2863" i="6"/>
  <c r="AI2915" i="6"/>
  <c r="AD2915" i="6"/>
  <c r="X2915" i="6"/>
  <c r="X2893" i="6" s="1" a="1"/>
  <c r="X2893" i="6" s="1"/>
  <c r="AG2863" i="6"/>
  <c r="AH2915" i="6"/>
  <c r="AC2863" i="6"/>
  <c r="AB2915" i="6"/>
  <c r="AL2863" i="6"/>
  <c r="AA2863" i="6"/>
  <c r="AH2863" i="6"/>
  <c r="AG124" i="14"/>
  <c r="AE182" i="14"/>
  <c r="AF182" i="14" s="1"/>
  <c r="AB76" i="14"/>
  <c r="AG104" i="13"/>
  <c r="AH104" i="13" s="1"/>
  <c r="AE94" i="14"/>
  <c r="AF44" i="20"/>
  <c r="AD45" i="23"/>
  <c r="AB64" i="22"/>
  <c r="AB97" i="13"/>
  <c r="AD65" i="14"/>
  <c r="AH142" i="14"/>
  <c r="Q2" i="20"/>
  <c r="AK1965" i="6"/>
  <c r="AG1965" i="6"/>
  <c r="AC1965" i="6"/>
  <c r="Y1965" i="6"/>
  <c r="AI1913" i="6"/>
  <c r="AE1913" i="6"/>
  <c r="AA1913" i="6"/>
  <c r="W1913" i="6"/>
  <c r="AH1861" i="6"/>
  <c r="AD1861" i="6"/>
  <c r="Z1861" i="6"/>
  <c r="V1861" i="6"/>
  <c r="AJ1965" i="6"/>
  <c r="AF1965" i="6"/>
  <c r="AB1965" i="6"/>
  <c r="X1965" i="6"/>
  <c r="AH1913" i="6"/>
  <c r="AD1913" i="6"/>
  <c r="Z1913" i="6"/>
  <c r="V1913" i="6"/>
  <c r="AG1861" i="6"/>
  <c r="AC1861" i="6"/>
  <c r="Y1861" i="6"/>
  <c r="S1807" i="6"/>
  <c r="S1805" i="6"/>
  <c r="AI1965" i="6"/>
  <c r="AE1965" i="6"/>
  <c r="AA1965" i="6"/>
  <c r="W1965" i="6"/>
  <c r="AG1913" i="6"/>
  <c r="AC1913" i="6"/>
  <c r="Y1913" i="6"/>
  <c r="AJ1861" i="6"/>
  <c r="AF1861" i="6"/>
  <c r="AB1861" i="6"/>
  <c r="X1861" i="6"/>
  <c r="Z1965" i="6"/>
  <c r="AB1913" i="6"/>
  <c r="W1861" i="6"/>
  <c r="S1806" i="6"/>
  <c r="V1965" i="6"/>
  <c r="X1913" i="6"/>
  <c r="AI1861" i="6"/>
  <c r="AH1965" i="6"/>
  <c r="AJ1913" i="6"/>
  <c r="AE1861" i="6"/>
  <c r="AD1965" i="6"/>
  <c r="AF1913" i="6"/>
  <c r="AA1861" i="6"/>
  <c r="AE48" i="18"/>
  <c r="AD77" i="20"/>
  <c r="AC122" i="18"/>
  <c r="AJ42" i="20"/>
  <c r="AK42" i="20" s="1"/>
  <c r="AL42" i="20" s="1"/>
  <c r="AM42" i="20" s="1"/>
  <c r="AN42" i="20" s="1"/>
  <c r="AE40" i="21"/>
  <c r="AE100" i="21"/>
  <c r="AF61" i="13"/>
  <c r="AD121" i="22"/>
  <c r="AF67" i="16"/>
  <c r="AG67" i="16" s="1"/>
  <c r="AE66" i="16"/>
  <c r="AF66" i="16" s="1"/>
  <c r="AD66" i="16"/>
  <c r="S2506" i="6"/>
  <c r="S2507" i="6"/>
  <c r="P2" i="23"/>
  <c r="AE2629" i="6"/>
  <c r="AA2629" i="6"/>
  <c r="W2629" i="6"/>
  <c r="S2629" i="6"/>
  <c r="AG2577" i="6"/>
  <c r="AC2577" i="6"/>
  <c r="Y2577" i="6"/>
  <c r="U2577" i="6"/>
  <c r="AF2525" i="6"/>
  <c r="AB2525" i="6"/>
  <c r="X2525" i="6"/>
  <c r="T2525" i="6"/>
  <c r="AD2629" i="6"/>
  <c r="Y2629" i="6"/>
  <c r="T2629" i="6"/>
  <c r="AB2577" i="6"/>
  <c r="W2577" i="6"/>
  <c r="AD2525" i="6"/>
  <c r="Y2525" i="6"/>
  <c r="S2525" i="6"/>
  <c r="AH2629" i="6"/>
  <c r="AC2629" i="6"/>
  <c r="X2629" i="6"/>
  <c r="AF2577" i="6"/>
  <c r="AA2577" i="6"/>
  <c r="V2577" i="6"/>
  <c r="AC2525" i="6"/>
  <c r="W2525" i="6"/>
  <c r="AG2629" i="6"/>
  <c r="AB2629" i="6"/>
  <c r="V2629" i="6"/>
  <c r="AE2577" i="6"/>
  <c r="Z2577" i="6"/>
  <c r="T2577" i="6"/>
  <c r="AG2525" i="6"/>
  <c r="AA2525" i="6"/>
  <c r="V2525" i="6"/>
  <c r="U2629" i="6"/>
  <c r="X2577" i="6"/>
  <c r="Z2525" i="6"/>
  <c r="S2577" i="6"/>
  <c r="U2525" i="6"/>
  <c r="AF2629" i="6"/>
  <c r="R2471" i="6"/>
  <c r="R2454" i="6" s="1"/>
  <c r="Z2629" i="6"/>
  <c r="AD2577" i="6"/>
  <c r="AE2525" i="6"/>
  <c r="AG57" i="13"/>
  <c r="AC191" i="14"/>
  <c r="AF60" i="18"/>
  <c r="AC54" i="17"/>
  <c r="AF66" i="19"/>
  <c r="AD64" i="20"/>
  <c r="AE173" i="14"/>
  <c r="AF173" i="14" s="1"/>
  <c r="AG173" i="14" s="1"/>
  <c r="AH173" i="14" s="1"/>
  <c r="AI173" i="14" s="1"/>
  <c r="AJ173" i="14" s="1"/>
  <c r="AK173" i="14" s="1"/>
  <c r="AL173" i="14" s="1"/>
  <c r="AM173" i="14" s="1"/>
  <c r="AN173" i="14" s="1"/>
  <c r="AO173" i="14" s="1"/>
  <c r="AP173" i="14" s="1"/>
  <c r="AQ173" i="14" s="1"/>
  <c r="AR173" i="14" s="1"/>
  <c r="AS173" i="14" s="1"/>
  <c r="AT173" i="14" s="1"/>
  <c r="AH96" i="18"/>
  <c r="AF50" i="13"/>
  <c r="AH102" i="21"/>
  <c r="AE114" i="18"/>
  <c r="AC119" i="22"/>
  <c r="AE83" i="22"/>
  <c r="AF113" i="13"/>
  <c r="AF48" i="19"/>
  <c r="AC56" i="20"/>
  <c r="AD43" i="22"/>
  <c r="AA2" i="5"/>
  <c r="AA2225" i="6"/>
  <c r="Z62" i="12"/>
  <c r="AA247" i="6" s="1"/>
  <c r="AF52" i="13"/>
  <c r="AC115" i="18"/>
  <c r="AE105" i="22"/>
  <c r="AE117" i="13"/>
  <c r="AE45" i="21"/>
  <c r="R2233" i="6"/>
  <c r="O2" i="22"/>
  <c r="AG2409" i="6"/>
  <c r="AC2409" i="6"/>
  <c r="Y2409" i="6"/>
  <c r="U2409" i="6"/>
  <c r="AR2357" i="6"/>
  <c r="AN2357" i="6"/>
  <c r="AJ2357" i="6"/>
  <c r="AF2357" i="6"/>
  <c r="AB2357" i="6"/>
  <c r="X2357" i="6"/>
  <c r="T2357" i="6"/>
  <c r="AP2305" i="6"/>
  <c r="AL2305" i="6"/>
  <c r="AH2305" i="6"/>
  <c r="AD2305" i="6"/>
  <c r="Z2305" i="6"/>
  <c r="V2305" i="6"/>
  <c r="AF2409" i="6"/>
  <c r="AB2409" i="6"/>
  <c r="X2409" i="6"/>
  <c r="T2409" i="6"/>
  <c r="AQ2357" i="6"/>
  <c r="AM2357" i="6"/>
  <c r="AI2357" i="6"/>
  <c r="AE2357" i="6"/>
  <c r="AA2357" i="6"/>
  <c r="W2357" i="6"/>
  <c r="AO2305" i="6"/>
  <c r="AK2305" i="6"/>
  <c r="AG2305" i="6"/>
  <c r="AC2305" i="6"/>
  <c r="Y2305" i="6"/>
  <c r="U2305" i="6"/>
  <c r="Q2251" i="6"/>
  <c r="Q2249" i="6"/>
  <c r="Q2233" i="6" s="1"/>
  <c r="AI2409" i="6"/>
  <c r="AE2409" i="6"/>
  <c r="AA2409" i="6"/>
  <c r="W2409" i="6"/>
  <c r="AP2357" i="6"/>
  <c r="AL2357" i="6"/>
  <c r="AH2357" i="6"/>
  <c r="AD2357" i="6"/>
  <c r="Z2357" i="6"/>
  <c r="V2357" i="6"/>
  <c r="AR2305" i="6"/>
  <c r="AN2305" i="6"/>
  <c r="AJ2305" i="6"/>
  <c r="AF2305" i="6"/>
  <c r="AB2305" i="6"/>
  <c r="X2305" i="6"/>
  <c r="T2305" i="6"/>
  <c r="AH2409" i="6"/>
  <c r="AD2409" i="6"/>
  <c r="Z2409" i="6"/>
  <c r="V2409" i="6"/>
  <c r="AO2357" i="6"/>
  <c r="AK2357" i="6"/>
  <c r="AG2357" i="6"/>
  <c r="AC2357" i="6"/>
  <c r="Y2357" i="6"/>
  <c r="U2357" i="6"/>
  <c r="AQ2305" i="6"/>
  <c r="AM2305" i="6"/>
  <c r="AI2305" i="6"/>
  <c r="AE2305" i="6"/>
  <c r="AA2305" i="6"/>
  <c r="W2305" i="6"/>
  <c r="Q2250" i="6"/>
  <c r="AE72" i="14"/>
  <c r="AD103" i="18"/>
  <c r="AF65" i="17"/>
  <c r="AD185" i="14"/>
  <c r="AL49" i="18"/>
  <c r="AF59" i="15"/>
  <c r="O2449" i="6"/>
  <c r="O2450" i="6"/>
  <c r="P16" i="5"/>
  <c r="AC40" i="20"/>
  <c r="AC60" i="9"/>
  <c r="AG48" i="22"/>
  <c r="AB52" i="20"/>
  <c r="AD57" i="22"/>
  <c r="AE81" i="20"/>
  <c r="AC113" i="14"/>
  <c r="AC78" i="22"/>
  <c r="Q38" i="23"/>
  <c r="Q31" i="22"/>
  <c r="Q31" i="21"/>
  <c r="Q31" i="20"/>
  <c r="Q31" i="19"/>
  <c r="Q36" i="17"/>
  <c r="Q31" i="18"/>
  <c r="Q41" i="16"/>
  <c r="Q33" i="15"/>
  <c r="Q48" i="14"/>
  <c r="Q40" i="13"/>
  <c r="P6" i="7"/>
  <c r="T423" i="6"/>
  <c r="AF83" i="14"/>
  <c r="V17" i="5"/>
  <c r="V24" i="5" s="1"/>
  <c r="V42" i="5" s="1"/>
  <c r="Y72" i="9"/>
  <c r="Y71" i="9"/>
  <c r="Z2838" i="6"/>
  <c r="G2674" i="6" a="1"/>
  <c r="G2674" i="6" s="1"/>
  <c r="H2674" i="6" a="1"/>
  <c r="H2674" i="6" s="1"/>
  <c r="I2726" i="6" a="1"/>
  <c r="I2726" i="6" s="1"/>
  <c r="I2833" i="6" s="1"/>
  <c r="P2726" i="6" a="1"/>
  <c r="P2726" i="6" s="1"/>
  <c r="P2832" i="6" s="1"/>
  <c r="E2674" i="6" a="1"/>
  <c r="E2674" i="6" s="1"/>
  <c r="F2726" i="6" a="1"/>
  <c r="F2726" i="6" s="1"/>
  <c r="F2833" i="6" s="1"/>
  <c r="Y3171" i="6"/>
  <c r="AA38" i="11"/>
  <c r="AG75" i="20"/>
  <c r="AF75" i="21"/>
  <c r="AC84" i="22"/>
  <c r="AE58" i="18"/>
  <c r="AD58" i="18"/>
  <c r="AG104" i="22"/>
  <c r="AG75" i="14"/>
  <c r="AD61" i="18"/>
  <c r="AI39" i="21"/>
  <c r="AF110" i="22"/>
  <c r="AH106" i="13"/>
  <c r="AC63" i="20"/>
  <c r="AG55" i="17"/>
  <c r="AH62" i="13"/>
  <c r="AD41" i="19"/>
  <c r="AE51" i="18"/>
  <c r="W1614" i="6"/>
  <c r="W1615" i="6"/>
  <c r="AG57" i="16"/>
  <c r="AI60" i="17"/>
  <c r="AD145" i="18"/>
  <c r="AG71" i="22"/>
  <c r="AH67" i="19"/>
  <c r="AB6" i="9"/>
  <c r="AF124" i="18"/>
  <c r="AE49" i="20"/>
  <c r="AD128" i="18"/>
  <c r="AG83" i="14"/>
  <c r="AE95" i="18"/>
  <c r="AG90" i="18"/>
  <c r="AC62" i="21"/>
  <c r="AE61" i="19"/>
  <c r="AF59" i="22"/>
  <c r="AE150" i="14"/>
  <c r="AF49" i="22"/>
  <c r="AF205" i="14"/>
  <c r="AE205" i="14"/>
  <c r="U476" i="6"/>
  <c r="U475" i="6"/>
  <c r="AC45" i="19"/>
  <c r="AC99" i="21"/>
  <c r="AD99" i="21"/>
  <c r="AF110" i="21"/>
  <c r="AG110" i="21"/>
  <c r="AB164" i="14"/>
  <c r="AB5" i="9"/>
  <c r="AH83" i="14"/>
  <c r="H2832" i="6"/>
  <c r="H2833" i="6"/>
  <c r="AE59" i="16"/>
  <c r="AK112" i="13"/>
  <c r="AL112" i="13" s="1"/>
  <c r="AF121" i="13"/>
  <c r="AE121" i="13"/>
  <c r="AE192" i="14"/>
  <c r="AE155" i="18"/>
  <c r="AF155" i="18"/>
  <c r="AF69" i="19"/>
  <c r="AD113" i="22"/>
  <c r="AB120" i="18"/>
  <c r="AC120" i="18"/>
  <c r="AD120" i="18"/>
  <c r="AE120" i="18" s="1"/>
  <c r="AD40" i="15"/>
  <c r="AF81" i="21"/>
  <c r="AG205" i="14"/>
  <c r="AF100" i="18"/>
  <c r="AG100" i="18"/>
  <c r="AD72" i="20"/>
  <c r="AI52" i="23"/>
  <c r="AJ52" i="23" s="1"/>
  <c r="AF41" i="20"/>
  <c r="AG41" i="20" s="1"/>
  <c r="AE128" i="18"/>
  <c r="AJ56" i="13"/>
  <c r="AK56" i="13" s="1"/>
  <c r="AL56" i="13" s="1"/>
  <c r="AM56" i="13" s="1"/>
  <c r="AN56" i="13" s="1"/>
  <c r="AO56" i="13" s="1"/>
  <c r="AH83" i="13"/>
  <c r="AC56" i="15"/>
  <c r="AD55" i="13"/>
  <c r="AG48" i="21"/>
  <c r="AC60" i="14"/>
  <c r="AD60" i="14"/>
  <c r="AE60" i="14" s="1"/>
  <c r="AF60" i="14" s="1"/>
  <c r="AG60" i="14" s="1"/>
  <c r="AH60" i="14" s="1"/>
  <c r="AI60" i="14" s="1"/>
  <c r="AC102" i="14"/>
  <c r="P3" i="16"/>
  <c r="V1060" i="6"/>
  <c r="AE1008" i="6"/>
  <c r="AA1008" i="6"/>
  <c r="W1008" i="6"/>
  <c r="S1008" i="6"/>
  <c r="AF956" i="6"/>
  <c r="AB956" i="6"/>
  <c r="X956" i="6"/>
  <c r="T956" i="6"/>
  <c r="U1060" i="6"/>
  <c r="AD1008" i="6"/>
  <c r="Z1008" i="6"/>
  <c r="V1008" i="6"/>
  <c r="X1060" i="6"/>
  <c r="X1043" i="6" s="1"/>
  <c r="T1060" i="6"/>
  <c r="AG1008" i="6"/>
  <c r="AC1008" i="6"/>
  <c r="Y1008" i="6"/>
  <c r="U1008" i="6"/>
  <c r="AD956" i="6"/>
  <c r="Z956" i="6"/>
  <c r="V956" i="6"/>
  <c r="W1060" i="6"/>
  <c r="S1060" i="6"/>
  <c r="X1008" i="6"/>
  <c r="AA956" i="6"/>
  <c r="S956" i="6"/>
  <c r="T1008" i="6"/>
  <c r="AG956" i="6"/>
  <c r="Y956" i="6"/>
  <c r="R902" i="6"/>
  <c r="R885" i="6" s="1"/>
  <c r="AF1008" i="6"/>
  <c r="AE956" i="6"/>
  <c r="W956" i="6"/>
  <c r="AB1008" i="6"/>
  <c r="AC956" i="6"/>
  <c r="U956" i="6"/>
  <c r="AE142" i="18"/>
  <c r="AG94" i="22"/>
  <c r="AB652" i="6"/>
  <c r="AB656" i="6"/>
  <c r="AC654" i="6"/>
  <c r="AF197" i="14"/>
  <c r="AH197" i="14" s="1"/>
  <c r="AB41" i="21"/>
  <c r="AE68" i="21"/>
  <c r="AD39" i="20"/>
  <c r="AG51" i="18"/>
  <c r="AF97" i="14"/>
  <c r="AG97" i="14" s="1"/>
  <c r="AH97" i="14" s="1"/>
  <c r="AI97" i="14" s="1"/>
  <c r="AJ97" i="14" s="1"/>
  <c r="AE61" i="18"/>
  <c r="AB2226" i="6"/>
  <c r="AA2230" i="6"/>
  <c r="AA2231" i="6"/>
  <c r="AB13" i="5"/>
  <c r="AJ3083" i="6"/>
  <c r="AF3083" i="6"/>
  <c r="AB3083" i="6"/>
  <c r="AM3031" i="6"/>
  <c r="AI3031" i="6"/>
  <c r="AE3031" i="6"/>
  <c r="AA3031" i="6"/>
  <c r="AM3083" i="6"/>
  <c r="AI3083" i="6"/>
  <c r="AE3083" i="6"/>
  <c r="AA3083" i="6"/>
  <c r="AL3031" i="6"/>
  <c r="AH3031" i="6"/>
  <c r="AD3031" i="6"/>
  <c r="Z3031" i="6"/>
  <c r="AG3083" i="6"/>
  <c r="Y3083" i="6"/>
  <c r="Y3060" i="6" s="1" a="1"/>
  <c r="Y3060" i="6" s="1"/>
  <c r="AF3031" i="6"/>
  <c r="AL3083" i="6"/>
  <c r="AD3083" i="6"/>
  <c r="AK3031" i="6"/>
  <c r="AC3031" i="6"/>
  <c r="AK3083" i="6"/>
  <c r="AC3083" i="6"/>
  <c r="AJ3031" i="6"/>
  <c r="AB3031" i="6"/>
  <c r="AH3083" i="6"/>
  <c r="AG3031" i="6"/>
  <c r="Z3083" i="6"/>
  <c r="Y3031" i="6"/>
  <c r="AD181" i="14"/>
  <c r="AF85" i="18"/>
  <c r="P2" i="21"/>
  <c r="AG2189" i="6"/>
  <c r="AC2189" i="6"/>
  <c r="Y2189" i="6"/>
  <c r="U2189" i="6"/>
  <c r="AH2137" i="6"/>
  <c r="AD2137" i="6"/>
  <c r="Z2137" i="6"/>
  <c r="V2137" i="6"/>
  <c r="AG2085" i="6"/>
  <c r="AC2085" i="6"/>
  <c r="Y2085" i="6"/>
  <c r="U2085" i="6"/>
  <c r="AJ2189" i="6"/>
  <c r="AF2189" i="6"/>
  <c r="AB2189" i="6"/>
  <c r="X2189" i="6"/>
  <c r="AG2137" i="6"/>
  <c r="AC2137" i="6"/>
  <c r="Y2137" i="6"/>
  <c r="U2137" i="6"/>
  <c r="AF2085" i="6"/>
  <c r="AB2085" i="6"/>
  <c r="X2085" i="6"/>
  <c r="R2031" i="6"/>
  <c r="R2029" i="6"/>
  <c r="R2012" i="6" s="1"/>
  <c r="AI2189" i="6"/>
  <c r="AE2189" i="6"/>
  <c r="AA2189" i="6"/>
  <c r="W2189" i="6"/>
  <c r="AF2137" i="6"/>
  <c r="AB2137" i="6"/>
  <c r="X2137" i="6"/>
  <c r="AI2085" i="6"/>
  <c r="AE2085" i="6"/>
  <c r="AA2085" i="6"/>
  <c r="W2085" i="6"/>
  <c r="AH2189" i="6"/>
  <c r="AI2137" i="6"/>
  <c r="AH2085" i="6"/>
  <c r="AD2189" i="6"/>
  <c r="AE2137" i="6"/>
  <c r="AD2085" i="6"/>
  <c r="Z2189" i="6"/>
  <c r="AA2137" i="6"/>
  <c r="Z2085" i="6"/>
  <c r="R2030" i="6"/>
  <c r="V2189" i="6"/>
  <c r="W2137" i="6"/>
  <c r="V2085" i="6"/>
  <c r="AC71" i="21"/>
  <c r="AB111" i="21"/>
  <c r="AD53" i="23"/>
  <c r="AG169" i="14"/>
  <c r="AH169" i="14" s="1"/>
  <c r="AI169" i="14" s="1"/>
  <c r="AD175" i="14"/>
  <c r="AE175" i="14"/>
  <c r="AA32" i="14"/>
  <c r="AB30" i="14"/>
  <c r="AB32" i="14" s="1"/>
  <c r="AD59" i="18"/>
  <c r="U660" i="6"/>
  <c r="AC51" i="15"/>
  <c r="AD111" i="18"/>
  <c r="AB111" i="18"/>
  <c r="AG42" i="18"/>
  <c r="AE42" i="19"/>
  <c r="AB73" i="20"/>
  <c r="AF90" i="22"/>
  <c r="AH90" i="22" s="1"/>
  <c r="AD107" i="22"/>
  <c r="AD105" i="18"/>
  <c r="AE105" i="18"/>
  <c r="AF105" i="18" s="1"/>
  <c r="AF50" i="19"/>
  <c r="AD52" i="16"/>
  <c r="AH110" i="21"/>
  <c r="AE52" i="18"/>
  <c r="AF38" i="18"/>
  <c r="AD117" i="22"/>
  <c r="AP1520" i="6"/>
  <c r="AL1520" i="6"/>
  <c r="AH1520" i="6"/>
  <c r="AD1520" i="6"/>
  <c r="AO1468" i="6"/>
  <c r="AK1468" i="6"/>
  <c r="AG1468" i="6"/>
  <c r="AC1468" i="6"/>
  <c r="AN1416" i="6"/>
  <c r="AJ1416" i="6"/>
  <c r="AF1416" i="6"/>
  <c r="AB1416" i="6"/>
  <c r="Z1362" i="6"/>
  <c r="AO1520" i="6"/>
  <c r="AK1520" i="6"/>
  <c r="AG1520" i="6"/>
  <c r="AC1520" i="6"/>
  <c r="AN1468" i="6"/>
  <c r="AJ1468" i="6"/>
  <c r="AF1468" i="6"/>
  <c r="AB1468" i="6"/>
  <c r="AM1416" i="6"/>
  <c r="AI1416" i="6"/>
  <c r="AE1416" i="6"/>
  <c r="AA1416" i="6"/>
  <c r="Y1362" i="6"/>
  <c r="AN1520" i="6"/>
  <c r="AJ1520" i="6"/>
  <c r="AF1520" i="6"/>
  <c r="AB1520" i="6"/>
  <c r="AM1468" i="6"/>
  <c r="AI1468" i="6"/>
  <c r="AE1468" i="6"/>
  <c r="AA1468" i="6"/>
  <c r="AL1416" i="6"/>
  <c r="AH1416" i="6"/>
  <c r="AD1416" i="6"/>
  <c r="X1362" i="6"/>
  <c r="X1337" i="6" s="1"/>
  <c r="AB1336" i="6"/>
  <c r="AM1520" i="6"/>
  <c r="AI1520" i="6"/>
  <c r="AE1520" i="6"/>
  <c r="AA1520" i="6"/>
  <c r="AL1468" i="6"/>
  <c r="AH1468" i="6"/>
  <c r="AD1468" i="6"/>
  <c r="AO1416" i="6"/>
  <c r="AK1416" i="6"/>
  <c r="AG1416" i="6"/>
  <c r="AC1416" i="6"/>
  <c r="AD84" i="14"/>
  <c r="AE189" i="14"/>
  <c r="AD75" i="15"/>
  <c r="AC75" i="15"/>
  <c r="AA44" i="17"/>
  <c r="AE38" i="19"/>
  <c r="AC88" i="22"/>
  <c r="AE124" i="22"/>
  <c r="AF118" i="22"/>
  <c r="AC64" i="18"/>
  <c r="AD74" i="21"/>
  <c r="AJ187" i="14"/>
  <c r="AB80" i="21"/>
  <c r="X59" i="12"/>
  <c r="Y246" i="6"/>
  <c r="AB67" i="13"/>
  <c r="AC199" i="14"/>
  <c r="AG93" i="13"/>
  <c r="AD95" i="14"/>
  <c r="AC172" i="14"/>
  <c r="AC47" i="22"/>
  <c r="AK604" i="6"/>
  <c r="AG604" i="6"/>
  <c r="AC604" i="6"/>
  <c r="Y604" i="6"/>
  <c r="AL552" i="6"/>
  <c r="AH552" i="6"/>
  <c r="AD552" i="6"/>
  <c r="Z552" i="6"/>
  <c r="AL500" i="6"/>
  <c r="AH500" i="6"/>
  <c r="AD500" i="6"/>
  <c r="Z500" i="6"/>
  <c r="V446" i="6"/>
  <c r="V423" i="6" s="1"/>
  <c r="Z422" i="6"/>
  <c r="AN604" i="6"/>
  <c r="AJ604" i="6"/>
  <c r="AF604" i="6"/>
  <c r="AB604" i="6"/>
  <c r="AK552" i="6"/>
  <c r="AG552" i="6"/>
  <c r="AC552" i="6"/>
  <c r="Y552" i="6"/>
  <c r="AK500" i="6"/>
  <c r="AG500" i="6"/>
  <c r="AC500" i="6"/>
  <c r="Y500" i="6"/>
  <c r="AL604" i="6"/>
  <c r="AH604" i="6"/>
  <c r="AD604" i="6"/>
  <c r="Z604" i="6"/>
  <c r="AI552" i="6"/>
  <c r="AA552" i="6"/>
  <c r="AI500" i="6"/>
  <c r="AA500" i="6"/>
  <c r="AM604" i="6"/>
  <c r="AI604" i="6"/>
  <c r="AE604" i="6"/>
  <c r="AA604" i="6"/>
  <c r="AJ552" i="6"/>
  <c r="AF552" i="6"/>
  <c r="AB552" i="6"/>
  <c r="AJ500" i="6"/>
  <c r="AF500" i="6"/>
  <c r="AB500" i="6"/>
  <c r="X446" i="6"/>
  <c r="AM552" i="6"/>
  <c r="AE552" i="6"/>
  <c r="AM500" i="6"/>
  <c r="AE500" i="6"/>
  <c r="W446" i="6"/>
  <c r="AD203" i="14"/>
  <c r="AD93" i="18"/>
  <c r="AF74" i="14"/>
  <c r="AC153" i="18"/>
  <c r="AD153" i="18" s="1"/>
  <c r="AC62" i="14"/>
  <c r="AE92" i="21"/>
  <c r="AF92" i="21" s="1"/>
  <c r="AD92" i="21"/>
  <c r="AE63" i="13"/>
  <c r="AC74" i="20"/>
  <c r="AE207" i="14"/>
  <c r="AG42" i="22"/>
  <c r="AH42" i="22" s="1"/>
  <c r="AI42" i="22" s="1"/>
  <c r="AJ42" i="22" s="1"/>
  <c r="AK42" i="22" s="1"/>
  <c r="AG70" i="22"/>
  <c r="AF119" i="18"/>
  <c r="AG119" i="18"/>
  <c r="AH119" i="18" s="1"/>
  <c r="AE67" i="21"/>
  <c r="AD166" i="14"/>
  <c r="AA1779" i="6"/>
  <c r="AA1783" i="6"/>
  <c r="AB1781" i="6"/>
  <c r="AE145" i="14"/>
  <c r="Q21" i="17"/>
  <c r="S1106" i="6"/>
  <c r="T19" i="5" s="1"/>
  <c r="AG50" i="20"/>
  <c r="AK51" i="23"/>
  <c r="AL51" i="23" s="1"/>
  <c r="AG154" i="14"/>
  <c r="AH154" i="14" s="1"/>
  <c r="AH186" i="14"/>
  <c r="AI186" i="14" s="1"/>
  <c r="AE58" i="19"/>
  <c r="AC91" i="21"/>
  <c r="AH46" i="23"/>
  <c r="AI46" i="23" s="1"/>
  <c r="AC136" i="14"/>
  <c r="AB136" i="14"/>
  <c r="AE93" i="22"/>
  <c r="AA17" i="21"/>
  <c r="AA2007" i="6"/>
  <c r="AD86" i="18"/>
  <c r="AK46" i="20"/>
  <c r="AL46" i="20" s="1"/>
  <c r="AM46" i="20" s="1"/>
  <c r="AD53" i="22"/>
  <c r="AE53" i="22" s="1"/>
  <c r="AC99" i="22"/>
  <c r="AF70" i="17"/>
  <c r="AE70" i="19"/>
  <c r="AE109" i="21"/>
  <c r="AC54" i="15"/>
  <c r="AC78" i="21"/>
  <c r="AD53" i="20"/>
  <c r="AF94" i="14"/>
  <c r="AH76" i="20"/>
  <c r="AF87" i="13"/>
  <c r="AE176" i="14"/>
  <c r="AC176" i="14"/>
  <c r="AE76" i="21"/>
  <c r="AC123" i="22"/>
  <c r="AG40" i="18"/>
  <c r="M2" i="13"/>
  <c r="AL202" i="6"/>
  <c r="AH202" i="6"/>
  <c r="AD202" i="6"/>
  <c r="Z202" i="6"/>
  <c r="V202" i="6"/>
  <c r="AI150" i="6"/>
  <c r="AE150" i="6"/>
  <c r="AA150" i="6"/>
  <c r="W150" i="6"/>
  <c r="AH98" i="6"/>
  <c r="AD98" i="6"/>
  <c r="Z98" i="6"/>
  <c r="V98" i="6"/>
  <c r="O32" i="6"/>
  <c r="AI202" i="6"/>
  <c r="AF150" i="6"/>
  <c r="AI98" i="6"/>
  <c r="AO202" i="6"/>
  <c r="AK202" i="6"/>
  <c r="AG202" i="6"/>
  <c r="AC202" i="6"/>
  <c r="Y202" i="6"/>
  <c r="U202" i="6"/>
  <c r="AH150" i="6"/>
  <c r="AD150" i="6"/>
  <c r="Z150" i="6"/>
  <c r="V150" i="6"/>
  <c r="AG98" i="6"/>
  <c r="AC98" i="6"/>
  <c r="Y98" i="6"/>
  <c r="U98" i="6"/>
  <c r="O35" i="6"/>
  <c r="O31" i="6"/>
  <c r="AM202" i="6"/>
  <c r="AA202" i="6"/>
  <c r="AB150" i="6"/>
  <c r="AE98" i="6"/>
  <c r="W98" i="6"/>
  <c r="AN202" i="6"/>
  <c r="AJ202" i="6"/>
  <c r="AF202" i="6"/>
  <c r="AB202" i="6"/>
  <c r="X202" i="6"/>
  <c r="AG150" i="6"/>
  <c r="AC150" i="6"/>
  <c r="Y150" i="6"/>
  <c r="U150" i="6"/>
  <c r="AF98" i="6"/>
  <c r="AB98" i="6"/>
  <c r="X98" i="6"/>
  <c r="O30" i="6"/>
  <c r="AE202" i="6"/>
  <c r="W202" i="6"/>
  <c r="X150" i="6"/>
  <c r="AA98" i="6"/>
  <c r="AD72" i="18"/>
  <c r="AG105" i="14"/>
  <c r="W23" i="9"/>
  <c r="AH55" i="21"/>
  <c r="AD109" i="18"/>
  <c r="X42" i="8"/>
  <c r="Y644" i="6" s="1"/>
  <c r="X41" i="8"/>
  <c r="Y642" i="6" s="1"/>
  <c r="X43" i="8"/>
  <c r="Y643" i="6" s="1"/>
  <c r="Y641" i="6"/>
  <c r="Z33" i="5" s="1"/>
  <c r="AD60" i="9"/>
  <c r="AD149" i="14"/>
  <c r="AE149" i="14" s="1"/>
  <c r="AG50" i="17"/>
  <c r="AH50" i="17" s="1"/>
  <c r="AD147" i="18"/>
  <c r="AC177" i="14"/>
  <c r="AD177" i="14"/>
  <c r="AE167" i="14"/>
  <c r="AD74" i="13"/>
  <c r="AD65" i="21"/>
  <c r="AE111" i="18"/>
  <c r="AF111" i="18" s="1"/>
  <c r="AE44" i="18"/>
  <c r="AD160" i="14"/>
  <c r="AB113" i="18"/>
  <c r="AB103" i="21"/>
  <c r="AF56" i="22"/>
  <c r="AB106" i="22"/>
  <c r="AG50" i="21"/>
  <c r="AH50" i="21"/>
  <c r="AC101" i="21"/>
  <c r="AD46" i="19"/>
  <c r="AC55" i="18"/>
  <c r="AD55" i="18" s="1"/>
  <c r="AE64" i="16"/>
  <c r="AF64" i="16" s="1"/>
  <c r="AH100" i="18"/>
  <c r="AG45" i="20"/>
  <c r="AC70" i="13"/>
  <c r="AD189" i="14"/>
  <c r="AC55" i="15"/>
  <c r="AD64" i="19"/>
  <c r="AD90" i="14"/>
  <c r="AE70" i="21"/>
  <c r="AJ40" i="22"/>
  <c r="AD78" i="22"/>
  <c r="AB97" i="22"/>
  <c r="AC92" i="18"/>
  <c r="AB78" i="14"/>
  <c r="AC39" i="19"/>
  <c r="AI67" i="19"/>
  <c r="AF60" i="22"/>
  <c r="AE106" i="21"/>
  <c r="AE96" i="22"/>
  <c r="AI120" i="14"/>
  <c r="AJ120" i="14" s="1"/>
  <c r="AK120" i="14" s="1"/>
  <c r="AD56" i="19"/>
  <c r="AG50" i="23"/>
  <c r="AH50" i="23" s="1"/>
  <c r="AC55" i="13"/>
  <c r="AC79" i="21"/>
  <c r="AD55" i="19"/>
  <c r="AC55" i="19"/>
  <c r="AC137" i="14"/>
  <c r="AG139" i="14"/>
  <c r="AG158" i="14"/>
  <c r="AJ73" i="13"/>
  <c r="AG62" i="15"/>
  <c r="AH62" i="15" s="1"/>
  <c r="AI62" i="15" s="1"/>
  <c r="AD58" i="13"/>
  <c r="AC61" i="14"/>
  <c r="AB120" i="22"/>
  <c r="AC108" i="14"/>
  <c r="AE67" i="15"/>
  <c r="AH74" i="18"/>
  <c r="AC115" i="22"/>
  <c r="AD66" i="22"/>
  <c r="AD82" i="13"/>
  <c r="S15" i="9"/>
  <c r="T2671" i="6" s="1"/>
  <c r="AE55" i="16"/>
  <c r="AF112" i="18"/>
  <c r="AG112" i="18" s="1"/>
  <c r="AH112" i="18" s="1"/>
  <c r="AI112" i="18" s="1"/>
  <c r="AJ112" i="18" s="1"/>
  <c r="AK112" i="18" s="1"/>
  <c r="AL112" i="18" s="1"/>
  <c r="AC50" i="16"/>
  <c r="AK74" i="18"/>
  <c r="AL74" i="18" s="1"/>
  <c r="AA38" i="23"/>
  <c r="AA31" i="22"/>
  <c r="AA31" i="21"/>
  <c r="AA31" i="20"/>
  <c r="AA31" i="19"/>
  <c r="AA36" i="17"/>
  <c r="AA33" i="15"/>
  <c r="AA48" i="14"/>
  <c r="AA31" i="18"/>
  <c r="AB6" i="7"/>
  <c r="AA41" i="16"/>
  <c r="AA40" i="13"/>
  <c r="AC135" i="14"/>
  <c r="AG197" i="14"/>
  <c r="V19" i="17"/>
  <c r="V1105" i="6"/>
  <c r="AD117" i="14"/>
  <c r="AE117" i="14" s="1"/>
  <c r="AB89" i="18"/>
  <c r="AF101" i="22"/>
  <c r="AF70" i="15"/>
  <c r="AG70" i="15" s="1"/>
  <c r="AB41" i="15"/>
  <c r="AC64" i="19"/>
  <c r="AB87" i="18"/>
  <c r="AF61" i="16"/>
  <c r="AE65" i="18"/>
  <c r="AF65" i="18"/>
  <c r="AC65" i="18"/>
  <c r="AG65" i="18" s="1"/>
  <c r="AE84" i="18"/>
  <c r="AF84" i="18" s="1"/>
  <c r="AC77" i="20"/>
  <c r="AD154" i="18"/>
  <c r="AG78" i="20"/>
  <c r="AC92" i="22"/>
  <c r="AB98" i="22"/>
  <c r="AE122" i="22"/>
  <c r="AD56" i="18"/>
  <c r="AD53" i="15"/>
  <c r="AA36" i="18"/>
  <c r="AB1335" i="6" s="1"/>
  <c r="AE194" i="14"/>
  <c r="AB22" i="13"/>
  <c r="AC21" i="13"/>
  <c r="AH76" i="13"/>
  <c r="AG67" i="17"/>
  <c r="AH67" i="17" s="1"/>
  <c r="AD159" i="14"/>
  <c r="AA36" i="20"/>
  <c r="AF57" i="15"/>
  <c r="AG57" i="15"/>
  <c r="AH57" i="15" s="1"/>
  <c r="AB54" i="21"/>
  <c r="AC127" i="22"/>
  <c r="AB127" i="22"/>
  <c r="AF41" i="18"/>
  <c r="AC47" i="20"/>
  <c r="AD98" i="13"/>
  <c r="AE66" i="18"/>
  <c r="AF147" i="14"/>
  <c r="AB43" i="19"/>
  <c r="Z14" i="13"/>
  <c r="AA7" i="6"/>
  <c r="AA237" i="6"/>
  <c r="AA12" i="6"/>
  <c r="AB9" i="6"/>
  <c r="AC147" i="18"/>
  <c r="AA14" i="6"/>
  <c r="AB8" i="6"/>
  <c r="AB2" i="5"/>
  <c r="AA13" i="6"/>
  <c r="AB3" i="5"/>
  <c r="AB2229" i="6"/>
  <c r="AC2227" i="6"/>
  <c r="AB2225" i="6"/>
  <c r="AG52" i="13"/>
  <c r="AC76" i="18"/>
  <c r="AD49" i="21"/>
  <c r="AB17" i="19"/>
  <c r="AB1557" i="6"/>
  <c r="AD195" i="14"/>
  <c r="AF117" i="13"/>
  <c r="AG117" i="13" s="1"/>
  <c r="AC93" i="18"/>
  <c r="AD176" i="14"/>
  <c r="AB17" i="22"/>
  <c r="AB2228" i="6"/>
  <c r="AF103" i="22"/>
  <c r="AC65" i="19"/>
  <c r="AD133" i="14"/>
  <c r="AD115" i="14"/>
  <c r="AE115" i="14" s="1"/>
  <c r="AC43" i="21"/>
  <c r="AF57" i="21"/>
  <c r="AI202" i="14"/>
  <c r="L15" i="23"/>
  <c r="N2448" i="6"/>
  <c r="AG61" i="13"/>
  <c r="AH61" i="13" s="1"/>
  <c r="AI61" i="13" s="1"/>
  <c r="AJ61" i="13" s="1"/>
  <c r="AK61" i="13" s="1"/>
  <c r="AL61" i="13" s="1"/>
  <c r="AM61" i="13" s="1"/>
  <c r="AN61" i="13" s="1"/>
  <c r="AO61" i="13" s="1"/>
  <c r="AP61" i="13" s="1"/>
  <c r="AE54" i="18"/>
  <c r="AD77" i="18"/>
  <c r="AG98" i="18"/>
  <c r="AH98" i="18" s="1"/>
  <c r="AD114" i="22"/>
  <c r="AF51" i="18"/>
  <c r="Z3165" i="6"/>
  <c r="Z2668" i="6"/>
  <c r="AR3137" i="6"/>
  <c r="AN3137" i="6"/>
  <c r="AJ3137" i="6"/>
  <c r="AF3137" i="6"/>
  <c r="AB3137" i="6"/>
  <c r="AQ3137" i="6"/>
  <c r="AM3137" i="6"/>
  <c r="AI3137" i="6"/>
  <c r="AE3137" i="6"/>
  <c r="AA3137" i="6"/>
  <c r="Z3006" i="6"/>
  <c r="AS3137" i="6"/>
  <c r="AK3137" i="6"/>
  <c r="AC3137" i="6"/>
  <c r="AP3137" i="6"/>
  <c r="AH3137" i="6"/>
  <c r="Z3137" i="6"/>
  <c r="Z3113" i="6" s="1"/>
  <c r="AO3137" i="6"/>
  <c r="AG3137" i="6"/>
  <c r="AD3137" i="6"/>
  <c r="AT3137" i="6"/>
  <c r="Z3007" i="6"/>
  <c r="AL3137" i="6"/>
  <c r="Z3112" i="6"/>
  <c r="Y2998" i="6"/>
  <c r="F2674" i="6" a="1"/>
  <c r="F2674" i="6" s="1"/>
  <c r="N2674" i="6" a="1"/>
  <c r="N2674" i="6" s="1"/>
  <c r="O2674" i="6" a="1"/>
  <c r="O2674" i="6" s="1"/>
  <c r="O2726" i="6" a="1"/>
  <c r="O2726" i="6" s="1"/>
  <c r="O2833" i="6" s="1"/>
  <c r="G2726" i="6" a="1"/>
  <c r="G2726" i="6" s="1"/>
  <c r="G2832" i="6" s="1"/>
  <c r="AH48" i="17"/>
  <c r="AC140" i="14"/>
  <c r="AC80" i="21"/>
  <c r="AD58" i="16"/>
  <c r="AC58" i="16"/>
  <c r="AF42" i="21"/>
  <c r="AC133" i="18"/>
  <c r="AE59" i="14"/>
  <c r="AE53" i="23"/>
  <c r="AC97" i="21"/>
  <c r="AB66" i="21"/>
  <c r="AI74" i="18"/>
  <c r="AD157" i="18"/>
  <c r="AD163" i="14"/>
  <c r="AG41" i="22"/>
  <c r="AE92" i="14"/>
  <c r="U24" i="9"/>
  <c r="AE107" i="22"/>
  <c r="AF107" i="22" s="1"/>
  <c r="V23" i="9"/>
  <c r="AD65" i="18"/>
  <c r="AD155" i="14"/>
  <c r="AE86" i="22"/>
  <c r="AF60" i="13"/>
  <c r="AB96" i="14"/>
  <c r="Y937" i="6"/>
  <c r="Y938" i="6"/>
  <c r="AA1043" i="6"/>
  <c r="AG84" i="18" l="1"/>
  <c r="AH70" i="15"/>
  <c r="AF149" i="14"/>
  <c r="AJ83" i="14"/>
  <c r="X2999" i="6"/>
  <c r="X3000" i="6"/>
  <c r="AI38" i="20"/>
  <c r="AI56" i="21"/>
  <c r="AJ56" i="21"/>
  <c r="AG53" i="19"/>
  <c r="AH53" i="19" s="1"/>
  <c r="AK179" i="14"/>
  <c r="AL179" i="14" s="1"/>
  <c r="AM179" i="14" s="1"/>
  <c r="T1164" i="6"/>
  <c r="T1165" i="6"/>
  <c r="AI115" i="13"/>
  <c r="AH118" i="18"/>
  <c r="AI118" i="18"/>
  <c r="AH79" i="18"/>
  <c r="AM61" i="19"/>
  <c r="AN61" i="19" s="1"/>
  <c r="AO61" i="19" s="1"/>
  <c r="AP61" i="19" s="1"/>
  <c r="AQ61" i="19" s="1"/>
  <c r="AR61" i="19" s="1"/>
  <c r="AS61" i="19" s="1"/>
  <c r="AT61" i="19" s="1"/>
  <c r="AU61" i="19" s="1"/>
  <c r="AV61" i="19" s="1"/>
  <c r="AW61" i="19" s="1"/>
  <c r="AX61" i="19" s="1"/>
  <c r="AY61" i="19" s="1"/>
  <c r="W2286" i="6"/>
  <c r="W2285" i="6"/>
  <c r="AG119" i="13"/>
  <c r="AH119" i="13" s="1"/>
  <c r="AI119" i="13"/>
  <c r="AJ119" i="13" s="1"/>
  <c r="AL187" i="14"/>
  <c r="AM187" i="14" s="1"/>
  <c r="AJ186" i="14"/>
  <c r="AI90" i="22"/>
  <c r="AM112" i="13"/>
  <c r="AN112" i="13" s="1"/>
  <c r="AM67" i="19"/>
  <c r="AQ61" i="13"/>
  <c r="AR61" i="13" s="1"/>
  <c r="AF122" i="13"/>
  <c r="AG116" i="14"/>
  <c r="AJ53" i="13"/>
  <c r="AK53" i="13" s="1"/>
  <c r="AL53" i="13" s="1"/>
  <c r="AM53" i="13" s="1"/>
  <c r="AN53" i="13" s="1"/>
  <c r="AO53" i="13" s="1"/>
  <c r="AP53" i="13" s="1"/>
  <c r="AQ53" i="13" s="1"/>
  <c r="AR53" i="13" s="1"/>
  <c r="AS53" i="13" s="1"/>
  <c r="AT53" i="13" s="1"/>
  <c r="AU53" i="13" s="1"/>
  <c r="AV53" i="13" s="1"/>
  <c r="AW53" i="13" s="1"/>
  <c r="AX53" i="13" s="1"/>
  <c r="AY53" i="13" s="1"/>
  <c r="AZ53" i="13" s="1"/>
  <c r="BA53" i="13" s="1"/>
  <c r="AI42" i="15"/>
  <c r="AJ42" i="15" s="1"/>
  <c r="AE55" i="18"/>
  <c r="AF55" i="18" s="1"/>
  <c r="AG55" i="18" s="1"/>
  <c r="AH55" i="18" s="1"/>
  <c r="AI55" i="18" s="1"/>
  <c r="AJ55" i="18" s="1"/>
  <c r="AK55" i="18" s="1"/>
  <c r="AL55" i="18" s="1"/>
  <c r="AM55" i="18" s="1"/>
  <c r="AN55" i="18" s="1"/>
  <c r="AO55" i="18" s="1"/>
  <c r="AP55" i="18" s="1"/>
  <c r="AQ55" i="18" s="1"/>
  <c r="AR55" i="18" s="1"/>
  <c r="AD61" i="22"/>
  <c r="AG61" i="22"/>
  <c r="AE61" i="22"/>
  <c r="AF61" i="22"/>
  <c r="AO42" i="20"/>
  <c r="AP42" i="20" s="1"/>
  <c r="AQ42" i="20" s="1"/>
  <c r="AR42" i="20" s="1"/>
  <c r="AS42" i="20" s="1"/>
  <c r="AT42" i="20" s="1"/>
  <c r="AU42" i="20" s="1"/>
  <c r="AV42" i="20" s="1"/>
  <c r="AW42" i="20" s="1"/>
  <c r="AX42" i="20" s="1"/>
  <c r="AY42" i="20" s="1"/>
  <c r="AZ42" i="20" s="1"/>
  <c r="BA42" i="20" s="1"/>
  <c r="AI58" i="17"/>
  <c r="AJ58" i="17" s="1"/>
  <c r="AF58" i="17"/>
  <c r="AG58" i="17" s="1"/>
  <c r="AH58" i="17" s="1"/>
  <c r="AG1069" i="6"/>
  <c r="AC1069" i="6"/>
  <c r="AO1017" i="6"/>
  <c r="AK1017" i="6"/>
  <c r="AG1017" i="6"/>
  <c r="AC1017" i="6"/>
  <c r="AP965" i="6"/>
  <c r="AL965" i="6"/>
  <c r="AH965" i="6"/>
  <c r="AD965" i="6"/>
  <c r="AF1069" i="6"/>
  <c r="AB1069" i="6"/>
  <c r="AB1043" i="6" s="1"/>
  <c r="AN1017" i="6"/>
  <c r="AJ1017" i="6"/>
  <c r="AF1017" i="6"/>
  <c r="AB1017" i="6"/>
  <c r="AE1069" i="6"/>
  <c r="AM1017" i="6"/>
  <c r="AI1017" i="6"/>
  <c r="AE1017" i="6"/>
  <c r="AN965" i="6"/>
  <c r="AJ965" i="6"/>
  <c r="AF965" i="6"/>
  <c r="AB965" i="6"/>
  <c r="AD1069" i="6"/>
  <c r="AP1017" i="6"/>
  <c r="AK965" i="6"/>
  <c r="AC965" i="6"/>
  <c r="AA911" i="6"/>
  <c r="AA885" i="6" s="1"/>
  <c r="AL1017" i="6"/>
  <c r="AI965" i="6"/>
  <c r="AC884" i="6"/>
  <c r="AH1017" i="6"/>
  <c r="AO965" i="6"/>
  <c r="AG965" i="6"/>
  <c r="AD1017" i="6"/>
  <c r="AM965" i="6"/>
  <c r="AE965" i="6"/>
  <c r="AG99" i="14"/>
  <c r="AK95" i="13"/>
  <c r="AL95" i="13" s="1"/>
  <c r="AM95" i="13" s="1"/>
  <c r="AN95" i="13" s="1"/>
  <c r="AO95" i="13" s="1"/>
  <c r="AP95" i="13" s="1"/>
  <c r="AJ95" i="13"/>
  <c r="AO98" i="18"/>
  <c r="AP98" i="18" s="1"/>
  <c r="AI98" i="18"/>
  <c r="AJ98" i="18" s="1"/>
  <c r="AK98" i="18" s="1"/>
  <c r="AL98" i="18" s="1"/>
  <c r="AM98" i="18" s="1"/>
  <c r="AN98" i="18" s="1"/>
  <c r="AF117" i="14"/>
  <c r="AG117" i="14" s="1"/>
  <c r="AJ46" i="23"/>
  <c r="AK46" i="23"/>
  <c r="AL46" i="23" s="1"/>
  <c r="AG66" i="16"/>
  <c r="AI113" i="13"/>
  <c r="AJ113" i="13" s="1"/>
  <c r="AJ67" i="17"/>
  <c r="AK67" i="17" s="1"/>
  <c r="AL67" i="17" s="1"/>
  <c r="AG61" i="21"/>
  <c r="AK42" i="15"/>
  <c r="AL42" i="15" s="1"/>
  <c r="AG62" i="18"/>
  <c r="AI74" i="14"/>
  <c r="AJ74" i="14"/>
  <c r="AO112" i="13"/>
  <c r="AP112" i="13" s="1"/>
  <c r="AH72" i="15"/>
  <c r="AI72" i="15" s="1"/>
  <c r="AJ72" i="15" s="1"/>
  <c r="AE54" i="16"/>
  <c r="AG54" i="16" s="1"/>
  <c r="AI110" i="13"/>
  <c r="AJ110" i="13" s="1"/>
  <c r="L2832" i="6"/>
  <c r="U22" i="5"/>
  <c r="U25" i="5" s="1"/>
  <c r="T77" i="6"/>
  <c r="T78" i="6"/>
  <c r="AK57" i="13"/>
  <c r="AL57" i="13" s="1"/>
  <c r="AM57" i="13" s="1"/>
  <c r="AN57" i="13" s="1"/>
  <c r="AO57" i="13" s="1"/>
  <c r="AP57" i="13" s="1"/>
  <c r="AQ57" i="13" s="1"/>
  <c r="AR57" i="13" s="1"/>
  <c r="AS57" i="13" s="1"/>
  <c r="AT57" i="13" s="1"/>
  <c r="AU57" i="13" s="1"/>
  <c r="AV57" i="13" s="1"/>
  <c r="AW57" i="13" s="1"/>
  <c r="AX57" i="13" s="1"/>
  <c r="AY57" i="13" s="1"/>
  <c r="AZ57" i="13" s="1"/>
  <c r="BA57" i="13" s="1"/>
  <c r="AG72" i="20"/>
  <c r="AJ70" i="18"/>
  <c r="AH70" i="18"/>
  <c r="AI70" i="18" s="1"/>
  <c r="AL70" i="18"/>
  <c r="AK70" i="18"/>
  <c r="AJ152" i="18"/>
  <c r="AK152" i="18" s="1"/>
  <c r="AL152" i="18" s="1"/>
  <c r="AM152" i="18" s="1"/>
  <c r="AN152" i="18" s="1"/>
  <c r="AO152" i="18"/>
  <c r="AP152" i="18" s="1"/>
  <c r="AQ152" i="18" s="1"/>
  <c r="AR152" i="18" s="1"/>
  <c r="AS152" i="18" s="1"/>
  <c r="AT152" i="18" s="1"/>
  <c r="AU152" i="18" s="1"/>
  <c r="AV152" i="18" s="1"/>
  <c r="AW152" i="18" s="1"/>
  <c r="AX152" i="18" s="1"/>
  <c r="AY152" i="18" s="1"/>
  <c r="AZ152" i="18" s="1"/>
  <c r="AG107" i="22"/>
  <c r="AQ1521" i="6"/>
  <c r="AM1521" i="6"/>
  <c r="AI1521" i="6"/>
  <c r="AE1521" i="6"/>
  <c r="AM1469" i="6"/>
  <c r="AI1469" i="6"/>
  <c r="AE1469" i="6"/>
  <c r="AP1417" i="6"/>
  <c r="AL1417" i="6"/>
  <c r="AH1417" i="6"/>
  <c r="AD1417" i="6"/>
  <c r="AP1521" i="6"/>
  <c r="AL1521" i="6"/>
  <c r="AH1521" i="6"/>
  <c r="AD1521" i="6"/>
  <c r="AP1469" i="6"/>
  <c r="AL1469" i="6"/>
  <c r="AH1469" i="6"/>
  <c r="AD1469" i="6"/>
  <c r="AO1417" i="6"/>
  <c r="AK1417" i="6"/>
  <c r="AG1417" i="6"/>
  <c r="AC1417" i="6"/>
  <c r="AA1363" i="6"/>
  <c r="AC1336" i="6"/>
  <c r="AO1521" i="6"/>
  <c r="AK1521" i="6"/>
  <c r="AG1521" i="6"/>
  <c r="AC1521" i="6"/>
  <c r="AO1469" i="6"/>
  <c r="AK1469" i="6"/>
  <c r="AG1469" i="6"/>
  <c r="AC1469" i="6"/>
  <c r="AN1417" i="6"/>
  <c r="AJ1417" i="6"/>
  <c r="AF1417" i="6"/>
  <c r="AB1417" i="6"/>
  <c r="Z1363" i="6"/>
  <c r="AN1521" i="6"/>
  <c r="AJ1521" i="6"/>
  <c r="AF1521" i="6"/>
  <c r="AB1521" i="6"/>
  <c r="AN1469" i="6"/>
  <c r="AJ1469" i="6"/>
  <c r="AF1469" i="6"/>
  <c r="AB1469" i="6"/>
  <c r="AM1417" i="6"/>
  <c r="AI1417" i="6"/>
  <c r="AE1417" i="6"/>
  <c r="Y1363" i="6"/>
  <c r="Y1337" i="6" s="1"/>
  <c r="Y3167" i="6"/>
  <c r="Y3166" i="6"/>
  <c r="AF120" i="18"/>
  <c r="AN67" i="16"/>
  <c r="AO67" i="16" s="1"/>
  <c r="AP67" i="16" s="1"/>
  <c r="AQ67" i="16" s="1"/>
  <c r="AR67" i="16" s="1"/>
  <c r="AS67" i="16" s="1"/>
  <c r="AT67" i="16" s="1"/>
  <c r="AU67" i="16" s="1"/>
  <c r="AV67" i="16" s="1"/>
  <c r="AW67" i="16" s="1"/>
  <c r="AX67" i="16" s="1"/>
  <c r="AY67" i="16" s="1"/>
  <c r="AH67" i="16"/>
  <c r="AI67" i="16" s="1"/>
  <c r="AJ67" i="16" s="1"/>
  <c r="AK67" i="16" s="1"/>
  <c r="AL67" i="16" s="1"/>
  <c r="AM67" i="16" s="1"/>
  <c r="AF102" i="14"/>
  <c r="AG134" i="18"/>
  <c r="K2832" i="6"/>
  <c r="K2833" i="6"/>
  <c r="N2832" i="6"/>
  <c r="N2833" i="6"/>
  <c r="AG129" i="14"/>
  <c r="AH129" i="14" s="1"/>
  <c r="AI129" i="14" s="1"/>
  <c r="AJ129" i="14" s="1"/>
  <c r="AK129" i="14" s="1"/>
  <c r="AL129" i="14" s="1"/>
  <c r="AM129" i="14" s="1"/>
  <c r="AN129" i="14" s="1"/>
  <c r="AO129" i="14" s="1"/>
  <c r="AP129" i="14" s="1"/>
  <c r="AQ129" i="14" s="1"/>
  <c r="AR129" i="14" s="1"/>
  <c r="AS129" i="14" s="1"/>
  <c r="AT129" i="14" s="1"/>
  <c r="AU129" i="14" s="1"/>
  <c r="AV129" i="14" s="1"/>
  <c r="AW129" i="14" s="1"/>
  <c r="AX129" i="14" s="1"/>
  <c r="AY129" i="14" s="1"/>
  <c r="AZ129" i="14" s="1"/>
  <c r="BA129" i="14" s="1"/>
  <c r="Q2833" i="6"/>
  <c r="Q2832" i="6"/>
  <c r="J2833" i="6"/>
  <c r="J2832" i="6"/>
  <c r="M2832" i="6"/>
  <c r="M2833" i="6"/>
  <c r="AJ38" i="20"/>
  <c r="AI104" i="18"/>
  <c r="AJ104" i="18" s="1"/>
  <c r="AK104" i="18" s="1"/>
  <c r="AL104" i="18" s="1"/>
  <c r="AM104" i="18" s="1"/>
  <c r="AN104" i="18" s="1"/>
  <c r="AO104" i="18" s="1"/>
  <c r="AP104" i="18" s="1"/>
  <c r="AQ104" i="18" s="1"/>
  <c r="AR104" i="18" s="1"/>
  <c r="AS104" i="18" s="1"/>
  <c r="AT104" i="18" s="1"/>
  <c r="AU104" i="18" s="1"/>
  <c r="AV104" i="18" s="1"/>
  <c r="AW104" i="18" s="1"/>
  <c r="AX104" i="18" s="1"/>
  <c r="AY104" i="18" s="1"/>
  <c r="AZ104" i="18" s="1"/>
  <c r="AK144" i="18"/>
  <c r="AL144" i="18" s="1"/>
  <c r="AM144" i="18" s="1"/>
  <c r="AN144" i="18" s="1"/>
  <c r="AO144" i="18" s="1"/>
  <c r="AP144" i="18" s="1"/>
  <c r="AQ144" i="18" s="1"/>
  <c r="AR144" i="18" s="1"/>
  <c r="AS144" i="18" s="1"/>
  <c r="AT144" i="18" s="1"/>
  <c r="AU144" i="18" s="1"/>
  <c r="AV144" i="18" s="1"/>
  <c r="AW144" i="18" s="1"/>
  <c r="AX144" i="18" s="1"/>
  <c r="AY144" i="18" s="1"/>
  <c r="AZ144" i="18" s="1"/>
  <c r="AE163" i="14"/>
  <c r="AF163" i="14" s="1"/>
  <c r="AD97" i="21"/>
  <c r="AC41" i="15"/>
  <c r="AB38" i="15"/>
  <c r="AE74" i="13"/>
  <c r="AF63" i="13"/>
  <c r="AG63" i="13" s="1"/>
  <c r="AH63" i="13" s="1"/>
  <c r="AI63" i="13" s="1"/>
  <c r="AJ63" i="13" s="1"/>
  <c r="AK63" i="13" s="1"/>
  <c r="AL63" i="13" s="1"/>
  <c r="AM63" i="13" s="1"/>
  <c r="AN63" i="13" s="1"/>
  <c r="AO63" i="13" s="1"/>
  <c r="AP63" i="13" s="1"/>
  <c r="AE113" i="22"/>
  <c r="AF113" i="22"/>
  <c r="AG113" i="22" s="1"/>
  <c r="AH113" i="22"/>
  <c r="AI113" i="22" s="1"/>
  <c r="AG121" i="13"/>
  <c r="AJ202" i="14"/>
  <c r="AK202" i="14" s="1"/>
  <c r="AF109" i="21"/>
  <c r="AG109" i="21" s="1"/>
  <c r="AH109" i="21" s="1"/>
  <c r="AC114" i="14"/>
  <c r="AD114" i="14"/>
  <c r="O2832" i="6"/>
  <c r="AI154" i="14"/>
  <c r="AL95" i="22"/>
  <c r="AC99" i="18"/>
  <c r="AD99" i="18"/>
  <c r="W21" i="17"/>
  <c r="W1106" i="6"/>
  <c r="X19" i="5" s="1"/>
  <c r="AG54" i="19"/>
  <c r="AD84" i="21"/>
  <c r="AD2227" i="6"/>
  <c r="AC2229" i="6"/>
  <c r="AF98" i="13"/>
  <c r="AC98" i="22"/>
  <c r="AD98" i="22"/>
  <c r="AL2797" i="6"/>
  <c r="AH2797" i="6"/>
  <c r="AD2797" i="6"/>
  <c r="Z2797" i="6"/>
  <c r="V2797" i="6"/>
  <c r="AK2797" i="6"/>
  <c r="AF2797" i="6"/>
  <c r="AA2797" i="6"/>
  <c r="U2797" i="6"/>
  <c r="AJ2797" i="6"/>
  <c r="AE2797" i="6"/>
  <c r="Y2797" i="6"/>
  <c r="T2797" i="6"/>
  <c r="T2779" i="6" s="1"/>
  <c r="AG2797" i="6"/>
  <c r="W2797" i="6"/>
  <c r="AN2797" i="6"/>
  <c r="AC2797" i="6"/>
  <c r="AM2797" i="6"/>
  <c r="AB2797" i="6"/>
  <c r="AI2797" i="6"/>
  <c r="X2797" i="6"/>
  <c r="T2672" i="6"/>
  <c r="T2673" i="6"/>
  <c r="U27" i="5"/>
  <c r="U43" i="5" s="1"/>
  <c r="U2778" i="6"/>
  <c r="T2778" i="6"/>
  <c r="T2831" i="6" s="1"/>
  <c r="U2669" i="6"/>
  <c r="V2669" i="6" s="1"/>
  <c r="W2669" i="6" s="1"/>
  <c r="AG94" i="14"/>
  <c r="AH49" i="22"/>
  <c r="AE72" i="18"/>
  <c r="L2" i="13"/>
  <c r="N29" i="6"/>
  <c r="N32" i="6"/>
  <c r="N31" i="6"/>
  <c r="N30" i="6"/>
  <c r="AC111" i="14"/>
  <c r="AD183" i="14"/>
  <c r="AB17" i="21"/>
  <c r="AB2007" i="6"/>
  <c r="AF207" i="14"/>
  <c r="AE155" i="14"/>
  <c r="AH107" i="22"/>
  <c r="O2" i="21"/>
  <c r="AF2188" i="6"/>
  <c r="AB2188" i="6"/>
  <c r="X2188" i="6"/>
  <c r="T2188" i="6"/>
  <c r="AF2136" i="6"/>
  <c r="AB2136" i="6"/>
  <c r="X2136" i="6"/>
  <c r="T2136" i="6"/>
  <c r="AE2084" i="6"/>
  <c r="AA2084" i="6"/>
  <c r="W2084" i="6"/>
  <c r="Q2030" i="6"/>
  <c r="Q2028" i="6"/>
  <c r="AI2188" i="6"/>
  <c r="AE2188" i="6"/>
  <c r="AA2188" i="6"/>
  <c r="W2188" i="6"/>
  <c r="AE2136" i="6"/>
  <c r="AA2136" i="6"/>
  <c r="W2136" i="6"/>
  <c r="AH2084" i="6"/>
  <c r="AD2084" i="6"/>
  <c r="Z2084" i="6"/>
  <c r="V2084" i="6"/>
  <c r="AH2188" i="6"/>
  <c r="AD2188" i="6"/>
  <c r="Z2188" i="6"/>
  <c r="V2188" i="6"/>
  <c r="AH2136" i="6"/>
  <c r="AD2136" i="6"/>
  <c r="Z2136" i="6"/>
  <c r="V2136" i="6"/>
  <c r="AG2084" i="6"/>
  <c r="AC2084" i="6"/>
  <c r="Y2084" i="6"/>
  <c r="U2084" i="6"/>
  <c r="Q2029" i="6"/>
  <c r="AG2188" i="6"/>
  <c r="AG2136" i="6"/>
  <c r="AF2084" i="6"/>
  <c r="AC2188" i="6"/>
  <c r="AC2136" i="6"/>
  <c r="AB2084" i="6"/>
  <c r="Y2188" i="6"/>
  <c r="Y2136" i="6"/>
  <c r="X2084" i="6"/>
  <c r="U2188" i="6"/>
  <c r="U2136" i="6"/>
  <c r="T2084" i="6"/>
  <c r="AN2416" i="6"/>
  <c r="AJ2416" i="6"/>
  <c r="AF2416" i="6"/>
  <c r="AB2416" i="6"/>
  <c r="AV2364" i="6"/>
  <c r="AR2364" i="6"/>
  <c r="AN2364" i="6"/>
  <c r="AJ2364" i="6"/>
  <c r="AF2364" i="6"/>
  <c r="AB2364" i="6"/>
  <c r="AX2312" i="6"/>
  <c r="AT2312" i="6"/>
  <c r="AP2312" i="6"/>
  <c r="AL2312" i="6"/>
  <c r="AH2312" i="6"/>
  <c r="AD2312" i="6"/>
  <c r="X2258" i="6"/>
  <c r="X2233" i="6" s="1"/>
  <c r="AB2232" i="6"/>
  <c r="AM2416" i="6"/>
  <c r="AI2416" i="6"/>
  <c r="AE2416" i="6"/>
  <c r="AA2416" i="6"/>
  <c r="AY2364" i="6"/>
  <c r="AU2364" i="6"/>
  <c r="AQ2364" i="6"/>
  <c r="AM2364" i="6"/>
  <c r="AI2364" i="6"/>
  <c r="AE2364" i="6"/>
  <c r="AA2364" i="6"/>
  <c r="AW2312" i="6"/>
  <c r="AS2312" i="6"/>
  <c r="AO2312" i="6"/>
  <c r="AK2312" i="6"/>
  <c r="AG2312" i="6"/>
  <c r="AC2312" i="6"/>
  <c r="AP2416" i="6"/>
  <c r="AL2416" i="6"/>
  <c r="AH2416" i="6"/>
  <c r="AD2416" i="6"/>
  <c r="AX2364" i="6"/>
  <c r="AT2364" i="6"/>
  <c r="AP2364" i="6"/>
  <c r="AL2364" i="6"/>
  <c r="AH2364" i="6"/>
  <c r="AD2364" i="6"/>
  <c r="AV2312" i="6"/>
  <c r="AR2312" i="6"/>
  <c r="AN2312" i="6"/>
  <c r="AJ2312" i="6"/>
  <c r="AF2312" i="6"/>
  <c r="AB2312" i="6"/>
  <c r="Z2258" i="6"/>
  <c r="AO2416" i="6"/>
  <c r="AK2416" i="6"/>
  <c r="AG2416" i="6"/>
  <c r="AC2416" i="6"/>
  <c r="AW2364" i="6"/>
  <c r="AS2364" i="6"/>
  <c r="AO2364" i="6"/>
  <c r="AK2364" i="6"/>
  <c r="AG2364" i="6"/>
  <c r="AC2364" i="6"/>
  <c r="AY2312" i="6"/>
  <c r="AU2312" i="6"/>
  <c r="AQ2312" i="6"/>
  <c r="AM2312" i="6"/>
  <c r="AI2312" i="6"/>
  <c r="AE2312" i="6"/>
  <c r="AA2312" i="6"/>
  <c r="Y2258" i="6"/>
  <c r="AH75" i="14"/>
  <c r="AC41" i="21"/>
  <c r="AD41" i="21" s="1"/>
  <c r="AN107" i="13"/>
  <c r="AO107" i="13" s="1"/>
  <c r="AP107" i="13" s="1"/>
  <c r="AQ107" i="13" s="1"/>
  <c r="AR107" i="13" s="1"/>
  <c r="AS107" i="13" s="1"/>
  <c r="AT107" i="13" s="1"/>
  <c r="AU107" i="13" s="1"/>
  <c r="AV107" i="13" s="1"/>
  <c r="AW107" i="13" s="1"/>
  <c r="AX107" i="13" s="1"/>
  <c r="AY107" i="13" s="1"/>
  <c r="AZ107" i="13" s="1"/>
  <c r="BA107" i="13" s="1"/>
  <c r="AC5" i="9"/>
  <c r="AC164" i="14"/>
  <c r="AE122" i="14"/>
  <c r="P2833" i="6"/>
  <c r="AH41" i="22"/>
  <c r="AQ2970" i="6"/>
  <c r="AM2970" i="6"/>
  <c r="AI2970" i="6"/>
  <c r="AE2970" i="6"/>
  <c r="AA2970" i="6"/>
  <c r="Z2839" i="6"/>
  <c r="AT2970" i="6"/>
  <c r="AP2970" i="6"/>
  <c r="AL2970" i="6"/>
  <c r="AH2970" i="6"/>
  <c r="AD2970" i="6"/>
  <c r="Z2970" i="6"/>
  <c r="AS2970" i="6"/>
  <c r="AK2970" i="6"/>
  <c r="AC2970" i="6"/>
  <c r="Z2840" i="6"/>
  <c r="AR2970" i="6"/>
  <c r="AJ2970" i="6"/>
  <c r="AB2970" i="6"/>
  <c r="AO2970" i="6"/>
  <c r="AG2970" i="6"/>
  <c r="AN2970" i="6"/>
  <c r="AF2970" i="6"/>
  <c r="AF78" i="22"/>
  <c r="AH78" i="22"/>
  <c r="AE57" i="22"/>
  <c r="AD40" i="20"/>
  <c r="AC118" i="14"/>
  <c r="AO43" i="22"/>
  <c r="R2285" i="6"/>
  <c r="R2286" i="6"/>
  <c r="AD56" i="20"/>
  <c r="AD168" i="14"/>
  <c r="AF158" i="18"/>
  <c r="AF100" i="21"/>
  <c r="AE77" i="20"/>
  <c r="AM111" i="13"/>
  <c r="AN111" i="13" s="1"/>
  <c r="AC64" i="22"/>
  <c r="AD64" i="22"/>
  <c r="AC76" i="14"/>
  <c r="AG182" i="14"/>
  <c r="AH182" i="14" s="1"/>
  <c r="AG41" i="18"/>
  <c r="AF69" i="22"/>
  <c r="AG69" i="22" s="1"/>
  <c r="AI49" i="17"/>
  <c r="AJ49" i="17" s="1"/>
  <c r="AK49" i="17" s="1"/>
  <c r="AL49" i="17" s="1"/>
  <c r="AM49" i="17" s="1"/>
  <c r="AN49" i="17" s="1"/>
  <c r="AO49" i="17" s="1"/>
  <c r="AP49" i="17" s="1"/>
  <c r="AQ49" i="17" s="1"/>
  <c r="AR49" i="17" s="1"/>
  <c r="AS49" i="17" s="1"/>
  <c r="AT49" i="17" s="1"/>
  <c r="AU49" i="17" s="1"/>
  <c r="AV49" i="17" s="1"/>
  <c r="AW49" i="17" s="1"/>
  <c r="AX49" i="17" s="1"/>
  <c r="AY49" i="17" s="1"/>
  <c r="AZ49" i="17" s="1"/>
  <c r="BA49" i="17" s="1"/>
  <c r="AG101" i="22"/>
  <c r="AD88" i="22"/>
  <c r="AD102" i="13"/>
  <c r="AF46" i="19"/>
  <c r="AB36" i="21"/>
  <c r="AI57" i="16"/>
  <c r="AJ77" i="22"/>
  <c r="AE91" i="18"/>
  <c r="AE181" i="14"/>
  <c r="S2832" i="6"/>
  <c r="Z44" i="8"/>
  <c r="AA24" i="8"/>
  <c r="AI65" i="13"/>
  <c r="AF131" i="18"/>
  <c r="AE131" i="18"/>
  <c r="AE78" i="22"/>
  <c r="AD44" i="15"/>
  <c r="AE44" i="15" s="1"/>
  <c r="AC44" i="15"/>
  <c r="AH48" i="23"/>
  <c r="R2833" i="6"/>
  <c r="I2832" i="6"/>
  <c r="AF149" i="18"/>
  <c r="P39" i="23"/>
  <c r="Q2451" i="6" s="1"/>
  <c r="P32" i="22"/>
  <c r="Q2230" i="6" s="1"/>
  <c r="P32" i="21"/>
  <c r="Q2009" i="6" s="1"/>
  <c r="P32" i="20"/>
  <c r="Q1784" i="6" s="1"/>
  <c r="P32" i="19"/>
  <c r="Q1559" i="6" s="1"/>
  <c r="P37" i="17"/>
  <c r="Q1109" i="6" s="1"/>
  <c r="P49" i="14"/>
  <c r="Q420" i="6" s="1"/>
  <c r="P42" i="16"/>
  <c r="Q882" i="6" s="1"/>
  <c r="P34" i="15"/>
  <c r="Q657" i="6" s="1"/>
  <c r="P32" i="18"/>
  <c r="Q1334" i="6" s="1"/>
  <c r="O7" i="7"/>
  <c r="P41" i="13"/>
  <c r="Q13" i="6" s="1"/>
  <c r="AF69" i="15"/>
  <c r="AN67" i="19"/>
  <c r="AO67" i="19" s="1"/>
  <c r="AP67" i="19" s="1"/>
  <c r="AQ67" i="19" s="1"/>
  <c r="AR67" i="19" s="1"/>
  <c r="AS67" i="19" s="1"/>
  <c r="AT67" i="19" s="1"/>
  <c r="AU67" i="19" s="1"/>
  <c r="AV67" i="19" s="1"/>
  <c r="AW67" i="19" s="1"/>
  <c r="AX67" i="19" s="1"/>
  <c r="AY67" i="19" s="1"/>
  <c r="AZ67" i="19" s="1"/>
  <c r="AD55" i="20"/>
  <c r="AI48" i="23"/>
  <c r="AG45" i="18"/>
  <c r="AF167" i="14"/>
  <c r="AH41" i="20"/>
  <c r="AC74" i="15"/>
  <c r="AD74" i="15"/>
  <c r="AE74" i="15" s="1"/>
  <c r="AC59" i="19"/>
  <c r="AD59" i="19"/>
  <c r="AE59" i="19"/>
  <c r="AH136" i="18"/>
  <c r="AD653" i="6"/>
  <c r="AD6" i="5"/>
  <c r="AC657" i="6"/>
  <c r="AC658" i="6"/>
  <c r="AC655" i="6"/>
  <c r="AI83" i="14"/>
  <c r="P17" i="21"/>
  <c r="R2007" i="6"/>
  <c r="AE147" i="18"/>
  <c r="AC141" i="18"/>
  <c r="AE49" i="21"/>
  <c r="AF49" i="21" s="1"/>
  <c r="AK97" i="14"/>
  <c r="AL97" i="14" s="1"/>
  <c r="AM97" i="14" s="1"/>
  <c r="AN97" i="14" s="1"/>
  <c r="AO97" i="14" s="1"/>
  <c r="AP97" i="14" s="1"/>
  <c r="AQ97" i="14" s="1"/>
  <c r="AR97" i="14" s="1"/>
  <c r="AS97" i="14" s="1"/>
  <c r="AT97" i="14" s="1"/>
  <c r="AU97" i="14" s="1"/>
  <c r="AV97" i="14" s="1"/>
  <c r="AW97" i="14" s="1"/>
  <c r="AX97" i="14" s="1"/>
  <c r="AY97" i="14" s="1"/>
  <c r="AZ97" i="14" s="1"/>
  <c r="BA97" i="14" s="1"/>
  <c r="AE116" i="18"/>
  <c r="AI104" i="13"/>
  <c r="AJ104" i="13" s="1"/>
  <c r="AH89" i="13"/>
  <c r="AD137" i="14"/>
  <c r="AI102" i="21"/>
  <c r="AF70" i="19"/>
  <c r="AD86" i="13"/>
  <c r="AE73" i="21"/>
  <c r="AG93" i="21"/>
  <c r="AE106" i="14"/>
  <c r="AE43" i="20"/>
  <c r="AD123" i="13"/>
  <c r="AG189" i="14"/>
  <c r="AH104" i="22"/>
  <c r="AD101" i="21"/>
  <c r="AI41" i="18"/>
  <c r="U15" i="9"/>
  <c r="V2671" i="6" s="1"/>
  <c r="P77" i="6"/>
  <c r="P78" i="6"/>
  <c r="AG50" i="13"/>
  <c r="AD123" i="22"/>
  <c r="AE66" i="22"/>
  <c r="AF66" i="22" s="1"/>
  <c r="AG66" i="22" s="1"/>
  <c r="AH66" i="22" s="1"/>
  <c r="AI66" i="22" s="1"/>
  <c r="AJ66" i="22" s="1"/>
  <c r="AK66" i="22" s="1"/>
  <c r="AL66" i="22" s="1"/>
  <c r="AM66" i="22" s="1"/>
  <c r="AN66" i="22" s="1"/>
  <c r="AO66" i="22" s="1"/>
  <c r="AE53" i="20"/>
  <c r="AF53" i="20" s="1"/>
  <c r="AG53" i="20" s="1"/>
  <c r="AH53" i="20" s="1"/>
  <c r="AI53" i="20" s="1"/>
  <c r="AJ53" i="20" s="1"/>
  <c r="AK53" i="20" s="1"/>
  <c r="AL53" i="20" s="1"/>
  <c r="AM53" i="20" s="1"/>
  <c r="AN53" i="20" s="1"/>
  <c r="AO53" i="20" s="1"/>
  <c r="AP53" i="20" s="1"/>
  <c r="AQ53" i="20" s="1"/>
  <c r="AR53" i="20" s="1"/>
  <c r="AS53" i="20" s="1"/>
  <c r="AT53" i="20" s="1"/>
  <c r="AU53" i="20" s="1"/>
  <c r="AV53" i="20" s="1"/>
  <c r="AW53" i="20" s="1"/>
  <c r="AX53" i="20" s="1"/>
  <c r="AY53" i="20" s="1"/>
  <c r="AZ53" i="20" s="1"/>
  <c r="BA53" i="20" s="1"/>
  <c r="AE45" i="15"/>
  <c r="W1839" i="6"/>
  <c r="W1840" i="6"/>
  <c r="P19" i="17"/>
  <c r="R1105" i="6"/>
  <c r="AG125" i="22"/>
  <c r="AA420" i="6"/>
  <c r="AA415" i="6"/>
  <c r="AB4" i="5"/>
  <c r="AA421" i="6"/>
  <c r="AA417" i="6"/>
  <c r="AB412" i="6"/>
  <c r="AB5" i="5"/>
  <c r="AA418" i="6"/>
  <c r="AA414" i="6"/>
  <c r="AD70" i="14"/>
  <c r="AG49" i="20"/>
  <c r="AH49" i="20" s="1"/>
  <c r="T713" i="6"/>
  <c r="T712" i="6"/>
  <c r="AF83" i="21"/>
  <c r="AC120" i="22"/>
  <c r="AJ60" i="14"/>
  <c r="AK60" i="14" s="1"/>
  <c r="AL60" i="14" s="1"/>
  <c r="AG141" i="14"/>
  <c r="AH141" i="14" s="1"/>
  <c r="AI141" i="14" s="1"/>
  <c r="AJ141" i="14" s="1"/>
  <c r="AK141" i="14" s="1"/>
  <c r="AL141" i="14"/>
  <c r="AJ128" i="22"/>
  <c r="AK128" i="22" s="1"/>
  <c r="AD165" i="14"/>
  <c r="AM112" i="18"/>
  <c r="AN112" i="18" s="1"/>
  <c r="AO112" i="18" s="1"/>
  <c r="AP112" i="18" s="1"/>
  <c r="AQ112" i="18" s="1"/>
  <c r="AR112" i="18" s="1"/>
  <c r="AS112" i="18" s="1"/>
  <c r="AT112" i="18" s="1"/>
  <c r="AU112" i="18" s="1"/>
  <c r="AV112" i="18" s="1"/>
  <c r="AW112" i="18" s="1"/>
  <c r="AX112" i="18" s="1"/>
  <c r="AY112" i="18" s="1"/>
  <c r="AZ112" i="18" s="1"/>
  <c r="AE85" i="21"/>
  <c r="AH66" i="17"/>
  <c r="AI66" i="17" s="1"/>
  <c r="AF66" i="17"/>
  <c r="AG66" i="17" s="1"/>
  <c r="AG89" i="14"/>
  <c r="AH89" i="14"/>
  <c r="Y712" i="6"/>
  <c r="Y713" i="6"/>
  <c r="AB17" i="18"/>
  <c r="AB1332" i="6"/>
  <c r="AF48" i="18"/>
  <c r="AA3165" i="6"/>
  <c r="AJ62" i="19"/>
  <c r="AF146" i="14"/>
  <c r="AJ110" i="18"/>
  <c r="AK110" i="18" s="1"/>
  <c r="AH110" i="18"/>
  <c r="AI110" i="18" s="1"/>
  <c r="AR46" i="20"/>
  <c r="AS46" i="20" s="1"/>
  <c r="AT46" i="20" s="1"/>
  <c r="AU46" i="20" s="1"/>
  <c r="AV46" i="20" s="1"/>
  <c r="AW46" i="20" s="1"/>
  <c r="AX46" i="20" s="1"/>
  <c r="AY46" i="20" s="1"/>
  <c r="AE148" i="14"/>
  <c r="AD76" i="15"/>
  <c r="AD50" i="16"/>
  <c r="AK96" i="18"/>
  <c r="AL96" i="18" s="1"/>
  <c r="AM96" i="18" s="1"/>
  <c r="AN96" i="18" s="1"/>
  <c r="AO96" i="18" s="1"/>
  <c r="AP96" i="18" s="1"/>
  <c r="AQ96" i="18" s="1"/>
  <c r="AR96" i="18" s="1"/>
  <c r="AS96" i="18" s="1"/>
  <c r="AT96" i="18" s="1"/>
  <c r="AU96" i="18" s="1"/>
  <c r="AV96" i="18" s="1"/>
  <c r="AW96" i="18" s="1"/>
  <c r="AX96" i="18" s="1"/>
  <c r="AY96" i="18" s="1"/>
  <c r="AZ96" i="18" s="1"/>
  <c r="AE64" i="20"/>
  <c r="T1840" i="6"/>
  <c r="T1839" i="6"/>
  <c r="AC2010" i="6"/>
  <c r="AD2005" i="6"/>
  <c r="AI197" i="14"/>
  <c r="AE87" i="14"/>
  <c r="AH87" i="22"/>
  <c r="AG42" i="21"/>
  <c r="AE63" i="16"/>
  <c r="AF63" i="16" s="1"/>
  <c r="AD68" i="15"/>
  <c r="AE68" i="15" s="1"/>
  <c r="AD39" i="19"/>
  <c r="AD180" i="14"/>
  <c r="AH47" i="21"/>
  <c r="AE84" i="13"/>
  <c r="AF60" i="20"/>
  <c r="AI76" i="20"/>
  <c r="AJ76" i="20" s="1"/>
  <c r="AK76" i="20" s="1"/>
  <c r="AL76" i="20" s="1"/>
  <c r="AM76" i="20" s="1"/>
  <c r="AN76" i="20" s="1"/>
  <c r="AO76" i="20" s="1"/>
  <c r="AP76" i="20" s="1"/>
  <c r="AQ76" i="20" s="1"/>
  <c r="AR76" i="20" s="1"/>
  <c r="AS76" i="20" s="1"/>
  <c r="AE46" i="19"/>
  <c r="AG125" i="18"/>
  <c r="AK74" i="14"/>
  <c r="AH161" i="14"/>
  <c r="AH116" i="22"/>
  <c r="AH69" i="13"/>
  <c r="AD115" i="22"/>
  <c r="AN377" i="6"/>
  <c r="AJ377" i="6"/>
  <c r="AF377" i="6"/>
  <c r="AB377" i="6"/>
  <c r="X377" i="6"/>
  <c r="W249" i="6"/>
  <c r="X29" i="5"/>
  <c r="AQ377" i="6"/>
  <c r="AM377" i="6"/>
  <c r="AI377" i="6"/>
  <c r="AE377" i="6"/>
  <c r="AA377" i="6"/>
  <c r="W377" i="6"/>
  <c r="W356" i="6" s="1"/>
  <c r="W250" i="6"/>
  <c r="AO377" i="6"/>
  <c r="AG377" i="6"/>
  <c r="Y377" i="6"/>
  <c r="AP377" i="6"/>
  <c r="AL377" i="6"/>
  <c r="AH377" i="6"/>
  <c r="AD377" i="6"/>
  <c r="Z377" i="6"/>
  <c r="AK377" i="6"/>
  <c r="AC377" i="6"/>
  <c r="AG80" i="20"/>
  <c r="AN46" i="20"/>
  <c r="AO46" i="20" s="1"/>
  <c r="AP46" i="20" s="1"/>
  <c r="AQ46" i="20" s="1"/>
  <c r="AE62" i="14"/>
  <c r="AF62" i="14" s="1"/>
  <c r="X355" i="6"/>
  <c r="AH156" i="14"/>
  <c r="AD138" i="18"/>
  <c r="AF45" i="15"/>
  <c r="AD193" i="14"/>
  <c r="AG54" i="18"/>
  <c r="AH54" i="18" s="1"/>
  <c r="AI54" i="18" s="1"/>
  <c r="AJ54" i="18" s="1"/>
  <c r="AK54" i="18" s="1"/>
  <c r="AL54" i="18" s="1"/>
  <c r="AM54" i="18" s="1"/>
  <c r="AN54" i="18" s="1"/>
  <c r="AO54" i="18" s="1"/>
  <c r="AP54" i="18" s="1"/>
  <c r="AQ54" i="18" s="1"/>
  <c r="AR54" i="18" s="1"/>
  <c r="AS54" i="18" s="1"/>
  <c r="AT54" i="18" s="1"/>
  <c r="AU54" i="18" s="1"/>
  <c r="AV54" i="18" s="1"/>
  <c r="AW54" i="18" s="1"/>
  <c r="AX54" i="18" s="1"/>
  <c r="AY54" i="18" s="1"/>
  <c r="AZ54" i="18" s="1"/>
  <c r="BA54" i="18" s="1"/>
  <c r="AB126" i="14"/>
  <c r="AF38" i="19"/>
  <c r="AG87" i="13"/>
  <c r="AC49" i="19"/>
  <c r="AH48" i="19"/>
  <c r="AI48" i="19" s="1"/>
  <c r="AJ48" i="19" s="1"/>
  <c r="AK48" i="19" s="1"/>
  <c r="AL48" i="19" s="1"/>
  <c r="AM48" i="19" s="1"/>
  <c r="AN48" i="19" s="1"/>
  <c r="AO48" i="19" s="1"/>
  <c r="AP48" i="19" s="1"/>
  <c r="AQ48" i="19" s="1"/>
  <c r="AR48" i="19" s="1"/>
  <c r="AS48" i="19" s="1"/>
  <c r="AI73" i="14"/>
  <c r="Y66" i="12"/>
  <c r="Z248" i="6"/>
  <c r="AE133" i="14"/>
  <c r="AF82" i="21"/>
  <c r="AG112" i="14"/>
  <c r="AO111" i="13"/>
  <c r="AP111" i="13" s="1"/>
  <c r="AQ111" i="13" s="1"/>
  <c r="AL42" i="22"/>
  <c r="AM42" i="22" s="1"/>
  <c r="AN42" i="22" s="1"/>
  <c r="AO42" i="22" s="1"/>
  <c r="AP42" i="22" s="1"/>
  <c r="AQ42" i="22" s="1"/>
  <c r="AJ45" i="22"/>
  <c r="AG61" i="15"/>
  <c r="AE59" i="13"/>
  <c r="F2832" i="6"/>
  <c r="AE104" i="21"/>
  <c r="AE91" i="14"/>
  <c r="AF91" i="14" s="1"/>
  <c r="AC17" i="22"/>
  <c r="AB38" i="23"/>
  <c r="AB31" i="22"/>
  <c r="AB31" i="21"/>
  <c r="AB31" i="20"/>
  <c r="AB31" i="19"/>
  <c r="AB36" i="17"/>
  <c r="AB48" i="14"/>
  <c r="AB31" i="18"/>
  <c r="AB41" i="16"/>
  <c r="AB33" i="15"/>
  <c r="AC6" i="7"/>
  <c r="AB40" i="13"/>
  <c r="AG55" i="16"/>
  <c r="AF55" i="16"/>
  <c r="AG56" i="22"/>
  <c r="AE99" i="22"/>
  <c r="AF99" i="22"/>
  <c r="AG99" i="22" s="1"/>
  <c r="AH99" i="22" s="1"/>
  <c r="AI99" i="22" s="1"/>
  <c r="AC656" i="6"/>
  <c r="AD654" i="6"/>
  <c r="AC652" i="6"/>
  <c r="Q2285" i="6"/>
  <c r="Q2286" i="6"/>
  <c r="AI67" i="17"/>
  <c r="AU120" i="14"/>
  <c r="AV120" i="14" s="1"/>
  <c r="AW120" i="14" s="1"/>
  <c r="AX120" i="14" s="1"/>
  <c r="AY120" i="14" s="1"/>
  <c r="AZ120" i="14" s="1"/>
  <c r="BA120" i="14" s="1"/>
  <c r="AD1558" i="6"/>
  <c r="AE1556" i="6"/>
  <c r="AC2004" i="6"/>
  <c r="AC2008" i="6"/>
  <c r="AD2006" i="6"/>
  <c r="AV173" i="14"/>
  <c r="AW173" i="14" s="1"/>
  <c r="AX173" i="14" s="1"/>
  <c r="AY173" i="14" s="1"/>
  <c r="AZ173" i="14" s="1"/>
  <c r="BA173" i="14" s="1"/>
  <c r="AD63" i="20"/>
  <c r="AF63" i="20"/>
  <c r="AE63" i="20"/>
  <c r="AE65" i="16"/>
  <c r="AF65" i="16"/>
  <c r="AG65" i="16" s="1"/>
  <c r="H226" i="10"/>
  <c r="I302" i="10"/>
  <c r="U1112" i="6"/>
  <c r="AJ32" i="14"/>
  <c r="AK30" i="14"/>
  <c r="AF57" i="20"/>
  <c r="AG57" i="20"/>
  <c r="AH57" i="20" s="1"/>
  <c r="AI50" i="23"/>
  <c r="AJ50" i="23" s="1"/>
  <c r="AK50" i="23" s="1"/>
  <c r="AJ182" i="14"/>
  <c r="AK182" i="14" s="1"/>
  <c r="AH92" i="13"/>
  <c r="AI92" i="13" s="1"/>
  <c r="AJ92" i="13" s="1"/>
  <c r="AK92" i="13" s="1"/>
  <c r="AL92" i="13" s="1"/>
  <c r="AM95" i="22"/>
  <c r="AN95" i="22" s="1"/>
  <c r="AO95" i="22" s="1"/>
  <c r="AP95" i="22"/>
  <c r="AQ95" i="22" s="1"/>
  <c r="R1615" i="6"/>
  <c r="R1614" i="6"/>
  <c r="AP1295" i="6"/>
  <c r="AL1295" i="6"/>
  <c r="AH1295" i="6"/>
  <c r="AD1295" i="6"/>
  <c r="AL1243" i="6"/>
  <c r="AH1243" i="6"/>
  <c r="AD1243" i="6"/>
  <c r="AM1191" i="6"/>
  <c r="AI1191" i="6"/>
  <c r="AE1191" i="6"/>
  <c r="AA1191" i="6"/>
  <c r="Y1137" i="6"/>
  <c r="U1137" i="6"/>
  <c r="AO1295" i="6"/>
  <c r="AK1295" i="6"/>
  <c r="AG1295" i="6"/>
  <c r="AC1295" i="6"/>
  <c r="AO1243" i="6"/>
  <c r="AK1243" i="6"/>
  <c r="AG1243" i="6"/>
  <c r="AC1243" i="6"/>
  <c r="AL1191" i="6"/>
  <c r="AH1191" i="6"/>
  <c r="AD1191" i="6"/>
  <c r="X1137" i="6"/>
  <c r="AB1111" i="6"/>
  <c r="AN1295" i="6"/>
  <c r="AJ1295" i="6"/>
  <c r="AF1295" i="6"/>
  <c r="AB1295" i="6"/>
  <c r="AN1243" i="6"/>
  <c r="AJ1243" i="6"/>
  <c r="AF1243" i="6"/>
  <c r="AB1243" i="6"/>
  <c r="AO1191" i="6"/>
  <c r="AK1191" i="6"/>
  <c r="AG1191" i="6"/>
  <c r="AC1191" i="6"/>
  <c r="W1137" i="6"/>
  <c r="AM1295" i="6"/>
  <c r="AI1295" i="6"/>
  <c r="AE1295" i="6"/>
  <c r="AA1295" i="6"/>
  <c r="AM1243" i="6"/>
  <c r="AI1243" i="6"/>
  <c r="AE1243" i="6"/>
  <c r="AA1243" i="6"/>
  <c r="AN1191" i="6"/>
  <c r="AJ1191" i="6"/>
  <c r="AF1191" i="6"/>
  <c r="AB1191" i="6"/>
  <c r="Z1137" i="6"/>
  <c r="V1137" i="6"/>
  <c r="AG80" i="14"/>
  <c r="AH80" i="14" s="1"/>
  <c r="AI80" i="14" s="1"/>
  <c r="AJ80" i="14" s="1"/>
  <c r="AK80" i="14" s="1"/>
  <c r="AL80" i="14" s="1"/>
  <c r="AM80" i="14" s="1"/>
  <c r="AN80" i="14" s="1"/>
  <c r="AO80" i="14" s="1"/>
  <c r="AP80" i="14" s="1"/>
  <c r="AQ80" i="14" s="1"/>
  <c r="AR80" i="14" s="1"/>
  <c r="AS80" i="14" s="1"/>
  <c r="AT80" i="14" s="1"/>
  <c r="AU80" i="14" s="1"/>
  <c r="AV80" i="14" s="1"/>
  <c r="AW80" i="14" s="1"/>
  <c r="AX80" i="14" s="1"/>
  <c r="AY80" i="14" s="1"/>
  <c r="AZ80" i="14" s="1"/>
  <c r="BA80" i="14" s="1"/>
  <c r="AP2640" i="6"/>
  <c r="AL2640" i="6"/>
  <c r="AH2640" i="6"/>
  <c r="AD2640" i="6"/>
  <c r="AQ2588" i="6"/>
  <c r="AM2588" i="6"/>
  <c r="AI2588" i="6"/>
  <c r="AE2588" i="6"/>
  <c r="AP2536" i="6"/>
  <c r="AL2536" i="6"/>
  <c r="AH2536" i="6"/>
  <c r="AD2536" i="6"/>
  <c r="AO2640" i="6"/>
  <c r="AJ2640" i="6"/>
  <c r="AE2640" i="6"/>
  <c r="AN2588" i="6"/>
  <c r="AH2588" i="6"/>
  <c r="AO2536" i="6"/>
  <c r="AJ2536" i="6"/>
  <c r="AE2536" i="6"/>
  <c r="AC2482" i="6"/>
  <c r="AC2454" i="6" s="1"/>
  <c r="AS2640" i="6"/>
  <c r="AN2640" i="6"/>
  <c r="AI2640" i="6"/>
  <c r="AR2588" i="6"/>
  <c r="AL2588" i="6"/>
  <c r="AG2588" i="6"/>
  <c r="AN2536" i="6"/>
  <c r="AI2536" i="6"/>
  <c r="AR2640" i="6"/>
  <c r="AM2640" i="6"/>
  <c r="AG2640" i="6"/>
  <c r="AP2588" i="6"/>
  <c r="AK2588" i="6"/>
  <c r="AF2588" i="6"/>
  <c r="AR2536" i="6"/>
  <c r="AM2536" i="6"/>
  <c r="AG2536" i="6"/>
  <c r="AQ2640" i="6"/>
  <c r="AJ2588" i="6"/>
  <c r="AQ2536" i="6"/>
  <c r="AK2640" i="6"/>
  <c r="AD2588" i="6"/>
  <c r="AK2536" i="6"/>
  <c r="AF2640" i="6"/>
  <c r="AF2536" i="6"/>
  <c r="AE2453" i="6"/>
  <c r="AO2588" i="6"/>
  <c r="AE21" i="5"/>
  <c r="AK83" i="14"/>
  <c r="AL83" i="14" s="1"/>
  <c r="AM83" i="14" s="1"/>
  <c r="AN83" i="14" s="1"/>
  <c r="AO83" i="14" s="1"/>
  <c r="AP83" i="14" s="1"/>
  <c r="AQ83" i="14" s="1"/>
  <c r="AR83" i="14" s="1"/>
  <c r="AS83" i="14" s="1"/>
  <c r="AT83" i="14" s="1"/>
  <c r="AU83" i="14" s="1"/>
  <c r="AV83" i="14" s="1"/>
  <c r="AW83" i="14" s="1"/>
  <c r="AX83" i="14" s="1"/>
  <c r="AY83" i="14" s="1"/>
  <c r="AZ83" i="14" s="1"/>
  <c r="BA83" i="14" s="1"/>
  <c r="AE54" i="22"/>
  <c r="AF54" i="22" s="1"/>
  <c r="AE58" i="13"/>
  <c r="AF58" i="13" s="1"/>
  <c r="AU26" i="7"/>
  <c r="AV23" i="7"/>
  <c r="AI142" i="14"/>
  <c r="AJ142" i="14" s="1"/>
  <c r="AK142" i="14"/>
  <c r="AL142" i="14" s="1"/>
  <c r="AM142" i="14" s="1"/>
  <c r="AG63" i="16"/>
  <c r="AA3112" i="6"/>
  <c r="AI67" i="14"/>
  <c r="AJ67" i="14" s="1"/>
  <c r="AK67" i="14" s="1"/>
  <c r="AL67" i="14" s="1"/>
  <c r="AM67" i="14" s="1"/>
  <c r="AN67" i="14" s="1"/>
  <c r="AO67" i="14" s="1"/>
  <c r="AP67" i="14" s="1"/>
  <c r="AQ67" i="14" s="1"/>
  <c r="AR67" i="14" s="1"/>
  <c r="AS67" i="14" s="1"/>
  <c r="AT67" i="14" s="1"/>
  <c r="AU67" i="14" s="1"/>
  <c r="AV67" i="14" s="1"/>
  <c r="AW67" i="14" s="1"/>
  <c r="AX67" i="14" s="1"/>
  <c r="AY67" i="14" s="1"/>
  <c r="AZ67" i="14" s="1"/>
  <c r="BA67" i="14" s="1"/>
  <c r="AD43" i="19"/>
  <c r="AC43" i="19"/>
  <c r="AD87" i="18"/>
  <c r="AE87" i="18"/>
  <c r="AE137" i="14"/>
  <c r="AF55" i="19"/>
  <c r="AK40" i="22"/>
  <c r="AD70" i="13"/>
  <c r="AC67" i="13"/>
  <c r="AD99" i="22"/>
  <c r="P21" i="17"/>
  <c r="R1106" i="6"/>
  <c r="S19" i="5" s="1"/>
  <c r="AG111" i="18"/>
  <c r="AH111" i="18" s="1"/>
  <c r="AF175" i="14"/>
  <c r="AF53" i="23"/>
  <c r="AD71" i="21"/>
  <c r="AF103" i="13"/>
  <c r="AG81" i="21"/>
  <c r="AG92" i="14"/>
  <c r="AH92" i="14" s="1"/>
  <c r="AI92" i="14" s="1"/>
  <c r="AJ92" i="14" s="1"/>
  <c r="AK92" i="14" s="1"/>
  <c r="AL92" i="14" s="1"/>
  <c r="AM92" i="14" s="1"/>
  <c r="AN92" i="14" s="1"/>
  <c r="AO92" i="14" s="1"/>
  <c r="AP92" i="14" s="1"/>
  <c r="AQ92" i="14" s="1"/>
  <c r="AI106" i="13"/>
  <c r="T475" i="6"/>
  <c r="T476" i="6"/>
  <c r="AC87" i="18"/>
  <c r="AI57" i="17"/>
  <c r="AJ57" i="17" s="1"/>
  <c r="AK57" i="17" s="1"/>
  <c r="AL57" i="17" s="1"/>
  <c r="AM57" i="17" s="1"/>
  <c r="AN57" i="17" s="1"/>
  <c r="AO57" i="17" s="1"/>
  <c r="AP57" i="17" s="1"/>
  <c r="AQ57" i="17" s="1"/>
  <c r="AR57" i="17" s="1"/>
  <c r="AS57" i="17" s="1"/>
  <c r="AT57" i="17" s="1"/>
  <c r="AU57" i="17" s="1"/>
  <c r="AV57" i="17" s="1"/>
  <c r="AW57" i="17" s="1"/>
  <c r="AX57" i="17" s="1"/>
  <c r="AY57" i="17" s="1"/>
  <c r="AZ57" i="17" s="1"/>
  <c r="BA57" i="17" s="1"/>
  <c r="AI41" i="22"/>
  <c r="AE58" i="16"/>
  <c r="AF91" i="18"/>
  <c r="AG149" i="14"/>
  <c r="AK80" i="18"/>
  <c r="AL80" i="18" s="1"/>
  <c r="AM80" i="18" s="1"/>
  <c r="AN80" i="18" s="1"/>
  <c r="AO80" i="18" s="1"/>
  <c r="AP80" i="18" s="1"/>
  <c r="AQ80" i="18" s="1"/>
  <c r="AR80" i="18" s="1"/>
  <c r="AS80" i="18" s="1"/>
  <c r="AT80" i="18" s="1"/>
  <c r="AU80" i="18" s="1"/>
  <c r="AV80" i="18" s="1"/>
  <c r="AW80" i="18" s="1"/>
  <c r="AX80" i="18" s="1"/>
  <c r="AY80" i="18" s="1"/>
  <c r="AZ80" i="18" s="1"/>
  <c r="AS61" i="13"/>
  <c r="AT61" i="13" s="1"/>
  <c r="AU61" i="13" s="1"/>
  <c r="N2450" i="6"/>
  <c r="N2449" i="6"/>
  <c r="O16" i="5"/>
  <c r="AG70" i="17"/>
  <c r="AC17" i="19"/>
  <c r="AC1557" i="6"/>
  <c r="AD76" i="18"/>
  <c r="AB14" i="6"/>
  <c r="AC8" i="6"/>
  <c r="AC2" i="5"/>
  <c r="AB13" i="6"/>
  <c r="AC3" i="5"/>
  <c r="AE127" i="22"/>
  <c r="AD127" i="22"/>
  <c r="AC54" i="21"/>
  <c r="AD54" i="21"/>
  <c r="AE54" i="21" s="1"/>
  <c r="AG159" i="14"/>
  <c r="AF159" i="14"/>
  <c r="AI68" i="19"/>
  <c r="AJ68" i="19" s="1"/>
  <c r="AK68" i="19" s="1"/>
  <c r="AL68" i="19" s="1"/>
  <c r="AE154" i="18"/>
  <c r="AF154" i="18" s="1"/>
  <c r="W17" i="5"/>
  <c r="W24" i="5" s="1"/>
  <c r="W42" i="5" s="1"/>
  <c r="AF121" i="14"/>
  <c r="AG121" i="14" s="1"/>
  <c r="AJ88" i="14"/>
  <c r="AF51" i="21"/>
  <c r="AC103" i="14"/>
  <c r="AE55" i="19"/>
  <c r="AL120" i="14"/>
  <c r="AM120" i="14" s="1"/>
  <c r="AN120" i="14" s="1"/>
  <c r="AO120" i="14" s="1"/>
  <c r="AP120" i="14" s="1"/>
  <c r="AQ120" i="14" s="1"/>
  <c r="AR120" i="14" s="1"/>
  <c r="AS120" i="14" s="1"/>
  <c r="AT120" i="14" s="1"/>
  <c r="AF96" i="22"/>
  <c r="AC78" i="14"/>
  <c r="AE78" i="14"/>
  <c r="AC97" i="22"/>
  <c r="AD97" i="22"/>
  <c r="AF90" i="14"/>
  <c r="AG64" i="16"/>
  <c r="AI50" i="21"/>
  <c r="AK90" i="22"/>
  <c r="AL90" i="22" s="1"/>
  <c r="AM90" i="22" s="1"/>
  <c r="AN90" i="22" s="1"/>
  <c r="AO90" i="22" s="1"/>
  <c r="AP90" i="22" s="1"/>
  <c r="AQ90" i="22" s="1"/>
  <c r="AR90" i="22" s="1"/>
  <c r="AS90" i="22" s="1"/>
  <c r="AT90" i="22" s="1"/>
  <c r="AF122" i="14"/>
  <c r="AG90" i="14"/>
  <c r="AE65" i="21"/>
  <c r="AI48" i="17"/>
  <c r="AJ48" i="17" s="1"/>
  <c r="AK48" i="17" s="1"/>
  <c r="AE3004" i="6"/>
  <c r="AH51" i="18"/>
  <c r="AI51" i="18" s="1"/>
  <c r="AC96" i="14"/>
  <c r="AD96" i="14"/>
  <c r="AE109" i="18"/>
  <c r="O16" i="6"/>
  <c r="AF176" i="14"/>
  <c r="AM51" i="23"/>
  <c r="AN51" i="23" s="1"/>
  <c r="AO51" i="23" s="1"/>
  <c r="AP51" i="23" s="1"/>
  <c r="AQ51" i="23" s="1"/>
  <c r="AR51" i="23" s="1"/>
  <c r="AS51" i="23" s="1"/>
  <c r="AH50" i="20"/>
  <c r="AF171" i="14"/>
  <c r="AE166" i="14"/>
  <c r="AY42" i="22"/>
  <c r="AZ42" i="22" s="1"/>
  <c r="BA42" i="22" s="1"/>
  <c r="AH92" i="21"/>
  <c r="AG92" i="21"/>
  <c r="AG203" i="14"/>
  <c r="AH203" i="14" s="1"/>
  <c r="AI203" i="14" s="1"/>
  <c r="AJ203" i="14" s="1"/>
  <c r="AK203" i="14" s="1"/>
  <c r="AL203" i="14" s="1"/>
  <c r="AM203" i="14" s="1"/>
  <c r="AN203" i="14" s="1"/>
  <c r="AO203" i="14" s="1"/>
  <c r="AP203" i="14" s="1"/>
  <c r="AQ203" i="14" s="1"/>
  <c r="AJ154" i="14"/>
  <c r="AF63" i="15"/>
  <c r="AI143" i="14"/>
  <c r="AJ143" i="14" s="1"/>
  <c r="AK143" i="14" s="1"/>
  <c r="AL143" i="14" s="1"/>
  <c r="AM143" i="14" s="1"/>
  <c r="AN143" i="14" s="1"/>
  <c r="AO143" i="14" s="1"/>
  <c r="AP143" i="14" s="1"/>
  <c r="AQ143" i="14" s="1"/>
  <c r="AR143" i="14" s="1"/>
  <c r="AS143" i="14" s="1"/>
  <c r="AT143" i="14" s="1"/>
  <c r="AU143" i="14" s="1"/>
  <c r="AV143" i="14" s="1"/>
  <c r="AW143" i="14" s="1"/>
  <c r="AX143" i="14" s="1"/>
  <c r="AY143" i="14" s="1"/>
  <c r="AZ143" i="14" s="1"/>
  <c r="BA143" i="14" s="1"/>
  <c r="AE44" i="21"/>
  <c r="AE84" i="14"/>
  <c r="AF84" i="14" s="1"/>
  <c r="AF80" i="22"/>
  <c r="AG105" i="18"/>
  <c r="AH105" i="18" s="1"/>
  <c r="AI105" i="18" s="1"/>
  <c r="AJ105" i="18" s="1"/>
  <c r="AC73" i="20"/>
  <c r="AG53" i="23"/>
  <c r="AI41" i="20"/>
  <c r="AJ41" i="20" s="1"/>
  <c r="AK41" i="20" s="1"/>
  <c r="AL41" i="20" s="1"/>
  <c r="AM41" i="20" s="1"/>
  <c r="AN41" i="20" s="1"/>
  <c r="AO41" i="20" s="1"/>
  <c r="AP41" i="20" s="1"/>
  <c r="AQ41" i="20" s="1"/>
  <c r="AR41" i="20" s="1"/>
  <c r="AS41" i="20" s="1"/>
  <c r="AT41" i="20" s="1"/>
  <c r="AU41" i="20" s="1"/>
  <c r="AV41" i="20" s="1"/>
  <c r="AW41" i="20" s="1"/>
  <c r="AX41" i="20" s="1"/>
  <c r="AC111" i="21"/>
  <c r="O3" i="16"/>
  <c r="W1059" i="6"/>
  <c r="W1043" i="6" s="1"/>
  <c r="S1059" i="6"/>
  <c r="AC1007" i="6"/>
  <c r="Y1007" i="6"/>
  <c r="U1007" i="6"/>
  <c r="AD955" i="6"/>
  <c r="Z955" i="6"/>
  <c r="V955" i="6"/>
  <c r="R955" i="6"/>
  <c r="V1059" i="6"/>
  <c r="R1059" i="6"/>
  <c r="AF1007" i="6"/>
  <c r="AB1007" i="6"/>
  <c r="X1007" i="6"/>
  <c r="T1007" i="6"/>
  <c r="U1059" i="6"/>
  <c r="AE1007" i="6"/>
  <c r="AA1007" i="6"/>
  <c r="W1007" i="6"/>
  <c r="S1007" i="6"/>
  <c r="AF955" i="6"/>
  <c r="AB955" i="6"/>
  <c r="X955" i="6"/>
  <c r="T955" i="6"/>
  <c r="T1059" i="6"/>
  <c r="V1007" i="6"/>
  <c r="Y955" i="6"/>
  <c r="R1007" i="6"/>
  <c r="AE955" i="6"/>
  <c r="W955" i="6"/>
  <c r="AD1007" i="6"/>
  <c r="AC955" i="6"/>
  <c r="U955" i="6"/>
  <c r="Q901" i="6"/>
  <c r="Q885" i="6" s="1"/>
  <c r="Z1007" i="6"/>
  <c r="AA955" i="6"/>
  <c r="S955" i="6"/>
  <c r="AE55" i="20"/>
  <c r="AH72" i="20"/>
  <c r="AI100" i="18"/>
  <c r="AJ100" i="18"/>
  <c r="AK100" i="18" s="1"/>
  <c r="AE40" i="15"/>
  <c r="AG120" i="18"/>
  <c r="AI110" i="21"/>
  <c r="AV61" i="13"/>
  <c r="AF150" i="14"/>
  <c r="AI90" i="18"/>
  <c r="AH90" i="18"/>
  <c r="AK110" i="22"/>
  <c r="AJ110" i="22"/>
  <c r="AH149" i="14"/>
  <c r="AI149" i="14" s="1"/>
  <c r="AJ149" i="14" s="1"/>
  <c r="AK149" i="14" s="1"/>
  <c r="AL149" i="14" s="1"/>
  <c r="AB3171" i="6"/>
  <c r="P38" i="23"/>
  <c r="P31" i="22"/>
  <c r="P31" i="21"/>
  <c r="P31" i="20"/>
  <c r="P31" i="19"/>
  <c r="P36" i="17"/>
  <c r="P48" i="14"/>
  <c r="P31" i="18"/>
  <c r="P41" i="16"/>
  <c r="P40" i="13"/>
  <c r="O6" i="7"/>
  <c r="P33" i="15"/>
  <c r="AG78" i="22"/>
  <c r="AD113" i="14"/>
  <c r="AI81" i="20"/>
  <c r="AF81" i="20"/>
  <c r="AG81" i="20" s="1"/>
  <c r="AH81" i="20"/>
  <c r="AJ81" i="20" s="1"/>
  <c r="AF54" i="18"/>
  <c r="AE41" i="21"/>
  <c r="AF41" i="21" s="1"/>
  <c r="AE65" i="19"/>
  <c r="AF65" i="19" s="1"/>
  <c r="AE153" i="18"/>
  <c r="AD120" i="22"/>
  <c r="AA62" i="12"/>
  <c r="AE119" i="22"/>
  <c r="AE121" i="18"/>
  <c r="AH66" i="19"/>
  <c r="AI66" i="19" s="1"/>
  <c r="AJ66" i="19" s="1"/>
  <c r="AK66" i="19" s="1"/>
  <c r="AG66" i="19"/>
  <c r="AI76" i="13"/>
  <c r="AJ76" i="13" s="1"/>
  <c r="AK76" i="13" s="1"/>
  <c r="AH66" i="16"/>
  <c r="AI66" i="16" s="1"/>
  <c r="AD54" i="15"/>
  <c r="AZ46" i="20"/>
  <c r="BA46" i="20" s="1"/>
  <c r="AH124" i="14"/>
  <c r="AJ115" i="13"/>
  <c r="AK115" i="13" s="1"/>
  <c r="AL115" i="13" s="1"/>
  <c r="AM115" i="13" s="1"/>
  <c r="AN115" i="13" s="1"/>
  <c r="AO115" i="13" s="1"/>
  <c r="AP115" i="13" s="1"/>
  <c r="AQ115" i="13" s="1"/>
  <c r="AG56" i="16"/>
  <c r="AG103" i="22"/>
  <c r="AG140" i="18"/>
  <c r="AI91" i="22"/>
  <c r="AJ91" i="22" s="1"/>
  <c r="AL91" i="22"/>
  <c r="AK91" i="22"/>
  <c r="AD98" i="21"/>
  <c r="AD130" i="14"/>
  <c r="AE152" i="14"/>
  <c r="AF152" i="14" s="1"/>
  <c r="AD152" i="14"/>
  <c r="AG152" i="14" s="1"/>
  <c r="AH60" i="22"/>
  <c r="AG60" i="22"/>
  <c r="AG59" i="20"/>
  <c r="AD79" i="20"/>
  <c r="AE48" i="16"/>
  <c r="AE98" i="14"/>
  <c r="AC82" i="14"/>
  <c r="AE83" i="18"/>
  <c r="AF53" i="21"/>
  <c r="AC36" i="21"/>
  <c r="AF38" i="21"/>
  <c r="AC106" i="22"/>
  <c r="AF145" i="18"/>
  <c r="AI50" i="17"/>
  <c r="AG204" i="14"/>
  <c r="AE57" i="18"/>
  <c r="AC1104" i="6"/>
  <c r="AB1108" i="6"/>
  <c r="AB1102" i="6"/>
  <c r="Y41" i="8"/>
  <c r="Z642" i="6" s="1"/>
  <c r="Y43" i="8"/>
  <c r="Z643" i="6" s="1"/>
  <c r="Y42" i="8"/>
  <c r="Z644" i="6" s="1"/>
  <c r="Z641" i="6"/>
  <c r="AA33" i="5" s="1"/>
  <c r="AF72" i="18"/>
  <c r="AF53" i="22"/>
  <c r="AG53" i="22" s="1"/>
  <c r="AF73" i="15"/>
  <c r="Q25" i="16"/>
  <c r="S880" i="6"/>
  <c r="AT51" i="23"/>
  <c r="AF145" i="14"/>
  <c r="AJ81" i="14"/>
  <c r="AH60" i="18"/>
  <c r="AC96" i="13"/>
  <c r="AH48" i="21"/>
  <c r="AI48" i="21" s="1"/>
  <c r="AD69" i="17"/>
  <c r="AD75" i="18"/>
  <c r="AC47" i="18"/>
  <c r="AD47" i="18"/>
  <c r="AD1330" i="6"/>
  <c r="AD10" i="5"/>
  <c r="AG63" i="21"/>
  <c r="AG52" i="16"/>
  <c r="AD58" i="15"/>
  <c r="AG61" i="16"/>
  <c r="AI43" i="15"/>
  <c r="AH121" i="14"/>
  <c r="AI121" i="14"/>
  <c r="AE95" i="14"/>
  <c r="AD131" i="14"/>
  <c r="AC36" i="20"/>
  <c r="AF39" i="20"/>
  <c r="AJ197" i="14"/>
  <c r="AM74" i="18"/>
  <c r="T1389" i="6"/>
  <c r="T1390" i="6"/>
  <c r="AH89" i="21"/>
  <c r="AC48" i="15"/>
  <c r="AF55" i="20"/>
  <c r="AB36" i="20"/>
  <c r="AG127" i="18"/>
  <c r="AC47" i="23"/>
  <c r="AE82" i="20"/>
  <c r="AG63" i="19"/>
  <c r="AY41" i="20"/>
  <c r="AZ41" i="20" s="1"/>
  <c r="BA41" i="20" s="1"/>
  <c r="AD68" i="14"/>
  <c r="AD191" i="14"/>
  <c r="AH57" i="17"/>
  <c r="AG122" i="14"/>
  <c r="AH122" i="14" s="1"/>
  <c r="AF92" i="14"/>
  <c r="AH80" i="18"/>
  <c r="AG112" i="22"/>
  <c r="AF112" i="22"/>
  <c r="AJ39" i="21"/>
  <c r="AH75" i="20"/>
  <c r="AE844" i="6"/>
  <c r="AM792" i="6"/>
  <c r="AI792" i="6"/>
  <c r="AE792" i="6"/>
  <c r="AN740" i="6"/>
  <c r="AJ740" i="6"/>
  <c r="AF740" i="6"/>
  <c r="AB740" i="6"/>
  <c r="AD844" i="6"/>
  <c r="AP792" i="6"/>
  <c r="AL792" i="6"/>
  <c r="AH792" i="6"/>
  <c r="AD792" i="6"/>
  <c r="AM740" i="6"/>
  <c r="AI740" i="6"/>
  <c r="AE740" i="6"/>
  <c r="Z686" i="6"/>
  <c r="AC659" i="6"/>
  <c r="AG844" i="6"/>
  <c r="AC844" i="6"/>
  <c r="AO792" i="6"/>
  <c r="AK792" i="6"/>
  <c r="AG792" i="6"/>
  <c r="AC792" i="6"/>
  <c r="AP740" i="6"/>
  <c r="AL740" i="6"/>
  <c r="AH740" i="6"/>
  <c r="AD740" i="6"/>
  <c r="AA686" i="6"/>
  <c r="AF844" i="6"/>
  <c r="AB844" i="6"/>
  <c r="AB818" i="6" s="1"/>
  <c r="AN792" i="6"/>
  <c r="AJ792" i="6"/>
  <c r="AF792" i="6"/>
  <c r="AB792" i="6"/>
  <c r="AO740" i="6"/>
  <c r="AK740" i="6"/>
  <c r="AG740" i="6"/>
  <c r="AC740" i="6"/>
  <c r="AF86" i="22"/>
  <c r="AD69" i="18"/>
  <c r="AW61" i="13"/>
  <c r="AX61" i="13" s="1"/>
  <c r="AY61" i="13" s="1"/>
  <c r="AZ61" i="13" s="1"/>
  <c r="BA61" i="13" s="1"/>
  <c r="AD43" i="21"/>
  <c r="AE47" i="15"/>
  <c r="AC107" i="14"/>
  <c r="AJ60" i="17"/>
  <c r="AF148" i="14"/>
  <c r="AG148" i="14" s="1"/>
  <c r="AH148" i="14" s="1"/>
  <c r="AD119" i="22"/>
  <c r="AE53" i="15"/>
  <c r="AC123" i="18"/>
  <c r="AF157" i="14"/>
  <c r="X2064" i="6"/>
  <c r="X2065" i="6"/>
  <c r="AE188" i="14"/>
  <c r="AD188" i="14"/>
  <c r="AH109" i="14"/>
  <c r="AI61" i="20"/>
  <c r="AE62" i="16"/>
  <c r="AF62" i="16" s="1"/>
  <c r="AG68" i="18"/>
  <c r="AK169" i="14"/>
  <c r="AL169" i="14" s="1"/>
  <c r="AM169" i="14" s="1"/>
  <c r="AN169" i="14" s="1"/>
  <c r="AO169" i="14" s="1"/>
  <c r="AP169" i="14" s="1"/>
  <c r="AQ169" i="14" s="1"/>
  <c r="AR169" i="14" s="1"/>
  <c r="AS169" i="14" s="1"/>
  <c r="AT169" i="14" s="1"/>
  <c r="AU169" i="14" s="1"/>
  <c r="AV169" i="14" s="1"/>
  <c r="AW169" i="14" s="1"/>
  <c r="AX169" i="14" s="1"/>
  <c r="AY169" i="14" s="1"/>
  <c r="AZ169" i="14" s="1"/>
  <c r="BA169" i="14" s="1"/>
  <c r="AK52" i="23"/>
  <c r="AL52" i="23" s="1"/>
  <c r="AM52" i="23" s="1"/>
  <c r="AN52" i="23" s="1"/>
  <c r="AO52" i="23" s="1"/>
  <c r="AP52" i="23" s="1"/>
  <c r="AQ52" i="23" s="1"/>
  <c r="AR52" i="23" s="1"/>
  <c r="AS52" i="23" s="1"/>
  <c r="AT52" i="23" s="1"/>
  <c r="AU52" i="23" s="1"/>
  <c r="AV52" i="23" s="1"/>
  <c r="AW52" i="23" s="1"/>
  <c r="AX52" i="23" s="1"/>
  <c r="AY52" i="23" s="1"/>
  <c r="AZ52" i="23" s="1"/>
  <c r="AC68" i="15"/>
  <c r="AH53" i="22"/>
  <c r="AI53" i="22" s="1"/>
  <c r="AJ53" i="22" s="1"/>
  <c r="AC71" i="14"/>
  <c r="AG71" i="13"/>
  <c r="AF95" i="21"/>
  <c r="P17" i="20"/>
  <c r="R1782" i="6"/>
  <c r="AJ118" i="18"/>
  <c r="AK118" i="18" s="1"/>
  <c r="AL118" i="18" s="1"/>
  <c r="AI77" i="13"/>
  <c r="AJ77" i="13" s="1"/>
  <c r="AF72" i="13"/>
  <c r="AE101" i="21"/>
  <c r="AH41" i="18"/>
  <c r="AC36" i="22"/>
  <c r="AE38" i="22"/>
  <c r="AE101" i="13"/>
  <c r="AM2916" i="6"/>
  <c r="AI2916" i="6"/>
  <c r="AE2916" i="6"/>
  <c r="AA2916" i="6"/>
  <c r="AL2864" i="6"/>
  <c r="AH2864" i="6"/>
  <c r="AD2864" i="6"/>
  <c r="Z2864" i="6"/>
  <c r="AH2916" i="6"/>
  <c r="AC2916" i="6"/>
  <c r="AM2864" i="6"/>
  <c r="AG2864" i="6"/>
  <c r="AB2864" i="6"/>
  <c r="AL2916" i="6"/>
  <c r="AG2916" i="6"/>
  <c r="AB2916" i="6"/>
  <c r="AK2864" i="6"/>
  <c r="AF2864" i="6"/>
  <c r="AA2864" i="6"/>
  <c r="AK2916" i="6"/>
  <c r="AF2916" i="6"/>
  <c r="Z2916" i="6"/>
  <c r="Y2916" i="6"/>
  <c r="Y2893" i="6" s="1" a="1"/>
  <c r="Y2893" i="6" s="1"/>
  <c r="AC2864" i="6"/>
  <c r="AJ2864" i="6"/>
  <c r="Y2864" i="6"/>
  <c r="Y2841" i="6" s="1" a="1"/>
  <c r="Y2841" i="6" s="1"/>
  <c r="Y2999" i="6" s="1"/>
  <c r="AJ2916" i="6"/>
  <c r="AI2864" i="6"/>
  <c r="AD2916" i="6"/>
  <c r="AE2864" i="6"/>
  <c r="T17" i="5"/>
  <c r="T24" i="5" s="1"/>
  <c r="T42" i="5" s="1"/>
  <c r="AH139" i="14"/>
  <c r="AE62" i="22"/>
  <c r="W20" i="9"/>
  <c r="AF73" i="22"/>
  <c r="AD118" i="13"/>
  <c r="AG51" i="17"/>
  <c r="AH84" i="18"/>
  <c r="AJ39" i="22"/>
  <c r="AG190" i="14"/>
  <c r="AF67" i="21"/>
  <c r="AD161" i="18"/>
  <c r="AF54" i="16"/>
  <c r="AD68" i="17"/>
  <c r="AI47" i="21"/>
  <c r="AG145" i="14"/>
  <c r="AH145" i="14" s="1"/>
  <c r="AD132" i="18"/>
  <c r="AF67" i="20"/>
  <c r="AF48" i="20"/>
  <c r="P17" i="19"/>
  <c r="R1557" i="6"/>
  <c r="Z416" i="6"/>
  <c r="AA35" i="5"/>
  <c r="AF95" i="14"/>
  <c r="AL62" i="15"/>
  <c r="AM62" i="15" s="1"/>
  <c r="AN62" i="15" s="1"/>
  <c r="AO62" i="15" s="1"/>
  <c r="AJ48" i="21"/>
  <c r="AK48" i="21" s="1"/>
  <c r="AL48" i="21" s="1"/>
  <c r="AM48" i="21" s="1"/>
  <c r="AN48" i="21" s="1"/>
  <c r="AO48" i="21" s="1"/>
  <c r="AP48" i="21" s="1"/>
  <c r="AQ48" i="21" s="1"/>
  <c r="AR48" i="21" s="1"/>
  <c r="AS48" i="21" s="1"/>
  <c r="AT48" i="21" s="1"/>
  <c r="AU48" i="21" s="1"/>
  <c r="AV48" i="21" s="1"/>
  <c r="AW48" i="21" s="1"/>
  <c r="AX48" i="21" s="1"/>
  <c r="AY48" i="21" s="1"/>
  <c r="AZ48" i="21" s="1"/>
  <c r="BA48" i="21" s="1"/>
  <c r="AC46" i="15"/>
  <c r="AD46" i="15"/>
  <c r="AF79" i="22"/>
  <c r="AH111" i="22"/>
  <c r="AE66" i="21"/>
  <c r="AF66" i="21" s="1"/>
  <c r="AE88" i="22"/>
  <c r="AG82" i="22"/>
  <c r="AD64" i="21"/>
  <c r="Q2" i="15"/>
  <c r="Z837" i="6"/>
  <c r="Z818" i="6" s="1"/>
  <c r="V837" i="6"/>
  <c r="AG785" i="6"/>
  <c r="AC785" i="6"/>
  <c r="Y785" i="6"/>
  <c r="U785" i="6"/>
  <c r="AH733" i="6"/>
  <c r="AD733" i="6"/>
  <c r="Z733" i="6"/>
  <c r="V733" i="6"/>
  <c r="Y837" i="6"/>
  <c r="U837" i="6"/>
  <c r="AF785" i="6"/>
  <c r="AB785" i="6"/>
  <c r="X785" i="6"/>
  <c r="AG733" i="6"/>
  <c r="AC733" i="6"/>
  <c r="Y733" i="6"/>
  <c r="U733" i="6"/>
  <c r="X837" i="6"/>
  <c r="AI785" i="6"/>
  <c r="AE785" i="6"/>
  <c r="AA785" i="6"/>
  <c r="W785" i="6"/>
  <c r="AF733" i="6"/>
  <c r="AB733" i="6"/>
  <c r="X733" i="6"/>
  <c r="S678" i="6"/>
  <c r="S660" i="6" s="1"/>
  <c r="W837" i="6"/>
  <c r="AH785" i="6"/>
  <c r="AD785" i="6"/>
  <c r="Z785" i="6"/>
  <c r="V785" i="6"/>
  <c r="AI733" i="6"/>
  <c r="AE733" i="6"/>
  <c r="AA733" i="6"/>
  <c r="W733" i="6"/>
  <c r="S679" i="6"/>
  <c r="AG59" i="18"/>
  <c r="AH59" i="18" s="1"/>
  <c r="AI59" i="18" s="1"/>
  <c r="AJ59" i="18" s="1"/>
  <c r="AK59" i="18" s="1"/>
  <c r="AL59" i="18" s="1"/>
  <c r="AM59" i="18" s="1"/>
  <c r="AN187" i="14"/>
  <c r="AO187" i="14" s="1"/>
  <c r="AP187" i="14" s="1"/>
  <c r="AQ187" i="14" s="1"/>
  <c r="AR187" i="14" s="1"/>
  <c r="AS187" i="14" s="1"/>
  <c r="AT187" i="14" s="1"/>
  <c r="AU187" i="14" s="1"/>
  <c r="AV187" i="14" s="1"/>
  <c r="AW187" i="14" s="1"/>
  <c r="AX187" i="14" s="1"/>
  <c r="AY187" i="14" s="1"/>
  <c r="AZ187" i="14" s="1"/>
  <c r="BA187" i="14" s="1"/>
  <c r="Q23" i="14"/>
  <c r="S415" i="6"/>
  <c r="P17" i="22"/>
  <c r="R2228" i="6"/>
  <c r="AB3003" i="6"/>
  <c r="AC3003" i="6" s="1"/>
  <c r="S1164" i="6"/>
  <c r="S1165" i="6"/>
  <c r="AD96" i="13"/>
  <c r="AE96" i="13" s="1"/>
  <c r="AF96" i="13" s="1"/>
  <c r="AT323" i="6"/>
  <c r="AP323" i="6"/>
  <c r="AL323" i="6"/>
  <c r="AH323" i="6"/>
  <c r="AD323" i="6"/>
  <c r="Z323" i="6"/>
  <c r="V323" i="6"/>
  <c r="V303" i="6" s="1" a="1"/>
  <c r="V303" i="6" s="1"/>
  <c r="AQ271" i="6"/>
  <c r="AM271" i="6"/>
  <c r="AI271" i="6"/>
  <c r="AE271" i="6"/>
  <c r="AA271" i="6"/>
  <c r="W271" i="6"/>
  <c r="AI323" i="6"/>
  <c r="W323" i="6"/>
  <c r="AB271" i="6"/>
  <c r="AS323" i="6"/>
  <c r="AO323" i="6"/>
  <c r="AK323" i="6"/>
  <c r="AG323" i="6"/>
  <c r="AC323" i="6"/>
  <c r="Y323" i="6"/>
  <c r="AT271" i="6"/>
  <c r="AP271" i="6"/>
  <c r="AL271" i="6"/>
  <c r="AH271" i="6"/>
  <c r="AD271" i="6"/>
  <c r="Z271" i="6"/>
  <c r="V271" i="6"/>
  <c r="AQ323" i="6"/>
  <c r="AE323" i="6"/>
  <c r="AN271" i="6"/>
  <c r="AF271" i="6"/>
  <c r="AR323" i="6"/>
  <c r="AN323" i="6"/>
  <c r="AJ323" i="6"/>
  <c r="AF323" i="6"/>
  <c r="AB323" i="6"/>
  <c r="X323" i="6"/>
  <c r="AS271" i="6"/>
  <c r="AO271" i="6"/>
  <c r="AK271" i="6"/>
  <c r="AG271" i="6"/>
  <c r="AC271" i="6"/>
  <c r="Y271" i="6"/>
  <c r="AM323" i="6"/>
  <c r="AA323" i="6"/>
  <c r="AR271" i="6"/>
  <c r="AJ271" i="6"/>
  <c r="X271" i="6"/>
  <c r="AG49" i="23"/>
  <c r="AD56" i="15"/>
  <c r="AE90" i="21"/>
  <c r="AC117" i="18"/>
  <c r="AH58" i="20"/>
  <c r="AI58" i="20" s="1"/>
  <c r="AF46" i="21"/>
  <c r="AG59" i="22"/>
  <c r="AH94" i="13"/>
  <c r="AK73" i="13"/>
  <c r="AF81" i="18"/>
  <c r="AE81" i="18"/>
  <c r="AE145" i="18"/>
  <c r="AD65" i="20"/>
  <c r="AC57" i="14"/>
  <c r="AA2835" i="6"/>
  <c r="AA69" i="9"/>
  <c r="AB93" i="9"/>
  <c r="AA74" i="9"/>
  <c r="AA68" i="9"/>
  <c r="AB2837" i="6" s="1"/>
  <c r="AA65" i="9"/>
  <c r="AA63" i="9"/>
  <c r="AA57" i="9"/>
  <c r="AB3002" i="6" s="1"/>
  <c r="AA4" i="9"/>
  <c r="AA92" i="9"/>
  <c r="AA66" i="9"/>
  <c r="AA64" i="9"/>
  <c r="AA61" i="9"/>
  <c r="AB3005" i="6" s="1"/>
  <c r="AA58" i="9"/>
  <c r="AA16" i="9"/>
  <c r="AA8" i="9"/>
  <c r="AB2670" i="6" s="1"/>
  <c r="AA3" i="9"/>
  <c r="AB2668" i="6" s="1"/>
  <c r="P2" i="14"/>
  <c r="AG600" i="6"/>
  <c r="AC600" i="6"/>
  <c r="Y600" i="6"/>
  <c r="U600" i="6"/>
  <c r="AH548" i="6"/>
  <c r="AD548" i="6"/>
  <c r="Z548" i="6"/>
  <c r="V548" i="6"/>
  <c r="AH496" i="6"/>
  <c r="AD496" i="6"/>
  <c r="Z496" i="6"/>
  <c r="V496" i="6"/>
  <c r="R442" i="6"/>
  <c r="R440" i="6"/>
  <c r="AJ600" i="6"/>
  <c r="AF600" i="6"/>
  <c r="AB600" i="6"/>
  <c r="X600" i="6"/>
  <c r="AG548" i="6"/>
  <c r="AC548" i="6"/>
  <c r="Y548" i="6"/>
  <c r="U548" i="6"/>
  <c r="AG496" i="6"/>
  <c r="AC496" i="6"/>
  <c r="Y496" i="6"/>
  <c r="U496" i="6"/>
  <c r="AD600" i="6"/>
  <c r="V600" i="6"/>
  <c r="AI548" i="6"/>
  <c r="AA548" i="6"/>
  <c r="AD529" i="6"/>
  <c r="AE496" i="6"/>
  <c r="AI600" i="6"/>
  <c r="AE600" i="6"/>
  <c r="AA600" i="6"/>
  <c r="W600" i="6"/>
  <c r="AF548" i="6"/>
  <c r="AB548" i="6"/>
  <c r="X548" i="6"/>
  <c r="AF496" i="6"/>
  <c r="AB496" i="6"/>
  <c r="X496" i="6"/>
  <c r="R441" i="6"/>
  <c r="AH600" i="6"/>
  <c r="Z600" i="6"/>
  <c r="AE548" i="6"/>
  <c r="W548" i="6"/>
  <c r="AI496" i="6"/>
  <c r="AA496" i="6"/>
  <c r="W496" i="6"/>
  <c r="AC56" i="17"/>
  <c r="AF206" i="14"/>
  <c r="AH48" i="22"/>
  <c r="AE43" i="21"/>
  <c r="AG176" i="14"/>
  <c r="AG87" i="22"/>
  <c r="AB44" i="17"/>
  <c r="AC46" i="17"/>
  <c r="AD46" i="17"/>
  <c r="AE46" i="17"/>
  <c r="AH52" i="13"/>
  <c r="AG46" i="18"/>
  <c r="AF94" i="18"/>
  <c r="AR111" i="13"/>
  <c r="AS111" i="13" s="1"/>
  <c r="AT111" i="13" s="1"/>
  <c r="AU111" i="13" s="1"/>
  <c r="AV111" i="13" s="1"/>
  <c r="AW111" i="13" s="1"/>
  <c r="AX111" i="13" s="1"/>
  <c r="AY111" i="13" s="1"/>
  <c r="AZ111" i="13" s="1"/>
  <c r="BA111" i="13" s="1"/>
  <c r="AI107" i="21"/>
  <c r="AH78" i="20"/>
  <c r="AN2196" i="6"/>
  <c r="AJ2196" i="6"/>
  <c r="AF2196" i="6"/>
  <c r="AB2196" i="6"/>
  <c r="AN2144" i="6"/>
  <c r="AJ2144" i="6"/>
  <c r="AF2144" i="6"/>
  <c r="AB2144" i="6"/>
  <c r="AM2092" i="6"/>
  <c r="AI2092" i="6"/>
  <c r="AE2092" i="6"/>
  <c r="Y2038" i="6"/>
  <c r="Y2012" i="6" s="1"/>
  <c r="AQ2196" i="6"/>
  <c r="AM2196" i="6"/>
  <c r="AI2196" i="6"/>
  <c r="AE2196" i="6"/>
  <c r="AM2144" i="6"/>
  <c r="AI2144" i="6"/>
  <c r="AE2144" i="6"/>
  <c r="AP2092" i="6"/>
  <c r="AL2092" i="6"/>
  <c r="AH2092" i="6"/>
  <c r="AD2092" i="6"/>
  <c r="AP2196" i="6"/>
  <c r="AL2196" i="6"/>
  <c r="AH2196" i="6"/>
  <c r="AD2196" i="6"/>
  <c r="AP2144" i="6"/>
  <c r="AL2144" i="6"/>
  <c r="AH2144" i="6"/>
  <c r="AD2144" i="6"/>
  <c r="AO2092" i="6"/>
  <c r="AK2092" i="6"/>
  <c r="AG2092" i="6"/>
  <c r="AC2092" i="6"/>
  <c r="AA2038" i="6"/>
  <c r="AC2011" i="6"/>
  <c r="AO2196" i="6"/>
  <c r="AG2144" i="6"/>
  <c r="AF2092" i="6"/>
  <c r="Z2038" i="6"/>
  <c r="AK2196" i="6"/>
  <c r="AC2144" i="6"/>
  <c r="AB2092" i="6"/>
  <c r="AG2196" i="6"/>
  <c r="AO2144" i="6"/>
  <c r="AN2092" i="6"/>
  <c r="AC2196" i="6"/>
  <c r="AK2144" i="6"/>
  <c r="AJ2092" i="6"/>
  <c r="AE99" i="21"/>
  <c r="AD69" i="14"/>
  <c r="AF85" i="13"/>
  <c r="AG85" i="13" s="1"/>
  <c r="AH85" i="13" s="1"/>
  <c r="AI85" i="13" s="1"/>
  <c r="AJ85" i="13" s="1"/>
  <c r="AK85" i="13" s="1"/>
  <c r="AL85" i="13" s="1"/>
  <c r="AM85" i="13" s="1"/>
  <c r="AN85" i="13" s="1"/>
  <c r="AO85" i="13" s="1"/>
  <c r="AE105" i="13"/>
  <c r="AG105" i="22"/>
  <c r="AF77" i="14"/>
  <c r="Y36" i="11"/>
  <c r="Y3170" i="6"/>
  <c r="AD102" i="18"/>
  <c r="AE102" i="18" s="1"/>
  <c r="AF102" i="18" s="1"/>
  <c r="AG102" i="18" s="1"/>
  <c r="AH52" i="22"/>
  <c r="AE100" i="14"/>
  <c r="AG60" i="20"/>
  <c r="AD67" i="12"/>
  <c r="AG46" i="19"/>
  <c r="AH46" i="19" s="1"/>
  <c r="AE115" i="22"/>
  <c r="AF115" i="22" s="1"/>
  <c r="AG85" i="22"/>
  <c r="AE151" i="18"/>
  <c r="AD151" i="14"/>
  <c r="AD156" i="18"/>
  <c r="AE156" i="18" s="1"/>
  <c r="AG124" i="18"/>
  <c r="L2833" i="6"/>
  <c r="AC877" i="6"/>
  <c r="AC881" i="6"/>
  <c r="AD879" i="6"/>
  <c r="AD58" i="21"/>
  <c r="AJ68" i="13"/>
  <c r="AK68" i="13" s="1"/>
  <c r="AL68" i="13" s="1"/>
  <c r="AM68" i="13" s="1"/>
  <c r="AN68" i="13" s="1"/>
  <c r="AO68" i="13" s="1"/>
  <c r="AP68" i="13" s="1"/>
  <c r="AQ68" i="13" s="1"/>
  <c r="AE103" i="18"/>
  <c r="AG178" i="14"/>
  <c r="AF138" i="14"/>
  <c r="W66" i="12"/>
  <c r="X248" i="6"/>
  <c r="AD150" i="18"/>
  <c r="P24" i="17"/>
  <c r="R1107" i="6"/>
  <c r="S18" i="5" s="1"/>
  <c r="AH62" i="18"/>
  <c r="AI62" i="18" s="1"/>
  <c r="AJ62" i="18" s="1"/>
  <c r="AH105" i="22"/>
  <c r="AI105" i="22" s="1"/>
  <c r="AG96" i="21"/>
  <c r="AH96" i="21" s="1"/>
  <c r="AI96" i="21" s="1"/>
  <c r="AF120" i="13"/>
  <c r="AE200" i="14"/>
  <c r="AF124" i="22"/>
  <c r="AH71" i="22"/>
  <c r="AC97" i="18"/>
  <c r="AD90" i="13"/>
  <c r="AG126" i="18"/>
  <c r="AE84" i="22"/>
  <c r="AF84" i="22" s="1"/>
  <c r="AG84" i="22" s="1"/>
  <c r="AH84" i="22" s="1"/>
  <c r="AI107" i="22"/>
  <c r="AJ107" i="22" s="1"/>
  <c r="AF74" i="22"/>
  <c r="AJ99" i="13"/>
  <c r="AE68" i="22"/>
  <c r="AF44" i="21"/>
  <c r="Q17" i="18"/>
  <c r="S1332" i="6"/>
  <c r="AG170" i="14"/>
  <c r="AB60" i="12"/>
  <c r="AG85" i="18"/>
  <c r="AH85" i="18" s="1"/>
  <c r="AI85" i="18" s="1"/>
  <c r="AJ85" i="18" s="1"/>
  <c r="AK85" i="18" s="1"/>
  <c r="AL85" i="18" s="1"/>
  <c r="AM85" i="18" s="1"/>
  <c r="AN85" i="18" s="1"/>
  <c r="AO85" i="18" s="1"/>
  <c r="AP85" i="18" s="1"/>
  <c r="AQ85" i="18" s="1"/>
  <c r="AR85" i="18" s="1"/>
  <c r="AS85" i="18" s="1"/>
  <c r="AT85" i="18" s="1"/>
  <c r="AU85" i="18" s="1"/>
  <c r="AV85" i="18" s="1"/>
  <c r="AF60" i="19"/>
  <c r="AE60" i="21"/>
  <c r="AM49" i="18"/>
  <c r="AH143" i="18"/>
  <c r="AI112" i="14"/>
  <c r="AR42" i="22"/>
  <c r="AS42" i="22" s="1"/>
  <c r="AT42" i="22" s="1"/>
  <c r="AU42" i="22" s="1"/>
  <c r="AV42" i="22" s="1"/>
  <c r="AE110" i="14"/>
  <c r="AI79" i="18"/>
  <c r="AJ79" i="18" s="1"/>
  <c r="AK79" i="18" s="1"/>
  <c r="AL79" i="18" s="1"/>
  <c r="AM79" i="18" s="1"/>
  <c r="AN79" i="18" s="1"/>
  <c r="AO79" i="18" s="1"/>
  <c r="AP79" i="18" s="1"/>
  <c r="AQ79" i="18" s="1"/>
  <c r="AR79" i="18" s="1"/>
  <c r="AS79" i="18" s="1"/>
  <c r="AT79" i="18" s="1"/>
  <c r="AU79" i="18" s="1"/>
  <c r="AV79" i="18" s="1"/>
  <c r="AW79" i="18" s="1"/>
  <c r="AX79" i="18" s="1"/>
  <c r="AY79" i="18" s="1"/>
  <c r="AZ79" i="18" s="1"/>
  <c r="AH155" i="18"/>
  <c r="AF40" i="21"/>
  <c r="AG48" i="18"/>
  <c r="AH48" i="18" s="1"/>
  <c r="AI48" i="18" s="1"/>
  <c r="AJ48" i="18" s="1"/>
  <c r="AK48" i="18" s="1"/>
  <c r="AL48" i="18" s="1"/>
  <c r="AM48" i="18" s="1"/>
  <c r="AN48" i="18" s="1"/>
  <c r="AO48" i="18" s="1"/>
  <c r="AP48" i="18" s="1"/>
  <c r="AQ48" i="18" s="1"/>
  <c r="AR48" i="18" s="1"/>
  <c r="AS48" i="18" s="1"/>
  <c r="AT48" i="18" s="1"/>
  <c r="AU48" i="18" s="1"/>
  <c r="AV48" i="18" s="1"/>
  <c r="AW48" i="18" s="1"/>
  <c r="AX48" i="18" s="1"/>
  <c r="AY48" i="18" s="1"/>
  <c r="AZ48" i="18" s="1"/>
  <c r="BA48" i="18" s="1"/>
  <c r="AF86" i="21"/>
  <c r="AF194" i="14"/>
  <c r="AG194" i="14"/>
  <c r="AH194" i="14" s="1"/>
  <c r="AD108" i="14"/>
  <c r="AH53" i="23"/>
  <c r="AI53" i="23" s="1"/>
  <c r="AJ53" i="23" s="1"/>
  <c r="AE108" i="14"/>
  <c r="AF108" i="14" s="1"/>
  <c r="AF105" i="22"/>
  <c r="AP1970" i="6"/>
  <c r="AL1970" i="6"/>
  <c r="AH1970" i="6"/>
  <c r="AD1970" i="6"/>
  <c r="AO1918" i="6"/>
  <c r="AK1918" i="6"/>
  <c r="AG1918" i="6"/>
  <c r="AC1918" i="6"/>
  <c r="AN1866" i="6"/>
  <c r="AJ1866" i="6"/>
  <c r="AF1866" i="6"/>
  <c r="AB1866" i="6"/>
  <c r="AO1970" i="6"/>
  <c r="AK1970" i="6"/>
  <c r="AG1970" i="6"/>
  <c r="AC1970" i="6"/>
  <c r="AN1918" i="6"/>
  <c r="AJ1918" i="6"/>
  <c r="AF1918" i="6"/>
  <c r="AB1918" i="6"/>
  <c r="AM1866" i="6"/>
  <c r="AI1866" i="6"/>
  <c r="AE1866" i="6"/>
  <c r="AA1866" i="6"/>
  <c r="Y1812" i="6"/>
  <c r="AN1970" i="6"/>
  <c r="AJ1970" i="6"/>
  <c r="AF1970" i="6"/>
  <c r="AB1970" i="6"/>
  <c r="AM1918" i="6"/>
  <c r="AI1918" i="6"/>
  <c r="AE1918" i="6"/>
  <c r="AA1918" i="6"/>
  <c r="AL1866" i="6"/>
  <c r="AH1866" i="6"/>
  <c r="AD1866" i="6"/>
  <c r="AE1970" i="6"/>
  <c r="AL1918" i="6"/>
  <c r="AK1866" i="6"/>
  <c r="AA1970" i="6"/>
  <c r="AH1918" i="6"/>
  <c r="AG1866" i="6"/>
  <c r="AM1970" i="6"/>
  <c r="AD1918" i="6"/>
  <c r="AC1866" i="6"/>
  <c r="Z1812" i="6"/>
  <c r="AI1970" i="6"/>
  <c r="AO1866" i="6"/>
  <c r="X1812" i="6"/>
  <c r="X1787" i="6" s="1"/>
  <c r="AB1786" i="6"/>
  <c r="AE50" i="22"/>
  <c r="AD50" i="22"/>
  <c r="AK64" i="13"/>
  <c r="AL64" i="13" s="1"/>
  <c r="AM64" i="13" s="1"/>
  <c r="AN64" i="13" s="1"/>
  <c r="AO64" i="13" s="1"/>
  <c r="AP64" i="13" s="1"/>
  <c r="AQ64" i="13" s="1"/>
  <c r="AR64" i="13" s="1"/>
  <c r="AS64" i="13" s="1"/>
  <c r="AT64" i="13" s="1"/>
  <c r="AU64" i="13" s="1"/>
  <c r="AV64" i="13" s="1"/>
  <c r="AW64" i="13" s="1"/>
  <c r="AX64" i="13" s="1"/>
  <c r="AY64" i="13" s="1"/>
  <c r="AZ64" i="13" s="1"/>
  <c r="BA64" i="13" s="1"/>
  <c r="AE40" i="19"/>
  <c r="AQ63" i="13"/>
  <c r="AR63" i="13" s="1"/>
  <c r="AS63" i="13" s="1"/>
  <c r="AT63" i="13" s="1"/>
  <c r="AU63" i="13" s="1"/>
  <c r="AV63" i="13" s="1"/>
  <c r="AW63" i="13" s="1"/>
  <c r="AX63" i="13" s="1"/>
  <c r="AY63" i="13" s="1"/>
  <c r="AZ63" i="13" s="1"/>
  <c r="BA63" i="13" s="1"/>
  <c r="AM21" i="13"/>
  <c r="AL22" i="13"/>
  <c r="AD54" i="17"/>
  <c r="AI64" i="17"/>
  <c r="AS55" i="18"/>
  <c r="AT55" i="18" s="1"/>
  <c r="AU55" i="18" s="1"/>
  <c r="AV55" i="18" s="1"/>
  <c r="AW55" i="18" s="1"/>
  <c r="AX55" i="18" s="1"/>
  <c r="AY55" i="18" s="1"/>
  <c r="AZ55" i="18" s="1"/>
  <c r="BA55" i="18" s="1"/>
  <c r="AE114" i="14"/>
  <c r="AG60" i="13"/>
  <c r="AL2798" i="6"/>
  <c r="AH2798" i="6"/>
  <c r="AD2798" i="6"/>
  <c r="Z2798" i="6"/>
  <c r="V2798" i="6"/>
  <c r="U2672" i="6"/>
  <c r="AM2798" i="6"/>
  <c r="AG2798" i="6"/>
  <c r="AB2798" i="6"/>
  <c r="W2798" i="6"/>
  <c r="AK2798" i="6"/>
  <c r="AF2798" i="6"/>
  <c r="AA2798" i="6"/>
  <c r="U2798" i="6"/>
  <c r="AI2798" i="6"/>
  <c r="X2798" i="6"/>
  <c r="AO2798" i="6"/>
  <c r="AE2798" i="6"/>
  <c r="AN2798" i="6"/>
  <c r="AC2798" i="6"/>
  <c r="AJ2798" i="6"/>
  <c r="Y2798" i="6"/>
  <c r="U2673" i="6"/>
  <c r="V27" i="5"/>
  <c r="AF114" i="18"/>
  <c r="AG114" i="18" s="1"/>
  <c r="O2" i="19"/>
  <c r="AG1738" i="6"/>
  <c r="AC1738" i="6"/>
  <c r="Y1738" i="6"/>
  <c r="U1738" i="6"/>
  <c r="AG1686" i="6"/>
  <c r="AC1686" i="6"/>
  <c r="Y1686" i="6"/>
  <c r="U1686" i="6"/>
  <c r="AF1634" i="6"/>
  <c r="AB1634" i="6"/>
  <c r="X1634" i="6"/>
  <c r="T1634" i="6"/>
  <c r="AH1738" i="6"/>
  <c r="AB1738" i="6"/>
  <c r="W1738" i="6"/>
  <c r="AH1686" i="6"/>
  <c r="AB1686" i="6"/>
  <c r="W1686" i="6"/>
  <c r="AG1634" i="6"/>
  <c r="AA1634" i="6"/>
  <c r="V1634" i="6"/>
  <c r="Q1580" i="6"/>
  <c r="Q1578" i="6"/>
  <c r="AF1738" i="6"/>
  <c r="AA1738" i="6"/>
  <c r="V1738" i="6"/>
  <c r="AF1686" i="6"/>
  <c r="AA1686" i="6"/>
  <c r="V1686" i="6"/>
  <c r="AE1634" i="6"/>
  <c r="Z1634" i="6"/>
  <c r="U1634" i="6"/>
  <c r="AE1738" i="6"/>
  <c r="Z1738" i="6"/>
  <c r="T1738" i="6"/>
  <c r="AE1686" i="6"/>
  <c r="Z1686" i="6"/>
  <c r="T1686" i="6"/>
  <c r="AD1634" i="6"/>
  <c r="Y1634" i="6"/>
  <c r="AI1738" i="6"/>
  <c r="AD1738" i="6"/>
  <c r="X1738" i="6"/>
  <c r="AD1686" i="6"/>
  <c r="X1686" i="6"/>
  <c r="AH1634" i="6"/>
  <c r="AC1634" i="6"/>
  <c r="W1634" i="6"/>
  <c r="AC48" i="13"/>
  <c r="AL26" i="7"/>
  <c r="AM23" i="7"/>
  <c r="X1614" i="6"/>
  <c r="X1615" i="6"/>
  <c r="AJ61" i="20"/>
  <c r="AE52" i="19"/>
  <c r="AD52" i="19"/>
  <c r="AI78" i="22"/>
  <c r="AE89" i="22"/>
  <c r="AD133" i="18"/>
  <c r="AD65" i="19"/>
  <c r="AG77" i="21"/>
  <c r="AC22" i="13"/>
  <c r="AD21" i="13"/>
  <c r="AD52" i="20"/>
  <c r="AE93" i="18"/>
  <c r="AD92" i="18"/>
  <c r="AH45" i="20"/>
  <c r="AE43" i="18"/>
  <c r="AF43" i="18" s="1"/>
  <c r="AG43" i="18" s="1"/>
  <c r="AH43" i="18" s="1"/>
  <c r="AI43" i="18" s="1"/>
  <c r="AJ43" i="18" s="1"/>
  <c r="AK43" i="18" s="1"/>
  <c r="AL43" i="18" s="1"/>
  <c r="AM43" i="18" s="1"/>
  <c r="AN43" i="18" s="1"/>
  <c r="AO43" i="18" s="1"/>
  <c r="AP43" i="18" s="1"/>
  <c r="AQ43" i="18" s="1"/>
  <c r="AR43" i="18" s="1"/>
  <c r="AS43" i="18" s="1"/>
  <c r="AT43" i="18" s="1"/>
  <c r="AU43" i="18" s="1"/>
  <c r="AV43" i="18" s="1"/>
  <c r="AW43" i="18" s="1"/>
  <c r="AX43" i="18" s="1"/>
  <c r="Y3000" i="6"/>
  <c r="AB3112" i="6"/>
  <c r="AL3084" i="6"/>
  <c r="AH3084" i="6"/>
  <c r="AD3084" i="6"/>
  <c r="Z3084" i="6"/>
  <c r="Z3060" i="6" s="1" a="1"/>
  <c r="Z3060" i="6" s="1"/>
  <c r="AK3032" i="6"/>
  <c r="AG3032" i="6"/>
  <c r="AC3032" i="6"/>
  <c r="AK3084" i="6"/>
  <c r="AG3084" i="6"/>
  <c r="AC3084" i="6"/>
  <c r="AN3032" i="6"/>
  <c r="AJ3032" i="6"/>
  <c r="AF3032" i="6"/>
  <c r="AB3032" i="6"/>
  <c r="AI3084" i="6"/>
  <c r="AA3084" i="6"/>
  <c r="AH3032" i="6"/>
  <c r="Z3032" i="6"/>
  <c r="Z3008" i="6" s="1" a="1"/>
  <c r="Z3008" i="6" s="1"/>
  <c r="AN3084" i="6"/>
  <c r="AF3084" i="6"/>
  <c r="AM3032" i="6"/>
  <c r="AE3032" i="6"/>
  <c r="AM3084" i="6"/>
  <c r="AE3084" i="6"/>
  <c r="AL3032" i="6"/>
  <c r="AD3032" i="6"/>
  <c r="AJ3084" i="6"/>
  <c r="AI3032" i="6"/>
  <c r="AB3084" i="6"/>
  <c r="AA3032" i="6"/>
  <c r="AA26" i="5"/>
  <c r="K15" i="23"/>
  <c r="M2448" i="6"/>
  <c r="AM68" i="19"/>
  <c r="AN68" i="19" s="1"/>
  <c r="AE133" i="18"/>
  <c r="AT208" i="6"/>
  <c r="AP208" i="6"/>
  <c r="AL208" i="6"/>
  <c r="AH208" i="6"/>
  <c r="AD208" i="6"/>
  <c r="AM156" i="6"/>
  <c r="AI156" i="6"/>
  <c r="AE156" i="6"/>
  <c r="AA156" i="6"/>
  <c r="AL104" i="6"/>
  <c r="AH104" i="6"/>
  <c r="AD104" i="6"/>
  <c r="Z41" i="6"/>
  <c r="V41" i="6"/>
  <c r="AB11" i="6"/>
  <c r="AQ208" i="6"/>
  <c r="AI208" i="6"/>
  <c r="AA208" i="6"/>
  <c r="AJ156" i="6"/>
  <c r="AM104" i="6"/>
  <c r="AS208" i="6"/>
  <c r="AO208" i="6"/>
  <c r="AK208" i="6"/>
  <c r="AG208" i="6"/>
  <c r="AC208" i="6"/>
  <c r="AL156" i="6"/>
  <c r="AH156" i="6"/>
  <c r="AD156" i="6"/>
  <c r="AO104" i="6"/>
  <c r="AK104" i="6"/>
  <c r="AG104" i="6"/>
  <c r="AC104" i="6"/>
  <c r="Y41" i="6"/>
  <c r="U41" i="6"/>
  <c r="U16" i="6" s="1"/>
  <c r="AN156" i="6"/>
  <c r="AB156" i="6"/>
  <c r="AI104" i="6"/>
  <c r="AA104" i="6"/>
  <c r="AR208" i="6"/>
  <c r="AN208" i="6"/>
  <c r="AJ208" i="6"/>
  <c r="AF208" i="6"/>
  <c r="AB208" i="6"/>
  <c r="AO156" i="6"/>
  <c r="AK156" i="6"/>
  <c r="AG156" i="6"/>
  <c r="AC156" i="6"/>
  <c r="AN104" i="6"/>
  <c r="AJ104" i="6"/>
  <c r="AF104" i="6"/>
  <c r="AB104" i="6"/>
  <c r="X41" i="6"/>
  <c r="AB15" i="6"/>
  <c r="AU208" i="6"/>
  <c r="AM208" i="6"/>
  <c r="AE208" i="6"/>
  <c r="AF156" i="6"/>
  <c r="AE104" i="6"/>
  <c r="W41" i="6"/>
  <c r="AB10" i="6"/>
  <c r="AB20" i="5"/>
  <c r="AH70" i="22"/>
  <c r="AE54" i="13"/>
  <c r="AF54" i="13" s="1"/>
  <c r="AE54" i="17"/>
  <c r="AF54" i="17" s="1"/>
  <c r="AG154" i="18"/>
  <c r="AH154" i="18" s="1"/>
  <c r="AI65" i="18"/>
  <c r="AH65" i="18"/>
  <c r="AJ65" i="18" s="1"/>
  <c r="AK104" i="13"/>
  <c r="AH117" i="14"/>
  <c r="AI117" i="14" s="1"/>
  <c r="W19" i="17"/>
  <c r="W1105" i="6"/>
  <c r="AE195" i="14"/>
  <c r="AF195" i="14" s="1"/>
  <c r="AE153" i="14"/>
  <c r="AE56" i="19"/>
  <c r="AF106" i="21"/>
  <c r="AD60" i="16"/>
  <c r="AE60" i="16" s="1"/>
  <c r="AF60" i="16" s="1"/>
  <c r="AD91" i="21"/>
  <c r="AE174" i="14"/>
  <c r="AD55" i="15"/>
  <c r="AD44" i="19"/>
  <c r="AC113" i="18"/>
  <c r="AD113" i="18"/>
  <c r="Y645" i="6"/>
  <c r="AI105" i="14"/>
  <c r="AH40" i="18"/>
  <c r="AG93" i="22"/>
  <c r="AH93" i="22" s="1"/>
  <c r="AI93" i="22" s="1"/>
  <c r="AK186" i="14"/>
  <c r="AL186" i="14" s="1"/>
  <c r="AU51" i="23"/>
  <c r="AB1783" i="6"/>
  <c r="AC1781" i="6"/>
  <c r="AB1779" i="6"/>
  <c r="AI119" i="18"/>
  <c r="AJ119" i="18" s="1"/>
  <c r="AD74" i="20"/>
  <c r="AF93" i="18"/>
  <c r="V475" i="6"/>
  <c r="V476" i="6"/>
  <c r="AD47" i="22"/>
  <c r="AD51" i="20"/>
  <c r="AF155" i="14"/>
  <c r="AG155" i="14" s="1"/>
  <c r="AD199" i="14"/>
  <c r="AG63" i="18"/>
  <c r="X66" i="12"/>
  <c r="Y248" i="6"/>
  <c r="AD80" i="21"/>
  <c r="AG105" i="21"/>
  <c r="AE75" i="15"/>
  <c r="AF75" i="15" s="1"/>
  <c r="X1389" i="6"/>
  <c r="X1390" i="6"/>
  <c r="AF44" i="22"/>
  <c r="AG118" i="22"/>
  <c r="AF42" i="19"/>
  <c r="AD51" i="15"/>
  <c r="AB2230" i="6"/>
  <c r="AB2231" i="6"/>
  <c r="AC2226" i="6"/>
  <c r="AC2228" i="6" s="1"/>
  <c r="AC13" i="5"/>
  <c r="AB57" i="14"/>
  <c r="R938" i="6"/>
  <c r="R937" i="6"/>
  <c r="AD67" i="13"/>
  <c r="AF40" i="15"/>
  <c r="AH120" i="18"/>
  <c r="AH121" i="13"/>
  <c r="AJ110" i="21"/>
  <c r="AK110" i="21" s="1"/>
  <c r="AL110" i="21" s="1"/>
  <c r="AM110" i="21" s="1"/>
  <c r="AN110" i="21" s="1"/>
  <c r="AO110" i="21" s="1"/>
  <c r="AP110" i="21" s="1"/>
  <c r="AQ110" i="21" s="1"/>
  <c r="AR110" i="21" s="1"/>
  <c r="AE165" i="14"/>
  <c r="AZ61" i="19"/>
  <c r="BA61" i="19" s="1"/>
  <c r="AD62" i="21"/>
  <c r="AE62" i="21"/>
  <c r="AF95" i="18"/>
  <c r="AJ41" i="22"/>
  <c r="AK41" i="22" s="1"/>
  <c r="AL41" i="22" s="1"/>
  <c r="AM41" i="22" s="1"/>
  <c r="AN41" i="22" s="1"/>
  <c r="AO41" i="22" s="1"/>
  <c r="AP41" i="22" s="1"/>
  <c r="AQ41" i="22" s="1"/>
  <c r="AR41" i="22" s="1"/>
  <c r="AS41" i="22" s="1"/>
  <c r="AT41" i="22" s="1"/>
  <c r="AU41" i="22" s="1"/>
  <c r="AV41" i="22" s="1"/>
  <c r="AW41" i="22" s="1"/>
  <c r="AX41" i="22" s="1"/>
  <c r="AY41" i="22" s="1"/>
  <c r="AZ41" i="22" s="1"/>
  <c r="BA41" i="22" s="1"/>
  <c r="AF49" i="20"/>
  <c r="AL50" i="18"/>
  <c r="AG65" i="15"/>
  <c r="AH55" i="17"/>
  <c r="AF58" i="18"/>
  <c r="AF57" i="18"/>
  <c r="AG57" i="18" s="1"/>
  <c r="AE52" i="20"/>
  <c r="AF52" i="20" s="1"/>
  <c r="AD3004" i="6"/>
  <c r="N2" i="22"/>
  <c r="AF2408" i="6"/>
  <c r="AB2408" i="6"/>
  <c r="X2408" i="6"/>
  <c r="T2408" i="6"/>
  <c r="AN2356" i="6"/>
  <c r="AJ2356" i="6"/>
  <c r="AF2356" i="6"/>
  <c r="AB2356" i="6"/>
  <c r="X2356" i="6"/>
  <c r="T2356" i="6"/>
  <c r="AP2304" i="6"/>
  <c r="AL2304" i="6"/>
  <c r="AH2304" i="6"/>
  <c r="AD2304" i="6"/>
  <c r="Z2304" i="6"/>
  <c r="V2304" i="6"/>
  <c r="P2250" i="6"/>
  <c r="P2248" i="6"/>
  <c r="AE2408" i="6"/>
  <c r="AA2408" i="6"/>
  <c r="W2408" i="6"/>
  <c r="S2408" i="6"/>
  <c r="AQ2356" i="6"/>
  <c r="AM2356" i="6"/>
  <c r="AI2356" i="6"/>
  <c r="AE2356" i="6"/>
  <c r="AA2356" i="6"/>
  <c r="W2356" i="6"/>
  <c r="S2356" i="6"/>
  <c r="AO2304" i="6"/>
  <c r="AK2304" i="6"/>
  <c r="AG2304" i="6"/>
  <c r="AC2304" i="6"/>
  <c r="Y2304" i="6"/>
  <c r="U2304" i="6"/>
  <c r="AH2408" i="6"/>
  <c r="AD2408" i="6"/>
  <c r="Z2408" i="6"/>
  <c r="V2408" i="6"/>
  <c r="AP2356" i="6"/>
  <c r="AL2356" i="6"/>
  <c r="AH2356" i="6"/>
  <c r="AD2356" i="6"/>
  <c r="Z2356" i="6"/>
  <c r="V2356" i="6"/>
  <c r="AN2304" i="6"/>
  <c r="AJ2304" i="6"/>
  <c r="AF2304" i="6"/>
  <c r="AB2304" i="6"/>
  <c r="X2304" i="6"/>
  <c r="T2304" i="6"/>
  <c r="P2249" i="6"/>
  <c r="AG2408" i="6"/>
  <c r="AC2408" i="6"/>
  <c r="Y2408" i="6"/>
  <c r="U2408" i="6"/>
  <c r="AO2356" i="6"/>
  <c r="AK2356" i="6"/>
  <c r="AG2356" i="6"/>
  <c r="AC2356" i="6"/>
  <c r="Y2356" i="6"/>
  <c r="U2356" i="6"/>
  <c r="AQ2304" i="6"/>
  <c r="AM2304" i="6"/>
  <c r="AI2304" i="6"/>
  <c r="AE2304" i="6"/>
  <c r="AA2304" i="6"/>
  <c r="W2304" i="6"/>
  <c r="S2304" i="6"/>
  <c r="AF45" i="21"/>
  <c r="AG45" i="21" s="1"/>
  <c r="AH45" i="21" s="1"/>
  <c r="AI45" i="21" s="1"/>
  <c r="AJ45" i="21" s="1"/>
  <c r="AK45" i="21" s="1"/>
  <c r="AL45" i="21" s="1"/>
  <c r="AM45" i="21" s="1"/>
  <c r="AN45" i="21" s="1"/>
  <c r="AO45" i="21" s="1"/>
  <c r="AP45" i="21" s="1"/>
  <c r="AP43" i="22"/>
  <c r="AQ43" i="22" s="1"/>
  <c r="AR43" i="22" s="1"/>
  <c r="AS43" i="22" s="1"/>
  <c r="AT43" i="22" s="1"/>
  <c r="AU43" i="22" s="1"/>
  <c r="AV43" i="22" s="1"/>
  <c r="AW43" i="22" s="1"/>
  <c r="AX43" i="22" s="1"/>
  <c r="AC66" i="14"/>
  <c r="AF83" i="22"/>
  <c r="AJ102" i="21"/>
  <c r="AK102" i="21" s="1"/>
  <c r="AE74" i="21"/>
  <c r="AI96" i="18"/>
  <c r="AJ96" i="18" s="1"/>
  <c r="R2506" i="6"/>
  <c r="R2507" i="6"/>
  <c r="O2" i="23"/>
  <c r="AD2628" i="6"/>
  <c r="Z2628" i="6"/>
  <c r="V2628" i="6"/>
  <c r="R2628" i="6"/>
  <c r="AE2576" i="6"/>
  <c r="AA2576" i="6"/>
  <c r="W2576" i="6"/>
  <c r="S2576" i="6"/>
  <c r="AD2524" i="6"/>
  <c r="Z2524" i="6"/>
  <c r="V2524" i="6"/>
  <c r="R2524" i="6"/>
  <c r="AC2628" i="6"/>
  <c r="X2628" i="6"/>
  <c r="S2628" i="6"/>
  <c r="AF2576" i="6"/>
  <c r="Z2576" i="6"/>
  <c r="U2576" i="6"/>
  <c r="AB2524" i="6"/>
  <c r="W2524" i="6"/>
  <c r="Q2470" i="6"/>
  <c r="Q2454" i="6" s="1"/>
  <c r="AG2628" i="6"/>
  <c r="AB2628" i="6"/>
  <c r="W2628" i="6"/>
  <c r="AD2576" i="6"/>
  <c r="Y2576" i="6"/>
  <c r="T2576" i="6"/>
  <c r="AF2524" i="6"/>
  <c r="AA2524" i="6"/>
  <c r="U2524" i="6"/>
  <c r="AF2628" i="6"/>
  <c r="AA2628" i="6"/>
  <c r="U2628" i="6"/>
  <c r="AC2576" i="6"/>
  <c r="X2576" i="6"/>
  <c r="R2576" i="6"/>
  <c r="AE2524" i="6"/>
  <c r="Y2524" i="6"/>
  <c r="T2524" i="6"/>
  <c r="S2524" i="6"/>
  <c r="AE2628" i="6"/>
  <c r="Y2628" i="6"/>
  <c r="AB2576" i="6"/>
  <c r="AC2524" i="6"/>
  <c r="T2628" i="6"/>
  <c r="V2576" i="6"/>
  <c r="X2524" i="6"/>
  <c r="AH117" i="13"/>
  <c r="AG100" i="21"/>
  <c r="AI55" i="21"/>
  <c r="S1787" i="6"/>
  <c r="AE101" i="14"/>
  <c r="AD76" i="14"/>
  <c r="AJ55" i="21"/>
  <c r="AK55" i="21" s="1"/>
  <c r="AL55" i="21" s="1"/>
  <c r="AM55" i="21" s="1"/>
  <c r="AN55" i="21" s="1"/>
  <c r="AO55" i="21" s="1"/>
  <c r="AP55" i="21" s="1"/>
  <c r="AQ55" i="21" s="1"/>
  <c r="AR55" i="21" s="1"/>
  <c r="AS55" i="21" s="1"/>
  <c r="AT55" i="21" s="1"/>
  <c r="AU55" i="21" s="1"/>
  <c r="AV55" i="21" s="1"/>
  <c r="AW55" i="21" s="1"/>
  <c r="AX55" i="21" s="1"/>
  <c r="AD115" i="18"/>
  <c r="AF115" i="18"/>
  <c r="AE115" i="18"/>
  <c r="AF119" i="14"/>
  <c r="AG119" i="14" s="1"/>
  <c r="AH119" i="14" s="1"/>
  <c r="AE116" i="13"/>
  <c r="AF153" i="14"/>
  <c r="AI53" i="19"/>
  <c r="AE92" i="18"/>
  <c r="AD51" i="19"/>
  <c r="AC51" i="19"/>
  <c r="AB46" i="16"/>
  <c r="AC883" i="6" s="1"/>
  <c r="AI45" i="20"/>
  <c r="AJ45" i="20" s="1"/>
  <c r="AF72" i="14"/>
  <c r="AG72" i="14" s="1"/>
  <c r="AH72" i="14" s="1"/>
  <c r="AI72" i="14" s="1"/>
  <c r="AJ72" i="14" s="1"/>
  <c r="AK72" i="14" s="1"/>
  <c r="AL72" i="14" s="1"/>
  <c r="AM72" i="14" s="1"/>
  <c r="AN72" i="14" s="1"/>
  <c r="AO72" i="14" s="1"/>
  <c r="AP72" i="14" s="1"/>
  <c r="AQ72" i="14" s="1"/>
  <c r="AR72" i="14" s="1"/>
  <c r="AS72" i="14" s="1"/>
  <c r="AT72" i="14" s="1"/>
  <c r="AH85" i="22"/>
  <c r="AF59" i="16"/>
  <c r="AG153" i="14"/>
  <c r="AH153" i="14" s="1"/>
  <c r="AF181" i="14"/>
  <c r="AI108" i="13"/>
  <c r="AG123" i="14"/>
  <c r="AJ108" i="21"/>
  <c r="AK108" i="21" s="1"/>
  <c r="AL108" i="21" s="1"/>
  <c r="AM108" i="21" s="1"/>
  <c r="AN108" i="21" s="1"/>
  <c r="AO108" i="21" s="1"/>
  <c r="AP108" i="21" s="1"/>
  <c r="AQ108" i="21" s="1"/>
  <c r="AR108" i="21" s="1"/>
  <c r="AS108" i="21" s="1"/>
  <c r="AT108" i="21" s="1"/>
  <c r="AU108" i="21" s="1"/>
  <c r="AV108" i="21" s="1"/>
  <c r="AW108" i="21" s="1"/>
  <c r="AX108" i="21" s="1"/>
  <c r="AY108" i="21" s="1"/>
  <c r="AZ108" i="21" s="1"/>
  <c r="AJ96" i="21"/>
  <c r="AK96" i="21" s="1"/>
  <c r="AL96" i="21" s="1"/>
  <c r="AM96" i="21" s="1"/>
  <c r="AN96" i="21" s="1"/>
  <c r="AO96" i="21" s="1"/>
  <c r="AP96" i="21" s="1"/>
  <c r="AQ96" i="21" s="1"/>
  <c r="AR96" i="21" s="1"/>
  <c r="AS96" i="21" s="1"/>
  <c r="AT96" i="21" s="1"/>
  <c r="AU96" i="21" s="1"/>
  <c r="AV96" i="21" s="1"/>
  <c r="AW96" i="21" s="1"/>
  <c r="AX96" i="21" s="1"/>
  <c r="AY96" i="21" s="1"/>
  <c r="AZ96" i="21" s="1"/>
  <c r="AK197" i="14"/>
  <c r="AL197" i="14" s="1"/>
  <c r="AJ83" i="13"/>
  <c r="AK83" i="13" s="1"/>
  <c r="AL83" i="13" s="1"/>
  <c r="AM83" i="13" s="1"/>
  <c r="AN83" i="13" s="1"/>
  <c r="AO83" i="13" s="1"/>
  <c r="AP83" i="13" s="1"/>
  <c r="AQ83" i="13" s="1"/>
  <c r="AR83" i="13" s="1"/>
  <c r="AS83" i="13" s="1"/>
  <c r="AT83" i="13" s="1"/>
  <c r="AU83" i="13" s="1"/>
  <c r="AV83" i="13" s="1"/>
  <c r="AW83" i="13" s="1"/>
  <c r="AX83" i="13" s="1"/>
  <c r="AY83" i="13" s="1"/>
  <c r="AZ83" i="13" s="1"/>
  <c r="BA83" i="13" s="1"/>
  <c r="AF63" i="17"/>
  <c r="AG63" i="17"/>
  <c r="AH63" i="17" s="1"/>
  <c r="AI63" i="17" s="1"/>
  <c r="AD92" i="22"/>
  <c r="AE92" i="22" s="1"/>
  <c r="AF52" i="18"/>
  <c r="AC1780" i="6"/>
  <c r="AB1785" i="6"/>
  <c r="AB1784" i="6"/>
  <c r="AC12" i="5"/>
  <c r="AE139" i="18"/>
  <c r="AD53" i="18"/>
  <c r="AJ103" i="9"/>
  <c r="AF108" i="18"/>
  <c r="AG93" i="18"/>
  <c r="AH93" i="18" s="1"/>
  <c r="AI93" i="18" s="1"/>
  <c r="AC196" i="14"/>
  <c r="AC126" i="14" s="1"/>
  <c r="AE78" i="13"/>
  <c r="AE117" i="22"/>
  <c r="AF117" i="22" s="1"/>
  <c r="AE157" i="18"/>
  <c r="AH52" i="16"/>
  <c r="AI52" i="16" s="1"/>
  <c r="AF58" i="19"/>
  <c r="AG58" i="19" s="1"/>
  <c r="AH58" i="19" s="1"/>
  <c r="AI58" i="19" s="1"/>
  <c r="AJ58" i="19" s="1"/>
  <c r="AK58" i="19" s="1"/>
  <c r="AL58" i="19" s="1"/>
  <c r="AM58" i="19" s="1"/>
  <c r="AN58" i="19" s="1"/>
  <c r="AO58" i="19" s="1"/>
  <c r="AP58" i="19" s="1"/>
  <c r="AQ58" i="19" s="1"/>
  <c r="AR58" i="19" s="1"/>
  <c r="AS58" i="19" s="1"/>
  <c r="AT58" i="19" s="1"/>
  <c r="AU58" i="19" s="1"/>
  <c r="AV58" i="19" s="1"/>
  <c r="AW58" i="19" s="1"/>
  <c r="AX58" i="19" s="1"/>
  <c r="AY58" i="19" s="1"/>
  <c r="AZ58" i="19" s="1"/>
  <c r="BA58" i="19" s="1"/>
  <c r="AG50" i="19"/>
  <c r="AF148" i="18"/>
  <c r="AH124" i="18"/>
  <c r="AI124" i="18" s="1"/>
  <c r="AJ124" i="18" s="1"/>
  <c r="AJ43" i="15"/>
  <c r="AK43" i="15" s="1"/>
  <c r="AL43" i="15" s="1"/>
  <c r="AM43" i="15" s="1"/>
  <c r="AF110" i="14"/>
  <c r="AE54" i="15"/>
  <c r="W24" i="17"/>
  <c r="W1107" i="6"/>
  <c r="X18" i="5" s="1"/>
  <c r="R1323" i="6"/>
  <c r="AJ31" i="14"/>
  <c r="AI33" i="14"/>
  <c r="AD144" i="14"/>
  <c r="AK39" i="22"/>
  <c r="AL39" i="22" s="1"/>
  <c r="AM39" i="22" s="1"/>
  <c r="AN39" i="22" s="1"/>
  <c r="AO39" i="22" s="1"/>
  <c r="AP39" i="22" s="1"/>
  <c r="AQ39" i="22" s="1"/>
  <c r="AD89" i="18"/>
  <c r="AE89" i="18" s="1"/>
  <c r="AF89" i="18" s="1"/>
  <c r="AG89" i="18" s="1"/>
  <c r="AD49" i="15"/>
  <c r="AB2507" i="6"/>
  <c r="AB2506" i="6"/>
  <c r="AI83" i="13"/>
  <c r="AD52" i="15"/>
  <c r="AI128" i="22"/>
  <c r="AD78" i="14"/>
  <c r="AC53" i="16"/>
  <c r="AH205" i="14"/>
  <c r="AE50" i="15"/>
  <c r="AG51" i="16"/>
  <c r="AH51" i="16" s="1"/>
  <c r="AI51" i="16" s="1"/>
  <c r="AJ51" i="16" s="1"/>
  <c r="AK51" i="16" s="1"/>
  <c r="AL51" i="16" s="1"/>
  <c r="AM51" i="16" s="1"/>
  <c r="AN51" i="16" s="1"/>
  <c r="AO51" i="16" s="1"/>
  <c r="AP51" i="16" s="1"/>
  <c r="AQ51" i="16" s="1"/>
  <c r="AR51" i="16" s="1"/>
  <c r="AS51" i="16" s="1"/>
  <c r="AT51" i="16" s="1"/>
  <c r="AU51" i="16" s="1"/>
  <c r="AV51" i="16" s="1"/>
  <c r="AW51" i="16" s="1"/>
  <c r="AX51" i="16" s="1"/>
  <c r="AY51" i="16" s="1"/>
  <c r="AZ51" i="16" s="1"/>
  <c r="BA51" i="16" s="1"/>
  <c r="AD172" i="14"/>
  <c r="AE162" i="14"/>
  <c r="AG100" i="22"/>
  <c r="AD100" i="13"/>
  <c r="AE160" i="14"/>
  <c r="AJ107" i="21"/>
  <c r="AK107" i="21" s="1"/>
  <c r="AL107" i="21" s="1"/>
  <c r="AM107" i="21" s="1"/>
  <c r="AN107" i="21" s="1"/>
  <c r="AO107" i="21" s="1"/>
  <c r="AP107" i="21" s="1"/>
  <c r="AQ107" i="21" s="1"/>
  <c r="AR107" i="21" s="1"/>
  <c r="AS107" i="21" s="1"/>
  <c r="AT107" i="21" s="1"/>
  <c r="AQ98" i="18"/>
  <c r="AR98" i="18" s="1"/>
  <c r="AS98" i="18" s="1"/>
  <c r="AT98" i="18" s="1"/>
  <c r="AU98" i="18" s="1"/>
  <c r="AV98" i="18" s="1"/>
  <c r="AW98" i="18" s="1"/>
  <c r="AX98" i="18" s="1"/>
  <c r="AY98" i="18" s="1"/>
  <c r="AZ98" i="18" s="1"/>
  <c r="AE64" i="14"/>
  <c r="AG64" i="14"/>
  <c r="AF64" i="14"/>
  <c r="AA3171" i="6"/>
  <c r="AB38" i="11"/>
  <c r="G2833" i="6"/>
  <c r="AD2448" i="6"/>
  <c r="AC2450" i="6"/>
  <c r="AC2449" i="6"/>
  <c r="AD16" i="5"/>
  <c r="AF102" i="22"/>
  <c r="AE57" i="19"/>
  <c r="AF57" i="19" s="1"/>
  <c r="AG57" i="19" s="1"/>
  <c r="AE56" i="18"/>
  <c r="AF107" i="18"/>
  <c r="AD81" i="13"/>
  <c r="AF57" i="22"/>
  <c r="AD63" i="14"/>
  <c r="AG147" i="14"/>
  <c r="AF121" i="18"/>
  <c r="AE67" i="18"/>
  <c r="AD104" i="14"/>
  <c r="AH70" i="17"/>
  <c r="AI70" i="17" s="1"/>
  <c r="AJ70" i="17" s="1"/>
  <c r="AD157" i="14"/>
  <c r="AE157" i="14"/>
  <c r="AC61" i="17"/>
  <c r="AI182" i="14"/>
  <c r="AL182" i="14" s="1"/>
  <c r="AM182" i="14" s="1"/>
  <c r="AN182" i="14" s="1"/>
  <c r="AO182" i="14" s="1"/>
  <c r="AP182" i="14" s="1"/>
  <c r="AQ182" i="14" s="1"/>
  <c r="AR182" i="14" s="1"/>
  <c r="AS182" i="14" s="1"/>
  <c r="AT182" i="14" s="1"/>
  <c r="AE82" i="13"/>
  <c r="X20" i="9"/>
  <c r="AC73" i="18"/>
  <c r="AE72" i="21"/>
  <c r="X23" i="9"/>
  <c r="AE177" i="14"/>
  <c r="AF65" i="22"/>
  <c r="AG65" i="22" s="1"/>
  <c r="AE121" i="22"/>
  <c r="AG54" i="20"/>
  <c r="AF68" i="21"/>
  <c r="AE39" i="19"/>
  <c r="AI63" i="22"/>
  <c r="AG69" i="19"/>
  <c r="AF78" i="18"/>
  <c r="AH158" i="14"/>
  <c r="AC64" i="15"/>
  <c r="AC114" i="13"/>
  <c r="AF101" i="21"/>
  <c r="AG101" i="21" s="1"/>
  <c r="AH101" i="21" s="1"/>
  <c r="AI101" i="21" s="1"/>
  <c r="AJ101" i="21" s="1"/>
  <c r="AK101" i="21" s="1"/>
  <c r="AL101" i="21" s="1"/>
  <c r="AM101" i="21" s="1"/>
  <c r="AF151" i="18"/>
  <c r="AG151" i="18" s="1"/>
  <c r="AD122" i="18"/>
  <c r="AE151" i="14"/>
  <c r="AG181" i="14"/>
  <c r="AH181" i="14" s="1"/>
  <c r="Z2945" i="6"/>
  <c r="Z2998" i="6" s="1"/>
  <c r="Z2946" i="6"/>
  <c r="P24" i="13"/>
  <c r="R10" i="6"/>
  <c r="AK56" i="21"/>
  <c r="AL56" i="21" s="1"/>
  <c r="AM56" i="21" s="1"/>
  <c r="AN56" i="21" s="1"/>
  <c r="AO56" i="21" s="1"/>
  <c r="AP56" i="21" s="1"/>
  <c r="AQ56" i="21" s="1"/>
  <c r="AC6" i="9"/>
  <c r="AF76" i="21"/>
  <c r="AH134" i="18"/>
  <c r="AH80" i="20"/>
  <c r="AI80" i="20" s="1"/>
  <c r="AG167" i="14"/>
  <c r="AG45" i="15"/>
  <c r="AH45" i="15" s="1"/>
  <c r="AI45" i="15" s="1"/>
  <c r="AH61" i="21"/>
  <c r="AE64" i="19"/>
  <c r="AD132" i="14"/>
  <c r="AV51" i="23"/>
  <c r="AW51" i="23" s="1"/>
  <c r="AX51" i="23" s="1"/>
  <c r="AY51" i="23" s="1"/>
  <c r="AZ51" i="23" s="1"/>
  <c r="AG94" i="21"/>
  <c r="AG65" i="17"/>
  <c r="AH65" i="17" s="1"/>
  <c r="AI65" i="17" s="1"/>
  <c r="AF67" i="15"/>
  <c r="V251" i="6" a="1"/>
  <c r="V251" i="6" s="1"/>
  <c r="V409" i="6" s="1"/>
  <c r="AL605" i="6"/>
  <c r="AH605" i="6"/>
  <c r="AD605" i="6"/>
  <c r="Z605" i="6"/>
  <c r="AN553" i="6"/>
  <c r="AJ553" i="6"/>
  <c r="AF553" i="6"/>
  <c r="AB553" i="6"/>
  <c r="AN501" i="6"/>
  <c r="AJ501" i="6"/>
  <c r="AF501" i="6"/>
  <c r="AB501" i="6"/>
  <c r="X447" i="6"/>
  <c r="AO605" i="6"/>
  <c r="AK605" i="6"/>
  <c r="AG605" i="6"/>
  <c r="AC605" i="6"/>
  <c r="AM553" i="6"/>
  <c r="AI553" i="6"/>
  <c r="AE553" i="6"/>
  <c r="AA553" i="6"/>
  <c r="AM501" i="6"/>
  <c r="AI501" i="6"/>
  <c r="AE501" i="6"/>
  <c r="AA501" i="6"/>
  <c r="W447" i="6"/>
  <c r="W423" i="6" s="1"/>
  <c r="AM605" i="6"/>
  <c r="AE605" i="6"/>
  <c r="AK553" i="6"/>
  <c r="AC553" i="6"/>
  <c r="AK501" i="6"/>
  <c r="AC501" i="6"/>
  <c r="Y447" i="6"/>
  <c r="AA422" i="6"/>
  <c r="AN605" i="6"/>
  <c r="AJ605" i="6"/>
  <c r="AF605" i="6"/>
  <c r="AB605" i="6"/>
  <c r="AL553" i="6"/>
  <c r="AH553" i="6"/>
  <c r="AD553" i="6"/>
  <c r="Z553" i="6"/>
  <c r="AL501" i="6"/>
  <c r="AH501" i="6"/>
  <c r="AD501" i="6"/>
  <c r="Z501" i="6"/>
  <c r="AI605" i="6"/>
  <c r="AA605" i="6"/>
  <c r="AG553" i="6"/>
  <c r="AG501" i="6"/>
  <c r="AF106" i="18"/>
  <c r="AE52" i="21"/>
  <c r="AF52" i="21"/>
  <c r="AD201" i="14"/>
  <c r="AH94" i="14"/>
  <c r="AI94" i="14" s="1"/>
  <c r="AJ94" i="14" s="1"/>
  <c r="AM141" i="14"/>
  <c r="AN141" i="14" s="1"/>
  <c r="AO141" i="14" s="1"/>
  <c r="AP141" i="14" s="1"/>
  <c r="AQ141" i="14" s="1"/>
  <c r="AR141" i="14" s="1"/>
  <c r="AS141" i="14" s="1"/>
  <c r="AT141" i="14" s="1"/>
  <c r="AU141" i="14" s="1"/>
  <c r="AV141" i="14" s="1"/>
  <c r="AW141" i="14" s="1"/>
  <c r="AX141" i="14" s="1"/>
  <c r="AY141" i="14" s="1"/>
  <c r="AZ141" i="14" s="1"/>
  <c r="BA141" i="14" s="1"/>
  <c r="AH105" i="21"/>
  <c r="AE61" i="14"/>
  <c r="AI75" i="22"/>
  <c r="AJ90" i="22"/>
  <c r="AC137" i="18"/>
  <c r="AF128" i="14"/>
  <c r="AC79" i="14"/>
  <c r="AD71" i="19"/>
  <c r="AC71" i="19"/>
  <c r="AE198" i="14"/>
  <c r="AB1109" i="6"/>
  <c r="AB1110" i="6"/>
  <c r="AC1103" i="6"/>
  <c r="AC9" i="5"/>
  <c r="AF60" i="15"/>
  <c r="AF142" i="18"/>
  <c r="AC89" i="18"/>
  <c r="P2" i="17"/>
  <c r="R1132" i="6"/>
  <c r="R1129" i="6"/>
  <c r="R1112" i="6" s="1"/>
  <c r="AE2452" i="6"/>
  <c r="AF2447" i="6"/>
  <c r="AF14" i="5"/>
  <c r="AF71" i="20"/>
  <c r="AE71" i="20"/>
  <c r="AP56" i="13"/>
  <c r="AQ56" i="13" s="1"/>
  <c r="AR56" i="13" s="1"/>
  <c r="AS56" i="13" s="1"/>
  <c r="AT56" i="13" s="1"/>
  <c r="AU56" i="13" s="1"/>
  <c r="AF90" i="21"/>
  <c r="AF128" i="18"/>
  <c r="AD140" i="14"/>
  <c r="AE140" i="14" s="1"/>
  <c r="AF140" i="14" s="1"/>
  <c r="AD117" i="18"/>
  <c r="AE117" i="18" s="1"/>
  <c r="AF117" i="18" s="1"/>
  <c r="AE93" i="14"/>
  <c r="Q21" i="15"/>
  <c r="S655" i="6"/>
  <c r="AD71" i="18"/>
  <c r="AB39" i="23"/>
  <c r="AC2451" i="6" s="1"/>
  <c r="AB32" i="22"/>
  <c r="AB32" i="21"/>
  <c r="AC2009" i="6" s="1"/>
  <c r="AB32" i="19"/>
  <c r="AB32" i="20"/>
  <c r="AB32" i="18"/>
  <c r="AC1334" i="6" s="1"/>
  <c r="AB37" i="17"/>
  <c r="AB42" i="16"/>
  <c r="AB34" i="15"/>
  <c r="AB49" i="14"/>
  <c r="AB41" i="13"/>
  <c r="AC7" i="7"/>
  <c r="AF81" i="22"/>
  <c r="AG116" i="22"/>
  <c r="V24" i="9"/>
  <c r="AG146" i="18"/>
  <c r="AG91" i="18"/>
  <c r="Z71" i="9"/>
  <c r="Z72" i="9"/>
  <c r="AA2838" i="6"/>
  <c r="AG62" i="17"/>
  <c r="AD54" i="22"/>
  <c r="AD52" i="17"/>
  <c r="AH70" i="20"/>
  <c r="AE185" i="14"/>
  <c r="AO68" i="19"/>
  <c r="AP68" i="19" s="1"/>
  <c r="AQ68" i="19" s="1"/>
  <c r="AR68" i="19" s="1"/>
  <c r="AS68" i="19" s="1"/>
  <c r="AT68" i="19" s="1"/>
  <c r="AU68" i="19" s="1"/>
  <c r="AV68" i="19" s="1"/>
  <c r="AW68" i="19" s="1"/>
  <c r="AX68" i="19" s="1"/>
  <c r="AY68" i="19" s="1"/>
  <c r="AZ68" i="19" s="1"/>
  <c r="AD109" i="13"/>
  <c r="AB17" i="20"/>
  <c r="AB1782" i="6"/>
  <c r="AD159" i="18"/>
  <c r="AE159" i="18"/>
  <c r="AD148" i="14"/>
  <c r="AD47" i="19"/>
  <c r="AG67" i="21"/>
  <c r="AH67" i="21" s="1"/>
  <c r="AI67" i="21" s="1"/>
  <c r="AJ67" i="21" s="1"/>
  <c r="AK67" i="21" s="1"/>
  <c r="AL67" i="21" s="1"/>
  <c r="AM67" i="21" s="1"/>
  <c r="AN67" i="21" s="1"/>
  <c r="AO67" i="21" s="1"/>
  <c r="AP67" i="21" s="1"/>
  <c r="AQ67" i="21" s="1"/>
  <c r="AR67" i="21" s="1"/>
  <c r="AS67" i="21" s="1"/>
  <c r="AT67" i="21" s="1"/>
  <c r="AU67" i="21" s="1"/>
  <c r="AV67" i="21" s="1"/>
  <c r="AW67" i="21" s="1"/>
  <c r="AX67" i="21" s="1"/>
  <c r="AY67" i="21" s="1"/>
  <c r="AZ67" i="21" s="1"/>
  <c r="AA20" i="5"/>
  <c r="AD61" i="12"/>
  <c r="AG87" i="21"/>
  <c r="AF66" i="18"/>
  <c r="AK160" i="18"/>
  <c r="AL160" i="18" s="1"/>
  <c r="AM160" i="18" s="1"/>
  <c r="AN160" i="18" s="1"/>
  <c r="AO160" i="18" s="1"/>
  <c r="AP160" i="18" s="1"/>
  <c r="AQ160" i="18" s="1"/>
  <c r="AR160" i="18" s="1"/>
  <c r="AS160" i="18" s="1"/>
  <c r="AT160" i="18" s="1"/>
  <c r="AU160" i="18" s="1"/>
  <c r="AV160" i="18" s="1"/>
  <c r="AW160" i="18" s="1"/>
  <c r="AX160" i="18" s="1"/>
  <c r="AY160" i="18" s="1"/>
  <c r="AZ160" i="18" s="1"/>
  <c r="AI55" i="22"/>
  <c r="AB36" i="18"/>
  <c r="AC1335" i="6" s="1"/>
  <c r="AF122" i="22"/>
  <c r="AG122" i="22" s="1"/>
  <c r="AF77" i="20"/>
  <c r="AF86" i="14"/>
  <c r="AM186" i="14"/>
  <c r="AN186" i="14" s="1"/>
  <c r="AO186" i="14" s="1"/>
  <c r="AP186" i="14" s="1"/>
  <c r="AQ186" i="14" s="1"/>
  <c r="AD5" i="9"/>
  <c r="AE5" i="9" s="1"/>
  <c r="AZ67" i="16"/>
  <c r="BA67" i="16" s="1"/>
  <c r="AF93" i="22"/>
  <c r="AD184" i="14"/>
  <c r="AJ49" i="16"/>
  <c r="AK49" i="16" s="1"/>
  <c r="AL49" i="16" s="1"/>
  <c r="AM49" i="16" s="1"/>
  <c r="AN49" i="16" s="1"/>
  <c r="AD101" i="18"/>
  <c r="AD63" i="16"/>
  <c r="AE39" i="20"/>
  <c r="AG135" i="18"/>
  <c r="AE66" i="20"/>
  <c r="AJ41" i="18"/>
  <c r="AD109" i="22"/>
  <c r="AE77" i="18"/>
  <c r="AF77" i="18" s="1"/>
  <c r="AC67" i="12"/>
  <c r="AB67" i="12"/>
  <c r="AD136" i="14"/>
  <c r="AF98" i="14"/>
  <c r="AD68" i="16"/>
  <c r="AG51" i="21"/>
  <c r="AH51" i="21" s="1"/>
  <c r="AI51" i="21" s="1"/>
  <c r="AF68" i="20"/>
  <c r="AH167" i="14"/>
  <c r="AI167" i="14" s="1"/>
  <c r="AJ167" i="14" s="1"/>
  <c r="AG57" i="21"/>
  <c r="AH57" i="21" s="1"/>
  <c r="AI75" i="20"/>
  <c r="AJ75" i="20" s="1"/>
  <c r="AK75" i="20" s="1"/>
  <c r="AI84" i="18"/>
  <c r="AJ84" i="18" s="1"/>
  <c r="AK84" i="18" s="1"/>
  <c r="AL84" i="18" s="1"/>
  <c r="AM84" i="18" s="1"/>
  <c r="AN84" i="18" s="1"/>
  <c r="AO84" i="18" s="1"/>
  <c r="AP84" i="18" s="1"/>
  <c r="AQ84" i="18" s="1"/>
  <c r="AR84" i="18" s="1"/>
  <c r="AB26" i="7"/>
  <c r="AC23" i="7"/>
  <c r="AE55" i="13"/>
  <c r="AD78" i="21"/>
  <c r="AF59" i="17"/>
  <c r="AU173" i="14"/>
  <c r="AH58" i="22"/>
  <c r="AI58" i="22" s="1"/>
  <c r="AJ58" i="22" s="1"/>
  <c r="AK58" i="22" s="1"/>
  <c r="AL58" i="22" s="1"/>
  <c r="AM58" i="22" s="1"/>
  <c r="AN58" i="22" s="1"/>
  <c r="AO58" i="22" s="1"/>
  <c r="AP58" i="22" s="1"/>
  <c r="AQ58" i="22" s="1"/>
  <c r="AR58" i="22" s="1"/>
  <c r="AG58" i="22"/>
  <c r="AC1329" i="6"/>
  <c r="AC1333" i="6"/>
  <c r="AD1331" i="6"/>
  <c r="AE53" i="17"/>
  <c r="AG102" i="14"/>
  <c r="AK81" i="14"/>
  <c r="AL81" i="14" s="1"/>
  <c r="AI88" i="18"/>
  <c r="AJ88" i="18"/>
  <c r="AK88" i="18" s="1"/>
  <c r="AL88" i="18" s="1"/>
  <c r="AM88" i="18" s="1"/>
  <c r="AN88" i="18" s="1"/>
  <c r="AO88" i="18" s="1"/>
  <c r="AH47" i="17"/>
  <c r="AG79" i="13"/>
  <c r="AF85" i="14"/>
  <c r="W355" i="6"/>
  <c r="AG51" i="13"/>
  <c r="AE123" i="13"/>
  <c r="AD79" i="21"/>
  <c r="AI156" i="14"/>
  <c r="AJ156" i="14" s="1"/>
  <c r="AK156" i="14" s="1"/>
  <c r="AL156" i="14" s="1"/>
  <c r="AM156" i="14" s="1"/>
  <c r="AN156" i="14" s="1"/>
  <c r="AO156" i="14" s="1"/>
  <c r="AP156" i="14" s="1"/>
  <c r="AQ156" i="14" s="1"/>
  <c r="AR156" i="14" s="1"/>
  <c r="AS156" i="14" s="1"/>
  <c r="AT156" i="14" s="1"/>
  <c r="AU156" i="14" s="1"/>
  <c r="AV156" i="14" s="1"/>
  <c r="AW156" i="14" s="1"/>
  <c r="AX156" i="14" s="1"/>
  <c r="AY156" i="14" s="1"/>
  <c r="AZ156" i="14" s="1"/>
  <c r="BA156" i="14" s="1"/>
  <c r="AK72" i="15"/>
  <c r="AL72" i="15" s="1"/>
  <c r="AM72" i="15" s="1"/>
  <c r="AN72" i="15" s="1"/>
  <c r="AO72" i="15" s="1"/>
  <c r="AP72" i="15" s="1"/>
  <c r="AQ72" i="15" s="1"/>
  <c r="AR72" i="15" s="1"/>
  <c r="AS72" i="15" s="1"/>
  <c r="AT72" i="15" s="1"/>
  <c r="AU72" i="15" s="1"/>
  <c r="AV72" i="15" s="1"/>
  <c r="AW72" i="15" s="1"/>
  <c r="AX72" i="15" s="1"/>
  <c r="AY72" i="15" s="1"/>
  <c r="AZ72" i="15" s="1"/>
  <c r="BA72" i="15" s="1"/>
  <c r="AE64" i="18"/>
  <c r="AF64" i="18" s="1"/>
  <c r="AG64" i="18" s="1"/>
  <c r="AH64" i="18" s="1"/>
  <c r="AI64" i="18" s="1"/>
  <c r="AJ64" i="18" s="1"/>
  <c r="AK64" i="18" s="1"/>
  <c r="AL64" i="18" s="1"/>
  <c r="AM64" i="18" s="1"/>
  <c r="AN64" i="18" s="1"/>
  <c r="AO64" i="18" s="1"/>
  <c r="AP64" i="18" s="1"/>
  <c r="AQ64" i="18" s="1"/>
  <c r="AR64" i="18" s="1"/>
  <c r="AI52" i="22"/>
  <c r="AG91" i="13"/>
  <c r="AI57" i="15"/>
  <c r="AJ57" i="15" s="1"/>
  <c r="AK57" i="15" s="1"/>
  <c r="AL57" i="15" s="1"/>
  <c r="AM57" i="15" s="1"/>
  <c r="AN57" i="15" s="1"/>
  <c r="AO57" i="15" s="1"/>
  <c r="AG122" i="13"/>
  <c r="AH122" i="13" s="1"/>
  <c r="AI122" i="13" s="1"/>
  <c r="AJ122" i="13" s="1"/>
  <c r="AK122" i="13" s="1"/>
  <c r="AL122" i="13" s="1"/>
  <c r="AM122" i="13" s="1"/>
  <c r="AN122" i="13" s="1"/>
  <c r="AO122" i="13" s="1"/>
  <c r="AP122" i="13" s="1"/>
  <c r="AQ122" i="13" s="1"/>
  <c r="AR122" i="13" s="1"/>
  <c r="AS122" i="13" s="1"/>
  <c r="AT122" i="13" s="1"/>
  <c r="AU122" i="13" s="1"/>
  <c r="AH71" i="13"/>
  <c r="AI71" i="13" s="1"/>
  <c r="AJ71" i="13" s="1"/>
  <c r="AG38" i="18"/>
  <c r="AH68" i="18"/>
  <c r="AI68" i="18" s="1"/>
  <c r="AD114" i="13"/>
  <c r="AE114" i="13"/>
  <c r="AF114" i="13" s="1"/>
  <c r="AF130" i="18"/>
  <c r="AG130" i="18" s="1"/>
  <c r="AH66" i="13"/>
  <c r="Z419" i="6"/>
  <c r="AA413" i="6"/>
  <c r="Z635" i="6"/>
  <c r="AA23" i="5" s="1"/>
  <c r="Y22" i="9"/>
  <c r="AA15" i="5"/>
  <c r="AF61" i="18"/>
  <c r="S1337" i="6"/>
  <c r="AC1560" i="6"/>
  <c r="AD1555" i="6"/>
  <c r="AC1559" i="6"/>
  <c r="AD11" i="5"/>
  <c r="AK38" i="20"/>
  <c r="AD45" i="19"/>
  <c r="AD72" i="22"/>
  <c r="AE60" i="9"/>
  <c r="Z660" i="6"/>
  <c r="Z938" i="6"/>
  <c r="Z937" i="6"/>
  <c r="AI80" i="18"/>
  <c r="AJ80" i="18" s="1"/>
  <c r="AI70" i="15"/>
  <c r="AJ70" i="15" s="1"/>
  <c r="AA2836" i="6"/>
  <c r="AW42" i="22"/>
  <c r="AX42" i="22" s="1"/>
  <c r="AH93" i="13"/>
  <c r="AH88" i="21"/>
  <c r="AH108" i="22"/>
  <c r="AH82" i="18"/>
  <c r="AB36" i="19"/>
  <c r="AG75" i="21"/>
  <c r="AJ169" i="14"/>
  <c r="AD66" i="15"/>
  <c r="AE66" i="15"/>
  <c r="AE114" i="22"/>
  <c r="AF114" i="22" s="1"/>
  <c r="AF80" i="13"/>
  <c r="AE69" i="20"/>
  <c r="AM70" i="18"/>
  <c r="AN70" i="18" s="1"/>
  <c r="AO70" i="18" s="1"/>
  <c r="AP70" i="18" s="1"/>
  <c r="AQ70" i="18" s="1"/>
  <c r="AR70" i="18" s="1"/>
  <c r="AS70" i="18" s="1"/>
  <c r="AT70" i="18" s="1"/>
  <c r="AU70" i="18" s="1"/>
  <c r="AV70" i="18" s="1"/>
  <c r="AW70" i="18" s="1"/>
  <c r="AX70" i="18" s="1"/>
  <c r="AY70" i="18" s="1"/>
  <c r="AZ70" i="18" s="1"/>
  <c r="AE69" i="16"/>
  <c r="AM50" i="18"/>
  <c r="AN50" i="18" s="1"/>
  <c r="AO50" i="18" s="1"/>
  <c r="AP50" i="18" s="1"/>
  <c r="AQ50" i="18" s="1"/>
  <c r="AR50" i="18" s="1"/>
  <c r="AS50" i="18" s="1"/>
  <c r="AH42" i="18"/>
  <c r="AH126" i="22"/>
  <c r="AA14" i="13"/>
  <c r="AB237" i="6"/>
  <c r="AB12" i="6"/>
  <c r="AC9" i="6"/>
  <c r="AB7" i="6"/>
  <c r="AD47" i="20"/>
  <c r="AD36" i="20" s="1"/>
  <c r="AE47" i="20"/>
  <c r="AD135" i="14"/>
  <c r="AC36" i="19"/>
  <c r="AC103" i="21"/>
  <c r="AG44" i="18"/>
  <c r="AH44" i="18" s="1"/>
  <c r="AF44" i="18"/>
  <c r="AI109" i="21"/>
  <c r="AJ109" i="21" s="1"/>
  <c r="AK109" i="21" s="1"/>
  <c r="AL109" i="21" s="1"/>
  <c r="AM109" i="21" s="1"/>
  <c r="AN109" i="21" s="1"/>
  <c r="AO109" i="21" s="1"/>
  <c r="AP109" i="21" s="1"/>
  <c r="AQ109" i="21" s="1"/>
  <c r="AR109" i="21" s="1"/>
  <c r="AS109" i="21" s="1"/>
  <c r="AT109" i="21" s="1"/>
  <c r="AU109" i="21" s="1"/>
  <c r="AV109" i="21" s="1"/>
  <c r="AW109" i="21" s="1"/>
  <c r="AX109" i="21" s="1"/>
  <c r="AY109" i="21" s="1"/>
  <c r="AZ109" i="21" s="1"/>
  <c r="AF86" i="18"/>
  <c r="AG86" i="18" s="1"/>
  <c r="AH86" i="18" s="1"/>
  <c r="AE86" i="18"/>
  <c r="AG86" i="22"/>
  <c r="AH86" i="22" s="1"/>
  <c r="U712" i="6"/>
  <c r="U713" i="6"/>
  <c r="R2065" i="6"/>
  <c r="R2064" i="6"/>
  <c r="AF99" i="21"/>
  <c r="AF41" i="19"/>
  <c r="AE41" i="19"/>
  <c r="V44" i="5"/>
  <c r="V46" i="5"/>
  <c r="AF133" i="14"/>
  <c r="AG133" i="14" s="1"/>
  <c r="AH133" i="14" s="1"/>
  <c r="AI133" i="14" s="1"/>
  <c r="AJ133" i="14" s="1"/>
  <c r="AK133" i="14" s="1"/>
  <c r="AH50" i="13"/>
  <c r="P2" i="20"/>
  <c r="AJ1964" i="6"/>
  <c r="AF1964" i="6"/>
  <c r="AB1964" i="6"/>
  <c r="X1964" i="6"/>
  <c r="AG1912" i="6"/>
  <c r="AC1912" i="6"/>
  <c r="Y1912" i="6"/>
  <c r="U1912" i="6"/>
  <c r="AF1860" i="6"/>
  <c r="AB1860" i="6"/>
  <c r="X1860" i="6"/>
  <c r="AI1964" i="6"/>
  <c r="AE1964" i="6"/>
  <c r="AA1964" i="6"/>
  <c r="W1964" i="6"/>
  <c r="AF1912" i="6"/>
  <c r="AB1912" i="6"/>
  <c r="X1912" i="6"/>
  <c r="AI1860" i="6"/>
  <c r="AE1860" i="6"/>
  <c r="AA1860" i="6"/>
  <c r="W1860" i="6"/>
  <c r="AH1964" i="6"/>
  <c r="AD1964" i="6"/>
  <c r="Z1964" i="6"/>
  <c r="V1964" i="6"/>
  <c r="AI1912" i="6"/>
  <c r="AE1912" i="6"/>
  <c r="AA1912" i="6"/>
  <c r="W1912" i="6"/>
  <c r="AH1860" i="6"/>
  <c r="AD1860" i="6"/>
  <c r="Z1860" i="6"/>
  <c r="V1860" i="6"/>
  <c r="Y1964" i="6"/>
  <c r="Z1912" i="6"/>
  <c r="U1860" i="6"/>
  <c r="R1804" i="6"/>
  <c r="U1964" i="6"/>
  <c r="V1912" i="6"/>
  <c r="AG1860" i="6"/>
  <c r="R1806" i="6"/>
  <c r="AG1964" i="6"/>
  <c r="AH1912" i="6"/>
  <c r="AC1860" i="6"/>
  <c r="R1805" i="6"/>
  <c r="AC1964" i="6"/>
  <c r="AD1912" i="6"/>
  <c r="Y1860" i="6"/>
  <c r="AC97" i="13"/>
  <c r="AE45" i="23"/>
  <c r="AG44" i="20"/>
  <c r="AE130" i="14"/>
  <c r="AF130" i="14" s="1"/>
  <c r="AE183" i="14"/>
  <c r="AE129" i="18"/>
  <c r="AF115" i="14"/>
  <c r="AF74" i="15"/>
  <c r="AH42" i="21"/>
  <c r="AI42" i="21" s="1"/>
  <c r="AJ42" i="21" s="1"/>
  <c r="AK42" i="21" s="1"/>
  <c r="AL42" i="21" s="1"/>
  <c r="AM42" i="21" s="1"/>
  <c r="AN42" i="21" s="1"/>
  <c r="AH62" i="20"/>
  <c r="AI62" i="20" s="1"/>
  <c r="AF70" i="21"/>
  <c r="V15" i="9"/>
  <c r="W2671" i="6" s="1"/>
  <c r="AG59" i="14"/>
  <c r="AR3138" i="6"/>
  <c r="AN3138" i="6"/>
  <c r="AJ3138" i="6"/>
  <c r="AF3138" i="6"/>
  <c r="AB3138" i="6"/>
  <c r="AA3006" i="6"/>
  <c r="AU3138" i="6"/>
  <c r="AQ3138" i="6"/>
  <c r="AM3138" i="6"/>
  <c r="AI3138" i="6"/>
  <c r="AE3138" i="6"/>
  <c r="AA3138" i="6"/>
  <c r="AA3113" i="6" s="1"/>
  <c r="AA3007" i="6"/>
  <c r="AO3138" i="6"/>
  <c r="AG3138" i="6"/>
  <c r="AT3138" i="6"/>
  <c r="AL3138" i="6"/>
  <c r="AD3138" i="6"/>
  <c r="AS3138" i="6"/>
  <c r="AK3138" i="6"/>
  <c r="AC3138" i="6"/>
  <c r="AP3138" i="6"/>
  <c r="AH3138" i="6"/>
  <c r="AC880" i="6"/>
  <c r="AD878" i="6"/>
  <c r="AC882" i="6"/>
  <c r="AD7" i="5"/>
  <c r="S475" i="6"/>
  <c r="S476" i="6"/>
  <c r="AF134" i="14"/>
  <c r="AG134" i="14" s="1"/>
  <c r="AE134" i="14"/>
  <c r="AE71" i="15"/>
  <c r="AC36" i="18"/>
  <c r="AD39" i="18"/>
  <c r="AD103" i="14"/>
  <c r="AE103" i="14" s="1"/>
  <c r="AF76" i="22"/>
  <c r="AB246" i="6"/>
  <c r="AB245" i="6"/>
  <c r="AB408" i="6"/>
  <c r="AB247" i="6"/>
  <c r="AB244" i="6"/>
  <c r="AC28" i="5" s="1"/>
  <c r="AC68" i="16"/>
  <c r="AE68" i="16"/>
  <c r="AC60" i="16"/>
  <c r="D2833" i="6"/>
  <c r="AF88" i="13"/>
  <c r="AG88" i="13" s="1"/>
  <c r="AH88" i="13" s="1"/>
  <c r="AI88" i="13" s="1"/>
  <c r="U46" i="5"/>
  <c r="U44" i="5"/>
  <c r="AE58" i="21"/>
  <c r="AF58" i="21" s="1"/>
  <c r="AG58" i="21" s="1"/>
  <c r="AH58" i="21" s="1"/>
  <c r="AD75" i="13"/>
  <c r="AD62" i="14"/>
  <c r="AE65" i="14"/>
  <c r="AF65" i="14" s="1"/>
  <c r="AG65" i="14" s="1"/>
  <c r="AH65" i="14" s="1"/>
  <c r="AI65" i="14" s="1"/>
  <c r="AJ65" i="14" s="1"/>
  <c r="AF46" i="22"/>
  <c r="AF192" i="14"/>
  <c r="AG192" i="14" s="1"/>
  <c r="AH192" i="14" s="1"/>
  <c r="AI192" i="14" s="1"/>
  <c r="AJ192" i="14" s="1"/>
  <c r="AK192" i="14" s="1"/>
  <c r="AH94" i="22"/>
  <c r="AH59" i="21"/>
  <c r="AI59" i="21" s="1"/>
  <c r="AJ59" i="21" s="1"/>
  <c r="AK59" i="21" s="1"/>
  <c r="AL59" i="21" s="1"/>
  <c r="AM59" i="21" s="1"/>
  <c r="AN59" i="21" s="1"/>
  <c r="AO59" i="21" s="1"/>
  <c r="AP59" i="21" s="1"/>
  <c r="AQ59" i="21" s="1"/>
  <c r="AR59" i="21" s="1"/>
  <c r="AS59" i="21" s="1"/>
  <c r="AT59" i="21" s="1"/>
  <c r="AU59" i="21" s="1"/>
  <c r="AV59" i="21" s="1"/>
  <c r="AW59" i="21" s="1"/>
  <c r="AX59" i="21" s="1"/>
  <c r="AY59" i="21" s="1"/>
  <c r="AZ59" i="21" s="1"/>
  <c r="BA59" i="21" s="1"/>
  <c r="P2" i="18"/>
  <c r="AJ1514" i="6"/>
  <c r="AF1514" i="6"/>
  <c r="AB1514" i="6"/>
  <c r="X1514" i="6"/>
  <c r="AG1462" i="6"/>
  <c r="AC1462" i="6"/>
  <c r="Y1462" i="6"/>
  <c r="U1462" i="6"/>
  <c r="AF1410" i="6"/>
  <c r="AB1410" i="6"/>
  <c r="X1410" i="6"/>
  <c r="R1356" i="6"/>
  <c r="R1354" i="6"/>
  <c r="AI1514" i="6"/>
  <c r="AE1514" i="6"/>
  <c r="AA1514" i="6"/>
  <c r="W1514" i="6"/>
  <c r="AF1462" i="6"/>
  <c r="AB1462" i="6"/>
  <c r="X1462" i="6"/>
  <c r="AI1410" i="6"/>
  <c r="AE1410" i="6"/>
  <c r="AA1410" i="6"/>
  <c r="W1410" i="6"/>
  <c r="AH1514" i="6"/>
  <c r="AD1514" i="6"/>
  <c r="Z1514" i="6"/>
  <c r="V1514" i="6"/>
  <c r="AI1462" i="6"/>
  <c r="AE1462" i="6"/>
  <c r="AA1462" i="6"/>
  <c r="W1462" i="6"/>
  <c r="AH1410" i="6"/>
  <c r="AD1410" i="6"/>
  <c r="Z1410" i="6"/>
  <c r="V1410" i="6"/>
  <c r="R1355" i="6"/>
  <c r="AG1514" i="6"/>
  <c r="AC1514" i="6"/>
  <c r="Y1514" i="6"/>
  <c r="U1514" i="6"/>
  <c r="AH1462" i="6"/>
  <c r="AD1462" i="6"/>
  <c r="Z1462" i="6"/>
  <c r="V1462" i="6"/>
  <c r="AG1410" i="6"/>
  <c r="AC1410" i="6"/>
  <c r="Y1410" i="6"/>
  <c r="U1410" i="6"/>
  <c r="AO1746" i="6"/>
  <c r="AK1746" i="6"/>
  <c r="AG1746" i="6"/>
  <c r="AC1746" i="6"/>
  <c r="AO1694" i="6"/>
  <c r="AK1694" i="6"/>
  <c r="AG1694" i="6"/>
  <c r="AC1694" i="6"/>
  <c r="AN1642" i="6"/>
  <c r="AJ1642" i="6"/>
  <c r="AF1642" i="6"/>
  <c r="AB1642" i="6"/>
  <c r="AP1746" i="6"/>
  <c r="AJ1746" i="6"/>
  <c r="AE1746" i="6"/>
  <c r="AM1694" i="6"/>
  <c r="AH1694" i="6"/>
  <c r="AB1694" i="6"/>
  <c r="AL1642" i="6"/>
  <c r="AG1642" i="6"/>
  <c r="Y1588" i="6"/>
  <c r="Y1562" i="6" s="1"/>
  <c r="AN1746" i="6"/>
  <c r="AI1746" i="6"/>
  <c r="AD1746" i="6"/>
  <c r="AL1694" i="6"/>
  <c r="AF1694" i="6"/>
  <c r="AP1642" i="6"/>
  <c r="AK1642" i="6"/>
  <c r="AE1642" i="6"/>
  <c r="AM1746" i="6"/>
  <c r="AH1746" i="6"/>
  <c r="AB1746" i="6"/>
  <c r="AP1694" i="6"/>
  <c r="AJ1694" i="6"/>
  <c r="AE1694" i="6"/>
  <c r="AO1642" i="6"/>
  <c r="AI1642" i="6"/>
  <c r="AD1642" i="6"/>
  <c r="AA1588" i="6"/>
  <c r="AC1561" i="6"/>
  <c r="AQ1746" i="6"/>
  <c r="AL1746" i="6"/>
  <c r="AF1746" i="6"/>
  <c r="AN1694" i="6"/>
  <c r="AI1694" i="6"/>
  <c r="AD1694" i="6"/>
  <c r="AM1642" i="6"/>
  <c r="AH1642" i="6"/>
  <c r="AC1642" i="6"/>
  <c r="Z1588" i="6"/>
  <c r="AF69" i="21"/>
  <c r="AG69" i="21" s="1"/>
  <c r="AD68" i="12"/>
  <c r="Z59" i="12"/>
  <c r="AV56" i="13"/>
  <c r="AW56" i="13" s="1"/>
  <c r="AX56" i="13" s="1"/>
  <c r="AY56" i="13" s="1"/>
  <c r="AG59" i="15"/>
  <c r="AH59" i="15" s="1"/>
  <c r="AI59" i="15" s="1"/>
  <c r="AI62" i="13"/>
  <c r="AJ62" i="13" s="1"/>
  <c r="AK62" i="13" s="1"/>
  <c r="AL62" i="13" s="1"/>
  <c r="AM62" i="13" s="1"/>
  <c r="AN62" i="13" s="1"/>
  <c r="AO62" i="13" s="1"/>
  <c r="AP62" i="13" s="1"/>
  <c r="AQ62" i="13" s="1"/>
  <c r="AR62" i="13" s="1"/>
  <c r="AS62" i="13" s="1"/>
  <c r="AT62" i="13" s="1"/>
  <c r="AU62" i="13" s="1"/>
  <c r="AV62" i="13" s="1"/>
  <c r="AW62" i="13" s="1"/>
  <c r="AX62" i="13" s="1"/>
  <c r="AY62" i="13" s="1"/>
  <c r="AZ62" i="13" s="1"/>
  <c r="BA62" i="13" s="1"/>
  <c r="AJ112" i="14"/>
  <c r="AK112" i="14" s="1"/>
  <c r="AL112" i="14" s="1"/>
  <c r="AH112" i="14"/>
  <c r="AG51" i="22"/>
  <c r="AF66" i="15"/>
  <c r="AG66" i="15" s="1"/>
  <c r="AG86" i="21"/>
  <c r="AH86" i="21" s="1"/>
  <c r="AI86" i="21" s="1"/>
  <c r="AJ86" i="21" s="1"/>
  <c r="AK86" i="21" s="1"/>
  <c r="AL86" i="21" s="1"/>
  <c r="AM86" i="21" s="1"/>
  <c r="AI67" i="22"/>
  <c r="AB48" i="13"/>
  <c r="AF5" i="9" l="1"/>
  <c r="AJ63" i="17"/>
  <c r="AK63" i="17" s="1"/>
  <c r="AL102" i="21"/>
  <c r="AM102" i="21" s="1"/>
  <c r="AJ117" i="14"/>
  <c r="AK117" i="14"/>
  <c r="AL117" i="14" s="1"/>
  <c r="AM117" i="14" s="1"/>
  <c r="AN117" i="14" s="1"/>
  <c r="AO117" i="14" s="1"/>
  <c r="AP117" i="14" s="1"/>
  <c r="AQ117" i="14" s="1"/>
  <c r="AR117" i="14" s="1"/>
  <c r="AS117" i="14" s="1"/>
  <c r="AT117" i="14" s="1"/>
  <c r="AU117" i="14" s="1"/>
  <c r="AV117" i="14" s="1"/>
  <c r="AW117" i="14" s="1"/>
  <c r="Z3166" i="6"/>
  <c r="Z3167" i="6"/>
  <c r="AK53" i="23"/>
  <c r="AL53" i="23" s="1"/>
  <c r="AM53" i="23"/>
  <c r="AN53" i="23" s="1"/>
  <c r="AN86" i="21"/>
  <c r="AO86" i="21" s="1"/>
  <c r="AP86" i="21" s="1"/>
  <c r="AF156" i="18"/>
  <c r="AG156" i="18" s="1"/>
  <c r="AH156" i="18" s="1"/>
  <c r="AK77" i="13"/>
  <c r="AL77" i="13" s="1"/>
  <c r="AM77" i="13" s="1"/>
  <c r="AN77" i="13" s="1"/>
  <c r="AO77" i="13" s="1"/>
  <c r="AP77" i="13" s="1"/>
  <c r="AQ77" i="13" s="1"/>
  <c r="AR77" i="13" s="1"/>
  <c r="AS77" i="13" s="1"/>
  <c r="AT77" i="13" s="1"/>
  <c r="AU77" i="13" s="1"/>
  <c r="AV77" i="13" s="1"/>
  <c r="AW77" i="13" s="1"/>
  <c r="AX77" i="13" s="1"/>
  <c r="AY77" i="13" s="1"/>
  <c r="AZ77" i="13" s="1"/>
  <c r="BA77" i="13" s="1"/>
  <c r="AG62" i="16"/>
  <c r="AH62" i="16" s="1"/>
  <c r="AI122" i="14"/>
  <c r="AJ122" i="14" s="1"/>
  <c r="AM197" i="14"/>
  <c r="AN197" i="14" s="1"/>
  <c r="AO197" i="14" s="1"/>
  <c r="AP197" i="14" s="1"/>
  <c r="AQ197" i="14" s="1"/>
  <c r="AR197" i="14" s="1"/>
  <c r="AS197" i="14" s="1"/>
  <c r="AT197" i="14" s="1"/>
  <c r="AU197" i="14" s="1"/>
  <c r="AV197" i="14" s="1"/>
  <c r="AW197" i="14" s="1"/>
  <c r="AX197" i="14" s="1"/>
  <c r="AY197" i="14" s="1"/>
  <c r="AZ197" i="14" s="1"/>
  <c r="BA197" i="14" s="1"/>
  <c r="AK105" i="18"/>
  <c r="AL105" i="18" s="1"/>
  <c r="AM105" i="18" s="1"/>
  <c r="AN105" i="18" s="1"/>
  <c r="AO105" i="18" s="1"/>
  <c r="AP105" i="18" s="1"/>
  <c r="AQ105" i="18" s="1"/>
  <c r="AR105" i="18" s="1"/>
  <c r="AS105" i="18" s="1"/>
  <c r="AT105" i="18" s="1"/>
  <c r="AU105" i="18" s="1"/>
  <c r="AV105" i="18" s="1"/>
  <c r="AW105" i="18" s="1"/>
  <c r="AJ51" i="18"/>
  <c r="AK51" i="18"/>
  <c r="AL51" i="18" s="1"/>
  <c r="AM51" i="18" s="1"/>
  <c r="AN51" i="18" s="1"/>
  <c r="AO51" i="18" s="1"/>
  <c r="AP51" i="18" s="1"/>
  <c r="AQ51" i="18" s="1"/>
  <c r="AR51" i="18" s="1"/>
  <c r="AS51" i="18" s="1"/>
  <c r="AT51" i="18" s="1"/>
  <c r="AU51" i="18" s="1"/>
  <c r="AV51" i="18" s="1"/>
  <c r="AW51" i="18" s="1"/>
  <c r="AX51" i="18" s="1"/>
  <c r="AY51" i="18" s="1"/>
  <c r="AZ51" i="18" s="1"/>
  <c r="BA51" i="18" s="1"/>
  <c r="AM149" i="14"/>
  <c r="AN149" i="14" s="1"/>
  <c r="AO149" i="14" s="1"/>
  <c r="AP149" i="14" s="1"/>
  <c r="AQ149" i="14" s="1"/>
  <c r="AG54" i="22"/>
  <c r="AH54" i="22" s="1"/>
  <c r="AI57" i="20"/>
  <c r="AJ57" i="20" s="1"/>
  <c r="AK57" i="20" s="1"/>
  <c r="AL57" i="20" s="1"/>
  <c r="AF68" i="15"/>
  <c r="AG68" i="15"/>
  <c r="AK113" i="13"/>
  <c r="AL113" i="13" s="1"/>
  <c r="AM113" i="13" s="1"/>
  <c r="AN113" i="13" s="1"/>
  <c r="AO113" i="13" s="1"/>
  <c r="AP113" i="13" s="1"/>
  <c r="AQ113" i="13" s="1"/>
  <c r="AR113" i="13" s="1"/>
  <c r="AS113" i="13" s="1"/>
  <c r="AT113" i="13" s="1"/>
  <c r="AU113" i="13" s="1"/>
  <c r="AV113" i="13" s="1"/>
  <c r="AW113" i="13" s="1"/>
  <c r="AX113" i="13" s="1"/>
  <c r="AY113" i="13" s="1"/>
  <c r="AZ113" i="13" s="1"/>
  <c r="BA113" i="13" s="1"/>
  <c r="AJ88" i="13"/>
  <c r="AK88" i="13" s="1"/>
  <c r="AL88" i="13" s="1"/>
  <c r="AM88" i="13" s="1"/>
  <c r="AN88" i="13" s="1"/>
  <c r="AO88" i="13" s="1"/>
  <c r="AP88" i="13" s="1"/>
  <c r="AQ88" i="13" s="1"/>
  <c r="AR88" i="13" s="1"/>
  <c r="AS88" i="13" s="1"/>
  <c r="AT88" i="13" s="1"/>
  <c r="AU88" i="13" s="1"/>
  <c r="AV88" i="13" s="1"/>
  <c r="AW88" i="13" s="1"/>
  <c r="AX88" i="13" s="1"/>
  <c r="AY88" i="13" s="1"/>
  <c r="AZ88" i="13" s="1"/>
  <c r="BA88" i="13" s="1"/>
  <c r="AR1522" i="6"/>
  <c r="AN1522" i="6"/>
  <c r="AJ1522" i="6"/>
  <c r="AF1522" i="6"/>
  <c r="AO1470" i="6"/>
  <c r="AK1470" i="6"/>
  <c r="AG1470" i="6"/>
  <c r="AC1470" i="6"/>
  <c r="AN1418" i="6"/>
  <c r="AJ1418" i="6"/>
  <c r="AF1418" i="6"/>
  <c r="Z1364" i="6"/>
  <c r="Z1337" i="6" s="1"/>
  <c r="AD1336" i="6"/>
  <c r="AQ1522" i="6"/>
  <c r="AM1522" i="6"/>
  <c r="AI1522" i="6"/>
  <c r="AE1522" i="6"/>
  <c r="AN1470" i="6"/>
  <c r="AJ1470" i="6"/>
  <c r="AF1470" i="6"/>
  <c r="AQ1418" i="6"/>
  <c r="AM1418" i="6"/>
  <c r="AI1418" i="6"/>
  <c r="AE1418" i="6"/>
  <c r="AP1522" i="6"/>
  <c r="AL1522" i="6"/>
  <c r="AH1522" i="6"/>
  <c r="AD1522" i="6"/>
  <c r="AQ1470" i="6"/>
  <c r="AM1470" i="6"/>
  <c r="AI1470" i="6"/>
  <c r="AE1470" i="6"/>
  <c r="AP1418" i="6"/>
  <c r="AL1418" i="6"/>
  <c r="AH1418" i="6"/>
  <c r="AD1418" i="6"/>
  <c r="AB1364" i="6"/>
  <c r="AO1522" i="6"/>
  <c r="AK1522" i="6"/>
  <c r="AG1522" i="6"/>
  <c r="AC1522" i="6"/>
  <c r="AP1470" i="6"/>
  <c r="AL1470" i="6"/>
  <c r="AH1470" i="6"/>
  <c r="AD1470" i="6"/>
  <c r="AO1418" i="6"/>
  <c r="AK1418" i="6"/>
  <c r="AG1418" i="6"/>
  <c r="AC1418" i="6"/>
  <c r="AA1364" i="6"/>
  <c r="AK70" i="17"/>
  <c r="AL70" i="17" s="1"/>
  <c r="AM70" i="17" s="1"/>
  <c r="AN70" i="17" s="1"/>
  <c r="AO70" i="17" s="1"/>
  <c r="AP70" i="17" s="1"/>
  <c r="AQ70" i="17" s="1"/>
  <c r="AR70" i="17" s="1"/>
  <c r="AS70" i="17" s="1"/>
  <c r="AT70" i="17" s="1"/>
  <c r="AU70" i="17" s="1"/>
  <c r="AV70" i="17" s="1"/>
  <c r="AW70" i="17" s="1"/>
  <c r="AX70" i="17" s="1"/>
  <c r="AY70" i="17" s="1"/>
  <c r="AZ70" i="17" s="1"/>
  <c r="BA70" i="17" s="1"/>
  <c r="AK153" i="14"/>
  <c r="AL153" i="14" s="1"/>
  <c r="AM153" i="14" s="1"/>
  <c r="AN153" i="14" s="1"/>
  <c r="AO153" i="14" s="1"/>
  <c r="AP153" i="14" s="1"/>
  <c r="AQ153" i="14" s="1"/>
  <c r="AR153" i="14" s="1"/>
  <c r="AS153" i="14" s="1"/>
  <c r="AT153" i="14" s="1"/>
  <c r="AU153" i="14" s="1"/>
  <c r="AV153" i="14" s="1"/>
  <c r="AW153" i="14" s="1"/>
  <c r="AX153" i="14" s="1"/>
  <c r="AY153" i="14" s="1"/>
  <c r="AZ153" i="14" s="1"/>
  <c r="BA153" i="14" s="1"/>
  <c r="AI153" i="14"/>
  <c r="AJ153" i="14" s="1"/>
  <c r="AK119" i="18"/>
  <c r="AL119" i="18" s="1"/>
  <c r="AM119" i="18" s="1"/>
  <c r="AN119" i="18" s="1"/>
  <c r="AI195" i="14"/>
  <c r="AJ195" i="14" s="1"/>
  <c r="AK195" i="14" s="1"/>
  <c r="AL195" i="14" s="1"/>
  <c r="AM195" i="14" s="1"/>
  <c r="AN195" i="14" s="1"/>
  <c r="AO195" i="14" s="1"/>
  <c r="AP195" i="14" s="1"/>
  <c r="AQ195" i="14" s="1"/>
  <c r="AR195" i="14" s="1"/>
  <c r="AS195" i="14" s="1"/>
  <c r="AT195" i="14" s="1"/>
  <c r="AU195" i="14" s="1"/>
  <c r="AG195" i="14"/>
  <c r="AH195" i="14" s="1"/>
  <c r="AG54" i="17"/>
  <c r="AH54" i="17"/>
  <c r="AK107" i="22"/>
  <c r="AL107" i="22" s="1"/>
  <c r="AM107" i="22" s="1"/>
  <c r="AN107" i="22" s="1"/>
  <c r="AO107" i="22" s="1"/>
  <c r="AP107" i="22" s="1"/>
  <c r="AQ107" i="22" s="1"/>
  <c r="AR107" i="22" s="1"/>
  <c r="AS107" i="22" s="1"/>
  <c r="AT107" i="22" s="1"/>
  <c r="AU107" i="22" s="1"/>
  <c r="AV107" i="22" s="1"/>
  <c r="AW107" i="22" s="1"/>
  <c r="AX107" i="22" s="1"/>
  <c r="AY107" i="22" s="1"/>
  <c r="AZ107" i="22" s="1"/>
  <c r="Y2064" i="6"/>
  <c r="Y2065" i="6"/>
  <c r="AG66" i="21"/>
  <c r="AM118" i="18"/>
  <c r="AN118" i="18" s="1"/>
  <c r="AO118" i="18" s="1"/>
  <c r="AP118" i="18" s="1"/>
  <c r="AQ118" i="18"/>
  <c r="AR118" i="18" s="1"/>
  <c r="AH152" i="14"/>
  <c r="AM92" i="13"/>
  <c r="AN92" i="13" s="1"/>
  <c r="AO92" i="13" s="1"/>
  <c r="AP92" i="13" s="1"/>
  <c r="AQ92" i="13" s="1"/>
  <c r="AR92" i="13" s="1"/>
  <c r="AS92" i="13" s="1"/>
  <c r="AT92" i="13" s="1"/>
  <c r="AU92" i="13"/>
  <c r="AV92" i="13" s="1"/>
  <c r="AW92" i="13" s="1"/>
  <c r="AX92" i="13" s="1"/>
  <c r="AY92" i="13" s="1"/>
  <c r="AZ92" i="13" s="1"/>
  <c r="BA92" i="13" s="1"/>
  <c r="AJ99" i="22"/>
  <c r="AK99" i="22" s="1"/>
  <c r="AL99" i="22" s="1"/>
  <c r="AM99" i="22" s="1"/>
  <c r="AN99" i="22" s="1"/>
  <c r="AO99" i="22" s="1"/>
  <c r="AP99" i="22" s="1"/>
  <c r="AQ99" i="22" s="1"/>
  <c r="AR99" i="22" s="1"/>
  <c r="AS99" i="22" s="1"/>
  <c r="AT99" i="22" s="1"/>
  <c r="AU99" i="22" s="1"/>
  <c r="AV99" i="22" s="1"/>
  <c r="AW99" i="22" s="1"/>
  <c r="AX99" i="22" s="1"/>
  <c r="AY99" i="22" s="1"/>
  <c r="AZ99" i="22" s="1"/>
  <c r="AL133" i="14"/>
  <c r="AJ66" i="17"/>
  <c r="AK66" i="17" s="1"/>
  <c r="AL66" i="17" s="1"/>
  <c r="AL128" i="22"/>
  <c r="AM128" i="22" s="1"/>
  <c r="AN128" i="22" s="1"/>
  <c r="AO128" i="22" s="1"/>
  <c r="AP128" i="22" s="1"/>
  <c r="AQ128" i="22" s="1"/>
  <c r="AR128" i="22" s="1"/>
  <c r="AS128" i="22" s="1"/>
  <c r="AT128" i="22" s="1"/>
  <c r="AU128" i="22" s="1"/>
  <c r="AV128" i="22" s="1"/>
  <c r="AW128" i="22" s="1"/>
  <c r="AX128" i="22" s="1"/>
  <c r="AY128" i="22" s="1"/>
  <c r="AZ128" i="22" s="1"/>
  <c r="AI69" i="22"/>
  <c r="AJ69" i="22" s="1"/>
  <c r="AK69" i="22" s="1"/>
  <c r="AH69" i="22"/>
  <c r="AJ113" i="22"/>
  <c r="AK113" i="22" s="1"/>
  <c r="AL113" i="22" s="1"/>
  <c r="AQ112" i="13"/>
  <c r="AR112" i="13" s="1"/>
  <c r="AS112" i="13" s="1"/>
  <c r="AT112" i="13" s="1"/>
  <c r="AU112" i="13" s="1"/>
  <c r="AV112" i="13" s="1"/>
  <c r="AW112" i="13" s="1"/>
  <c r="AX112" i="13" s="1"/>
  <c r="AY112" i="13" s="1"/>
  <c r="AZ112" i="13" s="1"/>
  <c r="BA112" i="13" s="1"/>
  <c r="AM42" i="15"/>
  <c r="AN42" i="15" s="1"/>
  <c r="AO42" i="15" s="1"/>
  <c r="AP42" i="15" s="1"/>
  <c r="AQ42" i="15" s="1"/>
  <c r="AR42" i="15" s="1"/>
  <c r="AS42" i="15" s="1"/>
  <c r="AT42" i="15" s="1"/>
  <c r="AU42" i="15" s="1"/>
  <c r="AV42" i="15" s="1"/>
  <c r="AW42" i="15" s="1"/>
  <c r="AX42" i="15" s="1"/>
  <c r="AY42" i="15" s="1"/>
  <c r="AZ42" i="15" s="1"/>
  <c r="BA42" i="15" s="1"/>
  <c r="AK58" i="17"/>
  <c r="AL58" i="17" s="1"/>
  <c r="AM58" i="17" s="1"/>
  <c r="AN58" i="17" s="1"/>
  <c r="AO58" i="17" s="1"/>
  <c r="AP58" i="17" s="1"/>
  <c r="AQ58" i="17" s="1"/>
  <c r="AR58" i="17" s="1"/>
  <c r="AS58" i="17" s="1"/>
  <c r="AT58" i="17"/>
  <c r="AU58" i="17" s="1"/>
  <c r="AV58" i="17" s="1"/>
  <c r="AW58" i="17" s="1"/>
  <c r="AX58" i="17" s="1"/>
  <c r="AY58" i="17" s="1"/>
  <c r="AZ58" i="17" s="1"/>
  <c r="BA58" i="17" s="1"/>
  <c r="AH66" i="15"/>
  <c r="AI66" i="15" s="1"/>
  <c r="AJ66" i="15" s="1"/>
  <c r="AK66" i="15" s="1"/>
  <c r="AL66" i="15" s="1"/>
  <c r="AJ59" i="15"/>
  <c r="AK59" i="15" s="1"/>
  <c r="AL59" i="15" s="1"/>
  <c r="AM59" i="15" s="1"/>
  <c r="AN59" i="15" s="1"/>
  <c r="AO59" i="15" s="1"/>
  <c r="AP59" i="15" s="1"/>
  <c r="AQ59" i="15" s="1"/>
  <c r="AR59" i="15"/>
  <c r="AS59" i="15" s="1"/>
  <c r="AT59" i="15" s="1"/>
  <c r="AU59" i="15" s="1"/>
  <c r="AV59" i="15" s="1"/>
  <c r="AW59" i="15" s="1"/>
  <c r="AX59" i="15" s="1"/>
  <c r="AY59" i="15" s="1"/>
  <c r="AZ59" i="15" s="1"/>
  <c r="BA59" i="15" s="1"/>
  <c r="AH69" i="21"/>
  <c r="AI69" i="21" s="1"/>
  <c r="AJ69" i="21" s="1"/>
  <c r="AK69" i="21" s="1"/>
  <c r="AL69" i="21" s="1"/>
  <c r="AM69" i="21" s="1"/>
  <c r="AN69" i="21" s="1"/>
  <c r="AO69" i="21" s="1"/>
  <c r="AP69" i="21" s="1"/>
  <c r="AQ69" i="21" s="1"/>
  <c r="AR69" i="21" s="1"/>
  <c r="AS69" i="21" s="1"/>
  <c r="AT69" i="21" s="1"/>
  <c r="AU69" i="21" s="1"/>
  <c r="AV69" i="21" s="1"/>
  <c r="AW69" i="21" s="1"/>
  <c r="AX69" i="21" s="1"/>
  <c r="AY69" i="21" s="1"/>
  <c r="AZ69" i="21" s="1"/>
  <c r="AJ62" i="20"/>
  <c r="AK62" i="20" s="1"/>
  <c r="AL62" i="20" s="1"/>
  <c r="AM62" i="20"/>
  <c r="AN62" i="20" s="1"/>
  <c r="AO62" i="20" s="1"/>
  <c r="AP62" i="20" s="1"/>
  <c r="AQ62" i="20" s="1"/>
  <c r="AR62" i="20" s="1"/>
  <c r="AI44" i="18"/>
  <c r="AJ44" i="18" s="1"/>
  <c r="AK44" i="18" s="1"/>
  <c r="AL44" i="18" s="1"/>
  <c r="AM44" i="18" s="1"/>
  <c r="AN44" i="18" s="1"/>
  <c r="AO44" i="18" s="1"/>
  <c r="AP44" i="18" s="1"/>
  <c r="AQ44" i="18" s="1"/>
  <c r="AR44" i="18" s="1"/>
  <c r="AS44" i="18" s="1"/>
  <c r="AT44" i="18" s="1"/>
  <c r="AU44" i="18" s="1"/>
  <c r="AV44" i="18" s="1"/>
  <c r="AJ51" i="21"/>
  <c r="AK51" i="21" s="1"/>
  <c r="AL51" i="21" s="1"/>
  <c r="AM51" i="21" s="1"/>
  <c r="AN51" i="21" s="1"/>
  <c r="AO51" i="21" s="1"/>
  <c r="AP51" i="21" s="1"/>
  <c r="AJ80" i="20"/>
  <c r="AK80" i="20" s="1"/>
  <c r="AL80" i="20" s="1"/>
  <c r="AH151" i="18"/>
  <c r="AH65" i="22"/>
  <c r="AF1070" i="6"/>
  <c r="AQ1018" i="6"/>
  <c r="AM1018" i="6"/>
  <c r="AI1018" i="6"/>
  <c r="AE1018" i="6"/>
  <c r="AN966" i="6"/>
  <c r="AJ966" i="6"/>
  <c r="AF966" i="6"/>
  <c r="AE1070" i="6"/>
  <c r="AP1018" i="6"/>
  <c r="AL1018" i="6"/>
  <c r="AH1018" i="6"/>
  <c r="AD1018" i="6"/>
  <c r="AH1070" i="6"/>
  <c r="AD1070" i="6"/>
  <c r="AO1018" i="6"/>
  <c r="AK1018" i="6"/>
  <c r="AG1018" i="6"/>
  <c r="AC1018" i="6"/>
  <c r="AP966" i="6"/>
  <c r="AL966" i="6"/>
  <c r="AH966" i="6"/>
  <c r="AD966" i="6"/>
  <c r="AG1070" i="6"/>
  <c r="AC1070" i="6"/>
  <c r="AM966" i="6"/>
  <c r="AE966" i="6"/>
  <c r="AD884" i="6"/>
  <c r="AN1018" i="6"/>
  <c r="AK966" i="6"/>
  <c r="AC966" i="6"/>
  <c r="AJ1018" i="6"/>
  <c r="AQ966" i="6"/>
  <c r="AI966" i="6"/>
  <c r="AF1018" i="6"/>
  <c r="AO966" i="6"/>
  <c r="AG966" i="6"/>
  <c r="AB912" i="6"/>
  <c r="AB885" i="6" s="1"/>
  <c r="AG54" i="13"/>
  <c r="AH54" i="13" s="1"/>
  <c r="AI54" i="13" s="1"/>
  <c r="AO194" i="14"/>
  <c r="AI194" i="14"/>
  <c r="AJ194" i="14" s="1"/>
  <c r="AK194" i="14" s="1"/>
  <c r="AL194" i="14" s="1"/>
  <c r="AM194" i="14" s="1"/>
  <c r="AN194" i="14" s="1"/>
  <c r="AJ58" i="20"/>
  <c r="AK58" i="20" s="1"/>
  <c r="AL58" i="20" s="1"/>
  <c r="AM58" i="20" s="1"/>
  <c r="AN58" i="20" s="1"/>
  <c r="AO58" i="20" s="1"/>
  <c r="AP58" i="20" s="1"/>
  <c r="AQ58" i="20" s="1"/>
  <c r="AR58" i="20" s="1"/>
  <c r="AS58" i="20" s="1"/>
  <c r="AT58" i="20" s="1"/>
  <c r="AU58" i="20" s="1"/>
  <c r="AV58" i="20" s="1"/>
  <c r="AW58" i="20" s="1"/>
  <c r="AX58" i="20" s="1"/>
  <c r="AY58" i="20" s="1"/>
  <c r="AZ58" i="20" s="1"/>
  <c r="BA58" i="20" s="1"/>
  <c r="AJ52" i="16"/>
  <c r="AN66" i="16"/>
  <c r="AO66" i="16" s="1"/>
  <c r="AP66" i="16" s="1"/>
  <c r="AQ66" i="16" s="1"/>
  <c r="AR66" i="16" s="1"/>
  <c r="AS66" i="16" s="1"/>
  <c r="AT66" i="16" s="1"/>
  <c r="AU66" i="16" s="1"/>
  <c r="AV66" i="16" s="1"/>
  <c r="AW66" i="16" s="1"/>
  <c r="AX66" i="16" s="1"/>
  <c r="AY66" i="16" s="1"/>
  <c r="AZ66" i="16" s="1"/>
  <c r="BA66" i="16" s="1"/>
  <c r="AJ66" i="16"/>
  <c r="AK66" i="16" s="1"/>
  <c r="AL66" i="16" s="1"/>
  <c r="AM66" i="16" s="1"/>
  <c r="AK81" i="20"/>
  <c r="AL81" i="20" s="1"/>
  <c r="AM81" i="20" s="1"/>
  <c r="AL100" i="18"/>
  <c r="AM100" i="18" s="1"/>
  <c r="AG84" i="14"/>
  <c r="AH84" i="14" s="1"/>
  <c r="AQ51" i="21"/>
  <c r="AR51" i="21" s="1"/>
  <c r="AS51" i="21" s="1"/>
  <c r="AT51" i="21" s="1"/>
  <c r="AU51" i="21" s="1"/>
  <c r="AV51" i="21" s="1"/>
  <c r="AF54" i="21"/>
  <c r="AG54" i="21" s="1"/>
  <c r="AH54" i="21" s="1"/>
  <c r="AI54" i="21"/>
  <c r="AJ54" i="21" s="1"/>
  <c r="AK54" i="21" s="1"/>
  <c r="AL54" i="21" s="1"/>
  <c r="AG49" i="21"/>
  <c r="AK49" i="21"/>
  <c r="AI49" i="21"/>
  <c r="AJ49" i="21" s="1"/>
  <c r="AH49" i="21"/>
  <c r="AK110" i="13"/>
  <c r="AL110" i="13" s="1"/>
  <c r="AM110" i="13" s="1"/>
  <c r="AO110" i="13"/>
  <c r="AP110" i="13" s="1"/>
  <c r="AQ110" i="13" s="1"/>
  <c r="AR110" i="13" s="1"/>
  <c r="AS110" i="13" s="1"/>
  <c r="AT110" i="13" s="1"/>
  <c r="AU110" i="13" s="1"/>
  <c r="AV110" i="13" s="1"/>
  <c r="AW110" i="13" s="1"/>
  <c r="AX110" i="13" s="1"/>
  <c r="AY110" i="13" s="1"/>
  <c r="AZ110" i="13" s="1"/>
  <c r="BA110" i="13" s="1"/>
  <c r="AN110" i="13"/>
  <c r="AM46" i="23"/>
  <c r="AN46" i="23" s="1"/>
  <c r="AO46" i="23" s="1"/>
  <c r="AP46" i="23" s="1"/>
  <c r="AQ46" i="23" s="1"/>
  <c r="AR46" i="23" s="1"/>
  <c r="AS46" i="23" s="1"/>
  <c r="AT46" i="23" s="1"/>
  <c r="AU46" i="23" s="1"/>
  <c r="AV46" i="23" s="1"/>
  <c r="AW46" i="23" s="1"/>
  <c r="AX46" i="23" s="1"/>
  <c r="AY46" i="23" s="1"/>
  <c r="AZ46" i="23" s="1"/>
  <c r="AK119" i="13"/>
  <c r="AL119" i="13" s="1"/>
  <c r="AM119" i="13" s="1"/>
  <c r="AN119" i="13" s="1"/>
  <c r="AO119" i="13" s="1"/>
  <c r="AP119" i="13" s="1"/>
  <c r="AQ119" i="13" s="1"/>
  <c r="AR119" i="13" s="1"/>
  <c r="AS119" i="13" s="1"/>
  <c r="AT119" i="13" s="1"/>
  <c r="AU119" i="13" s="1"/>
  <c r="AV119" i="13" s="1"/>
  <c r="AW119" i="13" s="1"/>
  <c r="AX119" i="13" s="1"/>
  <c r="AY119" i="13" s="1"/>
  <c r="AZ119" i="13" s="1"/>
  <c r="BA119" i="13" s="1"/>
  <c r="AM112" i="14"/>
  <c r="AN112" i="14" s="1"/>
  <c r="AO112" i="14" s="1"/>
  <c r="AP112" i="14" s="1"/>
  <c r="AQ112" i="14" s="1"/>
  <c r="AM81" i="14"/>
  <c r="AI181" i="14"/>
  <c r="AJ181" i="14" s="1"/>
  <c r="AK181" i="14" s="1"/>
  <c r="AL181" i="14" s="1"/>
  <c r="AM181" i="14" s="1"/>
  <c r="AN181" i="14" s="1"/>
  <c r="AO181" i="14" s="1"/>
  <c r="AP181" i="14" s="1"/>
  <c r="AQ181" i="14" s="1"/>
  <c r="AR181" i="14" s="1"/>
  <c r="AS181" i="14" s="1"/>
  <c r="AT181" i="14" s="1"/>
  <c r="AU181" i="14" s="1"/>
  <c r="AV181" i="14" s="1"/>
  <c r="AW181" i="14" s="1"/>
  <c r="AX181" i="14" s="1"/>
  <c r="AY181" i="14" s="1"/>
  <c r="AZ181" i="14" s="1"/>
  <c r="BA181" i="14" s="1"/>
  <c r="AH57" i="19"/>
  <c r="AI57" i="19" s="1"/>
  <c r="AJ57" i="19" s="1"/>
  <c r="AN43" i="15"/>
  <c r="AO43" i="15" s="1"/>
  <c r="AP43" i="15" s="1"/>
  <c r="AQ43" i="15" s="1"/>
  <c r="AR43" i="15" s="1"/>
  <c r="AS43" i="15" s="1"/>
  <c r="AT43" i="15" s="1"/>
  <c r="AU43" i="15" s="1"/>
  <c r="AV43" i="15" s="1"/>
  <c r="AW43" i="15" s="1"/>
  <c r="AX43" i="15" s="1"/>
  <c r="AY43" i="15" s="1"/>
  <c r="AZ43" i="15" s="1"/>
  <c r="BA43" i="15" s="1"/>
  <c r="AH114" i="18"/>
  <c r="AI114" i="18" s="1"/>
  <c r="AJ114" i="18" s="1"/>
  <c r="AK114" i="18" s="1"/>
  <c r="AL114" i="18" s="1"/>
  <c r="AM114" i="18" s="1"/>
  <c r="AN114" i="18" s="1"/>
  <c r="AO114" i="18" s="1"/>
  <c r="AP114" i="18" s="1"/>
  <c r="AQ114" i="18" s="1"/>
  <c r="AR114" i="18" s="1"/>
  <c r="AS114" i="18" s="1"/>
  <c r="AT114" i="18" s="1"/>
  <c r="AU114" i="18" s="1"/>
  <c r="AV114" i="18" s="1"/>
  <c r="AW114" i="18" s="1"/>
  <c r="AX114" i="18" s="1"/>
  <c r="AY114" i="18" s="1"/>
  <c r="AZ114" i="18" s="1"/>
  <c r="AP194" i="14"/>
  <c r="AQ194" i="14" s="1"/>
  <c r="AR194" i="14" s="1"/>
  <c r="AS194" i="14" s="1"/>
  <c r="AT194" i="14" s="1"/>
  <c r="AU194" i="14" s="1"/>
  <c r="AV194" i="14" s="1"/>
  <c r="AW194" i="14" s="1"/>
  <c r="AX194" i="14" s="1"/>
  <c r="AY194" i="14" s="1"/>
  <c r="AZ194" i="14" s="1"/>
  <c r="BA194" i="14" s="1"/>
  <c r="AM105" i="22"/>
  <c r="AN105" i="22" s="1"/>
  <c r="AO105" i="22" s="1"/>
  <c r="AP105" i="22" s="1"/>
  <c r="AQ105" i="22" s="1"/>
  <c r="AR105" i="22" s="1"/>
  <c r="AS105" i="22" s="1"/>
  <c r="AT105" i="22" s="1"/>
  <c r="AU105" i="22" s="1"/>
  <c r="AV105" i="22" s="1"/>
  <c r="AW105" i="22" s="1"/>
  <c r="AX105" i="22" s="1"/>
  <c r="AY105" i="22" s="1"/>
  <c r="AZ105" i="22" s="1"/>
  <c r="AJ105" i="22"/>
  <c r="AK105" i="22" s="1"/>
  <c r="AL105" i="22" s="1"/>
  <c r="AP62" i="15"/>
  <c r="AQ62" i="15" s="1"/>
  <c r="AG65" i="19"/>
  <c r="AS110" i="21"/>
  <c r="AT110" i="21" s="1"/>
  <c r="AU110" i="21" s="1"/>
  <c r="AV110" i="21" s="1"/>
  <c r="AW110" i="21" s="1"/>
  <c r="AX110" i="21" s="1"/>
  <c r="AY110" i="21" s="1"/>
  <c r="AZ110" i="21" s="1"/>
  <c r="AI111" i="18"/>
  <c r="AJ111" i="18" s="1"/>
  <c r="AK111" i="18" s="1"/>
  <c r="AL111" i="18" s="1"/>
  <c r="AM111" i="18" s="1"/>
  <c r="AN111" i="18" s="1"/>
  <c r="AO111" i="18" s="1"/>
  <c r="AP111" i="18" s="1"/>
  <c r="AQ111" i="18" s="1"/>
  <c r="AR111" i="18" s="1"/>
  <c r="AS111" i="18" s="1"/>
  <c r="AT111" i="18" s="1"/>
  <c r="AU111" i="18" s="1"/>
  <c r="AV111" i="18" s="1"/>
  <c r="AW111" i="18" s="1"/>
  <c r="AX111" i="18" s="1"/>
  <c r="AY111" i="18" s="1"/>
  <c r="AZ111" i="18" s="1"/>
  <c r="AN142" i="14"/>
  <c r="AO142" i="14" s="1"/>
  <c r="AP142" i="14" s="1"/>
  <c r="AQ142" i="14" s="1"/>
  <c r="AL58" i="13"/>
  <c r="AM58" i="13" s="1"/>
  <c r="AN58" i="13" s="1"/>
  <c r="AO58" i="13" s="1"/>
  <c r="AP58" i="13" s="1"/>
  <c r="AQ58" i="13" s="1"/>
  <c r="AR58" i="13" s="1"/>
  <c r="AS58" i="13" s="1"/>
  <c r="AT58" i="13" s="1"/>
  <c r="AU58" i="13" s="1"/>
  <c r="AV58" i="13" s="1"/>
  <c r="AW58" i="13" s="1"/>
  <c r="AX58" i="13" s="1"/>
  <c r="AY58" i="13" s="1"/>
  <c r="AZ58" i="13" s="1"/>
  <c r="BA58" i="13" s="1"/>
  <c r="AG58" i="13"/>
  <c r="AH58" i="13" s="1"/>
  <c r="AI58" i="13" s="1"/>
  <c r="AJ58" i="13" s="1"/>
  <c r="AK58" i="13" s="1"/>
  <c r="AR95" i="22"/>
  <c r="AS95" i="22" s="1"/>
  <c r="AT95" i="22" s="1"/>
  <c r="AU95" i="22" s="1"/>
  <c r="AV95" i="22"/>
  <c r="AL50" i="23"/>
  <c r="AM50" i="23" s="1"/>
  <c r="AN50" i="23" s="1"/>
  <c r="AO50" i="23" s="1"/>
  <c r="AP50" i="23"/>
  <c r="AQ50" i="23" s="1"/>
  <c r="AR50" i="23" s="1"/>
  <c r="AS50" i="23" s="1"/>
  <c r="AT50" i="23" s="1"/>
  <c r="AU50" i="23" s="1"/>
  <c r="AV50" i="23" s="1"/>
  <c r="AW50" i="23" s="1"/>
  <c r="AX50" i="23" s="1"/>
  <c r="AY50" i="23" s="1"/>
  <c r="AZ50" i="23" s="1"/>
  <c r="AH65" i="16"/>
  <c r="AI65" i="16" s="1"/>
  <c r="AJ65" i="16" s="1"/>
  <c r="AK65" i="16" s="1"/>
  <c r="AL65" i="16" s="1"/>
  <c r="AM65" i="16" s="1"/>
  <c r="AN65" i="16" s="1"/>
  <c r="AO65" i="16" s="1"/>
  <c r="AP65" i="16" s="1"/>
  <c r="AQ65" i="16" s="1"/>
  <c r="AR65" i="16" s="1"/>
  <c r="AS65" i="16" s="1"/>
  <c r="AT65" i="16" s="1"/>
  <c r="AU65" i="16" s="1"/>
  <c r="AV65" i="16" s="1"/>
  <c r="AW65" i="16" s="1"/>
  <c r="AX65" i="16" s="1"/>
  <c r="AY65" i="16" s="1"/>
  <c r="AZ65" i="16" s="1"/>
  <c r="BA65" i="16" s="1"/>
  <c r="AM113" i="22"/>
  <c r="AM67" i="17"/>
  <c r="AN67" i="17" s="1"/>
  <c r="AO67" i="17" s="1"/>
  <c r="AP67" i="17" s="1"/>
  <c r="AQ67" i="17" s="1"/>
  <c r="AV122" i="13"/>
  <c r="AW122" i="13" s="1"/>
  <c r="AX122" i="13" s="1"/>
  <c r="AY122" i="13" s="1"/>
  <c r="AZ122" i="13" s="1"/>
  <c r="BA122" i="13" s="1"/>
  <c r="AS84" i="18"/>
  <c r="AT84" i="18" s="1"/>
  <c r="AU84" i="18" s="1"/>
  <c r="AV84" i="18" s="1"/>
  <c r="AW84" i="18" s="1"/>
  <c r="AX84" i="18" s="1"/>
  <c r="AY84" i="18" s="1"/>
  <c r="AZ84" i="18" s="1"/>
  <c r="AJ67" i="22"/>
  <c r="AK67" i="22"/>
  <c r="AL67" i="22" s="1"/>
  <c r="AM67" i="22" s="1"/>
  <c r="AN67" i="22" s="1"/>
  <c r="AO67" i="22" s="1"/>
  <c r="AP67" i="22" s="1"/>
  <c r="AQ67" i="22" s="1"/>
  <c r="AR67" i="22" s="1"/>
  <c r="AS67" i="22" s="1"/>
  <c r="AT67" i="22" s="1"/>
  <c r="AU67" i="22" s="1"/>
  <c r="AV67" i="22" s="1"/>
  <c r="AW67" i="22" s="1"/>
  <c r="AX67" i="22" s="1"/>
  <c r="AY67" i="22" s="1"/>
  <c r="AZ67" i="22" s="1"/>
  <c r="AF71" i="15"/>
  <c r="AG71" i="15" s="1"/>
  <c r="AH71" i="15" s="1"/>
  <c r="AI71" i="15" s="1"/>
  <c r="AF47" i="20"/>
  <c r="AG47" i="20" s="1"/>
  <c r="AH47" i="20" s="1"/>
  <c r="AI47" i="20" s="1"/>
  <c r="AI126" i="22"/>
  <c r="AJ126" i="22" s="1"/>
  <c r="AK126" i="22" s="1"/>
  <c r="AL126" i="22" s="1"/>
  <c r="AM126" i="22" s="1"/>
  <c r="AN126" i="22" s="1"/>
  <c r="AO126" i="22" s="1"/>
  <c r="AP126" i="22" s="1"/>
  <c r="AQ126" i="22" s="1"/>
  <c r="AR126" i="22" s="1"/>
  <c r="AS126" i="22" s="1"/>
  <c r="AT126" i="22" s="1"/>
  <c r="AU126" i="22" s="1"/>
  <c r="AV126" i="22" s="1"/>
  <c r="AW126" i="22" s="1"/>
  <c r="AX126" i="22" s="1"/>
  <c r="AY126" i="22" s="1"/>
  <c r="AZ126" i="22" s="1"/>
  <c r="AE61" i="12"/>
  <c r="AU2971" i="6"/>
  <c r="AQ2971" i="6"/>
  <c r="AM2971" i="6"/>
  <c r="AI2971" i="6"/>
  <c r="AE2971" i="6"/>
  <c r="AA2971" i="6"/>
  <c r="AA2946" i="6" s="1"/>
  <c r="AA2840" i="6"/>
  <c r="AT2971" i="6"/>
  <c r="AP2971" i="6"/>
  <c r="AL2971" i="6"/>
  <c r="AH2971" i="6"/>
  <c r="AD2971" i="6"/>
  <c r="AO2971" i="6"/>
  <c r="AG2971" i="6"/>
  <c r="AN2971" i="6"/>
  <c r="AF2971" i="6"/>
  <c r="AS2971" i="6"/>
  <c r="AK2971" i="6"/>
  <c r="AC2971" i="6"/>
  <c r="AJ2971" i="6"/>
  <c r="AB2971" i="6"/>
  <c r="AA2839" i="6"/>
  <c r="AR2971" i="6"/>
  <c r="R1165" i="6"/>
  <c r="R1322" i="6" s="1"/>
  <c r="R1164" i="6"/>
  <c r="AD73" i="18"/>
  <c r="AE53" i="18"/>
  <c r="AF53" i="18"/>
  <c r="AG53" i="18" s="1"/>
  <c r="AL52" i="18"/>
  <c r="AM52" i="18" s="1"/>
  <c r="AN52" i="18" s="1"/>
  <c r="AO52" i="18" s="1"/>
  <c r="AP52" i="18" s="1"/>
  <c r="AQ52" i="18" s="1"/>
  <c r="AR52" i="18" s="1"/>
  <c r="AS52" i="18" s="1"/>
  <c r="AT52" i="18" s="1"/>
  <c r="AU52" i="18" s="1"/>
  <c r="AV52" i="18" s="1"/>
  <c r="AW52" i="18" s="1"/>
  <c r="AX52" i="18" s="1"/>
  <c r="AY52" i="18" s="1"/>
  <c r="AZ52" i="18" s="1"/>
  <c r="BA52" i="18" s="1"/>
  <c r="AG52" i="18"/>
  <c r="AH52" i="18" s="1"/>
  <c r="AI52" i="18" s="1"/>
  <c r="AJ52" i="18" s="1"/>
  <c r="AK52" i="18" s="1"/>
  <c r="N2" i="23"/>
  <c r="AC2627" i="6"/>
  <c r="Y2627" i="6"/>
  <c r="U2627" i="6"/>
  <c r="Q2627" i="6"/>
  <c r="AC2575" i="6"/>
  <c r="Y2575" i="6"/>
  <c r="U2575" i="6"/>
  <c r="Q2575" i="6"/>
  <c r="AB2523" i="6"/>
  <c r="X2523" i="6"/>
  <c r="T2523" i="6"/>
  <c r="AB2627" i="6"/>
  <c r="W2627" i="6"/>
  <c r="R2627" i="6"/>
  <c r="AD2575" i="6"/>
  <c r="X2575" i="6"/>
  <c r="S2575" i="6"/>
  <c r="AE2523" i="6"/>
  <c r="Z2523" i="6"/>
  <c r="U2523" i="6"/>
  <c r="AF2627" i="6"/>
  <c r="AA2627" i="6"/>
  <c r="V2627" i="6"/>
  <c r="AB2575" i="6"/>
  <c r="W2575" i="6"/>
  <c r="R2575" i="6"/>
  <c r="AD2523" i="6"/>
  <c r="Y2523" i="6"/>
  <c r="S2523" i="6"/>
  <c r="AE2627" i="6"/>
  <c r="Z2627" i="6"/>
  <c r="T2627" i="6"/>
  <c r="AA2575" i="6"/>
  <c r="V2575" i="6"/>
  <c r="AC2523" i="6"/>
  <c r="W2523" i="6"/>
  <c r="R2523" i="6"/>
  <c r="AD2627" i="6"/>
  <c r="AE2575" i="6"/>
  <c r="X2627" i="6"/>
  <c r="Z2575" i="6"/>
  <c r="AA2523" i="6"/>
  <c r="S2627" i="6"/>
  <c r="T2575" i="6"/>
  <c r="V2523" i="6"/>
  <c r="Q2523" i="6"/>
  <c r="P2469" i="6"/>
  <c r="P2454" i="6" s="1"/>
  <c r="AF74" i="21"/>
  <c r="AH74" i="21" s="1"/>
  <c r="AI74" i="21" s="1"/>
  <c r="AJ74" i="21" s="1"/>
  <c r="AK74" i="21" s="1"/>
  <c r="AL74" i="21" s="1"/>
  <c r="AM74" i="21" s="1"/>
  <c r="AN74" i="21" s="1"/>
  <c r="AO74" i="21" s="1"/>
  <c r="AJ93" i="22"/>
  <c r="AK93" i="22" s="1"/>
  <c r="AL93" i="22" s="1"/>
  <c r="AM93" i="22" s="1"/>
  <c r="AN93" i="22" s="1"/>
  <c r="AO93" i="22" s="1"/>
  <c r="AP93" i="22" s="1"/>
  <c r="AQ93" i="22" s="1"/>
  <c r="AR93" i="22" s="1"/>
  <c r="AS93" i="22" s="1"/>
  <c r="AT93" i="22" s="1"/>
  <c r="AU93" i="22" s="1"/>
  <c r="AV93" i="22" s="1"/>
  <c r="AW93" i="22" s="1"/>
  <c r="AX93" i="22" s="1"/>
  <c r="AY93" i="22" s="1"/>
  <c r="AZ93" i="22" s="1"/>
  <c r="AF89" i="22"/>
  <c r="X1840" i="6"/>
  <c r="X1839" i="6"/>
  <c r="AK99" i="13"/>
  <c r="AL99" i="13" s="1"/>
  <c r="AM99" i="13" s="1"/>
  <c r="AN99" i="13" s="1"/>
  <c r="AO99" i="13" s="1"/>
  <c r="AP99" i="13" s="1"/>
  <c r="AQ99" i="13" s="1"/>
  <c r="AR99" i="13"/>
  <c r="AS99" i="13" s="1"/>
  <c r="AT99" i="13" s="1"/>
  <c r="AU99" i="13" s="1"/>
  <c r="AV99" i="13" s="1"/>
  <c r="AW99" i="13" s="1"/>
  <c r="AX99" i="13" s="1"/>
  <c r="AY99" i="13" s="1"/>
  <c r="AZ99" i="13" s="1"/>
  <c r="BA99" i="13" s="1"/>
  <c r="AD97" i="18"/>
  <c r="O17" i="22"/>
  <c r="Q2228" i="6"/>
  <c r="P23" i="14"/>
  <c r="R415" i="6"/>
  <c r="AS58" i="15"/>
  <c r="AT58" i="15" s="1"/>
  <c r="AF153" i="18"/>
  <c r="N3" i="16"/>
  <c r="T1058" i="6"/>
  <c r="AE1006" i="6"/>
  <c r="AA1006" i="6"/>
  <c r="W1006" i="6"/>
  <c r="S1006" i="6"/>
  <c r="AB954" i="6"/>
  <c r="X954" i="6"/>
  <c r="T954" i="6"/>
  <c r="S1058" i="6"/>
  <c r="AD1006" i="6"/>
  <c r="Z1006" i="6"/>
  <c r="V1006" i="6"/>
  <c r="R1006" i="6"/>
  <c r="V1058" i="6"/>
  <c r="V1043" i="6" s="1"/>
  <c r="R1058" i="6"/>
  <c r="AC1006" i="6"/>
  <c r="Y1006" i="6"/>
  <c r="U1006" i="6"/>
  <c r="Q1006" i="6"/>
  <c r="AD954" i="6"/>
  <c r="Z954" i="6"/>
  <c r="V954" i="6"/>
  <c r="R954" i="6"/>
  <c r="U1058" i="6"/>
  <c r="Q1058" i="6"/>
  <c r="T1006" i="6"/>
  <c r="AE954" i="6"/>
  <c r="W954" i="6"/>
  <c r="AC954" i="6"/>
  <c r="U954" i="6"/>
  <c r="AB1006" i="6"/>
  <c r="AA954" i="6"/>
  <c r="S954" i="6"/>
  <c r="X1006" i="6"/>
  <c r="Y954" i="6"/>
  <c r="Q954" i="6"/>
  <c r="P900" i="6"/>
  <c r="P885" i="6" s="1"/>
  <c r="AE70" i="13"/>
  <c r="AJ93" i="18"/>
  <c r="AK93" i="18" s="1"/>
  <c r="AL93" i="18" s="1"/>
  <c r="AM93" i="18" s="1"/>
  <c r="AN93" i="18" s="1"/>
  <c r="AO93" i="18" s="1"/>
  <c r="AP93" i="18" s="1"/>
  <c r="AQ93" i="18" s="1"/>
  <c r="AR93" i="18" s="1"/>
  <c r="AS93" i="18" s="1"/>
  <c r="AT93" i="18" s="1"/>
  <c r="AU93" i="18" s="1"/>
  <c r="AV93" i="18" s="1"/>
  <c r="AW93" i="18" s="1"/>
  <c r="AX93" i="18" s="1"/>
  <c r="AY93" i="18" s="1"/>
  <c r="AZ93" i="18" s="1"/>
  <c r="AL30" i="14"/>
  <c r="AK32" i="14"/>
  <c r="U1164" i="6"/>
  <c r="U1165" i="6"/>
  <c r="AD2008" i="6"/>
  <c r="AE2006" i="6"/>
  <c r="AD2004" i="6"/>
  <c r="AE1558" i="6"/>
  <c r="AF1556" i="6"/>
  <c r="AF104" i="21"/>
  <c r="AG104" i="21"/>
  <c r="AH104" i="21"/>
  <c r="AI161" i="14"/>
  <c r="AJ161" i="14" s="1"/>
  <c r="AK161" i="14" s="1"/>
  <c r="AL161" i="14"/>
  <c r="AF84" i="13"/>
  <c r="AE135" i="14"/>
  <c r="AE2005" i="6"/>
  <c r="AD2010" i="6"/>
  <c r="AG146" i="14"/>
  <c r="AH146" i="14" s="1"/>
  <c r="AI146" i="14"/>
  <c r="AJ146" i="14" s="1"/>
  <c r="AK146" i="14" s="1"/>
  <c r="AL146" i="14" s="1"/>
  <c r="AM146" i="14" s="1"/>
  <c r="AN146" i="14" s="1"/>
  <c r="AO146" i="14" s="1"/>
  <c r="AP146" i="14" s="1"/>
  <c r="AQ146" i="14" s="1"/>
  <c r="AR146" i="14" s="1"/>
  <c r="AS146" i="14" s="1"/>
  <c r="AT146" i="14" s="1"/>
  <c r="AU146" i="14" s="1"/>
  <c r="AV146" i="14" s="1"/>
  <c r="AW146" i="14" s="1"/>
  <c r="AX146" i="14" s="1"/>
  <c r="AY146" i="14" s="1"/>
  <c r="AZ146" i="14" s="1"/>
  <c r="BA146" i="14" s="1"/>
  <c r="AI54" i="22"/>
  <c r="AJ54" i="22" s="1"/>
  <c r="AK54" i="22" s="1"/>
  <c r="AE70" i="14"/>
  <c r="AA416" i="6"/>
  <c r="AB35" i="5"/>
  <c r="AK62" i="18"/>
  <c r="AL62" i="18" s="1"/>
  <c r="AM62" i="18" s="1"/>
  <c r="AE123" i="22"/>
  <c r="AF43" i="20"/>
  <c r="AF106" i="14"/>
  <c r="AE86" i="13"/>
  <c r="AF86" i="13" s="1"/>
  <c r="AG86" i="13" s="1"/>
  <c r="AH86" i="13" s="1"/>
  <c r="AI86" i="13" s="1"/>
  <c r="AH102" i="14"/>
  <c r="AJ47" i="21"/>
  <c r="AK47" i="21" s="1"/>
  <c r="AL47" i="21" s="1"/>
  <c r="AM47" i="21" s="1"/>
  <c r="AN47" i="21" s="1"/>
  <c r="AO47" i="21" s="1"/>
  <c r="AP47" i="21" s="1"/>
  <c r="AQ47" i="21" s="1"/>
  <c r="AR47" i="21" s="1"/>
  <c r="AS47" i="21" s="1"/>
  <c r="AE56" i="15"/>
  <c r="AH87" i="13"/>
  <c r="AI87" i="13" s="1"/>
  <c r="AJ87" i="13" s="1"/>
  <c r="AK87" i="13" s="1"/>
  <c r="AL87" i="13" s="1"/>
  <c r="AM87" i="13" s="1"/>
  <c r="AN87" i="13" s="1"/>
  <c r="AO87" i="13" s="1"/>
  <c r="AP87" i="13" s="1"/>
  <c r="AQ87" i="13" s="1"/>
  <c r="AR87" i="13" s="1"/>
  <c r="AS87" i="13" s="1"/>
  <c r="AT87" i="13" s="1"/>
  <c r="AU87" i="13" s="1"/>
  <c r="AV87" i="13" s="1"/>
  <c r="AW87" i="13" s="1"/>
  <c r="AX87" i="13" s="1"/>
  <c r="AY87" i="13" s="1"/>
  <c r="AZ87" i="13" s="1"/>
  <c r="BA87" i="13" s="1"/>
  <c r="AR149" i="14"/>
  <c r="AD48" i="15"/>
  <c r="AE48" i="15" s="1"/>
  <c r="AF48" i="15" s="1"/>
  <c r="AU58" i="15"/>
  <c r="AV58" i="15" s="1"/>
  <c r="AW58" i="15" s="1"/>
  <c r="AX58" i="15" s="1"/>
  <c r="AE136" i="14"/>
  <c r="Z43" i="8"/>
  <c r="AA643" i="6" s="1"/>
  <c r="Z42" i="8"/>
  <c r="AA644" i="6" s="1"/>
  <c r="Z41" i="8"/>
  <c r="AA642" i="6" s="1"/>
  <c r="AA641" i="6"/>
  <c r="AB33" i="5" s="1"/>
  <c r="AK77" i="22"/>
  <c r="AL77" i="22" s="1"/>
  <c r="AM77" i="22" s="1"/>
  <c r="AN77" i="22" s="1"/>
  <c r="AO77" i="22" s="1"/>
  <c r="AP77" i="22" s="1"/>
  <c r="AQ77" i="22" s="1"/>
  <c r="AR77" i="22" s="1"/>
  <c r="AS77" i="22" s="1"/>
  <c r="AT77" i="22" s="1"/>
  <c r="AU77" i="22" s="1"/>
  <c r="AV77" i="22" s="1"/>
  <c r="AW77" i="22" s="1"/>
  <c r="AX77" i="22" s="1"/>
  <c r="AY77" i="22" s="1"/>
  <c r="AZ77" i="22" s="1"/>
  <c r="AK41" i="18"/>
  <c r="AL41" i="18" s="1"/>
  <c r="AM41" i="18" s="1"/>
  <c r="AN41" i="18" s="1"/>
  <c r="AO41" i="18" s="1"/>
  <c r="AP41" i="18" s="1"/>
  <c r="AQ41" i="18" s="1"/>
  <c r="AU72" i="14"/>
  <c r="AV72" i="14" s="1"/>
  <c r="AW72" i="14" s="1"/>
  <c r="AX72" i="14" s="1"/>
  <c r="AY72" i="14" s="1"/>
  <c r="AZ72" i="14" s="1"/>
  <c r="BA72" i="14" s="1"/>
  <c r="AK75" i="14"/>
  <c r="AL75" i="14" s="1"/>
  <c r="AM75" i="14" s="1"/>
  <c r="AN75" i="14" s="1"/>
  <c r="AO75" i="14" s="1"/>
  <c r="AP75" i="14" s="1"/>
  <c r="AQ75" i="14" s="1"/>
  <c r="AR75" i="14" s="1"/>
  <c r="AS75" i="14" s="1"/>
  <c r="AT75" i="14" s="1"/>
  <c r="AU75" i="14" s="1"/>
  <c r="AV75" i="14" s="1"/>
  <c r="AW75" i="14" s="1"/>
  <c r="AX75" i="14" s="1"/>
  <c r="AY75" i="14" s="1"/>
  <c r="AZ75" i="14" s="1"/>
  <c r="BA75" i="14" s="1"/>
  <c r="AI75" i="14"/>
  <c r="AJ75" i="14" s="1"/>
  <c r="AG75" i="15"/>
  <c r="AH155" i="14"/>
  <c r="AI49" i="22"/>
  <c r="X2669" i="6"/>
  <c r="U2831" i="6"/>
  <c r="AF53" i="15"/>
  <c r="AG53" i="15" s="1"/>
  <c r="AG98" i="13"/>
  <c r="AH98" i="13"/>
  <c r="AI98" i="13" s="1"/>
  <c r="AJ98" i="13" s="1"/>
  <c r="AK98" i="13" s="1"/>
  <c r="AL98" i="13" s="1"/>
  <c r="AM98" i="13" s="1"/>
  <c r="AN98" i="13" s="1"/>
  <c r="AO98" i="13" s="1"/>
  <c r="AP98" i="13" s="1"/>
  <c r="AQ98" i="13" s="1"/>
  <c r="AR98" i="13" s="1"/>
  <c r="AS98" i="13" s="1"/>
  <c r="AT98" i="13" s="1"/>
  <c r="AU98" i="13" s="1"/>
  <c r="AV98" i="13" s="1"/>
  <c r="AW98" i="13" s="1"/>
  <c r="AX98" i="13" s="1"/>
  <c r="AY98" i="13" s="1"/>
  <c r="AZ98" i="13" s="1"/>
  <c r="BA98" i="13" s="1"/>
  <c r="AC2225" i="6"/>
  <c r="AH54" i="19"/>
  <c r="X21" i="17"/>
  <c r="X1106" i="6"/>
  <c r="Y19" i="5" s="1"/>
  <c r="AI70" i="22"/>
  <c r="AJ70" i="22" s="1"/>
  <c r="AK70" i="22" s="1"/>
  <c r="AL70" i="22" s="1"/>
  <c r="AM70" i="22" s="1"/>
  <c r="AN70" i="22" s="1"/>
  <c r="AO70" i="22" s="1"/>
  <c r="AP70" i="22" s="1"/>
  <c r="AQ70" i="22" s="1"/>
  <c r="AR70" i="22" s="1"/>
  <c r="AS70" i="22" s="1"/>
  <c r="AT70" i="22" s="1"/>
  <c r="AU70" i="22" s="1"/>
  <c r="AV70" i="22" s="1"/>
  <c r="AW70" i="22" s="1"/>
  <c r="AX70" i="22" s="1"/>
  <c r="AY70" i="22" s="1"/>
  <c r="AZ70" i="22" s="1"/>
  <c r="AG90" i="21"/>
  <c r="AH90" i="21" s="1"/>
  <c r="AI90" i="21" s="1"/>
  <c r="AJ90" i="21" s="1"/>
  <c r="AK90" i="21" s="1"/>
  <c r="AL90" i="21" s="1"/>
  <c r="AM90" i="21" s="1"/>
  <c r="AN90" i="21" s="1"/>
  <c r="AO90" i="21" s="1"/>
  <c r="AP90" i="21" s="1"/>
  <c r="AQ90" i="21" s="1"/>
  <c r="AR90" i="21" s="1"/>
  <c r="AS90" i="21" s="1"/>
  <c r="AT90" i="21" s="1"/>
  <c r="AU90" i="21" s="1"/>
  <c r="AV90" i="21" s="1"/>
  <c r="AW90" i="21" s="1"/>
  <c r="AX90" i="21" s="1"/>
  <c r="AY90" i="21" s="1"/>
  <c r="AZ90" i="21" s="1"/>
  <c r="AF114" i="14"/>
  <c r="AG5" i="9"/>
  <c r="AE96" i="14"/>
  <c r="AF96" i="14" s="1"/>
  <c r="AE58" i="15"/>
  <c r="AF58" i="15" s="1"/>
  <c r="AG58" i="15" s="1"/>
  <c r="AH58" i="15" s="1"/>
  <c r="AI58" i="15" s="1"/>
  <c r="AJ58" i="15" s="1"/>
  <c r="AK58" i="15" s="1"/>
  <c r="AL58" i="15" s="1"/>
  <c r="AM58" i="15" s="1"/>
  <c r="AN58" i="15" s="1"/>
  <c r="AO58" i="15" s="1"/>
  <c r="AP58" i="15" s="1"/>
  <c r="AQ58" i="15" s="1"/>
  <c r="AR58" i="15" s="1"/>
  <c r="AJ121" i="14"/>
  <c r="AE36" i="21"/>
  <c r="AH63" i="16"/>
  <c r="AK154" i="14"/>
  <c r="AI87" i="22"/>
  <c r="AC1043" i="6"/>
  <c r="AF62" i="21"/>
  <c r="AE199" i="14"/>
  <c r="AR115" i="13"/>
  <c r="AS115" i="13" s="1"/>
  <c r="AT115" i="13" s="1"/>
  <c r="AU115" i="13" s="1"/>
  <c r="AV115" i="13" s="1"/>
  <c r="AW115" i="13" s="1"/>
  <c r="AX115" i="13" s="1"/>
  <c r="AY115" i="13" s="1"/>
  <c r="AZ115" i="13" s="1"/>
  <c r="BA115" i="13" s="1"/>
  <c r="AG61" i="18"/>
  <c r="AH61" i="18" s="1"/>
  <c r="AI61" i="18" s="1"/>
  <c r="AJ61" i="18" s="1"/>
  <c r="AK61" i="18" s="1"/>
  <c r="AL61" i="18" s="1"/>
  <c r="AH64" i="16"/>
  <c r="AG76" i="22"/>
  <c r="AE878" i="6"/>
  <c r="AE7" i="5"/>
  <c r="AD880" i="6"/>
  <c r="AP1747" i="6"/>
  <c r="AL1747" i="6"/>
  <c r="AH1747" i="6"/>
  <c r="AD1747" i="6"/>
  <c r="AQ1695" i="6"/>
  <c r="AM1695" i="6"/>
  <c r="AI1695" i="6"/>
  <c r="AE1695" i="6"/>
  <c r="AP1643" i="6"/>
  <c r="AL1643" i="6"/>
  <c r="AH1643" i="6"/>
  <c r="AD1643" i="6"/>
  <c r="AQ1747" i="6"/>
  <c r="AK1747" i="6"/>
  <c r="AF1747" i="6"/>
  <c r="AO1695" i="6"/>
  <c r="AJ1695" i="6"/>
  <c r="AD1695" i="6"/>
  <c r="AN1643" i="6"/>
  <c r="AI1643" i="6"/>
  <c r="AC1643" i="6"/>
  <c r="AA1589" i="6"/>
  <c r="AO1747" i="6"/>
  <c r="AJ1747" i="6"/>
  <c r="AE1747" i="6"/>
  <c r="AN1695" i="6"/>
  <c r="AH1695" i="6"/>
  <c r="AC1695" i="6"/>
  <c r="AM1643" i="6"/>
  <c r="AG1643" i="6"/>
  <c r="Z1589" i="6"/>
  <c r="Z1562" i="6" s="1"/>
  <c r="AD1561" i="6"/>
  <c r="AN1747" i="6"/>
  <c r="AI1747" i="6"/>
  <c r="AC1747" i="6"/>
  <c r="AL1695" i="6"/>
  <c r="AG1695" i="6"/>
  <c r="AQ1643" i="6"/>
  <c r="AK1643" i="6"/>
  <c r="AF1643" i="6"/>
  <c r="AR1747" i="6"/>
  <c r="AM1747" i="6"/>
  <c r="AG1747" i="6"/>
  <c r="AP1695" i="6"/>
  <c r="AK1695" i="6"/>
  <c r="AF1695" i="6"/>
  <c r="AO1643" i="6"/>
  <c r="AJ1643" i="6"/>
  <c r="AE1643" i="6"/>
  <c r="AB1589" i="6"/>
  <c r="AE109" i="13"/>
  <c r="AF109" i="13"/>
  <c r="AG109" i="13" s="1"/>
  <c r="AG128" i="14"/>
  <c r="AJ63" i="22"/>
  <c r="AK63" i="22" s="1"/>
  <c r="AL63" i="22" s="1"/>
  <c r="AM63" i="22" s="1"/>
  <c r="AN63" i="22" s="1"/>
  <c r="AO63" i="22" s="1"/>
  <c r="AP63" i="22" s="1"/>
  <c r="AQ63" i="22" s="1"/>
  <c r="AR63" i="22" s="1"/>
  <c r="AS63" i="22" s="1"/>
  <c r="AT63" i="22" s="1"/>
  <c r="AU63" i="22" s="1"/>
  <c r="AV63" i="22" s="1"/>
  <c r="AW63" i="22" s="1"/>
  <c r="AX63" i="22" s="1"/>
  <c r="AY63" i="22" s="1"/>
  <c r="AZ63" i="22" s="1"/>
  <c r="AF101" i="14"/>
  <c r="AG101" i="14" s="1"/>
  <c r="AH101" i="14" s="1"/>
  <c r="AI101" i="14"/>
  <c r="AJ101" i="14" s="1"/>
  <c r="AK101" i="14" s="1"/>
  <c r="AL101" i="14" s="1"/>
  <c r="AM101" i="14" s="1"/>
  <c r="AN101" i="14" s="1"/>
  <c r="AO101" i="14" s="1"/>
  <c r="AP101" i="14" s="1"/>
  <c r="AQ101" i="14" s="1"/>
  <c r="AE21" i="13"/>
  <c r="AE22" i="13" s="1"/>
  <c r="AD22" i="13"/>
  <c r="AJ64" i="17"/>
  <c r="AK64" i="17" s="1"/>
  <c r="AL64" i="17" s="1"/>
  <c r="AM64" i="17" s="1"/>
  <c r="AN64" i="17" s="1"/>
  <c r="AO64" i="17" s="1"/>
  <c r="AP64" i="17" s="1"/>
  <c r="AQ64" i="17" s="1"/>
  <c r="AR64" i="17" s="1"/>
  <c r="AS64" i="17" s="1"/>
  <c r="AT64" i="17" s="1"/>
  <c r="AU64" i="17" s="1"/>
  <c r="AV64" i="17" s="1"/>
  <c r="AW64" i="17" s="1"/>
  <c r="AX64" i="17" s="1"/>
  <c r="AY64" i="17" s="1"/>
  <c r="AZ64" i="17" s="1"/>
  <c r="BA64" i="17" s="1"/>
  <c r="AN21" i="13"/>
  <c r="AM22" i="13"/>
  <c r="AG40" i="21"/>
  <c r="AH40" i="21" s="1"/>
  <c r="AI40" i="21" s="1"/>
  <c r="AK40" i="21"/>
  <c r="AL40" i="21" s="1"/>
  <c r="AM40" i="21" s="1"/>
  <c r="AP40" i="21"/>
  <c r="AQ40" i="21" s="1"/>
  <c r="AR40" i="21" s="1"/>
  <c r="AS40" i="21" s="1"/>
  <c r="AT40" i="21" s="1"/>
  <c r="AU40" i="21" s="1"/>
  <c r="AV40" i="21" s="1"/>
  <c r="AW40" i="21" s="1"/>
  <c r="AX40" i="21" s="1"/>
  <c r="AY40" i="21" s="1"/>
  <c r="AZ40" i="21" s="1"/>
  <c r="BA40" i="21" s="1"/>
  <c r="AJ40" i="21"/>
  <c r="AN40" i="21"/>
  <c r="AO40" i="21" s="1"/>
  <c r="AE245" i="6"/>
  <c r="AE244" i="6"/>
  <c r="AF28" i="5" s="1"/>
  <c r="AE408" i="6"/>
  <c r="AI94" i="13"/>
  <c r="AJ94" i="13" s="1"/>
  <c r="AK94" i="13" s="1"/>
  <c r="AL94" i="13" s="1"/>
  <c r="AM94" i="13" s="1"/>
  <c r="AN94" i="13" s="1"/>
  <c r="AO94" i="13" s="1"/>
  <c r="AP94" i="13" s="1"/>
  <c r="AQ94" i="13" s="1"/>
  <c r="AR94" i="13" s="1"/>
  <c r="AS94" i="13" s="1"/>
  <c r="AT94" i="13" s="1"/>
  <c r="AU94" i="13" s="1"/>
  <c r="AV94" i="13" s="1"/>
  <c r="AW94" i="13" s="1"/>
  <c r="AX94" i="13" s="1"/>
  <c r="AY94" i="13" s="1"/>
  <c r="AZ94" i="13" s="1"/>
  <c r="BA94" i="13" s="1"/>
  <c r="AH82" i="22"/>
  <c r="AI82" i="22" s="1"/>
  <c r="AJ82" i="22"/>
  <c r="AK82" i="22" s="1"/>
  <c r="AL82" i="22" s="1"/>
  <c r="AM82" i="22" s="1"/>
  <c r="AN82" i="22" s="1"/>
  <c r="AO82" i="22" s="1"/>
  <c r="AP82" i="22" s="1"/>
  <c r="AQ82" i="22" s="1"/>
  <c r="AR82" i="22" s="1"/>
  <c r="AS82" i="22" s="1"/>
  <c r="AT82" i="22" s="1"/>
  <c r="AU82" i="22" s="1"/>
  <c r="AV82" i="22" s="1"/>
  <c r="AW82" i="22" s="1"/>
  <c r="AG99" i="21"/>
  <c r="AH99" i="21" s="1"/>
  <c r="O17" i="20"/>
  <c r="Q1782" i="6"/>
  <c r="AG96" i="13"/>
  <c r="AH96" i="13" s="1"/>
  <c r="AE51" i="15"/>
  <c r="AG121" i="18"/>
  <c r="AH121" i="18" s="1"/>
  <c r="AI121" i="18" s="1"/>
  <c r="AJ121" i="18" s="1"/>
  <c r="AK121" i="18" s="1"/>
  <c r="AL121" i="18" s="1"/>
  <c r="AM121" i="18" s="1"/>
  <c r="AN121" i="18" s="1"/>
  <c r="AO121" i="18" s="1"/>
  <c r="AP121" i="18" s="1"/>
  <c r="AQ121" i="18" s="1"/>
  <c r="AR121" i="18" s="1"/>
  <c r="AS121" i="18" s="1"/>
  <c r="AT121" i="18" s="1"/>
  <c r="AU121" i="18" s="1"/>
  <c r="AV121" i="18" s="1"/>
  <c r="AW121" i="18" s="1"/>
  <c r="AX121" i="18" s="1"/>
  <c r="AY121" i="18" s="1"/>
  <c r="AZ121" i="18" s="1"/>
  <c r="R1337" i="6"/>
  <c r="AG46" i="22"/>
  <c r="AH46" i="22" s="1"/>
  <c r="AI46" i="22" s="1"/>
  <c r="AJ46" i="22" s="1"/>
  <c r="AK46" i="22" s="1"/>
  <c r="AL46" i="22" s="1"/>
  <c r="AM46" i="22" s="1"/>
  <c r="AN46" i="22" s="1"/>
  <c r="AO46" i="22" s="1"/>
  <c r="AP46" i="22" s="1"/>
  <c r="AQ46" i="22" s="1"/>
  <c r="AR46" i="22" s="1"/>
  <c r="AS46" i="22" s="1"/>
  <c r="AT46" i="22" s="1"/>
  <c r="AU46" i="22" s="1"/>
  <c r="AV46" i="22" s="1"/>
  <c r="AW46" i="22" s="1"/>
  <c r="AX46" i="22" s="1"/>
  <c r="AY46" i="22" s="1"/>
  <c r="AZ46" i="22" s="1"/>
  <c r="BA46" i="22" s="1"/>
  <c r="AE39" i="18"/>
  <c r="AN3085" i="6"/>
  <c r="AJ3085" i="6"/>
  <c r="AF3085" i="6"/>
  <c r="AB3085" i="6"/>
  <c r="AM3033" i="6"/>
  <c r="AI3033" i="6"/>
  <c r="AE3033" i="6"/>
  <c r="AA3033" i="6"/>
  <c r="AA3008" i="6" s="1" a="1"/>
  <c r="AA3008" i="6" s="1"/>
  <c r="AM3085" i="6"/>
  <c r="AI3085" i="6"/>
  <c r="AE3085" i="6"/>
  <c r="AA3085" i="6"/>
  <c r="AA3060" i="6" s="1" a="1"/>
  <c r="AA3060" i="6" s="1"/>
  <c r="AL3033" i="6"/>
  <c r="AH3033" i="6"/>
  <c r="AD3033" i="6"/>
  <c r="AK3085" i="6"/>
  <c r="AC3085" i="6"/>
  <c r="AJ3033" i="6"/>
  <c r="AB3033" i="6"/>
  <c r="AH3085" i="6"/>
  <c r="AO3033" i="6"/>
  <c r="AG3033" i="6"/>
  <c r="AO3085" i="6"/>
  <c r="AG3085" i="6"/>
  <c r="AN3033" i="6"/>
  <c r="AF3033" i="6"/>
  <c r="AL3085" i="6"/>
  <c r="AK3033" i="6"/>
  <c r="AD3085" i="6"/>
  <c r="AC3033" i="6"/>
  <c r="AF129" i="18"/>
  <c r="AG129" i="18" s="1"/>
  <c r="AH129" i="18" s="1"/>
  <c r="AI129" i="18" s="1"/>
  <c r="AJ129" i="18" s="1"/>
  <c r="AK129" i="18" s="1"/>
  <c r="AL129" i="18" s="1"/>
  <c r="AM129" i="18" s="1"/>
  <c r="AN129" i="18" s="1"/>
  <c r="AO129" i="18" s="1"/>
  <c r="AP129" i="18" s="1"/>
  <c r="AQ129" i="18" s="1"/>
  <c r="AR129" i="18" s="1"/>
  <c r="AS129" i="18" s="1"/>
  <c r="AT129" i="18" s="1"/>
  <c r="AU129" i="18" s="1"/>
  <c r="AV129" i="18" s="1"/>
  <c r="AW129" i="18" s="1"/>
  <c r="AX129" i="18" s="1"/>
  <c r="AY129" i="18" s="1"/>
  <c r="AZ129" i="18" s="1"/>
  <c r="AU182" i="14"/>
  <c r="AV182" i="14" s="1"/>
  <c r="AJ47" i="20"/>
  <c r="AB14" i="13"/>
  <c r="AC237" i="6"/>
  <c r="AC12" i="6"/>
  <c r="AD9" i="6"/>
  <c r="AC7" i="6"/>
  <c r="Z712" i="6"/>
  <c r="Z713" i="6"/>
  <c r="AG77" i="18"/>
  <c r="AI135" i="18"/>
  <c r="AJ135" i="18" s="1"/>
  <c r="AK135" i="18"/>
  <c r="AL135" i="18" s="1"/>
  <c r="AM135" i="18" s="1"/>
  <c r="AN135" i="18" s="1"/>
  <c r="AO135" i="18" s="1"/>
  <c r="AP135" i="18" s="1"/>
  <c r="AQ135" i="18" s="1"/>
  <c r="AR135" i="18" s="1"/>
  <c r="AS135" i="18" s="1"/>
  <c r="AT135" i="18" s="1"/>
  <c r="AU135" i="18" s="1"/>
  <c r="AH135" i="18"/>
  <c r="AI70" i="20"/>
  <c r="AH146" i="18"/>
  <c r="AG2447" i="6"/>
  <c r="AF2452" i="6"/>
  <c r="AG14" i="5"/>
  <c r="AC1109" i="6"/>
  <c r="AC1110" i="6"/>
  <c r="AD1103" i="6"/>
  <c r="AD9" i="5"/>
  <c r="AE71" i="19"/>
  <c r="AG106" i="18"/>
  <c r="AD6" i="9"/>
  <c r="AE6" i="9"/>
  <c r="AH69" i="19"/>
  <c r="AI69" i="19"/>
  <c r="AJ69" i="19" s="1"/>
  <c r="AK69" i="19" s="1"/>
  <c r="AL69" i="19" s="1"/>
  <c r="AM69" i="19" s="1"/>
  <c r="AN69" i="19" s="1"/>
  <c r="AO69" i="19" s="1"/>
  <c r="AP69" i="19" s="1"/>
  <c r="AQ69" i="19" s="1"/>
  <c r="AR69" i="19" s="1"/>
  <c r="AS69" i="19" s="1"/>
  <c r="AT69" i="19" s="1"/>
  <c r="AU69" i="19" s="1"/>
  <c r="AV69" i="19" s="1"/>
  <c r="AW69" i="19" s="1"/>
  <c r="AX69" i="19" s="1"/>
  <c r="AY69" i="19" s="1"/>
  <c r="AZ69" i="19" s="1"/>
  <c r="AH54" i="20"/>
  <c r="AI54" i="20" s="1"/>
  <c r="AJ54" i="20"/>
  <c r="AK54" i="20" s="1"/>
  <c r="AL54" i="20" s="1"/>
  <c r="AM54" i="20" s="1"/>
  <c r="AN54" i="20" s="1"/>
  <c r="AO54" i="20" s="1"/>
  <c r="AP54" i="20" s="1"/>
  <c r="AF72" i="21"/>
  <c r="AD61" i="17"/>
  <c r="AE172" i="14"/>
  <c r="AD53" i="16"/>
  <c r="AD46" i="16" s="1"/>
  <c r="AK31" i="14"/>
  <c r="AJ33" i="14"/>
  <c r="X24" i="17"/>
  <c r="X1107" i="6"/>
  <c r="Y18" i="5" s="1"/>
  <c r="AK103" i="9"/>
  <c r="AL63" i="17"/>
  <c r="AM63" i="17" s="1"/>
  <c r="AN63" i="17" s="1"/>
  <c r="AO63" i="17" s="1"/>
  <c r="AY43" i="22"/>
  <c r="AZ43" i="22" s="1"/>
  <c r="BA43" i="22" s="1"/>
  <c r="M2" i="22"/>
  <c r="AN2355" i="6"/>
  <c r="AJ2355" i="6"/>
  <c r="AF2355" i="6"/>
  <c r="AB2355" i="6"/>
  <c r="X2355" i="6"/>
  <c r="T2355" i="6"/>
  <c r="AP2303" i="6"/>
  <c r="AL2303" i="6"/>
  <c r="AH2303" i="6"/>
  <c r="AD2303" i="6"/>
  <c r="Z2303" i="6"/>
  <c r="V2303" i="6"/>
  <c r="R2303" i="6"/>
  <c r="AM2355" i="6"/>
  <c r="AI2355" i="6"/>
  <c r="AE2355" i="6"/>
  <c r="AA2355" i="6"/>
  <c r="W2355" i="6"/>
  <c r="S2355" i="6"/>
  <c r="AO2303" i="6"/>
  <c r="AK2303" i="6"/>
  <c r="AG2303" i="6"/>
  <c r="AC2303" i="6"/>
  <c r="Y2303" i="6"/>
  <c r="U2303" i="6"/>
  <c r="O2248" i="6"/>
  <c r="AP2355" i="6"/>
  <c r="AL2355" i="6"/>
  <c r="AH2355" i="6"/>
  <c r="AD2355" i="6"/>
  <c r="Z2355" i="6"/>
  <c r="V2355" i="6"/>
  <c r="R2355" i="6"/>
  <c r="AN2303" i="6"/>
  <c r="AJ2303" i="6"/>
  <c r="AF2303" i="6"/>
  <c r="AB2303" i="6"/>
  <c r="X2303" i="6"/>
  <c r="T2303" i="6"/>
  <c r="AO2355" i="6"/>
  <c r="AK2355" i="6"/>
  <c r="AG2355" i="6"/>
  <c r="AC2355" i="6"/>
  <c r="Y2355" i="6"/>
  <c r="U2355" i="6"/>
  <c r="AM2303" i="6"/>
  <c r="AI2303" i="6"/>
  <c r="AE2303" i="6"/>
  <c r="AA2303" i="6"/>
  <c r="W2303" i="6"/>
  <c r="S2303" i="6"/>
  <c r="O2249" i="6"/>
  <c r="O2247" i="6"/>
  <c r="O2233" i="6" s="1"/>
  <c r="AK62" i="19"/>
  <c r="AL62" i="19" s="1"/>
  <c r="AM62" i="19" s="1"/>
  <c r="AN62" i="19" s="1"/>
  <c r="AO62" i="19" s="1"/>
  <c r="AP62" i="19" s="1"/>
  <c r="AQ62" i="19" s="1"/>
  <c r="AR62" i="19" s="1"/>
  <c r="AS62" i="19" s="1"/>
  <c r="AT62" i="19" s="1"/>
  <c r="AU62" i="19" s="1"/>
  <c r="AV62" i="19" s="1"/>
  <c r="AW62" i="19" s="1"/>
  <c r="AX62" i="19" s="1"/>
  <c r="AY62" i="19" s="1"/>
  <c r="AZ62" i="19" s="1"/>
  <c r="BA62" i="19" s="1"/>
  <c r="AI49" i="20"/>
  <c r="AJ49" i="20" s="1"/>
  <c r="AK49" i="20" s="1"/>
  <c r="AL49" i="20" s="1"/>
  <c r="AM49" i="20" s="1"/>
  <c r="AN49" i="20" s="1"/>
  <c r="AO49" i="20" s="1"/>
  <c r="AP49" i="20" s="1"/>
  <c r="AQ49" i="20" s="1"/>
  <c r="AR49" i="20" s="1"/>
  <c r="AS49" i="20" s="1"/>
  <c r="AT49" i="20" s="1"/>
  <c r="AU49" i="20" s="1"/>
  <c r="AV49" i="20" s="1"/>
  <c r="AW49" i="20" s="1"/>
  <c r="AX49" i="20" s="1"/>
  <c r="AY49" i="20" s="1"/>
  <c r="AZ49" i="20" s="1"/>
  <c r="BA49" i="20" s="1"/>
  <c r="AI99" i="21"/>
  <c r="AJ99" i="21" s="1"/>
  <c r="AK99" i="21" s="1"/>
  <c r="AL99" i="21" s="1"/>
  <c r="AM99" i="21" s="1"/>
  <c r="AN99" i="21" s="1"/>
  <c r="AO99" i="21" s="1"/>
  <c r="AP99" i="21" s="1"/>
  <c r="AQ99" i="21" s="1"/>
  <c r="AR99" i="21" s="1"/>
  <c r="AS99" i="21" s="1"/>
  <c r="AT99" i="21" s="1"/>
  <c r="AU99" i="21" s="1"/>
  <c r="AV99" i="21" s="1"/>
  <c r="AW99" i="21" s="1"/>
  <c r="AX99" i="21" s="1"/>
  <c r="AY99" i="21" s="1"/>
  <c r="AZ99" i="21" s="1"/>
  <c r="W24" i="9"/>
  <c r="AR379" i="6"/>
  <c r="AN379" i="6"/>
  <c r="AJ379" i="6"/>
  <c r="AF379" i="6"/>
  <c r="AB379" i="6"/>
  <c r="AQ379" i="6"/>
  <c r="AM379" i="6"/>
  <c r="AI379" i="6"/>
  <c r="AE379" i="6"/>
  <c r="AA379" i="6"/>
  <c r="AO379" i="6"/>
  <c r="AG379" i="6"/>
  <c r="Y379" i="6"/>
  <c r="Y250" i="6"/>
  <c r="AP379" i="6"/>
  <c r="AL379" i="6"/>
  <c r="AH379" i="6"/>
  <c r="AD379" i="6"/>
  <c r="Z379" i="6"/>
  <c r="Y249" i="6"/>
  <c r="Z29" i="5"/>
  <c r="AS379" i="6"/>
  <c r="AK379" i="6"/>
  <c r="AC379" i="6"/>
  <c r="AH63" i="18"/>
  <c r="AR186" i="14"/>
  <c r="AI86" i="22"/>
  <c r="AK65" i="18"/>
  <c r="AL65" i="18" s="1"/>
  <c r="AM65" i="18" s="1"/>
  <c r="AN65" i="18" s="1"/>
  <c r="AO65" i="18" s="1"/>
  <c r="AP65" i="18" s="1"/>
  <c r="AQ65" i="18" s="1"/>
  <c r="AR65" i="18" s="1"/>
  <c r="AS65" i="18" s="1"/>
  <c r="AT65" i="18" s="1"/>
  <c r="AU65" i="18" s="1"/>
  <c r="AV65" i="18" s="1"/>
  <c r="AW65" i="18" s="1"/>
  <c r="AX65" i="18" s="1"/>
  <c r="AY65" i="18" s="1"/>
  <c r="AZ65" i="18" s="1"/>
  <c r="AH134" i="14"/>
  <c r="AI134" i="14" s="1"/>
  <c r="AJ134" i="14" s="1"/>
  <c r="AK134" i="14" s="1"/>
  <c r="AL134" i="14" s="1"/>
  <c r="AM134" i="14" s="1"/>
  <c r="AN134" i="14" s="1"/>
  <c r="AO134" i="14" s="1"/>
  <c r="AP134" i="14" s="1"/>
  <c r="AQ134" i="14" s="1"/>
  <c r="AR134" i="14" s="1"/>
  <c r="AS134" i="14" s="1"/>
  <c r="AT134" i="14" s="1"/>
  <c r="AU134" i="14" s="1"/>
  <c r="AV134" i="14" s="1"/>
  <c r="AW134" i="14" s="1"/>
  <c r="AX134" i="14" s="1"/>
  <c r="AY134" i="14" s="1"/>
  <c r="AZ134" i="14" s="1"/>
  <c r="BA134" i="14" s="1"/>
  <c r="AG52" i="20"/>
  <c r="AH52" i="20" s="1"/>
  <c r="AI52" i="20" s="1"/>
  <c r="AJ52" i="20" s="1"/>
  <c r="AK52" i="20" s="1"/>
  <c r="AL52" i="20" s="1"/>
  <c r="AM52" i="20" s="1"/>
  <c r="AN52" i="20" s="1"/>
  <c r="AO52" i="20" s="1"/>
  <c r="AP52" i="20" s="1"/>
  <c r="AQ52" i="20" s="1"/>
  <c r="AR52" i="20" s="1"/>
  <c r="AS52" i="20" s="1"/>
  <c r="AT52" i="20" s="1"/>
  <c r="AU52" i="20" s="1"/>
  <c r="AV52" i="20" s="1"/>
  <c r="AW52" i="20" s="1"/>
  <c r="AX52" i="20" s="1"/>
  <c r="AY52" i="20" s="1"/>
  <c r="AZ52" i="20" s="1"/>
  <c r="BA52" i="20" s="1"/>
  <c r="AH65" i="19"/>
  <c r="AI65" i="19" s="1"/>
  <c r="AJ65" i="19" s="1"/>
  <c r="N2" i="19"/>
  <c r="P1578" i="6"/>
  <c r="P1577" i="6"/>
  <c r="AM133" i="14"/>
  <c r="AN133" i="14" s="1"/>
  <c r="AO133" i="14" s="1"/>
  <c r="AP133" i="14" s="1"/>
  <c r="AQ133" i="14" s="1"/>
  <c r="AR133" i="14" s="1"/>
  <c r="AS133" i="14" s="1"/>
  <c r="AT133" i="14" s="1"/>
  <c r="AU133" i="14" s="1"/>
  <c r="AV133" i="14" s="1"/>
  <c r="AW133" i="14" s="1"/>
  <c r="AX133" i="14" s="1"/>
  <c r="AY133" i="14" s="1"/>
  <c r="AZ133" i="14" s="1"/>
  <c r="BA133" i="14" s="1"/>
  <c r="AO42" i="21"/>
  <c r="AP42" i="21" s="1"/>
  <c r="AQ42" i="21" s="1"/>
  <c r="AR42" i="21" s="1"/>
  <c r="AS42" i="21" s="1"/>
  <c r="AT42" i="21" s="1"/>
  <c r="AU42" i="21" s="1"/>
  <c r="AV42" i="21" s="1"/>
  <c r="AH126" i="18"/>
  <c r="AI126" i="18" s="1"/>
  <c r="AJ126" i="18" s="1"/>
  <c r="AK126" i="18" s="1"/>
  <c r="AL126" i="18" s="1"/>
  <c r="AM126" i="18" s="1"/>
  <c r="AN126" i="18" s="1"/>
  <c r="AO126" i="18" s="1"/>
  <c r="AP126" i="18" s="1"/>
  <c r="AQ126" i="18" s="1"/>
  <c r="AR126" i="18" s="1"/>
  <c r="AS126" i="18" s="1"/>
  <c r="AT126" i="18" s="1"/>
  <c r="AU126" i="18" s="1"/>
  <c r="AV126" i="18" s="1"/>
  <c r="AW126" i="18" s="1"/>
  <c r="AX126" i="18" s="1"/>
  <c r="AY126" i="18" s="1"/>
  <c r="AZ126" i="18" s="1"/>
  <c r="AG120" i="13"/>
  <c r="AH120" i="13"/>
  <c r="AI120" i="13" s="1"/>
  <c r="AJ120" i="13" s="1"/>
  <c r="AK120" i="13" s="1"/>
  <c r="AL120" i="13" s="1"/>
  <c r="AM120" i="13" s="1"/>
  <c r="AN120" i="13" s="1"/>
  <c r="Z36" i="11"/>
  <c r="Z3170" i="6"/>
  <c r="AG77" i="14"/>
  <c r="AL104" i="13"/>
  <c r="AU107" i="21"/>
  <c r="AV107" i="21" s="1"/>
  <c r="AW107" i="21" s="1"/>
  <c r="AX107" i="21" s="1"/>
  <c r="AY107" i="21" s="1"/>
  <c r="AZ107" i="21" s="1"/>
  <c r="AF46" i="17"/>
  <c r="AG206" i="14"/>
  <c r="R423" i="6"/>
  <c r="AH123" i="14"/>
  <c r="AB2835" i="6"/>
  <c r="AC93" i="9"/>
  <c r="AB74" i="9"/>
  <c r="AB68" i="9"/>
  <c r="AC2837" i="6" s="1"/>
  <c r="AB65" i="9"/>
  <c r="AB63" i="9"/>
  <c r="AB57" i="9"/>
  <c r="AB4" i="9"/>
  <c r="AB92" i="9"/>
  <c r="AB66" i="9"/>
  <c r="AB64" i="9"/>
  <c r="AB61" i="9"/>
  <c r="AC3005" i="6" s="1"/>
  <c r="AB58" i="9"/>
  <c r="AB16" i="9"/>
  <c r="AB8" i="9"/>
  <c r="AC2670" i="6" s="1"/>
  <c r="AB3" i="9"/>
  <c r="AC2668" i="6" s="1"/>
  <c r="AB69" i="9"/>
  <c r="AD3003" i="6"/>
  <c r="S712" i="6"/>
  <c r="S713" i="6"/>
  <c r="P2" i="15"/>
  <c r="W836" i="6"/>
  <c r="AE784" i="6"/>
  <c r="AA784" i="6"/>
  <c r="W784" i="6"/>
  <c r="AF732" i="6"/>
  <c r="AB732" i="6"/>
  <c r="X732" i="6"/>
  <c r="T732" i="6"/>
  <c r="V836" i="6"/>
  <c r="AH784" i="6"/>
  <c r="AD784" i="6"/>
  <c r="Z784" i="6"/>
  <c r="V784" i="6"/>
  <c r="AE732" i="6"/>
  <c r="AA732" i="6"/>
  <c r="W732" i="6"/>
  <c r="R678" i="6"/>
  <c r="Y836" i="6"/>
  <c r="Y818" i="6" s="1"/>
  <c r="U836" i="6"/>
  <c r="AG784" i="6"/>
  <c r="AC784" i="6"/>
  <c r="Y784" i="6"/>
  <c r="U784" i="6"/>
  <c r="AH732" i="6"/>
  <c r="AD732" i="6"/>
  <c r="Z732" i="6"/>
  <c r="V732" i="6"/>
  <c r="R677" i="6"/>
  <c r="R660" i="6" s="1"/>
  <c r="X836" i="6"/>
  <c r="T836" i="6"/>
  <c r="AF784" i="6"/>
  <c r="AB784" i="6"/>
  <c r="X784" i="6"/>
  <c r="T784" i="6"/>
  <c r="AG732" i="6"/>
  <c r="AC732" i="6"/>
  <c r="Y732" i="6"/>
  <c r="U732" i="6"/>
  <c r="AJ75" i="22"/>
  <c r="AI111" i="22"/>
  <c r="AE46" i="15"/>
  <c r="AF46" i="15" s="1"/>
  <c r="AG46" i="15" s="1"/>
  <c r="AH46" i="15" s="1"/>
  <c r="AI46" i="15" s="1"/>
  <c r="AJ46" i="15" s="1"/>
  <c r="AK46" i="15" s="1"/>
  <c r="AL46" i="15" s="1"/>
  <c r="AM46" i="15" s="1"/>
  <c r="AN46" i="15" s="1"/>
  <c r="AO46" i="15" s="1"/>
  <c r="AP46" i="15" s="1"/>
  <c r="AQ46" i="15" s="1"/>
  <c r="AR46" i="15" s="1"/>
  <c r="AS46" i="15" s="1"/>
  <c r="AT46" i="15" s="1"/>
  <c r="AU46" i="15" s="1"/>
  <c r="AV46" i="15" s="1"/>
  <c r="AW46" i="15" s="1"/>
  <c r="AX46" i="15" s="1"/>
  <c r="AY46" i="15" s="1"/>
  <c r="AZ46" i="15" s="1"/>
  <c r="BA46" i="15" s="1"/>
  <c r="AI47" i="17"/>
  <c r="AJ47" i="17" s="1"/>
  <c r="AK47" i="17" s="1"/>
  <c r="AL47" i="17" s="1"/>
  <c r="AM47" i="17" s="1"/>
  <c r="AN47" i="17" s="1"/>
  <c r="AO47" i="17" s="1"/>
  <c r="AP47" i="17" s="1"/>
  <c r="AQ47" i="17" s="1"/>
  <c r="AR47" i="17" s="1"/>
  <c r="AS47" i="17" s="1"/>
  <c r="AT47" i="17" s="1"/>
  <c r="AU47" i="17" s="1"/>
  <c r="AV47" i="17" s="1"/>
  <c r="AW47" i="17" s="1"/>
  <c r="AX47" i="17" s="1"/>
  <c r="AY47" i="17" s="1"/>
  <c r="AZ47" i="17" s="1"/>
  <c r="BA47" i="17" s="1"/>
  <c r="AE132" i="18"/>
  <c r="AG59" i="17"/>
  <c r="AH51" i="17"/>
  <c r="AF62" i="22"/>
  <c r="AK53" i="22"/>
  <c r="AL53" i="22" s="1"/>
  <c r="AM53" i="22" s="1"/>
  <c r="AN53" i="22" s="1"/>
  <c r="AH178" i="14"/>
  <c r="AI178" i="14" s="1"/>
  <c r="AJ178" i="14" s="1"/>
  <c r="AK178" i="14" s="1"/>
  <c r="AL178" i="14" s="1"/>
  <c r="AM178" i="14" s="1"/>
  <c r="AN178" i="14" s="1"/>
  <c r="AO178" i="14" s="1"/>
  <c r="AP178" i="14" s="1"/>
  <c r="AQ178" i="14" s="1"/>
  <c r="AR178" i="14" s="1"/>
  <c r="AS178" i="14" s="1"/>
  <c r="AT178" i="14" s="1"/>
  <c r="AU178" i="14" s="1"/>
  <c r="AV178" i="14" s="1"/>
  <c r="AW178" i="14" s="1"/>
  <c r="AX178" i="14" s="1"/>
  <c r="AY178" i="14" s="1"/>
  <c r="AZ178" i="14" s="1"/>
  <c r="BA178" i="14" s="1"/>
  <c r="AK68" i="18"/>
  <c r="AL68" i="18" s="1"/>
  <c r="AM68" i="18" s="1"/>
  <c r="AN68" i="18" s="1"/>
  <c r="AO68" i="18" s="1"/>
  <c r="AP68" i="18" s="1"/>
  <c r="AQ68" i="18" s="1"/>
  <c r="AR68" i="18" s="1"/>
  <c r="AS68" i="18" s="1"/>
  <c r="AT68" i="18" s="1"/>
  <c r="AU68" i="18" s="1"/>
  <c r="AV68" i="18" s="1"/>
  <c r="AW68" i="18" s="1"/>
  <c r="AX68" i="18" s="1"/>
  <c r="AY68" i="18" s="1"/>
  <c r="AZ68" i="18" s="1"/>
  <c r="AJ68" i="18"/>
  <c r="AK60" i="17"/>
  <c r="AD107" i="14"/>
  <c r="AE107" i="14"/>
  <c r="AH112" i="22"/>
  <c r="AI112" i="22" s="1"/>
  <c r="AJ112" i="22" s="1"/>
  <c r="AK112" i="22" s="1"/>
  <c r="AL112" i="22" s="1"/>
  <c r="AM112" i="22" s="1"/>
  <c r="AN112" i="22" s="1"/>
  <c r="AO112" i="22" s="1"/>
  <c r="AP112" i="22" s="1"/>
  <c r="AQ112" i="22" s="1"/>
  <c r="AR112" i="22" s="1"/>
  <c r="AS112" i="22" s="1"/>
  <c r="AT112" i="22" s="1"/>
  <c r="AU112" i="22" s="1"/>
  <c r="AV112" i="22" s="1"/>
  <c r="AW112" i="22" s="1"/>
  <c r="AX112" i="22" s="1"/>
  <c r="AY112" i="22" s="1"/>
  <c r="AZ112" i="22" s="1"/>
  <c r="AR92" i="14"/>
  <c r="AS92" i="14" s="1"/>
  <c r="AT92" i="14" s="1"/>
  <c r="AU92" i="14" s="1"/>
  <c r="AV92" i="14" s="1"/>
  <c r="AW92" i="14" s="1"/>
  <c r="AX92" i="14" s="1"/>
  <c r="AY92" i="14" s="1"/>
  <c r="AZ92" i="14" s="1"/>
  <c r="BA92" i="14" s="1"/>
  <c r="AE191" i="14"/>
  <c r="AM191" i="14" s="1"/>
  <c r="AN191" i="14" s="1"/>
  <c r="AO191" i="14" s="1"/>
  <c r="AP191" i="14" s="1"/>
  <c r="AQ191" i="14" s="1"/>
  <c r="AF191" i="14"/>
  <c r="AG191" i="14" s="1"/>
  <c r="AH191" i="14" s="1"/>
  <c r="AI191" i="14" s="1"/>
  <c r="AJ191" i="14" s="1"/>
  <c r="AK191" i="14" s="1"/>
  <c r="AL191" i="14" s="1"/>
  <c r="AL63" i="19"/>
  <c r="AM63" i="19" s="1"/>
  <c r="AN63" i="19" s="1"/>
  <c r="AO63" i="19" s="1"/>
  <c r="AP63" i="19" s="1"/>
  <c r="AQ63" i="19" s="1"/>
  <c r="AR63" i="19" s="1"/>
  <c r="AS63" i="19" s="1"/>
  <c r="AT63" i="19" s="1"/>
  <c r="AU63" i="19" s="1"/>
  <c r="AV63" i="19" s="1"/>
  <c r="AW63" i="19" s="1"/>
  <c r="AX63" i="19" s="1"/>
  <c r="AY63" i="19" s="1"/>
  <c r="AZ63" i="19" s="1"/>
  <c r="AK63" i="19"/>
  <c r="AF82" i="20"/>
  <c r="AG82" i="20"/>
  <c r="AE131" i="14"/>
  <c r="AE71" i="18"/>
  <c r="AF71" i="18" s="1"/>
  <c r="AG71" i="18" s="1"/>
  <c r="AH71" i="18" s="1"/>
  <c r="AI71" i="18" s="1"/>
  <c r="AJ71" i="18" s="1"/>
  <c r="AK71" i="18" s="1"/>
  <c r="AL71" i="18" s="1"/>
  <c r="AM71" i="18" s="1"/>
  <c r="AF50" i="22"/>
  <c r="AG108" i="18"/>
  <c r="AS145" i="14"/>
  <c r="AT145" i="14" s="1"/>
  <c r="AU145" i="14" s="1"/>
  <c r="AV145" i="14" s="1"/>
  <c r="AW145" i="14" s="1"/>
  <c r="AX145" i="14" s="1"/>
  <c r="AY145" i="14" s="1"/>
  <c r="AZ145" i="14" s="1"/>
  <c r="BA145" i="14" s="1"/>
  <c r="AI145" i="14"/>
  <c r="AJ145" i="14" s="1"/>
  <c r="AK145" i="14" s="1"/>
  <c r="AL145" i="14" s="1"/>
  <c r="AM145" i="14" s="1"/>
  <c r="AN145" i="14" s="1"/>
  <c r="AO145" i="14" s="1"/>
  <c r="AP145" i="14" s="1"/>
  <c r="AQ145" i="14" s="1"/>
  <c r="AR145" i="14" s="1"/>
  <c r="P25" i="16"/>
  <c r="R880" i="6"/>
  <c r="AG77" i="20"/>
  <c r="AG60" i="16"/>
  <c r="Z645" i="6"/>
  <c r="AC46" i="16"/>
  <c r="AD883" i="6" s="1"/>
  <c r="AH59" i="20"/>
  <c r="AI59" i="20"/>
  <c r="AJ59" i="20" s="1"/>
  <c r="AK59" i="20"/>
  <c r="AL59" i="20" s="1"/>
  <c r="AM59" i="20" s="1"/>
  <c r="AN59" i="20" s="1"/>
  <c r="AH140" i="18"/>
  <c r="AF147" i="18"/>
  <c r="AF119" i="22"/>
  <c r="AG150" i="14"/>
  <c r="AI121" i="13"/>
  <c r="AG40" i="15"/>
  <c r="AO53" i="23"/>
  <c r="AP53" i="23" s="1"/>
  <c r="AQ53" i="23" s="1"/>
  <c r="AR53" i="23" s="1"/>
  <c r="AS53" i="23" s="1"/>
  <c r="AT53" i="23" s="1"/>
  <c r="AU53" i="23" s="1"/>
  <c r="AV53" i="23" s="1"/>
  <c r="AW53" i="23" s="1"/>
  <c r="AX53" i="23" s="1"/>
  <c r="AY53" i="23" s="1"/>
  <c r="AZ53" i="23" s="1"/>
  <c r="AI105" i="21"/>
  <c r="AL74" i="14"/>
  <c r="AI50" i="20"/>
  <c r="AL50" i="20" s="1"/>
  <c r="AK65" i="21"/>
  <c r="AL65" i="21" s="1"/>
  <c r="AM65" i="21" s="1"/>
  <c r="AN65" i="21" s="1"/>
  <c r="AO65" i="21" s="1"/>
  <c r="AP65" i="21" s="1"/>
  <c r="AQ65" i="21" s="1"/>
  <c r="AR65" i="21" s="1"/>
  <c r="AS65" i="21" s="1"/>
  <c r="AT65" i="21" s="1"/>
  <c r="AU65" i="21" s="1"/>
  <c r="AV65" i="21" s="1"/>
  <c r="AW65" i="21" s="1"/>
  <c r="AX65" i="21" s="1"/>
  <c r="AY65" i="21" s="1"/>
  <c r="AZ65" i="21" s="1"/>
  <c r="AF65" i="21"/>
  <c r="AG65" i="21" s="1"/>
  <c r="AH65" i="21" s="1"/>
  <c r="AI65" i="21" s="1"/>
  <c r="AJ65" i="21" s="1"/>
  <c r="AF38" i="22"/>
  <c r="AG78" i="14"/>
  <c r="AF78" i="14"/>
  <c r="AG96" i="22"/>
  <c r="AH103" i="22"/>
  <c r="W44" i="5"/>
  <c r="W46" i="5"/>
  <c r="AF56" i="18"/>
  <c r="AG56" i="18" s="1"/>
  <c r="AH56" i="18" s="1"/>
  <c r="AI56" i="18" s="1"/>
  <c r="AJ56" i="18" s="1"/>
  <c r="AK56" i="18" s="1"/>
  <c r="AL56" i="18" s="1"/>
  <c r="AM56" i="18" s="1"/>
  <c r="AN56" i="18" s="1"/>
  <c r="AO56" i="18" s="1"/>
  <c r="AP56" i="18" s="1"/>
  <c r="AQ56" i="18" s="1"/>
  <c r="AR56" i="18" s="1"/>
  <c r="AS56" i="18" s="1"/>
  <c r="AT56" i="18" s="1"/>
  <c r="AU56" i="18" s="1"/>
  <c r="AV56" i="18" s="1"/>
  <c r="AW56" i="18" s="1"/>
  <c r="AX56" i="18" s="1"/>
  <c r="AY56" i="18" s="1"/>
  <c r="AZ56" i="18" s="1"/>
  <c r="BA56" i="18" s="1"/>
  <c r="AF127" i="22"/>
  <c r="AT209" i="6"/>
  <c r="AP209" i="6"/>
  <c r="AL209" i="6"/>
  <c r="AH209" i="6"/>
  <c r="AD209" i="6"/>
  <c r="AO157" i="6"/>
  <c r="AK157" i="6"/>
  <c r="AG157" i="6"/>
  <c r="AC157" i="6"/>
  <c r="AN105" i="6"/>
  <c r="AJ105" i="6"/>
  <c r="AF105" i="6"/>
  <c r="AB105" i="6"/>
  <c r="Y42" i="6"/>
  <c r="AQ209" i="6"/>
  <c r="AI209" i="6"/>
  <c r="AE209" i="6"/>
  <c r="AH157" i="6"/>
  <c r="AO105" i="6"/>
  <c r="AS209" i="6"/>
  <c r="AO209" i="6"/>
  <c r="AK209" i="6"/>
  <c r="AG209" i="6"/>
  <c r="AC209" i="6"/>
  <c r="AN157" i="6"/>
  <c r="AJ157" i="6"/>
  <c r="AF157" i="6"/>
  <c r="AB157" i="6"/>
  <c r="AM105" i="6"/>
  <c r="AI105" i="6"/>
  <c r="AE105" i="6"/>
  <c r="X42" i="6"/>
  <c r="AC15" i="6"/>
  <c r="AL157" i="6"/>
  <c r="AG105" i="6"/>
  <c r="AV209" i="6"/>
  <c r="AR209" i="6"/>
  <c r="AN209" i="6"/>
  <c r="AJ209" i="6"/>
  <c r="AF209" i="6"/>
  <c r="AB209" i="6"/>
  <c r="AM157" i="6"/>
  <c r="AI157" i="6"/>
  <c r="AE157" i="6"/>
  <c r="AP105" i="6"/>
  <c r="AL105" i="6"/>
  <c r="AH105" i="6"/>
  <c r="AD105" i="6"/>
  <c r="AA42" i="6"/>
  <c r="W42" i="6"/>
  <c r="AC10" i="6"/>
  <c r="AU209" i="6"/>
  <c r="AM209" i="6"/>
  <c r="AP157" i="6"/>
  <c r="AD157" i="6"/>
  <c r="AK105" i="6"/>
  <c r="AC105" i="6"/>
  <c r="V42" i="6"/>
  <c r="V16" i="6" s="1"/>
  <c r="Z42" i="6"/>
  <c r="AC11" i="6"/>
  <c r="AG103" i="13"/>
  <c r="AG175" i="14"/>
  <c r="AO119" i="18"/>
  <c r="AP119" i="18" s="1"/>
  <c r="AQ119" i="18" s="1"/>
  <c r="AR119" i="18" s="1"/>
  <c r="AS119" i="18" s="1"/>
  <c r="AT119" i="18" s="1"/>
  <c r="AU119" i="18" s="1"/>
  <c r="AV119" i="18" s="1"/>
  <c r="AW119" i="18" s="1"/>
  <c r="AX119" i="18" s="1"/>
  <c r="AY119" i="18" s="1"/>
  <c r="AZ119" i="18" s="1"/>
  <c r="AE67" i="13"/>
  <c r="AF67" i="13" s="1"/>
  <c r="AG67" i="13" s="1"/>
  <c r="AH67" i="13" s="1"/>
  <c r="AI67" i="13" s="1"/>
  <c r="AJ67" i="13" s="1"/>
  <c r="AK67" i="13" s="1"/>
  <c r="AL67" i="13" s="1"/>
  <c r="AM67" i="13" s="1"/>
  <c r="AN67" i="13" s="1"/>
  <c r="AO67" i="13" s="1"/>
  <c r="AP67" i="13" s="1"/>
  <c r="AQ67" i="13" s="1"/>
  <c r="AR67" i="13" s="1"/>
  <c r="AS67" i="13" s="1"/>
  <c r="AT67" i="13" s="1"/>
  <c r="AU67" i="13" s="1"/>
  <c r="AV67" i="13" s="1"/>
  <c r="AW67" i="13" s="1"/>
  <c r="AX67" i="13" s="1"/>
  <c r="AY67" i="13" s="1"/>
  <c r="AZ67" i="13" s="1"/>
  <c r="BA67" i="13" s="1"/>
  <c r="AD103" i="21"/>
  <c r="AH68" i="15"/>
  <c r="AI68" i="15" s="1"/>
  <c r="AJ68" i="15" s="1"/>
  <c r="AF40" i="19"/>
  <c r="AG40" i="19" s="1"/>
  <c r="AH40" i="19" s="1"/>
  <c r="AI40" i="19" s="1"/>
  <c r="AJ40" i="19" s="1"/>
  <c r="AK40" i="19" s="1"/>
  <c r="AL40" i="19" s="1"/>
  <c r="AM40" i="19" s="1"/>
  <c r="AN40" i="19" s="1"/>
  <c r="AO40" i="19" s="1"/>
  <c r="AP40" i="19" s="1"/>
  <c r="AQ40" i="19" s="1"/>
  <c r="AR40" i="19" s="1"/>
  <c r="AS40" i="19" s="1"/>
  <c r="AT40" i="19" s="1"/>
  <c r="AU40" i="19" s="1"/>
  <c r="AV40" i="19" s="1"/>
  <c r="AW40" i="19" s="1"/>
  <c r="AX40" i="19" s="1"/>
  <c r="AY40" i="19" s="1"/>
  <c r="AZ40" i="19" s="1"/>
  <c r="BA40" i="19" s="1"/>
  <c r="AF39" i="19"/>
  <c r="AI63" i="18"/>
  <c r="AJ63" i="18" s="1"/>
  <c r="AK63" i="18" s="1"/>
  <c r="AG63" i="20"/>
  <c r="AE654" i="6"/>
  <c r="AD656" i="6"/>
  <c r="AD652" i="6"/>
  <c r="AH55" i="16"/>
  <c r="AI55" i="16" s="1"/>
  <c r="AJ55" i="16" s="1"/>
  <c r="AK55" i="16" s="1"/>
  <c r="AL55" i="16" s="1"/>
  <c r="AM55" i="16" s="1"/>
  <c r="AN55" i="16" s="1"/>
  <c r="AO55" i="16" s="1"/>
  <c r="AP55" i="16" s="1"/>
  <c r="AQ55" i="16" s="1"/>
  <c r="AR55" i="16" s="1"/>
  <c r="AS55" i="16" s="1"/>
  <c r="AT55" i="16" s="1"/>
  <c r="AU55" i="16" s="1"/>
  <c r="AV55" i="16" s="1"/>
  <c r="AW55" i="16" s="1"/>
  <c r="AX55" i="16" s="1"/>
  <c r="AY55" i="16" s="1"/>
  <c r="AZ55" i="16" s="1"/>
  <c r="BA55" i="16" s="1"/>
  <c r="AL76" i="13"/>
  <c r="AM76" i="13" s="1"/>
  <c r="AH63" i="19"/>
  <c r="AI63" i="19" s="1"/>
  <c r="AJ63" i="19" s="1"/>
  <c r="AJ65" i="13"/>
  <c r="AJ48" i="23"/>
  <c r="AK48" i="23" s="1"/>
  <c r="AL48" i="23" s="1"/>
  <c r="AM48" i="23" s="1"/>
  <c r="AN48" i="23" s="1"/>
  <c r="AO48" i="23" s="1"/>
  <c r="AP48" i="23" s="1"/>
  <c r="AQ48" i="23" s="1"/>
  <c r="AR48" i="23" s="1"/>
  <c r="AS48" i="23" s="1"/>
  <c r="AT48" i="23" s="1"/>
  <c r="AU48" i="23" s="1"/>
  <c r="AV48" i="23" s="1"/>
  <c r="AW48" i="23" s="1"/>
  <c r="AX48" i="23" s="1"/>
  <c r="AY48" i="23" s="1"/>
  <c r="AZ48" i="23" s="1"/>
  <c r="AU90" i="22"/>
  <c r="AV90" i="22" s="1"/>
  <c r="AW90" i="22" s="1"/>
  <c r="AX90" i="22" s="1"/>
  <c r="AY90" i="22" s="1"/>
  <c r="AZ90" i="22" s="1"/>
  <c r="AE138" i="18"/>
  <c r="AF138" i="18" s="1"/>
  <c r="AG138" i="18" s="1"/>
  <c r="AH138" i="18" s="1"/>
  <c r="AI138" i="18" s="1"/>
  <c r="AJ138" i="18" s="1"/>
  <c r="AK138" i="18" s="1"/>
  <c r="AL138" i="18" s="1"/>
  <c r="AM138" i="18" s="1"/>
  <c r="AN138" i="18" s="1"/>
  <c r="AO138" i="18" s="1"/>
  <c r="AP138" i="18" s="1"/>
  <c r="AQ138" i="18" s="1"/>
  <c r="AR138" i="18" s="1"/>
  <c r="AS138" i="18" s="1"/>
  <c r="AT138" i="18" s="1"/>
  <c r="AU138" i="18" s="1"/>
  <c r="AV138" i="18" s="1"/>
  <c r="AW138" i="18" s="1"/>
  <c r="AX138" i="18" s="1"/>
  <c r="AY138" i="18" s="1"/>
  <c r="AZ138" i="18" s="1"/>
  <c r="AK94" i="14"/>
  <c r="AN69" i="13"/>
  <c r="AO69" i="13" s="1"/>
  <c r="AP69" i="13" s="1"/>
  <c r="AQ69" i="13" s="1"/>
  <c r="AR69" i="13" s="1"/>
  <c r="AS69" i="13" s="1"/>
  <c r="AT69" i="13" s="1"/>
  <c r="AU69" i="13" s="1"/>
  <c r="AV69" i="13" s="1"/>
  <c r="AW69" i="13" s="1"/>
  <c r="AX69" i="13" s="1"/>
  <c r="AY69" i="13" s="1"/>
  <c r="AZ69" i="13" s="1"/>
  <c r="BA69" i="13" s="1"/>
  <c r="AI82" i="18"/>
  <c r="AJ82" i="18" s="1"/>
  <c r="AK82" i="18" s="1"/>
  <c r="AL82" i="18" s="1"/>
  <c r="AM82" i="18" s="1"/>
  <c r="AN82" i="18" s="1"/>
  <c r="AO82" i="18" s="1"/>
  <c r="AP82" i="18" s="1"/>
  <c r="AQ82" i="18" s="1"/>
  <c r="AR82" i="18" s="1"/>
  <c r="AS82" i="18" s="1"/>
  <c r="AT82" i="18" s="1"/>
  <c r="AU82" i="18" s="1"/>
  <c r="AV82" i="18" s="1"/>
  <c r="AW82" i="18" s="1"/>
  <c r="AX82" i="18" s="1"/>
  <c r="AY82" i="18" s="1"/>
  <c r="AZ82" i="18" s="1"/>
  <c r="AI46" i="19"/>
  <c r="AJ46" i="19" s="1"/>
  <c r="AK46" i="19" s="1"/>
  <c r="AL46" i="19" s="1"/>
  <c r="AM46" i="19" s="1"/>
  <c r="AN46" i="19" s="1"/>
  <c r="AO46" i="19" s="1"/>
  <c r="AP46" i="19" s="1"/>
  <c r="AQ46" i="19" s="1"/>
  <c r="AR46" i="19" s="1"/>
  <c r="AS46" i="19" s="1"/>
  <c r="AT46" i="19" s="1"/>
  <c r="AU46" i="19" s="1"/>
  <c r="AV46" i="19" s="1"/>
  <c r="AW46" i="19" s="1"/>
  <c r="AX46" i="19" s="1"/>
  <c r="AY46" i="19" s="1"/>
  <c r="AZ46" i="19" s="1"/>
  <c r="AG44" i="22"/>
  <c r="AT47" i="21"/>
  <c r="AU47" i="21" s="1"/>
  <c r="AV47" i="21" s="1"/>
  <c r="AW47" i="21" s="1"/>
  <c r="AX47" i="21" s="1"/>
  <c r="AY47" i="21" s="1"/>
  <c r="AZ47" i="21" s="1"/>
  <c r="BA47" i="21" s="1"/>
  <c r="AJ71" i="15"/>
  <c r="AK71" i="15" s="1"/>
  <c r="AL71" i="15" s="1"/>
  <c r="AM71" i="15" s="1"/>
  <c r="AN71" i="15" s="1"/>
  <c r="AO71" i="15" s="1"/>
  <c r="AP71" i="15" s="1"/>
  <c r="AQ71" i="15" s="1"/>
  <c r="AR71" i="15" s="1"/>
  <c r="AS71" i="15" s="1"/>
  <c r="AT71" i="15" s="1"/>
  <c r="AU71" i="15" s="1"/>
  <c r="AV71" i="15" s="1"/>
  <c r="AW71" i="15" s="1"/>
  <c r="AX71" i="15" s="1"/>
  <c r="AY71" i="15" s="1"/>
  <c r="AZ71" i="15" s="1"/>
  <c r="BA71" i="15" s="1"/>
  <c r="AI69" i="13"/>
  <c r="AJ69" i="13" s="1"/>
  <c r="AK69" i="13" s="1"/>
  <c r="AL69" i="13" s="1"/>
  <c r="AM69" i="13" s="1"/>
  <c r="AO2197" i="6"/>
  <c r="AK2197" i="6"/>
  <c r="AG2197" i="6"/>
  <c r="AC2197" i="6"/>
  <c r="AP2145" i="6"/>
  <c r="AL2145" i="6"/>
  <c r="AH2145" i="6"/>
  <c r="AD2145" i="6"/>
  <c r="AO2093" i="6"/>
  <c r="AK2093" i="6"/>
  <c r="AG2093" i="6"/>
  <c r="AC2093" i="6"/>
  <c r="AA2039" i="6"/>
  <c r="AR2197" i="6"/>
  <c r="AN2197" i="6"/>
  <c r="AJ2197" i="6"/>
  <c r="AF2197" i="6"/>
  <c r="AO2145" i="6"/>
  <c r="AK2145" i="6"/>
  <c r="AG2145" i="6"/>
  <c r="AC2145" i="6"/>
  <c r="AN2093" i="6"/>
  <c r="AJ2093" i="6"/>
  <c r="AF2093" i="6"/>
  <c r="Z2039" i="6"/>
  <c r="Z2012" i="6" s="1"/>
  <c r="AD2011" i="6"/>
  <c r="AQ2197" i="6"/>
  <c r="AM2197" i="6"/>
  <c r="AI2197" i="6"/>
  <c r="AE2197" i="6"/>
  <c r="AN2145" i="6"/>
  <c r="AJ2145" i="6"/>
  <c r="AF2145" i="6"/>
  <c r="AQ2093" i="6"/>
  <c r="AM2093" i="6"/>
  <c r="AI2093" i="6"/>
  <c r="AE2093" i="6"/>
  <c r="AP2197" i="6"/>
  <c r="AI2145" i="6"/>
  <c r="AH2093" i="6"/>
  <c r="AL2197" i="6"/>
  <c r="AE2145" i="6"/>
  <c r="AD2093" i="6"/>
  <c r="AH2197" i="6"/>
  <c r="AQ2145" i="6"/>
  <c r="AP2093" i="6"/>
  <c r="AD2197" i="6"/>
  <c r="AM2145" i="6"/>
  <c r="AL2093" i="6"/>
  <c r="AB2039" i="6"/>
  <c r="AF183" i="14"/>
  <c r="AF87" i="14"/>
  <c r="AG87" i="14" s="1"/>
  <c r="AH87" i="14" s="1"/>
  <c r="AI87" i="14" s="1"/>
  <c r="AJ87" i="14" s="1"/>
  <c r="AK87" i="14" s="1"/>
  <c r="AG83" i="21"/>
  <c r="AH83" i="21" s="1"/>
  <c r="AI83" i="21" s="1"/>
  <c r="AJ83" i="21" s="1"/>
  <c r="AK83" i="21" s="1"/>
  <c r="AL83" i="21" s="1"/>
  <c r="AM83" i="21" s="1"/>
  <c r="AN83" i="21" s="1"/>
  <c r="AO83" i="21" s="1"/>
  <c r="AP83" i="21" s="1"/>
  <c r="AQ83" i="21" s="1"/>
  <c r="AR83" i="21" s="1"/>
  <c r="AS83" i="21" s="1"/>
  <c r="AT83" i="21" s="1"/>
  <c r="AU83" i="21" s="1"/>
  <c r="AV83" i="21" s="1"/>
  <c r="AW83" i="21" s="1"/>
  <c r="AX83" i="21" s="1"/>
  <c r="AY83" i="21" s="1"/>
  <c r="AZ83" i="21" s="1"/>
  <c r="AM606" i="6"/>
  <c r="AI606" i="6"/>
  <c r="AE606" i="6"/>
  <c r="AA606" i="6"/>
  <c r="AL554" i="6"/>
  <c r="AH554" i="6"/>
  <c r="AD554" i="6"/>
  <c r="AL502" i="6"/>
  <c r="AH502" i="6"/>
  <c r="AD502" i="6"/>
  <c r="Z448" i="6"/>
  <c r="AP606" i="6"/>
  <c r="AL606" i="6"/>
  <c r="AH606" i="6"/>
  <c r="AD606" i="6"/>
  <c r="AO554" i="6"/>
  <c r="AK554" i="6"/>
  <c r="AG554" i="6"/>
  <c r="AC554" i="6"/>
  <c r="AO502" i="6"/>
  <c r="AK502" i="6"/>
  <c r="AG502" i="6"/>
  <c r="AC502" i="6"/>
  <c r="Y448" i="6"/>
  <c r="AF606" i="6"/>
  <c r="AM554" i="6"/>
  <c r="AE554" i="6"/>
  <c r="AM502" i="6"/>
  <c r="AE502" i="6"/>
  <c r="AO606" i="6"/>
  <c r="AK606" i="6"/>
  <c r="AG606" i="6"/>
  <c r="AC606" i="6"/>
  <c r="AN554" i="6"/>
  <c r="AJ554" i="6"/>
  <c r="AF554" i="6"/>
  <c r="AB554" i="6"/>
  <c r="AN502" i="6"/>
  <c r="AJ502" i="6"/>
  <c r="AF502" i="6"/>
  <c r="AB502" i="6"/>
  <c r="X448" i="6"/>
  <c r="X423" i="6" s="1"/>
  <c r="AB422" i="6"/>
  <c r="AN606" i="6"/>
  <c r="AJ606" i="6"/>
  <c r="AB606" i="6"/>
  <c r="AI554" i="6"/>
  <c r="AA554" i="6"/>
  <c r="AI502" i="6"/>
  <c r="AA502" i="6"/>
  <c r="AH106" i="18"/>
  <c r="AN101" i="21"/>
  <c r="AO101" i="21" s="1"/>
  <c r="AP101" i="21" s="1"/>
  <c r="AQ101" i="21"/>
  <c r="AR101" i="21" s="1"/>
  <c r="AS101" i="21" s="1"/>
  <c r="AT101" i="21" s="1"/>
  <c r="AU101" i="21" s="1"/>
  <c r="AV101" i="21" s="1"/>
  <c r="AW101" i="21" s="1"/>
  <c r="AX101" i="21" s="1"/>
  <c r="AY101" i="21" s="1"/>
  <c r="AZ101" i="21" s="1"/>
  <c r="AR41" i="18"/>
  <c r="AS41" i="18" s="1"/>
  <c r="AT41" i="18" s="1"/>
  <c r="AU41" i="18" s="1"/>
  <c r="AV41" i="18" s="1"/>
  <c r="AW41" i="18" s="1"/>
  <c r="AX41" i="18" s="1"/>
  <c r="AY41" i="18" s="1"/>
  <c r="AJ73" i="14"/>
  <c r="AK73" i="14" s="1"/>
  <c r="AL73" i="14" s="1"/>
  <c r="AM73" i="14" s="1"/>
  <c r="AN73" i="14" s="1"/>
  <c r="AO73" i="14" s="1"/>
  <c r="AP73" i="14" s="1"/>
  <c r="AQ73" i="14" s="1"/>
  <c r="AR73" i="14" s="1"/>
  <c r="AS73" i="14" s="1"/>
  <c r="AT73" i="14" s="1"/>
  <c r="AU73" i="14" s="1"/>
  <c r="AV73" i="14" s="1"/>
  <c r="AW73" i="14" s="1"/>
  <c r="AX73" i="14" s="1"/>
  <c r="AY73" i="14" s="1"/>
  <c r="AZ73" i="14" s="1"/>
  <c r="BA73" i="14" s="1"/>
  <c r="AH93" i="21"/>
  <c r="AY89" i="13"/>
  <c r="AZ89" i="13" s="1"/>
  <c r="BA89" i="13"/>
  <c r="AI89" i="13"/>
  <c r="AJ89" i="13" s="1"/>
  <c r="AK89" i="13" s="1"/>
  <c r="AL89" i="13" s="1"/>
  <c r="AM89" i="13" s="1"/>
  <c r="AN89" i="13" s="1"/>
  <c r="AO89" i="13" s="1"/>
  <c r="AP89" i="13" s="1"/>
  <c r="AQ89" i="13" s="1"/>
  <c r="AR89" i="13" s="1"/>
  <c r="AS89" i="13" s="1"/>
  <c r="AT89" i="13" s="1"/>
  <c r="AU89" i="13" s="1"/>
  <c r="AV89" i="13" s="1"/>
  <c r="AW89" i="13" s="1"/>
  <c r="AX89" i="13" s="1"/>
  <c r="AF116" i="18"/>
  <c r="AG116" i="18"/>
  <c r="AH116" i="18" s="1"/>
  <c r="AI116" i="18" s="1"/>
  <c r="AJ116" i="18" s="1"/>
  <c r="AK116" i="18" s="1"/>
  <c r="AL116" i="18" s="1"/>
  <c r="AM116" i="18" s="1"/>
  <c r="AN116" i="18" s="1"/>
  <c r="AO116" i="18" s="1"/>
  <c r="AP116" i="18" s="1"/>
  <c r="AQ116" i="18" s="1"/>
  <c r="AR116" i="18" s="1"/>
  <c r="AS116" i="18" s="1"/>
  <c r="AT116" i="18" s="1"/>
  <c r="AU116" i="18" s="1"/>
  <c r="AV116" i="18" s="1"/>
  <c r="AW116" i="18" s="1"/>
  <c r="AX116" i="18" s="1"/>
  <c r="AY116" i="18" s="1"/>
  <c r="AZ116" i="18" s="1"/>
  <c r="AD141" i="18"/>
  <c r="AG74" i="15"/>
  <c r="AF139" i="18"/>
  <c r="AK167" i="14"/>
  <c r="AL167" i="14" s="1"/>
  <c r="AM167" i="14" s="1"/>
  <c r="AN167" i="14" s="1"/>
  <c r="AO167" i="14" s="1"/>
  <c r="AP167" i="14" s="1"/>
  <c r="AQ167" i="14" s="1"/>
  <c r="AR167" i="14" s="1"/>
  <c r="AS167" i="14" s="1"/>
  <c r="AT167" i="14" s="1"/>
  <c r="AU167" i="14" s="1"/>
  <c r="AV167" i="14" s="1"/>
  <c r="AW167" i="14" s="1"/>
  <c r="AX167" i="14" s="1"/>
  <c r="AY167" i="14" s="1"/>
  <c r="AZ167" i="14" s="1"/>
  <c r="BA167" i="14" s="1"/>
  <c r="AG55" i="20"/>
  <c r="AG128" i="18"/>
  <c r="AH128" i="18" s="1"/>
  <c r="AI128" i="18" s="1"/>
  <c r="AJ128" i="18" s="1"/>
  <c r="AK128" i="18" s="1"/>
  <c r="AL128" i="18" s="1"/>
  <c r="AM128" i="18" s="1"/>
  <c r="AN128" i="18" s="1"/>
  <c r="AO128" i="18" s="1"/>
  <c r="AP128" i="18" s="1"/>
  <c r="AQ128" i="18" s="1"/>
  <c r="AR128" i="18" s="1"/>
  <c r="AS128" i="18" s="1"/>
  <c r="AT128" i="18" s="1"/>
  <c r="AU128" i="18" s="1"/>
  <c r="AV128" i="18" s="1"/>
  <c r="AW128" i="18" s="1"/>
  <c r="AX128" i="18" s="1"/>
  <c r="AY128" i="18" s="1"/>
  <c r="AZ128" i="18" s="1"/>
  <c r="AE52" i="17"/>
  <c r="AG145" i="18"/>
  <c r="AH145" i="18" s="1"/>
  <c r="AF44" i="15"/>
  <c r="AG44" i="15"/>
  <c r="AP85" i="13"/>
  <c r="AQ85" i="13" s="1"/>
  <c r="AR85" i="13" s="1"/>
  <c r="AS85" i="13" s="1"/>
  <c r="AF88" i="22"/>
  <c r="AG88" i="22" s="1"/>
  <c r="AE79" i="20"/>
  <c r="AE64" i="22"/>
  <c r="AH100" i="21"/>
  <c r="AI100" i="21" s="1"/>
  <c r="AE56" i="20"/>
  <c r="AG115" i="14"/>
  <c r="AH115" i="14" s="1"/>
  <c r="AI115" i="14" s="1"/>
  <c r="AJ115" i="14" s="1"/>
  <c r="AK115" i="14" s="1"/>
  <c r="AL115" i="14" s="1"/>
  <c r="AM115" i="14" s="1"/>
  <c r="AN115" i="14" s="1"/>
  <c r="AO115" i="14" s="1"/>
  <c r="AP115" i="14" s="1"/>
  <c r="AQ115" i="14" s="1"/>
  <c r="AR115" i="14" s="1"/>
  <c r="AS115" i="14" s="1"/>
  <c r="AT115" i="14" s="1"/>
  <c r="AU115" i="14" s="1"/>
  <c r="AV115" i="14" s="1"/>
  <c r="AW115" i="14" s="1"/>
  <c r="AX115" i="14" s="1"/>
  <c r="AY115" i="14" s="1"/>
  <c r="AZ115" i="14" s="1"/>
  <c r="BA115" i="14" s="1"/>
  <c r="AK2917" i="6"/>
  <c r="AG2917" i="6"/>
  <c r="AC2917" i="6"/>
  <c r="AN2865" i="6"/>
  <c r="AJ2865" i="6"/>
  <c r="AF2865" i="6"/>
  <c r="AB2865" i="6"/>
  <c r="AJ2917" i="6"/>
  <c r="AE2917" i="6"/>
  <c r="Z2917" i="6"/>
  <c r="Z2893" i="6" s="1" a="1"/>
  <c r="Z2893" i="6" s="1"/>
  <c r="AI2865" i="6"/>
  <c r="AD2865" i="6"/>
  <c r="AN2917" i="6"/>
  <c r="AI2917" i="6"/>
  <c r="AD2917" i="6"/>
  <c r="AM2865" i="6"/>
  <c r="AH2865" i="6"/>
  <c r="AC2865" i="6"/>
  <c r="AM2917" i="6"/>
  <c r="AH2917" i="6"/>
  <c r="AB2917" i="6"/>
  <c r="AF2917" i="6"/>
  <c r="AK2865" i="6"/>
  <c r="Z2865" i="6"/>
  <c r="Z2841" i="6" s="1" a="1"/>
  <c r="Z2841" i="6" s="1"/>
  <c r="AA2917" i="6"/>
  <c r="AG2865" i="6"/>
  <c r="AE2865" i="6"/>
  <c r="AL2917" i="6"/>
  <c r="AL2865" i="6"/>
  <c r="AA2865" i="6"/>
  <c r="AD164" i="14"/>
  <c r="AM60" i="14"/>
  <c r="AE49" i="15"/>
  <c r="Q2012" i="6"/>
  <c r="AH75" i="15"/>
  <c r="AI75" i="15" s="1"/>
  <c r="N16" i="6"/>
  <c r="AF2744" i="6"/>
  <c r="AB2744" i="6"/>
  <c r="X2744" i="6"/>
  <c r="T2744" i="6"/>
  <c r="T2726" i="6" s="1" a="1"/>
  <c r="T2726" i="6" s="1"/>
  <c r="AE2692" i="6"/>
  <c r="AA2692" i="6"/>
  <c r="W2692" i="6"/>
  <c r="AD2744" i="6"/>
  <c r="Y2744" i="6"/>
  <c r="AH2744" i="6"/>
  <c r="AC2744" i="6"/>
  <c r="W2744" i="6"/>
  <c r="AG2744" i="6"/>
  <c r="AA2744" i="6"/>
  <c r="V2744" i="6"/>
  <c r="AE2744" i="6"/>
  <c r="AG2692" i="6"/>
  <c r="AB2692" i="6"/>
  <c r="V2692" i="6"/>
  <c r="Z2744" i="6"/>
  <c r="AF2692" i="6"/>
  <c r="Z2692" i="6"/>
  <c r="U2692" i="6"/>
  <c r="U2744" i="6"/>
  <c r="AD2692" i="6"/>
  <c r="Y2692" i="6"/>
  <c r="T2692" i="6"/>
  <c r="T2674" i="6" s="1" a="1"/>
  <c r="T2674" i="6" s="1"/>
  <c r="AH2692" i="6"/>
  <c r="AC2692" i="6"/>
  <c r="X2692" i="6"/>
  <c r="AD2229" i="6"/>
  <c r="AE2227" i="6"/>
  <c r="AE84" i="21"/>
  <c r="AL54" i="22"/>
  <c r="AM54" i="22" s="1"/>
  <c r="AN54" i="22" s="1"/>
  <c r="AO54" i="22" s="1"/>
  <c r="AP54" i="22" s="1"/>
  <c r="AQ54" i="22" s="1"/>
  <c r="AR54" i="22" s="1"/>
  <c r="AS54" i="22" s="1"/>
  <c r="AT54" i="22" s="1"/>
  <c r="AU54" i="22" s="1"/>
  <c r="AV54" i="22" s="1"/>
  <c r="AW54" i="22" s="1"/>
  <c r="AX54" i="22" s="1"/>
  <c r="AY54" i="22" s="1"/>
  <c r="AZ54" i="22" s="1"/>
  <c r="BA54" i="22" s="1"/>
  <c r="AE71" i="21"/>
  <c r="AC38" i="15"/>
  <c r="AD41" i="15"/>
  <c r="AA59" i="12"/>
  <c r="AK120" i="18"/>
  <c r="AL120" i="18" s="1"/>
  <c r="AM120" i="18" s="1"/>
  <c r="AN120" i="18" s="1"/>
  <c r="AO120" i="18" s="1"/>
  <c r="AP120" i="18" s="1"/>
  <c r="AQ120" i="18" s="1"/>
  <c r="AR120" i="18" s="1"/>
  <c r="AS120" i="18" s="1"/>
  <c r="AT120" i="18" s="1"/>
  <c r="AU120" i="18" s="1"/>
  <c r="AV120" i="18" s="1"/>
  <c r="AW120" i="18" s="1"/>
  <c r="AX120" i="18" s="1"/>
  <c r="AY120" i="18" s="1"/>
  <c r="AZ120" i="18" s="1"/>
  <c r="AG60" i="15"/>
  <c r="AH60" i="15" s="1"/>
  <c r="AI60" i="15" s="1"/>
  <c r="AJ60" i="15" s="1"/>
  <c r="AK60" i="15" s="1"/>
  <c r="AL60" i="15" s="1"/>
  <c r="AM60" i="15" s="1"/>
  <c r="AN60" i="15" s="1"/>
  <c r="AO60" i="15" s="1"/>
  <c r="AP60" i="15" s="1"/>
  <c r="AQ60" i="15" s="1"/>
  <c r="AR60" i="15" s="1"/>
  <c r="AS60" i="15" s="1"/>
  <c r="AT60" i="15" s="1"/>
  <c r="AU60" i="15" s="1"/>
  <c r="AV60" i="15" s="1"/>
  <c r="AW60" i="15" s="1"/>
  <c r="AX60" i="15" s="1"/>
  <c r="AY60" i="15" s="1"/>
  <c r="AZ60" i="15" s="1"/>
  <c r="BA60" i="15" s="1"/>
  <c r="AI89" i="21"/>
  <c r="AG110" i="14"/>
  <c r="AH110" i="14" s="1"/>
  <c r="AI110" i="14" s="1"/>
  <c r="AJ110" i="14" s="1"/>
  <c r="AH125" i="22"/>
  <c r="AQ95" i="13"/>
  <c r="AR95" i="13" s="1"/>
  <c r="AS95" i="13" s="1"/>
  <c r="AT95" i="13" s="1"/>
  <c r="AU95" i="13" s="1"/>
  <c r="AV95" i="13" s="1"/>
  <c r="AW95" i="13" s="1"/>
  <c r="AX95" i="13" s="1"/>
  <c r="AY95" i="13" s="1"/>
  <c r="AZ95" i="13" s="1"/>
  <c r="BA95" i="13" s="1"/>
  <c r="AT48" i="19"/>
  <c r="AU48" i="19" s="1"/>
  <c r="AV48" i="19" s="1"/>
  <c r="AW48" i="19" s="1"/>
  <c r="AX48" i="19" s="1"/>
  <c r="AY48" i="19" s="1"/>
  <c r="AZ48" i="19" s="1"/>
  <c r="BA48" i="19" s="1"/>
  <c r="AA937" i="6"/>
  <c r="AA938" i="6"/>
  <c r="AG71" i="20"/>
  <c r="AH71" i="20"/>
  <c r="AI71" i="20" s="1"/>
  <c r="AJ71" i="20" s="1"/>
  <c r="AF198" i="14"/>
  <c r="AG70" i="21"/>
  <c r="AH70" i="21" s="1"/>
  <c r="AI70" i="21" s="1"/>
  <c r="AJ70" i="21" s="1"/>
  <c r="AK70" i="21" s="1"/>
  <c r="AL70" i="21" s="1"/>
  <c r="AM70" i="21" s="1"/>
  <c r="AN70" i="21" s="1"/>
  <c r="AO70" i="21" s="1"/>
  <c r="AP70" i="21" s="1"/>
  <c r="AQ70" i="21" s="1"/>
  <c r="AR70" i="21" s="1"/>
  <c r="AS70" i="21" s="1"/>
  <c r="AT70" i="21" s="1"/>
  <c r="AU70" i="21" s="1"/>
  <c r="AV70" i="21" s="1"/>
  <c r="AW70" i="21" s="1"/>
  <c r="AX70" i="21" s="1"/>
  <c r="AY70" i="21" s="1"/>
  <c r="AZ70" i="21" s="1"/>
  <c r="AE75" i="13"/>
  <c r="AF75" i="13" s="1"/>
  <c r="AG75" i="13" s="1"/>
  <c r="AH75" i="13" s="1"/>
  <c r="AI75" i="13" s="1"/>
  <c r="AJ75" i="13" s="1"/>
  <c r="AK75" i="13" s="1"/>
  <c r="AL75" i="13" s="1"/>
  <c r="AM75" i="13" s="1"/>
  <c r="AN75" i="13" s="1"/>
  <c r="AO75" i="13" s="1"/>
  <c r="AP75" i="13" s="1"/>
  <c r="AQ75" i="13" s="1"/>
  <c r="AR75" i="13" s="1"/>
  <c r="AS75" i="13" s="1"/>
  <c r="AT75" i="13" s="1"/>
  <c r="AU75" i="13" s="1"/>
  <c r="AV75" i="13" s="1"/>
  <c r="AW75" i="13" s="1"/>
  <c r="AX75" i="13" s="1"/>
  <c r="AY75" i="13" s="1"/>
  <c r="AZ75" i="13" s="1"/>
  <c r="BA75" i="13" s="1"/>
  <c r="AH130" i="18"/>
  <c r="AI130" i="18" s="1"/>
  <c r="AJ65" i="17"/>
  <c r="AK65" i="17" s="1"/>
  <c r="AL65" i="17" s="1"/>
  <c r="AM65" i="17" s="1"/>
  <c r="AN65" i="17" s="1"/>
  <c r="AO65" i="17" s="1"/>
  <c r="AP65" i="17" s="1"/>
  <c r="AQ65" i="17" s="1"/>
  <c r="AR65" i="17" s="1"/>
  <c r="AS65" i="17" s="1"/>
  <c r="AT65" i="17" s="1"/>
  <c r="AU65" i="17" s="1"/>
  <c r="AV65" i="17" s="1"/>
  <c r="AW65" i="17" s="1"/>
  <c r="AX65" i="17" s="1"/>
  <c r="AY65" i="17" s="1"/>
  <c r="AG78" i="18"/>
  <c r="AH78" i="18" s="1"/>
  <c r="AG72" i="21"/>
  <c r="AE52" i="15"/>
  <c r="AR108" i="13"/>
  <c r="AS108" i="13" s="1"/>
  <c r="AT108" i="13" s="1"/>
  <c r="AJ108" i="13"/>
  <c r="AK108" i="13" s="1"/>
  <c r="AL108" i="13" s="1"/>
  <c r="AM108" i="13" s="1"/>
  <c r="AN108" i="13" s="1"/>
  <c r="AO108" i="13" s="1"/>
  <c r="AP108" i="13" s="1"/>
  <c r="AQ108" i="13" s="1"/>
  <c r="AI117" i="13"/>
  <c r="AJ117" i="13" s="1"/>
  <c r="AK117" i="13" s="1"/>
  <c r="AL117" i="13" s="1"/>
  <c r="AM117" i="13" s="1"/>
  <c r="AN117" i="13" s="1"/>
  <c r="AO117" i="13" s="1"/>
  <c r="AP117" i="13" s="1"/>
  <c r="AQ117" i="13" s="1"/>
  <c r="AR117" i="13" s="1"/>
  <c r="AS117" i="13" s="1"/>
  <c r="AT117" i="13" s="1"/>
  <c r="AU117" i="13" s="1"/>
  <c r="AV117" i="13" s="1"/>
  <c r="AW117" i="13" s="1"/>
  <c r="AX117" i="13" s="1"/>
  <c r="AY117" i="13" s="1"/>
  <c r="AZ117" i="13" s="1"/>
  <c r="BA117" i="13" s="1"/>
  <c r="AL192" i="14"/>
  <c r="AM192" i="14" s="1"/>
  <c r="AH2745" i="6"/>
  <c r="AD2745" i="6"/>
  <c r="Z2745" i="6"/>
  <c r="V2745" i="6"/>
  <c r="AG2693" i="6"/>
  <c r="AC2693" i="6"/>
  <c r="Y2693" i="6"/>
  <c r="U2693" i="6"/>
  <c r="AF2745" i="6"/>
  <c r="AA2745" i="6"/>
  <c r="U2745" i="6"/>
  <c r="AE2745" i="6"/>
  <c r="Y2745" i="6"/>
  <c r="AI2693" i="6"/>
  <c r="AD2693" i="6"/>
  <c r="X2693" i="6"/>
  <c r="AI2745" i="6"/>
  <c r="AC2745" i="6"/>
  <c r="X2745" i="6"/>
  <c r="AF2693" i="6"/>
  <c r="Z2693" i="6"/>
  <c r="AG2745" i="6"/>
  <c r="AE2693" i="6"/>
  <c r="W2693" i="6"/>
  <c r="AB2745" i="6"/>
  <c r="AB2693" i="6"/>
  <c r="V2693" i="6"/>
  <c r="W2745" i="6"/>
  <c r="AH2693" i="6"/>
  <c r="AA2693" i="6"/>
  <c r="AI84" i="22"/>
  <c r="AJ84" i="22" s="1"/>
  <c r="AK84" i="22" s="1"/>
  <c r="AL84" i="22" s="1"/>
  <c r="AM84" i="22" s="1"/>
  <c r="AN84" i="22" s="1"/>
  <c r="AO84" i="22" s="1"/>
  <c r="AP84" i="22" s="1"/>
  <c r="AQ84" i="22" s="1"/>
  <c r="AR84" i="22" s="1"/>
  <c r="AS84" i="22" s="1"/>
  <c r="AT84" i="22" s="1"/>
  <c r="AU84" i="22" s="1"/>
  <c r="AV84" i="22" s="1"/>
  <c r="AW84" i="22" s="1"/>
  <c r="AG86" i="14"/>
  <c r="AH86" i="14" s="1"/>
  <c r="AI86" i="14" s="1"/>
  <c r="AJ86" i="14" s="1"/>
  <c r="AK86" i="14" s="1"/>
  <c r="AL86" i="14" s="1"/>
  <c r="AM86" i="14" s="1"/>
  <c r="AN86" i="14" s="1"/>
  <c r="AO86" i="14" s="1"/>
  <c r="AP86" i="14" s="1"/>
  <c r="AQ86" i="14" s="1"/>
  <c r="AR86" i="14" s="1"/>
  <c r="AS86" i="14" s="1"/>
  <c r="AT86" i="14" s="1"/>
  <c r="AU86" i="14" s="1"/>
  <c r="AV86" i="14" s="1"/>
  <c r="AW86" i="14" s="1"/>
  <c r="AX86" i="14" s="1"/>
  <c r="AY86" i="14" s="1"/>
  <c r="AZ86" i="14" s="1"/>
  <c r="O24" i="17"/>
  <c r="Q1107" i="6"/>
  <c r="R18" i="5" s="1"/>
  <c r="AF100" i="14"/>
  <c r="AG100" i="14" s="1"/>
  <c r="AH100" i="14" s="1"/>
  <c r="AI100" i="14" s="1"/>
  <c r="AJ100" i="14" s="1"/>
  <c r="AK100" i="14" s="1"/>
  <c r="AL100" i="14" s="1"/>
  <c r="AM100" i="14" s="1"/>
  <c r="AN100" i="14" s="1"/>
  <c r="AO100" i="14" s="1"/>
  <c r="AP100" i="14" s="1"/>
  <c r="AQ100" i="14" s="1"/>
  <c r="AR100" i="14" s="1"/>
  <c r="AS100" i="14" s="1"/>
  <c r="AT100" i="14" s="1"/>
  <c r="AU100" i="14" s="1"/>
  <c r="AV100" i="14" s="1"/>
  <c r="AW100" i="14" s="1"/>
  <c r="AX100" i="14" s="1"/>
  <c r="AY100" i="14" s="1"/>
  <c r="AZ100" i="14" s="1"/>
  <c r="BA100" i="14" s="1"/>
  <c r="AB3165" i="6"/>
  <c r="O17" i="19"/>
  <c r="Q1557" i="6"/>
  <c r="AE100" i="13"/>
  <c r="T46" i="5"/>
  <c r="T44" i="5"/>
  <c r="AK109" i="14"/>
  <c r="AL109" i="14" s="1"/>
  <c r="AM109" i="14" s="1"/>
  <c r="AN109" i="14" s="1"/>
  <c r="AO109" i="14" s="1"/>
  <c r="AP109" i="14" s="1"/>
  <c r="AQ109" i="14" s="1"/>
  <c r="AR109" i="14" s="1"/>
  <c r="AS109" i="14" s="1"/>
  <c r="AT109" i="14" s="1"/>
  <c r="AU109" i="14" s="1"/>
  <c r="AV109" i="14" s="1"/>
  <c r="AW109" i="14" s="1"/>
  <c r="AX109" i="14" s="1"/>
  <c r="AY109" i="14" s="1"/>
  <c r="AZ109" i="14" s="1"/>
  <c r="AI109" i="14"/>
  <c r="AJ109" i="14" s="1"/>
  <c r="AG48" i="15"/>
  <c r="AE113" i="14"/>
  <c r="AE45" i="19"/>
  <c r="AF45" i="19" s="1"/>
  <c r="AG45" i="19" s="1"/>
  <c r="AH45" i="19" s="1"/>
  <c r="AI45" i="19" s="1"/>
  <c r="AJ45" i="19" s="1"/>
  <c r="AK45" i="19" s="1"/>
  <c r="AL45" i="19" s="1"/>
  <c r="AJ121" i="13"/>
  <c r="AS121" i="13" s="1"/>
  <c r="AT121" i="13" s="1"/>
  <c r="AU121" i="13" s="1"/>
  <c r="AI120" i="18"/>
  <c r="AJ120" i="18" s="1"/>
  <c r="AG171" i="14"/>
  <c r="AH171" i="14" s="1"/>
  <c r="AI171" i="14" s="1"/>
  <c r="AJ171" i="14" s="1"/>
  <c r="AK171" i="14" s="1"/>
  <c r="AL171" i="14" s="1"/>
  <c r="AM171" i="14" s="1"/>
  <c r="AN171" i="14" s="1"/>
  <c r="AO171" i="14" s="1"/>
  <c r="AP171" i="14" s="1"/>
  <c r="AQ171" i="14" s="1"/>
  <c r="AR171" i="14" s="1"/>
  <c r="AS171" i="14" s="1"/>
  <c r="AT171" i="14" s="1"/>
  <c r="AU171" i="14" s="1"/>
  <c r="AV171" i="14" s="1"/>
  <c r="AW171" i="14" s="1"/>
  <c r="AX171" i="14" s="1"/>
  <c r="AY171" i="14" s="1"/>
  <c r="AZ171" i="14" s="1"/>
  <c r="BA171" i="14" s="1"/>
  <c r="AN48" i="17"/>
  <c r="AL48" i="17"/>
  <c r="AM48" i="17" s="1"/>
  <c r="AC13" i="6"/>
  <c r="AD3" i="5"/>
  <c r="AD8" i="6"/>
  <c r="AC14" i="6"/>
  <c r="AD17" i="19"/>
  <c r="AD1557" i="6"/>
  <c r="AO121" i="13"/>
  <c r="AP121" i="13" s="1"/>
  <c r="AQ121" i="13" s="1"/>
  <c r="AR121" i="13" s="1"/>
  <c r="Z66" i="12"/>
  <c r="AA248" i="6"/>
  <c r="AE67" i="12"/>
  <c r="O2" i="20"/>
  <c r="AI1963" i="6"/>
  <c r="AE1963" i="6"/>
  <c r="AA1963" i="6"/>
  <c r="W1963" i="6"/>
  <c r="AE1911" i="6"/>
  <c r="AA1911" i="6"/>
  <c r="W1911" i="6"/>
  <c r="AH1859" i="6"/>
  <c r="AD1859" i="6"/>
  <c r="Z1859" i="6"/>
  <c r="V1859" i="6"/>
  <c r="AH1963" i="6"/>
  <c r="AD1963" i="6"/>
  <c r="Z1963" i="6"/>
  <c r="V1963" i="6"/>
  <c r="AH1911" i="6"/>
  <c r="AD1911" i="6"/>
  <c r="Z1911" i="6"/>
  <c r="V1911" i="6"/>
  <c r="AG1859" i="6"/>
  <c r="AC1859" i="6"/>
  <c r="Y1859" i="6"/>
  <c r="U1859" i="6"/>
  <c r="Q1804" i="6"/>
  <c r="AG1963" i="6"/>
  <c r="AC1963" i="6"/>
  <c r="Y1963" i="6"/>
  <c r="U1963" i="6"/>
  <c r="AG1911" i="6"/>
  <c r="AC1911" i="6"/>
  <c r="Y1911" i="6"/>
  <c r="U1911" i="6"/>
  <c r="AF1859" i="6"/>
  <c r="AB1859" i="6"/>
  <c r="X1859" i="6"/>
  <c r="T1859" i="6"/>
  <c r="X1963" i="6"/>
  <c r="X1911" i="6"/>
  <c r="T1963" i="6"/>
  <c r="T1911" i="6"/>
  <c r="AE1859" i="6"/>
  <c r="AF1963" i="6"/>
  <c r="AF1911" i="6"/>
  <c r="AA1859" i="6"/>
  <c r="Q1803" i="6"/>
  <c r="AB1963" i="6"/>
  <c r="AB1911" i="6"/>
  <c r="W1859" i="6"/>
  <c r="Q1805" i="6"/>
  <c r="AF3004" i="6"/>
  <c r="AF60" i="9"/>
  <c r="AL38" i="20"/>
  <c r="AF55" i="13"/>
  <c r="AG55" i="13" s="1"/>
  <c r="AH55" i="13" s="1"/>
  <c r="AF66" i="20"/>
  <c r="AO87" i="21"/>
  <c r="AP87" i="21" s="1"/>
  <c r="AQ87" i="21" s="1"/>
  <c r="AR87" i="21" s="1"/>
  <c r="AS87" i="21" s="1"/>
  <c r="AT87" i="21" s="1"/>
  <c r="AU87" i="21" s="1"/>
  <c r="AV87" i="21" s="1"/>
  <c r="AW87" i="21" s="1"/>
  <c r="AX87" i="21" s="1"/>
  <c r="AY87" i="21" s="1"/>
  <c r="AZ87" i="21" s="1"/>
  <c r="AH87" i="21"/>
  <c r="AI87" i="21" s="1"/>
  <c r="AJ87" i="21" s="1"/>
  <c r="AK87" i="21" s="1"/>
  <c r="AL87" i="21" s="1"/>
  <c r="AM87" i="21" s="1"/>
  <c r="AN87" i="21" s="1"/>
  <c r="AE47" i="19"/>
  <c r="AF47" i="19"/>
  <c r="AG47" i="19" s="1"/>
  <c r="AH47" i="19" s="1"/>
  <c r="AI47" i="19" s="1"/>
  <c r="AJ47" i="19" s="1"/>
  <c r="AH91" i="18"/>
  <c r="O2" i="18"/>
  <c r="AI1513" i="6"/>
  <c r="AE1513" i="6"/>
  <c r="AA1513" i="6"/>
  <c r="W1513" i="6"/>
  <c r="AE1461" i="6"/>
  <c r="AA1461" i="6"/>
  <c r="W1461" i="6"/>
  <c r="AH1409" i="6"/>
  <c r="AD1409" i="6"/>
  <c r="Z1409" i="6"/>
  <c r="V1409" i="6"/>
  <c r="AH1513" i="6"/>
  <c r="AD1513" i="6"/>
  <c r="Z1513" i="6"/>
  <c r="V1513" i="6"/>
  <c r="AH1461" i="6"/>
  <c r="AD1461" i="6"/>
  <c r="Z1461" i="6"/>
  <c r="V1461" i="6"/>
  <c r="AG1409" i="6"/>
  <c r="AC1409" i="6"/>
  <c r="Y1409" i="6"/>
  <c r="U1409" i="6"/>
  <c r="Q1354" i="6"/>
  <c r="AG1513" i="6"/>
  <c r="AC1513" i="6"/>
  <c r="Y1513" i="6"/>
  <c r="U1513" i="6"/>
  <c r="AG1461" i="6"/>
  <c r="AC1461" i="6"/>
  <c r="Y1461" i="6"/>
  <c r="U1461" i="6"/>
  <c r="AF1409" i="6"/>
  <c r="AB1409" i="6"/>
  <c r="X1409" i="6"/>
  <c r="T1409" i="6"/>
  <c r="AF1513" i="6"/>
  <c r="AB1513" i="6"/>
  <c r="X1513" i="6"/>
  <c r="T1513" i="6"/>
  <c r="AF1461" i="6"/>
  <c r="AB1461" i="6"/>
  <c r="X1461" i="6"/>
  <c r="T1461" i="6"/>
  <c r="AE1409" i="6"/>
  <c r="AA1409" i="6"/>
  <c r="W1409" i="6"/>
  <c r="Q1355" i="6"/>
  <c r="Q1353" i="6"/>
  <c r="AI57" i="21"/>
  <c r="AJ57" i="21" s="1"/>
  <c r="AF103" i="14"/>
  <c r="AG103" i="14"/>
  <c r="AH103" i="14" s="1"/>
  <c r="AW182" i="14"/>
  <c r="AX182" i="14" s="1"/>
  <c r="AY182" i="14" s="1"/>
  <c r="AZ182" i="14" s="1"/>
  <c r="BA182" i="14" s="1"/>
  <c r="AF45" i="23"/>
  <c r="AG45" i="23" s="1"/>
  <c r="AD97" i="13"/>
  <c r="AD48" i="13" s="1"/>
  <c r="AI50" i="13"/>
  <c r="AW44" i="18"/>
  <c r="AX44" i="18" s="1"/>
  <c r="AY44" i="18" s="1"/>
  <c r="AZ44" i="18" s="1"/>
  <c r="BA44" i="18" s="1"/>
  <c r="AM42" i="18"/>
  <c r="AN42" i="18" s="1"/>
  <c r="AO42" i="18" s="1"/>
  <c r="AL42" i="18"/>
  <c r="AI42" i="18"/>
  <c r="AJ42" i="18" s="1"/>
  <c r="AK42" i="18" s="1"/>
  <c r="AB2836" i="6"/>
  <c r="AF68" i="22"/>
  <c r="AG84" i="13"/>
  <c r="AH84" i="13" s="1"/>
  <c r="AH91" i="13"/>
  <c r="AI91" i="13" s="1"/>
  <c r="AJ91" i="13" s="1"/>
  <c r="AK91" i="13" s="1"/>
  <c r="AL91" i="13" s="1"/>
  <c r="AM91" i="13" s="1"/>
  <c r="AN91" i="13" s="1"/>
  <c r="AO91" i="13" s="1"/>
  <c r="AP91" i="13" s="1"/>
  <c r="AQ91" i="13" s="1"/>
  <c r="AR91" i="13" s="1"/>
  <c r="AS91" i="13" s="1"/>
  <c r="AT91" i="13" s="1"/>
  <c r="AU91" i="13" s="1"/>
  <c r="AV91" i="13" s="1"/>
  <c r="AW91" i="13" s="1"/>
  <c r="AX91" i="13" s="1"/>
  <c r="AY91" i="13" s="1"/>
  <c r="AZ91" i="13" s="1"/>
  <c r="BA91" i="13" s="1"/>
  <c r="AE79" i="21"/>
  <c r="AG85" i="14"/>
  <c r="AH85" i="14"/>
  <c r="AI85" i="14" s="1"/>
  <c r="AJ85" i="14" s="1"/>
  <c r="AK85" i="14" s="1"/>
  <c r="AL85" i="14" s="1"/>
  <c r="AM85" i="14" s="1"/>
  <c r="AN85" i="14" s="1"/>
  <c r="AO85" i="14" s="1"/>
  <c r="AP85" i="14" s="1"/>
  <c r="AQ85" i="14" s="1"/>
  <c r="AR85" i="14" s="1"/>
  <c r="AS85" i="14" s="1"/>
  <c r="AT85" i="14" s="1"/>
  <c r="AU85" i="14" s="1"/>
  <c r="AV85" i="14" s="1"/>
  <c r="AW85" i="14" s="1"/>
  <c r="AX85" i="14" s="1"/>
  <c r="AY85" i="14" s="1"/>
  <c r="AZ85" i="14" s="1"/>
  <c r="BA85" i="14" s="1"/>
  <c r="AE81" i="13"/>
  <c r="AD1333" i="6"/>
  <c r="AE1331" i="6"/>
  <c r="AD1329" i="6"/>
  <c r="AC408" i="6"/>
  <c r="AC248" i="6"/>
  <c r="AC244" i="6"/>
  <c r="AD28" i="5" s="1"/>
  <c r="AC245" i="6"/>
  <c r="AC246" i="6"/>
  <c r="AJ55" i="22"/>
  <c r="AK55" i="22" s="1"/>
  <c r="AL55" i="22" s="1"/>
  <c r="AM55" i="22" s="1"/>
  <c r="AN55" i="22" s="1"/>
  <c r="AO55" i="22" s="1"/>
  <c r="AP55" i="22" s="1"/>
  <c r="AQ55" i="22" s="1"/>
  <c r="AR55" i="22" s="1"/>
  <c r="AS55" i="22" s="1"/>
  <c r="AT55" i="22" s="1"/>
  <c r="AU55" i="22" s="1"/>
  <c r="AV55" i="22" s="1"/>
  <c r="AW55" i="22" s="1"/>
  <c r="AX55" i="22" s="1"/>
  <c r="AY55" i="22" s="1"/>
  <c r="AZ55" i="22" s="1"/>
  <c r="BA55" i="22" s="1"/>
  <c r="AF159" i="18"/>
  <c r="AC17" i="20"/>
  <c r="AC1782" i="6"/>
  <c r="AF185" i="14"/>
  <c r="AG81" i="22"/>
  <c r="O2" i="17"/>
  <c r="Q1129" i="6"/>
  <c r="Q1132" i="6"/>
  <c r="AH89" i="18"/>
  <c r="AI89" i="18" s="1"/>
  <c r="AJ89" i="18" s="1"/>
  <c r="AK89" i="18" s="1"/>
  <c r="AL89" i="18" s="1"/>
  <c r="AM89" i="18" s="1"/>
  <c r="AQ1296" i="6"/>
  <c r="AM1296" i="6"/>
  <c r="AI1296" i="6"/>
  <c r="AE1296" i="6"/>
  <c r="AN1244" i="6"/>
  <c r="AJ1244" i="6"/>
  <c r="AF1244" i="6"/>
  <c r="AB1244" i="6"/>
  <c r="AO1192" i="6"/>
  <c r="AK1192" i="6"/>
  <c r="AG1192" i="6"/>
  <c r="AC1192" i="6"/>
  <c r="X1138" i="6"/>
  <c r="AC1111" i="6"/>
  <c r="AP1296" i="6"/>
  <c r="AL1296" i="6"/>
  <c r="AH1296" i="6"/>
  <c r="AD1296" i="6"/>
  <c r="AM1244" i="6"/>
  <c r="AI1244" i="6"/>
  <c r="AE1244" i="6"/>
  <c r="AN1192" i="6"/>
  <c r="AJ1192" i="6"/>
  <c r="AF1192" i="6"/>
  <c r="AB1192" i="6"/>
  <c r="AA1138" i="6"/>
  <c r="W1138" i="6"/>
  <c r="AO1296" i="6"/>
  <c r="AK1296" i="6"/>
  <c r="AG1296" i="6"/>
  <c r="AC1296" i="6"/>
  <c r="AP1244" i="6"/>
  <c r="AL1244" i="6"/>
  <c r="AH1244" i="6"/>
  <c r="AD1244" i="6"/>
  <c r="AM1192" i="6"/>
  <c r="AI1192" i="6"/>
  <c r="AE1192" i="6"/>
  <c r="Z1138" i="6"/>
  <c r="V1138" i="6"/>
  <c r="V1112" i="6" s="1"/>
  <c r="AN1296" i="6"/>
  <c r="AJ1296" i="6"/>
  <c r="AF1296" i="6"/>
  <c r="AB1296" i="6"/>
  <c r="AO1244" i="6"/>
  <c r="AK1244" i="6"/>
  <c r="AG1244" i="6"/>
  <c r="AC1244" i="6"/>
  <c r="AP1192" i="6"/>
  <c r="AL1192" i="6"/>
  <c r="AH1192" i="6"/>
  <c r="AD1192" i="6"/>
  <c r="Y1138" i="6"/>
  <c r="AF61" i="14"/>
  <c r="AE201" i="14"/>
  <c r="AG52" i="21"/>
  <c r="AH52" i="21" s="1"/>
  <c r="AI52" i="21" s="1"/>
  <c r="AJ52" i="21" s="1"/>
  <c r="AK52" i="21" s="1"/>
  <c r="AL52" i="21" s="1"/>
  <c r="AM52" i="21" s="1"/>
  <c r="W475" i="6"/>
  <c r="W476" i="6"/>
  <c r="O24" i="13"/>
  <c r="Q10" i="6"/>
  <c r="AF101" i="13"/>
  <c r="AS62" i="20"/>
  <c r="AT62" i="20" s="1"/>
  <c r="AU62" i="20" s="1"/>
  <c r="AV62" i="20" s="1"/>
  <c r="AW62" i="20" s="1"/>
  <c r="AX62" i="20" s="1"/>
  <c r="AY62" i="20" s="1"/>
  <c r="AZ62" i="20" s="1"/>
  <c r="BA62" i="20" s="1"/>
  <c r="AF82" i="13"/>
  <c r="AH122" i="22"/>
  <c r="AF67" i="18"/>
  <c r="AE76" i="15"/>
  <c r="AG107" i="18"/>
  <c r="AI48" i="22"/>
  <c r="AJ48" i="22" s="1"/>
  <c r="AK48" i="22" s="1"/>
  <c r="AL48" i="22" s="1"/>
  <c r="AM48" i="22" s="1"/>
  <c r="AN48" i="22" s="1"/>
  <c r="AO48" i="22" s="1"/>
  <c r="AP48" i="22" s="1"/>
  <c r="AQ48" i="22" s="1"/>
  <c r="AR48" i="22" s="1"/>
  <c r="AS48" i="22" s="1"/>
  <c r="AT48" i="22" s="1"/>
  <c r="AU48" i="22" s="1"/>
  <c r="AV48" i="22" s="1"/>
  <c r="AW48" i="22" s="1"/>
  <c r="AX48" i="22" s="1"/>
  <c r="AY48" i="22" s="1"/>
  <c r="AZ48" i="22" s="1"/>
  <c r="BA48" i="22" s="1"/>
  <c r="AL64" i="14"/>
  <c r="AK64" i="14"/>
  <c r="AH64" i="14"/>
  <c r="AI64" i="14" s="1"/>
  <c r="AJ64" i="14" s="1"/>
  <c r="AM64" i="14"/>
  <c r="AN64" i="14" s="1"/>
  <c r="AO64" i="14" s="1"/>
  <c r="AP64" i="14" s="1"/>
  <c r="AQ64" i="14" s="1"/>
  <c r="AR64" i="14" s="1"/>
  <c r="AS64" i="14" s="1"/>
  <c r="AT64" i="14" s="1"/>
  <c r="AU64" i="14" s="1"/>
  <c r="AV64" i="14" s="1"/>
  <c r="AW64" i="14" s="1"/>
  <c r="AX64" i="14" s="1"/>
  <c r="AY64" i="14" s="1"/>
  <c r="AZ64" i="14" s="1"/>
  <c r="BA64" i="14" s="1"/>
  <c r="AF160" i="14"/>
  <c r="AG160" i="14"/>
  <c r="AH100" i="22"/>
  <c r="AG89" i="22"/>
  <c r="AH89" i="22" s="1"/>
  <c r="AI89" i="22" s="1"/>
  <c r="AJ89" i="22" s="1"/>
  <c r="AK89" i="22" s="1"/>
  <c r="AL89" i="22" s="1"/>
  <c r="AM89" i="22" s="1"/>
  <c r="AN89" i="22" s="1"/>
  <c r="AO89" i="22" s="1"/>
  <c r="AP89" i="22" s="1"/>
  <c r="AQ89" i="22" s="1"/>
  <c r="AR89" i="22" s="1"/>
  <c r="AS89" i="22" s="1"/>
  <c r="AT89" i="22" s="1"/>
  <c r="AU89" i="22" s="1"/>
  <c r="AV89" i="22" s="1"/>
  <c r="AW89" i="22" s="1"/>
  <c r="AX89" i="22" s="1"/>
  <c r="AY89" i="22" s="1"/>
  <c r="AZ89" i="22" s="1"/>
  <c r="AE144" i="14"/>
  <c r="AF157" i="18"/>
  <c r="AG157" i="18"/>
  <c r="AH157" i="18" s="1"/>
  <c r="AI157" i="18" s="1"/>
  <c r="AJ157" i="18" s="1"/>
  <c r="AK157" i="18" s="1"/>
  <c r="AL157" i="18" s="1"/>
  <c r="AM157" i="18" s="1"/>
  <c r="AN157" i="18" s="1"/>
  <c r="AG117" i="22"/>
  <c r="AH117" i="22" s="1"/>
  <c r="AI117" i="22" s="1"/>
  <c r="AJ117" i="22" s="1"/>
  <c r="AK117" i="22" s="1"/>
  <c r="AL117" i="22" s="1"/>
  <c r="AM117" i="22" s="1"/>
  <c r="AN117" i="22" s="1"/>
  <c r="AO117" i="22" s="1"/>
  <c r="AP117" i="22" s="1"/>
  <c r="AQ117" i="22" s="1"/>
  <c r="AR117" i="22" s="1"/>
  <c r="AS117" i="22" s="1"/>
  <c r="AT117" i="22" s="1"/>
  <c r="AU117" i="22" s="1"/>
  <c r="AV117" i="22" s="1"/>
  <c r="AW117" i="22" s="1"/>
  <c r="AX117" i="22" s="1"/>
  <c r="AY117" i="22" s="1"/>
  <c r="AH61" i="16"/>
  <c r="AP63" i="17"/>
  <c r="AQ63" i="17" s="1"/>
  <c r="AR63" i="17" s="1"/>
  <c r="AS63" i="17" s="1"/>
  <c r="AT63" i="17" s="1"/>
  <c r="AU63" i="17"/>
  <c r="AV63" i="17" s="1"/>
  <c r="AD196" i="14"/>
  <c r="AE53" i="16"/>
  <c r="AF116" i="13"/>
  <c r="AG115" i="18"/>
  <c r="S1839" i="6"/>
  <c r="S1840" i="6"/>
  <c r="AY55" i="21"/>
  <c r="AZ55" i="21" s="1"/>
  <c r="BA55" i="21" s="1"/>
  <c r="AF64" i="20"/>
  <c r="AG83" i="22"/>
  <c r="AQ45" i="21"/>
  <c r="AR45" i="21" s="1"/>
  <c r="AS45" i="21" s="1"/>
  <c r="AT45" i="21" s="1"/>
  <c r="AU45" i="21" s="1"/>
  <c r="AV45" i="21" s="1"/>
  <c r="AW45" i="21" s="1"/>
  <c r="AX45" i="21" s="1"/>
  <c r="AY45" i="21" s="1"/>
  <c r="AZ45" i="21" s="1"/>
  <c r="BA45" i="21" s="1"/>
  <c r="AG95" i="18"/>
  <c r="AH95" i="18"/>
  <c r="AI95" i="18" s="1"/>
  <c r="AJ95" i="18" s="1"/>
  <c r="AK95" i="18" s="1"/>
  <c r="AB56" i="14"/>
  <c r="AK52" i="16"/>
  <c r="AL52" i="16" s="1"/>
  <c r="AM52" i="16" s="1"/>
  <c r="AN52" i="16" s="1"/>
  <c r="AO52" i="16" s="1"/>
  <c r="AP52" i="16" s="1"/>
  <c r="AQ52" i="16" s="1"/>
  <c r="AR52" i="16" s="1"/>
  <c r="AS52" i="16" s="1"/>
  <c r="AT52" i="16" s="1"/>
  <c r="AU52" i="16" s="1"/>
  <c r="AV52" i="16" s="1"/>
  <c r="AW52" i="16" s="1"/>
  <c r="AX52" i="16" s="1"/>
  <c r="AY52" i="16" s="1"/>
  <c r="AZ52" i="16" s="1"/>
  <c r="BA52" i="16" s="1"/>
  <c r="AS64" i="18"/>
  <c r="AT64" i="18" s="1"/>
  <c r="AU64" i="18" s="1"/>
  <c r="AV64" i="18" s="1"/>
  <c r="AW64" i="18" s="1"/>
  <c r="AX64" i="18" s="1"/>
  <c r="AY64" i="18" s="1"/>
  <c r="AZ64" i="18" s="1"/>
  <c r="AE47" i="22"/>
  <c r="AF47" i="22" s="1"/>
  <c r="AH60" i="13"/>
  <c r="AI60" i="13" s="1"/>
  <c r="AJ60" i="13" s="1"/>
  <c r="AK60" i="13" s="1"/>
  <c r="AL60" i="13" s="1"/>
  <c r="AM60" i="13" s="1"/>
  <c r="AN60" i="13" s="1"/>
  <c r="AO60" i="13" s="1"/>
  <c r="AP60" i="13" s="1"/>
  <c r="AQ60" i="13" s="1"/>
  <c r="AR60" i="13" s="1"/>
  <c r="AS60" i="13" s="1"/>
  <c r="AT60" i="13" s="1"/>
  <c r="AU60" i="13" s="1"/>
  <c r="AV60" i="13" s="1"/>
  <c r="AW60" i="13" s="1"/>
  <c r="AX60" i="13" s="1"/>
  <c r="AY60" i="13" s="1"/>
  <c r="AZ60" i="13" s="1"/>
  <c r="BA60" i="13" s="1"/>
  <c r="AE113" i="18"/>
  <c r="AF113" i="18" s="1"/>
  <c r="AE55" i="15"/>
  <c r="AF56" i="19"/>
  <c r="AJ54" i="13"/>
  <c r="AK54" i="13" s="1"/>
  <c r="AL54" i="13" s="1"/>
  <c r="AM54" i="13" s="1"/>
  <c r="AN54" i="13" s="1"/>
  <c r="AO54" i="13" s="1"/>
  <c r="AP54" i="13" s="1"/>
  <c r="AQ54" i="13" s="1"/>
  <c r="AR54" i="13" s="1"/>
  <c r="AS54" i="13" s="1"/>
  <c r="AT54" i="13" s="1"/>
  <c r="AU54" i="13" s="1"/>
  <c r="AV54" i="13" s="1"/>
  <c r="AW54" i="13" s="1"/>
  <c r="AX54" i="13" s="1"/>
  <c r="AY54" i="13" s="1"/>
  <c r="AZ54" i="13" s="1"/>
  <c r="BA54" i="13" s="1"/>
  <c r="M2450" i="6"/>
  <c r="M2449" i="6"/>
  <c r="N16" i="5"/>
  <c r="AP66" i="22"/>
  <c r="AQ66" i="22" s="1"/>
  <c r="AR66" i="22" s="1"/>
  <c r="AS66" i="22" s="1"/>
  <c r="AT66" i="22" s="1"/>
  <c r="AU66" i="22" s="1"/>
  <c r="AV66" i="22" s="1"/>
  <c r="AW66" i="22" s="1"/>
  <c r="AX66" i="22" s="1"/>
  <c r="AY66" i="22" s="1"/>
  <c r="AZ66" i="22" s="1"/>
  <c r="AH77" i="21"/>
  <c r="AF52" i="19"/>
  <c r="AG52" i="19" s="1"/>
  <c r="AH52" i="19" s="1"/>
  <c r="AI52" i="19" s="1"/>
  <c r="AJ52" i="19" s="1"/>
  <c r="AK52" i="19" s="1"/>
  <c r="AL52" i="19" s="1"/>
  <c r="AM52" i="19" s="1"/>
  <c r="AN52" i="19" s="1"/>
  <c r="AO52" i="19" s="1"/>
  <c r="AP52" i="19" s="1"/>
  <c r="AQ52" i="19" s="1"/>
  <c r="AR52" i="19" s="1"/>
  <c r="AS52" i="19" s="1"/>
  <c r="AT52" i="19" s="1"/>
  <c r="AU52" i="19" s="1"/>
  <c r="AV52" i="19" s="1"/>
  <c r="AW52" i="19" s="1"/>
  <c r="AK61" i="20"/>
  <c r="AL61" i="20" s="1"/>
  <c r="AM61" i="20" s="1"/>
  <c r="AN61" i="20" s="1"/>
  <c r="AO61" i="20" s="1"/>
  <c r="AP61" i="20" s="1"/>
  <c r="AQ61" i="20" s="1"/>
  <c r="AR61" i="20" s="1"/>
  <c r="AS61" i="20" s="1"/>
  <c r="AT61" i="20" s="1"/>
  <c r="AU61" i="20" s="1"/>
  <c r="AV61" i="20" s="1"/>
  <c r="AW61" i="20" s="1"/>
  <c r="AX61" i="20" s="1"/>
  <c r="AY61" i="20" s="1"/>
  <c r="AZ61" i="20" s="1"/>
  <c r="BA61" i="20" s="1"/>
  <c r="AM26" i="7"/>
  <c r="AN23" i="7"/>
  <c r="Q1562" i="6"/>
  <c r="AF174" i="14"/>
  <c r="AD36" i="21"/>
  <c r="AI154" i="18"/>
  <c r="AJ154" i="18" s="1"/>
  <c r="AK154" i="18" s="1"/>
  <c r="AL154" i="18" s="1"/>
  <c r="AM154" i="18" s="1"/>
  <c r="AN154" i="18" s="1"/>
  <c r="AO154" i="18" s="1"/>
  <c r="AP154" i="18" s="1"/>
  <c r="AQ154" i="18" s="1"/>
  <c r="AR154" i="18" s="1"/>
  <c r="AS154" i="18" s="1"/>
  <c r="AT154" i="18" s="1"/>
  <c r="AU154" i="18" s="1"/>
  <c r="AV154" i="18" s="1"/>
  <c r="AW154" i="18" s="1"/>
  <c r="AX154" i="18" s="1"/>
  <c r="AY154" i="18" s="1"/>
  <c r="AZ154" i="18" s="1"/>
  <c r="AG108" i="14"/>
  <c r="AH108" i="14" s="1"/>
  <c r="AI108" i="14" s="1"/>
  <c r="AJ108" i="14" s="1"/>
  <c r="AK108" i="14" s="1"/>
  <c r="AL108" i="14" s="1"/>
  <c r="AM108" i="14" s="1"/>
  <c r="AN108" i="14" s="1"/>
  <c r="AO108" i="14" s="1"/>
  <c r="AP108" i="14" s="1"/>
  <c r="AQ108" i="14" s="1"/>
  <c r="AR108" i="14" s="1"/>
  <c r="AS108" i="14" s="1"/>
  <c r="AT108" i="14" s="1"/>
  <c r="AU108" i="14" s="1"/>
  <c r="AV108" i="14" s="1"/>
  <c r="AW108" i="14" s="1"/>
  <c r="AX108" i="14" s="1"/>
  <c r="AY108" i="14" s="1"/>
  <c r="AZ108" i="14" s="1"/>
  <c r="BA108" i="14" s="1"/>
  <c r="AQ86" i="21"/>
  <c r="AR86" i="21" s="1"/>
  <c r="AS86" i="21" s="1"/>
  <c r="AT86" i="21" s="1"/>
  <c r="AN49" i="18"/>
  <c r="AO49" i="18" s="1"/>
  <c r="AP49" i="18" s="1"/>
  <c r="AQ49" i="18" s="1"/>
  <c r="AR49" i="18" s="1"/>
  <c r="AS49" i="18" s="1"/>
  <c r="AT49" i="18" s="1"/>
  <c r="AU49" i="18" s="1"/>
  <c r="AV49" i="18" s="1"/>
  <c r="AW49" i="18" s="1"/>
  <c r="AX49" i="18" s="1"/>
  <c r="AY49" i="18" s="1"/>
  <c r="AZ49" i="18" s="1"/>
  <c r="BA49" i="18" s="1"/>
  <c r="AG60" i="19"/>
  <c r="AW85" i="18"/>
  <c r="AX85" i="18" s="1"/>
  <c r="AY85" i="18" s="1"/>
  <c r="AZ85" i="18" s="1"/>
  <c r="AH170" i="14"/>
  <c r="AI170" i="14"/>
  <c r="AJ170" i="14" s="1"/>
  <c r="P17" i="18"/>
  <c r="R1332" i="6"/>
  <c r="AE150" i="18"/>
  <c r="AK124" i="18"/>
  <c r="AL124" i="18" s="1"/>
  <c r="AM124" i="18" s="1"/>
  <c r="AN124" i="18" s="1"/>
  <c r="AO124" i="18" s="1"/>
  <c r="AP124" i="18" s="1"/>
  <c r="AQ124" i="18" s="1"/>
  <c r="AR124" i="18" s="1"/>
  <c r="AS124" i="18" s="1"/>
  <c r="AT124" i="18" s="1"/>
  <c r="AU124" i="18" s="1"/>
  <c r="AV124" i="18" s="1"/>
  <c r="AW124" i="18" s="1"/>
  <c r="AX124" i="18" s="1"/>
  <c r="AY124" i="18" s="1"/>
  <c r="AZ124" i="18" s="1"/>
  <c r="AI151" i="18"/>
  <c r="AJ151" i="18" s="1"/>
  <c r="AK151" i="18" s="1"/>
  <c r="AL151" i="18" s="1"/>
  <c r="AO52" i="22"/>
  <c r="AP52" i="22" s="1"/>
  <c r="AQ52" i="22" s="1"/>
  <c r="AJ52" i="22"/>
  <c r="AK52" i="22" s="1"/>
  <c r="AL52" i="22" s="1"/>
  <c r="AM52" i="22" s="1"/>
  <c r="AN52" i="22" s="1"/>
  <c r="AR52" i="22"/>
  <c r="AS52" i="22" s="1"/>
  <c r="AT52" i="22" s="1"/>
  <c r="AU52" i="22" s="1"/>
  <c r="AV52" i="22" s="1"/>
  <c r="AW52" i="22" s="1"/>
  <c r="AF105" i="13"/>
  <c r="AI78" i="20"/>
  <c r="AN192" i="14"/>
  <c r="AC44" i="17"/>
  <c r="AG46" i="17"/>
  <c r="AA71" i="9"/>
  <c r="AA72" i="9"/>
  <c r="AB2838" i="6"/>
  <c r="AG81" i="18"/>
  <c r="AM73" i="13"/>
  <c r="AN73" i="13" s="1"/>
  <c r="AO73" i="13" s="1"/>
  <c r="AP73" i="13" s="1"/>
  <c r="AQ73" i="13" s="1"/>
  <c r="AR73" i="13" s="1"/>
  <c r="AS73" i="13" s="1"/>
  <c r="AT73" i="13" s="1"/>
  <c r="AU73" i="13" s="1"/>
  <c r="AV73" i="13" s="1"/>
  <c r="AW73" i="13" s="1"/>
  <c r="AX73" i="13" s="1"/>
  <c r="AY73" i="13" s="1"/>
  <c r="AZ73" i="13" s="1"/>
  <c r="BA73" i="13" s="1"/>
  <c r="AL73" i="13"/>
  <c r="AN59" i="18"/>
  <c r="AO59" i="18" s="1"/>
  <c r="AP59" i="18" s="1"/>
  <c r="AQ59" i="18" s="1"/>
  <c r="AR59" i="18" s="1"/>
  <c r="AS59" i="18" s="1"/>
  <c r="AT59" i="18" s="1"/>
  <c r="AU59" i="18" s="1"/>
  <c r="AV59" i="18" s="1"/>
  <c r="AW59" i="18" s="1"/>
  <c r="AX59" i="18" s="1"/>
  <c r="AY59" i="18" s="1"/>
  <c r="AZ59" i="18" s="1"/>
  <c r="BA59" i="18" s="1"/>
  <c r="AG124" i="22"/>
  <c r="AH124" i="22" s="1"/>
  <c r="AI124" i="22" s="1"/>
  <c r="AJ124" i="22" s="1"/>
  <c r="AK124" i="22" s="1"/>
  <c r="AL124" i="22" s="1"/>
  <c r="AM124" i="22" s="1"/>
  <c r="AN124" i="22" s="1"/>
  <c r="AO124" i="22" s="1"/>
  <c r="AP124" i="22" s="1"/>
  <c r="AQ124" i="22" s="1"/>
  <c r="AR124" i="22" s="1"/>
  <c r="AS124" i="22" s="1"/>
  <c r="AT124" i="22" s="1"/>
  <c r="AU124" i="22" s="1"/>
  <c r="AV124" i="22" s="1"/>
  <c r="AW124" i="22" s="1"/>
  <c r="AX124" i="22" s="1"/>
  <c r="AY124" i="22" s="1"/>
  <c r="AZ124" i="22" s="1"/>
  <c r="AG79" i="22"/>
  <c r="AH79" i="22"/>
  <c r="AI79" i="22" s="1"/>
  <c r="AJ79" i="22" s="1"/>
  <c r="AE68" i="17"/>
  <c r="AE161" i="18"/>
  <c r="AE118" i="13"/>
  <c r="AQ139" i="14"/>
  <c r="AR139" i="14" s="1"/>
  <c r="AS139" i="14" s="1"/>
  <c r="AT139" i="14" s="1"/>
  <c r="AU139" i="14" s="1"/>
  <c r="AV139" i="14" s="1"/>
  <c r="AW139" i="14" s="1"/>
  <c r="AX139" i="14" s="1"/>
  <c r="AY139" i="14" s="1"/>
  <c r="AZ139" i="14" s="1"/>
  <c r="BA139" i="14" s="1"/>
  <c r="AG140" i="14"/>
  <c r="AH140" i="14" s="1"/>
  <c r="AI140" i="14" s="1"/>
  <c r="AJ140" i="14" s="1"/>
  <c r="AK140" i="14" s="1"/>
  <c r="AL140" i="14" s="1"/>
  <c r="AM140" i="14" s="1"/>
  <c r="AN140" i="14" s="1"/>
  <c r="AO140" i="14" s="1"/>
  <c r="AP140" i="14" s="1"/>
  <c r="AQ140" i="14" s="1"/>
  <c r="AR140" i="14" s="1"/>
  <c r="AS140" i="14" s="1"/>
  <c r="AT140" i="14" s="1"/>
  <c r="AU140" i="14" s="1"/>
  <c r="AV140" i="14" s="1"/>
  <c r="AW140" i="14" s="1"/>
  <c r="AX140" i="14" s="1"/>
  <c r="AY140" i="14" s="1"/>
  <c r="AZ140" i="14" s="1"/>
  <c r="BA140" i="14" s="1"/>
  <c r="AM104" i="13"/>
  <c r="AN104" i="13" s="1"/>
  <c r="AO104" i="13" s="1"/>
  <c r="AP104" i="13" s="1"/>
  <c r="AQ104" i="13" s="1"/>
  <c r="AG72" i="13"/>
  <c r="AD71" i="14"/>
  <c r="AG39" i="19"/>
  <c r="AO53" i="22"/>
  <c r="AP53" i="22" s="1"/>
  <c r="AQ53" i="22" s="1"/>
  <c r="AR53" i="22" s="1"/>
  <c r="AS53" i="22" s="1"/>
  <c r="AT53" i="22" s="1"/>
  <c r="AU53" i="22" s="1"/>
  <c r="AV53" i="22" s="1"/>
  <c r="AW53" i="22" s="1"/>
  <c r="AX53" i="22" s="1"/>
  <c r="AY53" i="22" s="1"/>
  <c r="AZ53" i="22" s="1"/>
  <c r="BA53" i="22" s="1"/>
  <c r="AK68" i="15"/>
  <c r="AL68" i="15" s="1"/>
  <c r="AM68" i="15" s="1"/>
  <c r="AN68" i="15" s="1"/>
  <c r="AO68" i="15" s="1"/>
  <c r="AP68" i="15" s="1"/>
  <c r="AQ68" i="15" s="1"/>
  <c r="AR68" i="15" s="1"/>
  <c r="AS68" i="15" s="1"/>
  <c r="AT68" i="15" s="1"/>
  <c r="AU68" i="15" s="1"/>
  <c r="AV68" i="15" s="1"/>
  <c r="AW68" i="15" s="1"/>
  <c r="AX68" i="15" s="1"/>
  <c r="AY68" i="15" s="1"/>
  <c r="AZ68" i="15" s="1"/>
  <c r="BA68" i="15" s="1"/>
  <c r="AI62" i="16"/>
  <c r="AJ62" i="16" s="1"/>
  <c r="AK62" i="16" s="1"/>
  <c r="AL62" i="16" s="1"/>
  <c r="AM62" i="16" s="1"/>
  <c r="AN62" i="16" s="1"/>
  <c r="AO62" i="16" s="1"/>
  <c r="AP62" i="16" s="1"/>
  <c r="AQ62" i="16" s="1"/>
  <c r="AR62" i="16" s="1"/>
  <c r="AS62" i="16" s="1"/>
  <c r="AT62" i="16" s="1"/>
  <c r="AU62" i="16" s="1"/>
  <c r="AV62" i="16" s="1"/>
  <c r="AW62" i="16" s="1"/>
  <c r="AX62" i="16" s="1"/>
  <c r="AY62" i="16" s="1"/>
  <c r="AZ62" i="16" s="1"/>
  <c r="BA62" i="16" s="1"/>
  <c r="AG94" i="18"/>
  <c r="AD123" i="18"/>
  <c r="AM75" i="20"/>
  <c r="AN75" i="20" s="1"/>
  <c r="AO75" i="20" s="1"/>
  <c r="AP75" i="20" s="1"/>
  <c r="AQ75" i="20" s="1"/>
  <c r="AR75" i="20" s="1"/>
  <c r="AS75" i="20" s="1"/>
  <c r="AT75" i="20" s="1"/>
  <c r="AU75" i="20" s="1"/>
  <c r="AV75" i="20" s="1"/>
  <c r="AW75" i="20" s="1"/>
  <c r="AL75" i="20"/>
  <c r="AX75" i="20" s="1"/>
  <c r="AY75" i="20" s="1"/>
  <c r="AZ75" i="20" s="1"/>
  <c r="AE68" i="14"/>
  <c r="AF68" i="14" s="1"/>
  <c r="AG68" i="14" s="1"/>
  <c r="AH68" i="14" s="1"/>
  <c r="AI68" i="14" s="1"/>
  <c r="AJ68" i="14" s="1"/>
  <c r="AK68" i="14" s="1"/>
  <c r="AL68" i="14" s="1"/>
  <c r="AI205" i="14"/>
  <c r="AJ205" i="14" s="1"/>
  <c r="AK205" i="14" s="1"/>
  <c r="AL205" i="14" s="1"/>
  <c r="AM205" i="14" s="1"/>
  <c r="AN205" i="14" s="1"/>
  <c r="AO205" i="14" s="1"/>
  <c r="AP205" i="14" s="1"/>
  <c r="AQ205" i="14" s="1"/>
  <c r="AR205" i="14" s="1"/>
  <c r="AS205" i="14" s="1"/>
  <c r="AT205" i="14" s="1"/>
  <c r="AH127" i="18"/>
  <c r="AS149" i="14"/>
  <c r="AT149" i="14" s="1"/>
  <c r="AU149" i="14" s="1"/>
  <c r="AV149" i="14" s="1"/>
  <c r="AW149" i="14" s="1"/>
  <c r="AX149" i="14" s="1"/>
  <c r="AY149" i="14" s="1"/>
  <c r="AZ149" i="14" s="1"/>
  <c r="BA149" i="14" s="1"/>
  <c r="AQ95" i="14"/>
  <c r="AR95" i="14" s="1"/>
  <c r="AS95" i="14" s="1"/>
  <c r="AT95" i="14" s="1"/>
  <c r="AU95" i="14" s="1"/>
  <c r="AV95" i="14" s="1"/>
  <c r="AW95" i="14" s="1"/>
  <c r="AX95" i="14" s="1"/>
  <c r="AY95" i="14" s="1"/>
  <c r="AZ95" i="14" s="1"/>
  <c r="BA95" i="14" s="1"/>
  <c r="AG95" i="14"/>
  <c r="AH95" i="14" s="1"/>
  <c r="AI95" i="14" s="1"/>
  <c r="AJ95" i="14" s="1"/>
  <c r="AK95" i="14" s="1"/>
  <c r="AE75" i="18"/>
  <c r="AL95" i="14"/>
  <c r="AM95" i="14" s="1"/>
  <c r="AN95" i="14" s="1"/>
  <c r="AO95" i="14" s="1"/>
  <c r="AP95" i="14" s="1"/>
  <c r="AN62" i="18"/>
  <c r="AO62" i="18" s="1"/>
  <c r="AP62" i="18" s="1"/>
  <c r="AQ62" i="18" s="1"/>
  <c r="AR62" i="18" s="1"/>
  <c r="AS62" i="18" s="1"/>
  <c r="AT62" i="18" s="1"/>
  <c r="AU62" i="18" s="1"/>
  <c r="AV62" i="18" s="1"/>
  <c r="AW62" i="18" s="1"/>
  <c r="AX62" i="18" s="1"/>
  <c r="AY62" i="18" s="1"/>
  <c r="AZ62" i="18" s="1"/>
  <c r="BA62" i="18" s="1"/>
  <c r="AI139" i="14"/>
  <c r="AJ139" i="14" s="1"/>
  <c r="AK139" i="14" s="1"/>
  <c r="AL139" i="14" s="1"/>
  <c r="AM139" i="14" s="1"/>
  <c r="AN139" i="14" s="1"/>
  <c r="AO139" i="14" s="1"/>
  <c r="AP139" i="14" s="1"/>
  <c r="AH204" i="14"/>
  <c r="AH50" i="19"/>
  <c r="AG38" i="21"/>
  <c r="AG98" i="14"/>
  <c r="AF48" i="16"/>
  <c r="AI60" i="22"/>
  <c r="AH56" i="16"/>
  <c r="AI56" i="16" s="1"/>
  <c r="AJ56" i="16" s="1"/>
  <c r="AK56" i="16" s="1"/>
  <c r="AL56" i="16" s="1"/>
  <c r="AM56" i="16" s="1"/>
  <c r="AN56" i="16" s="1"/>
  <c r="AR39" i="22"/>
  <c r="AS39" i="22" s="1"/>
  <c r="AT39" i="22" s="1"/>
  <c r="AU39" i="22" s="1"/>
  <c r="AV39" i="22" s="1"/>
  <c r="AW39" i="22" s="1"/>
  <c r="AX39" i="22" s="1"/>
  <c r="AY39" i="22" s="1"/>
  <c r="AZ39" i="22" s="1"/>
  <c r="BA39" i="22" s="1"/>
  <c r="AB62" i="12"/>
  <c r="AC247" i="6" s="1"/>
  <c r="AI60" i="18"/>
  <c r="AJ60" i="18" s="1"/>
  <c r="AK60" i="18" s="1"/>
  <c r="AL60" i="18" s="1"/>
  <c r="AM60" i="18" s="1"/>
  <c r="AN60" i="18" s="1"/>
  <c r="AO60" i="18" s="1"/>
  <c r="AP60" i="18" s="1"/>
  <c r="AQ60" i="18" s="1"/>
  <c r="AR60" i="18" s="1"/>
  <c r="AS60" i="18" s="1"/>
  <c r="AT60" i="18" s="1"/>
  <c r="AG76" i="21"/>
  <c r="AN81" i="20"/>
  <c r="AO81" i="20"/>
  <c r="AP81" i="20" s="1"/>
  <c r="AQ81" i="20" s="1"/>
  <c r="AR81" i="20" s="1"/>
  <c r="AS81" i="20" s="1"/>
  <c r="AT81" i="20" s="1"/>
  <c r="AU81" i="20" s="1"/>
  <c r="AV81" i="20" s="1"/>
  <c r="AW81" i="20" s="1"/>
  <c r="AX81" i="20" s="1"/>
  <c r="AY81" i="20" s="1"/>
  <c r="AZ81" i="20" s="1"/>
  <c r="AF113" i="14"/>
  <c r="AG113" i="14" s="1"/>
  <c r="AH113" i="14" s="1"/>
  <c r="O38" i="23"/>
  <c r="O31" i="22"/>
  <c r="O31" i="19"/>
  <c r="O31" i="21"/>
  <c r="O31" i="20"/>
  <c r="O31" i="18"/>
  <c r="O36" i="17"/>
  <c r="O33" i="15"/>
  <c r="O41" i="16"/>
  <c r="O48" i="14"/>
  <c r="O40" i="13"/>
  <c r="N6" i="7"/>
  <c r="AL110" i="22"/>
  <c r="X24" i="9"/>
  <c r="AI155" i="18"/>
  <c r="AN100" i="18"/>
  <c r="AI72" i="20"/>
  <c r="Q937" i="6"/>
  <c r="Q938" i="6"/>
  <c r="AG44" i="21"/>
  <c r="AG42" i="19"/>
  <c r="AI92" i="21"/>
  <c r="AH46" i="18"/>
  <c r="AJ50" i="21"/>
  <c r="AH90" i="14"/>
  <c r="AI90" i="14" s="1"/>
  <c r="AJ90" i="14" s="1"/>
  <c r="AK90" i="14" s="1"/>
  <c r="AE97" i="21"/>
  <c r="AF97" i="22"/>
  <c r="AG97" i="22" s="1"/>
  <c r="AH97" i="22" s="1"/>
  <c r="AI97" i="22" s="1"/>
  <c r="AJ97" i="22" s="1"/>
  <c r="AK97" i="22" s="1"/>
  <c r="AG55" i="19"/>
  <c r="AE184" i="14"/>
  <c r="AN89" i="18"/>
  <c r="AO89" i="18" s="1"/>
  <c r="AH159" i="14"/>
  <c r="AI159" i="14" s="1"/>
  <c r="AJ159" i="14" s="1"/>
  <c r="AK159" i="14" s="1"/>
  <c r="AL159" i="14" s="1"/>
  <c r="AM159" i="14" s="1"/>
  <c r="AN159" i="14" s="1"/>
  <c r="AO159" i="14" s="1"/>
  <c r="AP159" i="14" s="1"/>
  <c r="AQ159" i="14" s="1"/>
  <c r="AR159" i="14" s="1"/>
  <c r="AS159" i="14" s="1"/>
  <c r="AT159" i="14" s="1"/>
  <c r="AU159" i="14" s="1"/>
  <c r="AV159" i="14" s="1"/>
  <c r="AW159" i="14" s="1"/>
  <c r="AX159" i="14" s="1"/>
  <c r="AY159" i="14" s="1"/>
  <c r="AZ159" i="14" s="1"/>
  <c r="BA159" i="14" s="1"/>
  <c r="AM54" i="21"/>
  <c r="AN54" i="21"/>
  <c r="AO54" i="21" s="1"/>
  <c r="AP54" i="21" s="1"/>
  <c r="AQ54" i="21" s="1"/>
  <c r="AR54" i="21" s="1"/>
  <c r="AS54" i="21" s="1"/>
  <c r="AT54" i="21" s="1"/>
  <c r="AU54" i="21" s="1"/>
  <c r="AV54" i="21" s="1"/>
  <c r="AW54" i="21" s="1"/>
  <c r="AX54" i="21" s="1"/>
  <c r="AY54" i="21" s="1"/>
  <c r="AZ54" i="21" s="1"/>
  <c r="BA54" i="21" s="1"/>
  <c r="AG66" i="18"/>
  <c r="AH66" i="18" s="1"/>
  <c r="AI66" i="18" s="1"/>
  <c r="AJ66" i="18" s="1"/>
  <c r="AK66" i="18" s="1"/>
  <c r="AL66" i="18" s="1"/>
  <c r="AM66" i="18" s="1"/>
  <c r="AN66" i="18" s="1"/>
  <c r="AO66" i="18" s="1"/>
  <c r="AP66" i="18" s="1"/>
  <c r="AQ66" i="18" s="1"/>
  <c r="AR66" i="18" s="1"/>
  <c r="AS66" i="18" s="1"/>
  <c r="AT66" i="18" s="1"/>
  <c r="AU66" i="18" s="1"/>
  <c r="AV66" i="18" s="1"/>
  <c r="AW66" i="18" s="1"/>
  <c r="AX66" i="18" s="1"/>
  <c r="AY66" i="18" s="1"/>
  <c r="AZ66" i="18" s="1"/>
  <c r="AE76" i="18"/>
  <c r="AF58" i="16"/>
  <c r="AR142" i="14"/>
  <c r="AS142" i="14" s="1"/>
  <c r="AT142" i="14" s="1"/>
  <c r="AU142" i="14" s="1"/>
  <c r="AV142" i="14" s="1"/>
  <c r="AW142" i="14" s="1"/>
  <c r="AX142" i="14" s="1"/>
  <c r="AY142" i="14" s="1"/>
  <c r="AZ142" i="14" s="1"/>
  <c r="BA142" i="14" s="1"/>
  <c r="AD47" i="23"/>
  <c r="AM57" i="20"/>
  <c r="AN57" i="20" s="1"/>
  <c r="AO57" i="20" s="1"/>
  <c r="AP57" i="20" s="1"/>
  <c r="AQ57" i="20" s="1"/>
  <c r="AR57" i="20" s="1"/>
  <c r="AS57" i="20" s="1"/>
  <c r="AT57" i="20" s="1"/>
  <c r="AU57" i="20" s="1"/>
  <c r="AV57" i="20" s="1"/>
  <c r="AW57" i="20" s="1"/>
  <c r="AX57" i="20" s="1"/>
  <c r="AY57" i="20" s="1"/>
  <c r="AZ57" i="20" s="1"/>
  <c r="BA57" i="20" s="1"/>
  <c r="AR67" i="17"/>
  <c r="AS67" i="17" s="1"/>
  <c r="AT67" i="17" s="1"/>
  <c r="AU67" i="17" s="1"/>
  <c r="AV67" i="17" s="1"/>
  <c r="AW67" i="17" s="1"/>
  <c r="AX67" i="17" s="1"/>
  <c r="AY67" i="17" s="1"/>
  <c r="AZ67" i="17" s="1"/>
  <c r="BA67" i="17" s="1"/>
  <c r="AJ78" i="22"/>
  <c r="AF71" i="21"/>
  <c r="AG71" i="21" s="1"/>
  <c r="AH71" i="21" s="1"/>
  <c r="AI71" i="21" s="1"/>
  <c r="AH56" i="22"/>
  <c r="AO76" i="13"/>
  <c r="AP76" i="13" s="1"/>
  <c r="AQ76" i="13" s="1"/>
  <c r="AR76" i="13" s="1"/>
  <c r="AS76" i="13" s="1"/>
  <c r="AT76" i="13" s="1"/>
  <c r="AU76" i="13" s="1"/>
  <c r="AV76" i="13" s="1"/>
  <c r="AW76" i="13" s="1"/>
  <c r="AX76" i="13" s="1"/>
  <c r="AY76" i="13" s="1"/>
  <c r="AZ76" i="13" s="1"/>
  <c r="BA76" i="13" s="1"/>
  <c r="AD17" i="22"/>
  <c r="AG91" i="14"/>
  <c r="AH91" i="14" s="1"/>
  <c r="AI91" i="14" s="1"/>
  <c r="AJ91" i="14" s="1"/>
  <c r="AK91" i="14" s="1"/>
  <c r="AF59" i="13"/>
  <c r="AG59" i="13"/>
  <c r="AH59" i="13" s="1"/>
  <c r="AI59" i="13" s="1"/>
  <c r="AJ59" i="13" s="1"/>
  <c r="AK59" i="13" s="1"/>
  <c r="AL59" i="13" s="1"/>
  <c r="AM59" i="13" s="1"/>
  <c r="AN59" i="13" s="1"/>
  <c r="AO59" i="13" s="1"/>
  <c r="AP59" i="13" s="1"/>
  <c r="AQ59" i="13" s="1"/>
  <c r="AR59" i="13" s="1"/>
  <c r="AS59" i="13" s="1"/>
  <c r="AT59" i="13" s="1"/>
  <c r="AU59" i="13" s="1"/>
  <c r="AV59" i="13" s="1"/>
  <c r="AW59" i="13" s="1"/>
  <c r="AX59" i="13" s="1"/>
  <c r="AY59" i="13" s="1"/>
  <c r="AZ59" i="13" s="1"/>
  <c r="BA59" i="13" s="1"/>
  <c r="AK110" i="14"/>
  <c r="AL110" i="14" s="1"/>
  <c r="AM110" i="14" s="1"/>
  <c r="AN110" i="14" s="1"/>
  <c r="AO110" i="14" s="1"/>
  <c r="AP110" i="14" s="1"/>
  <c r="AQ110" i="14" s="1"/>
  <c r="AR110" i="14" s="1"/>
  <c r="AS110" i="14" s="1"/>
  <c r="AT110" i="14" s="1"/>
  <c r="AU110" i="14" s="1"/>
  <c r="AV110" i="14" s="1"/>
  <c r="AW110" i="14" s="1"/>
  <c r="AX110" i="14" s="1"/>
  <c r="AY110" i="14" s="1"/>
  <c r="AZ110" i="14" s="1"/>
  <c r="BA110" i="14" s="1"/>
  <c r="AJ50" i="17"/>
  <c r="AR380" i="6"/>
  <c r="AN380" i="6"/>
  <c r="AJ380" i="6"/>
  <c r="AF380" i="6"/>
  <c r="AB380" i="6"/>
  <c r="AQ380" i="6"/>
  <c r="AM380" i="6"/>
  <c r="AI380" i="6"/>
  <c r="AE380" i="6"/>
  <c r="AA380" i="6"/>
  <c r="Z249" i="6"/>
  <c r="AA29" i="5"/>
  <c r="AS380" i="6"/>
  <c r="AK380" i="6"/>
  <c r="AC380" i="6"/>
  <c r="AT380" i="6"/>
  <c r="AP380" i="6"/>
  <c r="AL380" i="6"/>
  <c r="AH380" i="6"/>
  <c r="AD380" i="6"/>
  <c r="Z380" i="6"/>
  <c r="Z250" i="6"/>
  <c r="AO380" i="6"/>
  <c r="AG380" i="6"/>
  <c r="AG41" i="21"/>
  <c r="AG207" i="14"/>
  <c r="AH207" i="14" s="1"/>
  <c r="AI207" i="14" s="1"/>
  <c r="AJ207" i="14" s="1"/>
  <c r="AK207" i="14" s="1"/>
  <c r="AL207" i="14" s="1"/>
  <c r="AM207" i="14" s="1"/>
  <c r="AN207" i="14" s="1"/>
  <c r="AO207" i="14" s="1"/>
  <c r="AP207" i="14" s="1"/>
  <c r="AQ207" i="14" s="1"/>
  <c r="AR207" i="14" s="1"/>
  <c r="AS207" i="14" s="1"/>
  <c r="AT207" i="14" s="1"/>
  <c r="AU207" i="14" s="1"/>
  <c r="AV207" i="14" s="1"/>
  <c r="AW207" i="14" s="1"/>
  <c r="AX207" i="14" s="1"/>
  <c r="AY207" i="14" s="1"/>
  <c r="AZ207" i="14" s="1"/>
  <c r="BA207" i="14" s="1"/>
  <c r="AK65" i="14"/>
  <c r="AL65" i="14" s="1"/>
  <c r="AM65" i="14" s="1"/>
  <c r="AN65" i="14" s="1"/>
  <c r="AO65" i="14" s="1"/>
  <c r="AP65" i="14" s="1"/>
  <c r="AQ65" i="14" s="1"/>
  <c r="AR65" i="14" s="1"/>
  <c r="AS65" i="14" s="1"/>
  <c r="AT65" i="14" s="1"/>
  <c r="AU65" i="14" s="1"/>
  <c r="AV65" i="14" s="1"/>
  <c r="AW65" i="14" s="1"/>
  <c r="AX65" i="14" s="1"/>
  <c r="AY65" i="14" s="1"/>
  <c r="AZ65" i="14" s="1"/>
  <c r="BA65" i="14" s="1"/>
  <c r="AF64" i="19"/>
  <c r="AG64" i="19" s="1"/>
  <c r="AH64" i="19" s="1"/>
  <c r="AI64" i="19" s="1"/>
  <c r="AJ64" i="19" s="1"/>
  <c r="AK64" i="19" s="1"/>
  <c r="AL64" i="19" s="1"/>
  <c r="AM64" i="19" s="1"/>
  <c r="AN64" i="19" s="1"/>
  <c r="AO64" i="19" s="1"/>
  <c r="AP64" i="19" s="1"/>
  <c r="AQ64" i="19" s="1"/>
  <c r="AR64" i="19" s="1"/>
  <c r="AS64" i="19" s="1"/>
  <c r="AT64" i="19" s="1"/>
  <c r="AU64" i="19" s="1"/>
  <c r="AV64" i="19" s="1"/>
  <c r="AW64" i="19" s="1"/>
  <c r="AX64" i="19" s="1"/>
  <c r="AY64" i="19" s="1"/>
  <c r="AZ64" i="19" s="1"/>
  <c r="AM80" i="20"/>
  <c r="AN80" i="20" s="1"/>
  <c r="AO80" i="20" s="1"/>
  <c r="AP80" i="20" s="1"/>
  <c r="AQ80" i="20" s="1"/>
  <c r="AR80" i="20" s="1"/>
  <c r="AS80" i="20" s="1"/>
  <c r="AT80" i="20" s="1"/>
  <c r="AU80" i="20" s="1"/>
  <c r="AV80" i="20" s="1"/>
  <c r="AW80" i="20" s="1"/>
  <c r="AX80" i="20" s="1"/>
  <c r="AY80" i="20" s="1"/>
  <c r="AZ80" i="20" s="1"/>
  <c r="AX52" i="22"/>
  <c r="AY52" i="22" s="1"/>
  <c r="AZ52" i="22" s="1"/>
  <c r="BA52" i="22" s="1"/>
  <c r="AG115" i="22"/>
  <c r="AH60" i="20"/>
  <c r="AE180" i="14"/>
  <c r="AE50" i="16"/>
  <c r="AF50" i="16" s="1"/>
  <c r="AG50" i="16" s="1"/>
  <c r="AH50" i="16" s="1"/>
  <c r="AI50" i="16" s="1"/>
  <c r="AJ50" i="16" s="1"/>
  <c r="AK50" i="16" s="1"/>
  <c r="AL50" i="16" s="1"/>
  <c r="AM50" i="16" s="1"/>
  <c r="AN50" i="16" s="1"/>
  <c r="AO50" i="16" s="1"/>
  <c r="AP50" i="16" s="1"/>
  <c r="AQ50" i="16" s="1"/>
  <c r="AR50" i="16" s="1"/>
  <c r="AS50" i="16" s="1"/>
  <c r="AT50" i="16" s="1"/>
  <c r="AU50" i="16" s="1"/>
  <c r="AV50" i="16" s="1"/>
  <c r="AW50" i="16" s="1"/>
  <c r="AX50" i="16" s="1"/>
  <c r="AY50" i="16" s="1"/>
  <c r="AZ50" i="16" s="1"/>
  <c r="BA50" i="16" s="1"/>
  <c r="AD111" i="14"/>
  <c r="AE111" i="14" s="1"/>
  <c r="AF111" i="14" s="1"/>
  <c r="AG111" i="14" s="1"/>
  <c r="AH111" i="14" s="1"/>
  <c r="AI111" i="14" s="1"/>
  <c r="AJ111" i="14" s="1"/>
  <c r="AK111" i="14" s="1"/>
  <c r="AL110" i="18"/>
  <c r="AM110" i="18" s="1"/>
  <c r="AN110" i="18" s="1"/>
  <c r="AO110" i="18" s="1"/>
  <c r="AP110" i="18" s="1"/>
  <c r="AQ110" i="18" s="1"/>
  <c r="AR110" i="18" s="1"/>
  <c r="AS110" i="18" s="1"/>
  <c r="AT110" i="18" s="1"/>
  <c r="AU110" i="18" s="1"/>
  <c r="AV110" i="18" s="1"/>
  <c r="AW110" i="18" s="1"/>
  <c r="AX110" i="18" s="1"/>
  <c r="AY110" i="18" s="1"/>
  <c r="AZ110" i="18" s="1"/>
  <c r="AF54" i="15"/>
  <c r="AC17" i="18"/>
  <c r="AC1332" i="6"/>
  <c r="AE120" i="22"/>
  <c r="AF120" i="22"/>
  <c r="AW95" i="22"/>
  <c r="AX95" i="22" s="1"/>
  <c r="AY95" i="22" s="1"/>
  <c r="AZ95" i="22" s="1"/>
  <c r="O19" i="17"/>
  <c r="Q1105" i="6"/>
  <c r="AJ45" i="15"/>
  <c r="AK45" i="15" s="1"/>
  <c r="AI125" i="22"/>
  <c r="AJ125" i="22" s="1"/>
  <c r="AK125" i="22" s="1"/>
  <c r="AL125" i="22" s="1"/>
  <c r="AM125" i="22" s="1"/>
  <c r="AN125" i="22" s="1"/>
  <c r="AO125" i="22" s="1"/>
  <c r="AP125" i="22" s="1"/>
  <c r="AQ125" i="22" s="1"/>
  <c r="AR125" i="22" s="1"/>
  <c r="AS125" i="22" s="1"/>
  <c r="AT125" i="22" s="1"/>
  <c r="AU125" i="22" s="1"/>
  <c r="AV125" i="22" s="1"/>
  <c r="AW125" i="22" s="1"/>
  <c r="AX125" i="22" s="1"/>
  <c r="AY125" i="22" s="1"/>
  <c r="AZ125" i="22" s="1"/>
  <c r="AR104" i="13"/>
  <c r="AS104" i="13" s="1"/>
  <c r="AT104" i="13" s="1"/>
  <c r="AU104" i="13" s="1"/>
  <c r="AV104" i="13" s="1"/>
  <c r="AW104" i="13" s="1"/>
  <c r="AX104" i="13" s="1"/>
  <c r="AY104" i="13" s="1"/>
  <c r="AZ104" i="13" s="1"/>
  <c r="BA104" i="13" s="1"/>
  <c r="AI104" i="22"/>
  <c r="AJ86" i="13"/>
  <c r="AK86" i="13" s="1"/>
  <c r="AL86" i="13" s="1"/>
  <c r="AM86" i="13" s="1"/>
  <c r="AN86" i="13" s="1"/>
  <c r="AO86" i="13" s="1"/>
  <c r="AP86" i="13" s="1"/>
  <c r="AQ86" i="13" s="1"/>
  <c r="AR86" i="13" s="1"/>
  <c r="AS86" i="13" s="1"/>
  <c r="AT86" i="13" s="1"/>
  <c r="AU86" i="13" s="1"/>
  <c r="AV86" i="13" s="1"/>
  <c r="AW86" i="13" s="1"/>
  <c r="AX86" i="13" s="1"/>
  <c r="AY86" i="13" s="1"/>
  <c r="AG138" i="14"/>
  <c r="AM49" i="21"/>
  <c r="AN49" i="21"/>
  <c r="AL49" i="21"/>
  <c r="AE99" i="18"/>
  <c r="O17" i="21"/>
  <c r="Q2007" i="6"/>
  <c r="AK57" i="19"/>
  <c r="AL57" i="19" s="1"/>
  <c r="AM57" i="19" s="1"/>
  <c r="AN57" i="19" s="1"/>
  <c r="AO57" i="19" s="1"/>
  <c r="AP57" i="19" s="1"/>
  <c r="AQ57" i="19" s="1"/>
  <c r="AR57" i="19" s="1"/>
  <c r="AS57" i="19" s="1"/>
  <c r="AT57" i="19" s="1"/>
  <c r="AU57" i="19" s="1"/>
  <c r="AV57" i="19" s="1"/>
  <c r="AW57" i="19" s="1"/>
  <c r="AX57" i="19" s="1"/>
  <c r="AY57" i="19" s="1"/>
  <c r="AZ57" i="19" s="1"/>
  <c r="BA57" i="19" s="1"/>
  <c r="AD658" i="6"/>
  <c r="AE653" i="6"/>
  <c r="AD655" i="6"/>
  <c r="AE6" i="5"/>
  <c r="AI136" i="18"/>
  <c r="AJ136" i="18" s="1"/>
  <c r="AK136" i="18" s="1"/>
  <c r="AL136" i="18" s="1"/>
  <c r="AM136" i="18" s="1"/>
  <c r="AN136" i="18" s="1"/>
  <c r="AO136" i="18" s="1"/>
  <c r="AP136" i="18" s="1"/>
  <c r="AQ136" i="18"/>
  <c r="AR136" i="18" s="1"/>
  <c r="AS136" i="18" s="1"/>
  <c r="AT136" i="18" s="1"/>
  <c r="AU136" i="18" s="1"/>
  <c r="AV136" i="18" s="1"/>
  <c r="AW136" i="18" s="1"/>
  <c r="AX136" i="18" s="1"/>
  <c r="AY136" i="18" s="1"/>
  <c r="AZ136" i="18" s="1"/>
  <c r="AE98" i="21"/>
  <c r="AF98" i="21" s="1"/>
  <c r="AG98" i="21" s="1"/>
  <c r="AH98" i="21" s="1"/>
  <c r="AI98" i="21" s="1"/>
  <c r="AJ98" i="21" s="1"/>
  <c r="AK98" i="21" s="1"/>
  <c r="AL98" i="21" s="1"/>
  <c r="AM98" i="21" s="1"/>
  <c r="AN98" i="21" s="1"/>
  <c r="AH57" i="18"/>
  <c r="AV195" i="14"/>
  <c r="AW195" i="14" s="1"/>
  <c r="AX195" i="14" s="1"/>
  <c r="AY195" i="14" s="1"/>
  <c r="AZ195" i="14" s="1"/>
  <c r="BA195" i="14" s="1"/>
  <c r="AK122" i="14"/>
  <c r="AZ56" i="13"/>
  <c r="BA56" i="13" s="1"/>
  <c r="AI94" i="22"/>
  <c r="AJ94" i="22" s="1"/>
  <c r="AK94" i="22" s="1"/>
  <c r="O39" i="23"/>
  <c r="P2451" i="6" s="1"/>
  <c r="O32" i="22"/>
  <c r="P2230" i="6" s="1"/>
  <c r="O32" i="21"/>
  <c r="P2009" i="6" s="1"/>
  <c r="O32" i="19"/>
  <c r="P1559" i="6" s="1"/>
  <c r="O32" i="20"/>
  <c r="P1784" i="6" s="1"/>
  <c r="O32" i="18"/>
  <c r="P1334" i="6" s="1"/>
  <c r="O42" i="16"/>
  <c r="P882" i="6" s="1"/>
  <c r="O34" i="15"/>
  <c r="P657" i="6" s="1"/>
  <c r="O37" i="17"/>
  <c r="P1109" i="6" s="1"/>
  <c r="O49" i="14"/>
  <c r="P420" i="6" s="1"/>
  <c r="O41" i="13"/>
  <c r="P13" i="6" s="1"/>
  <c r="N7" i="7"/>
  <c r="AG148" i="18"/>
  <c r="AF165" i="14"/>
  <c r="AF92" i="22"/>
  <c r="AG92" i="22" s="1"/>
  <c r="AH92" i="22" s="1"/>
  <c r="AI92" i="22" s="1"/>
  <c r="AJ92" i="22" s="1"/>
  <c r="AK92" i="22" s="1"/>
  <c r="AL92" i="22" s="1"/>
  <c r="AM92" i="22" s="1"/>
  <c r="AN92" i="22" s="1"/>
  <c r="AO92" i="22" s="1"/>
  <c r="AP92" i="22" s="1"/>
  <c r="AQ92" i="22" s="1"/>
  <c r="AR92" i="22" s="1"/>
  <c r="AS92" i="22" s="1"/>
  <c r="AT92" i="22" s="1"/>
  <c r="AU92" i="22" s="1"/>
  <c r="AV92" i="22" s="1"/>
  <c r="AW92" i="22" s="1"/>
  <c r="AX92" i="22" s="1"/>
  <c r="AY92" i="22" s="1"/>
  <c r="AZ92" i="22" s="1"/>
  <c r="AG131" i="18"/>
  <c r="AU86" i="21"/>
  <c r="AV86" i="21" s="1"/>
  <c r="AW86" i="21" s="1"/>
  <c r="AX86" i="21" s="1"/>
  <c r="AY86" i="21" s="1"/>
  <c r="AZ86" i="21" s="1"/>
  <c r="AP57" i="16"/>
  <c r="AQ57" i="16" s="1"/>
  <c r="AR57" i="16" s="1"/>
  <c r="AS57" i="16" s="1"/>
  <c r="AT57" i="16" s="1"/>
  <c r="AU57" i="16" s="1"/>
  <c r="AV57" i="16" s="1"/>
  <c r="AW57" i="16" s="1"/>
  <c r="AX57" i="16" s="1"/>
  <c r="AY57" i="16" s="1"/>
  <c r="AZ57" i="16" s="1"/>
  <c r="BA57" i="16" s="1"/>
  <c r="AJ57" i="16"/>
  <c r="AK57" i="16" s="1"/>
  <c r="AL57" i="16" s="1"/>
  <c r="AM57" i="16" s="1"/>
  <c r="AN57" i="16" s="1"/>
  <c r="AO57" i="16" s="1"/>
  <c r="AH101" i="22"/>
  <c r="AG200" i="14"/>
  <c r="AH200" i="14" s="1"/>
  <c r="AI200" i="14" s="1"/>
  <c r="AJ200" i="14" s="1"/>
  <c r="AK200" i="14" s="1"/>
  <c r="AL200" i="14" s="1"/>
  <c r="AM200" i="14" s="1"/>
  <c r="AN200" i="14" s="1"/>
  <c r="AO200" i="14" s="1"/>
  <c r="AP200" i="14" s="1"/>
  <c r="AQ200" i="14" s="1"/>
  <c r="AR200" i="14" s="1"/>
  <c r="AS200" i="14" s="1"/>
  <c r="AT200" i="14" s="1"/>
  <c r="AU200" i="14" s="1"/>
  <c r="AV200" i="14" s="1"/>
  <c r="AW200" i="14" s="1"/>
  <c r="AX200" i="14" s="1"/>
  <c r="AY200" i="14" s="1"/>
  <c r="AZ200" i="14" s="1"/>
  <c r="BA200" i="14" s="1"/>
  <c r="AE76" i="14"/>
  <c r="AG158" i="18"/>
  <c r="AH158" i="18" s="1"/>
  <c r="AI158" i="18" s="1"/>
  <c r="AJ158" i="18" s="1"/>
  <c r="AK158" i="18" s="1"/>
  <c r="AL158" i="18" s="1"/>
  <c r="AM158" i="18" s="1"/>
  <c r="AN158" i="18" s="1"/>
  <c r="AO158" i="18" s="1"/>
  <c r="AP158" i="18" s="1"/>
  <c r="AQ158" i="18" s="1"/>
  <c r="AR158" i="18" s="1"/>
  <c r="AS158" i="18" s="1"/>
  <c r="AT158" i="18" s="1"/>
  <c r="AU158" i="18" s="1"/>
  <c r="AV158" i="18" s="1"/>
  <c r="AW158" i="18" s="1"/>
  <c r="AX158" i="18" s="1"/>
  <c r="AY158" i="18" s="1"/>
  <c r="AZ158" i="18" s="1"/>
  <c r="AE168" i="14"/>
  <c r="AE43" i="19"/>
  <c r="AF103" i="18"/>
  <c r="AG103" i="18" s="1"/>
  <c r="AH103" i="18" s="1"/>
  <c r="AI103" i="18" s="1"/>
  <c r="AJ103" i="18" s="1"/>
  <c r="AK103" i="18" s="1"/>
  <c r="AL103" i="18" s="1"/>
  <c r="AM103" i="18" s="1"/>
  <c r="AN103" i="18" s="1"/>
  <c r="AO103" i="18" s="1"/>
  <c r="AP103" i="18" s="1"/>
  <c r="AQ103" i="18" s="1"/>
  <c r="AR103" i="18" s="1"/>
  <c r="AS103" i="18" s="1"/>
  <c r="AT103" i="18" s="1"/>
  <c r="AU103" i="18" s="1"/>
  <c r="AV103" i="18" s="1"/>
  <c r="AW103" i="18" s="1"/>
  <c r="AX103" i="18" s="1"/>
  <c r="AY103" i="18" s="1"/>
  <c r="AZ103" i="18" s="1"/>
  <c r="AH5" i="9"/>
  <c r="AK121" i="13"/>
  <c r="AL121" i="13" s="1"/>
  <c r="AM121" i="13" s="1"/>
  <c r="AN121" i="13" s="1"/>
  <c r="AQ60" i="14"/>
  <c r="AR60" i="14" s="1"/>
  <c r="AS60" i="14" s="1"/>
  <c r="AT60" i="14" s="1"/>
  <c r="AU60" i="14" s="1"/>
  <c r="AV60" i="14" s="1"/>
  <c r="AW60" i="14" s="1"/>
  <c r="AX60" i="14" s="1"/>
  <c r="AY60" i="14" s="1"/>
  <c r="AZ60" i="14" s="1"/>
  <c r="BA60" i="14" s="1"/>
  <c r="N2" i="21"/>
  <c r="AE2187" i="6"/>
  <c r="AA2187" i="6"/>
  <c r="W2187" i="6"/>
  <c r="S2187" i="6"/>
  <c r="AD2135" i="6"/>
  <c r="Z2135" i="6"/>
  <c r="V2135" i="6"/>
  <c r="AG2083" i="6"/>
  <c r="AC2083" i="6"/>
  <c r="Y2083" i="6"/>
  <c r="U2083" i="6"/>
  <c r="AH2187" i="6"/>
  <c r="AD2187" i="6"/>
  <c r="Z2187" i="6"/>
  <c r="V2187" i="6"/>
  <c r="AG2135" i="6"/>
  <c r="AC2135" i="6"/>
  <c r="Y2135" i="6"/>
  <c r="U2135" i="6"/>
  <c r="AF2083" i="6"/>
  <c r="AB2083" i="6"/>
  <c r="X2083" i="6"/>
  <c r="T2083" i="6"/>
  <c r="P2028" i="6"/>
  <c r="AG2187" i="6"/>
  <c r="AC2187" i="6"/>
  <c r="Y2187" i="6"/>
  <c r="U2187" i="6"/>
  <c r="AF2135" i="6"/>
  <c r="AB2135" i="6"/>
  <c r="X2135" i="6"/>
  <c r="T2135" i="6"/>
  <c r="AE2083" i="6"/>
  <c r="AA2083" i="6"/>
  <c r="W2083" i="6"/>
  <c r="S2083" i="6"/>
  <c r="AF2187" i="6"/>
  <c r="AE2135" i="6"/>
  <c r="AD2083" i="6"/>
  <c r="P2027" i="6"/>
  <c r="AB2187" i="6"/>
  <c r="AA2135" i="6"/>
  <c r="Z2083" i="6"/>
  <c r="X2187" i="6"/>
  <c r="W2135" i="6"/>
  <c r="V2083" i="6"/>
  <c r="T2187" i="6"/>
  <c r="S2135" i="6"/>
  <c r="P2029" i="6"/>
  <c r="AE91" i="21"/>
  <c r="AF91" i="21" s="1"/>
  <c r="AG91" i="21" s="1"/>
  <c r="AH91" i="21" s="1"/>
  <c r="AI91" i="21" s="1"/>
  <c r="AJ91" i="21" s="1"/>
  <c r="AK91" i="21" s="1"/>
  <c r="AL91" i="21" s="1"/>
  <c r="AM91" i="21" s="1"/>
  <c r="AN91" i="21" s="1"/>
  <c r="AO91" i="21" s="1"/>
  <c r="AP91" i="21" s="1"/>
  <c r="AQ91" i="21" s="1"/>
  <c r="AR91" i="21" s="1"/>
  <c r="AS91" i="21" s="1"/>
  <c r="AT91" i="21" s="1"/>
  <c r="K2" i="13"/>
  <c r="M30" i="6"/>
  <c r="M29" i="6"/>
  <c r="M32" i="6"/>
  <c r="M28" i="6"/>
  <c r="M31" i="6"/>
  <c r="AG72" i="18"/>
  <c r="AH72" i="18" s="1"/>
  <c r="AI72" i="18" s="1"/>
  <c r="AJ72" i="18" s="1"/>
  <c r="AK72" i="18" s="1"/>
  <c r="AL72" i="18" s="1"/>
  <c r="V2778" i="6"/>
  <c r="V2831" i="6" s="1"/>
  <c r="T2832" i="6"/>
  <c r="T2833" i="6"/>
  <c r="W2778" i="6"/>
  <c r="W2831" i="6" s="1"/>
  <c r="U2779" i="6"/>
  <c r="AE98" i="22"/>
  <c r="AH53" i="15"/>
  <c r="AI53" i="15" s="1"/>
  <c r="AJ53" i="15" s="1"/>
  <c r="AK53" i="15" s="1"/>
  <c r="AL53" i="15" s="1"/>
  <c r="AM53" i="15" s="1"/>
  <c r="AN53" i="15" s="1"/>
  <c r="AO53" i="15" s="1"/>
  <c r="AP53" i="15" s="1"/>
  <c r="AQ53" i="15" s="1"/>
  <c r="AR53" i="15" s="1"/>
  <c r="AS53" i="15" s="1"/>
  <c r="AT53" i="15" s="1"/>
  <c r="AU53" i="15" s="1"/>
  <c r="AV53" i="15" s="1"/>
  <c r="AW53" i="15" s="1"/>
  <c r="AX53" i="15" s="1"/>
  <c r="AY53" i="15" s="1"/>
  <c r="AZ53" i="15" s="1"/>
  <c r="BA53" i="15" s="1"/>
  <c r="AE65" i="20"/>
  <c r="AZ65" i="17"/>
  <c r="BA65" i="17" s="1"/>
  <c r="AN113" i="22"/>
  <c r="AO113" i="22" s="1"/>
  <c r="AP113" i="22" s="1"/>
  <c r="AF74" i="13"/>
  <c r="AL202" i="14"/>
  <c r="AG163" i="14"/>
  <c r="AH163" i="14" s="1"/>
  <c r="AI108" i="22"/>
  <c r="AJ108" i="22" s="1"/>
  <c r="AK108" i="22" s="1"/>
  <c r="AL108" i="22" s="1"/>
  <c r="AM108" i="22" s="1"/>
  <c r="AN108" i="22" s="1"/>
  <c r="AO108" i="22" s="1"/>
  <c r="AP108" i="22" s="1"/>
  <c r="AQ108" i="22" s="1"/>
  <c r="AR108" i="22" s="1"/>
  <c r="AS108" i="22" s="1"/>
  <c r="AT108" i="22" s="1"/>
  <c r="AU108" i="22" s="1"/>
  <c r="AV108" i="22" s="1"/>
  <c r="AW108" i="22" s="1"/>
  <c r="AX108" i="22" s="1"/>
  <c r="AY108" i="22" s="1"/>
  <c r="AZ108" i="22" s="1"/>
  <c r="T22" i="5"/>
  <c r="T25" i="5" s="1"/>
  <c r="T43" i="5" s="1"/>
  <c r="AI134" i="18"/>
  <c r="AH54" i="16"/>
  <c r="AI54" i="16" s="1"/>
  <c r="AJ54" i="16" s="1"/>
  <c r="AK54" i="16" s="1"/>
  <c r="AL54" i="16" s="1"/>
  <c r="AM54" i="16" s="1"/>
  <c r="AN54" i="16" s="1"/>
  <c r="AO54" i="16" s="1"/>
  <c r="AP54" i="16" s="1"/>
  <c r="AQ54" i="16" s="1"/>
  <c r="AR54" i="16" s="1"/>
  <c r="AS54" i="16" s="1"/>
  <c r="AT54" i="16" s="1"/>
  <c r="AU54" i="16" s="1"/>
  <c r="AV54" i="16" s="1"/>
  <c r="AW54" i="16" s="1"/>
  <c r="AX54" i="16" s="1"/>
  <c r="AN74" i="18"/>
  <c r="AO74" i="18" s="1"/>
  <c r="AP74" i="18" s="1"/>
  <c r="AQ74" i="18" s="1"/>
  <c r="AR74" i="18" s="1"/>
  <c r="AS74" i="18" s="1"/>
  <c r="AT74" i="18" s="1"/>
  <c r="AU74" i="18" s="1"/>
  <c r="AV74" i="18" s="1"/>
  <c r="AW74" i="18" s="1"/>
  <c r="AX74" i="18" s="1"/>
  <c r="AY74" i="18" s="1"/>
  <c r="AZ74" i="18" s="1"/>
  <c r="AM74" i="14"/>
  <c r="AN74" i="14" s="1"/>
  <c r="AO74" i="14" s="1"/>
  <c r="AP74" i="14" s="1"/>
  <c r="AQ74" i="14" s="1"/>
  <c r="AR74" i="14" s="1"/>
  <c r="AS74" i="14" s="1"/>
  <c r="AT74" i="14" s="1"/>
  <c r="AU74" i="14" s="1"/>
  <c r="AV74" i="14" s="1"/>
  <c r="AW74" i="14" s="1"/>
  <c r="AX74" i="14" s="1"/>
  <c r="AY74" i="14" s="1"/>
  <c r="AZ74" i="14" s="1"/>
  <c r="BA74" i="14" s="1"/>
  <c r="AH176" i="14"/>
  <c r="AI99" i="14"/>
  <c r="AH61" i="22"/>
  <c r="AE132" i="14"/>
  <c r="AH116" i="14"/>
  <c r="AI116" i="14" s="1"/>
  <c r="AJ116" i="14" s="1"/>
  <c r="AK116" i="14" s="1"/>
  <c r="AL116" i="14" s="1"/>
  <c r="AM116" i="14" s="1"/>
  <c r="AN116" i="14" s="1"/>
  <c r="AO116" i="14" s="1"/>
  <c r="AP116" i="14" s="1"/>
  <c r="AQ116" i="14" s="1"/>
  <c r="AR116" i="14" s="1"/>
  <c r="AS116" i="14" s="1"/>
  <c r="AT116" i="14" s="1"/>
  <c r="AU116" i="14" s="1"/>
  <c r="AV116" i="14" s="1"/>
  <c r="AW116" i="14" s="1"/>
  <c r="AX116" i="14" s="1"/>
  <c r="AY116" i="14" s="1"/>
  <c r="AZ116" i="14" s="1"/>
  <c r="BA116" i="14" s="1"/>
  <c r="AF177" i="14"/>
  <c r="AG80" i="13"/>
  <c r="AN179" i="14"/>
  <c r="AO179" i="14" s="1"/>
  <c r="AP179" i="14" s="1"/>
  <c r="AQ179" i="14" s="1"/>
  <c r="AR179" i="14" s="1"/>
  <c r="AS179" i="14" s="1"/>
  <c r="AT179" i="14" s="1"/>
  <c r="AU179" i="14" s="1"/>
  <c r="AV179" i="14" s="1"/>
  <c r="AW179" i="14" s="1"/>
  <c r="AX179" i="14" s="1"/>
  <c r="AY179" i="14" s="1"/>
  <c r="AZ179" i="14" s="1"/>
  <c r="BA179" i="14" s="1"/>
  <c r="AJ53" i="19"/>
  <c r="AK53" i="19" s="1"/>
  <c r="AL53" i="19" s="1"/>
  <c r="AM53" i="19" s="1"/>
  <c r="AN53" i="19" s="1"/>
  <c r="AO53" i="19" s="1"/>
  <c r="AP53" i="19" s="1"/>
  <c r="AQ53" i="19" s="1"/>
  <c r="AR53" i="19" s="1"/>
  <c r="AS53" i="19" s="1"/>
  <c r="AT53" i="19" s="1"/>
  <c r="AU53" i="19" s="1"/>
  <c r="AV53" i="19" s="1"/>
  <c r="AW53" i="19" s="1"/>
  <c r="AX53" i="19" s="1"/>
  <c r="AY53" i="19" s="1"/>
  <c r="AZ53" i="19" s="1"/>
  <c r="BA53" i="19" s="1"/>
  <c r="AG38" i="19"/>
  <c r="AD36" i="18"/>
  <c r="AI93" i="13"/>
  <c r="AJ93" i="13" s="1"/>
  <c r="AK93" i="13" s="1"/>
  <c r="AL93" i="13"/>
  <c r="AM93" i="13" s="1"/>
  <c r="AN93" i="13" s="1"/>
  <c r="AO93" i="13" s="1"/>
  <c r="AP93" i="13" s="1"/>
  <c r="AQ93" i="13" s="1"/>
  <c r="AR93" i="13" s="1"/>
  <c r="AS93" i="13" s="1"/>
  <c r="AT93" i="13" s="1"/>
  <c r="AU93" i="13" s="1"/>
  <c r="AV93" i="13" s="1"/>
  <c r="AW93" i="13" s="1"/>
  <c r="AX93" i="13" s="1"/>
  <c r="AY93" i="13" s="1"/>
  <c r="AZ93" i="13" s="1"/>
  <c r="BA93" i="13" s="1"/>
  <c r="P21" i="15"/>
  <c r="R655" i="6"/>
  <c r="AF121" i="22"/>
  <c r="AG121" i="22" s="1"/>
  <c r="AH121" i="22"/>
  <c r="AI121" i="22" s="1"/>
  <c r="AJ121" i="22" s="1"/>
  <c r="AK121" i="22" s="1"/>
  <c r="AL121" i="22" s="1"/>
  <c r="AM121" i="22" s="1"/>
  <c r="AN121" i="22" s="1"/>
  <c r="AO121" i="22" s="1"/>
  <c r="AP121" i="22" s="1"/>
  <c r="AQ121" i="22" s="1"/>
  <c r="AH38" i="18"/>
  <c r="AI38" i="18" s="1"/>
  <c r="AC1785" i="6"/>
  <c r="AC1784" i="6"/>
  <c r="AD1780" i="6"/>
  <c r="AD12" i="5"/>
  <c r="AF53" i="16"/>
  <c r="AG53" i="16" s="1"/>
  <c r="AH53" i="16" s="1"/>
  <c r="AI53" i="16" s="1"/>
  <c r="AJ53" i="16" s="1"/>
  <c r="AK53" i="16" s="1"/>
  <c r="BA50" i="18"/>
  <c r="AO2417" i="6"/>
  <c r="AK2417" i="6"/>
  <c r="AG2417" i="6"/>
  <c r="AC2417" i="6"/>
  <c r="AZ2365" i="6"/>
  <c r="AV2365" i="6"/>
  <c r="AR2365" i="6"/>
  <c r="AN2365" i="6"/>
  <c r="AJ2365" i="6"/>
  <c r="AF2365" i="6"/>
  <c r="AB2365" i="6"/>
  <c r="AX2313" i="6"/>
  <c r="AT2313" i="6"/>
  <c r="AP2313" i="6"/>
  <c r="AL2313" i="6"/>
  <c r="AH2313" i="6"/>
  <c r="AD2313" i="6"/>
  <c r="Z2259" i="6"/>
  <c r="AN2417" i="6"/>
  <c r="AJ2417" i="6"/>
  <c r="AF2417" i="6"/>
  <c r="AB2417" i="6"/>
  <c r="AY2365" i="6"/>
  <c r="AU2365" i="6"/>
  <c r="AQ2365" i="6"/>
  <c r="AM2365" i="6"/>
  <c r="AI2365" i="6"/>
  <c r="AE2365" i="6"/>
  <c r="AW2313" i="6"/>
  <c r="AS2313" i="6"/>
  <c r="AO2313" i="6"/>
  <c r="AK2313" i="6"/>
  <c r="AG2313" i="6"/>
  <c r="AC2313" i="6"/>
  <c r="Y2259" i="6"/>
  <c r="Y2233" i="6" s="1"/>
  <c r="AQ2417" i="6"/>
  <c r="AM2417" i="6"/>
  <c r="AI2417" i="6"/>
  <c r="AE2417" i="6"/>
  <c r="AX2365" i="6"/>
  <c r="AT2365" i="6"/>
  <c r="AP2365" i="6"/>
  <c r="AL2365" i="6"/>
  <c r="AH2365" i="6"/>
  <c r="AD2365" i="6"/>
  <c r="AZ2313" i="6"/>
  <c r="AV2313" i="6"/>
  <c r="AR2313" i="6"/>
  <c r="AN2313" i="6"/>
  <c r="AJ2313" i="6"/>
  <c r="AF2313" i="6"/>
  <c r="AB2313" i="6"/>
  <c r="AP2417" i="6"/>
  <c r="AL2417" i="6"/>
  <c r="AH2417" i="6"/>
  <c r="AD2417" i="6"/>
  <c r="AW2365" i="6"/>
  <c r="AS2365" i="6"/>
  <c r="AO2365" i="6"/>
  <c r="AK2365" i="6"/>
  <c r="AG2365" i="6"/>
  <c r="AC2365" i="6"/>
  <c r="AY2313" i="6"/>
  <c r="AU2313" i="6"/>
  <c r="AQ2313" i="6"/>
  <c r="AM2313" i="6"/>
  <c r="AI2313" i="6"/>
  <c r="AE2313" i="6"/>
  <c r="AA2259" i="6"/>
  <c r="AC2232" i="6"/>
  <c r="AC1783" i="6"/>
  <c r="AD1781" i="6"/>
  <c r="AC1779" i="6"/>
  <c r="X19" i="17"/>
  <c r="X1105" i="6"/>
  <c r="AB59" i="12"/>
  <c r="AC60" i="12"/>
  <c r="AG74" i="22"/>
  <c r="AC56" i="14"/>
  <c r="AG46" i="21"/>
  <c r="AI51" i="17"/>
  <c r="AJ51" i="17"/>
  <c r="AK51" i="17" s="1"/>
  <c r="AL51" i="17" s="1"/>
  <c r="AM51" i="17" s="1"/>
  <c r="AG95" i="21"/>
  <c r="AH95" i="21" s="1"/>
  <c r="AI95" i="21" s="1"/>
  <c r="AE46" i="16"/>
  <c r="AG48" i="16"/>
  <c r="AH48" i="16" s="1"/>
  <c r="AG102" i="22"/>
  <c r="AG80" i="22"/>
  <c r="AH80" i="22" s="1"/>
  <c r="AI80" i="22" s="1"/>
  <c r="AI84" i="14"/>
  <c r="AF109" i="18"/>
  <c r="AG109" i="18" s="1"/>
  <c r="AH109" i="18" s="1"/>
  <c r="AI109" i="18" s="1"/>
  <c r="AJ109" i="18" s="1"/>
  <c r="AK109" i="18" s="1"/>
  <c r="AL109" i="18" s="1"/>
  <c r="AM109" i="18" s="1"/>
  <c r="AN109" i="18" s="1"/>
  <c r="AO109" i="18" s="1"/>
  <c r="AP109" i="18" s="1"/>
  <c r="AQ109" i="18" s="1"/>
  <c r="AR109" i="18" s="1"/>
  <c r="AS109" i="18" s="1"/>
  <c r="AT109" i="18" s="1"/>
  <c r="AU109" i="18" s="1"/>
  <c r="AV109" i="18" s="1"/>
  <c r="AW109" i="18" s="1"/>
  <c r="AX109" i="18" s="1"/>
  <c r="AY109" i="18" s="1"/>
  <c r="AZ109" i="18" s="1"/>
  <c r="AE78" i="21"/>
  <c r="AF78" i="21" s="1"/>
  <c r="AG78" i="21" s="1"/>
  <c r="AH78" i="21" s="1"/>
  <c r="AI78" i="21" s="1"/>
  <c r="AJ78" i="21" s="1"/>
  <c r="AK78" i="21" s="1"/>
  <c r="AL78" i="21" s="1"/>
  <c r="AM78" i="21" s="1"/>
  <c r="AN78" i="21" s="1"/>
  <c r="AO78" i="21" s="1"/>
  <c r="AP78" i="21" s="1"/>
  <c r="AQ78" i="21" s="1"/>
  <c r="AR78" i="21" s="1"/>
  <c r="AS78" i="21" s="1"/>
  <c r="AT78" i="21" s="1"/>
  <c r="AU78" i="21" s="1"/>
  <c r="AV78" i="21" s="1"/>
  <c r="AW78" i="21" s="1"/>
  <c r="AI86" i="18"/>
  <c r="AJ86" i="18"/>
  <c r="AK86" i="18" s="1"/>
  <c r="AL86" i="18" s="1"/>
  <c r="AM86" i="18" s="1"/>
  <c r="AN86" i="18" s="1"/>
  <c r="AO86" i="18" s="1"/>
  <c r="AP86" i="18" s="1"/>
  <c r="AQ86" i="18" s="1"/>
  <c r="AR86" i="18" s="1"/>
  <c r="AS86" i="18" s="1"/>
  <c r="AT86" i="18" s="1"/>
  <c r="AU86" i="18" s="1"/>
  <c r="AV86" i="18" s="1"/>
  <c r="AW86" i="18" s="1"/>
  <c r="AX86" i="18" s="1"/>
  <c r="AY86" i="18" s="1"/>
  <c r="AZ86" i="18" s="1"/>
  <c r="AO49" i="16"/>
  <c r="AF93" i="14"/>
  <c r="AG93" i="14" s="1"/>
  <c r="AH93" i="14"/>
  <c r="AI93" i="14" s="1"/>
  <c r="AJ93" i="14" s="1"/>
  <c r="Y1614" i="6"/>
  <c r="Y1615" i="6"/>
  <c r="AI51" i="22"/>
  <c r="AJ51" i="22" s="1"/>
  <c r="AK51" i="22" s="1"/>
  <c r="AL51" i="22" s="1"/>
  <c r="AM51" i="22" s="1"/>
  <c r="AN51" i="22" s="1"/>
  <c r="AO51" i="22" s="1"/>
  <c r="AP51" i="22" s="1"/>
  <c r="AQ51" i="22" s="1"/>
  <c r="AR51" i="22" s="1"/>
  <c r="AS51" i="22" s="1"/>
  <c r="AT51" i="22" s="1"/>
  <c r="AU51" i="22" s="1"/>
  <c r="AV51" i="22" s="1"/>
  <c r="AW51" i="22" s="1"/>
  <c r="AX51" i="22" s="1"/>
  <c r="AY51" i="22" s="1"/>
  <c r="AZ51" i="22" s="1"/>
  <c r="BA51" i="22" s="1"/>
  <c r="AE68" i="12"/>
  <c r="AI58" i="21"/>
  <c r="AJ58" i="21" s="1"/>
  <c r="AK58" i="21" s="1"/>
  <c r="AL58" i="21" s="1"/>
  <c r="AM58" i="21" s="1"/>
  <c r="AN58" i="21" s="1"/>
  <c r="AO58" i="21" s="1"/>
  <c r="AP58" i="21" s="1"/>
  <c r="AQ58" i="21" s="1"/>
  <c r="AR58" i="21" s="1"/>
  <c r="AS58" i="21" s="1"/>
  <c r="AT58" i="21" s="1"/>
  <c r="AU58" i="21" s="1"/>
  <c r="AV58" i="21" s="1"/>
  <c r="AW58" i="21" s="1"/>
  <c r="AX58" i="21" s="1"/>
  <c r="AY58" i="21" s="1"/>
  <c r="AZ58" i="21" s="1"/>
  <c r="BA58" i="21" s="1"/>
  <c r="AF68" i="16"/>
  <c r="AH76" i="22"/>
  <c r="AI76" i="22" s="1"/>
  <c r="AJ76" i="22" s="1"/>
  <c r="AK76" i="22" s="1"/>
  <c r="AL76" i="22" s="1"/>
  <c r="AM76" i="22" s="1"/>
  <c r="AN76" i="22" s="1"/>
  <c r="AO76" i="22" s="1"/>
  <c r="AP76" i="22" s="1"/>
  <c r="AQ76" i="22" s="1"/>
  <c r="AR76" i="22" s="1"/>
  <c r="AS76" i="22" s="1"/>
  <c r="AT76" i="22" s="1"/>
  <c r="AU76" i="22" s="1"/>
  <c r="AV76" i="22" s="1"/>
  <c r="AW76" i="22" s="1"/>
  <c r="AX76" i="22" s="1"/>
  <c r="AY76" i="22" s="1"/>
  <c r="AZ76" i="22" s="1"/>
  <c r="AP2800" i="6"/>
  <c r="AL2800" i="6"/>
  <c r="AH2800" i="6"/>
  <c r="AD2800" i="6"/>
  <c r="Z2800" i="6"/>
  <c r="AO2800" i="6"/>
  <c r="AJ2800" i="6"/>
  <c r="AE2800" i="6"/>
  <c r="Y2800" i="6"/>
  <c r="AN2800" i="6"/>
  <c r="AI2800" i="6"/>
  <c r="AC2800" i="6"/>
  <c r="X2800" i="6"/>
  <c r="AK2800" i="6"/>
  <c r="AA2800" i="6"/>
  <c r="AG2800" i="6"/>
  <c r="W2800" i="6"/>
  <c r="AQ2800" i="6"/>
  <c r="AF2800" i="6"/>
  <c r="AM2800" i="6"/>
  <c r="W2673" i="6"/>
  <c r="AB2800" i="6"/>
  <c r="W2672" i="6"/>
  <c r="X27" i="5"/>
  <c r="AJ86" i="22"/>
  <c r="AK86" i="22" s="1"/>
  <c r="AL86" i="22" s="1"/>
  <c r="AM86" i="22" s="1"/>
  <c r="AN86" i="22" s="1"/>
  <c r="AO86" i="22" s="1"/>
  <c r="AP86" i="22" s="1"/>
  <c r="AQ86" i="22" s="1"/>
  <c r="AR86" i="22" s="1"/>
  <c r="AS86" i="22" s="1"/>
  <c r="AT86" i="22" s="1"/>
  <c r="AU86" i="22" s="1"/>
  <c r="AV86" i="22" s="1"/>
  <c r="AW86" i="22" s="1"/>
  <c r="AX86" i="22" s="1"/>
  <c r="AY86" i="22" s="1"/>
  <c r="AZ86" i="22" s="1"/>
  <c r="AH44" i="20"/>
  <c r="AI44" i="20" s="1"/>
  <c r="AJ44" i="20" s="1"/>
  <c r="AK44" i="20" s="1"/>
  <c r="AL44" i="20" s="1"/>
  <c r="AM44" i="20" s="1"/>
  <c r="AN44" i="20" s="1"/>
  <c r="AO44" i="20" s="1"/>
  <c r="AP44" i="20" s="1"/>
  <c r="AQ44" i="20" s="1"/>
  <c r="AR44" i="20" s="1"/>
  <c r="AS44" i="20" s="1"/>
  <c r="AT44" i="20" s="1"/>
  <c r="AU44" i="20" s="1"/>
  <c r="AV44" i="20" s="1"/>
  <c r="AW44" i="20" s="1"/>
  <c r="AX44" i="20" s="1"/>
  <c r="AY44" i="20" s="1"/>
  <c r="AZ44" i="20" s="1"/>
  <c r="BA44" i="20" s="1"/>
  <c r="AH45" i="23"/>
  <c r="AI45" i="23" s="1"/>
  <c r="AJ45" i="23" s="1"/>
  <c r="AK45" i="23" s="1"/>
  <c r="AL45" i="23" s="1"/>
  <c r="AM45" i="23" s="1"/>
  <c r="AN45" i="23" s="1"/>
  <c r="AO45" i="23" s="1"/>
  <c r="AP45" i="23" s="1"/>
  <c r="AQ45" i="23" s="1"/>
  <c r="AR45" i="23" s="1"/>
  <c r="AS45" i="23" s="1"/>
  <c r="AT45" i="23" s="1"/>
  <c r="AU45" i="23" s="1"/>
  <c r="AV45" i="23" s="1"/>
  <c r="AW45" i="23" s="1"/>
  <c r="AX45" i="23" s="1"/>
  <c r="AY45" i="23" s="1"/>
  <c r="AZ45" i="23" s="1"/>
  <c r="R1787" i="6"/>
  <c r="AH41" i="19"/>
  <c r="AG41" i="19"/>
  <c r="AK47" i="20"/>
  <c r="AF69" i="20"/>
  <c r="AM66" i="15"/>
  <c r="AN66" i="15" s="1"/>
  <c r="AO66" i="15" s="1"/>
  <c r="AP66" i="15" s="1"/>
  <c r="AQ66" i="15" s="1"/>
  <c r="AR66" i="15" s="1"/>
  <c r="AS66" i="15" s="1"/>
  <c r="AT66" i="15" s="1"/>
  <c r="AU66" i="15"/>
  <c r="AV66" i="15" s="1"/>
  <c r="AW66" i="15" s="1"/>
  <c r="AX66" i="15" s="1"/>
  <c r="AY66" i="15" s="1"/>
  <c r="AZ66" i="15" s="1"/>
  <c r="BA66" i="15" s="1"/>
  <c r="AI88" i="21"/>
  <c r="AJ88" i="21" s="1"/>
  <c r="AK88" i="21" s="1"/>
  <c r="AL88" i="21" s="1"/>
  <c r="AM88" i="21" s="1"/>
  <c r="AN88" i="21" s="1"/>
  <c r="AO88" i="21" s="1"/>
  <c r="AP88" i="21" s="1"/>
  <c r="AQ88" i="21" s="1"/>
  <c r="AR88" i="21" s="1"/>
  <c r="AS88" i="21" s="1"/>
  <c r="AT88" i="21" s="1"/>
  <c r="AU88" i="21" s="1"/>
  <c r="AV88" i="21" s="1"/>
  <c r="AW88" i="21" s="1"/>
  <c r="AX88" i="21" s="1"/>
  <c r="AY88" i="21" s="1"/>
  <c r="AZ88" i="21" s="1"/>
  <c r="AF60" i="21"/>
  <c r="AE1555" i="6"/>
  <c r="AE1554" i="6" s="1"/>
  <c r="AD1560" i="6"/>
  <c r="AE11" i="5"/>
  <c r="S1389" i="6"/>
  <c r="S1390" i="6"/>
  <c r="AB413" i="6"/>
  <c r="AA419" i="6"/>
  <c r="AA635" i="6"/>
  <c r="AB23" i="5" s="1"/>
  <c r="Z22" i="9"/>
  <c r="AB15" i="5"/>
  <c r="AH79" i="13"/>
  <c r="AI79" i="13"/>
  <c r="AJ79" i="13" s="1"/>
  <c r="AK79" i="13" s="1"/>
  <c r="AL79" i="13" s="1"/>
  <c r="AM79" i="13" s="1"/>
  <c r="AN79" i="13" s="1"/>
  <c r="AO79" i="13" s="1"/>
  <c r="AP79" i="13" s="1"/>
  <c r="AQ79" i="13" s="1"/>
  <c r="AG67" i="15"/>
  <c r="AH67" i="15" s="1"/>
  <c r="AI67" i="15" s="1"/>
  <c r="AP88" i="18"/>
  <c r="AQ88" i="18" s="1"/>
  <c r="AR88" i="18" s="1"/>
  <c r="AS88" i="18" s="1"/>
  <c r="AT88" i="18" s="1"/>
  <c r="AU88" i="18" s="1"/>
  <c r="AS58" i="22"/>
  <c r="AT58" i="22" s="1"/>
  <c r="AU58" i="22" s="1"/>
  <c r="AV58" i="22" s="1"/>
  <c r="AW58" i="22" s="1"/>
  <c r="AX58" i="22" s="1"/>
  <c r="AY58" i="22" s="1"/>
  <c r="AZ58" i="22" s="1"/>
  <c r="BA58" i="22" s="1"/>
  <c r="AC26" i="7"/>
  <c r="AD23" i="7"/>
  <c r="AH68" i="20"/>
  <c r="AI68" i="20" s="1"/>
  <c r="AJ68" i="20" s="1"/>
  <c r="AK68" i="20" s="1"/>
  <c r="AL68" i="20" s="1"/>
  <c r="AM68" i="20" s="1"/>
  <c r="AN68" i="20" s="1"/>
  <c r="AO68" i="20" s="1"/>
  <c r="AP68" i="20" s="1"/>
  <c r="AQ68" i="20" s="1"/>
  <c r="AR68" i="20" s="1"/>
  <c r="AS68" i="20" s="1"/>
  <c r="AT68" i="20" s="1"/>
  <c r="AD244" i="6"/>
  <c r="AE28" i="5" s="1"/>
  <c r="AD245" i="6"/>
  <c r="AD408" i="6"/>
  <c r="AH77" i="18"/>
  <c r="AI77" i="18" s="1"/>
  <c r="AJ77" i="18" s="1"/>
  <c r="AK77" i="18" s="1"/>
  <c r="AL77" i="18" s="1"/>
  <c r="AM77" i="18" s="1"/>
  <c r="AN77" i="18" s="1"/>
  <c r="AO77" i="18" s="1"/>
  <c r="AP77" i="18" s="1"/>
  <c r="AQ77" i="18" s="1"/>
  <c r="AR77" i="18" s="1"/>
  <c r="AS77" i="18" s="1"/>
  <c r="AT77" i="18" s="1"/>
  <c r="AU77" i="18" s="1"/>
  <c r="AV77" i="18" s="1"/>
  <c r="AW77" i="18" s="1"/>
  <c r="AX77" i="18" s="1"/>
  <c r="AY77" i="18" s="1"/>
  <c r="AZ77" i="18" s="1"/>
  <c r="AE109" i="22"/>
  <c r="AE101" i="18"/>
  <c r="AI124" i="14"/>
  <c r="AJ124" i="14" s="1"/>
  <c r="AK124" i="14" s="1"/>
  <c r="AL124" i="14" s="1"/>
  <c r="AM124" i="14" s="1"/>
  <c r="AN124" i="14" s="1"/>
  <c r="AO124" i="14" s="1"/>
  <c r="AP124" i="14" s="1"/>
  <c r="AQ124" i="14" s="1"/>
  <c r="AR124" i="14" s="1"/>
  <c r="AS124" i="14" s="1"/>
  <c r="AT124" i="14" s="1"/>
  <c r="AU124" i="14" s="1"/>
  <c r="AV124" i="14" s="1"/>
  <c r="AW124" i="14" s="1"/>
  <c r="AX124" i="14" s="1"/>
  <c r="AY124" i="14" s="1"/>
  <c r="AZ124" i="14" s="1"/>
  <c r="BA124" i="14" s="1"/>
  <c r="AF53" i="17"/>
  <c r="AK148" i="14"/>
  <c r="AL148" i="14" s="1"/>
  <c r="AM148" i="14" s="1"/>
  <c r="AN148" i="14" s="1"/>
  <c r="AI148" i="14"/>
  <c r="AJ148" i="14" s="1"/>
  <c r="AC39" i="23"/>
  <c r="AD2451" i="6" s="1"/>
  <c r="AC32" i="22"/>
  <c r="AC32" i="21"/>
  <c r="AD2009" i="6" s="1"/>
  <c r="AC32" i="20"/>
  <c r="AC32" i="19"/>
  <c r="AD1559" i="6" s="1"/>
  <c r="AC37" i="17"/>
  <c r="AC49" i="14"/>
  <c r="AC42" i="16"/>
  <c r="AD882" i="6" s="1"/>
  <c r="AC32" i="18"/>
  <c r="AC34" i="15"/>
  <c r="AD657" i="6" s="1"/>
  <c r="AC41" i="13"/>
  <c r="AD7" i="7"/>
  <c r="AN71" i="18"/>
  <c r="AO71" i="18" s="1"/>
  <c r="AP71" i="18" s="1"/>
  <c r="AQ71" i="18" s="1"/>
  <c r="AR71" i="18" s="1"/>
  <c r="AS71" i="18" s="1"/>
  <c r="AT71" i="18" s="1"/>
  <c r="AU71" i="18" s="1"/>
  <c r="AV71" i="18" s="1"/>
  <c r="AW71" i="18" s="1"/>
  <c r="AX71" i="18" s="1"/>
  <c r="AY71" i="18" s="1"/>
  <c r="AZ71" i="18" s="1"/>
  <c r="AQ2641" i="6"/>
  <c r="AM2641" i="6"/>
  <c r="AI2641" i="6"/>
  <c r="AE2641" i="6"/>
  <c r="AS2589" i="6"/>
  <c r="AO2589" i="6"/>
  <c r="AK2589" i="6"/>
  <c r="AG2589" i="6"/>
  <c r="AR2537" i="6"/>
  <c r="AN2537" i="6"/>
  <c r="AJ2537" i="6"/>
  <c r="AF2537" i="6"/>
  <c r="AP2641" i="6"/>
  <c r="AK2641" i="6"/>
  <c r="AF2641" i="6"/>
  <c r="AP2589" i="6"/>
  <c r="AJ2589" i="6"/>
  <c r="AE2589" i="6"/>
  <c r="AQ2537" i="6"/>
  <c r="AL2537" i="6"/>
  <c r="AG2537" i="6"/>
  <c r="AF2453" i="6"/>
  <c r="AT2641" i="6"/>
  <c r="AO2641" i="6"/>
  <c r="AJ2641" i="6"/>
  <c r="AN2589" i="6"/>
  <c r="AI2589" i="6"/>
  <c r="AP2537" i="6"/>
  <c r="AK2537" i="6"/>
  <c r="AE2537" i="6"/>
  <c r="AS2641" i="6"/>
  <c r="AN2641" i="6"/>
  <c r="AH2641" i="6"/>
  <c r="AR2589" i="6"/>
  <c r="AM2589" i="6"/>
  <c r="AH2589" i="6"/>
  <c r="AO2537" i="6"/>
  <c r="AI2537" i="6"/>
  <c r="AQ2589" i="6"/>
  <c r="AR2641" i="6"/>
  <c r="AL2589" i="6"/>
  <c r="AS2537" i="6"/>
  <c r="AD2483" i="6"/>
  <c r="AD2454" i="6" s="1"/>
  <c r="AL2641" i="6"/>
  <c r="AF2589" i="6"/>
  <c r="AM2537" i="6"/>
  <c r="AG2641" i="6"/>
  <c r="AH2537" i="6"/>
  <c r="AF21" i="5"/>
  <c r="AF71" i="19"/>
  <c r="AD79" i="14"/>
  <c r="AD137" i="18"/>
  <c r="AG68" i="20"/>
  <c r="AE122" i="18"/>
  <c r="AF122" i="18" s="1"/>
  <c r="AG122" i="18" s="1"/>
  <c r="AH122" i="18" s="1"/>
  <c r="AI122" i="18" s="1"/>
  <c r="AJ122" i="18" s="1"/>
  <c r="AK122" i="18" s="1"/>
  <c r="AL122" i="18" s="1"/>
  <c r="AM122" i="18" s="1"/>
  <c r="AN122" i="18" s="1"/>
  <c r="AG114" i="13"/>
  <c r="AH114" i="13" s="1"/>
  <c r="AO114" i="13"/>
  <c r="AP114" i="13" s="1"/>
  <c r="AQ114" i="13" s="1"/>
  <c r="AR114" i="13" s="1"/>
  <c r="AS114" i="13" s="1"/>
  <c r="AT114" i="13" s="1"/>
  <c r="AU114" i="13" s="1"/>
  <c r="AV114" i="13" s="1"/>
  <c r="AW114" i="13" s="1"/>
  <c r="AX114" i="13" s="1"/>
  <c r="AY114" i="13" s="1"/>
  <c r="AZ114" i="13" s="1"/>
  <c r="BA114" i="13" s="1"/>
  <c r="AD64" i="15"/>
  <c r="AI158" i="14"/>
  <c r="AJ158" i="14" s="1"/>
  <c r="AK158" i="14" s="1"/>
  <c r="AL158" i="14" s="1"/>
  <c r="AM158" i="14" s="1"/>
  <c r="AG68" i="21"/>
  <c r="AQ54" i="20"/>
  <c r="AR54" i="20" s="1"/>
  <c r="AS54" i="20" s="1"/>
  <c r="AT54" i="20" s="1"/>
  <c r="AU54" i="20" s="1"/>
  <c r="AV54" i="20" s="1"/>
  <c r="AW54" i="20" s="1"/>
  <c r="AX54" i="20" s="1"/>
  <c r="AY54" i="20" s="1"/>
  <c r="AZ54" i="20" s="1"/>
  <c r="BA54" i="20" s="1"/>
  <c r="AI65" i="22"/>
  <c r="AJ65" i="22" s="1"/>
  <c r="AK65" i="22" s="1"/>
  <c r="AL65" i="22" s="1"/>
  <c r="AM65" i="22" s="1"/>
  <c r="AN65" i="22" s="1"/>
  <c r="AO65" i="22" s="1"/>
  <c r="AP65" i="22" s="1"/>
  <c r="AQ65" i="22" s="1"/>
  <c r="AR65" i="22" s="1"/>
  <c r="AS65" i="22" s="1"/>
  <c r="AT65" i="22" s="1"/>
  <c r="Y23" i="9"/>
  <c r="AH72" i="21"/>
  <c r="AI72" i="21" s="1"/>
  <c r="AJ72" i="21" s="1"/>
  <c r="AG157" i="14"/>
  <c r="AE104" i="14"/>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AD2450" i="6"/>
  <c r="AD2449" i="6"/>
  <c r="AE2448" i="6"/>
  <c r="AE16" i="5"/>
  <c r="AC3171" i="6"/>
  <c r="AC38" i="11"/>
  <c r="AD38" i="11"/>
  <c r="AF162" i="14"/>
  <c r="AG162" i="14" s="1"/>
  <c r="AH162" i="14" s="1"/>
  <c r="AI162" i="14" s="1"/>
  <c r="AJ162" i="14" s="1"/>
  <c r="AK162" i="14" s="1"/>
  <c r="AL162" i="14" s="1"/>
  <c r="AM162" i="14" s="1"/>
  <c r="AN162" i="14" s="1"/>
  <c r="AO162" i="14" s="1"/>
  <c r="AP162" i="14" s="1"/>
  <c r="AQ162" i="14" s="1"/>
  <c r="AR162" i="14" s="1"/>
  <c r="AS162" i="14" s="1"/>
  <c r="AT162" i="14" s="1"/>
  <c r="AU162" i="14" s="1"/>
  <c r="AV162" i="14" s="1"/>
  <c r="AW162" i="14" s="1"/>
  <c r="AX162" i="14" s="1"/>
  <c r="AY162" i="14" s="1"/>
  <c r="AZ162" i="14" s="1"/>
  <c r="BA162" i="14" s="1"/>
  <c r="AG39" i="20"/>
  <c r="AE69" i="17"/>
  <c r="AF69" i="17" s="1"/>
  <c r="AG69" i="17" s="1"/>
  <c r="AH69" i="17" s="1"/>
  <c r="AI69" i="17" s="1"/>
  <c r="AJ69" i="17" s="1"/>
  <c r="AK69" i="17" s="1"/>
  <c r="AL69" i="17" s="1"/>
  <c r="AM69" i="17" s="1"/>
  <c r="AN69" i="17" s="1"/>
  <c r="AO69" i="17" s="1"/>
  <c r="AP69" i="17" s="1"/>
  <c r="AQ69" i="17" s="1"/>
  <c r="AR69" i="17" s="1"/>
  <c r="AS69" i="17" s="1"/>
  <c r="AT69" i="17" s="1"/>
  <c r="AG142" i="18"/>
  <c r="AH142" i="18" s="1"/>
  <c r="AI142" i="18" s="1"/>
  <c r="AJ142" i="18" s="1"/>
  <c r="AK142" i="18" s="1"/>
  <c r="AL142" i="18" s="1"/>
  <c r="AM142" i="18" s="1"/>
  <c r="AN142" i="18" s="1"/>
  <c r="AO142" i="18" s="1"/>
  <c r="AP142" i="18" s="1"/>
  <c r="AQ142" i="18" s="1"/>
  <c r="AR142" i="18" s="1"/>
  <c r="AS142" i="18" s="1"/>
  <c r="AT142" i="18" s="1"/>
  <c r="AU142" i="18" s="1"/>
  <c r="AV142" i="18" s="1"/>
  <c r="AW142" i="18" s="1"/>
  <c r="AX142" i="18" s="1"/>
  <c r="AY142" i="18" s="1"/>
  <c r="AZ142" i="18" s="1"/>
  <c r="AF78" i="13"/>
  <c r="AG78" i="13" s="1"/>
  <c r="AH78" i="13" s="1"/>
  <c r="AI78" i="13" s="1"/>
  <c r="AJ78" i="13" s="1"/>
  <c r="AK78" i="13" s="1"/>
  <c r="AL78" i="13" s="1"/>
  <c r="AM78" i="13" s="1"/>
  <c r="AN78" i="13" s="1"/>
  <c r="AO78" i="13" s="1"/>
  <c r="AP78" i="13" s="1"/>
  <c r="AQ78" i="13" s="1"/>
  <c r="AR78" i="13" s="1"/>
  <c r="AE63" i="14"/>
  <c r="AF63" i="14" s="1"/>
  <c r="AG63" i="14" s="1"/>
  <c r="AH63" i="14" s="1"/>
  <c r="AI63" i="14" s="1"/>
  <c r="AJ63" i="14" s="1"/>
  <c r="AK63" i="14" s="1"/>
  <c r="AL63" i="14" s="1"/>
  <c r="AM63" i="14" s="1"/>
  <c r="AN63" i="14" s="1"/>
  <c r="AO63" i="14" s="1"/>
  <c r="AP63" i="14" s="1"/>
  <c r="AQ63" i="14" s="1"/>
  <c r="AR63" i="14" s="1"/>
  <c r="AS63" i="14" s="1"/>
  <c r="AT63" i="14" s="1"/>
  <c r="AQ1971" i="6"/>
  <c r="AM1971" i="6"/>
  <c r="AI1971" i="6"/>
  <c r="AE1971" i="6"/>
  <c r="AM1919" i="6"/>
  <c r="AI1919" i="6"/>
  <c r="AE1919" i="6"/>
  <c r="AP1867" i="6"/>
  <c r="AL1867" i="6"/>
  <c r="AH1867" i="6"/>
  <c r="AD1867" i="6"/>
  <c r="AP1971" i="6"/>
  <c r="AL1971" i="6"/>
  <c r="AH1971" i="6"/>
  <c r="AD1971" i="6"/>
  <c r="AP1919" i="6"/>
  <c r="AL1919" i="6"/>
  <c r="AH1919" i="6"/>
  <c r="AD1919" i="6"/>
  <c r="AO1867" i="6"/>
  <c r="AK1867" i="6"/>
  <c r="AG1867" i="6"/>
  <c r="AC1867" i="6"/>
  <c r="AA1813" i="6"/>
  <c r="AC1786" i="6"/>
  <c r="AO1971" i="6"/>
  <c r="AK1971" i="6"/>
  <c r="AG1971" i="6"/>
  <c r="AC1971" i="6"/>
  <c r="AO1919" i="6"/>
  <c r="AK1919" i="6"/>
  <c r="AG1919" i="6"/>
  <c r="AC1919" i="6"/>
  <c r="AN1867" i="6"/>
  <c r="AJ1867" i="6"/>
  <c r="AF1867" i="6"/>
  <c r="AB1867" i="6"/>
  <c r="AF1971" i="6"/>
  <c r="AN1919" i="6"/>
  <c r="AM1867" i="6"/>
  <c r="Z1813" i="6"/>
  <c r="AB1971" i="6"/>
  <c r="AJ1919" i="6"/>
  <c r="AI1867" i="6"/>
  <c r="Y1813" i="6"/>
  <c r="Y1787" i="6" s="1"/>
  <c r="AN1971" i="6"/>
  <c r="AF1919" i="6"/>
  <c r="AE1867" i="6"/>
  <c r="AJ1971" i="6"/>
  <c r="AB1919" i="6"/>
  <c r="AW63" i="17"/>
  <c r="AX63" i="17" s="1"/>
  <c r="AY63" i="17" s="1"/>
  <c r="AZ63" i="17" s="1"/>
  <c r="BA63" i="17" s="1"/>
  <c r="AH94" i="21"/>
  <c r="AI94" i="21" s="1"/>
  <c r="AJ94" i="21" s="1"/>
  <c r="AK94" i="21" s="1"/>
  <c r="AL94" i="21" s="1"/>
  <c r="AM94" i="21" s="1"/>
  <c r="AN94" i="21" s="1"/>
  <c r="AO94" i="21" s="1"/>
  <c r="AP94" i="21" s="1"/>
  <c r="AQ94" i="21" s="1"/>
  <c r="AR94" i="21" s="1"/>
  <c r="AS94" i="21" s="1"/>
  <c r="AT94" i="21" s="1"/>
  <c r="AU94" i="21" s="1"/>
  <c r="AV94" i="21" s="1"/>
  <c r="AW94" i="21" s="1"/>
  <c r="AX94" i="21" s="1"/>
  <c r="AY94" i="21" s="1"/>
  <c r="AZ94" i="21" s="1"/>
  <c r="AU108" i="13"/>
  <c r="AV108" i="13" s="1"/>
  <c r="AW108" i="13" s="1"/>
  <c r="AX108" i="13" s="1"/>
  <c r="AY108" i="13" s="1"/>
  <c r="AZ108" i="13" s="1"/>
  <c r="BA108" i="13" s="1"/>
  <c r="AH98" i="14"/>
  <c r="AI98" i="14" s="1"/>
  <c r="AJ98" i="14" s="1"/>
  <c r="AK98" i="14" s="1"/>
  <c r="AE51" i="19"/>
  <c r="AI119" i="14"/>
  <c r="AJ119" i="14" s="1"/>
  <c r="AK119" i="14" s="1"/>
  <c r="AL119" i="14" s="1"/>
  <c r="AM119" i="14" s="1"/>
  <c r="AN119" i="14" s="1"/>
  <c r="AO119" i="14" s="1"/>
  <c r="AP119" i="14" s="1"/>
  <c r="AQ119" i="14" s="1"/>
  <c r="AR119" i="14" s="1"/>
  <c r="AS119" i="14" s="1"/>
  <c r="Q2507" i="6"/>
  <c r="Q2506" i="6"/>
  <c r="AD66" i="14"/>
  <c r="P2233" i="6"/>
  <c r="AT50" i="18"/>
  <c r="AU50" i="18" s="1"/>
  <c r="AV50" i="18" s="1"/>
  <c r="AW50" i="18" s="1"/>
  <c r="AX50" i="18" s="1"/>
  <c r="AY50" i="18" s="1"/>
  <c r="AZ50" i="18" s="1"/>
  <c r="AG58" i="18"/>
  <c r="AI55" i="17"/>
  <c r="AJ55" i="17" s="1"/>
  <c r="AJ65" i="15"/>
  <c r="AK65" i="15" s="1"/>
  <c r="AL65" i="15" s="1"/>
  <c r="AM65" i="15" s="1"/>
  <c r="AN65" i="15" s="1"/>
  <c r="AO65" i="15" s="1"/>
  <c r="AP65" i="15" s="1"/>
  <c r="AQ65" i="15" s="1"/>
  <c r="AR65" i="15" s="1"/>
  <c r="AS65" i="15" s="1"/>
  <c r="AT65" i="15" s="1"/>
  <c r="AU65" i="15" s="1"/>
  <c r="AV65" i="15" s="1"/>
  <c r="AW65" i="15" s="1"/>
  <c r="AX65" i="15" s="1"/>
  <c r="AY65" i="15" s="1"/>
  <c r="AZ65" i="15" s="1"/>
  <c r="BA65" i="15" s="1"/>
  <c r="AH65" i="15"/>
  <c r="AI65" i="15" s="1"/>
  <c r="AG62" i="21"/>
  <c r="AH62" i="21" s="1"/>
  <c r="AC2230" i="6"/>
  <c r="AC2231" i="6"/>
  <c r="AD2226" i="6"/>
  <c r="AD2225" i="6" s="1"/>
  <c r="AD13" i="5"/>
  <c r="AK118" i="22"/>
  <c r="AL118" i="22" s="1"/>
  <c r="AM118" i="22" s="1"/>
  <c r="AN118" i="22" s="1"/>
  <c r="AO118" i="22" s="1"/>
  <c r="AP118" i="22" s="1"/>
  <c r="AE80" i="21"/>
  <c r="AE74" i="20"/>
  <c r="AF74" i="20" s="1"/>
  <c r="AG74" i="20" s="1"/>
  <c r="AH74" i="20" s="1"/>
  <c r="AI74" i="20" s="1"/>
  <c r="AJ74" i="20" s="1"/>
  <c r="AK74" i="20" s="1"/>
  <c r="AL74" i="20" s="1"/>
  <c r="AM74" i="20" s="1"/>
  <c r="AN74" i="20" s="1"/>
  <c r="AO74" i="20" s="1"/>
  <c r="AP74" i="20" s="1"/>
  <c r="AQ74" i="20" s="1"/>
  <c r="AR74" i="20" s="1"/>
  <c r="AS74" i="20" s="1"/>
  <c r="AT74" i="20" s="1"/>
  <c r="AU74" i="20" s="1"/>
  <c r="AV74" i="20" s="1"/>
  <c r="AW74" i="20" s="1"/>
  <c r="AX74" i="20" s="1"/>
  <c r="AY74" i="20" s="1"/>
  <c r="AZ74" i="20" s="1"/>
  <c r="AJ105" i="14"/>
  <c r="AE44" i="19"/>
  <c r="AG106" i="21"/>
  <c r="AH106" i="21"/>
  <c r="AI106" i="21" s="1"/>
  <c r="AF200" i="14"/>
  <c r="X17" i="5"/>
  <c r="X24" i="5" s="1"/>
  <c r="X42" i="5" s="1"/>
  <c r="AX117" i="14"/>
  <c r="AY117" i="14" s="1"/>
  <c r="AZ117" i="14" s="1"/>
  <c r="BA117" i="14" s="1"/>
  <c r="U77" i="6"/>
  <c r="U78" i="6"/>
  <c r="V22" i="5"/>
  <c r="V25" i="5" s="1"/>
  <c r="V43" i="5" s="1"/>
  <c r="J15" i="23"/>
  <c r="K2448" i="6" s="1"/>
  <c r="L2448" i="6"/>
  <c r="AY43" i="18"/>
  <c r="AZ43" i="18" s="1"/>
  <c r="BA43" i="18" s="1"/>
  <c r="AK45" i="20"/>
  <c r="AL45" i="20" s="1"/>
  <c r="AM45" i="20" s="1"/>
  <c r="AN45" i="20" s="1"/>
  <c r="AO45" i="20" s="1"/>
  <c r="AP45" i="20" s="1"/>
  <c r="AQ45" i="20" s="1"/>
  <c r="AR45" i="20" s="1"/>
  <c r="AS45" i="20" s="1"/>
  <c r="AT45" i="20" s="1"/>
  <c r="AU45" i="20" s="1"/>
  <c r="AV45" i="20" s="1"/>
  <c r="AW45" i="20" s="1"/>
  <c r="AX45" i="20" s="1"/>
  <c r="AY45" i="20" s="1"/>
  <c r="AZ45" i="20" s="1"/>
  <c r="BA45" i="20" s="1"/>
  <c r="AF92" i="18"/>
  <c r="AG133" i="18"/>
  <c r="AH133" i="18" s="1"/>
  <c r="AI133" i="18" s="1"/>
  <c r="AJ133" i="18" s="1"/>
  <c r="AK133" i="18" s="1"/>
  <c r="AL133" i="18" s="1"/>
  <c r="AM133" i="18" s="1"/>
  <c r="AN133" i="18" s="1"/>
  <c r="AO133" i="18" s="1"/>
  <c r="AP133" i="18" s="1"/>
  <c r="AQ133" i="18" s="1"/>
  <c r="AR133" i="18" s="1"/>
  <c r="AS133" i="18" s="1"/>
  <c r="AT133" i="18" s="1"/>
  <c r="AU133" i="18" s="1"/>
  <c r="AV133" i="18" s="1"/>
  <c r="AW133" i="18" s="1"/>
  <c r="AX133" i="18" s="1"/>
  <c r="AY133" i="18" s="1"/>
  <c r="AZ133" i="18" s="1"/>
  <c r="AF133" i="18"/>
  <c r="AJ105" i="21"/>
  <c r="AK105" i="21" s="1"/>
  <c r="AL105" i="21" s="1"/>
  <c r="AR56" i="21"/>
  <c r="AS56" i="21" s="1"/>
  <c r="AT56" i="21" s="1"/>
  <c r="AU56" i="21" s="1"/>
  <c r="AV56" i="21" s="1"/>
  <c r="AW56" i="21" s="1"/>
  <c r="AX56" i="21" s="1"/>
  <c r="AY56" i="21" s="1"/>
  <c r="AZ56" i="21" s="1"/>
  <c r="BA56" i="21" s="1"/>
  <c r="Y20" i="9"/>
  <c r="AI143" i="18"/>
  <c r="AY58" i="15"/>
  <c r="AZ58" i="15" s="1"/>
  <c r="BA58" i="15" s="1"/>
  <c r="AR62" i="15"/>
  <c r="AS62" i="15" s="1"/>
  <c r="AT62" i="15" s="1"/>
  <c r="AU62" i="15" s="1"/>
  <c r="AV62" i="15" s="1"/>
  <c r="AW62" i="15" s="1"/>
  <c r="AX62" i="15" s="1"/>
  <c r="AY62" i="15" s="1"/>
  <c r="AZ62" i="15" s="1"/>
  <c r="BA62" i="15" s="1"/>
  <c r="AG62" i="14"/>
  <c r="AH62" i="14" s="1"/>
  <c r="AI62" i="14" s="1"/>
  <c r="AJ62" i="14" s="1"/>
  <c r="AK62" i="14" s="1"/>
  <c r="AL62" i="14" s="1"/>
  <c r="AM62" i="14" s="1"/>
  <c r="AN62" i="14" s="1"/>
  <c r="AO62" i="14" s="1"/>
  <c r="AP62" i="14" s="1"/>
  <c r="AQ62" i="14" s="1"/>
  <c r="AR62" i="14" s="1"/>
  <c r="AS62" i="14" s="1"/>
  <c r="AT62" i="14" s="1"/>
  <c r="AU62" i="14" s="1"/>
  <c r="AV62" i="14" s="1"/>
  <c r="AW62" i="14" s="1"/>
  <c r="AX62" i="14" s="1"/>
  <c r="AY62" i="14" s="1"/>
  <c r="AZ62" i="14" s="1"/>
  <c r="BA62" i="14" s="1"/>
  <c r="AR378" i="6"/>
  <c r="AN378" i="6"/>
  <c r="AJ378" i="6"/>
  <c r="AF378" i="6"/>
  <c r="AB378" i="6"/>
  <c r="X378" i="6"/>
  <c r="X356" i="6" s="1"/>
  <c r="X250" i="6"/>
  <c r="AQ378" i="6"/>
  <c r="AM378" i="6"/>
  <c r="AI378" i="6"/>
  <c r="AE378" i="6"/>
  <c r="AA378" i="6"/>
  <c r="AK378" i="6"/>
  <c r="AC378" i="6"/>
  <c r="X249" i="6"/>
  <c r="AP378" i="6"/>
  <c r="AL378" i="6"/>
  <c r="AH378" i="6"/>
  <c r="AD378" i="6"/>
  <c r="Z378" i="6"/>
  <c r="Z356" i="6" s="1"/>
  <c r="AO378" i="6"/>
  <c r="AG378" i="6"/>
  <c r="Y378" i="6"/>
  <c r="Y29" i="5"/>
  <c r="Y355" i="6"/>
  <c r="AA355" i="6"/>
  <c r="Z355" i="6"/>
  <c r="AD881" i="6"/>
  <c r="AE879" i="6"/>
  <c r="AD877" i="6"/>
  <c r="AI156" i="18"/>
  <c r="AJ156" i="18" s="1"/>
  <c r="AK156" i="18" s="1"/>
  <c r="AL156" i="18" s="1"/>
  <c r="AM156" i="18" s="1"/>
  <c r="AN156" i="18" s="1"/>
  <c r="AO156" i="18" s="1"/>
  <c r="AP156" i="18" s="1"/>
  <c r="AQ156" i="18" s="1"/>
  <c r="AR156" i="18" s="1"/>
  <c r="AS156" i="18" s="1"/>
  <c r="AT156" i="18" s="1"/>
  <c r="AU156" i="18" s="1"/>
  <c r="AV156" i="18" s="1"/>
  <c r="AW156" i="18" s="1"/>
  <c r="AX156" i="18" s="1"/>
  <c r="AY156" i="18" s="1"/>
  <c r="AZ156" i="18" s="1"/>
  <c r="AF151" i="14"/>
  <c r="AG151" i="14"/>
  <c r="AH151" i="14" s="1"/>
  <c r="AI85" i="22"/>
  <c r="AJ85" i="22" s="1"/>
  <c r="AK85" i="22" s="1"/>
  <c r="AL85" i="22" s="1"/>
  <c r="AM85" i="22" s="1"/>
  <c r="AN85" i="22" s="1"/>
  <c r="AO85" i="22" s="1"/>
  <c r="AP85" i="22" s="1"/>
  <c r="AQ85" i="22" s="1"/>
  <c r="AR85" i="22" s="1"/>
  <c r="AS85" i="22" s="1"/>
  <c r="AT85" i="22" s="1"/>
  <c r="AU85" i="22" s="1"/>
  <c r="AV85" i="22" s="1"/>
  <c r="AW85" i="22" s="1"/>
  <c r="AX85" i="22" s="1"/>
  <c r="AY85" i="22" s="1"/>
  <c r="AZ85" i="22" s="1"/>
  <c r="AG68" i="16"/>
  <c r="AH68" i="16" s="1"/>
  <c r="AI68" i="16" s="1"/>
  <c r="AJ68" i="16" s="1"/>
  <c r="AK68" i="16" s="1"/>
  <c r="AL68" i="16" s="1"/>
  <c r="AM68" i="16" s="1"/>
  <c r="AN68" i="16" s="1"/>
  <c r="AO68" i="16" s="1"/>
  <c r="AP68" i="16" s="1"/>
  <c r="AQ68" i="16" s="1"/>
  <c r="AR68" i="16" s="1"/>
  <c r="AS68" i="16" s="1"/>
  <c r="AT68" i="16" s="1"/>
  <c r="AU68" i="16" s="1"/>
  <c r="AV68" i="16" s="1"/>
  <c r="AW68" i="16" s="1"/>
  <c r="AX68" i="16" s="1"/>
  <c r="AY68" i="16" s="1"/>
  <c r="AZ68" i="16" s="1"/>
  <c r="BA68" i="16" s="1"/>
  <c r="AG70" i="19"/>
  <c r="AH70" i="19" s="1"/>
  <c r="AI70" i="19" s="1"/>
  <c r="AJ70" i="19" s="1"/>
  <c r="AK70" i="19" s="1"/>
  <c r="AL70" i="19" s="1"/>
  <c r="AM70" i="19" s="1"/>
  <c r="AN70" i="19" s="1"/>
  <c r="AO70" i="19" s="1"/>
  <c r="AP70" i="19" s="1"/>
  <c r="AQ70" i="19" s="1"/>
  <c r="AN158" i="14"/>
  <c r="AO158" i="14" s="1"/>
  <c r="AP158" i="14" s="1"/>
  <c r="AQ158" i="14" s="1"/>
  <c r="AR158" i="14" s="1"/>
  <c r="AS158" i="14" s="1"/>
  <c r="AT158" i="14" s="1"/>
  <c r="AU158" i="14" s="1"/>
  <c r="AV158" i="14" s="1"/>
  <c r="AW158" i="14" s="1"/>
  <c r="AX158" i="14" s="1"/>
  <c r="AY158" i="14" s="1"/>
  <c r="AZ158" i="14" s="1"/>
  <c r="BA158" i="14" s="1"/>
  <c r="AJ102" i="18"/>
  <c r="AK102" i="18" s="1"/>
  <c r="AL102" i="18" s="1"/>
  <c r="AM102" i="18" s="1"/>
  <c r="AN102" i="18" s="1"/>
  <c r="AO102" i="18" s="1"/>
  <c r="AP102" i="18" s="1"/>
  <c r="AQ102" i="18" s="1"/>
  <c r="AR102" i="18" s="1"/>
  <c r="AS102" i="18" s="1"/>
  <c r="AT102" i="18" s="1"/>
  <c r="AU102" i="18" s="1"/>
  <c r="AV102" i="18" s="1"/>
  <c r="AW102" i="18" s="1"/>
  <c r="AX102" i="18" s="1"/>
  <c r="AY102" i="18" s="1"/>
  <c r="AZ102" i="18" s="1"/>
  <c r="AH102" i="18"/>
  <c r="AI102" i="18" s="1"/>
  <c r="AE69" i="14"/>
  <c r="AD56" i="17"/>
  <c r="O2" i="14"/>
  <c r="AF599" i="6"/>
  <c r="AB599" i="6"/>
  <c r="X599" i="6"/>
  <c r="T599" i="6"/>
  <c r="AF547" i="6"/>
  <c r="AB547" i="6"/>
  <c r="X547" i="6"/>
  <c r="T547" i="6"/>
  <c r="AC529" i="6"/>
  <c r="AF495" i="6"/>
  <c r="AB495" i="6"/>
  <c r="X495" i="6"/>
  <c r="T495" i="6"/>
  <c r="AI599" i="6"/>
  <c r="AE599" i="6"/>
  <c r="AA599" i="6"/>
  <c r="W599" i="6"/>
  <c r="AE547" i="6"/>
  <c r="AA547" i="6"/>
  <c r="W547" i="6"/>
  <c r="AE495" i="6"/>
  <c r="AA495" i="6"/>
  <c r="W495" i="6"/>
  <c r="Q440" i="6"/>
  <c r="AC599" i="6"/>
  <c r="U599" i="6"/>
  <c r="AG547" i="6"/>
  <c r="Y547" i="6"/>
  <c r="U547" i="6"/>
  <c r="AG495" i="6"/>
  <c r="Y495" i="6"/>
  <c r="Q439" i="6"/>
  <c r="AH599" i="6"/>
  <c r="AD599" i="6"/>
  <c r="Z599" i="6"/>
  <c r="V599" i="6"/>
  <c r="AH547" i="6"/>
  <c r="AD547" i="6"/>
  <c r="Z547" i="6"/>
  <c r="V547" i="6"/>
  <c r="AH495" i="6"/>
  <c r="AD495" i="6"/>
  <c r="Z495" i="6"/>
  <c r="V495" i="6"/>
  <c r="AG599" i="6"/>
  <c r="Y599" i="6"/>
  <c r="AC547" i="6"/>
  <c r="AC495" i="6"/>
  <c r="U495" i="6"/>
  <c r="Q441" i="6"/>
  <c r="AC26" i="5"/>
  <c r="AV3139" i="6"/>
  <c r="AR3139" i="6"/>
  <c r="AN3139" i="6"/>
  <c r="AJ3139" i="6"/>
  <c r="AF3139" i="6"/>
  <c r="AB3139" i="6"/>
  <c r="AB3113" i="6" s="1"/>
  <c r="AB3007" i="6"/>
  <c r="AU3139" i="6"/>
  <c r="AQ3139" i="6"/>
  <c r="AM3139" i="6"/>
  <c r="AI3139" i="6"/>
  <c r="AE3139" i="6"/>
  <c r="AS3139" i="6"/>
  <c r="AK3139" i="6"/>
  <c r="AC3139" i="6"/>
  <c r="AB3006" i="6"/>
  <c r="AP3139" i="6"/>
  <c r="AH3139" i="6"/>
  <c r="AO3139" i="6"/>
  <c r="AG3139" i="6"/>
  <c r="AT3139" i="6"/>
  <c r="AL3139" i="6"/>
  <c r="AD3139" i="6"/>
  <c r="AH59" i="14"/>
  <c r="AH59" i="22"/>
  <c r="AI59" i="22" s="1"/>
  <c r="AJ59" i="22" s="1"/>
  <c r="AK59" i="22" s="1"/>
  <c r="AL59" i="22" s="1"/>
  <c r="AM59" i="22" s="1"/>
  <c r="AN59" i="22" s="1"/>
  <c r="AO59" i="22" s="1"/>
  <c r="AP59" i="22" s="1"/>
  <c r="AQ59" i="22" s="1"/>
  <c r="AR59" i="22" s="1"/>
  <c r="AS59" i="22" s="1"/>
  <c r="AT59" i="22" s="1"/>
  <c r="AU59" i="22" s="1"/>
  <c r="AV59" i="22" s="1"/>
  <c r="AW59" i="22" s="1"/>
  <c r="AX59" i="22" s="1"/>
  <c r="AY59" i="22" s="1"/>
  <c r="AZ59" i="22" s="1"/>
  <c r="BA59" i="22" s="1"/>
  <c r="AG117" i="18"/>
  <c r="AH117" i="18" s="1"/>
  <c r="AI117" i="18" s="1"/>
  <c r="AJ117" i="18" s="1"/>
  <c r="AH49" i="23"/>
  <c r="AI49" i="23" s="1"/>
  <c r="AJ49" i="23" s="1"/>
  <c r="AK49" i="23" s="1"/>
  <c r="AL49" i="23" s="1"/>
  <c r="AM49" i="23" s="1"/>
  <c r="AE64" i="21"/>
  <c r="AH66" i="21"/>
  <c r="AI66" i="21" s="1"/>
  <c r="AJ66" i="21" s="1"/>
  <c r="AK66" i="21" s="1"/>
  <c r="AL66" i="21" s="1"/>
  <c r="AM66" i="21" s="1"/>
  <c r="AN66" i="21" s="1"/>
  <c r="AO66" i="21" s="1"/>
  <c r="AP66" i="21" s="1"/>
  <c r="AQ66" i="21" s="1"/>
  <c r="AR66" i="21" s="1"/>
  <c r="AS66" i="21" s="1"/>
  <c r="AT66" i="21" s="1"/>
  <c r="AU66" i="21" s="1"/>
  <c r="AV66" i="21" s="1"/>
  <c r="AW66" i="21" s="1"/>
  <c r="AX66" i="21" s="1"/>
  <c r="AY66" i="21" s="1"/>
  <c r="AZ66" i="21" s="1"/>
  <c r="AI61" i="21"/>
  <c r="AJ61" i="21" s="1"/>
  <c r="AK61" i="21" s="1"/>
  <c r="AL61" i="21" s="1"/>
  <c r="AM61" i="21" s="1"/>
  <c r="AN61" i="21" s="1"/>
  <c r="AO61" i="21" s="1"/>
  <c r="AG67" i="20"/>
  <c r="AH190" i="14"/>
  <c r="AL47" i="20"/>
  <c r="AM47" i="20" s="1"/>
  <c r="AN47" i="20" s="1"/>
  <c r="AO47" i="20" s="1"/>
  <c r="AP47" i="20" s="1"/>
  <c r="AQ47" i="20" s="1"/>
  <c r="AR47" i="20" s="1"/>
  <c r="AS47" i="20" s="1"/>
  <c r="AT47" i="20" s="1"/>
  <c r="AU47" i="20" s="1"/>
  <c r="AV47" i="20" s="1"/>
  <c r="AW47" i="20" s="1"/>
  <c r="AX47" i="20" s="1"/>
  <c r="AY47" i="20" s="1"/>
  <c r="AZ47" i="20" s="1"/>
  <c r="BA47" i="20" s="1"/>
  <c r="AG73" i="22"/>
  <c r="W15" i="9"/>
  <c r="X2671" i="6" s="1"/>
  <c r="AP49" i="16"/>
  <c r="AQ49" i="16" s="1"/>
  <c r="AR49" i="16" s="1"/>
  <c r="AS49" i="16" s="1"/>
  <c r="AD82" i="14"/>
  <c r="AG114" i="14"/>
  <c r="AL71" i="13"/>
  <c r="AM71" i="13" s="1"/>
  <c r="AN71" i="13" s="1"/>
  <c r="AO71" i="13" s="1"/>
  <c r="AP71" i="13" s="1"/>
  <c r="AQ71" i="13" s="1"/>
  <c r="AK71" i="13"/>
  <c r="AH75" i="21"/>
  <c r="AO120" i="13"/>
  <c r="AF188" i="14"/>
  <c r="AG188" i="14" s="1"/>
  <c r="AH188" i="14" s="1"/>
  <c r="AI188" i="14" s="1"/>
  <c r="AJ188" i="14" s="1"/>
  <c r="AG74" i="21"/>
  <c r="AF107" i="14"/>
  <c r="AG107" i="14" s="1"/>
  <c r="AH107" i="14" s="1"/>
  <c r="AI107" i="14" s="1"/>
  <c r="AF47" i="15"/>
  <c r="AE69" i="18"/>
  <c r="AF69" i="18" s="1"/>
  <c r="AG69" i="18" s="1"/>
  <c r="AH69" i="18" s="1"/>
  <c r="AI69" i="18" s="1"/>
  <c r="AJ69" i="18" s="1"/>
  <c r="AK69" i="18" s="1"/>
  <c r="AL69" i="18" s="1"/>
  <c r="AM69" i="18" s="1"/>
  <c r="AN69" i="18" s="1"/>
  <c r="AO69" i="18" s="1"/>
  <c r="AP69" i="18" s="1"/>
  <c r="AQ69" i="18" s="1"/>
  <c r="AR69" i="18" s="1"/>
  <c r="AS69" i="18" s="1"/>
  <c r="AT69" i="18" s="1"/>
  <c r="AU69" i="18" s="1"/>
  <c r="AV69" i="18" s="1"/>
  <c r="AW69" i="18" s="1"/>
  <c r="AX69" i="18" s="1"/>
  <c r="AY69" i="18" s="1"/>
  <c r="AZ69" i="18" s="1"/>
  <c r="AH74" i="15"/>
  <c r="AI74" i="15" s="1"/>
  <c r="AJ74" i="15" s="1"/>
  <c r="AK74" i="15" s="1"/>
  <c r="AL74" i="15" s="1"/>
  <c r="AM74" i="15" s="1"/>
  <c r="AN74" i="15" s="1"/>
  <c r="AO74" i="15" s="1"/>
  <c r="AP74" i="15" s="1"/>
  <c r="AQ74" i="15" s="1"/>
  <c r="AR74" i="15" s="1"/>
  <c r="AS74" i="15" s="1"/>
  <c r="AT74" i="15" s="1"/>
  <c r="AU74" i="15" s="1"/>
  <c r="AV74" i="15" s="1"/>
  <c r="AW74" i="15" s="1"/>
  <c r="AX74" i="15" s="1"/>
  <c r="AY74" i="15" s="1"/>
  <c r="AZ74" i="15" s="1"/>
  <c r="BA74" i="15" s="1"/>
  <c r="AE72" i="22"/>
  <c r="AI66" i="13"/>
  <c r="AJ66" i="13" s="1"/>
  <c r="AK66" i="13" s="1"/>
  <c r="AL66" i="13" s="1"/>
  <c r="AM66" i="13" s="1"/>
  <c r="AN66" i="13" s="1"/>
  <c r="AO66" i="13" s="1"/>
  <c r="AH63" i="21"/>
  <c r="AI63" i="21" s="1"/>
  <c r="AJ63" i="21" s="1"/>
  <c r="AK63" i="21" s="1"/>
  <c r="AL63" i="21" s="1"/>
  <c r="AM63" i="21" s="1"/>
  <c r="AN63" i="21" s="1"/>
  <c r="AO63" i="21" s="1"/>
  <c r="AP63" i="21" s="1"/>
  <c r="AQ63" i="21" s="1"/>
  <c r="AR63" i="21" s="1"/>
  <c r="AS63" i="21" s="1"/>
  <c r="AT63" i="21" s="1"/>
  <c r="AU63" i="21" s="1"/>
  <c r="AV63" i="21" s="1"/>
  <c r="AW63" i="21" s="1"/>
  <c r="AX63" i="21" s="1"/>
  <c r="AY63" i="21" s="1"/>
  <c r="AZ63" i="21" s="1"/>
  <c r="AE1330" i="6"/>
  <c r="AD1334" i="6"/>
  <c r="AD1335" i="6"/>
  <c r="AE10" i="5"/>
  <c r="AF47" i="18"/>
  <c r="AE47" i="18"/>
  <c r="AG47" i="18" s="1"/>
  <c r="AN81" i="14"/>
  <c r="AO81" i="14" s="1"/>
  <c r="AP81" i="14" s="1"/>
  <c r="AQ81" i="14" s="1"/>
  <c r="AR81" i="14" s="1"/>
  <c r="AS81" i="14" s="1"/>
  <c r="AT81" i="14" s="1"/>
  <c r="AU81" i="14" s="1"/>
  <c r="AV81" i="14" s="1"/>
  <c r="AW81" i="14" s="1"/>
  <c r="AX81" i="14" s="1"/>
  <c r="AY81" i="14" s="1"/>
  <c r="AZ81" i="14" s="1"/>
  <c r="BA81" i="14" s="1"/>
  <c r="AG73" i="15"/>
  <c r="AR68" i="13"/>
  <c r="AS68" i="13" s="1"/>
  <c r="AT68" i="13" s="1"/>
  <c r="AU68" i="13" s="1"/>
  <c r="AV68" i="13" s="1"/>
  <c r="AW68" i="13" s="1"/>
  <c r="AX68" i="13" s="1"/>
  <c r="AY68" i="13" s="1"/>
  <c r="AZ68" i="13" s="1"/>
  <c r="BA68" i="13" s="1"/>
  <c r="AC1108" i="6"/>
  <c r="AC1102" i="6"/>
  <c r="AD1104" i="6"/>
  <c r="AD106" i="22"/>
  <c r="AE106" i="22" s="1"/>
  <c r="AG53" i="21"/>
  <c r="AT85" i="13"/>
  <c r="AU85" i="13" s="1"/>
  <c r="AV85" i="13" s="1"/>
  <c r="AW85" i="13" s="1"/>
  <c r="AX85" i="13" s="1"/>
  <c r="AY85" i="13" s="1"/>
  <c r="AZ85" i="13" s="1"/>
  <c r="BA85" i="13" s="1"/>
  <c r="AF83" i="18"/>
  <c r="AO59" i="20"/>
  <c r="AP59" i="20" s="1"/>
  <c r="AQ59" i="20" s="1"/>
  <c r="AI152" i="14"/>
  <c r="AJ152" i="14" s="1"/>
  <c r="AK152" i="14" s="1"/>
  <c r="AL152" i="14" s="1"/>
  <c r="AM152" i="14" s="1"/>
  <c r="AN152" i="14" s="1"/>
  <c r="AO152" i="14" s="1"/>
  <c r="AP152" i="14" s="1"/>
  <c r="AQ152" i="14" s="1"/>
  <c r="AR152" i="14" s="1"/>
  <c r="AS152" i="14" s="1"/>
  <c r="AT152" i="14" s="1"/>
  <c r="AU152" i="14" s="1"/>
  <c r="AV152" i="14" s="1"/>
  <c r="AW152" i="14" s="1"/>
  <c r="AG130" i="14"/>
  <c r="AH130" i="14" s="1"/>
  <c r="AI130" i="14" s="1"/>
  <c r="AJ130" i="14" s="1"/>
  <c r="AK130" i="14" s="1"/>
  <c r="AL130" i="14" s="1"/>
  <c r="AM130" i="14" s="1"/>
  <c r="AN130" i="14" s="1"/>
  <c r="AO130" i="14" s="1"/>
  <c r="AP130" i="14" s="1"/>
  <c r="AQ130" i="14" s="1"/>
  <c r="AR130" i="14" s="1"/>
  <c r="AS130" i="14" s="1"/>
  <c r="AT130" i="14" s="1"/>
  <c r="AU130" i="14" s="1"/>
  <c r="AV130" i="14" s="1"/>
  <c r="AW130" i="14" s="1"/>
  <c r="AX130" i="14" s="1"/>
  <c r="AY130" i="14" s="1"/>
  <c r="AZ130" i="14" s="1"/>
  <c r="BA130" i="14" s="1"/>
  <c r="AL66" i="19"/>
  <c r="AN66" i="19" s="1"/>
  <c r="AO66" i="19" s="1"/>
  <c r="AP66" i="19" s="1"/>
  <c r="AQ66" i="19" s="1"/>
  <c r="AR66" i="19" s="1"/>
  <c r="AS66" i="19" s="1"/>
  <c r="AT66" i="19" s="1"/>
  <c r="AU66" i="19" s="1"/>
  <c r="AM66" i="19"/>
  <c r="AC62" i="12"/>
  <c r="AD62" i="12" s="1"/>
  <c r="AI113" i="14"/>
  <c r="AJ113" i="14" s="1"/>
  <c r="AK113" i="14" s="1"/>
  <c r="AM61" i="18"/>
  <c r="AN61" i="18" s="1"/>
  <c r="AO61" i="18" s="1"/>
  <c r="AP61" i="18" s="1"/>
  <c r="AQ61" i="18" s="1"/>
  <c r="AR61" i="18" s="1"/>
  <c r="AS61" i="18" s="1"/>
  <c r="AT61" i="18" s="1"/>
  <c r="AU61" i="18" s="1"/>
  <c r="AV61" i="18" s="1"/>
  <c r="AW61" i="18" s="1"/>
  <c r="AX61" i="18" s="1"/>
  <c r="AY61" i="18" s="1"/>
  <c r="AZ61" i="18" s="1"/>
  <c r="BA61" i="18" s="1"/>
  <c r="AJ90" i="18"/>
  <c r="AK90" i="18" s="1"/>
  <c r="AL90" i="18" s="1"/>
  <c r="AM90" i="18" s="1"/>
  <c r="AN90" i="18" s="1"/>
  <c r="AO90" i="18" s="1"/>
  <c r="AP90" i="18" s="1"/>
  <c r="AQ90" i="18" s="1"/>
  <c r="AR90" i="18" s="1"/>
  <c r="AS90" i="18" s="1"/>
  <c r="AT90" i="18" s="1"/>
  <c r="AU90" i="18" s="1"/>
  <c r="AV90" i="18" s="1"/>
  <c r="AW90" i="18" s="1"/>
  <c r="AX90" i="18" s="1"/>
  <c r="AY90" i="18" s="1"/>
  <c r="AZ90" i="18" s="1"/>
  <c r="AH81" i="21"/>
  <c r="AI81" i="21" s="1"/>
  <c r="AJ81" i="21" s="1"/>
  <c r="AK81" i="21" s="1"/>
  <c r="AL81" i="21" s="1"/>
  <c r="AM81" i="21" s="1"/>
  <c r="AN81" i="21" s="1"/>
  <c r="AO81" i="21" s="1"/>
  <c r="AP81" i="21" s="1"/>
  <c r="AQ81" i="21" s="1"/>
  <c r="AR81" i="21" s="1"/>
  <c r="AS81" i="21" s="1"/>
  <c r="AT81" i="21" s="1"/>
  <c r="AU81" i="21" s="1"/>
  <c r="AV81" i="21" s="1"/>
  <c r="AW81" i="21" s="1"/>
  <c r="AX81" i="21" s="1"/>
  <c r="AY81" i="21" s="1"/>
  <c r="AZ81" i="21" s="1"/>
  <c r="AO100" i="18"/>
  <c r="AP100" i="18" s="1"/>
  <c r="AQ100" i="18" s="1"/>
  <c r="AR100" i="18" s="1"/>
  <c r="AS100" i="18" s="1"/>
  <c r="AT100" i="18" s="1"/>
  <c r="AU100" i="18" s="1"/>
  <c r="AV100" i="18" s="1"/>
  <c r="AW100" i="18" s="1"/>
  <c r="AX100" i="18" s="1"/>
  <c r="AY100" i="18" s="1"/>
  <c r="AZ100" i="18" s="1"/>
  <c r="AD111" i="21"/>
  <c r="AG59" i="16"/>
  <c r="AH59" i="16" s="1"/>
  <c r="AI59" i="16" s="1"/>
  <c r="AJ59" i="16" s="1"/>
  <c r="AK59" i="16" s="1"/>
  <c r="AF51" i="15"/>
  <c r="AG51" i="15" s="1"/>
  <c r="AH51" i="15" s="1"/>
  <c r="AI51" i="15" s="1"/>
  <c r="AJ51" i="15" s="1"/>
  <c r="AK51" i="15" s="1"/>
  <c r="AL51" i="15" s="1"/>
  <c r="AD73" i="20"/>
  <c r="AM63" i="15"/>
  <c r="AN63" i="15" s="1"/>
  <c r="AO63" i="15" s="1"/>
  <c r="AP63" i="15" s="1"/>
  <c r="AQ63" i="15" s="1"/>
  <c r="AR63" i="15" s="1"/>
  <c r="AS63" i="15" s="1"/>
  <c r="AT63" i="15" s="1"/>
  <c r="AU63" i="15" s="1"/>
  <c r="AV63" i="15" s="1"/>
  <c r="AW63" i="15" s="1"/>
  <c r="AX63" i="15" s="1"/>
  <c r="AY63" i="15" s="1"/>
  <c r="AZ63" i="15" s="1"/>
  <c r="BA63" i="15" s="1"/>
  <c r="AG63" i="15"/>
  <c r="AH63" i="15" s="1"/>
  <c r="AI63" i="15"/>
  <c r="AJ63" i="15" s="1"/>
  <c r="AK63" i="15" s="1"/>
  <c r="AL63" i="15" s="1"/>
  <c r="AR203" i="14"/>
  <c r="AS203" i="14" s="1"/>
  <c r="AT203" i="14" s="1"/>
  <c r="AU203" i="14" s="1"/>
  <c r="AV203" i="14" s="1"/>
  <c r="AW203" i="14" s="1"/>
  <c r="AX203" i="14" s="1"/>
  <c r="AY203" i="14" s="1"/>
  <c r="AZ203" i="14" s="1"/>
  <c r="BA203" i="14" s="1"/>
  <c r="AJ92" i="21"/>
  <c r="AJ50" i="20"/>
  <c r="AK50" i="20" s="1"/>
  <c r="O78" i="6"/>
  <c r="O77" i="6"/>
  <c r="AE97" i="22"/>
  <c r="AL97" i="22" s="1"/>
  <c r="AM97" i="22" s="1"/>
  <c r="AN97" i="22" s="1"/>
  <c r="AO97" i="22" s="1"/>
  <c r="AP97" i="22" s="1"/>
  <c r="AQ97" i="22" s="1"/>
  <c r="AR97" i="22" s="1"/>
  <c r="AS97" i="22" s="1"/>
  <c r="AT97" i="22" s="1"/>
  <c r="AU97" i="22" s="1"/>
  <c r="AV97" i="22" s="1"/>
  <c r="AW97" i="22" s="1"/>
  <c r="AX97" i="22" s="1"/>
  <c r="AY97" i="22" s="1"/>
  <c r="AZ97" i="22" s="1"/>
  <c r="AH78" i="14"/>
  <c r="AI78" i="14" s="1"/>
  <c r="AJ78" i="14" s="1"/>
  <c r="AH96" i="22"/>
  <c r="AI96" i="22" s="1"/>
  <c r="AJ96" i="22" s="1"/>
  <c r="AK96" i="22" s="1"/>
  <c r="AL96" i="22" s="1"/>
  <c r="AW51" i="21"/>
  <c r="AX51" i="21" s="1"/>
  <c r="AY51" i="21" s="1"/>
  <c r="AZ51" i="21" s="1"/>
  <c r="BA51" i="21" s="1"/>
  <c r="AK88" i="14"/>
  <c r="AL88" i="14" s="1"/>
  <c r="AM88" i="14" s="1"/>
  <c r="AN88" i="14" s="1"/>
  <c r="AO88" i="14" s="1"/>
  <c r="AP88" i="14" s="1"/>
  <c r="AQ88" i="14" s="1"/>
  <c r="AR88" i="14" s="1"/>
  <c r="AS88" i="14" s="1"/>
  <c r="AT88" i="14" s="1"/>
  <c r="AU88" i="14" s="1"/>
  <c r="AV88" i="14" s="1"/>
  <c r="AW88" i="14" s="1"/>
  <c r="AX88" i="14" s="1"/>
  <c r="AY88" i="14" s="1"/>
  <c r="AZ88" i="14" s="1"/>
  <c r="BA88" i="14" s="1"/>
  <c r="AS186" i="14"/>
  <c r="AT186" i="14" s="1"/>
  <c r="AU186" i="14" s="1"/>
  <c r="AV186" i="14" s="1"/>
  <c r="AW186" i="14" s="1"/>
  <c r="AX186" i="14" s="1"/>
  <c r="AY186" i="14" s="1"/>
  <c r="AZ186" i="14" s="1"/>
  <c r="BA186" i="14" s="1"/>
  <c r="AG127" i="22"/>
  <c r="AH127" i="22" s="1"/>
  <c r="AI127" i="22" s="1"/>
  <c r="AF43" i="21"/>
  <c r="AJ106" i="13"/>
  <c r="AK106" i="13"/>
  <c r="AW42" i="21"/>
  <c r="AX42" i="21" s="1"/>
  <c r="AY42" i="21" s="1"/>
  <c r="AZ42" i="21" s="1"/>
  <c r="BA42" i="21" s="1"/>
  <c r="O21" i="17"/>
  <c r="Q1106" i="6"/>
  <c r="R19" i="5" s="1"/>
  <c r="AE90" i="13"/>
  <c r="AF90" i="13" s="1"/>
  <c r="AG90" i="13" s="1"/>
  <c r="AH90" i="13" s="1"/>
  <c r="AI90" i="13" s="1"/>
  <c r="AJ90" i="13" s="1"/>
  <c r="AK90" i="13" s="1"/>
  <c r="AL90" i="13" s="1"/>
  <c r="AM90" i="13" s="1"/>
  <c r="AN90" i="13" s="1"/>
  <c r="AO90" i="13" s="1"/>
  <c r="AP90" i="13" s="1"/>
  <c r="AQ90" i="13" s="1"/>
  <c r="AR90" i="13" s="1"/>
  <c r="AS90" i="13" s="1"/>
  <c r="AT90" i="13" s="1"/>
  <c r="AU90" i="13" s="1"/>
  <c r="AV90" i="13" s="1"/>
  <c r="AW90" i="13" s="1"/>
  <c r="AX90" i="13" s="1"/>
  <c r="AY90" i="13" s="1"/>
  <c r="AZ90" i="13" s="1"/>
  <c r="BA90" i="13" s="1"/>
  <c r="AL40" i="22"/>
  <c r="AM40" i="22" s="1"/>
  <c r="AN40" i="22" s="1"/>
  <c r="AO40" i="22" s="1"/>
  <c r="AP40" i="22" s="1"/>
  <c r="AQ40" i="22" s="1"/>
  <c r="AR40" i="22" s="1"/>
  <c r="AS40" i="22" s="1"/>
  <c r="AT40" i="22" s="1"/>
  <c r="AU40" i="22" s="1"/>
  <c r="AV40" i="22" s="1"/>
  <c r="AW40" i="22" s="1"/>
  <c r="AX40" i="22" s="1"/>
  <c r="AY40" i="22" s="1"/>
  <c r="AZ40" i="22" s="1"/>
  <c r="BA40" i="22" s="1"/>
  <c r="AF87" i="18"/>
  <c r="AI54" i="17"/>
  <c r="AF43" i="19"/>
  <c r="AV26" i="7"/>
  <c r="AW23" i="7"/>
  <c r="AL63" i="18"/>
  <c r="AB26" i="5"/>
  <c r="AC2507" i="6"/>
  <c r="AC2506" i="6"/>
  <c r="AE51" i="20"/>
  <c r="G226" i="10"/>
  <c r="H302" i="10"/>
  <c r="AD1554" i="6"/>
  <c r="AM91" i="22"/>
  <c r="AC38" i="23"/>
  <c r="AC31" i="22"/>
  <c r="AC31" i="21"/>
  <c r="AC31" i="20"/>
  <c r="AC31" i="19"/>
  <c r="AC36" i="17"/>
  <c r="AC31" i="18"/>
  <c r="AC41" i="16"/>
  <c r="AC33" i="15"/>
  <c r="AC48" i="14"/>
  <c r="AD6" i="7"/>
  <c r="AC40" i="13"/>
  <c r="AN76" i="13"/>
  <c r="AF69" i="16"/>
  <c r="AH61" i="15"/>
  <c r="AI61" i="15" s="1"/>
  <c r="AJ61" i="15" s="1"/>
  <c r="AK61" i="15" s="1"/>
  <c r="AL61" i="15"/>
  <c r="AK45" i="22"/>
  <c r="AL45" i="22" s="1"/>
  <c r="AM45" i="22" s="1"/>
  <c r="AN45" i="22" s="1"/>
  <c r="AO45" i="22" s="1"/>
  <c r="AP45" i="22" s="1"/>
  <c r="AQ45" i="22" s="1"/>
  <c r="AR45" i="22" s="1"/>
  <c r="AS45" i="22" s="1"/>
  <c r="AT45" i="22" s="1"/>
  <c r="AU45" i="22" s="1"/>
  <c r="AV45" i="22" s="1"/>
  <c r="AW45" i="22" s="1"/>
  <c r="AX45" i="22" s="1"/>
  <c r="AY45" i="22" s="1"/>
  <c r="AZ45" i="22" s="1"/>
  <c r="BA45" i="22" s="1"/>
  <c r="AR112" i="14"/>
  <c r="AS112" i="14" s="1"/>
  <c r="AT112" i="14" s="1"/>
  <c r="AU112" i="14" s="1"/>
  <c r="AV112" i="14" s="1"/>
  <c r="AW112" i="14" s="1"/>
  <c r="AX112" i="14" s="1"/>
  <c r="AY112" i="14" s="1"/>
  <c r="AZ112" i="14" s="1"/>
  <c r="BA112" i="14" s="1"/>
  <c r="AG82" i="21"/>
  <c r="AH82" i="21" s="1"/>
  <c r="AI82" i="21" s="1"/>
  <c r="AJ82" i="21" s="1"/>
  <c r="AK82" i="21" s="1"/>
  <c r="AL82" i="21" s="1"/>
  <c r="AM82" i="21" s="1"/>
  <c r="AN82" i="21" s="1"/>
  <c r="AO82" i="21" s="1"/>
  <c r="AP82" i="21" s="1"/>
  <c r="AQ82" i="21" s="1"/>
  <c r="AR82" i="21" s="1"/>
  <c r="AS82" i="21" s="1"/>
  <c r="AT82" i="21" s="1"/>
  <c r="AU82" i="21" s="1"/>
  <c r="AV82" i="21" s="1"/>
  <c r="AW82" i="21" s="1"/>
  <c r="AD49" i="19"/>
  <c r="AI114" i="13"/>
  <c r="AJ114" i="13" s="1"/>
  <c r="AK114" i="13" s="1"/>
  <c r="AL114" i="13" s="1"/>
  <c r="AM114" i="13" s="1"/>
  <c r="AN114" i="13" s="1"/>
  <c r="AM105" i="21"/>
  <c r="AN105" i="21" s="1"/>
  <c r="AO105" i="21" s="1"/>
  <c r="AP105" i="21" s="1"/>
  <c r="AQ105" i="21" s="1"/>
  <c r="AR105" i="21" s="1"/>
  <c r="AS105" i="21" s="1"/>
  <c r="AT105" i="21" s="1"/>
  <c r="AU105" i="21" s="1"/>
  <c r="AV105" i="21" s="1"/>
  <c r="AW105" i="21" s="1"/>
  <c r="AX105" i="21" s="1"/>
  <c r="AY105" i="21" s="1"/>
  <c r="AZ105" i="21" s="1"/>
  <c r="AO192" i="14"/>
  <c r="AP192" i="14" s="1"/>
  <c r="AQ192" i="14" s="1"/>
  <c r="AR192" i="14" s="1"/>
  <c r="AS192" i="14" s="1"/>
  <c r="AT192" i="14" s="1"/>
  <c r="AU192" i="14" s="1"/>
  <c r="AV192" i="14" s="1"/>
  <c r="AW192" i="14" s="1"/>
  <c r="AX192" i="14" s="1"/>
  <c r="AY192" i="14" s="1"/>
  <c r="AZ192" i="14" s="1"/>
  <c r="BA192" i="14" s="1"/>
  <c r="AT324" i="6"/>
  <c r="AP324" i="6"/>
  <c r="AL324" i="6"/>
  <c r="AH324" i="6"/>
  <c r="AD324" i="6"/>
  <c r="Z324" i="6"/>
  <c r="AU272" i="6"/>
  <c r="AQ272" i="6"/>
  <c r="AM272" i="6"/>
  <c r="AI272" i="6"/>
  <c r="AE272" i="6"/>
  <c r="AA272" i="6"/>
  <c r="W272" i="6"/>
  <c r="W251" i="6" s="1" a="1"/>
  <c r="W251" i="6" s="1"/>
  <c r="W409" i="6" s="1"/>
  <c r="AM324" i="6"/>
  <c r="W324" i="6"/>
  <c r="W303" i="6" s="1" a="1"/>
  <c r="W303" i="6" s="1"/>
  <c r="AS324" i="6"/>
  <c r="AO324" i="6"/>
  <c r="AK324" i="6"/>
  <c r="AG324" i="6"/>
  <c r="AC324" i="6"/>
  <c r="Y324" i="6"/>
  <c r="AT272" i="6"/>
  <c r="AP272" i="6"/>
  <c r="AL272" i="6"/>
  <c r="AH272" i="6"/>
  <c r="AD272" i="6"/>
  <c r="Z272" i="6"/>
  <c r="AQ324" i="6"/>
  <c r="AE324" i="6"/>
  <c r="AN272" i="6"/>
  <c r="AF272" i="6"/>
  <c r="X272" i="6"/>
  <c r="AR324" i="6"/>
  <c r="AN324" i="6"/>
  <c r="AJ324" i="6"/>
  <c r="AF324" i="6"/>
  <c r="AB324" i="6"/>
  <c r="X324" i="6"/>
  <c r="AS272" i="6"/>
  <c r="AO272" i="6"/>
  <c r="AK272" i="6"/>
  <c r="AG272" i="6"/>
  <c r="AC272" i="6"/>
  <c r="Y272" i="6"/>
  <c r="AU324" i="6"/>
  <c r="AI324" i="6"/>
  <c r="AA324" i="6"/>
  <c r="AR272" i="6"/>
  <c r="AJ272" i="6"/>
  <c r="AB272" i="6"/>
  <c r="AI116" i="22"/>
  <c r="AM161" i="14"/>
  <c r="AN161" i="14" s="1"/>
  <c r="AO161" i="14" s="1"/>
  <c r="AP161" i="14" s="1"/>
  <c r="AT49" i="16"/>
  <c r="AU49" i="16" s="1"/>
  <c r="AV49" i="16" s="1"/>
  <c r="AW49" i="16" s="1"/>
  <c r="AX49" i="16" s="1"/>
  <c r="AY49" i="16" s="1"/>
  <c r="AZ49" i="16" s="1"/>
  <c r="BA49" i="16" s="1"/>
  <c r="AH125" i="18"/>
  <c r="AH118" i="22"/>
  <c r="AI118" i="22" s="1"/>
  <c r="AJ118" i="22" s="1"/>
  <c r="AT76" i="20"/>
  <c r="AU76" i="20" s="1"/>
  <c r="AV76" i="20" s="1"/>
  <c r="AW76" i="20" s="1"/>
  <c r="AX76" i="20" s="1"/>
  <c r="AY76" i="20" s="1"/>
  <c r="AZ76" i="20" s="1"/>
  <c r="AE193" i="14"/>
  <c r="AD36" i="19"/>
  <c r="AH51" i="13"/>
  <c r="AI51" i="13" s="1"/>
  <c r="AJ51" i="13" s="1"/>
  <c r="AK51" i="13" s="1"/>
  <c r="AL51" i="13" s="1"/>
  <c r="AM51" i="13" s="1"/>
  <c r="AN51" i="13" s="1"/>
  <c r="AO51" i="13" s="1"/>
  <c r="AP51" i="13" s="1"/>
  <c r="AQ51" i="13" s="1"/>
  <c r="AR51" i="13" s="1"/>
  <c r="AS51" i="13" s="1"/>
  <c r="AT51" i="13" s="1"/>
  <c r="AU51" i="13" s="1"/>
  <c r="AV51" i="13" s="1"/>
  <c r="AW51" i="13" s="1"/>
  <c r="AX51" i="13" s="1"/>
  <c r="AY51" i="13" s="1"/>
  <c r="AZ51" i="13" s="1"/>
  <c r="BA51" i="13" s="1"/>
  <c r="AK65" i="19"/>
  <c r="AL65" i="19" s="1"/>
  <c r="AM65" i="19" s="1"/>
  <c r="AN65" i="19" s="1"/>
  <c r="AO65" i="19" s="1"/>
  <c r="AP65" i="19" s="1"/>
  <c r="AQ65" i="19" s="1"/>
  <c r="AR65" i="19" s="1"/>
  <c r="AS65" i="19" s="1"/>
  <c r="AT65" i="19" s="1"/>
  <c r="AU65" i="19" s="1"/>
  <c r="AV65" i="19" s="1"/>
  <c r="AW65" i="19" s="1"/>
  <c r="AX65" i="19" s="1"/>
  <c r="AY65" i="19" s="1"/>
  <c r="AZ65" i="19" s="1"/>
  <c r="AK57" i="21"/>
  <c r="AL57" i="21" s="1"/>
  <c r="AM57" i="21" s="1"/>
  <c r="AN57" i="21" s="1"/>
  <c r="AO57" i="21" s="1"/>
  <c r="AP57" i="21" s="1"/>
  <c r="AQ57" i="21" s="1"/>
  <c r="AR57" i="21" s="1"/>
  <c r="AS57" i="21" s="1"/>
  <c r="AT57" i="21" s="1"/>
  <c r="AU57" i="21" s="1"/>
  <c r="AV57" i="21" s="1"/>
  <c r="AW57" i="21" s="1"/>
  <c r="AX57" i="21" s="1"/>
  <c r="AY57" i="21" s="1"/>
  <c r="AZ57" i="21" s="1"/>
  <c r="BA57" i="21" s="1"/>
  <c r="AH62" i="17"/>
  <c r="AI62" i="17" s="1"/>
  <c r="AJ62" i="17" s="1"/>
  <c r="AK62" i="17" s="1"/>
  <c r="AL62" i="17" s="1"/>
  <c r="AM62" i="17" s="1"/>
  <c r="AN62" i="17" s="1"/>
  <c r="AO62" i="17" s="1"/>
  <c r="AP62" i="17" s="1"/>
  <c r="AQ62" i="17" s="1"/>
  <c r="AR62" i="17" s="1"/>
  <c r="AS62" i="17" s="1"/>
  <c r="AT62" i="17" s="1"/>
  <c r="AU62" i="17" s="1"/>
  <c r="AV62" i="17" s="1"/>
  <c r="AW62" i="17" s="1"/>
  <c r="AX62" i="17" s="1"/>
  <c r="AY62" i="17" s="1"/>
  <c r="AZ62" i="17" s="1"/>
  <c r="BA62" i="17" s="1"/>
  <c r="AF50" i="15"/>
  <c r="AG50" i="15" s="1"/>
  <c r="AH50" i="15" s="1"/>
  <c r="AI50" i="15" s="1"/>
  <c r="AJ50" i="15" s="1"/>
  <c r="AK50" i="15" s="1"/>
  <c r="AL50" i="15" s="1"/>
  <c r="AM50" i="15" s="1"/>
  <c r="AN50" i="15" s="1"/>
  <c r="AO50" i="15" s="1"/>
  <c r="AP50" i="15" s="1"/>
  <c r="AQ50" i="15" s="1"/>
  <c r="AR50" i="15" s="1"/>
  <c r="AS50" i="15" s="1"/>
  <c r="AT50" i="15" s="1"/>
  <c r="AU50" i="15" s="1"/>
  <c r="AV50" i="15" s="1"/>
  <c r="AW50" i="15" s="1"/>
  <c r="AX50" i="15" s="1"/>
  <c r="AY50" i="15" s="1"/>
  <c r="AZ50" i="15" s="1"/>
  <c r="BA50" i="15" s="1"/>
  <c r="AI89" i="14"/>
  <c r="AM66" i="17"/>
  <c r="AN66" i="17" s="1"/>
  <c r="AO66" i="17" s="1"/>
  <c r="AP66" i="17" s="1"/>
  <c r="AQ66" i="17" s="1"/>
  <c r="AR66" i="17" s="1"/>
  <c r="AS66" i="17" s="1"/>
  <c r="AT66" i="17" s="1"/>
  <c r="AU66" i="17" s="1"/>
  <c r="AV66" i="17" s="1"/>
  <c r="AW66" i="17" s="1"/>
  <c r="AX66" i="17" s="1"/>
  <c r="AY66" i="17" s="1"/>
  <c r="AZ66" i="17" s="1"/>
  <c r="BA66" i="17" s="1"/>
  <c r="AF85" i="21"/>
  <c r="AG165" i="14"/>
  <c r="AP57" i="15"/>
  <c r="AQ57" i="15" s="1"/>
  <c r="AR57" i="15" s="1"/>
  <c r="AS57" i="15" s="1"/>
  <c r="AT57" i="15" s="1"/>
  <c r="AU57" i="15" s="1"/>
  <c r="AV57" i="15" s="1"/>
  <c r="AW57" i="15" s="1"/>
  <c r="AX57" i="15" s="1"/>
  <c r="AY57" i="15" s="1"/>
  <c r="AZ57" i="15" s="1"/>
  <c r="BA57" i="15" s="1"/>
  <c r="AB421" i="6"/>
  <c r="AC20" i="5" s="1"/>
  <c r="AB417" i="6"/>
  <c r="AC412" i="6"/>
  <c r="AC5" i="5"/>
  <c r="AB418" i="6"/>
  <c r="AB415" i="6"/>
  <c r="AB420" i="6"/>
  <c r="AC4" i="5"/>
  <c r="AI106" i="18"/>
  <c r="AJ106" i="18" s="1"/>
  <c r="AK106" i="18" s="1"/>
  <c r="AL106" i="18" s="1"/>
  <c r="AM106" i="18" s="1"/>
  <c r="AN106" i="18" s="1"/>
  <c r="AO106" i="18" s="1"/>
  <c r="AP106" i="18" s="1"/>
  <c r="AQ106" i="18" s="1"/>
  <c r="AR106" i="18" s="1"/>
  <c r="AS106" i="18" s="1"/>
  <c r="AT106" i="18" s="1"/>
  <c r="AU106" i="18" s="1"/>
  <c r="AV106" i="18" s="1"/>
  <c r="AW106" i="18" s="1"/>
  <c r="AX106" i="18" s="1"/>
  <c r="AY106" i="18" s="1"/>
  <c r="AZ106" i="18" s="1"/>
  <c r="AP2799" i="6"/>
  <c r="AL2799" i="6"/>
  <c r="AH2799" i="6"/>
  <c r="AD2799" i="6"/>
  <c r="Z2799" i="6"/>
  <c r="V2799" i="6"/>
  <c r="V2673" i="6"/>
  <c r="AN2799" i="6"/>
  <c r="AI2799" i="6"/>
  <c r="AC2799" i="6"/>
  <c r="X2799" i="6"/>
  <c r="AM2799" i="6"/>
  <c r="AG2799" i="6"/>
  <c r="AB2799" i="6"/>
  <c r="W2799" i="6"/>
  <c r="W2779" i="6" s="1"/>
  <c r="AJ2799" i="6"/>
  <c r="Y2799" i="6"/>
  <c r="AF2799" i="6"/>
  <c r="AO2799" i="6"/>
  <c r="AE2799" i="6"/>
  <c r="AK2799" i="6"/>
  <c r="AA2799" i="6"/>
  <c r="V2672" i="6"/>
  <c r="W27" i="5"/>
  <c r="AH189" i="14"/>
  <c r="AI189" i="14"/>
  <c r="AJ189" i="14" s="1"/>
  <c r="AK189" i="14" s="1"/>
  <c r="AG123" i="13"/>
  <c r="AH123" i="13" s="1"/>
  <c r="AI123" i="13" s="1"/>
  <c r="AJ123" i="13" s="1"/>
  <c r="AK123" i="13" s="1"/>
  <c r="AL123" i="13" s="1"/>
  <c r="AM123" i="13" s="1"/>
  <c r="AN123" i="13" s="1"/>
  <c r="AO123" i="13" s="1"/>
  <c r="AP123" i="13" s="1"/>
  <c r="AQ123" i="13" s="1"/>
  <c r="AF73" i="21"/>
  <c r="AG73" i="21" s="1"/>
  <c r="AH73" i="21" s="1"/>
  <c r="AI73" i="21" s="1"/>
  <c r="AJ73" i="21" s="1"/>
  <c r="AK73" i="21" s="1"/>
  <c r="AL73" i="21" s="1"/>
  <c r="AM73" i="21" s="1"/>
  <c r="AN73" i="21" s="1"/>
  <c r="AO73" i="21" s="1"/>
  <c r="AP73" i="21" s="1"/>
  <c r="AQ73" i="21" s="1"/>
  <c r="AR73" i="21" s="1"/>
  <c r="AS73" i="21" s="1"/>
  <c r="AT73" i="21" s="1"/>
  <c r="AU73" i="21" s="1"/>
  <c r="AV73" i="21" s="1"/>
  <c r="AW73" i="21" s="1"/>
  <c r="AX73" i="21" s="1"/>
  <c r="AY73" i="21" s="1"/>
  <c r="AZ73" i="21" s="1"/>
  <c r="AF137" i="14"/>
  <c r="AH147" i="14"/>
  <c r="AI147" i="14" s="1"/>
  <c r="AJ147" i="14" s="1"/>
  <c r="AK147" i="14" s="1"/>
  <c r="AL147" i="14" s="1"/>
  <c r="AM147" i="14" s="1"/>
  <c r="AL87" i="14"/>
  <c r="AH845" i="6"/>
  <c r="AD845" i="6"/>
  <c r="AO793" i="6"/>
  <c r="AK793" i="6"/>
  <c r="AG793" i="6"/>
  <c r="AC793" i="6"/>
  <c r="AP741" i="6"/>
  <c r="AL741" i="6"/>
  <c r="AH741" i="6"/>
  <c r="AD741" i="6"/>
  <c r="AG845" i="6"/>
  <c r="AC845" i="6"/>
  <c r="AC818" i="6" s="1"/>
  <c r="AN793" i="6"/>
  <c r="AJ793" i="6"/>
  <c r="AF793" i="6"/>
  <c r="AO741" i="6"/>
  <c r="AK741" i="6"/>
  <c r="AG741" i="6"/>
  <c r="AC741" i="6"/>
  <c r="AF845" i="6"/>
  <c r="AQ793" i="6"/>
  <c r="AM793" i="6"/>
  <c r="AI793" i="6"/>
  <c r="AE793" i="6"/>
  <c r="AN741" i="6"/>
  <c r="AJ741" i="6"/>
  <c r="AF741" i="6"/>
  <c r="AB687" i="6"/>
  <c r="AE845" i="6"/>
  <c r="AP793" i="6"/>
  <c r="AL793" i="6"/>
  <c r="AH793" i="6"/>
  <c r="AD793" i="6"/>
  <c r="AQ741" i="6"/>
  <c r="AM741" i="6"/>
  <c r="AI741" i="6"/>
  <c r="AE741" i="6"/>
  <c r="AA687" i="6"/>
  <c r="AA660" i="6" s="1"/>
  <c r="AD659" i="6"/>
  <c r="AF59" i="19"/>
  <c r="AG59" i="19" s="1"/>
  <c r="AH59" i="19" s="1"/>
  <c r="AI59" i="19" s="1"/>
  <c r="AG48" i="20"/>
  <c r="AH45" i="18"/>
  <c r="AH82" i="20"/>
  <c r="AI82" i="20" s="1"/>
  <c r="AG114" i="22"/>
  <c r="AH114" i="22" s="1"/>
  <c r="AG69" i="15"/>
  <c r="Q1323" i="6"/>
  <c r="AF131" i="14"/>
  <c r="AH148" i="18"/>
  <c r="AR101" i="14"/>
  <c r="AS101" i="14" s="1"/>
  <c r="AT101" i="14" s="1"/>
  <c r="AU101" i="14" s="1"/>
  <c r="AB24" i="8"/>
  <c r="AA44" i="8"/>
  <c r="AE102" i="13"/>
  <c r="AG92" i="18"/>
  <c r="AH92" i="18" s="1"/>
  <c r="AI92" i="18" s="1"/>
  <c r="AJ92" i="18" s="1"/>
  <c r="AH39" i="19"/>
  <c r="AI39" i="19" s="1"/>
  <c r="AJ39" i="19" s="1"/>
  <c r="AF150" i="18"/>
  <c r="AG150" i="18" s="1"/>
  <c r="AH150" i="18" s="1"/>
  <c r="AN102" i="21"/>
  <c r="AI52" i="13"/>
  <c r="AE40" i="20"/>
  <c r="AH57" i="22"/>
  <c r="AI57" i="22" s="1"/>
  <c r="AJ57" i="22" s="1"/>
  <c r="AK57" i="22" s="1"/>
  <c r="AL57" i="22" s="1"/>
  <c r="AM57" i="22" s="1"/>
  <c r="AN57" i="22" s="1"/>
  <c r="AO57" i="22" s="1"/>
  <c r="AP57" i="22" s="1"/>
  <c r="AQ57" i="22" s="1"/>
  <c r="AR57" i="22" s="1"/>
  <c r="AS57" i="22" s="1"/>
  <c r="AT57" i="22" s="1"/>
  <c r="AU57" i="22" s="1"/>
  <c r="AV57" i="22" s="1"/>
  <c r="AW57" i="22" s="1"/>
  <c r="AX57" i="22" s="1"/>
  <c r="AY57" i="22" s="1"/>
  <c r="AZ57" i="22" s="1"/>
  <c r="BA57" i="22" s="1"/>
  <c r="AG57" i="22"/>
  <c r="AA2945" i="6"/>
  <c r="AA2998" i="6" s="1"/>
  <c r="AN60" i="14"/>
  <c r="AO60" i="14" s="1"/>
  <c r="AP60" i="14" s="1"/>
  <c r="X2285" i="6"/>
  <c r="X2286" i="6"/>
  <c r="AF123" i="13"/>
  <c r="AC17" i="21"/>
  <c r="AC2007" i="6"/>
  <c r="AI163" i="14"/>
  <c r="AJ163" i="14" s="1"/>
  <c r="AK163" i="14" s="1"/>
  <c r="AL163" i="14" s="1"/>
  <c r="AM163" i="14" s="1"/>
  <c r="AN163" i="14" s="1"/>
  <c r="AO163" i="14" s="1"/>
  <c r="AP163" i="14" s="1"/>
  <c r="AQ163" i="14" s="1"/>
  <c r="AR163" i="14" s="1"/>
  <c r="AS163" i="14" s="1"/>
  <c r="AT163" i="14" s="1"/>
  <c r="AU163" i="14" s="1"/>
  <c r="AV163" i="14" s="1"/>
  <c r="AW163" i="14" s="1"/>
  <c r="AX163" i="14" s="1"/>
  <c r="AY163" i="14" s="1"/>
  <c r="AZ163" i="14" s="1"/>
  <c r="BA163" i="14" s="1"/>
  <c r="U47" i="5"/>
  <c r="U45" i="5"/>
  <c r="V2779" i="6"/>
  <c r="AD118" i="14"/>
  <c r="AF99" i="18"/>
  <c r="AI77" i="21"/>
  <c r="AF65" i="20"/>
  <c r="AG65" i="20" s="1"/>
  <c r="AD36" i="22"/>
  <c r="AE41" i="15"/>
  <c r="AF41" i="15" s="1"/>
  <c r="AK39" i="21"/>
  <c r="AL39" i="21" s="1"/>
  <c r="AM39" i="21" s="1"/>
  <c r="AN39" i="21" s="1"/>
  <c r="AO39" i="21" s="1"/>
  <c r="AP39" i="21" s="1"/>
  <c r="AQ39" i="21" s="1"/>
  <c r="AR39" i="21" s="1"/>
  <c r="AS39" i="21" s="1"/>
  <c r="AT39" i="21" s="1"/>
  <c r="AU39" i="21" s="1"/>
  <c r="AV39" i="21" s="1"/>
  <c r="AW39" i="21" s="1"/>
  <c r="AX39" i="21" s="1"/>
  <c r="AY39" i="21" s="1"/>
  <c r="AZ39" i="21" s="1"/>
  <c r="BA39" i="21" s="1"/>
  <c r="AI102" i="14"/>
  <c r="AJ102" i="14" s="1"/>
  <c r="AK102" i="14" s="1"/>
  <c r="AL102" i="14" s="1"/>
  <c r="AM102" i="14" s="1"/>
  <c r="AN102" i="14" s="1"/>
  <c r="AO102" i="14" s="1"/>
  <c r="AP102" i="14" s="1"/>
  <c r="AQ102" i="14" s="1"/>
  <c r="AR102" i="14" s="1"/>
  <c r="AS102" i="14" s="1"/>
  <c r="AT102" i="14" s="1"/>
  <c r="AU102" i="14" s="1"/>
  <c r="AV102" i="14" s="1"/>
  <c r="AW102" i="14" s="1"/>
  <c r="AX102" i="14" s="1"/>
  <c r="AY102" i="14" s="1"/>
  <c r="AZ102" i="14" s="1"/>
  <c r="BA102" i="14" s="1"/>
  <c r="AF166" i="14"/>
  <c r="AG166" i="14" s="1"/>
  <c r="Y1390" i="6"/>
  <c r="Y1389" i="6"/>
  <c r="AI71" i="22"/>
  <c r="AJ71" i="22" s="1"/>
  <c r="AK71" i="22" s="1"/>
  <c r="AL71" i="22" s="1"/>
  <c r="AM71" i="22" s="1"/>
  <c r="AN71" i="22" s="1"/>
  <c r="AO71" i="22" s="1"/>
  <c r="AP71" i="22" s="1"/>
  <c r="AQ71" i="22" s="1"/>
  <c r="AR71" i="22" s="1"/>
  <c r="AS71" i="22" s="1"/>
  <c r="AT71" i="22" s="1"/>
  <c r="AU71" i="22" s="1"/>
  <c r="AV71" i="22" s="1"/>
  <c r="AW71" i="22" s="1"/>
  <c r="AX71" i="22" s="1"/>
  <c r="AY71" i="22" s="1"/>
  <c r="AZ71" i="22" s="1"/>
  <c r="AH51" i="22"/>
  <c r="AH99" i="14"/>
  <c r="AG149" i="18"/>
  <c r="AI40" i="18"/>
  <c r="AJ40" i="18" s="1"/>
  <c r="AK40" i="18" s="1"/>
  <c r="AL40" i="18" s="1"/>
  <c r="AM40" i="18" s="1"/>
  <c r="AN40" i="18" s="1"/>
  <c r="AO40" i="18" s="1"/>
  <c r="AP40" i="18" s="1"/>
  <c r="AQ40" i="18" s="1"/>
  <c r="AR40" i="18" s="1"/>
  <c r="AS40" i="18" s="1"/>
  <c r="AT40" i="18" s="1"/>
  <c r="AU40" i="18" s="1"/>
  <c r="AV40" i="18" s="1"/>
  <c r="AW40" i="18" s="1"/>
  <c r="AX40" i="18" s="1"/>
  <c r="AY40" i="18" s="1"/>
  <c r="AZ40" i="18" s="1"/>
  <c r="BA40" i="18" s="1"/>
  <c r="AF6" i="9"/>
  <c r="AG6" i="9" s="1"/>
  <c r="AK70" i="15"/>
  <c r="AL70" i="15" s="1"/>
  <c r="AM70" i="15" s="1"/>
  <c r="AN70" i="15" s="1"/>
  <c r="AO70" i="15" s="1"/>
  <c r="AP70" i="15" s="1"/>
  <c r="AQ70" i="15" s="1"/>
  <c r="AR70" i="15" s="1"/>
  <c r="AS70" i="15" s="1"/>
  <c r="AT70" i="15" s="1"/>
  <c r="AU70" i="15" s="1"/>
  <c r="AV70" i="15" s="1"/>
  <c r="AW70" i="15" s="1"/>
  <c r="AX70" i="15" s="1"/>
  <c r="AY70" i="15" s="1"/>
  <c r="AZ70" i="15" s="1"/>
  <c r="BA70" i="15" s="1"/>
  <c r="Y24" i="9"/>
  <c r="X475" i="6" l="1"/>
  <c r="X476" i="6"/>
  <c r="AI96" i="13"/>
  <c r="AJ96" i="13" s="1"/>
  <c r="AK96" i="13" s="1"/>
  <c r="AL96" i="13" s="1"/>
  <c r="AM96" i="13" s="1"/>
  <c r="AN96" i="13" s="1"/>
  <c r="AO96" i="13" s="1"/>
  <c r="AP96" i="13" s="1"/>
  <c r="AQ96" i="13" s="1"/>
  <c r="AR96" i="13" s="1"/>
  <c r="AS96" i="13" s="1"/>
  <c r="AT96" i="13" s="1"/>
  <c r="AU96" i="13" s="1"/>
  <c r="AV96" i="13" s="1"/>
  <c r="AW96" i="13" s="1"/>
  <c r="AX96" i="13" s="1"/>
  <c r="AY96" i="13" s="1"/>
  <c r="AZ96" i="13" s="1"/>
  <c r="BA96" i="13" s="1"/>
  <c r="AL59" i="16"/>
  <c r="AM59" i="16" s="1"/>
  <c r="AN59" i="16" s="1"/>
  <c r="AO59" i="16" s="1"/>
  <c r="AP59" i="16" s="1"/>
  <c r="AQ59" i="16" s="1"/>
  <c r="AR59" i="16" s="1"/>
  <c r="Y1840" i="6"/>
  <c r="Y1839" i="6"/>
  <c r="AJ38" i="18"/>
  <c r="AL94" i="22"/>
  <c r="AM94" i="22" s="1"/>
  <c r="AN94" i="22" s="1"/>
  <c r="AO94" i="22" s="1"/>
  <c r="AP94" i="22" s="1"/>
  <c r="AQ94" i="22" s="1"/>
  <c r="AR94" i="22" s="1"/>
  <c r="AS94" i="22" s="1"/>
  <c r="AT94" i="22"/>
  <c r="AU94" i="22" s="1"/>
  <c r="AV94" i="22" s="1"/>
  <c r="AW94" i="22" s="1"/>
  <c r="AX94" i="22" s="1"/>
  <c r="AY94" i="22" s="1"/>
  <c r="AZ94" i="22" s="1"/>
  <c r="AI48" i="16"/>
  <c r="AI78" i="18"/>
  <c r="AJ78" i="18" s="1"/>
  <c r="AK78" i="18" s="1"/>
  <c r="AL78" i="18" s="1"/>
  <c r="AM78" i="18" s="1"/>
  <c r="AN78" i="18" s="1"/>
  <c r="AO78" i="18" s="1"/>
  <c r="AP78" i="18" s="1"/>
  <c r="AQ78" i="18" s="1"/>
  <c r="AR78" i="18" s="1"/>
  <c r="AS78" i="18" s="1"/>
  <c r="AT78" i="18" s="1"/>
  <c r="AU78" i="18" s="1"/>
  <c r="AV78" i="18" s="1"/>
  <c r="AW78" i="18" s="1"/>
  <c r="AX78" i="18" s="1"/>
  <c r="AY78" i="18" s="1"/>
  <c r="AZ78" i="18" s="1"/>
  <c r="AJ75" i="15"/>
  <c r="AK75" i="15" s="1"/>
  <c r="AL75" i="15" s="1"/>
  <c r="AM75" i="15" s="1"/>
  <c r="AN75" i="15" s="1"/>
  <c r="AO75" i="15" s="1"/>
  <c r="AP75" i="15" s="1"/>
  <c r="AQ75" i="15" s="1"/>
  <c r="AR75" i="15" s="1"/>
  <c r="AS75" i="15" s="1"/>
  <c r="AT75" i="15" s="1"/>
  <c r="AU75" i="15" s="1"/>
  <c r="AV75" i="15" s="1"/>
  <c r="AW75" i="15" s="1"/>
  <c r="AX75" i="15" s="1"/>
  <c r="AY75" i="15" s="1"/>
  <c r="AZ75" i="15" s="1"/>
  <c r="BA75" i="15" s="1"/>
  <c r="AH88" i="22"/>
  <c r="AI88" i="22" s="1"/>
  <c r="AJ88" i="22" s="1"/>
  <c r="AK88" i="22" s="1"/>
  <c r="AL88" i="22" s="1"/>
  <c r="AM88" i="22" s="1"/>
  <c r="AN88" i="22" s="1"/>
  <c r="AO88" i="22" s="1"/>
  <c r="AP88" i="22" s="1"/>
  <c r="AQ88" i="22" s="1"/>
  <c r="AR88" i="22" s="1"/>
  <c r="AS88" i="22" s="1"/>
  <c r="AT88" i="22" s="1"/>
  <c r="AU88" i="22" s="1"/>
  <c r="AV88" i="22" s="1"/>
  <c r="AW88" i="22" s="1"/>
  <c r="AX88" i="22" s="1"/>
  <c r="AY88" i="22" s="1"/>
  <c r="AZ88" i="22" s="1"/>
  <c r="AI145" i="18"/>
  <c r="AJ145" i="18" s="1"/>
  <c r="AK145" i="18"/>
  <c r="AL145" i="18" s="1"/>
  <c r="AM145" i="18" s="1"/>
  <c r="AN145" i="18" s="1"/>
  <c r="AO145" i="18" s="1"/>
  <c r="AP145" i="18" s="1"/>
  <c r="AQ145" i="18" s="1"/>
  <c r="AR145" i="18" s="1"/>
  <c r="AS145" i="18" s="1"/>
  <c r="AT145" i="18" s="1"/>
  <c r="AU145" i="18" s="1"/>
  <c r="AV145" i="18" s="1"/>
  <c r="AW145" i="18" s="1"/>
  <c r="AX145" i="18" s="1"/>
  <c r="AY145" i="18" s="1"/>
  <c r="AZ145" i="18" s="1"/>
  <c r="AH109" i="13"/>
  <c r="AI109" i="13" s="1"/>
  <c r="AJ109" i="13" s="1"/>
  <c r="AK109" i="13" s="1"/>
  <c r="AL109" i="13" s="1"/>
  <c r="AM109" i="13" s="1"/>
  <c r="AN109" i="13" s="1"/>
  <c r="AO109" i="13" s="1"/>
  <c r="AP109" i="13" s="1"/>
  <c r="AQ109" i="13" s="1"/>
  <c r="AR109" i="13" s="1"/>
  <c r="AS109" i="13" s="1"/>
  <c r="AT109" i="13" s="1"/>
  <c r="AU109" i="13" s="1"/>
  <c r="AV109" i="13" s="1"/>
  <c r="AW109" i="13" s="1"/>
  <c r="AX109" i="13" s="1"/>
  <c r="AY109" i="13" s="1"/>
  <c r="AZ109" i="13" s="1"/>
  <c r="BA109" i="13" s="1"/>
  <c r="Z1615" i="6"/>
  <c r="Z1614" i="6"/>
  <c r="AM151" i="18"/>
  <c r="AN151" i="18" s="1"/>
  <c r="AO151" i="18" s="1"/>
  <c r="AP151" i="18" s="1"/>
  <c r="AQ151" i="18" s="1"/>
  <c r="AR151" i="18" s="1"/>
  <c r="AS151" i="18" s="1"/>
  <c r="AT151" i="18" s="1"/>
  <c r="AU151" i="18" s="1"/>
  <c r="AV151" i="18" s="1"/>
  <c r="AW151" i="18" s="1"/>
  <c r="AX151" i="18" s="1"/>
  <c r="AY151" i="18" s="1"/>
  <c r="AZ151" i="18" s="1"/>
  <c r="AP42" i="18"/>
  <c r="AQ42" i="18" s="1"/>
  <c r="AR42" i="18" s="1"/>
  <c r="AS42" i="18" s="1"/>
  <c r="AT42" i="18" s="1"/>
  <c r="AU42" i="18" s="1"/>
  <c r="AV42" i="18" s="1"/>
  <c r="AW42" i="18" s="1"/>
  <c r="AX42" i="18" s="1"/>
  <c r="AY42" i="18" s="1"/>
  <c r="AZ42" i="18" s="1"/>
  <c r="BA42" i="18" s="1"/>
  <c r="Z3000" i="6"/>
  <c r="Z2999" i="6"/>
  <c r="AJ100" i="21"/>
  <c r="AK100" i="21" s="1"/>
  <c r="AL100" i="21" s="1"/>
  <c r="AM100" i="21" s="1"/>
  <c r="AN100" i="21" s="1"/>
  <c r="AO100" i="21" s="1"/>
  <c r="AP100" i="21" s="1"/>
  <c r="AQ100" i="21" s="1"/>
  <c r="AR100" i="21" s="1"/>
  <c r="AS100" i="21" s="1"/>
  <c r="AT100" i="21" s="1"/>
  <c r="AU100" i="21" s="1"/>
  <c r="AV100" i="21" s="1"/>
  <c r="AW100" i="21" s="1"/>
  <c r="AX100" i="21" s="1"/>
  <c r="AY100" i="21" s="1"/>
  <c r="AZ100" i="21" s="1"/>
  <c r="Z2065" i="6"/>
  <c r="Z2064" i="6"/>
  <c r="AW50" i="20"/>
  <c r="AX50" i="20" s="1"/>
  <c r="AY50" i="20" s="1"/>
  <c r="AZ50" i="20" s="1"/>
  <c r="BA50" i="20" s="1"/>
  <c r="AM50" i="20"/>
  <c r="AN50" i="20" s="1"/>
  <c r="AO50" i="20" s="1"/>
  <c r="AP50" i="20" s="1"/>
  <c r="AQ50" i="20" s="1"/>
  <c r="AR50" i="20" s="1"/>
  <c r="AS50" i="20" s="1"/>
  <c r="AT50" i="20" s="1"/>
  <c r="AU50" i="20" s="1"/>
  <c r="AV50" i="20" s="1"/>
  <c r="AA712" i="6"/>
  <c r="AA713" i="6"/>
  <c r="AF106" i="22"/>
  <c r="AG106" i="22" s="1"/>
  <c r="AH65" i="20"/>
  <c r="AI65" i="20" s="1"/>
  <c r="AJ65" i="20" s="1"/>
  <c r="AE62" i="12"/>
  <c r="AE247" i="6"/>
  <c r="V47" i="5"/>
  <c r="V45" i="5"/>
  <c r="AK170" i="14"/>
  <c r="AL170" i="14" s="1"/>
  <c r="AM170" i="14" s="1"/>
  <c r="AN170" i="14" s="1"/>
  <c r="AO170" i="14" s="1"/>
  <c r="AP170" i="14" s="1"/>
  <c r="AQ170" i="14" s="1"/>
  <c r="AR170" i="14" s="1"/>
  <c r="AS170" i="14" s="1"/>
  <c r="AT170" i="14" s="1"/>
  <c r="AU170" i="14" s="1"/>
  <c r="AV170" i="14" s="1"/>
  <c r="AW170" i="14" s="1"/>
  <c r="AX170" i="14" s="1"/>
  <c r="AY170" i="14" s="1"/>
  <c r="AZ170" i="14" s="1"/>
  <c r="BA170" i="14" s="1"/>
  <c r="AI1071" i="6"/>
  <c r="AE1071" i="6"/>
  <c r="AO1019" i="6"/>
  <c r="AK1019" i="6"/>
  <c r="AG1019" i="6"/>
  <c r="AP967" i="6"/>
  <c r="AL967" i="6"/>
  <c r="AH967" i="6"/>
  <c r="AD967" i="6"/>
  <c r="AH1071" i="6"/>
  <c r="AD1071" i="6"/>
  <c r="AR1019" i="6"/>
  <c r="AN1019" i="6"/>
  <c r="AJ1019" i="6"/>
  <c r="AF1019" i="6"/>
  <c r="AG1071" i="6"/>
  <c r="AQ1019" i="6"/>
  <c r="AM1019" i="6"/>
  <c r="AI1019" i="6"/>
  <c r="AE1019" i="6"/>
  <c r="AR967" i="6"/>
  <c r="AN967" i="6"/>
  <c r="AJ967" i="6"/>
  <c r="AF967" i="6"/>
  <c r="AF1071" i="6"/>
  <c r="AD1019" i="6"/>
  <c r="AO967" i="6"/>
  <c r="AG967" i="6"/>
  <c r="AP1019" i="6"/>
  <c r="AM967" i="6"/>
  <c r="AE967" i="6"/>
  <c r="AL1019" i="6"/>
  <c r="AK967" i="6"/>
  <c r="AC913" i="6"/>
  <c r="AC885" i="6" s="1"/>
  <c r="AH1019" i="6"/>
  <c r="AQ967" i="6"/>
  <c r="AI967" i="6"/>
  <c r="AE884" i="6"/>
  <c r="AA3167" i="6"/>
  <c r="AA3166" i="6"/>
  <c r="AH53" i="18"/>
  <c r="AI53" i="18" s="1"/>
  <c r="AJ53" i="18" s="1"/>
  <c r="AK53" i="18" s="1"/>
  <c r="AL53" i="18" s="1"/>
  <c r="AM53" i="18" s="1"/>
  <c r="AN53" i="18" s="1"/>
  <c r="AO53" i="18" s="1"/>
  <c r="AP53" i="18" s="1"/>
  <c r="AQ53" i="18"/>
  <c r="AR53" i="18" s="1"/>
  <c r="AS53" i="18" s="1"/>
  <c r="AT53" i="18" s="1"/>
  <c r="AU53" i="18" s="1"/>
  <c r="AV53" i="18" s="1"/>
  <c r="AW53" i="18" s="1"/>
  <c r="AX53" i="18" s="1"/>
  <c r="AY53" i="18" s="1"/>
  <c r="AZ53" i="18" s="1"/>
  <c r="BA53" i="18" s="1"/>
  <c r="AL69" i="22"/>
  <c r="AM69" i="22" s="1"/>
  <c r="AN69" i="22" s="1"/>
  <c r="AO69" i="22" s="1"/>
  <c r="AP69" i="22" s="1"/>
  <c r="AQ69" i="22" s="1"/>
  <c r="AW69" i="22"/>
  <c r="AX69" i="22" s="1"/>
  <c r="AY69" i="22" s="1"/>
  <c r="AZ69" i="22" s="1"/>
  <c r="AR69" i="22"/>
  <c r="AS69" i="22" s="1"/>
  <c r="AT69" i="22" s="1"/>
  <c r="AU69" i="22" s="1"/>
  <c r="AV69" i="22" s="1"/>
  <c r="AJ89" i="14"/>
  <c r="AK89" i="14" s="1"/>
  <c r="AL89" i="14" s="1"/>
  <c r="AM89" i="14" s="1"/>
  <c r="BA89" i="14"/>
  <c r="AZ89" i="14"/>
  <c r="AN89" i="14"/>
  <c r="AO89" i="14" s="1"/>
  <c r="AP89" i="14" s="1"/>
  <c r="AQ89" i="14" s="1"/>
  <c r="AR89" i="14" s="1"/>
  <c r="AS89" i="14" s="1"/>
  <c r="AT89" i="14" s="1"/>
  <c r="AU89" i="14" s="1"/>
  <c r="AV89" i="14" s="1"/>
  <c r="AW89" i="14" s="1"/>
  <c r="AX89" i="14" s="1"/>
  <c r="AY89" i="14" s="1"/>
  <c r="AF49" i="19"/>
  <c r="AG49" i="19" s="1"/>
  <c r="AH49" i="19" s="1"/>
  <c r="AI49" i="19" s="1"/>
  <c r="AJ49" i="19" s="1"/>
  <c r="AK49" i="19" s="1"/>
  <c r="AL49" i="19" s="1"/>
  <c r="AM49" i="19" s="1"/>
  <c r="AN49" i="19" s="1"/>
  <c r="AO49" i="19" s="1"/>
  <c r="AP49" i="19" s="1"/>
  <c r="AQ49" i="19" s="1"/>
  <c r="AR49" i="19" s="1"/>
  <c r="AS49" i="19" s="1"/>
  <c r="AT49" i="19" s="1"/>
  <c r="AU49" i="19" s="1"/>
  <c r="AV49" i="19" s="1"/>
  <c r="AW49" i="19" s="1"/>
  <c r="AX49" i="19" s="1"/>
  <c r="AY49" i="19" s="1"/>
  <c r="AZ49" i="19" s="1"/>
  <c r="BA49" i="19" s="1"/>
  <c r="AE49" i="19"/>
  <c r="AG69" i="16"/>
  <c r="AH69" i="16" s="1"/>
  <c r="AI69" i="16" s="1"/>
  <c r="AJ69" i="16" s="1"/>
  <c r="AK69" i="16" s="1"/>
  <c r="AL69" i="16" s="1"/>
  <c r="AM69" i="16" s="1"/>
  <c r="AN69" i="16" s="1"/>
  <c r="AO69" i="16" s="1"/>
  <c r="AP69" i="16" s="1"/>
  <c r="AQ69" i="16" s="1"/>
  <c r="AR69" i="16" s="1"/>
  <c r="AS69" i="16" s="1"/>
  <c r="AT69" i="16" s="1"/>
  <c r="AU69" i="16" s="1"/>
  <c r="AV69" i="16" s="1"/>
  <c r="AW69" i="16" s="1"/>
  <c r="AX69" i="16" s="1"/>
  <c r="AY69" i="16" s="1"/>
  <c r="AZ69" i="16" s="1"/>
  <c r="BA69" i="16" s="1"/>
  <c r="G302" i="10"/>
  <c r="F226" i="10"/>
  <c r="AW26" i="7"/>
  <c r="AX23" i="7"/>
  <c r="AE1335" i="6"/>
  <c r="AF1330" i="6"/>
  <c r="AF10" i="5"/>
  <c r="AP2418" i="6"/>
  <c r="AL2418" i="6"/>
  <c r="AH2418" i="6"/>
  <c r="AD2418" i="6"/>
  <c r="AZ2366" i="6"/>
  <c r="AV2366" i="6"/>
  <c r="AR2366" i="6"/>
  <c r="AN2366" i="6"/>
  <c r="AJ2366" i="6"/>
  <c r="AF2366" i="6"/>
  <c r="AX2314" i="6"/>
  <c r="AT2314" i="6"/>
  <c r="AP2314" i="6"/>
  <c r="AL2314" i="6"/>
  <c r="AH2314" i="6"/>
  <c r="AD2314" i="6"/>
  <c r="AB2260" i="6"/>
  <c r="AO2418" i="6"/>
  <c r="AK2418" i="6"/>
  <c r="AG2418" i="6"/>
  <c r="AC2418" i="6"/>
  <c r="AY2366" i="6"/>
  <c r="AU2366" i="6"/>
  <c r="AQ2366" i="6"/>
  <c r="AM2366" i="6"/>
  <c r="AI2366" i="6"/>
  <c r="AE2366" i="6"/>
  <c r="BA2314" i="6"/>
  <c r="AW2314" i="6"/>
  <c r="AS2314" i="6"/>
  <c r="AO2314" i="6"/>
  <c r="AK2314" i="6"/>
  <c r="AG2314" i="6"/>
  <c r="AC2314" i="6"/>
  <c r="AA2260" i="6"/>
  <c r="AR2418" i="6"/>
  <c r="AN2418" i="6"/>
  <c r="AJ2418" i="6"/>
  <c r="AF2418" i="6"/>
  <c r="AX2366" i="6"/>
  <c r="AT2366" i="6"/>
  <c r="AP2366" i="6"/>
  <c r="AL2366" i="6"/>
  <c r="AH2366" i="6"/>
  <c r="AD2366" i="6"/>
  <c r="AZ2314" i="6"/>
  <c r="AV2314" i="6"/>
  <c r="AR2314" i="6"/>
  <c r="AN2314" i="6"/>
  <c r="AJ2314" i="6"/>
  <c r="AF2314" i="6"/>
  <c r="Z2260" i="6"/>
  <c r="Z2233" i="6" s="1"/>
  <c r="AD2232" i="6"/>
  <c r="AQ2418" i="6"/>
  <c r="AM2418" i="6"/>
  <c r="AI2418" i="6"/>
  <c r="AE2418" i="6"/>
  <c r="BA2366" i="6"/>
  <c r="AW2366" i="6"/>
  <c r="AS2366" i="6"/>
  <c r="AO2366" i="6"/>
  <c r="AK2366" i="6"/>
  <c r="AG2366" i="6"/>
  <c r="AC2366" i="6"/>
  <c r="AY2314" i="6"/>
  <c r="AU2314" i="6"/>
  <c r="AQ2314" i="6"/>
  <c r="AM2314" i="6"/>
  <c r="AI2314" i="6"/>
  <c r="AE2314" i="6"/>
  <c r="AD1784" i="6"/>
  <c r="AD1785" i="6"/>
  <c r="AE1780" i="6"/>
  <c r="AE12" i="5"/>
  <c r="AF168" i="14"/>
  <c r="AG168" i="14"/>
  <c r="AH168" i="14" s="1"/>
  <c r="AI168" i="14" s="1"/>
  <c r="AJ168" i="14" s="1"/>
  <c r="AK168" i="14" s="1"/>
  <c r="AL168" i="14" s="1"/>
  <c r="AM168" i="14" s="1"/>
  <c r="AN168" i="14" s="1"/>
  <c r="AO168" i="14" s="1"/>
  <c r="AP168" i="14" s="1"/>
  <c r="AQ168" i="14" s="1"/>
  <c r="AR168" i="14" s="1"/>
  <c r="AS168" i="14" s="1"/>
  <c r="AT168" i="14" s="1"/>
  <c r="AU168" i="14" s="1"/>
  <c r="AV168" i="14" s="1"/>
  <c r="AW168" i="14" s="1"/>
  <c r="AX168" i="14" s="1"/>
  <c r="AY168" i="14" s="1"/>
  <c r="AZ168" i="14" s="1"/>
  <c r="BA168" i="14" s="1"/>
  <c r="AE655" i="6"/>
  <c r="AF653" i="6"/>
  <c r="AF6" i="5"/>
  <c r="AH138" i="14"/>
  <c r="AI138" i="14" s="1"/>
  <c r="AJ138" i="14" s="1"/>
  <c r="AK138" i="14" s="1"/>
  <c r="AL138" i="14" s="1"/>
  <c r="AM138" i="14" s="1"/>
  <c r="AN138" i="14" s="1"/>
  <c r="AO138" i="14" s="1"/>
  <c r="AP138" i="14" s="1"/>
  <c r="AQ138" i="14" s="1"/>
  <c r="AR138" i="14" s="1"/>
  <c r="AS138" i="14" s="1"/>
  <c r="AT138" i="14" s="1"/>
  <c r="AU138" i="14" s="1"/>
  <c r="AV138" i="14" s="1"/>
  <c r="AW138" i="14" s="1"/>
  <c r="AX138" i="14" s="1"/>
  <c r="AY138" i="14" s="1"/>
  <c r="AZ138" i="14" s="1"/>
  <c r="BA138" i="14" s="1"/>
  <c r="AJ104" i="22"/>
  <c r="AK104" i="22" s="1"/>
  <c r="AL104" i="22" s="1"/>
  <c r="AM104" i="22" s="1"/>
  <c r="AN104" i="22" s="1"/>
  <c r="AO104" i="22" s="1"/>
  <c r="AL45" i="15"/>
  <c r="AM45" i="15" s="1"/>
  <c r="AN45" i="15" s="1"/>
  <c r="AO45" i="15" s="1"/>
  <c r="AP45" i="15" s="1"/>
  <c r="AQ45" i="15" s="1"/>
  <c r="AR45" i="15" s="1"/>
  <c r="N19" i="17"/>
  <c r="P1105" i="6"/>
  <c r="AD17" i="18"/>
  <c r="AD1332" i="6"/>
  <c r="AI56" i="22"/>
  <c r="AJ56" i="22"/>
  <c r="AG58" i="16"/>
  <c r="AH58" i="16" s="1"/>
  <c r="AF184" i="14"/>
  <c r="AG184" i="14" s="1"/>
  <c r="AH184" i="14" s="1"/>
  <c r="AI184" i="14" s="1"/>
  <c r="AJ184" i="14" s="1"/>
  <c r="AK184" i="14" s="1"/>
  <c r="AL184" i="14" s="1"/>
  <c r="AM184" i="14" s="1"/>
  <c r="AN184" i="14" s="1"/>
  <c r="AO184" i="14" s="1"/>
  <c r="AP184" i="14" s="1"/>
  <c r="AQ184" i="14" s="1"/>
  <c r="AR184" i="14" s="1"/>
  <c r="AS184" i="14" s="1"/>
  <c r="AT184" i="14" s="1"/>
  <c r="AU184" i="14" s="1"/>
  <c r="AV184" i="14" s="1"/>
  <c r="AW184" i="14" s="1"/>
  <c r="AX184" i="14" s="1"/>
  <c r="AY184" i="14" s="1"/>
  <c r="AZ184" i="14" s="1"/>
  <c r="BA184" i="14" s="1"/>
  <c r="AM110" i="22"/>
  <c r="AO110" i="22" s="1"/>
  <c r="AP110" i="22" s="1"/>
  <c r="AQ110" i="22" s="1"/>
  <c r="AR110" i="22" s="1"/>
  <c r="AS110" i="22" s="1"/>
  <c r="AT110" i="22" s="1"/>
  <c r="AU110" i="22" s="1"/>
  <c r="AV110" i="22" s="1"/>
  <c r="AW110" i="22" s="1"/>
  <c r="AX110" i="22" s="1"/>
  <c r="AY110" i="22" s="1"/>
  <c r="AZ110" i="22" s="1"/>
  <c r="AN110" i="22"/>
  <c r="AI127" i="18"/>
  <c r="AJ127" i="18" s="1"/>
  <c r="AK127" i="18" s="1"/>
  <c r="AL127" i="18" s="1"/>
  <c r="AM127" i="18" s="1"/>
  <c r="AN127" i="18" s="1"/>
  <c r="AO127" i="18" s="1"/>
  <c r="AP127" i="18" s="1"/>
  <c r="AQ127" i="18" s="1"/>
  <c r="AR127" i="18" s="1"/>
  <c r="AS127" i="18" s="1"/>
  <c r="AT127" i="18" s="1"/>
  <c r="AU127" i="18" s="1"/>
  <c r="AV127" i="18" s="1"/>
  <c r="AW127" i="18" s="1"/>
  <c r="AX127" i="18" s="1"/>
  <c r="AY127" i="18" s="1"/>
  <c r="AZ127" i="18" s="1"/>
  <c r="AE71" i="14"/>
  <c r="AF71" i="14" s="1"/>
  <c r="AG71" i="14" s="1"/>
  <c r="AH71" i="14" s="1"/>
  <c r="AI71" i="14" s="1"/>
  <c r="AJ71" i="14" s="1"/>
  <c r="AK71" i="14" s="1"/>
  <c r="AL71" i="14"/>
  <c r="AM71" i="14" s="1"/>
  <c r="AN71" i="14" s="1"/>
  <c r="AO71" i="14" s="1"/>
  <c r="AP71" i="14" s="1"/>
  <c r="AQ71" i="14" s="1"/>
  <c r="AR71" i="14" s="1"/>
  <c r="AS71" i="14" s="1"/>
  <c r="AT71" i="14" s="1"/>
  <c r="AU71" i="14" s="1"/>
  <c r="AV71" i="14" s="1"/>
  <c r="AW71" i="14" s="1"/>
  <c r="AX71" i="14" s="1"/>
  <c r="AY71" i="14" s="1"/>
  <c r="AZ71" i="14" s="1"/>
  <c r="BA71" i="14" s="1"/>
  <c r="AF118" i="13"/>
  <c r="AU2972" i="6"/>
  <c r="AQ2972" i="6"/>
  <c r="AM2972" i="6"/>
  <c r="AI2972" i="6"/>
  <c r="AE2972" i="6"/>
  <c r="AT2972" i="6"/>
  <c r="AP2972" i="6"/>
  <c r="AL2972" i="6"/>
  <c r="AH2972" i="6"/>
  <c r="AD2972" i="6"/>
  <c r="AS2972" i="6"/>
  <c r="AK2972" i="6"/>
  <c r="AC2972" i="6"/>
  <c r="AR2972" i="6"/>
  <c r="AJ2972" i="6"/>
  <c r="AB2972" i="6"/>
  <c r="AB2946" i="6" s="1"/>
  <c r="AB2839" i="6"/>
  <c r="AO2972" i="6"/>
  <c r="AG2972" i="6"/>
  <c r="AV2972" i="6"/>
  <c r="AB2840" i="6"/>
  <c r="AN2972" i="6"/>
  <c r="AF2972" i="6"/>
  <c r="AB2945" i="6"/>
  <c r="AG105" i="13"/>
  <c r="AH105" i="13" s="1"/>
  <c r="AI105" i="13" s="1"/>
  <c r="AJ105" i="13" s="1"/>
  <c r="AK105" i="13" s="1"/>
  <c r="AL105" i="13" s="1"/>
  <c r="AM105" i="13" s="1"/>
  <c r="AN105" i="13" s="1"/>
  <c r="AO105" i="13" s="1"/>
  <c r="AP105" i="13" s="1"/>
  <c r="AQ105" i="13" s="1"/>
  <c r="AR105" i="13" s="1"/>
  <c r="AS105" i="13" s="1"/>
  <c r="AT105" i="13" s="1"/>
  <c r="AU105" i="13" s="1"/>
  <c r="AV105" i="13" s="1"/>
  <c r="AW105" i="13" s="1"/>
  <c r="AX105" i="13" s="1"/>
  <c r="AY105" i="13" s="1"/>
  <c r="AZ105" i="13" s="1"/>
  <c r="BA105" i="13" s="1"/>
  <c r="O17" i="18"/>
  <c r="Q1332" i="6"/>
  <c r="AH83" i="22"/>
  <c r="AM83" i="22"/>
  <c r="AN83" i="22" s="1"/>
  <c r="AO83" i="22" s="1"/>
  <c r="AP83" i="22" s="1"/>
  <c r="AQ83" i="22" s="1"/>
  <c r="AR83" i="22" s="1"/>
  <c r="AS83" i="22" s="1"/>
  <c r="AT83" i="22" s="1"/>
  <c r="AU83" i="22" s="1"/>
  <c r="AV83" i="22" s="1"/>
  <c r="AW83" i="22" s="1"/>
  <c r="AX83" i="22" s="1"/>
  <c r="AY83" i="22" s="1"/>
  <c r="AZ83" i="22" s="1"/>
  <c r="AI83" i="22"/>
  <c r="AJ83" i="22" s="1"/>
  <c r="AK83" i="22" s="1"/>
  <c r="AL83" i="22" s="1"/>
  <c r="AG116" i="13"/>
  <c r="AZ117" i="22"/>
  <c r="AF76" i="15"/>
  <c r="AG76" i="15" s="1"/>
  <c r="AH76" i="15" s="1"/>
  <c r="AI76" i="15" s="1"/>
  <c r="AJ76" i="15" s="1"/>
  <c r="AK76" i="15" s="1"/>
  <c r="AL76" i="15" s="1"/>
  <c r="AM76" i="15" s="1"/>
  <c r="AN76" i="15" s="1"/>
  <c r="AO76" i="15" s="1"/>
  <c r="AP76" i="15" s="1"/>
  <c r="AQ76" i="15" s="1"/>
  <c r="AR76" i="15" s="1"/>
  <c r="AS76" i="15" s="1"/>
  <c r="AT76" i="15" s="1"/>
  <c r="AU76" i="15" s="1"/>
  <c r="AV76" i="15" s="1"/>
  <c r="AW76" i="15" s="1"/>
  <c r="AX76" i="15" s="1"/>
  <c r="AY76" i="15" s="1"/>
  <c r="AZ76" i="15" s="1"/>
  <c r="BA76" i="15" s="1"/>
  <c r="AG82" i="13"/>
  <c r="AH82" i="13" s="1"/>
  <c r="AI82" i="13" s="1"/>
  <c r="AJ82" i="13" s="1"/>
  <c r="AK82" i="13" s="1"/>
  <c r="AL82" i="13" s="1"/>
  <c r="AM82" i="13" s="1"/>
  <c r="AN82" i="13" s="1"/>
  <c r="AO82" i="13" s="1"/>
  <c r="AP82" i="13" s="1"/>
  <c r="AQ82" i="13" s="1"/>
  <c r="AR82" i="13" s="1"/>
  <c r="AS82" i="13" s="1"/>
  <c r="AT82" i="13" s="1"/>
  <c r="AU82" i="13" s="1"/>
  <c r="AV82" i="13" s="1"/>
  <c r="AW82" i="13" s="1"/>
  <c r="AX82" i="13" s="1"/>
  <c r="AY82" i="13" s="1"/>
  <c r="AZ82" i="13" s="1"/>
  <c r="BA82" i="13" s="1"/>
  <c r="AG61" i="14"/>
  <c r="AM185" i="14"/>
  <c r="AN185" i="14" s="1"/>
  <c r="AO185" i="14" s="1"/>
  <c r="AP185" i="14" s="1"/>
  <c r="AQ185" i="14" s="1"/>
  <c r="AR185" i="14" s="1"/>
  <c r="AS185" i="14" s="1"/>
  <c r="AT185" i="14" s="1"/>
  <c r="AU185" i="14" s="1"/>
  <c r="AV185" i="14" s="1"/>
  <c r="AW185" i="14" s="1"/>
  <c r="AX185" i="14" s="1"/>
  <c r="AY185" i="14" s="1"/>
  <c r="AZ185" i="14" s="1"/>
  <c r="BA185" i="14" s="1"/>
  <c r="AG185" i="14"/>
  <c r="AH185" i="14" s="1"/>
  <c r="AI185" i="14" s="1"/>
  <c r="AJ185" i="14" s="1"/>
  <c r="AK185" i="14" s="1"/>
  <c r="AL185" i="14" s="1"/>
  <c r="AV383" i="6"/>
  <c r="AR383" i="6"/>
  <c r="AN383" i="6"/>
  <c r="AJ383" i="6"/>
  <c r="AF383" i="6"/>
  <c r="AU383" i="6"/>
  <c r="AQ383" i="6"/>
  <c r="AM383" i="6"/>
  <c r="AI383" i="6"/>
  <c r="AE383" i="6"/>
  <c r="AO383" i="6"/>
  <c r="AG383" i="6"/>
  <c r="AC250" i="6"/>
  <c r="AT383" i="6"/>
  <c r="AP383" i="6"/>
  <c r="AL383" i="6"/>
  <c r="AH383" i="6"/>
  <c r="AD383" i="6"/>
  <c r="AC249" i="6"/>
  <c r="AD29" i="5"/>
  <c r="AW383" i="6"/>
  <c r="AS383" i="6"/>
  <c r="AK383" i="6"/>
  <c r="AC383" i="6"/>
  <c r="AL91" i="18"/>
  <c r="AM91" i="18" s="1"/>
  <c r="AN91" i="18" s="1"/>
  <c r="AO91" i="18" s="1"/>
  <c r="AP91" i="18" s="1"/>
  <c r="AQ91" i="18" s="1"/>
  <c r="AR91" i="18" s="1"/>
  <c r="AS91" i="18" s="1"/>
  <c r="AT91" i="18" s="1"/>
  <c r="AU91" i="18" s="1"/>
  <c r="AV91" i="18" s="1"/>
  <c r="AW91" i="18" s="1"/>
  <c r="AX91" i="18" s="1"/>
  <c r="AY91" i="18" s="1"/>
  <c r="AZ91" i="18" s="1"/>
  <c r="AG3004" i="6"/>
  <c r="AG60" i="9"/>
  <c r="AE17" i="19"/>
  <c r="AE1557" i="6"/>
  <c r="N17" i="19"/>
  <c r="P1557" i="6"/>
  <c r="AU63" i="14"/>
  <c r="AV63" i="14" s="1"/>
  <c r="AW63" i="14" s="1"/>
  <c r="AX63" i="14" s="1"/>
  <c r="AY63" i="14" s="1"/>
  <c r="AZ63" i="14" s="1"/>
  <c r="BA63" i="14" s="1"/>
  <c r="AE2229" i="6"/>
  <c r="AF2227" i="6"/>
  <c r="AM72" i="18"/>
  <c r="AN72" i="18" s="1"/>
  <c r="AO72" i="18" s="1"/>
  <c r="AP72" i="18" s="1"/>
  <c r="AQ72" i="18" s="1"/>
  <c r="AR72" i="18" s="1"/>
  <c r="AS72" i="18" s="1"/>
  <c r="AT72" i="18" s="1"/>
  <c r="AU72" i="18" s="1"/>
  <c r="AV72" i="18" s="1"/>
  <c r="AW72" i="18" s="1"/>
  <c r="AX72" i="18" s="1"/>
  <c r="AY72" i="18" s="1"/>
  <c r="AZ72" i="18" s="1"/>
  <c r="Q2064" i="6"/>
  <c r="Q2065" i="6"/>
  <c r="AI91" i="18"/>
  <c r="AJ91" i="18" s="1"/>
  <c r="AK91" i="18" s="1"/>
  <c r="AH44" i="15"/>
  <c r="AF52" i="17"/>
  <c r="AM87" i="14"/>
  <c r="AN87" i="14" s="1"/>
  <c r="AO87" i="14" s="1"/>
  <c r="AP87" i="14" s="1"/>
  <c r="AQ87" i="14" s="1"/>
  <c r="AR87" i="14" s="1"/>
  <c r="AS87" i="14" s="1"/>
  <c r="AT87" i="14" s="1"/>
  <c r="AU87" i="14" s="1"/>
  <c r="AV87" i="14" s="1"/>
  <c r="AW87" i="14" s="1"/>
  <c r="AX87" i="14" s="1"/>
  <c r="AY87" i="14" s="1"/>
  <c r="AZ87" i="14" s="1"/>
  <c r="BA87" i="14" s="1"/>
  <c r="BA46" i="19"/>
  <c r="AK65" i="13"/>
  <c r="AL65" i="13" s="1"/>
  <c r="AM65" i="13" s="1"/>
  <c r="AN65" i="13" s="1"/>
  <c r="AO65" i="13" s="1"/>
  <c r="AP65" i="13" s="1"/>
  <c r="AQ65" i="13" s="1"/>
  <c r="AR65" i="13" s="1"/>
  <c r="AS65" i="13" s="1"/>
  <c r="AT65" i="13" s="1"/>
  <c r="AU65" i="13" s="1"/>
  <c r="AV65" i="13" s="1"/>
  <c r="AW65" i="13" s="1"/>
  <c r="AX65" i="13" s="1"/>
  <c r="AY65" i="13" s="1"/>
  <c r="AZ65" i="13" s="1"/>
  <c r="BA65" i="13" s="1"/>
  <c r="AJ60" i="22"/>
  <c r="AK60" i="22" s="1"/>
  <c r="AL60" i="22" s="1"/>
  <c r="AM60" i="22" s="1"/>
  <c r="AN60" i="22" s="1"/>
  <c r="AO60" i="22" s="1"/>
  <c r="AP60" i="22" s="1"/>
  <c r="AQ60" i="22" s="1"/>
  <c r="AE103" i="21"/>
  <c r="AF103" i="21" s="1"/>
  <c r="AG103" i="21" s="1"/>
  <c r="AH103" i="21" s="1"/>
  <c r="AI103" i="21" s="1"/>
  <c r="AJ103" i="21" s="1"/>
  <c r="AK103" i="21" s="1"/>
  <c r="AL103" i="21" s="1"/>
  <c r="AM103" i="21" s="1"/>
  <c r="AN103" i="21" s="1"/>
  <c r="AO103" i="21" s="1"/>
  <c r="AP103" i="21" s="1"/>
  <c r="AQ103" i="21" s="1"/>
  <c r="AR103" i="21" s="1"/>
  <c r="AS103" i="21" s="1"/>
  <c r="AT103" i="21" s="1"/>
  <c r="AU103" i="21" s="1"/>
  <c r="AV103" i="21" s="1"/>
  <c r="AW103" i="21" s="1"/>
  <c r="AX103" i="21" s="1"/>
  <c r="AY103" i="21" s="1"/>
  <c r="AZ103" i="21" s="1"/>
  <c r="AI103" i="22"/>
  <c r="AJ103" i="22" s="1"/>
  <c r="AK103" i="22" s="1"/>
  <c r="AL103" i="22" s="1"/>
  <c r="AM103" i="22" s="1"/>
  <c r="AN103" i="22" s="1"/>
  <c r="AO103" i="22" s="1"/>
  <c r="AP103" i="22" s="1"/>
  <c r="AQ103" i="22" s="1"/>
  <c r="AR103" i="22" s="1"/>
  <c r="AS103" i="22" s="1"/>
  <c r="AT103" i="22" s="1"/>
  <c r="AU103" i="22" s="1"/>
  <c r="AV103" i="22" s="1"/>
  <c r="AW103" i="22" s="1"/>
  <c r="AX103" i="22" s="1"/>
  <c r="AY103" i="22" s="1"/>
  <c r="AZ103" i="22" s="1"/>
  <c r="AM96" i="22"/>
  <c r="AN96" i="22" s="1"/>
  <c r="AO96" i="22" s="1"/>
  <c r="AP96" i="22" s="1"/>
  <c r="AQ96" i="22" s="1"/>
  <c r="AR96" i="22" s="1"/>
  <c r="AS96" i="22" s="1"/>
  <c r="AT96" i="22" s="1"/>
  <c r="AU96" i="22" s="1"/>
  <c r="AV96" i="22" s="1"/>
  <c r="AW96" i="22" s="1"/>
  <c r="AX96" i="22" s="1"/>
  <c r="AY96" i="22" s="1"/>
  <c r="AZ96" i="22" s="1"/>
  <c r="AH108" i="18"/>
  <c r="AE36" i="22"/>
  <c r="AF132" i="18"/>
  <c r="AG132" i="18" s="1"/>
  <c r="AH132" i="18" s="1"/>
  <c r="AI132" i="18" s="1"/>
  <c r="AJ132" i="18" s="1"/>
  <c r="AK132" i="18" s="1"/>
  <c r="AJ111" i="22"/>
  <c r="AK111" i="22" s="1"/>
  <c r="AL111" i="22" s="1"/>
  <c r="AM111" i="22" s="1"/>
  <c r="AN111" i="22" s="1"/>
  <c r="AO111" i="22" s="1"/>
  <c r="AP111" i="22" s="1"/>
  <c r="AQ111" i="22" s="1"/>
  <c r="AR111" i="22" s="1"/>
  <c r="AS111" i="22" s="1"/>
  <c r="AT111" i="22" s="1"/>
  <c r="AU111" i="22" s="1"/>
  <c r="AV111" i="22" s="1"/>
  <c r="AW111" i="22" s="1"/>
  <c r="AX111" i="22" s="1"/>
  <c r="AY111" i="22" s="1"/>
  <c r="AZ111" i="22" s="1"/>
  <c r="AV3140" i="6"/>
  <c r="AR3140" i="6"/>
  <c r="AN3140" i="6"/>
  <c r="AJ3140" i="6"/>
  <c r="AF3140" i="6"/>
  <c r="AU3140" i="6"/>
  <c r="AQ3140" i="6"/>
  <c r="AM3140" i="6"/>
  <c r="AI3140" i="6"/>
  <c r="AE3140" i="6"/>
  <c r="AW3140" i="6"/>
  <c r="AO3140" i="6"/>
  <c r="AG3140" i="6"/>
  <c r="AT3140" i="6"/>
  <c r="AL3140" i="6"/>
  <c r="AD3140" i="6"/>
  <c r="AS3140" i="6"/>
  <c r="AK3140" i="6"/>
  <c r="AC3140" i="6"/>
  <c r="AC3113" i="6" s="1"/>
  <c r="AC3007" i="6"/>
  <c r="AH3140" i="6"/>
  <c r="AP3140" i="6"/>
  <c r="AC3006" i="6"/>
  <c r="AC3112" i="6"/>
  <c r="AA36" i="11"/>
  <c r="AA3170" i="6"/>
  <c r="M2" i="19"/>
  <c r="AC1684" i="6"/>
  <c r="Y1684" i="6"/>
  <c r="U1684" i="6"/>
  <c r="AF1632" i="6"/>
  <c r="AB1632" i="6"/>
  <c r="X1632" i="6"/>
  <c r="T1632" i="6"/>
  <c r="AD1684" i="6"/>
  <c r="X1684" i="6"/>
  <c r="S1684" i="6"/>
  <c r="AA1632" i="6"/>
  <c r="V1632" i="6"/>
  <c r="O1577" i="6"/>
  <c r="AB1684" i="6"/>
  <c r="W1684" i="6"/>
  <c r="R1684" i="6"/>
  <c r="AE1632" i="6"/>
  <c r="Z1632" i="6"/>
  <c r="U1632" i="6"/>
  <c r="AF1684" i="6"/>
  <c r="AA1684" i="6"/>
  <c r="V1684" i="6"/>
  <c r="AD1632" i="6"/>
  <c r="Y1632" i="6"/>
  <c r="S1632" i="6"/>
  <c r="O1578" i="6"/>
  <c r="O1576" i="6"/>
  <c r="AE1684" i="6"/>
  <c r="Z1684" i="6"/>
  <c r="T1684" i="6"/>
  <c r="AC1632" i="6"/>
  <c r="W1632" i="6"/>
  <c r="R1632" i="6"/>
  <c r="AM63" i="18"/>
  <c r="AN63" i="18" s="1"/>
  <c r="AO63" i="18" s="1"/>
  <c r="AP63" i="18" s="1"/>
  <c r="AQ63" i="18" s="1"/>
  <c r="AR63" i="18" s="1"/>
  <c r="AS63" i="18" s="1"/>
  <c r="AT63" i="18" s="1"/>
  <c r="AU63" i="18" s="1"/>
  <c r="AV63" i="18" s="1"/>
  <c r="AW63" i="18" s="1"/>
  <c r="AX63" i="18" s="1"/>
  <c r="AY63" i="18" s="1"/>
  <c r="AZ63" i="18" s="1"/>
  <c r="Y356" i="6"/>
  <c r="Z24" i="9"/>
  <c r="AB24" i="9" s="1"/>
  <c r="O2286" i="6"/>
  <c r="O2285" i="6"/>
  <c r="AL103" i="9"/>
  <c r="Y24" i="17"/>
  <c r="Y1107" i="6"/>
  <c r="Z18" i="5" s="1"/>
  <c r="AU205" i="14"/>
  <c r="AV205" i="14" s="1"/>
  <c r="AW205" i="14" s="1"/>
  <c r="AX205" i="14" s="1"/>
  <c r="AY205" i="14" s="1"/>
  <c r="AZ205" i="14" s="1"/>
  <c r="BA205" i="14" s="1"/>
  <c r="AN52" i="21"/>
  <c r="AO52" i="21" s="1"/>
  <c r="AP52" i="21" s="1"/>
  <c r="AQ52" i="21" s="1"/>
  <c r="AR52" i="21" s="1"/>
  <c r="AR1297" i="6"/>
  <c r="AN1297" i="6"/>
  <c r="AJ1297" i="6"/>
  <c r="AF1297" i="6"/>
  <c r="AP1245" i="6"/>
  <c r="AL1245" i="6"/>
  <c r="AH1245" i="6"/>
  <c r="AD1245" i="6"/>
  <c r="AQ1193" i="6"/>
  <c r="AM1193" i="6"/>
  <c r="AI1193" i="6"/>
  <c r="AE1193" i="6"/>
  <c r="AA1139" i="6"/>
  <c r="W1139" i="6"/>
  <c r="W1112" i="6" s="1"/>
  <c r="AQ1297" i="6"/>
  <c r="AM1297" i="6"/>
  <c r="AI1297" i="6"/>
  <c r="AE1297" i="6"/>
  <c r="AO1245" i="6"/>
  <c r="AK1245" i="6"/>
  <c r="AG1245" i="6"/>
  <c r="AC1245" i="6"/>
  <c r="AP1193" i="6"/>
  <c r="AL1193" i="6"/>
  <c r="AH1193" i="6"/>
  <c r="AD1193" i="6"/>
  <c r="Z1139" i="6"/>
  <c r="AP1297" i="6"/>
  <c r="AL1297" i="6"/>
  <c r="AH1297" i="6"/>
  <c r="AD1297" i="6"/>
  <c r="AN1245" i="6"/>
  <c r="AJ1245" i="6"/>
  <c r="AF1245" i="6"/>
  <c r="AO1193" i="6"/>
  <c r="AK1193" i="6"/>
  <c r="AG1193" i="6"/>
  <c r="AC1193" i="6"/>
  <c r="Y1139" i="6"/>
  <c r="AO1297" i="6"/>
  <c r="AK1297" i="6"/>
  <c r="AG1297" i="6"/>
  <c r="AC1297" i="6"/>
  <c r="AQ1245" i="6"/>
  <c r="AM1245" i="6"/>
  <c r="AI1245" i="6"/>
  <c r="AE1245" i="6"/>
  <c r="AN1193" i="6"/>
  <c r="AJ1193" i="6"/>
  <c r="AF1193" i="6"/>
  <c r="AB1139" i="6"/>
  <c r="X1139" i="6"/>
  <c r="AD1111" i="6"/>
  <c r="AI146" i="18"/>
  <c r="AJ146" i="18" s="1"/>
  <c r="AK146" i="18" s="1"/>
  <c r="AL146" i="18" s="1"/>
  <c r="AM146" i="18" s="1"/>
  <c r="AN146" i="18" s="1"/>
  <c r="AO146" i="18" s="1"/>
  <c r="AP146" i="18" s="1"/>
  <c r="AQ146" i="18" s="1"/>
  <c r="AR146" i="18" s="1"/>
  <c r="AS146" i="18" s="1"/>
  <c r="AT146" i="18" s="1"/>
  <c r="AU146" i="18" s="1"/>
  <c r="AV146" i="18" s="1"/>
  <c r="AW146" i="18" s="1"/>
  <c r="AX146" i="18" s="1"/>
  <c r="AY146" i="18" s="1"/>
  <c r="AZ146" i="18" s="1"/>
  <c r="AJ70" i="20"/>
  <c r="AK70" i="20" s="1"/>
  <c r="AL70" i="20" s="1"/>
  <c r="AX82" i="22"/>
  <c r="AY82" i="22" s="1"/>
  <c r="AZ82" i="22" s="1"/>
  <c r="AG60" i="21"/>
  <c r="AH60" i="21" s="1"/>
  <c r="AI60" i="21" s="1"/>
  <c r="AJ60" i="21" s="1"/>
  <c r="AK60" i="21" s="1"/>
  <c r="AL60" i="21" s="1"/>
  <c r="AM60" i="21" s="1"/>
  <c r="AN60" i="21" s="1"/>
  <c r="AO60" i="21" s="1"/>
  <c r="AP60" i="21" s="1"/>
  <c r="AQ60" i="21" s="1"/>
  <c r="AR60" i="21" s="1"/>
  <c r="AS60" i="21" s="1"/>
  <c r="AT60" i="21" s="1"/>
  <c r="AU60" i="21" s="1"/>
  <c r="AV60" i="21" s="1"/>
  <c r="AW60" i="21" s="1"/>
  <c r="AX60" i="21" s="1"/>
  <c r="AY60" i="21" s="1"/>
  <c r="AZ60" i="21" s="1"/>
  <c r="BA60" i="21" s="1"/>
  <c r="AM51" i="15"/>
  <c r="AN51" i="15" s="1"/>
  <c r="AO51" i="15" s="1"/>
  <c r="AP51" i="15" s="1"/>
  <c r="AE883" i="6"/>
  <c r="AE880" i="6"/>
  <c r="AF878" i="6"/>
  <c r="AF7" i="5"/>
  <c r="AI63" i="16"/>
  <c r="AJ63" i="16" s="1"/>
  <c r="AK63" i="16" s="1"/>
  <c r="AL63" i="16" s="1"/>
  <c r="AM63" i="16" s="1"/>
  <c r="AN63" i="16" s="1"/>
  <c r="AO63" i="16" s="1"/>
  <c r="AP63" i="16" s="1"/>
  <c r="AQ63" i="16" s="1"/>
  <c r="AR63" i="16" s="1"/>
  <c r="AS63" i="16" s="1"/>
  <c r="AT63" i="16" s="1"/>
  <c r="AU63" i="16" s="1"/>
  <c r="AV63" i="16" s="1"/>
  <c r="AW63" i="16" s="1"/>
  <c r="AX63" i="16" s="1"/>
  <c r="AY63" i="16" s="1"/>
  <c r="AZ63" i="16" s="1"/>
  <c r="BA63" i="16"/>
  <c r="Y21" i="17"/>
  <c r="Y1106" i="6"/>
  <c r="Z19" i="5" s="1"/>
  <c r="AI155" i="14"/>
  <c r="AJ155" i="14" s="1"/>
  <c r="AK155" i="14" s="1"/>
  <c r="AL155" i="14" s="1"/>
  <c r="AM155" i="14" s="1"/>
  <c r="AN155" i="14" s="1"/>
  <c r="AO155" i="14" s="1"/>
  <c r="AP155" i="14" s="1"/>
  <c r="AQ155" i="14" s="1"/>
  <c r="AR155" i="14" s="1"/>
  <c r="AS155" i="14" s="1"/>
  <c r="AT155" i="14" s="1"/>
  <c r="AU155" i="14" s="1"/>
  <c r="AV155" i="14" s="1"/>
  <c r="AW155" i="14" s="1"/>
  <c r="AX155" i="14" s="1"/>
  <c r="AY155" i="14" s="1"/>
  <c r="AZ155" i="14" s="1"/>
  <c r="BA155" i="14" s="1"/>
  <c r="AA645" i="6"/>
  <c r="AR70" i="19"/>
  <c r="AS70" i="19" s="1"/>
  <c r="AT70" i="19" s="1"/>
  <c r="AU70" i="19" s="1"/>
  <c r="AV70" i="19" s="1"/>
  <c r="AW70" i="19" s="1"/>
  <c r="AX70" i="19" s="1"/>
  <c r="AY70" i="19" s="1"/>
  <c r="AZ70" i="19" s="1"/>
  <c r="AF123" i="22"/>
  <c r="AG123" i="22"/>
  <c r="AH123" i="22" s="1"/>
  <c r="AI123" i="22" s="1"/>
  <c r="AD126" i="14"/>
  <c r="AI84" i="13"/>
  <c r="AJ84" i="13" s="1"/>
  <c r="AK84" i="13" s="1"/>
  <c r="AL84" i="13" s="1"/>
  <c r="AM84" i="13" s="1"/>
  <c r="AN84" i="13" s="1"/>
  <c r="AO84" i="13" s="1"/>
  <c r="AP84" i="13" s="1"/>
  <c r="AQ84" i="13" s="1"/>
  <c r="AR84" i="13" s="1"/>
  <c r="AS84" i="13" s="1"/>
  <c r="AT84" i="13" s="1"/>
  <c r="AU84" i="13" s="1"/>
  <c r="AV84" i="13" s="1"/>
  <c r="AW84" i="13" s="1"/>
  <c r="AX84" i="13" s="1"/>
  <c r="AY84" i="13" s="1"/>
  <c r="AZ84" i="13" s="1"/>
  <c r="BA84" i="13" s="1"/>
  <c r="AX82" i="21"/>
  <c r="AY82" i="21" s="1"/>
  <c r="AZ82" i="21" s="1"/>
  <c r="AE2008" i="6"/>
  <c r="AF2006" i="6"/>
  <c r="AE2004" i="6"/>
  <c r="AF70" i="13"/>
  <c r="AG153" i="18"/>
  <c r="AH153" i="18" s="1"/>
  <c r="AI153" i="18" s="1"/>
  <c r="AJ153" i="18" s="1"/>
  <c r="AH60" i="16"/>
  <c r="N17" i="22"/>
  <c r="P2228" i="6"/>
  <c r="AP74" i="21"/>
  <c r="AQ74" i="21" s="1"/>
  <c r="AR74" i="21" s="1"/>
  <c r="AS74" i="21" s="1"/>
  <c r="AT74" i="21" s="1"/>
  <c r="AU74" i="21" s="1"/>
  <c r="AV74" i="21" s="1"/>
  <c r="AW74" i="21" s="1"/>
  <c r="AX74" i="21" s="1"/>
  <c r="AY74" i="21" s="1"/>
  <c r="AZ74" i="21" s="1"/>
  <c r="AE2508" i="6" a="1"/>
  <c r="AE2508" i="6" s="1"/>
  <c r="AJ67" i="15"/>
  <c r="AK67" i="15" s="1"/>
  <c r="AL67" i="15" s="1"/>
  <c r="AM67" i="15" s="1"/>
  <c r="AN67" i="15" s="1"/>
  <c r="AO67" i="15" s="1"/>
  <c r="AP67" i="15" s="1"/>
  <c r="AQ67" i="15" s="1"/>
  <c r="AR67" i="15" s="1"/>
  <c r="AS67" i="15" s="1"/>
  <c r="AT67" i="15" s="1"/>
  <c r="AU67" i="15" s="1"/>
  <c r="AV67" i="15" s="1"/>
  <c r="AW67" i="15" s="1"/>
  <c r="AX67" i="15" s="1"/>
  <c r="AY67" i="15" s="1"/>
  <c r="AZ67" i="15" s="1"/>
  <c r="BA67" i="15" s="1"/>
  <c r="AH48" i="15"/>
  <c r="AI48" i="15" s="1"/>
  <c r="AJ48" i="15" s="1"/>
  <c r="AK48" i="15" s="1"/>
  <c r="AL48" i="15" s="1"/>
  <c r="AM48" i="15" s="1"/>
  <c r="AN48" i="15" s="1"/>
  <c r="AB937" i="6"/>
  <c r="AB938" i="6"/>
  <c r="AH81" i="18"/>
  <c r="AJ54" i="17"/>
  <c r="AK54" i="17" s="1"/>
  <c r="AD17" i="21"/>
  <c r="AD2007" i="6"/>
  <c r="AH73" i="15"/>
  <c r="AI73" i="15" s="1"/>
  <c r="AJ73" i="15" s="1"/>
  <c r="AK73" i="15" s="1"/>
  <c r="AL73" i="15" s="1"/>
  <c r="AM73" i="15" s="1"/>
  <c r="AN73" i="15" s="1"/>
  <c r="AO73" i="15" s="1"/>
  <c r="AP73" i="15" s="1"/>
  <c r="AQ73" i="15" s="1"/>
  <c r="AR73" i="15" s="1"/>
  <c r="AS73" i="15" s="1"/>
  <c r="AT73" i="15" s="1"/>
  <c r="AU73" i="15" s="1"/>
  <c r="AV73" i="15" s="1"/>
  <c r="AW73" i="15" s="1"/>
  <c r="AX73" i="15" s="1"/>
  <c r="AY73" i="15" s="1"/>
  <c r="AZ73" i="15" s="1"/>
  <c r="BA73" i="15" s="1"/>
  <c r="AI59" i="14"/>
  <c r="AF879" i="6"/>
  <c r="AE877" i="6"/>
  <c r="AE881" i="6"/>
  <c r="AK105" i="14"/>
  <c r="AL105" i="14" s="1"/>
  <c r="AM105" i="14" s="1"/>
  <c r="AN105" i="14" s="1"/>
  <c r="AO105" i="14" s="1"/>
  <c r="AP105" i="14" s="1"/>
  <c r="AQ105" i="14" s="1"/>
  <c r="AR105" i="14" s="1"/>
  <c r="AS105" i="14"/>
  <c r="AT105" i="14" s="1"/>
  <c r="AU105" i="14" s="1"/>
  <c r="AV105" i="14" s="1"/>
  <c r="AW105" i="14" s="1"/>
  <c r="AX105" i="14" s="1"/>
  <c r="AY105" i="14" s="1"/>
  <c r="AZ105" i="14" s="1"/>
  <c r="BA105" i="14" s="1"/>
  <c r="AE79" i="14"/>
  <c r="AC413" i="6"/>
  <c r="AB635" i="6"/>
  <c r="AC23" i="5" s="1"/>
  <c r="AB419" i="6"/>
  <c r="AC15" i="5"/>
  <c r="AA22" i="9"/>
  <c r="AQ1748" i="6"/>
  <c r="AM1748" i="6"/>
  <c r="AI1748" i="6"/>
  <c r="AE1748" i="6"/>
  <c r="AO1696" i="6"/>
  <c r="AK1696" i="6"/>
  <c r="AG1696" i="6"/>
  <c r="AR1644" i="6"/>
  <c r="AN1644" i="6"/>
  <c r="AJ1644" i="6"/>
  <c r="AF1644" i="6"/>
  <c r="AR1748" i="6"/>
  <c r="AL1748" i="6"/>
  <c r="AG1748" i="6"/>
  <c r="AQ1696" i="6"/>
  <c r="AL1696" i="6"/>
  <c r="AF1696" i="6"/>
  <c r="AP1644" i="6"/>
  <c r="AK1644" i="6"/>
  <c r="AE1644" i="6"/>
  <c r="AC1590" i="6"/>
  <c r="AE1561" i="6"/>
  <c r="AP1748" i="6"/>
  <c r="AK1748" i="6"/>
  <c r="AF1748" i="6"/>
  <c r="AP1696" i="6"/>
  <c r="AJ1696" i="6"/>
  <c r="AE1696" i="6"/>
  <c r="AO1644" i="6"/>
  <c r="AI1644" i="6"/>
  <c r="AD1644" i="6"/>
  <c r="AB1590" i="6"/>
  <c r="AO1748" i="6"/>
  <c r="AJ1748" i="6"/>
  <c r="AD1748" i="6"/>
  <c r="AN1696" i="6"/>
  <c r="AI1696" i="6"/>
  <c r="AD1696" i="6"/>
  <c r="AM1644" i="6"/>
  <c r="AH1644" i="6"/>
  <c r="AA1590" i="6"/>
  <c r="AA1562" i="6" s="1"/>
  <c r="AS1748" i="6"/>
  <c r="AN1748" i="6"/>
  <c r="AH1748" i="6"/>
  <c r="AR1696" i="6"/>
  <c r="AM1696" i="6"/>
  <c r="AH1696" i="6"/>
  <c r="AQ1644" i="6"/>
  <c r="AL1644" i="6"/>
  <c r="AG1644" i="6"/>
  <c r="AI114" i="22"/>
  <c r="AJ114" i="22" s="1"/>
  <c r="AK114" i="22" s="1"/>
  <c r="AL114" i="22" s="1"/>
  <c r="AM114" i="22" s="1"/>
  <c r="AN114" i="22" s="1"/>
  <c r="AO114" i="22" s="1"/>
  <c r="AG69" i="20"/>
  <c r="AH69" i="20" s="1"/>
  <c r="AI69" i="20" s="1"/>
  <c r="AJ69" i="20" s="1"/>
  <c r="AK69" i="20"/>
  <c r="AL69" i="20" s="1"/>
  <c r="AM69" i="20" s="1"/>
  <c r="AN69" i="20" s="1"/>
  <c r="AO69" i="20" s="1"/>
  <c r="AP69" i="20" s="1"/>
  <c r="AQ69" i="20" s="1"/>
  <c r="AR69" i="20" s="1"/>
  <c r="AS69" i="20" s="1"/>
  <c r="AT69" i="20" s="1"/>
  <c r="AU69" i="20" s="1"/>
  <c r="AV69" i="20" s="1"/>
  <c r="AW69" i="20" s="1"/>
  <c r="AX69" i="20" s="1"/>
  <c r="AY69" i="20" s="1"/>
  <c r="AZ69" i="20" s="1"/>
  <c r="R1840" i="6"/>
  <c r="R1839" i="6"/>
  <c r="AH102" i="22"/>
  <c r="AI102" i="22" s="1"/>
  <c r="AJ102" i="22" s="1"/>
  <c r="AK102" i="22" s="1"/>
  <c r="AL102" i="22" s="1"/>
  <c r="AM102" i="22" s="1"/>
  <c r="AN102" i="22" s="1"/>
  <c r="AO102" i="22" s="1"/>
  <c r="AP102" i="22" s="1"/>
  <c r="AQ102" i="22" s="1"/>
  <c r="AR102" i="22" s="1"/>
  <c r="AS102" i="22" s="1"/>
  <c r="AT102" i="22" s="1"/>
  <c r="AU102" i="22" s="1"/>
  <c r="AV102" i="22" s="1"/>
  <c r="AW102" i="22" s="1"/>
  <c r="AX102" i="22" s="1"/>
  <c r="AY102" i="22" s="1"/>
  <c r="AZ102" i="22" s="1"/>
  <c r="AC59" i="12"/>
  <c r="AD248" i="6" s="1"/>
  <c r="AD60" i="12"/>
  <c r="Y2285" i="6"/>
  <c r="Y2286" i="6"/>
  <c r="AH38" i="19"/>
  <c r="AF132" i="14"/>
  <c r="AG132" i="14" s="1"/>
  <c r="AH132" i="14" s="1"/>
  <c r="AI132" i="14" s="1"/>
  <c r="AJ132" i="14" s="1"/>
  <c r="AK132" i="14" s="1"/>
  <c r="AL132" i="14" s="1"/>
  <c r="AM132" i="14" s="1"/>
  <c r="AN132" i="14" s="1"/>
  <c r="AO132" i="14" s="1"/>
  <c r="AP132" i="14" s="1"/>
  <c r="AQ132" i="14" s="1"/>
  <c r="AR132" i="14" s="1"/>
  <c r="AS132" i="14" s="1"/>
  <c r="AT132" i="14" s="1"/>
  <c r="AU132" i="14" s="1"/>
  <c r="AV132" i="14" s="1"/>
  <c r="AW132" i="14" s="1"/>
  <c r="AX132" i="14" s="1"/>
  <c r="AY132" i="14" s="1"/>
  <c r="AZ132" i="14" s="1"/>
  <c r="BA132" i="14" s="1"/>
  <c r="AJ99" i="14"/>
  <c r="AK99" i="14"/>
  <c r="AL99" i="14" s="1"/>
  <c r="AM99" i="14" s="1"/>
  <c r="AN99" i="14" s="1"/>
  <c r="AO99" i="14" s="1"/>
  <c r="AP99" i="14" s="1"/>
  <c r="AQ99" i="14" s="1"/>
  <c r="AR99" i="14" s="1"/>
  <c r="AS99" i="14" s="1"/>
  <c r="AT99" i="14" s="1"/>
  <c r="AU99" i="14" s="1"/>
  <c r="AV99" i="14" s="1"/>
  <c r="AW99" i="14" s="1"/>
  <c r="AX99" i="14" s="1"/>
  <c r="AY99" i="14" s="1"/>
  <c r="AZ99" i="14" s="1"/>
  <c r="BA99" i="14" s="1"/>
  <c r="AR123" i="13"/>
  <c r="AS123" i="13" s="1"/>
  <c r="AB414" i="6"/>
  <c r="AC418" i="6"/>
  <c r="AC414" i="6"/>
  <c r="AD412" i="6"/>
  <c r="AC420" i="6"/>
  <c r="AC415" i="6"/>
  <c r="AD4" i="5"/>
  <c r="AC421" i="6"/>
  <c r="AC417" i="6"/>
  <c r="AD5" i="5"/>
  <c r="AM61" i="15"/>
  <c r="AN61" i="15" s="1"/>
  <c r="AO61" i="15" s="1"/>
  <c r="AP61" i="15" s="1"/>
  <c r="AQ61" i="15" s="1"/>
  <c r="AR61" i="15" s="1"/>
  <c r="AS61" i="15" s="1"/>
  <c r="AT61" i="15" s="1"/>
  <c r="AU61" i="15" s="1"/>
  <c r="AV61" i="15" s="1"/>
  <c r="AW61" i="15" s="1"/>
  <c r="AX61" i="15" s="1"/>
  <c r="AY61" i="15" s="1"/>
  <c r="AZ61" i="15" s="1"/>
  <c r="BA61" i="15" s="1"/>
  <c r="AD38" i="23"/>
  <c r="AD31" i="22"/>
  <c r="AD31" i="21"/>
  <c r="AD31" i="20"/>
  <c r="AD31" i="19"/>
  <c r="AD31" i="18"/>
  <c r="AD41" i="16"/>
  <c r="AD33" i="15"/>
  <c r="AD48" i="14"/>
  <c r="AD36" i="17"/>
  <c r="AD40" i="13"/>
  <c r="AE6" i="7"/>
  <c r="AT106" i="13"/>
  <c r="AU106" i="13" s="1"/>
  <c r="AV106" i="13" s="1"/>
  <c r="AW106" i="13" s="1"/>
  <c r="AX106" i="13" s="1"/>
  <c r="AY106" i="13" s="1"/>
  <c r="AZ106" i="13" s="1"/>
  <c r="BA106" i="13" s="1"/>
  <c r="AL106" i="13"/>
  <c r="AM106" i="13" s="1"/>
  <c r="AN106" i="13" s="1"/>
  <c r="AO106" i="13" s="1"/>
  <c r="AP106" i="13" s="1"/>
  <c r="AQ106" i="13" s="1"/>
  <c r="AR106" i="13" s="1"/>
  <c r="AS106" i="13" s="1"/>
  <c r="AE73" i="20"/>
  <c r="AE111" i="21"/>
  <c r="AX152" i="14"/>
  <c r="AY152" i="14" s="1"/>
  <c r="AZ152" i="14" s="1"/>
  <c r="BA152" i="14" s="1"/>
  <c r="AH83" i="18"/>
  <c r="AI83" i="18" s="1"/>
  <c r="AJ83" i="18" s="1"/>
  <c r="AK83" i="18" s="1"/>
  <c r="AL83" i="18" s="1"/>
  <c r="AM83" i="18" s="1"/>
  <c r="AN83" i="18" s="1"/>
  <c r="AO83" i="18" s="1"/>
  <c r="AP83" i="18" s="1"/>
  <c r="AQ83" i="18" s="1"/>
  <c r="AR83" i="18" s="1"/>
  <c r="AS83" i="18" s="1"/>
  <c r="AT83" i="18" s="1"/>
  <c r="AU83" i="18" s="1"/>
  <c r="AV83" i="18" s="1"/>
  <c r="AW83" i="18" s="1"/>
  <c r="AX83" i="18" s="1"/>
  <c r="AY83" i="18" s="1"/>
  <c r="AZ83" i="18" s="1"/>
  <c r="AG83" i="18"/>
  <c r="AF36" i="21"/>
  <c r="AR71" i="13"/>
  <c r="AS71" i="13" s="1"/>
  <c r="AP2801" i="6"/>
  <c r="AL2801" i="6"/>
  <c r="AH2801" i="6"/>
  <c r="AD2801" i="6"/>
  <c r="Z2801" i="6"/>
  <c r="AQ2801" i="6"/>
  <c r="AK2801" i="6"/>
  <c r="AF2801" i="6"/>
  <c r="AA2801" i="6"/>
  <c r="AO2801" i="6"/>
  <c r="AJ2801" i="6"/>
  <c r="AE2801" i="6"/>
  <c r="Y2801" i="6"/>
  <c r="AM2801" i="6"/>
  <c r="AB2801" i="6"/>
  <c r="AI2801" i="6"/>
  <c r="X2801" i="6"/>
  <c r="X2779" i="6" s="1"/>
  <c r="AR2801" i="6"/>
  <c r="AG2801" i="6"/>
  <c r="AN2801" i="6"/>
  <c r="AC2801" i="6"/>
  <c r="X2673" i="6"/>
  <c r="X2672" i="6"/>
  <c r="Y27" i="5"/>
  <c r="AH73" i="22"/>
  <c r="AH67" i="20"/>
  <c r="AI67" i="20" s="1"/>
  <c r="AJ67" i="20" s="1"/>
  <c r="AK67" i="20"/>
  <c r="AL67" i="20" s="1"/>
  <c r="AM67" i="20" s="1"/>
  <c r="AN67" i="20" s="1"/>
  <c r="AO67" i="20" s="1"/>
  <c r="AP67" i="20" s="1"/>
  <c r="AQ67" i="20" s="1"/>
  <c r="AR67" i="20" s="1"/>
  <c r="AS67" i="20" s="1"/>
  <c r="AT67" i="20" s="1"/>
  <c r="AU67" i="20" s="1"/>
  <c r="AV67" i="20" s="1"/>
  <c r="AW67" i="20" s="1"/>
  <c r="AX67" i="20" s="1"/>
  <c r="AY67" i="20" s="1"/>
  <c r="AZ67" i="20" s="1"/>
  <c r="AK117" i="18"/>
  <c r="AP3086" i="6"/>
  <c r="AL3086" i="6"/>
  <c r="AH3086" i="6"/>
  <c r="AD3086" i="6"/>
  <c r="AO3034" i="6"/>
  <c r="AK3034" i="6"/>
  <c r="AG3034" i="6"/>
  <c r="AC3034" i="6"/>
  <c r="AO3086" i="6"/>
  <c r="AK3086" i="6"/>
  <c r="AG3086" i="6"/>
  <c r="AC3086" i="6"/>
  <c r="AN3034" i="6"/>
  <c r="AJ3034" i="6"/>
  <c r="AF3034" i="6"/>
  <c r="AB3034" i="6"/>
  <c r="AB3008" i="6" s="1" a="1"/>
  <c r="AB3008" i="6" s="1"/>
  <c r="AM3086" i="6"/>
  <c r="AE3086" i="6"/>
  <c r="AL3034" i="6"/>
  <c r="AD3034" i="6"/>
  <c r="AJ3086" i="6"/>
  <c r="AB3086" i="6"/>
  <c r="AB3060" i="6" s="1" a="1"/>
  <c r="AB3060" i="6" s="1"/>
  <c r="AI3034" i="6"/>
  <c r="AI3086" i="6"/>
  <c r="AP3034" i="6"/>
  <c r="AH3034" i="6"/>
  <c r="AN3086" i="6"/>
  <c r="AM3034" i="6"/>
  <c r="AF3086" i="6"/>
  <c r="AE3034" i="6"/>
  <c r="Q423" i="6"/>
  <c r="N2" i="14"/>
  <c r="AE598" i="6"/>
  <c r="AA598" i="6"/>
  <c r="W598" i="6"/>
  <c r="S598" i="6"/>
  <c r="AD546" i="6"/>
  <c r="Z546" i="6"/>
  <c r="V546" i="6"/>
  <c r="AD494" i="6"/>
  <c r="Z494" i="6"/>
  <c r="V494" i="6"/>
  <c r="P439" i="6"/>
  <c r="AH598" i="6"/>
  <c r="AD598" i="6"/>
  <c r="Z598" i="6"/>
  <c r="V598" i="6"/>
  <c r="AG546" i="6"/>
  <c r="AC546" i="6"/>
  <c r="Y546" i="6"/>
  <c r="U546" i="6"/>
  <c r="AB529" i="6"/>
  <c r="AG494" i="6"/>
  <c r="AC494" i="6"/>
  <c r="Y494" i="6"/>
  <c r="U494" i="6"/>
  <c r="AB598" i="6"/>
  <c r="T598" i="6"/>
  <c r="AA546" i="6"/>
  <c r="S546" i="6"/>
  <c r="AE494" i="6"/>
  <c r="W494" i="6"/>
  <c r="AG598" i="6"/>
  <c r="AC598" i="6"/>
  <c r="Y598" i="6"/>
  <c r="U598" i="6"/>
  <c r="AF546" i="6"/>
  <c r="AB546" i="6"/>
  <c r="X546" i="6"/>
  <c r="T546" i="6"/>
  <c r="AF494" i="6"/>
  <c r="AB494" i="6"/>
  <c r="X494" i="6"/>
  <c r="T494" i="6"/>
  <c r="P440" i="6"/>
  <c r="P438" i="6"/>
  <c r="P423" i="6" s="1"/>
  <c r="AF598" i="6"/>
  <c r="X598" i="6"/>
  <c r="AE546" i="6"/>
  <c r="W546" i="6"/>
  <c r="AA494" i="6"/>
  <c r="S494" i="6"/>
  <c r="AT325" i="6"/>
  <c r="AP325" i="6"/>
  <c r="AL325" i="6"/>
  <c r="AH325" i="6"/>
  <c r="AD325" i="6"/>
  <c r="Z325" i="6"/>
  <c r="Z303" i="6" s="1" a="1"/>
  <c r="Z303" i="6" s="1"/>
  <c r="AU273" i="6"/>
  <c r="AQ273" i="6"/>
  <c r="AM273" i="6"/>
  <c r="AI273" i="6"/>
  <c r="AE273" i="6"/>
  <c r="AA273" i="6"/>
  <c r="AQ325" i="6"/>
  <c r="AE325" i="6"/>
  <c r="AS325" i="6"/>
  <c r="AO325" i="6"/>
  <c r="AK325" i="6"/>
  <c r="AG325" i="6"/>
  <c r="AC325" i="6"/>
  <c r="Y325" i="6"/>
  <c r="AT273" i="6"/>
  <c r="AP273" i="6"/>
  <c r="AL273" i="6"/>
  <c r="AH273" i="6"/>
  <c r="AD273" i="6"/>
  <c r="Z273" i="6"/>
  <c r="Z251" i="6" s="1" a="1"/>
  <c r="Z251" i="6" s="1"/>
  <c r="Z409" i="6" s="1"/>
  <c r="AI325" i="6"/>
  <c r="AA325" i="6"/>
  <c r="AV273" i="6"/>
  <c r="AN273" i="6"/>
  <c r="AF273" i="6"/>
  <c r="X273" i="6"/>
  <c r="AV325" i="6"/>
  <c r="AR325" i="6"/>
  <c r="AN325" i="6"/>
  <c r="AJ325" i="6"/>
  <c r="AF325" i="6"/>
  <c r="AB325" i="6"/>
  <c r="X325" i="6"/>
  <c r="X303" i="6" s="1" a="1"/>
  <c r="X303" i="6" s="1"/>
  <c r="AS273" i="6"/>
  <c r="AO273" i="6"/>
  <c r="AK273" i="6"/>
  <c r="AG273" i="6"/>
  <c r="AC273" i="6"/>
  <c r="Y273" i="6"/>
  <c r="Y251" i="6" s="1" a="1"/>
  <c r="Y251" i="6" s="1"/>
  <c r="Y409" i="6" s="1"/>
  <c r="AU325" i="6"/>
  <c r="AM325" i="6"/>
  <c r="AR273" i="6"/>
  <c r="AJ273" i="6"/>
  <c r="AB273" i="6"/>
  <c r="Y15" i="9"/>
  <c r="Z2671" i="6" s="1"/>
  <c r="Z20" i="9"/>
  <c r="AK92" i="18"/>
  <c r="P2285" i="6"/>
  <c r="P2286" i="6"/>
  <c r="AT119" i="14"/>
  <c r="AU119" i="14" s="1"/>
  <c r="AV119" i="14" s="1"/>
  <c r="AW119" i="14" s="1"/>
  <c r="AX119" i="14" s="1"/>
  <c r="AY119" i="14" s="1"/>
  <c r="AZ119" i="14" s="1"/>
  <c r="BA119" i="14" s="1"/>
  <c r="AE3171" i="6"/>
  <c r="AE38" i="11"/>
  <c r="AE2449" i="6"/>
  <c r="AE2450" i="6"/>
  <c r="AF2448" i="6"/>
  <c r="AF16" i="5"/>
  <c r="AH157" i="14"/>
  <c r="AI157" i="14" s="1"/>
  <c r="AJ157" i="14" s="1"/>
  <c r="AK157" i="14" s="1"/>
  <c r="AL157" i="14" s="1"/>
  <c r="AM157" i="14" s="1"/>
  <c r="AN157" i="14" s="1"/>
  <c r="AO157" i="14" s="1"/>
  <c r="AP157" i="14" s="1"/>
  <c r="AQ157" i="14" s="1"/>
  <c r="AR157" i="14" s="1"/>
  <c r="AS157" i="14" s="1"/>
  <c r="AT157" i="14" s="1"/>
  <c r="AU157" i="14" s="1"/>
  <c r="AV157" i="14" s="1"/>
  <c r="AW157" i="14" s="1"/>
  <c r="AX157" i="14"/>
  <c r="AY157" i="14" s="1"/>
  <c r="AZ157" i="14" s="1"/>
  <c r="BA157" i="14" s="1"/>
  <c r="AE64" i="15"/>
  <c r="AF109" i="22"/>
  <c r="AG109" i="22" s="1"/>
  <c r="AH109" i="22" s="1"/>
  <c r="AI109" i="22" s="1"/>
  <c r="AJ109" i="22" s="1"/>
  <c r="AK109" i="22" s="1"/>
  <c r="AL109" i="22" s="1"/>
  <c r="AM109" i="22"/>
  <c r="AN109" i="22" s="1"/>
  <c r="AD247" i="6"/>
  <c r="AR79" i="13"/>
  <c r="AS79" i="13" s="1"/>
  <c r="AT79" i="13" s="1"/>
  <c r="AU79" i="13" s="1"/>
  <c r="AV79" i="13" s="1"/>
  <c r="AW79" i="13" s="1"/>
  <c r="AX79" i="13" s="1"/>
  <c r="AY79" i="13" s="1"/>
  <c r="AZ79" i="13" s="1"/>
  <c r="BA79" i="13" s="1"/>
  <c r="AP114" i="22"/>
  <c r="AQ114" i="22" s="1"/>
  <c r="AH2747" i="6"/>
  <c r="AD2747" i="6"/>
  <c r="Z2747" i="6"/>
  <c r="AK2695" i="6"/>
  <c r="AG2695" i="6"/>
  <c r="AC2695" i="6"/>
  <c r="Y2695" i="6"/>
  <c r="AJ2747" i="6"/>
  <c r="AE2747" i="6"/>
  <c r="Y2747" i="6"/>
  <c r="AI2695" i="6"/>
  <c r="AD2695" i="6"/>
  <c r="X2695" i="6"/>
  <c r="AI2747" i="6"/>
  <c r="AC2747" i="6"/>
  <c r="X2747" i="6"/>
  <c r="AH2695" i="6"/>
  <c r="AB2695" i="6"/>
  <c r="W2695" i="6"/>
  <c r="AG2747" i="6"/>
  <c r="AB2747" i="6"/>
  <c r="W2747" i="6"/>
  <c r="AF2747" i="6"/>
  <c r="AE2695" i="6"/>
  <c r="AA2747" i="6"/>
  <c r="AA2695" i="6"/>
  <c r="AJ2695" i="6"/>
  <c r="Z2695" i="6"/>
  <c r="AK2747" i="6"/>
  <c r="AF2695" i="6"/>
  <c r="AK93" i="14"/>
  <c r="AL93" i="14" s="1"/>
  <c r="AM93" i="14" s="1"/>
  <c r="AN93" i="14" s="1"/>
  <c r="AO93" i="14" s="1"/>
  <c r="AP93" i="14" s="1"/>
  <c r="AQ93" i="14" s="1"/>
  <c r="AR93" i="14" s="1"/>
  <c r="AS93" i="14" s="1"/>
  <c r="AT93" i="14" s="1"/>
  <c r="AJ80" i="22"/>
  <c r="AK80" i="22" s="1"/>
  <c r="AL80" i="22" s="1"/>
  <c r="AM80" i="22" s="1"/>
  <c r="AN80" i="22" s="1"/>
  <c r="AO80" i="22" s="1"/>
  <c r="AP80" i="22" s="1"/>
  <c r="AQ80" i="22" s="1"/>
  <c r="AR80" i="22" s="1"/>
  <c r="AS80" i="22" s="1"/>
  <c r="AT80" i="22" s="1"/>
  <c r="AU80" i="22" s="1"/>
  <c r="AV80" i="22" s="1"/>
  <c r="AW80" i="22" s="1"/>
  <c r="AX80" i="22" s="1"/>
  <c r="AY80" i="22" s="1"/>
  <c r="AZ80" i="22" s="1"/>
  <c r="AU69" i="17"/>
  <c r="AV69" i="17" s="1"/>
  <c r="AW69" i="17" s="1"/>
  <c r="AX69" i="17" s="1"/>
  <c r="AY69" i="17" s="1"/>
  <c r="AZ69" i="17" s="1"/>
  <c r="BA69" i="17" s="1"/>
  <c r="AI61" i="16"/>
  <c r="AJ61" i="16" s="1"/>
  <c r="AK61" i="16" s="1"/>
  <c r="AL61" i="16" s="1"/>
  <c r="AM61" i="16" s="1"/>
  <c r="AN61" i="16" s="1"/>
  <c r="AO61" i="16" s="1"/>
  <c r="AP61" i="16" s="1"/>
  <c r="AQ61" i="16" s="1"/>
  <c r="AR61" i="16" s="1"/>
  <c r="AS61" i="16" s="1"/>
  <c r="AT61" i="16" s="1"/>
  <c r="AU61" i="16" s="1"/>
  <c r="AV61" i="16" s="1"/>
  <c r="AW61" i="16" s="1"/>
  <c r="AX61" i="16" s="1"/>
  <c r="AY61" i="16" s="1"/>
  <c r="AZ61" i="16" s="1"/>
  <c r="BA61" i="16" s="1"/>
  <c r="AJ95" i="21"/>
  <c r="AK95" i="21" s="1"/>
  <c r="AL95" i="21" s="1"/>
  <c r="AM95" i="21" s="1"/>
  <c r="AN95" i="21" s="1"/>
  <c r="AO95" i="21" s="1"/>
  <c r="AP95" i="21" s="1"/>
  <c r="AQ95" i="21" s="1"/>
  <c r="AR95" i="21" s="1"/>
  <c r="AS95" i="21" s="1"/>
  <c r="AT95" i="21" s="1"/>
  <c r="AU95" i="21" s="1"/>
  <c r="AV95" i="21" s="1"/>
  <c r="AW95" i="21" s="1"/>
  <c r="AX95" i="21" s="1"/>
  <c r="AY95" i="21" s="1"/>
  <c r="AZ95" i="21" s="1"/>
  <c r="AH46" i="21"/>
  <c r="Y19" i="17"/>
  <c r="Y1105" i="6"/>
  <c r="AR121" i="22"/>
  <c r="AS121" i="22" s="1"/>
  <c r="AT121" i="22" s="1"/>
  <c r="AU121" i="22" s="1"/>
  <c r="AV121" i="22" s="1"/>
  <c r="AW121" i="22" s="1"/>
  <c r="AX121" i="22" s="1"/>
  <c r="AY121" i="22" s="1"/>
  <c r="AZ121" i="22" s="1"/>
  <c r="AG74" i="13"/>
  <c r="AH74" i="13"/>
  <c r="AI74" i="13" s="1"/>
  <c r="AJ74" i="13" s="1"/>
  <c r="AK74" i="13" s="1"/>
  <c r="X2778" i="6"/>
  <c r="X2831" i="6" s="1"/>
  <c r="P2012" i="6"/>
  <c r="M2" i="21"/>
  <c r="AF2134" i="6"/>
  <c r="AB2134" i="6"/>
  <c r="X2134" i="6"/>
  <c r="T2134" i="6"/>
  <c r="AE2082" i="6"/>
  <c r="AA2082" i="6"/>
  <c r="W2082" i="6"/>
  <c r="S2082" i="6"/>
  <c r="O2027" i="6"/>
  <c r="AE2134" i="6"/>
  <c r="AA2134" i="6"/>
  <c r="W2134" i="6"/>
  <c r="S2134" i="6"/>
  <c r="AD2082" i="6"/>
  <c r="Z2082" i="6"/>
  <c r="V2082" i="6"/>
  <c r="R2082" i="6"/>
  <c r="AD2134" i="6"/>
  <c r="Z2134" i="6"/>
  <c r="V2134" i="6"/>
  <c r="R2134" i="6"/>
  <c r="AC2082" i="6"/>
  <c r="Y2082" i="6"/>
  <c r="U2082" i="6"/>
  <c r="O2028" i="6"/>
  <c r="O2026" i="6"/>
  <c r="O2012" i="6" s="1"/>
  <c r="AC2134" i="6"/>
  <c r="AB2082" i="6"/>
  <c r="Y2134" i="6"/>
  <c r="X2082" i="6"/>
  <c r="U2134" i="6"/>
  <c r="T2082" i="6"/>
  <c r="AF2082" i="6"/>
  <c r="AF76" i="14"/>
  <c r="AG76" i="14" s="1"/>
  <c r="AH76" i="14" s="1"/>
  <c r="AI76" i="14" s="1"/>
  <c r="AJ76" i="14" s="1"/>
  <c r="AK76" i="14" s="1"/>
  <c r="AL76" i="14" s="1"/>
  <c r="AM76" i="14" s="1"/>
  <c r="AN76" i="14" s="1"/>
  <c r="AO76" i="14" s="1"/>
  <c r="AP76" i="14" s="1"/>
  <c r="AQ76" i="14" s="1"/>
  <c r="AR76" i="14" s="1"/>
  <c r="AS76" i="14" s="1"/>
  <c r="AT76" i="14" s="1"/>
  <c r="AU76" i="14" s="1"/>
  <c r="AV76" i="14" s="1"/>
  <c r="AW76" i="14" s="1"/>
  <c r="AX76" i="14" s="1"/>
  <c r="AY76" i="14" s="1"/>
  <c r="AZ76" i="14" s="1"/>
  <c r="BA76" i="14" s="1"/>
  <c r="AG846" i="6"/>
  <c r="AQ794" i="6"/>
  <c r="AM794" i="6"/>
  <c r="AI794" i="6"/>
  <c r="AE794" i="6"/>
  <c r="AR742" i="6"/>
  <c r="AN742" i="6"/>
  <c r="AJ742" i="6"/>
  <c r="AF742" i="6"/>
  <c r="AF846" i="6"/>
  <c r="AP794" i="6"/>
  <c r="AL794" i="6"/>
  <c r="AH794" i="6"/>
  <c r="AD794" i="6"/>
  <c r="AQ742" i="6"/>
  <c r="AM742" i="6"/>
  <c r="AI742" i="6"/>
  <c r="AE742" i="6"/>
  <c r="AB688" i="6"/>
  <c r="AI846" i="6"/>
  <c r="AE846" i="6"/>
  <c r="AO794" i="6"/>
  <c r="AK794" i="6"/>
  <c r="AG794" i="6"/>
  <c r="AP742" i="6"/>
  <c r="AL742" i="6"/>
  <c r="AH742" i="6"/>
  <c r="AD742" i="6"/>
  <c r="AH846" i="6"/>
  <c r="AD846" i="6"/>
  <c r="AD818" i="6" s="1"/>
  <c r="AR794" i="6"/>
  <c r="AN794" i="6"/>
  <c r="AJ794" i="6"/>
  <c r="AF794" i="6"/>
  <c r="AO742" i="6"/>
  <c r="AK742" i="6"/>
  <c r="AG742" i="6"/>
  <c r="AE659" i="6"/>
  <c r="AC688" i="6"/>
  <c r="AS45" i="15"/>
  <c r="AT45" i="15" s="1"/>
  <c r="AU45" i="15" s="1"/>
  <c r="AV45" i="15" s="1"/>
  <c r="AW45" i="15" s="1"/>
  <c r="AG54" i="15"/>
  <c r="AH54" i="15" s="1"/>
  <c r="AI54" i="15" s="1"/>
  <c r="AJ54" i="15" s="1"/>
  <c r="AK54" i="15" s="1"/>
  <c r="AL54" i="15" s="1"/>
  <c r="AM54" i="15" s="1"/>
  <c r="AN54" i="15" s="1"/>
  <c r="AO54" i="15" s="1"/>
  <c r="AP54" i="15" s="1"/>
  <c r="AQ54" i="15" s="1"/>
  <c r="AR54" i="15" s="1"/>
  <c r="AS54" i="15" s="1"/>
  <c r="AT54" i="15" s="1"/>
  <c r="AU54" i="15" s="1"/>
  <c r="AV54" i="15" s="1"/>
  <c r="AW54" i="15" s="1"/>
  <c r="AX54" i="15" s="1"/>
  <c r="AY54" i="15" s="1"/>
  <c r="AZ54" i="15" s="1"/>
  <c r="BA54" i="15" s="1"/>
  <c r="AI60" i="20"/>
  <c r="AJ60" i="20" s="1"/>
  <c r="AK60" i="20" s="1"/>
  <c r="AL60" i="20" s="1"/>
  <c r="AM60" i="20" s="1"/>
  <c r="AN60" i="20" s="1"/>
  <c r="AO60" i="20" s="1"/>
  <c r="AQ60" i="20"/>
  <c r="AR60" i="20" s="1"/>
  <c r="AS60" i="20" s="1"/>
  <c r="AT60" i="20" s="1"/>
  <c r="AU60" i="20" s="1"/>
  <c r="AV60" i="20" s="1"/>
  <c r="AW60" i="20" s="1"/>
  <c r="AX60" i="20" s="1"/>
  <c r="AY60" i="20" s="1"/>
  <c r="AZ60" i="20" s="1"/>
  <c r="BA60" i="20" s="1"/>
  <c r="AP60" i="20"/>
  <c r="AX327" i="6"/>
  <c r="AT327" i="6"/>
  <c r="AP327" i="6"/>
  <c r="AL327" i="6"/>
  <c r="AH327" i="6"/>
  <c r="AD327" i="6"/>
  <c r="Z327" i="6"/>
  <c r="AU275" i="6"/>
  <c r="AQ275" i="6"/>
  <c r="AM275" i="6"/>
  <c r="AI275" i="6"/>
  <c r="AE275" i="6"/>
  <c r="AA275" i="6"/>
  <c r="AI327" i="6"/>
  <c r="AJ275" i="6"/>
  <c r="AW327" i="6"/>
  <c r="AS327" i="6"/>
  <c r="AO327" i="6"/>
  <c r="AK327" i="6"/>
  <c r="AG327" i="6"/>
  <c r="AC327" i="6"/>
  <c r="AX275" i="6"/>
  <c r="AT275" i="6"/>
  <c r="AP275" i="6"/>
  <c r="AL275" i="6"/>
  <c r="AH275" i="6"/>
  <c r="AD275" i="6"/>
  <c r="Z275" i="6"/>
  <c r="AU327" i="6"/>
  <c r="AM327" i="6"/>
  <c r="AA327" i="6"/>
  <c r="AR275" i="6"/>
  <c r="AF275" i="6"/>
  <c r="AV327" i="6"/>
  <c r="AR327" i="6"/>
  <c r="AN327" i="6"/>
  <c r="AJ327" i="6"/>
  <c r="AF327" i="6"/>
  <c r="AB327" i="6"/>
  <c r="AW275" i="6"/>
  <c r="AS275" i="6"/>
  <c r="AO275" i="6"/>
  <c r="AK275" i="6"/>
  <c r="AG275" i="6"/>
  <c r="AC275" i="6"/>
  <c r="AQ327" i="6"/>
  <c r="AE327" i="6"/>
  <c r="AV275" i="6"/>
  <c r="AN275" i="6"/>
  <c r="AB275" i="6"/>
  <c r="AK50" i="17"/>
  <c r="AL50" i="17" s="1"/>
  <c r="AM50" i="17" s="1"/>
  <c r="AN50" i="17" s="1"/>
  <c r="AO50" i="17" s="1"/>
  <c r="AP50" i="17" s="1"/>
  <c r="AQ50" i="17" s="1"/>
  <c r="AR50" i="17" s="1"/>
  <c r="AS50" i="17" s="1"/>
  <c r="AT50" i="17" s="1"/>
  <c r="AU50" i="17" s="1"/>
  <c r="AV50" i="17" s="1"/>
  <c r="AW50" i="17" s="1"/>
  <c r="AX50" i="17" s="1"/>
  <c r="AY50" i="17" s="1"/>
  <c r="AZ50" i="17" s="1"/>
  <c r="BA50" i="17" s="1"/>
  <c r="AL91" i="14"/>
  <c r="AM91" i="14" s="1"/>
  <c r="AN91" i="14" s="1"/>
  <c r="AO91" i="14" s="1"/>
  <c r="AP91" i="14" s="1"/>
  <c r="AQ91" i="14" s="1"/>
  <c r="AR91" i="14" s="1"/>
  <c r="AS91" i="14" s="1"/>
  <c r="AT91" i="14" s="1"/>
  <c r="AU91" i="14" s="1"/>
  <c r="AV91" i="14" s="1"/>
  <c r="AW91" i="14" s="1"/>
  <c r="AX91" i="14" s="1"/>
  <c r="AY91" i="14" s="1"/>
  <c r="AZ91" i="14" s="1"/>
  <c r="BA91" i="14" s="1"/>
  <c r="AK56" i="22"/>
  <c r="AL56" i="22" s="1"/>
  <c r="AM56" i="22" s="1"/>
  <c r="AN56" i="22" s="1"/>
  <c r="AO56" i="22" s="1"/>
  <c r="AP56" i="22" s="1"/>
  <c r="AQ56" i="22" s="1"/>
  <c r="AR56" i="22" s="1"/>
  <c r="AQ78" i="22"/>
  <c r="AK78" i="22"/>
  <c r="AL78" i="22" s="1"/>
  <c r="AM78" i="22" s="1"/>
  <c r="AN78" i="22" s="1"/>
  <c r="AO78" i="22" s="1"/>
  <c r="AP78" i="22" s="1"/>
  <c r="AR78" i="22"/>
  <c r="AS78" i="22" s="1"/>
  <c r="AT78" i="22" s="1"/>
  <c r="AU78" i="22" s="1"/>
  <c r="AV78" i="22" s="1"/>
  <c r="AW78" i="22" s="1"/>
  <c r="AX78" i="22" s="1"/>
  <c r="AY78" i="22" s="1"/>
  <c r="AZ78" i="22" s="1"/>
  <c r="AK50" i="21"/>
  <c r="AL50" i="21" s="1"/>
  <c r="AM50" i="21" s="1"/>
  <c r="AN50" i="21" s="1"/>
  <c r="AO50" i="21" s="1"/>
  <c r="AP50" i="21" s="1"/>
  <c r="AQ50" i="21" s="1"/>
  <c r="AR50" i="21" s="1"/>
  <c r="AS50" i="21" s="1"/>
  <c r="AT50" i="21" s="1"/>
  <c r="AU50" i="21" s="1"/>
  <c r="AV50" i="21" s="1"/>
  <c r="AW50" i="21" s="1"/>
  <c r="AX50" i="21" s="1"/>
  <c r="AY50" i="21" s="1"/>
  <c r="AZ50" i="21" s="1"/>
  <c r="BA50" i="21" s="1"/>
  <c r="AH38" i="21"/>
  <c r="AG118" i="13"/>
  <c r="AH118" i="13"/>
  <c r="AF68" i="17"/>
  <c r="AG68" i="17" s="1"/>
  <c r="AH68" i="17" s="1"/>
  <c r="AI68" i="17" s="1"/>
  <c r="AJ68" i="17" s="1"/>
  <c r="AK68" i="17" s="1"/>
  <c r="AL68" i="17" s="1"/>
  <c r="AM68" i="17" s="1"/>
  <c r="AN68" i="17" s="1"/>
  <c r="AO68" i="17" s="1"/>
  <c r="AP68" i="17" s="1"/>
  <c r="AQ68" i="17" s="1"/>
  <c r="AR68" i="17" s="1"/>
  <c r="AS68" i="17" s="1"/>
  <c r="AT68" i="17" s="1"/>
  <c r="AU68" i="17" s="1"/>
  <c r="AV68" i="17" s="1"/>
  <c r="AW68" i="17" s="1"/>
  <c r="AX68" i="17" s="1"/>
  <c r="AY68" i="17" s="1"/>
  <c r="AZ68" i="17" s="1"/>
  <c r="BA68" i="17" s="1"/>
  <c r="AL81" i="18"/>
  <c r="AM81" i="18" s="1"/>
  <c r="AN81" i="18" s="1"/>
  <c r="AO81" i="18" s="1"/>
  <c r="AP81" i="18" s="1"/>
  <c r="AQ81" i="18" s="1"/>
  <c r="AR81" i="18" s="1"/>
  <c r="AS81" i="18" s="1"/>
  <c r="AI81" i="18"/>
  <c r="AJ81" i="18" s="1"/>
  <c r="AK81" i="18" s="1"/>
  <c r="Q1614" i="6"/>
  <c r="Q1615" i="6"/>
  <c r="AG56" i="19"/>
  <c r="AH56" i="19" s="1"/>
  <c r="AI56" i="19"/>
  <c r="AJ56" i="19" s="1"/>
  <c r="AK56" i="19" s="1"/>
  <c r="AL95" i="18"/>
  <c r="AM95" i="18" s="1"/>
  <c r="AN95" i="18" s="1"/>
  <c r="AO95" i="18" s="1"/>
  <c r="AP95" i="18" s="1"/>
  <c r="AQ95" i="18" s="1"/>
  <c r="AR95" i="18" s="1"/>
  <c r="AS95" i="18" s="1"/>
  <c r="AT95" i="18" s="1"/>
  <c r="AU95" i="18" s="1"/>
  <c r="AV95" i="18" s="1"/>
  <c r="AW95" i="18" s="1"/>
  <c r="AX95" i="18" s="1"/>
  <c r="AY95" i="18" s="1"/>
  <c r="AZ95" i="18" s="1"/>
  <c r="AE196" i="14"/>
  <c r="AF196" i="14" s="1"/>
  <c r="AG196" i="14" s="1"/>
  <c r="AH196" i="14" s="1"/>
  <c r="AI196" i="14" s="1"/>
  <c r="AJ196" i="14" s="1"/>
  <c r="AK196" i="14" s="1"/>
  <c r="AL196" i="14" s="1"/>
  <c r="AM196" i="14" s="1"/>
  <c r="AN196" i="14" s="1"/>
  <c r="AO196" i="14" s="1"/>
  <c r="AP196" i="14" s="1"/>
  <c r="AQ196" i="14" s="1"/>
  <c r="AR196" i="14" s="1"/>
  <c r="AS196" i="14" s="1"/>
  <c r="AT196" i="14" s="1"/>
  <c r="AU196" i="14" s="1"/>
  <c r="AV196" i="14" s="1"/>
  <c r="AW196" i="14" s="1"/>
  <c r="AX196" i="14" s="1"/>
  <c r="AY196" i="14" s="1"/>
  <c r="AZ196" i="14" s="1"/>
  <c r="BA196" i="14" s="1"/>
  <c r="AI100" i="22"/>
  <c r="AJ100" i="22" s="1"/>
  <c r="AK100" i="22" s="1"/>
  <c r="AL100" i="22" s="1"/>
  <c r="AM100" i="22" s="1"/>
  <c r="AN100" i="22" s="1"/>
  <c r="AO100" i="22" s="1"/>
  <c r="AP100" i="22" s="1"/>
  <c r="AQ100" i="22" s="1"/>
  <c r="AR100" i="22" s="1"/>
  <c r="AS100" i="22" s="1"/>
  <c r="AT100" i="22" s="1"/>
  <c r="AU100" i="22" s="1"/>
  <c r="AV100" i="22" s="1"/>
  <c r="AW100" i="22" s="1"/>
  <c r="AX100" i="22" s="1"/>
  <c r="AY100" i="22" s="1"/>
  <c r="AZ100" i="22" s="1"/>
  <c r="AH107" i="18"/>
  <c r="AF201" i="14"/>
  <c r="AP89" i="18"/>
  <c r="AQ89" i="18" s="1"/>
  <c r="AR89" i="18" s="1"/>
  <c r="AL81" i="22"/>
  <c r="AM81" i="22" s="1"/>
  <c r="AN81" i="22"/>
  <c r="AO81" i="22" s="1"/>
  <c r="AP81" i="22" s="1"/>
  <c r="AQ81" i="22" s="1"/>
  <c r="AR81" i="22" s="1"/>
  <c r="AS81" i="22" s="1"/>
  <c r="AT81" i="22" s="1"/>
  <c r="AU81" i="22" s="1"/>
  <c r="AV81" i="22" s="1"/>
  <c r="AW81" i="22" s="1"/>
  <c r="AX81" i="22" s="1"/>
  <c r="AY81" i="22" s="1"/>
  <c r="AZ81" i="22" s="1"/>
  <c r="AH81" i="22"/>
  <c r="AI81" i="22" s="1"/>
  <c r="AJ81" i="22" s="1"/>
  <c r="AK81" i="22" s="1"/>
  <c r="AG53" i="17"/>
  <c r="AH53" i="17" s="1"/>
  <c r="AI53" i="17" s="1"/>
  <c r="AJ53" i="17" s="1"/>
  <c r="AK53" i="17" s="1"/>
  <c r="AL53" i="17" s="1"/>
  <c r="AM53" i="17" s="1"/>
  <c r="AN53" i="17" s="1"/>
  <c r="AO53" i="17" s="1"/>
  <c r="AP53" i="17" s="1"/>
  <c r="AQ53" i="17" s="1"/>
  <c r="AR53" i="17" s="1"/>
  <c r="AS53" i="17" s="1"/>
  <c r="AT53" i="17" s="1"/>
  <c r="AU53" i="17" s="1"/>
  <c r="AV53" i="17" s="1"/>
  <c r="AW53" i="17" s="1"/>
  <c r="AX53" i="17" s="1"/>
  <c r="AY53" i="17" s="1"/>
  <c r="AZ53" i="17" s="1"/>
  <c r="BA53" i="17" s="1"/>
  <c r="AS79" i="21"/>
  <c r="AT79" i="21" s="1"/>
  <c r="AU79" i="21" s="1"/>
  <c r="AV79" i="21" s="1"/>
  <c r="AW79" i="21" s="1"/>
  <c r="AX79" i="21" s="1"/>
  <c r="AY79" i="21" s="1"/>
  <c r="AZ79" i="21" s="1"/>
  <c r="AF79" i="21"/>
  <c r="AG79" i="21" s="1"/>
  <c r="AH79" i="21" s="1"/>
  <c r="AI79" i="21" s="1"/>
  <c r="AJ79" i="21" s="1"/>
  <c r="AK79" i="21" s="1"/>
  <c r="AL79" i="21" s="1"/>
  <c r="AM79" i="21" s="1"/>
  <c r="AN79" i="21" s="1"/>
  <c r="AO79" i="21" s="1"/>
  <c r="AP79" i="21" s="1"/>
  <c r="AQ79" i="21" s="1"/>
  <c r="AR79" i="21" s="1"/>
  <c r="AH80" i="13"/>
  <c r="AI80" i="13" s="1"/>
  <c r="AJ80" i="13" s="1"/>
  <c r="AK80" i="13" s="1"/>
  <c r="AL80" i="13" s="1"/>
  <c r="AM80" i="13" s="1"/>
  <c r="AN80" i="13" s="1"/>
  <c r="AO80" i="13" s="1"/>
  <c r="AP80" i="13" s="1"/>
  <c r="AQ80" i="13" s="1"/>
  <c r="AR80" i="13" s="1"/>
  <c r="AS80" i="13" s="1"/>
  <c r="AT80" i="13" s="1"/>
  <c r="AU80" i="13" s="1"/>
  <c r="AV80" i="13" s="1"/>
  <c r="AW80" i="13" s="1"/>
  <c r="AX80" i="13" s="1"/>
  <c r="AY80" i="13" s="1"/>
  <c r="AZ80" i="13" s="1"/>
  <c r="BA80" i="13" s="1"/>
  <c r="AJ50" i="13"/>
  <c r="AE97" i="13"/>
  <c r="AF97" i="13" s="1"/>
  <c r="AG97" i="13" s="1"/>
  <c r="AH97" i="13" s="1"/>
  <c r="AI97" i="13" s="1"/>
  <c r="AJ97" i="13" s="1"/>
  <c r="AK97" i="13" s="1"/>
  <c r="AL97" i="13" s="1"/>
  <c r="AM97" i="13" s="1"/>
  <c r="AN97" i="13" s="1"/>
  <c r="AO97" i="13" s="1"/>
  <c r="AP97" i="13" s="1"/>
  <c r="AQ97" i="13" s="1"/>
  <c r="AR97" i="13" s="1"/>
  <c r="AS97" i="13" s="1"/>
  <c r="AT97" i="13" s="1"/>
  <c r="AU97" i="13" s="1"/>
  <c r="AV97" i="13" s="1"/>
  <c r="AW97" i="13" s="1"/>
  <c r="AX97" i="13" s="1"/>
  <c r="AY97" i="13" s="1"/>
  <c r="AZ97" i="13" s="1"/>
  <c r="BA97" i="13" s="1"/>
  <c r="AI103" i="14"/>
  <c r="AJ103" i="14" s="1"/>
  <c r="AK103" i="14" s="1"/>
  <c r="AL103" i="14" s="1"/>
  <c r="AM103" i="14" s="1"/>
  <c r="AN103" i="14" s="1"/>
  <c r="AO103" i="14" s="1"/>
  <c r="AP103" i="14" s="1"/>
  <c r="AQ103" i="14" s="1"/>
  <c r="AR103" i="14" s="1"/>
  <c r="AS103" i="14" s="1"/>
  <c r="AK47" i="19"/>
  <c r="AL47" i="19" s="1"/>
  <c r="AM47" i="19" s="1"/>
  <c r="AN47" i="19" s="1"/>
  <c r="Q1787" i="6"/>
  <c r="AT210" i="6"/>
  <c r="AP210" i="6"/>
  <c r="AL210" i="6"/>
  <c r="AH210" i="6"/>
  <c r="AD210" i="6"/>
  <c r="AQ158" i="6"/>
  <c r="AM158" i="6"/>
  <c r="AI158" i="6"/>
  <c r="AE158" i="6"/>
  <c r="AP106" i="6"/>
  <c r="AL106" i="6"/>
  <c r="AH106" i="6"/>
  <c r="AD106" i="6"/>
  <c r="AB43" i="6"/>
  <c r="X43" i="6"/>
  <c r="AD15" i="6"/>
  <c r="AQ210" i="6"/>
  <c r="AM210" i="6"/>
  <c r="AE210" i="6"/>
  <c r="AF158" i="6"/>
  <c r="AM106" i="6"/>
  <c r="AW210" i="6"/>
  <c r="AS210" i="6"/>
  <c r="AO210" i="6"/>
  <c r="AK210" i="6"/>
  <c r="AG210" i="6"/>
  <c r="AC210" i="6"/>
  <c r="AP158" i="6"/>
  <c r="AL158" i="6"/>
  <c r="AH158" i="6"/>
  <c r="AD158" i="6"/>
  <c r="AO106" i="6"/>
  <c r="AK106" i="6"/>
  <c r="AG106" i="6"/>
  <c r="AC106" i="6"/>
  <c r="AA43" i="6"/>
  <c r="W43" i="6"/>
  <c r="W16" i="6" s="1"/>
  <c r="AD10" i="6"/>
  <c r="AN158" i="6"/>
  <c r="AQ106" i="6"/>
  <c r="AE106" i="6"/>
  <c r="AV210" i="6"/>
  <c r="AR210" i="6"/>
  <c r="AN210" i="6"/>
  <c r="AJ210" i="6"/>
  <c r="AF210" i="6"/>
  <c r="AO158" i="6"/>
  <c r="AK158" i="6"/>
  <c r="AG158" i="6"/>
  <c r="AC158" i="6"/>
  <c r="AN106" i="6"/>
  <c r="AJ106" i="6"/>
  <c r="AF106" i="6"/>
  <c r="Z43" i="6"/>
  <c r="AD11" i="6"/>
  <c r="AU210" i="6"/>
  <c r="AI210" i="6"/>
  <c r="AJ158" i="6"/>
  <c r="AI106" i="6"/>
  <c r="Y43" i="6"/>
  <c r="AD2" i="5"/>
  <c r="AL113" i="14"/>
  <c r="AO48" i="15"/>
  <c r="AP48" i="15" s="1"/>
  <c r="AQ48" i="15" s="1"/>
  <c r="AR48" i="15" s="1"/>
  <c r="AS48" i="15" s="1"/>
  <c r="AT48" i="15" s="1"/>
  <c r="AU48" i="15" s="1"/>
  <c r="AV48" i="15" s="1"/>
  <c r="AW48" i="15" s="1"/>
  <c r="AX48" i="15" s="1"/>
  <c r="AY48" i="15" s="1"/>
  <c r="AZ48" i="15" s="1"/>
  <c r="BA48" i="15" s="1"/>
  <c r="AX84" i="22"/>
  <c r="AG47" i="22"/>
  <c r="AJ130" i="18"/>
  <c r="AK130" i="18" s="1"/>
  <c r="AL130" i="18" s="1"/>
  <c r="AM130" i="18" s="1"/>
  <c r="AN130" i="18" s="1"/>
  <c r="AO130" i="18" s="1"/>
  <c r="AP130" i="18" s="1"/>
  <c r="AQ130" i="18" s="1"/>
  <c r="AR130" i="18" s="1"/>
  <c r="AS130" i="18" s="1"/>
  <c r="AT130" i="18" s="1"/>
  <c r="AI61" i="22"/>
  <c r="AJ61" i="22" s="1"/>
  <c r="AK61" i="22" s="1"/>
  <c r="AL61" i="22" s="1"/>
  <c r="AM61" i="22" s="1"/>
  <c r="AN61" i="22" s="1"/>
  <c r="AO61" i="22" s="1"/>
  <c r="AP61" i="22" s="1"/>
  <c r="AQ61" i="22" s="1"/>
  <c r="AR61" i="22" s="1"/>
  <c r="AS61" i="22" s="1"/>
  <c r="AT61" i="22" s="1"/>
  <c r="AU61" i="22" s="1"/>
  <c r="AV61" i="22" s="1"/>
  <c r="AW61" i="22" s="1"/>
  <c r="AX61" i="22" s="1"/>
  <c r="AY61" i="22" s="1"/>
  <c r="AZ61" i="22" s="1"/>
  <c r="BA61" i="22" s="1"/>
  <c r="AD38" i="15"/>
  <c r="AE658" i="6" s="1"/>
  <c r="AG41" i="15"/>
  <c r="AH41" i="15" s="1"/>
  <c r="AI41" i="15" s="1"/>
  <c r="AJ41" i="15" s="1"/>
  <c r="AK41" i="15" s="1"/>
  <c r="AL41" i="15" s="1"/>
  <c r="AM41" i="15" s="1"/>
  <c r="AN41" i="15" s="1"/>
  <c r="AO41" i="15" s="1"/>
  <c r="AP41" i="15" s="1"/>
  <c r="AQ41" i="15" s="1"/>
  <c r="AR41" i="15" s="1"/>
  <c r="AS41" i="15" s="1"/>
  <c r="AT41" i="15" s="1"/>
  <c r="AU41" i="15" s="1"/>
  <c r="AV41" i="15" s="1"/>
  <c r="AW41" i="15" s="1"/>
  <c r="AX41" i="15" s="1"/>
  <c r="AY41" i="15" s="1"/>
  <c r="AZ41" i="15" s="1"/>
  <c r="BA41" i="15" s="1"/>
  <c r="AV121" i="13"/>
  <c r="AW121" i="13" s="1"/>
  <c r="AX121" i="13" s="1"/>
  <c r="AY121" i="13" s="1"/>
  <c r="AZ121" i="13" s="1"/>
  <c r="BA121" i="13" s="1"/>
  <c r="AJ71" i="21"/>
  <c r="AK71" i="21" s="1"/>
  <c r="AL71" i="21" s="1"/>
  <c r="AM71" i="21" s="1"/>
  <c r="AN71" i="21" s="1"/>
  <c r="AO71" i="21" s="1"/>
  <c r="AP71" i="21" s="1"/>
  <c r="AQ71" i="21" s="1"/>
  <c r="AR71" i="21" s="1"/>
  <c r="AS71" i="21"/>
  <c r="AT71" i="21" s="1"/>
  <c r="AU71" i="21" s="1"/>
  <c r="AV71" i="21" s="1"/>
  <c r="AW71" i="21" s="1"/>
  <c r="AX71" i="21" s="1"/>
  <c r="AY71" i="21" s="1"/>
  <c r="AZ71" i="21" s="1"/>
  <c r="AK84" i="21"/>
  <c r="AF84" i="21"/>
  <c r="AG84" i="21" s="1"/>
  <c r="AH84" i="21" s="1"/>
  <c r="AI84" i="21" s="1"/>
  <c r="AJ84" i="21" s="1"/>
  <c r="AL84" i="21"/>
  <c r="AM84" i="21" s="1"/>
  <c r="AN84" i="21" s="1"/>
  <c r="AO84" i="21" s="1"/>
  <c r="AP84" i="21" s="1"/>
  <c r="AQ84" i="21" s="1"/>
  <c r="AR84" i="21" s="1"/>
  <c r="AS84" i="21" s="1"/>
  <c r="AT84" i="21" s="1"/>
  <c r="AU84" i="21" s="1"/>
  <c r="AV84" i="21" s="1"/>
  <c r="AW84" i="21" s="1"/>
  <c r="AX84" i="21" s="1"/>
  <c r="AY84" i="21" s="1"/>
  <c r="AZ84" i="21" s="1"/>
  <c r="U2726" i="6" a="1"/>
  <c r="U2726" i="6" s="1"/>
  <c r="U2833" i="6" s="1"/>
  <c r="AO102" i="21"/>
  <c r="AP102" i="21" s="1"/>
  <c r="AQ102" i="21" s="1"/>
  <c r="AR102" i="21" s="1"/>
  <c r="AS102" i="21" s="1"/>
  <c r="AT102" i="21" s="1"/>
  <c r="AU102" i="21" s="1"/>
  <c r="AV102" i="21" s="1"/>
  <c r="AW102" i="21" s="1"/>
  <c r="AX102" i="21" s="1"/>
  <c r="AY102" i="21" s="1"/>
  <c r="AZ102" i="21" s="1"/>
  <c r="AH44" i="22"/>
  <c r="AI44" i="22" s="1"/>
  <c r="AJ44" i="22" s="1"/>
  <c r="AK44" i="22" s="1"/>
  <c r="AL44" i="22" s="1"/>
  <c r="AM44" i="22" s="1"/>
  <c r="AN44" i="22" s="1"/>
  <c r="AO44" i="22" s="1"/>
  <c r="AP44" i="22" s="1"/>
  <c r="AL94" i="14"/>
  <c r="AM94" i="14" s="1"/>
  <c r="AN94" i="14" s="1"/>
  <c r="AO94" i="14" s="1"/>
  <c r="AP94" i="14"/>
  <c r="AQ94" i="14" s="1"/>
  <c r="AR94" i="14" s="1"/>
  <c r="AS94" i="14" s="1"/>
  <c r="AT94" i="14" s="1"/>
  <c r="AU94" i="14" s="1"/>
  <c r="AV94" i="14" s="1"/>
  <c r="AW94" i="14" s="1"/>
  <c r="AX94" i="14" s="1"/>
  <c r="AY94" i="14" s="1"/>
  <c r="AZ94" i="14" s="1"/>
  <c r="BA94" i="14" s="1"/>
  <c r="AK39" i="19"/>
  <c r="AL39" i="19" s="1"/>
  <c r="AM39" i="19" s="1"/>
  <c r="AN39" i="19" s="1"/>
  <c r="AO39" i="19" s="1"/>
  <c r="AP39" i="19" s="1"/>
  <c r="AQ39" i="19" s="1"/>
  <c r="AR39" i="19" s="1"/>
  <c r="AS39" i="19" s="1"/>
  <c r="AT39" i="19" s="1"/>
  <c r="AU39" i="19" s="1"/>
  <c r="AV39" i="19" s="1"/>
  <c r="AW39" i="19" s="1"/>
  <c r="AX39" i="19" s="1"/>
  <c r="AY39" i="19" s="1"/>
  <c r="AZ39" i="19" s="1"/>
  <c r="BA39" i="19" s="1"/>
  <c r="AH103" i="13"/>
  <c r="AI103" i="13" s="1"/>
  <c r="AJ103" i="13" s="1"/>
  <c r="AK103" i="13" s="1"/>
  <c r="AL103" i="13" s="1"/>
  <c r="AM103" i="13" s="1"/>
  <c r="AN103" i="13" s="1"/>
  <c r="AO103" i="13" s="1"/>
  <c r="AP103" i="13" s="1"/>
  <c r="AQ103" i="13" s="1"/>
  <c r="AR103" i="13" s="1"/>
  <c r="AS103" i="13" s="1"/>
  <c r="AT103" i="13" s="1"/>
  <c r="AU103" i="13"/>
  <c r="AV103" i="13" s="1"/>
  <c r="AW103" i="13" s="1"/>
  <c r="AX103" i="13" s="1"/>
  <c r="AY103" i="13" s="1"/>
  <c r="AZ103" i="13" s="1"/>
  <c r="BA103" i="13" s="1"/>
  <c r="V77" i="6"/>
  <c r="V78" i="6"/>
  <c r="W22" i="5"/>
  <c r="W25" i="5" s="1"/>
  <c r="AF36" i="22"/>
  <c r="AG38" i="22"/>
  <c r="AG139" i="18"/>
  <c r="AH139" i="18" s="1"/>
  <c r="AI139" i="18" s="1"/>
  <c r="AJ139" i="18" s="1"/>
  <c r="AK139" i="18" s="1"/>
  <c r="AL139" i="18" s="1"/>
  <c r="AM139" i="18" s="1"/>
  <c r="AV66" i="19"/>
  <c r="AW66" i="19" s="1"/>
  <c r="AX66" i="19" s="1"/>
  <c r="AY66" i="19" s="1"/>
  <c r="AZ66" i="19" s="1"/>
  <c r="AG147" i="18"/>
  <c r="AH147" i="18" s="1"/>
  <c r="AI147" i="18"/>
  <c r="AJ147" i="18" s="1"/>
  <c r="AK147" i="18" s="1"/>
  <c r="AL147" i="18" s="1"/>
  <c r="AM147" i="18" s="1"/>
  <c r="AN147" i="18" s="1"/>
  <c r="AO147" i="18" s="1"/>
  <c r="AP147" i="18" s="1"/>
  <c r="AQ147" i="18" s="1"/>
  <c r="AR147" i="18" s="1"/>
  <c r="AS147" i="18" s="1"/>
  <c r="AT147" i="18" s="1"/>
  <c r="AU147" i="18" s="1"/>
  <c r="AV147" i="18" s="1"/>
  <c r="AW147" i="18" s="1"/>
  <c r="AX147" i="18" s="1"/>
  <c r="AY147" i="18" s="1"/>
  <c r="AZ147" i="18" s="1"/>
  <c r="AL132" i="18"/>
  <c r="AM132" i="18" s="1"/>
  <c r="AN132" i="18" s="1"/>
  <c r="AO132" i="18" s="1"/>
  <c r="AP132" i="18" s="1"/>
  <c r="AQ132" i="18" s="1"/>
  <c r="AR132" i="18" s="1"/>
  <c r="AS132" i="18" s="1"/>
  <c r="AT132" i="18" s="1"/>
  <c r="AU132" i="18" s="1"/>
  <c r="AV132" i="18" s="1"/>
  <c r="AW132" i="18" s="1"/>
  <c r="AX132" i="18" s="1"/>
  <c r="AY132" i="18" s="1"/>
  <c r="AZ132" i="18" s="1"/>
  <c r="AC3002" i="6"/>
  <c r="AC3165" i="6" s="1"/>
  <c r="R476" i="6"/>
  <c r="R475" i="6"/>
  <c r="S22" i="5"/>
  <c r="S25" i="5" s="1"/>
  <c r="S43" i="5" s="1"/>
  <c r="AH206" i="14"/>
  <c r="AI206" i="14" s="1"/>
  <c r="AJ206" i="14" s="1"/>
  <c r="AK206" i="14" s="1"/>
  <c r="AL206" i="14" s="1"/>
  <c r="AM206" i="14" s="1"/>
  <c r="AN206" i="14" s="1"/>
  <c r="AO206" i="14" s="1"/>
  <c r="AP206" i="14" s="1"/>
  <c r="AQ206" i="14" s="1"/>
  <c r="AR206" i="14" s="1"/>
  <c r="AS206" i="14"/>
  <c r="AT206" i="14" s="1"/>
  <c r="AU206" i="14" s="1"/>
  <c r="AV206" i="14" s="1"/>
  <c r="AW206" i="14" s="1"/>
  <c r="AX206" i="14" s="1"/>
  <c r="AY206" i="14" s="1"/>
  <c r="AZ206" i="14" s="1"/>
  <c r="BA206" i="14" s="1"/>
  <c r="AP120" i="13"/>
  <c r="AQ120" i="13" s="1"/>
  <c r="AR120" i="13" s="1"/>
  <c r="AS120" i="13" s="1"/>
  <c r="AT120" i="13" s="1"/>
  <c r="AU120" i="13" s="1"/>
  <c r="AV120" i="13" s="1"/>
  <c r="AW120" i="13" s="1"/>
  <c r="AX120" i="13" s="1"/>
  <c r="AY120" i="13" s="1"/>
  <c r="AZ120" i="13" s="1"/>
  <c r="BA120" i="13" s="1"/>
  <c r="AL54" i="17"/>
  <c r="AM54" i="17" s="1"/>
  <c r="AN54" i="17" s="1"/>
  <c r="AO54" i="17" s="1"/>
  <c r="AP54" i="17" s="1"/>
  <c r="AQ54" i="17" s="1"/>
  <c r="AR54" i="17" s="1"/>
  <c r="AS54" i="17" s="1"/>
  <c r="AT54" i="17" s="1"/>
  <c r="AU54" i="17" s="1"/>
  <c r="AV54" i="17" s="1"/>
  <c r="AW54" i="17" s="1"/>
  <c r="AX54" i="17" s="1"/>
  <c r="AY54" i="17" s="1"/>
  <c r="AZ54" i="17" s="1"/>
  <c r="BA54" i="17" s="1"/>
  <c r="AG113" i="18"/>
  <c r="AH113" i="18" s="1"/>
  <c r="AI113" i="18" s="1"/>
  <c r="AJ113" i="18" s="1"/>
  <c r="AK113" i="18" s="1"/>
  <c r="AL113" i="18" s="1"/>
  <c r="AM113" i="18" s="1"/>
  <c r="AN113" i="18" s="1"/>
  <c r="AO113" i="18" s="1"/>
  <c r="AP113" i="18" s="1"/>
  <c r="AQ113" i="18" s="1"/>
  <c r="AR113" i="18" s="1"/>
  <c r="AS113" i="18" s="1"/>
  <c r="AT113" i="18" s="1"/>
  <c r="AU113" i="18" s="1"/>
  <c r="AV113" i="18" s="1"/>
  <c r="AW113" i="18" s="1"/>
  <c r="AX113" i="18" s="1"/>
  <c r="AY113" i="18" s="1"/>
  <c r="AZ113" i="18" s="1"/>
  <c r="AT326" i="6"/>
  <c r="AP326" i="6"/>
  <c r="AL326" i="6"/>
  <c r="AH326" i="6"/>
  <c r="AD326" i="6"/>
  <c r="Z326" i="6"/>
  <c r="AU274" i="6"/>
  <c r="AQ274" i="6"/>
  <c r="AM274" i="6"/>
  <c r="AI274" i="6"/>
  <c r="AE274" i="6"/>
  <c r="AA274" i="6"/>
  <c r="AQ326" i="6"/>
  <c r="AE326" i="6"/>
  <c r="AV274" i="6"/>
  <c r="AW326" i="6"/>
  <c r="AS326" i="6"/>
  <c r="AO326" i="6"/>
  <c r="AK326" i="6"/>
  <c r="AG326" i="6"/>
  <c r="AC326" i="6"/>
  <c r="Y326" i="6"/>
  <c r="AT274" i="6"/>
  <c r="AP274" i="6"/>
  <c r="AL274" i="6"/>
  <c r="AH274" i="6"/>
  <c r="AD274" i="6"/>
  <c r="Z274" i="6"/>
  <c r="AM326" i="6"/>
  <c r="AA326" i="6"/>
  <c r="AR274" i="6"/>
  <c r="AJ274" i="6"/>
  <c r="AV326" i="6"/>
  <c r="AR326" i="6"/>
  <c r="AN326" i="6"/>
  <c r="AJ326" i="6"/>
  <c r="AF326" i="6"/>
  <c r="AB326" i="6"/>
  <c r="AW274" i="6"/>
  <c r="AS274" i="6"/>
  <c r="AO274" i="6"/>
  <c r="AK274" i="6"/>
  <c r="AG274" i="6"/>
  <c r="AC274" i="6"/>
  <c r="Y274" i="6"/>
  <c r="AU326" i="6"/>
  <c r="AI326" i="6"/>
  <c r="AN274" i="6"/>
  <c r="AF274" i="6"/>
  <c r="AB274" i="6"/>
  <c r="L2" i="22"/>
  <c r="AE2407" i="6"/>
  <c r="AA2407" i="6"/>
  <c r="W2407" i="6"/>
  <c r="S2407" i="6"/>
  <c r="AN2354" i="6"/>
  <c r="AJ2354" i="6"/>
  <c r="AF2354" i="6"/>
  <c r="AB2354" i="6"/>
  <c r="X2354" i="6"/>
  <c r="T2354" i="6"/>
  <c r="AL2302" i="6"/>
  <c r="AH2302" i="6"/>
  <c r="AD2302" i="6"/>
  <c r="Z2302" i="6"/>
  <c r="V2302" i="6"/>
  <c r="R2302" i="6"/>
  <c r="N2247" i="6"/>
  <c r="AD2407" i="6"/>
  <c r="Z2407" i="6"/>
  <c r="V2407" i="6"/>
  <c r="R2407" i="6"/>
  <c r="AM2354" i="6"/>
  <c r="AI2354" i="6"/>
  <c r="AE2354" i="6"/>
  <c r="AA2354" i="6"/>
  <c r="W2354" i="6"/>
  <c r="S2354" i="6"/>
  <c r="AO2302" i="6"/>
  <c r="AK2302" i="6"/>
  <c r="AG2302" i="6"/>
  <c r="AC2302" i="6"/>
  <c r="Y2302" i="6"/>
  <c r="U2302" i="6"/>
  <c r="Q2302" i="6"/>
  <c r="AG2407" i="6"/>
  <c r="AC2407" i="6"/>
  <c r="Y2407" i="6"/>
  <c r="U2407" i="6"/>
  <c r="AL2354" i="6"/>
  <c r="AH2354" i="6"/>
  <c r="AD2354" i="6"/>
  <c r="Z2354" i="6"/>
  <c r="V2354" i="6"/>
  <c r="R2354" i="6"/>
  <c r="AN2302" i="6"/>
  <c r="AJ2302" i="6"/>
  <c r="AF2302" i="6"/>
  <c r="AB2302" i="6"/>
  <c r="X2302" i="6"/>
  <c r="T2302" i="6"/>
  <c r="N2248" i="6"/>
  <c r="N2246" i="6"/>
  <c r="N2233" i="6" s="1"/>
  <c r="AF2407" i="6"/>
  <c r="AB2407" i="6"/>
  <c r="X2407" i="6"/>
  <c r="T2407" i="6"/>
  <c r="AO2354" i="6"/>
  <c r="AK2354" i="6"/>
  <c r="AG2354" i="6"/>
  <c r="AC2354" i="6"/>
  <c r="Y2354" i="6"/>
  <c r="U2354" i="6"/>
  <c r="Q2354" i="6"/>
  <c r="AM2302" i="6"/>
  <c r="AI2302" i="6"/>
  <c r="AE2302" i="6"/>
  <c r="AA2302" i="6"/>
  <c r="W2302" i="6"/>
  <c r="S2302" i="6"/>
  <c r="AE61" i="17"/>
  <c r="X15" i="9"/>
  <c r="Y2671" i="6" s="1"/>
  <c r="AS52" i="21"/>
  <c r="AT52" i="21" s="1"/>
  <c r="AU52" i="21" s="1"/>
  <c r="AV52" i="21" s="1"/>
  <c r="AW52" i="21" s="1"/>
  <c r="AX52" i="21" s="1"/>
  <c r="AY52" i="21" s="1"/>
  <c r="AZ52" i="21" s="1"/>
  <c r="BA52" i="21" s="1"/>
  <c r="AG2452" i="6"/>
  <c r="AH2447" i="6"/>
  <c r="AH14" i="5"/>
  <c r="AM70" i="20"/>
  <c r="AX135" i="18"/>
  <c r="AY135" i="18" s="1"/>
  <c r="AZ135" i="18" s="1"/>
  <c r="AF39" i="18"/>
  <c r="AD57" i="14"/>
  <c r="AD56" i="14" s="1"/>
  <c r="AN139" i="18"/>
  <c r="AO139" i="18" s="1"/>
  <c r="AP139" i="18" s="1"/>
  <c r="AQ139" i="18" s="1"/>
  <c r="AR139" i="18" s="1"/>
  <c r="AS139" i="18" s="1"/>
  <c r="AT139" i="18" s="1"/>
  <c r="AU139" i="18" s="1"/>
  <c r="AV139" i="18" s="1"/>
  <c r="AW139" i="18" s="1"/>
  <c r="AX139" i="18" s="1"/>
  <c r="AY139" i="18" s="1"/>
  <c r="AZ139" i="18" s="1"/>
  <c r="AL53" i="16"/>
  <c r="AM53" i="16" s="1"/>
  <c r="AN53" i="16" s="1"/>
  <c r="AO53" i="16" s="1"/>
  <c r="AP53" i="16" s="1"/>
  <c r="AQ53" i="16" s="1"/>
  <c r="AR53" i="16" s="1"/>
  <c r="AS53" i="16" s="1"/>
  <c r="AT53" i="16" s="1"/>
  <c r="AU53" i="16" s="1"/>
  <c r="AV53" i="16" s="1"/>
  <c r="AW53" i="16" s="1"/>
  <c r="AX53" i="16" s="1"/>
  <c r="AY53" i="16" s="1"/>
  <c r="AZ53" i="16" s="1"/>
  <c r="BA53" i="16" s="1"/>
  <c r="AG96" i="14"/>
  <c r="AH96" i="14" s="1"/>
  <c r="AI96" i="14" s="1"/>
  <c r="AJ96" i="14" s="1"/>
  <c r="AK96" i="14" s="1"/>
  <c r="AL96" i="14" s="1"/>
  <c r="AM96" i="14" s="1"/>
  <c r="AN96" i="14" s="1"/>
  <c r="AO96" i="14" s="1"/>
  <c r="AP96" i="14" s="1"/>
  <c r="AQ96" i="14" s="1"/>
  <c r="AR96" i="14" s="1"/>
  <c r="AS96" i="14" s="1"/>
  <c r="AT96" i="14" s="1"/>
  <c r="AU96" i="14" s="1"/>
  <c r="AV96" i="14" s="1"/>
  <c r="AW96" i="14" s="1"/>
  <c r="AX96" i="14" s="1"/>
  <c r="AY96" i="14" s="1"/>
  <c r="AZ96" i="14" s="1"/>
  <c r="BA96" i="14" s="1"/>
  <c r="AU91" i="21"/>
  <c r="AV91" i="21" s="1"/>
  <c r="AW91" i="21" s="1"/>
  <c r="AX91" i="21" s="1"/>
  <c r="AY91" i="21" s="1"/>
  <c r="AZ91" i="21" s="1"/>
  <c r="AG43" i="20"/>
  <c r="AE2010" i="6"/>
  <c r="AF2005" i="6"/>
  <c r="AG1556" i="6"/>
  <c r="AF1558" i="6"/>
  <c r="P937" i="6"/>
  <c r="P938" i="6"/>
  <c r="AE73" i="18"/>
  <c r="AE36" i="18" s="1"/>
  <c r="AF61" i="12"/>
  <c r="AF64" i="22"/>
  <c r="AG87" i="18"/>
  <c r="AH87" i="18" s="1"/>
  <c r="AI87" i="18" s="1"/>
  <c r="AJ87" i="18" s="1"/>
  <c r="AK87" i="18" s="1"/>
  <c r="AL87" i="18" s="1"/>
  <c r="AL122" i="14"/>
  <c r="AM122" i="14" s="1"/>
  <c r="AN122" i="14" s="1"/>
  <c r="AI46" i="18"/>
  <c r="AJ46" i="18" s="1"/>
  <c r="AK46" i="18" s="1"/>
  <c r="AL46" i="18" s="1"/>
  <c r="AM46" i="18" s="1"/>
  <c r="AN46" i="18" s="1"/>
  <c r="AO46" i="18" s="1"/>
  <c r="AP46" i="18" s="1"/>
  <c r="AQ46" i="18" s="1"/>
  <c r="AR46" i="18" s="1"/>
  <c r="AS46" i="18" s="1"/>
  <c r="AT46" i="18" s="1"/>
  <c r="AU46" i="18" s="1"/>
  <c r="AV46" i="18" s="1"/>
  <c r="AW46" i="18" s="1"/>
  <c r="AX46" i="18" s="1"/>
  <c r="AY46" i="18" s="1"/>
  <c r="AZ46" i="18" s="1"/>
  <c r="BA46" i="18" s="1"/>
  <c r="AI75" i="21"/>
  <c r="AJ75" i="21" s="1"/>
  <c r="AK75" i="21" s="1"/>
  <c r="AL75" i="21" s="1"/>
  <c r="AM75" i="21" s="1"/>
  <c r="AN75" i="21" s="1"/>
  <c r="AO75" i="21" s="1"/>
  <c r="AP75" i="21" s="1"/>
  <c r="AQ75" i="21" s="1"/>
  <c r="AR75" i="21" s="1"/>
  <c r="AS75" i="21" s="1"/>
  <c r="AT75" i="21" s="1"/>
  <c r="AU75" i="21" s="1"/>
  <c r="AV75" i="21" s="1"/>
  <c r="AW75" i="21" s="1"/>
  <c r="AX75" i="21" s="1"/>
  <c r="AY75" i="21" s="1"/>
  <c r="AZ75" i="21" s="1"/>
  <c r="Y17" i="5"/>
  <c r="Y24" i="5" s="1"/>
  <c r="Y42" i="5" s="1"/>
  <c r="O21" i="15"/>
  <c r="Q655" i="6"/>
  <c r="AX78" i="21"/>
  <c r="AY78" i="21" s="1"/>
  <c r="AZ78" i="21" s="1"/>
  <c r="AN202" i="14"/>
  <c r="AO202" i="14" s="1"/>
  <c r="AP202" i="14" s="1"/>
  <c r="AQ202" i="14" s="1"/>
  <c r="AR202" i="14" s="1"/>
  <c r="AS202" i="14" s="1"/>
  <c r="AT202" i="14" s="1"/>
  <c r="AU202" i="14" s="1"/>
  <c r="AV202" i="14" s="1"/>
  <c r="AW202" i="14" s="1"/>
  <c r="AX202" i="14" s="1"/>
  <c r="AY202" i="14" s="1"/>
  <c r="AZ202" i="14" s="1"/>
  <c r="BA202" i="14" s="1"/>
  <c r="AM202" i="14"/>
  <c r="AG40" i="20"/>
  <c r="AH40" i="20" s="1"/>
  <c r="AI40" i="20" s="1"/>
  <c r="AJ40" i="20" s="1"/>
  <c r="AK40" i="20" s="1"/>
  <c r="AL40" i="20" s="1"/>
  <c r="AM40" i="20" s="1"/>
  <c r="AN40" i="20" s="1"/>
  <c r="AO40" i="20" s="1"/>
  <c r="AP40" i="20" s="1"/>
  <c r="AQ40" i="20" s="1"/>
  <c r="AR40" i="20" s="1"/>
  <c r="AS40" i="20" s="1"/>
  <c r="AT40" i="20" s="1"/>
  <c r="AU40" i="20" s="1"/>
  <c r="AV40" i="20" s="1"/>
  <c r="AW40" i="20" s="1"/>
  <c r="AX40" i="20" s="1"/>
  <c r="AY40" i="20" s="1"/>
  <c r="AZ40" i="20" s="1"/>
  <c r="BA40" i="20" s="1"/>
  <c r="AF40" i="20"/>
  <c r="AH48" i="20"/>
  <c r="AI48" i="20" s="1"/>
  <c r="AJ48" i="20" s="1"/>
  <c r="AK48" i="20" s="1"/>
  <c r="AL48" i="20" s="1"/>
  <c r="AM48" i="20" s="1"/>
  <c r="AN48" i="20" s="1"/>
  <c r="AO48" i="20" s="1"/>
  <c r="AP48" i="20" s="1"/>
  <c r="AQ48" i="20" s="1"/>
  <c r="AR48" i="20" s="1"/>
  <c r="AS48" i="20" s="1"/>
  <c r="AT48" i="20" s="1"/>
  <c r="AU48" i="20" s="1"/>
  <c r="AV48" i="20" s="1"/>
  <c r="AW48" i="20" s="1"/>
  <c r="AX48" i="20"/>
  <c r="AY48" i="20" s="1"/>
  <c r="AZ48" i="20" s="1"/>
  <c r="BA48" i="20" s="1"/>
  <c r="AJ59" i="19"/>
  <c r="AK59" i="19" s="1"/>
  <c r="AL59" i="19" s="1"/>
  <c r="AM59" i="19" s="1"/>
  <c r="AN59" i="19" s="1"/>
  <c r="AO59" i="19" s="1"/>
  <c r="AP59" i="19" s="1"/>
  <c r="AQ59" i="19" s="1"/>
  <c r="AR59" i="19" s="1"/>
  <c r="AS59" i="19" s="1"/>
  <c r="AT59" i="19" s="1"/>
  <c r="AU59" i="19" s="1"/>
  <c r="AV59" i="19" s="1"/>
  <c r="AW59" i="19" s="1"/>
  <c r="AX59" i="19" s="1"/>
  <c r="AY59" i="19" s="1"/>
  <c r="AZ59" i="19" s="1"/>
  <c r="BA59" i="19" s="1"/>
  <c r="AH149" i="18"/>
  <c r="AI149" i="18" s="1"/>
  <c r="AJ149" i="18" s="1"/>
  <c r="AK149" i="18" s="1"/>
  <c r="AL149" i="18" s="1"/>
  <c r="AM149" i="18" s="1"/>
  <c r="AN149" i="18" s="1"/>
  <c r="AO149" i="18" s="1"/>
  <c r="AP149" i="18" s="1"/>
  <c r="AQ149" i="18" s="1"/>
  <c r="AR149" i="18" s="1"/>
  <c r="AS149" i="18" s="1"/>
  <c r="AT149" i="18" s="1"/>
  <c r="AU149" i="18" s="1"/>
  <c r="AV149" i="18" s="1"/>
  <c r="AW149" i="18" s="1"/>
  <c r="AX149" i="18" s="1"/>
  <c r="AY149" i="18" s="1"/>
  <c r="AZ149" i="18" s="1"/>
  <c r="AE118" i="14"/>
  <c r="AT123" i="13"/>
  <c r="AU123" i="13" s="1"/>
  <c r="AV123" i="13" s="1"/>
  <c r="AW123" i="13" s="1"/>
  <c r="AX123" i="13" s="1"/>
  <c r="AY123" i="13" s="1"/>
  <c r="AZ123" i="13" s="1"/>
  <c r="BA123" i="13" s="1"/>
  <c r="AH165" i="14"/>
  <c r="AI45" i="18"/>
  <c r="AK45" i="18"/>
  <c r="AL45" i="18" s="1"/>
  <c r="AM45" i="18" s="1"/>
  <c r="AN45" i="18" s="1"/>
  <c r="AO45" i="18" s="1"/>
  <c r="AP45" i="18" s="1"/>
  <c r="AQ45" i="18" s="1"/>
  <c r="AR45" i="18" s="1"/>
  <c r="AS45" i="18" s="1"/>
  <c r="AT45" i="18" s="1"/>
  <c r="AU45" i="18" s="1"/>
  <c r="AV45" i="18" s="1"/>
  <c r="AW45" i="18" s="1"/>
  <c r="AX45" i="18" s="1"/>
  <c r="AY45" i="18" s="1"/>
  <c r="AZ45" i="18" s="1"/>
  <c r="BA45" i="18" s="1"/>
  <c r="AJ45" i="18"/>
  <c r="AG137" i="14"/>
  <c r="AH137" i="14" s="1"/>
  <c r="AI137" i="14" s="1"/>
  <c r="AJ137" i="14" s="1"/>
  <c r="AK137" i="14" s="1"/>
  <c r="AL137" i="14" s="1"/>
  <c r="AM137" i="14"/>
  <c r="AN137" i="14" s="1"/>
  <c r="AO137" i="14" s="1"/>
  <c r="AP137" i="14" s="1"/>
  <c r="AQ137" i="14" s="1"/>
  <c r="AR137" i="14" s="1"/>
  <c r="AS137" i="14" s="1"/>
  <c r="AT137" i="14" s="1"/>
  <c r="AU137" i="14" s="1"/>
  <c r="AV137" i="14" s="1"/>
  <c r="AW137" i="14" s="1"/>
  <c r="AX137" i="14" s="1"/>
  <c r="AY137" i="14" s="1"/>
  <c r="AZ137" i="14" s="1"/>
  <c r="BA137" i="14" s="1"/>
  <c r="AM189" i="14"/>
  <c r="AN189" i="14" s="1"/>
  <c r="AO189" i="14" s="1"/>
  <c r="AP189" i="14" s="1"/>
  <c r="AQ189" i="14" s="1"/>
  <c r="AR189" i="14" s="1"/>
  <c r="AS189" i="14" s="1"/>
  <c r="AT189" i="14" s="1"/>
  <c r="AU189" i="14" s="1"/>
  <c r="AV189" i="14" s="1"/>
  <c r="AW189" i="14" s="1"/>
  <c r="AX189" i="14" s="1"/>
  <c r="AY189" i="14" s="1"/>
  <c r="AZ189" i="14" s="1"/>
  <c r="BA189" i="14" s="1"/>
  <c r="AL189" i="14"/>
  <c r="AB416" i="6"/>
  <c r="AC35" i="5"/>
  <c r="AI165" i="14"/>
  <c r="AJ165" i="14" s="1"/>
  <c r="AK165" i="14" s="1"/>
  <c r="AL165" i="14" s="1"/>
  <c r="AM165" i="14" s="1"/>
  <c r="AN165" i="14" s="1"/>
  <c r="AO165" i="14" s="1"/>
  <c r="AP165" i="14" s="1"/>
  <c r="AQ165" i="14" s="1"/>
  <c r="AR165" i="14" s="1"/>
  <c r="AS165" i="14" s="1"/>
  <c r="AT165" i="14" s="1"/>
  <c r="AU165" i="14" s="1"/>
  <c r="AV165" i="14" s="1"/>
  <c r="AW165" i="14" s="1"/>
  <c r="AX165" i="14" s="1"/>
  <c r="AY165" i="14" s="1"/>
  <c r="AZ165" i="14" s="1"/>
  <c r="BA165" i="14" s="1"/>
  <c r="AN91" i="22"/>
  <c r="AO91" i="22" s="1"/>
  <c r="AP91" i="22" s="1"/>
  <c r="AQ91" i="22" s="1"/>
  <c r="AR91" i="22"/>
  <c r="AS91" i="22" s="1"/>
  <c r="AT91" i="22" s="1"/>
  <c r="AU91" i="22" s="1"/>
  <c r="AV91" i="22" s="1"/>
  <c r="AW91" i="22" s="1"/>
  <c r="AX91" i="22" s="1"/>
  <c r="AY91" i="22" s="1"/>
  <c r="AZ91" i="22" s="1"/>
  <c r="AG43" i="21"/>
  <c r="AH53" i="21"/>
  <c r="AS1523" i="6"/>
  <c r="AO1523" i="6"/>
  <c r="AK1523" i="6"/>
  <c r="AG1523" i="6"/>
  <c r="AQ1471" i="6"/>
  <c r="AM1471" i="6"/>
  <c r="AI1471" i="6"/>
  <c r="AE1471" i="6"/>
  <c r="AP1419" i="6"/>
  <c r="AL1419" i="6"/>
  <c r="AH1419" i="6"/>
  <c r="AD1419" i="6"/>
  <c r="AB1365" i="6"/>
  <c r="AR1523" i="6"/>
  <c r="AN1523" i="6"/>
  <c r="AJ1523" i="6"/>
  <c r="AF1523" i="6"/>
  <c r="AP1471" i="6"/>
  <c r="AL1471" i="6"/>
  <c r="AH1471" i="6"/>
  <c r="AD1471" i="6"/>
  <c r="AO1419" i="6"/>
  <c r="AK1419" i="6"/>
  <c r="AG1419" i="6"/>
  <c r="AA1365" i="6"/>
  <c r="AA1337" i="6" s="1"/>
  <c r="AQ1523" i="6"/>
  <c r="AM1523" i="6"/>
  <c r="AI1523" i="6"/>
  <c r="AE1523" i="6"/>
  <c r="AO1471" i="6"/>
  <c r="AK1471" i="6"/>
  <c r="AG1471" i="6"/>
  <c r="AR1419" i="6"/>
  <c r="AN1419" i="6"/>
  <c r="AJ1419" i="6"/>
  <c r="AF1419" i="6"/>
  <c r="AP1523" i="6"/>
  <c r="AL1523" i="6"/>
  <c r="AH1523" i="6"/>
  <c r="AD1523" i="6"/>
  <c r="AR1471" i="6"/>
  <c r="AN1471" i="6"/>
  <c r="AJ1471" i="6"/>
  <c r="AF1471" i="6"/>
  <c r="AQ1419" i="6"/>
  <c r="AM1419" i="6"/>
  <c r="AI1419" i="6"/>
  <c r="AE1419" i="6"/>
  <c r="AC1365" i="6"/>
  <c r="AE1336" i="6"/>
  <c r="AL92" i="18"/>
  <c r="AM92" i="18" s="1"/>
  <c r="AN92" i="18" s="1"/>
  <c r="AO92" i="18" s="1"/>
  <c r="AP92" i="18" s="1"/>
  <c r="AQ92" i="18" s="1"/>
  <c r="AR92" i="18" s="1"/>
  <c r="AS92" i="18" s="1"/>
  <c r="AT92" i="18" s="1"/>
  <c r="AU92" i="18" s="1"/>
  <c r="AV92" i="18" s="1"/>
  <c r="AW92" i="18" s="1"/>
  <c r="AX92" i="18" s="1"/>
  <c r="AY92" i="18" s="1"/>
  <c r="AZ92" i="18" s="1"/>
  <c r="L2450" i="6"/>
  <c r="L2449" i="6"/>
  <c r="M16" i="5"/>
  <c r="AJ106" i="21"/>
  <c r="AK106" i="21"/>
  <c r="AL106" i="21" s="1"/>
  <c r="AM106" i="21" s="1"/>
  <c r="AN106" i="21" s="1"/>
  <c r="AO106" i="21" s="1"/>
  <c r="AP106" i="21" s="1"/>
  <c r="AQ106" i="21" s="1"/>
  <c r="AR106" i="21" s="1"/>
  <c r="AS106" i="21" s="1"/>
  <c r="AT106" i="21" s="1"/>
  <c r="AU106" i="21" s="1"/>
  <c r="AV106" i="21" s="1"/>
  <c r="AW106" i="21" s="1"/>
  <c r="AX106" i="21" s="1"/>
  <c r="AY106" i="21" s="1"/>
  <c r="AZ106" i="21" s="1"/>
  <c r="AF80" i="21"/>
  <c r="AH58" i="18"/>
  <c r="AI58" i="18" s="1"/>
  <c r="AJ58" i="18" s="1"/>
  <c r="AS78" i="13"/>
  <c r="AT78" i="13" s="1"/>
  <c r="AU78" i="13" s="1"/>
  <c r="AV78" i="13" s="1"/>
  <c r="AW78" i="13" s="1"/>
  <c r="AX78" i="13" s="1"/>
  <c r="AY78" i="13" s="1"/>
  <c r="AZ78" i="13" s="1"/>
  <c r="BA78" i="13" s="1"/>
  <c r="AD3171" i="6"/>
  <c r="AU65" i="22"/>
  <c r="AV65" i="22" s="1"/>
  <c r="AW65" i="22" s="1"/>
  <c r="AX65" i="22" s="1"/>
  <c r="AY65" i="22" s="1"/>
  <c r="AZ65" i="22" s="1"/>
  <c r="AH68" i="21"/>
  <c r="AU68" i="20"/>
  <c r="AV68" i="20" s="1"/>
  <c r="AW68" i="20" s="1"/>
  <c r="AX68" i="20" s="1"/>
  <c r="AY68" i="20" s="1"/>
  <c r="AZ68" i="20" s="1"/>
  <c r="AE137" i="18"/>
  <c r="AK71" i="20"/>
  <c r="AL71" i="20" s="1"/>
  <c r="AM71" i="20" s="1"/>
  <c r="AN71" i="20" s="1"/>
  <c r="AO71" i="20" s="1"/>
  <c r="AP71" i="20" s="1"/>
  <c r="AQ71" i="20" s="1"/>
  <c r="AR71" i="20" s="1"/>
  <c r="AS71" i="20" s="1"/>
  <c r="AT71" i="20" s="1"/>
  <c r="AU71" i="20" s="1"/>
  <c r="AV71" i="20" s="1"/>
  <c r="AW71" i="20" s="1"/>
  <c r="AX71" i="20" s="1"/>
  <c r="AY71" i="20" s="1"/>
  <c r="AZ71" i="20" s="1"/>
  <c r="AD39" i="23"/>
  <c r="AE2451" i="6" s="1"/>
  <c r="AD32" i="22"/>
  <c r="AD32" i="21"/>
  <c r="AE2009" i="6" s="1"/>
  <c r="AD32" i="20"/>
  <c r="AD32" i="19"/>
  <c r="AD37" i="17"/>
  <c r="AD32" i="18"/>
  <c r="AE1334" i="6" s="1"/>
  <c r="AD42" i="16"/>
  <c r="AE882" i="6" s="1"/>
  <c r="AD34" i="15"/>
  <c r="AE657" i="6" s="1"/>
  <c r="AD49" i="14"/>
  <c r="AD41" i="13"/>
  <c r="AE7" i="7"/>
  <c r="AO109" i="22"/>
  <c r="AP109" i="22" s="1"/>
  <c r="AQ109" i="22" s="1"/>
  <c r="AR109" i="22" s="1"/>
  <c r="AS109" i="22" s="1"/>
  <c r="AT109" i="22" s="1"/>
  <c r="AU109" i="22" s="1"/>
  <c r="AV109" i="22" s="1"/>
  <c r="AW109" i="22" s="1"/>
  <c r="AX109" i="22" s="1"/>
  <c r="AY109" i="22" s="1"/>
  <c r="AZ109" i="22" s="1"/>
  <c r="AD246" i="6"/>
  <c r="AD26" i="7"/>
  <c r="AE23" i="7"/>
  <c r="AE26" i="7" s="1"/>
  <c r="AE1559" i="6"/>
  <c r="AE1560" i="6"/>
  <c r="AF1555" i="6"/>
  <c r="AF11" i="5"/>
  <c r="AR114" i="22"/>
  <c r="AS114" i="22" s="1"/>
  <c r="AT114" i="22" s="1"/>
  <c r="AU114" i="22" s="1"/>
  <c r="AV114" i="22" s="1"/>
  <c r="AW114" i="22" s="1"/>
  <c r="AK41" i="19"/>
  <c r="AL41" i="19" s="1"/>
  <c r="AM41" i="19"/>
  <c r="AN41" i="19" s="1"/>
  <c r="AO41" i="19" s="1"/>
  <c r="AP41" i="19" s="1"/>
  <c r="AQ41" i="19" s="1"/>
  <c r="AR41" i="19" s="1"/>
  <c r="AS41" i="19" s="1"/>
  <c r="AT41" i="19" s="1"/>
  <c r="AU41" i="19" s="1"/>
  <c r="AV41" i="19" s="1"/>
  <c r="AW41" i="19" s="1"/>
  <c r="AX41" i="19" s="1"/>
  <c r="AY41" i="19" s="1"/>
  <c r="AZ41" i="19" s="1"/>
  <c r="BA41" i="19" s="1"/>
  <c r="AJ41" i="19"/>
  <c r="AI41" i="19"/>
  <c r="AF68" i="12"/>
  <c r="AH166" i="14"/>
  <c r="AI166" i="14" s="1"/>
  <c r="AJ166" i="14" s="1"/>
  <c r="AK166" i="14" s="1"/>
  <c r="AL166" i="14" s="1"/>
  <c r="AM166" i="14" s="1"/>
  <c r="AN166" i="14" s="1"/>
  <c r="AO166" i="14" s="1"/>
  <c r="AP166" i="14" s="1"/>
  <c r="AQ166" i="14" s="1"/>
  <c r="AR166" i="14" s="1"/>
  <c r="AS166" i="14" s="1"/>
  <c r="AT166" i="14" s="1"/>
  <c r="AU166" i="14" s="1"/>
  <c r="AV166" i="14" s="1"/>
  <c r="AW166" i="14" s="1"/>
  <c r="AX166" i="14" s="1"/>
  <c r="AY166" i="14" s="1"/>
  <c r="AZ166" i="14" s="1"/>
  <c r="BA166" i="14" s="1"/>
  <c r="AJ84" i="14"/>
  <c r="AK84" i="14" s="1"/>
  <c r="AL84" i="14" s="1"/>
  <c r="AM84" i="14" s="1"/>
  <c r="AN84" i="14" s="1"/>
  <c r="AO84" i="14" s="1"/>
  <c r="AP84" i="14" s="1"/>
  <c r="AQ84" i="14" s="1"/>
  <c r="AR84" i="14" s="1"/>
  <c r="AS84" i="14" s="1"/>
  <c r="AT84" i="14" s="1"/>
  <c r="AU84" i="14" s="1"/>
  <c r="AV84" i="14" s="1"/>
  <c r="AW84" i="14" s="1"/>
  <c r="AX84" i="14" s="1"/>
  <c r="AY84" i="14" s="1"/>
  <c r="AZ84" i="14" s="1"/>
  <c r="BA84" i="14" s="1"/>
  <c r="AH74" i="22"/>
  <c r="AN51" i="17"/>
  <c r="AO51" i="17" s="1"/>
  <c r="AP51" i="17" s="1"/>
  <c r="AQ51" i="17" s="1"/>
  <c r="AR51" i="17" s="1"/>
  <c r="AS51" i="17" s="1"/>
  <c r="AT51" i="17" s="1"/>
  <c r="AU51" i="17" s="1"/>
  <c r="AV51" i="17" s="1"/>
  <c r="AW51" i="17" s="1"/>
  <c r="AX51" i="17" s="1"/>
  <c r="AY51" i="17" s="1"/>
  <c r="AZ51" i="17" s="1"/>
  <c r="BA51" i="17" s="1"/>
  <c r="AR1972" i="6"/>
  <c r="AN1972" i="6"/>
  <c r="AJ1972" i="6"/>
  <c r="AF1972" i="6"/>
  <c r="AO1920" i="6"/>
  <c r="AK1920" i="6"/>
  <c r="AG1920" i="6"/>
  <c r="AC1920" i="6"/>
  <c r="AN1868" i="6"/>
  <c r="AJ1868" i="6"/>
  <c r="AF1868" i="6"/>
  <c r="AQ1972" i="6"/>
  <c r="AM1972" i="6"/>
  <c r="AI1972" i="6"/>
  <c r="AE1972" i="6"/>
  <c r="AN1920" i="6"/>
  <c r="AJ1920" i="6"/>
  <c r="AF1920" i="6"/>
  <c r="AQ1868" i="6"/>
  <c r="AM1868" i="6"/>
  <c r="AI1868" i="6"/>
  <c r="AE1868" i="6"/>
  <c r="AP1972" i="6"/>
  <c r="AL1972" i="6"/>
  <c r="AH1972" i="6"/>
  <c r="AD1972" i="6"/>
  <c r="AQ1920" i="6"/>
  <c r="AM1920" i="6"/>
  <c r="AI1920" i="6"/>
  <c r="AE1920" i="6"/>
  <c r="AP1868" i="6"/>
  <c r="AL1868" i="6"/>
  <c r="AH1868" i="6"/>
  <c r="AD1868" i="6"/>
  <c r="AG1972" i="6"/>
  <c r="AP1920" i="6"/>
  <c r="AO1868" i="6"/>
  <c r="AC1972" i="6"/>
  <c r="AL1920" i="6"/>
  <c r="AK1868" i="6"/>
  <c r="AB1814" i="6"/>
  <c r="AO1972" i="6"/>
  <c r="AH1920" i="6"/>
  <c r="AG1868" i="6"/>
  <c r="AA1814" i="6"/>
  <c r="AD1786" i="6"/>
  <c r="AK1972" i="6"/>
  <c r="AD1920" i="6"/>
  <c r="AC1868" i="6"/>
  <c r="Z1814" i="6"/>
  <c r="Z1787" i="6" s="1"/>
  <c r="BA86" i="14"/>
  <c r="AK177" i="14"/>
  <c r="AL177" i="14" s="1"/>
  <c r="AM177" i="14" s="1"/>
  <c r="AN177" i="14" s="1"/>
  <c r="AO177" i="14" s="1"/>
  <c r="AP177" i="14" s="1"/>
  <c r="AQ177" i="14" s="1"/>
  <c r="AR177" i="14" s="1"/>
  <c r="AS177" i="14" s="1"/>
  <c r="AT177" i="14" s="1"/>
  <c r="AU177" i="14" s="1"/>
  <c r="AV177" i="14" s="1"/>
  <c r="AW177" i="14" s="1"/>
  <c r="AX177" i="14" s="1"/>
  <c r="AY177" i="14" s="1"/>
  <c r="AZ177" i="14" s="1"/>
  <c r="BA177" i="14" s="1"/>
  <c r="AI176" i="14"/>
  <c r="AJ176" i="14" s="1"/>
  <c r="AK176" i="14" s="1"/>
  <c r="AL176" i="14" s="1"/>
  <c r="AM176" i="14" s="1"/>
  <c r="AN176" i="14" s="1"/>
  <c r="AO176" i="14" s="1"/>
  <c r="AP176" i="14" s="1"/>
  <c r="AQ176" i="14" s="1"/>
  <c r="AR176" i="14" s="1"/>
  <c r="AS176" i="14" s="1"/>
  <c r="AT176" i="14" s="1"/>
  <c r="AU176" i="14" s="1"/>
  <c r="AV176" i="14" s="1"/>
  <c r="AW176" i="14" s="1"/>
  <c r="AX176" i="14" s="1"/>
  <c r="AY176" i="14" s="1"/>
  <c r="AZ176" i="14" s="1"/>
  <c r="BA176" i="14" s="1"/>
  <c r="AJ134" i="18"/>
  <c r="AK134" i="18" s="1"/>
  <c r="AL134" i="18" s="1"/>
  <c r="AM134" i="18" s="1"/>
  <c r="AN134" i="18" s="1"/>
  <c r="AO134" i="18" s="1"/>
  <c r="AP134" i="18" s="1"/>
  <c r="AQ134" i="18" s="1"/>
  <c r="AR134" i="18" s="1"/>
  <c r="AS134" i="18" s="1"/>
  <c r="AT134" i="18" s="1"/>
  <c r="AU134" i="18" s="1"/>
  <c r="AV134" i="18" s="1"/>
  <c r="AW134" i="18" s="1"/>
  <c r="AX134" i="18" s="1"/>
  <c r="AY134" i="18" s="1"/>
  <c r="AZ134" i="18" s="1"/>
  <c r="AQ113" i="22"/>
  <c r="AK65" i="20"/>
  <c r="AL65" i="20" s="1"/>
  <c r="AM65" i="20" s="1"/>
  <c r="AN65" i="20" s="1"/>
  <c r="AO65" i="20" s="1"/>
  <c r="AP65" i="20" s="1"/>
  <c r="AQ65" i="20" s="1"/>
  <c r="AR65" i="20" s="1"/>
  <c r="AS65" i="20" s="1"/>
  <c r="AT65" i="20" s="1"/>
  <c r="AU65" i="20" s="1"/>
  <c r="AV65" i="20" s="1"/>
  <c r="AW65" i="20" s="1"/>
  <c r="AX65" i="20" s="1"/>
  <c r="AY65" i="20" s="1"/>
  <c r="AZ65" i="20" s="1"/>
  <c r="M16" i="6"/>
  <c r="J2" i="13"/>
  <c r="AL199" i="6"/>
  <c r="AH199" i="6"/>
  <c r="AD199" i="6"/>
  <c r="Z199" i="6"/>
  <c r="V199" i="6"/>
  <c r="R199" i="6"/>
  <c r="AC147" i="6"/>
  <c r="Y147" i="6"/>
  <c r="U147" i="6"/>
  <c r="AF95" i="6"/>
  <c r="AB95" i="6"/>
  <c r="X95" i="6"/>
  <c r="T95" i="6"/>
  <c r="L31" i="6"/>
  <c r="L27" i="6"/>
  <c r="AA199" i="6"/>
  <c r="V147" i="6"/>
  <c r="U95" i="6"/>
  <c r="AK199" i="6"/>
  <c r="AG199" i="6"/>
  <c r="AC199" i="6"/>
  <c r="Y199" i="6"/>
  <c r="U199" i="6"/>
  <c r="AF147" i="6"/>
  <c r="AB147" i="6"/>
  <c r="X147" i="6"/>
  <c r="T147" i="6"/>
  <c r="AE95" i="6"/>
  <c r="AA95" i="6"/>
  <c r="W95" i="6"/>
  <c r="S95" i="6"/>
  <c r="L30" i="6"/>
  <c r="AE199" i="6"/>
  <c r="S199" i="6"/>
  <c r="AD147" i="6"/>
  <c r="R147" i="6"/>
  <c r="Y95" i="6"/>
  <c r="AJ199" i="6"/>
  <c r="AF199" i="6"/>
  <c r="AB199" i="6"/>
  <c r="X199" i="6"/>
  <c r="T199" i="6"/>
  <c r="AE147" i="6"/>
  <c r="AA147" i="6"/>
  <c r="W147" i="6"/>
  <c r="S147" i="6"/>
  <c r="AD95" i="6"/>
  <c r="Z95" i="6"/>
  <c r="V95" i="6"/>
  <c r="R95" i="6"/>
  <c r="L29" i="6"/>
  <c r="AI199" i="6"/>
  <c r="W199" i="6"/>
  <c r="Z147" i="6"/>
  <c r="AC95" i="6"/>
  <c r="L28" i="6"/>
  <c r="L32" i="6"/>
  <c r="AJ155" i="18"/>
  <c r="AK155" i="18" s="1"/>
  <c r="AL155" i="18" s="1"/>
  <c r="AM155" i="18" s="1"/>
  <c r="AN155" i="18" s="1"/>
  <c r="AO155" i="18" s="1"/>
  <c r="AG43" i="19"/>
  <c r="AE36" i="19"/>
  <c r="AI148" i="18"/>
  <c r="AI57" i="18"/>
  <c r="AJ57" i="18" s="1"/>
  <c r="AK57" i="18" s="1"/>
  <c r="AL57" i="18" s="1"/>
  <c r="AM57" i="18" s="1"/>
  <c r="AN57" i="18" s="1"/>
  <c r="AO57" i="18" s="1"/>
  <c r="AP57" i="18" s="1"/>
  <c r="AQ57" i="18" s="1"/>
  <c r="AR57" i="18"/>
  <c r="AS57" i="18" s="1"/>
  <c r="AT57" i="18" s="1"/>
  <c r="AU57" i="18" s="1"/>
  <c r="AV57" i="18" s="1"/>
  <c r="AW57" i="18" s="1"/>
  <c r="AX57" i="18" s="1"/>
  <c r="AY57" i="18" s="1"/>
  <c r="AZ57" i="18" s="1"/>
  <c r="BA57" i="18" s="1"/>
  <c r="N17" i="21"/>
  <c r="P2007" i="6"/>
  <c r="AX45" i="15"/>
  <c r="AY45" i="15" s="1"/>
  <c r="AZ45" i="15" s="1"/>
  <c r="BA45" i="15" s="1"/>
  <c r="AH115" i="22"/>
  <c r="AI115" i="22" s="1"/>
  <c r="AJ115" i="22" s="1"/>
  <c r="AK115" i="22" s="1"/>
  <c r="AL115" i="22" s="1"/>
  <c r="AM115" i="22" s="1"/>
  <c r="AN115" i="22" s="1"/>
  <c r="AO115" i="22" s="1"/>
  <c r="AP115" i="22" s="1"/>
  <c r="AQ115" i="22" s="1"/>
  <c r="AR115" i="22" s="1"/>
  <c r="AS115" i="22" s="1"/>
  <c r="AT115" i="22" s="1"/>
  <c r="AU115" i="22" s="1"/>
  <c r="AV115" i="22" s="1"/>
  <c r="AW115" i="22" s="1"/>
  <c r="AX115" i="22" s="1"/>
  <c r="AY115" i="22" s="1"/>
  <c r="AZ115" i="22" s="1"/>
  <c r="AD2228" i="6"/>
  <c r="AJ127" i="22"/>
  <c r="AK127" i="22" s="1"/>
  <c r="AL127" i="22" s="1"/>
  <c r="AM127" i="22" s="1"/>
  <c r="AN127" i="22" s="1"/>
  <c r="AO127" i="22" s="1"/>
  <c r="AP127" i="22" s="1"/>
  <c r="AQ127" i="22" s="1"/>
  <c r="AR127" i="22" s="1"/>
  <c r="AS127" i="22" s="1"/>
  <c r="AT127" i="22" s="1"/>
  <c r="AU127" i="22" s="1"/>
  <c r="AV127" i="22" s="1"/>
  <c r="AW127" i="22" s="1"/>
  <c r="AX127" i="22" s="1"/>
  <c r="AY127" i="22" s="1"/>
  <c r="AZ127" i="22" s="1"/>
  <c r="AH42" i="19"/>
  <c r="AI42" i="19" s="1"/>
  <c r="AJ42" i="19"/>
  <c r="AL98" i="14"/>
  <c r="AM98" i="14" s="1"/>
  <c r="AN98" i="14" s="1"/>
  <c r="AO98" i="14" s="1"/>
  <c r="AP98" i="14" s="1"/>
  <c r="AQ98" i="14" s="1"/>
  <c r="AR98" i="14" s="1"/>
  <c r="AS98" i="14" s="1"/>
  <c r="AT98" i="14" s="1"/>
  <c r="AU98" i="14" s="1"/>
  <c r="AV98" i="14" s="1"/>
  <c r="AW98" i="14" s="1"/>
  <c r="AX98" i="14" s="1"/>
  <c r="AY98" i="14" s="1"/>
  <c r="AZ98" i="14" s="1"/>
  <c r="BA98" i="14" s="1"/>
  <c r="AK50" i="19"/>
  <c r="AL50" i="19" s="1"/>
  <c r="AM50" i="19" s="1"/>
  <c r="AN50" i="19" s="1"/>
  <c r="AO50" i="19" s="1"/>
  <c r="AP50" i="19" s="1"/>
  <c r="AQ50" i="19" s="1"/>
  <c r="AR50" i="19" s="1"/>
  <c r="AS50" i="19" s="1"/>
  <c r="AT50" i="19" s="1"/>
  <c r="AU50" i="19" s="1"/>
  <c r="AV50" i="19" s="1"/>
  <c r="AW50" i="19" s="1"/>
  <c r="AX50" i="19" s="1"/>
  <c r="AY50" i="19" s="1"/>
  <c r="AZ50" i="19" s="1"/>
  <c r="BA50" i="19" s="1"/>
  <c r="AF75" i="18"/>
  <c r="AM68" i="14"/>
  <c r="AN68" i="14" s="1"/>
  <c r="AO68" i="14" s="1"/>
  <c r="AP68" i="14" s="1"/>
  <c r="AQ68" i="14" s="1"/>
  <c r="AR68" i="14" s="1"/>
  <c r="AS68" i="14" s="1"/>
  <c r="AT68" i="14" s="1"/>
  <c r="AU68" i="14" s="1"/>
  <c r="AV68" i="14" s="1"/>
  <c r="AW68" i="14" s="1"/>
  <c r="AX68" i="14" s="1"/>
  <c r="AY68" i="14" s="1"/>
  <c r="AZ68" i="14" s="1"/>
  <c r="BA68" i="14" s="1"/>
  <c r="AH72" i="13"/>
  <c r="AF161" i="18"/>
  <c r="AK79" i="22"/>
  <c r="AL79" i="22" s="1"/>
  <c r="AM79" i="22" s="1"/>
  <c r="AN79" i="22" s="1"/>
  <c r="AO79" i="22" s="1"/>
  <c r="AP79" i="22" s="1"/>
  <c r="AQ79" i="22" s="1"/>
  <c r="AR79" i="22" s="1"/>
  <c r="AS79" i="22" s="1"/>
  <c r="AT79" i="22" s="1"/>
  <c r="AU79" i="22" s="1"/>
  <c r="AV79" i="22" s="1"/>
  <c r="AW79" i="22" s="1"/>
  <c r="AX79" i="22" s="1"/>
  <c r="AY79" i="22" s="1"/>
  <c r="AZ79" i="22" s="1"/>
  <c r="AJ78" i="20"/>
  <c r="AK78" i="20" s="1"/>
  <c r="AL78" i="20" s="1"/>
  <c r="AM78" i="20"/>
  <c r="AN78" i="20" s="1"/>
  <c r="AO78" i="20" s="1"/>
  <c r="AP78" i="20" s="1"/>
  <c r="AQ78" i="20" s="1"/>
  <c r="AR78" i="20" s="1"/>
  <c r="AS78" i="20" s="1"/>
  <c r="AT78" i="20" s="1"/>
  <c r="AU78" i="20" s="1"/>
  <c r="AV78" i="20" s="1"/>
  <c r="AW78" i="20" s="1"/>
  <c r="AX78" i="20" s="1"/>
  <c r="AY78" i="20" s="1"/>
  <c r="AZ78" i="20" s="1"/>
  <c r="AH60" i="19"/>
  <c r="AI60" i="19" s="1"/>
  <c r="AJ60" i="19" s="1"/>
  <c r="AK60" i="19" s="1"/>
  <c r="AL60" i="19" s="1"/>
  <c r="AM60" i="19" s="1"/>
  <c r="AN60" i="19" s="1"/>
  <c r="AO60" i="19" s="1"/>
  <c r="AP60" i="19" s="1"/>
  <c r="AQ60" i="19" s="1"/>
  <c r="AR60" i="19" s="1"/>
  <c r="AS60" i="19" s="1"/>
  <c r="AT60" i="19" s="1"/>
  <c r="AU60" i="19" s="1"/>
  <c r="AV60" i="19" s="1"/>
  <c r="AW60" i="19" s="1"/>
  <c r="AX60" i="19" s="1"/>
  <c r="AY60" i="19" s="1"/>
  <c r="AZ60" i="19" s="1"/>
  <c r="BA60" i="19" s="1"/>
  <c r="AI174" i="14"/>
  <c r="AJ174" i="14" s="1"/>
  <c r="AK174" i="14" s="1"/>
  <c r="AL174" i="14" s="1"/>
  <c r="AM174" i="14" s="1"/>
  <c r="AN174" i="14" s="1"/>
  <c r="AO174" i="14" s="1"/>
  <c r="AP174" i="14" s="1"/>
  <c r="AQ174" i="14" s="1"/>
  <c r="AR174" i="14" s="1"/>
  <c r="AS174" i="14" s="1"/>
  <c r="AT174" i="14" s="1"/>
  <c r="AU174" i="14" s="1"/>
  <c r="AV174" i="14" s="1"/>
  <c r="AW174" i="14" s="1"/>
  <c r="AX174" i="14" s="1"/>
  <c r="AY174" i="14" s="1"/>
  <c r="AZ174" i="14" s="1"/>
  <c r="BA174" i="14" s="1"/>
  <c r="AG174" i="14"/>
  <c r="AH174" i="14" s="1"/>
  <c r="AN26" i="7"/>
  <c r="AO23" i="7"/>
  <c r="AO26" i="7" s="1"/>
  <c r="AU77" i="21"/>
  <c r="AV77" i="21" s="1"/>
  <c r="AW77" i="21" s="1"/>
  <c r="AX77" i="21" s="1"/>
  <c r="AY77" i="21" s="1"/>
  <c r="AZ77" i="21" s="1"/>
  <c r="AJ77" i="21"/>
  <c r="AK77" i="21" s="1"/>
  <c r="AL77" i="21" s="1"/>
  <c r="AM77" i="21" s="1"/>
  <c r="AN77" i="21" s="1"/>
  <c r="AO77" i="21" s="1"/>
  <c r="AP77" i="21" s="1"/>
  <c r="AQ77" i="21" s="1"/>
  <c r="AR77" i="21" s="1"/>
  <c r="AS77" i="21" s="1"/>
  <c r="AT77" i="21" s="1"/>
  <c r="AI62" i="21"/>
  <c r="AJ62" i="21" s="1"/>
  <c r="AK62" i="21" s="1"/>
  <c r="AL62" i="21" s="1"/>
  <c r="AM62" i="21" s="1"/>
  <c r="AN62" i="21" s="1"/>
  <c r="AO62" i="21" s="1"/>
  <c r="AP62" i="21" s="1"/>
  <c r="AH116" i="13"/>
  <c r="AI116" i="13" s="1"/>
  <c r="AJ116" i="13" s="1"/>
  <c r="AK116" i="13" s="1"/>
  <c r="AL116" i="13" s="1"/>
  <c r="AM116" i="13" s="1"/>
  <c r="AN116" i="13" s="1"/>
  <c r="AO116" i="13" s="1"/>
  <c r="AP116" i="13" s="1"/>
  <c r="AQ116" i="13" s="1"/>
  <c r="AR116" i="13" s="1"/>
  <c r="AS116" i="13" s="1"/>
  <c r="AT116" i="13" s="1"/>
  <c r="AU116" i="13" s="1"/>
  <c r="AV116" i="13" s="1"/>
  <c r="AW116" i="13" s="1"/>
  <c r="AX116" i="13" s="1"/>
  <c r="AY116" i="13" s="1"/>
  <c r="AZ116" i="13" s="1"/>
  <c r="BA116" i="13" s="1"/>
  <c r="AO157" i="18"/>
  <c r="AI50" i="19"/>
  <c r="AJ50" i="19" s="1"/>
  <c r="AH160" i="14"/>
  <c r="AG67" i="18"/>
  <c r="AH67" i="18" s="1"/>
  <c r="AI67" i="18" s="1"/>
  <c r="AJ67" i="18" s="1"/>
  <c r="AK67" i="18" s="1"/>
  <c r="AL67" i="18" s="1"/>
  <c r="AM67" i="18" s="1"/>
  <c r="AN67" i="18" s="1"/>
  <c r="AO67" i="18" s="1"/>
  <c r="AP67" i="18" s="1"/>
  <c r="AQ67" i="18" s="1"/>
  <c r="AR67" i="18" s="1"/>
  <c r="AS67" i="18" s="1"/>
  <c r="AT67" i="18" s="1"/>
  <c r="AU67" i="18" s="1"/>
  <c r="AV67" i="18" s="1"/>
  <c r="AW67" i="18" s="1"/>
  <c r="AX67" i="18" s="1"/>
  <c r="AY67" i="18" s="1"/>
  <c r="AZ67" i="18" s="1"/>
  <c r="N24" i="13"/>
  <c r="P10" i="6"/>
  <c r="AS89" i="18"/>
  <c r="AT89" i="18" s="1"/>
  <c r="AU89" i="18" s="1"/>
  <c r="AV89" i="18" s="1"/>
  <c r="AW89" i="18" s="1"/>
  <c r="AX89" i="18" s="1"/>
  <c r="AY89" i="18" s="1"/>
  <c r="AZ89" i="18" s="1"/>
  <c r="Q1112" i="6"/>
  <c r="AD17" i="20"/>
  <c r="AD1782" i="6"/>
  <c r="AF1331" i="6"/>
  <c r="AE1329" i="6"/>
  <c r="AE1333" i="6"/>
  <c r="AP66" i="13"/>
  <c r="AQ66" i="13" s="1"/>
  <c r="AR66" i="13" s="1"/>
  <c r="AS66" i="13" s="1"/>
  <c r="AT66" i="13" s="1"/>
  <c r="AU66" i="13" s="1"/>
  <c r="AV66" i="13" s="1"/>
  <c r="AW66" i="13" s="1"/>
  <c r="AX66" i="13" s="1"/>
  <c r="AY66" i="13" s="1"/>
  <c r="AZ66" i="13" s="1"/>
  <c r="BA66" i="13" s="1"/>
  <c r="AG68" i="22"/>
  <c r="AH68" i="22" s="1"/>
  <c r="AI68" i="22" s="1"/>
  <c r="AJ68" i="22" s="1"/>
  <c r="AK68" i="22" s="1"/>
  <c r="AL68" i="22" s="1"/>
  <c r="AM68" i="22" s="1"/>
  <c r="AN68" i="22" s="1"/>
  <c r="AO68" i="22" s="1"/>
  <c r="AP68" i="22" s="1"/>
  <c r="AQ68" i="22" s="1"/>
  <c r="AR68" i="22" s="1"/>
  <c r="AS68" i="22" s="1"/>
  <c r="AT68" i="22" s="1"/>
  <c r="AU68" i="22" s="1"/>
  <c r="AV68" i="22" s="1"/>
  <c r="AW68" i="22" s="1"/>
  <c r="AX68" i="22" s="1"/>
  <c r="AY68" i="22" s="1"/>
  <c r="AZ68" i="22" s="1"/>
  <c r="AC2836" i="6"/>
  <c r="Q1337" i="6"/>
  <c r="AE47" i="23"/>
  <c r="AF47" i="23" s="1"/>
  <c r="AG47" i="23" s="1"/>
  <c r="AH47" i="23" s="1"/>
  <c r="AI47" i="23" s="1"/>
  <c r="AJ47" i="23" s="1"/>
  <c r="AK47" i="23" s="1"/>
  <c r="AI5" i="9"/>
  <c r="AJ5" i="9" s="1"/>
  <c r="AI55" i="13"/>
  <c r="AJ55" i="13" s="1"/>
  <c r="AK55" i="13" s="1"/>
  <c r="AL55" i="13" s="1"/>
  <c r="AM55" i="13" s="1"/>
  <c r="AN55" i="13" s="1"/>
  <c r="AO55" i="13" s="1"/>
  <c r="AP55" i="13" s="1"/>
  <c r="AQ55" i="13" s="1"/>
  <c r="AR55" i="13" s="1"/>
  <c r="AS55" i="13" s="1"/>
  <c r="AT55" i="13" s="1"/>
  <c r="AU55" i="13" s="1"/>
  <c r="AV55" i="13" s="1"/>
  <c r="AW55" i="13" s="1"/>
  <c r="AX55" i="13" s="1"/>
  <c r="AY55" i="13" s="1"/>
  <c r="AZ55" i="13" s="1"/>
  <c r="BA55" i="13" s="1"/>
  <c r="N2" i="20"/>
  <c r="AH1962" i="6"/>
  <c r="AD1962" i="6"/>
  <c r="Z1962" i="6"/>
  <c r="V1962" i="6"/>
  <c r="AG1910" i="6"/>
  <c r="AC1910" i="6"/>
  <c r="Y1910" i="6"/>
  <c r="U1910" i="6"/>
  <c r="AF1858" i="6"/>
  <c r="AB1858" i="6"/>
  <c r="X1858" i="6"/>
  <c r="T1858" i="6"/>
  <c r="AG1962" i="6"/>
  <c r="AC1962" i="6"/>
  <c r="Y1962" i="6"/>
  <c r="U1962" i="6"/>
  <c r="AF1910" i="6"/>
  <c r="AB1910" i="6"/>
  <c r="X1910" i="6"/>
  <c r="T1910" i="6"/>
  <c r="AE1858" i="6"/>
  <c r="AA1858" i="6"/>
  <c r="W1858" i="6"/>
  <c r="S1858" i="6"/>
  <c r="AF1962" i="6"/>
  <c r="AB1962" i="6"/>
  <c r="X1962" i="6"/>
  <c r="T1962" i="6"/>
  <c r="AE1910" i="6"/>
  <c r="AA1910" i="6"/>
  <c r="W1910" i="6"/>
  <c r="S1910" i="6"/>
  <c r="AD1858" i="6"/>
  <c r="Z1858" i="6"/>
  <c r="V1858" i="6"/>
  <c r="W1962" i="6"/>
  <c r="V1910" i="6"/>
  <c r="AG1858" i="6"/>
  <c r="P1802" i="6"/>
  <c r="S1962" i="6"/>
  <c r="AC1858" i="6"/>
  <c r="P1804" i="6"/>
  <c r="AE1962" i="6"/>
  <c r="AD1910" i="6"/>
  <c r="Y1858" i="6"/>
  <c r="AA1962" i="6"/>
  <c r="Z1910" i="6"/>
  <c r="U1858" i="6"/>
  <c r="P1803" i="6"/>
  <c r="AR381" i="6"/>
  <c r="AN381" i="6"/>
  <c r="AJ381" i="6"/>
  <c r="AF381" i="6"/>
  <c r="AB381" i="6"/>
  <c r="AA249" i="6"/>
  <c r="AB29" i="5"/>
  <c r="AU381" i="6"/>
  <c r="AQ381" i="6"/>
  <c r="AM381" i="6"/>
  <c r="AI381" i="6"/>
  <c r="AE381" i="6"/>
  <c r="AA381" i="6"/>
  <c r="AA356" i="6" s="1"/>
  <c r="AA250" i="6"/>
  <c r="AO381" i="6"/>
  <c r="AG381" i="6"/>
  <c r="AT381" i="6"/>
  <c r="AP381" i="6"/>
  <c r="AL381" i="6"/>
  <c r="AH381" i="6"/>
  <c r="AD381" i="6"/>
  <c r="AS381" i="6"/>
  <c r="AK381" i="6"/>
  <c r="AC381" i="6"/>
  <c r="AD13" i="6"/>
  <c r="AE3" i="5"/>
  <c r="AD14" i="6"/>
  <c r="AE8" i="6"/>
  <c r="AE2" i="5"/>
  <c r="AG101" i="13"/>
  <c r="AH101" i="13" s="1"/>
  <c r="AI101" i="13" s="1"/>
  <c r="AJ101" i="13" s="1"/>
  <c r="AK101" i="13" s="1"/>
  <c r="AL101" i="13" s="1"/>
  <c r="AM101" i="13" s="1"/>
  <c r="AN101" i="13" s="1"/>
  <c r="AO101" i="13" s="1"/>
  <c r="AP101" i="13" s="1"/>
  <c r="AQ101" i="13" s="1"/>
  <c r="AR101" i="13" s="1"/>
  <c r="AS101" i="13" s="1"/>
  <c r="AT101" i="13" s="1"/>
  <c r="AU101" i="13" s="1"/>
  <c r="AV101" i="13" s="1"/>
  <c r="AW101" i="13" s="1"/>
  <c r="AX101" i="13" s="1"/>
  <c r="AY101" i="13" s="1"/>
  <c r="AZ101" i="13" s="1"/>
  <c r="BA101" i="13" s="1"/>
  <c r="AN100" i="13"/>
  <c r="AO100" i="13" s="1"/>
  <c r="AP100" i="13" s="1"/>
  <c r="AQ100" i="13" s="1"/>
  <c r="AR100" i="13" s="1"/>
  <c r="AS100" i="13" s="1"/>
  <c r="AT100" i="13" s="1"/>
  <c r="AU100" i="13" s="1"/>
  <c r="AV100" i="13" s="1"/>
  <c r="AW100" i="13" s="1"/>
  <c r="AX100" i="13" s="1"/>
  <c r="AY100" i="13" s="1"/>
  <c r="AZ100" i="13" s="1"/>
  <c r="BA100" i="13" s="1"/>
  <c r="AF100" i="13"/>
  <c r="AG100" i="13" s="1"/>
  <c r="AH100" i="13" s="1"/>
  <c r="AI100" i="13" s="1"/>
  <c r="AJ100" i="13" s="1"/>
  <c r="AK100" i="13" s="1"/>
  <c r="AL100" i="13" s="1"/>
  <c r="AM100" i="13" s="1"/>
  <c r="AU130" i="18"/>
  <c r="AV130" i="18" s="1"/>
  <c r="AW130" i="18" s="1"/>
  <c r="AX130" i="18" s="1"/>
  <c r="AY130" i="18" s="1"/>
  <c r="AZ130" i="18"/>
  <c r="AG159" i="18"/>
  <c r="AH159" i="18" s="1"/>
  <c r="AI159" i="18" s="1"/>
  <c r="AJ159" i="18" s="1"/>
  <c r="AK159" i="18" s="1"/>
  <c r="AL159" i="18" s="1"/>
  <c r="AM159" i="18" s="1"/>
  <c r="AN159" i="18" s="1"/>
  <c r="AO159" i="18" s="1"/>
  <c r="AP159" i="18" s="1"/>
  <c r="AQ159" i="18" s="1"/>
  <c r="AR159" i="18" s="1"/>
  <c r="AS159" i="18" s="1"/>
  <c r="AT159" i="18" s="1"/>
  <c r="AU159" i="18" s="1"/>
  <c r="AV159" i="18" s="1"/>
  <c r="AW159" i="18" s="1"/>
  <c r="AX159" i="18" s="1"/>
  <c r="AY159" i="18" s="1"/>
  <c r="AZ159" i="18" s="1"/>
  <c r="AA66" i="12"/>
  <c r="AB248" i="6"/>
  <c r="U2674" i="6" a="1"/>
  <c r="U2674" i="6" s="1"/>
  <c r="V2674" i="6" a="1"/>
  <c r="V2674" i="6" s="1"/>
  <c r="N77" i="6"/>
  <c r="N78" i="6"/>
  <c r="AF49" i="15"/>
  <c r="AH55" i="20"/>
  <c r="AI55" i="20" s="1"/>
  <c r="AJ55" i="20" s="1"/>
  <c r="AK55" i="20" s="1"/>
  <c r="AL55" i="20" s="1"/>
  <c r="AM55" i="20" s="1"/>
  <c r="AN55" i="20" s="1"/>
  <c r="AO55" i="20" s="1"/>
  <c r="AP55" i="20" s="1"/>
  <c r="AQ55" i="20" s="1"/>
  <c r="AR55" i="20" s="1"/>
  <c r="AS55" i="20" s="1"/>
  <c r="AT55" i="20" s="1"/>
  <c r="AU55" i="20" s="1"/>
  <c r="AV55" i="20" s="1"/>
  <c r="AW55" i="20" s="1"/>
  <c r="AX55" i="20" s="1"/>
  <c r="AY55" i="20" s="1"/>
  <c r="AZ55" i="20" s="1"/>
  <c r="BA55" i="20" s="1"/>
  <c r="AE141" i="18"/>
  <c r="AF141" i="18" s="1"/>
  <c r="AG141" i="18"/>
  <c r="AH141" i="18"/>
  <c r="AI141" i="18" s="1"/>
  <c r="AJ141" i="18" s="1"/>
  <c r="AK141" i="18" s="1"/>
  <c r="AL141" i="18" s="1"/>
  <c r="AM141" i="18" s="1"/>
  <c r="AN141" i="18" s="1"/>
  <c r="AO141" i="18" s="1"/>
  <c r="AP141" i="18" s="1"/>
  <c r="AQ141" i="18" s="1"/>
  <c r="AR141" i="18" s="1"/>
  <c r="AS141" i="18" s="1"/>
  <c r="AT141" i="18" s="1"/>
  <c r="AU141" i="18" s="1"/>
  <c r="AV141" i="18" s="1"/>
  <c r="AW141" i="18" s="1"/>
  <c r="AX141" i="18" s="1"/>
  <c r="AY141" i="18" s="1"/>
  <c r="AZ141" i="18" s="1"/>
  <c r="AI183" i="14"/>
  <c r="AJ183" i="14" s="1"/>
  <c r="AK183" i="14" s="1"/>
  <c r="AL183" i="14" s="1"/>
  <c r="AM183" i="14" s="1"/>
  <c r="AN183" i="14" s="1"/>
  <c r="AO183" i="14" s="1"/>
  <c r="AP183" i="14" s="1"/>
  <c r="AQ183" i="14" s="1"/>
  <c r="AR183" i="14" s="1"/>
  <c r="AS183" i="14" s="1"/>
  <c r="AT183" i="14" s="1"/>
  <c r="AU183" i="14" s="1"/>
  <c r="AV183" i="14" s="1"/>
  <c r="AW183" i="14" s="1"/>
  <c r="AX183" i="14" s="1"/>
  <c r="AY183" i="14" s="1"/>
  <c r="AZ183" i="14" s="1"/>
  <c r="BA183" i="14" s="1"/>
  <c r="AG183" i="14"/>
  <c r="AH183" i="14" s="1"/>
  <c r="AH63" i="20"/>
  <c r="AH175" i="14"/>
  <c r="AG177" i="14"/>
  <c r="AH177" i="14" s="1"/>
  <c r="AI177" i="14" s="1"/>
  <c r="AJ177" i="14" s="1"/>
  <c r="AK92" i="21"/>
  <c r="AL92" i="21" s="1"/>
  <c r="AM92" i="21" s="1"/>
  <c r="AN92" i="21" s="1"/>
  <c r="AO92" i="21" s="1"/>
  <c r="AP92" i="21" s="1"/>
  <c r="AQ92" i="21" s="1"/>
  <c r="AR92" i="21" s="1"/>
  <c r="AS92" i="21" s="1"/>
  <c r="AT92" i="21" s="1"/>
  <c r="AU92" i="21" s="1"/>
  <c r="AV92" i="21" s="1"/>
  <c r="AW92" i="21" s="1"/>
  <c r="AX92" i="21" s="1"/>
  <c r="AY92" i="21" s="1"/>
  <c r="AZ92" i="21" s="1"/>
  <c r="AG119" i="22"/>
  <c r="AH119" i="22" s="1"/>
  <c r="AI119" i="22" s="1"/>
  <c r="AJ119" i="22" s="1"/>
  <c r="AK119" i="22" s="1"/>
  <c r="AL119" i="22" s="1"/>
  <c r="AM119" i="22" s="1"/>
  <c r="AN119" i="22" s="1"/>
  <c r="AO119" i="22" s="1"/>
  <c r="AP119" i="22" s="1"/>
  <c r="AQ119" i="22" s="1"/>
  <c r="AR119" i="22" s="1"/>
  <c r="AS119" i="22" s="1"/>
  <c r="AT119" i="22" s="1"/>
  <c r="AU119" i="22" s="1"/>
  <c r="AV119" i="22" s="1"/>
  <c r="AW119" i="22" s="1"/>
  <c r="AX119" i="22" s="1"/>
  <c r="AY119" i="22" s="1"/>
  <c r="AZ119" i="22" s="1"/>
  <c r="AR59" i="20"/>
  <c r="AS59" i="20" s="1"/>
  <c r="AT59" i="20" s="1"/>
  <c r="AU59" i="20" s="1"/>
  <c r="AV59" i="20" s="1"/>
  <c r="AW59" i="20" s="1"/>
  <c r="AX59" i="20" s="1"/>
  <c r="AY59" i="20" s="1"/>
  <c r="AZ59" i="20" s="1"/>
  <c r="BA59" i="20" s="1"/>
  <c r="AG50" i="22"/>
  <c r="AH50" i="22" s="1"/>
  <c r="AI50" i="22" s="1"/>
  <c r="AJ50" i="22" s="1"/>
  <c r="AK50" i="22" s="1"/>
  <c r="AL50" i="22" s="1"/>
  <c r="AM50" i="22" s="1"/>
  <c r="AN50" i="22" s="1"/>
  <c r="AO50" i="22" s="1"/>
  <c r="AP50" i="22" s="1"/>
  <c r="AQ50" i="22" s="1"/>
  <c r="AR50" i="22" s="1"/>
  <c r="AS50" i="22" s="1"/>
  <c r="AT50" i="22" s="1"/>
  <c r="AU50" i="22" s="1"/>
  <c r="AV50" i="22" s="1"/>
  <c r="AW50" i="22" s="1"/>
  <c r="AX50" i="22" s="1"/>
  <c r="AY50" i="22" s="1"/>
  <c r="AZ50" i="22" s="1"/>
  <c r="BA50" i="22" s="1"/>
  <c r="AG131" i="14"/>
  <c r="AJ82" i="20"/>
  <c r="AK82" i="20" s="1"/>
  <c r="AL82" i="20" s="1"/>
  <c r="AM82" i="20" s="1"/>
  <c r="AN82" i="20" s="1"/>
  <c r="AO82" i="20" s="1"/>
  <c r="AP82" i="20" s="1"/>
  <c r="AQ82" i="20" s="1"/>
  <c r="AR82" i="20" s="1"/>
  <c r="AS82" i="20" s="1"/>
  <c r="AT82" i="20" s="1"/>
  <c r="AU82" i="20" s="1"/>
  <c r="AV82" i="20" s="1"/>
  <c r="AW82" i="20" s="1"/>
  <c r="AX82" i="20" s="1"/>
  <c r="AY82" i="20" s="1"/>
  <c r="AZ82" i="20" s="1"/>
  <c r="AG62" i="22"/>
  <c r="AH59" i="17"/>
  <c r="AI59" i="17" s="1"/>
  <c r="AJ59" i="17"/>
  <c r="AK59" i="17" s="1"/>
  <c r="AL59" i="17" s="1"/>
  <c r="AM59" i="17" s="1"/>
  <c r="AN59" i="17" s="1"/>
  <c r="AO59" i="17" s="1"/>
  <c r="AP59" i="17" s="1"/>
  <c r="AQ59" i="17" s="1"/>
  <c r="AR59" i="17" s="1"/>
  <c r="AS59" i="17" s="1"/>
  <c r="AT59" i="17" s="1"/>
  <c r="AU59" i="17" s="1"/>
  <c r="AV59" i="17" s="1"/>
  <c r="AW59" i="17" s="1"/>
  <c r="AX59" i="17" s="1"/>
  <c r="AY59" i="17" s="1"/>
  <c r="AZ59" i="17" s="1"/>
  <c r="BA59" i="17" s="1"/>
  <c r="AK75" i="22"/>
  <c r="AC2835" i="6"/>
  <c r="AC92" i="9"/>
  <c r="AC66" i="9"/>
  <c r="AC64" i="9"/>
  <c r="AC61" i="9"/>
  <c r="AD3005" i="6" s="1"/>
  <c r="AC58" i="9"/>
  <c r="AC16" i="9"/>
  <c r="AC8" i="9"/>
  <c r="AD2670" i="6" s="1"/>
  <c r="AC3" i="9"/>
  <c r="AC69" i="9"/>
  <c r="AD93" i="9"/>
  <c r="AC74" i="9"/>
  <c r="AC68" i="9"/>
  <c r="AD2837" i="6" s="1"/>
  <c r="AC65" i="9"/>
  <c r="AC63" i="9"/>
  <c r="AC57" i="9"/>
  <c r="AD3002" i="6" s="1"/>
  <c r="AC4" i="9"/>
  <c r="AJ116" i="22"/>
  <c r="AK116" i="22" s="1"/>
  <c r="AL116" i="22" s="1"/>
  <c r="AM116" i="22" s="1"/>
  <c r="AN116" i="22" s="1"/>
  <c r="AO116" i="22" s="1"/>
  <c r="AP116" i="22" s="1"/>
  <c r="AQ116" i="22" s="1"/>
  <c r="AR116" i="22" s="1"/>
  <c r="AS116" i="22" s="1"/>
  <c r="AT116" i="22" s="1"/>
  <c r="AU116" i="22" s="1"/>
  <c r="AV116" i="22" s="1"/>
  <c r="AW116" i="22" s="1"/>
  <c r="AX116" i="22" s="1"/>
  <c r="AY116" i="22" s="1"/>
  <c r="AZ116" i="22" s="1"/>
  <c r="P1562" i="6"/>
  <c r="AK33" i="14"/>
  <c r="AL31" i="14"/>
  <c r="AF172" i="14"/>
  <c r="AF81" i="13"/>
  <c r="AG81" i="13" s="1"/>
  <c r="AH81" i="13" s="1"/>
  <c r="AI81" i="13" s="1"/>
  <c r="AJ81" i="13" s="1"/>
  <c r="AK81" i="13" s="1"/>
  <c r="AL81" i="13" s="1"/>
  <c r="AM81" i="13" s="1"/>
  <c r="AN81" i="13" s="1"/>
  <c r="AO81" i="13" s="1"/>
  <c r="AP81" i="13" s="1"/>
  <c r="AQ81" i="13" s="1"/>
  <c r="AR81" i="13" s="1"/>
  <c r="AS81" i="13" s="1"/>
  <c r="AT81" i="13" s="1"/>
  <c r="AU81" i="13" s="1"/>
  <c r="AV81" i="13" s="1"/>
  <c r="AW81" i="13" s="1"/>
  <c r="AX81" i="13" s="1"/>
  <c r="AY81" i="13" s="1"/>
  <c r="AZ81" i="13" s="1"/>
  <c r="BA81" i="13" s="1"/>
  <c r="AF61" i="17"/>
  <c r="AG61" i="17" s="1"/>
  <c r="AH6" i="9"/>
  <c r="AV135" i="18"/>
  <c r="AW135" i="18" s="1"/>
  <c r="AC14" i="13"/>
  <c r="AD7" i="6"/>
  <c r="AD237" i="6"/>
  <c r="AE9" i="6"/>
  <c r="AD12" i="6"/>
  <c r="N17" i="20"/>
  <c r="P1782" i="6"/>
  <c r="AQ51" i="15"/>
  <c r="AR51" i="15" s="1"/>
  <c r="AS51" i="15" s="1"/>
  <c r="AT51" i="15" s="1"/>
  <c r="AU51" i="15" s="1"/>
  <c r="AV51" i="15" s="1"/>
  <c r="AW51" i="15" s="1"/>
  <c r="AX51" i="15" s="1"/>
  <c r="AY51" i="15" s="1"/>
  <c r="AZ51" i="15" s="1"/>
  <c r="BA51" i="15" s="1"/>
  <c r="AV101" i="14"/>
  <c r="AW101" i="14" s="1"/>
  <c r="AX101" i="14" s="1"/>
  <c r="AY101" i="14" s="1"/>
  <c r="AZ101" i="14" s="1"/>
  <c r="BA101" i="14" s="1"/>
  <c r="AH128" i="14"/>
  <c r="AK64" i="16"/>
  <c r="AL64" i="16" s="1"/>
  <c r="AM64" i="16" s="1"/>
  <c r="AN64" i="16" s="1"/>
  <c r="AO64" i="16" s="1"/>
  <c r="AP64" i="16" s="1"/>
  <c r="AQ64" i="16" s="1"/>
  <c r="AR64" i="16" s="1"/>
  <c r="AS64" i="16"/>
  <c r="AT64" i="16" s="1"/>
  <c r="AU64" i="16" s="1"/>
  <c r="AV64" i="16" s="1"/>
  <c r="AW64" i="16" s="1"/>
  <c r="AX64" i="16" s="1"/>
  <c r="AY64" i="16" s="1"/>
  <c r="AZ64" i="16" s="1"/>
  <c r="BA64" i="16" s="1"/>
  <c r="AI64" i="16"/>
  <c r="AJ64" i="16" s="1"/>
  <c r="AF199" i="14"/>
  <c r="AI54" i="19"/>
  <c r="AJ54" i="19" s="1"/>
  <c r="AK54" i="19"/>
  <c r="AL54" i="19" s="1"/>
  <c r="AM54" i="19" s="1"/>
  <c r="AN54" i="19" s="1"/>
  <c r="AO54" i="19" s="1"/>
  <c r="AP54" i="19" s="1"/>
  <c r="AQ54" i="19" s="1"/>
  <c r="AR54" i="19" s="1"/>
  <c r="AS54" i="19" s="1"/>
  <c r="AT54" i="19" s="1"/>
  <c r="AU54" i="19" s="1"/>
  <c r="AV54" i="19" s="1"/>
  <c r="AW54" i="19" s="1"/>
  <c r="AX54" i="19" s="1"/>
  <c r="AY54" i="19" s="1"/>
  <c r="AZ54" i="19" s="1"/>
  <c r="BA54" i="19" s="1"/>
  <c r="AN147" i="14"/>
  <c r="AO147" i="14" s="1"/>
  <c r="AP147" i="14" s="1"/>
  <c r="AQ147" i="14" s="1"/>
  <c r="AR147" i="14" s="1"/>
  <c r="AS147" i="14" s="1"/>
  <c r="AT147" i="14" s="1"/>
  <c r="AU147" i="14" s="1"/>
  <c r="AV147" i="14" s="1"/>
  <c r="AW147" i="14" s="1"/>
  <c r="AX147" i="14" s="1"/>
  <c r="AY147" i="14" s="1"/>
  <c r="AZ147" i="14" s="1"/>
  <c r="BA147" i="14" s="1"/>
  <c r="Y2778" i="6"/>
  <c r="AJ49" i="22"/>
  <c r="AK49" i="22" s="1"/>
  <c r="AL49" i="22" s="1"/>
  <c r="AM49" i="22" s="1"/>
  <c r="AN49" i="22" s="1"/>
  <c r="AO49" i="22" s="1"/>
  <c r="AP49" i="22" s="1"/>
  <c r="AQ49" i="22" s="1"/>
  <c r="AR49" i="22" s="1"/>
  <c r="AS49" i="22" s="1"/>
  <c r="AT49" i="22" s="1"/>
  <c r="AU49" i="22" s="1"/>
  <c r="AV49" i="22" s="1"/>
  <c r="AW49" i="22" s="1"/>
  <c r="AX49" i="22" s="1"/>
  <c r="AY49" i="22" s="1"/>
  <c r="AZ49" i="22" s="1"/>
  <c r="BA49" i="22" s="1"/>
  <c r="AL111" i="14"/>
  <c r="AM111" i="14" s="1"/>
  <c r="AN111" i="14" s="1"/>
  <c r="AO111" i="14" s="1"/>
  <c r="AP111" i="14" s="1"/>
  <c r="AQ111" i="14" s="1"/>
  <c r="AR111" i="14" s="1"/>
  <c r="AS111" i="14" s="1"/>
  <c r="AT111" i="14" s="1"/>
  <c r="AU111" i="14" s="1"/>
  <c r="AV111" i="14" s="1"/>
  <c r="AW111" i="14" s="1"/>
  <c r="AX111" i="14" s="1"/>
  <c r="AY111" i="14" s="1"/>
  <c r="AZ111" i="14" s="1"/>
  <c r="BA111" i="14" s="1"/>
  <c r="AZ41" i="18"/>
  <c r="BA41" i="18" s="1"/>
  <c r="AF136" i="14"/>
  <c r="AO56" i="15"/>
  <c r="AP56" i="15" s="1"/>
  <c r="AQ56" i="15" s="1"/>
  <c r="AR56" i="15" s="1"/>
  <c r="AS56" i="15" s="1"/>
  <c r="AT56" i="15" s="1"/>
  <c r="AU56" i="15" s="1"/>
  <c r="AV56" i="15" s="1"/>
  <c r="AW56" i="15" s="1"/>
  <c r="AX56" i="15" s="1"/>
  <c r="AY56" i="15" s="1"/>
  <c r="AZ56" i="15" s="1"/>
  <c r="BA56" i="15" s="1"/>
  <c r="AF56" i="15"/>
  <c r="AG56" i="15" s="1"/>
  <c r="AH56" i="15" s="1"/>
  <c r="AI56" i="15" s="1"/>
  <c r="AJ56" i="15" s="1"/>
  <c r="AK56" i="15" s="1"/>
  <c r="AL56" i="15" s="1"/>
  <c r="AM56" i="15" s="1"/>
  <c r="AN56" i="15" s="1"/>
  <c r="AJ123" i="22"/>
  <c r="AK123" i="22" s="1"/>
  <c r="AL123" i="22" s="1"/>
  <c r="AM123" i="22" s="1"/>
  <c r="AN123" i="22" s="1"/>
  <c r="AO123" i="22" s="1"/>
  <c r="AP123" i="22" s="1"/>
  <c r="AQ123" i="22" s="1"/>
  <c r="AR123" i="22" s="1"/>
  <c r="AS123" i="22" s="1"/>
  <c r="AT123" i="22" s="1"/>
  <c r="AU123" i="22" s="1"/>
  <c r="AV123" i="22" s="1"/>
  <c r="AW123" i="22" s="1"/>
  <c r="AX123" i="22" s="1"/>
  <c r="AY123" i="22" s="1"/>
  <c r="AZ123" i="22" s="1"/>
  <c r="AF70" i="14"/>
  <c r="AG70" i="14"/>
  <c r="AG64" i="20"/>
  <c r="AH64" i="20" s="1"/>
  <c r="AI64" i="20" s="1"/>
  <c r="AJ64" i="20" s="1"/>
  <c r="AK64" i="20" s="1"/>
  <c r="AL64" i="20" s="1"/>
  <c r="AM64" i="20" s="1"/>
  <c r="AN64" i="20" s="1"/>
  <c r="AO64" i="20" s="1"/>
  <c r="AP64" i="20" s="1"/>
  <c r="AQ64" i="20" s="1"/>
  <c r="AR64" i="20" s="1"/>
  <c r="AS64" i="20" s="1"/>
  <c r="AT64" i="20" s="1"/>
  <c r="AU64" i="20" s="1"/>
  <c r="AV64" i="20" s="1"/>
  <c r="AW64" i="20" s="1"/>
  <c r="AX64" i="20" s="1"/>
  <c r="AY64" i="20" s="1"/>
  <c r="AZ64" i="20" s="1"/>
  <c r="AF135" i="14"/>
  <c r="AG135" i="14" s="1"/>
  <c r="AH135" i="14" s="1"/>
  <c r="AI135" i="14"/>
  <c r="AJ135" i="14" s="1"/>
  <c r="AK135" i="14" s="1"/>
  <c r="AL135" i="14" s="1"/>
  <c r="AM135" i="14" s="1"/>
  <c r="AN135" i="14" s="1"/>
  <c r="AO135" i="14" s="1"/>
  <c r="AP135" i="14" s="1"/>
  <c r="AQ135" i="14" s="1"/>
  <c r="AR135" i="14" s="1"/>
  <c r="AS135" i="14" s="1"/>
  <c r="AT135" i="14" s="1"/>
  <c r="AU135" i="14" s="1"/>
  <c r="AV135" i="14" s="1"/>
  <c r="AW135" i="14" s="1"/>
  <c r="AX135" i="14" s="1"/>
  <c r="AY135" i="14" s="1"/>
  <c r="AZ135" i="14" s="1"/>
  <c r="BA135" i="14" s="1"/>
  <c r="AQ161" i="14"/>
  <c r="AR161" i="14" s="1"/>
  <c r="AS161" i="14" s="1"/>
  <c r="AT161" i="14" s="1"/>
  <c r="AI104" i="21"/>
  <c r="AJ104" i="21" s="1"/>
  <c r="AK104" i="21" s="1"/>
  <c r="AL104" i="21" s="1"/>
  <c r="AM104" i="21" s="1"/>
  <c r="AN104" i="21" s="1"/>
  <c r="AO104" i="21" s="1"/>
  <c r="AP104" i="21" s="1"/>
  <c r="AQ104" i="21" s="1"/>
  <c r="AR104" i="21" s="1"/>
  <c r="AS104" i="21" s="1"/>
  <c r="AT104" i="21" s="1"/>
  <c r="AU104" i="21" s="1"/>
  <c r="AV104" i="21" s="1"/>
  <c r="AW104" i="21" s="1"/>
  <c r="AX104" i="21" s="1"/>
  <c r="AY104" i="21" s="1"/>
  <c r="AZ104" i="21" s="1"/>
  <c r="AM30" i="14"/>
  <c r="AL32" i="14"/>
  <c r="M3" i="16"/>
  <c r="U1057" i="6"/>
  <c r="U1043" i="6" s="1"/>
  <c r="Q1057" i="6"/>
  <c r="AC1005" i="6"/>
  <c r="Y1005" i="6"/>
  <c r="U1005" i="6"/>
  <c r="Q1005" i="6"/>
  <c r="AD953" i="6"/>
  <c r="AD939" i="6" s="1" a="1"/>
  <c r="AD939" i="6" s="1"/>
  <c r="Z953" i="6"/>
  <c r="V953" i="6"/>
  <c r="R953" i="6"/>
  <c r="T1057" i="6"/>
  <c r="P1057" i="6"/>
  <c r="AB1005" i="6"/>
  <c r="X1005" i="6"/>
  <c r="T1005" i="6"/>
  <c r="P1005" i="6"/>
  <c r="S1057" i="6"/>
  <c r="AA1005" i="6"/>
  <c r="W1005" i="6"/>
  <c r="S1005" i="6"/>
  <c r="AB953" i="6"/>
  <c r="X953" i="6"/>
  <c r="T953" i="6"/>
  <c r="P953" i="6"/>
  <c r="R1057" i="6"/>
  <c r="R1005" i="6"/>
  <c r="AC953" i="6"/>
  <c r="U953" i="6"/>
  <c r="O899" i="6"/>
  <c r="O885" i="6" s="1"/>
  <c r="AD1005" i="6"/>
  <c r="AD991" i="6" s="1" a="1"/>
  <c r="AD991" i="6" s="1"/>
  <c r="AA953" i="6"/>
  <c r="S953" i="6"/>
  <c r="Z1005" i="6"/>
  <c r="Y953" i="6"/>
  <c r="Q953" i="6"/>
  <c r="V1005" i="6"/>
  <c r="W953" i="6"/>
  <c r="AK153" i="18"/>
  <c r="AL153" i="18" s="1"/>
  <c r="AM153" i="18" s="1"/>
  <c r="AN153" i="18" s="1"/>
  <c r="AO153" i="18" s="1"/>
  <c r="AP153" i="18" s="1"/>
  <c r="AQ153" i="18" s="1"/>
  <c r="AR153" i="18" s="1"/>
  <c r="AS153" i="18" s="1"/>
  <c r="AT153" i="18" s="1"/>
  <c r="AU153" i="18" s="1"/>
  <c r="AV153" i="18" s="1"/>
  <c r="AW153" i="18" s="1"/>
  <c r="AX153" i="18" s="1"/>
  <c r="AY153" i="18" s="1"/>
  <c r="AZ153" i="18" s="1"/>
  <c r="AJ107" i="14"/>
  <c r="AK107" i="14" s="1"/>
  <c r="AL107" i="14" s="1"/>
  <c r="AM107" i="14" s="1"/>
  <c r="AN107" i="14" s="1"/>
  <c r="AO107" i="14" s="1"/>
  <c r="AP107" i="14" s="1"/>
  <c r="AQ107" i="14" s="1"/>
  <c r="AR107" i="14" s="1"/>
  <c r="AS107" i="14" s="1"/>
  <c r="AT107" i="14" s="1"/>
  <c r="AU107" i="14" s="1"/>
  <c r="AV107" i="14" s="1"/>
  <c r="AW107" i="14" s="1"/>
  <c r="AX107" i="14" s="1"/>
  <c r="AY107" i="14" s="1"/>
  <c r="AZ107" i="14" s="1"/>
  <c r="BA107" i="14" s="1"/>
  <c r="O23" i="14"/>
  <c r="Q415" i="6"/>
  <c r="AE97" i="18"/>
  <c r="M2" i="23"/>
  <c r="AB2626" i="6"/>
  <c r="X2626" i="6"/>
  <c r="T2626" i="6"/>
  <c r="P2626" i="6"/>
  <c r="AA2574" i="6"/>
  <c r="W2574" i="6"/>
  <c r="S2574" i="6"/>
  <c r="AD2522" i="6"/>
  <c r="AD2508" i="6" s="1" a="1"/>
  <c r="AD2508" i="6" s="1"/>
  <c r="Z2522" i="6"/>
  <c r="V2522" i="6"/>
  <c r="R2522" i="6"/>
  <c r="AA2626" i="6"/>
  <c r="V2626" i="6"/>
  <c r="Q2626" i="6"/>
  <c r="AB2574" i="6"/>
  <c r="V2574" i="6"/>
  <c r="Q2574" i="6"/>
  <c r="AC2522" i="6"/>
  <c r="X2522" i="6"/>
  <c r="S2522" i="6"/>
  <c r="AE2626" i="6"/>
  <c r="AE2612" i="6" s="1"/>
  <c r="Z2626" i="6"/>
  <c r="U2626" i="6"/>
  <c r="Z2574" i="6"/>
  <c r="U2574" i="6"/>
  <c r="P2574" i="6"/>
  <c r="AB2522" i="6"/>
  <c r="W2522" i="6"/>
  <c r="Q2522" i="6"/>
  <c r="AD2626" i="6"/>
  <c r="Y2626" i="6"/>
  <c r="S2626" i="6"/>
  <c r="AD2574" i="6"/>
  <c r="AD2560" i="6" s="1" a="1"/>
  <c r="AD2560" i="6" s="1"/>
  <c r="Y2574" i="6"/>
  <c r="T2574" i="6"/>
  <c r="AA2522" i="6"/>
  <c r="U2522" i="6"/>
  <c r="P2522" i="6"/>
  <c r="W2626" i="6"/>
  <c r="X2574" i="6"/>
  <c r="Y2522" i="6"/>
  <c r="O2468" i="6"/>
  <c r="O2454" i="6" s="1"/>
  <c r="R2626" i="6"/>
  <c r="R2574" i="6"/>
  <c r="T2522" i="6"/>
  <c r="AC2626" i="6"/>
  <c r="AC2574" i="6"/>
  <c r="AY54" i="16"/>
  <c r="AZ54" i="16" s="1"/>
  <c r="BA54" i="16" s="1"/>
  <c r="AH77" i="20"/>
  <c r="AI77" i="20" s="1"/>
  <c r="AJ77" i="20" s="1"/>
  <c r="AK77" i="20" s="1"/>
  <c r="AL77" i="20" s="1"/>
  <c r="AM77" i="20" s="1"/>
  <c r="AN77" i="20" s="1"/>
  <c r="AO77" i="20" s="1"/>
  <c r="AP77" i="20" s="1"/>
  <c r="AQ77" i="20" s="1"/>
  <c r="AR77" i="20" s="1"/>
  <c r="AS77" i="20" s="1"/>
  <c r="AT77" i="20" s="1"/>
  <c r="AU77" i="20" s="1"/>
  <c r="AV77" i="20" s="1"/>
  <c r="AW77" i="20" s="1"/>
  <c r="AX77" i="20" s="1"/>
  <c r="AY77" i="20" s="1"/>
  <c r="AZ77" i="20" s="1"/>
  <c r="AO49" i="21"/>
  <c r="AP49" i="21" s="1"/>
  <c r="AQ49" i="21" s="1"/>
  <c r="AR49" i="21" s="1"/>
  <c r="AS49" i="21" s="1"/>
  <c r="AT49" i="21" s="1"/>
  <c r="AU49" i="21" s="1"/>
  <c r="AV49" i="21" s="1"/>
  <c r="AW49" i="21" s="1"/>
  <c r="AX49" i="21" s="1"/>
  <c r="AY49" i="21" s="1"/>
  <c r="AZ49" i="21" s="1"/>
  <c r="BA49" i="21" s="1"/>
  <c r="AK121" i="14"/>
  <c r="AL121" i="14" s="1"/>
  <c r="AM121" i="14" s="1"/>
  <c r="AN121" i="14" s="1"/>
  <c r="AO121" i="14" s="1"/>
  <c r="AP121" i="14" s="1"/>
  <c r="AQ121" i="14" s="1"/>
  <c r="AR121" i="14" s="1"/>
  <c r="AS121" i="14" s="1"/>
  <c r="AT121" i="14" s="1"/>
  <c r="AU121" i="14" s="1"/>
  <c r="AV121" i="14" s="1"/>
  <c r="AW121" i="14" s="1"/>
  <c r="AX121" i="14" s="1"/>
  <c r="AY121" i="14" s="1"/>
  <c r="AZ121" i="14" s="1"/>
  <c r="BA121" i="14" s="1"/>
  <c r="AS118" i="18"/>
  <c r="AT118" i="18" s="1"/>
  <c r="AU118" i="18" s="1"/>
  <c r="AV118" i="18" s="1"/>
  <c r="AW118" i="18" s="1"/>
  <c r="AX118" i="18" s="1"/>
  <c r="AY118" i="18" s="1"/>
  <c r="AZ118" i="18" s="1"/>
  <c r="AX105" i="18"/>
  <c r="AY105" i="18" s="1"/>
  <c r="AZ105" i="18" s="1"/>
  <c r="AJ72" i="20"/>
  <c r="AF79" i="20"/>
  <c r="AA20" i="9"/>
  <c r="AB20" i="9" s="1"/>
  <c r="AG71" i="19"/>
  <c r="AR52" i="13"/>
  <c r="AS52" i="13" s="1"/>
  <c r="AT52" i="13" s="1"/>
  <c r="AU52" i="13" s="1"/>
  <c r="AV52" i="13" s="1"/>
  <c r="AW52" i="13" s="1"/>
  <c r="AX52" i="13" s="1"/>
  <c r="AY52" i="13" s="1"/>
  <c r="AZ52" i="13" s="1"/>
  <c r="BA52" i="13" s="1"/>
  <c r="AJ52" i="13"/>
  <c r="AK52" i="13" s="1"/>
  <c r="AL52" i="13" s="1"/>
  <c r="AM52" i="13" s="1"/>
  <c r="AN52" i="13" s="1"/>
  <c r="AO52" i="13" s="1"/>
  <c r="AP52" i="13" s="1"/>
  <c r="AQ52" i="13" s="1"/>
  <c r="AB44" i="8"/>
  <c r="AC24" i="8"/>
  <c r="AJ2746" i="6"/>
  <c r="AF2746" i="6"/>
  <c r="AB2746" i="6"/>
  <c r="X2746" i="6"/>
  <c r="AI2694" i="6"/>
  <c r="AE2694" i="6"/>
  <c r="AA2694" i="6"/>
  <c r="W2694" i="6"/>
  <c r="W2674" i="6" s="1" a="1"/>
  <c r="W2674" i="6" s="1"/>
  <c r="AH2746" i="6"/>
  <c r="AC2746" i="6"/>
  <c r="W2746" i="6"/>
  <c r="W2726" i="6" s="1" a="1"/>
  <c r="W2726" i="6" s="1"/>
  <c r="AG2694" i="6"/>
  <c r="AG2746" i="6"/>
  <c r="AA2746" i="6"/>
  <c r="V2746" i="6"/>
  <c r="V2726" i="6" s="1" a="1"/>
  <c r="V2726" i="6" s="1"/>
  <c r="AF2694" i="6"/>
  <c r="Z2694" i="6"/>
  <c r="AE2746" i="6"/>
  <c r="Z2746" i="6"/>
  <c r="Y2746" i="6"/>
  <c r="AH2694" i="6"/>
  <c r="Y2694" i="6"/>
  <c r="AD2694" i="6"/>
  <c r="X2694" i="6"/>
  <c r="AI2746" i="6"/>
  <c r="AC2694" i="6"/>
  <c r="V2694" i="6"/>
  <c r="AD2746" i="6"/>
  <c r="AJ2694" i="6"/>
  <c r="AB2694" i="6"/>
  <c r="X251" i="6" a="1"/>
  <c r="X251" i="6" s="1"/>
  <c r="X409" i="6" s="1"/>
  <c r="AD1102" i="6"/>
  <c r="AE1104" i="6"/>
  <c r="AD1108" i="6"/>
  <c r="AI190" i="14"/>
  <c r="AJ190" i="14" s="1"/>
  <c r="AK190" i="14" s="1"/>
  <c r="AL190" i="14" s="1"/>
  <c r="AM190" i="14" s="1"/>
  <c r="AN190" i="14" s="1"/>
  <c r="AO190" i="14" s="1"/>
  <c r="AP190" i="14" s="1"/>
  <c r="AQ190" i="14" s="1"/>
  <c r="AR190" i="14" s="1"/>
  <c r="AS190" i="14" s="1"/>
  <c r="AT190" i="14"/>
  <c r="AU190" i="14" s="1"/>
  <c r="AV190" i="14" s="1"/>
  <c r="AW190" i="14" s="1"/>
  <c r="AX190" i="14" s="1"/>
  <c r="AY190" i="14" s="1"/>
  <c r="AZ190" i="14" s="1"/>
  <c r="BA190" i="14" s="1"/>
  <c r="AA43" i="8"/>
  <c r="AB643" i="6" s="1"/>
  <c r="AB645" i="6" s="1"/>
  <c r="AA42" i="8"/>
  <c r="AB644" i="6" s="1"/>
  <c r="AA41" i="8"/>
  <c r="AB642" i="6" s="1"/>
  <c r="AB641" i="6"/>
  <c r="AC33" i="5" s="1"/>
  <c r="AH69" i="15"/>
  <c r="AB660" i="6"/>
  <c r="W43" i="5"/>
  <c r="AN607" i="6"/>
  <c r="AJ607" i="6"/>
  <c r="AF607" i="6"/>
  <c r="AB607" i="6"/>
  <c r="AN555" i="6"/>
  <c r="AJ555" i="6"/>
  <c r="AF555" i="6"/>
  <c r="AB555" i="6"/>
  <c r="AN503" i="6"/>
  <c r="AJ503" i="6"/>
  <c r="AF503" i="6"/>
  <c r="AB503" i="6"/>
  <c r="AQ607" i="6"/>
  <c r="AM607" i="6"/>
  <c r="AI607" i="6"/>
  <c r="AE607" i="6"/>
  <c r="AM555" i="6"/>
  <c r="AI555" i="6"/>
  <c r="AE555" i="6"/>
  <c r="AM503" i="6"/>
  <c r="AI503" i="6"/>
  <c r="AE503" i="6"/>
  <c r="AA449" i="6"/>
  <c r="AC422" i="6"/>
  <c r="AO607" i="6"/>
  <c r="AK607" i="6"/>
  <c r="AC607" i="6"/>
  <c r="AO555" i="6"/>
  <c r="AG555" i="6"/>
  <c r="AO503" i="6"/>
  <c r="AG503" i="6"/>
  <c r="AP607" i="6"/>
  <c r="AL607" i="6"/>
  <c r="AH607" i="6"/>
  <c r="AD607" i="6"/>
  <c r="AP555" i="6"/>
  <c r="AL555" i="6"/>
  <c r="AH555" i="6"/>
  <c r="AD555" i="6"/>
  <c r="AP503" i="6"/>
  <c r="AL503" i="6"/>
  <c r="AH503" i="6"/>
  <c r="AD503" i="6"/>
  <c r="Z449" i="6"/>
  <c r="AG607" i="6"/>
  <c r="AK555" i="6"/>
  <c r="AC555" i="6"/>
  <c r="AK503" i="6"/>
  <c r="AC503" i="6"/>
  <c r="Y449" i="6"/>
  <c r="Y423" i="6" s="1"/>
  <c r="AG85" i="21"/>
  <c r="AH85" i="21" s="1"/>
  <c r="AI85" i="21" s="1"/>
  <c r="AJ85" i="21" s="1"/>
  <c r="AK85" i="21" s="1"/>
  <c r="AL85" i="21" s="1"/>
  <c r="AM85" i="21" s="1"/>
  <c r="AN85" i="21" s="1"/>
  <c r="AO85" i="21" s="1"/>
  <c r="AP85" i="21" s="1"/>
  <c r="AQ85" i="21" s="1"/>
  <c r="AR85" i="21" s="1"/>
  <c r="AS85" i="21" s="1"/>
  <c r="AT85" i="21" s="1"/>
  <c r="AU85" i="21" s="1"/>
  <c r="AV85" i="21" s="1"/>
  <c r="AW85" i="21" s="1"/>
  <c r="AX85" i="21" s="1"/>
  <c r="AY85" i="21" s="1"/>
  <c r="AZ85" i="21" s="1"/>
  <c r="AI125" i="18"/>
  <c r="AJ125" i="18" s="1"/>
  <c r="AK125" i="18" s="1"/>
  <c r="AL125" i="18" s="1"/>
  <c r="AM125" i="18" s="1"/>
  <c r="AN125" i="18" s="1"/>
  <c r="AO125" i="18" s="1"/>
  <c r="AP125" i="18" s="1"/>
  <c r="AQ125" i="18" s="1"/>
  <c r="AR125" i="18" s="1"/>
  <c r="AS125" i="18" s="1"/>
  <c r="AT125" i="18" s="1"/>
  <c r="AU125" i="18" s="1"/>
  <c r="AV125" i="18" s="1"/>
  <c r="AW125" i="18" s="1"/>
  <c r="AX125" i="18" s="1"/>
  <c r="AY125" i="18" s="1"/>
  <c r="AZ125" i="18" s="1"/>
  <c r="Y303" i="6" a="1"/>
  <c r="Y303" i="6" s="1"/>
  <c r="AF51" i="20"/>
  <c r="AG51" i="20" s="1"/>
  <c r="AH51" i="20" s="1"/>
  <c r="AI51" i="20" s="1"/>
  <c r="AJ51" i="20" s="1"/>
  <c r="AK51" i="20" s="1"/>
  <c r="AL51" i="20" s="1"/>
  <c r="AM51" i="20" s="1"/>
  <c r="AN51" i="20" s="1"/>
  <c r="AO51" i="20" s="1"/>
  <c r="AP51" i="20" s="1"/>
  <c r="AQ51" i="20" s="1"/>
  <c r="AR51" i="20" s="1"/>
  <c r="AS51" i="20" s="1"/>
  <c r="AT51" i="20" s="1"/>
  <c r="AU51" i="20" s="1"/>
  <c r="AV51" i="20" s="1"/>
  <c r="AW51" i="20" s="1"/>
  <c r="AX51" i="20" s="1"/>
  <c r="AY51" i="20" s="1"/>
  <c r="AZ51" i="20" s="1"/>
  <c r="BA51" i="20" s="1"/>
  <c r="AM87" i="18"/>
  <c r="AN87" i="18" s="1"/>
  <c r="AO87" i="18" s="1"/>
  <c r="AP87" i="18" s="1"/>
  <c r="AQ87" i="18" s="1"/>
  <c r="AR87" i="18" s="1"/>
  <c r="AS87" i="18" s="1"/>
  <c r="AT87" i="18" s="1"/>
  <c r="AU87" i="18" s="1"/>
  <c r="AV87" i="18" s="1"/>
  <c r="AW87" i="18" s="1"/>
  <c r="AX87" i="18" s="1"/>
  <c r="AY87" i="18" s="1"/>
  <c r="AZ87" i="18" s="1"/>
  <c r="N21" i="17"/>
  <c r="P1106" i="6"/>
  <c r="Q19" i="5" s="1"/>
  <c r="AK78" i="14"/>
  <c r="AL78" i="14" s="1"/>
  <c r="AM78" i="14" s="1"/>
  <c r="AN78" i="14" s="1"/>
  <c r="AO78" i="14" s="1"/>
  <c r="AP78" i="14" s="1"/>
  <c r="AQ78" i="14" s="1"/>
  <c r="AR78" i="14" s="1"/>
  <c r="AS78" i="14" s="1"/>
  <c r="AT78" i="14" s="1"/>
  <c r="AU78" i="14" s="1"/>
  <c r="AV78" i="14" s="1"/>
  <c r="AW78" i="14" s="1"/>
  <c r="AX78" i="14" s="1"/>
  <c r="AY78" i="14" s="1"/>
  <c r="AZ78" i="14" s="1"/>
  <c r="BA78" i="14" s="1"/>
  <c r="AH47" i="18"/>
  <c r="AI47" i="18" s="1"/>
  <c r="AJ47" i="18" s="1"/>
  <c r="AK47" i="18" s="1"/>
  <c r="AL47" i="18" s="1"/>
  <c r="AM47" i="18" s="1"/>
  <c r="AN47" i="18" s="1"/>
  <c r="AO47" i="18" s="1"/>
  <c r="AP47" i="18" s="1"/>
  <c r="AQ47" i="18" s="1"/>
  <c r="AR47" i="18" s="1"/>
  <c r="AS47" i="18" s="1"/>
  <c r="AT47" i="18" s="1"/>
  <c r="AU47" i="18" s="1"/>
  <c r="AV47" i="18" s="1"/>
  <c r="AW47" i="18" s="1"/>
  <c r="AX47" i="18" s="1"/>
  <c r="AY47" i="18" s="1"/>
  <c r="AZ47" i="18" s="1"/>
  <c r="BA47" i="18" s="1"/>
  <c r="AG47" i="15"/>
  <c r="AH47" i="15" s="1"/>
  <c r="AI47" i="15" s="1"/>
  <c r="AK188" i="14"/>
  <c r="AL188" i="14" s="1"/>
  <c r="AM188" i="14" s="1"/>
  <c r="AN188" i="14" s="1"/>
  <c r="AO188" i="14" s="1"/>
  <c r="AP188" i="14" s="1"/>
  <c r="AQ188" i="14" s="1"/>
  <c r="AR188" i="14" s="1"/>
  <c r="AS188" i="14" s="1"/>
  <c r="AT188" i="14" s="1"/>
  <c r="AU188" i="14" s="1"/>
  <c r="AV188" i="14" s="1"/>
  <c r="AW188" i="14" s="1"/>
  <c r="AX188" i="14" s="1"/>
  <c r="AY188" i="14" s="1"/>
  <c r="AZ188" i="14" s="1"/>
  <c r="BA188" i="14" s="1"/>
  <c r="AT71" i="13"/>
  <c r="AU71" i="13" s="1"/>
  <c r="AV71" i="13" s="1"/>
  <c r="AW71" i="13" s="1"/>
  <c r="AX71" i="13" s="1"/>
  <c r="AY71" i="13" s="1"/>
  <c r="AZ71" i="13" s="1"/>
  <c r="BA71" i="13" s="1"/>
  <c r="AE82" i="14"/>
  <c r="AP61" i="21"/>
  <c r="AQ61" i="21" s="1"/>
  <c r="AR61" i="21" s="1"/>
  <c r="AS61" i="21" s="1"/>
  <c r="AT61" i="21" s="1"/>
  <c r="AU61" i="21" s="1"/>
  <c r="AV61" i="21" s="1"/>
  <c r="AW61" i="21" s="1"/>
  <c r="AX61" i="21" s="1"/>
  <c r="AY61" i="21" s="1"/>
  <c r="AZ61" i="21" s="1"/>
  <c r="BA61" i="21" s="1"/>
  <c r="AF64" i="21"/>
  <c r="AG64" i="21" s="1"/>
  <c r="AH64" i="21" s="1"/>
  <c r="AI64" i="21" s="1"/>
  <c r="AJ64" i="21" s="1"/>
  <c r="AK64" i="21" s="1"/>
  <c r="AL64" i="21" s="1"/>
  <c r="AM64" i="21" s="1"/>
  <c r="AN64" i="21" s="1"/>
  <c r="AO64" i="21" s="1"/>
  <c r="AP64" i="21" s="1"/>
  <c r="AQ64" i="21" s="1"/>
  <c r="AR64" i="21" s="1"/>
  <c r="AS64" i="21" s="1"/>
  <c r="AT64" i="21" s="1"/>
  <c r="AU64" i="21" s="1"/>
  <c r="AV64" i="21" s="1"/>
  <c r="AW64" i="21" s="1"/>
  <c r="AX64" i="21" s="1"/>
  <c r="AY64" i="21" s="1"/>
  <c r="AZ64" i="21" s="1"/>
  <c r="AN49" i="23"/>
  <c r="AO49" i="23" s="1"/>
  <c r="AP49" i="23" s="1"/>
  <c r="AQ49" i="23" s="1"/>
  <c r="AR49" i="23" s="1"/>
  <c r="AS49" i="23" s="1"/>
  <c r="AT49" i="23" s="1"/>
  <c r="AU49" i="23" s="1"/>
  <c r="AV49" i="23" s="1"/>
  <c r="AW49" i="23" s="1"/>
  <c r="AX49" i="23" s="1"/>
  <c r="AY49" i="23" s="1"/>
  <c r="AZ49" i="23" s="1"/>
  <c r="AE56" i="17"/>
  <c r="AF56" i="17" s="1"/>
  <c r="AD44" i="17"/>
  <c r="AF69" i="14"/>
  <c r="AI151" i="14"/>
  <c r="AJ151" i="14" s="1"/>
  <c r="AK151" i="14" s="1"/>
  <c r="AL151" i="14" s="1"/>
  <c r="AM151" i="14" s="1"/>
  <c r="AN151" i="14" s="1"/>
  <c r="AO151" i="14" s="1"/>
  <c r="AP151" i="14" s="1"/>
  <c r="AQ151" i="14" s="1"/>
  <c r="AR151" i="14" s="1"/>
  <c r="AS151" i="14" s="1"/>
  <c r="AT151" i="14" s="1"/>
  <c r="AU151" i="14" s="1"/>
  <c r="AV151" i="14" s="1"/>
  <c r="AW151" i="14" s="1"/>
  <c r="AX151" i="14" s="1"/>
  <c r="AY151" i="14" s="1"/>
  <c r="AZ151" i="14" s="1"/>
  <c r="BA151" i="14" s="1"/>
  <c r="AJ143" i="18"/>
  <c r="K2449" i="6"/>
  <c r="K2450" i="6"/>
  <c r="K2453" i="6"/>
  <c r="L16" i="5"/>
  <c r="X46" i="5"/>
  <c r="X44" i="5"/>
  <c r="AH44" i="19"/>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AF44" i="19"/>
  <c r="AG44" i="19" s="1"/>
  <c r="AQ118" i="22"/>
  <c r="AR118" i="22" s="1"/>
  <c r="AS118" i="22" s="1"/>
  <c r="AT118" i="22" s="1"/>
  <c r="AU118" i="22" s="1"/>
  <c r="AV118" i="22" s="1"/>
  <c r="AW118" i="22" s="1"/>
  <c r="AX118" i="22" s="1"/>
  <c r="AY118" i="22" s="1"/>
  <c r="AZ118" i="22" s="1"/>
  <c r="AD2231" i="6"/>
  <c r="AE2226" i="6"/>
  <c r="AE2225" i="6" s="1"/>
  <c r="AD2230" i="6"/>
  <c r="AE13" i="5"/>
  <c r="AL55" i="17"/>
  <c r="AM55" i="17" s="1"/>
  <c r="AN55" i="17" s="1"/>
  <c r="AO55" i="17" s="1"/>
  <c r="AP55" i="17" s="1"/>
  <c r="AQ55" i="17" s="1"/>
  <c r="AR55" i="17" s="1"/>
  <c r="AS55" i="17" s="1"/>
  <c r="AT55" i="17" s="1"/>
  <c r="AU55" i="17" s="1"/>
  <c r="AV55" i="17" s="1"/>
  <c r="AW55" i="17" s="1"/>
  <c r="AX55" i="17" s="1"/>
  <c r="AY55" i="17" s="1"/>
  <c r="AZ55" i="17" s="1"/>
  <c r="BA55" i="17" s="1"/>
  <c r="AK55" i="17"/>
  <c r="AE66" i="14"/>
  <c r="AF51" i="19"/>
  <c r="AS59" i="16"/>
  <c r="AT59" i="16" s="1"/>
  <c r="AU59" i="16" s="1"/>
  <c r="AV59" i="16" s="1"/>
  <c r="AW59" i="16" s="1"/>
  <c r="AX59" i="16" s="1"/>
  <c r="AY59" i="16" s="1"/>
  <c r="AZ59" i="16" s="1"/>
  <c r="BA59" i="16" s="1"/>
  <c r="AH39" i="20"/>
  <c r="AL117" i="18"/>
  <c r="AM117" i="18" s="1"/>
  <c r="AN117" i="18" s="1"/>
  <c r="AO117" i="18" s="1"/>
  <c r="AP117" i="18" s="1"/>
  <c r="AQ117" i="18" s="1"/>
  <c r="AR117" i="18" s="1"/>
  <c r="AS117" i="18" s="1"/>
  <c r="AT117" i="18" s="1"/>
  <c r="AU117" i="18" s="1"/>
  <c r="AV117" i="18" s="1"/>
  <c r="AW117" i="18" s="1"/>
  <c r="AX117" i="18" s="1"/>
  <c r="AY117" i="18" s="1"/>
  <c r="AZ117" i="18" s="1"/>
  <c r="AP122" i="18"/>
  <c r="AQ122" i="18" s="1"/>
  <c r="AR122" i="18" s="1"/>
  <c r="AS122" i="18" s="1"/>
  <c r="AT122" i="18" s="1"/>
  <c r="AU122" i="18" s="1"/>
  <c r="AV122" i="18" s="1"/>
  <c r="AW122" i="18" s="1"/>
  <c r="AX122" i="18" s="1"/>
  <c r="AY122" i="18" s="1"/>
  <c r="AZ122" i="18" s="1"/>
  <c r="AO122" i="18"/>
  <c r="AD2507" i="6"/>
  <c r="AD2506" i="6"/>
  <c r="AO148" i="14"/>
  <c r="AV88" i="18"/>
  <c r="AW88" i="18" s="1"/>
  <c r="AX88" i="18" s="1"/>
  <c r="AY88" i="18" s="1"/>
  <c r="AZ88" i="18" s="1"/>
  <c r="AU93" i="14"/>
  <c r="AV93" i="14" s="1"/>
  <c r="AW93" i="14" s="1"/>
  <c r="AX93" i="14" s="1"/>
  <c r="AY93" i="14" s="1"/>
  <c r="AZ93" i="14" s="1"/>
  <c r="BA93" i="14" s="1"/>
  <c r="AG46" i="16"/>
  <c r="AI74" i="22"/>
  <c r="AJ74" i="22" s="1"/>
  <c r="AK74" i="22" s="1"/>
  <c r="AL74" i="22" s="1"/>
  <c r="AM74" i="22" s="1"/>
  <c r="AN74" i="22" s="1"/>
  <c r="AO74" i="22" s="1"/>
  <c r="AP74" i="22" s="1"/>
  <c r="AQ74" i="22" s="1"/>
  <c r="AR74" i="22" s="1"/>
  <c r="AS74" i="22" s="1"/>
  <c r="AT74" i="22" s="1"/>
  <c r="AU74" i="22" s="1"/>
  <c r="AV74" i="22" s="1"/>
  <c r="AW74" i="22" s="1"/>
  <c r="AX74" i="22" s="1"/>
  <c r="AY74" i="22" s="1"/>
  <c r="AZ74" i="22" s="1"/>
  <c r="AE1781" i="6"/>
  <c r="AD1779" i="6"/>
  <c r="AD1783" i="6"/>
  <c r="T45" i="5"/>
  <c r="T47" i="5"/>
  <c r="AF98" i="22"/>
  <c r="AG98" i="22" s="1"/>
  <c r="AH98" i="22" s="1"/>
  <c r="AI98" i="22" s="1"/>
  <c r="AI101" i="22"/>
  <c r="AJ101" i="22" s="1"/>
  <c r="AK101" i="22" s="1"/>
  <c r="AL101" i="22" s="1"/>
  <c r="AM101" i="22" s="1"/>
  <c r="AN101" i="22" s="1"/>
  <c r="AO101" i="22" s="1"/>
  <c r="AP101" i="22" s="1"/>
  <c r="AQ101" i="22" s="1"/>
  <c r="AR101" i="22" s="1"/>
  <c r="AS101" i="22" s="1"/>
  <c r="AT101" i="22" s="1"/>
  <c r="AU101" i="22" s="1"/>
  <c r="AV101" i="22" s="1"/>
  <c r="AW101" i="22" s="1"/>
  <c r="AX101" i="22" s="1"/>
  <c r="AY101" i="22" s="1"/>
  <c r="AZ101" i="22" s="1"/>
  <c r="AF102" i="13"/>
  <c r="AG102" i="13" s="1"/>
  <c r="AH102" i="13" s="1"/>
  <c r="AI102" i="13" s="1"/>
  <c r="AJ102" i="13" s="1"/>
  <c r="AK102" i="13" s="1"/>
  <c r="AL102" i="13" s="1"/>
  <c r="AM102" i="13" s="1"/>
  <c r="AN102" i="13" s="1"/>
  <c r="AO102" i="13" s="1"/>
  <c r="AP102" i="13" s="1"/>
  <c r="AQ102" i="13" s="1"/>
  <c r="AR102" i="13" s="1"/>
  <c r="AS102" i="13" s="1"/>
  <c r="AT102" i="13" s="1"/>
  <c r="AU102" i="13" s="1"/>
  <c r="AV102" i="13" s="1"/>
  <c r="AW102" i="13" s="1"/>
  <c r="AX102" i="13" s="1"/>
  <c r="AY102" i="13" s="1"/>
  <c r="AZ102" i="13" s="1"/>
  <c r="BA102" i="13" s="1"/>
  <c r="AH131" i="18"/>
  <c r="AI131" i="18" s="1"/>
  <c r="AJ131" i="18" s="1"/>
  <c r="AK131" i="18" s="1"/>
  <c r="AL131" i="18"/>
  <c r="AM131" i="18" s="1"/>
  <c r="AN131" i="18" s="1"/>
  <c r="AO131" i="18" s="1"/>
  <c r="AP131" i="18" s="1"/>
  <c r="AQ131" i="18" s="1"/>
  <c r="AR131" i="18" s="1"/>
  <c r="AS131" i="18" s="1"/>
  <c r="AT131" i="18" s="1"/>
  <c r="AU131" i="18" s="1"/>
  <c r="AV131" i="18" s="1"/>
  <c r="AW131" i="18" s="1"/>
  <c r="AX131" i="18" s="1"/>
  <c r="AY131" i="18" s="1"/>
  <c r="AZ131" i="18" s="1"/>
  <c r="N39" i="23"/>
  <c r="O2451" i="6" s="1"/>
  <c r="N32" i="22"/>
  <c r="O2230" i="6" s="1"/>
  <c r="N32" i="21"/>
  <c r="O2009" i="6" s="1"/>
  <c r="N32" i="20"/>
  <c r="O1784" i="6" s="1"/>
  <c r="N32" i="19"/>
  <c r="O1559" i="6" s="1"/>
  <c r="N37" i="17"/>
  <c r="O1109" i="6" s="1"/>
  <c r="N32" i="18"/>
  <c r="O1334" i="6" s="1"/>
  <c r="N42" i="16"/>
  <c r="O882" i="6" s="1"/>
  <c r="N34" i="15"/>
  <c r="O657" i="6" s="1"/>
  <c r="N49" i="14"/>
  <c r="O420" i="6" s="1"/>
  <c r="N41" i="13"/>
  <c r="O13" i="6" s="1"/>
  <c r="M7" i="7"/>
  <c r="AO98" i="21"/>
  <c r="AP98" i="21" s="1"/>
  <c r="AQ98" i="21" s="1"/>
  <c r="AR98" i="21" s="1"/>
  <c r="AS98" i="21" s="1"/>
  <c r="AT98" i="21" s="1"/>
  <c r="AU98" i="21" s="1"/>
  <c r="AV98" i="21" s="1"/>
  <c r="AW98" i="21" s="1"/>
  <c r="AX98" i="21" s="1"/>
  <c r="AY98" i="21" s="1"/>
  <c r="AZ98" i="21" s="1"/>
  <c r="AP99" i="18"/>
  <c r="AQ99" i="18" s="1"/>
  <c r="AR99" i="18" s="1"/>
  <c r="AS99" i="18" s="1"/>
  <c r="AT99" i="18" s="1"/>
  <c r="AU99" i="18" s="1"/>
  <c r="AV99" i="18" s="1"/>
  <c r="AW99" i="18" s="1"/>
  <c r="AX99" i="18" s="1"/>
  <c r="AY99" i="18" s="1"/>
  <c r="AZ99" i="18" s="1"/>
  <c r="AK99" i="18"/>
  <c r="AL99" i="18" s="1"/>
  <c r="AM99" i="18" s="1"/>
  <c r="AN99" i="18" s="1"/>
  <c r="AO99" i="18" s="1"/>
  <c r="AG99" i="18"/>
  <c r="AH99" i="18" s="1"/>
  <c r="AI99" i="18" s="1"/>
  <c r="AJ99" i="18" s="1"/>
  <c r="AP104" i="22"/>
  <c r="AQ104" i="22" s="1"/>
  <c r="AR104" i="22" s="1"/>
  <c r="AS104" i="22" s="1"/>
  <c r="AT104" i="22" s="1"/>
  <c r="AU104" i="22" s="1"/>
  <c r="AV104" i="22" s="1"/>
  <c r="AW104" i="22" s="1"/>
  <c r="AX104" i="22" s="1"/>
  <c r="AY104" i="22" s="1"/>
  <c r="AZ104" i="22" s="1"/>
  <c r="AG120" i="22"/>
  <c r="AF180" i="14"/>
  <c r="AG180" i="14" s="1"/>
  <c r="AH180" i="14" s="1"/>
  <c r="AI180" i="14" s="1"/>
  <c r="AJ180" i="14" s="1"/>
  <c r="AK180" i="14" s="1"/>
  <c r="AL180" i="14" s="1"/>
  <c r="AM180" i="14" s="1"/>
  <c r="AN180" i="14" s="1"/>
  <c r="AO180" i="14" s="1"/>
  <c r="AP180" i="14" s="1"/>
  <c r="AQ180" i="14" s="1"/>
  <c r="AR180" i="14" s="1"/>
  <c r="AS180" i="14" s="1"/>
  <c r="AT180" i="14" s="1"/>
  <c r="AU180" i="14" s="1"/>
  <c r="AV180" i="14" s="1"/>
  <c r="AW180" i="14" s="1"/>
  <c r="AX180" i="14" s="1"/>
  <c r="AY180" i="14" s="1"/>
  <c r="AZ180" i="14" s="1"/>
  <c r="BA180" i="14" s="1"/>
  <c r="AH41" i="21"/>
  <c r="AI41" i="21" s="1"/>
  <c r="AJ41" i="21" s="1"/>
  <c r="AK41" i="21" s="1"/>
  <c r="AL41" i="21" s="1"/>
  <c r="AM41" i="21" s="1"/>
  <c r="AN41" i="21" s="1"/>
  <c r="AO41" i="21" s="1"/>
  <c r="AP41" i="21" s="1"/>
  <c r="AQ41" i="21" s="1"/>
  <c r="AR41" i="21" s="1"/>
  <c r="AS41" i="21" s="1"/>
  <c r="AT41" i="21" s="1"/>
  <c r="AU41" i="21" s="1"/>
  <c r="AV41" i="21" s="1"/>
  <c r="AW41" i="21" s="1"/>
  <c r="AX41" i="21" s="1"/>
  <c r="AY41" i="21" s="1"/>
  <c r="AZ41" i="21" s="1"/>
  <c r="BA41" i="21" s="1"/>
  <c r="AE17" i="22"/>
  <c r="AE2228" i="6"/>
  <c r="AI76" i="18"/>
  <c r="AF76" i="18"/>
  <c r="AG76" i="18" s="1"/>
  <c r="AH76" i="18" s="1"/>
  <c r="AJ76" i="18"/>
  <c r="AH55" i="19"/>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AP90" i="14"/>
  <c r="AQ90" i="14" s="1"/>
  <c r="AR90" i="14" s="1"/>
  <c r="AS90" i="14" s="1"/>
  <c r="AT90" i="14" s="1"/>
  <c r="AU90" i="14" s="1"/>
  <c r="AV90" i="14" s="1"/>
  <c r="AW90" i="14" s="1"/>
  <c r="AX90" i="14" s="1"/>
  <c r="AY90" i="14" s="1"/>
  <c r="AZ90" i="14" s="1"/>
  <c r="BA90" i="14" s="1"/>
  <c r="AL90" i="14"/>
  <c r="AM90" i="14" s="1"/>
  <c r="AN90" i="14" s="1"/>
  <c r="AO90" i="14" s="1"/>
  <c r="AH44" i="21"/>
  <c r="N38" i="23"/>
  <c r="N31" i="22"/>
  <c r="N31" i="20"/>
  <c r="N31" i="19"/>
  <c r="N31" i="18"/>
  <c r="N31" i="21"/>
  <c r="N41" i="16"/>
  <c r="N33" i="15"/>
  <c r="N48" i="14"/>
  <c r="N36" i="17"/>
  <c r="N40" i="13"/>
  <c r="M6" i="7"/>
  <c r="AF46" i="16"/>
  <c r="AI204" i="14"/>
  <c r="AE123" i="18"/>
  <c r="AF123" i="18" s="1"/>
  <c r="AG123" i="18" s="1"/>
  <c r="AH123" i="18" s="1"/>
  <c r="AI123" i="18" s="1"/>
  <c r="AJ123" i="18"/>
  <c r="AK123" i="18" s="1"/>
  <c r="AL123" i="18" s="1"/>
  <c r="AM123" i="18" s="1"/>
  <c r="AN123" i="18" s="1"/>
  <c r="AO123" i="18" s="1"/>
  <c r="AP123" i="18" s="1"/>
  <c r="AQ123" i="18" s="1"/>
  <c r="AR123" i="18" s="1"/>
  <c r="AS123" i="18" s="1"/>
  <c r="AT123" i="18" s="1"/>
  <c r="AU123" i="18" s="1"/>
  <c r="AV123" i="18" s="1"/>
  <c r="AW123" i="18" s="1"/>
  <c r="AX123" i="18" s="1"/>
  <c r="AY123" i="18" s="1"/>
  <c r="AZ123" i="18" s="1"/>
  <c r="AH94" i="18"/>
  <c r="AH46" i="17"/>
  <c r="AI46" i="17" s="1"/>
  <c r="AI150" i="18"/>
  <c r="AJ150" i="18" s="1"/>
  <c r="AK150" i="18" s="1"/>
  <c r="AL150" i="18" s="1"/>
  <c r="AM150" i="18" s="1"/>
  <c r="AN150" i="18" s="1"/>
  <c r="AO150" i="18" s="1"/>
  <c r="AP150" i="18" s="1"/>
  <c r="AQ150" i="18" s="1"/>
  <c r="AR150" i="18" s="1"/>
  <c r="AS150" i="18" s="1"/>
  <c r="AT150" i="18" s="1"/>
  <c r="AU150" i="18" s="1"/>
  <c r="AV150" i="18" s="1"/>
  <c r="AW150" i="18" s="1"/>
  <c r="AX150" i="18" s="1"/>
  <c r="AY150" i="18" s="1"/>
  <c r="AZ150" i="18" s="1"/>
  <c r="AX52" i="19"/>
  <c r="AY52" i="19" s="1"/>
  <c r="AZ52" i="19" s="1"/>
  <c r="BA52" i="19" s="1"/>
  <c r="AF55" i="15"/>
  <c r="AG55" i="15" s="1"/>
  <c r="AH55" i="15" s="1"/>
  <c r="AI55" i="15" s="1"/>
  <c r="AJ55" i="15" s="1"/>
  <c r="AK55" i="15" s="1"/>
  <c r="AL55" i="15" s="1"/>
  <c r="AM55" i="15" s="1"/>
  <c r="AN55" i="15" s="1"/>
  <c r="AO55" i="15" s="1"/>
  <c r="AP55" i="15" s="1"/>
  <c r="AQ55" i="15" s="1"/>
  <c r="AR55" i="15" s="1"/>
  <c r="AS55" i="15" s="1"/>
  <c r="AT55" i="15" s="1"/>
  <c r="AU55" i="15" s="1"/>
  <c r="AV55" i="15" s="1"/>
  <c r="AW55" i="15" s="1"/>
  <c r="AX55" i="15" s="1"/>
  <c r="AY55" i="15" s="1"/>
  <c r="AZ55" i="15" s="1"/>
  <c r="BA55" i="15" s="1"/>
  <c r="AG51" i="19"/>
  <c r="AH51" i="19" s="1"/>
  <c r="AI51" i="19" s="1"/>
  <c r="AJ51" i="19" s="1"/>
  <c r="AF144" i="14"/>
  <c r="AF52" i="15"/>
  <c r="Z23" i="9"/>
  <c r="AI122" i="22"/>
  <c r="AH76" i="21"/>
  <c r="AI76" i="21" s="1"/>
  <c r="AJ76" i="21" s="1"/>
  <c r="AK76" i="21" s="1"/>
  <c r="AL76" i="21" s="1"/>
  <c r="AM76" i="21" s="1"/>
  <c r="AN76" i="21" s="1"/>
  <c r="AO76" i="21" s="1"/>
  <c r="AP76" i="21" s="1"/>
  <c r="AQ76" i="21" s="1"/>
  <c r="AR76" i="21" s="1"/>
  <c r="AS76" i="21" s="1"/>
  <c r="AT76" i="21" s="1"/>
  <c r="AU76" i="21" s="1"/>
  <c r="AV76" i="21" s="1"/>
  <c r="AW76" i="21" s="1"/>
  <c r="AX76" i="21" s="1"/>
  <c r="AY76" i="21" s="1"/>
  <c r="AZ76" i="21" s="1"/>
  <c r="V1165" i="6"/>
  <c r="V1164" i="6"/>
  <c r="N2" i="17"/>
  <c r="AK1290" i="6"/>
  <c r="AG1290" i="6"/>
  <c r="AC1290" i="6"/>
  <c r="Y1290" i="6"/>
  <c r="AJ1238" i="6"/>
  <c r="AF1238" i="6"/>
  <c r="AB1238" i="6"/>
  <c r="X1238" i="6"/>
  <c r="AG1186" i="6"/>
  <c r="AC1186" i="6"/>
  <c r="Y1186" i="6"/>
  <c r="AJ1290" i="6"/>
  <c r="AF1290" i="6"/>
  <c r="AB1290" i="6"/>
  <c r="X1290" i="6"/>
  <c r="AI1238" i="6"/>
  <c r="AE1238" i="6"/>
  <c r="AA1238" i="6"/>
  <c r="W1238" i="6"/>
  <c r="AJ1186" i="6"/>
  <c r="AF1186" i="6"/>
  <c r="AB1186" i="6"/>
  <c r="X1186" i="6"/>
  <c r="P1129" i="6"/>
  <c r="P1112" i="6" s="1"/>
  <c r="AI1290" i="6"/>
  <c r="AE1290" i="6"/>
  <c r="AA1290" i="6"/>
  <c r="W1290" i="6"/>
  <c r="AH1238" i="6"/>
  <c r="AD1238" i="6"/>
  <c r="Z1238" i="6"/>
  <c r="V1238" i="6"/>
  <c r="AI1186" i="6"/>
  <c r="AE1186" i="6"/>
  <c r="AA1186" i="6"/>
  <c r="W1186" i="6"/>
  <c r="P1132" i="6"/>
  <c r="AH1290" i="6"/>
  <c r="AD1290" i="6"/>
  <c r="Z1290" i="6"/>
  <c r="V1290" i="6"/>
  <c r="AG1238" i="6"/>
  <c r="AC1238" i="6"/>
  <c r="Y1238" i="6"/>
  <c r="AH1186" i="6"/>
  <c r="AD1186" i="6"/>
  <c r="Z1186" i="6"/>
  <c r="V1186" i="6"/>
  <c r="AE36" i="20"/>
  <c r="AF72" i="22"/>
  <c r="AG72" i="22" s="1"/>
  <c r="AH72" i="22" s="1"/>
  <c r="AI72" i="22" s="1"/>
  <c r="AJ72" i="22" s="1"/>
  <c r="AK72" i="22" s="1"/>
  <c r="AL72" i="22" s="1"/>
  <c r="AM72" i="22" s="1"/>
  <c r="AN72" i="22" s="1"/>
  <c r="AO72" i="22" s="1"/>
  <c r="AP72" i="22" s="1"/>
  <c r="AQ72" i="22" s="1"/>
  <c r="AR72" i="22" s="1"/>
  <c r="AS72" i="22" s="1"/>
  <c r="AT72" i="22" s="1"/>
  <c r="AU72" i="22" s="1"/>
  <c r="AV72" i="22" s="1"/>
  <c r="AW72" i="22" s="1"/>
  <c r="AX72" i="22" s="1"/>
  <c r="AY72" i="22" s="1"/>
  <c r="AZ72" i="22" s="1"/>
  <c r="N2" i="18"/>
  <c r="AH1512" i="6"/>
  <c r="AD1512" i="6"/>
  <c r="Z1512" i="6"/>
  <c r="V1512" i="6"/>
  <c r="AG1460" i="6"/>
  <c r="AC1460" i="6"/>
  <c r="Y1460" i="6"/>
  <c r="U1460" i="6"/>
  <c r="AF1408" i="6"/>
  <c r="AB1408" i="6"/>
  <c r="X1408" i="6"/>
  <c r="T1408" i="6"/>
  <c r="P1353" i="6"/>
  <c r="AG1512" i="6"/>
  <c r="AC1512" i="6"/>
  <c r="Y1512" i="6"/>
  <c r="U1512" i="6"/>
  <c r="AF1460" i="6"/>
  <c r="AB1460" i="6"/>
  <c r="X1460" i="6"/>
  <c r="T1460" i="6"/>
  <c r="AE1408" i="6"/>
  <c r="AA1408" i="6"/>
  <c r="W1408" i="6"/>
  <c r="S1408" i="6"/>
  <c r="AF1512" i="6"/>
  <c r="AB1512" i="6"/>
  <c r="X1512" i="6"/>
  <c r="T1512" i="6"/>
  <c r="AE1460" i="6"/>
  <c r="AA1460" i="6"/>
  <c r="W1460" i="6"/>
  <c r="S1460" i="6"/>
  <c r="AD1408" i="6"/>
  <c r="Z1408" i="6"/>
  <c r="V1408" i="6"/>
  <c r="P1354" i="6"/>
  <c r="P1352" i="6"/>
  <c r="P1337" i="6" s="1"/>
  <c r="AE1512" i="6"/>
  <c r="AA1512" i="6"/>
  <c r="W1512" i="6"/>
  <c r="S1512" i="6"/>
  <c r="AD1460" i="6"/>
  <c r="Z1460" i="6"/>
  <c r="V1460" i="6"/>
  <c r="AG1408" i="6"/>
  <c r="AC1408" i="6"/>
  <c r="Y1408" i="6"/>
  <c r="U1408" i="6"/>
  <c r="AO47" i="19"/>
  <c r="AP47" i="19" s="1"/>
  <c r="AQ47" i="19" s="1"/>
  <c r="AR47" i="19" s="1"/>
  <c r="AS47" i="19" s="1"/>
  <c r="AT47" i="19" s="1"/>
  <c r="AU47" i="19" s="1"/>
  <c r="AV47" i="19" s="1"/>
  <c r="AW47" i="19" s="1"/>
  <c r="AX47" i="19" s="1"/>
  <c r="AY47" i="19" s="1"/>
  <c r="AZ47" i="19" s="1"/>
  <c r="BA47" i="19" s="1"/>
  <c r="AG66" i="20"/>
  <c r="AH66" i="20" s="1"/>
  <c r="AI66" i="20" s="1"/>
  <c r="AJ66" i="20" s="1"/>
  <c r="AK66" i="20" s="1"/>
  <c r="AL66" i="20" s="1"/>
  <c r="AM66" i="20" s="1"/>
  <c r="AN66" i="20" s="1"/>
  <c r="AO66" i="20" s="1"/>
  <c r="AP66" i="20" s="1"/>
  <c r="AQ66" i="20" s="1"/>
  <c r="AR66" i="20" s="1"/>
  <c r="AS66" i="20" s="1"/>
  <c r="AT66" i="20" s="1"/>
  <c r="AU66" i="20" s="1"/>
  <c r="AV66" i="20" s="1"/>
  <c r="AW66" i="20" s="1"/>
  <c r="AX66" i="20" s="1"/>
  <c r="AY66" i="20" s="1"/>
  <c r="AZ66" i="20" s="1"/>
  <c r="AM38" i="20"/>
  <c r="AF408" i="6"/>
  <c r="AF247" i="6"/>
  <c r="AF244" i="6"/>
  <c r="AG28" i="5" s="1"/>
  <c r="AF245" i="6"/>
  <c r="AF67" i="12"/>
  <c r="AO48" i="17"/>
  <c r="AP48" i="17" s="1"/>
  <c r="AQ48" i="17" s="1"/>
  <c r="AR48" i="17" s="1"/>
  <c r="AS48" i="17" s="1"/>
  <c r="AT48" i="17" s="1"/>
  <c r="AU48" i="17" s="1"/>
  <c r="AV48" i="17" s="1"/>
  <c r="AW48" i="17" s="1"/>
  <c r="AX48" i="17" s="1"/>
  <c r="AY48" i="17" s="1"/>
  <c r="AZ48" i="17" s="1"/>
  <c r="BA48" i="17" s="1"/>
  <c r="AM113" i="14"/>
  <c r="AN113" i="14" s="1"/>
  <c r="AO113" i="14" s="1"/>
  <c r="AP113" i="14" s="1"/>
  <c r="AQ113" i="14" s="1"/>
  <c r="AR113" i="14" s="1"/>
  <c r="AS113" i="14" s="1"/>
  <c r="AT113" i="14" s="1"/>
  <c r="AU113" i="14" s="1"/>
  <c r="AV113" i="14" s="1"/>
  <c r="AW113" i="14" s="1"/>
  <c r="AX113" i="14" s="1"/>
  <c r="AY113" i="14" s="1"/>
  <c r="AZ113" i="14" s="1"/>
  <c r="BA113" i="14" s="1"/>
  <c r="AU60" i="18"/>
  <c r="AV60" i="18" s="1"/>
  <c r="AW60" i="18" s="1"/>
  <c r="AX60" i="18" s="1"/>
  <c r="AY60" i="18" s="1"/>
  <c r="AZ60" i="18" s="1"/>
  <c r="BA60" i="18" s="1"/>
  <c r="AL47" i="23"/>
  <c r="AM47" i="23" s="1"/>
  <c r="AN47" i="23" s="1"/>
  <c r="AO47" i="23" s="1"/>
  <c r="AP47" i="23" s="1"/>
  <c r="AQ47" i="23" s="1"/>
  <c r="AR47" i="23" s="1"/>
  <c r="AS47" i="23" s="1"/>
  <c r="AT47" i="23" s="1"/>
  <c r="AU47" i="23" s="1"/>
  <c r="AV47" i="23" s="1"/>
  <c r="AW47" i="23" s="1"/>
  <c r="AX47" i="23" s="1"/>
  <c r="AY47" i="23" s="1"/>
  <c r="AZ47" i="23" s="1"/>
  <c r="BA109" i="14"/>
  <c r="N24" i="17"/>
  <c r="P1107" i="6"/>
  <c r="Q18" i="5" s="1"/>
  <c r="AY84" i="22"/>
  <c r="AZ84" i="22" s="1"/>
  <c r="AH47" i="22"/>
  <c r="AI47" i="22" s="1"/>
  <c r="AJ47" i="22" s="1"/>
  <c r="AK47" i="22" s="1"/>
  <c r="AL47" i="22" s="1"/>
  <c r="AM47" i="22" s="1"/>
  <c r="AN47" i="22" s="1"/>
  <c r="AO47" i="22" s="1"/>
  <c r="AP47" i="22" s="1"/>
  <c r="AQ47" i="22" s="1"/>
  <c r="AR47" i="22" s="1"/>
  <c r="AK72" i="21"/>
  <c r="AL72" i="21" s="1"/>
  <c r="AM72" i="21" s="1"/>
  <c r="AN72" i="21" s="1"/>
  <c r="AO72" i="21" s="1"/>
  <c r="AP72" i="21" s="1"/>
  <c r="AQ72" i="21" s="1"/>
  <c r="AR72" i="21" s="1"/>
  <c r="AS72" i="21" s="1"/>
  <c r="AT72" i="21" s="1"/>
  <c r="AU72" i="21" s="1"/>
  <c r="AV72" i="21" s="1"/>
  <c r="AW72" i="21" s="1"/>
  <c r="AX72" i="21" s="1"/>
  <c r="AY72" i="21" s="1"/>
  <c r="AZ72" i="21" s="1"/>
  <c r="AG198" i="14"/>
  <c r="AJ89" i="21"/>
  <c r="AK89" i="21" s="1"/>
  <c r="AL89" i="21" s="1"/>
  <c r="AM89" i="21" s="1"/>
  <c r="AN89" i="21" s="1"/>
  <c r="AO89" i="21" s="1"/>
  <c r="AP89" i="21" s="1"/>
  <c r="AQ89" i="21"/>
  <c r="AR89" i="21" s="1"/>
  <c r="AS89" i="21" s="1"/>
  <c r="AT89" i="21" s="1"/>
  <c r="AU89" i="21" s="1"/>
  <c r="AV89" i="21" s="1"/>
  <c r="AW89" i="21" s="1"/>
  <c r="AX89" i="21" s="1"/>
  <c r="AY89" i="21" s="1"/>
  <c r="AZ89" i="21" s="1"/>
  <c r="AF97" i="21"/>
  <c r="AG97" i="21" s="1"/>
  <c r="AH97" i="21" s="1"/>
  <c r="AI97" i="21" s="1"/>
  <c r="AJ97" i="21" s="1"/>
  <c r="AK97" i="21" s="1"/>
  <c r="AL97" i="21" s="1"/>
  <c r="AM97" i="21" s="1"/>
  <c r="AN97" i="21" s="1"/>
  <c r="AO97" i="21" s="1"/>
  <c r="AP97" i="21" s="1"/>
  <c r="AQ97" i="21" s="1"/>
  <c r="AR97" i="21" s="1"/>
  <c r="AS97" i="21" s="1"/>
  <c r="AT97" i="21" s="1"/>
  <c r="AU97" i="21" s="1"/>
  <c r="AV97" i="21" s="1"/>
  <c r="AW97" i="21" s="1"/>
  <c r="AX97" i="21" s="1"/>
  <c r="AY97" i="21" s="1"/>
  <c r="AZ97" i="21" s="1"/>
  <c r="Z2778" i="6"/>
  <c r="AE164" i="14"/>
  <c r="AF164" i="14" s="1"/>
  <c r="AG164" i="14" s="1"/>
  <c r="AH164" i="14" s="1"/>
  <c r="AI164" i="14" s="1"/>
  <c r="AJ164" i="14" s="1"/>
  <c r="AK164" i="14" s="1"/>
  <c r="AL164" i="14" s="1"/>
  <c r="AM164" i="14" s="1"/>
  <c r="AN164" i="14" s="1"/>
  <c r="AO164" i="14" s="1"/>
  <c r="AP164" i="14" s="1"/>
  <c r="AQ164" i="14" s="1"/>
  <c r="AR164" i="14" s="1"/>
  <c r="AS164" i="14" s="1"/>
  <c r="AT164" i="14" s="1"/>
  <c r="AU164" i="14" s="1"/>
  <c r="AV164" i="14" s="1"/>
  <c r="AW164" i="14" s="1"/>
  <c r="AX164" i="14" s="1"/>
  <c r="AY164" i="14" s="1"/>
  <c r="AZ164" i="14" s="1"/>
  <c r="BA164" i="14" s="1"/>
  <c r="AF56" i="20"/>
  <c r="AG56" i="20" s="1"/>
  <c r="AH56" i="20" s="1"/>
  <c r="AI56" i="20" s="1"/>
  <c r="AJ56" i="20" s="1"/>
  <c r="AK56" i="20" s="1"/>
  <c r="AL56" i="20" s="1"/>
  <c r="AM56" i="20" s="1"/>
  <c r="AN56" i="20" s="1"/>
  <c r="AO56" i="20" s="1"/>
  <c r="AP56" i="20" s="1"/>
  <c r="AQ56" i="20" s="1"/>
  <c r="AR56" i="20" s="1"/>
  <c r="AS56" i="20" s="1"/>
  <c r="AT56" i="20" s="1"/>
  <c r="AU56" i="20" s="1"/>
  <c r="AV56" i="20" s="1"/>
  <c r="AW56" i="20" s="1"/>
  <c r="AX56" i="20" s="1"/>
  <c r="AY56" i="20" s="1"/>
  <c r="AZ56" i="20" s="1"/>
  <c r="BA56" i="20" s="1"/>
  <c r="AI93" i="21"/>
  <c r="AJ93" i="21" s="1"/>
  <c r="AK93" i="21" s="1"/>
  <c r="AL93" i="21" s="1"/>
  <c r="AM93" i="21" s="1"/>
  <c r="AN93" i="21" s="1"/>
  <c r="AO93" i="21" s="1"/>
  <c r="AP93" i="21" s="1"/>
  <c r="AQ93" i="21"/>
  <c r="AR93" i="21" s="1"/>
  <c r="AS93" i="21" s="1"/>
  <c r="AT93" i="21" s="1"/>
  <c r="AU93" i="21" s="1"/>
  <c r="AV93" i="21" s="1"/>
  <c r="AW93" i="21" s="1"/>
  <c r="AX93" i="21" s="1"/>
  <c r="AY93" i="21" s="1"/>
  <c r="AZ93" i="21" s="1"/>
  <c r="AE652" i="6"/>
  <c r="AE656" i="6"/>
  <c r="AF654" i="6"/>
  <c r="AX114" i="22"/>
  <c r="AY114" i="22" s="1"/>
  <c r="AZ114" i="22" s="1"/>
  <c r="AH40" i="15"/>
  <c r="AH150" i="14"/>
  <c r="AI140" i="18"/>
  <c r="AJ140" i="18" s="1"/>
  <c r="AK140" i="18" s="1"/>
  <c r="AL140" i="18" s="1"/>
  <c r="AM140" i="18" s="1"/>
  <c r="AN140" i="18" s="1"/>
  <c r="AO140" i="18" s="1"/>
  <c r="AP140" i="18" s="1"/>
  <c r="AQ140" i="18" s="1"/>
  <c r="AR140" i="18" s="1"/>
  <c r="AS140" i="18" s="1"/>
  <c r="AT140" i="18" s="1"/>
  <c r="AU140" i="18" s="1"/>
  <c r="AV140" i="18" s="1"/>
  <c r="AW140" i="18" s="1"/>
  <c r="AX140" i="18" s="1"/>
  <c r="AY140" i="18" s="1"/>
  <c r="AZ140" i="18" s="1"/>
  <c r="O25" i="16"/>
  <c r="Q880" i="6"/>
  <c r="AR191" i="14"/>
  <c r="AS191" i="14" s="1"/>
  <c r="AT191" i="14" s="1"/>
  <c r="AU191" i="14" s="1"/>
  <c r="AV191" i="14" s="1"/>
  <c r="AW191" i="14" s="1"/>
  <c r="AX191" i="14" s="1"/>
  <c r="AY191" i="14" s="1"/>
  <c r="AZ191" i="14" s="1"/>
  <c r="BA191" i="14" s="1"/>
  <c r="AL60" i="17"/>
  <c r="AM60" i="17" s="1"/>
  <c r="AN60" i="17" s="1"/>
  <c r="AO60" i="17" s="1"/>
  <c r="AP60" i="17" s="1"/>
  <c r="AQ60" i="17" s="1"/>
  <c r="AR60" i="17" s="1"/>
  <c r="R712" i="6"/>
  <c r="R713" i="6"/>
  <c r="O2" i="15"/>
  <c r="X835" i="6"/>
  <c r="X818" i="6" s="1"/>
  <c r="T835" i="6"/>
  <c r="AG783" i="6"/>
  <c r="AC783" i="6"/>
  <c r="Y783" i="6"/>
  <c r="U783" i="6"/>
  <c r="AD731" i="6"/>
  <c r="Z731" i="6"/>
  <c r="V731" i="6"/>
  <c r="W835" i="6"/>
  <c r="S835" i="6"/>
  <c r="AF783" i="6"/>
  <c r="AB783" i="6"/>
  <c r="X783" i="6"/>
  <c r="T783" i="6"/>
  <c r="AG731" i="6"/>
  <c r="AC731" i="6"/>
  <c r="Y731" i="6"/>
  <c r="U731" i="6"/>
  <c r="V835" i="6"/>
  <c r="AE783" i="6"/>
  <c r="AA783" i="6"/>
  <c r="W783" i="6"/>
  <c r="S783" i="6"/>
  <c r="AF731" i="6"/>
  <c r="AB731" i="6"/>
  <c r="X731" i="6"/>
  <c r="T731" i="6"/>
  <c r="Q676" i="6"/>
  <c r="U835" i="6"/>
  <c r="AD783" i="6"/>
  <c r="Z783" i="6"/>
  <c r="V783" i="6"/>
  <c r="AE731" i="6"/>
  <c r="AA731" i="6"/>
  <c r="W731" i="6"/>
  <c r="S731" i="6"/>
  <c r="Q677" i="6"/>
  <c r="AB71" i="9"/>
  <c r="AB72" i="9"/>
  <c r="AC2838" i="6"/>
  <c r="AB2998" i="6"/>
  <c r="AH77" i="14"/>
  <c r="AQ44" i="22"/>
  <c r="AR44" i="22" s="1"/>
  <c r="AS44" i="22" s="1"/>
  <c r="AT44" i="22" s="1"/>
  <c r="AU44" i="22" s="1"/>
  <c r="AV44" i="22" s="1"/>
  <c r="AW44" i="22" s="1"/>
  <c r="AX44" i="22" s="1"/>
  <c r="AY44" i="22" s="1"/>
  <c r="AZ44" i="22" s="1"/>
  <c r="BA44" i="22" s="1"/>
  <c r="AQ62" i="21"/>
  <c r="AR62" i="21" s="1"/>
  <c r="AS62" i="21" s="1"/>
  <c r="AT62" i="21" s="1"/>
  <c r="AU62" i="21" s="1"/>
  <c r="AV62" i="21" s="1"/>
  <c r="AW62" i="21" s="1"/>
  <c r="AX62" i="21" s="1"/>
  <c r="AY62" i="21" s="1"/>
  <c r="AZ62" i="21" s="1"/>
  <c r="BA62" i="21" s="1"/>
  <c r="AI123" i="14"/>
  <c r="AJ123" i="14" s="1"/>
  <c r="AK123" i="14" s="1"/>
  <c r="AL123" i="14" s="1"/>
  <c r="AM123" i="14" s="1"/>
  <c r="AN123" i="14" s="1"/>
  <c r="AO123" i="14" s="1"/>
  <c r="AP123" i="14" s="1"/>
  <c r="AQ123" i="14" s="1"/>
  <c r="AR123" i="14" s="1"/>
  <c r="AS123" i="14" s="1"/>
  <c r="AT123" i="14" s="1"/>
  <c r="AU123" i="14" s="1"/>
  <c r="AV123" i="14" s="1"/>
  <c r="AW123" i="14" s="1"/>
  <c r="AX123" i="14" s="1"/>
  <c r="AY123" i="14" s="1"/>
  <c r="AZ123" i="14" s="1"/>
  <c r="BA123" i="14" s="1"/>
  <c r="S17" i="5"/>
  <c r="S24" i="5" s="1"/>
  <c r="S42" i="5" s="1"/>
  <c r="AD1109" i="6"/>
  <c r="AD1110" i="6"/>
  <c r="AE1103" i="6"/>
  <c r="AE9" i="5"/>
  <c r="AR2642" i="6"/>
  <c r="AN2642" i="6"/>
  <c r="AJ2642" i="6"/>
  <c r="AF2642" i="6"/>
  <c r="AF2612" i="6" s="1"/>
  <c r="AQ2590" i="6"/>
  <c r="AM2590" i="6"/>
  <c r="AI2590" i="6"/>
  <c r="AT2538" i="6"/>
  <c r="AP2538" i="6"/>
  <c r="AL2538" i="6"/>
  <c r="AH2538" i="6"/>
  <c r="AQ2642" i="6"/>
  <c r="AL2642" i="6"/>
  <c r="AG2642" i="6"/>
  <c r="AR2590" i="6"/>
  <c r="AL2590" i="6"/>
  <c r="AG2590" i="6"/>
  <c r="AS2538" i="6"/>
  <c r="AN2538" i="6"/>
  <c r="AI2538" i="6"/>
  <c r="AU2642" i="6"/>
  <c r="AP2642" i="6"/>
  <c r="AK2642" i="6"/>
  <c r="AP2590" i="6"/>
  <c r="AK2590" i="6"/>
  <c r="AF2590" i="6"/>
  <c r="AF2560" i="6" s="1" a="1"/>
  <c r="AF2560" i="6" s="1"/>
  <c r="AR2538" i="6"/>
  <c r="AM2538" i="6"/>
  <c r="AG2538" i="6"/>
  <c r="AT2642" i="6"/>
  <c r="AO2642" i="6"/>
  <c r="AI2642" i="6"/>
  <c r="AT2590" i="6"/>
  <c r="AO2590" i="6"/>
  <c r="AJ2590" i="6"/>
  <c r="AQ2538" i="6"/>
  <c r="AK2538" i="6"/>
  <c r="AF2538" i="6"/>
  <c r="AF2508" i="6" s="1" a="1"/>
  <c r="AF2508" i="6" s="1"/>
  <c r="AH2642" i="6"/>
  <c r="AJ2538" i="6"/>
  <c r="AE2484" i="6"/>
  <c r="AE2454" i="6" s="1"/>
  <c r="AS2590" i="6"/>
  <c r="AG2453" i="6"/>
  <c r="AS2642" i="6"/>
  <c r="AN2590" i="6"/>
  <c r="AM2642" i="6"/>
  <c r="AH2590" i="6"/>
  <c r="AO2538" i="6"/>
  <c r="AG21" i="5"/>
  <c r="AN70" i="20"/>
  <c r="AO70" i="20" s="1"/>
  <c r="AP70" i="20" s="1"/>
  <c r="AQ70" i="20" s="1"/>
  <c r="AR70" i="20" s="1"/>
  <c r="AS70" i="20" s="1"/>
  <c r="AT70" i="20" s="1"/>
  <c r="AU70" i="20" s="1"/>
  <c r="AV70" i="20" s="1"/>
  <c r="AW70" i="20" s="1"/>
  <c r="AX70" i="20" s="1"/>
  <c r="AY70" i="20" s="1"/>
  <c r="AZ70" i="20" s="1"/>
  <c r="R1389" i="6"/>
  <c r="R1390" i="6"/>
  <c r="AO56" i="16"/>
  <c r="AP56" i="16" s="1"/>
  <c r="AQ56" i="16" s="1"/>
  <c r="AR56" i="16" s="1"/>
  <c r="AS56" i="16" s="1"/>
  <c r="AT56" i="16" s="1"/>
  <c r="AU56" i="16" s="1"/>
  <c r="AV56" i="16" s="1"/>
  <c r="AW56" i="16" s="1"/>
  <c r="AX56" i="16" s="1"/>
  <c r="AY56" i="16" s="1"/>
  <c r="AZ56" i="16" s="1"/>
  <c r="BA56" i="16" s="1"/>
  <c r="AN22" i="13"/>
  <c r="AO21" i="13"/>
  <c r="AM45" i="19"/>
  <c r="AN45" i="19" s="1"/>
  <c r="AO45" i="19" s="1"/>
  <c r="AP45" i="19" s="1"/>
  <c r="AQ45" i="19" s="1"/>
  <c r="AR45" i="19" s="1"/>
  <c r="AS45" i="19" s="1"/>
  <c r="AT45" i="19" s="1"/>
  <c r="AU45" i="19" s="1"/>
  <c r="AV45" i="19" s="1"/>
  <c r="AW45" i="19" s="1"/>
  <c r="AX45" i="19" s="1"/>
  <c r="AY45" i="19" s="1"/>
  <c r="AZ45" i="19" s="1"/>
  <c r="BA45" i="19" s="1"/>
  <c r="AL154" i="14"/>
  <c r="AM154" i="14" s="1"/>
  <c r="AN154" i="14" s="1"/>
  <c r="AO154" i="14" s="1"/>
  <c r="AP154" i="14" s="1"/>
  <c r="AQ154" i="14" s="1"/>
  <c r="AR154" i="14" s="1"/>
  <c r="AS154" i="14" s="1"/>
  <c r="AT154" i="14" s="1"/>
  <c r="AU154" i="14" s="1"/>
  <c r="AV154" i="14" s="1"/>
  <c r="AW154" i="14" s="1"/>
  <c r="AX154" i="14"/>
  <c r="AY154" i="14" s="1"/>
  <c r="AZ154" i="14" s="1"/>
  <c r="BA154" i="14" s="1"/>
  <c r="AH114" i="14"/>
  <c r="AI114" i="14" s="1"/>
  <c r="AJ114" i="14" s="1"/>
  <c r="AK114" i="14" s="1"/>
  <c r="AL114" i="14" s="1"/>
  <c r="AM114" i="14" s="1"/>
  <c r="AN114" i="14" s="1"/>
  <c r="AO114" i="14" s="1"/>
  <c r="AP114" i="14" s="1"/>
  <c r="AQ114" i="14" s="1"/>
  <c r="AR114" i="14" s="1"/>
  <c r="AS114" i="14" s="1"/>
  <c r="AT114" i="14" s="1"/>
  <c r="AU114" i="14" s="1"/>
  <c r="AV114" i="14" s="1"/>
  <c r="AW114" i="14" s="1"/>
  <c r="AX114" i="14" s="1"/>
  <c r="AY114" i="14" s="1"/>
  <c r="AZ114" i="14" s="1"/>
  <c r="BA114" i="14" s="1"/>
  <c r="Y2669" i="6"/>
  <c r="Z2669" i="6" s="1"/>
  <c r="AA2669" i="6" s="1"/>
  <c r="AZ86" i="13"/>
  <c r="BA86" i="13" s="1"/>
  <c r="AG106" i="14"/>
  <c r="AH106" i="14" s="1"/>
  <c r="AI106" i="14" s="1"/>
  <c r="AJ106" i="14" s="1"/>
  <c r="AK106" i="14" s="1"/>
  <c r="AL106" i="14" s="1"/>
  <c r="AM106" i="14" s="1"/>
  <c r="AN106" i="14" s="1"/>
  <c r="AO106" i="14" s="1"/>
  <c r="AP106" i="14" s="1"/>
  <c r="AQ106" i="14" s="1"/>
  <c r="AR106" i="14" s="1"/>
  <c r="AS106" i="14" s="1"/>
  <c r="AT106" i="14" s="1"/>
  <c r="AU106" i="14" s="1"/>
  <c r="AV106" i="14" s="1"/>
  <c r="AW106" i="14" s="1"/>
  <c r="AX106" i="14" s="1"/>
  <c r="AY106" i="14" s="1"/>
  <c r="AZ106" i="14" s="1"/>
  <c r="BA106" i="14" s="1"/>
  <c r="AP2198" i="6"/>
  <c r="AL2198" i="6"/>
  <c r="AH2198" i="6"/>
  <c r="AD2198" i="6"/>
  <c r="AR2146" i="6"/>
  <c r="AN2146" i="6"/>
  <c r="AJ2146" i="6"/>
  <c r="AF2146" i="6"/>
  <c r="AQ2094" i="6"/>
  <c r="AM2094" i="6"/>
  <c r="AI2094" i="6"/>
  <c r="AE2094" i="6"/>
  <c r="AC2040" i="6"/>
  <c r="AE2011" i="6"/>
  <c r="AS2198" i="6"/>
  <c r="AO2198" i="6"/>
  <c r="AK2198" i="6"/>
  <c r="AG2198" i="6"/>
  <c r="AQ2146" i="6"/>
  <c r="AM2146" i="6"/>
  <c r="AI2146" i="6"/>
  <c r="AE2146" i="6"/>
  <c r="AP2094" i="6"/>
  <c r="AL2094" i="6"/>
  <c r="AH2094" i="6"/>
  <c r="AD2094" i="6"/>
  <c r="AB2040" i="6"/>
  <c r="AR2198" i="6"/>
  <c r="AN2198" i="6"/>
  <c r="AJ2198" i="6"/>
  <c r="AF2198" i="6"/>
  <c r="AP2146" i="6"/>
  <c r="AL2146" i="6"/>
  <c r="AH2146" i="6"/>
  <c r="AD2146" i="6"/>
  <c r="AO2094" i="6"/>
  <c r="AK2094" i="6"/>
  <c r="AG2094" i="6"/>
  <c r="AA2040" i="6"/>
  <c r="AA2012" i="6" s="1"/>
  <c r="AQ2198" i="6"/>
  <c r="AK2146" i="6"/>
  <c r="AJ2094" i="6"/>
  <c r="AM2198" i="6"/>
  <c r="AG2146" i="6"/>
  <c r="AF2094" i="6"/>
  <c r="AI2198" i="6"/>
  <c r="AR2094" i="6"/>
  <c r="AE2198" i="6"/>
  <c r="AO2146" i="6"/>
  <c r="AN2094" i="6"/>
  <c r="AU161" i="14"/>
  <c r="AV161" i="14" s="1"/>
  <c r="AW161" i="14" s="1"/>
  <c r="AX161" i="14" s="1"/>
  <c r="AY161" i="14" s="1"/>
  <c r="AZ161" i="14" s="1"/>
  <c r="BA161" i="14" s="1"/>
  <c r="AF193" i="14"/>
  <c r="AG193" i="14" s="1"/>
  <c r="AH193" i="14" s="1"/>
  <c r="AI193" i="14" s="1"/>
  <c r="AJ193" i="14" s="1"/>
  <c r="AK193" i="14" s="1"/>
  <c r="AL193" i="14" s="1"/>
  <c r="AM193" i="14" s="1"/>
  <c r="AN193" i="14" s="1"/>
  <c r="AO193" i="14" s="1"/>
  <c r="AP193" i="14" s="1"/>
  <c r="AQ193" i="14" s="1"/>
  <c r="AR193" i="14" s="1"/>
  <c r="AS193" i="14" s="1"/>
  <c r="AT193" i="14" s="1"/>
  <c r="AU193" i="14" s="1"/>
  <c r="AV193" i="14" s="1"/>
  <c r="AW193" i="14" s="1"/>
  <c r="AX193" i="14" s="1"/>
  <c r="AY193" i="14" s="1"/>
  <c r="AZ193" i="14" s="1"/>
  <c r="BA193" i="14" s="1"/>
  <c r="AF36" i="19"/>
  <c r="P2507" i="6"/>
  <c r="P2506" i="6"/>
  <c r="AE2560" i="6" a="1"/>
  <c r="AE2560" i="6" s="1"/>
  <c r="AM2918" i="6"/>
  <c r="AI2918" i="6"/>
  <c r="AE2918" i="6"/>
  <c r="AA2918" i="6"/>
  <c r="AA2893" i="6" s="1" a="1"/>
  <c r="AA2893" i="6" s="1"/>
  <c r="AL2866" i="6"/>
  <c r="AH2866" i="6"/>
  <c r="AD2866" i="6"/>
  <c r="AL2918" i="6"/>
  <c r="AG2918" i="6"/>
  <c r="AB2918" i="6"/>
  <c r="AK2866" i="6"/>
  <c r="AF2866" i="6"/>
  <c r="AA2866" i="6"/>
  <c r="AA2841" i="6" s="1" a="1"/>
  <c r="AA2841" i="6" s="1"/>
  <c r="AK2918" i="6"/>
  <c r="AF2918" i="6"/>
  <c r="AO2866" i="6"/>
  <c r="AJ2866" i="6"/>
  <c r="AE2866" i="6"/>
  <c r="AO2918" i="6"/>
  <c r="AJ2918" i="6"/>
  <c r="AD2918" i="6"/>
  <c r="AN2918" i="6"/>
  <c r="AG2866" i="6"/>
  <c r="AH2918" i="6"/>
  <c r="AN2866" i="6"/>
  <c r="AC2866" i="6"/>
  <c r="AC2918" i="6"/>
  <c r="AM2866" i="6"/>
  <c r="AB2866" i="6"/>
  <c r="AI2866" i="6"/>
  <c r="AJ87" i="22"/>
  <c r="AK87" i="22" s="1"/>
  <c r="AL87" i="22" s="1"/>
  <c r="AM87" i="22" s="1"/>
  <c r="AN87" i="22" s="1"/>
  <c r="AO87" i="22" s="1"/>
  <c r="AP87" i="22" s="1"/>
  <c r="AQ87" i="22" s="1"/>
  <c r="AR87" i="22" s="1"/>
  <c r="AS87" i="22" s="1"/>
  <c r="AT87" i="22" s="1"/>
  <c r="AU87" i="22" s="1"/>
  <c r="AV87" i="22" s="1"/>
  <c r="AW87" i="22" s="1"/>
  <c r="AX87" i="22" s="1"/>
  <c r="AY87" i="22" s="1"/>
  <c r="AZ87" i="22" s="1"/>
  <c r="AH115" i="18"/>
  <c r="AA24" i="9"/>
  <c r="AF101" i="18"/>
  <c r="AG101" i="18" s="1"/>
  <c r="AH101" i="18" s="1"/>
  <c r="AI101" i="18" s="1"/>
  <c r="AJ101" i="18" s="1"/>
  <c r="AK101" i="18" s="1"/>
  <c r="AL101" i="18" s="1"/>
  <c r="AM101" i="18" s="1"/>
  <c r="AN101" i="18" s="1"/>
  <c r="AO101" i="18" s="1"/>
  <c r="AP101" i="18" s="1"/>
  <c r="AQ101" i="18" s="1"/>
  <c r="AR101" i="18" s="1"/>
  <c r="AS101" i="18" s="1"/>
  <c r="AT101" i="18" s="1"/>
  <c r="AU101" i="18" s="1"/>
  <c r="AV101" i="18" s="1"/>
  <c r="AW101" i="18" s="1"/>
  <c r="AX101" i="18" s="1"/>
  <c r="AY101" i="18" s="1"/>
  <c r="AZ101" i="18" s="1"/>
  <c r="AD1043" i="6"/>
  <c r="Z1389" i="6"/>
  <c r="Z1390" i="6"/>
  <c r="AO122" i="14"/>
  <c r="AP122" i="14" s="1"/>
  <c r="AQ122" i="14" s="1"/>
  <c r="AR122" i="14" s="1"/>
  <c r="AS122" i="14" s="1"/>
  <c r="AT122" i="14" s="1"/>
  <c r="AU122" i="14" s="1"/>
  <c r="AV122" i="14" s="1"/>
  <c r="AW122" i="14" s="1"/>
  <c r="AX122" i="14" s="1"/>
  <c r="AY122" i="14" s="1"/>
  <c r="AZ122" i="14" s="1"/>
  <c r="BA122" i="14" s="1"/>
  <c r="AI58" i="16" l="1"/>
  <c r="AJ58" i="16" s="1"/>
  <c r="AK58" i="16" s="1"/>
  <c r="AL58" i="16" s="1"/>
  <c r="AM58" i="16" s="1"/>
  <c r="AN58" i="16" s="1"/>
  <c r="AO58" i="16" s="1"/>
  <c r="AP58" i="16" s="1"/>
  <c r="AQ58" i="16" s="1"/>
  <c r="AR58" i="16" s="1"/>
  <c r="AS58" i="16" s="1"/>
  <c r="AT58" i="16" s="1"/>
  <c r="AU58" i="16" s="1"/>
  <c r="AV58" i="16" s="1"/>
  <c r="AW58" i="16" s="1"/>
  <c r="AX58" i="16" s="1"/>
  <c r="AY58" i="16" s="1"/>
  <c r="AZ58" i="16" s="1"/>
  <c r="BA58" i="16" s="1"/>
  <c r="AH46" i="16"/>
  <c r="AJ46" i="17"/>
  <c r="AA1614" i="6"/>
  <c r="AA1615" i="6"/>
  <c r="AS56" i="22"/>
  <c r="AT56" i="22" s="1"/>
  <c r="AU56" i="22" s="1"/>
  <c r="AV56" i="22" s="1"/>
  <c r="AW56" i="22" s="1"/>
  <c r="AX56" i="22" s="1"/>
  <c r="AY56" i="22" s="1"/>
  <c r="AZ56" i="22" s="1"/>
  <c r="BA56" i="22" s="1"/>
  <c r="Z2285" i="6"/>
  <c r="Z2286" i="6"/>
  <c r="V2832" i="6"/>
  <c r="V2833" i="6"/>
  <c r="W2833" i="6"/>
  <c r="W2832" i="6"/>
  <c r="AB15" i="9"/>
  <c r="AC2671" i="6" s="1"/>
  <c r="AK5" i="9"/>
  <c r="Z1839" i="6"/>
  <c r="Z1840" i="6"/>
  <c r="AJ847" i="6"/>
  <c r="AF847" i="6"/>
  <c r="AS795" i="6"/>
  <c r="AO795" i="6"/>
  <c r="AK795" i="6"/>
  <c r="AG795" i="6"/>
  <c r="AP743" i="6"/>
  <c r="AL743" i="6"/>
  <c r="AH743" i="6"/>
  <c r="AI847" i="6"/>
  <c r="AE847" i="6"/>
  <c r="AE818" i="6" s="1"/>
  <c r="AR795" i="6"/>
  <c r="AN795" i="6"/>
  <c r="AJ795" i="6"/>
  <c r="AF795" i="6"/>
  <c r="AS743" i="6"/>
  <c r="AO743" i="6"/>
  <c r="AK743" i="6"/>
  <c r="AG743" i="6"/>
  <c r="AH847" i="6"/>
  <c r="AQ795" i="6"/>
  <c r="AM795" i="6"/>
  <c r="AI795" i="6"/>
  <c r="AE795" i="6"/>
  <c r="AR743" i="6"/>
  <c r="AN743" i="6"/>
  <c r="AJ743" i="6"/>
  <c r="AF743" i="6"/>
  <c r="AD689" i="6"/>
  <c r="AF659" i="6"/>
  <c r="AG847" i="6"/>
  <c r="AP795" i="6"/>
  <c r="AL795" i="6"/>
  <c r="AH795" i="6"/>
  <c r="AQ743" i="6"/>
  <c r="AM743" i="6"/>
  <c r="AI743" i="6"/>
  <c r="AE743" i="6"/>
  <c r="AC689" i="6"/>
  <c r="AS106" i="22"/>
  <c r="AT106" i="22" s="1"/>
  <c r="AU106" i="22" s="1"/>
  <c r="AV106" i="22" s="1"/>
  <c r="AW106" i="22" s="1"/>
  <c r="AX106" i="22" s="1"/>
  <c r="AY106" i="22" s="1"/>
  <c r="AZ106" i="22" s="1"/>
  <c r="AH106" i="22"/>
  <c r="AI106" i="22" s="1"/>
  <c r="AJ106" i="22" s="1"/>
  <c r="AK106" i="22" s="1"/>
  <c r="AL106" i="22" s="1"/>
  <c r="AM106" i="22" s="1"/>
  <c r="AN106" i="22" s="1"/>
  <c r="AO106" i="22" s="1"/>
  <c r="AP106" i="22" s="1"/>
  <c r="AQ106" i="22" s="1"/>
  <c r="AR106" i="22" s="1"/>
  <c r="AA2999" i="6"/>
  <c r="AA3000" i="6"/>
  <c r="AB3167" i="6"/>
  <c r="AB3166" i="6"/>
  <c r="S44" i="5"/>
  <c r="S46" i="5"/>
  <c r="AF652" i="6"/>
  <c r="AF656" i="6"/>
  <c r="AG654" i="6"/>
  <c r="M2" i="17"/>
  <c r="O1129" i="6"/>
  <c r="O1112" i="6" s="1"/>
  <c r="AG52" i="15"/>
  <c r="AH52" i="15" s="1"/>
  <c r="AI52" i="15" s="1"/>
  <c r="AJ52" i="15" s="1"/>
  <c r="AK52" i="15" s="1"/>
  <c r="AL52" i="15" s="1"/>
  <c r="AM52" i="15" s="1"/>
  <c r="AN52" i="15" s="1"/>
  <c r="AO52" i="15" s="1"/>
  <c r="AP52" i="15" s="1"/>
  <c r="AQ52" i="15" s="1"/>
  <c r="AR52" i="15" s="1"/>
  <c r="AS52" i="15" s="1"/>
  <c r="AT52" i="15" s="1"/>
  <c r="AU52" i="15" s="1"/>
  <c r="AV52" i="15" s="1"/>
  <c r="AW52" i="15" s="1"/>
  <c r="AX52" i="15" s="1"/>
  <c r="AY52" i="15" s="1"/>
  <c r="AZ52" i="15" s="1"/>
  <c r="BA52" i="15" s="1"/>
  <c r="W45" i="5"/>
  <c r="W47" i="5"/>
  <c r="AC44" i="8"/>
  <c r="AD24" i="8"/>
  <c r="L2" i="23"/>
  <c r="AA2625" i="6"/>
  <c r="W2625" i="6"/>
  <c r="S2625" i="6"/>
  <c r="O2625" i="6"/>
  <c r="AC2573" i="6"/>
  <c r="AC2560" i="6" s="1" a="1"/>
  <c r="AC2560" i="6" s="1"/>
  <c r="Y2573" i="6"/>
  <c r="U2573" i="6"/>
  <c r="Q2573" i="6"/>
  <c r="AB2521" i="6"/>
  <c r="X2521" i="6"/>
  <c r="T2521" i="6"/>
  <c r="P2521" i="6"/>
  <c r="Z2625" i="6"/>
  <c r="U2625" i="6"/>
  <c r="P2625" i="6"/>
  <c r="Z2573" i="6"/>
  <c r="T2573" i="6"/>
  <c r="O2573" i="6"/>
  <c r="AA2521" i="6"/>
  <c r="V2521" i="6"/>
  <c r="Q2521" i="6"/>
  <c r="AD2625" i="6"/>
  <c r="AD2612" i="6" s="1"/>
  <c r="Y2625" i="6"/>
  <c r="T2625" i="6"/>
  <c r="X2573" i="6"/>
  <c r="S2573" i="6"/>
  <c r="Z2521" i="6"/>
  <c r="U2521" i="6"/>
  <c r="O2521" i="6"/>
  <c r="AC2625" i="6"/>
  <c r="X2625" i="6"/>
  <c r="R2625" i="6"/>
  <c r="AB2573" i="6"/>
  <c r="W2573" i="6"/>
  <c r="R2573" i="6"/>
  <c r="Y2521" i="6"/>
  <c r="S2521" i="6"/>
  <c r="Q2625" i="6"/>
  <c r="P2573" i="6"/>
  <c r="R2521" i="6"/>
  <c r="N2467" i="6"/>
  <c r="N2454" i="6" s="1"/>
  <c r="AB2625" i="6"/>
  <c r="AA2573" i="6"/>
  <c r="AC2521" i="6"/>
  <c r="AC2508" i="6" s="1" a="1"/>
  <c r="AC2508" i="6" s="1"/>
  <c r="V2625" i="6"/>
  <c r="V2573" i="6"/>
  <c r="W2521" i="6"/>
  <c r="AG136" i="14"/>
  <c r="AH136" i="14" s="1"/>
  <c r="AI136" i="14" s="1"/>
  <c r="AJ136" i="14" s="1"/>
  <c r="AK136" i="14" s="1"/>
  <c r="AL136" i="14" s="1"/>
  <c r="AM136" i="14" s="1"/>
  <c r="AN136" i="14" s="1"/>
  <c r="AO136" i="14" s="1"/>
  <c r="AP136" i="14" s="1"/>
  <c r="AQ136" i="14" s="1"/>
  <c r="AR136" i="14" s="1"/>
  <c r="AS136" i="14" s="1"/>
  <c r="AT136" i="14" s="1"/>
  <c r="AU136" i="14" s="1"/>
  <c r="AV136" i="14" s="1"/>
  <c r="AW136" i="14" s="1"/>
  <c r="AX136" i="14" s="1"/>
  <c r="AY136" i="14" s="1"/>
  <c r="AZ136" i="14" s="1"/>
  <c r="BA136" i="14" s="1"/>
  <c r="AF126" i="14"/>
  <c r="P1614" i="6"/>
  <c r="P1615" i="6"/>
  <c r="AE17" i="20"/>
  <c r="AE1782" i="6"/>
  <c r="M24" i="13"/>
  <c r="O10" i="6"/>
  <c r="AP157" i="18"/>
  <c r="AQ157" i="18" s="1"/>
  <c r="AR157" i="18" s="1"/>
  <c r="AS157" i="18" s="1"/>
  <c r="AT157" i="18"/>
  <c r="AU157" i="18" s="1"/>
  <c r="AV157" i="18" s="1"/>
  <c r="AW157" i="18" s="1"/>
  <c r="AX157" i="18" s="1"/>
  <c r="AY157" i="18" s="1"/>
  <c r="AZ157" i="18" s="1"/>
  <c r="AG161" i="18"/>
  <c r="AH161" i="18" s="1"/>
  <c r="AI161" i="18" s="1"/>
  <c r="AJ161" i="18" s="1"/>
  <c r="AK161" i="18" s="1"/>
  <c r="AL161" i="18"/>
  <c r="AM161" i="18" s="1"/>
  <c r="AN161" i="18" s="1"/>
  <c r="AO161" i="18" s="1"/>
  <c r="AP161" i="18" s="1"/>
  <c r="AQ161" i="18" s="1"/>
  <c r="AR161" i="18" s="1"/>
  <c r="AS161" i="18" s="1"/>
  <c r="AT161" i="18" s="1"/>
  <c r="AU161" i="18" s="1"/>
  <c r="AV161" i="18" s="1"/>
  <c r="AW161" i="18" s="1"/>
  <c r="AX161" i="18" s="1"/>
  <c r="AY161" i="18" s="1"/>
  <c r="AZ161" i="18" s="1"/>
  <c r="M17" i="21"/>
  <c r="O2007" i="6"/>
  <c r="AJ148" i="18"/>
  <c r="AK148" i="18"/>
  <c r="AL148" i="18" s="1"/>
  <c r="AM148" i="18" s="1"/>
  <c r="AN148" i="18" s="1"/>
  <c r="AO148" i="18" s="1"/>
  <c r="AP148" i="18" s="1"/>
  <c r="AQ148" i="18" s="1"/>
  <c r="AR148" i="18" s="1"/>
  <c r="AS148" i="18" s="1"/>
  <c r="AT148" i="18" s="1"/>
  <c r="AU148" i="18" s="1"/>
  <c r="AV148" i="18" s="1"/>
  <c r="AW148" i="18" s="1"/>
  <c r="AX148" i="18" s="1"/>
  <c r="AY148" i="18" s="1"/>
  <c r="AZ148" i="18" s="1"/>
  <c r="AI68" i="21"/>
  <c r="AJ68" i="21" s="1"/>
  <c r="AK68" i="21" s="1"/>
  <c r="AL68" i="21" s="1"/>
  <c r="AM68" i="21" s="1"/>
  <c r="AN68" i="21" s="1"/>
  <c r="AO68" i="21" s="1"/>
  <c r="AP68" i="21" s="1"/>
  <c r="AQ68" i="21" s="1"/>
  <c r="AR68" i="21" s="1"/>
  <c r="AS68" i="21" s="1"/>
  <c r="AT68" i="21" s="1"/>
  <c r="AU68" i="21" s="1"/>
  <c r="AV68" i="21" s="1"/>
  <c r="AW68" i="21" s="1"/>
  <c r="AX68" i="21" s="1"/>
  <c r="AY68" i="21" s="1"/>
  <c r="AZ68" i="21" s="1"/>
  <c r="AG61" i="12"/>
  <c r="AG1558" i="6"/>
  <c r="AH1556" i="6"/>
  <c r="AQ2199" i="6"/>
  <c r="AM2199" i="6"/>
  <c r="AI2199" i="6"/>
  <c r="AE2199" i="6"/>
  <c r="AP2147" i="6"/>
  <c r="AL2147" i="6"/>
  <c r="AH2147" i="6"/>
  <c r="AS2095" i="6"/>
  <c r="AO2095" i="6"/>
  <c r="AK2095" i="6"/>
  <c r="AG2095" i="6"/>
  <c r="AT2199" i="6"/>
  <c r="AP2199" i="6"/>
  <c r="AL2199" i="6"/>
  <c r="AH2199" i="6"/>
  <c r="AS2147" i="6"/>
  <c r="AO2147" i="6"/>
  <c r="AK2147" i="6"/>
  <c r="AG2147" i="6"/>
  <c r="AR2095" i="6"/>
  <c r="AN2095" i="6"/>
  <c r="AJ2095" i="6"/>
  <c r="AF2095" i="6"/>
  <c r="AD2041" i="6"/>
  <c r="AS2199" i="6"/>
  <c r="AO2199" i="6"/>
  <c r="AK2199" i="6"/>
  <c r="AG2199" i="6"/>
  <c r="AR2147" i="6"/>
  <c r="AN2147" i="6"/>
  <c r="AJ2147" i="6"/>
  <c r="AF2147" i="6"/>
  <c r="AQ2095" i="6"/>
  <c r="AM2095" i="6"/>
  <c r="AI2095" i="6"/>
  <c r="AE2095" i="6"/>
  <c r="AC2041" i="6"/>
  <c r="AR2199" i="6"/>
  <c r="AM2147" i="6"/>
  <c r="AL2095" i="6"/>
  <c r="AF2011" i="6"/>
  <c r="AN2199" i="6"/>
  <c r="AI2147" i="6"/>
  <c r="AH2095" i="6"/>
  <c r="AJ2199" i="6"/>
  <c r="AE2147" i="6"/>
  <c r="AB2041" i="6"/>
  <c r="AB2012" i="6" s="1"/>
  <c r="AF2199" i="6"/>
  <c r="AQ2147" i="6"/>
  <c r="AP2095" i="6"/>
  <c r="AH43" i="20"/>
  <c r="AI43" i="20" s="1"/>
  <c r="AJ43" i="20" s="1"/>
  <c r="AK43" i="20" s="1"/>
  <c r="AL43" i="20" s="1"/>
  <c r="AM43" i="20" s="1"/>
  <c r="AN43" i="20" s="1"/>
  <c r="AO43" i="20" s="1"/>
  <c r="AP43" i="20" s="1"/>
  <c r="AQ43" i="20" s="1"/>
  <c r="AR43" i="20" s="1"/>
  <c r="AS43" i="20" s="1"/>
  <c r="AT43" i="20" s="1"/>
  <c r="AU43" i="20" s="1"/>
  <c r="AV43" i="20" s="1"/>
  <c r="AW43" i="20" s="1"/>
  <c r="AX43" i="20" s="1"/>
  <c r="AY43" i="20" s="1"/>
  <c r="AZ43" i="20" s="1"/>
  <c r="BA43" i="20" s="1"/>
  <c r="AH2452" i="6"/>
  <c r="AI2447" i="6"/>
  <c r="AI14" i="5"/>
  <c r="AI6" i="9"/>
  <c r="N2285" i="6"/>
  <c r="N2286" i="6"/>
  <c r="K2" i="22"/>
  <c r="AD2406" i="6"/>
  <c r="Z2406" i="6"/>
  <c r="V2406" i="6"/>
  <c r="R2406" i="6"/>
  <c r="AC2405" i="6"/>
  <c r="Y2405" i="6"/>
  <c r="U2405" i="6"/>
  <c r="Q2405" i="6"/>
  <c r="AN2353" i="6"/>
  <c r="AJ2353" i="6"/>
  <c r="AF2353" i="6"/>
  <c r="AB2353" i="6"/>
  <c r="X2353" i="6"/>
  <c r="T2353" i="6"/>
  <c r="P2353" i="6"/>
  <c r="AL2301" i="6"/>
  <c r="AH2301" i="6"/>
  <c r="AD2301" i="6"/>
  <c r="Z2301" i="6"/>
  <c r="V2301" i="6"/>
  <c r="R2301" i="6"/>
  <c r="AC2406" i="6"/>
  <c r="Y2406" i="6"/>
  <c r="U2406" i="6"/>
  <c r="Q2406" i="6"/>
  <c r="AB2405" i="6"/>
  <c r="X2405" i="6"/>
  <c r="T2405" i="6"/>
  <c r="P2405" i="6"/>
  <c r="AM2353" i="6"/>
  <c r="AI2353" i="6"/>
  <c r="AE2353" i="6"/>
  <c r="AA2353" i="6"/>
  <c r="W2353" i="6"/>
  <c r="S2353" i="6"/>
  <c r="AK2301" i="6"/>
  <c r="AG2301" i="6"/>
  <c r="AC2301" i="6"/>
  <c r="Y2301" i="6"/>
  <c r="U2301" i="6"/>
  <c r="Q2301" i="6"/>
  <c r="M2247" i="6"/>
  <c r="M2245" i="6"/>
  <c r="M2233" i="6" s="1"/>
  <c r="AF2406" i="6"/>
  <c r="AB2406" i="6"/>
  <c r="X2406" i="6"/>
  <c r="T2406" i="6"/>
  <c r="AE2405" i="6"/>
  <c r="AA2405" i="6"/>
  <c r="W2405" i="6"/>
  <c r="S2405" i="6"/>
  <c r="AL2353" i="6"/>
  <c r="AH2353" i="6"/>
  <c r="AD2353" i="6"/>
  <c r="Z2353" i="6"/>
  <c r="V2353" i="6"/>
  <c r="R2353" i="6"/>
  <c r="AN2301" i="6"/>
  <c r="AJ2301" i="6"/>
  <c r="AF2301" i="6"/>
  <c r="AB2301" i="6"/>
  <c r="X2301" i="6"/>
  <c r="T2301" i="6"/>
  <c r="P2301" i="6"/>
  <c r="AE2406" i="6"/>
  <c r="AA2406" i="6"/>
  <c r="W2406" i="6"/>
  <c r="S2406" i="6"/>
  <c r="AD2405" i="6"/>
  <c r="Z2405" i="6"/>
  <c r="V2405" i="6"/>
  <c r="R2405" i="6"/>
  <c r="AK2353" i="6"/>
  <c r="AG2353" i="6"/>
  <c r="AC2353" i="6"/>
  <c r="Y2353" i="6"/>
  <c r="U2353" i="6"/>
  <c r="Q2353" i="6"/>
  <c r="AM2301" i="6"/>
  <c r="AI2301" i="6"/>
  <c r="AE2301" i="6"/>
  <c r="AA2301" i="6"/>
  <c r="W2301" i="6"/>
  <c r="S2301" i="6"/>
  <c r="M2246" i="6"/>
  <c r="AE44" i="17"/>
  <c r="S45" i="5"/>
  <c r="S47" i="5"/>
  <c r="W78" i="6"/>
  <c r="X22" i="5"/>
  <c r="X25" i="5" s="1"/>
  <c r="X43" i="5" s="1"/>
  <c r="W77" i="6"/>
  <c r="AI38" i="21"/>
  <c r="Z17" i="5"/>
  <c r="Z24" i="5" s="1"/>
  <c r="Z42" i="5" s="1"/>
  <c r="AE2665" i="6"/>
  <c r="AF73" i="20"/>
  <c r="AG73" i="20" s="1"/>
  <c r="AH73" i="20" s="1"/>
  <c r="AI73" i="20" s="1"/>
  <c r="AJ73" i="20" s="1"/>
  <c r="AK73" i="20" s="1"/>
  <c r="AL73" i="20" s="1"/>
  <c r="AM73" i="20" s="1"/>
  <c r="AN73" i="20" s="1"/>
  <c r="AO73" i="20" s="1"/>
  <c r="AP73" i="20" s="1"/>
  <c r="AQ73" i="20" s="1"/>
  <c r="AR73" i="20" s="1"/>
  <c r="AS73" i="20" s="1"/>
  <c r="AT73" i="20" s="1"/>
  <c r="AU73" i="20" s="1"/>
  <c r="AV73" i="20" s="1"/>
  <c r="AW73" i="20" s="1"/>
  <c r="AX73" i="20" s="1"/>
  <c r="AY73" i="20" s="1"/>
  <c r="AZ73" i="20" s="1"/>
  <c r="AO608" i="6"/>
  <c r="AK608" i="6"/>
  <c r="AG608" i="6"/>
  <c r="AC608" i="6"/>
  <c r="AP556" i="6"/>
  <c r="AL556" i="6"/>
  <c r="AH556" i="6"/>
  <c r="AD556" i="6"/>
  <c r="AP504" i="6"/>
  <c r="AL504" i="6"/>
  <c r="AH504" i="6"/>
  <c r="AD504" i="6"/>
  <c r="Z450" i="6"/>
  <c r="Z423" i="6" s="1"/>
  <c r="AD422" i="6"/>
  <c r="AR608" i="6"/>
  <c r="AN608" i="6"/>
  <c r="AJ608" i="6"/>
  <c r="AF608" i="6"/>
  <c r="AO556" i="6"/>
  <c r="AK556" i="6"/>
  <c r="AG556" i="6"/>
  <c r="AC556" i="6"/>
  <c r="AO504" i="6"/>
  <c r="AK504" i="6"/>
  <c r="AG504" i="6"/>
  <c r="AC504" i="6"/>
  <c r="AH608" i="6"/>
  <c r="AQ556" i="6"/>
  <c r="AM556" i="6"/>
  <c r="AQ504" i="6"/>
  <c r="AI504" i="6"/>
  <c r="AA450" i="6"/>
  <c r="AQ608" i="6"/>
  <c r="AM608" i="6"/>
  <c r="AI608" i="6"/>
  <c r="AE608" i="6"/>
  <c r="AN556" i="6"/>
  <c r="AJ556" i="6"/>
  <c r="AF556" i="6"/>
  <c r="AN504" i="6"/>
  <c r="AJ504" i="6"/>
  <c r="AF504" i="6"/>
  <c r="AB450" i="6"/>
  <c r="AP608" i="6"/>
  <c r="AL608" i="6"/>
  <c r="AD608" i="6"/>
  <c r="AI556" i="6"/>
  <c r="AE556" i="6"/>
  <c r="AM504" i="6"/>
  <c r="AE504" i="6"/>
  <c r="AD420" i="6"/>
  <c r="AD415" i="6"/>
  <c r="AE4" i="5"/>
  <c r="AD421" i="6"/>
  <c r="AD417" i="6"/>
  <c r="AE412" i="6"/>
  <c r="AE5" i="5"/>
  <c r="AD418" i="6"/>
  <c r="AD59" i="12"/>
  <c r="AE248" i="6" s="1"/>
  <c r="AE60" i="12"/>
  <c r="AE246" i="6"/>
  <c r="AJ59" i="14"/>
  <c r="AH52" i="17"/>
  <c r="AI52" i="17" s="1"/>
  <c r="AJ52" i="17" s="1"/>
  <c r="AK52" i="17" s="1"/>
  <c r="AL52" i="17"/>
  <c r="AM52" i="17" s="1"/>
  <c r="AN52" i="17" s="1"/>
  <c r="AO52" i="17" s="1"/>
  <c r="AP52" i="17" s="1"/>
  <c r="AQ52" i="17" s="1"/>
  <c r="AR52" i="17" s="1"/>
  <c r="AS52" i="17"/>
  <c r="AT52" i="17" s="1"/>
  <c r="AU52" i="17" s="1"/>
  <c r="AV52" i="17" s="1"/>
  <c r="AW52" i="17" s="1"/>
  <c r="AX52" i="17" s="1"/>
  <c r="AY52" i="17" s="1"/>
  <c r="AZ52" i="17" s="1"/>
  <c r="BA52" i="17" s="1"/>
  <c r="AG52" i="17"/>
  <c r="M17" i="19"/>
  <c r="O1557" i="6"/>
  <c r="AH61" i="14"/>
  <c r="AI118" i="13"/>
  <c r="AJ118" i="13" s="1"/>
  <c r="AK118" i="13" s="1"/>
  <c r="AL118" i="13" s="1"/>
  <c r="AM118" i="13" s="1"/>
  <c r="AN118" i="13" s="1"/>
  <c r="AO118" i="13" s="1"/>
  <c r="AP118" i="13" s="1"/>
  <c r="AQ118" i="13" s="1"/>
  <c r="AR118" i="13" s="1"/>
  <c r="AS118" i="13" s="1"/>
  <c r="AT118" i="13" s="1"/>
  <c r="AU118" i="13" s="1"/>
  <c r="AV118" i="13" s="1"/>
  <c r="AW118" i="13" s="1"/>
  <c r="AX118" i="13" s="1"/>
  <c r="AY118" i="13" s="1"/>
  <c r="AZ118" i="13" s="1"/>
  <c r="BA118" i="13" s="1"/>
  <c r="M19" i="17"/>
  <c r="O1105" i="6"/>
  <c r="AF1335" i="6"/>
  <c r="AG1330" i="6"/>
  <c r="AG10" i="5"/>
  <c r="AJ48" i="16"/>
  <c r="AK38" i="18"/>
  <c r="AI40" i="15"/>
  <c r="AE1779" i="6"/>
  <c r="AE1783" i="6"/>
  <c r="AF1781" i="6"/>
  <c r="AE1110" i="6"/>
  <c r="AF1103" i="6"/>
  <c r="AE1109" i="6"/>
  <c r="AF9" i="5"/>
  <c r="Z2831" i="6"/>
  <c r="M24" i="17"/>
  <c r="O1107" i="6"/>
  <c r="P18" i="5" s="1"/>
  <c r="AG408" i="6"/>
  <c r="AG244" i="6"/>
  <c r="AH28" i="5" s="1"/>
  <c r="AG245" i="6"/>
  <c r="AG67" i="12"/>
  <c r="AN38" i="20"/>
  <c r="P1389" i="6"/>
  <c r="P1390" i="6"/>
  <c r="AG36" i="20"/>
  <c r="AF66" i="14"/>
  <c r="AK143" i="18"/>
  <c r="AL143" i="18" s="1"/>
  <c r="AM143" i="18" s="1"/>
  <c r="AN143" i="18" s="1"/>
  <c r="AO143" i="18" s="1"/>
  <c r="AP143" i="18" s="1"/>
  <c r="AQ143" i="18" s="1"/>
  <c r="AR143" i="18" s="1"/>
  <c r="AS143" i="18" s="1"/>
  <c r="AT143" i="18"/>
  <c r="AU143" i="18" s="1"/>
  <c r="AV143" i="18" s="1"/>
  <c r="AW143" i="18" s="1"/>
  <c r="AX143" i="18" s="1"/>
  <c r="AY143" i="18" s="1"/>
  <c r="AZ143" i="18" s="1"/>
  <c r="AG69" i="14"/>
  <c r="AH69" i="14" s="1"/>
  <c r="AI69" i="14" s="1"/>
  <c r="AJ69" i="14" s="1"/>
  <c r="AK69" i="14" s="1"/>
  <c r="AL69" i="14" s="1"/>
  <c r="AM69" i="14" s="1"/>
  <c r="AN69" i="14" s="1"/>
  <c r="AO69" i="14" s="1"/>
  <c r="AP69" i="14" s="1"/>
  <c r="AQ69" i="14" s="1"/>
  <c r="AR69" i="14" s="1"/>
  <c r="AS69" i="14" s="1"/>
  <c r="AT69" i="14" s="1"/>
  <c r="AU69" i="14" s="1"/>
  <c r="AV69" i="14" s="1"/>
  <c r="AW69" i="14" s="1"/>
  <c r="AX69" i="14" s="1"/>
  <c r="AY69" i="14" s="1"/>
  <c r="AZ69" i="14" s="1"/>
  <c r="BA69" i="14" s="1"/>
  <c r="AJ47" i="15"/>
  <c r="AK47" i="15" s="1"/>
  <c r="AL47" i="15" s="1"/>
  <c r="AM47" i="15" s="1"/>
  <c r="AN47" i="15" s="1"/>
  <c r="AO47" i="15" s="1"/>
  <c r="AP47" i="15" s="1"/>
  <c r="AQ47" i="15" s="1"/>
  <c r="AR47" i="15" s="1"/>
  <c r="AS47" i="15" s="1"/>
  <c r="AT47" i="15" s="1"/>
  <c r="AU47" i="15" s="1"/>
  <c r="AV47" i="15" s="1"/>
  <c r="AW47" i="15" s="1"/>
  <c r="AX47" i="15" s="1"/>
  <c r="AY47" i="15" s="1"/>
  <c r="AZ47" i="15" s="1"/>
  <c r="BA47" i="15" s="1"/>
  <c r="M21" i="17"/>
  <c r="O1106" i="6"/>
  <c r="P19" i="5" s="1"/>
  <c r="Y476" i="6"/>
  <c r="Y475" i="6"/>
  <c r="AE1102" i="6"/>
  <c r="AF1104" i="6"/>
  <c r="AE1108" i="6"/>
  <c r="AB42" i="8"/>
  <c r="AC644" i="6" s="1"/>
  <c r="AB41" i="8"/>
  <c r="AC642" i="6" s="1"/>
  <c r="AB43" i="8"/>
  <c r="AC643" i="6" s="1"/>
  <c r="AC641" i="6"/>
  <c r="AD33" i="5" s="1"/>
  <c r="AH71" i="19"/>
  <c r="AI71" i="19" s="1"/>
  <c r="AJ71" i="19" s="1"/>
  <c r="AK71" i="19" s="1"/>
  <c r="AL71" i="19" s="1"/>
  <c r="AM71" i="19" s="1"/>
  <c r="AN71" i="19" s="1"/>
  <c r="AO71" i="19" s="1"/>
  <c r="AP71" i="19" s="1"/>
  <c r="AQ71" i="19" s="1"/>
  <c r="AR71" i="19" s="1"/>
  <c r="AS71" i="19" s="1"/>
  <c r="AT71" i="19" s="1"/>
  <c r="AU71" i="19" s="1"/>
  <c r="AV71" i="19" s="1"/>
  <c r="AW71" i="19" s="1"/>
  <c r="AX71" i="19" s="1"/>
  <c r="AY71" i="19" s="1"/>
  <c r="AZ71" i="19" s="1"/>
  <c r="AK72" i="20"/>
  <c r="AL72" i="20" s="1"/>
  <c r="AM72" i="20" s="1"/>
  <c r="AN72" i="20" s="1"/>
  <c r="AO72" i="20" s="1"/>
  <c r="AP72" i="20" s="1"/>
  <c r="AQ72" i="20" s="1"/>
  <c r="AR72" i="20" s="1"/>
  <c r="AS72" i="20" s="1"/>
  <c r="AT72" i="20" s="1"/>
  <c r="AU72" i="20" s="1"/>
  <c r="AV72" i="20" s="1"/>
  <c r="AW72" i="20" s="1"/>
  <c r="AX72" i="20" s="1"/>
  <c r="AY72" i="20" s="1"/>
  <c r="AZ72" i="20" s="1"/>
  <c r="N23" i="14"/>
  <c r="P415" i="6"/>
  <c r="O937" i="6"/>
  <c r="O938" i="6"/>
  <c r="AH70" i="14"/>
  <c r="AI70" i="14" s="1"/>
  <c r="AJ70" i="14" s="1"/>
  <c r="AK70" i="14" s="1"/>
  <c r="AL70" i="14" s="1"/>
  <c r="AM70" i="14" s="1"/>
  <c r="AN70" i="14" s="1"/>
  <c r="AO70" i="14" s="1"/>
  <c r="AP70" i="14" s="1"/>
  <c r="AQ70" i="14" s="1"/>
  <c r="AR70" i="14" s="1"/>
  <c r="AS70" i="14" s="1"/>
  <c r="AT70" i="14" s="1"/>
  <c r="AU70" i="14" s="1"/>
  <c r="AV70" i="14" s="1"/>
  <c r="AW70" i="14" s="1"/>
  <c r="AX70" i="14" s="1"/>
  <c r="AY70" i="14" s="1"/>
  <c r="AZ70" i="14" s="1"/>
  <c r="BA70" i="14" s="1"/>
  <c r="Y2831" i="6"/>
  <c r="AG199" i="14"/>
  <c r="AH199" i="14" s="1"/>
  <c r="AM199" i="14"/>
  <c r="AN199" i="14" s="1"/>
  <c r="AO199" i="14" s="1"/>
  <c r="AP199" i="14" s="1"/>
  <c r="AQ199" i="14" s="1"/>
  <c r="AR199" i="14" s="1"/>
  <c r="AS199" i="14" s="1"/>
  <c r="AT199" i="14" s="1"/>
  <c r="AU199" i="14" s="1"/>
  <c r="AV199" i="14" s="1"/>
  <c r="AW199" i="14" s="1"/>
  <c r="AX199" i="14" s="1"/>
  <c r="AY199" i="14" s="1"/>
  <c r="AZ199" i="14" s="1"/>
  <c r="BA199" i="14" s="1"/>
  <c r="AI199" i="14"/>
  <c r="AJ199" i="14" s="1"/>
  <c r="AK199" i="14" s="1"/>
  <c r="AL199" i="14" s="1"/>
  <c r="AI128" i="14"/>
  <c r="AJ128" i="14"/>
  <c r="M17" i="20"/>
  <c r="O1782" i="6"/>
  <c r="AD2835" i="6"/>
  <c r="AD92" i="9"/>
  <c r="AD66" i="9"/>
  <c r="AD64" i="9"/>
  <c r="AD61" i="9"/>
  <c r="AE3005" i="6" s="1"/>
  <c r="AD58" i="9"/>
  <c r="AD16" i="9"/>
  <c r="AD8" i="9"/>
  <c r="AE2670" i="6" s="1"/>
  <c r="AD3" i="9"/>
  <c r="AD69" i="9"/>
  <c r="AE93" i="9"/>
  <c r="AD74" i="9"/>
  <c r="AD68" i="9"/>
  <c r="AE2837" i="6" s="1"/>
  <c r="AD65" i="9"/>
  <c r="AD63" i="9"/>
  <c r="AD57" i="9"/>
  <c r="AE3002" i="6" s="1"/>
  <c r="AD4" i="9"/>
  <c r="AL75" i="22"/>
  <c r="AM75" i="22" s="1"/>
  <c r="AN75" i="22" s="1"/>
  <c r="AO75" i="22" s="1"/>
  <c r="AP75" i="22"/>
  <c r="AQ75" i="22" s="1"/>
  <c r="AR75" i="22" s="1"/>
  <c r="AS75" i="22" s="1"/>
  <c r="AT75" i="22" s="1"/>
  <c r="AU75" i="22" s="1"/>
  <c r="AV75" i="22" s="1"/>
  <c r="AW75" i="22" s="1"/>
  <c r="AX75" i="22" s="1"/>
  <c r="AY75" i="22" s="1"/>
  <c r="AZ75" i="22" s="1"/>
  <c r="AD2836" i="6"/>
  <c r="AF1329" i="6"/>
  <c r="AF1333" i="6"/>
  <c r="AG1331" i="6"/>
  <c r="Q1164" i="6"/>
  <c r="Q1165" i="6"/>
  <c r="Q1322" i="6" s="1"/>
  <c r="AI160" i="14"/>
  <c r="AJ160" i="14" s="1"/>
  <c r="AK160" i="14" s="1"/>
  <c r="AL160" i="14" s="1"/>
  <c r="AM160" i="14" s="1"/>
  <c r="AN160" i="14" s="1"/>
  <c r="AO160" i="14" s="1"/>
  <c r="AP160" i="14" s="1"/>
  <c r="AQ160" i="14" s="1"/>
  <c r="AR160" i="14" s="1"/>
  <c r="AS160" i="14" s="1"/>
  <c r="AT160" i="14" s="1"/>
  <c r="AU160" i="14" s="1"/>
  <c r="AV160" i="14" s="1"/>
  <c r="AW160" i="14" s="1"/>
  <c r="AX160" i="14" s="1"/>
  <c r="AY160" i="14" s="1"/>
  <c r="AZ160" i="14" s="1"/>
  <c r="BA160" i="14" s="1"/>
  <c r="AK42" i="19"/>
  <c r="AL42" i="19" s="1"/>
  <c r="AM42" i="19" s="1"/>
  <c r="AN42" i="19" s="1"/>
  <c r="AO42" i="19" s="1"/>
  <c r="AP42" i="19" s="1"/>
  <c r="AQ42" i="19" s="1"/>
  <c r="AR42" i="19" s="1"/>
  <c r="AS42" i="19" s="1"/>
  <c r="AT42" i="19" s="1"/>
  <c r="AU42" i="19" s="1"/>
  <c r="AV42" i="19" s="1"/>
  <c r="AW42" i="19" s="1"/>
  <c r="AX42" i="19" s="1"/>
  <c r="AY42" i="19" s="1"/>
  <c r="AZ42" i="19" s="1"/>
  <c r="BA42" i="19" s="1"/>
  <c r="I2" i="13"/>
  <c r="AH198" i="6"/>
  <c r="AD198" i="6"/>
  <c r="Z198" i="6"/>
  <c r="V198" i="6"/>
  <c r="R198" i="6"/>
  <c r="AE146" i="6"/>
  <c r="AA146" i="6"/>
  <c r="W146" i="6"/>
  <c r="S146" i="6"/>
  <c r="AD94" i="6"/>
  <c r="Z94" i="6"/>
  <c r="V94" i="6"/>
  <c r="R94" i="6"/>
  <c r="K28" i="6"/>
  <c r="AA198" i="6"/>
  <c r="W94" i="6"/>
  <c r="AK198" i="6"/>
  <c r="AG198" i="6"/>
  <c r="AC198" i="6"/>
  <c r="Y198" i="6"/>
  <c r="U198" i="6"/>
  <c r="Q198" i="6"/>
  <c r="AD146" i="6"/>
  <c r="Z146" i="6"/>
  <c r="V146" i="6"/>
  <c r="R146" i="6"/>
  <c r="AC94" i="6"/>
  <c r="Y94" i="6"/>
  <c r="U94" i="6"/>
  <c r="Q94" i="6"/>
  <c r="K31" i="6"/>
  <c r="K27" i="6"/>
  <c r="AE198" i="6"/>
  <c r="S198" i="6"/>
  <c r="T146" i="6"/>
  <c r="AA94" i="6"/>
  <c r="AJ198" i="6"/>
  <c r="AF198" i="6"/>
  <c r="AB198" i="6"/>
  <c r="X198" i="6"/>
  <c r="T198" i="6"/>
  <c r="AC146" i="6"/>
  <c r="Y146" i="6"/>
  <c r="U146" i="6"/>
  <c r="Q146" i="6"/>
  <c r="AB94" i="6"/>
  <c r="X94" i="6"/>
  <c r="T94" i="6"/>
  <c r="K30" i="6"/>
  <c r="K26" i="6"/>
  <c r="K16" i="6" s="1"/>
  <c r="AI198" i="6"/>
  <c r="W198" i="6"/>
  <c r="AB146" i="6"/>
  <c r="X146" i="6"/>
  <c r="AE94" i="6"/>
  <c r="S94" i="6"/>
  <c r="K29" i="6"/>
  <c r="AG80" i="21"/>
  <c r="AH80" i="21" s="1"/>
  <c r="AI80" i="21" s="1"/>
  <c r="AJ80" i="21" s="1"/>
  <c r="AK80" i="21" s="1"/>
  <c r="AL80" i="21" s="1"/>
  <c r="AM80" i="21" s="1"/>
  <c r="AN80" i="21" s="1"/>
  <c r="AO80" i="21" s="1"/>
  <c r="AP80" i="21" s="1"/>
  <c r="AQ80" i="21" s="1"/>
  <c r="AR80" i="21" s="1"/>
  <c r="AS80" i="21" s="1"/>
  <c r="AT80" i="21" s="1"/>
  <c r="AU80" i="21" s="1"/>
  <c r="AV80" i="21" s="1"/>
  <c r="AW80" i="21" s="1"/>
  <c r="AX80" i="21" s="1"/>
  <c r="AY80" i="21" s="1"/>
  <c r="AZ80" i="21" s="1"/>
  <c r="AW53" i="21"/>
  <c r="AX53" i="21" s="1"/>
  <c r="AY53" i="21" s="1"/>
  <c r="AZ53" i="21" s="1"/>
  <c r="BA53" i="21" s="1"/>
  <c r="AI53" i="21"/>
  <c r="AJ53" i="21" s="1"/>
  <c r="AK53" i="21" s="1"/>
  <c r="AL53" i="21" s="1"/>
  <c r="AM53" i="21" s="1"/>
  <c r="AN53" i="21" s="1"/>
  <c r="AO53" i="21" s="1"/>
  <c r="AP53" i="21" s="1"/>
  <c r="AQ53" i="21" s="1"/>
  <c r="AR53" i="21" s="1"/>
  <c r="AS53" i="21" s="1"/>
  <c r="AT53" i="21" s="1"/>
  <c r="AU53" i="21" s="1"/>
  <c r="AV53" i="21" s="1"/>
  <c r="AF118" i="14"/>
  <c r="AG118" i="14" s="1"/>
  <c r="AH118" i="14" s="1"/>
  <c r="AI118" i="14" s="1"/>
  <c r="AJ118" i="14" s="1"/>
  <c r="AK118" i="14" s="1"/>
  <c r="AL118" i="14" s="1"/>
  <c r="AM118" i="14" s="1"/>
  <c r="AN118" i="14" s="1"/>
  <c r="AO118" i="14" s="1"/>
  <c r="AP118" i="14" s="1"/>
  <c r="AQ118" i="14" s="1"/>
  <c r="AR118" i="14" s="1"/>
  <c r="AS118" i="14" s="1"/>
  <c r="AT118" i="14" s="1"/>
  <c r="AU118" i="14" s="1"/>
  <c r="AV118" i="14" s="1"/>
  <c r="AW118" i="14" s="1"/>
  <c r="AX118" i="14" s="1"/>
  <c r="AY118" i="14" s="1"/>
  <c r="AZ118" i="14" s="1"/>
  <c r="BA118" i="14" s="1"/>
  <c r="AG39" i="18"/>
  <c r="AS2643" i="6"/>
  <c r="AO2643" i="6"/>
  <c r="AK2643" i="6"/>
  <c r="AG2643" i="6"/>
  <c r="AG2612" i="6" s="1"/>
  <c r="AS2591" i="6"/>
  <c r="AO2591" i="6"/>
  <c r="AK2591" i="6"/>
  <c r="AG2591" i="6"/>
  <c r="AG2560" i="6" s="1" a="1"/>
  <c r="AG2560" i="6" s="1"/>
  <c r="AR2539" i="6"/>
  <c r="AN2539" i="6"/>
  <c r="AJ2539" i="6"/>
  <c r="AR2643" i="6"/>
  <c r="AM2643" i="6"/>
  <c r="AH2643" i="6"/>
  <c r="AT2591" i="6"/>
  <c r="AN2591" i="6"/>
  <c r="AI2591" i="6"/>
  <c r="AU2539" i="6"/>
  <c r="AP2539" i="6"/>
  <c r="AK2539" i="6"/>
  <c r="AV2643" i="6"/>
  <c r="AQ2643" i="6"/>
  <c r="AL2643" i="6"/>
  <c r="AR2591" i="6"/>
  <c r="AM2591" i="6"/>
  <c r="AH2591" i="6"/>
  <c r="AT2539" i="6"/>
  <c r="AO2539" i="6"/>
  <c r="AI2539" i="6"/>
  <c r="AU2643" i="6"/>
  <c r="AP2643" i="6"/>
  <c r="AJ2643" i="6"/>
  <c r="AQ2591" i="6"/>
  <c r="AL2591" i="6"/>
  <c r="AS2539" i="6"/>
  <c r="AM2539" i="6"/>
  <c r="AH2539" i="6"/>
  <c r="AN2643" i="6"/>
  <c r="AJ2591" i="6"/>
  <c r="AQ2539" i="6"/>
  <c r="AH2453" i="6"/>
  <c r="AI2643" i="6"/>
  <c r="AL2539" i="6"/>
  <c r="AU2591" i="6"/>
  <c r="AG2539" i="6"/>
  <c r="AG2508" i="6" s="1" a="1"/>
  <c r="AG2508" i="6" s="1"/>
  <c r="AT2643" i="6"/>
  <c r="AP2591" i="6"/>
  <c r="AF2485" i="6"/>
  <c r="AF2454" i="6" s="1"/>
  <c r="AH21" i="5"/>
  <c r="AP2802" i="6"/>
  <c r="AL2802" i="6"/>
  <c r="AH2802" i="6"/>
  <c r="AD2802" i="6"/>
  <c r="Z2802" i="6"/>
  <c r="Y2672" i="6"/>
  <c r="AR2802" i="6"/>
  <c r="AM2802" i="6"/>
  <c r="AG2802" i="6"/>
  <c r="AB2802" i="6"/>
  <c r="AQ2802" i="6"/>
  <c r="AK2802" i="6"/>
  <c r="AF2802" i="6"/>
  <c r="AA2802" i="6"/>
  <c r="AN2802" i="6"/>
  <c r="AC2802" i="6"/>
  <c r="AJ2802" i="6"/>
  <c r="Y2802" i="6"/>
  <c r="Y2779" i="6" s="1"/>
  <c r="AS2802" i="6"/>
  <c r="AI2802" i="6"/>
  <c r="AO2802" i="6"/>
  <c r="AE2802" i="6"/>
  <c r="Y2673" i="6"/>
  <c r="Z27" i="5"/>
  <c r="AH131" i="14"/>
  <c r="AI131" i="14" s="1"/>
  <c r="AJ131" i="14" s="1"/>
  <c r="AK131" i="14" s="1"/>
  <c r="AL131" i="14" s="1"/>
  <c r="AM131" i="14" s="1"/>
  <c r="AN131" i="14" s="1"/>
  <c r="AO131" i="14" s="1"/>
  <c r="AP131" i="14" s="1"/>
  <c r="AQ131" i="14" s="1"/>
  <c r="AR131" i="14" s="1"/>
  <c r="AS131" i="14" s="1"/>
  <c r="AT131" i="14" s="1"/>
  <c r="AU131" i="14" s="1"/>
  <c r="AV131" i="14" s="1"/>
  <c r="AW131" i="14" s="1"/>
  <c r="AX131" i="14" s="1"/>
  <c r="AY131" i="14" s="1"/>
  <c r="AZ131" i="14" s="1"/>
  <c r="BA131" i="14" s="1"/>
  <c r="AG36" i="22"/>
  <c r="AE126" i="14"/>
  <c r="AT103" i="14"/>
  <c r="AU103" i="14" s="1"/>
  <c r="AV103" i="14" s="1"/>
  <c r="AW103" i="14" s="1"/>
  <c r="AX103" i="14" s="1"/>
  <c r="AY103" i="14" s="1"/>
  <c r="AZ103" i="14" s="1"/>
  <c r="BA103" i="14" s="1"/>
  <c r="AG201" i="14"/>
  <c r="AH201" i="14" s="1"/>
  <c r="AI201" i="14" s="1"/>
  <c r="AJ201" i="14"/>
  <c r="AK201" i="14" s="1"/>
  <c r="AL201" i="14" s="1"/>
  <c r="AM201" i="14" s="1"/>
  <c r="AN201" i="14" s="1"/>
  <c r="AO201" i="14" s="1"/>
  <c r="AP201" i="14" s="1"/>
  <c r="AQ201" i="14" s="1"/>
  <c r="AR201" i="14" s="1"/>
  <c r="AS201" i="14" s="1"/>
  <c r="AT201" i="14" s="1"/>
  <c r="AU201" i="14" s="1"/>
  <c r="AV201" i="14" s="1"/>
  <c r="AW201" i="14" s="1"/>
  <c r="AX201" i="14" s="1"/>
  <c r="AY201" i="14" s="1"/>
  <c r="AZ201" i="14" s="1"/>
  <c r="BA201" i="14" s="1"/>
  <c r="AI115" i="18"/>
  <c r="AJ115" i="18" s="1"/>
  <c r="AK115" i="18" s="1"/>
  <c r="AL115" i="18" s="1"/>
  <c r="AM115" i="18" s="1"/>
  <c r="AN115" i="18" s="1"/>
  <c r="AO115" i="18" s="1"/>
  <c r="AP115" i="18" s="1"/>
  <c r="AQ115" i="18" s="1"/>
  <c r="AR115" i="18" s="1"/>
  <c r="AS115" i="18" s="1"/>
  <c r="AT115" i="18" s="1"/>
  <c r="AU115" i="18" s="1"/>
  <c r="AV115" i="18" s="1"/>
  <c r="AW115" i="18" s="1"/>
  <c r="AX115" i="18" s="1"/>
  <c r="AY115" i="18" s="1"/>
  <c r="AZ115" i="18" s="1"/>
  <c r="AG36" i="21"/>
  <c r="O2064" i="6"/>
  <c r="O2065" i="6"/>
  <c r="Z19" i="17"/>
  <c r="Z1105" i="6"/>
  <c r="P475" i="6"/>
  <c r="P476" i="6"/>
  <c r="M2" i="14"/>
  <c r="AD597" i="6"/>
  <c r="Z597" i="6"/>
  <c r="V597" i="6"/>
  <c r="R597" i="6"/>
  <c r="AF545" i="6"/>
  <c r="AB545" i="6"/>
  <c r="X545" i="6"/>
  <c r="T545" i="6"/>
  <c r="AF493" i="6"/>
  <c r="AB493" i="6"/>
  <c r="X493" i="6"/>
  <c r="T493" i="6"/>
  <c r="Y493" i="6"/>
  <c r="AG597" i="6"/>
  <c r="AC597" i="6"/>
  <c r="Y597" i="6"/>
  <c r="U597" i="6"/>
  <c r="AE545" i="6"/>
  <c r="AA545" i="6"/>
  <c r="W545" i="6"/>
  <c r="S545" i="6"/>
  <c r="AE493" i="6"/>
  <c r="AA493" i="6"/>
  <c r="W493" i="6"/>
  <c r="S493" i="6"/>
  <c r="O439" i="6"/>
  <c r="O437" i="6"/>
  <c r="AA597" i="6"/>
  <c r="S597" i="6"/>
  <c r="Y545" i="6"/>
  <c r="AC493" i="6"/>
  <c r="AF597" i="6"/>
  <c r="AB597" i="6"/>
  <c r="X597" i="6"/>
  <c r="T597" i="6"/>
  <c r="AD545" i="6"/>
  <c r="Z545" i="6"/>
  <c r="V545" i="6"/>
  <c r="R545" i="6"/>
  <c r="AA529" i="6"/>
  <c r="AD493" i="6"/>
  <c r="Z493" i="6"/>
  <c r="V493" i="6"/>
  <c r="R493" i="6"/>
  <c r="AE597" i="6"/>
  <c r="W597" i="6"/>
  <c r="AC545" i="6"/>
  <c r="U545" i="6"/>
  <c r="U493" i="6"/>
  <c r="O438" i="6"/>
  <c r="AH43" i="21"/>
  <c r="AI43" i="21" s="1"/>
  <c r="AJ43" i="21" s="1"/>
  <c r="AK43" i="21" s="1"/>
  <c r="AL43" i="21" s="1"/>
  <c r="AM43" i="21" s="1"/>
  <c r="AN43" i="21" s="1"/>
  <c r="AO43" i="21" s="1"/>
  <c r="AP43" i="21" s="1"/>
  <c r="AQ43" i="21" s="1"/>
  <c r="AR43" i="21" s="1"/>
  <c r="AS43" i="21" s="1"/>
  <c r="AT43" i="21" s="1"/>
  <c r="AU43" i="21" s="1"/>
  <c r="AV43" i="21" s="1"/>
  <c r="AW43" i="21" s="1"/>
  <c r="AX43" i="21" s="1"/>
  <c r="AY43" i="21" s="1"/>
  <c r="AZ43" i="21" s="1"/>
  <c r="BA43" i="21" s="1"/>
  <c r="AV384" i="6"/>
  <c r="AR384" i="6"/>
  <c r="AN384" i="6"/>
  <c r="AJ384" i="6"/>
  <c r="AF384" i="6"/>
  <c r="AK384" i="6"/>
  <c r="AU384" i="6"/>
  <c r="AQ384" i="6"/>
  <c r="AM384" i="6"/>
  <c r="AI384" i="6"/>
  <c r="AE384" i="6"/>
  <c r="AD249" i="6"/>
  <c r="AE29" i="5"/>
  <c r="AS384" i="6"/>
  <c r="AG384" i="6"/>
  <c r="AX384" i="6"/>
  <c r="AT384" i="6"/>
  <c r="AP384" i="6"/>
  <c r="AL384" i="6"/>
  <c r="AH384" i="6"/>
  <c r="AD384" i="6"/>
  <c r="AD250" i="6"/>
  <c r="AW384" i="6"/>
  <c r="AO384" i="6"/>
  <c r="AC635" i="6"/>
  <c r="AD23" i="5" s="1"/>
  <c r="AC419" i="6"/>
  <c r="AD413" i="6"/>
  <c r="AD414" i="6" s="1"/>
  <c r="AD15" i="5"/>
  <c r="AB22" i="9"/>
  <c r="AF877" i="6"/>
  <c r="AF881" i="6"/>
  <c r="AG879" i="6"/>
  <c r="AE17" i="21"/>
  <c r="AE2007" i="6"/>
  <c r="M17" i="22"/>
  <c r="O2228" i="6"/>
  <c r="AG70" i="13"/>
  <c r="Z21" i="17"/>
  <c r="Z1106" i="6"/>
  <c r="AA19" i="5" s="1"/>
  <c r="AH1072" i="6"/>
  <c r="AQ1020" i="6"/>
  <c r="AM1020" i="6"/>
  <c r="AI1020" i="6"/>
  <c r="AE1020" i="6"/>
  <c r="AE991" i="6" s="1" a="1"/>
  <c r="AE991" i="6" s="1"/>
  <c r="AR968" i="6"/>
  <c r="AN968" i="6"/>
  <c r="AJ968" i="6"/>
  <c r="AF968" i="6"/>
  <c r="AG1072" i="6"/>
  <c r="AP1020" i="6"/>
  <c r="AL1020" i="6"/>
  <c r="AH1020" i="6"/>
  <c r="AJ1072" i="6"/>
  <c r="AF1072" i="6"/>
  <c r="AS1020" i="6"/>
  <c r="AO1020" i="6"/>
  <c r="AK1020" i="6"/>
  <c r="AG1020" i="6"/>
  <c r="AP968" i="6"/>
  <c r="AL968" i="6"/>
  <c r="AH968" i="6"/>
  <c r="AI1072" i="6"/>
  <c r="AE1072" i="6"/>
  <c r="AE1043" i="6" s="1"/>
  <c r="AF1020" i="6"/>
  <c r="AQ968" i="6"/>
  <c r="AI968" i="6"/>
  <c r="AR1020" i="6"/>
  <c r="AO968" i="6"/>
  <c r="AG968" i="6"/>
  <c r="AD914" i="6"/>
  <c r="AD885" i="6" s="1"/>
  <c r="AN1020" i="6"/>
  <c r="AM968" i="6"/>
  <c r="AE968" i="6"/>
  <c r="AE939" i="6" s="1" a="1"/>
  <c r="AE939" i="6" s="1"/>
  <c r="AF884" i="6"/>
  <c r="AJ1020" i="6"/>
  <c r="AS968" i="6"/>
  <c r="AK968" i="6"/>
  <c r="L2" i="19"/>
  <c r="AE1736" i="6"/>
  <c r="AA1736" i="6"/>
  <c r="W1736" i="6"/>
  <c r="S1736" i="6"/>
  <c r="AE1683" i="6"/>
  <c r="AA1683" i="6"/>
  <c r="W1683" i="6"/>
  <c r="S1683" i="6"/>
  <c r="AD1631" i="6"/>
  <c r="Z1631" i="6"/>
  <c r="V1631" i="6"/>
  <c r="R1631" i="6"/>
  <c r="AF1736" i="6"/>
  <c r="Z1736" i="6"/>
  <c r="U1736" i="6"/>
  <c r="AB1683" i="6"/>
  <c r="V1683" i="6"/>
  <c r="Q1683" i="6"/>
  <c r="AE1631" i="6"/>
  <c r="Y1631" i="6"/>
  <c r="T1631" i="6"/>
  <c r="AD1736" i="6"/>
  <c r="Y1736" i="6"/>
  <c r="T1736" i="6"/>
  <c r="Z1683" i="6"/>
  <c r="U1683" i="6"/>
  <c r="AC1631" i="6"/>
  <c r="X1631" i="6"/>
  <c r="S1631" i="6"/>
  <c r="N1577" i="6"/>
  <c r="N1575" i="6"/>
  <c r="N1562" i="6" s="1"/>
  <c r="AC1736" i="6"/>
  <c r="X1736" i="6"/>
  <c r="R1736" i="6"/>
  <c r="AD1683" i="6"/>
  <c r="Y1683" i="6"/>
  <c r="T1683" i="6"/>
  <c r="AB1631" i="6"/>
  <c r="W1631" i="6"/>
  <c r="Q1631" i="6"/>
  <c r="AG1736" i="6"/>
  <c r="AB1736" i="6"/>
  <c r="V1736" i="6"/>
  <c r="AC1683" i="6"/>
  <c r="X1683" i="6"/>
  <c r="R1683" i="6"/>
  <c r="AA1631" i="6"/>
  <c r="U1631" i="6"/>
  <c r="N1576" i="6"/>
  <c r="AF44" i="17"/>
  <c r="AE3003" i="6"/>
  <c r="AF3003" i="6" s="1"/>
  <c r="AE38" i="15"/>
  <c r="AF17" i="19"/>
  <c r="AF1557" i="6"/>
  <c r="AF655" i="6"/>
  <c r="AG653" i="6"/>
  <c r="AG6" i="5"/>
  <c r="AF658" i="6"/>
  <c r="AE1785" i="6"/>
  <c r="AE1784" i="6"/>
  <c r="AF1780" i="6"/>
  <c r="AF12" i="5"/>
  <c r="AT1524" i="6"/>
  <c r="AP1524" i="6"/>
  <c r="AL1524" i="6"/>
  <c r="AH1524" i="6"/>
  <c r="AS1472" i="6"/>
  <c r="AO1472" i="6"/>
  <c r="AK1472" i="6"/>
  <c r="AG1472" i="6"/>
  <c r="AR1420" i="6"/>
  <c r="AN1420" i="6"/>
  <c r="AJ1420" i="6"/>
  <c r="AF1420" i="6"/>
  <c r="AD1366" i="6"/>
  <c r="AS1524" i="6"/>
  <c r="AO1524" i="6"/>
  <c r="AK1524" i="6"/>
  <c r="AG1524" i="6"/>
  <c r="AR1472" i="6"/>
  <c r="AN1472" i="6"/>
  <c r="AJ1472" i="6"/>
  <c r="AF1472" i="6"/>
  <c r="AQ1420" i="6"/>
  <c r="AM1420" i="6"/>
  <c r="AI1420" i="6"/>
  <c r="AE1420" i="6"/>
  <c r="AC1366" i="6"/>
  <c r="AR1524" i="6"/>
  <c r="AN1524" i="6"/>
  <c r="AJ1524" i="6"/>
  <c r="AF1524" i="6"/>
  <c r="AQ1472" i="6"/>
  <c r="AM1472" i="6"/>
  <c r="AI1472" i="6"/>
  <c r="AE1472" i="6"/>
  <c r="AP1420" i="6"/>
  <c r="AL1420" i="6"/>
  <c r="AH1420" i="6"/>
  <c r="AB1366" i="6"/>
  <c r="AB1337" i="6" s="1"/>
  <c r="AF1336" i="6"/>
  <c r="AQ1524" i="6"/>
  <c r="AM1524" i="6"/>
  <c r="AI1524" i="6"/>
  <c r="AE1524" i="6"/>
  <c r="AP1472" i="6"/>
  <c r="AL1472" i="6"/>
  <c r="AH1472" i="6"/>
  <c r="AS1420" i="6"/>
  <c r="AO1420" i="6"/>
  <c r="AK1420" i="6"/>
  <c r="AG1420" i="6"/>
  <c r="F302" i="10"/>
  <c r="E226" i="10"/>
  <c r="AC937" i="6"/>
  <c r="AC938" i="6"/>
  <c r="AI44" i="21"/>
  <c r="AJ44" i="21" s="1"/>
  <c r="AK44" i="21" s="1"/>
  <c r="AL44" i="21" s="1"/>
  <c r="AM44" i="21" s="1"/>
  <c r="AN44" i="21" s="1"/>
  <c r="AO44" i="21" s="1"/>
  <c r="AP44" i="21" s="1"/>
  <c r="AQ44" i="21" s="1"/>
  <c r="AR44" i="21" s="1"/>
  <c r="AS44" i="21" s="1"/>
  <c r="AT44" i="21" s="1"/>
  <c r="AU44" i="21" s="1"/>
  <c r="AV44" i="21" s="1"/>
  <c r="AW44" i="21" s="1"/>
  <c r="AX44" i="21" s="1"/>
  <c r="AY44" i="21" s="1"/>
  <c r="AZ44" i="21" s="1"/>
  <c r="BA44" i="21" s="1"/>
  <c r="P1164" i="6"/>
  <c r="P1165" i="6"/>
  <c r="P1322" i="6" s="1"/>
  <c r="AJ204" i="14"/>
  <c r="AK204" i="14" s="1"/>
  <c r="AL204" i="14" s="1"/>
  <c r="AM204" i="14" s="1"/>
  <c r="AN204" i="14" s="1"/>
  <c r="AO204" i="14" s="1"/>
  <c r="AP204" i="14" s="1"/>
  <c r="AQ204" i="14" s="1"/>
  <c r="AR204" i="14" s="1"/>
  <c r="AS204" i="14" s="1"/>
  <c r="AT204" i="14" s="1"/>
  <c r="AU204" i="14" s="1"/>
  <c r="AV204" i="14" s="1"/>
  <c r="AW204" i="14" s="1"/>
  <c r="AX204" i="14" s="1"/>
  <c r="AY204" i="14" s="1"/>
  <c r="AZ204" i="14" s="1"/>
  <c r="BA204" i="14" s="1"/>
  <c r="AF17" i="22"/>
  <c r="AH120" i="22"/>
  <c r="AI120" i="22" s="1"/>
  <c r="AJ120" i="22" s="1"/>
  <c r="AK120" i="22" s="1"/>
  <c r="AL120" i="22" s="1"/>
  <c r="AM120" i="22" s="1"/>
  <c r="AN120" i="22" s="1"/>
  <c r="AO120" i="22" s="1"/>
  <c r="AP120" i="22" s="1"/>
  <c r="AQ120" i="22" s="1"/>
  <c r="AR120" i="22" s="1"/>
  <c r="AS120" i="22" s="1"/>
  <c r="AT120" i="22" s="1"/>
  <c r="AU120" i="22" s="1"/>
  <c r="AV120" i="22" s="1"/>
  <c r="AW120" i="22" s="1"/>
  <c r="AX120" i="22" s="1"/>
  <c r="AY120" i="22" s="1"/>
  <c r="AZ120" i="22" s="1"/>
  <c r="AQ2419" i="6"/>
  <c r="AM2419" i="6"/>
  <c r="AI2419" i="6"/>
  <c r="AE2419" i="6"/>
  <c r="AZ2367" i="6"/>
  <c r="AV2367" i="6"/>
  <c r="AR2367" i="6"/>
  <c r="AN2367" i="6"/>
  <c r="AJ2367" i="6"/>
  <c r="AF2367" i="6"/>
  <c r="BB2315" i="6"/>
  <c r="AX2315" i="6"/>
  <c r="AT2315" i="6"/>
  <c r="AP2315" i="6"/>
  <c r="AL2315" i="6"/>
  <c r="AH2315" i="6"/>
  <c r="AD2315" i="6"/>
  <c r="AP2419" i="6"/>
  <c r="AL2419" i="6"/>
  <c r="AH2419" i="6"/>
  <c r="AD2419" i="6"/>
  <c r="AY2367" i="6"/>
  <c r="AU2367" i="6"/>
  <c r="AQ2367" i="6"/>
  <c r="AM2367" i="6"/>
  <c r="AI2367" i="6"/>
  <c r="AE2367" i="6"/>
  <c r="BA2315" i="6"/>
  <c r="AW2315" i="6"/>
  <c r="AS2315" i="6"/>
  <c r="AO2315" i="6"/>
  <c r="AK2315" i="6"/>
  <c r="AG2315" i="6"/>
  <c r="AC2261" i="6"/>
  <c r="AE2232" i="6"/>
  <c r="AS2419" i="6"/>
  <c r="AO2419" i="6"/>
  <c r="AK2419" i="6"/>
  <c r="AG2419" i="6"/>
  <c r="BB2367" i="6"/>
  <c r="AX2367" i="6"/>
  <c r="AT2367" i="6"/>
  <c r="AP2367" i="6"/>
  <c r="AL2367" i="6"/>
  <c r="AH2367" i="6"/>
  <c r="AD2367" i="6"/>
  <c r="AZ2315" i="6"/>
  <c r="AV2315" i="6"/>
  <c r="AR2315" i="6"/>
  <c r="AN2315" i="6"/>
  <c r="AJ2315" i="6"/>
  <c r="AF2315" i="6"/>
  <c r="AB2261" i="6"/>
  <c r="AR2419" i="6"/>
  <c r="AN2419" i="6"/>
  <c r="AJ2419" i="6"/>
  <c r="AF2419" i="6"/>
  <c r="BA2367" i="6"/>
  <c r="AW2367" i="6"/>
  <c r="AS2367" i="6"/>
  <c r="AO2367" i="6"/>
  <c r="AK2367" i="6"/>
  <c r="AG2367" i="6"/>
  <c r="AY2315" i="6"/>
  <c r="AU2315" i="6"/>
  <c r="AQ2315" i="6"/>
  <c r="AM2315" i="6"/>
  <c r="AI2315" i="6"/>
  <c r="AE2315" i="6"/>
  <c r="AA2261" i="6"/>
  <c r="AA2233" i="6" s="1"/>
  <c r="AB713" i="6"/>
  <c r="AB712" i="6"/>
  <c r="AG79" i="20"/>
  <c r="AH79" i="20" s="1"/>
  <c r="AI79" i="20" s="1"/>
  <c r="AJ79" i="20" s="1"/>
  <c r="AK79" i="20" s="1"/>
  <c r="AL79" i="20" s="1"/>
  <c r="AM79" i="20" s="1"/>
  <c r="AN79" i="20" s="1"/>
  <c r="AO79" i="20" s="1"/>
  <c r="AP79" i="20" s="1"/>
  <c r="AQ79" i="20" s="1"/>
  <c r="AR79" i="20" s="1"/>
  <c r="AS79" i="20" s="1"/>
  <c r="AT79" i="20" s="1"/>
  <c r="AU79" i="20" s="1"/>
  <c r="AV79" i="20" s="1"/>
  <c r="AW79" i="20" s="1"/>
  <c r="AX79" i="20" s="1"/>
  <c r="AY79" i="20" s="1"/>
  <c r="AZ79" i="20" s="1"/>
  <c r="AA2064" i="6"/>
  <c r="AA2065" i="6"/>
  <c r="AO22" i="13"/>
  <c r="AP21" i="13"/>
  <c r="AS1298" i="6"/>
  <c r="AO1298" i="6"/>
  <c r="AK1298" i="6"/>
  <c r="AG1298" i="6"/>
  <c r="AR1246" i="6"/>
  <c r="AN1246" i="6"/>
  <c r="AJ1246" i="6"/>
  <c r="AF1246" i="6"/>
  <c r="AO1194" i="6"/>
  <c r="AK1194" i="6"/>
  <c r="AG1194" i="6"/>
  <c r="Z1140" i="6"/>
  <c r="AR1298" i="6"/>
  <c r="AN1298" i="6"/>
  <c r="AJ1298" i="6"/>
  <c r="AF1298" i="6"/>
  <c r="AQ1246" i="6"/>
  <c r="AM1246" i="6"/>
  <c r="AI1246" i="6"/>
  <c r="AE1246" i="6"/>
  <c r="AR1194" i="6"/>
  <c r="AN1194" i="6"/>
  <c r="AJ1194" i="6"/>
  <c r="AF1194" i="6"/>
  <c r="AC1140" i="6"/>
  <c r="Y1140" i="6"/>
  <c r="AQ1298" i="6"/>
  <c r="AM1298" i="6"/>
  <c r="AI1298" i="6"/>
  <c r="AE1298" i="6"/>
  <c r="AP1246" i="6"/>
  <c r="AL1246" i="6"/>
  <c r="AH1246" i="6"/>
  <c r="AD1246" i="6"/>
  <c r="AQ1194" i="6"/>
  <c r="AM1194" i="6"/>
  <c r="AI1194" i="6"/>
  <c r="AE1194" i="6"/>
  <c r="AB1140" i="6"/>
  <c r="X1140" i="6"/>
  <c r="X1112" i="6" s="1"/>
  <c r="AE1111" i="6"/>
  <c r="AP1298" i="6"/>
  <c r="AL1298" i="6"/>
  <c r="AH1298" i="6"/>
  <c r="AD1298" i="6"/>
  <c r="AO1246" i="6"/>
  <c r="AK1246" i="6"/>
  <c r="AG1246" i="6"/>
  <c r="AP1194" i="6"/>
  <c r="AL1194" i="6"/>
  <c r="AH1194" i="6"/>
  <c r="AD1194" i="6"/>
  <c r="AA1140" i="6"/>
  <c r="AU2973" i="6"/>
  <c r="AQ2973" i="6"/>
  <c r="AM2973" i="6"/>
  <c r="AI2973" i="6"/>
  <c r="AE2973" i="6"/>
  <c r="AT2973" i="6"/>
  <c r="AP2973" i="6"/>
  <c r="AL2973" i="6"/>
  <c r="AH2973" i="6"/>
  <c r="AD2973" i="6"/>
  <c r="AW2973" i="6"/>
  <c r="AO2973" i="6"/>
  <c r="AG2973" i="6"/>
  <c r="AC2839" i="6"/>
  <c r="AV2973" i="6"/>
  <c r="AN2973" i="6"/>
  <c r="AF2973" i="6"/>
  <c r="AS2973" i="6"/>
  <c r="AK2973" i="6"/>
  <c r="AC2973" i="6"/>
  <c r="AC2946" i="6" s="1"/>
  <c r="AR2973" i="6"/>
  <c r="AJ2973" i="6"/>
  <c r="AC2840" i="6"/>
  <c r="AC2945" i="6"/>
  <c r="Q660" i="6"/>
  <c r="AS60" i="17"/>
  <c r="AT60" i="17" s="1"/>
  <c r="AU60" i="17" s="1"/>
  <c r="AV60" i="17" s="1"/>
  <c r="AW60" i="17" s="1"/>
  <c r="AX60" i="17" s="1"/>
  <c r="AY60" i="17" s="1"/>
  <c r="AZ60" i="17" s="1"/>
  <c r="BA60" i="17" s="1"/>
  <c r="N25" i="16"/>
  <c r="P880" i="6"/>
  <c r="AI150" i="14"/>
  <c r="AJ150" i="14" s="1"/>
  <c r="AK150" i="14" s="1"/>
  <c r="AL150" i="14" s="1"/>
  <c r="AM150" i="14" s="1"/>
  <c r="AN150" i="14"/>
  <c r="AO150" i="14" s="1"/>
  <c r="AP150" i="14" s="1"/>
  <c r="AQ150" i="14" s="1"/>
  <c r="AR150" i="14" s="1"/>
  <c r="AS150" i="14" s="1"/>
  <c r="AT150" i="14" s="1"/>
  <c r="AU150" i="14" s="1"/>
  <c r="AV150" i="14" s="1"/>
  <c r="AW150" i="14" s="1"/>
  <c r="AX150" i="14" s="1"/>
  <c r="AY150" i="14" s="1"/>
  <c r="AZ150" i="14" s="1"/>
  <c r="BA150" i="14" s="1"/>
  <c r="AJ122" i="22"/>
  <c r="AK122" i="22" s="1"/>
  <c r="AL122" i="22" s="1"/>
  <c r="AM122" i="22" s="1"/>
  <c r="AN122" i="22" s="1"/>
  <c r="AO122" i="22" s="1"/>
  <c r="AP122" i="22" s="1"/>
  <c r="AQ122" i="22" s="1"/>
  <c r="AR122" i="22" s="1"/>
  <c r="AS122" i="22" s="1"/>
  <c r="AT122" i="22" s="1"/>
  <c r="AU122" i="22" s="1"/>
  <c r="AV122" i="22" s="1"/>
  <c r="AW122" i="22"/>
  <c r="AX122" i="22" s="1"/>
  <c r="AY122" i="22" s="1"/>
  <c r="AZ122" i="22" s="1"/>
  <c r="AH144" i="14"/>
  <c r="AI144" i="14" s="1"/>
  <c r="AJ144" i="14" s="1"/>
  <c r="AK144" i="14" s="1"/>
  <c r="AL144" i="14" s="1"/>
  <c r="AM144" i="14" s="1"/>
  <c r="AN144" i="14" s="1"/>
  <c r="AO144" i="14" s="1"/>
  <c r="AP144" i="14" s="1"/>
  <c r="AQ144" i="14" s="1"/>
  <c r="AR144" i="14" s="1"/>
  <c r="AS144" i="14" s="1"/>
  <c r="AT144" i="14" s="1"/>
  <c r="AU144" i="14" s="1"/>
  <c r="AV144" i="14" s="1"/>
  <c r="AW144" i="14" s="1"/>
  <c r="AX144" i="14" s="1"/>
  <c r="AY144" i="14" s="1"/>
  <c r="AZ144" i="14" s="1"/>
  <c r="BA144" i="14" s="1"/>
  <c r="AG144" i="14"/>
  <c r="AK76" i="18"/>
  <c r="AH36" i="20"/>
  <c r="AI39" i="20"/>
  <c r="AK51" i="19"/>
  <c r="AL51" i="19" s="1"/>
  <c r="AM51" i="19" s="1"/>
  <c r="AN51" i="19" s="1"/>
  <c r="AO51" i="19" s="1"/>
  <c r="AP51" i="19" s="1"/>
  <c r="AQ51" i="19" s="1"/>
  <c r="AR51" i="19" s="1"/>
  <c r="AS51" i="19" s="1"/>
  <c r="AT51" i="19" s="1"/>
  <c r="AU51" i="19" s="1"/>
  <c r="AV51" i="19" s="1"/>
  <c r="AW51" i="19" s="1"/>
  <c r="AX51" i="19" s="1"/>
  <c r="AY51" i="19" s="1"/>
  <c r="AZ51" i="19" s="1"/>
  <c r="BA51" i="19" s="1"/>
  <c r="AG56" i="17"/>
  <c r="AF82" i="14"/>
  <c r="AG82" i="14" s="1"/>
  <c r="AH82" i="14" s="1"/>
  <c r="AI82" i="14" s="1"/>
  <c r="AJ82" i="14" s="1"/>
  <c r="AK82" i="14" s="1"/>
  <c r="AL82" i="14" s="1"/>
  <c r="AM82" i="14" s="1"/>
  <c r="AN82" i="14" s="1"/>
  <c r="AO82" i="14" s="1"/>
  <c r="AP82" i="14" s="1"/>
  <c r="AQ82" i="14" s="1"/>
  <c r="AR82" i="14" s="1"/>
  <c r="AS82" i="14" s="1"/>
  <c r="AT82" i="14" s="1"/>
  <c r="AU82" i="14" s="1"/>
  <c r="AV82" i="14" s="1"/>
  <c r="AW82" i="14" s="1"/>
  <c r="AX82" i="14" s="1"/>
  <c r="AY82" i="14" s="1"/>
  <c r="AZ82" i="14" s="1"/>
  <c r="BA82" i="14" s="1"/>
  <c r="O2506" i="6"/>
  <c r="O2507" i="6"/>
  <c r="L3" i="16"/>
  <c r="R1056" i="6"/>
  <c r="AA1004" i="6"/>
  <c r="W1004" i="6"/>
  <c r="S1004" i="6"/>
  <c r="O1004" i="6"/>
  <c r="AB952" i="6"/>
  <c r="X952" i="6"/>
  <c r="T952" i="6"/>
  <c r="P952" i="6"/>
  <c r="Q1056" i="6"/>
  <c r="Z1004" i="6"/>
  <c r="V1004" i="6"/>
  <c r="R1004" i="6"/>
  <c r="T1056" i="6"/>
  <c r="T1043" i="6" s="1"/>
  <c r="P1056" i="6"/>
  <c r="AC1004" i="6"/>
  <c r="AC991" i="6" s="1" a="1"/>
  <c r="AC991" i="6" s="1"/>
  <c r="Y1004" i="6"/>
  <c r="U1004" i="6"/>
  <c r="Q1004" i="6"/>
  <c r="Z952" i="6"/>
  <c r="V952" i="6"/>
  <c r="R952" i="6"/>
  <c r="S1056" i="6"/>
  <c r="O1056" i="6"/>
  <c r="P1004" i="6"/>
  <c r="AA952" i="6"/>
  <c r="S952" i="6"/>
  <c r="AB1004" i="6"/>
  <c r="Y952" i="6"/>
  <c r="Q952" i="6"/>
  <c r="N898" i="6"/>
  <c r="N885" i="6" s="1"/>
  <c r="X1004" i="6"/>
  <c r="W952" i="6"/>
  <c r="O952" i="6"/>
  <c r="T1004" i="6"/>
  <c r="AC952" i="6"/>
  <c r="AC939" i="6" s="1" a="1"/>
  <c r="AC939" i="6" s="1"/>
  <c r="U952" i="6"/>
  <c r="AM32" i="14"/>
  <c r="AN30" i="14"/>
  <c r="AD14" i="13"/>
  <c r="AE7" i="6"/>
  <c r="AE237" i="6"/>
  <c r="AE12" i="6"/>
  <c r="AF9" i="6"/>
  <c r="AG172" i="14"/>
  <c r="AC72" i="9"/>
  <c r="AC71" i="9"/>
  <c r="AD2838" i="6"/>
  <c r="AJ62" i="22"/>
  <c r="AK62" i="22" s="1"/>
  <c r="AL62" i="22" s="1"/>
  <c r="AM62" i="22" s="1"/>
  <c r="AN62" i="22" s="1"/>
  <c r="AO62" i="22" s="1"/>
  <c r="AP62" i="22" s="1"/>
  <c r="AQ62" i="22" s="1"/>
  <c r="AR62" i="22" s="1"/>
  <c r="AS62" i="22" s="1"/>
  <c r="AT62" i="22" s="1"/>
  <c r="AU62" i="22" s="1"/>
  <c r="AV62" i="22" s="1"/>
  <c r="AW62" i="22" s="1"/>
  <c r="AX62" i="22" s="1"/>
  <c r="AY62" i="22" s="1"/>
  <c r="AZ62" i="22" s="1"/>
  <c r="BA62" i="22" s="1"/>
  <c r="AH62" i="22"/>
  <c r="AI62" i="22" s="1"/>
  <c r="AM175" i="14"/>
  <c r="AN175" i="14" s="1"/>
  <c r="AO175" i="14" s="1"/>
  <c r="AP175" i="14" s="1"/>
  <c r="AQ175" i="14" s="1"/>
  <c r="AI175" i="14"/>
  <c r="AJ175" i="14" s="1"/>
  <c r="AK175" i="14" s="1"/>
  <c r="AL175" i="14" s="1"/>
  <c r="AR175" i="14"/>
  <c r="AS175" i="14" s="1"/>
  <c r="AT175" i="14" s="1"/>
  <c r="AU175" i="14" s="1"/>
  <c r="AV175" i="14" s="1"/>
  <c r="AW175" i="14" s="1"/>
  <c r="AX175" i="14" s="1"/>
  <c r="AY175" i="14" s="1"/>
  <c r="AZ175" i="14" s="1"/>
  <c r="BA175" i="14" s="1"/>
  <c r="AG49" i="15"/>
  <c r="AH49" i="15" s="1"/>
  <c r="AI49" i="15" s="1"/>
  <c r="AJ49" i="15" s="1"/>
  <c r="AK49" i="15" s="1"/>
  <c r="AL49" i="15" s="1"/>
  <c r="AM49" i="15" s="1"/>
  <c r="AN49" i="15" s="1"/>
  <c r="AO49" i="15" s="1"/>
  <c r="AP49" i="15" s="1"/>
  <c r="AQ49" i="15" s="1"/>
  <c r="AR49" i="15" s="1"/>
  <c r="AS49" i="15" s="1"/>
  <c r="AT49" i="15"/>
  <c r="AU49" i="15" s="1"/>
  <c r="AV49" i="15" s="1"/>
  <c r="AW49" i="15" s="1"/>
  <c r="AX49" i="15" s="1"/>
  <c r="AY49" i="15" s="1"/>
  <c r="AZ49" i="15" s="1"/>
  <c r="BA49" i="15" s="1"/>
  <c r="AE14" i="6"/>
  <c r="AF8" i="6"/>
  <c r="AF2" i="5"/>
  <c r="AE13" i="6"/>
  <c r="AF3" i="5"/>
  <c r="M2" i="20"/>
  <c r="AE1909" i="6"/>
  <c r="AA1909" i="6"/>
  <c r="W1909" i="6"/>
  <c r="S1909" i="6"/>
  <c r="AD1857" i="6"/>
  <c r="Z1857" i="6"/>
  <c r="V1857" i="6"/>
  <c r="R1857" i="6"/>
  <c r="AD1909" i="6"/>
  <c r="Z1909" i="6"/>
  <c r="V1909" i="6"/>
  <c r="R1909" i="6"/>
  <c r="AC1857" i="6"/>
  <c r="Y1857" i="6"/>
  <c r="U1857" i="6"/>
  <c r="O1803" i="6"/>
  <c r="O1801" i="6"/>
  <c r="AC1909" i="6"/>
  <c r="Y1909" i="6"/>
  <c r="U1909" i="6"/>
  <c r="AF1857" i="6"/>
  <c r="AB1857" i="6"/>
  <c r="X1857" i="6"/>
  <c r="T1857" i="6"/>
  <c r="T1909" i="6"/>
  <c r="AE1857" i="6"/>
  <c r="AF1909" i="6"/>
  <c r="AA1857" i="6"/>
  <c r="O1802" i="6"/>
  <c r="AB1909" i="6"/>
  <c r="W1857" i="6"/>
  <c r="X1909" i="6"/>
  <c r="S1857" i="6"/>
  <c r="AI72" i="13"/>
  <c r="AJ72" i="13" s="1"/>
  <c r="AK72" i="13" s="1"/>
  <c r="AL72" i="13" s="1"/>
  <c r="AM72" i="13" s="1"/>
  <c r="AN72" i="13" s="1"/>
  <c r="AO72" i="13" s="1"/>
  <c r="AP72" i="13" s="1"/>
  <c r="AQ72" i="13" s="1"/>
  <c r="AR72" i="13" s="1"/>
  <c r="AS72" i="13" s="1"/>
  <c r="AT72" i="13" s="1"/>
  <c r="AU72" i="13" s="1"/>
  <c r="AV72" i="13" s="1"/>
  <c r="AW72" i="13" s="1"/>
  <c r="AX72" i="13" s="1"/>
  <c r="AY72" i="13" s="1"/>
  <c r="AZ72" i="13"/>
  <c r="BA72" i="13" s="1"/>
  <c r="AG75" i="18"/>
  <c r="AH75" i="18" s="1"/>
  <c r="AI75" i="18" s="1"/>
  <c r="AJ75" i="18" s="1"/>
  <c r="AK75" i="18" s="1"/>
  <c r="AL75" i="18" s="1"/>
  <c r="AM75" i="18" s="1"/>
  <c r="AN75" i="18" s="1"/>
  <c r="AO75" i="18" s="1"/>
  <c r="AP75" i="18" s="1"/>
  <c r="AQ75" i="18" s="1"/>
  <c r="AR75" i="18" s="1"/>
  <c r="AS75" i="18" s="1"/>
  <c r="AT75" i="18" s="1"/>
  <c r="AU75" i="18" s="1"/>
  <c r="AV75" i="18" s="1"/>
  <c r="AW75" i="18" s="1"/>
  <c r="AX75" i="18" s="1"/>
  <c r="AY75" i="18" s="1"/>
  <c r="AZ75" i="18" s="1"/>
  <c r="AH43" i="19"/>
  <c r="L16" i="6"/>
  <c r="M77" i="6"/>
  <c r="M78" i="6"/>
  <c r="AF1560" i="6"/>
  <c r="AG1555" i="6"/>
  <c r="AG11" i="5"/>
  <c r="AE48" i="13"/>
  <c r="AA1389" i="6"/>
  <c r="AA1390" i="6"/>
  <c r="AF36" i="20"/>
  <c r="N21" i="15"/>
  <c r="P655" i="6"/>
  <c r="AG64" i="22"/>
  <c r="AH64" i="22" s="1"/>
  <c r="AI64" i="22" s="1"/>
  <c r="AJ64" i="22" s="1"/>
  <c r="AK64" i="22" s="1"/>
  <c r="AL64" i="22" s="1"/>
  <c r="AM64" i="22" s="1"/>
  <c r="AN64" i="22" s="1"/>
  <c r="AO64" i="22" s="1"/>
  <c r="AP64" i="22" s="1"/>
  <c r="AQ64" i="22" s="1"/>
  <c r="AR64" i="22" s="1"/>
  <c r="AS64" i="22" s="1"/>
  <c r="AT64" i="22" s="1"/>
  <c r="AU64" i="22" s="1"/>
  <c r="AV64" i="22" s="1"/>
  <c r="AW64" i="22" s="1"/>
  <c r="AX64" i="22" s="1"/>
  <c r="AY64" i="22" s="1"/>
  <c r="AZ64" i="22" s="1"/>
  <c r="AP61" i="17"/>
  <c r="AQ61" i="17" s="1"/>
  <c r="AR61" i="17" s="1"/>
  <c r="AS61" i="17" s="1"/>
  <c r="AT61" i="17" s="1"/>
  <c r="AU61" i="17" s="1"/>
  <c r="AV61" i="17" s="1"/>
  <c r="AW61" i="17" s="1"/>
  <c r="AX61" i="17" s="1"/>
  <c r="AY61" i="17" s="1"/>
  <c r="AZ61" i="17" s="1"/>
  <c r="BA61" i="17" s="1"/>
  <c r="AH61" i="17"/>
  <c r="AI61" i="17" s="1"/>
  <c r="AJ61" i="17" s="1"/>
  <c r="AK61" i="17" s="1"/>
  <c r="AL61" i="17" s="1"/>
  <c r="AM61" i="17" s="1"/>
  <c r="AN61" i="17" s="1"/>
  <c r="AO61" i="17" s="1"/>
  <c r="AH38" i="22"/>
  <c r="AS47" i="22"/>
  <c r="AT47" i="22" s="1"/>
  <c r="AU47" i="22" s="1"/>
  <c r="AV47" i="22" s="1"/>
  <c r="AW47" i="22" s="1"/>
  <c r="AX47" i="22" s="1"/>
  <c r="AY47" i="22" s="1"/>
  <c r="AZ47" i="22" s="1"/>
  <c r="BA47" i="22" s="1"/>
  <c r="AD20" i="5"/>
  <c r="Q1839" i="6"/>
  <c r="Q1840" i="6"/>
  <c r="R17" i="5"/>
  <c r="R24" i="5" s="1"/>
  <c r="R42" i="5" s="1"/>
  <c r="AI107" i="18"/>
  <c r="AJ107" i="18" s="1"/>
  <c r="AK107" i="18" s="1"/>
  <c r="AL107" i="18" s="1"/>
  <c r="AM107" i="18" s="1"/>
  <c r="AN107" i="18" s="1"/>
  <c r="AO107" i="18" s="1"/>
  <c r="AP107" i="18" s="1"/>
  <c r="AQ107" i="18" s="1"/>
  <c r="AR107" i="18" s="1"/>
  <c r="AS107" i="18" s="1"/>
  <c r="AT107" i="18" s="1"/>
  <c r="AU107" i="18" s="1"/>
  <c r="AV107" i="18" s="1"/>
  <c r="AW107" i="18" s="1"/>
  <c r="AX107" i="18" s="1"/>
  <c r="AY107" i="18"/>
  <c r="AZ107" i="18" s="1"/>
  <c r="AL56" i="19"/>
  <c r="AM56" i="19" s="1"/>
  <c r="AN56" i="19" s="1"/>
  <c r="AO56" i="19" s="1"/>
  <c r="AP56" i="19" s="1"/>
  <c r="AQ56" i="19" s="1"/>
  <c r="AR56" i="19" s="1"/>
  <c r="AS56" i="19" s="1"/>
  <c r="AC660" i="6"/>
  <c r="AP148" i="14"/>
  <c r="AQ148" i="14" s="1"/>
  <c r="AR148" i="14" s="1"/>
  <c r="AS148" i="14" s="1"/>
  <c r="AT148" i="14" s="1"/>
  <c r="AU148" i="14" s="1"/>
  <c r="AV148" i="14" s="1"/>
  <c r="AW148" i="14" s="1"/>
  <c r="AX148" i="14" s="1"/>
  <c r="AY148" i="14" s="1"/>
  <c r="AZ148" i="14" s="1"/>
  <c r="BA148" i="14" s="1"/>
  <c r="AF3171" i="6"/>
  <c r="AF38" i="11"/>
  <c r="AT2803" i="6"/>
  <c r="AP2803" i="6"/>
  <c r="AL2803" i="6"/>
  <c r="AH2803" i="6"/>
  <c r="AD2803" i="6"/>
  <c r="Z2803" i="6"/>
  <c r="Z2779" i="6" s="1"/>
  <c r="Z2673" i="6"/>
  <c r="AS2803" i="6"/>
  <c r="AN2803" i="6"/>
  <c r="AI2803" i="6"/>
  <c r="AC2803" i="6"/>
  <c r="AR2803" i="6"/>
  <c r="AM2803" i="6"/>
  <c r="AG2803" i="6"/>
  <c r="AB2803" i="6"/>
  <c r="AO2803" i="6"/>
  <c r="AE2803" i="6"/>
  <c r="AK2803" i="6"/>
  <c r="AA2803" i="6"/>
  <c r="AJ2803" i="6"/>
  <c r="AQ2803" i="6"/>
  <c r="AF2803" i="6"/>
  <c r="Z2672" i="6"/>
  <c r="AA27" i="5"/>
  <c r="AD1096" i="6"/>
  <c r="Q476" i="6"/>
  <c r="Q475" i="6"/>
  <c r="R22" i="5"/>
  <c r="R25" i="5" s="1"/>
  <c r="R43" i="5" s="1"/>
  <c r="AJ2748" i="6"/>
  <c r="AF2748" i="6"/>
  <c r="AB2748" i="6"/>
  <c r="X2748" i="6"/>
  <c r="X2726" i="6" s="1" a="1"/>
  <c r="X2726" i="6" s="1"/>
  <c r="AI2696" i="6"/>
  <c r="AE2696" i="6"/>
  <c r="AA2696" i="6"/>
  <c r="AL2748" i="6"/>
  <c r="AG2748" i="6"/>
  <c r="AA2748" i="6"/>
  <c r="AK2696" i="6"/>
  <c r="AF2696" i="6"/>
  <c r="Z2696" i="6"/>
  <c r="AK2748" i="6"/>
  <c r="AE2748" i="6"/>
  <c r="Z2748" i="6"/>
  <c r="AJ2696" i="6"/>
  <c r="AD2696" i="6"/>
  <c r="Y2696" i="6"/>
  <c r="AI2748" i="6"/>
  <c r="AD2748" i="6"/>
  <c r="Y2748" i="6"/>
  <c r="AL2696" i="6"/>
  <c r="AB2696" i="6"/>
  <c r="AH2748" i="6"/>
  <c r="AH2696" i="6"/>
  <c r="X2696" i="6"/>
  <c r="X2674" i="6" s="1" a="1"/>
  <c r="X2674" i="6" s="1"/>
  <c r="AC2748" i="6"/>
  <c r="AG2696" i="6"/>
  <c r="AC2696" i="6"/>
  <c r="AH36" i="19"/>
  <c r="AI38" i="19"/>
  <c r="U2832" i="6"/>
  <c r="Z24" i="17"/>
  <c r="Z1107" i="6"/>
  <c r="AA18" i="5" s="1"/>
  <c r="AM103" i="9"/>
  <c r="O1562" i="6"/>
  <c r="AK108" i="18"/>
  <c r="AL108" i="18" s="1"/>
  <c r="AM108" i="18" s="1"/>
  <c r="AN108" i="18" s="1"/>
  <c r="AO108" i="18" s="1"/>
  <c r="AP108" i="18" s="1"/>
  <c r="AQ108" i="18" s="1"/>
  <c r="AR108" i="18" s="1"/>
  <c r="AS108" i="18" s="1"/>
  <c r="AT108" i="18" s="1"/>
  <c r="AU108" i="18" s="1"/>
  <c r="AV108" i="18" s="1"/>
  <c r="AW108" i="18" s="1"/>
  <c r="AX108" i="18" s="1"/>
  <c r="AY108" i="18" s="1"/>
  <c r="AZ108" i="18" s="1"/>
  <c r="AI108" i="18"/>
  <c r="AJ108" i="18"/>
  <c r="AO2919" i="6"/>
  <c r="AK2919" i="6"/>
  <c r="AG2919" i="6"/>
  <c r="AC2919" i="6"/>
  <c r="AN2867" i="6"/>
  <c r="AJ2867" i="6"/>
  <c r="AF2867" i="6"/>
  <c r="AB2867" i="6"/>
  <c r="AB2841" i="6" s="1" a="1"/>
  <c r="AB2841" i="6" s="1"/>
  <c r="AN2919" i="6"/>
  <c r="AI2919" i="6"/>
  <c r="AD2919" i="6"/>
  <c r="AM2867" i="6"/>
  <c r="AH2867" i="6"/>
  <c r="AC2867" i="6"/>
  <c r="AM2919" i="6"/>
  <c r="AH2919" i="6"/>
  <c r="AB2919" i="6"/>
  <c r="AB2893" i="6" s="1" a="1"/>
  <c r="AB2893" i="6" s="1"/>
  <c r="AL2867" i="6"/>
  <c r="AG2867" i="6"/>
  <c r="AL2919" i="6"/>
  <c r="AF2919" i="6"/>
  <c r="AO2867" i="6"/>
  <c r="AD2867" i="6"/>
  <c r="AP2919" i="6"/>
  <c r="AK2867" i="6"/>
  <c r="AJ2919" i="6"/>
  <c r="AI2867" i="6"/>
  <c r="AE2919" i="6"/>
  <c r="AP2867" i="6"/>
  <c r="AE2867" i="6"/>
  <c r="AR60" i="22"/>
  <c r="AS60" i="22" s="1"/>
  <c r="AT60" i="22" s="1"/>
  <c r="AU60" i="22" s="1"/>
  <c r="AV60" i="22" s="1"/>
  <c r="AW60" i="22" s="1"/>
  <c r="AX60" i="22" s="1"/>
  <c r="AY60" i="22" s="1"/>
  <c r="AZ60" i="22" s="1"/>
  <c r="BA60" i="22" s="1"/>
  <c r="AE17" i="18"/>
  <c r="AE1332" i="6"/>
  <c r="AS1973" i="6"/>
  <c r="AO1973" i="6"/>
  <c r="AK1973" i="6"/>
  <c r="AG1973" i="6"/>
  <c r="AQ1921" i="6"/>
  <c r="AM1921" i="6"/>
  <c r="AI1921" i="6"/>
  <c r="AE1921" i="6"/>
  <c r="AP1869" i="6"/>
  <c r="AL1869" i="6"/>
  <c r="AH1869" i="6"/>
  <c r="AD1869" i="6"/>
  <c r="AR1973" i="6"/>
  <c r="AN1973" i="6"/>
  <c r="AJ1973" i="6"/>
  <c r="AF1973" i="6"/>
  <c r="AP1921" i="6"/>
  <c r="AL1921" i="6"/>
  <c r="AH1921" i="6"/>
  <c r="AD1921" i="6"/>
  <c r="AO1869" i="6"/>
  <c r="AK1869" i="6"/>
  <c r="AG1869" i="6"/>
  <c r="AA1815" i="6"/>
  <c r="AA1787" i="6" s="1"/>
  <c r="AQ1973" i="6"/>
  <c r="AM1973" i="6"/>
  <c r="AI1973" i="6"/>
  <c r="AE1973" i="6"/>
  <c r="AO1921" i="6"/>
  <c r="AK1921" i="6"/>
  <c r="AG1921" i="6"/>
  <c r="AR1869" i="6"/>
  <c r="AN1869" i="6"/>
  <c r="AJ1869" i="6"/>
  <c r="AF1869" i="6"/>
  <c r="AH1973" i="6"/>
  <c r="AR1921" i="6"/>
  <c r="AQ1869" i="6"/>
  <c r="AB1815" i="6"/>
  <c r="AD1973" i="6"/>
  <c r="AN1921" i="6"/>
  <c r="AM1869" i="6"/>
  <c r="AE1786" i="6"/>
  <c r="AP1973" i="6"/>
  <c r="AJ1921" i="6"/>
  <c r="AI1869" i="6"/>
  <c r="AL1973" i="6"/>
  <c r="AF1921" i="6"/>
  <c r="AE1869" i="6"/>
  <c r="AC1815" i="6"/>
  <c r="AE2506" i="6"/>
  <c r="AE2507" i="6"/>
  <c r="AE2664" i="6" s="1"/>
  <c r="AI77" i="14"/>
  <c r="AJ77" i="14" s="1"/>
  <c r="AK77" i="14" s="1"/>
  <c r="AL77" i="14" s="1"/>
  <c r="AM77" i="14" s="1"/>
  <c r="AN77" i="14" s="1"/>
  <c r="AO77" i="14" s="1"/>
  <c r="AP77" i="14" s="1"/>
  <c r="AQ77" i="14" s="1"/>
  <c r="AR77" i="14" s="1"/>
  <c r="AS77" i="14" s="1"/>
  <c r="AT77" i="14" s="1"/>
  <c r="AU77" i="14"/>
  <c r="AV77" i="14" s="1"/>
  <c r="AW77" i="14" s="1"/>
  <c r="AX77" i="14" s="1"/>
  <c r="AY77" i="14" s="1"/>
  <c r="AZ77" i="14" s="1"/>
  <c r="BA77" i="14" s="1"/>
  <c r="N2" i="15"/>
  <c r="U834" i="6"/>
  <c r="AE782" i="6"/>
  <c r="AA782" i="6"/>
  <c r="W782" i="6"/>
  <c r="S782" i="6"/>
  <c r="AF730" i="6"/>
  <c r="AB730" i="6"/>
  <c r="X730" i="6"/>
  <c r="T730" i="6"/>
  <c r="T834" i="6"/>
  <c r="AD782" i="6"/>
  <c r="Z782" i="6"/>
  <c r="V782" i="6"/>
  <c r="R782" i="6"/>
  <c r="AE730" i="6"/>
  <c r="AA730" i="6"/>
  <c r="W730" i="6"/>
  <c r="S730" i="6"/>
  <c r="P676" i="6"/>
  <c r="W834" i="6"/>
  <c r="W818" i="6" s="1"/>
  <c r="S834" i="6"/>
  <c r="AC782" i="6"/>
  <c r="Y782" i="6"/>
  <c r="U782" i="6"/>
  <c r="AD730" i="6"/>
  <c r="Z730" i="6"/>
  <c r="V730" i="6"/>
  <c r="R730" i="6"/>
  <c r="P675" i="6"/>
  <c r="V834" i="6"/>
  <c r="R834" i="6"/>
  <c r="AF782" i="6"/>
  <c r="AB782" i="6"/>
  <c r="X782" i="6"/>
  <c r="T782" i="6"/>
  <c r="AC730" i="6"/>
  <c r="Y730" i="6"/>
  <c r="U730" i="6"/>
  <c r="AH198" i="14"/>
  <c r="AI198" i="14" s="1"/>
  <c r="AJ198" i="14" s="1"/>
  <c r="AK198" i="14" s="1"/>
  <c r="AL198" i="14" s="1"/>
  <c r="AM198" i="14" s="1"/>
  <c r="AN198" i="14"/>
  <c r="AO198" i="14" s="1"/>
  <c r="AP198" i="14" s="1"/>
  <c r="AQ198" i="14" s="1"/>
  <c r="AR198" i="14" s="1"/>
  <c r="AS198" i="14" s="1"/>
  <c r="AT198" i="14" s="1"/>
  <c r="AU198" i="14" s="1"/>
  <c r="AV198" i="14" s="1"/>
  <c r="AW198" i="14" s="1"/>
  <c r="AX198" i="14" s="1"/>
  <c r="AY198" i="14" s="1"/>
  <c r="AZ198" i="14" s="1"/>
  <c r="BA198" i="14" s="1"/>
  <c r="M2" i="18"/>
  <c r="AE1459" i="6"/>
  <c r="AA1459" i="6"/>
  <c r="W1459" i="6"/>
  <c r="S1459" i="6"/>
  <c r="AD1407" i="6"/>
  <c r="Z1407" i="6"/>
  <c r="V1407" i="6"/>
  <c r="R1407" i="6"/>
  <c r="AD1459" i="6"/>
  <c r="Z1459" i="6"/>
  <c r="V1459" i="6"/>
  <c r="R1459" i="6"/>
  <c r="AC1407" i="6"/>
  <c r="Y1407" i="6"/>
  <c r="U1407" i="6"/>
  <c r="O1353" i="6"/>
  <c r="O1351" i="6"/>
  <c r="AC1459" i="6"/>
  <c r="Y1459" i="6"/>
  <c r="U1459" i="6"/>
  <c r="AF1407" i="6"/>
  <c r="AB1407" i="6"/>
  <c r="X1407" i="6"/>
  <c r="T1407" i="6"/>
  <c r="AF1459" i="6"/>
  <c r="AB1459" i="6"/>
  <c r="X1459" i="6"/>
  <c r="T1459" i="6"/>
  <c r="AE1407" i="6"/>
  <c r="AA1407" i="6"/>
  <c r="W1407" i="6"/>
  <c r="S1407" i="6"/>
  <c r="O1352" i="6"/>
  <c r="AA23" i="9"/>
  <c r="AB23" i="9"/>
  <c r="AI94" i="18"/>
  <c r="AJ94" i="18" s="1"/>
  <c r="AK94" i="18" s="1"/>
  <c r="AL94" i="18" s="1"/>
  <c r="AM94" i="18" s="1"/>
  <c r="AN94" i="18" s="1"/>
  <c r="AO94" i="18" s="1"/>
  <c r="AP94" i="18" s="1"/>
  <c r="AQ94" i="18" s="1"/>
  <c r="AR94" i="18" s="1"/>
  <c r="AS94" i="18" s="1"/>
  <c r="AT94" i="18" s="1"/>
  <c r="AU94" i="18" s="1"/>
  <c r="AV94" i="18" s="1"/>
  <c r="AW94" i="18" s="1"/>
  <c r="AX94" i="18" s="1"/>
  <c r="AY94" i="18" s="1"/>
  <c r="AZ94" i="18" s="1"/>
  <c r="M38" i="23"/>
  <c r="M31" i="21"/>
  <c r="M31" i="22"/>
  <c r="M31" i="20"/>
  <c r="M31" i="19"/>
  <c r="M36" i="17"/>
  <c r="M31" i="18"/>
  <c r="M41" i="16"/>
  <c r="M33" i="15"/>
  <c r="M48" i="14"/>
  <c r="M40" i="13"/>
  <c r="L6" i="7"/>
  <c r="M39" i="23"/>
  <c r="N2451" i="6" s="1"/>
  <c r="M32" i="22"/>
  <c r="N2230" i="6" s="1"/>
  <c r="M32" i="21"/>
  <c r="N2009" i="6" s="1"/>
  <c r="M32" i="20"/>
  <c r="N1784" i="6" s="1"/>
  <c r="M32" i="19"/>
  <c r="N1559" i="6" s="1"/>
  <c r="M37" i="17"/>
  <c r="N1109" i="6" s="1"/>
  <c r="M32" i="18"/>
  <c r="N1334" i="6" s="1"/>
  <c r="M49" i="14"/>
  <c r="N420" i="6" s="1"/>
  <c r="M42" i="16"/>
  <c r="N882" i="6" s="1"/>
  <c r="M34" i="15"/>
  <c r="N657" i="6" s="1"/>
  <c r="M41" i="13"/>
  <c r="N13" i="6" s="1"/>
  <c r="L7" i="7"/>
  <c r="AJ98" i="22"/>
  <c r="AK98" i="22" s="1"/>
  <c r="AL98" i="22" s="1"/>
  <c r="AM98" i="22" s="1"/>
  <c r="AN98" i="22" s="1"/>
  <c r="AO98" i="22" s="1"/>
  <c r="AP98" i="22" s="1"/>
  <c r="AQ98" i="22" s="1"/>
  <c r="AR98" i="22" s="1"/>
  <c r="AS98" i="22" s="1"/>
  <c r="AT98" i="22" s="1"/>
  <c r="AU98" i="22" s="1"/>
  <c r="AV98" i="22" s="1"/>
  <c r="AW98" i="22" s="1"/>
  <c r="AX98" i="22" s="1"/>
  <c r="AY98" i="22" s="1"/>
  <c r="AZ98" i="22" s="1"/>
  <c r="AF2226" i="6"/>
  <c r="AE2230" i="6"/>
  <c r="AE2231" i="6"/>
  <c r="AF13" i="5"/>
  <c r="AI69" i="15"/>
  <c r="AJ69" i="15" s="1"/>
  <c r="AK69" i="15" s="1"/>
  <c r="AL69" i="15" s="1"/>
  <c r="AM69" i="15" s="1"/>
  <c r="AN69" i="15" s="1"/>
  <c r="AO69" i="15" s="1"/>
  <c r="AP69" i="15" s="1"/>
  <c r="AQ69" i="15" s="1"/>
  <c r="AR69" i="15" s="1"/>
  <c r="AS69" i="15" s="1"/>
  <c r="AT69" i="15" s="1"/>
  <c r="AU69" i="15" s="1"/>
  <c r="AV69" i="15" s="1"/>
  <c r="AW69" i="15" s="1"/>
  <c r="AX69" i="15" s="1"/>
  <c r="AY69" i="15" s="1"/>
  <c r="AZ69" i="15" s="1"/>
  <c r="BA69" i="15" s="1"/>
  <c r="AA15" i="9"/>
  <c r="AB2671" i="6" s="1"/>
  <c r="AF97" i="18"/>
  <c r="AG97" i="18"/>
  <c r="AH97" i="18" s="1"/>
  <c r="AI97" i="18" s="1"/>
  <c r="AJ97" i="18" s="1"/>
  <c r="AK97" i="18" s="1"/>
  <c r="AL97" i="18" s="1"/>
  <c r="AM97" i="18" s="1"/>
  <c r="AN97" i="18" s="1"/>
  <c r="AO97" i="18" s="1"/>
  <c r="AP97" i="18" s="1"/>
  <c r="AQ97" i="18" s="1"/>
  <c r="AR97" i="18" s="1"/>
  <c r="AS97" i="18" s="1"/>
  <c r="AT97" i="18" s="1"/>
  <c r="AU97" i="18" s="1"/>
  <c r="AV97" i="18" s="1"/>
  <c r="AW97" i="18" s="1"/>
  <c r="AX97" i="18" s="1"/>
  <c r="AY97" i="18" s="1"/>
  <c r="AZ97" i="18" s="1"/>
  <c r="AL33" i="14"/>
  <c r="AM31" i="14"/>
  <c r="AD2668" i="6"/>
  <c r="AV3141" i="6"/>
  <c r="AR3141" i="6"/>
  <c r="AN3141" i="6"/>
  <c r="AJ3141" i="6"/>
  <c r="AF3141" i="6"/>
  <c r="AU3141" i="6"/>
  <c r="AQ3141" i="6"/>
  <c r="AM3141" i="6"/>
  <c r="AI3141" i="6"/>
  <c r="AE3141" i="6"/>
  <c r="AD3006" i="6"/>
  <c r="AS3141" i="6"/>
  <c r="AK3141" i="6"/>
  <c r="AX3141" i="6"/>
  <c r="AP3141" i="6"/>
  <c r="AH3141" i="6"/>
  <c r="AD3007" i="6"/>
  <c r="AW3141" i="6"/>
  <c r="AO3141" i="6"/>
  <c r="AG3141" i="6"/>
  <c r="AT3141" i="6"/>
  <c r="AL3141" i="6"/>
  <c r="AD3141" i="6"/>
  <c r="AD3113" i="6" s="1"/>
  <c r="AD3112" i="6"/>
  <c r="AD3165" i="6" s="1"/>
  <c r="AC2998" i="6"/>
  <c r="AI63" i="20"/>
  <c r="AJ63" i="20" s="1"/>
  <c r="AK63" i="20" s="1"/>
  <c r="AL63" i="20" s="1"/>
  <c r="AM63" i="20" s="1"/>
  <c r="AN63" i="20" s="1"/>
  <c r="AO63" i="20" s="1"/>
  <c r="AP63" i="20" s="1"/>
  <c r="AQ63" i="20" s="1"/>
  <c r="AR63" i="20" s="1"/>
  <c r="AS63" i="20" s="1"/>
  <c r="AT63" i="20" s="1"/>
  <c r="AU63" i="20" s="1"/>
  <c r="AV63" i="20" s="1"/>
  <c r="AW63" i="20" s="1"/>
  <c r="AX63" i="20" s="1"/>
  <c r="AY63" i="20" s="1"/>
  <c r="AZ63" i="20" s="1"/>
  <c r="AV382" i="6"/>
  <c r="AR382" i="6"/>
  <c r="AN382" i="6"/>
  <c r="AJ382" i="6"/>
  <c r="AF382" i="6"/>
  <c r="AB382" i="6"/>
  <c r="AB356" i="6" s="1"/>
  <c r="AB250" i="6"/>
  <c r="AU382" i="6"/>
  <c r="AQ382" i="6"/>
  <c r="AM382" i="6"/>
  <c r="AI382" i="6"/>
  <c r="AE382" i="6"/>
  <c r="AS382" i="6"/>
  <c r="AK382" i="6"/>
  <c r="AC382" i="6"/>
  <c r="AC356" i="6" s="1"/>
  <c r="AT382" i="6"/>
  <c r="AP382" i="6"/>
  <c r="AL382" i="6"/>
  <c r="AH382" i="6"/>
  <c r="AD382" i="6"/>
  <c r="AO382" i="6"/>
  <c r="AG382" i="6"/>
  <c r="AB249" i="6"/>
  <c r="AC29" i="5"/>
  <c r="AE355" i="6"/>
  <c r="AD355" i="6"/>
  <c r="AC355" i="6"/>
  <c r="AB355" i="6"/>
  <c r="AX211" i="6"/>
  <c r="AT211" i="6"/>
  <c r="AP211" i="6"/>
  <c r="AL211" i="6"/>
  <c r="AH211" i="6"/>
  <c r="AD211" i="6"/>
  <c r="AO159" i="6"/>
  <c r="AK159" i="6"/>
  <c r="AG159" i="6"/>
  <c r="AR107" i="6"/>
  <c r="AN107" i="6"/>
  <c r="AJ107" i="6"/>
  <c r="AF107" i="6"/>
  <c r="AA44" i="6"/>
  <c r="AE10" i="6"/>
  <c r="AE20" i="5"/>
  <c r="AI211" i="6"/>
  <c r="AP159" i="6"/>
  <c r="AD159" i="6"/>
  <c r="AK107" i="6"/>
  <c r="AW211" i="6"/>
  <c r="AS211" i="6"/>
  <c r="AO211" i="6"/>
  <c r="AK211" i="6"/>
  <c r="AG211" i="6"/>
  <c r="AR159" i="6"/>
  <c r="AN159" i="6"/>
  <c r="AJ159" i="6"/>
  <c r="AF159" i="6"/>
  <c r="AQ107" i="6"/>
  <c r="AM107" i="6"/>
  <c r="AI107" i="6"/>
  <c r="AE107" i="6"/>
  <c r="Z44" i="6"/>
  <c r="AE11" i="6"/>
  <c r="AU211" i="6"/>
  <c r="AM211" i="6"/>
  <c r="AL159" i="6"/>
  <c r="AO107" i="6"/>
  <c r="AV211" i="6"/>
  <c r="AR211" i="6"/>
  <c r="AN211" i="6"/>
  <c r="AJ211" i="6"/>
  <c r="AF211" i="6"/>
  <c r="AQ159" i="6"/>
  <c r="AM159" i="6"/>
  <c r="AI159" i="6"/>
  <c r="AE159" i="6"/>
  <c r="AP107" i="6"/>
  <c r="AL107" i="6"/>
  <c r="AH107" i="6"/>
  <c r="AD107" i="6"/>
  <c r="AC44" i="6"/>
  <c r="Y44" i="6"/>
  <c r="AQ211" i="6"/>
  <c r="AE211" i="6"/>
  <c r="AH159" i="6"/>
  <c r="AG107" i="6"/>
  <c r="AB44" i="6"/>
  <c r="X44" i="6"/>
  <c r="X16" i="6" s="1"/>
  <c r="AE15" i="6"/>
  <c r="AX328" i="6"/>
  <c r="AT328" i="6"/>
  <c r="AP328" i="6"/>
  <c r="AL328" i="6"/>
  <c r="AH328" i="6"/>
  <c r="AD328" i="6"/>
  <c r="AY276" i="6"/>
  <c r="AU276" i="6"/>
  <c r="AQ276" i="6"/>
  <c r="AM276" i="6"/>
  <c r="AI276" i="6"/>
  <c r="AE276" i="6"/>
  <c r="AA276" i="6"/>
  <c r="AA251" i="6" s="1" a="1"/>
  <c r="AA251" i="6" s="1"/>
  <c r="AA409" i="6" s="1"/>
  <c r="AY328" i="6"/>
  <c r="AM328" i="6"/>
  <c r="AA328" i="6"/>
  <c r="AA303" i="6" s="1" a="1"/>
  <c r="AA303" i="6" s="1"/>
  <c r="AR276" i="6"/>
  <c r="AB276" i="6"/>
  <c r="AW328" i="6"/>
  <c r="AS328" i="6"/>
  <c r="AO328" i="6"/>
  <c r="AK328" i="6"/>
  <c r="AG328" i="6"/>
  <c r="AC328" i="6"/>
  <c r="AX276" i="6"/>
  <c r="AT276" i="6"/>
  <c r="AP276" i="6"/>
  <c r="AL276" i="6"/>
  <c r="AH276" i="6"/>
  <c r="AD276" i="6"/>
  <c r="AU328" i="6"/>
  <c r="AI328" i="6"/>
  <c r="AV276" i="6"/>
  <c r="AN276" i="6"/>
  <c r="AF276" i="6"/>
  <c r="AV328" i="6"/>
  <c r="AR328" i="6"/>
  <c r="AN328" i="6"/>
  <c r="AJ328" i="6"/>
  <c r="AF328" i="6"/>
  <c r="AB328" i="6"/>
  <c r="AW276" i="6"/>
  <c r="AS276" i="6"/>
  <c r="AO276" i="6"/>
  <c r="AK276" i="6"/>
  <c r="AG276" i="6"/>
  <c r="AC276" i="6"/>
  <c r="AQ328" i="6"/>
  <c r="AE328" i="6"/>
  <c r="AJ276" i="6"/>
  <c r="P1787" i="6"/>
  <c r="Q1390" i="6"/>
  <c r="Q1389" i="6"/>
  <c r="P1323" i="6"/>
  <c r="AP155" i="18"/>
  <c r="AQ155" i="18" s="1"/>
  <c r="AR155" i="18" s="1"/>
  <c r="AS155" i="18" s="1"/>
  <c r="AT155" i="18" s="1"/>
  <c r="AU155" i="18" s="1"/>
  <c r="AV155" i="18" s="1"/>
  <c r="AW155" i="18" s="1"/>
  <c r="AX155" i="18" s="1"/>
  <c r="AY155" i="18" s="1"/>
  <c r="AZ155" i="18" s="1"/>
  <c r="AR113" i="22"/>
  <c r="AS113" i="22" s="1"/>
  <c r="AT113" i="22" s="1"/>
  <c r="AU113" i="22" s="1"/>
  <c r="AV113" i="22" s="1"/>
  <c r="AW113" i="22" s="1"/>
  <c r="AX113" i="22" s="1"/>
  <c r="AY113" i="22" s="1"/>
  <c r="AZ113" i="22"/>
  <c r="AG68" i="12"/>
  <c r="AR1749" i="6"/>
  <c r="AN1749" i="6"/>
  <c r="AJ1749" i="6"/>
  <c r="AF1749" i="6"/>
  <c r="AQ1697" i="6"/>
  <c r="AM1697" i="6"/>
  <c r="AI1697" i="6"/>
  <c r="AE1697" i="6"/>
  <c r="AP1645" i="6"/>
  <c r="AL1645" i="6"/>
  <c r="AH1645" i="6"/>
  <c r="AS1749" i="6"/>
  <c r="AM1749" i="6"/>
  <c r="AH1749" i="6"/>
  <c r="AS1697" i="6"/>
  <c r="AN1697" i="6"/>
  <c r="AH1697" i="6"/>
  <c r="AR1645" i="6"/>
  <c r="AM1645" i="6"/>
  <c r="AG1645" i="6"/>
  <c r="AQ1749" i="6"/>
  <c r="AL1749" i="6"/>
  <c r="AG1749" i="6"/>
  <c r="AR1697" i="6"/>
  <c r="AL1697" i="6"/>
  <c r="AG1697" i="6"/>
  <c r="AQ1645" i="6"/>
  <c r="AK1645" i="6"/>
  <c r="AF1645" i="6"/>
  <c r="AD1591" i="6"/>
  <c r="AP1749" i="6"/>
  <c r="AK1749" i="6"/>
  <c r="AE1749" i="6"/>
  <c r="AP1697" i="6"/>
  <c r="AK1697" i="6"/>
  <c r="AF1697" i="6"/>
  <c r="AO1645" i="6"/>
  <c r="AJ1645" i="6"/>
  <c r="AE1645" i="6"/>
  <c r="AC1591" i="6"/>
  <c r="AT1749" i="6"/>
  <c r="AO1749" i="6"/>
  <c r="AI1749" i="6"/>
  <c r="AO1697" i="6"/>
  <c r="AJ1697" i="6"/>
  <c r="AS1645" i="6"/>
  <c r="AN1645" i="6"/>
  <c r="AI1645" i="6"/>
  <c r="AB1591" i="6"/>
  <c r="AB1562" i="6" s="1"/>
  <c r="AF1561" i="6"/>
  <c r="AE39" i="23"/>
  <c r="AF2451" i="6" s="1"/>
  <c r="AE32" i="22"/>
  <c r="AE32" i="21"/>
  <c r="AF2009" i="6" s="1"/>
  <c r="AE32" i="20"/>
  <c r="AE32" i="18"/>
  <c r="AF1334" i="6" s="1"/>
  <c r="AE32" i="19"/>
  <c r="AF1559" i="6" s="1"/>
  <c r="AE37" i="17"/>
  <c r="AE42" i="16"/>
  <c r="AE34" i="15"/>
  <c r="AF657" i="6" s="1"/>
  <c r="AE49" i="14"/>
  <c r="AE41" i="13"/>
  <c r="AF7" i="7"/>
  <c r="AF137" i="18"/>
  <c r="AG137" i="18" s="1"/>
  <c r="AH137" i="18" s="1"/>
  <c r="AI137" i="18" s="1"/>
  <c r="AJ137" i="18" s="1"/>
  <c r="AK137" i="18" s="1"/>
  <c r="AL137" i="18" s="1"/>
  <c r="AM137" i="18" s="1"/>
  <c r="AN137" i="18" s="1"/>
  <c r="AO137" i="18" s="1"/>
  <c r="AP137" i="18" s="1"/>
  <c r="AQ137" i="18" s="1"/>
  <c r="AR137" i="18" s="1"/>
  <c r="AS137" i="18" s="1"/>
  <c r="AT137" i="18" s="1"/>
  <c r="AU137" i="18" s="1"/>
  <c r="AV137" i="18" s="1"/>
  <c r="AW137" i="18" s="1"/>
  <c r="AX137" i="18" s="1"/>
  <c r="AY137" i="18" s="1"/>
  <c r="AZ137" i="18" s="1"/>
  <c r="AE57" i="14"/>
  <c r="AE56" i="14" s="1"/>
  <c r="AC20" i="9"/>
  <c r="Y46" i="5"/>
  <c r="Y44" i="5"/>
  <c r="AF48" i="13"/>
  <c r="AX73" i="18"/>
  <c r="AY73" i="18" s="1"/>
  <c r="AZ73" i="18" s="1"/>
  <c r="AF73" i="18"/>
  <c r="AG73" i="18" s="1"/>
  <c r="AH73" i="18" s="1"/>
  <c r="AI73" i="18" s="1"/>
  <c r="AJ73" i="18" s="1"/>
  <c r="AK73" i="18" s="1"/>
  <c r="AL73" i="18" s="1"/>
  <c r="AM73" i="18" s="1"/>
  <c r="AN73" i="18" s="1"/>
  <c r="AO73" i="18" s="1"/>
  <c r="AP73" i="18" s="1"/>
  <c r="AQ73" i="18" s="1"/>
  <c r="AR73" i="18" s="1"/>
  <c r="AS73" i="18" s="1"/>
  <c r="AT73" i="18" s="1"/>
  <c r="AU73" i="18" s="1"/>
  <c r="AV73" i="18" s="1"/>
  <c r="AW73" i="18" s="1"/>
  <c r="AF1554" i="6"/>
  <c r="AF2010" i="6"/>
  <c r="AG2005" i="6"/>
  <c r="AL5" i="9"/>
  <c r="AN5" i="9" s="1"/>
  <c r="AK50" i="13"/>
  <c r="AT56" i="19"/>
  <c r="AU56" i="19" s="1"/>
  <c r="AV56" i="19" s="1"/>
  <c r="AW56" i="19" s="1"/>
  <c r="AX56" i="19" s="1"/>
  <c r="AY56" i="19" s="1"/>
  <c r="AZ56" i="19" s="1"/>
  <c r="BA56" i="19" s="1"/>
  <c r="L2" i="21"/>
  <c r="AD2186" i="6"/>
  <c r="Z2186" i="6"/>
  <c r="V2186" i="6"/>
  <c r="R2186" i="6"/>
  <c r="AD2133" i="6"/>
  <c r="Z2133" i="6"/>
  <c r="V2133" i="6"/>
  <c r="R2133" i="6"/>
  <c r="AC2081" i="6"/>
  <c r="Y2081" i="6"/>
  <c r="U2081" i="6"/>
  <c r="Q2081" i="6"/>
  <c r="AG2186" i="6"/>
  <c r="AC2186" i="6"/>
  <c r="Y2186" i="6"/>
  <c r="U2186" i="6"/>
  <c r="AC2133" i="6"/>
  <c r="Y2133" i="6"/>
  <c r="U2133" i="6"/>
  <c r="Q2133" i="6"/>
  <c r="AB2081" i="6"/>
  <c r="X2081" i="6"/>
  <c r="T2081" i="6"/>
  <c r="N2027" i="6"/>
  <c r="N2025" i="6"/>
  <c r="AF2186" i="6"/>
  <c r="AB2186" i="6"/>
  <c r="X2186" i="6"/>
  <c r="T2186" i="6"/>
  <c r="AB2133" i="6"/>
  <c r="X2133" i="6"/>
  <c r="T2133" i="6"/>
  <c r="AE2081" i="6"/>
  <c r="AE2066" i="6" s="1" a="1"/>
  <c r="AE2066" i="6" s="1"/>
  <c r="AA2081" i="6"/>
  <c r="W2081" i="6"/>
  <c r="S2081" i="6"/>
  <c r="AE2186" i="6"/>
  <c r="AA2133" i="6"/>
  <c r="Z2081" i="6"/>
  <c r="AA2186" i="6"/>
  <c r="W2133" i="6"/>
  <c r="V2081" i="6"/>
  <c r="N2026" i="6"/>
  <c r="W2186" i="6"/>
  <c r="S2133" i="6"/>
  <c r="R2081" i="6"/>
  <c r="S2186" i="6"/>
  <c r="AE2133" i="6"/>
  <c r="AE2118" i="6" s="1" a="1"/>
  <c r="AE2118" i="6" s="1"/>
  <c r="AD2081" i="6"/>
  <c r="P2064" i="6"/>
  <c r="P2065" i="6"/>
  <c r="AL74" i="13"/>
  <c r="AM74" i="13" s="1"/>
  <c r="AN74" i="13" s="1"/>
  <c r="AO74" i="13" s="1"/>
  <c r="AP74" i="13" s="1"/>
  <c r="AQ74" i="13" s="1"/>
  <c r="AR74" i="13" s="1"/>
  <c r="AS74" i="13" s="1"/>
  <c r="AT74" i="13" s="1"/>
  <c r="AU74" i="13" s="1"/>
  <c r="AV74" i="13" s="1"/>
  <c r="AW74" i="13" s="1"/>
  <c r="AX74" i="13" s="1"/>
  <c r="AY74" i="13" s="1"/>
  <c r="AZ74" i="13" s="1"/>
  <c r="BA74" i="13" s="1"/>
  <c r="AI46" i="21"/>
  <c r="AJ46" i="21" s="1"/>
  <c r="AK46" i="21" s="1"/>
  <c r="AL46" i="21" s="1"/>
  <c r="AM46" i="21" s="1"/>
  <c r="AN46" i="21"/>
  <c r="AO46" i="21" s="1"/>
  <c r="AP46" i="21" s="1"/>
  <c r="AQ46" i="21" s="1"/>
  <c r="AR46" i="21" s="1"/>
  <c r="AS46" i="21" s="1"/>
  <c r="AT46" i="21" s="1"/>
  <c r="AU46" i="21" s="1"/>
  <c r="AV46" i="21" s="1"/>
  <c r="AW46" i="21" s="1"/>
  <c r="AX46" i="21" s="1"/>
  <c r="AY46" i="21" s="1"/>
  <c r="AZ46" i="21" s="1"/>
  <c r="BA46" i="21" s="1"/>
  <c r="AF64" i="15"/>
  <c r="AG64" i="15" s="1"/>
  <c r="AH64" i="15" s="1"/>
  <c r="AI64" i="15" s="1"/>
  <c r="AJ64" i="15" s="1"/>
  <c r="AK64" i="15" s="1"/>
  <c r="AL64" i="15" s="1"/>
  <c r="AM64" i="15" s="1"/>
  <c r="AN64" i="15" s="1"/>
  <c r="AO64" i="15" s="1"/>
  <c r="AP64" i="15" s="1"/>
  <c r="AQ64" i="15" s="1"/>
  <c r="AR64" i="15" s="1"/>
  <c r="AS64" i="15" s="1"/>
  <c r="AT64" i="15" s="1"/>
  <c r="AU64" i="15" s="1"/>
  <c r="AV64" i="15" s="1"/>
  <c r="AW64" i="15" s="1"/>
  <c r="AX64" i="15" s="1"/>
  <c r="AY64" i="15" s="1"/>
  <c r="AZ64" i="15" s="1"/>
  <c r="BA64" i="15" s="1"/>
  <c r="AF2450" i="6"/>
  <c r="AG2448" i="6"/>
  <c r="AF2449" i="6"/>
  <c r="AG16" i="5"/>
  <c r="Z15" i="9"/>
  <c r="AA2671" i="6" s="1"/>
  <c r="AI73" i="22"/>
  <c r="AJ73" i="22" s="1"/>
  <c r="AK73" i="22" s="1"/>
  <c r="AL73" i="22" s="1"/>
  <c r="AM73" i="22" s="1"/>
  <c r="AN73" i="22" s="1"/>
  <c r="AO73" i="22" s="1"/>
  <c r="AP73" i="22" s="1"/>
  <c r="AQ73" i="22" s="1"/>
  <c r="AR73" i="22" s="1"/>
  <c r="AS73" i="22" s="1"/>
  <c r="AT73" i="22" s="1"/>
  <c r="AU73" i="22"/>
  <c r="AV73" i="22" s="1"/>
  <c r="AW73" i="22" s="1"/>
  <c r="AX73" i="22" s="1"/>
  <c r="AY73" i="22" s="1"/>
  <c r="AZ73" i="22" s="1"/>
  <c r="AF111" i="21"/>
  <c r="AG111" i="21" s="1"/>
  <c r="AH111" i="21" s="1"/>
  <c r="AI111" i="21" s="1"/>
  <c r="AJ111" i="21" s="1"/>
  <c r="AK111" i="21" s="1"/>
  <c r="AL111" i="21" s="1"/>
  <c r="AM111" i="21" s="1"/>
  <c r="AN111" i="21" s="1"/>
  <c r="AO111" i="21" s="1"/>
  <c r="AP111" i="21" s="1"/>
  <c r="AQ111" i="21" s="1"/>
  <c r="AR111" i="21" s="1"/>
  <c r="AS111" i="21" s="1"/>
  <c r="AT111" i="21" s="1"/>
  <c r="AU111" i="21" s="1"/>
  <c r="AV111" i="21" s="1"/>
  <c r="AW111" i="21" s="1"/>
  <c r="AX111" i="21" s="1"/>
  <c r="AY111" i="21" s="1"/>
  <c r="AZ111" i="21" s="1"/>
  <c r="AE38" i="23"/>
  <c r="AE31" i="22"/>
  <c r="AE31" i="19"/>
  <c r="AE31" i="20"/>
  <c r="AE31" i="18"/>
  <c r="AE31" i="21"/>
  <c r="AE36" i="17"/>
  <c r="AE41" i="16"/>
  <c r="AE33" i="15"/>
  <c r="AE48" i="14"/>
  <c r="AF6" i="7"/>
  <c r="AE40" i="13"/>
  <c r="AD35" i="5"/>
  <c r="AC416" i="6"/>
  <c r="AG36" i="19"/>
  <c r="AF79" i="14"/>
  <c r="AG79" i="14" s="1"/>
  <c r="AH79" i="14" s="1"/>
  <c r="AI79" i="14" s="1"/>
  <c r="AJ79" i="14" s="1"/>
  <c r="AK79" i="14" s="1"/>
  <c r="AL79" i="14" s="1"/>
  <c r="AM79" i="14" s="1"/>
  <c r="AN79" i="14" s="1"/>
  <c r="AO79" i="14" s="1"/>
  <c r="AP79" i="14" s="1"/>
  <c r="AQ79" i="14" s="1"/>
  <c r="AR79" i="14" s="1"/>
  <c r="AS79" i="14" s="1"/>
  <c r="AT79" i="14" s="1"/>
  <c r="AU79" i="14" s="1"/>
  <c r="AV79" i="14" s="1"/>
  <c r="AW79" i="14" s="1"/>
  <c r="AX79" i="14" s="1"/>
  <c r="AY79" i="14" s="1"/>
  <c r="AZ79" i="14" s="1"/>
  <c r="BA79" i="14" s="1"/>
  <c r="AT81" i="18"/>
  <c r="AU81" i="18" s="1"/>
  <c r="AV81" i="18" s="1"/>
  <c r="AW81" i="18" s="1"/>
  <c r="AX81" i="18" s="1"/>
  <c r="AY81" i="18" s="1"/>
  <c r="AZ81" i="18" s="1"/>
  <c r="AI60" i="16"/>
  <c r="AJ60" i="16" s="1"/>
  <c r="AK60" i="16" s="1"/>
  <c r="AL60" i="16" s="1"/>
  <c r="AM60" i="16" s="1"/>
  <c r="AN60" i="16" s="1"/>
  <c r="AO60" i="16" s="1"/>
  <c r="AP60" i="16" s="1"/>
  <c r="AQ60" i="16" s="1"/>
  <c r="AR60" i="16" s="1"/>
  <c r="AS60" i="16" s="1"/>
  <c r="AT60" i="16" s="1"/>
  <c r="AU60" i="16" s="1"/>
  <c r="AV60" i="16" s="1"/>
  <c r="AW60" i="16" s="1"/>
  <c r="AX60" i="16" s="1"/>
  <c r="AY60" i="16" s="1"/>
  <c r="AZ60" i="16" s="1"/>
  <c r="BA60" i="16" s="1"/>
  <c r="AG2006" i="6"/>
  <c r="AF2004" i="6"/>
  <c r="AF2008" i="6"/>
  <c r="AF883" i="6"/>
  <c r="AF880" i="6"/>
  <c r="AG878" i="6"/>
  <c r="AF882" i="6"/>
  <c r="AG7" i="5"/>
  <c r="W1164" i="6"/>
  <c r="W1165" i="6"/>
  <c r="AJ6" i="9"/>
  <c r="AC24" i="9"/>
  <c r="AB3170" i="6"/>
  <c r="AB36" i="11"/>
  <c r="AN3087" i="6"/>
  <c r="AJ3087" i="6"/>
  <c r="AF3087" i="6"/>
  <c r="AQ3035" i="6"/>
  <c r="AM3035" i="6"/>
  <c r="AI3035" i="6"/>
  <c r="AE3035" i="6"/>
  <c r="AQ3087" i="6"/>
  <c r="AM3087" i="6"/>
  <c r="AI3087" i="6"/>
  <c r="AE3087" i="6"/>
  <c r="AP3035" i="6"/>
  <c r="AL3035" i="6"/>
  <c r="AH3035" i="6"/>
  <c r="AD3035" i="6"/>
  <c r="AO3087" i="6"/>
  <c r="AG3087" i="6"/>
  <c r="AN3035" i="6"/>
  <c r="AF3035" i="6"/>
  <c r="AL3087" i="6"/>
  <c r="AD3087" i="6"/>
  <c r="AK3035" i="6"/>
  <c r="AC3035" i="6"/>
  <c r="AC3008" i="6" s="1" a="1"/>
  <c r="AC3008" i="6" s="1"/>
  <c r="AK3087" i="6"/>
  <c r="AC3087" i="6"/>
  <c r="AC3060" i="6" s="1" a="1"/>
  <c r="AC3060" i="6" s="1"/>
  <c r="AJ3035" i="6"/>
  <c r="AP3087" i="6"/>
  <c r="AO3035" i="6"/>
  <c r="AH3087" i="6"/>
  <c r="AG3035" i="6"/>
  <c r="AD26" i="5"/>
  <c r="AI44" i="15"/>
  <c r="AJ44" i="15" s="1"/>
  <c r="AK44" i="15" s="1"/>
  <c r="AL44" i="15" s="1"/>
  <c r="AM44" i="15" s="1"/>
  <c r="AN44" i="15" s="1"/>
  <c r="AO44" i="15" s="1"/>
  <c r="AP44" i="15" s="1"/>
  <c r="AQ44" i="15" s="1"/>
  <c r="AR44" i="15" s="1"/>
  <c r="AS44" i="15" s="1"/>
  <c r="AT44" i="15" s="1"/>
  <c r="AU44" i="15" s="1"/>
  <c r="AV44" i="15" s="1"/>
  <c r="AW44" i="15" s="1"/>
  <c r="AX44" i="15" s="1"/>
  <c r="AY44" i="15" s="1"/>
  <c r="AZ44" i="15" s="1"/>
  <c r="BA44" i="15" s="1"/>
  <c r="AF2229" i="6"/>
  <c r="AG2227" i="6"/>
  <c r="AF2225" i="6"/>
  <c r="AH3004" i="6"/>
  <c r="AH60" i="9"/>
  <c r="AX330" i="6"/>
  <c r="AT330" i="6"/>
  <c r="AP330" i="6"/>
  <c r="AL330" i="6"/>
  <c r="AH330" i="6"/>
  <c r="AD330" i="6"/>
  <c r="AY278" i="6"/>
  <c r="AU278" i="6"/>
  <c r="AQ278" i="6"/>
  <c r="AM278" i="6"/>
  <c r="AI278" i="6"/>
  <c r="AE278" i="6"/>
  <c r="AU330" i="6"/>
  <c r="AI330" i="6"/>
  <c r="AZ278" i="6"/>
  <c r="AJ278" i="6"/>
  <c r="BA330" i="6"/>
  <c r="AW330" i="6"/>
  <c r="AS330" i="6"/>
  <c r="AO330" i="6"/>
  <c r="AK330" i="6"/>
  <c r="AG330" i="6"/>
  <c r="AC330" i="6"/>
  <c r="AX278" i="6"/>
  <c r="AT278" i="6"/>
  <c r="AP278" i="6"/>
  <c r="AL278" i="6"/>
  <c r="AH278" i="6"/>
  <c r="AD278" i="6"/>
  <c r="AY330" i="6"/>
  <c r="AM330" i="6"/>
  <c r="AR278" i="6"/>
  <c r="AF278" i="6"/>
  <c r="AZ330" i="6"/>
  <c r="AV330" i="6"/>
  <c r="AR330" i="6"/>
  <c r="AN330" i="6"/>
  <c r="AJ330" i="6"/>
  <c r="AF330" i="6"/>
  <c r="BA278" i="6"/>
  <c r="AW278" i="6"/>
  <c r="AS278" i="6"/>
  <c r="AO278" i="6"/>
  <c r="AK278" i="6"/>
  <c r="AG278" i="6"/>
  <c r="AC278" i="6"/>
  <c r="AQ330" i="6"/>
  <c r="AE330" i="6"/>
  <c r="AV278" i="6"/>
  <c r="AN278" i="6"/>
  <c r="N17" i="18"/>
  <c r="P1332" i="6"/>
  <c r="AM5" i="9"/>
  <c r="AK58" i="18"/>
  <c r="AL58" i="18" s="1"/>
  <c r="AM58" i="18" s="1"/>
  <c r="AN58" i="18" s="1"/>
  <c r="AO58" i="18" s="1"/>
  <c r="AP58" i="18" s="1"/>
  <c r="AQ58" i="18" s="1"/>
  <c r="AR58" i="18" s="1"/>
  <c r="AS58" i="18" s="1"/>
  <c r="AT58" i="18" s="1"/>
  <c r="AU58" i="18" s="1"/>
  <c r="AV58" i="18" s="1"/>
  <c r="AW58" i="18" s="1"/>
  <c r="AX58" i="18" s="1"/>
  <c r="AY58" i="18" s="1"/>
  <c r="AZ58" i="18" s="1"/>
  <c r="BA58" i="18" s="1"/>
  <c r="AX26" i="7"/>
  <c r="AY23" i="7"/>
  <c r="AY26" i="7" s="1"/>
  <c r="AF62" i="12"/>
  <c r="AB1614" i="6" l="1"/>
  <c r="AB1615" i="6"/>
  <c r="AB2064" i="6"/>
  <c r="AB2065" i="6"/>
  <c r="AE1096" i="6"/>
  <c r="X1164" i="6"/>
  <c r="X1165" i="6"/>
  <c r="X2832" i="6"/>
  <c r="X2833" i="6"/>
  <c r="AC3167" i="6"/>
  <c r="AC3166" i="6"/>
  <c r="AA1839" i="6"/>
  <c r="AA1840" i="6"/>
  <c r="AB2999" i="6"/>
  <c r="AB3000" i="6"/>
  <c r="M17" i="18"/>
  <c r="O1332" i="6"/>
  <c r="AF38" i="23"/>
  <c r="AF31" i="22"/>
  <c r="AF31" i="21"/>
  <c r="AF31" i="20"/>
  <c r="AF31" i="19"/>
  <c r="AF36" i="17"/>
  <c r="AF31" i="18"/>
  <c r="AF48" i="14"/>
  <c r="AF41" i="16"/>
  <c r="AF33" i="15"/>
  <c r="AG6" i="7"/>
  <c r="AF40" i="13"/>
  <c r="AK1073" i="6"/>
  <c r="AG1073" i="6"/>
  <c r="AS1021" i="6"/>
  <c r="AO1021" i="6"/>
  <c r="AK1021" i="6"/>
  <c r="AG1021" i="6"/>
  <c r="AT969" i="6"/>
  <c r="AP969" i="6"/>
  <c r="AL969" i="6"/>
  <c r="AH969" i="6"/>
  <c r="AJ1073" i="6"/>
  <c r="AF1073" i="6"/>
  <c r="AR1021" i="6"/>
  <c r="AN1021" i="6"/>
  <c r="AJ1021" i="6"/>
  <c r="AF1021" i="6"/>
  <c r="AF991" i="6" s="1" a="1"/>
  <c r="AF991" i="6" s="1"/>
  <c r="AI1073" i="6"/>
  <c r="AQ1021" i="6"/>
  <c r="AM1021" i="6"/>
  <c r="AI1021" i="6"/>
  <c r="AR969" i="6"/>
  <c r="AN969" i="6"/>
  <c r="AJ969" i="6"/>
  <c r="AF969" i="6"/>
  <c r="AF939" i="6" s="1" a="1"/>
  <c r="AF939" i="6" s="1"/>
  <c r="AH1073" i="6"/>
  <c r="AH1021" i="6"/>
  <c r="AS969" i="6"/>
  <c r="AK969" i="6"/>
  <c r="AE915" i="6"/>
  <c r="AE885" i="6" s="1"/>
  <c r="AT1021" i="6"/>
  <c r="AQ969" i="6"/>
  <c r="AI969" i="6"/>
  <c r="AG884" i="6"/>
  <c r="AP1021" i="6"/>
  <c r="AO969" i="6"/>
  <c r="AG969" i="6"/>
  <c r="AL1021" i="6"/>
  <c r="AM969" i="6"/>
  <c r="AF2665" i="6"/>
  <c r="AG2010" i="6"/>
  <c r="AH2005" i="6"/>
  <c r="AF39" i="23"/>
  <c r="AG2451" i="6" s="1"/>
  <c r="AF32" i="22"/>
  <c r="AF32" i="20"/>
  <c r="AF32" i="21"/>
  <c r="AG2009" i="6" s="1"/>
  <c r="AF32" i="19"/>
  <c r="AF32" i="18"/>
  <c r="AF42" i="16"/>
  <c r="AG882" i="6" s="1"/>
  <c r="AF34" i="15"/>
  <c r="AF49" i="14"/>
  <c r="AF37" i="17"/>
  <c r="AF41" i="13"/>
  <c r="AG7" i="7"/>
  <c r="AX329" i="6"/>
  <c r="AT329" i="6"/>
  <c r="AP329" i="6"/>
  <c r="AL329" i="6"/>
  <c r="AH329" i="6"/>
  <c r="AD329" i="6"/>
  <c r="AD303" i="6" s="1" a="1"/>
  <c r="AD303" i="6" s="1"/>
  <c r="AY277" i="6"/>
  <c r="AU277" i="6"/>
  <c r="AQ277" i="6"/>
  <c r="AM277" i="6"/>
  <c r="AI277" i="6"/>
  <c r="AE277" i="6"/>
  <c r="AM329" i="6"/>
  <c r="AR277" i="6"/>
  <c r="AF277" i="6"/>
  <c r="AW329" i="6"/>
  <c r="AS329" i="6"/>
  <c r="AO329" i="6"/>
  <c r="AK329" i="6"/>
  <c r="AG329" i="6"/>
  <c r="AC329" i="6"/>
  <c r="AC303" i="6" s="1" a="1"/>
  <c r="AC303" i="6" s="1"/>
  <c r="AX277" i="6"/>
  <c r="AT277" i="6"/>
  <c r="AP277" i="6"/>
  <c r="AL277" i="6"/>
  <c r="AH277" i="6"/>
  <c r="AD277" i="6"/>
  <c r="AD251" i="6" s="1" a="1"/>
  <c r="AD251" i="6" s="1"/>
  <c r="AD409" i="6" s="1"/>
  <c r="AY329" i="6"/>
  <c r="AQ329" i="6"/>
  <c r="AE329" i="6"/>
  <c r="AV277" i="6"/>
  <c r="AJ277" i="6"/>
  <c r="AZ329" i="6"/>
  <c r="AV329" i="6"/>
  <c r="AR329" i="6"/>
  <c r="AN329" i="6"/>
  <c r="AJ329" i="6"/>
  <c r="AF329" i="6"/>
  <c r="AB329" i="6"/>
  <c r="AW277" i="6"/>
  <c r="AS277" i="6"/>
  <c r="AO277" i="6"/>
  <c r="AK277" i="6"/>
  <c r="AG277" i="6"/>
  <c r="AC277" i="6"/>
  <c r="AC251" i="6" s="1" a="1"/>
  <c r="AC251" i="6" s="1"/>
  <c r="AC409" i="6" s="1"/>
  <c r="AU329" i="6"/>
  <c r="AI329" i="6"/>
  <c r="AZ277" i="6"/>
  <c r="AN277" i="6"/>
  <c r="AB277" i="6"/>
  <c r="AB251" i="6" s="1" a="1"/>
  <c r="AB251" i="6" s="1"/>
  <c r="AB409" i="6" s="1"/>
  <c r="AN31" i="14"/>
  <c r="AM33" i="14"/>
  <c r="AF1391" i="6" a="1"/>
  <c r="AF1391" i="6" s="1"/>
  <c r="O1337" i="6"/>
  <c r="AN103" i="9"/>
  <c r="R47" i="5"/>
  <c r="R45" i="5"/>
  <c r="R44" i="5"/>
  <c r="R46" i="5"/>
  <c r="AG1560" i="6"/>
  <c r="AH1555" i="6"/>
  <c r="AG1559" i="6"/>
  <c r="AH11" i="5"/>
  <c r="L2" i="20"/>
  <c r="AG1961" i="6"/>
  <c r="AC1961" i="6"/>
  <c r="Y1961" i="6"/>
  <c r="U1961" i="6"/>
  <c r="AC1908" i="6"/>
  <c r="Y1908" i="6"/>
  <c r="U1908" i="6"/>
  <c r="Q1908" i="6"/>
  <c r="AB1856" i="6"/>
  <c r="X1856" i="6"/>
  <c r="T1856" i="6"/>
  <c r="AF1961" i="6"/>
  <c r="AB1961" i="6"/>
  <c r="X1961" i="6"/>
  <c r="T1961" i="6"/>
  <c r="AB1908" i="6"/>
  <c r="X1908" i="6"/>
  <c r="T1908" i="6"/>
  <c r="AE1856" i="6"/>
  <c r="AA1856" i="6"/>
  <c r="W1856" i="6"/>
  <c r="S1856" i="6"/>
  <c r="AE1961" i="6"/>
  <c r="AA1961" i="6"/>
  <c r="W1961" i="6"/>
  <c r="S1961" i="6"/>
  <c r="AE1908" i="6"/>
  <c r="AA1908" i="6"/>
  <c r="W1908" i="6"/>
  <c r="S1908" i="6"/>
  <c r="AD1856" i="6"/>
  <c r="Z1856" i="6"/>
  <c r="V1856" i="6"/>
  <c r="R1856" i="6"/>
  <c r="V1961" i="6"/>
  <c r="R1908" i="6"/>
  <c r="AC1856" i="6"/>
  <c r="R1961" i="6"/>
  <c r="AD1908" i="6"/>
  <c r="Y1856" i="6"/>
  <c r="N1800" i="6"/>
  <c r="AD1961" i="6"/>
  <c r="Z1908" i="6"/>
  <c r="U1856" i="6"/>
  <c r="N1802" i="6"/>
  <c r="Z1961" i="6"/>
  <c r="V1908" i="6"/>
  <c r="Q1856" i="6"/>
  <c r="N1801" i="6"/>
  <c r="AF14" i="6"/>
  <c r="AG8" i="6"/>
  <c r="AG2" i="5"/>
  <c r="AF13" i="6"/>
  <c r="AG3" i="5"/>
  <c r="AE14" i="13"/>
  <c r="AF237" i="6"/>
  <c r="AF12" i="6"/>
  <c r="AG9" i="6"/>
  <c r="AF7" i="6"/>
  <c r="AQ2920" i="6"/>
  <c r="AM2920" i="6"/>
  <c r="AI2920" i="6"/>
  <c r="AE2920" i="6"/>
  <c r="AP2868" i="6"/>
  <c r="AL2868" i="6"/>
  <c r="AH2868" i="6"/>
  <c r="AD2868" i="6"/>
  <c r="AP2920" i="6"/>
  <c r="AK2920" i="6"/>
  <c r="AF2920" i="6"/>
  <c r="AO2868" i="6"/>
  <c r="AJ2868" i="6"/>
  <c r="AE2868" i="6"/>
  <c r="AO2920" i="6"/>
  <c r="AJ2920" i="6"/>
  <c r="AD2920" i="6"/>
  <c r="AN2868" i="6"/>
  <c r="AI2868" i="6"/>
  <c r="AC2868" i="6"/>
  <c r="AC2841" i="6" s="1" a="1"/>
  <c r="AC2841" i="6" s="1"/>
  <c r="AN2920" i="6"/>
  <c r="AH2920" i="6"/>
  <c r="AC2920" i="6"/>
  <c r="AC2893" i="6" s="1" a="1"/>
  <c r="AC2893" i="6" s="1"/>
  <c r="AG2920" i="6"/>
  <c r="AK2868" i="6"/>
  <c r="AG2868" i="6"/>
  <c r="AQ2868" i="6"/>
  <c r="AF2868" i="6"/>
  <c r="AL2920" i="6"/>
  <c r="AM2868" i="6"/>
  <c r="AG1780" i="6"/>
  <c r="AF1785" i="6"/>
  <c r="AF1784" i="6"/>
  <c r="AG12" i="5"/>
  <c r="AI848" i="6"/>
  <c r="AQ796" i="6"/>
  <c r="AM796" i="6"/>
  <c r="AI796" i="6"/>
  <c r="AR744" i="6"/>
  <c r="AN744" i="6"/>
  <c r="AJ744" i="6"/>
  <c r="AF744" i="6"/>
  <c r="AH848" i="6"/>
  <c r="AT796" i="6"/>
  <c r="AP796" i="6"/>
  <c r="AL796" i="6"/>
  <c r="AH796" i="6"/>
  <c r="AQ744" i="6"/>
  <c r="AM744" i="6"/>
  <c r="AI744" i="6"/>
  <c r="AD690" i="6"/>
  <c r="AD660" i="6" s="1"/>
  <c r="AG659" i="6"/>
  <c r="AK848" i="6"/>
  <c r="AG848" i="6"/>
  <c r="AS796" i="6"/>
  <c r="AO796" i="6"/>
  <c r="AK796" i="6"/>
  <c r="AG796" i="6"/>
  <c r="AT744" i="6"/>
  <c r="AP744" i="6"/>
  <c r="AL744" i="6"/>
  <c r="AH744" i="6"/>
  <c r="AE690" i="6"/>
  <c r="AJ848" i="6"/>
  <c r="AF848" i="6"/>
  <c r="AF818" i="6" s="1"/>
  <c r="AR796" i="6"/>
  <c r="AN796" i="6"/>
  <c r="AJ796" i="6"/>
  <c r="AF796" i="6"/>
  <c r="AS744" i="6"/>
  <c r="AO744" i="6"/>
  <c r="AK744" i="6"/>
  <c r="AG744" i="6"/>
  <c r="AE1668" i="6" a="1"/>
  <c r="AE1668" i="6" s="1"/>
  <c r="AF17" i="21"/>
  <c r="AF2007" i="6"/>
  <c r="O423" i="6"/>
  <c r="AF2507" i="6"/>
  <c r="AF2664" i="6" s="1"/>
  <c r="AF2506" i="6"/>
  <c r="AH39" i="18"/>
  <c r="AG36" i="18"/>
  <c r="AE2668" i="6"/>
  <c r="AV3142" i="6"/>
  <c r="AR3142" i="6"/>
  <c r="AN3142" i="6"/>
  <c r="AJ3142" i="6"/>
  <c r="AF3142" i="6"/>
  <c r="AE3006" i="6"/>
  <c r="AY3142" i="6"/>
  <c r="AU3142" i="6"/>
  <c r="AQ3142" i="6"/>
  <c r="AM3142" i="6"/>
  <c r="AI3142" i="6"/>
  <c r="AE3142" i="6"/>
  <c r="AE3113" i="6" s="1"/>
  <c r="AE3007" i="6"/>
  <c r="AW3142" i="6"/>
  <c r="AO3142" i="6"/>
  <c r="AG3142" i="6"/>
  <c r="AT3142" i="6"/>
  <c r="AL3142" i="6"/>
  <c r="AS3142" i="6"/>
  <c r="AK3142" i="6"/>
  <c r="AX3142" i="6"/>
  <c r="AP3142" i="6"/>
  <c r="AH3142" i="6"/>
  <c r="AE3112" i="6"/>
  <c r="L17" i="20"/>
  <c r="N1782" i="6"/>
  <c r="AG1104" i="6"/>
  <c r="AF1108" i="6"/>
  <c r="AF1102" i="6"/>
  <c r="L21" i="17"/>
  <c r="N1106" i="6"/>
  <c r="O19" i="5" s="1"/>
  <c r="AF57" i="14"/>
  <c r="AF56" i="14" s="1"/>
  <c r="AG66" i="14"/>
  <c r="AF1779" i="6"/>
  <c r="AF1783" i="6"/>
  <c r="AG1781" i="6"/>
  <c r="AI46" i="16"/>
  <c r="L19" i="17"/>
  <c r="N1105" i="6"/>
  <c r="AG44" i="17"/>
  <c r="AE2223" i="6"/>
  <c r="AP609" i="6"/>
  <c r="AL609" i="6"/>
  <c r="AH609" i="6"/>
  <c r="AD609" i="6"/>
  <c r="AR557" i="6"/>
  <c r="AN557" i="6"/>
  <c r="AJ557" i="6"/>
  <c r="AF557" i="6"/>
  <c r="AR505" i="6"/>
  <c r="AN505" i="6"/>
  <c r="AJ505" i="6"/>
  <c r="AF505" i="6"/>
  <c r="AB451" i="6"/>
  <c r="AS609" i="6"/>
  <c r="AO609" i="6"/>
  <c r="AK609" i="6"/>
  <c r="AG609" i="6"/>
  <c r="AQ557" i="6"/>
  <c r="AM557" i="6"/>
  <c r="AI557" i="6"/>
  <c r="AE557" i="6"/>
  <c r="AQ505" i="6"/>
  <c r="AM505" i="6"/>
  <c r="AI505" i="6"/>
  <c r="AE505" i="6"/>
  <c r="AA451" i="6"/>
  <c r="AA423" i="6" s="1"/>
  <c r="AQ609" i="6"/>
  <c r="AI609" i="6"/>
  <c r="AE609" i="6"/>
  <c r="AO557" i="6"/>
  <c r="AK505" i="6"/>
  <c r="AR609" i="6"/>
  <c r="AN609" i="6"/>
  <c r="AJ609" i="6"/>
  <c r="AF609" i="6"/>
  <c r="AP557" i="6"/>
  <c r="AL557" i="6"/>
  <c r="AH557" i="6"/>
  <c r="AD557" i="6"/>
  <c r="AP505" i="6"/>
  <c r="AL505" i="6"/>
  <c r="AH505" i="6"/>
  <c r="AD505" i="6"/>
  <c r="AM609" i="6"/>
  <c r="AK557" i="6"/>
  <c r="AG557" i="6"/>
  <c r="AO505" i="6"/>
  <c r="AG505" i="6"/>
  <c r="AC451" i="6"/>
  <c r="AE422" i="6"/>
  <c r="J2" i="22"/>
  <c r="AB2404" i="6"/>
  <c r="X2404" i="6"/>
  <c r="T2404" i="6"/>
  <c r="P2404" i="6"/>
  <c r="AJ2352" i="6"/>
  <c r="AF2352" i="6"/>
  <c r="AB2352" i="6"/>
  <c r="X2352" i="6"/>
  <c r="T2352" i="6"/>
  <c r="P2352" i="6"/>
  <c r="AL2300" i="6"/>
  <c r="AH2300" i="6"/>
  <c r="AD2300" i="6"/>
  <c r="Z2300" i="6"/>
  <c r="V2300" i="6"/>
  <c r="R2300" i="6"/>
  <c r="L2246" i="6"/>
  <c r="L2244" i="6"/>
  <c r="AA2404" i="6"/>
  <c r="W2404" i="6"/>
  <c r="S2404" i="6"/>
  <c r="O2404" i="6"/>
  <c r="AM2352" i="6"/>
  <c r="AI2352" i="6"/>
  <c r="AE2352" i="6"/>
  <c r="AA2352" i="6"/>
  <c r="W2352" i="6"/>
  <c r="S2352" i="6"/>
  <c r="O2352" i="6"/>
  <c r="AK2300" i="6"/>
  <c r="AG2300" i="6"/>
  <c r="AC2300" i="6"/>
  <c r="Y2300" i="6"/>
  <c r="U2300" i="6"/>
  <c r="Q2300" i="6"/>
  <c r="AD2404" i="6"/>
  <c r="AD2391" i="6" s="1"/>
  <c r="Z2404" i="6"/>
  <c r="V2404" i="6"/>
  <c r="R2404" i="6"/>
  <c r="AL2352" i="6"/>
  <c r="AH2352" i="6"/>
  <c r="AD2352" i="6"/>
  <c r="Z2352" i="6"/>
  <c r="V2352" i="6"/>
  <c r="R2352" i="6"/>
  <c r="AJ2300" i="6"/>
  <c r="AF2300" i="6"/>
  <c r="AB2300" i="6"/>
  <c r="X2300" i="6"/>
  <c r="T2300" i="6"/>
  <c r="P2300" i="6"/>
  <c r="L2245" i="6"/>
  <c r="AC2404" i="6"/>
  <c r="Y2404" i="6"/>
  <c r="U2404" i="6"/>
  <c r="Q2404" i="6"/>
  <c r="AK2352" i="6"/>
  <c r="AG2352" i="6"/>
  <c r="AC2352" i="6"/>
  <c r="Y2352" i="6"/>
  <c r="U2352" i="6"/>
  <c r="Q2352" i="6"/>
  <c r="AM2300" i="6"/>
  <c r="AI2300" i="6"/>
  <c r="AE2300" i="6"/>
  <c r="AA2300" i="6"/>
  <c r="W2300" i="6"/>
  <c r="S2300" i="6"/>
  <c r="O2300" i="6"/>
  <c r="AT2644" i="6"/>
  <c r="AP2644" i="6"/>
  <c r="AL2644" i="6"/>
  <c r="AH2644" i="6"/>
  <c r="AH2612" i="6" s="1"/>
  <c r="AU2592" i="6"/>
  <c r="AQ2592" i="6"/>
  <c r="AM2592" i="6"/>
  <c r="AI2592" i="6"/>
  <c r="AT2540" i="6"/>
  <c r="AP2540" i="6"/>
  <c r="AL2540" i="6"/>
  <c r="AH2540" i="6"/>
  <c r="AH2508" i="6" s="1" a="1"/>
  <c r="AH2508" i="6" s="1"/>
  <c r="AS2644" i="6"/>
  <c r="AN2644" i="6"/>
  <c r="AI2644" i="6"/>
  <c r="AV2592" i="6"/>
  <c r="AP2592" i="6"/>
  <c r="AK2592" i="6"/>
  <c r="AR2540" i="6"/>
  <c r="AM2540" i="6"/>
  <c r="AG2486" i="6"/>
  <c r="AG2454" i="6" s="1"/>
  <c r="AW2644" i="6"/>
  <c r="AR2644" i="6"/>
  <c r="AM2644" i="6"/>
  <c r="AT2592" i="6"/>
  <c r="AO2592" i="6"/>
  <c r="AJ2592" i="6"/>
  <c r="AV2540" i="6"/>
  <c r="AQ2540" i="6"/>
  <c r="AK2540" i="6"/>
  <c r="AV2644" i="6"/>
  <c r="AQ2644" i="6"/>
  <c r="AK2644" i="6"/>
  <c r="AS2592" i="6"/>
  <c r="AN2592" i="6"/>
  <c r="AH2592" i="6"/>
  <c r="AH2560" i="6" s="1" a="1"/>
  <c r="AH2560" i="6" s="1"/>
  <c r="AU2540" i="6"/>
  <c r="AO2540" i="6"/>
  <c r="AJ2540" i="6"/>
  <c r="AU2644" i="6"/>
  <c r="AR2592" i="6"/>
  <c r="AO2644" i="6"/>
  <c r="AL2592" i="6"/>
  <c r="AS2540" i="6"/>
  <c r="AJ2644" i="6"/>
  <c r="AN2540" i="6"/>
  <c r="AI2540" i="6"/>
  <c r="AI2453" i="6"/>
  <c r="AI21" i="5"/>
  <c r="AH61" i="12"/>
  <c r="AM6" i="9"/>
  <c r="N2507" i="6"/>
  <c r="N2506" i="6"/>
  <c r="L2" i="17"/>
  <c r="N1129" i="6"/>
  <c r="N1112" i="6" s="1"/>
  <c r="AF38" i="15"/>
  <c r="AG2004" i="6"/>
  <c r="AG2008" i="6"/>
  <c r="AH2006" i="6"/>
  <c r="N2012" i="6"/>
  <c r="AL50" i="13"/>
  <c r="AR2200" i="6"/>
  <c r="AN2200" i="6"/>
  <c r="AJ2200" i="6"/>
  <c r="AF2200" i="6"/>
  <c r="AR2148" i="6"/>
  <c r="AN2148" i="6"/>
  <c r="AJ2148" i="6"/>
  <c r="AF2148" i="6"/>
  <c r="AF2118" i="6" s="1" a="1"/>
  <c r="AF2118" i="6" s="1"/>
  <c r="AQ2096" i="6"/>
  <c r="AM2096" i="6"/>
  <c r="AI2096" i="6"/>
  <c r="AC2042" i="6"/>
  <c r="AC2012" i="6" s="1"/>
  <c r="AU2200" i="6"/>
  <c r="AQ2200" i="6"/>
  <c r="AM2200" i="6"/>
  <c r="AI2200" i="6"/>
  <c r="AQ2148" i="6"/>
  <c r="AM2148" i="6"/>
  <c r="AI2148" i="6"/>
  <c r="AT2096" i="6"/>
  <c r="AP2096" i="6"/>
  <c r="AL2096" i="6"/>
  <c r="AH2096" i="6"/>
  <c r="AT2200" i="6"/>
  <c r="AP2200" i="6"/>
  <c r="AL2200" i="6"/>
  <c r="AH2200" i="6"/>
  <c r="AT2148" i="6"/>
  <c r="AP2148" i="6"/>
  <c r="AL2148" i="6"/>
  <c r="AH2148" i="6"/>
  <c r="AS2096" i="6"/>
  <c r="AO2096" i="6"/>
  <c r="AK2096" i="6"/>
  <c r="AG2096" i="6"/>
  <c r="AE2042" i="6"/>
  <c r="AG2011" i="6"/>
  <c r="AS2200" i="6"/>
  <c r="AO2148" i="6"/>
  <c r="AN2096" i="6"/>
  <c r="AO2200" i="6"/>
  <c r="AK2148" i="6"/>
  <c r="AJ2096" i="6"/>
  <c r="AD2042" i="6"/>
  <c r="AK2200" i="6"/>
  <c r="AG2148" i="6"/>
  <c r="AF2096" i="6"/>
  <c r="AF2066" i="6" s="1" a="1"/>
  <c r="AF2066" i="6" s="1"/>
  <c r="AG2200" i="6"/>
  <c r="AS2148" i="6"/>
  <c r="AR2096" i="6"/>
  <c r="P1840" i="6"/>
  <c r="P1839" i="6"/>
  <c r="AF2230" i="6"/>
  <c r="AF2231" i="6"/>
  <c r="AG2226" i="6"/>
  <c r="AG13" i="5"/>
  <c r="L2" i="18"/>
  <c r="AG1511" i="6"/>
  <c r="AC1511" i="6"/>
  <c r="Y1511" i="6"/>
  <c r="U1511" i="6"/>
  <c r="AC1458" i="6"/>
  <c r="Y1458" i="6"/>
  <c r="U1458" i="6"/>
  <c r="Q1458" i="6"/>
  <c r="AB1406" i="6"/>
  <c r="X1406" i="6"/>
  <c r="T1406" i="6"/>
  <c r="N1352" i="6"/>
  <c r="N1350" i="6"/>
  <c r="AF1511" i="6"/>
  <c r="AB1511" i="6"/>
  <c r="X1511" i="6"/>
  <c r="T1511" i="6"/>
  <c r="AB1458" i="6"/>
  <c r="X1458" i="6"/>
  <c r="T1458" i="6"/>
  <c r="AE1406" i="6"/>
  <c r="AE1391" i="6" s="1" a="1"/>
  <c r="AE1391" i="6" s="1"/>
  <c r="AA1406" i="6"/>
  <c r="W1406" i="6"/>
  <c r="S1406" i="6"/>
  <c r="AE1511" i="6"/>
  <c r="AA1511" i="6"/>
  <c r="W1511" i="6"/>
  <c r="S1511" i="6"/>
  <c r="AE1458" i="6"/>
  <c r="AE1443" i="6" s="1" a="1"/>
  <c r="AE1443" i="6" s="1"/>
  <c r="AA1458" i="6"/>
  <c r="W1458" i="6"/>
  <c r="S1458" i="6"/>
  <c r="AD1406" i="6"/>
  <c r="Z1406" i="6"/>
  <c r="V1406" i="6"/>
  <c r="R1406" i="6"/>
  <c r="N1351" i="6"/>
  <c r="AD1511" i="6"/>
  <c r="Z1511" i="6"/>
  <c r="V1511" i="6"/>
  <c r="R1511" i="6"/>
  <c r="AD1458" i="6"/>
  <c r="Z1458" i="6"/>
  <c r="V1458" i="6"/>
  <c r="R1458" i="6"/>
  <c r="AC1406" i="6"/>
  <c r="Y1406" i="6"/>
  <c r="U1406" i="6"/>
  <c r="Q1406" i="6"/>
  <c r="AF714" i="6" a="1"/>
  <c r="AF714" i="6" s="1"/>
  <c r="AN2750" i="6"/>
  <c r="AJ2750" i="6"/>
  <c r="AF2750" i="6"/>
  <c r="AB2750" i="6"/>
  <c r="AM2698" i="6"/>
  <c r="AI2698" i="6"/>
  <c r="AE2698" i="6"/>
  <c r="AA2698" i="6"/>
  <c r="AK2750" i="6"/>
  <c r="AE2750" i="6"/>
  <c r="Z2750" i="6"/>
  <c r="AJ2698" i="6"/>
  <c r="AD2698" i="6"/>
  <c r="AI2750" i="6"/>
  <c r="AD2750" i="6"/>
  <c r="AN2698" i="6"/>
  <c r="AH2698" i="6"/>
  <c r="AC2698" i="6"/>
  <c r="AM2750" i="6"/>
  <c r="AH2750" i="6"/>
  <c r="AC2750" i="6"/>
  <c r="AG2750" i="6"/>
  <c r="AF2698" i="6"/>
  <c r="AA2750" i="6"/>
  <c r="AL2698" i="6"/>
  <c r="AB2698" i="6"/>
  <c r="AK2698" i="6"/>
  <c r="Z2698" i="6"/>
  <c r="AL2750" i="6"/>
  <c r="AG2698" i="6"/>
  <c r="AG3171" i="6"/>
  <c r="M21" i="15"/>
  <c r="O655" i="6"/>
  <c r="AS1750" i="6"/>
  <c r="AO1750" i="6"/>
  <c r="AK1750" i="6"/>
  <c r="AG1750" i="6"/>
  <c r="AS1698" i="6"/>
  <c r="AO1698" i="6"/>
  <c r="AK1698" i="6"/>
  <c r="AG1698" i="6"/>
  <c r="AR1646" i="6"/>
  <c r="AN1646" i="6"/>
  <c r="AJ1646" i="6"/>
  <c r="AF1646" i="6"/>
  <c r="AF1616" i="6" s="1" a="1"/>
  <c r="AF1616" i="6" s="1"/>
  <c r="AT1750" i="6"/>
  <c r="AN1750" i="6"/>
  <c r="AI1750" i="6"/>
  <c r="AP1698" i="6"/>
  <c r="AJ1698" i="6"/>
  <c r="AT1646" i="6"/>
  <c r="AO1646" i="6"/>
  <c r="AI1646" i="6"/>
  <c r="AC1592" i="6"/>
  <c r="AC1562" i="6" s="1"/>
  <c r="AR1750" i="6"/>
  <c r="AM1750" i="6"/>
  <c r="AH1750" i="6"/>
  <c r="AT1698" i="6"/>
  <c r="AN1698" i="6"/>
  <c r="AI1698" i="6"/>
  <c r="AS1646" i="6"/>
  <c r="AM1646" i="6"/>
  <c r="AH1646" i="6"/>
  <c r="AQ1750" i="6"/>
  <c r="AL1750" i="6"/>
  <c r="AF1750" i="6"/>
  <c r="AR1698" i="6"/>
  <c r="AM1698" i="6"/>
  <c r="AH1698" i="6"/>
  <c r="AQ1646" i="6"/>
  <c r="AL1646" i="6"/>
  <c r="AG1646" i="6"/>
  <c r="AE1592" i="6"/>
  <c r="AG1561" i="6"/>
  <c r="AU1750" i="6"/>
  <c r="AP1750" i="6"/>
  <c r="AJ1750" i="6"/>
  <c r="AQ1698" i="6"/>
  <c r="AL1698" i="6"/>
  <c r="AF1698" i="6"/>
  <c r="AF1668" i="6" s="1" a="1"/>
  <c r="AF1668" i="6" s="1"/>
  <c r="AP1646" i="6"/>
  <c r="AK1646" i="6"/>
  <c r="AD1592" i="6"/>
  <c r="L77" i="6"/>
  <c r="L78" i="6"/>
  <c r="AX212" i="6"/>
  <c r="AT212" i="6"/>
  <c r="AP212" i="6"/>
  <c r="AL212" i="6"/>
  <c r="AH212" i="6"/>
  <c r="AQ160" i="6"/>
  <c r="AM160" i="6"/>
  <c r="AI160" i="6"/>
  <c r="AE160" i="6"/>
  <c r="AP108" i="6"/>
  <c r="AL108" i="6"/>
  <c r="AH108" i="6"/>
  <c r="AD45" i="6"/>
  <c r="Z45" i="6"/>
  <c r="AF11" i="6"/>
  <c r="AY212" i="6"/>
  <c r="AI212" i="6"/>
  <c r="AN160" i="6"/>
  <c r="AQ108" i="6"/>
  <c r="AW212" i="6"/>
  <c r="AS212" i="6"/>
  <c r="AO212" i="6"/>
  <c r="AK212" i="6"/>
  <c r="AG212" i="6"/>
  <c r="AP160" i="6"/>
  <c r="AL160" i="6"/>
  <c r="AH160" i="6"/>
  <c r="AS108" i="6"/>
  <c r="AO108" i="6"/>
  <c r="AK108" i="6"/>
  <c r="AG108" i="6"/>
  <c r="AC45" i="6"/>
  <c r="Y45" i="6"/>
  <c r="Y16" i="6" s="1"/>
  <c r="AM212" i="6"/>
  <c r="AJ160" i="6"/>
  <c r="AI108" i="6"/>
  <c r="AV212" i="6"/>
  <c r="AR212" i="6"/>
  <c r="AN212" i="6"/>
  <c r="AJ212" i="6"/>
  <c r="AF212" i="6"/>
  <c r="AS160" i="6"/>
  <c r="AO160" i="6"/>
  <c r="AK160" i="6"/>
  <c r="AG160" i="6"/>
  <c r="AR108" i="6"/>
  <c r="AN108" i="6"/>
  <c r="AJ108" i="6"/>
  <c r="AF108" i="6"/>
  <c r="AB45" i="6"/>
  <c r="AF15" i="6"/>
  <c r="AU212" i="6"/>
  <c r="AQ212" i="6"/>
  <c r="AE212" i="6"/>
  <c r="AR160" i="6"/>
  <c r="AF160" i="6"/>
  <c r="AM108" i="6"/>
  <c r="AE108" i="6"/>
  <c r="AE79" i="6" s="1" a="1"/>
  <c r="AE79" i="6" s="1"/>
  <c r="AF10" i="6"/>
  <c r="AA45" i="6"/>
  <c r="AU2974" i="6"/>
  <c r="AQ2974" i="6"/>
  <c r="AM2974" i="6"/>
  <c r="AI2974" i="6"/>
  <c r="AE2974" i="6"/>
  <c r="AD2839" i="6"/>
  <c r="AX2974" i="6"/>
  <c r="AT2974" i="6"/>
  <c r="AP2974" i="6"/>
  <c r="AL2974" i="6"/>
  <c r="AH2974" i="6"/>
  <c r="AD2974" i="6"/>
  <c r="AD2946" i="6" s="1"/>
  <c r="AS2974" i="6"/>
  <c r="AK2974" i="6"/>
  <c r="AR2974" i="6"/>
  <c r="AJ2974" i="6"/>
  <c r="AD2840" i="6"/>
  <c r="AW2974" i="6"/>
  <c r="AO2974" i="6"/>
  <c r="AG2974" i="6"/>
  <c r="AN2974" i="6"/>
  <c r="AF2974" i="6"/>
  <c r="AV2974" i="6"/>
  <c r="AD2945" i="6"/>
  <c r="AD2998" i="6" s="1"/>
  <c r="AC1096" i="6"/>
  <c r="AC1095" i="6"/>
  <c r="K3" i="16"/>
  <c r="S1055" i="6"/>
  <c r="S1043" i="6" s="1"/>
  <c r="O1055" i="6"/>
  <c r="Y1003" i="6"/>
  <c r="U1003" i="6"/>
  <c r="Q1003" i="6"/>
  <c r="Z951" i="6"/>
  <c r="V951" i="6"/>
  <c r="R951" i="6"/>
  <c r="N951" i="6"/>
  <c r="R1055" i="6"/>
  <c r="N1055" i="6"/>
  <c r="AB1003" i="6"/>
  <c r="AB991" i="6" s="1" a="1"/>
  <c r="AB991" i="6" s="1"/>
  <c r="X1003" i="6"/>
  <c r="T1003" i="6"/>
  <c r="P1003" i="6"/>
  <c r="Q1055" i="6"/>
  <c r="AA1003" i="6"/>
  <c r="W1003" i="6"/>
  <c r="S1003" i="6"/>
  <c r="O1003" i="6"/>
  <c r="AB951" i="6"/>
  <c r="AB939" i="6" s="1" a="1"/>
  <c r="AB939" i="6" s="1"/>
  <c r="X951" i="6"/>
  <c r="T951" i="6"/>
  <c r="P951" i="6"/>
  <c r="P1055" i="6"/>
  <c r="N1003" i="6"/>
  <c r="Y951" i="6"/>
  <c r="Q951" i="6"/>
  <c r="Z1003" i="6"/>
  <c r="W951" i="6"/>
  <c r="O951" i="6"/>
  <c r="V1003" i="6"/>
  <c r="U951" i="6"/>
  <c r="M897" i="6"/>
  <c r="M885" i="6" s="1"/>
  <c r="R1003" i="6"/>
  <c r="AA951" i="6"/>
  <c r="S951" i="6"/>
  <c r="AH56" i="17"/>
  <c r="AL76" i="18"/>
  <c r="AM76" i="18" s="1"/>
  <c r="AN76" i="18" s="1"/>
  <c r="AO76" i="18" s="1"/>
  <c r="AP76" i="18" s="1"/>
  <c r="AQ76" i="18" s="1"/>
  <c r="AR76" i="18" s="1"/>
  <c r="AS76" i="18" s="1"/>
  <c r="AT76" i="18" s="1"/>
  <c r="AU76" i="18" s="1"/>
  <c r="AV76" i="18" s="1"/>
  <c r="AW76" i="18" s="1"/>
  <c r="AX76" i="18" s="1"/>
  <c r="AY76" i="18" s="1"/>
  <c r="AZ76" i="18"/>
  <c r="M25" i="16"/>
  <c r="O880" i="6"/>
  <c r="Q712" i="6"/>
  <c r="Q713" i="6"/>
  <c r="AQ21" i="13"/>
  <c r="AP22" i="13"/>
  <c r="AF2228" i="6"/>
  <c r="D226" i="10"/>
  <c r="E302" i="10"/>
  <c r="K2" i="19"/>
  <c r="AD1735" i="6"/>
  <c r="Z1735" i="6"/>
  <c r="V1735" i="6"/>
  <c r="R1735" i="6"/>
  <c r="AC1734" i="6"/>
  <c r="Y1734" i="6"/>
  <c r="U1734" i="6"/>
  <c r="Q1734" i="6"/>
  <c r="AC1682" i="6"/>
  <c r="Y1682" i="6"/>
  <c r="U1682" i="6"/>
  <c r="Q1682" i="6"/>
  <c r="AB1630" i="6"/>
  <c r="X1630" i="6"/>
  <c r="T1630" i="6"/>
  <c r="P1630" i="6"/>
  <c r="AE1735" i="6"/>
  <c r="Y1735" i="6"/>
  <c r="T1735" i="6"/>
  <c r="AD1734" i="6"/>
  <c r="X1734" i="6"/>
  <c r="S1734" i="6"/>
  <c r="Z1682" i="6"/>
  <c r="T1682" i="6"/>
  <c r="AC1630" i="6"/>
  <c r="W1630" i="6"/>
  <c r="R1630" i="6"/>
  <c r="M1576" i="6"/>
  <c r="M1574" i="6"/>
  <c r="AC1735" i="6"/>
  <c r="X1735" i="6"/>
  <c r="S1735" i="6"/>
  <c r="AB1734" i="6"/>
  <c r="W1734" i="6"/>
  <c r="R1734" i="6"/>
  <c r="AD1682" i="6"/>
  <c r="AD1668" i="6" s="1" a="1"/>
  <c r="AD1668" i="6" s="1"/>
  <c r="X1682" i="6"/>
  <c r="S1682" i="6"/>
  <c r="AA1630" i="6"/>
  <c r="V1630" i="6"/>
  <c r="Q1630" i="6"/>
  <c r="AB1735" i="6"/>
  <c r="W1735" i="6"/>
  <c r="Q1735" i="6"/>
  <c r="AA1734" i="6"/>
  <c r="V1734" i="6"/>
  <c r="P1734" i="6"/>
  <c r="AB1682" i="6"/>
  <c r="W1682" i="6"/>
  <c r="R1682" i="6"/>
  <c r="Z1630" i="6"/>
  <c r="U1630" i="6"/>
  <c r="M1575" i="6"/>
  <c r="AF1735" i="6"/>
  <c r="AA1735" i="6"/>
  <c r="U1735" i="6"/>
  <c r="AE1734" i="6"/>
  <c r="AE1720" i="6" s="1"/>
  <c r="Z1734" i="6"/>
  <c r="T1734" i="6"/>
  <c r="AA1682" i="6"/>
  <c r="V1682" i="6"/>
  <c r="P1682" i="6"/>
  <c r="AD1630" i="6"/>
  <c r="AD1616" i="6" s="1" a="1"/>
  <c r="AD1616" i="6" s="1"/>
  <c r="Y1630" i="6"/>
  <c r="S1630" i="6"/>
  <c r="AG877" i="6"/>
  <c r="AG881" i="6"/>
  <c r="AH879" i="6"/>
  <c r="AA2778" i="6"/>
  <c r="AA2831" i="6" s="1"/>
  <c r="AL2749" i="6"/>
  <c r="AH2749" i="6"/>
  <c r="AD2749" i="6"/>
  <c r="Z2749" i="6"/>
  <c r="Z2726" i="6" s="1" a="1"/>
  <c r="Z2726" i="6" s="1"/>
  <c r="AK2697" i="6"/>
  <c r="AG2697" i="6"/>
  <c r="AC2697" i="6"/>
  <c r="Y2697" i="6"/>
  <c r="AI2749" i="6"/>
  <c r="AC2749" i="6"/>
  <c r="AM2697" i="6"/>
  <c r="AH2697" i="6"/>
  <c r="AB2697" i="6"/>
  <c r="AM2749" i="6"/>
  <c r="AG2749" i="6"/>
  <c r="AB2749" i="6"/>
  <c r="AL2697" i="6"/>
  <c r="AF2697" i="6"/>
  <c r="AA2697" i="6"/>
  <c r="AK2749" i="6"/>
  <c r="AF2749" i="6"/>
  <c r="AA2749" i="6"/>
  <c r="Y2749" i="6"/>
  <c r="Y2726" i="6" s="1" a="1"/>
  <c r="Y2726" i="6" s="1"/>
  <c r="AI2697" i="6"/>
  <c r="AE2697" i="6"/>
  <c r="AJ2749" i="6"/>
  <c r="AD2697" i="6"/>
  <c r="AE2749" i="6"/>
  <c r="AJ2697" i="6"/>
  <c r="Z2697" i="6"/>
  <c r="Z2674" i="6" s="1" a="1"/>
  <c r="Z2674" i="6" s="1"/>
  <c r="AF36" i="18"/>
  <c r="K78" i="6"/>
  <c r="K77" i="6"/>
  <c r="AE131" i="6" a="1"/>
  <c r="AE131" i="6" s="1"/>
  <c r="AE3165" i="6"/>
  <c r="AK128" i="14"/>
  <c r="AH244" i="6"/>
  <c r="AI28" i="5" s="1"/>
  <c r="AH245" i="6"/>
  <c r="AH247" i="6"/>
  <c r="AH408" i="6"/>
  <c r="AH67" i="12"/>
  <c r="AI38" i="15"/>
  <c r="AJ40" i="15"/>
  <c r="AL38" i="18"/>
  <c r="AH1330" i="6"/>
  <c r="AG1334" i="6"/>
  <c r="AG1335" i="6"/>
  <c r="AH10" i="5"/>
  <c r="L17" i="19"/>
  <c r="N1557" i="6"/>
  <c r="AE59" i="12"/>
  <c r="AF248" i="6" s="1"/>
  <c r="AF60" i="12"/>
  <c r="AF246" i="6"/>
  <c r="AI36" i="21"/>
  <c r="AJ38" i="21"/>
  <c r="M2285" i="6"/>
  <c r="M2286" i="6"/>
  <c r="AH1558" i="6"/>
  <c r="AI1556" i="6"/>
  <c r="AH1554" i="6"/>
  <c r="L17" i="21"/>
  <c r="N2007" i="6"/>
  <c r="L24" i="13"/>
  <c r="N10" i="6"/>
  <c r="K2" i="23"/>
  <c r="Z2624" i="6"/>
  <c r="V2624" i="6"/>
  <c r="R2624" i="6"/>
  <c r="N2624" i="6"/>
  <c r="AA2572" i="6"/>
  <c r="W2572" i="6"/>
  <c r="S2572" i="6"/>
  <c r="O2572" i="6"/>
  <c r="Z2520" i="6"/>
  <c r="V2520" i="6"/>
  <c r="R2520" i="6"/>
  <c r="N2520" i="6"/>
  <c r="Y2624" i="6"/>
  <c r="T2624" i="6"/>
  <c r="O2624" i="6"/>
  <c r="X2572" i="6"/>
  <c r="R2572" i="6"/>
  <c r="Y2520" i="6"/>
  <c r="T2520" i="6"/>
  <c r="O2520" i="6"/>
  <c r="M2466" i="6"/>
  <c r="M2454" i="6" s="1"/>
  <c r="AC2624" i="6"/>
  <c r="AC2612" i="6" s="1"/>
  <c r="X2624" i="6"/>
  <c r="S2624" i="6"/>
  <c r="AB2572" i="6"/>
  <c r="AB2560" i="6" s="1" a="1"/>
  <c r="AB2560" i="6" s="1"/>
  <c r="V2572" i="6"/>
  <c r="Q2572" i="6"/>
  <c r="X2520" i="6"/>
  <c r="S2520" i="6"/>
  <c r="AB2624" i="6"/>
  <c r="W2624" i="6"/>
  <c r="Q2624" i="6"/>
  <c r="Z2572" i="6"/>
  <c r="U2572" i="6"/>
  <c r="P2572" i="6"/>
  <c r="AB2520" i="6"/>
  <c r="AB2508" i="6" s="1" a="1"/>
  <c r="AB2508" i="6" s="1"/>
  <c r="W2520" i="6"/>
  <c r="Q2520" i="6"/>
  <c r="AA2624" i="6"/>
  <c r="Y2572" i="6"/>
  <c r="AA2520" i="6"/>
  <c r="U2624" i="6"/>
  <c r="T2572" i="6"/>
  <c r="U2520" i="6"/>
  <c r="P2624" i="6"/>
  <c r="N2572" i="6"/>
  <c r="P2520" i="6"/>
  <c r="AB2669" i="6"/>
  <c r="AC2669" i="6" s="1"/>
  <c r="AD2669" i="6" s="1"/>
  <c r="AT2806" i="6"/>
  <c r="AP2806" i="6"/>
  <c r="AL2806" i="6"/>
  <c r="AH2806" i="6"/>
  <c r="AD2806" i="6"/>
  <c r="AC2672" i="6"/>
  <c r="AW2806" i="6"/>
  <c r="AR2806" i="6"/>
  <c r="AM2806" i="6"/>
  <c r="AG2806" i="6"/>
  <c r="AV2806" i="6"/>
  <c r="AQ2806" i="6"/>
  <c r="AK2806" i="6"/>
  <c r="AF2806" i="6"/>
  <c r="AS2806" i="6"/>
  <c r="AI2806" i="6"/>
  <c r="AO2806" i="6"/>
  <c r="AE2806" i="6"/>
  <c r="AN2806" i="6"/>
  <c r="AC2806" i="6"/>
  <c r="AC2673" i="6"/>
  <c r="AU2806" i="6"/>
  <c r="AJ2806" i="6"/>
  <c r="AD27" i="5"/>
  <c r="AK46" i="17"/>
  <c r="AG62" i="12"/>
  <c r="AI3004" i="6"/>
  <c r="AI60" i="9"/>
  <c r="AH2227" i="6"/>
  <c r="AG2225" i="6"/>
  <c r="AG2229" i="6"/>
  <c r="AC36" i="11"/>
  <c r="AC3170" i="6"/>
  <c r="AG880" i="6"/>
  <c r="AH878" i="6"/>
  <c r="AH7" i="5"/>
  <c r="AG883" i="6"/>
  <c r="K2" i="21"/>
  <c r="AC2185" i="6"/>
  <c r="Y2185" i="6"/>
  <c r="U2185" i="6"/>
  <c r="Q2185" i="6"/>
  <c r="AB2184" i="6"/>
  <c r="X2184" i="6"/>
  <c r="T2184" i="6"/>
  <c r="P2184" i="6"/>
  <c r="AB2132" i="6"/>
  <c r="X2132" i="6"/>
  <c r="T2132" i="6"/>
  <c r="P2132" i="6"/>
  <c r="AA2080" i="6"/>
  <c r="W2080" i="6"/>
  <c r="S2080" i="6"/>
  <c r="M2026" i="6"/>
  <c r="M2024" i="6"/>
  <c r="AF2185" i="6"/>
  <c r="AB2185" i="6"/>
  <c r="X2185" i="6"/>
  <c r="T2185" i="6"/>
  <c r="AE2184" i="6"/>
  <c r="AE2170" i="6" s="1"/>
  <c r="AA2184" i="6"/>
  <c r="W2184" i="6"/>
  <c r="S2184" i="6"/>
  <c r="AA2132" i="6"/>
  <c r="W2132" i="6"/>
  <c r="S2132" i="6"/>
  <c r="AD2080" i="6"/>
  <c r="AD2066" i="6" s="1" a="1"/>
  <c r="AD2066" i="6" s="1"/>
  <c r="Z2080" i="6"/>
  <c r="V2080" i="6"/>
  <c r="R2080" i="6"/>
  <c r="AE2185" i="6"/>
  <c r="AA2185" i="6"/>
  <c r="W2185" i="6"/>
  <c r="S2185" i="6"/>
  <c r="AD2184" i="6"/>
  <c r="Z2184" i="6"/>
  <c r="V2184" i="6"/>
  <c r="R2184" i="6"/>
  <c r="AD2132" i="6"/>
  <c r="AD2118" i="6" s="1" a="1"/>
  <c r="AD2118" i="6" s="1"/>
  <c r="Z2132" i="6"/>
  <c r="V2132" i="6"/>
  <c r="R2132" i="6"/>
  <c r="AC2080" i="6"/>
  <c r="Y2080" i="6"/>
  <c r="U2080" i="6"/>
  <c r="Q2080" i="6"/>
  <c r="M2025" i="6"/>
  <c r="AD2185" i="6"/>
  <c r="AC2184" i="6"/>
  <c r="Y2132" i="6"/>
  <c r="X2080" i="6"/>
  <c r="Z2185" i="6"/>
  <c r="Y2184" i="6"/>
  <c r="U2132" i="6"/>
  <c r="T2080" i="6"/>
  <c r="V2185" i="6"/>
  <c r="U2184" i="6"/>
  <c r="Q2132" i="6"/>
  <c r="P2080" i="6"/>
  <c r="R2185" i="6"/>
  <c r="Q2184" i="6"/>
  <c r="AC2132" i="6"/>
  <c r="AB2080" i="6"/>
  <c r="Y22" i="5"/>
  <c r="Y25" i="5" s="1"/>
  <c r="Y43" i="5" s="1"/>
  <c r="X77" i="6"/>
  <c r="X78" i="6"/>
  <c r="AT2805" i="6"/>
  <c r="AP2805" i="6"/>
  <c r="AL2805" i="6"/>
  <c r="AH2805" i="6"/>
  <c r="AD2805" i="6"/>
  <c r="AV2805" i="6"/>
  <c r="AQ2805" i="6"/>
  <c r="AK2805" i="6"/>
  <c r="AF2805" i="6"/>
  <c r="AU2805" i="6"/>
  <c r="AO2805" i="6"/>
  <c r="AJ2805" i="6"/>
  <c r="AE2805" i="6"/>
  <c r="AR2805" i="6"/>
  <c r="AG2805" i="6"/>
  <c r="AN2805" i="6"/>
  <c r="AC2805" i="6"/>
  <c r="AM2805" i="6"/>
  <c r="AB2805" i="6"/>
  <c r="AB2779" i="6" s="1"/>
  <c r="AS2805" i="6"/>
  <c r="AI2805" i="6"/>
  <c r="AB2673" i="6"/>
  <c r="AB2672" i="6"/>
  <c r="AC27" i="5"/>
  <c r="AB2778" i="6"/>
  <c r="L39" i="23"/>
  <c r="M2451" i="6" s="1"/>
  <c r="L32" i="22"/>
  <c r="M2230" i="6" s="1"/>
  <c r="L32" i="21"/>
  <c r="M2009" i="6" s="1"/>
  <c r="L32" i="19"/>
  <c r="M1559" i="6" s="1"/>
  <c r="L32" i="20"/>
  <c r="M1784" i="6" s="1"/>
  <c r="L32" i="18"/>
  <c r="M1334" i="6" s="1"/>
  <c r="L37" i="17"/>
  <c r="M1109" i="6" s="1"/>
  <c r="L42" i="16"/>
  <c r="M882" i="6" s="1"/>
  <c r="L34" i="15"/>
  <c r="M657" i="6" s="1"/>
  <c r="K7" i="7"/>
  <c r="L41" i="13"/>
  <c r="M13" i="6" s="1"/>
  <c r="L49" i="14"/>
  <c r="M420" i="6" s="1"/>
  <c r="AD24" i="9"/>
  <c r="AD23" i="9"/>
  <c r="P660" i="6"/>
  <c r="AA24" i="17"/>
  <c r="AA1107" i="6"/>
  <c r="AB18" i="5" s="1"/>
  <c r="AK6" i="9"/>
  <c r="AI36" i="19"/>
  <c r="AJ38" i="19"/>
  <c r="AC712" i="6"/>
  <c r="AC713" i="6"/>
  <c r="AI43" i="19"/>
  <c r="AJ43" i="19" s="1"/>
  <c r="AK43" i="19" s="1"/>
  <c r="AL43" i="19" s="1"/>
  <c r="AM43" i="19" s="1"/>
  <c r="AN43" i="19" s="1"/>
  <c r="AO43" i="19" s="1"/>
  <c r="AP43" i="19" s="1"/>
  <c r="AQ43" i="19" s="1"/>
  <c r="AR43" i="19" s="1"/>
  <c r="AS43" i="19"/>
  <c r="AT43" i="19" s="1"/>
  <c r="AU43" i="19" s="1"/>
  <c r="AV43" i="19" s="1"/>
  <c r="AW43" i="19" s="1"/>
  <c r="AX43" i="19"/>
  <c r="AY43" i="19" s="1"/>
  <c r="AZ43" i="19" s="1"/>
  <c r="BA43" i="19" s="1"/>
  <c r="AH172" i="14"/>
  <c r="AI172" i="14" s="1"/>
  <c r="AJ172" i="14" s="1"/>
  <c r="AK172" i="14" s="1"/>
  <c r="AL172" i="14" s="1"/>
  <c r="AM172" i="14" s="1"/>
  <c r="AN172" i="14" s="1"/>
  <c r="AO172" i="14" s="1"/>
  <c r="AP172" i="14" s="1"/>
  <c r="AQ172" i="14" s="1"/>
  <c r="AR172" i="14" s="1"/>
  <c r="AS172" i="14" s="1"/>
  <c r="AT172" i="14" s="1"/>
  <c r="AU172" i="14" s="1"/>
  <c r="AV172" i="14" s="1"/>
  <c r="AW172" i="14" s="1"/>
  <c r="AX172" i="14" s="1"/>
  <c r="AY172" i="14" s="1"/>
  <c r="AZ172" i="14" s="1"/>
  <c r="BA172" i="14" s="1"/>
  <c r="AO30" i="14"/>
  <c r="AN32" i="14"/>
  <c r="N938" i="6"/>
  <c r="N937" i="6"/>
  <c r="AA2286" i="6"/>
  <c r="AA2285" i="6"/>
  <c r="AG17" i="22"/>
  <c r="AG2228" i="6"/>
  <c r="AL6" i="9"/>
  <c r="AT1974" i="6"/>
  <c r="AP1974" i="6"/>
  <c r="AL1974" i="6"/>
  <c r="AH1974" i="6"/>
  <c r="AS1922" i="6"/>
  <c r="AO1922" i="6"/>
  <c r="AK1922" i="6"/>
  <c r="AG1922" i="6"/>
  <c r="AR1870" i="6"/>
  <c r="AN1870" i="6"/>
  <c r="AJ1870" i="6"/>
  <c r="AF1870" i="6"/>
  <c r="AS1974" i="6"/>
  <c r="AO1974" i="6"/>
  <c r="AK1974" i="6"/>
  <c r="AG1974" i="6"/>
  <c r="AR1922" i="6"/>
  <c r="AN1922" i="6"/>
  <c r="AJ1922" i="6"/>
  <c r="AF1922" i="6"/>
  <c r="AQ1870" i="6"/>
  <c r="AM1870" i="6"/>
  <c r="AI1870" i="6"/>
  <c r="AE1870" i="6"/>
  <c r="AC1816" i="6"/>
  <c r="AR1974" i="6"/>
  <c r="AN1974" i="6"/>
  <c r="AJ1974" i="6"/>
  <c r="AF1974" i="6"/>
  <c r="AQ1922" i="6"/>
  <c r="AM1922" i="6"/>
  <c r="AI1922" i="6"/>
  <c r="AE1922" i="6"/>
  <c r="AP1870" i="6"/>
  <c r="AL1870" i="6"/>
  <c r="AH1870" i="6"/>
  <c r="AI1974" i="6"/>
  <c r="AS1870" i="6"/>
  <c r="AF1786" i="6"/>
  <c r="AE1974" i="6"/>
  <c r="AP1922" i="6"/>
  <c r="AO1870" i="6"/>
  <c r="AD1816" i="6"/>
  <c r="AQ1974" i="6"/>
  <c r="AL1922" i="6"/>
  <c r="AK1870" i="6"/>
  <c r="AB1816" i="6"/>
  <c r="AB1787" i="6" s="1"/>
  <c r="AM1974" i="6"/>
  <c r="AH1922" i="6"/>
  <c r="AG1870" i="6"/>
  <c r="AH653" i="6"/>
  <c r="AH6" i="5"/>
  <c r="AG657" i="6"/>
  <c r="AG658" i="6"/>
  <c r="AG655" i="6"/>
  <c r="N1615" i="6"/>
  <c r="N1614" i="6"/>
  <c r="AE1616" i="6" a="1"/>
  <c r="AE1616" i="6" s="1"/>
  <c r="AD938" i="6"/>
  <c r="AD1095" i="6" s="1"/>
  <c r="AD937" i="6"/>
  <c r="AF1043" i="6"/>
  <c r="AA21" i="17"/>
  <c r="AA1106" i="6"/>
  <c r="AB19" i="5" s="1"/>
  <c r="L17" i="22"/>
  <c r="N2228" i="6"/>
  <c r="AD419" i="6"/>
  <c r="AD635" i="6"/>
  <c r="AE23" i="5" s="1"/>
  <c r="AE413" i="6"/>
  <c r="AC22" i="9"/>
  <c r="AE15" i="5"/>
  <c r="AD356" i="6"/>
  <c r="AA17" i="5"/>
  <c r="AA24" i="5" s="1"/>
  <c r="AA42" i="5" s="1"/>
  <c r="AC2778" i="6"/>
  <c r="AC2831" i="6" s="1"/>
  <c r="AE2836" i="6"/>
  <c r="AE2835" i="6"/>
  <c r="AE69" i="9"/>
  <c r="AF93" i="9"/>
  <c r="AE74" i="9"/>
  <c r="AE68" i="9"/>
  <c r="AF2837" i="6" s="1"/>
  <c r="AE65" i="9"/>
  <c r="AE63" i="9"/>
  <c r="AE57" i="9"/>
  <c r="AE4" i="9"/>
  <c r="AE8" i="9"/>
  <c r="AF2670" i="6" s="1"/>
  <c r="AE3" i="9"/>
  <c r="AE92" i="9"/>
  <c r="AE66" i="9"/>
  <c r="AE64" i="9"/>
  <c r="AE61" i="9"/>
  <c r="AF3005" i="6" s="1"/>
  <c r="AE58" i="9"/>
  <c r="AE16" i="9"/>
  <c r="O1323" i="6"/>
  <c r="AO38" i="20"/>
  <c r="AG247" i="6"/>
  <c r="L24" i="17"/>
  <c r="N1107" i="6"/>
  <c r="O18" i="5" s="1"/>
  <c r="AG38" i="15"/>
  <c r="AF1109" i="6"/>
  <c r="AF1110" i="6"/>
  <c r="AG1103" i="6"/>
  <c r="AG9" i="5"/>
  <c r="AH38" i="15"/>
  <c r="AU1525" i="6"/>
  <c r="AQ1525" i="6"/>
  <c r="AM1525" i="6"/>
  <c r="AI1525" i="6"/>
  <c r="AQ1473" i="6"/>
  <c r="AM1473" i="6"/>
  <c r="AI1473" i="6"/>
  <c r="AT1421" i="6"/>
  <c r="AP1421" i="6"/>
  <c r="AL1421" i="6"/>
  <c r="AH1421" i="6"/>
  <c r="AT1525" i="6"/>
  <c r="AP1525" i="6"/>
  <c r="AL1525" i="6"/>
  <c r="AH1525" i="6"/>
  <c r="AT1473" i="6"/>
  <c r="AP1473" i="6"/>
  <c r="AL1473" i="6"/>
  <c r="AH1473" i="6"/>
  <c r="AS1421" i="6"/>
  <c r="AO1421" i="6"/>
  <c r="AK1421" i="6"/>
  <c r="AG1421" i="6"/>
  <c r="AE1367" i="6"/>
  <c r="AG1336" i="6"/>
  <c r="AS1525" i="6"/>
  <c r="AO1525" i="6"/>
  <c r="AK1525" i="6"/>
  <c r="AG1525" i="6"/>
  <c r="AS1473" i="6"/>
  <c r="AO1473" i="6"/>
  <c r="AK1473" i="6"/>
  <c r="AG1473" i="6"/>
  <c r="AR1421" i="6"/>
  <c r="AN1421" i="6"/>
  <c r="AJ1421" i="6"/>
  <c r="AF1421" i="6"/>
  <c r="AD1367" i="6"/>
  <c r="AR1525" i="6"/>
  <c r="AN1525" i="6"/>
  <c r="AJ1525" i="6"/>
  <c r="AF1525" i="6"/>
  <c r="AR1473" i="6"/>
  <c r="AN1473" i="6"/>
  <c r="AJ1473" i="6"/>
  <c r="AF1473" i="6"/>
  <c r="AF1443" i="6" s="1" a="1"/>
  <c r="AF1443" i="6" s="1"/>
  <c r="AQ1421" i="6"/>
  <c r="AM1421" i="6"/>
  <c r="AI1421" i="6"/>
  <c r="AC1367" i="6"/>
  <c r="AC1337" i="6" s="1"/>
  <c r="AK59" i="14"/>
  <c r="AV385" i="6"/>
  <c r="AR385" i="6"/>
  <c r="AN385" i="6"/>
  <c r="AJ385" i="6"/>
  <c r="AF385" i="6"/>
  <c r="AE249" i="6"/>
  <c r="AF29" i="5"/>
  <c r="AY385" i="6"/>
  <c r="AU385" i="6"/>
  <c r="AQ385" i="6"/>
  <c r="AM385" i="6"/>
  <c r="AI385" i="6"/>
  <c r="AE385" i="6"/>
  <c r="AE356" i="6" s="1"/>
  <c r="AE250" i="6"/>
  <c r="AW385" i="6"/>
  <c r="AO385" i="6"/>
  <c r="AG385" i="6"/>
  <c r="AX385" i="6"/>
  <c r="AT385" i="6"/>
  <c r="AP385" i="6"/>
  <c r="AL385" i="6"/>
  <c r="AH385" i="6"/>
  <c r="AS385" i="6"/>
  <c r="AK385" i="6"/>
  <c r="AE420" i="6"/>
  <c r="AE415" i="6"/>
  <c r="AF4" i="5"/>
  <c r="AE421" i="6"/>
  <c r="AE417" i="6"/>
  <c r="AF412" i="6"/>
  <c r="AF5" i="5"/>
  <c r="AE414" i="6"/>
  <c r="AE418" i="6"/>
  <c r="Z476" i="6"/>
  <c r="Z475" i="6"/>
  <c r="AH36" i="21"/>
  <c r="X45" i="5"/>
  <c r="X47" i="5"/>
  <c r="AD44" i="8"/>
  <c r="AE24" i="8"/>
  <c r="AG656" i="6"/>
  <c r="AH654" i="6"/>
  <c r="AG652" i="6"/>
  <c r="AP5" i="9"/>
  <c r="AT2804" i="6"/>
  <c r="AP2804" i="6"/>
  <c r="AL2804" i="6"/>
  <c r="AH2804" i="6"/>
  <c r="AD2804" i="6"/>
  <c r="AU2804" i="6"/>
  <c r="AO2804" i="6"/>
  <c r="AJ2804" i="6"/>
  <c r="AE2804" i="6"/>
  <c r="AS2804" i="6"/>
  <c r="AN2804" i="6"/>
  <c r="AI2804" i="6"/>
  <c r="AC2804" i="6"/>
  <c r="AQ2804" i="6"/>
  <c r="AF2804" i="6"/>
  <c r="AM2804" i="6"/>
  <c r="AB2804" i="6"/>
  <c r="AK2804" i="6"/>
  <c r="AA2804" i="6"/>
  <c r="AA2779" i="6" s="1"/>
  <c r="AA2672" i="6"/>
  <c r="AR2804" i="6"/>
  <c r="AG2804" i="6"/>
  <c r="AA2673" i="6"/>
  <c r="AB27" i="5"/>
  <c r="AH2448" i="6"/>
  <c r="AG2450" i="6"/>
  <c r="AG2449" i="6"/>
  <c r="AH16" i="5"/>
  <c r="AC15" i="9"/>
  <c r="AD2671" i="6" s="1"/>
  <c r="AH68" i="12"/>
  <c r="Q17" i="5"/>
  <c r="Q24" i="5" s="1"/>
  <c r="Q42" i="5" s="1"/>
  <c r="AB303" i="6" a="1"/>
  <c r="AB303" i="6" s="1"/>
  <c r="AP3088" i="6"/>
  <c r="AL3088" i="6"/>
  <c r="AH3088" i="6"/>
  <c r="AD3088" i="6"/>
  <c r="AD3060" i="6" s="1" a="1"/>
  <c r="AD3060" i="6" s="1"/>
  <c r="AO3036" i="6"/>
  <c r="AK3036" i="6"/>
  <c r="AG3036" i="6"/>
  <c r="AO3088" i="6"/>
  <c r="AK3088" i="6"/>
  <c r="AG3088" i="6"/>
  <c r="AR3036" i="6"/>
  <c r="AN3036" i="6"/>
  <c r="AJ3036" i="6"/>
  <c r="AF3036" i="6"/>
  <c r="AQ3088" i="6"/>
  <c r="AI3088" i="6"/>
  <c r="AP3036" i="6"/>
  <c r="AH3036" i="6"/>
  <c r="AN3088" i="6"/>
  <c r="AF3088" i="6"/>
  <c r="AM3036" i="6"/>
  <c r="AE3036" i="6"/>
  <c r="AM3088" i="6"/>
  <c r="AE3088" i="6"/>
  <c r="AL3036" i="6"/>
  <c r="AD3036" i="6"/>
  <c r="AD3008" i="6" s="1" a="1"/>
  <c r="AD3008" i="6" s="1"/>
  <c r="AR3088" i="6"/>
  <c r="AQ3036" i="6"/>
  <c r="AJ3088" i="6"/>
  <c r="AI3036" i="6"/>
  <c r="AE26" i="5"/>
  <c r="AR2420" i="6"/>
  <c r="AN2420" i="6"/>
  <c r="AJ2420" i="6"/>
  <c r="AF2420" i="6"/>
  <c r="AZ2368" i="6"/>
  <c r="AV2368" i="6"/>
  <c r="AR2368" i="6"/>
  <c r="AN2368" i="6"/>
  <c r="AJ2368" i="6"/>
  <c r="AF2368" i="6"/>
  <c r="BB2316" i="6"/>
  <c r="AX2316" i="6"/>
  <c r="AT2316" i="6"/>
  <c r="AP2316" i="6"/>
  <c r="AL2316" i="6"/>
  <c r="AH2316" i="6"/>
  <c r="AB2262" i="6"/>
  <c r="AB2233" i="6" s="1"/>
  <c r="AF2232" i="6"/>
  <c r="AQ2420" i="6"/>
  <c r="AM2420" i="6"/>
  <c r="AI2420" i="6"/>
  <c r="AE2420" i="6"/>
  <c r="AE2391" i="6" s="1"/>
  <c r="BC2368" i="6"/>
  <c r="AY2368" i="6"/>
  <c r="AU2368" i="6"/>
  <c r="AQ2368" i="6"/>
  <c r="AM2368" i="6"/>
  <c r="AI2368" i="6"/>
  <c r="AE2368" i="6"/>
  <c r="BA2316" i="6"/>
  <c r="AW2316" i="6"/>
  <c r="AS2316" i="6"/>
  <c r="AO2316" i="6"/>
  <c r="AK2316" i="6"/>
  <c r="AG2316" i="6"/>
  <c r="AT2420" i="6"/>
  <c r="AP2420" i="6"/>
  <c r="AL2420" i="6"/>
  <c r="AH2420" i="6"/>
  <c r="BB2368" i="6"/>
  <c r="AX2368" i="6"/>
  <c r="AT2368" i="6"/>
  <c r="AP2368" i="6"/>
  <c r="AL2368" i="6"/>
  <c r="AH2368" i="6"/>
  <c r="AZ2316" i="6"/>
  <c r="AV2316" i="6"/>
  <c r="AR2316" i="6"/>
  <c r="AN2316" i="6"/>
  <c r="AJ2316" i="6"/>
  <c r="AF2316" i="6"/>
  <c r="AD2262" i="6"/>
  <c r="AS2420" i="6"/>
  <c r="AO2420" i="6"/>
  <c r="AK2420" i="6"/>
  <c r="AG2420" i="6"/>
  <c r="BA2368" i="6"/>
  <c r="AW2368" i="6"/>
  <c r="AS2368" i="6"/>
  <c r="AO2368" i="6"/>
  <c r="AK2368" i="6"/>
  <c r="AG2368" i="6"/>
  <c r="BC2316" i="6"/>
  <c r="AY2316" i="6"/>
  <c r="AU2316" i="6"/>
  <c r="AQ2316" i="6"/>
  <c r="AM2316" i="6"/>
  <c r="AI2316" i="6"/>
  <c r="AE2316" i="6"/>
  <c r="AC2262" i="6"/>
  <c r="L38" i="23"/>
  <c r="L31" i="22"/>
  <c r="L31" i="21"/>
  <c r="L31" i="20"/>
  <c r="L31" i="19"/>
  <c r="L36" i="17"/>
  <c r="L48" i="14"/>
  <c r="L41" i="16"/>
  <c r="L33" i="15"/>
  <c r="L31" i="18"/>
  <c r="L40" i="13"/>
  <c r="K6" i="7"/>
  <c r="AC23" i="9"/>
  <c r="AF766" i="6" a="1"/>
  <c r="AF766" i="6" s="1"/>
  <c r="M2" i="15"/>
  <c r="V833" i="6"/>
  <c r="V818" i="6" s="1"/>
  <c r="R833" i="6"/>
  <c r="AC781" i="6"/>
  <c r="Y781" i="6"/>
  <c r="U781" i="6"/>
  <c r="Q781" i="6"/>
  <c r="AD729" i="6"/>
  <c r="Z729" i="6"/>
  <c r="V729" i="6"/>
  <c r="R729" i="6"/>
  <c r="U833" i="6"/>
  <c r="Q833" i="6"/>
  <c r="AB781" i="6"/>
  <c r="X781" i="6"/>
  <c r="T781" i="6"/>
  <c r="AC729" i="6"/>
  <c r="Y729" i="6"/>
  <c r="U729" i="6"/>
  <c r="Q729" i="6"/>
  <c r="T833" i="6"/>
  <c r="AE781" i="6"/>
  <c r="AE766" i="6" s="1" a="1"/>
  <c r="AE766" i="6" s="1"/>
  <c r="AA781" i="6"/>
  <c r="W781" i="6"/>
  <c r="S781" i="6"/>
  <c r="AB729" i="6"/>
  <c r="X729" i="6"/>
  <c r="T729" i="6"/>
  <c r="S833" i="6"/>
  <c r="AD781" i="6"/>
  <c r="Z781" i="6"/>
  <c r="V781" i="6"/>
  <c r="R781" i="6"/>
  <c r="AE729" i="6"/>
  <c r="AE714" i="6" s="1" a="1"/>
  <c r="AE714" i="6" s="1"/>
  <c r="AA729" i="6"/>
  <c r="W729" i="6"/>
  <c r="S729" i="6"/>
  <c r="O675" i="6"/>
  <c r="O674" i="6"/>
  <c r="AF17" i="18"/>
  <c r="AF1332" i="6"/>
  <c r="O1614" i="6"/>
  <c r="O1615" i="6"/>
  <c r="Y2674" i="6" a="1"/>
  <c r="Y2674" i="6" s="1"/>
  <c r="AG38" i="11"/>
  <c r="AH36" i="22"/>
  <c r="AI38" i="22"/>
  <c r="O1787" i="6"/>
  <c r="AJ39" i="20"/>
  <c r="AI36" i="20"/>
  <c r="AB1389" i="6"/>
  <c r="AB1390" i="6"/>
  <c r="AG17" i="19"/>
  <c r="AG1557" i="6"/>
  <c r="AH70" i="13"/>
  <c r="AG48" i="13"/>
  <c r="BB331" i="6"/>
  <c r="AX331" i="6"/>
  <c r="AT331" i="6"/>
  <c r="AP331" i="6"/>
  <c r="AL331" i="6"/>
  <c r="AH331" i="6"/>
  <c r="AD331" i="6"/>
  <c r="AY279" i="6"/>
  <c r="AU279" i="6"/>
  <c r="AQ279" i="6"/>
  <c r="AM279" i="6"/>
  <c r="AI279" i="6"/>
  <c r="AE279" i="6"/>
  <c r="AU331" i="6"/>
  <c r="AI331" i="6"/>
  <c r="AV279" i="6"/>
  <c r="AN279" i="6"/>
  <c r="BA331" i="6"/>
  <c r="AW331" i="6"/>
  <c r="AS331" i="6"/>
  <c r="AO331" i="6"/>
  <c r="AK331" i="6"/>
  <c r="AG331" i="6"/>
  <c r="BB279" i="6"/>
  <c r="AX279" i="6"/>
  <c r="AT279" i="6"/>
  <c r="AP279" i="6"/>
  <c r="AL279" i="6"/>
  <c r="AH279" i="6"/>
  <c r="AD279" i="6"/>
  <c r="AY331" i="6"/>
  <c r="AM331" i="6"/>
  <c r="AR279" i="6"/>
  <c r="AF279" i="6"/>
  <c r="AZ331" i="6"/>
  <c r="AV331" i="6"/>
  <c r="AR331" i="6"/>
  <c r="AN331" i="6"/>
  <c r="AJ331" i="6"/>
  <c r="AF331" i="6"/>
  <c r="BA279" i="6"/>
  <c r="AW279" i="6"/>
  <c r="AS279" i="6"/>
  <c r="AO279" i="6"/>
  <c r="AK279" i="6"/>
  <c r="AG279" i="6"/>
  <c r="AQ331" i="6"/>
  <c r="AE331" i="6"/>
  <c r="AZ279" i="6"/>
  <c r="AJ279" i="6"/>
  <c r="L2" i="14"/>
  <c r="AC596" i="6"/>
  <c r="Y596" i="6"/>
  <c r="U596" i="6"/>
  <c r="Q596" i="6"/>
  <c r="AD544" i="6"/>
  <c r="Z544" i="6"/>
  <c r="V544" i="6"/>
  <c r="R544" i="6"/>
  <c r="AD492" i="6"/>
  <c r="Z492" i="6"/>
  <c r="V492" i="6"/>
  <c r="R492" i="6"/>
  <c r="N438" i="6"/>
  <c r="N436" i="6"/>
  <c r="AF596" i="6"/>
  <c r="AB596" i="6"/>
  <c r="X596" i="6"/>
  <c r="T596" i="6"/>
  <c r="AC544" i="6"/>
  <c r="Y544" i="6"/>
  <c r="U544" i="6"/>
  <c r="Q544" i="6"/>
  <c r="AC492" i="6"/>
  <c r="Y492" i="6"/>
  <c r="U492" i="6"/>
  <c r="Q492" i="6"/>
  <c r="Z596" i="6"/>
  <c r="R596" i="6"/>
  <c r="AE544" i="6"/>
  <c r="W544" i="6"/>
  <c r="AE492" i="6"/>
  <c r="W492" i="6"/>
  <c r="AE596" i="6"/>
  <c r="AA596" i="6"/>
  <c r="W596" i="6"/>
  <c r="S596" i="6"/>
  <c r="AB544" i="6"/>
  <c r="X544" i="6"/>
  <c r="T544" i="6"/>
  <c r="AB492" i="6"/>
  <c r="X492" i="6"/>
  <c r="T492" i="6"/>
  <c r="N437" i="6"/>
  <c r="AD596" i="6"/>
  <c r="V596" i="6"/>
  <c r="AA544" i="6"/>
  <c r="S544" i="6"/>
  <c r="Z529" i="6"/>
  <c r="AA492" i="6"/>
  <c r="S492" i="6"/>
  <c r="AA19" i="17"/>
  <c r="AA1105" i="6"/>
  <c r="H2" i="13"/>
  <c r="AH197" i="6"/>
  <c r="AD197" i="6"/>
  <c r="Z197" i="6"/>
  <c r="V197" i="6"/>
  <c r="R197" i="6"/>
  <c r="AC145" i="6"/>
  <c r="Y145" i="6"/>
  <c r="U145" i="6"/>
  <c r="Q145" i="6"/>
  <c r="AB93" i="6"/>
  <c r="X93" i="6"/>
  <c r="T93" i="6"/>
  <c r="P93" i="6"/>
  <c r="J29" i="6"/>
  <c r="J25" i="6"/>
  <c r="AI197" i="6"/>
  <c r="Y93" i="6"/>
  <c r="AG197" i="6"/>
  <c r="AC197" i="6"/>
  <c r="Y197" i="6"/>
  <c r="U197" i="6"/>
  <c r="Q197" i="6"/>
  <c r="AB145" i="6"/>
  <c r="X145" i="6"/>
  <c r="T145" i="6"/>
  <c r="P145" i="6"/>
  <c r="AA93" i="6"/>
  <c r="W93" i="6"/>
  <c r="S93" i="6"/>
  <c r="J28" i="6"/>
  <c r="AA197" i="6"/>
  <c r="S197" i="6"/>
  <c r="Z145" i="6"/>
  <c r="V145" i="6"/>
  <c r="AC93" i="6"/>
  <c r="Q93" i="6"/>
  <c r="AJ197" i="6"/>
  <c r="AF197" i="6"/>
  <c r="AB197" i="6"/>
  <c r="X197" i="6"/>
  <c r="T197" i="6"/>
  <c r="P197" i="6"/>
  <c r="AA145" i="6"/>
  <c r="W145" i="6"/>
  <c r="S145" i="6"/>
  <c r="AD93" i="6"/>
  <c r="AD79" i="6" s="1" a="1"/>
  <c r="AD79" i="6" s="1"/>
  <c r="Z93" i="6"/>
  <c r="V93" i="6"/>
  <c r="R93" i="6"/>
  <c r="J27" i="6"/>
  <c r="AE197" i="6"/>
  <c r="W197" i="6"/>
  <c r="AD145" i="6"/>
  <c r="AD131" i="6" s="1" a="1"/>
  <c r="AD131" i="6" s="1"/>
  <c r="R145" i="6"/>
  <c r="U93" i="6"/>
  <c r="J30" i="6"/>
  <c r="J26" i="6"/>
  <c r="AG1329" i="6"/>
  <c r="AG1333" i="6"/>
  <c r="AH1331" i="6"/>
  <c r="AD71" i="9"/>
  <c r="AD72" i="9"/>
  <c r="AE2838" i="6"/>
  <c r="M23" i="14"/>
  <c r="O415" i="6"/>
  <c r="P17" i="5" s="1"/>
  <c r="P24" i="5" s="1"/>
  <c r="P42" i="5" s="1"/>
  <c r="AC645" i="6"/>
  <c r="AT1299" i="6"/>
  <c r="AP1299" i="6"/>
  <c r="AL1299" i="6"/>
  <c r="AH1299" i="6"/>
  <c r="AP1247" i="6"/>
  <c r="AL1247" i="6"/>
  <c r="AH1247" i="6"/>
  <c r="AQ1195" i="6"/>
  <c r="AM1195" i="6"/>
  <c r="AI1195" i="6"/>
  <c r="AE1195" i="6"/>
  <c r="AC1141" i="6"/>
  <c r="Y1141" i="6"/>
  <c r="Y1112" i="6" s="1"/>
  <c r="AS1299" i="6"/>
  <c r="AO1299" i="6"/>
  <c r="AK1299" i="6"/>
  <c r="AG1299" i="6"/>
  <c r="AS1247" i="6"/>
  <c r="AO1247" i="6"/>
  <c r="AK1247" i="6"/>
  <c r="AG1247" i="6"/>
  <c r="AP1195" i="6"/>
  <c r="AL1195" i="6"/>
  <c r="AH1195" i="6"/>
  <c r="AB1141" i="6"/>
  <c r="AF1111" i="6"/>
  <c r="AR1299" i="6"/>
  <c r="AN1299" i="6"/>
  <c r="AJ1299" i="6"/>
  <c r="AF1299" i="6"/>
  <c r="AR1247" i="6"/>
  <c r="AN1247" i="6"/>
  <c r="AJ1247" i="6"/>
  <c r="AF1247" i="6"/>
  <c r="AS1195" i="6"/>
  <c r="AO1195" i="6"/>
  <c r="AK1195" i="6"/>
  <c r="AG1195" i="6"/>
  <c r="AA1141" i="6"/>
  <c r="AQ1299" i="6"/>
  <c r="AM1299" i="6"/>
  <c r="AI1299" i="6"/>
  <c r="AE1299" i="6"/>
  <c r="AQ1247" i="6"/>
  <c r="AM1247" i="6"/>
  <c r="AI1247" i="6"/>
  <c r="AE1247" i="6"/>
  <c r="AR1195" i="6"/>
  <c r="AN1195" i="6"/>
  <c r="AJ1195" i="6"/>
  <c r="AF1195" i="6"/>
  <c r="AD1141" i="6"/>
  <c r="Z1141" i="6"/>
  <c r="AJ46" i="16"/>
  <c r="AK48" i="16"/>
  <c r="AI61" i="14"/>
  <c r="AD416" i="6"/>
  <c r="AE35" i="5"/>
  <c r="Z44" i="5"/>
  <c r="Z46" i="5"/>
  <c r="AI2452" i="6"/>
  <c r="AJ2447" i="6"/>
  <c r="AJ14" i="5"/>
  <c r="AG1554" i="6"/>
  <c r="AF17" i="20"/>
  <c r="AF1782" i="6"/>
  <c r="AD2664" i="6"/>
  <c r="AD2665" i="6"/>
  <c r="AC41" i="8"/>
  <c r="AD642" i="6" s="1"/>
  <c r="AC43" i="8"/>
  <c r="AD643" i="6" s="1"/>
  <c r="AC42" i="8"/>
  <c r="AD644" i="6" s="1"/>
  <c r="AD641" i="6"/>
  <c r="AE33" i="5" s="1"/>
  <c r="O1164" i="6"/>
  <c r="O1165" i="6"/>
  <c r="O1322" i="6" s="1"/>
  <c r="AD20" i="9"/>
  <c r="AG126" i="14"/>
  <c r="AO5" i="9"/>
  <c r="AD712" i="6" l="1"/>
  <c r="AD713" i="6"/>
  <c r="AC2999" i="6"/>
  <c r="AC3000" i="6"/>
  <c r="P46" i="5"/>
  <c r="P44" i="5"/>
  <c r="AD3167" i="6"/>
  <c r="AD3166" i="6"/>
  <c r="Z2833" i="6"/>
  <c r="Z2832" i="6"/>
  <c r="Y2833" i="6"/>
  <c r="Y2832" i="6"/>
  <c r="Y77" i="6"/>
  <c r="Y78" i="6"/>
  <c r="Z22" i="5"/>
  <c r="Z25" i="5" s="1"/>
  <c r="Z43" i="5" s="1"/>
  <c r="AC1614" i="6"/>
  <c r="AC1615" i="6"/>
  <c r="AB1840" i="6"/>
  <c r="AB1839" i="6"/>
  <c r="AC2064" i="6"/>
  <c r="AC2065" i="6"/>
  <c r="AI36" i="22"/>
  <c r="AJ38" i="22"/>
  <c r="AG17" i="18"/>
  <c r="AG1332" i="6"/>
  <c r="AE416" i="6"/>
  <c r="AF35" i="5"/>
  <c r="AJ1074" i="6"/>
  <c r="AU1022" i="6"/>
  <c r="AQ1022" i="6"/>
  <c r="AM1022" i="6"/>
  <c r="AI1022" i="6"/>
  <c r="AR970" i="6"/>
  <c r="AN970" i="6"/>
  <c r="AJ970" i="6"/>
  <c r="AI1074" i="6"/>
  <c r="AT1022" i="6"/>
  <c r="AP1022" i="6"/>
  <c r="AL1022" i="6"/>
  <c r="AH1022" i="6"/>
  <c r="AL1074" i="6"/>
  <c r="AH1074" i="6"/>
  <c r="AS1022" i="6"/>
  <c r="AO1022" i="6"/>
  <c r="AK1022" i="6"/>
  <c r="AG1022" i="6"/>
  <c r="AG991" i="6" s="1" a="1"/>
  <c r="AG991" i="6" s="1"/>
  <c r="AT970" i="6"/>
  <c r="AP970" i="6"/>
  <c r="AL970" i="6"/>
  <c r="AH970" i="6"/>
  <c r="AK1074" i="6"/>
  <c r="AG1074" i="6"/>
  <c r="AJ1022" i="6"/>
  <c r="AU970" i="6"/>
  <c r="AM970" i="6"/>
  <c r="AH884" i="6"/>
  <c r="AS970" i="6"/>
  <c r="AK970" i="6"/>
  <c r="AR1022" i="6"/>
  <c r="AQ970" i="6"/>
  <c r="AI970" i="6"/>
  <c r="AN1022" i="6"/>
  <c r="AO970" i="6"/>
  <c r="AG970" i="6"/>
  <c r="AG939" i="6" s="1" a="1"/>
  <c r="AG939" i="6" s="1"/>
  <c r="AF916" i="6"/>
  <c r="AF885" i="6" s="1"/>
  <c r="AJ38" i="15"/>
  <c r="AK40" i="15"/>
  <c r="AO2921" i="6"/>
  <c r="AK2921" i="6"/>
  <c r="AG2921" i="6"/>
  <c r="AR2869" i="6"/>
  <c r="AN2869" i="6"/>
  <c r="AJ2869" i="6"/>
  <c r="AF2869" i="6"/>
  <c r="AR2921" i="6"/>
  <c r="AM2921" i="6"/>
  <c r="AH2921" i="6"/>
  <c r="AQ2869" i="6"/>
  <c r="AL2869" i="6"/>
  <c r="AG2869" i="6"/>
  <c r="AQ2921" i="6"/>
  <c r="AL2921" i="6"/>
  <c r="AF2921" i="6"/>
  <c r="AP2869" i="6"/>
  <c r="AK2869" i="6"/>
  <c r="AE2869" i="6"/>
  <c r="AP2921" i="6"/>
  <c r="AJ2921" i="6"/>
  <c r="AE2921" i="6"/>
  <c r="AN2921" i="6"/>
  <c r="AH2869" i="6"/>
  <c r="AI2921" i="6"/>
  <c r="AO2869" i="6"/>
  <c r="AD2869" i="6"/>
  <c r="AD2841" i="6" s="1" a="1"/>
  <c r="AD2841" i="6" s="1"/>
  <c r="AD2921" i="6"/>
  <c r="AD2893" i="6" s="1" a="1"/>
  <c r="AD2893" i="6" s="1"/>
  <c r="AM2869" i="6"/>
  <c r="AI2869" i="6"/>
  <c r="N2065" i="6"/>
  <c r="N2064" i="6"/>
  <c r="K2" i="17"/>
  <c r="J2" i="17" s="1"/>
  <c r="I2" i="17" s="1"/>
  <c r="H2" i="17" s="1"/>
  <c r="G2" i="17" s="1"/>
  <c r="F2" i="17" s="1"/>
  <c r="E2" i="17" s="1"/>
  <c r="D2" i="17" s="1"/>
  <c r="C2" i="17" s="1"/>
  <c r="B2" i="17" s="1"/>
  <c r="AH1287" i="6"/>
  <c r="AD1287" i="6"/>
  <c r="AD1270" i="6" s="1"/>
  <c r="Z1287" i="6"/>
  <c r="Z1270" i="6" s="1"/>
  <c r="V1287" i="6"/>
  <c r="V1270" i="6" s="1"/>
  <c r="AD1235" i="6"/>
  <c r="AD1218" i="6" s="1" a="1"/>
  <c r="AD1218" i="6" s="1"/>
  <c r="Z1235" i="6"/>
  <c r="Z1218" i="6" s="1" a="1"/>
  <c r="Z1218" i="6" s="1"/>
  <c r="V1235" i="6"/>
  <c r="V1218" i="6" s="1" a="1"/>
  <c r="V1218" i="6" s="1"/>
  <c r="AE1183" i="6"/>
  <c r="AE1166" i="6" s="1" a="1"/>
  <c r="AE1166" i="6" s="1"/>
  <c r="AA1183" i="6"/>
  <c r="AA1166" i="6" s="1" a="1"/>
  <c r="AA1166" i="6" s="1"/>
  <c r="W1183" i="6"/>
  <c r="W1166" i="6" s="1" a="1"/>
  <c r="W1166" i="6" s="1"/>
  <c r="S1183" i="6"/>
  <c r="S1166" i="6" s="1" a="1"/>
  <c r="S1166" i="6" s="1"/>
  <c r="M1129" i="6"/>
  <c r="M1112" i="6" s="1"/>
  <c r="AG1287" i="6"/>
  <c r="AC1287" i="6"/>
  <c r="AC1270" i="6" s="1"/>
  <c r="Y1287" i="6"/>
  <c r="Y1270" i="6" s="1"/>
  <c r="U1287" i="6"/>
  <c r="U1270" i="6" s="1"/>
  <c r="AG1235" i="6"/>
  <c r="AC1235" i="6"/>
  <c r="AC1218" i="6" s="1" a="1"/>
  <c r="AC1218" i="6" s="1"/>
  <c r="Y1235" i="6"/>
  <c r="Y1218" i="6" s="1" a="1"/>
  <c r="Y1218" i="6" s="1"/>
  <c r="U1235" i="6"/>
  <c r="U1218" i="6" s="1" a="1"/>
  <c r="U1218" i="6" s="1"/>
  <c r="AD1183" i="6"/>
  <c r="AD1166" i="6" s="1" a="1"/>
  <c r="AD1166" i="6" s="1"/>
  <c r="Z1183" i="6"/>
  <c r="Z1166" i="6" s="1" a="1"/>
  <c r="Z1166" i="6" s="1"/>
  <c r="V1183" i="6"/>
  <c r="V1166" i="6" s="1" a="1"/>
  <c r="V1166" i="6" s="1"/>
  <c r="AF1287" i="6"/>
  <c r="AF1270" i="6" s="1"/>
  <c r="AB1287" i="6"/>
  <c r="AB1270" i="6" s="1"/>
  <c r="X1287" i="6"/>
  <c r="X1270" i="6" s="1"/>
  <c r="T1287" i="6"/>
  <c r="T1270" i="6" s="1"/>
  <c r="AF1235" i="6"/>
  <c r="AF1218" i="6" s="1" a="1"/>
  <c r="AF1218" i="6" s="1"/>
  <c r="AB1235" i="6"/>
  <c r="AB1218" i="6" s="1" a="1"/>
  <c r="AB1218" i="6" s="1"/>
  <c r="X1235" i="6"/>
  <c r="X1218" i="6" s="1" a="1"/>
  <c r="X1218" i="6" s="1"/>
  <c r="T1235" i="6"/>
  <c r="T1218" i="6" s="1" a="1"/>
  <c r="T1218" i="6" s="1"/>
  <c r="AG1183" i="6"/>
  <c r="AC1183" i="6"/>
  <c r="AC1166" i="6" s="1" a="1"/>
  <c r="AC1166" i="6" s="1"/>
  <c r="Y1183" i="6"/>
  <c r="Y1166" i="6" s="1" a="1"/>
  <c r="Y1166" i="6" s="1"/>
  <c r="U1183" i="6"/>
  <c r="U1166" i="6" s="1" a="1"/>
  <c r="U1166" i="6" s="1"/>
  <c r="AE1287" i="6"/>
  <c r="AE1270" i="6" s="1"/>
  <c r="AA1287" i="6"/>
  <c r="AA1270" i="6" s="1"/>
  <c r="W1287" i="6"/>
  <c r="W1270" i="6" s="1"/>
  <c r="S1287" i="6"/>
  <c r="S1270" i="6" s="1"/>
  <c r="AE1235" i="6"/>
  <c r="AE1218" i="6" s="1" a="1"/>
  <c r="AE1218" i="6" s="1"/>
  <c r="AA1235" i="6"/>
  <c r="AA1218" i="6" s="1" a="1"/>
  <c r="AA1218" i="6" s="1"/>
  <c r="W1235" i="6"/>
  <c r="W1218" i="6" s="1" a="1"/>
  <c r="W1218" i="6" s="1"/>
  <c r="S1235" i="6"/>
  <c r="S1218" i="6" s="1" a="1"/>
  <c r="S1218" i="6" s="1"/>
  <c r="AF1183" i="6"/>
  <c r="AF1166" i="6" s="1" a="1"/>
  <c r="AF1166" i="6" s="1"/>
  <c r="AB1183" i="6"/>
  <c r="AB1166" i="6" s="1" a="1"/>
  <c r="AB1166" i="6" s="1"/>
  <c r="X1183" i="6"/>
  <c r="X1166" i="6" s="1" a="1"/>
  <c r="X1166" i="6" s="1"/>
  <c r="T1183" i="6"/>
  <c r="T1166" i="6" s="1" a="1"/>
  <c r="T1166" i="6" s="1"/>
  <c r="K21" i="17"/>
  <c r="M1106" i="6"/>
  <c r="N19" i="5" s="1"/>
  <c r="AH1780" i="6"/>
  <c r="AG1785" i="6"/>
  <c r="AG1784" i="6"/>
  <c r="AH12" i="5"/>
  <c r="Y1164" i="6"/>
  <c r="Y1165" i="6"/>
  <c r="AB19" i="17"/>
  <c r="AB1105" i="6"/>
  <c r="AE871" i="6"/>
  <c r="AI68" i="12"/>
  <c r="AG1109" i="6"/>
  <c r="AG1110" i="6"/>
  <c r="AH1103" i="6"/>
  <c r="AH9" i="5"/>
  <c r="AN2752" i="6"/>
  <c r="AJ2752" i="6"/>
  <c r="AF2752" i="6"/>
  <c r="AB2752" i="6"/>
  <c r="AM2700" i="6"/>
  <c r="AI2700" i="6"/>
  <c r="AE2700" i="6"/>
  <c r="AO2752" i="6"/>
  <c r="AI2752" i="6"/>
  <c r="AD2752" i="6"/>
  <c r="AN2700" i="6"/>
  <c r="AH2700" i="6"/>
  <c r="AC2700" i="6"/>
  <c r="AM2752" i="6"/>
  <c r="AH2752" i="6"/>
  <c r="AC2752" i="6"/>
  <c r="AL2700" i="6"/>
  <c r="AG2700" i="6"/>
  <c r="AB2700" i="6"/>
  <c r="AL2752" i="6"/>
  <c r="AG2752" i="6"/>
  <c r="AJ2700" i="6"/>
  <c r="AP2752" i="6"/>
  <c r="AP2700" i="6"/>
  <c r="AF2700" i="6"/>
  <c r="AK2752" i="6"/>
  <c r="AO2700" i="6"/>
  <c r="AD2700" i="6"/>
  <c r="AE2752" i="6"/>
  <c r="AK2700" i="6"/>
  <c r="K24" i="13"/>
  <c r="M10" i="6"/>
  <c r="AI1558" i="6"/>
  <c r="AJ1556" i="6"/>
  <c r="AJ36" i="21"/>
  <c r="AK38" i="21"/>
  <c r="AJ126" i="14"/>
  <c r="M1562" i="6"/>
  <c r="L25" i="16"/>
  <c r="N880" i="6"/>
  <c r="AE23" i="9"/>
  <c r="AE20" i="9"/>
  <c r="L2" i="15"/>
  <c r="S832" i="6"/>
  <c r="AA780" i="6"/>
  <c r="W780" i="6"/>
  <c r="S780" i="6"/>
  <c r="AB728" i="6"/>
  <c r="X728" i="6"/>
  <c r="T728" i="6"/>
  <c r="P728" i="6"/>
  <c r="R832" i="6"/>
  <c r="AD780" i="6"/>
  <c r="AD766" i="6" s="1" a="1"/>
  <c r="AD766" i="6" s="1"/>
  <c r="Z780" i="6"/>
  <c r="V780" i="6"/>
  <c r="R780" i="6"/>
  <c r="AA728" i="6"/>
  <c r="W728" i="6"/>
  <c r="S728" i="6"/>
  <c r="N674" i="6"/>
  <c r="U832" i="6"/>
  <c r="U818" i="6" s="1"/>
  <c r="Q832" i="6"/>
  <c r="AC780" i="6"/>
  <c r="Y780" i="6"/>
  <c r="U780" i="6"/>
  <c r="Q780" i="6"/>
  <c r="AD728" i="6"/>
  <c r="AD714" i="6" s="1" a="1"/>
  <c r="AD714" i="6" s="1"/>
  <c r="Z728" i="6"/>
  <c r="V728" i="6"/>
  <c r="R728" i="6"/>
  <c r="N673" i="6"/>
  <c r="N660" i="6" s="1"/>
  <c r="T832" i="6"/>
  <c r="P832" i="6"/>
  <c r="AB780" i="6"/>
  <c r="X780" i="6"/>
  <c r="T780" i="6"/>
  <c r="P780" i="6"/>
  <c r="AC728" i="6"/>
  <c r="Y728" i="6"/>
  <c r="U728" i="6"/>
  <c r="Q728" i="6"/>
  <c r="AQ610" i="6"/>
  <c r="AM610" i="6"/>
  <c r="AI610" i="6"/>
  <c r="AE610" i="6"/>
  <c r="AP558" i="6"/>
  <c r="AL558" i="6"/>
  <c r="AH558" i="6"/>
  <c r="AP506" i="6"/>
  <c r="AL506" i="6"/>
  <c r="AH506" i="6"/>
  <c r="AD452" i="6"/>
  <c r="AT610" i="6"/>
  <c r="AP610" i="6"/>
  <c r="AL610" i="6"/>
  <c r="AH610" i="6"/>
  <c r="AS558" i="6"/>
  <c r="AO558" i="6"/>
  <c r="AK558" i="6"/>
  <c r="AG558" i="6"/>
  <c r="AS506" i="6"/>
  <c r="AO506" i="6"/>
  <c r="AK506" i="6"/>
  <c r="AG506" i="6"/>
  <c r="AC452" i="6"/>
  <c r="AR610" i="6"/>
  <c r="AJ610" i="6"/>
  <c r="AQ558" i="6"/>
  <c r="AI558" i="6"/>
  <c r="AM506" i="6"/>
  <c r="AE506" i="6"/>
  <c r="AS610" i="6"/>
  <c r="AO610" i="6"/>
  <c r="AK610" i="6"/>
  <c r="AG610" i="6"/>
  <c r="AR558" i="6"/>
  <c r="AN558" i="6"/>
  <c r="AJ558" i="6"/>
  <c r="AF558" i="6"/>
  <c r="AR506" i="6"/>
  <c r="AN506" i="6"/>
  <c r="AJ506" i="6"/>
  <c r="AF506" i="6"/>
  <c r="AB452" i="6"/>
  <c r="AB423" i="6" s="1"/>
  <c r="AF422" i="6"/>
  <c r="AN610" i="6"/>
  <c r="AF610" i="6"/>
  <c r="AM558" i="6"/>
  <c r="AE558" i="6"/>
  <c r="AQ506" i="6"/>
  <c r="AI506" i="6"/>
  <c r="AL59" i="14"/>
  <c r="AU1300" i="6"/>
  <c r="AQ1300" i="6"/>
  <c r="AM1300" i="6"/>
  <c r="AI1300" i="6"/>
  <c r="AR1248" i="6"/>
  <c r="AN1248" i="6"/>
  <c r="AJ1248" i="6"/>
  <c r="AF1248" i="6"/>
  <c r="AS1196" i="6"/>
  <c r="AO1196" i="6"/>
  <c r="AK1196" i="6"/>
  <c r="AG1196" i="6"/>
  <c r="AB1142" i="6"/>
  <c r="AG1111" i="6"/>
  <c r="AT1300" i="6"/>
  <c r="AP1300" i="6"/>
  <c r="AL1300" i="6"/>
  <c r="AH1300" i="6"/>
  <c r="AQ1248" i="6"/>
  <c r="AM1248" i="6"/>
  <c r="AI1248" i="6"/>
  <c r="AR1196" i="6"/>
  <c r="AN1196" i="6"/>
  <c r="AJ1196" i="6"/>
  <c r="AF1196" i="6"/>
  <c r="AE1142" i="6"/>
  <c r="AA1142" i="6"/>
  <c r="AS1300" i="6"/>
  <c r="AO1300" i="6"/>
  <c r="AK1300" i="6"/>
  <c r="AG1300" i="6"/>
  <c r="AT1248" i="6"/>
  <c r="AP1248" i="6"/>
  <c r="AL1248" i="6"/>
  <c r="AH1248" i="6"/>
  <c r="AQ1196" i="6"/>
  <c r="AM1196" i="6"/>
  <c r="AI1196" i="6"/>
  <c r="AD1142" i="6"/>
  <c r="Z1142" i="6"/>
  <c r="Z1112" i="6" s="1"/>
  <c r="AR1300" i="6"/>
  <c r="AN1300" i="6"/>
  <c r="AJ1300" i="6"/>
  <c r="AF1300" i="6"/>
  <c r="AS1248" i="6"/>
  <c r="AO1248" i="6"/>
  <c r="AK1248" i="6"/>
  <c r="AG1248" i="6"/>
  <c r="AT1196" i="6"/>
  <c r="AP1196" i="6"/>
  <c r="AL1196" i="6"/>
  <c r="AH1196" i="6"/>
  <c r="AC1142" i="6"/>
  <c r="K24" i="17"/>
  <c r="M1107" i="6"/>
  <c r="N18" i="5" s="1"/>
  <c r="AF3002" i="6"/>
  <c r="AF2836" i="6"/>
  <c r="K17" i="22"/>
  <c r="M2228" i="6"/>
  <c r="AH658" i="6"/>
  <c r="AI653" i="6"/>
  <c r="AH655" i="6"/>
  <c r="AI6" i="5"/>
  <c r="AH17" i="22"/>
  <c r="AP30" i="14"/>
  <c r="AO32" i="14"/>
  <c r="AJ36" i="19"/>
  <c r="AK38" i="19"/>
  <c r="AB24" i="17"/>
  <c r="AB1107" i="6"/>
  <c r="AC18" i="5" s="1"/>
  <c r="Y47" i="5"/>
  <c r="Y45" i="5"/>
  <c r="AF2170" i="6"/>
  <c r="AF2223" i="6" s="1"/>
  <c r="AH2229" i="6"/>
  <c r="AI2227" i="6"/>
  <c r="AJ3004" i="6"/>
  <c r="AJ60" i="9"/>
  <c r="AC2779" i="6"/>
  <c r="AE2669" i="6"/>
  <c r="M2507" i="6"/>
  <c r="M2506" i="6"/>
  <c r="AF59" i="12"/>
  <c r="AG248" i="6" s="1"/>
  <c r="AG60" i="12"/>
  <c r="AG246" i="6"/>
  <c r="K17" i="19"/>
  <c r="M1557" i="6"/>
  <c r="AI1330" i="6"/>
  <c r="AH1335" i="6"/>
  <c r="AI10" i="5"/>
  <c r="AI245" i="6"/>
  <c r="AI408" i="6"/>
  <c r="AI244" i="6"/>
  <c r="AJ28" i="5" s="1"/>
  <c r="AI67" i="12"/>
  <c r="AH881" i="6"/>
  <c r="AI879" i="6"/>
  <c r="AH877" i="6"/>
  <c r="J2" i="19"/>
  <c r="AB1733" i="6"/>
  <c r="X1733" i="6"/>
  <c r="T1733" i="6"/>
  <c r="P1733" i="6"/>
  <c r="AA1681" i="6"/>
  <c r="W1681" i="6"/>
  <c r="S1681" i="6"/>
  <c r="O1681" i="6"/>
  <c r="Z1629" i="6"/>
  <c r="V1629" i="6"/>
  <c r="R1629" i="6"/>
  <c r="AC1733" i="6"/>
  <c r="W1733" i="6"/>
  <c r="R1733" i="6"/>
  <c r="AC1681" i="6"/>
  <c r="AC1668" i="6" s="1" a="1"/>
  <c r="AC1668" i="6" s="1"/>
  <c r="X1681" i="6"/>
  <c r="R1681" i="6"/>
  <c r="AA1629" i="6"/>
  <c r="U1629" i="6"/>
  <c r="P1629" i="6"/>
  <c r="AA1733" i="6"/>
  <c r="V1733" i="6"/>
  <c r="Q1733" i="6"/>
  <c r="AB1681" i="6"/>
  <c r="V1681" i="6"/>
  <c r="Q1681" i="6"/>
  <c r="Y1629" i="6"/>
  <c r="T1629" i="6"/>
  <c r="O1629" i="6"/>
  <c r="L1574" i="6"/>
  <c r="Z1733" i="6"/>
  <c r="U1733" i="6"/>
  <c r="O1733" i="6"/>
  <c r="Z1681" i="6"/>
  <c r="U1681" i="6"/>
  <c r="P1681" i="6"/>
  <c r="AC1629" i="6"/>
  <c r="AC1616" i="6" s="1" a="1"/>
  <c r="AC1616" i="6" s="1"/>
  <c r="X1629" i="6"/>
  <c r="S1629" i="6"/>
  <c r="AD1733" i="6"/>
  <c r="AD1720" i="6" s="1"/>
  <c r="Y1733" i="6"/>
  <c r="S1733" i="6"/>
  <c r="Y1681" i="6"/>
  <c r="T1681" i="6"/>
  <c r="AB1629" i="6"/>
  <c r="W1629" i="6"/>
  <c r="Q1629" i="6"/>
  <c r="L1575" i="6"/>
  <c r="L1573" i="6"/>
  <c r="C226" i="10"/>
  <c r="C302" i="10" s="1"/>
  <c r="D302" i="10"/>
  <c r="AR21" i="13"/>
  <c r="AQ22" i="13"/>
  <c r="N1337" i="6"/>
  <c r="AM50" i="13"/>
  <c r="I2" i="22"/>
  <c r="AA2403" i="6"/>
  <c r="W2403" i="6"/>
  <c r="S2403" i="6"/>
  <c r="O2403" i="6"/>
  <c r="AJ2351" i="6"/>
  <c r="AF2351" i="6"/>
  <c r="AB2351" i="6"/>
  <c r="X2351" i="6"/>
  <c r="T2351" i="6"/>
  <c r="P2351" i="6"/>
  <c r="AL2299" i="6"/>
  <c r="AH2299" i="6"/>
  <c r="AD2299" i="6"/>
  <c r="Z2299" i="6"/>
  <c r="V2299" i="6"/>
  <c r="R2299" i="6"/>
  <c r="N2299" i="6"/>
  <c r="Z2403" i="6"/>
  <c r="V2403" i="6"/>
  <c r="R2403" i="6"/>
  <c r="N2403" i="6"/>
  <c r="AI2351" i="6"/>
  <c r="AE2351" i="6"/>
  <c r="AA2351" i="6"/>
  <c r="W2351" i="6"/>
  <c r="S2351" i="6"/>
  <c r="O2351" i="6"/>
  <c r="AK2299" i="6"/>
  <c r="AG2299" i="6"/>
  <c r="AC2299" i="6"/>
  <c r="Y2299" i="6"/>
  <c r="U2299" i="6"/>
  <c r="Q2299" i="6"/>
  <c r="K2244" i="6"/>
  <c r="AC2403" i="6"/>
  <c r="AC2391" i="6" s="1"/>
  <c r="Y2403" i="6"/>
  <c r="U2403" i="6"/>
  <c r="Q2403" i="6"/>
  <c r="AL2351" i="6"/>
  <c r="AH2351" i="6"/>
  <c r="AD2351" i="6"/>
  <c r="Z2351" i="6"/>
  <c r="V2351" i="6"/>
  <c r="R2351" i="6"/>
  <c r="N2351" i="6"/>
  <c r="AJ2299" i="6"/>
  <c r="AF2299" i="6"/>
  <c r="AB2299" i="6"/>
  <c r="X2299" i="6"/>
  <c r="T2299" i="6"/>
  <c r="P2299" i="6"/>
  <c r="AB2403" i="6"/>
  <c r="X2403" i="6"/>
  <c r="T2403" i="6"/>
  <c r="P2403" i="6"/>
  <c r="AK2351" i="6"/>
  <c r="AG2351" i="6"/>
  <c r="AC2351" i="6"/>
  <c r="Y2351" i="6"/>
  <c r="U2351" i="6"/>
  <c r="Q2351" i="6"/>
  <c r="AI2299" i="6"/>
  <c r="AE2299" i="6"/>
  <c r="AA2299" i="6"/>
  <c r="W2299" i="6"/>
  <c r="S2299" i="6"/>
  <c r="O2299" i="6"/>
  <c r="K2245" i="6"/>
  <c r="K2243" i="6"/>
  <c r="K2233" i="6" s="1"/>
  <c r="AH66" i="14"/>
  <c r="AG57" i="14"/>
  <c r="AG56" i="14" s="1"/>
  <c r="AG1108" i="6"/>
  <c r="AG1102" i="6"/>
  <c r="AH1104" i="6"/>
  <c r="AR3089" i="6"/>
  <c r="AN3089" i="6"/>
  <c r="AJ3089" i="6"/>
  <c r="AF3089" i="6"/>
  <c r="AQ3037" i="6"/>
  <c r="AM3037" i="6"/>
  <c r="AI3037" i="6"/>
  <c r="AE3037" i="6"/>
  <c r="AE3008" i="6" s="1" a="1"/>
  <c r="AE3008" i="6" s="1"/>
  <c r="AQ3089" i="6"/>
  <c r="AM3089" i="6"/>
  <c r="AI3089" i="6"/>
  <c r="AE3089" i="6"/>
  <c r="AE3060" i="6" s="1" a="1"/>
  <c r="AE3060" i="6" s="1"/>
  <c r="AP3037" i="6"/>
  <c r="AL3037" i="6"/>
  <c r="AH3037" i="6"/>
  <c r="AS3089" i="6"/>
  <c r="AK3089" i="6"/>
  <c r="AR3037" i="6"/>
  <c r="AJ3037" i="6"/>
  <c r="AP3089" i="6"/>
  <c r="AH3089" i="6"/>
  <c r="AO3037" i="6"/>
  <c r="AG3037" i="6"/>
  <c r="AO3089" i="6"/>
  <c r="AG3089" i="6"/>
  <c r="AN3037" i="6"/>
  <c r="AF3037" i="6"/>
  <c r="AS3037" i="6"/>
  <c r="AL3089" i="6"/>
  <c r="AK3037" i="6"/>
  <c r="AG17" i="21"/>
  <c r="AG2007" i="6"/>
  <c r="AG13" i="6"/>
  <c r="AH3" i="5"/>
  <c r="AH8" i="6"/>
  <c r="AG14" i="6"/>
  <c r="AE1893" i="6" a="1"/>
  <c r="AE1893" i="6" s="1"/>
  <c r="AE1841" i="6" a="1"/>
  <c r="AE1841" i="6" s="1"/>
  <c r="AO103" i="9"/>
  <c r="N1323" i="6"/>
  <c r="AS2201" i="6"/>
  <c r="AO2201" i="6"/>
  <c r="AK2201" i="6"/>
  <c r="AG2201" i="6"/>
  <c r="AG2170" i="6" s="1"/>
  <c r="AT2149" i="6"/>
  <c r="AP2149" i="6"/>
  <c r="AL2149" i="6"/>
  <c r="AH2149" i="6"/>
  <c r="AS2097" i="6"/>
  <c r="AO2097" i="6"/>
  <c r="AK2097" i="6"/>
  <c r="AG2097" i="6"/>
  <c r="AG2066" i="6" s="1" a="1"/>
  <c r="AG2066" i="6" s="1"/>
  <c r="AE2043" i="6"/>
  <c r="AV2201" i="6"/>
  <c r="AR2201" i="6"/>
  <c r="AN2201" i="6"/>
  <c r="AJ2201" i="6"/>
  <c r="AS2149" i="6"/>
  <c r="AO2149" i="6"/>
  <c r="AK2149" i="6"/>
  <c r="AG2149" i="6"/>
  <c r="AG2118" i="6" s="1" a="1"/>
  <c r="AG2118" i="6" s="1"/>
  <c r="AR2097" i="6"/>
  <c r="AN2097" i="6"/>
  <c r="AJ2097" i="6"/>
  <c r="AD2043" i="6"/>
  <c r="AD2012" i="6" s="1"/>
  <c r="AH2011" i="6"/>
  <c r="AU2201" i="6"/>
  <c r="AQ2201" i="6"/>
  <c r="AM2201" i="6"/>
  <c r="AI2201" i="6"/>
  <c r="AR2149" i="6"/>
  <c r="AN2149" i="6"/>
  <c r="AJ2149" i="6"/>
  <c r="AU2097" i="6"/>
  <c r="AQ2097" i="6"/>
  <c r="AM2097" i="6"/>
  <c r="AI2097" i="6"/>
  <c r="AT2201" i="6"/>
  <c r="AQ2149" i="6"/>
  <c r="AP2097" i="6"/>
  <c r="AF2043" i="6"/>
  <c r="AP2201" i="6"/>
  <c r="AM2149" i="6"/>
  <c r="AL2097" i="6"/>
  <c r="AL2201" i="6"/>
  <c r="AI2149" i="6"/>
  <c r="AH2097" i="6"/>
  <c r="AH2201" i="6"/>
  <c r="AU2149" i="6"/>
  <c r="AT2097" i="6"/>
  <c r="AG1043" i="6"/>
  <c r="AC1390" i="6"/>
  <c r="AC1389" i="6"/>
  <c r="AP38" i="20"/>
  <c r="K39" i="23"/>
  <c r="L2451" i="6" s="1"/>
  <c r="K32" i="22"/>
  <c r="L2230" i="6" s="1"/>
  <c r="K32" i="21"/>
  <c r="L2009" i="6" s="1"/>
  <c r="K32" i="20"/>
  <c r="L1784" i="6" s="1"/>
  <c r="K32" i="19"/>
  <c r="L1559" i="6" s="1"/>
  <c r="K32" i="18"/>
  <c r="L1334" i="6" s="1"/>
  <c r="K42" i="16"/>
  <c r="L882" i="6" s="1"/>
  <c r="K34" i="15"/>
  <c r="L657" i="6" s="1"/>
  <c r="K49" i="14"/>
  <c r="L420" i="6" s="1"/>
  <c r="K37" i="17"/>
  <c r="L1109" i="6" s="1"/>
  <c r="K41" i="13"/>
  <c r="L13" i="6" s="1"/>
  <c r="J7" i="7"/>
  <c r="AP2753" i="6"/>
  <c r="AL2753" i="6"/>
  <c r="AH2753" i="6"/>
  <c r="AD2753" i="6"/>
  <c r="AO2701" i="6"/>
  <c r="AK2701" i="6"/>
  <c r="AG2701" i="6"/>
  <c r="AC2701" i="6"/>
  <c r="AQ2753" i="6"/>
  <c r="AK2753" i="6"/>
  <c r="AF2753" i="6"/>
  <c r="AP2701" i="6"/>
  <c r="AJ2701" i="6"/>
  <c r="AE2701" i="6"/>
  <c r="AO2753" i="6"/>
  <c r="AJ2753" i="6"/>
  <c r="AE2753" i="6"/>
  <c r="AN2701" i="6"/>
  <c r="AI2701" i="6"/>
  <c r="AD2701" i="6"/>
  <c r="AN2753" i="6"/>
  <c r="AI2753" i="6"/>
  <c r="AC2753" i="6"/>
  <c r="AG2753" i="6"/>
  <c r="AQ2701" i="6"/>
  <c r="AF2701" i="6"/>
  <c r="AM2701" i="6"/>
  <c r="AL2701" i="6"/>
  <c r="AM2753" i="6"/>
  <c r="AH2701" i="6"/>
  <c r="AC2664" i="6"/>
  <c r="AC2665" i="6"/>
  <c r="AE1773" i="6"/>
  <c r="AB1095" i="6"/>
  <c r="AB1096" i="6"/>
  <c r="J3" i="16"/>
  <c r="P1054" i="6"/>
  <c r="AA1002" i="6"/>
  <c r="AA991" i="6" s="1" a="1"/>
  <c r="AA991" i="6" s="1"/>
  <c r="W1002" i="6"/>
  <c r="S1002" i="6"/>
  <c r="O1002" i="6"/>
  <c r="X950" i="6"/>
  <c r="T950" i="6"/>
  <c r="P950" i="6"/>
  <c r="O1054" i="6"/>
  <c r="Z1002" i="6"/>
  <c r="V1002" i="6"/>
  <c r="R1002" i="6"/>
  <c r="N1002" i="6"/>
  <c r="R1054" i="6"/>
  <c r="R1043" i="6" s="1"/>
  <c r="N1054" i="6"/>
  <c r="Y1002" i="6"/>
  <c r="U1002" i="6"/>
  <c r="Q1002" i="6"/>
  <c r="M1002" i="6"/>
  <c r="Z950" i="6"/>
  <c r="V950" i="6"/>
  <c r="R950" i="6"/>
  <c r="N950" i="6"/>
  <c r="Q1054" i="6"/>
  <c r="M1054" i="6"/>
  <c r="W950" i="6"/>
  <c r="O950" i="6"/>
  <c r="X1002" i="6"/>
  <c r="U950" i="6"/>
  <c r="M950" i="6"/>
  <c r="T1002" i="6"/>
  <c r="AA950" i="6"/>
  <c r="AA939" i="6" s="1" a="1"/>
  <c r="AA939" i="6" s="1"/>
  <c r="S950" i="6"/>
  <c r="P1002" i="6"/>
  <c r="Y950" i="6"/>
  <c r="Q950" i="6"/>
  <c r="L896" i="6"/>
  <c r="L885" i="6" s="1"/>
  <c r="K19" i="17"/>
  <c r="M1105" i="6"/>
  <c r="K17" i="20"/>
  <c r="M1782" i="6"/>
  <c r="AI39" i="18"/>
  <c r="AH36" i="18"/>
  <c r="AI2005" i="6"/>
  <c r="AH2010" i="6"/>
  <c r="AG38" i="23"/>
  <c r="AG31" i="22"/>
  <c r="AG31" i="21"/>
  <c r="AG31" i="20"/>
  <c r="AG31" i="19"/>
  <c r="AG36" i="17"/>
  <c r="AG31" i="18"/>
  <c r="AG41" i="16"/>
  <c r="AG33" i="15"/>
  <c r="AG48" i="14"/>
  <c r="AH6" i="7"/>
  <c r="AG40" i="13"/>
  <c r="AJ61" i="14"/>
  <c r="AE477" i="6" a="1"/>
  <c r="AE477" i="6" s="1"/>
  <c r="AF871" i="6"/>
  <c r="AG17" i="20"/>
  <c r="AG1782" i="6"/>
  <c r="AK2447" i="6"/>
  <c r="AJ2452" i="6"/>
  <c r="AK14" i="5"/>
  <c r="AK46" i="16"/>
  <c r="AL48" i="16"/>
  <c r="AH1333" i="6"/>
  <c r="AI1331" i="6"/>
  <c r="AH1329" i="6"/>
  <c r="G2" i="13"/>
  <c r="AH196" i="6"/>
  <c r="AD196" i="6"/>
  <c r="Z196" i="6"/>
  <c r="V196" i="6"/>
  <c r="R196" i="6"/>
  <c r="AA144" i="6"/>
  <c r="W144" i="6"/>
  <c r="S144" i="6"/>
  <c r="O144" i="6"/>
  <c r="Z92" i="6"/>
  <c r="V92" i="6"/>
  <c r="R92" i="6"/>
  <c r="I26" i="6"/>
  <c r="AI196" i="6"/>
  <c r="S196" i="6"/>
  <c r="S92" i="6"/>
  <c r="AG196" i="6"/>
  <c r="AC196" i="6"/>
  <c r="Y196" i="6"/>
  <c r="U196" i="6"/>
  <c r="Q196" i="6"/>
  <c r="Z144" i="6"/>
  <c r="V144" i="6"/>
  <c r="R144" i="6"/>
  <c r="AC92" i="6"/>
  <c r="AC79" i="6" s="1" a="1"/>
  <c r="AC79" i="6" s="1"/>
  <c r="Y92" i="6"/>
  <c r="U92" i="6"/>
  <c r="Q92" i="6"/>
  <c r="I29" i="6"/>
  <c r="I25" i="6"/>
  <c r="AA196" i="6"/>
  <c r="O196" i="6"/>
  <c r="AB144" i="6"/>
  <c r="T144" i="6"/>
  <c r="W92" i="6"/>
  <c r="AF196" i="6"/>
  <c r="AB196" i="6"/>
  <c r="X196" i="6"/>
  <c r="T196" i="6"/>
  <c r="P196" i="6"/>
  <c r="AC144" i="6"/>
  <c r="AC131" i="6" s="1" a="1"/>
  <c r="AC131" i="6" s="1"/>
  <c r="Y144" i="6"/>
  <c r="U144" i="6"/>
  <c r="Q144" i="6"/>
  <c r="AB92" i="6"/>
  <c r="X92" i="6"/>
  <c r="T92" i="6"/>
  <c r="P92" i="6"/>
  <c r="I28" i="6"/>
  <c r="I24" i="6"/>
  <c r="AE196" i="6"/>
  <c r="W196" i="6"/>
  <c r="X144" i="6"/>
  <c r="P144" i="6"/>
  <c r="AA92" i="6"/>
  <c r="O92" i="6"/>
  <c r="I27" i="6"/>
  <c r="AH17" i="19"/>
  <c r="AH1557" i="6"/>
  <c r="O1839" i="6"/>
  <c r="O1840" i="6"/>
  <c r="AB2285" i="6"/>
  <c r="AB2286" i="6"/>
  <c r="AX2807" i="6"/>
  <c r="AT2807" i="6"/>
  <c r="AP2807" i="6"/>
  <c r="AL2807" i="6"/>
  <c r="AH2807" i="6"/>
  <c r="AD2807" i="6"/>
  <c r="AD2779" i="6" s="1"/>
  <c r="AD2673" i="6"/>
  <c r="AS2807" i="6"/>
  <c r="AN2807" i="6"/>
  <c r="AI2807" i="6"/>
  <c r="AW2807" i="6"/>
  <c r="AR2807" i="6"/>
  <c r="AM2807" i="6"/>
  <c r="AG2807" i="6"/>
  <c r="AU2807" i="6"/>
  <c r="AJ2807" i="6"/>
  <c r="AQ2807" i="6"/>
  <c r="AF2807" i="6"/>
  <c r="AO2807" i="6"/>
  <c r="AE2807" i="6"/>
  <c r="AV2807" i="6"/>
  <c r="AK2807" i="6"/>
  <c r="AD2672" i="6"/>
  <c r="AE27" i="5"/>
  <c r="AD2778" i="6"/>
  <c r="AD2831" i="6" s="1"/>
  <c r="AG2665" i="6"/>
  <c r="AL2751" i="6"/>
  <c r="AH2751" i="6"/>
  <c r="AD2751" i="6"/>
  <c r="AO2699" i="6"/>
  <c r="AK2699" i="6"/>
  <c r="AG2699" i="6"/>
  <c r="AC2699" i="6"/>
  <c r="AC2674" i="6" s="1" a="1"/>
  <c r="AC2674" i="6" s="1"/>
  <c r="AM2751" i="6"/>
  <c r="AG2751" i="6"/>
  <c r="AB2751" i="6"/>
  <c r="AB2726" i="6" s="1" a="1"/>
  <c r="AB2726" i="6" s="1"/>
  <c r="AL2699" i="6"/>
  <c r="AF2699" i="6"/>
  <c r="AA2699" i="6"/>
  <c r="AA2674" i="6" s="1" a="1"/>
  <c r="AA2674" i="6" s="1"/>
  <c r="AK2751" i="6"/>
  <c r="AF2751" i="6"/>
  <c r="AA2751" i="6"/>
  <c r="AA2726" i="6" s="1" a="1"/>
  <c r="AA2726" i="6" s="1"/>
  <c r="AJ2699" i="6"/>
  <c r="AE2699" i="6"/>
  <c r="AO2751" i="6"/>
  <c r="AJ2751" i="6"/>
  <c r="AE2751" i="6"/>
  <c r="AN2751" i="6"/>
  <c r="AM2699" i="6"/>
  <c r="AB2699" i="6"/>
  <c r="AB2674" i="6" s="1" a="1"/>
  <c r="AB2674" i="6" s="1"/>
  <c r="AI2751" i="6"/>
  <c r="AI2699" i="6"/>
  <c r="AC2751" i="6"/>
  <c r="AC2726" i="6" s="1" a="1"/>
  <c r="AC2726" i="6" s="1"/>
  <c r="AH2699" i="6"/>
  <c r="AN2699" i="6"/>
  <c r="AD2699" i="6"/>
  <c r="AF24" i="8"/>
  <c r="AE44" i="8"/>
  <c r="AH126" i="14"/>
  <c r="AZ3143" i="6"/>
  <c r="AV3143" i="6"/>
  <c r="AR3143" i="6"/>
  <c r="AN3143" i="6"/>
  <c r="AJ3143" i="6"/>
  <c r="AF3143" i="6"/>
  <c r="AF3113" i="6" s="1"/>
  <c r="AF3007" i="6"/>
  <c r="AY3143" i="6"/>
  <c r="AU3143" i="6"/>
  <c r="AQ3143" i="6"/>
  <c r="AM3143" i="6"/>
  <c r="AI3143" i="6"/>
  <c r="AS3143" i="6"/>
  <c r="AK3143" i="6"/>
  <c r="AX3143" i="6"/>
  <c r="AP3143" i="6"/>
  <c r="AH3143" i="6"/>
  <c r="AW3143" i="6"/>
  <c r="AO3143" i="6"/>
  <c r="AG3143" i="6"/>
  <c r="AF3006" i="6"/>
  <c r="AL3143" i="6"/>
  <c r="AT3143" i="6"/>
  <c r="AF3112" i="6"/>
  <c r="AF2668" i="6"/>
  <c r="AF2835" i="6"/>
  <c r="AG93" i="9"/>
  <c r="AF74" i="9"/>
  <c r="AF68" i="9"/>
  <c r="AG2837" i="6" s="1"/>
  <c r="AF65" i="9"/>
  <c r="AF63" i="9"/>
  <c r="AF57" i="9"/>
  <c r="AG3002" i="6" s="1"/>
  <c r="AF4" i="9"/>
  <c r="AF92" i="9"/>
  <c r="AF66" i="9"/>
  <c r="AF64" i="9"/>
  <c r="AF61" i="9"/>
  <c r="AG3005" i="6" s="1"/>
  <c r="AF58" i="9"/>
  <c r="AF16" i="9"/>
  <c r="AF8" i="9"/>
  <c r="AG2670" i="6" s="1"/>
  <c r="AF3" i="9"/>
  <c r="AG2668" i="6" s="1"/>
  <c r="AF69" i="9"/>
  <c r="AF1096" i="6"/>
  <c r="AL849" i="6"/>
  <c r="AH849" i="6"/>
  <c r="AS797" i="6"/>
  <c r="AO797" i="6"/>
  <c r="AK797" i="6"/>
  <c r="AG797" i="6"/>
  <c r="AG766" i="6" s="1" a="1"/>
  <c r="AG766" i="6" s="1"/>
  <c r="AT745" i="6"/>
  <c r="AP745" i="6"/>
  <c r="AL745" i="6"/>
  <c r="AH745" i="6"/>
  <c r="AK849" i="6"/>
  <c r="AG849" i="6"/>
  <c r="AG818" i="6" s="1"/>
  <c r="AR797" i="6"/>
  <c r="AN797" i="6"/>
  <c r="AJ797" i="6"/>
  <c r="AS745" i="6"/>
  <c r="AO745" i="6"/>
  <c r="AK745" i="6"/>
  <c r="AG745" i="6"/>
  <c r="AJ849" i="6"/>
  <c r="AU797" i="6"/>
  <c r="AQ797" i="6"/>
  <c r="AM797" i="6"/>
  <c r="AI797" i="6"/>
  <c r="AR745" i="6"/>
  <c r="AN745" i="6"/>
  <c r="AJ745" i="6"/>
  <c r="AF691" i="6"/>
  <c r="AH659" i="6"/>
  <c r="AI849" i="6"/>
  <c r="AT797" i="6"/>
  <c r="AP797" i="6"/>
  <c r="AL797" i="6"/>
  <c r="AH797" i="6"/>
  <c r="AU745" i="6"/>
  <c r="AQ745" i="6"/>
  <c r="AM745" i="6"/>
  <c r="AI745" i="6"/>
  <c r="AE691" i="6"/>
  <c r="AE660" i="6" s="1"/>
  <c r="AB2831" i="6"/>
  <c r="M2012" i="6"/>
  <c r="AD36" i="11"/>
  <c r="AD3170" i="6"/>
  <c r="AL46" i="17"/>
  <c r="J2" i="23"/>
  <c r="Y2623" i="6"/>
  <c r="U2623" i="6"/>
  <c r="Q2623" i="6"/>
  <c r="M2623" i="6"/>
  <c r="Y2571" i="6"/>
  <c r="U2571" i="6"/>
  <c r="Q2571" i="6"/>
  <c r="M2571" i="6"/>
  <c r="X2519" i="6"/>
  <c r="T2519" i="6"/>
  <c r="P2519" i="6"/>
  <c r="X2623" i="6"/>
  <c r="S2623" i="6"/>
  <c r="N2623" i="6"/>
  <c r="AA2571" i="6"/>
  <c r="AA2560" i="6" s="1" a="1"/>
  <c r="AA2560" i="6" s="1"/>
  <c r="V2571" i="6"/>
  <c r="P2571" i="6"/>
  <c r="W2519" i="6"/>
  <c r="R2519" i="6"/>
  <c r="M2519" i="6"/>
  <c r="AB2623" i="6"/>
  <c r="AB2612" i="6" s="1"/>
  <c r="W2623" i="6"/>
  <c r="R2623" i="6"/>
  <c r="Z2571" i="6"/>
  <c r="T2571" i="6"/>
  <c r="O2571" i="6"/>
  <c r="AA2519" i="6"/>
  <c r="AA2508" i="6" s="1" a="1"/>
  <c r="AA2508" i="6" s="1"/>
  <c r="V2519" i="6"/>
  <c r="Q2519" i="6"/>
  <c r="AA2623" i="6"/>
  <c r="V2623" i="6"/>
  <c r="P2623" i="6"/>
  <c r="X2571" i="6"/>
  <c r="S2571" i="6"/>
  <c r="N2571" i="6"/>
  <c r="Z2519" i="6"/>
  <c r="U2519" i="6"/>
  <c r="O2519" i="6"/>
  <c r="Z2623" i="6"/>
  <c r="W2571" i="6"/>
  <c r="Y2519" i="6"/>
  <c r="T2623" i="6"/>
  <c r="R2571" i="6"/>
  <c r="S2519" i="6"/>
  <c r="O2623" i="6"/>
  <c r="N2519" i="6"/>
  <c r="L2465" i="6"/>
  <c r="L2454" i="6" s="1"/>
  <c r="K17" i="21"/>
  <c r="M2007" i="6"/>
  <c r="AZ386" i="6"/>
  <c r="AV386" i="6"/>
  <c r="AR386" i="6"/>
  <c r="AN386" i="6"/>
  <c r="AJ386" i="6"/>
  <c r="AF386" i="6"/>
  <c r="AF356" i="6" s="1"/>
  <c r="AF250" i="6"/>
  <c r="AY386" i="6"/>
  <c r="AU386" i="6"/>
  <c r="AQ386" i="6"/>
  <c r="AM386" i="6"/>
  <c r="AI386" i="6"/>
  <c r="AS386" i="6"/>
  <c r="AK386" i="6"/>
  <c r="AX386" i="6"/>
  <c r="AT386" i="6"/>
  <c r="AP386" i="6"/>
  <c r="AL386" i="6"/>
  <c r="AH386" i="6"/>
  <c r="AW386" i="6"/>
  <c r="AO386" i="6"/>
  <c r="AG386" i="6"/>
  <c r="AF249" i="6"/>
  <c r="AG29" i="5"/>
  <c r="AF355" i="6"/>
  <c r="AM38" i="18"/>
  <c r="AE24" i="9"/>
  <c r="AG1096" i="6"/>
  <c r="AG3003" i="6"/>
  <c r="AH3003" i="6" s="1"/>
  <c r="AI56" i="17"/>
  <c r="AH44" i="17"/>
  <c r="M937" i="6"/>
  <c r="M938" i="6"/>
  <c r="L21" i="15"/>
  <c r="N655" i="6"/>
  <c r="K2" i="18"/>
  <c r="AF1510" i="6"/>
  <c r="AF1495" i="6" s="1"/>
  <c r="AF1548" i="6" s="1"/>
  <c r="AB1510" i="6"/>
  <c r="X1510" i="6"/>
  <c r="T1510" i="6"/>
  <c r="AE1509" i="6"/>
  <c r="AA1509" i="6"/>
  <c r="W1509" i="6"/>
  <c r="S1509" i="6"/>
  <c r="AA1457" i="6"/>
  <c r="W1457" i="6"/>
  <c r="S1457" i="6"/>
  <c r="AD1405" i="6"/>
  <c r="AD1391" i="6" s="1" a="1"/>
  <c r="AD1391" i="6" s="1"/>
  <c r="Z1405" i="6"/>
  <c r="V1405" i="6"/>
  <c r="R1405" i="6"/>
  <c r="AE1510" i="6"/>
  <c r="AA1510" i="6"/>
  <c r="W1510" i="6"/>
  <c r="S1510" i="6"/>
  <c r="AD1509" i="6"/>
  <c r="Z1509" i="6"/>
  <c r="V1509" i="6"/>
  <c r="R1509" i="6"/>
  <c r="AD1457" i="6"/>
  <c r="AD1443" i="6" s="1" a="1"/>
  <c r="AD1443" i="6" s="1"/>
  <c r="Z1457" i="6"/>
  <c r="V1457" i="6"/>
  <c r="R1457" i="6"/>
  <c r="AC1405" i="6"/>
  <c r="Y1405" i="6"/>
  <c r="U1405" i="6"/>
  <c r="Q1405" i="6"/>
  <c r="M1350" i="6"/>
  <c r="AD1510" i="6"/>
  <c r="Z1510" i="6"/>
  <c r="V1510" i="6"/>
  <c r="R1510" i="6"/>
  <c r="AC1509" i="6"/>
  <c r="Y1509" i="6"/>
  <c r="U1509" i="6"/>
  <c r="Q1509" i="6"/>
  <c r="AC1457" i="6"/>
  <c r="Y1457" i="6"/>
  <c r="U1457" i="6"/>
  <c r="Q1457" i="6"/>
  <c r="AB1405" i="6"/>
  <c r="X1405" i="6"/>
  <c r="T1405" i="6"/>
  <c r="P1405" i="6"/>
  <c r="AC1510" i="6"/>
  <c r="Y1510" i="6"/>
  <c r="U1510" i="6"/>
  <c r="Q1510" i="6"/>
  <c r="AB1509" i="6"/>
  <c r="X1509" i="6"/>
  <c r="T1509" i="6"/>
  <c r="P1509" i="6"/>
  <c r="AB1457" i="6"/>
  <c r="X1457" i="6"/>
  <c r="T1457" i="6"/>
  <c r="P1457" i="6"/>
  <c r="AA1405" i="6"/>
  <c r="W1405" i="6"/>
  <c r="S1405" i="6"/>
  <c r="M1351" i="6"/>
  <c r="M1349" i="6"/>
  <c r="AG2230" i="6"/>
  <c r="AG2231" i="6"/>
  <c r="AH2226" i="6"/>
  <c r="AH2228" i="6" s="1"/>
  <c r="AH13" i="5"/>
  <c r="AH2008" i="6"/>
  <c r="AI2006" i="6"/>
  <c r="AH2004" i="6"/>
  <c r="AG2507" i="6"/>
  <c r="AG2664" i="6" s="1"/>
  <c r="AG2506" i="6"/>
  <c r="AA475" i="6"/>
  <c r="AA476" i="6"/>
  <c r="AG1783" i="6"/>
  <c r="AH1781" i="6"/>
  <c r="AG1779" i="6"/>
  <c r="AG714" i="6" a="1"/>
  <c r="AG714" i="6" s="1"/>
  <c r="AF14" i="13"/>
  <c r="AG237" i="6"/>
  <c r="AG12" i="6"/>
  <c r="AH9" i="6"/>
  <c r="AG7" i="6"/>
  <c r="AX213" i="6"/>
  <c r="AT213" i="6"/>
  <c r="AP213" i="6"/>
  <c r="AL213" i="6"/>
  <c r="AH213" i="6"/>
  <c r="AS161" i="6"/>
  <c r="AO161" i="6"/>
  <c r="AK161" i="6"/>
  <c r="AG161" i="6"/>
  <c r="AR109" i="6"/>
  <c r="AN109" i="6"/>
  <c r="AJ109" i="6"/>
  <c r="AF109" i="6"/>
  <c r="AF79" i="6" s="1" a="1"/>
  <c r="AF79" i="6" s="1"/>
  <c r="AC46" i="6"/>
  <c r="AQ213" i="6"/>
  <c r="AP161" i="6"/>
  <c r="AO109" i="6"/>
  <c r="AW213" i="6"/>
  <c r="AS213" i="6"/>
  <c r="AO213" i="6"/>
  <c r="AK213" i="6"/>
  <c r="AG213" i="6"/>
  <c r="AR161" i="6"/>
  <c r="AN161" i="6"/>
  <c r="AJ161" i="6"/>
  <c r="AF161" i="6"/>
  <c r="AF131" i="6" s="1" a="1"/>
  <c r="AF131" i="6" s="1"/>
  <c r="AQ109" i="6"/>
  <c r="AM109" i="6"/>
  <c r="AI109" i="6"/>
  <c r="AB46" i="6"/>
  <c r="AG15" i="6"/>
  <c r="AU213" i="6"/>
  <c r="AI213" i="6"/>
  <c r="AT161" i="6"/>
  <c r="AH161" i="6"/>
  <c r="AS109" i="6"/>
  <c r="AG109" i="6"/>
  <c r="AZ213" i="6"/>
  <c r="AV213" i="6"/>
  <c r="AR213" i="6"/>
  <c r="AN213" i="6"/>
  <c r="AJ213" i="6"/>
  <c r="AF213" i="6"/>
  <c r="AQ161" i="6"/>
  <c r="AM161" i="6"/>
  <c r="AI161" i="6"/>
  <c r="AT109" i="6"/>
  <c r="AP109" i="6"/>
  <c r="AL109" i="6"/>
  <c r="AH109" i="6"/>
  <c r="AE46" i="6"/>
  <c r="AA46" i="6"/>
  <c r="AG10" i="6"/>
  <c r="AY213" i="6"/>
  <c r="AM213" i="6"/>
  <c r="AL161" i="6"/>
  <c r="AK109" i="6"/>
  <c r="AD46" i="6"/>
  <c r="Z46" i="6"/>
  <c r="Z16" i="6" s="1"/>
  <c r="AG11" i="6"/>
  <c r="AO31" i="14"/>
  <c r="AN33" i="14"/>
  <c r="AE937" i="6"/>
  <c r="AE938" i="6"/>
  <c r="AE1095" i="6" s="1"/>
  <c r="AD15" i="9"/>
  <c r="AE2671" i="6" s="1"/>
  <c r="AU2645" i="6"/>
  <c r="AQ2645" i="6"/>
  <c r="AM2645" i="6"/>
  <c r="AI2645" i="6"/>
  <c r="AI2612" i="6" s="1"/>
  <c r="AW2593" i="6"/>
  <c r="AS2593" i="6"/>
  <c r="AO2593" i="6"/>
  <c r="AK2593" i="6"/>
  <c r="AV2541" i="6"/>
  <c r="AR2541" i="6"/>
  <c r="AN2541" i="6"/>
  <c r="AJ2541" i="6"/>
  <c r="AT2645" i="6"/>
  <c r="AO2645" i="6"/>
  <c r="AJ2645" i="6"/>
  <c r="AR2593" i="6"/>
  <c r="AM2593" i="6"/>
  <c r="AT2541" i="6"/>
  <c r="AO2541" i="6"/>
  <c r="AI2541" i="6"/>
  <c r="AI2508" i="6" s="1" a="1"/>
  <c r="AI2508" i="6" s="1"/>
  <c r="AJ2453" i="6"/>
  <c r="AX2645" i="6"/>
  <c r="AS2645" i="6"/>
  <c r="AN2645" i="6"/>
  <c r="AV2593" i="6"/>
  <c r="AQ2593" i="6"/>
  <c r="AL2593" i="6"/>
  <c r="AS2541" i="6"/>
  <c r="AM2541" i="6"/>
  <c r="AW2645" i="6"/>
  <c r="AR2645" i="6"/>
  <c r="AL2645" i="6"/>
  <c r="AU2593" i="6"/>
  <c r="AP2593" i="6"/>
  <c r="AJ2593" i="6"/>
  <c r="AW2541" i="6"/>
  <c r="AQ2541" i="6"/>
  <c r="AL2541" i="6"/>
  <c r="AK2541" i="6"/>
  <c r="AV2645" i="6"/>
  <c r="AT2593" i="6"/>
  <c r="AP2645" i="6"/>
  <c r="AN2593" i="6"/>
  <c r="AU2541" i="6"/>
  <c r="AH2487" i="6"/>
  <c r="AH2454" i="6" s="1"/>
  <c r="AK2645" i="6"/>
  <c r="AI2593" i="6"/>
  <c r="AI2560" i="6" s="1" a="1"/>
  <c r="AI2560" i="6" s="1"/>
  <c r="AP2541" i="6"/>
  <c r="AJ21" i="5"/>
  <c r="K2" i="14"/>
  <c r="AB595" i="6"/>
  <c r="X595" i="6"/>
  <c r="T595" i="6"/>
  <c r="P595" i="6"/>
  <c r="AB543" i="6"/>
  <c r="X543" i="6"/>
  <c r="T543" i="6"/>
  <c r="P543" i="6"/>
  <c r="Y529" i="6"/>
  <c r="AB491" i="6"/>
  <c r="X491" i="6"/>
  <c r="T491" i="6"/>
  <c r="P491" i="6"/>
  <c r="AE595" i="6"/>
  <c r="AE581" i="6" s="1"/>
  <c r="AA595" i="6"/>
  <c r="W595" i="6"/>
  <c r="S595" i="6"/>
  <c r="AA543" i="6"/>
  <c r="W543" i="6"/>
  <c r="S543" i="6"/>
  <c r="AA491" i="6"/>
  <c r="W491" i="6"/>
  <c r="S491" i="6"/>
  <c r="M436" i="6"/>
  <c r="AC595" i="6"/>
  <c r="U595" i="6"/>
  <c r="AC543" i="6"/>
  <c r="U543" i="6"/>
  <c r="AC491" i="6"/>
  <c r="U491" i="6"/>
  <c r="M437" i="6"/>
  <c r="AD595" i="6"/>
  <c r="Z595" i="6"/>
  <c r="V595" i="6"/>
  <c r="R595" i="6"/>
  <c r="AD543" i="6"/>
  <c r="Z543" i="6"/>
  <c r="V543" i="6"/>
  <c r="R543" i="6"/>
  <c r="AD491" i="6"/>
  <c r="AD477" i="6" s="1" a="1"/>
  <c r="AD477" i="6" s="1"/>
  <c r="Z491" i="6"/>
  <c r="V491" i="6"/>
  <c r="R491" i="6"/>
  <c r="Y595" i="6"/>
  <c r="Q595" i="6"/>
  <c r="Y543" i="6"/>
  <c r="Q543" i="6"/>
  <c r="Y491" i="6"/>
  <c r="Q491" i="6"/>
  <c r="M435" i="6"/>
  <c r="AI61" i="12"/>
  <c r="K2" i="20"/>
  <c r="AF1960" i="6"/>
  <c r="AB1960" i="6"/>
  <c r="X1960" i="6"/>
  <c r="T1960" i="6"/>
  <c r="AE1959" i="6"/>
  <c r="AA1959" i="6"/>
  <c r="W1959" i="6"/>
  <c r="S1959" i="6"/>
  <c r="AA1907" i="6"/>
  <c r="W1907" i="6"/>
  <c r="S1907" i="6"/>
  <c r="AD1855" i="6"/>
  <c r="AD1841" i="6" s="1" a="1"/>
  <c r="AD1841" i="6" s="1"/>
  <c r="Z1855" i="6"/>
  <c r="V1855" i="6"/>
  <c r="R1855" i="6"/>
  <c r="AE1960" i="6"/>
  <c r="AA1960" i="6"/>
  <c r="W1960" i="6"/>
  <c r="S1960" i="6"/>
  <c r="AD1959" i="6"/>
  <c r="Z1959" i="6"/>
  <c r="V1959" i="6"/>
  <c r="R1959" i="6"/>
  <c r="AD1907" i="6"/>
  <c r="AD1893" i="6" s="1" a="1"/>
  <c r="AD1893" i="6" s="1"/>
  <c r="Z1907" i="6"/>
  <c r="V1907" i="6"/>
  <c r="R1907" i="6"/>
  <c r="AC1855" i="6"/>
  <c r="Y1855" i="6"/>
  <c r="U1855" i="6"/>
  <c r="Q1855" i="6"/>
  <c r="M1800" i="6"/>
  <c r="AD1960" i="6"/>
  <c r="Z1960" i="6"/>
  <c r="V1960" i="6"/>
  <c r="R1960" i="6"/>
  <c r="AC1959" i="6"/>
  <c r="Y1959" i="6"/>
  <c r="U1959" i="6"/>
  <c r="Q1959" i="6"/>
  <c r="AC1907" i="6"/>
  <c r="Y1907" i="6"/>
  <c r="U1907" i="6"/>
  <c r="Q1907" i="6"/>
  <c r="AB1855" i="6"/>
  <c r="X1855" i="6"/>
  <c r="T1855" i="6"/>
  <c r="P1855" i="6"/>
  <c r="U1960" i="6"/>
  <c r="T1959" i="6"/>
  <c r="P1907" i="6"/>
  <c r="AA1855" i="6"/>
  <c r="M1801" i="6"/>
  <c r="Q1960" i="6"/>
  <c r="P1959" i="6"/>
  <c r="AB1907" i="6"/>
  <c r="W1855" i="6"/>
  <c r="AC1960" i="6"/>
  <c r="AB1959" i="6"/>
  <c r="X1907" i="6"/>
  <c r="S1855" i="6"/>
  <c r="Y1960" i="6"/>
  <c r="X1959" i="6"/>
  <c r="T1907" i="6"/>
  <c r="M1799" i="6"/>
  <c r="AT1751" i="6"/>
  <c r="AP1751" i="6"/>
  <c r="AL1751" i="6"/>
  <c r="AH1751" i="6"/>
  <c r="AU1699" i="6"/>
  <c r="AQ1699" i="6"/>
  <c r="AM1699" i="6"/>
  <c r="AI1699" i="6"/>
  <c r="AT1647" i="6"/>
  <c r="AP1647" i="6"/>
  <c r="AL1647" i="6"/>
  <c r="AH1647" i="6"/>
  <c r="AU1751" i="6"/>
  <c r="AO1751" i="6"/>
  <c r="AJ1751" i="6"/>
  <c r="AR1699" i="6"/>
  <c r="AL1699" i="6"/>
  <c r="AG1699" i="6"/>
  <c r="AG1668" i="6" s="1" a="1"/>
  <c r="AG1668" i="6" s="1"/>
  <c r="AQ1647" i="6"/>
  <c r="AK1647" i="6"/>
  <c r="AE1593" i="6"/>
  <c r="AS1751" i="6"/>
  <c r="AN1751" i="6"/>
  <c r="AI1751" i="6"/>
  <c r="AP1699" i="6"/>
  <c r="AK1699" i="6"/>
  <c r="AU1647" i="6"/>
  <c r="AO1647" i="6"/>
  <c r="AJ1647" i="6"/>
  <c r="AD1593" i="6"/>
  <c r="AD1562" i="6" s="1"/>
  <c r="AH1561" i="6"/>
  <c r="AR1751" i="6"/>
  <c r="AM1751" i="6"/>
  <c r="AG1751" i="6"/>
  <c r="AG1720" i="6" s="1"/>
  <c r="AT1699" i="6"/>
  <c r="AO1699" i="6"/>
  <c r="AJ1699" i="6"/>
  <c r="AS1647" i="6"/>
  <c r="AN1647" i="6"/>
  <c r="AI1647" i="6"/>
  <c r="AV1751" i="6"/>
  <c r="AQ1751" i="6"/>
  <c r="AK1751" i="6"/>
  <c r="AS1699" i="6"/>
  <c r="AN1699" i="6"/>
  <c r="AH1699" i="6"/>
  <c r="AR1647" i="6"/>
  <c r="AM1647" i="6"/>
  <c r="AG1647" i="6"/>
  <c r="AG1616" i="6" s="1" a="1"/>
  <c r="AG1616" i="6" s="1"/>
  <c r="AF1593" i="6"/>
  <c r="L17" i="18"/>
  <c r="N1332" i="6"/>
  <c r="AD645" i="6"/>
  <c r="L23" i="14"/>
  <c r="N415" i="6"/>
  <c r="N423" i="6"/>
  <c r="AY2975" i="6"/>
  <c r="AU2975" i="6"/>
  <c r="AQ2975" i="6"/>
  <c r="AM2975" i="6"/>
  <c r="AI2975" i="6"/>
  <c r="AE2975" i="6"/>
  <c r="AE2946" i="6" s="1"/>
  <c r="AE2840" i="6"/>
  <c r="AX2975" i="6"/>
  <c r="AT2975" i="6"/>
  <c r="AP2975" i="6"/>
  <c r="AL2975" i="6"/>
  <c r="AH2975" i="6"/>
  <c r="AW2975" i="6"/>
  <c r="AO2975" i="6"/>
  <c r="AG2975" i="6"/>
  <c r="AV2975" i="6"/>
  <c r="AN2975" i="6"/>
  <c r="AF2975" i="6"/>
  <c r="AS2975" i="6"/>
  <c r="AK2975" i="6"/>
  <c r="AE2839" i="6"/>
  <c r="AR2975" i="6"/>
  <c r="AJ2975" i="6"/>
  <c r="AE2945" i="6"/>
  <c r="AE2998" i="6" s="1"/>
  <c r="J16" i="6"/>
  <c r="AA1323" i="6"/>
  <c r="AB17" i="5"/>
  <c r="AB24" i="5" s="1"/>
  <c r="AB42" i="5" s="1"/>
  <c r="AI70" i="13"/>
  <c r="AH48" i="13"/>
  <c r="AK39" i="20"/>
  <c r="AJ36" i="20"/>
  <c r="AH3171" i="6"/>
  <c r="AH38" i="11"/>
  <c r="AI38" i="11" s="1"/>
  <c r="O660" i="6"/>
  <c r="K38" i="23"/>
  <c r="K31" i="22"/>
  <c r="K31" i="21"/>
  <c r="K31" i="20"/>
  <c r="K31" i="19"/>
  <c r="K31" i="18"/>
  <c r="K36" i="17"/>
  <c r="K41" i="16"/>
  <c r="K33" i="15"/>
  <c r="K48" i="14"/>
  <c r="K40" i="13"/>
  <c r="J6" i="7"/>
  <c r="Q46" i="5"/>
  <c r="Q44" i="5"/>
  <c r="AQ5" i="9"/>
  <c r="AH2450" i="6"/>
  <c r="AH2449" i="6"/>
  <c r="AI2448" i="6"/>
  <c r="AI16" i="5"/>
  <c r="AI654" i="6"/>
  <c r="AH652" i="6"/>
  <c r="AH656" i="6"/>
  <c r="AD43" i="8"/>
  <c r="AE643" i="6" s="1"/>
  <c r="AE645" i="6" s="1"/>
  <c r="AD42" i="8"/>
  <c r="AE644" i="6" s="1"/>
  <c r="AD41" i="8"/>
  <c r="AE642" i="6" s="1"/>
  <c r="AE641" i="6"/>
  <c r="AF33" i="5" s="1"/>
  <c r="AF421" i="6"/>
  <c r="AF417" i="6"/>
  <c r="AG412" i="6"/>
  <c r="AG5" i="5"/>
  <c r="AF418" i="6"/>
  <c r="AF420" i="6"/>
  <c r="AF415" i="6"/>
  <c r="AG4" i="5"/>
  <c r="BB332" i="6"/>
  <c r="AX332" i="6"/>
  <c r="AT332" i="6"/>
  <c r="AP332" i="6"/>
  <c r="AL332" i="6"/>
  <c r="AH332" i="6"/>
  <c r="BC280" i="6"/>
  <c r="AY280" i="6"/>
  <c r="AU280" i="6"/>
  <c r="AQ280" i="6"/>
  <c r="AM280" i="6"/>
  <c r="AI280" i="6"/>
  <c r="AE280" i="6"/>
  <c r="AE251" i="6" s="1" a="1"/>
  <c r="AE251" i="6" s="1"/>
  <c r="AE409" i="6" s="1"/>
  <c r="AU332" i="6"/>
  <c r="AI332" i="6"/>
  <c r="AN280" i="6"/>
  <c r="BA332" i="6"/>
  <c r="AW332" i="6"/>
  <c r="AS332" i="6"/>
  <c r="AO332" i="6"/>
  <c r="AK332" i="6"/>
  <c r="AG332" i="6"/>
  <c r="BB280" i="6"/>
  <c r="AX280" i="6"/>
  <c r="AT280" i="6"/>
  <c r="AP280" i="6"/>
  <c r="AL280" i="6"/>
  <c r="AH280" i="6"/>
  <c r="BC332" i="6"/>
  <c r="AQ332" i="6"/>
  <c r="AZ280" i="6"/>
  <c r="AR280" i="6"/>
  <c r="AF280" i="6"/>
  <c r="AZ332" i="6"/>
  <c r="AV332" i="6"/>
  <c r="AR332" i="6"/>
  <c r="AN332" i="6"/>
  <c r="AJ332" i="6"/>
  <c r="AF332" i="6"/>
  <c r="BA280" i="6"/>
  <c r="AW280" i="6"/>
  <c r="AS280" i="6"/>
  <c r="AO280" i="6"/>
  <c r="AK280" i="6"/>
  <c r="AG280" i="6"/>
  <c r="AY332" i="6"/>
  <c r="AM332" i="6"/>
  <c r="AE332" i="6"/>
  <c r="AE303" i="6" s="1" a="1"/>
  <c r="AE303" i="6" s="1"/>
  <c r="AV280" i="6"/>
  <c r="AJ280" i="6"/>
  <c r="AI126" i="14"/>
  <c r="AE71" i="9"/>
  <c r="AE72" i="9"/>
  <c r="AF2838" i="6"/>
  <c r="AA44" i="5"/>
  <c r="AA46" i="5"/>
  <c r="AF413" i="6"/>
  <c r="AE635" i="6"/>
  <c r="AF23" i="5" s="1"/>
  <c r="AE419" i="6"/>
  <c r="AD22" i="9"/>
  <c r="AF15" i="5"/>
  <c r="AB21" i="17"/>
  <c r="AB1106" i="6"/>
  <c r="AC19" i="5" s="1"/>
  <c r="P713" i="6"/>
  <c r="P712" i="6"/>
  <c r="Q22" i="5"/>
  <c r="Q25" i="5" s="1"/>
  <c r="Q43" i="5" s="1"/>
  <c r="M1323" i="6"/>
  <c r="J2" i="21"/>
  <c r="AA2183" i="6"/>
  <c r="W2183" i="6"/>
  <c r="S2183" i="6"/>
  <c r="O2183" i="6"/>
  <c r="Z2131" i="6"/>
  <c r="V2131" i="6"/>
  <c r="R2131" i="6"/>
  <c r="AC2079" i="6"/>
  <c r="AC2066" i="6" s="1" a="1"/>
  <c r="AC2066" i="6" s="1"/>
  <c r="Y2079" i="6"/>
  <c r="U2079" i="6"/>
  <c r="Q2079" i="6"/>
  <c r="AD2183" i="6"/>
  <c r="AD2170" i="6" s="1"/>
  <c r="Z2183" i="6"/>
  <c r="V2183" i="6"/>
  <c r="R2183" i="6"/>
  <c r="AC2131" i="6"/>
  <c r="AC2118" i="6" s="1" a="1"/>
  <c r="AC2118" i="6" s="1"/>
  <c r="Y2131" i="6"/>
  <c r="U2131" i="6"/>
  <c r="Q2131" i="6"/>
  <c r="AB2079" i="6"/>
  <c r="X2079" i="6"/>
  <c r="T2079" i="6"/>
  <c r="P2079" i="6"/>
  <c r="L2024" i="6"/>
  <c r="AC2183" i="6"/>
  <c r="Y2183" i="6"/>
  <c r="U2183" i="6"/>
  <c r="Q2183" i="6"/>
  <c r="AB2131" i="6"/>
  <c r="X2131" i="6"/>
  <c r="T2131" i="6"/>
  <c r="P2131" i="6"/>
  <c r="AA2079" i="6"/>
  <c r="W2079" i="6"/>
  <c r="S2079" i="6"/>
  <c r="O2079" i="6"/>
  <c r="AB2183" i="6"/>
  <c r="W2131" i="6"/>
  <c r="V2079" i="6"/>
  <c r="X2183" i="6"/>
  <c r="S2131" i="6"/>
  <c r="R2079" i="6"/>
  <c r="T2183" i="6"/>
  <c r="O2131" i="6"/>
  <c r="L2025" i="6"/>
  <c r="P2183" i="6"/>
  <c r="AA2131" i="6"/>
  <c r="Z2079" i="6"/>
  <c r="L2023" i="6"/>
  <c r="AI878" i="6"/>
  <c r="AI7" i="5"/>
  <c r="AH883" i="6"/>
  <c r="AH880" i="6"/>
  <c r="AH62" i="12"/>
  <c r="AI247" i="6" s="1"/>
  <c r="O17" i="5"/>
  <c r="O24" i="5" s="1"/>
  <c r="O42" i="5" s="1"/>
  <c r="AV1526" i="6"/>
  <c r="AR1526" i="6"/>
  <c r="AN1526" i="6"/>
  <c r="AJ1526" i="6"/>
  <c r="AS1474" i="6"/>
  <c r="AO1474" i="6"/>
  <c r="AK1474" i="6"/>
  <c r="AG1474" i="6"/>
  <c r="AG1443" i="6" s="1" a="1"/>
  <c r="AG1443" i="6" s="1"/>
  <c r="AR1422" i="6"/>
  <c r="AN1422" i="6"/>
  <c r="AJ1422" i="6"/>
  <c r="AD1368" i="6"/>
  <c r="AD1337" i="6" s="1"/>
  <c r="AH1336" i="6"/>
  <c r="AU1526" i="6"/>
  <c r="AQ1526" i="6"/>
  <c r="AM1526" i="6"/>
  <c r="AI1526" i="6"/>
  <c r="AR1474" i="6"/>
  <c r="AN1474" i="6"/>
  <c r="AJ1474" i="6"/>
  <c r="AU1422" i="6"/>
  <c r="AQ1422" i="6"/>
  <c r="AM1422" i="6"/>
  <c r="AI1422" i="6"/>
  <c r="AT1526" i="6"/>
  <c r="AP1526" i="6"/>
  <c r="AL1526" i="6"/>
  <c r="AH1526" i="6"/>
  <c r="AU1474" i="6"/>
  <c r="AQ1474" i="6"/>
  <c r="AM1474" i="6"/>
  <c r="AI1474" i="6"/>
  <c r="AT1422" i="6"/>
  <c r="AP1422" i="6"/>
  <c r="AL1422" i="6"/>
  <c r="AH1422" i="6"/>
  <c r="AF1368" i="6"/>
  <c r="AS1526" i="6"/>
  <c r="AO1526" i="6"/>
  <c r="AK1526" i="6"/>
  <c r="AG1526" i="6"/>
  <c r="AG1495" i="6" s="1"/>
  <c r="AT1474" i="6"/>
  <c r="AP1474" i="6"/>
  <c r="AL1474" i="6"/>
  <c r="AH1474" i="6"/>
  <c r="AS1422" i="6"/>
  <c r="AO1422" i="6"/>
  <c r="AK1422" i="6"/>
  <c r="AG1422" i="6"/>
  <c r="AG1391" i="6" s="1" a="1"/>
  <c r="AG1391" i="6" s="1"/>
  <c r="AE1368" i="6"/>
  <c r="AK126" i="14"/>
  <c r="AL128" i="14"/>
  <c r="AF1720" i="6"/>
  <c r="AF20" i="5"/>
  <c r="AS2421" i="6"/>
  <c r="AO2421" i="6"/>
  <c r="AK2421" i="6"/>
  <c r="AG2421" i="6"/>
  <c r="BD2369" i="6"/>
  <c r="AZ2369" i="6"/>
  <c r="AV2369" i="6"/>
  <c r="AR2369" i="6"/>
  <c r="AN2369" i="6"/>
  <c r="AJ2369" i="6"/>
  <c r="AF2369" i="6"/>
  <c r="BB2317" i="6"/>
  <c r="AX2317" i="6"/>
  <c r="AT2317" i="6"/>
  <c r="AP2317" i="6"/>
  <c r="AL2317" i="6"/>
  <c r="AH2317" i="6"/>
  <c r="AD2263" i="6"/>
  <c r="AR2421" i="6"/>
  <c r="AN2421" i="6"/>
  <c r="AJ2421" i="6"/>
  <c r="AF2421" i="6"/>
  <c r="AF2391" i="6" s="1"/>
  <c r="BC2369" i="6"/>
  <c r="AY2369" i="6"/>
  <c r="AU2369" i="6"/>
  <c r="AQ2369" i="6"/>
  <c r="AM2369" i="6"/>
  <c r="AI2369" i="6"/>
  <c r="BA2317" i="6"/>
  <c r="AW2317" i="6"/>
  <c r="AS2317" i="6"/>
  <c r="AO2317" i="6"/>
  <c r="AK2317" i="6"/>
  <c r="AG2317" i="6"/>
  <c r="AC2263" i="6"/>
  <c r="AC2233" i="6" s="1"/>
  <c r="AU2421" i="6"/>
  <c r="AQ2421" i="6"/>
  <c r="AM2421" i="6"/>
  <c r="AI2421" i="6"/>
  <c r="BB2369" i="6"/>
  <c r="AX2369" i="6"/>
  <c r="AT2369" i="6"/>
  <c r="AP2369" i="6"/>
  <c r="AL2369" i="6"/>
  <c r="AH2369" i="6"/>
  <c r="BD2317" i="6"/>
  <c r="AZ2317" i="6"/>
  <c r="AV2317" i="6"/>
  <c r="AR2317" i="6"/>
  <c r="AN2317" i="6"/>
  <c r="AJ2317" i="6"/>
  <c r="AF2317" i="6"/>
  <c r="AT2421" i="6"/>
  <c r="AP2421" i="6"/>
  <c r="AL2421" i="6"/>
  <c r="AH2421" i="6"/>
  <c r="BA2369" i="6"/>
  <c r="AW2369" i="6"/>
  <c r="AS2369" i="6"/>
  <c r="AO2369" i="6"/>
  <c r="AK2369" i="6"/>
  <c r="AG2369" i="6"/>
  <c r="BC2317" i="6"/>
  <c r="AY2317" i="6"/>
  <c r="AU2317" i="6"/>
  <c r="AQ2317" i="6"/>
  <c r="AM2317" i="6"/>
  <c r="AI2317" i="6"/>
  <c r="AE2263" i="6"/>
  <c r="AG2232" i="6"/>
  <c r="N1165" i="6"/>
  <c r="N1322" i="6" s="1"/>
  <c r="N1164" i="6"/>
  <c r="AN6" i="9"/>
  <c r="AO6" i="9" s="1"/>
  <c r="L2233" i="6"/>
  <c r="AF26" i="5"/>
  <c r="O475" i="6"/>
  <c r="O476" i="6"/>
  <c r="P22" i="5"/>
  <c r="P25" i="5" s="1"/>
  <c r="P43" i="5" s="1"/>
  <c r="AU1975" i="6"/>
  <c r="AQ1975" i="6"/>
  <c r="AM1975" i="6"/>
  <c r="AI1975" i="6"/>
  <c r="AQ1923" i="6"/>
  <c r="AM1923" i="6"/>
  <c r="AI1923" i="6"/>
  <c r="AT1871" i="6"/>
  <c r="AP1871" i="6"/>
  <c r="AL1871" i="6"/>
  <c r="AH1871" i="6"/>
  <c r="AT1975" i="6"/>
  <c r="AP1975" i="6"/>
  <c r="AL1975" i="6"/>
  <c r="AH1975" i="6"/>
  <c r="AT1923" i="6"/>
  <c r="AP1923" i="6"/>
  <c r="AL1923" i="6"/>
  <c r="AH1923" i="6"/>
  <c r="AS1871" i="6"/>
  <c r="AO1871" i="6"/>
  <c r="AK1871" i="6"/>
  <c r="AG1871" i="6"/>
  <c r="AE1817" i="6"/>
  <c r="AG1786" i="6"/>
  <c r="AS1975" i="6"/>
  <c r="AO1975" i="6"/>
  <c r="AK1975" i="6"/>
  <c r="AG1975" i="6"/>
  <c r="AS1923" i="6"/>
  <c r="AO1923" i="6"/>
  <c r="AK1923" i="6"/>
  <c r="AG1923" i="6"/>
  <c r="AR1871" i="6"/>
  <c r="AN1871" i="6"/>
  <c r="AJ1871" i="6"/>
  <c r="AF1871" i="6"/>
  <c r="AF1841" i="6" s="1" a="1"/>
  <c r="AF1841" i="6" s="1"/>
  <c r="AJ1975" i="6"/>
  <c r="AF1923" i="6"/>
  <c r="AF1893" i="6" s="1" a="1"/>
  <c r="AF1893" i="6" s="1"/>
  <c r="AC1817" i="6"/>
  <c r="AC1787" i="6" s="1"/>
  <c r="AF1975" i="6"/>
  <c r="AR1923" i="6"/>
  <c r="AQ1871" i="6"/>
  <c r="AR1975" i="6"/>
  <c r="AN1923" i="6"/>
  <c r="AM1871" i="6"/>
  <c r="AN1975" i="6"/>
  <c r="AJ1923" i="6"/>
  <c r="AI1871" i="6"/>
  <c r="AD1817" i="6"/>
  <c r="N1787" i="6"/>
  <c r="AI1555" i="6"/>
  <c r="AH1559" i="6"/>
  <c r="AH1560" i="6"/>
  <c r="AI11" i="5"/>
  <c r="O1389" i="6"/>
  <c r="O1390" i="6"/>
  <c r="AG39" i="23"/>
  <c r="AH2451" i="6" s="1"/>
  <c r="AG32" i="22"/>
  <c r="AG32" i="21"/>
  <c r="AH2009" i="6" s="1"/>
  <c r="AG32" i="20"/>
  <c r="AG32" i="19"/>
  <c r="AG37" i="17"/>
  <c r="AG49" i="14"/>
  <c r="AG32" i="18"/>
  <c r="AH1334" i="6" s="1"/>
  <c r="AG42" i="16"/>
  <c r="AH882" i="6" s="1"/>
  <c r="AG34" i="15"/>
  <c r="AH657" i="6" s="1"/>
  <c r="AG41" i="13"/>
  <c r="AH7" i="7"/>
  <c r="AJ3171" i="6" l="1"/>
  <c r="AJ38" i="11"/>
  <c r="AA2832" i="6"/>
  <c r="AA2833" i="6"/>
  <c r="AC2285" i="6"/>
  <c r="AC2286" i="6"/>
  <c r="AG1548" i="6"/>
  <c r="AE712" i="6"/>
  <c r="AE713" i="6"/>
  <c r="AE870" i="6" s="1"/>
  <c r="AC2832" i="6"/>
  <c r="AC2833" i="6"/>
  <c r="AD2065" i="6"/>
  <c r="AD2064" i="6"/>
  <c r="AD3000" i="6"/>
  <c r="AD2999" i="6"/>
  <c r="AC1840" i="6"/>
  <c r="AC1839" i="6"/>
  <c r="AD1389" i="6"/>
  <c r="AD1390" i="6"/>
  <c r="AG2223" i="6"/>
  <c r="AE3167" i="6"/>
  <c r="AE3166" i="6"/>
  <c r="AG1773" i="6"/>
  <c r="AD1615" i="6"/>
  <c r="AD1614" i="6"/>
  <c r="O44" i="5"/>
  <c r="O46" i="5"/>
  <c r="AP31" i="14"/>
  <c r="AO33" i="14"/>
  <c r="Z77" i="6"/>
  <c r="Z78" i="6"/>
  <c r="AA22" i="5"/>
  <c r="AA25" i="5" s="1"/>
  <c r="AA43" i="5" s="1"/>
  <c r="M2064" i="6"/>
  <c r="M2065" i="6"/>
  <c r="AG2835" i="6"/>
  <c r="AG92" i="9"/>
  <c r="AG66" i="9"/>
  <c r="AG64" i="9"/>
  <c r="AG61" i="9"/>
  <c r="AH3005" i="6" s="1"/>
  <c r="AG58" i="9"/>
  <c r="AG16" i="9"/>
  <c r="AG8" i="9"/>
  <c r="AH2670" i="6" s="1"/>
  <c r="AG3" i="9"/>
  <c r="AG69" i="9"/>
  <c r="AH93" i="9"/>
  <c r="AG74" i="9"/>
  <c r="AG68" i="9"/>
  <c r="AH2837" i="6" s="1"/>
  <c r="AG65" i="9"/>
  <c r="AG63" i="9"/>
  <c r="AG57" i="9"/>
  <c r="AH3002" i="6" s="1"/>
  <c r="AG4" i="9"/>
  <c r="J17" i="20"/>
  <c r="L1782" i="6"/>
  <c r="I3" i="16"/>
  <c r="Q1053" i="6"/>
  <c r="Q1043" i="6" s="1"/>
  <c r="M1053" i="6"/>
  <c r="Y1001" i="6"/>
  <c r="U1001" i="6"/>
  <c r="Q1001" i="6"/>
  <c r="M1001" i="6"/>
  <c r="Z949" i="6"/>
  <c r="Z939" i="6" s="1" a="1"/>
  <c r="Z939" i="6" s="1"/>
  <c r="V949" i="6"/>
  <c r="R949" i="6"/>
  <c r="N949" i="6"/>
  <c r="P1053" i="6"/>
  <c r="L1053" i="6"/>
  <c r="X1001" i="6"/>
  <c r="T1001" i="6"/>
  <c r="P1001" i="6"/>
  <c r="L1001" i="6"/>
  <c r="O1053" i="6"/>
  <c r="W1001" i="6"/>
  <c r="S1001" i="6"/>
  <c r="O1001" i="6"/>
  <c r="X949" i="6"/>
  <c r="T949" i="6"/>
  <c r="P949" i="6"/>
  <c r="N1053" i="6"/>
  <c r="Z1001" i="6"/>
  <c r="Z991" i="6" s="1" a="1"/>
  <c r="Z991" i="6" s="1"/>
  <c r="U949" i="6"/>
  <c r="M949" i="6"/>
  <c r="K895" i="6"/>
  <c r="K885" i="6" s="1"/>
  <c r="V1001" i="6"/>
  <c r="S949" i="6"/>
  <c r="L949" i="6"/>
  <c r="R1001" i="6"/>
  <c r="Y949" i="6"/>
  <c r="Q949" i="6"/>
  <c r="N1001" i="6"/>
  <c r="W949" i="6"/>
  <c r="O949" i="6"/>
  <c r="AH13" i="6"/>
  <c r="AI3" i="5"/>
  <c r="AH14" i="6"/>
  <c r="AI8" i="6"/>
  <c r="AI66" i="14"/>
  <c r="AH57" i="14"/>
  <c r="AH56" i="14" s="1"/>
  <c r="K2286" i="6"/>
  <c r="K2285" i="6"/>
  <c r="N1389" i="6"/>
  <c r="N1390" i="6"/>
  <c r="AR22" i="13"/>
  <c r="AS21" i="13"/>
  <c r="AD1773" i="6"/>
  <c r="AD1772" i="6"/>
  <c r="I2" i="19"/>
  <c r="AA1732" i="6"/>
  <c r="W1732" i="6"/>
  <c r="S1732" i="6"/>
  <c r="O1732" i="6"/>
  <c r="Y1680" i="6"/>
  <c r="U1680" i="6"/>
  <c r="Q1680" i="6"/>
  <c r="AB1628" i="6"/>
  <c r="AB1616" i="6" s="1" a="1"/>
  <c r="AB1616" i="6" s="1"/>
  <c r="X1628" i="6"/>
  <c r="T1628" i="6"/>
  <c r="P1628" i="6"/>
  <c r="AB1732" i="6"/>
  <c r="V1732" i="6"/>
  <c r="Q1732" i="6"/>
  <c r="AA1680" i="6"/>
  <c r="V1680" i="6"/>
  <c r="P1680" i="6"/>
  <c r="Y1628" i="6"/>
  <c r="S1628" i="6"/>
  <c r="N1628" i="6"/>
  <c r="K1573" i="6"/>
  <c r="Z1732" i="6"/>
  <c r="U1732" i="6"/>
  <c r="P1732" i="6"/>
  <c r="Z1680" i="6"/>
  <c r="T1680" i="6"/>
  <c r="O1680" i="6"/>
  <c r="W1628" i="6"/>
  <c r="R1628" i="6"/>
  <c r="Y1732" i="6"/>
  <c r="T1732" i="6"/>
  <c r="N1732" i="6"/>
  <c r="X1680" i="6"/>
  <c r="S1680" i="6"/>
  <c r="N1680" i="6"/>
  <c r="AA1628" i="6"/>
  <c r="V1628" i="6"/>
  <c r="Q1628" i="6"/>
  <c r="K1574" i="6"/>
  <c r="K1572" i="6"/>
  <c r="AC1732" i="6"/>
  <c r="AC1720" i="6" s="1"/>
  <c r="X1732" i="6"/>
  <c r="R1732" i="6"/>
  <c r="AB1680" i="6"/>
  <c r="AB1668" i="6" s="1" a="1"/>
  <c r="AB1668" i="6" s="1"/>
  <c r="W1680" i="6"/>
  <c r="R1680" i="6"/>
  <c r="Z1628" i="6"/>
  <c r="U1628" i="6"/>
  <c r="O1628" i="6"/>
  <c r="AW1527" i="6"/>
  <c r="AS1527" i="6"/>
  <c r="AO1527" i="6"/>
  <c r="AK1527" i="6"/>
  <c r="AU1475" i="6"/>
  <c r="AQ1475" i="6"/>
  <c r="AM1475" i="6"/>
  <c r="AI1475" i="6"/>
  <c r="AT1423" i="6"/>
  <c r="AP1423" i="6"/>
  <c r="AL1423" i="6"/>
  <c r="AH1423" i="6"/>
  <c r="AF1369" i="6"/>
  <c r="AV1527" i="6"/>
  <c r="AR1527" i="6"/>
  <c r="AN1527" i="6"/>
  <c r="AJ1527" i="6"/>
  <c r="AT1475" i="6"/>
  <c r="AP1475" i="6"/>
  <c r="AL1475" i="6"/>
  <c r="AH1475" i="6"/>
  <c r="AS1423" i="6"/>
  <c r="AO1423" i="6"/>
  <c r="AK1423" i="6"/>
  <c r="AE1369" i="6"/>
  <c r="AE1337" i="6" s="1"/>
  <c r="AU1527" i="6"/>
  <c r="AQ1527" i="6"/>
  <c r="AM1527" i="6"/>
  <c r="AI1527" i="6"/>
  <c r="AS1475" i="6"/>
  <c r="AO1475" i="6"/>
  <c r="AK1475" i="6"/>
  <c r="AV1423" i="6"/>
  <c r="AR1423" i="6"/>
  <c r="AN1423" i="6"/>
  <c r="AJ1423" i="6"/>
  <c r="AT1527" i="6"/>
  <c r="AP1527" i="6"/>
  <c r="AL1527" i="6"/>
  <c r="AH1527" i="6"/>
  <c r="AH1495" i="6" s="1"/>
  <c r="AV1475" i="6"/>
  <c r="AR1475" i="6"/>
  <c r="AN1475" i="6"/>
  <c r="AJ1475" i="6"/>
  <c r="AU1423" i="6"/>
  <c r="AQ1423" i="6"/>
  <c r="AM1423" i="6"/>
  <c r="AI1423" i="6"/>
  <c r="AG1369" i="6"/>
  <c r="AI1336" i="6"/>
  <c r="J17" i="19"/>
  <c r="L1557" i="6"/>
  <c r="AZ387" i="6"/>
  <c r="AV387" i="6"/>
  <c r="AR387" i="6"/>
  <c r="AN387" i="6"/>
  <c r="AJ387" i="6"/>
  <c r="AY387" i="6"/>
  <c r="AU387" i="6"/>
  <c r="AQ387" i="6"/>
  <c r="AM387" i="6"/>
  <c r="AI387" i="6"/>
  <c r="AW387" i="6"/>
  <c r="AO387" i="6"/>
  <c r="AG387" i="6"/>
  <c r="AG356" i="6" s="1"/>
  <c r="AX387" i="6"/>
  <c r="AT387" i="6"/>
  <c r="AP387" i="6"/>
  <c r="AL387" i="6"/>
  <c r="AH387" i="6"/>
  <c r="AG249" i="6"/>
  <c r="AH29" i="5"/>
  <c r="BA387" i="6"/>
  <c r="AS387" i="6"/>
  <c r="AK387" i="6"/>
  <c r="AG250" i="6"/>
  <c r="AG355" i="6"/>
  <c r="AC24" i="17"/>
  <c r="AC1107" i="6"/>
  <c r="AD18" i="5" s="1"/>
  <c r="AQ30" i="14"/>
  <c r="AP32" i="14"/>
  <c r="J24" i="17"/>
  <c r="L1107" i="6"/>
  <c r="M18" i="5" s="1"/>
  <c r="AB475" i="6"/>
  <c r="AB476" i="6"/>
  <c r="AD871" i="6"/>
  <c r="AD870" i="6"/>
  <c r="AK36" i="21"/>
  <c r="AL38" i="21"/>
  <c r="AV1976" i="6"/>
  <c r="AR1976" i="6"/>
  <c r="AN1976" i="6"/>
  <c r="AJ1976" i="6"/>
  <c r="AS1924" i="6"/>
  <c r="AO1924" i="6"/>
  <c r="AK1924" i="6"/>
  <c r="AG1924" i="6"/>
  <c r="AG1893" i="6" s="1" a="1"/>
  <c r="AG1893" i="6" s="1"/>
  <c r="AR1872" i="6"/>
  <c r="AN1872" i="6"/>
  <c r="AJ1872" i="6"/>
  <c r="AU1976" i="6"/>
  <c r="AQ1976" i="6"/>
  <c r="AM1976" i="6"/>
  <c r="AI1976" i="6"/>
  <c r="AR1924" i="6"/>
  <c r="AN1924" i="6"/>
  <c r="AJ1924" i="6"/>
  <c r="AU1872" i="6"/>
  <c r="AQ1872" i="6"/>
  <c r="AM1872" i="6"/>
  <c r="AI1872" i="6"/>
  <c r="AT1976" i="6"/>
  <c r="AP1976" i="6"/>
  <c r="AL1976" i="6"/>
  <c r="AH1976" i="6"/>
  <c r="AU1924" i="6"/>
  <c r="AQ1924" i="6"/>
  <c r="AM1924" i="6"/>
  <c r="AI1924" i="6"/>
  <c r="AT1872" i="6"/>
  <c r="AP1872" i="6"/>
  <c r="AL1872" i="6"/>
  <c r="AH1872" i="6"/>
  <c r="AK1976" i="6"/>
  <c r="AH1924" i="6"/>
  <c r="AG1872" i="6"/>
  <c r="AG1841" i="6" s="1" a="1"/>
  <c r="AG1841" i="6" s="1"/>
  <c r="AF1818" i="6"/>
  <c r="AG1976" i="6"/>
  <c r="AG1945" i="6" s="1"/>
  <c r="AT1924" i="6"/>
  <c r="AS1872" i="6"/>
  <c r="AE1818" i="6"/>
  <c r="AS1976" i="6"/>
  <c r="AP1924" i="6"/>
  <c r="AO1872" i="6"/>
  <c r="AD1818" i="6"/>
  <c r="AD1787" i="6" s="1"/>
  <c r="AO1976" i="6"/>
  <c r="AL1924" i="6"/>
  <c r="AK1872" i="6"/>
  <c r="AH1786" i="6"/>
  <c r="U1322" i="6"/>
  <c r="U1323" i="6"/>
  <c r="M1164" i="6"/>
  <c r="M1165" i="6"/>
  <c r="M1322" i="6" s="1"/>
  <c r="V1323" i="6"/>
  <c r="V1322" i="6"/>
  <c r="AF937" i="6"/>
  <c r="AF938" i="6"/>
  <c r="AF1095" i="6" s="1"/>
  <c r="I2" i="21"/>
  <c r="Z2182" i="6"/>
  <c r="V2182" i="6"/>
  <c r="R2182" i="6"/>
  <c r="N2182" i="6"/>
  <c r="AB2130" i="6"/>
  <c r="AB2118" i="6" s="1" a="1"/>
  <c r="AB2118" i="6" s="1"/>
  <c r="X2130" i="6"/>
  <c r="T2130" i="6"/>
  <c r="P2130" i="6"/>
  <c r="AA2078" i="6"/>
  <c r="W2078" i="6"/>
  <c r="S2078" i="6"/>
  <c r="O2078" i="6"/>
  <c r="K2023" i="6"/>
  <c r="AC2182" i="6"/>
  <c r="AC2170" i="6" s="1"/>
  <c r="Y2182" i="6"/>
  <c r="U2182" i="6"/>
  <c r="Q2182" i="6"/>
  <c r="AA2130" i="6"/>
  <c r="W2130" i="6"/>
  <c r="S2130" i="6"/>
  <c r="O2130" i="6"/>
  <c r="Z2078" i="6"/>
  <c r="V2078" i="6"/>
  <c r="R2078" i="6"/>
  <c r="N2078" i="6"/>
  <c r="AB2182" i="6"/>
  <c r="X2182" i="6"/>
  <c r="T2182" i="6"/>
  <c r="P2182" i="6"/>
  <c r="Z2130" i="6"/>
  <c r="V2130" i="6"/>
  <c r="R2130" i="6"/>
  <c r="N2130" i="6"/>
  <c r="Y2078" i="6"/>
  <c r="U2078" i="6"/>
  <c r="Q2078" i="6"/>
  <c r="K2024" i="6"/>
  <c r="K2022" i="6"/>
  <c r="AA2182" i="6"/>
  <c r="U2130" i="6"/>
  <c r="T2078" i="6"/>
  <c r="W2182" i="6"/>
  <c r="Q2130" i="6"/>
  <c r="P2078" i="6"/>
  <c r="S2182" i="6"/>
  <c r="AB2078" i="6"/>
  <c r="AB2066" i="6" s="1" a="1"/>
  <c r="AB2066" i="6" s="1"/>
  <c r="O2182" i="6"/>
  <c r="Y2130" i="6"/>
  <c r="X2078" i="6"/>
  <c r="AG413" i="6"/>
  <c r="AF635" i="6"/>
  <c r="AG23" i="5" s="1"/>
  <c r="AF419" i="6"/>
  <c r="AE22" i="9"/>
  <c r="AG15" i="5"/>
  <c r="AR611" i="6"/>
  <c r="AN611" i="6"/>
  <c r="AJ611" i="6"/>
  <c r="AF611" i="6"/>
  <c r="AF581" i="6" s="1"/>
  <c r="AR559" i="6"/>
  <c r="AN559" i="6"/>
  <c r="AJ559" i="6"/>
  <c r="AF559" i="6"/>
  <c r="AF529" i="6" s="1" a="1"/>
  <c r="AF529" i="6" s="1"/>
  <c r="AR507" i="6"/>
  <c r="AN507" i="6"/>
  <c r="AJ507" i="6"/>
  <c r="AF507" i="6"/>
  <c r="AF477" i="6" s="1" a="1"/>
  <c r="AF477" i="6" s="1"/>
  <c r="AU611" i="6"/>
  <c r="AQ611" i="6"/>
  <c r="AM611" i="6"/>
  <c r="AI611" i="6"/>
  <c r="AQ559" i="6"/>
  <c r="AM559" i="6"/>
  <c r="AI559" i="6"/>
  <c r="AQ507" i="6"/>
  <c r="AM507" i="6"/>
  <c r="AI507" i="6"/>
  <c r="AE453" i="6"/>
  <c r="AG422" i="6"/>
  <c r="AS611" i="6"/>
  <c r="AK611" i="6"/>
  <c r="AS559" i="6"/>
  <c r="AK559" i="6"/>
  <c r="AO507" i="6"/>
  <c r="AG507" i="6"/>
  <c r="AC453" i="6"/>
  <c r="AC423" i="6" s="1"/>
  <c r="AT611" i="6"/>
  <c r="AP611" i="6"/>
  <c r="AL611" i="6"/>
  <c r="AH611" i="6"/>
  <c r="AT559" i="6"/>
  <c r="AP559" i="6"/>
  <c r="AL559" i="6"/>
  <c r="AH559" i="6"/>
  <c r="AT507" i="6"/>
  <c r="AP507" i="6"/>
  <c r="AL507" i="6"/>
  <c r="AH507" i="6"/>
  <c r="AD453" i="6"/>
  <c r="AO611" i="6"/>
  <c r="AG611" i="6"/>
  <c r="AO559" i="6"/>
  <c r="AG559" i="6"/>
  <c r="AS507" i="6"/>
  <c r="AK507" i="6"/>
  <c r="AI1781" i="6"/>
  <c r="AH1783" i="6"/>
  <c r="AH1779" i="6"/>
  <c r="P45" i="5"/>
  <c r="P47" i="5"/>
  <c r="AH1443" i="6" a="1"/>
  <c r="AH1443" i="6" s="1"/>
  <c r="AH2665" i="6"/>
  <c r="AJ70" i="13"/>
  <c r="AI48" i="13"/>
  <c r="K17" i="18"/>
  <c r="M1332" i="6"/>
  <c r="M1787" i="6"/>
  <c r="AE1945" i="6"/>
  <c r="AF1945" i="6"/>
  <c r="AJ61" i="12"/>
  <c r="M423" i="6"/>
  <c r="AT2422" i="6"/>
  <c r="AP2422" i="6"/>
  <c r="AL2422" i="6"/>
  <c r="AH2422" i="6"/>
  <c r="BD2370" i="6"/>
  <c r="AZ2370" i="6"/>
  <c r="AV2370" i="6"/>
  <c r="AR2370" i="6"/>
  <c r="AN2370" i="6"/>
  <c r="AJ2370" i="6"/>
  <c r="BB2318" i="6"/>
  <c r="AX2318" i="6"/>
  <c r="AT2318" i="6"/>
  <c r="AP2318" i="6"/>
  <c r="AL2318" i="6"/>
  <c r="AH2318" i="6"/>
  <c r="AF2264" i="6"/>
  <c r="AS2422" i="6"/>
  <c r="AO2422" i="6"/>
  <c r="AK2422" i="6"/>
  <c r="AG2422" i="6"/>
  <c r="AG2391" i="6" s="1"/>
  <c r="BC2370" i="6"/>
  <c r="AY2370" i="6"/>
  <c r="AU2370" i="6"/>
  <c r="AQ2370" i="6"/>
  <c r="AM2370" i="6"/>
  <c r="AI2370" i="6"/>
  <c r="BE2318" i="6"/>
  <c r="BA2318" i="6"/>
  <c r="AW2318" i="6"/>
  <c r="AS2318" i="6"/>
  <c r="AO2318" i="6"/>
  <c r="AK2318" i="6"/>
  <c r="AG2318" i="6"/>
  <c r="AE2264" i="6"/>
  <c r="AV2422" i="6"/>
  <c r="AR2422" i="6"/>
  <c r="AN2422" i="6"/>
  <c r="AJ2422" i="6"/>
  <c r="BB2370" i="6"/>
  <c r="AX2370" i="6"/>
  <c r="AT2370" i="6"/>
  <c r="AP2370" i="6"/>
  <c r="AL2370" i="6"/>
  <c r="AH2370" i="6"/>
  <c r="BD2318" i="6"/>
  <c r="AZ2318" i="6"/>
  <c r="AV2318" i="6"/>
  <c r="AR2318" i="6"/>
  <c r="AN2318" i="6"/>
  <c r="AJ2318" i="6"/>
  <c r="AD2264" i="6"/>
  <c r="AD2233" i="6" s="1"/>
  <c r="AH2232" i="6"/>
  <c r="AU2422" i="6"/>
  <c r="AQ2422" i="6"/>
  <c r="AM2422" i="6"/>
  <c r="AI2422" i="6"/>
  <c r="BE2370" i="6"/>
  <c r="BA2370" i="6"/>
  <c r="AW2370" i="6"/>
  <c r="AS2370" i="6"/>
  <c r="AO2370" i="6"/>
  <c r="AK2370" i="6"/>
  <c r="AG2370" i="6"/>
  <c r="BC2318" i="6"/>
  <c r="AY2318" i="6"/>
  <c r="AU2318" i="6"/>
  <c r="AQ2318" i="6"/>
  <c r="AM2318" i="6"/>
  <c r="AI2318" i="6"/>
  <c r="AJ56" i="17"/>
  <c r="AI44" i="17"/>
  <c r="BB333" i="6"/>
  <c r="AX333" i="6"/>
  <c r="AT333" i="6"/>
  <c r="AP333" i="6"/>
  <c r="AL333" i="6"/>
  <c r="AH333" i="6"/>
  <c r="BC281" i="6"/>
  <c r="AY281" i="6"/>
  <c r="AU281" i="6"/>
  <c r="AQ281" i="6"/>
  <c r="AM281" i="6"/>
  <c r="AI281" i="6"/>
  <c r="AY333" i="6"/>
  <c r="AI333" i="6"/>
  <c r="BD281" i="6"/>
  <c r="AR281" i="6"/>
  <c r="AF281" i="6"/>
  <c r="AF251" i="6" s="1" a="1"/>
  <c r="AF251" i="6" s="1"/>
  <c r="AF409" i="6" s="1"/>
  <c r="BA333" i="6"/>
  <c r="AW333" i="6"/>
  <c r="AS333" i="6"/>
  <c r="AO333" i="6"/>
  <c r="AK333" i="6"/>
  <c r="AG333" i="6"/>
  <c r="BB281" i="6"/>
  <c r="AX281" i="6"/>
  <c r="AT281" i="6"/>
  <c r="AP281" i="6"/>
  <c r="AL281" i="6"/>
  <c r="AH281" i="6"/>
  <c r="AU333" i="6"/>
  <c r="AQ333" i="6"/>
  <c r="AV281" i="6"/>
  <c r="AN281" i="6"/>
  <c r="BD333" i="6"/>
  <c r="AZ333" i="6"/>
  <c r="AV333" i="6"/>
  <c r="AR333" i="6"/>
  <c r="AN333" i="6"/>
  <c r="AJ333" i="6"/>
  <c r="AF333" i="6"/>
  <c r="AF303" i="6" s="1" a="1"/>
  <c r="AF303" i="6" s="1"/>
  <c r="BA281" i="6"/>
  <c r="AW281" i="6"/>
  <c r="AS281" i="6"/>
  <c r="AO281" i="6"/>
  <c r="AK281" i="6"/>
  <c r="AG281" i="6"/>
  <c r="BC333" i="6"/>
  <c r="AM333" i="6"/>
  <c r="AZ281" i="6"/>
  <c r="AJ281" i="6"/>
  <c r="AB2664" i="6"/>
  <c r="AB2665" i="6"/>
  <c r="AF71" i="9"/>
  <c r="AF72" i="9"/>
  <c r="AG2838" i="6"/>
  <c r="AE43" i="8"/>
  <c r="AF643" i="6" s="1"/>
  <c r="AF645" i="6" s="1"/>
  <c r="AE42" i="8"/>
  <c r="AF644" i="6" s="1"/>
  <c r="AE41" i="8"/>
  <c r="AF642" i="6" s="1"/>
  <c r="AF641" i="6"/>
  <c r="AG33" i="5" s="1"/>
  <c r="F2" i="13"/>
  <c r="AH195" i="6"/>
  <c r="AD195" i="6"/>
  <c r="Z195" i="6"/>
  <c r="V195" i="6"/>
  <c r="R195" i="6"/>
  <c r="N195" i="6"/>
  <c r="Y143" i="6"/>
  <c r="U143" i="6"/>
  <c r="Q143" i="6"/>
  <c r="AB91" i="6"/>
  <c r="AB79" i="6" s="1" a="1"/>
  <c r="AB79" i="6" s="1"/>
  <c r="X91" i="6"/>
  <c r="T91" i="6"/>
  <c r="P91" i="6"/>
  <c r="H27" i="6"/>
  <c r="H23" i="6"/>
  <c r="W195" i="6"/>
  <c r="Z143" i="6"/>
  <c r="U91" i="6"/>
  <c r="AG195" i="6"/>
  <c r="AC195" i="6"/>
  <c r="Y195" i="6"/>
  <c r="U195" i="6"/>
  <c r="Q195" i="6"/>
  <c r="AB143" i="6"/>
  <c r="AB131" i="6" s="1" a="1"/>
  <c r="AB131" i="6" s="1"/>
  <c r="X143" i="6"/>
  <c r="T143" i="6"/>
  <c r="P143" i="6"/>
  <c r="AA91" i="6"/>
  <c r="W91" i="6"/>
  <c r="S91" i="6"/>
  <c r="O91" i="6"/>
  <c r="H26" i="6"/>
  <c r="AA195" i="6"/>
  <c r="O195" i="6"/>
  <c r="R143" i="6"/>
  <c r="Y91" i="6"/>
  <c r="AF195" i="6"/>
  <c r="AB195" i="6"/>
  <c r="X195" i="6"/>
  <c r="T195" i="6"/>
  <c r="P195" i="6"/>
  <c r="AA143" i="6"/>
  <c r="W143" i="6"/>
  <c r="S143" i="6"/>
  <c r="O143" i="6"/>
  <c r="Z91" i="6"/>
  <c r="V91" i="6"/>
  <c r="R91" i="6"/>
  <c r="N91" i="6"/>
  <c r="H25" i="6"/>
  <c r="AE195" i="6"/>
  <c r="S195" i="6"/>
  <c r="V143" i="6"/>
  <c r="N143" i="6"/>
  <c r="Q91" i="6"/>
  <c r="H28" i="6"/>
  <c r="H24" i="6"/>
  <c r="AV2646" i="6"/>
  <c r="AR2646" i="6"/>
  <c r="AN2646" i="6"/>
  <c r="AJ2646" i="6"/>
  <c r="AJ2612" i="6" s="1"/>
  <c r="AU2594" i="6"/>
  <c r="AQ2594" i="6"/>
  <c r="AM2594" i="6"/>
  <c r="AX2542" i="6"/>
  <c r="AT2542" i="6"/>
  <c r="AP2542" i="6"/>
  <c r="AL2542" i="6"/>
  <c r="AU2646" i="6"/>
  <c r="AP2646" i="6"/>
  <c r="AK2646" i="6"/>
  <c r="AT2594" i="6"/>
  <c r="AO2594" i="6"/>
  <c r="AJ2594" i="6"/>
  <c r="AJ2560" i="6" s="1" a="1"/>
  <c r="AJ2560" i="6" s="1"/>
  <c r="AV2542" i="6"/>
  <c r="AQ2542" i="6"/>
  <c r="AK2542" i="6"/>
  <c r="AY2646" i="6"/>
  <c r="AT2646" i="6"/>
  <c r="AO2646" i="6"/>
  <c r="AX2594" i="6"/>
  <c r="AS2594" i="6"/>
  <c r="AN2594" i="6"/>
  <c r="AU2542" i="6"/>
  <c r="AO2542" i="6"/>
  <c r="AJ2542" i="6"/>
  <c r="AJ2508" i="6" s="1" a="1"/>
  <c r="AJ2508" i="6" s="1"/>
  <c r="AX2646" i="6"/>
  <c r="AS2646" i="6"/>
  <c r="AM2646" i="6"/>
  <c r="AW2594" i="6"/>
  <c r="AR2594" i="6"/>
  <c r="AL2594" i="6"/>
  <c r="AS2542" i="6"/>
  <c r="AN2542" i="6"/>
  <c r="AL2646" i="6"/>
  <c r="AK2594" i="6"/>
  <c r="AR2542" i="6"/>
  <c r="AM2542" i="6"/>
  <c r="AI2488" i="6"/>
  <c r="AI2454" i="6" s="1"/>
  <c r="AW2646" i="6"/>
  <c r="AV2594" i="6"/>
  <c r="AK2453" i="6"/>
  <c r="AQ2646" i="6"/>
  <c r="AP2594" i="6"/>
  <c r="AW2542" i="6"/>
  <c r="AK21" i="5"/>
  <c r="AH17" i="20"/>
  <c r="AH1782" i="6"/>
  <c r="AH38" i="23"/>
  <c r="AH31" i="22"/>
  <c r="AH31" i="21"/>
  <c r="AH31" i="19"/>
  <c r="AH31" i="20"/>
  <c r="AH31" i="18"/>
  <c r="AH41" i="16"/>
  <c r="AH33" i="15"/>
  <c r="AH36" i="17"/>
  <c r="AH48" i="14"/>
  <c r="AH40" i="13"/>
  <c r="AI6" i="7"/>
  <c r="AT2202" i="6"/>
  <c r="AP2202" i="6"/>
  <c r="AL2202" i="6"/>
  <c r="AH2202" i="6"/>
  <c r="AH2170" i="6" s="1"/>
  <c r="AV2150" i="6"/>
  <c r="AR2150" i="6"/>
  <c r="AN2150" i="6"/>
  <c r="AJ2150" i="6"/>
  <c r="AU2098" i="6"/>
  <c r="AQ2098" i="6"/>
  <c r="AM2098" i="6"/>
  <c r="AI2098" i="6"/>
  <c r="AG2044" i="6"/>
  <c r="AI2011" i="6"/>
  <c r="AW2202" i="6"/>
  <c r="AS2202" i="6"/>
  <c r="AO2202" i="6"/>
  <c r="AK2202" i="6"/>
  <c r="AU2150" i="6"/>
  <c r="AQ2150" i="6"/>
  <c r="AM2150" i="6"/>
  <c r="AI2150" i="6"/>
  <c r="AT2098" i="6"/>
  <c r="AP2098" i="6"/>
  <c r="AL2098" i="6"/>
  <c r="AH2098" i="6"/>
  <c r="AH2066" i="6" s="1" a="1"/>
  <c r="AH2066" i="6" s="1"/>
  <c r="AF2044" i="6"/>
  <c r="AV2202" i="6"/>
  <c r="AR2202" i="6"/>
  <c r="AN2202" i="6"/>
  <c r="AJ2202" i="6"/>
  <c r="AT2150" i="6"/>
  <c r="AP2150" i="6"/>
  <c r="AL2150" i="6"/>
  <c r="AH2150" i="6"/>
  <c r="AH2118" i="6" s="1" a="1"/>
  <c r="AH2118" i="6" s="1"/>
  <c r="AS2098" i="6"/>
  <c r="AO2098" i="6"/>
  <c r="AK2098" i="6"/>
  <c r="AE2044" i="6"/>
  <c r="AE2012" i="6" s="1"/>
  <c r="AU2202" i="6"/>
  <c r="AS2150" i="6"/>
  <c r="AR2098" i="6"/>
  <c r="AQ2202" i="6"/>
  <c r="AO2150" i="6"/>
  <c r="AN2098" i="6"/>
  <c r="AM2202" i="6"/>
  <c r="AK2150" i="6"/>
  <c r="AJ2098" i="6"/>
  <c r="AI2202" i="6"/>
  <c r="AV2098" i="6"/>
  <c r="AJ39" i="18"/>
  <c r="AI36" i="18"/>
  <c r="AH17" i="21"/>
  <c r="AH2007" i="6"/>
  <c r="AH1102" i="6"/>
  <c r="AI1104" i="6"/>
  <c r="AH1108" i="6"/>
  <c r="H2" i="22"/>
  <c r="Z2402" i="6"/>
  <c r="V2402" i="6"/>
  <c r="R2402" i="6"/>
  <c r="N2402" i="6"/>
  <c r="AJ2350" i="6"/>
  <c r="AF2350" i="6"/>
  <c r="AB2350" i="6"/>
  <c r="X2350" i="6"/>
  <c r="T2350" i="6"/>
  <c r="P2350" i="6"/>
  <c r="AH2298" i="6"/>
  <c r="AD2298" i="6"/>
  <c r="Z2298" i="6"/>
  <c r="V2298" i="6"/>
  <c r="R2298" i="6"/>
  <c r="N2298" i="6"/>
  <c r="J2243" i="6"/>
  <c r="Y2402" i="6"/>
  <c r="U2402" i="6"/>
  <c r="Q2402" i="6"/>
  <c r="M2402" i="6"/>
  <c r="AI2350" i="6"/>
  <c r="AE2350" i="6"/>
  <c r="AA2350" i="6"/>
  <c r="W2350" i="6"/>
  <c r="S2350" i="6"/>
  <c r="O2350" i="6"/>
  <c r="AK2298" i="6"/>
  <c r="AG2298" i="6"/>
  <c r="AC2298" i="6"/>
  <c r="Y2298" i="6"/>
  <c r="U2298" i="6"/>
  <c r="Q2298" i="6"/>
  <c r="M2298" i="6"/>
  <c r="AB2402" i="6"/>
  <c r="AB2391" i="6" s="1"/>
  <c r="X2402" i="6"/>
  <c r="T2402" i="6"/>
  <c r="P2402" i="6"/>
  <c r="AH2350" i="6"/>
  <c r="AD2350" i="6"/>
  <c r="Z2350" i="6"/>
  <c r="V2350" i="6"/>
  <c r="R2350" i="6"/>
  <c r="N2350" i="6"/>
  <c r="AJ2298" i="6"/>
  <c r="AF2298" i="6"/>
  <c r="AB2298" i="6"/>
  <c r="X2298" i="6"/>
  <c r="T2298" i="6"/>
  <c r="P2298" i="6"/>
  <c r="J2244" i="6"/>
  <c r="J2242" i="6"/>
  <c r="J2233" i="6" s="1"/>
  <c r="AA2402" i="6"/>
  <c r="W2402" i="6"/>
  <c r="S2402" i="6"/>
  <c r="O2402" i="6"/>
  <c r="AK2350" i="6"/>
  <c r="AG2350" i="6"/>
  <c r="AC2350" i="6"/>
  <c r="Y2350" i="6"/>
  <c r="U2350" i="6"/>
  <c r="Q2350" i="6"/>
  <c r="M2350" i="6"/>
  <c r="AI2298" i="6"/>
  <c r="AE2298" i="6"/>
  <c r="AA2298" i="6"/>
  <c r="W2298" i="6"/>
  <c r="S2298" i="6"/>
  <c r="O2298" i="6"/>
  <c r="AI2229" i="6"/>
  <c r="AJ2227" i="6"/>
  <c r="AI2225" i="6"/>
  <c r="AK36" i="19"/>
  <c r="AL38" i="19"/>
  <c r="AG2836" i="6"/>
  <c r="AF20" i="9"/>
  <c r="K25" i="16"/>
  <c r="M880" i="6"/>
  <c r="AH1109" i="6"/>
  <c r="AH1110" i="6"/>
  <c r="AI1103" i="6"/>
  <c r="AI9" i="5"/>
  <c r="AJ68" i="12"/>
  <c r="AH1784" i="6"/>
  <c r="AH1785" i="6"/>
  <c r="AI1780" i="6"/>
  <c r="AI12" i="5"/>
  <c r="S1322" i="6"/>
  <c r="S1323" i="6"/>
  <c r="T1322" i="6"/>
  <c r="T1323" i="6"/>
  <c r="Y1322" i="6"/>
  <c r="Y1323" i="6"/>
  <c r="Z1323" i="6"/>
  <c r="Z1322" i="6"/>
  <c r="AG871" i="6"/>
  <c r="AH17" i="18"/>
  <c r="AH1332" i="6"/>
  <c r="AI1560" i="6"/>
  <c r="AJ1555" i="6"/>
  <c r="AJ1554" i="6" s="1"/>
  <c r="AJ11" i="5"/>
  <c r="AI62" i="12"/>
  <c r="AD2222" i="6"/>
  <c r="AD2223" i="6"/>
  <c r="K23" i="14"/>
  <c r="M415" i="6"/>
  <c r="AH2231" i="6"/>
  <c r="AI2226" i="6"/>
  <c r="AH2230" i="6"/>
  <c r="AI13" i="5"/>
  <c r="J2" i="18"/>
  <c r="AD1508" i="6"/>
  <c r="AD1495" i="6" s="1"/>
  <c r="Z1508" i="6"/>
  <c r="V1508" i="6"/>
  <c r="R1508" i="6"/>
  <c r="AC1456" i="6"/>
  <c r="AC1443" i="6" s="1" a="1"/>
  <c r="AC1443" i="6" s="1"/>
  <c r="Y1456" i="6"/>
  <c r="U1456" i="6"/>
  <c r="Q1456" i="6"/>
  <c r="AB1404" i="6"/>
  <c r="X1404" i="6"/>
  <c r="T1404" i="6"/>
  <c r="P1404" i="6"/>
  <c r="L1349" i="6"/>
  <c r="AC1508" i="6"/>
  <c r="Y1508" i="6"/>
  <c r="U1508" i="6"/>
  <c r="Q1508" i="6"/>
  <c r="AB1456" i="6"/>
  <c r="X1456" i="6"/>
  <c r="T1456" i="6"/>
  <c r="P1456" i="6"/>
  <c r="AA1404" i="6"/>
  <c r="W1404" i="6"/>
  <c r="S1404" i="6"/>
  <c r="O1404" i="6"/>
  <c r="AB1508" i="6"/>
  <c r="X1508" i="6"/>
  <c r="T1508" i="6"/>
  <c r="P1508" i="6"/>
  <c r="AA1456" i="6"/>
  <c r="W1456" i="6"/>
  <c r="S1456" i="6"/>
  <c r="O1456" i="6"/>
  <c r="Z1404" i="6"/>
  <c r="V1404" i="6"/>
  <c r="R1404" i="6"/>
  <c r="L1350" i="6"/>
  <c r="L1348" i="6"/>
  <c r="L1337" i="6" s="1"/>
  <c r="AA1508" i="6"/>
  <c r="W1508" i="6"/>
  <c r="S1508" i="6"/>
  <c r="O1508" i="6"/>
  <c r="Z1456" i="6"/>
  <c r="V1456" i="6"/>
  <c r="R1456" i="6"/>
  <c r="AC1404" i="6"/>
  <c r="AC1391" i="6" s="1" a="1"/>
  <c r="AC1391" i="6" s="1"/>
  <c r="Y1404" i="6"/>
  <c r="U1404" i="6"/>
  <c r="Q1404" i="6"/>
  <c r="AU1752" i="6"/>
  <c r="AQ1752" i="6"/>
  <c r="AM1752" i="6"/>
  <c r="AI1752" i="6"/>
  <c r="AS1700" i="6"/>
  <c r="AO1700" i="6"/>
  <c r="AK1700" i="6"/>
  <c r="AV1648" i="6"/>
  <c r="AR1648" i="6"/>
  <c r="AN1648" i="6"/>
  <c r="AJ1648" i="6"/>
  <c r="AV1752" i="6"/>
  <c r="AP1752" i="6"/>
  <c r="AK1752" i="6"/>
  <c r="AT1700" i="6"/>
  <c r="AN1700" i="6"/>
  <c r="AI1700" i="6"/>
  <c r="AS1648" i="6"/>
  <c r="AM1648" i="6"/>
  <c r="AH1648" i="6"/>
  <c r="AH1616" i="6" s="1" a="1"/>
  <c r="AH1616" i="6" s="1"/>
  <c r="AG1594" i="6"/>
  <c r="AI1561" i="6"/>
  <c r="AT1752" i="6"/>
  <c r="AO1752" i="6"/>
  <c r="AJ1752" i="6"/>
  <c r="AR1700" i="6"/>
  <c r="AM1700" i="6"/>
  <c r="AH1700" i="6"/>
  <c r="AH1668" i="6" s="1" a="1"/>
  <c r="AH1668" i="6" s="1"/>
  <c r="AQ1648" i="6"/>
  <c r="AL1648" i="6"/>
  <c r="AF1594" i="6"/>
  <c r="AS1752" i="6"/>
  <c r="AN1752" i="6"/>
  <c r="AH1752" i="6"/>
  <c r="AH1720" i="6" s="1"/>
  <c r="AH1773" i="6" s="1"/>
  <c r="AV1700" i="6"/>
  <c r="AQ1700" i="6"/>
  <c r="AL1700" i="6"/>
  <c r="AU1648" i="6"/>
  <c r="AP1648" i="6"/>
  <c r="AK1648" i="6"/>
  <c r="AE1594" i="6"/>
  <c r="AE1562" i="6" s="1"/>
  <c r="AW1752" i="6"/>
  <c r="AR1752" i="6"/>
  <c r="AL1752" i="6"/>
  <c r="AU1700" i="6"/>
  <c r="AP1700" i="6"/>
  <c r="AJ1700" i="6"/>
  <c r="AT1648" i="6"/>
  <c r="AO1648" i="6"/>
  <c r="AI1648" i="6"/>
  <c r="N1840" i="6"/>
  <c r="N1839" i="6"/>
  <c r="AL126" i="14"/>
  <c r="AM128" i="14"/>
  <c r="AH1391" i="6" a="1"/>
  <c r="AH1391" i="6" s="1"/>
  <c r="AI883" i="6"/>
  <c r="AI880" i="6"/>
  <c r="AJ878" i="6"/>
  <c r="AJ7" i="5"/>
  <c r="AP6" i="9"/>
  <c r="AE633" i="6"/>
  <c r="AE634" i="6"/>
  <c r="AF414" i="6"/>
  <c r="AG418" i="6"/>
  <c r="AG414" i="6"/>
  <c r="AG421" i="6"/>
  <c r="AG417" i="6"/>
  <c r="AH412" i="6"/>
  <c r="AG420" i="6"/>
  <c r="AG415" i="6"/>
  <c r="AH4" i="5"/>
  <c r="AH5" i="5"/>
  <c r="J38" i="23"/>
  <c r="J31" i="22"/>
  <c r="J31" i="21"/>
  <c r="J31" i="19"/>
  <c r="J31" i="20"/>
  <c r="J31" i="18"/>
  <c r="J41" i="16"/>
  <c r="J33" i="15"/>
  <c r="J36" i="17"/>
  <c r="J40" i="13"/>
  <c r="I6" i="7"/>
  <c r="J48" i="14"/>
  <c r="O712" i="6"/>
  <c r="O713" i="6"/>
  <c r="J77" i="6"/>
  <c r="J78" i="6"/>
  <c r="N475" i="6"/>
  <c r="N476" i="6"/>
  <c r="O22" i="5"/>
  <c r="O25" i="5" s="1"/>
  <c r="O43" i="5" s="1"/>
  <c r="J2" i="20"/>
  <c r="AD1958" i="6"/>
  <c r="AD1945" i="6" s="1"/>
  <c r="Z1958" i="6"/>
  <c r="V1958" i="6"/>
  <c r="R1958" i="6"/>
  <c r="AC1906" i="6"/>
  <c r="AC1893" i="6" s="1" a="1"/>
  <c r="AC1893" i="6" s="1"/>
  <c r="Y1906" i="6"/>
  <c r="U1906" i="6"/>
  <c r="Q1906" i="6"/>
  <c r="AB1854" i="6"/>
  <c r="X1854" i="6"/>
  <c r="T1854" i="6"/>
  <c r="P1854" i="6"/>
  <c r="AC1958" i="6"/>
  <c r="Y1958" i="6"/>
  <c r="U1958" i="6"/>
  <c r="Q1958" i="6"/>
  <c r="AB1906" i="6"/>
  <c r="X1906" i="6"/>
  <c r="T1906" i="6"/>
  <c r="P1906" i="6"/>
  <c r="AA1854" i="6"/>
  <c r="W1854" i="6"/>
  <c r="S1854" i="6"/>
  <c r="O1854" i="6"/>
  <c r="AB1958" i="6"/>
  <c r="X1958" i="6"/>
  <c r="T1958" i="6"/>
  <c r="P1958" i="6"/>
  <c r="AA1906" i="6"/>
  <c r="W1906" i="6"/>
  <c r="S1906" i="6"/>
  <c r="O1906" i="6"/>
  <c r="Z1854" i="6"/>
  <c r="V1854" i="6"/>
  <c r="R1854" i="6"/>
  <c r="S1958" i="6"/>
  <c r="Y1854" i="6"/>
  <c r="L1799" i="6"/>
  <c r="O1958" i="6"/>
  <c r="Z1906" i="6"/>
  <c r="U1854" i="6"/>
  <c r="L1798" i="6"/>
  <c r="AA1958" i="6"/>
  <c r="V1906" i="6"/>
  <c r="Q1854" i="6"/>
  <c r="L1800" i="6"/>
  <c r="W1958" i="6"/>
  <c r="R1906" i="6"/>
  <c r="AC1854" i="6"/>
  <c r="AC1841" i="6" s="1" a="1"/>
  <c r="AC1841" i="6" s="1"/>
  <c r="AH2506" i="6"/>
  <c r="AH2507" i="6"/>
  <c r="AH2664" i="6" s="1"/>
  <c r="AF24" i="9"/>
  <c r="AG20" i="5"/>
  <c r="AG14" i="13"/>
  <c r="AH7" i="6"/>
  <c r="AH237" i="6"/>
  <c r="AH12" i="6"/>
  <c r="AI9" i="6"/>
  <c r="AI3003" i="6"/>
  <c r="AN38" i="18"/>
  <c r="J17" i="21"/>
  <c r="L2007" i="6"/>
  <c r="I2" i="23"/>
  <c r="X2622" i="6"/>
  <c r="T2622" i="6"/>
  <c r="P2622" i="6"/>
  <c r="L2622" i="6"/>
  <c r="W2570" i="6"/>
  <c r="S2570" i="6"/>
  <c r="O2570" i="6"/>
  <c r="Z2518" i="6"/>
  <c r="Z2508" i="6" s="1" a="1"/>
  <c r="Z2508" i="6" s="1"/>
  <c r="V2518" i="6"/>
  <c r="R2518" i="6"/>
  <c r="N2518" i="6"/>
  <c r="W2622" i="6"/>
  <c r="R2622" i="6"/>
  <c r="M2622" i="6"/>
  <c r="Y2570" i="6"/>
  <c r="T2570" i="6"/>
  <c r="N2570" i="6"/>
  <c r="U2518" i="6"/>
  <c r="P2518" i="6"/>
  <c r="AA2622" i="6"/>
  <c r="AA2612" i="6" s="1"/>
  <c r="V2622" i="6"/>
  <c r="Q2622" i="6"/>
  <c r="X2570" i="6"/>
  <c r="R2570" i="6"/>
  <c r="M2570" i="6"/>
  <c r="Y2518" i="6"/>
  <c r="T2518" i="6"/>
  <c r="O2518" i="6"/>
  <c r="Z2622" i="6"/>
  <c r="U2622" i="6"/>
  <c r="O2622" i="6"/>
  <c r="V2570" i="6"/>
  <c r="Q2570" i="6"/>
  <c r="L2570" i="6"/>
  <c r="X2518" i="6"/>
  <c r="S2518" i="6"/>
  <c r="M2518" i="6"/>
  <c r="S2622" i="6"/>
  <c r="P2570" i="6"/>
  <c r="Q2518" i="6"/>
  <c r="N2622" i="6"/>
  <c r="L2518" i="6"/>
  <c r="Z2570" i="6"/>
  <c r="Z2560" i="6" s="1" a="1"/>
  <c r="Z2560" i="6" s="1"/>
  <c r="Y2622" i="6"/>
  <c r="U2570" i="6"/>
  <c r="W2518" i="6"/>
  <c r="K2464" i="6"/>
  <c r="K2454" i="6" s="1"/>
  <c r="AB2832" i="6"/>
  <c r="AB2833" i="6"/>
  <c r="AH26" i="5"/>
  <c r="AZ3144" i="6"/>
  <c r="AV3144" i="6"/>
  <c r="AR3144" i="6"/>
  <c r="AN3144" i="6"/>
  <c r="AJ3144" i="6"/>
  <c r="AY3144" i="6"/>
  <c r="AU3144" i="6"/>
  <c r="AQ3144" i="6"/>
  <c r="AM3144" i="6"/>
  <c r="AI3144" i="6"/>
  <c r="AW3144" i="6"/>
  <c r="AO3144" i="6"/>
  <c r="AG3144" i="6"/>
  <c r="AG3113" i="6" s="1"/>
  <c r="AG3007" i="6"/>
  <c r="AT3144" i="6"/>
  <c r="AL3144" i="6"/>
  <c r="AG3006" i="6"/>
  <c r="BA3144" i="6"/>
  <c r="AS3144" i="6"/>
  <c r="AK3144" i="6"/>
  <c r="AX3144" i="6"/>
  <c r="AP3144" i="6"/>
  <c r="AH3144" i="6"/>
  <c r="AG3112" i="6"/>
  <c r="AG3165" i="6" s="1"/>
  <c r="AG26" i="5"/>
  <c r="AT3090" i="6"/>
  <c r="AP3090" i="6"/>
  <c r="AL3090" i="6"/>
  <c r="AH3090" i="6"/>
  <c r="AS3038" i="6"/>
  <c r="AO3038" i="6"/>
  <c r="AK3038" i="6"/>
  <c r="AG3038" i="6"/>
  <c r="AS3090" i="6"/>
  <c r="AO3090" i="6"/>
  <c r="AK3090" i="6"/>
  <c r="AG3090" i="6"/>
  <c r="AR3038" i="6"/>
  <c r="AN3038" i="6"/>
  <c r="AJ3038" i="6"/>
  <c r="AF3038" i="6"/>
  <c r="AF3008" i="6" s="1" a="1"/>
  <c r="AF3008" i="6" s="1"/>
  <c r="AM3090" i="6"/>
  <c r="AT3038" i="6"/>
  <c r="AL3038" i="6"/>
  <c r="AR3090" i="6"/>
  <c r="AJ3090" i="6"/>
  <c r="AQ3038" i="6"/>
  <c r="AI3038" i="6"/>
  <c r="AQ3090" i="6"/>
  <c r="AI3090" i="6"/>
  <c r="AP3038" i="6"/>
  <c r="AH3038" i="6"/>
  <c r="AF3090" i="6"/>
  <c r="AF3060" i="6" s="1" a="1"/>
  <c r="AF3060" i="6" s="1"/>
  <c r="AN3090" i="6"/>
  <c r="AM3038" i="6"/>
  <c r="AF44" i="8"/>
  <c r="AG24" i="8"/>
  <c r="AR2754" i="6"/>
  <c r="AN2754" i="6"/>
  <c r="AJ2754" i="6"/>
  <c r="AF2754" i="6"/>
  <c r="AQ2702" i="6"/>
  <c r="AM2702" i="6"/>
  <c r="AI2702" i="6"/>
  <c r="AE2702" i="6"/>
  <c r="AM2754" i="6"/>
  <c r="AH2754" i="6"/>
  <c r="AR2702" i="6"/>
  <c r="AL2702" i="6"/>
  <c r="AG2702" i="6"/>
  <c r="AQ2754" i="6"/>
  <c r="AL2754" i="6"/>
  <c r="AG2754" i="6"/>
  <c r="AP2702" i="6"/>
  <c r="AK2702" i="6"/>
  <c r="AF2702" i="6"/>
  <c r="AP2754" i="6"/>
  <c r="AK2754" i="6"/>
  <c r="AE2754" i="6"/>
  <c r="AO2702" i="6"/>
  <c r="AO2754" i="6"/>
  <c r="AN2702" i="6"/>
  <c r="AI2754" i="6"/>
  <c r="AJ2702" i="6"/>
  <c r="AD2754" i="6"/>
  <c r="AD2726" i="6" s="1" a="1"/>
  <c r="AD2726" i="6" s="1"/>
  <c r="AH2702" i="6"/>
  <c r="AD2702" i="6"/>
  <c r="AD2674" i="6" s="1" a="1"/>
  <c r="AD2674" i="6" s="1"/>
  <c r="AI17" i="19"/>
  <c r="AI1557" i="6"/>
  <c r="AL46" i="16"/>
  <c r="AM48" i="16"/>
  <c r="J19" i="17"/>
  <c r="L1105" i="6"/>
  <c r="L1323" i="6" s="1"/>
  <c r="AA1095" i="6"/>
  <c r="AA1096" i="6"/>
  <c r="J39" i="23"/>
  <c r="K2451" i="6" s="1"/>
  <c r="J32" i="22"/>
  <c r="K2230" i="6" s="1"/>
  <c r="J32" i="21"/>
  <c r="K2009" i="6" s="1"/>
  <c r="J32" i="20"/>
  <c r="K1784" i="6" s="1"/>
  <c r="J32" i="19"/>
  <c r="K1559" i="6" s="1"/>
  <c r="J37" i="17"/>
  <c r="K1109" i="6" s="1"/>
  <c r="J32" i="18"/>
  <c r="K1334" i="6" s="1"/>
  <c r="J42" i="16"/>
  <c r="K882" i="6" s="1"/>
  <c r="J34" i="15"/>
  <c r="K657" i="6" s="1"/>
  <c r="J49" i="14"/>
  <c r="K420" i="6" s="1"/>
  <c r="J41" i="13"/>
  <c r="K13" i="6" s="1"/>
  <c r="I7" i="7"/>
  <c r="AQ38" i="20"/>
  <c r="AJ879" i="6"/>
  <c r="AI877" i="6"/>
  <c r="AI881" i="6"/>
  <c r="AI1335" i="6"/>
  <c r="AJ1330" i="6"/>
  <c r="AJ10" i="5"/>
  <c r="AF2669" i="6"/>
  <c r="AG2669" i="6" s="1"/>
  <c r="AK3004" i="6"/>
  <c r="AK60" i="9"/>
  <c r="AI17" i="22"/>
  <c r="AI2228" i="6"/>
  <c r="AI658" i="6"/>
  <c r="AI655" i="6"/>
  <c r="AJ653" i="6"/>
  <c r="AJ6" i="5"/>
  <c r="J17" i="22"/>
  <c r="L2228" i="6"/>
  <c r="AF3165" i="6"/>
  <c r="Z1165" i="6"/>
  <c r="Z1164" i="6"/>
  <c r="AM59" i="14"/>
  <c r="N712" i="6"/>
  <c r="N713" i="6"/>
  <c r="K2" i="15"/>
  <c r="T831" i="6"/>
  <c r="T818" i="6" s="1"/>
  <c r="P831" i="6"/>
  <c r="AC779" i="6"/>
  <c r="AC766" i="6" s="1" a="1"/>
  <c r="AC766" i="6" s="1"/>
  <c r="Y779" i="6"/>
  <c r="U779" i="6"/>
  <c r="Q779" i="6"/>
  <c r="Z727" i="6"/>
  <c r="V727" i="6"/>
  <c r="R727" i="6"/>
  <c r="S831" i="6"/>
  <c r="O831" i="6"/>
  <c r="AB779" i="6"/>
  <c r="X779" i="6"/>
  <c r="T779" i="6"/>
  <c r="P779" i="6"/>
  <c r="AC727" i="6"/>
  <c r="AC714" i="6" s="1" a="1"/>
  <c r="AC714" i="6" s="1"/>
  <c r="Y727" i="6"/>
  <c r="U727" i="6"/>
  <c r="Q727" i="6"/>
  <c r="R831" i="6"/>
  <c r="AA779" i="6"/>
  <c r="W779" i="6"/>
  <c r="S779" i="6"/>
  <c r="O779" i="6"/>
  <c r="AB727" i="6"/>
  <c r="X727" i="6"/>
  <c r="T727" i="6"/>
  <c r="P727" i="6"/>
  <c r="M672" i="6"/>
  <c r="Q831" i="6"/>
  <c r="Z779" i="6"/>
  <c r="V779" i="6"/>
  <c r="R779" i="6"/>
  <c r="AA727" i="6"/>
  <c r="W727" i="6"/>
  <c r="S727" i="6"/>
  <c r="O727" i="6"/>
  <c r="M673" i="6"/>
  <c r="M1614" i="6"/>
  <c r="M1615" i="6"/>
  <c r="AI1554" i="6"/>
  <c r="J24" i="13"/>
  <c r="L10" i="6"/>
  <c r="AV1301" i="6"/>
  <c r="AR1301" i="6"/>
  <c r="AN1301" i="6"/>
  <c r="AJ1301" i="6"/>
  <c r="AT1249" i="6"/>
  <c r="AP1249" i="6"/>
  <c r="AL1249" i="6"/>
  <c r="AH1249" i="6"/>
  <c r="AU1197" i="6"/>
  <c r="AQ1197" i="6"/>
  <c r="AM1197" i="6"/>
  <c r="AI1197" i="6"/>
  <c r="AE1143" i="6"/>
  <c r="AA1143" i="6"/>
  <c r="AA1112" i="6" s="1"/>
  <c r="AU1301" i="6"/>
  <c r="AQ1301" i="6"/>
  <c r="AM1301" i="6"/>
  <c r="AI1301" i="6"/>
  <c r="AS1249" i="6"/>
  <c r="AO1249" i="6"/>
  <c r="AK1249" i="6"/>
  <c r="AG1249" i="6"/>
  <c r="AG1218" i="6" s="1" a="1"/>
  <c r="AG1218" i="6" s="1"/>
  <c r="AT1197" i="6"/>
  <c r="AP1197" i="6"/>
  <c r="AL1197" i="6"/>
  <c r="AH1197" i="6"/>
  <c r="AD1143" i="6"/>
  <c r="AT1301" i="6"/>
  <c r="AP1301" i="6"/>
  <c r="AL1301" i="6"/>
  <c r="AH1301" i="6"/>
  <c r="AR1249" i="6"/>
  <c r="AN1249" i="6"/>
  <c r="AJ1249" i="6"/>
  <c r="AS1197" i="6"/>
  <c r="AO1197" i="6"/>
  <c r="AK1197" i="6"/>
  <c r="AG1197" i="6"/>
  <c r="AG1166" i="6" s="1" a="1"/>
  <c r="AG1166" i="6" s="1"/>
  <c r="AC1143" i="6"/>
  <c r="AS1301" i="6"/>
  <c r="AO1301" i="6"/>
  <c r="AK1301" i="6"/>
  <c r="AG1301" i="6"/>
  <c r="AU1249" i="6"/>
  <c r="AQ1249" i="6"/>
  <c r="AM1249" i="6"/>
  <c r="AI1249" i="6"/>
  <c r="AR1197" i="6"/>
  <c r="AN1197" i="6"/>
  <c r="AJ1197" i="6"/>
  <c r="AF1143" i="6"/>
  <c r="AB1143" i="6"/>
  <c r="AH1111" i="6"/>
  <c r="AB1323" i="6"/>
  <c r="AC17" i="5"/>
  <c r="AC24" i="5" s="1"/>
  <c r="AC42" i="5" s="1"/>
  <c r="W1323" i="6"/>
  <c r="W1322" i="6"/>
  <c r="X1322" i="6"/>
  <c r="X1323" i="6"/>
  <c r="AK38" i="15"/>
  <c r="AL40" i="15"/>
  <c r="AJ36" i="22"/>
  <c r="AK38" i="22"/>
  <c r="L2285" i="6"/>
  <c r="L2286" i="6"/>
  <c r="AF1773" i="6"/>
  <c r="AH39" i="23"/>
  <c r="AI2451" i="6" s="1"/>
  <c r="AH32" i="22"/>
  <c r="AH32" i="21"/>
  <c r="AH32" i="20"/>
  <c r="AH32" i="19"/>
  <c r="AI1559" i="6" s="1"/>
  <c r="AH37" i="17"/>
  <c r="AH32" i="18"/>
  <c r="AI1334" i="6" s="1"/>
  <c r="AH42" i="16"/>
  <c r="AI882" i="6" s="1"/>
  <c r="AH34" i="15"/>
  <c r="AI657" i="6" s="1"/>
  <c r="AH41" i="13"/>
  <c r="AI7" i="7"/>
  <c r="AH49" i="14"/>
  <c r="AM1075" i="6"/>
  <c r="AI1075" i="6"/>
  <c r="AS1023" i="6"/>
  <c r="AO1023" i="6"/>
  <c r="AK1023" i="6"/>
  <c r="AT971" i="6"/>
  <c r="AP971" i="6"/>
  <c r="AL971" i="6"/>
  <c r="AH971" i="6"/>
  <c r="AH939" i="6" s="1" a="1"/>
  <c r="AH939" i="6" s="1"/>
  <c r="AL1075" i="6"/>
  <c r="AH1075" i="6"/>
  <c r="AV1023" i="6"/>
  <c r="AR1023" i="6"/>
  <c r="AN1023" i="6"/>
  <c r="AJ1023" i="6"/>
  <c r="AK1075" i="6"/>
  <c r="AU1023" i="6"/>
  <c r="AQ1023" i="6"/>
  <c r="AM1023" i="6"/>
  <c r="AI1023" i="6"/>
  <c r="AV971" i="6"/>
  <c r="AR971" i="6"/>
  <c r="AN971" i="6"/>
  <c r="AJ971" i="6"/>
  <c r="AJ1075" i="6"/>
  <c r="AL1023" i="6"/>
  <c r="AO971" i="6"/>
  <c r="AH1023" i="6"/>
  <c r="AH991" i="6" s="1" a="1"/>
  <c r="AH991" i="6" s="1"/>
  <c r="AU971" i="6"/>
  <c r="AM971" i="6"/>
  <c r="AT1023" i="6"/>
  <c r="AS971" i="6"/>
  <c r="AK971" i="6"/>
  <c r="AG917" i="6"/>
  <c r="AG885" i="6" s="1"/>
  <c r="AP1023" i="6"/>
  <c r="AQ971" i="6"/>
  <c r="AI971" i="6"/>
  <c r="AI884" i="6"/>
  <c r="L2012" i="6"/>
  <c r="Q47" i="5"/>
  <c r="Q45" i="5"/>
  <c r="AQ6" i="9"/>
  <c r="AC21" i="17"/>
  <c r="AC1106" i="6"/>
  <c r="AD19" i="5" s="1"/>
  <c r="AY2976" i="6"/>
  <c r="AU2976" i="6"/>
  <c r="AQ2976" i="6"/>
  <c r="AM2976" i="6"/>
  <c r="AI2976" i="6"/>
  <c r="AX2976" i="6"/>
  <c r="AT2976" i="6"/>
  <c r="AP2976" i="6"/>
  <c r="AL2976" i="6"/>
  <c r="AH2976" i="6"/>
  <c r="AS2976" i="6"/>
  <c r="AK2976" i="6"/>
  <c r="AF2840" i="6"/>
  <c r="AZ2976" i="6"/>
  <c r="AR2976" i="6"/>
  <c r="AJ2976" i="6"/>
  <c r="AW2976" i="6"/>
  <c r="AO2976" i="6"/>
  <c r="AG2976" i="6"/>
  <c r="AF2976" i="6"/>
  <c r="AF2946" i="6" s="1"/>
  <c r="AV2976" i="6"/>
  <c r="AN2976" i="6"/>
  <c r="AF2839" i="6"/>
  <c r="AF2945" i="6"/>
  <c r="AF2998" i="6" s="1"/>
  <c r="AF416" i="6"/>
  <c r="AG35" i="5"/>
  <c r="AI652" i="6"/>
  <c r="AJ654" i="6"/>
  <c r="AI656" i="6"/>
  <c r="AI2449" i="6"/>
  <c r="AI2450" i="6"/>
  <c r="AJ2448" i="6"/>
  <c r="AJ16" i="5"/>
  <c r="AI3171" i="6"/>
  <c r="AL39" i="20"/>
  <c r="AK36" i="20"/>
  <c r="AB46" i="5"/>
  <c r="AB44" i="5"/>
  <c r="AQ2922" i="6"/>
  <c r="AM2922" i="6"/>
  <c r="AI2922" i="6"/>
  <c r="AE2922" i="6"/>
  <c r="AE2893" i="6" s="1" a="1"/>
  <c r="AE2893" i="6" s="1"/>
  <c r="AP2870" i="6"/>
  <c r="AL2870" i="6"/>
  <c r="AH2870" i="6"/>
  <c r="AO2922" i="6"/>
  <c r="AJ2922" i="6"/>
  <c r="AS2870" i="6"/>
  <c r="AN2870" i="6"/>
  <c r="AI2870" i="6"/>
  <c r="AS2922" i="6"/>
  <c r="AN2922" i="6"/>
  <c r="AH2922" i="6"/>
  <c r="AR2870" i="6"/>
  <c r="AM2870" i="6"/>
  <c r="AG2870" i="6"/>
  <c r="AR2922" i="6"/>
  <c r="AL2922" i="6"/>
  <c r="AG2922" i="6"/>
  <c r="AO2870" i="6"/>
  <c r="AE2870" i="6"/>
  <c r="AE2841" i="6" s="1" a="1"/>
  <c r="AE2841" i="6" s="1"/>
  <c r="AP2922" i="6"/>
  <c r="AK2870" i="6"/>
  <c r="AK2922" i="6"/>
  <c r="AJ2870" i="6"/>
  <c r="AF2922" i="6"/>
  <c r="AQ2870" i="6"/>
  <c r="AF2870" i="6"/>
  <c r="J2" i="14"/>
  <c r="AA594" i="6"/>
  <c r="W594" i="6"/>
  <c r="S594" i="6"/>
  <c r="O594" i="6"/>
  <c r="Z542" i="6"/>
  <c r="V542" i="6"/>
  <c r="R542" i="6"/>
  <c r="Z490" i="6"/>
  <c r="V490" i="6"/>
  <c r="R490" i="6"/>
  <c r="L435" i="6"/>
  <c r="AD594" i="6"/>
  <c r="AD581" i="6" s="1"/>
  <c r="Z594" i="6"/>
  <c r="V594" i="6"/>
  <c r="R594" i="6"/>
  <c r="AC542" i="6"/>
  <c r="Y542" i="6"/>
  <c r="U542" i="6"/>
  <c r="Q542" i="6"/>
  <c r="X529" i="6"/>
  <c r="AC490" i="6"/>
  <c r="AC477" i="6" s="1" a="1"/>
  <c r="AC477" i="6" s="1"/>
  <c r="Y490" i="6"/>
  <c r="U490" i="6"/>
  <c r="Q490" i="6"/>
  <c r="AB594" i="6"/>
  <c r="T594" i="6"/>
  <c r="AA542" i="6"/>
  <c r="S542" i="6"/>
  <c r="AA490" i="6"/>
  <c r="S490" i="6"/>
  <c r="AC594" i="6"/>
  <c r="Y594" i="6"/>
  <c r="U594" i="6"/>
  <c r="Q594" i="6"/>
  <c r="AB542" i="6"/>
  <c r="X542" i="6"/>
  <c r="T542" i="6"/>
  <c r="P542" i="6"/>
  <c r="AB490" i="6"/>
  <c r="X490" i="6"/>
  <c r="T490" i="6"/>
  <c r="P490" i="6"/>
  <c r="L436" i="6"/>
  <c r="L434" i="6"/>
  <c r="X594" i="6"/>
  <c r="P594" i="6"/>
  <c r="W542" i="6"/>
  <c r="O542" i="6"/>
  <c r="W490" i="6"/>
  <c r="O490" i="6"/>
  <c r="AX2808" i="6"/>
  <c r="AT2808" i="6"/>
  <c r="AP2808" i="6"/>
  <c r="AL2808" i="6"/>
  <c r="AH2808" i="6"/>
  <c r="AU2808" i="6"/>
  <c r="AO2808" i="6"/>
  <c r="AJ2808" i="6"/>
  <c r="AE2808" i="6"/>
  <c r="AE2779" i="6" s="1"/>
  <c r="AY2808" i="6"/>
  <c r="AS2808" i="6"/>
  <c r="AN2808" i="6"/>
  <c r="AI2808" i="6"/>
  <c r="AV2808" i="6"/>
  <c r="AK2808" i="6"/>
  <c r="AR2808" i="6"/>
  <c r="AG2808" i="6"/>
  <c r="AQ2808" i="6"/>
  <c r="AF2808" i="6"/>
  <c r="AW2808" i="6"/>
  <c r="AE2672" i="6"/>
  <c r="AM2808" i="6"/>
  <c r="AE2673" i="6"/>
  <c r="AF27" i="5"/>
  <c r="AE2778" i="6"/>
  <c r="AE2831" i="6" s="1"/>
  <c r="AI2008" i="6"/>
  <c r="AJ2006" i="6"/>
  <c r="AI2004" i="6"/>
  <c r="M1337" i="6"/>
  <c r="AE1495" i="6"/>
  <c r="K21" i="15"/>
  <c r="M655" i="6"/>
  <c r="AG24" i="9"/>
  <c r="AH24" i="9"/>
  <c r="L2506" i="6"/>
  <c r="L2507" i="6"/>
  <c r="AM46" i="17"/>
  <c r="AE36" i="11"/>
  <c r="AE3170" i="6"/>
  <c r="I16" i="6"/>
  <c r="AJ1331" i="6"/>
  <c r="AI1329" i="6"/>
  <c r="AI1333" i="6"/>
  <c r="AK2452" i="6"/>
  <c r="AL2447" i="6"/>
  <c r="AL14" i="5"/>
  <c r="AF23" i="9"/>
  <c r="AK61" i="14"/>
  <c r="AI2009" i="6"/>
  <c r="AI2010" i="6"/>
  <c r="AJ2005" i="6"/>
  <c r="L937" i="6"/>
  <c r="L938" i="6"/>
  <c r="AP103" i="9"/>
  <c r="AX214" i="6"/>
  <c r="AT214" i="6"/>
  <c r="AP214" i="6"/>
  <c r="AL214" i="6"/>
  <c r="AH214" i="6"/>
  <c r="AU162" i="6"/>
  <c r="AQ162" i="6"/>
  <c r="AM162" i="6"/>
  <c r="AI162" i="6"/>
  <c r="AT110" i="6"/>
  <c r="AP110" i="6"/>
  <c r="AL110" i="6"/>
  <c r="AH110" i="6"/>
  <c r="AF47" i="6"/>
  <c r="AB47" i="6"/>
  <c r="AH15" i="6"/>
  <c r="AU214" i="6"/>
  <c r="AI214" i="6"/>
  <c r="AN162" i="6"/>
  <c r="AQ110" i="6"/>
  <c r="BA214" i="6"/>
  <c r="AW214" i="6"/>
  <c r="AS214" i="6"/>
  <c r="AO214" i="6"/>
  <c r="AK214" i="6"/>
  <c r="AG214" i="6"/>
  <c r="AT162" i="6"/>
  <c r="AP162" i="6"/>
  <c r="AL162" i="6"/>
  <c r="AH162" i="6"/>
  <c r="AS110" i="6"/>
  <c r="AO110" i="6"/>
  <c r="AK110" i="6"/>
  <c r="AG110" i="6"/>
  <c r="AG79" i="6" s="1" a="1"/>
  <c r="AG79" i="6" s="1"/>
  <c r="AE47" i="6"/>
  <c r="AA47" i="6"/>
  <c r="AA16" i="6" s="1"/>
  <c r="AH10" i="6"/>
  <c r="AH20" i="5"/>
  <c r="AY214" i="6"/>
  <c r="AM214" i="6"/>
  <c r="AR162" i="6"/>
  <c r="AM110" i="6"/>
  <c r="AZ214" i="6"/>
  <c r="AV214" i="6"/>
  <c r="AR214" i="6"/>
  <c r="AN214" i="6"/>
  <c r="AJ214" i="6"/>
  <c r="AS162" i="6"/>
  <c r="AO162" i="6"/>
  <c r="AK162" i="6"/>
  <c r="AG162" i="6"/>
  <c r="AG131" i="6" s="1" a="1"/>
  <c r="AG131" i="6" s="1"/>
  <c r="AR110" i="6"/>
  <c r="AN110" i="6"/>
  <c r="AJ110" i="6"/>
  <c r="AD47" i="6"/>
  <c r="AH11" i="6"/>
  <c r="AQ214" i="6"/>
  <c r="AJ162" i="6"/>
  <c r="AU110" i="6"/>
  <c r="AI110" i="6"/>
  <c r="AC47" i="6"/>
  <c r="AH2" i="5"/>
  <c r="AN50" i="13"/>
  <c r="L1562" i="6"/>
  <c r="AJ408" i="6"/>
  <c r="AJ247" i="6"/>
  <c r="AJ245" i="6"/>
  <c r="AJ244" i="6"/>
  <c r="AK28" i="5" s="1"/>
  <c r="AJ67" i="12"/>
  <c r="AG59" i="12"/>
  <c r="AH248" i="6" s="1"/>
  <c r="AH60" i="12"/>
  <c r="AH246" i="6"/>
  <c r="AH2225" i="6"/>
  <c r="AK850" i="6"/>
  <c r="AU798" i="6"/>
  <c r="AQ798" i="6"/>
  <c r="AM798" i="6"/>
  <c r="AI798" i="6"/>
  <c r="AV746" i="6"/>
  <c r="AR746" i="6"/>
  <c r="AN746" i="6"/>
  <c r="AJ746" i="6"/>
  <c r="AJ850" i="6"/>
  <c r="AT798" i="6"/>
  <c r="AP798" i="6"/>
  <c r="AL798" i="6"/>
  <c r="AH798" i="6"/>
  <c r="AH766" i="6" s="1" a="1"/>
  <c r="AH766" i="6" s="1"/>
  <c r="AU746" i="6"/>
  <c r="AQ746" i="6"/>
  <c r="AM746" i="6"/>
  <c r="AI746" i="6"/>
  <c r="AF692" i="6"/>
  <c r="AF660" i="6" s="1"/>
  <c r="AM850" i="6"/>
  <c r="AI850" i="6"/>
  <c r="AS798" i="6"/>
  <c r="AO798" i="6"/>
  <c r="AK798" i="6"/>
  <c r="AT746" i="6"/>
  <c r="AP746" i="6"/>
  <c r="AL746" i="6"/>
  <c r="AH746" i="6"/>
  <c r="AH714" i="6" s="1" a="1"/>
  <c r="AH714" i="6" s="1"/>
  <c r="AL850" i="6"/>
  <c r="AH850" i="6"/>
  <c r="AH818" i="6" s="1"/>
  <c r="AV798" i="6"/>
  <c r="AR798" i="6"/>
  <c r="AN798" i="6"/>
  <c r="AJ798" i="6"/>
  <c r="AS746" i="6"/>
  <c r="AO746" i="6"/>
  <c r="AK746" i="6"/>
  <c r="AI659" i="6"/>
  <c r="AG692" i="6"/>
  <c r="AE15" i="9"/>
  <c r="AF2671" i="6" s="1"/>
  <c r="AK1556" i="6"/>
  <c r="AJ1558" i="6"/>
  <c r="AC19" i="17"/>
  <c r="AC1105" i="6"/>
  <c r="J21" i="17"/>
  <c r="L1106" i="6"/>
  <c r="M19" i="5" s="1"/>
  <c r="AG1270" i="6"/>
  <c r="AH1043" i="6"/>
  <c r="AH1096" i="6" s="1"/>
  <c r="AR5" i="9"/>
  <c r="Z47" i="5"/>
  <c r="Z45" i="5"/>
  <c r="AF713" i="6" l="1"/>
  <c r="AF870" i="6" s="1"/>
  <c r="AF712" i="6"/>
  <c r="AG1998" i="6"/>
  <c r="AE1389" i="6"/>
  <c r="AE1390" i="6"/>
  <c r="AE1614" i="6"/>
  <c r="AE1615" i="6"/>
  <c r="AE1772" i="6" s="1"/>
  <c r="AD1840" i="6"/>
  <c r="AD1839" i="6"/>
  <c r="AA1164" i="6"/>
  <c r="AA1165" i="6"/>
  <c r="AA1322" i="6" s="1"/>
  <c r="AD2833" i="6"/>
  <c r="AD2832" i="6"/>
  <c r="AE2999" i="6"/>
  <c r="AE3000" i="6"/>
  <c r="J21" i="15"/>
  <c r="L655" i="6"/>
  <c r="AJ655" i="6"/>
  <c r="AK653" i="6"/>
  <c r="AK6" i="5"/>
  <c r="AJ658" i="6"/>
  <c r="I39" i="23"/>
  <c r="I32" i="22"/>
  <c r="J2230" i="6" s="1"/>
  <c r="I32" i="21"/>
  <c r="J2009" i="6" s="1"/>
  <c r="I32" i="20"/>
  <c r="J1784" i="6" s="1"/>
  <c r="I32" i="19"/>
  <c r="J1559" i="6" s="1"/>
  <c r="I37" i="17"/>
  <c r="J1109" i="6" s="1"/>
  <c r="I49" i="14"/>
  <c r="J420" i="6" s="1"/>
  <c r="I32" i="18"/>
  <c r="J1334" i="6" s="1"/>
  <c r="I42" i="16"/>
  <c r="J882" i="6" s="1"/>
  <c r="I34" i="15"/>
  <c r="J657" i="6" s="1"/>
  <c r="I41" i="13"/>
  <c r="J13" i="6" s="1"/>
  <c r="H7" i="7"/>
  <c r="I2" i="20"/>
  <c r="AC1957" i="6"/>
  <c r="AC1945" i="6" s="1"/>
  <c r="Y1957" i="6"/>
  <c r="U1957" i="6"/>
  <c r="Q1957" i="6"/>
  <c r="AA1905" i="6"/>
  <c r="W1905" i="6"/>
  <c r="S1905" i="6"/>
  <c r="O1905" i="6"/>
  <c r="Z1853" i="6"/>
  <c r="V1853" i="6"/>
  <c r="R1853" i="6"/>
  <c r="N1853" i="6"/>
  <c r="AB1957" i="6"/>
  <c r="X1957" i="6"/>
  <c r="T1957" i="6"/>
  <c r="P1957" i="6"/>
  <c r="Z1905" i="6"/>
  <c r="V1905" i="6"/>
  <c r="R1905" i="6"/>
  <c r="N1905" i="6"/>
  <c r="Y1853" i="6"/>
  <c r="U1853" i="6"/>
  <c r="Q1853" i="6"/>
  <c r="K1799" i="6"/>
  <c r="K1797" i="6"/>
  <c r="AA1957" i="6"/>
  <c r="W1957" i="6"/>
  <c r="S1957" i="6"/>
  <c r="O1957" i="6"/>
  <c r="Y1905" i="6"/>
  <c r="U1905" i="6"/>
  <c r="Q1905" i="6"/>
  <c r="AB1853" i="6"/>
  <c r="AB1841" i="6" s="1" a="1"/>
  <c r="AB1841" i="6" s="1"/>
  <c r="X1853" i="6"/>
  <c r="T1853" i="6"/>
  <c r="P1853" i="6"/>
  <c r="R1957" i="6"/>
  <c r="AB1905" i="6"/>
  <c r="AB1893" i="6" s="1" a="1"/>
  <c r="AB1893" i="6" s="1"/>
  <c r="W1853" i="6"/>
  <c r="N1957" i="6"/>
  <c r="X1905" i="6"/>
  <c r="S1853" i="6"/>
  <c r="Z1957" i="6"/>
  <c r="T1905" i="6"/>
  <c r="O1853" i="6"/>
  <c r="K1798" i="6"/>
  <c r="V1957" i="6"/>
  <c r="P1905" i="6"/>
  <c r="AA1853" i="6"/>
  <c r="AJ883" i="6"/>
  <c r="AJ880" i="6"/>
  <c r="AK878" i="6"/>
  <c r="AK7" i="5"/>
  <c r="AA78" i="6"/>
  <c r="AB22" i="5"/>
  <c r="AB25" i="5" s="1"/>
  <c r="AB43" i="5" s="1"/>
  <c r="AA77" i="6"/>
  <c r="AL2452" i="6"/>
  <c r="AM2447" i="6"/>
  <c r="AM14" i="5"/>
  <c r="AF36" i="11"/>
  <c r="AF3170" i="6"/>
  <c r="AC1323" i="6"/>
  <c r="AD17" i="5"/>
  <c r="AD24" i="5" s="1"/>
  <c r="AD42" i="5" s="1"/>
  <c r="AJ2010" i="6"/>
  <c r="AK2005" i="6"/>
  <c r="AL61" i="14"/>
  <c r="AW2647" i="6"/>
  <c r="AS2647" i="6"/>
  <c r="AO2647" i="6"/>
  <c r="AK2647" i="6"/>
  <c r="AK2612" i="6" s="1"/>
  <c r="AW2595" i="6"/>
  <c r="AS2595" i="6"/>
  <c r="AO2595" i="6"/>
  <c r="AK2595" i="6"/>
  <c r="AK2560" i="6" s="1" a="1"/>
  <c r="AK2560" i="6" s="1"/>
  <c r="AV2543" i="6"/>
  <c r="AR2543" i="6"/>
  <c r="AN2543" i="6"/>
  <c r="AV2647" i="6"/>
  <c r="AQ2647" i="6"/>
  <c r="AL2647" i="6"/>
  <c r="AV2595" i="6"/>
  <c r="AQ2595" i="6"/>
  <c r="AL2595" i="6"/>
  <c r="AX2543" i="6"/>
  <c r="AS2543" i="6"/>
  <c r="AM2543" i="6"/>
  <c r="AZ2647" i="6"/>
  <c r="AU2647" i="6"/>
  <c r="AP2647" i="6"/>
  <c r="AU2595" i="6"/>
  <c r="AP2595" i="6"/>
  <c r="AW2543" i="6"/>
  <c r="AQ2543" i="6"/>
  <c r="AL2543" i="6"/>
  <c r="AY2647" i="6"/>
  <c r="AT2647" i="6"/>
  <c r="AN2647" i="6"/>
  <c r="AY2595" i="6"/>
  <c r="AT2595" i="6"/>
  <c r="AN2595" i="6"/>
  <c r="AU2543" i="6"/>
  <c r="AP2543" i="6"/>
  <c r="AK2543" i="6"/>
  <c r="AK2508" i="6" s="1" a="1"/>
  <c r="AK2508" i="6" s="1"/>
  <c r="AR2647" i="6"/>
  <c r="AR2595" i="6"/>
  <c r="AY2543" i="6"/>
  <c r="AJ2489" i="6"/>
  <c r="AJ2454" i="6" s="1"/>
  <c r="AM2647" i="6"/>
  <c r="AM2595" i="6"/>
  <c r="AT2543" i="6"/>
  <c r="AL2453" i="6"/>
  <c r="AO2543" i="6"/>
  <c r="AX2647" i="6"/>
  <c r="AX2595" i="6"/>
  <c r="AL21" i="5"/>
  <c r="AJ1329" i="6"/>
  <c r="AJ1333" i="6"/>
  <c r="AK1331" i="6"/>
  <c r="AN46" i="17"/>
  <c r="L423" i="6"/>
  <c r="AD634" i="6"/>
  <c r="AD633" i="6"/>
  <c r="I2" i="14"/>
  <c r="Z593" i="6"/>
  <c r="V593" i="6"/>
  <c r="R593" i="6"/>
  <c r="N593" i="6"/>
  <c r="AB541" i="6"/>
  <c r="X541" i="6"/>
  <c r="T541" i="6"/>
  <c r="P541" i="6"/>
  <c r="AB489" i="6"/>
  <c r="AB477" i="6" s="1" a="1"/>
  <c r="AB477" i="6" s="1"/>
  <c r="X489" i="6"/>
  <c r="T489" i="6"/>
  <c r="P489" i="6"/>
  <c r="AC593" i="6"/>
  <c r="AC581" i="6" s="1"/>
  <c r="Y593" i="6"/>
  <c r="U593" i="6"/>
  <c r="Q593" i="6"/>
  <c r="AA541" i="6"/>
  <c r="W541" i="6"/>
  <c r="S541" i="6"/>
  <c r="O541" i="6"/>
  <c r="AA489" i="6"/>
  <c r="W489" i="6"/>
  <c r="S489" i="6"/>
  <c r="O489" i="6"/>
  <c r="K435" i="6"/>
  <c r="K433" i="6"/>
  <c r="AA593" i="6"/>
  <c r="S593" i="6"/>
  <c r="Y541" i="6"/>
  <c r="Q541" i="6"/>
  <c r="Y489" i="6"/>
  <c r="U489" i="6"/>
  <c r="K434" i="6"/>
  <c r="AB593" i="6"/>
  <c r="X593" i="6"/>
  <c r="T593" i="6"/>
  <c r="P593" i="6"/>
  <c r="Z541" i="6"/>
  <c r="V541" i="6"/>
  <c r="R541" i="6"/>
  <c r="N541" i="6"/>
  <c r="W529" i="6"/>
  <c r="Z489" i="6"/>
  <c r="V489" i="6"/>
  <c r="R489" i="6"/>
  <c r="N489" i="6"/>
  <c r="W593" i="6"/>
  <c r="O593" i="6"/>
  <c r="U541" i="6"/>
  <c r="Q489" i="6"/>
  <c r="AM39" i="20"/>
  <c r="AL36" i="20"/>
  <c r="AD21" i="17"/>
  <c r="AD1106" i="6"/>
  <c r="AE19" i="5" s="1"/>
  <c r="L2064" i="6"/>
  <c r="L2065" i="6"/>
  <c r="AC870" i="6"/>
  <c r="AC871" i="6"/>
  <c r="AN59" i="14"/>
  <c r="AN851" i="6"/>
  <c r="AJ851" i="6"/>
  <c r="AW799" i="6"/>
  <c r="AS799" i="6"/>
  <c r="AO799" i="6"/>
  <c r="AK799" i="6"/>
  <c r="AT747" i="6"/>
  <c r="AP747" i="6"/>
  <c r="AL747" i="6"/>
  <c r="AM851" i="6"/>
  <c r="AI851" i="6"/>
  <c r="AI818" i="6" s="1"/>
  <c r="AV799" i="6"/>
  <c r="AR799" i="6"/>
  <c r="AN799" i="6"/>
  <c r="AJ799" i="6"/>
  <c r="AW747" i="6"/>
  <c r="AS747" i="6"/>
  <c r="AO747" i="6"/>
  <c r="AK747" i="6"/>
  <c r="AL851" i="6"/>
  <c r="AU799" i="6"/>
  <c r="AQ799" i="6"/>
  <c r="AM799" i="6"/>
  <c r="AI799" i="6"/>
  <c r="AI766" i="6" s="1" a="1"/>
  <c r="AI766" i="6" s="1"/>
  <c r="AV747" i="6"/>
  <c r="AR747" i="6"/>
  <c r="AN747" i="6"/>
  <c r="AJ747" i="6"/>
  <c r="AH693" i="6"/>
  <c r="AJ659" i="6"/>
  <c r="AK851" i="6"/>
  <c r="AT799" i="6"/>
  <c r="AP799" i="6"/>
  <c r="AL799" i="6"/>
  <c r="AU747" i="6"/>
  <c r="AQ747" i="6"/>
  <c r="AM747" i="6"/>
  <c r="AI747" i="6"/>
  <c r="AI714" i="6" s="1" a="1"/>
  <c r="AI714" i="6" s="1"/>
  <c r="AG693" i="6"/>
  <c r="AG660" i="6" s="1"/>
  <c r="AJ1335" i="6"/>
  <c r="AK1330" i="6"/>
  <c r="AK10" i="5"/>
  <c r="AR3091" i="6"/>
  <c r="AN3091" i="6"/>
  <c r="AJ3091" i="6"/>
  <c r="AU3039" i="6"/>
  <c r="AQ3039" i="6"/>
  <c r="AM3039" i="6"/>
  <c r="AI3039" i="6"/>
  <c r="AU3091" i="6"/>
  <c r="AQ3091" i="6"/>
  <c r="AM3091" i="6"/>
  <c r="AI3091" i="6"/>
  <c r="AT3039" i="6"/>
  <c r="AP3039" i="6"/>
  <c r="AL3039" i="6"/>
  <c r="AH3039" i="6"/>
  <c r="AO3091" i="6"/>
  <c r="AG3091" i="6"/>
  <c r="AG3060" i="6" s="1" a="1"/>
  <c r="AG3060" i="6" s="1"/>
  <c r="AN3039" i="6"/>
  <c r="AT3091" i="6"/>
  <c r="AL3091" i="6"/>
  <c r="AS3039" i="6"/>
  <c r="AK3039" i="6"/>
  <c r="AS3091" i="6"/>
  <c r="AK3091" i="6"/>
  <c r="AR3039" i="6"/>
  <c r="AJ3039" i="6"/>
  <c r="AP3091" i="6"/>
  <c r="AO3039" i="6"/>
  <c r="AH3091" i="6"/>
  <c r="AG3039" i="6"/>
  <c r="AG3008" i="6" s="1" a="1"/>
  <c r="AG3008" i="6" s="1"/>
  <c r="K2506" i="6"/>
  <c r="K2507" i="6"/>
  <c r="AJ3003" i="6"/>
  <c r="AD1997" i="6"/>
  <c r="AD1998" i="6"/>
  <c r="I38" i="23"/>
  <c r="I31" i="22"/>
  <c r="I31" i="21"/>
  <c r="I31" i="20"/>
  <c r="I31" i="19"/>
  <c r="I36" i="17"/>
  <c r="I31" i="18"/>
  <c r="I41" i="16"/>
  <c r="I33" i="15"/>
  <c r="I48" i="14"/>
  <c r="I40" i="13"/>
  <c r="H6" i="7"/>
  <c r="AH420" i="6"/>
  <c r="AH415" i="6"/>
  <c r="AI4" i="5"/>
  <c r="AH418" i="6"/>
  <c r="AH421" i="6"/>
  <c r="AH417" i="6"/>
  <c r="AI412" i="6"/>
  <c r="AI5" i="5"/>
  <c r="AJ62" i="12"/>
  <c r="AI1110" i="6"/>
  <c r="AJ1103" i="6"/>
  <c r="AI1109" i="6"/>
  <c r="AJ9" i="5"/>
  <c r="N17" i="5"/>
  <c r="N24" i="5" s="1"/>
  <c r="N42" i="5" s="1"/>
  <c r="AH2836" i="6"/>
  <c r="AI2836" i="6" s="1"/>
  <c r="AJ2229" i="6"/>
  <c r="AK2227" i="6"/>
  <c r="AH183" i="6"/>
  <c r="J17" i="18"/>
  <c r="L1332" i="6"/>
  <c r="AF634" i="6"/>
  <c r="AF633" i="6"/>
  <c r="H2" i="21"/>
  <c r="Y2181" i="6"/>
  <c r="U2181" i="6"/>
  <c r="Q2181" i="6"/>
  <c r="M2181" i="6"/>
  <c r="Z2129" i="6"/>
  <c r="V2129" i="6"/>
  <c r="R2129" i="6"/>
  <c r="N2129" i="6"/>
  <c r="Y2077" i="6"/>
  <c r="U2077" i="6"/>
  <c r="Q2077" i="6"/>
  <c r="M2077" i="6"/>
  <c r="AB2181" i="6"/>
  <c r="AB2170" i="6" s="1"/>
  <c r="X2181" i="6"/>
  <c r="T2181" i="6"/>
  <c r="P2181" i="6"/>
  <c r="Y2129" i="6"/>
  <c r="U2129" i="6"/>
  <c r="Q2129" i="6"/>
  <c r="M2129" i="6"/>
  <c r="X2077" i="6"/>
  <c r="T2077" i="6"/>
  <c r="P2077" i="6"/>
  <c r="J2023" i="6"/>
  <c r="J2021" i="6"/>
  <c r="AA2181" i="6"/>
  <c r="W2181" i="6"/>
  <c r="S2181" i="6"/>
  <c r="O2181" i="6"/>
  <c r="X2129" i="6"/>
  <c r="T2129" i="6"/>
  <c r="P2129" i="6"/>
  <c r="AA2077" i="6"/>
  <c r="AA2066" i="6" s="1" a="1"/>
  <c r="AA2066" i="6" s="1"/>
  <c r="W2077" i="6"/>
  <c r="S2077" i="6"/>
  <c r="O2077" i="6"/>
  <c r="Z2181" i="6"/>
  <c r="S2129" i="6"/>
  <c r="R2077" i="6"/>
  <c r="J2022" i="6"/>
  <c r="V2181" i="6"/>
  <c r="O2129" i="6"/>
  <c r="N2077" i="6"/>
  <c r="R2181" i="6"/>
  <c r="AA2129" i="6"/>
  <c r="AA2118" i="6" s="1" a="1"/>
  <c r="AA2118" i="6" s="1"/>
  <c r="Z2077" i="6"/>
  <c r="N2181" i="6"/>
  <c r="W2129" i="6"/>
  <c r="V2077" i="6"/>
  <c r="I24" i="17"/>
  <c r="K1107" i="6"/>
  <c r="L18" i="5" s="1"/>
  <c r="AD24" i="17"/>
  <c r="AD1107" i="6"/>
  <c r="AE18" i="5" s="1"/>
  <c r="I17" i="19"/>
  <c r="K1557" i="6"/>
  <c r="AC1773" i="6"/>
  <c r="AC1772" i="6"/>
  <c r="AS22" i="13"/>
  <c r="AT21" i="13"/>
  <c r="BB215" i="6"/>
  <c r="AX215" i="6"/>
  <c r="AT215" i="6"/>
  <c r="AP215" i="6"/>
  <c r="AL215" i="6"/>
  <c r="AH215" i="6"/>
  <c r="AS163" i="6"/>
  <c r="AO163" i="6"/>
  <c r="AK163" i="6"/>
  <c r="AV111" i="6"/>
  <c r="AR111" i="6"/>
  <c r="AN111" i="6"/>
  <c r="AJ111" i="6"/>
  <c r="AE48" i="6"/>
  <c r="AI10" i="6"/>
  <c r="AI20" i="5"/>
  <c r="AY215" i="6"/>
  <c r="AM215" i="6"/>
  <c r="AP163" i="6"/>
  <c r="AS111" i="6"/>
  <c r="BA215" i="6"/>
  <c r="AW215" i="6"/>
  <c r="AS215" i="6"/>
  <c r="AO215" i="6"/>
  <c r="AK215" i="6"/>
  <c r="AV163" i="6"/>
  <c r="AR163" i="6"/>
  <c r="AN163" i="6"/>
  <c r="AJ163" i="6"/>
  <c r="AU111" i="6"/>
  <c r="AQ111" i="6"/>
  <c r="AM111" i="6"/>
  <c r="AI111" i="6"/>
  <c r="AD48" i="6"/>
  <c r="AI11" i="6"/>
  <c r="AU215" i="6"/>
  <c r="AL163" i="6"/>
  <c r="AK111" i="6"/>
  <c r="AZ215" i="6"/>
  <c r="AV215" i="6"/>
  <c r="AR215" i="6"/>
  <c r="AN215" i="6"/>
  <c r="AJ215" i="6"/>
  <c r="AU163" i="6"/>
  <c r="AQ163" i="6"/>
  <c r="AM163" i="6"/>
  <c r="AI163" i="6"/>
  <c r="AT111" i="6"/>
  <c r="AP111" i="6"/>
  <c r="AL111" i="6"/>
  <c r="AH111" i="6"/>
  <c r="AH79" i="6" s="1" a="1"/>
  <c r="AH79" i="6" s="1"/>
  <c r="AG48" i="6"/>
  <c r="AC48" i="6"/>
  <c r="AQ215" i="6"/>
  <c r="AI215" i="6"/>
  <c r="AT163" i="6"/>
  <c r="AH163" i="6"/>
  <c r="AH131" i="6" s="1" a="1"/>
  <c r="AH131" i="6" s="1"/>
  <c r="AO111" i="6"/>
  <c r="AI15" i="6"/>
  <c r="AF48" i="6"/>
  <c r="AB48" i="6"/>
  <c r="AB16" i="6" s="1"/>
  <c r="L1322" i="6"/>
  <c r="I17" i="20"/>
  <c r="K1782" i="6"/>
  <c r="AH2835" i="6"/>
  <c r="AH92" i="9"/>
  <c r="AH66" i="9"/>
  <c r="AH64" i="9"/>
  <c r="AH61" i="9"/>
  <c r="AI3005" i="6" s="1"/>
  <c r="AH58" i="9"/>
  <c r="AH16" i="9"/>
  <c r="AH8" i="9"/>
  <c r="AI2670" i="6" s="1"/>
  <c r="AH3" i="9"/>
  <c r="AH69" i="9"/>
  <c r="AI93" i="9"/>
  <c r="AH74" i="9"/>
  <c r="AH68" i="9"/>
  <c r="AI2837" i="6" s="1"/>
  <c r="AH65" i="9"/>
  <c r="AH63" i="9"/>
  <c r="AI2835" i="6" s="1"/>
  <c r="AH57" i="9"/>
  <c r="AI3002" i="6" s="1"/>
  <c r="AH4" i="9"/>
  <c r="AH2223" i="6"/>
  <c r="AA45" i="5"/>
  <c r="AA47" i="5"/>
  <c r="AQ31" i="14"/>
  <c r="AP33" i="14"/>
  <c r="AK1558" i="6"/>
  <c r="AL1556" i="6"/>
  <c r="AU2203" i="6"/>
  <c r="AQ2203" i="6"/>
  <c r="AM2203" i="6"/>
  <c r="AI2203" i="6"/>
  <c r="AI2170" i="6" s="1"/>
  <c r="AT2151" i="6"/>
  <c r="AP2151" i="6"/>
  <c r="AL2151" i="6"/>
  <c r="AW2099" i="6"/>
  <c r="AS2099" i="6"/>
  <c r="AO2099" i="6"/>
  <c r="AK2099" i="6"/>
  <c r="AX2203" i="6"/>
  <c r="AT2203" i="6"/>
  <c r="AP2203" i="6"/>
  <c r="AL2203" i="6"/>
  <c r="AW2151" i="6"/>
  <c r="AS2151" i="6"/>
  <c r="AO2151" i="6"/>
  <c r="AK2151" i="6"/>
  <c r="AV2099" i="6"/>
  <c r="AR2099" i="6"/>
  <c r="AN2099" i="6"/>
  <c r="AJ2099" i="6"/>
  <c r="AH2045" i="6"/>
  <c r="AW2203" i="6"/>
  <c r="AS2203" i="6"/>
  <c r="AO2203" i="6"/>
  <c r="AK2203" i="6"/>
  <c r="AV2151" i="6"/>
  <c r="AR2151" i="6"/>
  <c r="AN2151" i="6"/>
  <c r="AJ2151" i="6"/>
  <c r="AU2099" i="6"/>
  <c r="AQ2099" i="6"/>
  <c r="AM2099" i="6"/>
  <c r="AI2099" i="6"/>
  <c r="AI2066" i="6" s="1" a="1"/>
  <c r="AI2066" i="6" s="1"/>
  <c r="AG2045" i="6"/>
  <c r="AV2203" i="6"/>
  <c r="AU2151" i="6"/>
  <c r="AT2099" i="6"/>
  <c r="AR2203" i="6"/>
  <c r="AQ2151" i="6"/>
  <c r="AP2099" i="6"/>
  <c r="AN2203" i="6"/>
  <c r="AM2151" i="6"/>
  <c r="AL2099" i="6"/>
  <c r="AJ2203" i="6"/>
  <c r="AI2151" i="6"/>
  <c r="AI2118" i="6" s="1" a="1"/>
  <c r="AI2118" i="6" s="1"/>
  <c r="AF2045" i="6"/>
  <c r="AF2012" i="6" s="1"/>
  <c r="AJ2011" i="6"/>
  <c r="AK2006" i="6"/>
  <c r="AJ2004" i="6"/>
  <c r="AJ2008" i="6"/>
  <c r="AK36" i="22"/>
  <c r="AL38" i="22"/>
  <c r="AL38" i="15"/>
  <c r="AM40" i="15"/>
  <c r="I24" i="13"/>
  <c r="K10" i="6"/>
  <c r="AL36" i="21"/>
  <c r="AM38" i="21"/>
  <c r="K1562" i="6"/>
  <c r="H2" i="19"/>
  <c r="Z1731" i="6"/>
  <c r="V1731" i="6"/>
  <c r="R1731" i="6"/>
  <c r="N1731" i="6"/>
  <c r="AA1679" i="6"/>
  <c r="AA1668" i="6" s="1" a="1"/>
  <c r="AA1668" i="6" s="1"/>
  <c r="W1679" i="6"/>
  <c r="S1679" i="6"/>
  <c r="O1679" i="6"/>
  <c r="Z1627" i="6"/>
  <c r="V1627" i="6"/>
  <c r="R1627" i="6"/>
  <c r="N1627" i="6"/>
  <c r="AA1731" i="6"/>
  <c r="U1731" i="6"/>
  <c r="P1731" i="6"/>
  <c r="Y1679" i="6"/>
  <c r="T1679" i="6"/>
  <c r="N1679" i="6"/>
  <c r="W1627" i="6"/>
  <c r="Q1627" i="6"/>
  <c r="Y1731" i="6"/>
  <c r="T1731" i="6"/>
  <c r="O1731" i="6"/>
  <c r="X1679" i="6"/>
  <c r="R1679" i="6"/>
  <c r="M1679" i="6"/>
  <c r="AA1627" i="6"/>
  <c r="AA1616" i="6" s="1" a="1"/>
  <c r="AA1616" i="6" s="1"/>
  <c r="U1627" i="6"/>
  <c r="P1627" i="6"/>
  <c r="J1573" i="6"/>
  <c r="J1571" i="6"/>
  <c r="J1562" i="6" s="1"/>
  <c r="X1731" i="6"/>
  <c r="S1731" i="6"/>
  <c r="M1731" i="6"/>
  <c r="V1679" i="6"/>
  <c r="Q1679" i="6"/>
  <c r="Y1627" i="6"/>
  <c r="T1627" i="6"/>
  <c r="O1627" i="6"/>
  <c r="AB1731" i="6"/>
  <c r="AB1720" i="6" s="1"/>
  <c r="W1731" i="6"/>
  <c r="Q1731" i="6"/>
  <c r="Z1679" i="6"/>
  <c r="U1679" i="6"/>
  <c r="P1679" i="6"/>
  <c r="X1627" i="6"/>
  <c r="S1627" i="6"/>
  <c r="M1627" i="6"/>
  <c r="J1572" i="6"/>
  <c r="Z1095" i="6"/>
  <c r="Z1096" i="6"/>
  <c r="AH1548" i="6"/>
  <c r="AG72" i="9"/>
  <c r="AG71" i="9"/>
  <c r="AH2838" i="6"/>
  <c r="AK3171" i="6"/>
  <c r="AK38" i="11"/>
  <c r="AG23" i="9"/>
  <c r="AG937" i="6"/>
  <c r="AG938" i="6"/>
  <c r="AG1095" i="6" s="1"/>
  <c r="AX1528" i="6"/>
  <c r="AT1528" i="6"/>
  <c r="AP1528" i="6"/>
  <c r="AL1528" i="6"/>
  <c r="AW1476" i="6"/>
  <c r="AS1476" i="6"/>
  <c r="AO1476" i="6"/>
  <c r="AK1476" i="6"/>
  <c r="AV1424" i="6"/>
  <c r="AR1424" i="6"/>
  <c r="AN1424" i="6"/>
  <c r="AJ1424" i="6"/>
  <c r="AH1370" i="6"/>
  <c r="AW1528" i="6"/>
  <c r="AS1528" i="6"/>
  <c r="AO1528" i="6"/>
  <c r="AK1528" i="6"/>
  <c r="AV1476" i="6"/>
  <c r="AR1476" i="6"/>
  <c r="AN1476" i="6"/>
  <c r="AJ1476" i="6"/>
  <c r="AU1424" i="6"/>
  <c r="AQ1424" i="6"/>
  <c r="AM1424" i="6"/>
  <c r="AI1424" i="6"/>
  <c r="AI1391" i="6" s="1" a="1"/>
  <c r="AI1391" i="6" s="1"/>
  <c r="AG1370" i="6"/>
  <c r="AV1528" i="6"/>
  <c r="AR1528" i="6"/>
  <c r="AN1528" i="6"/>
  <c r="AJ1528" i="6"/>
  <c r="AU1476" i="6"/>
  <c r="AQ1476" i="6"/>
  <c r="AM1476" i="6"/>
  <c r="AI1476" i="6"/>
  <c r="AI1443" i="6" s="1" a="1"/>
  <c r="AI1443" i="6" s="1"/>
  <c r="AT1424" i="6"/>
  <c r="AP1424" i="6"/>
  <c r="AL1424" i="6"/>
  <c r="AF1370" i="6"/>
  <c r="AF1337" i="6" s="1"/>
  <c r="AJ1336" i="6"/>
  <c r="AU1528" i="6"/>
  <c r="AQ1528" i="6"/>
  <c r="AM1528" i="6"/>
  <c r="AI1528" i="6"/>
  <c r="AI1495" i="6" s="1"/>
  <c r="AT1476" i="6"/>
  <c r="AP1476" i="6"/>
  <c r="AL1476" i="6"/>
  <c r="AW1424" i="6"/>
  <c r="AS1424" i="6"/>
  <c r="AO1424" i="6"/>
  <c r="AK1424" i="6"/>
  <c r="I17" i="21"/>
  <c r="K2007" i="6"/>
  <c r="AJ1560" i="6"/>
  <c r="AK1555" i="6"/>
  <c r="AK11" i="5"/>
  <c r="AI17" i="18"/>
  <c r="AI1332" i="6"/>
  <c r="AI38" i="23"/>
  <c r="AI31" i="22"/>
  <c r="AI31" i="20"/>
  <c r="AI31" i="21"/>
  <c r="AI31" i="19"/>
  <c r="AI36" i="17"/>
  <c r="AI48" i="14"/>
  <c r="AI41" i="16"/>
  <c r="AI33" i="15"/>
  <c r="AI31" i="18"/>
  <c r="AJ6" i="7"/>
  <c r="AI40" i="13"/>
  <c r="E2" i="13"/>
  <c r="AD194" i="6"/>
  <c r="Z194" i="6"/>
  <c r="V194" i="6"/>
  <c r="R194" i="6"/>
  <c r="N194" i="6"/>
  <c r="AA142" i="6"/>
  <c r="AA131" i="6" s="1" a="1"/>
  <c r="AA131" i="6" s="1"/>
  <c r="W142" i="6"/>
  <c r="S142" i="6"/>
  <c r="O142" i="6"/>
  <c r="Z90" i="6"/>
  <c r="V90" i="6"/>
  <c r="R90" i="6"/>
  <c r="N90" i="6"/>
  <c r="G24" i="6"/>
  <c r="AA194" i="6"/>
  <c r="W90" i="6"/>
  <c r="AG194" i="6"/>
  <c r="AG183" i="6" s="1"/>
  <c r="AC194" i="6"/>
  <c r="Y194" i="6"/>
  <c r="U194" i="6"/>
  <c r="Q194" i="6"/>
  <c r="M194" i="6"/>
  <c r="Z142" i="6"/>
  <c r="V142" i="6"/>
  <c r="R142" i="6"/>
  <c r="N142" i="6"/>
  <c r="Y90" i="6"/>
  <c r="U90" i="6"/>
  <c r="Q90" i="6"/>
  <c r="M90" i="6"/>
  <c r="G27" i="6"/>
  <c r="G23" i="6"/>
  <c r="W194" i="6"/>
  <c r="O194" i="6"/>
  <c r="X142" i="6"/>
  <c r="P142" i="6"/>
  <c r="AA90" i="6"/>
  <c r="AA79" i="6" s="1" a="1"/>
  <c r="AA79" i="6" s="1"/>
  <c r="O90" i="6"/>
  <c r="AF194" i="6"/>
  <c r="AB194" i="6"/>
  <c r="X194" i="6"/>
  <c r="T194" i="6"/>
  <c r="P194" i="6"/>
  <c r="Y142" i="6"/>
  <c r="U142" i="6"/>
  <c r="Q142" i="6"/>
  <c r="M142" i="6"/>
  <c r="X90" i="6"/>
  <c r="T90" i="6"/>
  <c r="P90" i="6"/>
  <c r="G26" i="6"/>
  <c r="G22" i="6"/>
  <c r="G16" i="6" s="1"/>
  <c r="AE194" i="6"/>
  <c r="S194" i="6"/>
  <c r="T142" i="6"/>
  <c r="S90" i="6"/>
  <c r="G25" i="6"/>
  <c r="AY2977" i="6"/>
  <c r="AU2977" i="6"/>
  <c r="AQ2977" i="6"/>
  <c r="AM2977" i="6"/>
  <c r="AI2977" i="6"/>
  <c r="AX2977" i="6"/>
  <c r="AT2977" i="6"/>
  <c r="AP2977" i="6"/>
  <c r="AL2977" i="6"/>
  <c r="AH2977" i="6"/>
  <c r="AW2977" i="6"/>
  <c r="AO2977" i="6"/>
  <c r="AG2977" i="6"/>
  <c r="AG2946" i="6" s="1"/>
  <c r="AV2977" i="6"/>
  <c r="AN2977" i="6"/>
  <c r="AG2839" i="6"/>
  <c r="BA2977" i="6"/>
  <c r="AS2977" i="6"/>
  <c r="AK2977" i="6"/>
  <c r="AR2977" i="6"/>
  <c r="AJ2977" i="6"/>
  <c r="AG2840" i="6"/>
  <c r="AZ2977" i="6"/>
  <c r="AG2945" i="6"/>
  <c r="AD2285" i="6"/>
  <c r="AD2286" i="6"/>
  <c r="AF1998" i="6"/>
  <c r="AH871" i="6"/>
  <c r="I21" i="17"/>
  <c r="K1106" i="6"/>
  <c r="L19" i="5" s="1"/>
  <c r="AR6" i="9"/>
  <c r="AZ388" i="6"/>
  <c r="AV388" i="6"/>
  <c r="AR388" i="6"/>
  <c r="AN388" i="6"/>
  <c r="AJ388" i="6"/>
  <c r="AY388" i="6"/>
  <c r="AU388" i="6"/>
  <c r="AQ388" i="6"/>
  <c r="AM388" i="6"/>
  <c r="AI388" i="6"/>
  <c r="AH249" i="6"/>
  <c r="AI29" i="5"/>
  <c r="BA388" i="6"/>
  <c r="AS388" i="6"/>
  <c r="AK388" i="6"/>
  <c r="BB388" i="6"/>
  <c r="AX388" i="6"/>
  <c r="AT388" i="6"/>
  <c r="AP388" i="6"/>
  <c r="AL388" i="6"/>
  <c r="AH388" i="6"/>
  <c r="AH356" i="6" s="1"/>
  <c r="AH250" i="6"/>
  <c r="AW388" i="6"/>
  <c r="AO388" i="6"/>
  <c r="AH355" i="6"/>
  <c r="AO50" i="13"/>
  <c r="AQ103" i="9"/>
  <c r="I77" i="6"/>
  <c r="I78" i="6"/>
  <c r="AE1548" i="6"/>
  <c r="AE1547" i="6"/>
  <c r="AP2755" i="6"/>
  <c r="AL2755" i="6"/>
  <c r="AH2755" i="6"/>
  <c r="AS2703" i="6"/>
  <c r="AO2703" i="6"/>
  <c r="AK2703" i="6"/>
  <c r="AG2703" i="6"/>
  <c r="AO2755" i="6"/>
  <c r="AJ2755" i="6"/>
  <c r="AE2755" i="6"/>
  <c r="AE2726" i="6" s="1" a="1"/>
  <c r="AE2726" i="6" s="1"/>
  <c r="AN2703" i="6"/>
  <c r="AI2703" i="6"/>
  <c r="AS2755" i="6"/>
  <c r="AN2755" i="6"/>
  <c r="AI2755" i="6"/>
  <c r="AR2703" i="6"/>
  <c r="AM2703" i="6"/>
  <c r="AH2703" i="6"/>
  <c r="AR2755" i="6"/>
  <c r="AM2755" i="6"/>
  <c r="AG2755" i="6"/>
  <c r="AQ2703" i="6"/>
  <c r="AL2703" i="6"/>
  <c r="AF2703" i="6"/>
  <c r="AQ2755" i="6"/>
  <c r="AP2703" i="6"/>
  <c r="AK2755" i="6"/>
  <c r="AJ2703" i="6"/>
  <c r="AF2755" i="6"/>
  <c r="AE2703" i="6"/>
  <c r="AE2674" i="6" s="1" a="1"/>
  <c r="AE2674" i="6" s="1"/>
  <c r="AJ2450" i="6"/>
  <c r="AK2448" i="6"/>
  <c r="AJ2449" i="6"/>
  <c r="AK16" i="5"/>
  <c r="AJ652" i="6"/>
  <c r="AJ656" i="6"/>
  <c r="AK654" i="6"/>
  <c r="AI39" i="23"/>
  <c r="AJ2451" i="6" s="1"/>
  <c r="AI32" i="22"/>
  <c r="AI32" i="21"/>
  <c r="AJ2009" i="6" s="1"/>
  <c r="AI32" i="19"/>
  <c r="AJ1559" i="6" s="1"/>
  <c r="AI32" i="18"/>
  <c r="AJ1334" i="6" s="1"/>
  <c r="AI32" i="20"/>
  <c r="AI42" i="16"/>
  <c r="AJ882" i="6" s="1"/>
  <c r="AI34" i="15"/>
  <c r="AJ657" i="6" s="1"/>
  <c r="AI37" i="17"/>
  <c r="AI49" i="14"/>
  <c r="AI41" i="13"/>
  <c r="AJ7" i="7"/>
  <c r="M660" i="6"/>
  <c r="AJ17" i="22"/>
  <c r="AJ877" i="6"/>
  <c r="AJ881" i="6"/>
  <c r="AK879" i="6"/>
  <c r="I19" i="17"/>
  <c r="K1105" i="6"/>
  <c r="AJ17" i="19"/>
  <c r="AJ1557" i="6"/>
  <c r="AF42" i="8"/>
  <c r="AG644" i="6" s="1"/>
  <c r="AF41" i="8"/>
  <c r="AG642" i="6" s="1"/>
  <c r="AF43" i="8"/>
  <c r="AG643" i="6" s="1"/>
  <c r="AG641" i="6"/>
  <c r="AH33" i="5" s="1"/>
  <c r="AO38" i="18"/>
  <c r="AS612" i="6"/>
  <c r="AO612" i="6"/>
  <c r="AK612" i="6"/>
  <c r="AG612" i="6"/>
  <c r="AG581" i="6" s="1"/>
  <c r="AT560" i="6"/>
  <c r="AP560" i="6"/>
  <c r="AL560" i="6"/>
  <c r="AH560" i="6"/>
  <c r="AT508" i="6"/>
  <c r="AP508" i="6"/>
  <c r="AL508" i="6"/>
  <c r="AH508" i="6"/>
  <c r="AD454" i="6"/>
  <c r="AD423" i="6" s="1"/>
  <c r="AH422" i="6"/>
  <c r="AV612" i="6"/>
  <c r="AR612" i="6"/>
  <c r="AN612" i="6"/>
  <c r="AJ612" i="6"/>
  <c r="AS560" i="6"/>
  <c r="AO560" i="6"/>
  <c r="AK560" i="6"/>
  <c r="AG560" i="6"/>
  <c r="AS508" i="6"/>
  <c r="AO508" i="6"/>
  <c r="AK508" i="6"/>
  <c r="AG508" i="6"/>
  <c r="AG477" i="6" s="1" a="1"/>
  <c r="AG477" i="6" s="1"/>
  <c r="AT612" i="6"/>
  <c r="AL612" i="6"/>
  <c r="AU560" i="6"/>
  <c r="AM560" i="6"/>
  <c r="AQ508" i="6"/>
  <c r="AI508" i="6"/>
  <c r="AU612" i="6"/>
  <c r="AQ612" i="6"/>
  <c r="AM612" i="6"/>
  <c r="AI612" i="6"/>
  <c r="AR560" i="6"/>
  <c r="AN560" i="6"/>
  <c r="AJ560" i="6"/>
  <c r="AR508" i="6"/>
  <c r="AN508" i="6"/>
  <c r="AJ508" i="6"/>
  <c r="AF454" i="6"/>
  <c r="AP612" i="6"/>
  <c r="AH612" i="6"/>
  <c r="AQ560" i="6"/>
  <c r="AI560" i="6"/>
  <c r="AU508" i="6"/>
  <c r="AM508" i="6"/>
  <c r="AE454" i="6"/>
  <c r="AM126" i="14"/>
  <c r="AN128" i="14"/>
  <c r="AD1547" i="6"/>
  <c r="AD1548" i="6"/>
  <c r="AJ2226" i="6"/>
  <c r="AI2230" i="6"/>
  <c r="AI2231" i="6"/>
  <c r="AJ13" i="5"/>
  <c r="AV1753" i="6"/>
  <c r="AR1753" i="6"/>
  <c r="AN1753" i="6"/>
  <c r="AJ1753" i="6"/>
  <c r="AU1701" i="6"/>
  <c r="AQ1701" i="6"/>
  <c r="AM1701" i="6"/>
  <c r="AI1701" i="6"/>
  <c r="AI1668" i="6" s="1" a="1"/>
  <c r="AI1668" i="6" s="1"/>
  <c r="AT1649" i="6"/>
  <c r="AP1649" i="6"/>
  <c r="AL1649" i="6"/>
  <c r="AW1753" i="6"/>
  <c r="AQ1753" i="6"/>
  <c r="AL1753" i="6"/>
  <c r="AV1701" i="6"/>
  <c r="AP1701" i="6"/>
  <c r="AK1701" i="6"/>
  <c r="AU1649" i="6"/>
  <c r="AO1649" i="6"/>
  <c r="AJ1649" i="6"/>
  <c r="AU1753" i="6"/>
  <c r="AP1753" i="6"/>
  <c r="AK1753" i="6"/>
  <c r="AT1701" i="6"/>
  <c r="AO1701" i="6"/>
  <c r="AJ1701" i="6"/>
  <c r="AS1649" i="6"/>
  <c r="AN1649" i="6"/>
  <c r="AI1649" i="6"/>
  <c r="AI1616" i="6" s="1" a="1"/>
  <c r="AI1616" i="6" s="1"/>
  <c r="AH1595" i="6"/>
  <c r="AT1753" i="6"/>
  <c r="AO1753" i="6"/>
  <c r="AI1753" i="6"/>
  <c r="AI1720" i="6" s="1"/>
  <c r="AS1701" i="6"/>
  <c r="AN1701" i="6"/>
  <c r="AW1649" i="6"/>
  <c r="AR1649" i="6"/>
  <c r="AM1649" i="6"/>
  <c r="AG1595" i="6"/>
  <c r="AX1753" i="6"/>
  <c r="AS1753" i="6"/>
  <c r="AM1753" i="6"/>
  <c r="AW1701" i="6"/>
  <c r="AR1701" i="6"/>
  <c r="AL1701" i="6"/>
  <c r="AV1649" i="6"/>
  <c r="AQ1649" i="6"/>
  <c r="AK1649" i="6"/>
  <c r="AF1595" i="6"/>
  <c r="AF1562" i="6" s="1"/>
  <c r="AJ1561" i="6"/>
  <c r="AI1785" i="6"/>
  <c r="AI1784" i="6"/>
  <c r="AJ1780" i="6"/>
  <c r="AJ12" i="5"/>
  <c r="J25" i="16"/>
  <c r="L880" i="6"/>
  <c r="AK39" i="18"/>
  <c r="AJ36" i="18"/>
  <c r="AE2064" i="6"/>
  <c r="AE2065" i="6"/>
  <c r="AE2222" i="6" s="1"/>
  <c r="AI17" i="20"/>
  <c r="AI1782" i="6"/>
  <c r="AI2506" i="6"/>
  <c r="AI2507" i="6"/>
  <c r="H16" i="6"/>
  <c r="AK56" i="17"/>
  <c r="AJ44" i="17"/>
  <c r="M476" i="6"/>
  <c r="M475" i="6"/>
  <c r="AE1998" i="6"/>
  <c r="AK70" i="13"/>
  <c r="AJ48" i="13"/>
  <c r="AG529" i="6" a="1"/>
  <c r="AG529" i="6" s="1"/>
  <c r="AG635" i="6"/>
  <c r="AH23" i="5" s="1"/>
  <c r="AG419" i="6"/>
  <c r="AH413" i="6"/>
  <c r="AF22" i="9"/>
  <c r="AH15" i="5"/>
  <c r="K2012" i="6"/>
  <c r="AC2223" i="6"/>
  <c r="AC2222" i="6"/>
  <c r="AQ32" i="14"/>
  <c r="AR30" i="14"/>
  <c r="AI2" i="5"/>
  <c r="K937" i="6"/>
  <c r="K938" i="6"/>
  <c r="H3" i="16"/>
  <c r="N1052" i="6"/>
  <c r="W1000" i="6"/>
  <c r="S1000" i="6"/>
  <c r="O1000" i="6"/>
  <c r="K1000" i="6"/>
  <c r="X948" i="6"/>
  <c r="T948" i="6"/>
  <c r="P948" i="6"/>
  <c r="L948" i="6"/>
  <c r="M1052" i="6"/>
  <c r="V1000" i="6"/>
  <c r="R1000" i="6"/>
  <c r="N1000" i="6"/>
  <c r="P1052" i="6"/>
  <c r="P1043" i="6" s="1"/>
  <c r="L1052" i="6"/>
  <c r="Y1000" i="6"/>
  <c r="Y991" i="6" s="1" a="1"/>
  <c r="Y991" i="6" s="1"/>
  <c r="U1000" i="6"/>
  <c r="Q1000" i="6"/>
  <c r="M1000" i="6"/>
  <c r="O1052" i="6"/>
  <c r="K1052" i="6"/>
  <c r="X1000" i="6"/>
  <c r="V948" i="6"/>
  <c r="Q948" i="6"/>
  <c r="K948" i="6"/>
  <c r="T1000" i="6"/>
  <c r="U948" i="6"/>
  <c r="O948" i="6"/>
  <c r="J894" i="6"/>
  <c r="J885" i="6" s="1"/>
  <c r="P1000" i="6"/>
  <c r="Y948" i="6"/>
  <c r="Y939" i="6" s="1" a="1"/>
  <c r="Y939" i="6" s="1"/>
  <c r="S948" i="6"/>
  <c r="N948" i="6"/>
  <c r="L1000" i="6"/>
  <c r="W948" i="6"/>
  <c r="R948" i="6"/>
  <c r="M948" i="6"/>
  <c r="AH2668" i="6"/>
  <c r="AZ3145" i="6"/>
  <c r="AV3145" i="6"/>
  <c r="AR3145" i="6"/>
  <c r="AN3145" i="6"/>
  <c r="AJ3145" i="6"/>
  <c r="AY3145" i="6"/>
  <c r="AU3145" i="6"/>
  <c r="AQ3145" i="6"/>
  <c r="AM3145" i="6"/>
  <c r="AI3145" i="6"/>
  <c r="AH3006" i="6"/>
  <c r="BA3145" i="6"/>
  <c r="AS3145" i="6"/>
  <c r="AK3145" i="6"/>
  <c r="AX3145" i="6"/>
  <c r="AP3145" i="6"/>
  <c r="AH3145" i="6"/>
  <c r="AH3113" i="6" s="1"/>
  <c r="AW3145" i="6"/>
  <c r="AO3145" i="6"/>
  <c r="BB3145" i="6"/>
  <c r="AH3007" i="6"/>
  <c r="AT3145" i="6"/>
  <c r="AL3145" i="6"/>
  <c r="AH3112" i="6"/>
  <c r="AH3165" i="6" s="1"/>
  <c r="AG2998" i="6"/>
  <c r="AD19" i="17"/>
  <c r="AD1105" i="6"/>
  <c r="AH59" i="12"/>
  <c r="AI248" i="6" s="1"/>
  <c r="AI60" i="12"/>
  <c r="AI246" i="6"/>
  <c r="L1614" i="6"/>
  <c r="L1615" i="6"/>
  <c r="AF3167" i="6"/>
  <c r="AF3166" i="6"/>
  <c r="AG44" i="8"/>
  <c r="AH24" i="8"/>
  <c r="AH35" i="5"/>
  <c r="AG416" i="6"/>
  <c r="L1389" i="6"/>
  <c r="L1390" i="6"/>
  <c r="AK68" i="12"/>
  <c r="AW1302" i="6"/>
  <c r="AS1302" i="6"/>
  <c r="AO1302" i="6"/>
  <c r="AK1302" i="6"/>
  <c r="AV1250" i="6"/>
  <c r="AR1250" i="6"/>
  <c r="AN1250" i="6"/>
  <c r="AJ1250" i="6"/>
  <c r="AS1198" i="6"/>
  <c r="AO1198" i="6"/>
  <c r="AK1198" i="6"/>
  <c r="AD1144" i="6"/>
  <c r="AV1302" i="6"/>
  <c r="AR1302" i="6"/>
  <c r="AN1302" i="6"/>
  <c r="AJ1302" i="6"/>
  <c r="AU1250" i="6"/>
  <c r="AQ1250" i="6"/>
  <c r="AM1250" i="6"/>
  <c r="AI1250" i="6"/>
  <c r="AV1198" i="6"/>
  <c r="AR1198" i="6"/>
  <c r="AN1198" i="6"/>
  <c r="AJ1198" i="6"/>
  <c r="AG1144" i="6"/>
  <c r="AC1144" i="6"/>
  <c r="AU1302" i="6"/>
  <c r="AQ1302" i="6"/>
  <c r="AM1302" i="6"/>
  <c r="AI1302" i="6"/>
  <c r="AT1250" i="6"/>
  <c r="AP1250" i="6"/>
  <c r="AL1250" i="6"/>
  <c r="AH1250" i="6"/>
  <c r="AU1198" i="6"/>
  <c r="AQ1198" i="6"/>
  <c r="AM1198" i="6"/>
  <c r="AI1198" i="6"/>
  <c r="AF1144" i="6"/>
  <c r="AB1144" i="6"/>
  <c r="AB1112" i="6" s="1"/>
  <c r="AI1111" i="6"/>
  <c r="AT1302" i="6"/>
  <c r="AP1302" i="6"/>
  <c r="AL1302" i="6"/>
  <c r="AH1302" i="6"/>
  <c r="AH1270" i="6" s="1"/>
  <c r="AS1250" i="6"/>
  <c r="AO1250" i="6"/>
  <c r="AK1250" i="6"/>
  <c r="AT1198" i="6"/>
  <c r="AP1198" i="6"/>
  <c r="AL1198" i="6"/>
  <c r="AH1198" i="6"/>
  <c r="AH1166" i="6" s="1" a="1"/>
  <c r="AH1166" i="6" s="1"/>
  <c r="AE1144" i="6"/>
  <c r="AL36" i="19"/>
  <c r="AM38" i="19"/>
  <c r="J2285" i="6"/>
  <c r="J2286" i="6"/>
  <c r="G2" i="22"/>
  <c r="Y2401" i="6"/>
  <c r="U2401" i="6"/>
  <c r="Q2401" i="6"/>
  <c r="M2401" i="6"/>
  <c r="AJ2349" i="6"/>
  <c r="AF2349" i="6"/>
  <c r="AB2349" i="6"/>
  <c r="X2349" i="6"/>
  <c r="T2349" i="6"/>
  <c r="P2349" i="6"/>
  <c r="L2349" i="6"/>
  <c r="AH2297" i="6"/>
  <c r="AD2297" i="6"/>
  <c r="Z2297" i="6"/>
  <c r="V2297" i="6"/>
  <c r="R2297" i="6"/>
  <c r="N2297" i="6"/>
  <c r="X2401" i="6"/>
  <c r="T2401" i="6"/>
  <c r="P2401" i="6"/>
  <c r="L2401" i="6"/>
  <c r="AI2349" i="6"/>
  <c r="AE2349" i="6"/>
  <c r="AA2349" i="6"/>
  <c r="W2349" i="6"/>
  <c r="S2349" i="6"/>
  <c r="O2349" i="6"/>
  <c r="AG2297" i="6"/>
  <c r="AC2297" i="6"/>
  <c r="Y2297" i="6"/>
  <c r="U2297" i="6"/>
  <c r="Q2297" i="6"/>
  <c r="M2297" i="6"/>
  <c r="I2243" i="6"/>
  <c r="I2241" i="6"/>
  <c r="AA2401" i="6"/>
  <c r="AA2391" i="6" s="1"/>
  <c r="W2401" i="6"/>
  <c r="S2401" i="6"/>
  <c r="O2401" i="6"/>
  <c r="AH2349" i="6"/>
  <c r="AD2349" i="6"/>
  <c r="Z2349" i="6"/>
  <c r="V2349" i="6"/>
  <c r="R2349" i="6"/>
  <c r="N2349" i="6"/>
  <c r="AJ2297" i="6"/>
  <c r="AF2297" i="6"/>
  <c r="AB2297" i="6"/>
  <c r="X2297" i="6"/>
  <c r="T2297" i="6"/>
  <c r="P2297" i="6"/>
  <c r="L2297" i="6"/>
  <c r="Z2401" i="6"/>
  <c r="V2401" i="6"/>
  <c r="R2401" i="6"/>
  <c r="N2401" i="6"/>
  <c r="AG2349" i="6"/>
  <c r="AC2349" i="6"/>
  <c r="Y2349" i="6"/>
  <c r="U2349" i="6"/>
  <c r="Q2349" i="6"/>
  <c r="M2349" i="6"/>
  <c r="AI2297" i="6"/>
  <c r="AE2297" i="6"/>
  <c r="AA2297" i="6"/>
  <c r="W2297" i="6"/>
  <c r="S2297" i="6"/>
  <c r="O2297" i="6"/>
  <c r="I2242" i="6"/>
  <c r="AI17" i="21"/>
  <c r="AI2007" i="6"/>
  <c r="AX2809" i="6"/>
  <c r="AT2809" i="6"/>
  <c r="AP2809" i="6"/>
  <c r="AL2809" i="6"/>
  <c r="AH2809" i="6"/>
  <c r="AV2809" i="6"/>
  <c r="AQ2809" i="6"/>
  <c r="AK2809" i="6"/>
  <c r="AF2809" i="6"/>
  <c r="AF2779" i="6" s="1"/>
  <c r="AZ2809" i="6"/>
  <c r="AU2809" i="6"/>
  <c r="AO2809" i="6"/>
  <c r="AJ2809" i="6"/>
  <c r="AW2809" i="6"/>
  <c r="AM2809" i="6"/>
  <c r="AS2809" i="6"/>
  <c r="AI2809" i="6"/>
  <c r="AR2809" i="6"/>
  <c r="AG2809" i="6"/>
  <c r="AY2809" i="6"/>
  <c r="AN2809" i="6"/>
  <c r="AF2672" i="6"/>
  <c r="AF2673" i="6"/>
  <c r="AG27" i="5"/>
  <c r="AF2778" i="6"/>
  <c r="AF2831" i="6" s="1"/>
  <c r="AK408" i="6"/>
  <c r="AK247" i="6"/>
  <c r="AK244" i="6"/>
  <c r="AL28" i="5" s="1"/>
  <c r="AK245" i="6"/>
  <c r="AK67" i="12"/>
  <c r="M1390" i="6"/>
  <c r="M1389" i="6"/>
  <c r="AI2664" i="6"/>
  <c r="AI2665" i="6"/>
  <c r="AS2923" i="6"/>
  <c r="AO2923" i="6"/>
  <c r="AK2923" i="6"/>
  <c r="AG2923" i="6"/>
  <c r="AR2871" i="6"/>
  <c r="AN2871" i="6"/>
  <c r="AJ2871" i="6"/>
  <c r="AF2871" i="6"/>
  <c r="AF2841" i="6" s="1" a="1"/>
  <c r="AF2841" i="6" s="1"/>
  <c r="AQ2923" i="6"/>
  <c r="AL2923" i="6"/>
  <c r="AF2923" i="6"/>
  <c r="AF2893" i="6" s="1" a="1"/>
  <c r="AF2893" i="6" s="1"/>
  <c r="AP2871" i="6"/>
  <c r="AK2871" i="6"/>
  <c r="AP2923" i="6"/>
  <c r="AJ2923" i="6"/>
  <c r="AT2871" i="6"/>
  <c r="AO2871" i="6"/>
  <c r="AI2871" i="6"/>
  <c r="AT2923" i="6"/>
  <c r="AN2923" i="6"/>
  <c r="AI2923" i="6"/>
  <c r="AH2923" i="6"/>
  <c r="AL2871" i="6"/>
  <c r="AS2871" i="6"/>
  <c r="AH2871" i="6"/>
  <c r="AR2923" i="6"/>
  <c r="AQ2871" i="6"/>
  <c r="AG2871" i="6"/>
  <c r="AM2923" i="6"/>
  <c r="AM2871" i="6"/>
  <c r="AC46" i="5"/>
  <c r="AC44" i="5"/>
  <c r="AH1218" i="6" a="1"/>
  <c r="AH1218" i="6" s="1"/>
  <c r="J2" i="15"/>
  <c r="Q830" i="6"/>
  <c r="AA778" i="6"/>
  <c r="W778" i="6"/>
  <c r="S778" i="6"/>
  <c r="O778" i="6"/>
  <c r="AB726" i="6"/>
  <c r="AB714" i="6" s="1" a="1"/>
  <c r="AB714" i="6" s="1"/>
  <c r="X726" i="6"/>
  <c r="T726" i="6"/>
  <c r="P726" i="6"/>
  <c r="P830" i="6"/>
  <c r="Z778" i="6"/>
  <c r="V778" i="6"/>
  <c r="R778" i="6"/>
  <c r="N778" i="6"/>
  <c r="AA726" i="6"/>
  <c r="W726" i="6"/>
  <c r="S726" i="6"/>
  <c r="O726" i="6"/>
  <c r="L672" i="6"/>
  <c r="S830" i="6"/>
  <c r="S818" i="6" s="1"/>
  <c r="O830" i="6"/>
  <c r="Y778" i="6"/>
  <c r="U778" i="6"/>
  <c r="Q778" i="6"/>
  <c r="Z726" i="6"/>
  <c r="V726" i="6"/>
  <c r="R726" i="6"/>
  <c r="N726" i="6"/>
  <c r="L671" i="6"/>
  <c r="R830" i="6"/>
  <c r="N830" i="6"/>
  <c r="AB778" i="6"/>
  <c r="AB766" i="6" s="1" a="1"/>
  <c r="AB766" i="6" s="1"/>
  <c r="X778" i="6"/>
  <c r="T778" i="6"/>
  <c r="P778" i="6"/>
  <c r="Y726" i="6"/>
  <c r="U726" i="6"/>
  <c r="Q726" i="6"/>
  <c r="I17" i="22"/>
  <c r="K2228" i="6"/>
  <c r="AL3004" i="6"/>
  <c r="AL60" i="9"/>
  <c r="AR38" i="20"/>
  <c r="K1323" i="6"/>
  <c r="K1322" i="6"/>
  <c r="AM46" i="16"/>
  <c r="AN48" i="16"/>
  <c r="AH23" i="9"/>
  <c r="AA2664" i="6"/>
  <c r="AA2665" i="6"/>
  <c r="H2" i="23"/>
  <c r="G2" i="23" s="1"/>
  <c r="F2" i="23" s="1"/>
  <c r="E2" i="23" s="1"/>
  <c r="D2" i="23" s="1"/>
  <c r="C2" i="23" s="1"/>
  <c r="B2" i="23" s="1"/>
  <c r="W2621" i="6"/>
  <c r="W2612" i="6" s="1"/>
  <c r="S2621" i="6"/>
  <c r="S2612" i="6" s="1"/>
  <c r="O2621" i="6"/>
  <c r="O2612" i="6" s="1"/>
  <c r="K2621" i="6"/>
  <c r="K2612" i="6" s="1"/>
  <c r="K2665" i="6" s="1"/>
  <c r="Y2569" i="6"/>
  <c r="Y2560" i="6" s="1" a="1"/>
  <c r="Y2560" i="6" s="1"/>
  <c r="U2569" i="6"/>
  <c r="U2560" i="6" s="1" a="1"/>
  <c r="U2560" i="6" s="1"/>
  <c r="Q2569" i="6"/>
  <c r="Q2560" i="6" s="1" a="1"/>
  <c r="Q2560" i="6" s="1"/>
  <c r="M2569" i="6"/>
  <c r="M2560" i="6" s="1" a="1"/>
  <c r="M2560" i="6" s="1"/>
  <c r="X2517" i="6"/>
  <c r="X2508" i="6" s="1" a="1"/>
  <c r="X2508" i="6" s="1"/>
  <c r="T2517" i="6"/>
  <c r="T2508" i="6" s="1" a="1"/>
  <c r="T2508" i="6" s="1"/>
  <c r="P2517" i="6"/>
  <c r="P2508" i="6" s="1" a="1"/>
  <c r="P2508" i="6" s="1"/>
  <c r="L2517" i="6"/>
  <c r="L2508" i="6" s="1" a="1"/>
  <c r="L2508" i="6" s="1"/>
  <c r="V2621" i="6"/>
  <c r="V2612" i="6" s="1"/>
  <c r="Q2621" i="6"/>
  <c r="Q2612" i="6" s="1"/>
  <c r="L2621" i="6"/>
  <c r="L2612" i="6" s="1"/>
  <c r="W2569" i="6"/>
  <c r="W2560" i="6" s="1" a="1"/>
  <c r="W2560" i="6" s="1"/>
  <c r="R2569" i="6"/>
  <c r="R2560" i="6" s="1" a="1"/>
  <c r="R2560" i="6" s="1"/>
  <c r="L2569" i="6"/>
  <c r="L2560" i="6" s="1" a="1"/>
  <c r="L2560" i="6" s="1"/>
  <c r="Y2517" i="6"/>
  <c r="Y2508" i="6" s="1" a="1"/>
  <c r="Y2508" i="6" s="1"/>
  <c r="S2517" i="6"/>
  <c r="S2508" i="6" s="1" a="1"/>
  <c r="S2508" i="6" s="1"/>
  <c r="N2517" i="6"/>
  <c r="N2508" i="6" s="1" a="1"/>
  <c r="N2508" i="6" s="1"/>
  <c r="Z2621" i="6"/>
  <c r="Z2612" i="6" s="1"/>
  <c r="U2621" i="6"/>
  <c r="U2612" i="6" s="1"/>
  <c r="P2621" i="6"/>
  <c r="P2612" i="6" s="1"/>
  <c r="V2569" i="6"/>
  <c r="V2560" i="6" s="1" a="1"/>
  <c r="V2560" i="6" s="1"/>
  <c r="P2569" i="6"/>
  <c r="P2560" i="6" s="1" a="1"/>
  <c r="P2560" i="6" s="1"/>
  <c r="K2569" i="6"/>
  <c r="K2560" i="6" s="1" a="1"/>
  <c r="K2560" i="6" s="1"/>
  <c r="K2664" i="6" s="1"/>
  <c r="W2517" i="6"/>
  <c r="W2508" i="6" s="1" a="1"/>
  <c r="W2508" i="6" s="1"/>
  <c r="R2517" i="6"/>
  <c r="R2508" i="6" s="1" a="1"/>
  <c r="R2508" i="6" s="1"/>
  <c r="M2517" i="6"/>
  <c r="M2508" i="6" s="1" a="1"/>
  <c r="M2508" i="6" s="1"/>
  <c r="Y2621" i="6"/>
  <c r="Y2612" i="6" s="1"/>
  <c r="T2621" i="6"/>
  <c r="T2612" i="6" s="1"/>
  <c r="N2621" i="6"/>
  <c r="N2612" i="6" s="1"/>
  <c r="T2569" i="6"/>
  <c r="T2560" i="6" s="1" a="1"/>
  <c r="T2560" i="6" s="1"/>
  <c r="O2569" i="6"/>
  <c r="O2560" i="6" s="1" a="1"/>
  <c r="O2560" i="6" s="1"/>
  <c r="V2517" i="6"/>
  <c r="V2508" i="6" s="1" a="1"/>
  <c r="V2508" i="6" s="1"/>
  <c r="Q2517" i="6"/>
  <c r="Q2508" i="6" s="1" a="1"/>
  <c r="Q2508" i="6" s="1"/>
  <c r="K2517" i="6"/>
  <c r="K2508" i="6" s="1" a="1"/>
  <c r="K2508" i="6" s="1"/>
  <c r="M2621" i="6"/>
  <c r="M2612" i="6" s="1"/>
  <c r="J2463" i="6"/>
  <c r="J2454" i="6" s="1"/>
  <c r="X2569" i="6"/>
  <c r="X2560" i="6" s="1" a="1"/>
  <c r="X2560" i="6" s="1"/>
  <c r="X2621" i="6"/>
  <c r="X2612" i="6" s="1"/>
  <c r="S2569" i="6"/>
  <c r="S2560" i="6" s="1" a="1"/>
  <c r="S2560" i="6" s="1"/>
  <c r="U2517" i="6"/>
  <c r="U2508" i="6" s="1" a="1"/>
  <c r="U2508" i="6" s="1"/>
  <c r="R2621" i="6"/>
  <c r="R2612" i="6" s="1"/>
  <c r="N2569" i="6"/>
  <c r="N2560" i="6" s="1" a="1"/>
  <c r="N2560" i="6" s="1"/>
  <c r="O2517" i="6"/>
  <c r="O2508" i="6" s="1" a="1"/>
  <c r="O2508" i="6" s="1"/>
  <c r="AH14" i="13"/>
  <c r="AI7" i="6"/>
  <c r="AI237" i="6"/>
  <c r="AI12" i="6"/>
  <c r="AJ9" i="6"/>
  <c r="AI24" i="9"/>
  <c r="L1787" i="6"/>
  <c r="O45" i="5"/>
  <c r="O47" i="5"/>
  <c r="AL1076" i="6"/>
  <c r="AU1024" i="6"/>
  <c r="AQ1024" i="6"/>
  <c r="AM1024" i="6"/>
  <c r="AI1024" i="6"/>
  <c r="AI991" i="6" s="1" a="1"/>
  <c r="AI991" i="6" s="1"/>
  <c r="AV972" i="6"/>
  <c r="AR972" i="6"/>
  <c r="AN972" i="6"/>
  <c r="AJ972" i="6"/>
  <c r="AK1076" i="6"/>
  <c r="AT1024" i="6"/>
  <c r="AP1024" i="6"/>
  <c r="AL1024" i="6"/>
  <c r="AN1076" i="6"/>
  <c r="AJ1076" i="6"/>
  <c r="AW1024" i="6"/>
  <c r="AS1024" i="6"/>
  <c r="AO1024" i="6"/>
  <c r="AK1024" i="6"/>
  <c r="AT972" i="6"/>
  <c r="AP972" i="6"/>
  <c r="AL972" i="6"/>
  <c r="AM1076" i="6"/>
  <c r="AI1076" i="6"/>
  <c r="AI1043" i="6" s="1"/>
  <c r="AN1024" i="6"/>
  <c r="AQ972" i="6"/>
  <c r="AI972" i="6"/>
  <c r="AI939" i="6" s="1" a="1"/>
  <c r="AI939" i="6" s="1"/>
  <c r="AJ1024" i="6"/>
  <c r="AW972" i="6"/>
  <c r="AO972" i="6"/>
  <c r="AH918" i="6"/>
  <c r="AH885" i="6" s="1"/>
  <c r="AV1024" i="6"/>
  <c r="AU972" i="6"/>
  <c r="AM972" i="6"/>
  <c r="AJ884" i="6"/>
  <c r="AR1024" i="6"/>
  <c r="AS972" i="6"/>
  <c r="AK972" i="6"/>
  <c r="I2" i="18"/>
  <c r="AC1507" i="6"/>
  <c r="AC1495" i="6" s="1"/>
  <c r="Y1507" i="6"/>
  <c r="U1507" i="6"/>
  <c r="Q1507" i="6"/>
  <c r="AA1455" i="6"/>
  <c r="W1455" i="6"/>
  <c r="S1455" i="6"/>
  <c r="O1455" i="6"/>
  <c r="Z1403" i="6"/>
  <c r="V1403" i="6"/>
  <c r="R1403" i="6"/>
  <c r="N1403" i="6"/>
  <c r="AB1507" i="6"/>
  <c r="X1507" i="6"/>
  <c r="T1507" i="6"/>
  <c r="P1507" i="6"/>
  <c r="Z1455" i="6"/>
  <c r="V1455" i="6"/>
  <c r="R1455" i="6"/>
  <c r="N1455" i="6"/>
  <c r="Y1403" i="6"/>
  <c r="U1403" i="6"/>
  <c r="Q1403" i="6"/>
  <c r="K1349" i="6"/>
  <c r="K1347" i="6"/>
  <c r="AA1507" i="6"/>
  <c r="W1507" i="6"/>
  <c r="S1507" i="6"/>
  <c r="O1507" i="6"/>
  <c r="Y1455" i="6"/>
  <c r="U1455" i="6"/>
  <c r="Q1455" i="6"/>
  <c r="AB1403" i="6"/>
  <c r="AB1391" i="6" s="1" a="1"/>
  <c r="AB1391" i="6" s="1"/>
  <c r="X1403" i="6"/>
  <c r="T1403" i="6"/>
  <c r="P1403" i="6"/>
  <c r="Z1507" i="6"/>
  <c r="V1507" i="6"/>
  <c r="R1507" i="6"/>
  <c r="N1507" i="6"/>
  <c r="AB1455" i="6"/>
  <c r="AB1443" i="6" s="1" a="1"/>
  <c r="AB1443" i="6" s="1"/>
  <c r="X1455" i="6"/>
  <c r="T1455" i="6"/>
  <c r="P1455" i="6"/>
  <c r="AA1403" i="6"/>
  <c r="W1403" i="6"/>
  <c r="S1403" i="6"/>
  <c r="O1403" i="6"/>
  <c r="K1348" i="6"/>
  <c r="AU2423" i="6"/>
  <c r="AQ2423" i="6"/>
  <c r="AM2423" i="6"/>
  <c r="AI2423" i="6"/>
  <c r="BD2371" i="6"/>
  <c r="AZ2371" i="6"/>
  <c r="AV2371" i="6"/>
  <c r="AR2371" i="6"/>
  <c r="AN2371" i="6"/>
  <c r="AJ2371" i="6"/>
  <c r="BF2319" i="6"/>
  <c r="BB2319" i="6"/>
  <c r="AX2319" i="6"/>
  <c r="AT2319" i="6"/>
  <c r="AP2319" i="6"/>
  <c r="AL2319" i="6"/>
  <c r="AH2319" i="6"/>
  <c r="AT2423" i="6"/>
  <c r="AP2423" i="6"/>
  <c r="AL2423" i="6"/>
  <c r="AH2423" i="6"/>
  <c r="AH2391" i="6" s="1"/>
  <c r="BC2371" i="6"/>
  <c r="AY2371" i="6"/>
  <c r="AU2371" i="6"/>
  <c r="AQ2371" i="6"/>
  <c r="AM2371" i="6"/>
  <c r="AI2371" i="6"/>
  <c r="BE2319" i="6"/>
  <c r="BA2319" i="6"/>
  <c r="AW2319" i="6"/>
  <c r="AS2319" i="6"/>
  <c r="AO2319" i="6"/>
  <c r="AK2319" i="6"/>
  <c r="AG2265" i="6"/>
  <c r="AI2232" i="6"/>
  <c r="AW2423" i="6"/>
  <c r="AS2423" i="6"/>
  <c r="AO2423" i="6"/>
  <c r="AK2423" i="6"/>
  <c r="BF2371" i="6"/>
  <c r="BB2371" i="6"/>
  <c r="AX2371" i="6"/>
  <c r="AT2371" i="6"/>
  <c r="AP2371" i="6"/>
  <c r="AL2371" i="6"/>
  <c r="AH2371" i="6"/>
  <c r="BD2319" i="6"/>
  <c r="AZ2319" i="6"/>
  <c r="AV2319" i="6"/>
  <c r="AR2319" i="6"/>
  <c r="AN2319" i="6"/>
  <c r="AJ2319" i="6"/>
  <c r="AF2265" i="6"/>
  <c r="AV2423" i="6"/>
  <c r="AR2423" i="6"/>
  <c r="AN2423" i="6"/>
  <c r="AJ2423" i="6"/>
  <c r="BE2371" i="6"/>
  <c r="BA2371" i="6"/>
  <c r="AW2371" i="6"/>
  <c r="AS2371" i="6"/>
  <c r="AO2371" i="6"/>
  <c r="AK2371" i="6"/>
  <c r="BC2319" i="6"/>
  <c r="AY2319" i="6"/>
  <c r="AU2319" i="6"/>
  <c r="AQ2319" i="6"/>
  <c r="AM2319" i="6"/>
  <c r="AI2319" i="6"/>
  <c r="AE2265" i="6"/>
  <c r="AE2233" i="6" s="1"/>
  <c r="J23" i="14"/>
  <c r="L415" i="6"/>
  <c r="M17" i="5" s="1"/>
  <c r="M24" i="5" s="1"/>
  <c r="M42" i="5" s="1"/>
  <c r="AW1977" i="6"/>
  <c r="AS1977" i="6"/>
  <c r="AO1977" i="6"/>
  <c r="AK1977" i="6"/>
  <c r="AU1925" i="6"/>
  <c r="AQ1925" i="6"/>
  <c r="AM1925" i="6"/>
  <c r="AI1925" i="6"/>
  <c r="AT1873" i="6"/>
  <c r="AP1873" i="6"/>
  <c r="AL1873" i="6"/>
  <c r="AH1873" i="6"/>
  <c r="AH1841" i="6" s="1" a="1"/>
  <c r="AH1841" i="6" s="1"/>
  <c r="AV1977" i="6"/>
  <c r="AR1977" i="6"/>
  <c r="AN1977" i="6"/>
  <c r="AJ1977" i="6"/>
  <c r="AT1925" i="6"/>
  <c r="AP1925" i="6"/>
  <c r="AL1925" i="6"/>
  <c r="AH1925" i="6"/>
  <c r="AH1893" i="6" s="1" a="1"/>
  <c r="AH1893" i="6" s="1"/>
  <c r="AS1873" i="6"/>
  <c r="AO1873" i="6"/>
  <c r="AK1873" i="6"/>
  <c r="AE1819" i="6"/>
  <c r="AE1787" i="6" s="1"/>
  <c r="AU1977" i="6"/>
  <c r="AQ1977" i="6"/>
  <c r="AM1977" i="6"/>
  <c r="AI1977" i="6"/>
  <c r="AS1925" i="6"/>
  <c r="AO1925" i="6"/>
  <c r="AK1925" i="6"/>
  <c r="AV1873" i="6"/>
  <c r="AR1873" i="6"/>
  <c r="AN1873" i="6"/>
  <c r="AJ1873" i="6"/>
  <c r="AL1977" i="6"/>
  <c r="AJ1925" i="6"/>
  <c r="AI1873" i="6"/>
  <c r="AH1977" i="6"/>
  <c r="AH1945" i="6" s="1"/>
  <c r="AV1925" i="6"/>
  <c r="AU1873" i="6"/>
  <c r="AT1977" i="6"/>
  <c r="AR1925" i="6"/>
  <c r="AQ1873" i="6"/>
  <c r="AG1819" i="6"/>
  <c r="AI1786" i="6"/>
  <c r="AP1977" i="6"/>
  <c r="AN1925" i="6"/>
  <c r="AM1873" i="6"/>
  <c r="AF1819" i="6"/>
  <c r="AF15" i="9"/>
  <c r="AG2671" i="6" s="1"/>
  <c r="AG20" i="9"/>
  <c r="AI1102" i="6"/>
  <c r="AJ1104" i="6"/>
  <c r="AI1108" i="6"/>
  <c r="AK61" i="12"/>
  <c r="M1840" i="6"/>
  <c r="M1839" i="6"/>
  <c r="AI1779" i="6"/>
  <c r="AJ1781" i="6"/>
  <c r="AI1783" i="6"/>
  <c r="AC476" i="6"/>
  <c r="AC475" i="6"/>
  <c r="BB334" i="6"/>
  <c r="AX334" i="6"/>
  <c r="AT334" i="6"/>
  <c r="AP334" i="6"/>
  <c r="AL334" i="6"/>
  <c r="AH334" i="6"/>
  <c r="BC282" i="6"/>
  <c r="AY282" i="6"/>
  <c r="AU282" i="6"/>
  <c r="AQ282" i="6"/>
  <c r="AM282" i="6"/>
  <c r="AI282" i="6"/>
  <c r="AY334" i="6"/>
  <c r="AM334" i="6"/>
  <c r="AR282" i="6"/>
  <c r="BE334" i="6"/>
  <c r="BA334" i="6"/>
  <c r="AW334" i="6"/>
  <c r="AS334" i="6"/>
  <c r="AO334" i="6"/>
  <c r="AK334" i="6"/>
  <c r="AG334" i="6"/>
  <c r="AG303" i="6" s="1" a="1"/>
  <c r="AG303" i="6" s="1"/>
  <c r="BB282" i="6"/>
  <c r="AX282" i="6"/>
  <c r="AT282" i="6"/>
  <c r="AP282" i="6"/>
  <c r="AL282" i="6"/>
  <c r="AH282" i="6"/>
  <c r="AQ334" i="6"/>
  <c r="AI334" i="6"/>
  <c r="BD282" i="6"/>
  <c r="AZ282" i="6"/>
  <c r="AN282" i="6"/>
  <c r="BD334" i="6"/>
  <c r="AZ334" i="6"/>
  <c r="AV334" i="6"/>
  <c r="AR334" i="6"/>
  <c r="AN334" i="6"/>
  <c r="AJ334" i="6"/>
  <c r="BE282" i="6"/>
  <c r="BA282" i="6"/>
  <c r="AW282" i="6"/>
  <c r="AS282" i="6"/>
  <c r="AO282" i="6"/>
  <c r="AK282" i="6"/>
  <c r="AG282" i="6"/>
  <c r="AG251" i="6" s="1" a="1"/>
  <c r="AG251" i="6" s="1"/>
  <c r="AG409" i="6" s="1"/>
  <c r="BC334" i="6"/>
  <c r="AU334" i="6"/>
  <c r="AV282" i="6"/>
  <c r="AJ282" i="6"/>
  <c r="AJ66" i="14"/>
  <c r="AI57" i="14"/>
  <c r="AI56" i="14" s="1"/>
  <c r="AI14" i="6"/>
  <c r="AJ8" i="6"/>
  <c r="AJ2" i="5"/>
  <c r="AI13" i="6"/>
  <c r="AJ3" i="5"/>
  <c r="AS5" i="9"/>
  <c r="AH303" i="6" l="1" a="1"/>
  <c r="AH303" i="6" s="1"/>
  <c r="AD475" i="6"/>
  <c r="AD476" i="6"/>
  <c r="AI2223" i="6"/>
  <c r="AG3166" i="6"/>
  <c r="AG3167" i="6"/>
  <c r="AG712" i="6"/>
  <c r="AG713" i="6"/>
  <c r="AG870" i="6" s="1"/>
  <c r="AI871" i="6"/>
  <c r="AI1548" i="6"/>
  <c r="AH1998" i="6"/>
  <c r="M46" i="5"/>
  <c r="M44" i="5"/>
  <c r="AI1096" i="6"/>
  <c r="AB1164" i="6"/>
  <c r="AB1165" i="6"/>
  <c r="AB1322" i="6" s="1"/>
  <c r="AJ1668" i="6" a="1"/>
  <c r="AJ1668" i="6" s="1"/>
  <c r="AJ1391" i="6" a="1"/>
  <c r="AJ1391" i="6" s="1"/>
  <c r="AJ2066" i="6" a="1"/>
  <c r="AJ2066" i="6" s="1"/>
  <c r="AI183" i="6"/>
  <c r="AI236" i="6" s="1"/>
  <c r="AF3000" i="6"/>
  <c r="AF2999" i="6"/>
  <c r="AJ714" i="6" a="1"/>
  <c r="AJ714" i="6" s="1"/>
  <c r="AH251" i="6" a="1"/>
  <c r="AH251" i="6" s="1"/>
  <c r="AH409" i="6" s="1"/>
  <c r="AE2833" i="6"/>
  <c r="AE2832" i="6"/>
  <c r="BB216" i="6"/>
  <c r="AX216" i="6"/>
  <c r="AT216" i="6"/>
  <c r="AP216" i="6"/>
  <c r="AL216" i="6"/>
  <c r="AU164" i="6"/>
  <c r="AQ164" i="6"/>
  <c r="AM164" i="6"/>
  <c r="AI164" i="6"/>
  <c r="AI131" i="6" s="1" a="1"/>
  <c r="AI131" i="6" s="1"/>
  <c r="AT112" i="6"/>
  <c r="AP112" i="6"/>
  <c r="AL112" i="6"/>
  <c r="AH49" i="6"/>
  <c r="AD49" i="6"/>
  <c r="AJ11" i="6"/>
  <c r="AU216" i="6"/>
  <c r="AN164" i="6"/>
  <c r="AQ112" i="6"/>
  <c r="BA216" i="6"/>
  <c r="AW216" i="6"/>
  <c r="AS216" i="6"/>
  <c r="AO216" i="6"/>
  <c r="AK216" i="6"/>
  <c r="AT164" i="6"/>
  <c r="AP164" i="6"/>
  <c r="AL164" i="6"/>
  <c r="AW112" i="6"/>
  <c r="AS112" i="6"/>
  <c r="AO112" i="6"/>
  <c r="AK112" i="6"/>
  <c r="AG49" i="6"/>
  <c r="AC49" i="6"/>
  <c r="AY216" i="6"/>
  <c r="AM216" i="6"/>
  <c r="AJ164" i="6"/>
  <c r="AI112" i="6"/>
  <c r="AI79" i="6" s="1" a="1"/>
  <c r="AI79" i="6" s="1"/>
  <c r="AZ216" i="6"/>
  <c r="AV216" i="6"/>
  <c r="AR216" i="6"/>
  <c r="AN216" i="6"/>
  <c r="AJ216" i="6"/>
  <c r="AW164" i="6"/>
  <c r="AS164" i="6"/>
  <c r="AO164" i="6"/>
  <c r="AK164" i="6"/>
  <c r="AV112" i="6"/>
  <c r="AR112" i="6"/>
  <c r="AN112" i="6"/>
  <c r="AJ112" i="6"/>
  <c r="AF49" i="6"/>
  <c r="AJ15" i="6"/>
  <c r="BC216" i="6"/>
  <c r="AQ216" i="6"/>
  <c r="AI216" i="6"/>
  <c r="AV164" i="6"/>
  <c r="AR164" i="6"/>
  <c r="AU112" i="6"/>
  <c r="AM112" i="6"/>
  <c r="AE49" i="6"/>
  <c r="AJ10" i="6"/>
  <c r="AJ1779" i="6"/>
  <c r="AJ1783" i="6"/>
  <c r="AK1781" i="6"/>
  <c r="AG15" i="9"/>
  <c r="AH2671" i="6" s="1"/>
  <c r="AH20" i="9"/>
  <c r="AH938" i="6"/>
  <c r="AH1095" i="6" s="1"/>
  <c r="AH937" i="6"/>
  <c r="M2664" i="6"/>
  <c r="M2665" i="6"/>
  <c r="Y2664" i="6"/>
  <c r="Y2665" i="6"/>
  <c r="U2664" i="6"/>
  <c r="U2665" i="6"/>
  <c r="L2664" i="6"/>
  <c r="L2665" i="6"/>
  <c r="O2665" i="6"/>
  <c r="O2664" i="6"/>
  <c r="AB870" i="6"/>
  <c r="AB871" i="6"/>
  <c r="I2" i="15"/>
  <c r="R829" i="6"/>
  <c r="R818" i="6" s="1"/>
  <c r="N829" i="6"/>
  <c r="Y777" i="6"/>
  <c r="U777" i="6"/>
  <c r="Q777" i="6"/>
  <c r="M777" i="6"/>
  <c r="Z725" i="6"/>
  <c r="V725" i="6"/>
  <c r="R725" i="6"/>
  <c r="N725" i="6"/>
  <c r="Q829" i="6"/>
  <c r="M829" i="6"/>
  <c r="X777" i="6"/>
  <c r="T777" i="6"/>
  <c r="P777" i="6"/>
  <c r="Y725" i="6"/>
  <c r="U725" i="6"/>
  <c r="Q725" i="6"/>
  <c r="M725" i="6"/>
  <c r="P829" i="6"/>
  <c r="AA777" i="6"/>
  <c r="AA766" i="6" s="1" a="1"/>
  <c r="AA766" i="6" s="1"/>
  <c r="W777" i="6"/>
  <c r="S777" i="6"/>
  <c r="O777" i="6"/>
  <c r="X725" i="6"/>
  <c r="T725" i="6"/>
  <c r="P725" i="6"/>
  <c r="O829" i="6"/>
  <c r="Z777" i="6"/>
  <c r="V777" i="6"/>
  <c r="R777" i="6"/>
  <c r="N777" i="6"/>
  <c r="AA725" i="6"/>
  <c r="AA714" i="6" s="1" a="1"/>
  <c r="AA714" i="6" s="1"/>
  <c r="W725" i="6"/>
  <c r="S725" i="6"/>
  <c r="O725" i="6"/>
  <c r="K671" i="6"/>
  <c r="K670" i="6"/>
  <c r="K660" i="6" s="1"/>
  <c r="AL244" i="6"/>
  <c r="AM28" i="5" s="1"/>
  <c r="AL245" i="6"/>
  <c r="AL408" i="6"/>
  <c r="AL67" i="12"/>
  <c r="AG41" i="8"/>
  <c r="AH642" i="6" s="1"/>
  <c r="AG43" i="8"/>
  <c r="AH643" i="6" s="1"/>
  <c r="AG42" i="8"/>
  <c r="AH644" i="6" s="1"/>
  <c r="AH641" i="6"/>
  <c r="AI33" i="5" s="1"/>
  <c r="AI59" i="12"/>
  <c r="AJ248" i="6" s="1"/>
  <c r="AJ60" i="12"/>
  <c r="AJ246" i="6"/>
  <c r="AE19" i="17"/>
  <c r="AE1105" i="6"/>
  <c r="Y1095" i="6"/>
  <c r="Y1096" i="6"/>
  <c r="G3" i="16"/>
  <c r="O1051" i="6"/>
  <c r="O1043" i="6" s="1"/>
  <c r="K1051" i="6"/>
  <c r="U999" i="6"/>
  <c r="Q999" i="6"/>
  <c r="M999" i="6"/>
  <c r="V947" i="6"/>
  <c r="R947" i="6"/>
  <c r="N947" i="6"/>
  <c r="J947" i="6"/>
  <c r="N1051" i="6"/>
  <c r="J1051" i="6"/>
  <c r="X999" i="6"/>
  <c r="X991" i="6" s="1" a="1"/>
  <c r="X991" i="6" s="1"/>
  <c r="T999" i="6"/>
  <c r="P999" i="6"/>
  <c r="L999" i="6"/>
  <c r="M1051" i="6"/>
  <c r="W999" i="6"/>
  <c r="S999" i="6"/>
  <c r="O999" i="6"/>
  <c r="K999" i="6"/>
  <c r="L1051" i="6"/>
  <c r="V999" i="6"/>
  <c r="T947" i="6"/>
  <c r="O947" i="6"/>
  <c r="R999" i="6"/>
  <c r="X947" i="6"/>
  <c r="X939" i="6" s="1" a="1"/>
  <c r="X939" i="6" s="1"/>
  <c r="S947" i="6"/>
  <c r="M947" i="6"/>
  <c r="N999" i="6"/>
  <c r="W947" i="6"/>
  <c r="Q947" i="6"/>
  <c r="L947" i="6"/>
  <c r="I893" i="6"/>
  <c r="I885" i="6" s="1"/>
  <c r="J999" i="6"/>
  <c r="U947" i="6"/>
  <c r="P947" i="6"/>
  <c r="K947" i="6"/>
  <c r="H77" i="6"/>
  <c r="H78" i="6"/>
  <c r="I25" i="16"/>
  <c r="K880" i="6"/>
  <c r="AX1978" i="6"/>
  <c r="AT1978" i="6"/>
  <c r="AP1978" i="6"/>
  <c r="AL1978" i="6"/>
  <c r="AW1926" i="6"/>
  <c r="AS1926" i="6"/>
  <c r="AO1926" i="6"/>
  <c r="AK1926" i="6"/>
  <c r="AV1874" i="6"/>
  <c r="AR1874" i="6"/>
  <c r="AN1874" i="6"/>
  <c r="AJ1874" i="6"/>
  <c r="AW1978" i="6"/>
  <c r="AS1978" i="6"/>
  <c r="AO1978" i="6"/>
  <c r="AK1978" i="6"/>
  <c r="AV1926" i="6"/>
  <c r="AR1926" i="6"/>
  <c r="AN1926" i="6"/>
  <c r="AJ1926" i="6"/>
  <c r="AU1874" i="6"/>
  <c r="AQ1874" i="6"/>
  <c r="AM1874" i="6"/>
  <c r="AI1874" i="6"/>
  <c r="AI1841" i="6" s="1" a="1"/>
  <c r="AI1841" i="6" s="1"/>
  <c r="AG1820" i="6"/>
  <c r="AV1978" i="6"/>
  <c r="AR1978" i="6"/>
  <c r="AN1978" i="6"/>
  <c r="AJ1978" i="6"/>
  <c r="AU1926" i="6"/>
  <c r="AQ1926" i="6"/>
  <c r="AM1926" i="6"/>
  <c r="AI1926" i="6"/>
  <c r="AI1893" i="6" s="1" a="1"/>
  <c r="AI1893" i="6" s="1"/>
  <c r="AT1874" i="6"/>
  <c r="AP1874" i="6"/>
  <c r="AL1874" i="6"/>
  <c r="AM1978" i="6"/>
  <c r="AL1926" i="6"/>
  <c r="AK1874" i="6"/>
  <c r="AH1820" i="6"/>
  <c r="AI1978" i="6"/>
  <c r="AI1945" i="6" s="1"/>
  <c r="AW1874" i="6"/>
  <c r="AF1820" i="6"/>
  <c r="AF1787" i="6" s="1"/>
  <c r="AJ1786" i="6"/>
  <c r="AU1978" i="6"/>
  <c r="AT1926" i="6"/>
  <c r="AS1874" i="6"/>
  <c r="AQ1978" i="6"/>
  <c r="AP1926" i="6"/>
  <c r="AO1874" i="6"/>
  <c r="AJ39" i="23"/>
  <c r="AK2451" i="6" s="1"/>
  <c r="AJ32" i="22"/>
  <c r="AJ32" i="21"/>
  <c r="AJ32" i="19"/>
  <c r="AJ32" i="20"/>
  <c r="AJ32" i="18"/>
  <c r="AJ37" i="17"/>
  <c r="AJ49" i="14"/>
  <c r="AJ34" i="15"/>
  <c r="AJ42" i="16"/>
  <c r="AK7" i="7"/>
  <c r="AJ41" i="13"/>
  <c r="AJ2665" i="6"/>
  <c r="AP50" i="13"/>
  <c r="H21" i="17"/>
  <c r="J1106" i="6"/>
  <c r="K19" i="5" s="1"/>
  <c r="AG236" i="6"/>
  <c r="AJ17" i="18"/>
  <c r="AJ1332" i="6"/>
  <c r="AL3171" i="6"/>
  <c r="AL38" i="11"/>
  <c r="AM38" i="11"/>
  <c r="AN38" i="11"/>
  <c r="AB1773" i="6"/>
  <c r="AB1772" i="6"/>
  <c r="G2" i="19"/>
  <c r="Y1730" i="6"/>
  <c r="U1730" i="6"/>
  <c r="Q1730" i="6"/>
  <c r="M1730" i="6"/>
  <c r="Y1678" i="6"/>
  <c r="U1678" i="6"/>
  <c r="Q1678" i="6"/>
  <c r="M1678" i="6"/>
  <c r="X1626" i="6"/>
  <c r="T1626" i="6"/>
  <c r="P1626" i="6"/>
  <c r="L1626" i="6"/>
  <c r="Z1730" i="6"/>
  <c r="T1730" i="6"/>
  <c r="O1730" i="6"/>
  <c r="W1678" i="6"/>
  <c r="R1678" i="6"/>
  <c r="L1678" i="6"/>
  <c r="Z1626" i="6"/>
  <c r="Z1616" i="6" s="1" a="1"/>
  <c r="Z1616" i="6" s="1"/>
  <c r="U1626" i="6"/>
  <c r="O1626" i="6"/>
  <c r="I1572" i="6"/>
  <c r="I1570" i="6"/>
  <c r="I1562" i="6" s="1"/>
  <c r="X1730" i="6"/>
  <c r="S1730" i="6"/>
  <c r="N1730" i="6"/>
  <c r="V1678" i="6"/>
  <c r="P1678" i="6"/>
  <c r="Y1626" i="6"/>
  <c r="S1626" i="6"/>
  <c r="N1626" i="6"/>
  <c r="W1730" i="6"/>
  <c r="R1730" i="6"/>
  <c r="L1730" i="6"/>
  <c r="Z1678" i="6"/>
  <c r="Z1668" i="6" s="1" a="1"/>
  <c r="Z1668" i="6" s="1"/>
  <c r="T1678" i="6"/>
  <c r="O1678" i="6"/>
  <c r="W1626" i="6"/>
  <c r="R1626" i="6"/>
  <c r="M1626" i="6"/>
  <c r="I1571" i="6"/>
  <c r="AA1730" i="6"/>
  <c r="AA1720" i="6" s="1"/>
  <c r="V1730" i="6"/>
  <c r="P1730" i="6"/>
  <c r="X1678" i="6"/>
  <c r="S1678" i="6"/>
  <c r="N1678" i="6"/>
  <c r="V1626" i="6"/>
  <c r="Q1626" i="6"/>
  <c r="H24" i="13"/>
  <c r="J10" i="6"/>
  <c r="AL36" i="22"/>
  <c r="AM38" i="22"/>
  <c r="AC22" i="5"/>
  <c r="AC25" i="5" s="1"/>
  <c r="AC43" i="5" s="1"/>
  <c r="AB77" i="6"/>
  <c r="AB78" i="6"/>
  <c r="AC16" i="6"/>
  <c r="H24" i="17"/>
  <c r="J1107" i="6"/>
  <c r="K18" i="5" s="1"/>
  <c r="J2012" i="6"/>
  <c r="AB2222" i="6"/>
  <c r="AB2223" i="6"/>
  <c r="AH416" i="6"/>
  <c r="AI35" i="5"/>
  <c r="AY1529" i="6"/>
  <c r="AU1529" i="6"/>
  <c r="AQ1529" i="6"/>
  <c r="AM1529" i="6"/>
  <c r="AU1477" i="6"/>
  <c r="AQ1477" i="6"/>
  <c r="AM1477" i="6"/>
  <c r="AX1425" i="6"/>
  <c r="AT1425" i="6"/>
  <c r="AP1425" i="6"/>
  <c r="AL1425" i="6"/>
  <c r="AX1529" i="6"/>
  <c r="AT1529" i="6"/>
  <c r="AP1529" i="6"/>
  <c r="AL1529" i="6"/>
  <c r="AX1477" i="6"/>
  <c r="AT1477" i="6"/>
  <c r="AP1477" i="6"/>
  <c r="AL1477" i="6"/>
  <c r="AW1425" i="6"/>
  <c r="AS1425" i="6"/>
  <c r="AO1425" i="6"/>
  <c r="AK1425" i="6"/>
  <c r="AI1371" i="6"/>
  <c r="AK1336" i="6"/>
  <c r="AW1529" i="6"/>
  <c r="AS1529" i="6"/>
  <c r="AO1529" i="6"/>
  <c r="AK1529" i="6"/>
  <c r="AW1477" i="6"/>
  <c r="AS1477" i="6"/>
  <c r="AO1477" i="6"/>
  <c r="AK1477" i="6"/>
  <c r="AV1425" i="6"/>
  <c r="AR1425" i="6"/>
  <c r="AN1425" i="6"/>
  <c r="AJ1425" i="6"/>
  <c r="AH1371" i="6"/>
  <c r="AV1529" i="6"/>
  <c r="AR1529" i="6"/>
  <c r="AN1529" i="6"/>
  <c r="AJ1529" i="6"/>
  <c r="AJ1495" i="6" s="1"/>
  <c r="AV1477" i="6"/>
  <c r="AR1477" i="6"/>
  <c r="AN1477" i="6"/>
  <c r="AJ1477" i="6"/>
  <c r="AJ1443" i="6" s="1" a="1"/>
  <c r="AJ1443" i="6" s="1"/>
  <c r="AU1425" i="6"/>
  <c r="AQ1425" i="6"/>
  <c r="AM1425" i="6"/>
  <c r="AG1371" i="6"/>
  <c r="AG1337" i="6" s="1"/>
  <c r="AO59" i="14"/>
  <c r="AC634" i="6"/>
  <c r="AC633" i="6"/>
  <c r="L475" i="6"/>
  <c r="L476" i="6"/>
  <c r="AJ2507" i="6"/>
  <c r="AJ2664" i="6" s="1"/>
  <c r="AJ2506" i="6"/>
  <c r="AV2204" i="6"/>
  <c r="AR2204" i="6"/>
  <c r="AN2204" i="6"/>
  <c r="AJ2204" i="6"/>
  <c r="AJ2170" i="6" s="1"/>
  <c r="AV2152" i="6"/>
  <c r="AR2152" i="6"/>
  <c r="AN2152" i="6"/>
  <c r="AJ2152" i="6"/>
  <c r="AJ2118" i="6" s="1" a="1"/>
  <c r="AJ2118" i="6" s="1"/>
  <c r="AU2100" i="6"/>
  <c r="AQ2100" i="6"/>
  <c r="AM2100" i="6"/>
  <c r="AG2046" i="6"/>
  <c r="AG2012" i="6" s="1"/>
  <c r="AY2204" i="6"/>
  <c r="AU2204" i="6"/>
  <c r="AQ2204" i="6"/>
  <c r="AM2204" i="6"/>
  <c r="AU2152" i="6"/>
  <c r="AQ2152" i="6"/>
  <c r="AM2152" i="6"/>
  <c r="AX2100" i="6"/>
  <c r="AT2100" i="6"/>
  <c r="AP2100" i="6"/>
  <c r="AL2100" i="6"/>
  <c r="AX2204" i="6"/>
  <c r="AT2204" i="6"/>
  <c r="AP2204" i="6"/>
  <c r="AL2204" i="6"/>
  <c r="AX2152" i="6"/>
  <c r="AT2152" i="6"/>
  <c r="AP2152" i="6"/>
  <c r="AL2152" i="6"/>
  <c r="AW2100" i="6"/>
  <c r="AS2100" i="6"/>
  <c r="AO2100" i="6"/>
  <c r="AK2100" i="6"/>
  <c r="AI2046" i="6"/>
  <c r="AK2011" i="6"/>
  <c r="AW2204" i="6"/>
  <c r="AW2152" i="6"/>
  <c r="AV2100" i="6"/>
  <c r="AS2204" i="6"/>
  <c r="AS2152" i="6"/>
  <c r="AR2100" i="6"/>
  <c r="AO2204" i="6"/>
  <c r="AO2152" i="6"/>
  <c r="AN2100" i="6"/>
  <c r="AH2046" i="6"/>
  <c r="AK2204" i="6"/>
  <c r="AK2152" i="6"/>
  <c r="AJ2100" i="6"/>
  <c r="AD44" i="5"/>
  <c r="AD46" i="5"/>
  <c r="AO1077" i="6"/>
  <c r="AK1077" i="6"/>
  <c r="AW1025" i="6"/>
  <c r="AS1025" i="6"/>
  <c r="AO1025" i="6"/>
  <c r="AK1025" i="6"/>
  <c r="AX973" i="6"/>
  <c r="AT973" i="6"/>
  <c r="AP973" i="6"/>
  <c r="AL973" i="6"/>
  <c r="AN1077" i="6"/>
  <c r="AJ1077" i="6"/>
  <c r="AJ1043" i="6" s="1"/>
  <c r="AV1025" i="6"/>
  <c r="AR1025" i="6"/>
  <c r="AN1025" i="6"/>
  <c r="AJ1025" i="6"/>
  <c r="AJ991" i="6" s="1" a="1"/>
  <c r="AJ991" i="6" s="1"/>
  <c r="AM1077" i="6"/>
  <c r="AU1025" i="6"/>
  <c r="AQ1025" i="6"/>
  <c r="AM1025" i="6"/>
  <c r="AV973" i="6"/>
  <c r="AR973" i="6"/>
  <c r="AN973" i="6"/>
  <c r="AJ973" i="6"/>
  <c r="AJ939" i="6" s="1" a="1"/>
  <c r="AJ939" i="6" s="1"/>
  <c r="AL1077" i="6"/>
  <c r="AP1025" i="6"/>
  <c r="AS973" i="6"/>
  <c r="AK973" i="6"/>
  <c r="AI919" i="6"/>
  <c r="AI885" i="6" s="1"/>
  <c r="AL1025" i="6"/>
  <c r="AQ973" i="6"/>
  <c r="AK884" i="6"/>
  <c r="AX1025" i="6"/>
  <c r="AW973" i="6"/>
  <c r="AO973" i="6"/>
  <c r="AT1025" i="6"/>
  <c r="AU973" i="6"/>
  <c r="AM973" i="6"/>
  <c r="AL653" i="6"/>
  <c r="AL6" i="5"/>
  <c r="AK657" i="6"/>
  <c r="AK655" i="6"/>
  <c r="AK658" i="6"/>
  <c r="AI1773" i="6"/>
  <c r="AM2452" i="6"/>
  <c r="AN2447" i="6"/>
  <c r="AN14" i="5"/>
  <c r="AB45" i="5"/>
  <c r="AB47" i="5"/>
  <c r="K1787" i="6"/>
  <c r="AC1997" i="6"/>
  <c r="AC1998" i="6"/>
  <c r="H39" i="23"/>
  <c r="H32" i="22"/>
  <c r="I2230" i="6" s="1"/>
  <c r="H32" i="21"/>
  <c r="I2009" i="6" s="1"/>
  <c r="H32" i="20"/>
  <c r="I1784" i="6" s="1"/>
  <c r="H32" i="19"/>
  <c r="I1559" i="6" s="1"/>
  <c r="H37" i="17"/>
  <c r="I1109" i="6" s="1"/>
  <c r="H34" i="15"/>
  <c r="I657" i="6" s="1"/>
  <c r="H49" i="14"/>
  <c r="I420" i="6" s="1"/>
  <c r="G7" i="7"/>
  <c r="H42" i="16"/>
  <c r="I882" i="6" s="1"/>
  <c r="H32" i="18"/>
  <c r="I1334" i="6" s="1"/>
  <c r="H41" i="13"/>
  <c r="I13" i="6" s="1"/>
  <c r="AM852" i="6"/>
  <c r="AU800" i="6"/>
  <c r="AQ800" i="6"/>
  <c r="AM800" i="6"/>
  <c r="AV748" i="6"/>
  <c r="AR748" i="6"/>
  <c r="AN748" i="6"/>
  <c r="AJ748" i="6"/>
  <c r="AL852" i="6"/>
  <c r="AX800" i="6"/>
  <c r="AT800" i="6"/>
  <c r="AP800" i="6"/>
  <c r="AL800" i="6"/>
  <c r="AU748" i="6"/>
  <c r="AQ748" i="6"/>
  <c r="AM748" i="6"/>
  <c r="AH694" i="6"/>
  <c r="AK659" i="6"/>
  <c r="AO852" i="6"/>
  <c r="AK852" i="6"/>
  <c r="AW800" i="6"/>
  <c r="AS800" i="6"/>
  <c r="AO800" i="6"/>
  <c r="AK800" i="6"/>
  <c r="AX748" i="6"/>
  <c r="AT748" i="6"/>
  <c r="AP748" i="6"/>
  <c r="AL748" i="6"/>
  <c r="AI694" i="6"/>
  <c r="AN852" i="6"/>
  <c r="AJ852" i="6"/>
  <c r="AJ818" i="6" s="1"/>
  <c r="AV800" i="6"/>
  <c r="AR800" i="6"/>
  <c r="AN800" i="6"/>
  <c r="AJ800" i="6"/>
  <c r="AJ766" i="6" s="1" a="1"/>
  <c r="AJ766" i="6" s="1"/>
  <c r="AW748" i="6"/>
  <c r="AS748" i="6"/>
  <c r="AO748" i="6"/>
  <c r="AK748" i="6"/>
  <c r="AS6" i="9"/>
  <c r="AK24" i="9"/>
  <c r="S2664" i="6"/>
  <c r="S2665" i="6"/>
  <c r="F2" i="22"/>
  <c r="X2400" i="6"/>
  <c r="T2400" i="6"/>
  <c r="P2400" i="6"/>
  <c r="L2400" i="6"/>
  <c r="AF2348" i="6"/>
  <c r="AB2348" i="6"/>
  <c r="X2348" i="6"/>
  <c r="T2348" i="6"/>
  <c r="P2348" i="6"/>
  <c r="L2348" i="6"/>
  <c r="AH2296" i="6"/>
  <c r="AD2296" i="6"/>
  <c r="Z2296" i="6"/>
  <c r="V2296" i="6"/>
  <c r="R2296" i="6"/>
  <c r="N2296" i="6"/>
  <c r="H2242" i="6"/>
  <c r="H2240" i="6"/>
  <c r="H2233" i="6" s="1"/>
  <c r="W2400" i="6"/>
  <c r="S2400" i="6"/>
  <c r="O2400" i="6"/>
  <c r="K2400" i="6"/>
  <c r="AI2348" i="6"/>
  <c r="AE2348" i="6"/>
  <c r="AA2348" i="6"/>
  <c r="W2348" i="6"/>
  <c r="S2348" i="6"/>
  <c r="O2348" i="6"/>
  <c r="K2348" i="6"/>
  <c r="AG2296" i="6"/>
  <c r="AC2296" i="6"/>
  <c r="Y2296" i="6"/>
  <c r="U2296" i="6"/>
  <c r="Q2296" i="6"/>
  <c r="M2296" i="6"/>
  <c r="Z2400" i="6"/>
  <c r="Z2391" i="6" s="1"/>
  <c r="V2400" i="6"/>
  <c r="R2400" i="6"/>
  <c r="N2400" i="6"/>
  <c r="AH2348" i="6"/>
  <c r="AD2348" i="6"/>
  <c r="Z2348" i="6"/>
  <c r="V2348" i="6"/>
  <c r="R2348" i="6"/>
  <c r="N2348" i="6"/>
  <c r="AF2296" i="6"/>
  <c r="AB2296" i="6"/>
  <c r="X2296" i="6"/>
  <c r="T2296" i="6"/>
  <c r="P2296" i="6"/>
  <c r="L2296" i="6"/>
  <c r="H2241" i="6"/>
  <c r="Y2400" i="6"/>
  <c r="U2400" i="6"/>
  <c r="Q2400" i="6"/>
  <c r="M2400" i="6"/>
  <c r="AG2348" i="6"/>
  <c r="AC2348" i="6"/>
  <c r="Y2348" i="6"/>
  <c r="U2348" i="6"/>
  <c r="Q2348" i="6"/>
  <c r="M2348" i="6"/>
  <c r="AI2296" i="6"/>
  <c r="AE2296" i="6"/>
  <c r="AA2296" i="6"/>
  <c r="W2296" i="6"/>
  <c r="S2296" i="6"/>
  <c r="O2296" i="6"/>
  <c r="K2296" i="6"/>
  <c r="AZ389" i="6"/>
  <c r="AV389" i="6"/>
  <c r="AR389" i="6"/>
  <c r="AN389" i="6"/>
  <c r="AJ389" i="6"/>
  <c r="AI249" i="6"/>
  <c r="AJ29" i="5"/>
  <c r="BC389" i="6"/>
  <c r="AY389" i="6"/>
  <c r="AU389" i="6"/>
  <c r="AQ389" i="6"/>
  <c r="AM389" i="6"/>
  <c r="AI389" i="6"/>
  <c r="AI356" i="6" s="1"/>
  <c r="AI250" i="6"/>
  <c r="AW389" i="6"/>
  <c r="AO389" i="6"/>
  <c r="BB389" i="6"/>
  <c r="AX389" i="6"/>
  <c r="AT389" i="6"/>
  <c r="AP389" i="6"/>
  <c r="AL389" i="6"/>
  <c r="BA389" i="6"/>
  <c r="AS389" i="6"/>
  <c r="AK389" i="6"/>
  <c r="AI355" i="6"/>
  <c r="AJ2230" i="6"/>
  <c r="AJ2231" i="6"/>
  <c r="AK2226" i="6"/>
  <c r="AK13" i="5"/>
  <c r="AN126" i="14"/>
  <c r="AO128" i="14"/>
  <c r="AK17" i="19"/>
  <c r="AK1557" i="6"/>
  <c r="M712" i="6"/>
  <c r="M713" i="6"/>
  <c r="G78" i="6"/>
  <c r="G77" i="6"/>
  <c r="D2" i="13"/>
  <c r="AD193" i="6"/>
  <c r="Z193" i="6"/>
  <c r="V193" i="6"/>
  <c r="R193" i="6"/>
  <c r="N193" i="6"/>
  <c r="Y141" i="6"/>
  <c r="U141" i="6"/>
  <c r="Q141" i="6"/>
  <c r="M141" i="6"/>
  <c r="X89" i="6"/>
  <c r="T89" i="6"/>
  <c r="P89" i="6"/>
  <c r="L89" i="6"/>
  <c r="F25" i="6"/>
  <c r="AE193" i="6"/>
  <c r="S193" i="6"/>
  <c r="Z141" i="6"/>
  <c r="Z131" i="6" s="1" a="1"/>
  <c r="Z131" i="6" s="1"/>
  <c r="N141" i="6"/>
  <c r="AC193" i="6"/>
  <c r="Y193" i="6"/>
  <c r="U193" i="6"/>
  <c r="Q193" i="6"/>
  <c r="M193" i="6"/>
  <c r="X141" i="6"/>
  <c r="T141" i="6"/>
  <c r="P141" i="6"/>
  <c r="L141" i="6"/>
  <c r="W89" i="6"/>
  <c r="S89" i="6"/>
  <c r="O89" i="6"/>
  <c r="F24" i="6"/>
  <c r="W193" i="6"/>
  <c r="R141" i="6"/>
  <c r="AF193" i="6"/>
  <c r="AF183" i="6" s="1"/>
  <c r="AB193" i="6"/>
  <c r="X193" i="6"/>
  <c r="T193" i="6"/>
  <c r="P193" i="6"/>
  <c r="L193" i="6"/>
  <c r="W141" i="6"/>
  <c r="S141" i="6"/>
  <c r="O141" i="6"/>
  <c r="Z89" i="6"/>
  <c r="Z79" i="6" s="1" a="1"/>
  <c r="Z79" i="6" s="1"/>
  <c r="V89" i="6"/>
  <c r="R89" i="6"/>
  <c r="N89" i="6"/>
  <c r="F23" i="6"/>
  <c r="AA193" i="6"/>
  <c r="O193" i="6"/>
  <c r="V141" i="6"/>
  <c r="Y89" i="6"/>
  <c r="U89" i="6"/>
  <c r="F26" i="6"/>
  <c r="Q89" i="6"/>
  <c r="F22" i="6"/>
  <c r="M89" i="6"/>
  <c r="F21" i="6"/>
  <c r="AJ38" i="23"/>
  <c r="AJ31" i="22"/>
  <c r="AJ31" i="21"/>
  <c r="AJ31" i="20"/>
  <c r="AJ31" i="19"/>
  <c r="AJ36" i="17"/>
  <c r="AJ48" i="14"/>
  <c r="AJ31" i="18"/>
  <c r="AJ41" i="16"/>
  <c r="AJ33" i="15"/>
  <c r="AK6" i="7"/>
  <c r="AJ40" i="13"/>
  <c r="H17" i="21"/>
  <c r="J2007" i="6"/>
  <c r="AM36" i="21"/>
  <c r="AN38" i="21"/>
  <c r="AL1558" i="6"/>
  <c r="AM1556" i="6"/>
  <c r="AI69" i="9"/>
  <c r="AJ93" i="9"/>
  <c r="AI74" i="9"/>
  <c r="AI68" i="9"/>
  <c r="AJ2837" i="6" s="1"/>
  <c r="AI65" i="9"/>
  <c r="AI63" i="9"/>
  <c r="AJ2835" i="6" s="1"/>
  <c r="AI57" i="9"/>
  <c r="AJ3002" i="6" s="1"/>
  <c r="AI4" i="9"/>
  <c r="AI8" i="9"/>
  <c r="AJ2670" i="6" s="1"/>
  <c r="AI3" i="9"/>
  <c r="AJ2668" i="6" s="1"/>
  <c r="AI92" i="9"/>
  <c r="AI66" i="9"/>
  <c r="AI64" i="9"/>
  <c r="AI61" i="9"/>
  <c r="AJ3005" i="6" s="1"/>
  <c r="AI58" i="9"/>
  <c r="AI16" i="9"/>
  <c r="AJ1109" i="6"/>
  <c r="AJ1110" i="6"/>
  <c r="AK1103" i="6"/>
  <c r="AK9" i="5"/>
  <c r="AT613" i="6"/>
  <c r="AP613" i="6"/>
  <c r="AL613" i="6"/>
  <c r="AH613" i="6"/>
  <c r="AH581" i="6" s="1"/>
  <c r="AV561" i="6"/>
  <c r="AR561" i="6"/>
  <c r="AN561" i="6"/>
  <c r="AJ561" i="6"/>
  <c r="AV509" i="6"/>
  <c r="AR509" i="6"/>
  <c r="AN509" i="6"/>
  <c r="AJ509" i="6"/>
  <c r="AF455" i="6"/>
  <c r="AW613" i="6"/>
  <c r="AS613" i="6"/>
  <c r="AO613" i="6"/>
  <c r="AK613" i="6"/>
  <c r="AU561" i="6"/>
  <c r="AQ561" i="6"/>
  <c r="AM561" i="6"/>
  <c r="AI561" i="6"/>
  <c r="AU509" i="6"/>
  <c r="AQ509" i="6"/>
  <c r="AM509" i="6"/>
  <c r="AI509" i="6"/>
  <c r="AE455" i="6"/>
  <c r="AE423" i="6" s="1"/>
  <c r="AU613" i="6"/>
  <c r="AM613" i="6"/>
  <c r="AO561" i="6"/>
  <c r="AS509" i="6"/>
  <c r="AK509" i="6"/>
  <c r="AG455" i="6"/>
  <c r="AI422" i="6"/>
  <c r="AV613" i="6"/>
  <c r="AR613" i="6"/>
  <c r="AN613" i="6"/>
  <c r="AJ613" i="6"/>
  <c r="AT561" i="6"/>
  <c r="AP561" i="6"/>
  <c r="AL561" i="6"/>
  <c r="AH561" i="6"/>
  <c r="AH529" i="6" s="1" a="1"/>
  <c r="AH529" i="6" s="1"/>
  <c r="AT509" i="6"/>
  <c r="AP509" i="6"/>
  <c r="AL509" i="6"/>
  <c r="AH509" i="6"/>
  <c r="AH477" i="6" s="1" a="1"/>
  <c r="AH477" i="6" s="1"/>
  <c r="AQ613" i="6"/>
  <c r="AI613" i="6"/>
  <c r="AS561" i="6"/>
  <c r="AK561" i="6"/>
  <c r="AO509" i="6"/>
  <c r="AL61" i="12"/>
  <c r="AX2810" i="6"/>
  <c r="AT2810" i="6"/>
  <c r="AP2810" i="6"/>
  <c r="AL2810" i="6"/>
  <c r="AH2810" i="6"/>
  <c r="AG2672" i="6"/>
  <c r="AW2810" i="6"/>
  <c r="AR2810" i="6"/>
  <c r="AM2810" i="6"/>
  <c r="AG2810" i="6"/>
  <c r="AG2779" i="6" s="1"/>
  <c r="BA2810" i="6"/>
  <c r="AV2810" i="6"/>
  <c r="AQ2810" i="6"/>
  <c r="AK2810" i="6"/>
  <c r="AY2810" i="6"/>
  <c r="AN2810" i="6"/>
  <c r="AU2810" i="6"/>
  <c r="AJ2810" i="6"/>
  <c r="AS2810" i="6"/>
  <c r="AI2810" i="6"/>
  <c r="AZ2810" i="6"/>
  <c r="AG2673" i="6"/>
  <c r="AO2810" i="6"/>
  <c r="AH27" i="5"/>
  <c r="AG2778" i="6"/>
  <c r="AG2831" i="6" s="1"/>
  <c r="I23" i="14"/>
  <c r="K415" i="6"/>
  <c r="H2" i="18"/>
  <c r="AB1506" i="6"/>
  <c r="AB1495" i="6" s="1"/>
  <c r="X1506" i="6"/>
  <c r="T1506" i="6"/>
  <c r="P1506" i="6"/>
  <c r="Y1454" i="6"/>
  <c r="U1454" i="6"/>
  <c r="Q1454" i="6"/>
  <c r="M1454" i="6"/>
  <c r="X1402" i="6"/>
  <c r="T1402" i="6"/>
  <c r="P1402" i="6"/>
  <c r="J1348" i="6"/>
  <c r="J1346" i="6"/>
  <c r="AA1506" i="6"/>
  <c r="W1506" i="6"/>
  <c r="S1506" i="6"/>
  <c r="O1506" i="6"/>
  <c r="X1454" i="6"/>
  <c r="T1454" i="6"/>
  <c r="P1454" i="6"/>
  <c r="AA1402" i="6"/>
  <c r="AA1391" i="6" s="1" a="1"/>
  <c r="AA1391" i="6" s="1"/>
  <c r="W1402" i="6"/>
  <c r="S1402" i="6"/>
  <c r="O1402" i="6"/>
  <c r="Z1506" i="6"/>
  <c r="V1506" i="6"/>
  <c r="R1506" i="6"/>
  <c r="N1506" i="6"/>
  <c r="AA1454" i="6"/>
  <c r="AA1443" i="6" s="1" a="1"/>
  <c r="AA1443" i="6" s="1"/>
  <c r="W1454" i="6"/>
  <c r="S1454" i="6"/>
  <c r="O1454" i="6"/>
  <c r="Z1402" i="6"/>
  <c r="V1402" i="6"/>
  <c r="R1402" i="6"/>
  <c r="N1402" i="6"/>
  <c r="J1347" i="6"/>
  <c r="Y1506" i="6"/>
  <c r="U1506" i="6"/>
  <c r="Q1506" i="6"/>
  <c r="M1506" i="6"/>
  <c r="Z1454" i="6"/>
  <c r="V1454" i="6"/>
  <c r="R1454" i="6"/>
  <c r="N1454" i="6"/>
  <c r="Y1402" i="6"/>
  <c r="U1402" i="6"/>
  <c r="Q1402" i="6"/>
  <c r="M1402" i="6"/>
  <c r="R2664" i="6"/>
  <c r="R2665" i="6"/>
  <c r="N2665" i="6"/>
  <c r="N2664" i="6"/>
  <c r="V2664" i="6"/>
  <c r="V2665" i="6"/>
  <c r="W2665" i="6"/>
  <c r="W2664" i="6"/>
  <c r="AM3004" i="6"/>
  <c r="AM60" i="9"/>
  <c r="AR2756" i="6"/>
  <c r="AN2756" i="6"/>
  <c r="AJ2756" i="6"/>
  <c r="AF2756" i="6"/>
  <c r="AF2726" i="6" s="1" a="1"/>
  <c r="AF2726" i="6" s="1"/>
  <c r="AQ2704" i="6"/>
  <c r="AM2704" i="6"/>
  <c r="AI2704" i="6"/>
  <c r="AQ2756" i="6"/>
  <c r="AL2756" i="6"/>
  <c r="AG2756" i="6"/>
  <c r="AP2704" i="6"/>
  <c r="AK2704" i="6"/>
  <c r="AF2704" i="6"/>
  <c r="AF2674" i="6" s="1" a="1"/>
  <c r="AF2674" i="6" s="1"/>
  <c r="AP2756" i="6"/>
  <c r="AK2756" i="6"/>
  <c r="AT2704" i="6"/>
  <c r="AO2704" i="6"/>
  <c r="AJ2704" i="6"/>
  <c r="AT2756" i="6"/>
  <c r="AO2756" i="6"/>
  <c r="AI2756" i="6"/>
  <c r="AS2704" i="6"/>
  <c r="AN2704" i="6"/>
  <c r="AH2704" i="6"/>
  <c r="AH2756" i="6"/>
  <c r="AG2704" i="6"/>
  <c r="AS2756" i="6"/>
  <c r="AR2704" i="6"/>
  <c r="AM2756" i="6"/>
  <c r="AL2704" i="6"/>
  <c r="I2233" i="6"/>
  <c r="AM36" i="19"/>
  <c r="AN38" i="19"/>
  <c r="AT3092" i="6"/>
  <c r="AP3092" i="6"/>
  <c r="AL3092" i="6"/>
  <c r="AH3092" i="6"/>
  <c r="AH3060" i="6" s="1" a="1"/>
  <c r="AH3060" i="6" s="1"/>
  <c r="AS3040" i="6"/>
  <c r="AO3040" i="6"/>
  <c r="AK3040" i="6"/>
  <c r="AS3092" i="6"/>
  <c r="AO3092" i="6"/>
  <c r="AK3092" i="6"/>
  <c r="AV3040" i="6"/>
  <c r="AR3040" i="6"/>
  <c r="AN3040" i="6"/>
  <c r="AJ3040" i="6"/>
  <c r="AQ3092" i="6"/>
  <c r="AI3092" i="6"/>
  <c r="AP3040" i="6"/>
  <c r="AH3040" i="6"/>
  <c r="AH3008" i="6" s="1" a="1"/>
  <c r="AH3008" i="6" s="1"/>
  <c r="AV3092" i="6"/>
  <c r="AN3092" i="6"/>
  <c r="AU3040" i="6"/>
  <c r="AM3040" i="6"/>
  <c r="AU3092" i="6"/>
  <c r="AM3092" i="6"/>
  <c r="AT3040" i="6"/>
  <c r="AL3040" i="6"/>
  <c r="AJ3092" i="6"/>
  <c r="AI3040" i="6"/>
  <c r="AR3092" i="6"/>
  <c r="AQ3040" i="6"/>
  <c r="AI26" i="5"/>
  <c r="AS30" i="14"/>
  <c r="AR32" i="14"/>
  <c r="AH419" i="6"/>
  <c r="AI413" i="6"/>
  <c r="AH635" i="6"/>
  <c r="AI23" i="5" s="1"/>
  <c r="AG22" i="9"/>
  <c r="AI15" i="5"/>
  <c r="N22" i="5"/>
  <c r="N25" i="5" s="1"/>
  <c r="N43" i="5" s="1"/>
  <c r="AL56" i="17"/>
  <c r="AK44" i="17"/>
  <c r="AL39" i="18"/>
  <c r="AK36" i="18"/>
  <c r="AK1780" i="6"/>
  <c r="AJ1785" i="6"/>
  <c r="AJ1784" i="6"/>
  <c r="AK12" i="5"/>
  <c r="AF1614" i="6"/>
  <c r="AF1615" i="6"/>
  <c r="AF1772" i="6" s="1"/>
  <c r="AP38" i="18"/>
  <c r="AK877" i="6"/>
  <c r="AK881" i="6"/>
  <c r="AL879" i="6"/>
  <c r="AK17" i="22"/>
  <c r="AK2228" i="6"/>
  <c r="AJ23" i="9"/>
  <c r="AK1560" i="6"/>
  <c r="AL1555" i="6"/>
  <c r="AK1559" i="6"/>
  <c r="AL11" i="5"/>
  <c r="AH236" i="6"/>
  <c r="AH2669" i="6"/>
  <c r="AI2669" i="6" s="1"/>
  <c r="AM38" i="15"/>
  <c r="AN40" i="15"/>
  <c r="AF2064" i="6"/>
  <c r="AF2065" i="6"/>
  <c r="AF2222" i="6" s="1"/>
  <c r="AH71" i="9"/>
  <c r="AH72" i="9"/>
  <c r="AI2838" i="6"/>
  <c r="AJ2836" i="6" s="1"/>
  <c r="H17" i="19"/>
  <c r="J1557" i="6"/>
  <c r="AE24" i="17"/>
  <c r="AE1107" i="6"/>
  <c r="AF18" i="5" s="1"/>
  <c r="I17" i="18"/>
  <c r="K1332" i="6"/>
  <c r="AJ2225" i="6"/>
  <c r="N44" i="5"/>
  <c r="N46" i="5"/>
  <c r="AX1303" i="6"/>
  <c r="AT1303" i="6"/>
  <c r="AP1303" i="6"/>
  <c r="AL1303" i="6"/>
  <c r="AT1251" i="6"/>
  <c r="AP1251" i="6"/>
  <c r="AL1251" i="6"/>
  <c r="AU1199" i="6"/>
  <c r="AQ1199" i="6"/>
  <c r="AM1199" i="6"/>
  <c r="AI1199" i="6"/>
  <c r="AI1166" i="6" s="1" a="1"/>
  <c r="AI1166" i="6" s="1"/>
  <c r="AG1145" i="6"/>
  <c r="AC1145" i="6"/>
  <c r="AC1112" i="6" s="1"/>
  <c r="AW1303" i="6"/>
  <c r="AS1303" i="6"/>
  <c r="AO1303" i="6"/>
  <c r="AK1303" i="6"/>
  <c r="AW1251" i="6"/>
  <c r="AS1251" i="6"/>
  <c r="AO1251" i="6"/>
  <c r="AK1251" i="6"/>
  <c r="AT1199" i="6"/>
  <c r="AP1199" i="6"/>
  <c r="AL1199" i="6"/>
  <c r="AF1145" i="6"/>
  <c r="AJ1111" i="6"/>
  <c r="AV1303" i="6"/>
  <c r="AR1303" i="6"/>
  <c r="AN1303" i="6"/>
  <c r="AJ1303" i="6"/>
  <c r="AV1251" i="6"/>
  <c r="AR1251" i="6"/>
  <c r="AN1251" i="6"/>
  <c r="AJ1251" i="6"/>
  <c r="AW1199" i="6"/>
  <c r="AS1199" i="6"/>
  <c r="AO1199" i="6"/>
  <c r="AK1199" i="6"/>
  <c r="AE1145" i="6"/>
  <c r="AU1303" i="6"/>
  <c r="AQ1303" i="6"/>
  <c r="AM1303" i="6"/>
  <c r="AI1303" i="6"/>
  <c r="AI1270" i="6" s="1"/>
  <c r="AU1251" i="6"/>
  <c r="AQ1251" i="6"/>
  <c r="AM1251" i="6"/>
  <c r="AI1251" i="6"/>
  <c r="AI1218" i="6" s="1" a="1"/>
  <c r="AI1218" i="6" s="1"/>
  <c r="AV1199" i="6"/>
  <c r="AR1199" i="6"/>
  <c r="AN1199" i="6"/>
  <c r="AJ1199" i="6"/>
  <c r="AH1145" i="6"/>
  <c r="AD1145" i="6"/>
  <c r="AH414" i="6"/>
  <c r="AO46" i="17"/>
  <c r="AM61" i="14"/>
  <c r="AX2648" i="6"/>
  <c r="AT2648" i="6"/>
  <c r="AP2648" i="6"/>
  <c r="AL2648" i="6"/>
  <c r="AL2612" i="6" s="1"/>
  <c r="AY2596" i="6"/>
  <c r="AU2596" i="6"/>
  <c r="AQ2596" i="6"/>
  <c r="AM2596" i="6"/>
  <c r="AX2544" i="6"/>
  <c r="AT2544" i="6"/>
  <c r="AP2544" i="6"/>
  <c r="AL2544" i="6"/>
  <c r="AL2508" i="6" s="1" a="1"/>
  <c r="AL2508" i="6" s="1"/>
  <c r="AW2648" i="6"/>
  <c r="AR2648" i="6"/>
  <c r="AM2648" i="6"/>
  <c r="AX2596" i="6"/>
  <c r="AS2596" i="6"/>
  <c r="AN2596" i="6"/>
  <c r="AZ2544" i="6"/>
  <c r="AU2544" i="6"/>
  <c r="AO2544" i="6"/>
  <c r="AK2490" i="6"/>
  <c r="AK2454" i="6" s="1"/>
  <c r="BA2648" i="6"/>
  <c r="AV2648" i="6"/>
  <c r="AQ2648" i="6"/>
  <c r="AW2596" i="6"/>
  <c r="AR2596" i="6"/>
  <c r="AL2596" i="6"/>
  <c r="AL2560" i="6" s="1" a="1"/>
  <c r="AL2560" i="6" s="1"/>
  <c r="AY2544" i="6"/>
  <c r="AS2544" i="6"/>
  <c r="AN2544" i="6"/>
  <c r="AZ2648" i="6"/>
  <c r="AU2648" i="6"/>
  <c r="AO2648" i="6"/>
  <c r="AV2596" i="6"/>
  <c r="AP2596" i="6"/>
  <c r="AW2544" i="6"/>
  <c r="AR2544" i="6"/>
  <c r="AM2544" i="6"/>
  <c r="AY2648" i="6"/>
  <c r="AZ2596" i="6"/>
  <c r="AM2453" i="6"/>
  <c r="AS2648" i="6"/>
  <c r="AT2596" i="6"/>
  <c r="AN2648" i="6"/>
  <c r="AO2596" i="6"/>
  <c r="AV2544" i="6"/>
  <c r="AQ2544" i="6"/>
  <c r="AM21" i="5"/>
  <c r="AK880" i="6"/>
  <c r="AL878" i="6"/>
  <c r="AK882" i="6"/>
  <c r="AL7" i="5"/>
  <c r="AK883" i="6"/>
  <c r="H2" i="20"/>
  <c r="AB1956" i="6"/>
  <c r="AB1945" i="6" s="1"/>
  <c r="X1956" i="6"/>
  <c r="T1956" i="6"/>
  <c r="P1956" i="6"/>
  <c r="Y1904" i="6"/>
  <c r="U1904" i="6"/>
  <c r="Q1904" i="6"/>
  <c r="M1904" i="6"/>
  <c r="X1852" i="6"/>
  <c r="T1852" i="6"/>
  <c r="P1852" i="6"/>
  <c r="AA1956" i="6"/>
  <c r="W1956" i="6"/>
  <c r="S1956" i="6"/>
  <c r="O1956" i="6"/>
  <c r="X1904" i="6"/>
  <c r="T1904" i="6"/>
  <c r="P1904" i="6"/>
  <c r="AA1852" i="6"/>
  <c r="AA1841" i="6" s="1" a="1"/>
  <c r="AA1841" i="6" s="1"/>
  <c r="W1852" i="6"/>
  <c r="S1852" i="6"/>
  <c r="O1852" i="6"/>
  <c r="Z1956" i="6"/>
  <c r="V1956" i="6"/>
  <c r="R1956" i="6"/>
  <c r="N1956" i="6"/>
  <c r="AA1904" i="6"/>
  <c r="AA1893" i="6" s="1" a="1"/>
  <c r="AA1893" i="6" s="1"/>
  <c r="W1904" i="6"/>
  <c r="S1904" i="6"/>
  <c r="O1904" i="6"/>
  <c r="Z1852" i="6"/>
  <c r="V1852" i="6"/>
  <c r="R1852" i="6"/>
  <c r="N1852" i="6"/>
  <c r="Q1956" i="6"/>
  <c r="Z1904" i="6"/>
  <c r="U1852" i="6"/>
  <c r="J1797" i="6"/>
  <c r="M1956" i="6"/>
  <c r="V1904" i="6"/>
  <c r="Q1852" i="6"/>
  <c r="Y1956" i="6"/>
  <c r="R1904" i="6"/>
  <c r="M1852" i="6"/>
  <c r="J1796" i="6"/>
  <c r="U1956" i="6"/>
  <c r="N1904" i="6"/>
  <c r="Y1852" i="6"/>
  <c r="J1798" i="6"/>
  <c r="AE1839" i="6"/>
  <c r="AE1840" i="6"/>
  <c r="AE1997" i="6" s="1"/>
  <c r="K1337" i="6"/>
  <c r="AC1547" i="6"/>
  <c r="AC1548" i="6"/>
  <c r="X2665" i="6"/>
  <c r="X2664" i="6"/>
  <c r="Z2664" i="6"/>
  <c r="Z2665" i="6"/>
  <c r="Q2664" i="6"/>
  <c r="Q2665" i="6"/>
  <c r="AN46" i="16"/>
  <c r="AO48" i="16"/>
  <c r="AS38" i="20"/>
  <c r="H17" i="22"/>
  <c r="J2228" i="6"/>
  <c r="AJ17" i="20"/>
  <c r="AJ1782" i="6"/>
  <c r="AJ2228" i="6"/>
  <c r="AK656" i="6"/>
  <c r="AL654" i="6"/>
  <c r="AK652" i="6"/>
  <c r="AR103" i="9"/>
  <c r="BF335" i="6"/>
  <c r="BB335" i="6"/>
  <c r="AX335" i="6"/>
  <c r="AT335" i="6"/>
  <c r="AP335" i="6"/>
  <c r="AL335" i="6"/>
  <c r="AH335" i="6"/>
  <c r="BC283" i="6"/>
  <c r="AY283" i="6"/>
  <c r="AU283" i="6"/>
  <c r="AQ283" i="6"/>
  <c r="AM283" i="6"/>
  <c r="AI283" i="6"/>
  <c r="AY335" i="6"/>
  <c r="AM335" i="6"/>
  <c r="AZ283" i="6"/>
  <c r="AN283" i="6"/>
  <c r="BE335" i="6"/>
  <c r="BA335" i="6"/>
  <c r="AW335" i="6"/>
  <c r="AS335" i="6"/>
  <c r="AO335" i="6"/>
  <c r="AK335" i="6"/>
  <c r="BF283" i="6"/>
  <c r="BB283" i="6"/>
  <c r="AX283" i="6"/>
  <c r="AT283" i="6"/>
  <c r="AP283" i="6"/>
  <c r="AL283" i="6"/>
  <c r="AH283" i="6"/>
  <c r="AU335" i="6"/>
  <c r="AI335" i="6"/>
  <c r="BD283" i="6"/>
  <c r="AR283" i="6"/>
  <c r="BD335" i="6"/>
  <c r="AZ335" i="6"/>
  <c r="AV335" i="6"/>
  <c r="AR335" i="6"/>
  <c r="AN335" i="6"/>
  <c r="AJ335" i="6"/>
  <c r="BE283" i="6"/>
  <c r="BA283" i="6"/>
  <c r="AW283" i="6"/>
  <c r="AS283" i="6"/>
  <c r="AO283" i="6"/>
  <c r="AK283" i="6"/>
  <c r="BC335" i="6"/>
  <c r="AQ335" i="6"/>
  <c r="AV283" i="6"/>
  <c r="AJ283" i="6"/>
  <c r="J1615" i="6"/>
  <c r="J1614" i="6"/>
  <c r="K1614" i="6"/>
  <c r="K1615" i="6"/>
  <c r="H17" i="20"/>
  <c r="J1782" i="6"/>
  <c r="AU21" i="13"/>
  <c r="AT22" i="13"/>
  <c r="G2" i="21"/>
  <c r="X2180" i="6"/>
  <c r="T2180" i="6"/>
  <c r="P2180" i="6"/>
  <c r="L2180" i="6"/>
  <c r="X2128" i="6"/>
  <c r="T2128" i="6"/>
  <c r="P2128" i="6"/>
  <c r="L2128" i="6"/>
  <c r="W2076" i="6"/>
  <c r="S2076" i="6"/>
  <c r="O2076" i="6"/>
  <c r="I2022" i="6"/>
  <c r="I2020" i="6"/>
  <c r="AA2180" i="6"/>
  <c r="AA2170" i="6" s="1"/>
  <c r="W2180" i="6"/>
  <c r="S2180" i="6"/>
  <c r="O2180" i="6"/>
  <c r="W2128" i="6"/>
  <c r="S2128" i="6"/>
  <c r="O2128" i="6"/>
  <c r="Z2076" i="6"/>
  <c r="Z2066" i="6" s="1" a="1"/>
  <c r="Z2066" i="6" s="1"/>
  <c r="V2076" i="6"/>
  <c r="R2076" i="6"/>
  <c r="N2076" i="6"/>
  <c r="Z2180" i="6"/>
  <c r="V2180" i="6"/>
  <c r="R2180" i="6"/>
  <c r="N2180" i="6"/>
  <c r="Z2128" i="6"/>
  <c r="Z2118" i="6" s="1" a="1"/>
  <c r="Z2118" i="6" s="1"/>
  <c r="V2128" i="6"/>
  <c r="R2128" i="6"/>
  <c r="N2128" i="6"/>
  <c r="Y2076" i="6"/>
  <c r="U2076" i="6"/>
  <c r="Q2076" i="6"/>
  <c r="M2076" i="6"/>
  <c r="I2021" i="6"/>
  <c r="Y2180" i="6"/>
  <c r="Q2128" i="6"/>
  <c r="P2076" i="6"/>
  <c r="U2180" i="6"/>
  <c r="M2128" i="6"/>
  <c r="L2076" i="6"/>
  <c r="Q2180" i="6"/>
  <c r="Y2128" i="6"/>
  <c r="X2076" i="6"/>
  <c r="M2180" i="6"/>
  <c r="U2128" i="6"/>
  <c r="T2076" i="6"/>
  <c r="AE21" i="17"/>
  <c r="AE1106" i="6"/>
  <c r="AF19" i="5" s="1"/>
  <c r="H2" i="14"/>
  <c r="Y592" i="6"/>
  <c r="U592" i="6"/>
  <c r="Q592" i="6"/>
  <c r="M592" i="6"/>
  <c r="Z540" i="6"/>
  <c r="V540" i="6"/>
  <c r="R540" i="6"/>
  <c r="N540" i="6"/>
  <c r="Z488" i="6"/>
  <c r="V488" i="6"/>
  <c r="R488" i="6"/>
  <c r="N488" i="6"/>
  <c r="J434" i="6"/>
  <c r="J432" i="6"/>
  <c r="AB592" i="6"/>
  <c r="AB581" i="6" s="1"/>
  <c r="X592" i="6"/>
  <c r="T592" i="6"/>
  <c r="P592" i="6"/>
  <c r="Y540" i="6"/>
  <c r="U540" i="6"/>
  <c r="Q540" i="6"/>
  <c r="M540" i="6"/>
  <c r="Y488" i="6"/>
  <c r="U488" i="6"/>
  <c r="Q488" i="6"/>
  <c r="M488" i="6"/>
  <c r="V592" i="6"/>
  <c r="N592" i="6"/>
  <c r="W540" i="6"/>
  <c r="O540" i="6"/>
  <c r="AA488" i="6"/>
  <c r="AA477" i="6" s="1" a="1"/>
  <c r="AA477" i="6" s="1"/>
  <c r="S488" i="6"/>
  <c r="AA592" i="6"/>
  <c r="W592" i="6"/>
  <c r="S592" i="6"/>
  <c r="O592" i="6"/>
  <c r="X540" i="6"/>
  <c r="T540" i="6"/>
  <c r="P540" i="6"/>
  <c r="X488" i="6"/>
  <c r="T488" i="6"/>
  <c r="P488" i="6"/>
  <c r="J433" i="6"/>
  <c r="Z592" i="6"/>
  <c r="R592" i="6"/>
  <c r="AA540" i="6"/>
  <c r="S540" i="6"/>
  <c r="W488" i="6"/>
  <c r="O488" i="6"/>
  <c r="AK1329" i="6"/>
  <c r="AK1333" i="6"/>
  <c r="AL1331" i="6"/>
  <c r="AJ24" i="9"/>
  <c r="AK66" i="14"/>
  <c r="AJ57" i="14"/>
  <c r="AJ56" i="14" s="1"/>
  <c r="AJ14" i="6"/>
  <c r="AK8" i="6"/>
  <c r="AJ13" i="6"/>
  <c r="AK3" i="5"/>
  <c r="AK1104" i="6"/>
  <c r="AJ1108" i="6"/>
  <c r="AJ1102" i="6"/>
  <c r="AE2286" i="6"/>
  <c r="AE2285" i="6"/>
  <c r="L1840" i="6"/>
  <c r="L1839" i="6"/>
  <c r="AI14" i="13"/>
  <c r="AJ237" i="6"/>
  <c r="AJ12" i="6"/>
  <c r="AK9" i="6"/>
  <c r="AJ7" i="6"/>
  <c r="J2506" i="6"/>
  <c r="J2507" i="6"/>
  <c r="J2664" i="6" s="1"/>
  <c r="T2665" i="6"/>
  <c r="T2664" i="6"/>
  <c r="P2665" i="6"/>
  <c r="P2664" i="6"/>
  <c r="L660" i="6"/>
  <c r="M22" i="5" s="1"/>
  <c r="M25" i="5" s="1"/>
  <c r="M43" i="5" s="1"/>
  <c r="AJ17" i="21"/>
  <c r="AJ2007" i="6"/>
  <c r="AJ2223" i="6" s="1"/>
  <c r="AL68" i="12"/>
  <c r="AH44" i="8"/>
  <c r="AI24" i="8"/>
  <c r="AE17" i="5"/>
  <c r="AE24" i="5" s="1"/>
  <c r="AE42" i="5" s="1"/>
  <c r="AD1323" i="6"/>
  <c r="J938" i="6"/>
  <c r="J937" i="6"/>
  <c r="K2064" i="6"/>
  <c r="K2065" i="6"/>
  <c r="AG634" i="6"/>
  <c r="AG633" i="6"/>
  <c r="AL70" i="13"/>
  <c r="AK48" i="13"/>
  <c r="AV2424" i="6"/>
  <c r="AR2424" i="6"/>
  <c r="AN2424" i="6"/>
  <c r="AJ2424" i="6"/>
  <c r="BD2372" i="6"/>
  <c r="AZ2372" i="6"/>
  <c r="AV2372" i="6"/>
  <c r="AR2372" i="6"/>
  <c r="AN2372" i="6"/>
  <c r="AJ2372" i="6"/>
  <c r="BF2320" i="6"/>
  <c r="BB2320" i="6"/>
  <c r="AX2320" i="6"/>
  <c r="AT2320" i="6"/>
  <c r="AP2320" i="6"/>
  <c r="AL2320" i="6"/>
  <c r="AF2266" i="6"/>
  <c r="AF2233" i="6" s="1"/>
  <c r="AJ2232" i="6"/>
  <c r="AU2424" i="6"/>
  <c r="AQ2424" i="6"/>
  <c r="AM2424" i="6"/>
  <c r="AI2424" i="6"/>
  <c r="AI2391" i="6" s="1"/>
  <c r="BG2372" i="6"/>
  <c r="BC2372" i="6"/>
  <c r="AY2372" i="6"/>
  <c r="AU2372" i="6"/>
  <c r="AQ2372" i="6"/>
  <c r="AM2372" i="6"/>
  <c r="AI2372" i="6"/>
  <c r="BE2320" i="6"/>
  <c r="BA2320" i="6"/>
  <c r="AW2320" i="6"/>
  <c r="AS2320" i="6"/>
  <c r="AO2320" i="6"/>
  <c r="AK2320" i="6"/>
  <c r="AX2424" i="6"/>
  <c r="AT2424" i="6"/>
  <c r="AP2424" i="6"/>
  <c r="AL2424" i="6"/>
  <c r="BF2372" i="6"/>
  <c r="BB2372" i="6"/>
  <c r="AX2372" i="6"/>
  <c r="AT2372" i="6"/>
  <c r="AP2372" i="6"/>
  <c r="AL2372" i="6"/>
  <c r="BD2320" i="6"/>
  <c r="AZ2320" i="6"/>
  <c r="AV2320" i="6"/>
  <c r="AR2320" i="6"/>
  <c r="AN2320" i="6"/>
  <c r="AJ2320" i="6"/>
  <c r="AH2266" i="6"/>
  <c r="AW2424" i="6"/>
  <c r="AS2424" i="6"/>
  <c r="AO2424" i="6"/>
  <c r="AK2424" i="6"/>
  <c r="BE2372" i="6"/>
  <c r="BA2372" i="6"/>
  <c r="AW2372" i="6"/>
  <c r="AS2372" i="6"/>
  <c r="AO2372" i="6"/>
  <c r="AK2372" i="6"/>
  <c r="BG2320" i="6"/>
  <c r="BC2320" i="6"/>
  <c r="AY2320" i="6"/>
  <c r="AU2320" i="6"/>
  <c r="AQ2320" i="6"/>
  <c r="AM2320" i="6"/>
  <c r="AI2320" i="6"/>
  <c r="AG2266" i="6"/>
  <c r="AG645" i="6"/>
  <c r="H19" i="17"/>
  <c r="J1105" i="6"/>
  <c r="AL2448" i="6"/>
  <c r="AK2450" i="6"/>
  <c r="AK2449" i="6"/>
  <c r="AL16" i="5"/>
  <c r="AU2924" i="6"/>
  <c r="AQ2924" i="6"/>
  <c r="AM2924" i="6"/>
  <c r="AI2924" i="6"/>
  <c r="AT2872" i="6"/>
  <c r="AP2872" i="6"/>
  <c r="AL2872" i="6"/>
  <c r="AH2872" i="6"/>
  <c r="AS2924" i="6"/>
  <c r="AN2924" i="6"/>
  <c r="AH2924" i="6"/>
  <c r="AR2872" i="6"/>
  <c r="AM2872" i="6"/>
  <c r="AG2872" i="6"/>
  <c r="AG2841" i="6" s="1" a="1"/>
  <c r="AG2841" i="6" s="1"/>
  <c r="AR2924" i="6"/>
  <c r="AL2924" i="6"/>
  <c r="AG2924" i="6"/>
  <c r="AG2893" i="6" s="1" a="1"/>
  <c r="AG2893" i="6" s="1"/>
  <c r="AQ2872" i="6"/>
  <c r="AK2872" i="6"/>
  <c r="AP2924" i="6"/>
  <c r="AK2924" i="6"/>
  <c r="AO2924" i="6"/>
  <c r="AS2872" i="6"/>
  <c r="AI2872" i="6"/>
  <c r="AJ2924" i="6"/>
  <c r="AO2872" i="6"/>
  <c r="AN2872" i="6"/>
  <c r="AT2924" i="6"/>
  <c r="AU2872" i="6"/>
  <c r="AJ2872" i="6"/>
  <c r="AW1754" i="6"/>
  <c r="AS1754" i="6"/>
  <c r="AO1754" i="6"/>
  <c r="AK1754" i="6"/>
  <c r="AW1702" i="6"/>
  <c r="AS1702" i="6"/>
  <c r="AO1702" i="6"/>
  <c r="AK1702" i="6"/>
  <c r="AV1650" i="6"/>
  <c r="AR1650" i="6"/>
  <c r="AN1650" i="6"/>
  <c r="AJ1650" i="6"/>
  <c r="AJ1616" i="6" s="1" a="1"/>
  <c r="AJ1616" i="6" s="1"/>
  <c r="AX1754" i="6"/>
  <c r="AR1754" i="6"/>
  <c r="AM1754" i="6"/>
  <c r="AX1702" i="6"/>
  <c r="AR1702" i="6"/>
  <c r="AM1702" i="6"/>
  <c r="AW1650" i="6"/>
  <c r="AQ1650" i="6"/>
  <c r="AL1650" i="6"/>
  <c r="AG1596" i="6"/>
  <c r="AG1562" i="6" s="1"/>
  <c r="AV1754" i="6"/>
  <c r="AQ1754" i="6"/>
  <c r="AL1754" i="6"/>
  <c r="AV1702" i="6"/>
  <c r="AQ1702" i="6"/>
  <c r="AL1702" i="6"/>
  <c r="AU1650" i="6"/>
  <c r="AP1650" i="6"/>
  <c r="AK1650" i="6"/>
  <c r="AU1754" i="6"/>
  <c r="AP1754" i="6"/>
  <c r="AJ1754" i="6"/>
  <c r="AJ1720" i="6" s="1"/>
  <c r="AJ1773" i="6" s="1"/>
  <c r="AU1702" i="6"/>
  <c r="AP1702" i="6"/>
  <c r="AJ1702" i="6"/>
  <c r="AT1650" i="6"/>
  <c r="AO1650" i="6"/>
  <c r="AI1596" i="6"/>
  <c r="AK1561" i="6"/>
  <c r="AY1754" i="6"/>
  <c r="AT1754" i="6"/>
  <c r="AN1754" i="6"/>
  <c r="AT1702" i="6"/>
  <c r="AN1702" i="6"/>
  <c r="AX1650" i="6"/>
  <c r="AS1650" i="6"/>
  <c r="AM1650" i="6"/>
  <c r="AH1596" i="6"/>
  <c r="AF1389" i="6"/>
  <c r="AF1390" i="6"/>
  <c r="AF1547" i="6" s="1"/>
  <c r="AI23" i="9"/>
  <c r="AY2978" i="6"/>
  <c r="AU2978" i="6"/>
  <c r="AQ2978" i="6"/>
  <c r="AM2978" i="6"/>
  <c r="AI2978" i="6"/>
  <c r="AH2839" i="6"/>
  <c r="BB2978" i="6"/>
  <c r="AX2978" i="6"/>
  <c r="AT2978" i="6"/>
  <c r="AP2978" i="6"/>
  <c r="AL2978" i="6"/>
  <c r="AH2978" i="6"/>
  <c r="AH2946" i="6" s="1"/>
  <c r="BA2978" i="6"/>
  <c r="AS2978" i="6"/>
  <c r="AK2978" i="6"/>
  <c r="AZ2978" i="6"/>
  <c r="AR2978" i="6"/>
  <c r="AJ2978" i="6"/>
  <c r="AW2978" i="6"/>
  <c r="AO2978" i="6"/>
  <c r="AV2978" i="6"/>
  <c r="AH2840" i="6"/>
  <c r="AN2978" i="6"/>
  <c r="AH2945" i="6"/>
  <c r="AH2998" i="6" s="1"/>
  <c r="AK2004" i="6"/>
  <c r="AK2008" i="6"/>
  <c r="AL2006" i="6"/>
  <c r="AK1554" i="6"/>
  <c r="AR31" i="14"/>
  <c r="AQ33" i="14"/>
  <c r="AI2668" i="6"/>
  <c r="AZ3146" i="6"/>
  <c r="AV3146" i="6"/>
  <c r="AR3146" i="6"/>
  <c r="AN3146" i="6"/>
  <c r="AJ3146" i="6"/>
  <c r="AI3006" i="6"/>
  <c r="BC3146" i="6"/>
  <c r="AY3146" i="6"/>
  <c r="AU3146" i="6"/>
  <c r="AQ3146" i="6"/>
  <c r="AM3146" i="6"/>
  <c r="AI3146" i="6"/>
  <c r="AI3113" i="6" s="1"/>
  <c r="AI3007" i="6"/>
  <c r="AW3146" i="6"/>
  <c r="AO3146" i="6"/>
  <c r="BB3146" i="6"/>
  <c r="AT3146" i="6"/>
  <c r="AL3146" i="6"/>
  <c r="BA3146" i="6"/>
  <c r="AS3146" i="6"/>
  <c r="AK3146" i="6"/>
  <c r="AP3146" i="6"/>
  <c r="AX3146" i="6"/>
  <c r="AI3112" i="6"/>
  <c r="AI3165" i="6" s="1"/>
  <c r="AL2227" i="6"/>
  <c r="AK2225" i="6"/>
  <c r="AK2229" i="6"/>
  <c r="AK62" i="12"/>
  <c r="AL247" i="6" s="1"/>
  <c r="AI420" i="6"/>
  <c r="AI415" i="6"/>
  <c r="AJ4" i="5"/>
  <c r="AI421" i="6"/>
  <c r="AJ20" i="5" s="1"/>
  <c r="AI417" i="6"/>
  <c r="AJ412" i="6"/>
  <c r="AJ5" i="5"/>
  <c r="AI418" i="6"/>
  <c r="AI414" i="6"/>
  <c r="H38" i="23"/>
  <c r="H31" i="22"/>
  <c r="H31" i="21"/>
  <c r="H31" i="20"/>
  <c r="H31" i="19"/>
  <c r="H36" i="17"/>
  <c r="H48" i="14"/>
  <c r="H31" i="18"/>
  <c r="H41" i="16"/>
  <c r="H33" i="15"/>
  <c r="H40" i="13"/>
  <c r="G6" i="7"/>
  <c r="AL1330" i="6"/>
  <c r="AK1334" i="6"/>
  <c r="AK1335" i="6"/>
  <c r="AL10" i="5"/>
  <c r="AH660" i="6"/>
  <c r="AN39" i="20"/>
  <c r="AM36" i="20"/>
  <c r="K423" i="6"/>
  <c r="AK2010" i="6"/>
  <c r="AL2005" i="6"/>
  <c r="AK2009" i="6"/>
  <c r="AT5" i="9"/>
  <c r="AG36" i="11"/>
  <c r="AG3170" i="6"/>
  <c r="J1322" i="6"/>
  <c r="I21" i="15"/>
  <c r="K655" i="6"/>
  <c r="AF1840" i="6" l="1"/>
  <c r="AF1997" i="6" s="1"/>
  <c r="AF1839" i="6"/>
  <c r="AJ1548" i="6"/>
  <c r="AH3166" i="6"/>
  <c r="AH3167" i="6"/>
  <c r="AG3000" i="6"/>
  <c r="AG2999" i="6"/>
  <c r="AF2832" i="6"/>
  <c r="AF2833" i="6"/>
  <c r="AJ1096" i="6"/>
  <c r="AG2064" i="6"/>
  <c r="AG2065" i="6"/>
  <c r="AG2222" i="6" s="1"/>
  <c r="AI1998" i="6"/>
  <c r="AF2285" i="6"/>
  <c r="AF2286" i="6"/>
  <c r="M47" i="5"/>
  <c r="M45" i="5"/>
  <c r="AJ871" i="6"/>
  <c r="AK2066" i="6" a="1"/>
  <c r="AK2066" i="6" s="1"/>
  <c r="AW2205" i="6"/>
  <c r="AS2205" i="6"/>
  <c r="AO2205" i="6"/>
  <c r="AK2205" i="6"/>
  <c r="AK2170" i="6" s="1"/>
  <c r="AX2153" i="6"/>
  <c r="AT2153" i="6"/>
  <c r="AP2153" i="6"/>
  <c r="AL2153" i="6"/>
  <c r="AW2101" i="6"/>
  <c r="AS2101" i="6"/>
  <c r="AO2101" i="6"/>
  <c r="AK2101" i="6"/>
  <c r="AI2047" i="6"/>
  <c r="AZ2205" i="6"/>
  <c r="AV2205" i="6"/>
  <c r="AR2205" i="6"/>
  <c r="AN2205" i="6"/>
  <c r="AW2153" i="6"/>
  <c r="AS2153" i="6"/>
  <c r="AO2153" i="6"/>
  <c r="AK2153" i="6"/>
  <c r="AK2118" i="6" s="1" a="1"/>
  <c r="AK2118" i="6" s="1"/>
  <c r="AV2101" i="6"/>
  <c r="AR2101" i="6"/>
  <c r="AN2101" i="6"/>
  <c r="AH2047" i="6"/>
  <c r="AH2012" i="6" s="1"/>
  <c r="AL2011" i="6"/>
  <c r="AY2205" i="6"/>
  <c r="AU2205" i="6"/>
  <c r="AQ2205" i="6"/>
  <c r="AM2205" i="6"/>
  <c r="AV2153" i="6"/>
  <c r="AR2153" i="6"/>
  <c r="AN2153" i="6"/>
  <c r="AY2101" i="6"/>
  <c r="AU2101" i="6"/>
  <c r="AQ2101" i="6"/>
  <c r="AM2101" i="6"/>
  <c r="AX2205" i="6"/>
  <c r="AT2205" i="6"/>
  <c r="AP2205" i="6"/>
  <c r="AL2205" i="6"/>
  <c r="AY2153" i="6"/>
  <c r="AX2101" i="6"/>
  <c r="AU2153" i="6"/>
  <c r="AT2101" i="6"/>
  <c r="AJ2047" i="6"/>
  <c r="AQ2153" i="6"/>
  <c r="AP2101" i="6"/>
  <c r="AM2153" i="6"/>
  <c r="AL2101" i="6"/>
  <c r="AL66" i="14"/>
  <c r="AK57" i="14"/>
  <c r="AK56" i="14" s="1"/>
  <c r="AF21" i="17"/>
  <c r="AF1106" i="6"/>
  <c r="AG19" i="5" s="1"/>
  <c r="G17" i="19"/>
  <c r="I1557" i="6"/>
  <c r="AN38" i="15"/>
  <c r="AO40" i="15"/>
  <c r="AJ413" i="6"/>
  <c r="AI419" i="6"/>
  <c r="AI635" i="6"/>
  <c r="AJ23" i="5" s="1"/>
  <c r="AH22" i="9"/>
  <c r="AJ15" i="5"/>
  <c r="I2285" i="6"/>
  <c r="I2286" i="6"/>
  <c r="G2" i="18"/>
  <c r="AA1505" i="6"/>
  <c r="AA1495" i="6" s="1"/>
  <c r="W1505" i="6"/>
  <c r="S1505" i="6"/>
  <c r="O1505" i="6"/>
  <c r="W1453" i="6"/>
  <c r="S1453" i="6"/>
  <c r="O1453" i="6"/>
  <c r="Z1401" i="6"/>
  <c r="Z1391" i="6" s="1" a="1"/>
  <c r="Z1391" i="6" s="1"/>
  <c r="V1401" i="6"/>
  <c r="R1401" i="6"/>
  <c r="N1401" i="6"/>
  <c r="Z1505" i="6"/>
  <c r="V1505" i="6"/>
  <c r="R1505" i="6"/>
  <c r="N1505" i="6"/>
  <c r="Z1453" i="6"/>
  <c r="Z1443" i="6" s="1" a="1"/>
  <c r="Z1443" i="6" s="1"/>
  <c r="V1453" i="6"/>
  <c r="R1453" i="6"/>
  <c r="N1453" i="6"/>
  <c r="Y1401" i="6"/>
  <c r="U1401" i="6"/>
  <c r="Q1401" i="6"/>
  <c r="M1401" i="6"/>
  <c r="I1346" i="6"/>
  <c r="Y1505" i="6"/>
  <c r="U1505" i="6"/>
  <c r="Q1505" i="6"/>
  <c r="M1505" i="6"/>
  <c r="Y1453" i="6"/>
  <c r="U1453" i="6"/>
  <c r="Q1453" i="6"/>
  <c r="M1453" i="6"/>
  <c r="X1401" i="6"/>
  <c r="T1401" i="6"/>
  <c r="P1401" i="6"/>
  <c r="L1401" i="6"/>
  <c r="X1505" i="6"/>
  <c r="T1505" i="6"/>
  <c r="P1505" i="6"/>
  <c r="L1505" i="6"/>
  <c r="X1453" i="6"/>
  <c r="T1453" i="6"/>
  <c r="P1453" i="6"/>
  <c r="L1453" i="6"/>
  <c r="W1401" i="6"/>
  <c r="S1401" i="6"/>
  <c r="O1401" i="6"/>
  <c r="I1347" i="6"/>
  <c r="I1345" i="6"/>
  <c r="I1337" i="6" s="1"/>
  <c r="H23" i="14"/>
  <c r="J415" i="6"/>
  <c r="K17" i="5" s="1"/>
  <c r="K24" i="5" s="1"/>
  <c r="K42" i="5" s="1"/>
  <c r="AM61" i="12"/>
  <c r="BD3147" i="6"/>
  <c r="AZ3147" i="6"/>
  <c r="AV3147" i="6"/>
  <c r="AR3147" i="6"/>
  <c r="AN3147" i="6"/>
  <c r="AJ3147" i="6"/>
  <c r="AJ3113" i="6" s="1"/>
  <c r="AJ3007" i="6"/>
  <c r="BC3147" i="6"/>
  <c r="AY3147" i="6"/>
  <c r="AU3147" i="6"/>
  <c r="AQ3147" i="6"/>
  <c r="AM3147" i="6"/>
  <c r="BA3147" i="6"/>
  <c r="AS3147" i="6"/>
  <c r="AK3147" i="6"/>
  <c r="AJ3006" i="6"/>
  <c r="AX3147" i="6"/>
  <c r="AP3147" i="6"/>
  <c r="AW3147" i="6"/>
  <c r="AO3147" i="6"/>
  <c r="BB3147" i="6"/>
  <c r="AT3147" i="6"/>
  <c r="AL3147" i="6"/>
  <c r="AJ3112" i="6"/>
  <c r="AJ3165" i="6" s="1"/>
  <c r="AK26" i="5"/>
  <c r="AK93" i="9"/>
  <c r="AJ74" i="9"/>
  <c r="AJ68" i="9"/>
  <c r="AK2837" i="6" s="1"/>
  <c r="AJ65" i="9"/>
  <c r="AJ63" i="9"/>
  <c r="AJ57" i="9"/>
  <c r="AJ4" i="9"/>
  <c r="AJ92" i="9"/>
  <c r="AJ66" i="9"/>
  <c r="AJ64" i="9"/>
  <c r="AJ61" i="9"/>
  <c r="AK3005" i="6" s="1"/>
  <c r="AJ58" i="9"/>
  <c r="AJ16" i="9"/>
  <c r="AJ8" i="9"/>
  <c r="AK2670" i="6" s="1"/>
  <c r="AJ3" i="9"/>
  <c r="AK2668" i="6" s="1"/>
  <c r="AJ69" i="9"/>
  <c r="F16" i="6"/>
  <c r="AO2447" i="6"/>
  <c r="AN2452" i="6"/>
  <c r="AO14" i="5"/>
  <c r="G24" i="17"/>
  <c r="I1107" i="6"/>
  <c r="J18" i="5" s="1"/>
  <c r="I1614" i="6"/>
  <c r="I1615" i="6"/>
  <c r="AN3171" i="6"/>
  <c r="AM24" i="9"/>
  <c r="AK39" i="23"/>
  <c r="AL2451" i="6" s="1"/>
  <c r="AK32" i="22"/>
  <c r="AK32" i="21"/>
  <c r="AK32" i="20"/>
  <c r="AK32" i="19"/>
  <c r="AK37" i="17"/>
  <c r="AK49" i="14"/>
  <c r="AK42" i="16"/>
  <c r="AL882" i="6" s="1"/>
  <c r="AK34" i="15"/>
  <c r="AK32" i="18"/>
  <c r="AK41" i="13"/>
  <c r="AL7" i="7"/>
  <c r="H25" i="16"/>
  <c r="J880" i="6"/>
  <c r="I937" i="6"/>
  <c r="I938" i="6"/>
  <c r="AE1323" i="6"/>
  <c r="AF17" i="5"/>
  <c r="AF24" i="5" s="1"/>
  <c r="AF42" i="5" s="1"/>
  <c r="BD390" i="6"/>
  <c r="AZ390" i="6"/>
  <c r="AV390" i="6"/>
  <c r="AR390" i="6"/>
  <c r="AN390" i="6"/>
  <c r="AJ390" i="6"/>
  <c r="AJ356" i="6" s="1"/>
  <c r="AJ250" i="6"/>
  <c r="BC390" i="6"/>
  <c r="AY390" i="6"/>
  <c r="AU390" i="6"/>
  <c r="AQ390" i="6"/>
  <c r="AM390" i="6"/>
  <c r="BA390" i="6"/>
  <c r="AS390" i="6"/>
  <c r="AK390" i="6"/>
  <c r="AJ249" i="6"/>
  <c r="BB390" i="6"/>
  <c r="AX390" i="6"/>
  <c r="AT390" i="6"/>
  <c r="AP390" i="6"/>
  <c r="AL390" i="6"/>
  <c r="AW390" i="6"/>
  <c r="AO390" i="6"/>
  <c r="AK29" i="5"/>
  <c r="AJ355" i="6"/>
  <c r="AH645" i="6"/>
  <c r="AM245" i="6"/>
  <c r="AM244" i="6"/>
  <c r="AN28" i="5" s="1"/>
  <c r="AM408" i="6"/>
  <c r="AM67" i="12"/>
  <c r="K712" i="6"/>
  <c r="K713" i="6"/>
  <c r="K475" i="6"/>
  <c r="K476" i="6"/>
  <c r="L22" i="5"/>
  <c r="L25" i="5" s="1"/>
  <c r="L43" i="5" s="1"/>
  <c r="AM1330" i="6"/>
  <c r="AL1334" i="6"/>
  <c r="AL1335" i="6"/>
  <c r="AM10" i="5"/>
  <c r="AJ421" i="6"/>
  <c r="AJ417" i="6"/>
  <c r="AK412" i="6"/>
  <c r="AK5" i="5"/>
  <c r="AJ418" i="6"/>
  <c r="AJ415" i="6"/>
  <c r="AJ414" i="6"/>
  <c r="AJ420" i="6"/>
  <c r="AK4" i="5"/>
  <c r="AL2450" i="6"/>
  <c r="AL2449" i="6"/>
  <c r="AM2448" i="6"/>
  <c r="AM16" i="5"/>
  <c r="G19" i="17"/>
  <c r="I1105" i="6"/>
  <c r="L713" i="6"/>
  <c r="L712" i="6"/>
  <c r="AB634" i="6"/>
  <c r="AB633" i="6"/>
  <c r="AV21" i="13"/>
  <c r="AU22" i="13"/>
  <c r="AN1078" i="6"/>
  <c r="AY1026" i="6"/>
  <c r="AU1026" i="6"/>
  <c r="AQ1026" i="6"/>
  <c r="AM1026" i="6"/>
  <c r="AV974" i="6"/>
  <c r="AR974" i="6"/>
  <c r="AN974" i="6"/>
  <c r="AM1078" i="6"/>
  <c r="AX1026" i="6"/>
  <c r="AT1026" i="6"/>
  <c r="AP1026" i="6"/>
  <c r="AL1026" i="6"/>
  <c r="AP1078" i="6"/>
  <c r="AL1078" i="6"/>
  <c r="AW1026" i="6"/>
  <c r="AS1026" i="6"/>
  <c r="AO1026" i="6"/>
  <c r="AK1026" i="6"/>
  <c r="AK991" i="6" s="1" a="1"/>
  <c r="AK991" i="6" s="1"/>
  <c r="AK1096" i="6" s="1"/>
  <c r="AX974" i="6"/>
  <c r="AT974" i="6"/>
  <c r="AP974" i="6"/>
  <c r="AL974" i="6"/>
  <c r="AO1078" i="6"/>
  <c r="AK1078" i="6"/>
  <c r="AK1043" i="6" s="1"/>
  <c r="AR1026" i="6"/>
  <c r="AU974" i="6"/>
  <c r="AM974" i="6"/>
  <c r="AL884" i="6"/>
  <c r="AN1026" i="6"/>
  <c r="AS974" i="6"/>
  <c r="AK974" i="6"/>
  <c r="AK939" i="6" s="1" a="1"/>
  <c r="AK939" i="6" s="1"/>
  <c r="AY974" i="6"/>
  <c r="AQ974" i="6"/>
  <c r="AV1026" i="6"/>
  <c r="AW974" i="6"/>
  <c r="AO974" i="6"/>
  <c r="AJ920" i="6"/>
  <c r="AJ885" i="6" s="1"/>
  <c r="AK2507" i="6"/>
  <c r="AK2506" i="6"/>
  <c r="AP46" i="17"/>
  <c r="AL17" i="22"/>
  <c r="AL2228" i="6"/>
  <c r="AT2757" i="6"/>
  <c r="AP2757" i="6"/>
  <c r="AL2757" i="6"/>
  <c r="AH2757" i="6"/>
  <c r="AS2705" i="6"/>
  <c r="AO2705" i="6"/>
  <c r="AK2705" i="6"/>
  <c r="AG2705" i="6"/>
  <c r="AG2674" i="6" s="1" a="1"/>
  <c r="AG2674" i="6" s="1"/>
  <c r="AG2832" i="6" s="1"/>
  <c r="AS2757" i="6"/>
  <c r="AN2757" i="6"/>
  <c r="AI2757" i="6"/>
  <c r="AR2705" i="6"/>
  <c r="AM2705" i="6"/>
  <c r="AH2705" i="6"/>
  <c r="AR2757" i="6"/>
  <c r="AM2757" i="6"/>
  <c r="AG2757" i="6"/>
  <c r="AG2726" i="6" s="1" a="1"/>
  <c r="AG2726" i="6" s="1"/>
  <c r="AQ2705" i="6"/>
  <c r="AL2705" i="6"/>
  <c r="AQ2757" i="6"/>
  <c r="AK2757" i="6"/>
  <c r="AU2705" i="6"/>
  <c r="AP2705" i="6"/>
  <c r="AJ2705" i="6"/>
  <c r="AO2757" i="6"/>
  <c r="AN2705" i="6"/>
  <c r="AJ2757" i="6"/>
  <c r="AI2705" i="6"/>
  <c r="AU2757" i="6"/>
  <c r="AT2705" i="6"/>
  <c r="AI529" i="6" a="1"/>
  <c r="AI529" i="6" s="1"/>
  <c r="AM1558" i="6"/>
  <c r="AN1556" i="6"/>
  <c r="AM1554" i="6"/>
  <c r="G17" i="21"/>
  <c r="I2007" i="6"/>
  <c r="AI660" i="6"/>
  <c r="G39" i="23"/>
  <c r="G32" i="22"/>
  <c r="H2230" i="6" s="1"/>
  <c r="G32" i="21"/>
  <c r="H2009" i="6" s="1"/>
  <c r="G32" i="19"/>
  <c r="H1559" i="6" s="1"/>
  <c r="G32" i="20"/>
  <c r="H1784" i="6" s="1"/>
  <c r="G32" i="18"/>
  <c r="H1334" i="6" s="1"/>
  <c r="G42" i="16"/>
  <c r="H882" i="6" s="1"/>
  <c r="G34" i="15"/>
  <c r="H657" i="6" s="1"/>
  <c r="G37" i="17"/>
  <c r="H1109" i="6" s="1"/>
  <c r="G49" i="14"/>
  <c r="H420" i="6" s="1"/>
  <c r="G41" i="13"/>
  <c r="H13" i="6" s="1"/>
  <c r="F7" i="7"/>
  <c r="F2" i="19"/>
  <c r="X1729" i="6"/>
  <c r="T1729" i="6"/>
  <c r="P1729" i="6"/>
  <c r="L1729" i="6"/>
  <c r="W1677" i="6"/>
  <c r="S1677" i="6"/>
  <c r="O1677" i="6"/>
  <c r="K1677" i="6"/>
  <c r="V1625" i="6"/>
  <c r="R1625" i="6"/>
  <c r="N1625" i="6"/>
  <c r="Y1729" i="6"/>
  <c r="S1729" i="6"/>
  <c r="N1729" i="6"/>
  <c r="U1677" i="6"/>
  <c r="P1677" i="6"/>
  <c r="X1625" i="6"/>
  <c r="S1625" i="6"/>
  <c r="M1625" i="6"/>
  <c r="W1729" i="6"/>
  <c r="R1729" i="6"/>
  <c r="M1729" i="6"/>
  <c r="Y1677" i="6"/>
  <c r="Y1668" i="6" s="1" a="1"/>
  <c r="Y1668" i="6" s="1"/>
  <c r="T1677" i="6"/>
  <c r="N1677" i="6"/>
  <c r="W1625" i="6"/>
  <c r="Q1625" i="6"/>
  <c r="L1625" i="6"/>
  <c r="H1570" i="6"/>
  <c r="V1729" i="6"/>
  <c r="Q1729" i="6"/>
  <c r="K1729" i="6"/>
  <c r="X1677" i="6"/>
  <c r="R1677" i="6"/>
  <c r="M1677" i="6"/>
  <c r="U1625" i="6"/>
  <c r="P1625" i="6"/>
  <c r="K1625" i="6"/>
  <c r="Z1729" i="6"/>
  <c r="Z1720" i="6" s="1"/>
  <c r="U1729" i="6"/>
  <c r="O1729" i="6"/>
  <c r="V1677" i="6"/>
  <c r="Q1677" i="6"/>
  <c r="L1677" i="6"/>
  <c r="Y1625" i="6"/>
  <c r="Y1616" i="6" s="1" a="1"/>
  <c r="Y1616" i="6" s="1"/>
  <c r="T1625" i="6"/>
  <c r="O1625" i="6"/>
  <c r="H1571" i="6"/>
  <c r="H1569" i="6"/>
  <c r="H1562" i="6" s="1"/>
  <c r="AO3171" i="6"/>
  <c r="AO38" i="11"/>
  <c r="AP38" i="11"/>
  <c r="AK17" i="18"/>
  <c r="AK1332" i="6"/>
  <c r="G21" i="17"/>
  <c r="I1106" i="6"/>
  <c r="J19" i="5" s="1"/>
  <c r="J1323" i="6"/>
  <c r="AV3093" i="6"/>
  <c r="AR3093" i="6"/>
  <c r="AN3093" i="6"/>
  <c r="AJ3093" i="6"/>
  <c r="AU3041" i="6"/>
  <c r="AQ3041" i="6"/>
  <c r="AM3041" i="6"/>
  <c r="AI3041" i="6"/>
  <c r="AI3008" i="6" s="1" a="1"/>
  <c r="AI3008" i="6" s="1"/>
  <c r="AU3093" i="6"/>
  <c r="AQ3093" i="6"/>
  <c r="AM3093" i="6"/>
  <c r="AI3093" i="6"/>
  <c r="AI3060" i="6" s="1" a="1"/>
  <c r="AI3060" i="6" s="1"/>
  <c r="AT3041" i="6"/>
  <c r="AP3041" i="6"/>
  <c r="AL3041" i="6"/>
  <c r="AS3093" i="6"/>
  <c r="AK3093" i="6"/>
  <c r="AR3041" i="6"/>
  <c r="AJ3041" i="6"/>
  <c r="AP3093" i="6"/>
  <c r="AW3041" i="6"/>
  <c r="AO3041" i="6"/>
  <c r="AW3093" i="6"/>
  <c r="AO3093" i="6"/>
  <c r="AV3041" i="6"/>
  <c r="AN3041" i="6"/>
  <c r="AT3093" i="6"/>
  <c r="AS3041" i="6"/>
  <c r="AL3093" i="6"/>
  <c r="AK3041" i="6"/>
  <c r="AS31" i="14"/>
  <c r="AR33" i="14"/>
  <c r="AG1614" i="6"/>
  <c r="AG1615" i="6"/>
  <c r="AG1772" i="6" s="1"/>
  <c r="AH43" i="8"/>
  <c r="AI643" i="6" s="1"/>
  <c r="AH42" i="8"/>
  <c r="AI644" i="6" s="1"/>
  <c r="AH41" i="8"/>
  <c r="AI642" i="6" s="1"/>
  <c r="AI641" i="6"/>
  <c r="AJ33" i="5" s="1"/>
  <c r="AK2" i="5"/>
  <c r="AL881" i="6"/>
  <c r="AM879" i="6"/>
  <c r="AL877" i="6"/>
  <c r="N47" i="5"/>
  <c r="N45" i="5"/>
  <c r="L17" i="5"/>
  <c r="L24" i="5" s="1"/>
  <c r="L42" i="5" s="1"/>
  <c r="AI2444" i="6"/>
  <c r="AM70" i="13"/>
  <c r="AL48" i="13"/>
  <c r="AE44" i="5"/>
  <c r="AE46" i="5"/>
  <c r="AM68" i="12"/>
  <c r="AK17" i="21"/>
  <c r="AK2007" i="6"/>
  <c r="AJ14" i="13"/>
  <c r="AK237" i="6"/>
  <c r="AK12" i="6"/>
  <c r="AL9" i="6"/>
  <c r="AK7" i="6"/>
  <c r="AK13" i="6"/>
  <c r="AL3" i="5"/>
  <c r="AK14" i="6"/>
  <c r="AL8" i="6"/>
  <c r="AL24" i="9"/>
  <c r="F2" i="21"/>
  <c r="W2179" i="6"/>
  <c r="S2179" i="6"/>
  <c r="O2179" i="6"/>
  <c r="K2179" i="6"/>
  <c r="V2127" i="6"/>
  <c r="R2127" i="6"/>
  <c r="N2127" i="6"/>
  <c r="Y2075" i="6"/>
  <c r="Y2066" i="6" s="1" a="1"/>
  <c r="Y2066" i="6" s="1"/>
  <c r="U2075" i="6"/>
  <c r="Q2075" i="6"/>
  <c r="M2075" i="6"/>
  <c r="Z2179" i="6"/>
  <c r="Z2170" i="6" s="1"/>
  <c r="V2179" i="6"/>
  <c r="R2179" i="6"/>
  <c r="N2179" i="6"/>
  <c r="Y2127" i="6"/>
  <c r="Y2118" i="6" s="1" a="1"/>
  <c r="Y2118" i="6" s="1"/>
  <c r="U2127" i="6"/>
  <c r="Q2127" i="6"/>
  <c r="M2127" i="6"/>
  <c r="X2075" i="6"/>
  <c r="T2075" i="6"/>
  <c r="P2075" i="6"/>
  <c r="L2075" i="6"/>
  <c r="H2020" i="6"/>
  <c r="Y2179" i="6"/>
  <c r="U2179" i="6"/>
  <c r="Q2179" i="6"/>
  <c r="M2179" i="6"/>
  <c r="X2127" i="6"/>
  <c r="T2127" i="6"/>
  <c r="P2127" i="6"/>
  <c r="L2127" i="6"/>
  <c r="W2075" i="6"/>
  <c r="S2075" i="6"/>
  <c r="O2075" i="6"/>
  <c r="K2075" i="6"/>
  <c r="X2179" i="6"/>
  <c r="O2127" i="6"/>
  <c r="N2075" i="6"/>
  <c r="T2179" i="6"/>
  <c r="K2127" i="6"/>
  <c r="H2021" i="6"/>
  <c r="P2179" i="6"/>
  <c r="W2127" i="6"/>
  <c r="V2075" i="6"/>
  <c r="H2019" i="6"/>
  <c r="H2012" i="6" s="1"/>
  <c r="L2179" i="6"/>
  <c r="S2127" i="6"/>
  <c r="R2075" i="6"/>
  <c r="G17" i="20"/>
  <c r="I1782" i="6"/>
  <c r="AM654" i="6"/>
  <c r="AL656" i="6"/>
  <c r="AL652" i="6"/>
  <c r="G17" i="22"/>
  <c r="I2228" i="6"/>
  <c r="J1787" i="6"/>
  <c r="AB1997" i="6"/>
  <c r="AB1998" i="6"/>
  <c r="AX1755" i="6"/>
  <c r="AT1755" i="6"/>
  <c r="AP1755" i="6"/>
  <c r="AL1755" i="6"/>
  <c r="AY1703" i="6"/>
  <c r="AU1703" i="6"/>
  <c r="AQ1703" i="6"/>
  <c r="AM1703" i="6"/>
  <c r="AX1651" i="6"/>
  <c r="AT1651" i="6"/>
  <c r="AP1651" i="6"/>
  <c r="AL1651" i="6"/>
  <c r="AY1755" i="6"/>
  <c r="AS1755" i="6"/>
  <c r="AN1755" i="6"/>
  <c r="AT1703" i="6"/>
  <c r="AO1703" i="6"/>
  <c r="AY1651" i="6"/>
  <c r="AS1651" i="6"/>
  <c r="AN1651" i="6"/>
  <c r="AI1597" i="6"/>
  <c r="AW1755" i="6"/>
  <c r="AR1755" i="6"/>
  <c r="AM1755" i="6"/>
  <c r="AX1703" i="6"/>
  <c r="AS1703" i="6"/>
  <c r="AN1703" i="6"/>
  <c r="AW1651" i="6"/>
  <c r="AR1651" i="6"/>
  <c r="AM1651" i="6"/>
  <c r="AH1597" i="6"/>
  <c r="AH1562" i="6" s="1"/>
  <c r="AL1561" i="6"/>
  <c r="AV1755" i="6"/>
  <c r="AQ1755" i="6"/>
  <c r="AK1755" i="6"/>
  <c r="AK1720" i="6" s="1"/>
  <c r="AW1703" i="6"/>
  <c r="AR1703" i="6"/>
  <c r="AL1703" i="6"/>
  <c r="AV1651" i="6"/>
  <c r="AQ1651" i="6"/>
  <c r="AK1651" i="6"/>
  <c r="AK1616" i="6" s="1" a="1"/>
  <c r="AK1616" i="6" s="1"/>
  <c r="AZ1755" i="6"/>
  <c r="AU1755" i="6"/>
  <c r="AO1755" i="6"/>
  <c r="AV1703" i="6"/>
  <c r="AP1703" i="6"/>
  <c r="AK1703" i="6"/>
  <c r="AK1668" i="6" s="1" a="1"/>
  <c r="AK1668" i="6" s="1"/>
  <c r="AU1651" i="6"/>
  <c r="AO1651" i="6"/>
  <c r="AJ1597" i="6"/>
  <c r="AM39" i="18"/>
  <c r="AL36" i="18"/>
  <c r="AH633" i="6"/>
  <c r="AH634" i="6"/>
  <c r="AK3003" i="6"/>
  <c r="AL3003" i="6" s="1"/>
  <c r="AK1109" i="6"/>
  <c r="AK1110" i="6"/>
  <c r="AL1103" i="6"/>
  <c r="AL9" i="5"/>
  <c r="AI71" i="9"/>
  <c r="AI72" i="9"/>
  <c r="AJ2838" i="6"/>
  <c r="AK38" i="23"/>
  <c r="AK31" i="22"/>
  <c r="AK31" i="21"/>
  <c r="AK31" i="20"/>
  <c r="AK31" i="19"/>
  <c r="AK36" i="17"/>
  <c r="AK31" i="18"/>
  <c r="AK41" i="16"/>
  <c r="AK33" i="15"/>
  <c r="AK48" i="14"/>
  <c r="AL6" i="7"/>
  <c r="AK40" i="13"/>
  <c r="C2" i="13"/>
  <c r="AD192" i="6"/>
  <c r="Z192" i="6"/>
  <c r="V192" i="6"/>
  <c r="R192" i="6"/>
  <c r="N192" i="6"/>
  <c r="W140" i="6"/>
  <c r="S140" i="6"/>
  <c r="O140" i="6"/>
  <c r="K140" i="6"/>
  <c r="V88" i="6"/>
  <c r="R88" i="6"/>
  <c r="N88" i="6"/>
  <c r="E22" i="6"/>
  <c r="E21" i="6"/>
  <c r="AA192" i="6"/>
  <c r="P140" i="6"/>
  <c r="AC192" i="6"/>
  <c r="Y192" i="6"/>
  <c r="U192" i="6"/>
  <c r="Q192" i="6"/>
  <c r="M192" i="6"/>
  <c r="V140" i="6"/>
  <c r="R140" i="6"/>
  <c r="N140" i="6"/>
  <c r="Y88" i="6"/>
  <c r="Y79" i="6" s="1" a="1"/>
  <c r="Y79" i="6" s="1"/>
  <c r="U88" i="6"/>
  <c r="Q88" i="6"/>
  <c r="M88" i="6"/>
  <c r="E25" i="6"/>
  <c r="AE192" i="6"/>
  <c r="AE183" i="6" s="1"/>
  <c r="S192" i="6"/>
  <c r="K192" i="6"/>
  <c r="T140" i="6"/>
  <c r="AB192" i="6"/>
  <c r="X192" i="6"/>
  <c r="T192" i="6"/>
  <c r="P192" i="6"/>
  <c r="L192" i="6"/>
  <c r="Y140" i="6"/>
  <c r="Y131" i="6" s="1" a="1"/>
  <c r="Y131" i="6" s="1"/>
  <c r="U140" i="6"/>
  <c r="Q140" i="6"/>
  <c r="M140" i="6"/>
  <c r="X88" i="6"/>
  <c r="T88" i="6"/>
  <c r="P88" i="6"/>
  <c r="L88" i="6"/>
  <c r="E24" i="6"/>
  <c r="W192" i="6"/>
  <c r="O192" i="6"/>
  <c r="X140" i="6"/>
  <c r="L140" i="6"/>
  <c r="S88" i="6"/>
  <c r="E23" i="6"/>
  <c r="O88" i="6"/>
  <c r="K88" i="6"/>
  <c r="W88" i="6"/>
  <c r="E20" i="6"/>
  <c r="AL17" i="19"/>
  <c r="AL1557" i="6"/>
  <c r="AK2230" i="6"/>
  <c r="AK2231" i="6"/>
  <c r="AL2226" i="6"/>
  <c r="AL13" i="5"/>
  <c r="E2" i="22"/>
  <c r="W2399" i="6"/>
  <c r="S2399" i="6"/>
  <c r="O2399" i="6"/>
  <c r="K2399" i="6"/>
  <c r="AF2347" i="6"/>
  <c r="AB2347" i="6"/>
  <c r="X2347" i="6"/>
  <c r="T2347" i="6"/>
  <c r="P2347" i="6"/>
  <c r="L2347" i="6"/>
  <c r="AH2295" i="6"/>
  <c r="AH2287" i="6" s="1" a="1"/>
  <c r="AH2287" i="6" s="1"/>
  <c r="AD2295" i="6"/>
  <c r="Z2295" i="6"/>
  <c r="V2295" i="6"/>
  <c r="R2295" i="6"/>
  <c r="N2295" i="6"/>
  <c r="J2295" i="6"/>
  <c r="V2399" i="6"/>
  <c r="R2399" i="6"/>
  <c r="N2399" i="6"/>
  <c r="J2399" i="6"/>
  <c r="AE2347" i="6"/>
  <c r="AA2347" i="6"/>
  <c r="W2347" i="6"/>
  <c r="S2347" i="6"/>
  <c r="O2347" i="6"/>
  <c r="K2347" i="6"/>
  <c r="AG2295" i="6"/>
  <c r="AC2295" i="6"/>
  <c r="Y2295" i="6"/>
  <c r="U2295" i="6"/>
  <c r="Q2295" i="6"/>
  <c r="M2295" i="6"/>
  <c r="G2240" i="6"/>
  <c r="Y2399" i="6"/>
  <c r="Y2391" i="6" s="1"/>
  <c r="U2399" i="6"/>
  <c r="Q2399" i="6"/>
  <c r="M2399" i="6"/>
  <c r="AH2347" i="6"/>
  <c r="AH2339" i="6" s="1" a="1"/>
  <c r="AH2339" i="6" s="1"/>
  <c r="AD2347" i="6"/>
  <c r="Z2347" i="6"/>
  <c r="V2347" i="6"/>
  <c r="R2347" i="6"/>
  <c r="N2347" i="6"/>
  <c r="J2347" i="6"/>
  <c r="AF2295" i="6"/>
  <c r="AB2295" i="6"/>
  <c r="X2295" i="6"/>
  <c r="T2295" i="6"/>
  <c r="P2295" i="6"/>
  <c r="L2295" i="6"/>
  <c r="X2399" i="6"/>
  <c r="T2399" i="6"/>
  <c r="P2399" i="6"/>
  <c r="L2399" i="6"/>
  <c r="AG2347" i="6"/>
  <c r="AC2347" i="6"/>
  <c r="Y2347" i="6"/>
  <c r="U2347" i="6"/>
  <c r="Q2347" i="6"/>
  <c r="M2347" i="6"/>
  <c r="AE2295" i="6"/>
  <c r="AA2295" i="6"/>
  <c r="W2295" i="6"/>
  <c r="S2295" i="6"/>
  <c r="O2295" i="6"/>
  <c r="K2295" i="6"/>
  <c r="G2241" i="6"/>
  <c r="G2239" i="6"/>
  <c r="G2233" i="6" s="1"/>
  <c r="AY2649" i="6"/>
  <c r="AU2649" i="6"/>
  <c r="AQ2649" i="6"/>
  <c r="AM2649" i="6"/>
  <c r="AM2612" i="6" s="1"/>
  <c r="BA2597" i="6"/>
  <c r="AW2597" i="6"/>
  <c r="AS2597" i="6"/>
  <c r="AO2597" i="6"/>
  <c r="AZ2545" i="6"/>
  <c r="AV2545" i="6"/>
  <c r="AR2545" i="6"/>
  <c r="AN2545" i="6"/>
  <c r="AX2649" i="6"/>
  <c r="AS2649" i="6"/>
  <c r="AN2649" i="6"/>
  <c r="AZ2597" i="6"/>
  <c r="AU2597" i="6"/>
  <c r="AP2597" i="6"/>
  <c r="AW2545" i="6"/>
  <c r="AQ2545" i="6"/>
  <c r="AN2453" i="6"/>
  <c r="BB2649" i="6"/>
  <c r="AW2649" i="6"/>
  <c r="AR2649" i="6"/>
  <c r="AY2597" i="6"/>
  <c r="AT2597" i="6"/>
  <c r="AN2597" i="6"/>
  <c r="BA2545" i="6"/>
  <c r="AU2545" i="6"/>
  <c r="AP2545" i="6"/>
  <c r="BA2649" i="6"/>
  <c r="AV2649" i="6"/>
  <c r="AP2649" i="6"/>
  <c r="AX2597" i="6"/>
  <c r="AR2597" i="6"/>
  <c r="AM2597" i="6"/>
  <c r="AM2560" i="6" s="1" a="1"/>
  <c r="AM2560" i="6" s="1"/>
  <c r="AY2545" i="6"/>
  <c r="AT2545" i="6"/>
  <c r="AO2545" i="6"/>
  <c r="AS2545" i="6"/>
  <c r="AZ2649" i="6"/>
  <c r="AM2545" i="6"/>
  <c r="AM2508" i="6" s="1" a="1"/>
  <c r="AM2508" i="6" s="1"/>
  <c r="AT2649" i="6"/>
  <c r="AV2597" i="6"/>
  <c r="AO2649" i="6"/>
  <c r="AQ2597" i="6"/>
  <c r="AX2545" i="6"/>
  <c r="AL2491" i="6"/>
  <c r="AL2454" i="6" s="1"/>
  <c r="AN21" i="5"/>
  <c r="AI937" i="6"/>
  <c r="AI938" i="6"/>
  <c r="AI1095" i="6" s="1"/>
  <c r="AG1390" i="6"/>
  <c r="AG1547" i="6" s="1"/>
  <c r="AG1389" i="6"/>
  <c r="AC47" i="5"/>
  <c r="AC45" i="5"/>
  <c r="G24" i="13"/>
  <c r="I10" i="6"/>
  <c r="AA1772" i="6"/>
  <c r="AA1773" i="6"/>
  <c r="AM3171" i="6"/>
  <c r="X1096" i="6"/>
  <c r="X1095" i="6"/>
  <c r="F3" i="16"/>
  <c r="L1050" i="6"/>
  <c r="W998" i="6"/>
  <c r="W991" i="6" s="1" a="1"/>
  <c r="W991" i="6" s="1"/>
  <c r="S998" i="6"/>
  <c r="O998" i="6"/>
  <c r="K998" i="6"/>
  <c r="T946" i="6"/>
  <c r="P946" i="6"/>
  <c r="L946" i="6"/>
  <c r="K1050" i="6"/>
  <c r="V998" i="6"/>
  <c r="R998" i="6"/>
  <c r="N998" i="6"/>
  <c r="J998" i="6"/>
  <c r="N1050" i="6"/>
  <c r="N1043" i="6" s="1"/>
  <c r="J1050" i="6"/>
  <c r="U998" i="6"/>
  <c r="Q998" i="6"/>
  <c r="M998" i="6"/>
  <c r="I998" i="6"/>
  <c r="M1050" i="6"/>
  <c r="I1050" i="6"/>
  <c r="T998" i="6"/>
  <c r="W946" i="6"/>
  <c r="W939" i="6" s="1" a="1"/>
  <c r="W939" i="6" s="1"/>
  <c r="R946" i="6"/>
  <c r="M946" i="6"/>
  <c r="P998" i="6"/>
  <c r="V946" i="6"/>
  <c r="Q946" i="6"/>
  <c r="K946" i="6"/>
  <c r="L998" i="6"/>
  <c r="U946" i="6"/>
  <c r="O946" i="6"/>
  <c r="J946" i="6"/>
  <c r="S946" i="6"/>
  <c r="N946" i="6"/>
  <c r="I946" i="6"/>
  <c r="H892" i="6"/>
  <c r="H885" i="6" s="1"/>
  <c r="AF19" i="17"/>
  <c r="AF1105" i="6"/>
  <c r="AA871" i="6"/>
  <c r="AA870" i="6"/>
  <c r="BB2811" i="6"/>
  <c r="AX2811" i="6"/>
  <c r="AT2811" i="6"/>
  <c r="AP2811" i="6"/>
  <c r="AL2811" i="6"/>
  <c r="AH2811" i="6"/>
  <c r="AH2779" i="6" s="1"/>
  <c r="AH2673" i="6"/>
  <c r="AY2811" i="6"/>
  <c r="AS2811" i="6"/>
  <c r="AN2811" i="6"/>
  <c r="AI2811" i="6"/>
  <c r="AW2811" i="6"/>
  <c r="AR2811" i="6"/>
  <c r="AM2811" i="6"/>
  <c r="AZ2811" i="6"/>
  <c r="AO2811" i="6"/>
  <c r="AV2811" i="6"/>
  <c r="AK2811" i="6"/>
  <c r="AU2811" i="6"/>
  <c r="AJ2811" i="6"/>
  <c r="BA2811" i="6"/>
  <c r="AQ2811" i="6"/>
  <c r="AH2672" i="6"/>
  <c r="AI27" i="5"/>
  <c r="AH2778" i="6"/>
  <c r="AH2831" i="6" s="1"/>
  <c r="AM2005" i="6"/>
  <c r="AL2009" i="6"/>
  <c r="AL2010" i="6"/>
  <c r="AH712" i="6"/>
  <c r="AH713" i="6"/>
  <c r="AH870" i="6" s="1"/>
  <c r="AJ24" i="8"/>
  <c r="AI44" i="8"/>
  <c r="AA2222" i="6"/>
  <c r="AA2223" i="6"/>
  <c r="BC2979" i="6"/>
  <c r="AY2979" i="6"/>
  <c r="AU2979" i="6"/>
  <c r="AQ2979" i="6"/>
  <c r="AM2979" i="6"/>
  <c r="AI2979" i="6"/>
  <c r="AI2946" i="6" s="1"/>
  <c r="AI2840" i="6"/>
  <c r="BB2979" i="6"/>
  <c r="AX2979" i="6"/>
  <c r="AT2979" i="6"/>
  <c r="AP2979" i="6"/>
  <c r="AL2979" i="6"/>
  <c r="AW2979" i="6"/>
  <c r="AO2979" i="6"/>
  <c r="AI2839" i="6"/>
  <c r="AV2979" i="6"/>
  <c r="AN2979" i="6"/>
  <c r="BA2979" i="6"/>
  <c r="AS2979" i="6"/>
  <c r="AK2979" i="6"/>
  <c r="AJ2979" i="6"/>
  <c r="AZ2979" i="6"/>
  <c r="AR2979" i="6"/>
  <c r="AI2945" i="6"/>
  <c r="AI2998" i="6" s="1"/>
  <c r="AL1780" i="6"/>
  <c r="AK1785" i="6"/>
  <c r="AK1784" i="6"/>
  <c r="AL12" i="5"/>
  <c r="AM56" i="17"/>
  <c r="AL44" i="17"/>
  <c r="AT30" i="14"/>
  <c r="AS32" i="14"/>
  <c r="AN3004" i="6"/>
  <c r="AN60" i="9"/>
  <c r="J1337" i="6"/>
  <c r="AB1547" i="6"/>
  <c r="AB1548" i="6"/>
  <c r="AG2833" i="6"/>
  <c r="AN36" i="21"/>
  <c r="AO38" i="21"/>
  <c r="AF236" i="6"/>
  <c r="H2285" i="6"/>
  <c r="H2286" i="6"/>
  <c r="AJ59" i="12"/>
  <c r="AK248" i="6" s="1"/>
  <c r="AK60" i="12"/>
  <c r="AK246" i="6"/>
  <c r="H21" i="15"/>
  <c r="J655" i="6"/>
  <c r="AH36" i="11"/>
  <c r="AH3170" i="6"/>
  <c r="G38" i="23"/>
  <c r="G31" i="22"/>
  <c r="G31" i="21"/>
  <c r="G31" i="19"/>
  <c r="G31" i="20"/>
  <c r="G31" i="18"/>
  <c r="G36" i="17"/>
  <c r="G33" i="15"/>
  <c r="G41" i="16"/>
  <c r="G48" i="14"/>
  <c r="G40" i="13"/>
  <c r="F6" i="7"/>
  <c r="AI416" i="6"/>
  <c r="AJ35" i="5"/>
  <c r="AK1108" i="6"/>
  <c r="AK1102" i="6"/>
  <c r="AL1104" i="6"/>
  <c r="J423" i="6"/>
  <c r="I2012" i="6"/>
  <c r="AK17" i="20"/>
  <c r="AK1782" i="6"/>
  <c r="AO46" i="16"/>
  <c r="AP48" i="16"/>
  <c r="H17" i="18"/>
  <c r="J1332" i="6"/>
  <c r="AM1555" i="6"/>
  <c r="AL1559" i="6"/>
  <c r="AL1560" i="6"/>
  <c r="AM11" i="5"/>
  <c r="AQ38" i="18"/>
  <c r="AO39" i="20"/>
  <c r="AN36" i="20"/>
  <c r="AZ1530" i="6"/>
  <c r="AV1530" i="6"/>
  <c r="AR1530" i="6"/>
  <c r="AN1530" i="6"/>
  <c r="AW1478" i="6"/>
  <c r="AS1478" i="6"/>
  <c r="AO1478" i="6"/>
  <c r="AK1478" i="6"/>
  <c r="AK1443" i="6" s="1" a="1"/>
  <c r="AK1443" i="6" s="1"/>
  <c r="AK1548" i="6" s="1"/>
  <c r="AV1426" i="6"/>
  <c r="AR1426" i="6"/>
  <c r="AN1426" i="6"/>
  <c r="AH1372" i="6"/>
  <c r="AH1337" i="6" s="1"/>
  <c r="AL1336" i="6"/>
  <c r="AY1530" i="6"/>
  <c r="AU1530" i="6"/>
  <c r="AQ1530" i="6"/>
  <c r="AM1530" i="6"/>
  <c r="AV1478" i="6"/>
  <c r="AR1478" i="6"/>
  <c r="AN1478" i="6"/>
  <c r="AY1426" i="6"/>
  <c r="AU1426" i="6"/>
  <c r="AQ1426" i="6"/>
  <c r="AM1426" i="6"/>
  <c r="AX1530" i="6"/>
  <c r="AT1530" i="6"/>
  <c r="AP1530" i="6"/>
  <c r="AL1530" i="6"/>
  <c r="AY1478" i="6"/>
  <c r="AU1478" i="6"/>
  <c r="AQ1478" i="6"/>
  <c r="AM1478" i="6"/>
  <c r="AX1426" i="6"/>
  <c r="AT1426" i="6"/>
  <c r="AP1426" i="6"/>
  <c r="AL1426" i="6"/>
  <c r="AJ1372" i="6"/>
  <c r="AW1530" i="6"/>
  <c r="AS1530" i="6"/>
  <c r="AO1530" i="6"/>
  <c r="AK1530" i="6"/>
  <c r="AK1495" i="6" s="1"/>
  <c r="AX1478" i="6"/>
  <c r="AT1478" i="6"/>
  <c r="AP1478" i="6"/>
  <c r="AL1478" i="6"/>
  <c r="AW1426" i="6"/>
  <c r="AS1426" i="6"/>
  <c r="AO1426" i="6"/>
  <c r="AK1426" i="6"/>
  <c r="AK1391" i="6" s="1" a="1"/>
  <c r="AK1391" i="6" s="1"/>
  <c r="AI1372" i="6"/>
  <c r="AU614" i="6"/>
  <c r="AQ614" i="6"/>
  <c r="AM614" i="6"/>
  <c r="AI614" i="6"/>
  <c r="AI581" i="6" s="1"/>
  <c r="AT562" i="6"/>
  <c r="AP562" i="6"/>
  <c r="AL562" i="6"/>
  <c r="AT510" i="6"/>
  <c r="AP510" i="6"/>
  <c r="AL510" i="6"/>
  <c r="AH456" i="6"/>
  <c r="AX614" i="6"/>
  <c r="AT614" i="6"/>
  <c r="AP614" i="6"/>
  <c r="AL614" i="6"/>
  <c r="AW562" i="6"/>
  <c r="AS562" i="6"/>
  <c r="AO562" i="6"/>
  <c r="AK562" i="6"/>
  <c r="AW510" i="6"/>
  <c r="AS510" i="6"/>
  <c r="AO510" i="6"/>
  <c r="AK510" i="6"/>
  <c r="AG456" i="6"/>
  <c r="AV614" i="6"/>
  <c r="AN614" i="6"/>
  <c r="AQ562" i="6"/>
  <c r="AI562" i="6"/>
  <c r="AU510" i="6"/>
  <c r="AM510" i="6"/>
  <c r="AW614" i="6"/>
  <c r="AS614" i="6"/>
  <c r="AO614" i="6"/>
  <c r="AK614" i="6"/>
  <c r="AV562" i="6"/>
  <c r="AR562" i="6"/>
  <c r="AN562" i="6"/>
  <c r="AJ562" i="6"/>
  <c r="AV510" i="6"/>
  <c r="AR510" i="6"/>
  <c r="AN510" i="6"/>
  <c r="AJ510" i="6"/>
  <c r="AF456" i="6"/>
  <c r="AF423" i="6" s="1"/>
  <c r="AJ422" i="6"/>
  <c r="AR614" i="6"/>
  <c r="AJ614" i="6"/>
  <c r="AU562" i="6"/>
  <c r="AM562" i="6"/>
  <c r="AQ510" i="6"/>
  <c r="AI510" i="6"/>
  <c r="AI477" i="6" s="1" a="1"/>
  <c r="AI477" i="6" s="1"/>
  <c r="AK23" i="9"/>
  <c r="AL62" i="12"/>
  <c r="AL2225" i="6"/>
  <c r="AL2229" i="6"/>
  <c r="AM2227" i="6"/>
  <c r="AJ26" i="5"/>
  <c r="AL2008" i="6"/>
  <c r="AM2006" i="6"/>
  <c r="AL2004" i="6"/>
  <c r="AS2925" i="6"/>
  <c r="AO2925" i="6"/>
  <c r="AK2925" i="6"/>
  <c r="AV2873" i="6"/>
  <c r="AR2873" i="6"/>
  <c r="AN2873" i="6"/>
  <c r="AJ2873" i="6"/>
  <c r="AU2925" i="6"/>
  <c r="AP2925" i="6"/>
  <c r="AJ2925" i="6"/>
  <c r="AT2873" i="6"/>
  <c r="AO2873" i="6"/>
  <c r="AI2873" i="6"/>
  <c r="AT2925" i="6"/>
  <c r="AN2925" i="6"/>
  <c r="AI2925" i="6"/>
  <c r="AS2873" i="6"/>
  <c r="AM2873" i="6"/>
  <c r="AH2873" i="6"/>
  <c r="AH2841" i="6" s="1" a="1"/>
  <c r="AH2841" i="6" s="1"/>
  <c r="AR2925" i="6"/>
  <c r="AM2925" i="6"/>
  <c r="AH2925" i="6"/>
  <c r="AH2893" i="6" s="1" a="1"/>
  <c r="AH2893" i="6" s="1"/>
  <c r="AV2925" i="6"/>
  <c r="AP2873" i="6"/>
  <c r="AQ2925" i="6"/>
  <c r="AL2873" i="6"/>
  <c r="AL2925" i="6"/>
  <c r="AU2873" i="6"/>
  <c r="AK2873" i="6"/>
  <c r="AQ2873" i="6"/>
  <c r="AK2665" i="6"/>
  <c r="AK2664" i="6"/>
  <c r="BB217" i="6"/>
  <c r="AX217" i="6"/>
  <c r="AT217" i="6"/>
  <c r="AP217" i="6"/>
  <c r="AL217" i="6"/>
  <c r="AW165" i="6"/>
  <c r="AS165" i="6"/>
  <c r="AO165" i="6"/>
  <c r="AK165" i="6"/>
  <c r="AV113" i="6"/>
  <c r="AR113" i="6"/>
  <c r="AN113" i="6"/>
  <c r="AJ113" i="6"/>
  <c r="AJ79" i="6" s="1" a="1"/>
  <c r="AJ79" i="6" s="1"/>
  <c r="AG50" i="6"/>
  <c r="BC217" i="6"/>
  <c r="AQ217" i="6"/>
  <c r="AP165" i="6"/>
  <c r="AW113" i="6"/>
  <c r="BA217" i="6"/>
  <c r="AW217" i="6"/>
  <c r="AS217" i="6"/>
  <c r="AO217" i="6"/>
  <c r="AK217" i="6"/>
  <c r="AV165" i="6"/>
  <c r="AR165" i="6"/>
  <c r="AN165" i="6"/>
  <c r="AJ165" i="6"/>
  <c r="AJ131" i="6" s="1" a="1"/>
  <c r="AJ131" i="6" s="1"/>
  <c r="AU113" i="6"/>
  <c r="AQ113" i="6"/>
  <c r="AM113" i="6"/>
  <c r="AF50" i="6"/>
  <c r="AK15" i="6"/>
  <c r="AU217" i="6"/>
  <c r="AM217" i="6"/>
  <c r="AX165" i="6"/>
  <c r="AL165" i="6"/>
  <c r="AS113" i="6"/>
  <c r="AK113" i="6"/>
  <c r="BD217" i="6"/>
  <c r="AZ217" i="6"/>
  <c r="AV217" i="6"/>
  <c r="AR217" i="6"/>
  <c r="AN217" i="6"/>
  <c r="AJ217" i="6"/>
  <c r="AJ183" i="6" s="1"/>
  <c r="AU165" i="6"/>
  <c r="AQ165" i="6"/>
  <c r="AM165" i="6"/>
  <c r="AX113" i="6"/>
  <c r="AT113" i="6"/>
  <c r="AP113" i="6"/>
  <c r="AL113" i="6"/>
  <c r="AI50" i="6"/>
  <c r="AE50" i="6"/>
  <c r="AK10" i="6"/>
  <c r="AK20" i="5"/>
  <c r="AY217" i="6"/>
  <c r="AT165" i="6"/>
  <c r="AO113" i="6"/>
  <c r="AD50" i="6"/>
  <c r="AD16" i="6" s="1"/>
  <c r="AK11" i="6"/>
  <c r="AH50" i="6"/>
  <c r="AL1333" i="6"/>
  <c r="AM1331" i="6"/>
  <c r="AL1329" i="6"/>
  <c r="G2" i="14"/>
  <c r="X591" i="6"/>
  <c r="T591" i="6"/>
  <c r="P591" i="6"/>
  <c r="L591" i="6"/>
  <c r="X539" i="6"/>
  <c r="T539" i="6"/>
  <c r="P539" i="6"/>
  <c r="L539" i="6"/>
  <c r="X487" i="6"/>
  <c r="T487" i="6"/>
  <c r="P487" i="6"/>
  <c r="L487" i="6"/>
  <c r="AA591" i="6"/>
  <c r="AA581" i="6" s="1"/>
  <c r="W591" i="6"/>
  <c r="S591" i="6"/>
  <c r="O591" i="6"/>
  <c r="W539" i="6"/>
  <c r="S539" i="6"/>
  <c r="O539" i="6"/>
  <c r="W487" i="6"/>
  <c r="S487" i="6"/>
  <c r="O487" i="6"/>
  <c r="I432" i="6"/>
  <c r="U591" i="6"/>
  <c r="M591" i="6"/>
  <c r="U539" i="6"/>
  <c r="M539" i="6"/>
  <c r="Y487" i="6"/>
  <c r="Q487" i="6"/>
  <c r="I431" i="6"/>
  <c r="Z591" i="6"/>
  <c r="V591" i="6"/>
  <c r="R591" i="6"/>
  <c r="N591" i="6"/>
  <c r="Z539" i="6"/>
  <c r="V539" i="6"/>
  <c r="R539" i="6"/>
  <c r="N539" i="6"/>
  <c r="Z487" i="6"/>
  <c r="Z477" i="6" s="1" a="1"/>
  <c r="Z477" i="6" s="1"/>
  <c r="V487" i="6"/>
  <c r="R487" i="6"/>
  <c r="N487" i="6"/>
  <c r="Y591" i="6"/>
  <c r="Q591" i="6"/>
  <c r="Y539" i="6"/>
  <c r="Q539" i="6"/>
  <c r="U487" i="6"/>
  <c r="M487" i="6"/>
  <c r="I433" i="6"/>
  <c r="AS103" i="9"/>
  <c r="AT38" i="20"/>
  <c r="K1389" i="6"/>
  <c r="K1390" i="6"/>
  <c r="AU5" i="9"/>
  <c r="G2" i="20"/>
  <c r="AA1955" i="6"/>
  <c r="AA1945" i="6" s="1"/>
  <c r="W1955" i="6"/>
  <c r="S1955" i="6"/>
  <c r="O1955" i="6"/>
  <c r="W1903" i="6"/>
  <c r="S1903" i="6"/>
  <c r="O1903" i="6"/>
  <c r="Z1851" i="6"/>
  <c r="Z1841" i="6" s="1" a="1"/>
  <c r="Z1841" i="6" s="1"/>
  <c r="V1851" i="6"/>
  <c r="R1851" i="6"/>
  <c r="N1851" i="6"/>
  <c r="Z1955" i="6"/>
  <c r="V1955" i="6"/>
  <c r="R1955" i="6"/>
  <c r="N1955" i="6"/>
  <c r="Z1903" i="6"/>
  <c r="Z1893" i="6" s="1" a="1"/>
  <c r="Z1893" i="6" s="1"/>
  <c r="V1903" i="6"/>
  <c r="R1903" i="6"/>
  <c r="N1903" i="6"/>
  <c r="Y1851" i="6"/>
  <c r="U1851" i="6"/>
  <c r="Q1851" i="6"/>
  <c r="M1851" i="6"/>
  <c r="I1796" i="6"/>
  <c r="Y1955" i="6"/>
  <c r="U1955" i="6"/>
  <c r="Q1955" i="6"/>
  <c r="M1955" i="6"/>
  <c r="Y1903" i="6"/>
  <c r="U1903" i="6"/>
  <c r="Q1903" i="6"/>
  <c r="M1903" i="6"/>
  <c r="X1851" i="6"/>
  <c r="T1851" i="6"/>
  <c r="P1851" i="6"/>
  <c r="L1851" i="6"/>
  <c r="P1955" i="6"/>
  <c r="X1903" i="6"/>
  <c r="S1851" i="6"/>
  <c r="I1795" i="6"/>
  <c r="I1787" i="6" s="1"/>
  <c r="L1955" i="6"/>
  <c r="T1903" i="6"/>
  <c r="O1851" i="6"/>
  <c r="I1797" i="6"/>
  <c r="X1955" i="6"/>
  <c r="P1903" i="6"/>
  <c r="T1955" i="6"/>
  <c r="L1903" i="6"/>
  <c r="W1851" i="6"/>
  <c r="AM878" i="6"/>
  <c r="AM7" i="5"/>
  <c r="AL883" i="6"/>
  <c r="AL880" i="6"/>
  <c r="AN61" i="14"/>
  <c r="AC1164" i="6"/>
  <c r="AC1165" i="6"/>
  <c r="AC1322" i="6" s="1"/>
  <c r="AF24" i="17"/>
  <c r="AF1107" i="6"/>
  <c r="AG18" i="5" s="1"/>
  <c r="AY1979" i="6"/>
  <c r="AU1979" i="6"/>
  <c r="AQ1979" i="6"/>
  <c r="AM1979" i="6"/>
  <c r="AU1927" i="6"/>
  <c r="AQ1927" i="6"/>
  <c r="AM1927" i="6"/>
  <c r="AX1875" i="6"/>
  <c r="AT1875" i="6"/>
  <c r="AP1875" i="6"/>
  <c r="AL1875" i="6"/>
  <c r="AX1979" i="6"/>
  <c r="AT1979" i="6"/>
  <c r="AP1979" i="6"/>
  <c r="AL1979" i="6"/>
  <c r="AX1927" i="6"/>
  <c r="AT1927" i="6"/>
  <c r="AP1927" i="6"/>
  <c r="AL1927" i="6"/>
  <c r="AW1875" i="6"/>
  <c r="AS1875" i="6"/>
  <c r="AO1875" i="6"/>
  <c r="AK1875" i="6"/>
  <c r="AI1821" i="6"/>
  <c r="AK1786" i="6"/>
  <c r="AW1979" i="6"/>
  <c r="AS1979" i="6"/>
  <c r="AO1979" i="6"/>
  <c r="AK1979" i="6"/>
  <c r="AW1927" i="6"/>
  <c r="AS1927" i="6"/>
  <c r="AO1927" i="6"/>
  <c r="AK1927" i="6"/>
  <c r="AV1875" i="6"/>
  <c r="AR1875" i="6"/>
  <c r="AN1875" i="6"/>
  <c r="AJ1875" i="6"/>
  <c r="AJ1841" i="6" s="1" a="1"/>
  <c r="AJ1841" i="6" s="1"/>
  <c r="AN1979" i="6"/>
  <c r="AN1927" i="6"/>
  <c r="AM1875" i="6"/>
  <c r="AJ1979" i="6"/>
  <c r="AJ1945" i="6" s="1"/>
  <c r="AJ1927" i="6"/>
  <c r="AJ1893" i="6" s="1" a="1"/>
  <c r="AJ1893" i="6" s="1"/>
  <c r="AV1979" i="6"/>
  <c r="AV1927" i="6"/>
  <c r="AU1875" i="6"/>
  <c r="AH1821" i="6"/>
  <c r="AR1979" i="6"/>
  <c r="AR1927" i="6"/>
  <c r="AQ1875" i="6"/>
  <c r="AG1821" i="6"/>
  <c r="AG1787" i="6" s="1"/>
  <c r="AN36" i="19"/>
  <c r="AO38" i="19"/>
  <c r="AE475" i="6"/>
  <c r="AE476" i="6"/>
  <c r="AY1304" i="6"/>
  <c r="AU1304" i="6"/>
  <c r="AQ1304" i="6"/>
  <c r="AM1304" i="6"/>
  <c r="AV1252" i="6"/>
  <c r="AR1252" i="6"/>
  <c r="AN1252" i="6"/>
  <c r="AJ1252" i="6"/>
  <c r="AJ1218" i="6" s="1" a="1"/>
  <c r="AJ1218" i="6" s="1"/>
  <c r="AW1200" i="6"/>
  <c r="AS1200" i="6"/>
  <c r="AO1200" i="6"/>
  <c r="AK1200" i="6"/>
  <c r="AF1146" i="6"/>
  <c r="AK1111" i="6"/>
  <c r="AX1304" i="6"/>
  <c r="AT1304" i="6"/>
  <c r="AP1304" i="6"/>
  <c r="AL1304" i="6"/>
  <c r="AU1252" i="6"/>
  <c r="AQ1252" i="6"/>
  <c r="AM1252" i="6"/>
  <c r="AV1200" i="6"/>
  <c r="AR1200" i="6"/>
  <c r="AN1200" i="6"/>
  <c r="AJ1200" i="6"/>
  <c r="AJ1166" i="6" s="1" a="1"/>
  <c r="AJ1166" i="6" s="1"/>
  <c r="AI1146" i="6"/>
  <c r="AE1146" i="6"/>
  <c r="AW1304" i="6"/>
  <c r="AS1304" i="6"/>
  <c r="AO1304" i="6"/>
  <c r="AK1304" i="6"/>
  <c r="AX1252" i="6"/>
  <c r="AT1252" i="6"/>
  <c r="AP1252" i="6"/>
  <c r="AL1252" i="6"/>
  <c r="AU1200" i="6"/>
  <c r="AQ1200" i="6"/>
  <c r="AM1200" i="6"/>
  <c r="AH1146" i="6"/>
  <c r="AD1146" i="6"/>
  <c r="AD1112" i="6" s="1"/>
  <c r="AV1304" i="6"/>
  <c r="AR1304" i="6"/>
  <c r="AN1304" i="6"/>
  <c r="AJ1304" i="6"/>
  <c r="AJ1270" i="6" s="1"/>
  <c r="AW1252" i="6"/>
  <c r="AS1252" i="6"/>
  <c r="AO1252" i="6"/>
  <c r="AK1252" i="6"/>
  <c r="AX1200" i="6"/>
  <c r="AT1200" i="6"/>
  <c r="AP1200" i="6"/>
  <c r="AL1200" i="6"/>
  <c r="AG1146" i="6"/>
  <c r="AL1554" i="6"/>
  <c r="AO126" i="14"/>
  <c r="AP128" i="14"/>
  <c r="AW2425" i="6"/>
  <c r="AS2425" i="6"/>
  <c r="AO2425" i="6"/>
  <c r="AK2425" i="6"/>
  <c r="BH2373" i="6"/>
  <c r="BD2373" i="6"/>
  <c r="AZ2373" i="6"/>
  <c r="AV2373" i="6"/>
  <c r="AR2373" i="6"/>
  <c r="AN2373" i="6"/>
  <c r="AJ2373" i="6"/>
  <c r="AJ2339" i="6" s="1" a="1"/>
  <c r="AJ2339" i="6" s="1"/>
  <c r="BF2321" i="6"/>
  <c r="BB2321" i="6"/>
  <c r="AX2321" i="6"/>
  <c r="AT2321" i="6"/>
  <c r="AP2321" i="6"/>
  <c r="AL2321" i="6"/>
  <c r="AH2267" i="6"/>
  <c r="AV2425" i="6"/>
  <c r="AR2425" i="6"/>
  <c r="AN2425" i="6"/>
  <c r="AJ2425" i="6"/>
  <c r="AJ2391" i="6" s="1"/>
  <c r="AJ2444" i="6" s="1"/>
  <c r="BG2373" i="6"/>
  <c r="BC2373" i="6"/>
  <c r="AY2373" i="6"/>
  <c r="AU2373" i="6"/>
  <c r="AQ2373" i="6"/>
  <c r="AM2373" i="6"/>
  <c r="BE2321" i="6"/>
  <c r="BA2321" i="6"/>
  <c r="AW2321" i="6"/>
  <c r="AS2321" i="6"/>
  <c r="AO2321" i="6"/>
  <c r="AK2321" i="6"/>
  <c r="AG2267" i="6"/>
  <c r="AG2233" i="6" s="1"/>
  <c r="AY2425" i="6"/>
  <c r="AU2425" i="6"/>
  <c r="AQ2425" i="6"/>
  <c r="AM2425" i="6"/>
  <c r="BF2373" i="6"/>
  <c r="BB2373" i="6"/>
  <c r="AX2373" i="6"/>
  <c r="AT2373" i="6"/>
  <c r="AP2373" i="6"/>
  <c r="AL2373" i="6"/>
  <c r="BH2321" i="6"/>
  <c r="BD2321" i="6"/>
  <c r="AZ2321" i="6"/>
  <c r="AV2321" i="6"/>
  <c r="AR2321" i="6"/>
  <c r="AN2321" i="6"/>
  <c r="AJ2321" i="6"/>
  <c r="AJ2287" i="6" s="1" a="1"/>
  <c r="AJ2287" i="6" s="1"/>
  <c r="AX2425" i="6"/>
  <c r="AT2425" i="6"/>
  <c r="AP2425" i="6"/>
  <c r="AL2425" i="6"/>
  <c r="BE2373" i="6"/>
  <c r="BA2373" i="6"/>
  <c r="AW2373" i="6"/>
  <c r="AS2373" i="6"/>
  <c r="AO2373" i="6"/>
  <c r="AK2373" i="6"/>
  <c r="BG2321" i="6"/>
  <c r="BC2321" i="6"/>
  <c r="AY2321" i="6"/>
  <c r="AU2321" i="6"/>
  <c r="AQ2321" i="6"/>
  <c r="AM2321" i="6"/>
  <c r="AI2267" i="6"/>
  <c r="AK2232" i="6"/>
  <c r="BF336" i="6"/>
  <c r="BB336" i="6"/>
  <c r="AX336" i="6"/>
  <c r="AT336" i="6"/>
  <c r="AP336" i="6"/>
  <c r="AL336" i="6"/>
  <c r="BG284" i="6"/>
  <c r="BC284" i="6"/>
  <c r="AY284" i="6"/>
  <c r="AU284" i="6"/>
  <c r="AQ284" i="6"/>
  <c r="AM284" i="6"/>
  <c r="AI284" i="6"/>
  <c r="AI251" i="6" s="1" a="1"/>
  <c r="AI251" i="6" s="1"/>
  <c r="AI409" i="6" s="1"/>
  <c r="AY336" i="6"/>
  <c r="AM336" i="6"/>
  <c r="AZ284" i="6"/>
  <c r="AN284" i="6"/>
  <c r="BE336" i="6"/>
  <c r="BA336" i="6"/>
  <c r="AW336" i="6"/>
  <c r="AS336" i="6"/>
  <c r="AO336" i="6"/>
  <c r="AK336" i="6"/>
  <c r="BF284" i="6"/>
  <c r="BB284" i="6"/>
  <c r="AX284" i="6"/>
  <c r="AT284" i="6"/>
  <c r="AP284" i="6"/>
  <c r="AL284" i="6"/>
  <c r="BG336" i="6"/>
  <c r="AU336" i="6"/>
  <c r="AI336" i="6"/>
  <c r="AI303" i="6" s="1" a="1"/>
  <c r="AI303" i="6" s="1"/>
  <c r="BD284" i="6"/>
  <c r="AR284" i="6"/>
  <c r="BD336" i="6"/>
  <c r="AZ336" i="6"/>
  <c r="AV336" i="6"/>
  <c r="AR336" i="6"/>
  <c r="AN336" i="6"/>
  <c r="AJ336" i="6"/>
  <c r="BE284" i="6"/>
  <c r="BA284" i="6"/>
  <c r="AW284" i="6"/>
  <c r="AS284" i="6"/>
  <c r="AO284" i="6"/>
  <c r="AK284" i="6"/>
  <c r="BC336" i="6"/>
  <c r="AQ336" i="6"/>
  <c r="AV284" i="6"/>
  <c r="AJ284" i="6"/>
  <c r="AI2287" i="6" a="1"/>
  <c r="AI2287" i="6" s="1"/>
  <c r="AI2339" i="6" a="1"/>
  <c r="AI2339" i="6" s="1"/>
  <c r="I1323" i="6"/>
  <c r="I1322" i="6"/>
  <c r="K1839" i="6"/>
  <c r="K1840" i="6"/>
  <c r="AP853" i="6"/>
  <c r="AL853" i="6"/>
  <c r="AW801" i="6"/>
  <c r="AS801" i="6"/>
  <c r="AO801" i="6"/>
  <c r="AK801" i="6"/>
  <c r="AK766" i="6" s="1" a="1"/>
  <c r="AK766" i="6" s="1"/>
  <c r="AX749" i="6"/>
  <c r="AT749" i="6"/>
  <c r="AP749" i="6"/>
  <c r="AL749" i="6"/>
  <c r="AO853" i="6"/>
  <c r="AK853" i="6"/>
  <c r="AK818" i="6" s="1"/>
  <c r="AV801" i="6"/>
  <c r="AR801" i="6"/>
  <c r="AN801" i="6"/>
  <c r="AW749" i="6"/>
  <c r="AS749" i="6"/>
  <c r="AO749" i="6"/>
  <c r="AK749" i="6"/>
  <c r="AK714" i="6" s="1" a="1"/>
  <c r="AK714" i="6" s="1"/>
  <c r="AN853" i="6"/>
  <c r="AY801" i="6"/>
  <c r="AU801" i="6"/>
  <c r="AQ801" i="6"/>
  <c r="AM801" i="6"/>
  <c r="AV749" i="6"/>
  <c r="AR749" i="6"/>
  <c r="AN749" i="6"/>
  <c r="AJ695" i="6"/>
  <c r="AM853" i="6"/>
  <c r="AX801" i="6"/>
  <c r="AT801" i="6"/>
  <c r="AP801" i="6"/>
  <c r="AL801" i="6"/>
  <c r="AY749" i="6"/>
  <c r="AU749" i="6"/>
  <c r="AQ749" i="6"/>
  <c r="AM749" i="6"/>
  <c r="AI695" i="6"/>
  <c r="AL659" i="6"/>
  <c r="AL657" i="6"/>
  <c r="AL658" i="6"/>
  <c r="AM653" i="6"/>
  <c r="AL655" i="6"/>
  <c r="AM6" i="5"/>
  <c r="AP59" i="14"/>
  <c r="J2065" i="6"/>
  <c r="J2064" i="6"/>
  <c r="AC77" i="6"/>
  <c r="AC78" i="6"/>
  <c r="AD22" i="5"/>
  <c r="AD25" i="5" s="1"/>
  <c r="AD43" i="5" s="1"/>
  <c r="AM36" i="22"/>
  <c r="AN38" i="22"/>
  <c r="AQ38" i="11"/>
  <c r="AR38" i="11"/>
  <c r="AS3171" i="6" s="1"/>
  <c r="AQ50" i="13"/>
  <c r="H2" i="15"/>
  <c r="O828" i="6"/>
  <c r="W776" i="6"/>
  <c r="S776" i="6"/>
  <c r="O776" i="6"/>
  <c r="X724" i="6"/>
  <c r="T724" i="6"/>
  <c r="P724" i="6"/>
  <c r="L724" i="6"/>
  <c r="N828" i="6"/>
  <c r="Z776" i="6"/>
  <c r="Z766" i="6" s="1" a="1"/>
  <c r="Z766" i="6" s="1"/>
  <c r="V776" i="6"/>
  <c r="R776" i="6"/>
  <c r="N776" i="6"/>
  <c r="W724" i="6"/>
  <c r="S724" i="6"/>
  <c r="O724" i="6"/>
  <c r="J670" i="6"/>
  <c r="Q828" i="6"/>
  <c r="Q818" i="6" s="1"/>
  <c r="M828" i="6"/>
  <c r="Y776" i="6"/>
  <c r="U776" i="6"/>
  <c r="Q776" i="6"/>
  <c r="M776" i="6"/>
  <c r="Z724" i="6"/>
  <c r="Z714" i="6" s="1" a="1"/>
  <c r="Z714" i="6" s="1"/>
  <c r="V724" i="6"/>
  <c r="R724" i="6"/>
  <c r="N724" i="6"/>
  <c r="J669" i="6"/>
  <c r="P828" i="6"/>
  <c r="L828" i="6"/>
  <c r="X776" i="6"/>
  <c r="T776" i="6"/>
  <c r="P776" i="6"/>
  <c r="L776" i="6"/>
  <c r="Y724" i="6"/>
  <c r="U724" i="6"/>
  <c r="Q724" i="6"/>
  <c r="M724" i="6"/>
  <c r="AH15" i="9"/>
  <c r="AI2671" i="6" s="1"/>
  <c r="AI20" i="9"/>
  <c r="AK1783" i="6"/>
  <c r="AK1779" i="6"/>
  <c r="AL1781" i="6"/>
  <c r="AT6" i="9"/>
  <c r="AG1839" i="6" l="1"/>
  <c r="AG1840" i="6"/>
  <c r="AG1997" i="6" s="1"/>
  <c r="AJ236" i="6"/>
  <c r="AI3167" i="6"/>
  <c r="AI3166" i="6"/>
  <c r="K44" i="5"/>
  <c r="K46" i="5"/>
  <c r="AG2285" i="6"/>
  <c r="AG2286" i="6"/>
  <c r="AH1389" i="6"/>
  <c r="AH1390" i="6"/>
  <c r="AH1547" i="6" s="1"/>
  <c r="AH3000" i="6"/>
  <c r="AH2999" i="6"/>
  <c r="AH1615" i="6"/>
  <c r="AH1772" i="6" s="1"/>
  <c r="AH1614" i="6"/>
  <c r="F2" i="20"/>
  <c r="Z1954" i="6"/>
  <c r="Z1945" i="6" s="1"/>
  <c r="V1954" i="6"/>
  <c r="R1954" i="6"/>
  <c r="N1954" i="6"/>
  <c r="Y1902" i="6"/>
  <c r="Y1893" i="6" s="1" a="1"/>
  <c r="Y1893" i="6" s="1"/>
  <c r="U1902" i="6"/>
  <c r="Q1902" i="6"/>
  <c r="M1902" i="6"/>
  <c r="X1850" i="6"/>
  <c r="T1850" i="6"/>
  <c r="P1850" i="6"/>
  <c r="L1850" i="6"/>
  <c r="Y1954" i="6"/>
  <c r="U1954" i="6"/>
  <c r="Q1954" i="6"/>
  <c r="M1954" i="6"/>
  <c r="X1902" i="6"/>
  <c r="T1902" i="6"/>
  <c r="P1902" i="6"/>
  <c r="L1902" i="6"/>
  <c r="W1850" i="6"/>
  <c r="S1850" i="6"/>
  <c r="O1850" i="6"/>
  <c r="K1850" i="6"/>
  <c r="X1954" i="6"/>
  <c r="T1954" i="6"/>
  <c r="P1954" i="6"/>
  <c r="L1954" i="6"/>
  <c r="W1902" i="6"/>
  <c r="S1902" i="6"/>
  <c r="O1902" i="6"/>
  <c r="K1902" i="6"/>
  <c r="V1850" i="6"/>
  <c r="R1850" i="6"/>
  <c r="N1850" i="6"/>
  <c r="O1954" i="6"/>
  <c r="V1902" i="6"/>
  <c r="Q1850" i="6"/>
  <c r="K1954" i="6"/>
  <c r="R1902" i="6"/>
  <c r="M1850" i="6"/>
  <c r="H1795" i="6"/>
  <c r="W1954" i="6"/>
  <c r="N1902" i="6"/>
  <c r="Y1850" i="6"/>
  <c r="Y1841" i="6" s="1" a="1"/>
  <c r="Y1841" i="6" s="1"/>
  <c r="H1794" i="6"/>
  <c r="S1954" i="6"/>
  <c r="U1850" i="6"/>
  <c r="H1796" i="6"/>
  <c r="AM2010" i="6"/>
  <c r="AN2005" i="6"/>
  <c r="AL17" i="18"/>
  <c r="AL1332" i="6"/>
  <c r="AI712" i="6"/>
  <c r="AI713" i="6"/>
  <c r="AI870" i="6" s="1"/>
  <c r="AK418" i="6"/>
  <c r="AL412" i="6"/>
  <c r="AK420" i="6"/>
  <c r="AK415" i="6"/>
  <c r="AL4" i="5"/>
  <c r="AK421" i="6"/>
  <c r="AK417" i="6"/>
  <c r="AL5" i="5"/>
  <c r="BA1531" i="6"/>
  <c r="AW1531" i="6"/>
  <c r="AS1531" i="6"/>
  <c r="AO1531" i="6"/>
  <c r="AY1479" i="6"/>
  <c r="AU1479" i="6"/>
  <c r="AQ1479" i="6"/>
  <c r="AM1479" i="6"/>
  <c r="AX1427" i="6"/>
  <c r="AT1427" i="6"/>
  <c r="AP1427" i="6"/>
  <c r="AL1427" i="6"/>
  <c r="AL1391" i="6" s="1" a="1"/>
  <c r="AL1391" i="6" s="1"/>
  <c r="AJ1373" i="6"/>
  <c r="AZ1531" i="6"/>
  <c r="AV1531" i="6"/>
  <c r="AR1531" i="6"/>
  <c r="AN1531" i="6"/>
  <c r="AX1479" i="6"/>
  <c r="AT1479" i="6"/>
  <c r="AP1479" i="6"/>
  <c r="AL1479" i="6"/>
  <c r="AW1427" i="6"/>
  <c r="AS1427" i="6"/>
  <c r="AO1427" i="6"/>
  <c r="AI1373" i="6"/>
  <c r="AI1337" i="6" s="1"/>
  <c r="AY1531" i="6"/>
  <c r="AU1531" i="6"/>
  <c r="AQ1531" i="6"/>
  <c r="AM1531" i="6"/>
  <c r="AW1479" i="6"/>
  <c r="AS1479" i="6"/>
  <c r="AO1479" i="6"/>
  <c r="AZ1427" i="6"/>
  <c r="AV1427" i="6"/>
  <c r="AR1427" i="6"/>
  <c r="AN1427" i="6"/>
  <c r="AX1531" i="6"/>
  <c r="AT1531" i="6"/>
  <c r="AP1531" i="6"/>
  <c r="AL1531" i="6"/>
  <c r="AL1495" i="6" s="1"/>
  <c r="AZ1479" i="6"/>
  <c r="AV1479" i="6"/>
  <c r="AR1479" i="6"/>
  <c r="AN1479" i="6"/>
  <c r="AY1427" i="6"/>
  <c r="AU1427" i="6"/>
  <c r="AQ1427" i="6"/>
  <c r="AM1427" i="6"/>
  <c r="AK1373" i="6"/>
  <c r="AM1336" i="6"/>
  <c r="AN245" i="6"/>
  <c r="AN408" i="6"/>
  <c r="AN244" i="6"/>
  <c r="AO28" i="5" s="1"/>
  <c r="AN67" i="12"/>
  <c r="AF46" i="5"/>
  <c r="AF44" i="5"/>
  <c r="AL39" i="23"/>
  <c r="AM2451" i="6" s="1"/>
  <c r="AL32" i="21"/>
  <c r="AM2009" i="6" s="1"/>
  <c r="AL32" i="22"/>
  <c r="AL32" i="20"/>
  <c r="AL32" i="19"/>
  <c r="AL37" i="17"/>
  <c r="AL32" i="18"/>
  <c r="AL42" i="16"/>
  <c r="AL34" i="15"/>
  <c r="AL49" i="14"/>
  <c r="AL41" i="13"/>
  <c r="AM7" i="7"/>
  <c r="F24" i="17"/>
  <c r="H1107" i="6"/>
  <c r="I18" i="5" s="1"/>
  <c r="AO2452" i="6"/>
  <c r="AP2447" i="6"/>
  <c r="AP14" i="5"/>
  <c r="AK2835" i="6"/>
  <c r="AK92" i="9"/>
  <c r="AK66" i="9"/>
  <c r="AK64" i="9"/>
  <c r="AK61" i="9"/>
  <c r="AL3005" i="6" s="1"/>
  <c r="AK58" i="9"/>
  <c r="AK16" i="9"/>
  <c r="AK8" i="9"/>
  <c r="AL2670" i="6" s="1"/>
  <c r="AK3" i="9"/>
  <c r="AL2668" i="6" s="1"/>
  <c r="AK69" i="9"/>
  <c r="AK4" i="9"/>
  <c r="AK68" i="9"/>
  <c r="AL2837" i="6" s="1"/>
  <c r="AK65" i="9"/>
  <c r="AK63" i="9"/>
  <c r="AL2835" i="6" s="1"/>
  <c r="AK57" i="9"/>
  <c r="AL93" i="9"/>
  <c r="AK74" i="9"/>
  <c r="G23" i="14"/>
  <c r="I415" i="6"/>
  <c r="J17" i="5" s="1"/>
  <c r="J24" i="5" s="1"/>
  <c r="J42" i="5" s="1"/>
  <c r="AO38" i="15"/>
  <c r="AP40" i="15"/>
  <c r="AM66" i="14"/>
  <c r="AL57" i="14"/>
  <c r="AL56" i="14" s="1"/>
  <c r="AM1781" i="6"/>
  <c r="AL1783" i="6"/>
  <c r="AL1779" i="6"/>
  <c r="AU38" i="20"/>
  <c r="AL23" i="9"/>
  <c r="F17" i="20"/>
  <c r="H1782" i="6"/>
  <c r="AK14" i="13"/>
  <c r="AL237" i="6"/>
  <c r="AL7" i="6"/>
  <c r="AL12" i="6"/>
  <c r="AM9" i="6"/>
  <c r="L46" i="5"/>
  <c r="L44" i="5"/>
  <c r="BB2812" i="6"/>
  <c r="AX2812" i="6"/>
  <c r="AT2812" i="6"/>
  <c r="AP2812" i="6"/>
  <c r="AL2812" i="6"/>
  <c r="AZ2812" i="6"/>
  <c r="AU2812" i="6"/>
  <c r="AO2812" i="6"/>
  <c r="AJ2812" i="6"/>
  <c r="AY2812" i="6"/>
  <c r="AS2812" i="6"/>
  <c r="AN2812" i="6"/>
  <c r="AI2812" i="6"/>
  <c r="AI2779" i="6" s="1"/>
  <c r="BA2812" i="6"/>
  <c r="AQ2812" i="6"/>
  <c r="AW2812" i="6"/>
  <c r="AM2812" i="6"/>
  <c r="AV2812" i="6"/>
  <c r="AK2812" i="6"/>
  <c r="AI2673" i="6"/>
  <c r="BC2812" i="6"/>
  <c r="AR2812" i="6"/>
  <c r="AI2672" i="6"/>
  <c r="AJ27" i="5"/>
  <c r="AI2778" i="6"/>
  <c r="AI2831" i="6" s="1"/>
  <c r="G2" i="15"/>
  <c r="P827" i="6"/>
  <c r="P818" i="6" s="1"/>
  <c r="L827" i="6"/>
  <c r="Y775" i="6"/>
  <c r="Y766" i="6" s="1" a="1"/>
  <c r="Y766" i="6" s="1"/>
  <c r="U775" i="6"/>
  <c r="Q775" i="6"/>
  <c r="M775" i="6"/>
  <c r="V723" i="6"/>
  <c r="R723" i="6"/>
  <c r="N723" i="6"/>
  <c r="O827" i="6"/>
  <c r="K827" i="6"/>
  <c r="X775" i="6"/>
  <c r="T775" i="6"/>
  <c r="P775" i="6"/>
  <c r="L775" i="6"/>
  <c r="Y723" i="6"/>
  <c r="Y714" i="6" s="1" a="1"/>
  <c r="Y714" i="6" s="1"/>
  <c r="U723" i="6"/>
  <c r="Q723" i="6"/>
  <c r="M723" i="6"/>
  <c r="N827" i="6"/>
  <c r="W775" i="6"/>
  <c r="S775" i="6"/>
  <c r="O775" i="6"/>
  <c r="K775" i="6"/>
  <c r="X723" i="6"/>
  <c r="T723" i="6"/>
  <c r="P723" i="6"/>
  <c r="L723" i="6"/>
  <c r="I668" i="6"/>
  <c r="M827" i="6"/>
  <c r="V775" i="6"/>
  <c r="R775" i="6"/>
  <c r="N775" i="6"/>
  <c r="W723" i="6"/>
  <c r="S723" i="6"/>
  <c r="O723" i="6"/>
  <c r="K723" i="6"/>
  <c r="I669" i="6"/>
  <c r="AO36" i="19"/>
  <c r="AP38" i="19"/>
  <c r="AO61" i="14"/>
  <c r="I423" i="6"/>
  <c r="AN1331" i="6"/>
  <c r="AM1329" i="6"/>
  <c r="AM1333" i="6"/>
  <c r="AD77" i="6"/>
  <c r="AD78" i="6"/>
  <c r="AE22" i="5"/>
  <c r="AE25" i="5" s="1"/>
  <c r="AE43" i="5" s="1"/>
  <c r="AP39" i="20"/>
  <c r="AO36" i="20"/>
  <c r="AY1756" i="6"/>
  <c r="AU1756" i="6"/>
  <c r="AQ1756" i="6"/>
  <c r="AM1756" i="6"/>
  <c r="AW1704" i="6"/>
  <c r="AS1704" i="6"/>
  <c r="AO1704" i="6"/>
  <c r="AZ1652" i="6"/>
  <c r="AV1652" i="6"/>
  <c r="AR1652" i="6"/>
  <c r="AN1652" i="6"/>
  <c r="AZ1756" i="6"/>
  <c r="AT1756" i="6"/>
  <c r="AO1756" i="6"/>
  <c r="AV1704" i="6"/>
  <c r="AQ1704" i="6"/>
  <c r="AL1704" i="6"/>
  <c r="AL1668" i="6" s="1" a="1"/>
  <c r="AL1668" i="6" s="1"/>
  <c r="AU1652" i="6"/>
  <c r="AP1652" i="6"/>
  <c r="AK1598" i="6"/>
  <c r="AM1561" i="6"/>
  <c r="AX1756" i="6"/>
  <c r="AS1756" i="6"/>
  <c r="AN1756" i="6"/>
  <c r="AZ1704" i="6"/>
  <c r="AU1704" i="6"/>
  <c r="AP1704" i="6"/>
  <c r="AY1652" i="6"/>
  <c r="AT1652" i="6"/>
  <c r="AO1652" i="6"/>
  <c r="AJ1598" i="6"/>
  <c r="AW1756" i="6"/>
  <c r="AR1756" i="6"/>
  <c r="AL1756" i="6"/>
  <c r="AL1720" i="6" s="1"/>
  <c r="AY1704" i="6"/>
  <c r="AT1704" i="6"/>
  <c r="AN1704" i="6"/>
  <c r="AX1652" i="6"/>
  <c r="AS1652" i="6"/>
  <c r="AM1652" i="6"/>
  <c r="AI1598" i="6"/>
  <c r="AI1562" i="6" s="1"/>
  <c r="BA1756" i="6"/>
  <c r="AV1756" i="6"/>
  <c r="AP1756" i="6"/>
  <c r="AX1704" i="6"/>
  <c r="AR1704" i="6"/>
  <c r="AM1704" i="6"/>
  <c r="AW1652" i="6"/>
  <c r="AQ1652" i="6"/>
  <c r="AL1652" i="6"/>
  <c r="G17" i="18"/>
  <c r="I1332" i="6"/>
  <c r="AL1102" i="6"/>
  <c r="AM1104" i="6"/>
  <c r="AL1108" i="6"/>
  <c r="AI36" i="11"/>
  <c r="AI3170" i="6"/>
  <c r="AJ1998" i="6"/>
  <c r="AK59" i="12"/>
  <c r="AL248" i="6" s="1"/>
  <c r="AL60" i="12"/>
  <c r="AL246" i="6"/>
  <c r="AO36" i="21"/>
  <c r="AP38" i="21"/>
  <c r="J1389" i="6"/>
  <c r="J1390" i="6"/>
  <c r="AZ1980" i="6"/>
  <c r="AV1980" i="6"/>
  <c r="AR1980" i="6"/>
  <c r="AN1980" i="6"/>
  <c r="AW1928" i="6"/>
  <c r="AS1928" i="6"/>
  <c r="AO1928" i="6"/>
  <c r="AK1928" i="6"/>
  <c r="AK1893" i="6" s="1" a="1"/>
  <c r="AK1893" i="6" s="1"/>
  <c r="AV1876" i="6"/>
  <c r="AR1876" i="6"/>
  <c r="AN1876" i="6"/>
  <c r="AY1980" i="6"/>
  <c r="AU1980" i="6"/>
  <c r="AQ1980" i="6"/>
  <c r="AM1980" i="6"/>
  <c r="AV1928" i="6"/>
  <c r="AR1928" i="6"/>
  <c r="AN1928" i="6"/>
  <c r="AY1876" i="6"/>
  <c r="AU1876" i="6"/>
  <c r="AQ1876" i="6"/>
  <c r="AM1876" i="6"/>
  <c r="AX1980" i="6"/>
  <c r="AT1980" i="6"/>
  <c r="AP1980" i="6"/>
  <c r="AL1980" i="6"/>
  <c r="AY1928" i="6"/>
  <c r="AU1928" i="6"/>
  <c r="AQ1928" i="6"/>
  <c r="AM1928" i="6"/>
  <c r="AX1876" i="6"/>
  <c r="AT1876" i="6"/>
  <c r="AP1876" i="6"/>
  <c r="AL1876" i="6"/>
  <c r="AO1980" i="6"/>
  <c r="AP1928" i="6"/>
  <c r="AO1876" i="6"/>
  <c r="AI1822" i="6"/>
  <c r="AL1786" i="6"/>
  <c r="AK1980" i="6"/>
  <c r="AK1945" i="6" s="1"/>
  <c r="AL1928" i="6"/>
  <c r="AK1876" i="6"/>
  <c r="AK1841" i="6" s="1" a="1"/>
  <c r="AK1841" i="6" s="1"/>
  <c r="AH1822" i="6"/>
  <c r="AH1787" i="6" s="1"/>
  <c r="AW1980" i="6"/>
  <c r="AX1928" i="6"/>
  <c r="AW1876" i="6"/>
  <c r="AS1980" i="6"/>
  <c r="AT1928" i="6"/>
  <c r="AS1876" i="6"/>
  <c r="AJ1822" i="6"/>
  <c r="AU2926" i="6"/>
  <c r="AQ2926" i="6"/>
  <c r="AM2926" i="6"/>
  <c r="AI2926" i="6"/>
  <c r="AI2893" i="6" s="1" a="1"/>
  <c r="AI2893" i="6" s="1"/>
  <c r="AT2874" i="6"/>
  <c r="AP2874" i="6"/>
  <c r="AL2874" i="6"/>
  <c r="AW2926" i="6"/>
  <c r="AR2926" i="6"/>
  <c r="AL2926" i="6"/>
  <c r="AV2874" i="6"/>
  <c r="AQ2874" i="6"/>
  <c r="AK2874" i="6"/>
  <c r="AV2926" i="6"/>
  <c r="AP2926" i="6"/>
  <c r="AK2926" i="6"/>
  <c r="AU2874" i="6"/>
  <c r="AO2874" i="6"/>
  <c r="AJ2874" i="6"/>
  <c r="AT2926" i="6"/>
  <c r="AO2926" i="6"/>
  <c r="AJ2926" i="6"/>
  <c r="AW2874" i="6"/>
  <c r="AM2874" i="6"/>
  <c r="AS2874" i="6"/>
  <c r="AI2874" i="6"/>
  <c r="AS2926" i="6"/>
  <c r="AR2874" i="6"/>
  <c r="AN2926" i="6"/>
  <c r="AN2874" i="6"/>
  <c r="AI43" i="8"/>
  <c r="AJ643" i="6" s="1"/>
  <c r="AJ645" i="6" s="1"/>
  <c r="AI42" i="8"/>
  <c r="AJ644" i="6" s="1"/>
  <c r="AI41" i="8"/>
  <c r="AJ642" i="6" s="1"/>
  <c r="AJ641" i="6"/>
  <c r="AK33" i="5" s="1"/>
  <c r="AK2223" i="6"/>
  <c r="AF1323" i="6"/>
  <c r="AG17" i="5"/>
  <c r="AG24" i="5" s="1"/>
  <c r="AG42" i="5" s="1"/>
  <c r="F24" i="13"/>
  <c r="H10" i="6"/>
  <c r="AL2507" i="6"/>
  <c r="AL2506" i="6"/>
  <c r="D2" i="22"/>
  <c r="V2398" i="6"/>
  <c r="R2398" i="6"/>
  <c r="N2398" i="6"/>
  <c r="J2398" i="6"/>
  <c r="AF2346" i="6"/>
  <c r="AB2346" i="6"/>
  <c r="X2346" i="6"/>
  <c r="T2346" i="6"/>
  <c r="P2346" i="6"/>
  <c r="L2346" i="6"/>
  <c r="AD2294" i="6"/>
  <c r="Z2294" i="6"/>
  <c r="V2294" i="6"/>
  <c r="R2294" i="6"/>
  <c r="N2294" i="6"/>
  <c r="J2294" i="6"/>
  <c r="F2239" i="6"/>
  <c r="U2398" i="6"/>
  <c r="Q2398" i="6"/>
  <c r="M2398" i="6"/>
  <c r="I2398" i="6"/>
  <c r="AE2346" i="6"/>
  <c r="AA2346" i="6"/>
  <c r="W2346" i="6"/>
  <c r="S2346" i="6"/>
  <c r="O2346" i="6"/>
  <c r="K2346" i="6"/>
  <c r="AG2294" i="6"/>
  <c r="AG2287" i="6" s="1" a="1"/>
  <c r="AG2287" i="6" s="1"/>
  <c r="AC2294" i="6"/>
  <c r="Y2294" i="6"/>
  <c r="U2294" i="6"/>
  <c r="Q2294" i="6"/>
  <c r="M2294" i="6"/>
  <c r="I2294" i="6"/>
  <c r="X2398" i="6"/>
  <c r="X2391" i="6" s="1"/>
  <c r="T2398" i="6"/>
  <c r="P2398" i="6"/>
  <c r="L2398" i="6"/>
  <c r="AD2346" i="6"/>
  <c r="Z2346" i="6"/>
  <c r="V2346" i="6"/>
  <c r="R2346" i="6"/>
  <c r="N2346" i="6"/>
  <c r="J2346" i="6"/>
  <c r="AF2294" i="6"/>
  <c r="AB2294" i="6"/>
  <c r="X2294" i="6"/>
  <c r="T2294" i="6"/>
  <c r="P2294" i="6"/>
  <c r="L2294" i="6"/>
  <c r="F2240" i="6"/>
  <c r="F2238" i="6"/>
  <c r="W2398" i="6"/>
  <c r="S2398" i="6"/>
  <c r="O2398" i="6"/>
  <c r="K2398" i="6"/>
  <c r="AG2346" i="6"/>
  <c r="AG2339" i="6" s="1" a="1"/>
  <c r="AG2339" i="6" s="1"/>
  <c r="AC2346" i="6"/>
  <c r="Y2346" i="6"/>
  <c r="U2346" i="6"/>
  <c r="Q2346" i="6"/>
  <c r="M2346" i="6"/>
  <c r="I2346" i="6"/>
  <c r="AE2294" i="6"/>
  <c r="AA2294" i="6"/>
  <c r="W2294" i="6"/>
  <c r="S2294" i="6"/>
  <c r="O2294" i="6"/>
  <c r="K2294" i="6"/>
  <c r="AM3003" i="6"/>
  <c r="AM652" i="6"/>
  <c r="AM656" i="6"/>
  <c r="AN654" i="6"/>
  <c r="AL13" i="6"/>
  <c r="AM3" i="5"/>
  <c r="AL14" i="6"/>
  <c r="AM8" i="6"/>
  <c r="AM2" i="5"/>
  <c r="AL2" i="5"/>
  <c r="AL17" i="21"/>
  <c r="AL2007" i="6"/>
  <c r="AQ3171" i="6"/>
  <c r="H1614" i="6"/>
  <c r="H1615" i="6"/>
  <c r="AO1556" i="6"/>
  <c r="AN1558" i="6"/>
  <c r="AM17" i="22"/>
  <c r="AM2449" i="6"/>
  <c r="AM2450" i="6"/>
  <c r="AN2448" i="6"/>
  <c r="AN16" i="5"/>
  <c r="AJ416" i="6"/>
  <c r="AK35" i="5"/>
  <c r="AJ71" i="9"/>
  <c r="AJ72" i="9"/>
  <c r="AK2838" i="6"/>
  <c r="AX3094" i="6"/>
  <c r="AT3094" i="6"/>
  <c r="AP3094" i="6"/>
  <c r="AL3094" i="6"/>
  <c r="AW3042" i="6"/>
  <c r="AS3042" i="6"/>
  <c r="AO3042" i="6"/>
  <c r="AK3042" i="6"/>
  <c r="AW3094" i="6"/>
  <c r="AS3094" i="6"/>
  <c r="AO3094" i="6"/>
  <c r="AK3094" i="6"/>
  <c r="AV3042" i="6"/>
  <c r="AR3042" i="6"/>
  <c r="AN3042" i="6"/>
  <c r="AJ3042" i="6"/>
  <c r="AU3094" i="6"/>
  <c r="AM3094" i="6"/>
  <c r="AT3042" i="6"/>
  <c r="AL3042" i="6"/>
  <c r="AR3094" i="6"/>
  <c r="AJ3094" i="6"/>
  <c r="AJ3060" i="6" s="1" a="1"/>
  <c r="AJ3060" i="6" s="1"/>
  <c r="AQ3042" i="6"/>
  <c r="AQ3094" i="6"/>
  <c r="AX3042" i="6"/>
  <c r="AP3042" i="6"/>
  <c r="AN3094" i="6"/>
  <c r="AM3042" i="6"/>
  <c r="AV3094" i="6"/>
  <c r="AU3042" i="6"/>
  <c r="I1390" i="6"/>
  <c r="I1389" i="6"/>
  <c r="AA1547" i="6"/>
  <c r="AA1548" i="6"/>
  <c r="AU6" i="9"/>
  <c r="AI15" i="9"/>
  <c r="AJ2671" i="6" s="1"/>
  <c r="AK20" i="9"/>
  <c r="AJ20" i="9"/>
  <c r="I1840" i="6"/>
  <c r="I1839" i="6"/>
  <c r="AU30" i="14"/>
  <c r="AT32" i="14"/>
  <c r="G2286" i="6"/>
  <c r="G2285" i="6"/>
  <c r="AK1773" i="6"/>
  <c r="H2064" i="6"/>
  <c r="H2065" i="6"/>
  <c r="AD47" i="5"/>
  <c r="AD45" i="5"/>
  <c r="AP126" i="14"/>
  <c r="AQ128" i="14"/>
  <c r="AD1165" i="6"/>
  <c r="AD1322" i="6" s="1"/>
  <c r="AD1164" i="6"/>
  <c r="AJ2669" i="6"/>
  <c r="AK2669" i="6" s="1"/>
  <c r="AM882" i="6"/>
  <c r="AM883" i="6"/>
  <c r="AM880" i="6"/>
  <c r="AN878" i="6"/>
  <c r="AN7" i="5"/>
  <c r="AK871" i="6"/>
  <c r="AT103" i="9"/>
  <c r="AA633" i="6"/>
  <c r="AA634" i="6"/>
  <c r="AM2008" i="6"/>
  <c r="AN2006" i="6"/>
  <c r="AM2004" i="6"/>
  <c r="AM2229" i="6"/>
  <c r="AN2227" i="6"/>
  <c r="AM62" i="12"/>
  <c r="AN247" i="6" s="1"/>
  <c r="AR38" i="18"/>
  <c r="AL17" i="20"/>
  <c r="AL1782" i="6"/>
  <c r="BD391" i="6"/>
  <c r="AZ391" i="6"/>
  <c r="AV391" i="6"/>
  <c r="AR391" i="6"/>
  <c r="AN391" i="6"/>
  <c r="BC391" i="6"/>
  <c r="AY391" i="6"/>
  <c r="AU391" i="6"/>
  <c r="AQ391" i="6"/>
  <c r="AM391" i="6"/>
  <c r="BE391" i="6"/>
  <c r="AW391" i="6"/>
  <c r="AO391" i="6"/>
  <c r="AK250" i="6"/>
  <c r="BB391" i="6"/>
  <c r="AX391" i="6"/>
  <c r="AT391" i="6"/>
  <c r="AP391" i="6"/>
  <c r="AL391" i="6"/>
  <c r="AK249" i="6"/>
  <c r="AL29" i="5"/>
  <c r="BA391" i="6"/>
  <c r="AS391" i="6"/>
  <c r="AK391" i="6"/>
  <c r="AK356" i="6" s="1"/>
  <c r="AK355" i="6"/>
  <c r="AN56" i="17"/>
  <c r="AM44" i="17"/>
  <c r="AL1784" i="6"/>
  <c r="AM1780" i="6"/>
  <c r="AL1785" i="6"/>
  <c r="AM12" i="5"/>
  <c r="AJ44" i="8"/>
  <c r="AK24" i="8"/>
  <c r="AX2206" i="6"/>
  <c r="AT2206" i="6"/>
  <c r="AP2206" i="6"/>
  <c r="AL2206" i="6"/>
  <c r="AL2170" i="6" s="1"/>
  <c r="AZ2154" i="6"/>
  <c r="AV2154" i="6"/>
  <c r="AR2154" i="6"/>
  <c r="AN2154" i="6"/>
  <c r="AY2102" i="6"/>
  <c r="AU2102" i="6"/>
  <c r="AQ2102" i="6"/>
  <c r="AM2102" i="6"/>
  <c r="AK2048" i="6"/>
  <c r="AM2011" i="6"/>
  <c r="BA2206" i="6"/>
  <c r="AW2206" i="6"/>
  <c r="AS2206" i="6"/>
  <c r="AO2206" i="6"/>
  <c r="AY2154" i="6"/>
  <c r="AU2154" i="6"/>
  <c r="AQ2154" i="6"/>
  <c r="AM2154" i="6"/>
  <c r="AX2102" i="6"/>
  <c r="AT2102" i="6"/>
  <c r="AP2102" i="6"/>
  <c r="AL2102" i="6"/>
  <c r="AL2066" i="6" s="1" a="1"/>
  <c r="AL2066" i="6" s="1"/>
  <c r="AJ2048" i="6"/>
  <c r="AZ2206" i="6"/>
  <c r="AV2206" i="6"/>
  <c r="AR2206" i="6"/>
  <c r="AN2206" i="6"/>
  <c r="AX2154" i="6"/>
  <c r="AT2154" i="6"/>
  <c r="AP2154" i="6"/>
  <c r="AL2154" i="6"/>
  <c r="AL2118" i="6" s="1" a="1"/>
  <c r="AL2118" i="6" s="1"/>
  <c r="AW2102" i="6"/>
  <c r="AS2102" i="6"/>
  <c r="AO2102" i="6"/>
  <c r="AI2048" i="6"/>
  <c r="AI2012" i="6" s="1"/>
  <c r="AY2206" i="6"/>
  <c r="AU2206" i="6"/>
  <c r="AQ2206" i="6"/>
  <c r="AM2206" i="6"/>
  <c r="AZ2102" i="6"/>
  <c r="AW2154" i="6"/>
  <c r="AV2102" i="6"/>
  <c r="AS2154" i="6"/>
  <c r="AR2102" i="6"/>
  <c r="AO2154" i="6"/>
  <c r="AN2102" i="6"/>
  <c r="AG19" i="17"/>
  <c r="AG1105" i="6"/>
  <c r="W1096" i="6"/>
  <c r="W1095" i="6"/>
  <c r="AN24" i="9"/>
  <c r="AH2444" i="6"/>
  <c r="AL2231" i="6"/>
  <c r="AM2226" i="6"/>
  <c r="AL2230" i="6"/>
  <c r="AM13" i="5"/>
  <c r="AM17" i="19"/>
  <c r="AM1557" i="6"/>
  <c r="AE236" i="6"/>
  <c r="AL38" i="23"/>
  <c r="AL31" i="22"/>
  <c r="AL31" i="21"/>
  <c r="AL31" i="20"/>
  <c r="AL31" i="19"/>
  <c r="AL31" i="18"/>
  <c r="AL41" i="16"/>
  <c r="AL33" i="15"/>
  <c r="AL36" i="17"/>
  <c r="AL48" i="14"/>
  <c r="AL40" i="13"/>
  <c r="AM6" i="7"/>
  <c r="AN39" i="18"/>
  <c r="AM36" i="18"/>
  <c r="F17" i="22"/>
  <c r="H2228" i="6"/>
  <c r="Z2222" i="6"/>
  <c r="Z2223" i="6"/>
  <c r="E2" i="21"/>
  <c r="V2178" i="6"/>
  <c r="R2178" i="6"/>
  <c r="N2178" i="6"/>
  <c r="J2178" i="6"/>
  <c r="X2126" i="6"/>
  <c r="X2118" i="6" s="1" a="1"/>
  <c r="X2118" i="6" s="1"/>
  <c r="T2126" i="6"/>
  <c r="P2126" i="6"/>
  <c r="L2126" i="6"/>
  <c r="W2074" i="6"/>
  <c r="S2074" i="6"/>
  <c r="O2074" i="6"/>
  <c r="K2074" i="6"/>
  <c r="G2019" i="6"/>
  <c r="Y2178" i="6"/>
  <c r="Y2170" i="6" s="1"/>
  <c r="U2178" i="6"/>
  <c r="Q2178" i="6"/>
  <c r="M2178" i="6"/>
  <c r="W2126" i="6"/>
  <c r="S2126" i="6"/>
  <c r="O2126" i="6"/>
  <c r="K2126" i="6"/>
  <c r="V2074" i="6"/>
  <c r="R2074" i="6"/>
  <c r="N2074" i="6"/>
  <c r="J2074" i="6"/>
  <c r="X2178" i="6"/>
  <c r="T2178" i="6"/>
  <c r="P2178" i="6"/>
  <c r="L2178" i="6"/>
  <c r="V2126" i="6"/>
  <c r="R2126" i="6"/>
  <c r="N2126" i="6"/>
  <c r="J2126" i="6"/>
  <c r="U2074" i="6"/>
  <c r="Q2074" i="6"/>
  <c r="M2074" i="6"/>
  <c r="G2020" i="6"/>
  <c r="G2018" i="6"/>
  <c r="W2178" i="6"/>
  <c r="M2126" i="6"/>
  <c r="L2074" i="6"/>
  <c r="S2178" i="6"/>
  <c r="X2074" i="6"/>
  <c r="X2066" i="6" s="1" a="1"/>
  <c r="X2066" i="6" s="1"/>
  <c r="O2178" i="6"/>
  <c r="U2126" i="6"/>
  <c r="T2074" i="6"/>
  <c r="K2178" i="6"/>
  <c r="Q2126" i="6"/>
  <c r="P2074" i="6"/>
  <c r="BB218" i="6"/>
  <c r="AX218" i="6"/>
  <c r="AT218" i="6"/>
  <c r="AP218" i="6"/>
  <c r="AL218" i="6"/>
  <c r="AY166" i="6"/>
  <c r="AU166" i="6"/>
  <c r="AQ166" i="6"/>
  <c r="AM166" i="6"/>
  <c r="AX114" i="6"/>
  <c r="AT114" i="6"/>
  <c r="AP114" i="6"/>
  <c r="AL114" i="6"/>
  <c r="AJ51" i="6"/>
  <c r="AF51" i="6"/>
  <c r="AL15" i="6"/>
  <c r="AU218" i="6"/>
  <c r="AN166" i="6"/>
  <c r="BE218" i="6"/>
  <c r="BA218" i="6"/>
  <c r="AW218" i="6"/>
  <c r="AS218" i="6"/>
  <c r="AO218" i="6"/>
  <c r="AK218" i="6"/>
  <c r="AK183" i="6" s="1"/>
  <c r="AX166" i="6"/>
  <c r="AT166" i="6"/>
  <c r="AP166" i="6"/>
  <c r="AL166" i="6"/>
  <c r="AW114" i="6"/>
  <c r="AS114" i="6"/>
  <c r="AO114" i="6"/>
  <c r="AK114" i="6"/>
  <c r="AK79" i="6" s="1" a="1"/>
  <c r="AK79" i="6" s="1"/>
  <c r="AI51" i="6"/>
  <c r="AE51" i="6"/>
  <c r="AE16" i="6" s="1"/>
  <c r="AL10" i="6"/>
  <c r="AL20" i="5"/>
  <c r="AY218" i="6"/>
  <c r="AM218" i="6"/>
  <c r="AV166" i="6"/>
  <c r="AU114" i="6"/>
  <c r="AQ114" i="6"/>
  <c r="BD218" i="6"/>
  <c r="AZ218" i="6"/>
  <c r="AV218" i="6"/>
  <c r="AR218" i="6"/>
  <c r="AN218" i="6"/>
  <c r="AW166" i="6"/>
  <c r="AS166" i="6"/>
  <c r="AO166" i="6"/>
  <c r="AK166" i="6"/>
  <c r="AK131" i="6" s="1" a="1"/>
  <c r="AK131" i="6" s="1"/>
  <c r="AV114" i="6"/>
  <c r="AR114" i="6"/>
  <c r="AN114" i="6"/>
  <c r="AH51" i="6"/>
  <c r="AL11" i="6"/>
  <c r="BC218" i="6"/>
  <c r="AQ218" i="6"/>
  <c r="AR166" i="6"/>
  <c r="AY114" i="6"/>
  <c r="AM114" i="6"/>
  <c r="AG51" i="6"/>
  <c r="AN879" i="6"/>
  <c r="AM877" i="6"/>
  <c r="AM881" i="6"/>
  <c r="AI645" i="6"/>
  <c r="F21" i="17"/>
  <c r="H1106" i="6"/>
  <c r="I19" i="5" s="1"/>
  <c r="AP3171" i="6"/>
  <c r="AS38" i="11"/>
  <c r="E2" i="19"/>
  <c r="W1728" i="6"/>
  <c r="S1728" i="6"/>
  <c r="O1728" i="6"/>
  <c r="K1728" i="6"/>
  <c r="U1676" i="6"/>
  <c r="Q1676" i="6"/>
  <c r="M1676" i="6"/>
  <c r="X1624" i="6"/>
  <c r="X1616" i="6" s="1" a="1"/>
  <c r="X1616" i="6" s="1"/>
  <c r="T1624" i="6"/>
  <c r="P1624" i="6"/>
  <c r="L1624" i="6"/>
  <c r="X1728" i="6"/>
  <c r="R1728" i="6"/>
  <c r="M1728" i="6"/>
  <c r="X1676" i="6"/>
  <c r="X1668" i="6" s="1" a="1"/>
  <c r="X1668" i="6" s="1"/>
  <c r="S1676" i="6"/>
  <c r="N1676" i="6"/>
  <c r="V1624" i="6"/>
  <c r="Q1624" i="6"/>
  <c r="K1624" i="6"/>
  <c r="G1569" i="6"/>
  <c r="V1728" i="6"/>
  <c r="Q1728" i="6"/>
  <c r="L1728" i="6"/>
  <c r="W1676" i="6"/>
  <c r="R1676" i="6"/>
  <c r="L1676" i="6"/>
  <c r="U1624" i="6"/>
  <c r="O1624" i="6"/>
  <c r="J1624" i="6"/>
  <c r="U1728" i="6"/>
  <c r="P1728" i="6"/>
  <c r="J1728" i="6"/>
  <c r="V1676" i="6"/>
  <c r="P1676" i="6"/>
  <c r="K1676" i="6"/>
  <c r="S1624" i="6"/>
  <c r="N1624" i="6"/>
  <c r="G1570" i="6"/>
  <c r="G1568" i="6"/>
  <c r="Y1728" i="6"/>
  <c r="Y1720" i="6" s="1"/>
  <c r="T1728" i="6"/>
  <c r="N1728" i="6"/>
  <c r="T1676" i="6"/>
  <c r="O1676" i="6"/>
  <c r="J1676" i="6"/>
  <c r="W1624" i="6"/>
  <c r="R1624" i="6"/>
  <c r="M1624" i="6"/>
  <c r="AV22" i="13"/>
  <c r="AW21" i="13"/>
  <c r="AV615" i="6"/>
  <c r="AR615" i="6"/>
  <c r="AN615" i="6"/>
  <c r="AJ615" i="6"/>
  <c r="AJ581" i="6" s="1"/>
  <c r="AV563" i="6"/>
  <c r="AR563" i="6"/>
  <c r="AN563" i="6"/>
  <c r="AJ563" i="6"/>
  <c r="AJ529" i="6" s="1" a="1"/>
  <c r="AJ529" i="6" s="1"/>
  <c r="AV511" i="6"/>
  <c r="AR511" i="6"/>
  <c r="AN511" i="6"/>
  <c r="AJ511" i="6"/>
  <c r="AJ477" i="6" s="1" a="1"/>
  <c r="AJ477" i="6" s="1"/>
  <c r="AY615" i="6"/>
  <c r="AU615" i="6"/>
  <c r="AQ615" i="6"/>
  <c r="AM615" i="6"/>
  <c r="AU563" i="6"/>
  <c r="AQ563" i="6"/>
  <c r="AM563" i="6"/>
  <c r="AU511" i="6"/>
  <c r="AQ511" i="6"/>
  <c r="AM511" i="6"/>
  <c r="AI457" i="6"/>
  <c r="AK422" i="6"/>
  <c r="AW615" i="6"/>
  <c r="AO615" i="6"/>
  <c r="AS563" i="6"/>
  <c r="AK563" i="6"/>
  <c r="AO511" i="6"/>
  <c r="AX615" i="6"/>
  <c r="AT615" i="6"/>
  <c r="AP615" i="6"/>
  <c r="AL615" i="6"/>
  <c r="AX563" i="6"/>
  <c r="AT563" i="6"/>
  <c r="AP563" i="6"/>
  <c r="AL563" i="6"/>
  <c r="AX511" i="6"/>
  <c r="AT511" i="6"/>
  <c r="AP511" i="6"/>
  <c r="AL511" i="6"/>
  <c r="AH457" i="6"/>
  <c r="AS615" i="6"/>
  <c r="AK615" i="6"/>
  <c r="AW563" i="6"/>
  <c r="AO563" i="6"/>
  <c r="AW511" i="6"/>
  <c r="AS511" i="6"/>
  <c r="AK511" i="6"/>
  <c r="AG457" i="6"/>
  <c r="AG423" i="6" s="1"/>
  <c r="AM1334" i="6"/>
  <c r="AM1335" i="6"/>
  <c r="AN1330" i="6"/>
  <c r="AN10" i="5"/>
  <c r="AM247" i="6"/>
  <c r="F77" i="6"/>
  <c r="F78" i="6"/>
  <c r="BD3148" i="6"/>
  <c r="AZ3148" i="6"/>
  <c r="AV3148" i="6"/>
  <c r="AR3148" i="6"/>
  <c r="AN3148" i="6"/>
  <c r="BC3148" i="6"/>
  <c r="AY3148" i="6"/>
  <c r="AU3148" i="6"/>
  <c r="AQ3148" i="6"/>
  <c r="AM3148" i="6"/>
  <c r="BE3148" i="6"/>
  <c r="AW3148" i="6"/>
  <c r="AO3148" i="6"/>
  <c r="BB3148" i="6"/>
  <c r="AT3148" i="6"/>
  <c r="AL3148" i="6"/>
  <c r="BA3148" i="6"/>
  <c r="AS3148" i="6"/>
  <c r="AK3148" i="6"/>
  <c r="AK3113" i="6" s="1"/>
  <c r="AK3007" i="6"/>
  <c r="AX3148" i="6"/>
  <c r="AK3006" i="6"/>
  <c r="AP3148" i="6"/>
  <c r="AK3112" i="6"/>
  <c r="AN61" i="12"/>
  <c r="F2" i="18"/>
  <c r="Z1504" i="6"/>
  <c r="Z1495" i="6" s="1"/>
  <c r="V1504" i="6"/>
  <c r="R1504" i="6"/>
  <c r="N1504" i="6"/>
  <c r="Y1452" i="6"/>
  <c r="Y1443" i="6" s="1" a="1"/>
  <c r="Y1443" i="6" s="1"/>
  <c r="U1452" i="6"/>
  <c r="Q1452" i="6"/>
  <c r="M1452" i="6"/>
  <c r="X1400" i="6"/>
  <c r="T1400" i="6"/>
  <c r="P1400" i="6"/>
  <c r="L1400" i="6"/>
  <c r="H1345" i="6"/>
  <c r="Y1504" i="6"/>
  <c r="U1504" i="6"/>
  <c r="Q1504" i="6"/>
  <c r="M1504" i="6"/>
  <c r="X1452" i="6"/>
  <c r="T1452" i="6"/>
  <c r="P1452" i="6"/>
  <c r="L1452" i="6"/>
  <c r="W1400" i="6"/>
  <c r="S1400" i="6"/>
  <c r="O1400" i="6"/>
  <c r="K1400" i="6"/>
  <c r="X1504" i="6"/>
  <c r="T1504" i="6"/>
  <c r="P1504" i="6"/>
  <c r="L1504" i="6"/>
  <c r="W1452" i="6"/>
  <c r="S1452" i="6"/>
  <c r="O1452" i="6"/>
  <c r="K1452" i="6"/>
  <c r="V1400" i="6"/>
  <c r="R1400" i="6"/>
  <c r="N1400" i="6"/>
  <c r="H1346" i="6"/>
  <c r="H1344" i="6"/>
  <c r="H1337" i="6" s="1"/>
  <c r="W1504" i="6"/>
  <c r="S1504" i="6"/>
  <c r="O1504" i="6"/>
  <c r="K1504" i="6"/>
  <c r="V1452" i="6"/>
  <c r="R1452" i="6"/>
  <c r="N1452" i="6"/>
  <c r="Y1400" i="6"/>
  <c r="Y1391" i="6" s="1" a="1"/>
  <c r="Y1391" i="6" s="1"/>
  <c r="U1400" i="6"/>
  <c r="Q1400" i="6"/>
  <c r="M1400" i="6"/>
  <c r="AI633" i="6"/>
  <c r="AI634" i="6"/>
  <c r="AG21" i="17"/>
  <c r="AG1106" i="6"/>
  <c r="AH19" i="5" s="1"/>
  <c r="AH2065" i="6"/>
  <c r="AH2222" i="6" s="1"/>
  <c r="AH2064" i="6"/>
  <c r="AO854" i="6"/>
  <c r="AY802" i="6"/>
  <c r="AU802" i="6"/>
  <c r="AQ802" i="6"/>
  <c r="AM802" i="6"/>
  <c r="AZ750" i="6"/>
  <c r="AV750" i="6"/>
  <c r="AR750" i="6"/>
  <c r="AN750" i="6"/>
  <c r="AN854" i="6"/>
  <c r="AX802" i="6"/>
  <c r="AT802" i="6"/>
  <c r="AP802" i="6"/>
  <c r="AL802" i="6"/>
  <c r="AL766" i="6" s="1" a="1"/>
  <c r="AL766" i="6" s="1"/>
  <c r="AY750" i="6"/>
  <c r="AU750" i="6"/>
  <c r="AQ750" i="6"/>
  <c r="AM750" i="6"/>
  <c r="AJ696" i="6"/>
  <c r="AQ854" i="6"/>
  <c r="AM854" i="6"/>
  <c r="AW802" i="6"/>
  <c r="AS802" i="6"/>
  <c r="AO802" i="6"/>
  <c r="AX750" i="6"/>
  <c r="AT750" i="6"/>
  <c r="AP750" i="6"/>
  <c r="AL750" i="6"/>
  <c r="AL714" i="6" s="1" a="1"/>
  <c r="AL714" i="6" s="1"/>
  <c r="AP854" i="6"/>
  <c r="AL854" i="6"/>
  <c r="AL818" i="6" s="1"/>
  <c r="AL871" i="6" s="1"/>
  <c r="AZ802" i="6"/>
  <c r="AV802" i="6"/>
  <c r="AR802" i="6"/>
  <c r="AN802" i="6"/>
  <c r="AW750" i="6"/>
  <c r="AS750" i="6"/>
  <c r="AO750" i="6"/>
  <c r="AM659" i="6"/>
  <c r="AK696" i="6"/>
  <c r="AG24" i="17"/>
  <c r="AG1107" i="6"/>
  <c r="AH18" i="5" s="1"/>
  <c r="J476" i="6"/>
  <c r="J475" i="6"/>
  <c r="F38" i="23"/>
  <c r="F31" i="22"/>
  <c r="F31" i="21"/>
  <c r="F31" i="20"/>
  <c r="F31" i="19"/>
  <c r="F31" i="18"/>
  <c r="F41" i="16"/>
  <c r="F33" i="15"/>
  <c r="F36" i="17"/>
  <c r="F48" i="14"/>
  <c r="F40" i="13"/>
  <c r="E6" i="7"/>
  <c r="E3" i="16"/>
  <c r="D3" i="16" s="1"/>
  <c r="M1049" i="6"/>
  <c r="M1043" i="6" s="1"/>
  <c r="I1049" i="6"/>
  <c r="U997" i="6"/>
  <c r="U991" i="6" s="1" a="1"/>
  <c r="U991" i="6" s="1"/>
  <c r="Q997" i="6"/>
  <c r="M997" i="6"/>
  <c r="I997" i="6"/>
  <c r="V945" i="6"/>
  <c r="V939" i="6" s="1" a="1"/>
  <c r="V939" i="6" s="1"/>
  <c r="R945" i="6"/>
  <c r="N945" i="6"/>
  <c r="J945" i="6"/>
  <c r="L1049" i="6"/>
  <c r="L1043" i="6" s="1"/>
  <c r="H1049" i="6"/>
  <c r="T997" i="6"/>
  <c r="P997" i="6"/>
  <c r="L997" i="6"/>
  <c r="H997" i="6"/>
  <c r="K1049" i="6"/>
  <c r="S997" i="6"/>
  <c r="O997" i="6"/>
  <c r="K997" i="6"/>
  <c r="J1049" i="6"/>
  <c r="R997" i="6"/>
  <c r="U945" i="6"/>
  <c r="U939" i="6" s="1" a="1"/>
  <c r="U939" i="6" s="1"/>
  <c r="P945" i="6"/>
  <c r="K945" i="6"/>
  <c r="G891" i="6"/>
  <c r="G885" i="6" s="1"/>
  <c r="N997" i="6"/>
  <c r="T945" i="6"/>
  <c r="O945" i="6"/>
  <c r="I945" i="6"/>
  <c r="J997" i="6"/>
  <c r="S945" i="6"/>
  <c r="M945" i="6"/>
  <c r="H945" i="6"/>
  <c r="V997" i="6"/>
  <c r="V991" i="6" s="1" a="1"/>
  <c r="V991" i="6" s="1"/>
  <c r="Q945" i="6"/>
  <c r="L945" i="6"/>
  <c r="B2" i="13"/>
  <c r="AD191" i="6"/>
  <c r="AD183" i="6" s="1"/>
  <c r="Z191" i="6"/>
  <c r="V191" i="6"/>
  <c r="R191" i="6"/>
  <c r="N191" i="6"/>
  <c r="J191" i="6"/>
  <c r="U139" i="6"/>
  <c r="Q139" i="6"/>
  <c r="M139" i="6"/>
  <c r="X87" i="6"/>
  <c r="X79" i="6" s="1" a="1"/>
  <c r="X79" i="6" s="1"/>
  <c r="T87" i="6"/>
  <c r="P87" i="6"/>
  <c r="L87" i="6"/>
  <c r="D23" i="6"/>
  <c r="D20" i="6"/>
  <c r="AA191" i="6"/>
  <c r="O191" i="6"/>
  <c r="N139" i="6"/>
  <c r="AC191" i="6"/>
  <c r="Y191" i="6"/>
  <c r="U191" i="6"/>
  <c r="Q191" i="6"/>
  <c r="M191" i="6"/>
  <c r="X139" i="6"/>
  <c r="X131" i="6" s="1" a="1"/>
  <c r="X131" i="6" s="1"/>
  <c r="T139" i="6"/>
  <c r="P139" i="6"/>
  <c r="L139" i="6"/>
  <c r="W87" i="6"/>
  <c r="S87" i="6"/>
  <c r="O87" i="6"/>
  <c r="K87" i="6"/>
  <c r="D22" i="6"/>
  <c r="D21" i="6"/>
  <c r="S191" i="6"/>
  <c r="V139" i="6"/>
  <c r="J139" i="6"/>
  <c r="AB191" i="6"/>
  <c r="X191" i="6"/>
  <c r="T191" i="6"/>
  <c r="P191" i="6"/>
  <c r="L191" i="6"/>
  <c r="W139" i="6"/>
  <c r="S139" i="6"/>
  <c r="O139" i="6"/>
  <c r="K139" i="6"/>
  <c r="V87" i="6"/>
  <c r="R87" i="6"/>
  <c r="N87" i="6"/>
  <c r="J87" i="6"/>
  <c r="W191" i="6"/>
  <c r="K191" i="6"/>
  <c r="R139" i="6"/>
  <c r="Q87" i="6"/>
  <c r="M87" i="6"/>
  <c r="U87" i="6"/>
  <c r="D24" i="6"/>
  <c r="AZ1305" i="6"/>
  <c r="AV1305" i="6"/>
  <c r="AR1305" i="6"/>
  <c r="AN1305" i="6"/>
  <c r="AX1253" i="6"/>
  <c r="AT1253" i="6"/>
  <c r="AP1253" i="6"/>
  <c r="AL1253" i="6"/>
  <c r="AY1201" i="6"/>
  <c r="AU1201" i="6"/>
  <c r="AQ1201" i="6"/>
  <c r="AM1201" i="6"/>
  <c r="AI1147" i="6"/>
  <c r="AE1147" i="6"/>
  <c r="AE1112" i="6" s="1"/>
  <c r="AY1305" i="6"/>
  <c r="AU1305" i="6"/>
  <c r="AQ1305" i="6"/>
  <c r="AM1305" i="6"/>
  <c r="AW1253" i="6"/>
  <c r="AS1253" i="6"/>
  <c r="AO1253" i="6"/>
  <c r="AK1253" i="6"/>
  <c r="AK1218" i="6" s="1" a="1"/>
  <c r="AK1218" i="6" s="1"/>
  <c r="AX1201" i="6"/>
  <c r="AT1201" i="6"/>
  <c r="AP1201" i="6"/>
  <c r="AL1201" i="6"/>
  <c r="AH1147" i="6"/>
  <c r="AX1305" i="6"/>
  <c r="AT1305" i="6"/>
  <c r="AP1305" i="6"/>
  <c r="AL1305" i="6"/>
  <c r="AV1253" i="6"/>
  <c r="AR1253" i="6"/>
  <c r="AN1253" i="6"/>
  <c r="AW1201" i="6"/>
  <c r="AS1201" i="6"/>
  <c r="AO1201" i="6"/>
  <c r="AK1201" i="6"/>
  <c r="AK1166" i="6" s="1" a="1"/>
  <c r="AK1166" i="6" s="1"/>
  <c r="AG1147" i="6"/>
  <c r="AW1305" i="6"/>
  <c r="AS1305" i="6"/>
  <c r="AO1305" i="6"/>
  <c r="AK1305" i="6"/>
  <c r="AK1270" i="6" s="1"/>
  <c r="AY1253" i="6"/>
  <c r="AU1253" i="6"/>
  <c r="AQ1253" i="6"/>
  <c r="AM1253" i="6"/>
  <c r="AV1201" i="6"/>
  <c r="AR1201" i="6"/>
  <c r="AN1201" i="6"/>
  <c r="AJ1147" i="6"/>
  <c r="AF1147" i="6"/>
  <c r="AL1111" i="6"/>
  <c r="J1839" i="6"/>
  <c r="J1840" i="6"/>
  <c r="J660" i="6"/>
  <c r="AR50" i="13"/>
  <c r="AJ660" i="6"/>
  <c r="AR3171" i="6"/>
  <c r="AL20" i="9"/>
  <c r="Z871" i="6"/>
  <c r="Z870" i="6"/>
  <c r="AN36" i="22"/>
  <c r="AO38" i="22"/>
  <c r="AQ59" i="14"/>
  <c r="AM658" i="6"/>
  <c r="AM655" i="6"/>
  <c r="AN653" i="6"/>
  <c r="AN6" i="5"/>
  <c r="AM657" i="6"/>
  <c r="AQ1079" i="6"/>
  <c r="AM1079" i="6"/>
  <c r="AW1027" i="6"/>
  <c r="AS1027" i="6"/>
  <c r="AO1027" i="6"/>
  <c r="AX975" i="6"/>
  <c r="AT975" i="6"/>
  <c r="AP975" i="6"/>
  <c r="AL975" i="6"/>
  <c r="AL939" i="6" s="1" a="1"/>
  <c r="AL939" i="6" s="1"/>
  <c r="AP1079" i="6"/>
  <c r="AL1079" i="6"/>
  <c r="AL1043" i="6" s="1"/>
  <c r="AL1096" i="6" s="1"/>
  <c r="AZ1027" i="6"/>
  <c r="AV1027" i="6"/>
  <c r="AR1027" i="6"/>
  <c r="AN1027" i="6"/>
  <c r="AO1079" i="6"/>
  <c r="AY1027" i="6"/>
  <c r="AU1027" i="6"/>
  <c r="AQ1027" i="6"/>
  <c r="AM1027" i="6"/>
  <c r="AZ975" i="6"/>
  <c r="AV975" i="6"/>
  <c r="AR975" i="6"/>
  <c r="AN975" i="6"/>
  <c r="AN1079" i="6"/>
  <c r="AT1027" i="6"/>
  <c r="AW975" i="6"/>
  <c r="AO975" i="6"/>
  <c r="AP1027" i="6"/>
  <c r="AU975" i="6"/>
  <c r="AM975" i="6"/>
  <c r="AL1027" i="6"/>
  <c r="AL991" i="6" s="1" a="1"/>
  <c r="AL991" i="6" s="1"/>
  <c r="AS975" i="6"/>
  <c r="AK921" i="6"/>
  <c r="AK885" i="6" s="1"/>
  <c r="AX1027" i="6"/>
  <c r="AY975" i="6"/>
  <c r="AQ975" i="6"/>
  <c r="AM884" i="6"/>
  <c r="AA1998" i="6"/>
  <c r="AA1997" i="6"/>
  <c r="F2" i="14"/>
  <c r="W590" i="6"/>
  <c r="S590" i="6"/>
  <c r="O590" i="6"/>
  <c r="K590" i="6"/>
  <c r="V538" i="6"/>
  <c r="R538" i="6"/>
  <c r="N538" i="6"/>
  <c r="V486" i="6"/>
  <c r="R486" i="6"/>
  <c r="N486" i="6"/>
  <c r="H431" i="6"/>
  <c r="Z590" i="6"/>
  <c r="Z581" i="6" s="1"/>
  <c r="V590" i="6"/>
  <c r="R590" i="6"/>
  <c r="N590" i="6"/>
  <c r="Y538" i="6"/>
  <c r="U538" i="6"/>
  <c r="Q538" i="6"/>
  <c r="M538" i="6"/>
  <c r="Y486" i="6"/>
  <c r="Y477" i="6" s="1" a="1"/>
  <c r="Y477" i="6" s="1"/>
  <c r="U486" i="6"/>
  <c r="Q486" i="6"/>
  <c r="M486" i="6"/>
  <c r="T590" i="6"/>
  <c r="L590" i="6"/>
  <c r="S538" i="6"/>
  <c r="K538" i="6"/>
  <c r="W486" i="6"/>
  <c r="O486" i="6"/>
  <c r="Y590" i="6"/>
  <c r="U590" i="6"/>
  <c r="Q590" i="6"/>
  <c r="M590" i="6"/>
  <c r="X538" i="6"/>
  <c r="T538" i="6"/>
  <c r="P538" i="6"/>
  <c r="L538" i="6"/>
  <c r="X486" i="6"/>
  <c r="T486" i="6"/>
  <c r="P486" i="6"/>
  <c r="L486" i="6"/>
  <c r="H432" i="6"/>
  <c r="H430" i="6"/>
  <c r="X590" i="6"/>
  <c r="P590" i="6"/>
  <c r="W538" i="6"/>
  <c r="O538" i="6"/>
  <c r="S486" i="6"/>
  <c r="K486" i="6"/>
  <c r="AI2841" i="6" a="1"/>
  <c r="AI2841" i="6" s="1"/>
  <c r="AL2223" i="6"/>
  <c r="AF475" i="6"/>
  <c r="AF476" i="6"/>
  <c r="AL1443" i="6" a="1"/>
  <c r="AL1443" i="6" s="1"/>
  <c r="AM1559" i="6"/>
  <c r="AM1560" i="6"/>
  <c r="AN1555" i="6"/>
  <c r="AN11" i="5"/>
  <c r="AP46" i="16"/>
  <c r="AQ48" i="16"/>
  <c r="I2064" i="6"/>
  <c r="I2065" i="6"/>
  <c r="G21" i="15"/>
  <c r="I655" i="6"/>
  <c r="AO3004" i="6"/>
  <c r="AO60" i="9"/>
  <c r="AV2758" i="6"/>
  <c r="AR2758" i="6"/>
  <c r="AN2758" i="6"/>
  <c r="AJ2758" i="6"/>
  <c r="AU2706" i="6"/>
  <c r="AQ2706" i="6"/>
  <c r="AM2706" i="6"/>
  <c r="AI2706" i="6"/>
  <c r="AU2758" i="6"/>
  <c r="AP2758" i="6"/>
  <c r="AK2758" i="6"/>
  <c r="AT2706" i="6"/>
  <c r="AO2706" i="6"/>
  <c r="AJ2706" i="6"/>
  <c r="AT2758" i="6"/>
  <c r="AO2758" i="6"/>
  <c r="AI2758" i="6"/>
  <c r="AS2706" i="6"/>
  <c r="AN2706" i="6"/>
  <c r="AH2706" i="6"/>
  <c r="AH2674" i="6" s="1" a="1"/>
  <c r="AH2674" i="6" s="1"/>
  <c r="AS2758" i="6"/>
  <c r="AM2758" i="6"/>
  <c r="AH2758" i="6"/>
  <c r="AH2726" i="6" s="1" a="1"/>
  <c r="AH2726" i="6" s="1"/>
  <c r="AR2706" i="6"/>
  <c r="AL2706" i="6"/>
  <c r="AV2706" i="6"/>
  <c r="AQ2758" i="6"/>
  <c r="AP2706" i="6"/>
  <c r="AL2758" i="6"/>
  <c r="AK2706" i="6"/>
  <c r="AV5" i="9"/>
  <c r="AW5" i="9" s="1"/>
  <c r="H937" i="6"/>
  <c r="H938" i="6"/>
  <c r="AX2426" i="6"/>
  <c r="AT2426" i="6"/>
  <c r="AP2426" i="6"/>
  <c r="AL2426" i="6"/>
  <c r="BH2374" i="6"/>
  <c r="BD2374" i="6"/>
  <c r="AZ2374" i="6"/>
  <c r="AV2374" i="6"/>
  <c r="AR2374" i="6"/>
  <c r="AN2374" i="6"/>
  <c r="BF2322" i="6"/>
  <c r="BB2322" i="6"/>
  <c r="AX2322" i="6"/>
  <c r="AT2322" i="6"/>
  <c r="AP2322" i="6"/>
  <c r="AL2322" i="6"/>
  <c r="AJ2268" i="6"/>
  <c r="AW2426" i="6"/>
  <c r="AS2426" i="6"/>
  <c r="AO2426" i="6"/>
  <c r="AK2426" i="6"/>
  <c r="AK2391" i="6" s="1"/>
  <c r="BG2374" i="6"/>
  <c r="BC2374" i="6"/>
  <c r="AY2374" i="6"/>
  <c r="AU2374" i="6"/>
  <c r="AQ2374" i="6"/>
  <c r="AM2374" i="6"/>
  <c r="BI2322" i="6"/>
  <c r="BE2322" i="6"/>
  <c r="BA2322" i="6"/>
  <c r="AW2322" i="6"/>
  <c r="AS2322" i="6"/>
  <c r="AO2322" i="6"/>
  <c r="AK2322" i="6"/>
  <c r="AK2287" i="6" s="1" a="1"/>
  <c r="AK2287" i="6" s="1"/>
  <c r="AI2268" i="6"/>
  <c r="AZ2426" i="6"/>
  <c r="AV2426" i="6"/>
  <c r="AR2426" i="6"/>
  <c r="AN2426" i="6"/>
  <c r="BF2374" i="6"/>
  <c r="BB2374" i="6"/>
  <c r="AX2374" i="6"/>
  <c r="AT2374" i="6"/>
  <c r="AP2374" i="6"/>
  <c r="AL2374" i="6"/>
  <c r="BH2322" i="6"/>
  <c r="BD2322" i="6"/>
  <c r="AZ2322" i="6"/>
  <c r="AV2322" i="6"/>
  <c r="AR2322" i="6"/>
  <c r="AN2322" i="6"/>
  <c r="AH2268" i="6"/>
  <c r="AH2233" i="6" s="1"/>
  <c r="AL2232" i="6"/>
  <c r="AY2426" i="6"/>
  <c r="AU2426" i="6"/>
  <c r="AQ2426" i="6"/>
  <c r="AM2426" i="6"/>
  <c r="BI2374" i="6"/>
  <c r="BE2374" i="6"/>
  <c r="BA2374" i="6"/>
  <c r="AW2374" i="6"/>
  <c r="AS2374" i="6"/>
  <c r="AO2374" i="6"/>
  <c r="AK2374" i="6"/>
  <c r="AK2339" i="6" s="1" a="1"/>
  <c r="AK2339" i="6" s="1"/>
  <c r="BG2322" i="6"/>
  <c r="BC2322" i="6"/>
  <c r="AY2322" i="6"/>
  <c r="AU2322" i="6"/>
  <c r="AQ2322" i="6"/>
  <c r="AM2322" i="6"/>
  <c r="E16" i="6"/>
  <c r="BC2980" i="6"/>
  <c r="AY2980" i="6"/>
  <c r="AU2980" i="6"/>
  <c r="AQ2980" i="6"/>
  <c r="AM2980" i="6"/>
  <c r="BB2980" i="6"/>
  <c r="AX2980" i="6"/>
  <c r="AT2980" i="6"/>
  <c r="AP2980" i="6"/>
  <c r="AL2980" i="6"/>
  <c r="BA2980" i="6"/>
  <c r="AS2980" i="6"/>
  <c r="AK2980" i="6"/>
  <c r="AZ2980" i="6"/>
  <c r="AR2980" i="6"/>
  <c r="AJ2980" i="6"/>
  <c r="AJ2946" i="6" s="1"/>
  <c r="AJ2840" i="6"/>
  <c r="AW2980" i="6"/>
  <c r="AO2980" i="6"/>
  <c r="AV2980" i="6"/>
  <c r="AN2980" i="6"/>
  <c r="AJ2839" i="6"/>
  <c r="BD2980" i="6"/>
  <c r="AJ2945" i="6"/>
  <c r="AJ2998" i="6" s="1"/>
  <c r="AL1109" i="6"/>
  <c r="AL1110" i="6"/>
  <c r="AM1103" i="6"/>
  <c r="AM9" i="5"/>
  <c r="AL1616" i="6" a="1"/>
  <c r="AL1616" i="6" s="1"/>
  <c r="AN68" i="12"/>
  <c r="AN70" i="13"/>
  <c r="AM48" i="13"/>
  <c r="AT31" i="14"/>
  <c r="AS33" i="14"/>
  <c r="AJ3008" i="6" a="1"/>
  <c r="AJ3008" i="6" s="1"/>
  <c r="Z1772" i="6"/>
  <c r="Z1773" i="6"/>
  <c r="F39" i="23"/>
  <c r="F32" i="21"/>
  <c r="G2009" i="6" s="1"/>
  <c r="F32" i="22"/>
  <c r="G2230" i="6" s="1"/>
  <c r="F32" i="20"/>
  <c r="G1784" i="6" s="1"/>
  <c r="F32" i="19"/>
  <c r="G1559" i="6" s="1"/>
  <c r="F37" i="17"/>
  <c r="G1109" i="6" s="1"/>
  <c r="F32" i="18"/>
  <c r="G1334" i="6" s="1"/>
  <c r="F42" i="16"/>
  <c r="G882" i="6" s="1"/>
  <c r="F34" i="15"/>
  <c r="G657" i="6" s="1"/>
  <c r="F49" i="14"/>
  <c r="G420" i="6" s="1"/>
  <c r="F41" i="13"/>
  <c r="G13" i="6" s="1"/>
  <c r="E7" i="7"/>
  <c r="F17" i="21"/>
  <c r="H2007" i="6"/>
  <c r="AQ46" i="17"/>
  <c r="AJ937" i="6"/>
  <c r="AJ938" i="6"/>
  <c r="AJ1095" i="6" s="1"/>
  <c r="F19" i="17"/>
  <c r="H1105" i="6"/>
  <c r="H1322" i="6" s="1"/>
  <c r="AL2665" i="6"/>
  <c r="AL2664" i="6"/>
  <c r="L45" i="5"/>
  <c r="L47" i="5"/>
  <c r="BF337" i="6"/>
  <c r="BB337" i="6"/>
  <c r="AX337" i="6"/>
  <c r="AT337" i="6"/>
  <c r="AP337" i="6"/>
  <c r="AL337" i="6"/>
  <c r="BG285" i="6"/>
  <c r="BC285" i="6"/>
  <c r="AY285" i="6"/>
  <c r="AU285" i="6"/>
  <c r="AQ285" i="6"/>
  <c r="AM285" i="6"/>
  <c r="BC337" i="6"/>
  <c r="AQ337" i="6"/>
  <c r="BH285" i="6"/>
  <c r="AR285" i="6"/>
  <c r="BE337" i="6"/>
  <c r="BA337" i="6"/>
  <c r="AW337" i="6"/>
  <c r="AS337" i="6"/>
  <c r="AO337" i="6"/>
  <c r="AK337" i="6"/>
  <c r="BF285" i="6"/>
  <c r="BB285" i="6"/>
  <c r="AX285" i="6"/>
  <c r="AT285" i="6"/>
  <c r="AP285" i="6"/>
  <c r="AL285" i="6"/>
  <c r="BG337" i="6"/>
  <c r="AU337" i="6"/>
  <c r="BD285" i="6"/>
  <c r="AN285" i="6"/>
  <c r="BH337" i="6"/>
  <c r="BD337" i="6"/>
  <c r="AZ337" i="6"/>
  <c r="AV337" i="6"/>
  <c r="AR337" i="6"/>
  <c r="AN337" i="6"/>
  <c r="AJ337" i="6"/>
  <c r="AJ303" i="6" s="1" a="1"/>
  <c r="AJ303" i="6" s="1"/>
  <c r="BE285" i="6"/>
  <c r="BA285" i="6"/>
  <c r="AW285" i="6"/>
  <c r="AS285" i="6"/>
  <c r="AO285" i="6"/>
  <c r="AK285" i="6"/>
  <c r="AY337" i="6"/>
  <c r="AM337" i="6"/>
  <c r="AZ285" i="6"/>
  <c r="AV285" i="6"/>
  <c r="AJ285" i="6"/>
  <c r="AJ251" i="6" s="1" a="1"/>
  <c r="AJ251" i="6" s="1"/>
  <c r="AJ409" i="6" s="1"/>
  <c r="G25" i="16"/>
  <c r="I880" i="6"/>
  <c r="AZ2650" i="6"/>
  <c r="AV2650" i="6"/>
  <c r="AR2650" i="6"/>
  <c r="AN2650" i="6"/>
  <c r="AN2612" i="6" s="1"/>
  <c r="AY2598" i="6"/>
  <c r="AU2598" i="6"/>
  <c r="AQ2598" i="6"/>
  <c r="BB2546" i="6"/>
  <c r="AX2546" i="6"/>
  <c r="AT2546" i="6"/>
  <c r="AP2546" i="6"/>
  <c r="AY2650" i="6"/>
  <c r="AT2650" i="6"/>
  <c r="AO2650" i="6"/>
  <c r="BB2598" i="6"/>
  <c r="AW2598" i="6"/>
  <c r="AR2598" i="6"/>
  <c r="AY2546" i="6"/>
  <c r="AS2546" i="6"/>
  <c r="AN2546" i="6"/>
  <c r="AN2508" i="6" s="1" a="1"/>
  <c r="AN2508" i="6" s="1"/>
  <c r="BC2650" i="6"/>
  <c r="AX2650" i="6"/>
  <c r="AS2650" i="6"/>
  <c r="BA2598" i="6"/>
  <c r="AV2598" i="6"/>
  <c r="AP2598" i="6"/>
  <c r="AW2546" i="6"/>
  <c r="AR2546" i="6"/>
  <c r="BB2650" i="6"/>
  <c r="AW2650" i="6"/>
  <c r="AQ2650" i="6"/>
  <c r="AZ2598" i="6"/>
  <c r="AT2598" i="6"/>
  <c r="AO2598" i="6"/>
  <c r="BA2546" i="6"/>
  <c r="AV2546" i="6"/>
  <c r="AQ2546" i="6"/>
  <c r="AP2650" i="6"/>
  <c r="AS2598" i="6"/>
  <c r="AZ2546" i="6"/>
  <c r="AN2598" i="6"/>
  <c r="AN2560" i="6" s="1" a="1"/>
  <c r="AN2560" i="6" s="1"/>
  <c r="AU2546" i="6"/>
  <c r="BA2650" i="6"/>
  <c r="AO2546" i="6"/>
  <c r="AM2492" i="6"/>
  <c r="AM2454" i="6" s="1"/>
  <c r="AU2650" i="6"/>
  <c r="AX2598" i="6"/>
  <c r="AO2453" i="6"/>
  <c r="AO21" i="5"/>
  <c r="AK3002" i="6"/>
  <c r="AK3165" i="6" s="1"/>
  <c r="AK413" i="6"/>
  <c r="AJ635" i="6"/>
  <c r="AK23" i="5" s="1"/>
  <c r="AJ419" i="6"/>
  <c r="AI22" i="9"/>
  <c r="AK15" i="5"/>
  <c r="F17" i="19"/>
  <c r="H1557" i="6"/>
  <c r="AO24" i="9"/>
  <c r="AK2836" i="6"/>
  <c r="AL2836" i="6" s="1"/>
  <c r="AJ3166" i="6" l="1"/>
  <c r="AJ3167" i="6"/>
  <c r="AI3000" i="6"/>
  <c r="AI2999" i="6"/>
  <c r="AH2832" i="6"/>
  <c r="AH2833" i="6"/>
  <c r="J44" i="5"/>
  <c r="J46" i="5"/>
  <c r="AM766" i="6" a="1"/>
  <c r="AM766" i="6" s="1"/>
  <c r="AJ2012" i="6"/>
  <c r="AK1998" i="6"/>
  <c r="AH2285" i="6"/>
  <c r="AH2286" i="6"/>
  <c r="AH2443" i="6" s="1"/>
  <c r="AL1166" i="6" a="1"/>
  <c r="AL1166" i="6" s="1"/>
  <c r="AG476" i="6"/>
  <c r="AG475" i="6"/>
  <c r="AH1840" i="6"/>
  <c r="AH1997" i="6" s="1"/>
  <c r="AH1839" i="6"/>
  <c r="AM2506" i="6"/>
  <c r="AM2507" i="6"/>
  <c r="AM2664" i="6" s="1"/>
  <c r="AT33" i="14"/>
  <c r="AU31" i="14"/>
  <c r="E77" i="6"/>
  <c r="E78" i="6"/>
  <c r="AP3004" i="6"/>
  <c r="AP60" i="9"/>
  <c r="AQ46" i="16"/>
  <c r="AR48" i="16"/>
  <c r="AZ1757" i="6"/>
  <c r="AV1757" i="6"/>
  <c r="AR1757" i="6"/>
  <c r="AN1757" i="6"/>
  <c r="AY1705" i="6"/>
  <c r="AU1705" i="6"/>
  <c r="AQ1705" i="6"/>
  <c r="AM1705" i="6"/>
  <c r="AM1668" i="6" s="1" a="1"/>
  <c r="AM1668" i="6" s="1"/>
  <c r="AX1653" i="6"/>
  <c r="AT1653" i="6"/>
  <c r="AP1653" i="6"/>
  <c r="BA1757" i="6"/>
  <c r="AU1757" i="6"/>
  <c r="AP1757" i="6"/>
  <c r="AX1705" i="6"/>
  <c r="AS1705" i="6"/>
  <c r="AN1705" i="6"/>
  <c r="AW1653" i="6"/>
  <c r="AR1653" i="6"/>
  <c r="AM1653" i="6"/>
  <c r="AM1616" i="6" s="1" a="1"/>
  <c r="AM1616" i="6" s="1"/>
  <c r="AY1757" i="6"/>
  <c r="AT1757" i="6"/>
  <c r="AO1757" i="6"/>
  <c r="AW1705" i="6"/>
  <c r="AR1705" i="6"/>
  <c r="BA1653" i="6"/>
  <c r="AV1653" i="6"/>
  <c r="AQ1653" i="6"/>
  <c r="AL1599" i="6"/>
  <c r="AX1757" i="6"/>
  <c r="AS1757" i="6"/>
  <c r="AM1757" i="6"/>
  <c r="AM1720" i="6" s="1"/>
  <c r="AM1773" i="6" s="1"/>
  <c r="BA1705" i="6"/>
  <c r="AV1705" i="6"/>
  <c r="AP1705" i="6"/>
  <c r="AZ1653" i="6"/>
  <c r="AU1653" i="6"/>
  <c r="AO1653" i="6"/>
  <c r="AK1599" i="6"/>
  <c r="BB1757" i="6"/>
  <c r="AW1757" i="6"/>
  <c r="AQ1757" i="6"/>
  <c r="AZ1705" i="6"/>
  <c r="AT1705" i="6"/>
  <c r="AO1705" i="6"/>
  <c r="AY1653" i="6"/>
  <c r="AS1653" i="6"/>
  <c r="AN1653" i="6"/>
  <c r="AJ1599" i="6"/>
  <c r="AJ1562" i="6" s="1"/>
  <c r="AN1561" i="6"/>
  <c r="AK937" i="6"/>
  <c r="AK938" i="6"/>
  <c r="AK1095" i="6" s="1"/>
  <c r="AR855" i="6"/>
  <c r="AN855" i="6"/>
  <c r="BA803" i="6"/>
  <c r="AW803" i="6"/>
  <c r="AS803" i="6"/>
  <c r="AO803" i="6"/>
  <c r="AX751" i="6"/>
  <c r="AT751" i="6"/>
  <c r="AP751" i="6"/>
  <c r="AQ855" i="6"/>
  <c r="AM855" i="6"/>
  <c r="AM818" i="6" s="1"/>
  <c r="AM871" i="6" s="1"/>
  <c r="AZ803" i="6"/>
  <c r="AV803" i="6"/>
  <c r="AR803" i="6"/>
  <c r="AN803" i="6"/>
  <c r="BA751" i="6"/>
  <c r="AW751" i="6"/>
  <c r="AS751" i="6"/>
  <c r="AO751" i="6"/>
  <c r="AP855" i="6"/>
  <c r="AY803" i="6"/>
  <c r="AU803" i="6"/>
  <c r="AQ803" i="6"/>
  <c r="AM803" i="6"/>
  <c r="AZ751" i="6"/>
  <c r="AV751" i="6"/>
  <c r="AR751" i="6"/>
  <c r="AN751" i="6"/>
  <c r="AL697" i="6"/>
  <c r="AN659" i="6"/>
  <c r="AO855" i="6"/>
  <c r="AX803" i="6"/>
  <c r="AT803" i="6"/>
  <c r="AP803" i="6"/>
  <c r="AY751" i="6"/>
  <c r="AU751" i="6"/>
  <c r="AQ751" i="6"/>
  <c r="AM751" i="6"/>
  <c r="AM714" i="6" s="1" a="1"/>
  <c r="AM714" i="6" s="1"/>
  <c r="AK697" i="6"/>
  <c r="AK660" i="6" s="1"/>
  <c r="AJ713" i="6"/>
  <c r="AJ870" i="6" s="1"/>
  <c r="AJ712" i="6"/>
  <c r="D16" i="6"/>
  <c r="G937" i="6"/>
  <c r="G938" i="6"/>
  <c r="AV3095" i="6"/>
  <c r="AR3095" i="6"/>
  <c r="AN3095" i="6"/>
  <c r="AY3043" i="6"/>
  <c r="AU3043" i="6"/>
  <c r="AQ3043" i="6"/>
  <c r="AM3043" i="6"/>
  <c r="AY3095" i="6"/>
  <c r="AU3095" i="6"/>
  <c r="AQ3095" i="6"/>
  <c r="AM3095" i="6"/>
  <c r="AX3043" i="6"/>
  <c r="AT3043" i="6"/>
  <c r="AP3043" i="6"/>
  <c r="AL3043" i="6"/>
  <c r="AW3095" i="6"/>
  <c r="AO3095" i="6"/>
  <c r="AV3043" i="6"/>
  <c r="AN3043" i="6"/>
  <c r="AT3095" i="6"/>
  <c r="AL3095" i="6"/>
  <c r="AS3043" i="6"/>
  <c r="AK3043" i="6"/>
  <c r="AK3008" i="6" s="1" a="1"/>
  <c r="AK3008" i="6" s="1"/>
  <c r="AS3095" i="6"/>
  <c r="AK3095" i="6"/>
  <c r="AK3060" i="6" s="1" a="1"/>
  <c r="AK3060" i="6" s="1"/>
  <c r="AR3043" i="6"/>
  <c r="AX3095" i="6"/>
  <c r="AW3043" i="6"/>
  <c r="AP3095" i="6"/>
  <c r="AO3043" i="6"/>
  <c r="AL26" i="5"/>
  <c r="G1562" i="6"/>
  <c r="D2" i="19"/>
  <c r="V1727" i="6"/>
  <c r="R1727" i="6"/>
  <c r="N1727" i="6"/>
  <c r="J1727" i="6"/>
  <c r="W1675" i="6"/>
  <c r="W1668" i="6" s="1" a="1"/>
  <c r="W1668" i="6" s="1"/>
  <c r="S1675" i="6"/>
  <c r="O1675" i="6"/>
  <c r="K1675" i="6"/>
  <c r="V1623" i="6"/>
  <c r="R1623" i="6"/>
  <c r="N1623" i="6"/>
  <c r="J1623" i="6"/>
  <c r="W1727" i="6"/>
  <c r="Q1727" i="6"/>
  <c r="L1727" i="6"/>
  <c r="V1675" i="6"/>
  <c r="Q1675" i="6"/>
  <c r="L1675" i="6"/>
  <c r="T1623" i="6"/>
  <c r="O1623" i="6"/>
  <c r="I1623" i="6"/>
  <c r="U1727" i="6"/>
  <c r="P1727" i="6"/>
  <c r="K1727" i="6"/>
  <c r="U1675" i="6"/>
  <c r="P1675" i="6"/>
  <c r="J1675" i="6"/>
  <c r="S1623" i="6"/>
  <c r="M1623" i="6"/>
  <c r="F1569" i="6"/>
  <c r="T1727" i="6"/>
  <c r="O1727" i="6"/>
  <c r="I1727" i="6"/>
  <c r="T1675" i="6"/>
  <c r="N1675" i="6"/>
  <c r="I1675" i="6"/>
  <c r="W1623" i="6"/>
  <c r="W1616" i="6" s="1" a="1"/>
  <c r="W1616" i="6" s="1"/>
  <c r="Q1623" i="6"/>
  <c r="L1623" i="6"/>
  <c r="X1727" i="6"/>
  <c r="X1720" i="6" s="1"/>
  <c r="S1727" i="6"/>
  <c r="M1727" i="6"/>
  <c r="R1675" i="6"/>
  <c r="M1675" i="6"/>
  <c r="U1623" i="6"/>
  <c r="P1623" i="6"/>
  <c r="K1623" i="6"/>
  <c r="F1568" i="6"/>
  <c r="F1562" i="6" s="1"/>
  <c r="D2" i="21"/>
  <c r="U2177" i="6"/>
  <c r="Q2177" i="6"/>
  <c r="M2177" i="6"/>
  <c r="I2177" i="6"/>
  <c r="V2125" i="6"/>
  <c r="R2125" i="6"/>
  <c r="N2125" i="6"/>
  <c r="J2125" i="6"/>
  <c r="U2073" i="6"/>
  <c r="Q2073" i="6"/>
  <c r="M2073" i="6"/>
  <c r="I2073" i="6"/>
  <c r="X2177" i="6"/>
  <c r="X2170" i="6" s="1"/>
  <c r="T2177" i="6"/>
  <c r="P2177" i="6"/>
  <c r="L2177" i="6"/>
  <c r="U2125" i="6"/>
  <c r="Q2125" i="6"/>
  <c r="M2125" i="6"/>
  <c r="I2125" i="6"/>
  <c r="T2073" i="6"/>
  <c r="P2073" i="6"/>
  <c r="L2073" i="6"/>
  <c r="F2019" i="6"/>
  <c r="F2017" i="6"/>
  <c r="W2177" i="6"/>
  <c r="S2177" i="6"/>
  <c r="O2177" i="6"/>
  <c r="K2177" i="6"/>
  <c r="T2125" i="6"/>
  <c r="P2125" i="6"/>
  <c r="L2125" i="6"/>
  <c r="W2073" i="6"/>
  <c r="W2066" i="6" s="1" a="1"/>
  <c r="W2066" i="6" s="1"/>
  <c r="S2073" i="6"/>
  <c r="O2073" i="6"/>
  <c r="K2073" i="6"/>
  <c r="V2177" i="6"/>
  <c r="K2125" i="6"/>
  <c r="J2073" i="6"/>
  <c r="R2177" i="6"/>
  <c r="W2125" i="6"/>
  <c r="W2118" i="6" s="1" a="1"/>
  <c r="W2118" i="6" s="1"/>
  <c r="V2073" i="6"/>
  <c r="N2177" i="6"/>
  <c r="S2125" i="6"/>
  <c r="R2073" i="6"/>
  <c r="J2177" i="6"/>
  <c r="O2125" i="6"/>
  <c r="N2073" i="6"/>
  <c r="F2018" i="6"/>
  <c r="AN2226" i="6"/>
  <c r="AM2230" i="6"/>
  <c r="AM2231" i="6"/>
  <c r="AN13" i="5"/>
  <c r="AH19" i="17"/>
  <c r="AH1105" i="6"/>
  <c r="AK44" i="8"/>
  <c r="AL24" i="8"/>
  <c r="AM1785" i="6"/>
  <c r="AM1784" i="6"/>
  <c r="AN1780" i="6"/>
  <c r="AN12" i="5"/>
  <c r="AN2229" i="6"/>
  <c r="AO2227" i="6"/>
  <c r="AN2225" i="6"/>
  <c r="AL1548" i="6"/>
  <c r="AP1080" i="6"/>
  <c r="AY1028" i="6"/>
  <c r="AU1028" i="6"/>
  <c r="AQ1028" i="6"/>
  <c r="AM1028" i="6"/>
  <c r="AM991" i="6" s="1" a="1"/>
  <c r="AM991" i="6" s="1"/>
  <c r="AM1096" i="6" s="1"/>
  <c r="AZ976" i="6"/>
  <c r="AV976" i="6"/>
  <c r="AR976" i="6"/>
  <c r="AN976" i="6"/>
  <c r="AO1080" i="6"/>
  <c r="AX1028" i="6"/>
  <c r="AT1028" i="6"/>
  <c r="AP1028" i="6"/>
  <c r="AR1080" i="6"/>
  <c r="AN1080" i="6"/>
  <c r="BA1028" i="6"/>
  <c r="AW1028" i="6"/>
  <c r="AS1028" i="6"/>
  <c r="AO1028" i="6"/>
  <c r="AX976" i="6"/>
  <c r="AT976" i="6"/>
  <c r="AP976" i="6"/>
  <c r="AQ1080" i="6"/>
  <c r="AM1080" i="6"/>
  <c r="AM1043" i="6" s="1"/>
  <c r="AV1028" i="6"/>
  <c r="AY976" i="6"/>
  <c r="AQ976" i="6"/>
  <c r="AR1028" i="6"/>
  <c r="AW976" i="6"/>
  <c r="AO976" i="6"/>
  <c r="AL922" i="6"/>
  <c r="AL885" i="6" s="1"/>
  <c r="AN1028" i="6"/>
  <c r="AU976" i="6"/>
  <c r="AM976" i="6"/>
  <c r="AM939" i="6" s="1" a="1"/>
  <c r="AM939" i="6" s="1"/>
  <c r="AN884" i="6"/>
  <c r="AZ1028" i="6"/>
  <c r="BA976" i="6"/>
  <c r="AS976" i="6"/>
  <c r="BB2813" i="6"/>
  <c r="AX2813" i="6"/>
  <c r="AT2813" i="6"/>
  <c r="AP2813" i="6"/>
  <c r="AL2813" i="6"/>
  <c r="BA2813" i="6"/>
  <c r="AV2813" i="6"/>
  <c r="AQ2813" i="6"/>
  <c r="AK2813" i="6"/>
  <c r="AZ2813" i="6"/>
  <c r="AU2813" i="6"/>
  <c r="AO2813" i="6"/>
  <c r="AJ2813" i="6"/>
  <c r="AJ2779" i="6" s="1"/>
  <c r="BC2813" i="6"/>
  <c r="AR2813" i="6"/>
  <c r="AY2813" i="6"/>
  <c r="AN2813" i="6"/>
  <c r="AW2813" i="6"/>
  <c r="AM2813" i="6"/>
  <c r="BD2813" i="6"/>
  <c r="AS2813" i="6"/>
  <c r="AJ2672" i="6"/>
  <c r="AJ2673" i="6"/>
  <c r="AK27" i="5"/>
  <c r="AJ2778" i="6"/>
  <c r="AJ2831" i="6" s="1"/>
  <c r="BC2981" i="6"/>
  <c r="AY2981" i="6"/>
  <c r="AU2981" i="6"/>
  <c r="AQ2981" i="6"/>
  <c r="AM2981" i="6"/>
  <c r="BB2981" i="6"/>
  <c r="AX2981" i="6"/>
  <c r="AT2981" i="6"/>
  <c r="AP2981" i="6"/>
  <c r="AL2981" i="6"/>
  <c r="BE2981" i="6"/>
  <c r="AW2981" i="6"/>
  <c r="AO2981" i="6"/>
  <c r="AK2840" i="6"/>
  <c r="BD2981" i="6"/>
  <c r="AV2981" i="6"/>
  <c r="AN2981" i="6"/>
  <c r="BA2981" i="6"/>
  <c r="AS2981" i="6"/>
  <c r="AK2981" i="6"/>
  <c r="AK2946" i="6" s="1"/>
  <c r="AZ2981" i="6"/>
  <c r="AK2839" i="6"/>
  <c r="AR2981" i="6"/>
  <c r="AK2945" i="6"/>
  <c r="AK2998" i="6" s="1"/>
  <c r="AM2228" i="6"/>
  <c r="AM17" i="21"/>
  <c r="AM2007" i="6"/>
  <c r="E24" i="13"/>
  <c r="G10" i="6"/>
  <c r="AM1102" i="6"/>
  <c r="AN1104" i="6"/>
  <c r="AM1108" i="6"/>
  <c r="AI1614" i="6"/>
  <c r="AI1615" i="6"/>
  <c r="AI1772" i="6" s="1"/>
  <c r="AN1329" i="6"/>
  <c r="AN1333" i="6"/>
  <c r="AO1331" i="6"/>
  <c r="AP36" i="19"/>
  <c r="AQ38" i="19"/>
  <c r="AM23" i="9"/>
  <c r="AV38" i="20"/>
  <c r="AM1779" i="6"/>
  <c r="AM1783" i="6"/>
  <c r="AN1781" i="6"/>
  <c r="AN66" i="14"/>
  <c r="AM57" i="14"/>
  <c r="AM56" i="14" s="1"/>
  <c r="F23" i="14"/>
  <c r="H415" i="6"/>
  <c r="AL92" i="9"/>
  <c r="AL66" i="9"/>
  <c r="AL64" i="9"/>
  <c r="AL61" i="9"/>
  <c r="AM3005" i="6" s="1"/>
  <c r="AL58" i="9"/>
  <c r="AL16" i="9"/>
  <c r="AL8" i="9"/>
  <c r="AM2670" i="6" s="1"/>
  <c r="AL3" i="9"/>
  <c r="AL69" i="9"/>
  <c r="AM93" i="9"/>
  <c r="AL74" i="9"/>
  <c r="AL68" i="9"/>
  <c r="AM2837" i="6" s="1"/>
  <c r="AL65" i="9"/>
  <c r="AL63" i="9"/>
  <c r="AL57" i="9"/>
  <c r="AL4" i="9"/>
  <c r="AM39" i="23"/>
  <c r="AN2451" i="6" s="1"/>
  <c r="AM32" i="22"/>
  <c r="AM32" i="21"/>
  <c r="AM32" i="20"/>
  <c r="AM32" i="19"/>
  <c r="AM32" i="18"/>
  <c r="AM37" i="17"/>
  <c r="AM42" i="16"/>
  <c r="AN882" i="6" s="1"/>
  <c r="AM34" i="15"/>
  <c r="AM41" i="13"/>
  <c r="AN7" i="7"/>
  <c r="AM49" i="14"/>
  <c r="AL35" i="5"/>
  <c r="AK416" i="6"/>
  <c r="AM17" i="18"/>
  <c r="AM1332" i="6"/>
  <c r="AY2207" i="6"/>
  <c r="AU2207" i="6"/>
  <c r="AQ2207" i="6"/>
  <c r="AM2207" i="6"/>
  <c r="AM2170" i="6" s="1"/>
  <c r="AX2155" i="6"/>
  <c r="AT2155" i="6"/>
  <c r="AP2155" i="6"/>
  <c r="BA2103" i="6"/>
  <c r="AW2103" i="6"/>
  <c r="AS2103" i="6"/>
  <c r="AO2103" i="6"/>
  <c r="BB2207" i="6"/>
  <c r="AX2207" i="6"/>
  <c r="AT2207" i="6"/>
  <c r="AP2207" i="6"/>
  <c r="BA2155" i="6"/>
  <c r="AW2155" i="6"/>
  <c r="AS2155" i="6"/>
  <c r="AO2155" i="6"/>
  <c r="AZ2103" i="6"/>
  <c r="AV2103" i="6"/>
  <c r="AR2103" i="6"/>
  <c r="AN2103" i="6"/>
  <c r="AL2049" i="6"/>
  <c r="BA2207" i="6"/>
  <c r="AW2207" i="6"/>
  <c r="AS2207" i="6"/>
  <c r="AO2207" i="6"/>
  <c r="AZ2155" i="6"/>
  <c r="AV2155" i="6"/>
  <c r="AR2155" i="6"/>
  <c r="AN2155" i="6"/>
  <c r="AY2103" i="6"/>
  <c r="AU2103" i="6"/>
  <c r="AQ2103" i="6"/>
  <c r="AM2103" i="6"/>
  <c r="AM2066" i="6" s="1" a="1"/>
  <c r="AM2066" i="6" s="1"/>
  <c r="AK2049" i="6"/>
  <c r="AZ2207" i="6"/>
  <c r="AV2207" i="6"/>
  <c r="AR2207" i="6"/>
  <c r="AN2207" i="6"/>
  <c r="AM2155" i="6"/>
  <c r="AM2118" i="6" s="1" a="1"/>
  <c r="AM2118" i="6" s="1"/>
  <c r="AJ2049" i="6"/>
  <c r="AY2155" i="6"/>
  <c r="AX2103" i="6"/>
  <c r="AU2155" i="6"/>
  <c r="AT2103" i="6"/>
  <c r="AN2011" i="6"/>
  <c r="AQ2155" i="6"/>
  <c r="AP2103" i="6"/>
  <c r="Z1998" i="6"/>
  <c r="Z1997" i="6"/>
  <c r="AO68" i="12"/>
  <c r="AN1559" i="6"/>
  <c r="AN1560" i="6"/>
  <c r="AO1555" i="6"/>
  <c r="AO11" i="5"/>
  <c r="AM1110" i="6"/>
  <c r="AN1103" i="6"/>
  <c r="AM1109" i="6"/>
  <c r="AN9" i="5"/>
  <c r="AJ634" i="6"/>
  <c r="AJ633" i="6"/>
  <c r="AR46" i="17"/>
  <c r="E17" i="21"/>
  <c r="G2007" i="6"/>
  <c r="AO70" i="13"/>
  <c r="AN48" i="13"/>
  <c r="BA1306" i="6"/>
  <c r="AW1306" i="6"/>
  <c r="AS1306" i="6"/>
  <c r="AO1306" i="6"/>
  <c r="AZ1254" i="6"/>
  <c r="AV1254" i="6"/>
  <c r="AR1254" i="6"/>
  <c r="AN1254" i="6"/>
  <c r="AW1202" i="6"/>
  <c r="AS1202" i="6"/>
  <c r="AO1202" i="6"/>
  <c r="AH1148" i="6"/>
  <c r="AZ1306" i="6"/>
  <c r="AV1306" i="6"/>
  <c r="AR1306" i="6"/>
  <c r="AN1306" i="6"/>
  <c r="AY1254" i="6"/>
  <c r="AU1254" i="6"/>
  <c r="AQ1254" i="6"/>
  <c r="AM1254" i="6"/>
  <c r="AZ1202" i="6"/>
  <c r="AV1202" i="6"/>
  <c r="AR1202" i="6"/>
  <c r="AN1202" i="6"/>
  <c r="AK1148" i="6"/>
  <c r="AG1148" i="6"/>
  <c r="AY1306" i="6"/>
  <c r="AU1306" i="6"/>
  <c r="AQ1306" i="6"/>
  <c r="AM1306" i="6"/>
  <c r="AX1254" i="6"/>
  <c r="AT1254" i="6"/>
  <c r="AP1254" i="6"/>
  <c r="AL1254" i="6"/>
  <c r="AL1218" i="6" s="1" a="1"/>
  <c r="AL1218" i="6" s="1"/>
  <c r="AY1202" i="6"/>
  <c r="AU1202" i="6"/>
  <c r="AQ1202" i="6"/>
  <c r="AM1202" i="6"/>
  <c r="AJ1148" i="6"/>
  <c r="AF1148" i="6"/>
  <c r="AF1112" i="6" s="1"/>
  <c r="AM1111" i="6"/>
  <c r="AX1306" i="6"/>
  <c r="AT1306" i="6"/>
  <c r="AP1306" i="6"/>
  <c r="AL1306" i="6"/>
  <c r="AL1270" i="6" s="1"/>
  <c r="AW1254" i="6"/>
  <c r="AS1254" i="6"/>
  <c r="AO1254" i="6"/>
  <c r="AX1202" i="6"/>
  <c r="AT1202" i="6"/>
  <c r="AP1202" i="6"/>
  <c r="AL1202" i="6"/>
  <c r="AI1148" i="6"/>
  <c r="AW2927" i="6"/>
  <c r="AS2927" i="6"/>
  <c r="AO2927" i="6"/>
  <c r="AK2927" i="6"/>
  <c r="AV2875" i="6"/>
  <c r="AR2875" i="6"/>
  <c r="AN2875" i="6"/>
  <c r="AJ2875" i="6"/>
  <c r="AJ2841" i="6" s="1" a="1"/>
  <c r="AJ2841" i="6" s="1"/>
  <c r="AT2927" i="6"/>
  <c r="AN2927" i="6"/>
  <c r="AX2875" i="6"/>
  <c r="AS2875" i="6"/>
  <c r="AM2875" i="6"/>
  <c r="AX2927" i="6"/>
  <c r="AR2927" i="6"/>
  <c r="AM2927" i="6"/>
  <c r="AW2875" i="6"/>
  <c r="AQ2875" i="6"/>
  <c r="AL2875" i="6"/>
  <c r="AV2927" i="6"/>
  <c r="AQ2927" i="6"/>
  <c r="AL2927" i="6"/>
  <c r="AP2927" i="6"/>
  <c r="AT2875" i="6"/>
  <c r="AJ2927" i="6"/>
  <c r="AP2875" i="6"/>
  <c r="AO2875" i="6"/>
  <c r="AU2927" i="6"/>
  <c r="AU2875" i="6"/>
  <c r="AK2875" i="6"/>
  <c r="F21" i="15"/>
  <c r="H655" i="6"/>
  <c r="Z633" i="6"/>
  <c r="Z634" i="6"/>
  <c r="E2" i="14"/>
  <c r="V589" i="6"/>
  <c r="R589" i="6"/>
  <c r="N589" i="6"/>
  <c r="J589" i="6"/>
  <c r="X537" i="6"/>
  <c r="T537" i="6"/>
  <c r="P537" i="6"/>
  <c r="L537" i="6"/>
  <c r="X485" i="6"/>
  <c r="X477" i="6" s="1" a="1"/>
  <c r="X477" i="6" s="1"/>
  <c r="T485" i="6"/>
  <c r="P485" i="6"/>
  <c r="L485" i="6"/>
  <c r="Y589" i="6"/>
  <c r="Y581" i="6" s="1"/>
  <c r="U589" i="6"/>
  <c r="Q589" i="6"/>
  <c r="M589" i="6"/>
  <c r="W537" i="6"/>
  <c r="S537" i="6"/>
  <c r="O537" i="6"/>
  <c r="K537" i="6"/>
  <c r="W485" i="6"/>
  <c r="S485" i="6"/>
  <c r="O485" i="6"/>
  <c r="K485" i="6"/>
  <c r="G431" i="6"/>
  <c r="G429" i="6"/>
  <c r="W589" i="6"/>
  <c r="O589" i="6"/>
  <c r="Q537" i="6"/>
  <c r="U485" i="6"/>
  <c r="M485" i="6"/>
  <c r="X589" i="6"/>
  <c r="T589" i="6"/>
  <c r="P589" i="6"/>
  <c r="L589" i="6"/>
  <c r="V537" i="6"/>
  <c r="R537" i="6"/>
  <c r="N537" i="6"/>
  <c r="J537" i="6"/>
  <c r="V485" i="6"/>
  <c r="R485" i="6"/>
  <c r="N485" i="6"/>
  <c r="J485" i="6"/>
  <c r="S589" i="6"/>
  <c r="K589" i="6"/>
  <c r="U537" i="6"/>
  <c r="M537" i="6"/>
  <c r="Q485" i="6"/>
  <c r="G430" i="6"/>
  <c r="AR59" i="14"/>
  <c r="AL15" i="9"/>
  <c r="AM2671" i="6" s="1"/>
  <c r="AS50" i="13"/>
  <c r="AE1164" i="6"/>
  <c r="AE1165" i="6"/>
  <c r="AE1322" i="6" s="1"/>
  <c r="AH24" i="17"/>
  <c r="AH1107" i="6"/>
  <c r="AI18" i="5" s="1"/>
  <c r="H1389" i="6"/>
  <c r="H1390" i="6"/>
  <c r="AO61" i="12"/>
  <c r="AP61" i="12" s="1"/>
  <c r="AQ61" i="12" s="1"/>
  <c r="AR61" i="12" s="1"/>
  <c r="AS61" i="12" s="1"/>
  <c r="AT61" i="12" s="1"/>
  <c r="AU61" i="12"/>
  <c r="AV61" i="12" s="1"/>
  <c r="H1323" i="6"/>
  <c r="AT3171" i="6"/>
  <c r="E21" i="17"/>
  <c r="G1106" i="6"/>
  <c r="H19" i="5" s="1"/>
  <c r="AE78" i="6"/>
  <c r="AE235" i="6" s="1"/>
  <c r="AF22" i="5"/>
  <c r="AF25" i="5" s="1"/>
  <c r="AF43" i="5" s="1"/>
  <c r="AE77" i="6"/>
  <c r="E17" i="22"/>
  <c r="G2228" i="6"/>
  <c r="AO39" i="18"/>
  <c r="AN36" i="18"/>
  <c r="AN17" i="19"/>
  <c r="AN1557" i="6"/>
  <c r="AY2427" i="6"/>
  <c r="AU2427" i="6"/>
  <c r="AQ2427" i="6"/>
  <c r="AM2427" i="6"/>
  <c r="BH2375" i="6"/>
  <c r="BD2375" i="6"/>
  <c r="AZ2375" i="6"/>
  <c r="AV2375" i="6"/>
  <c r="AR2375" i="6"/>
  <c r="AN2375" i="6"/>
  <c r="BJ2323" i="6"/>
  <c r="BF2323" i="6"/>
  <c r="BB2323" i="6"/>
  <c r="AX2323" i="6"/>
  <c r="AT2323" i="6"/>
  <c r="AP2323" i="6"/>
  <c r="AL2323" i="6"/>
  <c r="AL2287" i="6" s="1" a="1"/>
  <c r="AL2287" i="6" s="1"/>
  <c r="AX2427" i="6"/>
  <c r="AT2427" i="6"/>
  <c r="AP2427" i="6"/>
  <c r="AL2427" i="6"/>
  <c r="AL2391" i="6" s="1"/>
  <c r="BG2375" i="6"/>
  <c r="BC2375" i="6"/>
  <c r="AY2375" i="6"/>
  <c r="AU2375" i="6"/>
  <c r="AQ2375" i="6"/>
  <c r="AM2375" i="6"/>
  <c r="BI2323" i="6"/>
  <c r="BE2323" i="6"/>
  <c r="BA2323" i="6"/>
  <c r="AW2323" i="6"/>
  <c r="AS2323" i="6"/>
  <c r="AO2323" i="6"/>
  <c r="AK2269" i="6"/>
  <c r="AM2232" i="6"/>
  <c r="BA2427" i="6"/>
  <c r="AW2427" i="6"/>
  <c r="AS2427" i="6"/>
  <c r="AO2427" i="6"/>
  <c r="BJ2375" i="6"/>
  <c r="BF2375" i="6"/>
  <c r="BB2375" i="6"/>
  <c r="AX2375" i="6"/>
  <c r="AT2375" i="6"/>
  <c r="AP2375" i="6"/>
  <c r="AL2375" i="6"/>
  <c r="AL2339" i="6" s="1" a="1"/>
  <c r="AL2339" i="6" s="1"/>
  <c r="BH2323" i="6"/>
  <c r="BD2323" i="6"/>
  <c r="AZ2323" i="6"/>
  <c r="AV2323" i="6"/>
  <c r="AR2323" i="6"/>
  <c r="AN2323" i="6"/>
  <c r="AJ2269" i="6"/>
  <c r="AZ2427" i="6"/>
  <c r="AV2427" i="6"/>
  <c r="AR2427" i="6"/>
  <c r="AN2427" i="6"/>
  <c r="BI2375" i="6"/>
  <c r="BE2375" i="6"/>
  <c r="BA2375" i="6"/>
  <c r="AW2375" i="6"/>
  <c r="AS2375" i="6"/>
  <c r="AO2375" i="6"/>
  <c r="BG2323" i="6"/>
  <c r="BC2323" i="6"/>
  <c r="AY2323" i="6"/>
  <c r="AU2323" i="6"/>
  <c r="AQ2323" i="6"/>
  <c r="AM2323" i="6"/>
  <c r="AI2269" i="6"/>
  <c r="AI2233" i="6" s="1"/>
  <c r="AI2064" i="6"/>
  <c r="AI2065" i="6"/>
  <c r="AI2222" i="6" s="1"/>
  <c r="AJ42" i="8"/>
  <c r="AK644" i="6" s="1"/>
  <c r="AJ41" i="8"/>
  <c r="AK642" i="6" s="1"/>
  <c r="AJ43" i="8"/>
  <c r="AK643" i="6" s="1"/>
  <c r="AK645" i="6" s="1"/>
  <c r="AK641" i="6"/>
  <c r="AL33" i="5" s="1"/>
  <c r="AM17" i="20"/>
  <c r="AM1782" i="6"/>
  <c r="AM20" i="9"/>
  <c r="AT38" i="11"/>
  <c r="AN2450" i="6"/>
  <c r="AO2448" i="6"/>
  <c r="AN2449" i="6"/>
  <c r="AO16" i="5"/>
  <c r="AN17" i="22"/>
  <c r="AN2228" i="6"/>
  <c r="AK236" i="6"/>
  <c r="AM14" i="6"/>
  <c r="AN8" i="6"/>
  <c r="AM13" i="6"/>
  <c r="AN3" i="5"/>
  <c r="AN652" i="6"/>
  <c r="AN656" i="6"/>
  <c r="AO654" i="6"/>
  <c r="AG2444" i="6"/>
  <c r="AG2443" i="6"/>
  <c r="AG46" i="5"/>
  <c r="AG44" i="5"/>
  <c r="AP36" i="21"/>
  <c r="AQ38" i="21"/>
  <c r="AL59" i="12"/>
  <c r="AM248" i="6" s="1"/>
  <c r="AM60" i="12"/>
  <c r="AM246" i="6"/>
  <c r="I476" i="6"/>
  <c r="I475" i="6"/>
  <c r="AP61" i="14"/>
  <c r="I660" i="6"/>
  <c r="J22" i="5" s="1"/>
  <c r="J25" i="5" s="1"/>
  <c r="J43" i="5" s="1"/>
  <c r="AT2759" i="6"/>
  <c r="AP2759" i="6"/>
  <c r="AL2759" i="6"/>
  <c r="AW2707" i="6"/>
  <c r="AS2707" i="6"/>
  <c r="AO2707" i="6"/>
  <c r="AK2707" i="6"/>
  <c r="AW2759" i="6"/>
  <c r="AR2759" i="6"/>
  <c r="AM2759" i="6"/>
  <c r="AV2707" i="6"/>
  <c r="AQ2707" i="6"/>
  <c r="AL2707" i="6"/>
  <c r="AV2759" i="6"/>
  <c r="AQ2759" i="6"/>
  <c r="AK2759" i="6"/>
  <c r="AU2707" i="6"/>
  <c r="AP2707" i="6"/>
  <c r="AJ2707" i="6"/>
  <c r="AU2759" i="6"/>
  <c r="AO2759" i="6"/>
  <c r="AJ2759" i="6"/>
  <c r="AT2707" i="6"/>
  <c r="AN2707" i="6"/>
  <c r="AI2707" i="6"/>
  <c r="AI2674" i="6" s="1" a="1"/>
  <c r="AI2674" i="6" s="1"/>
  <c r="AI2759" i="6"/>
  <c r="AI2726" i="6" s="1" a="1"/>
  <c r="AI2726" i="6" s="1"/>
  <c r="AS2759" i="6"/>
  <c r="AR2707" i="6"/>
  <c r="AN2759" i="6"/>
  <c r="AM2707" i="6"/>
  <c r="AP38" i="15"/>
  <c r="AQ40" i="15"/>
  <c r="AL3002" i="6"/>
  <c r="AW616" i="6"/>
  <c r="AS616" i="6"/>
  <c r="AO616" i="6"/>
  <c r="AK616" i="6"/>
  <c r="AK581" i="6" s="1"/>
  <c r="AX564" i="6"/>
  <c r="AT564" i="6"/>
  <c r="AP564" i="6"/>
  <c r="AL564" i="6"/>
  <c r="AX512" i="6"/>
  <c r="AT512" i="6"/>
  <c r="AP512" i="6"/>
  <c r="AL512" i="6"/>
  <c r="AH458" i="6"/>
  <c r="AH423" i="6" s="1"/>
  <c r="AL422" i="6"/>
  <c r="AZ616" i="6"/>
  <c r="AV616" i="6"/>
  <c r="AR616" i="6"/>
  <c r="AN616" i="6"/>
  <c r="AW564" i="6"/>
  <c r="AS564" i="6"/>
  <c r="AO564" i="6"/>
  <c r="AK564" i="6"/>
  <c r="AK529" i="6" s="1" a="1"/>
  <c r="AK529" i="6" s="1"/>
  <c r="AW512" i="6"/>
  <c r="AS512" i="6"/>
  <c r="AO512" i="6"/>
  <c r="AK512" i="6"/>
  <c r="AK477" i="6" s="1" a="1"/>
  <c r="AK477" i="6" s="1"/>
  <c r="AX616" i="6"/>
  <c r="AP616" i="6"/>
  <c r="AU564" i="6"/>
  <c r="AM564" i="6"/>
  <c r="AY512" i="6"/>
  <c r="AQ512" i="6"/>
  <c r="AM512" i="6"/>
  <c r="AI458" i="6"/>
  <c r="AY616" i="6"/>
  <c r="AU616" i="6"/>
  <c r="AQ616" i="6"/>
  <c r="AM616" i="6"/>
  <c r="AV564" i="6"/>
  <c r="AR564" i="6"/>
  <c r="AN564" i="6"/>
  <c r="AV512" i="6"/>
  <c r="AR512" i="6"/>
  <c r="AN512" i="6"/>
  <c r="AJ458" i="6"/>
  <c r="AT616" i="6"/>
  <c r="AL616" i="6"/>
  <c r="AY564" i="6"/>
  <c r="AQ564" i="6"/>
  <c r="AU512" i="6"/>
  <c r="AL420" i="6"/>
  <c r="AL415" i="6"/>
  <c r="AM4" i="5"/>
  <c r="AL421" i="6"/>
  <c r="AL417" i="6"/>
  <c r="AM412" i="6"/>
  <c r="AN2" i="5" s="1"/>
  <c r="AM5" i="5"/>
  <c r="AL418" i="6"/>
  <c r="E2" i="20"/>
  <c r="Y1953" i="6"/>
  <c r="Y1945" i="6" s="1"/>
  <c r="U1953" i="6"/>
  <c r="Q1953" i="6"/>
  <c r="M1953" i="6"/>
  <c r="W1901" i="6"/>
  <c r="S1901" i="6"/>
  <c r="O1901" i="6"/>
  <c r="K1901" i="6"/>
  <c r="V1849" i="6"/>
  <c r="R1849" i="6"/>
  <c r="N1849" i="6"/>
  <c r="J1849" i="6"/>
  <c r="X1953" i="6"/>
  <c r="T1953" i="6"/>
  <c r="P1953" i="6"/>
  <c r="L1953" i="6"/>
  <c r="V1901" i="6"/>
  <c r="R1901" i="6"/>
  <c r="N1901" i="6"/>
  <c r="J1901" i="6"/>
  <c r="U1849" i="6"/>
  <c r="Q1849" i="6"/>
  <c r="M1849" i="6"/>
  <c r="G1795" i="6"/>
  <c r="G1793" i="6"/>
  <c r="W1953" i="6"/>
  <c r="S1953" i="6"/>
  <c r="O1953" i="6"/>
  <c r="K1953" i="6"/>
  <c r="U1901" i="6"/>
  <c r="Q1901" i="6"/>
  <c r="M1901" i="6"/>
  <c r="X1849" i="6"/>
  <c r="X1841" i="6" s="1" a="1"/>
  <c r="X1841" i="6" s="1"/>
  <c r="T1849" i="6"/>
  <c r="P1849" i="6"/>
  <c r="L1849" i="6"/>
  <c r="N1953" i="6"/>
  <c r="T1901" i="6"/>
  <c r="O1849" i="6"/>
  <c r="J1953" i="6"/>
  <c r="P1901" i="6"/>
  <c r="K1849" i="6"/>
  <c r="V1953" i="6"/>
  <c r="L1901" i="6"/>
  <c r="W1849" i="6"/>
  <c r="R1953" i="6"/>
  <c r="X1901" i="6"/>
  <c r="X1893" i="6" s="1" a="1"/>
  <c r="X1893" i="6" s="1"/>
  <c r="S1849" i="6"/>
  <c r="G1794" i="6"/>
  <c r="AU38" i="11"/>
  <c r="AV3171" i="6" s="1"/>
  <c r="AK635" i="6"/>
  <c r="AL23" i="5" s="1"/>
  <c r="AK419" i="6"/>
  <c r="AL413" i="6"/>
  <c r="AJ22" i="9"/>
  <c r="AL15" i="5"/>
  <c r="E19" i="17"/>
  <c r="G1105" i="6"/>
  <c r="G1323" i="6" s="1"/>
  <c r="E17" i="19"/>
  <c r="G1557" i="6"/>
  <c r="E39" i="23"/>
  <c r="E32" i="22"/>
  <c r="F2230" i="6" s="1"/>
  <c r="E32" i="20"/>
  <c r="F1784" i="6" s="1"/>
  <c r="E32" i="19"/>
  <c r="F1559" i="6" s="1"/>
  <c r="E32" i="21"/>
  <c r="F2009" i="6" s="1"/>
  <c r="E37" i="17"/>
  <c r="F1109" i="6" s="1"/>
  <c r="E32" i="18"/>
  <c r="F1334" i="6" s="1"/>
  <c r="E49" i="14"/>
  <c r="F420" i="6" s="1"/>
  <c r="E42" i="16"/>
  <c r="F882" i="6" s="1"/>
  <c r="E34" i="15"/>
  <c r="F657" i="6" s="1"/>
  <c r="E41" i="13"/>
  <c r="F13" i="6" s="1"/>
  <c r="D7" i="7"/>
  <c r="AK2444" i="6"/>
  <c r="H423" i="6"/>
  <c r="AN655" i="6"/>
  <c r="AO653" i="6"/>
  <c r="AO6" i="5"/>
  <c r="AN658" i="6"/>
  <c r="AN657" i="6"/>
  <c r="AD235" i="6"/>
  <c r="AD236" i="6"/>
  <c r="C3" i="16"/>
  <c r="K1047" i="6"/>
  <c r="K1043" i="6" s="1"/>
  <c r="G1047" i="6"/>
  <c r="Q995" i="6"/>
  <c r="M995" i="6"/>
  <c r="I995" i="6"/>
  <c r="R943" i="6"/>
  <c r="N943" i="6"/>
  <c r="J943" i="6"/>
  <c r="F943" i="6"/>
  <c r="J1047" i="6"/>
  <c r="F1047" i="6"/>
  <c r="T995" i="6"/>
  <c r="T991" i="6" s="1" a="1"/>
  <c r="T991" i="6" s="1"/>
  <c r="P995" i="6"/>
  <c r="L995" i="6"/>
  <c r="H995" i="6"/>
  <c r="I1047" i="6"/>
  <c r="S995" i="6"/>
  <c r="O995" i="6"/>
  <c r="K995" i="6"/>
  <c r="G995" i="6"/>
  <c r="H1047" i="6"/>
  <c r="J995" i="6"/>
  <c r="Q943" i="6"/>
  <c r="L943" i="6"/>
  <c r="G943" i="6"/>
  <c r="F995" i="6"/>
  <c r="P943" i="6"/>
  <c r="K943" i="6"/>
  <c r="R995" i="6"/>
  <c r="T943" i="6"/>
  <c r="T939" i="6" s="1" a="1"/>
  <c r="T939" i="6" s="1"/>
  <c r="O943" i="6"/>
  <c r="I943" i="6"/>
  <c r="E889" i="6"/>
  <c r="E885" i="6" s="1"/>
  <c r="N995" i="6"/>
  <c r="S943" i="6"/>
  <c r="M943" i="6"/>
  <c r="H943" i="6"/>
  <c r="Z1547" i="6"/>
  <c r="Z1548" i="6"/>
  <c r="AN1335" i="6"/>
  <c r="AO1330" i="6"/>
  <c r="AN1334" i="6"/>
  <c r="AO10" i="5"/>
  <c r="AN877" i="6"/>
  <c r="AN881" i="6"/>
  <c r="AO879" i="6"/>
  <c r="G2012" i="6"/>
  <c r="Y2223" i="6"/>
  <c r="Y2222" i="6"/>
  <c r="AM38" i="23"/>
  <c r="AM31" i="22"/>
  <c r="AM31" i="21"/>
  <c r="AM31" i="19"/>
  <c r="AM31" i="20"/>
  <c r="AM31" i="18"/>
  <c r="AM36" i="17"/>
  <c r="AM41" i="16"/>
  <c r="AM48" i="14"/>
  <c r="AN6" i="7"/>
  <c r="AM40" i="13"/>
  <c r="AM33" i="15"/>
  <c r="AP24" i="9"/>
  <c r="AQ24" i="9" s="1"/>
  <c r="AS38" i="18"/>
  <c r="AN62" i="12"/>
  <c r="AN883" i="6"/>
  <c r="AN880" i="6"/>
  <c r="AO878" i="6"/>
  <c r="AO7" i="5"/>
  <c r="AV30" i="14"/>
  <c r="AU32" i="14"/>
  <c r="AJ15" i="9"/>
  <c r="AK2671" i="6" s="1"/>
  <c r="AM2665" i="6"/>
  <c r="AN1554" i="6"/>
  <c r="BF219" i="6"/>
  <c r="BB219" i="6"/>
  <c r="AX219" i="6"/>
  <c r="AT219" i="6"/>
  <c r="AP219" i="6"/>
  <c r="AL219" i="6"/>
  <c r="AL183" i="6" s="1"/>
  <c r="AW167" i="6"/>
  <c r="AS167" i="6"/>
  <c r="AO167" i="6"/>
  <c r="AZ115" i="6"/>
  <c r="AV115" i="6"/>
  <c r="AR115" i="6"/>
  <c r="AN115" i="6"/>
  <c r="AI52" i="6"/>
  <c r="AM10" i="6"/>
  <c r="AM20" i="5"/>
  <c r="AY219" i="6"/>
  <c r="AM219" i="6"/>
  <c r="AX167" i="6"/>
  <c r="AL167" i="6"/>
  <c r="AL131" i="6" s="1" a="1"/>
  <c r="AL131" i="6" s="1"/>
  <c r="AS115" i="6"/>
  <c r="BE219" i="6"/>
  <c r="BA219" i="6"/>
  <c r="AW219" i="6"/>
  <c r="AS219" i="6"/>
  <c r="AO219" i="6"/>
  <c r="AZ167" i="6"/>
  <c r="AV167" i="6"/>
  <c r="AR167" i="6"/>
  <c r="AN167" i="6"/>
  <c r="AY115" i="6"/>
  <c r="AU115" i="6"/>
  <c r="AQ115" i="6"/>
  <c r="AM115" i="6"/>
  <c r="AH52" i="6"/>
  <c r="AM11" i="6"/>
  <c r="BC219" i="6"/>
  <c r="AQ219" i="6"/>
  <c r="AT167" i="6"/>
  <c r="AO115" i="6"/>
  <c r="BD219" i="6"/>
  <c r="AZ219" i="6"/>
  <c r="AV219" i="6"/>
  <c r="AR219" i="6"/>
  <c r="AN219" i="6"/>
  <c r="AY167" i="6"/>
  <c r="AU167" i="6"/>
  <c r="AQ167" i="6"/>
  <c r="AM167" i="6"/>
  <c r="AX115" i="6"/>
  <c r="AT115" i="6"/>
  <c r="AP115" i="6"/>
  <c r="AL115" i="6"/>
  <c r="AL79" i="6" s="1" a="1"/>
  <c r="AL79" i="6" s="1"/>
  <c r="AK52" i="6"/>
  <c r="AG52" i="6"/>
  <c r="AU219" i="6"/>
  <c r="AP167" i="6"/>
  <c r="AW115" i="6"/>
  <c r="AJ52" i="6"/>
  <c r="AF52" i="6"/>
  <c r="AF16" i="6" s="1"/>
  <c r="AM15" i="6"/>
  <c r="F2233" i="6"/>
  <c r="C2" i="22"/>
  <c r="U2397" i="6"/>
  <c r="Q2397" i="6"/>
  <c r="M2397" i="6"/>
  <c r="I2397" i="6"/>
  <c r="AF2345" i="6"/>
  <c r="AF2339" i="6" s="1" a="1"/>
  <c r="AF2339" i="6" s="1"/>
  <c r="AB2345" i="6"/>
  <c r="X2345" i="6"/>
  <c r="T2345" i="6"/>
  <c r="P2345" i="6"/>
  <c r="L2345" i="6"/>
  <c r="H2345" i="6"/>
  <c r="AD2293" i="6"/>
  <c r="Z2293" i="6"/>
  <c r="V2293" i="6"/>
  <c r="R2293" i="6"/>
  <c r="N2293" i="6"/>
  <c r="J2293" i="6"/>
  <c r="T2397" i="6"/>
  <c r="P2397" i="6"/>
  <c r="L2397" i="6"/>
  <c r="H2397" i="6"/>
  <c r="AE2345" i="6"/>
  <c r="AA2345" i="6"/>
  <c r="W2345" i="6"/>
  <c r="S2345" i="6"/>
  <c r="O2345" i="6"/>
  <c r="K2345" i="6"/>
  <c r="AC2293" i="6"/>
  <c r="Y2293" i="6"/>
  <c r="U2293" i="6"/>
  <c r="Q2293" i="6"/>
  <c r="M2293" i="6"/>
  <c r="I2293" i="6"/>
  <c r="E2239" i="6"/>
  <c r="E2237" i="6"/>
  <c r="E2233" i="6" s="1"/>
  <c r="W2397" i="6"/>
  <c r="W2391" i="6" s="1"/>
  <c r="S2397" i="6"/>
  <c r="O2397" i="6"/>
  <c r="K2397" i="6"/>
  <c r="AD2345" i="6"/>
  <c r="Z2345" i="6"/>
  <c r="V2345" i="6"/>
  <c r="R2345" i="6"/>
  <c r="N2345" i="6"/>
  <c r="J2345" i="6"/>
  <c r="AF2293" i="6"/>
  <c r="AF2287" i="6" s="1" a="1"/>
  <c r="AF2287" i="6" s="1"/>
  <c r="AB2293" i="6"/>
  <c r="X2293" i="6"/>
  <c r="T2293" i="6"/>
  <c r="P2293" i="6"/>
  <c r="L2293" i="6"/>
  <c r="H2293" i="6"/>
  <c r="V2397" i="6"/>
  <c r="R2397" i="6"/>
  <c r="N2397" i="6"/>
  <c r="J2397" i="6"/>
  <c r="AC2345" i="6"/>
  <c r="Y2345" i="6"/>
  <c r="U2345" i="6"/>
  <c r="Q2345" i="6"/>
  <c r="M2345" i="6"/>
  <c r="I2345" i="6"/>
  <c r="AE2293" i="6"/>
  <c r="AA2293" i="6"/>
  <c r="W2293" i="6"/>
  <c r="S2293" i="6"/>
  <c r="O2293" i="6"/>
  <c r="K2293" i="6"/>
  <c r="E2238" i="6"/>
  <c r="BD392" i="6"/>
  <c r="AZ392" i="6"/>
  <c r="AV392" i="6"/>
  <c r="AR392" i="6"/>
  <c r="AN392" i="6"/>
  <c r="BC392" i="6"/>
  <c r="AY392" i="6"/>
  <c r="AU392" i="6"/>
  <c r="AQ392" i="6"/>
  <c r="AM392" i="6"/>
  <c r="AL249" i="6"/>
  <c r="AM29" i="5"/>
  <c r="BA392" i="6"/>
  <c r="AS392" i="6"/>
  <c r="BF392" i="6"/>
  <c r="BB392" i="6"/>
  <c r="AX392" i="6"/>
  <c r="AT392" i="6"/>
  <c r="AP392" i="6"/>
  <c r="AL392" i="6"/>
  <c r="AL356" i="6" s="1"/>
  <c r="AL250" i="6"/>
  <c r="BE392" i="6"/>
  <c r="AW392" i="6"/>
  <c r="AO392" i="6"/>
  <c r="AL355" i="6"/>
  <c r="AJ36" i="11"/>
  <c r="AJ3170" i="6"/>
  <c r="F17" i="18"/>
  <c r="H1332" i="6"/>
  <c r="AQ39" i="20"/>
  <c r="AP36" i="20"/>
  <c r="AX5" i="9"/>
  <c r="AY5" i="9" s="1"/>
  <c r="AZ5" i="9" s="1"/>
  <c r="F2" i="15"/>
  <c r="M826" i="6"/>
  <c r="W774" i="6"/>
  <c r="S774" i="6"/>
  <c r="O774" i="6"/>
  <c r="K774" i="6"/>
  <c r="X722" i="6"/>
  <c r="X714" i="6" s="1" a="1"/>
  <c r="X714" i="6" s="1"/>
  <c r="T722" i="6"/>
  <c r="P722" i="6"/>
  <c r="L722" i="6"/>
  <c r="L826" i="6"/>
  <c r="V774" i="6"/>
  <c r="R774" i="6"/>
  <c r="N774" i="6"/>
  <c r="J774" i="6"/>
  <c r="W722" i="6"/>
  <c r="S722" i="6"/>
  <c r="O722" i="6"/>
  <c r="K722" i="6"/>
  <c r="H668" i="6"/>
  <c r="O826" i="6"/>
  <c r="O818" i="6" s="1"/>
  <c r="K826" i="6"/>
  <c r="U774" i="6"/>
  <c r="Q774" i="6"/>
  <c r="M774" i="6"/>
  <c r="V722" i="6"/>
  <c r="R722" i="6"/>
  <c r="N722" i="6"/>
  <c r="J722" i="6"/>
  <c r="H667" i="6"/>
  <c r="N826" i="6"/>
  <c r="J826" i="6"/>
  <c r="X774" i="6"/>
  <c r="X766" i="6" s="1" a="1"/>
  <c r="X766" i="6" s="1"/>
  <c r="T774" i="6"/>
  <c r="P774" i="6"/>
  <c r="L774" i="6"/>
  <c r="U722" i="6"/>
  <c r="Q722" i="6"/>
  <c r="M722" i="6"/>
  <c r="E17" i="20"/>
  <c r="G1782" i="6"/>
  <c r="AK72" i="9"/>
  <c r="AK71" i="9"/>
  <c r="AL2838" i="6"/>
  <c r="AP2452" i="6"/>
  <c r="AQ2447" i="6"/>
  <c r="AQ14" i="5"/>
  <c r="E24" i="17"/>
  <c r="G1107" i="6"/>
  <c r="H18" i="5" s="1"/>
  <c r="AO408" i="6"/>
  <c r="AO247" i="6"/>
  <c r="AO244" i="6"/>
  <c r="AP28" i="5" s="1"/>
  <c r="AO245" i="6"/>
  <c r="AO67" i="12"/>
  <c r="AI1389" i="6"/>
  <c r="AI1390" i="6"/>
  <c r="AI1547" i="6" s="1"/>
  <c r="AK414" i="6"/>
  <c r="F25" i="16"/>
  <c r="H880" i="6"/>
  <c r="AO36" i="22"/>
  <c r="AP38" i="22"/>
  <c r="J712" i="6"/>
  <c r="J713" i="6"/>
  <c r="Z190" i="6"/>
  <c r="V190" i="6"/>
  <c r="R190" i="6"/>
  <c r="N190" i="6"/>
  <c r="J190" i="6"/>
  <c r="Z189" i="6"/>
  <c r="V189" i="6"/>
  <c r="R189" i="6"/>
  <c r="N189" i="6"/>
  <c r="J189" i="6"/>
  <c r="Z188" i="6"/>
  <c r="V188" i="6"/>
  <c r="R188" i="6"/>
  <c r="N188" i="6"/>
  <c r="J188" i="6"/>
  <c r="Z187" i="6"/>
  <c r="Z183" i="6" s="1"/>
  <c r="V187" i="6"/>
  <c r="R187" i="6"/>
  <c r="N187" i="6"/>
  <c r="J187" i="6"/>
  <c r="F187" i="6"/>
  <c r="V185" i="6"/>
  <c r="R185" i="6"/>
  <c r="N185" i="6"/>
  <c r="J185" i="6"/>
  <c r="F185" i="6"/>
  <c r="V184" i="6"/>
  <c r="R184" i="6"/>
  <c r="R183" i="6" s="1"/>
  <c r="N184" i="6"/>
  <c r="J184" i="6"/>
  <c r="F184" i="6"/>
  <c r="W138" i="6"/>
  <c r="W131" i="6" s="1" a="1"/>
  <c r="W131" i="6" s="1"/>
  <c r="S138" i="6"/>
  <c r="O138" i="6"/>
  <c r="K138" i="6"/>
  <c r="U137" i="6"/>
  <c r="Q137" i="6"/>
  <c r="M137" i="6"/>
  <c r="I137" i="6"/>
  <c r="S136" i="6"/>
  <c r="O136" i="6"/>
  <c r="K136" i="6"/>
  <c r="G136" i="6"/>
  <c r="Q135" i="6"/>
  <c r="M135" i="6"/>
  <c r="I135" i="6"/>
  <c r="Q133" i="6"/>
  <c r="M133" i="6"/>
  <c r="I133" i="6"/>
  <c r="E133" i="6"/>
  <c r="O132" i="6"/>
  <c r="K132" i="6"/>
  <c r="K131" i="6" s="1" a="1"/>
  <c r="K131" i="6" s="1"/>
  <c r="G132" i="6"/>
  <c r="C132" i="6"/>
  <c r="C131" i="6" s="1" a="1"/>
  <c r="C131" i="6" s="1"/>
  <c r="V86" i="6"/>
  <c r="R86" i="6"/>
  <c r="N86" i="6"/>
  <c r="J86" i="6"/>
  <c r="T85" i="6"/>
  <c r="P85" i="6"/>
  <c r="L85" i="6"/>
  <c r="H85" i="6"/>
  <c r="R84" i="6"/>
  <c r="N84" i="6"/>
  <c r="J84" i="6"/>
  <c r="T83" i="6"/>
  <c r="P83" i="6"/>
  <c r="L83" i="6"/>
  <c r="H83" i="6"/>
  <c r="P81" i="6"/>
  <c r="L81" i="6"/>
  <c r="H81" i="6"/>
  <c r="D81" i="6"/>
  <c r="N80" i="6"/>
  <c r="J80" i="6"/>
  <c r="F80" i="6"/>
  <c r="F79" i="6" s="1" a="1"/>
  <c r="F79" i="6" s="1"/>
  <c r="C18" i="6"/>
  <c r="O190" i="6"/>
  <c r="W189" i="6"/>
  <c r="AA188" i="6"/>
  <c r="AA183" i="6" s="1"/>
  <c r="K188" i="6"/>
  <c r="O187" i="6"/>
  <c r="K185" i="6"/>
  <c r="K184" i="6"/>
  <c r="L138" i="6"/>
  <c r="N137" i="6"/>
  <c r="P136" i="6"/>
  <c r="R135" i="6"/>
  <c r="J133" i="6"/>
  <c r="L132" i="6"/>
  <c r="AC190" i="6"/>
  <c r="AC183" i="6" s="1"/>
  <c r="Y190" i="6"/>
  <c r="U190" i="6"/>
  <c r="Q190" i="6"/>
  <c r="M190" i="6"/>
  <c r="I190" i="6"/>
  <c r="Y189" i="6"/>
  <c r="U189" i="6"/>
  <c r="Q189" i="6"/>
  <c r="M189" i="6"/>
  <c r="I189" i="6"/>
  <c r="Y188" i="6"/>
  <c r="U188" i="6"/>
  <c r="Q188" i="6"/>
  <c r="M188" i="6"/>
  <c r="I188" i="6"/>
  <c r="Y187" i="6"/>
  <c r="U187" i="6"/>
  <c r="Q187" i="6"/>
  <c r="M187" i="6"/>
  <c r="I187" i="6"/>
  <c r="U185" i="6"/>
  <c r="Q185" i="6"/>
  <c r="M185" i="6"/>
  <c r="I185" i="6"/>
  <c r="E185" i="6"/>
  <c r="U184" i="6"/>
  <c r="Q184" i="6"/>
  <c r="M184" i="6"/>
  <c r="I184" i="6"/>
  <c r="I183" i="6" s="1"/>
  <c r="E184" i="6"/>
  <c r="V138" i="6"/>
  <c r="R138" i="6"/>
  <c r="N138" i="6"/>
  <c r="J138" i="6"/>
  <c r="T137" i="6"/>
  <c r="P137" i="6"/>
  <c r="L137" i="6"/>
  <c r="H137" i="6"/>
  <c r="R136" i="6"/>
  <c r="N136" i="6"/>
  <c r="J136" i="6"/>
  <c r="T135" i="6"/>
  <c r="P135" i="6"/>
  <c r="L135" i="6"/>
  <c r="H135" i="6"/>
  <c r="P133" i="6"/>
  <c r="L133" i="6"/>
  <c r="H133" i="6"/>
  <c r="D133" i="6"/>
  <c r="N132" i="6"/>
  <c r="J132" i="6"/>
  <c r="F132" i="6"/>
  <c r="U86" i="6"/>
  <c r="Q86" i="6"/>
  <c r="M86" i="6"/>
  <c r="I86" i="6"/>
  <c r="S85" i="6"/>
  <c r="O85" i="6"/>
  <c r="K85" i="6"/>
  <c r="U84" i="6"/>
  <c r="Q84" i="6"/>
  <c r="M84" i="6"/>
  <c r="I84" i="6"/>
  <c r="S83" i="6"/>
  <c r="O83" i="6"/>
  <c r="K83" i="6"/>
  <c r="G83" i="6"/>
  <c r="O81" i="6"/>
  <c r="K81" i="6"/>
  <c r="G81" i="6"/>
  <c r="Q80" i="6"/>
  <c r="M80" i="6"/>
  <c r="I80" i="6"/>
  <c r="I79" i="6" s="1" a="1"/>
  <c r="I79" i="6" s="1"/>
  <c r="E80" i="6"/>
  <c r="C23" i="6"/>
  <c r="C20" i="6"/>
  <c r="C17" i="6"/>
  <c r="C16" i="6" s="1"/>
  <c r="AA190" i="6"/>
  <c r="S190" i="6"/>
  <c r="AA189" i="6"/>
  <c r="O189" i="6"/>
  <c r="W188" i="6"/>
  <c r="O188" i="6"/>
  <c r="W187" i="6"/>
  <c r="K187" i="6"/>
  <c r="S185" i="6"/>
  <c r="G185" i="6"/>
  <c r="S184" i="6"/>
  <c r="G184" i="6"/>
  <c r="G183" i="6" s="1"/>
  <c r="P138" i="6"/>
  <c r="R137" i="6"/>
  <c r="T136" i="6"/>
  <c r="H136" i="6"/>
  <c r="J135" i="6"/>
  <c r="N133" i="6"/>
  <c r="F133" i="6"/>
  <c r="H132" i="6"/>
  <c r="H131" i="6" s="1" a="1"/>
  <c r="H131" i="6" s="1"/>
  <c r="AB190" i="6"/>
  <c r="X190" i="6"/>
  <c r="T190" i="6"/>
  <c r="P190" i="6"/>
  <c r="L190" i="6"/>
  <c r="AB189" i="6"/>
  <c r="AB183" i="6" s="1"/>
  <c r="X189" i="6"/>
  <c r="T189" i="6"/>
  <c r="P189" i="6"/>
  <c r="L189" i="6"/>
  <c r="H189" i="6"/>
  <c r="X188" i="6"/>
  <c r="T188" i="6"/>
  <c r="P188" i="6"/>
  <c r="L188" i="6"/>
  <c r="H188" i="6"/>
  <c r="X187" i="6"/>
  <c r="T187" i="6"/>
  <c r="P187" i="6"/>
  <c r="L187" i="6"/>
  <c r="H187" i="6"/>
  <c r="X185" i="6"/>
  <c r="T185" i="6"/>
  <c r="P185" i="6"/>
  <c r="L185" i="6"/>
  <c r="H185" i="6"/>
  <c r="D185" i="6"/>
  <c r="T184" i="6"/>
  <c r="T183" i="6" s="1"/>
  <c r="P184" i="6"/>
  <c r="L184" i="6"/>
  <c r="H184" i="6"/>
  <c r="D184" i="6"/>
  <c r="D183" i="6" s="1"/>
  <c r="U138" i="6"/>
  <c r="Q138" i="6"/>
  <c r="M138" i="6"/>
  <c r="I138" i="6"/>
  <c r="S137" i="6"/>
  <c r="O137" i="6"/>
  <c r="K137" i="6"/>
  <c r="U136" i="6"/>
  <c r="U131" i="6" s="1" a="1"/>
  <c r="U131" i="6" s="1"/>
  <c r="Q136" i="6"/>
  <c r="M136" i="6"/>
  <c r="I136" i="6"/>
  <c r="S135" i="6"/>
  <c r="S131" i="6" s="1" a="1"/>
  <c r="S131" i="6" s="1"/>
  <c r="O135" i="6"/>
  <c r="K135" i="6"/>
  <c r="G135" i="6"/>
  <c r="O133" i="6"/>
  <c r="K133" i="6"/>
  <c r="G133" i="6"/>
  <c r="Q132" i="6"/>
  <c r="M132" i="6"/>
  <c r="M131" i="6" s="1" a="1"/>
  <c r="M131" i="6" s="1"/>
  <c r="I132" i="6"/>
  <c r="E132" i="6"/>
  <c r="E131" i="6" s="1" a="1"/>
  <c r="E131" i="6" s="1"/>
  <c r="T86" i="6"/>
  <c r="P86" i="6"/>
  <c r="L86" i="6"/>
  <c r="V85" i="6"/>
  <c r="V79" i="6" s="1" a="1"/>
  <c r="V79" i="6" s="1"/>
  <c r="R85" i="6"/>
  <c r="N85" i="6"/>
  <c r="J85" i="6"/>
  <c r="T84" i="6"/>
  <c r="P84" i="6"/>
  <c r="L84" i="6"/>
  <c r="H84" i="6"/>
  <c r="R83" i="6"/>
  <c r="N83" i="6"/>
  <c r="J83" i="6"/>
  <c r="F83" i="6"/>
  <c r="R81" i="6"/>
  <c r="N81" i="6"/>
  <c r="J81" i="6"/>
  <c r="F81" i="6"/>
  <c r="P80" i="6"/>
  <c r="L80" i="6"/>
  <c r="H80" i="6"/>
  <c r="H79" i="6" s="1" a="1"/>
  <c r="H79" i="6" s="1"/>
  <c r="D80" i="6"/>
  <c r="D79" i="6" s="1" a="1"/>
  <c r="D79" i="6" s="1"/>
  <c r="C22" i="6"/>
  <c r="C21" i="6"/>
  <c r="W190" i="6"/>
  <c r="K190" i="6"/>
  <c r="S189" i="6"/>
  <c r="K189" i="6"/>
  <c r="S188" i="6"/>
  <c r="G188" i="6"/>
  <c r="S187" i="6"/>
  <c r="G187" i="6"/>
  <c r="W185" i="6"/>
  <c r="O185" i="6"/>
  <c r="W184" i="6"/>
  <c r="O184" i="6"/>
  <c r="C184" i="6"/>
  <c r="C183" i="6" s="1"/>
  <c r="T138" i="6"/>
  <c r="V137" i="6"/>
  <c r="V131" i="6" s="1" a="1"/>
  <c r="V131" i="6" s="1"/>
  <c r="J137" i="6"/>
  <c r="L136" i="6"/>
  <c r="N135" i="6"/>
  <c r="F135" i="6"/>
  <c r="R133" i="6"/>
  <c r="P132" i="6"/>
  <c r="P131" i="6" s="1" a="1"/>
  <c r="P131" i="6" s="1"/>
  <c r="D132" i="6"/>
  <c r="O86" i="6"/>
  <c r="M85" i="6"/>
  <c r="K84" i="6"/>
  <c r="I83" i="6"/>
  <c r="Q81" i="6"/>
  <c r="O80" i="6"/>
  <c r="K86" i="6"/>
  <c r="I85" i="6"/>
  <c r="G84" i="6"/>
  <c r="M81" i="6"/>
  <c r="K80" i="6"/>
  <c r="K79" i="6" s="1" a="1"/>
  <c r="K79" i="6" s="1"/>
  <c r="W86" i="6"/>
  <c r="W79" i="6" s="1" a="1"/>
  <c r="W79" i="6" s="1"/>
  <c r="U85" i="6"/>
  <c r="S84" i="6"/>
  <c r="Q83" i="6"/>
  <c r="I81" i="6"/>
  <c r="G80" i="6"/>
  <c r="G79" i="6" s="1" a="1"/>
  <c r="G79" i="6" s="1"/>
  <c r="S86" i="6"/>
  <c r="Q85" i="6"/>
  <c r="O84" i="6"/>
  <c r="M83" i="6"/>
  <c r="E81" i="6"/>
  <c r="C80" i="6"/>
  <c r="C79" i="6" s="1" a="1"/>
  <c r="C79" i="6" s="1"/>
  <c r="V1095" i="6"/>
  <c r="V1096" i="6"/>
  <c r="U1096" i="6"/>
  <c r="U1095" i="6"/>
  <c r="E38" i="23"/>
  <c r="E31" i="22"/>
  <c r="E31" i="21"/>
  <c r="E31" i="20"/>
  <c r="E31" i="19"/>
  <c r="E36" i="17"/>
  <c r="E31" i="18"/>
  <c r="E41" i="16"/>
  <c r="E33" i="15"/>
  <c r="E40" i="13"/>
  <c r="D6" i="7"/>
  <c r="E48" i="14"/>
  <c r="K22" i="5"/>
  <c r="K25" i="5" s="1"/>
  <c r="K43" i="5" s="1"/>
  <c r="AH21" i="17"/>
  <c r="AH1106" i="6"/>
  <c r="AI19" i="5" s="1"/>
  <c r="E2" i="18"/>
  <c r="Y1503" i="6"/>
  <c r="Y1495" i="6" s="1"/>
  <c r="U1503" i="6"/>
  <c r="Q1503" i="6"/>
  <c r="M1503" i="6"/>
  <c r="W1451" i="6"/>
  <c r="S1451" i="6"/>
  <c r="O1451" i="6"/>
  <c r="K1451" i="6"/>
  <c r="V1399" i="6"/>
  <c r="R1399" i="6"/>
  <c r="N1399" i="6"/>
  <c r="J1399" i="6"/>
  <c r="X1503" i="6"/>
  <c r="T1503" i="6"/>
  <c r="P1503" i="6"/>
  <c r="L1503" i="6"/>
  <c r="V1451" i="6"/>
  <c r="R1451" i="6"/>
  <c r="N1451" i="6"/>
  <c r="J1451" i="6"/>
  <c r="U1399" i="6"/>
  <c r="Q1399" i="6"/>
  <c r="M1399" i="6"/>
  <c r="G1345" i="6"/>
  <c r="G1343" i="6"/>
  <c r="W1503" i="6"/>
  <c r="S1503" i="6"/>
  <c r="O1503" i="6"/>
  <c r="K1503" i="6"/>
  <c r="U1451" i="6"/>
  <c r="Q1451" i="6"/>
  <c r="M1451" i="6"/>
  <c r="X1399" i="6"/>
  <c r="X1391" i="6" s="1" a="1"/>
  <c r="X1391" i="6" s="1"/>
  <c r="T1399" i="6"/>
  <c r="P1399" i="6"/>
  <c r="L1399" i="6"/>
  <c r="V1503" i="6"/>
  <c r="R1503" i="6"/>
  <c r="N1503" i="6"/>
  <c r="J1503" i="6"/>
  <c r="X1451" i="6"/>
  <c r="X1443" i="6" s="1" a="1"/>
  <c r="X1443" i="6" s="1"/>
  <c r="T1451" i="6"/>
  <c r="P1451" i="6"/>
  <c r="L1451" i="6"/>
  <c r="W1399" i="6"/>
  <c r="S1399" i="6"/>
  <c r="O1399" i="6"/>
  <c r="K1399" i="6"/>
  <c r="G1344" i="6"/>
  <c r="BB1532" i="6"/>
  <c r="AX1532" i="6"/>
  <c r="AT1532" i="6"/>
  <c r="AP1532" i="6"/>
  <c r="BA1480" i="6"/>
  <c r="AW1480" i="6"/>
  <c r="AS1480" i="6"/>
  <c r="AO1480" i="6"/>
  <c r="AZ1428" i="6"/>
  <c r="AV1428" i="6"/>
  <c r="AR1428" i="6"/>
  <c r="AN1428" i="6"/>
  <c r="AL1374" i="6"/>
  <c r="BA1532" i="6"/>
  <c r="AW1532" i="6"/>
  <c r="AS1532" i="6"/>
  <c r="AO1532" i="6"/>
  <c r="AZ1480" i="6"/>
  <c r="AV1480" i="6"/>
  <c r="AR1480" i="6"/>
  <c r="AN1480" i="6"/>
  <c r="AY1428" i="6"/>
  <c r="AU1428" i="6"/>
  <c r="AQ1428" i="6"/>
  <c r="AM1428" i="6"/>
  <c r="AM1391" i="6" s="1" a="1"/>
  <c r="AM1391" i="6" s="1"/>
  <c r="AK1374" i="6"/>
  <c r="AZ1532" i="6"/>
  <c r="AV1532" i="6"/>
  <c r="AR1532" i="6"/>
  <c r="AN1532" i="6"/>
  <c r="AY1480" i="6"/>
  <c r="AU1480" i="6"/>
  <c r="AQ1480" i="6"/>
  <c r="AM1480" i="6"/>
  <c r="AM1443" i="6" s="1" a="1"/>
  <c r="AM1443" i="6" s="1"/>
  <c r="AX1428" i="6"/>
  <c r="AT1428" i="6"/>
  <c r="AP1428" i="6"/>
  <c r="AJ1374" i="6"/>
  <c r="AJ1337" i="6" s="1"/>
  <c r="AN1336" i="6"/>
  <c r="AY1532" i="6"/>
  <c r="AU1532" i="6"/>
  <c r="AQ1532" i="6"/>
  <c r="AM1532" i="6"/>
  <c r="AM1495" i="6" s="1"/>
  <c r="AM1548" i="6" s="1"/>
  <c r="AX1480" i="6"/>
  <c r="AT1480" i="6"/>
  <c r="AP1480" i="6"/>
  <c r="BA1428" i="6"/>
  <c r="AW1428" i="6"/>
  <c r="AS1428" i="6"/>
  <c r="AO1428" i="6"/>
  <c r="AW22" i="13"/>
  <c r="AX21" i="13"/>
  <c r="Y1772" i="6"/>
  <c r="Y1773" i="6"/>
  <c r="AG1323" i="6"/>
  <c r="AH17" i="5"/>
  <c r="AH24" i="5" s="1"/>
  <c r="AH42" i="5" s="1"/>
  <c r="BA1981" i="6"/>
  <c r="AW1981" i="6"/>
  <c r="AS1981" i="6"/>
  <c r="AO1981" i="6"/>
  <c r="AY1929" i="6"/>
  <c r="AU1929" i="6"/>
  <c r="AQ1929" i="6"/>
  <c r="AM1929" i="6"/>
  <c r="AX1877" i="6"/>
  <c r="AT1877" i="6"/>
  <c r="AP1877" i="6"/>
  <c r="AL1877" i="6"/>
  <c r="AL1841" i="6" s="1" a="1"/>
  <c r="AL1841" i="6" s="1"/>
  <c r="AZ1981" i="6"/>
  <c r="AV1981" i="6"/>
  <c r="AR1981" i="6"/>
  <c r="AN1981" i="6"/>
  <c r="AX1929" i="6"/>
  <c r="AT1929" i="6"/>
  <c r="AP1929" i="6"/>
  <c r="AL1929" i="6"/>
  <c r="AL1893" i="6" s="1" a="1"/>
  <c r="AL1893" i="6" s="1"/>
  <c r="AW1877" i="6"/>
  <c r="AS1877" i="6"/>
  <c r="AO1877" i="6"/>
  <c r="AI1823" i="6"/>
  <c r="AI1787" i="6" s="1"/>
  <c r="AY1981" i="6"/>
  <c r="AU1981" i="6"/>
  <c r="AQ1981" i="6"/>
  <c r="AM1981" i="6"/>
  <c r="AW1929" i="6"/>
  <c r="AS1929" i="6"/>
  <c r="AO1929" i="6"/>
  <c r="AZ1877" i="6"/>
  <c r="AV1877" i="6"/>
  <c r="AR1877" i="6"/>
  <c r="AN1877" i="6"/>
  <c r="AP1981" i="6"/>
  <c r="AR1929" i="6"/>
  <c r="AQ1877" i="6"/>
  <c r="AL1981" i="6"/>
  <c r="AL1945" i="6" s="1"/>
  <c r="AN1929" i="6"/>
  <c r="AM1877" i="6"/>
  <c r="AK1823" i="6"/>
  <c r="AX1981" i="6"/>
  <c r="AZ1929" i="6"/>
  <c r="AY1877" i="6"/>
  <c r="AJ1823" i="6"/>
  <c r="AT1981" i="6"/>
  <c r="AV1929" i="6"/>
  <c r="AU1877" i="6"/>
  <c r="AM1786" i="6"/>
  <c r="AO56" i="17"/>
  <c r="AN44" i="17"/>
  <c r="BF338" i="6"/>
  <c r="BB338" i="6"/>
  <c r="AX338" i="6"/>
  <c r="AT338" i="6"/>
  <c r="AP338" i="6"/>
  <c r="AL338" i="6"/>
  <c r="BG286" i="6"/>
  <c r="BC286" i="6"/>
  <c r="AY286" i="6"/>
  <c r="AU286" i="6"/>
  <c r="AQ286" i="6"/>
  <c r="AM286" i="6"/>
  <c r="BG338" i="6"/>
  <c r="AU338" i="6"/>
  <c r="BH286" i="6"/>
  <c r="AV286" i="6"/>
  <c r="BI338" i="6"/>
  <c r="BE338" i="6"/>
  <c r="BA338" i="6"/>
  <c r="AW338" i="6"/>
  <c r="AS338" i="6"/>
  <c r="AO338" i="6"/>
  <c r="AK338" i="6"/>
  <c r="AK303" i="6" s="1" a="1"/>
  <c r="AK303" i="6" s="1"/>
  <c r="BF286" i="6"/>
  <c r="BB286" i="6"/>
  <c r="AX286" i="6"/>
  <c r="AT286" i="6"/>
  <c r="AP286" i="6"/>
  <c r="AL286" i="6"/>
  <c r="BC338" i="6"/>
  <c r="AQ338" i="6"/>
  <c r="AZ286" i="6"/>
  <c r="AR286" i="6"/>
  <c r="BH338" i="6"/>
  <c r="BD338" i="6"/>
  <c r="AZ338" i="6"/>
  <c r="AV338" i="6"/>
  <c r="AR338" i="6"/>
  <c r="AN338" i="6"/>
  <c r="BI286" i="6"/>
  <c r="BE286" i="6"/>
  <c r="BA286" i="6"/>
  <c r="AW286" i="6"/>
  <c r="AS286" i="6"/>
  <c r="AO286" i="6"/>
  <c r="AK286" i="6"/>
  <c r="AK251" i="6" s="1" a="1"/>
  <c r="AK251" i="6" s="1"/>
  <c r="AK409" i="6" s="1"/>
  <c r="AY338" i="6"/>
  <c r="AM338" i="6"/>
  <c r="BD286" i="6"/>
  <c r="AN286" i="6"/>
  <c r="AM2225" i="6"/>
  <c r="AO2006" i="6"/>
  <c r="AN2004" i="6"/>
  <c r="AN2008" i="6"/>
  <c r="AU103" i="9"/>
  <c r="AQ126" i="14"/>
  <c r="AR128" i="14"/>
  <c r="AK15" i="9"/>
  <c r="AL2671" i="6" s="1"/>
  <c r="AO1554" i="6"/>
  <c r="AO1558" i="6"/>
  <c r="AP1556" i="6"/>
  <c r="I17" i="5"/>
  <c r="I24" i="5" s="1"/>
  <c r="I42" i="5" s="1"/>
  <c r="AJ2893" i="6" a="1"/>
  <c r="AJ2893" i="6" s="1"/>
  <c r="AJ2999" i="6" s="1"/>
  <c r="AE45" i="5"/>
  <c r="AE47" i="5"/>
  <c r="Y871" i="6"/>
  <c r="Y870" i="6"/>
  <c r="AL14" i="13"/>
  <c r="AM7" i="6"/>
  <c r="AM237" i="6"/>
  <c r="AM12" i="6"/>
  <c r="AN9" i="6"/>
  <c r="AM26" i="5"/>
  <c r="BD3149" i="6"/>
  <c r="AZ3149" i="6"/>
  <c r="AV3149" i="6"/>
  <c r="AR3149" i="6"/>
  <c r="AN3149" i="6"/>
  <c r="BC3149" i="6"/>
  <c r="AY3149" i="6"/>
  <c r="AU3149" i="6"/>
  <c r="AQ3149" i="6"/>
  <c r="AM3149" i="6"/>
  <c r="AL3006" i="6"/>
  <c r="BA3149" i="6"/>
  <c r="AS3149" i="6"/>
  <c r="BF3149" i="6"/>
  <c r="AX3149" i="6"/>
  <c r="AP3149" i="6"/>
  <c r="AL3007" i="6"/>
  <c r="BE3149" i="6"/>
  <c r="AW3149" i="6"/>
  <c r="AO3149" i="6"/>
  <c r="AT3149" i="6"/>
  <c r="AL3149" i="6"/>
  <c r="AL3113" i="6" s="1"/>
  <c r="BB3149" i="6"/>
  <c r="AL3112" i="6"/>
  <c r="BA2651" i="6"/>
  <c r="AW2651" i="6"/>
  <c r="AS2651" i="6"/>
  <c r="AO2651" i="6"/>
  <c r="AO2612" i="6" s="1"/>
  <c r="BA2599" i="6"/>
  <c r="AW2599" i="6"/>
  <c r="AS2599" i="6"/>
  <c r="AO2599" i="6"/>
  <c r="AO2560" i="6" s="1" a="1"/>
  <c r="AO2560" i="6" s="1"/>
  <c r="AZ2547" i="6"/>
  <c r="AV2547" i="6"/>
  <c r="AR2547" i="6"/>
  <c r="AZ2651" i="6"/>
  <c r="AU2651" i="6"/>
  <c r="AP2651" i="6"/>
  <c r="AY2599" i="6"/>
  <c r="AT2599" i="6"/>
  <c r="BA2547" i="6"/>
  <c r="AU2547" i="6"/>
  <c r="AP2547" i="6"/>
  <c r="BD2651" i="6"/>
  <c r="AY2651" i="6"/>
  <c r="AT2651" i="6"/>
  <c r="BC2599" i="6"/>
  <c r="AX2599" i="6"/>
  <c r="AR2599" i="6"/>
  <c r="AY2547" i="6"/>
  <c r="AT2547" i="6"/>
  <c r="AO2547" i="6"/>
  <c r="AO2508" i="6" s="1" a="1"/>
  <c r="AO2508" i="6" s="1"/>
  <c r="BC2651" i="6"/>
  <c r="AX2651" i="6"/>
  <c r="AR2651" i="6"/>
  <c r="BB2599" i="6"/>
  <c r="AV2599" i="6"/>
  <c r="AQ2599" i="6"/>
  <c r="BC2547" i="6"/>
  <c r="AX2547" i="6"/>
  <c r="AS2547" i="6"/>
  <c r="AV2651" i="6"/>
  <c r="AZ2599" i="6"/>
  <c r="AQ2651" i="6"/>
  <c r="AU2599" i="6"/>
  <c r="BB2547" i="6"/>
  <c r="AN2493" i="6"/>
  <c r="AN2454" i="6" s="1"/>
  <c r="AP2599" i="6"/>
  <c r="AW2547" i="6"/>
  <c r="AP2453" i="6"/>
  <c r="BB2651" i="6"/>
  <c r="AQ2547" i="6"/>
  <c r="AP21" i="5"/>
  <c r="AN2009" i="6"/>
  <c r="AN2010" i="6"/>
  <c r="AO2005" i="6"/>
  <c r="H1787" i="6"/>
  <c r="AL1773" i="6"/>
  <c r="AV6" i="9"/>
  <c r="AW6" i="9" s="1"/>
  <c r="AX6" i="9" s="1"/>
  <c r="AI2832" i="6" l="1"/>
  <c r="AI2833" i="6"/>
  <c r="AK712" i="6"/>
  <c r="AK713" i="6"/>
  <c r="AK870" i="6" s="1"/>
  <c r="AL236" i="6"/>
  <c r="J47" i="5"/>
  <c r="J45" i="5"/>
  <c r="AL1998" i="6"/>
  <c r="AI2286" i="6"/>
  <c r="AI2443" i="6" s="1"/>
  <c r="AI2285" i="6"/>
  <c r="AK3166" i="6"/>
  <c r="AK3167" i="6"/>
  <c r="AI21" i="17"/>
  <c r="AI1106" i="6"/>
  <c r="AJ19" i="5" s="1"/>
  <c r="C78" i="6"/>
  <c r="C77" i="6"/>
  <c r="Z235" i="6"/>
  <c r="Z236" i="6"/>
  <c r="AP36" i="22"/>
  <c r="AQ38" i="22"/>
  <c r="BC2982" i="6"/>
  <c r="AY2982" i="6"/>
  <c r="AU2982" i="6"/>
  <c r="AQ2982" i="6"/>
  <c r="AM2982" i="6"/>
  <c r="AL2839" i="6"/>
  <c r="BF2982" i="6"/>
  <c r="BB2982" i="6"/>
  <c r="AX2982" i="6"/>
  <c r="AT2982" i="6"/>
  <c r="AP2982" i="6"/>
  <c r="AL2982" i="6"/>
  <c r="AL2946" i="6" s="1"/>
  <c r="BA2982" i="6"/>
  <c r="AS2982" i="6"/>
  <c r="AZ2982" i="6"/>
  <c r="AR2982" i="6"/>
  <c r="BE2982" i="6"/>
  <c r="AW2982" i="6"/>
  <c r="AO2982" i="6"/>
  <c r="AN2982" i="6"/>
  <c r="AL2840" i="6"/>
  <c r="BD2982" i="6"/>
  <c r="AV2982" i="6"/>
  <c r="AL2945" i="6"/>
  <c r="AL2998" i="6" s="1"/>
  <c r="AW30" i="14"/>
  <c r="AV32" i="14"/>
  <c r="H475" i="6"/>
  <c r="H476" i="6"/>
  <c r="AJ3000" i="6"/>
  <c r="AN17" i="20"/>
  <c r="AN1782" i="6"/>
  <c r="AS59" i="14"/>
  <c r="AL71" i="9"/>
  <c r="AL72" i="9"/>
  <c r="AM2838" i="6"/>
  <c r="BB1982" i="6"/>
  <c r="AX1982" i="6"/>
  <c r="AT1982" i="6"/>
  <c r="AP1982" i="6"/>
  <c r="BA1930" i="6"/>
  <c r="AW1930" i="6"/>
  <c r="AS1930" i="6"/>
  <c r="AO1930" i="6"/>
  <c r="AZ1878" i="6"/>
  <c r="AV1878" i="6"/>
  <c r="AR1878" i="6"/>
  <c r="AN1878" i="6"/>
  <c r="BA1982" i="6"/>
  <c r="AW1982" i="6"/>
  <c r="AS1982" i="6"/>
  <c r="AO1982" i="6"/>
  <c r="AZ1930" i="6"/>
  <c r="AV1930" i="6"/>
  <c r="AR1930" i="6"/>
  <c r="AN1930" i="6"/>
  <c r="AY1878" i="6"/>
  <c r="AU1878" i="6"/>
  <c r="AQ1878" i="6"/>
  <c r="AM1878" i="6"/>
  <c r="AM1841" i="6" s="1" a="1"/>
  <c r="AM1841" i="6" s="1"/>
  <c r="AK1824" i="6"/>
  <c r="AZ1982" i="6"/>
  <c r="AV1982" i="6"/>
  <c r="AR1982" i="6"/>
  <c r="AN1982" i="6"/>
  <c r="AY1930" i="6"/>
  <c r="AU1930" i="6"/>
  <c r="AQ1930" i="6"/>
  <c r="AM1930" i="6"/>
  <c r="AM1893" i="6" s="1" a="1"/>
  <c r="AM1893" i="6" s="1"/>
  <c r="AX1878" i="6"/>
  <c r="AT1878" i="6"/>
  <c r="AP1878" i="6"/>
  <c r="AQ1982" i="6"/>
  <c r="AT1930" i="6"/>
  <c r="AS1878" i="6"/>
  <c r="AJ1824" i="6"/>
  <c r="AJ1787" i="6" s="1"/>
  <c r="AM1982" i="6"/>
  <c r="AM1945" i="6" s="1"/>
  <c r="AP1930" i="6"/>
  <c r="AO1878" i="6"/>
  <c r="AY1982" i="6"/>
  <c r="BA1878" i="6"/>
  <c r="AN1786" i="6"/>
  <c r="AU1982" i="6"/>
  <c r="AX1930" i="6"/>
  <c r="AW1878" i="6"/>
  <c r="AL1824" i="6"/>
  <c r="G1614" i="6"/>
  <c r="G1615" i="6"/>
  <c r="AO2010" i="6"/>
  <c r="AP2005" i="6"/>
  <c r="AP1558" i="6"/>
  <c r="AQ1556" i="6"/>
  <c r="BF2815" i="6"/>
  <c r="BB2815" i="6"/>
  <c r="AX2815" i="6"/>
  <c r="AT2815" i="6"/>
  <c r="AP2815" i="6"/>
  <c r="AL2815" i="6"/>
  <c r="AL2673" i="6"/>
  <c r="BD2815" i="6"/>
  <c r="AY2815" i="6"/>
  <c r="AS2815" i="6"/>
  <c r="AN2815" i="6"/>
  <c r="BC2815" i="6"/>
  <c r="AW2815" i="6"/>
  <c r="AR2815" i="6"/>
  <c r="AM2815" i="6"/>
  <c r="BE2815" i="6"/>
  <c r="AU2815" i="6"/>
  <c r="BA2815" i="6"/>
  <c r="AQ2815" i="6"/>
  <c r="AZ2815" i="6"/>
  <c r="AO2815" i="6"/>
  <c r="AV2815" i="6"/>
  <c r="AL2672" i="6"/>
  <c r="AM27" i="5"/>
  <c r="AL2778" i="6"/>
  <c r="G1337" i="6"/>
  <c r="Y1547" i="6"/>
  <c r="Y1548" i="6"/>
  <c r="K45" i="5"/>
  <c r="K47" i="5"/>
  <c r="O79" i="6" a="1"/>
  <c r="O79" i="6" s="1"/>
  <c r="R131" i="6" a="1"/>
  <c r="R131" i="6" s="1"/>
  <c r="R236" i="6" s="1"/>
  <c r="O183" i="6"/>
  <c r="L79" i="6" a="1"/>
  <c r="L79" i="6" s="1"/>
  <c r="Q131" i="6" a="1"/>
  <c r="Q131" i="6" s="1"/>
  <c r="H183" i="6"/>
  <c r="S183" i="6"/>
  <c r="M79" i="6" a="1"/>
  <c r="M79" i="6" s="1"/>
  <c r="S79" i="6" a="1"/>
  <c r="S79" i="6" s="1"/>
  <c r="U79" i="6" a="1"/>
  <c r="U79" i="6" s="1"/>
  <c r="F131" i="6" a="1"/>
  <c r="F131" i="6" s="1"/>
  <c r="M183" i="6"/>
  <c r="Y183" i="6"/>
  <c r="AC235" i="6"/>
  <c r="AC236" i="6"/>
  <c r="J79" i="6" a="1"/>
  <c r="J79" i="6" s="1"/>
  <c r="O131" i="6" a="1"/>
  <c r="O131" i="6" s="1"/>
  <c r="F183" i="6"/>
  <c r="V183" i="6"/>
  <c r="AQ2452" i="6"/>
  <c r="AR2447" i="6"/>
  <c r="AR14" i="5"/>
  <c r="D17" i="20"/>
  <c r="F1782" i="6"/>
  <c r="H660" i="6"/>
  <c r="I22" i="5" s="1"/>
  <c r="I25" i="5" s="1"/>
  <c r="I43" i="5" s="1"/>
  <c r="AL2669" i="6"/>
  <c r="AM2669" i="6" s="1"/>
  <c r="AN2669" i="6" s="1"/>
  <c r="AO62" i="12"/>
  <c r="BC1533" i="6"/>
  <c r="AY1533" i="6"/>
  <c r="AU1533" i="6"/>
  <c r="AQ1533" i="6"/>
  <c r="AY1481" i="6"/>
  <c r="AU1481" i="6"/>
  <c r="AQ1481" i="6"/>
  <c r="BB1429" i="6"/>
  <c r="AX1429" i="6"/>
  <c r="AT1429" i="6"/>
  <c r="AP1429" i="6"/>
  <c r="BB1533" i="6"/>
  <c r="AX1533" i="6"/>
  <c r="AT1533" i="6"/>
  <c r="AP1533" i="6"/>
  <c r="BB1481" i="6"/>
  <c r="AX1481" i="6"/>
  <c r="AT1481" i="6"/>
  <c r="AP1481" i="6"/>
  <c r="BA1429" i="6"/>
  <c r="AW1429" i="6"/>
  <c r="AS1429" i="6"/>
  <c r="AO1429" i="6"/>
  <c r="AM1375" i="6"/>
  <c r="AO1336" i="6"/>
  <c r="BA1533" i="6"/>
  <c r="AW1533" i="6"/>
  <c r="AS1533" i="6"/>
  <c r="AO1533" i="6"/>
  <c r="BA1481" i="6"/>
  <c r="AW1481" i="6"/>
  <c r="AS1481" i="6"/>
  <c r="AO1481" i="6"/>
  <c r="AZ1429" i="6"/>
  <c r="AV1429" i="6"/>
  <c r="AR1429" i="6"/>
  <c r="AN1429" i="6"/>
  <c r="AN1391" i="6" s="1" a="1"/>
  <c r="AN1391" i="6" s="1"/>
  <c r="AL1375" i="6"/>
  <c r="AZ1533" i="6"/>
  <c r="AV1533" i="6"/>
  <c r="AR1533" i="6"/>
  <c r="AN1533" i="6"/>
  <c r="AN1495" i="6" s="1"/>
  <c r="AZ1481" i="6"/>
  <c r="AV1481" i="6"/>
  <c r="AR1481" i="6"/>
  <c r="AN1481" i="6"/>
  <c r="AN1443" i="6" s="1" a="1"/>
  <c r="AN1443" i="6" s="1"/>
  <c r="AY1429" i="6"/>
  <c r="AU1429" i="6"/>
  <c r="AQ1429" i="6"/>
  <c r="AK1375" i="6"/>
  <c r="AK1337" i="6" s="1"/>
  <c r="AQ856" i="6"/>
  <c r="AY804" i="6"/>
  <c r="AU804" i="6"/>
  <c r="AQ804" i="6"/>
  <c r="AZ752" i="6"/>
  <c r="AV752" i="6"/>
  <c r="AR752" i="6"/>
  <c r="AN752" i="6"/>
  <c r="AN714" i="6" s="1" a="1"/>
  <c r="AN714" i="6" s="1"/>
  <c r="AP856" i="6"/>
  <c r="BB804" i="6"/>
  <c r="AX804" i="6"/>
  <c r="AT804" i="6"/>
  <c r="AP804" i="6"/>
  <c r="AY752" i="6"/>
  <c r="AU752" i="6"/>
  <c r="AQ752" i="6"/>
  <c r="AL698" i="6"/>
  <c r="AO659" i="6"/>
  <c r="AS856" i="6"/>
  <c r="AO856" i="6"/>
  <c r="BA804" i="6"/>
  <c r="AW804" i="6"/>
  <c r="AS804" i="6"/>
  <c r="AO804" i="6"/>
  <c r="BB752" i="6"/>
  <c r="AX752" i="6"/>
  <c r="AT752" i="6"/>
  <c r="AP752" i="6"/>
  <c r="AM698" i="6"/>
  <c r="AR856" i="6"/>
  <c r="AN856" i="6"/>
  <c r="AZ804" i="6"/>
  <c r="AV804" i="6"/>
  <c r="AR804" i="6"/>
  <c r="AN804" i="6"/>
  <c r="AN766" i="6" s="1" a="1"/>
  <c r="AN766" i="6" s="1"/>
  <c r="BA752" i="6"/>
  <c r="AW752" i="6"/>
  <c r="AS752" i="6"/>
  <c r="AO752" i="6"/>
  <c r="D19" i="17"/>
  <c r="F1105" i="6"/>
  <c r="F1322" i="6" s="1"/>
  <c r="AL416" i="6"/>
  <c r="AM35" i="5"/>
  <c r="AM59" i="12"/>
  <c r="AN248" i="6" s="1"/>
  <c r="AN60" i="12"/>
  <c r="AN246" i="6"/>
  <c r="AP2448" i="6"/>
  <c r="AO2450" i="6"/>
  <c r="AO2449" i="6"/>
  <c r="AP16" i="5"/>
  <c r="AO17" i="19"/>
  <c r="AO1557" i="6"/>
  <c r="D17" i="22"/>
  <c r="F2228" i="6"/>
  <c r="AF45" i="5"/>
  <c r="AF47" i="5"/>
  <c r="AW61" i="12"/>
  <c r="AX61" i="12" s="1"/>
  <c r="G423" i="6"/>
  <c r="AN1109" i="6"/>
  <c r="AN1110" i="6"/>
  <c r="AO1103" i="6"/>
  <c r="AO9" i="5"/>
  <c r="G1322" i="6"/>
  <c r="AO1560" i="6"/>
  <c r="AP1555" i="6"/>
  <c r="AP11" i="5"/>
  <c r="AN39" i="23"/>
  <c r="AO2451" i="6" s="1"/>
  <c r="AN32" i="22"/>
  <c r="AN32" i="21"/>
  <c r="AO2009" i="6" s="1"/>
  <c r="AN32" i="20"/>
  <c r="AN32" i="19"/>
  <c r="AO1559" i="6" s="1"/>
  <c r="AN32" i="18"/>
  <c r="AN37" i="17"/>
  <c r="AN34" i="15"/>
  <c r="AN42" i="16"/>
  <c r="AN49" i="14"/>
  <c r="AO7" i="7"/>
  <c r="AN41" i="13"/>
  <c r="AM2668" i="6"/>
  <c r="BD3150" i="6"/>
  <c r="AZ3150" i="6"/>
  <c r="AV3150" i="6"/>
  <c r="AR3150" i="6"/>
  <c r="AN3150" i="6"/>
  <c r="AM3006" i="6"/>
  <c r="BG3150" i="6"/>
  <c r="BC3150" i="6"/>
  <c r="AY3150" i="6"/>
  <c r="AU3150" i="6"/>
  <c r="AQ3150" i="6"/>
  <c r="AM3150" i="6"/>
  <c r="AM3113" i="6" s="1"/>
  <c r="AM3007" i="6"/>
  <c r="BE3150" i="6"/>
  <c r="AW3150" i="6"/>
  <c r="AO3150" i="6"/>
  <c r="BB3150" i="6"/>
  <c r="AT3150" i="6"/>
  <c r="BA3150" i="6"/>
  <c r="AS3150" i="6"/>
  <c r="BF3150" i="6"/>
  <c r="AX3150" i="6"/>
  <c r="AP3150" i="6"/>
  <c r="AM3112" i="6"/>
  <c r="AO1781" i="6"/>
  <c r="AN1779" i="6"/>
  <c r="AN1783" i="6"/>
  <c r="AQ36" i="19"/>
  <c r="AR38" i="19"/>
  <c r="AN3003" i="6"/>
  <c r="AP2227" i="6"/>
  <c r="AO2229" i="6"/>
  <c r="AL44" i="8"/>
  <c r="AM24" i="8"/>
  <c r="AI19" i="17"/>
  <c r="AI1105" i="6"/>
  <c r="AN2230" i="6"/>
  <c r="AN2231" i="6"/>
  <c r="AO2226" i="6"/>
  <c r="AO13" i="5"/>
  <c r="AN818" i="6"/>
  <c r="AR46" i="16"/>
  <c r="AS48" i="16"/>
  <c r="AQ3004" i="6"/>
  <c r="AQ60" i="9"/>
  <c r="AV31" i="14"/>
  <c r="AU33" i="14"/>
  <c r="AP68" i="12"/>
  <c r="H1840" i="6"/>
  <c r="H1839" i="6"/>
  <c r="AN2507" i="6"/>
  <c r="AN2506" i="6"/>
  <c r="AX3096" i="6"/>
  <c r="AT3096" i="6"/>
  <c r="AP3096" i="6"/>
  <c r="AL3096" i="6"/>
  <c r="AL3060" i="6" s="1" a="1"/>
  <c r="AL3060" i="6" s="1"/>
  <c r="AW3044" i="6"/>
  <c r="AS3044" i="6"/>
  <c r="AO3044" i="6"/>
  <c r="AW3096" i="6"/>
  <c r="AS3096" i="6"/>
  <c r="AO3096" i="6"/>
  <c r="AZ3044" i="6"/>
  <c r="AV3044" i="6"/>
  <c r="AR3044" i="6"/>
  <c r="AN3044" i="6"/>
  <c r="AY3096" i="6"/>
  <c r="AQ3096" i="6"/>
  <c r="AX3044" i="6"/>
  <c r="AP3044" i="6"/>
  <c r="AV3096" i="6"/>
  <c r="AN3096" i="6"/>
  <c r="AU3044" i="6"/>
  <c r="AM3044" i="6"/>
  <c r="AU3096" i="6"/>
  <c r="AM3096" i="6"/>
  <c r="AT3044" i="6"/>
  <c r="AL3044" i="6"/>
  <c r="AL3008" i="6" s="1" a="1"/>
  <c r="AL3008" i="6" s="1"/>
  <c r="AR3096" i="6"/>
  <c r="AQ3044" i="6"/>
  <c r="AZ3096" i="6"/>
  <c r="AY3044" i="6"/>
  <c r="AM14" i="13"/>
  <c r="AN237" i="6"/>
  <c r="AN12" i="6"/>
  <c r="AO9" i="6"/>
  <c r="AN7" i="6"/>
  <c r="K183" i="6"/>
  <c r="AA235" i="6"/>
  <c r="AA236" i="6"/>
  <c r="AK36" i="11"/>
  <c r="AK3170" i="6"/>
  <c r="AG22" i="5"/>
  <c r="AG25" i="5" s="1"/>
  <c r="AG43" i="5" s="1"/>
  <c r="AF77" i="6"/>
  <c r="AF78" i="6"/>
  <c r="AF235" i="6" s="1"/>
  <c r="AO880" i="6"/>
  <c r="AP878" i="6"/>
  <c r="AO882" i="6"/>
  <c r="AP7" i="5"/>
  <c r="AO883" i="6"/>
  <c r="AO877" i="6"/>
  <c r="AO881" i="6"/>
  <c r="AP879" i="6"/>
  <c r="AH476" i="6"/>
  <c r="AH475" i="6"/>
  <c r="AQ61" i="14"/>
  <c r="AP70" i="13"/>
  <c r="AO48" i="13"/>
  <c r="AW38" i="20"/>
  <c r="AO1104" i="6"/>
  <c r="AN1108" i="6"/>
  <c r="AN1102" i="6"/>
  <c r="D24" i="13"/>
  <c r="F10" i="6"/>
  <c r="AR126" i="14"/>
  <c r="AS128" i="14"/>
  <c r="AO2004" i="6"/>
  <c r="AO2008" i="6"/>
  <c r="AP2006" i="6"/>
  <c r="AI1839" i="6"/>
  <c r="AI1840" i="6"/>
  <c r="AI1997" i="6" s="1"/>
  <c r="AJ1389" i="6"/>
  <c r="AJ1390" i="6"/>
  <c r="AJ1547" i="6" s="1"/>
  <c r="D2" i="18"/>
  <c r="X1502" i="6"/>
  <c r="X1495" i="6" s="1"/>
  <c r="T1502" i="6"/>
  <c r="P1502" i="6"/>
  <c r="L1502" i="6"/>
  <c r="U1450" i="6"/>
  <c r="Q1450" i="6"/>
  <c r="M1450" i="6"/>
  <c r="I1450" i="6"/>
  <c r="T1398" i="6"/>
  <c r="P1398" i="6"/>
  <c r="L1398" i="6"/>
  <c r="F1344" i="6"/>
  <c r="F1342" i="6"/>
  <c r="W1502" i="6"/>
  <c r="S1502" i="6"/>
  <c r="O1502" i="6"/>
  <c r="K1502" i="6"/>
  <c r="T1450" i="6"/>
  <c r="P1450" i="6"/>
  <c r="L1450" i="6"/>
  <c r="W1398" i="6"/>
  <c r="W1391" i="6" s="1" a="1"/>
  <c r="W1391" i="6" s="1"/>
  <c r="S1398" i="6"/>
  <c r="O1398" i="6"/>
  <c r="K1398" i="6"/>
  <c r="V1502" i="6"/>
  <c r="R1502" i="6"/>
  <c r="N1502" i="6"/>
  <c r="J1502" i="6"/>
  <c r="W1450" i="6"/>
  <c r="W1443" i="6" s="1" a="1"/>
  <c r="W1443" i="6" s="1"/>
  <c r="S1450" i="6"/>
  <c r="O1450" i="6"/>
  <c r="K1450" i="6"/>
  <c r="V1398" i="6"/>
  <c r="R1398" i="6"/>
  <c r="N1398" i="6"/>
  <c r="J1398" i="6"/>
  <c r="F1343" i="6"/>
  <c r="U1502" i="6"/>
  <c r="Q1502" i="6"/>
  <c r="M1502" i="6"/>
  <c r="I1502" i="6"/>
  <c r="V1450" i="6"/>
  <c r="R1450" i="6"/>
  <c r="N1450" i="6"/>
  <c r="J1450" i="6"/>
  <c r="U1398" i="6"/>
  <c r="Q1398" i="6"/>
  <c r="M1398" i="6"/>
  <c r="I1398" i="6"/>
  <c r="W183" i="6"/>
  <c r="P79" i="6" a="1"/>
  <c r="P79" i="6" s="1"/>
  <c r="R79" i="6" a="1"/>
  <c r="R79" i="6" s="1"/>
  <c r="R235" i="6" s="1"/>
  <c r="L183" i="6"/>
  <c r="X183" i="6"/>
  <c r="AB236" i="6"/>
  <c r="AB235" i="6"/>
  <c r="Q79" i="6" a="1"/>
  <c r="Q79" i="6" s="1"/>
  <c r="J131" i="6" a="1"/>
  <c r="J131" i="6" s="1"/>
  <c r="Q183" i="6"/>
  <c r="L131" i="6" a="1"/>
  <c r="L131" i="6" s="1"/>
  <c r="N79" i="6" a="1"/>
  <c r="N79" i="6" s="1"/>
  <c r="T79" i="6" a="1"/>
  <c r="T79" i="6" s="1"/>
  <c r="J183" i="6"/>
  <c r="E25" i="16"/>
  <c r="G880" i="6"/>
  <c r="BB2652" i="6"/>
  <c r="AX2652" i="6"/>
  <c r="AT2652" i="6"/>
  <c r="AP2652" i="6"/>
  <c r="AP2612" i="6" s="1"/>
  <c r="BC2600" i="6"/>
  <c r="AY2600" i="6"/>
  <c r="AU2600" i="6"/>
  <c r="AQ2600" i="6"/>
  <c r="BB2548" i="6"/>
  <c r="AX2548" i="6"/>
  <c r="AT2548" i="6"/>
  <c r="AP2548" i="6"/>
  <c r="AP2508" i="6" s="1" a="1"/>
  <c r="AP2508" i="6" s="1"/>
  <c r="BA2652" i="6"/>
  <c r="AV2652" i="6"/>
  <c r="AQ2652" i="6"/>
  <c r="BA2600" i="6"/>
  <c r="AV2600" i="6"/>
  <c r="AP2600" i="6"/>
  <c r="AP2560" i="6" s="1" a="1"/>
  <c r="AP2560" i="6" s="1"/>
  <c r="BC2548" i="6"/>
  <c r="AW2548" i="6"/>
  <c r="AR2548" i="6"/>
  <c r="AO2494" i="6"/>
  <c r="AO2454" i="6" s="1"/>
  <c r="BE2652" i="6"/>
  <c r="AZ2652" i="6"/>
  <c r="AU2652" i="6"/>
  <c r="AZ2600" i="6"/>
  <c r="AT2600" i="6"/>
  <c r="BA2548" i="6"/>
  <c r="AV2548" i="6"/>
  <c r="AQ2548" i="6"/>
  <c r="BD2652" i="6"/>
  <c r="AY2652" i="6"/>
  <c r="AS2652" i="6"/>
  <c r="BD2600" i="6"/>
  <c r="AX2600" i="6"/>
  <c r="AS2600" i="6"/>
  <c r="AZ2548" i="6"/>
  <c r="AU2548" i="6"/>
  <c r="BC2652" i="6"/>
  <c r="AS2548" i="6"/>
  <c r="AW2652" i="6"/>
  <c r="BB2600" i="6"/>
  <c r="AQ2453" i="6"/>
  <c r="AR2652" i="6"/>
  <c r="AW2600" i="6"/>
  <c r="BD2548" i="6"/>
  <c r="AR2600" i="6"/>
  <c r="AY2548" i="6"/>
  <c r="AQ21" i="5"/>
  <c r="X871" i="6"/>
  <c r="X870" i="6"/>
  <c r="E2" i="15"/>
  <c r="N825" i="6"/>
  <c r="N818" i="6" s="1"/>
  <c r="J825" i="6"/>
  <c r="U773" i="6"/>
  <c r="Q773" i="6"/>
  <c r="M773" i="6"/>
  <c r="I773" i="6"/>
  <c r="V721" i="6"/>
  <c r="R721" i="6"/>
  <c r="N721" i="6"/>
  <c r="J721" i="6"/>
  <c r="M825" i="6"/>
  <c r="I825" i="6"/>
  <c r="T773" i="6"/>
  <c r="P773" i="6"/>
  <c r="L773" i="6"/>
  <c r="U721" i="6"/>
  <c r="Q721" i="6"/>
  <c r="M721" i="6"/>
  <c r="I721" i="6"/>
  <c r="L825" i="6"/>
  <c r="W773" i="6"/>
  <c r="W766" i="6" s="1" a="1"/>
  <c r="W766" i="6" s="1"/>
  <c r="S773" i="6"/>
  <c r="O773" i="6"/>
  <c r="K773" i="6"/>
  <c r="T721" i="6"/>
  <c r="P721" i="6"/>
  <c r="L721" i="6"/>
  <c r="K825" i="6"/>
  <c r="V773" i="6"/>
  <c r="R773" i="6"/>
  <c r="N773" i="6"/>
  <c r="J773" i="6"/>
  <c r="W721" i="6"/>
  <c r="W714" i="6" s="1" a="1"/>
  <c r="W714" i="6" s="1"/>
  <c r="S721" i="6"/>
  <c r="O721" i="6"/>
  <c r="K721" i="6"/>
  <c r="G667" i="6"/>
  <c r="G666" i="6"/>
  <c r="G660" i="6" s="1"/>
  <c r="E17" i="18"/>
  <c r="G1332" i="6"/>
  <c r="AF2443" i="6"/>
  <c r="AF2444" i="6"/>
  <c r="BB2814" i="6"/>
  <c r="AX2814" i="6"/>
  <c r="AT2814" i="6"/>
  <c r="AP2814" i="6"/>
  <c r="AL2814" i="6"/>
  <c r="AK2672" i="6"/>
  <c r="BC2814" i="6"/>
  <c r="AW2814" i="6"/>
  <c r="AR2814" i="6"/>
  <c r="AM2814" i="6"/>
  <c r="BA2814" i="6"/>
  <c r="AV2814" i="6"/>
  <c r="AQ2814" i="6"/>
  <c r="AK2814" i="6"/>
  <c r="AK2779" i="6" s="1"/>
  <c r="BD2814" i="6"/>
  <c r="AS2814" i="6"/>
  <c r="AZ2814" i="6"/>
  <c r="AO2814" i="6"/>
  <c r="AY2814" i="6"/>
  <c r="AN2814" i="6"/>
  <c r="BE2814" i="6"/>
  <c r="AU2814" i="6"/>
  <c r="AK2673" i="6"/>
  <c r="AL27" i="5"/>
  <c r="AK2778" i="6"/>
  <c r="AK2831" i="6" s="1"/>
  <c r="AS1081" i="6"/>
  <c r="AO1081" i="6"/>
  <c r="BA1029" i="6"/>
  <c r="AW1029" i="6"/>
  <c r="AS1029" i="6"/>
  <c r="AO1029" i="6"/>
  <c r="BB977" i="6"/>
  <c r="AX977" i="6"/>
  <c r="AT977" i="6"/>
  <c r="AP977" i="6"/>
  <c r="AR1081" i="6"/>
  <c r="AN1081" i="6"/>
  <c r="AN1043" i="6" s="1"/>
  <c r="AZ1029" i="6"/>
  <c r="AV1029" i="6"/>
  <c r="AR1029" i="6"/>
  <c r="AN1029" i="6"/>
  <c r="AN991" i="6" s="1" a="1"/>
  <c r="AN991" i="6" s="1"/>
  <c r="AQ1081" i="6"/>
  <c r="AY1029" i="6"/>
  <c r="AU1029" i="6"/>
  <c r="AQ1029" i="6"/>
  <c r="AZ977" i="6"/>
  <c r="AV977" i="6"/>
  <c r="AR977" i="6"/>
  <c r="AN977" i="6"/>
  <c r="AN939" i="6" s="1" a="1"/>
  <c r="AN939" i="6" s="1"/>
  <c r="AP1081" i="6"/>
  <c r="AX1029" i="6"/>
  <c r="BA977" i="6"/>
  <c r="AS977" i="6"/>
  <c r="AM923" i="6"/>
  <c r="AM885" i="6" s="1"/>
  <c r="AT1029" i="6"/>
  <c r="AY977" i="6"/>
  <c r="AQ977" i="6"/>
  <c r="AO884" i="6"/>
  <c r="AP1029" i="6"/>
  <c r="AW977" i="6"/>
  <c r="AO977" i="6"/>
  <c r="BB1029" i="6"/>
  <c r="AU977" i="6"/>
  <c r="AT38" i="18"/>
  <c r="E937" i="6"/>
  <c r="E938" i="6"/>
  <c r="D39" i="23"/>
  <c r="D32" i="22"/>
  <c r="E2230" i="6" s="1"/>
  <c r="D32" i="21"/>
  <c r="E2009" i="6" s="1"/>
  <c r="D32" i="19"/>
  <c r="E1559" i="6" s="1"/>
  <c r="D32" i="20"/>
  <c r="E1784" i="6" s="1"/>
  <c r="D32" i="18"/>
  <c r="E1334" i="6" s="1"/>
  <c r="D37" i="17"/>
  <c r="E1109" i="6" s="1"/>
  <c r="D42" i="16"/>
  <c r="E882" i="6" s="1"/>
  <c r="D49" i="14"/>
  <c r="E420" i="6" s="1"/>
  <c r="C7" i="7"/>
  <c r="D34" i="15"/>
  <c r="E657" i="6" s="1"/>
  <c r="D41" i="13"/>
  <c r="E13" i="6" s="1"/>
  <c r="AL419" i="6"/>
  <c r="AM413" i="6"/>
  <c r="AL635" i="6"/>
  <c r="AM23" i="5" s="1"/>
  <c r="AK22" i="9"/>
  <c r="AM15" i="5"/>
  <c r="G1787" i="6"/>
  <c r="Y1997" i="6"/>
  <c r="Y1998" i="6"/>
  <c r="AX617" i="6"/>
  <c r="AT617" i="6"/>
  <c r="AP617" i="6"/>
  <c r="AL617" i="6"/>
  <c r="AL581" i="6" s="1"/>
  <c r="AZ565" i="6"/>
  <c r="AV565" i="6"/>
  <c r="AR565" i="6"/>
  <c r="AN565" i="6"/>
  <c r="AZ513" i="6"/>
  <c r="AV513" i="6"/>
  <c r="AR513" i="6"/>
  <c r="AN513" i="6"/>
  <c r="AJ459" i="6"/>
  <c r="BA617" i="6"/>
  <c r="AW617" i="6"/>
  <c r="AS617" i="6"/>
  <c r="AO617" i="6"/>
  <c r="AY565" i="6"/>
  <c r="AU565" i="6"/>
  <c r="AQ565" i="6"/>
  <c r="AM565" i="6"/>
  <c r="AY513" i="6"/>
  <c r="AU513" i="6"/>
  <c r="AQ513" i="6"/>
  <c r="AM513" i="6"/>
  <c r="AI459" i="6"/>
  <c r="AI423" i="6" s="1"/>
  <c r="AY617" i="6"/>
  <c r="AQ617" i="6"/>
  <c r="AW565" i="6"/>
  <c r="AO565" i="6"/>
  <c r="AW513" i="6"/>
  <c r="AZ617" i="6"/>
  <c r="AV617" i="6"/>
  <c r="AR617" i="6"/>
  <c r="AN617" i="6"/>
  <c r="AX565" i="6"/>
  <c r="AT565" i="6"/>
  <c r="AP565" i="6"/>
  <c r="AL565" i="6"/>
  <c r="AL529" i="6" s="1" a="1"/>
  <c r="AL529" i="6" s="1"/>
  <c r="AX513" i="6"/>
  <c r="AT513" i="6"/>
  <c r="AP513" i="6"/>
  <c r="AL513" i="6"/>
  <c r="AL477" i="6" s="1" a="1"/>
  <c r="AL477" i="6" s="1"/>
  <c r="AU617" i="6"/>
  <c r="AM617" i="6"/>
  <c r="AS565" i="6"/>
  <c r="AS513" i="6"/>
  <c r="AO513" i="6"/>
  <c r="AK459" i="6"/>
  <c r="AM422" i="6"/>
  <c r="AL414" i="6"/>
  <c r="I712" i="6"/>
  <c r="I713" i="6"/>
  <c r="BD393" i="6"/>
  <c r="AZ393" i="6"/>
  <c r="AV393" i="6"/>
  <c r="AR393" i="6"/>
  <c r="AN393" i="6"/>
  <c r="AM249" i="6"/>
  <c r="AN29" i="5"/>
  <c r="BG393" i="6"/>
  <c r="BC393" i="6"/>
  <c r="AY393" i="6"/>
  <c r="AU393" i="6"/>
  <c r="AQ393" i="6"/>
  <c r="AM393" i="6"/>
  <c r="AM356" i="6" s="1"/>
  <c r="AM250" i="6"/>
  <c r="BE393" i="6"/>
  <c r="AW393" i="6"/>
  <c r="AO393" i="6"/>
  <c r="BF393" i="6"/>
  <c r="BB393" i="6"/>
  <c r="AX393" i="6"/>
  <c r="AT393" i="6"/>
  <c r="AP393" i="6"/>
  <c r="BA393" i="6"/>
  <c r="AS393" i="6"/>
  <c r="AM355" i="6"/>
  <c r="AN14" i="6"/>
  <c r="AO8" i="6"/>
  <c r="AN13" i="6"/>
  <c r="AO3" i="5"/>
  <c r="AO17" i="22"/>
  <c r="AO2228" i="6"/>
  <c r="AN2665" i="6"/>
  <c r="AN2664" i="6"/>
  <c r="AM15" i="9"/>
  <c r="AN2671" i="6" s="1"/>
  <c r="AY61" i="12"/>
  <c r="BF2816" i="6"/>
  <c r="BB2816" i="6"/>
  <c r="AX2816" i="6"/>
  <c r="AT2816" i="6"/>
  <c r="AP2816" i="6"/>
  <c r="BE2816" i="6"/>
  <c r="AZ2816" i="6"/>
  <c r="AU2816" i="6"/>
  <c r="AO2816" i="6"/>
  <c r="BD2816" i="6"/>
  <c r="AY2816" i="6"/>
  <c r="AS2816" i="6"/>
  <c r="AN2816" i="6"/>
  <c r="BG2816" i="6"/>
  <c r="AV2816" i="6"/>
  <c r="BC2816" i="6"/>
  <c r="AR2816" i="6"/>
  <c r="BA2816" i="6"/>
  <c r="AQ2816" i="6"/>
  <c r="AM2816" i="6"/>
  <c r="AM2779" i="6" s="1"/>
  <c r="AM2673" i="6"/>
  <c r="AW2816" i="6"/>
  <c r="AM2672" i="6"/>
  <c r="AN27" i="5"/>
  <c r="AM2778" i="6"/>
  <c r="Y633" i="6"/>
  <c r="Y634" i="6"/>
  <c r="D17" i="21"/>
  <c r="F2007" i="6"/>
  <c r="AM2836" i="6"/>
  <c r="AN2836" i="6" s="1"/>
  <c r="BB1307" i="6"/>
  <c r="AX1307" i="6"/>
  <c r="AT1307" i="6"/>
  <c r="AP1307" i="6"/>
  <c r="AX1255" i="6"/>
  <c r="AT1255" i="6"/>
  <c r="AP1255" i="6"/>
  <c r="AY1203" i="6"/>
  <c r="AU1203" i="6"/>
  <c r="AQ1203" i="6"/>
  <c r="AM1203" i="6"/>
  <c r="AM1166" i="6" s="1" a="1"/>
  <c r="AM1166" i="6" s="1"/>
  <c r="AK1149" i="6"/>
  <c r="AG1149" i="6"/>
  <c r="AG1112" i="6" s="1"/>
  <c r="BA1307" i="6"/>
  <c r="AW1307" i="6"/>
  <c r="AS1307" i="6"/>
  <c r="AO1307" i="6"/>
  <c r="BA1255" i="6"/>
  <c r="AW1255" i="6"/>
  <c r="AS1255" i="6"/>
  <c r="AO1255" i="6"/>
  <c r="AX1203" i="6"/>
  <c r="AT1203" i="6"/>
  <c r="AP1203" i="6"/>
  <c r="AJ1149" i="6"/>
  <c r="AN1111" i="6"/>
  <c r="AZ1307" i="6"/>
  <c r="AV1307" i="6"/>
  <c r="AR1307" i="6"/>
  <c r="AN1307" i="6"/>
  <c r="AZ1255" i="6"/>
  <c r="AV1255" i="6"/>
  <c r="AR1255" i="6"/>
  <c r="AN1255" i="6"/>
  <c r="BA1203" i="6"/>
  <c r="AW1203" i="6"/>
  <c r="AS1203" i="6"/>
  <c r="AO1203" i="6"/>
  <c r="AI1149" i="6"/>
  <c r="AY1307" i="6"/>
  <c r="AU1307" i="6"/>
  <c r="AQ1307" i="6"/>
  <c r="AM1307" i="6"/>
  <c r="AM1270" i="6" s="1"/>
  <c r="AY1255" i="6"/>
  <c r="AU1255" i="6"/>
  <c r="AQ1255" i="6"/>
  <c r="AM1255" i="6"/>
  <c r="AM1218" i="6" s="1" a="1"/>
  <c r="AM1218" i="6" s="1"/>
  <c r="AZ1203" i="6"/>
  <c r="AV1203" i="6"/>
  <c r="AR1203" i="6"/>
  <c r="AN1203" i="6"/>
  <c r="AL1149" i="6"/>
  <c r="AH1149" i="6"/>
  <c r="BA1758" i="6"/>
  <c r="AW1758" i="6"/>
  <c r="AS1758" i="6"/>
  <c r="AO1758" i="6"/>
  <c r="BA1706" i="6"/>
  <c r="AW1706" i="6"/>
  <c r="AS1706" i="6"/>
  <c r="AO1706" i="6"/>
  <c r="AZ1654" i="6"/>
  <c r="AV1654" i="6"/>
  <c r="AR1654" i="6"/>
  <c r="AN1654" i="6"/>
  <c r="AN1616" i="6" s="1" a="1"/>
  <c r="AN1616" i="6" s="1"/>
  <c r="BB1758" i="6"/>
  <c r="AV1758" i="6"/>
  <c r="AQ1758" i="6"/>
  <c r="AZ1706" i="6"/>
  <c r="AU1706" i="6"/>
  <c r="AP1706" i="6"/>
  <c r="AY1654" i="6"/>
  <c r="AT1654" i="6"/>
  <c r="AO1654" i="6"/>
  <c r="AK1600" i="6"/>
  <c r="AK1562" i="6" s="1"/>
  <c r="AZ1758" i="6"/>
  <c r="AU1758" i="6"/>
  <c r="AP1758" i="6"/>
  <c r="AY1706" i="6"/>
  <c r="AT1706" i="6"/>
  <c r="AN1706" i="6"/>
  <c r="AN1668" i="6" s="1" a="1"/>
  <c r="AN1668" i="6" s="1"/>
  <c r="AX1654" i="6"/>
  <c r="AS1654" i="6"/>
  <c r="AY1758" i="6"/>
  <c r="AT1758" i="6"/>
  <c r="AN1758" i="6"/>
  <c r="AN1720" i="6" s="1"/>
  <c r="AX1706" i="6"/>
  <c r="AR1706" i="6"/>
  <c r="BB1654" i="6"/>
  <c r="AW1654" i="6"/>
  <c r="AQ1654" i="6"/>
  <c r="AM1600" i="6"/>
  <c r="AO1561" i="6"/>
  <c r="BC1758" i="6"/>
  <c r="AX1758" i="6"/>
  <c r="AR1758" i="6"/>
  <c r="BB1706" i="6"/>
  <c r="AV1706" i="6"/>
  <c r="AQ1706" i="6"/>
  <c r="BA1654" i="6"/>
  <c r="AU1654" i="6"/>
  <c r="AP1654" i="6"/>
  <c r="AL1600" i="6"/>
  <c r="AM3002" i="6"/>
  <c r="AM3165" i="6" s="1"/>
  <c r="E23" i="14"/>
  <c r="G415" i="6"/>
  <c r="AN23" i="9"/>
  <c r="AO23" i="9" s="1"/>
  <c r="AY2928" i="6"/>
  <c r="AU2928" i="6"/>
  <c r="AQ2928" i="6"/>
  <c r="AM2928" i="6"/>
  <c r="AX2876" i="6"/>
  <c r="AT2876" i="6"/>
  <c r="AP2876" i="6"/>
  <c r="AL2876" i="6"/>
  <c r="AV2928" i="6"/>
  <c r="AP2928" i="6"/>
  <c r="AK2928" i="6"/>
  <c r="AK2893" i="6" s="1" a="1"/>
  <c r="AK2893" i="6" s="1"/>
  <c r="AU2876" i="6"/>
  <c r="AO2876" i="6"/>
  <c r="AT2928" i="6"/>
  <c r="AO2928" i="6"/>
  <c r="AY2876" i="6"/>
  <c r="AS2876" i="6"/>
  <c r="AN2876" i="6"/>
  <c r="AX2928" i="6"/>
  <c r="AS2928" i="6"/>
  <c r="AN2928" i="6"/>
  <c r="AW2928" i="6"/>
  <c r="AQ2876" i="6"/>
  <c r="AR2928" i="6"/>
  <c r="AW2876" i="6"/>
  <c r="AM2876" i="6"/>
  <c r="AL2928" i="6"/>
  <c r="AV2876" i="6"/>
  <c r="AK2876" i="6"/>
  <c r="AK2841" i="6" s="1" a="1"/>
  <c r="AK2841" i="6" s="1"/>
  <c r="AR2876" i="6"/>
  <c r="AY6" i="9"/>
  <c r="AL938" i="6"/>
  <c r="AL1095" i="6" s="1"/>
  <c r="AL937" i="6"/>
  <c r="AM2223" i="6"/>
  <c r="AO1780" i="6"/>
  <c r="AN1785" i="6"/>
  <c r="AN1784" i="6"/>
  <c r="AO12" i="5"/>
  <c r="AK41" i="8"/>
  <c r="AL642" i="6" s="1"/>
  <c r="AK43" i="8"/>
  <c r="AL643" i="6" s="1"/>
  <c r="AL645" i="6" s="1"/>
  <c r="AK42" i="8"/>
  <c r="AL644" i="6" s="1"/>
  <c r="AL641" i="6"/>
  <c r="AM33" i="5" s="1"/>
  <c r="F2012" i="6"/>
  <c r="X2222" i="6"/>
  <c r="X2223" i="6"/>
  <c r="D77" i="6"/>
  <c r="D78" i="6"/>
  <c r="AL660" i="6"/>
  <c r="E2285" i="6"/>
  <c r="E2286" i="6"/>
  <c r="F2285" i="6"/>
  <c r="F2286" i="6"/>
  <c r="AP1330" i="6"/>
  <c r="AO1334" i="6"/>
  <c r="AO1335" i="6"/>
  <c r="AP10" i="5"/>
  <c r="AM420" i="6"/>
  <c r="AM415" i="6"/>
  <c r="AN4" i="5"/>
  <c r="AM421" i="6"/>
  <c r="AM417" i="6"/>
  <c r="AN412" i="6"/>
  <c r="AN5" i="5"/>
  <c r="AM414" i="6"/>
  <c r="AM418" i="6"/>
  <c r="AQ38" i="15"/>
  <c r="AR40" i="15"/>
  <c r="D21" i="17"/>
  <c r="F1106" i="6"/>
  <c r="G19" i="5" s="1"/>
  <c r="AT50" i="13"/>
  <c r="AO66" i="14"/>
  <c r="AN57" i="14"/>
  <c r="AN56" i="14" s="1"/>
  <c r="AV2760" i="6"/>
  <c r="AR2760" i="6"/>
  <c r="AN2760" i="6"/>
  <c r="AJ2760" i="6"/>
  <c r="AJ2726" i="6" s="1" a="1"/>
  <c r="AJ2726" i="6" s="1"/>
  <c r="AU2708" i="6"/>
  <c r="AQ2708" i="6"/>
  <c r="AM2708" i="6"/>
  <c r="AT2760" i="6"/>
  <c r="AO2760" i="6"/>
  <c r="AX2708" i="6"/>
  <c r="AS2708" i="6"/>
  <c r="AN2708" i="6"/>
  <c r="AX2760" i="6"/>
  <c r="AS2760" i="6"/>
  <c r="AM2760" i="6"/>
  <c r="AW2708" i="6"/>
  <c r="AR2708" i="6"/>
  <c r="AL2708" i="6"/>
  <c r="AW2760" i="6"/>
  <c r="AQ2760" i="6"/>
  <c r="AL2760" i="6"/>
  <c r="AV2708" i="6"/>
  <c r="AP2708" i="6"/>
  <c r="AK2708" i="6"/>
  <c r="AP2760" i="6"/>
  <c r="AO2708" i="6"/>
  <c r="AK2760" i="6"/>
  <c r="AJ2708" i="6"/>
  <c r="AJ2674" i="6" s="1" a="1"/>
  <c r="AJ2674" i="6" s="1"/>
  <c r="AU2760" i="6"/>
  <c r="AT2708" i="6"/>
  <c r="AH1323" i="6"/>
  <c r="AI17" i="5"/>
  <c r="AI24" i="5" s="1"/>
  <c r="AI42" i="5" s="1"/>
  <c r="AZ2208" i="6"/>
  <c r="AV2208" i="6"/>
  <c r="AR2208" i="6"/>
  <c r="AN2208" i="6"/>
  <c r="AN2170" i="6" s="1"/>
  <c r="AZ2156" i="6"/>
  <c r="AV2156" i="6"/>
  <c r="AR2156" i="6"/>
  <c r="AN2156" i="6"/>
  <c r="AN2118" i="6" s="1" a="1"/>
  <c r="AN2118" i="6" s="1"/>
  <c r="AY2104" i="6"/>
  <c r="AU2104" i="6"/>
  <c r="AQ2104" i="6"/>
  <c r="AK2050" i="6"/>
  <c r="AK2012" i="6" s="1"/>
  <c r="BC2208" i="6"/>
  <c r="AY2208" i="6"/>
  <c r="AU2208" i="6"/>
  <c r="AQ2208" i="6"/>
  <c r="AY2156" i="6"/>
  <c r="AU2156" i="6"/>
  <c r="AQ2156" i="6"/>
  <c r="BB2104" i="6"/>
  <c r="AX2104" i="6"/>
  <c r="AT2104" i="6"/>
  <c r="AP2104" i="6"/>
  <c r="BB2208" i="6"/>
  <c r="AX2208" i="6"/>
  <c r="AT2208" i="6"/>
  <c r="AP2208" i="6"/>
  <c r="BB2156" i="6"/>
  <c r="AX2156" i="6"/>
  <c r="AT2156" i="6"/>
  <c r="AP2156" i="6"/>
  <c r="BA2104" i="6"/>
  <c r="AW2104" i="6"/>
  <c r="AS2104" i="6"/>
  <c r="AO2104" i="6"/>
  <c r="AM2050" i="6"/>
  <c r="AO2011" i="6"/>
  <c r="BA2208" i="6"/>
  <c r="AW2208" i="6"/>
  <c r="AS2208" i="6"/>
  <c r="AO2208" i="6"/>
  <c r="AO2156" i="6"/>
  <c r="AN2104" i="6"/>
  <c r="AN2066" i="6" s="1" a="1"/>
  <c r="AN2066" i="6" s="1"/>
  <c r="BA2156" i="6"/>
  <c r="AZ2104" i="6"/>
  <c r="AW2156" i="6"/>
  <c r="AV2104" i="6"/>
  <c r="AS2156" i="6"/>
  <c r="AR2104" i="6"/>
  <c r="AL2050" i="6"/>
  <c r="I46" i="5"/>
  <c r="I44" i="5"/>
  <c r="AZ6" i="9"/>
  <c r="AV103" i="9"/>
  <c r="AP56" i="17"/>
  <c r="AO44" i="17"/>
  <c r="AH44" i="5"/>
  <c r="AH46" i="5"/>
  <c r="AY21" i="13"/>
  <c r="AX22" i="13"/>
  <c r="D38" i="23"/>
  <c r="D31" i="22"/>
  <c r="D31" i="20"/>
  <c r="D31" i="19"/>
  <c r="D31" i="21"/>
  <c r="D36" i="17"/>
  <c r="D48" i="14"/>
  <c r="D41" i="16"/>
  <c r="D33" i="15"/>
  <c r="D31" i="18"/>
  <c r="D40" i="13"/>
  <c r="C6" i="7"/>
  <c r="D131" i="6" a="1"/>
  <c r="D131" i="6" s="1"/>
  <c r="I131" i="6" a="1"/>
  <c r="I131" i="6" s="1"/>
  <c r="I236" i="6" s="1"/>
  <c r="P183" i="6"/>
  <c r="E79" i="6" a="1"/>
  <c r="E79" i="6" s="1"/>
  <c r="N131" i="6" a="1"/>
  <c r="N131" i="6" s="1"/>
  <c r="T131" i="6" a="1"/>
  <c r="T131" i="6" s="1"/>
  <c r="T236" i="6" s="1"/>
  <c r="E183" i="6"/>
  <c r="U183" i="6"/>
  <c r="G131" i="6" a="1"/>
  <c r="G131" i="6" s="1"/>
  <c r="G235" i="6" s="1"/>
  <c r="N183" i="6"/>
  <c r="AP244" i="6"/>
  <c r="AQ28" i="5" s="1"/>
  <c r="AP245" i="6"/>
  <c r="AP247" i="6"/>
  <c r="AP408" i="6"/>
  <c r="AP67" i="12"/>
  <c r="D24" i="17"/>
  <c r="F1107" i="6"/>
  <c r="G18" i="5" s="1"/>
  <c r="AR39" i="20"/>
  <c r="AQ36" i="20"/>
  <c r="BJ339" i="6"/>
  <c r="BF339" i="6"/>
  <c r="BB339" i="6"/>
  <c r="AX339" i="6"/>
  <c r="AT339" i="6"/>
  <c r="AP339" i="6"/>
  <c r="AL339" i="6"/>
  <c r="AL303" i="6" s="1" a="1"/>
  <c r="AL303" i="6" s="1"/>
  <c r="BG287" i="6"/>
  <c r="BC287" i="6"/>
  <c r="AY287" i="6"/>
  <c r="AU287" i="6"/>
  <c r="AQ287" i="6"/>
  <c r="AM287" i="6"/>
  <c r="BG339" i="6"/>
  <c r="AU339" i="6"/>
  <c r="BH287" i="6"/>
  <c r="AV287" i="6"/>
  <c r="BI339" i="6"/>
  <c r="BE339" i="6"/>
  <c r="BA339" i="6"/>
  <c r="AW339" i="6"/>
  <c r="AS339" i="6"/>
  <c r="AO339" i="6"/>
  <c r="BJ287" i="6"/>
  <c r="BF287" i="6"/>
  <c r="BB287" i="6"/>
  <c r="AX287" i="6"/>
  <c r="AT287" i="6"/>
  <c r="AP287" i="6"/>
  <c r="AL287" i="6"/>
  <c r="AL251" i="6" s="1" a="1"/>
  <c r="AL251" i="6" s="1"/>
  <c r="AL409" i="6" s="1"/>
  <c r="BC339" i="6"/>
  <c r="AQ339" i="6"/>
  <c r="BD287" i="6"/>
  <c r="AR287" i="6"/>
  <c r="BH339" i="6"/>
  <c r="BD339" i="6"/>
  <c r="AZ339" i="6"/>
  <c r="AV339" i="6"/>
  <c r="AR339" i="6"/>
  <c r="AN339" i="6"/>
  <c r="BI287" i="6"/>
  <c r="BE287" i="6"/>
  <c r="BA287" i="6"/>
  <c r="AW287" i="6"/>
  <c r="AS287" i="6"/>
  <c r="AO287" i="6"/>
  <c r="AY339" i="6"/>
  <c r="AM339" i="6"/>
  <c r="AZ287" i="6"/>
  <c r="AN287" i="6"/>
  <c r="B2" i="22"/>
  <c r="T2396" i="6"/>
  <c r="P2396" i="6"/>
  <c r="L2396" i="6"/>
  <c r="H2396" i="6"/>
  <c r="AB2344" i="6"/>
  <c r="X2344" i="6"/>
  <c r="T2344" i="6"/>
  <c r="P2344" i="6"/>
  <c r="L2344" i="6"/>
  <c r="H2344" i="6"/>
  <c r="AD2292" i="6"/>
  <c r="Z2292" i="6"/>
  <c r="V2292" i="6"/>
  <c r="R2292" i="6"/>
  <c r="N2292" i="6"/>
  <c r="J2292" i="6"/>
  <c r="D2238" i="6"/>
  <c r="D2236" i="6"/>
  <c r="S2396" i="6"/>
  <c r="O2396" i="6"/>
  <c r="K2396" i="6"/>
  <c r="G2396" i="6"/>
  <c r="AE2344" i="6"/>
  <c r="AE2339" i="6" s="1" a="1"/>
  <c r="AE2339" i="6" s="1"/>
  <c r="AA2344" i="6"/>
  <c r="W2344" i="6"/>
  <c r="S2344" i="6"/>
  <c r="O2344" i="6"/>
  <c r="K2344" i="6"/>
  <c r="G2344" i="6"/>
  <c r="AC2292" i="6"/>
  <c r="Y2292" i="6"/>
  <c r="U2292" i="6"/>
  <c r="Q2292" i="6"/>
  <c r="M2292" i="6"/>
  <c r="I2292" i="6"/>
  <c r="V2396" i="6"/>
  <c r="V2391" i="6" s="1"/>
  <c r="R2396" i="6"/>
  <c r="N2396" i="6"/>
  <c r="J2396" i="6"/>
  <c r="AD2344" i="6"/>
  <c r="Z2344" i="6"/>
  <c r="V2344" i="6"/>
  <c r="R2344" i="6"/>
  <c r="N2344" i="6"/>
  <c r="J2344" i="6"/>
  <c r="AB2292" i="6"/>
  <c r="X2292" i="6"/>
  <c r="T2292" i="6"/>
  <c r="P2292" i="6"/>
  <c r="L2292" i="6"/>
  <c r="H2292" i="6"/>
  <c r="D2237" i="6"/>
  <c r="U2396" i="6"/>
  <c r="Q2396" i="6"/>
  <c r="M2396" i="6"/>
  <c r="I2396" i="6"/>
  <c r="AC2344" i="6"/>
  <c r="Y2344" i="6"/>
  <c r="U2344" i="6"/>
  <c r="Q2344" i="6"/>
  <c r="M2344" i="6"/>
  <c r="I2344" i="6"/>
  <c r="AE2292" i="6"/>
  <c r="AE2287" i="6" s="1" a="1"/>
  <c r="AE2287" i="6" s="1"/>
  <c r="AA2292" i="6"/>
  <c r="W2292" i="6"/>
  <c r="S2292" i="6"/>
  <c r="O2292" i="6"/>
  <c r="K2292" i="6"/>
  <c r="G2292" i="6"/>
  <c r="AR24" i="9"/>
  <c r="AN38" i="23"/>
  <c r="AN31" i="22"/>
  <c r="AN31" i="21"/>
  <c r="AN31" i="20"/>
  <c r="AN31" i="19"/>
  <c r="AN36" i="17"/>
  <c r="AN31" i="18"/>
  <c r="AN48" i="14"/>
  <c r="AN41" i="16"/>
  <c r="AN33" i="15"/>
  <c r="AO6" i="7"/>
  <c r="AN40" i="13"/>
  <c r="G2064" i="6"/>
  <c r="G2065" i="6"/>
  <c r="T1096" i="6"/>
  <c r="T1095" i="6"/>
  <c r="B3" i="16"/>
  <c r="H1046" i="6"/>
  <c r="S994" i="6"/>
  <c r="S991" i="6" s="1" a="1"/>
  <c r="S991" i="6" s="1"/>
  <c r="O994" i="6"/>
  <c r="K994" i="6"/>
  <c r="G994" i="6"/>
  <c r="P942" i="6"/>
  <c r="L942" i="6"/>
  <c r="H942" i="6"/>
  <c r="G1046" i="6"/>
  <c r="R994" i="6"/>
  <c r="N994" i="6"/>
  <c r="J994" i="6"/>
  <c r="F994" i="6"/>
  <c r="J1046" i="6"/>
  <c r="J1043" i="6" s="1"/>
  <c r="F1046" i="6"/>
  <c r="Q994" i="6"/>
  <c r="M994" i="6"/>
  <c r="I994" i="6"/>
  <c r="E994" i="6"/>
  <c r="I1046" i="6"/>
  <c r="E1046" i="6"/>
  <c r="H994" i="6"/>
  <c r="O942" i="6"/>
  <c r="J942" i="6"/>
  <c r="E942" i="6"/>
  <c r="S942" i="6"/>
  <c r="S939" i="6" s="1" a="1"/>
  <c r="S939" i="6" s="1"/>
  <c r="N942" i="6"/>
  <c r="I942" i="6"/>
  <c r="P994" i="6"/>
  <c r="R942" i="6"/>
  <c r="M942" i="6"/>
  <c r="G942" i="6"/>
  <c r="L994" i="6"/>
  <c r="Q942" i="6"/>
  <c r="K942" i="6"/>
  <c r="F942" i="6"/>
  <c r="D888" i="6"/>
  <c r="D885" i="6" s="1"/>
  <c r="AP653" i="6"/>
  <c r="AP6" i="5"/>
  <c r="AO657" i="6"/>
  <c r="AO658" i="6"/>
  <c r="AO655" i="6"/>
  <c r="F236" i="6"/>
  <c r="F235" i="6"/>
  <c r="D17" i="19"/>
  <c r="F1557" i="6"/>
  <c r="AK633" i="6"/>
  <c r="AK634" i="6"/>
  <c r="D2" i="20"/>
  <c r="X1952" i="6"/>
  <c r="X1945" i="6" s="1"/>
  <c r="T1952" i="6"/>
  <c r="P1952" i="6"/>
  <c r="L1952" i="6"/>
  <c r="U1900" i="6"/>
  <c r="Q1900" i="6"/>
  <c r="M1900" i="6"/>
  <c r="I1900" i="6"/>
  <c r="T1848" i="6"/>
  <c r="P1848" i="6"/>
  <c r="L1848" i="6"/>
  <c r="W1952" i="6"/>
  <c r="S1952" i="6"/>
  <c r="O1952" i="6"/>
  <c r="K1952" i="6"/>
  <c r="T1900" i="6"/>
  <c r="P1900" i="6"/>
  <c r="L1900" i="6"/>
  <c r="W1848" i="6"/>
  <c r="W1841" i="6" s="1" a="1"/>
  <c r="W1841" i="6" s="1"/>
  <c r="S1848" i="6"/>
  <c r="O1848" i="6"/>
  <c r="K1848" i="6"/>
  <c r="V1952" i="6"/>
  <c r="R1952" i="6"/>
  <c r="N1952" i="6"/>
  <c r="J1952" i="6"/>
  <c r="W1900" i="6"/>
  <c r="W1893" i="6" s="1" a="1"/>
  <c r="W1893" i="6" s="1"/>
  <c r="S1900" i="6"/>
  <c r="O1900" i="6"/>
  <c r="K1900" i="6"/>
  <c r="V1848" i="6"/>
  <c r="R1848" i="6"/>
  <c r="N1848" i="6"/>
  <c r="J1848" i="6"/>
  <c r="M1952" i="6"/>
  <c r="R1900" i="6"/>
  <c r="M1848" i="6"/>
  <c r="F1794" i="6"/>
  <c r="I1952" i="6"/>
  <c r="N1900" i="6"/>
  <c r="I1848" i="6"/>
  <c r="F1793" i="6"/>
  <c r="U1952" i="6"/>
  <c r="J1900" i="6"/>
  <c r="U1848" i="6"/>
  <c r="Q1952" i="6"/>
  <c r="V1900" i="6"/>
  <c r="Q1848" i="6"/>
  <c r="F1792" i="6"/>
  <c r="F1787" i="6" s="1"/>
  <c r="AL3165" i="6"/>
  <c r="AQ36" i="21"/>
  <c r="AR38" i="21"/>
  <c r="AO656" i="6"/>
  <c r="AP654" i="6"/>
  <c r="AO652" i="6"/>
  <c r="BF220" i="6"/>
  <c r="BB220" i="6"/>
  <c r="AX220" i="6"/>
  <c r="AT220" i="6"/>
  <c r="AP220" i="6"/>
  <c r="AY168" i="6"/>
  <c r="AU168" i="6"/>
  <c r="AQ168" i="6"/>
  <c r="AM168" i="6"/>
  <c r="AM131" i="6" s="1" a="1"/>
  <c r="AM131" i="6" s="1"/>
  <c r="AX116" i="6"/>
  <c r="AT116" i="6"/>
  <c r="AP116" i="6"/>
  <c r="AL53" i="6"/>
  <c r="AH53" i="6"/>
  <c r="AN11" i="6"/>
  <c r="AU220" i="6"/>
  <c r="AV168" i="6"/>
  <c r="BE220" i="6"/>
  <c r="BA220" i="6"/>
  <c r="AW220" i="6"/>
  <c r="AS220" i="6"/>
  <c r="AO220" i="6"/>
  <c r="AX168" i="6"/>
  <c r="AT168" i="6"/>
  <c r="AP168" i="6"/>
  <c r="BA116" i="6"/>
  <c r="AW116" i="6"/>
  <c r="AS116" i="6"/>
  <c r="AO116" i="6"/>
  <c r="AK53" i="6"/>
  <c r="AG53" i="6"/>
  <c r="AG16" i="6" s="1"/>
  <c r="BC220" i="6"/>
  <c r="AQ220" i="6"/>
  <c r="AR168" i="6"/>
  <c r="AU116" i="6"/>
  <c r="AM116" i="6"/>
  <c r="AM79" i="6" s="1" a="1"/>
  <c r="AM79" i="6" s="1"/>
  <c r="BD220" i="6"/>
  <c r="AZ220" i="6"/>
  <c r="AV220" i="6"/>
  <c r="AR220" i="6"/>
  <c r="AN220" i="6"/>
  <c r="BA168" i="6"/>
  <c r="AW168" i="6"/>
  <c r="AS168" i="6"/>
  <c r="AO168" i="6"/>
  <c r="AZ116" i="6"/>
  <c r="AV116" i="6"/>
  <c r="AR116" i="6"/>
  <c r="AN116" i="6"/>
  <c r="AJ53" i="6"/>
  <c r="AN15" i="6"/>
  <c r="BG220" i="6"/>
  <c r="AY220" i="6"/>
  <c r="AM220" i="6"/>
  <c r="AM183" i="6" s="1"/>
  <c r="AZ168" i="6"/>
  <c r="AN168" i="6"/>
  <c r="AY116" i="6"/>
  <c r="AQ116" i="6"/>
  <c r="AN10" i="6"/>
  <c r="AN20" i="5"/>
  <c r="AI53" i="6"/>
  <c r="AU3171" i="6"/>
  <c r="AV38" i="11"/>
  <c r="AW3171" i="6" s="1"/>
  <c r="AL2444" i="6"/>
  <c r="AP39" i="18"/>
  <c r="AO36" i="18"/>
  <c r="AZ61" i="12"/>
  <c r="AI24" i="17"/>
  <c r="AI1107" i="6"/>
  <c r="AJ18" i="5" s="1"/>
  <c r="D2" i="14"/>
  <c r="U588" i="6"/>
  <c r="Q588" i="6"/>
  <c r="M588" i="6"/>
  <c r="I588" i="6"/>
  <c r="V536" i="6"/>
  <c r="R536" i="6"/>
  <c r="N536" i="6"/>
  <c r="J536" i="6"/>
  <c r="V484" i="6"/>
  <c r="R484" i="6"/>
  <c r="N484" i="6"/>
  <c r="J484" i="6"/>
  <c r="F430" i="6"/>
  <c r="F428" i="6"/>
  <c r="X588" i="6"/>
  <c r="X581" i="6" s="1"/>
  <c r="T588" i="6"/>
  <c r="P588" i="6"/>
  <c r="L588" i="6"/>
  <c r="U536" i="6"/>
  <c r="Q536" i="6"/>
  <c r="M536" i="6"/>
  <c r="I536" i="6"/>
  <c r="U484" i="6"/>
  <c r="Q484" i="6"/>
  <c r="M484" i="6"/>
  <c r="I484" i="6"/>
  <c r="V588" i="6"/>
  <c r="N588" i="6"/>
  <c r="W536" i="6"/>
  <c r="O536" i="6"/>
  <c r="O484" i="6"/>
  <c r="W588" i="6"/>
  <c r="S588" i="6"/>
  <c r="O588" i="6"/>
  <c r="K588" i="6"/>
  <c r="T536" i="6"/>
  <c r="P536" i="6"/>
  <c r="L536" i="6"/>
  <c r="T484" i="6"/>
  <c r="P484" i="6"/>
  <c r="L484" i="6"/>
  <c r="F429" i="6"/>
  <c r="R588" i="6"/>
  <c r="J588" i="6"/>
  <c r="S536" i="6"/>
  <c r="K536" i="6"/>
  <c r="W484" i="6"/>
  <c r="W477" i="6" s="1" a="1"/>
  <c r="W477" i="6" s="1"/>
  <c r="S484" i="6"/>
  <c r="K484" i="6"/>
  <c r="E21" i="15"/>
  <c r="G655" i="6"/>
  <c r="AF1164" i="6"/>
  <c r="AF1165" i="6"/>
  <c r="AF1322" i="6" s="1"/>
  <c r="AS46" i="17"/>
  <c r="AN17" i="18"/>
  <c r="AN1332" i="6"/>
  <c r="AN1548" i="6" s="1"/>
  <c r="AM2835" i="6"/>
  <c r="AM69" i="9"/>
  <c r="AN93" i="9"/>
  <c r="AM74" i="9"/>
  <c r="AM68" i="9"/>
  <c r="AN2837" i="6" s="1"/>
  <c r="AM65" i="9"/>
  <c r="AM63" i="9"/>
  <c r="AM57" i="9"/>
  <c r="AM4" i="9"/>
  <c r="AM92" i="9"/>
  <c r="AM66" i="9"/>
  <c r="AM64" i="9"/>
  <c r="AM61" i="9"/>
  <c r="AN3005" i="6" s="1"/>
  <c r="AM58" i="9"/>
  <c r="AM16" i="9"/>
  <c r="AM8" i="9"/>
  <c r="AN2670" i="6" s="1"/>
  <c r="AM3" i="9"/>
  <c r="AN2668" i="6" s="1"/>
  <c r="AO1329" i="6"/>
  <c r="AO1333" i="6"/>
  <c r="AP1331" i="6"/>
  <c r="H17" i="5"/>
  <c r="H24" i="5" s="1"/>
  <c r="H42" i="5" s="1"/>
  <c r="AN17" i="21"/>
  <c r="AN2007" i="6"/>
  <c r="AN2223" i="6" s="1"/>
  <c r="AZ2428" i="6"/>
  <c r="AV2428" i="6"/>
  <c r="AR2428" i="6"/>
  <c r="AN2428" i="6"/>
  <c r="BH2376" i="6"/>
  <c r="BD2376" i="6"/>
  <c r="AZ2376" i="6"/>
  <c r="AV2376" i="6"/>
  <c r="AR2376" i="6"/>
  <c r="AN2376" i="6"/>
  <c r="BJ2324" i="6"/>
  <c r="BF2324" i="6"/>
  <c r="BB2324" i="6"/>
  <c r="AX2324" i="6"/>
  <c r="AT2324" i="6"/>
  <c r="AP2324" i="6"/>
  <c r="AJ2270" i="6"/>
  <c r="AJ2233" i="6" s="1"/>
  <c r="AN2232" i="6"/>
  <c r="AY2428" i="6"/>
  <c r="AU2428" i="6"/>
  <c r="AQ2428" i="6"/>
  <c r="AM2428" i="6"/>
  <c r="AM2391" i="6" s="1"/>
  <c r="BK2376" i="6"/>
  <c r="BG2376" i="6"/>
  <c r="BC2376" i="6"/>
  <c r="AY2376" i="6"/>
  <c r="AU2376" i="6"/>
  <c r="AQ2376" i="6"/>
  <c r="AM2376" i="6"/>
  <c r="AM2339" i="6" s="1" a="1"/>
  <c r="AM2339" i="6" s="1"/>
  <c r="BI2324" i="6"/>
  <c r="BE2324" i="6"/>
  <c r="BA2324" i="6"/>
  <c r="AW2324" i="6"/>
  <c r="AS2324" i="6"/>
  <c r="AO2324" i="6"/>
  <c r="BB2428" i="6"/>
  <c r="AX2428" i="6"/>
  <c r="AT2428" i="6"/>
  <c r="AP2428" i="6"/>
  <c r="BJ2376" i="6"/>
  <c r="BF2376" i="6"/>
  <c r="BB2376" i="6"/>
  <c r="AX2376" i="6"/>
  <c r="AT2376" i="6"/>
  <c r="AP2376" i="6"/>
  <c r="BH2324" i="6"/>
  <c r="BD2324" i="6"/>
  <c r="AZ2324" i="6"/>
  <c r="AV2324" i="6"/>
  <c r="AR2324" i="6"/>
  <c r="AN2324" i="6"/>
  <c r="AL2270" i="6"/>
  <c r="BA2428" i="6"/>
  <c r="AW2428" i="6"/>
  <c r="AS2428" i="6"/>
  <c r="AO2428" i="6"/>
  <c r="BI2376" i="6"/>
  <c r="BE2376" i="6"/>
  <c r="BA2376" i="6"/>
  <c r="AW2376" i="6"/>
  <c r="AS2376" i="6"/>
  <c r="AO2376" i="6"/>
  <c r="BK2324" i="6"/>
  <c r="BG2324" i="6"/>
  <c r="BC2324" i="6"/>
  <c r="AY2324" i="6"/>
  <c r="AU2324" i="6"/>
  <c r="AQ2324" i="6"/>
  <c r="AM2324" i="6"/>
  <c r="AM2287" i="6" s="1" a="1"/>
  <c r="AM2287" i="6" s="1"/>
  <c r="AK2270" i="6"/>
  <c r="C2" i="21"/>
  <c r="T2176" i="6"/>
  <c r="P2176" i="6"/>
  <c r="L2176" i="6"/>
  <c r="H2176" i="6"/>
  <c r="T2124" i="6"/>
  <c r="P2124" i="6"/>
  <c r="L2124" i="6"/>
  <c r="H2124" i="6"/>
  <c r="S2072" i="6"/>
  <c r="O2072" i="6"/>
  <c r="K2072" i="6"/>
  <c r="E2018" i="6"/>
  <c r="E2016" i="6"/>
  <c r="W2176" i="6"/>
  <c r="W2170" i="6" s="1"/>
  <c r="S2176" i="6"/>
  <c r="O2176" i="6"/>
  <c r="K2176" i="6"/>
  <c r="S2124" i="6"/>
  <c r="O2124" i="6"/>
  <c r="K2124" i="6"/>
  <c r="V2072" i="6"/>
  <c r="V2066" i="6" s="1" a="1"/>
  <c r="V2066" i="6" s="1"/>
  <c r="R2072" i="6"/>
  <c r="N2072" i="6"/>
  <c r="J2072" i="6"/>
  <c r="V2176" i="6"/>
  <c r="R2176" i="6"/>
  <c r="N2176" i="6"/>
  <c r="J2176" i="6"/>
  <c r="V2124" i="6"/>
  <c r="V2118" i="6" s="1" a="1"/>
  <c r="V2118" i="6" s="1"/>
  <c r="R2124" i="6"/>
  <c r="N2124" i="6"/>
  <c r="J2124" i="6"/>
  <c r="U2072" i="6"/>
  <c r="Q2072" i="6"/>
  <c r="M2072" i="6"/>
  <c r="I2072" i="6"/>
  <c r="E2017" i="6"/>
  <c r="U2176" i="6"/>
  <c r="I2124" i="6"/>
  <c r="H2072" i="6"/>
  <c r="Q2176" i="6"/>
  <c r="U2124" i="6"/>
  <c r="T2072" i="6"/>
  <c r="M2176" i="6"/>
  <c r="Q2124" i="6"/>
  <c r="P2072" i="6"/>
  <c r="I2176" i="6"/>
  <c r="M2124" i="6"/>
  <c r="L2072" i="6"/>
  <c r="F1615" i="6"/>
  <c r="F1614" i="6"/>
  <c r="X1772" i="6"/>
  <c r="X1773" i="6"/>
  <c r="C2" i="19"/>
  <c r="U1726" i="6"/>
  <c r="Q1726" i="6"/>
  <c r="M1726" i="6"/>
  <c r="I1726" i="6"/>
  <c r="U1674" i="6"/>
  <c r="U1668" i="6" s="1" a="1"/>
  <c r="U1668" i="6" s="1"/>
  <c r="Q1674" i="6"/>
  <c r="M1674" i="6"/>
  <c r="I1674" i="6"/>
  <c r="T1622" i="6"/>
  <c r="P1622" i="6"/>
  <c r="L1622" i="6"/>
  <c r="H1622" i="6"/>
  <c r="V1726" i="6"/>
  <c r="V1720" i="6" s="1"/>
  <c r="P1726" i="6"/>
  <c r="K1726" i="6"/>
  <c r="T1674" i="6"/>
  <c r="O1674" i="6"/>
  <c r="J1674" i="6"/>
  <c r="R1622" i="6"/>
  <c r="M1622" i="6"/>
  <c r="E1568" i="6"/>
  <c r="E1566" i="6"/>
  <c r="E1562" i="6" s="1"/>
  <c r="T1726" i="6"/>
  <c r="O1726" i="6"/>
  <c r="J1726" i="6"/>
  <c r="S1674" i="6"/>
  <c r="N1674" i="6"/>
  <c r="H1674" i="6"/>
  <c r="V1622" i="6"/>
  <c r="V1616" i="6" s="1" a="1"/>
  <c r="V1616" i="6" s="1"/>
  <c r="Q1622" i="6"/>
  <c r="K1622" i="6"/>
  <c r="S1726" i="6"/>
  <c r="N1726" i="6"/>
  <c r="H1726" i="6"/>
  <c r="R1674" i="6"/>
  <c r="L1674" i="6"/>
  <c r="U1622" i="6"/>
  <c r="U1616" i="6" s="1" a="1"/>
  <c r="U1616" i="6" s="1"/>
  <c r="O1622" i="6"/>
  <c r="J1622" i="6"/>
  <c r="W1726" i="6"/>
  <c r="W1720" i="6" s="1"/>
  <c r="R1726" i="6"/>
  <c r="L1726" i="6"/>
  <c r="V1674" i="6"/>
  <c r="V1668" i="6" s="1" a="1"/>
  <c r="V1668" i="6" s="1"/>
  <c r="P1674" i="6"/>
  <c r="K1674" i="6"/>
  <c r="S1622" i="6"/>
  <c r="N1622" i="6"/>
  <c r="I1622" i="6"/>
  <c r="AJ1614" i="6"/>
  <c r="AJ1615" i="6"/>
  <c r="AJ1772" i="6" s="1"/>
  <c r="AJ2064" i="6"/>
  <c r="AJ2065" i="6"/>
  <c r="AJ2222" i="6" s="1"/>
  <c r="AN20" i="9"/>
  <c r="AI475" i="6" l="1"/>
  <c r="AI476" i="6"/>
  <c r="AM1998" i="6"/>
  <c r="AK2064" i="6"/>
  <c r="AK2065" i="6"/>
  <c r="AK2222" i="6" s="1"/>
  <c r="AJ2832" i="6"/>
  <c r="AJ2833" i="6"/>
  <c r="AP23" i="9"/>
  <c r="AJ1840" i="6"/>
  <c r="AJ1997" i="6" s="1"/>
  <c r="AJ1839" i="6"/>
  <c r="AK2999" i="6"/>
  <c r="AK3000" i="6"/>
  <c r="AK1390" i="6"/>
  <c r="AK1547" i="6" s="1"/>
  <c r="AK1389" i="6"/>
  <c r="I47" i="5"/>
  <c r="I45" i="5"/>
  <c r="AN871" i="6"/>
  <c r="AT46" i="17"/>
  <c r="D21" i="15"/>
  <c r="F655" i="6"/>
  <c r="F423" i="6"/>
  <c r="AO26" i="5"/>
  <c r="BH3151" i="6"/>
  <c r="BD3151" i="6"/>
  <c r="AZ3151" i="6"/>
  <c r="AV3151" i="6"/>
  <c r="AR3151" i="6"/>
  <c r="AN3151" i="6"/>
  <c r="AN3113" i="6" s="1"/>
  <c r="AN3007" i="6"/>
  <c r="BG3151" i="6"/>
  <c r="BC3151" i="6"/>
  <c r="AY3151" i="6"/>
  <c r="AU3151" i="6"/>
  <c r="AQ3151" i="6"/>
  <c r="BA3151" i="6"/>
  <c r="AS3151" i="6"/>
  <c r="BF3151" i="6"/>
  <c r="AX3151" i="6"/>
  <c r="AP3151" i="6"/>
  <c r="BE3151" i="6"/>
  <c r="AW3151" i="6"/>
  <c r="AO3151" i="6"/>
  <c r="AN3006" i="6"/>
  <c r="BB3151" i="6"/>
  <c r="AT3151" i="6"/>
  <c r="AN3112" i="6"/>
  <c r="C17" i="19"/>
  <c r="E1557" i="6"/>
  <c r="D937" i="6"/>
  <c r="D938" i="6"/>
  <c r="AE2444" i="6"/>
  <c r="AE2443" i="6"/>
  <c r="P235" i="6"/>
  <c r="P236" i="6"/>
  <c r="AU50" i="13"/>
  <c r="AM416" i="6"/>
  <c r="AN35" i="5"/>
  <c r="AQ1330" i="6"/>
  <c r="AP1334" i="6"/>
  <c r="AP1335" i="6"/>
  <c r="AQ10" i="5"/>
  <c r="C17" i="21"/>
  <c r="E2007" i="6"/>
  <c r="AX2763" i="6"/>
  <c r="AT2763" i="6"/>
  <c r="AP2763" i="6"/>
  <c r="BA2711" i="6"/>
  <c r="AW2711" i="6"/>
  <c r="AS2711" i="6"/>
  <c r="AO2711" i="6"/>
  <c r="AZ2763" i="6"/>
  <c r="AU2763" i="6"/>
  <c r="AO2763" i="6"/>
  <c r="AY2711" i="6"/>
  <c r="AT2711" i="6"/>
  <c r="AN2711" i="6"/>
  <c r="AY2763" i="6"/>
  <c r="AS2763" i="6"/>
  <c r="AN2763" i="6"/>
  <c r="AX2711" i="6"/>
  <c r="AR2711" i="6"/>
  <c r="AM2711" i="6"/>
  <c r="AW2763" i="6"/>
  <c r="AR2763" i="6"/>
  <c r="AM2763" i="6"/>
  <c r="AV2711" i="6"/>
  <c r="AQ2711" i="6"/>
  <c r="AQ2763" i="6"/>
  <c r="AP2711" i="6"/>
  <c r="BA2763" i="6"/>
  <c r="AZ2711" i="6"/>
  <c r="AV2763" i="6"/>
  <c r="AU2711" i="6"/>
  <c r="AP17" i="22"/>
  <c r="AO13" i="6"/>
  <c r="AP3" i="5"/>
  <c r="AP8" i="6"/>
  <c r="AO14" i="6"/>
  <c r="BJ340" i="6"/>
  <c r="BF340" i="6"/>
  <c r="BB340" i="6"/>
  <c r="AX340" i="6"/>
  <c r="AT340" i="6"/>
  <c r="AP340" i="6"/>
  <c r="BK288" i="6"/>
  <c r="BG288" i="6"/>
  <c r="BC288" i="6"/>
  <c r="AY288" i="6"/>
  <c r="AU288" i="6"/>
  <c r="AQ288" i="6"/>
  <c r="AM288" i="6"/>
  <c r="AM251" i="6" s="1" a="1"/>
  <c r="AM251" i="6" s="1"/>
  <c r="AM409" i="6" s="1"/>
  <c r="BK340" i="6"/>
  <c r="BC340" i="6"/>
  <c r="AU340" i="6"/>
  <c r="AZ288" i="6"/>
  <c r="BI340" i="6"/>
  <c r="BE340" i="6"/>
  <c r="BA340" i="6"/>
  <c r="AW340" i="6"/>
  <c r="AS340" i="6"/>
  <c r="AO340" i="6"/>
  <c r="BJ288" i="6"/>
  <c r="BF288" i="6"/>
  <c r="BB288" i="6"/>
  <c r="AX288" i="6"/>
  <c r="AT288" i="6"/>
  <c r="AP288" i="6"/>
  <c r="BG340" i="6"/>
  <c r="AY340" i="6"/>
  <c r="AQ340" i="6"/>
  <c r="BH288" i="6"/>
  <c r="AV288" i="6"/>
  <c r="AN288" i="6"/>
  <c r="BH340" i="6"/>
  <c r="BD340" i="6"/>
  <c r="AZ340" i="6"/>
  <c r="AV340" i="6"/>
  <c r="AR340" i="6"/>
  <c r="AN340" i="6"/>
  <c r="BI288" i="6"/>
  <c r="BE288" i="6"/>
  <c r="BA288" i="6"/>
  <c r="AW288" i="6"/>
  <c r="AS288" i="6"/>
  <c r="AO288" i="6"/>
  <c r="AM340" i="6"/>
  <c r="AM303" i="6" s="1" a="1"/>
  <c r="AM303" i="6" s="1"/>
  <c r="BD288" i="6"/>
  <c r="AR288" i="6"/>
  <c r="AL633" i="6"/>
  <c r="AL634" i="6"/>
  <c r="G712" i="6"/>
  <c r="G713" i="6"/>
  <c r="X236" i="6"/>
  <c r="X235" i="6"/>
  <c r="W235" i="6"/>
  <c r="W236" i="6"/>
  <c r="AP2008" i="6"/>
  <c r="AQ2006" i="6"/>
  <c r="AP2004" i="6"/>
  <c r="C24" i="13"/>
  <c r="E10" i="6"/>
  <c r="AR61" i="14"/>
  <c r="AR3004" i="6"/>
  <c r="AR60" i="9"/>
  <c r="AL43" i="8"/>
  <c r="AM643" i="6" s="1"/>
  <c r="AL42" i="8"/>
  <c r="AM644" i="6" s="1"/>
  <c r="AL41" i="8"/>
  <c r="AM642" i="6" s="1"/>
  <c r="AM641" i="6"/>
  <c r="AN33" i="5" s="1"/>
  <c r="AZ3097" i="6"/>
  <c r="AV3097" i="6"/>
  <c r="AR3097" i="6"/>
  <c r="AN3097" i="6"/>
  <c r="AY3045" i="6"/>
  <c r="AU3045" i="6"/>
  <c r="AQ3045" i="6"/>
  <c r="AM3045" i="6"/>
  <c r="AM3008" i="6" s="1" a="1"/>
  <c r="AM3008" i="6" s="1"/>
  <c r="AY3097" i="6"/>
  <c r="AU3097" i="6"/>
  <c r="AQ3097" i="6"/>
  <c r="AM3097" i="6"/>
  <c r="AM3060" i="6" s="1" a="1"/>
  <c r="AM3060" i="6" s="1"/>
  <c r="AX3045" i="6"/>
  <c r="AT3045" i="6"/>
  <c r="AP3045" i="6"/>
  <c r="BA3097" i="6"/>
  <c r="AS3097" i="6"/>
  <c r="AZ3045" i="6"/>
  <c r="AR3045" i="6"/>
  <c r="AX3097" i="6"/>
  <c r="AP3097" i="6"/>
  <c r="AW3045" i="6"/>
  <c r="AO3045" i="6"/>
  <c r="AW3097" i="6"/>
  <c r="AO3097" i="6"/>
  <c r="AV3045" i="6"/>
  <c r="AN3045" i="6"/>
  <c r="BA3045" i="6"/>
  <c r="AT3097" i="6"/>
  <c r="AS3045" i="6"/>
  <c r="AO39" i="23"/>
  <c r="AP2451" i="6" s="1"/>
  <c r="AO32" i="22"/>
  <c r="AO32" i="21"/>
  <c r="AO32" i="20"/>
  <c r="AO32" i="19"/>
  <c r="AO37" i="17"/>
  <c r="AO49" i="14"/>
  <c r="AO32" i="18"/>
  <c r="AO42" i="16"/>
  <c r="AO41" i="13"/>
  <c r="AP7" i="7"/>
  <c r="AO34" i="15"/>
  <c r="BB1759" i="6"/>
  <c r="AX1759" i="6"/>
  <c r="AT1759" i="6"/>
  <c r="AP1759" i="6"/>
  <c r="BC1707" i="6"/>
  <c r="AY1707" i="6"/>
  <c r="AU1707" i="6"/>
  <c r="AQ1707" i="6"/>
  <c r="BB1655" i="6"/>
  <c r="AX1655" i="6"/>
  <c r="AT1655" i="6"/>
  <c r="AP1655" i="6"/>
  <c r="BC1759" i="6"/>
  <c r="AW1759" i="6"/>
  <c r="AR1759" i="6"/>
  <c r="BB1707" i="6"/>
  <c r="AW1707" i="6"/>
  <c r="AR1707" i="6"/>
  <c r="BA1655" i="6"/>
  <c r="AV1655" i="6"/>
  <c r="AQ1655" i="6"/>
  <c r="AM1601" i="6"/>
  <c r="BA1759" i="6"/>
  <c r="AV1759" i="6"/>
  <c r="AQ1759" i="6"/>
  <c r="BA1707" i="6"/>
  <c r="AV1707" i="6"/>
  <c r="AP1707" i="6"/>
  <c r="AZ1655" i="6"/>
  <c r="AU1655" i="6"/>
  <c r="AO1655" i="6"/>
  <c r="AO1616" i="6" s="1" a="1"/>
  <c r="AO1616" i="6" s="1"/>
  <c r="AL1601" i="6"/>
  <c r="AL1562" i="6" s="1"/>
  <c r="AP1561" i="6"/>
  <c r="AZ1759" i="6"/>
  <c r="AU1759" i="6"/>
  <c r="AO1759" i="6"/>
  <c r="AO1720" i="6" s="1"/>
  <c r="AZ1707" i="6"/>
  <c r="AT1707" i="6"/>
  <c r="AO1707" i="6"/>
  <c r="AO1668" i="6" s="1" a="1"/>
  <c r="AO1668" i="6" s="1"/>
  <c r="AO1773" i="6" s="1"/>
  <c r="AY1655" i="6"/>
  <c r="AS1655" i="6"/>
  <c r="BD1759" i="6"/>
  <c r="AY1759" i="6"/>
  <c r="AS1759" i="6"/>
  <c r="AX1707" i="6"/>
  <c r="AS1707" i="6"/>
  <c r="BC1655" i="6"/>
  <c r="AW1655" i="6"/>
  <c r="AR1655" i="6"/>
  <c r="AN1601" i="6"/>
  <c r="BC1308" i="6"/>
  <c r="AY1308" i="6"/>
  <c r="AU1308" i="6"/>
  <c r="AQ1308" i="6"/>
  <c r="AZ1256" i="6"/>
  <c r="AV1256" i="6"/>
  <c r="AR1256" i="6"/>
  <c r="AN1256" i="6"/>
  <c r="AN1218" i="6" s="1" a="1"/>
  <c r="AN1218" i="6" s="1"/>
  <c r="BA1204" i="6"/>
  <c r="AW1204" i="6"/>
  <c r="AS1204" i="6"/>
  <c r="AO1204" i="6"/>
  <c r="AJ1150" i="6"/>
  <c r="AO1111" i="6"/>
  <c r="BB1308" i="6"/>
  <c r="AX1308" i="6"/>
  <c r="AT1308" i="6"/>
  <c r="AP1308" i="6"/>
  <c r="AY1256" i="6"/>
  <c r="AU1256" i="6"/>
  <c r="AQ1256" i="6"/>
  <c r="AZ1204" i="6"/>
  <c r="AV1204" i="6"/>
  <c r="AR1204" i="6"/>
  <c r="AN1204" i="6"/>
  <c r="AN1166" i="6" s="1" a="1"/>
  <c r="AN1166" i="6" s="1"/>
  <c r="AM1150" i="6"/>
  <c r="AI1150" i="6"/>
  <c r="BA1308" i="6"/>
  <c r="AW1308" i="6"/>
  <c r="AS1308" i="6"/>
  <c r="AO1308" i="6"/>
  <c r="BB1256" i="6"/>
  <c r="AX1256" i="6"/>
  <c r="AT1256" i="6"/>
  <c r="AP1256" i="6"/>
  <c r="AY1204" i="6"/>
  <c r="AU1204" i="6"/>
  <c r="AQ1204" i="6"/>
  <c r="AL1150" i="6"/>
  <c r="AH1150" i="6"/>
  <c r="AH1112" i="6" s="1"/>
  <c r="AZ1308" i="6"/>
  <c r="AV1308" i="6"/>
  <c r="AR1308" i="6"/>
  <c r="AN1308" i="6"/>
  <c r="AN1270" i="6" s="1"/>
  <c r="BA1256" i="6"/>
  <c r="AW1256" i="6"/>
  <c r="AS1256" i="6"/>
  <c r="AO1256" i="6"/>
  <c r="BB1204" i="6"/>
  <c r="AX1204" i="6"/>
  <c r="AT1204" i="6"/>
  <c r="AP1204" i="6"/>
  <c r="AK1150" i="6"/>
  <c r="AO2665" i="6"/>
  <c r="C19" i="17"/>
  <c r="E1105" i="6"/>
  <c r="E1322" i="6" s="1"/>
  <c r="M235" i="6"/>
  <c r="M236" i="6"/>
  <c r="G1389" i="6"/>
  <c r="G1390" i="6"/>
  <c r="AZ2762" i="6"/>
  <c r="AV2762" i="6"/>
  <c r="AR2762" i="6"/>
  <c r="AN2762" i="6"/>
  <c r="AY2710" i="6"/>
  <c r="AU2710" i="6"/>
  <c r="AQ2710" i="6"/>
  <c r="AM2710" i="6"/>
  <c r="AX2762" i="6"/>
  <c r="AS2762" i="6"/>
  <c r="AM2762" i="6"/>
  <c r="AW2710" i="6"/>
  <c r="AR2710" i="6"/>
  <c r="AL2710" i="6"/>
  <c r="AW2762" i="6"/>
  <c r="AQ2762" i="6"/>
  <c r="AL2762" i="6"/>
  <c r="AV2710" i="6"/>
  <c r="AP2710" i="6"/>
  <c r="AU2762" i="6"/>
  <c r="AP2762" i="6"/>
  <c r="AZ2710" i="6"/>
  <c r="AT2710" i="6"/>
  <c r="AO2710" i="6"/>
  <c r="AY2762" i="6"/>
  <c r="AX2710" i="6"/>
  <c r="AT2762" i="6"/>
  <c r="AS2710" i="6"/>
  <c r="AO2762" i="6"/>
  <c r="AN2710" i="6"/>
  <c r="AQ1558" i="6"/>
  <c r="AR1556" i="6"/>
  <c r="BA2209" i="6"/>
  <c r="AW2209" i="6"/>
  <c r="AS2209" i="6"/>
  <c r="AO2209" i="6"/>
  <c r="AO2170" i="6" s="1"/>
  <c r="BB2157" i="6"/>
  <c r="AX2157" i="6"/>
  <c r="AT2157" i="6"/>
  <c r="AP2157" i="6"/>
  <c r="BA2105" i="6"/>
  <c r="AW2105" i="6"/>
  <c r="AS2105" i="6"/>
  <c r="AO2105" i="6"/>
  <c r="AM2051" i="6"/>
  <c r="BD2209" i="6"/>
  <c r="AZ2209" i="6"/>
  <c r="AV2209" i="6"/>
  <c r="AR2209" i="6"/>
  <c r="BA2157" i="6"/>
  <c r="AW2157" i="6"/>
  <c r="AS2157" i="6"/>
  <c r="AO2157" i="6"/>
  <c r="AO2118" i="6" s="1" a="1"/>
  <c r="AO2118" i="6" s="1"/>
  <c r="AZ2105" i="6"/>
  <c r="AV2105" i="6"/>
  <c r="AR2105" i="6"/>
  <c r="AL2051" i="6"/>
  <c r="AL2012" i="6" s="1"/>
  <c r="AP2011" i="6"/>
  <c r="BC2209" i="6"/>
  <c r="AY2209" i="6"/>
  <c r="AU2209" i="6"/>
  <c r="AQ2209" i="6"/>
  <c r="AZ2157" i="6"/>
  <c r="AV2157" i="6"/>
  <c r="AR2157" i="6"/>
  <c r="BC2105" i="6"/>
  <c r="AY2105" i="6"/>
  <c r="AU2105" i="6"/>
  <c r="AQ2105" i="6"/>
  <c r="BB2209" i="6"/>
  <c r="AX2209" i="6"/>
  <c r="AT2209" i="6"/>
  <c r="AP2209" i="6"/>
  <c r="AQ2157" i="6"/>
  <c r="AP2105" i="6"/>
  <c r="BC2157" i="6"/>
  <c r="BB2105" i="6"/>
  <c r="AY2157" i="6"/>
  <c r="AX2105" i="6"/>
  <c r="AN2051" i="6"/>
  <c r="AU2157" i="6"/>
  <c r="AT2105" i="6"/>
  <c r="AW2929" i="6"/>
  <c r="AS2929" i="6"/>
  <c r="AO2929" i="6"/>
  <c r="AZ2877" i="6"/>
  <c r="AV2877" i="6"/>
  <c r="AR2877" i="6"/>
  <c r="AN2877" i="6"/>
  <c r="AX2929" i="6"/>
  <c r="AR2929" i="6"/>
  <c r="AM2929" i="6"/>
  <c r="AW2877" i="6"/>
  <c r="AQ2877" i="6"/>
  <c r="AL2877" i="6"/>
  <c r="AL2841" i="6" s="1" a="1"/>
  <c r="AL2841" i="6" s="1"/>
  <c r="AV2929" i="6"/>
  <c r="AQ2929" i="6"/>
  <c r="AL2929" i="6"/>
  <c r="AL2893" i="6" s="1" a="1"/>
  <c r="AL2893" i="6" s="1"/>
  <c r="AU2877" i="6"/>
  <c r="AP2877" i="6"/>
  <c r="AZ2929" i="6"/>
  <c r="AU2929" i="6"/>
  <c r="AP2929" i="6"/>
  <c r="AX2877" i="6"/>
  <c r="AM2877" i="6"/>
  <c r="AY2929" i="6"/>
  <c r="AT2877" i="6"/>
  <c r="AT2929" i="6"/>
  <c r="AS2877" i="6"/>
  <c r="AN2929" i="6"/>
  <c r="AY2877" i="6"/>
  <c r="AO2877" i="6"/>
  <c r="I235" i="6"/>
  <c r="AS24" i="9"/>
  <c r="AN15" i="9"/>
  <c r="AO2671" i="6" s="1"/>
  <c r="E1614" i="6"/>
  <c r="E1615" i="6"/>
  <c r="AM71" i="9"/>
  <c r="AM72" i="9"/>
  <c r="AN2838" i="6"/>
  <c r="F1839" i="6"/>
  <c r="F1840" i="6"/>
  <c r="V1773" i="6"/>
  <c r="V1772" i="6"/>
  <c r="AQ39" i="18"/>
  <c r="AP36" i="18"/>
  <c r="C2" i="20"/>
  <c r="W1951" i="6"/>
  <c r="W1945" i="6" s="1"/>
  <c r="S1951" i="6"/>
  <c r="O1951" i="6"/>
  <c r="K1951" i="6"/>
  <c r="S1899" i="6"/>
  <c r="O1899" i="6"/>
  <c r="K1899" i="6"/>
  <c r="V1847" i="6"/>
  <c r="V1841" i="6" s="1" a="1"/>
  <c r="V1841" i="6" s="1"/>
  <c r="R1847" i="6"/>
  <c r="N1847" i="6"/>
  <c r="J1847" i="6"/>
  <c r="V1951" i="6"/>
  <c r="R1951" i="6"/>
  <c r="N1951" i="6"/>
  <c r="J1951" i="6"/>
  <c r="V1899" i="6"/>
  <c r="V1893" i="6" s="1" a="1"/>
  <c r="V1893" i="6" s="1"/>
  <c r="R1899" i="6"/>
  <c r="N1899" i="6"/>
  <c r="J1899" i="6"/>
  <c r="U1847" i="6"/>
  <c r="Q1847" i="6"/>
  <c r="M1847" i="6"/>
  <c r="I1847" i="6"/>
  <c r="E1792" i="6"/>
  <c r="U1951" i="6"/>
  <c r="Q1951" i="6"/>
  <c r="M1951" i="6"/>
  <c r="I1951" i="6"/>
  <c r="U1899" i="6"/>
  <c r="Q1899" i="6"/>
  <c r="M1899" i="6"/>
  <c r="I1899" i="6"/>
  <c r="T1847" i="6"/>
  <c r="P1847" i="6"/>
  <c r="L1847" i="6"/>
  <c r="H1847" i="6"/>
  <c r="L1951" i="6"/>
  <c r="P1899" i="6"/>
  <c r="K1847" i="6"/>
  <c r="H1951" i="6"/>
  <c r="L1899" i="6"/>
  <c r="E1791" i="6"/>
  <c r="T1951" i="6"/>
  <c r="H1899" i="6"/>
  <c r="S1847" i="6"/>
  <c r="E1793" i="6"/>
  <c r="P1951" i="6"/>
  <c r="T1899" i="6"/>
  <c r="O1847" i="6"/>
  <c r="AT857" i="6"/>
  <c r="AP857" i="6"/>
  <c r="BA805" i="6"/>
  <c r="AW805" i="6"/>
  <c r="AS805" i="6"/>
  <c r="AO805" i="6"/>
  <c r="AO766" i="6" s="1" a="1"/>
  <c r="AO766" i="6" s="1"/>
  <c r="AO871" i="6" s="1"/>
  <c r="BB753" i="6"/>
  <c r="AX753" i="6"/>
  <c r="AT753" i="6"/>
  <c r="AP753" i="6"/>
  <c r="AS857" i="6"/>
  <c r="AO857" i="6"/>
  <c r="AO818" i="6" s="1"/>
  <c r="AZ805" i="6"/>
  <c r="AV805" i="6"/>
  <c r="AR805" i="6"/>
  <c r="BA753" i="6"/>
  <c r="AW753" i="6"/>
  <c r="AS753" i="6"/>
  <c r="AO753" i="6"/>
  <c r="AO714" i="6" s="1" a="1"/>
  <c r="AO714" i="6" s="1"/>
  <c r="AR857" i="6"/>
  <c r="BC805" i="6"/>
  <c r="AY805" i="6"/>
  <c r="AU805" i="6"/>
  <c r="AQ805" i="6"/>
  <c r="AZ753" i="6"/>
  <c r="AV753" i="6"/>
  <c r="AR753" i="6"/>
  <c r="AN699" i="6"/>
  <c r="AP659" i="6"/>
  <c r="AQ857" i="6"/>
  <c r="BB805" i="6"/>
  <c r="AX805" i="6"/>
  <c r="AT805" i="6"/>
  <c r="AP805" i="6"/>
  <c r="BC753" i="6"/>
  <c r="AY753" i="6"/>
  <c r="AU753" i="6"/>
  <c r="AQ753" i="6"/>
  <c r="AM699" i="6"/>
  <c r="W1772" i="6"/>
  <c r="W1773" i="6"/>
  <c r="B2" i="19"/>
  <c r="D1566" i="6"/>
  <c r="D1565" i="6"/>
  <c r="D1562" i="6" s="1"/>
  <c r="W2223" i="6"/>
  <c r="W2222" i="6"/>
  <c r="AJ2285" i="6"/>
  <c r="AJ2286" i="6"/>
  <c r="AJ2443" i="6" s="1"/>
  <c r="AO17" i="21"/>
  <c r="AO2007" i="6"/>
  <c r="AP1333" i="6"/>
  <c r="AQ1331" i="6"/>
  <c r="AP1329" i="6"/>
  <c r="AN3002" i="6"/>
  <c r="AN3165" i="6" s="1"/>
  <c r="C2" i="14"/>
  <c r="T587" i="6"/>
  <c r="P587" i="6"/>
  <c r="L587" i="6"/>
  <c r="H587" i="6"/>
  <c r="T535" i="6"/>
  <c r="P535" i="6"/>
  <c r="L535" i="6"/>
  <c r="H535" i="6"/>
  <c r="T483" i="6"/>
  <c r="P483" i="6"/>
  <c r="L483" i="6"/>
  <c r="H483" i="6"/>
  <c r="W587" i="6"/>
  <c r="W581" i="6" s="1"/>
  <c r="S587" i="6"/>
  <c r="O587" i="6"/>
  <c r="K587" i="6"/>
  <c r="S535" i="6"/>
  <c r="O535" i="6"/>
  <c r="K535" i="6"/>
  <c r="S483" i="6"/>
  <c r="O483" i="6"/>
  <c r="K483" i="6"/>
  <c r="E428" i="6"/>
  <c r="U587" i="6"/>
  <c r="I587" i="6"/>
  <c r="U535" i="6"/>
  <c r="M535" i="6"/>
  <c r="U483" i="6"/>
  <c r="M483" i="6"/>
  <c r="E429" i="6"/>
  <c r="V587" i="6"/>
  <c r="R587" i="6"/>
  <c r="N587" i="6"/>
  <c r="J587" i="6"/>
  <c r="V535" i="6"/>
  <c r="V529" i="6" s="1" a="1"/>
  <c r="V529" i="6" s="1"/>
  <c r="R535" i="6"/>
  <c r="N535" i="6"/>
  <c r="J535" i="6"/>
  <c r="V483" i="6"/>
  <c r="V477" i="6" s="1" a="1"/>
  <c r="V477" i="6" s="1"/>
  <c r="R483" i="6"/>
  <c r="N483" i="6"/>
  <c r="J483" i="6"/>
  <c r="Q587" i="6"/>
  <c r="M587" i="6"/>
  <c r="Q535" i="6"/>
  <c r="I535" i="6"/>
  <c r="Q483" i="6"/>
  <c r="I483" i="6"/>
  <c r="E427" i="6"/>
  <c r="AR36" i="21"/>
  <c r="AS38" i="21"/>
  <c r="I1045" i="6"/>
  <c r="I1043" i="6" s="1"/>
  <c r="E1045" i="6"/>
  <c r="E1043" i="6" s="1"/>
  <c r="Q993" i="6"/>
  <c r="Q991" i="6" s="1" a="1"/>
  <c r="Q991" i="6" s="1"/>
  <c r="M993" i="6"/>
  <c r="M991" i="6" s="1" a="1"/>
  <c r="M991" i="6" s="1"/>
  <c r="I993" i="6"/>
  <c r="I991" i="6" s="1" a="1"/>
  <c r="I991" i="6" s="1"/>
  <c r="E993" i="6"/>
  <c r="E991" i="6" s="1" a="1"/>
  <c r="E991" i="6" s="1"/>
  <c r="R941" i="6"/>
  <c r="R939" i="6" s="1" a="1"/>
  <c r="R939" i="6" s="1"/>
  <c r="N941" i="6"/>
  <c r="N939" i="6" s="1" a="1"/>
  <c r="N939" i="6" s="1"/>
  <c r="J941" i="6"/>
  <c r="J939" i="6" s="1" a="1"/>
  <c r="J939" i="6" s="1"/>
  <c r="F941" i="6"/>
  <c r="F939" i="6" s="1" a="1"/>
  <c r="F939" i="6" s="1"/>
  <c r="H1045" i="6"/>
  <c r="H1043" i="6" s="1"/>
  <c r="D1045" i="6"/>
  <c r="D1043" i="6" s="1"/>
  <c r="P993" i="6"/>
  <c r="P991" i="6" s="1" a="1"/>
  <c r="P991" i="6" s="1"/>
  <c r="L993" i="6"/>
  <c r="L991" i="6" s="1" a="1"/>
  <c r="L991" i="6" s="1"/>
  <c r="H993" i="6"/>
  <c r="H991" i="6" s="1" a="1"/>
  <c r="H991" i="6" s="1"/>
  <c r="D993" i="6"/>
  <c r="D991" i="6" s="1" a="1"/>
  <c r="D991" i="6" s="1"/>
  <c r="G1045" i="6"/>
  <c r="G1043" i="6" s="1"/>
  <c r="O993" i="6"/>
  <c r="O991" i="6" s="1" a="1"/>
  <c r="O991" i="6" s="1"/>
  <c r="K993" i="6"/>
  <c r="K991" i="6" s="1" a="1"/>
  <c r="K991" i="6" s="1"/>
  <c r="G993" i="6"/>
  <c r="G991" i="6" s="1" a="1"/>
  <c r="G991" i="6" s="1"/>
  <c r="G1095" i="6" s="1"/>
  <c r="F1045" i="6"/>
  <c r="F1043" i="6" s="1"/>
  <c r="F993" i="6"/>
  <c r="F991" i="6" s="1" a="1"/>
  <c r="F991" i="6" s="1"/>
  <c r="M941" i="6"/>
  <c r="M939" i="6" s="1" a="1"/>
  <c r="M939" i="6" s="1"/>
  <c r="H941" i="6"/>
  <c r="H939" i="6" s="1" a="1"/>
  <c r="H939" i="6" s="1"/>
  <c r="C887" i="6"/>
  <c r="C885" i="6" s="1"/>
  <c r="R993" i="6"/>
  <c r="R991" i="6" s="1" a="1"/>
  <c r="R991" i="6" s="1"/>
  <c r="Q941" i="6"/>
  <c r="Q939" i="6" s="1" a="1"/>
  <c r="Q939" i="6" s="1"/>
  <c r="L941" i="6"/>
  <c r="L939" i="6" s="1" a="1"/>
  <c r="L939" i="6" s="1"/>
  <c r="G941" i="6"/>
  <c r="G939" i="6" s="1" a="1"/>
  <c r="G939" i="6" s="1"/>
  <c r="N993" i="6"/>
  <c r="N991" i="6" s="1" a="1"/>
  <c r="N991" i="6" s="1"/>
  <c r="P941" i="6"/>
  <c r="P939" i="6" s="1" a="1"/>
  <c r="P939" i="6" s="1"/>
  <c r="K941" i="6"/>
  <c r="K939" i="6" s="1" a="1"/>
  <c r="K939" i="6" s="1"/>
  <c r="E941" i="6"/>
  <c r="E939" i="6" s="1" a="1"/>
  <c r="E939" i="6" s="1"/>
  <c r="J993" i="6"/>
  <c r="J991" i="6" s="1" a="1"/>
  <c r="J991" i="6" s="1"/>
  <c r="J1095" i="6" s="1"/>
  <c r="O941" i="6"/>
  <c r="O939" i="6" s="1" a="1"/>
  <c r="O939" i="6" s="1"/>
  <c r="I941" i="6"/>
  <c r="I939" i="6" s="1" a="1"/>
  <c r="I939" i="6" s="1"/>
  <c r="D941" i="6"/>
  <c r="D939" i="6" s="1" a="1"/>
  <c r="D939" i="6" s="1"/>
  <c r="D2233" i="6"/>
  <c r="C24" i="17"/>
  <c r="E1107" i="6"/>
  <c r="F18" i="5" s="1"/>
  <c r="N236" i="6"/>
  <c r="N235" i="6"/>
  <c r="AZ21" i="13"/>
  <c r="AZ22" i="13" s="1"/>
  <c r="AY22" i="13"/>
  <c r="AR38" i="15"/>
  <c r="AS40" i="15"/>
  <c r="AY618" i="6"/>
  <c r="AU618" i="6"/>
  <c r="AQ618" i="6"/>
  <c r="AM618" i="6"/>
  <c r="AM581" i="6" s="1"/>
  <c r="AX566" i="6"/>
  <c r="AT566" i="6"/>
  <c r="AP566" i="6"/>
  <c r="AX514" i="6"/>
  <c r="AT514" i="6"/>
  <c r="AP514" i="6"/>
  <c r="AL460" i="6"/>
  <c r="BB618" i="6"/>
  <c r="AX618" i="6"/>
  <c r="AT618" i="6"/>
  <c r="AP618" i="6"/>
  <c r="BA566" i="6"/>
  <c r="AW566" i="6"/>
  <c r="AS566" i="6"/>
  <c r="AO566" i="6"/>
  <c r="BA514" i="6"/>
  <c r="AW514" i="6"/>
  <c r="AS514" i="6"/>
  <c r="AO514" i="6"/>
  <c r="AK460" i="6"/>
  <c r="AZ618" i="6"/>
  <c r="AR618" i="6"/>
  <c r="AY566" i="6"/>
  <c r="AQ566" i="6"/>
  <c r="AY514" i="6"/>
  <c r="AQ514" i="6"/>
  <c r="BA618" i="6"/>
  <c r="AW618" i="6"/>
  <c r="AS618" i="6"/>
  <c r="AO618" i="6"/>
  <c r="AZ566" i="6"/>
  <c r="AV566" i="6"/>
  <c r="AR566" i="6"/>
  <c r="AN566" i="6"/>
  <c r="AZ514" i="6"/>
  <c r="AV514" i="6"/>
  <c r="AR514" i="6"/>
  <c r="AN514" i="6"/>
  <c r="AJ460" i="6"/>
  <c r="AJ423" i="6" s="1"/>
  <c r="AN422" i="6"/>
  <c r="AV618" i="6"/>
  <c r="AN618" i="6"/>
  <c r="AU566" i="6"/>
  <c r="AM566" i="6"/>
  <c r="AM529" i="6" s="1" a="1"/>
  <c r="AM529" i="6" s="1"/>
  <c r="AU514" i="6"/>
  <c r="AM514" i="6"/>
  <c r="AM477" i="6" s="1" a="1"/>
  <c r="AM477" i="6" s="1"/>
  <c r="T235" i="6"/>
  <c r="AL712" i="6"/>
  <c r="AL713" i="6"/>
  <c r="AL870" i="6" s="1"/>
  <c r="AG1164" i="6"/>
  <c r="AG1165" i="6"/>
  <c r="AG1322" i="6" s="1"/>
  <c r="BF221" i="6"/>
  <c r="BB221" i="6"/>
  <c r="AX221" i="6"/>
  <c r="AT221" i="6"/>
  <c r="AP221" i="6"/>
  <c r="BA169" i="6"/>
  <c r="AW169" i="6"/>
  <c r="AS169" i="6"/>
  <c r="AO169" i="6"/>
  <c r="AZ117" i="6"/>
  <c r="AV117" i="6"/>
  <c r="AR117" i="6"/>
  <c r="AN117" i="6"/>
  <c r="AN79" i="6" s="1" a="1"/>
  <c r="AN79" i="6" s="1"/>
  <c r="AK54" i="6"/>
  <c r="BC221" i="6"/>
  <c r="AQ221" i="6"/>
  <c r="AX169" i="6"/>
  <c r="BE221" i="6"/>
  <c r="BA221" i="6"/>
  <c r="AW221" i="6"/>
  <c r="AS221" i="6"/>
  <c r="AO221" i="6"/>
  <c r="AZ169" i="6"/>
  <c r="AV169" i="6"/>
  <c r="AR169" i="6"/>
  <c r="AN169" i="6"/>
  <c r="AN131" i="6" s="1" a="1"/>
  <c r="AN131" i="6" s="1"/>
  <c r="AY117" i="6"/>
  <c r="AU117" i="6"/>
  <c r="AQ117" i="6"/>
  <c r="AJ54" i="6"/>
  <c r="AO15" i="6"/>
  <c r="AU221" i="6"/>
  <c r="AT169" i="6"/>
  <c r="AW117" i="6"/>
  <c r="AO117" i="6"/>
  <c r="BH221" i="6"/>
  <c r="BD221" i="6"/>
  <c r="AZ221" i="6"/>
  <c r="AV221" i="6"/>
  <c r="AR221" i="6"/>
  <c r="AN221" i="6"/>
  <c r="AN183" i="6" s="1"/>
  <c r="AY169" i="6"/>
  <c r="AU169" i="6"/>
  <c r="AQ169" i="6"/>
  <c r="BB117" i="6"/>
  <c r="AX117" i="6"/>
  <c r="AT117" i="6"/>
  <c r="AP117" i="6"/>
  <c r="AM54" i="6"/>
  <c r="AI54" i="6"/>
  <c r="AO10" i="6"/>
  <c r="BG221" i="6"/>
  <c r="AY221" i="6"/>
  <c r="BB169" i="6"/>
  <c r="AP169" i="6"/>
  <c r="BA117" i="6"/>
  <c r="AS117" i="6"/>
  <c r="AO11" i="6"/>
  <c r="AL54" i="6"/>
  <c r="AH54" i="6"/>
  <c r="AH16" i="6" s="1"/>
  <c r="E235" i="6"/>
  <c r="E236" i="6"/>
  <c r="AM937" i="6"/>
  <c r="AM938" i="6"/>
  <c r="AM1095" i="6" s="1"/>
  <c r="W870" i="6"/>
  <c r="W871" i="6"/>
  <c r="G1096" i="6"/>
  <c r="L235" i="6"/>
  <c r="L236" i="6"/>
  <c r="F1337" i="6"/>
  <c r="X1547" i="6"/>
  <c r="X1548" i="6"/>
  <c r="AO1108" i="6"/>
  <c r="AO1102" i="6"/>
  <c r="AP1104" i="6"/>
  <c r="AQ878" i="6"/>
  <c r="AP882" i="6"/>
  <c r="AQ7" i="5"/>
  <c r="AP883" i="6"/>
  <c r="AP880" i="6"/>
  <c r="AG47" i="5"/>
  <c r="AG45" i="5"/>
  <c r="AQ68" i="12"/>
  <c r="AS68" i="12"/>
  <c r="AR68" i="12"/>
  <c r="AI1323" i="6"/>
  <c r="AJ17" i="5"/>
  <c r="AJ24" i="5" s="1"/>
  <c r="AJ42" i="5" s="1"/>
  <c r="AO3003" i="6"/>
  <c r="AW38" i="11"/>
  <c r="AX3171" i="6" s="1"/>
  <c r="C17" i="22"/>
  <c r="E2228" i="6"/>
  <c r="AP2450" i="6"/>
  <c r="AP2449" i="6"/>
  <c r="AQ2448" i="6"/>
  <c r="AQ16" i="5"/>
  <c r="C17" i="20"/>
  <c r="E1782" i="6"/>
  <c r="BC2653" i="6"/>
  <c r="AY2653" i="6"/>
  <c r="AU2653" i="6"/>
  <c r="AQ2653" i="6"/>
  <c r="AQ2612" i="6" s="1"/>
  <c r="BE2601" i="6"/>
  <c r="BA2601" i="6"/>
  <c r="AW2601" i="6"/>
  <c r="AS2601" i="6"/>
  <c r="BD2549" i="6"/>
  <c r="AZ2549" i="6"/>
  <c r="AV2549" i="6"/>
  <c r="AR2549" i="6"/>
  <c r="BB2653" i="6"/>
  <c r="AW2653" i="6"/>
  <c r="AR2653" i="6"/>
  <c r="BC2601" i="6"/>
  <c r="AX2601" i="6"/>
  <c r="AR2601" i="6"/>
  <c r="BE2549" i="6"/>
  <c r="AY2549" i="6"/>
  <c r="AT2549" i="6"/>
  <c r="AR2453" i="6"/>
  <c r="BF2653" i="6"/>
  <c r="BA2653" i="6"/>
  <c r="AV2653" i="6"/>
  <c r="BB2601" i="6"/>
  <c r="AV2601" i="6"/>
  <c r="AQ2601" i="6"/>
  <c r="AQ2560" i="6" s="1" a="1"/>
  <c r="AQ2560" i="6" s="1"/>
  <c r="BC2549" i="6"/>
  <c r="AX2549" i="6"/>
  <c r="AS2549" i="6"/>
  <c r="BE2653" i="6"/>
  <c r="AZ2653" i="6"/>
  <c r="AT2653" i="6"/>
  <c r="AZ2601" i="6"/>
  <c r="AU2601" i="6"/>
  <c r="BB2549" i="6"/>
  <c r="AW2549" i="6"/>
  <c r="AQ2549" i="6"/>
  <c r="AQ2508" i="6" s="1" a="1"/>
  <c r="AQ2508" i="6" s="1"/>
  <c r="AT2601" i="6"/>
  <c r="BA2549" i="6"/>
  <c r="AP2495" i="6"/>
  <c r="AP2454" i="6" s="1"/>
  <c r="BD2653" i="6"/>
  <c r="AU2549" i="6"/>
  <c r="AX2653" i="6"/>
  <c r="BD2601" i="6"/>
  <c r="AS2653" i="6"/>
  <c r="AY2601" i="6"/>
  <c r="AR21" i="5"/>
  <c r="V235" i="6"/>
  <c r="V236" i="6"/>
  <c r="S235" i="6"/>
  <c r="S236" i="6"/>
  <c r="O236" i="6"/>
  <c r="O235" i="6"/>
  <c r="AL2831" i="6"/>
  <c r="AL2779" i="6"/>
  <c r="AO17" i="20"/>
  <c r="AO1782" i="6"/>
  <c r="AM2444" i="6"/>
  <c r="B2" i="21"/>
  <c r="S2175" i="6"/>
  <c r="O2175" i="6"/>
  <c r="K2175" i="6"/>
  <c r="G2175" i="6"/>
  <c r="R2123" i="6"/>
  <c r="N2123" i="6"/>
  <c r="J2123" i="6"/>
  <c r="U2071" i="6"/>
  <c r="U2066" i="6" s="1" a="1"/>
  <c r="U2066" i="6" s="1"/>
  <c r="Q2071" i="6"/>
  <c r="M2071" i="6"/>
  <c r="I2071" i="6"/>
  <c r="V2175" i="6"/>
  <c r="V2170" i="6" s="1"/>
  <c r="R2175" i="6"/>
  <c r="N2175" i="6"/>
  <c r="J2175" i="6"/>
  <c r="U2123" i="6"/>
  <c r="U2118" i="6" s="1" a="1"/>
  <c r="U2118" i="6" s="1"/>
  <c r="Q2123" i="6"/>
  <c r="M2123" i="6"/>
  <c r="I2123" i="6"/>
  <c r="T2071" i="6"/>
  <c r="P2071" i="6"/>
  <c r="L2071" i="6"/>
  <c r="H2071" i="6"/>
  <c r="D2016" i="6"/>
  <c r="U2175" i="6"/>
  <c r="Q2175" i="6"/>
  <c r="M2175" i="6"/>
  <c r="I2175" i="6"/>
  <c r="T2123" i="6"/>
  <c r="P2123" i="6"/>
  <c r="L2123" i="6"/>
  <c r="H2123" i="6"/>
  <c r="S2071" i="6"/>
  <c r="O2071" i="6"/>
  <c r="K2071" i="6"/>
  <c r="G2071" i="6"/>
  <c r="T2175" i="6"/>
  <c r="G2123" i="6"/>
  <c r="D2017" i="6"/>
  <c r="P2175" i="6"/>
  <c r="S2123" i="6"/>
  <c r="R2071" i="6"/>
  <c r="D2015" i="6"/>
  <c r="D2012" i="6" s="1"/>
  <c r="L2175" i="6"/>
  <c r="O2123" i="6"/>
  <c r="N2071" i="6"/>
  <c r="H2175" i="6"/>
  <c r="K2123" i="6"/>
  <c r="J2071" i="6"/>
  <c r="AJ24" i="17"/>
  <c r="AJ1107" i="6"/>
  <c r="AK18" i="5" s="1"/>
  <c r="E2012" i="6"/>
  <c r="H46" i="5"/>
  <c r="H44" i="5"/>
  <c r="AN2835" i="6"/>
  <c r="AO93" i="9"/>
  <c r="AN74" i="9"/>
  <c r="AN68" i="9"/>
  <c r="AO2837" i="6" s="1"/>
  <c r="AN65" i="9"/>
  <c r="AN63" i="9"/>
  <c r="AO2835" i="6" s="1"/>
  <c r="AN57" i="9"/>
  <c r="AO3002" i="6" s="1"/>
  <c r="AN4" i="9"/>
  <c r="AN92" i="9"/>
  <c r="AN66" i="9"/>
  <c r="AN64" i="9"/>
  <c r="AN61" i="9"/>
  <c r="AO3005" i="6" s="1"/>
  <c r="AN58" i="9"/>
  <c r="AN16" i="9"/>
  <c r="AN8" i="9"/>
  <c r="AO2670" i="6" s="1"/>
  <c r="AN3" i="9"/>
  <c r="AO2668" i="6" s="1"/>
  <c r="AN69" i="9"/>
  <c r="AO17" i="18"/>
  <c r="AO1332" i="6"/>
  <c r="X634" i="6"/>
  <c r="X633" i="6"/>
  <c r="AG77" i="6"/>
  <c r="AG78" i="6"/>
  <c r="AG235" i="6" s="1"/>
  <c r="AH22" i="5"/>
  <c r="AH25" i="5" s="1"/>
  <c r="AH43" i="5" s="1"/>
  <c r="AQ654" i="6"/>
  <c r="AP652" i="6"/>
  <c r="AP656" i="6"/>
  <c r="AL3166" i="6"/>
  <c r="AL3167" i="6"/>
  <c r="AS39" i="20"/>
  <c r="AR36" i="20"/>
  <c r="AQ245" i="6"/>
  <c r="AQ244" i="6"/>
  <c r="AR28" i="5" s="1"/>
  <c r="AQ408" i="6"/>
  <c r="AQ67" i="12"/>
  <c r="AI44" i="5"/>
  <c r="AI46" i="5"/>
  <c r="AP66" i="14"/>
  <c r="AO57" i="14"/>
  <c r="AO56" i="14" s="1"/>
  <c r="BD1534" i="6"/>
  <c r="AZ1534" i="6"/>
  <c r="AV1534" i="6"/>
  <c r="AR1534" i="6"/>
  <c r="BA1482" i="6"/>
  <c r="AW1482" i="6"/>
  <c r="AS1482" i="6"/>
  <c r="AO1482" i="6"/>
  <c r="AO1443" i="6" s="1" a="1"/>
  <c r="AO1443" i="6" s="1"/>
  <c r="AO1548" i="6" s="1"/>
  <c r="AZ1430" i="6"/>
  <c r="AV1430" i="6"/>
  <c r="AR1430" i="6"/>
  <c r="AL1376" i="6"/>
  <c r="AL1337" i="6" s="1"/>
  <c r="AP1336" i="6"/>
  <c r="BC1534" i="6"/>
  <c r="AY1534" i="6"/>
  <c r="AU1534" i="6"/>
  <c r="AQ1534" i="6"/>
  <c r="AZ1482" i="6"/>
  <c r="AV1482" i="6"/>
  <c r="AR1482" i="6"/>
  <c r="BC1430" i="6"/>
  <c r="AY1430" i="6"/>
  <c r="AU1430" i="6"/>
  <c r="AQ1430" i="6"/>
  <c r="BB1534" i="6"/>
  <c r="AX1534" i="6"/>
  <c r="AT1534" i="6"/>
  <c r="AP1534" i="6"/>
  <c r="BC1482" i="6"/>
  <c r="AY1482" i="6"/>
  <c r="AU1482" i="6"/>
  <c r="AQ1482" i="6"/>
  <c r="BB1430" i="6"/>
  <c r="AX1430" i="6"/>
  <c r="AT1430" i="6"/>
  <c r="AP1430" i="6"/>
  <c r="AN1376" i="6"/>
  <c r="BA1534" i="6"/>
  <c r="AW1534" i="6"/>
  <c r="AS1534" i="6"/>
  <c r="AO1534" i="6"/>
  <c r="AO1495" i="6" s="1"/>
  <c r="BB1482" i="6"/>
  <c r="AX1482" i="6"/>
  <c r="AT1482" i="6"/>
  <c r="AP1482" i="6"/>
  <c r="BA1430" i="6"/>
  <c r="AW1430" i="6"/>
  <c r="AS1430" i="6"/>
  <c r="AO1430" i="6"/>
  <c r="AO1391" i="6" s="1" a="1"/>
  <c r="AO1391" i="6" s="1"/>
  <c r="AM1376" i="6"/>
  <c r="BC1983" i="6"/>
  <c r="AY1983" i="6"/>
  <c r="AU1983" i="6"/>
  <c r="AQ1983" i="6"/>
  <c r="AY1931" i="6"/>
  <c r="AU1931" i="6"/>
  <c r="AQ1931" i="6"/>
  <c r="BB1879" i="6"/>
  <c r="AX1879" i="6"/>
  <c r="AT1879" i="6"/>
  <c r="AP1879" i="6"/>
  <c r="BB1983" i="6"/>
  <c r="AX1983" i="6"/>
  <c r="AT1983" i="6"/>
  <c r="AP1983" i="6"/>
  <c r="BB1931" i="6"/>
  <c r="AX1931" i="6"/>
  <c r="AT1931" i="6"/>
  <c r="AP1931" i="6"/>
  <c r="BA1879" i="6"/>
  <c r="AW1879" i="6"/>
  <c r="AS1879" i="6"/>
  <c r="AO1879" i="6"/>
  <c r="AM1825" i="6"/>
  <c r="AO1786" i="6"/>
  <c r="BA1983" i="6"/>
  <c r="AW1983" i="6"/>
  <c r="AS1983" i="6"/>
  <c r="AO1983" i="6"/>
  <c r="BA1931" i="6"/>
  <c r="AW1931" i="6"/>
  <c r="AS1931" i="6"/>
  <c r="AO1931" i="6"/>
  <c r="AZ1879" i="6"/>
  <c r="AV1879" i="6"/>
  <c r="AR1879" i="6"/>
  <c r="AN1879" i="6"/>
  <c r="AN1841" i="6" s="1" a="1"/>
  <c r="AN1841" i="6" s="1"/>
  <c r="AR1983" i="6"/>
  <c r="AV1931" i="6"/>
  <c r="AU1879" i="6"/>
  <c r="AN1983" i="6"/>
  <c r="AN1945" i="6" s="1"/>
  <c r="AR1931" i="6"/>
  <c r="AQ1879" i="6"/>
  <c r="AL1825" i="6"/>
  <c r="AZ1983" i="6"/>
  <c r="AN1931" i="6"/>
  <c r="AN1893" i="6" s="1" a="1"/>
  <c r="AN1893" i="6" s="1"/>
  <c r="AK1825" i="6"/>
  <c r="AK1787" i="6" s="1"/>
  <c r="AV1983" i="6"/>
  <c r="AZ1931" i="6"/>
  <c r="AY1879" i="6"/>
  <c r="AR23" i="9"/>
  <c r="AQ23" i="9"/>
  <c r="G236" i="6"/>
  <c r="E1323" i="6"/>
  <c r="AU38" i="18"/>
  <c r="AX2761" i="6"/>
  <c r="AT2761" i="6"/>
  <c r="AP2761" i="6"/>
  <c r="AL2761" i="6"/>
  <c r="AL2726" i="6" s="1" a="1"/>
  <c r="AL2726" i="6" s="1"/>
  <c r="AW2709" i="6"/>
  <c r="AS2709" i="6"/>
  <c r="AO2709" i="6"/>
  <c r="AK2709" i="6"/>
  <c r="AK2674" i="6" s="1" a="1"/>
  <c r="AK2674" i="6" s="1"/>
  <c r="AV2761" i="6"/>
  <c r="AQ2761" i="6"/>
  <c r="AK2761" i="6"/>
  <c r="AK2726" i="6" s="1" a="1"/>
  <c r="AK2726" i="6" s="1"/>
  <c r="AU2709" i="6"/>
  <c r="AP2709" i="6"/>
  <c r="AU2761" i="6"/>
  <c r="AO2761" i="6"/>
  <c r="AY2709" i="6"/>
  <c r="AT2709" i="6"/>
  <c r="AN2709" i="6"/>
  <c r="AY2761" i="6"/>
  <c r="AS2761" i="6"/>
  <c r="AN2761" i="6"/>
  <c r="AX2709" i="6"/>
  <c r="AR2709" i="6"/>
  <c r="AM2709" i="6"/>
  <c r="AM2674" i="6" s="1" a="1"/>
  <c r="AM2674" i="6" s="1"/>
  <c r="AW2761" i="6"/>
  <c r="AV2709" i="6"/>
  <c r="AR2761" i="6"/>
  <c r="AQ2709" i="6"/>
  <c r="AM2761" i="6"/>
  <c r="AM2726" i="6" s="1" a="1"/>
  <c r="AM2726" i="6" s="1"/>
  <c r="AL2709" i="6"/>
  <c r="AL2674" i="6" s="1" a="1"/>
  <c r="AL2674" i="6" s="1"/>
  <c r="D2" i="15"/>
  <c r="K824" i="6"/>
  <c r="S772" i="6"/>
  <c r="O772" i="6"/>
  <c r="K772" i="6"/>
  <c r="T720" i="6"/>
  <c r="P720" i="6"/>
  <c r="L720" i="6"/>
  <c r="H720" i="6"/>
  <c r="J824" i="6"/>
  <c r="V772" i="6"/>
  <c r="V766" i="6" s="1" a="1"/>
  <c r="V766" i="6" s="1"/>
  <c r="R772" i="6"/>
  <c r="N772" i="6"/>
  <c r="J772" i="6"/>
  <c r="S720" i="6"/>
  <c r="O720" i="6"/>
  <c r="K720" i="6"/>
  <c r="F666" i="6"/>
  <c r="M824" i="6"/>
  <c r="M818" i="6" s="1"/>
  <c r="I824" i="6"/>
  <c r="U772" i="6"/>
  <c r="Q772" i="6"/>
  <c r="M772" i="6"/>
  <c r="I772" i="6"/>
  <c r="V720" i="6"/>
  <c r="V714" i="6" s="1" a="1"/>
  <c r="V714" i="6" s="1"/>
  <c r="R720" i="6"/>
  <c r="N720" i="6"/>
  <c r="J720" i="6"/>
  <c r="F665" i="6"/>
  <c r="F660" i="6" s="1"/>
  <c r="L824" i="6"/>
  <c r="H824" i="6"/>
  <c r="T772" i="6"/>
  <c r="P772" i="6"/>
  <c r="L772" i="6"/>
  <c r="H772" i="6"/>
  <c r="U720" i="6"/>
  <c r="Q720" i="6"/>
  <c r="M720" i="6"/>
  <c r="I720" i="6"/>
  <c r="AO2507" i="6"/>
  <c r="AO2664" i="6" s="1"/>
  <c r="AO2506" i="6"/>
  <c r="D25" i="16"/>
  <c r="F880" i="6"/>
  <c r="C2" i="18"/>
  <c r="W1501" i="6"/>
  <c r="W1495" i="6" s="1"/>
  <c r="S1501" i="6"/>
  <c r="O1501" i="6"/>
  <c r="K1501" i="6"/>
  <c r="S1449" i="6"/>
  <c r="O1449" i="6"/>
  <c r="K1449" i="6"/>
  <c r="V1397" i="6"/>
  <c r="V1391" i="6" s="1" a="1"/>
  <c r="V1391" i="6" s="1"/>
  <c r="R1397" i="6"/>
  <c r="N1397" i="6"/>
  <c r="J1397" i="6"/>
  <c r="V1501" i="6"/>
  <c r="R1501" i="6"/>
  <c r="N1501" i="6"/>
  <c r="J1501" i="6"/>
  <c r="V1449" i="6"/>
  <c r="V1443" i="6" s="1" a="1"/>
  <c r="V1443" i="6" s="1"/>
  <c r="R1449" i="6"/>
  <c r="N1449" i="6"/>
  <c r="J1449" i="6"/>
  <c r="U1397" i="6"/>
  <c r="Q1397" i="6"/>
  <c r="M1397" i="6"/>
  <c r="I1397" i="6"/>
  <c r="E1342" i="6"/>
  <c r="U1501" i="6"/>
  <c r="Q1501" i="6"/>
  <c r="M1501" i="6"/>
  <c r="I1501" i="6"/>
  <c r="U1449" i="6"/>
  <c r="Q1449" i="6"/>
  <c r="M1449" i="6"/>
  <c r="I1449" i="6"/>
  <c r="T1397" i="6"/>
  <c r="P1397" i="6"/>
  <c r="L1397" i="6"/>
  <c r="H1397" i="6"/>
  <c r="T1501" i="6"/>
  <c r="P1501" i="6"/>
  <c r="L1501" i="6"/>
  <c r="H1501" i="6"/>
  <c r="T1449" i="6"/>
  <c r="P1449" i="6"/>
  <c r="L1449" i="6"/>
  <c r="H1449" i="6"/>
  <c r="S1397" i="6"/>
  <c r="O1397" i="6"/>
  <c r="K1397" i="6"/>
  <c r="E1343" i="6"/>
  <c r="E1341" i="6"/>
  <c r="AQ70" i="13"/>
  <c r="AP48" i="13"/>
  <c r="AR1082" i="6"/>
  <c r="BC1030" i="6"/>
  <c r="AY1030" i="6"/>
  <c r="AU1030" i="6"/>
  <c r="AQ1030" i="6"/>
  <c r="AZ978" i="6"/>
  <c r="AV978" i="6"/>
  <c r="AR978" i="6"/>
  <c r="AQ1082" i="6"/>
  <c r="BB1030" i="6"/>
  <c r="AX1030" i="6"/>
  <c r="AT1030" i="6"/>
  <c r="AP1030" i="6"/>
  <c r="AT1082" i="6"/>
  <c r="AP1082" i="6"/>
  <c r="BA1030" i="6"/>
  <c r="AW1030" i="6"/>
  <c r="AS1030" i="6"/>
  <c r="AO1030" i="6"/>
  <c r="AO991" i="6" s="1" a="1"/>
  <c r="AO991" i="6" s="1"/>
  <c r="BB978" i="6"/>
  <c r="AX978" i="6"/>
  <c r="AT978" i="6"/>
  <c r="AP978" i="6"/>
  <c r="AS1082" i="6"/>
  <c r="AO1082" i="6"/>
  <c r="AO1043" i="6" s="1"/>
  <c r="AZ1030" i="6"/>
  <c r="BC978" i="6"/>
  <c r="AU978" i="6"/>
  <c r="AP884" i="6"/>
  <c r="AV1030" i="6"/>
  <c r="BA978" i="6"/>
  <c r="AS978" i="6"/>
  <c r="AR1030" i="6"/>
  <c r="AY978" i="6"/>
  <c r="AQ978" i="6"/>
  <c r="AW978" i="6"/>
  <c r="AO978" i="6"/>
  <c r="AO939" i="6" s="1" a="1"/>
  <c r="AO939" i="6" s="1"/>
  <c r="AN924" i="6"/>
  <c r="AN885" i="6" s="1"/>
  <c r="K235" i="6"/>
  <c r="K236" i="6"/>
  <c r="AN14" i="13"/>
  <c r="AO237" i="6"/>
  <c r="AO12" i="6"/>
  <c r="AP9" i="6"/>
  <c r="AO7" i="6"/>
  <c r="AS46" i="16"/>
  <c r="AT48" i="16"/>
  <c r="AO2230" i="6"/>
  <c r="AO2231" i="6"/>
  <c r="AP2226" i="6"/>
  <c r="AP2225" i="6" s="1"/>
  <c r="AP13" i="5"/>
  <c r="AJ19" i="17"/>
  <c r="AJ1105" i="6"/>
  <c r="AO2225" i="6"/>
  <c r="AR36" i="19"/>
  <c r="AS38" i="19"/>
  <c r="AO1783" i="6"/>
  <c r="AO1779" i="6"/>
  <c r="AP1781" i="6"/>
  <c r="AN26" i="5"/>
  <c r="AM2831" i="6"/>
  <c r="AN59" i="12"/>
  <c r="AO248" i="6" s="1"/>
  <c r="AO60" i="12"/>
  <c r="AO246" i="6"/>
  <c r="AN1096" i="6"/>
  <c r="AP62" i="12"/>
  <c r="H235" i="6"/>
  <c r="H236" i="6"/>
  <c r="AM236" i="6"/>
  <c r="BG2983" i="6"/>
  <c r="BC2983" i="6"/>
  <c r="AY2983" i="6"/>
  <c r="AU2983" i="6"/>
  <c r="AQ2983" i="6"/>
  <c r="AM2983" i="6"/>
  <c r="AM2946" i="6" s="1"/>
  <c r="AM2840" i="6"/>
  <c r="BF2983" i="6"/>
  <c r="BB2983" i="6"/>
  <c r="AX2983" i="6"/>
  <c r="AT2983" i="6"/>
  <c r="AP2983" i="6"/>
  <c r="BE2983" i="6"/>
  <c r="AW2983" i="6"/>
  <c r="AO2983" i="6"/>
  <c r="BD2983" i="6"/>
  <c r="AV2983" i="6"/>
  <c r="AN2983" i="6"/>
  <c r="AM2839" i="6"/>
  <c r="BA2983" i="6"/>
  <c r="AS2983" i="6"/>
  <c r="AZ2983" i="6"/>
  <c r="AR2983" i="6"/>
  <c r="AM2945" i="6"/>
  <c r="AM2998" i="6" s="1"/>
  <c r="AT59" i="14"/>
  <c r="F1323" i="6"/>
  <c r="AX30" i="14"/>
  <c r="AW32" i="14"/>
  <c r="AQ36" i="22"/>
  <c r="AR38" i="22"/>
  <c r="AJ21" i="17"/>
  <c r="AJ1106" i="6"/>
  <c r="AK19" i="5" s="1"/>
  <c r="AN1773" i="6"/>
  <c r="X1997" i="6"/>
  <c r="X1998" i="6"/>
  <c r="AP657" i="6"/>
  <c r="AP658" i="6"/>
  <c r="AQ653" i="6"/>
  <c r="AP655" i="6"/>
  <c r="AQ6" i="5"/>
  <c r="J1096" i="6"/>
  <c r="S1096" i="6"/>
  <c r="S1095" i="6"/>
  <c r="AO38" i="23"/>
  <c r="AO31" i="21"/>
  <c r="AO31" i="22"/>
  <c r="AO31" i="20"/>
  <c r="AO31" i="19"/>
  <c r="AO36" i="17"/>
  <c r="AO31" i="18"/>
  <c r="AO41" i="16"/>
  <c r="AO33" i="15"/>
  <c r="AO48" i="14"/>
  <c r="AP6" i="7"/>
  <c r="AO40" i="13"/>
  <c r="S2395" i="6"/>
  <c r="O2395" i="6"/>
  <c r="K2395" i="6"/>
  <c r="G2395" i="6"/>
  <c r="R2394" i="6"/>
  <c r="N2394" i="6"/>
  <c r="J2394" i="6"/>
  <c r="F2394" i="6"/>
  <c r="Q2393" i="6"/>
  <c r="M2393" i="6"/>
  <c r="I2393" i="6"/>
  <c r="E2393" i="6"/>
  <c r="P2392" i="6"/>
  <c r="L2392" i="6"/>
  <c r="H2392" i="6"/>
  <c r="D2392" i="6"/>
  <c r="D2391" i="6" s="1"/>
  <c r="AB2343" i="6"/>
  <c r="X2343" i="6"/>
  <c r="T2343" i="6"/>
  <c r="P2343" i="6"/>
  <c r="L2343" i="6"/>
  <c r="H2343" i="6"/>
  <c r="AB2342" i="6"/>
  <c r="X2342" i="6"/>
  <c r="T2342" i="6"/>
  <c r="P2342" i="6"/>
  <c r="L2342" i="6"/>
  <c r="H2342" i="6"/>
  <c r="AB2341" i="6"/>
  <c r="AB2339" i="6" s="1" a="1"/>
  <c r="AB2339" i="6" s="1"/>
  <c r="X2341" i="6"/>
  <c r="T2341" i="6"/>
  <c r="P2341" i="6"/>
  <c r="L2341" i="6"/>
  <c r="H2341" i="6"/>
  <c r="D2341" i="6"/>
  <c r="X2340" i="6"/>
  <c r="X2339" i="6" s="1" a="1"/>
  <c r="X2339" i="6" s="1"/>
  <c r="T2340" i="6"/>
  <c r="T2339" i="6" s="1" a="1"/>
  <c r="T2339" i="6" s="1"/>
  <c r="P2340" i="6"/>
  <c r="L2340" i="6"/>
  <c r="H2340" i="6"/>
  <c r="H2339" i="6" s="1" a="1"/>
  <c r="H2339" i="6" s="1"/>
  <c r="D2340" i="6"/>
  <c r="D2339" i="6" s="1" a="1"/>
  <c r="D2339" i="6" s="1"/>
  <c r="AD2291" i="6"/>
  <c r="AD2287" i="6" s="1" a="1"/>
  <c r="AD2287" i="6" s="1"/>
  <c r="Z2291" i="6"/>
  <c r="V2291" i="6"/>
  <c r="R2291" i="6"/>
  <c r="N2291" i="6"/>
  <c r="J2291" i="6"/>
  <c r="F2291" i="6"/>
  <c r="Z2290" i="6"/>
  <c r="V2290" i="6"/>
  <c r="R2290" i="6"/>
  <c r="N2290" i="6"/>
  <c r="J2290" i="6"/>
  <c r="F2290" i="6"/>
  <c r="Z2289" i="6"/>
  <c r="V2289" i="6"/>
  <c r="R2289" i="6"/>
  <c r="N2289" i="6"/>
  <c r="J2289" i="6"/>
  <c r="F2289" i="6"/>
  <c r="Z2288" i="6"/>
  <c r="Z2287" i="6" s="1" a="1"/>
  <c r="Z2287" i="6" s="1"/>
  <c r="V2288" i="6"/>
  <c r="R2288" i="6"/>
  <c r="N2288" i="6"/>
  <c r="N2287" i="6" s="1" a="1"/>
  <c r="N2287" i="6" s="1"/>
  <c r="J2288" i="6"/>
  <c r="J2287" i="6" s="1" a="1"/>
  <c r="J2287" i="6" s="1"/>
  <c r="F2288" i="6"/>
  <c r="R2395" i="6"/>
  <c r="N2395" i="6"/>
  <c r="J2395" i="6"/>
  <c r="F2395" i="6"/>
  <c r="Q2394" i="6"/>
  <c r="M2394" i="6"/>
  <c r="I2394" i="6"/>
  <c r="E2394" i="6"/>
  <c r="P2393" i="6"/>
  <c r="L2393" i="6"/>
  <c r="H2393" i="6"/>
  <c r="D2393" i="6"/>
  <c r="O2392" i="6"/>
  <c r="K2392" i="6"/>
  <c r="G2392" i="6"/>
  <c r="C2392" i="6"/>
  <c r="C2391" i="6" s="1"/>
  <c r="AA2343" i="6"/>
  <c r="W2343" i="6"/>
  <c r="S2343" i="6"/>
  <c r="O2343" i="6"/>
  <c r="K2343" i="6"/>
  <c r="G2343" i="6"/>
  <c r="AA2342" i="6"/>
  <c r="W2342" i="6"/>
  <c r="S2342" i="6"/>
  <c r="O2342" i="6"/>
  <c r="K2342" i="6"/>
  <c r="G2342" i="6"/>
  <c r="AA2341" i="6"/>
  <c r="W2341" i="6"/>
  <c r="S2341" i="6"/>
  <c r="O2341" i="6"/>
  <c r="K2341" i="6"/>
  <c r="G2341" i="6"/>
  <c r="AA2340" i="6"/>
  <c r="AA2339" i="6" s="1" a="1"/>
  <c r="AA2339" i="6" s="1"/>
  <c r="W2340" i="6"/>
  <c r="S2340" i="6"/>
  <c r="O2340" i="6"/>
  <c r="O2339" i="6" s="1" a="1"/>
  <c r="O2339" i="6" s="1"/>
  <c r="K2340" i="6"/>
  <c r="K2339" i="6" s="1" a="1"/>
  <c r="K2339" i="6" s="1"/>
  <c r="G2340" i="6"/>
  <c r="C2340" i="6"/>
  <c r="C2339" i="6" s="1" a="1"/>
  <c r="C2339" i="6" s="1"/>
  <c r="AC2291" i="6"/>
  <c r="Y2291" i="6"/>
  <c r="U2291" i="6"/>
  <c r="Q2291" i="6"/>
  <c r="M2291" i="6"/>
  <c r="I2291" i="6"/>
  <c r="AC2290" i="6"/>
  <c r="Y2290" i="6"/>
  <c r="U2290" i="6"/>
  <c r="Q2290" i="6"/>
  <c r="M2290" i="6"/>
  <c r="I2290" i="6"/>
  <c r="E2290" i="6"/>
  <c r="Y2289" i="6"/>
  <c r="U2289" i="6"/>
  <c r="Q2289" i="6"/>
  <c r="M2289" i="6"/>
  <c r="I2289" i="6"/>
  <c r="E2289" i="6"/>
  <c r="Y2288" i="6"/>
  <c r="U2288" i="6"/>
  <c r="U2287" i="6" s="1" a="1"/>
  <c r="U2287" i="6" s="1"/>
  <c r="Q2288" i="6"/>
  <c r="Q2287" i="6" s="1" a="1"/>
  <c r="Q2287" i="6" s="1"/>
  <c r="M2288" i="6"/>
  <c r="I2288" i="6"/>
  <c r="E2288" i="6"/>
  <c r="E2287" i="6" s="1" a="1"/>
  <c r="E2287" i="6" s="1"/>
  <c r="C2236" i="6"/>
  <c r="U2395" i="6"/>
  <c r="U2391" i="6" s="1"/>
  <c r="Q2395" i="6"/>
  <c r="M2395" i="6"/>
  <c r="I2395" i="6"/>
  <c r="T2394" i="6"/>
  <c r="T2391" i="6" s="1"/>
  <c r="P2394" i="6"/>
  <c r="L2394" i="6"/>
  <c r="H2394" i="6"/>
  <c r="S2393" i="6"/>
  <c r="S2391" i="6" s="1"/>
  <c r="O2393" i="6"/>
  <c r="K2393" i="6"/>
  <c r="G2393" i="6"/>
  <c r="R2392" i="6"/>
  <c r="R2391" i="6" s="1"/>
  <c r="N2392" i="6"/>
  <c r="J2392" i="6"/>
  <c r="J2391" i="6" s="1"/>
  <c r="F2392" i="6"/>
  <c r="AD2343" i="6"/>
  <c r="AD2339" i="6" s="1" a="1"/>
  <c r="AD2339" i="6" s="1"/>
  <c r="Z2343" i="6"/>
  <c r="V2343" i="6"/>
  <c r="R2343" i="6"/>
  <c r="N2343" i="6"/>
  <c r="J2343" i="6"/>
  <c r="F2343" i="6"/>
  <c r="Z2342" i="6"/>
  <c r="V2342" i="6"/>
  <c r="R2342" i="6"/>
  <c r="N2342" i="6"/>
  <c r="J2342" i="6"/>
  <c r="F2342" i="6"/>
  <c r="Z2341" i="6"/>
  <c r="V2341" i="6"/>
  <c r="R2341" i="6"/>
  <c r="N2341" i="6"/>
  <c r="J2341" i="6"/>
  <c r="F2341" i="6"/>
  <c r="Z2340" i="6"/>
  <c r="Z2339" i="6" s="1" a="1"/>
  <c r="Z2339" i="6" s="1"/>
  <c r="V2340" i="6"/>
  <c r="R2340" i="6"/>
  <c r="N2340" i="6"/>
  <c r="N2339" i="6" s="1" a="1"/>
  <c r="N2339" i="6" s="1"/>
  <c r="J2340" i="6"/>
  <c r="J2339" i="6" s="1" a="1"/>
  <c r="J2339" i="6" s="1"/>
  <c r="F2340" i="6"/>
  <c r="AB2291" i="6"/>
  <c r="X2291" i="6"/>
  <c r="T2291" i="6"/>
  <c r="P2291" i="6"/>
  <c r="L2291" i="6"/>
  <c r="H2291" i="6"/>
  <c r="AB2290" i="6"/>
  <c r="X2290" i="6"/>
  <c r="T2290" i="6"/>
  <c r="P2290" i="6"/>
  <c r="L2290" i="6"/>
  <c r="H2290" i="6"/>
  <c r="AB2289" i="6"/>
  <c r="X2289" i="6"/>
  <c r="T2289" i="6"/>
  <c r="P2289" i="6"/>
  <c r="L2289" i="6"/>
  <c r="H2289" i="6"/>
  <c r="D2289" i="6"/>
  <c r="X2288" i="6"/>
  <c r="T2288" i="6"/>
  <c r="P2288" i="6"/>
  <c r="P2287" i="6" s="1" a="1"/>
  <c r="P2287" i="6" s="1"/>
  <c r="L2288" i="6"/>
  <c r="L2287" i="6" s="1" a="1"/>
  <c r="L2287" i="6" s="1"/>
  <c r="H2288" i="6"/>
  <c r="D2288" i="6"/>
  <c r="C2235" i="6"/>
  <c r="T2395" i="6"/>
  <c r="P2395" i="6"/>
  <c r="L2395" i="6"/>
  <c r="H2395" i="6"/>
  <c r="S2394" i="6"/>
  <c r="O2394" i="6"/>
  <c r="K2394" i="6"/>
  <c r="G2394" i="6"/>
  <c r="R2393" i="6"/>
  <c r="N2393" i="6"/>
  <c r="J2393" i="6"/>
  <c r="F2393" i="6"/>
  <c r="Q2392" i="6"/>
  <c r="Q2391" i="6" s="1"/>
  <c r="M2392" i="6"/>
  <c r="I2392" i="6"/>
  <c r="I2391" i="6" s="1"/>
  <c r="E2392" i="6"/>
  <c r="E2391" i="6" s="1"/>
  <c r="E2444" i="6" s="1"/>
  <c r="AC2343" i="6"/>
  <c r="Y2343" i="6"/>
  <c r="U2343" i="6"/>
  <c r="Q2343" i="6"/>
  <c r="M2343" i="6"/>
  <c r="I2343" i="6"/>
  <c r="AC2342" i="6"/>
  <c r="Y2342" i="6"/>
  <c r="U2342" i="6"/>
  <c r="Q2342" i="6"/>
  <c r="M2342" i="6"/>
  <c r="I2342" i="6"/>
  <c r="E2342" i="6"/>
  <c r="Y2341" i="6"/>
  <c r="U2341" i="6"/>
  <c r="Q2341" i="6"/>
  <c r="M2341" i="6"/>
  <c r="I2341" i="6"/>
  <c r="E2341" i="6"/>
  <c r="Y2340" i="6"/>
  <c r="Y2339" i="6" s="1" a="1"/>
  <c r="Y2339" i="6" s="1"/>
  <c r="U2340" i="6"/>
  <c r="U2339" i="6" s="1" a="1"/>
  <c r="U2339" i="6" s="1"/>
  <c r="Q2340" i="6"/>
  <c r="M2340" i="6"/>
  <c r="I2340" i="6"/>
  <c r="I2339" i="6" s="1" a="1"/>
  <c r="I2339" i="6" s="1"/>
  <c r="E2340" i="6"/>
  <c r="E2339" i="6" s="1" a="1"/>
  <c r="E2339" i="6" s="1"/>
  <c r="AA2291" i="6"/>
  <c r="W2291" i="6"/>
  <c r="S2291" i="6"/>
  <c r="O2291" i="6"/>
  <c r="K2291" i="6"/>
  <c r="G2291" i="6"/>
  <c r="AA2290" i="6"/>
  <c r="W2290" i="6"/>
  <c r="S2290" i="6"/>
  <c r="O2290" i="6"/>
  <c r="K2290" i="6"/>
  <c r="G2290" i="6"/>
  <c r="AA2289" i="6"/>
  <c r="W2289" i="6"/>
  <c r="S2289" i="6"/>
  <c r="O2289" i="6"/>
  <c r="K2289" i="6"/>
  <c r="G2289" i="6"/>
  <c r="AA2288" i="6"/>
  <c r="AA2287" i="6" s="1" a="1"/>
  <c r="AA2287" i="6" s="1"/>
  <c r="W2288" i="6"/>
  <c r="W2287" i="6" s="1" a="1"/>
  <c r="W2287" i="6" s="1"/>
  <c r="S2288" i="6"/>
  <c r="O2288" i="6"/>
  <c r="K2288" i="6"/>
  <c r="K2287" i="6" s="1" a="1"/>
  <c r="K2287" i="6" s="1"/>
  <c r="G2288" i="6"/>
  <c r="G2287" i="6" s="1" a="1"/>
  <c r="G2287" i="6" s="1"/>
  <c r="C2288" i="6"/>
  <c r="C2287" i="6" s="1" a="1"/>
  <c r="C2287" i="6" s="1"/>
  <c r="C2237" i="6"/>
  <c r="C2234" i="6"/>
  <c r="C2233" i="6" s="1"/>
  <c r="U236" i="6"/>
  <c r="U235" i="6"/>
  <c r="C38" i="23"/>
  <c r="C31" i="22"/>
  <c r="C31" i="21"/>
  <c r="C31" i="20"/>
  <c r="C31" i="19"/>
  <c r="C31" i="18"/>
  <c r="C36" i="17"/>
  <c r="C48" i="14"/>
  <c r="C41" i="16"/>
  <c r="C33" i="15"/>
  <c r="C40" i="13"/>
  <c r="B6" i="7"/>
  <c r="AQ56" i="17"/>
  <c r="AP44" i="17"/>
  <c r="AW103" i="9"/>
  <c r="AO2066" i="6" a="1"/>
  <c r="AO2066" i="6" s="1"/>
  <c r="C21" i="17"/>
  <c r="E1106" i="6"/>
  <c r="F19" i="5" s="1"/>
  <c r="AN421" i="6"/>
  <c r="AN417" i="6"/>
  <c r="AO412" i="6"/>
  <c r="AO5" i="5"/>
  <c r="AN418" i="6"/>
  <c r="AN420" i="6"/>
  <c r="AN415" i="6"/>
  <c r="AO4" i="5"/>
  <c r="AO20" i="9"/>
  <c r="F2065" i="6"/>
  <c r="F2064" i="6"/>
  <c r="AO1785" i="6"/>
  <c r="AO1784" i="6"/>
  <c r="AP1780" i="6"/>
  <c r="AP12" i="5"/>
  <c r="D23" i="14"/>
  <c r="F415" i="6"/>
  <c r="AK1614" i="6"/>
  <c r="AK1615" i="6"/>
  <c r="AK1772" i="6" s="1"/>
  <c r="BF2817" i="6"/>
  <c r="BB2817" i="6"/>
  <c r="AX2817" i="6"/>
  <c r="AT2817" i="6"/>
  <c r="AP2817" i="6"/>
  <c r="BG2817" i="6"/>
  <c r="BA2817" i="6"/>
  <c r="AV2817" i="6"/>
  <c r="AQ2817" i="6"/>
  <c r="BE2817" i="6"/>
  <c r="AZ2817" i="6"/>
  <c r="AU2817" i="6"/>
  <c r="AO2817" i="6"/>
  <c r="BH2817" i="6"/>
  <c r="AW2817" i="6"/>
  <c r="BD2817" i="6"/>
  <c r="AS2817" i="6"/>
  <c r="BC2817" i="6"/>
  <c r="AR2817" i="6"/>
  <c r="AY2817" i="6"/>
  <c r="AN2673" i="6"/>
  <c r="AN2817" i="6"/>
  <c r="AN2779" i="6" s="1"/>
  <c r="AN2672" i="6"/>
  <c r="AO27" i="5"/>
  <c r="AN2778" i="6"/>
  <c r="AN2831" i="6" s="1"/>
  <c r="AO2" i="5"/>
  <c r="G1839" i="6"/>
  <c r="G1840" i="6"/>
  <c r="AN413" i="6"/>
  <c r="AM635" i="6"/>
  <c r="AN23" i="5" s="1"/>
  <c r="AM419" i="6"/>
  <c r="AL22" i="9"/>
  <c r="AN15" i="5"/>
  <c r="C39" i="23"/>
  <c r="C32" i="22"/>
  <c r="D2230" i="6" s="1"/>
  <c r="C32" i="21"/>
  <c r="D2009" i="6" s="1"/>
  <c r="C32" i="20"/>
  <c r="D1784" i="6" s="1"/>
  <c r="C32" i="19"/>
  <c r="D1559" i="6" s="1"/>
  <c r="C32" i="18"/>
  <c r="D1334" i="6" s="1"/>
  <c r="C42" i="16"/>
  <c r="D882" i="6" s="1"/>
  <c r="C34" i="15"/>
  <c r="D657" i="6" s="1"/>
  <c r="C37" i="17"/>
  <c r="D1109" i="6" s="1"/>
  <c r="C49" i="14"/>
  <c r="D420" i="6" s="1"/>
  <c r="C41" i="13"/>
  <c r="D13" i="6" s="1"/>
  <c r="B7" i="7"/>
  <c r="D17" i="18"/>
  <c r="F1332" i="6"/>
  <c r="J236" i="6"/>
  <c r="J235" i="6"/>
  <c r="Q235" i="6"/>
  <c r="Q236" i="6"/>
  <c r="AS126" i="14"/>
  <c r="AT128" i="14"/>
  <c r="G17" i="5"/>
  <c r="G24" i="5" s="1"/>
  <c r="G42" i="5" s="1"/>
  <c r="AX38" i="20"/>
  <c r="AP881" i="6"/>
  <c r="AQ879" i="6"/>
  <c r="AP877" i="6"/>
  <c r="AL36" i="11"/>
  <c r="AL3170" i="6"/>
  <c r="AW31" i="14"/>
  <c r="AV33" i="14"/>
  <c r="BA2429" i="6"/>
  <c r="AW2429" i="6"/>
  <c r="AS2429" i="6"/>
  <c r="AO2429" i="6"/>
  <c r="BL2377" i="6"/>
  <c r="BH2377" i="6"/>
  <c r="BD2377" i="6"/>
  <c r="AZ2377" i="6"/>
  <c r="AV2377" i="6"/>
  <c r="AR2377" i="6"/>
  <c r="AN2377" i="6"/>
  <c r="AN2339" i="6" s="1" a="1"/>
  <c r="AN2339" i="6" s="1"/>
  <c r="BJ2325" i="6"/>
  <c r="BF2325" i="6"/>
  <c r="BB2325" i="6"/>
  <c r="AX2325" i="6"/>
  <c r="AT2325" i="6"/>
  <c r="AP2325" i="6"/>
  <c r="AL2271" i="6"/>
  <c r="AZ2429" i="6"/>
  <c r="AV2429" i="6"/>
  <c r="AR2429" i="6"/>
  <c r="AN2429" i="6"/>
  <c r="AN2391" i="6" s="1"/>
  <c r="BK2377" i="6"/>
  <c r="BG2377" i="6"/>
  <c r="BC2377" i="6"/>
  <c r="AY2377" i="6"/>
  <c r="AU2377" i="6"/>
  <c r="AQ2377" i="6"/>
  <c r="BI2325" i="6"/>
  <c r="BE2325" i="6"/>
  <c r="BA2325" i="6"/>
  <c r="AW2325" i="6"/>
  <c r="AS2325" i="6"/>
  <c r="AO2325" i="6"/>
  <c r="AK2271" i="6"/>
  <c r="AK2233" i="6" s="1"/>
  <c r="BC2429" i="6"/>
  <c r="AY2429" i="6"/>
  <c r="AU2429" i="6"/>
  <c r="AQ2429" i="6"/>
  <c r="BJ2377" i="6"/>
  <c r="BF2377" i="6"/>
  <c r="BB2377" i="6"/>
  <c r="AX2377" i="6"/>
  <c r="AT2377" i="6"/>
  <c r="AP2377" i="6"/>
  <c r="BL2325" i="6"/>
  <c r="BH2325" i="6"/>
  <c r="BD2325" i="6"/>
  <c r="AZ2325" i="6"/>
  <c r="AV2325" i="6"/>
  <c r="AR2325" i="6"/>
  <c r="AN2325" i="6"/>
  <c r="AN2287" i="6" s="1" a="1"/>
  <c r="AN2287" i="6" s="1"/>
  <c r="BB2429" i="6"/>
  <c r="AX2429" i="6"/>
  <c r="AT2429" i="6"/>
  <c r="AP2429" i="6"/>
  <c r="BI2377" i="6"/>
  <c r="BE2377" i="6"/>
  <c r="BA2377" i="6"/>
  <c r="AW2377" i="6"/>
  <c r="AS2377" i="6"/>
  <c r="AO2377" i="6"/>
  <c r="BK2325" i="6"/>
  <c r="BG2325" i="6"/>
  <c r="BC2325" i="6"/>
  <c r="AY2325" i="6"/>
  <c r="AU2325" i="6"/>
  <c r="AQ2325" i="6"/>
  <c r="AM2271" i="6"/>
  <c r="AO2232" i="6"/>
  <c r="AN24" i="8"/>
  <c r="AM44" i="8"/>
  <c r="AP2229" i="6"/>
  <c r="AQ2227" i="6"/>
  <c r="AQ1555" i="6"/>
  <c r="AQ1554" i="6" s="1"/>
  <c r="AP1559" i="6"/>
  <c r="AP1560" i="6"/>
  <c r="AQ11" i="5"/>
  <c r="AO1109" i="6"/>
  <c r="AO1110" i="6"/>
  <c r="AP1103" i="6"/>
  <c r="AP9" i="5"/>
  <c r="G475" i="6"/>
  <c r="G476" i="6"/>
  <c r="H22" i="5"/>
  <c r="H25" i="5" s="1"/>
  <c r="H43" i="5" s="1"/>
  <c r="AP17" i="19"/>
  <c r="AP1557" i="6"/>
  <c r="BH394" i="6"/>
  <c r="BD394" i="6"/>
  <c r="AZ394" i="6"/>
  <c r="AV394" i="6"/>
  <c r="AR394" i="6"/>
  <c r="AN394" i="6"/>
  <c r="AN356" i="6" s="1"/>
  <c r="AN250" i="6"/>
  <c r="BG394" i="6"/>
  <c r="BC394" i="6"/>
  <c r="AY394" i="6"/>
  <c r="AU394" i="6"/>
  <c r="AQ394" i="6"/>
  <c r="BA394" i="6"/>
  <c r="AS394" i="6"/>
  <c r="BF394" i="6"/>
  <c r="BB394" i="6"/>
  <c r="AX394" i="6"/>
  <c r="AT394" i="6"/>
  <c r="AP394" i="6"/>
  <c r="BE394" i="6"/>
  <c r="AW394" i="6"/>
  <c r="AO394" i="6"/>
  <c r="AN249" i="6"/>
  <c r="AO29" i="5"/>
  <c r="AN355" i="6"/>
  <c r="AM660" i="6"/>
  <c r="AO2669" i="6"/>
  <c r="AP2669" i="6" s="1"/>
  <c r="H713" i="6"/>
  <c r="H712" i="6"/>
  <c r="AS2447" i="6"/>
  <c r="AR2452" i="6"/>
  <c r="AS14" i="5"/>
  <c r="Y235" i="6"/>
  <c r="Y236" i="6"/>
  <c r="AP1554" i="6"/>
  <c r="AQ2005" i="6"/>
  <c r="AP2009" i="6"/>
  <c r="AP2010" i="6"/>
  <c r="AT24" i="9"/>
  <c r="AM3166" i="6" l="1"/>
  <c r="AM3167" i="6"/>
  <c r="AK2285" i="6"/>
  <c r="AK2286" i="6"/>
  <c r="AK2443" i="6" s="1"/>
  <c r="AK2833" i="6"/>
  <c r="AK2832" i="6"/>
  <c r="AN529" i="6" a="1"/>
  <c r="AN529" i="6" s="1"/>
  <c r="AP714" i="6" a="1"/>
  <c r="AP714" i="6" s="1"/>
  <c r="AL3000" i="6"/>
  <c r="AL2999" i="6"/>
  <c r="AP1668" i="6" a="1"/>
  <c r="AP1668" i="6" s="1"/>
  <c r="AO1096" i="6"/>
  <c r="AN236" i="6"/>
  <c r="AM2841" i="6" a="1"/>
  <c r="AM2841" i="6" s="1"/>
  <c r="AL2065" i="6"/>
  <c r="AL2222" i="6" s="1"/>
  <c r="AL2064" i="6"/>
  <c r="AO2223" i="6"/>
  <c r="F2287" i="6" a="1"/>
  <c r="F2287" i="6" s="1"/>
  <c r="AR36" i="22"/>
  <c r="AS38" i="22"/>
  <c r="AY2930" i="6"/>
  <c r="AU2930" i="6"/>
  <c r="AQ2930" i="6"/>
  <c r="AM2930" i="6"/>
  <c r="AM2893" i="6" s="1" a="1"/>
  <c r="AM2893" i="6" s="1"/>
  <c r="AX2878" i="6"/>
  <c r="AT2878" i="6"/>
  <c r="AP2878" i="6"/>
  <c r="AZ2930" i="6"/>
  <c r="AT2930" i="6"/>
  <c r="AO2930" i="6"/>
  <c r="AY2878" i="6"/>
  <c r="AS2878" i="6"/>
  <c r="AN2878" i="6"/>
  <c r="AX2930" i="6"/>
  <c r="AS2930" i="6"/>
  <c r="AN2930" i="6"/>
  <c r="AW2878" i="6"/>
  <c r="AR2878" i="6"/>
  <c r="AM2878" i="6"/>
  <c r="AW2930" i="6"/>
  <c r="AR2930" i="6"/>
  <c r="AP2930" i="6"/>
  <c r="AU2878" i="6"/>
  <c r="BA2878" i="6"/>
  <c r="AQ2878" i="6"/>
  <c r="BA2930" i="6"/>
  <c r="AZ2878" i="6"/>
  <c r="AO2878" i="6"/>
  <c r="AV2930" i="6"/>
  <c r="AV2878" i="6"/>
  <c r="BH395" i="6"/>
  <c r="BD395" i="6"/>
  <c r="AZ395" i="6"/>
  <c r="AV395" i="6"/>
  <c r="AR395" i="6"/>
  <c r="BG395" i="6"/>
  <c r="BC395" i="6"/>
  <c r="AY395" i="6"/>
  <c r="AU395" i="6"/>
  <c r="AQ395" i="6"/>
  <c r="AS395" i="6"/>
  <c r="BF395" i="6"/>
  <c r="BB395" i="6"/>
  <c r="AX395" i="6"/>
  <c r="AT395" i="6"/>
  <c r="AP395" i="6"/>
  <c r="AO249" i="6"/>
  <c r="AP29" i="5"/>
  <c r="BI395" i="6"/>
  <c r="BE395" i="6"/>
  <c r="BA395" i="6"/>
  <c r="AW395" i="6"/>
  <c r="AO395" i="6"/>
  <c r="AO356" i="6" s="1"/>
  <c r="AO250" i="6"/>
  <c r="AO355" i="6"/>
  <c r="AS36" i="19"/>
  <c r="AT38" i="19"/>
  <c r="AK19" i="17"/>
  <c r="AK1105" i="6"/>
  <c r="AR70" i="13"/>
  <c r="AQ48" i="13"/>
  <c r="C25" i="16"/>
  <c r="E880" i="6"/>
  <c r="F712" i="6"/>
  <c r="F713" i="6"/>
  <c r="C2" i="15"/>
  <c r="L823" i="6"/>
  <c r="L818" i="6" s="1"/>
  <c r="H823" i="6"/>
  <c r="U771" i="6"/>
  <c r="U766" i="6" s="1" a="1"/>
  <c r="U766" i="6" s="1"/>
  <c r="Q771" i="6"/>
  <c r="M771" i="6"/>
  <c r="I771" i="6"/>
  <c r="R719" i="6"/>
  <c r="N719" i="6"/>
  <c r="J719" i="6"/>
  <c r="K823" i="6"/>
  <c r="G823" i="6"/>
  <c r="T771" i="6"/>
  <c r="P771" i="6"/>
  <c r="L771" i="6"/>
  <c r="H771" i="6"/>
  <c r="U719" i="6"/>
  <c r="U714" i="6" s="1" a="1"/>
  <c r="U714" i="6" s="1"/>
  <c r="Q719" i="6"/>
  <c r="M719" i="6"/>
  <c r="I719" i="6"/>
  <c r="J823" i="6"/>
  <c r="S771" i="6"/>
  <c r="O771" i="6"/>
  <c r="K771" i="6"/>
  <c r="G771" i="6"/>
  <c r="T719" i="6"/>
  <c r="P719" i="6"/>
  <c r="L719" i="6"/>
  <c r="H719" i="6"/>
  <c r="E664" i="6"/>
  <c r="E660" i="6" s="1"/>
  <c r="I823" i="6"/>
  <c r="R771" i="6"/>
  <c r="N771" i="6"/>
  <c r="J771" i="6"/>
  <c r="S719" i="6"/>
  <c r="O719" i="6"/>
  <c r="K719" i="6"/>
  <c r="G719" i="6"/>
  <c r="E665" i="6"/>
  <c r="AO2836" i="6"/>
  <c r="AP2836" i="6" s="1"/>
  <c r="AL1389" i="6"/>
  <c r="AL1390" i="6"/>
  <c r="AL1547" i="6" s="1"/>
  <c r="AQ652" i="6"/>
  <c r="AR654" i="6"/>
  <c r="AQ656" i="6"/>
  <c r="AP26" i="5"/>
  <c r="BH3152" i="6"/>
  <c r="BD3152" i="6"/>
  <c r="AZ3152" i="6"/>
  <c r="AV3152" i="6"/>
  <c r="AR3152" i="6"/>
  <c r="BG3152" i="6"/>
  <c r="BC3152" i="6"/>
  <c r="AY3152" i="6"/>
  <c r="AU3152" i="6"/>
  <c r="AQ3152" i="6"/>
  <c r="BE3152" i="6"/>
  <c r="AW3152" i="6"/>
  <c r="AO3152" i="6"/>
  <c r="AO3113" i="6" s="1"/>
  <c r="AO3007" i="6"/>
  <c r="BB3152" i="6"/>
  <c r="AT3152" i="6"/>
  <c r="AO3006" i="6"/>
  <c r="BI3152" i="6"/>
  <c r="BA3152" i="6"/>
  <c r="AS3152" i="6"/>
  <c r="AX3152" i="6"/>
  <c r="AP3152" i="6"/>
  <c r="BF3152" i="6"/>
  <c r="AO3112" i="6"/>
  <c r="B17" i="20"/>
  <c r="C1782" i="6" s="1"/>
  <c r="D1782" i="6"/>
  <c r="AJ46" i="5"/>
  <c r="AJ44" i="5"/>
  <c r="M1096" i="6"/>
  <c r="M1095" i="6"/>
  <c r="AS36" i="21"/>
  <c r="AT38" i="21"/>
  <c r="AP17" i="21"/>
  <c r="AP2007" i="6"/>
  <c r="D1614" i="6"/>
  <c r="D1615" i="6"/>
  <c r="W1998" i="6"/>
  <c r="W1997" i="6"/>
  <c r="AQ20" i="9"/>
  <c r="AN1998" i="6"/>
  <c r="AP13" i="6"/>
  <c r="AQ3" i="5"/>
  <c r="AP14" i="6"/>
  <c r="AQ8" i="6"/>
  <c r="AQ2" i="5"/>
  <c r="AP2228" i="6"/>
  <c r="AV50" i="13"/>
  <c r="B17" i="19"/>
  <c r="C1557" i="6" s="1"/>
  <c r="D1557" i="6"/>
  <c r="C21" i="15"/>
  <c r="E655" i="6"/>
  <c r="BD1309" i="6"/>
  <c r="AZ1309" i="6"/>
  <c r="AV1309" i="6"/>
  <c r="AR1309" i="6"/>
  <c r="BB1257" i="6"/>
  <c r="AX1257" i="6"/>
  <c r="AT1257" i="6"/>
  <c r="AP1257" i="6"/>
  <c r="BC1205" i="6"/>
  <c r="AY1205" i="6"/>
  <c r="AU1205" i="6"/>
  <c r="AQ1205" i="6"/>
  <c r="AM1151" i="6"/>
  <c r="AI1151" i="6"/>
  <c r="AI1112" i="6" s="1"/>
  <c r="BC1309" i="6"/>
  <c r="AY1309" i="6"/>
  <c r="AU1309" i="6"/>
  <c r="AQ1309" i="6"/>
  <c r="BA1257" i="6"/>
  <c r="AW1257" i="6"/>
  <c r="AS1257" i="6"/>
  <c r="AO1257" i="6"/>
  <c r="AO1218" i="6" s="1" a="1"/>
  <c r="AO1218" i="6" s="1"/>
  <c r="BB1205" i="6"/>
  <c r="AX1205" i="6"/>
  <c r="AT1205" i="6"/>
  <c r="AP1205" i="6"/>
  <c r="AL1151" i="6"/>
  <c r="BB1309" i="6"/>
  <c r="AX1309" i="6"/>
  <c r="AT1309" i="6"/>
  <c r="AP1309" i="6"/>
  <c r="AZ1257" i="6"/>
  <c r="AV1257" i="6"/>
  <c r="AR1257" i="6"/>
  <c r="BA1205" i="6"/>
  <c r="AW1205" i="6"/>
  <c r="AS1205" i="6"/>
  <c r="AO1205" i="6"/>
  <c r="AO1166" i="6" s="1" a="1"/>
  <c r="AO1166" i="6" s="1"/>
  <c r="AK1151" i="6"/>
  <c r="BA1309" i="6"/>
  <c r="AW1309" i="6"/>
  <c r="AS1309" i="6"/>
  <c r="AO1309" i="6"/>
  <c r="AO1270" i="6" s="1"/>
  <c r="BC1257" i="6"/>
  <c r="AY1257" i="6"/>
  <c r="AU1257" i="6"/>
  <c r="AQ1257" i="6"/>
  <c r="AZ1205" i="6"/>
  <c r="AV1205" i="6"/>
  <c r="AR1205" i="6"/>
  <c r="AN1151" i="6"/>
  <c r="AJ1151" i="6"/>
  <c r="AP1111" i="6"/>
  <c r="AQ2229" i="6"/>
  <c r="AR2227" i="6"/>
  <c r="AW33" i="14"/>
  <c r="AX31" i="14"/>
  <c r="AM633" i="6"/>
  <c r="AM634" i="6"/>
  <c r="BD1984" i="6"/>
  <c r="AZ1984" i="6"/>
  <c r="AV1984" i="6"/>
  <c r="AR1984" i="6"/>
  <c r="BA1932" i="6"/>
  <c r="AW1932" i="6"/>
  <c r="AS1932" i="6"/>
  <c r="AO1932" i="6"/>
  <c r="AZ1880" i="6"/>
  <c r="AV1880" i="6"/>
  <c r="AR1880" i="6"/>
  <c r="BC1984" i="6"/>
  <c r="AY1984" i="6"/>
  <c r="AU1984" i="6"/>
  <c r="AQ1984" i="6"/>
  <c r="AZ1932" i="6"/>
  <c r="AV1932" i="6"/>
  <c r="AR1932" i="6"/>
  <c r="BC1880" i="6"/>
  <c r="AY1880" i="6"/>
  <c r="AU1880" i="6"/>
  <c r="AQ1880" i="6"/>
  <c r="BB1984" i="6"/>
  <c r="AX1984" i="6"/>
  <c r="AT1984" i="6"/>
  <c r="AP1984" i="6"/>
  <c r="BC1932" i="6"/>
  <c r="AY1932" i="6"/>
  <c r="AU1932" i="6"/>
  <c r="AQ1932" i="6"/>
  <c r="BB1880" i="6"/>
  <c r="AX1880" i="6"/>
  <c r="AT1880" i="6"/>
  <c r="AP1880" i="6"/>
  <c r="AS1984" i="6"/>
  <c r="AX1932" i="6"/>
  <c r="AW1880" i="6"/>
  <c r="AL1826" i="6"/>
  <c r="AL1787" i="6" s="1"/>
  <c r="AO1984" i="6"/>
  <c r="AO1945" i="6" s="1"/>
  <c r="AT1932" i="6"/>
  <c r="AS1880" i="6"/>
  <c r="AP1786" i="6"/>
  <c r="BA1984" i="6"/>
  <c r="AP1932" i="6"/>
  <c r="AO1880" i="6"/>
  <c r="AN1826" i="6"/>
  <c r="AW1984" i="6"/>
  <c r="BB1932" i="6"/>
  <c r="BA1880" i="6"/>
  <c r="AM1826" i="6"/>
  <c r="Y2444" i="6"/>
  <c r="J2444" i="6"/>
  <c r="J2443" i="6"/>
  <c r="AQ62" i="12"/>
  <c r="AR62" i="12" s="1"/>
  <c r="AS62" i="12" s="1"/>
  <c r="AT62" i="12" s="1"/>
  <c r="AU62" i="12" s="1"/>
  <c r="AV62" i="12" s="1"/>
  <c r="AW62" i="12" s="1"/>
  <c r="V870" i="6"/>
  <c r="V871" i="6"/>
  <c r="BD2654" i="6"/>
  <c r="AZ2654" i="6"/>
  <c r="AV2654" i="6"/>
  <c r="AR2654" i="6"/>
  <c r="AR2612" i="6" s="1"/>
  <c r="BC2602" i="6"/>
  <c r="AY2602" i="6"/>
  <c r="AU2602" i="6"/>
  <c r="BF2550" i="6"/>
  <c r="BB2550" i="6"/>
  <c r="AX2550" i="6"/>
  <c r="AT2550" i="6"/>
  <c r="BC2654" i="6"/>
  <c r="AX2654" i="6"/>
  <c r="AS2654" i="6"/>
  <c r="BE2602" i="6"/>
  <c r="AZ2602" i="6"/>
  <c r="AT2602" i="6"/>
  <c r="BA2550" i="6"/>
  <c r="AV2550" i="6"/>
  <c r="BG2654" i="6"/>
  <c r="BB2654" i="6"/>
  <c r="AW2654" i="6"/>
  <c r="BD2602" i="6"/>
  <c r="AX2602" i="6"/>
  <c r="AS2602" i="6"/>
  <c r="BE2550" i="6"/>
  <c r="AZ2550" i="6"/>
  <c r="AU2550" i="6"/>
  <c r="BF2654" i="6"/>
  <c r="BA2654" i="6"/>
  <c r="AU2654" i="6"/>
  <c r="BB2602" i="6"/>
  <c r="AW2602" i="6"/>
  <c r="AR2602" i="6"/>
  <c r="AR2560" i="6" s="1" a="1"/>
  <c r="AR2560" i="6" s="1"/>
  <c r="BD2550" i="6"/>
  <c r="AY2550" i="6"/>
  <c r="AS2550" i="6"/>
  <c r="AT2654" i="6"/>
  <c r="BA2602" i="6"/>
  <c r="AS2453" i="6"/>
  <c r="AV2602" i="6"/>
  <c r="BC2550" i="6"/>
  <c r="BE2654" i="6"/>
  <c r="AW2550" i="6"/>
  <c r="AY2654" i="6"/>
  <c r="BF2602" i="6"/>
  <c r="AR2550" i="6"/>
  <c r="AR2508" i="6" s="1" a="1"/>
  <c r="AR2508" i="6" s="1"/>
  <c r="AQ2496" i="6"/>
  <c r="AQ2454" i="6" s="1"/>
  <c r="AS21" i="5"/>
  <c r="AQ17" i="19"/>
  <c r="AQ1557" i="6"/>
  <c r="AR879" i="6"/>
  <c r="AQ877" i="6"/>
  <c r="AQ881" i="6"/>
  <c r="G44" i="5"/>
  <c r="G46" i="5"/>
  <c r="C17" i="18"/>
  <c r="E1332" i="6"/>
  <c r="E2443" i="6"/>
  <c r="B39" i="23"/>
  <c r="B32" i="22"/>
  <c r="C2230" i="6" s="1"/>
  <c r="B32" i="21"/>
  <c r="C2009" i="6" s="1"/>
  <c r="B32" i="20"/>
  <c r="C1784" i="6" s="1"/>
  <c r="B32" i="19"/>
  <c r="C1559" i="6" s="1"/>
  <c r="B37" i="17"/>
  <c r="C1109" i="6" s="1"/>
  <c r="B32" i="18"/>
  <c r="C1334" i="6" s="1"/>
  <c r="B42" i="16"/>
  <c r="C882" i="6" s="1"/>
  <c r="B34" i="15"/>
  <c r="C657" i="6" s="1"/>
  <c r="B49" i="14"/>
  <c r="C420" i="6" s="1"/>
  <c r="B41" i="13"/>
  <c r="C13" i="6" s="1"/>
  <c r="AO413" i="6"/>
  <c r="AN635" i="6"/>
  <c r="AO23" i="5" s="1"/>
  <c r="AN419" i="6"/>
  <c r="AM22" i="9"/>
  <c r="AO15" i="5"/>
  <c r="AP1784" i="6"/>
  <c r="AQ1780" i="6"/>
  <c r="AP1785" i="6"/>
  <c r="AQ12" i="5"/>
  <c r="AN414" i="6"/>
  <c r="AO418" i="6"/>
  <c r="AO414" i="6"/>
  <c r="AO421" i="6"/>
  <c r="AO417" i="6"/>
  <c r="AP412" i="6"/>
  <c r="AO420" i="6"/>
  <c r="AO415" i="6"/>
  <c r="AP4" i="5"/>
  <c r="AP5" i="5"/>
  <c r="B21" i="17"/>
  <c r="C1106" i="6" s="1"/>
  <c r="D19" i="5" s="1"/>
  <c r="D1106" i="6"/>
  <c r="E19" i="5" s="1"/>
  <c r="AR56" i="17"/>
  <c r="AQ44" i="17"/>
  <c r="S2287" i="6" a="1"/>
  <c r="S2287" i="6" s="1"/>
  <c r="Q2339" i="6" a="1"/>
  <c r="Q2339" i="6" s="1"/>
  <c r="Q2444" i="6" s="1"/>
  <c r="M2391" i="6"/>
  <c r="H2287" i="6" a="1"/>
  <c r="H2287" i="6" s="1"/>
  <c r="X2287" i="6" a="1"/>
  <c r="X2287" i="6" s="1"/>
  <c r="X2443" i="6" s="1"/>
  <c r="F2339" i="6" a="1"/>
  <c r="F2339" i="6" s="1"/>
  <c r="V2339" i="6" a="1"/>
  <c r="V2339" i="6" s="1"/>
  <c r="AD2444" i="6"/>
  <c r="AD2443" i="6"/>
  <c r="S2444" i="6"/>
  <c r="T2444" i="6"/>
  <c r="U2443" i="6"/>
  <c r="U2444" i="6"/>
  <c r="M2287" i="6" a="1"/>
  <c r="M2287" i="6" s="1"/>
  <c r="AC2287" i="6" a="1"/>
  <c r="AC2287" i="6" s="1"/>
  <c r="G2339" i="6" a="1"/>
  <c r="G2339" i="6" s="1"/>
  <c r="W2339" i="6" a="1"/>
  <c r="W2339" i="6" s="1"/>
  <c r="V2287" i="6" a="1"/>
  <c r="V2287" i="6" s="1"/>
  <c r="P2339" i="6" a="1"/>
  <c r="P2339" i="6" s="1"/>
  <c r="L2391" i="6"/>
  <c r="AQ2010" i="6"/>
  <c r="AR2005" i="6"/>
  <c r="AS2452" i="6"/>
  <c r="AT2447" i="6"/>
  <c r="AT14" i="5"/>
  <c r="AM712" i="6"/>
  <c r="AM713" i="6"/>
  <c r="AM870" i="6" s="1"/>
  <c r="H45" i="5"/>
  <c r="H47" i="5"/>
  <c r="AP1109" i="6"/>
  <c r="AP1110" i="6"/>
  <c r="AQ1103" i="6"/>
  <c r="AQ9" i="5"/>
  <c r="BC1760" i="6"/>
  <c r="AY1760" i="6"/>
  <c r="AU1760" i="6"/>
  <c r="AQ1760" i="6"/>
  <c r="BA1708" i="6"/>
  <c r="AW1708" i="6"/>
  <c r="AS1708" i="6"/>
  <c r="BD1656" i="6"/>
  <c r="AZ1656" i="6"/>
  <c r="AV1656" i="6"/>
  <c r="AR1656" i="6"/>
  <c r="BD1760" i="6"/>
  <c r="AX1760" i="6"/>
  <c r="AS1760" i="6"/>
  <c r="BD1708" i="6"/>
  <c r="AY1708" i="6"/>
  <c r="AT1708" i="6"/>
  <c r="BC1656" i="6"/>
  <c r="AX1656" i="6"/>
  <c r="AS1656" i="6"/>
  <c r="AO1602" i="6"/>
  <c r="AQ1561" i="6"/>
  <c r="BB1760" i="6"/>
  <c r="AW1760" i="6"/>
  <c r="AR1760" i="6"/>
  <c r="BC1708" i="6"/>
  <c r="AX1708" i="6"/>
  <c r="AR1708" i="6"/>
  <c r="BB1656" i="6"/>
  <c r="AW1656" i="6"/>
  <c r="AQ1656" i="6"/>
  <c r="AN1602" i="6"/>
  <c r="BA1760" i="6"/>
  <c r="AV1760" i="6"/>
  <c r="AP1760" i="6"/>
  <c r="AP1720" i="6" s="1"/>
  <c r="BB1708" i="6"/>
  <c r="AV1708" i="6"/>
  <c r="AQ1708" i="6"/>
  <c r="BA1656" i="6"/>
  <c r="AU1656" i="6"/>
  <c r="AP1656" i="6"/>
  <c r="AP1616" i="6" s="1" a="1"/>
  <c r="AP1616" i="6" s="1"/>
  <c r="AM1602" i="6"/>
  <c r="AM1562" i="6" s="1"/>
  <c r="BE1760" i="6"/>
  <c r="AZ1760" i="6"/>
  <c r="AT1760" i="6"/>
  <c r="AZ1708" i="6"/>
  <c r="AU1708" i="6"/>
  <c r="AP1708" i="6"/>
  <c r="AY1656" i="6"/>
  <c r="AT1656" i="6"/>
  <c r="AM43" i="8"/>
  <c r="AN643" i="6" s="1"/>
  <c r="AN645" i="6" s="1"/>
  <c r="AM42" i="8"/>
  <c r="AN644" i="6" s="1"/>
  <c r="AM41" i="8"/>
  <c r="AN642" i="6" s="1"/>
  <c r="AN641" i="6"/>
  <c r="AO33" i="5" s="1"/>
  <c r="AT126" i="14"/>
  <c r="AU128" i="14"/>
  <c r="C23" i="14"/>
  <c r="E415" i="6"/>
  <c r="F17" i="5" s="1"/>
  <c r="F24" i="5" s="1"/>
  <c r="F42" i="5" s="1"/>
  <c r="AO15" i="9"/>
  <c r="AP2671" i="6" s="1"/>
  <c r="AN416" i="6"/>
  <c r="AO35" i="5"/>
  <c r="B38" i="23"/>
  <c r="B31" i="22"/>
  <c r="B31" i="21"/>
  <c r="B31" i="19"/>
  <c r="B31" i="20"/>
  <c r="B31" i="18"/>
  <c r="B41" i="16"/>
  <c r="B33" i="15"/>
  <c r="B36" i="17"/>
  <c r="B48" i="14"/>
  <c r="B40" i="13"/>
  <c r="Z2443" i="6"/>
  <c r="Z2444" i="6"/>
  <c r="F2391" i="6"/>
  <c r="AA2443" i="6"/>
  <c r="AA2444" i="6"/>
  <c r="G2391" i="6"/>
  <c r="AB2444" i="6"/>
  <c r="P2391" i="6"/>
  <c r="AP38" i="23"/>
  <c r="AP31" i="22"/>
  <c r="AP31" i="19"/>
  <c r="AP31" i="21"/>
  <c r="AP31" i="20"/>
  <c r="AP31" i="18"/>
  <c r="AP41" i="16"/>
  <c r="AP33" i="15"/>
  <c r="AP36" i="17"/>
  <c r="AP40" i="13"/>
  <c r="AP48" i="14"/>
  <c r="AQ6" i="7"/>
  <c r="AU24" i="9"/>
  <c r="AU59" i="14"/>
  <c r="AX62" i="12"/>
  <c r="AY62" i="12" s="1"/>
  <c r="AZ62" i="12" s="1"/>
  <c r="AM2832" i="6"/>
  <c r="AM2833" i="6"/>
  <c r="AQ1781" i="6"/>
  <c r="AP1779" i="6"/>
  <c r="AP1783" i="6"/>
  <c r="AT46" i="16"/>
  <c r="AU48" i="16"/>
  <c r="AN937" i="6"/>
  <c r="AN938" i="6"/>
  <c r="AN1095" i="6" s="1"/>
  <c r="E1337" i="6"/>
  <c r="W1547" i="6"/>
  <c r="W1548" i="6"/>
  <c r="AV38" i="18"/>
  <c r="AO1893" i="6" a="1"/>
  <c r="AO1893" i="6" s="1"/>
  <c r="AO3165" i="6"/>
  <c r="V2223" i="6"/>
  <c r="V2222" i="6"/>
  <c r="R2174" i="6"/>
  <c r="N2174" i="6"/>
  <c r="J2174" i="6"/>
  <c r="F2174" i="6"/>
  <c r="Q2173" i="6"/>
  <c r="M2173" i="6"/>
  <c r="I2173" i="6"/>
  <c r="E2173" i="6"/>
  <c r="P2172" i="6"/>
  <c r="L2172" i="6"/>
  <c r="H2172" i="6"/>
  <c r="D2172" i="6"/>
  <c r="O2171" i="6"/>
  <c r="K2171" i="6"/>
  <c r="G2171" i="6"/>
  <c r="C2171" i="6"/>
  <c r="C2170" i="6" s="1"/>
  <c r="T2122" i="6"/>
  <c r="T2118" i="6" s="1" a="1"/>
  <c r="T2118" i="6" s="1"/>
  <c r="P2122" i="6"/>
  <c r="L2122" i="6"/>
  <c r="H2122" i="6"/>
  <c r="R2121" i="6"/>
  <c r="N2121" i="6"/>
  <c r="J2121" i="6"/>
  <c r="F2121" i="6"/>
  <c r="P2120" i="6"/>
  <c r="L2120" i="6"/>
  <c r="H2120" i="6"/>
  <c r="D2120" i="6"/>
  <c r="N2119" i="6"/>
  <c r="J2119" i="6"/>
  <c r="F2119" i="6"/>
  <c r="S2070" i="6"/>
  <c r="O2070" i="6"/>
  <c r="K2070" i="6"/>
  <c r="G2070" i="6"/>
  <c r="Q2069" i="6"/>
  <c r="M2069" i="6"/>
  <c r="I2069" i="6"/>
  <c r="E2069" i="6"/>
  <c r="O2068" i="6"/>
  <c r="K2068" i="6"/>
  <c r="G2068" i="6"/>
  <c r="Q2067" i="6"/>
  <c r="M2067" i="6"/>
  <c r="M2066" i="6" s="1" a="1"/>
  <c r="M2066" i="6" s="1"/>
  <c r="I2067" i="6"/>
  <c r="E2067" i="6"/>
  <c r="C2015" i="6"/>
  <c r="U2174" i="6"/>
  <c r="U2170" i="6" s="1"/>
  <c r="Q2174" i="6"/>
  <c r="M2174" i="6"/>
  <c r="I2174" i="6"/>
  <c r="T2173" i="6"/>
  <c r="T2170" i="6" s="1"/>
  <c r="P2173" i="6"/>
  <c r="L2173" i="6"/>
  <c r="H2173" i="6"/>
  <c r="S2172" i="6"/>
  <c r="S2170" i="6" s="1"/>
  <c r="O2172" i="6"/>
  <c r="K2172" i="6"/>
  <c r="G2172" i="6"/>
  <c r="R2171" i="6"/>
  <c r="N2171" i="6"/>
  <c r="J2171" i="6"/>
  <c r="F2171" i="6"/>
  <c r="S2122" i="6"/>
  <c r="O2122" i="6"/>
  <c r="K2122" i="6"/>
  <c r="G2122" i="6"/>
  <c r="Q2121" i="6"/>
  <c r="M2121" i="6"/>
  <c r="I2121" i="6"/>
  <c r="E2121" i="6"/>
  <c r="O2120" i="6"/>
  <c r="K2120" i="6"/>
  <c r="G2120" i="6"/>
  <c r="Q2119" i="6"/>
  <c r="M2119" i="6"/>
  <c r="I2119" i="6"/>
  <c r="E2119" i="6"/>
  <c r="R2070" i="6"/>
  <c r="N2070" i="6"/>
  <c r="J2070" i="6"/>
  <c r="F2070" i="6"/>
  <c r="P2069" i="6"/>
  <c r="L2069" i="6"/>
  <c r="H2069" i="6"/>
  <c r="R2068" i="6"/>
  <c r="N2068" i="6"/>
  <c r="J2068" i="6"/>
  <c r="F2068" i="6"/>
  <c r="P2067" i="6"/>
  <c r="L2067" i="6"/>
  <c r="H2067" i="6"/>
  <c r="D2067" i="6"/>
  <c r="C2014" i="6"/>
  <c r="T2174" i="6"/>
  <c r="P2174" i="6"/>
  <c r="L2174" i="6"/>
  <c r="H2174" i="6"/>
  <c r="S2173" i="6"/>
  <c r="O2173" i="6"/>
  <c r="K2173" i="6"/>
  <c r="G2173" i="6"/>
  <c r="R2172" i="6"/>
  <c r="N2172" i="6"/>
  <c r="J2172" i="6"/>
  <c r="F2172" i="6"/>
  <c r="Q2171" i="6"/>
  <c r="M2171" i="6"/>
  <c r="I2171" i="6"/>
  <c r="E2171" i="6"/>
  <c r="R2122" i="6"/>
  <c r="N2122" i="6"/>
  <c r="J2122" i="6"/>
  <c r="F2122" i="6"/>
  <c r="P2121" i="6"/>
  <c r="L2121" i="6"/>
  <c r="H2121" i="6"/>
  <c r="R2120" i="6"/>
  <c r="N2120" i="6"/>
  <c r="J2120" i="6"/>
  <c r="F2120" i="6"/>
  <c r="P2119" i="6"/>
  <c r="L2119" i="6"/>
  <c r="H2119" i="6"/>
  <c r="H2118" i="6" s="1" a="1"/>
  <c r="H2118" i="6" s="1"/>
  <c r="D2119" i="6"/>
  <c r="Q2070" i="6"/>
  <c r="M2070" i="6"/>
  <c r="I2070" i="6"/>
  <c r="S2069" i="6"/>
  <c r="O2069" i="6"/>
  <c r="K2069" i="6"/>
  <c r="G2069" i="6"/>
  <c r="Q2068" i="6"/>
  <c r="M2068" i="6"/>
  <c r="I2068" i="6"/>
  <c r="E2068" i="6"/>
  <c r="O2067" i="6"/>
  <c r="K2067" i="6"/>
  <c r="G2067" i="6"/>
  <c r="C2067" i="6"/>
  <c r="C2066" i="6" s="1" a="1"/>
  <c r="C2066" i="6" s="1"/>
  <c r="C2016" i="6"/>
  <c r="C2013" i="6"/>
  <c r="S2174" i="6"/>
  <c r="R2173" i="6"/>
  <c r="Q2172" i="6"/>
  <c r="P2171" i="6"/>
  <c r="S2121" i="6"/>
  <c r="Q2120" i="6"/>
  <c r="O2119" i="6"/>
  <c r="T2070" i="6"/>
  <c r="T2066" i="6" s="1" a="1"/>
  <c r="T2066" i="6" s="1"/>
  <c r="R2069" i="6"/>
  <c r="P2068" i="6"/>
  <c r="N2067" i="6"/>
  <c r="O2174" i="6"/>
  <c r="N2173" i="6"/>
  <c r="M2172" i="6"/>
  <c r="L2171" i="6"/>
  <c r="L2170" i="6" s="1"/>
  <c r="Q2122" i="6"/>
  <c r="O2121" i="6"/>
  <c r="M2120" i="6"/>
  <c r="K2119" i="6"/>
  <c r="K2118" i="6" s="1" a="1"/>
  <c r="K2118" i="6" s="1"/>
  <c r="P2070" i="6"/>
  <c r="N2069" i="6"/>
  <c r="L2068" i="6"/>
  <c r="J2067" i="6"/>
  <c r="K2174" i="6"/>
  <c r="J2173" i="6"/>
  <c r="I2172" i="6"/>
  <c r="H2171" i="6"/>
  <c r="H2170" i="6" s="1"/>
  <c r="M2122" i="6"/>
  <c r="K2121" i="6"/>
  <c r="I2120" i="6"/>
  <c r="G2119" i="6"/>
  <c r="G2118" i="6" s="1" a="1"/>
  <c r="G2118" i="6" s="1"/>
  <c r="L2070" i="6"/>
  <c r="J2069" i="6"/>
  <c r="H2068" i="6"/>
  <c r="F2067" i="6"/>
  <c r="F2066" i="6" s="1" a="1"/>
  <c r="F2066" i="6" s="1"/>
  <c r="G2174" i="6"/>
  <c r="F2173" i="6"/>
  <c r="E2172" i="6"/>
  <c r="D2171" i="6"/>
  <c r="I2122" i="6"/>
  <c r="G2121" i="6"/>
  <c r="E2120" i="6"/>
  <c r="C2119" i="6"/>
  <c r="C2118" i="6" s="1" a="1"/>
  <c r="C2118" i="6" s="1"/>
  <c r="H2070" i="6"/>
  <c r="F2069" i="6"/>
  <c r="D2068" i="6"/>
  <c r="AP2506" i="6"/>
  <c r="AP2507" i="6"/>
  <c r="AQ2449" i="6"/>
  <c r="AQ2450" i="6"/>
  <c r="AR2448" i="6"/>
  <c r="AR16" i="5"/>
  <c r="B17" i="22"/>
  <c r="C2228" i="6" s="1"/>
  <c r="D2228" i="6"/>
  <c r="D2443" i="6" s="1"/>
  <c r="AP3003" i="6"/>
  <c r="F1389" i="6"/>
  <c r="F1390" i="6"/>
  <c r="AH77" i="6"/>
  <c r="AH78" i="6"/>
  <c r="AH235" i="6" s="1"/>
  <c r="AI22" i="5"/>
  <c r="AI25" i="5" s="1"/>
  <c r="AI43" i="5" s="1"/>
  <c r="AS38" i="15"/>
  <c r="AT40" i="15"/>
  <c r="B24" i="17"/>
  <c r="C1107" i="6" s="1"/>
  <c r="D18" i="5" s="1"/>
  <c r="D1107" i="6"/>
  <c r="E18" i="5" s="1"/>
  <c r="K1095" i="6"/>
  <c r="K1096" i="6"/>
  <c r="H1096" i="6"/>
  <c r="H1095" i="6"/>
  <c r="Q1096" i="6"/>
  <c r="Q1095" i="6"/>
  <c r="E423" i="6"/>
  <c r="W633" i="6"/>
  <c r="W634" i="6"/>
  <c r="AR1331" i="6"/>
  <c r="AQ1329" i="6"/>
  <c r="AQ1333" i="6"/>
  <c r="B2" i="20"/>
  <c r="V1950" i="6"/>
  <c r="V1945" i="6" s="1"/>
  <c r="R1950" i="6"/>
  <c r="N1950" i="6"/>
  <c r="J1950" i="6"/>
  <c r="U1898" i="6"/>
  <c r="U1893" i="6" s="1" a="1"/>
  <c r="U1893" i="6" s="1"/>
  <c r="Q1898" i="6"/>
  <c r="M1898" i="6"/>
  <c r="I1898" i="6"/>
  <c r="T1846" i="6"/>
  <c r="P1846" i="6"/>
  <c r="L1846" i="6"/>
  <c r="H1846" i="6"/>
  <c r="U1950" i="6"/>
  <c r="Q1950" i="6"/>
  <c r="M1950" i="6"/>
  <c r="I1950" i="6"/>
  <c r="T1898" i="6"/>
  <c r="P1898" i="6"/>
  <c r="L1898" i="6"/>
  <c r="H1898" i="6"/>
  <c r="S1846" i="6"/>
  <c r="O1846" i="6"/>
  <c r="K1846" i="6"/>
  <c r="G1846" i="6"/>
  <c r="T1950" i="6"/>
  <c r="P1950" i="6"/>
  <c r="L1950" i="6"/>
  <c r="H1950" i="6"/>
  <c r="S1898" i="6"/>
  <c r="O1898" i="6"/>
  <c r="K1898" i="6"/>
  <c r="G1898" i="6"/>
  <c r="R1846" i="6"/>
  <c r="N1846" i="6"/>
  <c r="J1846" i="6"/>
  <c r="K1950" i="6"/>
  <c r="N1898" i="6"/>
  <c r="I1846" i="6"/>
  <c r="D1792" i="6"/>
  <c r="G1950" i="6"/>
  <c r="J1898" i="6"/>
  <c r="U1846" i="6"/>
  <c r="U1841" i="6" s="1" a="1"/>
  <c r="U1841" i="6" s="1"/>
  <c r="S1950" i="6"/>
  <c r="Q1846" i="6"/>
  <c r="D1791" i="6"/>
  <c r="O1950" i="6"/>
  <c r="R1898" i="6"/>
  <c r="M1846" i="6"/>
  <c r="D1790" i="6"/>
  <c r="AP20" i="9"/>
  <c r="AV24" i="9"/>
  <c r="AS1556" i="6"/>
  <c r="AR1554" i="6"/>
  <c r="AR1558" i="6"/>
  <c r="AL1615" i="6"/>
  <c r="AL1772" i="6" s="1"/>
  <c r="AL1614" i="6"/>
  <c r="AM645" i="6"/>
  <c r="AS61" i="14"/>
  <c r="B24" i="13"/>
  <c r="C10" i="6" s="1"/>
  <c r="D10" i="6"/>
  <c r="D236" i="6" s="1"/>
  <c r="AQ17" i="22"/>
  <c r="B17" i="21"/>
  <c r="C2007" i="6" s="1"/>
  <c r="D2007" i="6"/>
  <c r="AQ1335" i="6"/>
  <c r="AR1330" i="6"/>
  <c r="AR10" i="5"/>
  <c r="AU46" i="17"/>
  <c r="AM36" i="11"/>
  <c r="AM3170" i="6"/>
  <c r="AY38" i="20"/>
  <c r="AZ619" i="6"/>
  <c r="AV619" i="6"/>
  <c r="AR619" i="6"/>
  <c r="AN619" i="6"/>
  <c r="AN581" i="6" s="1"/>
  <c r="AZ567" i="6"/>
  <c r="AV567" i="6"/>
  <c r="AR567" i="6"/>
  <c r="AN567" i="6"/>
  <c r="AZ515" i="6"/>
  <c r="AV515" i="6"/>
  <c r="AR515" i="6"/>
  <c r="AN515" i="6"/>
  <c r="AN477" i="6" s="1" a="1"/>
  <c r="AN477" i="6" s="1"/>
  <c r="BC619" i="6"/>
  <c r="AY619" i="6"/>
  <c r="AU619" i="6"/>
  <c r="AQ619" i="6"/>
  <c r="AY567" i="6"/>
  <c r="AU567" i="6"/>
  <c r="AQ567" i="6"/>
  <c r="AY515" i="6"/>
  <c r="AU515" i="6"/>
  <c r="AQ515" i="6"/>
  <c r="AM461" i="6"/>
  <c r="AO422" i="6"/>
  <c r="BA619" i="6"/>
  <c r="AS619" i="6"/>
  <c r="BA567" i="6"/>
  <c r="AS567" i="6"/>
  <c r="BA515" i="6"/>
  <c r="AS515" i="6"/>
  <c r="AK461" i="6"/>
  <c r="AK423" i="6" s="1"/>
  <c r="BB619" i="6"/>
  <c r="AX619" i="6"/>
  <c r="AT619" i="6"/>
  <c r="AP619" i="6"/>
  <c r="BB567" i="6"/>
  <c r="AX567" i="6"/>
  <c r="AT567" i="6"/>
  <c r="AP567" i="6"/>
  <c r="BB515" i="6"/>
  <c r="AX515" i="6"/>
  <c r="AT515" i="6"/>
  <c r="AP515" i="6"/>
  <c r="AL461" i="6"/>
  <c r="AW619" i="6"/>
  <c r="AO619" i="6"/>
  <c r="AW567" i="6"/>
  <c r="AO567" i="6"/>
  <c r="AW515" i="6"/>
  <c r="AO515" i="6"/>
  <c r="K2391" i="6"/>
  <c r="X2444" i="6"/>
  <c r="AQ658" i="6"/>
  <c r="AQ655" i="6"/>
  <c r="AR653" i="6"/>
  <c r="AR6" i="5"/>
  <c r="AQ657" i="6"/>
  <c r="B2" i="18"/>
  <c r="V1500" i="6"/>
  <c r="V1495" i="6" s="1"/>
  <c r="R1500" i="6"/>
  <c r="N1500" i="6"/>
  <c r="J1500" i="6"/>
  <c r="U1448" i="6"/>
  <c r="U1443" i="6" s="1" a="1"/>
  <c r="U1443" i="6" s="1"/>
  <c r="Q1448" i="6"/>
  <c r="M1448" i="6"/>
  <c r="I1448" i="6"/>
  <c r="T1396" i="6"/>
  <c r="P1396" i="6"/>
  <c r="L1396" i="6"/>
  <c r="H1396" i="6"/>
  <c r="D1341" i="6"/>
  <c r="U1500" i="6"/>
  <c r="Q1500" i="6"/>
  <c r="M1500" i="6"/>
  <c r="I1500" i="6"/>
  <c r="T1448" i="6"/>
  <c r="P1448" i="6"/>
  <c r="L1448" i="6"/>
  <c r="H1448" i="6"/>
  <c r="S1396" i="6"/>
  <c r="O1396" i="6"/>
  <c r="K1396" i="6"/>
  <c r="G1396" i="6"/>
  <c r="T1500" i="6"/>
  <c r="P1500" i="6"/>
  <c r="L1500" i="6"/>
  <c r="H1500" i="6"/>
  <c r="S1448" i="6"/>
  <c r="O1448" i="6"/>
  <c r="K1448" i="6"/>
  <c r="G1448" i="6"/>
  <c r="R1396" i="6"/>
  <c r="N1396" i="6"/>
  <c r="J1396" i="6"/>
  <c r="D1342" i="6"/>
  <c r="D1340" i="6"/>
  <c r="D1337" i="6" s="1"/>
  <c r="S1500" i="6"/>
  <c r="O1500" i="6"/>
  <c r="K1500" i="6"/>
  <c r="G1500" i="6"/>
  <c r="R1448" i="6"/>
  <c r="N1448" i="6"/>
  <c r="J1448" i="6"/>
  <c r="U1396" i="6"/>
  <c r="U1391" i="6" s="1" a="1"/>
  <c r="U1391" i="6" s="1"/>
  <c r="Q1396" i="6"/>
  <c r="M1396" i="6"/>
  <c r="I1396" i="6"/>
  <c r="AQ66" i="14"/>
  <c r="AP57" i="14"/>
  <c r="AP56" i="14" s="1"/>
  <c r="AR408" i="6"/>
  <c r="AR247" i="6"/>
  <c r="AR244" i="6"/>
  <c r="AS28" i="5" s="1"/>
  <c r="AR245" i="6"/>
  <c r="AR67" i="12"/>
  <c r="D2064" i="6"/>
  <c r="D2065" i="6"/>
  <c r="AO20" i="5"/>
  <c r="D2285" i="6"/>
  <c r="D2286" i="6"/>
  <c r="N1095" i="6"/>
  <c r="N1096" i="6"/>
  <c r="L1095" i="6"/>
  <c r="L1096" i="6"/>
  <c r="S1724" i="6"/>
  <c r="O1724" i="6"/>
  <c r="K1724" i="6"/>
  <c r="G1724" i="6"/>
  <c r="R1723" i="6"/>
  <c r="N1723" i="6"/>
  <c r="J1723" i="6"/>
  <c r="F1723" i="6"/>
  <c r="P1721" i="6"/>
  <c r="L1721" i="6"/>
  <c r="H1721" i="6"/>
  <c r="H1720" i="6" s="1"/>
  <c r="D1721" i="6"/>
  <c r="D1720" i="6" s="1"/>
  <c r="Q1672" i="6"/>
  <c r="M1672" i="6"/>
  <c r="I1672" i="6"/>
  <c r="S1671" i="6"/>
  <c r="O1671" i="6"/>
  <c r="K1671" i="6"/>
  <c r="G1671" i="6"/>
  <c r="O1669" i="6"/>
  <c r="K1669" i="6"/>
  <c r="G1669" i="6"/>
  <c r="C1669" i="6"/>
  <c r="C1668" i="6" s="1" a="1"/>
  <c r="C1668" i="6" s="1"/>
  <c r="T1620" i="6"/>
  <c r="T1616" i="6" s="1" a="1"/>
  <c r="T1616" i="6" s="1"/>
  <c r="P1620" i="6"/>
  <c r="L1620" i="6"/>
  <c r="H1620" i="6"/>
  <c r="R1619" i="6"/>
  <c r="N1619" i="6"/>
  <c r="J1619" i="6"/>
  <c r="F1619" i="6"/>
  <c r="N1617" i="6"/>
  <c r="J1617" i="6"/>
  <c r="F1617" i="6"/>
  <c r="T1724" i="6"/>
  <c r="N1724" i="6"/>
  <c r="I1724" i="6"/>
  <c r="S1723" i="6"/>
  <c r="S1720" i="6" s="1"/>
  <c r="M1723" i="6"/>
  <c r="H1723" i="6"/>
  <c r="Q1721" i="6"/>
  <c r="K1721" i="6"/>
  <c r="K1720" i="6" s="1"/>
  <c r="F1721" i="6"/>
  <c r="P1672" i="6"/>
  <c r="K1672" i="6"/>
  <c r="F1672" i="6"/>
  <c r="N1671" i="6"/>
  <c r="I1671" i="6"/>
  <c r="P1669" i="6"/>
  <c r="J1669" i="6"/>
  <c r="J1668" i="6" s="1" a="1"/>
  <c r="J1668" i="6" s="1"/>
  <c r="E1669" i="6"/>
  <c r="E1668" i="6" s="1" a="1"/>
  <c r="E1668" i="6" s="1"/>
  <c r="R1620" i="6"/>
  <c r="M1620" i="6"/>
  <c r="G1620" i="6"/>
  <c r="P1619" i="6"/>
  <c r="K1619" i="6"/>
  <c r="E1619" i="6"/>
  <c r="Q1617" i="6"/>
  <c r="Q1616" i="6" s="1" a="1"/>
  <c r="Q1616" i="6" s="1"/>
  <c r="L1617" i="6"/>
  <c r="G1617" i="6"/>
  <c r="C1565" i="6"/>
  <c r="R1724" i="6"/>
  <c r="M1724" i="6"/>
  <c r="H1724" i="6"/>
  <c r="Q1723" i="6"/>
  <c r="L1723" i="6"/>
  <c r="G1723" i="6"/>
  <c r="O1721" i="6"/>
  <c r="J1721" i="6"/>
  <c r="E1721" i="6"/>
  <c r="E1720" i="6" s="1"/>
  <c r="T1672" i="6"/>
  <c r="T1668" i="6" s="1" a="1"/>
  <c r="T1668" i="6" s="1"/>
  <c r="O1672" i="6"/>
  <c r="J1672" i="6"/>
  <c r="R1671" i="6"/>
  <c r="R1668" i="6" s="1" a="1"/>
  <c r="R1668" i="6" s="1"/>
  <c r="M1671" i="6"/>
  <c r="H1671" i="6"/>
  <c r="N1669" i="6"/>
  <c r="I1669" i="6"/>
  <c r="I1668" i="6" s="1" a="1"/>
  <c r="I1668" i="6" s="1"/>
  <c r="D1669" i="6"/>
  <c r="D1668" i="6" s="1" a="1"/>
  <c r="D1668" i="6" s="1"/>
  <c r="D1773" i="6" s="1"/>
  <c r="Q1620" i="6"/>
  <c r="K1620" i="6"/>
  <c r="F1620" i="6"/>
  <c r="O1619" i="6"/>
  <c r="I1619" i="6"/>
  <c r="P1617" i="6"/>
  <c r="K1617" i="6"/>
  <c r="K1616" i="6" s="1" a="1"/>
  <c r="K1616" i="6" s="1"/>
  <c r="E1617" i="6"/>
  <c r="E1616" i="6" s="1" a="1"/>
  <c r="E1616" i="6" s="1"/>
  <c r="Q1724" i="6"/>
  <c r="L1724" i="6"/>
  <c r="F1724" i="6"/>
  <c r="P1723" i="6"/>
  <c r="K1723" i="6"/>
  <c r="E1723" i="6"/>
  <c r="N1721" i="6"/>
  <c r="N1720" i="6" s="1"/>
  <c r="I1721" i="6"/>
  <c r="I1720" i="6" s="1"/>
  <c r="C1721" i="6"/>
  <c r="C1720" i="6" s="1"/>
  <c r="S1672" i="6"/>
  <c r="N1672" i="6"/>
  <c r="H1672" i="6"/>
  <c r="Q1671" i="6"/>
  <c r="L1671" i="6"/>
  <c r="F1671" i="6"/>
  <c r="M1669" i="6"/>
  <c r="H1669" i="6"/>
  <c r="O1620" i="6"/>
  <c r="J1620" i="6"/>
  <c r="S1619" i="6"/>
  <c r="S1616" i="6" s="1" a="1"/>
  <c r="S1616" i="6" s="1"/>
  <c r="M1619" i="6"/>
  <c r="H1619" i="6"/>
  <c r="O1617" i="6"/>
  <c r="O1616" i="6" s="1" a="1"/>
  <c r="O1616" i="6" s="1"/>
  <c r="I1617" i="6"/>
  <c r="D1617" i="6"/>
  <c r="D1616" i="6" s="1" a="1"/>
  <c r="D1616" i="6" s="1"/>
  <c r="C1566" i="6"/>
  <c r="C1563" i="6"/>
  <c r="C1562" i="6" s="1"/>
  <c r="U1724" i="6"/>
  <c r="U1720" i="6" s="1"/>
  <c r="P1724" i="6"/>
  <c r="J1724" i="6"/>
  <c r="T1723" i="6"/>
  <c r="T1720" i="6" s="1"/>
  <c r="O1723" i="6"/>
  <c r="I1723" i="6"/>
  <c r="R1721" i="6"/>
  <c r="M1721" i="6"/>
  <c r="M1720" i="6" s="1"/>
  <c r="G1721" i="6"/>
  <c r="G1720" i="6" s="1"/>
  <c r="R1672" i="6"/>
  <c r="L1672" i="6"/>
  <c r="G1672" i="6"/>
  <c r="P1671" i="6"/>
  <c r="J1671" i="6"/>
  <c r="E1671" i="6"/>
  <c r="Q1669" i="6"/>
  <c r="Q1668" i="6" s="1" a="1"/>
  <c r="Q1668" i="6" s="1"/>
  <c r="L1669" i="6"/>
  <c r="L1668" i="6" s="1" a="1"/>
  <c r="L1668" i="6" s="1"/>
  <c r="F1669" i="6"/>
  <c r="S1620" i="6"/>
  <c r="N1620" i="6"/>
  <c r="I1620" i="6"/>
  <c r="Q1619" i="6"/>
  <c r="L1619" i="6"/>
  <c r="G1619" i="6"/>
  <c r="M1617" i="6"/>
  <c r="M1616" i="6" s="1" a="1"/>
  <c r="M1616" i="6" s="1"/>
  <c r="H1617" i="6"/>
  <c r="C1617" i="6"/>
  <c r="C1616" i="6" s="1" a="1"/>
  <c r="C1616" i="6" s="1"/>
  <c r="AP39" i="23"/>
  <c r="AQ2451" i="6" s="1"/>
  <c r="AP32" i="22"/>
  <c r="AP32" i="21"/>
  <c r="AQ2009" i="6" s="1"/>
  <c r="AP32" i="20"/>
  <c r="AP32" i="19"/>
  <c r="AP37" i="17"/>
  <c r="AP32" i="18"/>
  <c r="AQ1334" i="6" s="1"/>
  <c r="AP42" i="16"/>
  <c r="AP34" i="15"/>
  <c r="AP49" i="14"/>
  <c r="AP41" i="13"/>
  <c r="AQ7" i="7"/>
  <c r="F475" i="6"/>
  <c r="F476" i="6"/>
  <c r="G22" i="5"/>
  <c r="G25" i="5" s="1"/>
  <c r="G43" i="5" s="1"/>
  <c r="AS23" i="9"/>
  <c r="AT23" i="9" s="1"/>
  <c r="AN44" i="8"/>
  <c r="AO24" i="8"/>
  <c r="AX103" i="9"/>
  <c r="C2286" i="6"/>
  <c r="C2285" i="6"/>
  <c r="AP2231" i="6"/>
  <c r="AQ2226" i="6"/>
  <c r="AP2230" i="6"/>
  <c r="AQ13" i="5"/>
  <c r="AT39" i="20"/>
  <c r="AS36" i="20"/>
  <c r="AP17" i="18"/>
  <c r="AP1332" i="6"/>
  <c r="AO92" i="9"/>
  <c r="AO66" i="9"/>
  <c r="AO64" i="9"/>
  <c r="AO61" i="9"/>
  <c r="AP3005" i="6" s="1"/>
  <c r="AO58" i="9"/>
  <c r="AO16" i="9"/>
  <c r="AO8" i="9"/>
  <c r="AP2670" i="6" s="1"/>
  <c r="AQ2669" i="6" s="1"/>
  <c r="AO3" i="9"/>
  <c r="AP2668" i="6" s="1"/>
  <c r="AO69" i="9"/>
  <c r="AO4" i="9"/>
  <c r="AP93" i="9"/>
  <c r="AO74" i="9"/>
  <c r="AO68" i="9"/>
  <c r="AP2837" i="6" s="1"/>
  <c r="AO65" i="9"/>
  <c r="AO63" i="9"/>
  <c r="AP2835" i="6" s="1"/>
  <c r="AO57" i="9"/>
  <c r="AP3002" i="6" s="1"/>
  <c r="AK24" i="17"/>
  <c r="AK1107" i="6"/>
  <c r="AL18" i="5" s="1"/>
  <c r="AQ882" i="6"/>
  <c r="AQ883" i="6"/>
  <c r="AQ880" i="6"/>
  <c r="AR878" i="6"/>
  <c r="AR7" i="5"/>
  <c r="AJ475" i="6"/>
  <c r="AJ476" i="6"/>
  <c r="R1096" i="6"/>
  <c r="R1095" i="6"/>
  <c r="O1095" i="6"/>
  <c r="O1096" i="6"/>
  <c r="B2" i="14"/>
  <c r="S586" i="6"/>
  <c r="O586" i="6"/>
  <c r="K586" i="6"/>
  <c r="G586" i="6"/>
  <c r="R534" i="6"/>
  <c r="N534" i="6"/>
  <c r="J534" i="6"/>
  <c r="R482" i="6"/>
  <c r="N482" i="6"/>
  <c r="J482" i="6"/>
  <c r="D427" i="6"/>
  <c r="V586" i="6"/>
  <c r="V581" i="6" s="1"/>
  <c r="R586" i="6"/>
  <c r="N586" i="6"/>
  <c r="J586" i="6"/>
  <c r="U534" i="6"/>
  <c r="U529" i="6" s="1" a="1"/>
  <c r="U529" i="6" s="1"/>
  <c r="Q534" i="6"/>
  <c r="M534" i="6"/>
  <c r="I534" i="6"/>
  <c r="U482" i="6"/>
  <c r="U477" i="6" s="1" a="1"/>
  <c r="U477" i="6" s="1"/>
  <c r="Q482" i="6"/>
  <c r="M482" i="6"/>
  <c r="I482" i="6"/>
  <c r="P586" i="6"/>
  <c r="L586" i="6"/>
  <c r="S534" i="6"/>
  <c r="K534" i="6"/>
  <c r="S482" i="6"/>
  <c r="K482" i="6"/>
  <c r="U586" i="6"/>
  <c r="Q586" i="6"/>
  <c r="M586" i="6"/>
  <c r="I586" i="6"/>
  <c r="T534" i="6"/>
  <c r="P534" i="6"/>
  <c r="L534" i="6"/>
  <c r="H534" i="6"/>
  <c r="T482" i="6"/>
  <c r="P482" i="6"/>
  <c r="L482" i="6"/>
  <c r="H482" i="6"/>
  <c r="D428" i="6"/>
  <c r="D426" i="6"/>
  <c r="D423" i="6" s="1"/>
  <c r="T586" i="6"/>
  <c r="H586" i="6"/>
  <c r="O534" i="6"/>
  <c r="G534" i="6"/>
  <c r="O482" i="6"/>
  <c r="G482" i="6"/>
  <c r="BG2984" i="6"/>
  <c r="BC2984" i="6"/>
  <c r="AY2984" i="6"/>
  <c r="AU2984" i="6"/>
  <c r="AQ2984" i="6"/>
  <c r="BF2984" i="6"/>
  <c r="BB2984" i="6"/>
  <c r="AX2984" i="6"/>
  <c r="AT2984" i="6"/>
  <c r="AP2984" i="6"/>
  <c r="BA2984" i="6"/>
  <c r="AS2984" i="6"/>
  <c r="AN2839" i="6"/>
  <c r="BH2984" i="6"/>
  <c r="AZ2984" i="6"/>
  <c r="AR2984" i="6"/>
  <c r="BE2984" i="6"/>
  <c r="AW2984" i="6"/>
  <c r="AO2984" i="6"/>
  <c r="BD2984" i="6"/>
  <c r="AV2984" i="6"/>
  <c r="AN2984" i="6"/>
  <c r="AN2946" i="6" s="1"/>
  <c r="AN2840" i="6"/>
  <c r="AN2945" i="6"/>
  <c r="AS3004" i="6"/>
  <c r="AS60" i="9"/>
  <c r="BB2210" i="6"/>
  <c r="AX2210" i="6"/>
  <c r="AT2210" i="6"/>
  <c r="AP2210" i="6"/>
  <c r="AP2170" i="6" s="1"/>
  <c r="AP2223" i="6" s="1"/>
  <c r="BD2158" i="6"/>
  <c r="AZ2158" i="6"/>
  <c r="AV2158" i="6"/>
  <c r="AR2158" i="6"/>
  <c r="BC2106" i="6"/>
  <c r="AY2106" i="6"/>
  <c r="AU2106" i="6"/>
  <c r="AQ2106" i="6"/>
  <c r="AO2052" i="6"/>
  <c r="AQ2011" i="6"/>
  <c r="BE2210" i="6"/>
  <c r="BA2210" i="6"/>
  <c r="AW2210" i="6"/>
  <c r="AS2210" i="6"/>
  <c r="BC2158" i="6"/>
  <c r="AY2158" i="6"/>
  <c r="AU2158" i="6"/>
  <c r="AQ2158" i="6"/>
  <c r="BB2106" i="6"/>
  <c r="AX2106" i="6"/>
  <c r="AT2106" i="6"/>
  <c r="AP2106" i="6"/>
  <c r="AP2066" i="6" s="1" a="1"/>
  <c r="AP2066" i="6" s="1"/>
  <c r="AN2052" i="6"/>
  <c r="BD2210" i="6"/>
  <c r="AZ2210" i="6"/>
  <c r="AV2210" i="6"/>
  <c r="AR2210" i="6"/>
  <c r="BB2158" i="6"/>
  <c r="AX2158" i="6"/>
  <c r="AT2158" i="6"/>
  <c r="AP2158" i="6"/>
  <c r="AP2118" i="6" s="1" a="1"/>
  <c r="AP2118" i="6" s="1"/>
  <c r="BA2106" i="6"/>
  <c r="AW2106" i="6"/>
  <c r="AS2106" i="6"/>
  <c r="AM2052" i="6"/>
  <c r="AM2012" i="6" s="1"/>
  <c r="BC2210" i="6"/>
  <c r="AY2210" i="6"/>
  <c r="AU2210" i="6"/>
  <c r="AQ2210" i="6"/>
  <c r="AS2158" i="6"/>
  <c r="AR2106" i="6"/>
  <c r="BD2106" i="6"/>
  <c r="BA2158" i="6"/>
  <c r="AZ2106" i="6"/>
  <c r="AW2158" i="6"/>
  <c r="AV2106" i="6"/>
  <c r="BJ341" i="6"/>
  <c r="BF341" i="6"/>
  <c r="BB341" i="6"/>
  <c r="AX341" i="6"/>
  <c r="AT341" i="6"/>
  <c r="AP341" i="6"/>
  <c r="BK289" i="6"/>
  <c r="BG289" i="6"/>
  <c r="BC289" i="6"/>
  <c r="AY289" i="6"/>
  <c r="AU289" i="6"/>
  <c r="AQ289" i="6"/>
  <c r="BK341" i="6"/>
  <c r="BC341" i="6"/>
  <c r="AU341" i="6"/>
  <c r="AZ289" i="6"/>
  <c r="AN289" i="6"/>
  <c r="AN251" i="6" s="1" a="1"/>
  <c r="AN251" i="6" s="1"/>
  <c r="AN409" i="6" s="1"/>
  <c r="BI341" i="6"/>
  <c r="BE341" i="6"/>
  <c r="BA341" i="6"/>
  <c r="AW341" i="6"/>
  <c r="AS341" i="6"/>
  <c r="AO341" i="6"/>
  <c r="BJ289" i="6"/>
  <c r="BF289" i="6"/>
  <c r="BB289" i="6"/>
  <c r="AX289" i="6"/>
  <c r="AT289" i="6"/>
  <c r="AP289" i="6"/>
  <c r="BG341" i="6"/>
  <c r="AY341" i="6"/>
  <c r="AQ341" i="6"/>
  <c r="BH289" i="6"/>
  <c r="AV289" i="6"/>
  <c r="BL341" i="6"/>
  <c r="BH341" i="6"/>
  <c r="BD341" i="6"/>
  <c r="AZ341" i="6"/>
  <c r="AV341" i="6"/>
  <c r="AR341" i="6"/>
  <c r="AN341" i="6"/>
  <c r="AN303" i="6" s="1" a="1"/>
  <c r="AN303" i="6" s="1"/>
  <c r="BI289" i="6"/>
  <c r="BE289" i="6"/>
  <c r="BA289" i="6"/>
  <c r="AW289" i="6"/>
  <c r="AS289" i="6"/>
  <c r="AO289" i="6"/>
  <c r="BL289" i="6"/>
  <c r="BD289" i="6"/>
  <c r="AR289" i="6"/>
  <c r="AQ1559" i="6"/>
  <c r="AQ1560" i="6"/>
  <c r="AR1555" i="6"/>
  <c r="AR11" i="5"/>
  <c r="AN2444" i="6"/>
  <c r="D1322" i="6"/>
  <c r="D1323" i="6"/>
  <c r="AZ2764" i="6"/>
  <c r="AV2764" i="6"/>
  <c r="AR2764" i="6"/>
  <c r="AN2764" i="6"/>
  <c r="AN2726" i="6" s="1" a="1"/>
  <c r="AN2726" i="6" s="1"/>
  <c r="AY2712" i="6"/>
  <c r="AU2712" i="6"/>
  <c r="AQ2712" i="6"/>
  <c r="BB2764" i="6"/>
  <c r="AW2764" i="6"/>
  <c r="AQ2764" i="6"/>
  <c r="BA2712" i="6"/>
  <c r="AV2712" i="6"/>
  <c r="AP2712" i="6"/>
  <c r="BA2764" i="6"/>
  <c r="AU2764" i="6"/>
  <c r="AP2764" i="6"/>
  <c r="AZ2712" i="6"/>
  <c r="AT2712" i="6"/>
  <c r="AO2712" i="6"/>
  <c r="AY2764" i="6"/>
  <c r="AT2764" i="6"/>
  <c r="AO2764" i="6"/>
  <c r="AX2712" i="6"/>
  <c r="AS2712" i="6"/>
  <c r="AN2712" i="6"/>
  <c r="AN2674" i="6" s="1" a="1"/>
  <c r="AN2674" i="6" s="1"/>
  <c r="AX2764" i="6"/>
  <c r="AW2712" i="6"/>
  <c r="AS2764" i="6"/>
  <c r="AR2712" i="6"/>
  <c r="BB2712" i="6"/>
  <c r="O2287" i="6" a="1"/>
  <c r="O2287" i="6" s="1"/>
  <c r="M2339" i="6" a="1"/>
  <c r="M2339" i="6" s="1"/>
  <c r="AC2339" i="6" a="1"/>
  <c r="AC2339" i="6" s="1"/>
  <c r="I2444" i="6"/>
  <c r="D2287" i="6" a="1"/>
  <c r="D2287" i="6" s="1"/>
  <c r="T2287" i="6" a="1"/>
  <c r="T2287" i="6" s="1"/>
  <c r="T2443" i="6" s="1"/>
  <c r="AB2287" i="6" a="1"/>
  <c r="AB2287" i="6" s="1"/>
  <c r="AB2443" i="6" s="1"/>
  <c r="R2339" i="6" a="1"/>
  <c r="R2339" i="6" s="1"/>
  <c r="R2443" i="6" s="1"/>
  <c r="N2391" i="6"/>
  <c r="I2287" i="6" a="1"/>
  <c r="I2287" i="6" s="1"/>
  <c r="I2443" i="6" s="1"/>
  <c r="Y2287" i="6" a="1"/>
  <c r="Y2287" i="6" s="1"/>
  <c r="Y2443" i="6" s="1"/>
  <c r="S2339" i="6" a="1"/>
  <c r="S2339" i="6" s="1"/>
  <c r="S2443" i="6" s="1"/>
  <c r="O2391" i="6"/>
  <c r="R2287" i="6" a="1"/>
  <c r="R2287" i="6" s="1"/>
  <c r="L2339" i="6" a="1"/>
  <c r="L2339" i="6" s="1"/>
  <c r="H2391" i="6"/>
  <c r="AS858" i="6"/>
  <c r="BC806" i="6"/>
  <c r="AY806" i="6"/>
  <c r="AU806" i="6"/>
  <c r="AQ806" i="6"/>
  <c r="BD754" i="6"/>
  <c r="AZ754" i="6"/>
  <c r="AV754" i="6"/>
  <c r="AR754" i="6"/>
  <c r="AR858" i="6"/>
  <c r="BB806" i="6"/>
  <c r="AX806" i="6"/>
  <c r="AT806" i="6"/>
  <c r="AP806" i="6"/>
  <c r="AP766" i="6" s="1" a="1"/>
  <c r="AP766" i="6" s="1"/>
  <c r="BC754" i="6"/>
  <c r="AY754" i="6"/>
  <c r="AU754" i="6"/>
  <c r="AQ754" i="6"/>
  <c r="AN700" i="6"/>
  <c r="AN660" i="6" s="1"/>
  <c r="AU858" i="6"/>
  <c r="AQ858" i="6"/>
  <c r="BA806" i="6"/>
  <c r="AW806" i="6"/>
  <c r="AS806" i="6"/>
  <c r="BB754" i="6"/>
  <c r="AX754" i="6"/>
  <c r="AT754" i="6"/>
  <c r="AP754" i="6"/>
  <c r="AT858" i="6"/>
  <c r="AP858" i="6"/>
  <c r="AP818" i="6" s="1"/>
  <c r="BD806" i="6"/>
  <c r="AZ806" i="6"/>
  <c r="AV806" i="6"/>
  <c r="AR806" i="6"/>
  <c r="BA754" i="6"/>
  <c r="AW754" i="6"/>
  <c r="AS754" i="6"/>
  <c r="AQ659" i="6"/>
  <c r="AO700" i="6"/>
  <c r="AK21" i="17"/>
  <c r="AK1106" i="6"/>
  <c r="AL19" i="5" s="1"/>
  <c r="AY30" i="14"/>
  <c r="AX32" i="14"/>
  <c r="AO59" i="12"/>
  <c r="AP248" i="6" s="1"/>
  <c r="AP60" i="12"/>
  <c r="AP246" i="6"/>
  <c r="AO1998" i="6"/>
  <c r="AJ1323" i="6"/>
  <c r="AK17" i="5"/>
  <c r="AK24" i="5" s="1"/>
  <c r="AK42" i="5" s="1"/>
  <c r="BB2430" i="6"/>
  <c r="AX2430" i="6"/>
  <c r="AT2430" i="6"/>
  <c r="AP2430" i="6"/>
  <c r="BL2378" i="6"/>
  <c r="BH2378" i="6"/>
  <c r="BD2378" i="6"/>
  <c r="AZ2378" i="6"/>
  <c r="AV2378" i="6"/>
  <c r="AR2378" i="6"/>
  <c r="BJ2326" i="6"/>
  <c r="BF2326" i="6"/>
  <c r="BB2326" i="6"/>
  <c r="AX2326" i="6"/>
  <c r="AT2326" i="6"/>
  <c r="AP2326" i="6"/>
  <c r="AN2272" i="6"/>
  <c r="BA2430" i="6"/>
  <c r="AW2430" i="6"/>
  <c r="AS2430" i="6"/>
  <c r="AO2430" i="6"/>
  <c r="AO2391" i="6" s="1"/>
  <c r="BK2378" i="6"/>
  <c r="BG2378" i="6"/>
  <c r="BC2378" i="6"/>
  <c r="AY2378" i="6"/>
  <c r="AU2378" i="6"/>
  <c r="AQ2378" i="6"/>
  <c r="BM2326" i="6"/>
  <c r="BI2326" i="6"/>
  <c r="BE2326" i="6"/>
  <c r="BA2326" i="6"/>
  <c r="AW2326" i="6"/>
  <c r="AS2326" i="6"/>
  <c r="AO2326" i="6"/>
  <c r="AO2287" i="6" s="1" a="1"/>
  <c r="AO2287" i="6" s="1"/>
  <c r="AM2272" i="6"/>
  <c r="BD2430" i="6"/>
  <c r="AZ2430" i="6"/>
  <c r="AV2430" i="6"/>
  <c r="AR2430" i="6"/>
  <c r="BJ2378" i="6"/>
  <c r="BF2378" i="6"/>
  <c r="BB2378" i="6"/>
  <c r="AX2378" i="6"/>
  <c r="AT2378" i="6"/>
  <c r="AP2378" i="6"/>
  <c r="BL2326" i="6"/>
  <c r="BH2326" i="6"/>
  <c r="BD2326" i="6"/>
  <c r="AZ2326" i="6"/>
  <c r="AV2326" i="6"/>
  <c r="AR2326" i="6"/>
  <c r="AL2272" i="6"/>
  <c r="AL2233" i="6" s="1"/>
  <c r="AP2232" i="6"/>
  <c r="BC2430" i="6"/>
  <c r="AY2430" i="6"/>
  <c r="AU2430" i="6"/>
  <c r="AQ2430" i="6"/>
  <c r="BM2378" i="6"/>
  <c r="BI2378" i="6"/>
  <c r="BE2378" i="6"/>
  <c r="BA2378" i="6"/>
  <c r="AW2378" i="6"/>
  <c r="AS2378" i="6"/>
  <c r="AO2378" i="6"/>
  <c r="AO2339" i="6" s="1" a="1"/>
  <c r="AO2339" i="6" s="1"/>
  <c r="BK2326" i="6"/>
  <c r="BG2326" i="6"/>
  <c r="BC2326" i="6"/>
  <c r="AY2326" i="6"/>
  <c r="AU2326" i="6"/>
  <c r="AQ2326" i="6"/>
  <c r="AO14" i="13"/>
  <c r="AP7" i="6"/>
  <c r="AP237" i="6"/>
  <c r="AP12" i="6"/>
  <c r="AQ9" i="6"/>
  <c r="F1096" i="6"/>
  <c r="F1095" i="6"/>
  <c r="AK1839" i="6"/>
  <c r="AK1840" i="6"/>
  <c r="AK1997" i="6" s="1"/>
  <c r="AO1841" i="6" a="1"/>
  <c r="AO1841" i="6" s="1"/>
  <c r="AQ247" i="6"/>
  <c r="AH47" i="5"/>
  <c r="AH45" i="5"/>
  <c r="AX38" i="11"/>
  <c r="AN71" i="9"/>
  <c r="AN72" i="9"/>
  <c r="AO2838" i="6"/>
  <c r="AN2998" i="6"/>
  <c r="E2064" i="6"/>
  <c r="E2065" i="6"/>
  <c r="AP17" i="20"/>
  <c r="AP1782" i="6"/>
  <c r="AL2832" i="6"/>
  <c r="AL2833" i="6"/>
  <c r="AP2665" i="6"/>
  <c r="AP2664" i="6"/>
  <c r="AT68" i="12"/>
  <c r="AU1083" i="6"/>
  <c r="AQ1083" i="6"/>
  <c r="BA1031" i="6"/>
  <c r="AW1031" i="6"/>
  <c r="AS1031" i="6"/>
  <c r="BB979" i="6"/>
  <c r="AX979" i="6"/>
  <c r="AT979" i="6"/>
  <c r="AP979" i="6"/>
  <c r="AP939" i="6" s="1" a="1"/>
  <c r="AP939" i="6" s="1"/>
  <c r="AT1083" i="6"/>
  <c r="AP1083" i="6"/>
  <c r="AP1043" i="6" s="1"/>
  <c r="BD1031" i="6"/>
  <c r="AZ1031" i="6"/>
  <c r="AV1031" i="6"/>
  <c r="AR1031" i="6"/>
  <c r="AS1083" i="6"/>
  <c r="BC1031" i="6"/>
  <c r="AY1031" i="6"/>
  <c r="AU1031" i="6"/>
  <c r="AQ1031" i="6"/>
  <c r="BD979" i="6"/>
  <c r="AZ979" i="6"/>
  <c r="AV979" i="6"/>
  <c r="AR979" i="6"/>
  <c r="AR1083" i="6"/>
  <c r="BB1031" i="6"/>
  <c r="AW979" i="6"/>
  <c r="AX1031" i="6"/>
  <c r="BC979" i="6"/>
  <c r="AU979" i="6"/>
  <c r="AT1031" i="6"/>
  <c r="BA979" i="6"/>
  <c r="AS979" i="6"/>
  <c r="AO925" i="6"/>
  <c r="AO885" i="6" s="1"/>
  <c r="AP1031" i="6"/>
  <c r="AP991" i="6" s="1" a="1"/>
  <c r="AP991" i="6" s="1"/>
  <c r="AY979" i="6"/>
  <c r="AQ979" i="6"/>
  <c r="AQ884" i="6"/>
  <c r="AP1102" i="6"/>
  <c r="AQ1104" i="6"/>
  <c r="AP1108" i="6"/>
  <c r="C937" i="6"/>
  <c r="C938" i="6"/>
  <c r="P1096" i="6"/>
  <c r="P1095" i="6"/>
  <c r="I1095" i="6"/>
  <c r="I1096" i="6"/>
  <c r="E1787" i="6"/>
  <c r="AR39" i="18"/>
  <c r="AQ36" i="18"/>
  <c r="BF2818" i="6"/>
  <c r="BB2818" i="6"/>
  <c r="AX2818" i="6"/>
  <c r="AT2818" i="6"/>
  <c r="AP2818" i="6"/>
  <c r="AO2672" i="6"/>
  <c r="BH2818" i="6"/>
  <c r="BC2818" i="6"/>
  <c r="AW2818" i="6"/>
  <c r="AR2818" i="6"/>
  <c r="BG2818" i="6"/>
  <c r="BA2818" i="6"/>
  <c r="AV2818" i="6"/>
  <c r="AQ2818" i="6"/>
  <c r="BI2818" i="6"/>
  <c r="AY2818" i="6"/>
  <c r="BE2818" i="6"/>
  <c r="AU2818" i="6"/>
  <c r="BD2818" i="6"/>
  <c r="AS2818" i="6"/>
  <c r="AO2818" i="6"/>
  <c r="AO2779" i="6" s="1"/>
  <c r="AZ2818" i="6"/>
  <c r="AO2673" i="6"/>
  <c r="AP27" i="5"/>
  <c r="AO2778" i="6"/>
  <c r="AO2831" i="6" s="1"/>
  <c r="B19" i="17"/>
  <c r="C1105" i="6" s="1"/>
  <c r="D1105" i="6"/>
  <c r="AH1165" i="6"/>
  <c r="AH1322" i="6" s="1"/>
  <c r="AH1164" i="6"/>
  <c r="AQ2008" i="6"/>
  <c r="AR2006" i="6"/>
  <c r="AQ2004" i="6"/>
  <c r="BF222" i="6"/>
  <c r="BB222" i="6"/>
  <c r="AX222" i="6"/>
  <c r="AT222" i="6"/>
  <c r="AP222" i="6"/>
  <c r="BC170" i="6"/>
  <c r="AY170" i="6"/>
  <c r="AU170" i="6"/>
  <c r="AQ170" i="6"/>
  <c r="BB118" i="6"/>
  <c r="AX118" i="6"/>
  <c r="AT118" i="6"/>
  <c r="AP118" i="6"/>
  <c r="AN55" i="6"/>
  <c r="AJ55" i="6"/>
  <c r="AP15" i="6"/>
  <c r="BG222" i="6"/>
  <c r="AU222" i="6"/>
  <c r="AV170" i="6"/>
  <c r="BI222" i="6"/>
  <c r="BE222" i="6"/>
  <c r="BA222" i="6"/>
  <c r="AW222" i="6"/>
  <c r="AS222" i="6"/>
  <c r="AO222" i="6"/>
  <c r="AO183" i="6" s="1"/>
  <c r="BB170" i="6"/>
  <c r="AX170" i="6"/>
  <c r="AT170" i="6"/>
  <c r="AP170" i="6"/>
  <c r="BA118" i="6"/>
  <c r="AW118" i="6"/>
  <c r="AS118" i="6"/>
  <c r="AO118" i="6"/>
  <c r="AO79" i="6" s="1" a="1"/>
  <c r="AO79" i="6" s="1"/>
  <c r="AM55" i="6"/>
  <c r="AI55" i="6"/>
  <c r="AI16" i="6" s="1"/>
  <c r="AP10" i="6"/>
  <c r="AP20" i="5"/>
  <c r="BC222" i="6"/>
  <c r="AQ222" i="6"/>
  <c r="AR170" i="6"/>
  <c r="AY118" i="6"/>
  <c r="AQ118" i="6"/>
  <c r="BH222" i="6"/>
  <c r="BD222" i="6"/>
  <c r="AZ222" i="6"/>
  <c r="AV222" i="6"/>
  <c r="AR222" i="6"/>
  <c r="BA170" i="6"/>
  <c r="AW170" i="6"/>
  <c r="AS170" i="6"/>
  <c r="AO170" i="6"/>
  <c r="AO131" i="6" s="1" a="1"/>
  <c r="AO131" i="6" s="1"/>
  <c r="AZ118" i="6"/>
  <c r="AV118" i="6"/>
  <c r="AR118" i="6"/>
  <c r="AL55" i="6"/>
  <c r="AP11" i="6"/>
  <c r="AY222" i="6"/>
  <c r="AZ170" i="6"/>
  <c r="BC118" i="6"/>
  <c r="AU118" i="6"/>
  <c r="AK55" i="6"/>
  <c r="AP2" i="5"/>
  <c r="BE1535" i="6"/>
  <c r="BA1535" i="6"/>
  <c r="AW1535" i="6"/>
  <c r="AS1535" i="6"/>
  <c r="BC1483" i="6"/>
  <c r="AY1483" i="6"/>
  <c r="AU1483" i="6"/>
  <c r="AQ1483" i="6"/>
  <c r="BB1431" i="6"/>
  <c r="AX1431" i="6"/>
  <c r="AT1431" i="6"/>
  <c r="AP1431" i="6"/>
  <c r="AP1391" i="6" s="1" a="1"/>
  <c r="AP1391" i="6" s="1"/>
  <c r="AN1377" i="6"/>
  <c r="BD1535" i="6"/>
  <c r="AZ1535" i="6"/>
  <c r="AV1535" i="6"/>
  <c r="AR1535" i="6"/>
  <c r="BB1483" i="6"/>
  <c r="AX1483" i="6"/>
  <c r="AT1483" i="6"/>
  <c r="AP1483" i="6"/>
  <c r="AP1443" i="6" s="1" a="1"/>
  <c r="AP1443" i="6" s="1"/>
  <c r="BA1431" i="6"/>
  <c r="AW1431" i="6"/>
  <c r="AS1431" i="6"/>
  <c r="AM1377" i="6"/>
  <c r="AM1337" i="6" s="1"/>
  <c r="BC1535" i="6"/>
  <c r="AY1535" i="6"/>
  <c r="AU1535" i="6"/>
  <c r="AQ1535" i="6"/>
  <c r="BA1483" i="6"/>
  <c r="AW1483" i="6"/>
  <c r="AS1483" i="6"/>
  <c r="BD1431" i="6"/>
  <c r="AZ1431" i="6"/>
  <c r="AV1431" i="6"/>
  <c r="AR1431" i="6"/>
  <c r="BB1535" i="6"/>
  <c r="AX1535" i="6"/>
  <c r="AT1535" i="6"/>
  <c r="AP1535" i="6"/>
  <c r="AP1495" i="6" s="1"/>
  <c r="BD1483" i="6"/>
  <c r="AZ1483" i="6"/>
  <c r="AV1483" i="6"/>
  <c r="AR1483" i="6"/>
  <c r="BC1431" i="6"/>
  <c r="AY1431" i="6"/>
  <c r="AU1431" i="6"/>
  <c r="AQ1431" i="6"/>
  <c r="AO1377" i="6"/>
  <c r="AQ1336" i="6"/>
  <c r="BB3098" i="6"/>
  <c r="AX3098" i="6"/>
  <c r="AT3098" i="6"/>
  <c r="AP3098" i="6"/>
  <c r="BA3046" i="6"/>
  <c r="AW3046" i="6"/>
  <c r="AS3046" i="6"/>
  <c r="AO3046" i="6"/>
  <c r="BA3098" i="6"/>
  <c r="AW3098" i="6"/>
  <c r="AS3098" i="6"/>
  <c r="AO3098" i="6"/>
  <c r="AZ3046" i="6"/>
  <c r="AV3046" i="6"/>
  <c r="AR3046" i="6"/>
  <c r="AN3046" i="6"/>
  <c r="AN3008" i="6" s="1" a="1"/>
  <c r="AN3008" i="6" s="1"/>
  <c r="AU3098" i="6"/>
  <c r="BB3046" i="6"/>
  <c r="AT3046" i="6"/>
  <c r="AZ3098" i="6"/>
  <c r="AR3098" i="6"/>
  <c r="AY3046" i="6"/>
  <c r="AQ3046" i="6"/>
  <c r="AY3098" i="6"/>
  <c r="AQ3098" i="6"/>
  <c r="AX3046" i="6"/>
  <c r="AP3046" i="6"/>
  <c r="AV3098" i="6"/>
  <c r="AU3046" i="6"/>
  <c r="AN3098" i="6"/>
  <c r="AN3060" i="6" s="1" a="1"/>
  <c r="AN3060" i="6" s="1"/>
  <c r="AN3167" i="6" s="1"/>
  <c r="AO236" i="6" l="1"/>
  <c r="AV23" i="9"/>
  <c r="AU23" i="9"/>
  <c r="AW23" i="9" s="1"/>
  <c r="AM2999" i="6"/>
  <c r="AM3000" i="6"/>
  <c r="AK476" i="6"/>
  <c r="AK475" i="6"/>
  <c r="AN713" i="6"/>
  <c r="AN870" i="6" s="1"/>
  <c r="AN712" i="6"/>
  <c r="AP1548" i="6"/>
  <c r="AN2832" i="6"/>
  <c r="AN2833" i="6"/>
  <c r="F44" i="5"/>
  <c r="F46" i="5"/>
  <c r="AR2226" i="6"/>
  <c r="AQ2230" i="6"/>
  <c r="AQ2231" i="6"/>
  <c r="AR13" i="5"/>
  <c r="AO44" i="8"/>
  <c r="AP24" i="8"/>
  <c r="G1668" i="6" a="1"/>
  <c r="G1668" i="6" s="1"/>
  <c r="L1720" i="6"/>
  <c r="D1389" i="6"/>
  <c r="D1390" i="6"/>
  <c r="H2066" i="6" a="1"/>
  <c r="H2066" i="6" s="1"/>
  <c r="R2170" i="6"/>
  <c r="T2222" i="6"/>
  <c r="T2223" i="6"/>
  <c r="AQ38" i="23"/>
  <c r="AQ31" i="22"/>
  <c r="AQ31" i="21"/>
  <c r="AQ31" i="20"/>
  <c r="AQ36" i="17"/>
  <c r="AQ31" i="19"/>
  <c r="AQ31" i="18"/>
  <c r="AQ33" i="15"/>
  <c r="AQ48" i="14"/>
  <c r="AQ41" i="16"/>
  <c r="AR6" i="7"/>
  <c r="AQ40" i="13"/>
  <c r="AM1614" i="6"/>
  <c r="AM1615" i="6"/>
  <c r="AM1772" i="6" s="1"/>
  <c r="BE1985" i="6"/>
  <c r="BA1985" i="6"/>
  <c r="AW1985" i="6"/>
  <c r="AS1985" i="6"/>
  <c r="BC1933" i="6"/>
  <c r="AY1933" i="6"/>
  <c r="AU1933" i="6"/>
  <c r="AQ1933" i="6"/>
  <c r="BB1881" i="6"/>
  <c r="AX1881" i="6"/>
  <c r="AT1881" i="6"/>
  <c r="AP1881" i="6"/>
  <c r="AP1841" i="6" s="1" a="1"/>
  <c r="AP1841" i="6" s="1"/>
  <c r="BD1985" i="6"/>
  <c r="AZ1985" i="6"/>
  <c r="AV1985" i="6"/>
  <c r="AR1985" i="6"/>
  <c r="BB1933" i="6"/>
  <c r="AX1933" i="6"/>
  <c r="AT1933" i="6"/>
  <c r="AP1933" i="6"/>
  <c r="AP1893" i="6" s="1" a="1"/>
  <c r="AP1893" i="6" s="1"/>
  <c r="BA1881" i="6"/>
  <c r="AW1881" i="6"/>
  <c r="AS1881" i="6"/>
  <c r="AM1827" i="6"/>
  <c r="AM1787" i="6" s="1"/>
  <c r="BC1985" i="6"/>
  <c r="AY1985" i="6"/>
  <c r="AU1985" i="6"/>
  <c r="AQ1985" i="6"/>
  <c r="BA1933" i="6"/>
  <c r="AW1933" i="6"/>
  <c r="AS1933" i="6"/>
  <c r="BD1881" i="6"/>
  <c r="AZ1881" i="6"/>
  <c r="AV1881" i="6"/>
  <c r="AR1881" i="6"/>
  <c r="AT1985" i="6"/>
  <c r="AZ1933" i="6"/>
  <c r="AY1881" i="6"/>
  <c r="AO1827" i="6"/>
  <c r="AQ1786" i="6"/>
  <c r="AP1985" i="6"/>
  <c r="AP1945" i="6" s="1"/>
  <c r="AV1933" i="6"/>
  <c r="AU1881" i="6"/>
  <c r="AN1827" i="6"/>
  <c r="BB1985" i="6"/>
  <c r="AR1933" i="6"/>
  <c r="AQ1881" i="6"/>
  <c r="AX1985" i="6"/>
  <c r="BD1933" i="6"/>
  <c r="BC1881" i="6"/>
  <c r="AN634" i="6"/>
  <c r="AN633" i="6"/>
  <c r="C1323" i="6"/>
  <c r="C1322" i="6"/>
  <c r="B17" i="18"/>
  <c r="C1332" i="6" s="1"/>
  <c r="D1332" i="6"/>
  <c r="AL1839" i="6"/>
  <c r="AL1840" i="6"/>
  <c r="AL1997" i="6" s="1"/>
  <c r="AQ15" i="9"/>
  <c r="AR2671" i="6" s="1"/>
  <c r="AQ17" i="20"/>
  <c r="AQ1782" i="6"/>
  <c r="BG2985" i="6"/>
  <c r="BC2985" i="6"/>
  <c r="AY2985" i="6"/>
  <c r="AU2985" i="6"/>
  <c r="AQ2985" i="6"/>
  <c r="BF2985" i="6"/>
  <c r="BB2985" i="6"/>
  <c r="AX2985" i="6"/>
  <c r="AT2985" i="6"/>
  <c r="AP2985" i="6"/>
  <c r="BE2985" i="6"/>
  <c r="AW2985" i="6"/>
  <c r="AO2985" i="6"/>
  <c r="AO2946" i="6" s="1"/>
  <c r="BD2985" i="6"/>
  <c r="AV2985" i="6"/>
  <c r="AO2840" i="6"/>
  <c r="BI2985" i="6"/>
  <c r="BA2985" i="6"/>
  <c r="AS2985" i="6"/>
  <c r="AR2985" i="6"/>
  <c r="AO2839" i="6"/>
  <c r="BH2985" i="6"/>
  <c r="AZ2985" i="6"/>
  <c r="AO2945" i="6"/>
  <c r="AO2998" i="6" s="1"/>
  <c r="AL21" i="17"/>
  <c r="AL1106" i="6"/>
  <c r="AM19" i="5" s="1"/>
  <c r="H2444" i="6"/>
  <c r="H2443" i="6"/>
  <c r="D1772" i="6"/>
  <c r="AR1560" i="6"/>
  <c r="AS1555" i="6"/>
  <c r="AS11" i="5"/>
  <c r="AP871" i="6"/>
  <c r="BC2431" i="6"/>
  <c r="AY2431" i="6"/>
  <c r="AU2431" i="6"/>
  <c r="AQ2431" i="6"/>
  <c r="BL2379" i="6"/>
  <c r="BH2379" i="6"/>
  <c r="BD2379" i="6"/>
  <c r="AZ2379" i="6"/>
  <c r="AV2379" i="6"/>
  <c r="AR2379" i="6"/>
  <c r="BN2327" i="6"/>
  <c r="BJ2327" i="6"/>
  <c r="BF2327" i="6"/>
  <c r="BB2327" i="6"/>
  <c r="AX2327" i="6"/>
  <c r="AT2327" i="6"/>
  <c r="AP2327" i="6"/>
  <c r="AP2287" i="6" s="1" a="1"/>
  <c r="AP2287" i="6" s="1"/>
  <c r="BB2431" i="6"/>
  <c r="AX2431" i="6"/>
  <c r="AT2431" i="6"/>
  <c r="AP2431" i="6"/>
  <c r="AP2391" i="6" s="1"/>
  <c r="BK2379" i="6"/>
  <c r="BG2379" i="6"/>
  <c r="BC2379" i="6"/>
  <c r="AY2379" i="6"/>
  <c r="AU2379" i="6"/>
  <c r="AQ2379" i="6"/>
  <c r="BM2327" i="6"/>
  <c r="BI2327" i="6"/>
  <c r="BE2327" i="6"/>
  <c r="BA2327" i="6"/>
  <c r="AW2327" i="6"/>
  <c r="AS2327" i="6"/>
  <c r="AO2273" i="6"/>
  <c r="AQ2232" i="6"/>
  <c r="BE2431" i="6"/>
  <c r="BA2431" i="6"/>
  <c r="AW2431" i="6"/>
  <c r="AS2431" i="6"/>
  <c r="BN2379" i="6"/>
  <c r="BJ2379" i="6"/>
  <c r="BF2379" i="6"/>
  <c r="BB2379" i="6"/>
  <c r="AX2379" i="6"/>
  <c r="AT2379" i="6"/>
  <c r="AP2379" i="6"/>
  <c r="AP2339" i="6" s="1" a="1"/>
  <c r="AP2339" i="6" s="1"/>
  <c r="BL2327" i="6"/>
  <c r="BH2327" i="6"/>
  <c r="BD2327" i="6"/>
  <c r="AZ2327" i="6"/>
  <c r="AV2327" i="6"/>
  <c r="AR2327" i="6"/>
  <c r="AN2273" i="6"/>
  <c r="BD2431" i="6"/>
  <c r="AZ2431" i="6"/>
  <c r="AV2431" i="6"/>
  <c r="AR2431" i="6"/>
  <c r="BM2379" i="6"/>
  <c r="BI2379" i="6"/>
  <c r="BE2379" i="6"/>
  <c r="BA2379" i="6"/>
  <c r="AW2379" i="6"/>
  <c r="AS2379" i="6"/>
  <c r="BK2327" i="6"/>
  <c r="BG2327" i="6"/>
  <c r="BC2327" i="6"/>
  <c r="AY2327" i="6"/>
  <c r="AU2327" i="6"/>
  <c r="AQ2327" i="6"/>
  <c r="AM2273" i="6"/>
  <c r="AM2233" i="6" s="1"/>
  <c r="AN42" i="8"/>
  <c r="AO644" i="6" s="1"/>
  <c r="AN41" i="8"/>
  <c r="AO642" i="6" s="1"/>
  <c r="AN43" i="8"/>
  <c r="AO643" i="6" s="1"/>
  <c r="AO641" i="6"/>
  <c r="AP33" i="5" s="1"/>
  <c r="R1720" i="6"/>
  <c r="P1616" i="6" a="1"/>
  <c r="P1616" i="6" s="1"/>
  <c r="N1668" i="6" a="1"/>
  <c r="N1668" i="6" s="1"/>
  <c r="J1720" i="6"/>
  <c r="P1668" i="6" a="1"/>
  <c r="P1668" i="6" s="1"/>
  <c r="Q1720" i="6"/>
  <c r="J1616" i="6" a="1"/>
  <c r="J1616" i="6" s="1"/>
  <c r="K1668" i="6" a="1"/>
  <c r="K1668" i="6" s="1"/>
  <c r="P1720" i="6"/>
  <c r="V1547" i="6"/>
  <c r="V1548" i="6"/>
  <c r="AN3170" i="6"/>
  <c r="AN36" i="11"/>
  <c r="BF1536" i="6"/>
  <c r="BB1536" i="6"/>
  <c r="AX1536" i="6"/>
  <c r="AT1536" i="6"/>
  <c r="BE1484" i="6"/>
  <c r="BA1484" i="6"/>
  <c r="AW1484" i="6"/>
  <c r="AS1484" i="6"/>
  <c r="BD1432" i="6"/>
  <c r="AZ1432" i="6"/>
  <c r="AV1432" i="6"/>
  <c r="AR1432" i="6"/>
  <c r="AP1378" i="6"/>
  <c r="BE1536" i="6"/>
  <c r="BA1536" i="6"/>
  <c r="AW1536" i="6"/>
  <c r="AS1536" i="6"/>
  <c r="BD1484" i="6"/>
  <c r="AZ1484" i="6"/>
  <c r="AV1484" i="6"/>
  <c r="AR1484" i="6"/>
  <c r="BC1432" i="6"/>
  <c r="AY1432" i="6"/>
  <c r="AU1432" i="6"/>
  <c r="AQ1432" i="6"/>
  <c r="AQ1391" i="6" s="1" a="1"/>
  <c r="AQ1391" i="6" s="1"/>
  <c r="AO1378" i="6"/>
  <c r="BD1536" i="6"/>
  <c r="AZ1536" i="6"/>
  <c r="AV1536" i="6"/>
  <c r="AR1536" i="6"/>
  <c r="BC1484" i="6"/>
  <c r="AY1484" i="6"/>
  <c r="AU1484" i="6"/>
  <c r="AQ1484" i="6"/>
  <c r="AQ1443" i="6" s="1" a="1"/>
  <c r="AQ1443" i="6" s="1"/>
  <c r="BB1432" i="6"/>
  <c r="AX1432" i="6"/>
  <c r="AT1432" i="6"/>
  <c r="AN1378" i="6"/>
  <c r="AN1337" i="6" s="1"/>
  <c r="AR1336" i="6"/>
  <c r="BC1536" i="6"/>
  <c r="AY1536" i="6"/>
  <c r="AU1536" i="6"/>
  <c r="AQ1536" i="6"/>
  <c r="AQ1495" i="6" s="1"/>
  <c r="BB1484" i="6"/>
  <c r="AX1484" i="6"/>
  <c r="AT1484" i="6"/>
  <c r="BE1432" i="6"/>
  <c r="BA1432" i="6"/>
  <c r="AW1432" i="6"/>
  <c r="AS1432" i="6"/>
  <c r="AS1554" i="6"/>
  <c r="AS1558" i="6"/>
  <c r="AT1556" i="6"/>
  <c r="AP15" i="9"/>
  <c r="AQ2671" i="6" s="1"/>
  <c r="AR1329" i="6"/>
  <c r="AR1333" i="6"/>
  <c r="AS1331" i="6"/>
  <c r="AT38" i="15"/>
  <c r="AU40" i="15"/>
  <c r="S2118" i="6" a="1"/>
  <c r="S2118" i="6" s="1"/>
  <c r="G2066" i="6" a="1"/>
  <c r="G2066" i="6" s="1"/>
  <c r="L2118" i="6" a="1"/>
  <c r="L2118" i="6" s="1"/>
  <c r="Q2170" i="6"/>
  <c r="L2066" i="6" a="1"/>
  <c r="L2066" i="6" s="1"/>
  <c r="Q2118" i="6" a="1"/>
  <c r="Q2118" i="6" s="1"/>
  <c r="F2170" i="6"/>
  <c r="Q2066" i="6" a="1"/>
  <c r="Q2066" i="6" s="1"/>
  <c r="F2118" i="6" a="1"/>
  <c r="F2118" i="6" s="1"/>
  <c r="G2170" i="6"/>
  <c r="AU46" i="16"/>
  <c r="AV48" i="16"/>
  <c r="AQ1779" i="6"/>
  <c r="AQ1783" i="6"/>
  <c r="AR1781" i="6"/>
  <c r="AV59" i="14"/>
  <c r="Q2443" i="6"/>
  <c r="BJ2819" i="6"/>
  <c r="BF2819" i="6"/>
  <c r="BB2819" i="6"/>
  <c r="AX2819" i="6"/>
  <c r="AT2819" i="6"/>
  <c r="AP2819" i="6"/>
  <c r="AP2779" i="6" s="1"/>
  <c r="AP2673" i="6"/>
  <c r="BI2819" i="6"/>
  <c r="BD2819" i="6"/>
  <c r="AY2819" i="6"/>
  <c r="AS2819" i="6"/>
  <c r="BH2819" i="6"/>
  <c r="BC2819" i="6"/>
  <c r="AW2819" i="6"/>
  <c r="AR2819" i="6"/>
  <c r="AZ2819" i="6"/>
  <c r="BG2819" i="6"/>
  <c r="AV2819" i="6"/>
  <c r="BE2819" i="6"/>
  <c r="AU2819" i="6"/>
  <c r="BA2819" i="6"/>
  <c r="AQ2819" i="6"/>
  <c r="AP2672" i="6"/>
  <c r="AP2778" i="6"/>
  <c r="AP1096" i="6"/>
  <c r="L2444" i="6"/>
  <c r="L2443" i="6"/>
  <c r="AP420" i="6"/>
  <c r="AP415" i="6"/>
  <c r="AQ4" i="5"/>
  <c r="AP418" i="6"/>
  <c r="AP421" i="6"/>
  <c r="AP417" i="6"/>
  <c r="AQ412" i="6"/>
  <c r="AQ5" i="5"/>
  <c r="AQ1785" i="6"/>
  <c r="AR1780" i="6"/>
  <c r="AQ1784" i="6"/>
  <c r="AR12" i="5"/>
  <c r="C1773" i="6"/>
  <c r="AR877" i="6"/>
  <c r="AR881" i="6"/>
  <c r="AS879" i="6"/>
  <c r="AR17" i="19"/>
  <c r="AR1557" i="6"/>
  <c r="D2444" i="6"/>
  <c r="AQ2225" i="6"/>
  <c r="AQ14" i="6"/>
  <c r="AR8" i="6"/>
  <c r="AQ13" i="6"/>
  <c r="AR3" i="5"/>
  <c r="AP1773" i="6"/>
  <c r="AZ3099" i="6"/>
  <c r="AV3099" i="6"/>
  <c r="AR3099" i="6"/>
  <c r="BC3047" i="6"/>
  <c r="AY3047" i="6"/>
  <c r="AU3047" i="6"/>
  <c r="AQ3047" i="6"/>
  <c r="BC3099" i="6"/>
  <c r="AY3099" i="6"/>
  <c r="AU3099" i="6"/>
  <c r="AQ3099" i="6"/>
  <c r="BB3047" i="6"/>
  <c r="AX3047" i="6"/>
  <c r="AT3047" i="6"/>
  <c r="AP3047" i="6"/>
  <c r="AW3099" i="6"/>
  <c r="AO3099" i="6"/>
  <c r="AO3060" i="6" s="1" a="1"/>
  <c r="AO3060" i="6" s="1"/>
  <c r="AV3047" i="6"/>
  <c r="BB3099" i="6"/>
  <c r="AT3099" i="6"/>
  <c r="BA3047" i="6"/>
  <c r="AS3047" i="6"/>
  <c r="BA3099" i="6"/>
  <c r="AS3099" i="6"/>
  <c r="AZ3047" i="6"/>
  <c r="AR3047" i="6"/>
  <c r="AX3099" i="6"/>
  <c r="AW3047" i="6"/>
  <c r="AP3099" i="6"/>
  <c r="AO3047" i="6"/>
  <c r="AO3008" i="6" s="1" a="1"/>
  <c r="AO3008" i="6" s="1"/>
  <c r="AR20" i="9"/>
  <c r="U871" i="6"/>
  <c r="U870" i="6"/>
  <c r="AT36" i="19"/>
  <c r="AU38" i="19"/>
  <c r="AS2006" i="6"/>
  <c r="AR2004" i="6"/>
  <c r="AR2008" i="6"/>
  <c r="O2444" i="6"/>
  <c r="O2443" i="6"/>
  <c r="N2444" i="6"/>
  <c r="N2443" i="6"/>
  <c r="D475" i="6"/>
  <c r="D476" i="6"/>
  <c r="AR883" i="6"/>
  <c r="AR880" i="6"/>
  <c r="AS878" i="6"/>
  <c r="AS7" i="5"/>
  <c r="AQ17" i="18"/>
  <c r="AQ1332" i="6"/>
  <c r="AU39" i="20"/>
  <c r="AT36" i="20"/>
  <c r="T1772" i="6"/>
  <c r="T1773" i="6"/>
  <c r="C1614" i="6"/>
  <c r="C1615" i="6"/>
  <c r="C1772" i="6" s="1"/>
  <c r="N1773" i="6"/>
  <c r="E1773" i="6"/>
  <c r="E1772" i="6"/>
  <c r="F1616" i="6" a="1"/>
  <c r="F1616" i="6" s="1"/>
  <c r="AR1335" i="6"/>
  <c r="AS1330" i="6"/>
  <c r="AS10" i="5"/>
  <c r="E476" i="6"/>
  <c r="E475" i="6"/>
  <c r="F22" i="5"/>
  <c r="F25" i="5" s="1"/>
  <c r="F43" i="5" s="1"/>
  <c r="AI45" i="5"/>
  <c r="AI47" i="5"/>
  <c r="AQ2665" i="6"/>
  <c r="M2118" i="6" a="1"/>
  <c r="M2118" i="6" s="1"/>
  <c r="S2223" i="6"/>
  <c r="U2223" i="6"/>
  <c r="U2222" i="6"/>
  <c r="P2443" i="6"/>
  <c r="P2444" i="6"/>
  <c r="BE1310" i="6"/>
  <c r="BA1310" i="6"/>
  <c r="AW1310" i="6"/>
  <c r="AS1310" i="6"/>
  <c r="BD1258" i="6"/>
  <c r="AZ1258" i="6"/>
  <c r="AV1258" i="6"/>
  <c r="AR1258" i="6"/>
  <c r="BA1206" i="6"/>
  <c r="AW1206" i="6"/>
  <c r="AS1206" i="6"/>
  <c r="AL1152" i="6"/>
  <c r="BD1310" i="6"/>
  <c r="AZ1310" i="6"/>
  <c r="AV1310" i="6"/>
  <c r="AR1310" i="6"/>
  <c r="BC1258" i="6"/>
  <c r="AY1258" i="6"/>
  <c r="AU1258" i="6"/>
  <c r="AQ1258" i="6"/>
  <c r="BD1206" i="6"/>
  <c r="AZ1206" i="6"/>
  <c r="AV1206" i="6"/>
  <c r="AR1206" i="6"/>
  <c r="AO1152" i="6"/>
  <c r="AK1152" i="6"/>
  <c r="BC1310" i="6"/>
  <c r="AY1310" i="6"/>
  <c r="AU1310" i="6"/>
  <c r="AQ1310" i="6"/>
  <c r="BB1258" i="6"/>
  <c r="AX1258" i="6"/>
  <c r="AT1258" i="6"/>
  <c r="AP1258" i="6"/>
  <c r="AP1218" i="6" s="1" a="1"/>
  <c r="AP1218" i="6" s="1"/>
  <c r="BC1206" i="6"/>
  <c r="AY1206" i="6"/>
  <c r="AU1206" i="6"/>
  <c r="AQ1206" i="6"/>
  <c r="AN1152" i="6"/>
  <c r="AJ1152" i="6"/>
  <c r="AJ1112" i="6" s="1"/>
  <c r="AQ1111" i="6"/>
  <c r="BB1310" i="6"/>
  <c r="AX1310" i="6"/>
  <c r="AT1310" i="6"/>
  <c r="AP1310" i="6"/>
  <c r="AP1270" i="6" s="1"/>
  <c r="BA1258" i="6"/>
  <c r="AW1258" i="6"/>
  <c r="AS1258" i="6"/>
  <c r="BB1206" i="6"/>
  <c r="AX1206" i="6"/>
  <c r="AT1206" i="6"/>
  <c r="AP1206" i="6"/>
  <c r="AP1166" i="6" s="1" a="1"/>
  <c r="AP1166" i="6" s="1"/>
  <c r="AM1152" i="6"/>
  <c r="BE2655" i="6"/>
  <c r="BA2655" i="6"/>
  <c r="AW2655" i="6"/>
  <c r="AS2655" i="6"/>
  <c r="AS2612" i="6" s="1"/>
  <c r="BE2603" i="6"/>
  <c r="BA2603" i="6"/>
  <c r="AW2603" i="6"/>
  <c r="AS2603" i="6"/>
  <c r="AS2560" i="6" s="1" a="1"/>
  <c r="AS2560" i="6" s="1"/>
  <c r="BD2551" i="6"/>
  <c r="AZ2551" i="6"/>
  <c r="AV2551" i="6"/>
  <c r="BD2655" i="6"/>
  <c r="AY2655" i="6"/>
  <c r="AT2655" i="6"/>
  <c r="BG2603" i="6"/>
  <c r="BB2603" i="6"/>
  <c r="AV2603" i="6"/>
  <c r="BC2551" i="6"/>
  <c r="AX2551" i="6"/>
  <c r="AS2551" i="6"/>
  <c r="AS2508" i="6" s="1" a="1"/>
  <c r="AS2508" i="6" s="1"/>
  <c r="BH2655" i="6"/>
  <c r="BC2655" i="6"/>
  <c r="AX2655" i="6"/>
  <c r="BF2603" i="6"/>
  <c r="AZ2603" i="6"/>
  <c r="AU2603" i="6"/>
  <c r="BG2551" i="6"/>
  <c r="BB2551" i="6"/>
  <c r="AW2551" i="6"/>
  <c r="BG2655" i="6"/>
  <c r="BB2655" i="6"/>
  <c r="AV2655" i="6"/>
  <c r="BD2603" i="6"/>
  <c r="AY2603" i="6"/>
  <c r="AT2603" i="6"/>
  <c r="BF2551" i="6"/>
  <c r="BA2551" i="6"/>
  <c r="AU2551" i="6"/>
  <c r="AZ2655" i="6"/>
  <c r="AT2551" i="6"/>
  <c r="AU2655" i="6"/>
  <c r="BC2603" i="6"/>
  <c r="AX2603" i="6"/>
  <c r="BE2551" i="6"/>
  <c r="AR2497" i="6"/>
  <c r="AR2454" i="6" s="1"/>
  <c r="BF2655" i="6"/>
  <c r="AY2551" i="6"/>
  <c r="AT2453" i="6"/>
  <c r="AT21" i="5"/>
  <c r="B21" i="15"/>
  <c r="C655" i="6" s="1"/>
  <c r="D655" i="6"/>
  <c r="B2" i="15"/>
  <c r="I822" i="6"/>
  <c r="S770" i="6"/>
  <c r="O770" i="6"/>
  <c r="K770" i="6"/>
  <c r="G770" i="6"/>
  <c r="T718" i="6"/>
  <c r="T714" i="6" s="1" a="1"/>
  <c r="T714" i="6" s="1"/>
  <c r="P718" i="6"/>
  <c r="L718" i="6"/>
  <c r="H718" i="6"/>
  <c r="H822" i="6"/>
  <c r="R770" i="6"/>
  <c r="N770" i="6"/>
  <c r="J770" i="6"/>
  <c r="F770" i="6"/>
  <c r="S718" i="6"/>
  <c r="O718" i="6"/>
  <c r="K718" i="6"/>
  <c r="G718" i="6"/>
  <c r="D664" i="6"/>
  <c r="K822" i="6"/>
  <c r="K818" i="6" s="1"/>
  <c r="G822" i="6"/>
  <c r="Q770" i="6"/>
  <c r="M770" i="6"/>
  <c r="I770" i="6"/>
  <c r="R718" i="6"/>
  <c r="N718" i="6"/>
  <c r="J718" i="6"/>
  <c r="F718" i="6"/>
  <c r="D663" i="6"/>
  <c r="D660" i="6" s="1"/>
  <c r="J822" i="6"/>
  <c r="F822" i="6"/>
  <c r="T770" i="6"/>
  <c r="T766" i="6" s="1" a="1"/>
  <c r="T766" i="6" s="1"/>
  <c r="P770" i="6"/>
  <c r="L770" i="6"/>
  <c r="H770" i="6"/>
  <c r="Q718" i="6"/>
  <c r="M718" i="6"/>
  <c r="I718" i="6"/>
  <c r="B25" i="16"/>
  <c r="C880" i="6" s="1"/>
  <c r="D880" i="6"/>
  <c r="AL19" i="17"/>
  <c r="AL1105" i="6"/>
  <c r="AS39" i="18"/>
  <c r="AR36" i="18"/>
  <c r="AN3166" i="6"/>
  <c r="AQ1102" i="6"/>
  <c r="AR1104" i="6"/>
  <c r="AQ1108" i="6"/>
  <c r="AO2444" i="6"/>
  <c r="AP59" i="12"/>
  <c r="AQ248" i="6" s="1"/>
  <c r="AQ60" i="12"/>
  <c r="AQ246" i="6"/>
  <c r="BD1761" i="6"/>
  <c r="AZ1761" i="6"/>
  <c r="AV1761" i="6"/>
  <c r="AR1761" i="6"/>
  <c r="BC1709" i="6"/>
  <c r="AY1709" i="6"/>
  <c r="AU1709" i="6"/>
  <c r="AQ1709" i="6"/>
  <c r="AQ1668" i="6" s="1" a="1"/>
  <c r="AQ1668" i="6" s="1"/>
  <c r="BB1657" i="6"/>
  <c r="AX1657" i="6"/>
  <c r="AT1657" i="6"/>
  <c r="BE1761" i="6"/>
  <c r="AY1761" i="6"/>
  <c r="AT1761" i="6"/>
  <c r="BA1709" i="6"/>
  <c r="AV1709" i="6"/>
  <c r="BE1657" i="6"/>
  <c r="AZ1657" i="6"/>
  <c r="AU1657" i="6"/>
  <c r="BC1761" i="6"/>
  <c r="AX1761" i="6"/>
  <c r="AS1761" i="6"/>
  <c r="BE1709" i="6"/>
  <c r="AZ1709" i="6"/>
  <c r="AT1709" i="6"/>
  <c r="BD1657" i="6"/>
  <c r="AY1657" i="6"/>
  <c r="AS1657" i="6"/>
  <c r="AP1603" i="6"/>
  <c r="BB1761" i="6"/>
  <c r="AW1761" i="6"/>
  <c r="AQ1761" i="6"/>
  <c r="AQ1720" i="6" s="1"/>
  <c r="BD1709" i="6"/>
  <c r="AX1709" i="6"/>
  <c r="AS1709" i="6"/>
  <c r="BC1657" i="6"/>
  <c r="AW1657" i="6"/>
  <c r="AR1657" i="6"/>
  <c r="AO1603" i="6"/>
  <c r="BF1761" i="6"/>
  <c r="BA1761" i="6"/>
  <c r="AU1761" i="6"/>
  <c r="BB1709" i="6"/>
  <c r="AW1709" i="6"/>
  <c r="AR1709" i="6"/>
  <c r="BA1657" i="6"/>
  <c r="AV1657" i="6"/>
  <c r="AQ1657" i="6"/>
  <c r="AQ1616" i="6" s="1" a="1"/>
  <c r="AQ1616" i="6" s="1"/>
  <c r="AN1603" i="6"/>
  <c r="AN1562" i="6" s="1"/>
  <c r="AR1561" i="6"/>
  <c r="AT3004" i="6"/>
  <c r="AT60" i="9"/>
  <c r="BA2931" i="6"/>
  <c r="AW2931" i="6"/>
  <c r="AS2931" i="6"/>
  <c r="AO2931" i="6"/>
  <c r="AZ2879" i="6"/>
  <c r="AV2879" i="6"/>
  <c r="AR2879" i="6"/>
  <c r="AN2879" i="6"/>
  <c r="AN2841" i="6" s="1" a="1"/>
  <c r="AN2841" i="6" s="1"/>
  <c r="BB2931" i="6"/>
  <c r="AV2931" i="6"/>
  <c r="AQ2931" i="6"/>
  <c r="BA2879" i="6"/>
  <c r="AU2879" i="6"/>
  <c r="AP2879" i="6"/>
  <c r="AZ2931" i="6"/>
  <c r="AU2931" i="6"/>
  <c r="AP2931" i="6"/>
  <c r="AY2879" i="6"/>
  <c r="AT2879" i="6"/>
  <c r="AO2879" i="6"/>
  <c r="AY2931" i="6"/>
  <c r="AT2931" i="6"/>
  <c r="AN2931" i="6"/>
  <c r="AN2893" i="6" s="1" a="1"/>
  <c r="AN2893" i="6" s="1"/>
  <c r="AX2931" i="6"/>
  <c r="BB2879" i="6"/>
  <c r="AQ2879" i="6"/>
  <c r="AR2931" i="6"/>
  <c r="AX2879" i="6"/>
  <c r="AW2879" i="6"/>
  <c r="AS2879" i="6"/>
  <c r="AT1084" i="6"/>
  <c r="BC1032" i="6"/>
  <c r="AY1032" i="6"/>
  <c r="AU1032" i="6"/>
  <c r="AQ1032" i="6"/>
  <c r="AQ991" i="6" s="1" a="1"/>
  <c r="AQ991" i="6" s="1"/>
  <c r="BD980" i="6"/>
  <c r="AZ980" i="6"/>
  <c r="AV980" i="6"/>
  <c r="AR980" i="6"/>
  <c r="AS1084" i="6"/>
  <c r="BB1032" i="6"/>
  <c r="AX1032" i="6"/>
  <c r="AT1032" i="6"/>
  <c r="AV1084" i="6"/>
  <c r="AR1084" i="6"/>
  <c r="BE1032" i="6"/>
  <c r="BA1032" i="6"/>
  <c r="AW1032" i="6"/>
  <c r="AS1032" i="6"/>
  <c r="BB980" i="6"/>
  <c r="AX980" i="6"/>
  <c r="AT980" i="6"/>
  <c r="AU1084" i="6"/>
  <c r="AQ1084" i="6"/>
  <c r="AQ1043" i="6" s="1"/>
  <c r="BD1032" i="6"/>
  <c r="AY980" i="6"/>
  <c r="AQ980" i="6"/>
  <c r="AQ939" i="6" s="1" a="1"/>
  <c r="AQ939" i="6" s="1"/>
  <c r="AZ1032" i="6"/>
  <c r="BE980" i="6"/>
  <c r="AW980" i="6"/>
  <c r="AP926" i="6"/>
  <c r="AP885" i="6" s="1"/>
  <c r="AV1032" i="6"/>
  <c r="BC980" i="6"/>
  <c r="AU980" i="6"/>
  <c r="AR884" i="6"/>
  <c r="AR1032" i="6"/>
  <c r="BA980" i="6"/>
  <c r="AS980" i="6"/>
  <c r="AL24" i="17"/>
  <c r="AL1107" i="6"/>
  <c r="AM18" i="5" s="1"/>
  <c r="AO72" i="9"/>
  <c r="AO71" i="9"/>
  <c r="AP2838" i="6"/>
  <c r="H1616" i="6" a="1"/>
  <c r="H1616" i="6" s="1"/>
  <c r="F1668" i="6" a="1"/>
  <c r="F1668" i="6" s="1"/>
  <c r="H1668" i="6" a="1"/>
  <c r="H1668" i="6" s="1"/>
  <c r="O1720" i="6"/>
  <c r="G1616" i="6" a="1"/>
  <c r="G1616" i="6" s="1"/>
  <c r="N1616" i="6" a="1"/>
  <c r="N1616" i="6" s="1"/>
  <c r="N1772" i="6" s="1"/>
  <c r="R1616" i="6" a="1"/>
  <c r="R1616" i="6" s="1"/>
  <c r="O1668" i="6" a="1"/>
  <c r="O1668" i="6" s="1"/>
  <c r="S1668" i="6" a="1"/>
  <c r="S1668" i="6" s="1"/>
  <c r="AS408" i="6"/>
  <c r="AS247" i="6"/>
  <c r="AS244" i="6"/>
  <c r="AT28" i="5" s="1"/>
  <c r="AS245" i="6"/>
  <c r="AS67" i="12"/>
  <c r="AR66" i="14"/>
  <c r="AQ57" i="14"/>
  <c r="AQ56" i="14" s="1"/>
  <c r="U1499" i="6"/>
  <c r="U1495" i="6" s="1"/>
  <c r="Q1499" i="6"/>
  <c r="M1499" i="6"/>
  <c r="I1499" i="6"/>
  <c r="T1498" i="6"/>
  <c r="P1498" i="6"/>
  <c r="L1498" i="6"/>
  <c r="H1498" i="6"/>
  <c r="S1497" i="6"/>
  <c r="O1497" i="6"/>
  <c r="K1497" i="6"/>
  <c r="G1497" i="6"/>
  <c r="R1496" i="6"/>
  <c r="N1496" i="6"/>
  <c r="J1496" i="6"/>
  <c r="F1496" i="6"/>
  <c r="S1447" i="6"/>
  <c r="O1447" i="6"/>
  <c r="K1447" i="6"/>
  <c r="G1447" i="6"/>
  <c r="Q1446" i="6"/>
  <c r="M1446" i="6"/>
  <c r="I1446" i="6"/>
  <c r="E1446" i="6"/>
  <c r="O1445" i="6"/>
  <c r="K1445" i="6"/>
  <c r="G1445" i="6"/>
  <c r="Q1444" i="6"/>
  <c r="M1444" i="6"/>
  <c r="I1444" i="6"/>
  <c r="E1444" i="6"/>
  <c r="R1395" i="6"/>
  <c r="N1395" i="6"/>
  <c r="J1395" i="6"/>
  <c r="F1395" i="6"/>
  <c r="P1394" i="6"/>
  <c r="L1394" i="6"/>
  <c r="H1394" i="6"/>
  <c r="R1393" i="6"/>
  <c r="N1393" i="6"/>
  <c r="J1393" i="6"/>
  <c r="F1393" i="6"/>
  <c r="P1392" i="6"/>
  <c r="L1392" i="6"/>
  <c r="H1392" i="6"/>
  <c r="D1392" i="6"/>
  <c r="C1339" i="6"/>
  <c r="T1499" i="6"/>
  <c r="P1499" i="6"/>
  <c r="L1499" i="6"/>
  <c r="H1499" i="6"/>
  <c r="S1498" i="6"/>
  <c r="O1498" i="6"/>
  <c r="K1498" i="6"/>
  <c r="G1498" i="6"/>
  <c r="R1497" i="6"/>
  <c r="N1497" i="6"/>
  <c r="J1497" i="6"/>
  <c r="F1497" i="6"/>
  <c r="Q1496" i="6"/>
  <c r="M1496" i="6"/>
  <c r="I1496" i="6"/>
  <c r="E1496" i="6"/>
  <c r="R1447" i="6"/>
  <c r="N1447" i="6"/>
  <c r="J1447" i="6"/>
  <c r="F1447" i="6"/>
  <c r="P1446" i="6"/>
  <c r="L1446" i="6"/>
  <c r="H1446" i="6"/>
  <c r="R1445" i="6"/>
  <c r="N1445" i="6"/>
  <c r="J1445" i="6"/>
  <c r="F1445" i="6"/>
  <c r="P1444" i="6"/>
  <c r="L1444" i="6"/>
  <c r="H1444" i="6"/>
  <c r="D1444" i="6"/>
  <c r="Q1395" i="6"/>
  <c r="M1395" i="6"/>
  <c r="I1395" i="6"/>
  <c r="S1394" i="6"/>
  <c r="O1394" i="6"/>
  <c r="K1394" i="6"/>
  <c r="G1394" i="6"/>
  <c r="Q1393" i="6"/>
  <c r="M1393" i="6"/>
  <c r="I1393" i="6"/>
  <c r="E1393" i="6"/>
  <c r="O1392" i="6"/>
  <c r="K1392" i="6"/>
  <c r="G1392" i="6"/>
  <c r="C1392" i="6"/>
  <c r="C1391" i="6" s="1" a="1"/>
  <c r="C1391" i="6" s="1"/>
  <c r="C1341" i="6"/>
  <c r="C1338" i="6"/>
  <c r="S1499" i="6"/>
  <c r="O1499" i="6"/>
  <c r="K1499" i="6"/>
  <c r="G1499" i="6"/>
  <c r="R1498" i="6"/>
  <c r="N1498" i="6"/>
  <c r="J1498" i="6"/>
  <c r="F1498" i="6"/>
  <c r="Q1497" i="6"/>
  <c r="M1497" i="6"/>
  <c r="I1497" i="6"/>
  <c r="E1497" i="6"/>
  <c r="P1496" i="6"/>
  <c r="P1495" i="6" s="1"/>
  <c r="L1496" i="6"/>
  <c r="H1496" i="6"/>
  <c r="D1496" i="6"/>
  <c r="D1495" i="6" s="1"/>
  <c r="Q1447" i="6"/>
  <c r="M1447" i="6"/>
  <c r="I1447" i="6"/>
  <c r="S1446" i="6"/>
  <c r="S1443" i="6" s="1" a="1"/>
  <c r="S1443" i="6" s="1"/>
  <c r="O1446" i="6"/>
  <c r="K1446" i="6"/>
  <c r="G1446" i="6"/>
  <c r="Q1445" i="6"/>
  <c r="M1445" i="6"/>
  <c r="I1445" i="6"/>
  <c r="E1445" i="6"/>
  <c r="O1444" i="6"/>
  <c r="K1444" i="6"/>
  <c r="K1443" i="6" s="1" a="1"/>
  <c r="K1443" i="6" s="1"/>
  <c r="G1444" i="6"/>
  <c r="C1444" i="6"/>
  <c r="C1443" i="6" s="1" a="1"/>
  <c r="C1443" i="6" s="1"/>
  <c r="T1395" i="6"/>
  <c r="T1391" i="6" s="1" a="1"/>
  <c r="T1391" i="6" s="1"/>
  <c r="P1395" i="6"/>
  <c r="L1395" i="6"/>
  <c r="H1395" i="6"/>
  <c r="R1394" i="6"/>
  <c r="N1394" i="6"/>
  <c r="J1394" i="6"/>
  <c r="F1394" i="6"/>
  <c r="P1393" i="6"/>
  <c r="L1393" i="6"/>
  <c r="H1393" i="6"/>
  <c r="D1393" i="6"/>
  <c r="N1392" i="6"/>
  <c r="J1392" i="6"/>
  <c r="J1391" i="6" s="1" a="1"/>
  <c r="J1391" i="6" s="1"/>
  <c r="F1392" i="6"/>
  <c r="R1499" i="6"/>
  <c r="N1499" i="6"/>
  <c r="J1499" i="6"/>
  <c r="F1499" i="6"/>
  <c r="Q1498" i="6"/>
  <c r="M1498" i="6"/>
  <c r="I1498" i="6"/>
  <c r="E1498" i="6"/>
  <c r="P1497" i="6"/>
  <c r="L1497" i="6"/>
  <c r="H1497" i="6"/>
  <c r="D1497" i="6"/>
  <c r="O1496" i="6"/>
  <c r="O1495" i="6" s="1"/>
  <c r="K1496" i="6"/>
  <c r="K1495" i="6" s="1"/>
  <c r="G1496" i="6"/>
  <c r="G1495" i="6" s="1"/>
  <c r="C1496" i="6"/>
  <c r="C1495" i="6" s="1"/>
  <c r="T1447" i="6"/>
  <c r="T1443" i="6" s="1" a="1"/>
  <c r="T1443" i="6" s="1"/>
  <c r="P1447" i="6"/>
  <c r="L1447" i="6"/>
  <c r="H1447" i="6"/>
  <c r="R1446" i="6"/>
  <c r="N1446" i="6"/>
  <c r="J1446" i="6"/>
  <c r="F1446" i="6"/>
  <c r="P1445" i="6"/>
  <c r="L1445" i="6"/>
  <c r="H1445" i="6"/>
  <c r="D1445" i="6"/>
  <c r="N1444" i="6"/>
  <c r="J1444" i="6"/>
  <c r="F1444" i="6"/>
  <c r="F1443" i="6" s="1" a="1"/>
  <c r="F1443" i="6" s="1"/>
  <c r="S1395" i="6"/>
  <c r="O1395" i="6"/>
  <c r="K1395" i="6"/>
  <c r="G1395" i="6"/>
  <c r="Q1394" i="6"/>
  <c r="M1394" i="6"/>
  <c r="I1394" i="6"/>
  <c r="E1394" i="6"/>
  <c r="O1393" i="6"/>
  <c r="K1393" i="6"/>
  <c r="G1393" i="6"/>
  <c r="Q1392" i="6"/>
  <c r="Q1391" i="6" s="1" a="1"/>
  <c r="Q1391" i="6" s="1"/>
  <c r="M1392" i="6"/>
  <c r="I1392" i="6"/>
  <c r="E1392" i="6"/>
  <c r="C1340" i="6"/>
  <c r="AR655" i="6"/>
  <c r="AS653" i="6"/>
  <c r="AS6" i="5"/>
  <c r="AR658" i="6"/>
  <c r="AZ38" i="20"/>
  <c r="AW24" i="9"/>
  <c r="AQ2228" i="6"/>
  <c r="D1787" i="6"/>
  <c r="V1998" i="6"/>
  <c r="V1997" i="6"/>
  <c r="AU68" i="12"/>
  <c r="P2170" i="6"/>
  <c r="C2012" i="6"/>
  <c r="K2066" i="6" a="1"/>
  <c r="K2066" i="6" s="1"/>
  <c r="P2118" i="6" a="1"/>
  <c r="P2118" i="6" s="1"/>
  <c r="R2118" i="6" a="1"/>
  <c r="R2118" i="6" s="1"/>
  <c r="E2170" i="6"/>
  <c r="P2066" i="6" a="1"/>
  <c r="P2066" i="6" s="1"/>
  <c r="R2066" i="6" a="1"/>
  <c r="R2066" i="6" s="1"/>
  <c r="E2118" i="6" a="1"/>
  <c r="E2118" i="6" s="1"/>
  <c r="J2170" i="6"/>
  <c r="E2066" i="6" a="1"/>
  <c r="E2066" i="6" s="1"/>
  <c r="J2118" i="6" a="1"/>
  <c r="J2118" i="6" s="1"/>
  <c r="K2170" i="6"/>
  <c r="AW38" i="18"/>
  <c r="F2444" i="6"/>
  <c r="F2443" i="6"/>
  <c r="D235" i="6"/>
  <c r="AR2010" i="6"/>
  <c r="AS2005" i="6"/>
  <c r="R2444" i="6"/>
  <c r="V2443" i="6"/>
  <c r="V2444" i="6"/>
  <c r="M2444" i="6"/>
  <c r="M2443" i="6"/>
  <c r="AS56" i="17"/>
  <c r="AR44" i="17"/>
  <c r="AP35" i="5"/>
  <c r="AO416" i="6"/>
  <c r="AO635" i="6"/>
  <c r="AP23" i="5" s="1"/>
  <c r="AO419" i="6"/>
  <c r="AP413" i="6"/>
  <c r="AN22" i="9"/>
  <c r="AP15" i="5"/>
  <c r="C1095" i="6"/>
  <c r="C1096" i="6"/>
  <c r="AQ2506" i="6"/>
  <c r="AQ2507" i="6"/>
  <c r="AQ2664" i="6" s="1"/>
  <c r="AR2229" i="6"/>
  <c r="AS2227" i="6"/>
  <c r="AR2225" i="6"/>
  <c r="BJ223" i="6"/>
  <c r="BF223" i="6"/>
  <c r="BB223" i="6"/>
  <c r="AX223" i="6"/>
  <c r="AT223" i="6"/>
  <c r="AP223" i="6"/>
  <c r="AP183" i="6" s="1"/>
  <c r="BA171" i="6"/>
  <c r="AW171" i="6"/>
  <c r="AS171" i="6"/>
  <c r="BD119" i="6"/>
  <c r="AZ119" i="6"/>
  <c r="AV119" i="6"/>
  <c r="AR119" i="6"/>
  <c r="AM56" i="6"/>
  <c r="AQ10" i="6"/>
  <c r="AQ20" i="5"/>
  <c r="AY223" i="6"/>
  <c r="AT171" i="6"/>
  <c r="BA119" i="6"/>
  <c r="BI223" i="6"/>
  <c r="BE223" i="6"/>
  <c r="BA223" i="6"/>
  <c r="AW223" i="6"/>
  <c r="AS223" i="6"/>
  <c r="BD171" i="6"/>
  <c r="AZ171" i="6"/>
  <c r="AV171" i="6"/>
  <c r="AR171" i="6"/>
  <c r="BC119" i="6"/>
  <c r="AY119" i="6"/>
  <c r="AU119" i="6"/>
  <c r="AQ119" i="6"/>
  <c r="AL56" i="6"/>
  <c r="AQ11" i="6"/>
  <c r="BC223" i="6"/>
  <c r="AQ223" i="6"/>
  <c r="BB171" i="6"/>
  <c r="AP171" i="6"/>
  <c r="AP131" i="6" s="1" a="1"/>
  <c r="AP131" i="6" s="1"/>
  <c r="AW119" i="6"/>
  <c r="AS119" i="6"/>
  <c r="BH223" i="6"/>
  <c r="BD223" i="6"/>
  <c r="AZ223" i="6"/>
  <c r="AV223" i="6"/>
  <c r="AR223" i="6"/>
  <c r="BC171" i="6"/>
  <c r="AY171" i="6"/>
  <c r="AU171" i="6"/>
  <c r="AQ171" i="6"/>
  <c r="BB119" i="6"/>
  <c r="AX119" i="6"/>
  <c r="AT119" i="6"/>
  <c r="AP119" i="6"/>
  <c r="AP79" i="6" s="1" a="1"/>
  <c r="AP79" i="6" s="1"/>
  <c r="AO56" i="6"/>
  <c r="AK56" i="6"/>
  <c r="BG223" i="6"/>
  <c r="AU223" i="6"/>
  <c r="AX171" i="6"/>
  <c r="AN56" i="6"/>
  <c r="AQ15" i="6"/>
  <c r="AJ56" i="6"/>
  <c r="AJ16" i="6" s="1"/>
  <c r="AQ17" i="21"/>
  <c r="AQ2007" i="6"/>
  <c r="AS70" i="13"/>
  <c r="AR48" i="13"/>
  <c r="AY3171" i="6"/>
  <c r="AY38" i="11"/>
  <c r="AZ3171" i="6" s="1"/>
  <c r="AM1389" i="6"/>
  <c r="AM1390" i="6"/>
  <c r="AM1547" i="6" s="1"/>
  <c r="AI78" i="6"/>
  <c r="AI235" i="6" s="1"/>
  <c r="AJ22" i="5"/>
  <c r="AJ25" i="5" s="1"/>
  <c r="AJ43" i="5" s="1"/>
  <c r="AI77" i="6"/>
  <c r="BB2765" i="6"/>
  <c r="AX2765" i="6"/>
  <c r="AT2765" i="6"/>
  <c r="AP2765" i="6"/>
  <c r="BA2713" i="6"/>
  <c r="AW2713" i="6"/>
  <c r="AS2713" i="6"/>
  <c r="AO2713" i="6"/>
  <c r="AO2674" i="6" s="1" a="1"/>
  <c r="AO2674" i="6" s="1"/>
  <c r="AY2765" i="6"/>
  <c r="AS2765" i="6"/>
  <c r="BC2713" i="6"/>
  <c r="AX2713" i="6"/>
  <c r="AR2713" i="6"/>
  <c r="BC2765" i="6"/>
  <c r="AW2765" i="6"/>
  <c r="AR2765" i="6"/>
  <c r="BB2713" i="6"/>
  <c r="AV2713" i="6"/>
  <c r="AQ2713" i="6"/>
  <c r="BA2765" i="6"/>
  <c r="AV2765" i="6"/>
  <c r="AQ2765" i="6"/>
  <c r="AZ2713" i="6"/>
  <c r="AU2713" i="6"/>
  <c r="AP2713" i="6"/>
  <c r="AZ2765" i="6"/>
  <c r="AY2713" i="6"/>
  <c r="AU2765" i="6"/>
  <c r="AT2713" i="6"/>
  <c r="AO2765" i="6"/>
  <c r="AO2726" i="6" s="1" a="1"/>
  <c r="AO2726" i="6" s="1"/>
  <c r="E1839" i="6"/>
  <c r="E1840" i="6"/>
  <c r="AO937" i="6"/>
  <c r="AO938" i="6"/>
  <c r="AO1095" i="6" s="1"/>
  <c r="AP14" i="13"/>
  <c r="AQ7" i="6"/>
  <c r="AQ237" i="6"/>
  <c r="AQ12" i="6"/>
  <c r="AR9" i="6"/>
  <c r="AL2285" i="6"/>
  <c r="AL2286" i="6"/>
  <c r="AL2443" i="6" s="1"/>
  <c r="BH396" i="6"/>
  <c r="BD396" i="6"/>
  <c r="AZ396" i="6"/>
  <c r="AV396" i="6"/>
  <c r="AR396" i="6"/>
  <c r="BG396" i="6"/>
  <c r="BC396" i="6"/>
  <c r="AY396" i="6"/>
  <c r="AU396" i="6"/>
  <c r="AQ396" i="6"/>
  <c r="AP249" i="6"/>
  <c r="AQ29" i="5"/>
  <c r="BI396" i="6"/>
  <c r="BA396" i="6"/>
  <c r="AS396" i="6"/>
  <c r="BJ396" i="6"/>
  <c r="BF396" i="6"/>
  <c r="BB396" i="6"/>
  <c r="AX396" i="6"/>
  <c r="AT396" i="6"/>
  <c r="AP396" i="6"/>
  <c r="AP356" i="6" s="1"/>
  <c r="AP250" i="6"/>
  <c r="BE396" i="6"/>
  <c r="AW396" i="6"/>
  <c r="AP355" i="6"/>
  <c r="AZ30" i="14"/>
  <c r="AY32" i="14"/>
  <c r="AC2444" i="6"/>
  <c r="AC2443" i="6"/>
  <c r="AM2064" i="6"/>
  <c r="AM2065" i="6"/>
  <c r="AM2222" i="6" s="1"/>
  <c r="V634" i="6"/>
  <c r="V633" i="6"/>
  <c r="R585" i="6"/>
  <c r="N585" i="6"/>
  <c r="J585" i="6"/>
  <c r="F585" i="6"/>
  <c r="Q584" i="6"/>
  <c r="M584" i="6"/>
  <c r="I584" i="6"/>
  <c r="E584" i="6"/>
  <c r="P583" i="6"/>
  <c r="L583" i="6"/>
  <c r="H583" i="6"/>
  <c r="D583" i="6"/>
  <c r="O582" i="6"/>
  <c r="K582" i="6"/>
  <c r="G582" i="6"/>
  <c r="C582" i="6"/>
  <c r="C581" i="6" s="1"/>
  <c r="T533" i="6"/>
  <c r="T529" i="6" s="1" a="1"/>
  <c r="T529" i="6" s="1"/>
  <c r="P533" i="6"/>
  <c r="L533" i="6"/>
  <c r="H533" i="6"/>
  <c r="R532" i="6"/>
  <c r="N532" i="6"/>
  <c r="J532" i="6"/>
  <c r="F532" i="6"/>
  <c r="P531" i="6"/>
  <c r="L531" i="6"/>
  <c r="H531" i="6"/>
  <c r="D531" i="6"/>
  <c r="N530" i="6"/>
  <c r="J530" i="6"/>
  <c r="F530" i="6"/>
  <c r="T481" i="6"/>
  <c r="T477" i="6" s="1" a="1"/>
  <c r="T477" i="6" s="1"/>
  <c r="P481" i="6"/>
  <c r="L481" i="6"/>
  <c r="H481" i="6"/>
  <c r="R480" i="6"/>
  <c r="N480" i="6"/>
  <c r="J480" i="6"/>
  <c r="F480" i="6"/>
  <c r="P479" i="6"/>
  <c r="L479" i="6"/>
  <c r="H479" i="6"/>
  <c r="D479" i="6"/>
  <c r="N478" i="6"/>
  <c r="J478" i="6"/>
  <c r="F478" i="6"/>
  <c r="C425" i="6"/>
  <c r="U585" i="6"/>
  <c r="U581" i="6" s="1"/>
  <c r="Q585" i="6"/>
  <c r="M585" i="6"/>
  <c r="I585" i="6"/>
  <c r="T584" i="6"/>
  <c r="P584" i="6"/>
  <c r="L584" i="6"/>
  <c r="H584" i="6"/>
  <c r="S583" i="6"/>
  <c r="O583" i="6"/>
  <c r="K583" i="6"/>
  <c r="G583" i="6"/>
  <c r="R582" i="6"/>
  <c r="N582" i="6"/>
  <c r="J582" i="6"/>
  <c r="J581" i="6" s="1"/>
  <c r="F582" i="6"/>
  <c r="S533" i="6"/>
  <c r="O533" i="6"/>
  <c r="K533" i="6"/>
  <c r="G533" i="6"/>
  <c r="Q532" i="6"/>
  <c r="M532" i="6"/>
  <c r="I532" i="6"/>
  <c r="E532" i="6"/>
  <c r="O531" i="6"/>
  <c r="K531" i="6"/>
  <c r="G531" i="6"/>
  <c r="Q530" i="6"/>
  <c r="M530" i="6"/>
  <c r="I530" i="6"/>
  <c r="E530" i="6"/>
  <c r="S481" i="6"/>
  <c r="O481" i="6"/>
  <c r="K481" i="6"/>
  <c r="G481" i="6"/>
  <c r="Q480" i="6"/>
  <c r="M480" i="6"/>
  <c r="I480" i="6"/>
  <c r="E480" i="6"/>
  <c r="O479" i="6"/>
  <c r="K479" i="6"/>
  <c r="G479" i="6"/>
  <c r="Q478" i="6"/>
  <c r="M478" i="6"/>
  <c r="I478" i="6"/>
  <c r="E478" i="6"/>
  <c r="C427" i="6"/>
  <c r="C424" i="6"/>
  <c r="S585" i="6"/>
  <c r="G585" i="6"/>
  <c r="R584" i="6"/>
  <c r="J584" i="6"/>
  <c r="Q583" i="6"/>
  <c r="E583" i="6"/>
  <c r="L582" i="6"/>
  <c r="L581" i="6" s="1"/>
  <c r="D582" i="6"/>
  <c r="D581" i="6" s="1"/>
  <c r="Q533" i="6"/>
  <c r="I533" i="6"/>
  <c r="O532" i="6"/>
  <c r="G532" i="6"/>
  <c r="M531" i="6"/>
  <c r="E531" i="6"/>
  <c r="K530" i="6"/>
  <c r="C530" i="6"/>
  <c r="C529" i="6" s="1" a="1"/>
  <c r="C529" i="6" s="1"/>
  <c r="Q481" i="6"/>
  <c r="I481" i="6"/>
  <c r="O480" i="6"/>
  <c r="G480" i="6"/>
  <c r="M479" i="6"/>
  <c r="E479" i="6"/>
  <c r="K478" i="6"/>
  <c r="C478" i="6"/>
  <c r="C477" i="6" s="1" a="1"/>
  <c r="C477" i="6" s="1"/>
  <c r="C426" i="6"/>
  <c r="T585" i="6"/>
  <c r="P585" i="6"/>
  <c r="L585" i="6"/>
  <c r="H585" i="6"/>
  <c r="S584" i="6"/>
  <c r="O584" i="6"/>
  <c r="K584" i="6"/>
  <c r="G584" i="6"/>
  <c r="R583" i="6"/>
  <c r="N583" i="6"/>
  <c r="J583" i="6"/>
  <c r="F583" i="6"/>
  <c r="Q582" i="6"/>
  <c r="Q581" i="6" s="1"/>
  <c r="M582" i="6"/>
  <c r="M581" i="6" s="1"/>
  <c r="I582" i="6"/>
  <c r="E582" i="6"/>
  <c r="R533" i="6"/>
  <c r="N533" i="6"/>
  <c r="J533" i="6"/>
  <c r="F533" i="6"/>
  <c r="P532" i="6"/>
  <c r="L532" i="6"/>
  <c r="H532" i="6"/>
  <c r="R531" i="6"/>
  <c r="N531" i="6"/>
  <c r="J531" i="6"/>
  <c r="F531" i="6"/>
  <c r="P530" i="6"/>
  <c r="L530" i="6"/>
  <c r="H530" i="6"/>
  <c r="H529" i="6" s="1" a="1"/>
  <c r="H529" i="6" s="1"/>
  <c r="D530" i="6"/>
  <c r="D529" i="6" s="1" a="1"/>
  <c r="D529" i="6" s="1"/>
  <c r="R481" i="6"/>
  <c r="N481" i="6"/>
  <c r="J481" i="6"/>
  <c r="F481" i="6"/>
  <c r="P480" i="6"/>
  <c r="L480" i="6"/>
  <c r="H480" i="6"/>
  <c r="R479" i="6"/>
  <c r="N479" i="6"/>
  <c r="J479" i="6"/>
  <c r="F479" i="6"/>
  <c r="P478" i="6"/>
  <c r="L478" i="6"/>
  <c r="H478" i="6"/>
  <c r="D478" i="6"/>
  <c r="D477" i="6" s="1" a="1"/>
  <c r="D477" i="6" s="1"/>
  <c r="O585" i="6"/>
  <c r="K585" i="6"/>
  <c r="N584" i="6"/>
  <c r="F584" i="6"/>
  <c r="M583" i="6"/>
  <c r="I583" i="6"/>
  <c r="P582" i="6"/>
  <c r="P581" i="6" s="1"/>
  <c r="H582" i="6"/>
  <c r="H581" i="6" s="1"/>
  <c r="M533" i="6"/>
  <c r="S532" i="6"/>
  <c r="S529" i="6" s="1" a="1"/>
  <c r="S529" i="6" s="1"/>
  <c r="K532" i="6"/>
  <c r="Q531" i="6"/>
  <c r="I531" i="6"/>
  <c r="O530" i="6"/>
  <c r="O529" i="6" s="1" a="1"/>
  <c r="O529" i="6" s="1"/>
  <c r="G530" i="6"/>
  <c r="G529" i="6" s="1" a="1"/>
  <c r="G529" i="6" s="1"/>
  <c r="M481" i="6"/>
  <c r="S480" i="6"/>
  <c r="S477" i="6" s="1" a="1"/>
  <c r="S477" i="6" s="1"/>
  <c r="K480" i="6"/>
  <c r="Q479" i="6"/>
  <c r="I479" i="6"/>
  <c r="O478" i="6"/>
  <c r="G478" i="6"/>
  <c r="G477" i="6" s="1" a="1"/>
  <c r="G477" i="6" s="1"/>
  <c r="AP3165" i="6"/>
  <c r="AQ26" i="5"/>
  <c r="AP2831" i="6"/>
  <c r="BH3153" i="6"/>
  <c r="BD3153" i="6"/>
  <c r="AZ3153" i="6"/>
  <c r="AV3153" i="6"/>
  <c r="AR3153" i="6"/>
  <c r="BG3153" i="6"/>
  <c r="BC3153" i="6"/>
  <c r="AY3153" i="6"/>
  <c r="AU3153" i="6"/>
  <c r="AQ3153" i="6"/>
  <c r="AP3006" i="6"/>
  <c r="BI3153" i="6"/>
  <c r="BA3153" i="6"/>
  <c r="AS3153" i="6"/>
  <c r="BF3153" i="6"/>
  <c r="AX3153" i="6"/>
  <c r="AP3153" i="6"/>
  <c r="AP3113" i="6" s="1"/>
  <c r="BE3153" i="6"/>
  <c r="AW3153" i="6"/>
  <c r="BJ3153" i="6"/>
  <c r="AP3007" i="6"/>
  <c r="BB3153" i="6"/>
  <c r="AT3153" i="6"/>
  <c r="AP3112" i="6"/>
  <c r="AY103" i="9"/>
  <c r="G45" i="5"/>
  <c r="G47" i="5"/>
  <c r="AQ39" i="23"/>
  <c r="AR2451" i="6" s="1"/>
  <c r="AQ32" i="22"/>
  <c r="AQ32" i="19"/>
  <c r="AR1559" i="6" s="1"/>
  <c r="AQ32" i="21"/>
  <c r="AR2009" i="6" s="1"/>
  <c r="AQ32" i="20"/>
  <c r="AQ32" i="18"/>
  <c r="AR1334" i="6" s="1"/>
  <c r="AQ42" i="16"/>
  <c r="AR882" i="6" s="1"/>
  <c r="AQ34" i="15"/>
  <c r="AR657" i="6" s="1"/>
  <c r="AQ37" i="17"/>
  <c r="AQ49" i="14"/>
  <c r="AQ41" i="13"/>
  <c r="AR7" i="7"/>
  <c r="G1773" i="6"/>
  <c r="G1772" i="6"/>
  <c r="U1772" i="6"/>
  <c r="U1773" i="6"/>
  <c r="I1616" i="6" a="1"/>
  <c r="I1616" i="6" s="1"/>
  <c r="I1772" i="6" s="1"/>
  <c r="M1668" i="6" a="1"/>
  <c r="M1668" i="6" s="1"/>
  <c r="M1772" i="6" s="1"/>
  <c r="I1773" i="6"/>
  <c r="L1616" i="6" a="1"/>
  <c r="L1616" i="6" s="1"/>
  <c r="F1720" i="6"/>
  <c r="H1772" i="6"/>
  <c r="H1773" i="6"/>
  <c r="K2443" i="6"/>
  <c r="K2444" i="6"/>
  <c r="AR17" i="22"/>
  <c r="AR2228" i="6"/>
  <c r="AT61" i="14"/>
  <c r="U1949" i="6"/>
  <c r="U1945" i="6" s="1"/>
  <c r="Q1949" i="6"/>
  <c r="M1949" i="6"/>
  <c r="I1949" i="6"/>
  <c r="T1948" i="6"/>
  <c r="T1945" i="6" s="1"/>
  <c r="P1948" i="6"/>
  <c r="L1948" i="6"/>
  <c r="H1948" i="6"/>
  <c r="S1947" i="6"/>
  <c r="S1945" i="6" s="1"/>
  <c r="O1947" i="6"/>
  <c r="K1947" i="6"/>
  <c r="G1947" i="6"/>
  <c r="R1946" i="6"/>
  <c r="N1946" i="6"/>
  <c r="J1946" i="6"/>
  <c r="F1946" i="6"/>
  <c r="S1897" i="6"/>
  <c r="O1897" i="6"/>
  <c r="K1897" i="6"/>
  <c r="G1897" i="6"/>
  <c r="Q1896" i="6"/>
  <c r="M1896" i="6"/>
  <c r="I1896" i="6"/>
  <c r="E1896" i="6"/>
  <c r="O1895" i="6"/>
  <c r="K1895" i="6"/>
  <c r="G1895" i="6"/>
  <c r="Q1894" i="6"/>
  <c r="M1894" i="6"/>
  <c r="M1893" i="6" s="1" a="1"/>
  <c r="M1893" i="6" s="1"/>
  <c r="I1894" i="6"/>
  <c r="E1894" i="6"/>
  <c r="R1845" i="6"/>
  <c r="N1845" i="6"/>
  <c r="J1845" i="6"/>
  <c r="F1845" i="6"/>
  <c r="P1844" i="6"/>
  <c r="L1844" i="6"/>
  <c r="H1844" i="6"/>
  <c r="R1843" i="6"/>
  <c r="N1843" i="6"/>
  <c r="J1843" i="6"/>
  <c r="F1843" i="6"/>
  <c r="P1842" i="6"/>
  <c r="L1842" i="6"/>
  <c r="H1842" i="6"/>
  <c r="D1842" i="6"/>
  <c r="T1949" i="6"/>
  <c r="P1949" i="6"/>
  <c r="L1949" i="6"/>
  <c r="H1949" i="6"/>
  <c r="S1948" i="6"/>
  <c r="O1948" i="6"/>
  <c r="K1948" i="6"/>
  <c r="G1948" i="6"/>
  <c r="R1947" i="6"/>
  <c r="N1947" i="6"/>
  <c r="J1947" i="6"/>
  <c r="F1947" i="6"/>
  <c r="Q1946" i="6"/>
  <c r="M1946" i="6"/>
  <c r="I1946" i="6"/>
  <c r="E1946" i="6"/>
  <c r="R1897" i="6"/>
  <c r="N1897" i="6"/>
  <c r="J1897" i="6"/>
  <c r="F1897" i="6"/>
  <c r="P1896" i="6"/>
  <c r="L1896" i="6"/>
  <c r="H1896" i="6"/>
  <c r="R1895" i="6"/>
  <c r="N1895" i="6"/>
  <c r="J1895" i="6"/>
  <c r="F1895" i="6"/>
  <c r="P1894" i="6"/>
  <c r="L1894" i="6"/>
  <c r="H1894" i="6"/>
  <c r="D1894" i="6"/>
  <c r="D1893" i="6" s="1" a="1"/>
  <c r="D1893" i="6" s="1"/>
  <c r="Q1845" i="6"/>
  <c r="M1845" i="6"/>
  <c r="I1845" i="6"/>
  <c r="S1844" i="6"/>
  <c r="S1841" i="6" s="1" a="1"/>
  <c r="S1841" i="6" s="1"/>
  <c r="O1844" i="6"/>
  <c r="K1844" i="6"/>
  <c r="G1844" i="6"/>
  <c r="Q1843" i="6"/>
  <c r="M1843" i="6"/>
  <c r="I1843" i="6"/>
  <c r="E1843" i="6"/>
  <c r="O1842" i="6"/>
  <c r="K1842" i="6"/>
  <c r="G1842" i="6"/>
  <c r="C1842" i="6"/>
  <c r="C1841" i="6" s="1" a="1"/>
  <c r="C1841" i="6" s="1"/>
  <c r="C1791" i="6"/>
  <c r="C1788" i="6"/>
  <c r="S1949" i="6"/>
  <c r="O1949" i="6"/>
  <c r="K1949" i="6"/>
  <c r="G1949" i="6"/>
  <c r="R1948" i="6"/>
  <c r="N1948" i="6"/>
  <c r="J1948" i="6"/>
  <c r="F1948" i="6"/>
  <c r="Q1947" i="6"/>
  <c r="M1947" i="6"/>
  <c r="I1947" i="6"/>
  <c r="E1947" i="6"/>
  <c r="P1946" i="6"/>
  <c r="L1946" i="6"/>
  <c r="H1946" i="6"/>
  <c r="H1945" i="6" s="1"/>
  <c r="D1946" i="6"/>
  <c r="Q1897" i="6"/>
  <c r="M1897" i="6"/>
  <c r="I1897" i="6"/>
  <c r="S1896" i="6"/>
  <c r="O1896" i="6"/>
  <c r="K1896" i="6"/>
  <c r="G1896" i="6"/>
  <c r="Q1895" i="6"/>
  <c r="M1895" i="6"/>
  <c r="I1895" i="6"/>
  <c r="E1895" i="6"/>
  <c r="O1894" i="6"/>
  <c r="K1894" i="6"/>
  <c r="K1893" i="6" s="1" a="1"/>
  <c r="K1893" i="6" s="1"/>
  <c r="G1894" i="6"/>
  <c r="C1894" i="6"/>
  <c r="C1893" i="6" s="1" a="1"/>
  <c r="C1893" i="6" s="1"/>
  <c r="T1845" i="6"/>
  <c r="T1841" i="6" s="1" a="1"/>
  <c r="T1841" i="6" s="1"/>
  <c r="P1845" i="6"/>
  <c r="L1845" i="6"/>
  <c r="H1845" i="6"/>
  <c r="R1844" i="6"/>
  <c r="N1844" i="6"/>
  <c r="J1844" i="6"/>
  <c r="F1844" i="6"/>
  <c r="P1843" i="6"/>
  <c r="L1843" i="6"/>
  <c r="H1843" i="6"/>
  <c r="D1843" i="6"/>
  <c r="N1842" i="6"/>
  <c r="J1842" i="6"/>
  <c r="F1842" i="6"/>
  <c r="J1949" i="6"/>
  <c r="I1948" i="6"/>
  <c r="H1947" i="6"/>
  <c r="G1946" i="6"/>
  <c r="G1945" i="6" s="1"/>
  <c r="L1897" i="6"/>
  <c r="J1896" i="6"/>
  <c r="H1895" i="6"/>
  <c r="F1894" i="6"/>
  <c r="G1845" i="6"/>
  <c r="E1844" i="6"/>
  <c r="Q1842" i="6"/>
  <c r="C1790" i="6"/>
  <c r="F1949" i="6"/>
  <c r="E1948" i="6"/>
  <c r="D1947" i="6"/>
  <c r="C1946" i="6"/>
  <c r="C1945" i="6" s="1"/>
  <c r="H1897" i="6"/>
  <c r="F1896" i="6"/>
  <c r="D1895" i="6"/>
  <c r="S1845" i="6"/>
  <c r="Q1844" i="6"/>
  <c r="O1843" i="6"/>
  <c r="M1842" i="6"/>
  <c r="M1841" i="6" s="1" a="1"/>
  <c r="M1841" i="6" s="1"/>
  <c r="C1789" i="6"/>
  <c r="R1949" i="6"/>
  <c r="Q1948" i="6"/>
  <c r="P1947" i="6"/>
  <c r="O1946" i="6"/>
  <c r="O1945" i="6" s="1"/>
  <c r="T1897" i="6"/>
  <c r="T1893" i="6" s="1" a="1"/>
  <c r="T1893" i="6" s="1"/>
  <c r="R1896" i="6"/>
  <c r="P1895" i="6"/>
  <c r="N1894" i="6"/>
  <c r="N1893" i="6" s="1" a="1"/>
  <c r="N1893" i="6" s="1"/>
  <c r="O1845" i="6"/>
  <c r="M1844" i="6"/>
  <c r="K1843" i="6"/>
  <c r="I1842" i="6"/>
  <c r="I1841" i="6" s="1" a="1"/>
  <c r="I1841" i="6" s="1"/>
  <c r="N1949" i="6"/>
  <c r="M1948" i="6"/>
  <c r="L1947" i="6"/>
  <c r="K1946" i="6"/>
  <c r="P1897" i="6"/>
  <c r="N1896" i="6"/>
  <c r="L1895" i="6"/>
  <c r="J1894" i="6"/>
  <c r="K1845" i="6"/>
  <c r="I1844" i="6"/>
  <c r="G1843" i="6"/>
  <c r="E1842" i="6"/>
  <c r="E1841" i="6" s="1" a="1"/>
  <c r="E1841" i="6" s="1"/>
  <c r="AQ3003" i="6"/>
  <c r="AR2450" i="6"/>
  <c r="AR2449" i="6"/>
  <c r="AS2448" i="6"/>
  <c r="AS16" i="5"/>
  <c r="D2170" i="6"/>
  <c r="D2223" i="6" s="1"/>
  <c r="H2223" i="6"/>
  <c r="H2222" i="6"/>
  <c r="J2066" i="6" a="1"/>
  <c r="J2066" i="6" s="1"/>
  <c r="L2223" i="6"/>
  <c r="L2222" i="6"/>
  <c r="N2066" i="6" a="1"/>
  <c r="N2066" i="6" s="1"/>
  <c r="O2118" i="6" a="1"/>
  <c r="O2118" i="6" s="1"/>
  <c r="O2066" i="6" a="1"/>
  <c r="O2066" i="6" s="1"/>
  <c r="S2066" i="6" a="1"/>
  <c r="S2066" i="6" s="1"/>
  <c r="S2222" i="6" s="1"/>
  <c r="D2118" i="6" a="1"/>
  <c r="D2118" i="6" s="1"/>
  <c r="I2170" i="6"/>
  <c r="D2066" i="6" a="1"/>
  <c r="D2066" i="6" s="1"/>
  <c r="I2118" i="6" a="1"/>
  <c r="I2118" i="6" s="1"/>
  <c r="N2170" i="6"/>
  <c r="I2066" i="6" a="1"/>
  <c r="I2066" i="6" s="1"/>
  <c r="N2118" i="6" a="1"/>
  <c r="N2118" i="6" s="1"/>
  <c r="O2170" i="6"/>
  <c r="E1390" i="6"/>
  <c r="E1389" i="6"/>
  <c r="AP1998" i="6"/>
  <c r="G2443" i="6"/>
  <c r="G2444" i="6"/>
  <c r="B23" i="14"/>
  <c r="C415" i="6" s="1"/>
  <c r="D17" i="5" s="1"/>
  <c r="D24" i="5" s="1"/>
  <c r="D42" i="5" s="1"/>
  <c r="D415" i="6"/>
  <c r="AU126" i="14"/>
  <c r="AV128" i="14"/>
  <c r="AQ1110" i="6"/>
  <c r="AR1103" i="6"/>
  <c r="AQ1109" i="6"/>
  <c r="AR9" i="5"/>
  <c r="AT2452" i="6"/>
  <c r="AU2447" i="6"/>
  <c r="AU14" i="5"/>
  <c r="BC2211" i="6"/>
  <c r="AY2211" i="6"/>
  <c r="AU2211" i="6"/>
  <c r="AQ2211" i="6"/>
  <c r="AQ2170" i="6" s="1"/>
  <c r="BB2159" i="6"/>
  <c r="AX2159" i="6"/>
  <c r="AT2159" i="6"/>
  <c r="BE2107" i="6"/>
  <c r="BA2107" i="6"/>
  <c r="AW2107" i="6"/>
  <c r="AS2107" i="6"/>
  <c r="BF2211" i="6"/>
  <c r="BB2211" i="6"/>
  <c r="AX2211" i="6"/>
  <c r="AT2211" i="6"/>
  <c r="BE2159" i="6"/>
  <c r="BA2159" i="6"/>
  <c r="AW2159" i="6"/>
  <c r="AS2159" i="6"/>
  <c r="BD2107" i="6"/>
  <c r="AZ2107" i="6"/>
  <c r="AV2107" i="6"/>
  <c r="AR2107" i="6"/>
  <c r="AP2053" i="6"/>
  <c r="BE2211" i="6"/>
  <c r="BA2211" i="6"/>
  <c r="AW2211" i="6"/>
  <c r="AS2211" i="6"/>
  <c r="BD2159" i="6"/>
  <c r="AZ2159" i="6"/>
  <c r="AV2159" i="6"/>
  <c r="AR2159" i="6"/>
  <c r="BC2107" i="6"/>
  <c r="AY2107" i="6"/>
  <c r="AU2107" i="6"/>
  <c r="AQ2107" i="6"/>
  <c r="AQ2066" i="6" s="1" a="1"/>
  <c r="AQ2066" i="6" s="1"/>
  <c r="AO2053" i="6"/>
  <c r="BD2211" i="6"/>
  <c r="AZ2211" i="6"/>
  <c r="AV2211" i="6"/>
  <c r="AR2211" i="6"/>
  <c r="AU2159" i="6"/>
  <c r="AT2107" i="6"/>
  <c r="AQ2159" i="6"/>
  <c r="AQ2118" i="6" s="1" a="1"/>
  <c r="AQ2118" i="6" s="1"/>
  <c r="AN2053" i="6"/>
  <c r="AN2012" i="6" s="1"/>
  <c r="AR2011" i="6"/>
  <c r="BC2159" i="6"/>
  <c r="BB2107" i="6"/>
  <c r="AY2159" i="6"/>
  <c r="AX2107" i="6"/>
  <c r="BA620" i="6"/>
  <c r="AW620" i="6"/>
  <c r="AS620" i="6"/>
  <c r="AO620" i="6"/>
  <c r="AO581" i="6" s="1"/>
  <c r="BB568" i="6"/>
  <c r="AX568" i="6"/>
  <c r="AT568" i="6"/>
  <c r="AP568" i="6"/>
  <c r="BB516" i="6"/>
  <c r="AX516" i="6"/>
  <c r="AT516" i="6"/>
  <c r="AP516" i="6"/>
  <c r="AL462" i="6"/>
  <c r="AL423" i="6" s="1"/>
  <c r="AP422" i="6"/>
  <c r="BD620" i="6"/>
  <c r="AZ620" i="6"/>
  <c r="AV620" i="6"/>
  <c r="AR620" i="6"/>
  <c r="BA568" i="6"/>
  <c r="AW568" i="6"/>
  <c r="AS568" i="6"/>
  <c r="AO568" i="6"/>
  <c r="AO529" i="6" s="1" a="1"/>
  <c r="AO529" i="6" s="1"/>
  <c r="BA516" i="6"/>
  <c r="AW516" i="6"/>
  <c r="AS516" i="6"/>
  <c r="AO516" i="6"/>
  <c r="AO477" i="6" s="1" a="1"/>
  <c r="AO477" i="6" s="1"/>
  <c r="BB620" i="6"/>
  <c r="AT620" i="6"/>
  <c r="BC568" i="6"/>
  <c r="AU568" i="6"/>
  <c r="AY516" i="6"/>
  <c r="AQ516" i="6"/>
  <c r="BC620" i="6"/>
  <c r="AY620" i="6"/>
  <c r="AU620" i="6"/>
  <c r="AQ620" i="6"/>
  <c r="AZ568" i="6"/>
  <c r="AV568" i="6"/>
  <c r="AR568" i="6"/>
  <c r="AZ516" i="6"/>
  <c r="AV516" i="6"/>
  <c r="AR516" i="6"/>
  <c r="AN462" i="6"/>
  <c r="AX620" i="6"/>
  <c r="AP620" i="6"/>
  <c r="AY568" i="6"/>
  <c r="AQ568" i="6"/>
  <c r="BC516" i="6"/>
  <c r="AU516" i="6"/>
  <c r="AM462" i="6"/>
  <c r="C236" i="6"/>
  <c r="C235" i="6"/>
  <c r="C1548" i="6"/>
  <c r="C2223" i="6"/>
  <c r="AQ1096" i="6"/>
  <c r="AX33" i="14"/>
  <c r="AY31" i="14"/>
  <c r="AI1164" i="6"/>
  <c r="AI1165" i="6"/>
  <c r="AI1322" i="6" s="1"/>
  <c r="AZ38" i="11"/>
  <c r="BA3171" i="6" s="1"/>
  <c r="AR652" i="6"/>
  <c r="AR656" i="6"/>
  <c r="AS654" i="6"/>
  <c r="E712" i="6"/>
  <c r="E713" i="6"/>
  <c r="E1095" i="6"/>
  <c r="E1096" i="6"/>
  <c r="AL17" i="5"/>
  <c r="AL24" i="5" s="1"/>
  <c r="AL42" i="5" s="1"/>
  <c r="AK1323" i="6"/>
  <c r="BJ342" i="6"/>
  <c r="BF342" i="6"/>
  <c r="BB342" i="6"/>
  <c r="AX342" i="6"/>
  <c r="AT342" i="6"/>
  <c r="AP342" i="6"/>
  <c r="BK290" i="6"/>
  <c r="BG290" i="6"/>
  <c r="BC290" i="6"/>
  <c r="AY290" i="6"/>
  <c r="AU290" i="6"/>
  <c r="AQ290" i="6"/>
  <c r="BG342" i="6"/>
  <c r="AY342" i="6"/>
  <c r="BH290" i="6"/>
  <c r="AV290" i="6"/>
  <c r="BM342" i="6"/>
  <c r="BI342" i="6"/>
  <c r="BE342" i="6"/>
  <c r="BA342" i="6"/>
  <c r="AW342" i="6"/>
  <c r="AS342" i="6"/>
  <c r="AO342" i="6"/>
  <c r="AO303" i="6" s="1" a="1"/>
  <c r="AO303" i="6" s="1"/>
  <c r="BJ290" i="6"/>
  <c r="BF290" i="6"/>
  <c r="BB290" i="6"/>
  <c r="AX290" i="6"/>
  <c r="AT290" i="6"/>
  <c r="AP290" i="6"/>
  <c r="AQ342" i="6"/>
  <c r="BL290" i="6"/>
  <c r="BD290" i="6"/>
  <c r="AR290" i="6"/>
  <c r="BL342" i="6"/>
  <c r="BH342" i="6"/>
  <c r="BD342" i="6"/>
  <c r="AZ342" i="6"/>
  <c r="AV342" i="6"/>
  <c r="AR342" i="6"/>
  <c r="BM290" i="6"/>
  <c r="BI290" i="6"/>
  <c r="BE290" i="6"/>
  <c r="BA290" i="6"/>
  <c r="AW290" i="6"/>
  <c r="AS290" i="6"/>
  <c r="AO290" i="6"/>
  <c r="AO251" i="6" s="1" a="1"/>
  <c r="AO251" i="6" s="1"/>
  <c r="AO409" i="6" s="1"/>
  <c r="BK342" i="6"/>
  <c r="BC342" i="6"/>
  <c r="AU342" i="6"/>
  <c r="AZ290" i="6"/>
  <c r="AK46" i="5"/>
  <c r="AK44" i="5"/>
  <c r="AP92" i="9"/>
  <c r="AP66" i="9"/>
  <c r="AP64" i="9"/>
  <c r="AP61" i="9"/>
  <c r="AQ3005" i="6" s="1"/>
  <c r="AP58" i="9"/>
  <c r="AP16" i="9"/>
  <c r="AP8" i="9"/>
  <c r="AQ2670" i="6" s="1"/>
  <c r="AR2669" i="6" s="1"/>
  <c r="AP3" i="9"/>
  <c r="AP69" i="9"/>
  <c r="AQ93" i="9"/>
  <c r="AP74" i="9"/>
  <c r="AP68" i="9"/>
  <c r="AQ2837" i="6" s="1"/>
  <c r="AP65" i="9"/>
  <c r="AP63" i="9"/>
  <c r="AP57" i="9"/>
  <c r="AP4" i="9"/>
  <c r="K1773" i="6"/>
  <c r="K1772" i="6"/>
  <c r="S1773" i="6"/>
  <c r="S1772" i="6"/>
  <c r="AV859" i="6"/>
  <c r="AR859" i="6"/>
  <c r="BE807" i="6"/>
  <c r="BA807" i="6"/>
  <c r="AW807" i="6"/>
  <c r="AS807" i="6"/>
  <c r="BB755" i="6"/>
  <c r="AX755" i="6"/>
  <c r="AT755" i="6"/>
  <c r="AU859" i="6"/>
  <c r="AQ859" i="6"/>
  <c r="AQ818" i="6" s="1"/>
  <c r="BD807" i="6"/>
  <c r="AZ807" i="6"/>
  <c r="AV807" i="6"/>
  <c r="AR807" i="6"/>
  <c r="BE755" i="6"/>
  <c r="BA755" i="6"/>
  <c r="AW755" i="6"/>
  <c r="AS755" i="6"/>
  <c r="AT859" i="6"/>
  <c r="BC807" i="6"/>
  <c r="AY807" i="6"/>
  <c r="AU807" i="6"/>
  <c r="AQ807" i="6"/>
  <c r="AQ766" i="6" s="1" a="1"/>
  <c r="AQ766" i="6" s="1"/>
  <c r="BD755" i="6"/>
  <c r="AZ755" i="6"/>
  <c r="AV755" i="6"/>
  <c r="AR755" i="6"/>
  <c r="AP701" i="6"/>
  <c r="AR659" i="6"/>
  <c r="AS859" i="6"/>
  <c r="BB807" i="6"/>
  <c r="AX807" i="6"/>
  <c r="AT807" i="6"/>
  <c r="BC755" i="6"/>
  <c r="AY755" i="6"/>
  <c r="AU755" i="6"/>
  <c r="AQ755" i="6"/>
  <c r="AQ714" i="6" s="1" a="1"/>
  <c r="AQ714" i="6" s="1"/>
  <c r="AO701" i="6"/>
  <c r="AO660" i="6" s="1"/>
  <c r="AV46" i="17"/>
  <c r="M2170" i="6"/>
  <c r="W2443" i="6"/>
  <c r="W2444" i="6"/>
  <c r="C633" i="6"/>
  <c r="C634" i="6"/>
  <c r="C2443" i="6"/>
  <c r="C2444" i="6"/>
  <c r="AW50" i="13"/>
  <c r="AT36" i="21"/>
  <c r="AU38" i="21"/>
  <c r="AS36" i="22"/>
  <c r="AT38" i="22"/>
  <c r="AO712" i="6" l="1"/>
  <c r="AO713" i="6"/>
  <c r="AO870" i="6" s="1"/>
  <c r="AQ871" i="6"/>
  <c r="AP529" i="6" a="1"/>
  <c r="AP529" i="6" s="1"/>
  <c r="D46" i="5"/>
  <c r="D44" i="5"/>
  <c r="AO3166" i="6"/>
  <c r="AO3167" i="6"/>
  <c r="AN2064" i="6"/>
  <c r="AN2065" i="6"/>
  <c r="AN2222" i="6" s="1"/>
  <c r="AP2726" i="6" a="1"/>
  <c r="AP2726" i="6" s="1"/>
  <c r="AR1391" i="6" a="1"/>
  <c r="AR1391" i="6" s="1"/>
  <c r="AY23" i="9"/>
  <c r="AZ23" i="9" s="1"/>
  <c r="AX23" i="9"/>
  <c r="AM423" i="6"/>
  <c r="AN3000" i="6"/>
  <c r="AN2999" i="6"/>
  <c r="AM2286" i="6"/>
  <c r="AM2443" i="6" s="1"/>
  <c r="AM2285" i="6"/>
  <c r="AM1839" i="6"/>
  <c r="AM1840" i="6"/>
  <c r="AM1997" i="6" s="1"/>
  <c r="AO2833" i="6"/>
  <c r="AO2832" i="6"/>
  <c r="AN1389" i="6"/>
  <c r="AN1390" i="6"/>
  <c r="AN1547" i="6" s="1"/>
  <c r="AQ1548" i="6"/>
  <c r="BF2656" i="6"/>
  <c r="BB2656" i="6"/>
  <c r="AX2656" i="6"/>
  <c r="AT2656" i="6"/>
  <c r="AT2612" i="6" s="1"/>
  <c r="BG2604" i="6"/>
  <c r="BC2604" i="6"/>
  <c r="AY2604" i="6"/>
  <c r="AU2604" i="6"/>
  <c r="BF2552" i="6"/>
  <c r="BB2552" i="6"/>
  <c r="AX2552" i="6"/>
  <c r="AT2552" i="6"/>
  <c r="AT2508" i="6" s="1" a="1"/>
  <c r="AT2508" i="6" s="1"/>
  <c r="BE2656" i="6"/>
  <c r="AZ2656" i="6"/>
  <c r="AU2656" i="6"/>
  <c r="BD2604" i="6"/>
  <c r="AX2604" i="6"/>
  <c r="BE2552" i="6"/>
  <c r="AZ2552" i="6"/>
  <c r="AU2552" i="6"/>
  <c r="AS2498" i="6"/>
  <c r="AS2454" i="6" s="1"/>
  <c r="BI2656" i="6"/>
  <c r="BD2656" i="6"/>
  <c r="AY2656" i="6"/>
  <c r="BH2604" i="6"/>
  <c r="BB2604" i="6"/>
  <c r="AW2604" i="6"/>
  <c r="BD2552" i="6"/>
  <c r="AY2552" i="6"/>
  <c r="BH2656" i="6"/>
  <c r="BC2656" i="6"/>
  <c r="AW2656" i="6"/>
  <c r="BF2604" i="6"/>
  <c r="BA2604" i="6"/>
  <c r="AV2604" i="6"/>
  <c r="BH2552" i="6"/>
  <c r="BC2552" i="6"/>
  <c r="AW2552" i="6"/>
  <c r="BG2656" i="6"/>
  <c r="AT2604" i="6"/>
  <c r="AT2560" i="6" s="1" a="1"/>
  <c r="AT2560" i="6" s="1"/>
  <c r="BA2552" i="6"/>
  <c r="BA2656" i="6"/>
  <c r="AV2552" i="6"/>
  <c r="AV2656" i="6"/>
  <c r="BE2604" i="6"/>
  <c r="AU2453" i="6"/>
  <c r="AZ2604" i="6"/>
  <c r="BG2552" i="6"/>
  <c r="AU21" i="5"/>
  <c r="AR1109" i="6"/>
  <c r="AR1110" i="6"/>
  <c r="AS1103" i="6"/>
  <c r="AS9" i="5"/>
  <c r="D633" i="6"/>
  <c r="D634" i="6"/>
  <c r="O2223" i="6"/>
  <c r="O2222" i="6"/>
  <c r="O1841" i="6" a="1"/>
  <c r="O1841" i="6" s="1"/>
  <c r="I1945" i="6"/>
  <c r="H1841" i="6" a="1"/>
  <c r="H1841" i="6" s="1"/>
  <c r="R1945" i="6"/>
  <c r="S1998" i="6"/>
  <c r="T1998" i="6"/>
  <c r="T1997" i="6"/>
  <c r="U1997" i="6"/>
  <c r="U1998" i="6"/>
  <c r="AU61" i="14"/>
  <c r="H634" i="6"/>
  <c r="M633" i="6"/>
  <c r="K477" i="6" a="1"/>
  <c r="K477" i="6" s="1"/>
  <c r="K529" i="6" a="1"/>
  <c r="K529" i="6" s="1"/>
  <c r="L634" i="6"/>
  <c r="Q477" i="6" a="1"/>
  <c r="Q477" i="6" s="1"/>
  <c r="E529" i="6" a="1"/>
  <c r="E529" i="6" s="1"/>
  <c r="J634" i="6"/>
  <c r="F477" i="6" a="1"/>
  <c r="F477" i="6" s="1"/>
  <c r="J529" i="6" a="1"/>
  <c r="J529" i="6" s="1"/>
  <c r="J633" i="6" s="1"/>
  <c r="K581" i="6"/>
  <c r="AZ32" i="14"/>
  <c r="BA418" i="6" s="1"/>
  <c r="AQ14" i="13"/>
  <c r="AR237" i="6"/>
  <c r="AR12" i="6"/>
  <c r="AS9" i="6"/>
  <c r="AR7" i="6"/>
  <c r="AT70" i="13"/>
  <c r="AS48" i="13"/>
  <c r="AR17" i="21"/>
  <c r="AR2007" i="6"/>
  <c r="AP419" i="6"/>
  <c r="AP635" i="6"/>
  <c r="AQ23" i="5" s="1"/>
  <c r="AQ413" i="6"/>
  <c r="AQ15" i="5"/>
  <c r="AO22" i="9"/>
  <c r="AS2010" i="6"/>
  <c r="AT2005" i="6"/>
  <c r="G1391" i="6" a="1"/>
  <c r="G1391" i="6" s="1"/>
  <c r="L1443" i="6" a="1"/>
  <c r="L1443" i="6" s="1"/>
  <c r="Q1495" i="6"/>
  <c r="L1391" i="6" a="1"/>
  <c r="L1391" i="6" s="1"/>
  <c r="Q1443" i="6" a="1"/>
  <c r="Q1443" i="6" s="1"/>
  <c r="F1495" i="6"/>
  <c r="AU3004" i="6"/>
  <c r="AU60" i="9"/>
  <c r="AL1323" i="6"/>
  <c r="AM17" i="5"/>
  <c r="AM24" i="5" s="1"/>
  <c r="AM42" i="5" s="1"/>
  <c r="AR2507" i="6"/>
  <c r="AR2664" i="6" s="1"/>
  <c r="AR2506" i="6"/>
  <c r="AT1330" i="6"/>
  <c r="AS1335" i="6"/>
  <c r="AT10" i="5"/>
  <c r="AU36" i="19"/>
  <c r="AV38" i="19"/>
  <c r="AS877" i="6"/>
  <c r="AS881" i="6"/>
  <c r="AT879" i="6"/>
  <c r="AQ420" i="6"/>
  <c r="AQ415" i="6"/>
  <c r="AR4" i="5"/>
  <c r="AQ421" i="6"/>
  <c r="AQ417" i="6"/>
  <c r="AR412" i="6"/>
  <c r="AR5" i="5"/>
  <c r="AQ418" i="6"/>
  <c r="AQ414" i="6"/>
  <c r="AW59" i="14"/>
  <c r="AS1329" i="6"/>
  <c r="AS1333" i="6"/>
  <c r="AT1331" i="6"/>
  <c r="BJ2820" i="6"/>
  <c r="BF2820" i="6"/>
  <c r="BB2820" i="6"/>
  <c r="AX2820" i="6"/>
  <c r="AT2820" i="6"/>
  <c r="BK2820" i="6"/>
  <c r="BE2820" i="6"/>
  <c r="AZ2820" i="6"/>
  <c r="AU2820" i="6"/>
  <c r="BI2820" i="6"/>
  <c r="BD2820" i="6"/>
  <c r="AY2820" i="6"/>
  <c r="AS2820" i="6"/>
  <c r="BA2820" i="6"/>
  <c r="AQ2820" i="6"/>
  <c r="AQ2779" i="6" s="1"/>
  <c r="BH2820" i="6"/>
  <c r="AW2820" i="6"/>
  <c r="BG2820" i="6"/>
  <c r="AV2820" i="6"/>
  <c r="AR2820" i="6"/>
  <c r="AQ2672" i="6"/>
  <c r="BC2820" i="6"/>
  <c r="AQ2673" i="6"/>
  <c r="AR27" i="5"/>
  <c r="AQ2778" i="6"/>
  <c r="AO36" i="11"/>
  <c r="AO3170" i="6"/>
  <c r="AO3000" i="6"/>
  <c r="AO41" i="8"/>
  <c r="AP642" i="6" s="1"/>
  <c r="AO43" i="8"/>
  <c r="AP643" i="6" s="1"/>
  <c r="AP645" i="6" s="1"/>
  <c r="AO42" i="8"/>
  <c r="AP644" i="6" s="1"/>
  <c r="AP641" i="6"/>
  <c r="AQ33" i="5" s="1"/>
  <c r="AR2230" i="6"/>
  <c r="AR2231" i="6"/>
  <c r="AS2226" i="6"/>
  <c r="AS13" i="5"/>
  <c r="AQ2668" i="6"/>
  <c r="BH3154" i="6"/>
  <c r="BD3154" i="6"/>
  <c r="AZ3154" i="6"/>
  <c r="AV3154" i="6"/>
  <c r="AR3154" i="6"/>
  <c r="AQ3006" i="6"/>
  <c r="BK3154" i="6"/>
  <c r="BG3154" i="6"/>
  <c r="BC3154" i="6"/>
  <c r="AY3154" i="6"/>
  <c r="AU3154" i="6"/>
  <c r="AQ3154" i="6"/>
  <c r="AQ3113" i="6" s="1"/>
  <c r="AQ3007" i="6"/>
  <c r="BE3154" i="6"/>
  <c r="AW3154" i="6"/>
  <c r="BJ3154" i="6"/>
  <c r="BB3154" i="6"/>
  <c r="AT3154" i="6"/>
  <c r="BI3154" i="6"/>
  <c r="BA3154" i="6"/>
  <c r="AS3154" i="6"/>
  <c r="BF3154" i="6"/>
  <c r="AX3154" i="6"/>
  <c r="AQ3112" i="6"/>
  <c r="AZ31" i="14"/>
  <c r="AZ33" i="14" s="1"/>
  <c r="AY33" i="14"/>
  <c r="BF1311" i="6"/>
  <c r="BB1311" i="6"/>
  <c r="AX1311" i="6"/>
  <c r="AT1311" i="6"/>
  <c r="BB1259" i="6"/>
  <c r="AX1259" i="6"/>
  <c r="AT1259" i="6"/>
  <c r="BC1207" i="6"/>
  <c r="AY1207" i="6"/>
  <c r="AU1207" i="6"/>
  <c r="AQ1207" i="6"/>
  <c r="AQ1166" i="6" s="1" a="1"/>
  <c r="AQ1166" i="6" s="1"/>
  <c r="AO1153" i="6"/>
  <c r="AK1153" i="6"/>
  <c r="AK1112" i="6" s="1"/>
  <c r="BE1311" i="6"/>
  <c r="BA1311" i="6"/>
  <c r="AW1311" i="6"/>
  <c r="AS1311" i="6"/>
  <c r="BE1259" i="6"/>
  <c r="BA1259" i="6"/>
  <c r="AW1259" i="6"/>
  <c r="AS1259" i="6"/>
  <c r="BB1207" i="6"/>
  <c r="AX1207" i="6"/>
  <c r="AT1207" i="6"/>
  <c r="AN1153" i="6"/>
  <c r="AR1111" i="6"/>
  <c r="BD1311" i="6"/>
  <c r="AZ1311" i="6"/>
  <c r="AV1311" i="6"/>
  <c r="AR1311" i="6"/>
  <c r="BD1259" i="6"/>
  <c r="AZ1259" i="6"/>
  <c r="AV1259" i="6"/>
  <c r="AR1259" i="6"/>
  <c r="BE1207" i="6"/>
  <c r="BA1207" i="6"/>
  <c r="AW1207" i="6"/>
  <c r="AS1207" i="6"/>
  <c r="AM1153" i="6"/>
  <c r="BC1311" i="6"/>
  <c r="AY1311" i="6"/>
  <c r="AU1311" i="6"/>
  <c r="AQ1311" i="6"/>
  <c r="AQ1270" i="6" s="1"/>
  <c r="BC1259" i="6"/>
  <c r="AY1259" i="6"/>
  <c r="AU1259" i="6"/>
  <c r="AQ1259" i="6"/>
  <c r="BD1207" i="6"/>
  <c r="AZ1207" i="6"/>
  <c r="AV1207" i="6"/>
  <c r="AR1207" i="6"/>
  <c r="AP1153" i="6"/>
  <c r="AL1153" i="6"/>
  <c r="AR2665" i="6"/>
  <c r="J1893" i="6" a="1"/>
  <c r="J1893" i="6" s="1"/>
  <c r="K1945" i="6"/>
  <c r="F1893" i="6" a="1"/>
  <c r="F1893" i="6" s="1"/>
  <c r="G1998" i="6"/>
  <c r="F1841" i="6" a="1"/>
  <c r="F1841" i="6" s="1"/>
  <c r="G1893" i="6" a="1"/>
  <c r="G1893" i="6" s="1"/>
  <c r="L1945" i="6"/>
  <c r="H1893" i="6" a="1"/>
  <c r="H1893" i="6" s="1"/>
  <c r="H1997" i="6" s="1"/>
  <c r="M1945" i="6"/>
  <c r="L1841" i="6" a="1"/>
  <c r="L1841" i="6" s="1"/>
  <c r="Q1893" i="6" a="1"/>
  <c r="Q1893" i="6" s="1"/>
  <c r="F1945" i="6"/>
  <c r="AR39" i="23"/>
  <c r="AS2451" i="6" s="1"/>
  <c r="AR32" i="22"/>
  <c r="AR32" i="21"/>
  <c r="AS2009" i="6" s="1"/>
  <c r="AR32" i="19"/>
  <c r="AR32" i="20"/>
  <c r="AR32" i="18"/>
  <c r="AS1334" i="6" s="1"/>
  <c r="AR37" i="17"/>
  <c r="AR42" i="16"/>
  <c r="AR34" i="15"/>
  <c r="AR49" i="14"/>
  <c r="AR41" i="13"/>
  <c r="AS7" i="7"/>
  <c r="H477" i="6" a="1"/>
  <c r="H477" i="6" s="1"/>
  <c r="H633" i="6" s="1"/>
  <c r="L529" i="6" a="1"/>
  <c r="L529" i="6" s="1"/>
  <c r="L633" i="6" s="1"/>
  <c r="E477" i="6" a="1"/>
  <c r="E477" i="6" s="1"/>
  <c r="I529" i="6" a="1"/>
  <c r="I529" i="6" s="1"/>
  <c r="N581" i="6"/>
  <c r="J477" i="6" a="1"/>
  <c r="J477" i="6" s="1"/>
  <c r="N529" i="6" a="1"/>
  <c r="N529" i="6" s="1"/>
  <c r="O581" i="6"/>
  <c r="AK22" i="5"/>
  <c r="AK25" i="5" s="1"/>
  <c r="AK43" i="5" s="1"/>
  <c r="AJ77" i="6"/>
  <c r="AJ78" i="6"/>
  <c r="AJ235" i="6" s="1"/>
  <c r="AO633" i="6"/>
  <c r="AO634" i="6"/>
  <c r="BD2212" i="6"/>
  <c r="AZ2212" i="6"/>
  <c r="AV2212" i="6"/>
  <c r="AR2212" i="6"/>
  <c r="AR2170" i="6" s="1"/>
  <c r="BD2160" i="6"/>
  <c r="AZ2160" i="6"/>
  <c r="AV2160" i="6"/>
  <c r="AR2160" i="6"/>
  <c r="AR2118" i="6" s="1" a="1"/>
  <c r="AR2118" i="6" s="1"/>
  <c r="BC2108" i="6"/>
  <c r="AY2108" i="6"/>
  <c r="AU2108" i="6"/>
  <c r="AO2054" i="6"/>
  <c r="AO2012" i="6" s="1"/>
  <c r="BG2212" i="6"/>
  <c r="BC2212" i="6"/>
  <c r="AY2212" i="6"/>
  <c r="AU2212" i="6"/>
  <c r="BC2160" i="6"/>
  <c r="AY2160" i="6"/>
  <c r="AU2160" i="6"/>
  <c r="BF2108" i="6"/>
  <c r="BB2108" i="6"/>
  <c r="AX2108" i="6"/>
  <c r="AT2108" i="6"/>
  <c r="BF2212" i="6"/>
  <c r="BB2212" i="6"/>
  <c r="AX2212" i="6"/>
  <c r="AT2212" i="6"/>
  <c r="BF2160" i="6"/>
  <c r="BB2160" i="6"/>
  <c r="AX2160" i="6"/>
  <c r="AT2160" i="6"/>
  <c r="BE2108" i="6"/>
  <c r="BA2108" i="6"/>
  <c r="AW2108" i="6"/>
  <c r="AS2108" i="6"/>
  <c r="AQ2054" i="6"/>
  <c r="AS2011" i="6"/>
  <c r="BE2212" i="6"/>
  <c r="BA2212" i="6"/>
  <c r="AW2212" i="6"/>
  <c r="AS2212" i="6"/>
  <c r="AW2160" i="6"/>
  <c r="AV2108" i="6"/>
  <c r="AP2054" i="6"/>
  <c r="AS2160" i="6"/>
  <c r="AR2108" i="6"/>
  <c r="AR2066" i="6" s="1" a="1"/>
  <c r="AR2066" i="6" s="1"/>
  <c r="BE2160" i="6"/>
  <c r="BD2108" i="6"/>
  <c r="BA2160" i="6"/>
  <c r="AZ2108" i="6"/>
  <c r="AY24" i="9"/>
  <c r="AZ24" i="9" s="1"/>
  <c r="AX24" i="9"/>
  <c r="E1391" i="6" a="1"/>
  <c r="E1391" i="6" s="1"/>
  <c r="J1443" i="6" a="1"/>
  <c r="J1443" i="6" s="1"/>
  <c r="K1548" i="6"/>
  <c r="N1391" i="6" a="1"/>
  <c r="N1391" i="6" s="1"/>
  <c r="O1443" i="6" a="1"/>
  <c r="O1443" i="6" s="1"/>
  <c r="C1337" i="6"/>
  <c r="K1391" i="6" a="1"/>
  <c r="K1391" i="6" s="1"/>
  <c r="K1547" i="6" s="1"/>
  <c r="P1443" i="6" a="1"/>
  <c r="P1443" i="6" s="1"/>
  <c r="P1547" i="6" s="1"/>
  <c r="R1443" i="6" a="1"/>
  <c r="R1443" i="6" s="1"/>
  <c r="E1495" i="6"/>
  <c r="P1391" i="6" a="1"/>
  <c r="P1391" i="6" s="1"/>
  <c r="R1391" i="6" a="1"/>
  <c r="R1391" i="6" s="1"/>
  <c r="E1443" i="6" a="1"/>
  <c r="E1443" i="6" s="1"/>
  <c r="J1495" i="6"/>
  <c r="AS66" i="14"/>
  <c r="AR57" i="14"/>
  <c r="AR56" i="14" s="1"/>
  <c r="AR939" i="6" a="1"/>
  <c r="AR939" i="6" s="1"/>
  <c r="AQ59" i="12"/>
  <c r="AR248" i="6" s="1"/>
  <c r="AR60" i="12"/>
  <c r="AR246" i="6"/>
  <c r="AS1104" i="6"/>
  <c r="AR1108" i="6"/>
  <c r="AR1102" i="6"/>
  <c r="AM19" i="17"/>
  <c r="AM1105" i="6"/>
  <c r="D713" i="6"/>
  <c r="D712" i="6"/>
  <c r="E17" i="5"/>
  <c r="E24" i="5" s="1"/>
  <c r="E42" i="5" s="1"/>
  <c r="BG1537" i="6"/>
  <c r="BC1537" i="6"/>
  <c r="AY1537" i="6"/>
  <c r="AU1537" i="6"/>
  <c r="BC1485" i="6"/>
  <c r="AY1485" i="6"/>
  <c r="AU1485" i="6"/>
  <c r="BF1433" i="6"/>
  <c r="BB1433" i="6"/>
  <c r="AX1433" i="6"/>
  <c r="AT1433" i="6"/>
  <c r="BF1537" i="6"/>
  <c r="BB1537" i="6"/>
  <c r="AX1537" i="6"/>
  <c r="AT1537" i="6"/>
  <c r="BF1485" i="6"/>
  <c r="BB1485" i="6"/>
  <c r="AX1485" i="6"/>
  <c r="AT1485" i="6"/>
  <c r="BE1433" i="6"/>
  <c r="BA1433" i="6"/>
  <c r="AW1433" i="6"/>
  <c r="AS1433" i="6"/>
  <c r="AQ1379" i="6"/>
  <c r="AS1336" i="6"/>
  <c r="BE1537" i="6"/>
  <c r="BA1537" i="6"/>
  <c r="AW1537" i="6"/>
  <c r="AS1537" i="6"/>
  <c r="BE1485" i="6"/>
  <c r="BA1485" i="6"/>
  <c r="AW1485" i="6"/>
  <c r="AS1485" i="6"/>
  <c r="BD1433" i="6"/>
  <c r="AZ1433" i="6"/>
  <c r="AV1433" i="6"/>
  <c r="AR1433" i="6"/>
  <c r="AP1379" i="6"/>
  <c r="BD1537" i="6"/>
  <c r="AZ1537" i="6"/>
  <c r="AV1537" i="6"/>
  <c r="AR1537" i="6"/>
  <c r="AR1495" i="6" s="1"/>
  <c r="BD1485" i="6"/>
  <c r="AZ1485" i="6"/>
  <c r="AV1485" i="6"/>
  <c r="AR1485" i="6"/>
  <c r="AR1443" i="6" s="1" a="1"/>
  <c r="AR1443" i="6" s="1"/>
  <c r="BC1433" i="6"/>
  <c r="AY1433" i="6"/>
  <c r="AU1433" i="6"/>
  <c r="AO1379" i="6"/>
  <c r="AO1337" i="6" s="1"/>
  <c r="AV39" i="20"/>
  <c r="AU36" i="20"/>
  <c r="AW1085" i="6"/>
  <c r="AS1085" i="6"/>
  <c r="BE1033" i="6"/>
  <c r="BA1033" i="6"/>
  <c r="AW1033" i="6"/>
  <c r="AS1033" i="6"/>
  <c r="BF981" i="6"/>
  <c r="BB981" i="6"/>
  <c r="AX981" i="6"/>
  <c r="AT981" i="6"/>
  <c r="AV1085" i="6"/>
  <c r="AR1085" i="6"/>
  <c r="AR1043" i="6" s="1"/>
  <c r="BD1033" i="6"/>
  <c r="AZ1033" i="6"/>
  <c r="AV1033" i="6"/>
  <c r="AR1033" i="6"/>
  <c r="AR991" i="6" s="1" a="1"/>
  <c r="AR991" i="6" s="1"/>
  <c r="AU1085" i="6"/>
  <c r="BC1033" i="6"/>
  <c r="AY1033" i="6"/>
  <c r="AU1033" i="6"/>
  <c r="BD981" i="6"/>
  <c r="AZ981" i="6"/>
  <c r="AV981" i="6"/>
  <c r="AR981" i="6"/>
  <c r="AT1085" i="6"/>
  <c r="BF1033" i="6"/>
  <c r="BA981" i="6"/>
  <c r="AS981" i="6"/>
  <c r="AQ927" i="6"/>
  <c r="AQ885" i="6" s="1"/>
  <c r="BB1033" i="6"/>
  <c r="AY981" i="6"/>
  <c r="AS884" i="6"/>
  <c r="AX1033" i="6"/>
  <c r="BE981" i="6"/>
  <c r="AW981" i="6"/>
  <c r="AT1033" i="6"/>
  <c r="BC981" i="6"/>
  <c r="AU981" i="6"/>
  <c r="AR15" i="9"/>
  <c r="AS2671" i="6" s="1"/>
  <c r="AS20" i="9"/>
  <c r="AR2" i="5"/>
  <c r="AS1780" i="6"/>
  <c r="AR1785" i="6"/>
  <c r="AR1784" i="6"/>
  <c r="AS12" i="5"/>
  <c r="AP416" i="6"/>
  <c r="AQ35" i="5"/>
  <c r="AV46" i="16"/>
  <c r="AW48" i="16"/>
  <c r="Q2222" i="6"/>
  <c r="Q2223" i="6"/>
  <c r="Q1772" i="6"/>
  <c r="Q1773" i="6"/>
  <c r="AO645" i="6"/>
  <c r="AQ2223" i="6"/>
  <c r="BJ2821" i="6"/>
  <c r="BF2821" i="6"/>
  <c r="BB2821" i="6"/>
  <c r="AX2821" i="6"/>
  <c r="AT2821" i="6"/>
  <c r="BL2821" i="6"/>
  <c r="BG2821" i="6"/>
  <c r="BA2821" i="6"/>
  <c r="AV2821" i="6"/>
  <c r="BK2821" i="6"/>
  <c r="BE2821" i="6"/>
  <c r="AZ2821" i="6"/>
  <c r="AU2821" i="6"/>
  <c r="BC2821" i="6"/>
  <c r="AR2821" i="6"/>
  <c r="AR2779" i="6" s="1"/>
  <c r="BI2821" i="6"/>
  <c r="AY2821" i="6"/>
  <c r="BH2821" i="6"/>
  <c r="AW2821" i="6"/>
  <c r="BD2821" i="6"/>
  <c r="AS2821" i="6"/>
  <c r="AR2673" i="6"/>
  <c r="AR2672" i="6"/>
  <c r="AR2778" i="6"/>
  <c r="AR38" i="23"/>
  <c r="AR31" i="22"/>
  <c r="AR31" i="21"/>
  <c r="AR31" i="20"/>
  <c r="AR31" i="19"/>
  <c r="AR36" i="17"/>
  <c r="AR48" i="14"/>
  <c r="AR31" i="18"/>
  <c r="AR41" i="16"/>
  <c r="AR33" i="15"/>
  <c r="AS6" i="7"/>
  <c r="AR40" i="13"/>
  <c r="M1773" i="6"/>
  <c r="AQ3002" i="6"/>
  <c r="AQ3165" i="6" s="1"/>
  <c r="AL44" i="5"/>
  <c r="AL46" i="5"/>
  <c r="AS656" i="6"/>
  <c r="AT654" i="6"/>
  <c r="AS652" i="6"/>
  <c r="AL475" i="6"/>
  <c r="AL476" i="6"/>
  <c r="AV126" i="14"/>
  <c r="AW128" i="14"/>
  <c r="I2222" i="6"/>
  <c r="I2223" i="6"/>
  <c r="AR3003" i="6"/>
  <c r="Q1841" i="6" a="1"/>
  <c r="Q1841" i="6" s="1"/>
  <c r="J1841" i="6" a="1"/>
  <c r="J1841" i="6" s="1"/>
  <c r="P1945" i="6"/>
  <c r="G1841" i="6" a="1"/>
  <c r="G1841" i="6" s="1"/>
  <c r="G1997" i="6" s="1"/>
  <c r="L1893" i="6" a="1"/>
  <c r="L1893" i="6" s="1"/>
  <c r="Q1945" i="6"/>
  <c r="P1841" i="6" a="1"/>
  <c r="P1841" i="6" s="1"/>
  <c r="R1841" i="6" a="1"/>
  <c r="R1841" i="6" s="1"/>
  <c r="E1893" i="6" a="1"/>
  <c r="E1893" i="6" s="1"/>
  <c r="J1945" i="6"/>
  <c r="AS17" i="22"/>
  <c r="AS2228" i="6"/>
  <c r="AZ103" i="9"/>
  <c r="L477" i="6" a="1"/>
  <c r="L477" i="6" s="1"/>
  <c r="P529" i="6" a="1"/>
  <c r="P529" i="6" s="1"/>
  <c r="P634" i="6" s="1"/>
  <c r="R529" i="6" a="1"/>
  <c r="R529" i="6" s="1"/>
  <c r="E581" i="6"/>
  <c r="I477" i="6" a="1"/>
  <c r="I477" i="6" s="1"/>
  <c r="M529" i="6" a="1"/>
  <c r="M529" i="6" s="1"/>
  <c r="M634" i="6" s="1"/>
  <c r="R581" i="6"/>
  <c r="S581" i="6"/>
  <c r="T581" i="6"/>
  <c r="U633" i="6"/>
  <c r="U634" i="6"/>
  <c r="N477" i="6" a="1"/>
  <c r="N477" i="6" s="1"/>
  <c r="AJ45" i="5"/>
  <c r="AJ47" i="5"/>
  <c r="AT2227" i="6"/>
  <c r="AS2225" i="6"/>
  <c r="AS2229" i="6"/>
  <c r="C1998" i="6"/>
  <c r="AT56" i="17"/>
  <c r="AS44" i="17"/>
  <c r="J2223" i="6"/>
  <c r="J2222" i="6"/>
  <c r="E2223" i="6"/>
  <c r="E2222" i="6"/>
  <c r="C2064" i="6"/>
  <c r="C2065" i="6"/>
  <c r="C2222" i="6" s="1"/>
  <c r="BA38" i="20"/>
  <c r="AT653" i="6"/>
  <c r="AT6" i="5"/>
  <c r="AS657" i="6"/>
  <c r="AS655" i="6"/>
  <c r="AS658" i="6"/>
  <c r="I1391" i="6" a="1"/>
  <c r="I1391" i="6" s="1"/>
  <c r="N1443" i="6" a="1"/>
  <c r="N1443" i="6" s="1"/>
  <c r="O1548" i="6"/>
  <c r="O1547" i="6"/>
  <c r="H1495" i="6"/>
  <c r="O1391" i="6" a="1"/>
  <c r="O1391" i="6" s="1"/>
  <c r="S1391" i="6" a="1"/>
  <c r="S1391" i="6" s="1"/>
  <c r="D1443" i="6" a="1"/>
  <c r="D1443" i="6" s="1"/>
  <c r="D1547" i="6" s="1"/>
  <c r="I1495" i="6"/>
  <c r="D1391" i="6" a="1"/>
  <c r="D1391" i="6" s="1"/>
  <c r="I1443" i="6" a="1"/>
  <c r="I1443" i="6" s="1"/>
  <c r="N1495" i="6"/>
  <c r="AT244" i="6"/>
  <c r="AU28" i="5" s="1"/>
  <c r="AT245" i="6"/>
  <c r="AT408" i="6"/>
  <c r="AT247" i="6"/>
  <c r="AT67" i="12"/>
  <c r="O1772" i="6"/>
  <c r="O1773" i="6"/>
  <c r="AN1614" i="6"/>
  <c r="AN1615" i="6"/>
  <c r="AN1772" i="6" s="1"/>
  <c r="BH397" i="6"/>
  <c r="BD397" i="6"/>
  <c r="AZ397" i="6"/>
  <c r="AV397" i="6"/>
  <c r="AR397" i="6"/>
  <c r="AQ249" i="6"/>
  <c r="AR29" i="5"/>
  <c r="BK397" i="6"/>
  <c r="BG397" i="6"/>
  <c r="BC397" i="6"/>
  <c r="AY397" i="6"/>
  <c r="AU397" i="6"/>
  <c r="AQ397" i="6"/>
  <c r="AQ356" i="6" s="1"/>
  <c r="AQ250" i="6"/>
  <c r="BE397" i="6"/>
  <c r="AW397" i="6"/>
  <c r="BJ397" i="6"/>
  <c r="BF397" i="6"/>
  <c r="BB397" i="6"/>
  <c r="AX397" i="6"/>
  <c r="AT397" i="6"/>
  <c r="BI397" i="6"/>
  <c r="BA397" i="6"/>
  <c r="AS397" i="6"/>
  <c r="AQ355" i="6"/>
  <c r="D1096" i="6"/>
  <c r="D1095" i="6"/>
  <c r="T871" i="6"/>
  <c r="T870" i="6"/>
  <c r="J821" i="6"/>
  <c r="J818" i="6" s="1"/>
  <c r="F821" i="6"/>
  <c r="G820" i="6"/>
  <c r="H819" i="6"/>
  <c r="D819" i="6"/>
  <c r="Q769" i="6"/>
  <c r="M769" i="6"/>
  <c r="I769" i="6"/>
  <c r="E769" i="6"/>
  <c r="O768" i="6"/>
  <c r="K768" i="6"/>
  <c r="G768" i="6"/>
  <c r="Q767" i="6"/>
  <c r="M767" i="6"/>
  <c r="I767" i="6"/>
  <c r="E767" i="6"/>
  <c r="E766" i="6" s="1" a="1"/>
  <c r="E766" i="6" s="1"/>
  <c r="R717" i="6"/>
  <c r="N717" i="6"/>
  <c r="J717" i="6"/>
  <c r="F717" i="6"/>
  <c r="P716" i="6"/>
  <c r="L716" i="6"/>
  <c r="H716" i="6"/>
  <c r="D716" i="6"/>
  <c r="N715" i="6"/>
  <c r="J715" i="6"/>
  <c r="F715" i="6"/>
  <c r="I821" i="6"/>
  <c r="E821" i="6"/>
  <c r="F820" i="6"/>
  <c r="G819" i="6"/>
  <c r="C819" i="6"/>
  <c r="C818" i="6" s="1"/>
  <c r="C871" i="6" s="1"/>
  <c r="P769" i="6"/>
  <c r="L769" i="6"/>
  <c r="H769" i="6"/>
  <c r="R768" i="6"/>
  <c r="R766" i="6" s="1" a="1"/>
  <c r="R766" i="6" s="1"/>
  <c r="N768" i="6"/>
  <c r="J768" i="6"/>
  <c r="F768" i="6"/>
  <c r="P767" i="6"/>
  <c r="P766" i="6" s="1" a="1"/>
  <c r="P766" i="6" s="1"/>
  <c r="L767" i="6"/>
  <c r="H767" i="6"/>
  <c r="D767" i="6"/>
  <c r="Q717" i="6"/>
  <c r="M717" i="6"/>
  <c r="I717" i="6"/>
  <c r="E717" i="6"/>
  <c r="O716" i="6"/>
  <c r="K716" i="6"/>
  <c r="G716" i="6"/>
  <c r="Q715" i="6"/>
  <c r="M715" i="6"/>
  <c r="M714" i="6" s="1" a="1"/>
  <c r="M714" i="6" s="1"/>
  <c r="I715" i="6"/>
  <c r="E715" i="6"/>
  <c r="C661" i="6"/>
  <c r="H821" i="6"/>
  <c r="I820" i="6"/>
  <c r="E820" i="6"/>
  <c r="F819" i="6"/>
  <c r="F818" i="6" s="1"/>
  <c r="S769" i="6"/>
  <c r="S766" i="6" s="1" a="1"/>
  <c r="S766" i="6" s="1"/>
  <c r="O769" i="6"/>
  <c r="K769" i="6"/>
  <c r="G769" i="6"/>
  <c r="Q768" i="6"/>
  <c r="M768" i="6"/>
  <c r="I768" i="6"/>
  <c r="E768" i="6"/>
  <c r="O767" i="6"/>
  <c r="O766" i="6" s="1" a="1"/>
  <c r="O766" i="6" s="1"/>
  <c r="K767" i="6"/>
  <c r="K766" i="6" s="1" a="1"/>
  <c r="K766" i="6" s="1"/>
  <c r="K871" i="6" s="1"/>
  <c r="G767" i="6"/>
  <c r="C767" i="6"/>
  <c r="C766" i="6" s="1" a="1"/>
  <c r="C766" i="6" s="1"/>
  <c r="P717" i="6"/>
  <c r="L717" i="6"/>
  <c r="H717" i="6"/>
  <c r="R716" i="6"/>
  <c r="N716" i="6"/>
  <c r="J716" i="6"/>
  <c r="F716" i="6"/>
  <c r="P715" i="6"/>
  <c r="L715" i="6"/>
  <c r="L714" i="6" s="1" a="1"/>
  <c r="L714" i="6" s="1"/>
  <c r="H715" i="6"/>
  <c r="H714" i="6" s="1" a="1"/>
  <c r="H714" i="6" s="1"/>
  <c r="D715" i="6"/>
  <c r="G821" i="6"/>
  <c r="H820" i="6"/>
  <c r="D820" i="6"/>
  <c r="E819" i="6"/>
  <c r="R769" i="6"/>
  <c r="N769" i="6"/>
  <c r="J769" i="6"/>
  <c r="F769" i="6"/>
  <c r="P768" i="6"/>
  <c r="L768" i="6"/>
  <c r="H768" i="6"/>
  <c r="D768" i="6"/>
  <c r="N767" i="6"/>
  <c r="J767" i="6"/>
  <c r="J766" i="6" s="1" a="1"/>
  <c r="J766" i="6" s="1"/>
  <c r="F767" i="6"/>
  <c r="F766" i="6" s="1" a="1"/>
  <c r="F766" i="6" s="1"/>
  <c r="S717" i="6"/>
  <c r="S714" i="6" s="1" a="1"/>
  <c r="S714" i="6" s="1"/>
  <c r="O717" i="6"/>
  <c r="K717" i="6"/>
  <c r="G717" i="6"/>
  <c r="Q716" i="6"/>
  <c r="M716" i="6"/>
  <c r="I716" i="6"/>
  <c r="E716" i="6"/>
  <c r="O715" i="6"/>
  <c r="K715" i="6"/>
  <c r="G715" i="6"/>
  <c r="G714" i="6" s="1" a="1"/>
  <c r="G714" i="6" s="1"/>
  <c r="C715" i="6"/>
  <c r="C714" i="6" s="1" a="1"/>
  <c r="C714" i="6" s="1"/>
  <c r="C663" i="6"/>
  <c r="C662" i="6"/>
  <c r="AJ1164" i="6"/>
  <c r="AJ1165" i="6"/>
  <c r="AJ1322" i="6" s="1"/>
  <c r="AQ1218" i="6" a="1"/>
  <c r="AQ1218" i="6" s="1"/>
  <c r="F47" i="5"/>
  <c r="F45" i="5"/>
  <c r="E22" i="5"/>
  <c r="E25" i="5" s="1"/>
  <c r="E43" i="5" s="1"/>
  <c r="AS2004" i="6"/>
  <c r="AS2008" i="6"/>
  <c r="AT2006" i="6"/>
  <c r="AR14" i="6"/>
  <c r="AS8" i="6"/>
  <c r="AS2" i="5"/>
  <c r="AR13" i="6"/>
  <c r="AS3" i="5"/>
  <c r="BF1986" i="6"/>
  <c r="BB1986" i="6"/>
  <c r="AX1986" i="6"/>
  <c r="AT1986" i="6"/>
  <c r="BE1934" i="6"/>
  <c r="BA1934" i="6"/>
  <c r="AW1934" i="6"/>
  <c r="AS1934" i="6"/>
  <c r="BD1882" i="6"/>
  <c r="AZ1882" i="6"/>
  <c r="AV1882" i="6"/>
  <c r="AR1882" i="6"/>
  <c r="BE1986" i="6"/>
  <c r="BA1986" i="6"/>
  <c r="AW1986" i="6"/>
  <c r="AS1986" i="6"/>
  <c r="BD1934" i="6"/>
  <c r="AZ1934" i="6"/>
  <c r="AV1934" i="6"/>
  <c r="AR1934" i="6"/>
  <c r="BC1882" i="6"/>
  <c r="AY1882" i="6"/>
  <c r="AU1882" i="6"/>
  <c r="AQ1882" i="6"/>
  <c r="AQ1841" i="6" s="1" a="1"/>
  <c r="AQ1841" i="6" s="1"/>
  <c r="AO1828" i="6"/>
  <c r="BD1986" i="6"/>
  <c r="AZ1986" i="6"/>
  <c r="AV1986" i="6"/>
  <c r="AR1986" i="6"/>
  <c r="BC1934" i="6"/>
  <c r="AY1934" i="6"/>
  <c r="AU1934" i="6"/>
  <c r="AQ1934" i="6"/>
  <c r="AQ1893" i="6" s="1" a="1"/>
  <c r="AQ1893" i="6" s="1"/>
  <c r="BB1882" i="6"/>
  <c r="AX1882" i="6"/>
  <c r="AT1882" i="6"/>
  <c r="AU1986" i="6"/>
  <c r="BB1934" i="6"/>
  <c r="BA1882" i="6"/>
  <c r="AQ1986" i="6"/>
  <c r="AQ1945" i="6" s="1"/>
  <c r="AX1934" i="6"/>
  <c r="AW1882" i="6"/>
  <c r="BC1986" i="6"/>
  <c r="AT1934" i="6"/>
  <c r="AS1882" i="6"/>
  <c r="AP1828" i="6"/>
  <c r="AY1986" i="6"/>
  <c r="BE1882" i="6"/>
  <c r="AN1828" i="6"/>
  <c r="AN1787" i="6" s="1"/>
  <c r="AR1786" i="6"/>
  <c r="BB621" i="6"/>
  <c r="AX621" i="6"/>
  <c r="AT621" i="6"/>
  <c r="AP621" i="6"/>
  <c r="AP581" i="6" s="1"/>
  <c r="BD569" i="6"/>
  <c r="AZ569" i="6"/>
  <c r="AV569" i="6"/>
  <c r="AR569" i="6"/>
  <c r="BD517" i="6"/>
  <c r="AZ517" i="6"/>
  <c r="AV517" i="6"/>
  <c r="AR517" i="6"/>
  <c r="AN463" i="6"/>
  <c r="BE621" i="6"/>
  <c r="BA621" i="6"/>
  <c r="AW621" i="6"/>
  <c r="AS621" i="6"/>
  <c r="BC569" i="6"/>
  <c r="AY569" i="6"/>
  <c r="AU569" i="6"/>
  <c r="AQ569" i="6"/>
  <c r="BC517" i="6"/>
  <c r="AY517" i="6"/>
  <c r="AU517" i="6"/>
  <c r="AQ517" i="6"/>
  <c r="AM463" i="6"/>
  <c r="BC621" i="6"/>
  <c r="AU621" i="6"/>
  <c r="AW569" i="6"/>
  <c r="BA517" i="6"/>
  <c r="AS517" i="6"/>
  <c r="AO463" i="6"/>
  <c r="AQ422" i="6"/>
  <c r="BD621" i="6"/>
  <c r="AZ621" i="6"/>
  <c r="AV621" i="6"/>
  <c r="AR621" i="6"/>
  <c r="BB569" i="6"/>
  <c r="AX569" i="6"/>
  <c r="AT569" i="6"/>
  <c r="AP569" i="6"/>
  <c r="BB517" i="6"/>
  <c r="AX517" i="6"/>
  <c r="AT517" i="6"/>
  <c r="AP517" i="6"/>
  <c r="AP477" i="6" s="1" a="1"/>
  <c r="AP477" i="6" s="1"/>
  <c r="AY621" i="6"/>
  <c r="AQ621" i="6"/>
  <c r="BA569" i="6"/>
  <c r="AS569" i="6"/>
  <c r="AW517" i="6"/>
  <c r="AQ27" i="5"/>
  <c r="AR1783" i="6"/>
  <c r="AS1781" i="6"/>
  <c r="AR1779" i="6"/>
  <c r="F2222" i="6"/>
  <c r="F2223" i="6"/>
  <c r="AU38" i="15"/>
  <c r="AV40" i="15"/>
  <c r="AT1558" i="6"/>
  <c r="AU1556" i="6"/>
  <c r="AT1554" i="6"/>
  <c r="P1773" i="6"/>
  <c r="P1772" i="6"/>
  <c r="R1773" i="6"/>
  <c r="R1772" i="6"/>
  <c r="AS1560" i="6"/>
  <c r="AT1555" i="6"/>
  <c r="AS1559" i="6"/>
  <c r="AT11" i="5"/>
  <c r="AP236" i="6"/>
  <c r="AR17" i="20"/>
  <c r="AR1782" i="6"/>
  <c r="R2223" i="6"/>
  <c r="R2222" i="6"/>
  <c r="BD2432" i="6"/>
  <c r="AZ2432" i="6"/>
  <c r="AV2432" i="6"/>
  <c r="AR2432" i="6"/>
  <c r="BL2380" i="6"/>
  <c r="BH2380" i="6"/>
  <c r="BD2380" i="6"/>
  <c r="AZ2380" i="6"/>
  <c r="AV2380" i="6"/>
  <c r="AR2380" i="6"/>
  <c r="BN2328" i="6"/>
  <c r="BJ2328" i="6"/>
  <c r="BF2328" i="6"/>
  <c r="BB2328" i="6"/>
  <c r="AX2328" i="6"/>
  <c r="AT2328" i="6"/>
  <c r="AN2274" i="6"/>
  <c r="AN2233" i="6" s="1"/>
  <c r="AR2232" i="6"/>
  <c r="BC2432" i="6"/>
  <c r="AY2432" i="6"/>
  <c r="AU2432" i="6"/>
  <c r="AQ2432" i="6"/>
  <c r="AQ2391" i="6" s="1"/>
  <c r="BO2380" i="6"/>
  <c r="BK2380" i="6"/>
  <c r="BG2380" i="6"/>
  <c r="BC2380" i="6"/>
  <c r="AY2380" i="6"/>
  <c r="AU2380" i="6"/>
  <c r="AQ2380" i="6"/>
  <c r="AQ2339" i="6" s="1" a="1"/>
  <c r="AQ2339" i="6" s="1"/>
  <c r="BM2328" i="6"/>
  <c r="BI2328" i="6"/>
  <c r="BE2328" i="6"/>
  <c r="BA2328" i="6"/>
  <c r="AW2328" i="6"/>
  <c r="AS2328" i="6"/>
  <c r="BF2432" i="6"/>
  <c r="BB2432" i="6"/>
  <c r="AX2432" i="6"/>
  <c r="AT2432" i="6"/>
  <c r="BN2380" i="6"/>
  <c r="BJ2380" i="6"/>
  <c r="BF2380" i="6"/>
  <c r="BB2380" i="6"/>
  <c r="AX2380" i="6"/>
  <c r="AT2380" i="6"/>
  <c r="BL2328" i="6"/>
  <c r="BH2328" i="6"/>
  <c r="BD2328" i="6"/>
  <c r="AZ2328" i="6"/>
  <c r="AV2328" i="6"/>
  <c r="AR2328" i="6"/>
  <c r="AP2274" i="6"/>
  <c r="BE2432" i="6"/>
  <c r="BA2432" i="6"/>
  <c r="AW2432" i="6"/>
  <c r="AS2432" i="6"/>
  <c r="BM2380" i="6"/>
  <c r="BI2380" i="6"/>
  <c r="BE2380" i="6"/>
  <c r="BA2380" i="6"/>
  <c r="AW2380" i="6"/>
  <c r="AS2380" i="6"/>
  <c r="BO2328" i="6"/>
  <c r="BK2328" i="6"/>
  <c r="BG2328" i="6"/>
  <c r="BC2328" i="6"/>
  <c r="AY2328" i="6"/>
  <c r="AU2328" i="6"/>
  <c r="AQ2328" i="6"/>
  <c r="AQ2287" i="6" s="1" a="1"/>
  <c r="AQ2287" i="6" s="1"/>
  <c r="AO2274" i="6"/>
  <c r="AP71" i="9"/>
  <c r="AP72" i="9"/>
  <c r="AQ2838" i="6"/>
  <c r="AX50" i="13"/>
  <c r="M2223" i="6"/>
  <c r="M2222" i="6"/>
  <c r="AT36" i="22"/>
  <c r="AU38" i="22"/>
  <c r="AU36" i="21"/>
  <c r="AV38" i="21"/>
  <c r="AW46" i="17"/>
  <c r="AQ2835" i="6"/>
  <c r="AQ69" i="9"/>
  <c r="AR93" i="9"/>
  <c r="AQ74" i="9"/>
  <c r="AQ68" i="9"/>
  <c r="AR2837" i="6" s="1"/>
  <c r="AQ65" i="9"/>
  <c r="AQ63" i="9"/>
  <c r="AQ57" i="9"/>
  <c r="AR3002" i="6" s="1"/>
  <c r="AQ4" i="9"/>
  <c r="AQ92" i="9"/>
  <c r="AQ66" i="9"/>
  <c r="AQ64" i="9"/>
  <c r="AQ61" i="9"/>
  <c r="AR3005" i="6" s="1"/>
  <c r="AQ58" i="9"/>
  <c r="AQ16" i="9"/>
  <c r="AQ8" i="9"/>
  <c r="AR2670" i="6" s="1"/>
  <c r="AS2669" i="6" s="1"/>
  <c r="AQ3" i="9"/>
  <c r="AR2668" i="6" s="1"/>
  <c r="AU2452" i="6"/>
  <c r="AV2447" i="6"/>
  <c r="AV14" i="5"/>
  <c r="N2223" i="6"/>
  <c r="N2222" i="6"/>
  <c r="AT2448" i="6"/>
  <c r="AS2450" i="6"/>
  <c r="AS2449" i="6"/>
  <c r="AT16" i="5"/>
  <c r="N1841" i="6" a="1"/>
  <c r="N1841" i="6" s="1"/>
  <c r="O1893" i="6" a="1"/>
  <c r="O1893" i="6" s="1"/>
  <c r="O1998" i="6" s="1"/>
  <c r="S1893" i="6" a="1"/>
  <c r="S1893" i="6" s="1"/>
  <c r="S1997" i="6" s="1"/>
  <c r="D1945" i="6"/>
  <c r="C1787" i="6"/>
  <c r="K1841" i="6" a="1"/>
  <c r="K1841" i="6" s="1"/>
  <c r="P1893" i="6" a="1"/>
  <c r="P1893" i="6" s="1"/>
  <c r="R1893" i="6" a="1"/>
  <c r="R1893" i="6" s="1"/>
  <c r="E1945" i="6"/>
  <c r="D1841" i="6" a="1"/>
  <c r="D1841" i="6" s="1"/>
  <c r="I1893" i="6" a="1"/>
  <c r="I1893" i="6" s="1"/>
  <c r="N1945" i="6"/>
  <c r="F1772" i="6"/>
  <c r="F1773" i="6"/>
  <c r="BB3100" i="6"/>
  <c r="AX3100" i="6"/>
  <c r="AT3100" i="6"/>
  <c r="AP3100" i="6"/>
  <c r="AP3060" i="6" s="1" a="1"/>
  <c r="AP3060" i="6" s="1"/>
  <c r="BA3048" i="6"/>
  <c r="AW3048" i="6"/>
  <c r="AS3048" i="6"/>
  <c r="BA3100" i="6"/>
  <c r="AW3100" i="6"/>
  <c r="AS3100" i="6"/>
  <c r="BD3048" i="6"/>
  <c r="AZ3048" i="6"/>
  <c r="AV3048" i="6"/>
  <c r="AR3048" i="6"/>
  <c r="AY3100" i="6"/>
  <c r="AQ3100" i="6"/>
  <c r="AX3048" i="6"/>
  <c r="AP3048" i="6"/>
  <c r="AP3008" i="6" s="1" a="1"/>
  <c r="AP3008" i="6" s="1"/>
  <c r="BD3100" i="6"/>
  <c r="AV3100" i="6"/>
  <c r="BC3048" i="6"/>
  <c r="AU3048" i="6"/>
  <c r="BC3100" i="6"/>
  <c r="AU3100" i="6"/>
  <c r="BB3048" i="6"/>
  <c r="AT3048" i="6"/>
  <c r="AZ3100" i="6"/>
  <c r="AY3048" i="6"/>
  <c r="AR3100" i="6"/>
  <c r="AQ3048" i="6"/>
  <c r="O477" i="6" a="1"/>
  <c r="O477" i="6" s="1"/>
  <c r="P477" i="6" a="1"/>
  <c r="P477" i="6" s="1"/>
  <c r="R477" i="6" a="1"/>
  <c r="R477" i="6" s="1"/>
  <c r="I581" i="6"/>
  <c r="C423" i="6"/>
  <c r="M477" i="6" a="1"/>
  <c r="M477" i="6" s="1"/>
  <c r="Q529" i="6" a="1"/>
  <c r="Q529" i="6" s="1"/>
  <c r="Q633" i="6" s="1"/>
  <c r="F581" i="6"/>
  <c r="F529" i="6" a="1"/>
  <c r="F529" i="6" s="1"/>
  <c r="G581" i="6"/>
  <c r="BN343" i="6"/>
  <c r="BJ343" i="6"/>
  <c r="BF343" i="6"/>
  <c r="BB343" i="6"/>
  <c r="AX343" i="6"/>
  <c r="AT343" i="6"/>
  <c r="AP343" i="6"/>
  <c r="AP303" i="6" s="1" a="1"/>
  <c r="AP303" i="6" s="1"/>
  <c r="BK291" i="6"/>
  <c r="BG291" i="6"/>
  <c r="BC291" i="6"/>
  <c r="AY291" i="6"/>
  <c r="AU291" i="6"/>
  <c r="AQ291" i="6"/>
  <c r="BG343" i="6"/>
  <c r="AY343" i="6"/>
  <c r="AQ343" i="6"/>
  <c r="BL291" i="6"/>
  <c r="AV291" i="6"/>
  <c r="BM343" i="6"/>
  <c r="BI343" i="6"/>
  <c r="BE343" i="6"/>
  <c r="BA343" i="6"/>
  <c r="AW343" i="6"/>
  <c r="AS343" i="6"/>
  <c r="BN291" i="6"/>
  <c r="BJ291" i="6"/>
  <c r="BF291" i="6"/>
  <c r="BB291" i="6"/>
  <c r="AX291" i="6"/>
  <c r="AT291" i="6"/>
  <c r="AP291" i="6"/>
  <c r="AP251" i="6" s="1" a="1"/>
  <c r="AP251" i="6" s="1"/>
  <c r="AP409" i="6" s="1"/>
  <c r="AZ291" i="6"/>
  <c r="BL343" i="6"/>
  <c r="BH343" i="6"/>
  <c r="BD343" i="6"/>
  <c r="AZ343" i="6"/>
  <c r="AV343" i="6"/>
  <c r="AR343" i="6"/>
  <c r="BM291" i="6"/>
  <c r="BI291" i="6"/>
  <c r="BE291" i="6"/>
  <c r="BA291" i="6"/>
  <c r="AW291" i="6"/>
  <c r="AS291" i="6"/>
  <c r="BK343" i="6"/>
  <c r="BC343" i="6"/>
  <c r="AU343" i="6"/>
  <c r="BH291" i="6"/>
  <c r="BD291" i="6"/>
  <c r="AR291" i="6"/>
  <c r="AX38" i="18"/>
  <c r="K2223" i="6"/>
  <c r="K2222" i="6"/>
  <c r="P2223" i="6"/>
  <c r="P2222" i="6"/>
  <c r="D1840" i="6"/>
  <c r="D1839" i="6"/>
  <c r="AU860" i="6"/>
  <c r="BC808" i="6"/>
  <c r="AY808" i="6"/>
  <c r="AU808" i="6"/>
  <c r="BD756" i="6"/>
  <c r="AZ756" i="6"/>
  <c r="AV756" i="6"/>
  <c r="AR756" i="6"/>
  <c r="AR714" i="6" s="1" a="1"/>
  <c r="AR714" i="6" s="1"/>
  <c r="AT860" i="6"/>
  <c r="BF808" i="6"/>
  <c r="BB808" i="6"/>
  <c r="AX808" i="6"/>
  <c r="AT808" i="6"/>
  <c r="BC756" i="6"/>
  <c r="AY756" i="6"/>
  <c r="AU756" i="6"/>
  <c r="AP702" i="6"/>
  <c r="AP660" i="6" s="1"/>
  <c r="AS659" i="6"/>
  <c r="AW860" i="6"/>
  <c r="AS860" i="6"/>
  <c r="BE808" i="6"/>
  <c r="BA808" i="6"/>
  <c r="AW808" i="6"/>
  <c r="AS808" i="6"/>
  <c r="BF756" i="6"/>
  <c r="BB756" i="6"/>
  <c r="AX756" i="6"/>
  <c r="AT756" i="6"/>
  <c r="AQ702" i="6"/>
  <c r="AV860" i="6"/>
  <c r="AR860" i="6"/>
  <c r="AR818" i="6" s="1"/>
  <c r="BD808" i="6"/>
  <c r="AZ808" i="6"/>
  <c r="AV808" i="6"/>
  <c r="AR808" i="6"/>
  <c r="AR766" i="6" s="1" a="1"/>
  <c r="AR766" i="6" s="1"/>
  <c r="AR871" i="6" s="1"/>
  <c r="BE756" i="6"/>
  <c r="BA756" i="6"/>
  <c r="AW756" i="6"/>
  <c r="AS756" i="6"/>
  <c r="M1391" i="6" a="1"/>
  <c r="M1391" i="6" s="1"/>
  <c r="F1391" i="6" a="1"/>
  <c r="F1391" i="6" s="1"/>
  <c r="G1443" i="6" a="1"/>
  <c r="G1443" i="6" s="1"/>
  <c r="G1548" i="6" s="1"/>
  <c r="L1495" i="6"/>
  <c r="H1443" i="6" a="1"/>
  <c r="H1443" i="6" s="1"/>
  <c r="M1495" i="6"/>
  <c r="H1391" i="6" a="1"/>
  <c r="H1391" i="6" s="1"/>
  <c r="M1443" i="6" a="1"/>
  <c r="M1443" i="6" s="1"/>
  <c r="R1495" i="6"/>
  <c r="S1495" i="6"/>
  <c r="T1495" i="6"/>
  <c r="U1547" i="6"/>
  <c r="U1548" i="6"/>
  <c r="BG2986" i="6"/>
  <c r="BC2986" i="6"/>
  <c r="AY2986" i="6"/>
  <c r="AU2986" i="6"/>
  <c r="AQ2986" i="6"/>
  <c r="AP2839" i="6"/>
  <c r="BJ2986" i="6"/>
  <c r="BF2986" i="6"/>
  <c r="BB2986" i="6"/>
  <c r="AX2986" i="6"/>
  <c r="AT2986" i="6"/>
  <c r="AP2986" i="6"/>
  <c r="AP2946" i="6" s="1"/>
  <c r="BI2986" i="6"/>
  <c r="BA2986" i="6"/>
  <c r="AS2986" i="6"/>
  <c r="AP2840" i="6"/>
  <c r="BH2986" i="6"/>
  <c r="AZ2986" i="6"/>
  <c r="AR2986" i="6"/>
  <c r="BE2986" i="6"/>
  <c r="AW2986" i="6"/>
  <c r="BD2986" i="6"/>
  <c r="AV2986" i="6"/>
  <c r="AP2945" i="6"/>
  <c r="AP2998" i="6" s="1"/>
  <c r="AM24" i="17"/>
  <c r="AM1107" i="6"/>
  <c r="AN18" i="5" s="1"/>
  <c r="AP938" i="6"/>
  <c r="AP1095" i="6" s="1"/>
  <c r="AP937" i="6"/>
  <c r="AT39" i="18"/>
  <c r="AS36" i="18"/>
  <c r="AR17" i="18"/>
  <c r="AR1332" i="6"/>
  <c r="AS880" i="6"/>
  <c r="AT878" i="6"/>
  <c r="AS882" i="6"/>
  <c r="AT7" i="5"/>
  <c r="AS883" i="6"/>
  <c r="BJ224" i="6"/>
  <c r="BF224" i="6"/>
  <c r="BB224" i="6"/>
  <c r="AX224" i="6"/>
  <c r="AT224" i="6"/>
  <c r="BC172" i="6"/>
  <c r="AY172" i="6"/>
  <c r="AU172" i="6"/>
  <c r="AQ172" i="6"/>
  <c r="AQ131" i="6" s="1" a="1"/>
  <c r="AQ131" i="6" s="1"/>
  <c r="BB120" i="6"/>
  <c r="AX120" i="6"/>
  <c r="AT120" i="6"/>
  <c r="AP57" i="6"/>
  <c r="AL57" i="6"/>
  <c r="AR11" i="6"/>
  <c r="BG224" i="6"/>
  <c r="AQ224" i="6"/>
  <c r="AQ183" i="6" s="1"/>
  <c r="AQ236" i="6" s="1"/>
  <c r="AV172" i="6"/>
  <c r="BI224" i="6"/>
  <c r="BE224" i="6"/>
  <c r="BA224" i="6"/>
  <c r="AW224" i="6"/>
  <c r="AS224" i="6"/>
  <c r="BB172" i="6"/>
  <c r="AX172" i="6"/>
  <c r="AT172" i="6"/>
  <c r="BE120" i="6"/>
  <c r="BA120" i="6"/>
  <c r="AW120" i="6"/>
  <c r="AS120" i="6"/>
  <c r="AO57" i="6"/>
  <c r="AK57" i="6"/>
  <c r="AK16" i="6" s="1"/>
  <c r="BC224" i="6"/>
  <c r="AU224" i="6"/>
  <c r="AZ172" i="6"/>
  <c r="BC120" i="6"/>
  <c r="AU120" i="6"/>
  <c r="AQ120" i="6"/>
  <c r="AQ79" i="6" s="1" a="1"/>
  <c r="AQ79" i="6" s="1"/>
  <c r="BH224" i="6"/>
  <c r="BD224" i="6"/>
  <c r="AZ224" i="6"/>
  <c r="AV224" i="6"/>
  <c r="AR224" i="6"/>
  <c r="BE172" i="6"/>
  <c r="BA172" i="6"/>
  <c r="AW172" i="6"/>
  <c r="AS172" i="6"/>
  <c r="BD120" i="6"/>
  <c r="AZ120" i="6"/>
  <c r="AV120" i="6"/>
  <c r="AR120" i="6"/>
  <c r="AN57" i="6"/>
  <c r="AR15" i="6"/>
  <c r="BK224" i="6"/>
  <c r="AY224" i="6"/>
  <c r="BD172" i="6"/>
  <c r="AR172" i="6"/>
  <c r="AY120" i="6"/>
  <c r="AM57" i="6"/>
  <c r="AR10" i="6"/>
  <c r="AR20" i="5"/>
  <c r="AS17" i="19"/>
  <c r="AS1557" i="6"/>
  <c r="AP414" i="6"/>
  <c r="D2222" i="6"/>
  <c r="BD2766" i="6"/>
  <c r="AZ2766" i="6"/>
  <c r="AV2766" i="6"/>
  <c r="AR2766" i="6"/>
  <c r="BC2714" i="6"/>
  <c r="AY2714" i="6"/>
  <c r="AU2714" i="6"/>
  <c r="AQ2714" i="6"/>
  <c r="BA2766" i="6"/>
  <c r="AU2766" i="6"/>
  <c r="AP2766" i="6"/>
  <c r="AZ2714" i="6"/>
  <c r="AT2714" i="6"/>
  <c r="AY2766" i="6"/>
  <c r="AT2766" i="6"/>
  <c r="BD2714" i="6"/>
  <c r="AX2714" i="6"/>
  <c r="AS2714" i="6"/>
  <c r="BC2766" i="6"/>
  <c r="AX2766" i="6"/>
  <c r="AS2766" i="6"/>
  <c r="BB2714" i="6"/>
  <c r="AW2714" i="6"/>
  <c r="AR2714" i="6"/>
  <c r="AQ2766" i="6"/>
  <c r="AP2714" i="6"/>
  <c r="AP2674" i="6" s="1" a="1"/>
  <c r="AP2674" i="6" s="1"/>
  <c r="BB2766" i="6"/>
  <c r="BA2714" i="6"/>
  <c r="AW2766" i="6"/>
  <c r="AV2714" i="6"/>
  <c r="G2223" i="6"/>
  <c r="G2222" i="6"/>
  <c r="J1773" i="6"/>
  <c r="J1772" i="6"/>
  <c r="AQ1773" i="6"/>
  <c r="BE1762" i="6"/>
  <c r="BA1762" i="6"/>
  <c r="AW1762" i="6"/>
  <c r="AS1762" i="6"/>
  <c r="BE1710" i="6"/>
  <c r="BA1710" i="6"/>
  <c r="AW1710" i="6"/>
  <c r="AS1710" i="6"/>
  <c r="BD1658" i="6"/>
  <c r="AZ1658" i="6"/>
  <c r="AV1658" i="6"/>
  <c r="AR1658" i="6"/>
  <c r="AR1616" i="6" s="1" a="1"/>
  <c r="AR1616" i="6" s="1"/>
  <c r="BF1762" i="6"/>
  <c r="AZ1762" i="6"/>
  <c r="AU1762" i="6"/>
  <c r="BC1710" i="6"/>
  <c r="AX1710" i="6"/>
  <c r="AR1710" i="6"/>
  <c r="AR1668" i="6" s="1" a="1"/>
  <c r="AR1668" i="6" s="1"/>
  <c r="AR1773" i="6" s="1"/>
  <c r="BB1658" i="6"/>
  <c r="AW1658" i="6"/>
  <c r="AO1604" i="6"/>
  <c r="AO1562" i="6" s="1"/>
  <c r="BD1762" i="6"/>
  <c r="AY1762" i="6"/>
  <c r="AT1762" i="6"/>
  <c r="BB1710" i="6"/>
  <c r="AV1710" i="6"/>
  <c r="BF1658" i="6"/>
  <c r="BA1658" i="6"/>
  <c r="AU1658" i="6"/>
  <c r="BC1762" i="6"/>
  <c r="AX1762" i="6"/>
  <c r="AR1762" i="6"/>
  <c r="AR1720" i="6" s="1"/>
  <c r="BF1710" i="6"/>
  <c r="AZ1710" i="6"/>
  <c r="AU1710" i="6"/>
  <c r="BE1658" i="6"/>
  <c r="AY1658" i="6"/>
  <c r="AT1658" i="6"/>
  <c r="AQ1604" i="6"/>
  <c r="AS1561" i="6"/>
  <c r="BG1762" i="6"/>
  <c r="BB1762" i="6"/>
  <c r="AV1762" i="6"/>
  <c r="BD1710" i="6"/>
  <c r="AY1710" i="6"/>
  <c r="AT1710" i="6"/>
  <c r="BC1658" i="6"/>
  <c r="AX1658" i="6"/>
  <c r="AS1658" i="6"/>
  <c r="AP1604" i="6"/>
  <c r="AM21" i="17"/>
  <c r="AM1106" i="6"/>
  <c r="AN19" i="5" s="1"/>
  <c r="BC2932" i="6"/>
  <c r="AY2932" i="6"/>
  <c r="AU2932" i="6"/>
  <c r="AQ2932" i="6"/>
  <c r="BB2880" i="6"/>
  <c r="AX2880" i="6"/>
  <c r="AT2880" i="6"/>
  <c r="AP2880" i="6"/>
  <c r="AX2932" i="6"/>
  <c r="AS2932" i="6"/>
  <c r="BC2880" i="6"/>
  <c r="AW2880" i="6"/>
  <c r="AR2880" i="6"/>
  <c r="BB2932" i="6"/>
  <c r="AW2932" i="6"/>
  <c r="AR2932" i="6"/>
  <c r="BA2880" i="6"/>
  <c r="AV2880" i="6"/>
  <c r="AQ2880" i="6"/>
  <c r="BA2932" i="6"/>
  <c r="AV2932" i="6"/>
  <c r="AP2932" i="6"/>
  <c r="AY2880" i="6"/>
  <c r="AZ2932" i="6"/>
  <c r="AU2880" i="6"/>
  <c r="AT2932" i="6"/>
  <c r="AS2880" i="6"/>
  <c r="AO2932" i="6"/>
  <c r="AO2893" i="6" s="1" a="1"/>
  <c r="AO2893" i="6" s="1"/>
  <c r="AZ2880" i="6"/>
  <c r="AO2880" i="6"/>
  <c r="AO2841" i="6" s="1" a="1"/>
  <c r="AO2841" i="6" s="1"/>
  <c r="AV68" i="12"/>
  <c r="AW68" i="12" s="1"/>
  <c r="AQ2836" i="6"/>
  <c r="AR2836" i="6" s="1"/>
  <c r="L1773" i="6"/>
  <c r="L1772" i="6"/>
  <c r="AP44" i="8"/>
  <c r="AQ24" i="8"/>
  <c r="AP2444" i="6"/>
  <c r="AO1614" i="6" l="1"/>
  <c r="AO1615" i="6"/>
  <c r="AO1772" i="6" s="1"/>
  <c r="AO2999" i="6"/>
  <c r="AP712" i="6"/>
  <c r="AP713" i="6"/>
  <c r="AP870" i="6" s="1"/>
  <c r="AR1096" i="6"/>
  <c r="AO2064" i="6"/>
  <c r="AO2065" i="6"/>
  <c r="AO2222" i="6" s="1"/>
  <c r="AP2832" i="6"/>
  <c r="AP3166" i="6"/>
  <c r="AP3167" i="6"/>
  <c r="AQ1998" i="6"/>
  <c r="AK1164" i="6"/>
  <c r="AK1165" i="6"/>
  <c r="AK1322" i="6" s="1"/>
  <c r="AT17" i="19"/>
  <c r="AT1557" i="6"/>
  <c r="C475" i="6"/>
  <c r="C476" i="6"/>
  <c r="N1998" i="6"/>
  <c r="N1997" i="6"/>
  <c r="D1997" i="6"/>
  <c r="D1998" i="6"/>
  <c r="AV36" i="21"/>
  <c r="AW38" i="21"/>
  <c r="AS17" i="20"/>
  <c r="AS1782" i="6"/>
  <c r="AU1558" i="6"/>
  <c r="AV1556" i="6"/>
  <c r="AN1840" i="6"/>
  <c r="AN1997" i="6" s="1"/>
  <c r="AN1839" i="6"/>
  <c r="AS13" i="6"/>
  <c r="AT3" i="5"/>
  <c r="AT8" i="6"/>
  <c r="AS14" i="6"/>
  <c r="S870" i="6"/>
  <c r="S871" i="6"/>
  <c r="P871" i="6"/>
  <c r="E633" i="6"/>
  <c r="E634" i="6"/>
  <c r="AR1548" i="6"/>
  <c r="L1997" i="6"/>
  <c r="L1998" i="6"/>
  <c r="K1998" i="6"/>
  <c r="K1997" i="6"/>
  <c r="BD3101" i="6"/>
  <c r="AZ3101" i="6"/>
  <c r="AV3101" i="6"/>
  <c r="AR3101" i="6"/>
  <c r="BC3049" i="6"/>
  <c r="AY3049" i="6"/>
  <c r="AU3049" i="6"/>
  <c r="AQ3049" i="6"/>
  <c r="AQ3008" i="6" s="1" a="1"/>
  <c r="AQ3008" i="6" s="1"/>
  <c r="BC3101" i="6"/>
  <c r="AY3101" i="6"/>
  <c r="AU3101" i="6"/>
  <c r="AQ3101" i="6"/>
  <c r="AQ3060" i="6" s="1" a="1"/>
  <c r="AQ3060" i="6" s="1"/>
  <c r="BB3049" i="6"/>
  <c r="AX3049" i="6"/>
  <c r="AT3049" i="6"/>
  <c r="BA3101" i="6"/>
  <c r="AS3101" i="6"/>
  <c r="AZ3049" i="6"/>
  <c r="AR3049" i="6"/>
  <c r="AX3101" i="6"/>
  <c r="BE3049" i="6"/>
  <c r="AW3049" i="6"/>
  <c r="BE3101" i="6"/>
  <c r="AW3101" i="6"/>
  <c r="BD3049" i="6"/>
  <c r="AV3049" i="6"/>
  <c r="BB3101" i="6"/>
  <c r="BA3049" i="6"/>
  <c r="AT3101" i="6"/>
  <c r="AS3049" i="6"/>
  <c r="AX59" i="14"/>
  <c r="P1548" i="6"/>
  <c r="AM475" i="6"/>
  <c r="AM476" i="6"/>
  <c r="AP43" i="8"/>
  <c r="AQ643" i="6" s="1"/>
  <c r="AP42" i="8"/>
  <c r="AQ644" i="6" s="1"/>
  <c r="AP41" i="8"/>
  <c r="AQ642" i="6" s="1"/>
  <c r="AQ641" i="6"/>
  <c r="AR33" i="5" s="1"/>
  <c r="AK77" i="6"/>
  <c r="AK78" i="6"/>
  <c r="AK235" i="6" s="1"/>
  <c r="AL22" i="5"/>
  <c r="AL25" i="5" s="1"/>
  <c r="AL43" i="5" s="1"/>
  <c r="AU878" i="6"/>
  <c r="AU7" i="5"/>
  <c r="AT883" i="6"/>
  <c r="AT880" i="6"/>
  <c r="AN24" i="17"/>
  <c r="AN1107" i="6"/>
  <c r="AO18" i="5" s="1"/>
  <c r="L1548" i="6"/>
  <c r="L1547" i="6"/>
  <c r="AP2833" i="6"/>
  <c r="AS2665" i="6"/>
  <c r="AQ71" i="9"/>
  <c r="AQ72" i="9"/>
  <c r="AR2838" i="6"/>
  <c r="AX46" i="17"/>
  <c r="AU36" i="22"/>
  <c r="AV38" i="22"/>
  <c r="AY50" i="13"/>
  <c r="AQ2444" i="6"/>
  <c r="AU1555" i="6"/>
  <c r="AT1560" i="6"/>
  <c r="AU11" i="5"/>
  <c r="AV38" i="15"/>
  <c r="AW40" i="15"/>
  <c r="E47" i="5"/>
  <c r="E45" i="5"/>
  <c r="O714" i="6" a="1"/>
  <c r="O714" i="6" s="1"/>
  <c r="E818" i="6"/>
  <c r="D714" i="6" a="1"/>
  <c r="D714" i="6" s="1"/>
  <c r="G766" i="6" a="1"/>
  <c r="G766" i="6" s="1"/>
  <c r="E714" i="6" a="1"/>
  <c r="E714" i="6" s="1"/>
  <c r="H766" i="6" a="1"/>
  <c r="H766" i="6" s="1"/>
  <c r="J714" i="6" a="1"/>
  <c r="J714" i="6" s="1"/>
  <c r="M766" i="6" a="1"/>
  <c r="M766" i="6" s="1"/>
  <c r="AU56" i="17"/>
  <c r="AT44" i="17"/>
  <c r="AT2229" i="6"/>
  <c r="AU2227" i="6"/>
  <c r="AS3003" i="6"/>
  <c r="AX68" i="12"/>
  <c r="AY68" i="12" s="1"/>
  <c r="AZ68" i="12" s="1"/>
  <c r="AQ937" i="6"/>
  <c r="AQ938" i="6"/>
  <c r="AQ1095" i="6" s="1"/>
  <c r="AS1108" i="6"/>
  <c r="AS1102" i="6"/>
  <c r="AT1104" i="6"/>
  <c r="BL398" i="6"/>
  <c r="BH398" i="6"/>
  <c r="BD398" i="6"/>
  <c r="AZ398" i="6"/>
  <c r="AV398" i="6"/>
  <c r="AR398" i="6"/>
  <c r="AR356" i="6" s="1"/>
  <c r="AR250" i="6"/>
  <c r="BK398" i="6"/>
  <c r="BG398" i="6"/>
  <c r="BC398" i="6"/>
  <c r="AY398" i="6"/>
  <c r="AU398" i="6"/>
  <c r="BI398" i="6"/>
  <c r="BA398" i="6"/>
  <c r="AS398" i="6"/>
  <c r="AR249" i="6"/>
  <c r="BJ398" i="6"/>
  <c r="BF398" i="6"/>
  <c r="BB398" i="6"/>
  <c r="AX398" i="6"/>
  <c r="AT398" i="6"/>
  <c r="BE398" i="6"/>
  <c r="AW398" i="6"/>
  <c r="AS29" i="5"/>
  <c r="AR355" i="6"/>
  <c r="J1547" i="6"/>
  <c r="J1548" i="6"/>
  <c r="E1547" i="6"/>
  <c r="E1548" i="6"/>
  <c r="C1389" i="6"/>
  <c r="C1390" i="6"/>
  <c r="C1547" i="6" s="1"/>
  <c r="N633" i="6"/>
  <c r="N634" i="6"/>
  <c r="Q634" i="6"/>
  <c r="P633" i="6"/>
  <c r="M1997" i="6"/>
  <c r="M1998" i="6"/>
  <c r="O1997" i="6"/>
  <c r="AR26" i="5"/>
  <c r="AQ2831" i="6"/>
  <c r="AS2230" i="6"/>
  <c r="AS2231" i="6"/>
  <c r="AT2226" i="6"/>
  <c r="AT13" i="5"/>
  <c r="AQ416" i="6"/>
  <c r="AR35" i="5"/>
  <c r="AR2223" i="6"/>
  <c r="AU1330" i="6"/>
  <c r="AT1335" i="6"/>
  <c r="AU10" i="5"/>
  <c r="F1548" i="6"/>
  <c r="F1547" i="6"/>
  <c r="G1547" i="6"/>
  <c r="AU2005" i="6"/>
  <c r="AT2010" i="6"/>
  <c r="AR413" i="6"/>
  <c r="AQ419" i="6"/>
  <c r="AQ635" i="6"/>
  <c r="AR23" i="5" s="1"/>
  <c r="AP22" i="9"/>
  <c r="AR15" i="5"/>
  <c r="AR14" i="13"/>
  <c r="AS237" i="6"/>
  <c r="AS12" i="6"/>
  <c r="AT9" i="6"/>
  <c r="AS7" i="6"/>
  <c r="AV61" i="14"/>
  <c r="H1998" i="6"/>
  <c r="AN21" i="17"/>
  <c r="AN1106" i="6"/>
  <c r="AO19" i="5" s="1"/>
  <c r="AV1086" i="6"/>
  <c r="BG1034" i="6"/>
  <c r="BC1034" i="6"/>
  <c r="AY1034" i="6"/>
  <c r="AU1034" i="6"/>
  <c r="BD982" i="6"/>
  <c r="AZ982" i="6"/>
  <c r="AV982" i="6"/>
  <c r="AU1086" i="6"/>
  <c r="BF1034" i="6"/>
  <c r="BB1034" i="6"/>
  <c r="AX1034" i="6"/>
  <c r="AT1034" i="6"/>
  <c r="AX1086" i="6"/>
  <c r="AT1086" i="6"/>
  <c r="BE1034" i="6"/>
  <c r="BA1034" i="6"/>
  <c r="AW1034" i="6"/>
  <c r="AS1034" i="6"/>
  <c r="AS991" i="6" s="1" a="1"/>
  <c r="AS991" i="6" s="1"/>
  <c r="BF982" i="6"/>
  <c r="BB982" i="6"/>
  <c r="AX982" i="6"/>
  <c r="AT982" i="6"/>
  <c r="AW1086" i="6"/>
  <c r="AS1086" i="6"/>
  <c r="AS1043" i="6" s="1"/>
  <c r="BC982" i="6"/>
  <c r="AU982" i="6"/>
  <c r="AT884" i="6"/>
  <c r="BD1034" i="6"/>
  <c r="BA982" i="6"/>
  <c r="AS982" i="6"/>
  <c r="AS939" i="6" s="1" a="1"/>
  <c r="AS939" i="6" s="1"/>
  <c r="AZ1034" i="6"/>
  <c r="BG982" i="6"/>
  <c r="AY982" i="6"/>
  <c r="AV1034" i="6"/>
  <c r="BE982" i="6"/>
  <c r="AW982" i="6"/>
  <c r="AR928" i="6"/>
  <c r="AR885" i="6" s="1"/>
  <c r="BA2933" i="6"/>
  <c r="AW2933" i="6"/>
  <c r="AS2933" i="6"/>
  <c r="BD2881" i="6"/>
  <c r="AZ2881" i="6"/>
  <c r="AV2881" i="6"/>
  <c r="AR2881" i="6"/>
  <c r="AZ2933" i="6"/>
  <c r="AU2933" i="6"/>
  <c r="AP2933" i="6"/>
  <c r="AP2893" i="6" s="1" a="1"/>
  <c r="AP2893" i="6" s="1"/>
  <c r="AY2881" i="6"/>
  <c r="AT2881" i="6"/>
  <c r="BD2933" i="6"/>
  <c r="AY2933" i="6"/>
  <c r="AT2933" i="6"/>
  <c r="BC2881" i="6"/>
  <c r="AX2881" i="6"/>
  <c r="AS2881" i="6"/>
  <c r="BC2933" i="6"/>
  <c r="AX2933" i="6"/>
  <c r="AR2933" i="6"/>
  <c r="AQ2933" i="6"/>
  <c r="AU2881" i="6"/>
  <c r="BB2881" i="6"/>
  <c r="AQ2881" i="6"/>
  <c r="BB2933" i="6"/>
  <c r="BA2881" i="6"/>
  <c r="AP2881" i="6"/>
  <c r="AP2841" i="6" s="1" a="1"/>
  <c r="AP2841" i="6" s="1"/>
  <c r="AV2933" i="6"/>
  <c r="AW2881" i="6"/>
  <c r="T1547" i="6"/>
  <c r="T1548" i="6"/>
  <c r="AY38" i="18"/>
  <c r="G633" i="6"/>
  <c r="G634" i="6"/>
  <c r="E1998" i="6"/>
  <c r="E1997" i="6"/>
  <c r="C1839" i="6"/>
  <c r="C1840" i="6"/>
  <c r="C1997" i="6" s="1"/>
  <c r="AT2450" i="6"/>
  <c r="AT2449" i="6"/>
  <c r="AU2448" i="6"/>
  <c r="AU16" i="5"/>
  <c r="AW2447" i="6"/>
  <c r="AV2452" i="6"/>
  <c r="AW14" i="5"/>
  <c r="AR2831" i="6"/>
  <c r="BL3155" i="6"/>
  <c r="BH3155" i="6"/>
  <c r="BD3155" i="6"/>
  <c r="AZ3155" i="6"/>
  <c r="AV3155" i="6"/>
  <c r="AR3155" i="6"/>
  <c r="AR3113" i="6" s="1"/>
  <c r="AR3007" i="6"/>
  <c r="BK3155" i="6"/>
  <c r="BG3155" i="6"/>
  <c r="BC3155" i="6"/>
  <c r="AY3155" i="6"/>
  <c r="AU3155" i="6"/>
  <c r="BI3155" i="6"/>
  <c r="BA3155" i="6"/>
  <c r="AS3155" i="6"/>
  <c r="AR3006" i="6"/>
  <c r="BF3155" i="6"/>
  <c r="AX3155" i="6"/>
  <c r="BE3155" i="6"/>
  <c r="AW3155" i="6"/>
  <c r="BB3155" i="6"/>
  <c r="AT3155" i="6"/>
  <c r="BJ3155" i="6"/>
  <c r="AR3112" i="6"/>
  <c r="AN2285" i="6"/>
  <c r="AN2286" i="6"/>
  <c r="AN2443" i="6" s="1"/>
  <c r="BF1763" i="6"/>
  <c r="BB1763" i="6"/>
  <c r="AX1763" i="6"/>
  <c r="AT1763" i="6"/>
  <c r="BG1711" i="6"/>
  <c r="BC1711" i="6"/>
  <c r="AY1711" i="6"/>
  <c r="AU1711" i="6"/>
  <c r="BF1659" i="6"/>
  <c r="BB1659" i="6"/>
  <c r="AX1659" i="6"/>
  <c r="AT1659" i="6"/>
  <c r="BG1763" i="6"/>
  <c r="BA1763" i="6"/>
  <c r="AV1763" i="6"/>
  <c r="BE1711" i="6"/>
  <c r="AZ1711" i="6"/>
  <c r="AT1711" i="6"/>
  <c r="BD1659" i="6"/>
  <c r="AY1659" i="6"/>
  <c r="AS1659" i="6"/>
  <c r="AS1616" i="6" s="1" a="1"/>
  <c r="AS1616" i="6" s="1"/>
  <c r="AQ1605" i="6"/>
  <c r="BE1763" i="6"/>
  <c r="AZ1763" i="6"/>
  <c r="AU1763" i="6"/>
  <c r="BD1711" i="6"/>
  <c r="AX1711" i="6"/>
  <c r="AS1711" i="6"/>
  <c r="AS1668" i="6" s="1" a="1"/>
  <c r="AS1668" i="6" s="1"/>
  <c r="BC1659" i="6"/>
  <c r="AW1659" i="6"/>
  <c r="AP1605" i="6"/>
  <c r="AP1562" i="6" s="1"/>
  <c r="AT1561" i="6"/>
  <c r="BD1763" i="6"/>
  <c r="AY1763" i="6"/>
  <c r="AS1763" i="6"/>
  <c r="AS1720" i="6" s="1"/>
  <c r="BB1711" i="6"/>
  <c r="AW1711" i="6"/>
  <c r="BG1659" i="6"/>
  <c r="BA1659" i="6"/>
  <c r="AV1659" i="6"/>
  <c r="BH1763" i="6"/>
  <c r="BC1763" i="6"/>
  <c r="AW1763" i="6"/>
  <c r="BF1711" i="6"/>
  <c r="BA1711" i="6"/>
  <c r="AV1711" i="6"/>
  <c r="BE1659" i="6"/>
  <c r="AZ1659" i="6"/>
  <c r="AU1659" i="6"/>
  <c r="AR1605" i="6"/>
  <c r="AS1783" i="6"/>
  <c r="AT1781" i="6"/>
  <c r="AS1779" i="6"/>
  <c r="AT2008" i="6"/>
  <c r="AU2006" i="6"/>
  <c r="AT2004" i="6"/>
  <c r="I818" i="6"/>
  <c r="I714" i="6" a="1"/>
  <c r="I714" i="6" s="1"/>
  <c r="L766" i="6" a="1"/>
  <c r="L766" i="6" s="1"/>
  <c r="N714" i="6" a="1"/>
  <c r="N714" i="6" s="1"/>
  <c r="Q766" i="6" a="1"/>
  <c r="Q766" i="6" s="1"/>
  <c r="D818" i="6"/>
  <c r="J870" i="6"/>
  <c r="J871" i="6"/>
  <c r="BN344" i="6"/>
  <c r="BJ344" i="6"/>
  <c r="BF344" i="6"/>
  <c r="BB344" i="6"/>
  <c r="AX344" i="6"/>
  <c r="AT344" i="6"/>
  <c r="BO292" i="6"/>
  <c r="BK292" i="6"/>
  <c r="BG292" i="6"/>
  <c r="BC292" i="6"/>
  <c r="AY292" i="6"/>
  <c r="AU292" i="6"/>
  <c r="AQ292" i="6"/>
  <c r="AQ251" i="6" s="1" a="1"/>
  <c r="AQ251" i="6" s="1"/>
  <c r="AQ409" i="6" s="1"/>
  <c r="BG344" i="6"/>
  <c r="AY344" i="6"/>
  <c r="AQ344" i="6"/>
  <c r="AQ303" i="6" s="1" a="1"/>
  <c r="AQ303" i="6" s="1"/>
  <c r="BD292" i="6"/>
  <c r="BM344" i="6"/>
  <c r="BI344" i="6"/>
  <c r="BE344" i="6"/>
  <c r="BA344" i="6"/>
  <c r="AW344" i="6"/>
  <c r="AS344" i="6"/>
  <c r="BN292" i="6"/>
  <c r="BJ292" i="6"/>
  <c r="BF292" i="6"/>
  <c r="BB292" i="6"/>
  <c r="AX292" i="6"/>
  <c r="AT292" i="6"/>
  <c r="BL292" i="6"/>
  <c r="AZ292" i="6"/>
  <c r="AR292" i="6"/>
  <c r="BL344" i="6"/>
  <c r="BH344" i="6"/>
  <c r="BD344" i="6"/>
  <c r="AZ344" i="6"/>
  <c r="AV344" i="6"/>
  <c r="AR344" i="6"/>
  <c r="BM292" i="6"/>
  <c r="BI292" i="6"/>
  <c r="BE292" i="6"/>
  <c r="BA292" i="6"/>
  <c r="AW292" i="6"/>
  <c r="AS292" i="6"/>
  <c r="BO344" i="6"/>
  <c r="BK344" i="6"/>
  <c r="BC344" i="6"/>
  <c r="AU344" i="6"/>
  <c r="BH292" i="6"/>
  <c r="AV292" i="6"/>
  <c r="I1548" i="6"/>
  <c r="I1547" i="6"/>
  <c r="H1547" i="6"/>
  <c r="H1548" i="6"/>
  <c r="T633" i="6"/>
  <c r="T634" i="6"/>
  <c r="AT17" i="22"/>
  <c r="P1997" i="6"/>
  <c r="P1998" i="6"/>
  <c r="AU654" i="6"/>
  <c r="AT656" i="6"/>
  <c r="AT652" i="6"/>
  <c r="BJ2822" i="6"/>
  <c r="BF2822" i="6"/>
  <c r="BB2822" i="6"/>
  <c r="AX2822" i="6"/>
  <c r="AT2822" i="6"/>
  <c r="AS2672" i="6"/>
  <c r="BM2822" i="6"/>
  <c r="BH2822" i="6"/>
  <c r="BC2822" i="6"/>
  <c r="AW2822" i="6"/>
  <c r="BL2822" i="6"/>
  <c r="BG2822" i="6"/>
  <c r="BA2822" i="6"/>
  <c r="AV2822" i="6"/>
  <c r="BD2822" i="6"/>
  <c r="AS2822" i="6"/>
  <c r="AS2779" i="6" s="1"/>
  <c r="BK2822" i="6"/>
  <c r="AZ2822" i="6"/>
  <c r="BI2822" i="6"/>
  <c r="AY2822" i="6"/>
  <c r="BE2822" i="6"/>
  <c r="AU2822" i="6"/>
  <c r="AS2673" i="6"/>
  <c r="AS2778" i="6"/>
  <c r="E46" i="5"/>
  <c r="E44" i="5"/>
  <c r="AK47" i="5"/>
  <c r="AK45" i="5"/>
  <c r="O634" i="6"/>
  <c r="O633" i="6"/>
  <c r="AS39" i="23"/>
  <c r="AT2451" i="6" s="1"/>
  <c r="AS32" i="22"/>
  <c r="AS32" i="21"/>
  <c r="AT2009" i="6" s="1"/>
  <c r="AS32" i="20"/>
  <c r="AS32" i="19"/>
  <c r="AT1559" i="6" s="1"/>
  <c r="AS37" i="17"/>
  <c r="AS49" i="14"/>
  <c r="AS42" i="16"/>
  <c r="AT882" i="6" s="1"/>
  <c r="AS34" i="15"/>
  <c r="AS32" i="18"/>
  <c r="AT1334" i="6" s="1"/>
  <c r="AS41" i="13"/>
  <c r="AT7" i="7"/>
  <c r="F1998" i="6"/>
  <c r="F1997" i="6"/>
  <c r="BE2433" i="6"/>
  <c r="BA2433" i="6"/>
  <c r="AW2433" i="6"/>
  <c r="AS2433" i="6"/>
  <c r="BP2381" i="6"/>
  <c r="BL2381" i="6"/>
  <c r="BH2381" i="6"/>
  <c r="BD2381" i="6"/>
  <c r="AZ2381" i="6"/>
  <c r="AV2381" i="6"/>
  <c r="AR2381" i="6"/>
  <c r="AR2339" i="6" s="1" a="1"/>
  <c r="AR2339" i="6" s="1"/>
  <c r="BN2329" i="6"/>
  <c r="BJ2329" i="6"/>
  <c r="BF2329" i="6"/>
  <c r="BB2329" i="6"/>
  <c r="AX2329" i="6"/>
  <c r="AT2329" i="6"/>
  <c r="AP2275" i="6"/>
  <c r="BD2433" i="6"/>
  <c r="AZ2433" i="6"/>
  <c r="AV2433" i="6"/>
  <c r="AR2433" i="6"/>
  <c r="AR2391" i="6" s="1"/>
  <c r="BO2381" i="6"/>
  <c r="BK2381" i="6"/>
  <c r="BG2381" i="6"/>
  <c r="BC2381" i="6"/>
  <c r="AY2381" i="6"/>
  <c r="AU2381" i="6"/>
  <c r="BM2329" i="6"/>
  <c r="BI2329" i="6"/>
  <c r="BE2329" i="6"/>
  <c r="BA2329" i="6"/>
  <c r="AW2329" i="6"/>
  <c r="AS2329" i="6"/>
  <c r="AO2275" i="6"/>
  <c r="AO2233" i="6" s="1"/>
  <c r="BG2433" i="6"/>
  <c r="BC2433" i="6"/>
  <c r="AY2433" i="6"/>
  <c r="AU2433" i="6"/>
  <c r="BN2381" i="6"/>
  <c r="BJ2381" i="6"/>
  <c r="BF2381" i="6"/>
  <c r="BB2381" i="6"/>
  <c r="AX2381" i="6"/>
  <c r="AT2381" i="6"/>
  <c r="BL2329" i="6"/>
  <c r="BH2329" i="6"/>
  <c r="BD2329" i="6"/>
  <c r="AZ2329" i="6"/>
  <c r="AV2329" i="6"/>
  <c r="AR2329" i="6"/>
  <c r="AR2287" i="6" s="1" a="1"/>
  <c r="AR2287" i="6" s="1"/>
  <c r="BF2433" i="6"/>
  <c r="BB2433" i="6"/>
  <c r="AX2433" i="6"/>
  <c r="AT2433" i="6"/>
  <c r="BM2381" i="6"/>
  <c r="BI2381" i="6"/>
  <c r="BE2381" i="6"/>
  <c r="BA2381" i="6"/>
  <c r="AW2381" i="6"/>
  <c r="AS2381" i="6"/>
  <c r="BO2329" i="6"/>
  <c r="BK2329" i="6"/>
  <c r="BG2329" i="6"/>
  <c r="BC2329" i="6"/>
  <c r="AY2329" i="6"/>
  <c r="AU2329" i="6"/>
  <c r="AQ2275" i="6"/>
  <c r="AS2232" i="6"/>
  <c r="AP36" i="11"/>
  <c r="AP3170" i="6"/>
  <c r="BB2767" i="6"/>
  <c r="AX2767" i="6"/>
  <c r="AT2767" i="6"/>
  <c r="BE2715" i="6"/>
  <c r="BA2715" i="6"/>
  <c r="AW2715" i="6"/>
  <c r="AS2715" i="6"/>
  <c r="BC2767" i="6"/>
  <c r="AW2767" i="6"/>
  <c r="AR2767" i="6"/>
  <c r="AR2726" i="6" s="1" a="1"/>
  <c r="AR2726" i="6" s="1"/>
  <c r="BB2715" i="6"/>
  <c r="AV2715" i="6"/>
  <c r="AQ2715" i="6"/>
  <c r="AQ2674" i="6" s="1" a="1"/>
  <c r="AQ2674" i="6" s="1"/>
  <c r="BA2767" i="6"/>
  <c r="AV2767" i="6"/>
  <c r="AQ2767" i="6"/>
  <c r="AQ2726" i="6" s="1" a="1"/>
  <c r="AQ2726" i="6" s="1"/>
  <c r="AZ2715" i="6"/>
  <c r="AU2715" i="6"/>
  <c r="BE2767" i="6"/>
  <c r="AZ2767" i="6"/>
  <c r="AU2767" i="6"/>
  <c r="BD2715" i="6"/>
  <c r="AY2715" i="6"/>
  <c r="AT2715" i="6"/>
  <c r="AY2767" i="6"/>
  <c r="AX2715" i="6"/>
  <c r="AS2767" i="6"/>
  <c r="AR2715" i="6"/>
  <c r="AR2674" i="6" s="1" a="1"/>
  <c r="AR2674" i="6" s="1"/>
  <c r="BD2767" i="6"/>
  <c r="BC2715" i="6"/>
  <c r="BC622" i="6"/>
  <c r="AY622" i="6"/>
  <c r="AU622" i="6"/>
  <c r="AQ622" i="6"/>
  <c r="AQ581" i="6" s="1"/>
  <c r="BB570" i="6"/>
  <c r="AX570" i="6"/>
  <c r="AT570" i="6"/>
  <c r="BB518" i="6"/>
  <c r="AX518" i="6"/>
  <c r="AT518" i="6"/>
  <c r="AP464" i="6"/>
  <c r="BF622" i="6"/>
  <c r="BB622" i="6"/>
  <c r="AX622" i="6"/>
  <c r="AT622" i="6"/>
  <c r="BE570" i="6"/>
  <c r="BA570" i="6"/>
  <c r="AW570" i="6"/>
  <c r="AS570" i="6"/>
  <c r="BE518" i="6"/>
  <c r="BA518" i="6"/>
  <c r="AW518" i="6"/>
  <c r="AS518" i="6"/>
  <c r="AO464" i="6"/>
  <c r="BD622" i="6"/>
  <c r="AV622" i="6"/>
  <c r="AY570" i="6"/>
  <c r="AQ570" i="6"/>
  <c r="AQ529" i="6" s="1" a="1"/>
  <c r="AQ529" i="6" s="1"/>
  <c r="BC518" i="6"/>
  <c r="AU518" i="6"/>
  <c r="BE622" i="6"/>
  <c r="BA622" i="6"/>
  <c r="AW622" i="6"/>
  <c r="AS622" i="6"/>
  <c r="BD570" i="6"/>
  <c r="AZ570" i="6"/>
  <c r="AV570" i="6"/>
  <c r="AR570" i="6"/>
  <c r="BD518" i="6"/>
  <c r="AZ518" i="6"/>
  <c r="AV518" i="6"/>
  <c r="AR518" i="6"/>
  <c r="AN464" i="6"/>
  <c r="AN423" i="6" s="1"/>
  <c r="AR422" i="6"/>
  <c r="AZ622" i="6"/>
  <c r="AR622" i="6"/>
  <c r="BC570" i="6"/>
  <c r="AU570" i="6"/>
  <c r="AY518" i="6"/>
  <c r="AQ518" i="6"/>
  <c r="AQ477" i="6" s="1" a="1"/>
  <c r="AQ477" i="6" s="1"/>
  <c r="AT881" i="6"/>
  <c r="AU879" i="6"/>
  <c r="AT877" i="6"/>
  <c r="AV36" i="19"/>
  <c r="AW38" i="19"/>
  <c r="BE2213" i="6"/>
  <c r="BA2213" i="6"/>
  <c r="AW2213" i="6"/>
  <c r="AS2213" i="6"/>
  <c r="AS2170" i="6" s="1"/>
  <c r="BF2161" i="6"/>
  <c r="BB2161" i="6"/>
  <c r="AX2161" i="6"/>
  <c r="AT2161" i="6"/>
  <c r="BE2109" i="6"/>
  <c r="BA2109" i="6"/>
  <c r="AW2109" i="6"/>
  <c r="AS2109" i="6"/>
  <c r="AS2066" i="6" s="1" a="1"/>
  <c r="AS2066" i="6" s="1"/>
  <c r="AQ2055" i="6"/>
  <c r="BH2213" i="6"/>
  <c r="BD2213" i="6"/>
  <c r="AZ2213" i="6"/>
  <c r="AV2213" i="6"/>
  <c r="BE2161" i="6"/>
  <c r="BA2161" i="6"/>
  <c r="AW2161" i="6"/>
  <c r="AS2161" i="6"/>
  <c r="AS2118" i="6" s="1" a="1"/>
  <c r="AS2118" i="6" s="1"/>
  <c r="BD2109" i="6"/>
  <c r="AZ2109" i="6"/>
  <c r="AV2109" i="6"/>
  <c r="AP2055" i="6"/>
  <c r="AP2012" i="6" s="1"/>
  <c r="AT2011" i="6"/>
  <c r="BG2213" i="6"/>
  <c r="BC2213" i="6"/>
  <c r="AY2213" i="6"/>
  <c r="AU2213" i="6"/>
  <c r="BD2161" i="6"/>
  <c r="AZ2161" i="6"/>
  <c r="AV2161" i="6"/>
  <c r="BG2109" i="6"/>
  <c r="BC2109" i="6"/>
  <c r="AY2109" i="6"/>
  <c r="AU2109" i="6"/>
  <c r="BF2213" i="6"/>
  <c r="BB2213" i="6"/>
  <c r="AX2213" i="6"/>
  <c r="AT2213" i="6"/>
  <c r="AY2161" i="6"/>
  <c r="AX2109" i="6"/>
  <c r="AU2161" i="6"/>
  <c r="AT2109" i="6"/>
  <c r="BG2161" i="6"/>
  <c r="BF2109" i="6"/>
  <c r="BC2161" i="6"/>
  <c r="BB2109" i="6"/>
  <c r="AR2055" i="6"/>
  <c r="AU70" i="13"/>
  <c r="AT48" i="13"/>
  <c r="BA417" i="6"/>
  <c r="I1997" i="6"/>
  <c r="I1998" i="6"/>
  <c r="AS2507" i="6"/>
  <c r="AS2664" i="6" s="1"/>
  <c r="AS2506" i="6"/>
  <c r="AS2836" i="6"/>
  <c r="S1548" i="6"/>
  <c r="S1547" i="6"/>
  <c r="M1548" i="6"/>
  <c r="M1547" i="6"/>
  <c r="AR3165" i="6"/>
  <c r="O870" i="6"/>
  <c r="O871" i="6"/>
  <c r="R871" i="6"/>
  <c r="H818" i="6"/>
  <c r="N1547" i="6"/>
  <c r="N1548" i="6"/>
  <c r="AX861" i="6"/>
  <c r="AT861" i="6"/>
  <c r="BE809" i="6"/>
  <c r="BA809" i="6"/>
  <c r="AW809" i="6"/>
  <c r="AS809" i="6"/>
  <c r="AS766" i="6" s="1" a="1"/>
  <c r="AS766" i="6" s="1"/>
  <c r="BF757" i="6"/>
  <c r="BB757" i="6"/>
  <c r="AX757" i="6"/>
  <c r="AT757" i="6"/>
  <c r="AW861" i="6"/>
  <c r="AS861" i="6"/>
  <c r="AS818" i="6" s="1"/>
  <c r="BD809" i="6"/>
  <c r="AZ809" i="6"/>
  <c r="AV809" i="6"/>
  <c r="BE757" i="6"/>
  <c r="BA757" i="6"/>
  <c r="AW757" i="6"/>
  <c r="AS757" i="6"/>
  <c r="AS714" i="6" s="1" a="1"/>
  <c r="AS714" i="6" s="1"/>
  <c r="AV861" i="6"/>
  <c r="BG809" i="6"/>
  <c r="BC809" i="6"/>
  <c r="AY809" i="6"/>
  <c r="AU809" i="6"/>
  <c r="BD757" i="6"/>
  <c r="AZ757" i="6"/>
  <c r="AV757" i="6"/>
  <c r="AR703" i="6"/>
  <c r="AU861" i="6"/>
  <c r="BF809" i="6"/>
  <c r="BB809" i="6"/>
  <c r="AX809" i="6"/>
  <c r="AT809" i="6"/>
  <c r="BG757" i="6"/>
  <c r="BC757" i="6"/>
  <c r="AY757" i="6"/>
  <c r="AU757" i="6"/>
  <c r="AQ703" i="6"/>
  <c r="AQ660" i="6" s="1"/>
  <c r="AT659" i="6"/>
  <c r="AT657" i="6"/>
  <c r="AT658" i="6"/>
  <c r="AU653" i="6"/>
  <c r="AT655" i="6"/>
  <c r="AU6" i="5"/>
  <c r="S633" i="6"/>
  <c r="S634" i="6"/>
  <c r="J1997" i="6"/>
  <c r="J1998" i="6"/>
  <c r="Q1997" i="6"/>
  <c r="Q1998" i="6"/>
  <c r="AS38" i="23"/>
  <c r="AS31" i="22"/>
  <c r="AS31" i="21"/>
  <c r="AS31" i="20"/>
  <c r="AS31" i="19"/>
  <c r="AS36" i="17"/>
  <c r="AS31" i="18"/>
  <c r="AS41" i="16"/>
  <c r="AS33" i="15"/>
  <c r="AS48" i="14"/>
  <c r="AT6" i="7"/>
  <c r="AS40" i="13"/>
  <c r="D1548" i="6"/>
  <c r="BD2768" i="6"/>
  <c r="AZ2768" i="6"/>
  <c r="AV2768" i="6"/>
  <c r="AR2768" i="6"/>
  <c r="BC2716" i="6"/>
  <c r="AY2716" i="6"/>
  <c r="AU2716" i="6"/>
  <c r="BE2768" i="6"/>
  <c r="AY2768" i="6"/>
  <c r="AT2768" i="6"/>
  <c r="BD2716" i="6"/>
  <c r="AX2716" i="6"/>
  <c r="AS2716" i="6"/>
  <c r="BC2768" i="6"/>
  <c r="AX2768" i="6"/>
  <c r="AS2768" i="6"/>
  <c r="BB2716" i="6"/>
  <c r="AW2716" i="6"/>
  <c r="AR2716" i="6"/>
  <c r="BB2768" i="6"/>
  <c r="AW2768" i="6"/>
  <c r="BF2716" i="6"/>
  <c r="BA2716" i="6"/>
  <c r="AV2716" i="6"/>
  <c r="BF2768" i="6"/>
  <c r="BE2716" i="6"/>
  <c r="BA2768" i="6"/>
  <c r="AZ2716" i="6"/>
  <c r="AU2768" i="6"/>
  <c r="AT2716" i="6"/>
  <c r="BG1987" i="6"/>
  <c r="BC1987" i="6"/>
  <c r="AY1987" i="6"/>
  <c r="AU1987" i="6"/>
  <c r="BC1935" i="6"/>
  <c r="AY1935" i="6"/>
  <c r="AU1935" i="6"/>
  <c r="BF1883" i="6"/>
  <c r="BB1883" i="6"/>
  <c r="AX1883" i="6"/>
  <c r="AT1883" i="6"/>
  <c r="BF1987" i="6"/>
  <c r="BB1987" i="6"/>
  <c r="AX1987" i="6"/>
  <c r="AT1987" i="6"/>
  <c r="BF1935" i="6"/>
  <c r="BB1935" i="6"/>
  <c r="AX1935" i="6"/>
  <c r="AT1935" i="6"/>
  <c r="BE1883" i="6"/>
  <c r="BA1883" i="6"/>
  <c r="AW1883" i="6"/>
  <c r="AS1883" i="6"/>
  <c r="AQ1829" i="6"/>
  <c r="AS1786" i="6"/>
  <c r="BE1987" i="6"/>
  <c r="BA1987" i="6"/>
  <c r="AW1987" i="6"/>
  <c r="AS1987" i="6"/>
  <c r="BE1935" i="6"/>
  <c r="BA1935" i="6"/>
  <c r="AW1935" i="6"/>
  <c r="AS1935" i="6"/>
  <c r="BD1883" i="6"/>
  <c r="AZ1883" i="6"/>
  <c r="AV1883" i="6"/>
  <c r="AR1883" i="6"/>
  <c r="AR1841" i="6" s="1" a="1"/>
  <c r="AR1841" i="6" s="1"/>
  <c r="AV1987" i="6"/>
  <c r="BD1935" i="6"/>
  <c r="BC1883" i="6"/>
  <c r="AP1829" i="6"/>
  <c r="AR1987" i="6"/>
  <c r="AR1945" i="6" s="1"/>
  <c r="AZ1935" i="6"/>
  <c r="AY1883" i="6"/>
  <c r="AO1829" i="6"/>
  <c r="AO1787" i="6" s="1"/>
  <c r="BD1987" i="6"/>
  <c r="AV1935" i="6"/>
  <c r="AU1883" i="6"/>
  <c r="AZ1987" i="6"/>
  <c r="AR1935" i="6"/>
  <c r="AR1893" i="6" s="1" a="1"/>
  <c r="AR1893" i="6" s="1"/>
  <c r="AW39" i="20"/>
  <c r="AV36" i="20"/>
  <c r="AM1323" i="6"/>
  <c r="AN17" i="5"/>
  <c r="AN24" i="5" s="1"/>
  <c r="AN42" i="5" s="1"/>
  <c r="BH1538" i="6"/>
  <c r="BD1538" i="6"/>
  <c r="AZ1538" i="6"/>
  <c r="AV1538" i="6"/>
  <c r="BE1486" i="6"/>
  <c r="BA1486" i="6"/>
  <c r="AW1486" i="6"/>
  <c r="AS1486" i="6"/>
  <c r="AS1443" i="6" s="1" a="1"/>
  <c r="AS1443" i="6" s="1"/>
  <c r="BD1434" i="6"/>
  <c r="AZ1434" i="6"/>
  <c r="AV1434" i="6"/>
  <c r="AP1380" i="6"/>
  <c r="AP1337" i="6" s="1"/>
  <c r="AT1336" i="6"/>
  <c r="BG1538" i="6"/>
  <c r="BC1538" i="6"/>
  <c r="AY1538" i="6"/>
  <c r="AU1538" i="6"/>
  <c r="BD1486" i="6"/>
  <c r="AZ1486" i="6"/>
  <c r="AV1486" i="6"/>
  <c r="BG1434" i="6"/>
  <c r="BC1434" i="6"/>
  <c r="AY1434" i="6"/>
  <c r="AU1434" i="6"/>
  <c r="BF1538" i="6"/>
  <c r="BB1538" i="6"/>
  <c r="AX1538" i="6"/>
  <c r="AT1538" i="6"/>
  <c r="BG1486" i="6"/>
  <c r="BC1486" i="6"/>
  <c r="AY1486" i="6"/>
  <c r="AU1486" i="6"/>
  <c r="BF1434" i="6"/>
  <c r="BB1434" i="6"/>
  <c r="AX1434" i="6"/>
  <c r="AT1434" i="6"/>
  <c r="AR1380" i="6"/>
  <c r="BE1538" i="6"/>
  <c r="BA1538" i="6"/>
  <c r="AW1538" i="6"/>
  <c r="AS1538" i="6"/>
  <c r="AS1495" i="6" s="1"/>
  <c r="BF1486" i="6"/>
  <c r="BB1486" i="6"/>
  <c r="AX1486" i="6"/>
  <c r="AT1486" i="6"/>
  <c r="BE1434" i="6"/>
  <c r="BA1434" i="6"/>
  <c r="AW1434" i="6"/>
  <c r="AS1434" i="6"/>
  <c r="AS1391" i="6" s="1" a="1"/>
  <c r="AS1391" i="6" s="1"/>
  <c r="AQ1380" i="6"/>
  <c r="AP633" i="6"/>
  <c r="AP634" i="6"/>
  <c r="AS1109" i="6"/>
  <c r="AS1110" i="6"/>
  <c r="AT1103" i="6"/>
  <c r="AT9" i="5"/>
  <c r="AR24" i="8"/>
  <c r="AQ44" i="8"/>
  <c r="AT20" i="9"/>
  <c r="AS17" i="18"/>
  <c r="AS1332" i="6"/>
  <c r="AU39" i="18"/>
  <c r="AT36" i="18"/>
  <c r="R1547" i="6"/>
  <c r="R1548" i="6"/>
  <c r="F634" i="6"/>
  <c r="F633" i="6"/>
  <c r="I633" i="6"/>
  <c r="I634" i="6"/>
  <c r="BG2657" i="6"/>
  <c r="BC2657" i="6"/>
  <c r="AY2657" i="6"/>
  <c r="AU2657" i="6"/>
  <c r="AU2612" i="6" s="1"/>
  <c r="BI2605" i="6"/>
  <c r="BE2605" i="6"/>
  <c r="BA2605" i="6"/>
  <c r="AW2605" i="6"/>
  <c r="BH2553" i="6"/>
  <c r="BD2553" i="6"/>
  <c r="AZ2553" i="6"/>
  <c r="AV2553" i="6"/>
  <c r="BF2657" i="6"/>
  <c r="BA2657" i="6"/>
  <c r="AV2657" i="6"/>
  <c r="BF2605" i="6"/>
  <c r="AZ2605" i="6"/>
  <c r="AU2605" i="6"/>
  <c r="AU2560" i="6" s="1" a="1"/>
  <c r="AU2560" i="6" s="1"/>
  <c r="BG2553" i="6"/>
  <c r="BB2553" i="6"/>
  <c r="AW2553" i="6"/>
  <c r="AV2453" i="6"/>
  <c r="BJ2657" i="6"/>
  <c r="BE2657" i="6"/>
  <c r="AZ2657" i="6"/>
  <c r="BD2605" i="6"/>
  <c r="AY2605" i="6"/>
  <c r="BF2553" i="6"/>
  <c r="BA2553" i="6"/>
  <c r="AU2553" i="6"/>
  <c r="AU2508" i="6" s="1" a="1"/>
  <c r="AU2508" i="6" s="1"/>
  <c r="BI2657" i="6"/>
  <c r="BD2657" i="6"/>
  <c r="AX2657" i="6"/>
  <c r="BH2605" i="6"/>
  <c r="BC2605" i="6"/>
  <c r="AX2605" i="6"/>
  <c r="BE2553" i="6"/>
  <c r="AY2553" i="6"/>
  <c r="BB2605" i="6"/>
  <c r="BI2553" i="6"/>
  <c r="BH2657" i="6"/>
  <c r="AV2605" i="6"/>
  <c r="BC2553" i="6"/>
  <c r="AT2499" i="6"/>
  <c r="AT2454" i="6" s="1"/>
  <c r="BB2657" i="6"/>
  <c r="AX2553" i="6"/>
  <c r="AW2657" i="6"/>
  <c r="BG2605" i="6"/>
  <c r="AV21" i="5"/>
  <c r="AR2835" i="6"/>
  <c r="AS93" i="9"/>
  <c r="AR74" i="9"/>
  <c r="AR68" i="9"/>
  <c r="AS2837" i="6" s="1"/>
  <c r="AR65" i="9"/>
  <c r="AR63" i="9"/>
  <c r="AR57" i="9"/>
  <c r="AR4" i="9"/>
  <c r="AR92" i="9"/>
  <c r="AR66" i="9"/>
  <c r="AR64" i="9"/>
  <c r="AR61" i="9"/>
  <c r="AS3005" i="6" s="1"/>
  <c r="AR58" i="9"/>
  <c r="AR16" i="9"/>
  <c r="AR8" i="9"/>
  <c r="AS2670" i="6" s="1"/>
  <c r="AT2669" i="6" s="1"/>
  <c r="AR3" i="9"/>
  <c r="AS2668" i="6" s="1"/>
  <c r="AR69" i="9"/>
  <c r="BK2987" i="6"/>
  <c r="BG2987" i="6"/>
  <c r="BC2987" i="6"/>
  <c r="AY2987" i="6"/>
  <c r="AU2987" i="6"/>
  <c r="AQ2987" i="6"/>
  <c r="AQ2946" i="6" s="1"/>
  <c r="AQ2840" i="6"/>
  <c r="BJ2987" i="6"/>
  <c r="BF2987" i="6"/>
  <c r="BB2987" i="6"/>
  <c r="AX2987" i="6"/>
  <c r="AT2987" i="6"/>
  <c r="BE2987" i="6"/>
  <c r="AW2987" i="6"/>
  <c r="BD2987" i="6"/>
  <c r="AV2987" i="6"/>
  <c r="BI2987" i="6"/>
  <c r="BA2987" i="6"/>
  <c r="AS2987" i="6"/>
  <c r="BH2987" i="6"/>
  <c r="AZ2987" i="6"/>
  <c r="AR2987" i="6"/>
  <c r="AQ2839" i="6"/>
  <c r="AQ2945" i="6"/>
  <c r="AQ2998" i="6" s="1"/>
  <c r="BJ225" i="6"/>
  <c r="BF225" i="6"/>
  <c r="BB225" i="6"/>
  <c r="AX225" i="6"/>
  <c r="AT225" i="6"/>
  <c r="BE173" i="6"/>
  <c r="BA173" i="6"/>
  <c r="AW173" i="6"/>
  <c r="AS173" i="6"/>
  <c r="BD121" i="6"/>
  <c r="AZ121" i="6"/>
  <c r="AV121" i="6"/>
  <c r="AR121" i="6"/>
  <c r="AR79" i="6" s="1" a="1"/>
  <c r="AR79" i="6" s="1"/>
  <c r="AO58" i="6"/>
  <c r="AY225" i="6"/>
  <c r="AX173" i="6"/>
  <c r="BI225" i="6"/>
  <c r="BE225" i="6"/>
  <c r="BA225" i="6"/>
  <c r="AW225" i="6"/>
  <c r="AS225" i="6"/>
  <c r="BD173" i="6"/>
  <c r="AZ173" i="6"/>
  <c r="AV173" i="6"/>
  <c r="AR173" i="6"/>
  <c r="AR131" i="6" s="1" a="1"/>
  <c r="AR131" i="6" s="1"/>
  <c r="BC121" i="6"/>
  <c r="AY121" i="6"/>
  <c r="AU121" i="6"/>
  <c r="AN58" i="6"/>
  <c r="AS15" i="6"/>
  <c r="BG225" i="6"/>
  <c r="AU225" i="6"/>
  <c r="BF173" i="6"/>
  <c r="AT173" i="6"/>
  <c r="BE121" i="6"/>
  <c r="BA121" i="6"/>
  <c r="AW121" i="6"/>
  <c r="AS121" i="6"/>
  <c r="BL225" i="6"/>
  <c r="BH225" i="6"/>
  <c r="BD225" i="6"/>
  <c r="AZ225" i="6"/>
  <c r="AV225" i="6"/>
  <c r="AR225" i="6"/>
  <c r="AR183" i="6" s="1"/>
  <c r="BC173" i="6"/>
  <c r="AY173" i="6"/>
  <c r="AU173" i="6"/>
  <c r="BF121" i="6"/>
  <c r="BB121" i="6"/>
  <c r="AX121" i="6"/>
  <c r="AT121" i="6"/>
  <c r="AQ58" i="6"/>
  <c r="AM58" i="6"/>
  <c r="AS10" i="6"/>
  <c r="BK225" i="6"/>
  <c r="BC225" i="6"/>
  <c r="BB173" i="6"/>
  <c r="AL58" i="6"/>
  <c r="AL16" i="6" s="1"/>
  <c r="AP58" i="6"/>
  <c r="AS11" i="6"/>
  <c r="K714" i="6" a="1"/>
  <c r="K714" i="6" s="1"/>
  <c r="K870" i="6" s="1"/>
  <c r="N766" i="6" a="1"/>
  <c r="N766" i="6" s="1"/>
  <c r="P714" i="6" a="1"/>
  <c r="P714" i="6" s="1"/>
  <c r="P870" i="6" s="1"/>
  <c r="R714" i="6" a="1"/>
  <c r="R714" i="6" s="1"/>
  <c r="R870" i="6" s="1"/>
  <c r="F871" i="6"/>
  <c r="C660" i="6"/>
  <c r="Q714" i="6" a="1"/>
  <c r="Q714" i="6" s="1"/>
  <c r="D766" i="6" a="1"/>
  <c r="D766" i="6" s="1"/>
  <c r="G818" i="6"/>
  <c r="F714" i="6" a="1"/>
  <c r="F714" i="6" s="1"/>
  <c r="F870" i="6" s="1"/>
  <c r="I766" i="6" a="1"/>
  <c r="I766" i="6" s="1"/>
  <c r="AU245" i="6"/>
  <c r="AU244" i="6"/>
  <c r="AV28" i="5" s="1"/>
  <c r="AU408" i="6"/>
  <c r="AU247" i="6"/>
  <c r="AU67" i="12"/>
  <c r="R633" i="6"/>
  <c r="R634" i="6"/>
  <c r="AW126" i="14"/>
  <c r="AX128" i="14"/>
  <c r="AW46" i="16"/>
  <c r="AX48" i="16"/>
  <c r="AS1785" i="6"/>
  <c r="AS1784" i="6"/>
  <c r="AT1780" i="6"/>
  <c r="AT12" i="5"/>
  <c r="AU20" i="9"/>
  <c r="AO1390" i="6"/>
  <c r="AO1547" i="6" s="1"/>
  <c r="AO1389" i="6"/>
  <c r="AN19" i="17"/>
  <c r="AN1105" i="6"/>
  <c r="AR59" i="12"/>
  <c r="AS248" i="6" s="1"/>
  <c r="AS60" i="12"/>
  <c r="AS246" i="6"/>
  <c r="AT66" i="14"/>
  <c r="AS57" i="14"/>
  <c r="AS56" i="14" s="1"/>
  <c r="AT1333" i="6"/>
  <c r="AU1331" i="6"/>
  <c r="AT1329" i="6"/>
  <c r="AR421" i="6"/>
  <c r="AS20" i="5" s="1"/>
  <c r="AR417" i="6"/>
  <c r="AS412" i="6"/>
  <c r="AS5" i="5"/>
  <c r="AR418" i="6"/>
  <c r="AR415" i="6"/>
  <c r="AR414" i="6"/>
  <c r="AR420" i="6"/>
  <c r="AS4" i="5"/>
  <c r="AM44" i="5"/>
  <c r="AM46" i="5"/>
  <c r="AV3004" i="6"/>
  <c r="AV60" i="9"/>
  <c r="Q1547" i="6"/>
  <c r="Q1548" i="6"/>
  <c r="AS17" i="21"/>
  <c r="AS2007" i="6"/>
  <c r="K633" i="6"/>
  <c r="K634" i="6"/>
  <c r="R1997" i="6"/>
  <c r="R1998" i="6"/>
  <c r="BG1312" i="6"/>
  <c r="BC1312" i="6"/>
  <c r="AY1312" i="6"/>
  <c r="AU1312" i="6"/>
  <c r="BD1260" i="6"/>
  <c r="AZ1260" i="6"/>
  <c r="AV1260" i="6"/>
  <c r="AR1260" i="6"/>
  <c r="AR1218" i="6" s="1" a="1"/>
  <c r="AR1218" i="6" s="1"/>
  <c r="BE1208" i="6"/>
  <c r="BA1208" i="6"/>
  <c r="AW1208" i="6"/>
  <c r="AS1208" i="6"/>
  <c r="AN1154" i="6"/>
  <c r="AS1111" i="6"/>
  <c r="BF1312" i="6"/>
  <c r="BB1312" i="6"/>
  <c r="AX1312" i="6"/>
  <c r="AT1312" i="6"/>
  <c r="BC1260" i="6"/>
  <c r="AY1260" i="6"/>
  <c r="AU1260" i="6"/>
  <c r="BD1208" i="6"/>
  <c r="AZ1208" i="6"/>
  <c r="AV1208" i="6"/>
  <c r="AR1208" i="6"/>
  <c r="AR1166" i="6" s="1" a="1"/>
  <c r="AR1166" i="6" s="1"/>
  <c r="AQ1154" i="6"/>
  <c r="AM1154" i="6"/>
  <c r="BE1312" i="6"/>
  <c r="BA1312" i="6"/>
  <c r="AW1312" i="6"/>
  <c r="AS1312" i="6"/>
  <c r="BF1260" i="6"/>
  <c r="BB1260" i="6"/>
  <c r="AX1260" i="6"/>
  <c r="AT1260" i="6"/>
  <c r="BC1208" i="6"/>
  <c r="AY1208" i="6"/>
  <c r="AU1208" i="6"/>
  <c r="AP1154" i="6"/>
  <c r="AL1154" i="6"/>
  <c r="AL1112" i="6" s="1"/>
  <c r="BD1312" i="6"/>
  <c r="AZ1312" i="6"/>
  <c r="AV1312" i="6"/>
  <c r="AR1312" i="6"/>
  <c r="AR1270" i="6" s="1"/>
  <c r="BE1260" i="6"/>
  <c r="BA1260" i="6"/>
  <c r="AW1260" i="6"/>
  <c r="AS1260" i="6"/>
  <c r="BF1208" i="6"/>
  <c r="BB1208" i="6"/>
  <c r="AX1208" i="6"/>
  <c r="AT1208" i="6"/>
  <c r="AO1154" i="6"/>
  <c r="AP1615" i="6" l="1"/>
  <c r="AP1772" i="6" s="1"/>
  <c r="AP1614" i="6"/>
  <c r="AQ3167" i="6"/>
  <c r="AQ3166" i="6"/>
  <c r="AN475" i="6"/>
  <c r="AN476" i="6"/>
  <c r="AL1165" i="6"/>
  <c r="AL1322" i="6" s="1"/>
  <c r="AL1164" i="6"/>
  <c r="AQ712" i="6"/>
  <c r="AQ713" i="6"/>
  <c r="AQ870" i="6" s="1"/>
  <c r="AO2285" i="6"/>
  <c r="AO2286" i="6"/>
  <c r="AO2443" i="6" s="1"/>
  <c r="AP3000" i="6"/>
  <c r="AP2999" i="6"/>
  <c r="AR236" i="6"/>
  <c r="AR2444" i="6"/>
  <c r="AS418" i="6"/>
  <c r="AS417" i="6"/>
  <c r="AT412" i="6"/>
  <c r="AS420" i="6"/>
  <c r="AS415" i="6"/>
  <c r="AT4" i="5"/>
  <c r="AS421" i="6"/>
  <c r="AT5" i="5"/>
  <c r="AT1784" i="6"/>
  <c r="AT1785" i="6"/>
  <c r="AU1780" i="6"/>
  <c r="AU12" i="5"/>
  <c r="AT17" i="18"/>
  <c r="AT1332" i="6"/>
  <c r="AR44" i="8"/>
  <c r="AS24" i="8"/>
  <c r="AW36" i="19"/>
  <c r="AX38" i="19"/>
  <c r="AQ36" i="11"/>
  <c r="AQ3170" i="6"/>
  <c r="Q871" i="6"/>
  <c r="Q870" i="6"/>
  <c r="I871" i="6"/>
  <c r="I870" i="6"/>
  <c r="AZ38" i="18"/>
  <c r="AW61" i="14"/>
  <c r="BF2214" i="6"/>
  <c r="BB2214" i="6"/>
  <c r="AX2214" i="6"/>
  <c r="AT2214" i="6"/>
  <c r="AT2170" i="6" s="1"/>
  <c r="BH2162" i="6"/>
  <c r="BD2162" i="6"/>
  <c r="AZ2162" i="6"/>
  <c r="AV2162" i="6"/>
  <c r="BG2110" i="6"/>
  <c r="BC2110" i="6"/>
  <c r="AY2110" i="6"/>
  <c r="AU2110" i="6"/>
  <c r="AS2056" i="6"/>
  <c r="AU2011" i="6"/>
  <c r="BI2214" i="6"/>
  <c r="BE2214" i="6"/>
  <c r="BA2214" i="6"/>
  <c r="AW2214" i="6"/>
  <c r="BG2162" i="6"/>
  <c r="BC2162" i="6"/>
  <c r="AY2162" i="6"/>
  <c r="AU2162" i="6"/>
  <c r="BF2110" i="6"/>
  <c r="BB2110" i="6"/>
  <c r="AX2110" i="6"/>
  <c r="AT2110" i="6"/>
  <c r="AR2056" i="6"/>
  <c r="BH2214" i="6"/>
  <c r="BD2214" i="6"/>
  <c r="AZ2214" i="6"/>
  <c r="AV2214" i="6"/>
  <c r="BF2162" i="6"/>
  <c r="BB2162" i="6"/>
  <c r="AX2162" i="6"/>
  <c r="AT2162" i="6"/>
  <c r="AT2118" i="6" s="1" a="1"/>
  <c r="AT2118" i="6" s="1"/>
  <c r="BE2110" i="6"/>
  <c r="BA2110" i="6"/>
  <c r="AW2110" i="6"/>
  <c r="AQ2056" i="6"/>
  <c r="AQ2012" i="6" s="1"/>
  <c r="BG2214" i="6"/>
  <c r="BC2214" i="6"/>
  <c r="AY2214" i="6"/>
  <c r="AU2214" i="6"/>
  <c r="BA2162" i="6"/>
  <c r="AZ2110" i="6"/>
  <c r="AW2162" i="6"/>
  <c r="AV2110" i="6"/>
  <c r="BH2110" i="6"/>
  <c r="BE2162" i="6"/>
  <c r="BD2110" i="6"/>
  <c r="AT2231" i="6"/>
  <c r="AU2226" i="6"/>
  <c r="AT2230" i="6"/>
  <c r="AU13" i="5"/>
  <c r="AT2225" i="6"/>
  <c r="AU1560" i="6"/>
  <c r="AV1555" i="6"/>
  <c r="AV11" i="5"/>
  <c r="AU883" i="6"/>
  <c r="AU880" i="6"/>
  <c r="AV878" i="6"/>
  <c r="AV7" i="5"/>
  <c r="AS1096" i="6"/>
  <c r="BJ226" i="6"/>
  <c r="BF226" i="6"/>
  <c r="BB226" i="6"/>
  <c r="AX226" i="6"/>
  <c r="AT226" i="6"/>
  <c r="BG174" i="6"/>
  <c r="BC174" i="6"/>
  <c r="AY174" i="6"/>
  <c r="AU174" i="6"/>
  <c r="BF122" i="6"/>
  <c r="BB122" i="6"/>
  <c r="AX122" i="6"/>
  <c r="AT122" i="6"/>
  <c r="AR59" i="6"/>
  <c r="AN59" i="6"/>
  <c r="AT15" i="6"/>
  <c r="BK226" i="6"/>
  <c r="AU226" i="6"/>
  <c r="AV174" i="6"/>
  <c r="BM226" i="6"/>
  <c r="BI226" i="6"/>
  <c r="BE226" i="6"/>
  <c r="BA226" i="6"/>
  <c r="AW226" i="6"/>
  <c r="AS226" i="6"/>
  <c r="AS183" i="6" s="1"/>
  <c r="BF174" i="6"/>
  <c r="BB174" i="6"/>
  <c r="AX174" i="6"/>
  <c r="AT174" i="6"/>
  <c r="BE122" i="6"/>
  <c r="BA122" i="6"/>
  <c r="AW122" i="6"/>
  <c r="AS122" i="6"/>
  <c r="AS79" i="6" s="1" a="1"/>
  <c r="AS79" i="6" s="1"/>
  <c r="AQ59" i="6"/>
  <c r="AM59" i="6"/>
  <c r="AM16" i="6" s="1"/>
  <c r="AT10" i="6"/>
  <c r="AT20" i="5"/>
  <c r="BG226" i="6"/>
  <c r="AY226" i="6"/>
  <c r="BD174" i="6"/>
  <c r="BG122" i="6"/>
  <c r="BC122" i="6"/>
  <c r="AY122" i="6"/>
  <c r="AU122" i="6"/>
  <c r="BL226" i="6"/>
  <c r="BH226" i="6"/>
  <c r="BD226" i="6"/>
  <c r="AZ226" i="6"/>
  <c r="AV226" i="6"/>
  <c r="BE174" i="6"/>
  <c r="BA174" i="6"/>
  <c r="AW174" i="6"/>
  <c r="AS174" i="6"/>
  <c r="AS131" i="6" s="1" a="1"/>
  <c r="AS131" i="6" s="1"/>
  <c r="BD122" i="6"/>
  <c r="AZ122" i="6"/>
  <c r="AV122" i="6"/>
  <c r="AP59" i="6"/>
  <c r="AT11" i="6"/>
  <c r="BC226" i="6"/>
  <c r="AZ174" i="6"/>
  <c r="AO59" i="6"/>
  <c r="AT2" i="5"/>
  <c r="AW1556" i="6"/>
  <c r="AV1554" i="6"/>
  <c r="AV1558" i="6"/>
  <c r="AW36" i="21"/>
  <c r="AX38" i="21"/>
  <c r="AV1331" i="6"/>
  <c r="AU1329" i="6"/>
  <c r="AU1333" i="6"/>
  <c r="AX126" i="14"/>
  <c r="AY128" i="14"/>
  <c r="BC2934" i="6"/>
  <c r="AY2934" i="6"/>
  <c r="AU2934" i="6"/>
  <c r="AQ2934" i="6"/>
  <c r="AQ2893" i="6" s="1" a="1"/>
  <c r="AQ2893" i="6" s="1"/>
  <c r="BB2882" i="6"/>
  <c r="AX2882" i="6"/>
  <c r="AT2882" i="6"/>
  <c r="BB2934" i="6"/>
  <c r="AW2934" i="6"/>
  <c r="AR2934" i="6"/>
  <c r="BA2882" i="6"/>
  <c r="AV2882" i="6"/>
  <c r="AQ2882" i="6"/>
  <c r="AQ2841" i="6" s="1" a="1"/>
  <c r="AQ2841" i="6" s="1"/>
  <c r="BA2934" i="6"/>
  <c r="AV2934" i="6"/>
  <c r="BE2882" i="6"/>
  <c r="AZ2882" i="6"/>
  <c r="AU2882" i="6"/>
  <c r="BE2934" i="6"/>
  <c r="AZ2934" i="6"/>
  <c r="AT2934" i="6"/>
  <c r="AX2934" i="6"/>
  <c r="BC2882" i="6"/>
  <c r="AR2882" i="6"/>
  <c r="AS2934" i="6"/>
  <c r="AY2882" i="6"/>
  <c r="AW2882" i="6"/>
  <c r="BD2934" i="6"/>
  <c r="BD2882" i="6"/>
  <c r="AS2882" i="6"/>
  <c r="AR71" i="9"/>
  <c r="AR72" i="9"/>
  <c r="AS2838" i="6"/>
  <c r="AR416" i="6"/>
  <c r="AS35" i="5"/>
  <c r="G870" i="6"/>
  <c r="G871" i="6"/>
  <c r="N870" i="6"/>
  <c r="N871" i="6"/>
  <c r="AL77" i="6"/>
  <c r="AL78" i="6"/>
  <c r="AL235" i="6" s="1"/>
  <c r="AM22" i="5"/>
  <c r="AM25" i="5" s="1"/>
  <c r="AM43" i="5" s="1"/>
  <c r="AS2831" i="6"/>
  <c r="BL3156" i="6"/>
  <c r="BH3156" i="6"/>
  <c r="BD3156" i="6"/>
  <c r="AZ3156" i="6"/>
  <c r="AV3156" i="6"/>
  <c r="BK3156" i="6"/>
  <c r="BG3156" i="6"/>
  <c r="BC3156" i="6"/>
  <c r="AY3156" i="6"/>
  <c r="AU3156" i="6"/>
  <c r="BM3156" i="6"/>
  <c r="BE3156" i="6"/>
  <c r="AW3156" i="6"/>
  <c r="BJ3156" i="6"/>
  <c r="BB3156" i="6"/>
  <c r="AT3156" i="6"/>
  <c r="BI3156" i="6"/>
  <c r="BA3156" i="6"/>
  <c r="AS3156" i="6"/>
  <c r="AS3113" i="6" s="1"/>
  <c r="AS3007" i="6"/>
  <c r="BF3156" i="6"/>
  <c r="AS3006" i="6"/>
  <c r="AX3156" i="6"/>
  <c r="AS3112" i="6"/>
  <c r="AU658" i="6"/>
  <c r="AU655" i="6"/>
  <c r="AV653" i="6"/>
  <c r="AV6" i="5"/>
  <c r="AT2836" i="6"/>
  <c r="BB35" i="5"/>
  <c r="BB38" i="5" s="1"/>
  <c r="BA416" i="6"/>
  <c r="AV70" i="13"/>
  <c r="AU48" i="13"/>
  <c r="AR251" i="6" a="1"/>
  <c r="AR251" i="6" s="1"/>
  <c r="AR409" i="6" s="1"/>
  <c r="AU1781" i="6"/>
  <c r="AT1779" i="6"/>
  <c r="AT1783" i="6"/>
  <c r="BH2658" i="6"/>
  <c r="BD2658" i="6"/>
  <c r="AZ2658" i="6"/>
  <c r="AV2658" i="6"/>
  <c r="AV2612" i="6" s="1"/>
  <c r="BG2606" i="6"/>
  <c r="BC2606" i="6"/>
  <c r="AY2606" i="6"/>
  <c r="BJ2554" i="6"/>
  <c r="BF2554" i="6"/>
  <c r="BB2554" i="6"/>
  <c r="AX2554" i="6"/>
  <c r="BG2658" i="6"/>
  <c r="BB2658" i="6"/>
  <c r="AW2658" i="6"/>
  <c r="BH2606" i="6"/>
  <c r="BB2606" i="6"/>
  <c r="AW2606" i="6"/>
  <c r="BI2554" i="6"/>
  <c r="BD2554" i="6"/>
  <c r="AY2554" i="6"/>
  <c r="BK2658" i="6"/>
  <c r="BF2658" i="6"/>
  <c r="BA2658" i="6"/>
  <c r="BF2606" i="6"/>
  <c r="BA2606" i="6"/>
  <c r="AV2606" i="6"/>
  <c r="AV2560" i="6" s="1" a="1"/>
  <c r="AV2560" i="6" s="1"/>
  <c r="BH2554" i="6"/>
  <c r="BC2554" i="6"/>
  <c r="AW2554" i="6"/>
  <c r="BJ2658" i="6"/>
  <c r="BE2658" i="6"/>
  <c r="AY2658" i="6"/>
  <c r="BJ2606" i="6"/>
  <c r="BE2606" i="6"/>
  <c r="AZ2606" i="6"/>
  <c r="BG2554" i="6"/>
  <c r="BA2554" i="6"/>
  <c r="AV2554" i="6"/>
  <c r="AV2508" i="6" s="1" a="1"/>
  <c r="AV2508" i="6" s="1"/>
  <c r="AX2658" i="6"/>
  <c r="BI2606" i="6"/>
  <c r="AU2500" i="6"/>
  <c r="AU2454" i="6" s="1"/>
  <c r="BD2606" i="6"/>
  <c r="AW2453" i="6"/>
  <c r="BI2658" i="6"/>
  <c r="AX2606" i="6"/>
  <c r="BE2554" i="6"/>
  <c r="BC2658" i="6"/>
  <c r="AZ2554" i="6"/>
  <c r="AW21" i="5"/>
  <c r="AU2449" i="6"/>
  <c r="AU2450" i="6"/>
  <c r="AV2448" i="6"/>
  <c r="AV16" i="5"/>
  <c r="AU1335" i="6"/>
  <c r="AV1330" i="6"/>
  <c r="AV10" i="5"/>
  <c r="AS1548" i="6"/>
  <c r="BF2434" i="6"/>
  <c r="BB2434" i="6"/>
  <c r="AX2434" i="6"/>
  <c r="AT2434" i="6"/>
  <c r="BP2382" i="6"/>
  <c r="BL2382" i="6"/>
  <c r="BH2382" i="6"/>
  <c r="BD2382" i="6"/>
  <c r="AZ2382" i="6"/>
  <c r="AV2382" i="6"/>
  <c r="BO2330" i="6"/>
  <c r="BK2330" i="6"/>
  <c r="BG2330" i="6"/>
  <c r="BC2330" i="6"/>
  <c r="AY2330" i="6"/>
  <c r="AU2330" i="6"/>
  <c r="AR2276" i="6"/>
  <c r="BE2434" i="6"/>
  <c r="BA2434" i="6"/>
  <c r="AW2434" i="6"/>
  <c r="AS2434" i="6"/>
  <c r="AS2391" i="6" s="1"/>
  <c r="BO2382" i="6"/>
  <c r="BK2382" i="6"/>
  <c r="BG2382" i="6"/>
  <c r="BC2382" i="6"/>
  <c r="AY2382" i="6"/>
  <c r="AU2382" i="6"/>
  <c r="BN2330" i="6"/>
  <c r="BJ2330" i="6"/>
  <c r="BF2330" i="6"/>
  <c r="BB2330" i="6"/>
  <c r="AX2330" i="6"/>
  <c r="AT2330" i="6"/>
  <c r="AQ2276" i="6"/>
  <c r="BH2434" i="6"/>
  <c r="BD2434" i="6"/>
  <c r="AZ2434" i="6"/>
  <c r="AV2434" i="6"/>
  <c r="BN2382" i="6"/>
  <c r="BJ2382" i="6"/>
  <c r="BF2382" i="6"/>
  <c r="BB2382" i="6"/>
  <c r="AX2382" i="6"/>
  <c r="AT2382" i="6"/>
  <c r="BM2330" i="6"/>
  <c r="BI2330" i="6"/>
  <c r="BE2330" i="6"/>
  <c r="BA2330" i="6"/>
  <c r="AW2330" i="6"/>
  <c r="AS2330" i="6"/>
  <c r="AS2287" i="6" s="1" a="1"/>
  <c r="AS2287" i="6" s="1"/>
  <c r="AP2276" i="6"/>
  <c r="AP2233" i="6" s="1"/>
  <c r="AT2232" i="6"/>
  <c r="BG2434" i="6"/>
  <c r="BC2434" i="6"/>
  <c r="AY2434" i="6"/>
  <c r="AU2434" i="6"/>
  <c r="BM2382" i="6"/>
  <c r="BI2382" i="6"/>
  <c r="BE2382" i="6"/>
  <c r="BA2382" i="6"/>
  <c r="AW2382" i="6"/>
  <c r="AS2382" i="6"/>
  <c r="AS2339" i="6" s="1" a="1"/>
  <c r="AS2339" i="6" s="1"/>
  <c r="BL2330" i="6"/>
  <c r="BH2330" i="6"/>
  <c r="BD2330" i="6"/>
  <c r="AZ2330" i="6"/>
  <c r="AV2330" i="6"/>
  <c r="BN345" i="6"/>
  <c r="BJ345" i="6"/>
  <c r="BF345" i="6"/>
  <c r="BB345" i="6"/>
  <c r="AX345" i="6"/>
  <c r="AT345" i="6"/>
  <c r="BO293" i="6"/>
  <c r="BK293" i="6"/>
  <c r="BG293" i="6"/>
  <c r="BC293" i="6"/>
  <c r="AY293" i="6"/>
  <c r="AU293" i="6"/>
  <c r="BO345" i="6"/>
  <c r="AU345" i="6"/>
  <c r="BP293" i="6"/>
  <c r="BD293" i="6"/>
  <c r="AR293" i="6"/>
  <c r="BM345" i="6"/>
  <c r="BI345" i="6"/>
  <c r="BE345" i="6"/>
  <c r="BA345" i="6"/>
  <c r="AW345" i="6"/>
  <c r="AS345" i="6"/>
  <c r="BN293" i="6"/>
  <c r="BJ293" i="6"/>
  <c r="BF293" i="6"/>
  <c r="BB293" i="6"/>
  <c r="AX293" i="6"/>
  <c r="AT293" i="6"/>
  <c r="BG345" i="6"/>
  <c r="AY345" i="6"/>
  <c r="BH293" i="6"/>
  <c r="AZ293" i="6"/>
  <c r="BP345" i="6"/>
  <c r="BL345" i="6"/>
  <c r="BH345" i="6"/>
  <c r="BD345" i="6"/>
  <c r="AZ345" i="6"/>
  <c r="AV345" i="6"/>
  <c r="AR345" i="6"/>
  <c r="AR303" i="6" s="1" a="1"/>
  <c r="AR303" i="6" s="1"/>
  <c r="BM293" i="6"/>
  <c r="BI293" i="6"/>
  <c r="BE293" i="6"/>
  <c r="BA293" i="6"/>
  <c r="AW293" i="6"/>
  <c r="AS293" i="6"/>
  <c r="BK345" i="6"/>
  <c r="BC345" i="6"/>
  <c r="BL293" i="6"/>
  <c r="AV293" i="6"/>
  <c r="AT1102" i="6"/>
  <c r="AU1104" i="6"/>
  <c r="AT1108" i="6"/>
  <c r="AT3003" i="6"/>
  <c r="M871" i="6"/>
  <c r="M870" i="6"/>
  <c r="AZ50" i="13"/>
  <c r="AY46" i="17"/>
  <c r="AY1087" i="6"/>
  <c r="AU1087" i="6"/>
  <c r="BE1035" i="6"/>
  <c r="BA1035" i="6"/>
  <c r="AW1035" i="6"/>
  <c r="BF983" i="6"/>
  <c r="BB983" i="6"/>
  <c r="AX983" i="6"/>
  <c r="AT983" i="6"/>
  <c r="AT939" i="6" s="1" a="1"/>
  <c r="AT939" i="6" s="1"/>
  <c r="AX1087" i="6"/>
  <c r="AT1087" i="6"/>
  <c r="AT1043" i="6" s="1"/>
  <c r="BH1035" i="6"/>
  <c r="BD1035" i="6"/>
  <c r="AZ1035" i="6"/>
  <c r="AV1035" i="6"/>
  <c r="AW1087" i="6"/>
  <c r="BG1035" i="6"/>
  <c r="BC1035" i="6"/>
  <c r="AY1035" i="6"/>
  <c r="AU1035" i="6"/>
  <c r="BH983" i="6"/>
  <c r="BD983" i="6"/>
  <c r="AZ983" i="6"/>
  <c r="AV983" i="6"/>
  <c r="AV1087" i="6"/>
  <c r="AT1035" i="6"/>
  <c r="AT991" i="6" s="1" a="1"/>
  <c r="AT991" i="6" s="1"/>
  <c r="BE983" i="6"/>
  <c r="AW983" i="6"/>
  <c r="BF1035" i="6"/>
  <c r="BC983" i="6"/>
  <c r="AU983" i="6"/>
  <c r="BB1035" i="6"/>
  <c r="BA983" i="6"/>
  <c r="AS929" i="6"/>
  <c r="AS885" i="6" s="1"/>
  <c r="AX1035" i="6"/>
  <c r="BG983" i="6"/>
  <c r="AY983" i="6"/>
  <c r="AU884" i="6"/>
  <c r="AL47" i="5"/>
  <c r="AL45" i="5"/>
  <c r="AQ645" i="6"/>
  <c r="AY59" i="14"/>
  <c r="AT13" i="6"/>
  <c r="AU3" i="5"/>
  <c r="AT14" i="6"/>
  <c r="AU8" i="6"/>
  <c r="AU2" i="5"/>
  <c r="AR1998" i="6"/>
  <c r="AU66" i="14"/>
  <c r="AT57" i="14"/>
  <c r="AT56" i="14" s="1"/>
  <c r="AV408" i="6"/>
  <c r="AV247" i="6"/>
  <c r="AV245" i="6"/>
  <c r="AV244" i="6"/>
  <c r="AW28" i="5" s="1"/>
  <c r="AV67" i="12"/>
  <c r="C712" i="6"/>
  <c r="C713" i="6"/>
  <c r="C870" i="6" s="1"/>
  <c r="BH1313" i="6"/>
  <c r="BD1313" i="6"/>
  <c r="AZ1313" i="6"/>
  <c r="AV1313" i="6"/>
  <c r="BF1261" i="6"/>
  <c r="BB1261" i="6"/>
  <c r="AX1261" i="6"/>
  <c r="AT1261" i="6"/>
  <c r="BG1209" i="6"/>
  <c r="BC1209" i="6"/>
  <c r="AY1209" i="6"/>
  <c r="AU1209" i="6"/>
  <c r="AQ1155" i="6"/>
  <c r="AM1155" i="6"/>
  <c r="AM1112" i="6" s="1"/>
  <c r="BG1313" i="6"/>
  <c r="BC1313" i="6"/>
  <c r="AY1313" i="6"/>
  <c r="AU1313" i="6"/>
  <c r="BE1261" i="6"/>
  <c r="BA1261" i="6"/>
  <c r="AW1261" i="6"/>
  <c r="AS1261" i="6"/>
  <c r="AS1218" i="6" s="1" a="1"/>
  <c r="AS1218" i="6" s="1"/>
  <c r="BF1209" i="6"/>
  <c r="BB1209" i="6"/>
  <c r="AX1209" i="6"/>
  <c r="AT1209" i="6"/>
  <c r="AP1155" i="6"/>
  <c r="BF1313" i="6"/>
  <c r="BB1313" i="6"/>
  <c r="AX1313" i="6"/>
  <c r="AT1313" i="6"/>
  <c r="BD1261" i="6"/>
  <c r="AZ1261" i="6"/>
  <c r="AV1261" i="6"/>
  <c r="BE1209" i="6"/>
  <c r="BA1209" i="6"/>
  <c r="AW1209" i="6"/>
  <c r="AS1209" i="6"/>
  <c r="AO1155" i="6"/>
  <c r="BE1313" i="6"/>
  <c r="BA1313" i="6"/>
  <c r="AW1313" i="6"/>
  <c r="AS1313" i="6"/>
  <c r="AS1270" i="6" s="1"/>
  <c r="BG1261" i="6"/>
  <c r="BC1261" i="6"/>
  <c r="AY1261" i="6"/>
  <c r="AU1261" i="6"/>
  <c r="BD1209" i="6"/>
  <c r="AZ1209" i="6"/>
  <c r="AV1209" i="6"/>
  <c r="AR1155" i="6"/>
  <c r="AN1155" i="6"/>
  <c r="AT1111" i="6"/>
  <c r="AT38" i="23"/>
  <c r="AT31" i="22"/>
  <c r="AT31" i="21"/>
  <c r="AT31" i="20"/>
  <c r="AT31" i="19"/>
  <c r="AT31" i="18"/>
  <c r="AT41" i="16"/>
  <c r="AT33" i="15"/>
  <c r="AT48" i="14"/>
  <c r="AT40" i="13"/>
  <c r="AT36" i="17"/>
  <c r="AU6" i="7"/>
  <c r="AS1166" i="6" a="1"/>
  <c r="AS1166" i="6" s="1"/>
  <c r="AW3004" i="6"/>
  <c r="AW60" i="9"/>
  <c r="BD623" i="6"/>
  <c r="AZ623" i="6"/>
  <c r="AV623" i="6"/>
  <c r="AR623" i="6"/>
  <c r="AR581" i="6" s="1"/>
  <c r="BD571" i="6"/>
  <c r="AZ571" i="6"/>
  <c r="AV571" i="6"/>
  <c r="AR571" i="6"/>
  <c r="AR529" i="6" s="1" a="1"/>
  <c r="AR529" i="6" s="1"/>
  <c r="BD519" i="6"/>
  <c r="AZ519" i="6"/>
  <c r="AV519" i="6"/>
  <c r="AR519" i="6"/>
  <c r="AR477" i="6" s="1" a="1"/>
  <c r="AR477" i="6" s="1"/>
  <c r="BG623" i="6"/>
  <c r="BC623" i="6"/>
  <c r="AY623" i="6"/>
  <c r="AU623" i="6"/>
  <c r="BC571" i="6"/>
  <c r="AY571" i="6"/>
  <c r="AU571" i="6"/>
  <c r="BC519" i="6"/>
  <c r="AY519" i="6"/>
  <c r="AU519" i="6"/>
  <c r="AQ465" i="6"/>
  <c r="AS422" i="6"/>
  <c r="BE623" i="6"/>
  <c r="AW623" i="6"/>
  <c r="BA571" i="6"/>
  <c r="AS571" i="6"/>
  <c r="BE519" i="6"/>
  <c r="AW519" i="6"/>
  <c r="BF623" i="6"/>
  <c r="BB623" i="6"/>
  <c r="AX623" i="6"/>
  <c r="AT623" i="6"/>
  <c r="BF571" i="6"/>
  <c r="BB571" i="6"/>
  <c r="AX571" i="6"/>
  <c r="AT571" i="6"/>
  <c r="BF519" i="6"/>
  <c r="BB519" i="6"/>
  <c r="AX519" i="6"/>
  <c r="AT519" i="6"/>
  <c r="AP465" i="6"/>
  <c r="BA623" i="6"/>
  <c r="AS623" i="6"/>
  <c r="BE571" i="6"/>
  <c r="AW571" i="6"/>
  <c r="BA519" i="6"/>
  <c r="AS519" i="6"/>
  <c r="AO465" i="6"/>
  <c r="AO423" i="6" s="1"/>
  <c r="AS59" i="12"/>
  <c r="AT248" i="6" s="1"/>
  <c r="AT60" i="12"/>
  <c r="AT246" i="6"/>
  <c r="AN1323" i="6"/>
  <c r="AO17" i="5"/>
  <c r="AO24" i="5" s="1"/>
  <c r="AO42" i="5" s="1"/>
  <c r="BH1988" i="6"/>
  <c r="BD1988" i="6"/>
  <c r="AZ1988" i="6"/>
  <c r="AV1988" i="6"/>
  <c r="BE1936" i="6"/>
  <c r="BA1936" i="6"/>
  <c r="AW1936" i="6"/>
  <c r="AS1936" i="6"/>
  <c r="BD1884" i="6"/>
  <c r="AZ1884" i="6"/>
  <c r="AV1884" i="6"/>
  <c r="BG1988" i="6"/>
  <c r="BC1988" i="6"/>
  <c r="AY1988" i="6"/>
  <c r="AU1988" i="6"/>
  <c r="BD1936" i="6"/>
  <c r="AZ1936" i="6"/>
  <c r="AV1936" i="6"/>
  <c r="BG1884" i="6"/>
  <c r="BC1884" i="6"/>
  <c r="AY1884" i="6"/>
  <c r="AU1884" i="6"/>
  <c r="BF1988" i="6"/>
  <c r="BB1988" i="6"/>
  <c r="AX1988" i="6"/>
  <c r="AT1988" i="6"/>
  <c r="BG1936" i="6"/>
  <c r="BC1936" i="6"/>
  <c r="AY1936" i="6"/>
  <c r="AU1936" i="6"/>
  <c r="BF1884" i="6"/>
  <c r="BB1884" i="6"/>
  <c r="AX1884" i="6"/>
  <c r="AT1884" i="6"/>
  <c r="AW1988" i="6"/>
  <c r="BF1936" i="6"/>
  <c r="BE1884" i="6"/>
  <c r="AS1988" i="6"/>
  <c r="AS1945" i="6" s="1"/>
  <c r="BB1936" i="6"/>
  <c r="BA1884" i="6"/>
  <c r="AR1830" i="6"/>
  <c r="BE1988" i="6"/>
  <c r="AX1936" i="6"/>
  <c r="AW1884" i="6"/>
  <c r="AQ1830" i="6"/>
  <c r="AT1786" i="6"/>
  <c r="BA1988" i="6"/>
  <c r="AT1936" i="6"/>
  <c r="AS1884" i="6"/>
  <c r="AS1841" i="6" s="1" a="1"/>
  <c r="AS1841" i="6" s="1"/>
  <c r="AP1830" i="6"/>
  <c r="AP1787" i="6" s="1"/>
  <c r="AS3002" i="6"/>
  <c r="AS3165" i="6" s="1"/>
  <c r="AT2507" i="6"/>
  <c r="AT2506" i="6"/>
  <c r="AV39" i="18"/>
  <c r="AU36" i="18"/>
  <c r="AP1389" i="6"/>
  <c r="AP1390" i="6"/>
  <c r="AP1547" i="6" s="1"/>
  <c r="AW862" i="6"/>
  <c r="BG810" i="6"/>
  <c r="BC810" i="6"/>
  <c r="AY810" i="6"/>
  <c r="AU810" i="6"/>
  <c r="BH758" i="6"/>
  <c r="BD758" i="6"/>
  <c r="AZ758" i="6"/>
  <c r="AV758" i="6"/>
  <c r="AV862" i="6"/>
  <c r="BF810" i="6"/>
  <c r="BB810" i="6"/>
  <c r="AX810" i="6"/>
  <c r="AT810" i="6"/>
  <c r="AT766" i="6" s="1" a="1"/>
  <c r="AT766" i="6" s="1"/>
  <c r="BG758" i="6"/>
  <c r="BC758" i="6"/>
  <c r="AY758" i="6"/>
  <c r="AU758" i="6"/>
  <c r="AR704" i="6"/>
  <c r="AY862" i="6"/>
  <c r="AU862" i="6"/>
  <c r="BE810" i="6"/>
  <c r="BA810" i="6"/>
  <c r="AW810" i="6"/>
  <c r="BF758" i="6"/>
  <c r="BB758" i="6"/>
  <c r="AX758" i="6"/>
  <c r="AT758" i="6"/>
  <c r="AT714" i="6" s="1" a="1"/>
  <c r="AT714" i="6" s="1"/>
  <c r="AX862" i="6"/>
  <c r="AT862" i="6"/>
  <c r="AT818" i="6" s="1"/>
  <c r="BH810" i="6"/>
  <c r="BD810" i="6"/>
  <c r="AZ810" i="6"/>
  <c r="AV810" i="6"/>
  <c r="BE758" i="6"/>
  <c r="BA758" i="6"/>
  <c r="AW758" i="6"/>
  <c r="AU659" i="6"/>
  <c r="AS704" i="6"/>
  <c r="H871" i="6"/>
  <c r="H870" i="6"/>
  <c r="BF2769" i="6"/>
  <c r="BB2769" i="6"/>
  <c r="AX2769" i="6"/>
  <c r="AT2769" i="6"/>
  <c r="BE2717" i="6"/>
  <c r="BA2717" i="6"/>
  <c r="AW2717" i="6"/>
  <c r="AS2717" i="6"/>
  <c r="AS2674" i="6" s="1" a="1"/>
  <c r="AS2674" i="6" s="1"/>
  <c r="BG2769" i="6"/>
  <c r="BA2769" i="6"/>
  <c r="AV2769" i="6"/>
  <c r="BF2717" i="6"/>
  <c r="AZ2717" i="6"/>
  <c r="AU2717" i="6"/>
  <c r="BE2769" i="6"/>
  <c r="AZ2769" i="6"/>
  <c r="AU2769" i="6"/>
  <c r="BD2717" i="6"/>
  <c r="AY2717" i="6"/>
  <c r="AT2717" i="6"/>
  <c r="BD2769" i="6"/>
  <c r="AY2769" i="6"/>
  <c r="AS2769" i="6"/>
  <c r="AS2726" i="6" s="1" a="1"/>
  <c r="AS2726" i="6" s="1"/>
  <c r="BC2717" i="6"/>
  <c r="AX2717" i="6"/>
  <c r="BG2717" i="6"/>
  <c r="BC2769" i="6"/>
  <c r="BB2717" i="6"/>
  <c r="AW2769" i="6"/>
  <c r="AV2717" i="6"/>
  <c r="AU652" i="6"/>
  <c r="AU656" i="6"/>
  <c r="AV654" i="6"/>
  <c r="AT2228" i="6"/>
  <c r="L871" i="6"/>
  <c r="L870" i="6"/>
  <c r="AU2008" i="6"/>
  <c r="AV2006" i="6"/>
  <c r="AU2004" i="6"/>
  <c r="AS1773" i="6"/>
  <c r="BF3102" i="6"/>
  <c r="BB3102" i="6"/>
  <c r="AX3102" i="6"/>
  <c r="AT3102" i="6"/>
  <c r="BE3050" i="6"/>
  <c r="BA3050" i="6"/>
  <c r="AW3050" i="6"/>
  <c r="AS3050" i="6"/>
  <c r="BE3102" i="6"/>
  <c r="BA3102" i="6"/>
  <c r="AW3102" i="6"/>
  <c r="AS3102" i="6"/>
  <c r="BD3050" i="6"/>
  <c r="AZ3050" i="6"/>
  <c r="AV3050" i="6"/>
  <c r="AR3050" i="6"/>
  <c r="AR3008" i="6" s="1" a="1"/>
  <c r="AR3008" i="6" s="1"/>
  <c r="BC3102" i="6"/>
  <c r="AU3102" i="6"/>
  <c r="BB3050" i="6"/>
  <c r="AT3050" i="6"/>
  <c r="AZ3102" i="6"/>
  <c r="AR3102" i="6"/>
  <c r="AR3060" i="6" s="1" a="1"/>
  <c r="AR3060" i="6" s="1"/>
  <c r="AY3050" i="6"/>
  <c r="AY3102" i="6"/>
  <c r="BF3050" i="6"/>
  <c r="AX3050" i="6"/>
  <c r="BD3102" i="6"/>
  <c r="BC3050" i="6"/>
  <c r="AV3102" i="6"/>
  <c r="AU3050" i="6"/>
  <c r="AR2832" i="6"/>
  <c r="AR2833" i="6"/>
  <c r="AQ633" i="6"/>
  <c r="AQ634" i="6"/>
  <c r="AU2010" i="6"/>
  <c r="AV2005" i="6"/>
  <c r="AU2229" i="6"/>
  <c r="AV2227" i="6"/>
  <c r="AU2225" i="6"/>
  <c r="AV56" i="17"/>
  <c r="AU44" i="17"/>
  <c r="BG1764" i="6"/>
  <c r="BC1764" i="6"/>
  <c r="AY1764" i="6"/>
  <c r="AU1764" i="6"/>
  <c r="BE1712" i="6"/>
  <c r="BA1712" i="6"/>
  <c r="AW1712" i="6"/>
  <c r="BH1660" i="6"/>
  <c r="BD1660" i="6"/>
  <c r="AZ1660" i="6"/>
  <c r="AV1660" i="6"/>
  <c r="BH1764" i="6"/>
  <c r="BB1764" i="6"/>
  <c r="AW1764" i="6"/>
  <c r="BG1712" i="6"/>
  <c r="BB1712" i="6"/>
  <c r="AV1712" i="6"/>
  <c r="BF1660" i="6"/>
  <c r="BA1660" i="6"/>
  <c r="AU1660" i="6"/>
  <c r="AS1606" i="6"/>
  <c r="AU1561" i="6"/>
  <c r="BF1764" i="6"/>
  <c r="BA1764" i="6"/>
  <c r="AV1764" i="6"/>
  <c r="BF1712" i="6"/>
  <c r="AZ1712" i="6"/>
  <c r="AU1712" i="6"/>
  <c r="BE1660" i="6"/>
  <c r="AY1660" i="6"/>
  <c r="AT1660" i="6"/>
  <c r="AT1616" i="6" s="1" a="1"/>
  <c r="AT1616" i="6" s="1"/>
  <c r="AR1606" i="6"/>
  <c r="BE1764" i="6"/>
  <c r="AZ1764" i="6"/>
  <c r="AT1764" i="6"/>
  <c r="AT1720" i="6" s="1"/>
  <c r="BD1712" i="6"/>
  <c r="AY1712" i="6"/>
  <c r="AT1712" i="6"/>
  <c r="AT1668" i="6" s="1" a="1"/>
  <c r="AT1668" i="6" s="1"/>
  <c r="BC1660" i="6"/>
  <c r="AX1660" i="6"/>
  <c r="AQ1606" i="6"/>
  <c r="AQ1562" i="6" s="1"/>
  <c r="BI1764" i="6"/>
  <c r="BD1764" i="6"/>
  <c r="AX1764" i="6"/>
  <c r="BH1712" i="6"/>
  <c r="BC1712" i="6"/>
  <c r="AX1712" i="6"/>
  <c r="BG1660" i="6"/>
  <c r="BB1660" i="6"/>
  <c r="AW1660" i="6"/>
  <c r="AS871" i="6"/>
  <c r="AS2223" i="6"/>
  <c r="AU17" i="19"/>
  <c r="AU1557" i="6"/>
  <c r="AV20" i="9"/>
  <c r="AT17" i="21"/>
  <c r="AT2007" i="6"/>
  <c r="BL399" i="6"/>
  <c r="BH399" i="6"/>
  <c r="BD399" i="6"/>
  <c r="AZ399" i="6"/>
  <c r="AV399" i="6"/>
  <c r="BK399" i="6"/>
  <c r="BG399" i="6"/>
  <c r="BC399" i="6"/>
  <c r="AY399" i="6"/>
  <c r="AU399" i="6"/>
  <c r="BM399" i="6"/>
  <c r="BE399" i="6"/>
  <c r="AW399" i="6"/>
  <c r="AS250" i="6"/>
  <c r="BJ399" i="6"/>
  <c r="BF399" i="6"/>
  <c r="BB399" i="6"/>
  <c r="AX399" i="6"/>
  <c r="AT399" i="6"/>
  <c r="AS249" i="6"/>
  <c r="AT29" i="5"/>
  <c r="BI399" i="6"/>
  <c r="BA399" i="6"/>
  <c r="AS399" i="6"/>
  <c r="AS356" i="6" s="1"/>
  <c r="AS355" i="6"/>
  <c r="AO19" i="17"/>
  <c r="AO1105" i="6"/>
  <c r="AX46" i="16"/>
  <c r="AY48" i="16"/>
  <c r="AS2835" i="6"/>
  <c r="AT26" i="5" s="1"/>
  <c r="AS92" i="9"/>
  <c r="AS66" i="9"/>
  <c r="AS64" i="9"/>
  <c r="AS61" i="9"/>
  <c r="AT3005" i="6" s="1"/>
  <c r="AS58" i="9"/>
  <c r="AS17" i="9"/>
  <c r="AS15" i="9" s="1"/>
  <c r="AT2671" i="6" s="1"/>
  <c r="AS16" i="9"/>
  <c r="AS8" i="9"/>
  <c r="AT2670" i="6" s="1"/>
  <c r="AU2669" i="6" s="1"/>
  <c r="AS3" i="9"/>
  <c r="AS69" i="9"/>
  <c r="AT93" i="9"/>
  <c r="AS74" i="9"/>
  <c r="AS68" i="9"/>
  <c r="AT2837" i="6" s="1"/>
  <c r="AS65" i="9"/>
  <c r="AS63" i="9"/>
  <c r="AS57" i="9"/>
  <c r="AT3002" i="6" s="1"/>
  <c r="AS4" i="9"/>
  <c r="AQ43" i="8"/>
  <c r="AR643" i="6" s="1"/>
  <c r="AR645" i="6" s="1"/>
  <c r="AQ42" i="8"/>
  <c r="AR644" i="6" s="1"/>
  <c r="AQ41" i="8"/>
  <c r="AR642" i="6" s="1"/>
  <c r="AR641" i="6"/>
  <c r="AS33" i="5" s="1"/>
  <c r="AT1109" i="6"/>
  <c r="AT1110" i="6"/>
  <c r="AU1103" i="6"/>
  <c r="AU9" i="5"/>
  <c r="AN46" i="5"/>
  <c r="AN44" i="5"/>
  <c r="AX39" i="20"/>
  <c r="AW36" i="20"/>
  <c r="AO1840" i="6"/>
  <c r="AO1997" i="6" s="1"/>
  <c r="AO1839" i="6"/>
  <c r="AS1893" i="6" a="1"/>
  <c r="AS1893" i="6" s="1"/>
  <c r="AR660" i="6"/>
  <c r="AT2066" i="6" a="1"/>
  <c r="AT2066" i="6" s="1"/>
  <c r="AP2065" i="6"/>
  <c r="AP2222" i="6" s="1"/>
  <c r="AP2064" i="6"/>
  <c r="AV879" i="6"/>
  <c r="AU877" i="6"/>
  <c r="AU881" i="6"/>
  <c r="AT39" i="23"/>
  <c r="AU2451" i="6" s="1"/>
  <c r="AT32" i="22"/>
  <c r="AT32" i="21"/>
  <c r="AU2009" i="6" s="1"/>
  <c r="AT32" i="20"/>
  <c r="AT32" i="19"/>
  <c r="AU1559" i="6" s="1"/>
  <c r="AT37" i="17"/>
  <c r="AT32" i="18"/>
  <c r="AU1334" i="6" s="1"/>
  <c r="AT42" i="16"/>
  <c r="AU882" i="6" s="1"/>
  <c r="AT34" i="15"/>
  <c r="AU657" i="6" s="1"/>
  <c r="AT49" i="14"/>
  <c r="AT41" i="13"/>
  <c r="AU7" i="7"/>
  <c r="AU17" i="22"/>
  <c r="AU2228" i="6"/>
  <c r="D871" i="6"/>
  <c r="D870" i="6"/>
  <c r="AS26" i="5"/>
  <c r="AW2452" i="6"/>
  <c r="AX2447" i="6"/>
  <c r="AX14" i="5"/>
  <c r="AT2664" i="6"/>
  <c r="AT2665" i="6"/>
  <c r="AR937" i="6"/>
  <c r="AR938" i="6"/>
  <c r="AR1095" i="6" s="1"/>
  <c r="AO21" i="17"/>
  <c r="AO1106" i="6"/>
  <c r="AP19" i="5" s="1"/>
  <c r="AS14" i="13"/>
  <c r="AT237" i="6"/>
  <c r="AT7" i="6"/>
  <c r="AU9" i="6"/>
  <c r="AT12" i="6"/>
  <c r="AS413" i="6"/>
  <c r="AR635" i="6"/>
  <c r="AS23" i="5" s="1"/>
  <c r="AR419" i="6"/>
  <c r="AQ22" i="9"/>
  <c r="AS15" i="5"/>
  <c r="BI1539" i="6"/>
  <c r="BE1539" i="6"/>
  <c r="BA1539" i="6"/>
  <c r="AW1539" i="6"/>
  <c r="BG1487" i="6"/>
  <c r="BC1487" i="6"/>
  <c r="AY1487" i="6"/>
  <c r="AU1487" i="6"/>
  <c r="BF1435" i="6"/>
  <c r="BB1435" i="6"/>
  <c r="AX1435" i="6"/>
  <c r="AT1435" i="6"/>
  <c r="AT1391" i="6" s="1" a="1"/>
  <c r="AT1391" i="6" s="1"/>
  <c r="AR1381" i="6"/>
  <c r="BH1539" i="6"/>
  <c r="BD1539" i="6"/>
  <c r="AZ1539" i="6"/>
  <c r="AV1539" i="6"/>
  <c r="BF1487" i="6"/>
  <c r="BB1487" i="6"/>
  <c r="AX1487" i="6"/>
  <c r="AT1487" i="6"/>
  <c r="AT1443" i="6" s="1" a="1"/>
  <c r="AT1443" i="6" s="1"/>
  <c r="BE1435" i="6"/>
  <c r="BA1435" i="6"/>
  <c r="AW1435" i="6"/>
  <c r="AQ1381" i="6"/>
  <c r="AQ1337" i="6" s="1"/>
  <c r="BG1539" i="6"/>
  <c r="BC1539" i="6"/>
  <c r="AY1539" i="6"/>
  <c r="AU1539" i="6"/>
  <c r="BE1487" i="6"/>
  <c r="BA1487" i="6"/>
  <c r="AW1487" i="6"/>
  <c r="BH1435" i="6"/>
  <c r="BD1435" i="6"/>
  <c r="AZ1435" i="6"/>
  <c r="AV1435" i="6"/>
  <c r="BF1539" i="6"/>
  <c r="BB1539" i="6"/>
  <c r="AX1539" i="6"/>
  <c r="AT1539" i="6"/>
  <c r="AT1495" i="6" s="1"/>
  <c r="BH1487" i="6"/>
  <c r="BD1487" i="6"/>
  <c r="AZ1487" i="6"/>
  <c r="AV1487" i="6"/>
  <c r="BG1435" i="6"/>
  <c r="BC1435" i="6"/>
  <c r="AY1435" i="6"/>
  <c r="AU1435" i="6"/>
  <c r="AS1381" i="6"/>
  <c r="AU1336" i="6"/>
  <c r="AQ2832" i="6"/>
  <c r="AQ2833" i="6"/>
  <c r="E871" i="6"/>
  <c r="E870" i="6"/>
  <c r="AW38" i="15"/>
  <c r="AX40" i="15"/>
  <c r="AV36" i="22"/>
  <c r="AW38" i="22"/>
  <c r="BK2988" i="6"/>
  <c r="BG2988" i="6"/>
  <c r="BC2988" i="6"/>
  <c r="AY2988" i="6"/>
  <c r="AU2988" i="6"/>
  <c r="BJ2988" i="6"/>
  <c r="BF2988" i="6"/>
  <c r="BB2988" i="6"/>
  <c r="AX2988" i="6"/>
  <c r="AT2988" i="6"/>
  <c r="BI2988" i="6"/>
  <c r="BA2988" i="6"/>
  <c r="AS2988" i="6"/>
  <c r="BH2988" i="6"/>
  <c r="AZ2988" i="6"/>
  <c r="AR2988" i="6"/>
  <c r="AR2946" i="6" s="1"/>
  <c r="AR2839" i="6"/>
  <c r="BE2988" i="6"/>
  <c r="AW2988" i="6"/>
  <c r="AV2988" i="6"/>
  <c r="BL2988" i="6"/>
  <c r="AR2840" i="6"/>
  <c r="BD2988" i="6"/>
  <c r="AR2945" i="6"/>
  <c r="AR2998" i="6" s="1"/>
  <c r="AS27" i="5"/>
  <c r="AO24" i="17"/>
  <c r="AO1107" i="6"/>
  <c r="AP18" i="5" s="1"/>
  <c r="AU1554" i="6"/>
  <c r="AT17" i="20"/>
  <c r="AT1782" i="6"/>
  <c r="D22" i="5"/>
  <c r="D25" i="5" s="1"/>
  <c r="D43" i="5" s="1"/>
  <c r="AV2669" i="6" l="1"/>
  <c r="AP1839" i="6"/>
  <c r="AP1840" i="6"/>
  <c r="AP1997" i="6" s="1"/>
  <c r="AU1443" i="6" a="1"/>
  <c r="AU1443" i="6" s="1"/>
  <c r="AQ1389" i="6"/>
  <c r="AQ1390" i="6"/>
  <c r="AQ1547" i="6" s="1"/>
  <c r="AQ1614" i="6"/>
  <c r="AQ1615" i="6"/>
  <c r="AQ1772" i="6" s="1"/>
  <c r="AR3166" i="6"/>
  <c r="AR3167" i="6"/>
  <c r="AO476" i="6"/>
  <c r="AO475" i="6"/>
  <c r="AT2339" i="6" a="1"/>
  <c r="AT2339" i="6" s="1"/>
  <c r="AS236" i="6"/>
  <c r="AR1337" i="6"/>
  <c r="AT1841" i="6" a="1"/>
  <c r="AT1841" i="6" s="1"/>
  <c r="AP2285" i="6"/>
  <c r="AP2286" i="6"/>
  <c r="AP2443" i="6" s="1"/>
  <c r="AQ3000" i="6"/>
  <c r="AQ2999" i="6"/>
  <c r="AT2223" i="6"/>
  <c r="AW36" i="22"/>
  <c r="AX38" i="22"/>
  <c r="AU39" i="23"/>
  <c r="AV2451" i="6" s="1"/>
  <c r="AU32" i="22"/>
  <c r="AU32" i="20"/>
  <c r="AU32" i="21"/>
  <c r="AU32" i="18"/>
  <c r="AV1334" i="6" s="1"/>
  <c r="AU37" i="17"/>
  <c r="AU42" i="16"/>
  <c r="AU34" i="15"/>
  <c r="AU49" i="14"/>
  <c r="AU41" i="13"/>
  <c r="AV7" i="7"/>
  <c r="AU32" i="19"/>
  <c r="AU1110" i="6"/>
  <c r="AV1103" i="6"/>
  <c r="AU1109" i="6"/>
  <c r="AV9" i="5"/>
  <c r="AT3165" i="6"/>
  <c r="BL3157" i="6"/>
  <c r="BH3157" i="6"/>
  <c r="BD3157" i="6"/>
  <c r="AZ3157" i="6"/>
  <c r="AV3157" i="6"/>
  <c r="BK3157" i="6"/>
  <c r="BG3157" i="6"/>
  <c r="BC3157" i="6"/>
  <c r="AY3157" i="6"/>
  <c r="AU3157" i="6"/>
  <c r="AT3006" i="6"/>
  <c r="BI3157" i="6"/>
  <c r="BA3157" i="6"/>
  <c r="BN3157" i="6"/>
  <c r="BF3157" i="6"/>
  <c r="AX3157" i="6"/>
  <c r="AT3007" i="6"/>
  <c r="BM3157" i="6"/>
  <c r="BE3157" i="6"/>
  <c r="AW3157" i="6"/>
  <c r="AT3157" i="6"/>
  <c r="AT3113" i="6" s="1"/>
  <c r="BJ3157" i="6"/>
  <c r="BB3157" i="6"/>
  <c r="AT3112" i="6"/>
  <c r="AU17" i="21"/>
  <c r="AU2007" i="6"/>
  <c r="AV655" i="6"/>
  <c r="AW653" i="6"/>
  <c r="AW6" i="5"/>
  <c r="AV658" i="6"/>
  <c r="AV657" i="6"/>
  <c r="BD3103" i="6"/>
  <c r="AZ3103" i="6"/>
  <c r="AV3103" i="6"/>
  <c r="BG3051" i="6"/>
  <c r="BC3051" i="6"/>
  <c r="AY3051" i="6"/>
  <c r="AU3051" i="6"/>
  <c r="BG3103" i="6"/>
  <c r="BC3103" i="6"/>
  <c r="AY3103" i="6"/>
  <c r="AU3103" i="6"/>
  <c r="BF3051" i="6"/>
  <c r="BB3051" i="6"/>
  <c r="AX3051" i="6"/>
  <c r="AT3051" i="6"/>
  <c r="BE3103" i="6"/>
  <c r="AW3103" i="6"/>
  <c r="BD3051" i="6"/>
  <c r="AV3051" i="6"/>
  <c r="BB3103" i="6"/>
  <c r="AT3103" i="6"/>
  <c r="BA3051" i="6"/>
  <c r="AS3051" i="6"/>
  <c r="AS3008" i="6" s="1" a="1"/>
  <c r="AS3008" i="6" s="1"/>
  <c r="BA3103" i="6"/>
  <c r="AS3103" i="6"/>
  <c r="AS3060" i="6" s="1" a="1"/>
  <c r="AS3060" i="6" s="1"/>
  <c r="AZ3051" i="6"/>
  <c r="BF3103" i="6"/>
  <c r="BE3051" i="6"/>
  <c r="AX3103" i="6"/>
  <c r="AW3051" i="6"/>
  <c r="AU17" i="20"/>
  <c r="AU1782" i="6"/>
  <c r="AP24" i="17"/>
  <c r="AP1107" i="6"/>
  <c r="AQ18" i="5" s="1"/>
  <c r="AS635" i="6"/>
  <c r="AT23" i="5" s="1"/>
  <c r="AS419" i="6"/>
  <c r="AT413" i="6"/>
  <c r="AR22" i="9"/>
  <c r="AT15" i="5"/>
  <c r="AP21" i="17"/>
  <c r="AP1106" i="6"/>
  <c r="AQ19" i="5" s="1"/>
  <c r="AY39" i="20"/>
  <c r="AX36" i="20"/>
  <c r="BI1314" i="6"/>
  <c r="BE1314" i="6"/>
  <c r="BA1314" i="6"/>
  <c r="AW1314" i="6"/>
  <c r="BH1262" i="6"/>
  <c r="BD1262" i="6"/>
  <c r="AZ1262" i="6"/>
  <c r="AV1262" i="6"/>
  <c r="BE1210" i="6"/>
  <c r="BA1210" i="6"/>
  <c r="AW1210" i="6"/>
  <c r="AP1156" i="6"/>
  <c r="BH1314" i="6"/>
  <c r="BD1314" i="6"/>
  <c r="AZ1314" i="6"/>
  <c r="AV1314" i="6"/>
  <c r="BG1262" i="6"/>
  <c r="BC1262" i="6"/>
  <c r="AY1262" i="6"/>
  <c r="AU1262" i="6"/>
  <c r="BH1210" i="6"/>
  <c r="BD1210" i="6"/>
  <c r="AZ1210" i="6"/>
  <c r="AV1210" i="6"/>
  <c r="AS1156" i="6"/>
  <c r="AO1156" i="6"/>
  <c r="BG1314" i="6"/>
  <c r="BC1314" i="6"/>
  <c r="AY1314" i="6"/>
  <c r="AU1314" i="6"/>
  <c r="BF1262" i="6"/>
  <c r="BB1262" i="6"/>
  <c r="AX1262" i="6"/>
  <c r="AT1262" i="6"/>
  <c r="AT1218" i="6" s="1" a="1"/>
  <c r="AT1218" i="6" s="1"/>
  <c r="BG1210" i="6"/>
  <c r="BC1210" i="6"/>
  <c r="AY1210" i="6"/>
  <c r="AU1210" i="6"/>
  <c r="AR1156" i="6"/>
  <c r="AN1156" i="6"/>
  <c r="AN1112" i="6" s="1"/>
  <c r="AU1111" i="6"/>
  <c r="BF1314" i="6"/>
  <c r="BB1314" i="6"/>
  <c r="AX1314" i="6"/>
  <c r="AT1314" i="6"/>
  <c r="AT1270" i="6" s="1"/>
  <c r="BE1262" i="6"/>
  <c r="BA1262" i="6"/>
  <c r="AW1262" i="6"/>
  <c r="BF1210" i="6"/>
  <c r="BB1210" i="6"/>
  <c r="AX1210" i="6"/>
  <c r="AT1210" i="6"/>
  <c r="AT1166" i="6" s="1" a="1"/>
  <c r="AT1166" i="6" s="1"/>
  <c r="AQ1156" i="6"/>
  <c r="AT2835" i="6"/>
  <c r="AT92" i="9"/>
  <c r="AT66" i="9"/>
  <c r="AT64" i="9"/>
  <c r="AT61" i="9"/>
  <c r="AU3005" i="6" s="1"/>
  <c r="AT58" i="9"/>
  <c r="AT17" i="9"/>
  <c r="AT15" i="9" s="1"/>
  <c r="AU2671" i="6" s="1"/>
  <c r="AT16" i="9"/>
  <c r="AT8" i="9"/>
  <c r="AU2670" i="6" s="1"/>
  <c r="AT3" i="9"/>
  <c r="AT69" i="9"/>
  <c r="AU93" i="9"/>
  <c r="AT74" i="9"/>
  <c r="AT68" i="9"/>
  <c r="AU2837" i="6" s="1"/>
  <c r="AT65" i="9"/>
  <c r="AT63" i="9"/>
  <c r="AU2835" i="6" s="1"/>
  <c r="AT57" i="9"/>
  <c r="AU3002" i="6" s="1"/>
  <c r="AT4" i="9"/>
  <c r="AP19" i="17"/>
  <c r="AP1105" i="6"/>
  <c r="AV2229" i="6"/>
  <c r="AW2227" i="6"/>
  <c r="AW2006" i="6"/>
  <c r="AV2004" i="6"/>
  <c r="AV2008" i="6"/>
  <c r="AO46" i="5"/>
  <c r="AO44" i="5"/>
  <c r="AT59" i="12"/>
  <c r="AU248" i="6" s="1"/>
  <c r="AU60" i="12"/>
  <c r="AU246" i="6"/>
  <c r="AX3004" i="6"/>
  <c r="AX60" i="9"/>
  <c r="AM1164" i="6"/>
  <c r="AM1165" i="6"/>
  <c r="AM1322" i="6" s="1"/>
  <c r="AS937" i="6"/>
  <c r="AS938" i="6"/>
  <c r="AS1095" i="6" s="1"/>
  <c r="BA50" i="13"/>
  <c r="AU3003" i="6"/>
  <c r="AV3003" i="6" s="1"/>
  <c r="AS2444" i="6"/>
  <c r="BJ1540" i="6"/>
  <c r="BF1540" i="6"/>
  <c r="BB1540" i="6"/>
  <c r="AX1540" i="6"/>
  <c r="BI1488" i="6"/>
  <c r="BE1488" i="6"/>
  <c r="BA1488" i="6"/>
  <c r="AW1488" i="6"/>
  <c r="BH1436" i="6"/>
  <c r="BD1436" i="6"/>
  <c r="AZ1436" i="6"/>
  <c r="AV1436" i="6"/>
  <c r="AT1382" i="6"/>
  <c r="BI1540" i="6"/>
  <c r="BE1540" i="6"/>
  <c r="BA1540" i="6"/>
  <c r="AW1540" i="6"/>
  <c r="BH1488" i="6"/>
  <c r="BD1488" i="6"/>
  <c r="AZ1488" i="6"/>
  <c r="AV1488" i="6"/>
  <c r="BG1436" i="6"/>
  <c r="BC1436" i="6"/>
  <c r="AY1436" i="6"/>
  <c r="AU1436" i="6"/>
  <c r="AU1391" i="6" s="1" a="1"/>
  <c r="AU1391" i="6" s="1"/>
  <c r="AS1382" i="6"/>
  <c r="BH1540" i="6"/>
  <c r="BD1540" i="6"/>
  <c r="AZ1540" i="6"/>
  <c r="AV1540" i="6"/>
  <c r="BG1488" i="6"/>
  <c r="BC1488" i="6"/>
  <c r="AY1488" i="6"/>
  <c r="AU1488" i="6"/>
  <c r="BF1436" i="6"/>
  <c r="BB1436" i="6"/>
  <c r="AX1436" i="6"/>
  <c r="AR1382" i="6"/>
  <c r="AV1336" i="6"/>
  <c r="BG1540" i="6"/>
  <c r="BC1540" i="6"/>
  <c r="AY1540" i="6"/>
  <c r="AU1540" i="6"/>
  <c r="AU1495" i="6" s="1"/>
  <c r="BF1488" i="6"/>
  <c r="BB1488" i="6"/>
  <c r="AX1488" i="6"/>
  <c r="BI1436" i="6"/>
  <c r="BE1436" i="6"/>
  <c r="BA1436" i="6"/>
  <c r="AW1436" i="6"/>
  <c r="AU2506" i="6"/>
  <c r="AU2507" i="6"/>
  <c r="AT871" i="6"/>
  <c r="AV883" i="6"/>
  <c r="AV880" i="6"/>
  <c r="AW878" i="6"/>
  <c r="AV882" i="6"/>
  <c r="AW7" i="5"/>
  <c r="AX61" i="14"/>
  <c r="AX36" i="19"/>
  <c r="AY38" i="19"/>
  <c r="AU1785" i="6"/>
  <c r="AU1784" i="6"/>
  <c r="AV1780" i="6"/>
  <c r="AV12" i="5"/>
  <c r="BE624" i="6"/>
  <c r="BA624" i="6"/>
  <c r="AW624" i="6"/>
  <c r="AS624" i="6"/>
  <c r="AS581" i="6" s="1"/>
  <c r="BF572" i="6"/>
  <c r="BB572" i="6"/>
  <c r="AX572" i="6"/>
  <c r="AT572" i="6"/>
  <c r="BF520" i="6"/>
  <c r="BB520" i="6"/>
  <c r="AX520" i="6"/>
  <c r="AT520" i="6"/>
  <c r="AP466" i="6"/>
  <c r="AP423" i="6" s="1"/>
  <c r="AT422" i="6"/>
  <c r="BH624" i="6"/>
  <c r="BD624" i="6"/>
  <c r="AZ624" i="6"/>
  <c r="AV624" i="6"/>
  <c r="BE572" i="6"/>
  <c r="BA572" i="6"/>
  <c r="AW572" i="6"/>
  <c r="AS572" i="6"/>
  <c r="AS529" i="6" s="1" a="1"/>
  <c r="AS529" i="6" s="1"/>
  <c r="BE520" i="6"/>
  <c r="BA520" i="6"/>
  <c r="AW520" i="6"/>
  <c r="AS520" i="6"/>
  <c r="AS477" i="6" s="1" a="1"/>
  <c r="AS477" i="6" s="1"/>
  <c r="BF624" i="6"/>
  <c r="AX624" i="6"/>
  <c r="BC572" i="6"/>
  <c r="AU572" i="6"/>
  <c r="BG520" i="6"/>
  <c r="AY520" i="6"/>
  <c r="AQ466" i="6"/>
  <c r="BG624" i="6"/>
  <c r="BC624" i="6"/>
  <c r="AY624" i="6"/>
  <c r="AU624" i="6"/>
  <c r="BD572" i="6"/>
  <c r="AZ572" i="6"/>
  <c r="AV572" i="6"/>
  <c r="BD520" i="6"/>
  <c r="AZ520" i="6"/>
  <c r="AV520" i="6"/>
  <c r="AR466" i="6"/>
  <c r="BB624" i="6"/>
  <c r="AT624" i="6"/>
  <c r="BG572" i="6"/>
  <c r="AY572" i="6"/>
  <c r="BC520" i="6"/>
  <c r="AU520" i="6"/>
  <c r="AT414" i="6"/>
  <c r="AT420" i="6"/>
  <c r="AT415" i="6"/>
  <c r="AU4" i="5"/>
  <c r="AT421" i="6"/>
  <c r="AT417" i="6"/>
  <c r="AU412" i="6"/>
  <c r="AU5" i="5"/>
  <c r="AT418" i="6"/>
  <c r="AW20" i="9"/>
  <c r="AX20" i="9" s="1"/>
  <c r="AT14" i="13"/>
  <c r="AU7" i="6"/>
  <c r="AU237" i="6"/>
  <c r="AU12" i="6"/>
  <c r="AV9" i="6"/>
  <c r="BI2659" i="6"/>
  <c r="BE2659" i="6"/>
  <c r="BA2659" i="6"/>
  <c r="AW2659" i="6"/>
  <c r="AW2612" i="6" s="1"/>
  <c r="BI2607" i="6"/>
  <c r="BE2607" i="6"/>
  <c r="BA2607" i="6"/>
  <c r="AW2607" i="6"/>
  <c r="AW2560" i="6" s="1" a="1"/>
  <c r="AW2560" i="6" s="1"/>
  <c r="BH2555" i="6"/>
  <c r="BD2555" i="6"/>
  <c r="AZ2555" i="6"/>
  <c r="BH2659" i="6"/>
  <c r="BC2659" i="6"/>
  <c r="AX2659" i="6"/>
  <c r="BJ2607" i="6"/>
  <c r="BD2607" i="6"/>
  <c r="AY2607" i="6"/>
  <c r="BK2555" i="6"/>
  <c r="BF2555" i="6"/>
  <c r="BA2555" i="6"/>
  <c r="BL2659" i="6"/>
  <c r="BG2659" i="6"/>
  <c r="BB2659" i="6"/>
  <c r="BH2607" i="6"/>
  <c r="BC2607" i="6"/>
  <c r="AX2607" i="6"/>
  <c r="BJ2555" i="6"/>
  <c r="BE2555" i="6"/>
  <c r="AY2555" i="6"/>
  <c r="BK2659" i="6"/>
  <c r="BF2659" i="6"/>
  <c r="AZ2659" i="6"/>
  <c r="BG2607" i="6"/>
  <c r="BB2607" i="6"/>
  <c r="BI2555" i="6"/>
  <c r="BC2555" i="6"/>
  <c r="AX2555" i="6"/>
  <c r="BD2659" i="6"/>
  <c r="BB2555" i="6"/>
  <c r="AX2453" i="6"/>
  <c r="AY2659" i="6"/>
  <c r="BK2607" i="6"/>
  <c r="AW2555" i="6"/>
  <c r="AW2508" i="6" s="1" a="1"/>
  <c r="AW2508" i="6" s="1"/>
  <c r="BF2607" i="6"/>
  <c r="BJ2659" i="6"/>
  <c r="AZ2607" i="6"/>
  <c r="BG2555" i="6"/>
  <c r="AV2501" i="6"/>
  <c r="AV2454" i="6" s="1"/>
  <c r="AX21" i="5"/>
  <c r="BG2215" i="6"/>
  <c r="BC2215" i="6"/>
  <c r="AY2215" i="6"/>
  <c r="AU2215" i="6"/>
  <c r="AU2170" i="6" s="1"/>
  <c r="BF2163" i="6"/>
  <c r="BB2163" i="6"/>
  <c r="AX2163" i="6"/>
  <c r="BI2111" i="6"/>
  <c r="BE2111" i="6"/>
  <c r="BA2111" i="6"/>
  <c r="AW2111" i="6"/>
  <c r="BJ2215" i="6"/>
  <c r="BF2215" i="6"/>
  <c r="BB2215" i="6"/>
  <c r="AX2215" i="6"/>
  <c r="BI2163" i="6"/>
  <c r="BE2163" i="6"/>
  <c r="BA2163" i="6"/>
  <c r="AW2163" i="6"/>
  <c r="BH2111" i="6"/>
  <c r="BD2111" i="6"/>
  <c r="AZ2111" i="6"/>
  <c r="AV2111" i="6"/>
  <c r="AT2057" i="6"/>
  <c r="BI2215" i="6"/>
  <c r="BE2215" i="6"/>
  <c r="BA2215" i="6"/>
  <c r="AW2215" i="6"/>
  <c r="BH2163" i="6"/>
  <c r="BD2163" i="6"/>
  <c r="AZ2163" i="6"/>
  <c r="AV2163" i="6"/>
  <c r="BG2111" i="6"/>
  <c r="BC2111" i="6"/>
  <c r="AY2111" i="6"/>
  <c r="AU2111" i="6"/>
  <c r="AU2066" i="6" s="1" a="1"/>
  <c r="AU2066" i="6" s="1"/>
  <c r="AS2057" i="6"/>
  <c r="BH2215" i="6"/>
  <c r="BD2215" i="6"/>
  <c r="AZ2215" i="6"/>
  <c r="AV2215" i="6"/>
  <c r="BC2163" i="6"/>
  <c r="BB2111" i="6"/>
  <c r="AV2011" i="6"/>
  <c r="AY2163" i="6"/>
  <c r="AX2111" i="6"/>
  <c r="AU2163" i="6"/>
  <c r="AU2118" i="6" s="1" a="1"/>
  <c r="AU2118" i="6" s="1"/>
  <c r="AU2223" i="6" s="1"/>
  <c r="AR2057" i="6"/>
  <c r="AR2012" i="6" s="1"/>
  <c r="BG2163" i="6"/>
  <c r="BF2111" i="6"/>
  <c r="AV652" i="6"/>
  <c r="AV656" i="6"/>
  <c r="AW654" i="6"/>
  <c r="AZ59" i="14"/>
  <c r="AU1102" i="6"/>
  <c r="AV1104" i="6"/>
  <c r="AU1108" i="6"/>
  <c r="AV1335" i="6"/>
  <c r="AW1330" i="6"/>
  <c r="AW10" i="5"/>
  <c r="BE2935" i="6"/>
  <c r="BA2935" i="6"/>
  <c r="AW2935" i="6"/>
  <c r="AS2935" i="6"/>
  <c r="BD2883" i="6"/>
  <c r="AZ2883" i="6"/>
  <c r="AV2883" i="6"/>
  <c r="AR2883" i="6"/>
  <c r="AR2841" i="6" s="1" a="1"/>
  <c r="AR2841" i="6" s="1"/>
  <c r="BD2935" i="6"/>
  <c r="AY2935" i="6"/>
  <c r="AT2935" i="6"/>
  <c r="BC2883" i="6"/>
  <c r="AX2883" i="6"/>
  <c r="AS2883" i="6"/>
  <c r="BC2935" i="6"/>
  <c r="AX2935" i="6"/>
  <c r="AR2935" i="6"/>
  <c r="AR2893" i="6" s="1" a="1"/>
  <c r="AR2893" i="6" s="1"/>
  <c r="BB2883" i="6"/>
  <c r="AW2883" i="6"/>
  <c r="BB2935" i="6"/>
  <c r="AV2935" i="6"/>
  <c r="BF2935" i="6"/>
  <c r="AY2883" i="6"/>
  <c r="AZ2935" i="6"/>
  <c r="BF2883" i="6"/>
  <c r="AU2883" i="6"/>
  <c r="AU2935" i="6"/>
  <c r="BE2883" i="6"/>
  <c r="AT2883" i="6"/>
  <c r="BA2883" i="6"/>
  <c r="AV877" i="6"/>
  <c r="AV881" i="6"/>
  <c r="AW879" i="6"/>
  <c r="BN346" i="6"/>
  <c r="BJ346" i="6"/>
  <c r="BF346" i="6"/>
  <c r="BB346" i="6"/>
  <c r="AX346" i="6"/>
  <c r="AT346" i="6"/>
  <c r="BO294" i="6"/>
  <c r="BK294" i="6"/>
  <c r="BG294" i="6"/>
  <c r="BC294" i="6"/>
  <c r="AY294" i="6"/>
  <c r="AU294" i="6"/>
  <c r="BO346" i="6"/>
  <c r="BC346" i="6"/>
  <c r="BP294" i="6"/>
  <c r="BD294" i="6"/>
  <c r="BQ346" i="6"/>
  <c r="BM346" i="6"/>
  <c r="BI346" i="6"/>
  <c r="BE346" i="6"/>
  <c r="BA346" i="6"/>
  <c r="AW346" i="6"/>
  <c r="AS346" i="6"/>
  <c r="AS303" i="6" s="1" a="1"/>
  <c r="AS303" i="6" s="1"/>
  <c r="BN294" i="6"/>
  <c r="BJ294" i="6"/>
  <c r="BF294" i="6"/>
  <c r="BB294" i="6"/>
  <c r="AX294" i="6"/>
  <c r="AT294" i="6"/>
  <c r="BK346" i="6"/>
  <c r="AU346" i="6"/>
  <c r="BL294" i="6"/>
  <c r="AV294" i="6"/>
  <c r="BP346" i="6"/>
  <c r="BL346" i="6"/>
  <c r="BH346" i="6"/>
  <c r="BD346" i="6"/>
  <c r="AZ346" i="6"/>
  <c r="AV346" i="6"/>
  <c r="BQ294" i="6"/>
  <c r="BM294" i="6"/>
  <c r="BI294" i="6"/>
  <c r="BE294" i="6"/>
  <c r="BA294" i="6"/>
  <c r="AW294" i="6"/>
  <c r="AS294" i="6"/>
  <c r="AS251" i="6" s="1" a="1"/>
  <c r="AS251" i="6" s="1"/>
  <c r="AS409" i="6" s="1"/>
  <c r="BG346" i="6"/>
  <c r="AY346" i="6"/>
  <c r="BH294" i="6"/>
  <c r="AZ294" i="6"/>
  <c r="AV17" i="19"/>
  <c r="AV1557" i="6"/>
  <c r="AS1998" i="6"/>
  <c r="BL400" i="6"/>
  <c r="BH400" i="6"/>
  <c r="BD400" i="6"/>
  <c r="AZ400" i="6"/>
  <c r="AV400" i="6"/>
  <c r="BK400" i="6"/>
  <c r="BG400" i="6"/>
  <c r="BC400" i="6"/>
  <c r="AY400" i="6"/>
  <c r="AU400" i="6"/>
  <c r="AT249" i="6"/>
  <c r="AU29" i="5"/>
  <c r="BI400" i="6"/>
  <c r="BA400" i="6"/>
  <c r="BN400" i="6"/>
  <c r="BJ400" i="6"/>
  <c r="BF400" i="6"/>
  <c r="BB400" i="6"/>
  <c r="AX400" i="6"/>
  <c r="AT400" i="6"/>
  <c r="AT356" i="6" s="1"/>
  <c r="AT250" i="6"/>
  <c r="BM400" i="6"/>
  <c r="BE400" i="6"/>
  <c r="AW400" i="6"/>
  <c r="AT355" i="6"/>
  <c r="AV2450" i="6"/>
  <c r="AW2448" i="6"/>
  <c r="AV2449" i="6"/>
  <c r="AW16" i="5"/>
  <c r="AU1779" i="6"/>
  <c r="AU1783" i="6"/>
  <c r="AV1781" i="6"/>
  <c r="AZ863" i="6"/>
  <c r="AV863" i="6"/>
  <c r="BI811" i="6"/>
  <c r="BE811" i="6"/>
  <c r="BA811" i="6"/>
  <c r="AW811" i="6"/>
  <c r="BF759" i="6"/>
  <c r="BB759" i="6"/>
  <c r="AX759" i="6"/>
  <c r="AY863" i="6"/>
  <c r="AU863" i="6"/>
  <c r="AU818" i="6" s="1"/>
  <c r="BH811" i="6"/>
  <c r="BD811" i="6"/>
  <c r="AZ811" i="6"/>
  <c r="AV811" i="6"/>
  <c r="BI759" i="6"/>
  <c r="BE759" i="6"/>
  <c r="BA759" i="6"/>
  <c r="AW759" i="6"/>
  <c r="AX863" i="6"/>
  <c r="BG811" i="6"/>
  <c r="BC811" i="6"/>
  <c r="AY811" i="6"/>
  <c r="AU811" i="6"/>
  <c r="AU766" i="6" s="1" a="1"/>
  <c r="AU766" i="6" s="1"/>
  <c r="AU871" i="6" s="1"/>
  <c r="BH759" i="6"/>
  <c r="BD759" i="6"/>
  <c r="AZ759" i="6"/>
  <c r="AV759" i="6"/>
  <c r="AT705" i="6"/>
  <c r="AV659" i="6"/>
  <c r="AW863" i="6"/>
  <c r="BF811" i="6"/>
  <c r="BB811" i="6"/>
  <c r="AX811" i="6"/>
  <c r="BG759" i="6"/>
  <c r="BC759" i="6"/>
  <c r="AY759" i="6"/>
  <c r="AU759" i="6"/>
  <c r="AU714" i="6" s="1" a="1"/>
  <c r="AU714" i="6" s="1"/>
  <c r="AS705" i="6"/>
  <c r="AS660" i="6" s="1"/>
  <c r="AT1548" i="6"/>
  <c r="AV1559" i="6"/>
  <c r="AV1560" i="6"/>
  <c r="AW1555" i="6"/>
  <c r="AW11" i="5"/>
  <c r="AV2226" i="6"/>
  <c r="AU2230" i="6"/>
  <c r="AU2231" i="6"/>
  <c r="AV13" i="5"/>
  <c r="AR3170" i="6"/>
  <c r="AR36" i="11"/>
  <c r="AU17" i="18"/>
  <c r="AU1332" i="6"/>
  <c r="AU1548" i="6" s="1"/>
  <c r="BI1989" i="6"/>
  <c r="BE1989" i="6"/>
  <c r="BA1989" i="6"/>
  <c r="AW1989" i="6"/>
  <c r="BG1937" i="6"/>
  <c r="BC1937" i="6"/>
  <c r="AY1937" i="6"/>
  <c r="AU1937" i="6"/>
  <c r="BF1885" i="6"/>
  <c r="BB1885" i="6"/>
  <c r="AX1885" i="6"/>
  <c r="AT1885" i="6"/>
  <c r="BH1989" i="6"/>
  <c r="BD1989" i="6"/>
  <c r="AZ1989" i="6"/>
  <c r="AV1989" i="6"/>
  <c r="BF1937" i="6"/>
  <c r="BB1937" i="6"/>
  <c r="AX1937" i="6"/>
  <c r="AT1937" i="6"/>
  <c r="AT1893" i="6" s="1" a="1"/>
  <c r="AT1893" i="6" s="1"/>
  <c r="BE1885" i="6"/>
  <c r="BA1885" i="6"/>
  <c r="AW1885" i="6"/>
  <c r="AQ1831" i="6"/>
  <c r="AQ1787" i="6" s="1"/>
  <c r="BG1989" i="6"/>
  <c r="BC1989" i="6"/>
  <c r="AY1989" i="6"/>
  <c r="AU1989" i="6"/>
  <c r="BE1937" i="6"/>
  <c r="BA1937" i="6"/>
  <c r="AW1937" i="6"/>
  <c r="BH1885" i="6"/>
  <c r="BD1885" i="6"/>
  <c r="AZ1885" i="6"/>
  <c r="AV1885" i="6"/>
  <c r="AX1989" i="6"/>
  <c r="BH1937" i="6"/>
  <c r="BG1885" i="6"/>
  <c r="AR1831" i="6"/>
  <c r="AT1989" i="6"/>
  <c r="AT1945" i="6" s="1"/>
  <c r="BD1937" i="6"/>
  <c r="BC1885" i="6"/>
  <c r="AU1786" i="6"/>
  <c r="BF1989" i="6"/>
  <c r="AZ1937" i="6"/>
  <c r="AY1885" i="6"/>
  <c r="BB1989" i="6"/>
  <c r="AV1937" i="6"/>
  <c r="AU1885" i="6"/>
  <c r="AS1831" i="6"/>
  <c r="AT35" i="5"/>
  <c r="AS416" i="6"/>
  <c r="AP17" i="5"/>
  <c r="AP24" i="5" s="1"/>
  <c r="AP42" i="5" s="1"/>
  <c r="AO1323" i="6"/>
  <c r="BN227" i="6"/>
  <c r="BJ227" i="6"/>
  <c r="BF227" i="6"/>
  <c r="BB227" i="6"/>
  <c r="AX227" i="6"/>
  <c r="AT227" i="6"/>
  <c r="AT183" i="6" s="1"/>
  <c r="BE175" i="6"/>
  <c r="BA175" i="6"/>
  <c r="AW175" i="6"/>
  <c r="BH123" i="6"/>
  <c r="BD123" i="6"/>
  <c r="AZ123" i="6"/>
  <c r="AV123" i="6"/>
  <c r="AQ60" i="6"/>
  <c r="AU10" i="6"/>
  <c r="AU20" i="5"/>
  <c r="BC227" i="6"/>
  <c r="BF175" i="6"/>
  <c r="AT175" i="6"/>
  <c r="AT131" i="6" s="1" a="1"/>
  <c r="AT131" i="6" s="1"/>
  <c r="BM227" i="6"/>
  <c r="BI227" i="6"/>
  <c r="BE227" i="6"/>
  <c r="BA227" i="6"/>
  <c r="AW227" i="6"/>
  <c r="BH175" i="6"/>
  <c r="BD175" i="6"/>
  <c r="AZ175" i="6"/>
  <c r="AV175" i="6"/>
  <c r="BG123" i="6"/>
  <c r="BC123" i="6"/>
  <c r="AY123" i="6"/>
  <c r="AU123" i="6"/>
  <c r="AP60" i="6"/>
  <c r="AU11" i="6"/>
  <c r="BK227" i="6"/>
  <c r="AY227" i="6"/>
  <c r="BB175" i="6"/>
  <c r="BE123" i="6"/>
  <c r="BA123" i="6"/>
  <c r="AW123" i="6"/>
  <c r="BL227" i="6"/>
  <c r="BH227" i="6"/>
  <c r="BD227" i="6"/>
  <c r="AZ227" i="6"/>
  <c r="AV227" i="6"/>
  <c r="BG175" i="6"/>
  <c r="BC175" i="6"/>
  <c r="AY175" i="6"/>
  <c r="AU175" i="6"/>
  <c r="BF123" i="6"/>
  <c r="BB123" i="6"/>
  <c r="AX123" i="6"/>
  <c r="AT123" i="6"/>
  <c r="AT79" i="6" s="1" a="1"/>
  <c r="AT79" i="6" s="1"/>
  <c r="AS60" i="6"/>
  <c r="AO60" i="6"/>
  <c r="BG227" i="6"/>
  <c r="AU227" i="6"/>
  <c r="AX175" i="6"/>
  <c r="AR60" i="6"/>
  <c r="AN60" i="6"/>
  <c r="AN16" i="6" s="1"/>
  <c r="AU15" i="6"/>
  <c r="AX38" i="15"/>
  <c r="AY40" i="15"/>
  <c r="AS72" i="9"/>
  <c r="AS71" i="9"/>
  <c r="AT2838" i="6"/>
  <c r="BN2823" i="6"/>
  <c r="BJ2823" i="6"/>
  <c r="BF2823" i="6"/>
  <c r="BB2823" i="6"/>
  <c r="AX2823" i="6"/>
  <c r="AT2823" i="6"/>
  <c r="AT2779" i="6" s="1"/>
  <c r="AT2673" i="6"/>
  <c r="BI2823" i="6"/>
  <c r="BD2823" i="6"/>
  <c r="AY2823" i="6"/>
  <c r="BM2823" i="6"/>
  <c r="BH2823" i="6"/>
  <c r="BC2823" i="6"/>
  <c r="AW2823" i="6"/>
  <c r="BE2823" i="6"/>
  <c r="AU2823" i="6"/>
  <c r="BL2823" i="6"/>
  <c r="BA2823" i="6"/>
  <c r="BK2823" i="6"/>
  <c r="AZ2823" i="6"/>
  <c r="BG2823" i="6"/>
  <c r="AV2823" i="6"/>
  <c r="AT2672" i="6"/>
  <c r="AT2778" i="6"/>
  <c r="AY46" i="16"/>
  <c r="AZ48" i="16"/>
  <c r="D45" i="5"/>
  <c r="D47" i="5"/>
  <c r="AR634" i="6"/>
  <c r="AR633" i="6"/>
  <c r="AX2452" i="6"/>
  <c r="AY2447" i="6"/>
  <c r="AY14" i="5"/>
  <c r="AV17" i="22"/>
  <c r="AV2228" i="6"/>
  <c r="AR713" i="6"/>
  <c r="AR870" i="6" s="1"/>
  <c r="AR712" i="6"/>
  <c r="AT2668" i="6"/>
  <c r="AW56" i="17"/>
  <c r="AV44" i="17"/>
  <c r="AV2009" i="6"/>
  <c r="AV2010" i="6"/>
  <c r="AW2005" i="6"/>
  <c r="AW39" i="18"/>
  <c r="AV36" i="18"/>
  <c r="AU38" i="23"/>
  <c r="AU31" i="22"/>
  <c r="AU31" i="21"/>
  <c r="AU31" i="19"/>
  <c r="AU31" i="20"/>
  <c r="AU31" i="18"/>
  <c r="AU36" i="17"/>
  <c r="AU41" i="16"/>
  <c r="AU33" i="15"/>
  <c r="AU48" i="14"/>
  <c r="AV6" i="7"/>
  <c r="AU40" i="13"/>
  <c r="AW408" i="6"/>
  <c r="AW247" i="6"/>
  <c r="AW244" i="6"/>
  <c r="AX28" i="5" s="1"/>
  <c r="AW245" i="6"/>
  <c r="AW67" i="12"/>
  <c r="AV66" i="14"/>
  <c r="AU57" i="14"/>
  <c r="AU56" i="14" s="1"/>
  <c r="AU14" i="6"/>
  <c r="AV8" i="6"/>
  <c r="AV2" i="5"/>
  <c r="AU13" i="6"/>
  <c r="AV3" i="5"/>
  <c r="AZ46" i="17"/>
  <c r="AU2664" i="6"/>
  <c r="AU2665" i="6"/>
  <c r="AW70" i="13"/>
  <c r="AV48" i="13"/>
  <c r="AS2833" i="6"/>
  <c r="AS2832" i="6"/>
  <c r="AM45" i="5"/>
  <c r="AM47" i="5"/>
  <c r="AY126" i="14"/>
  <c r="AZ128" i="14"/>
  <c r="AV1329" i="6"/>
  <c r="AV1333" i="6"/>
  <c r="AW1331" i="6"/>
  <c r="AX36" i="21"/>
  <c r="AY38" i="21"/>
  <c r="AW1554" i="6"/>
  <c r="AW1558" i="6"/>
  <c r="AX1556" i="6"/>
  <c r="AM78" i="6"/>
  <c r="AM235" i="6" s="1"/>
  <c r="AN22" i="5"/>
  <c r="AN25" i="5" s="1"/>
  <c r="AN43" i="5" s="1"/>
  <c r="AM77" i="6"/>
  <c r="AX1088" i="6"/>
  <c r="BG1036" i="6"/>
  <c r="BC1036" i="6"/>
  <c r="AY1036" i="6"/>
  <c r="AU1036" i="6"/>
  <c r="AU991" i="6" s="1" a="1"/>
  <c r="AU991" i="6" s="1"/>
  <c r="BH984" i="6"/>
  <c r="BD984" i="6"/>
  <c r="AZ984" i="6"/>
  <c r="AV984" i="6"/>
  <c r="AW1088" i="6"/>
  <c r="BF1036" i="6"/>
  <c r="BB1036" i="6"/>
  <c r="AX1036" i="6"/>
  <c r="AZ1088" i="6"/>
  <c r="AV1088" i="6"/>
  <c r="BI1036" i="6"/>
  <c r="BE1036" i="6"/>
  <c r="BA1036" i="6"/>
  <c r="AW1036" i="6"/>
  <c r="BF984" i="6"/>
  <c r="BB984" i="6"/>
  <c r="AX984" i="6"/>
  <c r="AY1088" i="6"/>
  <c r="AU1088" i="6"/>
  <c r="AU1043" i="6" s="1"/>
  <c r="AU1096" i="6" s="1"/>
  <c r="AV1036" i="6"/>
  <c r="BG984" i="6"/>
  <c r="AY984" i="6"/>
  <c r="BH1036" i="6"/>
  <c r="BE984" i="6"/>
  <c r="AW984" i="6"/>
  <c r="AT930" i="6"/>
  <c r="AT885" i="6" s="1"/>
  <c r="BD1036" i="6"/>
  <c r="BC984" i="6"/>
  <c r="AU984" i="6"/>
  <c r="AU939" i="6" s="1" a="1"/>
  <c r="AU939" i="6" s="1"/>
  <c r="AV884" i="6"/>
  <c r="AZ1036" i="6"/>
  <c r="BI984" i="6"/>
  <c r="BA984" i="6"/>
  <c r="BH1765" i="6"/>
  <c r="BD1765" i="6"/>
  <c r="AZ1765" i="6"/>
  <c r="AV1765" i="6"/>
  <c r="BG1713" i="6"/>
  <c r="BC1713" i="6"/>
  <c r="AY1713" i="6"/>
  <c r="AU1713" i="6"/>
  <c r="AU1668" i="6" s="1" a="1"/>
  <c r="AU1668" i="6" s="1"/>
  <c r="BF1661" i="6"/>
  <c r="BB1661" i="6"/>
  <c r="AX1661" i="6"/>
  <c r="BI1765" i="6"/>
  <c r="BC1765" i="6"/>
  <c r="AX1765" i="6"/>
  <c r="BI1713" i="6"/>
  <c r="BD1713" i="6"/>
  <c r="AX1713" i="6"/>
  <c r="BH1661" i="6"/>
  <c r="BC1661" i="6"/>
  <c r="AW1661" i="6"/>
  <c r="BG1765" i="6"/>
  <c r="BB1765" i="6"/>
  <c r="AW1765" i="6"/>
  <c r="BH1713" i="6"/>
  <c r="BB1713" i="6"/>
  <c r="AW1713" i="6"/>
  <c r="BG1661" i="6"/>
  <c r="BA1661" i="6"/>
  <c r="AV1661" i="6"/>
  <c r="AT1607" i="6"/>
  <c r="BF1765" i="6"/>
  <c r="BA1765" i="6"/>
  <c r="AU1765" i="6"/>
  <c r="AU1720" i="6" s="1"/>
  <c r="AU1773" i="6" s="1"/>
  <c r="BF1713" i="6"/>
  <c r="BA1713" i="6"/>
  <c r="AV1713" i="6"/>
  <c r="BE1661" i="6"/>
  <c r="AZ1661" i="6"/>
  <c r="AU1661" i="6"/>
  <c r="AU1616" i="6" s="1" a="1"/>
  <c r="AU1616" i="6" s="1"/>
  <c r="AS1607" i="6"/>
  <c r="BJ1765" i="6"/>
  <c r="BE1765" i="6"/>
  <c r="AY1765" i="6"/>
  <c r="BE1713" i="6"/>
  <c r="AZ1713" i="6"/>
  <c r="BI1661" i="6"/>
  <c r="BD1661" i="6"/>
  <c r="AY1661" i="6"/>
  <c r="AR1607" i="6"/>
  <c r="AR1562" i="6" s="1"/>
  <c r="AV1561" i="6"/>
  <c r="BG2435" i="6"/>
  <c r="BC2435" i="6"/>
  <c r="AY2435" i="6"/>
  <c r="AU2435" i="6"/>
  <c r="BM2383" i="6"/>
  <c r="BI2383" i="6"/>
  <c r="BE2383" i="6"/>
  <c r="BA2383" i="6"/>
  <c r="AW2383" i="6"/>
  <c r="BM2331" i="6"/>
  <c r="BI2331" i="6"/>
  <c r="BE2331" i="6"/>
  <c r="BA2331" i="6"/>
  <c r="AW2331" i="6"/>
  <c r="BF2435" i="6"/>
  <c r="BB2435" i="6"/>
  <c r="AX2435" i="6"/>
  <c r="AT2435" i="6"/>
  <c r="AT2391" i="6" s="1"/>
  <c r="BP2383" i="6"/>
  <c r="BL2383" i="6"/>
  <c r="BH2383" i="6"/>
  <c r="BD2383" i="6"/>
  <c r="AZ2383" i="6"/>
  <c r="AV2383" i="6"/>
  <c r="BL2331" i="6"/>
  <c r="BH2331" i="6"/>
  <c r="BD2331" i="6"/>
  <c r="AZ2331" i="6"/>
  <c r="AV2331" i="6"/>
  <c r="AS2277" i="6"/>
  <c r="AU2232" i="6"/>
  <c r="BI2435" i="6"/>
  <c r="BE2435" i="6"/>
  <c r="BA2435" i="6"/>
  <c r="AW2435" i="6"/>
  <c r="BO2383" i="6"/>
  <c r="BK2383" i="6"/>
  <c r="BG2383" i="6"/>
  <c r="BC2383" i="6"/>
  <c r="AY2383" i="6"/>
  <c r="AU2383" i="6"/>
  <c r="BO2331" i="6"/>
  <c r="BK2331" i="6"/>
  <c r="BG2331" i="6"/>
  <c r="BC2331" i="6"/>
  <c r="AY2331" i="6"/>
  <c r="AU2331" i="6"/>
  <c r="AR2277" i="6"/>
  <c r="BH2435" i="6"/>
  <c r="BD2435" i="6"/>
  <c r="AZ2435" i="6"/>
  <c r="AV2435" i="6"/>
  <c r="BN2383" i="6"/>
  <c r="BJ2383" i="6"/>
  <c r="BF2383" i="6"/>
  <c r="BB2383" i="6"/>
  <c r="AX2383" i="6"/>
  <c r="AT2383" i="6"/>
  <c r="BN2331" i="6"/>
  <c r="BJ2331" i="6"/>
  <c r="BF2331" i="6"/>
  <c r="BB2331" i="6"/>
  <c r="AX2331" i="6"/>
  <c r="AT2331" i="6"/>
  <c r="AT2287" i="6" s="1" a="1"/>
  <c r="AT2287" i="6" s="1"/>
  <c r="AQ2277" i="6"/>
  <c r="AQ2233" i="6" s="1"/>
  <c r="AQ2064" i="6"/>
  <c r="AQ2065" i="6"/>
  <c r="AQ2222" i="6" s="1"/>
  <c r="AT1096" i="6"/>
  <c r="AS44" i="8"/>
  <c r="AT24" i="8"/>
  <c r="AS414" i="6"/>
  <c r="AT1773" i="6"/>
  <c r="BK2989" i="6"/>
  <c r="BG2989" i="6"/>
  <c r="BC2989" i="6"/>
  <c r="AY2989" i="6"/>
  <c r="AU2989" i="6"/>
  <c r="BJ2989" i="6"/>
  <c r="BF2989" i="6"/>
  <c r="BB2989" i="6"/>
  <c r="AX2989" i="6"/>
  <c r="AT2989" i="6"/>
  <c r="BM2989" i="6"/>
  <c r="BE2989" i="6"/>
  <c r="AW2989" i="6"/>
  <c r="AS2839" i="6"/>
  <c r="BL2989" i="6"/>
  <c r="BD2989" i="6"/>
  <c r="AV2989" i="6"/>
  <c r="BI2989" i="6"/>
  <c r="BA2989" i="6"/>
  <c r="AS2989" i="6"/>
  <c r="AS2946" i="6" s="1"/>
  <c r="BH2989" i="6"/>
  <c r="AZ2989" i="6"/>
  <c r="AS2840" i="6"/>
  <c r="AS2945" i="6"/>
  <c r="AS2998" i="6" s="1"/>
  <c r="AT27" i="5"/>
  <c r="BA38" i="18"/>
  <c r="AR42" i="8"/>
  <c r="AS644" i="6" s="1"/>
  <c r="AR41" i="8"/>
  <c r="AS642" i="6" s="1"/>
  <c r="AR43" i="8"/>
  <c r="AS643" i="6" s="1"/>
  <c r="AS641" i="6"/>
  <c r="AT33" i="5" s="1"/>
  <c r="AR3000" i="6" l="1"/>
  <c r="AR2999" i="6"/>
  <c r="AV1668" i="6" a="1"/>
  <c r="AV1668" i="6" s="1"/>
  <c r="AT236" i="6"/>
  <c r="AP476" i="6"/>
  <c r="AP475" i="6"/>
  <c r="AS3166" i="6"/>
  <c r="AS3167" i="6"/>
  <c r="AS712" i="6"/>
  <c r="AS713" i="6"/>
  <c r="AS870" i="6" s="1"/>
  <c r="AQ2286" i="6"/>
  <c r="AQ2443" i="6" s="1"/>
  <c r="AQ2285" i="6"/>
  <c r="AQ1839" i="6"/>
  <c r="AQ1840" i="6"/>
  <c r="AQ1997" i="6" s="1"/>
  <c r="AT1998" i="6"/>
  <c r="AV714" i="6" a="1"/>
  <c r="AV714" i="6" s="1"/>
  <c r="AT477" i="6" a="1"/>
  <c r="AT477" i="6" s="1"/>
  <c r="AU1218" i="6" a="1"/>
  <c r="AU1218" i="6" s="1"/>
  <c r="BA46" i="17"/>
  <c r="AZ46" i="16"/>
  <c r="BA48" i="16"/>
  <c r="BA46" i="16" s="1"/>
  <c r="BH2770" i="6"/>
  <c r="BD2770" i="6"/>
  <c r="AZ2770" i="6"/>
  <c r="AV2770" i="6"/>
  <c r="BG2718" i="6"/>
  <c r="BC2718" i="6"/>
  <c r="AY2718" i="6"/>
  <c r="AU2718" i="6"/>
  <c r="BC2770" i="6"/>
  <c r="AX2770" i="6"/>
  <c r="BH2718" i="6"/>
  <c r="BB2718" i="6"/>
  <c r="AW2718" i="6"/>
  <c r="BG2770" i="6"/>
  <c r="BB2770" i="6"/>
  <c r="AW2770" i="6"/>
  <c r="BF2718" i="6"/>
  <c r="BA2718" i="6"/>
  <c r="AV2718" i="6"/>
  <c r="BF2770" i="6"/>
  <c r="BA2770" i="6"/>
  <c r="AU2770" i="6"/>
  <c r="BE2718" i="6"/>
  <c r="AZ2718" i="6"/>
  <c r="AT2718" i="6"/>
  <c r="AT2674" i="6" s="1" a="1"/>
  <c r="AT2674" i="6" s="1"/>
  <c r="AY2770" i="6"/>
  <c r="AX2718" i="6"/>
  <c r="AT2770" i="6"/>
  <c r="AT2726" i="6" s="1" a="1"/>
  <c r="AT2726" i="6" s="1"/>
  <c r="BE2770" i="6"/>
  <c r="BD2718" i="6"/>
  <c r="BK2990" i="6"/>
  <c r="BG2990" i="6"/>
  <c r="BC2990" i="6"/>
  <c r="AY2990" i="6"/>
  <c r="AU2990" i="6"/>
  <c r="AT2839" i="6"/>
  <c r="BN2990" i="6"/>
  <c r="BJ2990" i="6"/>
  <c r="BF2990" i="6"/>
  <c r="BB2990" i="6"/>
  <c r="AX2990" i="6"/>
  <c r="AT2990" i="6"/>
  <c r="AT2946" i="6" s="1"/>
  <c r="BI2990" i="6"/>
  <c r="BA2990" i="6"/>
  <c r="BH2990" i="6"/>
  <c r="AZ2990" i="6"/>
  <c r="AT2840" i="6"/>
  <c r="BM2990" i="6"/>
  <c r="BE2990" i="6"/>
  <c r="AW2990" i="6"/>
  <c r="BL2990" i="6"/>
  <c r="BD2990" i="6"/>
  <c r="AV2990" i="6"/>
  <c r="AT2945" i="6"/>
  <c r="AP44" i="5"/>
  <c r="AP46" i="5"/>
  <c r="AX2448" i="6"/>
  <c r="AW2450" i="6"/>
  <c r="AW2449" i="6"/>
  <c r="AX16" i="5"/>
  <c r="AW17" i="19"/>
  <c r="AW1557" i="6"/>
  <c r="AX2227" i="6"/>
  <c r="AW2229" i="6"/>
  <c r="AP1323" i="6"/>
  <c r="AQ17" i="5"/>
  <c r="AQ24" i="5" s="1"/>
  <c r="AQ42" i="5" s="1"/>
  <c r="AZ126" i="14"/>
  <c r="BA128" i="14"/>
  <c r="BA126" i="14" s="1"/>
  <c r="AU2836" i="6"/>
  <c r="AV2836" i="6" s="1"/>
  <c r="BA1089" i="6"/>
  <c r="AW1089" i="6"/>
  <c r="BI1037" i="6"/>
  <c r="BE1037" i="6"/>
  <c r="BA1037" i="6"/>
  <c r="AW1037" i="6"/>
  <c r="BJ985" i="6"/>
  <c r="BF985" i="6"/>
  <c r="BB985" i="6"/>
  <c r="AX985" i="6"/>
  <c r="AZ1089" i="6"/>
  <c r="AV1089" i="6"/>
  <c r="AV1043" i="6" s="1"/>
  <c r="BH1037" i="6"/>
  <c r="BD1037" i="6"/>
  <c r="AZ1037" i="6"/>
  <c r="AV1037" i="6"/>
  <c r="AV991" i="6" s="1" a="1"/>
  <c r="AV991" i="6" s="1"/>
  <c r="AY1089" i="6"/>
  <c r="BG1037" i="6"/>
  <c r="BC1037" i="6"/>
  <c r="AY1037" i="6"/>
  <c r="BH985" i="6"/>
  <c r="BD985" i="6"/>
  <c r="AZ985" i="6"/>
  <c r="AV985" i="6"/>
  <c r="AV939" i="6" s="1" a="1"/>
  <c r="AV939" i="6" s="1"/>
  <c r="AX1089" i="6"/>
  <c r="AX1037" i="6"/>
  <c r="BI985" i="6"/>
  <c r="BA985" i="6"/>
  <c r="AU931" i="6"/>
  <c r="AU885" i="6" s="1"/>
  <c r="BJ1037" i="6"/>
  <c r="BG985" i="6"/>
  <c r="AY985" i="6"/>
  <c r="AW884" i="6"/>
  <c r="BF1037" i="6"/>
  <c r="BE985" i="6"/>
  <c r="AW985" i="6"/>
  <c r="BB1037" i="6"/>
  <c r="BC985" i="6"/>
  <c r="AU69" i="9"/>
  <c r="AV93" i="9"/>
  <c r="AU74" i="9"/>
  <c r="AU68" i="9"/>
  <c r="AV2837" i="6" s="1"/>
  <c r="AU65" i="9"/>
  <c r="AU63" i="9"/>
  <c r="AU57" i="9"/>
  <c r="AU4" i="9"/>
  <c r="AU17" i="9"/>
  <c r="AU15" i="9" s="1"/>
  <c r="AV2671" i="6" s="1"/>
  <c r="AU8" i="9"/>
  <c r="AV2670" i="6" s="1"/>
  <c r="AW2669" i="6" s="1"/>
  <c r="AU3" i="9"/>
  <c r="AU66" i="9"/>
  <c r="AU64" i="9"/>
  <c r="AU61" i="9"/>
  <c r="AV3005" i="6" s="1"/>
  <c r="AU58" i="9"/>
  <c r="AU16" i="9"/>
  <c r="AU92" i="9"/>
  <c r="AS634" i="6"/>
  <c r="AS633" i="6"/>
  <c r="AT44" i="8"/>
  <c r="AU24" i="8"/>
  <c r="AW1329" i="6"/>
  <c r="AW1333" i="6"/>
  <c r="AX1331" i="6"/>
  <c r="AX70" i="13"/>
  <c r="AW48" i="13"/>
  <c r="AW66" i="14"/>
  <c r="AV57" i="14"/>
  <c r="AV56" i="14" s="1"/>
  <c r="AX39" i="18"/>
  <c r="AW36" i="18"/>
  <c r="AU26" i="5"/>
  <c r="AT2831" i="6"/>
  <c r="AY38" i="15"/>
  <c r="AZ40" i="15"/>
  <c r="AO22" i="5"/>
  <c r="AO25" i="5" s="1"/>
  <c r="AO43" i="5" s="1"/>
  <c r="AN77" i="6"/>
  <c r="AN78" i="6"/>
  <c r="AN235" i="6" s="1"/>
  <c r="BH2436" i="6"/>
  <c r="BD2436" i="6"/>
  <c r="AZ2436" i="6"/>
  <c r="AV2436" i="6"/>
  <c r="BO2384" i="6"/>
  <c r="BK2384" i="6"/>
  <c r="BG2384" i="6"/>
  <c r="BC2384" i="6"/>
  <c r="AY2384" i="6"/>
  <c r="AU2384" i="6"/>
  <c r="AU2339" i="6" s="1" a="1"/>
  <c r="AU2339" i="6" s="1"/>
  <c r="BL2332" i="6"/>
  <c r="BH2332" i="6"/>
  <c r="BD2332" i="6"/>
  <c r="AZ2332" i="6"/>
  <c r="AV2332" i="6"/>
  <c r="AR2278" i="6"/>
  <c r="AR2233" i="6" s="1"/>
  <c r="AV2232" i="6"/>
  <c r="BG2436" i="6"/>
  <c r="BC2436" i="6"/>
  <c r="AY2436" i="6"/>
  <c r="AU2436" i="6"/>
  <c r="AU2391" i="6" s="1"/>
  <c r="BN2384" i="6"/>
  <c r="BJ2384" i="6"/>
  <c r="BF2384" i="6"/>
  <c r="BB2384" i="6"/>
  <c r="AX2384" i="6"/>
  <c r="BO2332" i="6"/>
  <c r="BK2332" i="6"/>
  <c r="BG2332" i="6"/>
  <c r="BC2332" i="6"/>
  <c r="AY2332" i="6"/>
  <c r="AU2332" i="6"/>
  <c r="AU2287" i="6" s="1" a="1"/>
  <c r="AU2287" i="6" s="1"/>
  <c r="BJ2436" i="6"/>
  <c r="BF2436" i="6"/>
  <c r="BB2436" i="6"/>
  <c r="AX2436" i="6"/>
  <c r="BM2384" i="6"/>
  <c r="BI2384" i="6"/>
  <c r="BE2384" i="6"/>
  <c r="BA2384" i="6"/>
  <c r="AW2384" i="6"/>
  <c r="BN2332" i="6"/>
  <c r="BJ2332" i="6"/>
  <c r="BF2332" i="6"/>
  <c r="BB2332" i="6"/>
  <c r="AX2332" i="6"/>
  <c r="AT2278" i="6"/>
  <c r="BI2436" i="6"/>
  <c r="BE2436" i="6"/>
  <c r="BA2436" i="6"/>
  <c r="AW2436" i="6"/>
  <c r="BP2384" i="6"/>
  <c r="BL2384" i="6"/>
  <c r="BH2384" i="6"/>
  <c r="BD2384" i="6"/>
  <c r="AZ2384" i="6"/>
  <c r="AV2384" i="6"/>
  <c r="BM2332" i="6"/>
  <c r="BI2332" i="6"/>
  <c r="BE2332" i="6"/>
  <c r="BA2332" i="6"/>
  <c r="AW2332" i="6"/>
  <c r="AS2278" i="6"/>
  <c r="AW1560" i="6"/>
  <c r="AX1555" i="6"/>
  <c r="AX1554" i="6" s="1"/>
  <c r="AX11" i="5"/>
  <c r="AV1779" i="6"/>
  <c r="AV1783" i="6"/>
  <c r="AW1781" i="6"/>
  <c r="AV2665" i="6"/>
  <c r="BR347" i="6"/>
  <c r="BN347" i="6"/>
  <c r="BJ347" i="6"/>
  <c r="BF347" i="6"/>
  <c r="BB347" i="6"/>
  <c r="AX347" i="6"/>
  <c r="AT347" i="6"/>
  <c r="AT303" i="6" s="1" a="1"/>
  <c r="AT303" i="6" s="1"/>
  <c r="BO295" i="6"/>
  <c r="BK295" i="6"/>
  <c r="BG295" i="6"/>
  <c r="BC295" i="6"/>
  <c r="AY295" i="6"/>
  <c r="AU295" i="6"/>
  <c r="BC347" i="6"/>
  <c r="BH295" i="6"/>
  <c r="BQ347" i="6"/>
  <c r="BM347" i="6"/>
  <c r="BI347" i="6"/>
  <c r="BE347" i="6"/>
  <c r="BA347" i="6"/>
  <c r="AW347" i="6"/>
  <c r="BR295" i="6"/>
  <c r="BN295" i="6"/>
  <c r="BJ295" i="6"/>
  <c r="BF295" i="6"/>
  <c r="BB295" i="6"/>
  <c r="AX295" i="6"/>
  <c r="AT295" i="6"/>
  <c r="AT251" i="6" s="1" a="1"/>
  <c r="AT251" i="6" s="1"/>
  <c r="AT409" i="6" s="1"/>
  <c r="BO347" i="6"/>
  <c r="BG347" i="6"/>
  <c r="AU347" i="6"/>
  <c r="BL295" i="6"/>
  <c r="AZ295" i="6"/>
  <c r="BP347" i="6"/>
  <c r="BL347" i="6"/>
  <c r="BH347" i="6"/>
  <c r="BD347" i="6"/>
  <c r="AZ347" i="6"/>
  <c r="AV347" i="6"/>
  <c r="BQ295" i="6"/>
  <c r="BM295" i="6"/>
  <c r="BI295" i="6"/>
  <c r="BE295" i="6"/>
  <c r="BA295" i="6"/>
  <c r="AW295" i="6"/>
  <c r="BK347" i="6"/>
  <c r="AY347" i="6"/>
  <c r="BP295" i="6"/>
  <c r="BD295" i="6"/>
  <c r="AV295" i="6"/>
  <c r="AW656" i="6"/>
  <c r="AX654" i="6"/>
  <c r="AW652" i="6"/>
  <c r="AV2507" i="6"/>
  <c r="AV2664" i="6" s="1"/>
  <c r="AV2506" i="6"/>
  <c r="AU420" i="6"/>
  <c r="AU415" i="6"/>
  <c r="AV4" i="5"/>
  <c r="AU421" i="6"/>
  <c r="AU417" i="6"/>
  <c r="AV412" i="6"/>
  <c r="AV5" i="5"/>
  <c r="AU414" i="6"/>
  <c r="AU418" i="6"/>
  <c r="BJ1990" i="6"/>
  <c r="BF1990" i="6"/>
  <c r="BB1990" i="6"/>
  <c r="AX1990" i="6"/>
  <c r="BI1938" i="6"/>
  <c r="BE1938" i="6"/>
  <c r="BA1938" i="6"/>
  <c r="AW1938" i="6"/>
  <c r="BH1886" i="6"/>
  <c r="BD1886" i="6"/>
  <c r="AZ1886" i="6"/>
  <c r="AV1886" i="6"/>
  <c r="BI1990" i="6"/>
  <c r="BE1990" i="6"/>
  <c r="BA1990" i="6"/>
  <c r="AW1990" i="6"/>
  <c r="BH1938" i="6"/>
  <c r="BD1938" i="6"/>
  <c r="AZ1938" i="6"/>
  <c r="AV1938" i="6"/>
  <c r="BG1886" i="6"/>
  <c r="BC1886" i="6"/>
  <c r="AY1886" i="6"/>
  <c r="AU1886" i="6"/>
  <c r="AU1841" i="6" s="1" a="1"/>
  <c r="AU1841" i="6" s="1"/>
  <c r="AS1832" i="6"/>
  <c r="BH1990" i="6"/>
  <c r="BD1990" i="6"/>
  <c r="AZ1990" i="6"/>
  <c r="AV1990" i="6"/>
  <c r="BG1938" i="6"/>
  <c r="BC1938" i="6"/>
  <c r="AY1938" i="6"/>
  <c r="AU1938" i="6"/>
  <c r="AU1893" i="6" s="1" a="1"/>
  <c r="AU1893" i="6" s="1"/>
  <c r="AU1998" i="6" s="1"/>
  <c r="BF1886" i="6"/>
  <c r="BB1886" i="6"/>
  <c r="AX1886" i="6"/>
  <c r="AY1990" i="6"/>
  <c r="BI1886" i="6"/>
  <c r="AV1786" i="6"/>
  <c r="AU1990" i="6"/>
  <c r="AU1945" i="6" s="1"/>
  <c r="BF1938" i="6"/>
  <c r="BE1886" i="6"/>
  <c r="AT1832" i="6"/>
  <c r="BG1990" i="6"/>
  <c r="BB1938" i="6"/>
  <c r="BA1886" i="6"/>
  <c r="AR1832" i="6"/>
  <c r="AR1787" i="6" s="1"/>
  <c r="BC1990" i="6"/>
  <c r="AX1938" i="6"/>
  <c r="AW1886" i="6"/>
  <c r="AY61" i="14"/>
  <c r="AY20" i="9"/>
  <c r="AQ19" i="17"/>
  <c r="AQ1105" i="6"/>
  <c r="AT71" i="9"/>
  <c r="AT72" i="9"/>
  <c r="AU2838" i="6"/>
  <c r="BN2824" i="6"/>
  <c r="BJ2824" i="6"/>
  <c r="BF2824" i="6"/>
  <c r="BB2824" i="6"/>
  <c r="AX2824" i="6"/>
  <c r="BK2824" i="6"/>
  <c r="BE2824" i="6"/>
  <c r="AZ2824" i="6"/>
  <c r="AU2824" i="6"/>
  <c r="AU2779" i="6" s="1"/>
  <c r="BO2824" i="6"/>
  <c r="BI2824" i="6"/>
  <c r="BD2824" i="6"/>
  <c r="AY2824" i="6"/>
  <c r="BG2824" i="6"/>
  <c r="AV2824" i="6"/>
  <c r="BM2824" i="6"/>
  <c r="BC2824" i="6"/>
  <c r="BL2824" i="6"/>
  <c r="BA2824" i="6"/>
  <c r="BH2824" i="6"/>
  <c r="AW2824" i="6"/>
  <c r="AU2672" i="6"/>
  <c r="AU2673" i="6"/>
  <c r="AV27" i="5"/>
  <c r="AU2778" i="6"/>
  <c r="AN1164" i="6"/>
  <c r="AN1165" i="6"/>
  <c r="AN1322" i="6" s="1"/>
  <c r="AV17" i="20"/>
  <c r="AV1782" i="6"/>
  <c r="AV17" i="21"/>
  <c r="AV2007" i="6"/>
  <c r="BG2936" i="6"/>
  <c r="BC2936" i="6"/>
  <c r="AY2936" i="6"/>
  <c r="AU2936" i="6"/>
  <c r="BF2884" i="6"/>
  <c r="BB2884" i="6"/>
  <c r="AX2884" i="6"/>
  <c r="AT2884" i="6"/>
  <c r="BF2936" i="6"/>
  <c r="BA2936" i="6"/>
  <c r="AV2936" i="6"/>
  <c r="BE2884" i="6"/>
  <c r="AZ2884" i="6"/>
  <c r="AU2884" i="6"/>
  <c r="BE2936" i="6"/>
  <c r="AZ2936" i="6"/>
  <c r="AT2936" i="6"/>
  <c r="BD2884" i="6"/>
  <c r="AY2884" i="6"/>
  <c r="AS2884" i="6"/>
  <c r="AS2841" i="6" s="1" a="1"/>
  <c r="AS2841" i="6" s="1"/>
  <c r="BD2936" i="6"/>
  <c r="AX2936" i="6"/>
  <c r="AS2936" i="6"/>
  <c r="AS2893" i="6" s="1" a="1"/>
  <c r="AS2893" i="6" s="1"/>
  <c r="BG2884" i="6"/>
  <c r="AV2884" i="6"/>
  <c r="BC2884" i="6"/>
  <c r="BB2936" i="6"/>
  <c r="BA2884" i="6"/>
  <c r="AW2936" i="6"/>
  <c r="AW2884" i="6"/>
  <c r="AX1558" i="6"/>
  <c r="AY1556" i="6"/>
  <c r="AS36" i="11"/>
  <c r="AS3170" i="6"/>
  <c r="AQ21" i="17"/>
  <c r="AQ1106" i="6"/>
  <c r="AR19" i="5" s="1"/>
  <c r="AX653" i="6"/>
  <c r="AX6" i="5"/>
  <c r="AW657" i="6"/>
  <c r="AW655" i="6"/>
  <c r="AW658" i="6"/>
  <c r="BF3104" i="6"/>
  <c r="BB3104" i="6"/>
  <c r="AX3104" i="6"/>
  <c r="AT3104" i="6"/>
  <c r="AT3060" i="6" s="1" a="1"/>
  <c r="AT3060" i="6" s="1"/>
  <c r="BE3052" i="6"/>
  <c r="BA3052" i="6"/>
  <c r="AW3052" i="6"/>
  <c r="BE3104" i="6"/>
  <c r="BA3104" i="6"/>
  <c r="AW3104" i="6"/>
  <c r="BH3052" i="6"/>
  <c r="BD3052" i="6"/>
  <c r="AZ3052" i="6"/>
  <c r="AV3052" i="6"/>
  <c r="BG3104" i="6"/>
  <c r="AY3104" i="6"/>
  <c r="BF3052" i="6"/>
  <c r="AX3052" i="6"/>
  <c r="BD3104" i="6"/>
  <c r="AV3104" i="6"/>
  <c r="BC3052" i="6"/>
  <c r="AU3052" i="6"/>
  <c r="BC3104" i="6"/>
  <c r="AU3104" i="6"/>
  <c r="BB3052" i="6"/>
  <c r="AT3052" i="6"/>
  <c r="AT3008" i="6" s="1" a="1"/>
  <c r="AT3008" i="6" s="1"/>
  <c r="BH3104" i="6"/>
  <c r="BG3052" i="6"/>
  <c r="AZ3104" i="6"/>
  <c r="AY3052" i="6"/>
  <c r="BJ1315" i="6"/>
  <c r="BF1315" i="6"/>
  <c r="BB1315" i="6"/>
  <c r="AX1315" i="6"/>
  <c r="BF1263" i="6"/>
  <c r="BB1263" i="6"/>
  <c r="AX1263" i="6"/>
  <c r="BG1211" i="6"/>
  <c r="BC1211" i="6"/>
  <c r="AY1211" i="6"/>
  <c r="AU1211" i="6"/>
  <c r="AU1166" i="6" s="1" a="1"/>
  <c r="AU1166" i="6" s="1"/>
  <c r="AS1157" i="6"/>
  <c r="AO1157" i="6"/>
  <c r="AO1112" i="6" s="1"/>
  <c r="BI1315" i="6"/>
  <c r="BE1315" i="6"/>
  <c r="BA1315" i="6"/>
  <c r="AW1315" i="6"/>
  <c r="BI1263" i="6"/>
  <c r="BE1263" i="6"/>
  <c r="BA1263" i="6"/>
  <c r="AW1263" i="6"/>
  <c r="BF1211" i="6"/>
  <c r="BB1211" i="6"/>
  <c r="AX1211" i="6"/>
  <c r="AR1157" i="6"/>
  <c r="AV1111" i="6"/>
  <c r="BH1315" i="6"/>
  <c r="BD1315" i="6"/>
  <c r="AZ1315" i="6"/>
  <c r="AV1315" i="6"/>
  <c r="BH1263" i="6"/>
  <c r="BD1263" i="6"/>
  <c r="AZ1263" i="6"/>
  <c r="AV1263" i="6"/>
  <c r="BI1211" i="6"/>
  <c r="BE1211" i="6"/>
  <c r="BA1211" i="6"/>
  <c r="AW1211" i="6"/>
  <c r="AQ1157" i="6"/>
  <c r="BG1315" i="6"/>
  <c r="BC1315" i="6"/>
  <c r="AY1315" i="6"/>
  <c r="AU1315" i="6"/>
  <c r="AU1270" i="6" s="1"/>
  <c r="BG1263" i="6"/>
  <c r="BC1263" i="6"/>
  <c r="AY1263" i="6"/>
  <c r="AU1263" i="6"/>
  <c r="BH1211" i="6"/>
  <c r="BD1211" i="6"/>
  <c r="AZ1211" i="6"/>
  <c r="AV1211" i="6"/>
  <c r="AT1157" i="6"/>
  <c r="AP1157" i="6"/>
  <c r="AR1389" i="6"/>
  <c r="AR1390" i="6"/>
  <c r="AR1547" i="6" s="1"/>
  <c r="AS645" i="6"/>
  <c r="AS41" i="8"/>
  <c r="AT642" i="6" s="1"/>
  <c r="AS43" i="8"/>
  <c r="AT643" i="6" s="1"/>
  <c r="AT645" i="6" s="1"/>
  <c r="AS42" i="8"/>
  <c r="AT644" i="6" s="1"/>
  <c r="AT641" i="6"/>
  <c r="AU33" i="5" s="1"/>
  <c r="AR1614" i="6"/>
  <c r="AR1615" i="6"/>
  <c r="AR1772" i="6" s="1"/>
  <c r="AT938" i="6"/>
  <c r="AT1095" i="6" s="1"/>
  <c r="AT937" i="6"/>
  <c r="AN45" i="5"/>
  <c r="AN47" i="5"/>
  <c r="AV14" i="6"/>
  <c r="AW8" i="6"/>
  <c r="AW2" i="5"/>
  <c r="AV13" i="6"/>
  <c r="AW3" i="5"/>
  <c r="AX244" i="6"/>
  <c r="AY28" i="5" s="1"/>
  <c r="AX245" i="6"/>
  <c r="AX408" i="6"/>
  <c r="AX247" i="6"/>
  <c r="AX67" i="12"/>
  <c r="AW2010" i="6"/>
  <c r="AX2005" i="6"/>
  <c r="AX56" i="17"/>
  <c r="AW44" i="17"/>
  <c r="AW17" i="22"/>
  <c r="AY2452" i="6"/>
  <c r="AZ2447" i="6"/>
  <c r="AZ14" i="5"/>
  <c r="BI1766" i="6"/>
  <c r="BE1766" i="6"/>
  <c r="BA1766" i="6"/>
  <c r="AW1766" i="6"/>
  <c r="BI1714" i="6"/>
  <c r="BE1714" i="6"/>
  <c r="BA1714" i="6"/>
  <c r="AW1714" i="6"/>
  <c r="BH1662" i="6"/>
  <c r="BD1662" i="6"/>
  <c r="AZ1662" i="6"/>
  <c r="AV1662" i="6"/>
  <c r="AV1616" i="6" s="1" a="1"/>
  <c r="AV1616" i="6" s="1"/>
  <c r="BJ1766" i="6"/>
  <c r="BD1766" i="6"/>
  <c r="AY1766" i="6"/>
  <c r="BF1714" i="6"/>
  <c r="AZ1714" i="6"/>
  <c r="BJ1662" i="6"/>
  <c r="BE1662" i="6"/>
  <c r="AY1662" i="6"/>
  <c r="AS1608" i="6"/>
  <c r="AS1562" i="6" s="1"/>
  <c r="BH1766" i="6"/>
  <c r="BC1766" i="6"/>
  <c r="AX1766" i="6"/>
  <c r="BJ1714" i="6"/>
  <c r="BD1714" i="6"/>
  <c r="AY1714" i="6"/>
  <c r="BI1662" i="6"/>
  <c r="BC1662" i="6"/>
  <c r="AX1662" i="6"/>
  <c r="BG1766" i="6"/>
  <c r="BB1766" i="6"/>
  <c r="AV1766" i="6"/>
  <c r="AV1720" i="6" s="1"/>
  <c r="BH1714" i="6"/>
  <c r="BC1714" i="6"/>
  <c r="AX1714" i="6"/>
  <c r="BG1662" i="6"/>
  <c r="BB1662" i="6"/>
  <c r="AW1662" i="6"/>
  <c r="AU1608" i="6"/>
  <c r="AW1561" i="6"/>
  <c r="BK1766" i="6"/>
  <c r="BF1766" i="6"/>
  <c r="AZ1766" i="6"/>
  <c r="BG1714" i="6"/>
  <c r="BB1714" i="6"/>
  <c r="AV1714" i="6"/>
  <c r="BF1662" i="6"/>
  <c r="BA1662" i="6"/>
  <c r="AT1608" i="6"/>
  <c r="AX1330" i="6"/>
  <c r="AW1334" i="6"/>
  <c r="AW1335" i="6"/>
  <c r="AX10" i="5"/>
  <c r="AW1104" i="6"/>
  <c r="AV1108" i="6"/>
  <c r="AV1102" i="6"/>
  <c r="BA59" i="14"/>
  <c r="AT416" i="6"/>
  <c r="AU35" i="5"/>
  <c r="AY36" i="19"/>
  <c r="AZ38" i="19"/>
  <c r="AW880" i="6"/>
  <c r="AX878" i="6"/>
  <c r="AX7" i="5"/>
  <c r="AW883" i="6"/>
  <c r="AV1773" i="6"/>
  <c r="AW3003" i="6"/>
  <c r="AU59" i="12"/>
  <c r="AV248" i="6" s="1"/>
  <c r="AV60" i="12"/>
  <c r="AV246" i="6"/>
  <c r="AU2668" i="6"/>
  <c r="AZ39" i="20"/>
  <c r="AY36" i="20"/>
  <c r="AY864" i="6"/>
  <c r="BG812" i="6"/>
  <c r="BC812" i="6"/>
  <c r="AY812" i="6"/>
  <c r="BH760" i="6"/>
  <c r="BD760" i="6"/>
  <c r="AZ760" i="6"/>
  <c r="AV760" i="6"/>
  <c r="AX864" i="6"/>
  <c r="BJ812" i="6"/>
  <c r="BF812" i="6"/>
  <c r="BB812" i="6"/>
  <c r="AX812" i="6"/>
  <c r="BG760" i="6"/>
  <c r="BC760" i="6"/>
  <c r="AY760" i="6"/>
  <c r="AT706" i="6"/>
  <c r="AW659" i="6"/>
  <c r="BA864" i="6"/>
  <c r="AW864" i="6"/>
  <c r="BI812" i="6"/>
  <c r="BE812" i="6"/>
  <c r="BA812" i="6"/>
  <c r="AW812" i="6"/>
  <c r="BJ760" i="6"/>
  <c r="BF760" i="6"/>
  <c r="BB760" i="6"/>
  <c r="AX760" i="6"/>
  <c r="AU706" i="6"/>
  <c r="AZ864" i="6"/>
  <c r="AV864" i="6"/>
  <c r="AV818" i="6" s="1"/>
  <c r="BH812" i="6"/>
  <c r="BD812" i="6"/>
  <c r="AZ812" i="6"/>
  <c r="AV812" i="6"/>
  <c r="AV766" i="6" s="1" a="1"/>
  <c r="AV766" i="6" s="1"/>
  <c r="BI760" i="6"/>
  <c r="BE760" i="6"/>
  <c r="BA760" i="6"/>
  <c r="AW760" i="6"/>
  <c r="AV39" i="23"/>
  <c r="AW2451" i="6" s="1"/>
  <c r="AV32" i="22"/>
  <c r="AV32" i="21"/>
  <c r="AW2009" i="6" s="1"/>
  <c r="AV32" i="20"/>
  <c r="AV32" i="19"/>
  <c r="AW1559" i="6" s="1"/>
  <c r="AV32" i="18"/>
  <c r="AV42" i="16"/>
  <c r="AW882" i="6" s="1"/>
  <c r="AV34" i="15"/>
  <c r="AV49" i="14"/>
  <c r="AV37" i="17"/>
  <c r="AV41" i="13"/>
  <c r="AW7" i="7"/>
  <c r="AX36" i="22"/>
  <c r="AY38" i="22"/>
  <c r="AT2444" i="6"/>
  <c r="AY36" i="21"/>
  <c r="AZ38" i="21"/>
  <c r="BN228" i="6"/>
  <c r="BJ228" i="6"/>
  <c r="BF228" i="6"/>
  <c r="BB228" i="6"/>
  <c r="AX228" i="6"/>
  <c r="BG176" i="6"/>
  <c r="BC176" i="6"/>
  <c r="AY176" i="6"/>
  <c r="AU176" i="6"/>
  <c r="AU131" i="6" s="1" a="1"/>
  <c r="AU131" i="6" s="1"/>
  <c r="BF124" i="6"/>
  <c r="BB124" i="6"/>
  <c r="AX124" i="6"/>
  <c r="AT61" i="6"/>
  <c r="AP61" i="6"/>
  <c r="AV11" i="6"/>
  <c r="BO228" i="6"/>
  <c r="BC228" i="6"/>
  <c r="AU228" i="6"/>
  <c r="AU183" i="6" s="1"/>
  <c r="BD176" i="6"/>
  <c r="BM228" i="6"/>
  <c r="BI228" i="6"/>
  <c r="BE228" i="6"/>
  <c r="BA228" i="6"/>
  <c r="AW228" i="6"/>
  <c r="BF176" i="6"/>
  <c r="BB176" i="6"/>
  <c r="AX176" i="6"/>
  <c r="BI124" i="6"/>
  <c r="BE124" i="6"/>
  <c r="BA124" i="6"/>
  <c r="AW124" i="6"/>
  <c r="AS61" i="6"/>
  <c r="AO61" i="6"/>
  <c r="AO16" i="6" s="1"/>
  <c r="BK228" i="6"/>
  <c r="AZ176" i="6"/>
  <c r="BG124" i="6"/>
  <c r="BC124" i="6"/>
  <c r="AY124" i="6"/>
  <c r="AU124" i="6"/>
  <c r="AU79" i="6" s="1" a="1"/>
  <c r="AU79" i="6" s="1"/>
  <c r="BL228" i="6"/>
  <c r="BH228" i="6"/>
  <c r="BD228" i="6"/>
  <c r="AZ228" i="6"/>
  <c r="AV228" i="6"/>
  <c r="BI176" i="6"/>
  <c r="BE176" i="6"/>
  <c r="BA176" i="6"/>
  <c r="AW176" i="6"/>
  <c r="BH124" i="6"/>
  <c r="BD124" i="6"/>
  <c r="AZ124" i="6"/>
  <c r="AV124" i="6"/>
  <c r="AR61" i="6"/>
  <c r="AV15" i="6"/>
  <c r="BG228" i="6"/>
  <c r="AY228" i="6"/>
  <c r="BH176" i="6"/>
  <c r="AV176" i="6"/>
  <c r="AV10" i="6"/>
  <c r="AQ61" i="6"/>
  <c r="AV38" i="23"/>
  <c r="AV31" i="22"/>
  <c r="AV31" i="21"/>
  <c r="AV31" i="20"/>
  <c r="AV31" i="19"/>
  <c r="AV36" i="17"/>
  <c r="AV31" i="18"/>
  <c r="AV48" i="14"/>
  <c r="AV41" i="16"/>
  <c r="AV33" i="15"/>
  <c r="AW6" i="7"/>
  <c r="AV40" i="13"/>
  <c r="BH2216" i="6"/>
  <c r="BD2216" i="6"/>
  <c r="AZ2216" i="6"/>
  <c r="AV2216" i="6"/>
  <c r="AV2170" i="6" s="1"/>
  <c r="BH2164" i="6"/>
  <c r="BD2164" i="6"/>
  <c r="AZ2164" i="6"/>
  <c r="AV2164" i="6"/>
  <c r="AV2118" i="6" s="1" a="1"/>
  <c r="AV2118" i="6" s="1"/>
  <c r="BG2112" i="6"/>
  <c r="BC2112" i="6"/>
  <c r="AY2112" i="6"/>
  <c r="AS2058" i="6"/>
  <c r="AS2012" i="6" s="1"/>
  <c r="BK2216" i="6"/>
  <c r="BG2216" i="6"/>
  <c r="BC2216" i="6"/>
  <c r="AY2216" i="6"/>
  <c r="BG2164" i="6"/>
  <c r="BC2164" i="6"/>
  <c r="AY2164" i="6"/>
  <c r="BJ2112" i="6"/>
  <c r="BF2112" i="6"/>
  <c r="BB2112" i="6"/>
  <c r="AX2112" i="6"/>
  <c r="BJ2216" i="6"/>
  <c r="BF2216" i="6"/>
  <c r="BB2216" i="6"/>
  <c r="AX2216" i="6"/>
  <c r="BJ2164" i="6"/>
  <c r="BF2164" i="6"/>
  <c r="BB2164" i="6"/>
  <c r="AX2164" i="6"/>
  <c r="BI2112" i="6"/>
  <c r="BE2112" i="6"/>
  <c r="BA2112" i="6"/>
  <c r="AW2112" i="6"/>
  <c r="AU2058" i="6"/>
  <c r="AW2011" i="6"/>
  <c r="BI2216" i="6"/>
  <c r="BE2216" i="6"/>
  <c r="BA2216" i="6"/>
  <c r="AW2216" i="6"/>
  <c r="BE2164" i="6"/>
  <c r="BD2112" i="6"/>
  <c r="BA2164" i="6"/>
  <c r="AZ2112" i="6"/>
  <c r="AT2058" i="6"/>
  <c r="AW2164" i="6"/>
  <c r="AV2112" i="6"/>
  <c r="AV2066" i="6" s="1" a="1"/>
  <c r="AV2066" i="6" s="1"/>
  <c r="BI2164" i="6"/>
  <c r="BH2112" i="6"/>
  <c r="BJ2660" i="6"/>
  <c r="BF2660" i="6"/>
  <c r="BB2660" i="6"/>
  <c r="AX2660" i="6"/>
  <c r="AX2612" i="6" s="1"/>
  <c r="BK2608" i="6"/>
  <c r="BG2608" i="6"/>
  <c r="BC2608" i="6"/>
  <c r="AY2608" i="6"/>
  <c r="BJ2556" i="6"/>
  <c r="BF2556" i="6"/>
  <c r="BB2556" i="6"/>
  <c r="AX2556" i="6"/>
  <c r="AX2508" i="6" s="1" a="1"/>
  <c r="AX2508" i="6" s="1"/>
  <c r="BI2660" i="6"/>
  <c r="BD2660" i="6"/>
  <c r="AY2660" i="6"/>
  <c r="BL2608" i="6"/>
  <c r="BF2608" i="6"/>
  <c r="BA2608" i="6"/>
  <c r="BH2556" i="6"/>
  <c r="BC2556" i="6"/>
  <c r="AW2502" i="6"/>
  <c r="AW2454" i="6" s="1"/>
  <c r="BM2660" i="6"/>
  <c r="BH2660" i="6"/>
  <c r="BC2660" i="6"/>
  <c r="BJ2608" i="6"/>
  <c r="BE2608" i="6"/>
  <c r="AZ2608" i="6"/>
  <c r="BL2556" i="6"/>
  <c r="BG2556" i="6"/>
  <c r="BA2556" i="6"/>
  <c r="BL2660" i="6"/>
  <c r="BG2660" i="6"/>
  <c r="BA2660" i="6"/>
  <c r="BI2608" i="6"/>
  <c r="BD2608" i="6"/>
  <c r="AX2608" i="6"/>
  <c r="BK2556" i="6"/>
  <c r="BE2556" i="6"/>
  <c r="AZ2556" i="6"/>
  <c r="BK2660" i="6"/>
  <c r="BB2608" i="6"/>
  <c r="BI2556" i="6"/>
  <c r="BE2660" i="6"/>
  <c r="BD2556" i="6"/>
  <c r="AZ2660" i="6"/>
  <c r="AY2556" i="6"/>
  <c r="BH2608" i="6"/>
  <c r="AY2453" i="6"/>
  <c r="AY21" i="5"/>
  <c r="AU27" i="5"/>
  <c r="AV17" i="18"/>
  <c r="AV1332" i="6"/>
  <c r="AV2230" i="6"/>
  <c r="AV2231" i="6"/>
  <c r="AW2226" i="6"/>
  <c r="AW2228" i="6" s="1"/>
  <c r="AW13" i="5"/>
  <c r="AT660" i="6"/>
  <c r="AW877" i="6"/>
  <c r="AW881" i="6"/>
  <c r="AX879" i="6"/>
  <c r="BK1541" i="6"/>
  <c r="BG1541" i="6"/>
  <c r="BC1541" i="6"/>
  <c r="AY1541" i="6"/>
  <c r="BG1489" i="6"/>
  <c r="BC1489" i="6"/>
  <c r="AY1489" i="6"/>
  <c r="BJ1437" i="6"/>
  <c r="BF1437" i="6"/>
  <c r="BB1437" i="6"/>
  <c r="AX1437" i="6"/>
  <c r="BJ1541" i="6"/>
  <c r="BF1541" i="6"/>
  <c r="BB1541" i="6"/>
  <c r="AX1541" i="6"/>
  <c r="BJ1489" i="6"/>
  <c r="BF1489" i="6"/>
  <c r="BB1489" i="6"/>
  <c r="AX1489" i="6"/>
  <c r="BI1437" i="6"/>
  <c r="BE1437" i="6"/>
  <c r="BA1437" i="6"/>
  <c r="AW1437" i="6"/>
  <c r="AU1383" i="6"/>
  <c r="AW1336" i="6"/>
  <c r="BI1541" i="6"/>
  <c r="BE1541" i="6"/>
  <c r="BA1541" i="6"/>
  <c r="AW1541" i="6"/>
  <c r="BI1489" i="6"/>
  <c r="BE1489" i="6"/>
  <c r="BA1489" i="6"/>
  <c r="AW1489" i="6"/>
  <c r="BH1437" i="6"/>
  <c r="BD1437" i="6"/>
  <c r="AZ1437" i="6"/>
  <c r="AV1437" i="6"/>
  <c r="AV1391" i="6" s="1" a="1"/>
  <c r="AV1391" i="6" s="1"/>
  <c r="AT1383" i="6"/>
  <c r="BH1541" i="6"/>
  <c r="BD1541" i="6"/>
  <c r="AZ1541" i="6"/>
  <c r="AV1541" i="6"/>
  <c r="AV1495" i="6" s="1"/>
  <c r="BH1489" i="6"/>
  <c r="BD1489" i="6"/>
  <c r="AZ1489" i="6"/>
  <c r="AV1489" i="6"/>
  <c r="AV1443" i="6" s="1" a="1"/>
  <c r="AV1443" i="6" s="1"/>
  <c r="BG1437" i="6"/>
  <c r="BC1437" i="6"/>
  <c r="AY1437" i="6"/>
  <c r="AS1383" i="6"/>
  <c r="AS1337" i="6" s="1"/>
  <c r="AR2064" i="6"/>
  <c r="AR2065" i="6"/>
  <c r="AR2222" i="6" s="1"/>
  <c r="AX2560" i="6" a="1"/>
  <c r="AX2560" i="6" s="1"/>
  <c r="AU14" i="13"/>
  <c r="AV237" i="6"/>
  <c r="AV12" i="6"/>
  <c r="AW9" i="6"/>
  <c r="AV7" i="6"/>
  <c r="BF625" i="6"/>
  <c r="BB625" i="6"/>
  <c r="AX625" i="6"/>
  <c r="AT625" i="6"/>
  <c r="AT581" i="6" s="1"/>
  <c r="BH573" i="6"/>
  <c r="BD573" i="6"/>
  <c r="AZ573" i="6"/>
  <c r="AV573" i="6"/>
  <c r="BH521" i="6"/>
  <c r="BD521" i="6"/>
  <c r="AZ521" i="6"/>
  <c r="AV521" i="6"/>
  <c r="AR467" i="6"/>
  <c r="BI625" i="6"/>
  <c r="BE625" i="6"/>
  <c r="BA625" i="6"/>
  <c r="AW625" i="6"/>
  <c r="BG573" i="6"/>
  <c r="BC573" i="6"/>
  <c r="AY573" i="6"/>
  <c r="AU573" i="6"/>
  <c r="BG521" i="6"/>
  <c r="BC521" i="6"/>
  <c r="AY521" i="6"/>
  <c r="AU521" i="6"/>
  <c r="AQ467" i="6"/>
  <c r="AQ423" i="6" s="1"/>
  <c r="BG625" i="6"/>
  <c r="AY625" i="6"/>
  <c r="BE573" i="6"/>
  <c r="AW573" i="6"/>
  <c r="BA521" i="6"/>
  <c r="BH625" i="6"/>
  <c r="BD625" i="6"/>
  <c r="AZ625" i="6"/>
  <c r="AV625" i="6"/>
  <c r="BF573" i="6"/>
  <c r="BB573" i="6"/>
  <c r="AX573" i="6"/>
  <c r="AT573" i="6"/>
  <c r="AT529" i="6" s="1" a="1"/>
  <c r="AT529" i="6" s="1"/>
  <c r="BF521" i="6"/>
  <c r="BB521" i="6"/>
  <c r="AX521" i="6"/>
  <c r="AT521" i="6"/>
  <c r="BC625" i="6"/>
  <c r="AU625" i="6"/>
  <c r="BA573" i="6"/>
  <c r="BE521" i="6"/>
  <c r="AW521" i="6"/>
  <c r="AS467" i="6"/>
  <c r="AU422" i="6"/>
  <c r="AW1780" i="6"/>
  <c r="AV1785" i="6"/>
  <c r="AV1784" i="6"/>
  <c r="AW12" i="5"/>
  <c r="AY3004" i="6"/>
  <c r="AY60" i="9"/>
  <c r="BL401" i="6"/>
  <c r="BH401" i="6"/>
  <c r="BD401" i="6"/>
  <c r="AZ401" i="6"/>
  <c r="AV401" i="6"/>
  <c r="AU249" i="6"/>
  <c r="AV29" i="5"/>
  <c r="BO401" i="6"/>
  <c r="BK401" i="6"/>
  <c r="BG401" i="6"/>
  <c r="BC401" i="6"/>
  <c r="AY401" i="6"/>
  <c r="AU401" i="6"/>
  <c r="AU356" i="6" s="1"/>
  <c r="AU250" i="6"/>
  <c r="BM401" i="6"/>
  <c r="BE401" i="6"/>
  <c r="AW401" i="6"/>
  <c r="BN401" i="6"/>
  <c r="BJ401" i="6"/>
  <c r="BF401" i="6"/>
  <c r="BB401" i="6"/>
  <c r="AX401" i="6"/>
  <c r="BI401" i="6"/>
  <c r="BA401" i="6"/>
  <c r="AU355" i="6"/>
  <c r="AZ20" i="9"/>
  <c r="AW2004" i="6"/>
  <c r="AW2008" i="6"/>
  <c r="AX2006" i="6"/>
  <c r="AV2225" i="6"/>
  <c r="BL3158" i="6"/>
  <c r="BH3158" i="6"/>
  <c r="BD3158" i="6"/>
  <c r="AZ3158" i="6"/>
  <c r="AV3158" i="6"/>
  <c r="AU3006" i="6"/>
  <c r="BO3158" i="6"/>
  <c r="BK3158" i="6"/>
  <c r="BG3158" i="6"/>
  <c r="BC3158" i="6"/>
  <c r="AY3158" i="6"/>
  <c r="AU3158" i="6"/>
  <c r="AU3113" i="6" s="1"/>
  <c r="AU3007" i="6"/>
  <c r="BM3158" i="6"/>
  <c r="BE3158" i="6"/>
  <c r="AW3158" i="6"/>
  <c r="BJ3158" i="6"/>
  <c r="BB3158" i="6"/>
  <c r="BI3158" i="6"/>
  <c r="BA3158" i="6"/>
  <c r="BF3158" i="6"/>
  <c r="AX3158" i="6"/>
  <c r="BN3158" i="6"/>
  <c r="AU3112" i="6"/>
  <c r="AU3165" i="6" s="1"/>
  <c r="AT2998" i="6"/>
  <c r="AT419" i="6"/>
  <c r="AT635" i="6"/>
  <c r="AU23" i="5" s="1"/>
  <c r="AU413" i="6"/>
  <c r="AS22" i="9"/>
  <c r="AU15" i="5"/>
  <c r="AQ24" i="17"/>
  <c r="AQ1107" i="6"/>
  <c r="AR18" i="5" s="1"/>
  <c r="AV1109" i="6"/>
  <c r="AV1110" i="6"/>
  <c r="AW1103" i="6"/>
  <c r="AW9" i="5"/>
  <c r="AS1390" i="6" l="1"/>
  <c r="AS1547" i="6" s="1"/>
  <c r="AS1389" i="6"/>
  <c r="AT3167" i="6"/>
  <c r="AT3166" i="6"/>
  <c r="AS2064" i="6"/>
  <c r="AS2065" i="6"/>
  <c r="AS2222" i="6" s="1"/>
  <c r="AV871" i="6"/>
  <c r="AV2223" i="6"/>
  <c r="AV1548" i="6"/>
  <c r="AU236" i="6"/>
  <c r="AS3000" i="6"/>
  <c r="AS2999" i="6"/>
  <c r="AV1096" i="6"/>
  <c r="AR2285" i="6"/>
  <c r="AR2286" i="6"/>
  <c r="AR2443" i="6" s="1"/>
  <c r="AX1780" i="6"/>
  <c r="AW1785" i="6"/>
  <c r="AW1784" i="6"/>
  <c r="AX12" i="5"/>
  <c r="BI2217" i="6"/>
  <c r="BE2217" i="6"/>
  <c r="BA2217" i="6"/>
  <c r="AW2217" i="6"/>
  <c r="AW2170" i="6" s="1"/>
  <c r="BJ2165" i="6"/>
  <c r="BF2165" i="6"/>
  <c r="BB2165" i="6"/>
  <c r="AX2165" i="6"/>
  <c r="BI2113" i="6"/>
  <c r="BE2113" i="6"/>
  <c r="BA2113" i="6"/>
  <c r="AW2113" i="6"/>
  <c r="AW2066" i="6" s="1" a="1"/>
  <c r="AW2066" i="6" s="1"/>
  <c r="AU2059" i="6"/>
  <c r="BL2217" i="6"/>
  <c r="BH2217" i="6"/>
  <c r="BD2217" i="6"/>
  <c r="AZ2217" i="6"/>
  <c r="BI2165" i="6"/>
  <c r="BE2165" i="6"/>
  <c r="BA2165" i="6"/>
  <c r="AW2165" i="6"/>
  <c r="AW2118" i="6" s="1" a="1"/>
  <c r="AW2118" i="6" s="1"/>
  <c r="BH2113" i="6"/>
  <c r="BD2113" i="6"/>
  <c r="AZ2113" i="6"/>
  <c r="AT2059" i="6"/>
  <c r="AT2012" i="6" s="1"/>
  <c r="AX2011" i="6"/>
  <c r="BK2217" i="6"/>
  <c r="BG2217" i="6"/>
  <c r="BC2217" i="6"/>
  <c r="AY2217" i="6"/>
  <c r="BH2165" i="6"/>
  <c r="BD2165" i="6"/>
  <c r="AZ2165" i="6"/>
  <c r="BK2113" i="6"/>
  <c r="BG2113" i="6"/>
  <c r="BC2113" i="6"/>
  <c r="AY2113" i="6"/>
  <c r="BJ2217" i="6"/>
  <c r="BF2217" i="6"/>
  <c r="BB2217" i="6"/>
  <c r="AX2217" i="6"/>
  <c r="BG2165" i="6"/>
  <c r="BF2113" i="6"/>
  <c r="AV2059" i="6"/>
  <c r="BC2165" i="6"/>
  <c r="BB2113" i="6"/>
  <c r="AY2165" i="6"/>
  <c r="AX2113" i="6"/>
  <c r="BK2165" i="6"/>
  <c r="BJ2113" i="6"/>
  <c r="AY1558" i="6"/>
  <c r="AZ1556" i="6"/>
  <c r="AW17" i="21"/>
  <c r="AW2007" i="6"/>
  <c r="BF2771" i="6"/>
  <c r="BB2771" i="6"/>
  <c r="AX2771" i="6"/>
  <c r="BI2719" i="6"/>
  <c r="BE2719" i="6"/>
  <c r="BA2719" i="6"/>
  <c r="AW2719" i="6"/>
  <c r="BE2771" i="6"/>
  <c r="AZ2771" i="6"/>
  <c r="AU2771" i="6"/>
  <c r="BD2719" i="6"/>
  <c r="AY2719" i="6"/>
  <c r="BI2771" i="6"/>
  <c r="BD2771" i="6"/>
  <c r="AY2771" i="6"/>
  <c r="BH2719" i="6"/>
  <c r="BC2719" i="6"/>
  <c r="AX2719" i="6"/>
  <c r="BH2771" i="6"/>
  <c r="BC2771" i="6"/>
  <c r="AW2771" i="6"/>
  <c r="BG2719" i="6"/>
  <c r="BB2719" i="6"/>
  <c r="AV2719" i="6"/>
  <c r="BG2771" i="6"/>
  <c r="BF2719" i="6"/>
  <c r="BA2771" i="6"/>
  <c r="AZ2719" i="6"/>
  <c r="AV2771" i="6"/>
  <c r="AU2719" i="6"/>
  <c r="AO47" i="5"/>
  <c r="AO45" i="5"/>
  <c r="AQ44" i="5"/>
  <c r="AQ46" i="5"/>
  <c r="AW2225" i="6"/>
  <c r="AX17" i="19"/>
  <c r="AX1557" i="6"/>
  <c r="BK1316" i="6"/>
  <c r="BG1316" i="6"/>
  <c r="BC1316" i="6"/>
  <c r="AY1316" i="6"/>
  <c r="BH1264" i="6"/>
  <c r="BD1264" i="6"/>
  <c r="AZ1264" i="6"/>
  <c r="AV1264" i="6"/>
  <c r="AV1218" i="6" s="1" a="1"/>
  <c r="AV1218" i="6" s="1"/>
  <c r="BI1212" i="6"/>
  <c r="BE1212" i="6"/>
  <c r="BA1212" i="6"/>
  <c r="AW1212" i="6"/>
  <c r="AR1158" i="6"/>
  <c r="AW1111" i="6"/>
  <c r="BJ1316" i="6"/>
  <c r="BF1316" i="6"/>
  <c r="BB1316" i="6"/>
  <c r="AX1316" i="6"/>
  <c r="BG1264" i="6"/>
  <c r="BC1264" i="6"/>
  <c r="AY1264" i="6"/>
  <c r="BH1212" i="6"/>
  <c r="BD1212" i="6"/>
  <c r="AZ1212" i="6"/>
  <c r="AV1212" i="6"/>
  <c r="AU1158" i="6"/>
  <c r="AQ1158" i="6"/>
  <c r="BI1316" i="6"/>
  <c r="BE1316" i="6"/>
  <c r="BA1316" i="6"/>
  <c r="AW1316" i="6"/>
  <c r="BJ1264" i="6"/>
  <c r="BF1264" i="6"/>
  <c r="BB1264" i="6"/>
  <c r="AX1264" i="6"/>
  <c r="BG1212" i="6"/>
  <c r="BC1212" i="6"/>
  <c r="AY1212" i="6"/>
  <c r="AT1158" i="6"/>
  <c r="AP1158" i="6"/>
  <c r="AP1112" i="6" s="1"/>
  <c r="BH1316" i="6"/>
  <c r="BD1316" i="6"/>
  <c r="AZ1316" i="6"/>
  <c r="AV1316" i="6"/>
  <c r="AV1270" i="6" s="1"/>
  <c r="BI1264" i="6"/>
  <c r="BE1264" i="6"/>
  <c r="BA1264" i="6"/>
  <c r="AW1264" i="6"/>
  <c r="BJ1212" i="6"/>
  <c r="BF1212" i="6"/>
  <c r="BB1212" i="6"/>
  <c r="AX1212" i="6"/>
  <c r="AS1158" i="6"/>
  <c r="AV413" i="6"/>
  <c r="AU635" i="6"/>
  <c r="AV23" i="5" s="1"/>
  <c r="AU419" i="6"/>
  <c r="AV15" i="5"/>
  <c r="AT22" i="9"/>
  <c r="AX881" i="6"/>
  <c r="AY879" i="6"/>
  <c r="AX877" i="6"/>
  <c r="AT712" i="6"/>
  <c r="AT713" i="6"/>
  <c r="AT870" i="6" s="1"/>
  <c r="BA39" i="20"/>
  <c r="BA36" i="20" s="1"/>
  <c r="AZ36" i="20"/>
  <c r="AV59" i="12"/>
  <c r="AW248" i="6" s="1"/>
  <c r="AW60" i="12"/>
  <c r="AW246" i="6"/>
  <c r="AY878" i="6"/>
  <c r="AY7" i="5"/>
  <c r="AX883" i="6"/>
  <c r="AX880" i="6"/>
  <c r="AR21" i="17"/>
  <c r="AR1106" i="6"/>
  <c r="AS19" i="5" s="1"/>
  <c r="AQ1323" i="6"/>
  <c r="AR17" i="5"/>
  <c r="AR24" i="5" s="1"/>
  <c r="AR42" i="5" s="1"/>
  <c r="AV421" i="6"/>
  <c r="AV417" i="6"/>
  <c r="AW412" i="6"/>
  <c r="AW5" i="5"/>
  <c r="AV418" i="6"/>
  <c r="AV420" i="6"/>
  <c r="AV414" i="6"/>
  <c r="AV415" i="6"/>
  <c r="AW4" i="5"/>
  <c r="AW1783" i="6"/>
  <c r="AX1781" i="6"/>
  <c r="AW1779" i="6"/>
  <c r="AW93" i="9"/>
  <c r="AV74" i="9"/>
  <c r="AV68" i="9"/>
  <c r="AW2837" i="6" s="1"/>
  <c r="AV65" i="9"/>
  <c r="AV63" i="9"/>
  <c r="AV57" i="9"/>
  <c r="AW3002" i="6" s="1"/>
  <c r="AV4" i="9"/>
  <c r="AV92" i="9"/>
  <c r="AV66" i="9"/>
  <c r="AV64" i="9"/>
  <c r="AV61" i="9"/>
  <c r="AW3005" i="6" s="1"/>
  <c r="AV58" i="9"/>
  <c r="AV17" i="9"/>
  <c r="AV15" i="9" s="1"/>
  <c r="AW2671" i="6" s="1"/>
  <c r="AV16" i="9"/>
  <c r="AV8" i="9"/>
  <c r="AW2670" i="6" s="1"/>
  <c r="AX2669" i="6" s="1"/>
  <c r="AV3" i="9"/>
  <c r="AV69" i="9"/>
  <c r="AU937" i="6"/>
  <c r="AU938" i="6"/>
  <c r="AU1095" i="6" s="1"/>
  <c r="AR24" i="17"/>
  <c r="AR1107" i="6"/>
  <c r="AS18" i="5" s="1"/>
  <c r="BH3105" i="6"/>
  <c r="BD3105" i="6"/>
  <c r="AZ3105" i="6"/>
  <c r="AV3105" i="6"/>
  <c r="BG3053" i="6"/>
  <c r="BC3053" i="6"/>
  <c r="AY3053" i="6"/>
  <c r="AU3053" i="6"/>
  <c r="BG3105" i="6"/>
  <c r="BC3105" i="6"/>
  <c r="AY3105" i="6"/>
  <c r="AU3105" i="6"/>
  <c r="BF3053" i="6"/>
  <c r="BB3053" i="6"/>
  <c r="AX3053" i="6"/>
  <c r="BI3105" i="6"/>
  <c r="BA3105" i="6"/>
  <c r="BH3053" i="6"/>
  <c r="AZ3053" i="6"/>
  <c r="BF3105" i="6"/>
  <c r="AX3105" i="6"/>
  <c r="BE3053" i="6"/>
  <c r="AW3053" i="6"/>
  <c r="BE3105" i="6"/>
  <c r="AW3105" i="6"/>
  <c r="BD3053" i="6"/>
  <c r="AV3053" i="6"/>
  <c r="BI3053" i="6"/>
  <c r="BB3105" i="6"/>
  <c r="BA3053" i="6"/>
  <c r="AX2008" i="6"/>
  <c r="AY2006" i="6"/>
  <c r="AX2004" i="6"/>
  <c r="AU409" i="6"/>
  <c r="BR348" i="6"/>
  <c r="BN348" i="6"/>
  <c r="BJ348" i="6"/>
  <c r="BF348" i="6"/>
  <c r="BB348" i="6"/>
  <c r="AX348" i="6"/>
  <c r="BS296" i="6"/>
  <c r="BO296" i="6"/>
  <c r="BK296" i="6"/>
  <c r="BG296" i="6"/>
  <c r="BC296" i="6"/>
  <c r="AY296" i="6"/>
  <c r="AU296" i="6"/>
  <c r="AU251" i="6" s="1" a="1"/>
  <c r="AU251" i="6" s="1"/>
  <c r="BK348" i="6"/>
  <c r="AY348" i="6"/>
  <c r="BL296" i="6"/>
  <c r="AV296" i="6"/>
  <c r="BQ348" i="6"/>
  <c r="BM348" i="6"/>
  <c r="BI348" i="6"/>
  <c r="BE348" i="6"/>
  <c r="BA348" i="6"/>
  <c r="AW348" i="6"/>
  <c r="BR296" i="6"/>
  <c r="BN296" i="6"/>
  <c r="BJ296" i="6"/>
  <c r="BF296" i="6"/>
  <c r="BB296" i="6"/>
  <c r="AX296" i="6"/>
  <c r="BO348" i="6"/>
  <c r="BC348" i="6"/>
  <c r="BH296" i="6"/>
  <c r="AZ296" i="6"/>
  <c r="BP348" i="6"/>
  <c r="BL348" i="6"/>
  <c r="BH348" i="6"/>
  <c r="BD348" i="6"/>
  <c r="AZ348" i="6"/>
  <c r="AV348" i="6"/>
  <c r="BQ296" i="6"/>
  <c r="BM296" i="6"/>
  <c r="BI296" i="6"/>
  <c r="BE296" i="6"/>
  <c r="BA296" i="6"/>
  <c r="AW296" i="6"/>
  <c r="BS348" i="6"/>
  <c r="BG348" i="6"/>
  <c r="AU348" i="6"/>
  <c r="AU303" i="6" s="1" a="1"/>
  <c r="AU303" i="6" s="1"/>
  <c r="BP296" i="6"/>
  <c r="BD296" i="6"/>
  <c r="BK1991" i="6"/>
  <c r="BG1991" i="6"/>
  <c r="BC1991" i="6"/>
  <c r="AY1991" i="6"/>
  <c r="BG1939" i="6"/>
  <c r="BC1939" i="6"/>
  <c r="AY1939" i="6"/>
  <c r="BJ1887" i="6"/>
  <c r="BF1887" i="6"/>
  <c r="BB1887" i="6"/>
  <c r="AX1887" i="6"/>
  <c r="BJ1991" i="6"/>
  <c r="BF1991" i="6"/>
  <c r="BB1991" i="6"/>
  <c r="AX1991" i="6"/>
  <c r="BJ1939" i="6"/>
  <c r="BF1939" i="6"/>
  <c r="BB1939" i="6"/>
  <c r="AX1939" i="6"/>
  <c r="BI1887" i="6"/>
  <c r="BE1887" i="6"/>
  <c r="BA1887" i="6"/>
  <c r="AW1887" i="6"/>
  <c r="AU1833" i="6"/>
  <c r="AW1786" i="6"/>
  <c r="BI1991" i="6"/>
  <c r="BE1991" i="6"/>
  <c r="BA1991" i="6"/>
  <c r="AW1991" i="6"/>
  <c r="BI1939" i="6"/>
  <c r="BE1939" i="6"/>
  <c r="BA1939" i="6"/>
  <c r="AW1939" i="6"/>
  <c r="BH1887" i="6"/>
  <c r="BD1887" i="6"/>
  <c r="AZ1887" i="6"/>
  <c r="AV1887" i="6"/>
  <c r="AV1841" i="6" s="1" a="1"/>
  <c r="AV1841" i="6" s="1"/>
  <c r="AZ1991" i="6"/>
  <c r="AV1939" i="6"/>
  <c r="AV1893" i="6" s="1" a="1"/>
  <c r="AV1893" i="6" s="1"/>
  <c r="AS1833" i="6"/>
  <c r="AS1787" i="6" s="1"/>
  <c r="AV1991" i="6"/>
  <c r="AV1945" i="6" s="1"/>
  <c r="BH1939" i="6"/>
  <c r="BG1887" i="6"/>
  <c r="BH1991" i="6"/>
  <c r="BD1939" i="6"/>
  <c r="BC1887" i="6"/>
  <c r="BD1991" i="6"/>
  <c r="AZ1939" i="6"/>
  <c r="AY1887" i="6"/>
  <c r="AT1833" i="6"/>
  <c r="AQ475" i="6"/>
  <c r="AQ476" i="6"/>
  <c r="AV14" i="13"/>
  <c r="AW237" i="6"/>
  <c r="AW12" i="6"/>
  <c r="AX9" i="6"/>
  <c r="AW7" i="6"/>
  <c r="AW39" i="23"/>
  <c r="AX2451" i="6" s="1"/>
  <c r="AW32" i="22"/>
  <c r="AW32" i="21"/>
  <c r="AX2009" i="6" s="1"/>
  <c r="AW32" i="20"/>
  <c r="AW32" i="19"/>
  <c r="AW37" i="17"/>
  <c r="AW49" i="14"/>
  <c r="AW32" i="18"/>
  <c r="AW42" i="16"/>
  <c r="AX882" i="6" s="1"/>
  <c r="AW34" i="15"/>
  <c r="AW41" i="13"/>
  <c r="AX7" i="7"/>
  <c r="BP402" i="6"/>
  <c r="BL402" i="6"/>
  <c r="BH402" i="6"/>
  <c r="BD402" i="6"/>
  <c r="AZ402" i="6"/>
  <c r="AV402" i="6"/>
  <c r="AV356" i="6" s="1"/>
  <c r="AV250" i="6"/>
  <c r="BO402" i="6"/>
  <c r="BK402" i="6"/>
  <c r="BG402" i="6"/>
  <c r="BC402" i="6"/>
  <c r="AY402" i="6"/>
  <c r="BI402" i="6"/>
  <c r="BA402" i="6"/>
  <c r="BN402" i="6"/>
  <c r="BJ402" i="6"/>
  <c r="BF402" i="6"/>
  <c r="BB402" i="6"/>
  <c r="AX402" i="6"/>
  <c r="BM402" i="6"/>
  <c r="BE402" i="6"/>
  <c r="AW402" i="6"/>
  <c r="AV249" i="6"/>
  <c r="AW29" i="5"/>
  <c r="AV355" i="6"/>
  <c r="AZ1090" i="6"/>
  <c r="BK1038" i="6"/>
  <c r="BG1038" i="6"/>
  <c r="BC1038" i="6"/>
  <c r="AY1038" i="6"/>
  <c r="BH986" i="6"/>
  <c r="BD986" i="6"/>
  <c r="AZ986" i="6"/>
  <c r="AY1090" i="6"/>
  <c r="BJ1038" i="6"/>
  <c r="BF1038" i="6"/>
  <c r="BB1038" i="6"/>
  <c r="AX1038" i="6"/>
  <c r="BB1090" i="6"/>
  <c r="AX1090" i="6"/>
  <c r="BI1038" i="6"/>
  <c r="BE1038" i="6"/>
  <c r="BA1038" i="6"/>
  <c r="AW1038" i="6"/>
  <c r="BJ986" i="6"/>
  <c r="BF986" i="6"/>
  <c r="BB986" i="6"/>
  <c r="AX986" i="6"/>
  <c r="BA1090" i="6"/>
  <c r="AW1090" i="6"/>
  <c r="AW1043" i="6" s="1"/>
  <c r="AZ1038" i="6"/>
  <c r="BK986" i="6"/>
  <c r="BC986" i="6"/>
  <c r="AX884" i="6"/>
  <c r="BI986" i="6"/>
  <c r="BA986" i="6"/>
  <c r="BH1038" i="6"/>
  <c r="BG986" i="6"/>
  <c r="AY986" i="6"/>
  <c r="BD1038" i="6"/>
  <c r="BE986" i="6"/>
  <c r="AW986" i="6"/>
  <c r="AW939" i="6" s="1" a="1"/>
  <c r="AW939" i="6" s="1"/>
  <c r="AV932" i="6"/>
  <c r="AV885" i="6" s="1"/>
  <c r="BL1542" i="6"/>
  <c r="BH1542" i="6"/>
  <c r="BD1542" i="6"/>
  <c r="AZ1542" i="6"/>
  <c r="BI1490" i="6"/>
  <c r="BE1490" i="6"/>
  <c r="BA1490" i="6"/>
  <c r="AW1490" i="6"/>
  <c r="AW1443" i="6" s="1" a="1"/>
  <c r="AW1443" i="6" s="1"/>
  <c r="BH1438" i="6"/>
  <c r="BD1438" i="6"/>
  <c r="AZ1438" i="6"/>
  <c r="AT1384" i="6"/>
  <c r="AT1337" i="6" s="1"/>
  <c r="AX1336" i="6"/>
  <c r="BK1542" i="6"/>
  <c r="BG1542" i="6"/>
  <c r="BC1542" i="6"/>
  <c r="AY1542" i="6"/>
  <c r="BH1490" i="6"/>
  <c r="BD1490" i="6"/>
  <c r="AZ1490" i="6"/>
  <c r="BK1438" i="6"/>
  <c r="BG1438" i="6"/>
  <c r="BC1438" i="6"/>
  <c r="AY1438" i="6"/>
  <c r="BJ1542" i="6"/>
  <c r="BF1542" i="6"/>
  <c r="BB1542" i="6"/>
  <c r="AX1542" i="6"/>
  <c r="BK1490" i="6"/>
  <c r="BG1490" i="6"/>
  <c r="BC1490" i="6"/>
  <c r="AY1490" i="6"/>
  <c r="BJ1438" i="6"/>
  <c r="BF1438" i="6"/>
  <c r="BB1438" i="6"/>
  <c r="AX1438" i="6"/>
  <c r="AV1384" i="6"/>
  <c r="BI1542" i="6"/>
  <c r="BE1542" i="6"/>
  <c r="BA1542" i="6"/>
  <c r="AW1542" i="6"/>
  <c r="AW1495" i="6" s="1"/>
  <c r="BJ1490" i="6"/>
  <c r="BF1490" i="6"/>
  <c r="BB1490" i="6"/>
  <c r="AX1490" i="6"/>
  <c r="BI1438" i="6"/>
  <c r="BE1438" i="6"/>
  <c r="BA1438" i="6"/>
  <c r="AW1438" i="6"/>
  <c r="AW1391" i="6" s="1" a="1"/>
  <c r="AW1391" i="6" s="1"/>
  <c r="AU1384" i="6"/>
  <c r="BA2452" i="6"/>
  <c r="AZ2452" i="6"/>
  <c r="BA14" i="5"/>
  <c r="AX17" i="22"/>
  <c r="AY2005" i="6"/>
  <c r="AX2010" i="6"/>
  <c r="AX2" i="5"/>
  <c r="AW13" i="6"/>
  <c r="AX3" i="5"/>
  <c r="AX8" i="6"/>
  <c r="AW14" i="6"/>
  <c r="AV1166" i="6" a="1"/>
  <c r="AV1166" i="6" s="1"/>
  <c r="BO2991" i="6"/>
  <c r="BK2991" i="6"/>
  <c r="BG2991" i="6"/>
  <c r="BC2991" i="6"/>
  <c r="AY2991" i="6"/>
  <c r="AU2991" i="6"/>
  <c r="AU2946" i="6" s="1"/>
  <c r="AU2840" i="6"/>
  <c r="BN2991" i="6"/>
  <c r="BJ2991" i="6"/>
  <c r="BF2991" i="6"/>
  <c r="BB2991" i="6"/>
  <c r="AX2991" i="6"/>
  <c r="BM2991" i="6"/>
  <c r="BE2991" i="6"/>
  <c r="AW2991" i="6"/>
  <c r="BL2991" i="6"/>
  <c r="BD2991" i="6"/>
  <c r="AV2991" i="6"/>
  <c r="BI2991" i="6"/>
  <c r="BA2991" i="6"/>
  <c r="AZ2991" i="6"/>
  <c r="AU2839" i="6"/>
  <c r="BH2991" i="6"/>
  <c r="AU2945" i="6"/>
  <c r="AU2998" i="6" s="1"/>
  <c r="AR19" i="17"/>
  <c r="AR1105" i="6"/>
  <c r="AZ61" i="14"/>
  <c r="AR1840" i="6"/>
  <c r="AR1997" i="6" s="1"/>
  <c r="AR1839" i="6"/>
  <c r="AU416" i="6"/>
  <c r="AV35" i="5"/>
  <c r="AY654" i="6"/>
  <c r="AX652" i="6"/>
  <c r="AX656" i="6"/>
  <c r="AT2833" i="6"/>
  <c r="AT2832" i="6"/>
  <c r="AY70" i="13"/>
  <c r="AX48" i="13"/>
  <c r="BN2825" i="6"/>
  <c r="BJ2825" i="6"/>
  <c r="BF2825" i="6"/>
  <c r="BB2825" i="6"/>
  <c r="AX2825" i="6"/>
  <c r="BL2825" i="6"/>
  <c r="BG2825" i="6"/>
  <c r="BA2825" i="6"/>
  <c r="AV2825" i="6"/>
  <c r="AV2779" i="6" s="1"/>
  <c r="BP2825" i="6"/>
  <c r="BK2825" i="6"/>
  <c r="BE2825" i="6"/>
  <c r="AZ2825" i="6"/>
  <c r="BH2825" i="6"/>
  <c r="AW2825" i="6"/>
  <c r="BO2825" i="6"/>
  <c r="BD2825" i="6"/>
  <c r="BM2825" i="6"/>
  <c r="BC2825" i="6"/>
  <c r="BI2825" i="6"/>
  <c r="AY2825" i="6"/>
  <c r="AV2672" i="6"/>
  <c r="AV2673" i="6"/>
  <c r="AV2778" i="6"/>
  <c r="AU71" i="9"/>
  <c r="AU72" i="9"/>
  <c r="AV2838" i="6"/>
  <c r="AW2665" i="6"/>
  <c r="AU2674" i="6" a="1"/>
  <c r="AU2674" i="6" s="1"/>
  <c r="AO77" i="6"/>
  <c r="AO78" i="6"/>
  <c r="AO235" i="6" s="1"/>
  <c r="AP22" i="5"/>
  <c r="AP25" i="5" s="1"/>
  <c r="AP43" i="5" s="1"/>
  <c r="AX3003" i="6"/>
  <c r="BB865" i="6"/>
  <c r="AX865" i="6"/>
  <c r="BI813" i="6"/>
  <c r="BE813" i="6"/>
  <c r="BA813" i="6"/>
  <c r="AW813" i="6"/>
  <c r="AW766" i="6" s="1" a="1"/>
  <c r="AW766" i="6" s="1"/>
  <c r="BJ761" i="6"/>
  <c r="BF761" i="6"/>
  <c r="BB761" i="6"/>
  <c r="AX761" i="6"/>
  <c r="BA865" i="6"/>
  <c r="AW865" i="6"/>
  <c r="AW818" i="6" s="1"/>
  <c r="BH813" i="6"/>
  <c r="BD813" i="6"/>
  <c r="AZ813" i="6"/>
  <c r="BI761" i="6"/>
  <c r="BE761" i="6"/>
  <c r="BA761" i="6"/>
  <c r="AW761" i="6"/>
  <c r="AW714" i="6" s="1" a="1"/>
  <c r="AW714" i="6" s="1"/>
  <c r="AZ865" i="6"/>
  <c r="BK813" i="6"/>
  <c r="BG813" i="6"/>
  <c r="BC813" i="6"/>
  <c r="AY813" i="6"/>
  <c r="BH761" i="6"/>
  <c r="BD761" i="6"/>
  <c r="AZ761" i="6"/>
  <c r="AV707" i="6"/>
  <c r="AY865" i="6"/>
  <c r="BJ813" i="6"/>
  <c r="BF813" i="6"/>
  <c r="BB813" i="6"/>
  <c r="AX813" i="6"/>
  <c r="BK761" i="6"/>
  <c r="BG761" i="6"/>
  <c r="BC761" i="6"/>
  <c r="AY761" i="6"/>
  <c r="AU707" i="6"/>
  <c r="AU660" i="6" s="1"/>
  <c r="AX659" i="6"/>
  <c r="AX657" i="6"/>
  <c r="AX658" i="6"/>
  <c r="AY653" i="6"/>
  <c r="AX655" i="6"/>
  <c r="AY6" i="5"/>
  <c r="BG626" i="6"/>
  <c r="BC626" i="6"/>
  <c r="AY626" i="6"/>
  <c r="AU626" i="6"/>
  <c r="AU581" i="6" s="1"/>
  <c r="BF574" i="6"/>
  <c r="BB574" i="6"/>
  <c r="AX574" i="6"/>
  <c r="BF522" i="6"/>
  <c r="BB522" i="6"/>
  <c r="AX522" i="6"/>
  <c r="AT468" i="6"/>
  <c r="BJ626" i="6"/>
  <c r="BF626" i="6"/>
  <c r="BB626" i="6"/>
  <c r="AX626" i="6"/>
  <c r="BI574" i="6"/>
  <c r="BE574" i="6"/>
  <c r="BA574" i="6"/>
  <c r="AW574" i="6"/>
  <c r="BI522" i="6"/>
  <c r="BE522" i="6"/>
  <c r="BA522" i="6"/>
  <c r="AW522" i="6"/>
  <c r="AS468" i="6"/>
  <c r="BD626" i="6"/>
  <c r="AZ626" i="6"/>
  <c r="BG574" i="6"/>
  <c r="AY574" i="6"/>
  <c r="BC522" i="6"/>
  <c r="AU522" i="6"/>
  <c r="AU477" i="6" s="1" a="1"/>
  <c r="AU477" i="6" s="1"/>
  <c r="BI626" i="6"/>
  <c r="BE626" i="6"/>
  <c r="BA626" i="6"/>
  <c r="AW626" i="6"/>
  <c r="BH574" i="6"/>
  <c r="BD574" i="6"/>
  <c r="AZ574" i="6"/>
  <c r="AV574" i="6"/>
  <c r="BH522" i="6"/>
  <c r="BD522" i="6"/>
  <c r="AZ522" i="6"/>
  <c r="AV522" i="6"/>
  <c r="AR468" i="6"/>
  <c r="AR423" i="6" s="1"/>
  <c r="AV422" i="6"/>
  <c r="BH626" i="6"/>
  <c r="AV626" i="6"/>
  <c r="BC574" i="6"/>
  <c r="AU574" i="6"/>
  <c r="AU529" i="6" s="1" a="1"/>
  <c r="AU529" i="6" s="1"/>
  <c r="BG522" i="6"/>
  <c r="AY522" i="6"/>
  <c r="AY1555" i="6"/>
  <c r="AX1559" i="6"/>
  <c r="AX1560" i="6"/>
  <c r="AY11" i="5"/>
  <c r="AX1333" i="6"/>
  <c r="AY1331" i="6"/>
  <c r="AX1329" i="6"/>
  <c r="AU2444" i="6"/>
  <c r="AW1109" i="6"/>
  <c r="AW1110" i="6"/>
  <c r="AX1103" i="6"/>
  <c r="AX9" i="5"/>
  <c r="AZ3004" i="6"/>
  <c r="AZ60" i="9"/>
  <c r="BA3004" i="6" s="1"/>
  <c r="BI2437" i="6"/>
  <c r="BE2437" i="6"/>
  <c r="BA2437" i="6"/>
  <c r="AW2437" i="6"/>
  <c r="BN2385" i="6"/>
  <c r="BJ2385" i="6"/>
  <c r="BF2385" i="6"/>
  <c r="BB2385" i="6"/>
  <c r="AX2385" i="6"/>
  <c r="BL2333" i="6"/>
  <c r="BH2333" i="6"/>
  <c r="BD2333" i="6"/>
  <c r="AZ2333" i="6"/>
  <c r="AV2333" i="6"/>
  <c r="AV2287" i="6" s="1" a="1"/>
  <c r="AV2287" i="6" s="1"/>
  <c r="AT2279" i="6"/>
  <c r="BH2437" i="6"/>
  <c r="BD2437" i="6"/>
  <c r="AZ2437" i="6"/>
  <c r="AV2437" i="6"/>
  <c r="AV2391" i="6" s="1"/>
  <c r="BM2385" i="6"/>
  <c r="BI2385" i="6"/>
  <c r="BE2385" i="6"/>
  <c r="BA2385" i="6"/>
  <c r="AW2385" i="6"/>
  <c r="BO2333" i="6"/>
  <c r="BK2333" i="6"/>
  <c r="BG2333" i="6"/>
  <c r="BC2333" i="6"/>
  <c r="AY2333" i="6"/>
  <c r="AS2279" i="6"/>
  <c r="AS2233" i="6" s="1"/>
  <c r="BK2437" i="6"/>
  <c r="BG2437" i="6"/>
  <c r="BC2437" i="6"/>
  <c r="AY2437" i="6"/>
  <c r="BP2385" i="6"/>
  <c r="BL2385" i="6"/>
  <c r="BH2385" i="6"/>
  <c r="BD2385" i="6"/>
  <c r="AZ2385" i="6"/>
  <c r="AV2385" i="6"/>
  <c r="AV2339" i="6" s="1" a="1"/>
  <c r="AV2339" i="6" s="1"/>
  <c r="BN2333" i="6"/>
  <c r="BJ2333" i="6"/>
  <c r="BF2333" i="6"/>
  <c r="BB2333" i="6"/>
  <c r="AX2333" i="6"/>
  <c r="BJ2437" i="6"/>
  <c r="BF2437" i="6"/>
  <c r="BB2437" i="6"/>
  <c r="AX2437" i="6"/>
  <c r="BO2385" i="6"/>
  <c r="BK2385" i="6"/>
  <c r="BG2385" i="6"/>
  <c r="BC2385" i="6"/>
  <c r="AY2385" i="6"/>
  <c r="BM2333" i="6"/>
  <c r="BI2333" i="6"/>
  <c r="BE2333" i="6"/>
  <c r="BA2333" i="6"/>
  <c r="AW2333" i="6"/>
  <c r="AU2279" i="6"/>
  <c r="AW2232" i="6"/>
  <c r="AW2507" i="6"/>
  <c r="AW2664" i="6" s="1"/>
  <c r="AW2506" i="6"/>
  <c r="AW38" i="23"/>
  <c r="AW31" i="22"/>
  <c r="AW31" i="21"/>
  <c r="AW31" i="20"/>
  <c r="AW31" i="19"/>
  <c r="AW36" i="17"/>
  <c r="AW31" i="18"/>
  <c r="AW41" i="16"/>
  <c r="AW33" i="15"/>
  <c r="AW48" i="14"/>
  <c r="AX6" i="7"/>
  <c r="AW40" i="13"/>
  <c r="AV20" i="5"/>
  <c r="AZ36" i="21"/>
  <c r="BA38" i="21"/>
  <c r="BA36" i="21" s="1"/>
  <c r="AY36" i="22"/>
  <c r="AZ38" i="22"/>
  <c r="AY1330" i="6"/>
  <c r="AX1334" i="6"/>
  <c r="AX1335" i="6"/>
  <c r="AY10" i="5"/>
  <c r="AS1614" i="6"/>
  <c r="AS1615" i="6"/>
  <c r="AS1772" i="6" s="1"/>
  <c r="BK2661" i="6"/>
  <c r="BG2661" i="6"/>
  <c r="BC2661" i="6"/>
  <c r="AY2661" i="6"/>
  <c r="AY2612" i="6" s="1"/>
  <c r="BM2609" i="6"/>
  <c r="BI2609" i="6"/>
  <c r="BE2609" i="6"/>
  <c r="BA2609" i="6"/>
  <c r="BL2557" i="6"/>
  <c r="BH2557" i="6"/>
  <c r="BD2557" i="6"/>
  <c r="AZ2557" i="6"/>
  <c r="BJ2661" i="6"/>
  <c r="BE2661" i="6"/>
  <c r="AZ2661" i="6"/>
  <c r="BH2609" i="6"/>
  <c r="BC2609" i="6"/>
  <c r="BJ2557" i="6"/>
  <c r="BE2557" i="6"/>
  <c r="AY2557" i="6"/>
  <c r="AY2508" i="6" s="1" a="1"/>
  <c r="AY2508" i="6" s="1"/>
  <c r="AZ2453" i="6"/>
  <c r="BN2661" i="6"/>
  <c r="BI2661" i="6"/>
  <c r="BD2661" i="6"/>
  <c r="BL2609" i="6"/>
  <c r="BG2609" i="6"/>
  <c r="BB2609" i="6"/>
  <c r="BI2557" i="6"/>
  <c r="BC2557" i="6"/>
  <c r="BM2661" i="6"/>
  <c r="BH2661" i="6"/>
  <c r="BB2661" i="6"/>
  <c r="BK2609" i="6"/>
  <c r="BF2609" i="6"/>
  <c r="AZ2609" i="6"/>
  <c r="BM2557" i="6"/>
  <c r="BG2557" i="6"/>
  <c r="BB2557" i="6"/>
  <c r="BJ2609" i="6"/>
  <c r="BL2661" i="6"/>
  <c r="BD2609" i="6"/>
  <c r="BK2557" i="6"/>
  <c r="BF2661" i="6"/>
  <c r="AY2609" i="6"/>
  <c r="AY2560" i="6" s="1" a="1"/>
  <c r="AY2560" i="6" s="1"/>
  <c r="BF2557" i="6"/>
  <c r="AX2503" i="6"/>
  <c r="AX2454" i="6" s="1"/>
  <c r="BA2661" i="6"/>
  <c r="BA2557" i="6"/>
  <c r="AZ21" i="5"/>
  <c r="AY56" i="17"/>
  <c r="AX44" i="17"/>
  <c r="AY245" i="6"/>
  <c r="AY244" i="6"/>
  <c r="AZ28" i="5" s="1"/>
  <c r="AY408" i="6"/>
  <c r="AY247" i="6"/>
  <c r="AY67" i="12"/>
  <c r="AO1164" i="6"/>
  <c r="AO1165" i="6"/>
  <c r="AO1322" i="6" s="1"/>
  <c r="AW17" i="20"/>
  <c r="AW1782" i="6"/>
  <c r="BJ1767" i="6"/>
  <c r="BF1767" i="6"/>
  <c r="BB1767" i="6"/>
  <c r="AX1767" i="6"/>
  <c r="BK1715" i="6"/>
  <c r="BG1715" i="6"/>
  <c r="BC1715" i="6"/>
  <c r="AY1715" i="6"/>
  <c r="BJ1663" i="6"/>
  <c r="BF1663" i="6"/>
  <c r="BB1663" i="6"/>
  <c r="AX1663" i="6"/>
  <c r="BK1767" i="6"/>
  <c r="BE1767" i="6"/>
  <c r="AZ1767" i="6"/>
  <c r="BH1715" i="6"/>
  <c r="BB1715" i="6"/>
  <c r="AW1715" i="6"/>
  <c r="AW1668" i="6" s="1" a="1"/>
  <c r="AW1668" i="6" s="1"/>
  <c r="BG1663" i="6"/>
  <c r="BA1663" i="6"/>
  <c r="AU1609" i="6"/>
  <c r="BI1767" i="6"/>
  <c r="BD1767" i="6"/>
  <c r="AY1767" i="6"/>
  <c r="BF1715" i="6"/>
  <c r="BA1715" i="6"/>
  <c r="BK1663" i="6"/>
  <c r="BE1663" i="6"/>
  <c r="AZ1663" i="6"/>
  <c r="AT1609" i="6"/>
  <c r="AT1562" i="6" s="1"/>
  <c r="AX1561" i="6"/>
  <c r="BH1767" i="6"/>
  <c r="BC1767" i="6"/>
  <c r="AW1767" i="6"/>
  <c r="AW1720" i="6" s="1"/>
  <c r="BJ1715" i="6"/>
  <c r="BE1715" i="6"/>
  <c r="AZ1715" i="6"/>
  <c r="BI1663" i="6"/>
  <c r="BD1663" i="6"/>
  <c r="AY1663" i="6"/>
  <c r="BL1767" i="6"/>
  <c r="BG1767" i="6"/>
  <c r="BA1767" i="6"/>
  <c r="BI1715" i="6"/>
  <c r="BD1715" i="6"/>
  <c r="AX1715" i="6"/>
  <c r="BH1663" i="6"/>
  <c r="BC1663" i="6"/>
  <c r="AW1663" i="6"/>
  <c r="AW1616" i="6" s="1" a="1"/>
  <c r="AW1616" i="6" s="1"/>
  <c r="AV1609" i="6"/>
  <c r="AZ38" i="15"/>
  <c r="BA40" i="15"/>
  <c r="BA38" i="15" s="1"/>
  <c r="AX66" i="14"/>
  <c r="AW57" i="14"/>
  <c r="AW56" i="14" s="1"/>
  <c r="AV24" i="8"/>
  <c r="AU44" i="8"/>
  <c r="AV2668" i="6"/>
  <c r="AV3002" i="6"/>
  <c r="AW991" i="6" a="1"/>
  <c r="AW991" i="6" s="1"/>
  <c r="AX2229" i="6"/>
  <c r="AY2227" i="6"/>
  <c r="AU2726" i="6" a="1"/>
  <c r="AU2726" i="6" s="1"/>
  <c r="AT633" i="6"/>
  <c r="AT634" i="6"/>
  <c r="AW2230" i="6"/>
  <c r="AW2231" i="6"/>
  <c r="AX2226" i="6"/>
  <c r="AX2228" i="6" s="1"/>
  <c r="AX13" i="5"/>
  <c r="AW17" i="18"/>
  <c r="AW1332" i="6"/>
  <c r="AV26" i="5"/>
  <c r="AU2831" i="6"/>
  <c r="AZ36" i="19"/>
  <c r="BA38" i="19"/>
  <c r="BA36" i="19" s="1"/>
  <c r="AW1108" i="6"/>
  <c r="AW1102" i="6"/>
  <c r="AX1104" i="6"/>
  <c r="BN229" i="6"/>
  <c r="BJ229" i="6"/>
  <c r="BF229" i="6"/>
  <c r="BB229" i="6"/>
  <c r="AX229" i="6"/>
  <c r="BI177" i="6"/>
  <c r="BE177" i="6"/>
  <c r="BA177" i="6"/>
  <c r="AW177" i="6"/>
  <c r="BH125" i="6"/>
  <c r="BD125" i="6"/>
  <c r="AZ125" i="6"/>
  <c r="AV125" i="6"/>
  <c r="AV79" i="6" s="1" a="1"/>
  <c r="AV79" i="6" s="1"/>
  <c r="AS62" i="6"/>
  <c r="BO229" i="6"/>
  <c r="BG229" i="6"/>
  <c r="AY229" i="6"/>
  <c r="BB177" i="6"/>
  <c r="BM229" i="6"/>
  <c r="BI229" i="6"/>
  <c r="BE229" i="6"/>
  <c r="BA229" i="6"/>
  <c r="AW229" i="6"/>
  <c r="BH177" i="6"/>
  <c r="BD177" i="6"/>
  <c r="AZ177" i="6"/>
  <c r="AV177" i="6"/>
  <c r="AV131" i="6" s="1" a="1"/>
  <c r="AV131" i="6" s="1"/>
  <c r="BG125" i="6"/>
  <c r="BC125" i="6"/>
  <c r="AY125" i="6"/>
  <c r="AR62" i="6"/>
  <c r="AW15" i="6"/>
  <c r="BK229" i="6"/>
  <c r="BJ177" i="6"/>
  <c r="AX177" i="6"/>
  <c r="BI125" i="6"/>
  <c r="BE125" i="6"/>
  <c r="BA125" i="6"/>
  <c r="AW125" i="6"/>
  <c r="BP229" i="6"/>
  <c r="BL229" i="6"/>
  <c r="BH229" i="6"/>
  <c r="BD229" i="6"/>
  <c r="AZ229" i="6"/>
  <c r="AV229" i="6"/>
  <c r="AV183" i="6" s="1"/>
  <c r="AV236" i="6" s="1"/>
  <c r="BG177" i="6"/>
  <c r="BC177" i="6"/>
  <c r="AY177" i="6"/>
  <c r="BJ125" i="6"/>
  <c r="BF125" i="6"/>
  <c r="BB125" i="6"/>
  <c r="AX125" i="6"/>
  <c r="AU62" i="6"/>
  <c r="AQ62" i="6"/>
  <c r="AW10" i="6"/>
  <c r="AW20" i="5"/>
  <c r="BC229" i="6"/>
  <c r="BF177" i="6"/>
  <c r="AT62" i="6"/>
  <c r="AP62" i="6"/>
  <c r="AP16" i="6" s="1"/>
  <c r="AW11" i="6"/>
  <c r="AU3060" i="6" a="1"/>
  <c r="AU3060" i="6" s="1"/>
  <c r="AU3167" i="6" s="1"/>
  <c r="AX2450" i="6"/>
  <c r="AX2449" i="6"/>
  <c r="AY2448" i="6"/>
  <c r="AY16" i="5"/>
  <c r="AU3008" i="6" a="1"/>
  <c r="AU3008" i="6" s="1"/>
  <c r="AT36" i="11"/>
  <c r="AT3170" i="6"/>
  <c r="AY39" i="18"/>
  <c r="AX36" i="18"/>
  <c r="AT43" i="8"/>
  <c r="AU643" i="6" s="1"/>
  <c r="AT42" i="8"/>
  <c r="AU644" i="6" s="1"/>
  <c r="AT41" i="8"/>
  <c r="AU642" i="6" s="1"/>
  <c r="AU641" i="6"/>
  <c r="AV33" i="5" s="1"/>
  <c r="BP3159" i="6"/>
  <c r="BL3159" i="6"/>
  <c r="BH3159" i="6"/>
  <c r="BD3159" i="6"/>
  <c r="AZ3159" i="6"/>
  <c r="AV3159" i="6"/>
  <c r="AV3113" i="6" s="1"/>
  <c r="AV3007" i="6"/>
  <c r="BO3159" i="6"/>
  <c r="BK3159" i="6"/>
  <c r="BG3159" i="6"/>
  <c r="BC3159" i="6"/>
  <c r="AY3159" i="6"/>
  <c r="BI3159" i="6"/>
  <c r="BA3159" i="6"/>
  <c r="BN3159" i="6"/>
  <c r="BF3159" i="6"/>
  <c r="AX3159" i="6"/>
  <c r="BM3159" i="6"/>
  <c r="BE3159" i="6"/>
  <c r="AW3159" i="6"/>
  <c r="AV3006" i="6"/>
  <c r="BJ3159" i="6"/>
  <c r="BB3159" i="6"/>
  <c r="AV3112" i="6"/>
  <c r="AV2835" i="6"/>
  <c r="BE2937" i="6"/>
  <c r="BA2937" i="6"/>
  <c r="AW2937" i="6"/>
  <c r="BH2885" i="6"/>
  <c r="BD2885" i="6"/>
  <c r="AZ2885" i="6"/>
  <c r="AV2885" i="6"/>
  <c r="BH2937" i="6"/>
  <c r="BC2937" i="6"/>
  <c r="AX2937" i="6"/>
  <c r="BG2885" i="6"/>
  <c r="BB2885" i="6"/>
  <c r="AW2885" i="6"/>
  <c r="BG2937" i="6"/>
  <c r="BB2937" i="6"/>
  <c r="AV2937" i="6"/>
  <c r="BF2885" i="6"/>
  <c r="BA2885" i="6"/>
  <c r="AU2885" i="6"/>
  <c r="BF2937" i="6"/>
  <c r="AZ2937" i="6"/>
  <c r="AU2937" i="6"/>
  <c r="AY2937" i="6"/>
  <c r="BC2885" i="6"/>
  <c r="AT2937" i="6"/>
  <c r="AT2893" i="6" s="1" a="1"/>
  <c r="AT2893" i="6" s="1"/>
  <c r="AY2885" i="6"/>
  <c r="AX2885" i="6"/>
  <c r="BD2937" i="6"/>
  <c r="BE2885" i="6"/>
  <c r="AT2885" i="6"/>
  <c r="AT2841" i="6" s="1" a="1"/>
  <c r="AT2841" i="6" s="1"/>
  <c r="AW1773" i="6" l="1"/>
  <c r="AT1615" i="6"/>
  <c r="AT1772" i="6" s="1"/>
  <c r="AT1614" i="6"/>
  <c r="AT2065" i="6"/>
  <c r="AT2222" i="6" s="1"/>
  <c r="AT2064" i="6"/>
  <c r="AR475" i="6"/>
  <c r="AR476" i="6"/>
  <c r="AT1389" i="6"/>
  <c r="AT1390" i="6"/>
  <c r="AT1547" i="6" s="1"/>
  <c r="AS1840" i="6"/>
  <c r="AS1997" i="6" s="1"/>
  <c r="AS1839" i="6"/>
  <c r="AS2285" i="6"/>
  <c r="AS2286" i="6"/>
  <c r="AS2443" i="6" s="1"/>
  <c r="AU712" i="6"/>
  <c r="AU713" i="6"/>
  <c r="AU870" i="6" s="1"/>
  <c r="AV1998" i="6"/>
  <c r="AT3000" i="6"/>
  <c r="AT2999" i="6"/>
  <c r="AW2223" i="6"/>
  <c r="AY2449" i="6"/>
  <c r="AY2450" i="6"/>
  <c r="AZ2448" i="6"/>
  <c r="AZ16" i="5"/>
  <c r="AY2229" i="6"/>
  <c r="AZ2227" i="6"/>
  <c r="AU43" i="8"/>
  <c r="AV643" i="6" s="1"/>
  <c r="AU42" i="8"/>
  <c r="AV644" i="6" s="1"/>
  <c r="AU41" i="8"/>
  <c r="AV642" i="6" s="1"/>
  <c r="AV641" i="6"/>
  <c r="AW33" i="5" s="1"/>
  <c r="BH2560" i="6" a="1"/>
  <c r="BH2560" i="6" s="1"/>
  <c r="AX38" i="23"/>
  <c r="AX31" i="22"/>
  <c r="AX31" i="21"/>
  <c r="AX31" i="19"/>
  <c r="AX31" i="20"/>
  <c r="AX31" i="18"/>
  <c r="AX41" i="16"/>
  <c r="AX33" i="15"/>
  <c r="AX36" i="17"/>
  <c r="AX48" i="14"/>
  <c r="AX40" i="13"/>
  <c r="AY6" i="7"/>
  <c r="BL1317" i="6"/>
  <c r="BH1317" i="6"/>
  <c r="BD1317" i="6"/>
  <c r="AZ1317" i="6"/>
  <c r="BJ1265" i="6"/>
  <c r="BF1265" i="6"/>
  <c r="BB1265" i="6"/>
  <c r="AX1265" i="6"/>
  <c r="BK1213" i="6"/>
  <c r="BG1213" i="6"/>
  <c r="BC1213" i="6"/>
  <c r="AY1213" i="6"/>
  <c r="AU1159" i="6"/>
  <c r="AQ1159" i="6"/>
  <c r="AQ1112" i="6" s="1"/>
  <c r="BK1317" i="6"/>
  <c r="BG1317" i="6"/>
  <c r="BC1317" i="6"/>
  <c r="AY1317" i="6"/>
  <c r="BI1265" i="6"/>
  <c r="BE1265" i="6"/>
  <c r="BA1265" i="6"/>
  <c r="AW1265" i="6"/>
  <c r="AW1218" i="6" s="1" a="1"/>
  <c r="AW1218" i="6" s="1"/>
  <c r="BJ1213" i="6"/>
  <c r="BF1213" i="6"/>
  <c r="BB1213" i="6"/>
  <c r="AX1213" i="6"/>
  <c r="AT1159" i="6"/>
  <c r="BJ1317" i="6"/>
  <c r="BF1317" i="6"/>
  <c r="BB1317" i="6"/>
  <c r="AX1317" i="6"/>
  <c r="BH1265" i="6"/>
  <c r="BD1265" i="6"/>
  <c r="AZ1265" i="6"/>
  <c r="BI1213" i="6"/>
  <c r="BE1213" i="6"/>
  <c r="BA1213" i="6"/>
  <c r="AW1213" i="6"/>
  <c r="AW1166" i="6" s="1" a="1"/>
  <c r="AW1166" i="6" s="1"/>
  <c r="AS1159" i="6"/>
  <c r="BI1317" i="6"/>
  <c r="BE1317" i="6"/>
  <c r="BA1317" i="6"/>
  <c r="AW1317" i="6"/>
  <c r="AW1270" i="6" s="1"/>
  <c r="BK1265" i="6"/>
  <c r="BG1265" i="6"/>
  <c r="BC1265" i="6"/>
  <c r="AY1265" i="6"/>
  <c r="BH1213" i="6"/>
  <c r="BD1213" i="6"/>
  <c r="AZ1213" i="6"/>
  <c r="AV1159" i="6"/>
  <c r="AR1159" i="6"/>
  <c r="AX1111" i="6"/>
  <c r="BO2992" i="6"/>
  <c r="BK2992" i="6"/>
  <c r="BG2992" i="6"/>
  <c r="BC2992" i="6"/>
  <c r="AY2992" i="6"/>
  <c r="BN2992" i="6"/>
  <c r="BJ2992" i="6"/>
  <c r="BF2992" i="6"/>
  <c r="BB2992" i="6"/>
  <c r="AX2992" i="6"/>
  <c r="BI2992" i="6"/>
  <c r="BA2992" i="6"/>
  <c r="AV2840" i="6"/>
  <c r="BP2992" i="6"/>
  <c r="BH2992" i="6"/>
  <c r="AZ2992" i="6"/>
  <c r="BM2992" i="6"/>
  <c r="BE2992" i="6"/>
  <c r="AW2992" i="6"/>
  <c r="BL2992" i="6"/>
  <c r="BD2992" i="6"/>
  <c r="AV2839" i="6"/>
  <c r="AV2992" i="6"/>
  <c r="AV2946" i="6" s="1"/>
  <c r="AV2945" i="6"/>
  <c r="AV2998" i="6" s="1"/>
  <c r="BH2772" i="6"/>
  <c r="BD2772" i="6"/>
  <c r="AZ2772" i="6"/>
  <c r="AV2772" i="6"/>
  <c r="AV2726" i="6" s="1" a="1"/>
  <c r="AV2726" i="6" s="1"/>
  <c r="BG2720" i="6"/>
  <c r="BC2720" i="6"/>
  <c r="AY2720" i="6"/>
  <c r="BG2772" i="6"/>
  <c r="BB2772" i="6"/>
  <c r="AW2772" i="6"/>
  <c r="BF2720" i="6"/>
  <c r="BA2720" i="6"/>
  <c r="AV2720" i="6"/>
  <c r="AV2674" i="6" s="1" a="1"/>
  <c r="AV2674" i="6" s="1"/>
  <c r="BF2772" i="6"/>
  <c r="BA2772" i="6"/>
  <c r="BJ2720" i="6"/>
  <c r="BE2720" i="6"/>
  <c r="AZ2720" i="6"/>
  <c r="BJ2772" i="6"/>
  <c r="BE2772" i="6"/>
  <c r="AY2772" i="6"/>
  <c r="BI2720" i="6"/>
  <c r="BD2720" i="6"/>
  <c r="AX2720" i="6"/>
  <c r="BI2772" i="6"/>
  <c r="BH2720" i="6"/>
  <c r="BC2772" i="6"/>
  <c r="BB2720" i="6"/>
  <c r="AX2772" i="6"/>
  <c r="AW2720" i="6"/>
  <c r="AR1323" i="6"/>
  <c r="AS17" i="5"/>
  <c r="AS24" i="5" s="1"/>
  <c r="AS42" i="5" s="1"/>
  <c r="BN230" i="6"/>
  <c r="BJ230" i="6"/>
  <c r="BF230" i="6"/>
  <c r="BB230" i="6"/>
  <c r="AX230" i="6"/>
  <c r="BK178" i="6"/>
  <c r="BG178" i="6"/>
  <c r="BC178" i="6"/>
  <c r="AY178" i="6"/>
  <c r="BJ126" i="6"/>
  <c r="BF126" i="6"/>
  <c r="BB126" i="6"/>
  <c r="AX126" i="6"/>
  <c r="AV63" i="6"/>
  <c r="AR63" i="6"/>
  <c r="AX15" i="6"/>
  <c r="BG230" i="6"/>
  <c r="AZ178" i="6"/>
  <c r="BQ230" i="6"/>
  <c r="BM230" i="6"/>
  <c r="BI230" i="6"/>
  <c r="BE230" i="6"/>
  <c r="BA230" i="6"/>
  <c r="AW230" i="6"/>
  <c r="AW183" i="6" s="1"/>
  <c r="BJ178" i="6"/>
  <c r="BF178" i="6"/>
  <c r="BB178" i="6"/>
  <c r="AX178" i="6"/>
  <c r="BI126" i="6"/>
  <c r="BE126" i="6"/>
  <c r="BA126" i="6"/>
  <c r="AW126" i="6"/>
  <c r="AW79" i="6" s="1" a="1"/>
  <c r="AW79" i="6" s="1"/>
  <c r="AU63" i="6"/>
  <c r="AQ63" i="6"/>
  <c r="AQ16" i="6" s="1"/>
  <c r="AX10" i="6"/>
  <c r="AX20" i="5"/>
  <c r="BO230" i="6"/>
  <c r="BC230" i="6"/>
  <c r="BH178" i="6"/>
  <c r="BK126" i="6"/>
  <c r="BG126" i="6"/>
  <c r="BC126" i="6"/>
  <c r="AY126" i="6"/>
  <c r="BP230" i="6"/>
  <c r="BL230" i="6"/>
  <c r="BH230" i="6"/>
  <c r="BD230" i="6"/>
  <c r="AZ230" i="6"/>
  <c r="BI178" i="6"/>
  <c r="BE178" i="6"/>
  <c r="BA178" i="6"/>
  <c r="AW178" i="6"/>
  <c r="AW131" i="6" s="1" a="1"/>
  <c r="AW131" i="6" s="1"/>
  <c r="BH126" i="6"/>
  <c r="BD126" i="6"/>
  <c r="AZ126" i="6"/>
  <c r="AT63" i="6"/>
  <c r="AX11" i="6"/>
  <c r="BK230" i="6"/>
  <c r="AY230" i="6"/>
  <c r="BD178" i="6"/>
  <c r="AS63" i="6"/>
  <c r="BM2663" i="6"/>
  <c r="BI2663" i="6"/>
  <c r="BE2663" i="6"/>
  <c r="BA2663" i="6"/>
  <c r="BM2611" i="6"/>
  <c r="BI2611" i="6"/>
  <c r="BE2611" i="6"/>
  <c r="BA2611" i="6"/>
  <c r="BL2559" i="6"/>
  <c r="BH2559" i="6"/>
  <c r="BD2559" i="6"/>
  <c r="BL2663" i="6"/>
  <c r="BL2612" i="6" s="1"/>
  <c r="BG2663" i="6"/>
  <c r="BB2663" i="6"/>
  <c r="BL2611" i="6"/>
  <c r="BG2611" i="6"/>
  <c r="BB2611" i="6"/>
  <c r="BN2559" i="6"/>
  <c r="BI2559" i="6"/>
  <c r="BC2559" i="6"/>
  <c r="BP2663" i="6"/>
  <c r="BK2663" i="6"/>
  <c r="BF2663" i="6"/>
  <c r="BF2612" i="6" s="1"/>
  <c r="BK2611" i="6"/>
  <c r="BF2611" i="6"/>
  <c r="BM2559" i="6"/>
  <c r="BG2559" i="6"/>
  <c r="BB2559" i="6"/>
  <c r="BO2663" i="6"/>
  <c r="BJ2663" i="6"/>
  <c r="BD2663" i="6"/>
  <c r="BO2611" i="6"/>
  <c r="BO2560" i="6" s="1" a="1"/>
  <c r="BO2560" i="6" s="1"/>
  <c r="BJ2611" i="6"/>
  <c r="BD2611" i="6"/>
  <c r="BK2559" i="6"/>
  <c r="BF2559" i="6"/>
  <c r="BA2559" i="6"/>
  <c r="BH2663" i="6"/>
  <c r="BC2611" i="6"/>
  <c r="BJ2559" i="6"/>
  <c r="AZ2505" i="6"/>
  <c r="AZ2454" i="6" s="1"/>
  <c r="BC2663" i="6"/>
  <c r="BE2559" i="6"/>
  <c r="BN2611" i="6"/>
  <c r="BN2663" i="6"/>
  <c r="BH2611" i="6"/>
  <c r="BO2559" i="6"/>
  <c r="BO2508" i="6" s="1" a="1"/>
  <c r="BO2508" i="6" s="1"/>
  <c r="BB21" i="5"/>
  <c r="AX39" i="23"/>
  <c r="AY2451" i="6" s="1"/>
  <c r="AX32" i="22"/>
  <c r="AX32" i="21"/>
  <c r="AX32" i="20"/>
  <c r="AX32" i="19"/>
  <c r="AX37" i="17"/>
  <c r="AX32" i="18"/>
  <c r="AX42" i="16"/>
  <c r="AX34" i="15"/>
  <c r="AX41" i="13"/>
  <c r="AY7" i="7"/>
  <c r="AX49" i="14"/>
  <c r="AW1096" i="6"/>
  <c r="BH627" i="6"/>
  <c r="BD627" i="6"/>
  <c r="AZ627" i="6"/>
  <c r="AV627" i="6"/>
  <c r="AV581" i="6" s="1"/>
  <c r="BH575" i="6"/>
  <c r="BD575" i="6"/>
  <c r="AZ575" i="6"/>
  <c r="AV575" i="6"/>
  <c r="AV529" i="6" s="1" a="1"/>
  <c r="AV529" i="6" s="1"/>
  <c r="BH523" i="6"/>
  <c r="BD523" i="6"/>
  <c r="AZ523" i="6"/>
  <c r="AV523" i="6"/>
  <c r="AV477" i="6" s="1" a="1"/>
  <c r="AV477" i="6" s="1"/>
  <c r="BK627" i="6"/>
  <c r="BG627" i="6"/>
  <c r="BC627" i="6"/>
  <c r="AY627" i="6"/>
  <c r="BG575" i="6"/>
  <c r="BC575" i="6"/>
  <c r="AY575" i="6"/>
  <c r="BG523" i="6"/>
  <c r="BC523" i="6"/>
  <c r="AY523" i="6"/>
  <c r="AU469" i="6"/>
  <c r="AW422" i="6"/>
  <c r="BE627" i="6"/>
  <c r="AW627" i="6"/>
  <c r="BI575" i="6"/>
  <c r="BA575" i="6"/>
  <c r="BE523" i="6"/>
  <c r="AW523" i="6"/>
  <c r="AS469" i="6"/>
  <c r="AS423" i="6" s="1"/>
  <c r="BJ627" i="6"/>
  <c r="BF627" i="6"/>
  <c r="BB627" i="6"/>
  <c r="AX627" i="6"/>
  <c r="BJ575" i="6"/>
  <c r="BF575" i="6"/>
  <c r="BB575" i="6"/>
  <c r="AX575" i="6"/>
  <c r="BJ523" i="6"/>
  <c r="BF523" i="6"/>
  <c r="BB523" i="6"/>
  <c r="AX523" i="6"/>
  <c r="AT469" i="6"/>
  <c r="BI627" i="6"/>
  <c r="BA627" i="6"/>
  <c r="BE575" i="6"/>
  <c r="AW575" i="6"/>
  <c r="BI523" i="6"/>
  <c r="BA523" i="6"/>
  <c r="AW59" i="12"/>
  <c r="AX248" i="6" s="1"/>
  <c r="AX60" i="12"/>
  <c r="AX246" i="6"/>
  <c r="AU633" i="6"/>
  <c r="AU634" i="6"/>
  <c r="AP1165" i="6"/>
  <c r="AP1322" i="6" s="1"/>
  <c r="AP1164" i="6"/>
  <c r="AX17" i="21"/>
  <c r="AX2007" i="6"/>
  <c r="AU645" i="6"/>
  <c r="AX2231" i="6"/>
  <c r="AY2226" i="6"/>
  <c r="AX2230" i="6"/>
  <c r="AY13" i="5"/>
  <c r="AV44" i="8"/>
  <c r="AW24" i="8"/>
  <c r="AY66" i="14"/>
  <c r="AX57" i="14"/>
  <c r="AX56" i="14" s="1"/>
  <c r="BM1543" i="6"/>
  <c r="BI1543" i="6"/>
  <c r="BE1543" i="6"/>
  <c r="BA1543" i="6"/>
  <c r="BK1491" i="6"/>
  <c r="BG1491" i="6"/>
  <c r="BC1491" i="6"/>
  <c r="AY1491" i="6"/>
  <c r="BJ1439" i="6"/>
  <c r="BF1439" i="6"/>
  <c r="BB1439" i="6"/>
  <c r="AX1439" i="6"/>
  <c r="AX1391" i="6" s="1" a="1"/>
  <c r="AX1391" i="6" s="1"/>
  <c r="AV1385" i="6"/>
  <c r="BL1543" i="6"/>
  <c r="BH1543" i="6"/>
  <c r="BD1543" i="6"/>
  <c r="AZ1543" i="6"/>
  <c r="BJ1491" i="6"/>
  <c r="BF1491" i="6"/>
  <c r="BB1491" i="6"/>
  <c r="AX1491" i="6"/>
  <c r="AX1443" i="6" s="1" a="1"/>
  <c r="AX1443" i="6" s="1"/>
  <c r="BI1439" i="6"/>
  <c r="BE1439" i="6"/>
  <c r="BA1439" i="6"/>
  <c r="AU1385" i="6"/>
  <c r="AU1337" i="6" s="1"/>
  <c r="BK1543" i="6"/>
  <c r="BG1543" i="6"/>
  <c r="BC1543" i="6"/>
  <c r="AY1543" i="6"/>
  <c r="BI1491" i="6"/>
  <c r="BE1491" i="6"/>
  <c r="BA1491" i="6"/>
  <c r="BL1439" i="6"/>
  <c r="BH1439" i="6"/>
  <c r="BD1439" i="6"/>
  <c r="AZ1439" i="6"/>
  <c r="BJ1543" i="6"/>
  <c r="BF1543" i="6"/>
  <c r="BB1543" i="6"/>
  <c r="AX1543" i="6"/>
  <c r="AX1495" i="6" s="1"/>
  <c r="BL1491" i="6"/>
  <c r="BH1491" i="6"/>
  <c r="BD1491" i="6"/>
  <c r="AZ1491" i="6"/>
  <c r="BK1439" i="6"/>
  <c r="BG1439" i="6"/>
  <c r="BC1439" i="6"/>
  <c r="AY1439" i="6"/>
  <c r="AW1385" i="6"/>
  <c r="AY1336" i="6"/>
  <c r="AY1559" i="6"/>
  <c r="AY1560" i="6"/>
  <c r="AZ1555" i="6"/>
  <c r="AZ11" i="5"/>
  <c r="AY658" i="6"/>
  <c r="AY655" i="6"/>
  <c r="AZ653" i="6"/>
  <c r="AZ6" i="5"/>
  <c r="AY657" i="6"/>
  <c r="AP47" i="5"/>
  <c r="AP45" i="5"/>
  <c r="AZ70" i="13"/>
  <c r="AY48" i="13"/>
  <c r="AS19" i="17"/>
  <c r="AS1105" i="6"/>
  <c r="BG2938" i="6"/>
  <c r="BC2938" i="6"/>
  <c r="AY2938" i="6"/>
  <c r="AU2938" i="6"/>
  <c r="AU2893" i="6" s="1" a="1"/>
  <c r="AU2893" i="6" s="1"/>
  <c r="BF2886" i="6"/>
  <c r="BB2886" i="6"/>
  <c r="AX2886" i="6"/>
  <c r="BE2938" i="6"/>
  <c r="AZ2938" i="6"/>
  <c r="BI2886" i="6"/>
  <c r="BD2886" i="6"/>
  <c r="AY2886" i="6"/>
  <c r="BI2938" i="6"/>
  <c r="BD2938" i="6"/>
  <c r="AX2938" i="6"/>
  <c r="BH2886" i="6"/>
  <c r="BC2886" i="6"/>
  <c r="AW2886" i="6"/>
  <c r="BH2938" i="6"/>
  <c r="BB2938" i="6"/>
  <c r="AW2938" i="6"/>
  <c r="BF2938" i="6"/>
  <c r="AZ2886" i="6"/>
  <c r="BA2938" i="6"/>
  <c r="BG2886" i="6"/>
  <c r="AV2886" i="6"/>
  <c r="AV2938" i="6"/>
  <c r="BE2886" i="6"/>
  <c r="AU2886" i="6"/>
  <c r="AU2841" i="6" s="1" a="1"/>
  <c r="AU2841" i="6" s="1"/>
  <c r="BA2886" i="6"/>
  <c r="AX13" i="6"/>
  <c r="AY3" i="5"/>
  <c r="AX14" i="6"/>
  <c r="AY8" i="6"/>
  <c r="BJ2218" i="6"/>
  <c r="BF2218" i="6"/>
  <c r="BB2218" i="6"/>
  <c r="AX2218" i="6"/>
  <c r="AX2170" i="6" s="1"/>
  <c r="BL2166" i="6"/>
  <c r="BH2166" i="6"/>
  <c r="BD2166" i="6"/>
  <c r="AZ2166" i="6"/>
  <c r="BK2114" i="6"/>
  <c r="BG2114" i="6"/>
  <c r="BC2114" i="6"/>
  <c r="AY2114" i="6"/>
  <c r="AW2060" i="6"/>
  <c r="AY2011" i="6"/>
  <c r="BM2218" i="6"/>
  <c r="BI2218" i="6"/>
  <c r="BE2218" i="6"/>
  <c r="BA2218" i="6"/>
  <c r="BK2166" i="6"/>
  <c r="BG2166" i="6"/>
  <c r="BC2166" i="6"/>
  <c r="AY2166" i="6"/>
  <c r="BJ2114" i="6"/>
  <c r="BF2114" i="6"/>
  <c r="BB2114" i="6"/>
  <c r="AX2114" i="6"/>
  <c r="AV2060" i="6"/>
  <c r="BL2218" i="6"/>
  <c r="BH2218" i="6"/>
  <c r="BD2218" i="6"/>
  <c r="AZ2218" i="6"/>
  <c r="BJ2166" i="6"/>
  <c r="BF2166" i="6"/>
  <c r="BB2166" i="6"/>
  <c r="AX2166" i="6"/>
  <c r="BI2114" i="6"/>
  <c r="BE2114" i="6"/>
  <c r="BA2114" i="6"/>
  <c r="AU2060" i="6"/>
  <c r="AU2012" i="6" s="1"/>
  <c r="BK2218" i="6"/>
  <c r="BG2218" i="6"/>
  <c r="BC2218" i="6"/>
  <c r="AY2218" i="6"/>
  <c r="BI2166" i="6"/>
  <c r="BH2114" i="6"/>
  <c r="BE2166" i="6"/>
  <c r="BD2114" i="6"/>
  <c r="BA2166" i="6"/>
  <c r="AZ2114" i="6"/>
  <c r="BL2114" i="6"/>
  <c r="AY17" i="22"/>
  <c r="AY2228" i="6"/>
  <c r="AY2008" i="6"/>
  <c r="AZ2006" i="6"/>
  <c r="AY2004" i="6"/>
  <c r="AS24" i="17"/>
  <c r="AS1107" i="6"/>
  <c r="AT18" i="5" s="1"/>
  <c r="AV71" i="9"/>
  <c r="AV72" i="9"/>
  <c r="AW2838" i="6"/>
  <c r="BN2826" i="6"/>
  <c r="BJ2826" i="6"/>
  <c r="BF2826" i="6"/>
  <c r="BB2826" i="6"/>
  <c r="AX2826" i="6"/>
  <c r="AW2672" i="6"/>
  <c r="BM2826" i="6"/>
  <c r="BH2826" i="6"/>
  <c r="BC2826" i="6"/>
  <c r="AW2826" i="6"/>
  <c r="AW2779" i="6" s="1"/>
  <c r="BQ2826" i="6"/>
  <c r="BL2826" i="6"/>
  <c r="BG2826" i="6"/>
  <c r="BA2826" i="6"/>
  <c r="BI2826" i="6"/>
  <c r="AY2826" i="6"/>
  <c r="BP2826" i="6"/>
  <c r="BE2826" i="6"/>
  <c r="BO2826" i="6"/>
  <c r="BD2826" i="6"/>
  <c r="BK2826" i="6"/>
  <c r="AZ2826" i="6"/>
  <c r="AW2673" i="6"/>
  <c r="AW2778" i="6"/>
  <c r="AW2835" i="6"/>
  <c r="AW92" i="9"/>
  <c r="AW66" i="9"/>
  <c r="AW64" i="9"/>
  <c r="AW61" i="9"/>
  <c r="AX3005" i="6" s="1"/>
  <c r="AW58" i="9"/>
  <c r="AW17" i="9"/>
  <c r="AW15" i="9" s="1"/>
  <c r="AX2671" i="6" s="1"/>
  <c r="AW16" i="9"/>
  <c r="AW8" i="9"/>
  <c r="AX2670" i="6" s="1"/>
  <c r="AY2669" i="6" s="1"/>
  <c r="AW3" i="9"/>
  <c r="AW69" i="9"/>
  <c r="AX93" i="9"/>
  <c r="AW74" i="9"/>
  <c r="AW68" i="9"/>
  <c r="AX2837" i="6" s="1"/>
  <c r="AW65" i="9"/>
  <c r="AW63" i="9"/>
  <c r="AW57" i="9"/>
  <c r="AX3002" i="6" s="1"/>
  <c r="AW4" i="9"/>
  <c r="AY1781" i="6"/>
  <c r="AX1783" i="6"/>
  <c r="AX1779" i="6"/>
  <c r="BP403" i="6"/>
  <c r="BL403" i="6"/>
  <c r="BH403" i="6"/>
  <c r="BD403" i="6"/>
  <c r="AZ403" i="6"/>
  <c r="BO403" i="6"/>
  <c r="BK403" i="6"/>
  <c r="BG403" i="6"/>
  <c r="BC403" i="6"/>
  <c r="AY403" i="6"/>
  <c r="BQ403" i="6"/>
  <c r="BI403" i="6"/>
  <c r="BA403" i="6"/>
  <c r="AW403" i="6"/>
  <c r="AW356" i="6" s="1"/>
  <c r="BN403" i="6"/>
  <c r="BJ403" i="6"/>
  <c r="BF403" i="6"/>
  <c r="BB403" i="6"/>
  <c r="AX403" i="6"/>
  <c r="AW249" i="6"/>
  <c r="AX29" i="5"/>
  <c r="BM403" i="6"/>
  <c r="BE403" i="6"/>
  <c r="AW250" i="6"/>
  <c r="AW355" i="6"/>
  <c r="AX2066" i="6" a="1"/>
  <c r="AX2066" i="6" s="1"/>
  <c r="AX2118" i="6" a="1"/>
  <c r="AX2118" i="6" s="1"/>
  <c r="BL1992" i="6"/>
  <c r="BH1992" i="6"/>
  <c r="BD1992" i="6"/>
  <c r="AZ1992" i="6"/>
  <c r="BI1940" i="6"/>
  <c r="BE1940" i="6"/>
  <c r="BA1940" i="6"/>
  <c r="AW1940" i="6"/>
  <c r="AW1893" i="6" s="1" a="1"/>
  <c r="AW1893" i="6" s="1"/>
  <c r="BH1888" i="6"/>
  <c r="BD1888" i="6"/>
  <c r="AZ1888" i="6"/>
  <c r="BK1992" i="6"/>
  <c r="BG1992" i="6"/>
  <c r="BC1992" i="6"/>
  <c r="AY1992" i="6"/>
  <c r="BH1940" i="6"/>
  <c r="BD1940" i="6"/>
  <c r="AZ1940" i="6"/>
  <c r="BK1888" i="6"/>
  <c r="BG1888" i="6"/>
  <c r="BC1888" i="6"/>
  <c r="AY1888" i="6"/>
  <c r="BJ1992" i="6"/>
  <c r="BF1992" i="6"/>
  <c r="BB1992" i="6"/>
  <c r="AX1992" i="6"/>
  <c r="BK1940" i="6"/>
  <c r="BG1940" i="6"/>
  <c r="BC1940" i="6"/>
  <c r="AY1940" i="6"/>
  <c r="BJ1888" i="6"/>
  <c r="BF1888" i="6"/>
  <c r="BB1888" i="6"/>
  <c r="AX1888" i="6"/>
  <c r="BA1992" i="6"/>
  <c r="AX1940" i="6"/>
  <c r="AW1888" i="6"/>
  <c r="AW1841" i="6" s="1" a="1"/>
  <c r="AW1841" i="6" s="1"/>
  <c r="AV1834" i="6"/>
  <c r="AW1992" i="6"/>
  <c r="AW1945" i="6" s="1"/>
  <c r="BJ1940" i="6"/>
  <c r="BI1888" i="6"/>
  <c r="AU1834" i="6"/>
  <c r="BI1992" i="6"/>
  <c r="BF1940" i="6"/>
  <c r="BE1888" i="6"/>
  <c r="AT1834" i="6"/>
  <c r="AT1787" i="6" s="1"/>
  <c r="BE1992" i="6"/>
  <c r="BB1940" i="6"/>
  <c r="BA1888" i="6"/>
  <c r="AX1786" i="6"/>
  <c r="AU3166" i="6"/>
  <c r="AV2444" i="6"/>
  <c r="BJ3106" i="6"/>
  <c r="BF3106" i="6"/>
  <c r="BB3106" i="6"/>
  <c r="AX3106" i="6"/>
  <c r="BI3054" i="6"/>
  <c r="BE3054" i="6"/>
  <c r="BA3054" i="6"/>
  <c r="AW3054" i="6"/>
  <c r="BI3106" i="6"/>
  <c r="BE3106" i="6"/>
  <c r="BA3106" i="6"/>
  <c r="AW3106" i="6"/>
  <c r="BH3054" i="6"/>
  <c r="BD3054" i="6"/>
  <c r="AZ3054" i="6"/>
  <c r="AV3054" i="6"/>
  <c r="AV3008" i="6" s="1" a="1"/>
  <c r="AV3008" i="6" s="1"/>
  <c r="BC3106" i="6"/>
  <c r="BJ3054" i="6"/>
  <c r="BB3054" i="6"/>
  <c r="BH3106" i="6"/>
  <c r="AZ3106" i="6"/>
  <c r="BG3054" i="6"/>
  <c r="AY3054" i="6"/>
  <c r="BG3106" i="6"/>
  <c r="AY3106" i="6"/>
  <c r="BF3054" i="6"/>
  <c r="AX3054" i="6"/>
  <c r="BD3106" i="6"/>
  <c r="BC3054" i="6"/>
  <c r="AV3106" i="6"/>
  <c r="AV3060" i="6" s="1" a="1"/>
  <c r="AV3060" i="6" s="1"/>
  <c r="AU36" i="11"/>
  <c r="AU3170" i="6"/>
  <c r="AX2665" i="6"/>
  <c r="AP77" i="6"/>
  <c r="AP78" i="6"/>
  <c r="AP235" i="6" s="1"/>
  <c r="AQ22" i="5"/>
  <c r="AQ25" i="5" s="1"/>
  <c r="AQ43" i="5" s="1"/>
  <c r="BJ2438" i="6"/>
  <c r="BF2438" i="6"/>
  <c r="BB2438" i="6"/>
  <c r="AX2438" i="6"/>
  <c r="BN2386" i="6"/>
  <c r="BJ2386" i="6"/>
  <c r="BF2386" i="6"/>
  <c r="BB2386" i="6"/>
  <c r="AX2386" i="6"/>
  <c r="BM2334" i="6"/>
  <c r="BI2334" i="6"/>
  <c r="BE2334" i="6"/>
  <c r="BA2334" i="6"/>
  <c r="AW2334" i="6"/>
  <c r="AW2287" i="6" s="1" a="1"/>
  <c r="AW2287" i="6" s="1"/>
  <c r="AV2280" i="6"/>
  <c r="BI2438" i="6"/>
  <c r="BE2438" i="6"/>
  <c r="BA2438" i="6"/>
  <c r="AW2438" i="6"/>
  <c r="AW2391" i="6" s="1"/>
  <c r="BM2386" i="6"/>
  <c r="BI2386" i="6"/>
  <c r="BE2386" i="6"/>
  <c r="BA2386" i="6"/>
  <c r="AW2386" i="6"/>
  <c r="AW2339" i="6" s="1" a="1"/>
  <c r="AW2339" i="6" s="1"/>
  <c r="BL2334" i="6"/>
  <c r="BH2334" i="6"/>
  <c r="BD2334" i="6"/>
  <c r="AZ2334" i="6"/>
  <c r="AU2280" i="6"/>
  <c r="BL2438" i="6"/>
  <c r="BH2438" i="6"/>
  <c r="BD2438" i="6"/>
  <c r="AZ2438" i="6"/>
  <c r="BP2386" i="6"/>
  <c r="BL2386" i="6"/>
  <c r="BH2386" i="6"/>
  <c r="BD2386" i="6"/>
  <c r="AZ2386" i="6"/>
  <c r="BO2334" i="6"/>
  <c r="BK2334" i="6"/>
  <c r="BG2334" i="6"/>
  <c r="BC2334" i="6"/>
  <c r="AY2334" i="6"/>
  <c r="AT2280" i="6"/>
  <c r="AT2233" i="6" s="1"/>
  <c r="AX2232" i="6"/>
  <c r="BK2438" i="6"/>
  <c r="BG2438" i="6"/>
  <c r="BC2438" i="6"/>
  <c r="AY2438" i="6"/>
  <c r="BO2386" i="6"/>
  <c r="BK2386" i="6"/>
  <c r="BG2386" i="6"/>
  <c r="BC2386" i="6"/>
  <c r="AY2386" i="6"/>
  <c r="BN2334" i="6"/>
  <c r="BJ2334" i="6"/>
  <c r="BF2334" i="6"/>
  <c r="BB2334" i="6"/>
  <c r="AX2334" i="6"/>
  <c r="AX2225" i="6"/>
  <c r="AV3165" i="6"/>
  <c r="AW1548" i="6"/>
  <c r="AZ408" i="6"/>
  <c r="AZ247" i="6"/>
  <c r="AZ244" i="6"/>
  <c r="BA28" i="5" s="1"/>
  <c r="AZ245" i="6"/>
  <c r="AZ67" i="12"/>
  <c r="AZ56" i="17"/>
  <c r="AY44" i="17"/>
  <c r="AX2506" i="6"/>
  <c r="AX2507" i="6"/>
  <c r="AX2664" i="6" s="1"/>
  <c r="BN2612" i="6"/>
  <c r="BA866" i="6"/>
  <c r="BK814" i="6"/>
  <c r="BG814" i="6"/>
  <c r="BC814" i="6"/>
  <c r="AY814" i="6"/>
  <c r="BL762" i="6"/>
  <c r="BH762" i="6"/>
  <c r="BD762" i="6"/>
  <c r="AZ762" i="6"/>
  <c r="AZ866" i="6"/>
  <c r="BJ814" i="6"/>
  <c r="BF814" i="6"/>
  <c r="BB814" i="6"/>
  <c r="AX814" i="6"/>
  <c r="AX766" i="6" s="1" a="1"/>
  <c r="AX766" i="6" s="1"/>
  <c r="BK762" i="6"/>
  <c r="BG762" i="6"/>
  <c r="BC762" i="6"/>
  <c r="AY762" i="6"/>
  <c r="AV708" i="6"/>
  <c r="BC866" i="6"/>
  <c r="AY866" i="6"/>
  <c r="BI814" i="6"/>
  <c r="BE814" i="6"/>
  <c r="BA814" i="6"/>
  <c r="BJ762" i="6"/>
  <c r="BF762" i="6"/>
  <c r="BB762" i="6"/>
  <c r="AX762" i="6"/>
  <c r="AX714" i="6" s="1" a="1"/>
  <c r="AX714" i="6" s="1"/>
  <c r="BB866" i="6"/>
  <c r="AX866" i="6"/>
  <c r="AX818" i="6" s="1"/>
  <c r="AX871" i="6" s="1"/>
  <c r="BL814" i="6"/>
  <c r="BH814" i="6"/>
  <c r="BD814" i="6"/>
  <c r="AZ814" i="6"/>
  <c r="BI762" i="6"/>
  <c r="BE762" i="6"/>
  <c r="BA762" i="6"/>
  <c r="AY659" i="6"/>
  <c r="AW708" i="6"/>
  <c r="AW27" i="5"/>
  <c r="AY652" i="6"/>
  <c r="AZ654" i="6"/>
  <c r="AY656" i="6"/>
  <c r="AV937" i="6"/>
  <c r="AV938" i="6"/>
  <c r="AV1095" i="6" s="1"/>
  <c r="AV251" i="6" a="1"/>
  <c r="AV251" i="6" s="1"/>
  <c r="AV409" i="6" s="1"/>
  <c r="AW2668" i="6"/>
  <c r="AW418" i="6"/>
  <c r="AW414" i="6"/>
  <c r="AW421" i="6"/>
  <c r="AW417" i="6"/>
  <c r="AX412" i="6"/>
  <c r="AW420" i="6"/>
  <c r="AW415" i="6"/>
  <c r="AX4" i="5"/>
  <c r="AX5" i="5"/>
  <c r="AR46" i="5"/>
  <c r="AR44" i="5"/>
  <c r="AS21" i="17"/>
  <c r="AS1106" i="6"/>
  <c r="AT19" i="5" s="1"/>
  <c r="AY882" i="6"/>
  <c r="AY883" i="6"/>
  <c r="AY880" i="6"/>
  <c r="AZ878" i="6"/>
  <c r="AZ7" i="5"/>
  <c r="AW413" i="6"/>
  <c r="AV635" i="6"/>
  <c r="AW23" i="5" s="1"/>
  <c r="AV419" i="6"/>
  <c r="AU22" i="9"/>
  <c r="AW15" i="5"/>
  <c r="AW871" i="6"/>
  <c r="AY1554" i="6"/>
  <c r="AX1784" i="6"/>
  <c r="AX1785" i="6"/>
  <c r="AY1780" i="6"/>
  <c r="AY12" i="5"/>
  <c r="AZ39" i="18"/>
  <c r="AY36" i="18"/>
  <c r="AX1102" i="6"/>
  <c r="AY1104" i="6"/>
  <c r="AX1108" i="6"/>
  <c r="AU2833" i="6"/>
  <c r="AU2832" i="6"/>
  <c r="AX17" i="18"/>
  <c r="AX1332" i="6"/>
  <c r="AX1548" i="6" s="1"/>
  <c r="AW26" i="5"/>
  <c r="AV2831" i="6"/>
  <c r="AX17" i="20"/>
  <c r="AX1782" i="6"/>
  <c r="BD2560" i="6" a="1"/>
  <c r="BD2560" i="6" s="1"/>
  <c r="BM2560" i="6" a="1"/>
  <c r="BM2560" i="6" s="1"/>
  <c r="AY1334" i="6"/>
  <c r="AY1335" i="6"/>
  <c r="AZ1330" i="6"/>
  <c r="AZ10" i="5"/>
  <c r="AZ36" i="22"/>
  <c r="BA38" i="22"/>
  <c r="BA36" i="22" s="1"/>
  <c r="AX1109" i="6"/>
  <c r="AX1110" i="6"/>
  <c r="AY1103" i="6"/>
  <c r="AY9" i="5"/>
  <c r="AZ1331" i="6"/>
  <c r="AY1329" i="6"/>
  <c r="AY1333" i="6"/>
  <c r="BK1768" i="6"/>
  <c r="BG1768" i="6"/>
  <c r="BC1768" i="6"/>
  <c r="AY1768" i="6"/>
  <c r="BI1716" i="6"/>
  <c r="BE1716" i="6"/>
  <c r="BA1716" i="6"/>
  <c r="BL1664" i="6"/>
  <c r="BH1664" i="6"/>
  <c r="BD1664" i="6"/>
  <c r="AZ1664" i="6"/>
  <c r="BL1768" i="6"/>
  <c r="BF1768" i="6"/>
  <c r="BA1768" i="6"/>
  <c r="BJ1716" i="6"/>
  <c r="BD1716" i="6"/>
  <c r="AY1716" i="6"/>
  <c r="BI1664" i="6"/>
  <c r="BC1664" i="6"/>
  <c r="AX1664" i="6"/>
  <c r="AX1616" i="6" s="1" a="1"/>
  <c r="AX1616" i="6" s="1"/>
  <c r="AW1610" i="6"/>
  <c r="AY1561" i="6"/>
  <c r="BJ1768" i="6"/>
  <c r="BE1768" i="6"/>
  <c r="AZ1768" i="6"/>
  <c r="BH1716" i="6"/>
  <c r="BC1716" i="6"/>
  <c r="AX1716" i="6"/>
  <c r="AX1668" i="6" s="1" a="1"/>
  <c r="AX1668" i="6" s="1"/>
  <c r="BG1664" i="6"/>
  <c r="BB1664" i="6"/>
  <c r="AV1610" i="6"/>
  <c r="BI1768" i="6"/>
  <c r="BD1768" i="6"/>
  <c r="AX1768" i="6"/>
  <c r="AX1720" i="6" s="1"/>
  <c r="BL1716" i="6"/>
  <c r="BG1716" i="6"/>
  <c r="BB1716" i="6"/>
  <c r="BK1664" i="6"/>
  <c r="BF1664" i="6"/>
  <c r="BA1664" i="6"/>
  <c r="AU1610" i="6"/>
  <c r="AU1562" i="6" s="1"/>
  <c r="BM1768" i="6"/>
  <c r="BH1768" i="6"/>
  <c r="BB1768" i="6"/>
  <c r="BK1716" i="6"/>
  <c r="BF1716" i="6"/>
  <c r="AZ1716" i="6"/>
  <c r="BJ1664" i="6"/>
  <c r="BE1664" i="6"/>
  <c r="AY1664" i="6"/>
  <c r="AV660" i="6"/>
  <c r="BA61" i="14"/>
  <c r="AY2009" i="6"/>
  <c r="AY2010" i="6"/>
  <c r="AZ2005" i="6"/>
  <c r="BL2662" i="6"/>
  <c r="BH2662" i="6"/>
  <c r="BD2662" i="6"/>
  <c r="AZ2662" i="6"/>
  <c r="AZ2612" i="6" s="1"/>
  <c r="BK2610" i="6"/>
  <c r="BK2560" i="6" s="1" a="1"/>
  <c r="BK2560" i="6" s="1"/>
  <c r="BG2610" i="6"/>
  <c r="BG2560" i="6" s="1" a="1"/>
  <c r="BG2560" i="6" s="1"/>
  <c r="BC2610" i="6"/>
  <c r="BC2560" i="6" s="1" a="1"/>
  <c r="BC2560" i="6" s="1"/>
  <c r="BN2558" i="6"/>
  <c r="BN2508" i="6" s="1" a="1"/>
  <c r="BN2508" i="6" s="1"/>
  <c r="BJ2558" i="6"/>
  <c r="BJ2508" i="6" s="1" a="1"/>
  <c r="BJ2508" i="6" s="1"/>
  <c r="BF2558" i="6"/>
  <c r="BF2508" i="6" s="1" a="1"/>
  <c r="BF2508" i="6" s="1"/>
  <c r="BB2558" i="6"/>
  <c r="BB2508" i="6" s="1" a="1"/>
  <c r="BB2508" i="6" s="1"/>
  <c r="BK2662" i="6"/>
  <c r="BF2662" i="6"/>
  <c r="BA2662" i="6"/>
  <c r="BJ2610" i="6"/>
  <c r="BJ2560" i="6" s="1" a="1"/>
  <c r="BJ2560" i="6" s="1"/>
  <c r="BE2610" i="6"/>
  <c r="AZ2610" i="6"/>
  <c r="AZ2560" i="6" s="1" a="1"/>
  <c r="AZ2560" i="6" s="1"/>
  <c r="BL2558" i="6"/>
  <c r="BL2508" i="6" s="1" a="1"/>
  <c r="BL2508" i="6" s="1"/>
  <c r="BG2558" i="6"/>
  <c r="BG2508" i="6" s="1" a="1"/>
  <c r="BG2508" i="6" s="1"/>
  <c r="BA2558" i="6"/>
  <c r="BA2508" i="6" s="1" a="1"/>
  <c r="BA2508" i="6" s="1"/>
  <c r="BO2662" i="6"/>
  <c r="BO2612" i="6" s="1"/>
  <c r="BJ2662" i="6"/>
  <c r="BJ2612" i="6" s="1"/>
  <c r="BE2662" i="6"/>
  <c r="BN2610" i="6"/>
  <c r="BN2560" i="6" s="1" a="1"/>
  <c r="BN2560" i="6" s="1"/>
  <c r="BI2610" i="6"/>
  <c r="BI2560" i="6" s="1" a="1"/>
  <c r="BI2560" i="6" s="1"/>
  <c r="BD2610" i="6"/>
  <c r="BK2558" i="6"/>
  <c r="BK2508" i="6" s="1" a="1"/>
  <c r="BK2508" i="6" s="1"/>
  <c r="BE2558" i="6"/>
  <c r="BE2508" i="6" s="1" a="1"/>
  <c r="BE2508" i="6" s="1"/>
  <c r="AZ2558" i="6"/>
  <c r="AZ2508" i="6" s="1" a="1"/>
  <c r="AZ2508" i="6" s="1"/>
  <c r="BN2662" i="6"/>
  <c r="BI2662" i="6"/>
  <c r="BC2662" i="6"/>
  <c r="BM2610" i="6"/>
  <c r="BH2610" i="6"/>
  <c r="BB2610" i="6"/>
  <c r="BB2560" i="6" s="1" a="1"/>
  <c r="BB2560" i="6" s="1"/>
  <c r="BI2558" i="6"/>
  <c r="BI2508" i="6" s="1" a="1"/>
  <c r="BI2508" i="6" s="1"/>
  <c r="BD2558" i="6"/>
  <c r="BD2508" i="6" s="1" a="1"/>
  <c r="BD2508" i="6" s="1"/>
  <c r="BB2662" i="6"/>
  <c r="BC2558" i="6"/>
  <c r="BC2508" i="6" s="1" a="1"/>
  <c r="BC2508" i="6" s="1"/>
  <c r="BL2610" i="6"/>
  <c r="AY2504" i="6"/>
  <c r="AY2454" i="6" s="1"/>
  <c r="BM2662" i="6"/>
  <c r="BM2612" i="6" s="1"/>
  <c r="BF2610" i="6"/>
  <c r="BF2560" i="6" s="1" a="1"/>
  <c r="BF2560" i="6" s="1"/>
  <c r="BM2558" i="6"/>
  <c r="BM2508" i="6" s="1" a="1"/>
  <c r="BM2508" i="6" s="1"/>
  <c r="BA2453" i="6"/>
  <c r="BG2662" i="6"/>
  <c r="BA2610" i="6"/>
  <c r="BA2560" i="6" s="1" a="1"/>
  <c r="BA2560" i="6" s="1"/>
  <c r="BH2558" i="6"/>
  <c r="BH2508" i="6" s="1" a="1"/>
  <c r="BH2508" i="6" s="1"/>
  <c r="BA21" i="5"/>
  <c r="BR349" i="6"/>
  <c r="BN349" i="6"/>
  <c r="BJ349" i="6"/>
  <c r="BF349" i="6"/>
  <c r="BB349" i="6"/>
  <c r="AX349" i="6"/>
  <c r="BS297" i="6"/>
  <c r="BO297" i="6"/>
  <c r="BK297" i="6"/>
  <c r="BG297" i="6"/>
  <c r="BC297" i="6"/>
  <c r="AY297" i="6"/>
  <c r="BS349" i="6"/>
  <c r="BG349" i="6"/>
  <c r="BP297" i="6"/>
  <c r="AZ297" i="6"/>
  <c r="BQ349" i="6"/>
  <c r="BM349" i="6"/>
  <c r="BI349" i="6"/>
  <c r="BE349" i="6"/>
  <c r="BA349" i="6"/>
  <c r="AW349" i="6"/>
  <c r="BR297" i="6"/>
  <c r="BN297" i="6"/>
  <c r="BJ297" i="6"/>
  <c r="BF297" i="6"/>
  <c r="BB297" i="6"/>
  <c r="AX297" i="6"/>
  <c r="BO349" i="6"/>
  <c r="AY349" i="6"/>
  <c r="BH297" i="6"/>
  <c r="AV297" i="6"/>
  <c r="BT349" i="6"/>
  <c r="BP349" i="6"/>
  <c r="BL349" i="6"/>
  <c r="BH349" i="6"/>
  <c r="BD349" i="6"/>
  <c r="AZ349" i="6"/>
  <c r="AV349" i="6"/>
  <c r="AV303" i="6" s="1" a="1"/>
  <c r="AV303" i="6" s="1"/>
  <c r="BQ297" i="6"/>
  <c r="BM297" i="6"/>
  <c r="BI297" i="6"/>
  <c r="BE297" i="6"/>
  <c r="BA297" i="6"/>
  <c r="AW297" i="6"/>
  <c r="BK349" i="6"/>
  <c r="BC349" i="6"/>
  <c r="BT297" i="6"/>
  <c r="BL297" i="6"/>
  <c r="BD297" i="6"/>
  <c r="AW14" i="13"/>
  <c r="AX7" i="6"/>
  <c r="AX237" i="6"/>
  <c r="AX12" i="6"/>
  <c r="AY9" i="6"/>
  <c r="BP3160" i="6"/>
  <c r="BL3160" i="6"/>
  <c r="BH3160" i="6"/>
  <c r="BD3160" i="6"/>
  <c r="AZ3160" i="6"/>
  <c r="BO3160" i="6"/>
  <c r="BK3160" i="6"/>
  <c r="BG3160" i="6"/>
  <c r="BC3160" i="6"/>
  <c r="AY3160" i="6"/>
  <c r="BM3160" i="6"/>
  <c r="BE3160" i="6"/>
  <c r="AW3160" i="6"/>
  <c r="AW3113" i="6" s="1"/>
  <c r="AW3007" i="6"/>
  <c r="BJ3160" i="6"/>
  <c r="BB3160" i="6"/>
  <c r="AW3006" i="6"/>
  <c r="BQ3160" i="6"/>
  <c r="BI3160" i="6"/>
  <c r="BA3160" i="6"/>
  <c r="AX3160" i="6"/>
  <c r="BN3160" i="6"/>
  <c r="BF3160" i="6"/>
  <c r="AW3112" i="6"/>
  <c r="AW3165" i="6" s="1"/>
  <c r="AV416" i="6"/>
  <c r="AW35" i="5"/>
  <c r="BC1091" i="6"/>
  <c r="AY1091" i="6"/>
  <c r="BI1039" i="6"/>
  <c r="BE1039" i="6"/>
  <c r="BA1039" i="6"/>
  <c r="BJ987" i="6"/>
  <c r="BF987" i="6"/>
  <c r="BB987" i="6"/>
  <c r="AX987" i="6"/>
  <c r="AX939" i="6" s="1" a="1"/>
  <c r="AX939" i="6" s="1"/>
  <c r="BB1091" i="6"/>
  <c r="AX1091" i="6"/>
  <c r="AX1043" i="6" s="1"/>
  <c r="BL1039" i="6"/>
  <c r="BH1039" i="6"/>
  <c r="BD1039" i="6"/>
  <c r="AZ1039" i="6"/>
  <c r="BA1091" i="6"/>
  <c r="BK1039" i="6"/>
  <c r="BG1039" i="6"/>
  <c r="BC1039" i="6"/>
  <c r="AY1039" i="6"/>
  <c r="BL987" i="6"/>
  <c r="BH987" i="6"/>
  <c r="BD987" i="6"/>
  <c r="AZ987" i="6"/>
  <c r="AZ1091" i="6"/>
  <c r="BB1039" i="6"/>
  <c r="BE987" i="6"/>
  <c r="AX1039" i="6"/>
  <c r="AX991" i="6" s="1" a="1"/>
  <c r="AX991" i="6" s="1"/>
  <c r="AX1096" i="6" s="1"/>
  <c r="BK987" i="6"/>
  <c r="BC987" i="6"/>
  <c r="BJ1039" i="6"/>
  <c r="BI987" i="6"/>
  <c r="BA987" i="6"/>
  <c r="AW933" i="6"/>
  <c r="AW885" i="6" s="1"/>
  <c r="BF1039" i="6"/>
  <c r="BG987" i="6"/>
  <c r="AY987" i="6"/>
  <c r="AY884" i="6"/>
  <c r="AZ879" i="6"/>
  <c r="AY877" i="6"/>
  <c r="AY881" i="6"/>
  <c r="AY17" i="19"/>
  <c r="AY1557" i="6"/>
  <c r="AW2836" i="6"/>
  <c r="AX2836" i="6" s="1"/>
  <c r="AZ1554" i="6"/>
  <c r="AZ1558" i="6"/>
  <c r="AW1998" i="6" l="1"/>
  <c r="AS476" i="6"/>
  <c r="AS475" i="6"/>
  <c r="AW236" i="6"/>
  <c r="AT2285" i="6"/>
  <c r="AT2286" i="6"/>
  <c r="AT2443" i="6" s="1"/>
  <c r="AU3000" i="6"/>
  <c r="AU2999" i="6"/>
  <c r="AY2665" i="6"/>
  <c r="AW2444" i="6"/>
  <c r="AX26" i="5"/>
  <c r="AW2831" i="6"/>
  <c r="BP3161" i="6"/>
  <c r="BL3161" i="6"/>
  <c r="BH3161" i="6"/>
  <c r="BD3161" i="6"/>
  <c r="AZ3161" i="6"/>
  <c r="BO3161" i="6"/>
  <c r="BK3161" i="6"/>
  <c r="BG3161" i="6"/>
  <c r="BC3161" i="6"/>
  <c r="AY3161" i="6"/>
  <c r="AX3006" i="6"/>
  <c r="BQ3161" i="6"/>
  <c r="BI3161" i="6"/>
  <c r="BA3161" i="6"/>
  <c r="BN3161" i="6"/>
  <c r="BF3161" i="6"/>
  <c r="AX3161" i="6"/>
  <c r="AX3113" i="6" s="1"/>
  <c r="BM3161" i="6"/>
  <c r="BE3161" i="6"/>
  <c r="BJ3161" i="6"/>
  <c r="BB3161" i="6"/>
  <c r="BR3161" i="6"/>
  <c r="AX3007" i="6"/>
  <c r="AX3112" i="6"/>
  <c r="AX3165" i="6" s="1"/>
  <c r="BO2993" i="6"/>
  <c r="BK2993" i="6"/>
  <c r="BG2993" i="6"/>
  <c r="BC2993" i="6"/>
  <c r="AY2993" i="6"/>
  <c r="BN2993" i="6"/>
  <c r="BJ2993" i="6"/>
  <c r="BF2993" i="6"/>
  <c r="BB2993" i="6"/>
  <c r="AX2993" i="6"/>
  <c r="BM2993" i="6"/>
  <c r="BE2993" i="6"/>
  <c r="AW2993" i="6"/>
  <c r="AW2946" i="6" s="1"/>
  <c r="BL2993" i="6"/>
  <c r="BD2993" i="6"/>
  <c r="AW2839" i="6"/>
  <c r="BQ2993" i="6"/>
  <c r="BI2993" i="6"/>
  <c r="BA2993" i="6"/>
  <c r="AW2840" i="6"/>
  <c r="BP2993" i="6"/>
  <c r="BH2993" i="6"/>
  <c r="AZ2993" i="6"/>
  <c r="AW2945" i="6"/>
  <c r="AW2998" i="6" s="1"/>
  <c r="AT24" i="17"/>
  <c r="AT1107" i="6"/>
  <c r="AU18" i="5" s="1"/>
  <c r="AZ2004" i="6"/>
  <c r="AZ2008" i="6"/>
  <c r="AY14" i="6"/>
  <c r="AZ8" i="6"/>
  <c r="AY13" i="6"/>
  <c r="AZ3" i="5"/>
  <c r="AY17" i="21"/>
  <c r="AY2007" i="6"/>
  <c r="BP404" i="6"/>
  <c r="BL404" i="6"/>
  <c r="BH404" i="6"/>
  <c r="BD404" i="6"/>
  <c r="AZ404" i="6"/>
  <c r="BO404" i="6"/>
  <c r="BK404" i="6"/>
  <c r="BG404" i="6"/>
  <c r="BC404" i="6"/>
  <c r="AY404" i="6"/>
  <c r="AX249" i="6"/>
  <c r="AY29" i="5"/>
  <c r="BM404" i="6"/>
  <c r="BE404" i="6"/>
  <c r="BR404" i="6"/>
  <c r="BN404" i="6"/>
  <c r="BJ404" i="6"/>
  <c r="BF404" i="6"/>
  <c r="BB404" i="6"/>
  <c r="AX404" i="6"/>
  <c r="AX356" i="6" s="1"/>
  <c r="AX250" i="6"/>
  <c r="BQ404" i="6"/>
  <c r="BI404" i="6"/>
  <c r="BA404" i="6"/>
  <c r="AX355" i="6"/>
  <c r="BD2612" i="6"/>
  <c r="BE2612" i="6"/>
  <c r="AQ1164" i="6"/>
  <c r="AQ1165" i="6"/>
  <c r="AQ1322" i="6" s="1"/>
  <c r="AY3003" i="6"/>
  <c r="BM1318" i="6"/>
  <c r="BI1318" i="6"/>
  <c r="BE1318" i="6"/>
  <c r="BA1318" i="6"/>
  <c r="BL1266" i="6"/>
  <c r="BH1266" i="6"/>
  <c r="BD1266" i="6"/>
  <c r="AZ1266" i="6"/>
  <c r="BI1214" i="6"/>
  <c r="BE1214" i="6"/>
  <c r="BA1214" i="6"/>
  <c r="AT1160" i="6"/>
  <c r="BL1318" i="6"/>
  <c r="BH1318" i="6"/>
  <c r="BD1318" i="6"/>
  <c r="AZ1318" i="6"/>
  <c r="BK1266" i="6"/>
  <c r="BG1266" i="6"/>
  <c r="BC1266" i="6"/>
  <c r="AY1266" i="6"/>
  <c r="BL1214" i="6"/>
  <c r="BH1214" i="6"/>
  <c r="BD1214" i="6"/>
  <c r="AZ1214" i="6"/>
  <c r="AW1160" i="6"/>
  <c r="AS1160" i="6"/>
  <c r="BK1318" i="6"/>
  <c r="BG1318" i="6"/>
  <c r="BC1318" i="6"/>
  <c r="AY1318" i="6"/>
  <c r="BJ1266" i="6"/>
  <c r="BF1266" i="6"/>
  <c r="BB1266" i="6"/>
  <c r="AX1266" i="6"/>
  <c r="AX1218" i="6" s="1" a="1"/>
  <c r="AX1218" i="6" s="1"/>
  <c r="BK1214" i="6"/>
  <c r="BG1214" i="6"/>
  <c r="BC1214" i="6"/>
  <c r="AY1214" i="6"/>
  <c r="AV1160" i="6"/>
  <c r="AR1160" i="6"/>
  <c r="AY1111" i="6"/>
  <c r="BJ1318" i="6"/>
  <c r="BF1318" i="6"/>
  <c r="BB1318" i="6"/>
  <c r="AX1318" i="6"/>
  <c r="AX1270" i="6" s="1"/>
  <c r="BI1266" i="6"/>
  <c r="BE1266" i="6"/>
  <c r="BA1266" i="6"/>
  <c r="BJ1214" i="6"/>
  <c r="BF1214" i="6"/>
  <c r="BB1214" i="6"/>
  <c r="AX1214" i="6"/>
  <c r="AX1166" i="6" s="1" a="1"/>
  <c r="AX1166" i="6" s="1"/>
  <c r="AU1160" i="6"/>
  <c r="AZ1335" i="6"/>
  <c r="AZ1334" i="6"/>
  <c r="BA10" i="5"/>
  <c r="AY17" i="20"/>
  <c r="AY1782" i="6"/>
  <c r="AY1785" i="6"/>
  <c r="AY1784" i="6"/>
  <c r="AZ1780" i="6"/>
  <c r="AZ12" i="5"/>
  <c r="AV634" i="6"/>
  <c r="AV633" i="6"/>
  <c r="AZ883" i="6"/>
  <c r="AZ880" i="6"/>
  <c r="BA883" i="6"/>
  <c r="BA7" i="5"/>
  <c r="AX420" i="6"/>
  <c r="AX415" i="6"/>
  <c r="AY4" i="5"/>
  <c r="AX421" i="6"/>
  <c r="AX417" i="6"/>
  <c r="AY412" i="6"/>
  <c r="AZ2" i="5" s="1"/>
  <c r="AY5" i="5"/>
  <c r="AX418" i="6"/>
  <c r="AW660" i="6"/>
  <c r="AV36" i="11"/>
  <c r="AV3170" i="6"/>
  <c r="AX2835" i="6"/>
  <c r="AX92" i="9"/>
  <c r="AX66" i="9"/>
  <c r="AX64" i="9"/>
  <c r="AX61" i="9"/>
  <c r="AY3005" i="6" s="1"/>
  <c r="AX58" i="9"/>
  <c r="AX17" i="9"/>
  <c r="AX15" i="9" s="1"/>
  <c r="AY2671" i="6" s="1"/>
  <c r="AX16" i="9"/>
  <c r="AX8" i="9"/>
  <c r="AY2670" i="6" s="1"/>
  <c r="AZ2669" i="6" s="1"/>
  <c r="AX3" i="9"/>
  <c r="AX69" i="9"/>
  <c r="AY93" i="9"/>
  <c r="AX74" i="9"/>
  <c r="AX68" i="9"/>
  <c r="AY2837" i="6" s="1"/>
  <c r="AX65" i="9"/>
  <c r="AX63" i="9"/>
  <c r="AX57" i="9"/>
  <c r="AX4" i="9"/>
  <c r="BR231" i="6"/>
  <c r="BN231" i="6"/>
  <c r="BJ231" i="6"/>
  <c r="BF231" i="6"/>
  <c r="BB231" i="6"/>
  <c r="AX231" i="6"/>
  <c r="AX183" i="6" s="1"/>
  <c r="BI179" i="6"/>
  <c r="BE179" i="6"/>
  <c r="BA179" i="6"/>
  <c r="BL127" i="6"/>
  <c r="BH127" i="6"/>
  <c r="BD127" i="6"/>
  <c r="AZ127" i="6"/>
  <c r="AU64" i="6"/>
  <c r="AY10" i="6"/>
  <c r="AY20" i="5"/>
  <c r="BO231" i="6"/>
  <c r="AY231" i="6"/>
  <c r="BB179" i="6"/>
  <c r="BQ231" i="6"/>
  <c r="BM231" i="6"/>
  <c r="BI231" i="6"/>
  <c r="BE231" i="6"/>
  <c r="BA231" i="6"/>
  <c r="BL179" i="6"/>
  <c r="BH179" i="6"/>
  <c r="BD179" i="6"/>
  <c r="AZ179" i="6"/>
  <c r="BK127" i="6"/>
  <c r="BG127" i="6"/>
  <c r="BC127" i="6"/>
  <c r="AY127" i="6"/>
  <c r="AT64" i="6"/>
  <c r="AY11" i="6"/>
  <c r="BG231" i="6"/>
  <c r="BF179" i="6"/>
  <c r="BI127" i="6"/>
  <c r="BE127" i="6"/>
  <c r="BA127" i="6"/>
  <c r="BP231" i="6"/>
  <c r="BL231" i="6"/>
  <c r="BH231" i="6"/>
  <c r="BD231" i="6"/>
  <c r="AZ231" i="6"/>
  <c r="BK179" i="6"/>
  <c r="BG179" i="6"/>
  <c r="BC179" i="6"/>
  <c r="AY179" i="6"/>
  <c r="BJ127" i="6"/>
  <c r="BF127" i="6"/>
  <c r="BB127" i="6"/>
  <c r="AX127" i="6"/>
  <c r="AX79" i="6" s="1" a="1"/>
  <c r="AX79" i="6" s="1"/>
  <c r="AW64" i="6"/>
  <c r="AS64" i="6"/>
  <c r="BK231" i="6"/>
  <c r="BC231" i="6"/>
  <c r="BJ179" i="6"/>
  <c r="AX179" i="6"/>
  <c r="AX131" i="6" s="1" a="1"/>
  <c r="AX131" i="6" s="1"/>
  <c r="AY15" i="6"/>
  <c r="AV64" i="6"/>
  <c r="AR64" i="6"/>
  <c r="AR16" i="6" s="1"/>
  <c r="BA70" i="13"/>
  <c r="BA48" i="13" s="1"/>
  <c r="AZ48" i="13"/>
  <c r="BD867" i="6"/>
  <c r="AZ867" i="6"/>
  <c r="BM815" i="6"/>
  <c r="BI815" i="6"/>
  <c r="BE815" i="6"/>
  <c r="BA815" i="6"/>
  <c r="BJ763" i="6"/>
  <c r="BF763" i="6"/>
  <c r="BB763" i="6"/>
  <c r="BC867" i="6"/>
  <c r="AY867" i="6"/>
  <c r="BL815" i="6"/>
  <c r="BH815" i="6"/>
  <c r="BD815" i="6"/>
  <c r="AZ815" i="6"/>
  <c r="BM763" i="6"/>
  <c r="BI763" i="6"/>
  <c r="BE763" i="6"/>
  <c r="BA763" i="6"/>
  <c r="BB867" i="6"/>
  <c r="BK815" i="6"/>
  <c r="BG815" i="6"/>
  <c r="BC815" i="6"/>
  <c r="AY815" i="6"/>
  <c r="AY766" i="6" s="1" a="1"/>
  <c r="AY766" i="6" s="1"/>
  <c r="BL763" i="6"/>
  <c r="BH763" i="6"/>
  <c r="BD763" i="6"/>
  <c r="AZ763" i="6"/>
  <c r="AX709" i="6"/>
  <c r="AZ659" i="6"/>
  <c r="BA867" i="6"/>
  <c r="BJ815" i="6"/>
  <c r="BF815" i="6"/>
  <c r="BB815" i="6"/>
  <c r="BK763" i="6"/>
  <c r="BG763" i="6"/>
  <c r="BC763" i="6"/>
  <c r="AY763" i="6"/>
  <c r="AY714" i="6" s="1" a="1"/>
  <c r="AY714" i="6" s="1"/>
  <c r="AW709" i="6"/>
  <c r="AV42" i="8"/>
  <c r="AW644" i="6" s="1"/>
  <c r="AV41" i="8"/>
  <c r="AW642" i="6" s="1"/>
  <c r="AV43" i="8"/>
  <c r="AW643" i="6" s="1"/>
  <c r="AW641" i="6"/>
  <c r="AX33" i="5" s="1"/>
  <c r="AY39" i="23"/>
  <c r="AZ2451" i="6" s="1"/>
  <c r="AY32" i="22"/>
  <c r="AY32" i="21"/>
  <c r="AY32" i="19"/>
  <c r="AY32" i="18"/>
  <c r="AY42" i="16"/>
  <c r="AZ882" i="6" s="1"/>
  <c r="AY34" i="15"/>
  <c r="AY32" i="20"/>
  <c r="AY37" i="17"/>
  <c r="AY49" i="14"/>
  <c r="AY41" i="13"/>
  <c r="AZ7" i="7"/>
  <c r="BC2612" i="6"/>
  <c r="BH2612" i="6"/>
  <c r="BK2612" i="6"/>
  <c r="BB2612" i="6"/>
  <c r="BI2612" i="6"/>
  <c r="AV645" i="6"/>
  <c r="BK2219" i="6"/>
  <c r="BG2219" i="6"/>
  <c r="BC2219" i="6"/>
  <c r="AY2219" i="6"/>
  <c r="AY2170" i="6" s="1"/>
  <c r="BJ2167" i="6"/>
  <c r="BF2167" i="6"/>
  <c r="BB2167" i="6"/>
  <c r="BM2115" i="6"/>
  <c r="BI2115" i="6"/>
  <c r="BE2115" i="6"/>
  <c r="BA2115" i="6"/>
  <c r="BN2219" i="6"/>
  <c r="BJ2219" i="6"/>
  <c r="BF2219" i="6"/>
  <c r="BB2219" i="6"/>
  <c r="BM2167" i="6"/>
  <c r="BI2167" i="6"/>
  <c r="BE2167" i="6"/>
  <c r="BA2167" i="6"/>
  <c r="BL2115" i="6"/>
  <c r="BH2115" i="6"/>
  <c r="BD2115" i="6"/>
  <c r="AZ2115" i="6"/>
  <c r="AX2061" i="6"/>
  <c r="BM2219" i="6"/>
  <c r="BI2219" i="6"/>
  <c r="BE2219" i="6"/>
  <c r="BA2219" i="6"/>
  <c r="BL2167" i="6"/>
  <c r="BH2167" i="6"/>
  <c r="BD2167" i="6"/>
  <c r="AZ2167" i="6"/>
  <c r="BK2115" i="6"/>
  <c r="BG2115" i="6"/>
  <c r="BC2115" i="6"/>
  <c r="AY2115" i="6"/>
  <c r="AY2066" i="6" s="1" a="1"/>
  <c r="AY2066" i="6" s="1"/>
  <c r="AW2061" i="6"/>
  <c r="BL2219" i="6"/>
  <c r="BH2219" i="6"/>
  <c r="BD2219" i="6"/>
  <c r="AZ2219" i="6"/>
  <c r="BK2167" i="6"/>
  <c r="BJ2115" i="6"/>
  <c r="BG2167" i="6"/>
  <c r="BF2115" i="6"/>
  <c r="BC2167" i="6"/>
  <c r="BB2115" i="6"/>
  <c r="AY2167" i="6"/>
  <c r="AY2118" i="6" s="1" a="1"/>
  <c r="AY2118" i="6" s="1"/>
  <c r="AV2061" i="6"/>
  <c r="AV2012" i="6" s="1"/>
  <c r="AZ2011" i="6"/>
  <c r="AZ17" i="22"/>
  <c r="BA2228" i="6" s="1"/>
  <c r="AU2064" i="6"/>
  <c r="AU2065" i="6"/>
  <c r="AU2222" i="6" s="1"/>
  <c r="AU1389" i="6"/>
  <c r="AU1390" i="6"/>
  <c r="AU1547" i="6" s="1"/>
  <c r="AW44" i="8"/>
  <c r="AX24" i="8"/>
  <c r="AS46" i="5"/>
  <c r="AS44" i="5"/>
  <c r="AZ877" i="6"/>
  <c r="AZ881" i="6"/>
  <c r="AZ17" i="19"/>
  <c r="BA1557" i="6" s="1"/>
  <c r="AZ1557" i="6"/>
  <c r="AW937" i="6"/>
  <c r="AW938" i="6"/>
  <c r="AW1095" i="6" s="1"/>
  <c r="AX14" i="13"/>
  <c r="AY7" i="6"/>
  <c r="AY237" i="6"/>
  <c r="AY12" i="6"/>
  <c r="AZ9" i="6"/>
  <c r="AY2506" i="6"/>
  <c r="AY2507" i="6"/>
  <c r="AY2664" i="6" s="1"/>
  <c r="AX1773" i="6"/>
  <c r="AZ1329" i="6"/>
  <c r="AZ1333" i="6"/>
  <c r="BN1544" i="6"/>
  <c r="BJ1544" i="6"/>
  <c r="BF1544" i="6"/>
  <c r="BB1544" i="6"/>
  <c r="BM1492" i="6"/>
  <c r="BI1492" i="6"/>
  <c r="BE1492" i="6"/>
  <c r="BA1492" i="6"/>
  <c r="BL1440" i="6"/>
  <c r="BH1440" i="6"/>
  <c r="BD1440" i="6"/>
  <c r="AZ1440" i="6"/>
  <c r="AX1386" i="6"/>
  <c r="BM1544" i="6"/>
  <c r="BI1544" i="6"/>
  <c r="BE1544" i="6"/>
  <c r="BA1544" i="6"/>
  <c r="BL1492" i="6"/>
  <c r="BH1492" i="6"/>
  <c r="BD1492" i="6"/>
  <c r="AZ1492" i="6"/>
  <c r="BK1440" i="6"/>
  <c r="BG1440" i="6"/>
  <c r="BC1440" i="6"/>
  <c r="AY1440" i="6"/>
  <c r="AY1391" i="6" s="1" a="1"/>
  <c r="AY1391" i="6" s="1"/>
  <c r="AW1386" i="6"/>
  <c r="BL1544" i="6"/>
  <c r="BH1544" i="6"/>
  <c r="BD1544" i="6"/>
  <c r="AZ1544" i="6"/>
  <c r="BK1492" i="6"/>
  <c r="BG1492" i="6"/>
  <c r="BC1492" i="6"/>
  <c r="AY1492" i="6"/>
  <c r="AY1443" i="6" s="1" a="1"/>
  <c r="AY1443" i="6" s="1"/>
  <c r="BJ1440" i="6"/>
  <c r="BF1440" i="6"/>
  <c r="BB1440" i="6"/>
  <c r="AV1386" i="6"/>
  <c r="AV1337" i="6" s="1"/>
  <c r="AZ1336" i="6"/>
  <c r="BK1544" i="6"/>
  <c r="BG1544" i="6"/>
  <c r="BC1544" i="6"/>
  <c r="AY1544" i="6"/>
  <c r="AY1495" i="6" s="1"/>
  <c r="BJ1492" i="6"/>
  <c r="BF1492" i="6"/>
  <c r="BB1492" i="6"/>
  <c r="BM1440" i="6"/>
  <c r="BI1440" i="6"/>
  <c r="BE1440" i="6"/>
  <c r="BA1440" i="6"/>
  <c r="AY17" i="18"/>
  <c r="AY1332" i="6"/>
  <c r="AY1548" i="6" s="1"/>
  <c r="AY1102" i="6"/>
  <c r="AZ1104" i="6"/>
  <c r="AY1108" i="6"/>
  <c r="BA39" i="18"/>
  <c r="BA36" i="18" s="1"/>
  <c r="AZ36" i="18"/>
  <c r="BA1335" i="6" s="1"/>
  <c r="BM1993" i="6"/>
  <c r="BI1993" i="6"/>
  <c r="BE1993" i="6"/>
  <c r="BA1993" i="6"/>
  <c r="BK1941" i="6"/>
  <c r="BG1941" i="6"/>
  <c r="BC1941" i="6"/>
  <c r="AY1941" i="6"/>
  <c r="BJ1889" i="6"/>
  <c r="BF1889" i="6"/>
  <c r="BB1889" i="6"/>
  <c r="AX1889" i="6"/>
  <c r="AX1841" i="6" s="1" a="1"/>
  <c r="AX1841" i="6" s="1"/>
  <c r="BL1993" i="6"/>
  <c r="BH1993" i="6"/>
  <c r="BD1993" i="6"/>
  <c r="AZ1993" i="6"/>
  <c r="BJ1941" i="6"/>
  <c r="BF1941" i="6"/>
  <c r="BB1941" i="6"/>
  <c r="AX1941" i="6"/>
  <c r="AX1893" i="6" s="1" a="1"/>
  <c r="AX1893" i="6" s="1"/>
  <c r="BI1889" i="6"/>
  <c r="BE1889" i="6"/>
  <c r="BA1889" i="6"/>
  <c r="AU1835" i="6"/>
  <c r="AU1787" i="6" s="1"/>
  <c r="BK1993" i="6"/>
  <c r="BG1993" i="6"/>
  <c r="BC1993" i="6"/>
  <c r="AY1993" i="6"/>
  <c r="BI1941" i="6"/>
  <c r="BE1941" i="6"/>
  <c r="BA1941" i="6"/>
  <c r="BL1889" i="6"/>
  <c r="BH1889" i="6"/>
  <c r="BD1889" i="6"/>
  <c r="AZ1889" i="6"/>
  <c r="BB1993" i="6"/>
  <c r="AZ1941" i="6"/>
  <c r="AY1889" i="6"/>
  <c r="AX1993" i="6"/>
  <c r="AX1945" i="6" s="1"/>
  <c r="BL1941" i="6"/>
  <c r="BK1889" i="6"/>
  <c r="BJ1993" i="6"/>
  <c r="BH1941" i="6"/>
  <c r="BG1889" i="6"/>
  <c r="AW1835" i="6"/>
  <c r="AY1786" i="6"/>
  <c r="BF1993" i="6"/>
  <c r="BD1941" i="6"/>
  <c r="BC1889" i="6"/>
  <c r="AV1835" i="6"/>
  <c r="AT21" i="17"/>
  <c r="AT1106" i="6"/>
  <c r="AU19" i="5" s="1"/>
  <c r="AX35" i="5"/>
  <c r="AW416" i="6"/>
  <c r="AX2223" i="6"/>
  <c r="BA56" i="17"/>
  <c r="BA44" i="17" s="1"/>
  <c r="AZ44" i="17"/>
  <c r="AV3167" i="6"/>
  <c r="AV3166" i="6"/>
  <c r="AT1840" i="6"/>
  <c r="AT1997" i="6" s="1"/>
  <c r="AT1839" i="6"/>
  <c r="BR350" i="6"/>
  <c r="BN350" i="6"/>
  <c r="BJ350" i="6"/>
  <c r="BF350" i="6"/>
  <c r="BB350" i="6"/>
  <c r="AX350" i="6"/>
  <c r="BS298" i="6"/>
  <c r="BO298" i="6"/>
  <c r="BK298" i="6"/>
  <c r="BG298" i="6"/>
  <c r="BC298" i="6"/>
  <c r="AY298" i="6"/>
  <c r="BS350" i="6"/>
  <c r="BG350" i="6"/>
  <c r="BP298" i="6"/>
  <c r="BD298" i="6"/>
  <c r="BU350" i="6"/>
  <c r="BQ350" i="6"/>
  <c r="BM350" i="6"/>
  <c r="BI350" i="6"/>
  <c r="BE350" i="6"/>
  <c r="BA350" i="6"/>
  <c r="AW350" i="6"/>
  <c r="AW303" i="6" s="1" a="1"/>
  <c r="AW303" i="6" s="1"/>
  <c r="BR298" i="6"/>
  <c r="BN298" i="6"/>
  <c r="BJ298" i="6"/>
  <c r="BF298" i="6"/>
  <c r="BB298" i="6"/>
  <c r="AX298" i="6"/>
  <c r="BO350" i="6"/>
  <c r="BC350" i="6"/>
  <c r="BL298" i="6"/>
  <c r="AZ298" i="6"/>
  <c r="BT350" i="6"/>
  <c r="BP350" i="6"/>
  <c r="BL350" i="6"/>
  <c r="BH350" i="6"/>
  <c r="BD350" i="6"/>
  <c r="AZ350" i="6"/>
  <c r="BU298" i="6"/>
  <c r="BQ298" i="6"/>
  <c r="BM298" i="6"/>
  <c r="BI298" i="6"/>
  <c r="BE298" i="6"/>
  <c r="BA298" i="6"/>
  <c r="AW298" i="6"/>
  <c r="AW251" i="6" s="1" a="1"/>
  <c r="AW251" i="6" s="1"/>
  <c r="AW409" i="6" s="1"/>
  <c r="BK350" i="6"/>
  <c r="AY350" i="6"/>
  <c r="BT298" i="6"/>
  <c r="BH298" i="6"/>
  <c r="AY1779" i="6"/>
  <c r="AZ1781" i="6"/>
  <c r="AY1783" i="6"/>
  <c r="AW72" i="9"/>
  <c r="AW71" i="9"/>
  <c r="AX2838" i="6"/>
  <c r="BR2827" i="6"/>
  <c r="BN2827" i="6"/>
  <c r="BJ2827" i="6"/>
  <c r="BF2827" i="6"/>
  <c r="BB2827" i="6"/>
  <c r="AX2827" i="6"/>
  <c r="AX2779" i="6" s="1"/>
  <c r="AX2673" i="6"/>
  <c r="BO2827" i="6"/>
  <c r="BI2827" i="6"/>
  <c r="BD2827" i="6"/>
  <c r="AY2827" i="6"/>
  <c r="BM2827" i="6"/>
  <c r="BH2827" i="6"/>
  <c r="BC2827" i="6"/>
  <c r="BK2827" i="6"/>
  <c r="AZ2827" i="6"/>
  <c r="BQ2827" i="6"/>
  <c r="BG2827" i="6"/>
  <c r="BP2827" i="6"/>
  <c r="BE2827" i="6"/>
  <c r="BL2827" i="6"/>
  <c r="BA2827" i="6"/>
  <c r="AX2672" i="6"/>
  <c r="AX2778" i="6"/>
  <c r="BJ2773" i="6"/>
  <c r="BF2773" i="6"/>
  <c r="BB2773" i="6"/>
  <c r="AX2773" i="6"/>
  <c r="BI2721" i="6"/>
  <c r="BE2721" i="6"/>
  <c r="BA2721" i="6"/>
  <c r="AW2721" i="6"/>
  <c r="BI2773" i="6"/>
  <c r="BD2773" i="6"/>
  <c r="AY2773" i="6"/>
  <c r="BH2721" i="6"/>
  <c r="BC2721" i="6"/>
  <c r="AX2721" i="6"/>
  <c r="BH2773" i="6"/>
  <c r="BC2773" i="6"/>
  <c r="AW2773" i="6"/>
  <c r="BG2721" i="6"/>
  <c r="BB2721" i="6"/>
  <c r="BG2773" i="6"/>
  <c r="BA2773" i="6"/>
  <c r="BK2721" i="6"/>
  <c r="BF2721" i="6"/>
  <c r="AZ2721" i="6"/>
  <c r="AZ2773" i="6"/>
  <c r="AY2721" i="6"/>
  <c r="BK2773" i="6"/>
  <c r="BJ2721" i="6"/>
  <c r="BE2773" i="6"/>
  <c r="BD2721" i="6"/>
  <c r="AS1323" i="6"/>
  <c r="AT17" i="5"/>
  <c r="AT24" i="5" s="1"/>
  <c r="AT42" i="5" s="1"/>
  <c r="AZ1559" i="6"/>
  <c r="AZ1560" i="6"/>
  <c r="BA11" i="5"/>
  <c r="BA1560" i="6"/>
  <c r="AZ2226" i="6"/>
  <c r="AY2230" i="6"/>
  <c r="AY2231" i="6"/>
  <c r="AZ13" i="5"/>
  <c r="AZ2507" i="6"/>
  <c r="AZ2506" i="6"/>
  <c r="BG2612" i="6"/>
  <c r="AQ78" i="6"/>
  <c r="AQ235" i="6" s="1"/>
  <c r="AR22" i="5"/>
  <c r="AR25" i="5" s="1"/>
  <c r="AR43" i="5" s="1"/>
  <c r="AQ77" i="6"/>
  <c r="BI2939" i="6"/>
  <c r="BE2939" i="6"/>
  <c r="BA2939" i="6"/>
  <c r="AW2939" i="6"/>
  <c r="BH2887" i="6"/>
  <c r="BD2887" i="6"/>
  <c r="AZ2887" i="6"/>
  <c r="AV2887" i="6"/>
  <c r="AV2841" i="6" s="1" a="1"/>
  <c r="AV2841" i="6" s="1"/>
  <c r="BG2939" i="6"/>
  <c r="BB2939" i="6"/>
  <c r="AV2939" i="6"/>
  <c r="AV2893" i="6" s="1" a="1"/>
  <c r="AV2893" i="6" s="1"/>
  <c r="AV2999" i="6" s="1"/>
  <c r="BF2887" i="6"/>
  <c r="BA2887" i="6"/>
  <c r="BF2939" i="6"/>
  <c r="AZ2939" i="6"/>
  <c r="BJ2887" i="6"/>
  <c r="BE2887" i="6"/>
  <c r="AY2887" i="6"/>
  <c r="BJ2939" i="6"/>
  <c r="BD2939" i="6"/>
  <c r="AY2939" i="6"/>
  <c r="BG2887" i="6"/>
  <c r="AW2887" i="6"/>
  <c r="BH2939" i="6"/>
  <c r="BC2887" i="6"/>
  <c r="BC2939" i="6"/>
  <c r="BB2887" i="6"/>
  <c r="AX2939" i="6"/>
  <c r="BI2887" i="6"/>
  <c r="AX2887" i="6"/>
  <c r="AR1112" i="6"/>
  <c r="AY2225" i="6"/>
  <c r="AY1110" i="6"/>
  <c r="AZ1103" i="6"/>
  <c r="AY1109" i="6"/>
  <c r="AZ9" i="5"/>
  <c r="AZ652" i="6"/>
  <c r="AZ656" i="6"/>
  <c r="BH3107" i="6"/>
  <c r="BD3107" i="6"/>
  <c r="AZ3107" i="6"/>
  <c r="BK3055" i="6"/>
  <c r="BG3055" i="6"/>
  <c r="BC3055" i="6"/>
  <c r="AY3055" i="6"/>
  <c r="BK3107" i="6"/>
  <c r="BG3107" i="6"/>
  <c r="BC3107" i="6"/>
  <c r="AY3107" i="6"/>
  <c r="BJ3055" i="6"/>
  <c r="BF3055" i="6"/>
  <c r="BB3055" i="6"/>
  <c r="AX3055" i="6"/>
  <c r="BE3107" i="6"/>
  <c r="AW3107" i="6"/>
  <c r="AW3060" i="6" s="1" a="1"/>
  <c r="AW3060" i="6" s="1"/>
  <c r="BD3055" i="6"/>
  <c r="BJ3107" i="6"/>
  <c r="BB3107" i="6"/>
  <c r="BI3055" i="6"/>
  <c r="BA3055" i="6"/>
  <c r="BI3107" i="6"/>
  <c r="BA3107" i="6"/>
  <c r="BH3055" i="6"/>
  <c r="AZ3055" i="6"/>
  <c r="AX3107" i="6"/>
  <c r="AW3055" i="6"/>
  <c r="AW3008" i="6" s="1" a="1"/>
  <c r="AW3008" i="6" s="1"/>
  <c r="BF3107" i="6"/>
  <c r="BE3055" i="6"/>
  <c r="BL2560" i="6" a="1"/>
  <c r="BL2560" i="6" s="1"/>
  <c r="BE2560" i="6" a="1"/>
  <c r="BE2560" i="6" s="1"/>
  <c r="AZ2009" i="6"/>
  <c r="AZ2010" i="6"/>
  <c r="BA2010" i="6"/>
  <c r="AV713" i="6"/>
  <c r="AV870" i="6" s="1"/>
  <c r="AV712" i="6"/>
  <c r="AU1614" i="6"/>
  <c r="AU1615" i="6"/>
  <c r="AU1772" i="6" s="1"/>
  <c r="AV2832" i="6"/>
  <c r="AV2833" i="6"/>
  <c r="AW635" i="6"/>
  <c r="AX23" i="5" s="1"/>
  <c r="AW419" i="6"/>
  <c r="AX413" i="6"/>
  <c r="AX15" i="5"/>
  <c r="AV22" i="9"/>
  <c r="BB1092" i="6"/>
  <c r="BK1040" i="6"/>
  <c r="BG1040" i="6"/>
  <c r="BC1040" i="6"/>
  <c r="AY1040" i="6"/>
  <c r="AY991" i="6" s="1" a="1"/>
  <c r="AY991" i="6" s="1"/>
  <c r="BL988" i="6"/>
  <c r="BH988" i="6"/>
  <c r="BD988" i="6"/>
  <c r="AZ988" i="6"/>
  <c r="BA1092" i="6"/>
  <c r="BJ1040" i="6"/>
  <c r="BF1040" i="6"/>
  <c r="BB1040" i="6"/>
  <c r="BD1092" i="6"/>
  <c r="AZ1092" i="6"/>
  <c r="BM1040" i="6"/>
  <c r="BI1040" i="6"/>
  <c r="BE1040" i="6"/>
  <c r="BA1040" i="6"/>
  <c r="BJ988" i="6"/>
  <c r="BF988" i="6"/>
  <c r="BB988" i="6"/>
  <c r="BC1092" i="6"/>
  <c r="AY1092" i="6"/>
  <c r="AY1043" i="6" s="1"/>
  <c r="BD1040" i="6"/>
  <c r="BG988" i="6"/>
  <c r="AY988" i="6"/>
  <c r="AY939" i="6" s="1" a="1"/>
  <c r="AY939" i="6" s="1"/>
  <c r="AZ1040" i="6"/>
  <c r="BM988" i="6"/>
  <c r="BE988" i="6"/>
  <c r="AX934" i="6"/>
  <c r="AX885" i="6" s="1"/>
  <c r="BL1040" i="6"/>
  <c r="BK988" i="6"/>
  <c r="BC988" i="6"/>
  <c r="AZ884" i="6"/>
  <c r="BH1040" i="6"/>
  <c r="BI988" i="6"/>
  <c r="BA988" i="6"/>
  <c r="BI628" i="6"/>
  <c r="BE628" i="6"/>
  <c r="BA628" i="6"/>
  <c r="AW628" i="6"/>
  <c r="AW581" i="6" s="1"/>
  <c r="BJ576" i="6"/>
  <c r="BF576" i="6"/>
  <c r="BB576" i="6"/>
  <c r="AX576" i="6"/>
  <c r="BJ524" i="6"/>
  <c r="BF524" i="6"/>
  <c r="BB524" i="6"/>
  <c r="AX524" i="6"/>
  <c r="AT470" i="6"/>
  <c r="AT423" i="6" s="1"/>
  <c r="AX422" i="6"/>
  <c r="BL628" i="6"/>
  <c r="BH628" i="6"/>
  <c r="BD628" i="6"/>
  <c r="AZ628" i="6"/>
  <c r="BI576" i="6"/>
  <c r="BE576" i="6"/>
  <c r="BA576" i="6"/>
  <c r="AW576" i="6"/>
  <c r="AW529" i="6" s="1" a="1"/>
  <c r="AW529" i="6" s="1"/>
  <c r="BI524" i="6"/>
  <c r="BE524" i="6"/>
  <c r="BA524" i="6"/>
  <c r="AW524" i="6"/>
  <c r="AW477" i="6" s="1" a="1"/>
  <c r="AW477" i="6" s="1"/>
  <c r="BF628" i="6"/>
  <c r="AX628" i="6"/>
  <c r="BC576" i="6"/>
  <c r="BK524" i="6"/>
  <c r="BG524" i="6"/>
  <c r="BC524" i="6"/>
  <c r="AY524" i="6"/>
  <c r="BK628" i="6"/>
  <c r="BG628" i="6"/>
  <c r="BC628" i="6"/>
  <c r="AY628" i="6"/>
  <c r="BH576" i="6"/>
  <c r="BD576" i="6"/>
  <c r="AZ576" i="6"/>
  <c r="BH524" i="6"/>
  <c r="BD524" i="6"/>
  <c r="AZ524" i="6"/>
  <c r="AV470" i="6"/>
  <c r="BJ628" i="6"/>
  <c r="BB628" i="6"/>
  <c r="BK576" i="6"/>
  <c r="BG576" i="6"/>
  <c r="AY576" i="6"/>
  <c r="AU470" i="6"/>
  <c r="AY818" i="6"/>
  <c r="AY871" i="6" s="1"/>
  <c r="BA408" i="6"/>
  <c r="BA247" i="6"/>
  <c r="BA244" i="6"/>
  <c r="BB28" i="5" s="1"/>
  <c r="BA245" i="6"/>
  <c r="AQ45" i="5"/>
  <c r="AQ47" i="5"/>
  <c r="AX2668" i="6"/>
  <c r="AX27" i="5"/>
  <c r="AY2" i="5"/>
  <c r="AT19" i="17"/>
  <c r="AT1105" i="6"/>
  <c r="AZ655" i="6"/>
  <c r="BA6" i="5"/>
  <c r="BA658" i="6"/>
  <c r="AZ657" i="6"/>
  <c r="AZ658" i="6"/>
  <c r="BL1769" i="6"/>
  <c r="BH1769" i="6"/>
  <c r="BD1769" i="6"/>
  <c r="AZ1769" i="6"/>
  <c r="BK1717" i="6"/>
  <c r="BG1717" i="6"/>
  <c r="BC1717" i="6"/>
  <c r="AY1717" i="6"/>
  <c r="AY1668" i="6" s="1" a="1"/>
  <c r="AY1668" i="6" s="1"/>
  <c r="BJ1665" i="6"/>
  <c r="BF1665" i="6"/>
  <c r="BB1665" i="6"/>
  <c r="BM1769" i="6"/>
  <c r="BG1769" i="6"/>
  <c r="BB1769" i="6"/>
  <c r="BL1717" i="6"/>
  <c r="BF1717" i="6"/>
  <c r="BA1717" i="6"/>
  <c r="BK1665" i="6"/>
  <c r="BE1665" i="6"/>
  <c r="AZ1665" i="6"/>
  <c r="BK1769" i="6"/>
  <c r="BF1769" i="6"/>
  <c r="BA1769" i="6"/>
  <c r="BJ1717" i="6"/>
  <c r="BE1717" i="6"/>
  <c r="AZ1717" i="6"/>
  <c r="BI1665" i="6"/>
  <c r="BD1665" i="6"/>
  <c r="AY1665" i="6"/>
  <c r="AY1616" i="6" s="1" a="1"/>
  <c r="AY1616" i="6" s="1"/>
  <c r="AX1611" i="6"/>
  <c r="BJ1769" i="6"/>
  <c r="BE1769" i="6"/>
  <c r="AY1769" i="6"/>
  <c r="AY1720" i="6" s="1"/>
  <c r="BI1717" i="6"/>
  <c r="BD1717" i="6"/>
  <c r="BM1665" i="6"/>
  <c r="BH1665" i="6"/>
  <c r="BC1665" i="6"/>
  <c r="AW1611" i="6"/>
  <c r="BN1769" i="6"/>
  <c r="BI1769" i="6"/>
  <c r="BC1769" i="6"/>
  <c r="BM1717" i="6"/>
  <c r="BH1717" i="6"/>
  <c r="BB1717" i="6"/>
  <c r="BL1665" i="6"/>
  <c r="BG1665" i="6"/>
  <c r="BA1665" i="6"/>
  <c r="AV1611" i="6"/>
  <c r="AV1562" i="6" s="1"/>
  <c r="AZ1561" i="6"/>
  <c r="AZ66" i="14"/>
  <c r="AY57" i="14"/>
  <c r="AY56" i="14" s="1"/>
  <c r="BK2439" i="6"/>
  <c r="BG2439" i="6"/>
  <c r="BC2439" i="6"/>
  <c r="AY2439" i="6"/>
  <c r="BO2387" i="6"/>
  <c r="BK2387" i="6"/>
  <c r="BG2387" i="6"/>
  <c r="BC2387" i="6"/>
  <c r="AY2387" i="6"/>
  <c r="BO2335" i="6"/>
  <c r="BK2335" i="6"/>
  <c r="BG2335" i="6"/>
  <c r="BC2335" i="6"/>
  <c r="AY2335" i="6"/>
  <c r="BJ2439" i="6"/>
  <c r="BF2439" i="6"/>
  <c r="BB2439" i="6"/>
  <c r="AX2439" i="6"/>
  <c r="AX2391" i="6" s="1"/>
  <c r="BN2387" i="6"/>
  <c r="BJ2387" i="6"/>
  <c r="BF2387" i="6"/>
  <c r="BB2387" i="6"/>
  <c r="AX2387" i="6"/>
  <c r="AX2339" i="6" s="1" a="1"/>
  <c r="AX2339" i="6" s="1"/>
  <c r="BN2335" i="6"/>
  <c r="BJ2335" i="6"/>
  <c r="BF2335" i="6"/>
  <c r="BB2335" i="6"/>
  <c r="AX2335" i="6"/>
  <c r="AX2287" i="6" s="1" a="1"/>
  <c r="AX2287" i="6" s="1"/>
  <c r="AW2281" i="6"/>
  <c r="AY2232" i="6"/>
  <c r="BM2439" i="6"/>
  <c r="BI2439" i="6"/>
  <c r="BE2439" i="6"/>
  <c r="BA2439" i="6"/>
  <c r="BM2387" i="6"/>
  <c r="BI2387" i="6"/>
  <c r="BE2387" i="6"/>
  <c r="BA2387" i="6"/>
  <c r="BM2335" i="6"/>
  <c r="BI2335" i="6"/>
  <c r="BE2335" i="6"/>
  <c r="BA2335" i="6"/>
  <c r="AV2281" i="6"/>
  <c r="BL2439" i="6"/>
  <c r="BH2439" i="6"/>
  <c r="BD2439" i="6"/>
  <c r="AZ2439" i="6"/>
  <c r="BP2387" i="6"/>
  <c r="BL2387" i="6"/>
  <c r="BH2387" i="6"/>
  <c r="BD2387" i="6"/>
  <c r="AZ2387" i="6"/>
  <c r="BL2335" i="6"/>
  <c r="BH2335" i="6"/>
  <c r="BD2335" i="6"/>
  <c r="AZ2335" i="6"/>
  <c r="AU2281" i="6"/>
  <c r="AU2233" i="6" s="1"/>
  <c r="AX59" i="12"/>
  <c r="AY248" i="6" s="1"/>
  <c r="AY60" i="12"/>
  <c r="AY246" i="6"/>
  <c r="BA2612" i="6"/>
  <c r="AW2674" i="6" a="1"/>
  <c r="AW2674" i="6" s="1"/>
  <c r="AW2726" i="6" a="1"/>
  <c r="AW2726" i="6" s="1"/>
  <c r="AY38" i="23"/>
  <c r="AY31" i="22"/>
  <c r="AY31" i="21"/>
  <c r="AY31" i="20"/>
  <c r="AY36" i="17"/>
  <c r="AY31" i="19"/>
  <c r="AY31" i="18"/>
  <c r="AY48" i="14"/>
  <c r="AY41" i="16"/>
  <c r="AY33" i="15"/>
  <c r="AZ6" i="7"/>
  <c r="AY40" i="13"/>
  <c r="AZ2229" i="6"/>
  <c r="AZ2225" i="6"/>
  <c r="AZ2450" i="6"/>
  <c r="AZ2449" i="6"/>
  <c r="BA16" i="5"/>
  <c r="AW3166" i="6" l="1"/>
  <c r="AW3167" i="6"/>
  <c r="AV1614" i="6"/>
  <c r="AV1615" i="6"/>
  <c r="AV1772" i="6" s="1"/>
  <c r="AY1773" i="6"/>
  <c r="AV2064" i="6"/>
  <c r="AV2065" i="6"/>
  <c r="AV2222" i="6" s="1"/>
  <c r="AU1839" i="6"/>
  <c r="AU1840" i="6"/>
  <c r="AU1997" i="6" s="1"/>
  <c r="BP1546" i="6"/>
  <c r="BP1495" i="6" s="1"/>
  <c r="BL1546" i="6"/>
  <c r="BH1546" i="6"/>
  <c r="BD1546" i="6"/>
  <c r="BM1494" i="6"/>
  <c r="BI1494" i="6"/>
  <c r="BE1494" i="6"/>
  <c r="BA1494" i="6"/>
  <c r="BL1442" i="6"/>
  <c r="BH1442" i="6"/>
  <c r="BD1442" i="6"/>
  <c r="AX1388" i="6"/>
  <c r="BO1546" i="6"/>
  <c r="BK1546" i="6"/>
  <c r="BG1546" i="6"/>
  <c r="BC1546" i="6"/>
  <c r="BL1494" i="6"/>
  <c r="BH1494" i="6"/>
  <c r="BD1494" i="6"/>
  <c r="BO1442" i="6"/>
  <c r="BO1391" i="6" s="1" a="1"/>
  <c r="BO1391" i="6" s="1"/>
  <c r="BK1442" i="6"/>
  <c r="BG1442" i="6"/>
  <c r="BC1442" i="6"/>
  <c r="BN1546" i="6"/>
  <c r="BJ1546" i="6"/>
  <c r="BF1546" i="6"/>
  <c r="BB1546" i="6"/>
  <c r="BO1494" i="6"/>
  <c r="BO1443" i="6" s="1" a="1"/>
  <c r="BO1443" i="6" s="1"/>
  <c r="BK1494" i="6"/>
  <c r="BG1494" i="6"/>
  <c r="BC1494" i="6"/>
  <c r="BN1442" i="6"/>
  <c r="BJ1442" i="6"/>
  <c r="BF1442" i="6"/>
  <c r="BB1442" i="6"/>
  <c r="AZ1388" i="6"/>
  <c r="AZ1337" i="6" s="1"/>
  <c r="BM1546" i="6"/>
  <c r="BI1546" i="6"/>
  <c r="BE1546" i="6"/>
  <c r="BA1546" i="6"/>
  <c r="BN1494" i="6"/>
  <c r="BJ1494" i="6"/>
  <c r="BF1494" i="6"/>
  <c r="BB1494" i="6"/>
  <c r="BM1442" i="6"/>
  <c r="BI1442" i="6"/>
  <c r="BE1442" i="6"/>
  <c r="BA1442" i="6"/>
  <c r="AY1388" i="6"/>
  <c r="AY2223" i="6"/>
  <c r="BF869" i="6"/>
  <c r="BF818" i="6" s="1"/>
  <c r="BB869" i="6"/>
  <c r="BM817" i="6"/>
  <c r="BI817" i="6"/>
  <c r="BE817" i="6"/>
  <c r="BA817" i="6"/>
  <c r="BN765" i="6"/>
  <c r="BJ765" i="6"/>
  <c r="BF765" i="6"/>
  <c r="BB765" i="6"/>
  <c r="BE869" i="6"/>
  <c r="BA869" i="6"/>
  <c r="BL817" i="6"/>
  <c r="BH817" i="6"/>
  <c r="BD817" i="6"/>
  <c r="BM765" i="6"/>
  <c r="BI765" i="6"/>
  <c r="BE765" i="6"/>
  <c r="BA765" i="6"/>
  <c r="BD869" i="6"/>
  <c r="BO817" i="6"/>
  <c r="BK817" i="6"/>
  <c r="BG817" i="6"/>
  <c r="BC817" i="6"/>
  <c r="BL765" i="6"/>
  <c r="BH765" i="6"/>
  <c r="BD765" i="6"/>
  <c r="AZ711" i="6"/>
  <c r="AZ660" i="6" s="1"/>
  <c r="BC869" i="6"/>
  <c r="BN817" i="6"/>
  <c r="BJ817" i="6"/>
  <c r="BF817" i="6"/>
  <c r="BB817" i="6"/>
  <c r="BO765" i="6"/>
  <c r="BK765" i="6"/>
  <c r="BG765" i="6"/>
  <c r="BC765" i="6"/>
  <c r="AY711" i="6"/>
  <c r="AX419" i="6"/>
  <c r="AY413" i="6"/>
  <c r="AX635" i="6"/>
  <c r="AY23" i="5" s="1"/>
  <c r="AW22" i="9"/>
  <c r="AY15" i="5"/>
  <c r="AZ2230" i="6"/>
  <c r="AZ2231" i="6"/>
  <c r="BA13" i="5"/>
  <c r="BA2231" i="6"/>
  <c r="AU21" i="17"/>
  <c r="AU1106" i="6"/>
  <c r="AV19" i="5" s="1"/>
  <c r="AZ17" i="18"/>
  <c r="BA1332" i="6" s="1"/>
  <c r="AZ1332" i="6"/>
  <c r="AS22" i="5"/>
  <c r="AS25" i="5" s="1"/>
  <c r="AS43" i="5" s="1"/>
  <c r="AR77" i="6"/>
  <c r="AR78" i="6"/>
  <c r="AR235" i="6" s="1"/>
  <c r="AY2668" i="6"/>
  <c r="AW712" i="6"/>
  <c r="AW713" i="6"/>
  <c r="AW870" i="6" s="1"/>
  <c r="AX416" i="6"/>
  <c r="AY35" i="5"/>
  <c r="BR232" i="6"/>
  <c r="BN232" i="6"/>
  <c r="BJ232" i="6"/>
  <c r="BF232" i="6"/>
  <c r="BB232" i="6"/>
  <c r="BK180" i="6"/>
  <c r="BG180" i="6"/>
  <c r="BC180" i="6"/>
  <c r="AY180" i="6"/>
  <c r="AY131" i="6" s="1" a="1"/>
  <c r="AY131" i="6" s="1"/>
  <c r="BJ128" i="6"/>
  <c r="BF128" i="6"/>
  <c r="BB128" i="6"/>
  <c r="AX65" i="6"/>
  <c r="AT65" i="6"/>
  <c r="AZ11" i="6"/>
  <c r="BS232" i="6"/>
  <c r="BG232" i="6"/>
  <c r="BD180" i="6"/>
  <c r="BQ232" i="6"/>
  <c r="BM232" i="6"/>
  <c r="BI232" i="6"/>
  <c r="BE232" i="6"/>
  <c r="BA232" i="6"/>
  <c r="BJ180" i="6"/>
  <c r="BF180" i="6"/>
  <c r="BB180" i="6"/>
  <c r="BM128" i="6"/>
  <c r="BI128" i="6"/>
  <c r="BE128" i="6"/>
  <c r="BA128" i="6"/>
  <c r="AW65" i="6"/>
  <c r="AS65" i="6"/>
  <c r="AS16" i="6" s="1"/>
  <c r="BO232" i="6"/>
  <c r="AY232" i="6"/>
  <c r="AY183" i="6" s="1"/>
  <c r="BL180" i="6"/>
  <c r="AZ180" i="6"/>
  <c r="BK128" i="6"/>
  <c r="BG128" i="6"/>
  <c r="BC128" i="6"/>
  <c r="AY128" i="6"/>
  <c r="AY79" i="6" s="1" a="1"/>
  <c r="AY79" i="6" s="1"/>
  <c r="BP232" i="6"/>
  <c r="BL232" i="6"/>
  <c r="BH232" i="6"/>
  <c r="BD232" i="6"/>
  <c r="AZ232" i="6"/>
  <c r="BM180" i="6"/>
  <c r="BI180" i="6"/>
  <c r="BE180" i="6"/>
  <c r="BA180" i="6"/>
  <c r="BL128" i="6"/>
  <c r="BH128" i="6"/>
  <c r="BD128" i="6"/>
  <c r="AZ128" i="6"/>
  <c r="AV65" i="6"/>
  <c r="AZ15" i="6"/>
  <c r="BK232" i="6"/>
  <c r="BC232" i="6"/>
  <c r="BH180" i="6"/>
  <c r="AU65" i="6"/>
  <c r="AZ10" i="6"/>
  <c r="BK2940" i="6"/>
  <c r="BG2940" i="6"/>
  <c r="BC2940" i="6"/>
  <c r="AY2940" i="6"/>
  <c r="BJ2888" i="6"/>
  <c r="BF2888" i="6"/>
  <c r="BB2888" i="6"/>
  <c r="AX2888" i="6"/>
  <c r="BI2940" i="6"/>
  <c r="BD2940" i="6"/>
  <c r="AX2940" i="6"/>
  <c r="BH2888" i="6"/>
  <c r="BC2888" i="6"/>
  <c r="AW2888" i="6"/>
  <c r="AW2841" i="6" s="1" a="1"/>
  <c r="AW2841" i="6" s="1"/>
  <c r="BH2940" i="6"/>
  <c r="BB2940" i="6"/>
  <c r="AW2940" i="6"/>
  <c r="BG2888" i="6"/>
  <c r="BA2888" i="6"/>
  <c r="BF2940" i="6"/>
  <c r="BA2940" i="6"/>
  <c r="AZ2940" i="6"/>
  <c r="BD2888" i="6"/>
  <c r="BK2888" i="6"/>
  <c r="AZ2888" i="6"/>
  <c r="BJ2940" i="6"/>
  <c r="BI2888" i="6"/>
  <c r="AY2888" i="6"/>
  <c r="BE2940" i="6"/>
  <c r="BE2888" i="6"/>
  <c r="AV3000" i="6"/>
  <c r="BA66" i="14"/>
  <c r="BA57" i="14" s="1"/>
  <c r="BA56" i="14" s="1"/>
  <c r="AZ57" i="14"/>
  <c r="AZ56" i="14" s="1"/>
  <c r="AU19" i="17"/>
  <c r="AU1105" i="6"/>
  <c r="AW2893" i="6" a="1"/>
  <c r="AW2893" i="6" s="1"/>
  <c r="AW2999" i="6" s="1"/>
  <c r="AZ2665" i="6"/>
  <c r="AZ2664" i="6"/>
  <c r="AZ38" i="23"/>
  <c r="AZ31" i="22"/>
  <c r="AZ31" i="20"/>
  <c r="AZ31" i="19"/>
  <c r="AZ36" i="17"/>
  <c r="AZ48" i="14"/>
  <c r="AZ31" i="21"/>
  <c r="AZ31" i="18"/>
  <c r="AZ41" i="16"/>
  <c r="AZ33" i="15"/>
  <c r="AZ40" i="13"/>
  <c r="BP405" i="6"/>
  <c r="BL405" i="6"/>
  <c r="BH405" i="6"/>
  <c r="BD405" i="6"/>
  <c r="AZ405" i="6"/>
  <c r="AY249" i="6"/>
  <c r="AZ29" i="5"/>
  <c r="BS405" i="6"/>
  <c r="BO405" i="6"/>
  <c r="BK405" i="6"/>
  <c r="BG405" i="6"/>
  <c r="BC405" i="6"/>
  <c r="AY405" i="6"/>
  <c r="AY356" i="6" s="1"/>
  <c r="AY250" i="6"/>
  <c r="BQ405" i="6"/>
  <c r="BI405" i="6"/>
  <c r="BA405" i="6"/>
  <c r="BR405" i="6"/>
  <c r="BN405" i="6"/>
  <c r="BJ405" i="6"/>
  <c r="BF405" i="6"/>
  <c r="BB405" i="6"/>
  <c r="BM405" i="6"/>
  <c r="BE405" i="6"/>
  <c r="AY355" i="6"/>
  <c r="AX2444" i="6"/>
  <c r="AW633" i="6"/>
  <c r="AW634" i="6"/>
  <c r="BL2220" i="6"/>
  <c r="BH2220" i="6"/>
  <c r="BD2220" i="6"/>
  <c r="AZ2220" i="6"/>
  <c r="AZ2170" i="6" s="1"/>
  <c r="BL2168" i="6"/>
  <c r="BH2168" i="6"/>
  <c r="BH2118" i="6" s="1" a="1"/>
  <c r="BH2118" i="6" s="1"/>
  <c r="BD2168" i="6"/>
  <c r="BD2118" i="6" s="1" a="1"/>
  <c r="BD2118" i="6" s="1"/>
  <c r="AZ2168" i="6"/>
  <c r="AZ2118" i="6" s="1" a="1"/>
  <c r="AZ2118" i="6" s="1"/>
  <c r="BK2116" i="6"/>
  <c r="BK2066" i="6" s="1" a="1"/>
  <c r="BK2066" i="6" s="1"/>
  <c r="BG2116" i="6"/>
  <c r="BC2116" i="6"/>
  <c r="BC2066" i="6" s="1" a="1"/>
  <c r="BC2066" i="6" s="1"/>
  <c r="AW2062" i="6"/>
  <c r="AW2012" i="6" s="1"/>
  <c r="BO2220" i="6"/>
  <c r="BK2220" i="6"/>
  <c r="BG2220" i="6"/>
  <c r="BC2220" i="6"/>
  <c r="BK2168" i="6"/>
  <c r="BK2118" i="6" s="1" a="1"/>
  <c r="BK2118" i="6" s="1"/>
  <c r="BG2168" i="6"/>
  <c r="BG2118" i="6" s="1" a="1"/>
  <c r="BG2118" i="6" s="1"/>
  <c r="BC2168" i="6"/>
  <c r="BC2118" i="6" s="1" a="1"/>
  <c r="BC2118" i="6" s="1"/>
  <c r="BN2116" i="6"/>
  <c r="BJ2116" i="6"/>
  <c r="BJ2066" i="6" s="1" a="1"/>
  <c r="BJ2066" i="6" s="1"/>
  <c r="BF2116" i="6"/>
  <c r="BB2116" i="6"/>
  <c r="BB2066" i="6" s="1" a="1"/>
  <c r="BB2066" i="6" s="1"/>
  <c r="BN2220" i="6"/>
  <c r="BJ2220" i="6"/>
  <c r="BF2220" i="6"/>
  <c r="BB2220" i="6"/>
  <c r="BN2168" i="6"/>
  <c r="BJ2168" i="6"/>
  <c r="BF2168" i="6"/>
  <c r="BB2168" i="6"/>
  <c r="BM2116" i="6"/>
  <c r="BI2116" i="6"/>
  <c r="BI2066" i="6" s="1" a="1"/>
  <c r="BI2066" i="6" s="1"/>
  <c r="BE2116" i="6"/>
  <c r="BE2066" i="6" s="1" a="1"/>
  <c r="BE2066" i="6" s="1"/>
  <c r="BA2116" i="6"/>
  <c r="BA2066" i="6" s="1" a="1"/>
  <c r="BA2066" i="6" s="1"/>
  <c r="AY2062" i="6"/>
  <c r="BA2011" i="6"/>
  <c r="BM2220" i="6"/>
  <c r="BM2170" i="6" s="1"/>
  <c r="BI2220" i="6"/>
  <c r="BE2220" i="6"/>
  <c r="BA2220" i="6"/>
  <c r="BM2168" i="6"/>
  <c r="BM2118" i="6" s="1" a="1"/>
  <c r="BM2118" i="6" s="1"/>
  <c r="BL2116" i="6"/>
  <c r="BL2066" i="6" s="1" a="1"/>
  <c r="BL2066" i="6" s="1"/>
  <c r="BI2168" i="6"/>
  <c r="BI2118" i="6" s="1" a="1"/>
  <c r="BI2118" i="6" s="1"/>
  <c r="BH2116" i="6"/>
  <c r="BE2168" i="6"/>
  <c r="BE2118" i="6" s="1" a="1"/>
  <c r="BE2118" i="6" s="1"/>
  <c r="BD2116" i="6"/>
  <c r="BD2066" i="6" s="1" a="1"/>
  <c r="BD2066" i="6" s="1"/>
  <c r="AX2062" i="6"/>
  <c r="BA2168" i="6"/>
  <c r="BA2118" i="6" s="1" a="1"/>
  <c r="BA2118" i="6" s="1"/>
  <c r="AZ2116" i="6"/>
  <c r="AZ2066" i="6" s="1" a="1"/>
  <c r="AZ2066" i="6" s="1"/>
  <c r="AY1096" i="6"/>
  <c r="AZ1109" i="6"/>
  <c r="AZ1110" i="6"/>
  <c r="BA9" i="5"/>
  <c r="BA1110" i="6"/>
  <c r="AR1164" i="6"/>
  <c r="AR1165" i="6"/>
  <c r="AR1322" i="6" s="1"/>
  <c r="BN1771" i="6"/>
  <c r="BJ1771" i="6"/>
  <c r="BF1771" i="6"/>
  <c r="BB1771" i="6"/>
  <c r="BO1719" i="6"/>
  <c r="BO1668" i="6" s="1" a="1"/>
  <c r="BO1668" i="6" s="1"/>
  <c r="BK1719" i="6"/>
  <c r="BG1719" i="6"/>
  <c r="BC1719" i="6"/>
  <c r="BN1667" i="6"/>
  <c r="BJ1667" i="6"/>
  <c r="BF1667" i="6"/>
  <c r="BB1667" i="6"/>
  <c r="BO1771" i="6"/>
  <c r="BI1771" i="6"/>
  <c r="BD1771" i="6"/>
  <c r="BJ1719" i="6"/>
  <c r="BE1719" i="6"/>
  <c r="BO1667" i="6"/>
  <c r="BO1616" i="6" s="1" a="1"/>
  <c r="BO1616" i="6" s="1"/>
  <c r="BI1667" i="6"/>
  <c r="BD1667" i="6"/>
  <c r="AY1613" i="6"/>
  <c r="BM1771" i="6"/>
  <c r="BH1771" i="6"/>
  <c r="BC1771" i="6"/>
  <c r="BN1719" i="6"/>
  <c r="BI1719" i="6"/>
  <c r="BD1719" i="6"/>
  <c r="BM1667" i="6"/>
  <c r="BH1667" i="6"/>
  <c r="BC1667" i="6"/>
  <c r="AX1613" i="6"/>
  <c r="BL1771" i="6"/>
  <c r="BL1720" i="6" s="1"/>
  <c r="BG1771" i="6"/>
  <c r="BA1771" i="6"/>
  <c r="BM1719" i="6"/>
  <c r="BH1719" i="6"/>
  <c r="BB1719" i="6"/>
  <c r="BL1667" i="6"/>
  <c r="BG1667" i="6"/>
  <c r="BA1667" i="6"/>
  <c r="BP1771" i="6"/>
  <c r="BP1720" i="6" s="1"/>
  <c r="BK1771" i="6"/>
  <c r="BE1771" i="6"/>
  <c r="BL1719" i="6"/>
  <c r="BF1719" i="6"/>
  <c r="BA1719" i="6"/>
  <c r="BK1667" i="6"/>
  <c r="BE1667" i="6"/>
  <c r="AZ1613" i="6"/>
  <c r="AZ1562" i="6" s="1"/>
  <c r="AV1389" i="6"/>
  <c r="AV1390" i="6"/>
  <c r="AV1547" i="6" s="1"/>
  <c r="AY14" i="13"/>
  <c r="AZ237" i="6"/>
  <c r="AZ12" i="6"/>
  <c r="AZ7" i="6"/>
  <c r="AX236" i="6"/>
  <c r="AY3002" i="6"/>
  <c r="AY3165" i="6" s="1"/>
  <c r="BP3162" i="6"/>
  <c r="BL3162" i="6"/>
  <c r="BH3162" i="6"/>
  <c r="BD3162" i="6"/>
  <c r="AZ3162" i="6"/>
  <c r="AY3006" i="6"/>
  <c r="BS3162" i="6"/>
  <c r="BO3162" i="6"/>
  <c r="BK3162" i="6"/>
  <c r="BG3162" i="6"/>
  <c r="BC3162" i="6"/>
  <c r="AY3162" i="6"/>
  <c r="AY3113" i="6" s="1"/>
  <c r="AY3007" i="6"/>
  <c r="BM3162" i="6"/>
  <c r="BE3162" i="6"/>
  <c r="BR3162" i="6"/>
  <c r="BJ3162" i="6"/>
  <c r="BB3162" i="6"/>
  <c r="BQ3162" i="6"/>
  <c r="BI3162" i="6"/>
  <c r="BA3162" i="6"/>
  <c r="BN3162" i="6"/>
  <c r="BF3162" i="6"/>
  <c r="AY3112" i="6"/>
  <c r="BJ629" i="6"/>
  <c r="BF629" i="6"/>
  <c r="BB629" i="6"/>
  <c r="AX629" i="6"/>
  <c r="AX581" i="6" s="1"/>
  <c r="BL577" i="6"/>
  <c r="BH577" i="6"/>
  <c r="BD577" i="6"/>
  <c r="AZ577" i="6"/>
  <c r="BL525" i="6"/>
  <c r="BH525" i="6"/>
  <c r="BD525" i="6"/>
  <c r="AZ525" i="6"/>
  <c r="AV471" i="6"/>
  <c r="BM629" i="6"/>
  <c r="BI629" i="6"/>
  <c r="BE629" i="6"/>
  <c r="BA629" i="6"/>
  <c r="BK577" i="6"/>
  <c r="BG577" i="6"/>
  <c r="BC577" i="6"/>
  <c r="AY577" i="6"/>
  <c r="BK525" i="6"/>
  <c r="BG525" i="6"/>
  <c r="BC525" i="6"/>
  <c r="AY525" i="6"/>
  <c r="AU471" i="6"/>
  <c r="AU423" i="6" s="1"/>
  <c r="BG629" i="6"/>
  <c r="AY629" i="6"/>
  <c r="BE577" i="6"/>
  <c r="BA577" i="6"/>
  <c r="AW471" i="6"/>
  <c r="AY422" i="6"/>
  <c r="BL629" i="6"/>
  <c r="BH629" i="6"/>
  <c r="BD629" i="6"/>
  <c r="AZ629" i="6"/>
  <c r="BJ577" i="6"/>
  <c r="BF577" i="6"/>
  <c r="BB577" i="6"/>
  <c r="AX577" i="6"/>
  <c r="AX529" i="6" s="1" a="1"/>
  <c r="AX529" i="6" s="1"/>
  <c r="BJ525" i="6"/>
  <c r="BF525" i="6"/>
  <c r="BB525" i="6"/>
  <c r="AX525" i="6"/>
  <c r="AX477" i="6" s="1" a="1"/>
  <c r="AX477" i="6" s="1"/>
  <c r="BK629" i="6"/>
  <c r="BC629" i="6"/>
  <c r="BI577" i="6"/>
  <c r="BI525" i="6"/>
  <c r="BE525" i="6"/>
  <c r="BA525" i="6"/>
  <c r="AX414" i="6"/>
  <c r="BD1094" i="6"/>
  <c r="BO1042" i="6"/>
  <c r="BK1042" i="6"/>
  <c r="BG1042" i="6"/>
  <c r="BC1042" i="6"/>
  <c r="BL990" i="6"/>
  <c r="BH990" i="6"/>
  <c r="BD990" i="6"/>
  <c r="BC1094" i="6"/>
  <c r="BN1042" i="6"/>
  <c r="BJ1042" i="6"/>
  <c r="BF1042" i="6"/>
  <c r="BB1042" i="6"/>
  <c r="BF1094" i="6"/>
  <c r="BF1043" i="6" s="1"/>
  <c r="BB1094" i="6"/>
  <c r="BB1043" i="6" s="1"/>
  <c r="BM1042" i="6"/>
  <c r="BI1042" i="6"/>
  <c r="BE1042" i="6"/>
  <c r="BA1042" i="6"/>
  <c r="BN990" i="6"/>
  <c r="BJ990" i="6"/>
  <c r="BF990" i="6"/>
  <c r="BB990" i="6"/>
  <c r="BE1094" i="6"/>
  <c r="BA1094" i="6"/>
  <c r="BL1042" i="6"/>
  <c r="BH1042" i="6"/>
  <c r="BD1042" i="6"/>
  <c r="BK990" i="6"/>
  <c r="BC990" i="6"/>
  <c r="BI990" i="6"/>
  <c r="BA990" i="6"/>
  <c r="BO990" i="6"/>
  <c r="BG990" i="6"/>
  <c r="BM990" i="6"/>
  <c r="BE990" i="6"/>
  <c r="AZ936" i="6"/>
  <c r="AZ885" i="6" s="1"/>
  <c r="BN1994" i="6"/>
  <c r="BJ1994" i="6"/>
  <c r="BF1994" i="6"/>
  <c r="BB1994" i="6"/>
  <c r="BM1942" i="6"/>
  <c r="BI1942" i="6"/>
  <c r="BE1942" i="6"/>
  <c r="BA1942" i="6"/>
  <c r="BL1890" i="6"/>
  <c r="BH1890" i="6"/>
  <c r="BD1890" i="6"/>
  <c r="AZ1890" i="6"/>
  <c r="BM1994" i="6"/>
  <c r="BI1994" i="6"/>
  <c r="BE1994" i="6"/>
  <c r="BA1994" i="6"/>
  <c r="BL1942" i="6"/>
  <c r="BH1942" i="6"/>
  <c r="BD1942" i="6"/>
  <c r="AZ1942" i="6"/>
  <c r="BK1890" i="6"/>
  <c r="BG1890" i="6"/>
  <c r="BC1890" i="6"/>
  <c r="AY1890" i="6"/>
  <c r="AY1841" i="6" s="1" a="1"/>
  <c r="AY1841" i="6" s="1"/>
  <c r="AW1836" i="6"/>
  <c r="BL1994" i="6"/>
  <c r="BH1994" i="6"/>
  <c r="BD1994" i="6"/>
  <c r="AZ1994" i="6"/>
  <c r="BK1942" i="6"/>
  <c r="BG1942" i="6"/>
  <c r="BC1942" i="6"/>
  <c r="AY1942" i="6"/>
  <c r="AY1893" i="6" s="1" a="1"/>
  <c r="AY1893" i="6" s="1"/>
  <c r="BJ1890" i="6"/>
  <c r="BF1890" i="6"/>
  <c r="BB1890" i="6"/>
  <c r="BC1994" i="6"/>
  <c r="BB1942" i="6"/>
  <c r="BA1890" i="6"/>
  <c r="AX1836" i="6"/>
  <c r="AY1994" i="6"/>
  <c r="AY1945" i="6" s="1"/>
  <c r="BM1890" i="6"/>
  <c r="AV1836" i="6"/>
  <c r="AV1787" i="6" s="1"/>
  <c r="AZ1786" i="6"/>
  <c r="BK1994" i="6"/>
  <c r="BJ1942" i="6"/>
  <c r="BI1890" i="6"/>
  <c r="BG1994" i="6"/>
  <c r="BF1942" i="6"/>
  <c r="BE1890" i="6"/>
  <c r="AZ17" i="20"/>
  <c r="BA1782" i="6" s="1"/>
  <c r="AZ1782" i="6"/>
  <c r="BO1545" i="6"/>
  <c r="BO1495" i="6" s="1"/>
  <c r="BK1545" i="6"/>
  <c r="BK1495" i="6" s="1"/>
  <c r="BG1545" i="6"/>
  <c r="BC1545" i="6"/>
  <c r="BK1493" i="6"/>
  <c r="BK1443" i="6" s="1" a="1"/>
  <c r="BK1443" i="6" s="1"/>
  <c r="BG1493" i="6"/>
  <c r="BG1443" i="6" s="1" a="1"/>
  <c r="BG1443" i="6" s="1"/>
  <c r="BC1493" i="6"/>
  <c r="BC1443" i="6" s="1" a="1"/>
  <c r="BC1443" i="6" s="1"/>
  <c r="BN1441" i="6"/>
  <c r="BN1391" i="6" s="1" a="1"/>
  <c r="BN1391" i="6" s="1"/>
  <c r="BJ1441" i="6"/>
  <c r="BJ1391" i="6" s="1" a="1"/>
  <c r="BJ1391" i="6" s="1"/>
  <c r="BF1441" i="6"/>
  <c r="BF1391" i="6" s="1" a="1"/>
  <c r="BF1391" i="6" s="1"/>
  <c r="BB1441" i="6"/>
  <c r="BB1391" i="6" s="1" a="1"/>
  <c r="BB1391" i="6" s="1"/>
  <c r="BN1545" i="6"/>
  <c r="BJ1545" i="6"/>
  <c r="BF1545" i="6"/>
  <c r="BB1545" i="6"/>
  <c r="BN1493" i="6"/>
  <c r="BN1443" i="6" s="1" a="1"/>
  <c r="BN1443" i="6" s="1"/>
  <c r="BJ1493" i="6"/>
  <c r="BJ1443" i="6" s="1" a="1"/>
  <c r="BJ1443" i="6" s="1"/>
  <c r="BF1493" i="6"/>
  <c r="BB1493" i="6"/>
  <c r="BB1443" i="6" s="1" a="1"/>
  <c r="BB1443" i="6" s="1"/>
  <c r="BM1441" i="6"/>
  <c r="BM1391" i="6" s="1" a="1"/>
  <c r="BM1391" i="6" s="1"/>
  <c r="BI1441" i="6"/>
  <c r="BI1391" i="6" s="1" a="1"/>
  <c r="BI1391" i="6" s="1"/>
  <c r="BE1441" i="6"/>
  <c r="BE1391" i="6" s="1" a="1"/>
  <c r="BE1391" i="6" s="1"/>
  <c r="BA1441" i="6"/>
  <c r="BA1391" i="6" s="1" a="1"/>
  <c r="BA1391" i="6" s="1"/>
  <c r="AY1387" i="6"/>
  <c r="AY1337" i="6" s="1"/>
  <c r="BA1336" i="6"/>
  <c r="BM1545" i="6"/>
  <c r="BM1495" i="6" s="1"/>
  <c r="BI1545" i="6"/>
  <c r="BE1545" i="6"/>
  <c r="BA1545" i="6"/>
  <c r="BM1493" i="6"/>
  <c r="BI1493" i="6"/>
  <c r="BI1443" i="6" s="1" a="1"/>
  <c r="BI1443" i="6" s="1"/>
  <c r="BE1493" i="6"/>
  <c r="BE1443" i="6" s="1" a="1"/>
  <c r="BE1443" i="6" s="1"/>
  <c r="BA1493" i="6"/>
  <c r="BA1443" i="6" s="1" a="1"/>
  <c r="BA1443" i="6" s="1"/>
  <c r="BL1441" i="6"/>
  <c r="BL1391" i="6" s="1" a="1"/>
  <c r="BL1391" i="6" s="1"/>
  <c r="BH1441" i="6"/>
  <c r="BH1391" i="6" s="1" a="1"/>
  <c r="BH1391" i="6" s="1"/>
  <c r="BD1441" i="6"/>
  <c r="BD1391" i="6" s="1" a="1"/>
  <c r="BD1391" i="6" s="1"/>
  <c r="AZ1441" i="6"/>
  <c r="AZ1391" i="6" s="1" a="1"/>
  <c r="AZ1391" i="6" s="1"/>
  <c r="AX1387" i="6"/>
  <c r="BL1545" i="6"/>
  <c r="BL1495" i="6" s="1"/>
  <c r="BH1545" i="6"/>
  <c r="BD1545" i="6"/>
  <c r="AZ1545" i="6"/>
  <c r="AZ1495" i="6" s="1"/>
  <c r="BL1493" i="6"/>
  <c r="BL1443" i="6" s="1" a="1"/>
  <c r="BL1443" i="6" s="1"/>
  <c r="BH1493" i="6"/>
  <c r="BH1443" i="6" s="1" a="1"/>
  <c r="BH1443" i="6" s="1"/>
  <c r="BD1493" i="6"/>
  <c r="BD1443" i="6" s="1" a="1"/>
  <c r="BD1443" i="6" s="1"/>
  <c r="AZ1493" i="6"/>
  <c r="AZ1443" i="6" s="1" a="1"/>
  <c r="AZ1443" i="6" s="1"/>
  <c r="BK1441" i="6"/>
  <c r="BK1391" i="6" s="1" a="1"/>
  <c r="BK1391" i="6" s="1"/>
  <c r="BG1441" i="6"/>
  <c r="BG1391" i="6" s="1" a="1"/>
  <c r="BG1391" i="6" s="1"/>
  <c r="BC1441" i="6"/>
  <c r="BC1391" i="6" s="1" a="1"/>
  <c r="BC1391" i="6" s="1"/>
  <c r="AW1387" i="6"/>
  <c r="AW1337" i="6" s="1"/>
  <c r="AZ3003" i="6"/>
  <c r="BJ3108" i="6"/>
  <c r="BF3108" i="6"/>
  <c r="BB3108" i="6"/>
  <c r="AX3108" i="6"/>
  <c r="AX3060" i="6" s="1" a="1"/>
  <c r="AX3060" i="6" s="1"/>
  <c r="BI3056" i="6"/>
  <c r="BE3056" i="6"/>
  <c r="BA3056" i="6"/>
  <c r="BI3108" i="6"/>
  <c r="BE3108" i="6"/>
  <c r="BA3108" i="6"/>
  <c r="BL3056" i="6"/>
  <c r="BH3056" i="6"/>
  <c r="BD3056" i="6"/>
  <c r="AZ3056" i="6"/>
  <c r="BG3108" i="6"/>
  <c r="AY3108" i="6"/>
  <c r="BF3056" i="6"/>
  <c r="AX3056" i="6"/>
  <c r="AX3008" i="6" s="1" a="1"/>
  <c r="AX3008" i="6" s="1"/>
  <c r="BL3108" i="6"/>
  <c r="BD3108" i="6"/>
  <c r="BK3056" i="6"/>
  <c r="BC3056" i="6"/>
  <c r="BK3108" i="6"/>
  <c r="BC3108" i="6"/>
  <c r="BJ3056" i="6"/>
  <c r="BB3056" i="6"/>
  <c r="BH3108" i="6"/>
  <c r="BG3056" i="6"/>
  <c r="AZ3108" i="6"/>
  <c r="AY3056" i="6"/>
  <c r="AW2833" i="6"/>
  <c r="AW2832" i="6"/>
  <c r="AY59" i="12"/>
  <c r="AZ60" i="12"/>
  <c r="BA246" i="6" s="1"/>
  <c r="AZ246" i="6"/>
  <c r="BM2221" i="6"/>
  <c r="BI2221" i="6"/>
  <c r="BI2170" i="6" s="1"/>
  <c r="BE2221" i="6"/>
  <c r="BE2170" i="6" s="1"/>
  <c r="BA2221" i="6"/>
  <c r="BA2170" i="6" s="1"/>
  <c r="BN2169" i="6"/>
  <c r="BJ2169" i="6"/>
  <c r="BF2169" i="6"/>
  <c r="BB2169" i="6"/>
  <c r="BM2117" i="6"/>
  <c r="BM2066" i="6" s="1" a="1"/>
  <c r="BM2066" i="6" s="1"/>
  <c r="BI2117" i="6"/>
  <c r="BE2117" i="6"/>
  <c r="BA2117" i="6"/>
  <c r="AY2063" i="6"/>
  <c r="BP2221" i="6"/>
  <c r="BP2170" i="6" s="1"/>
  <c r="BL2221" i="6"/>
  <c r="BH2221" i="6"/>
  <c r="BH2170" i="6" s="1"/>
  <c r="BD2221" i="6"/>
  <c r="BD2170" i="6" s="1"/>
  <c r="BM2169" i="6"/>
  <c r="BI2169" i="6"/>
  <c r="BE2169" i="6"/>
  <c r="BA2169" i="6"/>
  <c r="BL2117" i="6"/>
  <c r="BH2117" i="6"/>
  <c r="BD2117" i="6"/>
  <c r="AX2063" i="6"/>
  <c r="AX2012" i="6" s="1"/>
  <c r="BO2221" i="6"/>
  <c r="BK2221" i="6"/>
  <c r="BG2221" i="6"/>
  <c r="BG2170" i="6" s="1"/>
  <c r="BC2221" i="6"/>
  <c r="BC2170" i="6" s="1"/>
  <c r="BL2169" i="6"/>
  <c r="BH2169" i="6"/>
  <c r="BD2169" i="6"/>
  <c r="BO2117" i="6"/>
  <c r="BO2066" i="6" s="1" a="1"/>
  <c r="BO2066" i="6" s="1"/>
  <c r="BK2117" i="6"/>
  <c r="BG2117" i="6"/>
  <c r="BC2117" i="6"/>
  <c r="BN2221" i="6"/>
  <c r="BN2170" i="6" s="1"/>
  <c r="BJ2221" i="6"/>
  <c r="BJ2170" i="6" s="1"/>
  <c r="BF2221" i="6"/>
  <c r="BF2170" i="6" s="1"/>
  <c r="BB2221" i="6"/>
  <c r="BB2170" i="6" s="1"/>
  <c r="BO2169" i="6"/>
  <c r="BO2118" i="6" s="1" a="1"/>
  <c r="BO2118" i="6" s="1"/>
  <c r="BN2117" i="6"/>
  <c r="BK2169" i="6"/>
  <c r="BJ2117" i="6"/>
  <c r="AZ2063" i="6"/>
  <c r="AZ2012" i="6" s="1"/>
  <c r="BG2169" i="6"/>
  <c r="BF2117" i="6"/>
  <c r="BC2169" i="6"/>
  <c r="BB2117" i="6"/>
  <c r="AU2286" i="6"/>
  <c r="AU2443" i="6" s="1"/>
  <c r="AU2285" i="6"/>
  <c r="BC868" i="6"/>
  <c r="BC818" i="6" s="1"/>
  <c r="BK816" i="6"/>
  <c r="BG816" i="6"/>
  <c r="BG766" i="6" s="1" a="1"/>
  <c r="BG766" i="6" s="1"/>
  <c r="BC816" i="6"/>
  <c r="BC766" i="6" s="1" a="1"/>
  <c r="BC766" i="6" s="1"/>
  <c r="BL764" i="6"/>
  <c r="BH764" i="6"/>
  <c r="BH714" i="6" s="1" a="1"/>
  <c r="BH714" i="6" s="1"/>
  <c r="BD764" i="6"/>
  <c r="BD714" i="6" s="1" a="1"/>
  <c r="BD714" i="6" s="1"/>
  <c r="AZ764" i="6"/>
  <c r="AZ714" i="6" s="1" a="1"/>
  <c r="AZ714" i="6" s="1"/>
  <c r="BB868" i="6"/>
  <c r="BB818" i="6" s="1"/>
  <c r="BN816" i="6"/>
  <c r="BJ816" i="6"/>
  <c r="BJ766" i="6" s="1" a="1"/>
  <c r="BJ766" i="6" s="1"/>
  <c r="BF816" i="6"/>
  <c r="BF766" i="6" s="1" a="1"/>
  <c r="BF766" i="6" s="1"/>
  <c r="BB816" i="6"/>
  <c r="BB766" i="6" s="1" a="1"/>
  <c r="BB766" i="6" s="1"/>
  <c r="BK764" i="6"/>
  <c r="BG764" i="6"/>
  <c r="BG714" i="6" s="1" a="1"/>
  <c r="BG714" i="6" s="1"/>
  <c r="BC764" i="6"/>
  <c r="BC714" i="6" s="1" a="1"/>
  <c r="BC714" i="6" s="1"/>
  <c r="AX710" i="6"/>
  <c r="AX660" i="6" s="1"/>
  <c r="BA659" i="6"/>
  <c r="BE868" i="6"/>
  <c r="BE818" i="6" s="1"/>
  <c r="BA868" i="6"/>
  <c r="BM816" i="6"/>
  <c r="BI816" i="6"/>
  <c r="BI766" i="6" s="1" a="1"/>
  <c r="BI766" i="6" s="1"/>
  <c r="BE816" i="6"/>
  <c r="BE766" i="6" s="1" a="1"/>
  <c r="BE766" i="6" s="1"/>
  <c r="BA816" i="6"/>
  <c r="BA766" i="6" s="1" a="1"/>
  <c r="BA766" i="6" s="1"/>
  <c r="BN764" i="6"/>
  <c r="BJ764" i="6"/>
  <c r="BJ714" i="6" s="1" a="1"/>
  <c r="BJ714" i="6" s="1"/>
  <c r="BF764" i="6"/>
  <c r="BF714" i="6" s="1" a="1"/>
  <c r="BF714" i="6" s="1"/>
  <c r="BB764" i="6"/>
  <c r="BB714" i="6" s="1" a="1"/>
  <c r="BB714" i="6" s="1"/>
  <c r="AY710" i="6"/>
  <c r="AY660" i="6" s="1"/>
  <c r="BD868" i="6"/>
  <c r="BD818" i="6" s="1"/>
  <c r="AZ868" i="6"/>
  <c r="BL816" i="6"/>
  <c r="BH816" i="6"/>
  <c r="BH766" i="6" s="1" a="1"/>
  <c r="BH766" i="6" s="1"/>
  <c r="BD816" i="6"/>
  <c r="BD766" i="6" s="1" a="1"/>
  <c r="BD766" i="6" s="1"/>
  <c r="AZ816" i="6"/>
  <c r="AZ766" i="6" s="1" a="1"/>
  <c r="AZ766" i="6" s="1"/>
  <c r="BM764" i="6"/>
  <c r="BI764" i="6"/>
  <c r="BI714" i="6" s="1" a="1"/>
  <c r="BI714" i="6" s="1"/>
  <c r="BE764" i="6"/>
  <c r="BE714" i="6" s="1" a="1"/>
  <c r="BE714" i="6" s="1"/>
  <c r="BA764" i="6"/>
  <c r="BA714" i="6" s="1" a="1"/>
  <c r="BA714" i="6" s="1"/>
  <c r="BN1319" i="6"/>
  <c r="BJ1319" i="6"/>
  <c r="BF1319" i="6"/>
  <c r="BB1319" i="6"/>
  <c r="BJ1267" i="6"/>
  <c r="BF1267" i="6"/>
  <c r="BB1267" i="6"/>
  <c r="BK1215" i="6"/>
  <c r="BG1215" i="6"/>
  <c r="BC1215" i="6"/>
  <c r="AY1215" i="6"/>
  <c r="AY1166" i="6" s="1" a="1"/>
  <c r="AY1166" i="6" s="1"/>
  <c r="AW1161" i="6"/>
  <c r="AS1161" i="6"/>
  <c r="AS1112" i="6" s="1"/>
  <c r="BM1319" i="6"/>
  <c r="BI1319" i="6"/>
  <c r="BE1319" i="6"/>
  <c r="BA1319" i="6"/>
  <c r="BM1267" i="6"/>
  <c r="BI1267" i="6"/>
  <c r="BE1267" i="6"/>
  <c r="BA1267" i="6"/>
  <c r="BJ1215" i="6"/>
  <c r="BF1215" i="6"/>
  <c r="BB1215" i="6"/>
  <c r="AV1161" i="6"/>
  <c r="AZ1111" i="6"/>
  <c r="BL1319" i="6"/>
  <c r="BH1319" i="6"/>
  <c r="BD1319" i="6"/>
  <c r="AZ1319" i="6"/>
  <c r="BL1267" i="6"/>
  <c r="BH1267" i="6"/>
  <c r="BD1267" i="6"/>
  <c r="AZ1267" i="6"/>
  <c r="BM1215" i="6"/>
  <c r="BI1215" i="6"/>
  <c r="BE1215" i="6"/>
  <c r="BA1215" i="6"/>
  <c r="AU1161" i="6"/>
  <c r="BK1319" i="6"/>
  <c r="BG1319" i="6"/>
  <c r="BC1319" i="6"/>
  <c r="AY1319" i="6"/>
  <c r="AY1270" i="6" s="1"/>
  <c r="BK1267" i="6"/>
  <c r="BG1267" i="6"/>
  <c r="BC1267" i="6"/>
  <c r="AY1267" i="6"/>
  <c r="AY1218" i="6" s="1" a="1"/>
  <c r="AY1218" i="6" s="1"/>
  <c r="BL1215" i="6"/>
  <c r="BH1215" i="6"/>
  <c r="BD1215" i="6"/>
  <c r="AZ1215" i="6"/>
  <c r="AX1161" i="6"/>
  <c r="AT1161" i="6"/>
  <c r="BL2440" i="6"/>
  <c r="BH2440" i="6"/>
  <c r="BD2440" i="6"/>
  <c r="AZ2440" i="6"/>
  <c r="BM2388" i="6"/>
  <c r="BI2388" i="6"/>
  <c r="BE2388" i="6"/>
  <c r="BA2388" i="6"/>
  <c r="BN2336" i="6"/>
  <c r="BJ2336" i="6"/>
  <c r="BF2336" i="6"/>
  <c r="BB2336" i="6"/>
  <c r="AV2282" i="6"/>
  <c r="AV2233" i="6" s="1"/>
  <c r="AZ2232" i="6"/>
  <c r="BK2440" i="6"/>
  <c r="BG2440" i="6"/>
  <c r="BC2440" i="6"/>
  <c r="AY2440" i="6"/>
  <c r="AY2391" i="6" s="1"/>
  <c r="BP2388" i="6"/>
  <c r="BL2388" i="6"/>
  <c r="BH2388" i="6"/>
  <c r="BD2388" i="6"/>
  <c r="AZ2388" i="6"/>
  <c r="BM2336" i="6"/>
  <c r="BI2336" i="6"/>
  <c r="BE2336" i="6"/>
  <c r="BA2336" i="6"/>
  <c r="BN2440" i="6"/>
  <c r="BJ2440" i="6"/>
  <c r="BF2440" i="6"/>
  <c r="BB2440" i="6"/>
  <c r="BO2388" i="6"/>
  <c r="BK2388" i="6"/>
  <c r="BG2388" i="6"/>
  <c r="BC2388" i="6"/>
  <c r="AY2388" i="6"/>
  <c r="AY2339" i="6" s="1" a="1"/>
  <c r="AY2339" i="6" s="1"/>
  <c r="BL2336" i="6"/>
  <c r="BH2336" i="6"/>
  <c r="BD2336" i="6"/>
  <c r="AZ2336" i="6"/>
  <c r="AX2282" i="6"/>
  <c r="BM2440" i="6"/>
  <c r="BI2440" i="6"/>
  <c r="BE2440" i="6"/>
  <c r="BA2440" i="6"/>
  <c r="BN2388" i="6"/>
  <c r="BJ2388" i="6"/>
  <c r="BF2388" i="6"/>
  <c r="BB2388" i="6"/>
  <c r="BO2336" i="6"/>
  <c r="BK2336" i="6"/>
  <c r="BG2336" i="6"/>
  <c r="BC2336" i="6"/>
  <c r="AY2336" i="6"/>
  <c r="AY2287" i="6" s="1" a="1"/>
  <c r="AY2287" i="6" s="1"/>
  <c r="AW2282" i="6"/>
  <c r="AT44" i="5"/>
  <c r="AT46" i="5"/>
  <c r="AY27" i="5"/>
  <c r="BF1443" i="6" a="1"/>
  <c r="BF1443" i="6" s="1"/>
  <c r="AX1337" i="6"/>
  <c r="BM1443" i="6" a="1"/>
  <c r="BM1443" i="6" s="1"/>
  <c r="BN1495" i="6"/>
  <c r="AX44" i="8"/>
  <c r="AY24" i="8"/>
  <c r="BB2118" i="6" a="1"/>
  <c r="BB2118" i="6" s="1"/>
  <c r="AZ39" i="23"/>
  <c r="BA2451" i="6" s="1"/>
  <c r="AZ32" i="22"/>
  <c r="BA2230" i="6" s="1"/>
  <c r="AZ32" i="21"/>
  <c r="BA2009" i="6" s="1"/>
  <c r="AZ32" i="19"/>
  <c r="BA1559" i="6" s="1"/>
  <c r="AZ32" i="20"/>
  <c r="BA1784" i="6" s="1"/>
  <c r="AZ32" i="18"/>
  <c r="BA1334" i="6" s="1"/>
  <c r="AZ37" i="17"/>
  <c r="BA1109" i="6" s="1"/>
  <c r="AZ49" i="14"/>
  <c r="BA420" i="6" s="1"/>
  <c r="AZ34" i="15"/>
  <c r="BA657" i="6" s="1"/>
  <c r="AZ42" i="16"/>
  <c r="BA882" i="6" s="1"/>
  <c r="AZ41" i="13"/>
  <c r="BA13" i="6" s="1"/>
  <c r="AW645" i="6"/>
  <c r="AY2835" i="6"/>
  <c r="AY69" i="9"/>
  <c r="AZ93" i="9"/>
  <c r="AY74" i="9"/>
  <c r="AY68" i="9"/>
  <c r="AZ2837" i="6" s="1"/>
  <c r="AY65" i="9"/>
  <c r="AY63" i="9"/>
  <c r="AY57" i="9"/>
  <c r="AY4" i="9"/>
  <c r="AY17" i="9"/>
  <c r="AY15" i="9" s="1"/>
  <c r="AZ2671" i="6" s="1"/>
  <c r="AY8" i="9"/>
  <c r="AZ2670" i="6" s="1"/>
  <c r="BA2669" i="6" s="1"/>
  <c r="AY3" i="9"/>
  <c r="AY92" i="9"/>
  <c r="AY66" i="9"/>
  <c r="AY64" i="9"/>
  <c r="AY61" i="9"/>
  <c r="AZ3005" i="6" s="1"/>
  <c r="AY58" i="9"/>
  <c r="AY16" i="9"/>
  <c r="AX1998" i="6"/>
  <c r="BV351" i="6"/>
  <c r="BR351" i="6"/>
  <c r="BN351" i="6"/>
  <c r="BJ351" i="6"/>
  <c r="BF351" i="6"/>
  <c r="BB351" i="6"/>
  <c r="AX351" i="6"/>
  <c r="AX303" i="6" s="1" a="1"/>
  <c r="AX303" i="6" s="1"/>
  <c r="BS299" i="6"/>
  <c r="BO299" i="6"/>
  <c r="BK299" i="6"/>
  <c r="BG299" i="6"/>
  <c r="BC299" i="6"/>
  <c r="AY299" i="6"/>
  <c r="BS351" i="6"/>
  <c r="BG351" i="6"/>
  <c r="BT299" i="6"/>
  <c r="BH299" i="6"/>
  <c r="BU351" i="6"/>
  <c r="BQ351" i="6"/>
  <c r="BM351" i="6"/>
  <c r="BI351" i="6"/>
  <c r="BE351" i="6"/>
  <c r="BA351" i="6"/>
  <c r="BV299" i="6"/>
  <c r="BR299" i="6"/>
  <c r="BN299" i="6"/>
  <c r="BJ299" i="6"/>
  <c r="BF299" i="6"/>
  <c r="BB299" i="6"/>
  <c r="AX299" i="6"/>
  <c r="AX251" i="6" s="1" a="1"/>
  <c r="AX251" i="6" s="1"/>
  <c r="AX409" i="6" s="1"/>
  <c r="BK351" i="6"/>
  <c r="BC351" i="6"/>
  <c r="BL299" i="6"/>
  <c r="AZ299" i="6"/>
  <c r="BT351" i="6"/>
  <c r="BP351" i="6"/>
  <c r="BL351" i="6"/>
  <c r="BH351" i="6"/>
  <c r="BD351" i="6"/>
  <c r="AZ351" i="6"/>
  <c r="BU299" i="6"/>
  <c r="BQ299" i="6"/>
  <c r="BM299" i="6"/>
  <c r="BI299" i="6"/>
  <c r="BE299" i="6"/>
  <c r="BA299" i="6"/>
  <c r="BO351" i="6"/>
  <c r="AY351" i="6"/>
  <c r="BP299" i="6"/>
  <c r="BD299" i="6"/>
  <c r="AU24" i="17"/>
  <c r="AU1107" i="6"/>
  <c r="AV18" i="5" s="1"/>
  <c r="BI1616" i="6" a="1"/>
  <c r="BI1616" i="6" s="1"/>
  <c r="AT1323" i="6"/>
  <c r="AU17" i="5"/>
  <c r="AU24" i="5" s="1"/>
  <c r="AU42" i="5" s="1"/>
  <c r="AY26" i="5"/>
  <c r="AX2831" i="6"/>
  <c r="AT476" i="6"/>
  <c r="AT475" i="6"/>
  <c r="AX938" i="6"/>
  <c r="AX1095" i="6" s="1"/>
  <c r="AX937" i="6"/>
  <c r="AR45" i="5"/>
  <c r="AR47" i="5"/>
  <c r="BM1770" i="6"/>
  <c r="BM1720" i="6" s="1"/>
  <c r="BI1770" i="6"/>
  <c r="BE1770" i="6"/>
  <c r="BA1770" i="6"/>
  <c r="BM1718" i="6"/>
  <c r="BM1668" i="6" s="1" a="1"/>
  <c r="BM1668" i="6" s="1"/>
  <c r="BI1718" i="6"/>
  <c r="BI1668" i="6" s="1" a="1"/>
  <c r="BI1668" i="6" s="1"/>
  <c r="BE1718" i="6"/>
  <c r="BE1668" i="6" s="1" a="1"/>
  <c r="BE1668" i="6" s="1"/>
  <c r="BA1718" i="6"/>
  <c r="BA1668" i="6" s="1" a="1"/>
  <c r="BA1668" i="6" s="1"/>
  <c r="BL1666" i="6"/>
  <c r="BL1616" i="6" s="1" a="1"/>
  <c r="BL1616" i="6" s="1"/>
  <c r="BH1666" i="6"/>
  <c r="BH1616" i="6" s="1" a="1"/>
  <c r="BH1616" i="6" s="1"/>
  <c r="BD1666" i="6"/>
  <c r="BD1616" i="6" s="1" a="1"/>
  <c r="BD1616" i="6" s="1"/>
  <c r="AZ1666" i="6"/>
  <c r="AZ1616" i="6" s="1" a="1"/>
  <c r="AZ1616" i="6" s="1"/>
  <c r="BN1770" i="6"/>
  <c r="BN1720" i="6" s="1"/>
  <c r="BH1770" i="6"/>
  <c r="BC1770" i="6"/>
  <c r="BN1718" i="6"/>
  <c r="BN1668" i="6" s="1" a="1"/>
  <c r="BN1668" i="6" s="1"/>
  <c r="BH1718" i="6"/>
  <c r="BH1668" i="6" s="1" a="1"/>
  <c r="BH1668" i="6" s="1"/>
  <c r="BC1718" i="6"/>
  <c r="BC1668" i="6" s="1" a="1"/>
  <c r="BC1668" i="6" s="1"/>
  <c r="BM1666" i="6"/>
  <c r="BM1616" i="6" s="1" a="1"/>
  <c r="BM1616" i="6" s="1"/>
  <c r="BG1666" i="6"/>
  <c r="BG1616" i="6" s="1" a="1"/>
  <c r="BG1616" i="6" s="1"/>
  <c r="BB1666" i="6"/>
  <c r="BB1616" i="6" s="1" a="1"/>
  <c r="BB1616" i="6" s="1"/>
  <c r="AW1612" i="6"/>
  <c r="AW1562" i="6" s="1"/>
  <c r="BL1770" i="6"/>
  <c r="BG1770" i="6"/>
  <c r="BB1770" i="6"/>
  <c r="BL1718" i="6"/>
  <c r="BL1668" i="6" s="1" a="1"/>
  <c r="BL1668" i="6" s="1"/>
  <c r="BG1718" i="6"/>
  <c r="BG1668" i="6" s="1" a="1"/>
  <c r="BG1668" i="6" s="1"/>
  <c r="BB1718" i="6"/>
  <c r="BB1668" i="6" s="1" a="1"/>
  <c r="BB1668" i="6" s="1"/>
  <c r="BK1666" i="6"/>
  <c r="BK1616" i="6" s="1" a="1"/>
  <c r="BK1616" i="6" s="1"/>
  <c r="BF1666" i="6"/>
  <c r="BF1616" i="6" s="1" a="1"/>
  <c r="BF1616" i="6" s="1"/>
  <c r="BA1666" i="6"/>
  <c r="BA1616" i="6" s="1" a="1"/>
  <c r="BA1616" i="6" s="1"/>
  <c r="BK1770" i="6"/>
  <c r="BF1770" i="6"/>
  <c r="AZ1770" i="6"/>
  <c r="AZ1720" i="6" s="1"/>
  <c r="BK1718" i="6"/>
  <c r="BK1668" i="6" s="1" a="1"/>
  <c r="BK1668" i="6" s="1"/>
  <c r="BF1718" i="6"/>
  <c r="BF1668" i="6" s="1" a="1"/>
  <c r="BF1668" i="6" s="1"/>
  <c r="AZ1718" i="6"/>
  <c r="AZ1668" i="6" s="1" a="1"/>
  <c r="AZ1668" i="6" s="1"/>
  <c r="BJ1666" i="6"/>
  <c r="BJ1616" i="6" s="1" a="1"/>
  <c r="BJ1616" i="6" s="1"/>
  <c r="BE1666" i="6"/>
  <c r="BE1616" i="6" s="1" a="1"/>
  <c r="BE1616" i="6" s="1"/>
  <c r="AY1612" i="6"/>
  <c r="AY1562" i="6" s="1"/>
  <c r="BA1561" i="6"/>
  <c r="BO1770" i="6"/>
  <c r="BO1720" i="6" s="1"/>
  <c r="BJ1770" i="6"/>
  <c r="BD1770" i="6"/>
  <c r="BJ1718" i="6"/>
  <c r="BJ1668" i="6" s="1" a="1"/>
  <c r="BJ1668" i="6" s="1"/>
  <c r="BD1718" i="6"/>
  <c r="BD1668" i="6" s="1" a="1"/>
  <c r="BD1668" i="6" s="1"/>
  <c r="BN1666" i="6"/>
  <c r="BN1616" i="6" s="1" a="1"/>
  <c r="BN1616" i="6" s="1"/>
  <c r="BI1666" i="6"/>
  <c r="BC1666" i="6"/>
  <c r="BC1616" i="6" s="1" a="1"/>
  <c r="BC1616" i="6" s="1"/>
  <c r="AX1612" i="6"/>
  <c r="AX1562" i="6" s="1"/>
  <c r="BL2774" i="6"/>
  <c r="BH2774" i="6"/>
  <c r="BD2774" i="6"/>
  <c r="AZ2774" i="6"/>
  <c r="BK2722" i="6"/>
  <c r="BG2722" i="6"/>
  <c r="BC2722" i="6"/>
  <c r="AY2722" i="6"/>
  <c r="BK2774" i="6"/>
  <c r="BF2774" i="6"/>
  <c r="BA2774" i="6"/>
  <c r="BJ2722" i="6"/>
  <c r="BE2722" i="6"/>
  <c r="AZ2722" i="6"/>
  <c r="BJ2774" i="6"/>
  <c r="BE2774" i="6"/>
  <c r="AY2774" i="6"/>
  <c r="BI2722" i="6"/>
  <c r="BD2722" i="6"/>
  <c r="AX2722" i="6"/>
  <c r="AX2674" i="6" s="1" a="1"/>
  <c r="AX2674" i="6" s="1"/>
  <c r="BI2774" i="6"/>
  <c r="BC2774" i="6"/>
  <c r="AX2774" i="6"/>
  <c r="AX2726" i="6" s="1" a="1"/>
  <c r="AX2726" i="6" s="1"/>
  <c r="BH2722" i="6"/>
  <c r="BB2722" i="6"/>
  <c r="BG2774" i="6"/>
  <c r="BF2722" i="6"/>
  <c r="BB2774" i="6"/>
  <c r="BA2722" i="6"/>
  <c r="BL2722" i="6"/>
  <c r="BO2994" i="6"/>
  <c r="BK2994" i="6"/>
  <c r="BG2994" i="6"/>
  <c r="BC2994" i="6"/>
  <c r="AY2994" i="6"/>
  <c r="AX2839" i="6"/>
  <c r="BR2994" i="6"/>
  <c r="BN2994" i="6"/>
  <c r="BJ2994" i="6"/>
  <c r="BF2994" i="6"/>
  <c r="BB2994" i="6"/>
  <c r="AX2994" i="6"/>
  <c r="AX2946" i="6" s="1"/>
  <c r="BQ2994" i="6"/>
  <c r="BI2994" i="6"/>
  <c r="BA2994" i="6"/>
  <c r="BP2994" i="6"/>
  <c r="BH2994" i="6"/>
  <c r="AZ2994" i="6"/>
  <c r="BM2994" i="6"/>
  <c r="BE2994" i="6"/>
  <c r="BD2994" i="6"/>
  <c r="BL2994" i="6"/>
  <c r="AX2840" i="6"/>
  <c r="AX2945" i="6"/>
  <c r="AX2998" i="6" s="1"/>
  <c r="AZ1779" i="6"/>
  <c r="AZ1783" i="6"/>
  <c r="AZ1108" i="6"/>
  <c r="AZ1102" i="6"/>
  <c r="AW41" i="8"/>
  <c r="AX642" i="6" s="1"/>
  <c r="AW43" i="8"/>
  <c r="AX643" i="6" s="1"/>
  <c r="AX645" i="6" s="1"/>
  <c r="AW42" i="8"/>
  <c r="AX644" i="6" s="1"/>
  <c r="AX641" i="6"/>
  <c r="AY33" i="5" s="1"/>
  <c r="AZ2228" i="6"/>
  <c r="BL2170" i="6"/>
  <c r="BG2066" i="6" a="1"/>
  <c r="BG2066" i="6" s="1"/>
  <c r="AY2836" i="6"/>
  <c r="AZ818" i="6"/>
  <c r="AX71" i="9"/>
  <c r="AX72" i="9"/>
  <c r="AY2838" i="6"/>
  <c r="BR2828" i="6"/>
  <c r="BN2828" i="6"/>
  <c r="BJ2828" i="6"/>
  <c r="BF2828" i="6"/>
  <c r="BB2828" i="6"/>
  <c r="BP2828" i="6"/>
  <c r="BK2828" i="6"/>
  <c r="BE2828" i="6"/>
  <c r="AZ2828" i="6"/>
  <c r="BO2828" i="6"/>
  <c r="BI2828" i="6"/>
  <c r="BD2828" i="6"/>
  <c r="AY2828" i="6"/>
  <c r="AY2779" i="6" s="1"/>
  <c r="BL2828" i="6"/>
  <c r="BA2828" i="6"/>
  <c r="BS2828" i="6"/>
  <c r="BH2828" i="6"/>
  <c r="BQ2828" i="6"/>
  <c r="BG2828" i="6"/>
  <c r="BM2828" i="6"/>
  <c r="BC2828" i="6"/>
  <c r="AY2673" i="6"/>
  <c r="AY2672" i="6"/>
  <c r="AZ27" i="5"/>
  <c r="AY2778" i="6"/>
  <c r="AW36" i="11"/>
  <c r="AW3170" i="6"/>
  <c r="AY420" i="6"/>
  <c r="AY415" i="6"/>
  <c r="AZ4" i="5"/>
  <c r="AY421" i="6"/>
  <c r="AZ20" i="5" s="1"/>
  <c r="AY417" i="6"/>
  <c r="AZ412" i="6"/>
  <c r="AZ5" i="5"/>
  <c r="AY418" i="6"/>
  <c r="AY414" i="6"/>
  <c r="BE1093" i="6"/>
  <c r="BE1043" i="6" s="1"/>
  <c r="BA1093" i="6"/>
  <c r="BM1041" i="6"/>
  <c r="BI1041" i="6"/>
  <c r="BI991" i="6" s="1" a="1"/>
  <c r="BI991" i="6" s="1"/>
  <c r="BE1041" i="6"/>
  <c r="BE991" i="6" s="1" a="1"/>
  <c r="BE991" i="6" s="1"/>
  <c r="BA1041" i="6"/>
  <c r="BA991" i="6" s="1" a="1"/>
  <c r="BA991" i="6" s="1"/>
  <c r="BN989" i="6"/>
  <c r="BJ989" i="6"/>
  <c r="BJ939" i="6" s="1" a="1"/>
  <c r="BJ939" i="6" s="1"/>
  <c r="BF989" i="6"/>
  <c r="BF939" i="6" s="1" a="1"/>
  <c r="BF939" i="6" s="1"/>
  <c r="BB989" i="6"/>
  <c r="BB939" i="6" s="1" a="1"/>
  <c r="BB939" i="6" s="1"/>
  <c r="BD1093" i="6"/>
  <c r="BD1043" i="6" s="1"/>
  <c r="AZ1093" i="6"/>
  <c r="AZ1043" i="6" s="1"/>
  <c r="BL1041" i="6"/>
  <c r="BH1041" i="6"/>
  <c r="BH991" i="6" s="1" a="1"/>
  <c r="BH991" i="6" s="1"/>
  <c r="BD1041" i="6"/>
  <c r="BD991" i="6" s="1" a="1"/>
  <c r="BD991" i="6" s="1"/>
  <c r="AZ1041" i="6"/>
  <c r="AZ991" i="6" s="1" a="1"/>
  <c r="AZ991" i="6" s="1"/>
  <c r="BC1093" i="6"/>
  <c r="BC1043" i="6" s="1"/>
  <c r="BK1041" i="6"/>
  <c r="BG1041" i="6"/>
  <c r="BG991" i="6" s="1" a="1"/>
  <c r="BG991" i="6" s="1"/>
  <c r="BC1041" i="6"/>
  <c r="BC991" i="6" s="1" a="1"/>
  <c r="BC991" i="6" s="1"/>
  <c r="BL989" i="6"/>
  <c r="BH989" i="6"/>
  <c r="BH939" i="6" s="1" a="1"/>
  <c r="BH939" i="6" s="1"/>
  <c r="BD989" i="6"/>
  <c r="BD939" i="6" s="1" a="1"/>
  <c r="BD939" i="6" s="1"/>
  <c r="AZ989" i="6"/>
  <c r="AZ939" i="6" s="1" a="1"/>
  <c r="AZ939" i="6" s="1"/>
  <c r="BB1093" i="6"/>
  <c r="BN1041" i="6"/>
  <c r="BJ1041" i="6"/>
  <c r="BJ991" i="6" s="1" a="1"/>
  <c r="BJ991" i="6" s="1"/>
  <c r="BF1041" i="6"/>
  <c r="BF991" i="6" s="1" a="1"/>
  <c r="BF991" i="6" s="1"/>
  <c r="BI989" i="6"/>
  <c r="BI939" i="6" s="1" a="1"/>
  <c r="BI939" i="6" s="1"/>
  <c r="BA989" i="6"/>
  <c r="BA939" i="6" s="1" a="1"/>
  <c r="BA939" i="6" s="1"/>
  <c r="AY935" i="6"/>
  <c r="AY885" i="6" s="1"/>
  <c r="BB1041" i="6"/>
  <c r="BB991" i="6" s="1" a="1"/>
  <c r="BB991" i="6" s="1"/>
  <c r="BG989" i="6"/>
  <c r="BG939" i="6" s="1" a="1"/>
  <c r="BG939" i="6" s="1"/>
  <c r="BA884" i="6"/>
  <c r="BM989" i="6"/>
  <c r="BE989" i="6"/>
  <c r="BE939" i="6" s="1" a="1"/>
  <c r="BE939" i="6" s="1"/>
  <c r="BK989" i="6"/>
  <c r="BC989" i="6"/>
  <c r="BC939" i="6" s="1" a="1"/>
  <c r="BC939" i="6" s="1"/>
  <c r="AZ1785" i="6"/>
  <c r="AZ1784" i="6"/>
  <c r="BA12" i="5"/>
  <c r="BA1785" i="6"/>
  <c r="AZ17" i="21"/>
  <c r="BA2007" i="6" s="1"/>
  <c r="AZ2007" i="6"/>
  <c r="AZ14" i="6"/>
  <c r="BA2" i="5"/>
  <c r="AZ13" i="6"/>
  <c r="BA3" i="5"/>
  <c r="BA14" i="6"/>
  <c r="AX2065" i="6" l="1"/>
  <c r="AX2222" i="6" s="1"/>
  <c r="AX2064" i="6"/>
  <c r="AX3167" i="6"/>
  <c r="AX3166" i="6"/>
  <c r="AX1615" i="6"/>
  <c r="AX1772" i="6" s="1"/>
  <c r="AX1614" i="6"/>
  <c r="AW1614" i="6"/>
  <c r="AW1615" i="6"/>
  <c r="AW1772" i="6" s="1"/>
  <c r="AV2285" i="6"/>
  <c r="AV2286" i="6"/>
  <c r="AV2443" i="6" s="1"/>
  <c r="AX712" i="6"/>
  <c r="AX713" i="6"/>
  <c r="AX870" i="6" s="1"/>
  <c r="AZ1548" i="6"/>
  <c r="AU475" i="6"/>
  <c r="AU476" i="6"/>
  <c r="AW2064" i="6"/>
  <c r="AW2065" i="6"/>
  <c r="AW2222" i="6" s="1"/>
  <c r="AZ2223" i="6"/>
  <c r="AY236" i="6"/>
  <c r="AY1998" i="6"/>
  <c r="AZ1096" i="6"/>
  <c r="BR234" i="6"/>
  <c r="BN234" i="6"/>
  <c r="BJ234" i="6"/>
  <c r="BF234" i="6"/>
  <c r="BF183" i="6" s="1"/>
  <c r="BB234" i="6"/>
  <c r="BB183" i="6" s="1"/>
  <c r="BO182" i="6"/>
  <c r="BO131" i="6" s="1" a="1"/>
  <c r="BO131" i="6" s="1"/>
  <c r="BK182" i="6"/>
  <c r="BG182" i="6"/>
  <c r="BG131" i="6" s="1" a="1"/>
  <c r="BG131" i="6" s="1"/>
  <c r="BC182" i="6"/>
  <c r="BN130" i="6"/>
  <c r="BJ130" i="6"/>
  <c r="BF130" i="6"/>
  <c r="BB130" i="6"/>
  <c r="AZ67" i="6"/>
  <c r="AZ16" i="6" s="1"/>
  <c r="AV67" i="6"/>
  <c r="BK234" i="6"/>
  <c r="BK183" i="6" s="1"/>
  <c r="BH182" i="6"/>
  <c r="BU234" i="6"/>
  <c r="BU183" i="6" s="1"/>
  <c r="BQ234" i="6"/>
  <c r="BM234" i="6"/>
  <c r="BM183" i="6" s="1"/>
  <c r="BI234" i="6"/>
  <c r="BE234" i="6"/>
  <c r="BE183" i="6" s="1"/>
  <c r="BA234" i="6"/>
  <c r="BN182" i="6"/>
  <c r="BJ182" i="6"/>
  <c r="BF182" i="6"/>
  <c r="BB182" i="6"/>
  <c r="BM130" i="6"/>
  <c r="BI130" i="6"/>
  <c r="BE130" i="6"/>
  <c r="BA130" i="6"/>
  <c r="AY67" i="6"/>
  <c r="AU67" i="6"/>
  <c r="BS234" i="6"/>
  <c r="BG234" i="6"/>
  <c r="BG183" i="6" s="1"/>
  <c r="BD182" i="6"/>
  <c r="BO130" i="6"/>
  <c r="BO79" i="6" s="1" a="1"/>
  <c r="BO79" i="6" s="1"/>
  <c r="BK130" i="6"/>
  <c r="BG130" i="6"/>
  <c r="BC130" i="6"/>
  <c r="BT234" i="6"/>
  <c r="BP234" i="6"/>
  <c r="BL234" i="6"/>
  <c r="BL183" i="6" s="1"/>
  <c r="BH234" i="6"/>
  <c r="BH183" i="6" s="1"/>
  <c r="BD234" i="6"/>
  <c r="BM182" i="6"/>
  <c r="BI182" i="6"/>
  <c r="BE182" i="6"/>
  <c r="BA182" i="6"/>
  <c r="BL130" i="6"/>
  <c r="BH130" i="6"/>
  <c r="BH79" i="6" s="1" a="1"/>
  <c r="BH79" i="6" s="1"/>
  <c r="BD130" i="6"/>
  <c r="AX67" i="6"/>
  <c r="BO234" i="6"/>
  <c r="BC234" i="6"/>
  <c r="BC183" i="6" s="1"/>
  <c r="BL182" i="6"/>
  <c r="AW67" i="6"/>
  <c r="BR233" i="6"/>
  <c r="BR183" i="6" s="1"/>
  <c r="BN233" i="6"/>
  <c r="BJ233" i="6"/>
  <c r="BF233" i="6"/>
  <c r="BB233" i="6"/>
  <c r="BM181" i="6"/>
  <c r="BI181" i="6"/>
  <c r="BI131" i="6" s="1" a="1"/>
  <c r="BI131" i="6" s="1"/>
  <c r="BE181" i="6"/>
  <c r="BE131" i="6" s="1" a="1"/>
  <c r="BE131" i="6" s="1"/>
  <c r="BA181" i="6"/>
  <c r="BA131" i="6" s="1" a="1"/>
  <c r="BA131" i="6" s="1"/>
  <c r="BL129" i="6"/>
  <c r="BL79" i="6" s="1" a="1"/>
  <c r="BL79" i="6" s="1"/>
  <c r="BH129" i="6"/>
  <c r="BD129" i="6"/>
  <c r="BD79" i="6" s="1" a="1"/>
  <c r="BD79" i="6" s="1"/>
  <c r="AZ129" i="6"/>
  <c r="AZ79" i="6" s="1" a="1"/>
  <c r="AZ79" i="6" s="1"/>
  <c r="AW66" i="6"/>
  <c r="AW16" i="6" s="1"/>
  <c r="BS233" i="6"/>
  <c r="BK233" i="6"/>
  <c r="BF181" i="6"/>
  <c r="BF131" i="6" s="1" a="1"/>
  <c r="BF131" i="6" s="1"/>
  <c r="BQ233" i="6"/>
  <c r="BQ183" i="6" s="1"/>
  <c r="BM233" i="6"/>
  <c r="BI233" i="6"/>
  <c r="BE233" i="6"/>
  <c r="BA233" i="6"/>
  <c r="BL181" i="6"/>
  <c r="BL131" i="6" s="1" a="1"/>
  <c r="BL131" i="6" s="1"/>
  <c r="BH181" i="6"/>
  <c r="BH131" i="6" s="1" a="1"/>
  <c r="BH131" i="6" s="1"/>
  <c r="BD181" i="6"/>
  <c r="AZ181" i="6"/>
  <c r="AZ131" i="6" s="1" a="1"/>
  <c r="AZ131" i="6" s="1"/>
  <c r="BK129" i="6"/>
  <c r="BK79" i="6" s="1" a="1"/>
  <c r="BK79" i="6" s="1"/>
  <c r="BG129" i="6"/>
  <c r="BC129" i="6"/>
  <c r="AV66" i="6"/>
  <c r="BA15" i="6"/>
  <c r="BC233" i="6"/>
  <c r="BJ181" i="6"/>
  <c r="BJ131" i="6" s="1" a="1"/>
  <c r="BJ131" i="6" s="1"/>
  <c r="BM129" i="6"/>
  <c r="BI129" i="6"/>
  <c r="BI79" i="6" s="1" a="1"/>
  <c r="BI79" i="6" s="1"/>
  <c r="BE129" i="6"/>
  <c r="BE79" i="6" s="1" a="1"/>
  <c r="BE79" i="6" s="1"/>
  <c r="BA129" i="6"/>
  <c r="BA79" i="6" s="1" a="1"/>
  <c r="BA79" i="6" s="1"/>
  <c r="BT233" i="6"/>
  <c r="BT183" i="6" s="1"/>
  <c r="BP233" i="6"/>
  <c r="BL233" i="6"/>
  <c r="BH233" i="6"/>
  <c r="BD233" i="6"/>
  <c r="AZ233" i="6"/>
  <c r="AZ183" i="6" s="1"/>
  <c r="BK181" i="6"/>
  <c r="BG181" i="6"/>
  <c r="BC181" i="6"/>
  <c r="BC131" i="6" s="1" a="1"/>
  <c r="BC131" i="6" s="1"/>
  <c r="BN129" i="6"/>
  <c r="BJ129" i="6"/>
  <c r="BJ79" i="6" s="1" a="1"/>
  <c r="BJ79" i="6" s="1"/>
  <c r="BF129" i="6"/>
  <c r="BF79" i="6" s="1" a="1"/>
  <c r="BF79" i="6" s="1"/>
  <c r="BB129" i="6"/>
  <c r="BB79" i="6" s="1" a="1"/>
  <c r="BB79" i="6" s="1"/>
  <c r="AY66" i="6"/>
  <c r="AU66" i="6"/>
  <c r="AU16" i="6" s="1"/>
  <c r="BA10" i="6"/>
  <c r="BO233" i="6"/>
  <c r="BG233" i="6"/>
  <c r="BN181" i="6"/>
  <c r="BB181" i="6"/>
  <c r="BB131" i="6" s="1" a="1"/>
  <c r="BB131" i="6" s="1"/>
  <c r="AT66" i="6"/>
  <c r="AT16" i="6" s="1"/>
  <c r="BA11" i="6"/>
  <c r="AX66" i="6"/>
  <c r="BP1996" i="6"/>
  <c r="BP1945" i="6" s="1"/>
  <c r="BL1996" i="6"/>
  <c r="BH1996" i="6"/>
  <c r="BD1996" i="6"/>
  <c r="BM1944" i="6"/>
  <c r="BI1944" i="6"/>
  <c r="BE1944" i="6"/>
  <c r="BA1944" i="6"/>
  <c r="BL1892" i="6"/>
  <c r="BH1892" i="6"/>
  <c r="BD1892" i="6"/>
  <c r="BO1996" i="6"/>
  <c r="BK1996" i="6"/>
  <c r="BG1996" i="6"/>
  <c r="BC1996" i="6"/>
  <c r="BL1944" i="6"/>
  <c r="BH1944" i="6"/>
  <c r="BD1944" i="6"/>
  <c r="BO1892" i="6"/>
  <c r="BO1841" i="6" s="1" a="1"/>
  <c r="BO1841" i="6" s="1"/>
  <c r="BK1892" i="6"/>
  <c r="BG1892" i="6"/>
  <c r="BC1892" i="6"/>
  <c r="BN1996" i="6"/>
  <c r="BJ1996" i="6"/>
  <c r="BF1996" i="6"/>
  <c r="BB1996" i="6"/>
  <c r="BO1944" i="6"/>
  <c r="BO1893" i="6" s="1" a="1"/>
  <c r="BO1893" i="6" s="1"/>
  <c r="BK1944" i="6"/>
  <c r="BG1944" i="6"/>
  <c r="BC1944" i="6"/>
  <c r="BN1892" i="6"/>
  <c r="BJ1892" i="6"/>
  <c r="BF1892" i="6"/>
  <c r="BB1892" i="6"/>
  <c r="BE1996" i="6"/>
  <c r="BF1944" i="6"/>
  <c r="BE1892" i="6"/>
  <c r="AY1838" i="6"/>
  <c r="BA1996" i="6"/>
  <c r="BB1944" i="6"/>
  <c r="BA1892" i="6"/>
  <c r="AX1838" i="6"/>
  <c r="BM1996" i="6"/>
  <c r="BN1944" i="6"/>
  <c r="BM1892" i="6"/>
  <c r="BI1996" i="6"/>
  <c r="BJ1944" i="6"/>
  <c r="BI1892" i="6"/>
  <c r="AZ1838" i="6"/>
  <c r="AZ1787" i="6" s="1"/>
  <c r="AX36" i="11"/>
  <c r="AX3170" i="6"/>
  <c r="AY1614" i="6"/>
  <c r="AY1615" i="6"/>
  <c r="AY1772" i="6" s="1"/>
  <c r="AU44" i="5"/>
  <c r="AU46" i="5"/>
  <c r="AV24" i="17"/>
  <c r="AV1107" i="6"/>
  <c r="AW18" i="5" s="1"/>
  <c r="BR2829" i="6"/>
  <c r="BN2829" i="6"/>
  <c r="BJ2829" i="6"/>
  <c r="BF2829" i="6"/>
  <c r="BB2829" i="6"/>
  <c r="BQ2829" i="6"/>
  <c r="BL2829" i="6"/>
  <c r="BG2829" i="6"/>
  <c r="BA2829" i="6"/>
  <c r="BP2829" i="6"/>
  <c r="BK2829" i="6"/>
  <c r="BE2829" i="6"/>
  <c r="AZ2829" i="6"/>
  <c r="AZ2779" i="6" s="1"/>
  <c r="BM2829" i="6"/>
  <c r="BC2829" i="6"/>
  <c r="BT2829" i="6"/>
  <c r="BI2829" i="6"/>
  <c r="BS2829" i="6"/>
  <c r="BH2829" i="6"/>
  <c r="BO2829" i="6"/>
  <c r="BD2829" i="6"/>
  <c r="AZ2672" i="6"/>
  <c r="AZ2673" i="6"/>
  <c r="BA27" i="5"/>
  <c r="AZ2778" i="6"/>
  <c r="AY71" i="9"/>
  <c r="AY72" i="9"/>
  <c r="AZ2838" i="6"/>
  <c r="AY712" i="6"/>
  <c r="AY713" i="6"/>
  <c r="AY870" i="6" s="1"/>
  <c r="AZ59" i="12"/>
  <c r="BA248" i="6" s="1"/>
  <c r="AZ248" i="6"/>
  <c r="AV1840" i="6"/>
  <c r="AV1997" i="6" s="1"/>
  <c r="AV1839" i="6"/>
  <c r="BC1720" i="6"/>
  <c r="BB1720" i="6"/>
  <c r="BP1321" i="6"/>
  <c r="BP1270" i="6" s="1"/>
  <c r="BL1321" i="6"/>
  <c r="BH1321" i="6"/>
  <c r="BD1321" i="6"/>
  <c r="BN1269" i="6"/>
  <c r="BJ1269" i="6"/>
  <c r="BF1269" i="6"/>
  <c r="BB1269" i="6"/>
  <c r="BO1217" i="6"/>
  <c r="BO1166" i="6" s="1" a="1"/>
  <c r="BO1166" i="6" s="1"/>
  <c r="BK1217" i="6"/>
  <c r="BG1217" i="6"/>
  <c r="BC1217" i="6"/>
  <c r="AY1163" i="6"/>
  <c r="AU1163" i="6"/>
  <c r="BO1321" i="6"/>
  <c r="BK1321" i="6"/>
  <c r="BK1270" i="6" s="1"/>
  <c r="BG1321" i="6"/>
  <c r="BC1321" i="6"/>
  <c r="BM1269" i="6"/>
  <c r="BI1269" i="6"/>
  <c r="BE1269" i="6"/>
  <c r="BA1269" i="6"/>
  <c r="BN1217" i="6"/>
  <c r="BJ1217" i="6"/>
  <c r="BF1217" i="6"/>
  <c r="BB1217" i="6"/>
  <c r="AX1163" i="6"/>
  <c r="BN1321" i="6"/>
  <c r="BJ1321" i="6"/>
  <c r="BF1321" i="6"/>
  <c r="BB1321" i="6"/>
  <c r="BL1269" i="6"/>
  <c r="BH1269" i="6"/>
  <c r="BD1269" i="6"/>
  <c r="BM1217" i="6"/>
  <c r="BI1217" i="6"/>
  <c r="BE1217" i="6"/>
  <c r="BA1217" i="6"/>
  <c r="AW1163" i="6"/>
  <c r="BM1321" i="6"/>
  <c r="BI1321" i="6"/>
  <c r="BE1321" i="6"/>
  <c r="BA1321" i="6"/>
  <c r="BO1269" i="6"/>
  <c r="BO1218" i="6" s="1" a="1"/>
  <c r="BO1218" i="6" s="1"/>
  <c r="BK1269" i="6"/>
  <c r="BG1269" i="6"/>
  <c r="BC1269" i="6"/>
  <c r="BL1217" i="6"/>
  <c r="BH1217" i="6"/>
  <c r="BD1217" i="6"/>
  <c r="AZ1163" i="6"/>
  <c r="AZ1112" i="6" s="1"/>
  <c r="AV1163" i="6"/>
  <c r="AU1323" i="6"/>
  <c r="AV17" i="5"/>
  <c r="AV24" i="5" s="1"/>
  <c r="AV42" i="5" s="1"/>
  <c r="BC79" i="6" a="1"/>
  <c r="BC79" i="6" s="1"/>
  <c r="BM79" i="6" a="1"/>
  <c r="BM79" i="6" s="1"/>
  <c r="AZ871" i="6"/>
  <c r="BI1495" i="6"/>
  <c r="BF1495" i="6"/>
  <c r="BO1995" i="6"/>
  <c r="BO1945" i="6" s="1"/>
  <c r="BK1995" i="6"/>
  <c r="BG1995" i="6"/>
  <c r="BC1995" i="6"/>
  <c r="BK1943" i="6"/>
  <c r="BG1943" i="6"/>
  <c r="BG1893" i="6" s="1" a="1"/>
  <c r="BG1893" i="6" s="1"/>
  <c r="BC1943" i="6"/>
  <c r="BC1893" i="6" s="1" a="1"/>
  <c r="BC1893" i="6" s="1"/>
  <c r="BN1891" i="6"/>
  <c r="BN1841" i="6" s="1" a="1"/>
  <c r="BN1841" i="6" s="1"/>
  <c r="BJ1891" i="6"/>
  <c r="BJ1841" i="6" s="1" a="1"/>
  <c r="BJ1841" i="6" s="1"/>
  <c r="BF1891" i="6"/>
  <c r="BF1841" i="6" s="1" a="1"/>
  <c r="BF1841" i="6" s="1"/>
  <c r="BB1891" i="6"/>
  <c r="BB1841" i="6" s="1" a="1"/>
  <c r="BB1841" i="6" s="1"/>
  <c r="BN1995" i="6"/>
  <c r="BJ1995" i="6"/>
  <c r="BF1995" i="6"/>
  <c r="BB1995" i="6"/>
  <c r="BN1943" i="6"/>
  <c r="BN1893" i="6" s="1" a="1"/>
  <c r="BN1893" i="6" s="1"/>
  <c r="BJ1943" i="6"/>
  <c r="BJ1893" i="6" s="1" a="1"/>
  <c r="BJ1893" i="6" s="1"/>
  <c r="BF1943" i="6"/>
  <c r="BF1893" i="6" s="1" a="1"/>
  <c r="BF1893" i="6" s="1"/>
  <c r="BB1943" i="6"/>
  <c r="BB1893" i="6" s="1" a="1"/>
  <c r="BB1893" i="6" s="1"/>
  <c r="BM1891" i="6"/>
  <c r="BM1841" i="6" s="1" a="1"/>
  <c r="BM1841" i="6" s="1"/>
  <c r="BI1891" i="6"/>
  <c r="BI1841" i="6" s="1" a="1"/>
  <c r="BI1841" i="6" s="1"/>
  <c r="BE1891" i="6"/>
  <c r="BA1891" i="6"/>
  <c r="BA1841" i="6" s="1" a="1"/>
  <c r="BA1841" i="6" s="1"/>
  <c r="AY1837" i="6"/>
  <c r="AY1787" i="6" s="1"/>
  <c r="BA1786" i="6"/>
  <c r="BM1995" i="6"/>
  <c r="BM1945" i="6" s="1"/>
  <c r="BI1995" i="6"/>
  <c r="BE1995" i="6"/>
  <c r="BA1995" i="6"/>
  <c r="BM1943" i="6"/>
  <c r="BI1943" i="6"/>
  <c r="BE1943" i="6"/>
  <c r="BE1893" i="6" s="1" a="1"/>
  <c r="BE1893" i="6" s="1"/>
  <c r="BA1943" i="6"/>
  <c r="BA1893" i="6" s="1" a="1"/>
  <c r="BA1893" i="6" s="1"/>
  <c r="BL1891" i="6"/>
  <c r="BL1841" i="6" s="1" a="1"/>
  <c r="BL1841" i="6" s="1"/>
  <c r="BH1891" i="6"/>
  <c r="BH1841" i="6" s="1" a="1"/>
  <c r="BH1841" i="6" s="1"/>
  <c r="BD1891" i="6"/>
  <c r="BD1841" i="6" s="1" a="1"/>
  <c r="BD1841" i="6" s="1"/>
  <c r="AZ1891" i="6"/>
  <c r="AZ1841" i="6" s="1" a="1"/>
  <c r="AZ1841" i="6" s="1"/>
  <c r="BD1995" i="6"/>
  <c r="BD1943" i="6"/>
  <c r="BD1893" i="6" s="1" a="1"/>
  <c r="BD1893" i="6" s="1"/>
  <c r="BC1891" i="6"/>
  <c r="BC1841" i="6" s="1" a="1"/>
  <c r="BC1841" i="6" s="1"/>
  <c r="AZ1995" i="6"/>
  <c r="AZ1945" i="6" s="1"/>
  <c r="AZ1943" i="6"/>
  <c r="BL1995" i="6"/>
  <c r="BL1943" i="6"/>
  <c r="BL1893" i="6" s="1" a="1"/>
  <c r="BL1893" i="6" s="1"/>
  <c r="BK1891" i="6"/>
  <c r="BK1841" i="6" s="1" a="1"/>
  <c r="BK1841" i="6" s="1"/>
  <c r="AX1837" i="6"/>
  <c r="BH1995" i="6"/>
  <c r="BH1943" i="6"/>
  <c r="BH1893" i="6" s="1" a="1"/>
  <c r="BH1893" i="6" s="1"/>
  <c r="BG1891" i="6"/>
  <c r="BG1841" i="6" s="1" a="1"/>
  <c r="BG1841" i="6" s="1"/>
  <c r="AW1837" i="6"/>
  <c r="AW1787" i="6" s="1"/>
  <c r="AY937" i="6"/>
  <c r="AY938" i="6"/>
  <c r="AY1095" i="6" s="1"/>
  <c r="AZ421" i="6"/>
  <c r="BA20" i="5" s="1"/>
  <c r="AZ417" i="6"/>
  <c r="BA5" i="5"/>
  <c r="AZ418" i="6"/>
  <c r="AZ415" i="6"/>
  <c r="BA421" i="6"/>
  <c r="AZ420" i="6"/>
  <c r="BA4" i="5"/>
  <c r="BA2223" i="6"/>
  <c r="BA2222" i="6"/>
  <c r="AZ24" i="8"/>
  <c r="AZ44" i="8" s="1"/>
  <c r="AY44" i="8"/>
  <c r="AX1389" i="6"/>
  <c r="AX1390" i="6"/>
  <c r="AX1547" i="6" s="1"/>
  <c r="AY2444" i="6"/>
  <c r="AZ1773" i="6"/>
  <c r="AW1390" i="6"/>
  <c r="AW1547" i="6" s="1"/>
  <c r="AW1389" i="6"/>
  <c r="BE1841" i="6" a="1"/>
  <c r="BE1841" i="6" s="1"/>
  <c r="BK1893" i="6" a="1"/>
  <c r="BK1893" i="6" s="1"/>
  <c r="BL1945" i="6"/>
  <c r="BI1893" i="6" a="1"/>
  <c r="BI1893" i="6" s="1"/>
  <c r="BE1720" i="6"/>
  <c r="BH1720" i="6"/>
  <c r="BD1720" i="6"/>
  <c r="BF1720" i="6"/>
  <c r="BF2118" i="6" a="1"/>
  <c r="BF2118" i="6" s="1"/>
  <c r="BF2066" i="6" a="1"/>
  <c r="BF2066" i="6" s="1"/>
  <c r="BK2170" i="6"/>
  <c r="BV352" i="6"/>
  <c r="BR352" i="6"/>
  <c r="BN352" i="6"/>
  <c r="BJ352" i="6"/>
  <c r="BF352" i="6"/>
  <c r="BB352" i="6"/>
  <c r="BW300" i="6"/>
  <c r="BS300" i="6"/>
  <c r="BO300" i="6"/>
  <c r="BK300" i="6"/>
  <c r="BG300" i="6"/>
  <c r="BC300" i="6"/>
  <c r="AY300" i="6"/>
  <c r="AY251" i="6" s="1" a="1"/>
  <c r="AY251" i="6" s="1"/>
  <c r="AY409" i="6" s="1"/>
  <c r="BK352" i="6"/>
  <c r="BP300" i="6"/>
  <c r="BU352" i="6"/>
  <c r="BQ352" i="6"/>
  <c r="BM352" i="6"/>
  <c r="BI352" i="6"/>
  <c r="BE352" i="6"/>
  <c r="BA352" i="6"/>
  <c r="BV300" i="6"/>
  <c r="BR300" i="6"/>
  <c r="BN300" i="6"/>
  <c r="BJ300" i="6"/>
  <c r="BF300" i="6"/>
  <c r="BB300" i="6"/>
  <c r="BW352" i="6"/>
  <c r="BG352" i="6"/>
  <c r="BC352" i="6"/>
  <c r="BT300" i="6"/>
  <c r="BH300" i="6"/>
  <c r="AZ300" i="6"/>
  <c r="BT352" i="6"/>
  <c r="BP352" i="6"/>
  <c r="BL352" i="6"/>
  <c r="BH352" i="6"/>
  <c r="BD352" i="6"/>
  <c r="AZ352" i="6"/>
  <c r="BU300" i="6"/>
  <c r="BQ300" i="6"/>
  <c r="BM300" i="6"/>
  <c r="BI300" i="6"/>
  <c r="BE300" i="6"/>
  <c r="BA300" i="6"/>
  <c r="BS352" i="6"/>
  <c r="BO352" i="6"/>
  <c r="AY352" i="6"/>
  <c r="AY303" i="6" s="1" a="1"/>
  <c r="AY303" i="6" s="1"/>
  <c r="BL300" i="6"/>
  <c r="BD300" i="6"/>
  <c r="AV19" i="17"/>
  <c r="AV1105" i="6"/>
  <c r="AV16" i="6"/>
  <c r="BM131" i="6" a="1"/>
  <c r="BM131" i="6" s="1"/>
  <c r="BK131" i="6" a="1"/>
  <c r="BK131" i="6" s="1"/>
  <c r="AZ26" i="5"/>
  <c r="AY2831" i="6"/>
  <c r="BL2441" i="6"/>
  <c r="BH2441" i="6"/>
  <c r="BD2441" i="6"/>
  <c r="AZ2441" i="6"/>
  <c r="AZ2391" i="6" s="1"/>
  <c r="BM2441" i="6"/>
  <c r="BM2391" i="6" s="1"/>
  <c r="BG2441" i="6"/>
  <c r="BB2441" i="6"/>
  <c r="BP2389" i="6"/>
  <c r="BL2389" i="6"/>
  <c r="BL2339" i="6" s="1" a="1"/>
  <c r="BL2339" i="6" s="1"/>
  <c r="BH2389" i="6"/>
  <c r="BH2339" i="6" s="1" a="1"/>
  <c r="BH2339" i="6" s="1"/>
  <c r="BD2389" i="6"/>
  <c r="BD2339" i="6" s="1" a="1"/>
  <c r="BD2339" i="6" s="1"/>
  <c r="AZ2389" i="6"/>
  <c r="AZ2339" i="6" s="1" a="1"/>
  <c r="AZ2339" i="6" s="1"/>
  <c r="BN2337" i="6"/>
  <c r="BN2287" i="6" s="1" a="1"/>
  <c r="BN2287" i="6" s="1"/>
  <c r="BJ2337" i="6"/>
  <c r="BJ2287" i="6" s="1" a="1"/>
  <c r="BJ2287" i="6" s="1"/>
  <c r="BF2337" i="6"/>
  <c r="BF2287" i="6" s="1" a="1"/>
  <c r="BF2287" i="6" s="1"/>
  <c r="BB2337" i="6"/>
  <c r="BB2287" i="6" s="1" a="1"/>
  <c r="BB2287" i="6" s="1"/>
  <c r="AX2283" i="6"/>
  <c r="BK2441" i="6"/>
  <c r="BF2441" i="6"/>
  <c r="BA2441" i="6"/>
  <c r="BO2389" i="6"/>
  <c r="BO2339" i="6" s="1" a="1"/>
  <c r="BO2339" i="6" s="1"/>
  <c r="BK2389" i="6"/>
  <c r="BK2339" i="6" s="1" a="1"/>
  <c r="BK2339" i="6" s="1"/>
  <c r="BG2389" i="6"/>
  <c r="BG2339" i="6" s="1" a="1"/>
  <c r="BG2339" i="6" s="1"/>
  <c r="BC2389" i="6"/>
  <c r="BC2339" i="6" s="1" a="1"/>
  <c r="BC2339" i="6" s="1"/>
  <c r="BM2337" i="6"/>
  <c r="BM2287" i="6" s="1" a="1"/>
  <c r="BM2287" i="6" s="1"/>
  <c r="BI2337" i="6"/>
  <c r="BI2287" i="6" s="1" a="1"/>
  <c r="BI2287" i="6" s="1"/>
  <c r="BE2337" i="6"/>
  <c r="BE2287" i="6" s="1" a="1"/>
  <c r="BE2287" i="6" s="1"/>
  <c r="BA2337" i="6"/>
  <c r="BA2287" i="6" s="1" a="1"/>
  <c r="BA2287" i="6" s="1"/>
  <c r="AW2283" i="6"/>
  <c r="AW2233" i="6" s="1"/>
  <c r="BO2441" i="6"/>
  <c r="BJ2441" i="6"/>
  <c r="BE2441" i="6"/>
  <c r="BN2389" i="6"/>
  <c r="BN2339" i="6" s="1" a="1"/>
  <c r="BN2339" i="6" s="1"/>
  <c r="BJ2389" i="6"/>
  <c r="BJ2339" i="6" s="1" a="1"/>
  <c r="BJ2339" i="6" s="1"/>
  <c r="BF2389" i="6"/>
  <c r="BF2339" i="6" s="1" a="1"/>
  <c r="BF2339" i="6" s="1"/>
  <c r="BB2389" i="6"/>
  <c r="BB2339" i="6" s="1" a="1"/>
  <c r="BB2339" i="6" s="1"/>
  <c r="BL2337" i="6"/>
  <c r="BL2287" i="6" s="1" a="1"/>
  <c r="BL2287" i="6" s="1"/>
  <c r="BH2337" i="6"/>
  <c r="BH2287" i="6" s="1" a="1"/>
  <c r="BH2287" i="6" s="1"/>
  <c r="BD2337" i="6"/>
  <c r="BD2287" i="6" s="1" a="1"/>
  <c r="BD2287" i="6" s="1"/>
  <c r="AZ2337" i="6"/>
  <c r="AZ2287" i="6" s="1" a="1"/>
  <c r="AZ2287" i="6" s="1"/>
  <c r="BN2441" i="6"/>
  <c r="BI2441" i="6"/>
  <c r="BC2441" i="6"/>
  <c r="BM2389" i="6"/>
  <c r="BM2339" i="6" s="1" a="1"/>
  <c r="BM2339" i="6" s="1"/>
  <c r="BI2389" i="6"/>
  <c r="BI2339" i="6" s="1" a="1"/>
  <c r="BI2339" i="6" s="1"/>
  <c r="BE2389" i="6"/>
  <c r="BE2339" i="6" s="1" a="1"/>
  <c r="BE2339" i="6" s="1"/>
  <c r="BA2389" i="6"/>
  <c r="BA2339" i="6" s="1" a="1"/>
  <c r="BA2339" i="6" s="1"/>
  <c r="BO2337" i="6"/>
  <c r="BO2287" i="6" s="1" a="1"/>
  <c r="BO2287" i="6" s="1"/>
  <c r="BK2337" i="6"/>
  <c r="BK2287" i="6" s="1" a="1"/>
  <c r="BK2287" i="6" s="1"/>
  <c r="BG2337" i="6"/>
  <c r="BG2287" i="6" s="1" a="1"/>
  <c r="BG2287" i="6" s="1"/>
  <c r="BC2337" i="6"/>
  <c r="BC2287" i="6" s="1" a="1"/>
  <c r="BC2287" i="6" s="1"/>
  <c r="AY2283" i="6"/>
  <c r="BA2232" i="6"/>
  <c r="BJ1495" i="6"/>
  <c r="AW3000" i="6"/>
  <c r="AY416" i="6"/>
  <c r="AZ35" i="5"/>
  <c r="BI2941" i="6"/>
  <c r="BE2941" i="6"/>
  <c r="BA2941" i="6"/>
  <c r="BL2889" i="6"/>
  <c r="BH2889" i="6"/>
  <c r="BD2889" i="6"/>
  <c r="AZ2889" i="6"/>
  <c r="BK2941" i="6"/>
  <c r="BF2941" i="6"/>
  <c r="AZ2941" i="6"/>
  <c r="BJ2889" i="6"/>
  <c r="BE2889" i="6"/>
  <c r="AY2889" i="6"/>
  <c r="BJ2941" i="6"/>
  <c r="BD2941" i="6"/>
  <c r="AY2941" i="6"/>
  <c r="BI2889" i="6"/>
  <c r="BC2889" i="6"/>
  <c r="AX2889" i="6"/>
  <c r="AX2841" i="6" s="1" a="1"/>
  <c r="AX2841" i="6" s="1"/>
  <c r="BH2941" i="6"/>
  <c r="BC2941" i="6"/>
  <c r="AX2941" i="6"/>
  <c r="AX2893" i="6" s="1" a="1"/>
  <c r="AX2893" i="6" s="1"/>
  <c r="BG2941" i="6"/>
  <c r="BK2889" i="6"/>
  <c r="BA2889" i="6"/>
  <c r="BB2941" i="6"/>
  <c r="BG2889" i="6"/>
  <c r="BF2889" i="6"/>
  <c r="BL2941" i="6"/>
  <c r="BB2889" i="6"/>
  <c r="AX2832" i="6"/>
  <c r="AX2833" i="6"/>
  <c r="BT3163" i="6"/>
  <c r="BP3163" i="6"/>
  <c r="BL3163" i="6"/>
  <c r="BH3163" i="6"/>
  <c r="BD3163" i="6"/>
  <c r="AZ3163" i="6"/>
  <c r="AZ3113" i="6" s="1"/>
  <c r="AZ3007" i="6"/>
  <c r="BS3163" i="6"/>
  <c r="BO3163" i="6"/>
  <c r="BK3163" i="6"/>
  <c r="BG3163" i="6"/>
  <c r="BC3163" i="6"/>
  <c r="BQ3163" i="6"/>
  <c r="BI3163" i="6"/>
  <c r="BA3163" i="6"/>
  <c r="AZ3006" i="6"/>
  <c r="BN3163" i="6"/>
  <c r="BF3163" i="6"/>
  <c r="BM3163" i="6"/>
  <c r="BE3163" i="6"/>
  <c r="BB3163" i="6"/>
  <c r="BR3163" i="6"/>
  <c r="BJ3163" i="6"/>
  <c r="AZ3112" i="6"/>
  <c r="AZ2668" i="6"/>
  <c r="AZ3002" i="6"/>
  <c r="BA1547" i="6"/>
  <c r="AX43" i="8"/>
  <c r="AY643" i="6" s="1"/>
  <c r="AY645" i="6" s="1"/>
  <c r="AX42" i="8"/>
  <c r="AY644" i="6" s="1"/>
  <c r="AX41" i="8"/>
  <c r="AY642" i="6" s="1"/>
  <c r="AY641" i="6"/>
  <c r="AZ33" i="5" s="1"/>
  <c r="BD1218" i="6" a="1"/>
  <c r="BD1218" i="6" s="1"/>
  <c r="AS1164" i="6"/>
  <c r="AS1165" i="6"/>
  <c r="AS1322" i="6" s="1"/>
  <c r="BA3003" i="6"/>
  <c r="BM1893" i="6" a="1"/>
  <c r="BM1893" i="6" s="1"/>
  <c r="BN1945" i="6"/>
  <c r="BK1720" i="6"/>
  <c r="BA1720" i="6"/>
  <c r="BA1772" i="6" s="1"/>
  <c r="BI1720" i="6"/>
  <c r="BJ1720" i="6"/>
  <c r="BO1320" i="6"/>
  <c r="BO1270" i="6" s="1"/>
  <c r="BK1320" i="6"/>
  <c r="BG1320" i="6"/>
  <c r="BC1320" i="6"/>
  <c r="BL1268" i="6"/>
  <c r="BL1218" i="6" s="1" a="1"/>
  <c r="BL1218" i="6" s="1"/>
  <c r="BH1268" i="6"/>
  <c r="BH1218" i="6" s="1" a="1"/>
  <c r="BH1218" i="6" s="1"/>
  <c r="BD1268" i="6"/>
  <c r="AZ1268" i="6"/>
  <c r="AZ1218" i="6" s="1" a="1"/>
  <c r="AZ1218" i="6" s="1"/>
  <c r="BM1216" i="6"/>
  <c r="BM1166" i="6" s="1" a="1"/>
  <c r="BM1166" i="6" s="1"/>
  <c r="BI1216" i="6"/>
  <c r="BE1216" i="6"/>
  <c r="BE1166" i="6" s="1" a="1"/>
  <c r="BE1166" i="6" s="1"/>
  <c r="BA1216" i="6"/>
  <c r="BA1166" i="6" s="1" a="1"/>
  <c r="BA1166" i="6" s="1"/>
  <c r="AV1162" i="6"/>
  <c r="AV1112" i="6" s="1"/>
  <c r="BA1111" i="6"/>
  <c r="BN1320" i="6"/>
  <c r="BN1270" i="6" s="1"/>
  <c r="BJ1320" i="6"/>
  <c r="BJ1270" i="6" s="1"/>
  <c r="BF1320" i="6"/>
  <c r="BB1320" i="6"/>
  <c r="BK1268" i="6"/>
  <c r="BG1268" i="6"/>
  <c r="BG1218" i="6" s="1" a="1"/>
  <c r="BG1218" i="6" s="1"/>
  <c r="BC1268" i="6"/>
  <c r="BC1218" i="6" s="1" a="1"/>
  <c r="BC1218" i="6" s="1"/>
  <c r="BL1216" i="6"/>
  <c r="BL1166" i="6" s="1" a="1"/>
  <c r="BL1166" i="6" s="1"/>
  <c r="BH1216" i="6"/>
  <c r="BH1166" i="6" s="1" a="1"/>
  <c r="BH1166" i="6" s="1"/>
  <c r="BD1216" i="6"/>
  <c r="BD1166" i="6" s="1" a="1"/>
  <c r="BD1166" i="6" s="1"/>
  <c r="AZ1216" i="6"/>
  <c r="AZ1166" i="6" s="1" a="1"/>
  <c r="AZ1166" i="6" s="1"/>
  <c r="AY1162" i="6"/>
  <c r="AY1112" i="6" s="1"/>
  <c r="AU1162" i="6"/>
  <c r="AU1112" i="6" s="1"/>
  <c r="BM1320" i="6"/>
  <c r="BM1270" i="6" s="1"/>
  <c r="BI1320" i="6"/>
  <c r="BE1320" i="6"/>
  <c r="BA1320" i="6"/>
  <c r="BN1268" i="6"/>
  <c r="BN1218" i="6" s="1" a="1"/>
  <c r="BN1218" i="6" s="1"/>
  <c r="BJ1268" i="6"/>
  <c r="BJ1218" i="6" s="1" a="1"/>
  <c r="BJ1218" i="6" s="1"/>
  <c r="BF1268" i="6"/>
  <c r="BF1218" i="6" s="1" a="1"/>
  <c r="BF1218" i="6" s="1"/>
  <c r="BB1268" i="6"/>
  <c r="BB1218" i="6" s="1" a="1"/>
  <c r="BB1218" i="6" s="1"/>
  <c r="BK1216" i="6"/>
  <c r="BK1166" i="6" s="1" a="1"/>
  <c r="BK1166" i="6" s="1"/>
  <c r="BG1216" i="6"/>
  <c r="BG1166" i="6" s="1" a="1"/>
  <c r="BG1166" i="6" s="1"/>
  <c r="BC1216" i="6"/>
  <c r="BC1166" i="6" s="1" a="1"/>
  <c r="BC1166" i="6" s="1"/>
  <c r="AX1162" i="6"/>
  <c r="AT1162" i="6"/>
  <c r="AT1112" i="6" s="1"/>
  <c r="BL1320" i="6"/>
  <c r="BL1270" i="6" s="1"/>
  <c r="BH1320" i="6"/>
  <c r="BD1320" i="6"/>
  <c r="AZ1320" i="6"/>
  <c r="AZ1270" i="6" s="1"/>
  <c r="BM1268" i="6"/>
  <c r="BM1218" i="6" s="1" a="1"/>
  <c r="BM1218" i="6" s="1"/>
  <c r="BI1268" i="6"/>
  <c r="BI1218" i="6" s="1" a="1"/>
  <c r="BI1218" i="6" s="1"/>
  <c r="BE1268" i="6"/>
  <c r="BE1218" i="6" s="1" a="1"/>
  <c r="BE1218" i="6" s="1"/>
  <c r="BA1268" i="6"/>
  <c r="BA1218" i="6" s="1" a="1"/>
  <c r="BA1218" i="6" s="1"/>
  <c r="BN1216" i="6"/>
  <c r="BN1166" i="6" s="1" a="1"/>
  <c r="BN1166" i="6" s="1"/>
  <c r="BJ1216" i="6"/>
  <c r="BJ1166" i="6" s="1" a="1"/>
  <c r="BJ1166" i="6" s="1"/>
  <c r="BF1216" i="6"/>
  <c r="BF1166" i="6" s="1" a="1"/>
  <c r="BF1166" i="6" s="1"/>
  <c r="BB1216" i="6"/>
  <c r="BB1166" i="6" s="1" a="1"/>
  <c r="BB1166" i="6" s="1"/>
  <c r="AW1162" i="6"/>
  <c r="AW1112" i="6" s="1"/>
  <c r="BH2066" i="6" a="1"/>
  <c r="BH2066" i="6" s="1"/>
  <c r="BJ2118" i="6" a="1"/>
  <c r="BJ2118" i="6" s="1"/>
  <c r="BO2170" i="6"/>
  <c r="BL2118" i="6" a="1"/>
  <c r="BL2118" i="6" s="1"/>
  <c r="AX16" i="6"/>
  <c r="AS47" i="5"/>
  <c r="AS45" i="5"/>
  <c r="AV21" i="17"/>
  <c r="AV1106" i="6"/>
  <c r="AW19" i="5" s="1"/>
  <c r="AZ413" i="6"/>
  <c r="AZ414" i="6" s="1"/>
  <c r="AY635" i="6"/>
  <c r="AZ23" i="5" s="1"/>
  <c r="AY419" i="6"/>
  <c r="AX22" i="9"/>
  <c r="AZ15" i="5"/>
  <c r="AZ713" i="6"/>
  <c r="AZ870" i="6" s="1"/>
  <c r="AZ712" i="6"/>
  <c r="BA818" i="6"/>
  <c r="BA870" i="6" s="1"/>
  <c r="BA1495" i="6"/>
  <c r="BA1548" i="6" s="1"/>
  <c r="AZ1389" i="6"/>
  <c r="AZ1390" i="6"/>
  <c r="AZ1547" i="6" s="1"/>
  <c r="BC1495" i="6"/>
  <c r="BD1495" i="6"/>
  <c r="BK630" i="6"/>
  <c r="BG630" i="6"/>
  <c r="BC630" i="6"/>
  <c r="AY630" i="6"/>
  <c r="AY581" i="6" s="1"/>
  <c r="BJ578" i="6"/>
  <c r="BF578" i="6"/>
  <c r="BB578" i="6"/>
  <c r="BJ526" i="6"/>
  <c r="BF526" i="6"/>
  <c r="BB526" i="6"/>
  <c r="AX472" i="6"/>
  <c r="BN630" i="6"/>
  <c r="BJ630" i="6"/>
  <c r="BF630" i="6"/>
  <c r="BB630" i="6"/>
  <c r="BM578" i="6"/>
  <c r="BI578" i="6"/>
  <c r="BE578" i="6"/>
  <c r="BA578" i="6"/>
  <c r="BM526" i="6"/>
  <c r="BI526" i="6"/>
  <c r="BE526" i="6"/>
  <c r="BA526" i="6"/>
  <c r="AW472" i="6"/>
  <c r="BH630" i="6"/>
  <c r="AZ630" i="6"/>
  <c r="BG578" i="6"/>
  <c r="AY578" i="6"/>
  <c r="AY529" i="6" s="1" a="1"/>
  <c r="AY529" i="6" s="1"/>
  <c r="BG526" i="6"/>
  <c r="BC526" i="6"/>
  <c r="BM630" i="6"/>
  <c r="BI630" i="6"/>
  <c r="BE630" i="6"/>
  <c r="BA630" i="6"/>
  <c r="BL578" i="6"/>
  <c r="BH578" i="6"/>
  <c r="BD578" i="6"/>
  <c r="AZ578" i="6"/>
  <c r="BL526" i="6"/>
  <c r="BH526" i="6"/>
  <c r="BD526" i="6"/>
  <c r="AZ526" i="6"/>
  <c r="AV472" i="6"/>
  <c r="AV423" i="6" s="1"/>
  <c r="AZ422" i="6"/>
  <c r="BL630" i="6"/>
  <c r="BD630" i="6"/>
  <c r="BK578" i="6"/>
  <c r="BC578" i="6"/>
  <c r="BK526" i="6"/>
  <c r="AY526" i="6"/>
  <c r="AY477" i="6" s="1" a="1"/>
  <c r="AY477" i="6" s="1"/>
  <c r="BJ2775" i="6"/>
  <c r="BF2775" i="6"/>
  <c r="BB2775" i="6"/>
  <c r="BM2723" i="6"/>
  <c r="BI2723" i="6"/>
  <c r="BE2723" i="6"/>
  <c r="BA2723" i="6"/>
  <c r="BM2775" i="6"/>
  <c r="BH2775" i="6"/>
  <c r="BC2775" i="6"/>
  <c r="BL2723" i="6"/>
  <c r="BG2723" i="6"/>
  <c r="BB2723" i="6"/>
  <c r="BL2775" i="6"/>
  <c r="BG2775" i="6"/>
  <c r="BA2775" i="6"/>
  <c r="BK2723" i="6"/>
  <c r="BF2723" i="6"/>
  <c r="AZ2723" i="6"/>
  <c r="BK2775" i="6"/>
  <c r="BE2775" i="6"/>
  <c r="AZ2775" i="6"/>
  <c r="BJ2723" i="6"/>
  <c r="BD2723" i="6"/>
  <c r="AY2723" i="6"/>
  <c r="AY2674" i="6" s="1" a="1"/>
  <c r="AY2674" i="6" s="1"/>
  <c r="BI2775" i="6"/>
  <c r="BH2723" i="6"/>
  <c r="BD2775" i="6"/>
  <c r="BC2723" i="6"/>
  <c r="AY2775" i="6"/>
  <c r="AY2726" i="6" s="1" a="1"/>
  <c r="AY2726" i="6" s="1"/>
  <c r="BS2995" i="6"/>
  <c r="BO2995" i="6"/>
  <c r="BK2995" i="6"/>
  <c r="BG2995" i="6"/>
  <c r="BC2995" i="6"/>
  <c r="AY2995" i="6"/>
  <c r="AY2946" i="6" s="1"/>
  <c r="AY2840" i="6"/>
  <c r="BR2995" i="6"/>
  <c r="BN2995" i="6"/>
  <c r="BJ2995" i="6"/>
  <c r="BF2995" i="6"/>
  <c r="BB2995" i="6"/>
  <c r="BM2995" i="6"/>
  <c r="BE2995" i="6"/>
  <c r="AY2839" i="6"/>
  <c r="BL2995" i="6"/>
  <c r="BD2995" i="6"/>
  <c r="BQ2995" i="6"/>
  <c r="BI2995" i="6"/>
  <c r="BA2995" i="6"/>
  <c r="BP2995" i="6"/>
  <c r="BH2995" i="6"/>
  <c r="AZ2995" i="6"/>
  <c r="AY2945" i="6"/>
  <c r="AY2998" i="6" s="1"/>
  <c r="AZ2836" i="6"/>
  <c r="BA2836" i="6" s="1"/>
  <c r="AZ2835" i="6"/>
  <c r="AZ74" i="9"/>
  <c r="AZ68" i="9"/>
  <c r="BA2837" i="6" s="1"/>
  <c r="AZ65" i="9"/>
  <c r="AZ63" i="9"/>
  <c r="AZ57" i="9"/>
  <c r="AZ4" i="9"/>
  <c r="AZ92" i="9"/>
  <c r="AZ66" i="9"/>
  <c r="AZ64" i="9"/>
  <c r="AZ61" i="9"/>
  <c r="BA3005" i="6" s="1"/>
  <c r="BZ3112" i="6" s="1"/>
  <c r="AZ58" i="9"/>
  <c r="AZ17" i="9"/>
  <c r="AZ15" i="9" s="1"/>
  <c r="BA2671" i="6" s="1"/>
  <c r="BW2778" i="6" s="1"/>
  <c r="AZ16" i="9"/>
  <c r="AZ8" i="9"/>
  <c r="BA2670" i="6" s="1"/>
  <c r="AZ3" i="9"/>
  <c r="BA2668" i="6" s="1"/>
  <c r="AZ69" i="9"/>
  <c r="BA871" i="6"/>
  <c r="BA2665" i="6"/>
  <c r="BA2664" i="6"/>
  <c r="AX1112" i="6"/>
  <c r="BK1218" i="6" a="1"/>
  <c r="BK1218" i="6" s="1"/>
  <c r="BI1166" i="6" a="1"/>
  <c r="BI1166" i="6" s="1"/>
  <c r="AZ2064" i="6"/>
  <c r="AZ2065" i="6"/>
  <c r="AZ2222" i="6" s="1"/>
  <c r="AY1389" i="6"/>
  <c r="AY1390" i="6"/>
  <c r="AY1547" i="6" s="1"/>
  <c r="AX1787" i="6"/>
  <c r="AZ1893" i="6" a="1"/>
  <c r="AZ1893" i="6" s="1"/>
  <c r="AZ1998" i="6" s="1"/>
  <c r="AZ937" i="6"/>
  <c r="AZ938" i="6"/>
  <c r="AZ1095" i="6" s="1"/>
  <c r="BA1043" i="6"/>
  <c r="BA1096" i="6" s="1"/>
  <c r="BL3109" i="6"/>
  <c r="BH3109" i="6"/>
  <c r="BD3109" i="6"/>
  <c r="AZ3109" i="6"/>
  <c r="BK3057" i="6"/>
  <c r="BG3057" i="6"/>
  <c r="BC3057" i="6"/>
  <c r="AY3057" i="6"/>
  <c r="AY3008" i="6" s="1" a="1"/>
  <c r="AY3008" i="6" s="1"/>
  <c r="BK3109" i="6"/>
  <c r="BG3109" i="6"/>
  <c r="BC3109" i="6"/>
  <c r="AY3109" i="6"/>
  <c r="AY3060" i="6" s="1" a="1"/>
  <c r="AY3060" i="6" s="1"/>
  <c r="BJ3057" i="6"/>
  <c r="BF3057" i="6"/>
  <c r="BB3057" i="6"/>
  <c r="BI3109" i="6"/>
  <c r="BA3109" i="6"/>
  <c r="BH3057" i="6"/>
  <c r="AZ3057" i="6"/>
  <c r="BF3109" i="6"/>
  <c r="BM3057" i="6"/>
  <c r="BE3057" i="6"/>
  <c r="BM3109" i="6"/>
  <c r="BE3109" i="6"/>
  <c r="BL3057" i="6"/>
  <c r="BD3057" i="6"/>
  <c r="BB3109" i="6"/>
  <c r="BA3057" i="6"/>
  <c r="BJ3109" i="6"/>
  <c r="BI3057" i="6"/>
  <c r="AZ1614" i="6"/>
  <c r="AZ1615" i="6"/>
  <c r="AZ1772" i="6" s="1"/>
  <c r="BG1720" i="6"/>
  <c r="AY2012" i="6"/>
  <c r="BN2118" i="6" a="1"/>
  <c r="BN2118" i="6" s="1"/>
  <c r="BN2066" i="6" a="1"/>
  <c r="BN2066" i="6" s="1"/>
  <c r="AS77" i="6"/>
  <c r="AS78" i="6"/>
  <c r="AS235" i="6" s="1"/>
  <c r="AT22" i="5"/>
  <c r="AT25" i="5" s="1"/>
  <c r="AT43" i="5" s="1"/>
  <c r="BS183" i="6"/>
  <c r="BM2442" i="6"/>
  <c r="BI2442" i="6"/>
  <c r="BI2391" i="6" s="1"/>
  <c r="BE2442" i="6"/>
  <c r="BE2391" i="6" s="1"/>
  <c r="BA2442" i="6"/>
  <c r="BA2391" i="6" s="1"/>
  <c r="BN2442" i="6"/>
  <c r="BN2391" i="6" s="1"/>
  <c r="BH2442" i="6"/>
  <c r="BH2391" i="6" s="1"/>
  <c r="BC2442" i="6"/>
  <c r="BC2391" i="6" s="1"/>
  <c r="BP2390" i="6"/>
  <c r="BL2390" i="6"/>
  <c r="BH2390" i="6"/>
  <c r="BD2390" i="6"/>
  <c r="BO2338" i="6"/>
  <c r="BK2338" i="6"/>
  <c r="BG2338" i="6"/>
  <c r="BC2338" i="6"/>
  <c r="AZ2284" i="6"/>
  <c r="AZ2233" i="6" s="1"/>
  <c r="BL2442" i="6"/>
  <c r="BL2391" i="6" s="1"/>
  <c r="BG2442" i="6"/>
  <c r="BG2391" i="6" s="1"/>
  <c r="BB2442" i="6"/>
  <c r="BB2391" i="6" s="1"/>
  <c r="BO2390" i="6"/>
  <c r="BK2390" i="6"/>
  <c r="BG2390" i="6"/>
  <c r="BC2390" i="6"/>
  <c r="BN2338" i="6"/>
  <c r="BJ2338" i="6"/>
  <c r="BF2338" i="6"/>
  <c r="BB2338" i="6"/>
  <c r="AY2284" i="6"/>
  <c r="BP2442" i="6"/>
  <c r="BP2391" i="6" s="1"/>
  <c r="BK2442" i="6"/>
  <c r="BK2391" i="6" s="1"/>
  <c r="BF2442" i="6"/>
  <c r="BF2391" i="6" s="1"/>
  <c r="BN2390" i="6"/>
  <c r="BJ2390" i="6"/>
  <c r="BF2390" i="6"/>
  <c r="BB2390" i="6"/>
  <c r="BM2338" i="6"/>
  <c r="BI2338" i="6"/>
  <c r="BE2338" i="6"/>
  <c r="BA2338" i="6"/>
  <c r="AX2284" i="6"/>
  <c r="AX2233" i="6" s="1"/>
  <c r="BO2442" i="6"/>
  <c r="BJ2442" i="6"/>
  <c r="BJ2391" i="6" s="1"/>
  <c r="BD2442" i="6"/>
  <c r="BD2391" i="6" s="1"/>
  <c r="BM2390" i="6"/>
  <c r="BI2390" i="6"/>
  <c r="BE2390" i="6"/>
  <c r="BA2390" i="6"/>
  <c r="BL2338" i="6"/>
  <c r="BH2338" i="6"/>
  <c r="BD2338" i="6"/>
  <c r="AX633" i="6"/>
  <c r="AX634" i="6"/>
  <c r="BE1495" i="6"/>
  <c r="BB1495" i="6"/>
  <c r="BG1495" i="6"/>
  <c r="BH1495" i="6"/>
  <c r="AV475" i="6" l="1"/>
  <c r="AV476" i="6"/>
  <c r="AZ236" i="6"/>
  <c r="AV1164" i="6"/>
  <c r="AV1165" i="6"/>
  <c r="AX3000" i="6"/>
  <c r="AX2999" i="6"/>
  <c r="AY3167" i="6"/>
  <c r="AY3166" i="6"/>
  <c r="AT1165" i="6"/>
  <c r="AT1322" i="6" s="1"/>
  <c r="AT1164" i="6"/>
  <c r="AZ2444" i="6"/>
  <c r="AX2285" i="6"/>
  <c r="AX2286" i="6"/>
  <c r="AX2443" i="6" s="1"/>
  <c r="BA2443" i="6"/>
  <c r="BC529" i="6" a="1"/>
  <c r="BC529" i="6" s="1"/>
  <c r="AY2893" i="6" a="1"/>
  <c r="AY2893" i="6" s="1"/>
  <c r="AY3000" i="6" s="1"/>
  <c r="AW2285" i="6"/>
  <c r="AW2286" i="6"/>
  <c r="AW2443" i="6" s="1"/>
  <c r="BK2942" i="6"/>
  <c r="BG2942" i="6"/>
  <c r="BC2942" i="6"/>
  <c r="AY2942" i="6"/>
  <c r="BJ2890" i="6"/>
  <c r="BF2890" i="6"/>
  <c r="BB2890" i="6"/>
  <c r="BM2942" i="6"/>
  <c r="BH2942" i="6"/>
  <c r="BB2942" i="6"/>
  <c r="BL2890" i="6"/>
  <c r="BG2890" i="6"/>
  <c r="BA2890" i="6"/>
  <c r="BL2942" i="6"/>
  <c r="BF2942" i="6"/>
  <c r="BA2942" i="6"/>
  <c r="BK2890" i="6"/>
  <c r="BE2890" i="6"/>
  <c r="AZ2890" i="6"/>
  <c r="BJ2942" i="6"/>
  <c r="BE2942" i="6"/>
  <c r="AZ2942" i="6"/>
  <c r="BH2890" i="6"/>
  <c r="BI2942" i="6"/>
  <c r="BD2890" i="6"/>
  <c r="BD2942" i="6"/>
  <c r="BM2890" i="6"/>
  <c r="BC2890" i="6"/>
  <c r="BI2890" i="6"/>
  <c r="AY2890" i="6"/>
  <c r="BG529" i="6" a="1"/>
  <c r="BG529" i="6" s="1"/>
  <c r="AX77" i="6"/>
  <c r="AX78" i="6"/>
  <c r="AX235" i="6" s="1"/>
  <c r="BA26" i="5"/>
  <c r="AZ2831" i="6"/>
  <c r="AV1322" i="6"/>
  <c r="AV1323" i="6"/>
  <c r="AW17" i="5"/>
  <c r="AW24" i="5" s="1"/>
  <c r="AW42" i="5" s="1"/>
  <c r="AY43" i="8"/>
  <c r="AZ643" i="6" s="1"/>
  <c r="AY42" i="8"/>
  <c r="AZ644" i="6" s="1"/>
  <c r="AY41" i="8"/>
  <c r="AZ642" i="6" s="1"/>
  <c r="AZ641" i="6"/>
  <c r="BA33" i="5" s="1"/>
  <c r="AY1839" i="6"/>
  <c r="AY1840" i="6"/>
  <c r="AY1997" i="6" s="1"/>
  <c r="AV46" i="5"/>
  <c r="AV44" i="5"/>
  <c r="BD1270" i="6"/>
  <c r="BT406" i="6"/>
  <c r="BT356" i="6" s="1"/>
  <c r="BP406" i="6"/>
  <c r="BL406" i="6"/>
  <c r="BH406" i="6"/>
  <c r="BD406" i="6"/>
  <c r="AZ406" i="6"/>
  <c r="AZ356" i="6" s="1"/>
  <c r="AZ250" i="6"/>
  <c r="BS406" i="6"/>
  <c r="BO406" i="6"/>
  <c r="BK406" i="6"/>
  <c r="BG406" i="6"/>
  <c r="BC406" i="6"/>
  <c r="BM406" i="6"/>
  <c r="BE406" i="6"/>
  <c r="AZ249" i="6"/>
  <c r="BR406" i="6"/>
  <c r="BN406" i="6"/>
  <c r="BJ406" i="6"/>
  <c r="BF406" i="6"/>
  <c r="BB406" i="6"/>
  <c r="CC355" i="6"/>
  <c r="BQ406" i="6"/>
  <c r="BI406" i="6"/>
  <c r="BA406" i="6"/>
  <c r="BA29" i="5"/>
  <c r="AZ355" i="6"/>
  <c r="BX355" i="6"/>
  <c r="BV355" i="6"/>
  <c r="BY355" i="6"/>
  <c r="CA355" i="6"/>
  <c r="CB355" i="6"/>
  <c r="BZ355" i="6"/>
  <c r="BW355" i="6"/>
  <c r="CA2778" i="6"/>
  <c r="BX2778" i="6"/>
  <c r="BL2776" i="6"/>
  <c r="BH2776" i="6"/>
  <c r="BD2776" i="6"/>
  <c r="AZ2776" i="6"/>
  <c r="AZ2726" i="6" s="1" a="1"/>
  <c r="AZ2726" i="6" s="1"/>
  <c r="BK2724" i="6"/>
  <c r="BG2724" i="6"/>
  <c r="BC2724" i="6"/>
  <c r="BJ2776" i="6"/>
  <c r="BE2776" i="6"/>
  <c r="BN2724" i="6"/>
  <c r="BI2724" i="6"/>
  <c r="BD2724" i="6"/>
  <c r="BN2776" i="6"/>
  <c r="BI2776" i="6"/>
  <c r="BC2776" i="6"/>
  <c r="BM2724" i="6"/>
  <c r="BH2724" i="6"/>
  <c r="BB2724" i="6"/>
  <c r="BM2776" i="6"/>
  <c r="BG2776" i="6"/>
  <c r="BB2776" i="6"/>
  <c r="BL2724" i="6"/>
  <c r="BF2724" i="6"/>
  <c r="BA2724" i="6"/>
  <c r="BA2776" i="6"/>
  <c r="AZ2724" i="6"/>
  <c r="AZ2674" i="6" s="1" a="1"/>
  <c r="AZ2674" i="6" s="1"/>
  <c r="BK2776" i="6"/>
  <c r="BJ2724" i="6"/>
  <c r="BF2776" i="6"/>
  <c r="BE2724" i="6"/>
  <c r="AW24" i="17"/>
  <c r="AW1107" i="6"/>
  <c r="AX18" i="5" s="1"/>
  <c r="AZ1840" i="6"/>
  <c r="AZ1997" i="6" s="1"/>
  <c r="AZ1839" i="6"/>
  <c r="BF1945" i="6"/>
  <c r="BK1945" i="6"/>
  <c r="AW77" i="6"/>
  <c r="AW78" i="6"/>
  <c r="AW235" i="6" s="1"/>
  <c r="CB3112" i="6"/>
  <c r="AY633" i="6"/>
  <c r="AY634" i="6"/>
  <c r="AW21" i="17"/>
  <c r="AW1106" i="6"/>
  <c r="AX19" i="5" s="1"/>
  <c r="AU1164" i="6"/>
  <c r="AU1165" i="6"/>
  <c r="AU1322" i="6" s="1"/>
  <c r="BA2444" i="6"/>
  <c r="BA1095" i="6"/>
  <c r="BX3112" i="6"/>
  <c r="BN3110" i="6"/>
  <c r="BJ3110" i="6"/>
  <c r="BF3110" i="6"/>
  <c r="BB3110" i="6"/>
  <c r="BM3058" i="6"/>
  <c r="BI3058" i="6"/>
  <c r="BE3058" i="6"/>
  <c r="BA3058" i="6"/>
  <c r="BM3110" i="6"/>
  <c r="BI3110" i="6"/>
  <c r="BE3110" i="6"/>
  <c r="BA3110" i="6"/>
  <c r="BL3058" i="6"/>
  <c r="BH3058" i="6"/>
  <c r="BD3058" i="6"/>
  <c r="AZ3058" i="6"/>
  <c r="AZ3008" i="6" s="1" a="1"/>
  <c r="AZ3008" i="6" s="1"/>
  <c r="BK3110" i="6"/>
  <c r="BC3110" i="6"/>
  <c r="BJ3058" i="6"/>
  <c r="BB3058" i="6"/>
  <c r="BH3110" i="6"/>
  <c r="AZ3110" i="6"/>
  <c r="AZ3060" i="6" s="1" a="1"/>
  <c r="AZ3060" i="6" s="1"/>
  <c r="BG3058" i="6"/>
  <c r="BG3110" i="6"/>
  <c r="BN3058" i="6"/>
  <c r="BF3058" i="6"/>
  <c r="BL3110" i="6"/>
  <c r="BK3058" i="6"/>
  <c r="BD3110" i="6"/>
  <c r="BC3058" i="6"/>
  <c r="AY2233" i="6"/>
  <c r="AW19" i="17"/>
  <c r="AW1105" i="6"/>
  <c r="AZ42" i="8"/>
  <c r="BA644" i="6" s="1"/>
  <c r="AZ41" i="8"/>
  <c r="BA642" i="6" s="1"/>
  <c r="AZ43" i="8"/>
  <c r="BA643" i="6" s="1"/>
  <c r="BA641" i="6"/>
  <c r="BB33" i="5" s="1"/>
  <c r="BM632" i="6"/>
  <c r="BI632" i="6"/>
  <c r="BI581" i="6" s="1"/>
  <c r="BE632" i="6"/>
  <c r="BA632" i="6"/>
  <c r="BN580" i="6"/>
  <c r="BJ580" i="6"/>
  <c r="BF580" i="6"/>
  <c r="BB580" i="6"/>
  <c r="BN528" i="6"/>
  <c r="BJ528" i="6"/>
  <c r="BF528" i="6"/>
  <c r="BB528" i="6"/>
  <c r="AX474" i="6"/>
  <c r="BP632" i="6"/>
  <c r="BP581" i="6" s="1"/>
  <c r="BL632" i="6"/>
  <c r="BL581" i="6" s="1"/>
  <c r="BH632" i="6"/>
  <c r="BD632" i="6"/>
  <c r="BM580" i="6"/>
  <c r="BI580" i="6"/>
  <c r="BE580" i="6"/>
  <c r="BA580" i="6"/>
  <c r="BM528" i="6"/>
  <c r="BI528" i="6"/>
  <c r="BE528" i="6"/>
  <c r="BA528" i="6"/>
  <c r="BJ632" i="6"/>
  <c r="BB632" i="6"/>
  <c r="BK580" i="6"/>
  <c r="BC580" i="6"/>
  <c r="BK528" i="6"/>
  <c r="BC528" i="6"/>
  <c r="AY474" i="6"/>
  <c r="BO632" i="6"/>
  <c r="BK632" i="6"/>
  <c r="BK581" i="6" s="1"/>
  <c r="BG632" i="6"/>
  <c r="BC632" i="6"/>
  <c r="BL580" i="6"/>
  <c r="BH580" i="6"/>
  <c r="BD580" i="6"/>
  <c r="BL528" i="6"/>
  <c r="BH528" i="6"/>
  <c r="BD528" i="6"/>
  <c r="AZ474" i="6"/>
  <c r="AZ423" i="6" s="1"/>
  <c r="BN632" i="6"/>
  <c r="BF632" i="6"/>
  <c r="BF581" i="6" s="1"/>
  <c r="BO580" i="6"/>
  <c r="BG580" i="6"/>
  <c r="BO528" i="6"/>
  <c r="BG528" i="6"/>
  <c r="AZ1164" i="6"/>
  <c r="AZ1165" i="6"/>
  <c r="BA1270" i="6"/>
  <c r="BB1270" i="6"/>
  <c r="BH1270" i="6"/>
  <c r="BT407" i="6"/>
  <c r="BP407" i="6"/>
  <c r="BL407" i="6"/>
  <c r="BL356" i="6" s="1"/>
  <c r="BH407" i="6"/>
  <c r="BH356" i="6" s="1"/>
  <c r="BD407" i="6"/>
  <c r="BS407" i="6"/>
  <c r="BO407" i="6"/>
  <c r="BK407" i="6"/>
  <c r="BK356" i="6" s="1"/>
  <c r="BG407" i="6"/>
  <c r="BG356" i="6" s="1"/>
  <c r="BC407" i="6"/>
  <c r="BC356" i="6" s="1"/>
  <c r="CD355" i="6"/>
  <c r="BQ407" i="6"/>
  <c r="BI407" i="6"/>
  <c r="BI356" i="6" s="1"/>
  <c r="BA407" i="6"/>
  <c r="BA356" i="6" s="1"/>
  <c r="BA250" i="6"/>
  <c r="BR407" i="6"/>
  <c r="BN407" i="6"/>
  <c r="BJ407" i="6"/>
  <c r="BJ356" i="6" s="1"/>
  <c r="BF407" i="6"/>
  <c r="BF356" i="6" s="1"/>
  <c r="BB407" i="6"/>
  <c r="BB356" i="6" s="1"/>
  <c r="BA249" i="6"/>
  <c r="BB29" i="5"/>
  <c r="BU407" i="6"/>
  <c r="BU356" i="6" s="1"/>
  <c r="BM407" i="6"/>
  <c r="BM356" i="6" s="1"/>
  <c r="BE407" i="6"/>
  <c r="BE356" i="6" s="1"/>
  <c r="BD355" i="6"/>
  <c r="BB355" i="6"/>
  <c r="BC355" i="6"/>
  <c r="BG355" i="6"/>
  <c r="BA355" i="6"/>
  <c r="BF355" i="6"/>
  <c r="BE355" i="6"/>
  <c r="BH355" i="6"/>
  <c r="BI355" i="6"/>
  <c r="BJ355" i="6"/>
  <c r="BM355" i="6"/>
  <c r="BK355" i="6"/>
  <c r="BL355" i="6"/>
  <c r="BR355" i="6"/>
  <c r="BN355" i="6"/>
  <c r="BO355" i="6"/>
  <c r="BP355" i="6"/>
  <c r="BS355" i="6"/>
  <c r="BQ355" i="6"/>
  <c r="BT355" i="6"/>
  <c r="BU355" i="6"/>
  <c r="BA1773" i="6"/>
  <c r="BS2996" i="6"/>
  <c r="BO2996" i="6"/>
  <c r="BK2996" i="6"/>
  <c r="BG2996" i="6"/>
  <c r="BC2996" i="6"/>
  <c r="BR2996" i="6"/>
  <c r="BN2996" i="6"/>
  <c r="BJ2996" i="6"/>
  <c r="BF2996" i="6"/>
  <c r="BB2996" i="6"/>
  <c r="BQ2996" i="6"/>
  <c r="BI2996" i="6"/>
  <c r="BA2996" i="6"/>
  <c r="BP2996" i="6"/>
  <c r="BH2996" i="6"/>
  <c r="AZ2996" i="6"/>
  <c r="AZ2946" i="6" s="1"/>
  <c r="AZ2840" i="6"/>
  <c r="BM2996" i="6"/>
  <c r="BE2996" i="6"/>
  <c r="AZ2839" i="6"/>
  <c r="BT2996" i="6"/>
  <c r="BL2996" i="6"/>
  <c r="BD2996" i="6"/>
  <c r="AZ2945" i="6"/>
  <c r="AZ2998" i="6" s="1"/>
  <c r="BY2778" i="6"/>
  <c r="CC2778" i="6"/>
  <c r="BJ1945" i="6"/>
  <c r="BD1945" i="6"/>
  <c r="BN131" i="6" a="1"/>
  <c r="BN131" i="6" s="1"/>
  <c r="BD131" i="6" a="1"/>
  <c r="BD131" i="6" s="1"/>
  <c r="BO183" i="6"/>
  <c r="BP183" i="6"/>
  <c r="BA183" i="6"/>
  <c r="BJ183" i="6"/>
  <c r="AZ2285" i="6"/>
  <c r="AZ2286" i="6"/>
  <c r="AZ2443" i="6" s="1"/>
  <c r="AY2064" i="6"/>
  <c r="AY2065" i="6"/>
  <c r="AY2222" i="6" s="1"/>
  <c r="BA3002" i="6"/>
  <c r="AY1164" i="6"/>
  <c r="AY1165" i="6"/>
  <c r="BR3113" i="6"/>
  <c r="AY2841" i="6" a="1"/>
  <c r="AY2841" i="6" s="1"/>
  <c r="AY2833" i="6"/>
  <c r="AY2832" i="6"/>
  <c r="AW22" i="5"/>
  <c r="AW25" i="5" s="1"/>
  <c r="AW43" i="5" s="1"/>
  <c r="AV77" i="6"/>
  <c r="AV78" i="6"/>
  <c r="AV235" i="6" s="1"/>
  <c r="AZ416" i="6"/>
  <c r="BA35" i="5"/>
  <c r="AW1839" i="6"/>
  <c r="AW1840" i="6"/>
  <c r="AW1997" i="6" s="1"/>
  <c r="BE1270" i="6"/>
  <c r="BF1270" i="6"/>
  <c r="BC1270" i="6"/>
  <c r="BT2779" i="6"/>
  <c r="BA1945" i="6"/>
  <c r="BE1945" i="6"/>
  <c r="BC1945" i="6"/>
  <c r="BH1945" i="6"/>
  <c r="AU78" i="6"/>
  <c r="AU235" i="6" s="1"/>
  <c r="AV22" i="5"/>
  <c r="AV25" i="5" s="1"/>
  <c r="AV43" i="5" s="1"/>
  <c r="AU77" i="6"/>
  <c r="BG79" i="6" a="1"/>
  <c r="BG79" i="6" s="1"/>
  <c r="BD183" i="6"/>
  <c r="BB20" i="5"/>
  <c r="BA22" i="5"/>
  <c r="AZ77" i="6"/>
  <c r="AZ78" i="6"/>
  <c r="AZ235" i="6" s="1"/>
  <c r="BN183" i="6"/>
  <c r="AX1840" i="6"/>
  <c r="AX1997" i="6" s="1"/>
  <c r="AX1839" i="6"/>
  <c r="BT3164" i="6"/>
  <c r="BT3113" i="6" s="1"/>
  <c r="BP3164" i="6"/>
  <c r="BP3113" i="6" s="1"/>
  <c r="BL3164" i="6"/>
  <c r="BL3113" i="6" s="1"/>
  <c r="BH3164" i="6"/>
  <c r="BH3113" i="6" s="1"/>
  <c r="BD3164" i="6"/>
  <c r="BD3113" i="6" s="1"/>
  <c r="BS3164" i="6"/>
  <c r="BS3113" i="6" s="1"/>
  <c r="BO3164" i="6"/>
  <c r="BO3113" i="6" s="1"/>
  <c r="BK3164" i="6"/>
  <c r="BK3113" i="6" s="1"/>
  <c r="BG3164" i="6"/>
  <c r="BG3113" i="6" s="1"/>
  <c r="BC3164" i="6"/>
  <c r="BC3113" i="6" s="1"/>
  <c r="CD3112" i="6"/>
  <c r="BU3164" i="6"/>
  <c r="BU3113" i="6" s="1"/>
  <c r="BM3164" i="6"/>
  <c r="BM3113" i="6" s="1"/>
  <c r="BE3164" i="6"/>
  <c r="BE3113" i="6" s="1"/>
  <c r="BR3164" i="6"/>
  <c r="BJ3164" i="6"/>
  <c r="BJ3113" i="6" s="1"/>
  <c r="BB3164" i="6"/>
  <c r="BB3113" i="6" s="1"/>
  <c r="BQ3164" i="6"/>
  <c r="BQ3113" i="6" s="1"/>
  <c r="BI3164" i="6"/>
  <c r="BI3113" i="6" s="1"/>
  <c r="BA3164" i="6"/>
  <c r="BA3113" i="6" s="1"/>
  <c r="BA3007" i="6"/>
  <c r="BN3164" i="6"/>
  <c r="BN3113" i="6" s="1"/>
  <c r="BA3006" i="6"/>
  <c r="BF3164" i="6"/>
  <c r="BF3113" i="6" s="1"/>
  <c r="BA3112" i="6"/>
  <c r="BD3112" i="6"/>
  <c r="BB3112" i="6"/>
  <c r="BF3112" i="6"/>
  <c r="BC3112" i="6"/>
  <c r="BE3112" i="6"/>
  <c r="BH3112" i="6"/>
  <c r="BG3112" i="6"/>
  <c r="BI3112" i="6"/>
  <c r="BJ3112" i="6"/>
  <c r="BK3112" i="6"/>
  <c r="BM3112" i="6"/>
  <c r="BL3112" i="6"/>
  <c r="BN3112" i="6"/>
  <c r="BP3112" i="6"/>
  <c r="BO3112" i="6"/>
  <c r="BQ3112" i="6"/>
  <c r="BT3112" i="6"/>
  <c r="BS3112" i="6"/>
  <c r="BR3112" i="6"/>
  <c r="BW3112" i="6"/>
  <c r="BU3112" i="6"/>
  <c r="BV3112" i="6"/>
  <c r="AT47" i="5"/>
  <c r="AT45" i="5"/>
  <c r="BY3112" i="6"/>
  <c r="AX1165" i="6"/>
  <c r="AX1164" i="6"/>
  <c r="AZ71" i="9"/>
  <c r="AZ72" i="9"/>
  <c r="BA2838" i="6"/>
  <c r="CC2945" i="6" s="1"/>
  <c r="BR2830" i="6"/>
  <c r="BR2779" i="6" s="1"/>
  <c r="BN2830" i="6"/>
  <c r="BN2779" i="6" s="1"/>
  <c r="BJ2830" i="6"/>
  <c r="BJ2779" i="6" s="1"/>
  <c r="BF2830" i="6"/>
  <c r="BF2779" i="6" s="1"/>
  <c r="BB2830" i="6"/>
  <c r="BB2779" i="6" s="1"/>
  <c r="BA2672" i="6"/>
  <c r="BS2830" i="6"/>
  <c r="BS2779" i="6" s="1"/>
  <c r="BM2830" i="6"/>
  <c r="BM2779" i="6" s="1"/>
  <c r="BH2830" i="6"/>
  <c r="BH2779" i="6" s="1"/>
  <c r="BC2830" i="6"/>
  <c r="BC2779" i="6" s="1"/>
  <c r="BQ2830" i="6"/>
  <c r="BQ2779" i="6" s="1"/>
  <c r="BL2830" i="6"/>
  <c r="BL2779" i="6" s="1"/>
  <c r="BG2830" i="6"/>
  <c r="BG2779" i="6" s="1"/>
  <c r="BA2830" i="6"/>
  <c r="BA2779" i="6" s="1"/>
  <c r="BO2830" i="6"/>
  <c r="BO2779" i="6" s="1"/>
  <c r="BD2830" i="6"/>
  <c r="BD2779" i="6" s="1"/>
  <c r="BU2830" i="6"/>
  <c r="BU2779" i="6" s="1"/>
  <c r="BK2830" i="6"/>
  <c r="BK2779" i="6" s="1"/>
  <c r="BT2830" i="6"/>
  <c r="BI2830" i="6"/>
  <c r="BI2779" i="6" s="1"/>
  <c r="CD2778" i="6"/>
  <c r="BP2830" i="6"/>
  <c r="BP2779" i="6" s="1"/>
  <c r="BE2830" i="6"/>
  <c r="BE2779" i="6" s="1"/>
  <c r="BA2673" i="6"/>
  <c r="BB27" i="5"/>
  <c r="BA2778" i="6"/>
  <c r="BA2831" i="6" s="1"/>
  <c r="BE2778" i="6"/>
  <c r="BB2778" i="6"/>
  <c r="BG2778" i="6"/>
  <c r="BC2778" i="6"/>
  <c r="BF2778" i="6"/>
  <c r="BD2778" i="6"/>
  <c r="BH2778" i="6"/>
  <c r="BI2778" i="6"/>
  <c r="BP2778" i="6"/>
  <c r="BJ2778" i="6"/>
  <c r="BM2778" i="6"/>
  <c r="BK2778" i="6"/>
  <c r="BL2778" i="6"/>
  <c r="BN2778" i="6"/>
  <c r="BR2778" i="6"/>
  <c r="BO2778" i="6"/>
  <c r="BQ2778" i="6"/>
  <c r="BS2778" i="6"/>
  <c r="BT2778" i="6"/>
  <c r="BU2778" i="6"/>
  <c r="CB2778" i="6"/>
  <c r="BZ2778" i="6"/>
  <c r="BA2835" i="6"/>
  <c r="AZ635" i="6"/>
  <c r="BA23" i="5" s="1"/>
  <c r="AZ419" i="6"/>
  <c r="AY22" i="9"/>
  <c r="BA15" i="5"/>
  <c r="AW1164" i="6"/>
  <c r="AW1165" i="6"/>
  <c r="AZ3165" i="6"/>
  <c r="CA3112" i="6"/>
  <c r="CC3112" i="6"/>
  <c r="BO2391" i="6"/>
  <c r="BL631" i="6"/>
  <c r="BH631" i="6"/>
  <c r="BD631" i="6"/>
  <c r="AZ631" i="6"/>
  <c r="AZ581" i="6" s="1"/>
  <c r="BL579" i="6"/>
  <c r="BH579" i="6"/>
  <c r="BH529" i="6" s="1" a="1"/>
  <c r="BH529" i="6" s="1"/>
  <c r="BD579" i="6"/>
  <c r="BD529" i="6" s="1" a="1"/>
  <c r="BD529" i="6" s="1"/>
  <c r="AZ579" i="6"/>
  <c r="AZ529" i="6" s="1" a="1"/>
  <c r="AZ529" i="6" s="1"/>
  <c r="BL527" i="6"/>
  <c r="BH527" i="6"/>
  <c r="BH477" i="6" s="1" a="1"/>
  <c r="BH477" i="6" s="1"/>
  <c r="BD527" i="6"/>
  <c r="BD477" i="6" s="1" a="1"/>
  <c r="BD477" i="6" s="1"/>
  <c r="AZ527" i="6"/>
  <c r="AZ477" i="6" s="1" a="1"/>
  <c r="AZ477" i="6" s="1"/>
  <c r="BO631" i="6"/>
  <c r="BO581" i="6" s="1"/>
  <c r="BK631" i="6"/>
  <c r="BG631" i="6"/>
  <c r="BC631" i="6"/>
  <c r="BK579" i="6"/>
  <c r="BG579" i="6"/>
  <c r="BC579" i="6"/>
  <c r="BK527" i="6"/>
  <c r="BG527" i="6"/>
  <c r="BG477" i="6" s="1" a="1"/>
  <c r="BG477" i="6" s="1"/>
  <c r="BC527" i="6"/>
  <c r="BC477" i="6" s="1" a="1"/>
  <c r="BC477" i="6" s="1"/>
  <c r="AY473" i="6"/>
  <c r="AY423" i="6" s="1"/>
  <c r="BA422" i="6"/>
  <c r="BI631" i="6"/>
  <c r="BA631" i="6"/>
  <c r="BI579" i="6"/>
  <c r="BI529" i="6" s="1" a="1"/>
  <c r="BI529" i="6" s="1"/>
  <c r="BA579" i="6"/>
  <c r="BA529" i="6" s="1" a="1"/>
  <c r="BA529" i="6" s="1"/>
  <c r="BI527" i="6"/>
  <c r="BI477" i="6" s="1" a="1"/>
  <c r="BI477" i="6" s="1"/>
  <c r="BA527" i="6"/>
  <c r="BA477" i="6" s="1" a="1"/>
  <c r="BA477" i="6" s="1"/>
  <c r="BN631" i="6"/>
  <c r="BN581" i="6" s="1"/>
  <c r="BJ631" i="6"/>
  <c r="BJ581" i="6" s="1"/>
  <c r="BF631" i="6"/>
  <c r="BB631" i="6"/>
  <c r="BN579" i="6"/>
  <c r="BJ579" i="6"/>
  <c r="BJ529" i="6" s="1" a="1"/>
  <c r="BJ529" i="6" s="1"/>
  <c r="BF579" i="6"/>
  <c r="BF529" i="6" s="1" a="1"/>
  <c r="BF529" i="6" s="1"/>
  <c r="BB579" i="6"/>
  <c r="BB529" i="6" s="1" a="1"/>
  <c r="BB529" i="6" s="1"/>
  <c r="BN527" i="6"/>
  <c r="BJ527" i="6"/>
  <c r="BJ477" i="6" s="1" a="1"/>
  <c r="BJ477" i="6" s="1"/>
  <c r="BF527" i="6"/>
  <c r="BF477" i="6" s="1" a="1"/>
  <c r="BF477" i="6" s="1"/>
  <c r="BB527" i="6"/>
  <c r="BB477" i="6" s="1" a="1"/>
  <c r="BB477" i="6" s="1"/>
  <c r="AX473" i="6"/>
  <c r="AX423" i="6" s="1"/>
  <c r="BM631" i="6"/>
  <c r="BM581" i="6" s="1"/>
  <c r="BE631" i="6"/>
  <c r="BM579" i="6"/>
  <c r="BE579" i="6"/>
  <c r="BE529" i="6" s="1" a="1"/>
  <c r="BE529" i="6" s="1"/>
  <c r="BM527" i="6"/>
  <c r="BE527" i="6"/>
  <c r="BE477" i="6" s="1" a="1"/>
  <c r="BE477" i="6" s="1"/>
  <c r="AW473" i="6"/>
  <c r="AW423" i="6" s="1"/>
  <c r="BI1270" i="6"/>
  <c r="BG1270" i="6"/>
  <c r="BV2778" i="6"/>
  <c r="AY36" i="11"/>
  <c r="AY3170" i="6"/>
  <c r="BI1945" i="6"/>
  <c r="BB1945" i="6"/>
  <c r="BG1945" i="6"/>
  <c r="AT77" i="6"/>
  <c r="AT78" i="6"/>
  <c r="AT235" i="6" s="1"/>
  <c r="AU22" i="5"/>
  <c r="AU25" i="5" s="1"/>
  <c r="AU43" i="5" s="1"/>
  <c r="AY16" i="6"/>
  <c r="BN79" i="6" a="1"/>
  <c r="BN79" i="6" s="1"/>
  <c r="BI183" i="6"/>
  <c r="BE3008" i="6" l="1" a="1"/>
  <c r="BE3008" i="6" s="1"/>
  <c r="BH3008" i="6" a="1"/>
  <c r="BH3008" i="6" s="1"/>
  <c r="BG2674" i="6" a="1"/>
  <c r="BG2674" i="6" s="1"/>
  <c r="AX475" i="6"/>
  <c r="AX476" i="6"/>
  <c r="AY22" i="5"/>
  <c r="BI2674" i="6" a="1"/>
  <c r="BI2674" i="6" s="1"/>
  <c r="AW476" i="6"/>
  <c r="AW475" i="6"/>
  <c r="AX22" i="5"/>
  <c r="BQ2946" i="6"/>
  <c r="BD3008" i="6" a="1"/>
  <c r="BD3008" i="6" s="1"/>
  <c r="AW47" i="5"/>
  <c r="AW45" i="5"/>
  <c r="BB3008" i="6" a="1"/>
  <c r="BB3008" i="6" s="1"/>
  <c r="BA2674" i="6" a="1"/>
  <c r="BA2674" i="6" s="1"/>
  <c r="BM2943" i="6"/>
  <c r="BI2943" i="6"/>
  <c r="BE2943" i="6"/>
  <c r="BA2943" i="6"/>
  <c r="BL2891" i="6"/>
  <c r="BH2891" i="6"/>
  <c r="BD2891" i="6"/>
  <c r="AZ2891" i="6"/>
  <c r="AZ2841" i="6" s="1" a="1"/>
  <c r="AZ2841" i="6" s="1"/>
  <c r="BJ2943" i="6"/>
  <c r="BD2943" i="6"/>
  <c r="BN2891" i="6"/>
  <c r="BI2891" i="6"/>
  <c r="BC2891" i="6"/>
  <c r="BN2943" i="6"/>
  <c r="BH2943" i="6"/>
  <c r="BC2943" i="6"/>
  <c r="BM2891" i="6"/>
  <c r="BG2891" i="6"/>
  <c r="BB2891" i="6"/>
  <c r="BL2943" i="6"/>
  <c r="BG2943" i="6"/>
  <c r="BB2943" i="6"/>
  <c r="AZ2943" i="6"/>
  <c r="AZ2893" i="6" s="1" a="1"/>
  <c r="AZ2893" i="6" s="1"/>
  <c r="BE2891" i="6"/>
  <c r="BK2891" i="6"/>
  <c r="BA2891" i="6"/>
  <c r="BK2943" i="6"/>
  <c r="BJ2891" i="6"/>
  <c r="BF2943" i="6"/>
  <c r="BF2891" i="6"/>
  <c r="CA2945" i="6"/>
  <c r="BA236" i="6"/>
  <c r="BA235" i="6"/>
  <c r="BO356" i="6"/>
  <c r="BD581" i="6"/>
  <c r="AY2286" i="6"/>
  <c r="AY2443" i="6" s="1"/>
  <c r="AY2285" i="6"/>
  <c r="AX21" i="17"/>
  <c r="AX1106" i="6"/>
  <c r="AY19" i="5" s="1"/>
  <c r="BR356" i="6"/>
  <c r="BS356" i="6"/>
  <c r="AY2999" i="6"/>
  <c r="BN2674" i="6" a="1"/>
  <c r="BN2674" i="6" s="1"/>
  <c r="AW46" i="5"/>
  <c r="AW44" i="5"/>
  <c r="BS2997" i="6"/>
  <c r="BS2946" i="6" s="1"/>
  <c r="BO2997" i="6"/>
  <c r="BO2946" i="6" s="1"/>
  <c r="BK2997" i="6"/>
  <c r="BK2946" i="6" s="1"/>
  <c r="BG2997" i="6"/>
  <c r="BG2946" i="6" s="1"/>
  <c r="BC2997" i="6"/>
  <c r="BC2946" i="6" s="1"/>
  <c r="CD2945" i="6"/>
  <c r="BR2997" i="6"/>
  <c r="BR2946" i="6" s="1"/>
  <c r="BN2997" i="6"/>
  <c r="BN2946" i="6" s="1"/>
  <c r="BJ2997" i="6"/>
  <c r="BJ2946" i="6" s="1"/>
  <c r="BF2997" i="6"/>
  <c r="BF2946" i="6" s="1"/>
  <c r="BB2997" i="6"/>
  <c r="BB2946" i="6" s="1"/>
  <c r="BU2997" i="6"/>
  <c r="BU2946" i="6" s="1"/>
  <c r="BM2997" i="6"/>
  <c r="BM2946" i="6" s="1"/>
  <c r="BE2997" i="6"/>
  <c r="BE2946" i="6" s="1"/>
  <c r="BA2840" i="6"/>
  <c r="BT2997" i="6"/>
  <c r="BL2997" i="6"/>
  <c r="BL2946" i="6" s="1"/>
  <c r="BD2997" i="6"/>
  <c r="BD2946" i="6" s="1"/>
  <c r="BQ2997" i="6"/>
  <c r="BI2997" i="6"/>
  <c r="BI2946" i="6" s="1"/>
  <c r="BA2997" i="6"/>
  <c r="BA2946" i="6" s="1"/>
  <c r="BH2997" i="6"/>
  <c r="BH2946" i="6" s="1"/>
  <c r="BP2997" i="6"/>
  <c r="BA2839" i="6"/>
  <c r="BA2945" i="6"/>
  <c r="BA2998" i="6" s="1"/>
  <c r="BC2945" i="6"/>
  <c r="BB2945" i="6"/>
  <c r="BD2945" i="6"/>
  <c r="BF2945" i="6"/>
  <c r="BE2945" i="6"/>
  <c r="BG2945" i="6"/>
  <c r="BI2945" i="6"/>
  <c r="BH2945" i="6"/>
  <c r="BO2945" i="6"/>
  <c r="BJ2945" i="6"/>
  <c r="BK2945" i="6"/>
  <c r="BL2945" i="6"/>
  <c r="BM2945" i="6"/>
  <c r="BQ2945" i="6"/>
  <c r="BN2945" i="6"/>
  <c r="BP2945" i="6"/>
  <c r="BR2945" i="6"/>
  <c r="BT2945" i="6"/>
  <c r="BS2945" i="6"/>
  <c r="BV2945" i="6"/>
  <c r="BU2945" i="6"/>
  <c r="CB2945" i="6"/>
  <c r="BX2945" i="6"/>
  <c r="BY2945" i="6"/>
  <c r="BW2945" i="6"/>
  <c r="AY78" i="6"/>
  <c r="AY235" i="6" s="1"/>
  <c r="AZ22" i="5"/>
  <c r="AY77" i="6"/>
  <c r="AV45" i="5"/>
  <c r="AV47" i="5"/>
  <c r="BA3165" i="6"/>
  <c r="BC581" i="6"/>
  <c r="BH581" i="6"/>
  <c r="BA581" i="6"/>
  <c r="BV353" i="6"/>
  <c r="BR353" i="6"/>
  <c r="BR303" i="6" s="1" a="1"/>
  <c r="BR303" i="6" s="1"/>
  <c r="BN353" i="6"/>
  <c r="BJ353" i="6"/>
  <c r="BF353" i="6"/>
  <c r="BB353" i="6"/>
  <c r="BB303" i="6" s="1" a="1"/>
  <c r="BB303" i="6" s="1"/>
  <c r="BW301" i="6"/>
  <c r="BS301" i="6"/>
  <c r="BO301" i="6"/>
  <c r="BK301" i="6"/>
  <c r="BK251" i="6" s="1" a="1"/>
  <c r="BK251" i="6" s="1"/>
  <c r="BG301" i="6"/>
  <c r="BC301" i="6"/>
  <c r="BO353" i="6"/>
  <c r="BC353" i="6"/>
  <c r="BC303" i="6" s="1" a="1"/>
  <c r="BC303" i="6" s="1"/>
  <c r="BX301" i="6"/>
  <c r="BD301" i="6"/>
  <c r="BU353" i="6"/>
  <c r="BQ353" i="6"/>
  <c r="BQ303" i="6" s="1" a="1"/>
  <c r="BQ303" i="6" s="1"/>
  <c r="BM353" i="6"/>
  <c r="BI353" i="6"/>
  <c r="BE353" i="6"/>
  <c r="BA353" i="6"/>
  <c r="BA303" i="6" s="1" a="1"/>
  <c r="BA303" i="6" s="1"/>
  <c r="BV301" i="6"/>
  <c r="BR301" i="6"/>
  <c r="BN301" i="6"/>
  <c r="BJ301" i="6"/>
  <c r="BJ251" i="6" s="1" a="1"/>
  <c r="BJ251" i="6" s="1"/>
  <c r="BF301" i="6"/>
  <c r="BB301" i="6"/>
  <c r="BW353" i="6"/>
  <c r="BK353" i="6"/>
  <c r="BK303" i="6" s="1" a="1"/>
  <c r="BK303" i="6" s="1"/>
  <c r="BP301" i="6"/>
  <c r="BH301" i="6"/>
  <c r="BX353" i="6"/>
  <c r="BT353" i="6"/>
  <c r="BT303" i="6" s="1" a="1"/>
  <c r="BT303" i="6" s="1"/>
  <c r="BP353" i="6"/>
  <c r="BL353" i="6"/>
  <c r="BH353" i="6"/>
  <c r="BD353" i="6"/>
  <c r="BD303" i="6" s="1" a="1"/>
  <c r="BD303" i="6" s="1"/>
  <c r="AZ353" i="6"/>
  <c r="AZ303" i="6" s="1" a="1"/>
  <c r="AZ303" i="6" s="1"/>
  <c r="BU301" i="6"/>
  <c r="BQ301" i="6"/>
  <c r="BM301" i="6"/>
  <c r="BM251" i="6" s="1" a="1"/>
  <c r="BM251" i="6" s="1"/>
  <c r="BI301" i="6"/>
  <c r="BE301" i="6"/>
  <c r="BA301" i="6"/>
  <c r="BS353" i="6"/>
  <c r="BS303" i="6" s="1" a="1"/>
  <c r="BS303" i="6" s="1"/>
  <c r="BG353" i="6"/>
  <c r="BT301" i="6"/>
  <c r="BL301" i="6"/>
  <c r="AZ301" i="6"/>
  <c r="AZ251" i="6" s="1" a="1"/>
  <c r="AZ251" i="6" s="1"/>
  <c r="AZ409" i="6" s="1"/>
  <c r="AZ645" i="6"/>
  <c r="BA1998" i="6"/>
  <c r="BA1997" i="6"/>
  <c r="AX19" i="17"/>
  <c r="AX1105" i="6"/>
  <c r="AZ2832" i="6"/>
  <c r="AZ2833" i="6"/>
  <c r="AY475" i="6"/>
  <c r="AY476" i="6"/>
  <c r="AZ36" i="11"/>
  <c r="BA3170" i="6" s="1"/>
  <c r="AZ3170" i="6"/>
  <c r="AU45" i="5"/>
  <c r="AU47" i="5"/>
  <c r="AZ3167" i="6"/>
  <c r="AZ3166" i="6"/>
  <c r="BN2777" i="6"/>
  <c r="BN2726" i="6" s="1" a="1"/>
  <c r="BN2726" i="6" s="1"/>
  <c r="BJ2777" i="6"/>
  <c r="BJ2726" i="6" s="1" a="1"/>
  <c r="BJ2726" i="6" s="1"/>
  <c r="BF2777" i="6"/>
  <c r="BF2726" i="6" s="1" a="1"/>
  <c r="BF2726" i="6" s="1"/>
  <c r="BB2777" i="6"/>
  <c r="BB2726" i="6" s="1" a="1"/>
  <c r="BB2726" i="6" s="1"/>
  <c r="BM2725" i="6"/>
  <c r="BM2674" i="6" s="1" a="1"/>
  <c r="BM2674" i="6" s="1"/>
  <c r="BI2725" i="6"/>
  <c r="BE2725" i="6"/>
  <c r="BE2674" i="6" s="1" a="1"/>
  <c r="BE2674" i="6" s="1"/>
  <c r="BA2725" i="6"/>
  <c r="BL2777" i="6"/>
  <c r="BL2726" i="6" s="1" a="1"/>
  <c r="BL2726" i="6" s="1"/>
  <c r="BG2777" i="6"/>
  <c r="BG2726" i="6" s="1" a="1"/>
  <c r="BG2726" i="6" s="1"/>
  <c r="BA2777" i="6"/>
  <c r="BA2726" i="6" s="1" a="1"/>
  <c r="BA2726" i="6" s="1"/>
  <c r="BK2725" i="6"/>
  <c r="BK2674" i="6" s="1" a="1"/>
  <c r="BK2674" i="6" s="1"/>
  <c r="BF2725" i="6"/>
  <c r="BF2674" i="6" s="1" a="1"/>
  <c r="BF2674" i="6" s="1"/>
  <c r="BK2777" i="6"/>
  <c r="BK2726" i="6" s="1" a="1"/>
  <c r="BK2726" i="6" s="1"/>
  <c r="BE2777" i="6"/>
  <c r="BE2726" i="6" s="1" a="1"/>
  <c r="BE2726" i="6" s="1"/>
  <c r="BO2725" i="6"/>
  <c r="BO2674" i="6" s="1" a="1"/>
  <c r="BO2674" i="6" s="1"/>
  <c r="BJ2725" i="6"/>
  <c r="BJ2674" i="6" s="1" a="1"/>
  <c r="BJ2674" i="6" s="1"/>
  <c r="BD2725" i="6"/>
  <c r="BD2674" i="6" s="1" a="1"/>
  <c r="BD2674" i="6" s="1"/>
  <c r="BO2777" i="6"/>
  <c r="BO2726" i="6" s="1" a="1"/>
  <c r="BO2726" i="6" s="1"/>
  <c r="BI2777" i="6"/>
  <c r="BI2726" i="6" s="1" a="1"/>
  <c r="BI2726" i="6" s="1"/>
  <c r="BD2777" i="6"/>
  <c r="BD2726" i="6" s="1" a="1"/>
  <c r="BD2726" i="6" s="1"/>
  <c r="BN2725" i="6"/>
  <c r="BH2725" i="6"/>
  <c r="BH2674" i="6" s="1" a="1"/>
  <c r="BH2674" i="6" s="1"/>
  <c r="BC2725" i="6"/>
  <c r="BH2777" i="6"/>
  <c r="BH2726" i="6" s="1" a="1"/>
  <c r="BH2726" i="6" s="1"/>
  <c r="BG2725" i="6"/>
  <c r="BC2777" i="6"/>
  <c r="BC2726" i="6" s="1" a="1"/>
  <c r="BC2726" i="6" s="1"/>
  <c r="BB2725" i="6"/>
  <c r="BB2674" i="6" s="1" a="1"/>
  <c r="BB2674" i="6" s="1"/>
  <c r="BM2777" i="6"/>
  <c r="BM2726" i="6" s="1" a="1"/>
  <c r="BM2726" i="6" s="1"/>
  <c r="BL2725" i="6"/>
  <c r="BL2674" i="6" s="1" a="1"/>
  <c r="BL2674" i="6" s="1"/>
  <c r="BL3111" i="6"/>
  <c r="BL3060" i="6" s="1" a="1"/>
  <c r="BL3060" i="6" s="1"/>
  <c r="BH3111" i="6"/>
  <c r="BH3060" i="6" s="1" a="1"/>
  <c r="BH3060" i="6" s="1"/>
  <c r="BD3111" i="6"/>
  <c r="BD3060" i="6" s="1" a="1"/>
  <c r="BD3060" i="6" s="1"/>
  <c r="BO3059" i="6"/>
  <c r="BO3008" i="6" s="1" a="1"/>
  <c r="BO3008" i="6" s="1"/>
  <c r="BK3059" i="6"/>
  <c r="BK3008" i="6" s="1" a="1"/>
  <c r="BK3008" i="6" s="1"/>
  <c r="BG3059" i="6"/>
  <c r="BG3008" i="6" s="1" a="1"/>
  <c r="BG3008" i="6" s="1"/>
  <c r="BC3059" i="6"/>
  <c r="BC3008" i="6" s="1" a="1"/>
  <c r="BC3008" i="6" s="1"/>
  <c r="BO3111" i="6"/>
  <c r="BO3060" i="6" s="1" a="1"/>
  <c r="BO3060" i="6" s="1"/>
  <c r="BK3111" i="6"/>
  <c r="BK3060" i="6" s="1" a="1"/>
  <c r="BK3060" i="6" s="1"/>
  <c r="BG3111" i="6"/>
  <c r="BG3060" i="6" s="1" a="1"/>
  <c r="BG3060" i="6" s="1"/>
  <c r="BC3111" i="6"/>
  <c r="BC3060" i="6" s="1" a="1"/>
  <c r="BC3060" i="6" s="1"/>
  <c r="BN3059" i="6"/>
  <c r="BN3008" i="6" s="1" a="1"/>
  <c r="BN3008" i="6" s="1"/>
  <c r="BJ3059" i="6"/>
  <c r="BJ3008" i="6" s="1" a="1"/>
  <c r="BJ3008" i="6" s="1"/>
  <c r="BF3059" i="6"/>
  <c r="BF3008" i="6" s="1" a="1"/>
  <c r="BF3008" i="6" s="1"/>
  <c r="BB3059" i="6"/>
  <c r="BM3111" i="6"/>
  <c r="BM3060" i="6" s="1" a="1"/>
  <c r="BM3060" i="6" s="1"/>
  <c r="BE3111" i="6"/>
  <c r="BE3060" i="6" s="1" a="1"/>
  <c r="BE3060" i="6" s="1"/>
  <c r="BL3059" i="6"/>
  <c r="BL3008" i="6" s="1" a="1"/>
  <c r="BL3008" i="6" s="1"/>
  <c r="BD3059" i="6"/>
  <c r="BJ3111" i="6"/>
  <c r="BJ3060" i="6" s="1" a="1"/>
  <c r="BJ3060" i="6" s="1"/>
  <c r="BB3111" i="6"/>
  <c r="BB3060" i="6" s="1" a="1"/>
  <c r="BB3060" i="6" s="1"/>
  <c r="BI3059" i="6"/>
  <c r="BI3008" i="6" s="1" a="1"/>
  <c r="BI3008" i="6" s="1"/>
  <c r="BA3059" i="6"/>
  <c r="BA3008" i="6" s="1" a="1"/>
  <c r="BA3008" i="6" s="1"/>
  <c r="BI3111" i="6"/>
  <c r="BI3060" i="6" s="1" a="1"/>
  <c r="BI3060" i="6" s="1"/>
  <c r="BA3111" i="6"/>
  <c r="BA3060" i="6" s="1" a="1"/>
  <c r="BA3060" i="6" s="1"/>
  <c r="BH3059" i="6"/>
  <c r="BF3111" i="6"/>
  <c r="BF3060" i="6" s="1" a="1"/>
  <c r="BF3060" i="6" s="1"/>
  <c r="BE3059" i="6"/>
  <c r="BN3111" i="6"/>
  <c r="BN3060" i="6" s="1" a="1"/>
  <c r="BN3060" i="6" s="1"/>
  <c r="BM3059" i="6"/>
  <c r="BM3008" i="6" s="1" a="1"/>
  <c r="BM3008" i="6" s="1"/>
  <c r="BZ2945" i="6"/>
  <c r="BT2946" i="6"/>
  <c r="BP2946" i="6"/>
  <c r="BV354" i="6"/>
  <c r="BR354" i="6"/>
  <c r="BN354" i="6"/>
  <c r="BJ354" i="6"/>
  <c r="BF354" i="6"/>
  <c r="BB354" i="6"/>
  <c r="BW302" i="6"/>
  <c r="BS302" i="6"/>
  <c r="BO302" i="6"/>
  <c r="BK302" i="6"/>
  <c r="BG302" i="6"/>
  <c r="BC302" i="6"/>
  <c r="BO354" i="6"/>
  <c r="BC354" i="6"/>
  <c r="BT302" i="6"/>
  <c r="BL302" i="6"/>
  <c r="BY354" i="6"/>
  <c r="BY303" i="6" s="1" a="1"/>
  <c r="BY303" i="6" s="1"/>
  <c r="BU354" i="6"/>
  <c r="BQ354" i="6"/>
  <c r="BM354" i="6"/>
  <c r="BI354" i="6"/>
  <c r="BE354" i="6"/>
  <c r="BA354" i="6"/>
  <c r="BV302" i="6"/>
  <c r="BR302" i="6"/>
  <c r="BN302" i="6"/>
  <c r="BJ302" i="6"/>
  <c r="BF302" i="6"/>
  <c r="BB302" i="6"/>
  <c r="BS354" i="6"/>
  <c r="BK354" i="6"/>
  <c r="BP302" i="6"/>
  <c r="BH302" i="6"/>
  <c r="BX354" i="6"/>
  <c r="BT354" i="6"/>
  <c r="BP354" i="6"/>
  <c r="BL354" i="6"/>
  <c r="BH354" i="6"/>
  <c r="BD354" i="6"/>
  <c r="BY302" i="6"/>
  <c r="BY251" i="6" s="1" a="1"/>
  <c r="BY251" i="6" s="1"/>
  <c r="BU302" i="6"/>
  <c r="BQ302" i="6"/>
  <c r="BM302" i="6"/>
  <c r="BI302" i="6"/>
  <c r="BE302" i="6"/>
  <c r="BA302" i="6"/>
  <c r="BW354" i="6"/>
  <c r="BG354" i="6"/>
  <c r="BX302" i="6"/>
  <c r="BD302" i="6"/>
  <c r="BN356" i="6"/>
  <c r="BD356" i="6"/>
  <c r="AZ475" i="6"/>
  <c r="AZ476" i="6"/>
  <c r="BG581" i="6"/>
  <c r="BB581" i="6"/>
  <c r="BE581" i="6"/>
  <c r="BA645" i="6"/>
  <c r="AW1323" i="6"/>
  <c r="AX17" i="5"/>
  <c r="AX24" i="5" s="1"/>
  <c r="AX42" i="5" s="1"/>
  <c r="AW1322" i="6"/>
  <c r="AX24" i="17"/>
  <c r="AX1107" i="6"/>
  <c r="AY18" i="5" s="1"/>
  <c r="BC2674" i="6" a="1"/>
  <c r="BC2674" i="6" s="1"/>
  <c r="BQ356" i="6"/>
  <c r="BP356" i="6"/>
  <c r="AZ634" i="6"/>
  <c r="AZ633" i="6"/>
  <c r="AX25" i="5"/>
  <c r="AX43" i="5" s="1"/>
  <c r="BB26" i="5"/>
  <c r="AZ2999" i="6" l="1"/>
  <c r="AZ3000" i="6"/>
  <c r="BA2833" i="6"/>
  <c r="BA2832" i="6"/>
  <c r="AY24" i="17"/>
  <c r="AY1107" i="6"/>
  <c r="AZ18" i="5" s="1"/>
  <c r="AX1322" i="6"/>
  <c r="AX1323" i="6"/>
  <c r="AY17" i="5"/>
  <c r="AY24" i="5" s="1"/>
  <c r="AY42" i="5" s="1"/>
  <c r="BL251" i="6" a="1"/>
  <c r="BL251" i="6" s="1"/>
  <c r="BA251" i="6" a="1"/>
  <c r="BA251" i="6" s="1"/>
  <c r="BA409" i="6" s="1"/>
  <c r="BQ251" i="6" a="1"/>
  <c r="BQ251" i="6" s="1"/>
  <c r="BH303" i="6" a="1"/>
  <c r="BH303" i="6" s="1"/>
  <c r="BX303" i="6" a="1"/>
  <c r="BX303" i="6" s="1"/>
  <c r="BW303" i="6" a="1"/>
  <c r="BW303" i="6" s="1"/>
  <c r="BN251" i="6" a="1"/>
  <c r="BN251" i="6" s="1"/>
  <c r="BE303" i="6" a="1"/>
  <c r="BE303" i="6" s="1"/>
  <c r="BU303" i="6" a="1"/>
  <c r="BU303" i="6" s="1"/>
  <c r="BO303" i="6" a="1"/>
  <c r="BO303" i="6" s="1"/>
  <c r="BO251" i="6" a="1"/>
  <c r="BO251" i="6" s="1"/>
  <c r="BF303" i="6" a="1"/>
  <c r="BF303" i="6" s="1"/>
  <c r="BV303" i="6" a="1"/>
  <c r="BV303" i="6" s="1"/>
  <c r="AX47" i="5"/>
  <c r="AX45" i="5"/>
  <c r="AY19" i="17"/>
  <c r="AY1105" i="6"/>
  <c r="BT251" i="6" a="1"/>
  <c r="BT251" i="6" s="1"/>
  <c r="BE251" i="6" a="1"/>
  <c r="BE251" i="6" s="1"/>
  <c r="BU251" i="6" a="1"/>
  <c r="BU251" i="6" s="1"/>
  <c r="BL303" i="6" a="1"/>
  <c r="BL303" i="6" s="1"/>
  <c r="BH251" i="6" a="1"/>
  <c r="BH251" i="6" s="1"/>
  <c r="BB251" i="6" a="1"/>
  <c r="BB251" i="6" s="1"/>
  <c r="BR251" i="6" a="1"/>
  <c r="BR251" i="6" s="1"/>
  <c r="BI303" i="6" a="1"/>
  <c r="BI303" i="6" s="1"/>
  <c r="BD251" i="6" a="1"/>
  <c r="BD251" i="6" s="1"/>
  <c r="BC251" i="6" a="1"/>
  <c r="BC251" i="6" s="1"/>
  <c r="BS251" i="6" a="1"/>
  <c r="BS251" i="6" s="1"/>
  <c r="BJ303" i="6" a="1"/>
  <c r="BJ303" i="6" s="1"/>
  <c r="BA3166" i="6"/>
  <c r="BA3167" i="6"/>
  <c r="BO2944" i="6"/>
  <c r="BO2893" i="6" s="1" a="1"/>
  <c r="BO2893" i="6" s="1"/>
  <c r="BK2944" i="6"/>
  <c r="BK2893" i="6" s="1" a="1"/>
  <c r="BK2893" i="6" s="1"/>
  <c r="BG2944" i="6"/>
  <c r="BG2893" i="6" s="1" a="1"/>
  <c r="BG2893" i="6" s="1"/>
  <c r="BC2944" i="6"/>
  <c r="BC2893" i="6" s="1" a="1"/>
  <c r="BC2893" i="6" s="1"/>
  <c r="BN2892" i="6"/>
  <c r="BN2841" i="6" s="1" a="1"/>
  <c r="BN2841" i="6" s="1"/>
  <c r="BJ2892" i="6"/>
  <c r="BJ2841" i="6" s="1" a="1"/>
  <c r="BJ2841" i="6" s="1"/>
  <c r="BF2892" i="6"/>
  <c r="BF2841" i="6" s="1" a="1"/>
  <c r="BF2841" i="6" s="1"/>
  <c r="BB2892" i="6"/>
  <c r="BB2841" i="6" s="1" a="1"/>
  <c r="BB2841" i="6" s="1"/>
  <c r="BL2944" i="6"/>
  <c r="BF2944" i="6"/>
  <c r="BF2893" i="6" s="1" a="1"/>
  <c r="BF2893" i="6" s="1"/>
  <c r="BA2944" i="6"/>
  <c r="BA2893" i="6" s="1" a="1"/>
  <c r="BA2893" i="6" s="1"/>
  <c r="BA3000" i="6" s="1"/>
  <c r="BK2892" i="6"/>
  <c r="BK2841" i="6" s="1" a="1"/>
  <c r="BK2841" i="6" s="1"/>
  <c r="BE2892" i="6"/>
  <c r="BJ2944" i="6"/>
  <c r="BE2944" i="6"/>
  <c r="BE2893" i="6" s="1" a="1"/>
  <c r="BE2893" i="6" s="1"/>
  <c r="BO2892" i="6"/>
  <c r="BO2841" i="6" s="1" a="1"/>
  <c r="BO2841" i="6" s="1"/>
  <c r="BI2892" i="6"/>
  <c r="BI2841" i="6" s="1" a="1"/>
  <c r="BI2841" i="6" s="1"/>
  <c r="BD2892" i="6"/>
  <c r="BD2841" i="6" s="1" a="1"/>
  <c r="BD2841" i="6" s="1"/>
  <c r="BN2944" i="6"/>
  <c r="BN2893" i="6" s="1" a="1"/>
  <c r="BN2893" i="6" s="1"/>
  <c r="BI2944" i="6"/>
  <c r="BI2893" i="6" s="1" a="1"/>
  <c r="BI2893" i="6" s="1"/>
  <c r="BD2944" i="6"/>
  <c r="BD2893" i="6" s="1" a="1"/>
  <c r="BD2893" i="6" s="1"/>
  <c r="BH2944" i="6"/>
  <c r="BH2893" i="6" s="1" a="1"/>
  <c r="BH2893" i="6" s="1"/>
  <c r="BL2892" i="6"/>
  <c r="BA2892" i="6"/>
  <c r="BA2841" i="6" s="1" a="1"/>
  <c r="BA2841" i="6" s="1"/>
  <c r="BB2944" i="6"/>
  <c r="BB2893" i="6" s="1" a="1"/>
  <c r="BB2893" i="6" s="1"/>
  <c r="BH2892" i="6"/>
  <c r="BH2841" i="6" s="1" a="1"/>
  <c r="BH2841" i="6" s="1"/>
  <c r="BG2892" i="6"/>
  <c r="BG2841" i="6" s="1" a="1"/>
  <c r="BG2841" i="6" s="1"/>
  <c r="BM2944" i="6"/>
  <c r="BM2893" i="6" s="1" a="1"/>
  <c r="BM2893" i="6" s="1"/>
  <c r="BM2892" i="6"/>
  <c r="BM2841" i="6" s="1" a="1"/>
  <c r="BM2841" i="6" s="1"/>
  <c r="BC2892" i="6"/>
  <c r="BC2841" i="6" s="1" a="1"/>
  <c r="BC2841" i="6" s="1"/>
  <c r="BJ2893" i="6" a="1"/>
  <c r="BJ2893" i="6" s="1"/>
  <c r="BL2841" i="6" a="1"/>
  <c r="BL2841" i="6" s="1"/>
  <c r="AX44" i="5"/>
  <c r="AX46" i="5"/>
  <c r="AY21" i="17"/>
  <c r="AY1106" i="6"/>
  <c r="AZ19" i="5" s="1"/>
  <c r="AZ25" i="5" s="1"/>
  <c r="AZ43" i="5" s="1"/>
  <c r="BG303" i="6" a="1"/>
  <c r="BG303" i="6" s="1"/>
  <c r="BI251" i="6" a="1"/>
  <c r="BI251" i="6" s="1"/>
  <c r="BP303" i="6" a="1"/>
  <c r="BP303" i="6" s="1"/>
  <c r="BP251" i="6" a="1"/>
  <c r="BP251" i="6" s="1"/>
  <c r="BF251" i="6" a="1"/>
  <c r="BF251" i="6" s="1"/>
  <c r="BV251" i="6" a="1"/>
  <c r="BV251" i="6" s="1"/>
  <c r="BM303" i="6" a="1"/>
  <c r="BM303" i="6" s="1"/>
  <c r="BX251" i="6" a="1"/>
  <c r="BX251" i="6" s="1"/>
  <c r="BG251" i="6" a="1"/>
  <c r="BG251" i="6" s="1"/>
  <c r="BW251" i="6" a="1"/>
  <c r="BW251" i="6" s="1"/>
  <c r="BN303" i="6" a="1"/>
  <c r="BN303" i="6" s="1"/>
  <c r="BA634" i="6"/>
  <c r="BA633" i="6"/>
  <c r="AY25" i="5"/>
  <c r="AY43" i="5" s="1"/>
  <c r="BE2841" i="6" a="1"/>
  <c r="BE2841" i="6" s="1"/>
  <c r="BL2893" i="6" a="1"/>
  <c r="BL2893" i="6" s="1"/>
  <c r="AY45" i="5" l="1"/>
  <c r="AY47" i="5"/>
  <c r="AY1322" i="6"/>
  <c r="AY1323" i="6"/>
  <c r="AZ17" i="5"/>
  <c r="AZ24" i="5" s="1"/>
  <c r="AZ42" i="5" s="1"/>
  <c r="BA2999" i="6"/>
  <c r="AZ19" i="17"/>
  <c r="BA1105" i="6" s="1"/>
  <c r="AZ1105" i="6"/>
  <c r="AZ45" i="5"/>
  <c r="AZ47" i="5"/>
  <c r="AZ21" i="17"/>
  <c r="BA1106" i="6" s="1"/>
  <c r="BB19" i="5" s="1"/>
  <c r="BB25" i="5" s="1"/>
  <c r="BB43" i="5" s="1"/>
  <c r="AZ1106" i="6"/>
  <c r="BA19" i="5" s="1"/>
  <c r="BA25" i="5" s="1"/>
  <c r="BA43" i="5" s="1"/>
  <c r="AY44" i="5"/>
  <c r="AY46" i="5"/>
  <c r="AZ24" i="17"/>
  <c r="BA1107" i="6" s="1"/>
  <c r="BB18" i="5" s="1"/>
  <c r="AZ1107" i="6"/>
  <c r="BA18" i="5" s="1"/>
  <c r="BA47" i="5" l="1"/>
  <c r="BA45" i="5"/>
  <c r="BB47" i="5"/>
  <c r="BB45" i="5"/>
  <c r="AZ1322" i="6"/>
  <c r="BA17" i="5"/>
  <c r="BA24" i="5" s="1"/>
  <c r="BA42" i="5" s="1"/>
  <c r="AZ1323" i="6"/>
  <c r="BA1322" i="6"/>
  <c r="BA1323" i="6"/>
  <c r="BB17" i="5"/>
  <c r="BB24" i="5" s="1"/>
  <c r="BB42" i="5" s="1"/>
  <c r="AZ46" i="5"/>
  <c r="AZ44" i="5"/>
  <c r="BA46" i="5" l="1"/>
  <c r="BA44" i="5"/>
  <c r="BB44" i="5"/>
  <c r="BB46" i="5"/>
  <c r="W34" i="5" l="1"/>
  <c r="W38" i="5"/>
  <c r="W638" i="6"/>
  <c r="X638" i="6" s="1"/>
  <c r="Y638" i="6" l="1"/>
  <c r="Y34" i="5"/>
  <c r="Y38" i="5" s="1"/>
  <c r="X34" i="5"/>
  <c r="X38" i="5" s="1"/>
  <c r="Z638" i="6" l="1"/>
  <c r="Z34" i="5"/>
  <c r="Z38" i="5" s="1"/>
  <c r="AA638" i="6" l="1"/>
  <c r="AA34" i="5"/>
  <c r="AA38" i="5" s="1"/>
  <c r="AB34" i="5" l="1"/>
  <c r="AB38" i="5" s="1"/>
  <c r="AB638" i="6"/>
  <c r="AC34" i="5" l="1"/>
  <c r="AC38" i="5" s="1"/>
  <c r="AC638" i="6"/>
  <c r="AD34" i="5" l="1"/>
  <c r="AD38" i="5" s="1"/>
  <c r="AD638" i="6"/>
  <c r="AE638" i="6" l="1"/>
  <c r="AE34" i="5"/>
  <c r="AE38" i="5" s="1"/>
  <c r="AF34" i="5" l="1"/>
  <c r="AF38" i="5" s="1"/>
  <c r="AF638" i="6"/>
  <c r="AG34" i="5" l="1"/>
  <c r="AG38" i="5" s="1"/>
  <c r="AG638" i="6"/>
  <c r="AH638" i="6" l="1"/>
  <c r="AH34" i="5"/>
  <c r="AH38" i="5" s="1"/>
  <c r="AI34" i="5" l="1"/>
  <c r="AI38" i="5" s="1"/>
  <c r="AI638" i="6"/>
  <c r="AJ34" i="5" l="1"/>
  <c r="AJ38" i="5" s="1"/>
  <c r="AJ638" i="6"/>
  <c r="AK34" i="5" l="1"/>
  <c r="AK38" i="5" s="1"/>
  <c r="AK638" i="6"/>
  <c r="AL34" i="5" l="1"/>
  <c r="AL38" i="5" s="1"/>
  <c r="AL638" i="6"/>
  <c r="AM638" i="6" l="1"/>
  <c r="AM34" i="5"/>
  <c r="AM38" i="5" s="1"/>
  <c r="AN34" i="5" l="1"/>
  <c r="AN38" i="5" s="1"/>
  <c r="AN638" i="6"/>
  <c r="AO34" i="5" l="1"/>
  <c r="AO38" i="5" s="1"/>
  <c r="AO638" i="6"/>
  <c r="AP638" i="6" l="1"/>
  <c r="AP34" i="5"/>
  <c r="AP38" i="5" s="1"/>
  <c r="AQ638" i="6" l="1"/>
  <c r="AQ34" i="5"/>
  <c r="AQ38" i="5" s="1"/>
  <c r="AR34" i="5" l="1"/>
  <c r="AR38" i="5" s="1"/>
  <c r="AR638" i="6"/>
  <c r="AS34" i="5" l="1"/>
  <c r="AS38" i="5" s="1"/>
  <c r="AS638" i="6"/>
  <c r="AT638" i="6" l="1"/>
  <c r="AT34" i="5"/>
  <c r="AT38" i="5" s="1"/>
  <c r="AU34" i="5" l="1"/>
  <c r="AU38" i="5" s="1"/>
  <c r="AU638" i="6"/>
  <c r="AV638" i="6" l="1"/>
  <c r="AV34" i="5"/>
  <c r="AV38" i="5" s="1"/>
  <c r="AW34" i="5" l="1"/>
  <c r="AW38" i="5" s="1"/>
  <c r="AW638" i="6"/>
  <c r="AX638" i="6" l="1"/>
  <c r="AX34" i="5"/>
  <c r="AX38" i="5" s="1"/>
  <c r="AY638" i="6" l="1"/>
  <c r="AY34" i="5"/>
  <c r="AY38" i="5" s="1"/>
  <c r="AZ638" i="6" l="1"/>
  <c r="BA34" i="5" s="1"/>
  <c r="BA38" i="5" s="1"/>
  <c r="AZ34" i="5"/>
  <c r="AZ38" i="5" s="1"/>
</calcChain>
</file>

<file path=xl/comments1.xml><?xml version="1.0" encoding="utf-8"?>
<comments xmlns="http://schemas.openxmlformats.org/spreadsheetml/2006/main">
  <authors>
    <author/>
  </authors>
  <commentList>
    <comment ref="AC1" authorId="0" shapeId="0">
      <text>
        <r>
          <rPr>
            <sz val="11"/>
            <color rgb="FF000000"/>
            <rFont val="Calibri"/>
          </rPr>
          <t>Gurcan Gulen:
we can do 5-yr increments instead of every yr if desired or computationally necessary.</t>
        </r>
      </text>
    </comment>
  </commentList>
</comments>
</file>

<file path=xl/comments2.xml><?xml version="1.0" encoding="utf-8"?>
<comments xmlns="http://schemas.openxmlformats.org/spreadsheetml/2006/main">
  <authors>
    <author/>
  </authors>
  <commentList>
    <comment ref="S8" authorId="0" shapeId="0">
      <text>
        <r>
          <rPr>
            <sz val="11"/>
            <color rgb="FF000000"/>
            <rFont val="Calibri"/>
          </rPr>
          <t>Gurcan Gulen:
Previous yrs from EIA ExistingCap Annual, Changed 2016 to AEO18 value. 2017-19 are also from AEO18.</t>
        </r>
      </text>
    </comment>
    <comment ref="W8" authorId="0" shapeId="0">
      <text>
        <r>
          <rPr>
            <sz val="11"/>
            <color rgb="FF000000"/>
            <rFont val="Calibri"/>
          </rPr>
          <t>Gurcan Gulen:
091618 switched to using AEO18 Reference Case capacities to be consistent with the generation and CF assumptions.  BUT, these are not very consistent with EIA 860m and other reports or ABB Velocity Suite data.
Based on EIA existing capacity annual (266,700 MW in 2016) and adds &amp; retires from EIA 860m from Feb 18 (22,700 MW 2017-19).
HOWEVER, in latter, operating capacity adds up to only 250600! But, using 250600 would push CF to much higher levels to get what AEO 2018 shows as coal gen.
Also, APPA reports 2018 coal capacity as 276701.  Minus the ~18K of retirements from EIA = 255000 MW. This would require reducing CF to about 52.5%.  For now, I just stick with EIA.</t>
        </r>
      </text>
    </comment>
    <comment ref="S9" authorId="0" shapeId="0">
      <text>
        <r>
          <rPr>
            <sz val="11"/>
            <color rgb="FF000000"/>
            <rFont val="Calibri"/>
          </rPr>
          <t>Gurcan Gulen:
previous yrs from EIA annual_generation_state</t>
        </r>
      </text>
    </comment>
    <comment ref="W9" authorId="0" shapeId="0">
      <text>
        <r>
          <rPr>
            <sz val="11"/>
            <color rgb="FF000000"/>
            <rFont val="Calibri"/>
          </rPr>
          <t xml:space="preserve">Gurcan Gulen:
very close to 28.2% of total gen of 4231 TWh being from coal (AEO 2018 Reference case). But, conversion from Quads leads to 1335 (those % are less reliable). Explore </t>
        </r>
      </text>
    </comment>
    <comment ref="A236" authorId="0" shapeId="0">
      <text>
        <r>
          <rPr>
            <sz val="11"/>
            <color rgb="FF000000"/>
            <rFont val="Calibri"/>
          </rPr>
          <t>Gurcan Gulen:
net of subsidies.  I suggest tracking this item. Because govts will have to adjust tax policies if they lose major revenues from traditional industries. Example: road tax in lieu of gasoline tax if Evs replace ICEs</t>
        </r>
      </text>
    </comment>
    <comment ref="A634" authorId="0" shapeId="0">
      <text>
        <r>
          <rPr>
            <sz val="11"/>
            <color rgb="FF000000"/>
            <rFont val="Calibri"/>
          </rPr>
          <t>Gurcan Gulen:
net of subsidies.  I suggest tracking this item. Because govts will have to adjust tax policies if they lose major revenues from traditional industries. Example: road tax in lieu of gasoline tax if Evs replace ICEs</t>
        </r>
      </text>
    </comment>
    <comment ref="A646" authorId="0" shapeId="0">
      <text>
        <r>
          <rPr>
            <sz val="11"/>
            <color rgb="FF000000"/>
            <rFont val="Calibri"/>
          </rPr>
          <t>Gurcan Gulen:
net of subsidies.  I suggest tracking this item. Because govts will have to adjust tax policies if they lose major revenues from traditional industries. Example: road tax in lieu of gasoline tax if Evs replace ICEs</t>
        </r>
      </text>
    </comment>
    <comment ref="T653" authorId="0" shapeId="0">
      <text>
        <r>
          <rPr>
            <sz val="11"/>
            <color rgb="FF000000"/>
            <rFont val="Calibri"/>
          </rPr>
          <t>Gurcan Gulen:
AEO18 for 2017-2019
inc DER</t>
        </r>
      </text>
    </comment>
    <comment ref="W653" authorId="0" shapeId="0">
      <text>
        <r>
          <rPr>
            <sz val="11"/>
            <color rgb="FF000000"/>
            <rFont val="Calibri"/>
          </rPr>
          <t>Gurcan Gulen:
AEO18 Ref Case. Includes 3,000 MW of DER.</t>
        </r>
      </text>
    </comment>
    <comment ref="A871" authorId="0" shapeId="0">
      <text>
        <r>
          <rPr>
            <sz val="11"/>
            <color rgb="FF000000"/>
            <rFont val="Calibri"/>
          </rPr>
          <t>Gurcan Gulen:
net of subsidies.  I suggest tracking this item. Because govts will have to adjust tax policies if they lose major revenues from traditional industries. Example: road tax in lieu of gasoline tax if Evs replace ICEs</t>
        </r>
      </text>
    </comment>
    <comment ref="S878" authorId="0" shapeId="0">
      <text>
        <r>
          <rPr>
            <sz val="11"/>
            <color rgb="FF000000"/>
            <rFont val="Calibri"/>
          </rPr>
          <t>Gurcan Gulen:
History from EIA Existing Cap Annual excludes DER solar. 2016-2019 rom AEO18 inc DER</t>
        </r>
      </text>
    </comment>
    <comment ref="W878" authorId="0" shapeId="0">
      <text>
        <r>
          <rPr>
            <sz val="11"/>
            <color rgb="FF000000"/>
            <rFont val="Calibri"/>
          </rPr>
          <t>Gurcan Gulen:
AEO18 Ref Case. Includes 35,000 MW of DER and 1,700 MW of solar thermal.</t>
        </r>
      </text>
    </comment>
    <comment ref="A1096" authorId="0" shapeId="0">
      <text>
        <r>
          <rPr>
            <sz val="11"/>
            <color rgb="FF000000"/>
            <rFont val="Calibri"/>
          </rPr>
          <t>Gurcan Gulen:
net of subsidies.  I suggest tracking this item. Because govts will have to adjust tax policies if they lose major revenues from traditional industries. Example: road tax in lieu of gasoline tax if Evs replace ICEs</t>
        </r>
      </text>
    </comment>
    <comment ref="W1103" authorId="0" shapeId="0">
      <text>
        <r>
          <rPr>
            <sz val="11"/>
            <color rgb="FF000000"/>
            <rFont val="Calibri"/>
          </rPr>
          <t xml:space="preserve">Gurcan Gulen:
AEO18 Ref Case - 2100 MW known retirements by 2020
</t>
        </r>
      </text>
    </comment>
    <comment ref="A1323" authorId="0" shapeId="0">
      <text>
        <r>
          <rPr>
            <sz val="11"/>
            <color rgb="FF000000"/>
            <rFont val="Calibri"/>
          </rPr>
          <t>Gurcan Gulen:
net of subsidies.  I suggest tracking this item. Because govts will have to adjust tax policies if they lose major revenues from traditional industries. Example: road tax in lieu of gasoline tax if Evs replace ICEs</t>
        </r>
      </text>
    </comment>
    <comment ref="A1548" authorId="0" shapeId="0">
      <text>
        <r>
          <rPr>
            <sz val="11"/>
            <color rgb="FF000000"/>
            <rFont val="Calibri"/>
          </rPr>
          <t>Gurcan Gulen:
net of subsidies.  I suggest tracking this item. Because govts will have to adjust tax policies if they lose major revenues from traditional industries. Example: road tax in lieu of gasoline tax if Evs replace ICEs</t>
        </r>
      </text>
    </comment>
    <comment ref="C2668" authorId="0" shapeId="0">
      <text>
        <r>
          <rPr>
            <sz val="11"/>
            <color rgb="FF000000"/>
            <rFont val="Calibri"/>
          </rPr>
          <t>Carey King:
sum of T maintenance, T operation and Regional Mkt Opex from FERC 1 adjusted to account for the % of T from municipal utilities and coops as follows:
(FERC 1 value) / (1 - % from munis, coops, etc)</t>
        </r>
      </text>
    </comment>
    <comment ref="C2669" authorId="0" shapeId="0">
      <text>
        <r>
          <rPr>
            <sz val="11"/>
            <color rgb="FF000000"/>
            <rFont val="Calibri"/>
          </rPr>
          <t>Carey King:
FERC1/(1-other)</t>
        </r>
      </text>
    </comment>
    <comment ref="C2670" authorId="0" shapeId="0">
      <text>
        <r>
          <rPr>
            <sz val="11"/>
            <color rgb="FF000000"/>
            <rFont val="Calibri"/>
          </rPr>
          <t xml:space="preserve">Gurcan Gulen:
FERC1/(1-other)
</t>
        </r>
      </text>
    </comment>
    <comment ref="C2831" authorId="0" shapeId="0">
      <text>
        <r>
          <rPr>
            <sz val="11"/>
            <color rgb="FF000000"/>
            <rFont val="Calibri"/>
          </rPr>
          <t>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r>
      </text>
    </comment>
    <comment ref="C2835" authorId="0" shapeId="0">
      <text>
        <r>
          <rPr>
            <sz val="11"/>
            <color rgb="FF000000"/>
            <rFont val="Calibri"/>
          </rPr>
          <t>Gurcan Gulen:
sum of D maintenance, D operation, Cust Acc Exp, and Cust Serv Exp from FERC 1 adjusted to account for the % of T from municipal utilities and coops as follows:
(FERC 1 value) / (1 - % from munis, coops, etc)</t>
        </r>
      </text>
    </comment>
    <comment ref="C2836" authorId="0" shapeId="0">
      <text>
        <r>
          <rPr>
            <sz val="11"/>
            <color rgb="FF000000"/>
            <rFont val="Calibri"/>
          </rPr>
          <t xml:space="preserve">Gurcan Gulen:
FERC1/
(1-other)
</t>
        </r>
      </text>
    </comment>
    <comment ref="T2836" authorId="0" shapeId="0">
      <text>
        <r>
          <rPr>
            <sz val="11"/>
            <color rgb="FF000000"/>
            <rFont val="Calibri"/>
          </rPr>
          <t xml:space="preserve">Gurcan Gulen:
2016 Beg Yr - 2016 Ret + 2016 CAPEX
</t>
        </r>
      </text>
    </comment>
    <comment ref="C2998" authorId="0" shapeId="0">
      <text>
        <r>
          <rPr>
            <sz val="11"/>
            <color rgb="FF000000"/>
            <rFont val="Calibri"/>
          </rPr>
          <t>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r>
      </text>
    </comment>
    <comment ref="T3003" authorId="0" shapeId="0">
      <text>
        <r>
          <rPr>
            <sz val="11"/>
            <color rgb="FF000000"/>
            <rFont val="Calibri"/>
          </rPr>
          <t xml:space="preserve">Gurcan Gulen:
2016 Beg Yr - 2016 Ret + 2016 CAPEX
</t>
        </r>
      </text>
    </comment>
    <comment ref="C3165" authorId="0" shapeId="0">
      <text>
        <r>
          <rPr>
            <sz val="11"/>
            <color rgb="FF000000"/>
            <rFont val="Calibri"/>
          </rPr>
          <t>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r>
      </text>
    </comment>
  </commentList>
</comments>
</file>

<file path=xl/comments3.xml><?xml version="1.0" encoding="utf-8"?>
<comments xmlns="http://schemas.openxmlformats.org/spreadsheetml/2006/main">
  <authors>
    <author/>
  </authors>
  <commentList>
    <comment ref="A2" authorId="0" shapeId="0">
      <text>
        <r>
          <rPr>
            <sz val="11"/>
            <color rgb="FF000000"/>
            <rFont val="Calibri"/>
          </rPr>
          <t>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r>
      </text>
    </comment>
    <comment ref="Q3" authorId="0" shapeId="0">
      <text>
        <r>
          <rPr>
            <sz val="11"/>
            <color rgb="FF000000"/>
            <rFont val="Calibri"/>
          </rPr>
          <t xml:space="preserve">Gurcan Gulen:
older prices based on the trendline in NG * WE price chart
</t>
        </r>
      </text>
    </comment>
    <comment ref="A4" authorId="0" shapeId="0">
      <text>
        <r>
          <rPr>
            <sz val="11"/>
            <color rgb="FF000000"/>
            <rFont val="Calibri"/>
          </rPr>
          <t>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r>
      </text>
    </comment>
    <comment ref="V7" authorId="0" shapeId="0">
      <text>
        <r>
          <rPr>
            <sz val="11"/>
            <color rgb="FF000000"/>
            <rFont val="Calibri"/>
          </rPr>
          <t>Gurcan Gulen:
Based on PJM early 2018 auction for 2020/21</t>
        </r>
      </text>
    </comment>
    <comment ref="A16" authorId="0" shapeId="0">
      <text>
        <r>
          <rPr>
            <sz val="11"/>
            <color rgb="FF000000"/>
            <rFont val="Calibri"/>
          </rPr>
          <t>Data from US BEA National Income and Product Accounts (NIPA) Table 1.1.6, downloaded December 3, 2019. 
Last Revised on: November 27, 2019 - Next Release Date December 20, 2019</t>
        </r>
      </text>
    </comment>
    <comment ref="A17" authorId="0" shapeId="0">
      <text>
        <r>
          <rPr>
            <sz val="11"/>
            <color rgb="FF000000"/>
            <rFont val="Calibri"/>
          </rPr>
          <t>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r>
      </text>
    </comment>
    <comment ref="A23" authorId="0" shapeId="0">
      <text>
        <r>
          <rPr>
            <sz val="11"/>
            <color rgb="FF000000"/>
            <rFont val="Calibri"/>
          </rPr>
          <t>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r>
      </text>
    </comment>
    <comment ref="A24" authorId="0" shapeId="0">
      <text>
        <r>
          <rPr>
            <sz val="11"/>
            <color rgb="FF000000"/>
            <rFont val="Calibri"/>
          </rPr>
          <t>2000-2009 data per State population from US Census:
https://www2.census.gov/programs-surveys/popest/tables/2000-2009/state/totals/nst-est2009-01.xls</t>
        </r>
      </text>
    </comment>
  </commentList>
</comments>
</file>

<file path=xl/comments4.xml><?xml version="1.0" encoding="utf-8"?>
<comments xmlns="http://schemas.openxmlformats.org/spreadsheetml/2006/main">
  <authors>
    <author/>
  </authors>
  <commentList>
    <comment ref="A40" authorId="0" shapeId="0">
      <text>
        <r>
          <rPr>
            <sz val="11"/>
            <color rgb="FF000000"/>
            <rFont val="Calibri"/>
          </rPr>
          <t>LDC = local distribution companies (that sell natural gas)</t>
        </r>
      </text>
    </comment>
  </commentList>
</comments>
</file>

<file path=xl/comments5.xml><?xml version="1.0" encoding="utf-8"?>
<comments xmlns="http://schemas.openxmlformats.org/spreadsheetml/2006/main">
  <authors>
    <author/>
  </authors>
  <commentList>
    <comment ref="A2" authorId="0" shapeId="0">
      <text>
        <r>
          <rPr>
            <sz val="11"/>
            <color rgb="FF000000"/>
            <rFont val="Calibri"/>
          </rPr>
          <t>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r>
      </text>
    </comment>
    <comment ref="S8" authorId="0" shapeId="0">
      <text>
        <r>
          <rPr>
            <sz val="11"/>
            <color rgb="FF000000"/>
            <rFont val="Calibri"/>
          </rPr>
          <t>Gurcan Gulen:
Trendline from T retirements chart below</t>
        </r>
      </text>
    </comment>
    <comment ref="A12" authorId="0" shapeId="0">
      <text>
        <r>
          <rPr>
            <sz val="11"/>
            <color rgb="FF000000"/>
            <rFont val="Calibri"/>
          </rPr>
          <t>Gurcan Gulen:
In a presentation to NARUC in Nov 2018, Brattle replaced FERC 1 ERCOT data for 2010-2017 with ERCOT TPIT reports.</t>
        </r>
      </text>
    </comment>
    <comment ref="A13" authorId="0" shapeId="0">
      <text>
        <r>
          <rPr>
            <sz val="11"/>
            <color rgb="FF000000"/>
            <rFont val="Calibri"/>
          </rPr>
          <t>Gurcan Gulen:
2000-2003: See Fig 8 in Appendix of Brattle 2011 report for the Wires Group.
2004-2009: Fig 2 and footnote 1 main body same report.</t>
        </r>
      </text>
    </comment>
    <comment ref="L13" authorId="0" shapeId="0">
      <text>
        <r>
          <rPr>
            <sz val="11"/>
            <color rgb="FF000000"/>
            <rFont val="Calibri"/>
          </rPr>
          <t>Gurcan Gulen:
is it safe to assume 32% through 2050? Coops &amp; munis are here to stay. Some pursue 100% renewables, which may mean more T investment. Merchant T can expand, which push this percentage higher if not the total investment value.</t>
        </r>
      </text>
    </comment>
    <comment ref="L15" authorId="0" shapeId="0">
      <text>
        <r>
          <rPr>
            <sz val="11"/>
            <color rgb="FF000000"/>
            <rFont val="Calibri"/>
          </rPr>
          <t>Gurcan Gulen:
EEI: $11.1B from IOUs and stand-alone T companies</t>
        </r>
      </text>
    </comment>
    <comment ref="A17" authorId="0" shapeId="0">
      <text>
        <r>
          <rPr>
            <sz val="11"/>
            <color rgb="FF000000"/>
            <rFont val="Calibri"/>
          </rPr>
          <t>Gurcan Gulen:
from slide 9 of Brattle 2017 EUCI presentation</t>
        </r>
      </text>
    </comment>
    <comment ref="S18" authorId="0" shapeId="0">
      <text>
        <r>
          <rPr>
            <sz val="11"/>
            <color rgb="FF000000"/>
            <rFont val="Calibri"/>
          </rPr>
          <t>Gurcan Gulen:
Based on the exponential fit to the trend of previous 17 years  (chart below)
NOT USED: would lead to extremely high total T inv</t>
        </r>
      </text>
    </comment>
    <comment ref="A19" authorId="0" shapeId="0">
      <text>
        <r>
          <rPr>
            <sz val="11"/>
            <color rgb="FF000000"/>
            <rFont val="Calibri"/>
          </rPr>
          <t xml:space="preserve">Gurcan Gulen:
From NERC Long-Term Reliability Assessment reports. Percentage of new projects (not built, at least not completely, in that year). </t>
        </r>
      </text>
    </comment>
    <comment ref="P20" authorId="0" shapeId="0">
      <text>
        <r>
          <rPr>
            <sz val="11"/>
            <color rgb="FF000000"/>
            <rFont val="Calibri"/>
          </rPr>
          <t>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r>
      </text>
    </comment>
    <comment ref="P21" authorId="0" shapeId="0">
      <text>
        <r>
          <rPr>
            <sz val="11"/>
            <color rgb="FF000000"/>
            <rFont val="Calibri"/>
          </rPr>
          <t>Gurcan Gulen:
This is attractive because T inv will change with the share of wind &amp; solar in 2050. But, per the comment above, this leads to much lower $ amounts than implied by NERC reporting.</t>
        </r>
      </text>
    </comment>
    <comment ref="K24" authorId="0" shapeId="0">
      <text>
        <r>
          <rPr>
            <sz val="11"/>
            <color rgb="FF000000"/>
            <rFont val="Calibri"/>
          </rPr>
          <t>Gurcan Gulen:
alternative IMPLIED T inv other than upgrades &amp; rens (using NERC % for ren share)
This makes sense that according to NERC, 15-20% is econ &amp; congestion &amp; other (could be upgrade), ~50% for reliability (could be this line)</t>
        </r>
      </text>
    </comment>
    <comment ref="B25" authorId="0" shapeId="0">
      <text>
        <r>
          <rPr>
            <sz val="11"/>
            <color rgb="FF000000"/>
            <rFont val="Calibri"/>
          </rPr>
          <t>Gurcan Gulen:
Fig ES-3 of NREL (2012)</t>
        </r>
      </text>
    </comment>
    <comment ref="C25" authorId="0" shapeId="0">
      <text>
        <r>
          <rPr>
            <sz val="11"/>
            <color rgb="FF000000"/>
            <rFont val="Calibri"/>
          </rPr>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r>
      </text>
    </comment>
    <comment ref="D25" authorId="0" shapeId="0">
      <text>
        <r>
          <rPr>
            <sz val="11"/>
            <color rgb="FF000000"/>
            <rFont val="Calibri"/>
          </rPr>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r>
      </text>
    </comment>
    <comment ref="A26" authorId="0" shapeId="0">
      <text>
        <r>
          <rPr>
            <sz val="11"/>
            <color rgb="FF000000"/>
            <rFont val="Calibri"/>
          </rPr>
          <t>Gurcan Gulen:
The share of hydro and geothermal remain constant across scenarios. NREL assumes the share of biomass to increase from ~1% to ~19%. We don't have biomass. Wind and solar seem to drive T investment. So, we use their % shares. NREL assumes a lot more CSP than PV!</t>
        </r>
      </text>
    </comment>
    <comment ref="A36" authorId="0" shapeId="0">
      <text>
        <r>
          <rPr>
            <sz val="11"/>
            <color rgb="FF000000"/>
            <rFont val="Calibri"/>
          </rPr>
          <t xml:space="preserve">Gurcan Gulen:
All mileage and cost data from ERCOT TPIT files: http://www.ercot.com/content/wcm/key_documents_lists/89026/TPITdocuments_archived__1_.zip </t>
        </r>
      </text>
    </comment>
    <comment ref="A44" authorId="0" shapeId="0">
      <text>
        <r>
          <rPr>
            <sz val="11"/>
            <color rgb="FF000000"/>
            <rFont val="Calibri"/>
          </rPr>
          <t>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r>
      </text>
    </comment>
    <comment ref="T45" authorId="0" shapeId="0">
      <text>
        <r>
          <rPr>
            <sz val="11"/>
            <color rgb="FF000000"/>
            <rFont val="Calibri"/>
          </rPr>
          <t>Gurcan Gulen:
From October 2018 TPIT. Includes completed and planned.</t>
        </r>
      </text>
    </comment>
    <comment ref="U45" authorId="0" shapeId="0">
      <text>
        <r>
          <rPr>
            <sz val="11"/>
            <color rgb="FF000000"/>
            <rFont val="Calibri"/>
          </rPr>
          <t>Gurcan Gulen:
yellow shaded are estimates from October 2018 TPIT</t>
        </r>
      </text>
    </comment>
    <comment ref="A69" authorId="0" shapeId="0">
      <text>
        <r>
          <rPr>
            <sz val="11"/>
            <color rgb="FF000000"/>
            <rFont val="Calibri"/>
          </rPr>
          <t>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r>
      </text>
    </comment>
    <comment ref="M69" authorId="0" shapeId="0">
      <text>
        <r>
          <rPr>
            <sz val="11"/>
            <color rgb="FF000000"/>
            <rFont val="Calibri"/>
          </rPr>
          <t>Gurcan Gulen:
EEI: $19.1B</t>
        </r>
      </text>
    </comment>
    <comment ref="R69" authorId="0" shapeId="0">
      <text>
        <r>
          <rPr>
            <sz val="11"/>
            <color rgb="FF000000"/>
            <rFont val="Calibri"/>
          </rPr>
          <t>Gurcan Gulen:
EEI: $26.9B and &amp;28.8B in 2017 (both nominal)</t>
        </r>
      </text>
    </comment>
    <comment ref="S69" authorId="0" shapeId="0">
      <text>
        <r>
          <rPr>
            <sz val="11"/>
            <color rgb="FF000000"/>
            <rFont val="Calibri"/>
          </rPr>
          <t>Gurcan Gulen:
https://www.eia.gov/todayinenergy/detail.php?id=36675</t>
        </r>
      </text>
    </comment>
    <comment ref="V103" authorId="0" shapeId="0">
      <text>
        <r>
          <rPr>
            <sz val="11"/>
            <color rgb="FF000000"/>
            <rFont val="Calibri"/>
          </rPr>
          <t>Gurcan Gulen:
this is just the new federal tax.  NREL uses (based on EIA) 26% to capture state tax, apparently.</t>
        </r>
      </text>
    </comment>
  </commentList>
</comments>
</file>

<file path=xl/comments6.xml><?xml version="1.0" encoding="utf-8"?>
<comments xmlns="http://schemas.openxmlformats.org/spreadsheetml/2006/main">
  <authors>
    <author/>
  </authors>
  <commentList>
    <comment ref="V345" authorId="0" shapeId="0">
      <text>
        <r>
          <rPr>
            <sz val="11"/>
            <color rgb="FF000000"/>
            <rFont val="Calibri"/>
          </rPr>
          <t>Gurcan Gulen:
this is just the new federal tax.  NREL uses (based on EIA) 26% to capture state tax, apparently.</t>
        </r>
      </text>
    </comment>
  </commentList>
</comments>
</file>

<file path=xl/comments7.xml><?xml version="1.0" encoding="utf-8"?>
<comments xmlns="http://schemas.openxmlformats.org/spreadsheetml/2006/main">
  <authors>
    <author/>
  </authors>
  <commentList>
    <comment ref="V79" authorId="0" shapeId="0">
      <text>
        <r>
          <rPr>
            <sz val="11"/>
            <color rgb="FF000000"/>
            <rFont val="Calibri"/>
          </rPr>
          <t>Gurcan Gulen:
this is just the new federal tax.  NREL uses (based on EIA) 26% to capture state tax, apparently.</t>
        </r>
      </text>
    </comment>
  </commentList>
</comments>
</file>

<file path=xl/comments8.xml><?xml version="1.0" encoding="utf-8"?>
<comments xmlns="http://schemas.openxmlformats.org/spreadsheetml/2006/main">
  <authors>
    <author/>
  </authors>
  <commentList>
    <comment ref="V78" authorId="0" shapeId="0">
      <text>
        <r>
          <rPr>
            <sz val="11"/>
            <color rgb="FF000000"/>
            <rFont val="Calibri"/>
          </rPr>
          <t>Gurcan Gulen:
this is just the new federal tax.  NREL uses (based on EIA) 26% to capture state tax, apparently.</t>
        </r>
      </text>
    </comment>
  </commentList>
</comments>
</file>

<file path=xl/comments9.xml><?xml version="1.0" encoding="utf-8"?>
<comments xmlns="http://schemas.openxmlformats.org/spreadsheetml/2006/main">
  <authors>
    <author/>
  </authors>
  <commentList>
    <comment ref="V1" authorId="0" shapeId="0">
      <text>
        <r>
          <rPr>
            <sz val="11"/>
            <color rgb="FF000000"/>
            <rFont val="Calibri"/>
          </rPr>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r>
      </text>
    </comment>
    <comment ref="V2" authorId="0" shapeId="0">
      <text>
        <r>
          <rPr>
            <sz val="11"/>
            <color rgb="FF000000"/>
            <rFont val="Calibri"/>
          </rPr>
          <t>Gurcan Gulen:
$/kW for a 30% CCS coal plant from AEO 2018 (assuming that no non-CCS coal plant will be built)</t>
        </r>
      </text>
    </comment>
    <comment ref="A3"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4" authorId="0" shapeId="0">
      <text>
        <r>
          <rPr>
            <sz val="11"/>
            <color rgb="FF000000"/>
            <rFont val="Calibri"/>
          </rPr>
          <t>Gurcan Gulen:
For coal, assuming that is all utility-built. These were the shares and rates we used for the FCe dispatch analysis based on Washington State Dept of Rev study.</t>
        </r>
      </text>
    </comment>
    <comment ref="V11" authorId="0" shapeId="0">
      <text>
        <r>
          <rPr>
            <sz val="11"/>
            <color rgb="FF000000"/>
            <rFont val="Calibri"/>
          </rPr>
          <t>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r>
      </text>
    </comment>
    <comment ref="V13" authorId="0" shapeId="0">
      <text>
        <r>
          <rPr>
            <sz val="11"/>
            <color rgb="FF000000"/>
            <rFont val="Calibri"/>
          </rPr>
          <t>Gurcan Gulen:
this assumes a uniform distribution, which should be fine for this exercise. But it can be changed.</t>
        </r>
      </text>
    </comment>
    <comment ref="V14" authorId="0" shapeId="0">
      <text>
        <r>
          <rPr>
            <sz val="11"/>
            <color rgb="FF000000"/>
            <rFont val="Calibri"/>
          </rPr>
          <t xml:space="preserve">Gurcan Gulen:
adjusted to match 2020 coal gen from AEO 2018.  Coal CF fluctuated between 52% in 2018 and 64% in 2011. 
https://www.eia.gov/electricity/monthly/epm_table_grapher.php?t=epmt_6_07_a </t>
        </r>
      </text>
    </comment>
    <comment ref="V17" authorId="0" shapeId="0">
      <text>
        <r>
          <rPr>
            <sz val="11"/>
            <color rgb="FF000000"/>
            <rFont val="Calibri"/>
          </rPr>
          <t>Gurcan Gulen:
AEO 2018 for 30% CCS</t>
        </r>
      </text>
    </comment>
    <comment ref="V18" authorId="0" shapeId="0">
      <text>
        <r>
          <rPr>
            <sz val="11"/>
            <color rgb="FF000000"/>
            <rFont val="Calibri"/>
          </rPr>
          <t>Gurcan Gulen:
AEO 2018 for 30% CCS</t>
        </r>
      </text>
    </comment>
    <comment ref="V19" authorId="0" shapeId="0">
      <text>
        <r>
          <rPr>
            <sz val="11"/>
            <color rgb="FF000000"/>
            <rFont val="Calibri"/>
          </rPr>
          <t>Gurcan Gulen:
based on AEO 2018 FOM &amp; VOM</t>
        </r>
      </text>
    </comment>
    <comment ref="V21" authorId="0" shapeId="0">
      <text>
        <r>
          <rPr>
            <sz val="11"/>
            <color rgb="FF000000"/>
            <rFont val="Calibri"/>
          </rPr>
          <t>Gurcan Gulen:
AEO 2018 assumptions</t>
        </r>
      </text>
    </comment>
    <comment ref="AF21" authorId="0" shapeId="0">
      <text>
        <r>
          <rPr>
            <sz val="11"/>
            <color rgb="FF000000"/>
            <rFont val="Calibri"/>
          </rPr>
          <t xml:space="preserve">Gurcan Gulen:
AEO 2018 nth-of-a-kind cost. </t>
        </r>
      </text>
    </comment>
    <comment ref="V26" authorId="0" shapeId="0">
      <text>
        <r>
          <rPr>
            <sz val="11"/>
            <color rgb="FF000000"/>
            <rFont val="Calibri"/>
          </rPr>
          <t>Gurcan Gulen:
https://www.eia.gov/electricity/annual/html/epa_08_04.html implies about $10.6 O&amp;M in 2016 for steam plants. I started FOM and VOM for a pulverized coal plant from https://www.bv.com/docs/reports-studies/nrel-cost-report.pdf and adjusted them to get to ~$10.6</t>
        </r>
      </text>
    </comment>
    <comment ref="V28" authorId="0" shapeId="0">
      <text>
        <r>
          <rPr>
            <sz val="11"/>
            <color rgb="FF000000"/>
            <rFont val="Calibri"/>
          </rPr>
          <t>Gurcan Gulen:
EIA HR fuel price costs file</t>
        </r>
      </text>
    </comment>
    <comment ref="V30" authorId="0" shapeId="0">
      <text>
        <r>
          <rPr>
            <sz val="11"/>
            <color rgb="FF000000"/>
            <rFont val="Calibri"/>
          </rPr>
          <t>Gurcan Gulen:
Needs to be confirmed.</t>
        </r>
      </text>
    </comment>
    <comment ref="V31" authorId="0" shapeId="0">
      <text>
        <r>
          <rPr>
            <sz val="11"/>
            <color rgb="FF000000"/>
            <rFont val="Calibri"/>
          </rPr>
          <t>Gurcan Gulen:
this is just the new federal tax.  NREL uses (based on EIA) 26% to capture state tax, apparently.</t>
        </r>
      </text>
    </comment>
    <comment ref="A32" authorId="0" shapeId="0">
      <text>
        <r>
          <rPr>
            <sz val="11"/>
            <color rgb="FF000000"/>
            <rFont val="Calibri"/>
          </rPr>
          <t>Gurcan Gulen:
we can refer to 2 FCe subsidy papers. Sticking with tax expenditures may suffice.</t>
        </r>
      </text>
    </comment>
    <comment ref="V33" authorId="0" shapeId="0">
      <text>
        <r>
          <rPr>
            <sz val="11"/>
            <color rgb="FF000000"/>
            <rFont val="Calibri"/>
          </rPr>
          <t>Gurcan Gulen:
capacity-weighted average age of coal retirements since 2002. 52 for 2011-17 but 33 so far in 2018, bringing the avg down to 50 again.</t>
        </r>
      </text>
    </comment>
    <comment ref="V34" authorId="0" shapeId="0">
      <text>
        <r>
          <rPr>
            <sz val="11"/>
            <color rgb="FF000000"/>
            <rFont val="Calibri"/>
          </rPr>
          <t>Gurcan Gulen:
avg age of retirements in 2011. There were plenty that retired older. The max was 77. But, thoseolder plants are really small w an avg cap of 45 MW.</t>
        </r>
      </text>
    </comment>
    <comment ref="V35" authorId="0" shapeId="0">
      <text>
        <r>
          <rPr>
            <sz val="11"/>
            <color rgb="FF000000"/>
            <rFont val="Calibri"/>
          </rPr>
          <t>Gurcan Gulen:
33?</t>
        </r>
      </text>
    </comment>
    <comment ref="V36" authorId="0" shapeId="0">
      <text>
        <r>
          <rPr>
            <sz val="11"/>
            <color rgb="FF000000"/>
            <rFont val="Calibri"/>
          </rPr>
          <t>Gurcan Gulen:
capacity-weighted average age of the existing fleet</t>
        </r>
      </text>
    </comment>
    <comment ref="V37" authorId="0" shapeId="0">
      <text>
        <r>
          <rPr>
            <sz val="11"/>
            <color rgb="FF000000"/>
            <rFont val="Calibri"/>
          </rPr>
          <t>Gurcan Gulen:
Not currently used.</t>
        </r>
      </text>
    </comment>
    <comment ref="A38" authorId="0" shapeId="0">
      <text>
        <r>
          <rPr>
            <sz val="11"/>
            <color rgb="FF000000"/>
            <rFont val="Calibri"/>
          </rPr>
          <t>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r>
      </text>
    </comment>
    <comment ref="V41" authorId="0" shapeId="0">
      <text>
        <r>
          <rPr>
            <sz val="11"/>
            <color rgb="FF000000"/>
            <rFont val="Calibri"/>
          </rPr>
          <t>Gurcan Gulen:
Based on PJM early 2018 auction for 2020/21</t>
        </r>
      </text>
    </comment>
  </commentList>
</comments>
</file>

<file path=xl/comments10.xml><?xml version="1.0" encoding="utf-8"?>
<comments xmlns="http://schemas.openxmlformats.org/spreadsheetml/2006/main">
  <authors>
    <author/>
  </authors>
  <commentList>
    <comment ref="V1" authorId="0" shapeId="0">
      <text>
        <r>
          <rPr>
            <sz val="11"/>
            <color rgb="FF000000"/>
            <rFont val="Calibri"/>
          </rPr>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r>
      </text>
    </comment>
    <comment ref="AA1" authorId="0" shapeId="0">
      <text>
        <r>
          <rPr>
            <sz val="11"/>
            <color rgb="FF000000"/>
            <rFont val="Calibri"/>
          </rPr>
          <t>Gurcan Gulen:
we can do 5-yr increments instead of every yr if desired or computationally necessary.</t>
        </r>
      </text>
    </comment>
    <comment ref="V2" authorId="0" shapeId="0">
      <text>
        <r>
          <rPr>
            <sz val="11"/>
            <color rgb="FF000000"/>
            <rFont val="Calibri"/>
          </rPr>
          <t>Gurcan Gulen:
$/kW for advanced CC and advanced CT from AEO 2018</t>
        </r>
      </text>
    </comment>
    <comment ref="A4"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5" authorId="0" shapeId="0">
      <text>
        <r>
          <rPr>
            <sz val="11"/>
            <color rgb="FF000000"/>
            <rFont val="Calibri"/>
          </rPr>
          <t>Gurcan Gulen:
For NG, assuming that is all merchant-built. These were the shares and rates we used for the FCe dispatch analysis based on Washington State Dept of Rev study.</t>
        </r>
      </text>
    </comment>
    <comment ref="A12" authorId="0" shapeId="0">
      <text>
        <r>
          <rPr>
            <sz val="11"/>
            <color rgb="FF000000"/>
            <rFont val="Calibri"/>
          </rPr>
          <t xml:space="preserve">Gurcan Gulen:
This is necessary to represent the limits of the EPC capabilities. </t>
        </r>
      </text>
    </comment>
    <comment ref="V14" authorId="0" shapeId="0">
      <text>
        <r>
          <rPr>
            <sz val="11"/>
            <color rgb="FF000000"/>
            <rFont val="Calibri"/>
          </rPr>
          <t>Gurcan Gulen:
this assumes a uniform distribution, which should be fine for this exercise. But it can be changed.</t>
        </r>
      </text>
    </comment>
    <comment ref="V23" authorId="0" shapeId="0">
      <text>
        <r>
          <rPr>
            <sz val="11"/>
            <color rgb="FF000000"/>
            <rFont val="Calibri"/>
          </rPr>
          <t>Gurcan Gulen:
AEO 2018 for Adv CC</t>
        </r>
      </text>
    </comment>
    <comment ref="V24" authorId="0" shapeId="0">
      <text>
        <r>
          <rPr>
            <sz val="11"/>
            <color rgb="FF000000"/>
            <rFont val="Calibri"/>
          </rPr>
          <t>Gurcan Gulen:
AEO 2018 for Adv CC</t>
        </r>
      </text>
    </comment>
    <comment ref="V25" authorId="0" shapeId="0">
      <text>
        <r>
          <rPr>
            <sz val="11"/>
            <color rgb="FF000000"/>
            <rFont val="Calibri"/>
          </rPr>
          <t>Gurcan Gulen:
based on AEO 2018 FOM &amp; VOM</t>
        </r>
      </text>
    </comment>
    <comment ref="V28" authorId="0" shapeId="0">
      <text>
        <r>
          <rPr>
            <sz val="11"/>
            <color rgb="FF000000"/>
            <rFont val="Calibri"/>
          </rPr>
          <t>Gurcan Gulen:
based on AEO 2018 FOM &amp; VOM</t>
        </r>
      </text>
    </comment>
    <comment ref="V34" authorId="0" shapeId="0">
      <text>
        <r>
          <rPr>
            <sz val="11"/>
            <color rgb="FF000000"/>
            <rFont val="Calibri"/>
          </rPr>
          <t>Gurcan Gulen:
Needs to be confirmed.</t>
        </r>
      </text>
    </comment>
    <comment ref="A36" authorId="0" shapeId="0">
      <text>
        <r>
          <rPr>
            <sz val="11"/>
            <color rgb="FF000000"/>
            <rFont val="Calibri"/>
          </rPr>
          <t>Gurcan Gulen:
we can refer to 2 FCe subsidy papers. Sticking with tax expenditures may suffice.</t>
        </r>
      </text>
    </comment>
    <comment ref="V37" authorId="0" shapeId="0">
      <text>
        <r>
          <rPr>
            <sz val="11"/>
            <color rgb="FF000000"/>
            <rFont val="Calibri"/>
          </rPr>
          <t>Gurcan Gulen:
capacity-weighted avg of retirements</t>
        </r>
      </text>
    </comment>
    <comment ref="V38" authorId="0" shapeId="0">
      <text>
        <r>
          <rPr>
            <sz val="11"/>
            <color rgb="FF000000"/>
            <rFont val="Calibri"/>
          </rPr>
          <t>Gurcan Gulen:
max of cap-weighted avg (2014)</t>
        </r>
      </text>
    </comment>
    <comment ref="V39" authorId="0" shapeId="0">
      <text>
        <r>
          <rPr>
            <sz val="11"/>
            <color rgb="FF000000"/>
            <rFont val="Calibri"/>
          </rPr>
          <t>Gurcan Gulen:
min of cap-weighted (2006)</t>
        </r>
      </text>
    </comment>
    <comment ref="V40" authorId="0" shapeId="0">
      <text>
        <r>
          <rPr>
            <sz val="11"/>
            <color rgb="FF000000"/>
            <rFont val="Calibri"/>
          </rPr>
          <t>Gurcan Gulen:
cap-weighted avg age of operatng fleet</t>
        </r>
      </text>
    </comment>
    <comment ref="V41" authorId="0" shapeId="0">
      <text>
        <r>
          <rPr>
            <sz val="11"/>
            <color rgb="FF000000"/>
            <rFont val="Calibri"/>
          </rPr>
          <t>Gurcan Gulen:
capacity-weighted avg of retirements</t>
        </r>
      </text>
    </comment>
    <comment ref="V42" authorId="0" shapeId="0">
      <text>
        <r>
          <rPr>
            <sz val="11"/>
            <color rgb="FF000000"/>
            <rFont val="Calibri"/>
          </rPr>
          <t>Gurcan Gulen:
max of cap-weighted avg (2014)</t>
        </r>
      </text>
    </comment>
    <comment ref="V43" authorId="0" shapeId="0">
      <text>
        <r>
          <rPr>
            <sz val="11"/>
            <color rgb="FF000000"/>
            <rFont val="Calibri"/>
          </rPr>
          <t>Gurcan Gulen:
min of cap-weighted (2006)</t>
        </r>
      </text>
    </comment>
    <comment ref="V44" authorId="0" shapeId="0">
      <text>
        <r>
          <rPr>
            <sz val="11"/>
            <color rgb="FF000000"/>
            <rFont val="Calibri"/>
          </rPr>
          <t>Gurcan Gulen:
cap-weighted avg age of operatng fleet</t>
        </r>
      </text>
    </comment>
    <comment ref="V49" authorId="0" shapeId="0">
      <text>
        <r>
          <rPr>
            <sz val="11"/>
            <color rgb="FF000000"/>
            <rFont val="Calibri"/>
          </rPr>
          <t>Gurcan Gulen:
Based on PJM early 2018 auction for 2020/21</t>
        </r>
      </text>
    </comment>
    <comment ref="T52" authorId="0" shapeId="0">
      <text>
        <r>
          <rPr>
            <sz val="11"/>
            <color rgb="FF000000"/>
            <rFont val="Calibri"/>
          </rPr>
          <t>Gurcan Gulen:
from https://www.eia.gov/dnav/ng/hist/n3045us3M.htm (2018 is avg through August + $0.25 given the high NG prices since Oct)</t>
        </r>
      </text>
    </comment>
  </commentList>
</comments>
</file>

<file path=xl/comments11.xml><?xml version="1.0" encoding="utf-8"?>
<comments xmlns="http://schemas.openxmlformats.org/spreadsheetml/2006/main">
  <authors>
    <author/>
  </authors>
  <commentList>
    <comment ref="AA1" authorId="0" shapeId="0">
      <text>
        <r>
          <rPr>
            <sz val="11"/>
            <color rgb="FF000000"/>
            <rFont val="Calibri"/>
          </rPr>
          <t>Gurcan Gulen:
we can do 5-yr increments instead of every yr if desired or computationally necessary.</t>
        </r>
      </text>
    </comment>
    <comment ref="V2" authorId="0" shapeId="0">
      <text>
        <r>
          <rPr>
            <sz val="11"/>
            <color rgb="FF000000"/>
            <rFont val="Calibri"/>
          </rPr>
          <t>Gurcan Gulen:
$/kW  from AEO 2018</t>
        </r>
      </text>
    </comment>
    <comment ref="A4"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A15" authorId="0" shapeId="0">
      <text>
        <r>
          <rPr>
            <sz val="11"/>
            <color rgb="FF000000"/>
            <rFont val="Calibri"/>
          </rPr>
          <t>Gurcan Gulen:
NREL uses 3 years for both but annual distirbutions are different: 80-10-10 for onshore, 40-40-20 for offshore. May be reasonable to use 2 yrs for onshore, 3 yrs for offshore.</t>
        </r>
      </text>
    </comment>
    <comment ref="V17" authorId="0" shapeId="0">
      <text>
        <r>
          <rPr>
            <sz val="11"/>
            <color rgb="FF000000"/>
            <rFont val="Calibri"/>
          </rPr>
          <t>Gurcan Gulen:
this assumes a uniform distribution, which should be fine for this exercise. But it can be changed.</t>
        </r>
      </text>
    </comment>
    <comment ref="V21" authorId="0" shapeId="0">
      <text>
        <r>
          <rPr>
            <sz val="11"/>
            <color rgb="FF000000"/>
            <rFont val="Calibri"/>
          </rPr>
          <t>Gurcan Gulen:
AEO 2018 for Adv CC</t>
        </r>
      </text>
    </comment>
    <comment ref="V22" authorId="0" shapeId="0">
      <text>
        <r>
          <rPr>
            <sz val="11"/>
            <color rgb="FF000000"/>
            <rFont val="Calibri"/>
          </rPr>
          <t>Gurcan Gulen:
AEO 2018 for Adv CC</t>
        </r>
      </text>
    </comment>
    <comment ref="A25" authorId="0" shapeId="0">
      <text>
        <r>
          <rPr>
            <sz val="11"/>
            <color rgb="FF000000"/>
            <rFont val="Calibri"/>
          </rPr>
          <t>Gurcan Gulen:
we can refer to 2 FCe subsidy papers. Sticking with tax expenditures may suffice.</t>
        </r>
      </text>
    </comment>
    <comment ref="W25" authorId="0" shapeId="0">
      <text>
        <r>
          <rPr>
            <sz val="11"/>
            <color rgb="FF000000"/>
            <rFont val="Calibri"/>
          </rPr>
          <t>Gurcan Gulen:
Assuming PTC expires, these should only apply to generation from wind farms built before 2020.</t>
        </r>
      </text>
    </comment>
    <comment ref="V26" authorId="0" shapeId="0">
      <text>
        <r>
          <rPr>
            <sz val="11"/>
            <color rgb="FF000000"/>
            <rFont val="Calibri"/>
          </rPr>
          <t>Gurcan Gulen:
capacity-weighted avg of retirements</t>
        </r>
      </text>
    </comment>
    <comment ref="V27" authorId="0" shapeId="0">
      <text>
        <r>
          <rPr>
            <sz val="11"/>
            <color rgb="FF000000"/>
            <rFont val="Calibri"/>
          </rPr>
          <t>Gurcan Gulen:
max of cap-weighted avg (2014)</t>
        </r>
      </text>
    </comment>
    <comment ref="V28" authorId="0" shapeId="0">
      <text>
        <r>
          <rPr>
            <sz val="11"/>
            <color rgb="FF000000"/>
            <rFont val="Calibri"/>
          </rPr>
          <t>Gurcan Gulen:
min of cap-weighted (2006)</t>
        </r>
      </text>
    </comment>
    <comment ref="V29" authorId="0" shapeId="0">
      <text>
        <r>
          <rPr>
            <sz val="11"/>
            <color rgb="FF000000"/>
            <rFont val="Calibri"/>
          </rPr>
          <t>Gurcan Gulen:
cap-weighted avg age of operatng fleet</t>
        </r>
      </text>
    </comment>
    <comment ref="V34" authorId="0" shapeId="0">
      <text>
        <r>
          <rPr>
            <sz val="11"/>
            <color rgb="FF000000"/>
            <rFont val="Calibri"/>
          </rPr>
          <t>Gurcan Gulen:
Based on PJM early 2018 auction for 2020/21</t>
        </r>
      </text>
    </comment>
  </commentList>
</comments>
</file>

<file path=xl/comments12.xml><?xml version="1.0" encoding="utf-8"?>
<comments xmlns="http://schemas.openxmlformats.org/spreadsheetml/2006/main">
  <authors>
    <author/>
  </authors>
  <commentList>
    <comment ref="AA1" authorId="0" shapeId="0">
      <text>
        <r>
          <rPr>
            <sz val="11"/>
            <color rgb="FF000000"/>
            <rFont val="Calibri"/>
          </rPr>
          <t>Gurcan Gulen:
we can do 5-yr increments instead of every yr if desired or computationally necessary.</t>
        </r>
      </text>
    </comment>
    <comment ref="V2" authorId="0" shapeId="0">
      <text>
        <r>
          <rPr>
            <sz val="11"/>
            <color rgb="FF000000"/>
            <rFont val="Calibri"/>
          </rPr>
          <t>Gurcan Gulen:
$/kW for utility-scale PV w tracking AEO 2018</t>
        </r>
      </text>
    </comment>
    <comment ref="V3" authorId="0" shapeId="0">
      <text>
        <r>
          <rPr>
            <sz val="11"/>
            <color rgb="FF000000"/>
            <rFont val="Calibri"/>
          </rPr>
          <t>Gurcan Gulen:
AEO18 doesn't have cost estimates for DER. This is a rough average of NREL ATB assumptions for community and residential solar.</t>
        </r>
      </text>
    </comment>
    <comment ref="A4"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13" authorId="0" shapeId="0">
      <text>
        <r>
          <rPr>
            <sz val="11"/>
            <color rgb="FF000000"/>
            <rFont val="Calibri"/>
          </rPr>
          <t>Gurcan Gulen:
since we include DER PV, I more than doubled the max utility build-out per year of 8,000 MW.</t>
        </r>
      </text>
    </comment>
    <comment ref="V17" authorId="0" shapeId="0">
      <text>
        <r>
          <rPr>
            <sz val="11"/>
            <color rgb="FF000000"/>
            <rFont val="Calibri"/>
          </rPr>
          <t>Gurcan Gulen:
this assumes a uniform distribution, which should be fine for this exercise. But it can be changed.</t>
        </r>
      </text>
    </comment>
    <comment ref="V18" authorId="0" shapeId="0">
      <text>
        <r>
          <rPr>
            <sz val="11"/>
            <color rgb="FF000000"/>
            <rFont val="Calibri"/>
          </rPr>
          <t>Gurcan Gulen:
AEO 2018 Ref Case capacity shares</t>
        </r>
      </text>
    </comment>
    <comment ref="V20" authorId="0" shapeId="0">
      <text>
        <r>
          <rPr>
            <sz val="11"/>
            <color rgb="FF000000"/>
            <rFont val="Calibri"/>
          </rPr>
          <t>Gurcan Gulen:
AEO 2018 Ref Case generation</t>
        </r>
      </text>
    </comment>
    <comment ref="V22" authorId="0" shapeId="0">
      <text>
        <r>
          <rPr>
            <sz val="11"/>
            <color rgb="FF000000"/>
            <rFont val="Calibri"/>
          </rPr>
          <t>Gurcan Gulen:
AEO 2018 Ref Case generation</t>
        </r>
      </text>
    </comment>
    <comment ref="V25" authorId="0" shapeId="0">
      <text>
        <r>
          <rPr>
            <sz val="11"/>
            <color rgb="FF000000"/>
            <rFont val="Calibri"/>
          </rPr>
          <t xml:space="preserve">Gurcan Gulen:
AEO 2018
</t>
        </r>
      </text>
    </comment>
    <comment ref="V26" authorId="0" shapeId="0">
      <text>
        <r>
          <rPr>
            <sz val="11"/>
            <color rgb="FF000000"/>
            <rFont val="Calibri"/>
          </rPr>
          <t>Gurcan Gulen:
NREL ATB avg of community and residential solar</t>
        </r>
      </text>
    </comment>
    <comment ref="A29" authorId="0" shapeId="0">
      <text>
        <r>
          <rPr>
            <sz val="11"/>
            <color rgb="FF000000"/>
            <rFont val="Calibri"/>
          </rPr>
          <t>Gurcan Gulen:
we can refer to 2 FCe subsidy papers. Sticking with tax expenditures may suffice.</t>
        </r>
      </text>
    </comment>
    <comment ref="W29" authorId="0" shapeId="0">
      <text>
        <r>
          <rPr>
            <sz val="11"/>
            <color rgb="FF000000"/>
            <rFont val="Calibri"/>
          </rPr>
          <t>Gurcan Gulen:
Assuming ITC is reduced to 10% from 30% after 2022, these levels should apply to capacity built between 2016-22 and another level should be used for future capacities.</t>
        </r>
      </text>
    </comment>
    <comment ref="V30" authorId="0" shapeId="0">
      <text>
        <r>
          <rPr>
            <sz val="11"/>
            <color rgb="FF000000"/>
            <rFont val="Calibri"/>
          </rPr>
          <t>Gurcan Gulen:
capacity-weighted avg of retirements</t>
        </r>
      </text>
    </comment>
    <comment ref="V31" authorId="0" shapeId="0">
      <text>
        <r>
          <rPr>
            <sz val="11"/>
            <color rgb="FF000000"/>
            <rFont val="Calibri"/>
          </rPr>
          <t>Gurcan Gulen:
max of cap-weighted avg (2014)</t>
        </r>
      </text>
    </comment>
    <comment ref="V32" authorId="0" shapeId="0">
      <text>
        <r>
          <rPr>
            <sz val="11"/>
            <color rgb="FF000000"/>
            <rFont val="Calibri"/>
          </rPr>
          <t>Gurcan Gulen:
min of cap-weighted (2006)</t>
        </r>
      </text>
    </comment>
    <comment ref="V33" authorId="0" shapeId="0">
      <text>
        <r>
          <rPr>
            <sz val="11"/>
            <color rgb="FF000000"/>
            <rFont val="Calibri"/>
          </rPr>
          <t>Gurcan Gulen:
cap-weighted avg age of operatng fleet</t>
        </r>
      </text>
    </comment>
    <comment ref="V37" authorId="0" shapeId="0">
      <text>
        <r>
          <rPr>
            <sz val="11"/>
            <color rgb="FF000000"/>
            <rFont val="Calibri"/>
          </rPr>
          <t>Gurcan Gulen:
all DER PV lifetimes are guesstimates.</t>
        </r>
      </text>
    </comment>
    <comment ref="V42" authorId="0" shapeId="0">
      <text>
        <r>
          <rPr>
            <sz val="11"/>
            <color rgb="FF000000"/>
            <rFont val="Calibri"/>
          </rPr>
          <t>Gurcan Gulen:
Based on PJM early 2018 auction for 2020/21</t>
        </r>
      </text>
    </comment>
  </commentList>
</comments>
</file>

<file path=xl/comments13.xml><?xml version="1.0" encoding="utf-8"?>
<comments xmlns="http://schemas.openxmlformats.org/spreadsheetml/2006/main">
  <authors>
    <author/>
  </authors>
  <commentList>
    <comment ref="V1" authorId="0" shapeId="0">
      <text>
        <r>
          <rPr>
            <sz val="11"/>
            <color rgb="FF000000"/>
            <rFont val="Calibri"/>
          </rPr>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r>
      </text>
    </comment>
    <comment ref="A3"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13" authorId="0" shapeId="0">
      <text>
        <r>
          <rPr>
            <sz val="11"/>
            <color rgb="FF000000"/>
            <rFont val="Calibri"/>
          </rPr>
          <t>Gurcan Gulen:
this assumes a uniform distribution, which should be fine for this exercise. But it can be changed.</t>
        </r>
      </text>
    </comment>
    <comment ref="V17" authorId="0" shapeId="0">
      <text>
        <r>
          <rPr>
            <sz val="11"/>
            <color rgb="FF000000"/>
            <rFont val="Calibri"/>
          </rPr>
          <t>Gurcan Gulen:
AEO 2018 for 30% CCS</t>
        </r>
      </text>
    </comment>
    <comment ref="V18" authorId="0" shapeId="0">
      <text>
        <r>
          <rPr>
            <sz val="11"/>
            <color rgb="FF000000"/>
            <rFont val="Calibri"/>
          </rPr>
          <t>Gurcan Gulen:
AEO 2018 for 30% CCS</t>
        </r>
      </text>
    </comment>
    <comment ref="A19" authorId="0" shapeId="0">
      <text>
        <r>
          <rPr>
            <sz val="11"/>
            <color rgb="FF000000"/>
            <rFont val="Calibri"/>
          </rPr>
          <t>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r>
      </text>
    </comment>
    <comment ref="S19" authorId="0" shapeId="0">
      <text>
        <r>
          <rPr>
            <sz val="11"/>
            <color rgb="FF000000"/>
            <rFont val="Calibri"/>
          </rPr>
          <t>Gurcan Gulen:
red values for 2017 are from p 3 Table (real $2017) of NEI nuclear costs in context Oct 2018 rpt</t>
        </r>
      </text>
    </comment>
    <comment ref="V20" authorId="0" shapeId="0">
      <text>
        <r>
          <rPr>
            <sz val="11"/>
            <color rgb="FF000000"/>
            <rFont val="Calibri"/>
          </rPr>
          <t>Gurcan Gulen:
calculated based on p3 Table of the NEI report on nuclear costs (Oct 10) real 2017$</t>
        </r>
      </text>
    </comment>
    <comment ref="V22" authorId="0" shapeId="0">
      <text>
        <r>
          <rPr>
            <sz val="11"/>
            <color rgb="FF000000"/>
            <rFont val="Calibri"/>
          </rPr>
          <t>Gurcan Gulen:
calculated based on p3 Table of the NEI report on nuclear costs (Oct 10) real 2017$</t>
        </r>
      </text>
    </comment>
    <comment ref="AB22" authorId="0" shapeId="0">
      <text>
        <r>
          <rPr>
            <sz val="11"/>
            <color rgb="FF000000"/>
            <rFont val="Calibri"/>
          </rPr>
          <t>Gurcan Gulen:
4.28% probably unique to 2010s.  By 2025, license expirations will likely reduce the incentive to manage costs. Also, there is probably a limit to how much more they can improve. So, I set it euqal to BLS PPI starting 2026.</t>
        </r>
      </text>
    </comment>
    <comment ref="V23" authorId="0" shapeId="0">
      <text>
        <r>
          <rPr>
            <sz val="11"/>
            <color rgb="FF000000"/>
            <rFont val="Calibri"/>
          </rPr>
          <t>Gurcan Gulen:
AEO 2018 assumptions</t>
        </r>
      </text>
    </comment>
    <comment ref="AF23" authorId="0" shapeId="0">
      <text>
        <r>
          <rPr>
            <sz val="11"/>
            <color rgb="FF000000"/>
            <rFont val="Calibri"/>
          </rPr>
          <t xml:space="preserve">Gurcan Gulen:
AEO 2018 nth-of-a-kind cost. </t>
        </r>
      </text>
    </comment>
    <comment ref="V25" authorId="0" shapeId="0">
      <text>
        <r>
          <rPr>
            <sz val="11"/>
            <color rgb="FF000000"/>
            <rFont val="Calibri"/>
          </rPr>
          <t>Gurcan Gulen:
calculated based on p3 Table of the NEI report on nuclear costs (Oct 10) real 2017$</t>
        </r>
      </text>
    </comment>
    <comment ref="V27" authorId="0" shapeId="0">
      <text>
        <r>
          <rPr>
            <sz val="11"/>
            <color rgb="FF000000"/>
            <rFont val="Calibri"/>
          </rPr>
          <t>Gurcan Gulen:
this is just the new federal tax.  NREL uses (based on EIA) 26% to capture state tax, apparently.</t>
        </r>
      </text>
    </comment>
    <comment ref="A28" authorId="0" shapeId="0">
      <text>
        <r>
          <rPr>
            <sz val="11"/>
            <color rgb="FF000000"/>
            <rFont val="Calibri"/>
          </rPr>
          <t>Gurcan Gulen:
we can refer to 2 FCe subsidy papers. Sticking with tax expenditures may suffice.</t>
        </r>
      </text>
    </comment>
    <comment ref="V29" authorId="0" shapeId="0">
      <text>
        <r>
          <rPr>
            <sz val="11"/>
            <color rgb="FF000000"/>
            <rFont val="Calibri"/>
          </rPr>
          <t>Gurcan Gulen:
capacity-weighted average age of nuke retirements in recent yrs</t>
        </r>
      </text>
    </comment>
    <comment ref="V30" authorId="0" shapeId="0">
      <text>
        <r>
          <rPr>
            <sz val="11"/>
            <color rgb="FF000000"/>
            <rFont val="Calibri"/>
          </rPr>
          <t>Gurcan Gulen:
most plants have 60-year licenses; almost all 40-yr licensees either applied or expected to apply for an extension. But, rcent retirements averaged 43 yrs.</t>
        </r>
      </text>
    </comment>
    <comment ref="V31" authorId="0" shapeId="0">
      <text>
        <r>
          <rPr>
            <sz val="11"/>
            <color rgb="FF000000"/>
            <rFont val="Calibri"/>
          </rPr>
          <t>Gurcan Gulen:
33?</t>
        </r>
      </text>
    </comment>
    <comment ref="V32" authorId="0" shapeId="0">
      <text>
        <r>
          <rPr>
            <sz val="11"/>
            <color rgb="FF000000"/>
            <rFont val="Calibri"/>
          </rPr>
          <t>Gurcan Gulen:
capacity-weighted average age of the existing fleet</t>
        </r>
      </text>
    </comment>
    <comment ref="A34" authorId="0" shapeId="0">
      <text>
        <r>
          <rPr>
            <sz val="11"/>
            <color rgb="FF000000"/>
            <rFont val="Calibri"/>
          </rPr>
          <t>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r>
      </text>
    </comment>
    <comment ref="V37" authorId="0" shapeId="0">
      <text>
        <r>
          <rPr>
            <sz val="11"/>
            <color rgb="FF000000"/>
            <rFont val="Calibri"/>
          </rPr>
          <t>Gurcan Gulen:
Based on PJM early 2018 auction for 2020/21</t>
        </r>
      </text>
    </comment>
    <comment ref="A44" authorId="0" shapeId="0">
      <text>
        <r>
          <rPr>
            <sz val="11"/>
            <color rgb="FF000000"/>
            <rFont val="Calibri"/>
          </rPr>
          <t>Gurcan Gulen:
2000 MW will retire in 2021 and anothr 2200 in 2025.  Using 60 yrs as criteria, they don't retire until later.</t>
        </r>
      </text>
    </comment>
  </commentList>
</comments>
</file>

<file path=xl/comments14.xml><?xml version="1.0" encoding="utf-8"?>
<comments xmlns="http://schemas.openxmlformats.org/spreadsheetml/2006/main">
  <authors>
    <author/>
  </authors>
  <commentList>
    <comment ref="V1" authorId="0" shapeId="0">
      <text>
        <r>
          <rPr>
            <sz val="11"/>
            <color rgb="FF000000"/>
            <rFont val="Calibri"/>
          </rPr>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r>
      </text>
    </comment>
    <comment ref="A3"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13" authorId="0" shapeId="0">
      <text>
        <r>
          <rPr>
            <sz val="11"/>
            <color rgb="FF000000"/>
            <rFont val="Calibri"/>
          </rPr>
          <t>Gurcan Gulen:
this assumes a uniform distribution, which should be fine for this exercise. But it can be changed.</t>
        </r>
      </text>
    </comment>
    <comment ref="V14" authorId="0" shapeId="0">
      <text>
        <r>
          <rPr>
            <sz val="11"/>
            <color rgb="FF000000"/>
            <rFont val="Calibri"/>
          </rPr>
          <t xml:space="preserve">Gurcan Gulen:
adjusted to match 2020 coal gen from AEO 2018.  Coal CF fluctuated between 52% in 2018 and 64% in 2011. 
https://www.eia.gov/electricity/monthly/epm_table_grapher.php?t=epmt_6_07_a </t>
        </r>
      </text>
    </comment>
    <comment ref="V17" authorId="0" shapeId="0">
      <text>
        <r>
          <rPr>
            <sz val="11"/>
            <color rgb="FF000000"/>
            <rFont val="Calibri"/>
          </rPr>
          <t>Gurcan Gulen:
AEO 2018 for 30% CCS</t>
        </r>
      </text>
    </comment>
    <comment ref="V18" authorId="0" shapeId="0">
      <text>
        <r>
          <rPr>
            <sz val="11"/>
            <color rgb="FF000000"/>
            <rFont val="Calibri"/>
          </rPr>
          <t>Gurcan Gulen:
AEO 2018 for 30% CCS</t>
        </r>
      </text>
    </comment>
    <comment ref="A19" authorId="0" shapeId="0">
      <text>
        <r>
          <rPr>
            <sz val="11"/>
            <color rgb="FF000000"/>
            <rFont val="Calibri"/>
          </rPr>
          <t>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r>
      </text>
    </comment>
    <comment ref="V19" authorId="0" shapeId="0">
      <text>
        <r>
          <rPr>
            <sz val="11"/>
            <color rgb="FF000000"/>
            <rFont val="Calibri"/>
          </rPr>
          <t>Gurcan Gulen:
based on AEO 2018 FOM &amp; VOM</t>
        </r>
      </text>
    </comment>
    <comment ref="V22" authorId="0" shapeId="0">
      <text>
        <r>
          <rPr>
            <sz val="11"/>
            <color rgb="FF000000"/>
            <rFont val="Calibri"/>
          </rPr>
          <t>Gurcan Gulen:
this is just the new federal tax.  NREL uses (based on EIA) 26% to capture state tax, apparently.</t>
        </r>
      </text>
    </comment>
    <comment ref="A23" authorId="0" shapeId="0">
      <text>
        <r>
          <rPr>
            <sz val="11"/>
            <color rgb="FF000000"/>
            <rFont val="Calibri"/>
          </rPr>
          <t>Gurcan Gulen:
we can refer to 2 FCe subsidy papers. Sticking with tax expenditures may suffice.</t>
        </r>
      </text>
    </comment>
    <comment ref="V27" authorId="0" shapeId="0">
      <text>
        <r>
          <rPr>
            <sz val="11"/>
            <color rgb="FF000000"/>
            <rFont val="Calibri"/>
          </rPr>
          <t>Gurcan Gulen:
capacity-weighted average age of the existing fleet</t>
        </r>
      </text>
    </comment>
    <comment ref="A29" authorId="0" shapeId="0">
      <text>
        <r>
          <rPr>
            <sz val="11"/>
            <color rgb="FF000000"/>
            <rFont val="Calibri"/>
          </rPr>
          <t>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r>
      </text>
    </comment>
    <comment ref="V32" authorId="0" shapeId="0">
      <text>
        <r>
          <rPr>
            <sz val="11"/>
            <color rgb="FF000000"/>
            <rFont val="Calibri"/>
          </rPr>
          <t>Gurcan Gulen:
Based on PJM early 2018 auction for 2020/21</t>
        </r>
      </text>
    </comment>
    <comment ref="V33" authorId="0" shapeId="0">
      <text>
        <r>
          <rPr>
            <sz val="11"/>
            <color rgb="FF000000"/>
            <rFont val="Calibri"/>
          </rPr>
          <t>Gurcan Gulen:
assuming  pumped hydro does NOT get capacity credit. Otherwise, ~39% is more reasonable.</t>
        </r>
      </text>
    </comment>
    <comment ref="A36" authorId="0" shapeId="0">
      <text>
        <r>
          <rPr>
            <sz val="11"/>
            <color rgb="FF000000"/>
            <rFont val="Calibri"/>
          </rPr>
          <t>Gurcan Gulen:
2000 MW will retire in 2021 and anothr 2200 in 2025.  Using 60 yrs as criteria, they don't retire until later.</t>
        </r>
      </text>
    </comment>
  </commentList>
</comments>
</file>

<file path=xl/comments15.xml><?xml version="1.0" encoding="utf-8"?>
<comments xmlns="http://schemas.openxmlformats.org/spreadsheetml/2006/main">
  <authors>
    <author/>
  </authors>
  <commentList>
    <comment ref="V1" authorId="0" shapeId="0">
      <text>
        <r>
          <rPr>
            <sz val="11"/>
            <color rgb="FF000000"/>
            <rFont val="Calibri"/>
          </rPr>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r>
      </text>
    </comment>
    <comment ref="A3"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13" authorId="0" shapeId="0">
      <text>
        <r>
          <rPr>
            <sz val="11"/>
            <color rgb="FF000000"/>
            <rFont val="Calibri"/>
          </rPr>
          <t>Gurcan Gulen:
this assumes a uniform distribution, which should be fine for this exercise. But it can be changed.</t>
        </r>
      </text>
    </comment>
    <comment ref="V14" authorId="0" shapeId="0">
      <text>
        <r>
          <rPr>
            <sz val="11"/>
            <color rgb="FF000000"/>
            <rFont val="Calibri"/>
          </rPr>
          <t>Gurcan Gulen:
from AEO 2018: average of 2016-2020. But AEO 2018 allows for 89% utilization in future years, which is used in Max next cell down.</t>
        </r>
      </text>
    </comment>
    <comment ref="A19" authorId="0" shapeId="0">
      <text>
        <r>
          <rPr>
            <sz val="11"/>
            <color rgb="FF000000"/>
            <rFont val="Calibri"/>
          </rPr>
          <t>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r>
      </text>
    </comment>
    <comment ref="V22" authorId="0" shapeId="0">
      <text>
        <r>
          <rPr>
            <sz val="11"/>
            <color rgb="FF000000"/>
            <rFont val="Calibri"/>
          </rPr>
          <t>Gurcan Gulen:
this is just the new federal tax.  NREL uses (based on EIA) 26% to capture state tax, apparently.</t>
        </r>
      </text>
    </comment>
    <comment ref="A23" authorId="0" shapeId="0">
      <text>
        <r>
          <rPr>
            <sz val="11"/>
            <color rgb="FF000000"/>
            <rFont val="Calibri"/>
          </rPr>
          <t>Gurcan Gulen:
we can refer to 2 FCe subsidy papers. Sticking with tax expenditures may suffice.</t>
        </r>
      </text>
    </comment>
    <comment ref="V27" authorId="0" shapeId="0">
      <text>
        <r>
          <rPr>
            <sz val="11"/>
            <color rgb="FF000000"/>
            <rFont val="Calibri"/>
          </rPr>
          <t>Gurcan Gulen:
capacity-weighted average age of the existing fleet</t>
        </r>
      </text>
    </comment>
    <comment ref="A29" authorId="0" shapeId="0">
      <text>
        <r>
          <rPr>
            <sz val="11"/>
            <color rgb="FF000000"/>
            <rFont val="Calibri"/>
          </rPr>
          <t>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r>
      </text>
    </comment>
    <comment ref="V32" authorId="0" shapeId="0">
      <text>
        <r>
          <rPr>
            <sz val="11"/>
            <color rgb="FF000000"/>
            <rFont val="Calibri"/>
          </rPr>
          <t>Gurcan Gulen:
Based on PJM early 2018 auction for 2020/21</t>
        </r>
      </text>
    </comment>
    <comment ref="A36" authorId="0" shapeId="0">
      <text>
        <r>
          <rPr>
            <sz val="11"/>
            <color rgb="FF000000"/>
            <rFont val="Calibri"/>
          </rPr>
          <t>Gurcan Gulen:
2000 MW will retire in 2021 and anothr 2200 in 2025.  Using 60 yrs as criteria, they don't retire until later.</t>
        </r>
      </text>
    </comment>
  </commentList>
</comments>
</file>

<file path=xl/comments16.xml><?xml version="1.0" encoding="utf-8"?>
<comments xmlns="http://schemas.openxmlformats.org/spreadsheetml/2006/main">
  <authors>
    <author/>
  </authors>
  <commentList>
    <comment ref="A3"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13" authorId="0" shapeId="0">
      <text>
        <r>
          <rPr>
            <sz val="11"/>
            <color rgb="FF000000"/>
            <rFont val="Calibri"/>
          </rPr>
          <t>Gurcan Gulen:
this assumes a uniform distribution, which should be fine for this exercise. But it can be changed.</t>
        </r>
      </text>
    </comment>
    <comment ref="V14" authorId="0" shapeId="0">
      <text>
        <r>
          <rPr>
            <sz val="11"/>
            <color rgb="FF000000"/>
            <rFont val="Calibri"/>
          </rPr>
          <t>Gurcan Gulen:
from AEO 2018: average of 2016-2020. But AEO 2018 allows for 73% utilization in future years, which is used in Max next cell down.</t>
        </r>
      </text>
    </comment>
    <comment ref="V22" authorId="0" shapeId="0">
      <text>
        <r>
          <rPr>
            <sz val="11"/>
            <color rgb="FF000000"/>
            <rFont val="Calibri"/>
          </rPr>
          <t>Gurcan Gulen:
this is just the new federal tax.  NREL uses (based on EIA) 26% to capture state tax, apparently.</t>
        </r>
      </text>
    </comment>
    <comment ref="A23" authorId="0" shapeId="0">
      <text>
        <r>
          <rPr>
            <sz val="11"/>
            <color rgb="FF000000"/>
            <rFont val="Calibri"/>
          </rPr>
          <t>Gurcan Gulen:
we can refer to 2 FCe subsidy papers. Sticking with tax expenditures may suffice.</t>
        </r>
      </text>
    </comment>
    <comment ref="V27" authorId="0" shapeId="0">
      <text>
        <r>
          <rPr>
            <sz val="11"/>
            <color rgb="FF000000"/>
            <rFont val="Calibri"/>
          </rPr>
          <t>Gurcan Gulen:
capacity-weighted average age of the existing fleet</t>
        </r>
      </text>
    </comment>
    <comment ref="A29" authorId="0" shapeId="0">
      <text>
        <r>
          <rPr>
            <sz val="11"/>
            <color rgb="FF000000"/>
            <rFont val="Calibri"/>
          </rPr>
          <t>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r>
      </text>
    </comment>
    <comment ref="V32" authorId="0" shapeId="0">
      <text>
        <r>
          <rPr>
            <sz val="11"/>
            <color rgb="FF000000"/>
            <rFont val="Calibri"/>
          </rPr>
          <t>Gurcan Gulen:
Based on PJM early 2018 auction for 2020/21</t>
        </r>
      </text>
    </comment>
    <comment ref="A36" authorId="0" shapeId="0">
      <text>
        <r>
          <rPr>
            <sz val="11"/>
            <color rgb="FF000000"/>
            <rFont val="Calibri"/>
          </rPr>
          <t>Gurcan Gulen:
2000 MW will retire in 2021 and anothr 2200 in 2025.  Using 60 yrs as criteria, they don't retire until later.</t>
        </r>
      </text>
    </comment>
  </commentList>
</comments>
</file>

<file path=xl/comments17.xml><?xml version="1.0" encoding="utf-8"?>
<comments xmlns="http://schemas.openxmlformats.org/spreadsheetml/2006/main">
  <authors>
    <author/>
  </authors>
  <commentList>
    <comment ref="A3"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13" authorId="0" shapeId="0">
      <text>
        <r>
          <rPr>
            <sz val="11"/>
            <color rgb="FF000000"/>
            <rFont val="Calibri"/>
          </rPr>
          <t>Gurcan Gulen:
this assumes a uniform distribution, which should be fine for this exercise. But it can be changed.</t>
        </r>
      </text>
    </comment>
    <comment ref="V14" authorId="0" shapeId="0">
      <text>
        <r>
          <rPr>
            <sz val="11"/>
            <color rgb="FF000000"/>
            <rFont val="Calibri"/>
          </rPr>
          <t>Gurcan Gulen:
from AEO 2018: average of 2016-2020. But AEO 2018 allows for 73% utilization in future years, which is used in Max next cell down.</t>
        </r>
      </text>
    </comment>
    <comment ref="V22" authorId="0" shapeId="0">
      <text>
        <r>
          <rPr>
            <sz val="11"/>
            <color rgb="FF000000"/>
            <rFont val="Calibri"/>
          </rPr>
          <t>Gurcan Gulen:
this is just the new federal tax.  NREL uses (based on EIA) 26% to capture state tax, apparently.</t>
        </r>
      </text>
    </comment>
    <comment ref="A23" authorId="0" shapeId="0">
      <text>
        <r>
          <rPr>
            <sz val="11"/>
            <color rgb="FF000000"/>
            <rFont val="Calibri"/>
          </rPr>
          <t>Gurcan Gulen:
we can refer to 2 FCe subsidy papers. Sticking with tax expenditures may suffice.</t>
        </r>
      </text>
    </comment>
    <comment ref="V27" authorId="0" shapeId="0">
      <text>
        <r>
          <rPr>
            <sz val="11"/>
            <color rgb="FF000000"/>
            <rFont val="Calibri"/>
          </rPr>
          <t>Gurcan Gulen:
capacity-weighted average age of the existing fleet</t>
        </r>
      </text>
    </comment>
    <comment ref="A29" authorId="0" shapeId="0">
      <text>
        <r>
          <rPr>
            <sz val="11"/>
            <color rgb="FF000000"/>
            <rFont val="Calibri"/>
          </rPr>
          <t>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r>
      </text>
    </comment>
    <comment ref="V32" authorId="0" shapeId="0">
      <text>
        <r>
          <rPr>
            <sz val="11"/>
            <color rgb="FF000000"/>
            <rFont val="Calibri"/>
          </rPr>
          <t>Gurcan Gulen:
Based on PJM early 2018 auction for 2020/21</t>
        </r>
      </text>
    </comment>
    <comment ref="A36" authorId="0" shapeId="0">
      <text>
        <r>
          <rPr>
            <sz val="11"/>
            <color rgb="FF000000"/>
            <rFont val="Calibri"/>
          </rPr>
          <t>Gurcan Gulen:
2000 MW will retire in 2021 and anothr 2200 in 2025.  Using 60 yrs as criteria, they don't retire until later.</t>
        </r>
      </text>
    </comment>
  </commentList>
</comments>
</file>

<file path=xl/comments18.xml><?xml version="1.0" encoding="utf-8"?>
<comments xmlns="http://schemas.openxmlformats.org/spreadsheetml/2006/main">
  <authors>
    <author/>
  </authors>
  <commentList>
    <comment ref="A3"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13" authorId="0" shapeId="0">
      <text>
        <r>
          <rPr>
            <sz val="11"/>
            <color rgb="FF000000"/>
            <rFont val="Calibri"/>
          </rPr>
          <t>Gurcan Gulen:
this assumes a uniform distribution, which should be fine for this exercise. But it can be changed.</t>
        </r>
      </text>
    </comment>
    <comment ref="V22" authorId="0" shapeId="0">
      <text>
        <r>
          <rPr>
            <sz val="11"/>
            <color rgb="FF000000"/>
            <rFont val="Calibri"/>
          </rPr>
          <t>Gurcan Gulen:
this is just the new federal tax.  NREL uses (based on EIA) 26% to capture state tax, apparently.</t>
        </r>
      </text>
    </comment>
    <comment ref="A23" authorId="0" shapeId="0">
      <text>
        <r>
          <rPr>
            <sz val="11"/>
            <color rgb="FF000000"/>
            <rFont val="Calibri"/>
          </rPr>
          <t>Gurcan Gulen:
we can refer to 2 FCe subsidy papers. Sticking with tax expenditures may suffice.</t>
        </r>
      </text>
    </comment>
    <comment ref="V27" authorId="0" shapeId="0">
      <text>
        <r>
          <rPr>
            <sz val="11"/>
            <color rgb="FF000000"/>
            <rFont val="Calibri"/>
          </rPr>
          <t>Gurcan Gulen:
capacity-weighted average age of the existing fleet</t>
        </r>
      </text>
    </comment>
    <comment ref="A29" authorId="0" shapeId="0">
      <text>
        <r>
          <rPr>
            <sz val="11"/>
            <color rgb="FF000000"/>
            <rFont val="Calibri"/>
          </rPr>
          <t>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r>
      </text>
    </comment>
    <comment ref="V32" authorId="0" shapeId="0">
      <text>
        <r>
          <rPr>
            <sz val="11"/>
            <color rgb="FF000000"/>
            <rFont val="Calibri"/>
          </rPr>
          <t>Gurcan Gulen:
Based on PJM early 2018 auction for 2020/21</t>
        </r>
      </text>
    </comment>
    <comment ref="A36" authorId="0" shapeId="0">
      <text>
        <r>
          <rPr>
            <sz val="11"/>
            <color rgb="FF000000"/>
            <rFont val="Calibri"/>
          </rPr>
          <t>Gurcan Gulen:
2000 MW will retire in 2021 and anothr 2200 in 2025.  Using 60 yrs as criteria, they don't retire until later.</t>
        </r>
      </text>
    </comment>
  </commentList>
</comments>
</file>

<file path=xl/comments19.xml><?xml version="1.0" encoding="utf-8"?>
<comments xmlns="http://schemas.openxmlformats.org/spreadsheetml/2006/main">
  <authors>
    <author/>
  </authors>
  <commentList>
    <comment ref="A4" authorId="0" shapeId="0">
      <text>
        <r>
          <rPr>
            <sz val="11"/>
            <color rgb="FF000000"/>
            <rFont val="Calibri"/>
          </rPr>
          <t xml:space="preserve">Gurcan Gulen:
Cannot be one number for all years. Limits to improvement should be captured. Asymptotic.
Can be a negative number (e.g., coal CAPEX increases if 90% CCS becomes mandatory) </t>
        </r>
      </text>
    </comment>
    <comment ref="V29" authorId="0" shapeId="0">
      <text>
        <r>
          <rPr>
            <sz val="11"/>
            <color rgb="FF000000"/>
            <rFont val="Calibri"/>
          </rPr>
          <t>Gurcan Gulen:
this is just the new federal tax.  NREL uses (based on EIA) 26% to capture state tax, apparently.</t>
        </r>
      </text>
    </comment>
    <comment ref="A30" authorId="0" shapeId="0">
      <text>
        <r>
          <rPr>
            <sz val="11"/>
            <color rgb="FF000000"/>
            <rFont val="Calibri"/>
          </rPr>
          <t>Gurcan Gulen:
we can refer to 2 FCe subsidy papers. Sticking with tax expenditures may suffice.</t>
        </r>
      </text>
    </comment>
    <comment ref="A36" authorId="0" shapeId="0">
      <text>
        <r>
          <rPr>
            <sz val="11"/>
            <color rgb="FF000000"/>
            <rFont val="Calibri"/>
          </rPr>
          <t>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r>
      </text>
    </comment>
    <comment ref="V39" authorId="0" shapeId="0">
      <text>
        <r>
          <rPr>
            <sz val="11"/>
            <color rgb="FF000000"/>
            <rFont val="Calibri"/>
          </rPr>
          <t>Gurcan Gulen:
Based on PJM early 2018 auction for 2020/21</t>
        </r>
      </text>
    </comment>
    <comment ref="A43" authorId="0" shapeId="0">
      <text>
        <r>
          <rPr>
            <sz val="11"/>
            <color rgb="FF000000"/>
            <rFont val="Calibri"/>
          </rPr>
          <t>Gurcan Gulen:
2000 MW will retire in 2021 and anothr 2200 in 2025.  Using 60 yrs as criteria, they don't retire until later.</t>
        </r>
      </text>
    </comment>
  </commentList>
</comments>
</file>

<file path=xl/sharedStrings.xml><?xml version="1.0" encoding="utf-8"?>
<sst xmlns="http://schemas.openxmlformats.org/spreadsheetml/2006/main" count="2642" uniqueCount="903">
  <si>
    <r>
      <t xml:space="preserve">Overview: User inputs for NG Heating and SolveGen results for 2050 are to be copied into green highlighted cells in the </t>
    </r>
    <r>
      <rPr>
        <b/>
        <sz val="11"/>
        <color rgb="FF4A86E8"/>
        <rFont val="Calibri"/>
      </rPr>
      <t>Inputs</t>
    </r>
    <r>
      <rPr>
        <sz val="11"/>
        <color rgb="FF000000"/>
        <rFont val="Calibri"/>
      </rPr>
      <t xml:space="preserve"> tab. These values are linked to the </t>
    </r>
    <r>
      <rPr>
        <b/>
        <sz val="11"/>
        <color rgb="FF4A86E8"/>
        <rFont val="Calibri"/>
      </rPr>
      <t>Model</t>
    </r>
    <r>
      <rPr>
        <sz val="11"/>
        <color rgb="FF000000"/>
        <rFont val="Calibri"/>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b/>
        <sz val="11"/>
        <color rgb="FF4A86E8"/>
        <rFont val="Calibri"/>
      </rPr>
      <t>Assumptions</t>
    </r>
    <r>
      <rPr>
        <sz val="11"/>
        <color rgb="FF000000"/>
        <rFont val="Calibri"/>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</si>
  <si>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Should I connect electricity generation to natural gas upstream and/or midstream? This could matter in agressive renewables scenarios. All expected (e.g., AEO 2019) NG production may be too much for exports.</t>
  </si>
  <si>
    <t>Tab</t>
  </si>
  <si>
    <t>Should coal be connected? 1- power gen is the main consumer of coal; 2- the US coal exports will likely remain small. Alternatively, we can assume coal mines closing as it has been happening.</t>
  </si>
  <si>
    <t>Connection between EVs and oil?</t>
  </si>
  <si>
    <t>Variable</t>
  </si>
  <si>
    <t>Purpose</t>
  </si>
  <si>
    <t>Comment</t>
  </si>
  <si>
    <t>New capacity decision function: should it be more forward-looking in sufficiency of capacity? NO. IMPLICITLY IT IS FORWARD-LOOKING AS CONSTRUCTION STARTS YEARS EARLIER.</t>
  </si>
  <si>
    <t>Inputs</t>
  </si>
  <si>
    <t>Add ST to the NG setup? Probably not; STs are going away. Plus,  solveGen doesn't distinguish STs.</t>
  </si>
  <si>
    <t>Inputs from SolveGen and user entries for NG heating demand</t>
  </si>
  <si>
    <t xml:space="preserve">stranded costs? Nondepreciated part of the asset if it is retired before its book life? Or something else? </t>
  </si>
  <si>
    <t>2020 and 2050 AEO Ref percentages are provided for comparison. See comments on conversion of Biomass from SolveGen into MSW and other biomass, and storage.</t>
  </si>
  <si>
    <t>CAPEX improvements in Assumptions tabs?</t>
  </si>
  <si>
    <t>Add intrastate values to Oil G&amp;T (FERC 6) and NG Midstream (FERC 2)</t>
  </si>
  <si>
    <t>Dashboard</t>
  </si>
  <si>
    <t xml:space="preserve">Add heating demand for NG. </t>
  </si>
  <si>
    <t>Quick visual summary of model results when user inputs change.</t>
  </si>
  <si>
    <t>Retirement decisions are based on historical max age. Should that be switched to average lifetime?</t>
  </si>
  <si>
    <t xml:space="preserve">$ values are reported in nominal terms, which leads to large values in the future. </t>
  </si>
  <si>
    <t>Aggregation</t>
  </si>
  <si>
    <t>Summary of key results from Model &amp; Assumptions tabs</t>
  </si>
  <si>
    <r>
      <rPr>
        <sz val="11"/>
        <color rgb="FF000000"/>
        <rFont val="Calibri"/>
      </rPr>
      <t xml:space="preserve">More data for generation. Only OPEX and CAPEX for Oil&amp;Gas midstream and upstream, electricity T&amp;D. </t>
    </r>
    <r>
      <rPr>
        <sz val="11"/>
        <color rgb="FF000000"/>
        <rFont val="Calibri"/>
      </rPr>
      <t xml:space="preserve">Total NG Consumption section is intended as a check on user assumptions on NG Heating. It is not likely for user inputs to lead to import levels that are above historical values. And, export capacity can increase. </t>
    </r>
    <r>
      <rPr>
        <b/>
        <sz val="11"/>
        <rFont val="Calibri"/>
      </rPr>
      <t>As such, no need to connect O&amp;G Upstream to NG Demand. Currently, O&amp;G Upstream is based on AEO 2018 Ref gas production.</t>
    </r>
  </si>
  <si>
    <t>Model</t>
  </si>
  <si>
    <t>Operating Capacity</t>
  </si>
  <si>
    <t>2020 value is hardwired.</t>
  </si>
  <si>
    <r>
      <t xml:space="preserve">Mostly from AEO 2018 but for </t>
    </r>
    <r>
      <rPr>
        <sz val="11"/>
        <color rgb="FFFF0000"/>
        <rFont val="Calibri"/>
      </rPr>
      <t xml:space="preserve">coal and NG, there are adjustments based on more recent data on new builds and retirements. </t>
    </r>
  </si>
  <si>
    <t>Generation</t>
  </si>
  <si>
    <t>2020 value is indirectly hardwired.</t>
  </si>
  <si>
    <r>
      <t xml:space="preserve">Calculation=2020 Operating Capacity*Avg Utilization from Assumptions (…). The 2020 Avg Utilization (or capacity factor) is calculated via the Goal Seek tool to yield TWh reported in AEO18. They are realistic based on recent fleet performances. </t>
    </r>
    <r>
      <rPr>
        <sz val="10"/>
        <color rgb="FFFF0000"/>
        <rFont val="Calibri"/>
      </rPr>
      <t>Years 2021-2049 are calculated as a linear trend to connect the 2020 value to user-input-determined 2050 value.</t>
    </r>
  </si>
  <si>
    <t>FOM&amp;VOM</t>
  </si>
  <si>
    <t>Annual flow to be used in other calculations or to depict trends.</t>
  </si>
  <si>
    <r>
      <t xml:space="preserve">Calculated=FOM*Operating Capacity+VOM*Generation.  </t>
    </r>
    <r>
      <rPr>
        <sz val="10"/>
        <color rgb="FFFF0000"/>
        <rFont val="Calibri"/>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</si>
  <si>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</si>
  <si>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t xml:space="preserve">Calculated=Avg fuel cost per MWh*Generation.  </t>
    </r>
    <r>
      <rPr>
        <sz val="10"/>
        <color rgb="FFFF0000"/>
        <rFont val="Calibri"/>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</si>
  <si>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</si>
  <si>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t xml:space="preserve">Calculated=Avg wholesale electricity price*Generation. </t>
    </r>
    <r>
      <rPr>
        <b/>
        <sz val="10"/>
        <color rgb="FFFF0000"/>
        <rFont val="Calibri"/>
      </rPr>
      <t>CAUTION</t>
    </r>
    <r>
      <rPr>
        <sz val="10"/>
        <color rgb="FFFF0000"/>
        <rFont val="Calibri"/>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</si>
  <si>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</si>
  <si>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t xml:space="preserve">Calculated=Avg capacity price in MW-day*share of capacity in capacity markets*Operating Capacity*365.  </t>
    </r>
    <r>
      <rPr>
        <b/>
        <sz val="10"/>
        <color rgb="FFFF0000"/>
        <rFont val="Calibri"/>
      </rPr>
      <t>CAUTION</t>
    </r>
    <r>
      <rPr>
        <sz val="10"/>
        <color rgb="FFFF0000"/>
        <rFont val="Calibri"/>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</si>
  <si>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</si>
  <si>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t xml:space="preserve">Calculated with PPMT formula for capacities built before 2020 based on EIA860 data. </t>
    </r>
    <r>
      <rPr>
        <sz val="10"/>
        <color rgb="FFFF0000"/>
        <rFont val="Calibri"/>
      </rPr>
      <t>Financing assumptions (share of debt, interest rate, loan term) for each type of plants should be confirmed.</t>
    </r>
  </si>
  <si>
    <t>Interest - Built &lt;2020</t>
  </si>
  <si>
    <r>
      <t xml:space="preserve">Calculated with IPMT formula for capacities built before 2020 based on EIA860 data. </t>
    </r>
    <r>
      <rPr>
        <sz val="10"/>
        <color rgb="FFFF0000"/>
        <rFont val="Calibri"/>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</si>
  <si>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</si>
  <si>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</si>
  <si>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</si>
  <si>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</si>
  <si>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</si>
  <si>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t xml:space="preserve">Calculated=TWh in Generation but not generated because insufficient New capacity was built the year before due to Annual Max Build-Out in Assumptions (…).  </t>
    </r>
    <r>
      <rPr>
        <sz val="10"/>
        <color rgb="FFFF0000"/>
        <rFont val="Calibri"/>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</si>
  <si>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</si>
  <si>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sz val="10"/>
        <color rgb="FFFF0000"/>
        <rFont val="Calibri"/>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</si>
  <si>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</si>
  <si>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</si>
  <si>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</si>
  <si>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</si>
  <si>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</si>
  <si>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t xml:space="preserve">Calculated with PPMT formula for the debt portion of New CAPEX. Separate row for each year. </t>
    </r>
    <r>
      <rPr>
        <sz val="10"/>
        <color rgb="FFFF0000"/>
        <rFont val="Calibri"/>
      </rPr>
      <t>Financing assumptions (share of debt, interest rate, loan term) for each type of plants should be confirmed.</t>
    </r>
  </si>
  <si>
    <t>Interest - New Debt</t>
  </si>
  <si>
    <r>
      <t xml:space="preserve">Calculated with IPMT formula for the debt portion of New CAPEX. Separate row for each year. </t>
    </r>
    <r>
      <rPr>
        <sz val="10"/>
        <color rgb="FFFF0000"/>
        <rFont val="Calibri"/>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</si>
  <si>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</si>
  <si>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</si>
  <si>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</si>
  <si>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</si>
  <si>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</si>
  <si>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sz val="10"/>
        <color rgb="FFFF0000"/>
        <rFont val="Calibri"/>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</si>
  <si>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</si>
  <si>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</si>
  <si>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</si>
  <si>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</si>
  <si>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</si>
  <si>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t xml:space="preserve">2020 is the "seed" year. AEO18 assumptions are used. Future (and past) years are calculated per inflation (BLS PPI for the power sector) and Annunal CAPEX improve (see next). Separate inputs for NGCC &amp; NGCT, Onshore &amp; Offshore Wind, Utility &amp; DER PV.  </t>
    </r>
    <r>
      <rPr>
        <sz val="10"/>
        <color rgb="FFFF0000"/>
        <rFont val="Calibri"/>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</si>
  <si>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</si>
  <si>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</si>
  <si>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</si>
  <si>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t xml:space="preserve">Used the FCe Dispatch Report estimates. </t>
    </r>
    <r>
      <rPr>
        <sz val="10"/>
        <color rgb="FFFF0000"/>
        <rFont val="Calibri"/>
      </rPr>
      <t>CAUTION: these are different from NREL ATB assumptions, more so for some technologies than others. GG found some of the NREL ATB assumptions inconsistent with other sources.  Needs confirmation.</t>
    </r>
  </si>
  <si>
    <t>Share of equity (%)</t>
  </si>
  <si>
    <r>
      <t xml:space="preserve">Used the FCe Dispatch Report estimates. </t>
    </r>
    <r>
      <rPr>
        <sz val="10"/>
        <color rgb="FFFF0000"/>
        <rFont val="Calibri"/>
      </rPr>
      <t>CAUTION: these are different from NREL ATB assumptions, more so for some technologies than others. GG found some of the NREL ATB assumptions inconsistent with other sources.  Needs confirmation.</t>
    </r>
  </si>
  <si>
    <t>Interest rate on debt (%)</t>
  </si>
  <si>
    <r>
      <t xml:space="preserve">Used the FCe Dispatch Report estimates. </t>
    </r>
    <r>
      <rPr>
        <sz val="10"/>
        <color rgb="FFFF0000"/>
        <rFont val="Calibri"/>
      </rPr>
      <t>CAUTION: these are different from NREL ATB assumptions, more so for some technologies than others. GG found some of the NREL ATB assumptions inconsistent with other sources.  Needs confirmation.</t>
    </r>
  </si>
  <si>
    <t>Return on equity (%)</t>
  </si>
  <si>
    <r>
      <t xml:space="preserve">Used the FCe Dispatch Report estimates. </t>
    </r>
    <r>
      <rPr>
        <sz val="10"/>
        <color rgb="FFFF0000"/>
        <rFont val="Calibri"/>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</si>
  <si>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</si>
  <si>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</si>
  <si>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</si>
  <si>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t xml:space="preserve">Used the FCe Dispatch Report estimates. </t>
    </r>
    <r>
      <rPr>
        <sz val="10"/>
        <color rgb="FFFF0000"/>
        <rFont val="Calibri"/>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</si>
  <si>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</si>
  <si>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</si>
  <si>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</si>
  <si>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t xml:space="preserve">Based on historical EIA 860 data. </t>
    </r>
    <r>
      <rPr>
        <sz val="10"/>
        <color rgb="FFFF0000"/>
        <rFont val="Calibri"/>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</si>
  <si>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</si>
  <si>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</si>
  <si>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</si>
  <si>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</si>
  <si>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</si>
  <si>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</si>
  <si>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</si>
  <si>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</si>
  <si>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</si>
  <si>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</si>
  <si>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</si>
  <si>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</si>
  <si>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</si>
  <si>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</si>
  <si>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</si>
  <si>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</si>
  <si>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</si>
  <si>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</si>
  <si>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</si>
  <si>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</si>
  <si>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</si>
  <si>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</si>
  <si>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</si>
  <si>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</si>
  <si>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</si>
  <si>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</si>
  <si>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</si>
  <si>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</si>
  <si>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</si>
  <si>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</si>
  <si>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t xml:space="preserve">Capacity-weighted averages from EIA860 data. </t>
    </r>
    <r>
      <rPr>
        <sz val="10"/>
        <color rgb="FFFF0000"/>
        <rFont val="Calibri"/>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</si>
  <si>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</si>
  <si>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</si>
  <si>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</si>
  <si>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</si>
  <si>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</si>
  <si>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</si>
  <si>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t xml:space="preserve">AEO18 Reference Case. Real Electricity Price from 2016 onward. </t>
    </r>
    <r>
      <rPr>
        <sz val="10"/>
        <color rgb="FFFF0000"/>
        <rFont val="Calibri"/>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</si>
  <si>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</si>
  <si>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t xml:space="preserve">AEO18 Reference Case. Nominal Electricity Price from 2016 onward which is used in the Model to calculate Energy Revenues. </t>
    </r>
    <r>
      <rPr>
        <sz val="10"/>
        <color rgb="FFFF0000"/>
        <rFont val="Calibri"/>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</si>
  <si>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</si>
  <si>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t xml:space="preserve">2020 "seed" price is from the latest PJM auction. It is inflated in future years at the annual rate of increase of the nominal energy price of electricity. </t>
    </r>
    <r>
      <rPr>
        <sz val="10"/>
        <color rgb="FFFF0000"/>
        <rFont val="Calibri"/>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</si>
  <si>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</si>
  <si>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</si>
  <si>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</si>
  <si>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</si>
  <si>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</si>
  <si>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</si>
  <si>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</si>
  <si>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</si>
  <si>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</si>
  <si>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</si>
  <si>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</si>
  <si>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Electricity-related losses</t>
  </si>
  <si>
    <t>Share of fuel / technology in Residential in 2050</t>
  </si>
  <si>
    <t>Purchased electricity</t>
  </si>
  <si>
    <t>Natural Gas</t>
  </si>
  <si>
    <t>Petroleum products</t>
  </si>
  <si>
    <t>Biomass</t>
  </si>
  <si>
    <t>2050 from SolveGen</t>
  </si>
  <si>
    <t>Share of fuel / technology in Electricity in 2050</t>
  </si>
  <si>
    <t>AEO 2018</t>
  </si>
  <si>
    <t>MW</t>
  </si>
  <si>
    <t>TWh</t>
  </si>
  <si>
    <t>Coal</t>
  </si>
  <si>
    <t>Nuclear</t>
  </si>
  <si>
    <t>Hydro</t>
  </si>
  <si>
    <t>Solar</t>
  </si>
  <si>
    <t>Wind</t>
  </si>
  <si>
    <t>Geothermal</t>
  </si>
  <si>
    <t>MSW</t>
  </si>
  <si>
    <t>Other biomass</t>
  </si>
  <si>
    <t>Other</t>
  </si>
  <si>
    <t>Petroleum</t>
  </si>
  <si>
    <t>Storage</t>
  </si>
  <si>
    <t>N/A</t>
  </si>
  <si>
    <t>Year</t>
  </si>
  <si>
    <t>type</t>
  </si>
  <si>
    <t>value</t>
  </si>
  <si>
    <t>PowerPlantCapacity_Total_MW</t>
  </si>
  <si>
    <t>powerplantcapacity</t>
  </si>
  <si>
    <t>total</t>
  </si>
  <si>
    <t>AEO 2018 Ref</t>
  </si>
  <si>
    <t>"Actual"</t>
  </si>
  <si>
    <t>2020</t>
  </si>
  <si>
    <t>35.44% (total NG)</t>
  </si>
  <si>
    <t>32.4% (total NG)</t>
  </si>
  <si>
    <t>Natural Gas (CC)</t>
  </si>
  <si>
    <t>--</t>
  </si>
  <si>
    <t>Natural Gas (CT)</t>
  </si>
  <si>
    <t>Solar CSP</t>
  </si>
  <si>
    <t>PowerPlantCapacity_Coal_MW</t>
  </si>
  <si>
    <t>coal</t>
  </si>
  <si>
    <t>Residential and Commercial (R&amp;C) Natural Gas Volume in 2050</t>
  </si>
  <si>
    <t>TCF</t>
  </si>
  <si>
    <t>Avg future inflation (%/yr) (BLS PPI for Power)</t>
  </si>
  <si>
    <t>Not an input from SolveGEN; This inflation factor is applied to all power plant "Assumption" tabs. NOTE: 2.5%/yr inflation is used in NREL ReEDS standard runs and the Annual Technology Baseline.</t>
  </si>
  <si>
    <t>Avg future change in real US GDP (%/yr)</t>
  </si>
  <si>
    <t>Implied Capacity factor of each technology in 2050 (from solveGEN.R calculations)</t>
  </si>
  <si>
    <t>PowerPlantCapacity_NGCC_MW</t>
  </si>
  <si>
    <t>ngcc</t>
  </si>
  <si>
    <t>SEGMENTS</t>
  </si>
  <si>
    <t>Units</t>
  </si>
  <si>
    <t>Coal Upstream (Mining)</t>
  </si>
  <si>
    <t>Coal Midstream (Transport)</t>
  </si>
  <si>
    <t>Coal Downstream (PowerGen)</t>
  </si>
  <si>
    <t>PowerPlantCapacity_NGCT_MW</t>
  </si>
  <si>
    <t>ngct</t>
  </si>
  <si>
    <t>Change in energy price of electricity ($2017/MWh) "inflation"</t>
  </si>
  <si>
    <t>Change in energy price of electricity ($/MWh) inflation</t>
  </si>
  <si>
    <t>Avg capacity price of electricity ($2017/MW-day)</t>
  </si>
  <si>
    <t>$billion</t>
  </si>
  <si>
    <t>PowerPlantCapacity_Wind_MW</t>
  </si>
  <si>
    <t>wind</t>
  </si>
  <si>
    <t>Avg price of NG ($2017/MMBtu)</t>
  </si>
  <si>
    <t>PowerPlantCapacity_SolarPV_MW</t>
  </si>
  <si>
    <t>solarPV</t>
  </si>
  <si>
    <t>Avg price of NG ($/MMBtu)</t>
  </si>
  <si>
    <t>BLS Utility natural gas, seasonally adjusted</t>
  </si>
  <si>
    <t>BLS PPI for T&amp;D PCU22112 (not seasonally adjusted)</t>
  </si>
  <si>
    <t>Made-up Inflation index for 2.5% annual (2000=100)</t>
  </si>
  <si>
    <t>PowerPlantCapacity_SolarCSP_MW</t>
  </si>
  <si>
    <t>solarCSP</t>
  </si>
  <si>
    <t>PowerPlantCapacity_Nuclear_MW</t>
  </si>
  <si>
    <t>nuclear</t>
  </si>
  <si>
    <t>PowerPlantCapacity_Hydro_MW</t>
  </si>
  <si>
    <t>hydro</t>
  </si>
  <si>
    <t>Nominal GDP change (%/yr)</t>
  </si>
  <si>
    <t>Real $2012 chained GDP change (%/yr)</t>
  </si>
  <si>
    <t>PowerPlantCapacity_Geothermal_MW</t>
  </si>
  <si>
    <t>geothermal</t>
  </si>
  <si>
    <t>GDP US 50 states (Millions chained $2012)</t>
  </si>
  <si>
    <t>GDP US 50 states (Millions $ nominal)</t>
  </si>
  <si>
    <t>GDP Alaska state (Millions $ nominal)</t>
  </si>
  <si>
    <t>GDP Hawai'i (Millions $ nominal)</t>
  </si>
  <si>
    <t>PowerPlantCapacity_Biomass_MW</t>
  </si>
  <si>
    <t>biomass</t>
  </si>
  <si>
    <t>GDP US 48 states (Billions $ nominal)</t>
  </si>
  <si>
    <t>GDP for EIoF Region (Billions $ nominal)</t>
  </si>
  <si>
    <t>NA</t>
  </si>
  <si>
    <t>Population US 50 States (Millions)</t>
  </si>
  <si>
    <t>Population Alaska (Millions)</t>
  </si>
  <si>
    <t>Population Hawai'i (Millions)</t>
  </si>
  <si>
    <t>PowerPlantCapacity_Petroleum_MW</t>
  </si>
  <si>
    <t>petroleum</t>
  </si>
  <si>
    <t>Population US 48 States (Millions)</t>
  </si>
  <si>
    <t>Population EIoF Region (Millions)</t>
  </si>
  <si>
    <t>PowerPlantCapacity_Battery_MW</t>
  </si>
  <si>
    <t>battery</t>
  </si>
  <si>
    <t>Generation_Total_TWh</t>
  </si>
  <si>
    <t>generation</t>
  </si>
  <si>
    <t>Residential Consumption from EIA (TCF)</t>
  </si>
  <si>
    <t>Commercial Consumption from EIA (TCF)</t>
  </si>
  <si>
    <t>Dispatch_FromBattery_TWh</t>
  </si>
  <si>
    <t>Industrial Consumption from EIA (TCF)</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</si>
  <si>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</si>
  <si>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</si>
  <si>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</si>
  <si>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</si>
  <si>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</si>
  <si>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</si>
  <si>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</si>
  <si>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</si>
  <si>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</si>
  <si>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</si>
  <si>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</si>
  <si>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POWER_PLANT_FOM_and_VOM_BillionUSD</t>
  </si>
  <si>
    <t>fom_vom</t>
  </si>
  <si>
    <t>Industrial Volumes ratio EIA-176 to AGA</t>
  </si>
  <si>
    <t>all_pp</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</si>
  <si>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</si>
  <si>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</si>
  <si>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</si>
  <si>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</si>
  <si>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</si>
  <si>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</si>
  <si>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</si>
  <si>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</si>
  <si>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</si>
  <si>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</si>
  <si>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</si>
  <si>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</si>
  <si>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</si>
  <si>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</si>
  <si>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</si>
  <si>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</si>
  <si>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</si>
  <si>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</si>
  <si>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</si>
  <si>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</si>
  <si>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</si>
  <si>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</si>
  <si>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</si>
  <si>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</si>
  <si>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</si>
  <si>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POWER_PLANT_FuelCosts_BillionUSD</t>
  </si>
  <si>
    <t>fuel_cost</t>
  </si>
  <si>
    <t>LDC Total Interest Charges from AGA ($billion)</t>
  </si>
  <si>
    <t>LDC Construction Exp from AGA ($billion)</t>
  </si>
  <si>
    <t>LDC Interest to Construction Expense</t>
  </si>
  <si>
    <t>CAPEX</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</si>
  <si>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</si>
  <si>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</si>
  <si>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</si>
  <si>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</si>
  <si>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</si>
  <si>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</si>
  <si>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</si>
  <si>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</si>
  <si>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</si>
  <si>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</si>
  <si>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</si>
  <si>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</si>
  <si>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</si>
  <si>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</si>
  <si>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</si>
  <si>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</si>
  <si>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</si>
  <si>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</si>
  <si>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</si>
  <si>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</si>
  <si>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</si>
  <si>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</si>
  <si>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</si>
  <si>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</si>
  <si>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</si>
  <si>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</si>
  <si>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</si>
  <si>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POWER_PLANT_CAPEX_Nuclear_BillionUSD</t>
  </si>
  <si>
    <t>capex</t>
  </si>
  <si>
    <t>NewCapacity_PowerPlant_MW</t>
  </si>
  <si>
    <t>new_powerplantcapacity</t>
  </si>
  <si>
    <t>NewCapacity_Battery_MW</t>
  </si>
  <si>
    <t>POWER PLANT_CAPEX_NoNuclear_BillionUSD</t>
  </si>
  <si>
    <t>all_nonuke</t>
  </si>
  <si>
    <t>GHG_emissions_MillionMetricTonnes</t>
  </si>
  <si>
    <t>emissions</t>
  </si>
  <si>
    <t>POWER_PLANT_OPEX_incl_Fuel_BillionsUSD</t>
  </si>
  <si>
    <t>opex_wfuel</t>
  </si>
  <si>
    <t>POWER_PLANT_CAPEX_TOTAL_BillionUSD</t>
  </si>
  <si>
    <t>ELECTRICITY_TandD_OPEX_BillionUSD</t>
  </si>
  <si>
    <t>opex</t>
  </si>
  <si>
    <t>TandD</t>
  </si>
  <si>
    <t>ELECTRICITY_TandD_CAPEX_BillionUSD</t>
  </si>
  <si>
    <t>OILandGAS_MIDSTREAM_OPEX_BillionUSD</t>
  </si>
  <si>
    <t>OandG_mid</t>
  </si>
  <si>
    <t>Principal</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</si>
  <si>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</si>
  <si>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</si>
  <si>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</si>
  <si>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</si>
  <si>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</si>
  <si>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</si>
  <si>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</si>
  <si>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NG_CONSUMPTION_Heating_RandC_TCF</t>
  </si>
  <si>
    <t>ng_use</t>
  </si>
  <si>
    <t>res_comm</t>
  </si>
  <si>
    <t>NG_CONSUMPTION_PowerGeneration_TCF</t>
  </si>
  <si>
    <t>NG_CONSUMPTION_Industrial_TCF</t>
  </si>
  <si>
    <t xml:space="preserve">Industrial </t>
  </si>
  <si>
    <t>NG_CONSUMPTION_Other_TCF</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</si>
  <si>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</si>
  <si>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</si>
  <si>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</si>
  <si>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</si>
  <si>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</si>
  <si>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</si>
  <si>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</si>
  <si>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</si>
  <si>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</si>
  <si>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</si>
  <si>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Total_Energy_System_OPEX_BillionsUSD</t>
  </si>
  <si>
    <t>energy_sys_BillionsUSD</t>
  </si>
  <si>
    <t xml:space="preserve"> Total_Energy_System_CAPEX_BillionsUSD</t>
  </si>
  <si>
    <t xml:space="preserve"> Total_Energy_System_OPEX_USDperPerson</t>
  </si>
  <si>
    <t>USD_per_person</t>
  </si>
  <si>
    <t xml:space="preserve"> Total_Energy_System_CAPEX_USDperPerson</t>
  </si>
  <si>
    <t xml:space="preserve"> Total_Energy_System_OPEX_USDperUSDofGDP</t>
  </si>
  <si>
    <t>USDperUSDofGDP_pct</t>
  </si>
  <si>
    <t xml:space="preserve"> Total_Energy_System_CAPEX_USDperUSDofGDP</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</si>
  <si>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</si>
  <si>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</si>
  <si>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Annual_CO2_Emissions_Coal_MillionTonnesCO2</t>
  </si>
  <si>
    <t>T Operation from FERC 1 ($billion)</t>
  </si>
  <si>
    <t>MtCO2</t>
  </si>
  <si>
    <t>Annual_CO2_Emissions_NG_MillionTonnesCO2</t>
  </si>
  <si>
    <t>NG</t>
  </si>
  <si>
    <t>Annual_CO2_Emissions_Petroleum_MillionTonnesCO2</t>
  </si>
  <si>
    <t>Annual_CO2_Emissions_EmbodiedPowerPlantCapital_MillionTonnesCO2</t>
  </si>
  <si>
    <t>embodied_in_PP</t>
  </si>
  <si>
    <t>T Regional Market Maintenance from FERC 1 ($billion)</t>
  </si>
  <si>
    <t>T Regional Market Operation from FERC 1 ($billion)</t>
  </si>
  <si>
    <t>T Beginning Year Balance from FERC1 ($billion)</t>
  </si>
  <si>
    <t>T Retirement from FERC1 ($billion)</t>
  </si>
  <si>
    <t>T Capital Additions from FERC 1 ($billion)</t>
  </si>
  <si>
    <t>TX from FERC 1</t>
  </si>
  <si>
    <t>T Capital Additions FERC1-TX(FERC1)+TPIT ($billion)</t>
  </si>
  <si>
    <t>T Capital Additions from ERCOT TPIT ($billion)</t>
  </si>
  <si>
    <t>Percent share of non-FERC 1</t>
  </si>
  <si>
    <t>T Capital Additions from non-FERC utilities ($billion)</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</si>
  <si>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</si>
  <si>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</si>
  <si>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</si>
  <si>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</si>
  <si>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</si>
  <si>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</si>
  <si>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</si>
  <si>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</si>
  <si>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</si>
  <si>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</si>
  <si>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</si>
  <si>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</si>
  <si>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</si>
  <si>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</si>
  <si>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</si>
  <si>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</si>
  <si>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</si>
  <si>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</si>
  <si>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</si>
  <si>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</si>
  <si>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</si>
  <si>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</si>
  <si>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Number of wells from EIA Publication: The Distribution of U.S. Oil and Natural Gas Wells by Production Rate, October 2018</t>
  </si>
  <si>
    <t>69 kV</t>
  </si>
  <si>
    <t>138 kV</t>
  </si>
  <si>
    <t>345 kV</t>
  </si>
  <si>
    <t>ERCOT T Miles Refurbished</t>
  </si>
  <si>
    <t>Prod Brackets (BOE/day)</t>
  </si>
  <si>
    <t>Categ.</t>
  </si>
  <si>
    <t>ERCOT T Project Costs</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</si>
  <si>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</si>
  <si>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</si>
  <si>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</si>
  <si>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</si>
  <si>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</si>
  <si>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</si>
  <si>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</si>
  <si>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</si>
  <si>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</si>
  <si>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</si>
  <si>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</si>
  <si>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</si>
  <si>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</si>
  <si>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</si>
  <si>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</si>
  <si>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</si>
  <si>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</si>
  <si>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</si>
  <si>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</si>
  <si>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</si>
  <si>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</si>
  <si>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</si>
  <si>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</si>
  <si>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</si>
  <si>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A&amp;G Maintenance from FERC 1 ($billion)</t>
  </si>
  <si>
    <t>Horizontal</t>
  </si>
  <si>
    <t>A&amp;G Operation from FERC 1 ($billion)</t>
  </si>
  <si>
    <t>New Wells &amp; Abandonments</t>
  </si>
  <si>
    <t>General Beginning Year Balance from FERC1 ($billion)</t>
  </si>
  <si>
    <t>All</t>
  </si>
  <si>
    <t>General Retirement from FERC1 ($billion)</t>
  </si>
  <si>
    <t>EIA Hor yr-yr</t>
  </si>
  <si>
    <t>Number of horizontal wells drilled from WoodMac North America Well Analysis Tool</t>
  </si>
  <si>
    <t>General Plant Additions from FERC 1 ($billion)</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</si>
  <si>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</si>
  <si>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</si>
  <si>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</si>
  <si>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</si>
  <si>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</si>
  <si>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</si>
  <si>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</si>
  <si>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D Maintenance from FERC 1 ($billion)</t>
  </si>
  <si>
    <t>Oil:Gas (billion cf)</t>
  </si>
  <si>
    <t>D Operation from FERC 1 ($billion)</t>
  </si>
  <si>
    <t>Gas:Gas (billion cf)</t>
  </si>
  <si>
    <t>Customer Account Expenses from FERC 1 ($billion)</t>
  </si>
  <si>
    <t>Gas:Oil (million bbl)</t>
  </si>
  <si>
    <t>Customer Service and Info Expenses from FERC 1 ($billion)</t>
  </si>
  <si>
    <t>D Beginning Year Balance from FERC1 ($billion)</t>
  </si>
  <si>
    <t>D Retirement from FERC1 ($billion)</t>
  </si>
  <si>
    <t>Total Oil:Oil (million bbl)</t>
  </si>
  <si>
    <t>Total Oil:Gas (billion cf)</t>
  </si>
  <si>
    <t>D Capital Additions from FERC 1 ($billion)</t>
  </si>
  <si>
    <t>Total Gas:Gas (billion cf)</t>
  </si>
  <si>
    <t>Total Gas:Oil (million bbl)</t>
  </si>
  <si>
    <t>Percent of Distribution not reported in FERC 1</t>
  </si>
  <si>
    <t>Cash OPEX CEE financial data</t>
  </si>
  <si>
    <t>D Capital Additions from all else ($billion)</t>
  </si>
  <si>
    <t>Liquids-heavy companies</t>
  </si>
  <si>
    <t>Cash OPEX ($/BOE)</t>
  </si>
  <si>
    <t>All companies</t>
  </si>
  <si>
    <t>Gas-heavy companies</t>
  </si>
  <si>
    <t>Cash OPEX ($/MCFE)</t>
  </si>
  <si>
    <t>Crude Oil Prod (million bbl/day)</t>
  </si>
  <si>
    <t>Gas Prod (billion cf/d)</t>
  </si>
  <si>
    <t>TOTAL D Capital</t>
  </si>
  <si>
    <t>Total annual O&amp;G (billion BOE)</t>
  </si>
  <si>
    <t>Total OPEX ($billion)</t>
  </si>
  <si>
    <t>Delta Total Capital</t>
  </si>
  <si>
    <t>CAPEX from various shale plays (horizontal wells)</t>
  </si>
  <si>
    <t>Drilling ($million)</t>
  </si>
  <si>
    <t>Permian - Midland</t>
  </si>
  <si>
    <t>Permian - Delaware</t>
  </si>
  <si>
    <t>Bakken</t>
  </si>
  <si>
    <t>Eagle Ford</t>
  </si>
  <si>
    <t>Delta Residential Customers</t>
  </si>
  <si>
    <t>Marcellus</t>
  </si>
  <si>
    <t>Haynesville</t>
  </si>
  <si>
    <t>Completion ($million)</t>
  </si>
  <si>
    <t>D&amp;C ($million)</t>
  </si>
  <si>
    <t>Residential Customers</t>
  </si>
  <si>
    <t>Avg D&amp;C</t>
  </si>
  <si>
    <t>Prod Facilities ($million)</t>
  </si>
  <si>
    <t>Depreciation (MACRS - 20 yrs)</t>
  </si>
  <si>
    <t>Depreciation (Straight Line - 30 yrs)</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</si>
  <si>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</si>
  <si>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</si>
  <si>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</si>
  <si>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</si>
  <si>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</si>
  <si>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</si>
  <si>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</si>
  <si>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</si>
  <si>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</si>
  <si>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</si>
  <si>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</si>
  <si>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</si>
  <si>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</si>
  <si>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</si>
  <si>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</si>
  <si>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</si>
  <si>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</si>
  <si>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</si>
  <si>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</si>
  <si>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</si>
  <si>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</si>
  <si>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</si>
  <si>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</si>
  <si>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</si>
  <si>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</si>
  <si>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</si>
  <si>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</si>
  <si>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</si>
  <si>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</si>
  <si>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</si>
  <si>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</si>
  <si>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</si>
  <si>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</si>
  <si>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</si>
  <si>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</si>
  <si>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</si>
  <si>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</si>
  <si>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</si>
  <si>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</si>
  <si>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</si>
  <si>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</si>
  <si>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</si>
  <si>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</si>
  <si>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</si>
  <si>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</si>
  <si>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</si>
  <si>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</si>
  <si>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</si>
  <si>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</si>
  <si>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</si>
  <si>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</si>
  <si>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</si>
  <si>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</si>
  <si>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</si>
  <si>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</si>
  <si>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</si>
  <si>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</si>
  <si>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</si>
  <si>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</si>
  <si>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</si>
  <si>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</si>
  <si>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</si>
  <si>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</si>
  <si>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</si>
  <si>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BEA oil &amp; gas extraction investment in fixed asset seems quite reasonable to represent upstream CAPEX.</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</si>
  <si>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</si>
  <si>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</si>
  <si>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</si>
  <si>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</si>
  <si>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</si>
  <si>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</si>
  <si>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</si>
  <si>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</si>
  <si>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</si>
  <si>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</si>
  <si>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</si>
  <si>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</si>
  <si>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</si>
  <si>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</si>
  <si>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</si>
  <si>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</si>
  <si>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</si>
  <si>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</si>
  <si>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</si>
  <si>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</si>
  <si>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</si>
  <si>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</si>
  <si>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</si>
  <si>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</si>
  <si>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</si>
  <si>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</si>
  <si>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</si>
  <si>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</si>
  <si>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</si>
  <si>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</si>
  <si>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</si>
  <si>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</si>
  <si>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</si>
  <si>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</si>
  <si>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</si>
  <si>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</si>
  <si>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</si>
  <si>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</si>
  <si>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</si>
  <si>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</si>
  <si>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</si>
  <si>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</si>
  <si>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</si>
  <si>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</si>
  <si>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</si>
  <si>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</si>
  <si>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</si>
  <si>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</si>
  <si>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</si>
  <si>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Prod&amp;Gather Beginning Year Balance FERC 2 ($billion)</t>
  </si>
  <si>
    <t>$-</t>
  </si>
  <si>
    <t>Prod&amp;Gather Additions FERC 2 ($billion)</t>
  </si>
  <si>
    <t>Prod&amp;Gather Retirements FERC 2 ($billion)</t>
  </si>
  <si>
    <t>Prod&amp;Gather Adjustments FERC 2 ($billion)</t>
  </si>
  <si>
    <t>Total Capital Expenditures FERC 6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</si>
  <si>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</si>
  <si>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</si>
  <si>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</si>
  <si>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</si>
  <si>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</si>
  <si>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</si>
  <si>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</si>
  <si>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</si>
  <si>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</si>
  <si>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</si>
  <si>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</si>
  <si>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</si>
  <si>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</si>
  <si>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</si>
  <si>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</si>
  <si>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Total Sold/Abandoned/Retired FERC 6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</si>
  <si>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</si>
  <si>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</si>
  <si>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</si>
  <si>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</si>
  <si>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</si>
  <si>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</si>
  <si>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</si>
  <si>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</si>
  <si>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</si>
  <si>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</si>
  <si>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</si>
  <si>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</si>
  <si>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</si>
  <si>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Total Other Adjustments FERC 6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</si>
  <si>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</si>
  <si>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</si>
  <si>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</si>
  <si>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</si>
  <si>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</si>
  <si>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</si>
  <si>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</si>
  <si>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</si>
  <si>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</si>
  <si>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</si>
  <si>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</si>
  <si>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Aggregate Revenues FERC 6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</si>
  <si>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</si>
  <si>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</si>
  <si>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</si>
  <si>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</si>
  <si>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</si>
  <si>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</si>
  <si>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</si>
  <si>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</si>
  <si>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</si>
  <si>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</si>
  <si>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</si>
  <si>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</si>
  <si>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Aggregate OPEX FERC 6 ($billion)</t>
  </si>
  <si>
    <t>Total Additions FERC 2 ($billion)</t>
  </si>
  <si>
    <t>Intrastate multiplier</t>
  </si>
  <si>
    <t>VARIOUS SERIES THAT MIGHT DRIVE CAPEX IN G&amp;T</t>
  </si>
  <si>
    <t>U.S. Crude Oil Production (thousand bbl)</t>
  </si>
  <si>
    <t>U.S. Crude Oil Production (million bbl per day)</t>
  </si>
  <si>
    <t>Total Retirements FERC 2 ($billion)</t>
  </si>
  <si>
    <t>U.S. Tight Oil Production (million bbl per day)</t>
  </si>
  <si>
    <t>Share of Tight Oil in Total Production</t>
  </si>
  <si>
    <t>Total Adjustments FERC 2 ($billion)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</si>
  <si>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</si>
  <si>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</si>
  <si>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</si>
  <si>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</si>
  <si>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</si>
  <si>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Total Transfers FERC 2 ($billion)</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</si>
  <si>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</si>
  <si>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</si>
  <si>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</si>
  <si>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</si>
  <si>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</si>
  <si>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</si>
  <si>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</si>
  <si>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</si>
  <si>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Total End Year Balance FERC 2 ($billion)</t>
  </si>
  <si>
    <t>Somewhat surprisingly, tight oil production correlates better with revenues &amp; expenses than oil price or total tight oil revenues.</t>
  </si>
  <si>
    <t>Total Gas Operating Revenues FERC 2 ($billion)</t>
  </si>
  <si>
    <t>Total Utility Operating Expenses FERC 2 ($billion)</t>
  </si>
  <si>
    <t>Intrastate multiplier (based on volume delivered)</t>
  </si>
  <si>
    <t>Intrastate multiplier (based on mileage)</t>
  </si>
  <si>
    <t>Interest</t>
  </si>
  <si>
    <t>Avg utilization (calculated per user input and SolveGEN)</t>
  </si>
  <si>
    <t>Avg CAPEX CC ($/MW)</t>
  </si>
  <si>
    <t>Avg CAPEX CT ($/MW)</t>
  </si>
  <si>
    <t>Avg annual FOM - NEW ($/MW-yr)</t>
  </si>
  <si>
    <t>Avg annual VOM - NEW ($/MWh)</t>
  </si>
  <si>
    <t>Depreciation (MACRS - 15 yrs)</t>
  </si>
  <si>
    <t>Share of CC in NG Fleet</t>
  </si>
  <si>
    <t>Annual OPEX improve - NEW (%)</t>
  </si>
  <si>
    <t>Heat rate - NEW (MMBtu/MWh)</t>
  </si>
  <si>
    <t>Share of CT in NG Fleet</t>
  </si>
  <si>
    <t>Avg annual fuel cost - NEW ($/MWh)</t>
  </si>
  <si>
    <t>Avg GHG emission - NEW (mt/MWh)</t>
  </si>
  <si>
    <t>Avg annual FOM - EXISTING ($/MW-yr)</t>
  </si>
  <si>
    <t>Avg annual change in CC share</t>
  </si>
  <si>
    <t>Avg utilization CC</t>
  </si>
  <si>
    <t>Max utilization CC</t>
  </si>
  <si>
    <t>Avg annual VOM - EXISTING ($/MWh)</t>
  </si>
  <si>
    <t>Avg utilization CT</t>
  </si>
  <si>
    <t>Avg OPEX - EXISTING ($/MWh)</t>
  </si>
  <si>
    <t>Max utilization CT</t>
  </si>
  <si>
    <t>Avg annual FOM - CC ($/MW-yr)</t>
  </si>
  <si>
    <t>Annual OPEX improve - EXISTING (%)</t>
  </si>
  <si>
    <t>Heat Rate - EXISTING (MMBtu/MWh)</t>
  </si>
  <si>
    <t>Avg annual fuel cost - EXISTING ($/MWh)</t>
  </si>
  <si>
    <t>Avg annual VOM - CC ($/MWh)</t>
  </si>
  <si>
    <t>Avg OPEX - CC ($/MWh)</t>
  </si>
  <si>
    <t>Avg GHG emission - EXISTING (mt/MWh)</t>
  </si>
  <si>
    <t>Avg annual FOM - CT ($/MW-yr)</t>
  </si>
  <si>
    <t>Avg annual VOM - CT ($/MWh)</t>
  </si>
  <si>
    <t>Avg OPEX - CT ($/MWh)</t>
  </si>
  <si>
    <t>Heat rate CC (MMBtu/MWh)</t>
  </si>
  <si>
    <t>Heat rate CT (MMBtu/MWh)</t>
  </si>
  <si>
    <t>Avg annual fuel cost per unit of output CC ($/MWh)</t>
  </si>
  <si>
    <t>Avg annual fuel cost per unit of output CT ($/MWh)</t>
  </si>
  <si>
    <t>Avg GHG emission per unit of output (mt/MWh)</t>
  </si>
  <si>
    <t>Share of coal capacity receiving capacity payments</t>
  </si>
  <si>
    <t>Avg Lifetime CC (years)</t>
  </si>
  <si>
    <t>Max Lifetime CC</t>
  </si>
  <si>
    <t>Min Lifetime CC</t>
  </si>
  <si>
    <t>Avg price of coal ($2017/MMBtu)</t>
  </si>
  <si>
    <t>Avg Age CC</t>
  </si>
  <si>
    <t>Avg price of coal ($/MMBtu)</t>
  </si>
  <si>
    <t>Avg Lifetime CT (years)</t>
  </si>
  <si>
    <t>Max Lifetime CT</t>
  </si>
  <si>
    <t>Min Lifetime CT</t>
  </si>
  <si>
    <t>Avg Age CT</t>
  </si>
  <si>
    <t>Coal price inflation</t>
  </si>
  <si>
    <t>Operating Year</t>
  </si>
  <si>
    <t>Capacity</t>
  </si>
  <si>
    <t>Share of NG capacity receiving capacity payments</t>
  </si>
  <si>
    <t>Expected Retirement Profile CC</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</si>
  <si>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</si>
  <si>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</si>
  <si>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</si>
  <si>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 Onshore ($/MW)</t>
  </si>
  <si>
    <t>Avg CAPEX - Offshore ($/MW)</t>
  </si>
  <si>
    <t>Annual CAPEX improve - Onshore (%)</t>
  </si>
  <si>
    <t>Annual CAPEX improve - Offshore (%)</t>
  </si>
  <si>
    <t>Depreciation (MACRS - 5 yrs)</t>
  </si>
  <si>
    <t>Avg # of years to build - Onshore</t>
  </si>
  <si>
    <t>Avg # of years to build - Offshore</t>
  </si>
  <si>
    <t>Expected Retirement Profile CT</t>
  </si>
  <si>
    <t>CAPEX per year - Onshore</t>
  </si>
  <si>
    <t>CAPEX per year - Offshore</t>
  </si>
  <si>
    <t>Avg annual FOM - Onshore ($/MW-yr)</t>
  </si>
  <si>
    <t>Avg annual FOM - Offshore ($/MW-yr)</t>
  </si>
  <si>
    <t>Avg Age</t>
  </si>
  <si>
    <t>Share of Wind capacity receiving capacity payments</t>
  </si>
  <si>
    <t>Avg CAPEX - Utility PV ($/MW)</t>
  </si>
  <si>
    <t>Avg CAPEX - DER PV ($/MW)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</si>
  <si>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</si>
  <si>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</si>
  <si>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</si>
  <si>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</si>
  <si>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</si>
  <si>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</si>
  <si>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</si>
  <si>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</si>
  <si>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</si>
  <si>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</si>
  <si>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</si>
  <si>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</si>
  <si>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</si>
  <si>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</si>
  <si>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Lifetime Utility PV (years)</t>
  </si>
  <si>
    <t>Max Lifetime Utility PV</t>
  </si>
  <si>
    <t>Min Lifetime Utility PV</t>
  </si>
  <si>
    <t>Avg Age Utility PV</t>
  </si>
  <si>
    <t>Avg Lifetime DER PV (years)</t>
  </si>
  <si>
    <t>Max Lifetime DER PV</t>
  </si>
  <si>
    <t>Min Lifetime DER PV</t>
  </si>
  <si>
    <t>Avg Age DER PV</t>
  </si>
  <si>
    <t>Avg annual VOM ($/MWh)</t>
  </si>
  <si>
    <t>Avg OPEX ($/MWh)</t>
  </si>
  <si>
    <t>Avg annual CAPEX ($/MWh)</t>
  </si>
  <si>
    <t>Share of Solar capacity receiving capacity payments</t>
  </si>
  <si>
    <t>Depreciation</t>
  </si>
  <si>
    <t>Fuel cost improve (%)</t>
  </si>
  <si>
    <t>Share of nuclear capacity receiving capacity payments</t>
  </si>
  <si>
    <t>Avg price of uranium ($2017/MMBtu)</t>
  </si>
  <si>
    <t>Avg price of uranium ($/MMBtu)</t>
  </si>
  <si>
    <t>Uranium Fuel price inflation</t>
  </si>
  <si>
    <t>Share of hydro capacity receiving capacity payments</t>
  </si>
  <si>
    <t>Share of GEO capacity receiving capacity payments</t>
  </si>
  <si>
    <t>Share of MSW capacity receiving capacity payments</t>
  </si>
  <si>
    <t>Share of Petroleum capacity receiving capacity payments</t>
  </si>
  <si>
    <t>million mt</t>
  </si>
  <si>
    <t>Coal Downstream (Industrial)</t>
  </si>
  <si>
    <t>Natural Gas Midstream</t>
  </si>
  <si>
    <t>Total Utility OPEX</t>
  </si>
  <si>
    <t>Beginning-Year Balance</t>
  </si>
  <si>
    <t>Retirements</t>
  </si>
  <si>
    <t>Other Adjustments</t>
  </si>
  <si>
    <t>Avg CAPEX ($/MW of storage capacity)</t>
  </si>
  <si>
    <t>Avg CAPEX ($/MWh of storage capacity)</t>
  </si>
  <si>
    <t>Cost of equity (%)</t>
  </si>
  <si>
    <t>Duration (hours)</t>
  </si>
  <si>
    <t>Usable energy</t>
  </si>
  <si>
    <t>Cycle per day</t>
  </si>
  <si>
    <t>Operating days/year</t>
  </si>
  <si>
    <t>Avg annual duration change</t>
  </si>
  <si>
    <t>Avg O&amp;M ($/MWh)</t>
  </si>
  <si>
    <t>Avg charging cost ($/MWh)</t>
  </si>
  <si>
    <t>Annual charging cost escalator</t>
  </si>
  <si>
    <t>Cycle efficiency</t>
  </si>
  <si>
    <t>Avg Other ($/MWh)</t>
  </si>
  <si>
    <t>Share of battery capacity receiving capacity payments</t>
  </si>
  <si>
    <t>Depreciation Straight Line - 30 yrs</t>
  </si>
  <si>
    <t>Depreciation MACRS - 20 yrs</t>
  </si>
  <si>
    <t>Revenue</t>
  </si>
  <si>
    <t>Tax revenues to government</t>
  </si>
  <si>
    <t>Natural Gas Downstream (PowerGen)</t>
  </si>
  <si>
    <t>Implied average capacity factor</t>
  </si>
  <si>
    <t>%</t>
  </si>
  <si>
    <t>Implied fleet heat rate</t>
  </si>
  <si>
    <t>MMBtu/MWh</t>
  </si>
  <si>
    <t>Fuel Consumption</t>
  </si>
  <si>
    <t>Natural Gas Downstream (LDCs)</t>
  </si>
  <si>
    <t>Volume (Full R&amp;C + share of Ind)</t>
  </si>
  <si>
    <t>Volume (R&amp;C only)</t>
  </si>
  <si>
    <t>Revenues</t>
  </si>
  <si>
    <t>OPEX</t>
  </si>
  <si>
    <t>DD&amp;A inc Retirements</t>
  </si>
  <si>
    <t>Taxes</t>
  </si>
  <si>
    <t>Wind Upstream</t>
  </si>
  <si>
    <t>Wind Midstream</t>
  </si>
  <si>
    <t>Wind PowerGen</t>
  </si>
  <si>
    <t>FOM</t>
  </si>
  <si>
    <t>Solar Upstream</t>
  </si>
  <si>
    <t>Solar Midstream</t>
  </si>
  <si>
    <t>Solar PowerGen</t>
  </si>
  <si>
    <t>Nuclear Upstream</t>
  </si>
  <si>
    <t>Nuclear Midstream</t>
  </si>
  <si>
    <t>Nuclear PowerGen</t>
  </si>
  <si>
    <t>Operating Cost</t>
  </si>
  <si>
    <t>Annual Capital Cost</t>
  </si>
  <si>
    <t>Hydro Upstream</t>
  </si>
  <si>
    <t>Hydro Midstream</t>
  </si>
  <si>
    <t>Hydro PowerGen</t>
  </si>
  <si>
    <t xml:space="preserve">Depreciation </t>
  </si>
  <si>
    <t>Geothermal Upstream</t>
  </si>
  <si>
    <t>Geothermal Midstream</t>
  </si>
  <si>
    <t>Geothermal PowerGen</t>
  </si>
  <si>
    <t>MSW Upstream</t>
  </si>
  <si>
    <t>MSW Midstream</t>
  </si>
  <si>
    <t>MSW PowerGen</t>
  </si>
  <si>
    <t>Biomass Upstream</t>
  </si>
  <si>
    <t>Biomass Midstream</t>
  </si>
  <si>
    <t>Biomass PowerGen</t>
  </si>
  <si>
    <t>Petroleum PowerGen</t>
  </si>
  <si>
    <t>Battery Storage</t>
  </si>
  <si>
    <t>Dispatch</t>
  </si>
  <si>
    <t>O&amp;M, Charging Costs</t>
  </si>
  <si>
    <t>Electricity Transmission</t>
  </si>
  <si>
    <t>Beginning-Year Balance Before Dep</t>
  </si>
  <si>
    <t>Retirement</t>
  </si>
  <si>
    <t>Electricity Distribution</t>
  </si>
  <si>
    <t>Electricity A&amp;G</t>
  </si>
  <si>
    <t>Oil G&amp;T</t>
  </si>
  <si>
    <t>Sold/Abandoned/Retired</t>
  </si>
  <si>
    <t>O&amp;G Upstream</t>
  </si>
  <si>
    <t>Depreciation MACRS - 7 yrs</t>
  </si>
  <si>
    <t>Tax revenues to federal government</t>
  </si>
  <si>
    <t>Production tax revenues to local gov</t>
  </si>
  <si>
    <t>Royalties to resource owners</t>
  </si>
  <si>
    <t>Col-1</t>
  </si>
  <si>
    <t>Col-2</t>
  </si>
  <si>
    <t>Col-3</t>
  </si>
  <si>
    <t>Col-4</t>
  </si>
  <si>
    <t>Col-5</t>
  </si>
  <si>
    <t>Col-6</t>
  </si>
  <si>
    <t>Output value</t>
  </si>
  <si>
    <t>Input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</si>
</sst>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5">
    <numFmt numFmtId="8" formatCode="&quot;$&quot;#,##0.00_);[Red]\(&quot;$&quot;#,##0.00\)"/>
    <numFmt numFmtId="44" formatCode="_(&quot;$&quot;* #,##0.00_);_(&quot;$&quot;* \(#,##0.00\);_(&quot;$&quot;* &quot;-&quot;??_);_(@_)"/>
    <numFmt numFmtId="164" formatCode="0.0%"/>
    <numFmt numFmtId="165" formatCode="_(* #,##0_);_(* \(#,##0\);_(* &quot;-&quot;??_);_(@_)"/>
    <numFmt numFmtId="166" formatCode="0.000"/>
    <numFmt numFmtId="167" formatCode="0.0"/>
    <numFmt numFmtId="168" formatCode="_(&quot;$&quot;* #,##0_);_(&quot;$&quot;* \(#,##0\);_(&quot;$&quot;* &quot;-&quot;??_);_(@_)"/>
    <numFmt numFmtId="169" formatCode="_(&quot;$&quot;* #,##0.0000_);_(&quot;$&quot;* \(#,##0.0000\);_(&quot;$&quot;* &quot;-&quot;??_);_(@_)"/>
    <numFmt numFmtId="170" formatCode="#,##0.0"/>
    <numFmt numFmtId="171" formatCode="&quot;$&quot;#,##0.00"/>
    <numFmt numFmtId="172" formatCode="_(&quot;$&quot;* #,##0.0_);_(&quot;$&quot;* \(#,##0.0\);_(&quot;$&quot;* &quot;-&quot;??_);_(@_)"/>
    <numFmt numFmtId="173" formatCode="_(&quot;$&quot;* #,##0.000_);_(&quot;$&quot;* \(#,##0.000\);_(&quot;$&quot;* &quot;-&quot;??_);_(@_)"/>
    <numFmt numFmtId="174" formatCode="_(&quot;$&quot;* #,##0.00000_);_(&quot;$&quot;* \(#,##0.00000\);_(&quot;$&quot;* &quot;-&quot;??_);_(@_)"/>
    <numFmt numFmtId="175" formatCode="_(&quot;$&quot;* #,##0.000000_);_(&quot;$&quot;* \(#,##0.000000\);_(&quot;$&quot;* &quot;-&quot;??_);_(@_)"/>
    <numFmt numFmtId="176" formatCode="&quot;$&quot;#,##0"/>
    <numFmt numFmtId="177" formatCode="&quot;$&quot;#,##0.0"/>
    <numFmt numFmtId="178" formatCode="_(&quot;$&quot;* #,##0.00_);_(&quot;$&quot;* \(#,##0.00\);_(&quot;$&quot;* &quot;-&quot;??.00_);_(@_)"/>
    <numFmt numFmtId="179" formatCode="_(&quot;$&quot;* #,##0.000_);_(&quot;$&quot;* \(#,##0.000\);_(&quot;$&quot;* &quot;-&quot;??.0_);_(@_)"/>
    <numFmt numFmtId="180" formatCode="_(&quot;$&quot;* #,##0.00_);_(&quot;$&quot;* \(#,##0.00\);_(&quot;$&quot;* &quot;-&quot;??.0_);_(@_)"/>
    <numFmt numFmtId="181" formatCode="_(&quot;$&quot;* #,##0.000_);_(&quot;$&quot;* \(#,##0.000\);_(&quot;$&quot;* &quot;-&quot;??.000_);_(@_)"/>
    <numFmt numFmtId="182" formatCode="_(&quot;$&quot;* #,##0.0_);_(&quot;$&quot;* \(#,##0.0\);_(&quot;$&quot;* &quot;-&quot;??.0_);_(@_)"/>
    <numFmt numFmtId="183" formatCode="_(&quot;$&quot;* #,##0.0000_);_(&quot;$&quot;* \(#,##0.0000\);_(&quot;$&quot;* &quot;-&quot;??.0000_);_(@_)"/>
    <numFmt numFmtId="184" formatCode="_(&quot;$&quot;* #,##0.00000_);_(&quot;$&quot;* \(#,##0.00000\);_(&quot;$&quot;* &quot;-&quot;??.000_);_(@_)"/>
    <numFmt numFmtId="185" formatCode="_(&quot;$&quot;* #,##0.0000_);_(&quot;$&quot;* \(#,##0.0000\);_(&quot;$&quot;* &quot;-&quot;??.00_);_(@_)"/>
    <numFmt numFmtId="186" formatCode="_(&quot;$&quot;* #,##0.000000_);_(&quot;$&quot;* \(#,##0.000000\);_(&quot;$&quot;* &quot;-&quot;??.000000_);_(@_)"/>
  </numFmts>
  <fonts count="42">
    <font>
      <sz val="11"/>
      <color rgb="FF000000"/>
      <name val="Calibri"/>
    </font>
    <font>
      <sz val="10"/>
      <color rgb="FF000000"/>
      <name val="Calibri"/>
    </font>
    <font>
      <sz val="11"/>
      <color rgb="FF0000FF"/>
      <name val="Calibri"/>
    </font>
    <font>
      <b/>
      <sz val="10"/>
      <color rgb="FFFF0000"/>
      <name val="Calibri"/>
    </font>
    <font>
      <sz val="11"/>
      <color rgb="FF0000FF"/>
      <name val="Calibri"/>
    </font>
    <font>
      <sz val="11"/>
      <color rgb="FFFF0000"/>
      <name val="Calibri"/>
    </font>
    <font>
      <b/>
      <sz val="10"/>
      <color rgb="FF4472C4"/>
      <name val="Calibri"/>
    </font>
    <font>
      <sz val="11"/>
      <color rgb="FFFF0000"/>
      <name val="Calibri"/>
    </font>
    <font>
      <sz val="11"/>
      <color rgb="FF38761D"/>
      <name val="Calibri"/>
    </font>
    <font>
      <sz val="10"/>
      <color rgb="FFFF0000"/>
      <name val="Calibri"/>
    </font>
    <font>
      <b/>
      <sz val="10"/>
      <color rgb="FF000000"/>
      <name val="Calibri"/>
    </font>
    <font>
      <b/>
      <sz val="11"/>
      <color rgb="FFFF0000"/>
      <name val="Calibri"/>
    </font>
    <font>
      <b/>
      <sz val="11"/>
      <color rgb="FF000000"/>
      <name val="Calibri"/>
    </font>
    <font>
      <b/>
      <sz val="11"/>
      <name val="Calibri"/>
    </font>
    <font>
      <sz val="11"/>
      <name val="Calibri"/>
    </font>
    <font>
      <b/>
      <sz val="11"/>
      <color rgb="FFFF0000"/>
      <name val="Calibri"/>
    </font>
    <font>
      <sz val="11"/>
      <color rgb="FF000000"/>
      <name val="ArialMT"/>
    </font>
    <font>
      <b/>
      <sz val="11"/>
      <color rgb="FF000000"/>
      <name val="Calibri"/>
    </font>
    <font>
      <sz val="11"/>
      <name val="Calibri"/>
    </font>
    <font>
      <sz val="11"/>
      <name val="Arial"/>
    </font>
    <font>
      <sz val="11"/>
      <color rgb="FF000000"/>
      <name val="Arial"/>
    </font>
    <font>
      <b/>
      <sz val="11"/>
      <color rgb="FFE69138"/>
      <name val="Calibri"/>
    </font>
    <font>
      <sz val="11"/>
      <color rgb="FF000000"/>
      <name val="Calibri"/>
    </font>
    <font>
      <i/>
      <sz val="11"/>
      <name val="Calibri"/>
    </font>
    <font>
      <b/>
      <sz val="11"/>
      <color rgb="FF0000FF"/>
      <name val="Calibri"/>
    </font>
    <font>
      <sz val="11"/>
      <color rgb="FF000000"/>
      <name val="Roboto"/>
    </font>
    <font>
      <sz val="11"/>
      <color rgb="FF3F3F76"/>
      <name val="Calibri"/>
    </font>
    <font>
      <b/>
      <sz val="11"/>
      <color rgb="FFFA7D00"/>
      <name val="Calibri"/>
    </font>
    <font>
      <b/>
      <sz val="11"/>
      <name val="Calibri"/>
    </font>
    <font>
      <b/>
      <sz val="10"/>
      <name val="Calibri"/>
    </font>
    <font>
      <sz val="11"/>
      <color rgb="FF00B050"/>
      <name val="Calibri"/>
    </font>
    <font>
      <sz val="11"/>
      <color rgb="FFFA7D00"/>
      <name val="Calibri"/>
    </font>
    <font>
      <sz val="11"/>
      <color rgb="FF6AA84F"/>
      <name val="Calibri"/>
    </font>
    <font>
      <sz val="12"/>
      <color rgb="FF000000"/>
      <name val="Times New Roman"/>
    </font>
    <font>
      <b/>
      <sz val="11"/>
      <color rgb="FF00FF00"/>
      <name val="Calibri"/>
    </font>
    <font>
      <sz val="11"/>
      <color rgb="FF00FF00"/>
      <name val="Calibri"/>
    </font>
    <font>
      <sz val="11"/>
      <name val="Calibri"/>
    </font>
    <font>
      <sz val="11"/>
      <color rgb="FFFF0000"/>
      <name val="Calibri"/>
    </font>
    <font>
      <b/>
      <sz val="11"/>
      <color rgb="FF70AD47"/>
      <name val="Calibri"/>
    </font>
    <font>
      <b/>
      <sz val="11"/>
      <color rgb="FF00FF00"/>
      <name val="Calibri"/>
    </font>
    <font>
      <sz val="7"/>
      <color rgb="FF000000"/>
      <name val="Arial"/>
    </font>
    <font>
      <b/>
      <sz val="11"/>
      <color rgb="FF4A86E8"/>
      <name val="Calibri"/>
    </font>
  </fonts>
  <fills count="36">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EF2CB"/>
        <bgColor rgb="FFFEF2CB"/>
      </patternFill>
    </fill>
    <fill>
      <patternFill patternType="solid">
        <fgColor rgb="FF00FFFF"/>
        <bgColor rgb="FF00FFFF"/>
      </patternFill>
    </fill>
    <fill>
      <patternFill patternType="solid">
        <fgColor rgb="FF00FF00"/>
        <bgColor rgb="FF00FF00"/>
      </patternFill>
    </fill>
    <fill>
      <patternFill patternType="solid">
        <fgColor rgb="FFE7E6E6"/>
        <bgColor rgb="FFE7E6E6"/>
      </patternFill>
    </fill>
    <fill>
      <patternFill patternType="solid">
        <fgColor rgb="FFFF9900"/>
        <bgColor rgb="FFFF9900"/>
      </patternFill>
    </fill>
    <fill>
      <patternFill patternType="solid">
        <fgColor rgb="FFFFD966"/>
        <bgColor rgb="FFFFD966"/>
      </patternFill>
    </fill>
    <fill>
      <patternFill patternType="solid">
        <fgColor rgb="FFFFF2CC"/>
        <bgColor rgb="FFFFF2CC"/>
      </patternFill>
    </fill>
    <fill>
      <patternFill patternType="solid">
        <fgColor rgb="FFD9D9D9"/>
        <bgColor rgb="FFD9D9D9"/>
      </patternFill>
    </fill>
    <fill>
      <patternFill patternType="solid">
        <fgColor rgb="FFFFCC99"/>
        <bgColor rgb="FFFFCC99"/>
      </patternFill>
    </fill>
    <fill>
      <patternFill patternType="solid">
        <fgColor rgb="FFF2F2F2"/>
        <bgColor rgb="FFF2F2F2"/>
      </patternFill>
    </fill>
    <fill>
      <patternFill patternType="solid">
        <fgColor rgb="FFCFE2F3"/>
        <bgColor rgb="FFCFE2F3"/>
      </patternFill>
    </fill>
    <fill>
      <patternFill patternType="solid">
        <fgColor rgb="FFF9CB9C"/>
        <bgColor rgb="FFF9CB9C"/>
      </patternFill>
    </fill>
    <fill>
      <patternFill patternType="solid">
        <fgColor rgb="FFFCE5CD"/>
        <bgColor rgb="FFFCE5CD"/>
      </patternFill>
    </fill>
    <fill>
      <patternFill patternType="solid">
        <fgColor rgb="FFD9EAD3"/>
        <bgColor rgb="FFD9EAD3"/>
      </patternFill>
    </fill>
    <fill>
      <patternFill patternType="solid">
        <fgColor rgb="FFD9D2E9"/>
        <bgColor rgb="FFD9D2E9"/>
      </patternFill>
    </fill>
    <fill>
      <patternFill patternType="solid">
        <fgColor rgb="FFFFE599"/>
        <bgColor rgb="FFFFE599"/>
      </patternFill>
    </fill>
    <fill>
      <patternFill patternType="solid">
        <fgColor rgb="FFB6D7A8"/>
        <bgColor rgb="FFB6D7A8"/>
      </patternFill>
    </fill>
    <fill>
      <patternFill patternType="solid">
        <fgColor rgb="FFEA9999"/>
        <bgColor rgb="FFEA9999"/>
      </patternFill>
    </fill>
    <fill>
      <patternFill patternType="solid">
        <fgColor rgb="FFF4CCCC"/>
        <bgColor rgb="FFF4CCCC"/>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FF00FF"/>
        <bgColor rgb="FFFF00FF"/>
      </patternFill>
    </fill>
    <fill>
      <patternFill patternType="solid">
        <fgColor rgb="FF3D85C6"/>
        <bgColor rgb="FF3D85C6"/>
      </patternFill>
    </fill>
    <fill>
      <patternFill patternType="solid">
        <fgColor rgb="FF6AA84F"/>
        <bgColor rgb="FF6AA84F"/>
      </patternFill>
    </fill>
  </fills>
  <borders count="14">
    <border>
      <left/>
      <right/>
      <top/>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top style="medium">
        <color rgb="FF000000"/>
      </top>
      <bottom style="medium">
        <color rgb="FF000000"/>
      </bottom>
      <diagonal/>
    </border>
    <border>
      <left/>
      <right/>
      <top style="thin">
        <color rgb="FF000000"/>
      </top>
      <bottom style="thin">
        <color rgb="FF000000"/>
      </bottom>
      <diagonal/>
    </border>
    <border>
      <left/>
      <right/>
      <top/>
      <bottom style="thin">
        <color rgb="FF000000"/>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rgb="FF7F7F7F"/>
      </top>
      <bottom style="thin">
        <color rgb="FF000000"/>
      </bottom>
      <diagonal/>
    </border>
    <border>
      <left style="thin">
        <color rgb="FF7F7F7F"/>
      </left>
      <right style="thin">
        <color rgb="FF7F7F7F"/>
      </right>
      <top style="thin">
        <color rgb="FF000000"/>
      </top>
      <bottom/>
      <diagonal/>
    </border>
    <border>
      <left style="thin">
        <color rgb="FF7F7F7F"/>
      </left>
      <right style="thin">
        <color rgb="FF7F7F7F"/>
      </right>
      <top style="thin">
        <color rgb="FF000000"/>
      </top>
      <bottom style="thin">
        <color rgb="FF7F7F7F"/>
      </bottom>
      <diagonal/>
    </border>
    <border>
      <left/>
      <right/>
      <top/>
      <bottom/>
      <diagonal/>
    </border>
  </borders>
  <cellStyleXfs count="1">
    <xf numFmtId="0" fontId="0" fillId="0" borderId="0"/>
  </cellStyleXfs>
  <cellXfs count="478">
    <xf numFmtId="0" fontId="0" fillId="0" borderId="0" xfId="0" applyFont="1" applyAlignment="1"/>
    <xf numFmtId="0" fontId="1" fillId="0" borderId="0" xfId="0" applyFont="1"/>
    <xf numFmtId="0" fontId="2" fillId="0" borderId="0" xfId="0" applyFont="1" applyAlignment="1"/>
    <xf numFmtId="0" fontId="3" fillId="0" borderId="0" xfId="0" applyFont="1"/>
    <xf numFmtId="0" fontId="4" fillId="0" borderId="0" xfId="0" applyFont="1" applyAlignment="1"/>
    <xf numFmtId="0" fontId="5" fillId="0" borderId="0" xfId="0" applyFont="1"/>
    <xf numFmtId="0" fontId="6" fillId="0" borderId="0" xfId="0" applyFont="1" applyAlignment="1"/>
    <xf numFmtId="0" fontId="7" fillId="0" borderId="0" xfId="0" applyFont="1" applyAlignment="1"/>
    <xf numFmtId="0" fontId="1" fillId="0" borderId="0" xfId="0" applyFont="1" applyAlignment="1">
      <alignment horizontal="left" vertical="top" wrapText="1"/>
    </xf>
    <xf numFmtId="0" fontId="7" fillId="0" borderId="0" xfId="0" applyFont="1"/>
    <xf numFmtId="0" fontId="1" fillId="0" borderId="0" xfId="0" applyFont="1" applyAlignment="1">
      <alignment horizontal="left" vertical="top" wrapText="1"/>
    </xf>
    <xf numFmtId="0" fontId="8" fillId="0" borderId="0" xfId="0" applyFont="1" applyAlignment="1"/>
    <xf numFmtId="0" fontId="1"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9" fillId="0" borderId="0" xfId="0" applyFont="1" applyAlignment="1">
      <alignment horizontal="left" vertical="top" wrapText="1"/>
    </xf>
    <xf numFmtId="0" fontId="6" fillId="0" borderId="0" xfId="0" applyFont="1"/>
    <xf numFmtId="0" fontId="9" fillId="0" borderId="0" xfId="0" applyFont="1" applyAlignment="1">
      <alignment horizontal="left" vertical="top" wrapText="1"/>
    </xf>
    <xf numFmtId="0" fontId="10" fillId="0" borderId="0" xfId="0" applyFont="1" applyAlignment="1">
      <alignment horizontal="left" vertical="top" wrapText="1"/>
    </xf>
    <xf numFmtId="0" fontId="1" fillId="0" borderId="0" xfId="0" applyFont="1" applyAlignment="1">
      <alignment wrapText="1"/>
    </xf>
    <xf numFmtId="0" fontId="9" fillId="0" borderId="0" xfId="0" applyFont="1" applyAlignment="1">
      <alignment wrapText="1"/>
    </xf>
    <xf numFmtId="0" fontId="0" fillId="0" borderId="0" xfId="0" applyFont="1" applyAlignment="1">
      <alignment horizontal="right"/>
    </xf>
    <xf numFmtId="164" fontId="11" fillId="3" borderId="1" xfId="0" applyNumberFormat="1" applyFont="1" applyFill="1" applyBorder="1"/>
    <xf numFmtId="164" fontId="0" fillId="4" borderId="1" xfId="0" applyNumberFormat="1" applyFont="1" applyFill="1" applyBorder="1"/>
    <xf numFmtId="0" fontId="12" fillId="0" borderId="0" xfId="0" applyFont="1" applyAlignment="1">
      <alignment horizontal="left"/>
    </xf>
    <xf numFmtId="0" fontId="11" fillId="3" borderId="1" xfId="0" applyFont="1" applyFill="1" applyBorder="1" applyAlignment="1"/>
    <xf numFmtId="0" fontId="15" fillId="5" borderId="0" xfId="0" applyFont="1" applyFill="1" applyAlignment="1">
      <alignment horizontal="center"/>
    </xf>
    <xf numFmtId="0" fontId="13" fillId="0" borderId="4" xfId="0" applyFont="1" applyBorder="1" applyAlignment="1">
      <alignment horizontal="center"/>
    </xf>
    <xf numFmtId="10" fontId="11" fillId="3" borderId="0" xfId="0" applyNumberFormat="1" applyFont="1" applyFill="1" applyAlignment="1">
      <alignment horizontal="right"/>
    </xf>
    <xf numFmtId="10" fontId="11" fillId="5" borderId="5" xfId="0" applyNumberFormat="1" applyFont="1" applyFill="1" applyBorder="1" applyAlignment="1"/>
    <xf numFmtId="0" fontId="14" fillId="0" borderId="4" xfId="0" applyFont="1" applyBorder="1" applyAlignment="1"/>
    <xf numFmtId="1" fontId="14" fillId="0" borderId="4" xfId="0" applyNumberFormat="1" applyFont="1" applyBorder="1" applyAlignment="1"/>
    <xf numFmtId="164" fontId="14" fillId="0" borderId="0" xfId="0" applyNumberFormat="1" applyFont="1"/>
    <xf numFmtId="11" fontId="14" fillId="0" borderId="4" xfId="0" applyNumberFormat="1" applyFont="1" applyBorder="1" applyAlignment="1"/>
    <xf numFmtId="0" fontId="0" fillId="2" borderId="0" xfId="0" applyFont="1" applyFill="1" applyAlignment="1">
      <alignment horizontal="right"/>
    </xf>
    <xf numFmtId="0" fontId="5" fillId="3" borderId="0" xfId="0" applyFont="1" applyFill="1" applyAlignment="1">
      <alignment horizontal="right"/>
    </xf>
    <xf numFmtId="164" fontId="0" fillId="0" borderId="0" xfId="0" applyNumberFormat="1" applyFont="1"/>
    <xf numFmtId="0" fontId="13" fillId="0" borderId="4" xfId="0" applyFont="1" applyBorder="1"/>
    <xf numFmtId="1" fontId="13" fillId="0" borderId="4" xfId="0" applyNumberFormat="1" applyFont="1" applyBorder="1"/>
    <xf numFmtId="8" fontId="0" fillId="0" borderId="0" xfId="0" applyNumberFormat="1" applyFont="1"/>
    <xf numFmtId="9" fontId="0" fillId="0" borderId="0" xfId="0" applyNumberFormat="1" applyFont="1"/>
    <xf numFmtId="0" fontId="13" fillId="0" borderId="0" xfId="0" applyFont="1" applyAlignment="1"/>
    <xf numFmtId="0" fontId="12" fillId="0" borderId="0" xfId="0" applyFont="1" applyAlignment="1"/>
    <xf numFmtId="0" fontId="12" fillId="0" borderId="0" xfId="0" applyFont="1"/>
    <xf numFmtId="0" fontId="12" fillId="0" borderId="0" xfId="0" applyFont="1" applyAlignment="1">
      <alignment horizontal="right"/>
    </xf>
    <xf numFmtId="165" fontId="16" fillId="0" borderId="0" xfId="0" applyNumberFormat="1" applyFont="1" applyAlignment="1"/>
    <xf numFmtId="165" fontId="0" fillId="0" borderId="0" xfId="0" applyNumberFormat="1" applyFont="1" applyAlignment="1"/>
    <xf numFmtId="3" fontId="0" fillId="0" borderId="0" xfId="0" applyNumberFormat="1" applyFont="1"/>
    <xf numFmtId="0" fontId="11" fillId="2" borderId="1" xfId="0" applyFont="1" applyFill="1" applyBorder="1" applyAlignment="1">
      <alignment horizontal="center"/>
    </xf>
    <xf numFmtId="0" fontId="12" fillId="4" borderId="1" xfId="0" applyFont="1" applyFill="1" applyBorder="1" applyAlignment="1">
      <alignment horizontal="center"/>
    </xf>
    <xf numFmtId="49" fontId="12" fillId="4" borderId="5" xfId="0" applyNumberFormat="1" applyFont="1" applyFill="1" applyBorder="1" applyAlignment="1">
      <alignment horizontal="center"/>
    </xf>
    <xf numFmtId="0" fontId="17" fillId="2" borderId="4" xfId="0" applyFont="1" applyFill="1" applyBorder="1" applyAlignment="1">
      <alignment horizontal="center"/>
    </xf>
    <xf numFmtId="0" fontId="13" fillId="6" borderId="4" xfId="0" applyFont="1" applyFill="1" applyBorder="1" applyAlignment="1">
      <alignment horizontal="center"/>
    </xf>
    <xf numFmtId="10" fontId="11" fillId="2" borderId="0" xfId="0" applyNumberFormat="1" applyFont="1" applyFill="1" applyAlignment="1">
      <alignment horizontal="center"/>
    </xf>
    <xf numFmtId="164" fontId="0" fillId="4" borderId="5" xfId="0" applyNumberFormat="1" applyFont="1" applyFill="1" applyBorder="1" applyAlignment="1">
      <alignment horizontal="center"/>
    </xf>
    <xf numFmtId="164" fontId="0" fillId="2" borderId="4" xfId="0" applyNumberFormat="1" applyFont="1" applyFill="1" applyBorder="1" applyAlignment="1">
      <alignment horizontal="center"/>
    </xf>
    <xf numFmtId="0" fontId="14" fillId="0" borderId="4" xfId="0" applyFont="1" applyBorder="1" applyAlignment="1">
      <alignment horizontal="center"/>
    </xf>
    <xf numFmtId="1" fontId="14" fillId="0" borderId="4" xfId="0" applyNumberFormat="1" applyFont="1" applyBorder="1" applyAlignment="1">
      <alignment horizontal="center"/>
    </xf>
    <xf numFmtId="0" fontId="14" fillId="6" borderId="4" xfId="0" applyFont="1" applyFill="1" applyBorder="1" applyAlignment="1">
      <alignment horizontal="center"/>
    </xf>
    <xf numFmtId="1" fontId="0" fillId="6" borderId="4" xfId="0" applyNumberFormat="1" applyFont="1" applyFill="1" applyBorder="1" applyAlignment="1">
      <alignment horizontal="center"/>
    </xf>
    <xf numFmtId="166" fontId="14" fillId="0" borderId="0" xfId="0" applyNumberFormat="1" applyFont="1"/>
    <xf numFmtId="0" fontId="11" fillId="2" borderId="0" xfId="0" applyFont="1" applyFill="1" applyAlignment="1">
      <alignment horizontal="center" wrapText="1"/>
    </xf>
    <xf numFmtId="0" fontId="0" fillId="4" borderId="5" xfId="0" applyFont="1" applyFill="1" applyBorder="1" applyAlignment="1">
      <alignment horizontal="center" wrapText="1"/>
    </xf>
    <xf numFmtId="11" fontId="14" fillId="0" borderId="4" xfId="0" applyNumberFormat="1" applyFont="1" applyBorder="1" applyAlignment="1">
      <alignment horizontal="center"/>
    </xf>
    <xf numFmtId="0" fontId="0" fillId="0" borderId="0" xfId="0" applyFont="1" applyAlignment="1">
      <alignment horizontal="right"/>
    </xf>
    <xf numFmtId="11" fontId="14" fillId="6" borderId="4" xfId="0" applyNumberFormat="1" applyFont="1" applyFill="1" applyBorder="1" applyAlignment="1">
      <alignment horizontal="center"/>
    </xf>
    <xf numFmtId="4" fontId="11" fillId="2" borderId="0" xfId="0" applyNumberFormat="1" applyFont="1" applyFill="1" applyAlignment="1">
      <alignment horizontal="center"/>
    </xf>
    <xf numFmtId="4" fontId="0" fillId="4" borderId="5" xfId="0" applyNumberFormat="1" applyFont="1" applyFill="1" applyBorder="1" applyAlignment="1">
      <alignment horizontal="center"/>
    </xf>
    <xf numFmtId="1" fontId="0" fillId="0" borderId="4" xfId="0" applyNumberFormat="1" applyFont="1" applyBorder="1" applyAlignment="1">
      <alignment horizontal="center"/>
    </xf>
    <xf numFmtId="1" fontId="14" fillId="6" borderId="4" xfId="0" applyNumberFormat="1" applyFont="1" applyFill="1" applyBorder="1" applyAlignment="1">
      <alignment horizontal="center"/>
    </xf>
    <xf numFmtId="0" fontId="5" fillId="2" borderId="0" xfId="0" applyFont="1" applyFill="1" applyAlignment="1">
      <alignment horizontal="center"/>
    </xf>
    <xf numFmtId="164" fontId="0" fillId="0" borderId="0" xfId="0" applyNumberFormat="1" applyFont="1" applyAlignment="1">
      <alignment horizontal="center"/>
    </xf>
    <xf numFmtId="165" fontId="0" fillId="0" borderId="0" xfId="0" applyNumberFormat="1" applyFont="1"/>
    <xf numFmtId="0" fontId="0" fillId="0" borderId="4" xfId="0" applyFont="1" applyBorder="1" applyAlignment="1">
      <alignment horizontal="right"/>
    </xf>
    <xf numFmtId="0" fontId="18" fillId="6" borderId="4" xfId="0" applyFont="1" applyFill="1" applyBorder="1" applyAlignment="1"/>
    <xf numFmtId="1" fontId="18" fillId="6" borderId="4" xfId="0" applyNumberFormat="1" applyFont="1" applyFill="1" applyBorder="1" applyAlignment="1"/>
    <xf numFmtId="0" fontId="14" fillId="0" borderId="0" xfId="0" applyFont="1" applyAlignment="1">
      <alignment horizontal="center"/>
    </xf>
    <xf numFmtId="164" fontId="13" fillId="0" borderId="4" xfId="0" applyNumberFormat="1" applyFont="1" applyBorder="1" applyAlignment="1">
      <alignment horizontal="center"/>
    </xf>
    <xf numFmtId="0" fontId="13" fillId="0" borderId="4" xfId="0" applyFont="1" applyBorder="1" applyAlignment="1">
      <alignment horizontal="center"/>
    </xf>
    <xf numFmtId="1" fontId="13" fillId="0" borderId="4" xfId="0" applyNumberFormat="1" applyFont="1" applyBorder="1" applyAlignment="1">
      <alignment horizontal="center"/>
    </xf>
    <xf numFmtId="0" fontId="14" fillId="6" borderId="0" xfId="0" applyFont="1" applyFill="1" applyAlignment="1"/>
    <xf numFmtId="0" fontId="14" fillId="0" borderId="0" xfId="0" applyFont="1" applyAlignment="1"/>
    <xf numFmtId="10" fontId="14" fillId="0" borderId="0" xfId="0" applyNumberFormat="1" applyFont="1" applyAlignment="1"/>
    <xf numFmtId="0" fontId="13" fillId="0" borderId="0" xfId="0" applyFont="1" applyAlignment="1">
      <alignment wrapText="1"/>
    </xf>
    <xf numFmtId="0" fontId="13" fillId="0" borderId="4" xfId="0" applyFont="1" applyBorder="1" applyAlignment="1">
      <alignment horizontal="center" wrapText="1"/>
    </xf>
    <xf numFmtId="166" fontId="14" fillId="0" borderId="0" xfId="0" applyNumberFormat="1" applyFont="1" applyAlignment="1">
      <alignment horizontal="center"/>
    </xf>
    <xf numFmtId="0" fontId="14" fillId="2" borderId="0" xfId="0" applyFont="1" applyFill="1"/>
    <xf numFmtId="0" fontId="0" fillId="0" borderId="0" xfId="0" applyFont="1"/>
    <xf numFmtId="0" fontId="12" fillId="7" borderId="6" xfId="0" applyFont="1" applyFill="1" applyBorder="1"/>
    <xf numFmtId="0" fontId="0" fillId="0" borderId="0" xfId="0" applyFont="1" applyAlignment="1">
      <alignment horizontal="center"/>
    </xf>
    <xf numFmtId="0" fontId="12" fillId="7" borderId="5" xfId="0" applyFont="1" applyFill="1" applyBorder="1"/>
    <xf numFmtId="1" fontId="0" fillId="0" borderId="0" xfId="0" applyNumberFormat="1" applyFont="1" applyAlignment="1">
      <alignment horizontal="center"/>
    </xf>
    <xf numFmtId="44" fontId="0" fillId="0" borderId="0" xfId="0" applyNumberFormat="1" applyFont="1" applyAlignment="1">
      <alignment horizontal="center"/>
    </xf>
    <xf numFmtId="1" fontId="0" fillId="0" borderId="0" xfId="0" applyNumberFormat="1" applyFont="1" applyAlignment="1">
      <alignment horizontal="center" vertical="center"/>
    </xf>
    <xf numFmtId="0" fontId="12" fillId="0" borderId="0" xfId="0" applyFont="1" applyAlignment="1">
      <alignment horizontal="center" wrapText="1"/>
    </xf>
    <xf numFmtId="2" fontId="0" fillId="0" borderId="0" xfId="0" applyNumberFormat="1" applyFont="1" applyAlignment="1">
      <alignment horizontal="center"/>
    </xf>
    <xf numFmtId="44" fontId="12" fillId="0" borderId="0" xfId="0" applyNumberFormat="1" applyFont="1" applyAlignment="1">
      <alignment horizontal="center" wrapText="1"/>
    </xf>
    <xf numFmtId="44" fontId="0" fillId="3" borderId="1" xfId="0" applyNumberFormat="1" applyFont="1" applyFill="1" applyBorder="1" applyAlignment="1">
      <alignment horizontal="center"/>
    </xf>
    <xf numFmtId="44" fontId="0" fillId="3" borderId="1" xfId="0" applyNumberFormat="1" applyFont="1" applyFill="1" applyBorder="1" applyAlignment="1">
      <alignment horizontal="center" vertical="center"/>
    </xf>
    <xf numFmtId="0" fontId="12" fillId="7" borderId="5" xfId="0" applyFont="1" applyFill="1" applyBorder="1" applyAlignment="1">
      <alignment horizontal="right"/>
    </xf>
    <xf numFmtId="0" fontId="12" fillId="0" borderId="0" xfId="0" applyFont="1" applyAlignment="1">
      <alignment horizontal="right"/>
    </xf>
    <xf numFmtId="0" fontId="12" fillId="0" borderId="0" xfId="0" applyFont="1" applyAlignment="1">
      <alignment horizontal="center" wrapText="1"/>
    </xf>
    <xf numFmtId="167" fontId="0" fillId="0" borderId="0" xfId="0" applyNumberFormat="1" applyFont="1" applyAlignment="1">
      <alignment horizontal="center"/>
    </xf>
    <xf numFmtId="9" fontId="0" fillId="0" borderId="0" xfId="0" applyNumberFormat="1" applyFont="1" applyAlignment="1">
      <alignment horizontal="center"/>
    </xf>
    <xf numFmtId="1" fontId="11" fillId="3" borderId="0" xfId="0" applyNumberFormat="1" applyFont="1" applyFill="1" applyAlignment="1">
      <alignment horizontal="center"/>
    </xf>
    <xf numFmtId="167" fontId="11" fillId="3" borderId="0" xfId="0" applyNumberFormat="1" applyFont="1" applyFill="1" applyAlignment="1">
      <alignment horizontal="center"/>
    </xf>
    <xf numFmtId="168" fontId="0" fillId="0" borderId="0" xfId="0" applyNumberFormat="1" applyFont="1" applyAlignment="1">
      <alignment horizontal="center"/>
    </xf>
    <xf numFmtId="44" fontId="0" fillId="0" borderId="0" xfId="0" applyNumberFormat="1" applyFont="1" applyAlignment="1">
      <alignment horizontal="center"/>
    </xf>
    <xf numFmtId="44" fontId="0" fillId="3" borderId="1" xfId="0" applyNumberFormat="1" applyFont="1" applyFill="1" applyBorder="1" applyAlignment="1">
      <alignment horizontal="center" vertical="center"/>
    </xf>
    <xf numFmtId="169" fontId="0" fillId="0" borderId="0" xfId="0" applyNumberFormat="1" applyFont="1"/>
    <xf numFmtId="4" fontId="0" fillId="0" borderId="0" xfId="0" applyNumberFormat="1" applyFont="1" applyAlignment="1"/>
    <xf numFmtId="3" fontId="0" fillId="0" borderId="0" xfId="0" applyNumberFormat="1" applyFont="1" applyAlignment="1"/>
    <xf numFmtId="10" fontId="14" fillId="0" borderId="0" xfId="0" applyNumberFormat="1" applyFont="1"/>
    <xf numFmtId="10" fontId="14" fillId="3" borderId="0" xfId="0" applyNumberFormat="1" applyFont="1" applyFill="1"/>
    <xf numFmtId="0" fontId="19" fillId="8" borderId="0" xfId="0" applyFont="1" applyFill="1" applyAlignment="1">
      <alignment horizontal="right"/>
    </xf>
    <xf numFmtId="1" fontId="19" fillId="8" borderId="0" xfId="0" applyNumberFormat="1" applyFont="1" applyFill="1" applyAlignment="1">
      <alignment horizontal="right"/>
    </xf>
    <xf numFmtId="0" fontId="19" fillId="0" borderId="0" xfId="0" applyFont="1" applyAlignment="1">
      <alignment horizontal="right"/>
    </xf>
    <xf numFmtId="1" fontId="14" fillId="8" borderId="0" xfId="0" applyNumberFormat="1" applyFont="1" applyFill="1"/>
    <xf numFmtId="0" fontId="14" fillId="8" borderId="0" xfId="0" applyFont="1" applyFill="1" applyAlignment="1"/>
    <xf numFmtId="167" fontId="14" fillId="8" borderId="0" xfId="0" applyNumberFormat="1" applyFont="1" applyFill="1"/>
    <xf numFmtId="167" fontId="14" fillId="0" borderId="0" xfId="0" applyNumberFormat="1" applyFont="1"/>
    <xf numFmtId="167" fontId="14" fillId="8" borderId="0" xfId="0" applyNumberFormat="1" applyFont="1" applyFill="1" applyAlignment="1"/>
    <xf numFmtId="2" fontId="14" fillId="8" borderId="0" xfId="0" applyNumberFormat="1" applyFont="1" applyFill="1"/>
    <xf numFmtId="167" fontId="14" fillId="0" borderId="0" xfId="0" applyNumberFormat="1" applyFont="1" applyAlignment="1"/>
    <xf numFmtId="2" fontId="0" fillId="0" borderId="0" xfId="0" applyNumberFormat="1" applyFont="1" applyAlignment="1">
      <alignment horizontal="right"/>
    </xf>
    <xf numFmtId="11" fontId="0" fillId="0" borderId="0" xfId="0" applyNumberFormat="1" applyFont="1" applyAlignment="1">
      <alignment horizontal="right"/>
    </xf>
    <xf numFmtId="165" fontId="20" fillId="0" borderId="0" xfId="0" applyNumberFormat="1" applyFont="1" applyAlignment="1"/>
    <xf numFmtId="2" fontId="14" fillId="0" borderId="0" xfId="0" applyNumberFormat="1" applyFont="1"/>
    <xf numFmtId="0" fontId="0" fillId="0" borderId="0" xfId="0" applyFont="1" applyAlignment="1">
      <alignment horizontal="right"/>
    </xf>
    <xf numFmtId="0" fontId="12" fillId="9" borderId="0" xfId="0" applyFont="1" applyFill="1" applyAlignment="1">
      <alignment horizontal="right"/>
    </xf>
    <xf numFmtId="165" fontId="0" fillId="9" borderId="0" xfId="0" applyNumberFormat="1" applyFont="1" applyFill="1" applyAlignment="1"/>
    <xf numFmtId="3" fontId="0" fillId="9" borderId="0" xfId="0" applyNumberFormat="1" applyFont="1" applyFill="1"/>
    <xf numFmtId="2" fontId="14" fillId="0" borderId="0" xfId="0" applyNumberFormat="1" applyFont="1" applyAlignment="1"/>
    <xf numFmtId="165" fontId="0" fillId="9" borderId="0" xfId="0" applyNumberFormat="1" applyFont="1" applyFill="1"/>
    <xf numFmtId="170" fontId="0" fillId="9" borderId="0" xfId="0" applyNumberFormat="1" applyFont="1" applyFill="1" applyAlignment="1"/>
    <xf numFmtId="170" fontId="0" fillId="9" borderId="0" xfId="0" applyNumberFormat="1" applyFont="1" applyFill="1"/>
    <xf numFmtId="0" fontId="14" fillId="10" borderId="0" xfId="0" applyFont="1" applyFill="1" applyAlignment="1"/>
    <xf numFmtId="9" fontId="14" fillId="10" borderId="0" xfId="0" applyNumberFormat="1" applyFont="1" applyFill="1" applyAlignment="1"/>
    <xf numFmtId="4" fontId="14" fillId="0" borderId="0" xfId="0" applyNumberFormat="1" applyFont="1" applyAlignment="1"/>
    <xf numFmtId="44" fontId="0" fillId="9" borderId="0" xfId="0" applyNumberFormat="1" applyFont="1" applyFill="1"/>
    <xf numFmtId="170" fontId="0" fillId="0" borderId="0" xfId="0" applyNumberFormat="1" applyFont="1" applyAlignment="1"/>
    <xf numFmtId="9" fontId="14" fillId="0" borderId="0" xfId="0" applyNumberFormat="1" applyFont="1" applyAlignment="1"/>
    <xf numFmtId="3" fontId="14" fillId="0" borderId="0" xfId="0" applyNumberFormat="1" applyFont="1" applyAlignment="1"/>
    <xf numFmtId="10" fontId="7" fillId="0" borderId="0" xfId="0" applyNumberFormat="1" applyFont="1"/>
    <xf numFmtId="1" fontId="0" fillId="0" borderId="0" xfId="0" applyNumberFormat="1" applyFont="1" applyAlignment="1">
      <alignment horizontal="center"/>
    </xf>
    <xf numFmtId="171" fontId="14" fillId="0" borderId="0" xfId="0" applyNumberFormat="1" applyFont="1" applyAlignment="1"/>
    <xf numFmtId="171" fontId="21" fillId="11" borderId="4" xfId="0" applyNumberFormat="1" applyFont="1" applyFill="1" applyBorder="1"/>
    <xf numFmtId="0" fontId="14" fillId="3" borderId="0" xfId="0" applyFont="1" applyFill="1" applyAlignment="1"/>
    <xf numFmtId="44" fontId="0" fillId="0" borderId="0" xfId="0" applyNumberFormat="1" applyFont="1"/>
    <xf numFmtId="9" fontId="14" fillId="10" borderId="0" xfId="0" applyNumberFormat="1" applyFont="1" applyFill="1"/>
    <xf numFmtId="0" fontId="12" fillId="7" borderId="5" xfId="0" applyFont="1" applyFill="1" applyBorder="1" applyAlignment="1">
      <alignment horizontal="right"/>
    </xf>
    <xf numFmtId="172" fontId="0" fillId="0" borderId="0" xfId="0" applyNumberFormat="1" applyFont="1" applyAlignment="1">
      <alignment horizontal="center"/>
    </xf>
    <xf numFmtId="0" fontId="14" fillId="0" borderId="0" xfId="0" applyFont="1" applyAlignment="1">
      <alignment horizontal="right"/>
    </xf>
    <xf numFmtId="171" fontId="0" fillId="0" borderId="0" xfId="0" applyNumberFormat="1" applyFont="1" applyAlignment="1">
      <alignment horizontal="right"/>
    </xf>
    <xf numFmtId="171" fontId="22" fillId="0" borderId="0" xfId="0" applyNumberFormat="1" applyFont="1" applyAlignment="1"/>
    <xf numFmtId="171" fontId="7" fillId="0" borderId="0" xfId="0" applyNumberFormat="1" applyFont="1" applyAlignment="1"/>
    <xf numFmtId="0" fontId="23" fillId="0" borderId="7" xfId="0" applyFont="1" applyBorder="1" applyAlignment="1">
      <alignment horizontal="center"/>
    </xf>
    <xf numFmtId="0" fontId="23" fillId="0" borderId="7" xfId="0" applyFont="1" applyBorder="1" applyAlignment="1">
      <alignment horizontal="center"/>
    </xf>
    <xf numFmtId="0" fontId="23" fillId="0" borderId="0" xfId="0" applyFont="1" applyAlignment="1">
      <alignment horizontal="center"/>
    </xf>
    <xf numFmtId="0" fontId="14" fillId="0" borderId="0" xfId="0" applyFont="1" applyAlignment="1"/>
    <xf numFmtId="0" fontId="14" fillId="0" borderId="8" xfId="0" applyFont="1" applyBorder="1" applyAlignment="1"/>
    <xf numFmtId="0" fontId="14" fillId="0" borderId="8" xfId="0" applyFont="1" applyBorder="1" applyAlignment="1"/>
    <xf numFmtId="0" fontId="23" fillId="0" borderId="0" xfId="0" applyFont="1" applyAlignment="1">
      <alignment horizontal="center"/>
    </xf>
    <xf numFmtId="0" fontId="14" fillId="0" borderId="8" xfId="0" applyFont="1" applyBorder="1"/>
    <xf numFmtId="0" fontId="23" fillId="0" borderId="0" xfId="0" applyFont="1" applyAlignment="1">
      <alignment horizontal="center"/>
    </xf>
    <xf numFmtId="0" fontId="23" fillId="0" borderId="8" xfId="0" applyFont="1" applyBorder="1" applyAlignment="1">
      <alignment horizontal="center"/>
    </xf>
    <xf numFmtId="0" fontId="23" fillId="0" borderId="8" xfId="0" applyFont="1" applyBorder="1" applyAlignment="1">
      <alignment horizontal="center"/>
    </xf>
    <xf numFmtId="0" fontId="23" fillId="0" borderId="8" xfId="0" applyFont="1" applyBorder="1" applyAlignment="1">
      <alignment horizontal="center"/>
    </xf>
    <xf numFmtId="173" fontId="0" fillId="0" borderId="0" xfId="0" applyNumberFormat="1" applyFont="1" applyAlignment="1">
      <alignment horizontal="center"/>
    </xf>
    <xf numFmtId="170" fontId="0" fillId="0" borderId="0" xfId="0" applyNumberFormat="1" applyFont="1"/>
    <xf numFmtId="3" fontId="12" fillId="9" borderId="0" xfId="0" applyNumberFormat="1" applyFont="1" applyFill="1" applyAlignment="1">
      <alignment horizontal="right"/>
    </xf>
    <xf numFmtId="168" fontId="0" fillId="0" borderId="0" xfId="0" applyNumberFormat="1" applyFont="1" applyAlignment="1">
      <alignment horizontal="center"/>
    </xf>
    <xf numFmtId="8" fontId="0" fillId="0" borderId="0" xfId="0" applyNumberFormat="1" applyFont="1" applyAlignment="1">
      <alignment horizontal="center"/>
    </xf>
    <xf numFmtId="170" fontId="14" fillId="9" borderId="0" xfId="0" applyNumberFormat="1" applyFont="1" applyFill="1"/>
    <xf numFmtId="0" fontId="14" fillId="9" borderId="0" xfId="0" applyFont="1" applyFill="1"/>
    <xf numFmtId="170" fontId="14" fillId="0" borderId="0" xfId="0" applyNumberFormat="1" applyFont="1"/>
    <xf numFmtId="170" fontId="14" fillId="0" borderId="0" xfId="0" applyNumberFormat="1" applyFont="1" applyAlignment="1"/>
    <xf numFmtId="3" fontId="14" fillId="0" borderId="0" xfId="0" applyNumberFormat="1" applyFont="1"/>
    <xf numFmtId="170" fontId="14" fillId="9" borderId="0" xfId="0" applyNumberFormat="1" applyFont="1" applyFill="1" applyAlignment="1"/>
    <xf numFmtId="3" fontId="14" fillId="9" borderId="0" xfId="0" applyNumberFormat="1" applyFont="1" applyFill="1"/>
    <xf numFmtId="0" fontId="13" fillId="9" borderId="0" xfId="0" applyFont="1" applyFill="1" applyAlignment="1">
      <alignment horizontal="right"/>
    </xf>
    <xf numFmtId="0" fontId="14" fillId="9" borderId="0" xfId="0" applyFont="1" applyFill="1" applyAlignment="1"/>
    <xf numFmtId="2" fontId="14" fillId="9" borderId="0" xfId="0" applyNumberFormat="1" applyFont="1" applyFill="1" applyAlignment="1"/>
    <xf numFmtId="3" fontId="14" fillId="9" borderId="0" xfId="0" applyNumberFormat="1" applyFont="1" applyFill="1" applyAlignment="1"/>
    <xf numFmtId="0" fontId="15" fillId="0" borderId="0" xfId="0" applyFont="1" applyAlignment="1">
      <alignment horizontal="right"/>
    </xf>
    <xf numFmtId="3" fontId="7" fillId="0" borderId="0" xfId="0" applyNumberFormat="1" applyFont="1"/>
    <xf numFmtId="0" fontId="24" fillId="0" borderId="0" xfId="0" applyFont="1" applyAlignment="1">
      <alignment horizontal="right"/>
    </xf>
    <xf numFmtId="0" fontId="2" fillId="0" borderId="0" xfId="0" applyFont="1" applyAlignment="1"/>
    <xf numFmtId="3" fontId="4" fillId="0" borderId="0" xfId="0" applyNumberFormat="1" applyFont="1"/>
    <xf numFmtId="0" fontId="4" fillId="0" borderId="0" xfId="0" applyFont="1"/>
    <xf numFmtId="0" fontId="25" fillId="2" borderId="0" xfId="0" applyFont="1" applyFill="1" applyAlignment="1"/>
    <xf numFmtId="4" fontId="4" fillId="0" borderId="0" xfId="0" applyNumberFormat="1" applyFont="1" applyAlignment="1"/>
    <xf numFmtId="0" fontId="5" fillId="0" borderId="0" xfId="0" applyFont="1" applyAlignment="1"/>
    <xf numFmtId="0" fontId="26" fillId="12" borderId="9" xfId="0" applyFont="1" applyFill="1" applyBorder="1"/>
    <xf numFmtId="44" fontId="27" fillId="13" borderId="9" xfId="0" applyNumberFormat="1" applyFont="1" applyFill="1" applyBorder="1"/>
    <xf numFmtId="0" fontId="28" fillId="0" borderId="0" xfId="0" applyFont="1" applyAlignment="1"/>
    <xf numFmtId="0" fontId="18" fillId="0" borderId="0" xfId="0" applyFont="1" applyAlignment="1"/>
    <xf numFmtId="170" fontId="20" fillId="0" borderId="0" xfId="0" applyNumberFormat="1" applyFont="1" applyAlignment="1">
      <alignment horizontal="right"/>
    </xf>
    <xf numFmtId="0" fontId="28" fillId="0" borderId="0" xfId="0" applyFont="1" applyAlignment="1"/>
    <xf numFmtId="0" fontId="26" fillId="12" borderId="9" xfId="0" applyFont="1" applyFill="1" applyBorder="1" applyAlignment="1"/>
    <xf numFmtId="44" fontId="0" fillId="0" borderId="0" xfId="0" applyNumberFormat="1" applyFont="1" applyAlignment="1"/>
    <xf numFmtId="9" fontId="0" fillId="4" borderId="1" xfId="0" applyNumberFormat="1" applyFont="1" applyFill="1" applyBorder="1"/>
    <xf numFmtId="44" fontId="0" fillId="5" borderId="0" xfId="0" applyNumberFormat="1" applyFont="1" applyFill="1"/>
    <xf numFmtId="9" fontId="27" fillId="13" borderId="9" xfId="0" applyNumberFormat="1" applyFont="1" applyFill="1" applyBorder="1"/>
    <xf numFmtId="9" fontId="26" fillId="12" borderId="9" xfId="0" applyNumberFormat="1" applyFont="1" applyFill="1" applyBorder="1"/>
    <xf numFmtId="10" fontId="27" fillId="13" borderId="9" xfId="0" applyNumberFormat="1" applyFont="1" applyFill="1" applyBorder="1"/>
    <xf numFmtId="0" fontId="12" fillId="2" borderId="0" xfId="0" applyFont="1" applyFill="1" applyAlignment="1">
      <alignment horizontal="center" vertical="center" wrapText="1"/>
    </xf>
    <xf numFmtId="0" fontId="12" fillId="2" borderId="0" xfId="0" applyFont="1" applyFill="1" applyAlignment="1">
      <alignment horizontal="center" vertical="center" wrapText="1"/>
    </xf>
    <xf numFmtId="9" fontId="0" fillId="0" borderId="0" xfId="0" applyNumberFormat="1" applyFont="1"/>
    <xf numFmtId="44" fontId="0" fillId="0" borderId="0" xfId="0" applyNumberFormat="1" applyFont="1"/>
    <xf numFmtId="0" fontId="15" fillId="0" borderId="0" xfId="0" applyFont="1" applyAlignment="1"/>
    <xf numFmtId="0" fontId="13" fillId="0" borderId="0" xfId="0" applyFont="1"/>
    <xf numFmtId="0" fontId="29" fillId="0" borderId="0" xfId="0" applyFont="1"/>
    <xf numFmtId="44" fontId="0" fillId="4" borderId="1" xfId="0" applyNumberFormat="1" applyFont="1" applyFill="1" applyBorder="1"/>
    <xf numFmtId="174" fontId="0" fillId="0" borderId="0" xfId="0" applyNumberFormat="1" applyFont="1"/>
    <xf numFmtId="175" fontId="0" fillId="0" borderId="0" xfId="0" applyNumberFormat="1" applyFont="1"/>
    <xf numFmtId="171" fontId="14" fillId="0" borderId="0" xfId="0" applyNumberFormat="1" applyFont="1" applyAlignment="1"/>
    <xf numFmtId="44" fontId="27" fillId="13" borderId="10" xfId="0" applyNumberFormat="1" applyFont="1" applyFill="1" applyBorder="1"/>
    <xf numFmtId="0" fontId="17" fillId="3" borderId="0" xfId="0" applyFont="1" applyFill="1" applyAlignment="1"/>
    <xf numFmtId="0" fontId="13" fillId="3" borderId="0" xfId="0" applyFont="1" applyFill="1" applyAlignment="1"/>
    <xf numFmtId="44" fontId="27" fillId="2" borderId="0" xfId="0" applyNumberFormat="1" applyFont="1" applyFill="1"/>
    <xf numFmtId="0" fontId="14" fillId="3" borderId="0" xfId="0" applyFont="1" applyFill="1"/>
    <xf numFmtId="44" fontId="27" fillId="13" borderId="11" xfId="0" applyNumberFormat="1" applyFont="1" applyFill="1" applyBorder="1"/>
    <xf numFmtId="0" fontId="13" fillId="2" borderId="0" xfId="0" applyFont="1" applyFill="1" applyAlignment="1"/>
    <xf numFmtId="0" fontId="26" fillId="12" borderId="10" xfId="0" applyFont="1" applyFill="1" applyBorder="1" applyAlignment="1"/>
    <xf numFmtId="0" fontId="30" fillId="0" borderId="0" xfId="0" applyFont="1" applyAlignment="1"/>
    <xf numFmtId="0" fontId="30" fillId="0" borderId="0" xfId="0" applyFont="1"/>
    <xf numFmtId="0" fontId="22" fillId="0" borderId="0" xfId="0" applyFont="1" applyAlignment="1"/>
    <xf numFmtId="1" fontId="14" fillId="0" borderId="0" xfId="0" applyNumberFormat="1" applyFont="1" applyAlignment="1"/>
    <xf numFmtId="0" fontId="26" fillId="2" borderId="0" xfId="0" applyFont="1" applyFill="1"/>
    <xf numFmtId="44" fontId="0" fillId="2" borderId="0" xfId="0" applyNumberFormat="1" applyFont="1" applyFill="1"/>
    <xf numFmtId="0" fontId="26" fillId="12" borderId="12" xfId="0" applyFont="1" applyFill="1" applyBorder="1"/>
    <xf numFmtId="44" fontId="27" fillId="13" borderId="12" xfId="0" applyNumberFormat="1" applyFont="1" applyFill="1" applyBorder="1"/>
    <xf numFmtId="1" fontId="14" fillId="0" borderId="0" xfId="0" applyNumberFormat="1" applyFont="1"/>
    <xf numFmtId="9" fontId="5" fillId="0" borderId="0" xfId="0" applyNumberFormat="1" applyFont="1"/>
    <xf numFmtId="171" fontId="14" fillId="0" borderId="0" xfId="0" applyNumberFormat="1" applyFont="1"/>
    <xf numFmtId="171" fontId="31" fillId="6" borderId="0" xfId="0" applyNumberFormat="1" applyFont="1" applyFill="1" applyAlignment="1">
      <alignment horizontal="right"/>
    </xf>
    <xf numFmtId="167" fontId="0" fillId="0" borderId="0" xfId="0" applyNumberFormat="1" applyFont="1" applyAlignment="1">
      <alignment horizontal="right"/>
    </xf>
    <xf numFmtId="0" fontId="13" fillId="10" borderId="0" xfId="0" applyFont="1" applyFill="1" applyAlignment="1"/>
    <xf numFmtId="176" fontId="14" fillId="10" borderId="0" xfId="0" applyNumberFormat="1" applyFont="1" applyFill="1" applyAlignment="1"/>
    <xf numFmtId="0" fontId="14" fillId="14" borderId="0" xfId="0" applyFont="1" applyFill="1"/>
    <xf numFmtId="171" fontId="14" fillId="14" borderId="0" xfId="0" applyNumberFormat="1" applyFont="1" applyFill="1" applyAlignment="1"/>
    <xf numFmtId="171" fontId="14" fillId="14" borderId="0" xfId="0" applyNumberFormat="1" applyFont="1" applyFill="1"/>
    <xf numFmtId="0" fontId="13" fillId="0" borderId="0" xfId="0" applyFont="1" applyAlignment="1">
      <alignment horizontal="right"/>
    </xf>
    <xf numFmtId="3" fontId="14" fillId="15" borderId="4" xfId="0" applyNumberFormat="1" applyFont="1" applyFill="1" applyBorder="1" applyAlignment="1"/>
    <xf numFmtId="171" fontId="31" fillId="2" borderId="0" xfId="0" applyNumberFormat="1" applyFont="1" applyFill="1" applyAlignment="1">
      <alignment horizontal="right"/>
    </xf>
    <xf numFmtId="10" fontId="0" fillId="3" borderId="1" xfId="0" applyNumberFormat="1" applyFont="1" applyFill="1" applyBorder="1" applyAlignment="1">
      <alignment horizontal="center" vertical="center"/>
    </xf>
    <xf numFmtId="171" fontId="31" fillId="11" borderId="3" xfId="0" applyNumberFormat="1" applyFont="1" applyFill="1" applyBorder="1" applyAlignment="1">
      <alignment horizontal="right"/>
    </xf>
    <xf numFmtId="10" fontId="0" fillId="0" borderId="0" xfId="0" applyNumberFormat="1" applyFont="1" applyAlignment="1">
      <alignment horizontal="center" vertical="center"/>
    </xf>
    <xf numFmtId="171" fontId="31" fillId="11" borderId="4" xfId="0" applyNumberFormat="1" applyFont="1" applyFill="1" applyBorder="1" applyAlignment="1">
      <alignment horizontal="right"/>
    </xf>
    <xf numFmtId="10" fontId="0" fillId="0" borderId="0" xfId="0" applyNumberFormat="1" applyFont="1" applyAlignment="1">
      <alignment horizontal="left" vertical="center"/>
    </xf>
    <xf numFmtId="9" fontId="0" fillId="0" borderId="0" xfId="0" applyNumberFormat="1" applyFont="1" applyAlignment="1">
      <alignment horizontal="center" vertical="center"/>
    </xf>
    <xf numFmtId="1" fontId="0" fillId="3" borderId="1" xfId="0" applyNumberFormat="1" applyFont="1" applyFill="1" applyBorder="1" applyAlignment="1">
      <alignment horizontal="center" vertical="center"/>
    </xf>
    <xf numFmtId="10" fontId="0" fillId="3" borderId="1" xfId="0" applyNumberFormat="1" applyFont="1" applyFill="1" applyBorder="1" applyAlignment="1">
      <alignment horizontal="center"/>
    </xf>
    <xf numFmtId="9" fontId="12" fillId="0" borderId="0" xfId="0" applyNumberFormat="1" applyFont="1" applyAlignment="1">
      <alignment horizontal="center" wrapText="1"/>
    </xf>
    <xf numFmtId="9" fontId="0" fillId="3" borderId="1" xfId="0" applyNumberFormat="1" applyFont="1" applyFill="1" applyBorder="1" applyAlignment="1">
      <alignment horizontal="center" vertical="center"/>
    </xf>
    <xf numFmtId="171" fontId="14" fillId="14" borderId="0" xfId="0" applyNumberFormat="1" applyFont="1" applyFill="1" applyAlignment="1"/>
    <xf numFmtId="171" fontId="14" fillId="3" borderId="0" xfId="0" applyNumberFormat="1" applyFont="1" applyFill="1" applyAlignment="1"/>
    <xf numFmtId="176" fontId="14" fillId="0" borderId="0" xfId="0" applyNumberFormat="1" applyFont="1" applyAlignment="1"/>
    <xf numFmtId="171" fontId="7" fillId="3" borderId="0" xfId="0" applyNumberFormat="1" applyFont="1" applyFill="1"/>
    <xf numFmtId="171" fontId="32" fillId="3" borderId="0" xfId="0" applyNumberFormat="1" applyFont="1" applyFill="1"/>
    <xf numFmtId="0" fontId="30" fillId="0" borderId="0" xfId="0" applyFont="1" applyAlignment="1"/>
    <xf numFmtId="176" fontId="14" fillId="0" borderId="0" xfId="0" applyNumberFormat="1" applyFont="1"/>
    <xf numFmtId="176" fontId="14" fillId="3" borderId="0" xfId="0" applyNumberFormat="1" applyFont="1" applyFill="1" applyAlignment="1"/>
    <xf numFmtId="176" fontId="14" fillId="3" borderId="0" xfId="0" applyNumberFormat="1" applyFont="1" applyFill="1"/>
    <xf numFmtId="0" fontId="33" fillId="0" borderId="0" xfId="0" applyFont="1" applyAlignment="1">
      <alignment horizontal="left"/>
    </xf>
    <xf numFmtId="177" fontId="14" fillId="0" borderId="0" xfId="0" applyNumberFormat="1" applyFont="1" applyAlignment="1"/>
    <xf numFmtId="177" fontId="14" fillId="0" borderId="0" xfId="0" applyNumberFormat="1" applyFont="1"/>
    <xf numFmtId="0" fontId="14" fillId="10" borderId="0" xfId="0" applyFont="1" applyFill="1"/>
    <xf numFmtId="0" fontId="13" fillId="10" borderId="0" xfId="0" applyFont="1" applyFill="1" applyAlignment="1">
      <alignment horizontal="right"/>
    </xf>
    <xf numFmtId="177" fontId="14" fillId="10" borderId="0" xfId="0" applyNumberFormat="1" applyFont="1" applyFill="1" applyAlignment="1"/>
    <xf numFmtId="177" fontId="14" fillId="10" borderId="0" xfId="0" applyNumberFormat="1" applyFont="1" applyFill="1"/>
    <xf numFmtId="2" fontId="5" fillId="0" borderId="0" xfId="0" applyNumberFormat="1" applyFont="1" applyAlignment="1">
      <alignment horizontal="right"/>
    </xf>
    <xf numFmtId="2" fontId="7" fillId="0" borderId="0" xfId="0" applyNumberFormat="1" applyFont="1" applyAlignment="1"/>
    <xf numFmtId="2" fontId="34" fillId="0" borderId="0" xfId="0" applyNumberFormat="1" applyFont="1" applyAlignment="1"/>
    <xf numFmtId="0" fontId="0" fillId="0" borderId="0" xfId="0" applyFont="1" applyAlignment="1">
      <alignment horizontal="right"/>
    </xf>
    <xf numFmtId="2" fontId="0" fillId="0" borderId="0" xfId="0" applyNumberFormat="1" applyFont="1" applyAlignment="1">
      <alignment horizontal="right"/>
    </xf>
    <xf numFmtId="1" fontId="14" fillId="0" borderId="0" xfId="0" applyNumberFormat="1" applyFont="1" applyAlignment="1">
      <alignment horizontal="right"/>
    </xf>
    <xf numFmtId="2" fontId="35" fillId="0" borderId="0" xfId="0" applyNumberFormat="1" applyFont="1" applyAlignment="1"/>
    <xf numFmtId="167" fontId="22" fillId="0" borderId="0" xfId="0" applyNumberFormat="1" applyFont="1" applyAlignment="1"/>
    <xf numFmtId="10" fontId="0" fillId="3" borderId="1" xfId="0" applyNumberFormat="1" applyFont="1" applyFill="1" applyBorder="1" applyAlignment="1">
      <alignment horizontal="center" vertical="center"/>
    </xf>
    <xf numFmtId="1" fontId="0" fillId="3" borderId="1" xfId="0" applyNumberFormat="1" applyFont="1" applyFill="1" applyBorder="1" applyAlignment="1">
      <alignment horizontal="center" vertical="center"/>
    </xf>
    <xf numFmtId="9" fontId="0" fillId="3" borderId="1" xfId="0" applyNumberFormat="1" applyFont="1" applyFill="1" applyBorder="1" applyAlignment="1">
      <alignment horizontal="center" vertical="center"/>
    </xf>
    <xf numFmtId="10" fontId="0" fillId="2" borderId="0" xfId="0" applyNumberFormat="1" applyFont="1" applyFill="1" applyAlignment="1">
      <alignment horizontal="center" vertical="center"/>
    </xf>
    <xf numFmtId="10" fontId="0" fillId="2" borderId="0" xfId="0" applyNumberFormat="1" applyFont="1" applyFill="1" applyAlignment="1">
      <alignment horizontal="center"/>
    </xf>
    <xf numFmtId="10" fontId="0" fillId="2" borderId="1" xfId="0" applyNumberFormat="1" applyFont="1" applyFill="1" applyBorder="1" applyAlignment="1">
      <alignment horizontal="center"/>
    </xf>
    <xf numFmtId="9" fontId="14" fillId="2" borderId="0" xfId="0" applyNumberFormat="1" applyFont="1" applyFill="1" applyAlignment="1">
      <alignment horizontal="center"/>
    </xf>
    <xf numFmtId="0" fontId="23" fillId="2" borderId="0" xfId="0" applyFont="1" applyFill="1" applyAlignment="1">
      <alignment horizontal="center"/>
    </xf>
    <xf numFmtId="0" fontId="23" fillId="2" borderId="0" xfId="0" applyFont="1" applyFill="1" applyAlignment="1">
      <alignment horizontal="center"/>
    </xf>
    <xf numFmtId="0" fontId="14" fillId="2" borderId="0" xfId="0" applyFont="1" applyFill="1" applyAlignment="1"/>
    <xf numFmtId="0" fontId="14" fillId="2" borderId="0" xfId="0" applyFont="1" applyFill="1" applyAlignment="1"/>
    <xf numFmtId="0" fontId="23" fillId="2" borderId="7" xfId="0" applyFont="1" applyFill="1" applyBorder="1" applyAlignment="1">
      <alignment horizontal="center"/>
    </xf>
    <xf numFmtId="0" fontId="23" fillId="2" borderId="7" xfId="0" applyFont="1" applyFill="1" applyBorder="1" applyAlignment="1">
      <alignment horizontal="center"/>
    </xf>
    <xf numFmtId="0" fontId="14" fillId="2" borderId="8" xfId="0" applyFont="1" applyFill="1" applyBorder="1" applyAlignment="1"/>
    <xf numFmtId="0" fontId="14" fillId="2" borderId="8" xfId="0" applyFont="1" applyFill="1" applyBorder="1" applyAlignment="1"/>
    <xf numFmtId="0" fontId="36" fillId="0" borderId="0" xfId="0" applyFont="1"/>
    <xf numFmtId="0" fontId="36" fillId="2" borderId="0" xfId="0" applyFont="1" applyFill="1" applyAlignment="1"/>
    <xf numFmtId="171" fontId="36" fillId="0" borderId="0" xfId="0" applyNumberFormat="1" applyFont="1" applyAlignment="1">
      <alignment horizontal="right"/>
    </xf>
    <xf numFmtId="0" fontId="37" fillId="0" borderId="0" xfId="0" applyFont="1" applyAlignment="1"/>
    <xf numFmtId="0" fontId="36" fillId="12" borderId="0" xfId="0" applyFont="1" applyFill="1" applyAlignment="1"/>
    <xf numFmtId="0" fontId="5" fillId="0" borderId="0" xfId="0" applyFont="1" applyAlignment="1"/>
    <xf numFmtId="0" fontId="14" fillId="12" borderId="0" xfId="0" applyFont="1" applyFill="1" applyAlignment="1"/>
    <xf numFmtId="0" fontId="14" fillId="16" borderId="0" xfId="0" applyFont="1" applyFill="1" applyAlignment="1"/>
    <xf numFmtId="171" fontId="14" fillId="16" borderId="0" xfId="0" applyNumberFormat="1" applyFont="1" applyFill="1" applyAlignment="1"/>
    <xf numFmtId="0" fontId="14" fillId="17" borderId="0" xfId="0" applyFont="1" applyFill="1" applyAlignment="1"/>
    <xf numFmtId="171" fontId="14" fillId="17" borderId="0" xfId="0" applyNumberFormat="1" applyFont="1" applyFill="1" applyAlignment="1"/>
    <xf numFmtId="0" fontId="14" fillId="18" borderId="0" xfId="0" applyFont="1" applyFill="1" applyAlignment="1"/>
    <xf numFmtId="171" fontId="14" fillId="18" borderId="0" xfId="0" applyNumberFormat="1" applyFont="1" applyFill="1" applyAlignment="1"/>
    <xf numFmtId="171" fontId="14" fillId="10" borderId="0" xfId="0" applyNumberFormat="1" applyFont="1" applyFill="1" applyAlignment="1"/>
    <xf numFmtId="0" fontId="14" fillId="19" borderId="0" xfId="0" applyFont="1" applyFill="1" applyAlignment="1"/>
    <xf numFmtId="171" fontId="14" fillId="19" borderId="0" xfId="0" applyNumberFormat="1" applyFont="1" applyFill="1" applyAlignment="1"/>
    <xf numFmtId="0" fontId="14" fillId="14" borderId="0" xfId="0" applyFont="1" applyFill="1" applyAlignment="1"/>
    <xf numFmtId="0" fontId="14" fillId="20" borderId="0" xfId="0" applyFont="1" applyFill="1" applyAlignment="1"/>
    <xf numFmtId="171" fontId="14" fillId="20" borderId="0" xfId="0" applyNumberFormat="1" applyFont="1" applyFill="1" applyAlignment="1"/>
    <xf numFmtId="0" fontId="14" fillId="21" borderId="0" xfId="0" applyFont="1" applyFill="1" applyAlignment="1"/>
    <xf numFmtId="171" fontId="14" fillId="21" borderId="0" xfId="0" applyNumberFormat="1" applyFont="1" applyFill="1" applyAlignment="1"/>
    <xf numFmtId="0" fontId="14" fillId="22" borderId="0" xfId="0" applyFont="1" applyFill="1" applyAlignment="1"/>
    <xf numFmtId="171" fontId="14" fillId="22" borderId="0" xfId="0" applyNumberFormat="1" applyFont="1" applyFill="1" applyAlignment="1"/>
    <xf numFmtId="2" fontId="38" fillId="0" borderId="0" xfId="0" applyNumberFormat="1" applyFont="1" applyAlignment="1">
      <alignment horizontal="right"/>
    </xf>
    <xf numFmtId="171" fontId="14" fillId="3" borderId="0" xfId="0" applyNumberFormat="1" applyFont="1" applyFill="1"/>
    <xf numFmtId="2" fontId="39" fillId="0" borderId="0" xfId="0" applyNumberFormat="1" applyFont="1" applyAlignment="1">
      <alignment horizontal="right"/>
    </xf>
    <xf numFmtId="0" fontId="38" fillId="0" borderId="0" xfId="0" applyFont="1" applyAlignment="1"/>
    <xf numFmtId="2" fontId="38" fillId="0" borderId="0" xfId="0" applyNumberFormat="1" applyFont="1" applyAlignment="1">
      <alignment horizontal="right"/>
    </xf>
    <xf numFmtId="0" fontId="7" fillId="0" borderId="0" xfId="0" applyFont="1" applyAlignment="1">
      <alignment horizontal="left"/>
    </xf>
    <xf numFmtId="0" fontId="5" fillId="2" borderId="0" xfId="0" applyFont="1" applyFill="1" applyAlignment="1">
      <alignment horizontal="left"/>
    </xf>
    <xf numFmtId="171" fontId="35" fillId="0" borderId="0" xfId="0" applyNumberFormat="1" applyFont="1" applyAlignment="1"/>
    <xf numFmtId="164" fontId="14" fillId="0" borderId="0" xfId="0" applyNumberFormat="1" applyFont="1" applyAlignment="1"/>
    <xf numFmtId="164" fontId="14" fillId="23" borderId="0" xfId="0" applyNumberFormat="1" applyFont="1" applyFill="1"/>
    <xf numFmtId="164" fontId="0" fillId="0" borderId="0" xfId="0" applyNumberFormat="1" applyFont="1" applyAlignment="1">
      <alignment horizontal="right"/>
    </xf>
    <xf numFmtId="168" fontId="5" fillId="0" borderId="0" xfId="0" applyNumberFormat="1" applyFont="1" applyAlignment="1">
      <alignment horizontal="center"/>
    </xf>
    <xf numFmtId="168" fontId="0" fillId="3" borderId="1" xfId="0" applyNumberFormat="1" applyFont="1" applyFill="1" applyBorder="1" applyAlignment="1">
      <alignment horizontal="center" vertical="center"/>
    </xf>
    <xf numFmtId="10" fontId="12" fillId="0" borderId="0" xfId="0" applyNumberFormat="1" applyFont="1" applyAlignment="1">
      <alignment horizontal="center" wrapText="1"/>
    </xf>
    <xf numFmtId="10" fontId="0" fillId="0" borderId="0" xfId="0" applyNumberFormat="1" applyFont="1" applyAlignment="1">
      <alignment horizontal="center"/>
    </xf>
    <xf numFmtId="0" fontId="0" fillId="3" borderId="1" xfId="0" applyFont="1" applyFill="1" applyBorder="1" applyAlignment="1">
      <alignment horizontal="center" vertical="center"/>
    </xf>
    <xf numFmtId="168" fontId="0" fillId="0" borderId="0" xfId="0" applyNumberFormat="1" applyFont="1" applyAlignment="1">
      <alignment horizontal="center" vertical="center"/>
    </xf>
    <xf numFmtId="0" fontId="12" fillId="4" borderId="1" xfId="0" applyFont="1" applyFill="1" applyBorder="1" applyAlignment="1">
      <alignment horizontal="center" wrapText="1"/>
    </xf>
    <xf numFmtId="164" fontId="0" fillId="3" borderId="1" xfId="0" applyNumberFormat="1" applyFont="1" applyFill="1" applyBorder="1" applyAlignment="1">
      <alignment horizontal="center" vertical="center"/>
    </xf>
    <xf numFmtId="9" fontId="0" fillId="0" borderId="0" xfId="0" applyNumberFormat="1" applyFont="1" applyAlignment="1">
      <alignment horizontal="center" wrapText="1"/>
    </xf>
    <xf numFmtId="9" fontId="11" fillId="3" borderId="0" xfId="0" applyNumberFormat="1" applyFont="1" applyFill="1" applyAlignment="1">
      <alignment horizontal="center" vertical="center"/>
    </xf>
    <xf numFmtId="2" fontId="0" fillId="3" borderId="1" xfId="0" applyNumberFormat="1" applyFont="1" applyFill="1" applyBorder="1" applyAlignment="1">
      <alignment horizontal="center" vertical="center"/>
    </xf>
    <xf numFmtId="9" fontId="0" fillId="0" borderId="0" xfId="0" applyNumberFormat="1" applyFont="1" applyAlignment="1">
      <alignment horizontal="center" wrapText="1"/>
    </xf>
    <xf numFmtId="0" fontId="12" fillId="24" borderId="1" xfId="0" applyFont="1" applyFill="1" applyBorder="1" applyAlignment="1">
      <alignment horizontal="center" wrapText="1"/>
    </xf>
    <xf numFmtId="10" fontId="0" fillId="0" borderId="0" xfId="0" applyNumberFormat="1" applyFont="1" applyAlignment="1">
      <alignment horizontal="center" wrapText="1"/>
    </xf>
    <xf numFmtId="44" fontId="0" fillId="0" borderId="0" xfId="0" applyNumberFormat="1" applyFont="1" applyAlignment="1">
      <alignment horizontal="center" vertical="center"/>
    </xf>
    <xf numFmtId="166" fontId="0" fillId="3" borderId="1" xfId="0" applyNumberFormat="1" applyFont="1" applyFill="1" applyBorder="1" applyAlignment="1">
      <alignment horizontal="center" vertical="center"/>
    </xf>
    <xf numFmtId="166" fontId="0" fillId="0" borderId="0" xfId="0" applyNumberFormat="1" applyFont="1" applyAlignment="1">
      <alignment horizontal="center"/>
    </xf>
    <xf numFmtId="0" fontId="0" fillId="0" borderId="0" xfId="0" applyFont="1" applyAlignment="1">
      <alignment horizontal="center"/>
    </xf>
    <xf numFmtId="4" fontId="0" fillId="0" borderId="0" xfId="0" applyNumberFormat="1" applyFont="1" applyAlignment="1">
      <alignment horizontal="center"/>
    </xf>
    <xf numFmtId="0" fontId="40" fillId="0" borderId="0" xfId="0" applyFont="1" applyAlignment="1">
      <alignment horizontal="right" vertical="center" wrapText="1"/>
    </xf>
    <xf numFmtId="44" fontId="5" fillId="0" borderId="0" xfId="0" applyNumberFormat="1" applyFont="1" applyAlignment="1">
      <alignment horizontal="center"/>
    </xf>
    <xf numFmtId="0" fontId="0" fillId="0" borderId="0" xfId="0" applyFont="1" applyAlignment="1">
      <alignment horizontal="center" wrapText="1"/>
    </xf>
    <xf numFmtId="0" fontId="0" fillId="0" borderId="0" xfId="0" applyFont="1" applyAlignment="1">
      <alignment horizontal="left"/>
    </xf>
    <xf numFmtId="0" fontId="5" fillId="3" borderId="1" xfId="0" applyFont="1" applyFill="1" applyBorder="1" applyAlignment="1">
      <alignment horizontal="center"/>
    </xf>
    <xf numFmtId="168" fontId="0" fillId="0" borderId="0" xfId="0" applyNumberFormat="1" applyFont="1" applyAlignment="1">
      <alignment horizontal="center" wrapText="1"/>
    </xf>
    <xf numFmtId="168" fontId="12" fillId="0" borderId="0" xfId="0" applyNumberFormat="1" applyFont="1" applyAlignment="1">
      <alignment horizontal="center" wrapText="1"/>
    </xf>
    <xf numFmtId="168" fontId="5" fillId="0" borderId="0" xfId="0" applyNumberFormat="1" applyFont="1" applyAlignment="1">
      <alignment horizontal="center" wrapText="1"/>
    </xf>
    <xf numFmtId="164" fontId="12" fillId="0" borderId="0" xfId="0" applyNumberFormat="1" applyFont="1" applyAlignment="1">
      <alignment horizontal="center" wrapText="1"/>
    </xf>
    <xf numFmtId="0" fontId="12" fillId="25" borderId="1" xfId="0" applyFont="1" applyFill="1" applyBorder="1" applyAlignment="1">
      <alignment horizontal="center" wrapText="1"/>
    </xf>
    <xf numFmtId="10" fontId="12" fillId="25" borderId="1" xfId="0" applyNumberFormat="1" applyFont="1" applyFill="1" applyBorder="1" applyAlignment="1">
      <alignment horizontal="center" wrapText="1"/>
    </xf>
    <xf numFmtId="10" fontId="0" fillId="3" borderId="1" xfId="0" applyNumberFormat="1" applyFont="1" applyFill="1" applyBorder="1"/>
    <xf numFmtId="10" fontId="5" fillId="3" borderId="1" xfId="0" applyNumberFormat="1" applyFont="1" applyFill="1" applyBorder="1" applyAlignment="1">
      <alignment horizontal="center" vertical="center"/>
    </xf>
    <xf numFmtId="168" fontId="0" fillId="3" borderId="1" xfId="0" applyNumberFormat="1" applyFont="1" applyFill="1" applyBorder="1" applyAlignment="1">
      <alignment horizontal="center" vertical="center"/>
    </xf>
    <xf numFmtId="0" fontId="0" fillId="3" borderId="1" xfId="0" applyFont="1" applyFill="1" applyBorder="1" applyAlignment="1">
      <alignment horizontal="center" vertical="center"/>
    </xf>
    <xf numFmtId="0" fontId="0" fillId="0" borderId="0" xfId="0" applyFont="1" applyAlignment="1">
      <alignment horizontal="left"/>
    </xf>
    <xf numFmtId="0" fontId="12" fillId="26" borderId="6" xfId="0" applyFont="1" applyFill="1" applyBorder="1"/>
    <xf numFmtId="0" fontId="12" fillId="26" borderId="0" xfId="0" applyFont="1" applyFill="1" applyAlignment="1">
      <alignment horizontal="right"/>
    </xf>
    <xf numFmtId="0" fontId="12" fillId="26" borderId="0" xfId="0" applyFont="1" applyFill="1" applyAlignment="1">
      <alignment horizontal="right"/>
    </xf>
    <xf numFmtId="164" fontId="0" fillId="3" borderId="1" xfId="0" applyNumberFormat="1" applyFont="1" applyFill="1" applyBorder="1" applyAlignment="1">
      <alignment horizontal="center" vertical="center"/>
    </xf>
    <xf numFmtId="10" fontId="0" fillId="0" borderId="0" xfId="0" applyNumberFormat="1" applyFont="1" applyAlignment="1">
      <alignment horizontal="center"/>
    </xf>
    <xf numFmtId="0" fontId="12" fillId="3" borderId="0" xfId="0" applyFont="1" applyFill="1" applyAlignment="1">
      <alignment horizontal="center" wrapText="1"/>
    </xf>
    <xf numFmtId="3" fontId="0" fillId="3" borderId="1" xfId="0" applyNumberFormat="1" applyFont="1" applyFill="1" applyBorder="1" applyAlignment="1">
      <alignment horizontal="center" vertical="center"/>
    </xf>
    <xf numFmtId="3" fontId="0" fillId="0" borderId="0" xfId="0" applyNumberFormat="1" applyFont="1" applyAlignment="1">
      <alignment horizontal="center"/>
    </xf>
    <xf numFmtId="3" fontId="0" fillId="0" borderId="0" xfId="0" applyNumberFormat="1" applyFont="1" applyAlignment="1">
      <alignment horizontal="center" wrapText="1"/>
    </xf>
    <xf numFmtId="0" fontId="12" fillId="26" borderId="0" xfId="0" applyFont="1" applyFill="1" applyAlignment="1">
      <alignment horizontal="center" wrapText="1"/>
    </xf>
    <xf numFmtId="168" fontId="0" fillId="26" borderId="0" xfId="0" applyNumberFormat="1" applyFont="1" applyFill="1" applyAlignment="1">
      <alignment horizontal="center"/>
    </xf>
    <xf numFmtId="168" fontId="0" fillId="26" borderId="1" xfId="0" applyNumberFormat="1" applyFont="1" applyFill="1" applyBorder="1" applyAlignment="1">
      <alignment horizontal="center" vertical="center"/>
    </xf>
    <xf numFmtId="44" fontId="0" fillId="26" borderId="0" xfId="0" applyNumberFormat="1" applyFont="1" applyFill="1" applyAlignment="1">
      <alignment horizontal="center"/>
    </xf>
    <xf numFmtId="44" fontId="0" fillId="26" borderId="1" xfId="0" applyNumberFormat="1" applyFont="1" applyFill="1" applyBorder="1" applyAlignment="1">
      <alignment horizontal="center" vertical="center"/>
    </xf>
    <xf numFmtId="8" fontId="12" fillId="0" borderId="0" xfId="0" applyNumberFormat="1" applyFont="1"/>
    <xf numFmtId="0" fontId="12" fillId="26" borderId="0" xfId="0" applyFont="1" applyFill="1"/>
    <xf numFmtId="0" fontId="12" fillId="26" borderId="5" xfId="0" applyFont="1" applyFill="1" applyBorder="1" applyAlignment="1">
      <alignment horizontal="right"/>
    </xf>
    <xf numFmtId="0" fontId="5" fillId="0" borderId="0" xfId="0" applyFont="1" applyAlignment="1">
      <alignment horizontal="right"/>
    </xf>
    <xf numFmtId="0" fontId="5" fillId="0" borderId="0" xfId="0" applyFont="1" applyAlignment="1">
      <alignment horizontal="right"/>
    </xf>
    <xf numFmtId="1" fontId="5" fillId="0" borderId="0" xfId="0" applyNumberFormat="1" applyFont="1"/>
    <xf numFmtId="1" fontId="0" fillId="0" borderId="0" xfId="0" applyNumberFormat="1" applyFont="1"/>
    <xf numFmtId="0" fontId="12" fillId="26" borderId="5" xfId="0" applyFont="1" applyFill="1" applyBorder="1" applyAlignment="1">
      <alignment horizontal="right"/>
    </xf>
    <xf numFmtId="9" fontId="0" fillId="5" borderId="0" xfId="0" applyNumberFormat="1" applyFont="1" applyFill="1" applyAlignment="1">
      <alignment horizontal="center"/>
    </xf>
    <xf numFmtId="4" fontId="0" fillId="0" borderId="0" xfId="0" applyNumberFormat="1" applyFont="1"/>
    <xf numFmtId="168" fontId="0" fillId="0" borderId="0" xfId="0" applyNumberFormat="1" applyFont="1"/>
    <xf numFmtId="0" fontId="12" fillId="26" borderId="6" xfId="0" applyFont="1" applyFill="1" applyBorder="1" applyAlignment="1"/>
    <xf numFmtId="2" fontId="0" fillId="0" borderId="0" xfId="0" applyNumberFormat="1" applyFont="1"/>
    <xf numFmtId="2" fontId="11" fillId="3" borderId="0" xfId="0" applyNumberFormat="1" applyFont="1" applyFill="1" applyAlignment="1">
      <alignment horizontal="center"/>
    </xf>
    <xf numFmtId="171" fontId="0" fillId="0" borderId="0" xfId="0" applyNumberFormat="1" applyFont="1"/>
    <xf numFmtId="0" fontId="12" fillId="27" borderId="6" xfId="0" applyFont="1" applyFill="1" applyBorder="1"/>
    <xf numFmtId="0" fontId="12" fillId="27" borderId="5" xfId="0" applyFont="1" applyFill="1" applyBorder="1"/>
    <xf numFmtId="0" fontId="12" fillId="27" borderId="6" xfId="0" applyFont="1" applyFill="1" applyBorder="1" applyAlignment="1"/>
    <xf numFmtId="0" fontId="12" fillId="27" borderId="5" xfId="0" applyFont="1" applyFill="1" applyBorder="1" applyAlignment="1">
      <alignment horizontal="right"/>
    </xf>
    <xf numFmtId="0" fontId="12" fillId="27" borderId="5" xfId="0" applyFont="1" applyFill="1" applyBorder="1" applyAlignment="1">
      <alignment horizontal="right"/>
    </xf>
    <xf numFmtId="44" fontId="0" fillId="0" borderId="0" xfId="0" applyNumberFormat="1" applyFont="1" applyAlignment="1">
      <alignment horizontal="right"/>
    </xf>
    <xf numFmtId="0" fontId="12" fillId="28" borderId="6" xfId="0" applyFont="1" applyFill="1" applyBorder="1"/>
    <xf numFmtId="0" fontId="12" fillId="28" borderId="5" xfId="0" applyFont="1" applyFill="1" applyBorder="1"/>
    <xf numFmtId="0" fontId="12" fillId="28" borderId="6" xfId="0" applyFont="1" applyFill="1" applyBorder="1" applyAlignment="1"/>
    <xf numFmtId="0" fontId="12" fillId="28" borderId="5" xfId="0" applyFont="1" applyFill="1" applyBorder="1" applyAlignment="1">
      <alignment horizontal="right"/>
    </xf>
    <xf numFmtId="167" fontId="0" fillId="0" borderId="0" xfId="0" applyNumberFormat="1" applyFont="1"/>
    <xf numFmtId="0" fontId="12" fillId="28" borderId="5" xfId="0" applyFont="1" applyFill="1" applyBorder="1" applyAlignment="1">
      <alignment horizontal="right"/>
    </xf>
    <xf numFmtId="0" fontId="12" fillId="29" borderId="6" xfId="0" applyFont="1" applyFill="1" applyBorder="1"/>
    <xf numFmtId="0" fontId="12" fillId="29" borderId="5" xfId="0" applyFont="1" applyFill="1" applyBorder="1"/>
    <xf numFmtId="0" fontId="12" fillId="29" borderId="6" xfId="0" applyFont="1" applyFill="1" applyBorder="1" applyAlignment="1"/>
    <xf numFmtId="0" fontId="12" fillId="29" borderId="5" xfId="0" applyFont="1" applyFill="1" applyBorder="1" applyAlignment="1">
      <alignment horizontal="right"/>
    </xf>
    <xf numFmtId="0" fontId="12" fillId="29" borderId="5" xfId="0" applyFont="1" applyFill="1" applyBorder="1" applyAlignment="1">
      <alignment horizontal="right"/>
    </xf>
    <xf numFmtId="178" fontId="0" fillId="0" borderId="0" xfId="0" applyNumberFormat="1" applyFont="1" applyAlignment="1">
      <alignment horizontal="center"/>
    </xf>
    <xf numFmtId="0" fontId="12" fillId="30" borderId="6" xfId="0" applyFont="1" applyFill="1" applyBorder="1"/>
    <xf numFmtId="0" fontId="12" fillId="30" borderId="5" xfId="0" applyFont="1" applyFill="1" applyBorder="1"/>
    <xf numFmtId="0" fontId="12" fillId="30" borderId="6" xfId="0" applyFont="1" applyFill="1" applyBorder="1" applyAlignment="1"/>
    <xf numFmtId="0" fontId="12" fillId="30" borderId="5" xfId="0" applyFont="1" applyFill="1" applyBorder="1" applyAlignment="1">
      <alignment horizontal="right"/>
    </xf>
    <xf numFmtId="0" fontId="12" fillId="30" borderId="5" xfId="0" applyFont="1" applyFill="1" applyBorder="1" applyAlignment="1">
      <alignment horizontal="right"/>
    </xf>
    <xf numFmtId="179" fontId="0" fillId="0" borderId="0" xfId="0" applyNumberFormat="1" applyFont="1" applyAlignment="1">
      <alignment horizontal="center"/>
    </xf>
    <xf numFmtId="178" fontId="12" fillId="0" borderId="0" xfId="0" applyNumberFormat="1" applyFont="1" applyAlignment="1">
      <alignment horizontal="right"/>
    </xf>
    <xf numFmtId="180" fontId="0" fillId="0" borderId="0" xfId="0" applyNumberFormat="1" applyFont="1" applyAlignment="1">
      <alignment horizontal="center"/>
    </xf>
    <xf numFmtId="181" fontId="0" fillId="0" borderId="0" xfId="0" applyNumberFormat="1" applyFont="1" applyAlignment="1">
      <alignment horizontal="center"/>
    </xf>
    <xf numFmtId="0" fontId="12" fillId="30" borderId="13" xfId="0" applyFont="1" applyFill="1" applyBorder="1" applyAlignment="1">
      <alignment horizontal="right"/>
    </xf>
    <xf numFmtId="0" fontId="12" fillId="31" borderId="6" xfId="0" applyFont="1" applyFill="1" applyBorder="1" applyAlignment="1"/>
    <xf numFmtId="0" fontId="0" fillId="0" borderId="0" xfId="0" applyFont="1" applyAlignment="1"/>
    <xf numFmtId="0" fontId="12" fillId="31" borderId="5" xfId="0" applyFont="1" applyFill="1" applyBorder="1"/>
    <xf numFmtId="2" fontId="0" fillId="0" borderId="0" xfId="0" applyNumberFormat="1" applyFont="1" applyAlignment="1">
      <alignment horizontal="right"/>
    </xf>
    <xf numFmtId="167" fontId="11" fillId="2" borderId="0" xfId="0" applyNumberFormat="1" applyFont="1" applyFill="1" applyAlignment="1">
      <alignment horizontal="center"/>
    </xf>
    <xf numFmtId="0" fontId="12" fillId="31" borderId="5" xfId="0" applyFont="1" applyFill="1" applyBorder="1" applyAlignment="1">
      <alignment horizontal="right"/>
    </xf>
    <xf numFmtId="2" fontId="0" fillId="0" borderId="0" xfId="0" applyNumberFormat="1" applyFont="1" applyAlignment="1"/>
    <xf numFmtId="178" fontId="0" fillId="0" borderId="0" xfId="0" applyNumberFormat="1" applyFont="1"/>
    <xf numFmtId="0" fontId="12" fillId="31" borderId="0" xfId="0" applyFont="1" applyFill="1" applyAlignment="1">
      <alignment horizontal="right"/>
    </xf>
    <xf numFmtId="0" fontId="0" fillId="0" borderId="0" xfId="0" applyFont="1" applyAlignment="1"/>
    <xf numFmtId="0" fontId="12" fillId="31" borderId="5" xfId="0" applyFont="1" applyFill="1" applyBorder="1" applyAlignment="1">
      <alignment horizontal="right"/>
    </xf>
    <xf numFmtId="0" fontId="12" fillId="31" borderId="0" xfId="0" applyFont="1" applyFill="1" applyAlignment="1">
      <alignment horizontal="right"/>
    </xf>
    <xf numFmtId="0" fontId="12" fillId="32" borderId="6" xfId="0" applyFont="1" applyFill="1" applyBorder="1" applyAlignment="1"/>
    <xf numFmtId="0" fontId="12" fillId="32" borderId="5" xfId="0" applyFont="1" applyFill="1" applyBorder="1"/>
    <xf numFmtId="0" fontId="12" fillId="32" borderId="5" xfId="0" applyFont="1" applyFill="1" applyBorder="1" applyAlignment="1">
      <alignment horizontal="right"/>
    </xf>
    <xf numFmtId="0" fontId="12" fillId="32" borderId="0" xfId="0" applyFont="1" applyFill="1" applyAlignment="1">
      <alignment horizontal="right"/>
    </xf>
    <xf numFmtId="0" fontId="12" fillId="32" borderId="5" xfId="0" applyFont="1" applyFill="1" applyBorder="1" applyAlignment="1">
      <alignment horizontal="right"/>
    </xf>
    <xf numFmtId="0" fontId="12" fillId="32" borderId="0" xfId="0" applyFont="1" applyFill="1" applyAlignment="1">
      <alignment horizontal="right"/>
    </xf>
    <xf numFmtId="0" fontId="12" fillId="5" borderId="6" xfId="0" applyFont="1" applyFill="1" applyBorder="1" applyAlignment="1"/>
    <xf numFmtId="0" fontId="12" fillId="5" borderId="5" xfId="0" applyFont="1" applyFill="1" applyBorder="1"/>
    <xf numFmtId="0" fontId="12" fillId="5" borderId="5" xfId="0" applyFont="1" applyFill="1" applyBorder="1" applyAlignment="1">
      <alignment horizontal="right"/>
    </xf>
    <xf numFmtId="0" fontId="12" fillId="5" borderId="0" xfId="0" applyFont="1" applyFill="1" applyAlignment="1">
      <alignment horizontal="right"/>
    </xf>
    <xf numFmtId="0" fontId="12" fillId="5" borderId="5" xfId="0" applyFont="1" applyFill="1" applyBorder="1" applyAlignment="1">
      <alignment horizontal="right"/>
    </xf>
    <xf numFmtId="0" fontId="12" fillId="5" borderId="0" xfId="0" applyFont="1" applyFill="1" applyAlignment="1">
      <alignment horizontal="right"/>
    </xf>
    <xf numFmtId="182" fontId="0" fillId="0" borderId="0" xfId="0" applyNumberFormat="1" applyFont="1" applyAlignment="1">
      <alignment horizontal="center"/>
    </xf>
    <xf numFmtId="0" fontId="12" fillId="33" borderId="6" xfId="0" applyFont="1" applyFill="1" applyBorder="1" applyAlignment="1"/>
    <xf numFmtId="0" fontId="12" fillId="33" borderId="5" xfId="0" applyFont="1" applyFill="1" applyBorder="1" applyAlignment="1">
      <alignment horizontal="right"/>
    </xf>
    <xf numFmtId="0" fontId="12" fillId="33" borderId="0" xfId="0" applyFont="1" applyFill="1" applyAlignment="1">
      <alignment horizontal="right"/>
    </xf>
    <xf numFmtId="0" fontId="12" fillId="33" borderId="5" xfId="0" applyFont="1" applyFill="1" applyBorder="1" applyAlignment="1">
      <alignment horizontal="right"/>
    </xf>
    <xf numFmtId="0" fontId="12" fillId="33" borderId="0" xfId="0" applyFont="1" applyFill="1" applyAlignment="1">
      <alignment horizontal="right"/>
    </xf>
    <xf numFmtId="0" fontId="12" fillId="34" borderId="6" xfId="0" applyFont="1" applyFill="1" applyBorder="1" applyAlignment="1"/>
    <xf numFmtId="0" fontId="12" fillId="34" borderId="5" xfId="0" applyFont="1" applyFill="1" applyBorder="1" applyAlignment="1">
      <alignment horizontal="right"/>
    </xf>
    <xf numFmtId="0" fontId="12" fillId="34" borderId="5" xfId="0" applyFont="1" applyFill="1" applyBorder="1" applyAlignment="1">
      <alignment horizontal="right"/>
    </xf>
    <xf numFmtId="183" fontId="0" fillId="0" borderId="0" xfId="0" applyNumberFormat="1" applyFont="1" applyAlignment="1">
      <alignment horizontal="center"/>
    </xf>
    <xf numFmtId="0" fontId="12" fillId="34" borderId="0" xfId="0" applyFont="1" applyFill="1" applyAlignment="1">
      <alignment horizontal="right"/>
    </xf>
    <xf numFmtId="184" fontId="0" fillId="0" borderId="0" xfId="0" applyNumberFormat="1" applyFont="1" applyAlignment="1">
      <alignment horizontal="center"/>
    </xf>
    <xf numFmtId="185" fontId="0" fillId="0" borderId="0" xfId="0" applyNumberFormat="1" applyFont="1" applyAlignment="1">
      <alignment horizontal="center"/>
    </xf>
    <xf numFmtId="0" fontId="12" fillId="34" borderId="0" xfId="0" applyFont="1" applyFill="1" applyAlignment="1">
      <alignment horizontal="right"/>
    </xf>
    <xf numFmtId="186" fontId="0" fillId="0" borderId="0" xfId="0" applyNumberFormat="1" applyFont="1" applyAlignment="1">
      <alignment horizontal="center"/>
    </xf>
    <xf numFmtId="0" fontId="12" fillId="17" borderId="6" xfId="0" applyFont="1" applyFill="1" applyBorder="1"/>
    <xf numFmtId="0" fontId="12" fillId="17" borderId="0" xfId="0" applyFont="1" applyFill="1" applyAlignment="1">
      <alignment horizontal="right"/>
    </xf>
    <xf numFmtId="0" fontId="12" fillId="17" borderId="0" xfId="0" applyFont="1" applyFill="1" applyAlignment="1">
      <alignment horizontal="right"/>
    </xf>
    <xf numFmtId="44" fontId="0" fillId="3" borderId="0" xfId="0" applyNumberFormat="1" applyFont="1" applyFill="1"/>
    <xf numFmtId="44" fontId="12" fillId="0" borderId="0" xfId="0" applyNumberFormat="1" applyFont="1"/>
    <xf numFmtId="172" fontId="0" fillId="0" borderId="0" xfId="0" applyNumberFormat="1" applyFont="1"/>
    <xf numFmtId="0" fontId="12" fillId="17" borderId="0" xfId="0" applyFont="1" applyFill="1"/>
    <xf numFmtId="0" fontId="12" fillId="17" borderId="6" xfId="0" applyFont="1" applyFill="1" applyBorder="1" applyAlignment="1"/>
    <xf numFmtId="0" fontId="12" fillId="35" borderId="6" xfId="0" applyFont="1" applyFill="1" applyBorder="1"/>
    <xf numFmtId="0" fontId="12" fillId="35" borderId="0" xfId="0" applyFont="1" applyFill="1" applyAlignment="1">
      <alignment horizontal="right"/>
    </xf>
    <xf numFmtId="0" fontId="12" fillId="35" borderId="0" xfId="0" applyFont="1" applyFill="1" applyAlignment="1">
      <alignment horizontal="right"/>
    </xf>
    <xf numFmtId="0" fontId="12" fillId="35" borderId="0" xfId="0" applyFont="1" applyFill="1"/>
    <xf numFmtId="0" fontId="12" fillId="6" borderId="0" xfId="0" applyFont="1" applyFill="1" applyAlignment="1">
      <alignment horizontal="left"/>
    </xf>
    <xf numFmtId="0" fontId="12" fillId="6" borderId="0" xfId="0" applyFont="1" applyFill="1" applyAlignment="1">
      <alignment horizontal="right"/>
    </xf>
    <xf numFmtId="0" fontId="0" fillId="0" borderId="0" xfId="0" applyFont="1" applyAlignment="1">
      <alignment horizontal="left" vertical="top" wrapText="1"/>
    </xf>
    <xf numFmtId="0" fontId="0" fillId="0" borderId="0" xfId="0" applyFont="1" applyAlignment="1"/>
    <xf numFmtId="0" fontId="13" fillId="0" borderId="2" xfId="0" applyFont="1" applyBorder="1" applyAlignment="1">
      <alignment horizontal="center"/>
    </xf>
    <xf numFmtId="0" fontId="14" fillId="0" borderId="3" xfId="0" applyFont="1" applyBorder="1"/>
    <xf numFmtId="0" fontId="13" fillId="6" borderId="2" xfId="0" applyFont="1" applyFill="1" applyBorder="1" applyAlignment="1">
      <alignment horizontal="center"/>
    </xf>
  </cellXfs>
  <cellStyles count="1">
    <cellStyle name="Normal" xfId="0" builtinId="0"/>
  </cellStyles>
  <dxfs count="3">
    <dxf>
      <fill>
        <patternFill patternType="solid">
          <fgColor rgb="FFDEEAF6"/>
          <bgColor rgb="FFDEEAF6"/>
        </patternFill>
      </fill>
    </dxf>
    <dxf>
      <fill>
        <patternFill patternType="solid">
          <fgColor rgb="FFBDD6EE"/>
          <bgColor rgb="FFBDD6EE"/>
        </patternFill>
      </fill>
    </dxf>
    <dxf>
      <fill>
        <patternFill patternType="solid">
          <fgColor rgb="FF000000"/>
          <bgColor rgb="FF000000"/>
        </patternFill>
      </fill>
    </dxf>
  </dxfs>
  <tableStyles count="1">
    <tableStyle name="Assumptions (T&amp;D)-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300" b="0" i="0">
                <a:solidFill>
                  <a:srgbClr val="000000"/>
                </a:solidFill>
                <a:latin typeface="Calibri"/>
              </a:defRPr>
            </a:pPr>
            <a:r>
              <a:t>Cash Flow (Solar)</a:t>
            </a:r>
          </a:p>
        </c:rich>
      </c:tx>
      <c:overlay val="0"/>
    </c:title>
    <c:autoTitleDeleted val="0"/>
    <c:plotArea>
      <c:layout/>
      <c:lineChart>
        <c:grouping val="standard"/>
        <c:varyColors val="1"/>
        <c:ser>
          <c:idx val="0"/>
          <c:order val="0"/>
          <c:spPr>
            <a:ln w="28575" cmpd="sng">
              <a:solidFill>
                <a:srgbClr val="5B9BD5"/>
              </a:solidFill>
              <a:prstDash val="solid"/>
            </a:ln>
          </c:spPr>
          <c:marker>
            <c:symbol val="none"/>
          </c:marker>
          <c:cat>
            <c:numRef>
              <c:f>Model!$C$2:$BA$2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Model!$C$1095:$BA$1095</c:f>
              <c:numCache>
                <c:formatCode>_("$"* #,##0_);_("$"* \(#,##0\);_("$"* "-"??_);_(@_)</c:formatCode>
                <c:ptCount val="51"/>
                <c:pt idx="0">
                  <c:v>1.7672174285211971E-2</c:v>
                </c:pt>
                <c:pt idx="1">
                  <c:v>2.7545967285105593E-2</c:v>
                </c:pt>
                <c:pt idx="2">
                  <c:v>2.6379562445301388E-2</c:v>
                </c:pt>
                <c:pt idx="3">
                  <c:v>3.2206378001865488E-2</c:v>
                </c:pt>
                <c:pt idx="4">
                  <c:v>3.5044651242307746E-2</c:v>
                </c:pt>
                <c:pt idx="5">
                  <c:v>4.1660967599746218E-2</c:v>
                </c:pt>
                <c:pt idx="6">
                  <c:v>-8.0813394337569636E-2</c:v>
                </c:pt>
                <c:pt idx="7">
                  <c:v>4.7809057686639036E-3</c:v>
                </c:pt>
                <c:pt idx="8">
                  <c:v>-4.7053745271973452E-2</c:v>
                </c:pt>
                <c:pt idx="9">
                  <c:v>-0.23692793714931876</c:v>
                </c:pt>
                <c:pt idx="10">
                  <c:v>-0.87207013040954107</c:v>
                </c:pt>
                <c:pt idx="11">
                  <c:v>-1.8709650711446306</c:v>
                </c:pt>
                <c:pt idx="12">
                  <c:v>-4.1771181733851082</c:v>
                </c:pt>
                <c:pt idx="13">
                  <c:v>-4.8146584673794974</c:v>
                </c:pt>
                <c:pt idx="14">
                  <c:v>-4.6874255321017246</c:v>
                </c:pt>
                <c:pt idx="15">
                  <c:v>-9.8971583726694004</c:v>
                </c:pt>
                <c:pt idx="16">
                  <c:v>-5.9635583011074393</c:v>
                </c:pt>
                <c:pt idx="17">
                  <c:v>-6.1557634500717828</c:v>
                </c:pt>
                <c:pt idx="18">
                  <c:v>-3.9844368834337862</c:v>
                </c:pt>
                <c:pt idx="19">
                  <c:v>-9.4825235970563888</c:v>
                </c:pt>
                <c:pt idx="20">
                  <c:v>-538.36640119579909</c:v>
                </c:pt>
                <c:pt idx="21">
                  <c:v>-665.23353439571792</c:v>
                </c:pt>
                <c:pt idx="22">
                  <c:v>-797.35592477202067</c:v>
                </c:pt>
                <c:pt idx="23">
                  <c:v>-931.60882112588581</c:v>
                </c:pt>
                <c:pt idx="24">
                  <c:v>-1068.8499494017087</c:v>
                </c:pt>
                <c:pt idx="25">
                  <c:v>-1206.4961274622704</c:v>
                </c:pt>
                <c:pt idx="26">
                  <c:v>-1347.9044683192212</c:v>
                </c:pt>
                <c:pt idx="27">
                  <c:v>-1493.5115222709132</c:v>
                </c:pt>
                <c:pt idx="28">
                  <c:v>-1643.1548515003665</c:v>
                </c:pt>
                <c:pt idx="29">
                  <c:v>-1795.8179468133631</c:v>
                </c:pt>
                <c:pt idx="30">
                  <c:v>-1947.3480167067919</c:v>
                </c:pt>
                <c:pt idx="31">
                  <c:v>-1982.7165094837744</c:v>
                </c:pt>
                <c:pt idx="32">
                  <c:v>-2018.6496723789396</c:v>
                </c:pt>
                <c:pt idx="33">
                  <c:v>-2053.7698744356207</c:v>
                </c:pt>
                <c:pt idx="34">
                  <c:v>-2087.9613691135764</c:v>
                </c:pt>
                <c:pt idx="35">
                  <c:v>-2120.6886074519412</c:v>
                </c:pt>
                <c:pt idx="36">
                  <c:v>-2156.0520404484096</c:v>
                </c:pt>
                <c:pt idx="37">
                  <c:v>-2191.1867651288403</c:v>
                </c:pt>
                <c:pt idx="38">
                  <c:v>-2224.8097602445823</c:v>
                </c:pt>
                <c:pt idx="39">
                  <c:v>-2259.4141834088923</c:v>
                </c:pt>
                <c:pt idx="40">
                  <c:v>-2296.2629524140148</c:v>
                </c:pt>
                <c:pt idx="41">
                  <c:v>-2334.451296591451</c:v>
                </c:pt>
                <c:pt idx="42">
                  <c:v>-2374.8588961242936</c:v>
                </c:pt>
                <c:pt idx="43">
                  <c:v>-2416.9335768897226</c:v>
                </c:pt>
                <c:pt idx="44">
                  <c:v>-2461.5664179365845</c:v>
                </c:pt>
                <c:pt idx="45">
                  <c:v>-2504.5701764844725</c:v>
                </c:pt>
                <c:pt idx="46">
                  <c:v>-2548.3262394327794</c:v>
                </c:pt>
                <c:pt idx="47">
                  <c:v>-2599.2428950194917</c:v>
                </c:pt>
                <c:pt idx="48">
                  <c:v>-2629.1404025379811</c:v>
                </c:pt>
                <c:pt idx="49">
                  <c:v>-2664.7839051033143</c:v>
                </c:pt>
                <c:pt idx="50">
                  <c:v>-1676.7516861288714</c:v>
                </c:pt>
              </c:numCache>
            </c:numRef>
          </c:val>
          <c:smooth val="0"/>
          <c:extLst>
            <c:ext xmlns:c16="http://schemas.microsoft.com/office/drawing/2014/chart" uri="{C3380CC4-5D6E-409C-BE32-E72D297353CC}">
              <c16:uniqueId val="{00000000-AC19-426E-A42E-493813572168}"/>
            </c:ext>
          </c:extLst>
        </c:ser>
        <c:ser>
          <c:idx val="1"/>
          <c:order val="1"/>
          <c:spPr>
            <a:ln w="28575" cmpd="sng">
              <a:solidFill>
                <a:srgbClr val="ED7D31"/>
              </a:solidFill>
              <a:prstDash val="solid"/>
            </a:ln>
          </c:spPr>
          <c:marker>
            <c:symbol val="none"/>
          </c:marker>
          <c:cat>
            <c:numRef>
              <c:f>Model!$C$2:$BA$2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Model!$C$1096:$BA$1096</c:f>
              <c:numCache>
                <c:formatCode>_("$"* #,##0_);_("$"* \(#,##0\);_("$"* "-"??_);_(@_)</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-5.5204749539507185</c:v>
                </c:pt>
                <c:pt idx="21">
                  <c:v>-5.8594252462450642</c:v>
                </c:pt>
                <c:pt idx="22">
                  <c:v>-6.209725360249605</c:v>
                </c:pt>
                <c:pt idx="23">
                  <c:v>-6.5716937087158289</c:v>
                </c:pt>
                <c:pt idx="24">
                  <c:v>-6.9456569009766005</c:v>
                </c:pt>
                <c:pt idx="25">
                  <c:v>-7.3319499434443181</c:v>
                </c:pt>
                <c:pt idx="26">
                  <c:v>-7.7309164448503536</c:v>
                </c:pt>
                <c:pt idx="27">
                  <c:v>-8.1429088263352529</c:v>
                </c:pt>
                <c:pt idx="28">
                  <c:v>-8.5682885365016084</c:v>
                </c:pt>
                <c:pt idx="29">
                  <c:v>-9.007426271544082</c:v>
                </c:pt>
                <c:pt idx="30">
                  <c:v>-9.4607022005736567</c:v>
                </c:pt>
                <c:pt idx="31">
                  <c:v>-9.9285061962557961</c:v>
                </c:pt>
                <c:pt idx="32">
                  <c:v>-10.411238070884991</c:v>
                </c:pt>
                <c:pt idx="33">
                  <c:v>-10.909307818020851</c:v>
                </c:pt>
                <c:pt idx="34">
                  <c:v>-11.423135859813792</c:v>
                </c:pt>
                <c:pt idx="35">
                  <c:v>-11.953153300151241</c:v>
                </c:pt>
                <c:pt idx="36">
                  <c:v>-12.499802183758266</c:v>
                </c:pt>
                <c:pt idx="37">
                  <c:v>-13.063535761389506</c:v>
                </c:pt>
                <c:pt idx="38">
                  <c:v>-13.644818761252496</c:v>
                </c:pt>
                <c:pt idx="39">
                  <c:v>-14.244127666805451</c:v>
                </c:pt>
                <c:pt idx="40">
                  <c:v>-14.861951001076021</c:v>
                </c:pt>
                <c:pt idx="41">
                  <c:v>-15.498789617650692</c:v>
                </c:pt>
                <c:pt idx="42">
                  <c:v>-16.155156998487918</c:v>
                </c:pt>
                <c:pt idx="43">
                  <c:v>-16.831579558711574</c:v>
                </c:pt>
                <c:pt idx="44">
                  <c:v>-17.528596958544782</c:v>
                </c:pt>
                <c:pt idx="45">
                  <c:v>-18.246762422547835</c:v>
                </c:pt>
                <c:pt idx="46">
                  <c:v>-18.986643066327591</c:v>
                </c:pt>
                <c:pt idx="47">
                  <c:v>-19.748820230889518</c:v>
                </c:pt>
                <c:pt idx="48">
                  <c:v>-20.533889824807389</c:v>
                </c:pt>
                <c:pt idx="49">
                  <c:v>-21.342462674389619</c:v>
                </c:pt>
                <c:pt idx="50">
                  <c:v>-22.175164882025186</c:v>
                </c:pt>
              </c:numCache>
            </c:numRef>
          </c:val>
          <c:smooth val="0"/>
          <c:extLst>
            <c:ext xmlns:c16="http://schemas.microsoft.com/office/drawing/2014/chart" uri="{C3380CC4-5D6E-409C-BE32-E72D297353CC}">
              <c16:uniqueId val="{00000001-AC19-426E-A42E-493813572168}"/>
            </c:ext>
          </c:extLst>
        </c:ser>
        <c:dLbls>
          <c:showLegendKey val="0"/>
          <c:showVal val="0"/>
          <c:showCatName val="0"/>
          <c:showSerName val="0"/>
          <c:showPercent val="0"/>
          <c:showBubbleSize val="0"/>
        </c:dLbls>
        <c:smooth val="0"/>
        <c:axId val="1971829678"/>
        <c:axId val="830412223"/>
      </c:lineChart>
      <c:catAx>
        <c:axId val="197182967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sz="1100" b="0" i="0">
                <a:solidFill>
                  <a:srgbClr val="000000"/>
                </a:solidFill>
                <a:latin typeface="Calibri"/>
              </a:defRPr>
            </a:pPr>
            <a:endParaRPr lang="en-US"/>
          </a:p>
        </c:txPr>
        <c:crossAx val="830412223"/>
        <c:crosses val="autoZero"/>
        <c:auto val="1"/>
        <c:lblAlgn val="ctr"/>
        <c:lblOffset val="100"/>
        <c:noMultiLvlLbl val="1"/>
      </c:catAx>
      <c:valAx>
        <c:axId val="830412223"/>
        <c:scaling>
          <c:orientation val="minMax"/>
          <c:max val="90"/>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_);_(&quot;$&quot;* \(#,##0\);_(&quot;$&quot;* &quot;-&quot;??_);_(@_)" sourceLinked="1"/>
        <c:majorTickMark val="none"/>
        <c:minorTickMark val="none"/>
        <c:tickLblPos val="nextTo"/>
        <c:spPr>
          <a:ln/>
        </c:spPr>
        <c:txPr>
          <a:bodyPr/>
          <a:lstStyle/>
          <a:p>
            <a:pPr lvl="0">
              <a:defRPr sz="1100" b="0" i="0">
                <a:solidFill>
                  <a:srgbClr val="000000"/>
                </a:solidFill>
                <a:latin typeface="Calibri"/>
              </a:defRPr>
            </a:pPr>
            <a:endParaRPr lang="en-US"/>
          </a:p>
        </c:txPr>
        <c:crossAx val="1971829678"/>
        <c:crosses val="autoZero"/>
        <c:crossBetween val="between"/>
      </c:valAx>
      <c:spPr>
        <a:solidFill>
          <a:srgbClr val="FFFFFF"/>
        </a:solidFill>
      </c:spPr>
    </c:plotArea>
    <c:legend>
      <c:legendPos val="b"/>
      <c:overlay val="0"/>
      <c:txPr>
        <a:bodyPr/>
        <a:lstStyle/>
        <a:p>
          <a:pPr lvl="0">
            <a:defRPr sz="1100" b="0" i="0">
              <a:solidFill>
                <a:srgbClr val="000000"/>
              </a:solidFill>
              <a:latin typeface="Calibri"/>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300" b="0" i="0">
                <a:solidFill>
                  <a:srgbClr val="000000"/>
                </a:solidFill>
                <a:latin typeface="Calibri"/>
              </a:defRPr>
            </a:pPr>
            <a:r>
              <a:t>Cash Flow (Nuclear)</a:t>
            </a:r>
          </a:p>
        </c:rich>
      </c:tx>
      <c:overlay val="0"/>
    </c:title>
    <c:autoTitleDeleted val="0"/>
    <c:plotArea>
      <c:layout/>
      <c:lineChart>
        <c:grouping val="standard"/>
        <c:varyColors val="1"/>
        <c:ser>
          <c:idx val="0"/>
          <c:order val="0"/>
          <c:spPr>
            <a:ln w="28575" cmpd="sng">
              <a:solidFill>
                <a:srgbClr val="5B9BD5"/>
              </a:solidFill>
              <a:prstDash val="solid"/>
            </a:ln>
          </c:spPr>
          <c:marker>
            <c:symbol val="none"/>
          </c:marker>
          <c:cat>
            <c:numRef>
              <c:f>Model!$C$2:$BA$2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Model!$C$1322:$BA$1322</c:f>
              <c:numCache>
                <c:formatCode>_("$"* #,##0_);_("$"* \(#,##0\);_("$"* "-"??_);_(@_)</c:formatCode>
                <c:ptCount val="51"/>
                <c:pt idx="0">
                  <c:v>19.805115444664953</c:v>
                </c:pt>
                <c:pt idx="1">
                  <c:v>20.827734666287171</c:v>
                </c:pt>
                <c:pt idx="2">
                  <c:v>17.610632043134725</c:v>
                </c:pt>
                <c:pt idx="3">
                  <c:v>23.688876859265552</c:v>
                </c:pt>
                <c:pt idx="4">
                  <c:v>26.219420652455209</c:v>
                </c:pt>
                <c:pt idx="5">
                  <c:v>34.286263972930932</c:v>
                </c:pt>
                <c:pt idx="6">
                  <c:v>29.394856861169782</c:v>
                </c:pt>
                <c:pt idx="7">
                  <c:v>33.468387206545046</c:v>
                </c:pt>
                <c:pt idx="8">
                  <c:v>40.533367070959912</c:v>
                </c:pt>
                <c:pt idx="9">
                  <c:v>24.542890727130054</c:v>
                </c:pt>
                <c:pt idx="10">
                  <c:v>24.247453402858945</c:v>
                </c:pt>
                <c:pt idx="11">
                  <c:v>22.25867875163242</c:v>
                </c:pt>
                <c:pt idx="12">
                  <c:v>16.643490890831611</c:v>
                </c:pt>
                <c:pt idx="13">
                  <c:v>19.294429046770048</c:v>
                </c:pt>
                <c:pt idx="14">
                  <c:v>22.000735078547677</c:v>
                </c:pt>
                <c:pt idx="15">
                  <c:v>15.276485112288597</c:v>
                </c:pt>
                <c:pt idx="16">
                  <c:v>17.479867734438265</c:v>
                </c:pt>
                <c:pt idx="17">
                  <c:v>16.422874848769688</c:v>
                </c:pt>
                <c:pt idx="18">
                  <c:v>20.755140965792059</c:v>
                </c:pt>
                <c:pt idx="19">
                  <c:v>21.493189429091156</c:v>
                </c:pt>
                <c:pt idx="20">
                  <c:v>22.508773587322384</c:v>
                </c:pt>
                <c:pt idx="21">
                  <c:v>21.930248675843092</c:v>
                </c:pt>
                <c:pt idx="22">
                  <c:v>21.408728464446561</c:v>
                </c:pt>
                <c:pt idx="23">
                  <c:v>21.154170648942305</c:v>
                </c:pt>
                <c:pt idx="24">
                  <c:v>20.972192669782459</c:v>
                </c:pt>
                <c:pt idx="25">
                  <c:v>21.107282926331081</c:v>
                </c:pt>
                <c:pt idx="26">
                  <c:v>20.74103998782908</c:v>
                </c:pt>
                <c:pt idx="27">
                  <c:v>20.413577650604459</c:v>
                </c:pt>
                <c:pt idx="28">
                  <c:v>18.320951806016399</c:v>
                </c:pt>
                <c:pt idx="29">
                  <c:v>17.604772026198859</c:v>
                </c:pt>
                <c:pt idx="30">
                  <c:v>13.069291974265155</c:v>
                </c:pt>
                <c:pt idx="31">
                  <c:v>10.376353372417624</c:v>
                </c:pt>
                <c:pt idx="32">
                  <c:v>9.0641620920016326</c:v>
                </c:pt>
                <c:pt idx="33">
                  <c:v>6.1445044540422513</c:v>
                </c:pt>
                <c:pt idx="34">
                  <c:v>6.8417677347743924</c:v>
                </c:pt>
                <c:pt idx="35">
                  <c:v>6.2712399557873928</c:v>
                </c:pt>
                <c:pt idx="36">
                  <c:v>8.9530689648555253</c:v>
                </c:pt>
                <c:pt idx="37">
                  <c:v>9.5010679179796096</c:v>
                </c:pt>
                <c:pt idx="38">
                  <c:v>9.2174347760184574</c:v>
                </c:pt>
                <c:pt idx="39">
                  <c:v>10.052178494234495</c:v>
                </c:pt>
                <c:pt idx="40">
                  <c:v>6.016657584215233</c:v>
                </c:pt>
                <c:pt idx="41">
                  <c:v>2.7154074636301928E-3</c:v>
                </c:pt>
                <c:pt idx="42">
                  <c:v>-7.044593719067783</c:v>
                </c:pt>
                <c:pt idx="43">
                  <c:v>-11.893888485647111</c:v>
                </c:pt>
                <c:pt idx="44">
                  <c:v>-16.127326490036545</c:v>
                </c:pt>
                <c:pt idx="45">
                  <c:v>-17.811017954075034</c:v>
                </c:pt>
                <c:pt idx="46">
                  <c:v>-17.533062593395982</c:v>
                </c:pt>
                <c:pt idx="47">
                  <c:v>-16.084374817251401</c:v>
                </c:pt>
                <c:pt idx="48">
                  <c:v>-13.889381830256838</c:v>
                </c:pt>
                <c:pt idx="49">
                  <c:v>-12.181756201727534</c:v>
                </c:pt>
                <c:pt idx="50">
                  <c:v>-12.164962565031697</c:v>
                </c:pt>
              </c:numCache>
            </c:numRef>
          </c:val>
          <c:smooth val="0"/>
          <c:extLst>
            <c:ext xmlns:c16="http://schemas.microsoft.com/office/drawing/2014/chart" uri="{C3380CC4-5D6E-409C-BE32-E72D297353CC}">
              <c16:uniqueId val="{00000000-4481-4A60-B0E4-245CE9B0BFD1}"/>
            </c:ext>
          </c:extLst>
        </c:ser>
        <c:ser>
          <c:idx val="1"/>
          <c:order val="1"/>
          <c:spPr>
            <a:ln w="28575" cmpd="sng">
              <a:solidFill>
                <a:srgbClr val="ED7D31"/>
              </a:solidFill>
              <a:prstDash val="solid"/>
            </a:ln>
          </c:spPr>
          <c:marker>
            <c:symbol val="none"/>
          </c:marker>
          <c:cat>
            <c:numRef>
              <c:f>Model!$C$2:$BA$2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Model!$C$1323:$BA$1323</c:f>
              <c:numCache>
                <c:formatCode>_("$"* #,##0_);_("$"* \(#,##0\);_("$"* "-"??_);_(@_)</c:formatCode>
                <c:ptCount val="51"/>
                <c:pt idx="0">
                  <c:v>10.664292931742667</c:v>
                </c:pt>
                <c:pt idx="1">
                  <c:v>11.214934051077705</c:v>
                </c:pt>
                <c:pt idx="2">
                  <c:v>9.482648023226389</c:v>
                </c:pt>
                <c:pt idx="3">
                  <c:v>12.755549078066064</c:v>
                </c:pt>
                <c:pt idx="4">
                  <c:v>14.118149582091265</c:v>
                </c:pt>
                <c:pt idx="5">
                  <c:v>18.461834446962808</c:v>
                </c:pt>
                <c:pt idx="6">
                  <c:v>15.82799984832219</c:v>
                </c:pt>
                <c:pt idx="7">
                  <c:v>18.021439265062714</c:v>
                </c:pt>
                <c:pt idx="8">
                  <c:v>21.825659192055337</c:v>
                </c:pt>
                <c:pt idx="9">
                  <c:v>13.215402699223874</c:v>
                </c:pt>
                <c:pt idx="10">
                  <c:v>13.3510146818761</c:v>
                </c:pt>
                <c:pt idx="11">
                  <c:v>12.28602989589932</c:v>
                </c:pt>
                <c:pt idx="12">
                  <c:v>9.2684789514454451</c:v>
                </c:pt>
                <c:pt idx="13">
                  <c:v>11.008638415076057</c:v>
                </c:pt>
                <c:pt idx="14">
                  <c:v>12.478266733831086</c:v>
                </c:pt>
                <c:pt idx="15">
                  <c:v>8.8701510935223045</c:v>
                </c:pt>
                <c:pt idx="16">
                  <c:v>9.6412100178095095</c:v>
                </c:pt>
                <c:pt idx="17">
                  <c:v>8.9419248633568174</c:v>
                </c:pt>
                <c:pt idx="18">
                  <c:v>5.5852277132418706</c:v>
                </c:pt>
                <c:pt idx="19">
                  <c:v>5.5793034398557797</c:v>
                </c:pt>
                <c:pt idx="20">
                  <c:v>4.9742556462214598</c:v>
                </c:pt>
                <c:pt idx="21">
                  <c:v>4.8608971233733049</c:v>
                </c:pt>
                <c:pt idx="22">
                  <c:v>4.7563761582092594</c:v>
                </c:pt>
                <c:pt idx="23">
                  <c:v>4.7174683032311258</c:v>
                </c:pt>
                <c:pt idx="24">
                  <c:v>4.6975908971800724</c:v>
                </c:pt>
                <c:pt idx="25">
                  <c:v>4.7574555945683512</c:v>
                </c:pt>
                <c:pt idx="26">
                  <c:v>4.6795747018610996</c:v>
                </c:pt>
                <c:pt idx="27">
                  <c:v>4.6132653492715567</c:v>
                </c:pt>
                <c:pt idx="28">
                  <c:v>4.5185207968199634</c:v>
                </c:pt>
                <c:pt idx="29">
                  <c:v>4.4238286662058277</c:v>
                </c:pt>
                <c:pt idx="30">
                  <c:v>4.3210448833573034</c:v>
                </c:pt>
                <c:pt idx="31">
                  <c:v>4.257958466301484</c:v>
                </c:pt>
                <c:pt idx="32">
                  <c:v>4.1473121709235379</c:v>
                </c:pt>
                <c:pt idx="33">
                  <c:v>3.9886654388255329</c:v>
                </c:pt>
                <c:pt idx="34">
                  <c:v>3.6085044573989862</c:v>
                </c:pt>
                <c:pt idx="35">
                  <c:v>3.2835447672459912</c:v>
                </c:pt>
                <c:pt idx="36">
                  <c:v>2.5397848703117147</c:v>
                </c:pt>
                <c:pt idx="37">
                  <c:v>1.6744923323163978</c:v>
                </c:pt>
                <c:pt idx="38">
                  <c:v>1.3495455029626979</c:v>
                </c:pt>
                <c:pt idx="39">
                  <c:v>0.98727092552746032</c:v>
                </c:pt>
                <c:pt idx="40">
                  <c:v>0.742873359916847</c:v>
                </c:pt>
                <c:pt idx="41">
                  <c:v>0.70229393758715442</c:v>
                </c:pt>
                <c:pt idx="42">
                  <c:v>0.60294037380291721</c:v>
                </c:pt>
                <c:pt idx="43">
                  <c:v>0.29228019818555162</c:v>
                </c:pt>
                <c:pt idx="44">
                  <c:v>6.7387222666193125E-5</c:v>
                </c:pt>
                <c:pt idx="45">
                  <c:v>-0.20656816160097521</c:v>
                </c:pt>
                <c:pt idx="46">
                  <c:v>-0.18255568106593162</c:v>
                </c:pt>
                <c:pt idx="47">
                  <c:v>-0.13965509601543774</c:v>
                </c:pt>
                <c:pt idx="48">
                  <c:v>-9.496546529049775E-2</c:v>
                </c:pt>
                <c:pt idx="49">
                  <c:v>-4.8432387298153967E-2</c:v>
                </c:pt>
                <c:pt idx="50">
                  <c:v>0</c:v>
                </c:pt>
              </c:numCache>
            </c:numRef>
          </c:val>
          <c:smooth val="0"/>
          <c:extLst>
            <c:ext xmlns:c16="http://schemas.microsoft.com/office/drawing/2014/chart" uri="{C3380CC4-5D6E-409C-BE32-E72D297353CC}">
              <c16:uniqueId val="{00000001-4481-4A60-B0E4-245CE9B0BFD1}"/>
            </c:ext>
          </c:extLst>
        </c:ser>
        <c:dLbls>
          <c:showLegendKey val="0"/>
          <c:showVal val="0"/>
          <c:showCatName val="0"/>
          <c:showSerName val="0"/>
          <c:showPercent val="0"/>
          <c:showBubbleSize val="0"/>
        </c:dLbls>
        <c:smooth val="0"/>
        <c:axId val="1569051243"/>
        <c:axId val="772374027"/>
      </c:lineChart>
      <c:catAx>
        <c:axId val="1569051243"/>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sz="1100" b="0" i="0">
                <a:solidFill>
                  <a:srgbClr val="000000"/>
                </a:solidFill>
                <a:latin typeface="Calibri"/>
              </a:defRPr>
            </a:pPr>
            <a:endParaRPr lang="en-US"/>
          </a:p>
        </c:txPr>
        <c:crossAx val="772374027"/>
        <c:crosses val="autoZero"/>
        <c:auto val="1"/>
        <c:lblAlgn val="ctr"/>
        <c:lblOffset val="100"/>
        <c:noMultiLvlLbl val="1"/>
      </c:catAx>
      <c:valAx>
        <c:axId val="772374027"/>
        <c:scaling>
          <c:orientation val="minMax"/>
          <c:max val="90"/>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_);_(&quot;$&quot;* \(#,##0\);_(&quot;$&quot;* &quot;-&quot;??_);_(@_)" sourceLinked="1"/>
        <c:majorTickMark val="none"/>
        <c:minorTickMark val="none"/>
        <c:tickLblPos val="nextTo"/>
        <c:spPr>
          <a:ln/>
        </c:spPr>
        <c:txPr>
          <a:bodyPr/>
          <a:lstStyle/>
          <a:p>
            <a:pPr lvl="0">
              <a:defRPr sz="1100" b="0" i="0">
                <a:solidFill>
                  <a:srgbClr val="000000"/>
                </a:solidFill>
                <a:latin typeface="Calibri"/>
              </a:defRPr>
            </a:pPr>
            <a:endParaRPr lang="en-US"/>
          </a:p>
        </c:txPr>
        <c:crossAx val="1569051243"/>
        <c:crosses val="autoZero"/>
        <c:crossBetween val="between"/>
      </c:valAx>
      <c:spPr>
        <a:solidFill>
          <a:srgbClr val="FFFFFF"/>
        </a:solidFill>
      </c:spPr>
    </c:plotArea>
    <c:legend>
      <c:legendPos val="b"/>
      <c:overlay val="0"/>
      <c:txPr>
        <a:bodyPr/>
        <a:lstStyle/>
        <a:p>
          <a:pPr lvl="0">
            <a:defRPr sz="1100" b="0" i="0">
              <a:solidFill>
                <a:srgbClr val="000000"/>
              </a:solidFill>
              <a:latin typeface="Calibri"/>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tx>
            <c:strRef>
              <c:f>Aggregation!$A$3</c:f>
              <c:strCache>
                <c:ptCount val="1"/>
                <c:pt idx="0">
                  <c:v>PowerPlantCapacity_Coal_MW</c:v>
                </c:pt>
              </c:strCache>
            </c:strRef>
          </c:tx>
          <c:spPr>
            <a:solidFill>
              <a:srgbClr val="4285F4"/>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Aggregation!$B$3:$BB$3</c:f>
              <c:numCache>
                <c:formatCode>_(* #,##0_);_(* \(#,##0\);_(* "-"??_);_(@_)</c:formatCode>
                <c:ptCount val="53"/>
                <c:pt idx="0">
                  <c:v>0</c:v>
                </c:pt>
                <c:pt idx="1">
                  <c:v>0</c:v>
                </c:pt>
                <c:pt idx="2" formatCode="#,##0">
                  <c:v>314790</c:v>
                </c:pt>
                <c:pt idx="3" formatCode="#,##0">
                  <c:v>313944</c:v>
                </c:pt>
                <c:pt idx="4" formatCode="#,##0">
                  <c:v>315063</c:v>
                </c:pt>
                <c:pt idx="5" formatCode="#,##0">
                  <c:v>312732</c:v>
                </c:pt>
                <c:pt idx="6" formatCode="#,##0">
                  <c:v>312757</c:v>
                </c:pt>
                <c:pt idx="7" formatCode="#,##0">
                  <c:v>313099</c:v>
                </c:pt>
                <c:pt idx="8" formatCode="#,##0">
                  <c:v>312673</c:v>
                </c:pt>
                <c:pt idx="9" formatCode="#,##0">
                  <c:v>312452</c:v>
                </c:pt>
                <c:pt idx="10" formatCode="#,##0">
                  <c:v>313032</c:v>
                </c:pt>
                <c:pt idx="11" formatCode="#,##0">
                  <c:v>314006</c:v>
                </c:pt>
                <c:pt idx="12" formatCode="#,##0">
                  <c:v>316510</c:v>
                </c:pt>
                <c:pt idx="13" formatCode="#,##0">
                  <c:v>317349.80000000005</c:v>
                </c:pt>
                <c:pt idx="14" formatCode="#,##0">
                  <c:v>309389.89999999991</c:v>
                </c:pt>
                <c:pt idx="15" formatCode="#,##0">
                  <c:v>303015.8</c:v>
                </c:pt>
                <c:pt idx="16" formatCode="#,##0">
                  <c:v>298808.10000000003</c:v>
                </c:pt>
                <c:pt idx="17" formatCode="#,##0">
                  <c:v>279436.10000000003</c:v>
                </c:pt>
                <c:pt idx="18" formatCode="#,##0">
                  <c:v>260049</c:v>
                </c:pt>
                <c:pt idx="19" formatCode="#,##0">
                  <c:v>254345</c:v>
                </c:pt>
                <c:pt idx="20" formatCode="#,##0">
                  <c:v>242350</c:v>
                </c:pt>
                <c:pt idx="21" formatCode="#,##0">
                  <c:v>236796</c:v>
                </c:pt>
                <c:pt idx="22" formatCode="#,##0">
                  <c:v>228300</c:v>
                </c:pt>
                <c:pt idx="23" formatCode="#,##0">
                  <c:v>220690.00333333333</c:v>
                </c:pt>
                <c:pt idx="24" formatCode="#,##0">
                  <c:v>213080.00666666665</c:v>
                </c:pt>
                <c:pt idx="25" formatCode="#,##0">
                  <c:v>205470.00999999998</c:v>
                </c:pt>
                <c:pt idx="26" formatCode="#,##0">
                  <c:v>197860.01333333331</c:v>
                </c:pt>
                <c:pt idx="27" formatCode="#,##0">
                  <c:v>190250.01666666663</c:v>
                </c:pt>
                <c:pt idx="28" formatCode="#,##0">
                  <c:v>182640.01999999996</c:v>
                </c:pt>
                <c:pt idx="29" formatCode="#,##0">
                  <c:v>175030.02333333329</c:v>
                </c:pt>
                <c:pt idx="30" formatCode="#,##0">
                  <c:v>167420.02666666661</c:v>
                </c:pt>
                <c:pt idx="31" formatCode="#,##0">
                  <c:v>159810.02999999994</c:v>
                </c:pt>
                <c:pt idx="32" formatCode="#,##0">
                  <c:v>152200.03333333327</c:v>
                </c:pt>
                <c:pt idx="33" formatCode="#,##0">
                  <c:v>144590.03666666659</c:v>
                </c:pt>
                <c:pt idx="34" formatCode="#,##0">
                  <c:v>136980.03999999992</c:v>
                </c:pt>
                <c:pt idx="35" formatCode="#,##0">
                  <c:v>129370.04333333325</c:v>
                </c:pt>
                <c:pt idx="36" formatCode="#,##0">
                  <c:v>121760.04666666657</c:v>
                </c:pt>
                <c:pt idx="37" formatCode="#,##0">
                  <c:v>114150.0499999999</c:v>
                </c:pt>
                <c:pt idx="38" formatCode="#,##0">
                  <c:v>106540.05333333323</c:v>
                </c:pt>
                <c:pt idx="39" formatCode="#,##0">
                  <c:v>98930.056666666555</c:v>
                </c:pt>
                <c:pt idx="40" formatCode="#,##0">
                  <c:v>91320.059999999881</c:v>
                </c:pt>
                <c:pt idx="41" formatCode="#,##0">
                  <c:v>83710.063333333208</c:v>
                </c:pt>
                <c:pt idx="42" formatCode="#,##0">
                  <c:v>76100.066666666535</c:v>
                </c:pt>
                <c:pt idx="43" formatCode="#,##0">
                  <c:v>68490.069999999861</c:v>
                </c:pt>
                <c:pt idx="44" formatCode="#,##0">
                  <c:v>60880.073333333195</c:v>
                </c:pt>
                <c:pt idx="45" formatCode="#,##0">
                  <c:v>53270.076666666529</c:v>
                </c:pt>
                <c:pt idx="46" formatCode="#,##0">
                  <c:v>45660.079999999864</c:v>
                </c:pt>
                <c:pt idx="47" formatCode="#,##0">
                  <c:v>38050.083333333198</c:v>
                </c:pt>
                <c:pt idx="48" formatCode="#,##0">
                  <c:v>30440.086666666532</c:v>
                </c:pt>
                <c:pt idx="49" formatCode="#,##0">
                  <c:v>22830.089999999866</c:v>
                </c:pt>
                <c:pt idx="50" formatCode="#,##0">
                  <c:v>15220.0933333332</c:v>
                </c:pt>
                <c:pt idx="51" formatCode="#,##0">
                  <c:v>7610.0966666665327</c:v>
                </c:pt>
                <c:pt idx="52" formatCode="#,##0">
                  <c:v>0.1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321-48F4-B33A-A47E65831A18}"/>
            </c:ext>
          </c:extLst>
        </c:ser>
        <c:ser>
          <c:idx val="1"/>
          <c:order val="1"/>
          <c:tx>
            <c:strRef>
              <c:f>Aggregation!$A$4</c:f>
              <c:strCache>
                <c:ptCount val="1"/>
                <c:pt idx="0">
                  <c:v>PowerPlantCapacity_NGCC_MW</c:v>
                </c:pt>
              </c:strCache>
            </c:strRef>
          </c:tx>
          <c:spPr>
            <a:solidFill>
              <a:srgbClr val="DB4437"/>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Aggregation!$B$4:$BB$4</c:f>
              <c:numCache>
                <c:formatCode>_(* #,##0_);_(* \(#,##0\);_(* "-"??_);_(@_)</c:formatCode>
                <c:ptCount val="53"/>
                <c:pt idx="0">
                  <c:v>0</c:v>
                </c:pt>
                <c:pt idx="1">
                  <c:v>0</c:v>
                </c:pt>
                <c:pt idx="2" formatCode="#,##0">
                  <c:v>65173.700640000003</c:v>
                </c:pt>
                <c:pt idx="3" formatCode="#,##0">
                  <c:v>83160.751806</c:v>
                </c:pt>
                <c:pt idx="4" formatCode="#,##0">
                  <c:v>126573.99906599999</c:v>
                </c:pt>
                <c:pt idx="5" formatCode="#,##0">
                  <c:v>167424.38605200002</c:v>
                </c:pt>
                <c:pt idx="6" formatCode="#,##0">
                  <c:v>184272.88304000002</c:v>
                </c:pt>
                <c:pt idx="7" formatCode="#,##0">
                  <c:v>194949.92322900001</c:v>
                </c:pt>
                <c:pt idx="8" formatCode="#,##0">
                  <c:v>201010.306239</c:v>
                </c:pt>
                <c:pt idx="9" formatCode="#,##0">
                  <c:v>204703.29048599998</c:v>
                </c:pt>
                <c:pt idx="10" formatCode="#,##0">
                  <c:v>207680.65550399999</c:v>
                </c:pt>
                <c:pt idx="11" formatCode="#,##0">
                  <c:v>211500.39480000001</c:v>
                </c:pt>
                <c:pt idx="12" formatCode="#,##0">
                  <c:v>215532.57068800001</c:v>
                </c:pt>
                <c:pt idx="13" formatCode="#,##0">
                  <c:v>222800.110029</c:v>
                </c:pt>
                <c:pt idx="14" formatCode="#,##0">
                  <c:v>228479.5076292</c:v>
                </c:pt>
                <c:pt idx="15" formatCode="#,##0">
                  <c:v>229538.23296599998</c:v>
                </c:pt>
                <c:pt idx="16" formatCode="#,##0">
                  <c:v>236482.03182060001</c:v>
                </c:pt>
                <c:pt idx="17" formatCode="#,##0">
                  <c:v>241642.07680700003</c:v>
                </c:pt>
                <c:pt idx="18" formatCode="#,##0">
                  <c:v>245882.57727549999</c:v>
                </c:pt>
                <c:pt idx="19" formatCode="#,##0">
                  <c:v>254671.75771199999</c:v>
                </c:pt>
                <c:pt idx="20" formatCode="#,##0">
                  <c:v>265458.25202000001</c:v>
                </c:pt>
                <c:pt idx="21" formatCode="#,##0">
                  <c:v>275397.96643800003</c:v>
                </c:pt>
                <c:pt idx="22" formatCode="#,##0">
                  <c:v>277837.94999999995</c:v>
                </c:pt>
                <c:pt idx="23" formatCode="#,##0">
                  <c:v>259638.9789718411</c:v>
                </c:pt>
                <c:pt idx="24" formatCode="#,##0">
                  <c:v>242056.40146286559</c:v>
                </c:pt>
                <c:pt idx="25" formatCode="#,##0">
                  <c:v>225090.2174730734</c:v>
                </c:pt>
                <c:pt idx="26" formatCode="#,##0">
                  <c:v>208740.42700246465</c:v>
                </c:pt>
                <c:pt idx="27" formatCode="#,##0">
                  <c:v>193007.03005103924</c:v>
                </c:pt>
                <c:pt idx="28" formatCode="#,##0">
                  <c:v>177890.02661879722</c:v>
                </c:pt>
                <c:pt idx="29" formatCode="#,##0">
                  <c:v>163389.41670573858</c:v>
                </c:pt>
                <c:pt idx="30" formatCode="#,##0">
                  <c:v>149505.2003118633</c:v>
                </c:pt>
                <c:pt idx="31" formatCode="#,##0">
                  <c:v>136237.37743717135</c:v>
                </c:pt>
                <c:pt idx="32" formatCode="#,##0">
                  <c:v>123585.94808166283</c:v>
                </c:pt>
                <c:pt idx="33" formatCode="#,##0">
                  <c:v>111550.91224533765</c:v>
                </c:pt>
                <c:pt idx="34" formatCode="#,##0">
                  <c:v>100132.26992819586</c:v>
                </c:pt>
                <c:pt idx="35" formatCode="#,##0">
                  <c:v>89330.021130237452</c:v>
                </c:pt>
                <c:pt idx="36" formatCode="#,##0">
                  <c:v>79144.1658514624</c:v>
                </c:pt>
                <c:pt idx="37" formatCode="#,##0">
                  <c:v>69574.704091870735</c:v>
                </c:pt>
                <c:pt idx="38" formatCode="#,##0">
                  <c:v>60621.635851462444</c:v>
                </c:pt>
                <c:pt idx="39" formatCode="#,##0">
                  <c:v>52284.961130237505</c:v>
                </c:pt>
                <c:pt idx="40" formatCode="#,##0">
                  <c:v>44564.679928195961</c:v>
                </c:pt>
                <c:pt idx="41" formatCode="#,##0">
                  <c:v>37460.792245337776</c:v>
                </c:pt>
                <c:pt idx="42" formatCode="#,##0">
                  <c:v>30973.298081662968</c:v>
                </c:pt>
                <c:pt idx="43" formatCode="#,##0">
                  <c:v>25102.197437171522</c:v>
                </c:pt>
                <c:pt idx="44" formatCode="#,##0">
                  <c:v>19847.490311863454</c:v>
                </c:pt>
                <c:pt idx="45" formatCode="#,##0">
                  <c:v>15209.176705738751</c:v>
                </c:pt>
                <c:pt idx="46" formatCode="#,##0">
                  <c:v>11187.256618797426</c:v>
                </c:pt>
                <c:pt idx="47" formatCode="#,##0">
                  <c:v>7781.7300510394689</c:v>
                </c:pt>
                <c:pt idx="48" formatCode="#,##0">
                  <c:v>4992.5970024648877</c:v>
                </c:pt>
                <c:pt idx="49" formatCode="#,##0">
                  <c:v>2819.8574730736755</c:v>
                </c:pt>
                <c:pt idx="50" formatCode="#,##0">
                  <c:v>1263.511462865838</c:v>
                </c:pt>
                <c:pt idx="51" formatCode="#,##0">
                  <c:v>323.55897184137172</c:v>
                </c:pt>
                <c:pt idx="52" formatCode="#,##0">
                  <c:v>2.7648638933896998E-10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1321-48F4-B33A-A47E65831A18}"/>
            </c:ext>
          </c:extLst>
        </c:ser>
        <c:ser>
          <c:idx val="2"/>
          <c:order val="2"/>
          <c:tx>
            <c:strRef>
              <c:f>Aggregation!$A$5</c:f>
              <c:strCache>
                <c:ptCount val="1"/>
                <c:pt idx="0">
                  <c:v>PowerPlantCapacity_NGCT_MW</c:v>
                </c:pt>
              </c:strCache>
            </c:strRef>
          </c:tx>
          <c:spPr>
            <a:solidFill>
              <a:srgbClr val="F4B400"/>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Aggregation!$B$5:$BB$5</c:f>
              <c:numCache>
                <c:formatCode>_(* #,##0_);_(* \(#,##0\);_(* "-"??_);_(@_)</c:formatCode>
                <c:ptCount val="53"/>
                <c:pt idx="0">
                  <c:v>0</c:v>
                </c:pt>
                <c:pt idx="1">
                  <c:v>0</c:v>
                </c:pt>
                <c:pt idx="2" formatCode="#,##0">
                  <c:v>153482.29936</c:v>
                </c:pt>
                <c:pt idx="3" formatCode="#,##0">
                  <c:v>168665.24819400001</c:v>
                </c:pt>
                <c:pt idx="4" formatCode="#,##0">
                  <c:v>184992.00093400004</c:v>
                </c:pt>
                <c:pt idx="5" formatCode="#,##0">
                  <c:v>187181.61394799998</c:v>
                </c:pt>
                <c:pt idx="6" formatCode="#,##0">
                  <c:v>185935.11696000001</c:v>
                </c:pt>
                <c:pt idx="7" formatCode="#,##0">
                  <c:v>187307.07677099999</c:v>
                </c:pt>
                <c:pt idx="8" formatCode="#,##0">
                  <c:v>186478.693761</c:v>
                </c:pt>
                <c:pt idx="9" formatCode="#,##0">
                  <c:v>187342.70951400002</c:v>
                </c:pt>
                <c:pt idx="10" formatCode="#,##0">
                  <c:v>188943.34449600001</c:v>
                </c:pt>
                <c:pt idx="11" formatCode="#,##0">
                  <c:v>188939.60519999999</c:v>
                </c:pt>
                <c:pt idx="12" formatCode="#,##0">
                  <c:v>190654.42931199999</c:v>
                </c:pt>
                <c:pt idx="13" formatCode="#,##0">
                  <c:v>191553.68997099999</c:v>
                </c:pt>
                <c:pt idx="14" formatCode="#,##0">
                  <c:v>193031.29237079999</c:v>
                </c:pt>
                <c:pt idx="15" formatCode="#,##0">
                  <c:v>194756.26703399996</c:v>
                </c:pt>
                <c:pt idx="16" formatCode="#,##0">
                  <c:v>194565.26817939998</c:v>
                </c:pt>
                <c:pt idx="17" formatCode="#,##0">
                  <c:v>196536.023193</c:v>
                </c:pt>
                <c:pt idx="18" formatCode="#,##0">
                  <c:v>199652.92272450001</c:v>
                </c:pt>
                <c:pt idx="19" formatCode="#,##0">
                  <c:v>201340.24228800001</c:v>
                </c:pt>
                <c:pt idx="20" formatCode="#,##0">
                  <c:v>198418.74798000001</c:v>
                </c:pt>
                <c:pt idx="21" formatCode="#,##0">
                  <c:v>204729.03356199997</c:v>
                </c:pt>
                <c:pt idx="22" formatCode="#,##0">
                  <c:v>209597.05000000002</c:v>
                </c:pt>
                <c:pt idx="23" formatCode="#,##0">
                  <c:v>211575.1389443762</c:v>
                </c:pt>
                <c:pt idx="24" formatCode="#,##0">
                  <c:v>212936.83436956906</c:v>
                </c:pt>
                <c:pt idx="25" formatCode="#,##0">
                  <c:v>213682.13627557849</c:v>
                </c:pt>
                <c:pt idx="26" formatCode="#,##0">
                  <c:v>213811.0446624046</c:v>
                </c:pt>
                <c:pt idx="27" formatCode="#,##0">
                  <c:v>213323.55953004729</c:v>
                </c:pt>
                <c:pt idx="28" formatCode="#,##0">
                  <c:v>212219.68087850662</c:v>
                </c:pt>
                <c:pt idx="29" formatCode="#,##0">
                  <c:v>210499.40870778257</c:v>
                </c:pt>
                <c:pt idx="30" formatCode="#,##0">
                  <c:v>208162.74301787515</c:v>
                </c:pt>
                <c:pt idx="31" formatCode="#,##0">
                  <c:v>205209.68380878438</c:v>
                </c:pt>
                <c:pt idx="32" formatCode="#,##0">
                  <c:v>201640.23108051022</c:v>
                </c:pt>
                <c:pt idx="33" formatCode="#,##0">
                  <c:v>197454.38483305273</c:v>
                </c:pt>
                <c:pt idx="34" formatCode="#,##0">
                  <c:v>192652.14506641182</c:v>
                </c:pt>
                <c:pt idx="35" formatCode="#,##0">
                  <c:v>187233.51178058755</c:v>
                </c:pt>
                <c:pt idx="36" formatCode="#,##0">
                  <c:v>181198.48497557995</c:v>
                </c:pt>
                <c:pt idx="37" formatCode="#,##0">
                  <c:v>174547.06465138894</c:v>
                </c:pt>
                <c:pt idx="38" formatCode="#,##0">
                  <c:v>167279.25080801456</c:v>
                </c:pt>
                <c:pt idx="39" formatCode="#,##0">
                  <c:v>159395.04344545683</c:v>
                </c:pt>
                <c:pt idx="40" formatCode="#,##0">
                  <c:v>150894.44256371571</c:v>
                </c:pt>
                <c:pt idx="41" formatCode="#,##0">
                  <c:v>141777.44816279123</c:v>
                </c:pt>
                <c:pt idx="42" formatCode="#,##0">
                  <c:v>132044.06024268336</c:v>
                </c:pt>
                <c:pt idx="43" formatCode="#,##0">
                  <c:v>121694.27880339214</c:v>
                </c:pt>
                <c:pt idx="44" formatCode="#,##0">
                  <c:v>110728.10384491752</c:v>
                </c:pt>
                <c:pt idx="45" formatCode="#,##0">
                  <c:v>99145.535367259567</c:v>
                </c:pt>
                <c:pt idx="46" formatCode="#,##0">
                  <c:v>86946.573370418206</c:v>
                </c:pt>
                <c:pt idx="47" formatCode="#,##0">
                  <c:v>74131.217854393486</c:v>
                </c:pt>
                <c:pt idx="48" formatCode="#,##0">
                  <c:v>60699.468819185393</c:v>
                </c:pt>
                <c:pt idx="49" formatCode="#,##0">
                  <c:v>46651.326264793934</c:v>
                </c:pt>
                <c:pt idx="50" formatCode="#,##0">
                  <c:v>31986.790191219097</c:v>
                </c:pt>
                <c:pt idx="51" formatCode="#,##0">
                  <c:v>16705.860598460891</c:v>
                </c:pt>
                <c:pt idx="52" formatCode="#,##0">
                  <c:v>808.53748651951901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1321-48F4-B33A-A47E65831A18}"/>
            </c:ext>
          </c:extLst>
        </c:ser>
        <c:ser>
          <c:idx val="3"/>
          <c:order val="3"/>
          <c:tx>
            <c:strRef>
              <c:f>Aggregation!$A$6</c:f>
              <c:strCache>
                <c:ptCount val="1"/>
                <c:pt idx="0">
                  <c:v>PowerPlantCapacity_Wind_MW</c:v>
                </c:pt>
              </c:strCache>
            </c:strRef>
          </c:tx>
          <c:spPr>
            <a:solidFill>
              <a:srgbClr val="0F9D58"/>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Aggregation!$B$6:$BB$6</c:f>
              <c:numCache>
                <c:formatCode>_(* #,##0_);_(* \(#,##0\);_(* "-"??_);_(@_)</c:formatCode>
                <c:ptCount val="53"/>
                <c:pt idx="0">
                  <c:v>0</c:v>
                </c:pt>
                <c:pt idx="1">
                  <c:v>0</c:v>
                </c:pt>
                <c:pt idx="2" formatCode="#,##0">
                  <c:v>2365</c:v>
                </c:pt>
                <c:pt idx="3" formatCode="#,##0">
                  <c:v>3853</c:v>
                </c:pt>
                <c:pt idx="4" formatCode="#,##0">
                  <c:v>4405</c:v>
                </c:pt>
                <c:pt idx="5" formatCode="#,##0">
                  <c:v>5983</c:v>
                </c:pt>
                <c:pt idx="6" formatCode="#,##0">
                  <c:v>6442</c:v>
                </c:pt>
                <c:pt idx="7" formatCode="#,##0">
                  <c:v>8685</c:v>
                </c:pt>
                <c:pt idx="8" formatCode="#,##0">
                  <c:v>11283</c:v>
                </c:pt>
                <c:pt idx="9" formatCode="#,##0">
                  <c:v>16449</c:v>
                </c:pt>
                <c:pt idx="10" formatCode="#,##0">
                  <c:v>24589</c:v>
                </c:pt>
                <c:pt idx="11" formatCode="#,##0">
                  <c:v>34230</c:v>
                </c:pt>
                <c:pt idx="12" formatCode="#,##0">
                  <c:v>39068</c:v>
                </c:pt>
                <c:pt idx="13" formatCode="#,##0">
                  <c:v>45576.9</c:v>
                </c:pt>
                <c:pt idx="14" formatCode="#,##0">
                  <c:v>58836.500000000007</c:v>
                </c:pt>
                <c:pt idx="15" formatCode="#,##0">
                  <c:v>59707.8</c:v>
                </c:pt>
                <c:pt idx="16" formatCode="#,##0">
                  <c:v>63965.899999999987</c:v>
                </c:pt>
                <c:pt idx="17" formatCode="#,##0">
                  <c:v>72307.199999999997</c:v>
                </c:pt>
                <c:pt idx="18" formatCode="#,##0">
                  <c:v>81020.400000000023</c:v>
                </c:pt>
                <c:pt idx="19" formatCode="#,##0">
                  <c:v>91500</c:v>
                </c:pt>
                <c:pt idx="20" formatCode="#,##0">
                  <c:v>100000</c:v>
                </c:pt>
                <c:pt idx="21" formatCode="#,##0">
                  <c:v>107100</c:v>
                </c:pt>
                <c:pt idx="22" formatCode="#,##0">
                  <c:v>122000</c:v>
                </c:pt>
                <c:pt idx="23" formatCode="#,##0">
                  <c:v>179422.99240941199</c:v>
                </c:pt>
                <c:pt idx="24" formatCode="#,##0">
                  <c:v>236845.98481882398</c:v>
                </c:pt>
                <c:pt idx="25" formatCode="#,##0">
                  <c:v>294268.97722823598</c:v>
                </c:pt>
                <c:pt idx="26" formatCode="#,##0">
                  <c:v>351691.96963764797</c:v>
                </c:pt>
                <c:pt idx="27" formatCode="#,##0">
                  <c:v>409114.96204705996</c:v>
                </c:pt>
                <c:pt idx="28" formatCode="#,##0">
                  <c:v>466537.95445647195</c:v>
                </c:pt>
                <c:pt idx="29" formatCode="#,##0">
                  <c:v>523960.94686588395</c:v>
                </c:pt>
                <c:pt idx="30" formatCode="#,##0">
                  <c:v>581383.93927529594</c:v>
                </c:pt>
                <c:pt idx="31" formatCode="#,##0">
                  <c:v>638806.93168470799</c:v>
                </c:pt>
                <c:pt idx="32" formatCode="#,##0">
                  <c:v>696229.92409412004</c:v>
                </c:pt>
                <c:pt idx="33" formatCode="#,##0">
                  <c:v>753652.91650353209</c:v>
                </c:pt>
                <c:pt idx="34" formatCode="#,##0">
                  <c:v>811075.90891294414</c:v>
                </c:pt>
                <c:pt idx="35" formatCode="#,##0">
                  <c:v>868498.90132235619</c:v>
                </c:pt>
                <c:pt idx="36" formatCode="#,##0">
                  <c:v>925921.89373176824</c:v>
                </c:pt>
                <c:pt idx="37" formatCode="#,##0">
                  <c:v>983344.88614118029</c:v>
                </c:pt>
                <c:pt idx="38" formatCode="#,##0">
                  <c:v>1040767.8785505923</c:v>
                </c:pt>
                <c:pt idx="39" formatCode="#,##0">
                  <c:v>1098190.8709600044</c:v>
                </c:pt>
                <c:pt idx="40" formatCode="#,##0">
                  <c:v>1155613.8633694164</c:v>
                </c:pt>
                <c:pt idx="41" formatCode="#,##0">
                  <c:v>1213036.8557788285</c:v>
                </c:pt>
                <c:pt idx="42" formatCode="#,##0">
                  <c:v>1270459.8481882405</c:v>
                </c:pt>
                <c:pt idx="43" formatCode="#,##0">
                  <c:v>1327882.8405976526</c:v>
                </c:pt>
                <c:pt idx="44" formatCode="#,##0">
                  <c:v>1385305.8330070646</c:v>
                </c:pt>
                <c:pt idx="45" formatCode="#,##0">
                  <c:v>1442728.8254164767</c:v>
                </c:pt>
                <c:pt idx="46" formatCode="#,##0">
                  <c:v>1500151.8178258887</c:v>
                </c:pt>
                <c:pt idx="47" formatCode="#,##0">
                  <c:v>1557574.8102353008</c:v>
                </c:pt>
                <c:pt idx="48" formatCode="#,##0">
                  <c:v>1614997.8026447129</c:v>
                </c:pt>
                <c:pt idx="49" formatCode="#,##0">
                  <c:v>1672420.7950541249</c:v>
                </c:pt>
                <c:pt idx="50" formatCode="#,##0">
                  <c:v>1729843.787463537</c:v>
                </c:pt>
                <c:pt idx="51" formatCode="#,##0">
                  <c:v>1787266.779872949</c:v>
                </c:pt>
                <c:pt idx="52" formatCode="#,##0">
                  <c:v>1844689.7722823599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1321-48F4-B33A-A47E65831A18}"/>
            </c:ext>
          </c:extLst>
        </c:ser>
        <c:ser>
          <c:idx val="4"/>
          <c:order val="4"/>
          <c:tx>
            <c:strRef>
              <c:f>Aggregation!$A$7</c:f>
              <c:strCache>
                <c:ptCount val="1"/>
                <c:pt idx="0">
                  <c:v>PowerPlantCapacity_SolarPV_MW</c:v>
                </c:pt>
              </c:strCache>
            </c:strRef>
          </c:tx>
          <c:spPr>
            <a:solidFill>
              <a:srgbClr val="FF6D00"/>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Aggregation!$B$7:$BB$7</c:f>
              <c:numCache>
                <c:formatCode>_(* #,##0_);_(* \(#,##0\);_(* "-"??_);_(@_)</c:formatCode>
                <c:ptCount val="53"/>
                <c:pt idx="0">
                  <c:v>0</c:v>
                </c:pt>
                <c:pt idx="1">
                  <c:v>0</c:v>
                </c:pt>
                <c:pt idx="2" formatCode="#,##0">
                  <c:v>386</c:v>
                </c:pt>
                <c:pt idx="3" formatCode="#,##0">
                  <c:v>392</c:v>
                </c:pt>
                <c:pt idx="4" formatCode="#,##0">
                  <c:v>397</c:v>
                </c:pt>
                <c:pt idx="5" formatCode="#,##0">
                  <c:v>397</c:v>
                </c:pt>
                <c:pt idx="6" formatCode="#,##0">
                  <c:v>398</c:v>
                </c:pt>
                <c:pt idx="7" formatCode="#,##0">
                  <c:v>411</c:v>
                </c:pt>
                <c:pt idx="8" formatCode="#,##0">
                  <c:v>411</c:v>
                </c:pt>
                <c:pt idx="9" formatCode="#,##0">
                  <c:v>503</c:v>
                </c:pt>
                <c:pt idx="10" formatCode="#,##0">
                  <c:v>535</c:v>
                </c:pt>
                <c:pt idx="11" formatCode="#,##0">
                  <c:v>617</c:v>
                </c:pt>
                <c:pt idx="12" formatCode="#,##0">
                  <c:v>940</c:v>
                </c:pt>
                <c:pt idx="13" formatCode="#,##0">
                  <c:v>1521.3000000000002</c:v>
                </c:pt>
                <c:pt idx="14" formatCode="#,##0">
                  <c:v>3162.9000000000005</c:v>
                </c:pt>
                <c:pt idx="15" formatCode="#,##0">
                  <c:v>6607.3</c:v>
                </c:pt>
                <c:pt idx="16" formatCode="#,##0">
                  <c:v>10291.099999999999</c:v>
                </c:pt>
                <c:pt idx="17" formatCode="#,##0">
                  <c:v>13619.099999999999</c:v>
                </c:pt>
                <c:pt idx="18" formatCode="#,##0">
                  <c:v>36300</c:v>
                </c:pt>
                <c:pt idx="19" formatCode="#,##0">
                  <c:v>47000</c:v>
                </c:pt>
                <c:pt idx="20" formatCode="#,##0">
                  <c:v>56000</c:v>
                </c:pt>
                <c:pt idx="21" formatCode="#,##0">
                  <c:v>72000</c:v>
                </c:pt>
                <c:pt idx="22" formatCode="#,##0">
                  <c:v>82000</c:v>
                </c:pt>
                <c:pt idx="23" formatCode="#,##0">
                  <c:v>624037.72650666663</c:v>
                </c:pt>
                <c:pt idx="24" formatCode="#,##0">
                  <c:v>1166075.4530133333</c:v>
                </c:pt>
                <c:pt idx="25" formatCode="#,##0">
                  <c:v>1708113.1795199998</c:v>
                </c:pt>
                <c:pt idx="26" formatCode="#,##0">
                  <c:v>2250150.9060266665</c:v>
                </c:pt>
                <c:pt idx="27" formatCode="#,##0">
                  <c:v>2792188.6325333333</c:v>
                </c:pt>
                <c:pt idx="28" formatCode="#,##0">
                  <c:v>3334226.35904</c:v>
                </c:pt>
                <c:pt idx="29" formatCode="#,##0">
                  <c:v>3876264.0855466668</c:v>
                </c:pt>
                <c:pt idx="30" formatCode="#,##0">
                  <c:v>4418301.812053333</c:v>
                </c:pt>
                <c:pt idx="31" formatCode="#,##0">
                  <c:v>4960339.5385599993</c:v>
                </c:pt>
                <c:pt idx="32" formatCode="#,##0">
                  <c:v>5502377.2650666656</c:v>
                </c:pt>
                <c:pt idx="33" formatCode="#,##0">
                  <c:v>6044414.9915733319</c:v>
                </c:pt>
                <c:pt idx="34" formatCode="#,##0">
                  <c:v>6586452.7180799982</c:v>
                </c:pt>
                <c:pt idx="35" formatCode="#,##0">
                  <c:v>7128490.4445866644</c:v>
                </c:pt>
                <c:pt idx="36" formatCode="#,##0">
                  <c:v>7670528.1710933307</c:v>
                </c:pt>
                <c:pt idx="37" formatCode="#,##0">
                  <c:v>8212565.897599997</c:v>
                </c:pt>
                <c:pt idx="38" formatCode="#,##0">
                  <c:v>8754603.6241066642</c:v>
                </c:pt>
                <c:pt idx="39" formatCode="#,##0">
                  <c:v>9296641.3506133314</c:v>
                </c:pt>
                <c:pt idx="40" formatCode="#,##0">
                  <c:v>9838679.0771199986</c:v>
                </c:pt>
                <c:pt idx="41" formatCode="#,##0">
                  <c:v>10380716.803626666</c:v>
                </c:pt>
                <c:pt idx="42" formatCode="#,##0">
                  <c:v>10922754.530133333</c:v>
                </c:pt>
                <c:pt idx="43" formatCode="#,##0">
                  <c:v>11464792.25664</c:v>
                </c:pt>
                <c:pt idx="44" formatCode="#,##0">
                  <c:v>12006829.983146667</c:v>
                </c:pt>
                <c:pt idx="45" formatCode="#,##0">
                  <c:v>12548867.709653335</c:v>
                </c:pt>
                <c:pt idx="46" formatCode="#,##0">
                  <c:v>13090905.436160002</c:v>
                </c:pt>
                <c:pt idx="47" formatCode="#,##0">
                  <c:v>13632943.162666669</c:v>
                </c:pt>
                <c:pt idx="48" formatCode="#,##0">
                  <c:v>14174980.889173336</c:v>
                </c:pt>
                <c:pt idx="49" formatCode="#,##0">
                  <c:v>14717018.615680004</c:v>
                </c:pt>
                <c:pt idx="50" formatCode="#,##0">
                  <c:v>15259056.342186671</c:v>
                </c:pt>
                <c:pt idx="51" formatCode="#,##0">
                  <c:v>15801094.068693338</c:v>
                </c:pt>
                <c:pt idx="52" formatCode="#,##0">
                  <c:v>16343131.7952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1321-48F4-B33A-A47E65831A18}"/>
            </c:ext>
          </c:extLst>
        </c:ser>
        <c:ser>
          <c:idx val="5"/>
          <c:order val="5"/>
          <c:tx>
            <c:strRef>
              <c:f>Aggregation!$A$8</c:f>
              <c:strCache>
                <c:ptCount val="1"/>
                <c:pt idx="0">
                  <c:v>PowerPlantCapacity_SolarCSP_MW</c:v>
                </c:pt>
              </c:strCache>
            </c:strRef>
          </c:tx>
          <c:spPr>
            <a:solidFill>
              <a:srgbClr val="46BDC6"/>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Aggregation!$B$8:$BB$8</c:f>
              <c:numCache>
                <c:formatCode>_(* #,##0_);_(* \(#,##0\);_(* "-"??_);_(@_)</c:formatCode>
                <c:ptCount val="53"/>
                <c:pt idx="0">
                  <c:v>0</c:v>
                </c:pt>
                <c:pt idx="1">
                  <c:v>0</c:v>
                </c:pt>
                <c:pt idx="2" formatCode="#,##0">
                  <c:v>0</c:v>
                </c:pt>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pt idx="52" formatCode="#,##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1321-48F4-B33A-A47E65831A18}"/>
            </c:ext>
          </c:extLst>
        </c:ser>
        <c:ser>
          <c:idx val="6"/>
          <c:order val="6"/>
          <c:tx>
            <c:strRef>
              <c:f>Aggregation!$A$9</c:f>
              <c:strCache>
                <c:ptCount val="1"/>
                <c:pt idx="0">
                  <c:v>PowerPlantCapacity_Nuclear_MW</c:v>
                </c:pt>
              </c:strCache>
            </c:strRef>
          </c:tx>
          <c:spPr>
            <a:solidFill>
              <a:srgbClr val="AB30C4"/>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Aggregation!$B$9:$BB$9</c:f>
              <c:numCache>
                <c:formatCode>_(* #,##0_);_(* \(#,##0\);_(* "-"??_);_(@_)</c:formatCode>
                <c:ptCount val="53"/>
                <c:pt idx="0">
                  <c:v>0</c:v>
                </c:pt>
                <c:pt idx="1">
                  <c:v>0</c:v>
                </c:pt>
                <c:pt idx="2" formatCode="#,##0">
                  <c:v>97860</c:v>
                </c:pt>
                <c:pt idx="3" formatCode="#,##0">
                  <c:v>98159</c:v>
                </c:pt>
                <c:pt idx="4" formatCode="#,##0">
                  <c:v>98658</c:v>
                </c:pt>
                <c:pt idx="5" formatCode="#,##0">
                  <c:v>99209</c:v>
                </c:pt>
                <c:pt idx="6" formatCode="#,##0">
                  <c:v>99628</c:v>
                </c:pt>
                <c:pt idx="7" formatCode="#,##0">
                  <c:v>99988</c:v>
                </c:pt>
                <c:pt idx="8" formatCode="#,##0">
                  <c:v>100334</c:v>
                </c:pt>
                <c:pt idx="9" formatCode="#,##0">
                  <c:v>100266</c:v>
                </c:pt>
                <c:pt idx="10" formatCode="#,##0">
                  <c:v>100756</c:v>
                </c:pt>
                <c:pt idx="11" formatCode="#,##0">
                  <c:v>101004</c:v>
                </c:pt>
                <c:pt idx="12" formatCode="#,##0">
                  <c:v>101167</c:v>
                </c:pt>
                <c:pt idx="13" formatCode="#,##0">
                  <c:v>101418.79999999999</c:v>
                </c:pt>
                <c:pt idx="14" formatCode="#,##0">
                  <c:v>101884.99999999999</c:v>
                </c:pt>
                <c:pt idx="15" formatCode="#,##0">
                  <c:v>99240.299999999988</c:v>
                </c:pt>
                <c:pt idx="16" formatCode="#,##0">
                  <c:v>98569.3</c:v>
                </c:pt>
                <c:pt idx="17" formatCode="#,##0">
                  <c:v>98672</c:v>
                </c:pt>
                <c:pt idx="18" formatCode="#,##0">
                  <c:v>99564.800000000003</c:v>
                </c:pt>
                <c:pt idx="19" formatCode="#,##0">
                  <c:v>99348</c:v>
                </c:pt>
                <c:pt idx="20" formatCode="#,##0">
                  <c:v>98646</c:v>
                </c:pt>
                <c:pt idx="21" formatCode="#,##0">
                  <c:v>97474</c:v>
                </c:pt>
                <c:pt idx="22" formatCode="#,##0">
                  <c:v>94840</c:v>
                </c:pt>
                <c:pt idx="23" formatCode="#,##0">
                  <c:v>91678.666666666672</c:v>
                </c:pt>
                <c:pt idx="24" formatCode="#,##0">
                  <c:v>88517.333333333343</c:v>
                </c:pt>
                <c:pt idx="25" formatCode="#,##0">
                  <c:v>85356.000000000015</c:v>
                </c:pt>
                <c:pt idx="26" formatCode="#,##0">
                  <c:v>82194.666666666686</c:v>
                </c:pt>
                <c:pt idx="27" formatCode="#,##0">
                  <c:v>79033.333333333358</c:v>
                </c:pt>
                <c:pt idx="28" formatCode="#,##0">
                  <c:v>75872.000000000029</c:v>
                </c:pt>
                <c:pt idx="29" formatCode="#,##0">
                  <c:v>72710.666666666701</c:v>
                </c:pt>
                <c:pt idx="30" formatCode="#,##0">
                  <c:v>69549.333333333372</c:v>
                </c:pt>
                <c:pt idx="31" formatCode="#,##0">
                  <c:v>66388.000000000044</c:v>
                </c:pt>
                <c:pt idx="32" formatCode="#,##0">
                  <c:v>63226.666666666708</c:v>
                </c:pt>
                <c:pt idx="33" formatCode="#,##0">
                  <c:v>60065.333333333372</c:v>
                </c:pt>
                <c:pt idx="34" formatCode="#,##0">
                  <c:v>56904.000000000036</c:v>
                </c:pt>
                <c:pt idx="35" formatCode="#,##0">
                  <c:v>53742.666666666701</c:v>
                </c:pt>
                <c:pt idx="36" formatCode="#,##0">
                  <c:v>50581.333333333365</c:v>
                </c:pt>
                <c:pt idx="37" formatCode="#,##0">
                  <c:v>47420.000000000029</c:v>
                </c:pt>
                <c:pt idx="38" formatCode="#,##0">
                  <c:v>44258.666666666693</c:v>
                </c:pt>
                <c:pt idx="39" formatCode="#,##0">
                  <c:v>41097.333333333358</c:v>
                </c:pt>
                <c:pt idx="40" formatCode="#,##0">
                  <c:v>37936.000000000022</c:v>
                </c:pt>
                <c:pt idx="41" formatCode="#,##0">
                  <c:v>34774.666666666686</c:v>
                </c:pt>
                <c:pt idx="42" formatCode="#,##0">
                  <c:v>31613.333333333354</c:v>
                </c:pt>
                <c:pt idx="43" formatCode="#,##0">
                  <c:v>28452.000000000022</c:v>
                </c:pt>
                <c:pt idx="44" formatCode="#,##0">
                  <c:v>25290.66666666669</c:v>
                </c:pt>
                <c:pt idx="45" formatCode="#,##0">
                  <c:v>22129.333333333358</c:v>
                </c:pt>
                <c:pt idx="46" formatCode="#,##0">
                  <c:v>18968.000000000025</c:v>
                </c:pt>
                <c:pt idx="47" formatCode="#,##0">
                  <c:v>15806.666666666692</c:v>
                </c:pt>
                <c:pt idx="48" formatCode="#,##0">
                  <c:v>12645.333333333358</c:v>
                </c:pt>
                <c:pt idx="49" formatCode="#,##0">
                  <c:v>9484.0000000000236</c:v>
                </c:pt>
                <c:pt idx="50" formatCode="#,##0">
                  <c:v>6322.6666666666897</c:v>
                </c:pt>
                <c:pt idx="51" formatCode="#,##0">
                  <c:v>3161.3333333333562</c:v>
                </c:pt>
                <c:pt idx="52" formatCode="#,##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1321-48F4-B33A-A47E65831A18}"/>
            </c:ext>
          </c:extLst>
        </c:ser>
        <c:ser>
          <c:idx val="7"/>
          <c:order val="7"/>
          <c:tx>
            <c:strRef>
              <c:f>Aggregation!$A$10</c:f>
              <c:strCache>
                <c:ptCount val="1"/>
                <c:pt idx="0">
                  <c:v>PowerPlantCapacity_Hydro_MW</c:v>
                </c:pt>
              </c:strCache>
            </c:strRef>
          </c:tx>
          <c:spPr>
            <a:solidFill>
              <a:srgbClr val="C1BC1F"/>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Aggregation!$B$10:$BB$10</c:f>
              <c:numCache>
                <c:formatCode>_(* #,##0_);_(* \(#,##0\);_(* "-"??_);_(@_)</c:formatCode>
                <c:ptCount val="53"/>
                <c:pt idx="0">
                  <c:v>0</c:v>
                </c:pt>
                <c:pt idx="1">
                  <c:v>0</c:v>
                </c:pt>
                <c:pt idx="2" formatCode="#,##0">
                  <c:v>78940</c:v>
                </c:pt>
                <c:pt idx="3" formatCode="#,##0">
                  <c:v>78492</c:v>
                </c:pt>
                <c:pt idx="4" formatCode="#,##0">
                  <c:v>78939</c:v>
                </c:pt>
                <c:pt idx="5" formatCode="#,##0">
                  <c:v>78275</c:v>
                </c:pt>
                <c:pt idx="6" formatCode="#,##0">
                  <c:v>77226</c:v>
                </c:pt>
                <c:pt idx="7" formatCode="#,##0">
                  <c:v>77121</c:v>
                </c:pt>
                <c:pt idx="8" formatCode="#,##0">
                  <c:v>77402</c:v>
                </c:pt>
                <c:pt idx="9" formatCode="#,##0">
                  <c:v>77466</c:v>
                </c:pt>
                <c:pt idx="10" formatCode="#,##0">
                  <c:v>77512</c:v>
                </c:pt>
                <c:pt idx="11" formatCode="#,##0">
                  <c:v>78087</c:v>
                </c:pt>
                <c:pt idx="12" formatCode="#,##0">
                  <c:v>78388</c:v>
                </c:pt>
                <c:pt idx="13" formatCode="#,##0">
                  <c:v>78212.7</c:v>
                </c:pt>
                <c:pt idx="14" formatCode="#,##0">
                  <c:v>78297.399999999994</c:v>
                </c:pt>
                <c:pt idx="15" formatCode="#,##0">
                  <c:v>78759.399999999994</c:v>
                </c:pt>
                <c:pt idx="16" formatCode="#,##0">
                  <c:v>79216.600000000006</c:v>
                </c:pt>
                <c:pt idx="17" formatCode="#,##0">
                  <c:v>79198.099999999991</c:v>
                </c:pt>
                <c:pt idx="18" formatCode="#,##0">
                  <c:v>79416.600000000006</c:v>
                </c:pt>
                <c:pt idx="19" formatCode="#,##0">
                  <c:v>79248</c:v>
                </c:pt>
                <c:pt idx="20" formatCode="#,##0">
                  <c:v>79477</c:v>
                </c:pt>
                <c:pt idx="21" formatCode="#,##0">
                  <c:v>79376</c:v>
                </c:pt>
                <c:pt idx="22" formatCode="#,##0">
                  <c:v>79376</c:v>
                </c:pt>
                <c:pt idx="23" formatCode="#,##0">
                  <c:v>76730.133333333331</c:v>
                </c:pt>
                <c:pt idx="24" formatCode="#,##0">
                  <c:v>74084.266666666663</c:v>
                </c:pt>
                <c:pt idx="25" formatCode="#,##0">
                  <c:v>71438.399999999994</c:v>
                </c:pt>
                <c:pt idx="26" formatCode="#,##0">
                  <c:v>68792.533333333326</c:v>
                </c:pt>
                <c:pt idx="27" formatCode="#,##0">
                  <c:v>66146.666666666657</c:v>
                </c:pt>
                <c:pt idx="28" formatCode="#,##0">
                  <c:v>63500.799999999988</c:v>
                </c:pt>
                <c:pt idx="29" formatCode="#,##0">
                  <c:v>60854.93333333332</c:v>
                </c:pt>
                <c:pt idx="30" formatCode="#,##0">
                  <c:v>58209.066666666651</c:v>
                </c:pt>
                <c:pt idx="31" formatCode="#,##0">
                  <c:v>55563.199999999983</c:v>
                </c:pt>
                <c:pt idx="32" formatCode="#,##0">
                  <c:v>52917.333333333314</c:v>
                </c:pt>
                <c:pt idx="33" formatCode="#,##0">
                  <c:v>50271.466666666645</c:v>
                </c:pt>
                <c:pt idx="34" formatCode="#,##0">
                  <c:v>47625.599999999977</c:v>
                </c:pt>
                <c:pt idx="35" formatCode="#,##0">
                  <c:v>44979.733333333308</c:v>
                </c:pt>
                <c:pt idx="36" formatCode="#,##0">
                  <c:v>42333.86666666664</c:v>
                </c:pt>
                <c:pt idx="37" formatCode="#,##0">
                  <c:v>39687.999999999971</c:v>
                </c:pt>
                <c:pt idx="38" formatCode="#,##0">
                  <c:v>37042.133333333302</c:v>
                </c:pt>
                <c:pt idx="39" formatCode="#,##0">
                  <c:v>34396.266666666634</c:v>
                </c:pt>
                <c:pt idx="40" formatCode="#,##0">
                  <c:v>31750.399999999965</c:v>
                </c:pt>
                <c:pt idx="41" formatCode="#,##0">
                  <c:v>29104.533333333296</c:v>
                </c:pt>
                <c:pt idx="42" formatCode="#,##0">
                  <c:v>26458.666666666628</c:v>
                </c:pt>
                <c:pt idx="43" formatCode="#,##0">
                  <c:v>23812.799999999959</c:v>
                </c:pt>
                <c:pt idx="44" formatCode="#,##0">
                  <c:v>21166.933333333291</c:v>
                </c:pt>
                <c:pt idx="45" formatCode="#,##0">
                  <c:v>18521.066666666622</c:v>
                </c:pt>
                <c:pt idx="46" formatCode="#,##0">
                  <c:v>15875.199999999955</c:v>
                </c:pt>
                <c:pt idx="47" formatCode="#,##0">
                  <c:v>13229.333333333288</c:v>
                </c:pt>
                <c:pt idx="48" formatCode="#,##0">
                  <c:v>10583.466666666622</c:v>
                </c:pt>
                <c:pt idx="49" formatCode="#,##0">
                  <c:v>7937.5999999999549</c:v>
                </c:pt>
                <c:pt idx="50" formatCode="#,##0">
                  <c:v>5291.7333333332881</c:v>
                </c:pt>
                <c:pt idx="51" formatCode="#,##0">
                  <c:v>2645.8666666666213</c:v>
                </c:pt>
                <c:pt idx="52" formatCode="#,##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1321-48F4-B33A-A47E65831A18}"/>
            </c:ext>
          </c:extLst>
        </c:ser>
        <c:ser>
          <c:idx val="8"/>
          <c:order val="8"/>
          <c:tx>
            <c:strRef>
              <c:f>Aggregation!$A$11</c:f>
              <c:strCache>
                <c:ptCount val="1"/>
                <c:pt idx="0">
                  <c:v>PowerPlantCapacity_Geothermal_MW</c:v>
                </c:pt>
              </c:strCache>
            </c:strRef>
          </c:tx>
          <c:spPr>
            <a:solidFill>
              <a:srgbClr val="3949AB"/>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Aggregation!$B$11:$BB$11</c:f>
              <c:numCache>
                <c:formatCode>_(* #,##0_);_(* \(#,##0\);_(* "-"??_);_(@_)</c:formatCode>
                <c:ptCount val="53"/>
                <c:pt idx="0">
                  <c:v>0</c:v>
                </c:pt>
                <c:pt idx="1">
                  <c:v>0</c:v>
                </c:pt>
                <c:pt idx="2" formatCode="#,##0">
                  <c:v>2760</c:v>
                </c:pt>
                <c:pt idx="3" formatCode="#,##0">
                  <c:v>2184</c:v>
                </c:pt>
                <c:pt idx="4" formatCode="#,##0">
                  <c:v>2219</c:v>
                </c:pt>
                <c:pt idx="5" formatCode="#,##0">
                  <c:v>2101</c:v>
                </c:pt>
                <c:pt idx="6" formatCode="#,##0">
                  <c:v>2121</c:v>
                </c:pt>
                <c:pt idx="7" formatCode="#,##0">
                  <c:v>2254</c:v>
                </c:pt>
                <c:pt idx="8" formatCode="#,##0">
                  <c:v>2243</c:v>
                </c:pt>
                <c:pt idx="9" formatCode="#,##0">
                  <c:v>2184</c:v>
                </c:pt>
                <c:pt idx="10" formatCode="#,##0">
                  <c:v>2199</c:v>
                </c:pt>
                <c:pt idx="11" formatCode="#,##0">
                  <c:v>2351</c:v>
                </c:pt>
                <c:pt idx="12" formatCode="#,##0">
                  <c:v>2375</c:v>
                </c:pt>
                <c:pt idx="13" formatCode="#,##0">
                  <c:v>2378.1999999999998</c:v>
                </c:pt>
                <c:pt idx="14" formatCode="#,##0">
                  <c:v>2549.1</c:v>
                </c:pt>
                <c:pt idx="15" formatCode="#,##0">
                  <c:v>2564</c:v>
                </c:pt>
                <c:pt idx="16" formatCode="#,##0">
                  <c:v>2471.3000000000002</c:v>
                </c:pt>
                <c:pt idx="17" formatCode="#,##0">
                  <c:v>2498.5</c:v>
                </c:pt>
                <c:pt idx="18" formatCode="#,##0">
                  <c:v>2473.6</c:v>
                </c:pt>
                <c:pt idx="19" formatCode="#,##0">
                  <c:v>2451</c:v>
                </c:pt>
                <c:pt idx="20" formatCode="#,##0">
                  <c:v>2451</c:v>
                </c:pt>
                <c:pt idx="21" formatCode="#,##0">
                  <c:v>2486</c:v>
                </c:pt>
                <c:pt idx="22" formatCode="#,##0">
                  <c:v>2486</c:v>
                </c:pt>
                <c:pt idx="23" formatCode="#,##0">
                  <c:v>2403.1366666666668</c:v>
                </c:pt>
                <c:pt idx="24" formatCode="#,##0">
                  <c:v>2320.2733333333335</c:v>
                </c:pt>
                <c:pt idx="25" formatCode="#,##0">
                  <c:v>2237.4100000000003</c:v>
                </c:pt>
                <c:pt idx="26" formatCode="#,##0">
                  <c:v>2154.5466666666671</c:v>
                </c:pt>
                <c:pt idx="27" formatCode="#,##0">
                  <c:v>2071.6833333333338</c:v>
                </c:pt>
                <c:pt idx="28" formatCode="#,##0">
                  <c:v>1988.8200000000006</c:v>
                </c:pt>
                <c:pt idx="29" formatCode="#,##0">
                  <c:v>1905.9566666666674</c:v>
                </c:pt>
                <c:pt idx="30" formatCode="#,##0">
                  <c:v>1823.0933333333342</c:v>
                </c:pt>
                <c:pt idx="31" formatCode="#,##0">
                  <c:v>1740.2300000000009</c:v>
                </c:pt>
                <c:pt idx="32" formatCode="#,##0">
                  <c:v>1657.3666666666677</c:v>
                </c:pt>
                <c:pt idx="33" formatCode="#,##0">
                  <c:v>1574.5033333333345</c:v>
                </c:pt>
                <c:pt idx="34" formatCode="#,##0">
                  <c:v>1491.6400000000012</c:v>
                </c:pt>
                <c:pt idx="35" formatCode="#,##0">
                  <c:v>1408.776666666668</c:v>
                </c:pt>
                <c:pt idx="36" formatCode="#,##0">
                  <c:v>1325.9133333333348</c:v>
                </c:pt>
                <c:pt idx="37" formatCode="#,##0">
                  <c:v>1243.0500000000015</c:v>
                </c:pt>
                <c:pt idx="38" formatCode="#,##0">
                  <c:v>1160.1866666666683</c:v>
                </c:pt>
                <c:pt idx="39" formatCode="#,##0">
                  <c:v>1077.3233333333351</c:v>
                </c:pt>
                <c:pt idx="40" formatCode="#,##0">
                  <c:v>994.46000000000174</c:v>
                </c:pt>
                <c:pt idx="41" formatCode="#,##0">
                  <c:v>911.5966666666684</c:v>
                </c:pt>
                <c:pt idx="42" formatCode="#,##0">
                  <c:v>828.73333333333505</c:v>
                </c:pt>
                <c:pt idx="43" formatCode="#,##0">
                  <c:v>745.87000000000171</c:v>
                </c:pt>
                <c:pt idx="44" formatCode="#,##0">
                  <c:v>663.00666666666837</c:v>
                </c:pt>
                <c:pt idx="45" formatCode="#,##0">
                  <c:v>580.14333333333502</c:v>
                </c:pt>
                <c:pt idx="46" formatCode="#,##0">
                  <c:v>497.28000000000168</c:v>
                </c:pt>
                <c:pt idx="47" formatCode="#,##0">
                  <c:v>414.41666666666833</c:v>
                </c:pt>
                <c:pt idx="48" formatCode="#,##0">
                  <c:v>331.55333333333499</c:v>
                </c:pt>
                <c:pt idx="49" formatCode="#,##0">
                  <c:v>248.69000000000165</c:v>
                </c:pt>
                <c:pt idx="50" formatCode="#,##0">
                  <c:v>165.8266666666683</c:v>
                </c:pt>
                <c:pt idx="51" formatCode="#,##0">
                  <c:v>82.963333333334973</c:v>
                </c:pt>
                <c:pt idx="52" formatCode="#,##0">
                  <c:v>0.1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8-1321-48F4-B33A-A47E65831A18}"/>
            </c:ext>
          </c:extLst>
        </c:ser>
        <c:dLbls>
          <c:showLegendKey val="0"/>
          <c:showVal val="0"/>
          <c:showCatName val="0"/>
          <c:showSerName val="0"/>
          <c:showPercent val="0"/>
          <c:showBubbleSize val="0"/>
        </c:dLbls>
        <c:gapWidth val="150"/>
        <c:overlap val="100"/>
        <c:axId val="255296008"/>
        <c:axId val="1989910715"/>
      </c:barChart>
      <c:lineChart>
        <c:grouping val="standard"/>
        <c:varyColors val="1"/>
        <c:ser>
          <c:idx val="10"/>
          <c:order val="10"/>
          <c:tx>
            <c:strRef>
              <c:f>Aggregation!$A$13</c:f>
              <c:strCache>
                <c:ptCount val="1"/>
                <c:pt idx="0">
                  <c:v>PowerPlantCapacity_Petroleum_MW</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Aggregation!$B$13:$BB$13</c:f>
              <c:numCache>
                <c:formatCode>_(* #,##0_);_(* \(#,##0\);_(* "-"??_);_(@_)</c:formatCode>
                <c:ptCount val="53"/>
                <c:pt idx="0">
                  <c:v>0</c:v>
                </c:pt>
                <c:pt idx="1">
                  <c:v>0</c:v>
                </c:pt>
                <c:pt idx="2" formatCode="#,##0">
                  <c:v>59219</c:v>
                </c:pt>
                <c:pt idx="3" formatCode="#,##0">
                  <c:v>63715</c:v>
                </c:pt>
                <c:pt idx="4" formatCode="#,##0">
                  <c:v>57195</c:v>
                </c:pt>
                <c:pt idx="5" formatCode="#,##0">
                  <c:v>58269</c:v>
                </c:pt>
                <c:pt idx="6" formatCode="#,##0">
                  <c:v>56606</c:v>
                </c:pt>
                <c:pt idx="7" formatCode="#,##0">
                  <c:v>55980</c:v>
                </c:pt>
                <c:pt idx="8" formatCode="#,##0">
                  <c:v>55506</c:v>
                </c:pt>
                <c:pt idx="9" formatCode="#,##0">
                  <c:v>53430</c:v>
                </c:pt>
                <c:pt idx="10" formatCode="#,##0">
                  <c:v>54787</c:v>
                </c:pt>
                <c:pt idx="11" formatCode="#,##0">
                  <c:v>54105</c:v>
                </c:pt>
                <c:pt idx="12" formatCode="#,##0">
                  <c:v>52981</c:v>
                </c:pt>
                <c:pt idx="13" formatCode="#,##0">
                  <c:v>48813.1</c:v>
                </c:pt>
                <c:pt idx="14" formatCode="#,##0">
                  <c:v>44514.5</c:v>
                </c:pt>
                <c:pt idx="15" formatCode="#,##0">
                  <c:v>40869.4</c:v>
                </c:pt>
                <c:pt idx="16" formatCode="#,##0">
                  <c:v>38565.4</c:v>
                </c:pt>
                <c:pt idx="17" formatCode="#,##0">
                  <c:v>34260.400000000001</c:v>
                </c:pt>
                <c:pt idx="18" formatCode="#,##0">
                  <c:v>31786.5</c:v>
                </c:pt>
                <c:pt idx="19" formatCode="#,##0">
                  <c:v>31000</c:v>
                </c:pt>
                <c:pt idx="20" formatCode="#,##0">
                  <c:v>30554</c:v>
                </c:pt>
                <c:pt idx="21" formatCode="#,##0">
                  <c:v>30000</c:v>
                </c:pt>
                <c:pt idx="22" formatCode="#,##0">
                  <c:v>29500</c:v>
                </c:pt>
                <c:pt idx="23" formatCode="#,##0">
                  <c:v>28516.67</c:v>
                </c:pt>
                <c:pt idx="24" formatCode="#,##0">
                  <c:v>27533.339999999997</c:v>
                </c:pt>
                <c:pt idx="25" formatCode="#,##0">
                  <c:v>26550.009999999995</c:v>
                </c:pt>
                <c:pt idx="26" formatCode="#,##0">
                  <c:v>25566.679999999993</c:v>
                </c:pt>
                <c:pt idx="27" formatCode="#,##0">
                  <c:v>24583.349999999991</c:v>
                </c:pt>
                <c:pt idx="28" formatCode="#,##0">
                  <c:v>23600.01999999999</c:v>
                </c:pt>
                <c:pt idx="29" formatCode="#,##0">
                  <c:v>22616.689999999988</c:v>
                </c:pt>
                <c:pt idx="30" formatCode="#,##0">
                  <c:v>21633.359999999986</c:v>
                </c:pt>
                <c:pt idx="31" formatCode="#,##0">
                  <c:v>20650.029999999984</c:v>
                </c:pt>
                <c:pt idx="32" formatCode="#,##0">
                  <c:v>19666.699999999983</c:v>
                </c:pt>
                <c:pt idx="33" formatCode="#,##0">
                  <c:v>18683.369999999981</c:v>
                </c:pt>
                <c:pt idx="34" formatCode="#,##0">
                  <c:v>17700.039999999979</c:v>
                </c:pt>
                <c:pt idx="35" formatCode="#,##0">
                  <c:v>16716.709999999977</c:v>
                </c:pt>
                <c:pt idx="36" formatCode="#,##0">
                  <c:v>15733.379999999977</c:v>
                </c:pt>
                <c:pt idx="37" formatCode="#,##0">
                  <c:v>14750.049999999977</c:v>
                </c:pt>
                <c:pt idx="38" formatCode="#,##0">
                  <c:v>13766.719999999978</c:v>
                </c:pt>
                <c:pt idx="39" formatCode="#,##0">
                  <c:v>12783.389999999978</c:v>
                </c:pt>
                <c:pt idx="40" formatCode="#,##0">
                  <c:v>11800.059999999978</c:v>
                </c:pt>
                <c:pt idx="41" formatCode="#,##0">
                  <c:v>10816.729999999978</c:v>
                </c:pt>
                <c:pt idx="42" formatCode="#,##0">
                  <c:v>9833.3999999999778</c:v>
                </c:pt>
                <c:pt idx="43" formatCode="#,##0">
                  <c:v>8850.0699999999779</c:v>
                </c:pt>
                <c:pt idx="44" formatCode="#,##0">
                  <c:v>7866.739999999978</c:v>
                </c:pt>
                <c:pt idx="45" formatCode="#,##0">
                  <c:v>6883.409999999978</c:v>
                </c:pt>
                <c:pt idx="46" formatCode="#,##0">
                  <c:v>5900.0799999999781</c:v>
                </c:pt>
                <c:pt idx="47" formatCode="#,##0">
                  <c:v>4916.7499999999782</c:v>
                </c:pt>
                <c:pt idx="48" formatCode="#,##0">
                  <c:v>3933.4199999999782</c:v>
                </c:pt>
                <c:pt idx="49" formatCode="#,##0">
                  <c:v>2950.0899999999783</c:v>
                </c:pt>
                <c:pt idx="50" formatCode="#,##0">
                  <c:v>1966.7599999999784</c:v>
                </c:pt>
                <c:pt idx="51" formatCode="#,##0">
                  <c:v>983.42999999997835</c:v>
                </c:pt>
                <c:pt idx="52" formatCode="#,##0">
                  <c:v>0.1</c:v>
                </c:pt>
              </c:numCache>
            </c:numRef>
          </c:val>
          <c:smooth val="0"/>
          <c:extLst>
            <c:ext xmlns:c16="http://schemas.microsoft.com/office/drawing/2014/chart" uri="{C3380CC4-5D6E-409C-BE32-E72D297353CC}">
              <c16:uniqueId val="{00000009-1321-48F4-B33A-A47E65831A18}"/>
            </c:ext>
          </c:extLst>
        </c:ser>
        <c:ser>
          <c:idx val="11"/>
          <c:order val="11"/>
          <c:tx>
            <c:strRef>
              <c:f>Aggregation!$A$15</c:f>
              <c:strCache>
                <c:ptCount val="1"/>
                <c:pt idx="0">
                  <c:v>Generation_Total_TWh</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Aggregation!$B$15:$BB$15</c:f>
              <c:numCache>
                <c:formatCode>_(* #,##0_);_(* \(#,##0\);_(* "-"??_);_(@_)</c:formatCode>
                <c:ptCount val="53"/>
                <c:pt idx="0">
                  <c:v>0</c:v>
                </c:pt>
                <c:pt idx="1">
                  <c:v>0</c:v>
                </c:pt>
                <c:pt idx="2" formatCode="#,##0">
                  <c:v>3772.1863739999999</c:v>
                </c:pt>
                <c:pt idx="3" formatCode="#,##0">
                  <c:v>3707.347847</c:v>
                </c:pt>
                <c:pt idx="4" formatCode="#,##0">
                  <c:v>3823.9609359999995</c:v>
                </c:pt>
                <c:pt idx="5" formatCode="#,##0">
                  <c:v>3844.976853000001</c:v>
                </c:pt>
                <c:pt idx="6" formatCode="#,##0">
                  <c:v>3931.8422709999995</c:v>
                </c:pt>
                <c:pt idx="7" formatCode="#,##0">
                  <c:v>4017.7858619999993</c:v>
                </c:pt>
                <c:pt idx="8" formatCode="#,##0">
                  <c:v>4026.0981160000006</c:v>
                </c:pt>
                <c:pt idx="9" formatCode="#,##0">
                  <c:v>4119.7990489999993</c:v>
                </c:pt>
                <c:pt idx="10" formatCode="#,##0">
                  <c:v>4084.2161430000006</c:v>
                </c:pt>
                <c:pt idx="11" formatCode="#,##0">
                  <c:v>3915.0878499999999</c:v>
                </c:pt>
                <c:pt idx="12" formatCode="#,##0">
                  <c:v>4089.1844699999997</c:v>
                </c:pt>
                <c:pt idx="13" formatCode="#,##0">
                  <c:v>4063.6491463200009</c:v>
                </c:pt>
                <c:pt idx="14" formatCode="#,##0">
                  <c:v>4010.0264300000008</c:v>
                </c:pt>
                <c:pt idx="15" formatCode="#,##0">
                  <c:v>4027.8759344200002</c:v>
                </c:pt>
                <c:pt idx="16" formatCode="#,##0">
                  <c:v>4058.5112935299999</c:v>
                </c:pt>
                <c:pt idx="17" formatCode="#,##0">
                  <c:v>4039.5631600000006</c:v>
                </c:pt>
                <c:pt idx="18" formatCode="#,##0">
                  <c:v>4067.341891</c:v>
                </c:pt>
                <c:pt idx="19" formatCode="#,##0">
                  <c:v>4058.3928668600001</c:v>
                </c:pt>
                <c:pt idx="20" formatCode="#,##0">
                  <c:v>4213.1249945699992</c:v>
                </c:pt>
                <c:pt idx="21" formatCode="#,##0">
                  <c:v>4360.2789747140005</c:v>
                </c:pt>
                <c:pt idx="22" formatCode="#,##0">
                  <c:v>4260.6464482450701</c:v>
                </c:pt>
                <c:pt idx="23" formatCode="#,##0">
                  <c:v>4139.7722774299546</c:v>
                </c:pt>
                <c:pt idx="24" formatCode="#,##0">
                  <c:v>4018.8981066148381</c:v>
                </c:pt>
                <c:pt idx="25" formatCode="#,##0">
                  <c:v>3898.0239357997225</c:v>
                </c:pt>
                <c:pt idx="26" formatCode="#,##0">
                  <c:v>3777.149764984606</c:v>
                </c:pt>
                <c:pt idx="27" formatCode="#,##0">
                  <c:v>3656.2755941694904</c:v>
                </c:pt>
                <c:pt idx="28" formatCode="#,##0">
                  <c:v>3535.4014233543749</c:v>
                </c:pt>
                <c:pt idx="29" formatCode="#,##0">
                  <c:v>3414.5272525392584</c:v>
                </c:pt>
                <c:pt idx="30" formatCode="#,##0">
                  <c:v>3293.6530817241423</c:v>
                </c:pt>
                <c:pt idx="31" formatCode="#,##0">
                  <c:v>3172.7789109090263</c:v>
                </c:pt>
                <c:pt idx="32" formatCode="#,##0">
                  <c:v>3051.9047400939107</c:v>
                </c:pt>
                <c:pt idx="33" formatCode="#,##0">
                  <c:v>2931.0305692787947</c:v>
                </c:pt>
                <c:pt idx="34" formatCode="#,##0">
                  <c:v>2810.1563984636782</c:v>
                </c:pt>
                <c:pt idx="35" formatCode="#,##0">
                  <c:v>2689.2822276485622</c:v>
                </c:pt>
                <c:pt idx="36" formatCode="#,##0">
                  <c:v>2568.4080568334471</c:v>
                </c:pt>
                <c:pt idx="37" formatCode="#,##0">
                  <c:v>2447.5338860183306</c:v>
                </c:pt>
                <c:pt idx="38" formatCode="#,##0">
                  <c:v>2326.6597152032145</c:v>
                </c:pt>
                <c:pt idx="39" formatCode="#,##0">
                  <c:v>2205.785544388099</c:v>
                </c:pt>
                <c:pt idx="40" formatCode="#,##0">
                  <c:v>2084.9113735729825</c:v>
                </c:pt>
                <c:pt idx="41" formatCode="#,##0">
                  <c:v>1964.0372027578667</c:v>
                </c:pt>
                <c:pt idx="42" formatCode="#,##0">
                  <c:v>1843.1630319427506</c:v>
                </c:pt>
                <c:pt idx="43" formatCode="#,##0">
                  <c:v>1722.2888611276348</c:v>
                </c:pt>
                <c:pt idx="44" formatCode="#,##0">
                  <c:v>1601.4146903125188</c:v>
                </c:pt>
                <c:pt idx="45" formatCode="#,##0">
                  <c:v>1480.540519497403</c:v>
                </c:pt>
                <c:pt idx="46" formatCode="#,##0">
                  <c:v>1359.666348682287</c:v>
                </c:pt>
                <c:pt idx="47" formatCode="#,##0">
                  <c:v>1238.7921778671709</c:v>
                </c:pt>
                <c:pt idx="48" formatCode="#,##0">
                  <c:v>1117.9180070520549</c:v>
                </c:pt>
                <c:pt idx="49" formatCode="#,##0">
                  <c:v>997.043836236939</c:v>
                </c:pt>
                <c:pt idx="50" formatCode="#,##0">
                  <c:v>876.1696654218232</c:v>
                </c:pt>
                <c:pt idx="51" formatCode="#,##0">
                  <c:v>755.29549460670705</c:v>
                </c:pt>
                <c:pt idx="52" formatCode="#,##0">
                  <c:v>634.42132379159034</c:v>
                </c:pt>
              </c:numCache>
            </c:numRef>
          </c:val>
          <c:smooth val="0"/>
          <c:extLst>
            <c:ext xmlns:c16="http://schemas.microsoft.com/office/drawing/2014/chart" uri="{C3380CC4-5D6E-409C-BE32-E72D297353CC}">
              <c16:uniqueId val="{0000000A-1321-48F4-B33A-A47E65831A18}"/>
            </c:ext>
          </c:extLst>
        </c:ser>
        <c:dLbls>
          <c:showLegendKey val="0"/>
          <c:showVal val="0"/>
          <c:showCatName val="0"/>
          <c:showSerName val="0"/>
          <c:showPercent val="0"/>
          <c:showBubbleSize val="0"/>
        </c:dLbls>
        <c:marker val="1"/>
        <c:smooth val="0"/>
        <c:axId val="255296008"/>
        <c:axId val="1989910715"/>
      </c:lineChart>
      <c:lineChart>
        <c:grouping val="standard"/>
        <c:varyColors val="0"/>
        <c:ser>
          <c:idx val="9"/>
          <c:order val="9"/>
          <c:tx>
            <c:strRef>
              <c:f>Aggregation!$A$12</c:f>
              <c:strCache>
                <c:ptCount val="1"/>
                <c:pt idx="0">
                  <c:v>PowerPlantCapacity_Biomass_MW</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Aggregation!$B$12:$BB$12</c:f>
              <c:numCache>
                <c:formatCode>_(* #,##0_);_(* \(#,##0\);_(* "-"??_);_(@_)</c:formatCode>
                <c:ptCount val="53"/>
                <c:pt idx="0">
                  <c:v>0</c:v>
                </c:pt>
                <c:pt idx="1">
                  <c:v>0</c:v>
                </c:pt>
                <c:pt idx="2" formatCode="#,##0">
                  <c:v>9869</c:v>
                </c:pt>
                <c:pt idx="3" formatCode="#,##0">
                  <c:v>9488</c:v>
                </c:pt>
                <c:pt idx="4" formatCode="#,##0">
                  <c:v>9539</c:v>
                </c:pt>
                <c:pt idx="5" formatCode="#,##0">
                  <c:v>9522</c:v>
                </c:pt>
                <c:pt idx="6" formatCode="#,##0">
                  <c:v>9604</c:v>
                </c:pt>
                <c:pt idx="7" formatCode="#,##0">
                  <c:v>9699</c:v>
                </c:pt>
                <c:pt idx="8" formatCode="#,##0">
                  <c:v>9989</c:v>
                </c:pt>
                <c:pt idx="9" formatCode="#,##0">
                  <c:v>10730</c:v>
                </c:pt>
                <c:pt idx="10" formatCode="#,##0">
                  <c:v>10942</c:v>
                </c:pt>
                <c:pt idx="11" formatCode="#,##0">
                  <c:v>11040</c:v>
                </c:pt>
                <c:pt idx="12" formatCode="#,##0">
                  <c:v>11188</c:v>
                </c:pt>
                <c:pt idx="13" formatCode="#,##0">
                  <c:v>11390.8</c:v>
                </c:pt>
                <c:pt idx="14" formatCode="#,##0">
                  <c:v>12091</c:v>
                </c:pt>
                <c:pt idx="15" formatCode="#,##0">
                  <c:v>13140.6</c:v>
                </c:pt>
                <c:pt idx="16" formatCode="#,##0">
                  <c:v>13280.5</c:v>
                </c:pt>
                <c:pt idx="17" formatCode="#,##0">
                  <c:v>13841.3</c:v>
                </c:pt>
                <c:pt idx="18" formatCode="#,##0">
                  <c:v>12456.5</c:v>
                </c:pt>
                <c:pt idx="19" formatCode="#,##0">
                  <c:v>12040</c:v>
                </c:pt>
                <c:pt idx="20" formatCode="#,##0">
                  <c:v>11926</c:v>
                </c:pt>
                <c:pt idx="21" formatCode="#,##0">
                  <c:v>12395</c:v>
                </c:pt>
                <c:pt idx="22" formatCode="#,##0">
                  <c:v>12446</c:v>
                </c:pt>
                <c:pt idx="23" formatCode="#,##0">
                  <c:v>12031.138333333332</c:v>
                </c:pt>
                <c:pt idx="24" formatCode="#,##0">
                  <c:v>11616.276666666667</c:v>
                </c:pt>
                <c:pt idx="25" formatCode="#,##0">
                  <c:v>11201.415000000001</c:v>
                </c:pt>
                <c:pt idx="26" formatCode="#,##0">
                  <c:v>10786.553333333333</c:v>
                </c:pt>
                <c:pt idx="27" formatCode="#,##0">
                  <c:v>10371.691666666666</c:v>
                </c:pt>
                <c:pt idx="28" formatCode="#,##0">
                  <c:v>9956.83</c:v>
                </c:pt>
                <c:pt idx="29" formatCode="#,##0">
                  <c:v>9541.9683333333342</c:v>
                </c:pt>
                <c:pt idx="30" formatCode="#,##0">
                  <c:v>9127.1066666666666</c:v>
                </c:pt>
                <c:pt idx="31" formatCode="#,##0">
                  <c:v>8712.244999999999</c:v>
                </c:pt>
                <c:pt idx="32" formatCode="#,##0">
                  <c:v>8297.3833333333332</c:v>
                </c:pt>
                <c:pt idx="33" formatCode="#,##0">
                  <c:v>7882.5216666666665</c:v>
                </c:pt>
                <c:pt idx="34" formatCode="#,##0">
                  <c:v>7467.66</c:v>
                </c:pt>
                <c:pt idx="35" formatCode="#,##0">
                  <c:v>7052.7983333333332</c:v>
                </c:pt>
                <c:pt idx="36" formatCode="#,##0">
                  <c:v>6637.9366666666665</c:v>
                </c:pt>
                <c:pt idx="37" formatCode="#,##0">
                  <c:v>6223.0749999999998</c:v>
                </c:pt>
                <c:pt idx="38" formatCode="#,##0">
                  <c:v>5808.2133333333331</c:v>
                </c:pt>
                <c:pt idx="39" formatCode="#,##0">
                  <c:v>5393.3516666666665</c:v>
                </c:pt>
                <c:pt idx="40" formatCode="#,##0">
                  <c:v>4978.49</c:v>
                </c:pt>
                <c:pt idx="41" formatCode="#,##0">
                  <c:v>4563.6283333333331</c:v>
                </c:pt>
                <c:pt idx="42" formatCode="#,##0">
                  <c:v>4148.7666666666664</c:v>
                </c:pt>
                <c:pt idx="43" formatCode="#,##0">
                  <c:v>3733.9049999999997</c:v>
                </c:pt>
                <c:pt idx="44" formatCode="#,##0">
                  <c:v>3319.0433333333331</c:v>
                </c:pt>
                <c:pt idx="45" formatCode="#,##0">
                  <c:v>2904.1816666666664</c:v>
                </c:pt>
                <c:pt idx="46" formatCode="#,##0">
                  <c:v>2489.3199999999997</c:v>
                </c:pt>
                <c:pt idx="47" formatCode="#,##0">
                  <c:v>2074.4583333333335</c:v>
                </c:pt>
                <c:pt idx="48" formatCode="#,##0">
                  <c:v>1659.5966666666668</c:v>
                </c:pt>
                <c:pt idx="49" formatCode="#,##0">
                  <c:v>1244.7350000000001</c:v>
                </c:pt>
                <c:pt idx="50" formatCode="#,##0">
                  <c:v>829.87333333333368</c:v>
                </c:pt>
                <c:pt idx="51" formatCode="#,##0">
                  <c:v>415.011666666667</c:v>
                </c:pt>
                <c:pt idx="52" formatCode="#,##0">
                  <c:v>0.15000000000000002</c:v>
                </c:pt>
              </c:numCache>
            </c:numRef>
          </c:val>
          <c:smooth val="0"/>
          <c:extLst>
            <c:ext xmlns:c16="http://schemas.microsoft.com/office/drawing/2014/chart" uri="{C3380CC4-5D6E-409C-BE32-E72D297353CC}">
              <c16:uniqueId val="{0000000B-1321-48F4-B33A-A47E65831A18}"/>
            </c:ext>
          </c:extLst>
        </c:ser>
        <c:dLbls>
          <c:showLegendKey val="0"/>
          <c:showVal val="0"/>
          <c:showCatName val="0"/>
          <c:showSerName val="0"/>
          <c:showPercent val="0"/>
          <c:showBubbleSize val="0"/>
        </c:dLbls>
        <c:marker val="1"/>
        <c:smooth val="0"/>
        <c:axId val="1204140762"/>
        <c:axId val="912083712"/>
      </c:lineChart>
      <c:catAx>
        <c:axId val="25529600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989910715"/>
        <c:crosses val="autoZero"/>
        <c:auto val="1"/>
        <c:lblAlgn val="ctr"/>
        <c:lblOffset val="100"/>
        <c:noMultiLvlLbl val="1"/>
      </c:catAx>
      <c:valAx>
        <c:axId val="1989910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MW</a:t>
                </a:r>
              </a:p>
            </c:rich>
          </c:tx>
          <c:overlay val="0"/>
        </c:title>
        <c:numFmt formatCode="_(* #,##0_);_(* \(#,##0\);_(* &quot;-&quot;??_);_(@_)" sourceLinked="1"/>
        <c:majorTickMark val="none"/>
        <c:minorTickMark val="none"/>
        <c:tickLblPos val="nextTo"/>
        <c:spPr>
          <a:ln/>
        </c:spPr>
        <c:txPr>
          <a:bodyPr/>
          <a:lstStyle/>
          <a:p>
            <a:pPr lvl="0">
              <a:defRPr b="0">
                <a:solidFill>
                  <a:srgbClr val="000000"/>
                </a:solidFill>
                <a:latin typeface="Roboto"/>
              </a:defRPr>
            </a:pPr>
            <a:endParaRPr lang="en-US"/>
          </a:p>
        </c:txPr>
        <c:crossAx val="255296008"/>
        <c:crosses val="autoZero"/>
        <c:crossBetween val="between"/>
      </c:valAx>
      <c:catAx>
        <c:axId val="1204140762"/>
        <c:scaling>
          <c:orientation val="minMax"/>
        </c:scaling>
        <c:delete val="1"/>
        <c:axPos val="b"/>
        <c:numFmt formatCode="General" sourceLinked="1"/>
        <c:majorTickMark val="none"/>
        <c:minorTickMark val="none"/>
        <c:tickLblPos val="nextTo"/>
        <c:crossAx val="912083712"/>
        <c:crosses val="autoZero"/>
        <c:auto val="1"/>
        <c:lblAlgn val="ctr"/>
        <c:lblOffset val="100"/>
        <c:noMultiLvlLbl val="1"/>
      </c:catAx>
      <c:valAx>
        <c:axId val="91208371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TWh</a:t>
                </a:r>
              </a:p>
            </c:rich>
          </c:tx>
          <c:overlay val="0"/>
        </c:title>
        <c:numFmt formatCode="_(* #,##0_);_(* \(#,##0\);_(* &quot;-&quot;??_);_(@_)" sourceLinked="1"/>
        <c:majorTickMark val="none"/>
        <c:minorTickMark val="none"/>
        <c:tickLblPos val="nextTo"/>
        <c:spPr>
          <a:ln/>
        </c:spPr>
        <c:txPr>
          <a:bodyPr/>
          <a:lstStyle/>
          <a:p>
            <a:pPr lvl="0">
              <a:defRPr b="0">
                <a:solidFill>
                  <a:srgbClr val="000000"/>
                </a:solidFill>
                <a:latin typeface="Roboto"/>
              </a:defRPr>
            </a:pPr>
            <a:endParaRPr lang="en-US"/>
          </a:p>
        </c:txPr>
        <c:crossAx val="1204140762"/>
        <c:crosses val="max"/>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3"/>
          <c:order val="3"/>
          <c:tx>
            <c:strRef>
              <c:f>Aggregation!$A$20</c:f>
              <c:strCache>
                <c:ptCount val="1"/>
                <c:pt idx="0">
                  <c:v>NewCapacity_PowerPlant_MW</c:v>
                </c:pt>
              </c:strCache>
            </c:strRef>
          </c:tx>
          <c:spPr>
            <a:solidFill>
              <a:srgbClr val="0F9D58"/>
            </a:solidFill>
          </c:spPr>
          <c:invertIfNegative val="1"/>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Aggregation!$B$20:$BB$20</c:f>
              <c:numCache>
                <c:formatCode>_(* #,##0_);_(* \(#,##0\);_(* "-"??_);_(@_)</c:formatCode>
                <c:ptCount val="53"/>
                <c:pt idx="0">
                  <c:v>0</c:v>
                </c:pt>
                <c:pt idx="1">
                  <c:v>0</c:v>
                </c:pt>
                <c:pt idx="2" formatCode="#,##0">
                  <c:v>25667.300000000003</c:v>
                </c:pt>
                <c:pt idx="3" formatCode="#,##0">
                  <c:v>38328.300000000017</c:v>
                </c:pt>
                <c:pt idx="4" formatCode="#,##0">
                  <c:v>56250.800000000032</c:v>
                </c:pt>
                <c:pt idx="5" formatCode="#,##0">
                  <c:v>48029.499999999993</c:v>
                </c:pt>
                <c:pt idx="6" formatCode="#,##0">
                  <c:v>23153.600000000006</c:v>
                </c:pt>
                <c:pt idx="7" formatCode="#,##0">
                  <c:v>18111.599999999988</c:v>
                </c:pt>
                <c:pt idx="8" formatCode="#,##0">
                  <c:v>12424.300000000001</c:v>
                </c:pt>
                <c:pt idx="9" formatCode="#,##0">
                  <c:v>13902.8</c:v>
                </c:pt>
                <c:pt idx="10" formatCode="#,##0">
                  <c:v>17850.700000000008</c:v>
                </c:pt>
                <c:pt idx="11" formatCode="#,##0">
                  <c:v>21519.099999999995</c:v>
                </c:pt>
                <c:pt idx="12" formatCode="#,##0">
                  <c:v>17274.600000000002</c:v>
                </c:pt>
                <c:pt idx="13" formatCode="#,##0">
                  <c:v>21843.8</c:v>
                </c:pt>
                <c:pt idx="14" formatCode="#,##0">
                  <c:v>28801.799999999996</c:v>
                </c:pt>
                <c:pt idx="15" formatCode="#,##0">
                  <c:v>13904.7</c:v>
                </c:pt>
                <c:pt idx="16" formatCode="#,##0">
                  <c:v>17526.699999999997</c:v>
                </c:pt>
                <c:pt idx="17" formatCode="#,##0">
                  <c:v>17928.199999999993</c:v>
                </c:pt>
                <c:pt idx="18" formatCode="#,##0">
                  <c:v>27367.100000000002</c:v>
                </c:pt>
                <c:pt idx="19" formatCode="#,##0">
                  <c:v>20696.000000000007</c:v>
                </c:pt>
                <c:pt idx="20" formatCode="#,##0">
                  <c:v>32675.200000000001</c:v>
                </c:pt>
                <c:pt idx="21" formatCode="#,##0">
                  <c:v>24086.299999999977</c:v>
                </c:pt>
                <c:pt idx="22" formatCode="#,##0">
                  <c:v>32259</c:v>
                </c:pt>
                <c:pt idx="23" formatCode="#,##0">
                  <c:v>652619.57349896256</c:v>
                </c:pt>
                <c:pt idx="24" formatCode="#,##0">
                  <c:v>599661.21891607856</c:v>
                </c:pt>
                <c:pt idx="25" formatCode="#,##0">
                  <c:v>599544.75558274519</c:v>
                </c:pt>
                <c:pt idx="26" formatCode="#,##0">
                  <c:v>599467.2189160788</c:v>
                </c:pt>
                <c:pt idx="27" formatCode="#,##0">
                  <c:v>599464.91891607875</c:v>
                </c:pt>
                <c:pt idx="28" formatCode="#,##0">
                  <c:v>599528.7189160788</c:v>
                </c:pt>
                <c:pt idx="29" formatCode="#,##0">
                  <c:v>599460.7189160788</c:v>
                </c:pt>
                <c:pt idx="30" formatCode="#,##0">
                  <c:v>599460.71891607833</c:v>
                </c:pt>
                <c:pt idx="31" formatCode="#,##0">
                  <c:v>599479.51891607838</c:v>
                </c:pt>
                <c:pt idx="32" formatCode="#,##0">
                  <c:v>599631.31891607831</c:v>
                </c:pt>
                <c:pt idx="33" formatCode="#,##0">
                  <c:v>600087.51891607838</c:v>
                </c:pt>
                <c:pt idx="34" formatCode="#,##0">
                  <c:v>599713.45891607832</c:v>
                </c:pt>
                <c:pt idx="35" formatCode="#,##0">
                  <c:v>602993.52224941168</c:v>
                </c:pt>
                <c:pt idx="36" formatCode="#,##0">
                  <c:v>604495.08891607833</c:v>
                </c:pt>
                <c:pt idx="37" formatCode="#,##0">
                  <c:v>602908.12558274507</c:v>
                </c:pt>
                <c:pt idx="38" formatCode="#,##0">
                  <c:v>611919.42558274593</c:v>
                </c:pt>
                <c:pt idx="39" formatCode="#,##0">
                  <c:v>609778.64349896321</c:v>
                </c:pt>
                <c:pt idx="40" formatCode="#,##0">
                  <c:v>629307.00683229661</c:v>
                </c:pt>
                <c:pt idx="41" formatCode="#,##0">
                  <c:v>633018.50683229649</c:v>
                </c:pt>
                <c:pt idx="42" formatCode="#,##0">
                  <c:v>616795.87683229661</c:v>
                </c:pt>
                <c:pt idx="43" formatCode="#,##0">
                  <c:v>613066.55891607935</c:v>
                </c:pt>
                <c:pt idx="44" formatCode="#,##0">
                  <c:v>606214.82224941254</c:v>
                </c:pt>
                <c:pt idx="45" formatCode="#,##0">
                  <c:v>614754.18891607923</c:v>
                </c:pt>
                <c:pt idx="46" formatCode="#,##0">
                  <c:v>615468.82224941265</c:v>
                </c:pt>
                <c:pt idx="47" formatCode="#,##0">
                  <c:v>606463.82224941254</c:v>
                </c:pt>
                <c:pt idx="48" formatCode="#,##0">
                  <c:v>611641.08558274596</c:v>
                </c:pt>
                <c:pt idx="49" formatCode="#,##0">
                  <c:v>620015.18891607923</c:v>
                </c:pt>
                <c:pt idx="50" formatCode="#,##0">
                  <c:v>622432.38558274589</c:v>
                </c:pt>
                <c:pt idx="51" formatCode="#,##0">
                  <c:v>615030.38558274589</c:v>
                </c:pt>
                <c:pt idx="52" formatCode="#,##0">
                  <c:v>610247.03683229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F57-46BB-BE5D-2B919F6689B5}"/>
            </c:ext>
          </c:extLst>
        </c:ser>
        <c:dLbls>
          <c:showLegendKey val="0"/>
          <c:showVal val="0"/>
          <c:showCatName val="0"/>
          <c:showSerName val="0"/>
          <c:showPercent val="0"/>
          <c:showBubbleSize val="0"/>
        </c:dLbls>
        <c:gapWidth val="150"/>
        <c:axId val="1304024257"/>
        <c:axId val="132269204"/>
      </c:barChart>
      <c:lineChart>
        <c:grouping val="standard"/>
        <c:varyColors val="1"/>
        <c:ser>
          <c:idx val="0"/>
          <c:order val="0"/>
          <c:tx>
            <c:strRef>
              <c:f>Aggregation!$A$17</c:f>
              <c:strCache>
                <c:ptCount val="1"/>
                <c:pt idx="0">
                  <c:v>POWER_PLANT_FOM_and_VOM_BillionUSD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Aggregation!$B$17:$BB$17</c:f>
              <c:numCache>
                <c:formatCode>#,##0.0</c:formatCode>
                <c:ptCount val="53"/>
                <c:pt idx="0">
                  <c:v>0</c:v>
                </c:pt>
                <c:pt idx="1">
                  <c:v>0</c:v>
                </c:pt>
                <c:pt idx="2" formatCode="#,##0">
                  <c:v>32.982407285796725</c:v>
                </c:pt>
                <c:pt idx="3" formatCode="#,##0">
                  <c:v>33.824425292780326</c:v>
                </c:pt>
                <c:pt idx="4" formatCode="#,##0">
                  <c:v>35.498547121682378</c:v>
                </c:pt>
                <c:pt idx="5" formatCode="#,##0">
                  <c:v>36.650112573096649</c:v>
                </c:pt>
                <c:pt idx="6" formatCode="#,##0">
                  <c:v>37.864756636146637</c:v>
                </c:pt>
                <c:pt idx="7" formatCode="#,##0">
                  <c:v>38.831561501015479</c:v>
                </c:pt>
                <c:pt idx="8" formatCode="#,##0">
                  <c:v>39.571360325508465</c:v>
                </c:pt>
                <c:pt idx="9" formatCode="#,##0">
                  <c:v>41.055980410552081</c:v>
                </c:pt>
                <c:pt idx="10" formatCode="#,##0">
                  <c:v>41.999750702603642</c:v>
                </c:pt>
                <c:pt idx="11" formatCode="#,##0">
                  <c:v>42.039607207875711</c:v>
                </c:pt>
                <c:pt idx="12" formatCode="#,##0">
                  <c:v>43.669985279073209</c:v>
                </c:pt>
                <c:pt idx="13" formatCode="#,##0">
                  <c:v>44.053539669921712</c:v>
                </c:pt>
                <c:pt idx="14" formatCode="#,##0">
                  <c:v>43.937071823068749</c:v>
                </c:pt>
                <c:pt idx="15" formatCode="#,##0">
                  <c:v>45.549677340138736</c:v>
                </c:pt>
                <c:pt idx="16" formatCode="#,##0">
                  <c:v>46.809651130614377</c:v>
                </c:pt>
                <c:pt idx="17" formatCode="#,##0">
                  <c:v>46.559471627715673</c:v>
                </c:pt>
                <c:pt idx="18" formatCode="#,##0">
                  <c:v>47.298051134775562</c:v>
                </c:pt>
                <c:pt idx="19" formatCode="#,##0">
                  <c:v>48.500370358212095</c:v>
                </c:pt>
                <c:pt idx="20" formatCode="#,##0">
                  <c:v>49.7490871776318</c:v>
                </c:pt>
                <c:pt idx="21" formatCode="#,##0">
                  <c:v>51.012042129872256</c:v>
                </c:pt>
                <c:pt idx="22" formatCode="#,##0">
                  <c:v>52.281818782165409</c:v>
                </c:pt>
                <c:pt idx="23" formatCode="#,##0">
                  <c:v>66.184962075522535</c:v>
                </c:pt>
                <c:pt idx="24" formatCode="#,##0">
                  <c:v>80.72534759170037</c:v>
                </c:pt>
                <c:pt idx="25" formatCode="#,##0">
                  <c:v>95.380842009112229</c:v>
                </c:pt>
                <c:pt idx="26" formatCode="#,##0">
                  <c:v>110.70640760253904</c:v>
                </c:pt>
                <c:pt idx="27" formatCode="#,##0">
                  <c:v>126.56291363139451</c:v>
                </c:pt>
                <c:pt idx="28" formatCode="#,##0">
                  <c:v>142.93345014258054</c:v>
                </c:pt>
                <c:pt idx="29" formatCode="#,##0">
                  <c:v>159.82668278404347</c:v>
                </c:pt>
                <c:pt idx="30" formatCode="#,##0">
                  <c:v>177.25709933726165</c:v>
                </c:pt>
                <c:pt idx="31" formatCode="#,##0">
                  <c:v>195.27054822124006</c:v>
                </c:pt>
                <c:pt idx="32" formatCode="#,##0">
                  <c:v>213.94870826960323</c:v>
                </c:pt>
                <c:pt idx="33" formatCode="#,##0">
                  <c:v>233.25038921028909</c:v>
                </c:pt>
                <c:pt idx="34" formatCode="#,##0">
                  <c:v>253.1970171837157</c:v>
                </c:pt>
                <c:pt idx="35" formatCode="#,##0">
                  <c:v>273.81922159964182</c:v>
                </c:pt>
                <c:pt idx="36" formatCode="#,##0">
                  <c:v>295.24074961678866</c:v>
                </c:pt>
                <c:pt idx="37" formatCode="#,##0">
                  <c:v>317.24485920833484</c:v>
                </c:pt>
                <c:pt idx="38" formatCode="#,##0">
                  <c:v>339.70877565524665</c:v>
                </c:pt>
                <c:pt idx="39" formatCode="#,##0">
                  <c:v>363.32431804166532</c:v>
                </c:pt>
                <c:pt idx="40" formatCode="#,##0">
                  <c:v>387.02172013548574</c:v>
                </c:pt>
                <c:pt idx="41" formatCode="#,##0">
                  <c:v>411.67364210221427</c:v>
                </c:pt>
                <c:pt idx="42" formatCode="#,##0">
                  <c:v>436.94115974852377</c:v>
                </c:pt>
                <c:pt idx="43" formatCode="#,##0">
                  <c:v>463.36963511554399</c:v>
                </c:pt>
                <c:pt idx="44" formatCode="#,##0">
                  <c:v>490.3261424081291</c:v>
                </c:pt>
                <c:pt idx="45" formatCode="#,##0">
                  <c:v>517.98189009805844</c:v>
                </c:pt>
                <c:pt idx="46" formatCode="#,##0">
                  <c:v>547.01269953594317</c:v>
                </c:pt>
                <c:pt idx="47" formatCode="#,##0">
                  <c:v>576.1755307232944</c:v>
                </c:pt>
                <c:pt idx="48" formatCode="#,##0">
                  <c:v>606.8479487603405</c:v>
                </c:pt>
                <c:pt idx="49" formatCode="#,##0">
                  <c:v>638.01693828456973</c:v>
                </c:pt>
                <c:pt idx="50" formatCode="#,##0">
                  <c:v>670.42952327879777</c:v>
                </c:pt>
                <c:pt idx="51" formatCode="#,##0">
                  <c:v>703.16176684761865</c:v>
                </c:pt>
                <c:pt idx="52" formatCode="#,##0">
                  <c:v>737.10922187063841</c:v>
                </c:pt>
              </c:numCache>
            </c:numRef>
          </c:val>
          <c:smooth val="0"/>
          <c:extLst>
            <c:ext xmlns:c16="http://schemas.microsoft.com/office/drawing/2014/chart" uri="{C3380CC4-5D6E-409C-BE32-E72D297353CC}">
              <c16:uniqueId val="{00000000-9F57-46BB-BE5D-2B919F6689B5}"/>
            </c:ext>
          </c:extLst>
        </c:ser>
        <c:ser>
          <c:idx val="1"/>
          <c:order val="1"/>
          <c:tx>
            <c:strRef>
              <c:f>Aggregation!$A$18</c:f>
              <c:strCache>
                <c:ptCount val="1"/>
                <c:pt idx="0">
                  <c:v>POWER_PLANT_FuelCosts_BillionUSD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Aggregation!$B$18:$BB$18</c:f>
              <c:numCache>
                <c:formatCode>#,##0.0</c:formatCode>
                <c:ptCount val="53"/>
                <c:pt idx="0">
                  <c:v>0</c:v>
                </c:pt>
                <c:pt idx="1">
                  <c:v>0</c:v>
                </c:pt>
                <c:pt idx="2" formatCode="#,##0">
                  <c:v>92.725825925360141</c:v>
                </c:pt>
                <c:pt idx="3" formatCode="#,##0">
                  <c:v>90.46094360472506</c:v>
                </c:pt>
                <c:pt idx="4" formatCode="#,##0">
                  <c:v>86.189955129912789</c:v>
                </c:pt>
                <c:pt idx="5" formatCode="#,##0">
                  <c:v>103.08030452320338</c:v>
                </c:pt>
                <c:pt idx="6" formatCode="#,##0">
                  <c:v>109.70919627273683</c:v>
                </c:pt>
                <c:pt idx="7" formatCode="#,##0">
                  <c:v>135.0608058716615</c:v>
                </c:pt>
                <c:pt idx="8" formatCode="#,##0">
                  <c:v>122.1689549683086</c:v>
                </c:pt>
                <c:pt idx="9" formatCode="#,##0">
                  <c:v>126.39917078604186</c:v>
                </c:pt>
                <c:pt idx="10" formatCode="#,##0">
                  <c:v>150.18779928865564</c:v>
                </c:pt>
                <c:pt idx="11" formatCode="#,##0">
                  <c:v>109.34037820447904</c:v>
                </c:pt>
                <c:pt idx="12" formatCode="#,##0">
                  <c:v>119.32626294653485</c:v>
                </c:pt>
                <c:pt idx="13" formatCode="#,##0">
                  <c:v>121.19496381494103</c:v>
                </c:pt>
                <c:pt idx="14" formatCode="#,##0">
                  <c:v>104.23803847478963</c:v>
                </c:pt>
                <c:pt idx="15" formatCode="#,##0">
                  <c:v>115.45796497520243</c:v>
                </c:pt>
                <c:pt idx="16" formatCode="#,##0">
                  <c:v>125.68789561364952</c:v>
                </c:pt>
                <c:pt idx="17" formatCode="#,##0">
                  <c:v>101.42802844904367</c:v>
                </c:pt>
                <c:pt idx="18" formatCode="#,##0">
                  <c:v>102.83490806384143</c:v>
                </c:pt>
                <c:pt idx="19" formatCode="#,##0">
                  <c:v>108.07807682382841</c:v>
                </c:pt>
                <c:pt idx="20" formatCode="#,##0">
                  <c:v>115.04129827495272</c:v>
                </c:pt>
                <c:pt idx="21" formatCode="#,##0">
                  <c:v>117.34566657672143</c:v>
                </c:pt>
                <c:pt idx="22" formatCode="#,##0">
                  <c:v>131.27859521536399</c:v>
                </c:pt>
                <c:pt idx="23" formatCode="#,##0">
                  <c:v>126.71432100756081</c:v>
                </c:pt>
                <c:pt idx="24" formatCode="#,##0">
                  <c:v>123.33164998976648</c:v>
                </c:pt>
                <c:pt idx="25" formatCode="#,##0">
                  <c:v>121.67218544456664</c:v>
                </c:pt>
                <c:pt idx="26" formatCode="#,##0">
                  <c:v>120.64620933861714</c:v>
                </c:pt>
                <c:pt idx="27" formatCode="#,##0">
                  <c:v>119.87266091666312</c:v>
                </c:pt>
                <c:pt idx="28" formatCode="#,##0">
                  <c:v>117.17724585998867</c:v>
                </c:pt>
                <c:pt idx="29" formatCode="#,##0">
                  <c:v>114.4527545120342</c:v>
                </c:pt>
                <c:pt idx="30" formatCode="#,##0">
                  <c:v>112.52255124695414</c:v>
                </c:pt>
                <c:pt idx="31" formatCode="#,##0">
                  <c:v>110.34851464258955</c:v>
                </c:pt>
                <c:pt idx="32" formatCode="#,##0">
                  <c:v>108.44813291354042</c:v>
                </c:pt>
                <c:pt idx="33" formatCode="#,##0">
                  <c:v>106.45715798392227</c:v>
                </c:pt>
                <c:pt idx="34" formatCode="#,##0">
                  <c:v>104.76303274444672</c:v>
                </c:pt>
                <c:pt idx="35" formatCode="#,##0">
                  <c:v>102.80091375724052</c:v>
                </c:pt>
                <c:pt idx="36" formatCode="#,##0">
                  <c:v>100.77741536881624</c:v>
                </c:pt>
                <c:pt idx="37" formatCode="#,##0">
                  <c:v>98.952578745581107</c:v>
                </c:pt>
                <c:pt idx="38" formatCode="#,##0">
                  <c:v>97.446416707506302</c:v>
                </c:pt>
                <c:pt idx="39" formatCode="#,##0">
                  <c:v>95.71177539310581</c:v>
                </c:pt>
                <c:pt idx="40" formatCode="#,##0">
                  <c:v>94.304208318540375</c:v>
                </c:pt>
                <c:pt idx="41" formatCode="#,##0">
                  <c:v>92.904020921653498</c:v>
                </c:pt>
                <c:pt idx="42" formatCode="#,##0">
                  <c:v>91.384168485772278</c:v>
                </c:pt>
                <c:pt idx="43" formatCode="#,##0">
                  <c:v>89.668206657240788</c:v>
                </c:pt>
                <c:pt idx="44" formatCode="#,##0">
                  <c:v>88.028584965494929</c:v>
                </c:pt>
                <c:pt idx="45" formatCode="#,##0">
                  <c:v>86.462291745209214</c:v>
                </c:pt>
                <c:pt idx="46" formatCode="#,##0">
                  <c:v>84.827803603043535</c:v>
                </c:pt>
                <c:pt idx="47" formatCode="#,##0">
                  <c:v>83.37889706459471</c:v>
                </c:pt>
                <c:pt idx="48" formatCode="#,##0">
                  <c:v>81.622609012917863</c:v>
                </c:pt>
                <c:pt idx="49" formatCode="#,##0">
                  <c:v>80.160917278008441</c:v>
                </c:pt>
                <c:pt idx="50" formatCode="#,##0">
                  <c:v>79.552909302319506</c:v>
                </c:pt>
                <c:pt idx="51" formatCode="#,##0">
                  <c:v>78.41508359352737</c:v>
                </c:pt>
                <c:pt idx="52" formatCode="#,##0">
                  <c:v>76.688415861155335</c:v>
                </c:pt>
              </c:numCache>
            </c:numRef>
          </c:val>
          <c:smooth val="0"/>
          <c:extLst>
            <c:ext xmlns:c16="http://schemas.microsoft.com/office/drawing/2014/chart" uri="{C3380CC4-5D6E-409C-BE32-E72D297353CC}">
              <c16:uniqueId val="{00000001-9F57-46BB-BE5D-2B919F6689B5}"/>
            </c:ext>
          </c:extLst>
        </c:ser>
        <c:ser>
          <c:idx val="2"/>
          <c:order val="2"/>
          <c:tx>
            <c:strRef>
              <c:f>Aggregation!$A$19</c:f>
              <c:strCache>
                <c:ptCount val="1"/>
                <c:pt idx="0">
                  <c:v>POWER_PLANT_CAPEX_Nuclear_BillionUSD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Aggregation!$B$19:$BB$19</c:f>
              <c:numCache>
                <c:formatCode>#,##0.0</c:formatCode>
                <c:ptCount val="53"/>
                <c:pt idx="0">
                  <c:v>0</c:v>
                </c:pt>
                <c:pt idx="1">
                  <c:v>0</c:v>
                </c:pt>
                <c:pt idx="2" formatCode="#,##0">
                  <c:v>3.5749900359947038</c:v>
                </c:pt>
                <c:pt idx="3" formatCode="#,##0">
                  <c:v>3.718720748758845</c:v>
                </c:pt>
                <c:pt idx="4" formatCode="#,##0">
                  <c:v>3.8485380703209429</c:v>
                </c:pt>
                <c:pt idx="5" formatCode="#,##0">
                  <c:v>3.8433245284133171</c:v>
                </c:pt>
                <c:pt idx="6" formatCode="#,##0">
                  <c:v>4.0474657182634211</c:v>
                </c:pt>
                <c:pt idx="7" formatCode="#,##0">
                  <c:v>4.0941636570106974</c:v>
                </c:pt>
                <c:pt idx="8" formatCode="#,##0">
                  <c:v>4.2039888613983543</c:v>
                </c:pt>
                <c:pt idx="9" formatCode="#,##0">
                  <c:v>4.3926865226692584</c:v>
                </c:pt>
                <c:pt idx="10" formatCode="#,##0">
                  <c:v>4.4793383784246394</c:v>
                </c:pt>
                <c:pt idx="11" formatCode="#,##0">
                  <c:v>4.5272495832897208</c:v>
                </c:pt>
                <c:pt idx="12" formatCode="#,##0">
                  <c:v>4.6646960692087269</c:v>
                </c:pt>
                <c:pt idx="13" formatCode="#,##0">
                  <c:v>4.6591476567910446</c:v>
                </c:pt>
                <c:pt idx="14" formatCode="#,##0">
                  <c:v>4.6267985808232917</c:v>
                </c:pt>
                <c:pt idx="15" formatCode="#,##0">
                  <c:v>4.8400902840137316</c:v>
                </c:pt>
                <c:pt idx="16" formatCode="#,##0">
                  <c:v>4.9878837329533896</c:v>
                </c:pt>
                <c:pt idx="17" formatCode="#,##0">
                  <c:v>5.0877173234140711</c:v>
                </c:pt>
                <c:pt idx="18" formatCode="#,##0">
                  <c:v>5.235438287215687</c:v>
                </c:pt>
                <c:pt idx="19" formatCode="#,##0">
                  <c:v>5.2609890432800004</c:v>
                </c:pt>
                <c:pt idx="20" formatCode="#,##0">
                  <c:v>5.3980187422704002</c:v>
                </c:pt>
                <c:pt idx="21" formatCode="#,##0">
                  <c:v>5.21588869119641</c:v>
                </c:pt>
                <c:pt idx="22" formatCode="#,##0">
                  <c:v>4.9454240920778814</c:v>
                </c:pt>
                <c:pt idx="23" formatCode="#,##0">
                  <c:v>4.671579475352555</c:v>
                </c:pt>
                <c:pt idx="24" formatCode="#,##0">
                  <c:v>4.4076513438898788</c:v>
                </c:pt>
                <c:pt idx="25" formatCode="#,##0">
                  <c:v>4.1533298613474336</c:v>
                </c:pt>
                <c:pt idx="26" formatCode="#,##0">
                  <c:v>3.9083141649343163</c:v>
                </c:pt>
                <c:pt idx="27" formatCode="#,##0">
                  <c:v>3.6723121172825137</c:v>
                </c:pt>
                <c:pt idx="28" formatCode="#,##0">
                  <c:v>3.4450400649681341</c:v>
                </c:pt>
                <c:pt idx="29" formatCode="#,##0">
                  <c:v>3.2948937354699397</c:v>
                </c:pt>
                <c:pt idx="30" formatCode="#,##0">
                  <c:v>3.145334211129478</c:v>
                </c:pt>
                <c:pt idx="31" formatCode="#,##0">
                  <c:v>2.9963597453114366</c:v>
                </c:pt>
                <c:pt idx="32" formatCode="#,##0">
                  <c:v>2.8479685960198227</c:v>
                </c:pt>
                <c:pt idx="33" formatCode="#,##0">
                  <c:v>2.7001590258863941</c:v>
                </c:pt>
                <c:pt idx="34" formatCode="#,##0">
                  <c:v>2.5529293021591148</c:v>
                </c:pt>
                <c:pt idx="35" formatCode="#,##0">
                  <c:v>2.4062776966906414</c:v>
                </c:pt>
                <c:pt idx="36" formatCode="#,##0">
                  <c:v>2.260202485926833</c:v>
                </c:pt>
                <c:pt idx="37" formatCode="#,##0">
                  <c:v>2.1147019508952929</c:v>
                </c:pt>
                <c:pt idx="38" formatCode="#,##0">
                  <c:v>1.9697743771939356</c:v>
                </c:pt>
                <c:pt idx="39" formatCode="#,##0">
                  <c:v>1.8254180549795802</c:v>
                </c:pt>
                <c:pt idx="40" formatCode="#,##0">
                  <c:v>1.6816312789565731</c:v>
                </c:pt>
                <c:pt idx="41" formatCode="#,##0">
                  <c:v>1.5384123483654379</c:v>
                </c:pt>
                <c:pt idx="42" formatCode="#,##0">
                  <c:v>1.3957595669715519</c:v>
                </c:pt>
                <c:pt idx="43" formatCode="#,##0">
                  <c:v>1.2536712430538481</c:v>
                </c:pt>
                <c:pt idx="44" formatCode="#,##0">
                  <c:v>1.1121456893935471</c:v>
                </c:pt>
                <c:pt idx="45" formatCode="#,##0">
                  <c:v>0.97118122326291523</c:v>
                </c:pt>
                <c:pt idx="46" formatCode="#,##0">
                  <c:v>0.83077616641404828</c:v>
                </c:pt>
                <c:pt idx="47" formatCode="#,##0">
                  <c:v>0.69092884506768359</c:v>
                </c:pt>
                <c:pt idx="48" formatCode="#,##0">
                  <c:v>0.55163758990203871</c:v>
                </c:pt>
                <c:pt idx="49" formatCode="#,##0">
                  <c:v>0.41290073604167615</c:v>
                </c:pt>
                <c:pt idx="50" formatCode="#,##0">
                  <c:v>0.27471662304639538</c:v>
                </c:pt>
                <c:pt idx="51" formatCode="#,##0">
                  <c:v>0.13708359490015165</c:v>
                </c:pt>
                <c:pt idx="52" formatCode="#,##0">
                  <c:v>0</c:v>
                </c:pt>
              </c:numCache>
            </c:numRef>
          </c:val>
          <c:smooth val="0"/>
          <c:extLst>
            <c:ext xmlns:c16="http://schemas.microsoft.com/office/drawing/2014/chart" uri="{C3380CC4-5D6E-409C-BE32-E72D297353CC}">
              <c16:uniqueId val="{00000002-9F57-46BB-BE5D-2B919F6689B5}"/>
            </c:ext>
          </c:extLst>
        </c:ser>
        <c:ser>
          <c:idx val="4"/>
          <c:order val="4"/>
          <c:tx>
            <c:strRef>
              <c:f>Aggregation!$A$22</c:f>
              <c:strCache>
                <c:ptCount val="1"/>
                <c:pt idx="0">
                  <c:v>POWER PLANT_CAPEX_NoNuclear_BillionUSD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Aggregation!$B$22:$BB$22</c:f>
              <c:numCache>
                <c:formatCode>#,##0.0</c:formatCode>
                <c:ptCount val="53"/>
                <c:pt idx="0">
                  <c:v>0</c:v>
                </c:pt>
                <c:pt idx="1">
                  <c:v>0</c:v>
                </c:pt>
                <c:pt idx="2" formatCode="#,##0">
                  <c:v>72.291445294907263</c:v>
                </c:pt>
                <c:pt idx="3" formatCode="#,##0">
                  <c:v>28.583612093751167</c:v>
                </c:pt>
                <c:pt idx="4" formatCode="#,##0">
                  <c:v>21.523018449037934</c:v>
                </c:pt>
                <c:pt idx="5" formatCode="#,##0">
                  <c:v>15.415102435360101</c:v>
                </c:pt>
                <c:pt idx="6" formatCode="#,##0">
                  <c:v>16.346647366015507</c:v>
                </c:pt>
                <c:pt idx="7" formatCode="#,##0">
                  <c:v>19.400398927984828</c:v>
                </c:pt>
                <c:pt idx="8" formatCode="#,##0">
                  <c:v>26.612428708748755</c:v>
                </c:pt>
                <c:pt idx="9" formatCode="#,##0">
                  <c:v>30.872837570310853</c:v>
                </c:pt>
                <c:pt idx="10" formatCode="#,##0">
                  <c:v>28.153246990453805</c:v>
                </c:pt>
                <c:pt idx="11" formatCode="#,##0">
                  <c:v>25.720633337578235</c:v>
                </c:pt>
                <c:pt idx="12" formatCode="#,##0">
                  <c:v>34.193163494986997</c:v>
                </c:pt>
                <c:pt idx="13" formatCode="#,##0">
                  <c:v>29.085944045303041</c:v>
                </c:pt>
                <c:pt idx="14" formatCode="#,##0">
                  <c:v>24.108751915446362</c:v>
                </c:pt>
                <c:pt idx="15" formatCode="#,##0">
                  <c:v>30.922267284348468</c:v>
                </c:pt>
                <c:pt idx="16" formatCode="#,##0">
                  <c:v>33.988043142361022</c:v>
                </c:pt>
                <c:pt idx="17" formatCode="#,##0">
                  <c:v>49.692418136994078</c:v>
                </c:pt>
                <c:pt idx="18" formatCode="#,##0">
                  <c:v>38.56410477521392</c:v>
                </c:pt>
                <c:pt idx="19" formatCode="#,##0">
                  <c:v>41.209713943865118</c:v>
                </c:pt>
                <c:pt idx="20" formatCode="#,##0">
                  <c:v>53.195158690818367</c:v>
                </c:pt>
                <c:pt idx="21" formatCode="#,##0">
                  <c:v>107.62108122759825</c:v>
                </c:pt>
                <c:pt idx="22" formatCode="#,##0">
                  <c:v>1462.9809037140917</c:v>
                </c:pt>
                <c:pt idx="23" formatCode="#,##0">
                  <c:v>1476.0271734966871</c:v>
                </c:pt>
                <c:pt idx="24" formatCode="#,##0">
                  <c:v>1516.0801276936179</c:v>
                </c:pt>
                <c:pt idx="25" formatCode="#,##0">
                  <c:v>1555.1417063015572</c:v>
                </c:pt>
                <c:pt idx="26" formatCode="#,##0">
                  <c:v>1594.6856362012015</c:v>
                </c:pt>
                <c:pt idx="27" formatCode="#,##0">
                  <c:v>1629.8488511705141</c:v>
                </c:pt>
                <c:pt idx="28" formatCode="#,##0">
                  <c:v>1667.6699014749493</c:v>
                </c:pt>
                <c:pt idx="29" formatCode="#,##0">
                  <c:v>1709.8617172388458</c:v>
                </c:pt>
                <c:pt idx="30" formatCode="#,##0">
                  <c:v>1756.902237340141</c:v>
                </c:pt>
                <c:pt idx="31" formatCode="#,##0">
                  <c:v>1800.0477700193721</c:v>
                </c:pt>
                <c:pt idx="32" formatCode="#,##0">
                  <c:v>1847.2860603596105</c:v>
                </c:pt>
                <c:pt idx="33" formatCode="#,##0">
                  <c:v>1888.2917642115287</c:v>
                </c:pt>
                <c:pt idx="34" formatCode="#,##0">
                  <c:v>1925.4166800093456</c:v>
                </c:pt>
                <c:pt idx="35" formatCode="#,##0">
                  <c:v>1960.8346945053042</c:v>
                </c:pt>
                <c:pt idx="36" formatCode="#,##0">
                  <c:v>1993.8665723898666</c:v>
                </c:pt>
                <c:pt idx="37" formatCode="#,##0">
                  <c:v>2038.0035188692364</c:v>
                </c:pt>
                <c:pt idx="38" formatCode="#,##0">
                  <c:v>2081.9739421329928</c:v>
                </c:pt>
                <c:pt idx="39" formatCode="#,##0">
                  <c:v>2132.7521684021317</c:v>
                </c:pt>
                <c:pt idx="40" formatCode="#,##0">
                  <c:v>2173.0802791466058</c:v>
                </c:pt>
                <c:pt idx="41" formatCode="#,##0">
                  <c:v>2216.180167551327</c:v>
                </c:pt>
                <c:pt idx="42" formatCode="#,##0">
                  <c:v>2261.8028157606373</c:v>
                </c:pt>
                <c:pt idx="43" formatCode="#,##0">
                  <c:v>2317.1640578508222</c:v>
                </c:pt>
                <c:pt idx="44" formatCode="#,##0">
                  <c:v>2389.0674777399918</c:v>
                </c:pt>
                <c:pt idx="45" formatCode="#,##0">
                  <c:v>2434.7159172789866</c:v>
                </c:pt>
                <c:pt idx="46" formatCode="#,##0">
                  <c:v>2487.706445214822</c:v>
                </c:pt>
                <c:pt idx="47" formatCode="#,##0">
                  <c:v>2546.8256482951651</c:v>
                </c:pt>
                <c:pt idx="48" formatCode="#,##0">
                  <c:v>2594.3237141262989</c:v>
                </c:pt>
                <c:pt idx="49" formatCode="#,##0">
                  <c:v>2653.6889825309763</c:v>
                </c:pt>
                <c:pt idx="50" formatCode="#,##0">
                  <c:v>2678.7102283887102</c:v>
                </c:pt>
                <c:pt idx="51" formatCode="#,##0">
                  <c:v>2622.1031592371914</c:v>
                </c:pt>
                <c:pt idx="52" formatCode="#,##0">
                  <c:v>0</c:v>
                </c:pt>
              </c:numCache>
            </c:numRef>
          </c:val>
          <c:smooth val="0"/>
          <c:extLst>
            <c:ext xmlns:c16="http://schemas.microsoft.com/office/drawing/2014/chart" uri="{C3380CC4-5D6E-409C-BE32-E72D297353CC}">
              <c16:uniqueId val="{00000003-9F57-46BB-BE5D-2B919F6689B5}"/>
            </c:ext>
          </c:extLst>
        </c:ser>
        <c:dLbls>
          <c:showLegendKey val="0"/>
          <c:showVal val="0"/>
          <c:showCatName val="0"/>
          <c:showSerName val="0"/>
          <c:showPercent val="0"/>
          <c:showBubbleSize val="0"/>
        </c:dLbls>
        <c:marker val="1"/>
        <c:smooth val="0"/>
        <c:axId val="2048000544"/>
        <c:axId val="956573091"/>
      </c:lineChart>
      <c:catAx>
        <c:axId val="204800054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956573091"/>
        <c:crosses val="autoZero"/>
        <c:auto val="1"/>
        <c:lblAlgn val="ctr"/>
        <c:lblOffset val="100"/>
        <c:noMultiLvlLbl val="1"/>
      </c:catAx>
      <c:valAx>
        <c:axId val="956573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$billion</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2048000544"/>
        <c:crosses val="autoZero"/>
        <c:crossBetween val="between"/>
      </c:valAx>
      <c:catAx>
        <c:axId val="1304024257"/>
        <c:scaling>
          <c:orientation val="minMax"/>
        </c:scaling>
        <c:delete val="1"/>
        <c:axPos val="b"/>
        <c:numFmt formatCode="General" sourceLinked="1"/>
        <c:majorTickMark val="none"/>
        <c:minorTickMark val="none"/>
        <c:tickLblPos val="nextTo"/>
        <c:crossAx val="132269204"/>
        <c:crosses val="autoZero"/>
        <c:auto val="1"/>
        <c:lblAlgn val="ctr"/>
        <c:lblOffset val="100"/>
        <c:noMultiLvlLbl val="1"/>
      </c:catAx>
      <c:valAx>
        <c:axId val="13226920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MW</a:t>
                </a:r>
              </a:p>
            </c:rich>
          </c:tx>
          <c:overlay val="0"/>
        </c:title>
        <c:numFmt formatCode="_(* #,##0_);_(* \(#,##0\);_(* &quot;-&quot;??_);_(@_)" sourceLinked="1"/>
        <c:majorTickMark val="none"/>
        <c:minorTickMark val="none"/>
        <c:tickLblPos val="nextTo"/>
        <c:spPr>
          <a:ln/>
        </c:spPr>
        <c:txPr>
          <a:bodyPr/>
          <a:lstStyle/>
          <a:p>
            <a:pPr lvl="0">
              <a:defRPr b="0">
                <a:solidFill>
                  <a:srgbClr val="000000"/>
                </a:solidFill>
                <a:latin typeface="Roboto"/>
              </a:defRPr>
            </a:pPr>
            <a:endParaRPr lang="en-US"/>
          </a:p>
        </c:txPr>
        <c:crossAx val="1304024257"/>
        <c:crosses val="max"/>
        <c:crossBetween val="between"/>
      </c:valAx>
    </c:plotArea>
    <c:legend>
      <c:legendPos val="t"/>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Total T&amp;D</a:t>
            </a:r>
          </a:p>
        </c:rich>
      </c:tx>
      <c:overlay val="0"/>
    </c:title>
    <c:autoTitleDeleted val="0"/>
    <c:plotArea>
      <c:layout/>
      <c:lineChart>
        <c:grouping val="standard"/>
        <c:varyColors val="1"/>
        <c:ser>
          <c:idx val="0"/>
          <c:order val="0"/>
          <c:tx>
            <c:strRef>
              <c:f>Aggregation!$A$26</c:f>
              <c:strCache>
                <c:ptCount val="1"/>
                <c:pt idx="0">
                  <c:v>ELECTRICITY_TandD_OPEX_BillionUSD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Aggregation!$B$26:$BB$26</c:f>
              <c:numCache>
                <c:formatCode>#,##0.0</c:formatCode>
                <c:ptCount val="53"/>
                <c:pt idx="0">
                  <c:v>0</c:v>
                </c:pt>
                <c:pt idx="1">
                  <c:v>0</c:v>
                </c:pt>
                <c:pt idx="2" formatCode="#,##0">
                  <c:v>43.797746118571425</c:v>
                </c:pt>
                <c:pt idx="3" formatCode="#,##0">
                  <c:v>44.213080396190477</c:v>
                </c:pt>
                <c:pt idx="4" formatCode="#,##0">
                  <c:v>45.235963003871639</c:v>
                </c:pt>
                <c:pt idx="5" formatCode="#,##0">
                  <c:v>48.084935971428578</c:v>
                </c:pt>
                <c:pt idx="6" formatCode="#,##0">
                  <c:v>48.601713674453784</c:v>
                </c:pt>
                <c:pt idx="7" formatCode="#,##0">
                  <c:v>53.22568693121849</c:v>
                </c:pt>
                <c:pt idx="8" formatCode="#,##0">
                  <c:v>64.120486661008414</c:v>
                </c:pt>
                <c:pt idx="9" formatCode="#,##0">
                  <c:v>58.714915025714291</c:v>
                </c:pt>
                <c:pt idx="10" formatCode="#,##0">
                  <c:v>61.748133839453786</c:v>
                </c:pt>
                <c:pt idx="11" formatCode="#,##0">
                  <c:v>63.772222839159667</c:v>
                </c:pt>
                <c:pt idx="12" formatCode="#,##0">
                  <c:v>68.755790778823524</c:v>
                </c:pt>
                <c:pt idx="13" formatCode="#,##0">
                  <c:v>70.55617976247899</c:v>
                </c:pt>
                <c:pt idx="14" formatCode="#,##0">
                  <c:v>73.05299464911765</c:v>
                </c:pt>
                <c:pt idx="15" formatCode="#,##0">
                  <c:v>73.905084691638663</c:v>
                </c:pt>
                <c:pt idx="16" formatCode="#,##0">
                  <c:v>77.263409206974799</c:v>
                </c:pt>
                <c:pt idx="17" formatCode="#,##0">
                  <c:v>78.24620955638656</c:v>
                </c:pt>
                <c:pt idx="18" formatCode="#,##0">
                  <c:v>80.58088459390757</c:v>
                </c:pt>
                <c:pt idx="19" formatCode="#,##0">
                  <c:v>80.439169043514227</c:v>
                </c:pt>
                <c:pt idx="20" formatCode="#,##0">
                  <c:v>80.446269370749519</c:v>
                </c:pt>
                <c:pt idx="21" formatCode="#,##0">
                  <c:v>80.453943022843632</c:v>
                </c:pt>
                <c:pt idx="22" formatCode="#,##0">
                  <c:v>80.453605577121266</c:v>
                </c:pt>
                <c:pt idx="23" formatCode="#,##0">
                  <c:v>80.451228058136806</c:v>
                </c:pt>
                <c:pt idx="24" formatCode="#,##0">
                  <c:v>80.448843014473084</c:v>
                </c:pt>
                <c:pt idx="25" formatCode="#,##0">
                  <c:v>80.450777808664867</c:v>
                </c:pt>
                <c:pt idx="26" formatCode="#,##0">
                  <c:v>80.451679496247934</c:v>
                </c:pt>
                <c:pt idx="27" formatCode="#,##0">
                  <c:v>80.451226790928786</c:v>
                </c:pt>
                <c:pt idx="28" formatCode="#,##0">
                  <c:v>80.450751033690295</c:v>
                </c:pt>
                <c:pt idx="29" formatCode="#,##0">
                  <c:v>80.450655628801002</c:v>
                </c:pt>
                <c:pt idx="30" formatCode="#,##0">
                  <c:v>80.451018151666574</c:v>
                </c:pt>
                <c:pt idx="31" formatCode="#,##0">
                  <c:v>80.45106622026691</c:v>
                </c:pt>
                <c:pt idx="32" formatCode="#,##0">
                  <c:v>80.450943565070716</c:v>
                </c:pt>
                <c:pt idx="33" formatCode="#,##0">
                  <c:v>80.450886919899091</c:v>
                </c:pt>
                <c:pt idx="34" formatCode="#,##0">
                  <c:v>80.450914097140867</c:v>
                </c:pt>
                <c:pt idx="35" formatCode="#,##0">
                  <c:v>80.450965790808837</c:v>
                </c:pt>
                <c:pt idx="36" formatCode="#,##0">
                  <c:v>80.450955318637284</c:v>
                </c:pt>
                <c:pt idx="37" formatCode="#,##0">
                  <c:v>80.45093313831137</c:v>
                </c:pt>
                <c:pt idx="38" formatCode="#,##0">
                  <c:v>80.450931052959504</c:v>
                </c:pt>
                <c:pt idx="39" formatCode="#,##0">
                  <c:v>80.450939879571564</c:v>
                </c:pt>
                <c:pt idx="40" formatCode="#,##0">
                  <c:v>80.450945036057703</c:v>
                </c:pt>
                <c:pt idx="41" formatCode="#,##0">
                  <c:v>80.450940885107485</c:v>
                </c:pt>
                <c:pt idx="42" formatCode="#,##0">
                  <c:v>80.450937998401514</c:v>
                </c:pt>
                <c:pt idx="43" formatCode="#,##0">
                  <c:v>80.450938970419543</c:v>
                </c:pt>
                <c:pt idx="44" formatCode="#,##0">
                  <c:v>80.450940553911579</c:v>
                </c:pt>
                <c:pt idx="45" formatCode="#,##0">
                  <c:v>80.450940688779568</c:v>
                </c:pt>
                <c:pt idx="46" formatCode="#,##0">
                  <c:v>80.450939819323935</c:v>
                </c:pt>
                <c:pt idx="47" formatCode="#,##0">
                  <c:v>80.450939606167225</c:v>
                </c:pt>
                <c:pt idx="48" formatCode="#,##0">
                  <c:v>80.45093992772037</c:v>
                </c:pt>
                <c:pt idx="49" formatCode="#,##0">
                  <c:v>80.45094011918053</c:v>
                </c:pt>
                <c:pt idx="50" formatCode="#,##0">
                  <c:v>80.450940032234328</c:v>
                </c:pt>
                <c:pt idx="51" formatCode="#,##0">
                  <c:v>80.450939900925277</c:v>
                </c:pt>
                <c:pt idx="52" formatCode="#,##0">
                  <c:v>80.450939917245549</c:v>
                </c:pt>
              </c:numCache>
            </c:numRef>
          </c:val>
          <c:smooth val="0"/>
          <c:extLst>
            <c:ext xmlns:c16="http://schemas.microsoft.com/office/drawing/2014/chart" uri="{C3380CC4-5D6E-409C-BE32-E72D297353CC}">
              <c16:uniqueId val="{00000000-4AED-44ED-90D9-B5A865808AC8}"/>
            </c:ext>
          </c:extLst>
        </c:ser>
        <c:ser>
          <c:idx val="1"/>
          <c:order val="1"/>
          <c:tx>
            <c:strRef>
              <c:f>Aggregation!$A$27</c:f>
              <c:strCache>
                <c:ptCount val="1"/>
                <c:pt idx="0">
                  <c:v>ELECTRICITY_TandD_CAPEX_BillionUSD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Aggregation!$B$27:$BB$27</c:f>
              <c:numCache>
                <c:formatCode>#,##0.0</c:formatCode>
                <c:ptCount val="53"/>
                <c:pt idx="0">
                  <c:v>0</c:v>
                </c:pt>
                <c:pt idx="1">
                  <c:v>0</c:v>
                </c:pt>
                <c:pt idx="2" formatCode="#,##0">
                  <c:v>21.524781159285713</c:v>
                </c:pt>
                <c:pt idx="3" formatCode="#,##0">
                  <c:v>22.433204113750001</c:v>
                </c:pt>
                <c:pt idx="4" formatCode="#,##0">
                  <c:v>22.716083118305718</c:v>
                </c:pt>
                <c:pt idx="5" formatCode="#,##0">
                  <c:v>25.254261760028573</c:v>
                </c:pt>
                <c:pt idx="6" formatCode="#,##0">
                  <c:v>26.459883638120001</c:v>
                </c:pt>
                <c:pt idx="7" formatCode="#,##0">
                  <c:v>28.942069745168002</c:v>
                </c:pt>
                <c:pt idx="8" formatCode="#,##0">
                  <c:v>34.546521807679376</c:v>
                </c:pt>
                <c:pt idx="9" formatCode="#,##0">
                  <c:v>34.239408003831343</c:v>
                </c:pt>
                <c:pt idx="10" formatCode="#,##0">
                  <c:v>38.970564511097145</c:v>
                </c:pt>
                <c:pt idx="11" formatCode="#,##0">
                  <c:v>38.765135009845714</c:v>
                </c:pt>
                <c:pt idx="12" formatCode="#,##0">
                  <c:v>40.746569432297143</c:v>
                </c:pt>
                <c:pt idx="13" formatCode="#,##0">
                  <c:v>42.543570722451427</c:v>
                </c:pt>
                <c:pt idx="14" formatCode="#,##0">
                  <c:v>50.656381848217151</c:v>
                </c:pt>
                <c:pt idx="15" formatCode="#,##0">
                  <c:v>57.061103759640012</c:v>
                </c:pt>
                <c:pt idx="16" formatCode="#,##0">
                  <c:v>58.029850639794283</c:v>
                </c:pt>
                <c:pt idx="17" formatCode="#,##0">
                  <c:v>62.62448748664</c:v>
                </c:pt>
                <c:pt idx="18" formatCode="#,##0">
                  <c:v>67.163382028845717</c:v>
                </c:pt>
                <c:pt idx="19" formatCode="#,##0">
                  <c:v>64.355162473755954</c:v>
                </c:pt>
                <c:pt idx="20" formatCode="#,##0">
                  <c:v>62.163945595083213</c:v>
                </c:pt>
                <c:pt idx="21" formatCode="#,##0">
                  <c:v>62.430963108518412</c:v>
                </c:pt>
                <c:pt idx="22" formatCode="#,##0">
                  <c:v>63.141594413479481</c:v>
                </c:pt>
                <c:pt idx="23" formatCode="#,##0">
                  <c:v>62.351805638527395</c:v>
                </c:pt>
                <c:pt idx="24" formatCode="#,##0">
                  <c:v>61.949052504319951</c:v>
                </c:pt>
                <c:pt idx="25" formatCode="#,##0">
                  <c:v>63.653524255547389</c:v>
                </c:pt>
                <c:pt idx="26" formatCode="#,##0">
                  <c:v>63.566897585912642</c:v>
                </c:pt>
                <c:pt idx="27" formatCode="#,##0">
                  <c:v>61.351552917717548</c:v>
                </c:pt>
                <c:pt idx="28" formatCode="#,##0">
                  <c:v>62.884801219250733</c:v>
                </c:pt>
                <c:pt idx="29" formatCode="#,##0">
                  <c:v>64.82164235354594</c:v>
                </c:pt>
                <c:pt idx="30" formatCode="#,##0">
                  <c:v>65.085231806049038</c:v>
                </c:pt>
                <c:pt idx="31" formatCode="#,##0">
                  <c:v>64.245868356337212</c:v>
                </c:pt>
                <c:pt idx="32" formatCode="#,##0">
                  <c:v>67.085632373135525</c:v>
                </c:pt>
                <c:pt idx="33" formatCode="#,##0">
                  <c:v>65.493638171005998</c:v>
                </c:pt>
                <c:pt idx="34" formatCode="#,##0">
                  <c:v>63.451405713220737</c:v>
                </c:pt>
                <c:pt idx="35" formatCode="#,##0">
                  <c:v>64.929049795549076</c:v>
                </c:pt>
                <c:pt idx="36" formatCode="#,##0">
                  <c:v>65.547611035882937</c:v>
                </c:pt>
                <c:pt idx="37" formatCode="#,##0">
                  <c:v>62.198374240855244</c:v>
                </c:pt>
                <c:pt idx="38" formatCode="#,##0">
                  <c:v>62.474705221608254</c:v>
                </c:pt>
                <c:pt idx="39" formatCode="#,##0">
                  <c:v>65.492067363020368</c:v>
                </c:pt>
                <c:pt idx="40" formatCode="#,##0">
                  <c:v>65.517185561689431</c:v>
                </c:pt>
                <c:pt idx="41" formatCode="#,##0">
                  <c:v>64.452892203100888</c:v>
                </c:pt>
                <c:pt idx="42" formatCode="#,##0">
                  <c:v>66.712722604359527</c:v>
                </c:pt>
                <c:pt idx="43" formatCode="#,##0">
                  <c:v>64.910347865772295</c:v>
                </c:pt>
                <c:pt idx="44" formatCode="#,##0">
                  <c:v>63.945293469925126</c:v>
                </c:pt>
                <c:pt idx="45" formatCode="#,##0">
                  <c:v>59.671611092578679</c:v>
                </c:pt>
                <c:pt idx="46" formatCode="#,##0">
                  <c:v>59.671805117293829</c:v>
                </c:pt>
                <c:pt idx="47" formatCode="#,##0">
                  <c:v>59.67207511301666</c:v>
                </c:pt>
                <c:pt idx="48" formatCode="#,##0">
                  <c:v>59.672112334458056</c:v>
                </c:pt>
                <c:pt idx="49" formatCode="#,##0">
                  <c:v>59.671987359263241</c:v>
                </c:pt>
                <c:pt idx="50" formatCode="#,##0">
                  <c:v>59.671907344633837</c:v>
                </c:pt>
                <c:pt idx="51" formatCode="#,##0">
                  <c:v>59.671916393540712</c:v>
                </c:pt>
                <c:pt idx="52" formatCode="#,##0">
                  <c:v>59.671967277034391</c:v>
                </c:pt>
              </c:numCache>
            </c:numRef>
          </c:val>
          <c:smooth val="0"/>
          <c:extLst>
            <c:ext xmlns:c16="http://schemas.microsoft.com/office/drawing/2014/chart" uri="{C3380CC4-5D6E-409C-BE32-E72D297353CC}">
              <c16:uniqueId val="{00000001-4AED-44ED-90D9-B5A865808AC8}"/>
            </c:ext>
          </c:extLst>
        </c:ser>
        <c:dLbls>
          <c:showLegendKey val="0"/>
          <c:showVal val="0"/>
          <c:showCatName val="0"/>
          <c:showSerName val="0"/>
          <c:showPercent val="0"/>
          <c:showBubbleSize val="0"/>
        </c:dLbls>
        <c:smooth val="0"/>
        <c:axId val="1188533601"/>
        <c:axId val="2146921537"/>
      </c:lineChart>
      <c:catAx>
        <c:axId val="1188533601"/>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2146921537"/>
        <c:crosses val="autoZero"/>
        <c:auto val="1"/>
        <c:lblAlgn val="ctr"/>
        <c:lblOffset val="100"/>
        <c:noMultiLvlLbl val="1"/>
      </c:catAx>
      <c:valAx>
        <c:axId val="2146921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$billion</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1188533601"/>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Total Oil &amp; Gas Midstream</a:t>
            </a:r>
          </a:p>
        </c:rich>
      </c:tx>
      <c:overlay val="0"/>
    </c:title>
    <c:autoTitleDeleted val="0"/>
    <c:plotArea>
      <c:layout/>
      <c:lineChart>
        <c:grouping val="standard"/>
        <c:varyColors val="1"/>
        <c:ser>
          <c:idx val="0"/>
          <c:order val="0"/>
          <c:tx>
            <c:strRef>
              <c:f>Aggregation!$A$28</c:f>
              <c:strCache>
                <c:ptCount val="1"/>
                <c:pt idx="0">
                  <c:v>OILandGAS_MIDSTREAM_OPEX_BillionUSD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Aggregation!$B$28:$BB$28</c:f>
              <c:numCache>
                <c:formatCode>#,##0.0</c:formatCode>
                <c:ptCount val="53"/>
                <c:pt idx="0">
                  <c:v>0</c:v>
                </c:pt>
                <c:pt idx="1">
                  <c:v>0</c:v>
                </c:pt>
                <c:pt idx="2" formatCode="#,##0">
                  <c:v>18.49558136412</c:v>
                </c:pt>
                <c:pt idx="3" formatCode="#,##0">
                  <c:v>18.465208454650003</c:v>
                </c:pt>
                <c:pt idx="4" formatCode="#,##0">
                  <c:v>17.563089095629998</c:v>
                </c:pt>
                <c:pt idx="5" formatCode="#,##0">
                  <c:v>18.454568815869997</c:v>
                </c:pt>
                <c:pt idx="6" formatCode="#,##0">
                  <c:v>16.528268987019999</c:v>
                </c:pt>
                <c:pt idx="7" formatCode="#,##0">
                  <c:v>18.231602432100001</c:v>
                </c:pt>
                <c:pt idx="8" formatCode="#,##0">
                  <c:v>19.179879801089999</c:v>
                </c:pt>
                <c:pt idx="9" formatCode="#,##0">
                  <c:v>24.696258267369998</c:v>
                </c:pt>
                <c:pt idx="10" formatCode="#,##0">
                  <c:v>21.519144204329997</c:v>
                </c:pt>
                <c:pt idx="11" formatCode="#,##0">
                  <c:v>20.153504200930001</c:v>
                </c:pt>
                <c:pt idx="12" formatCode="#,##0">
                  <c:v>22.468352787620002</c:v>
                </c:pt>
                <c:pt idx="13" formatCode="#,##0">
                  <c:v>23.10616220699</c:v>
                </c:pt>
                <c:pt idx="14" formatCode="#,##0">
                  <c:v>23.991747976899997</c:v>
                </c:pt>
                <c:pt idx="15" formatCode="#,##0">
                  <c:v>25.166582781599999</c:v>
                </c:pt>
                <c:pt idx="16" formatCode="#,##0">
                  <c:v>28.329621334939997</c:v>
                </c:pt>
                <c:pt idx="17" formatCode="#,##0">
                  <c:v>28.888237779450002</c:v>
                </c:pt>
                <c:pt idx="18" formatCode="#,##0">
                  <c:v>26.889659159529998</c:v>
                </c:pt>
                <c:pt idx="19" formatCode="#,##0">
                  <c:v>28.387686921928587</c:v>
                </c:pt>
                <c:pt idx="20" formatCode="#,##0">
                  <c:v>30.149312275831896</c:v>
                </c:pt>
                <c:pt idx="21" formatCode="#,##0">
                  <c:v>31.143148052770442</c:v>
                </c:pt>
                <c:pt idx="22" formatCode="#,##0">
                  <c:v>32.090612132823168</c:v>
                </c:pt>
                <c:pt idx="23" formatCode="#,##0">
                  <c:v>32.576308326582904</c:v>
                </c:pt>
                <c:pt idx="24" formatCode="#,##0">
                  <c:v>32.734132032755504</c:v>
                </c:pt>
                <c:pt idx="25" formatCode="#,##0">
                  <c:v>32.778753719373896</c:v>
                </c:pt>
                <c:pt idx="26" formatCode="#,##0">
                  <c:v>33.073790307809212</c:v>
                </c:pt>
                <c:pt idx="27" formatCode="#,##0">
                  <c:v>33.232313449870411</c:v>
                </c:pt>
                <c:pt idx="28" formatCode="#,##0">
                  <c:v>33.536097232195665</c:v>
                </c:pt>
                <c:pt idx="29" formatCode="#,##0">
                  <c:v>33.855293670588146</c:v>
                </c:pt>
                <c:pt idx="30" formatCode="#,##0">
                  <c:v>33.948698939762309</c:v>
                </c:pt>
                <c:pt idx="31" formatCode="#,##0">
                  <c:v>34.066865757939915</c:v>
                </c:pt>
                <c:pt idx="32" formatCode="#,##0">
                  <c:v>34.094401425223893</c:v>
                </c:pt>
                <c:pt idx="33" formatCode="#,##0">
                  <c:v>34.149820214623553</c:v>
                </c:pt>
                <c:pt idx="34" formatCode="#,##0">
                  <c:v>34.147130256819231</c:v>
                </c:pt>
                <c:pt idx="35" formatCode="#,##0">
                  <c:v>34.106265717381575</c:v>
                </c:pt>
                <c:pt idx="36" formatCode="#,##0">
                  <c:v>34.116403744788606</c:v>
                </c:pt>
                <c:pt idx="37" formatCode="#,##0">
                  <c:v>34.047518272826146</c:v>
                </c:pt>
                <c:pt idx="38" formatCode="#,##0">
                  <c:v>33.950603223670598</c:v>
                </c:pt>
                <c:pt idx="39" formatCode="#,##0">
                  <c:v>33.828589422229086</c:v>
                </c:pt>
                <c:pt idx="40" formatCode="#,##0">
                  <c:v>33.759295245454808</c:v>
                </c:pt>
                <c:pt idx="41" formatCode="#,##0">
                  <c:v>33.694388855700957</c:v>
                </c:pt>
                <c:pt idx="42" formatCode="#,##0">
                  <c:v>33.628214908598487</c:v>
                </c:pt>
                <c:pt idx="43" formatCode="#,##0">
                  <c:v>33.614140792813174</c:v>
                </c:pt>
                <c:pt idx="44" formatCode="#,##0">
                  <c:v>33.572506151799487</c:v>
                </c:pt>
                <c:pt idx="45" formatCode="#,##0">
                  <c:v>33.499223764888143</c:v>
                </c:pt>
                <c:pt idx="46" formatCode="#,##0">
                  <c:v>33.443461177637644</c:v>
                </c:pt>
                <c:pt idx="47" formatCode="#,##0">
                  <c:v>33.312068480327341</c:v>
                </c:pt>
                <c:pt idx="48" formatCode="#,##0">
                  <c:v>33.206156129177927</c:v>
                </c:pt>
                <c:pt idx="49" formatCode="#,##0">
                  <c:v>33.133753952256043</c:v>
                </c:pt>
                <c:pt idx="50" formatCode="#,##0">
                  <c:v>33.072910739818823</c:v>
                </c:pt>
                <c:pt idx="51" formatCode="#,##0">
                  <c:v>32.926867181124727</c:v>
                </c:pt>
                <c:pt idx="52" formatCode="#,##0">
                  <c:v>32.855769263560809</c:v>
                </c:pt>
              </c:numCache>
            </c:numRef>
          </c:val>
          <c:smooth val="0"/>
          <c:extLst>
            <c:ext xmlns:c16="http://schemas.microsoft.com/office/drawing/2014/chart" uri="{C3380CC4-5D6E-409C-BE32-E72D297353CC}">
              <c16:uniqueId val="{00000000-9922-4D40-8769-14D4017DBAB6}"/>
            </c:ext>
          </c:extLst>
        </c:ser>
        <c:ser>
          <c:idx val="1"/>
          <c:order val="1"/>
          <c:tx>
            <c:strRef>
              <c:f>Aggregation!$A$29</c:f>
              <c:strCache>
                <c:ptCount val="1"/>
                <c:pt idx="0">
                  <c:v>OILandGAS_MIDSTREAM_CAPEX_BillionUSD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Aggregation!$B$29:$BB$29</c:f>
              <c:numCache>
                <c:formatCode>#,##0.0</c:formatCode>
                <c:ptCount val="53"/>
                <c:pt idx="0">
                  <c:v>0</c:v>
                </c:pt>
                <c:pt idx="1">
                  <c:v>0</c:v>
                </c:pt>
                <c:pt idx="2" formatCode="#,##0">
                  <c:v>4.9911713016599997</c:v>
                </c:pt>
                <c:pt idx="3" formatCode="#,##0">
                  <c:v>6.01766818795</c:v>
                </c:pt>
                <c:pt idx="4" formatCode="#,##0">
                  <c:v>6.9283307978499984</c:v>
                </c:pt>
                <c:pt idx="5" formatCode="#,##0">
                  <c:v>8.2025872640999999</c:v>
                </c:pt>
                <c:pt idx="6" formatCode="#,##0">
                  <c:v>7.1189177287599987</c:v>
                </c:pt>
                <c:pt idx="7" formatCode="#,##0">
                  <c:v>6.7995025875500001</c:v>
                </c:pt>
                <c:pt idx="8" formatCode="#,##0">
                  <c:v>7.4033936571999996</c:v>
                </c:pt>
                <c:pt idx="9" formatCode="#,##0">
                  <c:v>13.069689508329999</c:v>
                </c:pt>
                <c:pt idx="10" formatCode="#,##0">
                  <c:v>19.839185726259998</c:v>
                </c:pt>
                <c:pt idx="11" formatCode="#,##0">
                  <c:v>22.747268726969999</c:v>
                </c:pt>
                <c:pt idx="12" formatCode="#,##0">
                  <c:v>14.463578666039997</c:v>
                </c:pt>
                <c:pt idx="13" formatCode="#,##0">
                  <c:v>21.639890542829995</c:v>
                </c:pt>
                <c:pt idx="14" formatCode="#,##0">
                  <c:v>14.30320641989</c:v>
                </c:pt>
                <c:pt idx="15" formatCode="#,##0">
                  <c:v>25.472715954719995</c:v>
                </c:pt>
                <c:pt idx="16" formatCode="#,##0">
                  <c:v>29.542981551640001</c:v>
                </c:pt>
                <c:pt idx="17" formatCode="#,##0">
                  <c:v>25.998328729499999</c:v>
                </c:pt>
                <c:pt idx="18" formatCode="#,##0">
                  <c:v>18.46714457118</c:v>
                </c:pt>
                <c:pt idx="19" formatCode="#,##0">
                  <c:v>25.637078870925517</c:v>
                </c:pt>
                <c:pt idx="20" formatCode="#,##0">
                  <c:v>20.382692550601217</c:v>
                </c:pt>
                <c:pt idx="21" formatCode="#,##0">
                  <c:v>23.695528854976704</c:v>
                </c:pt>
                <c:pt idx="22" formatCode="#,##0">
                  <c:v>23.166702009753646</c:v>
                </c:pt>
                <c:pt idx="23" formatCode="#,##0">
                  <c:v>23.273472049080315</c:v>
                </c:pt>
                <c:pt idx="24" formatCode="#,##0">
                  <c:v>23.896545870858912</c:v>
                </c:pt>
                <c:pt idx="25" formatCode="#,##0">
                  <c:v>24.085193526890464</c:v>
                </c:pt>
                <c:pt idx="26" formatCode="#,##0">
                  <c:v>24.252576721035094</c:v>
                </c:pt>
                <c:pt idx="27" formatCode="#,##0">
                  <c:v>24.168054647752911</c:v>
                </c:pt>
                <c:pt idx="28" formatCode="#,##0">
                  <c:v>23.904956860762098</c:v>
                </c:pt>
                <c:pt idx="29" formatCode="#,##0">
                  <c:v>23.977964709476243</c:v>
                </c:pt>
                <c:pt idx="30" formatCode="#,##0">
                  <c:v>23.693121217116538</c:v>
                </c:pt>
                <c:pt idx="31" formatCode="#,##0">
                  <c:v>23.571347270201684</c:v>
                </c:pt>
                <c:pt idx="32" formatCode="#,##0">
                  <c:v>23.888613427700623</c:v>
                </c:pt>
                <c:pt idx="33" formatCode="#,##0">
                  <c:v>24.022862024501762</c:v>
                </c:pt>
                <c:pt idx="34" formatCode="#,##0">
                  <c:v>23.668160437775377</c:v>
                </c:pt>
                <c:pt idx="35" formatCode="#,##0">
                  <c:v>23.863432047069345</c:v>
                </c:pt>
                <c:pt idx="36" formatCode="#,##0">
                  <c:v>23.708127980752927</c:v>
                </c:pt>
                <c:pt idx="37" formatCode="#,##0">
                  <c:v>23.670166416880132</c:v>
                </c:pt>
                <c:pt idx="38" formatCode="#,##0">
                  <c:v>23.458092019004692</c:v>
                </c:pt>
                <c:pt idx="39" formatCode="#,##0">
                  <c:v>23.440932079128093</c:v>
                </c:pt>
                <c:pt idx="40" formatCode="#,##0">
                  <c:v>23.296622373404748</c:v>
                </c:pt>
                <c:pt idx="41" formatCode="#,##0">
                  <c:v>23.305273713177836</c:v>
                </c:pt>
                <c:pt idx="42" formatCode="#,##0">
                  <c:v>23.156951795980024</c:v>
                </c:pt>
                <c:pt idx="43" formatCode="#,##0">
                  <c:v>23.24826952754939</c:v>
                </c:pt>
                <c:pt idx="44" formatCode="#,##0">
                  <c:v>23.157888476730232</c:v>
                </c:pt>
                <c:pt idx="45" formatCode="#,##0">
                  <c:v>23.316194172568871</c:v>
                </c:pt>
                <c:pt idx="46" formatCode="#,##0">
                  <c:v>23.110837286944431</c:v>
                </c:pt>
                <c:pt idx="47" formatCode="#,##0">
                  <c:v>22.908054150488248</c:v>
                </c:pt>
                <c:pt idx="48" formatCode="#,##0">
                  <c:v>22.966810754131135</c:v>
                </c:pt>
                <c:pt idx="49" formatCode="#,##0">
                  <c:v>23.009317108508196</c:v>
                </c:pt>
                <c:pt idx="50" formatCode="#,##0">
                  <c:v>22.728065506832671</c:v>
                </c:pt>
                <c:pt idx="51" formatCode="#,##0">
                  <c:v>22.692823434462554</c:v>
                </c:pt>
                <c:pt idx="52" formatCode="#,##0">
                  <c:v>22.616845752579991</c:v>
                </c:pt>
              </c:numCache>
            </c:numRef>
          </c:val>
          <c:smooth val="0"/>
          <c:extLst>
            <c:ext xmlns:c16="http://schemas.microsoft.com/office/drawing/2014/chart" uri="{C3380CC4-5D6E-409C-BE32-E72D297353CC}">
              <c16:uniqueId val="{00000001-9922-4D40-8769-14D4017DBAB6}"/>
            </c:ext>
          </c:extLst>
        </c:ser>
        <c:dLbls>
          <c:showLegendKey val="0"/>
          <c:showVal val="0"/>
          <c:showCatName val="0"/>
          <c:showSerName val="0"/>
          <c:showPercent val="0"/>
          <c:showBubbleSize val="0"/>
        </c:dLbls>
        <c:smooth val="0"/>
        <c:axId val="979972128"/>
        <c:axId val="1006592801"/>
      </c:lineChart>
      <c:catAx>
        <c:axId val="97997212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006592801"/>
        <c:crosses val="autoZero"/>
        <c:auto val="1"/>
        <c:lblAlgn val="ctr"/>
        <c:lblOffset val="100"/>
        <c:noMultiLvlLbl val="1"/>
      </c:catAx>
      <c:valAx>
        <c:axId val="10065928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$billion</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979972128"/>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Total Oil &amp; Gas Upstream</a:t>
            </a:r>
          </a:p>
        </c:rich>
      </c:tx>
      <c:overlay val="0"/>
    </c:title>
    <c:autoTitleDeleted val="0"/>
    <c:plotArea>
      <c:layout/>
      <c:lineChart>
        <c:grouping val="standard"/>
        <c:varyColors val="1"/>
        <c:ser>
          <c:idx val="0"/>
          <c:order val="0"/>
          <c:tx>
            <c:strRef>
              <c:f>Aggregation!$A$30</c:f>
              <c:strCache>
                <c:ptCount val="1"/>
                <c:pt idx="0">
                  <c:v>OILandGAS_UPSTREAM_OPEX_BillionUSD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Aggregation!$B$30:$BB$30</c:f>
              <c:numCache>
                <c:formatCode>#,##0.0</c:formatCode>
                <c:ptCount val="53"/>
                <c:pt idx="0">
                  <c:v>0</c:v>
                </c:pt>
                <c:pt idx="1">
                  <c:v>0</c:v>
                </c:pt>
                <c:pt idx="2" formatCode="#,##0">
                  <c:v>45.605050486855163</c:v>
                </c:pt>
                <c:pt idx="3" formatCode="#,##0">
                  <c:v>45.910998798775481</c:v>
                </c:pt>
                <c:pt idx="4" formatCode="#,##0">
                  <c:v>45.051820344287187</c:v>
                </c:pt>
                <c:pt idx="5" formatCode="#,##0">
                  <c:v>47.199276245962736</c:v>
                </c:pt>
                <c:pt idx="6" formatCode="#,##0">
                  <c:v>49.520839734306762</c:v>
                </c:pt>
                <c:pt idx="7" formatCode="#,##0">
                  <c:v>55.639546657260148</c:v>
                </c:pt>
                <c:pt idx="8" formatCode="#,##0">
                  <c:v>56.929564935454096</c:v>
                </c:pt>
                <c:pt idx="9" formatCode="#,##0">
                  <c:v>66.313007751682989</c:v>
                </c:pt>
                <c:pt idx="10" formatCode="#,##0">
                  <c:v>81.863606098110012</c:v>
                </c:pt>
                <c:pt idx="11" formatCode="#,##0">
                  <c:v>78.028653026315794</c:v>
                </c:pt>
                <c:pt idx="12" formatCode="#,##0">
                  <c:v>74.959402054561394</c:v>
                </c:pt>
                <c:pt idx="13" formatCode="#,##0">
                  <c:v>87.667444738421054</c:v>
                </c:pt>
                <c:pt idx="14" formatCode="#,##0">
                  <c:v>89.012528023157884</c:v>
                </c:pt>
                <c:pt idx="15" formatCode="#,##0">
                  <c:v>99.298666996491221</c:v>
                </c:pt>
                <c:pt idx="16" formatCode="#,##0">
                  <c:v>113.45372125140349</c:v>
                </c:pt>
                <c:pt idx="17" formatCode="#,##0">
                  <c:v>110.22873948210527</c:v>
                </c:pt>
                <c:pt idx="18" formatCode="#,##0">
                  <c:v>98.339293830964905</c:v>
                </c:pt>
                <c:pt idx="19" formatCode="#,##0">
                  <c:v>104.23036292763156</c:v>
                </c:pt>
                <c:pt idx="20" formatCode="#,##0">
                  <c:v>107.11961215789475</c:v>
                </c:pt>
                <c:pt idx="21" formatCode="#,##0">
                  <c:v>120.17735024610708</c:v>
                </c:pt>
                <c:pt idx="22" formatCode="#,##0">
                  <c:v>122.57725781979678</c:v>
                </c:pt>
                <c:pt idx="23" formatCode="#,##0">
                  <c:v>123.71029336957548</c:v>
                </c:pt>
                <c:pt idx="24" formatCode="#,##0">
                  <c:v>123.93621597651745</c:v>
                </c:pt>
                <c:pt idx="25" formatCode="#,##0">
                  <c:v>123.92647828521174</c:v>
                </c:pt>
                <c:pt idx="26" formatCode="#,##0">
                  <c:v>124.46262076940582</c:v>
                </c:pt>
                <c:pt idx="27" formatCode="#,##0">
                  <c:v>124.71444239767362</c:v>
                </c:pt>
                <c:pt idx="28" formatCode="#,##0">
                  <c:v>125.23306816116096</c:v>
                </c:pt>
                <c:pt idx="29" formatCode="#,##0">
                  <c:v>125.84260753871212</c:v>
                </c:pt>
                <c:pt idx="30" formatCode="#,##0">
                  <c:v>125.92966420208558</c:v>
                </c:pt>
                <c:pt idx="31" formatCode="#,##0">
                  <c:v>126.18487314276533</c:v>
                </c:pt>
                <c:pt idx="32" formatCode="#,##0">
                  <c:v>126.37150881188458</c:v>
                </c:pt>
                <c:pt idx="33" formatCode="#,##0">
                  <c:v>126.50696946560529</c:v>
                </c:pt>
                <c:pt idx="34" formatCode="#,##0">
                  <c:v>126.42002060316656</c:v>
                </c:pt>
                <c:pt idx="35" formatCode="#,##0">
                  <c:v>126.2653176185395</c:v>
                </c:pt>
                <c:pt idx="36" formatCode="#,##0">
                  <c:v>126.19794720157083</c:v>
                </c:pt>
                <c:pt idx="37" formatCode="#,##0">
                  <c:v>125.97829185256657</c:v>
                </c:pt>
                <c:pt idx="38" formatCode="#,##0">
                  <c:v>125.68817522169107</c:v>
                </c:pt>
                <c:pt idx="39" formatCode="#,##0">
                  <c:v>125.35111335679282</c:v>
                </c:pt>
                <c:pt idx="40" formatCode="#,##0">
                  <c:v>125.13231262909414</c:v>
                </c:pt>
                <c:pt idx="41" formatCode="#,##0">
                  <c:v>124.93919414421819</c:v>
                </c:pt>
                <c:pt idx="42" formatCode="#,##0">
                  <c:v>124.73642402316753</c:v>
                </c:pt>
                <c:pt idx="43" formatCode="#,##0">
                  <c:v>124.67778784265644</c:v>
                </c:pt>
                <c:pt idx="44" formatCode="#,##0">
                  <c:v>124.53084712421816</c:v>
                </c:pt>
                <c:pt idx="45" formatCode="#,##0">
                  <c:v>124.30424885861117</c:v>
                </c:pt>
                <c:pt idx="46" formatCode="#,##0">
                  <c:v>124.08827602821361</c:v>
                </c:pt>
                <c:pt idx="47" formatCode="#,##0">
                  <c:v>123.69608294236087</c:v>
                </c:pt>
                <c:pt idx="48" formatCode="#,##0">
                  <c:v>123.38642746354371</c:v>
                </c:pt>
                <c:pt idx="49" formatCode="#,##0">
                  <c:v>123.13886608674906</c:v>
                </c:pt>
                <c:pt idx="50" formatCode="#,##0">
                  <c:v>122.89070255736658</c:v>
                </c:pt>
                <c:pt idx="51" formatCode="#,##0">
                  <c:v>122.43035873467826</c:v>
                </c:pt>
                <c:pt idx="52" formatCode="#,##0">
                  <c:v>122.16100242094498</c:v>
                </c:pt>
              </c:numCache>
            </c:numRef>
          </c:val>
          <c:smooth val="0"/>
          <c:extLst>
            <c:ext xmlns:c16="http://schemas.microsoft.com/office/drawing/2014/chart" uri="{C3380CC4-5D6E-409C-BE32-E72D297353CC}">
              <c16:uniqueId val="{00000000-4D9A-47FB-9D5B-E8C0CF41347E}"/>
            </c:ext>
          </c:extLst>
        </c:ser>
        <c:ser>
          <c:idx val="1"/>
          <c:order val="1"/>
          <c:tx>
            <c:strRef>
              <c:f>Aggregation!$A$31</c:f>
              <c:strCache>
                <c:ptCount val="1"/>
                <c:pt idx="0">
                  <c:v>OILandGAS_UPSTREAM_CAPEX_BillionUSD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Aggregation!$B$31:$BB$31</c:f>
              <c:numCache>
                <c:formatCode>#,##0.0</c:formatCode>
                <c:ptCount val="53"/>
                <c:pt idx="0">
                  <c:v>0</c:v>
                </c:pt>
                <c:pt idx="1">
                  <c:v>0</c:v>
                </c:pt>
                <c:pt idx="2" formatCode="#,##0">
                  <c:v>31.1</c:v>
                </c:pt>
                <c:pt idx="3" formatCode="#,##0">
                  <c:v>41.7</c:v>
                </c:pt>
                <c:pt idx="4" formatCode="#,##0">
                  <c:v>33.799999999999997</c:v>
                </c:pt>
                <c:pt idx="5" formatCode="#,##0">
                  <c:v>44.7</c:v>
                </c:pt>
                <c:pt idx="6" formatCode="#,##0">
                  <c:v>51.7</c:v>
                </c:pt>
                <c:pt idx="7" formatCode="#,##0">
                  <c:v>71.7</c:v>
                </c:pt>
                <c:pt idx="8" formatCode="#,##0">
                  <c:v>98.8</c:v>
                </c:pt>
                <c:pt idx="9" formatCode="#,##0">
                  <c:v>108.1</c:v>
                </c:pt>
                <c:pt idx="10" formatCode="#,##0">
                  <c:v>125.3</c:v>
                </c:pt>
                <c:pt idx="11" formatCode="#,##0">
                  <c:v>87.2</c:v>
                </c:pt>
                <c:pt idx="12" formatCode="#,##0">
                  <c:v>103.1</c:v>
                </c:pt>
                <c:pt idx="13" formatCode="#,##0">
                  <c:v>130.19999999999999</c:v>
                </c:pt>
                <c:pt idx="14" formatCode="#,##0">
                  <c:v>162.69999999999999</c:v>
                </c:pt>
                <c:pt idx="15" formatCode="#,##0">
                  <c:v>170.6</c:v>
                </c:pt>
                <c:pt idx="16" formatCode="#,##0">
                  <c:v>203.9</c:v>
                </c:pt>
                <c:pt idx="17" formatCode="#,##0">
                  <c:v>149.6</c:v>
                </c:pt>
                <c:pt idx="18" formatCode="#,##0">
                  <c:v>79.900000000000006</c:v>
                </c:pt>
                <c:pt idx="19" formatCode="#,##0">
                  <c:v>112.3</c:v>
                </c:pt>
                <c:pt idx="20" formatCode="#,##0">
                  <c:v>168.51053225525459</c:v>
                </c:pt>
                <c:pt idx="21" formatCode="#,##0">
                  <c:v>189.6636614658</c:v>
                </c:pt>
                <c:pt idx="22" formatCode="#,##0">
                  <c:v>206.58208897460003</c:v>
                </c:pt>
                <c:pt idx="23" formatCode="#,##0">
                  <c:v>217.35143697939998</c:v>
                </c:pt>
                <c:pt idx="24" formatCode="#,##0">
                  <c:v>220.1246443718</c:v>
                </c:pt>
                <c:pt idx="25" formatCode="#,##0">
                  <c:v>224.9103731056</c:v>
                </c:pt>
                <c:pt idx="26" formatCode="#,##0">
                  <c:v>235.1595854338</c:v>
                </c:pt>
                <c:pt idx="27" formatCode="#,##0">
                  <c:v>243.40610194919998</c:v>
                </c:pt>
                <c:pt idx="28" formatCode="#,##0">
                  <c:v>252.54794460580001</c:v>
                </c:pt>
                <c:pt idx="29" formatCode="#,##0">
                  <c:v>262.81876997820001</c:v>
                </c:pt>
                <c:pt idx="30" formatCode="#,##0">
                  <c:v>269.17502899580001</c:v>
                </c:pt>
                <c:pt idx="31" formatCode="#,##0">
                  <c:v>277.06953699439998</c:v>
                </c:pt>
                <c:pt idx="32" formatCode="#,##0">
                  <c:v>283.76404788460002</c:v>
                </c:pt>
                <c:pt idx="33" formatCode="#,##0">
                  <c:v>291.14727620539998</c:v>
                </c:pt>
                <c:pt idx="34" formatCode="#,##0">
                  <c:v>296.05841487179998</c:v>
                </c:pt>
                <c:pt idx="35" formatCode="#,##0">
                  <c:v>303.59918571139997</c:v>
                </c:pt>
                <c:pt idx="36" formatCode="#,##0">
                  <c:v>308.1018894046</c:v>
                </c:pt>
                <c:pt idx="37" formatCode="#,##0">
                  <c:v>313.61077377679999</c:v>
                </c:pt>
                <c:pt idx="38" formatCode="#,##0">
                  <c:v>319.71105381559994</c:v>
                </c:pt>
                <c:pt idx="39" formatCode="#,##0">
                  <c:v>321.29826848779999</c:v>
                </c:pt>
                <c:pt idx="40" formatCode="#,##0">
                  <c:v>326.7825854916</c:v>
                </c:pt>
                <c:pt idx="41" formatCode="#,##0">
                  <c:v>331.75652220199999</c:v>
                </c:pt>
                <c:pt idx="42" formatCode="#,##0">
                  <c:v>338.38938304940001</c:v>
                </c:pt>
                <c:pt idx="43" formatCode="#,##0">
                  <c:v>344.28561146660002</c:v>
                </c:pt>
                <c:pt idx="44" formatCode="#,##0">
                  <c:v>351.57226056080003</c:v>
                </c:pt>
                <c:pt idx="45" formatCode="#,##0">
                  <c:v>356.2649177596</c:v>
                </c:pt>
                <c:pt idx="46" formatCode="#,##0">
                  <c:v>361.84472090679998</c:v>
                </c:pt>
                <c:pt idx="47" formatCode="#,##0">
                  <c:v>366.70617757780002</c:v>
                </c:pt>
                <c:pt idx="48" formatCode="#,##0">
                  <c:v>371.80518041819994</c:v>
                </c:pt>
                <c:pt idx="49" formatCode="#,##0">
                  <c:v>377.372298871</c:v>
                </c:pt>
                <c:pt idx="50" formatCode="#,##0">
                  <c:v>383.21368043979999</c:v>
                </c:pt>
                <c:pt idx="51" formatCode="#,##0">
                  <c:v>387.59423119499996</c:v>
                </c:pt>
                <c:pt idx="52" formatCode="#,##0">
                  <c:v>392.99659759159999</c:v>
                </c:pt>
              </c:numCache>
            </c:numRef>
          </c:val>
          <c:smooth val="0"/>
          <c:extLst>
            <c:ext xmlns:c16="http://schemas.microsoft.com/office/drawing/2014/chart" uri="{C3380CC4-5D6E-409C-BE32-E72D297353CC}">
              <c16:uniqueId val="{00000001-4D9A-47FB-9D5B-E8C0CF41347E}"/>
            </c:ext>
          </c:extLst>
        </c:ser>
        <c:dLbls>
          <c:showLegendKey val="0"/>
          <c:showVal val="0"/>
          <c:showCatName val="0"/>
          <c:showSerName val="0"/>
          <c:showPercent val="0"/>
          <c:showBubbleSize val="0"/>
        </c:dLbls>
        <c:smooth val="0"/>
        <c:axId val="1927111659"/>
        <c:axId val="439184840"/>
      </c:lineChart>
      <c:catAx>
        <c:axId val="192711165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439184840"/>
        <c:crosses val="autoZero"/>
        <c:auto val="1"/>
        <c:lblAlgn val="ctr"/>
        <c:lblOffset val="100"/>
        <c:noMultiLvlLbl val="1"/>
      </c:catAx>
      <c:valAx>
        <c:axId val="439184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$billion</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1927111659"/>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Total Gas Heating (R&amp;C)</a:t>
            </a:r>
          </a:p>
        </c:rich>
      </c:tx>
      <c:overlay val="0"/>
    </c:title>
    <c:autoTitleDeleted val="0"/>
    <c:plotArea>
      <c:layout/>
      <c:lineChart>
        <c:grouping val="standard"/>
        <c:varyColors val="1"/>
        <c:ser>
          <c:idx val="0"/>
          <c:order val="0"/>
          <c:tx>
            <c:strRef>
              <c:f>Aggregation!$A$32</c:f>
              <c:strCache>
                <c:ptCount val="1"/>
                <c:pt idx="0">
                  <c:v>NATURALGAS_ResidAndComm_OPEX_BillionUSD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Aggregation!$B$32:$BB$32</c:f>
              <c:numCache>
                <c:formatCode>#,##0.0</c:formatCode>
                <c:ptCount val="53"/>
                <c:pt idx="0">
                  <c:v>0</c:v>
                </c:pt>
                <c:pt idx="1">
                  <c:v>0</c:v>
                </c:pt>
                <c:pt idx="2" formatCode="#,##0">
                  <c:v>27.09</c:v>
                </c:pt>
                <c:pt idx="3" formatCode="#,##0">
                  <c:v>28.376148429528616</c:v>
                </c:pt>
                <c:pt idx="4" formatCode="#,##0">
                  <c:v>25.683887061413763</c:v>
                </c:pt>
                <c:pt idx="5" formatCode="#,##0">
                  <c:v>33.867736479376127</c:v>
                </c:pt>
                <c:pt idx="6" formatCode="#,##0">
                  <c:v>35.125351960279417</c:v>
                </c:pt>
                <c:pt idx="7" formatCode="#,##0">
                  <c:v>42</c:v>
                </c:pt>
                <c:pt idx="8" formatCode="#,##0">
                  <c:v>37.39177744216282</c:v>
                </c:pt>
                <c:pt idx="9" formatCode="#,##0">
                  <c:v>37.987458821131355</c:v>
                </c:pt>
                <c:pt idx="10" formatCode="#,##0">
                  <c:v>42.066294998488829</c:v>
                </c:pt>
                <c:pt idx="11" formatCode="#,##0">
                  <c:v>28.290072296267322</c:v>
                </c:pt>
                <c:pt idx="12" formatCode="#,##0">
                  <c:v>32.22</c:v>
                </c:pt>
                <c:pt idx="13" formatCode="#,##0">
                  <c:v>28.54700413903814</c:v>
                </c:pt>
                <c:pt idx="14" formatCode="#,##0">
                  <c:v>22.177215498534157</c:v>
                </c:pt>
                <c:pt idx="15" formatCode="#,##0">
                  <c:v>27.358939972147311</c:v>
                </c:pt>
                <c:pt idx="16" formatCode="#,##0">
                  <c:v>30.050971154827479</c:v>
                </c:pt>
                <c:pt idx="17" formatCode="#,##0">
                  <c:v>21.83</c:v>
                </c:pt>
                <c:pt idx="18" formatCode="#,##0">
                  <c:v>20.84</c:v>
                </c:pt>
                <c:pt idx="19" formatCode="#,##0">
                  <c:v>23.32</c:v>
                </c:pt>
                <c:pt idx="20" formatCode="#,##0">
                  <c:v>24.593436994116217</c:v>
                </c:pt>
                <c:pt idx="21" formatCode="#,##0">
                  <c:v>24.218847414654583</c:v>
                </c:pt>
                <c:pt idx="22" formatCode="#,##0">
                  <c:v>25.003388150473008</c:v>
                </c:pt>
                <c:pt idx="23" formatCode="#,##0">
                  <c:v>24.981035713788252</c:v>
                </c:pt>
                <c:pt idx="24" formatCode="#,##0">
                  <c:v>25.423886128356887</c:v>
                </c:pt>
                <c:pt idx="25" formatCode="#,##0">
                  <c:v>26.54607160194189</c:v>
                </c:pt>
                <c:pt idx="26" formatCode="#,##0">
                  <c:v>27.867956229847074</c:v>
                </c:pt>
                <c:pt idx="27" formatCode="#,##0">
                  <c:v>29.388947563473916</c:v>
                </c:pt>
                <c:pt idx="28" formatCode="#,##0">
                  <c:v>30.113177569129945</c:v>
                </c:pt>
                <c:pt idx="29" formatCode="#,##0">
                  <c:v>30.606870872621393</c:v>
                </c:pt>
                <c:pt idx="30" formatCode="#,##0">
                  <c:v>31.350784384845543</c:v>
                </c:pt>
                <c:pt idx="31" formatCode="#,##0">
                  <c:v>31.802653871584717</c:v>
                </c:pt>
                <c:pt idx="32" formatCode="#,##0">
                  <c:v>32.33471794697212</c:v>
                </c:pt>
                <c:pt idx="33" formatCode="#,##0">
                  <c:v>32.630007371946903</c:v>
                </c:pt>
                <c:pt idx="34" formatCode="#,##0">
                  <c:v>33.58913993158933</c:v>
                </c:pt>
                <c:pt idx="35" formatCode="#,##0">
                  <c:v>34.211737869473836</c:v>
                </c:pt>
                <c:pt idx="36" formatCode="#,##0">
                  <c:v>34.762447973108493</c:v>
                </c:pt>
                <c:pt idx="37" formatCode="#,##0">
                  <c:v>35.309440928755087</c:v>
                </c:pt>
                <c:pt idx="38" formatCode="#,##0">
                  <c:v>36.005523413272016</c:v>
                </c:pt>
                <c:pt idx="39" formatCode="#,##0">
                  <c:v>36.463920263139187</c:v>
                </c:pt>
                <c:pt idx="40" formatCode="#,##0">
                  <c:v>36.880766327458957</c:v>
                </c:pt>
                <c:pt idx="41" formatCode="#,##0">
                  <c:v>37.346471358728479</c:v>
                </c:pt>
                <c:pt idx="42" formatCode="#,##0">
                  <c:v>37.966633875970871</c:v>
                </c:pt>
                <c:pt idx="43" formatCode="#,##0">
                  <c:v>38.298948585067791</c:v>
                </c:pt>
                <c:pt idx="44" formatCode="#,##0">
                  <c:v>38.851328254271934</c:v>
                </c:pt>
                <c:pt idx="45" formatCode="#,##0">
                  <c:v>39.481575352846647</c:v>
                </c:pt>
                <c:pt idx="46" formatCode="#,##0">
                  <c:v>40.184289075123587</c:v>
                </c:pt>
                <c:pt idx="47" formatCode="#,##0">
                  <c:v>40.858600041311817</c:v>
                </c:pt>
                <c:pt idx="48" formatCode="#,##0">
                  <c:v>41.44782133571988</c:v>
                </c:pt>
                <c:pt idx="49" formatCode="#,##0">
                  <c:v>42.10329972810969</c:v>
                </c:pt>
                <c:pt idx="50" formatCode="#,##0">
                  <c:v>42.972746544255259</c:v>
                </c:pt>
                <c:pt idx="51" formatCode="#,##0">
                  <c:v>43.724194658550331</c:v>
                </c:pt>
                <c:pt idx="52" formatCode="#,##0">
                  <c:v>44.421130481766269</c:v>
                </c:pt>
              </c:numCache>
            </c:numRef>
          </c:val>
          <c:smooth val="0"/>
          <c:extLst>
            <c:ext xmlns:c16="http://schemas.microsoft.com/office/drawing/2014/chart" uri="{C3380CC4-5D6E-409C-BE32-E72D297353CC}">
              <c16:uniqueId val="{00000000-EC5B-44C2-B8A6-DB6D058C1D20}"/>
            </c:ext>
          </c:extLst>
        </c:ser>
        <c:ser>
          <c:idx val="1"/>
          <c:order val="1"/>
          <c:tx>
            <c:strRef>
              <c:f>Aggregation!$A$33</c:f>
              <c:strCache>
                <c:ptCount val="1"/>
                <c:pt idx="0">
                  <c:v>NATURALGAS_ResidAndComm_CAPEX_BillionUSD</c:v>
                </c:pt>
              </c:strCache>
            </c:strRef>
          </c:tx>
          <c:marker>
            <c:symbol val="none"/>
          </c:marke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Aggregation!$B$33:$BB$33</c:f>
              <c:numCache>
                <c:formatCode>#,##0.0</c:formatCode>
                <c:ptCount val="53"/>
                <c:pt idx="0">
                  <c:v>0</c:v>
                </c:pt>
                <c:pt idx="1">
                  <c:v>0</c:v>
                </c:pt>
                <c:pt idx="2" formatCode="#,##0">
                  <c:v>5.44</c:v>
                </c:pt>
                <c:pt idx="3" formatCode="#,##0">
                  <c:v>4.55</c:v>
                </c:pt>
                <c:pt idx="4" formatCode="#,##0">
                  <c:v>4.8899999999999997</c:v>
                </c:pt>
                <c:pt idx="5" formatCode="#,##0">
                  <c:v>3.93</c:v>
                </c:pt>
                <c:pt idx="6" formatCode="#,##0">
                  <c:v>5.55</c:v>
                </c:pt>
                <c:pt idx="7" formatCode="#,##0">
                  <c:v>5.0199999999999996</c:v>
                </c:pt>
                <c:pt idx="8" formatCode="#,##0">
                  <c:v>5.16</c:v>
                </c:pt>
                <c:pt idx="9" formatCode="#,##0">
                  <c:v>4.8499999999999996</c:v>
                </c:pt>
                <c:pt idx="10" formatCode="#,##0">
                  <c:v>5.43</c:v>
                </c:pt>
                <c:pt idx="11" formatCode="#,##0">
                  <c:v>4.95</c:v>
                </c:pt>
                <c:pt idx="12" formatCode="#,##0">
                  <c:v>5.67</c:v>
                </c:pt>
                <c:pt idx="13" formatCode="#,##0">
                  <c:v>6.99</c:v>
                </c:pt>
                <c:pt idx="14" formatCode="#,##0">
                  <c:v>7.36</c:v>
                </c:pt>
                <c:pt idx="15" formatCode="#,##0">
                  <c:v>8</c:v>
                </c:pt>
                <c:pt idx="16" formatCode="#,##0">
                  <c:v>9.67</c:v>
                </c:pt>
                <c:pt idx="17" formatCode="#,##0">
                  <c:v>11.61</c:v>
                </c:pt>
                <c:pt idx="18" formatCode="#,##0">
                  <c:v>13.43</c:v>
                </c:pt>
                <c:pt idx="19" formatCode="#,##0">
                  <c:v>14.88</c:v>
                </c:pt>
                <c:pt idx="20" formatCode="#,##0">
                  <c:v>13.876557365808907</c:v>
                </c:pt>
                <c:pt idx="21" formatCode="#,##0">
                  <c:v>14.5110666816717</c:v>
                </c:pt>
                <c:pt idx="22" formatCode="#,##0">
                  <c:v>15.046960617135724</c:v>
                </c:pt>
                <c:pt idx="23" formatCode="#,##0">
                  <c:v>15.667403270443138</c:v>
                </c:pt>
                <c:pt idx="24" formatCode="#,##0">
                  <c:v>16.252130669252068</c:v>
                </c:pt>
                <c:pt idx="25" formatCode="#,##0">
                  <c:v>16.77532627137748</c:v>
                </c:pt>
                <c:pt idx="26" formatCode="#,##0">
                  <c:v>17.277603965551457</c:v>
                </c:pt>
                <c:pt idx="27" formatCode="#,##0">
                  <c:v>17.753091072202544</c:v>
                </c:pt>
                <c:pt idx="28" formatCode="#,##0">
                  <c:v>18.326308844255244</c:v>
                </c:pt>
                <c:pt idx="29" formatCode="#,##0">
                  <c:v>18.935736467948054</c:v>
                </c:pt>
                <c:pt idx="30" formatCode="#,##0">
                  <c:v>19.51819606367156</c:v>
                </c:pt>
                <c:pt idx="31" formatCode="#,##0">
                  <c:v>20.147538186826061</c:v>
                </c:pt>
                <c:pt idx="32" formatCode="#,##0">
                  <c:v>20.772869828698013</c:v>
                </c:pt>
                <c:pt idx="33" formatCode="#,##0">
                  <c:v>21.440914417356694</c:v>
                </c:pt>
                <c:pt idx="34" formatCode="#,##0">
                  <c:v>22.014680818569801</c:v>
                </c:pt>
                <c:pt idx="35" formatCode="#,##0">
                  <c:v>22.645242836738809</c:v>
                </c:pt>
                <c:pt idx="36" formatCode="#,##0">
                  <c:v>23.293874215853691</c:v>
                </c:pt>
                <c:pt idx="37" formatCode="#,##0">
                  <c:v>23.949762640467256</c:v>
                </c:pt>
                <c:pt idx="38" formatCode="#,##0">
                  <c:v>24.585154236688922</c:v>
                </c:pt>
                <c:pt idx="39" formatCode="#,##0">
                  <c:v>25.269909073197969</c:v>
                </c:pt>
                <c:pt idx="40" formatCode="#,##0">
                  <c:v>25.970076162276651</c:v>
                </c:pt>
                <c:pt idx="41" formatCode="#,##0">
                  <c:v>26.668422960862411</c:v>
                </c:pt>
                <c:pt idx="42" formatCode="#,##0">
                  <c:v>27.342580871620019</c:v>
                </c:pt>
                <c:pt idx="43" formatCode="#,##0">
                  <c:v>28.082566744033144</c:v>
                </c:pt>
                <c:pt idx="44" formatCode="#,##0">
                  <c:v>28.78392387551574</c:v>
                </c:pt>
                <c:pt idx="45" formatCode="#,##0">
                  <c:v>29.473945012542682</c:v>
                </c:pt>
                <c:pt idx="46" formatCode="#,##0">
                  <c:v>30.151830351800527</c:v>
                </c:pt>
                <c:pt idx="47" formatCode="#,##0">
                  <c:v>30.839841041357694</c:v>
                </c:pt>
                <c:pt idx="48" formatCode="#,##0">
                  <c:v>31.552836181854129</c:v>
                </c:pt>
                <c:pt idx="49" formatCode="#,##0">
                  <c:v>32.253511827711307</c:v>
                </c:pt>
                <c:pt idx="50" formatCode="#,##0">
                  <c:v>32.899266488361178</c:v>
                </c:pt>
                <c:pt idx="51" formatCode="#,##0">
                  <c:v>33.576977129495781</c:v>
                </c:pt>
                <c:pt idx="52" formatCode="#,##0">
                  <c:v>34.271691174335615</c:v>
                </c:pt>
              </c:numCache>
            </c:numRef>
          </c:val>
          <c:smooth val="0"/>
          <c:extLst>
            <c:ext xmlns:c16="http://schemas.microsoft.com/office/drawing/2014/chart" uri="{C3380CC4-5D6E-409C-BE32-E72D297353CC}">
              <c16:uniqueId val="{00000001-EC5B-44C2-B8A6-DB6D058C1D20}"/>
            </c:ext>
          </c:extLst>
        </c:ser>
        <c:dLbls>
          <c:showLegendKey val="0"/>
          <c:showVal val="0"/>
          <c:showCatName val="0"/>
          <c:showSerName val="0"/>
          <c:showPercent val="0"/>
          <c:showBubbleSize val="0"/>
        </c:dLbls>
        <c:smooth val="0"/>
        <c:axId val="287347486"/>
        <c:axId val="45207797"/>
      </c:lineChart>
      <c:catAx>
        <c:axId val="28734748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45207797"/>
        <c:crosses val="autoZero"/>
        <c:auto val="1"/>
        <c:lblAlgn val="ctr"/>
        <c:lblOffset val="100"/>
        <c:noMultiLvlLbl val="1"/>
      </c:catAx>
      <c:valAx>
        <c:axId val="452077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$billion</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287347486"/>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cked"/>
        <c:varyColors val="1"/>
        <c:ser>
          <c:idx val="0"/>
          <c:order val="0"/>
          <c:tx>
            <c:strRef>
              <c:f>Aggregation!$A$24</c:f>
              <c:strCache>
                <c:ptCount val="1"/>
                <c:pt idx="0">
                  <c:v>POWER_PLANT_OPEX_incl_Fuel_BillionsUSD</c:v>
                </c:pt>
              </c:strCache>
            </c:strRef>
          </c:tx>
          <c:spPr>
            <a:solidFill>
              <a:srgbClr val="4285F4">
                <a:alpha val="50000"/>
              </a:srgbClr>
            </a:solidFill>
            <a:ln w="19050" cmpd="sng">
              <a:solidFill>
                <a:srgbClr val="4285F4"/>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Aggregation!$B$24:$BB$24</c:f>
              <c:numCache>
                <c:formatCode>#,##0.0</c:formatCode>
                <c:ptCount val="53"/>
                <c:pt idx="0">
                  <c:v>0</c:v>
                </c:pt>
                <c:pt idx="1">
                  <c:v>0</c:v>
                </c:pt>
                <c:pt idx="2" formatCode="#,##0">
                  <c:v>125.70823321115687</c:v>
                </c:pt>
                <c:pt idx="3" formatCode="#,##0">
                  <c:v>124.28536889750538</c:v>
                </c:pt>
                <c:pt idx="4" formatCode="#,##0">
                  <c:v>121.68850225159517</c:v>
                </c:pt>
                <c:pt idx="5" formatCode="#,##0">
                  <c:v>139.73041709630002</c:v>
                </c:pt>
                <c:pt idx="6" formatCode="#,##0">
                  <c:v>147.57395290888348</c:v>
                </c:pt>
                <c:pt idx="7" formatCode="#,##0">
                  <c:v>173.89236737267697</c:v>
                </c:pt>
                <c:pt idx="8" formatCode="#,##0">
                  <c:v>161.74031529381705</c:v>
                </c:pt>
                <c:pt idx="9" formatCode="#,##0">
                  <c:v>167.45515119659393</c:v>
                </c:pt>
                <c:pt idx="10" formatCode="#,##0">
                  <c:v>192.18754999125929</c:v>
                </c:pt>
                <c:pt idx="11" formatCode="#,##0">
                  <c:v>151.37998541235476</c:v>
                </c:pt>
                <c:pt idx="12" formatCode="#,##0">
                  <c:v>162.99624822560807</c:v>
                </c:pt>
                <c:pt idx="13" formatCode="#,##0">
                  <c:v>165.24850348486274</c:v>
                </c:pt>
                <c:pt idx="14" formatCode="#,##0">
                  <c:v>148.1751102978584</c:v>
                </c:pt>
                <c:pt idx="15" formatCode="#,##0">
                  <c:v>161.00764231534117</c:v>
                </c:pt>
                <c:pt idx="16" formatCode="#,##0">
                  <c:v>172.4975467442639</c:v>
                </c:pt>
                <c:pt idx="17" formatCode="#,##0">
                  <c:v>147.98750007675935</c:v>
                </c:pt>
                <c:pt idx="18" formatCode="#,##0">
                  <c:v>150.13295919861699</c:v>
                </c:pt>
                <c:pt idx="19" formatCode="#,##0">
                  <c:v>156.57844718204052</c:v>
                </c:pt>
                <c:pt idx="20" formatCode="#,##0">
                  <c:v>164.79038545258453</c:v>
                </c:pt>
                <c:pt idx="21" formatCode="#,##0">
                  <c:v>168.35770870659368</c:v>
                </c:pt>
                <c:pt idx="22" formatCode="#,##0">
                  <c:v>183.56041399752939</c:v>
                </c:pt>
                <c:pt idx="23" formatCode="#,##0">
                  <c:v>192.89928308308333</c:v>
                </c:pt>
                <c:pt idx="24" formatCode="#,##0">
                  <c:v>204.05699758146685</c:v>
                </c:pt>
                <c:pt idx="25" formatCode="#,##0">
                  <c:v>217.05302745367885</c:v>
                </c:pt>
                <c:pt idx="26" formatCode="#,##0">
                  <c:v>231.35261694115619</c:v>
                </c:pt>
                <c:pt idx="27" formatCode="#,##0">
                  <c:v>246.43557454805762</c:v>
                </c:pt>
                <c:pt idx="28" formatCode="#,##0">
                  <c:v>260.11069600256923</c:v>
                </c:pt>
                <c:pt idx="29" formatCode="#,##0">
                  <c:v>274.27943729607767</c:v>
                </c:pt>
                <c:pt idx="30" formatCode="#,##0">
                  <c:v>289.7796505842158</c:v>
                </c:pt>
                <c:pt idx="31" formatCode="#,##0">
                  <c:v>305.61906286382964</c:v>
                </c:pt>
                <c:pt idx="32" formatCode="#,##0">
                  <c:v>322.39684118314364</c:v>
                </c:pt>
                <c:pt idx="33" formatCode="#,##0">
                  <c:v>339.70754719421137</c:v>
                </c:pt>
                <c:pt idx="34" formatCode="#,##0">
                  <c:v>357.96004992816245</c:v>
                </c:pt>
                <c:pt idx="35" formatCode="#,##0">
                  <c:v>376.62013535688232</c:v>
                </c:pt>
                <c:pt idx="36" formatCode="#,##0">
                  <c:v>396.01816498560493</c:v>
                </c:pt>
                <c:pt idx="37" formatCode="#,##0">
                  <c:v>416.19743795391594</c:v>
                </c:pt>
                <c:pt idx="38" formatCode="#,##0">
                  <c:v>437.15519236275293</c:v>
                </c:pt>
                <c:pt idx="39" formatCode="#,##0">
                  <c:v>459.03609343477115</c:v>
                </c:pt>
                <c:pt idx="40" formatCode="#,##0">
                  <c:v>481.3259284540261</c:v>
                </c:pt>
                <c:pt idx="41" formatCode="#,##0">
                  <c:v>504.57766302386779</c:v>
                </c:pt>
                <c:pt idx="42" formatCode="#,##0">
                  <c:v>528.32532823429608</c:v>
                </c:pt>
                <c:pt idx="43" formatCode="#,##0">
                  <c:v>553.03784177278476</c:v>
                </c:pt>
                <c:pt idx="44" formatCode="#,##0">
                  <c:v>578.35472737362397</c:v>
                </c:pt>
                <c:pt idx="45" formatCode="#,##0">
                  <c:v>604.44418184326764</c:v>
                </c:pt>
                <c:pt idx="46" formatCode="#,##0">
                  <c:v>631.84050313898672</c:v>
                </c:pt>
                <c:pt idx="47" formatCode="#,##0">
                  <c:v>659.55442778788915</c:v>
                </c:pt>
                <c:pt idx="48" formatCode="#,##0">
                  <c:v>688.47055777325841</c:v>
                </c:pt>
                <c:pt idx="49" formatCode="#,##0">
                  <c:v>718.1778555625782</c:v>
                </c:pt>
                <c:pt idx="50" formatCode="#,##0">
                  <c:v>749.98243258111734</c:v>
                </c:pt>
                <c:pt idx="51" formatCode="#,##0">
                  <c:v>781.57685044114601</c:v>
                </c:pt>
                <c:pt idx="52" formatCode="#,##0">
                  <c:v>813.79763773179377</c:v>
                </c:pt>
              </c:numCache>
            </c:numRef>
          </c:val>
          <c:extLst>
            <c:ext xmlns:c16="http://schemas.microsoft.com/office/drawing/2014/chart" uri="{C3380CC4-5D6E-409C-BE32-E72D297353CC}">
              <c16:uniqueId val="{00000000-582A-42C2-998F-C8B37D2597A7}"/>
            </c:ext>
          </c:extLst>
        </c:ser>
        <c:ser>
          <c:idx val="1"/>
          <c:order val="1"/>
          <c:tx>
            <c:strRef>
              <c:f>Aggregation!$A$25</c:f>
              <c:strCache>
                <c:ptCount val="1"/>
                <c:pt idx="0">
                  <c:v>POWER_PLANT_CAPEX_TOTAL_BillionUSD</c:v>
                </c:pt>
              </c:strCache>
            </c:strRef>
          </c:tx>
          <c:spPr>
            <a:solidFill>
              <a:srgbClr val="DB4437">
                <a:alpha val="50000"/>
              </a:srgbClr>
            </a:solidFill>
            <a:ln w="19050" cmpd="sng">
              <a:solidFill>
                <a:srgbClr val="DB4437"/>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Aggregation!$B$25:$BB$25</c:f>
              <c:numCache>
                <c:formatCode>#,##0.0</c:formatCode>
                <c:ptCount val="53"/>
                <c:pt idx="0">
                  <c:v>0</c:v>
                </c:pt>
                <c:pt idx="1">
                  <c:v>0</c:v>
                </c:pt>
                <c:pt idx="2" formatCode="#,##0">
                  <c:v>75.866435330901965</c:v>
                </c:pt>
                <c:pt idx="3" formatCode="#,##0">
                  <c:v>32.302332842510012</c:v>
                </c:pt>
                <c:pt idx="4" formatCode="#,##0">
                  <c:v>25.371556519358876</c:v>
                </c:pt>
                <c:pt idx="5" formatCode="#,##0">
                  <c:v>19.258426963773417</c:v>
                </c:pt>
                <c:pt idx="6" formatCode="#,##0">
                  <c:v>20.394113084278928</c:v>
                </c:pt>
                <c:pt idx="7" formatCode="#,##0">
                  <c:v>23.494562584995524</c:v>
                </c:pt>
                <c:pt idx="8" formatCode="#,##0">
                  <c:v>30.816417570147109</c:v>
                </c:pt>
                <c:pt idx="9" formatCode="#,##0">
                  <c:v>35.265524092980115</c:v>
                </c:pt>
                <c:pt idx="10" formatCode="#,##0">
                  <c:v>32.632585368878445</c:v>
                </c:pt>
                <c:pt idx="11" formatCode="#,##0">
                  <c:v>30.247882920867955</c:v>
                </c:pt>
                <c:pt idx="12" formatCode="#,##0">
                  <c:v>38.857859564195721</c:v>
                </c:pt>
                <c:pt idx="13" formatCode="#,##0">
                  <c:v>33.745091702094086</c:v>
                </c:pt>
                <c:pt idx="14" formatCode="#,##0">
                  <c:v>28.735550496269653</c:v>
                </c:pt>
                <c:pt idx="15" formatCode="#,##0">
                  <c:v>35.762357568362198</c:v>
                </c:pt>
                <c:pt idx="16" formatCode="#,##0">
                  <c:v>38.975926875314414</c:v>
                </c:pt>
                <c:pt idx="17" formatCode="#,##0">
                  <c:v>54.780135460408147</c:v>
                </c:pt>
                <c:pt idx="18" formatCode="#,##0">
                  <c:v>43.799543062429606</c:v>
                </c:pt>
                <c:pt idx="19" formatCode="#,##0">
                  <c:v>46.470702987145117</c:v>
                </c:pt>
                <c:pt idx="20" formatCode="#,##0">
                  <c:v>58.593177433088769</c:v>
                </c:pt>
                <c:pt idx="21" formatCode="#,##0">
                  <c:v>112.83696991879467</c:v>
                </c:pt>
                <c:pt idx="22" formatCode="#,##0">
                  <c:v>1467.9263278061696</c:v>
                </c:pt>
                <c:pt idx="23" formatCode="#,##0">
                  <c:v>1480.6987529720395</c:v>
                </c:pt>
                <c:pt idx="24" formatCode="#,##0">
                  <c:v>1520.4877790375078</c:v>
                </c:pt>
                <c:pt idx="25" formatCode="#,##0">
                  <c:v>1559.2950361629046</c:v>
                </c:pt>
                <c:pt idx="26" formatCode="#,##0">
                  <c:v>1598.5939503661359</c:v>
                </c:pt>
                <c:pt idx="27" formatCode="#,##0">
                  <c:v>1633.5211632877965</c:v>
                </c:pt>
                <c:pt idx="28" formatCode="#,##0">
                  <c:v>1671.1149415399175</c:v>
                </c:pt>
                <c:pt idx="29" formatCode="#,##0">
                  <c:v>1713.1566109743158</c:v>
                </c:pt>
                <c:pt idx="30" formatCode="#,##0">
                  <c:v>1760.0475715512705</c:v>
                </c:pt>
                <c:pt idx="31" formatCode="#,##0">
                  <c:v>1803.0441297646835</c:v>
                </c:pt>
                <c:pt idx="32" formatCode="#,##0">
                  <c:v>1850.1340289556304</c:v>
                </c:pt>
                <c:pt idx="33" formatCode="#,##0">
                  <c:v>1890.9919232374152</c:v>
                </c:pt>
                <c:pt idx="34" formatCode="#,##0">
                  <c:v>1927.9696093115047</c:v>
                </c:pt>
                <c:pt idx="35" formatCode="#,##0">
                  <c:v>1963.240972201995</c:v>
                </c:pt>
                <c:pt idx="36" formatCode="#,##0">
                  <c:v>1996.1267748757934</c:v>
                </c:pt>
                <c:pt idx="37" formatCode="#,##0">
                  <c:v>2040.1182208201317</c:v>
                </c:pt>
                <c:pt idx="38" formatCode="#,##0">
                  <c:v>2083.9437165101867</c:v>
                </c:pt>
                <c:pt idx="39" formatCode="#,##0">
                  <c:v>2134.5775864571115</c:v>
                </c:pt>
                <c:pt idx="40" formatCode="#,##0">
                  <c:v>2174.7619104255623</c:v>
                </c:pt>
                <c:pt idx="41" formatCode="#,##0">
                  <c:v>2217.7185798996925</c:v>
                </c:pt>
                <c:pt idx="42" formatCode="#,##0">
                  <c:v>2263.198575327609</c:v>
                </c:pt>
                <c:pt idx="43" formatCode="#,##0">
                  <c:v>2318.417729093876</c:v>
                </c:pt>
                <c:pt idx="44" formatCode="#,##0">
                  <c:v>2390.1796234293852</c:v>
                </c:pt>
                <c:pt idx="45" formatCode="#,##0">
                  <c:v>2435.6870985022497</c:v>
                </c:pt>
                <c:pt idx="46" formatCode="#,##0">
                  <c:v>2488.5372213812361</c:v>
                </c:pt>
                <c:pt idx="47" formatCode="#,##0">
                  <c:v>2547.516577140233</c:v>
                </c:pt>
                <c:pt idx="48" formatCode="#,##0">
                  <c:v>2594.8753517162008</c:v>
                </c:pt>
                <c:pt idx="49" formatCode="#,##0">
                  <c:v>2654.1018832670179</c:v>
                </c:pt>
                <c:pt idx="50" formatCode="#,##0">
                  <c:v>2678.9849450117567</c:v>
                </c:pt>
                <c:pt idx="51" formatCode="#,##0">
                  <c:v>2622.2402428320916</c:v>
                </c:pt>
                <c:pt idx="52" formatCode="#,##0">
                  <c:v>0</c:v>
                </c:pt>
              </c:numCache>
            </c:numRef>
          </c:val>
          <c:extLst>
            <c:ext xmlns:c16="http://schemas.microsoft.com/office/drawing/2014/chart" uri="{C3380CC4-5D6E-409C-BE32-E72D297353CC}">
              <c16:uniqueId val="{00000001-582A-42C2-998F-C8B37D2597A7}"/>
            </c:ext>
          </c:extLst>
        </c:ser>
        <c:ser>
          <c:idx val="2"/>
          <c:order val="2"/>
          <c:tx>
            <c:strRef>
              <c:f>Aggregation!$A$26</c:f>
              <c:strCache>
                <c:ptCount val="1"/>
                <c:pt idx="0">
                  <c:v>ELECTRICITY_TandD_OPEX_BillionUSD</c:v>
                </c:pt>
              </c:strCache>
            </c:strRef>
          </c:tx>
          <c:spPr>
            <a:solidFill>
              <a:srgbClr val="F4B400">
                <a:alpha val="50000"/>
              </a:srgbClr>
            </a:solidFill>
            <a:ln w="19050" cmpd="sng">
              <a:solidFill>
                <a:srgbClr val="F4B400"/>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Aggregation!$B$26:$BB$26</c:f>
              <c:numCache>
                <c:formatCode>#,##0.0</c:formatCode>
                <c:ptCount val="53"/>
                <c:pt idx="0">
                  <c:v>0</c:v>
                </c:pt>
                <c:pt idx="1">
                  <c:v>0</c:v>
                </c:pt>
                <c:pt idx="2" formatCode="#,##0">
                  <c:v>43.797746118571425</c:v>
                </c:pt>
                <c:pt idx="3" formatCode="#,##0">
                  <c:v>44.213080396190477</c:v>
                </c:pt>
                <c:pt idx="4" formatCode="#,##0">
                  <c:v>45.235963003871639</c:v>
                </c:pt>
                <c:pt idx="5" formatCode="#,##0">
                  <c:v>48.084935971428578</c:v>
                </c:pt>
                <c:pt idx="6" formatCode="#,##0">
                  <c:v>48.601713674453784</c:v>
                </c:pt>
                <c:pt idx="7" formatCode="#,##0">
                  <c:v>53.22568693121849</c:v>
                </c:pt>
                <c:pt idx="8" formatCode="#,##0">
                  <c:v>64.120486661008414</c:v>
                </c:pt>
                <c:pt idx="9" formatCode="#,##0">
                  <c:v>58.714915025714291</c:v>
                </c:pt>
                <c:pt idx="10" formatCode="#,##0">
                  <c:v>61.748133839453786</c:v>
                </c:pt>
                <c:pt idx="11" formatCode="#,##0">
                  <c:v>63.772222839159667</c:v>
                </c:pt>
                <c:pt idx="12" formatCode="#,##0">
                  <c:v>68.755790778823524</c:v>
                </c:pt>
                <c:pt idx="13" formatCode="#,##0">
                  <c:v>70.55617976247899</c:v>
                </c:pt>
                <c:pt idx="14" formatCode="#,##0">
                  <c:v>73.05299464911765</c:v>
                </c:pt>
                <c:pt idx="15" formatCode="#,##0">
                  <c:v>73.905084691638663</c:v>
                </c:pt>
                <c:pt idx="16" formatCode="#,##0">
                  <c:v>77.263409206974799</c:v>
                </c:pt>
                <c:pt idx="17" formatCode="#,##0">
                  <c:v>78.24620955638656</c:v>
                </c:pt>
                <c:pt idx="18" formatCode="#,##0">
                  <c:v>80.58088459390757</c:v>
                </c:pt>
                <c:pt idx="19" formatCode="#,##0">
                  <c:v>80.439169043514227</c:v>
                </c:pt>
                <c:pt idx="20" formatCode="#,##0">
                  <c:v>80.446269370749519</c:v>
                </c:pt>
                <c:pt idx="21" formatCode="#,##0">
                  <c:v>80.453943022843632</c:v>
                </c:pt>
                <c:pt idx="22" formatCode="#,##0">
                  <c:v>80.453605577121266</c:v>
                </c:pt>
                <c:pt idx="23" formatCode="#,##0">
                  <c:v>80.451228058136806</c:v>
                </c:pt>
                <c:pt idx="24" formatCode="#,##0">
                  <c:v>80.448843014473084</c:v>
                </c:pt>
                <c:pt idx="25" formatCode="#,##0">
                  <c:v>80.450777808664867</c:v>
                </c:pt>
                <c:pt idx="26" formatCode="#,##0">
                  <c:v>80.451679496247934</c:v>
                </c:pt>
                <c:pt idx="27" formatCode="#,##0">
                  <c:v>80.451226790928786</c:v>
                </c:pt>
                <c:pt idx="28" formatCode="#,##0">
                  <c:v>80.450751033690295</c:v>
                </c:pt>
                <c:pt idx="29" formatCode="#,##0">
                  <c:v>80.450655628801002</c:v>
                </c:pt>
                <c:pt idx="30" formatCode="#,##0">
                  <c:v>80.451018151666574</c:v>
                </c:pt>
                <c:pt idx="31" formatCode="#,##0">
                  <c:v>80.45106622026691</c:v>
                </c:pt>
                <c:pt idx="32" formatCode="#,##0">
                  <c:v>80.450943565070716</c:v>
                </c:pt>
                <c:pt idx="33" formatCode="#,##0">
                  <c:v>80.450886919899091</c:v>
                </c:pt>
                <c:pt idx="34" formatCode="#,##0">
                  <c:v>80.450914097140867</c:v>
                </c:pt>
                <c:pt idx="35" formatCode="#,##0">
                  <c:v>80.450965790808837</c:v>
                </c:pt>
                <c:pt idx="36" formatCode="#,##0">
                  <c:v>80.450955318637284</c:v>
                </c:pt>
                <c:pt idx="37" formatCode="#,##0">
                  <c:v>80.45093313831137</c:v>
                </c:pt>
                <c:pt idx="38" formatCode="#,##0">
                  <c:v>80.450931052959504</c:v>
                </c:pt>
                <c:pt idx="39" formatCode="#,##0">
                  <c:v>80.450939879571564</c:v>
                </c:pt>
                <c:pt idx="40" formatCode="#,##0">
                  <c:v>80.450945036057703</c:v>
                </c:pt>
                <c:pt idx="41" formatCode="#,##0">
                  <c:v>80.450940885107485</c:v>
                </c:pt>
                <c:pt idx="42" formatCode="#,##0">
                  <c:v>80.450937998401514</c:v>
                </c:pt>
                <c:pt idx="43" formatCode="#,##0">
                  <c:v>80.450938970419543</c:v>
                </c:pt>
                <c:pt idx="44" formatCode="#,##0">
                  <c:v>80.450940553911579</c:v>
                </c:pt>
                <c:pt idx="45" formatCode="#,##0">
                  <c:v>80.450940688779568</c:v>
                </c:pt>
                <c:pt idx="46" formatCode="#,##0">
                  <c:v>80.450939819323935</c:v>
                </c:pt>
                <c:pt idx="47" formatCode="#,##0">
                  <c:v>80.450939606167225</c:v>
                </c:pt>
                <c:pt idx="48" formatCode="#,##0">
                  <c:v>80.45093992772037</c:v>
                </c:pt>
                <c:pt idx="49" formatCode="#,##0">
                  <c:v>80.45094011918053</c:v>
                </c:pt>
                <c:pt idx="50" formatCode="#,##0">
                  <c:v>80.450940032234328</c:v>
                </c:pt>
                <c:pt idx="51" formatCode="#,##0">
                  <c:v>80.450939900925277</c:v>
                </c:pt>
                <c:pt idx="52" formatCode="#,##0">
                  <c:v>80.450939917245549</c:v>
                </c:pt>
              </c:numCache>
            </c:numRef>
          </c:val>
          <c:extLst>
            <c:ext xmlns:c16="http://schemas.microsoft.com/office/drawing/2014/chart" uri="{C3380CC4-5D6E-409C-BE32-E72D297353CC}">
              <c16:uniqueId val="{00000002-582A-42C2-998F-C8B37D2597A7}"/>
            </c:ext>
          </c:extLst>
        </c:ser>
        <c:ser>
          <c:idx val="3"/>
          <c:order val="3"/>
          <c:tx>
            <c:strRef>
              <c:f>Aggregation!$A$27</c:f>
              <c:strCache>
                <c:ptCount val="1"/>
                <c:pt idx="0">
                  <c:v>ELECTRICITY_TandD_CAPEX_BillionUSD</c:v>
                </c:pt>
              </c:strCache>
            </c:strRef>
          </c:tx>
          <c:spPr>
            <a:solidFill>
              <a:srgbClr val="0F9D58">
                <a:alpha val="50000"/>
              </a:srgbClr>
            </a:solidFill>
            <a:ln w="19050" cmpd="sng">
              <a:solidFill>
                <a:srgbClr val="0F9D58"/>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Aggregation!$B$27:$BB$27</c:f>
              <c:numCache>
                <c:formatCode>#,##0.0</c:formatCode>
                <c:ptCount val="53"/>
                <c:pt idx="0">
                  <c:v>0</c:v>
                </c:pt>
                <c:pt idx="1">
                  <c:v>0</c:v>
                </c:pt>
                <c:pt idx="2" formatCode="#,##0">
                  <c:v>21.524781159285713</c:v>
                </c:pt>
                <c:pt idx="3" formatCode="#,##0">
                  <c:v>22.433204113750001</c:v>
                </c:pt>
                <c:pt idx="4" formatCode="#,##0">
                  <c:v>22.716083118305718</c:v>
                </c:pt>
                <c:pt idx="5" formatCode="#,##0">
                  <c:v>25.254261760028573</c:v>
                </c:pt>
                <c:pt idx="6" formatCode="#,##0">
                  <c:v>26.459883638120001</c:v>
                </c:pt>
                <c:pt idx="7" formatCode="#,##0">
                  <c:v>28.942069745168002</c:v>
                </c:pt>
                <c:pt idx="8" formatCode="#,##0">
                  <c:v>34.546521807679376</c:v>
                </c:pt>
                <c:pt idx="9" formatCode="#,##0">
                  <c:v>34.239408003831343</c:v>
                </c:pt>
                <c:pt idx="10" formatCode="#,##0">
                  <c:v>38.970564511097145</c:v>
                </c:pt>
                <c:pt idx="11" formatCode="#,##0">
                  <c:v>38.765135009845714</c:v>
                </c:pt>
                <c:pt idx="12" formatCode="#,##0">
                  <c:v>40.746569432297143</c:v>
                </c:pt>
                <c:pt idx="13" formatCode="#,##0">
                  <c:v>42.543570722451427</c:v>
                </c:pt>
                <c:pt idx="14" formatCode="#,##0">
                  <c:v>50.656381848217151</c:v>
                </c:pt>
                <c:pt idx="15" formatCode="#,##0">
                  <c:v>57.061103759640012</c:v>
                </c:pt>
                <c:pt idx="16" formatCode="#,##0">
                  <c:v>58.029850639794283</c:v>
                </c:pt>
                <c:pt idx="17" formatCode="#,##0">
                  <c:v>62.62448748664</c:v>
                </c:pt>
                <c:pt idx="18" formatCode="#,##0">
                  <c:v>67.163382028845717</c:v>
                </c:pt>
                <c:pt idx="19" formatCode="#,##0">
                  <c:v>64.355162473755954</c:v>
                </c:pt>
                <c:pt idx="20" formatCode="#,##0">
                  <c:v>62.163945595083213</c:v>
                </c:pt>
                <c:pt idx="21" formatCode="#,##0">
                  <c:v>62.430963108518412</c:v>
                </c:pt>
                <c:pt idx="22" formatCode="#,##0">
                  <c:v>63.141594413479481</c:v>
                </c:pt>
                <c:pt idx="23" formatCode="#,##0">
                  <c:v>62.351805638527395</c:v>
                </c:pt>
                <c:pt idx="24" formatCode="#,##0">
                  <c:v>61.949052504319951</c:v>
                </c:pt>
                <c:pt idx="25" formatCode="#,##0">
                  <c:v>63.653524255547389</c:v>
                </c:pt>
                <c:pt idx="26" formatCode="#,##0">
                  <c:v>63.566897585912642</c:v>
                </c:pt>
                <c:pt idx="27" formatCode="#,##0">
                  <c:v>61.351552917717548</c:v>
                </c:pt>
                <c:pt idx="28" formatCode="#,##0">
                  <c:v>62.884801219250733</c:v>
                </c:pt>
                <c:pt idx="29" formatCode="#,##0">
                  <c:v>64.82164235354594</c:v>
                </c:pt>
                <c:pt idx="30" formatCode="#,##0">
                  <c:v>65.085231806049038</c:v>
                </c:pt>
                <c:pt idx="31" formatCode="#,##0">
                  <c:v>64.245868356337212</c:v>
                </c:pt>
                <c:pt idx="32" formatCode="#,##0">
                  <c:v>67.085632373135525</c:v>
                </c:pt>
                <c:pt idx="33" formatCode="#,##0">
                  <c:v>65.493638171005998</c:v>
                </c:pt>
                <c:pt idx="34" formatCode="#,##0">
                  <c:v>63.451405713220737</c:v>
                </c:pt>
                <c:pt idx="35" formatCode="#,##0">
                  <c:v>64.929049795549076</c:v>
                </c:pt>
                <c:pt idx="36" formatCode="#,##0">
                  <c:v>65.547611035882937</c:v>
                </c:pt>
                <c:pt idx="37" formatCode="#,##0">
                  <c:v>62.198374240855244</c:v>
                </c:pt>
                <c:pt idx="38" formatCode="#,##0">
                  <c:v>62.474705221608254</c:v>
                </c:pt>
                <c:pt idx="39" formatCode="#,##0">
                  <c:v>65.492067363020368</c:v>
                </c:pt>
                <c:pt idx="40" formatCode="#,##0">
                  <c:v>65.517185561689431</c:v>
                </c:pt>
                <c:pt idx="41" formatCode="#,##0">
                  <c:v>64.452892203100888</c:v>
                </c:pt>
                <c:pt idx="42" formatCode="#,##0">
                  <c:v>66.712722604359527</c:v>
                </c:pt>
                <c:pt idx="43" formatCode="#,##0">
                  <c:v>64.910347865772295</c:v>
                </c:pt>
                <c:pt idx="44" formatCode="#,##0">
                  <c:v>63.945293469925126</c:v>
                </c:pt>
                <c:pt idx="45" formatCode="#,##0">
                  <c:v>59.671611092578679</c:v>
                </c:pt>
                <c:pt idx="46" formatCode="#,##0">
                  <c:v>59.671805117293829</c:v>
                </c:pt>
                <c:pt idx="47" formatCode="#,##0">
                  <c:v>59.67207511301666</c:v>
                </c:pt>
                <c:pt idx="48" formatCode="#,##0">
                  <c:v>59.672112334458056</c:v>
                </c:pt>
                <c:pt idx="49" formatCode="#,##0">
                  <c:v>59.671987359263241</c:v>
                </c:pt>
                <c:pt idx="50" formatCode="#,##0">
                  <c:v>59.671907344633837</c:v>
                </c:pt>
                <c:pt idx="51" formatCode="#,##0">
                  <c:v>59.671916393540712</c:v>
                </c:pt>
                <c:pt idx="52" formatCode="#,##0">
                  <c:v>59.671967277034391</c:v>
                </c:pt>
              </c:numCache>
            </c:numRef>
          </c:val>
          <c:extLst>
            <c:ext xmlns:c16="http://schemas.microsoft.com/office/drawing/2014/chart" uri="{C3380CC4-5D6E-409C-BE32-E72D297353CC}">
              <c16:uniqueId val="{00000003-582A-42C2-998F-C8B37D2597A7}"/>
            </c:ext>
          </c:extLst>
        </c:ser>
        <c:ser>
          <c:idx val="4"/>
          <c:order val="4"/>
          <c:tx>
            <c:strRef>
              <c:f>Aggregation!$A$28</c:f>
              <c:strCache>
                <c:ptCount val="1"/>
                <c:pt idx="0">
                  <c:v>OILandGAS_MIDSTREAM_OPEX_BillionUSD</c:v>
                </c:pt>
              </c:strCache>
            </c:strRef>
          </c:tx>
          <c:spPr>
            <a:solidFill>
              <a:srgbClr val="FF6D00">
                <a:alpha val="50000"/>
              </a:srgbClr>
            </a:solidFill>
            <a:ln w="19050" cmpd="sng">
              <a:solidFill>
                <a:srgbClr val="FF6D00"/>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Aggregation!$B$28:$BB$28</c:f>
              <c:numCache>
                <c:formatCode>#,##0.0</c:formatCode>
                <c:ptCount val="53"/>
                <c:pt idx="0">
                  <c:v>0</c:v>
                </c:pt>
                <c:pt idx="1">
                  <c:v>0</c:v>
                </c:pt>
                <c:pt idx="2" formatCode="#,##0">
                  <c:v>18.49558136412</c:v>
                </c:pt>
                <c:pt idx="3" formatCode="#,##0">
                  <c:v>18.465208454650003</c:v>
                </c:pt>
                <c:pt idx="4" formatCode="#,##0">
                  <c:v>17.563089095629998</c:v>
                </c:pt>
                <c:pt idx="5" formatCode="#,##0">
                  <c:v>18.454568815869997</c:v>
                </c:pt>
                <c:pt idx="6" formatCode="#,##0">
                  <c:v>16.528268987019999</c:v>
                </c:pt>
                <c:pt idx="7" formatCode="#,##0">
                  <c:v>18.231602432100001</c:v>
                </c:pt>
                <c:pt idx="8" formatCode="#,##0">
                  <c:v>19.179879801089999</c:v>
                </c:pt>
                <c:pt idx="9" formatCode="#,##0">
                  <c:v>24.696258267369998</c:v>
                </c:pt>
                <c:pt idx="10" formatCode="#,##0">
                  <c:v>21.519144204329997</c:v>
                </c:pt>
                <c:pt idx="11" formatCode="#,##0">
                  <c:v>20.153504200930001</c:v>
                </c:pt>
                <c:pt idx="12" formatCode="#,##0">
                  <c:v>22.468352787620002</c:v>
                </c:pt>
                <c:pt idx="13" formatCode="#,##0">
                  <c:v>23.10616220699</c:v>
                </c:pt>
                <c:pt idx="14" formatCode="#,##0">
                  <c:v>23.991747976899997</c:v>
                </c:pt>
                <c:pt idx="15" formatCode="#,##0">
                  <c:v>25.166582781599999</c:v>
                </c:pt>
                <c:pt idx="16" formatCode="#,##0">
                  <c:v>28.329621334939997</c:v>
                </c:pt>
                <c:pt idx="17" formatCode="#,##0">
                  <c:v>28.888237779450002</c:v>
                </c:pt>
                <c:pt idx="18" formatCode="#,##0">
                  <c:v>26.889659159529998</c:v>
                </c:pt>
                <c:pt idx="19" formatCode="#,##0">
                  <c:v>28.387686921928587</c:v>
                </c:pt>
                <c:pt idx="20" formatCode="#,##0">
                  <c:v>30.149312275831896</c:v>
                </c:pt>
                <c:pt idx="21" formatCode="#,##0">
                  <c:v>31.143148052770442</c:v>
                </c:pt>
                <c:pt idx="22" formatCode="#,##0">
                  <c:v>32.090612132823168</c:v>
                </c:pt>
                <c:pt idx="23" formatCode="#,##0">
                  <c:v>32.576308326582904</c:v>
                </c:pt>
                <c:pt idx="24" formatCode="#,##0">
                  <c:v>32.734132032755504</c:v>
                </c:pt>
                <c:pt idx="25" formatCode="#,##0">
                  <c:v>32.778753719373896</c:v>
                </c:pt>
                <c:pt idx="26" formatCode="#,##0">
                  <c:v>33.073790307809212</c:v>
                </c:pt>
                <c:pt idx="27" formatCode="#,##0">
                  <c:v>33.232313449870411</c:v>
                </c:pt>
                <c:pt idx="28" formatCode="#,##0">
                  <c:v>33.536097232195665</c:v>
                </c:pt>
                <c:pt idx="29" formatCode="#,##0">
                  <c:v>33.855293670588146</c:v>
                </c:pt>
                <c:pt idx="30" formatCode="#,##0">
                  <c:v>33.948698939762309</c:v>
                </c:pt>
                <c:pt idx="31" formatCode="#,##0">
                  <c:v>34.066865757939915</c:v>
                </c:pt>
                <c:pt idx="32" formatCode="#,##0">
                  <c:v>34.094401425223893</c:v>
                </c:pt>
                <c:pt idx="33" formatCode="#,##0">
                  <c:v>34.149820214623553</c:v>
                </c:pt>
                <c:pt idx="34" formatCode="#,##0">
                  <c:v>34.147130256819231</c:v>
                </c:pt>
                <c:pt idx="35" formatCode="#,##0">
                  <c:v>34.106265717381575</c:v>
                </c:pt>
                <c:pt idx="36" formatCode="#,##0">
                  <c:v>34.116403744788606</c:v>
                </c:pt>
                <c:pt idx="37" formatCode="#,##0">
                  <c:v>34.047518272826146</c:v>
                </c:pt>
                <c:pt idx="38" formatCode="#,##0">
                  <c:v>33.950603223670598</c:v>
                </c:pt>
                <c:pt idx="39" formatCode="#,##0">
                  <c:v>33.828589422229086</c:v>
                </c:pt>
                <c:pt idx="40" formatCode="#,##0">
                  <c:v>33.759295245454808</c:v>
                </c:pt>
                <c:pt idx="41" formatCode="#,##0">
                  <c:v>33.694388855700957</c:v>
                </c:pt>
                <c:pt idx="42" formatCode="#,##0">
                  <c:v>33.628214908598487</c:v>
                </c:pt>
                <c:pt idx="43" formatCode="#,##0">
                  <c:v>33.614140792813174</c:v>
                </c:pt>
                <c:pt idx="44" formatCode="#,##0">
                  <c:v>33.572506151799487</c:v>
                </c:pt>
                <c:pt idx="45" formatCode="#,##0">
                  <c:v>33.499223764888143</c:v>
                </c:pt>
                <c:pt idx="46" formatCode="#,##0">
                  <c:v>33.443461177637644</c:v>
                </c:pt>
                <c:pt idx="47" formatCode="#,##0">
                  <c:v>33.312068480327341</c:v>
                </c:pt>
                <c:pt idx="48" formatCode="#,##0">
                  <c:v>33.206156129177927</c:v>
                </c:pt>
                <c:pt idx="49" formatCode="#,##0">
                  <c:v>33.133753952256043</c:v>
                </c:pt>
                <c:pt idx="50" formatCode="#,##0">
                  <c:v>33.072910739818823</c:v>
                </c:pt>
                <c:pt idx="51" formatCode="#,##0">
                  <c:v>32.926867181124727</c:v>
                </c:pt>
                <c:pt idx="52" formatCode="#,##0">
                  <c:v>32.855769263560809</c:v>
                </c:pt>
              </c:numCache>
            </c:numRef>
          </c:val>
          <c:extLst>
            <c:ext xmlns:c16="http://schemas.microsoft.com/office/drawing/2014/chart" uri="{C3380CC4-5D6E-409C-BE32-E72D297353CC}">
              <c16:uniqueId val="{00000004-582A-42C2-998F-C8B37D2597A7}"/>
            </c:ext>
          </c:extLst>
        </c:ser>
        <c:ser>
          <c:idx val="5"/>
          <c:order val="5"/>
          <c:tx>
            <c:strRef>
              <c:f>Aggregation!$A$29</c:f>
              <c:strCache>
                <c:ptCount val="1"/>
                <c:pt idx="0">
                  <c:v>OILandGAS_MIDSTREAM_CAPEX_BillionUSD</c:v>
                </c:pt>
              </c:strCache>
            </c:strRef>
          </c:tx>
          <c:spPr>
            <a:solidFill>
              <a:srgbClr val="46BDC6">
                <a:alpha val="50000"/>
              </a:srgbClr>
            </a:solidFill>
            <a:ln w="19050" cmpd="sng">
              <a:solidFill>
                <a:srgbClr val="46BDC6"/>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Aggregation!$B$29:$BB$29</c:f>
              <c:numCache>
                <c:formatCode>#,##0.0</c:formatCode>
                <c:ptCount val="53"/>
                <c:pt idx="0">
                  <c:v>0</c:v>
                </c:pt>
                <c:pt idx="1">
                  <c:v>0</c:v>
                </c:pt>
                <c:pt idx="2" formatCode="#,##0">
                  <c:v>4.9911713016599997</c:v>
                </c:pt>
                <c:pt idx="3" formatCode="#,##0">
                  <c:v>6.01766818795</c:v>
                </c:pt>
                <c:pt idx="4" formatCode="#,##0">
                  <c:v>6.9283307978499984</c:v>
                </c:pt>
                <c:pt idx="5" formatCode="#,##0">
                  <c:v>8.2025872640999999</c:v>
                </c:pt>
                <c:pt idx="6" formatCode="#,##0">
                  <c:v>7.1189177287599987</c:v>
                </c:pt>
                <c:pt idx="7" formatCode="#,##0">
                  <c:v>6.7995025875500001</c:v>
                </c:pt>
                <c:pt idx="8" formatCode="#,##0">
                  <c:v>7.4033936571999996</c:v>
                </c:pt>
                <c:pt idx="9" formatCode="#,##0">
                  <c:v>13.069689508329999</c:v>
                </c:pt>
                <c:pt idx="10" formatCode="#,##0">
                  <c:v>19.839185726259998</c:v>
                </c:pt>
                <c:pt idx="11" formatCode="#,##0">
                  <c:v>22.747268726969999</c:v>
                </c:pt>
                <c:pt idx="12" formatCode="#,##0">
                  <c:v>14.463578666039997</c:v>
                </c:pt>
                <c:pt idx="13" formatCode="#,##0">
                  <c:v>21.639890542829995</c:v>
                </c:pt>
                <c:pt idx="14" formatCode="#,##0">
                  <c:v>14.30320641989</c:v>
                </c:pt>
                <c:pt idx="15" formatCode="#,##0">
                  <c:v>25.472715954719995</c:v>
                </c:pt>
                <c:pt idx="16" formatCode="#,##0">
                  <c:v>29.542981551640001</c:v>
                </c:pt>
                <c:pt idx="17" formatCode="#,##0">
                  <c:v>25.998328729499999</c:v>
                </c:pt>
                <c:pt idx="18" formatCode="#,##0">
                  <c:v>18.46714457118</c:v>
                </c:pt>
                <c:pt idx="19" formatCode="#,##0">
                  <c:v>25.637078870925517</c:v>
                </c:pt>
                <c:pt idx="20" formatCode="#,##0">
                  <c:v>20.382692550601217</c:v>
                </c:pt>
                <c:pt idx="21" formatCode="#,##0">
                  <c:v>23.695528854976704</c:v>
                </c:pt>
                <c:pt idx="22" formatCode="#,##0">
                  <c:v>23.166702009753646</c:v>
                </c:pt>
                <c:pt idx="23" formatCode="#,##0">
                  <c:v>23.273472049080315</c:v>
                </c:pt>
                <c:pt idx="24" formatCode="#,##0">
                  <c:v>23.896545870858912</c:v>
                </c:pt>
                <c:pt idx="25" formatCode="#,##0">
                  <c:v>24.085193526890464</c:v>
                </c:pt>
                <c:pt idx="26" formatCode="#,##0">
                  <c:v>24.252576721035094</c:v>
                </c:pt>
                <c:pt idx="27" formatCode="#,##0">
                  <c:v>24.168054647752911</c:v>
                </c:pt>
                <c:pt idx="28" formatCode="#,##0">
                  <c:v>23.904956860762098</c:v>
                </c:pt>
                <c:pt idx="29" formatCode="#,##0">
                  <c:v>23.977964709476243</c:v>
                </c:pt>
                <c:pt idx="30" formatCode="#,##0">
                  <c:v>23.693121217116538</c:v>
                </c:pt>
                <c:pt idx="31" formatCode="#,##0">
                  <c:v>23.571347270201684</c:v>
                </c:pt>
                <c:pt idx="32" formatCode="#,##0">
                  <c:v>23.888613427700623</c:v>
                </c:pt>
                <c:pt idx="33" formatCode="#,##0">
                  <c:v>24.022862024501762</c:v>
                </c:pt>
                <c:pt idx="34" formatCode="#,##0">
                  <c:v>23.668160437775377</c:v>
                </c:pt>
                <c:pt idx="35" formatCode="#,##0">
                  <c:v>23.863432047069345</c:v>
                </c:pt>
                <c:pt idx="36" formatCode="#,##0">
                  <c:v>23.708127980752927</c:v>
                </c:pt>
                <c:pt idx="37" formatCode="#,##0">
                  <c:v>23.670166416880132</c:v>
                </c:pt>
                <c:pt idx="38" formatCode="#,##0">
                  <c:v>23.458092019004692</c:v>
                </c:pt>
                <c:pt idx="39" formatCode="#,##0">
                  <c:v>23.440932079128093</c:v>
                </c:pt>
                <c:pt idx="40" formatCode="#,##0">
                  <c:v>23.296622373404748</c:v>
                </c:pt>
                <c:pt idx="41" formatCode="#,##0">
                  <c:v>23.305273713177836</c:v>
                </c:pt>
                <c:pt idx="42" formatCode="#,##0">
                  <c:v>23.156951795980024</c:v>
                </c:pt>
                <c:pt idx="43" formatCode="#,##0">
                  <c:v>23.24826952754939</c:v>
                </c:pt>
                <c:pt idx="44" formatCode="#,##0">
                  <c:v>23.157888476730232</c:v>
                </c:pt>
                <c:pt idx="45" formatCode="#,##0">
                  <c:v>23.316194172568871</c:v>
                </c:pt>
                <c:pt idx="46" formatCode="#,##0">
                  <c:v>23.110837286944431</c:v>
                </c:pt>
                <c:pt idx="47" formatCode="#,##0">
                  <c:v>22.908054150488248</c:v>
                </c:pt>
                <c:pt idx="48" formatCode="#,##0">
                  <c:v>22.966810754131135</c:v>
                </c:pt>
                <c:pt idx="49" formatCode="#,##0">
                  <c:v>23.009317108508196</c:v>
                </c:pt>
                <c:pt idx="50" formatCode="#,##0">
                  <c:v>22.728065506832671</c:v>
                </c:pt>
                <c:pt idx="51" formatCode="#,##0">
                  <c:v>22.692823434462554</c:v>
                </c:pt>
                <c:pt idx="52" formatCode="#,##0">
                  <c:v>22.616845752579991</c:v>
                </c:pt>
              </c:numCache>
            </c:numRef>
          </c:val>
          <c:extLst>
            <c:ext xmlns:c16="http://schemas.microsoft.com/office/drawing/2014/chart" uri="{C3380CC4-5D6E-409C-BE32-E72D297353CC}">
              <c16:uniqueId val="{00000005-582A-42C2-998F-C8B37D2597A7}"/>
            </c:ext>
          </c:extLst>
        </c:ser>
        <c:ser>
          <c:idx val="6"/>
          <c:order val="6"/>
          <c:tx>
            <c:strRef>
              <c:f>Aggregation!$A$30</c:f>
              <c:strCache>
                <c:ptCount val="1"/>
                <c:pt idx="0">
                  <c:v>OILandGAS_UPSTREAM_OPEX_BillionUSD</c:v>
                </c:pt>
              </c:strCache>
            </c:strRef>
          </c:tx>
          <c:spPr>
            <a:solidFill>
              <a:srgbClr val="AB30C4">
                <a:alpha val="50000"/>
              </a:srgbClr>
            </a:solidFill>
            <a:ln w="19050" cmpd="sng">
              <a:solidFill>
                <a:srgbClr val="AB30C4"/>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Aggregation!$B$30:$BB$30</c:f>
              <c:numCache>
                <c:formatCode>#,##0.0</c:formatCode>
                <c:ptCount val="53"/>
                <c:pt idx="0">
                  <c:v>0</c:v>
                </c:pt>
                <c:pt idx="1">
                  <c:v>0</c:v>
                </c:pt>
                <c:pt idx="2" formatCode="#,##0">
                  <c:v>45.605050486855163</c:v>
                </c:pt>
                <c:pt idx="3" formatCode="#,##0">
                  <c:v>45.910998798775481</c:v>
                </c:pt>
                <c:pt idx="4" formatCode="#,##0">
                  <c:v>45.051820344287187</c:v>
                </c:pt>
                <c:pt idx="5" formatCode="#,##0">
                  <c:v>47.199276245962736</c:v>
                </c:pt>
                <c:pt idx="6" formatCode="#,##0">
                  <c:v>49.520839734306762</c:v>
                </c:pt>
                <c:pt idx="7" formatCode="#,##0">
                  <c:v>55.639546657260148</c:v>
                </c:pt>
                <c:pt idx="8" formatCode="#,##0">
                  <c:v>56.929564935454096</c:v>
                </c:pt>
                <c:pt idx="9" formatCode="#,##0">
                  <c:v>66.313007751682989</c:v>
                </c:pt>
                <c:pt idx="10" formatCode="#,##0">
                  <c:v>81.863606098110012</c:v>
                </c:pt>
                <c:pt idx="11" formatCode="#,##0">
                  <c:v>78.028653026315794</c:v>
                </c:pt>
                <c:pt idx="12" formatCode="#,##0">
                  <c:v>74.959402054561394</c:v>
                </c:pt>
                <c:pt idx="13" formatCode="#,##0">
                  <c:v>87.667444738421054</c:v>
                </c:pt>
                <c:pt idx="14" formatCode="#,##0">
                  <c:v>89.012528023157884</c:v>
                </c:pt>
                <c:pt idx="15" formatCode="#,##0">
                  <c:v>99.298666996491221</c:v>
                </c:pt>
                <c:pt idx="16" formatCode="#,##0">
                  <c:v>113.45372125140349</c:v>
                </c:pt>
                <c:pt idx="17" formatCode="#,##0">
                  <c:v>110.22873948210527</c:v>
                </c:pt>
                <c:pt idx="18" formatCode="#,##0">
                  <c:v>98.339293830964905</c:v>
                </c:pt>
                <c:pt idx="19" formatCode="#,##0">
                  <c:v>104.23036292763156</c:v>
                </c:pt>
                <c:pt idx="20" formatCode="#,##0">
                  <c:v>107.11961215789475</c:v>
                </c:pt>
                <c:pt idx="21" formatCode="#,##0">
                  <c:v>120.17735024610708</c:v>
                </c:pt>
                <c:pt idx="22" formatCode="#,##0">
                  <c:v>122.57725781979678</c:v>
                </c:pt>
                <c:pt idx="23" formatCode="#,##0">
                  <c:v>123.71029336957548</c:v>
                </c:pt>
                <c:pt idx="24" formatCode="#,##0">
                  <c:v>123.93621597651745</c:v>
                </c:pt>
                <c:pt idx="25" formatCode="#,##0">
                  <c:v>123.92647828521174</c:v>
                </c:pt>
                <c:pt idx="26" formatCode="#,##0">
                  <c:v>124.46262076940582</c:v>
                </c:pt>
                <c:pt idx="27" formatCode="#,##0">
                  <c:v>124.71444239767362</c:v>
                </c:pt>
                <c:pt idx="28" formatCode="#,##0">
                  <c:v>125.23306816116096</c:v>
                </c:pt>
                <c:pt idx="29" formatCode="#,##0">
                  <c:v>125.84260753871212</c:v>
                </c:pt>
                <c:pt idx="30" formatCode="#,##0">
                  <c:v>125.92966420208558</c:v>
                </c:pt>
                <c:pt idx="31" formatCode="#,##0">
                  <c:v>126.18487314276533</c:v>
                </c:pt>
                <c:pt idx="32" formatCode="#,##0">
                  <c:v>126.37150881188458</c:v>
                </c:pt>
                <c:pt idx="33" formatCode="#,##0">
                  <c:v>126.50696946560529</c:v>
                </c:pt>
                <c:pt idx="34" formatCode="#,##0">
                  <c:v>126.42002060316656</c:v>
                </c:pt>
                <c:pt idx="35" formatCode="#,##0">
                  <c:v>126.2653176185395</c:v>
                </c:pt>
                <c:pt idx="36" formatCode="#,##0">
                  <c:v>126.19794720157083</c:v>
                </c:pt>
                <c:pt idx="37" formatCode="#,##0">
                  <c:v>125.97829185256657</c:v>
                </c:pt>
                <c:pt idx="38" formatCode="#,##0">
                  <c:v>125.68817522169107</c:v>
                </c:pt>
                <c:pt idx="39" formatCode="#,##0">
                  <c:v>125.35111335679282</c:v>
                </c:pt>
                <c:pt idx="40" formatCode="#,##0">
                  <c:v>125.13231262909414</c:v>
                </c:pt>
                <c:pt idx="41" formatCode="#,##0">
                  <c:v>124.93919414421819</c:v>
                </c:pt>
                <c:pt idx="42" formatCode="#,##0">
                  <c:v>124.73642402316753</c:v>
                </c:pt>
                <c:pt idx="43" formatCode="#,##0">
                  <c:v>124.67778784265644</c:v>
                </c:pt>
                <c:pt idx="44" formatCode="#,##0">
                  <c:v>124.53084712421816</c:v>
                </c:pt>
                <c:pt idx="45" formatCode="#,##0">
                  <c:v>124.30424885861117</c:v>
                </c:pt>
                <c:pt idx="46" formatCode="#,##0">
                  <c:v>124.08827602821361</c:v>
                </c:pt>
                <c:pt idx="47" formatCode="#,##0">
                  <c:v>123.69608294236087</c:v>
                </c:pt>
                <c:pt idx="48" formatCode="#,##0">
                  <c:v>123.38642746354371</c:v>
                </c:pt>
                <c:pt idx="49" formatCode="#,##0">
                  <c:v>123.13886608674906</c:v>
                </c:pt>
                <c:pt idx="50" formatCode="#,##0">
                  <c:v>122.89070255736658</c:v>
                </c:pt>
                <c:pt idx="51" formatCode="#,##0">
                  <c:v>122.43035873467826</c:v>
                </c:pt>
                <c:pt idx="52" formatCode="#,##0">
                  <c:v>122.16100242094498</c:v>
                </c:pt>
              </c:numCache>
            </c:numRef>
          </c:val>
          <c:extLst>
            <c:ext xmlns:c16="http://schemas.microsoft.com/office/drawing/2014/chart" uri="{C3380CC4-5D6E-409C-BE32-E72D297353CC}">
              <c16:uniqueId val="{00000006-582A-42C2-998F-C8B37D2597A7}"/>
            </c:ext>
          </c:extLst>
        </c:ser>
        <c:ser>
          <c:idx val="7"/>
          <c:order val="7"/>
          <c:tx>
            <c:strRef>
              <c:f>Aggregation!$A$31</c:f>
              <c:strCache>
                <c:ptCount val="1"/>
                <c:pt idx="0">
                  <c:v>OILandGAS_UPSTREAM_CAPEX_BillionUSD</c:v>
                </c:pt>
              </c:strCache>
            </c:strRef>
          </c:tx>
          <c:spPr>
            <a:solidFill>
              <a:srgbClr val="C1BC1F">
                <a:alpha val="50000"/>
              </a:srgbClr>
            </a:solidFill>
            <a:ln w="19050" cmpd="sng">
              <a:solidFill>
                <a:srgbClr val="C1BC1F"/>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Aggregation!$B$31:$BB$31</c:f>
              <c:numCache>
                <c:formatCode>#,##0.0</c:formatCode>
                <c:ptCount val="53"/>
                <c:pt idx="0">
                  <c:v>0</c:v>
                </c:pt>
                <c:pt idx="1">
                  <c:v>0</c:v>
                </c:pt>
                <c:pt idx="2" formatCode="#,##0">
                  <c:v>31.1</c:v>
                </c:pt>
                <c:pt idx="3" formatCode="#,##0">
                  <c:v>41.7</c:v>
                </c:pt>
                <c:pt idx="4" formatCode="#,##0">
                  <c:v>33.799999999999997</c:v>
                </c:pt>
                <c:pt idx="5" formatCode="#,##0">
                  <c:v>44.7</c:v>
                </c:pt>
                <c:pt idx="6" formatCode="#,##0">
                  <c:v>51.7</c:v>
                </c:pt>
                <c:pt idx="7" formatCode="#,##0">
                  <c:v>71.7</c:v>
                </c:pt>
                <c:pt idx="8" formatCode="#,##0">
                  <c:v>98.8</c:v>
                </c:pt>
                <c:pt idx="9" formatCode="#,##0">
                  <c:v>108.1</c:v>
                </c:pt>
                <c:pt idx="10" formatCode="#,##0">
                  <c:v>125.3</c:v>
                </c:pt>
                <c:pt idx="11" formatCode="#,##0">
                  <c:v>87.2</c:v>
                </c:pt>
                <c:pt idx="12" formatCode="#,##0">
                  <c:v>103.1</c:v>
                </c:pt>
                <c:pt idx="13" formatCode="#,##0">
                  <c:v>130.19999999999999</c:v>
                </c:pt>
                <c:pt idx="14" formatCode="#,##0">
                  <c:v>162.69999999999999</c:v>
                </c:pt>
                <c:pt idx="15" formatCode="#,##0">
                  <c:v>170.6</c:v>
                </c:pt>
                <c:pt idx="16" formatCode="#,##0">
                  <c:v>203.9</c:v>
                </c:pt>
                <c:pt idx="17" formatCode="#,##0">
                  <c:v>149.6</c:v>
                </c:pt>
                <c:pt idx="18" formatCode="#,##0">
                  <c:v>79.900000000000006</c:v>
                </c:pt>
                <c:pt idx="19" formatCode="#,##0">
                  <c:v>112.3</c:v>
                </c:pt>
                <c:pt idx="20" formatCode="#,##0">
                  <c:v>168.51053225525459</c:v>
                </c:pt>
                <c:pt idx="21" formatCode="#,##0">
                  <c:v>189.6636614658</c:v>
                </c:pt>
                <c:pt idx="22" formatCode="#,##0">
                  <c:v>206.58208897460003</c:v>
                </c:pt>
                <c:pt idx="23" formatCode="#,##0">
                  <c:v>217.35143697939998</c:v>
                </c:pt>
                <c:pt idx="24" formatCode="#,##0">
                  <c:v>220.1246443718</c:v>
                </c:pt>
                <c:pt idx="25" formatCode="#,##0">
                  <c:v>224.9103731056</c:v>
                </c:pt>
                <c:pt idx="26" formatCode="#,##0">
                  <c:v>235.1595854338</c:v>
                </c:pt>
                <c:pt idx="27" formatCode="#,##0">
                  <c:v>243.40610194919998</c:v>
                </c:pt>
                <c:pt idx="28" formatCode="#,##0">
                  <c:v>252.54794460580001</c:v>
                </c:pt>
                <c:pt idx="29" formatCode="#,##0">
                  <c:v>262.81876997820001</c:v>
                </c:pt>
                <c:pt idx="30" formatCode="#,##0">
                  <c:v>269.17502899580001</c:v>
                </c:pt>
                <c:pt idx="31" formatCode="#,##0">
                  <c:v>277.06953699439998</c:v>
                </c:pt>
                <c:pt idx="32" formatCode="#,##0">
                  <c:v>283.76404788460002</c:v>
                </c:pt>
                <c:pt idx="33" formatCode="#,##0">
                  <c:v>291.14727620539998</c:v>
                </c:pt>
                <c:pt idx="34" formatCode="#,##0">
                  <c:v>296.05841487179998</c:v>
                </c:pt>
                <c:pt idx="35" formatCode="#,##0">
                  <c:v>303.59918571139997</c:v>
                </c:pt>
                <c:pt idx="36" formatCode="#,##0">
                  <c:v>308.1018894046</c:v>
                </c:pt>
                <c:pt idx="37" formatCode="#,##0">
                  <c:v>313.61077377679999</c:v>
                </c:pt>
                <c:pt idx="38" formatCode="#,##0">
                  <c:v>319.71105381559994</c:v>
                </c:pt>
                <c:pt idx="39" formatCode="#,##0">
                  <c:v>321.29826848779999</c:v>
                </c:pt>
                <c:pt idx="40" formatCode="#,##0">
                  <c:v>326.7825854916</c:v>
                </c:pt>
                <c:pt idx="41" formatCode="#,##0">
                  <c:v>331.75652220199999</c:v>
                </c:pt>
                <c:pt idx="42" formatCode="#,##0">
                  <c:v>338.38938304940001</c:v>
                </c:pt>
                <c:pt idx="43" formatCode="#,##0">
                  <c:v>344.28561146660002</c:v>
                </c:pt>
                <c:pt idx="44" formatCode="#,##0">
                  <c:v>351.57226056080003</c:v>
                </c:pt>
                <c:pt idx="45" formatCode="#,##0">
                  <c:v>356.2649177596</c:v>
                </c:pt>
                <c:pt idx="46" formatCode="#,##0">
                  <c:v>361.84472090679998</c:v>
                </c:pt>
                <c:pt idx="47" formatCode="#,##0">
                  <c:v>366.70617757780002</c:v>
                </c:pt>
                <c:pt idx="48" formatCode="#,##0">
                  <c:v>371.80518041819994</c:v>
                </c:pt>
                <c:pt idx="49" formatCode="#,##0">
                  <c:v>377.372298871</c:v>
                </c:pt>
                <c:pt idx="50" formatCode="#,##0">
                  <c:v>383.21368043979999</c:v>
                </c:pt>
                <c:pt idx="51" formatCode="#,##0">
                  <c:v>387.59423119499996</c:v>
                </c:pt>
                <c:pt idx="52" formatCode="#,##0">
                  <c:v>392.99659759159999</c:v>
                </c:pt>
              </c:numCache>
            </c:numRef>
          </c:val>
          <c:extLst>
            <c:ext xmlns:c16="http://schemas.microsoft.com/office/drawing/2014/chart" uri="{C3380CC4-5D6E-409C-BE32-E72D297353CC}">
              <c16:uniqueId val="{00000007-582A-42C2-998F-C8B37D2597A7}"/>
            </c:ext>
          </c:extLst>
        </c:ser>
        <c:ser>
          <c:idx val="8"/>
          <c:order val="8"/>
          <c:tx>
            <c:strRef>
              <c:f>Aggregation!$A$32</c:f>
              <c:strCache>
                <c:ptCount val="1"/>
                <c:pt idx="0">
                  <c:v>NATURALGAS_ResidAndComm_OPEX_BillionUSD</c:v>
                </c:pt>
              </c:strCache>
            </c:strRef>
          </c:tx>
          <c:spPr>
            <a:solidFill>
              <a:srgbClr val="3949AB">
                <a:alpha val="50000"/>
              </a:srgbClr>
            </a:solidFill>
            <a:ln w="19050" cmpd="sng">
              <a:solidFill>
                <a:srgbClr val="3949AB"/>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Aggregation!$B$32:$BB$32</c:f>
              <c:numCache>
                <c:formatCode>#,##0.0</c:formatCode>
                <c:ptCount val="53"/>
                <c:pt idx="0">
                  <c:v>0</c:v>
                </c:pt>
                <c:pt idx="1">
                  <c:v>0</c:v>
                </c:pt>
                <c:pt idx="2" formatCode="#,##0">
                  <c:v>27.09</c:v>
                </c:pt>
                <c:pt idx="3" formatCode="#,##0">
                  <c:v>28.376148429528616</c:v>
                </c:pt>
                <c:pt idx="4" formatCode="#,##0">
                  <c:v>25.683887061413763</c:v>
                </c:pt>
                <c:pt idx="5" formatCode="#,##0">
                  <c:v>33.867736479376127</c:v>
                </c:pt>
                <c:pt idx="6" formatCode="#,##0">
                  <c:v>35.125351960279417</c:v>
                </c:pt>
                <c:pt idx="7" formatCode="#,##0">
                  <c:v>42</c:v>
                </c:pt>
                <c:pt idx="8" formatCode="#,##0">
                  <c:v>37.39177744216282</c:v>
                </c:pt>
                <c:pt idx="9" formatCode="#,##0">
                  <c:v>37.987458821131355</c:v>
                </c:pt>
                <c:pt idx="10" formatCode="#,##0">
                  <c:v>42.066294998488829</c:v>
                </c:pt>
                <c:pt idx="11" formatCode="#,##0">
                  <c:v>28.290072296267322</c:v>
                </c:pt>
                <c:pt idx="12" formatCode="#,##0">
                  <c:v>32.22</c:v>
                </c:pt>
                <c:pt idx="13" formatCode="#,##0">
                  <c:v>28.54700413903814</c:v>
                </c:pt>
                <c:pt idx="14" formatCode="#,##0">
                  <c:v>22.177215498534157</c:v>
                </c:pt>
                <c:pt idx="15" formatCode="#,##0">
                  <c:v>27.358939972147311</c:v>
                </c:pt>
                <c:pt idx="16" formatCode="#,##0">
                  <c:v>30.050971154827479</c:v>
                </c:pt>
                <c:pt idx="17" formatCode="#,##0">
                  <c:v>21.83</c:v>
                </c:pt>
                <c:pt idx="18" formatCode="#,##0">
                  <c:v>20.84</c:v>
                </c:pt>
                <c:pt idx="19" formatCode="#,##0">
                  <c:v>23.32</c:v>
                </c:pt>
                <c:pt idx="20" formatCode="#,##0">
                  <c:v>24.593436994116217</c:v>
                </c:pt>
                <c:pt idx="21" formatCode="#,##0">
                  <c:v>24.218847414654583</c:v>
                </c:pt>
                <c:pt idx="22" formatCode="#,##0">
                  <c:v>25.003388150473008</c:v>
                </c:pt>
                <c:pt idx="23" formatCode="#,##0">
                  <c:v>24.981035713788252</c:v>
                </c:pt>
                <c:pt idx="24" formatCode="#,##0">
                  <c:v>25.423886128356887</c:v>
                </c:pt>
                <c:pt idx="25" formatCode="#,##0">
                  <c:v>26.54607160194189</c:v>
                </c:pt>
                <c:pt idx="26" formatCode="#,##0">
                  <c:v>27.867956229847074</c:v>
                </c:pt>
                <c:pt idx="27" formatCode="#,##0">
                  <c:v>29.388947563473916</c:v>
                </c:pt>
                <c:pt idx="28" formatCode="#,##0">
                  <c:v>30.113177569129945</c:v>
                </c:pt>
                <c:pt idx="29" formatCode="#,##0">
                  <c:v>30.606870872621393</c:v>
                </c:pt>
                <c:pt idx="30" formatCode="#,##0">
                  <c:v>31.350784384845543</c:v>
                </c:pt>
                <c:pt idx="31" formatCode="#,##0">
                  <c:v>31.802653871584717</c:v>
                </c:pt>
                <c:pt idx="32" formatCode="#,##0">
                  <c:v>32.33471794697212</c:v>
                </c:pt>
                <c:pt idx="33" formatCode="#,##0">
                  <c:v>32.630007371946903</c:v>
                </c:pt>
                <c:pt idx="34" formatCode="#,##0">
                  <c:v>33.58913993158933</c:v>
                </c:pt>
                <c:pt idx="35" formatCode="#,##0">
                  <c:v>34.211737869473836</c:v>
                </c:pt>
                <c:pt idx="36" formatCode="#,##0">
                  <c:v>34.762447973108493</c:v>
                </c:pt>
                <c:pt idx="37" formatCode="#,##0">
                  <c:v>35.309440928755087</c:v>
                </c:pt>
                <c:pt idx="38" formatCode="#,##0">
                  <c:v>36.005523413272016</c:v>
                </c:pt>
                <c:pt idx="39" formatCode="#,##0">
                  <c:v>36.463920263139187</c:v>
                </c:pt>
                <c:pt idx="40" formatCode="#,##0">
                  <c:v>36.880766327458957</c:v>
                </c:pt>
                <c:pt idx="41" formatCode="#,##0">
                  <c:v>37.346471358728479</c:v>
                </c:pt>
                <c:pt idx="42" formatCode="#,##0">
                  <c:v>37.966633875970871</c:v>
                </c:pt>
                <c:pt idx="43" formatCode="#,##0">
                  <c:v>38.298948585067791</c:v>
                </c:pt>
                <c:pt idx="44" formatCode="#,##0">
                  <c:v>38.851328254271934</c:v>
                </c:pt>
                <c:pt idx="45" formatCode="#,##0">
                  <c:v>39.481575352846647</c:v>
                </c:pt>
                <c:pt idx="46" formatCode="#,##0">
                  <c:v>40.184289075123587</c:v>
                </c:pt>
                <c:pt idx="47" formatCode="#,##0">
                  <c:v>40.858600041311817</c:v>
                </c:pt>
                <c:pt idx="48" formatCode="#,##0">
                  <c:v>41.44782133571988</c:v>
                </c:pt>
                <c:pt idx="49" formatCode="#,##0">
                  <c:v>42.10329972810969</c:v>
                </c:pt>
                <c:pt idx="50" formatCode="#,##0">
                  <c:v>42.972746544255259</c:v>
                </c:pt>
                <c:pt idx="51" formatCode="#,##0">
                  <c:v>43.724194658550331</c:v>
                </c:pt>
                <c:pt idx="52" formatCode="#,##0">
                  <c:v>44.421130481766269</c:v>
                </c:pt>
              </c:numCache>
            </c:numRef>
          </c:val>
          <c:extLst>
            <c:ext xmlns:c16="http://schemas.microsoft.com/office/drawing/2014/chart" uri="{C3380CC4-5D6E-409C-BE32-E72D297353CC}">
              <c16:uniqueId val="{00000008-582A-42C2-998F-C8B37D2597A7}"/>
            </c:ext>
          </c:extLst>
        </c:ser>
        <c:ser>
          <c:idx val="9"/>
          <c:order val="9"/>
          <c:tx>
            <c:strRef>
              <c:f>Aggregation!$A$33</c:f>
              <c:strCache>
                <c:ptCount val="1"/>
                <c:pt idx="0">
                  <c:v>NATURALGAS_ResidAndComm_CAPEX_BillionUSD</c:v>
                </c:pt>
              </c:strCache>
            </c:strRef>
          </c:tx>
          <c:spPr>
            <a:solidFill>
              <a:srgbClr val="F975A8">
                <a:alpha val="50000"/>
              </a:srgbClr>
            </a:solidFill>
            <a:ln w="19050" cmpd="sng">
              <a:solidFill>
                <a:srgbClr val="F975A8"/>
              </a:solidFill>
            </a:ln>
          </c:spPr>
          <c:cat>
            <c:strRef>
              <c:f>Aggregation!$B$1:$BB$1</c:f>
              <c:strCache>
                <c:ptCount val="53"/>
                <c:pt idx="0">
                  <c:v>type</c:v>
                </c:pt>
                <c:pt idx="1">
                  <c:v>value</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pt idx="27">
                  <c:v>2025</c:v>
                </c:pt>
                <c:pt idx="28">
                  <c:v>2026</c:v>
                </c:pt>
                <c:pt idx="29">
                  <c:v>2027</c:v>
                </c:pt>
                <c:pt idx="30">
                  <c:v>2028</c:v>
                </c:pt>
                <c:pt idx="31">
                  <c:v>2029</c:v>
                </c:pt>
                <c:pt idx="32">
                  <c:v>2030</c:v>
                </c:pt>
                <c:pt idx="33">
                  <c:v>2031</c:v>
                </c:pt>
                <c:pt idx="34">
                  <c:v>2032</c:v>
                </c:pt>
                <c:pt idx="35">
                  <c:v>2033</c:v>
                </c:pt>
                <c:pt idx="36">
                  <c:v>2034</c:v>
                </c:pt>
                <c:pt idx="37">
                  <c:v>2035</c:v>
                </c:pt>
                <c:pt idx="38">
                  <c:v>2036</c:v>
                </c:pt>
                <c:pt idx="39">
                  <c:v>2037</c:v>
                </c:pt>
                <c:pt idx="40">
                  <c:v>2038</c:v>
                </c:pt>
                <c:pt idx="41">
                  <c:v>2039</c:v>
                </c:pt>
                <c:pt idx="42">
                  <c:v>2040</c:v>
                </c:pt>
                <c:pt idx="43">
                  <c:v>2041</c:v>
                </c:pt>
                <c:pt idx="44">
                  <c:v>2042</c:v>
                </c:pt>
                <c:pt idx="45">
                  <c:v>2043</c:v>
                </c:pt>
                <c:pt idx="46">
                  <c:v>2044</c:v>
                </c:pt>
                <c:pt idx="47">
                  <c:v>2045</c:v>
                </c:pt>
                <c:pt idx="48">
                  <c:v>2046</c:v>
                </c:pt>
                <c:pt idx="49">
                  <c:v>2047</c:v>
                </c:pt>
                <c:pt idx="50">
                  <c:v>2048</c:v>
                </c:pt>
                <c:pt idx="51">
                  <c:v>2049</c:v>
                </c:pt>
                <c:pt idx="52">
                  <c:v>2050</c:v>
                </c:pt>
              </c:strCache>
            </c:strRef>
          </c:cat>
          <c:val>
            <c:numRef>
              <c:f>Aggregation!$B$33:$BB$33</c:f>
              <c:numCache>
                <c:formatCode>#,##0.0</c:formatCode>
                <c:ptCount val="53"/>
                <c:pt idx="0">
                  <c:v>0</c:v>
                </c:pt>
                <c:pt idx="1">
                  <c:v>0</c:v>
                </c:pt>
                <c:pt idx="2" formatCode="#,##0">
                  <c:v>5.44</c:v>
                </c:pt>
                <c:pt idx="3" formatCode="#,##0">
                  <c:v>4.55</c:v>
                </c:pt>
                <c:pt idx="4" formatCode="#,##0">
                  <c:v>4.8899999999999997</c:v>
                </c:pt>
                <c:pt idx="5" formatCode="#,##0">
                  <c:v>3.93</c:v>
                </c:pt>
                <c:pt idx="6" formatCode="#,##0">
                  <c:v>5.55</c:v>
                </c:pt>
                <c:pt idx="7" formatCode="#,##0">
                  <c:v>5.0199999999999996</c:v>
                </c:pt>
                <c:pt idx="8" formatCode="#,##0">
                  <c:v>5.16</c:v>
                </c:pt>
                <c:pt idx="9" formatCode="#,##0">
                  <c:v>4.8499999999999996</c:v>
                </c:pt>
                <c:pt idx="10" formatCode="#,##0">
                  <c:v>5.43</c:v>
                </c:pt>
                <c:pt idx="11" formatCode="#,##0">
                  <c:v>4.95</c:v>
                </c:pt>
                <c:pt idx="12" formatCode="#,##0">
                  <c:v>5.67</c:v>
                </c:pt>
                <c:pt idx="13" formatCode="#,##0">
                  <c:v>6.99</c:v>
                </c:pt>
                <c:pt idx="14" formatCode="#,##0">
                  <c:v>7.36</c:v>
                </c:pt>
                <c:pt idx="15" formatCode="#,##0">
                  <c:v>8</c:v>
                </c:pt>
                <c:pt idx="16" formatCode="#,##0">
                  <c:v>9.67</c:v>
                </c:pt>
                <c:pt idx="17" formatCode="#,##0">
                  <c:v>11.61</c:v>
                </c:pt>
                <c:pt idx="18" formatCode="#,##0">
                  <c:v>13.43</c:v>
                </c:pt>
                <c:pt idx="19" formatCode="#,##0">
                  <c:v>14.88</c:v>
                </c:pt>
                <c:pt idx="20" formatCode="#,##0">
                  <c:v>13.876557365808907</c:v>
                </c:pt>
                <c:pt idx="21" formatCode="#,##0">
                  <c:v>14.5110666816717</c:v>
                </c:pt>
                <c:pt idx="22" formatCode="#,##0">
                  <c:v>15.046960617135724</c:v>
                </c:pt>
                <c:pt idx="23" formatCode="#,##0">
                  <c:v>15.667403270443138</c:v>
                </c:pt>
                <c:pt idx="24" formatCode="#,##0">
                  <c:v>16.252130669252068</c:v>
                </c:pt>
                <c:pt idx="25" formatCode="#,##0">
                  <c:v>16.77532627137748</c:v>
                </c:pt>
                <c:pt idx="26" formatCode="#,##0">
                  <c:v>17.277603965551457</c:v>
                </c:pt>
                <c:pt idx="27" formatCode="#,##0">
                  <c:v>17.753091072202544</c:v>
                </c:pt>
                <c:pt idx="28" formatCode="#,##0">
                  <c:v>18.326308844255244</c:v>
                </c:pt>
                <c:pt idx="29" formatCode="#,##0">
                  <c:v>18.935736467948054</c:v>
                </c:pt>
                <c:pt idx="30" formatCode="#,##0">
                  <c:v>19.51819606367156</c:v>
                </c:pt>
                <c:pt idx="31" formatCode="#,##0">
                  <c:v>20.147538186826061</c:v>
                </c:pt>
                <c:pt idx="32" formatCode="#,##0">
                  <c:v>20.772869828698013</c:v>
                </c:pt>
                <c:pt idx="33" formatCode="#,##0">
                  <c:v>21.440914417356694</c:v>
                </c:pt>
                <c:pt idx="34" formatCode="#,##0">
                  <c:v>22.014680818569801</c:v>
                </c:pt>
                <c:pt idx="35" formatCode="#,##0">
                  <c:v>22.645242836738809</c:v>
                </c:pt>
                <c:pt idx="36" formatCode="#,##0">
                  <c:v>23.293874215853691</c:v>
                </c:pt>
                <c:pt idx="37" formatCode="#,##0">
                  <c:v>23.949762640467256</c:v>
                </c:pt>
                <c:pt idx="38" formatCode="#,##0">
                  <c:v>24.585154236688922</c:v>
                </c:pt>
                <c:pt idx="39" formatCode="#,##0">
                  <c:v>25.269909073197969</c:v>
                </c:pt>
                <c:pt idx="40" formatCode="#,##0">
                  <c:v>25.970076162276651</c:v>
                </c:pt>
                <c:pt idx="41" formatCode="#,##0">
                  <c:v>26.668422960862411</c:v>
                </c:pt>
                <c:pt idx="42" formatCode="#,##0">
                  <c:v>27.342580871620019</c:v>
                </c:pt>
                <c:pt idx="43" formatCode="#,##0">
                  <c:v>28.082566744033144</c:v>
                </c:pt>
                <c:pt idx="44" formatCode="#,##0">
                  <c:v>28.78392387551574</c:v>
                </c:pt>
                <c:pt idx="45" formatCode="#,##0">
                  <c:v>29.473945012542682</c:v>
                </c:pt>
                <c:pt idx="46" formatCode="#,##0">
                  <c:v>30.151830351800527</c:v>
                </c:pt>
                <c:pt idx="47" formatCode="#,##0">
                  <c:v>30.839841041357694</c:v>
                </c:pt>
                <c:pt idx="48" formatCode="#,##0">
                  <c:v>31.552836181854129</c:v>
                </c:pt>
                <c:pt idx="49" formatCode="#,##0">
                  <c:v>32.253511827711307</c:v>
                </c:pt>
                <c:pt idx="50" formatCode="#,##0">
                  <c:v>32.899266488361178</c:v>
                </c:pt>
                <c:pt idx="51" formatCode="#,##0">
                  <c:v>33.576977129495781</c:v>
                </c:pt>
                <c:pt idx="52" formatCode="#,##0">
                  <c:v>34.271691174335615</c:v>
                </c:pt>
              </c:numCache>
            </c:numRef>
          </c:val>
          <c:extLst>
            <c:ext xmlns:c16="http://schemas.microsoft.com/office/drawing/2014/chart" uri="{C3380CC4-5D6E-409C-BE32-E72D297353CC}">
              <c16:uniqueId val="{00000009-582A-42C2-998F-C8B37D2597A7}"/>
            </c:ext>
          </c:extLst>
        </c:ser>
        <c:dLbls>
          <c:showLegendKey val="0"/>
          <c:showVal val="0"/>
          <c:showCatName val="0"/>
          <c:showSerName val="0"/>
          <c:showPercent val="0"/>
          <c:showBubbleSize val="0"/>
        </c:dLbls>
        <c:axId val="776760312"/>
        <c:axId val="193384034"/>
      </c:areaChart>
      <c:catAx>
        <c:axId val="776760312"/>
        <c:scaling>
          <c:orientation val="minMax"/>
        </c:scaling>
        <c:delete val="0"/>
        <c:axPos val="b"/>
        <c:title>
          <c:tx>
            <c:rich>
              <a:bodyPr/>
              <a:lstStyle/>
              <a:p>
                <a:pPr lvl="0">
                  <a:defRPr b="0">
                    <a:solidFill>
                      <a:srgbClr val="000000"/>
                    </a:solidFill>
                    <a:latin typeface="Roboto"/>
                  </a:defRPr>
                </a:pPr>
                <a:r>
                  <a:t>Year</a:t>
                </a: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93384034"/>
        <c:crosses val="autoZero"/>
        <c:auto val="1"/>
        <c:lblAlgn val="ctr"/>
        <c:lblOffset val="100"/>
        <c:noMultiLvlLbl val="1"/>
      </c:catAx>
      <c:valAx>
        <c:axId val="193384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Billions</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776760312"/>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Heating)'!$A$43</c:f>
              <c:strCache>
                <c:ptCount val="1"/>
                <c:pt idx="0">
                  <c:v>LDC Total Interest Charges from AGA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Heating)'!$B$44:$S$44</c:f>
              <c:numCache>
                <c:formatCode>"$"#,##0.00</c:formatCode>
                <c:ptCount val="18"/>
                <c:pt idx="0">
                  <c:v>5.44</c:v>
                </c:pt>
                <c:pt idx="1">
                  <c:v>4.55</c:v>
                </c:pt>
                <c:pt idx="2">
                  <c:v>4.8899999999999997</c:v>
                </c:pt>
                <c:pt idx="3">
                  <c:v>3.93</c:v>
                </c:pt>
                <c:pt idx="4">
                  <c:v>5.55</c:v>
                </c:pt>
                <c:pt idx="5">
                  <c:v>5.0199999999999996</c:v>
                </c:pt>
                <c:pt idx="6">
                  <c:v>5.16</c:v>
                </c:pt>
                <c:pt idx="7">
                  <c:v>4.8499999999999996</c:v>
                </c:pt>
                <c:pt idx="8">
                  <c:v>5.43</c:v>
                </c:pt>
                <c:pt idx="9">
                  <c:v>4.95</c:v>
                </c:pt>
                <c:pt idx="10">
                  <c:v>5.67</c:v>
                </c:pt>
                <c:pt idx="11">
                  <c:v>6.99</c:v>
                </c:pt>
                <c:pt idx="12">
                  <c:v>7.36</c:v>
                </c:pt>
                <c:pt idx="13">
                  <c:v>8</c:v>
                </c:pt>
                <c:pt idx="14">
                  <c:v>9.67</c:v>
                </c:pt>
                <c:pt idx="15">
                  <c:v>11.61</c:v>
                </c:pt>
                <c:pt idx="16">
                  <c:v>13.43</c:v>
                </c:pt>
                <c:pt idx="17">
                  <c:v>14.88</c:v>
                </c:pt>
              </c:numCache>
            </c:numRef>
          </c:xVal>
          <c:yVal>
            <c:numRef>
              <c:f>'Assumptions (NG Heating)'!$B$43:$S$43</c:f>
              <c:numCache>
                <c:formatCode>"$"#,##0.00</c:formatCode>
                <c:ptCount val="18"/>
                <c:pt idx="0">
                  <c:v>1.38</c:v>
                </c:pt>
                <c:pt idx="1">
                  <c:v>1.41</c:v>
                </c:pt>
                <c:pt idx="2">
                  <c:v>1.44</c:v>
                </c:pt>
                <c:pt idx="3">
                  <c:v>1.47</c:v>
                </c:pt>
                <c:pt idx="4">
                  <c:v>1.5</c:v>
                </c:pt>
                <c:pt idx="5">
                  <c:v>1.53</c:v>
                </c:pt>
                <c:pt idx="6">
                  <c:v>1.518</c:v>
                </c:pt>
                <c:pt idx="7">
                  <c:v>1.506</c:v>
                </c:pt>
                <c:pt idx="8">
                  <c:v>1.494</c:v>
                </c:pt>
                <c:pt idx="9">
                  <c:v>1.482</c:v>
                </c:pt>
                <c:pt idx="10">
                  <c:v>1.47</c:v>
                </c:pt>
                <c:pt idx="11">
                  <c:v>1.454</c:v>
                </c:pt>
                <c:pt idx="12">
                  <c:v>1.4379999999999999</c:v>
                </c:pt>
                <c:pt idx="13">
                  <c:v>1.4219999999999999</c:v>
                </c:pt>
                <c:pt idx="14">
                  <c:v>1.4059999999999999</c:v>
                </c:pt>
                <c:pt idx="15">
                  <c:v>1.39</c:v>
                </c:pt>
                <c:pt idx="16">
                  <c:v>1.52</c:v>
                </c:pt>
                <c:pt idx="17">
                  <c:v>1.71</c:v>
                </c:pt>
              </c:numCache>
            </c:numRef>
          </c:yVal>
          <c:smooth val="1"/>
          <c:extLst>
            <c:ext xmlns:c16="http://schemas.microsoft.com/office/drawing/2014/chart" uri="{C3380CC4-5D6E-409C-BE32-E72D297353CC}">
              <c16:uniqueId val="{00000000-BA71-4637-ABD4-962E03500C69}"/>
            </c:ext>
          </c:extLst>
        </c:ser>
        <c:dLbls>
          <c:showLegendKey val="0"/>
          <c:showVal val="0"/>
          <c:showCatName val="0"/>
          <c:showSerName val="0"/>
          <c:showPercent val="0"/>
          <c:showBubbleSize val="0"/>
        </c:dLbls>
        <c:axId val="1928625597"/>
        <c:axId val="869659577"/>
      </c:scatterChart>
      <c:valAx>
        <c:axId val="19286255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869659577"/>
        <c:crosses val="autoZero"/>
        <c:crossBetween val="midCat"/>
      </c:valAx>
      <c:valAx>
        <c:axId val="869659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928625597"/>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(NG Heating)'!$A$39</c:f>
              <c:strCache>
                <c:ptCount val="1"/>
                <c:pt idx="0">
                  <c:v>LDC Revenues from AGA ($billion)</c:v>
                </c:pt>
              </c:strCache>
            </c:strRef>
          </c:tx>
          <c:marker>
            <c:symbol val="none"/>
          </c:marker>
          <c:val>
            <c:numRef>
              <c:f>'Assumptions (NG Heating)'!$B$39:$AZ$39</c:f>
              <c:numCache>
                <c:formatCode>"$"#,##0.00</c:formatCode>
                <c:ptCount val="51"/>
                <c:pt idx="0">
                  <c:v>34.700000000000003</c:v>
                </c:pt>
                <c:pt idx="1">
                  <c:v>39.205040756256089</c:v>
                </c:pt>
                <c:pt idx="2">
                  <c:v>36.972047503878471</c:v>
                </c:pt>
                <c:pt idx="3">
                  <c:v>43.759828491717847</c:v>
                </c:pt>
                <c:pt idx="4">
                  <c:v>44.802909567055281</c:v>
                </c:pt>
                <c:pt idx="5">
                  <c:v>51.02</c:v>
                </c:pt>
                <c:pt idx="6">
                  <c:v>46.682709525558579</c:v>
                </c:pt>
                <c:pt idx="7">
                  <c:v>47.176774669291298</c:v>
                </c:pt>
                <c:pt idx="8">
                  <c:v>50.559809381099555</c:v>
                </c:pt>
                <c:pt idx="9">
                  <c:v>39.13364819866878</c:v>
                </c:pt>
                <c:pt idx="10">
                  <c:v>44.62</c:v>
                </c:pt>
                <c:pt idx="11">
                  <c:v>39.346750491790459</c:v>
                </c:pt>
                <c:pt idx="12">
                  <c:v>34.063572854666567</c:v>
                </c:pt>
                <c:pt idx="13">
                  <c:v>38.361356094545712</c:v>
                </c:pt>
                <c:pt idx="14">
                  <c:v>40.594158428415732</c:v>
                </c:pt>
                <c:pt idx="15">
                  <c:v>33.11</c:v>
                </c:pt>
                <c:pt idx="16">
                  <c:v>33.130000000000003</c:v>
                </c:pt>
                <c:pt idx="17">
                  <c:v>36.799999999999997</c:v>
                </c:pt>
                <c:pt idx="18">
                  <c:v>36.167615389237568</c:v>
                </c:pt>
                <c:pt idx="19">
                  <c:v>35.856926385095861</c:v>
                </c:pt>
                <c:pt idx="20">
                  <c:v>36.507633701274671</c:v>
                </c:pt>
                <c:pt idx="21">
                  <c:v>36.48909432731849</c:v>
                </c:pt>
                <c:pt idx="22">
                  <c:v>36.856399671166592</c:v>
                </c:pt>
                <c:pt idx="23">
                  <c:v>37.78715350514004</c:v>
                </c:pt>
                <c:pt idx="24">
                  <c:v>38.88354016710845</c:v>
                </c:pt>
                <c:pt idx="25">
                  <c:v>40.145068273234244</c:v>
                </c:pt>
                <c:pt idx="26">
                  <c:v>40.745753160278362</c:v>
                </c:pt>
                <c:pt idx="27">
                  <c:v>41.155228194350684</c:v>
                </c:pt>
                <c:pt idx="28">
                  <c:v>41.772238813313066</c:v>
                </c:pt>
                <c:pt idx="29">
                  <c:v>42.147024681726144</c:v>
                </c:pt>
                <c:pt idx="30">
                  <c:v>42.588324885429813</c:v>
                </c:pt>
                <c:pt idx="31">
                  <c:v>42.83324140849713</c:v>
                </c:pt>
                <c:pt idx="32">
                  <c:v>43.62875723737703</c:v>
                </c:pt>
                <c:pt idx="33">
                  <c:v>44.145147291740059</c:v>
                </c:pt>
                <c:pt idx="34">
                  <c:v>44.601912730637039</c:v>
                </c:pt>
                <c:pt idx="35">
                  <c:v>45.055595123261568</c:v>
                </c:pt>
                <c:pt idx="36">
                  <c:v>45.632934125125615</c:v>
                </c:pt>
                <c:pt idx="37">
                  <c:v>46.013133865309563</c:v>
                </c:pt>
                <c:pt idx="38">
                  <c:v>46.358870895127723</c:v>
                </c:pt>
                <c:pt idx="39">
                  <c:v>46.745132126945379</c:v>
                </c:pt>
                <c:pt idx="40">
                  <c:v>47.259502214775836</c:v>
                </c:pt>
                <c:pt idx="41">
                  <c:v>47.53512794408563</c:v>
                </c:pt>
                <c:pt idx="42">
                  <c:v>47.993278140307893</c:v>
                </c:pt>
                <c:pt idx="43">
                  <c:v>48.516012498537513</c:v>
                </c:pt>
                <c:pt idx="44">
                  <c:v>49.098851527014261</c:v>
                </c:pt>
                <c:pt idx="45">
                  <c:v>49.658132975440978</c:v>
                </c:pt>
                <c:pt idx="46">
                  <c:v>50.146840049038254</c:v>
                </c:pt>
                <c:pt idx="47">
                  <c:v>50.690501539196859</c:v>
                </c:pt>
                <c:pt idx="48">
                  <c:v>51.411630957294065</c:v>
                </c:pt>
                <c:pt idx="49">
                  <c:v>52.034890863856454</c:v>
                </c:pt>
                <c:pt idx="50">
                  <c:v>52.612937634876729</c:v>
                </c:pt>
              </c:numCache>
            </c:numRef>
          </c:val>
          <c:smooth val="0"/>
          <c:extLst>
            <c:ext xmlns:c16="http://schemas.microsoft.com/office/drawing/2014/chart" uri="{C3380CC4-5D6E-409C-BE32-E72D297353CC}">
              <c16:uniqueId val="{00000000-CC48-43EB-9D1E-8907CDD51ECB}"/>
            </c:ext>
          </c:extLst>
        </c:ser>
        <c:ser>
          <c:idx val="1"/>
          <c:order val="1"/>
          <c:tx>
            <c:strRef>
              <c:f>'Assumptions (NG Heating)'!$A$40</c:f>
              <c:strCache>
                <c:ptCount val="1"/>
                <c:pt idx="0">
                  <c:v>LDC O&amp;M Cost from AGA ($billion)</c:v>
                </c:pt>
              </c:strCache>
            </c:strRef>
          </c:tx>
          <c:marker>
            <c:symbol val="none"/>
          </c:marker>
          <c:val>
            <c:numRef>
              <c:f>'Assumptions (NG Heating)'!$B$40:$AZ$40</c:f>
              <c:numCache>
                <c:formatCode>"$"#,##0.00</c:formatCode>
                <c:ptCount val="51"/>
                <c:pt idx="0">
                  <c:v>27.09</c:v>
                </c:pt>
                <c:pt idx="1">
                  <c:v>28.376148429528616</c:v>
                </c:pt>
                <c:pt idx="2">
                  <c:v>25.683887061413763</c:v>
                </c:pt>
                <c:pt idx="3">
                  <c:v>33.867736479376127</c:v>
                </c:pt>
                <c:pt idx="4">
                  <c:v>35.125351960279417</c:v>
                </c:pt>
                <c:pt idx="5">
                  <c:v>42</c:v>
                </c:pt>
                <c:pt idx="6">
                  <c:v>37.39177744216282</c:v>
                </c:pt>
                <c:pt idx="7">
                  <c:v>37.987458821131355</c:v>
                </c:pt>
                <c:pt idx="8">
                  <c:v>42.066294998488829</c:v>
                </c:pt>
                <c:pt idx="9">
                  <c:v>28.290072296267322</c:v>
                </c:pt>
                <c:pt idx="10">
                  <c:v>32.22</c:v>
                </c:pt>
                <c:pt idx="11">
                  <c:v>28.54700413903814</c:v>
                </c:pt>
                <c:pt idx="12">
                  <c:v>22.177215498534157</c:v>
                </c:pt>
                <c:pt idx="13">
                  <c:v>27.358939972147311</c:v>
                </c:pt>
                <c:pt idx="14">
                  <c:v>30.050971154827479</c:v>
                </c:pt>
                <c:pt idx="15">
                  <c:v>21.83</c:v>
                </c:pt>
                <c:pt idx="16">
                  <c:v>20.84</c:v>
                </c:pt>
                <c:pt idx="17">
                  <c:v>23.32</c:v>
                </c:pt>
                <c:pt idx="18">
                  <c:v>24.593436994116217</c:v>
                </c:pt>
                <c:pt idx="19">
                  <c:v>24.218847414654583</c:v>
                </c:pt>
                <c:pt idx="20">
                  <c:v>25.003388150473008</c:v>
                </c:pt>
                <c:pt idx="21">
                  <c:v>24.981035713788252</c:v>
                </c:pt>
                <c:pt idx="22">
                  <c:v>25.423886128356887</c:v>
                </c:pt>
                <c:pt idx="23">
                  <c:v>26.54607160194189</c:v>
                </c:pt>
                <c:pt idx="24">
                  <c:v>27.867956229847074</c:v>
                </c:pt>
                <c:pt idx="25">
                  <c:v>29.388947563473916</c:v>
                </c:pt>
                <c:pt idx="26">
                  <c:v>30.113177569129945</c:v>
                </c:pt>
                <c:pt idx="27">
                  <c:v>30.606870872621393</c:v>
                </c:pt>
                <c:pt idx="28">
                  <c:v>31.350784384845543</c:v>
                </c:pt>
                <c:pt idx="29">
                  <c:v>31.802653871584717</c:v>
                </c:pt>
                <c:pt idx="30">
                  <c:v>32.33471794697212</c:v>
                </c:pt>
                <c:pt idx="31">
                  <c:v>32.630007371946903</c:v>
                </c:pt>
                <c:pt idx="32">
                  <c:v>33.58913993158933</c:v>
                </c:pt>
                <c:pt idx="33">
                  <c:v>34.211737869473836</c:v>
                </c:pt>
                <c:pt idx="34">
                  <c:v>34.762447973108493</c:v>
                </c:pt>
                <c:pt idx="35">
                  <c:v>35.309440928755087</c:v>
                </c:pt>
                <c:pt idx="36">
                  <c:v>36.005523413272016</c:v>
                </c:pt>
                <c:pt idx="37">
                  <c:v>36.463920263139187</c:v>
                </c:pt>
                <c:pt idx="38">
                  <c:v>36.880766327458957</c:v>
                </c:pt>
                <c:pt idx="39">
                  <c:v>37.346471358728479</c:v>
                </c:pt>
                <c:pt idx="40">
                  <c:v>37.966633875970871</c:v>
                </c:pt>
                <c:pt idx="41">
                  <c:v>38.298948585067791</c:v>
                </c:pt>
                <c:pt idx="42">
                  <c:v>38.851328254271934</c:v>
                </c:pt>
                <c:pt idx="43">
                  <c:v>39.481575352846647</c:v>
                </c:pt>
                <c:pt idx="44">
                  <c:v>40.184289075123587</c:v>
                </c:pt>
                <c:pt idx="45">
                  <c:v>40.858600041311817</c:v>
                </c:pt>
                <c:pt idx="46">
                  <c:v>41.44782133571988</c:v>
                </c:pt>
                <c:pt idx="47">
                  <c:v>42.10329972810969</c:v>
                </c:pt>
                <c:pt idx="48">
                  <c:v>42.972746544255259</c:v>
                </c:pt>
                <c:pt idx="49">
                  <c:v>43.724194658550331</c:v>
                </c:pt>
                <c:pt idx="50">
                  <c:v>44.421130481766269</c:v>
                </c:pt>
              </c:numCache>
            </c:numRef>
          </c:val>
          <c:smooth val="0"/>
          <c:extLst>
            <c:ext xmlns:c16="http://schemas.microsoft.com/office/drawing/2014/chart" uri="{C3380CC4-5D6E-409C-BE32-E72D297353CC}">
              <c16:uniqueId val="{00000001-CC48-43EB-9D1E-8907CDD51ECB}"/>
            </c:ext>
          </c:extLst>
        </c:ser>
        <c:ser>
          <c:idx val="2"/>
          <c:order val="2"/>
          <c:tx>
            <c:strRef>
              <c:f>'Assumptions (NG Heating)'!$A$41</c:f>
              <c:strCache>
                <c:ptCount val="1"/>
                <c:pt idx="0">
                  <c:v>LDC DD&amp;A inc Retriements from AGA ($billion)</c:v>
                </c:pt>
              </c:strCache>
            </c:strRef>
          </c:tx>
          <c:marker>
            <c:symbol val="none"/>
          </c:marker>
          <c:val>
            <c:numRef>
              <c:f>'Assumptions (NG Heating)'!$B$41:$AZ$41</c:f>
              <c:numCache>
                <c:formatCode>"$"#,##0.00</c:formatCode>
                <c:ptCount val="51"/>
                <c:pt idx="0">
                  <c:v>2.09</c:v>
                </c:pt>
                <c:pt idx="1">
                  <c:v>1.8246239300146319</c:v>
                </c:pt>
                <c:pt idx="2">
                  <c:v>1.9514584541367337</c:v>
                </c:pt>
                <c:pt idx="3">
                  <c:v>1.5668053895508587</c:v>
                </c:pt>
                <c:pt idx="4">
                  <c:v>2.1742843528546838</c:v>
                </c:pt>
                <c:pt idx="5">
                  <c:v>1.58</c:v>
                </c:pt>
                <c:pt idx="6">
                  <c:v>2.0460483799085094</c:v>
                </c:pt>
                <c:pt idx="7">
                  <c:v>1.9370025207109296</c:v>
                </c:pt>
                <c:pt idx="8">
                  <c:v>2.1358128757446853</c:v>
                </c:pt>
                <c:pt idx="9">
                  <c:v>1.9729221347818542</c:v>
                </c:pt>
                <c:pt idx="10">
                  <c:v>2.81</c:v>
                </c:pt>
                <c:pt idx="11">
                  <c:v>2.5802857789924656</c:v>
                </c:pt>
                <c:pt idx="12">
                  <c:v>2.6710654816237813</c:v>
                </c:pt>
                <c:pt idx="13">
                  <c:v>2.8178171133565106</c:v>
                </c:pt>
                <c:pt idx="14">
                  <c:v>3.151489824658757</c:v>
                </c:pt>
                <c:pt idx="15">
                  <c:v>3.26</c:v>
                </c:pt>
                <c:pt idx="16">
                  <c:v>3.75</c:v>
                </c:pt>
                <c:pt idx="17">
                  <c:v>4.0199999999999996</c:v>
                </c:pt>
                <c:pt idx="18">
                  <c:v>3.787153576809684</c:v>
                </c:pt>
                <c:pt idx="19">
                  <c:v>3.8658443768370527</c:v>
                </c:pt>
                <c:pt idx="20">
                  <c:v>3.9296697924719601</c:v>
                </c:pt>
                <c:pt idx="21">
                  <c:v>4.0007848993902408</c:v>
                </c:pt>
                <c:pt idx="22">
                  <c:v>4.0652742721874757</c:v>
                </c:pt>
                <c:pt idx="23">
                  <c:v>4.1210400732478147</c:v>
                </c:pt>
                <c:pt idx="24">
                  <c:v>4.1729635260750939</c:v>
                </c:pt>
                <c:pt idx="25">
                  <c:v>4.2207449763840916</c:v>
                </c:pt>
                <c:pt idx="26">
                  <c:v>4.2766742977786549</c:v>
                </c:pt>
                <c:pt idx="27">
                  <c:v>4.3342496810262912</c:v>
                </c:pt>
                <c:pt idx="28">
                  <c:v>4.3875710050205861</c:v>
                </c:pt>
                <c:pt idx="29">
                  <c:v>4.4434245075768128</c:v>
                </c:pt>
                <c:pt idx="30">
                  <c:v>4.4972201282868998</c:v>
                </c:pt>
                <c:pt idx="31">
                  <c:v>4.5529297342272494</c:v>
                </c:pt>
                <c:pt idx="32">
                  <c:v>4.5994087917042199</c:v>
                </c:pt>
                <c:pt idx="33">
                  <c:v>4.6491116490326796</c:v>
                </c:pt>
                <c:pt idx="34">
                  <c:v>4.6988151335928983</c:v>
                </c:pt>
                <c:pt idx="35">
                  <c:v>4.7476868071970495</c:v>
                </c:pt>
                <c:pt idx="36">
                  <c:v>4.7937712830385086</c:v>
                </c:pt>
                <c:pt idx="37">
                  <c:v>4.8421212088007266</c:v>
                </c:pt>
                <c:pt idx="38">
                  <c:v>4.8902231267357354</c:v>
                </c:pt>
                <c:pt idx="39">
                  <c:v>4.936925160570091</c:v>
                </c:pt>
                <c:pt idx="40">
                  <c:v>4.980863597669809</c:v>
                </c:pt>
                <c:pt idx="41">
                  <c:v>5.0278622105084168</c:v>
                </c:pt>
                <c:pt idx="42">
                  <c:v>5.0712779772425112</c:v>
                </c:pt>
                <c:pt idx="43">
                  <c:v>5.1129717095676668</c:v>
                </c:pt>
                <c:pt idx="44">
                  <c:v>5.152992307948657</c:v>
                </c:pt>
                <c:pt idx="45">
                  <c:v>5.1927010141103187</c:v>
                </c:pt>
                <c:pt idx="46">
                  <c:v>5.232927724405581</c:v>
                </c:pt>
                <c:pt idx="47">
                  <c:v>5.2715833989045979</c:v>
                </c:pt>
                <c:pt idx="48">
                  <c:v>5.3064726377117024</c:v>
                </c:pt>
                <c:pt idx="49">
                  <c:v>5.3423595046287762</c:v>
                </c:pt>
                <c:pt idx="50">
                  <c:v>5.378402642441011</c:v>
                </c:pt>
              </c:numCache>
            </c:numRef>
          </c:val>
          <c:smooth val="0"/>
          <c:extLst>
            <c:ext xmlns:c16="http://schemas.microsoft.com/office/drawing/2014/chart" uri="{C3380CC4-5D6E-409C-BE32-E72D297353CC}">
              <c16:uniqueId val="{00000002-CC48-43EB-9D1E-8907CDD51ECB}"/>
            </c:ext>
          </c:extLst>
        </c:ser>
        <c:ser>
          <c:idx val="3"/>
          <c:order val="3"/>
          <c:tx>
            <c:strRef>
              <c:f>'Assumptions (NG Heating)'!$A$42</c:f>
              <c:strCache>
                <c:ptCount val="1"/>
                <c:pt idx="0">
                  <c:v>LDC Total Taxes from AGA ($billion)</c:v>
                </c:pt>
              </c:strCache>
            </c:strRef>
          </c:tx>
          <c:marker>
            <c:symbol val="none"/>
          </c:marker>
          <c:val>
            <c:numRef>
              <c:f>'Assumptions (NG Heating)'!$B$42:$AZ$42</c:f>
              <c:numCache>
                <c:formatCode>"$"#,##0.00</c:formatCode>
                <c:ptCount val="51"/>
                <c:pt idx="0">
                  <c:v>2.92</c:v>
                </c:pt>
                <c:pt idx="1">
                  <c:v>3.0514974983639984</c:v>
                </c:pt>
                <c:pt idx="2">
                  <c:v>3.1038888046348894</c:v>
                </c:pt>
                <c:pt idx="3">
                  <c:v>2.9450008626156103</c:v>
                </c:pt>
                <c:pt idx="4">
                  <c:v>3.1959310934803153</c:v>
                </c:pt>
                <c:pt idx="5">
                  <c:v>3.23</c:v>
                </c:pt>
                <c:pt idx="6">
                  <c:v>3.1429608932917539</c:v>
                </c:pt>
                <c:pt idx="7">
                  <c:v>3.0979175184982077</c:v>
                </c:pt>
                <c:pt idx="8">
                  <c:v>3.1800397503786284</c:v>
                </c:pt>
                <c:pt idx="9">
                  <c:v>3.1127547681740952</c:v>
                </c:pt>
                <c:pt idx="10">
                  <c:v>3.36</c:v>
                </c:pt>
                <c:pt idx="11">
                  <c:v>3.3636373643906374</c:v>
                </c:pt>
                <c:pt idx="12">
                  <c:v>3.4011355711025506</c:v>
                </c:pt>
                <c:pt idx="13">
                  <c:v>3.4617540008012404</c:v>
                </c:pt>
                <c:pt idx="14">
                  <c:v>3.5995835809812027</c:v>
                </c:pt>
                <c:pt idx="15">
                  <c:v>3.74</c:v>
                </c:pt>
                <c:pt idx="16">
                  <c:v>3.75</c:v>
                </c:pt>
                <c:pt idx="17">
                  <c:v>3.98</c:v>
                </c:pt>
                <c:pt idx="18">
                  <c:v>3.8621560513299089</c:v>
                </c:pt>
                <c:pt idx="19">
                  <c:v>3.8946607170230325</c:v>
                </c:pt>
                <c:pt idx="20">
                  <c:v>3.9210249654131335</c:v>
                </c:pt>
                <c:pt idx="21">
                  <c:v>3.950400353327673</c:v>
                </c:pt>
                <c:pt idx="22">
                  <c:v>3.9770388612956218</c:v>
                </c:pt>
                <c:pt idx="23">
                  <c:v>4.0000739393472511</c:v>
                </c:pt>
                <c:pt idx="24">
                  <c:v>4.0215218656003371</c:v>
                </c:pt>
                <c:pt idx="25">
                  <c:v>4.0412588624041099</c:v>
                </c:pt>
                <c:pt idx="26">
                  <c:v>4.0643614855028876</c:v>
                </c:pt>
                <c:pt idx="27">
                  <c:v>4.0881440443784731</c:v>
                </c:pt>
                <c:pt idx="28">
                  <c:v>4.1101693867329345</c:v>
                </c:pt>
                <c:pt idx="29">
                  <c:v>4.1332406914820128</c:v>
                </c:pt>
                <c:pt idx="30">
                  <c:v>4.1554619507185091</c:v>
                </c:pt>
                <c:pt idx="31">
                  <c:v>4.1784738163540966</c:v>
                </c:pt>
                <c:pt idx="32">
                  <c:v>4.1976728361187314</c:v>
                </c:pt>
                <c:pt idx="33">
                  <c:v>4.2182035050265672</c:v>
                </c:pt>
                <c:pt idx="34">
                  <c:v>4.2387344330238843</c:v>
                </c:pt>
                <c:pt idx="35">
                  <c:v>4.2589217663819632</c:v>
                </c:pt>
                <c:pt idx="36">
                  <c:v>4.2779577970278382</c:v>
                </c:pt>
                <c:pt idx="37">
                  <c:v>4.2979296129534816</c:v>
                </c:pt>
                <c:pt idx="38">
                  <c:v>4.3177989847368634</c:v>
                </c:pt>
                <c:pt idx="39">
                  <c:v>4.337090108940032</c:v>
                </c:pt>
                <c:pt idx="40">
                  <c:v>4.355239679264745</c:v>
                </c:pt>
                <c:pt idx="41">
                  <c:v>4.3746533108179655</c:v>
                </c:pt>
                <c:pt idx="42">
                  <c:v>4.3925869826450601</c:v>
                </c:pt>
                <c:pt idx="43">
                  <c:v>4.4098093368498255</c:v>
                </c:pt>
                <c:pt idx="44">
                  <c:v>4.4263405726583374</c:v>
                </c:pt>
                <c:pt idx="45">
                  <c:v>4.4427429757148866</c:v>
                </c:pt>
                <c:pt idx="46">
                  <c:v>4.4593593497970776</c:v>
                </c:pt>
                <c:pt idx="47">
                  <c:v>4.4753267789793423</c:v>
                </c:pt>
                <c:pt idx="48">
                  <c:v>4.4897384134184133</c:v>
                </c:pt>
                <c:pt idx="49">
                  <c:v>4.5045621362870003</c:v>
                </c:pt>
                <c:pt idx="50">
                  <c:v>4.5194504096901218</c:v>
                </c:pt>
              </c:numCache>
            </c:numRef>
          </c:val>
          <c:smooth val="0"/>
          <c:extLst>
            <c:ext xmlns:c16="http://schemas.microsoft.com/office/drawing/2014/chart" uri="{C3380CC4-5D6E-409C-BE32-E72D297353CC}">
              <c16:uniqueId val="{00000003-CC48-43EB-9D1E-8907CDD51ECB}"/>
            </c:ext>
          </c:extLst>
        </c:ser>
        <c:ser>
          <c:idx val="4"/>
          <c:order val="4"/>
          <c:tx>
            <c:strRef>
              <c:f>'Assumptions (NG Heating)'!$A$43</c:f>
              <c:strCache>
                <c:ptCount val="1"/>
                <c:pt idx="0">
                  <c:v>LDC Total Interest Charges from AGA ($billion)</c:v>
                </c:pt>
              </c:strCache>
            </c:strRef>
          </c:tx>
          <c:marker>
            <c:symbol val="none"/>
          </c:marker>
          <c:val>
            <c:numRef>
              <c:f>'Assumptions (NG Heating)'!$B$43:$AZ$43</c:f>
              <c:numCache>
                <c:formatCode>"$"#,##0.00</c:formatCode>
                <c:ptCount val="51"/>
                <c:pt idx="0">
                  <c:v>1.38</c:v>
                </c:pt>
                <c:pt idx="1">
                  <c:v>1.41</c:v>
                </c:pt>
                <c:pt idx="2">
                  <c:v>1.44</c:v>
                </c:pt>
                <c:pt idx="3">
                  <c:v>1.47</c:v>
                </c:pt>
                <c:pt idx="4">
                  <c:v>1.5</c:v>
                </c:pt>
                <c:pt idx="5">
                  <c:v>1.53</c:v>
                </c:pt>
                <c:pt idx="6">
                  <c:v>1.518</c:v>
                </c:pt>
                <c:pt idx="7">
                  <c:v>1.506</c:v>
                </c:pt>
                <c:pt idx="8">
                  <c:v>1.494</c:v>
                </c:pt>
                <c:pt idx="9">
                  <c:v>1.482</c:v>
                </c:pt>
                <c:pt idx="10">
                  <c:v>1.47</c:v>
                </c:pt>
                <c:pt idx="11">
                  <c:v>1.454</c:v>
                </c:pt>
                <c:pt idx="12">
                  <c:v>1.4379999999999999</c:v>
                </c:pt>
                <c:pt idx="13">
                  <c:v>1.4219999999999999</c:v>
                </c:pt>
                <c:pt idx="14">
                  <c:v>1.4059999999999999</c:v>
                </c:pt>
                <c:pt idx="15">
                  <c:v>1.39</c:v>
                </c:pt>
                <c:pt idx="16">
                  <c:v>1.52</c:v>
                </c:pt>
                <c:pt idx="17">
                  <c:v>1.71</c:v>
                </c:pt>
                <c:pt idx="18">
                  <c:v>1.586311009053055</c:v>
                </c:pt>
                <c:pt idx="19">
                  <c:v>1.6282887674578836</c:v>
                </c:pt>
                <c:pt idx="20">
                  <c:v>1.6672986385188355</c:v>
                </c:pt>
                <c:pt idx="21">
                  <c:v>1.7165310380653762</c:v>
                </c:pt>
                <c:pt idx="22">
                  <c:v>1.7669250423717195</c:v>
                </c:pt>
                <c:pt idx="23">
                  <c:v>1.8153026799417347</c:v>
                </c:pt>
                <c:pt idx="24">
                  <c:v>1.8646665892075134</c:v>
                </c:pt>
                <c:pt idx="25">
                  <c:v>1.9140335819987921</c:v>
                </c:pt>
                <c:pt idx="26">
                  <c:v>1.9769558100626117</c:v>
                </c:pt>
                <c:pt idx="27">
                  <c:v>2.0479393781974107</c:v>
                </c:pt>
                <c:pt idx="28">
                  <c:v>2.1197180860421048</c:v>
                </c:pt>
                <c:pt idx="29">
                  <c:v>2.2015984624800029</c:v>
                </c:pt>
                <c:pt idx="30">
                  <c:v>2.2874056658560109</c:v>
                </c:pt>
                <c:pt idx="31">
                  <c:v>2.3839729519017738</c:v>
                </c:pt>
                <c:pt idx="32">
                  <c:v>2.470952051051257</c:v>
                </c:pt>
                <c:pt idx="33">
                  <c:v>2.5708468002518763</c:v>
                </c:pt>
                <c:pt idx="34">
                  <c:v>2.6783086701664263</c:v>
                </c:pt>
                <c:pt idx="35">
                  <c:v>2.7918242118155727</c:v>
                </c:pt>
                <c:pt idx="36">
                  <c:v>2.9064443944948013</c:v>
                </c:pt>
                <c:pt idx="37">
                  <c:v>3.0350949067596522</c:v>
                </c:pt>
                <c:pt idx="38">
                  <c:v>3.1721391126243046</c:v>
                </c:pt>
                <c:pt idx="39">
                  <c:v>3.3143646241645448</c:v>
                </c:pt>
                <c:pt idx="40">
                  <c:v>3.4569101852189505</c:v>
                </c:pt>
                <c:pt idx="41">
                  <c:v>3.6193079191362001</c:v>
                </c:pt>
                <c:pt idx="42">
                  <c:v>3.7789599483184286</c:v>
                </c:pt>
                <c:pt idx="43">
                  <c:v>3.9414751870065028</c:v>
                </c:pt>
                <c:pt idx="44">
                  <c:v>4.106389875755827</c:v>
                </c:pt>
                <c:pt idx="45">
                  <c:v>4.2790962295160035</c:v>
                </c:pt>
                <c:pt idx="46">
                  <c:v>4.4637380712045225</c:v>
                </c:pt>
                <c:pt idx="47">
                  <c:v>4.6508058517321427</c:v>
                </c:pt>
                <c:pt idx="48">
                  <c:v>4.8281405770307622</c:v>
                </c:pt>
                <c:pt idx="49">
                  <c:v>5.019336507310852</c:v>
                </c:pt>
                <c:pt idx="50">
                  <c:v>5.2207354631040053</c:v>
                </c:pt>
              </c:numCache>
            </c:numRef>
          </c:val>
          <c:smooth val="0"/>
          <c:extLst>
            <c:ext xmlns:c16="http://schemas.microsoft.com/office/drawing/2014/chart" uri="{C3380CC4-5D6E-409C-BE32-E72D297353CC}">
              <c16:uniqueId val="{00000004-CC48-43EB-9D1E-8907CDD51ECB}"/>
            </c:ext>
          </c:extLst>
        </c:ser>
        <c:ser>
          <c:idx val="5"/>
          <c:order val="5"/>
          <c:tx>
            <c:strRef>
              <c:f>'Assumptions (NG Heating)'!$A$44</c:f>
              <c:strCache>
                <c:ptCount val="1"/>
                <c:pt idx="0">
                  <c:v>LDC Construction Exp from AGA ($billion)</c:v>
                </c:pt>
              </c:strCache>
            </c:strRef>
          </c:tx>
          <c:marker>
            <c:symbol val="none"/>
          </c:marker>
          <c:val>
            <c:numRef>
              <c:f>'Assumptions (NG Heating)'!$B$44:$AZ$44</c:f>
              <c:numCache>
                <c:formatCode>"$"#,##0.00</c:formatCode>
                <c:ptCount val="51"/>
                <c:pt idx="0">
                  <c:v>5.44</c:v>
                </c:pt>
                <c:pt idx="1">
                  <c:v>4.55</c:v>
                </c:pt>
                <c:pt idx="2">
                  <c:v>4.8899999999999997</c:v>
                </c:pt>
                <c:pt idx="3">
                  <c:v>3.93</c:v>
                </c:pt>
                <c:pt idx="4">
                  <c:v>5.55</c:v>
                </c:pt>
                <c:pt idx="5">
                  <c:v>5.0199999999999996</c:v>
                </c:pt>
                <c:pt idx="6">
                  <c:v>5.16</c:v>
                </c:pt>
                <c:pt idx="7">
                  <c:v>4.8499999999999996</c:v>
                </c:pt>
                <c:pt idx="8">
                  <c:v>5.43</c:v>
                </c:pt>
                <c:pt idx="9">
                  <c:v>4.95</c:v>
                </c:pt>
                <c:pt idx="10">
                  <c:v>5.67</c:v>
                </c:pt>
                <c:pt idx="11">
                  <c:v>6.99</c:v>
                </c:pt>
                <c:pt idx="12">
                  <c:v>7.36</c:v>
                </c:pt>
                <c:pt idx="13">
                  <c:v>8</c:v>
                </c:pt>
                <c:pt idx="14">
                  <c:v>9.67</c:v>
                </c:pt>
                <c:pt idx="15">
                  <c:v>11.61</c:v>
                </c:pt>
                <c:pt idx="16">
                  <c:v>13.43</c:v>
                </c:pt>
                <c:pt idx="17">
                  <c:v>14.88</c:v>
                </c:pt>
                <c:pt idx="18">
                  <c:v>13.876557365808907</c:v>
                </c:pt>
                <c:pt idx="19">
                  <c:v>14.5110666816717</c:v>
                </c:pt>
                <c:pt idx="20">
                  <c:v>15.046960617135724</c:v>
                </c:pt>
                <c:pt idx="21">
                  <c:v>15.667403270443138</c:v>
                </c:pt>
                <c:pt idx="22">
                  <c:v>16.252130669252068</c:v>
                </c:pt>
                <c:pt idx="23">
                  <c:v>16.77532627137748</c:v>
                </c:pt>
                <c:pt idx="24">
                  <c:v>17.277603965551457</c:v>
                </c:pt>
                <c:pt idx="25">
                  <c:v>17.753091072202544</c:v>
                </c:pt>
                <c:pt idx="26">
                  <c:v>18.326308844255244</c:v>
                </c:pt>
                <c:pt idx="27">
                  <c:v>18.935736467948054</c:v>
                </c:pt>
                <c:pt idx="28">
                  <c:v>19.51819606367156</c:v>
                </c:pt>
                <c:pt idx="29">
                  <c:v>20.147538186826061</c:v>
                </c:pt>
                <c:pt idx="30">
                  <c:v>20.772869828698013</c:v>
                </c:pt>
                <c:pt idx="31">
                  <c:v>21.440914417356694</c:v>
                </c:pt>
                <c:pt idx="32">
                  <c:v>22.014680818569801</c:v>
                </c:pt>
                <c:pt idx="33">
                  <c:v>22.645242836738809</c:v>
                </c:pt>
                <c:pt idx="34">
                  <c:v>23.293874215853691</c:v>
                </c:pt>
                <c:pt idx="35">
                  <c:v>23.949762640467256</c:v>
                </c:pt>
                <c:pt idx="36">
                  <c:v>24.585154236688922</c:v>
                </c:pt>
                <c:pt idx="37">
                  <c:v>25.269909073197969</c:v>
                </c:pt>
                <c:pt idx="38">
                  <c:v>25.970076162276651</c:v>
                </c:pt>
                <c:pt idx="39">
                  <c:v>26.668422960862411</c:v>
                </c:pt>
                <c:pt idx="40">
                  <c:v>27.342580871620019</c:v>
                </c:pt>
                <c:pt idx="41">
                  <c:v>28.082566744033144</c:v>
                </c:pt>
                <c:pt idx="42">
                  <c:v>28.78392387551574</c:v>
                </c:pt>
                <c:pt idx="43">
                  <c:v>29.473945012542682</c:v>
                </c:pt>
                <c:pt idx="44">
                  <c:v>30.151830351800527</c:v>
                </c:pt>
                <c:pt idx="45">
                  <c:v>30.839841041357694</c:v>
                </c:pt>
                <c:pt idx="46">
                  <c:v>31.552836181854129</c:v>
                </c:pt>
                <c:pt idx="47">
                  <c:v>32.253511827711307</c:v>
                </c:pt>
                <c:pt idx="48">
                  <c:v>32.899266488361178</c:v>
                </c:pt>
                <c:pt idx="49">
                  <c:v>33.576977129495781</c:v>
                </c:pt>
                <c:pt idx="50">
                  <c:v>34.271691174335615</c:v>
                </c:pt>
              </c:numCache>
            </c:numRef>
          </c:val>
          <c:smooth val="0"/>
          <c:extLst>
            <c:ext xmlns:c16="http://schemas.microsoft.com/office/drawing/2014/chart" uri="{C3380CC4-5D6E-409C-BE32-E72D297353CC}">
              <c16:uniqueId val="{00000005-CC48-43EB-9D1E-8907CDD51ECB}"/>
            </c:ext>
          </c:extLst>
        </c:ser>
        <c:dLbls>
          <c:showLegendKey val="0"/>
          <c:showVal val="0"/>
          <c:showCatName val="0"/>
          <c:showSerName val="0"/>
          <c:showPercent val="0"/>
          <c:showBubbleSize val="0"/>
        </c:dLbls>
        <c:smooth val="0"/>
        <c:axId val="1711615939"/>
        <c:axId val="2087856389"/>
      </c:lineChart>
      <c:catAx>
        <c:axId val="1711615939"/>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b="0">
                <a:solidFill>
                  <a:srgbClr val="000000"/>
                </a:solidFill>
                <a:latin typeface="Roboto"/>
              </a:defRPr>
            </a:pPr>
            <a:endParaRPr lang="en-US"/>
          </a:p>
        </c:txPr>
        <c:crossAx val="2087856389"/>
        <c:crosses val="autoZero"/>
        <c:auto val="1"/>
        <c:lblAlgn val="ctr"/>
        <c:lblOffset val="100"/>
        <c:noMultiLvlLbl val="1"/>
      </c:catAx>
      <c:valAx>
        <c:axId val="2087856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711615939"/>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'Assumptions (NG Heating)'!$A$24</c:f>
              <c:strCache>
                <c:ptCount val="1"/>
                <c:pt idx="0">
                  <c:v>Residential Customers (AGA)</c:v>
                </c:pt>
              </c:strCache>
            </c:strRef>
          </c:tx>
          <c:marker>
            <c:symbol val="none"/>
          </c:marker>
          <c:val>
            <c:numRef>
              <c:f>'Assumptions (NG Heating)'!$B$24:$AZ$24</c:f>
              <c:numCache>
                <c:formatCode>#,##0</c:formatCode>
                <c:ptCount val="51"/>
                <c:pt idx="0">
                  <c:v>59253200</c:v>
                </c:pt>
                <c:pt idx="1">
                  <c:v>59070900</c:v>
                </c:pt>
                <c:pt idx="2">
                  <c:v>60782400</c:v>
                </c:pt>
                <c:pt idx="3">
                  <c:v>60344000</c:v>
                </c:pt>
                <c:pt idx="4">
                  <c:v>60805500</c:v>
                </c:pt>
                <c:pt idx="5">
                  <c:v>61463700</c:v>
                </c:pt>
                <c:pt idx="6">
                  <c:v>62862600</c:v>
                </c:pt>
                <c:pt idx="7">
                  <c:v>64820800</c:v>
                </c:pt>
                <c:pt idx="8">
                  <c:v>65000800</c:v>
                </c:pt>
                <c:pt idx="9">
                  <c:v>65180000</c:v>
                </c:pt>
                <c:pt idx="10">
                  <c:v>65387400</c:v>
                </c:pt>
                <c:pt idx="11">
                  <c:v>65804300</c:v>
                </c:pt>
                <c:pt idx="12">
                  <c:v>66487000</c:v>
                </c:pt>
                <c:pt idx="13">
                  <c:v>66574400</c:v>
                </c:pt>
                <c:pt idx="14">
                  <c:v>67068400</c:v>
                </c:pt>
                <c:pt idx="15">
                  <c:v>67712100</c:v>
                </c:pt>
                <c:pt idx="16">
                  <c:v>68303400</c:v>
                </c:pt>
                <c:pt idx="17">
                  <c:v>68869600</c:v>
                </c:pt>
                <c:pt idx="18">
                  <c:v>69288135.989315286</c:v>
                </c:pt>
                <c:pt idx="19">
                  <c:v>69709215.515609905</c:v>
                </c:pt>
                <c:pt idx="20">
                  <c:v>70132854.036527961</c:v>
                </c:pt>
                <c:pt idx="21">
                  <c:v>70559067.103653118</c:v>
                </c:pt>
                <c:pt idx="22">
                  <c:v>70987870.363079503</c:v>
                </c:pt>
                <c:pt idx="23">
                  <c:v>71419279.555986047</c:v>
                </c:pt>
                <c:pt idx="24">
                  <c:v>71853310.519214377</c:v>
                </c:pt>
                <c:pt idx="25">
                  <c:v>72289979.185850129</c:v>
                </c:pt>
                <c:pt idx="26">
                  <c:v>72729301.58580789</c:v>
                </c:pt>
                <c:pt idx="27">
                  <c:v>73171293.846419632</c:v>
                </c:pt>
                <c:pt idx="28">
                  <c:v>73615972.193026707</c:v>
                </c:pt>
                <c:pt idx="29">
                  <c:v>74063352.949575543</c:v>
                </c:pt>
                <c:pt idx="30">
                  <c:v>74513452.539216802</c:v>
                </c:pt>
                <c:pt idx="31">
                  <c:v>74966287.484908357</c:v>
                </c:pt>
                <c:pt idx="32">
                  <c:v>75421874.410021767</c:v>
                </c:pt>
                <c:pt idx="33">
                  <c:v>75880230.038952559</c:v>
                </c:pt>
                <c:pt idx="34">
                  <c:v>76341371.197734147</c:v>
                </c:pt>
                <c:pt idx="35">
                  <c:v>76805314.814655542</c:v>
                </c:pt>
                <c:pt idx="36">
                  <c:v>77272077.920882732</c:v>
                </c:pt>
                <c:pt idx="37">
                  <c:v>77741677.651083931</c:v>
                </c:pt>
                <c:pt idx="38">
                  <c:v>78214131.244058579</c:v>
                </c:pt>
                <c:pt idx="39">
                  <c:v>78689456.043370143</c:v>
                </c:pt>
                <c:pt idx="40">
                  <c:v>79167669.49798283</c:v>
                </c:pt>
                <c:pt idx="41">
                  <c:v>79648789.162902102</c:v>
                </c:pt>
                <c:pt idx="42">
                  <c:v>80132832.699819118</c:v>
                </c:pt>
                <c:pt idx="43">
                  <c:v>80619817.877759099</c:v>
                </c:pt>
                <c:pt idx="44">
                  <c:v>81109762.573733613</c:v>
                </c:pt>
                <c:pt idx="45">
                  <c:v>81602684.773396835</c:v>
                </c:pt>
                <c:pt idx="46">
                  <c:v>82098602.571705773</c:v>
                </c:pt>
                <c:pt idx="47">
                  <c:v>82597534.173584566</c:v>
                </c:pt>
                <c:pt idx="48">
                  <c:v>83099497.894592747</c:v>
                </c:pt>
                <c:pt idx="49">
                  <c:v>83604512.161597595</c:v>
                </c:pt>
                <c:pt idx="50">
                  <c:v>84112595.513450608</c:v>
                </c:pt>
              </c:numCache>
            </c:numRef>
          </c:val>
          <c:smooth val="0"/>
          <c:extLst>
            <c:ext xmlns:c16="http://schemas.microsoft.com/office/drawing/2014/chart" uri="{C3380CC4-5D6E-409C-BE32-E72D297353CC}">
              <c16:uniqueId val="{00000000-2CCD-487C-9269-E12F7827C02E}"/>
            </c:ext>
          </c:extLst>
        </c:ser>
        <c:dLbls>
          <c:showLegendKey val="0"/>
          <c:showVal val="0"/>
          <c:showCatName val="0"/>
          <c:showSerName val="0"/>
          <c:showPercent val="0"/>
          <c:showBubbleSize val="0"/>
        </c:dLbls>
        <c:smooth val="0"/>
        <c:axId val="1339308741"/>
        <c:axId val="1885058568"/>
      </c:lineChart>
      <c:catAx>
        <c:axId val="1339308741"/>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b="0">
                <a:solidFill>
                  <a:srgbClr val="000000"/>
                </a:solidFill>
                <a:latin typeface="Roboto"/>
              </a:defRPr>
            </a:pPr>
            <a:endParaRPr lang="en-US"/>
          </a:p>
        </c:txPr>
        <c:crossAx val="1885058568"/>
        <c:crosses val="autoZero"/>
        <c:auto val="1"/>
        <c:lblAlgn val="ctr"/>
        <c:lblOffset val="100"/>
        <c:noMultiLvlLbl val="1"/>
      </c:catAx>
      <c:valAx>
        <c:axId val="1885058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Roboto"/>
              </a:defRPr>
            </a:pPr>
            <a:endParaRPr lang="en-US"/>
          </a:p>
        </c:txPr>
        <c:crossAx val="1339308741"/>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Percent share of upgrade/replace</a:t>
            </a:r>
          </a:p>
        </c:rich>
      </c:tx>
      <c:overlay val="0"/>
    </c:title>
    <c:autoTitleDeleted val="0"/>
    <c:plotArea>
      <c:layout/>
      <c:lineChart>
        <c:grouping val="standard"/>
        <c:varyColors val="0"/>
        <c:ser>
          <c:idx val="0"/>
          <c:order val="0"/>
          <c:spPr>
            <a:ln w="28575" cmpd="sng">
              <a:solidFill>
                <a:srgbClr val="5B9BD5"/>
              </a:solidFill>
              <a:prstDash val="solid"/>
            </a:ln>
          </c:spPr>
          <c:marker>
            <c:symbol val="none"/>
          </c:marker>
          <c:val>
            <c:numRef>
              <c:f>'Assumptions (T&amp;D)'!$B$18:$R$18</c:f>
              <c:numCache>
                <c:formatCode>0%</c:formatCode>
                <c:ptCount val="17"/>
                <c:pt idx="0">
                  <c:v>0.52101316079654736</c:v>
                </c:pt>
                <c:pt idx="1">
                  <c:v>0.49327255763398203</c:v>
                </c:pt>
                <c:pt idx="2">
                  <c:v>0.50700159007699142</c:v>
                </c:pt>
                <c:pt idx="3">
                  <c:v>0.42119211256488959</c:v>
                </c:pt>
                <c:pt idx="4">
                  <c:v>0.45823269919678017</c:v>
                </c:pt>
                <c:pt idx="5">
                  <c:v>0.4382502470928869</c:v>
                </c:pt>
                <c:pt idx="6">
                  <c:v>0.35240775252914558</c:v>
                </c:pt>
                <c:pt idx="7">
                  <c:v>0.35849950705088529</c:v>
                </c:pt>
                <c:pt idx="8">
                  <c:v>0.31813871820456613</c:v>
                </c:pt>
                <c:pt idx="9">
                  <c:v>0.33511994362002034</c:v>
                </c:pt>
                <c:pt idx="10">
                  <c:v>0.33021657314840941</c:v>
                </c:pt>
                <c:pt idx="11">
                  <c:v>0.40542748866875034</c:v>
                </c:pt>
                <c:pt idx="12">
                  <c:v>0.25255828491391524</c:v>
                </c:pt>
                <c:pt idx="13">
                  <c:v>0.25110210748472878</c:v>
                </c:pt>
                <c:pt idx="14">
                  <c:v>0.25850716863357032</c:v>
                </c:pt>
                <c:pt idx="15">
                  <c:v>0.22758756105091374</c:v>
                </c:pt>
                <c:pt idx="16">
                  <c:v>0.28108460015443992</c:v>
                </c:pt>
              </c:numCache>
            </c:numRef>
          </c:val>
          <c:smooth val="0"/>
          <c:extLst>
            <c:ext xmlns:c16="http://schemas.microsoft.com/office/drawing/2014/chart" uri="{C3380CC4-5D6E-409C-BE32-E72D297353CC}">
              <c16:uniqueId val="{00000000-2111-4EDB-98A2-914DFA3D9685}"/>
            </c:ext>
          </c:extLst>
        </c:ser>
        <c:dLbls>
          <c:showLegendKey val="0"/>
          <c:showVal val="0"/>
          <c:showCatName val="0"/>
          <c:showSerName val="0"/>
          <c:showPercent val="0"/>
          <c:showBubbleSize val="0"/>
        </c:dLbls>
        <c:smooth val="0"/>
        <c:axId val="1980891468"/>
        <c:axId val="703423130"/>
      </c:lineChart>
      <c:catAx>
        <c:axId val="1980891468"/>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sz="900" b="0" i="0">
                <a:solidFill>
                  <a:srgbClr val="595959"/>
                </a:solidFill>
                <a:latin typeface="Calibri"/>
              </a:defRPr>
            </a:pPr>
            <a:endParaRPr lang="en-US"/>
          </a:p>
        </c:txPr>
        <c:crossAx val="703423130"/>
        <c:crosses val="autoZero"/>
        <c:auto val="1"/>
        <c:lblAlgn val="ctr"/>
        <c:lblOffset val="100"/>
        <c:noMultiLvlLbl val="1"/>
      </c:catAx>
      <c:valAx>
        <c:axId val="70342313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sourceLinked="1"/>
        <c:majorTickMark val="none"/>
        <c:minorTickMark val="none"/>
        <c:tickLblPos val="nextTo"/>
        <c:spPr>
          <a:ln/>
        </c:spPr>
        <c:txPr>
          <a:bodyPr/>
          <a:lstStyle/>
          <a:p>
            <a:pPr lvl="0">
              <a:defRPr sz="900" b="0" i="0">
                <a:solidFill>
                  <a:srgbClr val="595959"/>
                </a:solidFill>
                <a:latin typeface="Calibri"/>
              </a:defRPr>
            </a:pPr>
            <a:endParaRPr lang="en-US"/>
          </a:p>
        </c:txPr>
        <c:crossAx val="1980891468"/>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Slide 9 Brattle EUCI 2017</a:t>
            </a:r>
          </a:p>
        </c:rich>
      </c:tx>
      <c:overlay val="0"/>
    </c:title>
    <c:autoTitleDeleted val="0"/>
    <c:plotArea>
      <c:layout/>
      <c:lineChart>
        <c:grouping val="standard"/>
        <c:varyColors val="0"/>
        <c:ser>
          <c:idx val="0"/>
          <c:order val="0"/>
          <c:spPr>
            <a:ln w="28575" cmpd="sng">
              <a:solidFill>
                <a:srgbClr val="5B9BD5"/>
              </a:solidFill>
              <a:prstDash val="solid"/>
            </a:ln>
          </c:spPr>
          <c:marker>
            <c:symbol val="none"/>
          </c:marker>
          <c:val>
            <c:numRef>
              <c:f>'Assumptions (T&amp;D)'!$B$17:$AR$17</c:f>
              <c:numCache>
                <c:formatCode>_("$"* #,##0.00_);_("$"* \(#,##0.00\);_("$"* "-"??_);_(@_)</c:formatCode>
                <c:ptCount val="43"/>
                <c:pt idx="0">
                  <c:v>1.9034999999999997</c:v>
                </c:pt>
                <c:pt idx="1">
                  <c:v>2.0811600000000001</c:v>
                </c:pt>
                <c:pt idx="2">
                  <c:v>2.2841999999999998</c:v>
                </c:pt>
                <c:pt idx="3">
                  <c:v>2.4618600000000002</c:v>
                </c:pt>
                <c:pt idx="4">
                  <c:v>2.6648999999999998</c:v>
                </c:pt>
                <c:pt idx="5">
                  <c:v>2.8679399999999999</c:v>
                </c:pt>
                <c:pt idx="6">
                  <c:v>3.0455999999999999</c:v>
                </c:pt>
                <c:pt idx="7">
                  <c:v>3.24864</c:v>
                </c:pt>
                <c:pt idx="8">
                  <c:v>3.4262999999999999</c:v>
                </c:pt>
                <c:pt idx="9">
                  <c:v>3.6293400000000005</c:v>
                </c:pt>
                <c:pt idx="10">
                  <c:v>4.4668799999999997</c:v>
                </c:pt>
                <c:pt idx="11">
                  <c:v>5.6089799999999999</c:v>
                </c:pt>
                <c:pt idx="12">
                  <c:v>4.5176399999999992</c:v>
                </c:pt>
                <c:pt idx="13">
                  <c:v>6.5987999999999998</c:v>
                </c:pt>
                <c:pt idx="14">
                  <c:v>6.1419599999999992</c:v>
                </c:pt>
                <c:pt idx="15">
                  <c:v>5.6597400000000002</c:v>
                </c:pt>
                <c:pt idx="16">
                  <c:v>7.5124799999999992</c:v>
                </c:pt>
                <c:pt idx="17">
                  <c:v>9.3144599999999986</c:v>
                </c:pt>
                <c:pt idx="18">
                  <c:v>9.0352799999999984</c:v>
                </c:pt>
                <c:pt idx="19">
                  <c:v>9.0099</c:v>
                </c:pt>
                <c:pt idx="20">
                  <c:v>10.431180000000001</c:v>
                </c:pt>
                <c:pt idx="21">
                  <c:v>10.126620000000001</c:v>
                </c:pt>
                <c:pt idx="22">
                  <c:v>9.4413599999999995</c:v>
                </c:pt>
                <c:pt idx="23">
                  <c:v>10.96416</c:v>
                </c:pt>
                <c:pt idx="24">
                  <c:v>10.786499999999998</c:v>
                </c:pt>
                <c:pt idx="25">
                  <c:v>8.6292000000000009</c:v>
                </c:pt>
                <c:pt idx="26">
                  <c:v>10.2789</c:v>
                </c:pt>
                <c:pt idx="27">
                  <c:v>12.23316</c:v>
                </c:pt>
                <c:pt idx="28">
                  <c:v>12.436199999999999</c:v>
                </c:pt>
                <c:pt idx="29">
                  <c:v>11.57328</c:v>
                </c:pt>
                <c:pt idx="30">
                  <c:v>14.415840000000001</c:v>
                </c:pt>
                <c:pt idx="31">
                  <c:v>12.842279999999999</c:v>
                </c:pt>
                <c:pt idx="32">
                  <c:v>10.811879999999999</c:v>
                </c:pt>
                <c:pt idx="33">
                  <c:v>12.283919999999998</c:v>
                </c:pt>
                <c:pt idx="34">
                  <c:v>12.893039999999999</c:v>
                </c:pt>
                <c:pt idx="35">
                  <c:v>9.5428800000000003</c:v>
                </c:pt>
                <c:pt idx="36">
                  <c:v>9.8220600000000005</c:v>
                </c:pt>
                <c:pt idx="37">
                  <c:v>12.842279999999999</c:v>
                </c:pt>
                <c:pt idx="38">
                  <c:v>12.867659999999999</c:v>
                </c:pt>
                <c:pt idx="39">
                  <c:v>11.8017</c:v>
                </c:pt>
                <c:pt idx="40">
                  <c:v>14.06052</c:v>
                </c:pt>
                <c:pt idx="41">
                  <c:v>12.25854</c:v>
                </c:pt>
                <c:pt idx="42">
                  <c:v>11.2941</c:v>
                </c:pt>
              </c:numCache>
            </c:numRef>
          </c:val>
          <c:smooth val="0"/>
          <c:extLst>
            <c:ext xmlns:c16="http://schemas.microsoft.com/office/drawing/2014/chart" uri="{C3380CC4-5D6E-409C-BE32-E72D297353CC}">
              <c16:uniqueId val="{00000000-5E33-458B-B297-0FBF4982A856}"/>
            </c:ext>
          </c:extLst>
        </c:ser>
        <c:dLbls>
          <c:showLegendKey val="0"/>
          <c:showVal val="0"/>
          <c:showCatName val="0"/>
          <c:showSerName val="0"/>
          <c:showPercent val="0"/>
          <c:showBubbleSize val="0"/>
        </c:dLbls>
        <c:smooth val="0"/>
        <c:axId val="1271753677"/>
        <c:axId val="1717963010"/>
      </c:lineChart>
      <c:catAx>
        <c:axId val="1271753677"/>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sz="900" b="0" i="0">
                <a:solidFill>
                  <a:srgbClr val="595959"/>
                </a:solidFill>
                <a:latin typeface="Calibri"/>
              </a:defRPr>
            </a:pPr>
            <a:endParaRPr lang="en-US"/>
          </a:p>
        </c:txPr>
        <c:crossAx val="1717963010"/>
        <c:crosses val="autoZero"/>
        <c:auto val="1"/>
        <c:lblAlgn val="ctr"/>
        <c:lblOffset val="100"/>
        <c:noMultiLvlLbl val="1"/>
      </c:catAx>
      <c:valAx>
        <c:axId val="171796301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1271753677"/>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IMPLIED T Inv other than upgrades &amp; rens</a:t>
            </a:r>
          </a:p>
        </c:rich>
      </c:tx>
      <c:overlay val="0"/>
    </c:title>
    <c:autoTitleDeleted val="0"/>
    <c:plotArea>
      <c:layout/>
      <c:lineChart>
        <c:grouping val="standard"/>
        <c:varyColors val="0"/>
        <c:ser>
          <c:idx val="0"/>
          <c:order val="0"/>
          <c:spPr>
            <a:ln w="28575" cmpd="sng">
              <a:solidFill>
                <a:srgbClr val="5B9BD5"/>
              </a:solidFill>
              <a:prstDash val="solid"/>
            </a:ln>
          </c:spPr>
          <c:marker>
            <c:symbol val="none"/>
          </c:marker>
          <c:val>
            <c:numRef>
              <c:f>'Assumptions (T&amp;D)'!$B$23:$R$23</c:f>
              <c:numCache>
                <c:formatCode>_("$"* #,##0.00_);_("$"* \(#,##0.00\);_("$"* "-"??_);_(@_)</c:formatCode>
                <c:ptCount val="17"/>
                <c:pt idx="0">
                  <c:v>1.749958575</c:v>
                </c:pt>
                <c:pt idx="1">
                  <c:v>2.1379273337499991</c:v>
                </c:pt>
                <c:pt idx="2">
                  <c:v>2.2211113140200003</c:v>
                </c:pt>
                <c:pt idx="3">
                  <c:v>3.3831212485999997</c:v>
                </c:pt>
                <c:pt idx="4">
                  <c:v>3.1507041781200003</c:v>
                </c:pt>
                <c:pt idx="5">
                  <c:v>3.6761293280251399</c:v>
                </c:pt>
                <c:pt idx="6">
                  <c:v>5.596661636250797</c:v>
                </c:pt>
                <c:pt idx="7">
                  <c:v>5.8131297824027666</c:v>
                </c:pt>
                <c:pt idx="8">
                  <c:v>-0.95646972175999778</c:v>
                </c:pt>
                <c:pt idx="9">
                  <c:v>-1.0993668244400006</c:v>
                </c:pt>
                <c:pt idx="10">
                  <c:v>0.76024238943999833</c:v>
                </c:pt>
                <c:pt idx="11">
                  <c:v>-7.4249606119998646E-2</c:v>
                </c:pt>
                <c:pt idx="12">
                  <c:v>5.0698745653599993</c:v>
                </c:pt>
                <c:pt idx="13">
                  <c:v>11.380549329640004</c:v>
                </c:pt>
                <c:pt idx="14">
                  <c:v>9.3173811140800034</c:v>
                </c:pt>
                <c:pt idx="15">
                  <c:v>10.908666576639998</c:v>
                </c:pt>
                <c:pt idx="16">
                  <c:v>10.914277694560003</c:v>
                </c:pt>
              </c:numCache>
            </c:numRef>
          </c:val>
          <c:smooth val="0"/>
          <c:extLst>
            <c:ext xmlns:c16="http://schemas.microsoft.com/office/drawing/2014/chart" uri="{C3380CC4-5D6E-409C-BE32-E72D297353CC}">
              <c16:uniqueId val="{00000000-E31D-4E35-AC92-5A3C97ADE6CA}"/>
            </c:ext>
          </c:extLst>
        </c:ser>
        <c:dLbls>
          <c:showLegendKey val="0"/>
          <c:showVal val="0"/>
          <c:showCatName val="0"/>
          <c:showSerName val="0"/>
          <c:showPercent val="0"/>
          <c:showBubbleSize val="0"/>
        </c:dLbls>
        <c:smooth val="0"/>
        <c:axId val="1239528033"/>
        <c:axId val="1327205812"/>
      </c:lineChart>
      <c:catAx>
        <c:axId val="1239528033"/>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sz="900" b="0" i="0">
                <a:solidFill>
                  <a:srgbClr val="595959"/>
                </a:solidFill>
                <a:latin typeface="Calibri"/>
              </a:defRPr>
            </a:pPr>
            <a:endParaRPr lang="en-US"/>
          </a:p>
        </c:txPr>
        <c:crossAx val="1327205812"/>
        <c:crosses val="autoZero"/>
        <c:auto val="1"/>
        <c:lblAlgn val="ctr"/>
        <c:lblOffset val="100"/>
        <c:noMultiLvlLbl val="1"/>
      </c:catAx>
      <c:valAx>
        <c:axId val="132720581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1239528033"/>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Total T Inv</a:t>
            </a:r>
          </a:p>
        </c:rich>
      </c:tx>
      <c:overlay val="0"/>
    </c:title>
    <c:autoTitleDeleted val="0"/>
    <c:plotArea>
      <c:layout/>
      <c:lineChart>
        <c:grouping val="standard"/>
        <c:varyColors val="1"/>
        <c:ser>
          <c:idx val="0"/>
          <c:order val="0"/>
          <c:spPr>
            <a:ln w="28575" cmpd="sng">
              <a:solidFill>
                <a:srgbClr val="5B9BD5"/>
              </a:solidFill>
              <a:prstDash val="solid"/>
            </a:ln>
          </c:spPr>
          <c:marker>
            <c:symbol val="none"/>
          </c:marker>
          <c:val>
            <c:numRef>
              <c:f>'Assumptions (T&amp;D)'!$B$15:$AZ$15</c:f>
              <c:numCache>
                <c:formatCode>_("$"* #,##0.00_);_("$"* \(#,##0.00\);_("$"* "-"??_);_(@_)</c:formatCode>
                <c:ptCount val="51"/>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pt idx="17">
                  <c:v>23.453218324243892</c:v>
                </c:pt>
                <c:pt idx="18">
                  <c:v>24.159539645971208</c:v>
                </c:pt>
                <c:pt idx="19">
                  <c:v>24.426557159406407</c:v>
                </c:pt>
                <c:pt idx="20">
                  <c:v>25.137188464367476</c:v>
                </c:pt>
                <c:pt idx="21">
                  <c:v>24.34739968941539</c:v>
                </c:pt>
                <c:pt idx="22">
                  <c:v>23.944646555207949</c:v>
                </c:pt>
                <c:pt idx="23">
                  <c:v>25.649118306435383</c:v>
                </c:pt>
                <c:pt idx="24">
                  <c:v>25.562491636800637</c:v>
                </c:pt>
                <c:pt idx="25">
                  <c:v>23.347146968605543</c:v>
                </c:pt>
                <c:pt idx="26">
                  <c:v>24.880395270138727</c:v>
                </c:pt>
                <c:pt idx="27">
                  <c:v>26.817236404433935</c:v>
                </c:pt>
                <c:pt idx="28">
                  <c:v>27.080825856937029</c:v>
                </c:pt>
                <c:pt idx="29">
                  <c:v>26.241462407225207</c:v>
                </c:pt>
                <c:pt idx="30">
                  <c:v>29.081226424023512</c:v>
                </c:pt>
                <c:pt idx="31">
                  <c:v>27.489232221893992</c:v>
                </c:pt>
                <c:pt idx="32">
                  <c:v>25.446999764108732</c:v>
                </c:pt>
                <c:pt idx="33">
                  <c:v>26.924643846437068</c:v>
                </c:pt>
                <c:pt idx="34">
                  <c:v>27.543205086770925</c:v>
                </c:pt>
                <c:pt idx="35">
                  <c:v>24.193968291743239</c:v>
                </c:pt>
                <c:pt idx="36">
                  <c:v>24.470299272496248</c:v>
                </c:pt>
                <c:pt idx="37">
                  <c:v>27.487661413908366</c:v>
                </c:pt>
                <c:pt idx="38">
                  <c:v>27.512779612577429</c:v>
                </c:pt>
                <c:pt idx="39">
                  <c:v>26.448486253988879</c:v>
                </c:pt>
                <c:pt idx="40">
                  <c:v>28.708316655247515</c:v>
                </c:pt>
                <c:pt idx="41">
                  <c:v>26.905941916660282</c:v>
                </c:pt>
                <c:pt idx="42">
                  <c:v>25.940887520813121</c:v>
                </c:pt>
                <c:pt idx="43">
                  <c:v>21.667205143466674</c:v>
                </c:pt>
                <c:pt idx="44">
                  <c:v>21.667399168181824</c:v>
                </c:pt>
                <c:pt idx="45">
                  <c:v>21.667669163904655</c:v>
                </c:pt>
                <c:pt idx="46">
                  <c:v>21.667706385346051</c:v>
                </c:pt>
                <c:pt idx="47">
                  <c:v>21.667581410151236</c:v>
                </c:pt>
                <c:pt idx="48">
                  <c:v>21.667501395521828</c:v>
                </c:pt>
                <c:pt idx="49">
                  <c:v>21.667510444428711</c:v>
                </c:pt>
                <c:pt idx="50">
                  <c:v>21.667561327922385</c:v>
                </c:pt>
              </c:numCache>
            </c:numRef>
          </c:val>
          <c:smooth val="0"/>
          <c:extLst>
            <c:ext xmlns:c16="http://schemas.microsoft.com/office/drawing/2014/chart" uri="{C3380CC4-5D6E-409C-BE32-E72D297353CC}">
              <c16:uniqueId val="{00000000-E887-4FC6-B440-934E11344496}"/>
            </c:ext>
          </c:extLst>
        </c:ser>
        <c:ser>
          <c:idx val="1"/>
          <c:order val="1"/>
          <c:marker>
            <c:symbol val="none"/>
          </c:marker>
          <c:val>
            <c:numRef>
              <c:f>'Assumptions (T&amp;D)'!$B$16:$AZ$16</c:f>
              <c:numCache>
                <c:formatCode>_("$"* #,##0.00_);_("$"* \(#,##0.00\);_("$"* "-"??_);_(@_)</c:formatCode>
                <c:ptCount val="51"/>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pt idx="17">
                  <c:v>21.772503626008074</c:v>
                </c:pt>
                <c:pt idx="18">
                  <c:v>21.772503626008074</c:v>
                </c:pt>
                <c:pt idx="19">
                  <c:v>21.772503626008074</c:v>
                </c:pt>
                <c:pt idx="20">
                  <c:v>21.772503626008074</c:v>
                </c:pt>
                <c:pt idx="21">
                  <c:v>21.772503626008074</c:v>
                </c:pt>
                <c:pt idx="22">
                  <c:v>21.772503626008074</c:v>
                </c:pt>
                <c:pt idx="23">
                  <c:v>21.772503626008074</c:v>
                </c:pt>
                <c:pt idx="24">
                  <c:v>21.772503626008074</c:v>
                </c:pt>
                <c:pt idx="25">
                  <c:v>21.772503626008074</c:v>
                </c:pt>
                <c:pt idx="26">
                  <c:v>21.772503626008074</c:v>
                </c:pt>
                <c:pt idx="27">
                  <c:v>21.772503626008074</c:v>
                </c:pt>
                <c:pt idx="28">
                  <c:v>21.772503626008074</c:v>
                </c:pt>
                <c:pt idx="29">
                  <c:v>21.772503626008074</c:v>
                </c:pt>
                <c:pt idx="30">
                  <c:v>21.772503626008074</c:v>
                </c:pt>
                <c:pt idx="31">
                  <c:v>21.772503626008074</c:v>
                </c:pt>
                <c:pt idx="32">
                  <c:v>21.772503626008074</c:v>
                </c:pt>
                <c:pt idx="33">
                  <c:v>21.772503626008074</c:v>
                </c:pt>
                <c:pt idx="34">
                  <c:v>21.772503626008074</c:v>
                </c:pt>
                <c:pt idx="35">
                  <c:v>21.772503626008074</c:v>
                </c:pt>
                <c:pt idx="36">
                  <c:v>21.772503626008074</c:v>
                </c:pt>
                <c:pt idx="37">
                  <c:v>21.772503626008074</c:v>
                </c:pt>
                <c:pt idx="38">
                  <c:v>21.772503626008074</c:v>
                </c:pt>
                <c:pt idx="39">
                  <c:v>21.772503626008074</c:v>
                </c:pt>
                <c:pt idx="40">
                  <c:v>21.772503626008074</c:v>
                </c:pt>
                <c:pt idx="41">
                  <c:v>21.772503626008074</c:v>
                </c:pt>
                <c:pt idx="42">
                  <c:v>21.772503626008074</c:v>
                </c:pt>
                <c:pt idx="43">
                  <c:v>21.772503626008074</c:v>
                </c:pt>
                <c:pt idx="44">
                  <c:v>21.772503626008074</c:v>
                </c:pt>
                <c:pt idx="45">
                  <c:v>21.772503626008074</c:v>
                </c:pt>
                <c:pt idx="46">
                  <c:v>21.772503626008074</c:v>
                </c:pt>
                <c:pt idx="47">
                  <c:v>21.772503626008074</c:v>
                </c:pt>
                <c:pt idx="48">
                  <c:v>21.772503626008074</c:v>
                </c:pt>
                <c:pt idx="49">
                  <c:v>21.772503626008074</c:v>
                </c:pt>
                <c:pt idx="50">
                  <c:v>21.772503626008074</c:v>
                </c:pt>
              </c:numCache>
            </c:numRef>
          </c:val>
          <c:smooth val="0"/>
          <c:extLst>
            <c:ext xmlns:c16="http://schemas.microsoft.com/office/drawing/2014/chart" uri="{C3380CC4-5D6E-409C-BE32-E72D297353CC}">
              <c16:uniqueId val="{00000001-E887-4FC6-B440-934E11344496}"/>
            </c:ext>
          </c:extLst>
        </c:ser>
        <c:dLbls>
          <c:showLegendKey val="0"/>
          <c:showVal val="0"/>
          <c:showCatName val="0"/>
          <c:showSerName val="0"/>
          <c:showPercent val="0"/>
          <c:showBubbleSize val="0"/>
        </c:dLbls>
        <c:smooth val="0"/>
        <c:axId val="1072504815"/>
        <c:axId val="1710757978"/>
      </c:lineChart>
      <c:catAx>
        <c:axId val="1072504815"/>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sz="900" b="0" i="0">
                <a:solidFill>
                  <a:srgbClr val="595959"/>
                </a:solidFill>
                <a:latin typeface="Calibri"/>
              </a:defRPr>
            </a:pPr>
            <a:endParaRPr lang="en-US"/>
          </a:p>
        </c:txPr>
        <c:crossAx val="1710757978"/>
        <c:crosses val="autoZero"/>
        <c:auto val="1"/>
        <c:lblAlgn val="ctr"/>
        <c:lblOffset val="100"/>
        <c:noMultiLvlLbl val="1"/>
      </c:catAx>
      <c:valAx>
        <c:axId val="171075797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1072504815"/>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T Maintenance &amp; Total T</a:t>
            </a:r>
          </a:p>
        </c:rich>
      </c:tx>
      <c:overlay val="0"/>
    </c:title>
    <c:autoTitleDeleted val="0"/>
    <c:plotArea>
      <c:layout/>
      <c:scatterChart>
        <c:scatterStyle val="lineMarker"/>
        <c:varyColors val="1"/>
        <c:ser>
          <c:idx val="0"/>
          <c:order val="0"/>
          <c:spPr>
            <a:ln>
              <a:noFill/>
            </a:ln>
          </c:spPr>
          <c:marker>
            <c:symbol val="circle"/>
            <c:size val="5"/>
            <c:spPr>
              <a:solidFill>
                <a:srgbClr val="5B9BD5"/>
              </a:solidFill>
              <a:ln cmpd="sng">
                <a:solidFill>
                  <a:srgbClr val="5B9BD5"/>
                </a:solidFill>
              </a:ln>
            </c:spPr>
          </c:marker>
          <c:trendline>
            <c:spPr>
              <a:ln w="19050">
                <a:solidFill>
                  <a:srgbClr val="5B9BD5"/>
                </a:solidFill>
              </a:ln>
            </c:spPr>
            <c:trendlineType val="exp"/>
            <c:dispRSqr val="1"/>
            <c:dispEq val="1"/>
            <c:trendlineLbl>
              <c:numFmt formatCode="General" sourceLinked="0"/>
            </c:trendlineLbl>
          </c:trendline>
          <c:xVal>
            <c:numRef>
              <c:f>'Assumptions (T&amp;D)'!$B$15:$R$15</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xVal>
          <c:yVal>
            <c:numRef>
              <c:f>'Assumptions (T&amp;D)'!$B$16:$R$16</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yVal>
          <c:smooth val="1"/>
          <c:extLst>
            <c:ext xmlns:c16="http://schemas.microsoft.com/office/drawing/2014/chart" uri="{C3380CC4-5D6E-409C-BE32-E72D297353CC}">
              <c16:uniqueId val="{00000000-CA8C-43E8-9411-D83C936D39FA}"/>
            </c:ext>
          </c:extLst>
        </c:ser>
        <c:ser>
          <c:idx val="1"/>
          <c:order val="1"/>
          <c:spPr>
            <a:ln>
              <a:noFill/>
            </a:ln>
          </c:spPr>
          <c:marker>
            <c:symbol val="circle"/>
            <c:size val="7"/>
            <c:spPr>
              <a:solidFill>
                <a:srgbClr val="DC3912"/>
              </a:solidFill>
              <a:ln cmpd="sng">
                <a:solidFill>
                  <a:srgbClr val="DC3912"/>
                </a:solidFill>
              </a:ln>
            </c:spPr>
          </c:marker>
          <c:xVal>
            <c:numRef>
              <c:f>'Assumptions (T&amp;D)'!$B$15:$R$15</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xVal>
          <c:yVal>
            <c:numRef>
              <c:f>'Assumptions (T&amp;D)'!$B$3:$R$3</c:f>
              <c:numCache>
                <c:formatCode>_("$"* #,##0.00_);_("$"* \(#,##0.00\);_("$"* "-"??_);_(@_)</c:formatCode>
                <c:ptCount val="17"/>
                <c:pt idx="0">
                  <c:v>0.83291213900000005</c:v>
                </c:pt>
                <c:pt idx="1">
                  <c:v>0.80614683899999995</c:v>
                </c:pt>
                <c:pt idx="2">
                  <c:v>0.75008468299999997</c:v>
                </c:pt>
                <c:pt idx="3">
                  <c:v>0.78258724999999996</c:v>
                </c:pt>
                <c:pt idx="4">
                  <c:v>0.86945081499999999</c:v>
                </c:pt>
                <c:pt idx="5">
                  <c:v>0.93978501199999998</c:v>
                </c:pt>
                <c:pt idx="6">
                  <c:v>1.076807796</c:v>
                </c:pt>
                <c:pt idx="7">
                  <c:v>1.137262158</c:v>
                </c:pt>
                <c:pt idx="8">
                  <c:v>1.26793461</c:v>
                </c:pt>
                <c:pt idx="9">
                  <c:v>1.3101326179999999</c:v>
                </c:pt>
                <c:pt idx="10">
                  <c:v>1.3877201130000001</c:v>
                </c:pt>
                <c:pt idx="11">
                  <c:v>1.4143564870000001</c:v>
                </c:pt>
                <c:pt idx="12">
                  <c:v>1.48579806</c:v>
                </c:pt>
                <c:pt idx="13">
                  <c:v>1.523672487</c:v>
                </c:pt>
                <c:pt idx="14">
                  <c:v>1.6469547099999999</c:v>
                </c:pt>
                <c:pt idx="15">
                  <c:v>1.643100142</c:v>
                </c:pt>
                <c:pt idx="16">
                  <c:v>1.7447089179999999</c:v>
                </c:pt>
              </c:numCache>
            </c:numRef>
          </c:yVal>
          <c:smooth val="1"/>
          <c:extLst>
            <c:ext xmlns:c16="http://schemas.microsoft.com/office/drawing/2014/chart" uri="{C3380CC4-5D6E-409C-BE32-E72D297353CC}">
              <c16:uniqueId val="{00000001-CA8C-43E8-9411-D83C936D39FA}"/>
            </c:ext>
          </c:extLst>
        </c:ser>
        <c:dLbls>
          <c:showLegendKey val="0"/>
          <c:showVal val="0"/>
          <c:showCatName val="0"/>
          <c:showSerName val="0"/>
          <c:showPercent val="0"/>
          <c:showBubbleSize val="0"/>
        </c:dLbls>
        <c:axId val="929725904"/>
        <c:axId val="2006850027"/>
      </c:scatterChart>
      <c:valAx>
        <c:axId val="92972590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2006850027"/>
        <c:crosses val="autoZero"/>
        <c:crossBetween val="midCat"/>
      </c:valAx>
      <c:valAx>
        <c:axId val="200685002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929725904"/>
        <c:crosses val="autoZero"/>
        <c:crossBetween val="midCat"/>
      </c:valAx>
      <c:spPr>
        <a:solidFill>
          <a:srgbClr val="FFFFFF"/>
        </a:solidFill>
      </c:spPr>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T Reg Mkt Op Total T</a:t>
            </a:r>
          </a:p>
        </c:rich>
      </c:tx>
      <c:overlay val="0"/>
    </c:title>
    <c:autoTitleDeleted val="0"/>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(T&amp;D)'!$H$15:$R$15</c:f>
              <c:numCache>
                <c:formatCode>_("$"* #,##0.00_);_("$"* \(#,##0.00\);_("$"* "-"??_);_(@_)</c:formatCode>
                <c:ptCount val="11"/>
                <c:pt idx="0">
                  <c:v>8.6422616362507974</c:v>
                </c:pt>
                <c:pt idx="1">
                  <c:v>9.0617697824027665</c:v>
                </c:pt>
                <c:pt idx="2">
                  <c:v>10.769830278240002</c:v>
                </c:pt>
                <c:pt idx="3">
                  <c:v>10.829973175560001</c:v>
                </c:pt>
                <c:pt idx="4">
                  <c:v>13.527122389439999</c:v>
                </c:pt>
                <c:pt idx="5">
                  <c:v>13.834730393880001</c:v>
                </c:pt>
                <c:pt idx="6">
                  <c:v>17.88751456536</c:v>
                </c:pt>
                <c:pt idx="7">
                  <c:v>26.279349329640006</c:v>
                </c:pt>
                <c:pt idx="8">
                  <c:v>23.759341114080001</c:v>
                </c:pt>
                <c:pt idx="9">
                  <c:v>24.868406576639998</c:v>
                </c:pt>
                <c:pt idx="10">
                  <c:v>26.726757694560003</c:v>
                </c:pt>
              </c:numCache>
            </c:numRef>
          </c:xVal>
          <c:yVal>
            <c:numRef>
              <c:f>'Assumptions (T&amp;D)'!$H$6:$R$6</c:f>
              <c:numCache>
                <c:formatCode>_("$"* #,##0.00_);_("$"* \(#,##0.00\);_("$"* "-"??_);_(@_)</c:formatCode>
                <c:ptCount val="11"/>
                <c:pt idx="0">
                  <c:v>0.211859135</c:v>
                </c:pt>
                <c:pt idx="1">
                  <c:v>0.25544428899999999</c:v>
                </c:pt>
                <c:pt idx="2">
                  <c:v>0.25824147800000002</c:v>
                </c:pt>
                <c:pt idx="3">
                  <c:v>0.302299861</c:v>
                </c:pt>
                <c:pt idx="4">
                  <c:v>0.30296071400000002</c:v>
                </c:pt>
                <c:pt idx="5">
                  <c:v>0.29827334300000002</c:v>
                </c:pt>
                <c:pt idx="6">
                  <c:v>0.31894171300000002</c:v>
                </c:pt>
                <c:pt idx="7">
                  <c:v>0.320806494</c:v>
                </c:pt>
                <c:pt idx="8">
                  <c:v>0.347197743</c:v>
                </c:pt>
                <c:pt idx="9">
                  <c:v>0.35631346899999999</c:v>
                </c:pt>
                <c:pt idx="10">
                  <c:v>0.35152729799999999</c:v>
                </c:pt>
              </c:numCache>
            </c:numRef>
          </c:yVal>
          <c:smooth val="1"/>
          <c:extLst>
            <c:ext xmlns:c16="http://schemas.microsoft.com/office/drawing/2014/chart" uri="{C3380CC4-5D6E-409C-BE32-E72D297353CC}">
              <c16:uniqueId val="{00000000-AA0B-4B53-A8F0-DF57BC65F409}"/>
            </c:ext>
          </c:extLst>
        </c:ser>
        <c:dLbls>
          <c:showLegendKey val="0"/>
          <c:showVal val="0"/>
          <c:showCatName val="0"/>
          <c:showSerName val="0"/>
          <c:showPercent val="0"/>
          <c:showBubbleSize val="0"/>
        </c:dLbls>
        <c:axId val="699953648"/>
        <c:axId val="144208705"/>
      </c:scatterChart>
      <c:valAx>
        <c:axId val="69995364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144208705"/>
        <c:crosses val="autoZero"/>
        <c:crossBetween val="midCat"/>
      </c:valAx>
      <c:valAx>
        <c:axId val="14420870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699953648"/>
        <c:crosses val="autoZero"/>
        <c:crossBetween val="midCat"/>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T Operation&amp; Total T</a:t>
            </a:r>
          </a:p>
        </c:rich>
      </c:tx>
      <c:overlay val="0"/>
    </c:title>
    <c:autoTitleDeleted val="0"/>
    <c:plotArea>
      <c:layout/>
      <c:scatterChart>
        <c:scatterStyle val="lineMarker"/>
        <c:varyColors val="1"/>
        <c:ser>
          <c:idx val="0"/>
          <c:order val="0"/>
          <c:spPr>
            <a:ln>
              <a:noFill/>
            </a:ln>
          </c:spPr>
          <c:marker>
            <c:symbol val="circle"/>
            <c:size val="5"/>
            <c:spPr>
              <a:solidFill>
                <a:srgbClr val="5B9BD5"/>
              </a:solidFill>
              <a:ln cmpd="sng">
                <a:solidFill>
                  <a:srgbClr val="5B9BD5"/>
                </a:solidFill>
              </a:ln>
            </c:spPr>
          </c:marker>
          <c:trendline>
            <c:spPr>
              <a:ln w="19050">
                <a:solidFill>
                  <a:srgbClr val="5B9BD5"/>
                </a:solidFill>
              </a:ln>
            </c:spPr>
            <c:trendlineType val="exp"/>
            <c:dispRSqr val="1"/>
            <c:dispEq val="1"/>
            <c:trendlineLbl>
              <c:numFmt formatCode="General" sourceLinked="0"/>
            </c:trendlineLbl>
          </c:trendline>
          <c:xVal>
            <c:numRef>
              <c:f>'Assumptions (T&amp;D)'!$B$15:$R$15</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xVal>
          <c:yVal>
            <c:numRef>
              <c:f>'Assumptions (T&amp;D)'!$B$16:$R$16</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yVal>
          <c:smooth val="1"/>
          <c:extLst>
            <c:ext xmlns:c16="http://schemas.microsoft.com/office/drawing/2014/chart" uri="{C3380CC4-5D6E-409C-BE32-E72D297353CC}">
              <c16:uniqueId val="{00000000-BACA-40CC-A7B9-DB6003AD7FB4}"/>
            </c:ext>
          </c:extLst>
        </c:ser>
        <c:ser>
          <c:idx val="1"/>
          <c:order val="1"/>
          <c:spPr>
            <a:ln>
              <a:noFill/>
            </a:ln>
          </c:spPr>
          <c:marker>
            <c:symbol val="circle"/>
            <c:size val="7"/>
            <c:spPr>
              <a:solidFill>
                <a:srgbClr val="DC3912"/>
              </a:solidFill>
              <a:ln cmpd="sng">
                <a:solidFill>
                  <a:srgbClr val="DC3912"/>
                </a:solidFill>
              </a:ln>
            </c:spPr>
          </c:marker>
          <c:trendline>
            <c:spPr>
              <a:ln w="19050">
                <a:solidFill>
                  <a:srgbClr val="DC3912"/>
                </a:solidFill>
              </a:ln>
            </c:spPr>
            <c:trendlineType val="exp"/>
            <c:dispRSqr val="0"/>
            <c:dispEq val="1"/>
            <c:trendlineLbl>
              <c:numFmt formatCode="General" sourceLinked="0"/>
            </c:trendlineLbl>
          </c:trendline>
          <c:xVal>
            <c:numRef>
              <c:f>'Assumptions (T&amp;D)'!$B$15:$R$15</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xVal>
          <c:yVal>
            <c:numRef>
              <c:f>'Assumptions (T&amp;D)'!$B$4:$R$4</c:f>
              <c:numCache>
                <c:formatCode>_("$"* #,##0.00_);_("$"* \(#,##0.00\);_("$"* "-"??_);_(@_)</c:formatCode>
                <c:ptCount val="17"/>
                <c:pt idx="0">
                  <c:v>2.8809497789999998</c:v>
                </c:pt>
                <c:pt idx="1">
                  <c:v>3.5546116959999998</c:v>
                </c:pt>
                <c:pt idx="2">
                  <c:v>3.7083026870000002</c:v>
                </c:pt>
                <c:pt idx="3">
                  <c:v>3.9827134000000002</c:v>
                </c:pt>
                <c:pt idx="4">
                  <c:v>4.7130735509999999</c:v>
                </c:pt>
                <c:pt idx="5">
                  <c:v>6.0143136930000001</c:v>
                </c:pt>
                <c:pt idx="6">
                  <c:v>6.48302537</c:v>
                </c:pt>
                <c:pt idx="7">
                  <c:v>6.4270538129999997</c:v>
                </c:pt>
                <c:pt idx="8">
                  <c:v>7.2793505329999997</c:v>
                </c:pt>
                <c:pt idx="9">
                  <c:v>7.0594807189999997</c:v>
                </c:pt>
                <c:pt idx="10">
                  <c:v>7.5824506329999997</c:v>
                </c:pt>
                <c:pt idx="11">
                  <c:v>7.5518030180000002</c:v>
                </c:pt>
                <c:pt idx="12">
                  <c:v>7.8989567620000001</c:v>
                </c:pt>
                <c:pt idx="13">
                  <c:v>8.7222640069999997</c:v>
                </c:pt>
                <c:pt idx="14">
                  <c:v>9.868470211</c:v>
                </c:pt>
                <c:pt idx="15">
                  <c:v>10.723777162999999</c:v>
                </c:pt>
                <c:pt idx="16">
                  <c:v>11.556976395</c:v>
                </c:pt>
              </c:numCache>
            </c:numRef>
          </c:yVal>
          <c:smooth val="1"/>
          <c:extLst>
            <c:ext xmlns:c16="http://schemas.microsoft.com/office/drawing/2014/chart" uri="{C3380CC4-5D6E-409C-BE32-E72D297353CC}">
              <c16:uniqueId val="{00000001-BACA-40CC-A7B9-DB6003AD7FB4}"/>
            </c:ext>
          </c:extLst>
        </c:ser>
        <c:dLbls>
          <c:showLegendKey val="0"/>
          <c:showVal val="0"/>
          <c:showCatName val="0"/>
          <c:showSerName val="0"/>
          <c:showPercent val="0"/>
          <c:showBubbleSize val="0"/>
        </c:dLbls>
        <c:axId val="1756958478"/>
        <c:axId val="613643213"/>
      </c:scatterChart>
      <c:valAx>
        <c:axId val="175695847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613643213"/>
        <c:crosses val="autoZero"/>
        <c:crossBetween val="midCat"/>
      </c:valAx>
      <c:valAx>
        <c:axId val="61364321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sz="900" b="0" i="0">
                <a:solidFill>
                  <a:srgbClr val="595959"/>
                </a:solidFill>
                <a:latin typeface="Calibri"/>
              </a:defRPr>
            </a:pPr>
            <a:endParaRPr lang="en-US"/>
          </a:p>
        </c:txPr>
        <c:crossAx val="1756958478"/>
        <c:crosses val="autoZero"/>
        <c:crossBetween val="midCat"/>
      </c:valAx>
      <c:spPr>
        <a:solidFill>
          <a:srgbClr val="FFFFFF"/>
        </a:solidFill>
      </c:spPr>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(T&amp;D)'!$A$60</c:f>
              <c:strCache>
                <c:ptCount val="1"/>
                <c:pt idx="0">
                  <c:v>General Retirement from FERC1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(T&amp;D)'!$B$93:$S$93</c:f>
              <c:numCache>
                <c:formatCode>#,##0</c:formatCode>
                <c:ptCount val="18"/>
                <c:pt idx="0">
                  <c:v>111118816</c:v>
                </c:pt>
                <c:pt idx="1">
                  <c:v>114280573</c:v>
                </c:pt>
                <c:pt idx="2">
                  <c:v>116006547</c:v>
                </c:pt>
                <c:pt idx="3">
                  <c:v>116647733</c:v>
                </c:pt>
                <c:pt idx="4">
                  <c:v>118123159</c:v>
                </c:pt>
                <c:pt idx="5">
                  <c:v>120109043</c:v>
                </c:pt>
                <c:pt idx="6">
                  <c:v>121807977</c:v>
                </c:pt>
                <c:pt idx="7">
                  <c:v>123277321</c:v>
                </c:pt>
                <c:pt idx="8">
                  <c:v>124359345</c:v>
                </c:pt>
                <c:pt idx="9">
                  <c:v>124526241</c:v>
                </c:pt>
                <c:pt idx="10">
                  <c:v>125031411</c:v>
                </c:pt>
                <c:pt idx="11">
                  <c:v>125451686</c:v>
                </c:pt>
                <c:pt idx="12">
                  <c:v>126137326</c:v>
                </c:pt>
                <c:pt idx="13">
                  <c:v>127077492</c:v>
                </c:pt>
                <c:pt idx="14">
                  <c:v>127973810</c:v>
                </c:pt>
                <c:pt idx="15">
                  <c:v>129101097</c:v>
                </c:pt>
                <c:pt idx="16">
                  <c:v>130354559</c:v>
                </c:pt>
                <c:pt idx="17">
                  <c:v>131861098</c:v>
                </c:pt>
              </c:numCache>
            </c:numRef>
          </c:xVal>
          <c:yVal>
            <c:numRef>
              <c:f>'Assumptions (T&amp;D)'!$B$60:$S$60</c:f>
              <c:numCache>
                <c:formatCode>"$"#,##0.00</c:formatCode>
                <c:ptCount val="18"/>
                <c:pt idx="0">
                  <c:v>1.41</c:v>
                </c:pt>
                <c:pt idx="1">
                  <c:v>1.33</c:v>
                </c:pt>
                <c:pt idx="2">
                  <c:v>1.27</c:v>
                </c:pt>
                <c:pt idx="3">
                  <c:v>1.1299999999999999</c:v>
                </c:pt>
                <c:pt idx="4">
                  <c:v>1.19</c:v>
                </c:pt>
                <c:pt idx="5">
                  <c:v>1.44</c:v>
                </c:pt>
                <c:pt idx="6">
                  <c:v>1.34</c:v>
                </c:pt>
                <c:pt idx="7">
                  <c:v>1.02</c:v>
                </c:pt>
                <c:pt idx="8">
                  <c:v>1.1599999999999999</c:v>
                </c:pt>
                <c:pt idx="9">
                  <c:v>1.1399999999999999</c:v>
                </c:pt>
                <c:pt idx="10">
                  <c:v>1.1200000000000001</c:v>
                </c:pt>
                <c:pt idx="11">
                  <c:v>1.17</c:v>
                </c:pt>
                <c:pt idx="12">
                  <c:v>1.22</c:v>
                </c:pt>
                <c:pt idx="13">
                  <c:v>1.1200000000000001</c:v>
                </c:pt>
                <c:pt idx="14">
                  <c:v>1.1200000000000001</c:v>
                </c:pt>
                <c:pt idx="15">
                  <c:v>1.63</c:v>
                </c:pt>
                <c:pt idx="16">
                  <c:v>1.61</c:v>
                </c:pt>
                <c:pt idx="17" formatCode="_(&quot;$&quot;* #,##0.00_);_(&quot;$&quot;* \(#,##0.00\);_(&quot;$&quot;* &quot;-&quot;??_);_(@_)">
                  <c:v>1.26</c:v>
                </c:pt>
              </c:numCache>
            </c:numRef>
          </c:yVal>
          <c:smooth val="1"/>
          <c:extLst>
            <c:ext xmlns:c16="http://schemas.microsoft.com/office/drawing/2014/chart" uri="{C3380CC4-5D6E-409C-BE32-E72D297353CC}">
              <c16:uniqueId val="{00000000-0969-4364-A522-0D8C762627CF}"/>
            </c:ext>
          </c:extLst>
        </c:ser>
        <c:dLbls>
          <c:showLegendKey val="0"/>
          <c:showVal val="0"/>
          <c:showCatName val="0"/>
          <c:showSerName val="0"/>
          <c:showPercent val="0"/>
          <c:showBubbleSize val="0"/>
        </c:dLbls>
        <c:axId val="1979721374"/>
        <c:axId val="1011314072"/>
      </c:scatterChart>
      <c:valAx>
        <c:axId val="19797213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Roboto"/>
              </a:defRPr>
            </a:pPr>
            <a:endParaRPr lang="en-US"/>
          </a:p>
        </c:txPr>
        <c:crossAx val="1011314072"/>
        <c:crosses val="autoZero"/>
        <c:crossBetween val="midCat"/>
      </c:valAx>
      <c:valAx>
        <c:axId val="10113140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979721374"/>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tx>
            <c:strRef>
              <c:f>'Assumptions (T&amp;D)'!$A$15</c:f>
              <c:strCache>
                <c:ptCount val="1"/>
                <c:pt idx="0">
                  <c:v>TOTAL T (Orginal FERC+non-FERC if A1=1,TPIT-adjusted+non-FERC, otherwise)</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(T&amp;D)'!$B$93:$S$93</c:f>
              <c:numCache>
                <c:formatCode>#,##0</c:formatCode>
                <c:ptCount val="18"/>
                <c:pt idx="0">
                  <c:v>111118816</c:v>
                </c:pt>
                <c:pt idx="1">
                  <c:v>114280573</c:v>
                </c:pt>
                <c:pt idx="2">
                  <c:v>116006547</c:v>
                </c:pt>
                <c:pt idx="3">
                  <c:v>116647733</c:v>
                </c:pt>
                <c:pt idx="4">
                  <c:v>118123159</c:v>
                </c:pt>
                <c:pt idx="5">
                  <c:v>120109043</c:v>
                </c:pt>
                <c:pt idx="6">
                  <c:v>121807977</c:v>
                </c:pt>
                <c:pt idx="7">
                  <c:v>123277321</c:v>
                </c:pt>
                <c:pt idx="8">
                  <c:v>124359345</c:v>
                </c:pt>
                <c:pt idx="9">
                  <c:v>124526241</c:v>
                </c:pt>
                <c:pt idx="10">
                  <c:v>125031411</c:v>
                </c:pt>
                <c:pt idx="11">
                  <c:v>125451686</c:v>
                </c:pt>
                <c:pt idx="12">
                  <c:v>126137326</c:v>
                </c:pt>
                <c:pt idx="13">
                  <c:v>127077492</c:v>
                </c:pt>
                <c:pt idx="14">
                  <c:v>127973810</c:v>
                </c:pt>
                <c:pt idx="15">
                  <c:v>129101097</c:v>
                </c:pt>
                <c:pt idx="16">
                  <c:v>130354559</c:v>
                </c:pt>
                <c:pt idx="17">
                  <c:v>131861098</c:v>
                </c:pt>
              </c:numCache>
            </c:numRef>
          </c:xVal>
          <c:yVal>
            <c:numRef>
              <c:f>'Assumptions (T&amp;D)'!$B$15:$R$15</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yVal>
          <c:smooth val="1"/>
          <c:extLst>
            <c:ext xmlns:c16="http://schemas.microsoft.com/office/drawing/2014/chart" uri="{C3380CC4-5D6E-409C-BE32-E72D297353CC}">
              <c16:uniqueId val="{00000000-DB87-4CFC-BD63-4FAF32CB39DB}"/>
            </c:ext>
          </c:extLst>
        </c:ser>
        <c:ser>
          <c:idx val="1"/>
          <c:order val="1"/>
          <c:tx>
            <c:strRef>
              <c:f>'Assumptions (T&amp;D)'!$A$16</c:f>
              <c:strCache>
                <c:ptCount val="1"/>
                <c:pt idx="0">
                  <c:v>TOTAL T CAPEX</c:v>
                </c:pt>
              </c:strCache>
            </c:strRef>
          </c:tx>
          <c:spPr>
            <a:ln>
              <a:noFill/>
            </a:ln>
          </c:spPr>
          <c:marker>
            <c:symbol val="circle"/>
            <c:size val="7"/>
            <c:spPr>
              <a:solidFill>
                <a:srgbClr val="DB4437"/>
              </a:solidFill>
              <a:ln cmpd="sng">
                <a:solidFill>
                  <a:srgbClr val="DB4437"/>
                </a:solidFill>
              </a:ln>
            </c:spPr>
          </c:marker>
          <c:xVal>
            <c:numRef>
              <c:f>'Assumptions (T&amp;D)'!$B$93:$S$93</c:f>
              <c:numCache>
                <c:formatCode>#,##0</c:formatCode>
                <c:ptCount val="18"/>
                <c:pt idx="0">
                  <c:v>111118816</c:v>
                </c:pt>
                <c:pt idx="1">
                  <c:v>114280573</c:v>
                </c:pt>
                <c:pt idx="2">
                  <c:v>116006547</c:v>
                </c:pt>
                <c:pt idx="3">
                  <c:v>116647733</c:v>
                </c:pt>
                <c:pt idx="4">
                  <c:v>118123159</c:v>
                </c:pt>
                <c:pt idx="5">
                  <c:v>120109043</c:v>
                </c:pt>
                <c:pt idx="6">
                  <c:v>121807977</c:v>
                </c:pt>
                <c:pt idx="7">
                  <c:v>123277321</c:v>
                </c:pt>
                <c:pt idx="8">
                  <c:v>124359345</c:v>
                </c:pt>
                <c:pt idx="9">
                  <c:v>124526241</c:v>
                </c:pt>
                <c:pt idx="10">
                  <c:v>125031411</c:v>
                </c:pt>
                <c:pt idx="11">
                  <c:v>125451686</c:v>
                </c:pt>
                <c:pt idx="12">
                  <c:v>126137326</c:v>
                </c:pt>
                <c:pt idx="13">
                  <c:v>127077492</c:v>
                </c:pt>
                <c:pt idx="14">
                  <c:v>127973810</c:v>
                </c:pt>
                <c:pt idx="15">
                  <c:v>129101097</c:v>
                </c:pt>
                <c:pt idx="16">
                  <c:v>130354559</c:v>
                </c:pt>
                <c:pt idx="17">
                  <c:v>131861098</c:v>
                </c:pt>
              </c:numCache>
            </c:numRef>
          </c:xVal>
          <c:yVal>
            <c:numRef>
              <c:f>'Assumptions (T&amp;D)'!$B$16:$R$16</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yVal>
          <c:smooth val="1"/>
          <c:extLst>
            <c:ext xmlns:c16="http://schemas.microsoft.com/office/drawing/2014/chart" uri="{C3380CC4-5D6E-409C-BE32-E72D297353CC}">
              <c16:uniqueId val="{00000001-DB87-4CFC-BD63-4FAF32CB39DB}"/>
            </c:ext>
          </c:extLst>
        </c:ser>
        <c:dLbls>
          <c:showLegendKey val="0"/>
          <c:showVal val="0"/>
          <c:showCatName val="0"/>
          <c:showSerName val="0"/>
          <c:showPercent val="0"/>
          <c:showBubbleSize val="0"/>
        </c:dLbls>
        <c:axId val="2124046780"/>
        <c:axId val="904492354"/>
      </c:scatterChart>
      <c:valAx>
        <c:axId val="21240467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Roboto"/>
              </a:defRPr>
            </a:pPr>
            <a:endParaRPr lang="en-US"/>
          </a:p>
        </c:txPr>
        <c:crossAx val="904492354"/>
        <c:crosses val="autoZero"/>
        <c:crossBetween val="midCat"/>
      </c:valAx>
      <c:valAx>
        <c:axId val="9044923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b="0">
                <a:solidFill>
                  <a:srgbClr val="000000"/>
                </a:solidFill>
                <a:latin typeface="Roboto"/>
              </a:defRPr>
            </a:pPr>
            <a:endParaRPr lang="en-US"/>
          </a:p>
        </c:txPr>
        <c:crossAx val="2124046780"/>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(T&amp;D)'!$A$57</c:f>
              <c:strCache>
                <c:ptCount val="1"/>
                <c:pt idx="0">
                  <c:v>A&amp;G Maintenance from FERC 1 ($billion)</c:v>
                </c:pt>
              </c:strCache>
            </c:strRef>
          </c:tx>
          <c:marker>
            <c:symbol val="none"/>
          </c:marker>
          <c:val>
            <c:numRef>
              <c:f>'Assumptions (T&amp;D)'!$B$57:$AZ$57</c:f>
              <c:numCache>
                <c:formatCode>"$"#,##0.00</c:formatCode>
                <c:ptCount val="51"/>
                <c:pt idx="0">
                  <c:v>0.43</c:v>
                </c:pt>
                <c:pt idx="1">
                  <c:v>0.38</c:v>
                </c:pt>
                <c:pt idx="2">
                  <c:v>0.39</c:v>
                </c:pt>
                <c:pt idx="3">
                  <c:v>0.4</c:v>
                </c:pt>
                <c:pt idx="4">
                  <c:v>0.37</c:v>
                </c:pt>
                <c:pt idx="5">
                  <c:v>0.37</c:v>
                </c:pt>
                <c:pt idx="6">
                  <c:v>5.93</c:v>
                </c:pt>
                <c:pt idx="7">
                  <c:v>0.45</c:v>
                </c:pt>
                <c:pt idx="8">
                  <c:v>0.46</c:v>
                </c:pt>
                <c:pt idx="9">
                  <c:v>0.46</c:v>
                </c:pt>
                <c:pt idx="10">
                  <c:v>0.48</c:v>
                </c:pt>
                <c:pt idx="11">
                  <c:v>0.49</c:v>
                </c:pt>
                <c:pt idx="12">
                  <c:v>0.49</c:v>
                </c:pt>
                <c:pt idx="13">
                  <c:v>0.49</c:v>
                </c:pt>
                <c:pt idx="14">
                  <c:v>0.52</c:v>
                </c:pt>
                <c:pt idx="15">
                  <c:v>0.54</c:v>
                </c:pt>
                <c:pt idx="16">
                  <c:v>0.55000000000000004</c:v>
                </c:pt>
                <c:pt idx="17" formatCode="_(&quot;$&quot;* #,##0.00_);_(&quot;$&quot;* \(#,##0.00\);_(&quot;$&quot;* &quot;-&quot;??_);_(@_)">
                  <c:v>0.60606781333223836</c:v>
                </c:pt>
                <c:pt idx="18" formatCode="_(&quot;$&quot;* #,##0.00_);_(&quot;$&quot;* \(#,##0.00\);_(&quot;$&quot;* &quot;-&quot;??_);_(@_)">
                  <c:v>0.60606781333223836</c:v>
                </c:pt>
                <c:pt idx="19" formatCode="_(&quot;$&quot;* #,##0.00_);_(&quot;$&quot;* \(#,##0.00\);_(&quot;$&quot;* &quot;-&quot;??_);_(@_)">
                  <c:v>0.60606781333223836</c:v>
                </c:pt>
                <c:pt idx="20" formatCode="_(&quot;$&quot;* #,##0.00_);_(&quot;$&quot;* \(#,##0.00\);_(&quot;$&quot;* &quot;-&quot;??_);_(@_)">
                  <c:v>0.60606781333223836</c:v>
                </c:pt>
                <c:pt idx="21" formatCode="_(&quot;$&quot;* #,##0.00_);_(&quot;$&quot;* \(#,##0.00\);_(&quot;$&quot;* &quot;-&quot;??_);_(@_)">
                  <c:v>0.60606781333223836</c:v>
                </c:pt>
                <c:pt idx="22" formatCode="_(&quot;$&quot;* #,##0.00_);_(&quot;$&quot;* \(#,##0.00\);_(&quot;$&quot;* &quot;-&quot;??_);_(@_)">
                  <c:v>0.60606781333223836</c:v>
                </c:pt>
                <c:pt idx="23" formatCode="_(&quot;$&quot;* #,##0.00_);_(&quot;$&quot;* \(#,##0.00\);_(&quot;$&quot;* &quot;-&quot;??_);_(@_)">
                  <c:v>0.60606781333223836</c:v>
                </c:pt>
                <c:pt idx="24" formatCode="_(&quot;$&quot;* #,##0.00_);_(&quot;$&quot;* \(#,##0.00\);_(&quot;$&quot;* &quot;-&quot;??_);_(@_)">
                  <c:v>0.60606781333223836</c:v>
                </c:pt>
                <c:pt idx="25" formatCode="_(&quot;$&quot;* #,##0.00_);_(&quot;$&quot;* \(#,##0.00\);_(&quot;$&quot;* &quot;-&quot;??_);_(@_)">
                  <c:v>0.60606781333223836</c:v>
                </c:pt>
                <c:pt idx="26" formatCode="_(&quot;$&quot;* #,##0.00_);_(&quot;$&quot;* \(#,##0.00\);_(&quot;$&quot;* &quot;-&quot;??_);_(@_)">
                  <c:v>0.60606781333223836</c:v>
                </c:pt>
                <c:pt idx="27" formatCode="_(&quot;$&quot;* #,##0.00_);_(&quot;$&quot;* \(#,##0.00\);_(&quot;$&quot;* &quot;-&quot;??_);_(@_)">
                  <c:v>0.60606781333223836</c:v>
                </c:pt>
                <c:pt idx="28" formatCode="_(&quot;$&quot;* #,##0.00_);_(&quot;$&quot;* \(#,##0.00\);_(&quot;$&quot;* &quot;-&quot;??_);_(@_)">
                  <c:v>0.60606781333223836</c:v>
                </c:pt>
                <c:pt idx="29" formatCode="_(&quot;$&quot;* #,##0.00_);_(&quot;$&quot;* \(#,##0.00\);_(&quot;$&quot;* &quot;-&quot;??_);_(@_)">
                  <c:v>0.60606781333223836</c:v>
                </c:pt>
                <c:pt idx="30" formatCode="_(&quot;$&quot;* #,##0.00_);_(&quot;$&quot;* \(#,##0.00\);_(&quot;$&quot;* &quot;-&quot;??_);_(@_)">
                  <c:v>0.60606781333223836</c:v>
                </c:pt>
                <c:pt idx="31" formatCode="_(&quot;$&quot;* #,##0.00_);_(&quot;$&quot;* \(#,##0.00\);_(&quot;$&quot;* &quot;-&quot;??_);_(@_)">
                  <c:v>0.60606781333223836</c:v>
                </c:pt>
                <c:pt idx="32" formatCode="_(&quot;$&quot;* #,##0.00_);_(&quot;$&quot;* \(#,##0.00\);_(&quot;$&quot;* &quot;-&quot;??_);_(@_)">
                  <c:v>0.60606781333223836</c:v>
                </c:pt>
                <c:pt idx="33" formatCode="_(&quot;$&quot;* #,##0.00_);_(&quot;$&quot;* \(#,##0.00\);_(&quot;$&quot;* &quot;-&quot;??_);_(@_)">
                  <c:v>0.60606781333223836</c:v>
                </c:pt>
                <c:pt idx="34" formatCode="_(&quot;$&quot;* #,##0.00_);_(&quot;$&quot;* \(#,##0.00\);_(&quot;$&quot;* &quot;-&quot;??_);_(@_)">
                  <c:v>0.60606781333223836</c:v>
                </c:pt>
                <c:pt idx="35" formatCode="_(&quot;$&quot;* #,##0.00_);_(&quot;$&quot;* \(#,##0.00\);_(&quot;$&quot;* &quot;-&quot;??_);_(@_)">
                  <c:v>0.60606781333223836</c:v>
                </c:pt>
                <c:pt idx="36" formatCode="_(&quot;$&quot;* #,##0.00_);_(&quot;$&quot;* \(#,##0.00\);_(&quot;$&quot;* &quot;-&quot;??_);_(@_)">
                  <c:v>0.60606781333223836</c:v>
                </c:pt>
                <c:pt idx="37" formatCode="_(&quot;$&quot;* #,##0.00_);_(&quot;$&quot;* \(#,##0.00\);_(&quot;$&quot;* &quot;-&quot;??_);_(@_)">
                  <c:v>0.60606781333223836</c:v>
                </c:pt>
                <c:pt idx="38" formatCode="_(&quot;$&quot;* #,##0.00_);_(&quot;$&quot;* \(#,##0.00\);_(&quot;$&quot;* &quot;-&quot;??_);_(@_)">
                  <c:v>0.60606781333223836</c:v>
                </c:pt>
                <c:pt idx="39" formatCode="_(&quot;$&quot;* #,##0.00_);_(&quot;$&quot;* \(#,##0.00\);_(&quot;$&quot;* &quot;-&quot;??_);_(@_)">
                  <c:v>0.60606781333223836</c:v>
                </c:pt>
                <c:pt idx="40" formatCode="_(&quot;$&quot;* #,##0.00_);_(&quot;$&quot;* \(#,##0.00\);_(&quot;$&quot;* &quot;-&quot;??_);_(@_)">
                  <c:v>0.60606781333223836</c:v>
                </c:pt>
                <c:pt idx="41" formatCode="_(&quot;$&quot;* #,##0.00_);_(&quot;$&quot;* \(#,##0.00\);_(&quot;$&quot;* &quot;-&quot;??_);_(@_)">
                  <c:v>0.60606781333223836</c:v>
                </c:pt>
                <c:pt idx="42" formatCode="_(&quot;$&quot;* #,##0.00_);_(&quot;$&quot;* \(#,##0.00\);_(&quot;$&quot;* &quot;-&quot;??_);_(@_)">
                  <c:v>0.60606781333223836</c:v>
                </c:pt>
                <c:pt idx="43" formatCode="_(&quot;$&quot;* #,##0.00_);_(&quot;$&quot;* \(#,##0.00\);_(&quot;$&quot;* &quot;-&quot;??_);_(@_)">
                  <c:v>0.60606781333223836</c:v>
                </c:pt>
                <c:pt idx="44" formatCode="_(&quot;$&quot;* #,##0.00_);_(&quot;$&quot;* \(#,##0.00\);_(&quot;$&quot;* &quot;-&quot;??_);_(@_)">
                  <c:v>0.60606781333223836</c:v>
                </c:pt>
                <c:pt idx="45" formatCode="_(&quot;$&quot;* #,##0.00_);_(&quot;$&quot;* \(#,##0.00\);_(&quot;$&quot;* &quot;-&quot;??_);_(@_)">
                  <c:v>0.60606781333223836</c:v>
                </c:pt>
                <c:pt idx="46" formatCode="_(&quot;$&quot;* #,##0.00_);_(&quot;$&quot;* \(#,##0.00\);_(&quot;$&quot;* &quot;-&quot;??_);_(@_)">
                  <c:v>0.60606781333223836</c:v>
                </c:pt>
                <c:pt idx="47" formatCode="_(&quot;$&quot;* #,##0.00_);_(&quot;$&quot;* \(#,##0.00\);_(&quot;$&quot;* &quot;-&quot;??_);_(@_)">
                  <c:v>0.60606781333223836</c:v>
                </c:pt>
                <c:pt idx="48" formatCode="_(&quot;$&quot;* #,##0.00_);_(&quot;$&quot;* \(#,##0.00\);_(&quot;$&quot;* &quot;-&quot;??_);_(@_)">
                  <c:v>0.60606781333223836</c:v>
                </c:pt>
                <c:pt idx="49" formatCode="_(&quot;$&quot;* #,##0.00_);_(&quot;$&quot;* \(#,##0.00\);_(&quot;$&quot;* &quot;-&quot;??_);_(@_)">
                  <c:v>0.60606781333223836</c:v>
                </c:pt>
                <c:pt idx="50" formatCode="_(&quot;$&quot;* #,##0.00_);_(&quot;$&quot;* \(#,##0.00\);_(&quot;$&quot;* &quot;-&quot;??_);_(@_)">
                  <c:v>0.60606781333223836</c:v>
                </c:pt>
              </c:numCache>
            </c:numRef>
          </c:val>
          <c:smooth val="0"/>
          <c:extLst>
            <c:ext xmlns:c16="http://schemas.microsoft.com/office/drawing/2014/chart" uri="{C3380CC4-5D6E-409C-BE32-E72D297353CC}">
              <c16:uniqueId val="{00000000-E200-4104-B552-6F5B2DF0BB5C}"/>
            </c:ext>
          </c:extLst>
        </c:ser>
        <c:ser>
          <c:idx val="1"/>
          <c:order val="1"/>
          <c:tx>
            <c:strRef>
              <c:f>'Assumptions (T&amp;D)'!$A$58</c:f>
              <c:strCache>
                <c:ptCount val="1"/>
                <c:pt idx="0">
                  <c:v>A&amp;G Operation from FERC 1 ($billion)</c:v>
                </c:pt>
              </c:strCache>
            </c:strRef>
          </c:tx>
          <c:marker>
            <c:symbol val="none"/>
          </c:marker>
          <c:val>
            <c:numRef>
              <c:f>'Assumptions (T&amp;D)'!$B$58:$AZ$58</c:f>
              <c:numCache>
                <c:formatCode>"$"#,##0.00</c:formatCode>
                <c:ptCount val="51"/>
                <c:pt idx="0">
                  <c:v>13.2</c:v>
                </c:pt>
                <c:pt idx="1">
                  <c:v>12.83</c:v>
                </c:pt>
                <c:pt idx="2">
                  <c:v>13.46</c:v>
                </c:pt>
                <c:pt idx="3">
                  <c:v>14.49</c:v>
                </c:pt>
                <c:pt idx="4">
                  <c:v>13.91</c:v>
                </c:pt>
                <c:pt idx="5">
                  <c:v>14.86</c:v>
                </c:pt>
                <c:pt idx="6">
                  <c:v>15.02</c:v>
                </c:pt>
                <c:pt idx="7">
                  <c:v>15.36</c:v>
                </c:pt>
                <c:pt idx="8">
                  <c:v>15.17</c:v>
                </c:pt>
                <c:pt idx="9">
                  <c:v>16.61</c:v>
                </c:pt>
                <c:pt idx="10">
                  <c:v>18.010000000000002</c:v>
                </c:pt>
                <c:pt idx="11">
                  <c:v>18.059999999999999</c:v>
                </c:pt>
                <c:pt idx="12">
                  <c:v>19.170000000000002</c:v>
                </c:pt>
                <c:pt idx="13">
                  <c:v>18.489999999999998</c:v>
                </c:pt>
                <c:pt idx="14">
                  <c:v>18.23</c:v>
                </c:pt>
                <c:pt idx="15">
                  <c:v>17.89</c:v>
                </c:pt>
                <c:pt idx="16">
                  <c:v>18.41</c:v>
                </c:pt>
                <c:pt idx="17" formatCode="_(&quot;$&quot;* #,##0.00_);_(&quot;$&quot;* \(#,##0.00\);_(&quot;$&quot;* &quot;-&quot;??_);_(@_)">
                  <c:v>19.763808677838028</c:v>
                </c:pt>
                <c:pt idx="18" formatCode="_(&quot;$&quot;* #,##0.00_);_(&quot;$&quot;* \(#,##0.00\);_(&quot;$&quot;* &quot;-&quot;??_);_(@_)">
                  <c:v>19.763808677838028</c:v>
                </c:pt>
                <c:pt idx="19" formatCode="_(&quot;$&quot;* #,##0.00_);_(&quot;$&quot;* \(#,##0.00\);_(&quot;$&quot;* &quot;-&quot;??_);_(@_)">
                  <c:v>19.763808677838028</c:v>
                </c:pt>
                <c:pt idx="20" formatCode="_(&quot;$&quot;* #,##0.00_);_(&quot;$&quot;* \(#,##0.00\);_(&quot;$&quot;* &quot;-&quot;??_);_(@_)">
                  <c:v>19.763808677838028</c:v>
                </c:pt>
                <c:pt idx="21" formatCode="_(&quot;$&quot;* #,##0.00_);_(&quot;$&quot;* \(#,##0.00\);_(&quot;$&quot;* &quot;-&quot;??_);_(@_)">
                  <c:v>19.763808677838028</c:v>
                </c:pt>
                <c:pt idx="22" formatCode="_(&quot;$&quot;* #,##0.00_);_(&quot;$&quot;* \(#,##0.00\);_(&quot;$&quot;* &quot;-&quot;??_);_(@_)">
                  <c:v>19.763808677838028</c:v>
                </c:pt>
                <c:pt idx="23" formatCode="_(&quot;$&quot;* #,##0.00_);_(&quot;$&quot;* \(#,##0.00\);_(&quot;$&quot;* &quot;-&quot;??_);_(@_)">
                  <c:v>19.763808677838028</c:v>
                </c:pt>
                <c:pt idx="24" formatCode="_(&quot;$&quot;* #,##0.00_);_(&quot;$&quot;* \(#,##0.00\);_(&quot;$&quot;* &quot;-&quot;??_);_(@_)">
                  <c:v>19.763808677838028</c:v>
                </c:pt>
                <c:pt idx="25" formatCode="_(&quot;$&quot;* #,##0.00_);_(&quot;$&quot;* \(#,##0.00\);_(&quot;$&quot;* &quot;-&quot;??_);_(@_)">
                  <c:v>19.763808677838028</c:v>
                </c:pt>
                <c:pt idx="26" formatCode="_(&quot;$&quot;* #,##0.00_);_(&quot;$&quot;* \(#,##0.00\);_(&quot;$&quot;* &quot;-&quot;??_);_(@_)">
                  <c:v>19.763808677838028</c:v>
                </c:pt>
                <c:pt idx="27" formatCode="_(&quot;$&quot;* #,##0.00_);_(&quot;$&quot;* \(#,##0.00\);_(&quot;$&quot;* &quot;-&quot;??_);_(@_)">
                  <c:v>19.763808677838028</c:v>
                </c:pt>
                <c:pt idx="28" formatCode="_(&quot;$&quot;* #,##0.00_);_(&quot;$&quot;* \(#,##0.00\);_(&quot;$&quot;* &quot;-&quot;??_);_(@_)">
                  <c:v>19.763808677838028</c:v>
                </c:pt>
                <c:pt idx="29" formatCode="_(&quot;$&quot;* #,##0.00_);_(&quot;$&quot;* \(#,##0.00\);_(&quot;$&quot;* &quot;-&quot;??_);_(@_)">
                  <c:v>19.763808677838028</c:v>
                </c:pt>
                <c:pt idx="30" formatCode="_(&quot;$&quot;* #,##0.00_);_(&quot;$&quot;* \(#,##0.00\);_(&quot;$&quot;* &quot;-&quot;??_);_(@_)">
                  <c:v>19.763808677838028</c:v>
                </c:pt>
                <c:pt idx="31" formatCode="_(&quot;$&quot;* #,##0.00_);_(&quot;$&quot;* \(#,##0.00\);_(&quot;$&quot;* &quot;-&quot;??_);_(@_)">
                  <c:v>19.763808677838028</c:v>
                </c:pt>
                <c:pt idx="32" formatCode="_(&quot;$&quot;* #,##0.00_);_(&quot;$&quot;* \(#,##0.00\);_(&quot;$&quot;* &quot;-&quot;??_);_(@_)">
                  <c:v>19.763808677838028</c:v>
                </c:pt>
                <c:pt idx="33" formatCode="_(&quot;$&quot;* #,##0.00_);_(&quot;$&quot;* \(#,##0.00\);_(&quot;$&quot;* &quot;-&quot;??_);_(@_)">
                  <c:v>19.763808677838028</c:v>
                </c:pt>
                <c:pt idx="34" formatCode="_(&quot;$&quot;* #,##0.00_);_(&quot;$&quot;* \(#,##0.00\);_(&quot;$&quot;* &quot;-&quot;??_);_(@_)">
                  <c:v>19.763808677838028</c:v>
                </c:pt>
                <c:pt idx="35" formatCode="_(&quot;$&quot;* #,##0.00_);_(&quot;$&quot;* \(#,##0.00\);_(&quot;$&quot;* &quot;-&quot;??_);_(@_)">
                  <c:v>19.763808677838028</c:v>
                </c:pt>
                <c:pt idx="36" formatCode="_(&quot;$&quot;* #,##0.00_);_(&quot;$&quot;* \(#,##0.00\);_(&quot;$&quot;* &quot;-&quot;??_);_(@_)">
                  <c:v>19.763808677838028</c:v>
                </c:pt>
                <c:pt idx="37" formatCode="_(&quot;$&quot;* #,##0.00_);_(&quot;$&quot;* \(#,##0.00\);_(&quot;$&quot;* &quot;-&quot;??_);_(@_)">
                  <c:v>19.763808677838028</c:v>
                </c:pt>
                <c:pt idx="38" formatCode="_(&quot;$&quot;* #,##0.00_);_(&quot;$&quot;* \(#,##0.00\);_(&quot;$&quot;* &quot;-&quot;??_);_(@_)">
                  <c:v>19.763808677838028</c:v>
                </c:pt>
                <c:pt idx="39" formatCode="_(&quot;$&quot;* #,##0.00_);_(&quot;$&quot;* \(#,##0.00\);_(&quot;$&quot;* &quot;-&quot;??_);_(@_)">
                  <c:v>19.763808677838028</c:v>
                </c:pt>
                <c:pt idx="40" formatCode="_(&quot;$&quot;* #,##0.00_);_(&quot;$&quot;* \(#,##0.00\);_(&quot;$&quot;* &quot;-&quot;??_);_(@_)">
                  <c:v>19.763808677838028</c:v>
                </c:pt>
                <c:pt idx="41" formatCode="_(&quot;$&quot;* #,##0.00_);_(&quot;$&quot;* \(#,##0.00\);_(&quot;$&quot;* &quot;-&quot;??_);_(@_)">
                  <c:v>19.763808677838028</c:v>
                </c:pt>
                <c:pt idx="42" formatCode="_(&quot;$&quot;* #,##0.00_);_(&quot;$&quot;* \(#,##0.00\);_(&quot;$&quot;* &quot;-&quot;??_);_(@_)">
                  <c:v>19.763808677838028</c:v>
                </c:pt>
                <c:pt idx="43" formatCode="_(&quot;$&quot;* #,##0.00_);_(&quot;$&quot;* \(#,##0.00\);_(&quot;$&quot;* &quot;-&quot;??_);_(@_)">
                  <c:v>19.763808677838028</c:v>
                </c:pt>
                <c:pt idx="44" formatCode="_(&quot;$&quot;* #,##0.00_);_(&quot;$&quot;* \(#,##0.00\);_(&quot;$&quot;* &quot;-&quot;??_);_(@_)">
                  <c:v>19.763808677838028</c:v>
                </c:pt>
                <c:pt idx="45" formatCode="_(&quot;$&quot;* #,##0.00_);_(&quot;$&quot;* \(#,##0.00\);_(&quot;$&quot;* &quot;-&quot;??_);_(@_)">
                  <c:v>19.763808677838028</c:v>
                </c:pt>
                <c:pt idx="46" formatCode="_(&quot;$&quot;* #,##0.00_);_(&quot;$&quot;* \(#,##0.00\);_(&quot;$&quot;* &quot;-&quot;??_);_(@_)">
                  <c:v>19.763808677838028</c:v>
                </c:pt>
                <c:pt idx="47" formatCode="_(&quot;$&quot;* #,##0.00_);_(&quot;$&quot;* \(#,##0.00\);_(&quot;$&quot;* &quot;-&quot;??_);_(@_)">
                  <c:v>19.763808677838028</c:v>
                </c:pt>
                <c:pt idx="48" formatCode="_(&quot;$&quot;* #,##0.00_);_(&quot;$&quot;* \(#,##0.00\);_(&quot;$&quot;* &quot;-&quot;??_);_(@_)">
                  <c:v>19.763808677838028</c:v>
                </c:pt>
                <c:pt idx="49" formatCode="_(&quot;$&quot;* #,##0.00_);_(&quot;$&quot;* \(#,##0.00\);_(&quot;$&quot;* &quot;-&quot;??_);_(@_)">
                  <c:v>19.763808677838028</c:v>
                </c:pt>
                <c:pt idx="50" formatCode="_(&quot;$&quot;* #,##0.00_);_(&quot;$&quot;* \(#,##0.00\);_(&quot;$&quot;* &quot;-&quot;??_);_(@_)">
                  <c:v>19.763808677838028</c:v>
                </c:pt>
              </c:numCache>
            </c:numRef>
          </c:val>
          <c:smooth val="0"/>
          <c:extLst>
            <c:ext xmlns:c16="http://schemas.microsoft.com/office/drawing/2014/chart" uri="{C3380CC4-5D6E-409C-BE32-E72D297353CC}">
              <c16:uniqueId val="{00000001-E200-4104-B552-6F5B2DF0BB5C}"/>
            </c:ext>
          </c:extLst>
        </c:ser>
        <c:ser>
          <c:idx val="2"/>
          <c:order val="2"/>
          <c:tx>
            <c:strRef>
              <c:f>'Assumptions (T&amp;D)'!$A$59</c:f>
              <c:strCache>
                <c:ptCount val="1"/>
                <c:pt idx="0">
                  <c:v>General Beginning Year Balance from FERC1 ($billion)</c:v>
                </c:pt>
              </c:strCache>
            </c:strRef>
          </c:tx>
          <c:marker>
            <c:symbol val="none"/>
          </c:marker>
          <c:val>
            <c:numRef>
              <c:f>'Assumptions (T&amp;D)'!$B$59:$AZ$59</c:f>
              <c:numCache>
                <c:formatCode>"$"#,##0.00</c:formatCode>
                <c:ptCount val="51"/>
                <c:pt idx="0">
                  <c:v>24.33</c:v>
                </c:pt>
                <c:pt idx="1">
                  <c:v>24.19</c:v>
                </c:pt>
                <c:pt idx="2">
                  <c:v>23.66</c:v>
                </c:pt>
                <c:pt idx="3">
                  <c:v>23.41</c:v>
                </c:pt>
                <c:pt idx="4">
                  <c:v>23.8</c:v>
                </c:pt>
                <c:pt idx="5">
                  <c:v>23.92</c:v>
                </c:pt>
                <c:pt idx="6">
                  <c:v>23.97</c:v>
                </c:pt>
                <c:pt idx="7">
                  <c:v>24</c:v>
                </c:pt>
                <c:pt idx="8">
                  <c:v>24.19</c:v>
                </c:pt>
                <c:pt idx="9">
                  <c:v>25.25</c:v>
                </c:pt>
                <c:pt idx="10">
                  <c:v>26.59</c:v>
                </c:pt>
                <c:pt idx="11">
                  <c:v>27.27</c:v>
                </c:pt>
                <c:pt idx="12">
                  <c:v>28.62</c:v>
                </c:pt>
                <c:pt idx="13">
                  <c:v>30.57</c:v>
                </c:pt>
                <c:pt idx="14">
                  <c:v>32.28</c:v>
                </c:pt>
                <c:pt idx="15">
                  <c:v>34.07</c:v>
                </c:pt>
                <c:pt idx="16">
                  <c:v>35.57</c:v>
                </c:pt>
              </c:numCache>
            </c:numRef>
          </c:val>
          <c:smooth val="0"/>
          <c:extLst>
            <c:ext xmlns:c16="http://schemas.microsoft.com/office/drawing/2014/chart" uri="{C3380CC4-5D6E-409C-BE32-E72D297353CC}">
              <c16:uniqueId val="{00000002-E200-4104-B552-6F5B2DF0BB5C}"/>
            </c:ext>
          </c:extLst>
        </c:ser>
        <c:ser>
          <c:idx val="3"/>
          <c:order val="3"/>
          <c:tx>
            <c:strRef>
              <c:f>'Assumptions (T&amp;D)'!$A$60</c:f>
              <c:strCache>
                <c:ptCount val="1"/>
                <c:pt idx="0">
                  <c:v>General Retirement from FERC1 ($billion)</c:v>
                </c:pt>
              </c:strCache>
            </c:strRef>
          </c:tx>
          <c:marker>
            <c:symbol val="none"/>
          </c:marker>
          <c:val>
            <c:numRef>
              <c:f>'Assumptions (T&amp;D)'!$B$60:$AZ$60</c:f>
              <c:numCache>
                <c:formatCode>"$"#,##0.00</c:formatCode>
                <c:ptCount val="51"/>
                <c:pt idx="0">
                  <c:v>1.41</c:v>
                </c:pt>
                <c:pt idx="1">
                  <c:v>1.33</c:v>
                </c:pt>
                <c:pt idx="2">
                  <c:v>1.27</c:v>
                </c:pt>
                <c:pt idx="3">
                  <c:v>1.1299999999999999</c:v>
                </c:pt>
                <c:pt idx="4">
                  <c:v>1.19</c:v>
                </c:pt>
                <c:pt idx="5">
                  <c:v>1.44</c:v>
                </c:pt>
                <c:pt idx="6">
                  <c:v>1.34</c:v>
                </c:pt>
                <c:pt idx="7">
                  <c:v>1.02</c:v>
                </c:pt>
                <c:pt idx="8">
                  <c:v>1.1599999999999999</c:v>
                </c:pt>
                <c:pt idx="9">
                  <c:v>1.1399999999999999</c:v>
                </c:pt>
                <c:pt idx="10">
                  <c:v>1.1200000000000001</c:v>
                </c:pt>
                <c:pt idx="11">
                  <c:v>1.17</c:v>
                </c:pt>
                <c:pt idx="12">
                  <c:v>1.22</c:v>
                </c:pt>
                <c:pt idx="13">
                  <c:v>1.1200000000000001</c:v>
                </c:pt>
                <c:pt idx="14">
                  <c:v>1.1200000000000001</c:v>
                </c:pt>
                <c:pt idx="15">
                  <c:v>1.63</c:v>
                </c:pt>
                <c:pt idx="16">
                  <c:v>1.61</c:v>
                </c:pt>
                <c:pt idx="17" formatCode="_(&quot;$&quot;* #,##0.00_);_(&quot;$&quot;* \(#,##0.00\);_(&quot;$&quot;* &quot;-&quot;??_);_(@_)">
                  <c:v>1.26</c:v>
                </c:pt>
                <c:pt idx="18" formatCode="_(&quot;$&quot;* #,##0.00_);_(&quot;$&quot;* \(#,##0.00\);_(&quot;$&quot;* &quot;-&quot;??_);_(@_)">
                  <c:v>1.2511764705882356</c:v>
                </c:pt>
                <c:pt idx="19" formatCode="_(&quot;$&quot;* #,##0.00_);_(&quot;$&quot;* \(#,##0.00\);_(&quot;$&quot;* &quot;-&quot;??_);_(@_)">
                  <c:v>1.2465397923875432</c:v>
                </c:pt>
                <c:pt idx="20" formatCode="_(&quot;$&quot;* #,##0.00_);_(&quot;$&quot;* \(#,##0.00\);_(&quot;$&quot;* &quot;-&quot;??_);_(@_)">
                  <c:v>1.2451597801750458</c:v>
                </c:pt>
                <c:pt idx="21" formatCode="_(&quot;$&quot;* #,##0.00_);_(&quot;$&quot;* \(#,##0.00\);_(&quot;$&quot;* &quot;-&quot;??_);_(@_)">
                  <c:v>1.2519338848912251</c:v>
                </c:pt>
                <c:pt idx="22" formatCode="_(&quot;$&quot;* #,##0.00_);_(&quot;$&quot;* \(#,##0.00\);_(&quot;$&quot;* &quot;-&quot;??_);_(@_)">
                  <c:v>1.255577054590709</c:v>
                </c:pt>
                <c:pt idx="23" formatCode="_(&quot;$&quot;* #,##0.00_);_(&quot;$&quot;* \(#,##0.00\);_(&quot;$&quot;* &quot;-&quot;??_);_(@_)">
                  <c:v>1.2447286460372213</c:v>
                </c:pt>
                <c:pt idx="24" formatCode="_(&quot;$&quot;* #,##0.00_);_(&quot;$&quot;* \(#,##0.00\);_(&quot;$&quot;* &quot;-&quot;??_);_(@_)">
                  <c:v>1.239124448745293</c:v>
                </c:pt>
                <c:pt idx="25" formatCode="_(&quot;$&quot;* #,##0.00_);_(&quot;$&quot;* \(#,##0.00\);_(&quot;$&quot;* &quot;-&quot;??_);_(@_)">
                  <c:v>1.2520141222008985</c:v>
                </c:pt>
                <c:pt idx="26" formatCode="_(&quot;$&quot;* #,##0.00_);_(&quot;$&quot;* \(#,##0.00\);_(&quot;$&quot;* &quot;-&quot;??_);_(@_)">
                  <c:v>1.2574267176244807</c:v>
                </c:pt>
                <c:pt idx="27" formatCode="_(&quot;$&quot;* #,##0.00_);_(&quot;$&quot;* \(#,##0.00\);_(&quot;$&quot;* &quot;-&quot;??_);_(@_)">
                  <c:v>1.264334171602391</c:v>
                </c:pt>
                <c:pt idx="28" formatCode="_(&quot;$&quot;* #,##0.00_);_(&quot;$&quot;* \(#,##0.00\);_(&quot;$&quot;* &quot;-&quot;??_);_(@_)">
                  <c:v>1.2728244169907672</c:v>
                </c:pt>
                <c:pt idx="29" formatCode="_(&quot;$&quot;* #,##0.00_);_(&quot;$&quot;* \(#,##0.00\);_(&quot;$&quot;* &quot;-&quot;??_);_(@_)">
                  <c:v>1.2788729121078712</c:v>
                </c:pt>
                <c:pt idx="30" formatCode="_(&quot;$&quot;* #,##0.00_);_(&quot;$&quot;* \(#,##0.00\);_(&quot;$&quot;* &quot;-&quot;??_);_(@_)">
                  <c:v>1.282336024584805</c:v>
                </c:pt>
                <c:pt idx="31" formatCode="_(&quot;$&quot;* #,##0.00_);_(&quot;$&quot;* \(#,##0.00\);_(&quot;$&quot;* &quot;-&quot;??_);_(@_)">
                  <c:v>1.2918852025015584</c:v>
                </c:pt>
                <c:pt idx="32" formatCode="_(&quot;$&quot;* #,##0.00_);_(&quot;$&quot;* \(#,##0.00\);_(&quot;$&quot;* &quot;-&quot;??_);_(@_)">
                  <c:v>1.301996096766356</c:v>
                </c:pt>
                <c:pt idx="33" formatCode="_(&quot;$&quot;* #,##0.00_);_(&quot;$&quot;* \(#,##0.00\);_(&quot;$&quot;* &quot;-&quot;??_);_(@_)">
                  <c:v>1.2827017495173176</c:v>
                </c:pt>
                <c:pt idx="34" formatCode="_(&quot;$&quot;* #,##0.00_);_(&quot;$&quot;* \(#,##0.00\);_(&quot;$&quot;* &quot;-&quot;??_);_(@_)">
                  <c:v>1.2634489112536307</c:v>
                </c:pt>
                <c:pt idx="35" formatCode="_(&quot;$&quot;* #,##0.00_);_(&quot;$&quot;* \(#,##0.00\);_(&quot;$&quot;* &quot;-&quot;??_);_(@_)">
                  <c:v>1.2636517883861969</c:v>
                </c:pt>
                <c:pt idx="36" formatCode="_(&quot;$&quot;* #,##0.00_);_(&quot;$&quot;* \(#,##0.00\);_(&quot;$&quot;* &quot;-&quot;??_);_(@_)">
                  <c:v>1.2643856306096066</c:v>
                </c:pt>
                <c:pt idx="37" formatCode="_(&quot;$&quot;* #,##0.00_);_(&quot;$&quot;* \(#,##0.00\);_(&quot;$&quot;* &quot;-&quot;??_);_(@_)">
                  <c:v>1.2654353857991396</c:v>
                </c:pt>
                <c:pt idx="38" formatCode="_(&quot;$&quot;* #,##0.00_);_(&quot;$&quot;* \(#,##0.00\);_(&quot;$&quot;* &quot;-&quot;??_);_(@_)">
                  <c:v>1.2666280684829099</c:v>
                </c:pt>
                <c:pt idx="39" formatCode="_(&quot;$&quot;* #,##0.00_);_(&quot;$&quot;* \(#,##0.00\);_(&quot;$&quot;* &quot;-&quot;??_);_(@_)">
                  <c:v>1.2674924322235972</c:v>
                </c:pt>
                <c:pt idx="40" formatCode="_(&quot;$&quot;* #,##0.00_);_(&quot;$&quot;* \(#,##0.00\);_(&quot;$&quot;* &quot;-&quot;??_);_(@_)">
                  <c:v>1.2681933367902378</c:v>
                </c:pt>
                <c:pt idx="41" formatCode="_(&quot;$&quot;* #,##0.00_);_(&quot;$&quot;* \(#,##0.00\);_(&quot;$&quot;* &quot;-&quot;??_);_(@_)">
                  <c:v>1.2695736127168857</c:v>
                </c:pt>
                <c:pt idx="42" formatCode="_(&quot;$&quot;* #,##0.00_);_(&quot;$&quot;* \(#,##0.00\);_(&quot;$&quot;* &quot;-&quot;??_);_(@_)">
                  <c:v>1.2713647400093322</c:v>
                </c:pt>
                <c:pt idx="43" formatCode="_(&quot;$&quot;* #,##0.00_);_(&quot;$&quot;* \(#,##0.00\);_(&quot;$&quot;* &quot;-&quot;??_);_(@_)">
                  <c:v>1.2725030116451226</c:v>
                </c:pt>
                <c:pt idx="44" formatCode="_(&quot;$&quot;* #,##0.00_);_(&quot;$&quot;* \(#,##0.00\);_(&quot;$&quot;* &quot;-&quot;??_);_(@_)">
                  <c:v>1.2733898524698664</c:v>
                </c:pt>
                <c:pt idx="45" formatCode="_(&quot;$&quot;* #,##0.00_);_(&quot;$&quot;* \(#,##0.00\);_(&quot;$&quot;* &quot;-&quot;??_);_(@_)">
                  <c:v>1.2739225395797176</c:v>
                </c:pt>
                <c:pt idx="46" formatCode="_(&quot;$&quot;* #,##0.00_);_(&quot;$&quot;* \(#,##0.00\);_(&quot;$&quot;* &quot;-&quot;??_);_(@_)">
                  <c:v>1.2739871350261267</c:v>
                </c:pt>
                <c:pt idx="47" formatCode="_(&quot;$&quot;* #,##0.00_);_(&quot;$&quot;* \(#,##0.00\);_(&quot;$&quot;* &quot;-&quot;??_);_(@_)">
                  <c:v>1.2736997363742593</c:v>
                </c:pt>
                <c:pt idx="48" formatCode="_(&quot;$&quot;* #,##0.00_);_(&quot;$&quot;* \(#,##0.00\);_(&quot;$&quot;* &quot;-&quot;??_);_(@_)">
                  <c:v>1.2731917194206976</c:v>
                </c:pt>
                <c:pt idx="49" formatCode="_(&quot;$&quot;* #,##0.00_);_(&quot;$&quot;* \(#,##0.00\);_(&quot;$&quot;* &quot;-&quot;??_);_(@_)">
                  <c:v>1.2720921027688823</c:v>
                </c:pt>
                <c:pt idx="50" formatCode="_(&quot;$&quot;* #,##0.00_);_(&quot;$&quot;* \(#,##0.00\);_(&quot;$&quot;* &quot;-&quot;??_);_(@_)">
                  <c:v>1.2703330442984426</c:v>
                </c:pt>
              </c:numCache>
            </c:numRef>
          </c:val>
          <c:smooth val="0"/>
          <c:extLst>
            <c:ext xmlns:c16="http://schemas.microsoft.com/office/drawing/2014/chart" uri="{C3380CC4-5D6E-409C-BE32-E72D297353CC}">
              <c16:uniqueId val="{00000003-E200-4104-B552-6F5B2DF0BB5C}"/>
            </c:ext>
          </c:extLst>
        </c:ser>
        <c:ser>
          <c:idx val="4"/>
          <c:order val="4"/>
          <c:tx>
            <c:strRef>
              <c:f>'Assumptions (T&amp;D)'!$A$61</c:f>
              <c:strCache>
                <c:ptCount val="1"/>
                <c:pt idx="0">
                  <c:v>General Plant Additions from FERC 1 ($billion)</c:v>
                </c:pt>
              </c:strCache>
            </c:strRef>
          </c:tx>
          <c:marker>
            <c:symbol val="none"/>
          </c:marker>
          <c:val>
            <c:numRef>
              <c:f>'Assumptions (T&amp;D)'!$B$61:$AZ$61</c:f>
              <c:numCache>
                <c:formatCode>"$"#,##0.00</c:formatCode>
                <c:ptCount val="51"/>
                <c:pt idx="0">
                  <c:v>1.66</c:v>
                </c:pt>
                <c:pt idx="1">
                  <c:v>1.29</c:v>
                </c:pt>
                <c:pt idx="2">
                  <c:v>1.4</c:v>
                </c:pt>
                <c:pt idx="3">
                  <c:v>1.54</c:v>
                </c:pt>
                <c:pt idx="4">
                  <c:v>1.38</c:v>
                </c:pt>
                <c:pt idx="5">
                  <c:v>1.88</c:v>
                </c:pt>
                <c:pt idx="6">
                  <c:v>1.52</c:v>
                </c:pt>
                <c:pt idx="7">
                  <c:v>1.72</c:v>
                </c:pt>
                <c:pt idx="8">
                  <c:v>2.11</c:v>
                </c:pt>
                <c:pt idx="9">
                  <c:v>2.19</c:v>
                </c:pt>
                <c:pt idx="10">
                  <c:v>2.12</c:v>
                </c:pt>
                <c:pt idx="11">
                  <c:v>2.71</c:v>
                </c:pt>
                <c:pt idx="12">
                  <c:v>3.18</c:v>
                </c:pt>
                <c:pt idx="13">
                  <c:v>2.9</c:v>
                </c:pt>
                <c:pt idx="14">
                  <c:v>3</c:v>
                </c:pt>
                <c:pt idx="15">
                  <c:v>3.27</c:v>
                </c:pt>
                <c:pt idx="16">
                  <c:v>3.67</c:v>
                </c:pt>
                <c:pt idx="17" formatCode="_(&quot;$&quot;* #,##0.00_);_(&quot;$&quot;* \(#,##0.00\);_(&quot;$&quot;* &quot;-&quot;??_);_(@_)">
                  <c:v>2.6313609046584361</c:v>
                </c:pt>
                <c:pt idx="18" formatCode="_(&quot;$&quot;* #,##0.00_);_(&quot;$&quot;* \(#,##0.00\);_(&quot;$&quot;* &quot;-&quot;??_);_(@_)">
                  <c:v>2.6313609046584361</c:v>
                </c:pt>
                <c:pt idx="19" formatCode="_(&quot;$&quot;* #,##0.00_);_(&quot;$&quot;* \(#,##0.00\);_(&quot;$&quot;* &quot;-&quot;??_);_(@_)">
                  <c:v>2.6313609046584361</c:v>
                </c:pt>
                <c:pt idx="20" formatCode="_(&quot;$&quot;* #,##0.00_);_(&quot;$&quot;* \(#,##0.00\);_(&quot;$&quot;* &quot;-&quot;??_);_(@_)">
                  <c:v>2.6313609046584361</c:v>
                </c:pt>
                <c:pt idx="21" formatCode="_(&quot;$&quot;* #,##0.00_);_(&quot;$&quot;* \(#,##0.00\);_(&quot;$&quot;* &quot;-&quot;??_);_(@_)">
                  <c:v>2.6313609046584361</c:v>
                </c:pt>
                <c:pt idx="22" formatCode="_(&quot;$&quot;* #,##0.00_);_(&quot;$&quot;* \(#,##0.00\);_(&quot;$&quot;* &quot;-&quot;??_);_(@_)">
                  <c:v>2.6313609046584361</c:v>
                </c:pt>
                <c:pt idx="23" formatCode="_(&quot;$&quot;* #,##0.00_);_(&quot;$&quot;* \(#,##0.00\);_(&quot;$&quot;* &quot;-&quot;??_);_(@_)">
                  <c:v>2.6313609046584361</c:v>
                </c:pt>
                <c:pt idx="24" formatCode="_(&quot;$&quot;* #,##0.00_);_(&quot;$&quot;* \(#,##0.00\);_(&quot;$&quot;* &quot;-&quot;??_);_(@_)">
                  <c:v>2.6313609046584361</c:v>
                </c:pt>
                <c:pt idx="25" formatCode="_(&quot;$&quot;* #,##0.00_);_(&quot;$&quot;* \(#,##0.00\);_(&quot;$&quot;* &quot;-&quot;??_);_(@_)">
                  <c:v>2.6313609046584361</c:v>
                </c:pt>
                <c:pt idx="26" formatCode="_(&quot;$&quot;* #,##0.00_);_(&quot;$&quot;* \(#,##0.00\);_(&quot;$&quot;* &quot;-&quot;??_);_(@_)">
                  <c:v>2.6313609046584361</c:v>
                </c:pt>
                <c:pt idx="27" formatCode="_(&quot;$&quot;* #,##0.00_);_(&quot;$&quot;* \(#,##0.00\);_(&quot;$&quot;* &quot;-&quot;??_);_(@_)">
                  <c:v>2.6313609046584361</c:v>
                </c:pt>
                <c:pt idx="28" formatCode="_(&quot;$&quot;* #,##0.00_);_(&quot;$&quot;* \(#,##0.00\);_(&quot;$&quot;* &quot;-&quot;??_);_(@_)">
                  <c:v>2.6313609046584361</c:v>
                </c:pt>
                <c:pt idx="29" formatCode="_(&quot;$&quot;* #,##0.00_);_(&quot;$&quot;* \(#,##0.00\);_(&quot;$&quot;* &quot;-&quot;??_);_(@_)">
                  <c:v>2.6313609046584361</c:v>
                </c:pt>
                <c:pt idx="30" formatCode="_(&quot;$&quot;* #,##0.00_);_(&quot;$&quot;* \(#,##0.00\);_(&quot;$&quot;* &quot;-&quot;??_);_(@_)">
                  <c:v>2.6313609046584361</c:v>
                </c:pt>
                <c:pt idx="31" formatCode="_(&quot;$&quot;* #,##0.00_);_(&quot;$&quot;* \(#,##0.00\);_(&quot;$&quot;* &quot;-&quot;??_);_(@_)">
                  <c:v>2.6313609046584361</c:v>
                </c:pt>
                <c:pt idx="32" formatCode="_(&quot;$&quot;* #,##0.00_);_(&quot;$&quot;* \(#,##0.00\);_(&quot;$&quot;* &quot;-&quot;??_);_(@_)">
                  <c:v>2.6313609046584361</c:v>
                </c:pt>
                <c:pt idx="33" formatCode="_(&quot;$&quot;* #,##0.00_);_(&quot;$&quot;* \(#,##0.00\);_(&quot;$&quot;* &quot;-&quot;??_);_(@_)">
                  <c:v>2.6313609046584361</c:v>
                </c:pt>
                <c:pt idx="34" formatCode="_(&quot;$&quot;* #,##0.00_);_(&quot;$&quot;* \(#,##0.00\);_(&quot;$&quot;* &quot;-&quot;??_);_(@_)">
                  <c:v>2.6313609046584361</c:v>
                </c:pt>
                <c:pt idx="35" formatCode="_(&quot;$&quot;* #,##0.00_);_(&quot;$&quot;* \(#,##0.00\);_(&quot;$&quot;* &quot;-&quot;??_);_(@_)">
                  <c:v>2.6313609046584361</c:v>
                </c:pt>
                <c:pt idx="36" formatCode="_(&quot;$&quot;* #,##0.00_);_(&quot;$&quot;* \(#,##0.00\);_(&quot;$&quot;* &quot;-&quot;??_);_(@_)">
                  <c:v>2.6313609046584361</c:v>
                </c:pt>
                <c:pt idx="37" formatCode="_(&quot;$&quot;* #,##0.00_);_(&quot;$&quot;* \(#,##0.00\);_(&quot;$&quot;* &quot;-&quot;??_);_(@_)">
                  <c:v>2.6313609046584361</c:v>
                </c:pt>
                <c:pt idx="38" formatCode="_(&quot;$&quot;* #,##0.00_);_(&quot;$&quot;* \(#,##0.00\);_(&quot;$&quot;* &quot;-&quot;??_);_(@_)">
                  <c:v>2.6313609046584361</c:v>
                </c:pt>
                <c:pt idx="39" formatCode="_(&quot;$&quot;* #,##0.00_);_(&quot;$&quot;* \(#,##0.00\);_(&quot;$&quot;* &quot;-&quot;??_);_(@_)">
                  <c:v>2.6313609046584361</c:v>
                </c:pt>
                <c:pt idx="40" formatCode="_(&quot;$&quot;* #,##0.00_);_(&quot;$&quot;* \(#,##0.00\);_(&quot;$&quot;* &quot;-&quot;??_);_(@_)">
                  <c:v>2.6313609046584361</c:v>
                </c:pt>
                <c:pt idx="41" formatCode="_(&quot;$&quot;* #,##0.00_);_(&quot;$&quot;* \(#,##0.00\);_(&quot;$&quot;* &quot;-&quot;??_);_(@_)">
                  <c:v>2.6313609046584361</c:v>
                </c:pt>
                <c:pt idx="42" formatCode="_(&quot;$&quot;* #,##0.00_);_(&quot;$&quot;* \(#,##0.00\);_(&quot;$&quot;* &quot;-&quot;??_);_(@_)">
                  <c:v>2.6313609046584361</c:v>
                </c:pt>
                <c:pt idx="43" formatCode="_(&quot;$&quot;* #,##0.00_);_(&quot;$&quot;* \(#,##0.00\);_(&quot;$&quot;* &quot;-&quot;??_);_(@_)">
                  <c:v>2.6313609046584361</c:v>
                </c:pt>
                <c:pt idx="44" formatCode="_(&quot;$&quot;* #,##0.00_);_(&quot;$&quot;* \(#,##0.00\);_(&quot;$&quot;* &quot;-&quot;??_);_(@_)">
                  <c:v>2.6313609046584361</c:v>
                </c:pt>
                <c:pt idx="45" formatCode="_(&quot;$&quot;* #,##0.00_);_(&quot;$&quot;* \(#,##0.00\);_(&quot;$&quot;* &quot;-&quot;??_);_(@_)">
                  <c:v>2.6313609046584361</c:v>
                </c:pt>
                <c:pt idx="46" formatCode="_(&quot;$&quot;* #,##0.00_);_(&quot;$&quot;* \(#,##0.00\);_(&quot;$&quot;* &quot;-&quot;??_);_(@_)">
                  <c:v>2.6313609046584361</c:v>
                </c:pt>
                <c:pt idx="47" formatCode="_(&quot;$&quot;* #,##0.00_);_(&quot;$&quot;* \(#,##0.00\);_(&quot;$&quot;* &quot;-&quot;??_);_(@_)">
                  <c:v>2.6313609046584361</c:v>
                </c:pt>
                <c:pt idx="48" formatCode="_(&quot;$&quot;* #,##0.00_);_(&quot;$&quot;* \(#,##0.00\);_(&quot;$&quot;* &quot;-&quot;??_);_(@_)">
                  <c:v>2.6313609046584361</c:v>
                </c:pt>
                <c:pt idx="49" formatCode="_(&quot;$&quot;* #,##0.00_);_(&quot;$&quot;* \(#,##0.00\);_(&quot;$&quot;* &quot;-&quot;??_);_(@_)">
                  <c:v>2.6313609046584361</c:v>
                </c:pt>
                <c:pt idx="50" formatCode="_(&quot;$&quot;* #,##0.00_);_(&quot;$&quot;* \(#,##0.00\);_(&quot;$&quot;* &quot;-&quot;??_);_(@_)">
                  <c:v>2.6313609046584361</c:v>
                </c:pt>
              </c:numCache>
            </c:numRef>
          </c:val>
          <c:smooth val="0"/>
          <c:extLst>
            <c:ext xmlns:c16="http://schemas.microsoft.com/office/drawing/2014/chart" uri="{C3380CC4-5D6E-409C-BE32-E72D297353CC}">
              <c16:uniqueId val="{00000004-E200-4104-B552-6F5B2DF0BB5C}"/>
            </c:ext>
          </c:extLst>
        </c:ser>
        <c:ser>
          <c:idx val="5"/>
          <c:order val="5"/>
          <c:tx>
            <c:strRef>
              <c:f>'Assumptions (T&amp;D)'!$A$62</c:f>
              <c:strCache>
                <c:ptCount val="1"/>
              </c:strCache>
            </c:strRef>
          </c:tx>
          <c:marker>
            <c:symbol val="none"/>
          </c:marker>
          <c:val>
            <c:numRef>
              <c:f>'Assumptions (T&amp;D)'!$B$62:$AZ$62</c:f>
              <c:numCache>
                <c:formatCode>_("$"* #,##0.00_);_("$"* \(#,##0.00\);_("$"* "-"??_);_(@_)</c:formatCode>
                <c:ptCount val="51"/>
              </c:numCache>
            </c:numRef>
          </c:val>
          <c:smooth val="0"/>
          <c:extLst>
            <c:ext xmlns:c16="http://schemas.microsoft.com/office/drawing/2014/chart" uri="{C3380CC4-5D6E-409C-BE32-E72D297353CC}">
              <c16:uniqueId val="{00000005-E200-4104-B552-6F5B2DF0BB5C}"/>
            </c:ext>
          </c:extLst>
        </c:ser>
        <c:ser>
          <c:idx val="6"/>
          <c:order val="6"/>
          <c:tx>
            <c:strRef>
              <c:f>'Assumptions (T&amp;D)'!$A$63</c:f>
              <c:strCache>
                <c:ptCount val="1"/>
                <c:pt idx="0">
                  <c:v>D Maintenance from FERC 1 ($billion)</c:v>
                </c:pt>
              </c:strCache>
            </c:strRef>
          </c:tx>
          <c:marker>
            <c:symbol val="none"/>
          </c:marker>
          <c:val>
            <c:numRef>
              <c:f>'Assumptions (T&amp;D)'!$B$63:$AZ$63</c:f>
              <c:numCache>
                <c:formatCode>_("$"* #,##0.00_);_("$"* \(#,##0.00\);_("$"* "-"??_);_(@_)</c:formatCode>
                <c:ptCount val="51"/>
                <c:pt idx="0">
                  <c:v>4.0573033199999999</c:v>
                </c:pt>
                <c:pt idx="1">
                  <c:v>4.0683056390000001</c:v>
                </c:pt>
                <c:pt idx="2">
                  <c:v>4.1875027290000002</c:v>
                </c:pt>
                <c:pt idx="3">
                  <c:v>4.6327695029999996</c:v>
                </c:pt>
                <c:pt idx="4">
                  <c:v>4.5916248670000002</c:v>
                </c:pt>
                <c:pt idx="5">
                  <c:v>4.7800749900000001</c:v>
                </c:pt>
                <c:pt idx="6">
                  <c:v>5.2542724539999996</c:v>
                </c:pt>
                <c:pt idx="7">
                  <c:v>5.5274996300000003</c:v>
                </c:pt>
                <c:pt idx="8">
                  <c:v>5.6112913229999997</c:v>
                </c:pt>
                <c:pt idx="9">
                  <c:v>5.4971381990000001</c:v>
                </c:pt>
                <c:pt idx="10">
                  <c:v>5.9134159110000004</c:v>
                </c:pt>
                <c:pt idx="11">
                  <c:v>6.4886326890000001</c:v>
                </c:pt>
                <c:pt idx="12">
                  <c:v>6.283499419</c:v>
                </c:pt>
                <c:pt idx="13">
                  <c:v>6.3943170179999997</c:v>
                </c:pt>
                <c:pt idx="14">
                  <c:v>6.8309055330000001</c:v>
                </c:pt>
                <c:pt idx="15">
                  <c:v>6.8359729790000001</c:v>
                </c:pt>
                <c:pt idx="16">
                  <c:v>7.1095752560000003</c:v>
                </c:pt>
                <c:pt idx="17">
                  <c:v>6.1213562666446819</c:v>
                </c:pt>
                <c:pt idx="18">
                  <c:v>6.1213562666446819</c:v>
                </c:pt>
                <c:pt idx="19">
                  <c:v>6.1213562666446819</c:v>
                </c:pt>
                <c:pt idx="20">
                  <c:v>6.1213562666446819</c:v>
                </c:pt>
                <c:pt idx="21">
                  <c:v>6.1213562666446819</c:v>
                </c:pt>
                <c:pt idx="22">
                  <c:v>6.1213562666446819</c:v>
                </c:pt>
                <c:pt idx="23">
                  <c:v>6.1213562666446819</c:v>
                </c:pt>
                <c:pt idx="24">
                  <c:v>6.1213562666446819</c:v>
                </c:pt>
                <c:pt idx="25">
                  <c:v>6.1213562666446819</c:v>
                </c:pt>
                <c:pt idx="26">
                  <c:v>6.1213562666446819</c:v>
                </c:pt>
                <c:pt idx="27">
                  <c:v>6.1213562666446819</c:v>
                </c:pt>
                <c:pt idx="28">
                  <c:v>6.1213562666446819</c:v>
                </c:pt>
                <c:pt idx="29">
                  <c:v>6.1213562666446819</c:v>
                </c:pt>
                <c:pt idx="30">
                  <c:v>6.1213562666446819</c:v>
                </c:pt>
                <c:pt idx="31">
                  <c:v>6.1213562666446819</c:v>
                </c:pt>
                <c:pt idx="32">
                  <c:v>6.1213562666446819</c:v>
                </c:pt>
                <c:pt idx="33">
                  <c:v>6.1213562666446819</c:v>
                </c:pt>
                <c:pt idx="34">
                  <c:v>6.1213562666446819</c:v>
                </c:pt>
                <c:pt idx="35">
                  <c:v>6.1213562666446819</c:v>
                </c:pt>
                <c:pt idx="36">
                  <c:v>6.1213562666446819</c:v>
                </c:pt>
                <c:pt idx="37">
                  <c:v>6.1213562666446819</c:v>
                </c:pt>
                <c:pt idx="38">
                  <c:v>6.1213562666446819</c:v>
                </c:pt>
                <c:pt idx="39">
                  <c:v>6.1213562666446819</c:v>
                </c:pt>
                <c:pt idx="40">
                  <c:v>6.1213562666446819</c:v>
                </c:pt>
                <c:pt idx="41">
                  <c:v>6.1213562666446819</c:v>
                </c:pt>
                <c:pt idx="42">
                  <c:v>6.1213562666446819</c:v>
                </c:pt>
                <c:pt idx="43">
                  <c:v>6.1213562666446819</c:v>
                </c:pt>
                <c:pt idx="44">
                  <c:v>6.1213562666446819</c:v>
                </c:pt>
                <c:pt idx="45">
                  <c:v>6.1213562666446819</c:v>
                </c:pt>
                <c:pt idx="46">
                  <c:v>6.1213562666446819</c:v>
                </c:pt>
                <c:pt idx="47">
                  <c:v>6.1213562666446819</c:v>
                </c:pt>
                <c:pt idx="48">
                  <c:v>6.1213562666446819</c:v>
                </c:pt>
                <c:pt idx="49">
                  <c:v>6.1213562666446819</c:v>
                </c:pt>
                <c:pt idx="50">
                  <c:v>6.1213562666446819</c:v>
                </c:pt>
              </c:numCache>
            </c:numRef>
          </c:val>
          <c:smooth val="0"/>
          <c:extLst>
            <c:ext xmlns:c16="http://schemas.microsoft.com/office/drawing/2014/chart" uri="{C3380CC4-5D6E-409C-BE32-E72D297353CC}">
              <c16:uniqueId val="{00000006-E200-4104-B552-6F5B2DF0BB5C}"/>
            </c:ext>
          </c:extLst>
        </c:ser>
        <c:ser>
          <c:idx val="7"/>
          <c:order val="7"/>
          <c:tx>
            <c:strRef>
              <c:f>'Assumptions (T&amp;D)'!$A$64</c:f>
              <c:strCache>
                <c:ptCount val="1"/>
                <c:pt idx="0">
                  <c:v>D Operation from FERC 1 ($billion)</c:v>
                </c:pt>
              </c:strCache>
            </c:strRef>
          </c:tx>
          <c:marker>
            <c:symbol val="none"/>
          </c:marker>
          <c:val>
            <c:numRef>
              <c:f>'Assumptions (T&amp;D)'!$B$64:$AZ$64</c:f>
              <c:numCache>
                <c:formatCode>_("$"* #,##0.00_);_("$"* \(#,##0.00\);_("$"* "-"??_);_(@_)</c:formatCode>
                <c:ptCount val="51"/>
                <c:pt idx="0">
                  <c:v>3.1293073979999999</c:v>
                </c:pt>
                <c:pt idx="1">
                  <c:v>3.2506830959999999</c:v>
                </c:pt>
                <c:pt idx="2">
                  <c:v>3.1221290019999999</c:v>
                </c:pt>
                <c:pt idx="3">
                  <c:v>3.1964097329999999</c:v>
                </c:pt>
                <c:pt idx="4">
                  <c:v>3.2832544609999998</c:v>
                </c:pt>
                <c:pt idx="5">
                  <c:v>3.520457843</c:v>
                </c:pt>
                <c:pt idx="6">
                  <c:v>3.6596288069999998</c:v>
                </c:pt>
                <c:pt idx="7">
                  <c:v>3.8564903230000001</c:v>
                </c:pt>
                <c:pt idx="8">
                  <c:v>4.0137489459999998</c:v>
                </c:pt>
                <c:pt idx="9">
                  <c:v>3.9800414380000002</c:v>
                </c:pt>
                <c:pt idx="10">
                  <c:v>4.161037737</c:v>
                </c:pt>
                <c:pt idx="11">
                  <c:v>4.1679391069999996</c:v>
                </c:pt>
                <c:pt idx="12">
                  <c:v>4.3145093049999996</c:v>
                </c:pt>
                <c:pt idx="13">
                  <c:v>4.3019940500000002</c:v>
                </c:pt>
                <c:pt idx="14">
                  <c:v>4.4372841479999998</c:v>
                </c:pt>
                <c:pt idx="15">
                  <c:v>4.5476520750000002</c:v>
                </c:pt>
                <c:pt idx="16">
                  <c:v>4.846899735</c:v>
                </c:pt>
                <c:pt idx="17">
                  <c:v>4.1487598803621211</c:v>
                </c:pt>
                <c:pt idx="18">
                  <c:v>4.1487598803621211</c:v>
                </c:pt>
                <c:pt idx="19">
                  <c:v>4.1487598803621211</c:v>
                </c:pt>
                <c:pt idx="20">
                  <c:v>4.1487598803621211</c:v>
                </c:pt>
                <c:pt idx="21">
                  <c:v>4.1487598803621211</c:v>
                </c:pt>
                <c:pt idx="22">
                  <c:v>4.1487598803621211</c:v>
                </c:pt>
                <c:pt idx="23">
                  <c:v>4.1487598803621211</c:v>
                </c:pt>
                <c:pt idx="24">
                  <c:v>4.1487598803621211</c:v>
                </c:pt>
                <c:pt idx="25">
                  <c:v>4.1487598803621211</c:v>
                </c:pt>
                <c:pt idx="26">
                  <c:v>4.1487598803621211</c:v>
                </c:pt>
                <c:pt idx="27">
                  <c:v>4.1487598803621211</c:v>
                </c:pt>
                <c:pt idx="28">
                  <c:v>4.1487598803621211</c:v>
                </c:pt>
                <c:pt idx="29">
                  <c:v>4.1487598803621211</c:v>
                </c:pt>
                <c:pt idx="30">
                  <c:v>4.1487598803621211</c:v>
                </c:pt>
                <c:pt idx="31">
                  <c:v>4.1487598803621211</c:v>
                </c:pt>
                <c:pt idx="32">
                  <c:v>4.1487598803621211</c:v>
                </c:pt>
                <c:pt idx="33">
                  <c:v>4.1487598803621211</c:v>
                </c:pt>
                <c:pt idx="34">
                  <c:v>4.1487598803621211</c:v>
                </c:pt>
                <c:pt idx="35">
                  <c:v>4.1487598803621211</c:v>
                </c:pt>
                <c:pt idx="36">
                  <c:v>4.1487598803621211</c:v>
                </c:pt>
                <c:pt idx="37">
                  <c:v>4.1487598803621211</c:v>
                </c:pt>
                <c:pt idx="38">
                  <c:v>4.1487598803621211</c:v>
                </c:pt>
                <c:pt idx="39">
                  <c:v>4.1487598803621211</c:v>
                </c:pt>
                <c:pt idx="40">
                  <c:v>4.1487598803621211</c:v>
                </c:pt>
                <c:pt idx="41">
                  <c:v>4.1487598803621211</c:v>
                </c:pt>
                <c:pt idx="42">
                  <c:v>4.1487598803621211</c:v>
                </c:pt>
                <c:pt idx="43">
                  <c:v>4.1487598803621211</c:v>
                </c:pt>
                <c:pt idx="44">
                  <c:v>4.1487598803621211</c:v>
                </c:pt>
                <c:pt idx="45">
                  <c:v>4.1487598803621211</c:v>
                </c:pt>
                <c:pt idx="46">
                  <c:v>4.1487598803621211</c:v>
                </c:pt>
                <c:pt idx="47">
                  <c:v>4.1487598803621211</c:v>
                </c:pt>
                <c:pt idx="48">
                  <c:v>4.1487598803621211</c:v>
                </c:pt>
                <c:pt idx="49">
                  <c:v>4.1487598803621211</c:v>
                </c:pt>
                <c:pt idx="50">
                  <c:v>4.1487598803621211</c:v>
                </c:pt>
              </c:numCache>
            </c:numRef>
          </c:val>
          <c:smooth val="0"/>
          <c:extLst>
            <c:ext xmlns:c16="http://schemas.microsoft.com/office/drawing/2014/chart" uri="{C3380CC4-5D6E-409C-BE32-E72D297353CC}">
              <c16:uniqueId val="{00000007-E200-4104-B552-6F5B2DF0BB5C}"/>
            </c:ext>
          </c:extLst>
        </c:ser>
        <c:ser>
          <c:idx val="8"/>
          <c:order val="8"/>
          <c:tx>
            <c:strRef>
              <c:f>'Assumptions (T&amp;D)'!$A$65</c:f>
              <c:strCache>
                <c:ptCount val="1"/>
                <c:pt idx="0">
                  <c:v>Customer Account Expenses from FERC 1 ($billion)</c:v>
                </c:pt>
              </c:strCache>
            </c:strRef>
          </c:tx>
          <c:marker>
            <c:symbol val="none"/>
          </c:marker>
          <c:val>
            <c:numRef>
              <c:f>'Assumptions (T&amp;D)'!$B$65:$AZ$65</c:f>
              <c:numCache>
                <c:formatCode>_("$"* #,##0.00_);_("$"* \(#,##0.00\);_("$"* "-"??_);_(@_)</c:formatCode>
                <c:ptCount val="51"/>
                <c:pt idx="0">
                  <c:v>4.2849174860000003</c:v>
                </c:pt>
                <c:pt idx="1">
                  <c:v>4.481298453</c:v>
                </c:pt>
                <c:pt idx="2">
                  <c:v>4.1572668830000001</c:v>
                </c:pt>
                <c:pt idx="3">
                  <c:v>4.257109034</c:v>
                </c:pt>
                <c:pt idx="4">
                  <c:v>4.0838016010000002</c:v>
                </c:pt>
                <c:pt idx="5">
                  <c:v>4.2581468170000001</c:v>
                </c:pt>
                <c:pt idx="6">
                  <c:v>4.4423511439999999</c:v>
                </c:pt>
                <c:pt idx="7">
                  <c:v>4.8663790699999998</c:v>
                </c:pt>
                <c:pt idx="8">
                  <c:v>5.3188207240000001</c:v>
                </c:pt>
                <c:pt idx="9">
                  <c:v>5.2438397510000003</c:v>
                </c:pt>
                <c:pt idx="10">
                  <c:v>5.1609515449999996</c:v>
                </c:pt>
                <c:pt idx="11">
                  <c:v>5.2240085379999996</c:v>
                </c:pt>
                <c:pt idx="12">
                  <c:v>5.1381906649999998</c:v>
                </c:pt>
                <c:pt idx="13">
                  <c:v>5.1458654069999996</c:v>
                </c:pt>
                <c:pt idx="14">
                  <c:v>5.3361185579999999</c:v>
                </c:pt>
                <c:pt idx="15">
                  <c:v>5.2770332030000002</c:v>
                </c:pt>
                <c:pt idx="16">
                  <c:v>5.1261702749999998</c:v>
                </c:pt>
                <c:pt idx="17">
                  <c:v>5.2837752054737734</c:v>
                </c:pt>
                <c:pt idx="18">
                  <c:v>5.2837752054737734</c:v>
                </c:pt>
                <c:pt idx="19">
                  <c:v>5.2837752054737734</c:v>
                </c:pt>
                <c:pt idx="20">
                  <c:v>5.2837752054737734</c:v>
                </c:pt>
                <c:pt idx="21">
                  <c:v>5.2837752054737734</c:v>
                </c:pt>
                <c:pt idx="22">
                  <c:v>5.2837752054737734</c:v>
                </c:pt>
                <c:pt idx="23">
                  <c:v>5.2837752054737734</c:v>
                </c:pt>
                <c:pt idx="24">
                  <c:v>5.2837752054737734</c:v>
                </c:pt>
                <c:pt idx="25">
                  <c:v>5.2837752054737734</c:v>
                </c:pt>
                <c:pt idx="26">
                  <c:v>5.2837752054737734</c:v>
                </c:pt>
                <c:pt idx="27">
                  <c:v>5.2837752054737734</c:v>
                </c:pt>
                <c:pt idx="28">
                  <c:v>5.2837752054737734</c:v>
                </c:pt>
                <c:pt idx="29">
                  <c:v>5.2837752054737734</c:v>
                </c:pt>
                <c:pt idx="30">
                  <c:v>5.2837752054737734</c:v>
                </c:pt>
                <c:pt idx="31">
                  <c:v>5.2837752054737734</c:v>
                </c:pt>
                <c:pt idx="32">
                  <c:v>5.2837752054737734</c:v>
                </c:pt>
                <c:pt idx="33">
                  <c:v>5.2837752054737734</c:v>
                </c:pt>
                <c:pt idx="34">
                  <c:v>5.2837752054737734</c:v>
                </c:pt>
                <c:pt idx="35">
                  <c:v>5.2837752054737734</c:v>
                </c:pt>
                <c:pt idx="36">
                  <c:v>5.2837752054737734</c:v>
                </c:pt>
                <c:pt idx="37">
                  <c:v>5.2837752054737734</c:v>
                </c:pt>
                <c:pt idx="38">
                  <c:v>5.2837752054737734</c:v>
                </c:pt>
                <c:pt idx="39">
                  <c:v>5.2837752054737734</c:v>
                </c:pt>
                <c:pt idx="40">
                  <c:v>5.2837752054737734</c:v>
                </c:pt>
                <c:pt idx="41">
                  <c:v>5.2837752054737734</c:v>
                </c:pt>
                <c:pt idx="42">
                  <c:v>5.2837752054737734</c:v>
                </c:pt>
                <c:pt idx="43">
                  <c:v>5.2837752054737734</c:v>
                </c:pt>
                <c:pt idx="44">
                  <c:v>5.2837752054737734</c:v>
                </c:pt>
                <c:pt idx="45">
                  <c:v>5.2837752054737734</c:v>
                </c:pt>
                <c:pt idx="46">
                  <c:v>5.2837752054737734</c:v>
                </c:pt>
                <c:pt idx="47">
                  <c:v>5.2837752054737734</c:v>
                </c:pt>
                <c:pt idx="48">
                  <c:v>5.2837752054737734</c:v>
                </c:pt>
                <c:pt idx="49">
                  <c:v>5.2837752054737734</c:v>
                </c:pt>
                <c:pt idx="50">
                  <c:v>5.2837752054737734</c:v>
                </c:pt>
              </c:numCache>
            </c:numRef>
          </c:val>
          <c:smooth val="0"/>
          <c:extLst>
            <c:ext xmlns:c16="http://schemas.microsoft.com/office/drawing/2014/chart" uri="{C3380CC4-5D6E-409C-BE32-E72D297353CC}">
              <c16:uniqueId val="{00000008-E200-4104-B552-6F5B2DF0BB5C}"/>
            </c:ext>
          </c:extLst>
        </c:ser>
        <c:ser>
          <c:idx val="9"/>
          <c:order val="9"/>
          <c:tx>
            <c:strRef>
              <c:f>'Assumptions (T&amp;D)'!$A$66</c:f>
              <c:strCache>
                <c:ptCount val="1"/>
                <c:pt idx="0">
                  <c:v>Customer Service and Info Expenses from FERC 1 ($billion)</c:v>
                </c:pt>
              </c:strCache>
            </c:strRef>
          </c:tx>
          <c:marker>
            <c:symbol val="none"/>
          </c:marker>
          <c:val>
            <c:numRef>
              <c:f>'Assumptions (T&amp;D)'!$B$66:$AZ$66</c:f>
              <c:numCache>
                <c:formatCode>_("$"* #,##0.00_);_("$"* \(#,##0.00\);_("$"* "-"??_);_(@_)</c:formatCode>
                <c:ptCount val="51"/>
                <c:pt idx="0">
                  <c:v>1.843032161</c:v>
                </c:pt>
                <c:pt idx="1">
                  <c:v>1.8688277900000001</c:v>
                </c:pt>
                <c:pt idx="2">
                  <c:v>1.825273809</c:v>
                </c:pt>
                <c:pt idx="3">
                  <c:v>1.91786626</c:v>
                </c:pt>
                <c:pt idx="4">
                  <c:v>2.0358023840000001</c:v>
                </c:pt>
                <c:pt idx="5">
                  <c:v>2.310670182</c:v>
                </c:pt>
                <c:pt idx="6">
                  <c:v>2.5392771029999999</c:v>
                </c:pt>
                <c:pt idx="7">
                  <c:v>2.9568922999999998</c:v>
                </c:pt>
                <c:pt idx="8">
                  <c:v>3.5552943529999999</c:v>
                </c:pt>
                <c:pt idx="9">
                  <c:v>3.8841916649999999</c:v>
                </c:pt>
                <c:pt idx="10">
                  <c:v>4.8113664509999996</c:v>
                </c:pt>
                <c:pt idx="11">
                  <c:v>5.3699252189999997</c:v>
                </c:pt>
                <c:pt idx="12">
                  <c:v>5.6984518169999996</c:v>
                </c:pt>
                <c:pt idx="13">
                  <c:v>5.9794636240000001</c:v>
                </c:pt>
                <c:pt idx="14">
                  <c:v>6.4579222999999999</c:v>
                </c:pt>
                <c:pt idx="15">
                  <c:v>6.5261333810000002</c:v>
                </c:pt>
                <c:pt idx="16">
                  <c:v>6.2477544639999998</c:v>
                </c:pt>
                <c:pt idx="17">
                  <c:v>6.5802508460685658</c:v>
                </c:pt>
                <c:pt idx="18">
                  <c:v>6.5802508460685658</c:v>
                </c:pt>
                <c:pt idx="19">
                  <c:v>6.5802508460685658</c:v>
                </c:pt>
                <c:pt idx="20">
                  <c:v>6.5802508460685658</c:v>
                </c:pt>
                <c:pt idx="21">
                  <c:v>6.5802508460685658</c:v>
                </c:pt>
                <c:pt idx="22">
                  <c:v>6.5802508460685658</c:v>
                </c:pt>
                <c:pt idx="23">
                  <c:v>6.5802508460685658</c:v>
                </c:pt>
                <c:pt idx="24">
                  <c:v>6.5802508460685658</c:v>
                </c:pt>
                <c:pt idx="25">
                  <c:v>6.5802508460685658</c:v>
                </c:pt>
                <c:pt idx="26">
                  <c:v>6.5802508460685658</c:v>
                </c:pt>
                <c:pt idx="27">
                  <c:v>6.5802508460685658</c:v>
                </c:pt>
                <c:pt idx="28">
                  <c:v>6.5802508460685658</c:v>
                </c:pt>
                <c:pt idx="29">
                  <c:v>6.5802508460685658</c:v>
                </c:pt>
                <c:pt idx="30">
                  <c:v>6.5802508460685658</c:v>
                </c:pt>
                <c:pt idx="31">
                  <c:v>6.5802508460685658</c:v>
                </c:pt>
                <c:pt idx="32">
                  <c:v>6.5802508460685658</c:v>
                </c:pt>
                <c:pt idx="33">
                  <c:v>6.5802508460685658</c:v>
                </c:pt>
                <c:pt idx="34">
                  <c:v>6.5802508460685658</c:v>
                </c:pt>
                <c:pt idx="35">
                  <c:v>6.5802508460685658</c:v>
                </c:pt>
                <c:pt idx="36">
                  <c:v>6.5802508460685658</c:v>
                </c:pt>
                <c:pt idx="37">
                  <c:v>6.5802508460685658</c:v>
                </c:pt>
                <c:pt idx="38">
                  <c:v>6.5802508460685658</c:v>
                </c:pt>
                <c:pt idx="39">
                  <c:v>6.5802508460685658</c:v>
                </c:pt>
                <c:pt idx="40">
                  <c:v>6.5802508460685658</c:v>
                </c:pt>
                <c:pt idx="41">
                  <c:v>6.5802508460685658</c:v>
                </c:pt>
                <c:pt idx="42">
                  <c:v>6.5802508460685658</c:v>
                </c:pt>
                <c:pt idx="43">
                  <c:v>6.5802508460685658</c:v>
                </c:pt>
                <c:pt idx="44">
                  <c:v>6.5802508460685658</c:v>
                </c:pt>
                <c:pt idx="45">
                  <c:v>6.5802508460685658</c:v>
                </c:pt>
                <c:pt idx="46">
                  <c:v>6.5802508460685658</c:v>
                </c:pt>
                <c:pt idx="47">
                  <c:v>6.5802508460685658</c:v>
                </c:pt>
                <c:pt idx="48">
                  <c:v>6.5802508460685658</c:v>
                </c:pt>
                <c:pt idx="49">
                  <c:v>6.5802508460685658</c:v>
                </c:pt>
                <c:pt idx="50">
                  <c:v>6.5802508460685658</c:v>
                </c:pt>
              </c:numCache>
            </c:numRef>
          </c:val>
          <c:smooth val="0"/>
          <c:extLst>
            <c:ext xmlns:c16="http://schemas.microsoft.com/office/drawing/2014/chart" uri="{C3380CC4-5D6E-409C-BE32-E72D297353CC}">
              <c16:uniqueId val="{00000009-E200-4104-B552-6F5B2DF0BB5C}"/>
            </c:ext>
          </c:extLst>
        </c:ser>
        <c:ser>
          <c:idx val="10"/>
          <c:order val="10"/>
          <c:tx>
            <c:strRef>
              <c:f>'Assumptions (T&amp;D)'!$A$68</c:f>
              <c:strCache>
                <c:ptCount val="1"/>
                <c:pt idx="0">
                  <c:v>D Retirement from FERC1 ($billion)</c:v>
                </c:pt>
              </c:strCache>
            </c:strRef>
          </c:tx>
          <c:marker>
            <c:symbol val="none"/>
          </c:marker>
          <c:val>
            <c:numRef>
              <c:f>'Assumptions (T&amp;D)'!$B$68:$AZ$68</c:f>
              <c:numCache>
                <c:formatCode>_("$"* #,##0.00_);_("$"* \(#,##0.00\);_("$"* "-"??_);_(@_)</c:formatCode>
                <c:ptCount val="51"/>
                <c:pt idx="0">
                  <c:v>1.7423504080000001</c:v>
                </c:pt>
                <c:pt idx="1">
                  <c:v>1.917088243</c:v>
                </c:pt>
                <c:pt idx="2">
                  <c:v>1.86359564</c:v>
                </c:pt>
                <c:pt idx="3">
                  <c:v>2.2182878399999999</c:v>
                </c:pt>
                <c:pt idx="4">
                  <c:v>2.2348627030000001</c:v>
                </c:pt>
                <c:pt idx="5">
                  <c:v>2.4853486459999998</c:v>
                </c:pt>
                <c:pt idx="6">
                  <c:v>2.7071095519999999</c:v>
                </c:pt>
                <c:pt idx="7">
                  <c:v>2.9135297050000002</c:v>
                </c:pt>
                <c:pt idx="8">
                  <c:v>2.860235029</c:v>
                </c:pt>
                <c:pt idx="9">
                  <c:v>2.8321976520000001</c:v>
                </c:pt>
                <c:pt idx="10">
                  <c:v>3.7787316400000002</c:v>
                </c:pt>
                <c:pt idx="11">
                  <c:v>3.4516980770000001</c:v>
                </c:pt>
                <c:pt idx="12">
                  <c:v>3.701423133</c:v>
                </c:pt>
                <c:pt idx="13">
                  <c:v>3.1999764659999999</c:v>
                </c:pt>
                <c:pt idx="14">
                  <c:v>3.47761253</c:v>
                </c:pt>
                <c:pt idx="15">
                  <c:v>3.939657135</c:v>
                </c:pt>
                <c:pt idx="16">
                  <c:v>4.0562736810000004</c:v>
                </c:pt>
                <c:pt idx="17">
                  <c:v>4.8075243987379963</c:v>
                </c:pt>
                <c:pt idx="18">
                  <c:v>4.8075243987379963</c:v>
                </c:pt>
                <c:pt idx="19">
                  <c:v>4.8075243987379963</c:v>
                </c:pt>
                <c:pt idx="20">
                  <c:v>4.8075243987379963</c:v>
                </c:pt>
                <c:pt idx="21">
                  <c:v>4.8075243987379963</c:v>
                </c:pt>
                <c:pt idx="22">
                  <c:v>4.8075243987379963</c:v>
                </c:pt>
                <c:pt idx="23">
                  <c:v>4.8075243987379963</c:v>
                </c:pt>
                <c:pt idx="24">
                  <c:v>4.8075243987379963</c:v>
                </c:pt>
                <c:pt idx="25">
                  <c:v>4.8075243987379963</c:v>
                </c:pt>
                <c:pt idx="26">
                  <c:v>4.8075243987379963</c:v>
                </c:pt>
                <c:pt idx="27">
                  <c:v>4.8075243987379963</c:v>
                </c:pt>
                <c:pt idx="28">
                  <c:v>4.8075243987379963</c:v>
                </c:pt>
                <c:pt idx="29">
                  <c:v>4.8075243987379963</c:v>
                </c:pt>
                <c:pt idx="30">
                  <c:v>4.8075243987379963</c:v>
                </c:pt>
                <c:pt idx="31">
                  <c:v>4.8075243987379963</c:v>
                </c:pt>
                <c:pt idx="32">
                  <c:v>4.8075243987379963</c:v>
                </c:pt>
                <c:pt idx="33">
                  <c:v>4.8075243987379963</c:v>
                </c:pt>
                <c:pt idx="34">
                  <c:v>4.8075243987379963</c:v>
                </c:pt>
                <c:pt idx="35">
                  <c:v>4.8075243987379963</c:v>
                </c:pt>
                <c:pt idx="36">
                  <c:v>4.8075243987379963</c:v>
                </c:pt>
                <c:pt idx="37">
                  <c:v>4.8075243987379963</c:v>
                </c:pt>
                <c:pt idx="38">
                  <c:v>4.8075243987379963</c:v>
                </c:pt>
                <c:pt idx="39">
                  <c:v>4.8075243987379963</c:v>
                </c:pt>
                <c:pt idx="40">
                  <c:v>4.8075243987379963</c:v>
                </c:pt>
                <c:pt idx="41">
                  <c:v>4.8075243987379963</c:v>
                </c:pt>
                <c:pt idx="42">
                  <c:v>4.8075243987379963</c:v>
                </c:pt>
                <c:pt idx="43">
                  <c:v>4.8075243987379963</c:v>
                </c:pt>
                <c:pt idx="44">
                  <c:v>4.8075243987379963</c:v>
                </c:pt>
                <c:pt idx="45">
                  <c:v>4.8075243987379963</c:v>
                </c:pt>
                <c:pt idx="46">
                  <c:v>4.8075243987379963</c:v>
                </c:pt>
                <c:pt idx="47">
                  <c:v>4.8075243987379963</c:v>
                </c:pt>
                <c:pt idx="48">
                  <c:v>4.8075243987379963</c:v>
                </c:pt>
                <c:pt idx="49">
                  <c:v>4.8075243987379963</c:v>
                </c:pt>
                <c:pt idx="50">
                  <c:v>4.8075243987379963</c:v>
                </c:pt>
              </c:numCache>
            </c:numRef>
          </c:val>
          <c:smooth val="0"/>
          <c:extLst>
            <c:ext xmlns:c16="http://schemas.microsoft.com/office/drawing/2014/chart" uri="{C3380CC4-5D6E-409C-BE32-E72D297353CC}">
              <c16:uniqueId val="{0000000A-E200-4104-B552-6F5B2DF0BB5C}"/>
            </c:ext>
          </c:extLst>
        </c:ser>
        <c:dLbls>
          <c:showLegendKey val="0"/>
          <c:showVal val="0"/>
          <c:showCatName val="0"/>
          <c:showSerName val="0"/>
          <c:showPercent val="0"/>
          <c:showBubbleSize val="0"/>
        </c:dLbls>
        <c:smooth val="0"/>
        <c:axId val="1902540492"/>
        <c:axId val="46217326"/>
      </c:lineChart>
      <c:catAx>
        <c:axId val="1902540492"/>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b="0">
                <a:solidFill>
                  <a:srgbClr val="000000"/>
                </a:solidFill>
                <a:latin typeface="Roboto"/>
              </a:defRPr>
            </a:pPr>
            <a:endParaRPr lang="en-US"/>
          </a:p>
        </c:txPr>
        <c:crossAx val="46217326"/>
        <c:crosses val="autoZero"/>
        <c:auto val="1"/>
        <c:lblAlgn val="ctr"/>
        <c:lblOffset val="100"/>
        <c:noMultiLvlLbl val="1"/>
      </c:catAx>
      <c:valAx>
        <c:axId val="46217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902540492"/>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Delta Total Distribution Capital</a:t>
            </a:r>
          </a:p>
        </c:rich>
      </c:tx>
      <c:overlay val="0"/>
    </c:title>
    <c:autoTitleDeleted val="0"/>
    <c:plotArea>
      <c:layout/>
      <c:scatterChart>
        <c:scatterStyle val="lineMarker"/>
        <c:varyColors val="0"/>
        <c:ser>
          <c:idx val="0"/>
          <c:order val="0"/>
          <c:tx>
            <c:strRef>
              <c:f>'Assumptions (T&amp;D)'!$A$73</c:f>
              <c:strCache>
                <c:ptCount val="1"/>
                <c:pt idx="0">
                  <c:v>Delta Total Capital</c:v>
                </c:pt>
              </c:strCache>
            </c:strRef>
          </c:tx>
          <c:spPr>
            <a:ln>
              <a:noFill/>
            </a:ln>
          </c:spPr>
          <c:marker>
            <c:symbol val="circle"/>
            <c:size val="7"/>
            <c:spPr>
              <a:solidFill>
                <a:srgbClr val="4285F4"/>
              </a:solidFill>
              <a:ln cmpd="sng">
                <a:solidFill>
                  <a:srgbClr val="4285F4"/>
                </a:solidFill>
              </a:ln>
            </c:spPr>
          </c:marker>
          <c:xVal>
            <c:numRef>
              <c:f>'Assumptions (T&amp;D)'!$B$92:$R$92</c:f>
              <c:numCache>
                <c:formatCode>#,##0</c:formatCode>
                <c:ptCount val="17"/>
                <c:pt idx="1">
                  <c:v>3161757</c:v>
                </c:pt>
                <c:pt idx="2">
                  <c:v>1725974</c:v>
                </c:pt>
                <c:pt idx="3">
                  <c:v>641186</c:v>
                </c:pt>
                <c:pt idx="4">
                  <c:v>1475426</c:v>
                </c:pt>
                <c:pt idx="5">
                  <c:v>1985884</c:v>
                </c:pt>
                <c:pt idx="6">
                  <c:v>1698934</c:v>
                </c:pt>
                <c:pt idx="7">
                  <c:v>1469344</c:v>
                </c:pt>
                <c:pt idx="8">
                  <c:v>1082024</c:v>
                </c:pt>
                <c:pt idx="9">
                  <c:v>166896</c:v>
                </c:pt>
                <c:pt idx="10">
                  <c:v>505170</c:v>
                </c:pt>
                <c:pt idx="11">
                  <c:v>420275</c:v>
                </c:pt>
                <c:pt idx="12">
                  <c:v>685640</c:v>
                </c:pt>
                <c:pt idx="13">
                  <c:v>940166</c:v>
                </c:pt>
                <c:pt idx="14">
                  <c:v>896318</c:v>
                </c:pt>
                <c:pt idx="15">
                  <c:v>1127287</c:v>
                </c:pt>
                <c:pt idx="16">
                  <c:v>1253462</c:v>
                </c:pt>
              </c:numCache>
            </c:numRef>
          </c:xVal>
          <c:yVal>
            <c:numRef>
              <c:f>'Assumptions (T&amp;D)'!$B$73:$R$73</c:f>
              <c:numCache>
                <c:formatCode>_("$"* #,##0.00_);_("$"* \(#,##0.00\);_("$"* "-"??_);_(@_)</c:formatCode>
                <c:ptCount val="17"/>
                <c:pt idx="1">
                  <c:v>0.87136562428571551</c:v>
                </c:pt>
                <c:pt idx="2">
                  <c:v>-0.16048783285714308</c:v>
                </c:pt>
                <c:pt idx="3">
                  <c:v>0.99850870714285733</c:v>
                </c:pt>
                <c:pt idx="4">
                  <c:v>1.4635703771428545</c:v>
                </c:pt>
                <c:pt idx="5">
                  <c:v>1.0394352428571452</c:v>
                </c:pt>
                <c:pt idx="6">
                  <c:v>4.0205454685714308</c:v>
                </c:pt>
                <c:pt idx="7">
                  <c:v>-1.0123362357142867</c:v>
                </c:pt>
                <c:pt idx="8">
                  <c:v>2.4659531542857103</c:v>
                </c:pt>
                <c:pt idx="9">
                  <c:v>-0.37985811285713922</c:v>
                </c:pt>
                <c:pt idx="10">
                  <c:v>-0.61571479142857299</c:v>
                </c:pt>
                <c:pt idx="11">
                  <c:v>0.64653614285714056</c:v>
                </c:pt>
                <c:pt idx="12">
                  <c:v>3.3885983828571469</c:v>
                </c:pt>
                <c:pt idx="13">
                  <c:v>-1.5871128528571461</c:v>
                </c:pt>
                <c:pt idx="14">
                  <c:v>3.3458979528571433</c:v>
                </c:pt>
                <c:pt idx="15">
                  <c:v>3.0998570985714302</c:v>
                </c:pt>
                <c:pt idx="16">
                  <c:v>2.1091148528571395</c:v>
                </c:pt>
              </c:numCache>
            </c:numRef>
          </c:yVal>
          <c:smooth val="1"/>
          <c:extLst>
            <c:ext xmlns:c16="http://schemas.microsoft.com/office/drawing/2014/chart" uri="{C3380CC4-5D6E-409C-BE32-E72D297353CC}">
              <c16:uniqueId val="{00000000-988A-4DA0-95CA-B26AC8E115E2}"/>
            </c:ext>
          </c:extLst>
        </c:ser>
        <c:dLbls>
          <c:showLegendKey val="0"/>
          <c:showVal val="0"/>
          <c:showCatName val="0"/>
          <c:showSerName val="0"/>
          <c:showPercent val="0"/>
          <c:showBubbleSize val="0"/>
        </c:dLbls>
        <c:axId val="1259015138"/>
        <c:axId val="1622512932"/>
      </c:scatterChart>
      <c:valAx>
        <c:axId val="12590151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622512932"/>
        <c:crosses val="autoZero"/>
        <c:crossBetween val="midCat"/>
      </c:valAx>
      <c:valAx>
        <c:axId val="16225129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Delta Total Distribution Capital Additions</a:t>
                </a:r>
              </a:p>
            </c:rich>
          </c:tx>
          <c:overlay val="0"/>
        </c:title>
        <c:numFmt formatCode="_(&quot;$&quot;* #,##0.00_);_(&quot;$&quot;* \(#,##0.00\);_(&quot;$&quot;* &quot;-&quot;??_);_(@_)" sourceLinked="1"/>
        <c:majorTickMark val="none"/>
        <c:minorTickMark val="none"/>
        <c:tickLblPos val="nextTo"/>
        <c:spPr>
          <a:ln/>
        </c:spPr>
        <c:txPr>
          <a:bodyPr/>
          <a:lstStyle/>
          <a:p>
            <a:pPr lvl="0">
              <a:defRPr b="0">
                <a:solidFill>
                  <a:srgbClr val="000000"/>
                </a:solidFill>
                <a:latin typeface="Roboto"/>
              </a:defRPr>
            </a:pPr>
            <a:endParaRPr lang="en-US"/>
          </a:p>
        </c:txPr>
        <c:crossAx val="1259015138"/>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(T&amp;D)'!$A$94</c:f>
              <c:strCache>
                <c:ptCount val="1"/>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(T&amp;D)'!$B$93:$R$93</c:f>
              <c:numCache>
                <c:formatCode>#,##0</c:formatCode>
                <c:ptCount val="17"/>
                <c:pt idx="0">
                  <c:v>111118816</c:v>
                </c:pt>
                <c:pt idx="1">
                  <c:v>114280573</c:v>
                </c:pt>
                <c:pt idx="2">
                  <c:v>116006547</c:v>
                </c:pt>
                <c:pt idx="3">
                  <c:v>116647733</c:v>
                </c:pt>
                <c:pt idx="4">
                  <c:v>118123159</c:v>
                </c:pt>
                <c:pt idx="5">
                  <c:v>120109043</c:v>
                </c:pt>
                <c:pt idx="6">
                  <c:v>121807977</c:v>
                </c:pt>
                <c:pt idx="7">
                  <c:v>123277321</c:v>
                </c:pt>
                <c:pt idx="8">
                  <c:v>124359345</c:v>
                </c:pt>
                <c:pt idx="9">
                  <c:v>124526241</c:v>
                </c:pt>
                <c:pt idx="10">
                  <c:v>125031411</c:v>
                </c:pt>
                <c:pt idx="11">
                  <c:v>125451686</c:v>
                </c:pt>
                <c:pt idx="12">
                  <c:v>126137326</c:v>
                </c:pt>
                <c:pt idx="13">
                  <c:v>127077492</c:v>
                </c:pt>
                <c:pt idx="14">
                  <c:v>127973810</c:v>
                </c:pt>
                <c:pt idx="15">
                  <c:v>129101097</c:v>
                </c:pt>
                <c:pt idx="16">
                  <c:v>130354559</c:v>
                </c:pt>
              </c:numCache>
            </c:numRef>
          </c:xVal>
          <c:yVal>
            <c:numRef>
              <c:f>'Assumptions (T&amp;D)'!$B$94:$R$94</c:f>
              <c:numCache>
                <c:formatCode>General</c:formatCode>
                <c:ptCount val="17"/>
              </c:numCache>
            </c:numRef>
          </c:yVal>
          <c:smooth val="1"/>
          <c:extLst>
            <c:ext xmlns:c16="http://schemas.microsoft.com/office/drawing/2014/chart" uri="{C3380CC4-5D6E-409C-BE32-E72D297353CC}">
              <c16:uniqueId val="{00000000-5DC5-4154-B1FF-91E8FD28833C}"/>
            </c:ext>
          </c:extLst>
        </c:ser>
        <c:dLbls>
          <c:showLegendKey val="0"/>
          <c:showVal val="0"/>
          <c:showCatName val="0"/>
          <c:showSerName val="0"/>
          <c:showPercent val="0"/>
          <c:showBubbleSize val="0"/>
        </c:dLbls>
        <c:axId val="1384787629"/>
        <c:axId val="1957210245"/>
      </c:scatterChart>
      <c:valAx>
        <c:axId val="13847876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Roboto"/>
              </a:defRPr>
            </a:pPr>
            <a:endParaRPr lang="en-US"/>
          </a:p>
        </c:txPr>
        <c:crossAx val="1957210245"/>
        <c:crosses val="autoZero"/>
        <c:crossBetween val="midCat"/>
      </c:valAx>
      <c:valAx>
        <c:axId val="1957210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384787629"/>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(T&amp;D)'!$A$3</c:f>
              <c:strCache>
                <c:ptCount val="1"/>
                <c:pt idx="0">
                  <c:v>T Maintenance from FERC 1 ($billion)</c:v>
                </c:pt>
              </c:strCache>
            </c:strRef>
          </c:tx>
          <c:marker>
            <c:symbol val="none"/>
          </c:marker>
          <c:cat>
            <c:numRef>
              <c:f>'Assumptions (T&amp;D)'!$B$2:$AZ$2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(T&amp;D)'!$B$3:$AZ$3</c:f>
              <c:numCache>
                <c:formatCode>_("$"* #,##0.00_);_("$"* \(#,##0.00\);_("$"* "-"??_);_(@_)</c:formatCode>
                <c:ptCount val="51"/>
                <c:pt idx="0">
                  <c:v>0.83291213900000005</c:v>
                </c:pt>
                <c:pt idx="1">
                  <c:v>0.80614683899999995</c:v>
                </c:pt>
                <c:pt idx="2">
                  <c:v>0.75008468299999997</c:v>
                </c:pt>
                <c:pt idx="3">
                  <c:v>0.78258724999999996</c:v>
                </c:pt>
                <c:pt idx="4">
                  <c:v>0.86945081499999999</c:v>
                </c:pt>
                <c:pt idx="5">
                  <c:v>0.93978501199999998</c:v>
                </c:pt>
                <c:pt idx="6">
                  <c:v>1.076807796</c:v>
                </c:pt>
                <c:pt idx="7">
                  <c:v>1.137262158</c:v>
                </c:pt>
                <c:pt idx="8">
                  <c:v>1.26793461</c:v>
                </c:pt>
                <c:pt idx="9">
                  <c:v>1.3101326179999999</c:v>
                </c:pt>
                <c:pt idx="10">
                  <c:v>1.3877201130000001</c:v>
                </c:pt>
                <c:pt idx="11">
                  <c:v>1.4143564870000001</c:v>
                </c:pt>
                <c:pt idx="12">
                  <c:v>1.48579806</c:v>
                </c:pt>
                <c:pt idx="13">
                  <c:v>1.523672487</c:v>
                </c:pt>
                <c:pt idx="14">
                  <c:v>1.6469547099999999</c:v>
                </c:pt>
                <c:pt idx="15">
                  <c:v>1.643100142</c:v>
                </c:pt>
                <c:pt idx="16">
                  <c:v>1.7447089179999999</c:v>
                </c:pt>
                <c:pt idx="17">
                  <c:v>1.319899681238951</c:v>
                </c:pt>
                <c:pt idx="18">
                  <c:v>1.319899681238951</c:v>
                </c:pt>
                <c:pt idx="19">
                  <c:v>1.319899681238951</c:v>
                </c:pt>
                <c:pt idx="20">
                  <c:v>1.319899681238951</c:v>
                </c:pt>
                <c:pt idx="21">
                  <c:v>1.319899681238951</c:v>
                </c:pt>
                <c:pt idx="22">
                  <c:v>1.319899681238951</c:v>
                </c:pt>
                <c:pt idx="23">
                  <c:v>1.319899681238951</c:v>
                </c:pt>
                <c:pt idx="24">
                  <c:v>1.319899681238951</c:v>
                </c:pt>
                <c:pt idx="25">
                  <c:v>1.319899681238951</c:v>
                </c:pt>
                <c:pt idx="26">
                  <c:v>1.319899681238951</c:v>
                </c:pt>
                <c:pt idx="27">
                  <c:v>1.319899681238951</c:v>
                </c:pt>
                <c:pt idx="28">
                  <c:v>1.319899681238951</c:v>
                </c:pt>
                <c:pt idx="29">
                  <c:v>1.319899681238951</c:v>
                </c:pt>
                <c:pt idx="30">
                  <c:v>1.319899681238951</c:v>
                </c:pt>
                <c:pt idx="31">
                  <c:v>1.319899681238951</c:v>
                </c:pt>
                <c:pt idx="32">
                  <c:v>1.319899681238951</c:v>
                </c:pt>
                <c:pt idx="33">
                  <c:v>1.319899681238951</c:v>
                </c:pt>
                <c:pt idx="34">
                  <c:v>1.319899681238951</c:v>
                </c:pt>
                <c:pt idx="35">
                  <c:v>1.319899681238951</c:v>
                </c:pt>
                <c:pt idx="36">
                  <c:v>1.319899681238951</c:v>
                </c:pt>
                <c:pt idx="37">
                  <c:v>1.319899681238951</c:v>
                </c:pt>
                <c:pt idx="38">
                  <c:v>1.319899681238951</c:v>
                </c:pt>
                <c:pt idx="39">
                  <c:v>1.319899681238951</c:v>
                </c:pt>
                <c:pt idx="40">
                  <c:v>1.319899681238951</c:v>
                </c:pt>
                <c:pt idx="41">
                  <c:v>1.319899681238951</c:v>
                </c:pt>
                <c:pt idx="42">
                  <c:v>1.319899681238951</c:v>
                </c:pt>
                <c:pt idx="43">
                  <c:v>1.319899681238951</c:v>
                </c:pt>
                <c:pt idx="44">
                  <c:v>1.319899681238951</c:v>
                </c:pt>
                <c:pt idx="45">
                  <c:v>1.319899681238951</c:v>
                </c:pt>
                <c:pt idx="46">
                  <c:v>1.319899681238951</c:v>
                </c:pt>
                <c:pt idx="47">
                  <c:v>1.319899681238951</c:v>
                </c:pt>
                <c:pt idx="48">
                  <c:v>1.319899681238951</c:v>
                </c:pt>
                <c:pt idx="49">
                  <c:v>1.319899681238951</c:v>
                </c:pt>
                <c:pt idx="50">
                  <c:v>1.319899681238951</c:v>
                </c:pt>
              </c:numCache>
            </c:numRef>
          </c:val>
          <c:smooth val="0"/>
          <c:extLst>
            <c:ext xmlns:c16="http://schemas.microsoft.com/office/drawing/2014/chart" uri="{C3380CC4-5D6E-409C-BE32-E72D297353CC}">
              <c16:uniqueId val="{00000000-6BFF-4EA0-B86C-F1BF385EBDDC}"/>
            </c:ext>
          </c:extLst>
        </c:ser>
        <c:ser>
          <c:idx val="1"/>
          <c:order val="1"/>
          <c:tx>
            <c:strRef>
              <c:f>'Assumptions (T&amp;D)'!$A$4</c:f>
              <c:strCache>
                <c:ptCount val="1"/>
                <c:pt idx="0">
                  <c:v>T Operation from FERC 1 ($billion)</c:v>
                </c:pt>
              </c:strCache>
            </c:strRef>
          </c:tx>
          <c:marker>
            <c:symbol val="none"/>
          </c:marker>
          <c:cat>
            <c:numRef>
              <c:f>'Assumptions (T&amp;D)'!$B$2:$AZ$2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(T&amp;D)'!$B$4:$AZ$4</c:f>
              <c:numCache>
                <c:formatCode>_("$"* #,##0.00_);_("$"* \(#,##0.00\);_("$"* "-"??_);_(@_)</c:formatCode>
                <c:ptCount val="51"/>
                <c:pt idx="0">
                  <c:v>2.8809497789999998</c:v>
                </c:pt>
                <c:pt idx="1">
                  <c:v>3.5546116959999998</c:v>
                </c:pt>
                <c:pt idx="2">
                  <c:v>3.7083026870000002</c:v>
                </c:pt>
                <c:pt idx="3">
                  <c:v>3.9827134000000002</c:v>
                </c:pt>
                <c:pt idx="4">
                  <c:v>4.7130735509999999</c:v>
                </c:pt>
                <c:pt idx="5">
                  <c:v>6.0143136930000001</c:v>
                </c:pt>
                <c:pt idx="6">
                  <c:v>6.48302537</c:v>
                </c:pt>
                <c:pt idx="7">
                  <c:v>6.4270538129999997</c:v>
                </c:pt>
                <c:pt idx="8">
                  <c:v>7.2793505329999997</c:v>
                </c:pt>
                <c:pt idx="9">
                  <c:v>7.0594807189999997</c:v>
                </c:pt>
                <c:pt idx="10">
                  <c:v>7.5824506329999997</c:v>
                </c:pt>
                <c:pt idx="11">
                  <c:v>7.5518030180000002</c:v>
                </c:pt>
                <c:pt idx="12">
                  <c:v>7.8989567620000001</c:v>
                </c:pt>
                <c:pt idx="13">
                  <c:v>8.7222640069999997</c:v>
                </c:pt>
                <c:pt idx="14">
                  <c:v>9.868470211</c:v>
                </c:pt>
                <c:pt idx="15">
                  <c:v>10.723777162999999</c:v>
                </c:pt>
                <c:pt idx="16">
                  <c:v>11.556976395</c:v>
                </c:pt>
                <c:pt idx="17">
                  <c:v>11.694212775023288</c:v>
                </c:pt>
                <c:pt idx="18">
                  <c:v>11.694212775023288</c:v>
                </c:pt>
                <c:pt idx="19">
                  <c:v>11.694212775023288</c:v>
                </c:pt>
                <c:pt idx="20">
                  <c:v>11.694212775023288</c:v>
                </c:pt>
                <c:pt idx="21">
                  <c:v>11.694212775023288</c:v>
                </c:pt>
                <c:pt idx="22">
                  <c:v>11.694212775023288</c:v>
                </c:pt>
                <c:pt idx="23">
                  <c:v>11.694212775023288</c:v>
                </c:pt>
                <c:pt idx="24">
                  <c:v>11.694212775023288</c:v>
                </c:pt>
                <c:pt idx="25">
                  <c:v>11.694212775023288</c:v>
                </c:pt>
                <c:pt idx="26">
                  <c:v>11.694212775023288</c:v>
                </c:pt>
                <c:pt idx="27">
                  <c:v>11.694212775023288</c:v>
                </c:pt>
                <c:pt idx="28">
                  <c:v>11.694212775023288</c:v>
                </c:pt>
                <c:pt idx="29">
                  <c:v>11.694212775023288</c:v>
                </c:pt>
                <c:pt idx="30">
                  <c:v>11.694212775023288</c:v>
                </c:pt>
                <c:pt idx="31">
                  <c:v>11.694212775023288</c:v>
                </c:pt>
                <c:pt idx="32">
                  <c:v>11.694212775023288</c:v>
                </c:pt>
                <c:pt idx="33">
                  <c:v>11.694212775023288</c:v>
                </c:pt>
                <c:pt idx="34">
                  <c:v>11.694212775023288</c:v>
                </c:pt>
                <c:pt idx="35">
                  <c:v>11.694212775023288</c:v>
                </c:pt>
                <c:pt idx="36">
                  <c:v>11.694212775023288</c:v>
                </c:pt>
                <c:pt idx="37">
                  <c:v>11.694212775023288</c:v>
                </c:pt>
                <c:pt idx="38">
                  <c:v>11.694212775023288</c:v>
                </c:pt>
                <c:pt idx="39">
                  <c:v>11.694212775023288</c:v>
                </c:pt>
                <c:pt idx="40">
                  <c:v>11.694212775023288</c:v>
                </c:pt>
                <c:pt idx="41">
                  <c:v>11.694212775023288</c:v>
                </c:pt>
                <c:pt idx="42">
                  <c:v>11.694212775023288</c:v>
                </c:pt>
                <c:pt idx="43">
                  <c:v>11.694212775023288</c:v>
                </c:pt>
                <c:pt idx="44">
                  <c:v>11.694212775023288</c:v>
                </c:pt>
                <c:pt idx="45">
                  <c:v>11.694212775023288</c:v>
                </c:pt>
                <c:pt idx="46">
                  <c:v>11.694212775023288</c:v>
                </c:pt>
                <c:pt idx="47">
                  <c:v>11.694212775023288</c:v>
                </c:pt>
                <c:pt idx="48">
                  <c:v>11.694212775023288</c:v>
                </c:pt>
                <c:pt idx="49">
                  <c:v>11.694212775023288</c:v>
                </c:pt>
                <c:pt idx="50">
                  <c:v>11.694212775023288</c:v>
                </c:pt>
              </c:numCache>
            </c:numRef>
          </c:val>
          <c:smooth val="0"/>
          <c:extLst>
            <c:ext xmlns:c16="http://schemas.microsoft.com/office/drawing/2014/chart" uri="{C3380CC4-5D6E-409C-BE32-E72D297353CC}">
              <c16:uniqueId val="{00000001-6BFF-4EA0-B86C-F1BF385EBDDC}"/>
            </c:ext>
          </c:extLst>
        </c:ser>
        <c:ser>
          <c:idx val="2"/>
          <c:order val="2"/>
          <c:tx>
            <c:strRef>
              <c:f>'Assumptions (T&amp;D)'!$A$5</c:f>
              <c:strCache>
                <c:ptCount val="1"/>
                <c:pt idx="0">
                  <c:v>T Regional Market Maintenance from FERC 1 ($billion)</c:v>
                </c:pt>
              </c:strCache>
            </c:strRef>
          </c:tx>
          <c:marker>
            <c:symbol val="none"/>
          </c:marker>
          <c:cat>
            <c:numRef>
              <c:f>'Assumptions (T&amp;D)'!$B$2:$AZ$2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(T&amp;D)'!$B$5:$AZ$5</c:f>
              <c:numCache>
                <c:formatCode>_("$"* #,##0.00_);_("$"* \(#,##0.00\);_("$"* "-"??_);_(@_)</c:formatCode>
                <c:ptCount val="51"/>
                <c:pt idx="0">
                  <c:v>0</c:v>
                </c:pt>
                <c:pt idx="1">
                  <c:v>0</c:v>
                </c:pt>
                <c:pt idx="2">
                  <c:v>0</c:v>
                </c:pt>
                <c:pt idx="3">
                  <c:v>0</c:v>
                </c:pt>
                <c:pt idx="4">
                  <c:v>0</c:v>
                </c:pt>
                <c:pt idx="5">
                  <c:v>0</c:v>
                </c:pt>
                <c:pt idx="6">
                  <c:v>3.7438535000000002E-2</c:v>
                </c:pt>
                <c:pt idx="7">
                  <c:v>3.2470958000000001E-2</c:v>
                </c:pt>
                <c:pt idx="8">
                  <c:v>2.9167768E-2</c:v>
                </c:pt>
                <c:pt idx="9">
                  <c:v>3.7279024000000001E-2</c:v>
                </c:pt>
                <c:pt idx="10">
                  <c:v>4.5085243999999997E-2</c:v>
                </c:pt>
                <c:pt idx="11">
                  <c:v>5.0421138999999997E-2</c:v>
                </c:pt>
                <c:pt idx="12">
                  <c:v>5.1821512E-2</c:v>
                </c:pt>
                <c:pt idx="13">
                  <c:v>5.2835648999999998E-2</c:v>
                </c:pt>
                <c:pt idx="14">
                  <c:v>5.8900215999999998E-2</c:v>
                </c:pt>
                <c:pt idx="15">
                  <c:v>5.6491276E-2</c:v>
                </c:pt>
                <c:pt idx="16">
                  <c:v>5.9686318000000002E-2</c:v>
                </c:pt>
                <c:pt idx="17">
                  <c:v>5.5946994200000003E-2</c:v>
                </c:pt>
                <c:pt idx="18">
                  <c:v>5.6772090639999995E-2</c:v>
                </c:pt>
                <c:pt idx="19">
                  <c:v>5.7559378967999994E-2</c:v>
                </c:pt>
                <c:pt idx="20">
                  <c:v>5.7291211561599997E-2</c:v>
                </c:pt>
                <c:pt idx="21">
                  <c:v>5.7451198673919998E-2</c:v>
                </c:pt>
                <c:pt idx="22">
                  <c:v>5.7004174808703997E-2</c:v>
                </c:pt>
                <c:pt idx="23">
                  <c:v>5.7215610930444805E-2</c:v>
                </c:pt>
                <c:pt idx="24">
                  <c:v>5.7304314988533757E-2</c:v>
                </c:pt>
                <c:pt idx="25">
                  <c:v>5.7253302192640507E-2</c:v>
                </c:pt>
                <c:pt idx="26">
                  <c:v>5.7245720318848614E-2</c:v>
                </c:pt>
                <c:pt idx="27">
                  <c:v>5.7204624647834337E-2</c:v>
                </c:pt>
                <c:pt idx="28">
                  <c:v>5.72447146156604E-2</c:v>
                </c:pt>
                <c:pt idx="29">
                  <c:v>5.7250535352703524E-2</c:v>
                </c:pt>
                <c:pt idx="30">
                  <c:v>5.7239779425537471E-2</c:v>
                </c:pt>
                <c:pt idx="31">
                  <c:v>5.7237074872116864E-2</c:v>
                </c:pt>
                <c:pt idx="32">
                  <c:v>5.7235345782770522E-2</c:v>
                </c:pt>
                <c:pt idx="33">
                  <c:v>5.7241490009757756E-2</c:v>
                </c:pt>
                <c:pt idx="34">
                  <c:v>5.7240845088577227E-2</c:v>
                </c:pt>
                <c:pt idx="35">
                  <c:v>5.7238907035751976E-2</c:v>
                </c:pt>
                <c:pt idx="36">
                  <c:v>5.7238732557794866E-2</c:v>
                </c:pt>
                <c:pt idx="37">
                  <c:v>5.7239064094930472E-2</c:v>
                </c:pt>
                <c:pt idx="38">
                  <c:v>5.7239807757362461E-2</c:v>
                </c:pt>
                <c:pt idx="39">
                  <c:v>5.7239471306883408E-2</c:v>
                </c:pt>
                <c:pt idx="40">
                  <c:v>5.7239196550544637E-2</c:v>
                </c:pt>
                <c:pt idx="41">
                  <c:v>5.7239254453503176E-2</c:v>
                </c:pt>
                <c:pt idx="42">
                  <c:v>5.7239358832644825E-2</c:v>
                </c:pt>
                <c:pt idx="43">
                  <c:v>5.7239417780187693E-2</c:v>
                </c:pt>
                <c:pt idx="44">
                  <c:v>5.7239339784752749E-2</c:v>
                </c:pt>
                <c:pt idx="45">
                  <c:v>5.7239313480326612E-2</c:v>
                </c:pt>
                <c:pt idx="46">
                  <c:v>5.7239336866283019E-2</c:v>
                </c:pt>
                <c:pt idx="47">
                  <c:v>5.7239353348838985E-2</c:v>
                </c:pt>
                <c:pt idx="48">
                  <c:v>5.723935225207781E-2</c:v>
                </c:pt>
                <c:pt idx="49">
                  <c:v>5.7239339146455834E-2</c:v>
                </c:pt>
                <c:pt idx="50">
                  <c:v>5.7239339018796451E-2</c:v>
                </c:pt>
              </c:numCache>
            </c:numRef>
          </c:val>
          <c:smooth val="0"/>
          <c:extLst>
            <c:ext xmlns:c16="http://schemas.microsoft.com/office/drawing/2014/chart" uri="{C3380CC4-5D6E-409C-BE32-E72D297353CC}">
              <c16:uniqueId val="{00000002-6BFF-4EA0-B86C-F1BF385EBDDC}"/>
            </c:ext>
          </c:extLst>
        </c:ser>
        <c:ser>
          <c:idx val="3"/>
          <c:order val="3"/>
          <c:tx>
            <c:strRef>
              <c:f>'Assumptions (T&amp;D)'!$A$6</c:f>
              <c:strCache>
                <c:ptCount val="1"/>
                <c:pt idx="0">
                  <c:v>T Regional Market Operation from FERC 1 ($billion)</c:v>
                </c:pt>
              </c:strCache>
            </c:strRef>
          </c:tx>
          <c:marker>
            <c:symbol val="none"/>
          </c:marker>
          <c:cat>
            <c:numRef>
              <c:f>'Assumptions (T&amp;D)'!$B$2:$AZ$2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(T&amp;D)'!$B$6:$AZ$6</c:f>
              <c:numCache>
                <c:formatCode>_("$"* #,##0.00_);_("$"* \(#,##0.00\);_("$"* "-"??_);_(@_)</c:formatCode>
                <c:ptCount val="51"/>
                <c:pt idx="0">
                  <c:v>0</c:v>
                </c:pt>
                <c:pt idx="1">
                  <c:v>0</c:v>
                </c:pt>
                <c:pt idx="2">
                  <c:v>0</c:v>
                </c:pt>
                <c:pt idx="3">
                  <c:v>0</c:v>
                </c:pt>
                <c:pt idx="4">
                  <c:v>0</c:v>
                </c:pt>
                <c:pt idx="5">
                  <c:v>0</c:v>
                </c:pt>
                <c:pt idx="6">
                  <c:v>0.211859135</c:v>
                </c:pt>
                <c:pt idx="7">
                  <c:v>0.25544428899999999</c:v>
                </c:pt>
                <c:pt idx="8">
                  <c:v>0.25824147800000002</c:v>
                </c:pt>
                <c:pt idx="9">
                  <c:v>0.302299861</c:v>
                </c:pt>
                <c:pt idx="10">
                  <c:v>0.30296071400000002</c:v>
                </c:pt>
                <c:pt idx="11">
                  <c:v>0.29827334300000002</c:v>
                </c:pt>
                <c:pt idx="12">
                  <c:v>0.31894171300000002</c:v>
                </c:pt>
                <c:pt idx="13">
                  <c:v>0.320806494</c:v>
                </c:pt>
                <c:pt idx="14">
                  <c:v>0.347197743</c:v>
                </c:pt>
                <c:pt idx="15">
                  <c:v>0.35631346899999999</c:v>
                </c:pt>
                <c:pt idx="16">
                  <c:v>0.35152729799999999</c:v>
                </c:pt>
                <c:pt idx="17">
                  <c:v>0.3389573434</c:v>
                </c:pt>
                <c:pt idx="18">
                  <c:v>0.34296046947999997</c:v>
                </c:pt>
                <c:pt idx="19">
                  <c:v>0.34739126457599995</c:v>
                </c:pt>
                <c:pt idx="20">
                  <c:v>0.34742996889119998</c:v>
                </c:pt>
                <c:pt idx="21">
                  <c:v>0.34565326886943998</c:v>
                </c:pt>
                <c:pt idx="22">
                  <c:v>0.34447846304332796</c:v>
                </c:pt>
                <c:pt idx="23">
                  <c:v>0.34558268697199357</c:v>
                </c:pt>
                <c:pt idx="24">
                  <c:v>0.34610713047039232</c:v>
                </c:pt>
                <c:pt idx="25">
                  <c:v>0.34585030364927077</c:v>
                </c:pt>
                <c:pt idx="26">
                  <c:v>0.34553437060088493</c:v>
                </c:pt>
                <c:pt idx="27">
                  <c:v>0.3455105909471739</c:v>
                </c:pt>
                <c:pt idx="28">
                  <c:v>0.34571701652794307</c:v>
                </c:pt>
                <c:pt idx="29">
                  <c:v>0.34574388243913295</c:v>
                </c:pt>
                <c:pt idx="30">
                  <c:v>0.34567123283288115</c:v>
                </c:pt>
                <c:pt idx="31">
                  <c:v>0.34563541866960323</c:v>
                </c:pt>
                <c:pt idx="32">
                  <c:v>0.34565562828334684</c:v>
                </c:pt>
                <c:pt idx="33">
                  <c:v>0.3456846357505815</c:v>
                </c:pt>
                <c:pt idx="34">
                  <c:v>0.34567815959510917</c:v>
                </c:pt>
                <c:pt idx="35">
                  <c:v>0.34566501502630437</c:v>
                </c:pt>
                <c:pt idx="36">
                  <c:v>0.34566377146498894</c:v>
                </c:pt>
                <c:pt idx="37">
                  <c:v>0.34566944202406613</c:v>
                </c:pt>
                <c:pt idx="38">
                  <c:v>0.34567220477221</c:v>
                </c:pt>
                <c:pt idx="39">
                  <c:v>0.34566971857653572</c:v>
                </c:pt>
                <c:pt idx="40">
                  <c:v>0.34566803037282112</c:v>
                </c:pt>
                <c:pt idx="41">
                  <c:v>0.3456686334421244</c:v>
                </c:pt>
                <c:pt idx="42">
                  <c:v>0.34566960583755141</c:v>
                </c:pt>
                <c:pt idx="43">
                  <c:v>0.34566963860024857</c:v>
                </c:pt>
                <c:pt idx="44">
                  <c:v>0.34566912536585626</c:v>
                </c:pt>
                <c:pt idx="45">
                  <c:v>0.34566900672372036</c:v>
                </c:pt>
                <c:pt idx="46">
                  <c:v>0.34566920199390017</c:v>
                </c:pt>
                <c:pt idx="47">
                  <c:v>0.34566931570425535</c:v>
                </c:pt>
                <c:pt idx="48">
                  <c:v>0.34566925767759621</c:v>
                </c:pt>
                <c:pt idx="49">
                  <c:v>0.34566918149306569</c:v>
                </c:pt>
                <c:pt idx="50">
                  <c:v>0.34566919271850755</c:v>
                </c:pt>
              </c:numCache>
            </c:numRef>
          </c:val>
          <c:smooth val="0"/>
          <c:extLst>
            <c:ext xmlns:c16="http://schemas.microsoft.com/office/drawing/2014/chart" uri="{C3380CC4-5D6E-409C-BE32-E72D297353CC}">
              <c16:uniqueId val="{00000003-6BFF-4EA0-B86C-F1BF385EBDDC}"/>
            </c:ext>
          </c:extLst>
        </c:ser>
        <c:ser>
          <c:idx val="4"/>
          <c:order val="4"/>
          <c:tx>
            <c:strRef>
              <c:f>'Assumptions (T&amp;D)'!$A$16</c:f>
              <c:strCache>
                <c:ptCount val="1"/>
                <c:pt idx="0">
                  <c:v>TOTAL T CAPEX</c:v>
                </c:pt>
              </c:strCache>
            </c:strRef>
          </c:tx>
          <c:marker>
            <c:symbol val="none"/>
          </c:marker>
          <c:cat>
            <c:numRef>
              <c:f>'Assumptions (T&amp;D)'!$B$2:$AZ$2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(T&amp;D)'!$B$16:$AZ$16</c:f>
              <c:numCache>
                <c:formatCode>_("$"* #,##0.00_);_("$"* \(#,##0.00\);_("$"* "-"??_);_(@_)</c:formatCode>
                <c:ptCount val="51"/>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pt idx="17">
                  <c:v>21.772503626008074</c:v>
                </c:pt>
                <c:pt idx="18">
                  <c:v>21.772503626008074</c:v>
                </c:pt>
                <c:pt idx="19">
                  <c:v>21.772503626008074</c:v>
                </c:pt>
                <c:pt idx="20">
                  <c:v>21.772503626008074</c:v>
                </c:pt>
                <c:pt idx="21">
                  <c:v>21.772503626008074</c:v>
                </c:pt>
                <c:pt idx="22">
                  <c:v>21.772503626008074</c:v>
                </c:pt>
                <c:pt idx="23">
                  <c:v>21.772503626008074</c:v>
                </c:pt>
                <c:pt idx="24">
                  <c:v>21.772503626008074</c:v>
                </c:pt>
                <c:pt idx="25">
                  <c:v>21.772503626008074</c:v>
                </c:pt>
                <c:pt idx="26">
                  <c:v>21.772503626008074</c:v>
                </c:pt>
                <c:pt idx="27">
                  <c:v>21.772503626008074</c:v>
                </c:pt>
                <c:pt idx="28">
                  <c:v>21.772503626008074</c:v>
                </c:pt>
                <c:pt idx="29">
                  <c:v>21.772503626008074</c:v>
                </c:pt>
                <c:pt idx="30">
                  <c:v>21.772503626008074</c:v>
                </c:pt>
                <c:pt idx="31">
                  <c:v>21.772503626008074</c:v>
                </c:pt>
                <c:pt idx="32">
                  <c:v>21.772503626008074</c:v>
                </c:pt>
                <c:pt idx="33">
                  <c:v>21.772503626008074</c:v>
                </c:pt>
                <c:pt idx="34">
                  <c:v>21.772503626008074</c:v>
                </c:pt>
                <c:pt idx="35">
                  <c:v>21.772503626008074</c:v>
                </c:pt>
                <c:pt idx="36">
                  <c:v>21.772503626008074</c:v>
                </c:pt>
                <c:pt idx="37">
                  <c:v>21.772503626008074</c:v>
                </c:pt>
                <c:pt idx="38">
                  <c:v>21.772503626008074</c:v>
                </c:pt>
                <c:pt idx="39">
                  <c:v>21.772503626008074</c:v>
                </c:pt>
                <c:pt idx="40">
                  <c:v>21.772503626008074</c:v>
                </c:pt>
                <c:pt idx="41">
                  <c:v>21.772503626008074</c:v>
                </c:pt>
                <c:pt idx="42">
                  <c:v>21.772503626008074</c:v>
                </c:pt>
                <c:pt idx="43">
                  <c:v>21.772503626008074</c:v>
                </c:pt>
                <c:pt idx="44">
                  <c:v>21.772503626008074</c:v>
                </c:pt>
                <c:pt idx="45">
                  <c:v>21.772503626008074</c:v>
                </c:pt>
                <c:pt idx="46">
                  <c:v>21.772503626008074</c:v>
                </c:pt>
                <c:pt idx="47">
                  <c:v>21.772503626008074</c:v>
                </c:pt>
                <c:pt idx="48">
                  <c:v>21.772503626008074</c:v>
                </c:pt>
                <c:pt idx="49">
                  <c:v>21.772503626008074</c:v>
                </c:pt>
                <c:pt idx="50">
                  <c:v>21.772503626008074</c:v>
                </c:pt>
              </c:numCache>
            </c:numRef>
          </c:val>
          <c:smooth val="0"/>
          <c:extLst>
            <c:ext xmlns:c16="http://schemas.microsoft.com/office/drawing/2014/chart" uri="{C3380CC4-5D6E-409C-BE32-E72D297353CC}">
              <c16:uniqueId val="{00000004-6BFF-4EA0-B86C-F1BF385EBDDC}"/>
            </c:ext>
          </c:extLst>
        </c:ser>
        <c:ser>
          <c:idx val="5"/>
          <c:order val="5"/>
          <c:tx>
            <c:strRef>
              <c:f>'Assumptions (T&amp;D)'!$A$15</c:f>
              <c:strCache>
                <c:ptCount val="1"/>
                <c:pt idx="0">
                  <c:v>TOTAL T (Orginal FERC+non-FERC if A1=1,TPIT-adjusted+non-FERC, otherwise)</c:v>
                </c:pt>
              </c:strCache>
            </c:strRef>
          </c:tx>
          <c:marker>
            <c:symbol val="none"/>
          </c:marker>
          <c:cat>
            <c:numRef>
              <c:f>'Assumptions (T&amp;D)'!$B$2:$AZ$2</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(T&amp;D)'!$B$15:$AZ$15</c:f>
              <c:numCache>
                <c:formatCode>_("$"* #,##0.00_);_("$"* \(#,##0.00\);_("$"* "-"??_);_(@_)</c:formatCode>
                <c:ptCount val="51"/>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pt idx="17">
                  <c:v>23.453218324243892</c:v>
                </c:pt>
                <c:pt idx="18">
                  <c:v>24.159539645971208</c:v>
                </c:pt>
                <c:pt idx="19">
                  <c:v>24.426557159406407</c:v>
                </c:pt>
                <c:pt idx="20">
                  <c:v>25.137188464367476</c:v>
                </c:pt>
                <c:pt idx="21">
                  <c:v>24.34739968941539</c:v>
                </c:pt>
                <c:pt idx="22">
                  <c:v>23.944646555207949</c:v>
                </c:pt>
                <c:pt idx="23">
                  <c:v>25.649118306435383</c:v>
                </c:pt>
                <c:pt idx="24">
                  <c:v>25.562491636800637</c:v>
                </c:pt>
                <c:pt idx="25">
                  <c:v>23.347146968605543</c:v>
                </c:pt>
                <c:pt idx="26">
                  <c:v>24.880395270138727</c:v>
                </c:pt>
                <c:pt idx="27">
                  <c:v>26.817236404433935</c:v>
                </c:pt>
                <c:pt idx="28">
                  <c:v>27.080825856937029</c:v>
                </c:pt>
                <c:pt idx="29">
                  <c:v>26.241462407225207</c:v>
                </c:pt>
                <c:pt idx="30">
                  <c:v>29.081226424023512</c:v>
                </c:pt>
                <c:pt idx="31">
                  <c:v>27.489232221893992</c:v>
                </c:pt>
                <c:pt idx="32">
                  <c:v>25.446999764108732</c:v>
                </c:pt>
                <c:pt idx="33">
                  <c:v>26.924643846437068</c:v>
                </c:pt>
                <c:pt idx="34">
                  <c:v>27.543205086770925</c:v>
                </c:pt>
                <c:pt idx="35">
                  <c:v>24.193968291743239</c:v>
                </c:pt>
                <c:pt idx="36">
                  <c:v>24.470299272496248</c:v>
                </c:pt>
                <c:pt idx="37">
                  <c:v>27.487661413908366</c:v>
                </c:pt>
                <c:pt idx="38">
                  <c:v>27.512779612577429</c:v>
                </c:pt>
                <c:pt idx="39">
                  <c:v>26.448486253988879</c:v>
                </c:pt>
                <c:pt idx="40">
                  <c:v>28.708316655247515</c:v>
                </c:pt>
                <c:pt idx="41">
                  <c:v>26.905941916660282</c:v>
                </c:pt>
                <c:pt idx="42">
                  <c:v>25.940887520813121</c:v>
                </c:pt>
                <c:pt idx="43">
                  <c:v>21.667205143466674</c:v>
                </c:pt>
                <c:pt idx="44">
                  <c:v>21.667399168181824</c:v>
                </c:pt>
                <c:pt idx="45">
                  <c:v>21.667669163904655</c:v>
                </c:pt>
                <c:pt idx="46">
                  <c:v>21.667706385346051</c:v>
                </c:pt>
                <c:pt idx="47">
                  <c:v>21.667581410151236</c:v>
                </c:pt>
                <c:pt idx="48">
                  <c:v>21.667501395521828</c:v>
                </c:pt>
                <c:pt idx="49">
                  <c:v>21.667510444428711</c:v>
                </c:pt>
                <c:pt idx="50">
                  <c:v>21.667561327922385</c:v>
                </c:pt>
              </c:numCache>
            </c:numRef>
          </c:val>
          <c:smooth val="0"/>
          <c:extLst>
            <c:ext xmlns:c16="http://schemas.microsoft.com/office/drawing/2014/chart" uri="{C3380CC4-5D6E-409C-BE32-E72D297353CC}">
              <c16:uniqueId val="{00000005-6BFF-4EA0-B86C-F1BF385EBDDC}"/>
            </c:ext>
          </c:extLst>
        </c:ser>
        <c:dLbls>
          <c:showLegendKey val="0"/>
          <c:showVal val="0"/>
          <c:showCatName val="0"/>
          <c:showSerName val="0"/>
          <c:showPercent val="0"/>
          <c:showBubbleSize val="0"/>
        </c:dLbls>
        <c:smooth val="0"/>
        <c:axId val="1369624481"/>
        <c:axId val="553380255"/>
      </c:lineChart>
      <c:catAx>
        <c:axId val="1369624481"/>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553380255"/>
        <c:crosses val="autoZero"/>
        <c:auto val="1"/>
        <c:lblAlgn val="ctr"/>
        <c:lblOffset val="100"/>
        <c:noMultiLvlLbl val="1"/>
      </c:catAx>
      <c:valAx>
        <c:axId val="553380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_(&quot;$&quot;* #,##0.00_);_(&quot;$&quot;* \(#,##0.00\);_(&quot;$&quot;* &quot;-&quot;??_);_(@_)" sourceLinked="1"/>
        <c:majorTickMark val="none"/>
        <c:minorTickMark val="none"/>
        <c:tickLblPos val="nextTo"/>
        <c:spPr>
          <a:ln/>
        </c:spPr>
        <c:txPr>
          <a:bodyPr/>
          <a:lstStyle/>
          <a:p>
            <a:pPr lvl="0">
              <a:defRPr b="0">
                <a:solidFill>
                  <a:srgbClr val="000000"/>
                </a:solidFill>
                <a:latin typeface="Roboto"/>
              </a:defRPr>
            </a:pPr>
            <a:endParaRPr lang="en-US"/>
          </a:p>
        </c:txPr>
        <c:crossAx val="1369624481"/>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Courier New"/>
              </a:defRPr>
            </a:pPr>
            <a:r>
              <a:t>TOTAL T CAPEX (2000-2016)</a:t>
            </a:r>
          </a:p>
        </c:rich>
      </c:tx>
      <c:overlay val="0"/>
    </c:title>
    <c:autoTitleDeleted val="0"/>
    <c:plotArea>
      <c:layout/>
      <c:scatterChart>
        <c:scatterStyle val="lineMarker"/>
        <c:varyColors val="0"/>
        <c:ser>
          <c:idx val="0"/>
          <c:order val="0"/>
          <c:tx>
            <c:strRef>
              <c:f>'Assumptions (T&amp;D)'!$A$16</c:f>
              <c:strCache>
                <c:ptCount val="1"/>
                <c:pt idx="0">
                  <c:v>TOTAL T CAPEX</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numRef>
              <c:f>'Assumptions (T&amp;D)'!$C$93:$R$93</c:f>
              <c:numCache>
                <c:formatCode>#,##0</c:formatCode>
                <c:ptCount val="16"/>
                <c:pt idx="0">
                  <c:v>114280573</c:v>
                </c:pt>
                <c:pt idx="1">
                  <c:v>116006547</c:v>
                </c:pt>
                <c:pt idx="2">
                  <c:v>116647733</c:v>
                </c:pt>
                <c:pt idx="3">
                  <c:v>118123159</c:v>
                </c:pt>
                <c:pt idx="4">
                  <c:v>120109043</c:v>
                </c:pt>
                <c:pt idx="5">
                  <c:v>121807977</c:v>
                </c:pt>
                <c:pt idx="6">
                  <c:v>123277321</c:v>
                </c:pt>
                <c:pt idx="7">
                  <c:v>124359345</c:v>
                </c:pt>
                <c:pt idx="8">
                  <c:v>124526241</c:v>
                </c:pt>
                <c:pt idx="9">
                  <c:v>125031411</c:v>
                </c:pt>
                <c:pt idx="10">
                  <c:v>125451686</c:v>
                </c:pt>
                <c:pt idx="11">
                  <c:v>126137326</c:v>
                </c:pt>
                <c:pt idx="12">
                  <c:v>127077492</c:v>
                </c:pt>
                <c:pt idx="13">
                  <c:v>127973810</c:v>
                </c:pt>
                <c:pt idx="14">
                  <c:v>129101097</c:v>
                </c:pt>
                <c:pt idx="15">
                  <c:v>130354559</c:v>
                </c:pt>
              </c:numCache>
            </c:numRef>
          </c:xVal>
          <c:yVal>
            <c:numRef>
              <c:f>'Assumptions (T&amp;D)'!$B$16:$R$16</c:f>
              <c:numCache>
                <c:formatCode>_("$"* #,##0.00_);_("$"* \(#,##0.00\);_("$"* "-"??_);_(@_)</c:formatCode>
                <c:ptCount val="17"/>
                <c:pt idx="0">
                  <c:v>3.6534585749999997</c:v>
                </c:pt>
                <c:pt idx="1">
                  <c:v>4.2190873337499992</c:v>
                </c:pt>
                <c:pt idx="2">
                  <c:v>4.5053113140200001</c:v>
                </c:pt>
                <c:pt idx="3">
                  <c:v>5.8449812485999999</c:v>
                </c:pt>
                <c:pt idx="4">
                  <c:v>5.8156041781200001</c:v>
                </c:pt>
                <c:pt idx="5">
                  <c:v>6.5440693280251399</c:v>
                </c:pt>
                <c:pt idx="6">
                  <c:v>8.6422616362507974</c:v>
                </c:pt>
                <c:pt idx="7">
                  <c:v>9.0617697824027665</c:v>
                </c:pt>
                <c:pt idx="8">
                  <c:v>10.769830278240002</c:v>
                </c:pt>
                <c:pt idx="9">
                  <c:v>10.829973175560001</c:v>
                </c:pt>
                <c:pt idx="10">
                  <c:v>13.527122389439999</c:v>
                </c:pt>
                <c:pt idx="11">
                  <c:v>13.834730393880001</c:v>
                </c:pt>
                <c:pt idx="12">
                  <c:v>17.88751456536</c:v>
                </c:pt>
                <c:pt idx="13">
                  <c:v>26.279349329640006</c:v>
                </c:pt>
                <c:pt idx="14">
                  <c:v>23.759341114080001</c:v>
                </c:pt>
                <c:pt idx="15">
                  <c:v>24.868406576639998</c:v>
                </c:pt>
                <c:pt idx="16">
                  <c:v>26.726757694560003</c:v>
                </c:pt>
              </c:numCache>
            </c:numRef>
          </c:yVal>
          <c:smooth val="1"/>
          <c:extLst>
            <c:ext xmlns:c16="http://schemas.microsoft.com/office/drawing/2014/chart" uri="{C3380CC4-5D6E-409C-BE32-E72D297353CC}">
              <c16:uniqueId val="{00000000-4AEB-4788-A010-1D65CAFB5F4A}"/>
            </c:ext>
          </c:extLst>
        </c:ser>
        <c:dLbls>
          <c:showLegendKey val="0"/>
          <c:showVal val="0"/>
          <c:showCatName val="0"/>
          <c:showSerName val="0"/>
          <c:showPercent val="0"/>
          <c:showBubbleSize val="0"/>
        </c:dLbls>
        <c:axId val="1683500699"/>
        <c:axId val="116211771"/>
      </c:scatterChart>
      <c:valAx>
        <c:axId val="16835006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t>Residential Customers</a:t>
                </a:r>
              </a:p>
            </c:rich>
          </c:tx>
          <c:overlay val="0"/>
        </c:title>
        <c:numFmt formatCode="#,##0" sourceLinked="1"/>
        <c:majorTickMark val="none"/>
        <c:minorTickMark val="none"/>
        <c:tickLblPos val="nextTo"/>
        <c:spPr>
          <a:ln/>
        </c:spPr>
        <c:txPr>
          <a:bodyPr/>
          <a:lstStyle/>
          <a:p>
            <a:pPr lvl="0">
              <a:defRPr b="0">
                <a:solidFill>
                  <a:srgbClr val="000000"/>
                </a:solidFill>
                <a:latin typeface="Courier New"/>
              </a:defRPr>
            </a:pPr>
            <a:endParaRPr lang="en-US"/>
          </a:p>
        </c:txPr>
        <c:crossAx val="116211771"/>
        <c:crosses val="autoZero"/>
        <c:crossBetween val="midCat"/>
      </c:valAx>
      <c:valAx>
        <c:axId val="1162117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t>TOTAL T CAPEX</a:t>
                </a:r>
              </a:p>
            </c:rich>
          </c:tx>
          <c:overlay val="0"/>
        </c:title>
        <c:numFmt formatCode="_(&quot;$&quot;* #,##0.00_);_(&quot;$&quot;* \(#,##0.00\);_(&quot;$&quot;* &quot;-&quot;??_);_(@_)" sourceLinked="1"/>
        <c:majorTickMark val="none"/>
        <c:minorTickMark val="none"/>
        <c:tickLblPos val="nextTo"/>
        <c:spPr>
          <a:ln/>
        </c:spPr>
        <c:txPr>
          <a:bodyPr/>
          <a:lstStyle/>
          <a:p>
            <a:pPr lvl="0">
              <a:defRPr b="0">
                <a:solidFill>
                  <a:srgbClr val="000000"/>
                </a:solidFill>
                <a:latin typeface="Courier New"/>
              </a:defRPr>
            </a:pPr>
            <a:endParaRPr lang="en-US"/>
          </a:p>
        </c:txPr>
        <c:crossAx val="1683500699"/>
        <c:crosses val="autoZero"/>
        <c:crossBetween val="midCat"/>
      </c:valAx>
    </c:plotArea>
    <c:legend>
      <c:legendPos val="r"/>
      <c:overlay val="0"/>
      <c:txPr>
        <a:bodyPr/>
        <a:lstStyle/>
        <a:p>
          <a:pPr lvl="0">
            <a:defRPr b="0">
              <a:solidFill>
                <a:srgbClr val="000000"/>
              </a:solidFill>
              <a:latin typeface="Courier New"/>
            </a:defRPr>
          </a:pPr>
          <a:endParaRPr lang="en-US"/>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(O&amp;G Upstream)'!$B$175</c:f>
              <c:strCache>
                <c:ptCount val="1"/>
                <c:pt idx="0">
                  <c:v>Total Oil:Oil (million bbl)</c:v>
                </c:pt>
              </c:strCache>
            </c:strRef>
          </c:tx>
          <c:marker>
            <c:symbol val="none"/>
          </c:marker>
          <c:cat>
            <c:numRef>
              <c:f>'Assumptions (O&amp;G Upstream)'!$C$174:$T$174</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'Assumptions (O&amp;G Upstream)'!$C$175:$T$175</c:f>
              <c:numCache>
                <c:formatCode>0</c:formatCode>
                <c:ptCount val="18"/>
                <c:pt idx="0">
                  <c:v>1526.8440000000003</c:v>
                </c:pt>
                <c:pt idx="1">
                  <c:v>1508.7829999999999</c:v>
                </c:pt>
                <c:pt idx="2">
                  <c:v>1491.3449999999998</c:v>
                </c:pt>
                <c:pt idx="3">
                  <c:v>1477.1580000000001</c:v>
                </c:pt>
                <c:pt idx="4">
                  <c:v>1438.0459999999998</c:v>
                </c:pt>
                <c:pt idx="5">
                  <c:v>1379.8080000000002</c:v>
                </c:pt>
                <c:pt idx="6">
                  <c:v>1382.1979999999999</c:v>
                </c:pt>
                <c:pt idx="7">
                  <c:v>1384.6369999999999</c:v>
                </c:pt>
                <c:pt idx="8">
                  <c:v>1377.3739999999998</c:v>
                </c:pt>
                <c:pt idx="9">
                  <c:v>1518.2090000000001</c:v>
                </c:pt>
                <c:pt idx="10">
                  <c:v>1578.6860000000001</c:v>
                </c:pt>
                <c:pt idx="11">
                  <c:v>1644.414</c:v>
                </c:pt>
                <c:pt idx="12">
                  <c:v>1944.2180000000003</c:v>
                </c:pt>
                <c:pt idx="13">
                  <c:v>2253.3670000000006</c:v>
                </c:pt>
                <c:pt idx="14">
                  <c:v>2675.7099999999996</c:v>
                </c:pt>
                <c:pt idx="15">
                  <c:v>2887.9860000000003</c:v>
                </c:pt>
                <c:pt idx="16">
                  <c:v>2682.4920000000002</c:v>
                </c:pt>
                <c:pt idx="17">
                  <c:v>2838.576</c:v>
                </c:pt>
              </c:numCache>
            </c:numRef>
          </c:val>
          <c:smooth val="0"/>
          <c:extLst>
            <c:ext xmlns:c16="http://schemas.microsoft.com/office/drawing/2014/chart" uri="{C3380CC4-5D6E-409C-BE32-E72D297353CC}">
              <c16:uniqueId val="{00000000-A2AF-4225-8477-E2C420FDE124}"/>
            </c:ext>
          </c:extLst>
        </c:ser>
        <c:ser>
          <c:idx val="3"/>
          <c:order val="3"/>
          <c:tx>
            <c:strRef>
              <c:f>'Assumptions (O&amp;G Upstream)'!$B$178</c:f>
              <c:strCache>
                <c:ptCount val="1"/>
                <c:pt idx="0">
                  <c:v>Total Gas:Oil (million bbl)</c:v>
                </c:pt>
              </c:strCache>
            </c:strRef>
          </c:tx>
          <c:spPr>
            <a:ln w="19050" cmpd="sng">
              <a:solidFill>
                <a:srgbClr val="6AA84F"/>
              </a:solidFill>
              <a:prstDash val="dash"/>
            </a:ln>
          </c:spPr>
          <c:marker>
            <c:symbol val="none"/>
          </c:marker>
          <c:cat>
            <c:numRef>
              <c:f>'Assumptions (O&amp;G Upstream)'!$C$174:$T$174</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'Assumptions (O&amp;G Upstream)'!$C$178:$T$178</c:f>
              <c:numCache>
                <c:formatCode>0</c:formatCode>
                <c:ptCount val="18"/>
                <c:pt idx="0">
                  <c:v>233.15300000000005</c:v>
                </c:pt>
                <c:pt idx="1">
                  <c:v>249.64400000000003</c:v>
                </c:pt>
                <c:pt idx="2">
                  <c:v>230.46299999999999</c:v>
                </c:pt>
                <c:pt idx="3">
                  <c:v>213.48499999999999</c:v>
                </c:pt>
                <c:pt idx="4">
                  <c:v>205.22</c:v>
                </c:pt>
                <c:pt idx="5">
                  <c:v>185.49</c:v>
                </c:pt>
                <c:pt idx="6">
                  <c:v>189.09700000000004</c:v>
                </c:pt>
                <c:pt idx="7">
                  <c:v>191.68500000000003</c:v>
                </c:pt>
                <c:pt idx="8">
                  <c:v>191.46700000000001</c:v>
                </c:pt>
                <c:pt idx="9">
                  <c:v>187.084</c:v>
                </c:pt>
                <c:pt idx="10">
                  <c:v>190.59299999999999</c:v>
                </c:pt>
                <c:pt idx="11">
                  <c:v>204.577</c:v>
                </c:pt>
                <c:pt idx="12">
                  <c:v>231.751</c:v>
                </c:pt>
                <c:pt idx="13">
                  <c:v>273.98499999999996</c:v>
                </c:pt>
                <c:pt idx="14">
                  <c:v>329.85099999999994</c:v>
                </c:pt>
                <c:pt idx="15">
                  <c:v>367.86400000000003</c:v>
                </c:pt>
                <c:pt idx="16">
                  <c:v>363.46199999999999</c:v>
                </c:pt>
                <c:pt idx="17">
                  <c:v>370.32800000000009</c:v>
                </c:pt>
              </c:numCache>
            </c:numRef>
          </c:val>
          <c:smooth val="0"/>
          <c:extLst>
            <c:ext xmlns:c16="http://schemas.microsoft.com/office/drawing/2014/chart" uri="{C3380CC4-5D6E-409C-BE32-E72D297353CC}">
              <c16:uniqueId val="{00000001-A2AF-4225-8477-E2C420FDE124}"/>
            </c:ext>
          </c:extLst>
        </c:ser>
        <c:dLbls>
          <c:showLegendKey val="0"/>
          <c:showVal val="0"/>
          <c:showCatName val="0"/>
          <c:showSerName val="0"/>
          <c:showPercent val="0"/>
          <c:showBubbleSize val="0"/>
        </c:dLbls>
        <c:marker val="1"/>
        <c:smooth val="0"/>
        <c:axId val="1889305807"/>
        <c:axId val="1094292300"/>
      </c:lineChart>
      <c:lineChart>
        <c:grouping val="standard"/>
        <c:varyColors val="1"/>
        <c:ser>
          <c:idx val="1"/>
          <c:order val="1"/>
          <c:tx>
            <c:strRef>
              <c:f>'Assumptions (O&amp;G Upstream)'!$B$176</c:f>
              <c:strCache>
                <c:ptCount val="1"/>
                <c:pt idx="0">
                  <c:v>Total Oil:Gas (billion cf)</c:v>
                </c:pt>
              </c:strCache>
            </c:strRef>
          </c:tx>
          <c:spPr>
            <a:ln w="19050" cmpd="sng">
              <a:solidFill>
                <a:srgbClr val="DB4437"/>
              </a:solidFill>
              <a:prstDash val="dash"/>
            </a:ln>
          </c:spPr>
          <c:marker>
            <c:symbol val="none"/>
          </c:marker>
          <c:cat>
            <c:numRef>
              <c:f>'Assumptions (O&amp;G Upstream)'!$C$174:$T$174</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'Assumptions (O&amp;G Upstream)'!$C$176:$T$176</c:f>
              <c:numCache>
                <c:formatCode>0</c:formatCode>
                <c:ptCount val="18"/>
                <c:pt idx="0">
                  <c:v>1464.6559999999999</c:v>
                </c:pt>
                <c:pt idx="1">
                  <c:v>1494.1210000000001</c:v>
                </c:pt>
                <c:pt idx="2">
                  <c:v>1430.0439999999999</c:v>
                </c:pt>
                <c:pt idx="3">
                  <c:v>1397.078</c:v>
                </c:pt>
                <c:pt idx="4">
                  <c:v>1353.6169999999997</c:v>
                </c:pt>
                <c:pt idx="5">
                  <c:v>1267.5140000000001</c:v>
                </c:pt>
                <c:pt idx="6">
                  <c:v>1261.0679999999998</c:v>
                </c:pt>
                <c:pt idx="7">
                  <c:v>1257.2089999999998</c:v>
                </c:pt>
                <c:pt idx="8">
                  <c:v>1207.9079999999999</c:v>
                </c:pt>
                <c:pt idx="9">
                  <c:v>1322.2429999999997</c:v>
                </c:pt>
                <c:pt idx="10">
                  <c:v>1421.9879999999998</c:v>
                </c:pt>
                <c:pt idx="11">
                  <c:v>1643.9150000000004</c:v>
                </c:pt>
                <c:pt idx="12">
                  <c:v>2162.7980000000002</c:v>
                </c:pt>
                <c:pt idx="13">
                  <c:v>2707.4349999999999</c:v>
                </c:pt>
                <c:pt idx="14">
                  <c:v>3454.49</c:v>
                </c:pt>
                <c:pt idx="15">
                  <c:v>4098.4110000000001</c:v>
                </c:pt>
                <c:pt idx="16">
                  <c:v>3909.9649999999992</c:v>
                </c:pt>
                <c:pt idx="17">
                  <c:v>4190.5459999999994</c:v>
                </c:pt>
              </c:numCache>
            </c:numRef>
          </c:val>
          <c:smooth val="0"/>
          <c:extLst>
            <c:ext xmlns:c16="http://schemas.microsoft.com/office/drawing/2014/chart" uri="{C3380CC4-5D6E-409C-BE32-E72D297353CC}">
              <c16:uniqueId val="{00000002-A2AF-4225-8477-E2C420FDE124}"/>
            </c:ext>
          </c:extLst>
        </c:ser>
        <c:ser>
          <c:idx val="2"/>
          <c:order val="2"/>
          <c:tx>
            <c:strRef>
              <c:f>'Assumptions (O&amp;G Upstream)'!$B$177</c:f>
              <c:strCache>
                <c:ptCount val="1"/>
                <c:pt idx="0">
                  <c:v>Total Gas:Gas (billion cf)</c:v>
                </c:pt>
              </c:strCache>
            </c:strRef>
          </c:tx>
          <c:marker>
            <c:symbol val="none"/>
          </c:marker>
          <c:cat>
            <c:numRef>
              <c:f>'Assumptions (O&amp;G Upstream)'!$C$174:$T$174</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'Assumptions (O&amp;G Upstream)'!$C$177:$T$177</c:f>
              <c:numCache>
                <c:formatCode>0</c:formatCode>
                <c:ptCount val="18"/>
                <c:pt idx="0">
                  <c:v>19179.5</c:v>
                </c:pt>
                <c:pt idx="1">
                  <c:v>19514.414000000004</c:v>
                </c:pt>
                <c:pt idx="2">
                  <c:v>18881.842000000001</c:v>
                </c:pt>
                <c:pt idx="3">
                  <c:v>18970.607</c:v>
                </c:pt>
                <c:pt idx="4">
                  <c:v>18881.078000000001</c:v>
                </c:pt>
                <c:pt idx="5">
                  <c:v>18408.433000000001</c:v>
                </c:pt>
                <c:pt idx="6">
                  <c:v>18942.510999999999</c:v>
                </c:pt>
                <c:pt idx="7">
                  <c:v>19689.622000000003</c:v>
                </c:pt>
                <c:pt idx="8">
                  <c:v>20845.819000000003</c:v>
                </c:pt>
                <c:pt idx="9">
                  <c:v>21203.541000000001</c:v>
                </c:pt>
                <c:pt idx="10">
                  <c:v>21972.71</c:v>
                </c:pt>
                <c:pt idx="11">
                  <c:v>23221.542000000001</c:v>
                </c:pt>
                <c:pt idx="12">
                  <c:v>23796.43</c:v>
                </c:pt>
                <c:pt idx="13">
                  <c:v>23735.786999999997</c:v>
                </c:pt>
                <c:pt idx="14">
                  <c:v>24742.560999999998</c:v>
                </c:pt>
                <c:pt idx="15">
                  <c:v>25484.181</c:v>
                </c:pt>
                <c:pt idx="16">
                  <c:v>25277.051000000003</c:v>
                </c:pt>
                <c:pt idx="17">
                  <c:v>25689.822999999997</c:v>
                </c:pt>
              </c:numCache>
            </c:numRef>
          </c:val>
          <c:smooth val="0"/>
          <c:extLst>
            <c:ext xmlns:c16="http://schemas.microsoft.com/office/drawing/2014/chart" uri="{C3380CC4-5D6E-409C-BE32-E72D297353CC}">
              <c16:uniqueId val="{00000003-A2AF-4225-8477-E2C420FDE124}"/>
            </c:ext>
          </c:extLst>
        </c:ser>
        <c:dLbls>
          <c:showLegendKey val="0"/>
          <c:showVal val="0"/>
          <c:showCatName val="0"/>
          <c:showSerName val="0"/>
          <c:showPercent val="0"/>
          <c:showBubbleSize val="0"/>
        </c:dLbls>
        <c:marker val="1"/>
        <c:smooth val="0"/>
        <c:axId val="566508360"/>
        <c:axId val="1155300693"/>
      </c:lineChart>
      <c:catAx>
        <c:axId val="1889305807"/>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094292300"/>
        <c:crosses val="autoZero"/>
        <c:auto val="1"/>
        <c:lblAlgn val="ctr"/>
        <c:lblOffset val="100"/>
        <c:noMultiLvlLbl val="1"/>
      </c:catAx>
      <c:valAx>
        <c:axId val="10942923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million bbl</a:t>
                </a:r>
              </a:p>
            </c:rich>
          </c:tx>
          <c:overlay val="0"/>
        </c:title>
        <c:numFmt formatCode="0" sourceLinked="1"/>
        <c:majorTickMark val="none"/>
        <c:minorTickMark val="none"/>
        <c:tickLblPos val="nextTo"/>
        <c:spPr>
          <a:ln/>
        </c:spPr>
        <c:txPr>
          <a:bodyPr/>
          <a:lstStyle/>
          <a:p>
            <a:pPr lvl="0">
              <a:defRPr b="0">
                <a:solidFill>
                  <a:srgbClr val="000000"/>
                </a:solidFill>
                <a:latin typeface="Roboto"/>
              </a:defRPr>
            </a:pPr>
            <a:endParaRPr lang="en-US"/>
          </a:p>
        </c:txPr>
        <c:crossAx val="1889305807"/>
        <c:crosses val="autoZero"/>
        <c:crossBetween val="between"/>
      </c:valAx>
      <c:catAx>
        <c:axId val="566508360"/>
        <c:scaling>
          <c:orientation val="minMax"/>
        </c:scaling>
        <c:delete val="1"/>
        <c:axPos val="b"/>
        <c:numFmt formatCode="General" sourceLinked="1"/>
        <c:majorTickMark val="none"/>
        <c:minorTickMark val="none"/>
        <c:tickLblPos val="nextTo"/>
        <c:crossAx val="1155300693"/>
        <c:crosses val="autoZero"/>
        <c:auto val="1"/>
        <c:lblAlgn val="ctr"/>
        <c:lblOffset val="100"/>
        <c:noMultiLvlLbl val="1"/>
      </c:catAx>
      <c:valAx>
        <c:axId val="115530069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billion cf</a:t>
                </a:r>
              </a:p>
            </c:rich>
          </c:tx>
          <c:overlay val="0"/>
        </c:title>
        <c:numFmt formatCode="0" sourceLinked="1"/>
        <c:majorTickMark val="none"/>
        <c:minorTickMark val="none"/>
        <c:tickLblPos val="nextTo"/>
        <c:spPr>
          <a:ln/>
        </c:spPr>
        <c:txPr>
          <a:bodyPr/>
          <a:lstStyle/>
          <a:p>
            <a:pPr lvl="0">
              <a:defRPr b="0">
                <a:solidFill>
                  <a:srgbClr val="000000"/>
                </a:solidFill>
                <a:latin typeface="Roboto"/>
              </a:defRPr>
            </a:pPr>
            <a:endParaRPr lang="en-US"/>
          </a:p>
        </c:txPr>
        <c:crossAx val="566508360"/>
        <c:crosses val="max"/>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marker>
            <c:symbol val="none"/>
          </c:marker>
          <c:cat>
            <c:numRef>
              <c:f>'Assumptions (O&amp;G Upstream)'!$C$77:$U$77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Upstream)'!$C$82:$U$82</c:f>
              <c:numCache>
                <c:formatCode>General</c:formatCode>
                <c:ptCount val="19"/>
                <c:pt idx="0">
                  <c:v>478</c:v>
                </c:pt>
                <c:pt idx="1">
                  <c:v>565</c:v>
                </c:pt>
                <c:pt idx="2">
                  <c:v>454</c:v>
                </c:pt>
                <c:pt idx="3">
                  <c:v>776</c:v>
                </c:pt>
                <c:pt idx="4">
                  <c:v>1372</c:v>
                </c:pt>
                <c:pt idx="5">
                  <c:v>2144</c:v>
                </c:pt>
                <c:pt idx="6">
                  <c:v>2931</c:v>
                </c:pt>
                <c:pt idx="7">
                  <c:v>4880</c:v>
                </c:pt>
                <c:pt idx="8">
                  <c:v>7089</c:v>
                </c:pt>
                <c:pt idx="9">
                  <c:v>5776</c:v>
                </c:pt>
                <c:pt idx="10">
                  <c:v>8974</c:v>
                </c:pt>
                <c:pt idx="11">
                  <c:v>12538</c:v>
                </c:pt>
                <c:pt idx="12">
                  <c:v>14932</c:v>
                </c:pt>
                <c:pt idx="13">
                  <c:v>16675</c:v>
                </c:pt>
                <c:pt idx="14">
                  <c:v>19315</c:v>
                </c:pt>
                <c:pt idx="15">
                  <c:v>13590</c:v>
                </c:pt>
                <c:pt idx="16">
                  <c:v>7612</c:v>
                </c:pt>
                <c:pt idx="17">
                  <c:v>11394</c:v>
                </c:pt>
                <c:pt idx="18">
                  <c:v>8908</c:v>
                </c:pt>
              </c:numCache>
            </c:numRef>
          </c:val>
          <c:smooth val="0"/>
          <c:extLst>
            <c:ext xmlns:c16="http://schemas.microsoft.com/office/drawing/2014/chart" uri="{C3380CC4-5D6E-409C-BE32-E72D297353CC}">
              <c16:uniqueId val="{00000000-4F19-40E4-8682-BB2671C1CC4A}"/>
            </c:ext>
          </c:extLst>
        </c:ser>
        <c:ser>
          <c:idx val="1"/>
          <c:order val="1"/>
          <c:marker>
            <c:symbol val="none"/>
          </c:marker>
          <c:cat>
            <c:numRef>
              <c:f>'Assumptions (O&amp;G Upstream)'!$C$77:$U$77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Upstream)'!$B$82</c:f>
              <c:numCache>
                <c:formatCode>General</c:formatCode>
                <c:ptCount val="1"/>
                <c:pt idx="0">
                  <c:v>0</c:v>
                </c:pt>
              </c:numCache>
            </c:numRef>
          </c:val>
          <c:smooth val="0"/>
          <c:extLst>
            <c:ext xmlns:c16="http://schemas.microsoft.com/office/drawing/2014/chart" uri="{C3380CC4-5D6E-409C-BE32-E72D297353CC}">
              <c16:uniqueId val="{00000001-4F19-40E4-8682-BB2671C1CC4A}"/>
            </c:ext>
          </c:extLst>
        </c:ser>
        <c:ser>
          <c:idx val="2"/>
          <c:order val="2"/>
          <c:marker>
            <c:symbol val="none"/>
          </c:marker>
          <c:cat>
            <c:numRef>
              <c:f>'Assumptions (O&amp;G Upstream)'!$C$77:$U$77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Upstream)'!$C$74:$T$74</c:f>
              <c:numCache>
                <c:formatCode>General</c:formatCode>
                <c:ptCount val="18"/>
                <c:pt idx="1">
                  <c:v>516</c:v>
                </c:pt>
                <c:pt idx="2">
                  <c:v>427</c:v>
                </c:pt>
                <c:pt idx="3">
                  <c:v>743</c:v>
                </c:pt>
                <c:pt idx="4">
                  <c:v>1244</c:v>
                </c:pt>
                <c:pt idx="5">
                  <c:v>2040</c:v>
                </c:pt>
                <c:pt idx="6">
                  <c:v>2934</c:v>
                </c:pt>
                <c:pt idx="7">
                  <c:v>4683</c:v>
                </c:pt>
                <c:pt idx="8">
                  <c:v>6640</c:v>
                </c:pt>
                <c:pt idx="9">
                  <c:v>5161</c:v>
                </c:pt>
                <c:pt idx="10">
                  <c:v>7596</c:v>
                </c:pt>
                <c:pt idx="11">
                  <c:v>11168</c:v>
                </c:pt>
                <c:pt idx="12">
                  <c:v>13849</c:v>
                </c:pt>
                <c:pt idx="13">
                  <c:v>15521</c:v>
                </c:pt>
                <c:pt idx="14">
                  <c:v>17600</c:v>
                </c:pt>
                <c:pt idx="15">
                  <c:v>12023</c:v>
                </c:pt>
                <c:pt idx="16">
                  <c:v>6196</c:v>
                </c:pt>
                <c:pt idx="17">
                  <c:v>9633</c:v>
                </c:pt>
              </c:numCache>
            </c:numRef>
          </c:val>
          <c:smooth val="0"/>
          <c:extLst>
            <c:ext xmlns:c16="http://schemas.microsoft.com/office/drawing/2014/chart" uri="{C3380CC4-5D6E-409C-BE32-E72D297353CC}">
              <c16:uniqueId val="{00000002-4F19-40E4-8682-BB2671C1CC4A}"/>
            </c:ext>
          </c:extLst>
        </c:ser>
        <c:dLbls>
          <c:showLegendKey val="0"/>
          <c:showVal val="0"/>
          <c:showCatName val="0"/>
          <c:showSerName val="0"/>
          <c:showPercent val="0"/>
          <c:showBubbleSize val="0"/>
        </c:dLbls>
        <c:smooth val="0"/>
        <c:axId val="959174"/>
        <c:axId val="297198191"/>
      </c:lineChart>
      <c:catAx>
        <c:axId val="95917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297198191"/>
        <c:crosses val="autoZero"/>
        <c:auto val="1"/>
        <c:lblAlgn val="ctr"/>
        <c:lblOffset val="100"/>
        <c:noMultiLvlLbl val="1"/>
      </c:catAx>
      <c:valAx>
        <c:axId val="2971981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959174"/>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marker>
            <c:symbol val="none"/>
          </c:marker>
          <c:cat>
            <c:numRef>
              <c:f>'Assumptions (O&amp;G Upstream)'!$C$237:$U$237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Upstream)'!$C$233:$U$233</c:f>
              <c:numCache>
                <c:formatCode>"$"#,##0.00</c:formatCode>
                <c:ptCount val="19"/>
                <c:pt idx="0">
                  <c:v>2.1539925235643045</c:v>
                </c:pt>
                <c:pt idx="1">
                  <c:v>2.737984009908089</c:v>
                </c:pt>
                <c:pt idx="2">
                  <c:v>2.3876664295678247</c:v>
                </c:pt>
                <c:pt idx="3">
                  <c:v>2.3849387064728504</c:v>
                </c:pt>
                <c:pt idx="4">
                  <c:v>2.6216021969884622</c:v>
                </c:pt>
                <c:pt idx="5">
                  <c:v>4.0927536666449384</c:v>
                </c:pt>
                <c:pt idx="6">
                  <c:v>5.9779999999999998</c:v>
                </c:pt>
                <c:pt idx="7">
                  <c:v>6.0739999999999998</c:v>
                </c:pt>
                <c:pt idx="8">
                  <c:v>6.9320000000000004</c:v>
                </c:pt>
                <c:pt idx="9">
                  <c:v>6.346000000000001</c:v>
                </c:pt>
                <c:pt idx="10">
                  <c:v>6.8840000000000003</c:v>
                </c:pt>
                <c:pt idx="11">
                  <c:v>8.25</c:v>
                </c:pt>
                <c:pt idx="12">
                  <c:v>8.7319999999999993</c:v>
                </c:pt>
                <c:pt idx="13">
                  <c:v>7.5060000000000002</c:v>
                </c:pt>
                <c:pt idx="14">
                  <c:v>6.8760000000000003</c:v>
                </c:pt>
                <c:pt idx="15">
                  <c:v>6.31</c:v>
                </c:pt>
                <c:pt idx="16">
                  <c:v>5.256601209972998</c:v>
                </c:pt>
                <c:pt idx="17">
                  <c:v>5.416373488049695</c:v>
                </c:pt>
                <c:pt idx="18">
                  <c:v>5.5664578146641555</c:v>
                </c:pt>
              </c:numCache>
            </c:numRef>
          </c:val>
          <c:smooth val="0"/>
          <c:extLst>
            <c:ext xmlns:c16="http://schemas.microsoft.com/office/drawing/2014/chart" uri="{C3380CC4-5D6E-409C-BE32-E72D297353CC}">
              <c16:uniqueId val="{00000000-9266-4E20-B52E-C113B561F2CE}"/>
            </c:ext>
          </c:extLst>
        </c:ser>
        <c:ser>
          <c:idx val="1"/>
          <c:order val="1"/>
          <c:marker>
            <c:symbol val="none"/>
          </c:marker>
          <c:cat>
            <c:numRef>
              <c:f>'Assumptions (O&amp;G Upstream)'!$C$237:$U$237</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Upstream)'!$B$233</c:f>
              <c:numCache>
                <c:formatCode>General</c:formatCode>
                <c:ptCount val="1"/>
                <c:pt idx="0">
                  <c:v>0</c:v>
                </c:pt>
              </c:numCache>
            </c:numRef>
          </c:val>
          <c:smooth val="0"/>
          <c:extLst>
            <c:ext xmlns:c16="http://schemas.microsoft.com/office/drawing/2014/chart" uri="{C3380CC4-5D6E-409C-BE32-E72D297353CC}">
              <c16:uniqueId val="{00000001-9266-4E20-B52E-C113B561F2CE}"/>
            </c:ext>
          </c:extLst>
        </c:ser>
        <c:dLbls>
          <c:showLegendKey val="0"/>
          <c:showVal val="0"/>
          <c:showCatName val="0"/>
          <c:showSerName val="0"/>
          <c:showPercent val="0"/>
          <c:showBubbleSize val="0"/>
        </c:dLbls>
        <c:smooth val="0"/>
        <c:axId val="211425921"/>
        <c:axId val="1670652645"/>
      </c:lineChart>
      <c:catAx>
        <c:axId val="211425921"/>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670652645"/>
        <c:crosses val="autoZero"/>
        <c:auto val="1"/>
        <c:lblAlgn val="ctr"/>
        <c:lblOffset val="100"/>
        <c:noMultiLvlLbl val="1"/>
      </c:catAx>
      <c:valAx>
        <c:axId val="16706526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211425921"/>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(O&amp;G Upstream)'!$B$239</c:f>
              <c:strCache>
                <c:ptCount val="1"/>
                <c:pt idx="0">
                  <c:v>Oil ($million)</c:v>
                </c:pt>
              </c:strCache>
            </c:strRef>
          </c:tx>
          <c:marker>
            <c:symbol val="none"/>
          </c:marker>
          <c:val>
            <c:numRef>
              <c:f>'Assumptions (O&amp;G Upstream)'!$C$239:$J$239</c:f>
              <c:numCache>
                <c:formatCode>"$"#,##0.00</c:formatCode>
                <c:ptCount val="8"/>
                <c:pt idx="0">
                  <c:v>0.59340000000000004</c:v>
                </c:pt>
                <c:pt idx="1">
                  <c:v>0.72909999999999997</c:v>
                </c:pt>
                <c:pt idx="2">
                  <c:v>0.88280000000000003</c:v>
                </c:pt>
                <c:pt idx="3">
                  <c:v>1.0373000000000001</c:v>
                </c:pt>
                <c:pt idx="4">
                  <c:v>1.4418</c:v>
                </c:pt>
                <c:pt idx="5">
                  <c:v>1.9204000000000001</c:v>
                </c:pt>
                <c:pt idx="6">
                  <c:v>2.2385999999999999</c:v>
                </c:pt>
                <c:pt idx="7">
                  <c:v>4.0004</c:v>
                </c:pt>
              </c:numCache>
            </c:numRef>
          </c:val>
          <c:smooth val="0"/>
          <c:extLst>
            <c:ext xmlns:c16="http://schemas.microsoft.com/office/drawing/2014/chart" uri="{C3380CC4-5D6E-409C-BE32-E72D297353CC}">
              <c16:uniqueId val="{00000000-AAC8-4C39-B663-7E075093B217}"/>
            </c:ext>
          </c:extLst>
        </c:ser>
        <c:ser>
          <c:idx val="1"/>
          <c:order val="1"/>
          <c:tx>
            <c:strRef>
              <c:f>'Assumptions (O&amp;G Upstream)'!$B$240</c:f>
              <c:strCache>
                <c:ptCount val="1"/>
                <c:pt idx="0">
                  <c:v>Gas ($million)</c:v>
                </c:pt>
              </c:strCache>
            </c:strRef>
          </c:tx>
          <c:marker>
            <c:symbol val="none"/>
          </c:marker>
          <c:val>
            <c:numRef>
              <c:f>'Assumptions (O&amp;G Upstream)'!$C$240:$J$240</c:f>
              <c:numCache>
                <c:formatCode>"$"#,##0.00</c:formatCode>
                <c:ptCount val="8"/>
                <c:pt idx="0">
                  <c:v>0.75690000000000002</c:v>
                </c:pt>
                <c:pt idx="1">
                  <c:v>0.89649999999999996</c:v>
                </c:pt>
                <c:pt idx="2">
                  <c:v>0.9919</c:v>
                </c:pt>
                <c:pt idx="3">
                  <c:v>1.1060000000000001</c:v>
                </c:pt>
                <c:pt idx="4">
                  <c:v>1.7163999999999999</c:v>
                </c:pt>
                <c:pt idx="5">
                  <c:v>1.4976</c:v>
                </c:pt>
                <c:pt idx="6">
                  <c:v>1.9361999999999999</c:v>
                </c:pt>
                <c:pt idx="7">
                  <c:v>3.9068999999999998</c:v>
                </c:pt>
              </c:numCache>
            </c:numRef>
          </c:val>
          <c:smooth val="0"/>
          <c:extLst>
            <c:ext xmlns:c16="http://schemas.microsoft.com/office/drawing/2014/chart" uri="{C3380CC4-5D6E-409C-BE32-E72D297353CC}">
              <c16:uniqueId val="{00000001-AAC8-4C39-B663-7E075093B217}"/>
            </c:ext>
          </c:extLst>
        </c:ser>
        <c:ser>
          <c:idx val="2"/>
          <c:order val="2"/>
          <c:tx>
            <c:strRef>
              <c:f>'Assumptions (O&amp;G Upstream)'!$B$241</c:f>
              <c:strCache>
                <c:ptCount val="1"/>
                <c:pt idx="0">
                  <c:v>Dry ($million)</c:v>
                </c:pt>
              </c:strCache>
            </c:strRef>
          </c:tx>
          <c:marker>
            <c:symbol val="none"/>
          </c:marker>
          <c:val>
            <c:numRef>
              <c:f>'Assumptions (O&amp;G Upstream)'!$C$241:$J$241</c:f>
              <c:numCache>
                <c:formatCode>"$"#,##0.00</c:formatCode>
                <c:ptCount val="8"/>
                <c:pt idx="0">
                  <c:v>1.0753999999999999</c:v>
                </c:pt>
                <c:pt idx="1">
                  <c:v>1.6204000000000001</c:v>
                </c:pt>
                <c:pt idx="2">
                  <c:v>1.6734</c:v>
                </c:pt>
                <c:pt idx="3">
                  <c:v>2.0651000000000002</c:v>
                </c:pt>
                <c:pt idx="4">
                  <c:v>1.9773000000000001</c:v>
                </c:pt>
                <c:pt idx="5">
                  <c:v>2.3929</c:v>
                </c:pt>
                <c:pt idx="6">
                  <c:v>2.6646000000000001</c:v>
                </c:pt>
                <c:pt idx="7">
                  <c:v>6.1311999999999998</c:v>
                </c:pt>
              </c:numCache>
            </c:numRef>
          </c:val>
          <c:smooth val="0"/>
          <c:extLst>
            <c:ext xmlns:c16="http://schemas.microsoft.com/office/drawing/2014/chart" uri="{C3380CC4-5D6E-409C-BE32-E72D297353CC}">
              <c16:uniqueId val="{00000002-AAC8-4C39-B663-7E075093B217}"/>
            </c:ext>
          </c:extLst>
        </c:ser>
        <c:dLbls>
          <c:showLegendKey val="0"/>
          <c:showVal val="0"/>
          <c:showCatName val="0"/>
          <c:showSerName val="0"/>
          <c:showPercent val="0"/>
          <c:showBubbleSize val="0"/>
        </c:dLbls>
        <c:smooth val="0"/>
        <c:axId val="271482030"/>
        <c:axId val="858779562"/>
      </c:lineChart>
      <c:catAx>
        <c:axId val="271482030"/>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b="0">
                <a:solidFill>
                  <a:srgbClr val="000000"/>
                </a:solidFill>
                <a:latin typeface="Roboto"/>
              </a:defRPr>
            </a:pPr>
            <a:endParaRPr lang="en-US"/>
          </a:p>
        </c:txPr>
        <c:crossAx val="858779562"/>
        <c:crosses val="autoZero"/>
        <c:auto val="1"/>
        <c:lblAlgn val="ctr"/>
        <c:lblOffset val="100"/>
        <c:noMultiLvlLbl val="1"/>
      </c:catAx>
      <c:valAx>
        <c:axId val="8587795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271482030"/>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(O&amp;G Upstream)'!$B$241</c:f>
              <c:strCache>
                <c:ptCount val="1"/>
                <c:pt idx="0">
                  <c:v>Dry ($million)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(O&amp;G Upstream)'!$C$242:$J$242</c:f>
              <c:numCache>
                <c:formatCode>"$"#,##0</c:formatCode>
                <c:ptCount val="8"/>
                <c:pt idx="0">
                  <c:v>30.30083333</c:v>
                </c:pt>
                <c:pt idx="1">
                  <c:v>25.947500000000002</c:v>
                </c:pt>
                <c:pt idx="2">
                  <c:v>26.114999999999998</c:v>
                </c:pt>
                <c:pt idx="3">
                  <c:v>31.12083333</c:v>
                </c:pt>
                <c:pt idx="4">
                  <c:v>41.443333330000002</c:v>
                </c:pt>
                <c:pt idx="5">
                  <c:v>56.4925</c:v>
                </c:pt>
                <c:pt idx="6">
                  <c:v>66.018333330000004</c:v>
                </c:pt>
                <c:pt idx="7">
                  <c:v>72.318333330000002</c:v>
                </c:pt>
              </c:numCache>
            </c:numRef>
          </c:xVal>
          <c:yVal>
            <c:numRef>
              <c:f>'Assumptions (O&amp;G Upstream)'!$C$241:$J$241</c:f>
              <c:numCache>
                <c:formatCode>"$"#,##0.00</c:formatCode>
                <c:ptCount val="8"/>
                <c:pt idx="0">
                  <c:v>1.0753999999999999</c:v>
                </c:pt>
                <c:pt idx="1">
                  <c:v>1.6204000000000001</c:v>
                </c:pt>
                <c:pt idx="2">
                  <c:v>1.6734</c:v>
                </c:pt>
                <c:pt idx="3">
                  <c:v>2.0651000000000002</c:v>
                </c:pt>
                <c:pt idx="4">
                  <c:v>1.9773000000000001</c:v>
                </c:pt>
                <c:pt idx="5">
                  <c:v>2.3929</c:v>
                </c:pt>
                <c:pt idx="6">
                  <c:v>2.6646000000000001</c:v>
                </c:pt>
                <c:pt idx="7">
                  <c:v>6.1311999999999998</c:v>
                </c:pt>
              </c:numCache>
            </c:numRef>
          </c:yVal>
          <c:smooth val="1"/>
          <c:extLst>
            <c:ext xmlns:c16="http://schemas.microsoft.com/office/drawing/2014/chart" uri="{C3380CC4-5D6E-409C-BE32-E72D297353CC}">
              <c16:uniqueId val="{00000000-AE42-4CE9-B744-E88659F0A58F}"/>
            </c:ext>
          </c:extLst>
        </c:ser>
        <c:dLbls>
          <c:showLegendKey val="0"/>
          <c:showVal val="0"/>
          <c:showCatName val="0"/>
          <c:showSerName val="0"/>
          <c:showPercent val="0"/>
          <c:showBubbleSize val="0"/>
        </c:dLbls>
        <c:axId val="87937570"/>
        <c:axId val="2084749202"/>
      </c:scatterChart>
      <c:valAx>
        <c:axId val="879375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Oil P</a:t>
                </a:r>
              </a:p>
            </c:rich>
          </c:tx>
          <c:overlay val="0"/>
        </c:title>
        <c:numFmt formatCode="&quot;$&quot;#,##0" sourceLinked="1"/>
        <c:majorTickMark val="none"/>
        <c:minorTickMark val="none"/>
        <c:tickLblPos val="nextTo"/>
        <c:spPr>
          <a:ln/>
        </c:spPr>
        <c:txPr>
          <a:bodyPr/>
          <a:lstStyle/>
          <a:p>
            <a:pPr lvl="0">
              <a:defRPr b="0">
                <a:solidFill>
                  <a:srgbClr val="000000"/>
                </a:solidFill>
                <a:latin typeface="Roboto"/>
              </a:defRPr>
            </a:pPr>
            <a:endParaRPr lang="en-US"/>
          </a:p>
        </c:txPr>
        <c:crossAx val="2084749202"/>
        <c:crosses val="autoZero"/>
        <c:crossBetween val="midCat"/>
      </c:valAx>
      <c:valAx>
        <c:axId val="2084749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Dry ($mil)</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87937570"/>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(O&amp;G Upstream)'!$B$239</c:f>
              <c:strCache>
                <c:ptCount val="1"/>
                <c:pt idx="0">
                  <c:v>Oil ($million)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(O&amp;G Upstream)'!$C$242:$J$242</c:f>
              <c:numCache>
                <c:formatCode>"$"#,##0</c:formatCode>
                <c:ptCount val="8"/>
                <c:pt idx="0">
                  <c:v>30.30083333</c:v>
                </c:pt>
                <c:pt idx="1">
                  <c:v>25.947500000000002</c:v>
                </c:pt>
                <c:pt idx="2">
                  <c:v>26.114999999999998</c:v>
                </c:pt>
                <c:pt idx="3">
                  <c:v>31.12083333</c:v>
                </c:pt>
                <c:pt idx="4">
                  <c:v>41.443333330000002</c:v>
                </c:pt>
                <c:pt idx="5">
                  <c:v>56.4925</c:v>
                </c:pt>
                <c:pt idx="6">
                  <c:v>66.018333330000004</c:v>
                </c:pt>
                <c:pt idx="7">
                  <c:v>72.318333330000002</c:v>
                </c:pt>
              </c:numCache>
            </c:numRef>
          </c:xVal>
          <c:yVal>
            <c:numRef>
              <c:f>'Assumptions (O&amp;G Upstream)'!$C$239:$J$239</c:f>
              <c:numCache>
                <c:formatCode>"$"#,##0.00</c:formatCode>
                <c:ptCount val="8"/>
                <c:pt idx="0">
                  <c:v>0.59340000000000004</c:v>
                </c:pt>
                <c:pt idx="1">
                  <c:v>0.72909999999999997</c:v>
                </c:pt>
                <c:pt idx="2">
                  <c:v>0.88280000000000003</c:v>
                </c:pt>
                <c:pt idx="3">
                  <c:v>1.0373000000000001</c:v>
                </c:pt>
                <c:pt idx="4">
                  <c:v>1.4418</c:v>
                </c:pt>
                <c:pt idx="5">
                  <c:v>1.9204000000000001</c:v>
                </c:pt>
                <c:pt idx="6">
                  <c:v>2.2385999999999999</c:v>
                </c:pt>
                <c:pt idx="7">
                  <c:v>4.0004</c:v>
                </c:pt>
              </c:numCache>
            </c:numRef>
          </c:yVal>
          <c:smooth val="1"/>
          <c:extLst>
            <c:ext xmlns:c16="http://schemas.microsoft.com/office/drawing/2014/chart" uri="{C3380CC4-5D6E-409C-BE32-E72D297353CC}">
              <c16:uniqueId val="{00000000-0BDD-44A0-84F3-C765950B9FF5}"/>
            </c:ext>
          </c:extLst>
        </c:ser>
        <c:dLbls>
          <c:showLegendKey val="0"/>
          <c:showVal val="0"/>
          <c:showCatName val="0"/>
          <c:showSerName val="0"/>
          <c:showPercent val="0"/>
          <c:showBubbleSize val="0"/>
        </c:dLbls>
        <c:axId val="1339170617"/>
        <c:axId val="1740649548"/>
      </c:scatterChart>
      <c:valAx>
        <c:axId val="13391706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Oil P</a:t>
                </a:r>
              </a:p>
            </c:rich>
          </c:tx>
          <c:overlay val="0"/>
        </c:title>
        <c:numFmt formatCode="&quot;$&quot;#,##0" sourceLinked="1"/>
        <c:majorTickMark val="none"/>
        <c:minorTickMark val="none"/>
        <c:tickLblPos val="nextTo"/>
        <c:spPr>
          <a:ln/>
        </c:spPr>
        <c:txPr>
          <a:bodyPr/>
          <a:lstStyle/>
          <a:p>
            <a:pPr lvl="0">
              <a:defRPr b="0">
                <a:solidFill>
                  <a:srgbClr val="000000"/>
                </a:solidFill>
                <a:latin typeface="Roboto"/>
              </a:defRPr>
            </a:pPr>
            <a:endParaRPr lang="en-US"/>
          </a:p>
        </c:txPr>
        <c:crossAx val="1740649548"/>
        <c:crosses val="autoZero"/>
        <c:crossBetween val="midCat"/>
      </c:valAx>
      <c:valAx>
        <c:axId val="17406495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Dry ($mil)</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339170617"/>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(O&amp;G Upstream)'!$B$240</c:f>
              <c:strCache>
                <c:ptCount val="1"/>
                <c:pt idx="0">
                  <c:v>Gas ($million)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(O&amp;G Upstream)'!$C$242:$J$242</c:f>
              <c:numCache>
                <c:formatCode>"$"#,##0</c:formatCode>
                <c:ptCount val="8"/>
                <c:pt idx="0">
                  <c:v>30.30083333</c:v>
                </c:pt>
                <c:pt idx="1">
                  <c:v>25.947500000000002</c:v>
                </c:pt>
                <c:pt idx="2">
                  <c:v>26.114999999999998</c:v>
                </c:pt>
                <c:pt idx="3">
                  <c:v>31.12083333</c:v>
                </c:pt>
                <c:pt idx="4">
                  <c:v>41.443333330000002</c:v>
                </c:pt>
                <c:pt idx="5">
                  <c:v>56.4925</c:v>
                </c:pt>
                <c:pt idx="6">
                  <c:v>66.018333330000004</c:v>
                </c:pt>
                <c:pt idx="7">
                  <c:v>72.318333330000002</c:v>
                </c:pt>
              </c:numCache>
            </c:numRef>
          </c:xVal>
          <c:yVal>
            <c:numRef>
              <c:f>'Assumptions (O&amp;G Upstream)'!$C$240:$J$240</c:f>
              <c:numCache>
                <c:formatCode>"$"#,##0.00</c:formatCode>
                <c:ptCount val="8"/>
                <c:pt idx="0">
                  <c:v>0.75690000000000002</c:v>
                </c:pt>
                <c:pt idx="1">
                  <c:v>0.89649999999999996</c:v>
                </c:pt>
                <c:pt idx="2">
                  <c:v>0.9919</c:v>
                </c:pt>
                <c:pt idx="3">
                  <c:v>1.1060000000000001</c:v>
                </c:pt>
                <c:pt idx="4">
                  <c:v>1.7163999999999999</c:v>
                </c:pt>
                <c:pt idx="5">
                  <c:v>1.4976</c:v>
                </c:pt>
                <c:pt idx="6">
                  <c:v>1.9361999999999999</c:v>
                </c:pt>
                <c:pt idx="7">
                  <c:v>3.9068999999999998</c:v>
                </c:pt>
              </c:numCache>
            </c:numRef>
          </c:yVal>
          <c:smooth val="1"/>
          <c:extLst>
            <c:ext xmlns:c16="http://schemas.microsoft.com/office/drawing/2014/chart" uri="{C3380CC4-5D6E-409C-BE32-E72D297353CC}">
              <c16:uniqueId val="{00000000-BE53-4414-8208-19E666D0E485}"/>
            </c:ext>
          </c:extLst>
        </c:ser>
        <c:dLbls>
          <c:showLegendKey val="0"/>
          <c:showVal val="0"/>
          <c:showCatName val="0"/>
          <c:showSerName val="0"/>
          <c:showPercent val="0"/>
          <c:showBubbleSize val="0"/>
        </c:dLbls>
        <c:axId val="59298863"/>
        <c:axId val="1784244933"/>
      </c:scatterChart>
      <c:valAx>
        <c:axId val="592988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Oil P</a:t>
                </a:r>
              </a:p>
            </c:rich>
          </c:tx>
          <c:overlay val="0"/>
        </c:title>
        <c:numFmt formatCode="&quot;$&quot;#,##0" sourceLinked="1"/>
        <c:majorTickMark val="none"/>
        <c:minorTickMark val="none"/>
        <c:tickLblPos val="nextTo"/>
        <c:spPr>
          <a:ln/>
        </c:spPr>
        <c:txPr>
          <a:bodyPr/>
          <a:lstStyle/>
          <a:p>
            <a:pPr lvl="0">
              <a:defRPr b="0">
                <a:solidFill>
                  <a:srgbClr val="000000"/>
                </a:solidFill>
                <a:latin typeface="Roboto"/>
              </a:defRPr>
            </a:pPr>
            <a:endParaRPr lang="en-US"/>
          </a:p>
        </c:txPr>
        <c:crossAx val="1784244933"/>
        <c:crosses val="autoZero"/>
        <c:crossBetween val="midCat"/>
      </c:valAx>
      <c:valAx>
        <c:axId val="1784244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Dry ($mil)</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59298863"/>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All wells ($million)</a:t>
            </a:r>
          </a:p>
        </c:rich>
      </c:tx>
      <c:overlay val="0"/>
    </c:title>
    <c:autoTitleDeleted val="0"/>
    <c:plotArea>
      <c:layout/>
      <c:lineChart>
        <c:grouping val="standard"/>
        <c:varyColors val="1"/>
        <c:ser>
          <c:idx val="0"/>
          <c:order val="0"/>
          <c:tx>
            <c:strRef>
              <c:f>'Assumptions (O&amp;G Upstream)'!$B$238</c:f>
              <c:strCache>
                <c:ptCount val="1"/>
                <c:pt idx="0">
                  <c:v>All wells ($million)</c:v>
                </c:pt>
              </c:strCache>
            </c:strRef>
          </c:tx>
          <c:marker>
            <c:symbol val="none"/>
          </c:marker>
          <c:cat>
            <c:numRef>
              <c:f>'Assumptions (O&amp;G Upstream)'!$C$237:$S$237</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(O&amp;G Upstream)'!$C$238:$S$238</c:f>
              <c:numCache>
                <c:formatCode>"$"#,##0.00</c:formatCode>
                <c:ptCount val="17"/>
                <c:pt idx="0">
                  <c:v>0.75460000000000005</c:v>
                </c:pt>
                <c:pt idx="1">
                  <c:v>0.94320000000000004</c:v>
                </c:pt>
                <c:pt idx="2">
                  <c:v>1.0542</c:v>
                </c:pt>
                <c:pt idx="3">
                  <c:v>1.1995</c:v>
                </c:pt>
                <c:pt idx="4">
                  <c:v>1.6731</c:v>
                </c:pt>
                <c:pt idx="5">
                  <c:v>1.7206999999999999</c:v>
                </c:pt>
                <c:pt idx="6">
                  <c:v>2.1017000000000001</c:v>
                </c:pt>
                <c:pt idx="7">
                  <c:v>4.1717000000000004</c:v>
                </c:pt>
                <c:pt idx="11">
                  <c:v>2.8260869565217392</c:v>
                </c:pt>
                <c:pt idx="12">
                  <c:v>3.2886853817185897</c:v>
                </c:pt>
                <c:pt idx="13">
                  <c:v>3.2793800928084549</c:v>
                </c:pt>
                <c:pt idx="14">
                  <c:v>3.6288934778867663</c:v>
                </c:pt>
                <c:pt idx="15">
                  <c:v>4.2625568398764271</c:v>
                </c:pt>
                <c:pt idx="16">
                  <c:v>4.2508857688896535</c:v>
                </c:pt>
              </c:numCache>
            </c:numRef>
          </c:val>
          <c:smooth val="0"/>
          <c:extLst>
            <c:ext xmlns:c16="http://schemas.microsoft.com/office/drawing/2014/chart" uri="{C3380CC4-5D6E-409C-BE32-E72D297353CC}">
              <c16:uniqueId val="{00000000-B3EF-4921-A02C-5631F4F880F6}"/>
            </c:ext>
          </c:extLst>
        </c:ser>
        <c:ser>
          <c:idx val="1"/>
          <c:order val="1"/>
          <c:tx>
            <c:strRef>
              <c:f>'Assumptions (O&amp;G Upstream)'!$B$254</c:f>
              <c:strCache>
                <c:ptCount val="1"/>
                <c:pt idx="0">
                  <c:v>IHS applied to JAS All Wells</c:v>
                </c:pt>
              </c:strCache>
            </c:strRef>
          </c:tx>
          <c:marker>
            <c:symbol val="none"/>
          </c:marker>
          <c:cat>
            <c:numRef>
              <c:f>'Assumptions (O&amp;G Upstream)'!$C$237:$S$237</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(O&amp;G Upstream)'!$C$254:$U$254</c:f>
              <c:numCache>
                <c:formatCode>"$"#,##0.00</c:formatCode>
                <c:ptCount val="19"/>
                <c:pt idx="1">
                  <c:v>0.77818125000000005</c:v>
                </c:pt>
                <c:pt idx="2">
                  <c:v>0.75460000000000005</c:v>
                </c:pt>
                <c:pt idx="3">
                  <c:v>0.80176250000000004</c:v>
                </c:pt>
                <c:pt idx="4">
                  <c:v>0.93381750000000008</c:v>
                </c:pt>
                <c:pt idx="5">
                  <c:v>0.99984499999999998</c:v>
                </c:pt>
                <c:pt idx="6">
                  <c:v>1.2733875000000001</c:v>
                </c:pt>
                <c:pt idx="7">
                  <c:v>1.3677125000000001</c:v>
                </c:pt>
                <c:pt idx="8">
                  <c:v>1.4526050000000001</c:v>
                </c:pt>
                <c:pt idx="9">
                  <c:v>1.2733875000000001</c:v>
                </c:pt>
                <c:pt idx="10">
                  <c:v>1.3205500000000001</c:v>
                </c:pt>
                <c:pt idx="11">
                  <c:v>1.4148750000000001</c:v>
                </c:pt>
                <c:pt idx="12">
                  <c:v>1.43845625</c:v>
                </c:pt>
                <c:pt idx="13">
                  <c:v>1.4620375000000001</c:v>
                </c:pt>
                <c:pt idx="14">
                  <c:v>1.3677125000000001</c:v>
                </c:pt>
                <c:pt idx="15">
                  <c:v>1.2733875000000001</c:v>
                </c:pt>
                <c:pt idx="16">
                  <c:v>1.1790625000000001</c:v>
                </c:pt>
                <c:pt idx="17">
                  <c:v>1.20264375</c:v>
                </c:pt>
                <c:pt idx="18">
                  <c:v>1.24509</c:v>
                </c:pt>
              </c:numCache>
            </c:numRef>
          </c:val>
          <c:smooth val="0"/>
          <c:extLst>
            <c:ext xmlns:c16="http://schemas.microsoft.com/office/drawing/2014/chart" uri="{C3380CC4-5D6E-409C-BE32-E72D297353CC}">
              <c16:uniqueId val="{00000001-B3EF-4921-A02C-5631F4F880F6}"/>
            </c:ext>
          </c:extLst>
        </c:ser>
        <c:ser>
          <c:idx val="2"/>
          <c:order val="2"/>
          <c:tx>
            <c:strRef>
              <c:f>'Assumptions (O&amp;G Upstream)'!$B$256</c:f>
              <c:strCache>
                <c:ptCount val="1"/>
                <c:pt idx="0">
                  <c:v>BLS applied to JAS All Wells</c:v>
                </c:pt>
              </c:strCache>
            </c:strRef>
          </c:tx>
          <c:marker>
            <c:symbol val="none"/>
          </c:marker>
          <c:cat>
            <c:numRef>
              <c:f>'Assumptions (O&amp;G Upstream)'!$C$237:$S$237</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(O&amp;G Upstream)'!$C$256:$S$256</c:f>
              <c:numCache>
                <c:formatCode>"$"#,##0.00</c:formatCode>
                <c:ptCount val="17"/>
                <c:pt idx="1">
                  <c:v>0.95918751401133351</c:v>
                </c:pt>
                <c:pt idx="2">
                  <c:v>0.83646208983607562</c:v>
                </c:pt>
                <c:pt idx="3">
                  <c:v>0.83550649698932711</c:v>
                </c:pt>
                <c:pt idx="4">
                  <c:v>0.91841591658543897</c:v>
                </c:pt>
                <c:pt idx="5">
                  <c:v>1.4337988099140542</c:v>
                </c:pt>
                <c:pt idx="6">
                  <c:v>2.0942499802810155</c:v>
                </c:pt>
                <c:pt idx="7">
                  <c:v>1.9896808201939771</c:v>
                </c:pt>
                <c:pt idx="8">
                  <c:v>2.0269036188135758</c:v>
                </c:pt>
                <c:pt idx="9">
                  <c:v>1.8016108650519533</c:v>
                </c:pt>
                <c:pt idx="10">
                  <c:v>1.7753549959946946</c:v>
                </c:pt>
                <c:pt idx="11">
                  <c:v>1.9762571979359107</c:v>
                </c:pt>
                <c:pt idx="12">
                  <c:v>2.143121728729005</c:v>
                </c:pt>
                <c:pt idx="13">
                  <c:v>2.3851142412447346</c:v>
                </c:pt>
                <c:pt idx="14">
                  <c:v>2.4904114718901353</c:v>
                </c:pt>
                <c:pt idx="15">
                  <c:v>2.04515070954464</c:v>
                </c:pt>
                <c:pt idx="16">
                  <c:v>1.7037308548921535</c:v>
                </c:pt>
              </c:numCache>
            </c:numRef>
          </c:val>
          <c:smooth val="0"/>
          <c:extLst>
            <c:ext xmlns:c16="http://schemas.microsoft.com/office/drawing/2014/chart" uri="{C3380CC4-5D6E-409C-BE32-E72D297353CC}">
              <c16:uniqueId val="{00000002-B3EF-4921-A02C-5631F4F880F6}"/>
            </c:ext>
          </c:extLst>
        </c:ser>
        <c:dLbls>
          <c:showLegendKey val="0"/>
          <c:showVal val="0"/>
          <c:showCatName val="0"/>
          <c:showSerName val="0"/>
          <c:showPercent val="0"/>
          <c:showBubbleSize val="0"/>
        </c:dLbls>
        <c:smooth val="0"/>
        <c:axId val="117344731"/>
        <c:axId val="727735850"/>
      </c:lineChart>
      <c:catAx>
        <c:axId val="117344731"/>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727735850"/>
        <c:crosses val="autoZero"/>
        <c:auto val="1"/>
        <c:lblAlgn val="ctr"/>
        <c:lblOffset val="100"/>
        <c:noMultiLvlLbl val="1"/>
      </c:catAx>
      <c:valAx>
        <c:axId val="727735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All wells ($million)</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17344731"/>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CAPEX</a:t>
            </a:r>
          </a:p>
        </c:rich>
      </c:tx>
      <c:overlay val="0"/>
    </c:title>
    <c:autoTitleDeleted val="0"/>
    <c:plotArea>
      <c:layout/>
      <c:lineChart>
        <c:grouping val="standard"/>
        <c:varyColors val="1"/>
        <c:ser>
          <c:idx val="0"/>
          <c:order val="0"/>
          <c:tx>
            <c:strRef>
              <c:f>'Assumptions (O&amp;G Upstream)'!$B$305</c:f>
              <c:strCache>
                <c:ptCount val="1"/>
                <c:pt idx="0">
                  <c:v>BEA Investment in fixed assets ($billion)</c:v>
                </c:pt>
              </c:strCache>
            </c:strRef>
          </c:tx>
          <c:marker>
            <c:symbol val="none"/>
          </c:marker>
          <c:cat>
            <c:numRef>
              <c:f>'Assumptions (O&amp;G Upstream)'!$C$304:$U$304</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Upstream)'!$C$305:$T$305</c:f>
              <c:numCache>
                <c:formatCode>"$"#,##0.0</c:formatCode>
                <c:ptCount val="18"/>
                <c:pt idx="0">
                  <c:v>31.1</c:v>
                </c:pt>
                <c:pt idx="1">
                  <c:v>41.7</c:v>
                </c:pt>
                <c:pt idx="2">
                  <c:v>33.799999999999997</c:v>
                </c:pt>
                <c:pt idx="3">
                  <c:v>44.7</c:v>
                </c:pt>
                <c:pt idx="4">
                  <c:v>51.7</c:v>
                </c:pt>
                <c:pt idx="5">
                  <c:v>71.7</c:v>
                </c:pt>
                <c:pt idx="6">
                  <c:v>98.8</c:v>
                </c:pt>
                <c:pt idx="7">
                  <c:v>108.1</c:v>
                </c:pt>
                <c:pt idx="8">
                  <c:v>125.3</c:v>
                </c:pt>
                <c:pt idx="9">
                  <c:v>87.2</c:v>
                </c:pt>
                <c:pt idx="10">
                  <c:v>103.1</c:v>
                </c:pt>
                <c:pt idx="11">
                  <c:v>130.19999999999999</c:v>
                </c:pt>
                <c:pt idx="12">
                  <c:v>162.69999999999999</c:v>
                </c:pt>
                <c:pt idx="13">
                  <c:v>170.6</c:v>
                </c:pt>
                <c:pt idx="14">
                  <c:v>203.9</c:v>
                </c:pt>
                <c:pt idx="15">
                  <c:v>149.6</c:v>
                </c:pt>
                <c:pt idx="16">
                  <c:v>79.900000000000006</c:v>
                </c:pt>
                <c:pt idx="17">
                  <c:v>112.3</c:v>
                </c:pt>
              </c:numCache>
            </c:numRef>
          </c:val>
          <c:smooth val="0"/>
          <c:extLst>
            <c:ext xmlns:c16="http://schemas.microsoft.com/office/drawing/2014/chart" uri="{C3380CC4-5D6E-409C-BE32-E72D297353CC}">
              <c16:uniqueId val="{00000000-9C50-44FE-8C84-06CBB56F5057}"/>
            </c:ext>
          </c:extLst>
        </c:ser>
        <c:ser>
          <c:idx val="2"/>
          <c:order val="2"/>
          <c:tx>
            <c:strRef>
              <c:f>'Assumptions (O&amp;G Upstream)'!$B$309</c:f>
              <c:strCache>
                <c:ptCount val="1"/>
                <c:pt idx="0">
                  <c:v>Cushing OK WTI Spot Price FOB ($/bbl)</c:v>
                </c:pt>
              </c:strCache>
            </c:strRef>
          </c:tx>
          <c:marker>
            <c:symbol val="none"/>
          </c:marker>
          <c:cat>
            <c:numRef>
              <c:f>'Assumptions (O&amp;G Upstream)'!$C$304:$U$304</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Upstream)'!$C$309:$T$309</c:f>
              <c:numCache>
                <c:formatCode>"$"#,##0</c:formatCode>
                <c:ptCount val="18"/>
                <c:pt idx="0">
                  <c:v>30.30083333</c:v>
                </c:pt>
                <c:pt idx="1">
                  <c:v>25.947500000000002</c:v>
                </c:pt>
                <c:pt idx="2">
                  <c:v>26.114999999999998</c:v>
                </c:pt>
                <c:pt idx="3">
                  <c:v>31.12083333</c:v>
                </c:pt>
                <c:pt idx="4">
                  <c:v>41.443333330000002</c:v>
                </c:pt>
                <c:pt idx="5">
                  <c:v>56.4925</c:v>
                </c:pt>
                <c:pt idx="6">
                  <c:v>66.018333330000004</c:v>
                </c:pt>
                <c:pt idx="7">
                  <c:v>72.318333330000002</c:v>
                </c:pt>
                <c:pt idx="8">
                  <c:v>99.571666669999999</c:v>
                </c:pt>
                <c:pt idx="9">
                  <c:v>61.654166670000002</c:v>
                </c:pt>
                <c:pt idx="10">
                  <c:v>79.394999999999996</c:v>
                </c:pt>
                <c:pt idx="11">
                  <c:v>94.874166669999994</c:v>
                </c:pt>
                <c:pt idx="12">
                  <c:v>94.110833330000006</c:v>
                </c:pt>
                <c:pt idx="13">
                  <c:v>97.905833329999993</c:v>
                </c:pt>
                <c:pt idx="14">
                  <c:v>93.258333329999999</c:v>
                </c:pt>
                <c:pt idx="15">
                  <c:v>48.688333329999999</c:v>
                </c:pt>
                <c:pt idx="16">
                  <c:v>43.144166669999997</c:v>
                </c:pt>
                <c:pt idx="17">
                  <c:v>50.884166669999999</c:v>
                </c:pt>
              </c:numCache>
            </c:numRef>
          </c:val>
          <c:smooth val="0"/>
          <c:extLst>
            <c:ext xmlns:c16="http://schemas.microsoft.com/office/drawing/2014/chart" uri="{C3380CC4-5D6E-409C-BE32-E72D297353CC}">
              <c16:uniqueId val="{00000001-9C50-44FE-8C84-06CBB56F5057}"/>
            </c:ext>
          </c:extLst>
        </c:ser>
        <c:ser>
          <c:idx val="3"/>
          <c:order val="3"/>
          <c:tx>
            <c:strRef>
              <c:f>'Assumptions (O&amp;G Upstream)'!$B$300</c:f>
              <c:strCache>
                <c:ptCount val="1"/>
                <c:pt idx="0">
                  <c:v>Upstream CAPEX ($billion)</c:v>
                </c:pt>
              </c:strCache>
            </c:strRef>
          </c:tx>
          <c:marker>
            <c:symbol val="none"/>
          </c:marker>
          <c:cat>
            <c:numRef>
              <c:f>'Assumptions (O&amp;G Upstream)'!$C$304:$U$304</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Upstream)'!$C$300:$U$300</c:f>
              <c:numCache>
                <c:formatCode>"$"#,##0.00</c:formatCode>
                <c:ptCount val="19"/>
                <c:pt idx="0">
                  <c:v>22.165116300000001</c:v>
                </c:pt>
                <c:pt idx="1">
                  <c:v>33.718387999999997</c:v>
                </c:pt>
                <c:pt idx="2">
                  <c:v>29.4644434</c:v>
                </c:pt>
                <c:pt idx="3">
                  <c:v>39.573971900000004</c:v>
                </c:pt>
                <c:pt idx="4">
                  <c:v>62.256169199999995</c:v>
                </c:pt>
                <c:pt idx="5">
                  <c:v>74.650539300000005</c:v>
                </c:pt>
                <c:pt idx="6">
                  <c:v>107.41650419999999</c:v>
                </c:pt>
                <c:pt idx="7">
                  <c:v>211.8587167</c:v>
                </c:pt>
                <c:pt idx="11">
                  <c:v>124.8</c:v>
                </c:pt>
                <c:pt idx="12">
                  <c:v>153.69999999999999</c:v>
                </c:pt>
                <c:pt idx="13">
                  <c:v>147.69999999999999</c:v>
                </c:pt>
                <c:pt idx="14">
                  <c:v>168.7</c:v>
                </c:pt>
                <c:pt idx="15">
                  <c:v>122.8</c:v>
                </c:pt>
                <c:pt idx="16">
                  <c:v>67.599999999999994</c:v>
                </c:pt>
              </c:numCache>
            </c:numRef>
          </c:val>
          <c:smooth val="0"/>
          <c:extLst>
            <c:ext xmlns:c16="http://schemas.microsoft.com/office/drawing/2014/chart" uri="{C3380CC4-5D6E-409C-BE32-E72D297353CC}">
              <c16:uniqueId val="{00000002-9C50-44FE-8C84-06CBB56F5057}"/>
            </c:ext>
          </c:extLst>
        </c:ser>
        <c:dLbls>
          <c:showLegendKey val="0"/>
          <c:showVal val="0"/>
          <c:showCatName val="0"/>
          <c:showSerName val="0"/>
          <c:showPercent val="0"/>
          <c:showBubbleSize val="0"/>
        </c:dLbls>
        <c:marker val="1"/>
        <c:smooth val="0"/>
        <c:axId val="318616326"/>
        <c:axId val="470753064"/>
      </c:lineChart>
      <c:lineChart>
        <c:grouping val="standard"/>
        <c:varyColors val="0"/>
        <c:ser>
          <c:idx val="1"/>
          <c:order val="1"/>
          <c:tx>
            <c:strRef>
              <c:f>'Assumptions (O&amp;G Upstream)'!$B$306</c:f>
              <c:strCache>
                <c:ptCount val="1"/>
                <c:pt idx="0">
                  <c:v>oil &amp; gas extraction</c:v>
                </c:pt>
              </c:strCache>
            </c:strRef>
          </c:tx>
          <c:marker>
            <c:symbol val="none"/>
          </c:marker>
          <c:cat>
            <c:numRef>
              <c:f>'Assumptions (O&amp;G Upstream)'!$C$304:$U$304</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'Assumptions (O&amp;G Upstream)'!$C$306:$T$306</c:f>
              <c:numCache>
                <c:formatCode>General</c:formatCode>
                <c:ptCount val="18"/>
              </c:numCache>
            </c:numRef>
          </c:val>
          <c:smooth val="0"/>
          <c:extLst>
            <c:ext xmlns:c16="http://schemas.microsoft.com/office/drawing/2014/chart" uri="{C3380CC4-5D6E-409C-BE32-E72D297353CC}">
              <c16:uniqueId val="{00000003-9C50-44FE-8C84-06CBB56F5057}"/>
            </c:ext>
          </c:extLst>
        </c:ser>
        <c:dLbls>
          <c:showLegendKey val="0"/>
          <c:showVal val="0"/>
          <c:showCatName val="0"/>
          <c:showSerName val="0"/>
          <c:showPercent val="0"/>
          <c:showBubbleSize val="0"/>
        </c:dLbls>
        <c:marker val="1"/>
        <c:smooth val="0"/>
        <c:axId val="1635164611"/>
        <c:axId val="1923982012"/>
      </c:lineChart>
      <c:catAx>
        <c:axId val="31861632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470753064"/>
        <c:crosses val="autoZero"/>
        <c:auto val="1"/>
        <c:lblAlgn val="ctr"/>
        <c:lblOffset val="100"/>
        <c:noMultiLvlLbl val="1"/>
      </c:catAx>
      <c:valAx>
        <c:axId val="470753064"/>
        <c:scaling>
          <c:orientation val="minMax"/>
          <c:max val="2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Investment ($billion)</a:t>
                </a:r>
              </a:p>
            </c:rich>
          </c:tx>
          <c:overlay val="0"/>
        </c:title>
        <c:numFmt formatCode="&quot;$&quot;#,##0.0" sourceLinked="1"/>
        <c:majorTickMark val="none"/>
        <c:minorTickMark val="none"/>
        <c:tickLblPos val="nextTo"/>
        <c:spPr>
          <a:ln/>
        </c:spPr>
        <c:txPr>
          <a:bodyPr/>
          <a:lstStyle/>
          <a:p>
            <a:pPr lvl="0">
              <a:defRPr b="0">
                <a:solidFill>
                  <a:srgbClr val="000000"/>
                </a:solidFill>
                <a:latin typeface="Roboto"/>
              </a:defRPr>
            </a:pPr>
            <a:endParaRPr lang="en-US"/>
          </a:p>
        </c:txPr>
        <c:crossAx val="318616326"/>
        <c:crosses val="autoZero"/>
        <c:crossBetween val="between"/>
      </c:valAx>
      <c:catAx>
        <c:axId val="1635164611"/>
        <c:scaling>
          <c:orientation val="minMax"/>
        </c:scaling>
        <c:delete val="1"/>
        <c:axPos val="b"/>
        <c:numFmt formatCode="General" sourceLinked="1"/>
        <c:majorTickMark val="none"/>
        <c:minorTickMark val="none"/>
        <c:tickLblPos val="nextTo"/>
        <c:crossAx val="1923982012"/>
        <c:crosses val="autoZero"/>
        <c:auto val="1"/>
        <c:lblAlgn val="ctr"/>
        <c:lblOffset val="100"/>
        <c:noMultiLvlLbl val="1"/>
      </c:catAx>
      <c:valAx>
        <c:axId val="192398201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635164611"/>
        <c:crosses val="max"/>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(O&amp;G Upstream)'!$B$305</c:f>
              <c:strCache>
                <c:ptCount val="1"/>
                <c:pt idx="0">
                  <c:v>BEA Investment in fixed assets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(O&amp;G Upstream)'!$C$309:$T$309</c:f>
              <c:numCache>
                <c:formatCode>"$"#,##0</c:formatCode>
                <c:ptCount val="18"/>
                <c:pt idx="0">
                  <c:v>30.30083333</c:v>
                </c:pt>
                <c:pt idx="1">
                  <c:v>25.947500000000002</c:v>
                </c:pt>
                <c:pt idx="2">
                  <c:v>26.114999999999998</c:v>
                </c:pt>
                <c:pt idx="3">
                  <c:v>31.12083333</c:v>
                </c:pt>
                <c:pt idx="4">
                  <c:v>41.443333330000002</c:v>
                </c:pt>
                <c:pt idx="5">
                  <c:v>56.4925</c:v>
                </c:pt>
                <c:pt idx="6">
                  <c:v>66.018333330000004</c:v>
                </c:pt>
                <c:pt idx="7">
                  <c:v>72.318333330000002</c:v>
                </c:pt>
                <c:pt idx="8">
                  <c:v>99.571666669999999</c:v>
                </c:pt>
                <c:pt idx="9">
                  <c:v>61.654166670000002</c:v>
                </c:pt>
                <c:pt idx="10">
                  <c:v>79.394999999999996</c:v>
                </c:pt>
                <c:pt idx="11">
                  <c:v>94.874166669999994</c:v>
                </c:pt>
                <c:pt idx="12">
                  <c:v>94.110833330000006</c:v>
                </c:pt>
                <c:pt idx="13">
                  <c:v>97.905833329999993</c:v>
                </c:pt>
                <c:pt idx="14">
                  <c:v>93.258333329999999</c:v>
                </c:pt>
                <c:pt idx="15">
                  <c:v>48.688333329999999</c:v>
                </c:pt>
                <c:pt idx="16">
                  <c:v>43.144166669999997</c:v>
                </c:pt>
                <c:pt idx="17">
                  <c:v>50.884166669999999</c:v>
                </c:pt>
              </c:numCache>
            </c:numRef>
          </c:xVal>
          <c:yVal>
            <c:numRef>
              <c:f>'Assumptions (O&amp;G Upstream)'!$C$305:$T$305</c:f>
              <c:numCache>
                <c:formatCode>"$"#,##0.0</c:formatCode>
                <c:ptCount val="18"/>
                <c:pt idx="0">
                  <c:v>31.1</c:v>
                </c:pt>
                <c:pt idx="1">
                  <c:v>41.7</c:v>
                </c:pt>
                <c:pt idx="2">
                  <c:v>33.799999999999997</c:v>
                </c:pt>
                <c:pt idx="3">
                  <c:v>44.7</c:v>
                </c:pt>
                <c:pt idx="4">
                  <c:v>51.7</c:v>
                </c:pt>
                <c:pt idx="5">
                  <c:v>71.7</c:v>
                </c:pt>
                <c:pt idx="6">
                  <c:v>98.8</c:v>
                </c:pt>
                <c:pt idx="7">
                  <c:v>108.1</c:v>
                </c:pt>
                <c:pt idx="8">
                  <c:v>125.3</c:v>
                </c:pt>
                <c:pt idx="9">
                  <c:v>87.2</c:v>
                </c:pt>
                <c:pt idx="10">
                  <c:v>103.1</c:v>
                </c:pt>
                <c:pt idx="11">
                  <c:v>130.19999999999999</c:v>
                </c:pt>
                <c:pt idx="12">
                  <c:v>162.69999999999999</c:v>
                </c:pt>
                <c:pt idx="13">
                  <c:v>170.6</c:v>
                </c:pt>
                <c:pt idx="14">
                  <c:v>203.9</c:v>
                </c:pt>
                <c:pt idx="15">
                  <c:v>149.6</c:v>
                </c:pt>
                <c:pt idx="16">
                  <c:v>79.900000000000006</c:v>
                </c:pt>
                <c:pt idx="17">
                  <c:v>112.3</c:v>
                </c:pt>
              </c:numCache>
            </c:numRef>
          </c:yVal>
          <c:smooth val="1"/>
          <c:extLst>
            <c:ext xmlns:c16="http://schemas.microsoft.com/office/drawing/2014/chart" uri="{C3380CC4-5D6E-409C-BE32-E72D297353CC}">
              <c16:uniqueId val="{00000000-D8A6-42BF-982A-F71A346B9221}"/>
            </c:ext>
          </c:extLst>
        </c:ser>
        <c:dLbls>
          <c:showLegendKey val="0"/>
          <c:showVal val="0"/>
          <c:showCatName val="0"/>
          <c:showSerName val="0"/>
          <c:showPercent val="0"/>
          <c:showBubbleSize val="0"/>
        </c:dLbls>
        <c:axId val="1147741658"/>
        <c:axId val="1153210278"/>
      </c:scatterChart>
      <c:valAx>
        <c:axId val="11477416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Oil P</a:t>
                </a:r>
              </a:p>
            </c:rich>
          </c:tx>
          <c:overlay val="0"/>
        </c:title>
        <c:numFmt formatCode="&quot;$&quot;#,##0" sourceLinked="1"/>
        <c:majorTickMark val="none"/>
        <c:minorTickMark val="none"/>
        <c:tickLblPos val="nextTo"/>
        <c:spPr>
          <a:ln/>
        </c:spPr>
        <c:txPr>
          <a:bodyPr/>
          <a:lstStyle/>
          <a:p>
            <a:pPr lvl="0">
              <a:defRPr b="0">
                <a:solidFill>
                  <a:srgbClr val="000000"/>
                </a:solidFill>
                <a:latin typeface="Roboto"/>
              </a:defRPr>
            </a:pPr>
            <a:endParaRPr lang="en-US"/>
          </a:p>
        </c:txPr>
        <c:crossAx val="1153210278"/>
        <c:crosses val="autoZero"/>
        <c:crossBetween val="midCat"/>
      </c:valAx>
      <c:valAx>
        <c:axId val="11532102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CAPEX</a:t>
                </a:r>
              </a:p>
            </c:rich>
          </c:tx>
          <c:overlay val="0"/>
        </c:title>
        <c:numFmt formatCode="&quot;$&quot;#,##0.0" sourceLinked="1"/>
        <c:majorTickMark val="none"/>
        <c:minorTickMark val="none"/>
        <c:tickLblPos val="nextTo"/>
        <c:spPr>
          <a:ln/>
        </c:spPr>
        <c:txPr>
          <a:bodyPr/>
          <a:lstStyle/>
          <a:p>
            <a:pPr lvl="0">
              <a:defRPr b="0">
                <a:solidFill>
                  <a:srgbClr val="000000"/>
                </a:solidFill>
                <a:latin typeface="Roboto"/>
              </a:defRPr>
            </a:pPr>
            <a:endParaRPr lang="en-US"/>
          </a:p>
        </c:txPr>
        <c:crossAx val="1147741658"/>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(O&amp;G Upstream)'!$B$305</c:f>
              <c:strCache>
                <c:ptCount val="1"/>
                <c:pt idx="0">
                  <c:v>BEA Investment in fixed assets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(O&amp;G Upstream)'!$C$308:$T$308</c:f>
              <c:numCache>
                <c:formatCode>0.00</c:formatCode>
                <c:ptCount val="18"/>
                <c:pt idx="0">
                  <c:v>0.39678200000000002</c:v>
                </c:pt>
                <c:pt idx="1">
                  <c:v>0.38714999999999999</c:v>
                </c:pt>
                <c:pt idx="2">
                  <c:v>0.37682900000000003</c:v>
                </c:pt>
                <c:pt idx="3">
                  <c:v>0.37246691700000001</c:v>
                </c:pt>
                <c:pt idx="4">
                  <c:v>0.38245941700000002</c:v>
                </c:pt>
                <c:pt idx="5">
                  <c:v>0.40981541700000002</c:v>
                </c:pt>
                <c:pt idx="6">
                  <c:v>0.42802158299999998</c:v>
                </c:pt>
                <c:pt idx="7">
                  <c:v>0.462267333</c:v>
                </c:pt>
                <c:pt idx="8">
                  <c:v>0.55364875000000002</c:v>
                </c:pt>
                <c:pt idx="9">
                  <c:v>0.63217124999999996</c:v>
                </c:pt>
                <c:pt idx="10">
                  <c:v>0.824436167</c:v>
                </c:pt>
                <c:pt idx="11">
                  <c:v>1.292299917</c:v>
                </c:pt>
                <c:pt idx="12">
                  <c:v>2.1434916230000001</c:v>
                </c:pt>
                <c:pt idx="13">
                  <c:v>3.049101523</c:v>
                </c:pt>
                <c:pt idx="14">
                  <c:v>4.1050079510000002</c:v>
                </c:pt>
                <c:pt idx="15">
                  <c:v>4.7744780679999996</c:v>
                </c:pt>
                <c:pt idx="16">
                  <c:v>4.4291678130000003</c:v>
                </c:pt>
                <c:pt idx="17">
                  <c:v>4.9594073779999999</c:v>
                </c:pt>
              </c:numCache>
            </c:numRef>
          </c:xVal>
          <c:yVal>
            <c:numRef>
              <c:f>'Assumptions (O&amp;G Upstream)'!$C$305:$T$305</c:f>
              <c:numCache>
                <c:formatCode>"$"#,##0.0</c:formatCode>
                <c:ptCount val="18"/>
                <c:pt idx="0">
                  <c:v>31.1</c:v>
                </c:pt>
                <c:pt idx="1">
                  <c:v>41.7</c:v>
                </c:pt>
                <c:pt idx="2">
                  <c:v>33.799999999999997</c:v>
                </c:pt>
                <c:pt idx="3">
                  <c:v>44.7</c:v>
                </c:pt>
                <c:pt idx="4">
                  <c:v>51.7</c:v>
                </c:pt>
                <c:pt idx="5">
                  <c:v>71.7</c:v>
                </c:pt>
                <c:pt idx="6">
                  <c:v>98.8</c:v>
                </c:pt>
                <c:pt idx="7">
                  <c:v>108.1</c:v>
                </c:pt>
                <c:pt idx="8">
                  <c:v>125.3</c:v>
                </c:pt>
                <c:pt idx="9">
                  <c:v>87.2</c:v>
                </c:pt>
                <c:pt idx="10">
                  <c:v>103.1</c:v>
                </c:pt>
                <c:pt idx="11">
                  <c:v>130.19999999999999</c:v>
                </c:pt>
                <c:pt idx="12">
                  <c:v>162.69999999999999</c:v>
                </c:pt>
                <c:pt idx="13">
                  <c:v>170.6</c:v>
                </c:pt>
                <c:pt idx="14">
                  <c:v>203.9</c:v>
                </c:pt>
                <c:pt idx="15">
                  <c:v>149.6</c:v>
                </c:pt>
                <c:pt idx="16">
                  <c:v>79.900000000000006</c:v>
                </c:pt>
                <c:pt idx="17">
                  <c:v>112.3</c:v>
                </c:pt>
              </c:numCache>
            </c:numRef>
          </c:yVal>
          <c:smooth val="1"/>
          <c:extLst>
            <c:ext xmlns:c16="http://schemas.microsoft.com/office/drawing/2014/chart" uri="{C3380CC4-5D6E-409C-BE32-E72D297353CC}">
              <c16:uniqueId val="{00000000-C8DE-4B57-8842-9F49ACE1507A}"/>
            </c:ext>
          </c:extLst>
        </c:ser>
        <c:dLbls>
          <c:showLegendKey val="0"/>
          <c:showVal val="0"/>
          <c:showCatName val="0"/>
          <c:showSerName val="0"/>
          <c:showPercent val="0"/>
          <c:showBubbleSize val="0"/>
        </c:dLbls>
        <c:axId val="1413251995"/>
        <c:axId val="587711985"/>
      </c:scatterChart>
      <c:valAx>
        <c:axId val="14132519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0.00" sourceLinked="1"/>
        <c:majorTickMark val="none"/>
        <c:minorTickMark val="none"/>
        <c:tickLblPos val="nextTo"/>
        <c:spPr>
          <a:ln/>
        </c:spPr>
        <c:txPr>
          <a:bodyPr/>
          <a:lstStyle/>
          <a:p>
            <a:pPr lvl="0">
              <a:defRPr b="0">
                <a:solidFill>
                  <a:srgbClr val="000000"/>
                </a:solidFill>
                <a:latin typeface="Roboto"/>
              </a:defRPr>
            </a:pPr>
            <a:endParaRPr lang="en-US"/>
          </a:p>
        </c:txPr>
        <c:crossAx val="587711985"/>
        <c:crosses val="autoZero"/>
        <c:crossBetween val="midCat"/>
      </c:valAx>
      <c:valAx>
        <c:axId val="587711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CAPEX</a:t>
                </a:r>
              </a:p>
            </c:rich>
          </c:tx>
          <c:overlay val="0"/>
        </c:title>
        <c:numFmt formatCode="&quot;$&quot;#,##0.0" sourceLinked="1"/>
        <c:majorTickMark val="none"/>
        <c:minorTickMark val="none"/>
        <c:tickLblPos val="nextTo"/>
        <c:spPr>
          <a:ln/>
        </c:spPr>
        <c:txPr>
          <a:bodyPr/>
          <a:lstStyle/>
          <a:p>
            <a:pPr lvl="0">
              <a:defRPr b="0">
                <a:solidFill>
                  <a:srgbClr val="000000"/>
                </a:solidFill>
                <a:latin typeface="Roboto"/>
              </a:defRPr>
            </a:pPr>
            <a:endParaRPr lang="en-US"/>
          </a:p>
        </c:txPr>
        <c:crossAx val="1413251995"/>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marker>
            <c:symbol val="none"/>
          </c:marker>
          <c:val>
            <c:numRef>
              <c:f>'Assumptions (O&amp;G Upstream)'!$M$180:$U$180</c:f>
              <c:numCache>
                <c:formatCode>"$"#,##0.00</c:formatCode>
                <c:ptCount val="9"/>
                <c:pt idx="0">
                  <c:v>12.450163929440219</c:v>
                </c:pt>
                <c:pt idx="1">
                  <c:v>11.400078744433245</c:v>
                </c:pt>
                <c:pt idx="2">
                  <c:v>12.899536674670957</c:v>
                </c:pt>
                <c:pt idx="3">
                  <c:v>12.20754647051505</c:v>
                </c:pt>
                <c:pt idx="4">
                  <c:v>13.235268817062956</c:v>
                </c:pt>
                <c:pt idx="5">
                  <c:v>12.143605444509838</c:v>
                </c:pt>
                <c:pt idx="6">
                  <c:v>10.432262770071032</c:v>
                </c:pt>
                <c:pt idx="7">
                  <c:v>11.219916322457973</c:v>
                </c:pt>
                <c:pt idx="8">
                  <c:v>11.711065569080473</c:v>
                </c:pt>
              </c:numCache>
            </c:numRef>
          </c:val>
          <c:smooth val="0"/>
          <c:extLst>
            <c:ext xmlns:c16="http://schemas.microsoft.com/office/drawing/2014/chart" uri="{C3380CC4-5D6E-409C-BE32-E72D297353CC}">
              <c16:uniqueId val="{00000000-B108-44B6-8831-32CD89F58640}"/>
            </c:ext>
          </c:extLst>
        </c:ser>
        <c:ser>
          <c:idx val="1"/>
          <c:order val="1"/>
          <c:marker>
            <c:symbol val="none"/>
          </c:marker>
          <c:val>
            <c:numRef>
              <c:f>'Assumptions (O&amp;G Upstream)'!$B$253</c:f>
              <c:numCache>
                <c:formatCode>General</c:formatCode>
                <c:ptCount val="1"/>
                <c:pt idx="0">
                  <c:v>0</c:v>
                </c:pt>
              </c:numCache>
            </c:numRef>
          </c:val>
          <c:smooth val="0"/>
          <c:extLst>
            <c:ext xmlns:c16="http://schemas.microsoft.com/office/drawing/2014/chart" uri="{C3380CC4-5D6E-409C-BE32-E72D297353CC}">
              <c16:uniqueId val="{00000001-B108-44B6-8831-32CD89F58640}"/>
            </c:ext>
          </c:extLst>
        </c:ser>
        <c:dLbls>
          <c:showLegendKey val="0"/>
          <c:showVal val="0"/>
          <c:showCatName val="0"/>
          <c:showSerName val="0"/>
          <c:showPercent val="0"/>
          <c:showBubbleSize val="0"/>
        </c:dLbls>
        <c:smooth val="0"/>
        <c:axId val="1616844769"/>
        <c:axId val="2056474049"/>
      </c:lineChart>
      <c:catAx>
        <c:axId val="1616844769"/>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b="0">
                <a:solidFill>
                  <a:srgbClr val="000000"/>
                </a:solidFill>
                <a:latin typeface="Roboto"/>
              </a:defRPr>
            </a:pPr>
            <a:endParaRPr lang="en-US"/>
          </a:p>
        </c:txPr>
        <c:crossAx val="2056474049"/>
        <c:crosses val="autoZero"/>
        <c:auto val="1"/>
        <c:lblAlgn val="ctr"/>
        <c:lblOffset val="100"/>
        <c:noMultiLvlLbl val="1"/>
      </c:catAx>
      <c:valAx>
        <c:axId val="2056474049"/>
        <c:scaling>
          <c:orientation val="minMax"/>
          <c:min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616844769"/>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(O&amp;G Upstream)'!$B$188</c:f>
              <c:strCache>
                <c:ptCount val="1"/>
                <c:pt idx="0">
                  <c:v>Total OPEX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(O&amp;G Upstream)'!$C$308:$U$308</c:f>
              <c:numCache>
                <c:formatCode>0.00</c:formatCode>
                <c:ptCount val="19"/>
                <c:pt idx="0">
                  <c:v>0.39678200000000002</c:v>
                </c:pt>
                <c:pt idx="1">
                  <c:v>0.38714999999999999</c:v>
                </c:pt>
                <c:pt idx="2">
                  <c:v>0.37682900000000003</c:v>
                </c:pt>
                <c:pt idx="3">
                  <c:v>0.37246691700000001</c:v>
                </c:pt>
                <c:pt idx="4">
                  <c:v>0.38245941700000002</c:v>
                </c:pt>
                <c:pt idx="5">
                  <c:v>0.40981541700000002</c:v>
                </c:pt>
                <c:pt idx="6">
                  <c:v>0.42802158299999998</c:v>
                </c:pt>
                <c:pt idx="7">
                  <c:v>0.462267333</c:v>
                </c:pt>
                <c:pt idx="8">
                  <c:v>0.55364875000000002</c:v>
                </c:pt>
                <c:pt idx="9">
                  <c:v>0.63217124999999996</c:v>
                </c:pt>
                <c:pt idx="10">
                  <c:v>0.824436167</c:v>
                </c:pt>
                <c:pt idx="11">
                  <c:v>1.292299917</c:v>
                </c:pt>
                <c:pt idx="12">
                  <c:v>2.1434916230000001</c:v>
                </c:pt>
                <c:pt idx="13">
                  <c:v>3.049101523</c:v>
                </c:pt>
                <c:pt idx="14">
                  <c:v>4.1050079510000002</c:v>
                </c:pt>
                <c:pt idx="15">
                  <c:v>4.7744780679999996</c:v>
                </c:pt>
                <c:pt idx="16">
                  <c:v>4.4291678130000003</c:v>
                </c:pt>
                <c:pt idx="17">
                  <c:v>4.9594073779999999</c:v>
                </c:pt>
                <c:pt idx="18">
                  <c:v>6.4646912790000002</c:v>
                </c:pt>
              </c:numCache>
            </c:numRef>
          </c:xVal>
          <c:yVal>
            <c:numRef>
              <c:f>'Assumptions (O&amp;G Upstream)'!$C$188:$U$188</c:f>
              <c:numCache>
                <c:formatCode>"$"#,##0</c:formatCode>
                <c:ptCount val="19"/>
                <c:pt idx="0">
                  <c:v>45.605050486855163</c:v>
                </c:pt>
                <c:pt idx="1">
                  <c:v>45.910998798775481</c:v>
                </c:pt>
                <c:pt idx="2">
                  <c:v>45.051820344287187</c:v>
                </c:pt>
                <c:pt idx="3">
                  <c:v>47.199276245962736</c:v>
                </c:pt>
                <c:pt idx="4">
                  <c:v>49.520839734306762</c:v>
                </c:pt>
                <c:pt idx="5">
                  <c:v>55.639546657260148</c:v>
                </c:pt>
                <c:pt idx="6">
                  <c:v>56.929564935454096</c:v>
                </c:pt>
                <c:pt idx="7">
                  <c:v>66.313007751682989</c:v>
                </c:pt>
                <c:pt idx="8">
                  <c:v>81.863606098110012</c:v>
                </c:pt>
                <c:pt idx="9">
                  <c:v>78.028653026315794</c:v>
                </c:pt>
                <c:pt idx="10">
                  <c:v>74.959402054561394</c:v>
                </c:pt>
                <c:pt idx="11">
                  <c:v>87.667444738421054</c:v>
                </c:pt>
                <c:pt idx="12">
                  <c:v>89.012528023157884</c:v>
                </c:pt>
                <c:pt idx="13">
                  <c:v>99.298666996491221</c:v>
                </c:pt>
                <c:pt idx="14">
                  <c:v>113.45372125140349</c:v>
                </c:pt>
                <c:pt idx="15">
                  <c:v>110.22873948210527</c:v>
                </c:pt>
                <c:pt idx="16">
                  <c:v>98.339293830964905</c:v>
                </c:pt>
                <c:pt idx="17">
                  <c:v>104.23036292763156</c:v>
                </c:pt>
                <c:pt idx="18">
                  <c:v>107.11961215789475</c:v>
                </c:pt>
              </c:numCache>
            </c:numRef>
          </c:yVal>
          <c:smooth val="1"/>
          <c:extLst>
            <c:ext xmlns:c16="http://schemas.microsoft.com/office/drawing/2014/chart" uri="{C3380CC4-5D6E-409C-BE32-E72D297353CC}">
              <c16:uniqueId val="{00000000-D25E-47CA-A8CA-58C09701548F}"/>
            </c:ext>
          </c:extLst>
        </c:ser>
        <c:dLbls>
          <c:showLegendKey val="0"/>
          <c:showVal val="0"/>
          <c:showCatName val="0"/>
          <c:showSerName val="0"/>
          <c:showPercent val="0"/>
          <c:showBubbleSize val="0"/>
        </c:dLbls>
        <c:axId val="915558386"/>
        <c:axId val="1965898620"/>
      </c:scatterChart>
      <c:valAx>
        <c:axId val="9155583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production</a:t>
                </a:r>
              </a:p>
            </c:rich>
          </c:tx>
          <c:overlay val="0"/>
        </c:title>
        <c:numFmt formatCode="0.00" sourceLinked="1"/>
        <c:majorTickMark val="none"/>
        <c:minorTickMark val="none"/>
        <c:tickLblPos val="nextTo"/>
        <c:spPr>
          <a:ln/>
        </c:spPr>
        <c:txPr>
          <a:bodyPr/>
          <a:lstStyle/>
          <a:p>
            <a:pPr lvl="0">
              <a:defRPr b="0">
                <a:solidFill>
                  <a:srgbClr val="000000"/>
                </a:solidFill>
                <a:latin typeface="Roboto"/>
              </a:defRPr>
            </a:pPr>
            <a:endParaRPr lang="en-US"/>
          </a:p>
        </c:txPr>
        <c:crossAx val="1965898620"/>
        <c:crosses val="autoZero"/>
        <c:crossBetween val="midCat"/>
      </c:valAx>
      <c:valAx>
        <c:axId val="19658986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 sourceLinked="1"/>
        <c:majorTickMark val="none"/>
        <c:minorTickMark val="none"/>
        <c:tickLblPos val="nextTo"/>
        <c:spPr>
          <a:ln/>
        </c:spPr>
        <c:txPr>
          <a:bodyPr/>
          <a:lstStyle/>
          <a:p>
            <a:pPr lvl="0">
              <a:defRPr b="0">
                <a:solidFill>
                  <a:srgbClr val="000000"/>
                </a:solidFill>
                <a:latin typeface="Roboto"/>
              </a:defRPr>
            </a:pPr>
            <a:endParaRPr lang="en-US"/>
          </a:p>
        </c:txPr>
        <c:crossAx val="91555838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NGPL Composite Price ($/bbl)</a:t>
            </a:r>
          </a:p>
        </c:rich>
      </c:tx>
      <c:overlay val="0"/>
    </c:title>
    <c:autoTitleDeleted val="0"/>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(O&amp;G Upstream)'!$J$312:$U$312</c:f>
              <c:numCache>
                <c:formatCode>"$"#,##0.00</c:formatCode>
                <c:ptCount val="12"/>
                <c:pt idx="0">
                  <c:v>6.97</c:v>
                </c:pt>
                <c:pt idx="1">
                  <c:v>8.86</c:v>
                </c:pt>
                <c:pt idx="2">
                  <c:v>3.94</c:v>
                </c:pt>
                <c:pt idx="3">
                  <c:v>4.37</c:v>
                </c:pt>
                <c:pt idx="4">
                  <c:v>4</c:v>
                </c:pt>
                <c:pt idx="5">
                  <c:v>2.75</c:v>
                </c:pt>
                <c:pt idx="6">
                  <c:v>3.73</c:v>
                </c:pt>
                <c:pt idx="7">
                  <c:v>4.37</c:v>
                </c:pt>
                <c:pt idx="8">
                  <c:v>2.62</c:v>
                </c:pt>
                <c:pt idx="9">
                  <c:v>2.52</c:v>
                </c:pt>
                <c:pt idx="10">
                  <c:v>2.99</c:v>
                </c:pt>
                <c:pt idx="11">
                  <c:v>3.17</c:v>
                </c:pt>
              </c:numCache>
            </c:numRef>
          </c:xVal>
          <c:yVal>
            <c:numRef>
              <c:f>'Assumptions (O&amp;G Upstream)'!$J$314:$U$314</c:f>
              <c:numCache>
                <c:formatCode>"$"#,##0.0</c:formatCode>
                <c:ptCount val="12"/>
                <c:pt idx="0">
                  <c:v>51.64</c:v>
                </c:pt>
                <c:pt idx="1">
                  <c:v>60.8</c:v>
                </c:pt>
                <c:pt idx="2">
                  <c:v>35.96</c:v>
                </c:pt>
                <c:pt idx="3">
                  <c:v>44.88</c:v>
                </c:pt>
                <c:pt idx="4">
                  <c:v>56.25</c:v>
                </c:pt>
                <c:pt idx="5">
                  <c:v>44.27</c:v>
                </c:pt>
                <c:pt idx="6">
                  <c:v>40</c:v>
                </c:pt>
                <c:pt idx="7">
                  <c:v>38.6</c:v>
                </c:pt>
                <c:pt idx="8">
                  <c:v>19.899999999999999</c:v>
                </c:pt>
                <c:pt idx="9">
                  <c:v>19.77</c:v>
                </c:pt>
                <c:pt idx="10">
                  <c:v>27.1</c:v>
                </c:pt>
                <c:pt idx="11">
                  <c:v>30.45</c:v>
                </c:pt>
              </c:numCache>
            </c:numRef>
          </c:yVal>
          <c:smooth val="1"/>
          <c:extLst>
            <c:ext xmlns:c16="http://schemas.microsoft.com/office/drawing/2014/chart" uri="{C3380CC4-5D6E-409C-BE32-E72D297353CC}">
              <c16:uniqueId val="{00000000-7F38-4973-8A91-F1744DD5ADEF}"/>
            </c:ext>
          </c:extLst>
        </c:ser>
        <c:dLbls>
          <c:showLegendKey val="0"/>
          <c:showVal val="0"/>
          <c:showCatName val="0"/>
          <c:showSerName val="0"/>
          <c:showPercent val="0"/>
          <c:showBubbleSize val="0"/>
        </c:dLbls>
        <c:axId val="1735442525"/>
        <c:axId val="985699573"/>
      </c:scatterChart>
      <c:valAx>
        <c:axId val="17354425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985699573"/>
        <c:crosses val="autoZero"/>
        <c:crossBetween val="midCat"/>
      </c:valAx>
      <c:valAx>
        <c:axId val="9856995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NGPL Composite Price ($/bbl)</a:t>
                </a:r>
              </a:p>
            </c:rich>
          </c:tx>
          <c:overlay val="0"/>
        </c:title>
        <c:numFmt formatCode="&quot;$&quot;#,##0.0" sourceLinked="1"/>
        <c:majorTickMark val="none"/>
        <c:minorTickMark val="none"/>
        <c:tickLblPos val="nextTo"/>
        <c:spPr>
          <a:ln/>
        </c:spPr>
        <c:txPr>
          <a:bodyPr/>
          <a:lstStyle/>
          <a:p>
            <a:pPr lvl="0">
              <a:defRPr b="0">
                <a:solidFill>
                  <a:srgbClr val="000000"/>
                </a:solidFill>
                <a:latin typeface="Roboto"/>
              </a:defRPr>
            </a:pPr>
            <a:endParaRPr lang="en-US"/>
          </a:p>
        </c:txPr>
        <c:crossAx val="1735442525"/>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numRef>
              <c:f>'Assumptions (Oil G&amp;T)'!$C$2:$R$2</c:f>
              <c:numCache>
                <c:formatCode>"$"#,##0.00</c:formatCode>
                <c:ptCount val="16"/>
                <c:pt idx="0">
                  <c:v>0.76693099999999992</c:v>
                </c:pt>
                <c:pt idx="1">
                  <c:v>0.82357399999999992</c:v>
                </c:pt>
                <c:pt idx="2">
                  <c:v>0.83844200000000002</c:v>
                </c:pt>
                <c:pt idx="3">
                  <c:v>0.77501299999999995</c:v>
                </c:pt>
                <c:pt idx="4">
                  <c:v>0.80299399999999999</c:v>
                </c:pt>
                <c:pt idx="5">
                  <c:v>0.82175100000000001</c:v>
                </c:pt>
                <c:pt idx="6">
                  <c:v>0.85719400000000001</c:v>
                </c:pt>
                <c:pt idx="7">
                  <c:v>0.96229799999999999</c:v>
                </c:pt>
                <c:pt idx="8">
                  <c:v>1.0380200000000002</c:v>
                </c:pt>
                <c:pt idx="9">
                  <c:v>1.1419519999999999</c:v>
                </c:pt>
                <c:pt idx="10">
                  <c:v>1.1271740000000001</c:v>
                </c:pt>
                <c:pt idx="11">
                  <c:v>1.272691</c:v>
                </c:pt>
                <c:pt idx="12">
                  <c:v>1.926722</c:v>
                </c:pt>
                <c:pt idx="13">
                  <c:v>2.2592529999999997</c:v>
                </c:pt>
                <c:pt idx="14">
                  <c:v>2.7568619999999995</c:v>
                </c:pt>
                <c:pt idx="15">
                  <c:v>3.224666</c:v>
                </c:pt>
              </c:numCache>
            </c:numRef>
          </c:xVal>
          <c:yVal>
            <c:numRef>
              <c:f>'Assumptions (Oil G&amp;T)'!$C$3:$R$3</c:f>
              <c:numCache>
                <c:formatCode>"$"#,##0.00</c:formatCode>
                <c:ptCount val="16"/>
                <c:pt idx="0">
                  <c:v>0.77089200000000002</c:v>
                </c:pt>
                <c:pt idx="1">
                  <c:v>0.87259900000000001</c:v>
                </c:pt>
                <c:pt idx="2">
                  <c:v>0.82530599999999998</c:v>
                </c:pt>
                <c:pt idx="3">
                  <c:v>0.68492299999999995</c:v>
                </c:pt>
                <c:pt idx="4">
                  <c:v>0.79745500000000002</c:v>
                </c:pt>
                <c:pt idx="5">
                  <c:v>0.83444099999999999</c:v>
                </c:pt>
                <c:pt idx="6">
                  <c:v>0.85335099999999997</c:v>
                </c:pt>
                <c:pt idx="7">
                  <c:v>0.96014600000000005</c:v>
                </c:pt>
                <c:pt idx="8">
                  <c:v>1.0380579999999999</c:v>
                </c:pt>
                <c:pt idx="9">
                  <c:v>1.1396459999999999</c:v>
                </c:pt>
                <c:pt idx="10">
                  <c:v>1.151108</c:v>
                </c:pt>
                <c:pt idx="11">
                  <c:v>1.380293</c:v>
                </c:pt>
                <c:pt idx="12">
                  <c:v>1.9262459999999999</c:v>
                </c:pt>
                <c:pt idx="13">
                  <c:v>2.2440479999999998</c:v>
                </c:pt>
                <c:pt idx="14">
                  <c:v>2.5830630000000001</c:v>
                </c:pt>
                <c:pt idx="15">
                  <c:v>3.2968820000000001</c:v>
                </c:pt>
              </c:numCache>
            </c:numRef>
          </c:yVal>
          <c:smooth val="1"/>
          <c:extLst>
            <c:ext xmlns:c16="http://schemas.microsoft.com/office/drawing/2014/chart" uri="{C3380CC4-5D6E-409C-BE32-E72D297353CC}">
              <c16:uniqueId val="{00000000-80FE-4EEF-9B9C-694CA03834B7}"/>
            </c:ext>
          </c:extLst>
        </c:ser>
        <c:dLbls>
          <c:showLegendKey val="0"/>
          <c:showVal val="0"/>
          <c:showCatName val="0"/>
          <c:showSerName val="0"/>
          <c:showPercent val="0"/>
          <c:showBubbleSize val="0"/>
        </c:dLbls>
        <c:axId val="533218478"/>
        <c:axId val="783512244"/>
      </c:scatterChart>
      <c:valAx>
        <c:axId val="5332184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783512244"/>
        <c:crosses val="autoZero"/>
        <c:crossBetween val="midCat"/>
      </c:valAx>
      <c:valAx>
        <c:axId val="7835122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533218478"/>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numRef>
              <c:f>'Assumptions (Oil G&amp;T)'!$C$13:$R$13</c:f>
              <c:numCache>
                <c:formatCode>"$"#,##0.00</c:formatCode>
                <c:ptCount val="16"/>
                <c:pt idx="0">
                  <c:v>32.574016726000004</c:v>
                </c:pt>
                <c:pt idx="1">
                  <c:v>30.908833753000003</c:v>
                </c:pt>
                <c:pt idx="2">
                  <c:v>33.921508899999999</c:v>
                </c:pt>
                <c:pt idx="3">
                  <c:v>30.92394741</c:v>
                </c:pt>
                <c:pt idx="4">
                  <c:v>32.332317676999999</c:v>
                </c:pt>
                <c:pt idx="5">
                  <c:v>33.806705970000003</c:v>
                </c:pt>
                <c:pt idx="6">
                  <c:v>37.852953570000004</c:v>
                </c:pt>
                <c:pt idx="7">
                  <c:v>37.250642522</c:v>
                </c:pt>
                <c:pt idx="8">
                  <c:v>40.895573563000006</c:v>
                </c:pt>
                <c:pt idx="9">
                  <c:v>43.629755618000004</c:v>
                </c:pt>
                <c:pt idx="10">
                  <c:v>49.404592049000001</c:v>
                </c:pt>
                <c:pt idx="11">
                  <c:v>52.539879333000002</c:v>
                </c:pt>
                <c:pt idx="12">
                  <c:v>56.896576932999999</c:v>
                </c:pt>
                <c:pt idx="13">
                  <c:v>63.581067159</c:v>
                </c:pt>
                <c:pt idx="14">
                  <c:v>82.908661129999999</c:v>
                </c:pt>
                <c:pt idx="15">
                  <c:v>94.455497456999993</c:v>
                </c:pt>
              </c:numCache>
            </c:numRef>
          </c:xVal>
          <c:yVal>
            <c:numRef>
              <c:f>'Assumptions (Oil G&amp;T)'!$C$14:$R$14</c:f>
              <c:numCache>
                <c:formatCode>"$"#,##0.00</c:formatCode>
                <c:ptCount val="16"/>
                <c:pt idx="0">
                  <c:v>29.983178519999999</c:v>
                </c:pt>
                <c:pt idx="1">
                  <c:v>33.03055561</c:v>
                </c:pt>
                <c:pt idx="2">
                  <c:v>29.57211783</c:v>
                </c:pt>
                <c:pt idx="3">
                  <c:v>30.636648539999999</c:v>
                </c:pt>
                <c:pt idx="4">
                  <c:v>31.943187479999999</c:v>
                </c:pt>
                <c:pt idx="5">
                  <c:v>36.468541760000001</c:v>
                </c:pt>
                <c:pt idx="6">
                  <c:v>35.220251650000002</c:v>
                </c:pt>
                <c:pt idx="7">
                  <c:v>37.374824629999999</c:v>
                </c:pt>
                <c:pt idx="8">
                  <c:v>40.399615369999999</c:v>
                </c:pt>
                <c:pt idx="9">
                  <c:v>44.4071365</c:v>
                </c:pt>
                <c:pt idx="10">
                  <c:v>49.908145789999999</c:v>
                </c:pt>
                <c:pt idx="11">
                  <c:v>54.25113528</c:v>
                </c:pt>
                <c:pt idx="12">
                  <c:v>55.764936800000001</c:v>
                </c:pt>
                <c:pt idx="13">
                  <c:v>65.335137680000003</c:v>
                </c:pt>
                <c:pt idx="14">
                  <c:v>82.893860989999993</c:v>
                </c:pt>
                <c:pt idx="15">
                  <c:v>92.438967779999999</c:v>
                </c:pt>
              </c:numCache>
            </c:numRef>
          </c:yVal>
          <c:smooth val="1"/>
          <c:extLst>
            <c:ext xmlns:c16="http://schemas.microsoft.com/office/drawing/2014/chart" uri="{C3380CC4-5D6E-409C-BE32-E72D297353CC}">
              <c16:uniqueId val="{00000000-3E18-487F-8FDA-7D7E4147BA0B}"/>
            </c:ext>
          </c:extLst>
        </c:ser>
        <c:dLbls>
          <c:showLegendKey val="0"/>
          <c:showVal val="0"/>
          <c:showCatName val="0"/>
          <c:showSerName val="0"/>
          <c:showPercent val="0"/>
          <c:showBubbleSize val="0"/>
        </c:dLbls>
        <c:axId val="2017475790"/>
        <c:axId val="651981904"/>
      </c:scatterChart>
      <c:valAx>
        <c:axId val="20174757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651981904"/>
        <c:crosses val="autoZero"/>
        <c:crossBetween val="midCat"/>
      </c:valAx>
      <c:valAx>
        <c:axId val="651981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2017475790"/>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numRef>
              <c:f>'Assumptions (Oil G&amp;T)'!$C$24:$R$24</c:f>
              <c:numCache>
                <c:formatCode>"$"#,##0.00</c:formatCode>
                <c:ptCount val="16"/>
                <c:pt idx="0">
                  <c:v>0.95583261399999997</c:v>
                </c:pt>
                <c:pt idx="1">
                  <c:v>0.987342834</c:v>
                </c:pt>
                <c:pt idx="2">
                  <c:v>1.0443170579999999</c:v>
                </c:pt>
                <c:pt idx="3">
                  <c:v>0.92290852900000009</c:v>
                </c:pt>
                <c:pt idx="4">
                  <c:v>1.0835849720000001</c:v>
                </c:pt>
                <c:pt idx="5">
                  <c:v>1.556278201</c:v>
                </c:pt>
                <c:pt idx="6">
                  <c:v>2.1589848050000002</c:v>
                </c:pt>
                <c:pt idx="7">
                  <c:v>3.2044228319999997</c:v>
                </c:pt>
                <c:pt idx="8">
                  <c:v>3.2167503259999997</c:v>
                </c:pt>
                <c:pt idx="9">
                  <c:v>2.9886266139999997</c:v>
                </c:pt>
                <c:pt idx="10">
                  <c:v>3.7078492189999999</c:v>
                </c:pt>
                <c:pt idx="11">
                  <c:v>4.6674231410000004</c:v>
                </c:pt>
                <c:pt idx="12">
                  <c:v>6.6513885410000011</c:v>
                </c:pt>
                <c:pt idx="13">
                  <c:v>13.208436555</c:v>
                </c:pt>
                <c:pt idx="14">
                  <c:v>10.354879254</c:v>
                </c:pt>
                <c:pt idx="15">
                  <c:v>7.3914493089999995</c:v>
                </c:pt>
              </c:numCache>
            </c:numRef>
          </c:xVal>
          <c:yVal>
            <c:numRef>
              <c:f>'Assumptions (Oil G&amp;T)'!$C$25:$R$25</c:f>
              <c:numCache>
                <c:formatCode>"$"#,##0.00</c:formatCode>
                <c:ptCount val="16"/>
                <c:pt idx="0">
                  <c:v>0.93151259600000003</c:v>
                </c:pt>
                <c:pt idx="1">
                  <c:v>1.2429685699999999</c:v>
                </c:pt>
                <c:pt idx="2">
                  <c:v>1.038058052</c:v>
                </c:pt>
                <c:pt idx="3">
                  <c:v>0.91805398599999999</c:v>
                </c:pt>
                <c:pt idx="4">
                  <c:v>1.0888972029999999</c:v>
                </c:pt>
                <c:pt idx="5">
                  <c:v>1.5257053860000001</c:v>
                </c:pt>
                <c:pt idx="6">
                  <c:v>2.1656394099999998</c:v>
                </c:pt>
                <c:pt idx="7">
                  <c:v>3.4855355499999998</c:v>
                </c:pt>
                <c:pt idx="8">
                  <c:v>3.2066293770000001</c:v>
                </c:pt>
                <c:pt idx="9">
                  <c:v>2.9893090469999999</c:v>
                </c:pt>
                <c:pt idx="10">
                  <c:v>3.896301829</c:v>
                </c:pt>
                <c:pt idx="11">
                  <c:v>4.6761653250000004</c:v>
                </c:pt>
                <c:pt idx="12">
                  <c:v>7.387153262</c:v>
                </c:pt>
                <c:pt idx="13">
                  <c:v>13.762346709999999</c:v>
                </c:pt>
                <c:pt idx="14">
                  <c:v>10.365867789999999</c:v>
                </c:pt>
                <c:pt idx="15">
                  <c:v>7.8257547000000001</c:v>
                </c:pt>
              </c:numCache>
            </c:numRef>
          </c:yVal>
          <c:smooth val="1"/>
          <c:extLst>
            <c:ext xmlns:c16="http://schemas.microsoft.com/office/drawing/2014/chart" uri="{C3380CC4-5D6E-409C-BE32-E72D297353CC}">
              <c16:uniqueId val="{00000000-0A4E-4369-8577-ED92076474A7}"/>
            </c:ext>
          </c:extLst>
        </c:ser>
        <c:dLbls>
          <c:showLegendKey val="0"/>
          <c:showVal val="0"/>
          <c:showCatName val="0"/>
          <c:showSerName val="0"/>
          <c:showPercent val="0"/>
          <c:showBubbleSize val="0"/>
        </c:dLbls>
        <c:axId val="2054436855"/>
        <c:axId val="170160320"/>
      </c:scatterChart>
      <c:valAx>
        <c:axId val="20544368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70160320"/>
        <c:crosses val="autoZero"/>
        <c:crossBetween val="midCat"/>
      </c:valAx>
      <c:valAx>
        <c:axId val="170160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2054436855"/>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strRef>
              <c:f>'Assumptions (Oil G&amp;T)'!$A$48:$R$48</c:f>
              <c:strCache>
                <c:ptCount val="18"/>
                <c:pt idx="0">
                  <c:v>U.S. Tight Oil Production (million bbl per day)</c:v>
                </c:pt>
                <c:pt idx="1">
                  <c:v>0.40</c:v>
                </c:pt>
                <c:pt idx="2">
                  <c:v>0.39</c:v>
                </c:pt>
                <c:pt idx="3">
                  <c:v>0.38</c:v>
                </c:pt>
                <c:pt idx="4">
                  <c:v>0.37</c:v>
                </c:pt>
                <c:pt idx="5">
                  <c:v>0.38</c:v>
                </c:pt>
                <c:pt idx="6">
                  <c:v>0.41</c:v>
                </c:pt>
                <c:pt idx="7">
                  <c:v>0.43</c:v>
                </c:pt>
                <c:pt idx="8">
                  <c:v>0.46</c:v>
                </c:pt>
                <c:pt idx="9">
                  <c:v>0.55</c:v>
                </c:pt>
                <c:pt idx="10">
                  <c:v>0.63</c:v>
                </c:pt>
                <c:pt idx="11">
                  <c:v>0.82</c:v>
                </c:pt>
                <c:pt idx="12">
                  <c:v>1.29</c:v>
                </c:pt>
                <c:pt idx="13">
                  <c:v>2.14</c:v>
                </c:pt>
                <c:pt idx="14">
                  <c:v>3.05</c:v>
                </c:pt>
                <c:pt idx="15">
                  <c:v>4.11</c:v>
                </c:pt>
                <c:pt idx="16">
                  <c:v>4.77</c:v>
                </c:pt>
                <c:pt idx="17">
                  <c:v>4.43</c:v>
                </c:pt>
              </c:strCache>
            </c:strRef>
          </c:xVal>
          <c:yVal>
            <c:numRef>
              <c:f>'Assumptions (Oil G&amp;T)'!$A$4:$R$4</c:f>
              <c:numCache>
                <c:formatCode>"$"#,##0.00</c:formatCode>
                <c:ptCount val="18"/>
                <c:pt idx="0" formatCode="General">
                  <c:v>0</c:v>
                </c:pt>
                <c:pt idx="1">
                  <c:v>2.8816000000000001E-2</c:v>
                </c:pt>
                <c:pt idx="2">
                  <c:v>8.7579000000000004E-2</c:v>
                </c:pt>
                <c:pt idx="3">
                  <c:v>5.6818E-2</c:v>
                </c:pt>
                <c:pt idx="4">
                  <c:v>2.4538999999999998E-2</c:v>
                </c:pt>
                <c:pt idx="5">
                  <c:v>0.19838800000000001</c:v>
                </c:pt>
                <c:pt idx="6">
                  <c:v>4.1420999999999999E-2</c:v>
                </c:pt>
                <c:pt idx="7">
                  <c:v>4.2916000000000003E-2</c:v>
                </c:pt>
                <c:pt idx="8">
                  <c:v>0.110514</c:v>
                </c:pt>
                <c:pt idx="9">
                  <c:v>0.10491499999999999</c:v>
                </c:pt>
                <c:pt idx="10">
                  <c:v>0.11064400000000001</c:v>
                </c:pt>
                <c:pt idx="11">
                  <c:v>0.11376</c:v>
                </c:pt>
                <c:pt idx="12">
                  <c:v>0.109114</c:v>
                </c:pt>
                <c:pt idx="13">
                  <c:v>0.42048400000000002</c:v>
                </c:pt>
                <c:pt idx="14">
                  <c:v>0.49969400000000003</c:v>
                </c:pt>
                <c:pt idx="15">
                  <c:v>0.47733399999999998</c:v>
                </c:pt>
                <c:pt idx="16">
                  <c:v>0.82450599999999996</c:v>
                </c:pt>
                <c:pt idx="17">
                  <c:v>0.55727899999999997</c:v>
                </c:pt>
              </c:numCache>
            </c:numRef>
          </c:yVal>
          <c:smooth val="1"/>
          <c:extLst>
            <c:ext xmlns:c16="http://schemas.microsoft.com/office/drawing/2014/chart" uri="{C3380CC4-5D6E-409C-BE32-E72D297353CC}">
              <c16:uniqueId val="{00000000-B855-4693-A0F6-52955E1A67C8}"/>
            </c:ext>
          </c:extLst>
        </c:ser>
        <c:dLbls>
          <c:showLegendKey val="0"/>
          <c:showVal val="0"/>
          <c:showCatName val="0"/>
          <c:showSerName val="0"/>
          <c:showPercent val="0"/>
          <c:showBubbleSize val="0"/>
        </c:dLbls>
        <c:axId val="572236644"/>
        <c:axId val="1742423713"/>
      </c:scatterChart>
      <c:valAx>
        <c:axId val="5722366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742423713"/>
        <c:crosses val="autoZero"/>
        <c:crossBetween val="midCat"/>
      </c:valAx>
      <c:valAx>
        <c:axId val="17424237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572236644"/>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strRef>
              <c:f>'Assumptions (Oil G&amp;T)'!$A$48:$R$48</c:f>
              <c:strCache>
                <c:ptCount val="18"/>
                <c:pt idx="0">
                  <c:v>U.S. Tight Oil Production (million bbl per day)</c:v>
                </c:pt>
                <c:pt idx="1">
                  <c:v>0.40</c:v>
                </c:pt>
                <c:pt idx="2">
                  <c:v>0.39</c:v>
                </c:pt>
                <c:pt idx="3">
                  <c:v>0.38</c:v>
                </c:pt>
                <c:pt idx="4">
                  <c:v>0.37</c:v>
                </c:pt>
                <c:pt idx="5">
                  <c:v>0.38</c:v>
                </c:pt>
                <c:pt idx="6">
                  <c:v>0.41</c:v>
                </c:pt>
                <c:pt idx="7">
                  <c:v>0.43</c:v>
                </c:pt>
                <c:pt idx="8">
                  <c:v>0.46</c:v>
                </c:pt>
                <c:pt idx="9">
                  <c:v>0.55</c:v>
                </c:pt>
                <c:pt idx="10">
                  <c:v>0.63</c:v>
                </c:pt>
                <c:pt idx="11">
                  <c:v>0.82</c:v>
                </c:pt>
                <c:pt idx="12">
                  <c:v>1.29</c:v>
                </c:pt>
                <c:pt idx="13">
                  <c:v>2.14</c:v>
                </c:pt>
                <c:pt idx="14">
                  <c:v>3.05</c:v>
                </c:pt>
                <c:pt idx="15">
                  <c:v>4.11</c:v>
                </c:pt>
                <c:pt idx="16">
                  <c:v>4.77</c:v>
                </c:pt>
                <c:pt idx="17">
                  <c:v>4.43</c:v>
                </c:pt>
              </c:strCache>
            </c:strRef>
          </c:xVal>
          <c:yVal>
            <c:numRef>
              <c:f>'Assumptions (Oil G&amp;T)'!$A$15:$R$15</c:f>
              <c:numCache>
                <c:formatCode>"$"#,##0.00</c:formatCode>
                <c:ptCount val="18"/>
                <c:pt idx="0" formatCode="General">
                  <c:v>0</c:v>
                </c:pt>
                <c:pt idx="1">
                  <c:v>1.5745413749999999</c:v>
                </c:pt>
                <c:pt idx="2">
                  <c:v>1.449542345</c:v>
                </c:pt>
                <c:pt idx="3">
                  <c:v>1.8281443799999999</c:v>
                </c:pt>
                <c:pt idx="4">
                  <c:v>1.5831995219999999</c:v>
                </c:pt>
                <c:pt idx="5">
                  <c:v>2.4412662869999999</c:v>
                </c:pt>
                <c:pt idx="6">
                  <c:v>2.1050042480000002</c:v>
                </c:pt>
                <c:pt idx="7">
                  <c:v>1.4467899689999999</c:v>
                </c:pt>
                <c:pt idx="8">
                  <c:v>2.3896068380000002</c:v>
                </c:pt>
                <c:pt idx="9">
                  <c:v>2.1470435659999998</c:v>
                </c:pt>
                <c:pt idx="10">
                  <c:v>2.8888907179999999</c:v>
                </c:pt>
                <c:pt idx="11">
                  <c:v>4.4059093039999997</c:v>
                </c:pt>
                <c:pt idx="12">
                  <c:v>2.6033632130000002</c:v>
                </c:pt>
                <c:pt idx="13">
                  <c:v>2.7496737069999999</c:v>
                </c:pt>
                <c:pt idx="14">
                  <c:v>6.2521075059999998</c:v>
                </c:pt>
                <c:pt idx="15">
                  <c:v>12.97798695</c:v>
                </c:pt>
                <c:pt idx="16">
                  <c:v>11.85772195</c:v>
                </c:pt>
                <c:pt idx="17">
                  <c:v>8.1343425020000009</c:v>
                </c:pt>
              </c:numCache>
            </c:numRef>
          </c:yVal>
          <c:smooth val="1"/>
          <c:extLst>
            <c:ext xmlns:c16="http://schemas.microsoft.com/office/drawing/2014/chart" uri="{C3380CC4-5D6E-409C-BE32-E72D297353CC}">
              <c16:uniqueId val="{00000000-F7BE-4502-8162-272D849BAACA}"/>
            </c:ext>
          </c:extLst>
        </c:ser>
        <c:dLbls>
          <c:showLegendKey val="0"/>
          <c:showVal val="0"/>
          <c:showCatName val="0"/>
          <c:showSerName val="0"/>
          <c:showPercent val="0"/>
          <c:showBubbleSize val="0"/>
        </c:dLbls>
        <c:axId val="1270886303"/>
        <c:axId val="345851925"/>
      </c:scatterChart>
      <c:valAx>
        <c:axId val="12708863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345851925"/>
        <c:crosses val="autoZero"/>
        <c:crossBetween val="midCat"/>
      </c:valAx>
      <c:valAx>
        <c:axId val="3458519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270886303"/>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strRef>
              <c:f>'Assumptions (Oil G&amp;T)'!$A$48:$R$48</c:f>
              <c:strCache>
                <c:ptCount val="18"/>
                <c:pt idx="0">
                  <c:v>U.S. Tight Oil Production (million bbl per day)</c:v>
                </c:pt>
                <c:pt idx="1">
                  <c:v>0.40</c:v>
                </c:pt>
                <c:pt idx="2">
                  <c:v>0.39</c:v>
                </c:pt>
                <c:pt idx="3">
                  <c:v>0.38</c:v>
                </c:pt>
                <c:pt idx="4">
                  <c:v>0.37</c:v>
                </c:pt>
                <c:pt idx="5">
                  <c:v>0.38</c:v>
                </c:pt>
                <c:pt idx="6">
                  <c:v>0.41</c:v>
                </c:pt>
                <c:pt idx="7">
                  <c:v>0.43</c:v>
                </c:pt>
                <c:pt idx="8">
                  <c:v>0.46</c:v>
                </c:pt>
                <c:pt idx="9">
                  <c:v>0.55</c:v>
                </c:pt>
                <c:pt idx="10">
                  <c:v>0.63</c:v>
                </c:pt>
                <c:pt idx="11">
                  <c:v>0.82</c:v>
                </c:pt>
                <c:pt idx="12">
                  <c:v>1.29</c:v>
                </c:pt>
                <c:pt idx="13">
                  <c:v>2.14</c:v>
                </c:pt>
                <c:pt idx="14">
                  <c:v>3.05</c:v>
                </c:pt>
                <c:pt idx="15">
                  <c:v>4.11</c:v>
                </c:pt>
                <c:pt idx="16">
                  <c:v>4.77</c:v>
                </c:pt>
                <c:pt idx="17">
                  <c:v>4.43</c:v>
                </c:pt>
              </c:strCache>
            </c:strRef>
          </c:xVal>
          <c:yVal>
            <c:numRef>
              <c:f>'Assumptions (Oil G&amp;T)'!$A$26:$R$26</c:f>
              <c:numCache>
                <c:formatCode>"$"#,##0.00</c:formatCode>
                <c:ptCount val="18"/>
                <c:pt idx="0" formatCode="General">
                  <c:v>0</c:v>
                </c:pt>
                <c:pt idx="1">
                  <c:v>9.1492486999999997E-2</c:v>
                </c:pt>
                <c:pt idx="2">
                  <c:v>0.24734112799999999</c:v>
                </c:pt>
                <c:pt idx="3">
                  <c:v>-7.0626297000000005E-2</c:v>
                </c:pt>
                <c:pt idx="4">
                  <c:v>0.22844051600000001</c:v>
                </c:pt>
                <c:pt idx="5">
                  <c:v>0.40230708900000001</c:v>
                </c:pt>
                <c:pt idx="6">
                  <c:v>0.63908610899999996</c:v>
                </c:pt>
                <c:pt idx="7">
                  <c:v>0.99078787499999998</c:v>
                </c:pt>
                <c:pt idx="8">
                  <c:v>2.1949181000000002</c:v>
                </c:pt>
                <c:pt idx="9">
                  <c:v>2.7626589680000002</c:v>
                </c:pt>
                <c:pt idx="10">
                  <c:v>1.054211885</c:v>
                </c:pt>
                <c:pt idx="11">
                  <c:v>2.84795401</c:v>
                </c:pt>
                <c:pt idx="12">
                  <c:v>1.2660546340000001</c:v>
                </c:pt>
                <c:pt idx="13">
                  <c:v>3.8663518620000001</c:v>
                </c:pt>
                <c:pt idx="14">
                  <c:v>8.5676131519999998</c:v>
                </c:pt>
                <c:pt idx="15">
                  <c:v>7.6427639620000001</c:v>
                </c:pt>
                <c:pt idx="16">
                  <c:v>3.3136837240000001</c:v>
                </c:pt>
                <c:pt idx="17">
                  <c:v>1.2655565179999999</c:v>
                </c:pt>
              </c:numCache>
            </c:numRef>
          </c:yVal>
          <c:smooth val="1"/>
          <c:extLst>
            <c:ext xmlns:c16="http://schemas.microsoft.com/office/drawing/2014/chart" uri="{C3380CC4-5D6E-409C-BE32-E72D297353CC}">
              <c16:uniqueId val="{00000000-DAA3-4246-B5EF-46264AB511E3}"/>
            </c:ext>
          </c:extLst>
        </c:ser>
        <c:dLbls>
          <c:showLegendKey val="0"/>
          <c:showVal val="0"/>
          <c:showCatName val="0"/>
          <c:showSerName val="0"/>
          <c:showPercent val="0"/>
          <c:showBubbleSize val="0"/>
        </c:dLbls>
        <c:axId val="133686652"/>
        <c:axId val="562489865"/>
      </c:scatterChart>
      <c:valAx>
        <c:axId val="1336866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562489865"/>
        <c:crosses val="autoZero"/>
        <c:crossBetween val="midCat"/>
      </c:valAx>
      <c:valAx>
        <c:axId val="562489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33686652"/>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strRef>
              <c:f>'Assumptions (Oil G&amp;T)'!$A$48:$R$48</c:f>
              <c:strCache>
                <c:ptCount val="18"/>
                <c:pt idx="0">
                  <c:v>U.S. Tight Oil Production (million bbl per day)</c:v>
                </c:pt>
                <c:pt idx="1">
                  <c:v>0.40</c:v>
                </c:pt>
                <c:pt idx="2">
                  <c:v>0.39</c:v>
                </c:pt>
                <c:pt idx="3">
                  <c:v>0.38</c:v>
                </c:pt>
                <c:pt idx="4">
                  <c:v>0.37</c:v>
                </c:pt>
                <c:pt idx="5">
                  <c:v>0.38</c:v>
                </c:pt>
                <c:pt idx="6">
                  <c:v>0.41</c:v>
                </c:pt>
                <c:pt idx="7">
                  <c:v>0.43</c:v>
                </c:pt>
                <c:pt idx="8">
                  <c:v>0.46</c:v>
                </c:pt>
                <c:pt idx="9">
                  <c:v>0.55</c:v>
                </c:pt>
                <c:pt idx="10">
                  <c:v>0.63</c:v>
                </c:pt>
                <c:pt idx="11">
                  <c:v>0.82</c:v>
                </c:pt>
                <c:pt idx="12">
                  <c:v>1.29</c:v>
                </c:pt>
                <c:pt idx="13">
                  <c:v>2.14</c:v>
                </c:pt>
                <c:pt idx="14">
                  <c:v>3.05</c:v>
                </c:pt>
                <c:pt idx="15">
                  <c:v>4.11</c:v>
                </c:pt>
                <c:pt idx="16">
                  <c:v>4.77</c:v>
                </c:pt>
                <c:pt idx="17">
                  <c:v>4.43</c:v>
                </c:pt>
              </c:strCache>
            </c:strRef>
          </c:xVal>
          <c:yVal>
            <c:numRef>
              <c:f>'Assumptions (Oil G&amp;T)'!$A$37:$R$37</c:f>
              <c:numCache>
                <c:formatCode>"$"#,##0.00</c:formatCode>
                <c:ptCount val="18"/>
                <c:pt idx="0" formatCode="General">
                  <c:v>0</c:v>
                </c:pt>
                <c:pt idx="1">
                  <c:v>1.6948498619999999</c:v>
                </c:pt>
                <c:pt idx="2">
                  <c:v>1.784462473</c:v>
                </c:pt>
                <c:pt idx="3">
                  <c:v>1.8143360829999999</c:v>
                </c:pt>
                <c:pt idx="4">
                  <c:v>1.836179038</c:v>
                </c:pt>
                <c:pt idx="5">
                  <c:v>3.0419613759999997</c:v>
                </c:pt>
                <c:pt idx="6">
                  <c:v>2.7855113570000003</c:v>
                </c:pt>
                <c:pt idx="7">
                  <c:v>2.4804938439999997</c:v>
                </c:pt>
                <c:pt idx="8">
                  <c:v>4.6950389379999997</c:v>
                </c:pt>
                <c:pt idx="9">
                  <c:v>5.0146175340000001</c:v>
                </c:pt>
                <c:pt idx="10">
                  <c:v>4.0537466030000004</c:v>
                </c:pt>
                <c:pt idx="11">
                  <c:v>7.3676233139999994</c:v>
                </c:pt>
                <c:pt idx="12">
                  <c:v>3.9785318470000002</c:v>
                </c:pt>
                <c:pt idx="13">
                  <c:v>7.0365095689999997</c:v>
                </c:pt>
                <c:pt idx="14">
                  <c:v>15.319414657999999</c:v>
                </c:pt>
                <c:pt idx="15">
                  <c:v>21.098084912000001</c:v>
                </c:pt>
                <c:pt idx="16">
                  <c:v>15.995911674</c:v>
                </c:pt>
                <c:pt idx="17">
                  <c:v>9.9571780200000006</c:v>
                </c:pt>
              </c:numCache>
            </c:numRef>
          </c:yVal>
          <c:smooth val="1"/>
          <c:extLst>
            <c:ext xmlns:c16="http://schemas.microsoft.com/office/drawing/2014/chart" uri="{C3380CC4-5D6E-409C-BE32-E72D297353CC}">
              <c16:uniqueId val="{00000000-6744-46BB-B948-3C9900B117A1}"/>
            </c:ext>
          </c:extLst>
        </c:ser>
        <c:dLbls>
          <c:showLegendKey val="0"/>
          <c:showVal val="0"/>
          <c:showCatName val="0"/>
          <c:showSerName val="0"/>
          <c:showPercent val="0"/>
          <c:showBubbleSize val="0"/>
        </c:dLbls>
        <c:axId val="1168757026"/>
        <c:axId val="1048488961"/>
      </c:scatterChart>
      <c:valAx>
        <c:axId val="11687570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048488961"/>
        <c:crosses val="autoZero"/>
        <c:crossBetween val="midCat"/>
      </c:valAx>
      <c:valAx>
        <c:axId val="1048488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16875702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strRef>
              <c:f>'Assumptions (Oil G&amp;T)'!$A$48:$R$48</c:f>
              <c:strCache>
                <c:ptCount val="18"/>
                <c:pt idx="0">
                  <c:v>U.S. Tight Oil Production (million bbl per day)</c:v>
                </c:pt>
                <c:pt idx="1">
                  <c:v>0.40</c:v>
                </c:pt>
                <c:pt idx="2">
                  <c:v>0.39</c:v>
                </c:pt>
                <c:pt idx="3">
                  <c:v>0.38</c:v>
                </c:pt>
                <c:pt idx="4">
                  <c:v>0.37</c:v>
                </c:pt>
                <c:pt idx="5">
                  <c:v>0.38</c:v>
                </c:pt>
                <c:pt idx="6">
                  <c:v>0.41</c:v>
                </c:pt>
                <c:pt idx="7">
                  <c:v>0.43</c:v>
                </c:pt>
                <c:pt idx="8">
                  <c:v>0.46</c:v>
                </c:pt>
                <c:pt idx="9">
                  <c:v>0.55</c:v>
                </c:pt>
                <c:pt idx="10">
                  <c:v>0.63</c:v>
                </c:pt>
                <c:pt idx="11">
                  <c:v>0.82</c:v>
                </c:pt>
                <c:pt idx="12">
                  <c:v>1.29</c:v>
                </c:pt>
                <c:pt idx="13">
                  <c:v>2.14</c:v>
                </c:pt>
                <c:pt idx="14">
                  <c:v>3.05</c:v>
                </c:pt>
                <c:pt idx="15">
                  <c:v>4.11</c:v>
                </c:pt>
                <c:pt idx="16">
                  <c:v>4.77</c:v>
                </c:pt>
                <c:pt idx="17">
                  <c:v>4.43</c:v>
                </c:pt>
              </c:strCache>
            </c:strRef>
          </c:xVal>
          <c:yVal>
            <c:numRef>
              <c:f>'Assumptions (Oil G&amp;T)'!$A$40:$R$40</c:f>
              <c:numCache>
                <c:formatCode>"$"#,##0.00</c:formatCode>
                <c:ptCount val="18"/>
                <c:pt idx="0" formatCode="General">
                  <c:v>0</c:v>
                </c:pt>
                <c:pt idx="1">
                  <c:v>7.2822647319999998</c:v>
                </c:pt>
                <c:pt idx="2">
                  <c:v>7.7682886330000001</c:v>
                </c:pt>
                <c:pt idx="3">
                  <c:v>7.9408306240000002</c:v>
                </c:pt>
                <c:pt idx="4">
                  <c:v>7.7309322509999996</c:v>
                </c:pt>
                <c:pt idx="5">
                  <c:v>7.6575674509999994</c:v>
                </c:pt>
                <c:pt idx="6">
                  <c:v>7.9539967589999998</c:v>
                </c:pt>
                <c:pt idx="7">
                  <c:v>8.5402840659999999</c:v>
                </c:pt>
                <c:pt idx="8">
                  <c:v>9.3103562229999977</c:v>
                </c:pt>
                <c:pt idx="9">
                  <c:v>9.2354151249999994</c:v>
                </c:pt>
                <c:pt idx="10">
                  <c:v>9.9788386189999994</c:v>
                </c:pt>
                <c:pt idx="11">
                  <c:v>11.210556137999999</c:v>
                </c:pt>
                <c:pt idx="12">
                  <c:v>12.565311376</c:v>
                </c:pt>
                <c:pt idx="13">
                  <c:v>14.025650972000001</c:v>
                </c:pt>
                <c:pt idx="14">
                  <c:v>16.024044008000001</c:v>
                </c:pt>
                <c:pt idx="15">
                  <c:v>19.314540135000001</c:v>
                </c:pt>
                <c:pt idx="16">
                  <c:v>22.070514448000001</c:v>
                </c:pt>
                <c:pt idx="17">
                  <c:v>23.118968085000002</c:v>
                </c:pt>
              </c:numCache>
            </c:numRef>
          </c:yVal>
          <c:smooth val="1"/>
          <c:extLst>
            <c:ext xmlns:c16="http://schemas.microsoft.com/office/drawing/2014/chart" uri="{C3380CC4-5D6E-409C-BE32-E72D297353CC}">
              <c16:uniqueId val="{00000000-8FE3-4B57-AEEF-F97CB3AC1C8E}"/>
            </c:ext>
          </c:extLst>
        </c:ser>
        <c:dLbls>
          <c:showLegendKey val="0"/>
          <c:showVal val="0"/>
          <c:showCatName val="0"/>
          <c:showSerName val="0"/>
          <c:showPercent val="0"/>
          <c:showBubbleSize val="0"/>
        </c:dLbls>
        <c:axId val="1911915056"/>
        <c:axId val="450851681"/>
      </c:scatterChart>
      <c:valAx>
        <c:axId val="19119150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450851681"/>
        <c:crosses val="autoZero"/>
        <c:crossBetween val="midCat"/>
      </c:valAx>
      <c:valAx>
        <c:axId val="450851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91191505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strRef>
              <c:f>'Assumptions (Oil G&amp;T)'!$A$48:$R$48</c:f>
              <c:strCache>
                <c:ptCount val="18"/>
                <c:pt idx="0">
                  <c:v>U.S. Tight Oil Production (million bbl per day)</c:v>
                </c:pt>
                <c:pt idx="1">
                  <c:v>0.40</c:v>
                </c:pt>
                <c:pt idx="2">
                  <c:v>0.39</c:v>
                </c:pt>
                <c:pt idx="3">
                  <c:v>0.38</c:v>
                </c:pt>
                <c:pt idx="4">
                  <c:v>0.37</c:v>
                </c:pt>
                <c:pt idx="5">
                  <c:v>0.38</c:v>
                </c:pt>
                <c:pt idx="6">
                  <c:v>0.41</c:v>
                </c:pt>
                <c:pt idx="7">
                  <c:v>0.43</c:v>
                </c:pt>
                <c:pt idx="8">
                  <c:v>0.46</c:v>
                </c:pt>
                <c:pt idx="9">
                  <c:v>0.55</c:v>
                </c:pt>
                <c:pt idx="10">
                  <c:v>0.63</c:v>
                </c:pt>
                <c:pt idx="11">
                  <c:v>0.82</c:v>
                </c:pt>
                <c:pt idx="12">
                  <c:v>1.29</c:v>
                </c:pt>
                <c:pt idx="13">
                  <c:v>2.14</c:v>
                </c:pt>
                <c:pt idx="14">
                  <c:v>3.05</c:v>
                </c:pt>
                <c:pt idx="15">
                  <c:v>4.11</c:v>
                </c:pt>
                <c:pt idx="16">
                  <c:v>4.77</c:v>
                </c:pt>
                <c:pt idx="17">
                  <c:v>4.43</c:v>
                </c:pt>
              </c:strCache>
            </c:strRef>
          </c:xVal>
          <c:yVal>
            <c:numRef>
              <c:f>'Assumptions (Oil G&amp;T)'!$A$41:$R$41</c:f>
              <c:numCache>
                <c:formatCode>"$"#,##0.00</c:formatCode>
                <c:ptCount val="18"/>
                <c:pt idx="0" formatCode="General">
                  <c:v>0</c:v>
                </c:pt>
                <c:pt idx="1">
                  <c:v>4.676504969999999</c:v>
                </c:pt>
                <c:pt idx="2">
                  <c:v>5.0550079710000002</c:v>
                </c:pt>
                <c:pt idx="3">
                  <c:v>5.1575083209999999</c:v>
                </c:pt>
                <c:pt idx="4">
                  <c:v>5.214598305</c:v>
                </c:pt>
                <c:pt idx="5">
                  <c:v>3.3232993780000002</c:v>
                </c:pt>
                <c:pt idx="6">
                  <c:v>3.2930506509999997</c:v>
                </c:pt>
                <c:pt idx="7">
                  <c:v>4.0352826189999993</c:v>
                </c:pt>
                <c:pt idx="8">
                  <c:v>4.4724636250000005</c:v>
                </c:pt>
                <c:pt idx="9">
                  <c:v>4.1735682889999994</c:v>
                </c:pt>
                <c:pt idx="10">
                  <c:v>4.3129405230000009</c:v>
                </c:pt>
                <c:pt idx="11">
                  <c:v>5.5216871600000008</c:v>
                </c:pt>
                <c:pt idx="12">
                  <c:v>4.9852559210000003</c:v>
                </c:pt>
                <c:pt idx="13">
                  <c:v>5.1227699900000001</c:v>
                </c:pt>
                <c:pt idx="14">
                  <c:v>6.4022940159999999</c:v>
                </c:pt>
                <c:pt idx="15">
                  <c:v>6.9099759899999986</c:v>
                </c:pt>
                <c:pt idx="16">
                  <c:v>7.6315185229999987</c:v>
                </c:pt>
                <c:pt idx="17">
                  <c:v>7.9724605009999996</c:v>
                </c:pt>
              </c:numCache>
            </c:numRef>
          </c:yVal>
          <c:smooth val="1"/>
          <c:extLst>
            <c:ext xmlns:c16="http://schemas.microsoft.com/office/drawing/2014/chart" uri="{C3380CC4-5D6E-409C-BE32-E72D297353CC}">
              <c16:uniqueId val="{00000000-7B84-4D64-8DB5-D377AB24CA2A}"/>
            </c:ext>
          </c:extLst>
        </c:ser>
        <c:dLbls>
          <c:showLegendKey val="0"/>
          <c:showVal val="0"/>
          <c:showCatName val="0"/>
          <c:showSerName val="0"/>
          <c:showPercent val="0"/>
          <c:showBubbleSize val="0"/>
        </c:dLbls>
        <c:axId val="575449428"/>
        <c:axId val="1014601002"/>
      </c:scatterChart>
      <c:valAx>
        <c:axId val="5754494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014601002"/>
        <c:crosses val="autoZero"/>
        <c:crossBetween val="midCat"/>
      </c:valAx>
      <c:valAx>
        <c:axId val="10146010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575449428"/>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(Oil G&amp;T)'!$A$3</c:f>
              <c:strCache>
                <c:ptCount val="1"/>
                <c:pt idx="0">
                  <c:v>Gathering Beginning Year Balance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G&amp;T)'!$B$3:$R$3</c:f>
              <c:numCache>
                <c:formatCode>"$"#,##0.00</c:formatCode>
                <c:ptCount val="17"/>
                <c:pt idx="0">
                  <c:v>0.78194699999999995</c:v>
                </c:pt>
                <c:pt idx="1">
                  <c:v>0.77089200000000002</c:v>
                </c:pt>
                <c:pt idx="2">
                  <c:v>0.87259900000000001</c:v>
                </c:pt>
                <c:pt idx="3">
                  <c:v>0.82530599999999998</c:v>
                </c:pt>
                <c:pt idx="4">
                  <c:v>0.68492299999999995</c:v>
                </c:pt>
                <c:pt idx="5">
                  <c:v>0.79745500000000002</c:v>
                </c:pt>
                <c:pt idx="6">
                  <c:v>0.83444099999999999</c:v>
                </c:pt>
                <c:pt idx="7">
                  <c:v>0.85335099999999997</c:v>
                </c:pt>
                <c:pt idx="8">
                  <c:v>0.96014600000000005</c:v>
                </c:pt>
                <c:pt idx="9">
                  <c:v>1.0380579999999999</c:v>
                </c:pt>
                <c:pt idx="10">
                  <c:v>1.1396459999999999</c:v>
                </c:pt>
                <c:pt idx="11">
                  <c:v>1.151108</c:v>
                </c:pt>
                <c:pt idx="12">
                  <c:v>1.380293</c:v>
                </c:pt>
                <c:pt idx="13">
                  <c:v>1.9262459999999999</c:v>
                </c:pt>
                <c:pt idx="14">
                  <c:v>2.2440479999999998</c:v>
                </c:pt>
                <c:pt idx="15">
                  <c:v>2.5830630000000001</c:v>
                </c:pt>
                <c:pt idx="16">
                  <c:v>3.2968820000000001</c:v>
                </c:pt>
              </c:numCache>
            </c:numRef>
          </c:val>
          <c:smooth val="0"/>
          <c:extLst>
            <c:ext xmlns:c16="http://schemas.microsoft.com/office/drawing/2014/chart" uri="{C3380CC4-5D6E-409C-BE32-E72D297353CC}">
              <c16:uniqueId val="{00000000-35B3-4071-B312-EBEA8FA4275E}"/>
            </c:ext>
          </c:extLst>
        </c:ser>
        <c:ser>
          <c:idx val="1"/>
          <c:order val="1"/>
          <c:tx>
            <c:strRef>
              <c:f>'Assumptions (Oil G&amp;T)'!$A$4</c:f>
              <c:strCache>
                <c:ptCount val="1"/>
                <c:pt idx="0">
                  <c:v>Gathering Capital Expenditures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G&amp;T)'!$B$4:$R$4</c:f>
              <c:numCache>
                <c:formatCode>"$"#,##0.00</c:formatCode>
                <c:ptCount val="17"/>
                <c:pt idx="0">
                  <c:v>2.8816000000000001E-2</c:v>
                </c:pt>
                <c:pt idx="1">
                  <c:v>8.7579000000000004E-2</c:v>
                </c:pt>
                <c:pt idx="2">
                  <c:v>5.6818E-2</c:v>
                </c:pt>
                <c:pt idx="3">
                  <c:v>2.4538999999999998E-2</c:v>
                </c:pt>
                <c:pt idx="4">
                  <c:v>0.19838800000000001</c:v>
                </c:pt>
                <c:pt idx="5">
                  <c:v>4.1420999999999999E-2</c:v>
                </c:pt>
                <c:pt idx="6">
                  <c:v>4.2916000000000003E-2</c:v>
                </c:pt>
                <c:pt idx="7">
                  <c:v>0.110514</c:v>
                </c:pt>
                <c:pt idx="8">
                  <c:v>0.10491499999999999</c:v>
                </c:pt>
                <c:pt idx="9">
                  <c:v>0.11064400000000001</c:v>
                </c:pt>
                <c:pt idx="10">
                  <c:v>0.11376</c:v>
                </c:pt>
                <c:pt idx="11">
                  <c:v>0.109114</c:v>
                </c:pt>
                <c:pt idx="12">
                  <c:v>0.42048400000000002</c:v>
                </c:pt>
                <c:pt idx="13">
                  <c:v>0.49969400000000003</c:v>
                </c:pt>
                <c:pt idx="14">
                  <c:v>0.47733399999999998</c:v>
                </c:pt>
                <c:pt idx="15">
                  <c:v>0.82450599999999996</c:v>
                </c:pt>
                <c:pt idx="16">
                  <c:v>0.55727899999999997</c:v>
                </c:pt>
              </c:numCache>
            </c:numRef>
          </c:val>
          <c:smooth val="0"/>
          <c:extLst>
            <c:ext xmlns:c16="http://schemas.microsoft.com/office/drawing/2014/chart" uri="{C3380CC4-5D6E-409C-BE32-E72D297353CC}">
              <c16:uniqueId val="{00000001-35B3-4071-B312-EBEA8FA4275E}"/>
            </c:ext>
          </c:extLst>
        </c:ser>
        <c:ser>
          <c:idx val="2"/>
          <c:order val="2"/>
          <c:tx>
            <c:strRef>
              <c:f>'Assumptions (Oil G&amp;T)'!$A$5</c:f>
              <c:strCache>
                <c:ptCount val="1"/>
                <c:pt idx="0">
                  <c:v>Gathering Sold/Abandoned/Retired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G&amp;T)'!$B$5:$R$5</c:f>
              <c:numCache>
                <c:formatCode>"$"#,##0.00</c:formatCode>
                <c:ptCount val="17"/>
                <c:pt idx="0">
                  <c:v>3.8592000000000001E-2</c:v>
                </c:pt>
                <c:pt idx="1">
                  <c:v>3.8571000000000001E-2</c:v>
                </c:pt>
                <c:pt idx="2">
                  <c:v>5.7064999999999998E-2</c:v>
                </c:pt>
                <c:pt idx="3">
                  <c:v>7.1831999999999993E-2</c:v>
                </c:pt>
                <c:pt idx="4">
                  <c:v>3.9987000000000002E-2</c:v>
                </c:pt>
                <c:pt idx="5">
                  <c:v>1.6865000000000002E-2</c:v>
                </c:pt>
                <c:pt idx="6">
                  <c:v>2.1786E-2</c:v>
                </c:pt>
                <c:pt idx="7">
                  <c:v>5.5849999999999997E-2</c:v>
                </c:pt>
                <c:pt idx="8">
                  <c:v>2.7151000000000002E-2</c:v>
                </c:pt>
                <c:pt idx="9">
                  <c:v>9.5879999999999993E-3</c:v>
                </c:pt>
                <c:pt idx="10">
                  <c:v>0.12687899999999999</c:v>
                </c:pt>
                <c:pt idx="11">
                  <c:v>2.3699000000000001E-2</c:v>
                </c:pt>
                <c:pt idx="12">
                  <c:v>7.7939999999999997E-3</c:v>
                </c:pt>
                <c:pt idx="13">
                  <c:v>1.8076999999999999E-2</c:v>
                </c:pt>
                <c:pt idx="14">
                  <c:v>6.8060000000000004E-3</c:v>
                </c:pt>
                <c:pt idx="15">
                  <c:v>0.15177299999999999</c:v>
                </c:pt>
                <c:pt idx="16">
                  <c:v>5.0451000000000003E-2</c:v>
                </c:pt>
              </c:numCache>
            </c:numRef>
          </c:val>
          <c:smooth val="0"/>
          <c:extLst>
            <c:ext xmlns:c16="http://schemas.microsoft.com/office/drawing/2014/chart" uri="{C3380CC4-5D6E-409C-BE32-E72D297353CC}">
              <c16:uniqueId val="{00000002-35B3-4071-B312-EBEA8FA4275E}"/>
            </c:ext>
          </c:extLst>
        </c:ser>
        <c:ser>
          <c:idx val="3"/>
          <c:order val="3"/>
          <c:tx>
            <c:strRef>
              <c:f>'Assumptions (Oil G&amp;T)'!$A$6</c:f>
              <c:strCache>
                <c:ptCount val="1"/>
                <c:pt idx="0">
                  <c:v>Gathering Other Adjustments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G&amp;T)'!$B$6:$R$6</c:f>
              <c:numCache>
                <c:formatCode>"$"#,##0.00</c:formatCode>
                <c:ptCount val="17"/>
                <c:pt idx="0">
                  <c:v>-5.2399999999999999E-3</c:v>
                </c:pt>
                <c:pt idx="1">
                  <c:v>3.6740000000000002E-3</c:v>
                </c:pt>
                <c:pt idx="2">
                  <c:v>-3.3910000000000003E-2</c:v>
                </c:pt>
                <c:pt idx="3">
                  <c:v>-3.0000000000000001E-3</c:v>
                </c:pt>
                <c:pt idx="4">
                  <c:v>-4.0329999999999998E-2</c:v>
                </c:pt>
                <c:pt idx="5">
                  <c:v>-2.5999999999999998E-4</c:v>
                </c:pt>
                <c:pt idx="6">
                  <c:v>1.6230000000000001E-3</c:v>
                </c:pt>
                <c:pt idx="7">
                  <c:v>5.4282999999999998E-2</c:v>
                </c:pt>
                <c:pt idx="8">
                  <c:v>1.1E-4</c:v>
                </c:pt>
                <c:pt idx="9">
                  <c:v>2.8379999999999998E-3</c:v>
                </c:pt>
                <c:pt idx="10">
                  <c:v>6.4700000000000001E-4</c:v>
                </c:pt>
                <c:pt idx="11">
                  <c:v>3.6167999999999999E-2</c:v>
                </c:pt>
                <c:pt idx="12">
                  <c:v>0.133739</c:v>
                </c:pt>
                <c:pt idx="13">
                  <c:v>-0.14860999999999999</c:v>
                </c:pt>
                <c:pt idx="14">
                  <c:v>4.2285999999999997E-2</c:v>
                </c:pt>
                <c:pt idx="15">
                  <c:v>-3.1130000000000001E-2</c:v>
                </c:pt>
                <c:pt idx="16">
                  <c:v>9.7420000000000007E-3</c:v>
                </c:pt>
              </c:numCache>
            </c:numRef>
          </c:val>
          <c:smooth val="0"/>
          <c:extLst>
            <c:ext xmlns:c16="http://schemas.microsoft.com/office/drawing/2014/chart" uri="{C3380CC4-5D6E-409C-BE32-E72D297353CC}">
              <c16:uniqueId val="{00000003-35B3-4071-B312-EBEA8FA4275E}"/>
            </c:ext>
          </c:extLst>
        </c:ser>
        <c:ser>
          <c:idx val="4"/>
          <c:order val="4"/>
          <c:tx>
            <c:strRef>
              <c:f>'Assumptions (Oil G&amp;T)'!$A$7</c:f>
              <c:strCache>
                <c:ptCount val="1"/>
                <c:pt idx="0">
                  <c:v>Gathering Revenues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G&amp;T)'!$B$7:$R$7</c:f>
              <c:numCache>
                <c:formatCode>"$"#,##0.00</c:formatCode>
                <c:ptCount val="17"/>
                <c:pt idx="0">
                  <c:v>0.17486538400000001</c:v>
                </c:pt>
                <c:pt idx="1">
                  <c:v>0.18771660900000001</c:v>
                </c:pt>
                <c:pt idx="2">
                  <c:v>0.17360095</c:v>
                </c:pt>
                <c:pt idx="3">
                  <c:v>0.15570503599999999</c:v>
                </c:pt>
                <c:pt idx="4">
                  <c:v>0.11892475600000001</c:v>
                </c:pt>
                <c:pt idx="5">
                  <c:v>0.117861408</c:v>
                </c:pt>
                <c:pt idx="6">
                  <c:v>0.11572948800000001</c:v>
                </c:pt>
                <c:pt idx="7">
                  <c:v>0.13967283599999999</c:v>
                </c:pt>
                <c:pt idx="8">
                  <c:v>0.14817113800000001</c:v>
                </c:pt>
                <c:pt idx="9">
                  <c:v>0.18416274699999999</c:v>
                </c:pt>
                <c:pt idx="10">
                  <c:v>0.18565095000000001</c:v>
                </c:pt>
                <c:pt idx="11">
                  <c:v>0.22657497300000001</c:v>
                </c:pt>
                <c:pt idx="12">
                  <c:v>0.33054128500000002</c:v>
                </c:pt>
                <c:pt idx="13">
                  <c:v>0.388394352</c:v>
                </c:pt>
                <c:pt idx="14">
                  <c:v>0.49040798800000002</c:v>
                </c:pt>
                <c:pt idx="15">
                  <c:v>0.48027144700000002</c:v>
                </c:pt>
                <c:pt idx="16">
                  <c:v>0.54266575699999997</c:v>
                </c:pt>
              </c:numCache>
            </c:numRef>
          </c:val>
          <c:smooth val="0"/>
          <c:extLst>
            <c:ext xmlns:c16="http://schemas.microsoft.com/office/drawing/2014/chart" uri="{C3380CC4-5D6E-409C-BE32-E72D297353CC}">
              <c16:uniqueId val="{00000004-35B3-4071-B312-EBEA8FA4275E}"/>
            </c:ext>
          </c:extLst>
        </c:ser>
        <c:ser>
          <c:idx val="5"/>
          <c:order val="5"/>
          <c:tx>
            <c:strRef>
              <c:f>'Assumptions (Oil G&amp;T)'!$A$8</c:f>
              <c:strCache>
                <c:ptCount val="1"/>
                <c:pt idx="0">
                  <c:v>Gathering Revenues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G&amp;T)'!$B$8:$R$8</c:f>
              <c:numCache>
                <c:formatCode>"$"#,##0.00</c:formatCode>
                <c:ptCount val="17"/>
                <c:pt idx="0">
                  <c:v>5.1797839999999998E-3</c:v>
                </c:pt>
                <c:pt idx="1">
                  <c:v>5.2272157999999999E-2</c:v>
                </c:pt>
                <c:pt idx="2">
                  <c:v>1.3496766E-2</c:v>
                </c:pt>
                <c:pt idx="3">
                  <c:v>5.6672142000000002E-2</c:v>
                </c:pt>
                <c:pt idx="4">
                  <c:v>1.1771668000000001E-2</c:v>
                </c:pt>
                <c:pt idx="5">
                  <c:v>0.69345371700000003</c:v>
                </c:pt>
                <c:pt idx="6">
                  <c:v>1.1003298999999999E-2</c:v>
                </c:pt>
                <c:pt idx="7">
                  <c:v>4.8964699999999996E-4</c:v>
                </c:pt>
                <c:pt idx="8">
                  <c:v>1.2650949999999999E-3</c:v>
                </c:pt>
                <c:pt idx="9">
                  <c:v>9.5693819999999995E-3</c:v>
                </c:pt>
                <c:pt idx="10">
                  <c:v>3.5347482E-2</c:v>
                </c:pt>
                <c:pt idx="11">
                  <c:v>8.0987300000000002E-4</c:v>
                </c:pt>
                <c:pt idx="12">
                  <c:v>8.8714700000000002E-4</c:v>
                </c:pt>
                <c:pt idx="13">
                  <c:v>6.8258140000000004E-3</c:v>
                </c:pt>
                <c:pt idx="14">
                  <c:v>2.0850859999999999E-3</c:v>
                </c:pt>
                <c:pt idx="15">
                  <c:v>2.3268210000000002E-3</c:v>
                </c:pt>
                <c:pt idx="16">
                  <c:v>4.8570519999999997E-3</c:v>
                </c:pt>
              </c:numCache>
            </c:numRef>
          </c:val>
          <c:smooth val="0"/>
          <c:extLst>
            <c:ext xmlns:c16="http://schemas.microsoft.com/office/drawing/2014/chart" uri="{C3380CC4-5D6E-409C-BE32-E72D297353CC}">
              <c16:uniqueId val="{00000005-35B3-4071-B312-EBEA8FA4275E}"/>
            </c:ext>
          </c:extLst>
        </c:ser>
        <c:ser>
          <c:idx val="6"/>
          <c:order val="6"/>
          <c:tx>
            <c:strRef>
              <c:f>'Assumptions (Oil G&amp;T)'!$A$9</c:f>
              <c:strCache>
                <c:ptCount val="1"/>
                <c:pt idx="0">
                  <c:v>Gathering O&amp;M Expenses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G&amp;T)'!$B$9:$R$9</c:f>
              <c:numCache>
                <c:formatCode>"$"#,##0.00</c:formatCode>
                <c:ptCount val="17"/>
                <c:pt idx="0">
                  <c:v>7.8427743999999994E-2</c:v>
                </c:pt>
                <c:pt idx="1">
                  <c:v>9.8151912999999993E-2</c:v>
                </c:pt>
                <c:pt idx="2">
                  <c:v>8.7350765999999996E-2</c:v>
                </c:pt>
                <c:pt idx="3">
                  <c:v>8.4484964999999995E-2</c:v>
                </c:pt>
                <c:pt idx="4">
                  <c:v>3.1270324000000002E-2</c:v>
                </c:pt>
                <c:pt idx="5">
                  <c:v>3.4692195000000002E-2</c:v>
                </c:pt>
                <c:pt idx="6">
                  <c:v>0.44375015600000001</c:v>
                </c:pt>
                <c:pt idx="7">
                  <c:v>2.3470747439999999</c:v>
                </c:pt>
                <c:pt idx="8">
                  <c:v>7.5262893269999998</c:v>
                </c:pt>
                <c:pt idx="9">
                  <c:v>9.1641355999999993E-2</c:v>
                </c:pt>
                <c:pt idx="10">
                  <c:v>6.3429054999999998E-2</c:v>
                </c:pt>
                <c:pt idx="11">
                  <c:v>8.0415605000000001E-2</c:v>
                </c:pt>
                <c:pt idx="12">
                  <c:v>9.0647265000000005E-2</c:v>
                </c:pt>
                <c:pt idx="13">
                  <c:v>0.116362548</c:v>
                </c:pt>
                <c:pt idx="14">
                  <c:v>0.12134009599999999</c:v>
                </c:pt>
                <c:pt idx="15">
                  <c:v>8.6348015E-2</c:v>
                </c:pt>
                <c:pt idx="16">
                  <c:v>9.6358811000000003E-2</c:v>
                </c:pt>
              </c:numCache>
            </c:numRef>
          </c:val>
          <c:smooth val="0"/>
          <c:extLst>
            <c:ext xmlns:c16="http://schemas.microsoft.com/office/drawing/2014/chart" uri="{C3380CC4-5D6E-409C-BE32-E72D297353CC}">
              <c16:uniqueId val="{00000006-35B3-4071-B312-EBEA8FA4275E}"/>
            </c:ext>
          </c:extLst>
        </c:ser>
        <c:ser>
          <c:idx val="7"/>
          <c:order val="7"/>
          <c:tx>
            <c:strRef>
              <c:f>'Assumptions (Oil G&amp;T)'!$A$10</c:f>
              <c:strCache>
                <c:ptCount val="1"/>
                <c:pt idx="0">
                  <c:v>Gathering O&amp;M Expenses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G&amp;T)'!$B$10:$R$10</c:f>
              <c:numCache>
                <c:formatCode>"$"#,##0.00</c:formatCode>
                <c:ptCount val="17"/>
                <c:pt idx="0">
                  <c:v>1.5303070000000001E-3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7-35B3-4071-B312-EBEA8FA4275E}"/>
            </c:ext>
          </c:extLst>
        </c:ser>
        <c:ser>
          <c:idx val="8"/>
          <c:order val="8"/>
          <c:tx>
            <c:strRef>
              <c:f>'Assumptions (Oil G&amp;T)'!$A$11</c:f>
              <c:strCache>
                <c:ptCount val="1"/>
                <c:pt idx="0">
                  <c:v>Gathering General Expenses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G&amp;T)'!$B$11:$R$11</c:f>
              <c:numCache>
                <c:formatCode>"$"#,##0.00</c:formatCode>
                <c:ptCount val="17"/>
                <c:pt idx="0">
                  <c:v>7.5911079000000006E-2</c:v>
                </c:pt>
                <c:pt idx="1">
                  <c:v>8.9139421999999996E-2</c:v>
                </c:pt>
                <c:pt idx="2">
                  <c:v>8.4109663000000001E-2</c:v>
                </c:pt>
                <c:pt idx="3">
                  <c:v>7.3912033000000002E-2</c:v>
                </c:pt>
                <c:pt idx="4">
                  <c:v>4.1929342000000001E-2</c:v>
                </c:pt>
                <c:pt idx="5">
                  <c:v>5.0943580000000002E-2</c:v>
                </c:pt>
                <c:pt idx="6">
                  <c:v>4.3741888999999999E-2</c:v>
                </c:pt>
                <c:pt idx="7">
                  <c:v>7.6229036999999999E-2</c:v>
                </c:pt>
                <c:pt idx="8">
                  <c:v>6.7245164999999996E-2</c:v>
                </c:pt>
                <c:pt idx="9">
                  <c:v>4.1569179999999997E-2</c:v>
                </c:pt>
                <c:pt idx="10">
                  <c:v>6.5388281000000006E-2</c:v>
                </c:pt>
                <c:pt idx="11">
                  <c:v>8.3086493999999997E-2</c:v>
                </c:pt>
                <c:pt idx="12">
                  <c:v>7.0053351999999999E-2</c:v>
                </c:pt>
                <c:pt idx="13">
                  <c:v>0.11650561199999999</c:v>
                </c:pt>
                <c:pt idx="14">
                  <c:v>0.102074752</c:v>
                </c:pt>
                <c:pt idx="15">
                  <c:v>0.115037047</c:v>
                </c:pt>
                <c:pt idx="16">
                  <c:v>0.66425007999999996</c:v>
                </c:pt>
              </c:numCache>
            </c:numRef>
          </c:val>
          <c:smooth val="0"/>
          <c:extLst>
            <c:ext xmlns:c16="http://schemas.microsoft.com/office/drawing/2014/chart" uri="{C3380CC4-5D6E-409C-BE32-E72D297353CC}">
              <c16:uniqueId val="{00000008-35B3-4071-B312-EBEA8FA4275E}"/>
            </c:ext>
          </c:extLst>
        </c:ser>
        <c:ser>
          <c:idx val="9"/>
          <c:order val="9"/>
          <c:tx>
            <c:strRef>
              <c:f>'Assumptions (Oil G&amp;T)'!$A$12</c:f>
              <c:strCache>
                <c:ptCount val="1"/>
                <c:pt idx="0">
                  <c:v>Gathering General Expenses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G&amp;T)'!$B$12:$R$12</c:f>
              <c:numCache>
                <c:formatCode>"$"#,##0.00</c:formatCode>
                <c:ptCount val="17"/>
                <c:pt idx="0">
                  <c:v>5.7847699999999998E-3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9-35B3-4071-B312-EBEA8FA4275E}"/>
            </c:ext>
          </c:extLst>
        </c:ser>
        <c:dLbls>
          <c:showLegendKey val="0"/>
          <c:showVal val="0"/>
          <c:showCatName val="0"/>
          <c:showSerName val="0"/>
          <c:showPercent val="0"/>
          <c:showBubbleSize val="0"/>
        </c:dLbls>
        <c:smooth val="0"/>
        <c:axId val="958854969"/>
        <c:axId val="885968180"/>
      </c:lineChart>
      <c:catAx>
        <c:axId val="95885496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885968180"/>
        <c:crosses val="autoZero"/>
        <c:auto val="1"/>
        <c:lblAlgn val="ctr"/>
        <c:lblOffset val="100"/>
        <c:noMultiLvlLbl val="1"/>
      </c:catAx>
      <c:valAx>
        <c:axId val="8859681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958854969"/>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(Oil G&amp;T)'!$A$14</c:f>
              <c:strCache>
                <c:ptCount val="1"/>
                <c:pt idx="0">
                  <c:v>Trunk Lines Beginning Year Balance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G&amp;T)'!$B$14:$R$14</c:f>
              <c:numCache>
                <c:formatCode>"$"#,##0.00</c:formatCode>
                <c:ptCount val="17"/>
                <c:pt idx="0">
                  <c:v>31.68996508</c:v>
                </c:pt>
                <c:pt idx="1">
                  <c:v>29.983178519999999</c:v>
                </c:pt>
                <c:pt idx="2">
                  <c:v>33.03055561</c:v>
                </c:pt>
                <c:pt idx="3">
                  <c:v>29.57211783</c:v>
                </c:pt>
                <c:pt idx="4">
                  <c:v>30.636648539999999</c:v>
                </c:pt>
                <c:pt idx="5">
                  <c:v>31.943187479999999</c:v>
                </c:pt>
                <c:pt idx="6">
                  <c:v>36.468541760000001</c:v>
                </c:pt>
                <c:pt idx="7">
                  <c:v>35.220251650000002</c:v>
                </c:pt>
                <c:pt idx="8">
                  <c:v>37.374824629999999</c:v>
                </c:pt>
                <c:pt idx="9">
                  <c:v>40.399615369999999</c:v>
                </c:pt>
                <c:pt idx="10">
                  <c:v>44.4071365</c:v>
                </c:pt>
                <c:pt idx="11">
                  <c:v>49.908145789999999</c:v>
                </c:pt>
                <c:pt idx="12">
                  <c:v>54.25113528</c:v>
                </c:pt>
                <c:pt idx="13">
                  <c:v>55.764936800000001</c:v>
                </c:pt>
                <c:pt idx="14">
                  <c:v>65.335137680000003</c:v>
                </c:pt>
                <c:pt idx="15">
                  <c:v>82.893860989999993</c:v>
                </c:pt>
                <c:pt idx="16">
                  <c:v>92.438967779999999</c:v>
                </c:pt>
              </c:numCache>
            </c:numRef>
          </c:val>
          <c:smooth val="0"/>
          <c:extLst>
            <c:ext xmlns:c16="http://schemas.microsoft.com/office/drawing/2014/chart" uri="{C3380CC4-5D6E-409C-BE32-E72D297353CC}">
              <c16:uniqueId val="{00000000-50A0-4553-8E57-FB5610C6FCFF}"/>
            </c:ext>
          </c:extLst>
        </c:ser>
        <c:ser>
          <c:idx val="1"/>
          <c:order val="1"/>
          <c:tx>
            <c:strRef>
              <c:f>'Assumptions (Oil G&amp;T)'!$A$15</c:f>
              <c:strCache>
                <c:ptCount val="1"/>
                <c:pt idx="0">
                  <c:v>Trunk Lines Capital Expenditures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G&amp;T)'!$B$15:$R$15</c:f>
              <c:numCache>
                <c:formatCode>"$"#,##0.00</c:formatCode>
                <c:ptCount val="17"/>
                <c:pt idx="0">
                  <c:v>1.5745413749999999</c:v>
                </c:pt>
                <c:pt idx="1">
                  <c:v>1.449542345</c:v>
                </c:pt>
                <c:pt idx="2">
                  <c:v>1.8281443799999999</c:v>
                </c:pt>
                <c:pt idx="3">
                  <c:v>1.5831995219999999</c:v>
                </c:pt>
                <c:pt idx="4">
                  <c:v>2.4412662869999999</c:v>
                </c:pt>
                <c:pt idx="5">
                  <c:v>2.1050042480000002</c:v>
                </c:pt>
                <c:pt idx="6">
                  <c:v>1.4467899689999999</c:v>
                </c:pt>
                <c:pt idx="7">
                  <c:v>2.3896068380000002</c:v>
                </c:pt>
                <c:pt idx="8">
                  <c:v>2.1470435659999998</c:v>
                </c:pt>
                <c:pt idx="9">
                  <c:v>2.8888907179999999</c:v>
                </c:pt>
                <c:pt idx="10">
                  <c:v>4.4059093039999997</c:v>
                </c:pt>
                <c:pt idx="11">
                  <c:v>2.6033632130000002</c:v>
                </c:pt>
                <c:pt idx="12">
                  <c:v>2.7496737069999999</c:v>
                </c:pt>
                <c:pt idx="13">
                  <c:v>6.2521075059999998</c:v>
                </c:pt>
                <c:pt idx="14">
                  <c:v>12.97798695</c:v>
                </c:pt>
                <c:pt idx="15">
                  <c:v>11.85772195</c:v>
                </c:pt>
                <c:pt idx="16">
                  <c:v>8.1343425020000009</c:v>
                </c:pt>
              </c:numCache>
            </c:numRef>
          </c:val>
          <c:smooth val="0"/>
          <c:extLst>
            <c:ext xmlns:c16="http://schemas.microsoft.com/office/drawing/2014/chart" uri="{C3380CC4-5D6E-409C-BE32-E72D297353CC}">
              <c16:uniqueId val="{00000001-50A0-4553-8E57-FB5610C6FCFF}"/>
            </c:ext>
          </c:extLst>
        </c:ser>
        <c:ser>
          <c:idx val="2"/>
          <c:order val="2"/>
          <c:tx>
            <c:strRef>
              <c:f>'Assumptions (Oil G&amp;T)'!$A$16</c:f>
              <c:strCache>
                <c:ptCount val="1"/>
                <c:pt idx="0">
                  <c:v>Trunk Lines Sold/Abandoned/Retired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G&amp;T)'!$B$16:$R$16</c:f>
              <c:numCache>
                <c:formatCode>"$"#,##0.00</c:formatCode>
                <c:ptCount val="17"/>
                <c:pt idx="0">
                  <c:v>0.91032232499999999</c:v>
                </c:pt>
                <c:pt idx="1">
                  <c:v>0.53030225200000003</c:v>
                </c:pt>
                <c:pt idx="2">
                  <c:v>0.51207458500000003</c:v>
                </c:pt>
                <c:pt idx="3">
                  <c:v>0.215920258</c:v>
                </c:pt>
                <c:pt idx="4">
                  <c:v>0.64196218000000005</c:v>
                </c:pt>
                <c:pt idx="5">
                  <c:v>0.68231437299999997</c:v>
                </c:pt>
                <c:pt idx="6">
                  <c:v>0.57977049899999999</c:v>
                </c:pt>
                <c:pt idx="7">
                  <c:v>0.42640882000000002</c:v>
                </c:pt>
                <c:pt idx="8">
                  <c:v>0.42148254699999999</c:v>
                </c:pt>
                <c:pt idx="9">
                  <c:v>0.37691930200000001</c:v>
                </c:pt>
                <c:pt idx="10">
                  <c:v>0.40957078099999999</c:v>
                </c:pt>
                <c:pt idx="11">
                  <c:v>0.28728216499999998</c:v>
                </c:pt>
                <c:pt idx="12">
                  <c:v>0.24702073299999999</c:v>
                </c:pt>
                <c:pt idx="13">
                  <c:v>0.55790776799999997</c:v>
                </c:pt>
                <c:pt idx="14">
                  <c:v>0.64519967099999997</c:v>
                </c:pt>
                <c:pt idx="15">
                  <c:v>0.628899494</c:v>
                </c:pt>
                <c:pt idx="16">
                  <c:v>0.85889386199999995</c:v>
                </c:pt>
              </c:numCache>
            </c:numRef>
          </c:val>
          <c:smooth val="0"/>
          <c:extLst>
            <c:ext xmlns:c16="http://schemas.microsoft.com/office/drawing/2014/chart" uri="{C3380CC4-5D6E-409C-BE32-E72D297353CC}">
              <c16:uniqueId val="{00000002-50A0-4553-8E57-FB5610C6FCFF}"/>
            </c:ext>
          </c:extLst>
        </c:ser>
        <c:ser>
          <c:idx val="3"/>
          <c:order val="3"/>
          <c:tx>
            <c:strRef>
              <c:f>'Assumptions (Oil G&amp;T)'!$A$17</c:f>
              <c:strCache>
                <c:ptCount val="1"/>
                <c:pt idx="0">
                  <c:v>Trunk Lines Other Adjustments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G&amp;T)'!$B$17:$R$17</c:f>
              <c:numCache>
                <c:formatCode>"$"#,##0.00</c:formatCode>
                <c:ptCount val="17"/>
                <c:pt idx="0">
                  <c:v>0.21983259599999999</c:v>
                </c:pt>
                <c:pt idx="1">
                  <c:v>6.4151399999999997E-3</c:v>
                </c:pt>
                <c:pt idx="2">
                  <c:v>-0.42511650499999998</c:v>
                </c:pt>
                <c:pt idx="3">
                  <c:v>-1.5449684E-2</c:v>
                </c:pt>
                <c:pt idx="4">
                  <c:v>-0.10363497000000001</c:v>
                </c:pt>
                <c:pt idx="5">
                  <c:v>0.44082861499999998</c:v>
                </c:pt>
                <c:pt idx="6">
                  <c:v>0.51739234000000001</c:v>
                </c:pt>
                <c:pt idx="7">
                  <c:v>6.7192853999999996E-2</c:v>
                </c:pt>
                <c:pt idx="8">
                  <c:v>1.795187914</c:v>
                </c:pt>
                <c:pt idx="9">
                  <c:v>0.71816883200000003</c:v>
                </c:pt>
                <c:pt idx="10">
                  <c:v>1.001117026</c:v>
                </c:pt>
                <c:pt idx="11">
                  <c:v>0.31565249499999998</c:v>
                </c:pt>
                <c:pt idx="12">
                  <c:v>0.142788679</c:v>
                </c:pt>
                <c:pt idx="13">
                  <c:v>2.1219306210000002</c:v>
                </c:pt>
                <c:pt idx="14">
                  <c:v>5.240736171</c:v>
                </c:pt>
                <c:pt idx="15">
                  <c:v>0.33281401100000002</c:v>
                </c:pt>
                <c:pt idx="16">
                  <c:v>1.4651421490000001</c:v>
                </c:pt>
              </c:numCache>
            </c:numRef>
          </c:val>
          <c:smooth val="0"/>
          <c:extLst>
            <c:ext xmlns:c16="http://schemas.microsoft.com/office/drawing/2014/chart" uri="{C3380CC4-5D6E-409C-BE32-E72D297353CC}">
              <c16:uniqueId val="{00000003-50A0-4553-8E57-FB5610C6FCFF}"/>
            </c:ext>
          </c:extLst>
        </c:ser>
        <c:ser>
          <c:idx val="4"/>
          <c:order val="4"/>
          <c:tx>
            <c:strRef>
              <c:f>'Assumptions (Oil G&amp;T)'!$A$18</c:f>
              <c:strCache>
                <c:ptCount val="1"/>
                <c:pt idx="0">
                  <c:v>Trunk Lines Revenues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G&amp;T)'!$B$18:$R$18</c:f>
              <c:numCache>
                <c:formatCode>"$"#,##0.00</c:formatCode>
                <c:ptCount val="17"/>
                <c:pt idx="0">
                  <c:v>3.2553098989999998</c:v>
                </c:pt>
                <c:pt idx="1">
                  <c:v>3.539797783</c:v>
                </c:pt>
                <c:pt idx="2">
                  <c:v>3.6024918549999998</c:v>
                </c:pt>
                <c:pt idx="3">
                  <c:v>3.3250350759999998</c:v>
                </c:pt>
                <c:pt idx="4">
                  <c:v>3.1930603899999999</c:v>
                </c:pt>
                <c:pt idx="5">
                  <c:v>3.3769337340000001</c:v>
                </c:pt>
                <c:pt idx="6">
                  <c:v>3.5457668189999998</c:v>
                </c:pt>
                <c:pt idx="7">
                  <c:v>3.9123607549999999</c:v>
                </c:pt>
                <c:pt idx="8">
                  <c:v>3.4978119049999998</c:v>
                </c:pt>
                <c:pt idx="9">
                  <c:v>4.0638326469999999</c:v>
                </c:pt>
                <c:pt idx="10">
                  <c:v>4.9104737429999998</c:v>
                </c:pt>
                <c:pt idx="11">
                  <c:v>5.7026970270000001</c:v>
                </c:pt>
                <c:pt idx="12">
                  <c:v>6.6329561540000004</c:v>
                </c:pt>
                <c:pt idx="13">
                  <c:v>7.8152488330000001</c:v>
                </c:pt>
                <c:pt idx="14">
                  <c:v>9.4367081269999993</c:v>
                </c:pt>
                <c:pt idx="15">
                  <c:v>11.18910794</c:v>
                </c:pt>
                <c:pt idx="16">
                  <c:v>11.377607530000001</c:v>
                </c:pt>
              </c:numCache>
            </c:numRef>
          </c:val>
          <c:smooth val="0"/>
          <c:extLst>
            <c:ext xmlns:c16="http://schemas.microsoft.com/office/drawing/2014/chart" uri="{C3380CC4-5D6E-409C-BE32-E72D297353CC}">
              <c16:uniqueId val="{00000004-50A0-4553-8E57-FB5610C6FCFF}"/>
            </c:ext>
          </c:extLst>
        </c:ser>
        <c:ser>
          <c:idx val="5"/>
          <c:order val="5"/>
          <c:tx>
            <c:strRef>
              <c:f>'Assumptions (Oil G&amp;T)'!$A$19</c:f>
              <c:strCache>
                <c:ptCount val="1"/>
                <c:pt idx="0">
                  <c:v>Trunk Lines Revenues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G&amp;T)'!$B$19:$R$19</c:f>
              <c:numCache>
                <c:formatCode>"$"#,##0.00</c:formatCode>
                <c:ptCount val="17"/>
                <c:pt idx="0">
                  <c:v>3.3305444350000002</c:v>
                </c:pt>
                <c:pt idx="1">
                  <c:v>3.5217362209999998</c:v>
                </c:pt>
                <c:pt idx="2">
                  <c:v>3.6387043120000002</c:v>
                </c:pt>
                <c:pt idx="3">
                  <c:v>3.681197439</c:v>
                </c:pt>
                <c:pt idx="4">
                  <c:v>3.7894138860000002</c:v>
                </c:pt>
                <c:pt idx="5">
                  <c:v>3.1971977420000002</c:v>
                </c:pt>
                <c:pt idx="6">
                  <c:v>4.1724924679999997</c:v>
                </c:pt>
                <c:pt idx="7">
                  <c:v>4.4799598500000002</c:v>
                </c:pt>
                <c:pt idx="8">
                  <c:v>4.632761854</c:v>
                </c:pt>
                <c:pt idx="9">
                  <c:v>4.8602012610000003</c:v>
                </c:pt>
                <c:pt idx="10">
                  <c:v>5.1050845249999997</c:v>
                </c:pt>
                <c:pt idx="11">
                  <c:v>5.413288358</c:v>
                </c:pt>
                <c:pt idx="12">
                  <c:v>5.7676531649999996</c:v>
                </c:pt>
                <c:pt idx="13">
                  <c:v>6.3513895720000004</c:v>
                </c:pt>
                <c:pt idx="14">
                  <c:v>7.2580836729999998</c:v>
                </c:pt>
                <c:pt idx="15">
                  <c:v>8.0485772359999999</c:v>
                </c:pt>
                <c:pt idx="16">
                  <c:v>8.7709275719999997</c:v>
                </c:pt>
              </c:numCache>
            </c:numRef>
          </c:val>
          <c:smooth val="0"/>
          <c:extLst>
            <c:ext xmlns:c16="http://schemas.microsoft.com/office/drawing/2014/chart" uri="{C3380CC4-5D6E-409C-BE32-E72D297353CC}">
              <c16:uniqueId val="{00000005-50A0-4553-8E57-FB5610C6FCFF}"/>
            </c:ext>
          </c:extLst>
        </c:ser>
        <c:ser>
          <c:idx val="6"/>
          <c:order val="6"/>
          <c:tx>
            <c:strRef>
              <c:f>'Assumptions (Oil G&amp;T)'!$A$20</c:f>
              <c:strCache>
                <c:ptCount val="1"/>
                <c:pt idx="0">
                  <c:v>Trunk Lines O&amp;M Expenses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G&amp;T)'!$B$20:$R$20</c:f>
              <c:numCache>
                <c:formatCode>"$"#,##0.00</c:formatCode>
                <c:ptCount val="17"/>
                <c:pt idx="0">
                  <c:v>1.112751013</c:v>
                </c:pt>
                <c:pt idx="1">
                  <c:v>1.2757630230000001</c:v>
                </c:pt>
                <c:pt idx="2">
                  <c:v>1.1954768339999999</c:v>
                </c:pt>
                <c:pt idx="3">
                  <c:v>1.1745010069999999</c:v>
                </c:pt>
                <c:pt idx="4">
                  <c:v>0.719040652</c:v>
                </c:pt>
                <c:pt idx="5">
                  <c:v>0.74046733200000003</c:v>
                </c:pt>
                <c:pt idx="6">
                  <c:v>0.63229471599999998</c:v>
                </c:pt>
                <c:pt idx="7">
                  <c:v>-1.371802502</c:v>
                </c:pt>
                <c:pt idx="8">
                  <c:v>-6.3276646510000001</c:v>
                </c:pt>
                <c:pt idx="9">
                  <c:v>1.1700201160000001</c:v>
                </c:pt>
                <c:pt idx="10">
                  <c:v>0.88290740700000003</c:v>
                </c:pt>
                <c:pt idx="11">
                  <c:v>1.5374001479999999</c:v>
                </c:pt>
                <c:pt idx="12">
                  <c:v>1.2770574379999999</c:v>
                </c:pt>
                <c:pt idx="13">
                  <c:v>1.685794853</c:v>
                </c:pt>
                <c:pt idx="14">
                  <c:v>2.0472503990000002</c:v>
                </c:pt>
                <c:pt idx="15">
                  <c:v>2.125848527</c:v>
                </c:pt>
                <c:pt idx="16">
                  <c:v>1.7823411600000001</c:v>
                </c:pt>
              </c:numCache>
            </c:numRef>
          </c:val>
          <c:smooth val="0"/>
          <c:extLst>
            <c:ext xmlns:c16="http://schemas.microsoft.com/office/drawing/2014/chart" uri="{C3380CC4-5D6E-409C-BE32-E72D297353CC}">
              <c16:uniqueId val="{00000006-50A0-4553-8E57-FB5610C6FCFF}"/>
            </c:ext>
          </c:extLst>
        </c:ser>
        <c:ser>
          <c:idx val="7"/>
          <c:order val="7"/>
          <c:tx>
            <c:strRef>
              <c:f>'Assumptions (Oil G&amp;T)'!$A$21</c:f>
              <c:strCache>
                <c:ptCount val="1"/>
                <c:pt idx="0">
                  <c:v>Trunk Lines O&amp;M Expenses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G&amp;T)'!$B$21:$R$21</c:f>
              <c:numCache>
                <c:formatCode>"$"#,##0.00</c:formatCode>
                <c:ptCount val="17"/>
                <c:pt idx="0">
                  <c:v>0.90484895600000004</c:v>
                </c:pt>
                <c:pt idx="1">
                  <c:v>1.0080425580000001</c:v>
                </c:pt>
                <c:pt idx="2">
                  <c:v>1.093020409</c:v>
                </c:pt>
                <c:pt idx="3">
                  <c:v>1.1754761739999999</c:v>
                </c:pt>
                <c:pt idx="4">
                  <c:v>0.78993355200000004</c:v>
                </c:pt>
                <c:pt idx="5">
                  <c:v>0.90814579500000003</c:v>
                </c:pt>
                <c:pt idx="6">
                  <c:v>0.99232767700000002</c:v>
                </c:pt>
                <c:pt idx="7">
                  <c:v>1.025388762</c:v>
                </c:pt>
                <c:pt idx="8">
                  <c:v>0.81410233700000001</c:v>
                </c:pt>
                <c:pt idx="9">
                  <c:v>0.93570362399999996</c:v>
                </c:pt>
                <c:pt idx="10">
                  <c:v>1.215382398</c:v>
                </c:pt>
                <c:pt idx="11">
                  <c:v>1.355898485</c:v>
                </c:pt>
                <c:pt idx="12">
                  <c:v>1.0718769319999999</c:v>
                </c:pt>
                <c:pt idx="13">
                  <c:v>1.492814394</c:v>
                </c:pt>
                <c:pt idx="14">
                  <c:v>1.425412452</c:v>
                </c:pt>
                <c:pt idx="15">
                  <c:v>1.40103822</c:v>
                </c:pt>
                <c:pt idx="16">
                  <c:v>1.6751660020000001</c:v>
                </c:pt>
              </c:numCache>
            </c:numRef>
          </c:val>
          <c:smooth val="0"/>
          <c:extLst>
            <c:ext xmlns:c16="http://schemas.microsoft.com/office/drawing/2014/chart" uri="{C3380CC4-5D6E-409C-BE32-E72D297353CC}">
              <c16:uniqueId val="{00000007-50A0-4553-8E57-FB5610C6FCFF}"/>
            </c:ext>
          </c:extLst>
        </c:ser>
        <c:ser>
          <c:idx val="8"/>
          <c:order val="8"/>
          <c:tx>
            <c:strRef>
              <c:f>'Assumptions (Oil G&amp;T)'!$A$22</c:f>
              <c:strCache>
                <c:ptCount val="1"/>
                <c:pt idx="0">
                  <c:v>Trunk Lines General Expenses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G&amp;T)'!$B$22:$R$22</c:f>
              <c:numCache>
                <c:formatCode>"$"#,##0.00</c:formatCode>
                <c:ptCount val="17"/>
                <c:pt idx="0">
                  <c:v>1.3240269200000001</c:v>
                </c:pt>
                <c:pt idx="1">
                  <c:v>1.318922878</c:v>
                </c:pt>
                <c:pt idx="2">
                  <c:v>1.385774302</c:v>
                </c:pt>
                <c:pt idx="3">
                  <c:v>1.369522699</c:v>
                </c:pt>
                <c:pt idx="4">
                  <c:v>0.99872498799999998</c:v>
                </c:pt>
                <c:pt idx="5">
                  <c:v>0.787948914</c:v>
                </c:pt>
                <c:pt idx="6">
                  <c:v>0.78397408199999996</c:v>
                </c:pt>
                <c:pt idx="7">
                  <c:v>1.271282469</c:v>
                </c:pt>
                <c:pt idx="8">
                  <c:v>1.218148944</c:v>
                </c:pt>
                <c:pt idx="9">
                  <c:v>0.96222658100000003</c:v>
                </c:pt>
                <c:pt idx="10">
                  <c:v>2.1191773779999998</c:v>
                </c:pt>
                <c:pt idx="11">
                  <c:v>0.97646873599999995</c:v>
                </c:pt>
                <c:pt idx="12">
                  <c:v>1.443581408</c:v>
                </c:pt>
                <c:pt idx="13">
                  <c:v>1.5437003659999999</c:v>
                </c:pt>
                <c:pt idx="14">
                  <c:v>1.576861085</c:v>
                </c:pt>
                <c:pt idx="15">
                  <c:v>2.0767366429999998</c:v>
                </c:pt>
                <c:pt idx="16">
                  <c:v>1.707702141</c:v>
                </c:pt>
              </c:numCache>
            </c:numRef>
          </c:val>
          <c:smooth val="0"/>
          <c:extLst>
            <c:ext xmlns:c16="http://schemas.microsoft.com/office/drawing/2014/chart" uri="{C3380CC4-5D6E-409C-BE32-E72D297353CC}">
              <c16:uniqueId val="{00000008-50A0-4553-8E57-FB5610C6FCFF}"/>
            </c:ext>
          </c:extLst>
        </c:ser>
        <c:ser>
          <c:idx val="9"/>
          <c:order val="9"/>
          <c:tx>
            <c:strRef>
              <c:f>'Assumptions (Oil G&amp;T)'!$A$23</c:f>
              <c:strCache>
                <c:ptCount val="1"/>
                <c:pt idx="0">
                  <c:v>Trunk Lines General Expenses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G&amp;T)'!$B$23:$R$23</c:f>
              <c:numCache>
                <c:formatCode>"$"#,##0.00</c:formatCode>
                <c:ptCount val="17"/>
                <c:pt idx="0">
                  <c:v>0.74592157999999997</c:v>
                </c:pt>
                <c:pt idx="1">
                  <c:v>0.85392905299999999</c:v>
                </c:pt>
                <c:pt idx="2">
                  <c:v>0.91656428499999998</c:v>
                </c:pt>
                <c:pt idx="3">
                  <c:v>0.93115388200000004</c:v>
                </c:pt>
                <c:pt idx="4">
                  <c:v>0.60890631299999998</c:v>
                </c:pt>
                <c:pt idx="5">
                  <c:v>0.56715691300000004</c:v>
                </c:pt>
                <c:pt idx="6">
                  <c:v>0.56126808399999994</c:v>
                </c:pt>
                <c:pt idx="7">
                  <c:v>0.677267544</c:v>
                </c:pt>
                <c:pt idx="8">
                  <c:v>0.58439127899999999</c:v>
                </c:pt>
                <c:pt idx="9">
                  <c:v>0.81341470000000005</c:v>
                </c:pt>
                <c:pt idx="10">
                  <c:v>0.79927581199999997</c:v>
                </c:pt>
                <c:pt idx="11">
                  <c:v>0.696816243</c:v>
                </c:pt>
                <c:pt idx="12">
                  <c:v>0.86251329099999996</c:v>
                </c:pt>
                <c:pt idx="13">
                  <c:v>0.91536232200000001</c:v>
                </c:pt>
                <c:pt idx="14">
                  <c:v>1.1362144679999999</c:v>
                </c:pt>
                <c:pt idx="15">
                  <c:v>1.1491887519999999</c:v>
                </c:pt>
                <c:pt idx="16">
                  <c:v>1.1172973319999999</c:v>
                </c:pt>
              </c:numCache>
            </c:numRef>
          </c:val>
          <c:smooth val="0"/>
          <c:extLst>
            <c:ext xmlns:c16="http://schemas.microsoft.com/office/drawing/2014/chart" uri="{C3380CC4-5D6E-409C-BE32-E72D297353CC}">
              <c16:uniqueId val="{00000009-50A0-4553-8E57-FB5610C6FCFF}"/>
            </c:ext>
          </c:extLst>
        </c:ser>
        <c:dLbls>
          <c:showLegendKey val="0"/>
          <c:showVal val="0"/>
          <c:showCatName val="0"/>
          <c:showSerName val="0"/>
          <c:showPercent val="0"/>
          <c:showBubbleSize val="0"/>
        </c:dLbls>
        <c:smooth val="0"/>
        <c:axId val="1780575048"/>
        <c:axId val="1510280030"/>
      </c:lineChart>
      <c:catAx>
        <c:axId val="178057504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510280030"/>
        <c:crosses val="autoZero"/>
        <c:auto val="1"/>
        <c:lblAlgn val="ctr"/>
        <c:lblOffset val="100"/>
        <c:noMultiLvlLbl val="1"/>
      </c:catAx>
      <c:valAx>
        <c:axId val="15102800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780575048"/>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(Oil G&amp;T)'!$A$25</c:f>
              <c:strCache>
                <c:ptCount val="1"/>
                <c:pt idx="0">
                  <c:v>General Beginning Year Balance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G&amp;T)'!$B$25:$R$25</c:f>
              <c:numCache>
                <c:formatCode>"$"#,##0.00</c:formatCode>
                <c:ptCount val="17"/>
                <c:pt idx="0">
                  <c:v>1.0330208999999999</c:v>
                </c:pt>
                <c:pt idx="1">
                  <c:v>0.93151259600000003</c:v>
                </c:pt>
                <c:pt idx="2">
                  <c:v>1.2429685699999999</c:v>
                </c:pt>
                <c:pt idx="3">
                  <c:v>1.038058052</c:v>
                </c:pt>
                <c:pt idx="4">
                  <c:v>0.91805398599999999</c:v>
                </c:pt>
                <c:pt idx="5">
                  <c:v>1.0888972029999999</c:v>
                </c:pt>
                <c:pt idx="6">
                  <c:v>1.5257053860000001</c:v>
                </c:pt>
                <c:pt idx="7">
                  <c:v>2.1656394099999998</c:v>
                </c:pt>
                <c:pt idx="8">
                  <c:v>3.4855355499999998</c:v>
                </c:pt>
                <c:pt idx="9">
                  <c:v>3.2066293770000001</c:v>
                </c:pt>
                <c:pt idx="10">
                  <c:v>2.9893090469999999</c:v>
                </c:pt>
                <c:pt idx="11">
                  <c:v>3.896301829</c:v>
                </c:pt>
                <c:pt idx="12">
                  <c:v>4.6761653250000004</c:v>
                </c:pt>
                <c:pt idx="13">
                  <c:v>7.387153262</c:v>
                </c:pt>
                <c:pt idx="14">
                  <c:v>13.762346709999999</c:v>
                </c:pt>
                <c:pt idx="15">
                  <c:v>10.365867789999999</c:v>
                </c:pt>
                <c:pt idx="16">
                  <c:v>7.8257547000000001</c:v>
                </c:pt>
              </c:numCache>
            </c:numRef>
          </c:val>
          <c:smooth val="0"/>
          <c:extLst>
            <c:ext xmlns:c16="http://schemas.microsoft.com/office/drawing/2014/chart" uri="{C3380CC4-5D6E-409C-BE32-E72D297353CC}">
              <c16:uniqueId val="{00000000-8ADE-4ECF-9D5A-13EACA0CB7F3}"/>
            </c:ext>
          </c:extLst>
        </c:ser>
        <c:ser>
          <c:idx val="1"/>
          <c:order val="1"/>
          <c:tx>
            <c:strRef>
              <c:f>'Assumptions (Oil G&amp;T)'!$A$26</c:f>
              <c:strCache>
                <c:ptCount val="1"/>
                <c:pt idx="0">
                  <c:v>General Capital Expenditures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G&amp;T)'!$B$26:$R$26</c:f>
              <c:numCache>
                <c:formatCode>"$"#,##0.00</c:formatCode>
                <c:ptCount val="17"/>
                <c:pt idx="0">
                  <c:v>9.1492486999999997E-2</c:v>
                </c:pt>
                <c:pt idx="1">
                  <c:v>0.24734112799999999</c:v>
                </c:pt>
                <c:pt idx="2">
                  <c:v>-7.0626297000000005E-2</c:v>
                </c:pt>
                <c:pt idx="3">
                  <c:v>0.22844051600000001</c:v>
                </c:pt>
                <c:pt idx="4">
                  <c:v>0.40230708900000001</c:v>
                </c:pt>
                <c:pt idx="5">
                  <c:v>0.63908610899999996</c:v>
                </c:pt>
                <c:pt idx="6">
                  <c:v>0.99078787499999998</c:v>
                </c:pt>
                <c:pt idx="7">
                  <c:v>2.1949181000000002</c:v>
                </c:pt>
                <c:pt idx="8">
                  <c:v>2.7626589680000002</c:v>
                </c:pt>
                <c:pt idx="9">
                  <c:v>1.054211885</c:v>
                </c:pt>
                <c:pt idx="10">
                  <c:v>2.84795401</c:v>
                </c:pt>
                <c:pt idx="11">
                  <c:v>1.2660546340000001</c:v>
                </c:pt>
                <c:pt idx="12">
                  <c:v>3.8663518620000001</c:v>
                </c:pt>
                <c:pt idx="13">
                  <c:v>8.5676131519999998</c:v>
                </c:pt>
                <c:pt idx="14">
                  <c:v>7.6427639620000001</c:v>
                </c:pt>
                <c:pt idx="15">
                  <c:v>3.3136837240000001</c:v>
                </c:pt>
                <c:pt idx="16">
                  <c:v>1.2655565179999999</c:v>
                </c:pt>
              </c:numCache>
            </c:numRef>
          </c:val>
          <c:smooth val="0"/>
          <c:extLst>
            <c:ext xmlns:c16="http://schemas.microsoft.com/office/drawing/2014/chart" uri="{C3380CC4-5D6E-409C-BE32-E72D297353CC}">
              <c16:uniqueId val="{00000001-8ADE-4ECF-9D5A-13EACA0CB7F3}"/>
            </c:ext>
          </c:extLst>
        </c:ser>
        <c:ser>
          <c:idx val="2"/>
          <c:order val="2"/>
          <c:tx>
            <c:strRef>
              <c:f>'Assumptions (Oil G&amp;T)'!$A$27</c:f>
              <c:strCache>
                <c:ptCount val="1"/>
                <c:pt idx="0">
                  <c:v>General Sold/Abandoned/Retired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G&amp;T)'!$B$27:$R$27</c:f>
              <c:numCache>
                <c:formatCode>"$"#,##0.00</c:formatCode>
                <c:ptCount val="17"/>
                <c:pt idx="0">
                  <c:v>6.1656353999999997E-2</c:v>
                </c:pt>
                <c:pt idx="1">
                  <c:v>7.5846432000000005E-2</c:v>
                </c:pt>
                <c:pt idx="2">
                  <c:v>6.4111174000000007E-2</c:v>
                </c:pt>
                <c:pt idx="3">
                  <c:v>8.9603885999999994E-2</c:v>
                </c:pt>
                <c:pt idx="4">
                  <c:v>4.4435325999999997E-2</c:v>
                </c:pt>
                <c:pt idx="5">
                  <c:v>3.3288230000000002E-2</c:v>
                </c:pt>
                <c:pt idx="6">
                  <c:v>3.4730663000000002E-2</c:v>
                </c:pt>
                <c:pt idx="7">
                  <c:v>0.134370763</c:v>
                </c:pt>
                <c:pt idx="8">
                  <c:v>9.4216988000000002E-2</c:v>
                </c:pt>
                <c:pt idx="9">
                  <c:v>0.18447686599999999</c:v>
                </c:pt>
                <c:pt idx="10">
                  <c:v>4.5709097999999997E-2</c:v>
                </c:pt>
                <c:pt idx="11">
                  <c:v>6.0674494000000002E-2</c:v>
                </c:pt>
                <c:pt idx="12">
                  <c:v>0.101577401</c:v>
                </c:pt>
                <c:pt idx="13">
                  <c:v>0.10928251</c:v>
                </c:pt>
                <c:pt idx="14">
                  <c:v>9.5134057999999994E-2</c:v>
                </c:pt>
                <c:pt idx="15">
                  <c:v>0.190329111</c:v>
                </c:pt>
                <c:pt idx="16">
                  <c:v>0.213500986</c:v>
                </c:pt>
              </c:numCache>
            </c:numRef>
          </c:val>
          <c:smooth val="0"/>
          <c:extLst>
            <c:ext xmlns:c16="http://schemas.microsoft.com/office/drawing/2014/chart" uri="{C3380CC4-5D6E-409C-BE32-E72D297353CC}">
              <c16:uniqueId val="{00000002-8ADE-4ECF-9D5A-13EACA0CB7F3}"/>
            </c:ext>
          </c:extLst>
        </c:ser>
        <c:ser>
          <c:idx val="3"/>
          <c:order val="3"/>
          <c:tx>
            <c:strRef>
              <c:f>'Assumptions (Oil G&amp;T)'!$A$28</c:f>
              <c:strCache>
                <c:ptCount val="1"/>
                <c:pt idx="0">
                  <c:v>General Other Adjustments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G&amp;T)'!$B$28:$R$28</c:f>
              <c:numCache>
                <c:formatCode>"$"#,##0.00</c:formatCode>
                <c:ptCount val="17"/>
                <c:pt idx="0">
                  <c:v>-0.107024419</c:v>
                </c:pt>
                <c:pt idx="1">
                  <c:v>-0.115664458</c:v>
                </c:pt>
                <c:pt idx="2">
                  <c:v>-6.3914041000000005E-2</c:v>
                </c:pt>
                <c:pt idx="3">
                  <c:v>-0.25398615299999999</c:v>
                </c:pt>
                <c:pt idx="4">
                  <c:v>-0.19234077699999999</c:v>
                </c:pt>
                <c:pt idx="5">
                  <c:v>-0.13841688099999999</c:v>
                </c:pt>
                <c:pt idx="6">
                  <c:v>-0.32277779299999998</c:v>
                </c:pt>
                <c:pt idx="7">
                  <c:v>-1.021763915</c:v>
                </c:pt>
                <c:pt idx="8">
                  <c:v>-2.937227204</c:v>
                </c:pt>
                <c:pt idx="9">
                  <c:v>-1.087737782</c:v>
                </c:pt>
                <c:pt idx="10">
                  <c:v>-2.0837047399999999</c:v>
                </c:pt>
                <c:pt idx="11">
                  <c:v>-0.43425882799999999</c:v>
                </c:pt>
                <c:pt idx="12">
                  <c:v>-1.789551245</c:v>
                </c:pt>
                <c:pt idx="13">
                  <c:v>-2.6370473489999999</c:v>
                </c:pt>
                <c:pt idx="14">
                  <c:v>-10.95509736</c:v>
                </c:pt>
                <c:pt idx="15">
                  <c:v>-6.0977730939999999</c:v>
                </c:pt>
                <c:pt idx="16">
                  <c:v>-4.1514716040000001</c:v>
                </c:pt>
              </c:numCache>
            </c:numRef>
          </c:val>
          <c:smooth val="0"/>
          <c:extLst>
            <c:ext xmlns:c16="http://schemas.microsoft.com/office/drawing/2014/chart" uri="{C3380CC4-5D6E-409C-BE32-E72D297353CC}">
              <c16:uniqueId val="{00000003-8ADE-4ECF-9D5A-13EACA0CB7F3}"/>
            </c:ext>
          </c:extLst>
        </c:ser>
        <c:ser>
          <c:idx val="4"/>
          <c:order val="4"/>
          <c:tx>
            <c:strRef>
              <c:f>'Assumptions (Oil G&amp;T)'!$A$29</c:f>
              <c:strCache>
                <c:ptCount val="1"/>
                <c:pt idx="0">
                  <c:v>Delivery&amp;Other Revenues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G&amp;T)'!$B$29:$R$29</c:f>
              <c:numCache>
                <c:formatCode>"$"#,##0.00</c:formatCode>
                <c:ptCount val="17"/>
                <c:pt idx="0">
                  <c:v>0.32245107299999998</c:v>
                </c:pt>
                <c:pt idx="1">
                  <c:v>0.24689930500000001</c:v>
                </c:pt>
                <c:pt idx="2">
                  <c:v>0.27141092300000003</c:v>
                </c:pt>
                <c:pt idx="3">
                  <c:v>0.286724759</c:v>
                </c:pt>
                <c:pt idx="4">
                  <c:v>0.31049046600000002</c:v>
                </c:pt>
                <c:pt idx="5">
                  <c:v>0.34313214399999997</c:v>
                </c:pt>
                <c:pt idx="6">
                  <c:v>0.41331475400000001</c:v>
                </c:pt>
                <c:pt idx="7">
                  <c:v>0.47267240599999999</c:v>
                </c:pt>
                <c:pt idx="8">
                  <c:v>0.61101078900000005</c:v>
                </c:pt>
                <c:pt idx="9">
                  <c:v>0.52228715299999995</c:v>
                </c:pt>
                <c:pt idx="10">
                  <c:v>0.61262040900000003</c:v>
                </c:pt>
                <c:pt idx="11">
                  <c:v>0.77238362999999999</c:v>
                </c:pt>
                <c:pt idx="12">
                  <c:v>0.799909698</c:v>
                </c:pt>
                <c:pt idx="13">
                  <c:v>0.93238175400000001</c:v>
                </c:pt>
                <c:pt idx="14">
                  <c:v>1.4946617369999999</c:v>
                </c:pt>
                <c:pt idx="15">
                  <c:v>1.666748581</c:v>
                </c:pt>
                <c:pt idx="16">
                  <c:v>1.7152482440000001</c:v>
                </c:pt>
              </c:numCache>
            </c:numRef>
          </c:val>
          <c:smooth val="0"/>
          <c:extLst>
            <c:ext xmlns:c16="http://schemas.microsoft.com/office/drawing/2014/chart" uri="{C3380CC4-5D6E-409C-BE32-E72D297353CC}">
              <c16:uniqueId val="{00000004-8ADE-4ECF-9D5A-13EACA0CB7F3}"/>
            </c:ext>
          </c:extLst>
        </c:ser>
        <c:ser>
          <c:idx val="5"/>
          <c:order val="5"/>
          <c:tx>
            <c:strRef>
              <c:f>'Assumptions (Oil G&amp;T)'!$A$30</c:f>
              <c:strCache>
                <c:ptCount val="1"/>
                <c:pt idx="0">
                  <c:v>Delivery&amp;Other Revenues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G&amp;T)'!$B$30:$R$30</c:f>
              <c:numCache>
                <c:formatCode>"$"#,##0.00</c:formatCode>
                <c:ptCount val="17"/>
                <c:pt idx="0">
                  <c:v>0.193914157</c:v>
                </c:pt>
                <c:pt idx="1">
                  <c:v>0.21986655699999999</c:v>
                </c:pt>
                <c:pt idx="2">
                  <c:v>0.24112581799999999</c:v>
                </c:pt>
                <c:pt idx="3">
                  <c:v>0.22559779899999999</c:v>
                </c:pt>
                <c:pt idx="4">
                  <c:v>0.23390628499999999</c:v>
                </c:pt>
                <c:pt idx="5">
                  <c:v>0.225418014</c:v>
                </c:pt>
                <c:pt idx="6">
                  <c:v>0.28197723800000002</c:v>
                </c:pt>
                <c:pt idx="7">
                  <c:v>0.305200729</c:v>
                </c:pt>
                <c:pt idx="8">
                  <c:v>0.34439434400000002</c:v>
                </c:pt>
                <c:pt idx="9">
                  <c:v>0.33878542900000003</c:v>
                </c:pt>
                <c:pt idx="10">
                  <c:v>0.36137902900000002</c:v>
                </c:pt>
                <c:pt idx="11">
                  <c:v>0.44955751500000002</c:v>
                </c:pt>
                <c:pt idx="12">
                  <c:v>0.49370352299999998</c:v>
                </c:pt>
                <c:pt idx="13">
                  <c:v>0.52980368300000003</c:v>
                </c:pt>
                <c:pt idx="14">
                  <c:v>0.63259352400000002</c:v>
                </c:pt>
                <c:pt idx="15">
                  <c:v>0.68348242299999995</c:v>
                </c:pt>
                <c:pt idx="16">
                  <c:v>0.70766192999999999</c:v>
                </c:pt>
              </c:numCache>
            </c:numRef>
          </c:val>
          <c:smooth val="0"/>
          <c:extLst>
            <c:ext xmlns:c16="http://schemas.microsoft.com/office/drawing/2014/chart" uri="{C3380CC4-5D6E-409C-BE32-E72D297353CC}">
              <c16:uniqueId val="{00000005-8ADE-4ECF-9D5A-13EACA0CB7F3}"/>
            </c:ext>
          </c:extLst>
        </c:ser>
        <c:ser>
          <c:idx val="6"/>
          <c:order val="6"/>
          <c:tx>
            <c:strRef>
              <c:f>'Assumptions (Oil G&amp;T)'!$A$31</c:f>
              <c:strCache>
                <c:ptCount val="1"/>
                <c:pt idx="0">
                  <c:v>Delivery&amp;Other O&amp;M Expenses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G&amp;T)'!$B$31:$R$31</c:f>
              <c:numCache>
                <c:formatCode>"$"#,##0.00</c:formatCode>
                <c:ptCount val="17"/>
                <c:pt idx="0">
                  <c:v>1.8944875999999999E-2</c:v>
                </c:pt>
                <c:pt idx="1">
                  <c:v>1.8103930000000001E-2</c:v>
                </c:pt>
                <c:pt idx="2">
                  <c:v>2.2744084000000001E-2</c:v>
                </c:pt>
                <c:pt idx="3">
                  <c:v>2.7049719E-2</c:v>
                </c:pt>
                <c:pt idx="4">
                  <c:v>1.7950945999999999E-2</c:v>
                </c:pt>
                <c:pt idx="5">
                  <c:v>1.0735837E-2</c:v>
                </c:pt>
                <c:pt idx="6">
                  <c:v>1.6138909999999999E-2</c:v>
                </c:pt>
                <c:pt idx="7">
                  <c:v>2.3890562000000001E-2</c:v>
                </c:pt>
                <c:pt idx="8">
                  <c:v>1.4935682E-2</c:v>
                </c:pt>
                <c:pt idx="9">
                  <c:v>1.3176681000000001E-2</c:v>
                </c:pt>
                <c:pt idx="10">
                  <c:v>9.3368019999999999E-3</c:v>
                </c:pt>
                <c:pt idx="11">
                  <c:v>1.9139399000000001E-2</c:v>
                </c:pt>
                <c:pt idx="12">
                  <c:v>1.2226798000000001E-2</c:v>
                </c:pt>
                <c:pt idx="13">
                  <c:v>1.9016268999999999E-2</c:v>
                </c:pt>
                <c:pt idx="14">
                  <c:v>2.9091058E-2</c:v>
                </c:pt>
                <c:pt idx="15">
                  <c:v>2.5457960000000002E-2</c:v>
                </c:pt>
                <c:pt idx="16">
                  <c:v>3.5490262000000002E-2</c:v>
                </c:pt>
              </c:numCache>
            </c:numRef>
          </c:val>
          <c:smooth val="0"/>
          <c:extLst>
            <c:ext xmlns:c16="http://schemas.microsoft.com/office/drawing/2014/chart" uri="{C3380CC4-5D6E-409C-BE32-E72D297353CC}">
              <c16:uniqueId val="{00000006-8ADE-4ECF-9D5A-13EACA0CB7F3}"/>
            </c:ext>
          </c:extLst>
        </c:ser>
        <c:ser>
          <c:idx val="7"/>
          <c:order val="7"/>
          <c:tx>
            <c:strRef>
              <c:f>'Assumptions (Oil G&amp;T)'!$A$32</c:f>
              <c:strCache>
                <c:ptCount val="1"/>
                <c:pt idx="0">
                  <c:v>Delivery&amp;Other O&amp;M Expenses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G&amp;T)'!$B$32:$R$32</c:f>
              <c:numCache>
                <c:formatCode>"$"#,##0.00</c:formatCode>
                <c:ptCount val="17"/>
                <c:pt idx="0">
                  <c:v>0.20111590600000001</c:v>
                </c:pt>
                <c:pt idx="1">
                  <c:v>0.20582683299999999</c:v>
                </c:pt>
                <c:pt idx="2">
                  <c:v>0.19096120799999999</c:v>
                </c:pt>
                <c:pt idx="3">
                  <c:v>0.199419659</c:v>
                </c:pt>
                <c:pt idx="4">
                  <c:v>3.983714E-2</c:v>
                </c:pt>
                <c:pt idx="5">
                  <c:v>9.7125260000000005E-2</c:v>
                </c:pt>
                <c:pt idx="6">
                  <c:v>0.28117856800000002</c:v>
                </c:pt>
                <c:pt idx="7">
                  <c:v>0.20556935300000001</c:v>
                </c:pt>
                <c:pt idx="8">
                  <c:v>0.14705525699999999</c:v>
                </c:pt>
                <c:pt idx="9">
                  <c:v>0.16525920199999999</c:v>
                </c:pt>
                <c:pt idx="10">
                  <c:v>0.23467792700000001</c:v>
                </c:pt>
                <c:pt idx="11">
                  <c:v>0.103065715</c:v>
                </c:pt>
                <c:pt idx="12">
                  <c:v>0.10336880800000001</c:v>
                </c:pt>
                <c:pt idx="13">
                  <c:v>0.216463769</c:v>
                </c:pt>
                <c:pt idx="14">
                  <c:v>0.23772048200000001</c:v>
                </c:pt>
                <c:pt idx="15">
                  <c:v>0.46406533799999999</c:v>
                </c:pt>
                <c:pt idx="16">
                  <c:v>0.59619913499999999</c:v>
                </c:pt>
              </c:numCache>
            </c:numRef>
          </c:val>
          <c:smooth val="0"/>
          <c:extLst>
            <c:ext xmlns:c16="http://schemas.microsoft.com/office/drawing/2014/chart" uri="{C3380CC4-5D6E-409C-BE32-E72D297353CC}">
              <c16:uniqueId val="{00000007-8ADE-4ECF-9D5A-13EACA0CB7F3}"/>
            </c:ext>
          </c:extLst>
        </c:ser>
        <c:ser>
          <c:idx val="8"/>
          <c:order val="8"/>
          <c:tx>
            <c:strRef>
              <c:f>'Assumptions (Oil G&amp;T)'!$A$33</c:f>
              <c:strCache>
                <c:ptCount val="1"/>
                <c:pt idx="0">
                  <c:v>Delivery&amp;Other General Expenses Crude Oil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G&amp;T)'!$B$33:$R$33</c:f>
              <c:numCache>
                <c:formatCode>"$"#,##0.00</c:formatCode>
                <c:ptCount val="17"/>
                <c:pt idx="0">
                  <c:v>2.0392057000000002E-2</c:v>
                </c:pt>
                <c:pt idx="1">
                  <c:v>1.4581238E-2</c:v>
                </c:pt>
                <c:pt idx="2">
                  <c:v>2.2232854999999999E-2</c:v>
                </c:pt>
                <c:pt idx="3">
                  <c:v>2.6151369000000001E-2</c:v>
                </c:pt>
                <c:pt idx="4">
                  <c:v>1.7540607999999999E-2</c:v>
                </c:pt>
                <c:pt idx="5">
                  <c:v>3.0641297000000001E-2</c:v>
                </c:pt>
                <c:pt idx="6">
                  <c:v>6.8233522000000005E-2</c:v>
                </c:pt>
                <c:pt idx="7">
                  <c:v>6.7244746999999994E-2</c:v>
                </c:pt>
                <c:pt idx="8">
                  <c:v>2.7558184999999999E-2</c:v>
                </c:pt>
                <c:pt idx="9">
                  <c:v>3.1022773999999999E-2</c:v>
                </c:pt>
                <c:pt idx="10">
                  <c:v>2.6534144999999999E-2</c:v>
                </c:pt>
                <c:pt idx="11">
                  <c:v>7.2978990000000001E-3</c:v>
                </c:pt>
                <c:pt idx="12">
                  <c:v>1.4685943999999999E-2</c:v>
                </c:pt>
                <c:pt idx="13">
                  <c:v>3.0634505999999999E-2</c:v>
                </c:pt>
                <c:pt idx="14">
                  <c:v>1.6541777000000001E-2</c:v>
                </c:pt>
                <c:pt idx="15">
                  <c:v>3.7233662000000001E-2</c:v>
                </c:pt>
                <c:pt idx="16">
                  <c:v>3.9253482999999999E-2</c:v>
                </c:pt>
              </c:numCache>
            </c:numRef>
          </c:val>
          <c:smooth val="0"/>
          <c:extLst>
            <c:ext xmlns:c16="http://schemas.microsoft.com/office/drawing/2014/chart" uri="{C3380CC4-5D6E-409C-BE32-E72D297353CC}">
              <c16:uniqueId val="{00000008-8ADE-4ECF-9D5A-13EACA0CB7F3}"/>
            </c:ext>
          </c:extLst>
        </c:ser>
        <c:ser>
          <c:idx val="9"/>
          <c:order val="9"/>
          <c:tx>
            <c:strRef>
              <c:f>'Assumptions (Oil G&amp;T)'!$A$34</c:f>
              <c:strCache>
                <c:ptCount val="1"/>
                <c:pt idx="0">
                  <c:v>Delivery&amp;Other General Expenses Products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G&amp;T)'!$B$34:$R$34</c:f>
              <c:numCache>
                <c:formatCode>"$"#,##0.00</c:formatCode>
                <c:ptCount val="17"/>
                <c:pt idx="0">
                  <c:v>0.186849762</c:v>
                </c:pt>
                <c:pt idx="1">
                  <c:v>0.172547123</c:v>
                </c:pt>
                <c:pt idx="2">
                  <c:v>0.15927391499999999</c:v>
                </c:pt>
                <c:pt idx="3">
                  <c:v>0.152926798</c:v>
                </c:pt>
                <c:pt idx="4">
                  <c:v>5.8165513000000002E-2</c:v>
                </c:pt>
                <c:pt idx="5">
                  <c:v>6.5193528000000001E-2</c:v>
                </c:pt>
                <c:pt idx="6">
                  <c:v>0.212375015</c:v>
                </c:pt>
                <c:pt idx="7">
                  <c:v>0.150318909</c:v>
                </c:pt>
                <c:pt idx="8">
                  <c:v>0.101506764</c:v>
                </c:pt>
                <c:pt idx="9">
                  <c:v>8.8906309000000003E-2</c:v>
                </c:pt>
                <c:pt idx="10">
                  <c:v>0.105577955</c:v>
                </c:pt>
                <c:pt idx="11">
                  <c:v>0.12566719700000001</c:v>
                </c:pt>
                <c:pt idx="12">
                  <c:v>0.17675875399999999</c:v>
                </c:pt>
                <c:pt idx="13">
                  <c:v>0.26563937700000001</c:v>
                </c:pt>
                <c:pt idx="14">
                  <c:v>0.217469421</c:v>
                </c:pt>
                <c:pt idx="15">
                  <c:v>0.15056435900000001</c:v>
                </c:pt>
                <c:pt idx="16">
                  <c:v>0.258402095</c:v>
                </c:pt>
              </c:numCache>
            </c:numRef>
          </c:val>
          <c:smooth val="0"/>
          <c:extLst>
            <c:ext xmlns:c16="http://schemas.microsoft.com/office/drawing/2014/chart" uri="{C3380CC4-5D6E-409C-BE32-E72D297353CC}">
              <c16:uniqueId val="{00000009-8ADE-4ECF-9D5A-13EACA0CB7F3}"/>
            </c:ext>
          </c:extLst>
        </c:ser>
        <c:dLbls>
          <c:showLegendKey val="0"/>
          <c:showVal val="0"/>
          <c:showCatName val="0"/>
          <c:showSerName val="0"/>
          <c:showPercent val="0"/>
          <c:showBubbleSize val="0"/>
        </c:dLbls>
        <c:smooth val="0"/>
        <c:axId val="1522426339"/>
        <c:axId val="819764327"/>
      </c:lineChart>
      <c:catAx>
        <c:axId val="152242633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819764327"/>
        <c:crosses val="autoZero"/>
        <c:auto val="1"/>
        <c:lblAlgn val="ctr"/>
        <c:lblOffset val="100"/>
        <c:noMultiLvlLbl val="1"/>
      </c:catAx>
      <c:valAx>
        <c:axId val="8197643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522426339"/>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(Oil G&amp;T)'!$A$36</c:f>
              <c:strCache>
                <c:ptCount val="1"/>
                <c:pt idx="0">
                  <c:v>Total Beginning Year Balance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G&amp;T)'!$B$36:$R$36</c:f>
              <c:numCache>
                <c:formatCode>"$"#,##0.00</c:formatCode>
                <c:ptCount val="17"/>
                <c:pt idx="0">
                  <c:v>33.50493298</c:v>
                </c:pt>
                <c:pt idx="1">
                  <c:v>31.685583116</c:v>
                </c:pt>
                <c:pt idx="2">
                  <c:v>35.146123180000004</c:v>
                </c:pt>
                <c:pt idx="3">
                  <c:v>31.435481882000001</c:v>
                </c:pt>
                <c:pt idx="4">
                  <c:v>32.239625525999998</c:v>
                </c:pt>
                <c:pt idx="5">
                  <c:v>33.829539683</c:v>
                </c:pt>
                <c:pt idx="6">
                  <c:v>38.828688145999998</c:v>
                </c:pt>
                <c:pt idx="7">
                  <c:v>38.239242059999995</c:v>
                </c:pt>
                <c:pt idx="8">
                  <c:v>41.820506180000002</c:v>
                </c:pt>
                <c:pt idx="9">
                  <c:v>44.644302746999998</c:v>
                </c:pt>
                <c:pt idx="10">
                  <c:v>48.536091546999998</c:v>
                </c:pt>
                <c:pt idx="11">
                  <c:v>54.955555619000002</c:v>
                </c:pt>
                <c:pt idx="12">
                  <c:v>60.307593605000001</c:v>
                </c:pt>
                <c:pt idx="13">
                  <c:v>65.078336062000005</c:v>
                </c:pt>
                <c:pt idx="14">
                  <c:v>81.341532390000012</c:v>
                </c:pt>
                <c:pt idx="15">
                  <c:v>95.842791779999985</c:v>
                </c:pt>
                <c:pt idx="16">
                  <c:v>103.56160448</c:v>
                </c:pt>
              </c:numCache>
            </c:numRef>
          </c:val>
          <c:smooth val="0"/>
          <c:extLst>
            <c:ext xmlns:c16="http://schemas.microsoft.com/office/drawing/2014/chart" uri="{C3380CC4-5D6E-409C-BE32-E72D297353CC}">
              <c16:uniqueId val="{00000000-079D-4D7A-B043-2C3FDC8AD4B8}"/>
            </c:ext>
          </c:extLst>
        </c:ser>
        <c:ser>
          <c:idx val="1"/>
          <c:order val="1"/>
          <c:tx>
            <c:strRef>
              <c:f>'Assumptions (Oil G&amp;T)'!$A$37</c:f>
              <c:strCache>
                <c:ptCount val="1"/>
                <c:pt idx="0">
                  <c:v>Total Capital Expenditures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G&amp;T)'!$B$37:$R$37</c:f>
              <c:numCache>
                <c:formatCode>"$"#,##0.00</c:formatCode>
                <c:ptCount val="17"/>
                <c:pt idx="0">
                  <c:v>1.6948498619999999</c:v>
                </c:pt>
                <c:pt idx="1">
                  <c:v>1.784462473</c:v>
                </c:pt>
                <c:pt idx="2">
                  <c:v>1.8143360829999999</c:v>
                </c:pt>
                <c:pt idx="3">
                  <c:v>1.836179038</c:v>
                </c:pt>
                <c:pt idx="4">
                  <c:v>3.0419613759999997</c:v>
                </c:pt>
                <c:pt idx="5">
                  <c:v>2.7855113570000003</c:v>
                </c:pt>
                <c:pt idx="6">
                  <c:v>2.4804938439999997</c:v>
                </c:pt>
                <c:pt idx="7">
                  <c:v>4.6950389379999997</c:v>
                </c:pt>
                <c:pt idx="8">
                  <c:v>5.0146175340000001</c:v>
                </c:pt>
                <c:pt idx="9">
                  <c:v>4.0537466030000004</c:v>
                </c:pt>
                <c:pt idx="10">
                  <c:v>7.3676233139999994</c:v>
                </c:pt>
                <c:pt idx="11">
                  <c:v>3.9785318470000002</c:v>
                </c:pt>
                <c:pt idx="12">
                  <c:v>7.0365095689999997</c:v>
                </c:pt>
                <c:pt idx="13">
                  <c:v>15.319414657999999</c:v>
                </c:pt>
                <c:pt idx="14">
                  <c:v>21.098084912000001</c:v>
                </c:pt>
                <c:pt idx="15">
                  <c:v>15.995911674</c:v>
                </c:pt>
                <c:pt idx="16">
                  <c:v>9.9571780200000006</c:v>
                </c:pt>
              </c:numCache>
            </c:numRef>
          </c:val>
          <c:smooth val="0"/>
          <c:extLst>
            <c:ext xmlns:c16="http://schemas.microsoft.com/office/drawing/2014/chart" uri="{C3380CC4-5D6E-409C-BE32-E72D297353CC}">
              <c16:uniqueId val="{00000001-079D-4D7A-B043-2C3FDC8AD4B8}"/>
            </c:ext>
          </c:extLst>
        </c:ser>
        <c:ser>
          <c:idx val="2"/>
          <c:order val="2"/>
          <c:tx>
            <c:strRef>
              <c:f>'Assumptions (Oil G&amp;T)'!$A$38</c:f>
              <c:strCache>
                <c:ptCount val="1"/>
                <c:pt idx="0">
                  <c:v>Total Sold/Abandoned/Retired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G&amp;T)'!$B$38:$R$38</c:f>
              <c:numCache>
                <c:formatCode>"$"#,##0.00</c:formatCode>
                <c:ptCount val="17"/>
                <c:pt idx="0">
                  <c:v>1.010570679</c:v>
                </c:pt>
                <c:pt idx="1">
                  <c:v>0.64471968400000002</c:v>
                </c:pt>
                <c:pt idx="2">
                  <c:v>0.63325075900000005</c:v>
                </c:pt>
                <c:pt idx="3">
                  <c:v>0.37735614399999995</c:v>
                </c:pt>
                <c:pt idx="4">
                  <c:v>0.72638450600000004</c:v>
                </c:pt>
                <c:pt idx="5">
                  <c:v>0.73246760300000002</c:v>
                </c:pt>
                <c:pt idx="6">
                  <c:v>0.63628716200000002</c:v>
                </c:pt>
                <c:pt idx="7">
                  <c:v>0.61662958300000004</c:v>
                </c:pt>
                <c:pt idx="8">
                  <c:v>0.54285053499999991</c:v>
                </c:pt>
                <c:pt idx="9">
                  <c:v>0.57098416799999996</c:v>
                </c:pt>
                <c:pt idx="10">
                  <c:v>0.58215887899999996</c:v>
                </c:pt>
                <c:pt idx="11">
                  <c:v>0.37165565900000003</c:v>
                </c:pt>
                <c:pt idx="12">
                  <c:v>0.35639213400000003</c:v>
                </c:pt>
                <c:pt idx="13">
                  <c:v>0.68526727799999998</c:v>
                </c:pt>
                <c:pt idx="14">
                  <c:v>0.74713972899999992</c:v>
                </c:pt>
                <c:pt idx="15">
                  <c:v>0.9710016050000001</c:v>
                </c:pt>
                <c:pt idx="16">
                  <c:v>1.1228458479999999</c:v>
                </c:pt>
              </c:numCache>
            </c:numRef>
          </c:val>
          <c:smooth val="0"/>
          <c:extLst>
            <c:ext xmlns:c16="http://schemas.microsoft.com/office/drawing/2014/chart" uri="{C3380CC4-5D6E-409C-BE32-E72D297353CC}">
              <c16:uniqueId val="{00000002-079D-4D7A-B043-2C3FDC8AD4B8}"/>
            </c:ext>
          </c:extLst>
        </c:ser>
        <c:ser>
          <c:idx val="3"/>
          <c:order val="3"/>
          <c:tx>
            <c:strRef>
              <c:f>'Assumptions (Oil G&amp;T)'!$A$39</c:f>
              <c:strCache>
                <c:ptCount val="1"/>
                <c:pt idx="0">
                  <c:v>Total Other Adjustments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G&amp;T)'!$B$39:$R$39</c:f>
              <c:numCache>
                <c:formatCode>"$"#,##0.00</c:formatCode>
                <c:ptCount val="17"/>
                <c:pt idx="0">
                  <c:v>0.107568177</c:v>
                </c:pt>
                <c:pt idx="1">
                  <c:v>-0.105575318</c:v>
                </c:pt>
                <c:pt idx="2">
                  <c:v>-0.52294054599999995</c:v>
                </c:pt>
                <c:pt idx="3">
                  <c:v>-0.27243583700000001</c:v>
                </c:pt>
                <c:pt idx="4">
                  <c:v>-0.33630574699999999</c:v>
                </c:pt>
                <c:pt idx="5">
                  <c:v>0.30215173400000001</c:v>
                </c:pt>
                <c:pt idx="6">
                  <c:v>0.19623754700000007</c:v>
                </c:pt>
                <c:pt idx="7">
                  <c:v>-0.90028806099999992</c:v>
                </c:pt>
                <c:pt idx="8">
                  <c:v>-1.14192929</c:v>
                </c:pt>
                <c:pt idx="9">
                  <c:v>-0.36673095</c:v>
                </c:pt>
                <c:pt idx="10">
                  <c:v>-1.0819407139999999</c:v>
                </c:pt>
                <c:pt idx="11">
                  <c:v>-8.243833300000003E-2</c:v>
                </c:pt>
                <c:pt idx="12">
                  <c:v>-1.513023566</c:v>
                </c:pt>
                <c:pt idx="13">
                  <c:v>-0.66372672799999965</c:v>
                </c:pt>
                <c:pt idx="14">
                  <c:v>-5.6720751890000001</c:v>
                </c:pt>
                <c:pt idx="15">
                  <c:v>-5.796089083</c:v>
                </c:pt>
                <c:pt idx="16">
                  <c:v>-2.6765874549999999</c:v>
                </c:pt>
              </c:numCache>
            </c:numRef>
          </c:val>
          <c:smooth val="0"/>
          <c:extLst>
            <c:ext xmlns:c16="http://schemas.microsoft.com/office/drawing/2014/chart" uri="{C3380CC4-5D6E-409C-BE32-E72D297353CC}">
              <c16:uniqueId val="{00000003-079D-4D7A-B043-2C3FDC8AD4B8}"/>
            </c:ext>
          </c:extLst>
        </c:ser>
        <c:ser>
          <c:idx val="4"/>
          <c:order val="4"/>
          <c:tx>
            <c:strRef>
              <c:f>'Assumptions (Oil G&amp;T)'!$A$40</c:f>
              <c:strCache>
                <c:ptCount val="1"/>
                <c:pt idx="0">
                  <c:v>Aggregate Revenues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G&amp;T)'!$B$40:$R$40</c:f>
              <c:numCache>
                <c:formatCode>"$"#,##0.00</c:formatCode>
                <c:ptCount val="17"/>
                <c:pt idx="0">
                  <c:v>7.2822647319999998</c:v>
                </c:pt>
                <c:pt idx="1">
                  <c:v>7.7682886330000001</c:v>
                </c:pt>
                <c:pt idx="2">
                  <c:v>7.9408306240000002</c:v>
                </c:pt>
                <c:pt idx="3">
                  <c:v>7.7309322509999996</c:v>
                </c:pt>
                <c:pt idx="4">
                  <c:v>7.6575674509999994</c:v>
                </c:pt>
                <c:pt idx="5">
                  <c:v>7.9539967589999998</c:v>
                </c:pt>
                <c:pt idx="6">
                  <c:v>8.5402840659999999</c:v>
                </c:pt>
                <c:pt idx="7">
                  <c:v>9.3103562229999977</c:v>
                </c:pt>
                <c:pt idx="8">
                  <c:v>9.2354151249999994</c:v>
                </c:pt>
                <c:pt idx="9">
                  <c:v>9.9788386189999994</c:v>
                </c:pt>
                <c:pt idx="10">
                  <c:v>11.210556137999999</c:v>
                </c:pt>
                <c:pt idx="11">
                  <c:v>12.565311376</c:v>
                </c:pt>
                <c:pt idx="12">
                  <c:v>14.025650972000001</c:v>
                </c:pt>
                <c:pt idx="13">
                  <c:v>16.024044008000001</c:v>
                </c:pt>
                <c:pt idx="14">
                  <c:v>19.314540135000001</c:v>
                </c:pt>
                <c:pt idx="15">
                  <c:v>22.070514448000001</c:v>
                </c:pt>
                <c:pt idx="16">
                  <c:v>23.118968085000002</c:v>
                </c:pt>
              </c:numCache>
            </c:numRef>
          </c:val>
          <c:smooth val="0"/>
          <c:extLst>
            <c:ext xmlns:c16="http://schemas.microsoft.com/office/drawing/2014/chart" uri="{C3380CC4-5D6E-409C-BE32-E72D297353CC}">
              <c16:uniqueId val="{00000004-079D-4D7A-B043-2C3FDC8AD4B8}"/>
            </c:ext>
          </c:extLst>
        </c:ser>
        <c:ser>
          <c:idx val="5"/>
          <c:order val="5"/>
          <c:tx>
            <c:strRef>
              <c:f>'Assumptions (Oil G&amp;T)'!$A$41</c:f>
              <c:strCache>
                <c:ptCount val="1"/>
                <c:pt idx="0">
                  <c:v>Aggregate OPEX FERC 6 ($billion)</c:v>
                </c:pt>
              </c:strCache>
            </c:strRef>
          </c:tx>
          <c:marker>
            <c:symbol val="none"/>
          </c:marker>
          <c:cat>
            <c:numRef>
              <c:f>'Assumptions (Oil G&amp;T)'!$B$1:$R$1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'Assumptions (Oil G&amp;T)'!$B$41:$R$41</c:f>
              <c:numCache>
                <c:formatCode>"$"#,##0.00</c:formatCode>
                <c:ptCount val="17"/>
                <c:pt idx="0">
                  <c:v>4.676504969999999</c:v>
                </c:pt>
                <c:pt idx="1">
                  <c:v>5.0550079710000002</c:v>
                </c:pt>
                <c:pt idx="2">
                  <c:v>5.1575083209999999</c:v>
                </c:pt>
                <c:pt idx="3">
                  <c:v>5.214598305</c:v>
                </c:pt>
                <c:pt idx="4">
                  <c:v>3.3232993780000002</c:v>
                </c:pt>
                <c:pt idx="5">
                  <c:v>3.2930506509999997</c:v>
                </c:pt>
                <c:pt idx="6">
                  <c:v>4.0352826189999993</c:v>
                </c:pt>
                <c:pt idx="7">
                  <c:v>4.4724636250000005</c:v>
                </c:pt>
                <c:pt idx="8">
                  <c:v>4.1735682889999994</c:v>
                </c:pt>
                <c:pt idx="9">
                  <c:v>4.3129405230000009</c:v>
                </c:pt>
                <c:pt idx="10">
                  <c:v>5.5216871600000008</c:v>
                </c:pt>
                <c:pt idx="11">
                  <c:v>4.9852559210000003</c:v>
                </c:pt>
                <c:pt idx="12">
                  <c:v>5.1227699900000001</c:v>
                </c:pt>
                <c:pt idx="13">
                  <c:v>6.4022940159999999</c:v>
                </c:pt>
                <c:pt idx="14">
                  <c:v>6.9099759899999986</c:v>
                </c:pt>
                <c:pt idx="15">
                  <c:v>7.6315185229999987</c:v>
                </c:pt>
                <c:pt idx="16">
                  <c:v>7.9724605009999996</c:v>
                </c:pt>
              </c:numCache>
            </c:numRef>
          </c:val>
          <c:smooth val="0"/>
          <c:extLst>
            <c:ext xmlns:c16="http://schemas.microsoft.com/office/drawing/2014/chart" uri="{C3380CC4-5D6E-409C-BE32-E72D297353CC}">
              <c16:uniqueId val="{00000005-079D-4D7A-B043-2C3FDC8AD4B8}"/>
            </c:ext>
          </c:extLst>
        </c:ser>
        <c:dLbls>
          <c:showLegendKey val="0"/>
          <c:showVal val="0"/>
          <c:showCatName val="0"/>
          <c:showSerName val="0"/>
          <c:showPercent val="0"/>
          <c:showBubbleSize val="0"/>
        </c:dLbls>
        <c:smooth val="0"/>
        <c:axId val="244340368"/>
        <c:axId val="533197949"/>
      </c:lineChart>
      <c:catAx>
        <c:axId val="24434036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533197949"/>
        <c:crosses val="autoZero"/>
        <c:auto val="1"/>
        <c:lblAlgn val="ctr"/>
        <c:lblOffset val="100"/>
        <c:noMultiLvlLbl val="1"/>
      </c:catAx>
      <c:valAx>
        <c:axId val="5331979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244340368"/>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strRef>
              <c:f>'Assumptions (Oil G&amp;T)'!$A$48:$R$48</c:f>
              <c:strCache>
                <c:ptCount val="18"/>
                <c:pt idx="0">
                  <c:v>U.S. Tight Oil Production (million bbl per day)</c:v>
                </c:pt>
                <c:pt idx="1">
                  <c:v>0.40</c:v>
                </c:pt>
                <c:pt idx="2">
                  <c:v>0.39</c:v>
                </c:pt>
                <c:pt idx="3">
                  <c:v>0.38</c:v>
                </c:pt>
                <c:pt idx="4">
                  <c:v>0.37</c:v>
                </c:pt>
                <c:pt idx="5">
                  <c:v>0.38</c:v>
                </c:pt>
                <c:pt idx="6">
                  <c:v>0.41</c:v>
                </c:pt>
                <c:pt idx="7">
                  <c:v>0.43</c:v>
                </c:pt>
                <c:pt idx="8">
                  <c:v>0.46</c:v>
                </c:pt>
                <c:pt idx="9">
                  <c:v>0.55</c:v>
                </c:pt>
                <c:pt idx="10">
                  <c:v>0.63</c:v>
                </c:pt>
                <c:pt idx="11">
                  <c:v>0.82</c:v>
                </c:pt>
                <c:pt idx="12">
                  <c:v>1.29</c:v>
                </c:pt>
                <c:pt idx="13">
                  <c:v>2.14</c:v>
                </c:pt>
                <c:pt idx="14">
                  <c:v>3.05</c:v>
                </c:pt>
                <c:pt idx="15">
                  <c:v>4.11</c:v>
                </c:pt>
                <c:pt idx="16">
                  <c:v>4.77</c:v>
                </c:pt>
                <c:pt idx="17">
                  <c:v>4.43</c:v>
                </c:pt>
              </c:strCache>
            </c:strRef>
          </c:xVal>
          <c:yVal>
            <c:numRef>
              <c:f>'Assumptions (Oil G&amp;T)'!$A$39:$R$39</c:f>
              <c:numCache>
                <c:formatCode>"$"#,##0.00</c:formatCode>
                <c:ptCount val="18"/>
                <c:pt idx="0" formatCode="General">
                  <c:v>0</c:v>
                </c:pt>
                <c:pt idx="1">
                  <c:v>0.107568177</c:v>
                </c:pt>
                <c:pt idx="2">
                  <c:v>-0.105575318</c:v>
                </c:pt>
                <c:pt idx="3">
                  <c:v>-0.52294054599999995</c:v>
                </c:pt>
                <c:pt idx="4">
                  <c:v>-0.27243583700000001</c:v>
                </c:pt>
                <c:pt idx="5">
                  <c:v>-0.33630574699999999</c:v>
                </c:pt>
                <c:pt idx="6">
                  <c:v>0.30215173400000001</c:v>
                </c:pt>
                <c:pt idx="7">
                  <c:v>0.19623754700000007</c:v>
                </c:pt>
                <c:pt idx="8">
                  <c:v>-0.90028806099999992</c:v>
                </c:pt>
                <c:pt idx="9">
                  <c:v>-1.14192929</c:v>
                </c:pt>
                <c:pt idx="10">
                  <c:v>-0.36673095</c:v>
                </c:pt>
                <c:pt idx="11">
                  <c:v>-1.0819407139999999</c:v>
                </c:pt>
                <c:pt idx="12">
                  <c:v>-8.243833300000003E-2</c:v>
                </c:pt>
                <c:pt idx="13">
                  <c:v>-1.513023566</c:v>
                </c:pt>
                <c:pt idx="14">
                  <c:v>-0.66372672799999965</c:v>
                </c:pt>
                <c:pt idx="15">
                  <c:v>-5.6720751890000001</c:v>
                </c:pt>
                <c:pt idx="16">
                  <c:v>-5.796089083</c:v>
                </c:pt>
                <c:pt idx="17">
                  <c:v>-2.6765874549999999</c:v>
                </c:pt>
              </c:numCache>
            </c:numRef>
          </c:yVal>
          <c:smooth val="1"/>
          <c:extLst>
            <c:ext xmlns:c16="http://schemas.microsoft.com/office/drawing/2014/chart" uri="{C3380CC4-5D6E-409C-BE32-E72D297353CC}">
              <c16:uniqueId val="{00000000-4A22-496D-BC47-B342404D08AE}"/>
            </c:ext>
          </c:extLst>
        </c:ser>
        <c:dLbls>
          <c:showLegendKey val="0"/>
          <c:showVal val="0"/>
          <c:showCatName val="0"/>
          <c:showSerName val="0"/>
          <c:showPercent val="0"/>
          <c:showBubbleSize val="0"/>
        </c:dLbls>
        <c:axId val="1530150570"/>
        <c:axId val="195045304"/>
      </c:scatterChart>
      <c:valAx>
        <c:axId val="15301505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95045304"/>
        <c:crosses val="autoZero"/>
        <c:crossBetween val="midCat"/>
      </c:valAx>
      <c:valAx>
        <c:axId val="1950453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530150570"/>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1"/>
          <c:order val="1"/>
          <c:tx>
            <c:strRef>
              <c:f>'Assumptions (Oil G&amp;T)'!$A$37</c:f>
              <c:strCache>
                <c:ptCount val="1"/>
                <c:pt idx="0">
                  <c:v>Total Capital Expenditures FERC 6 ($billion)</c:v>
                </c:pt>
              </c:strCache>
            </c:strRef>
          </c:tx>
          <c:marker>
            <c:symbol val="none"/>
          </c:marker>
          <c:cat>
            <c:numRef>
              <c:f>'Assumptions (Oil G&amp;T)'!$B$1:$AZ$1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(Oil G&amp;T)'!$B$37:$AZ$37</c:f>
              <c:numCache>
                <c:formatCode>"$"#,##0.00</c:formatCode>
                <c:ptCount val="51"/>
                <c:pt idx="0">
                  <c:v>1.6948498619999999</c:v>
                </c:pt>
                <c:pt idx="1">
                  <c:v>1.784462473</c:v>
                </c:pt>
                <c:pt idx="2">
                  <c:v>1.8143360829999999</c:v>
                </c:pt>
                <c:pt idx="3">
                  <c:v>1.836179038</c:v>
                </c:pt>
                <c:pt idx="4">
                  <c:v>3.0419613759999997</c:v>
                </c:pt>
                <c:pt idx="5">
                  <c:v>2.7855113570000003</c:v>
                </c:pt>
                <c:pt idx="6">
                  <c:v>2.4804938439999997</c:v>
                </c:pt>
                <c:pt idx="7">
                  <c:v>4.6950389379999997</c:v>
                </c:pt>
                <c:pt idx="8">
                  <c:v>5.0146175340000001</c:v>
                </c:pt>
                <c:pt idx="9">
                  <c:v>4.0537466030000004</c:v>
                </c:pt>
                <c:pt idx="10">
                  <c:v>7.3676233139999994</c:v>
                </c:pt>
                <c:pt idx="11">
                  <c:v>3.9785318470000002</c:v>
                </c:pt>
                <c:pt idx="12">
                  <c:v>7.0365095689999997</c:v>
                </c:pt>
                <c:pt idx="13">
                  <c:v>15.319414657999999</c:v>
                </c:pt>
                <c:pt idx="14">
                  <c:v>21.098084912000001</c:v>
                </c:pt>
                <c:pt idx="15">
                  <c:v>15.995911674</c:v>
                </c:pt>
                <c:pt idx="16">
                  <c:v>9.9571780200000006</c:v>
                </c:pt>
                <c:pt idx="17">
                  <c:v>15.41270137998772</c:v>
                </c:pt>
                <c:pt idx="18">
                  <c:v>16.793710896344301</c:v>
                </c:pt>
                <c:pt idx="19">
                  <c:v>17.656462018029146</c:v>
                </c:pt>
                <c:pt idx="20">
                  <c:v>18.246250624582135</c:v>
                </c:pt>
                <c:pt idx="21">
                  <c:v>18.524699455447561</c:v>
                </c:pt>
                <c:pt idx="22">
                  <c:v>18.580221001776223</c:v>
                </c:pt>
                <c:pt idx="23">
                  <c:v>18.577827918205344</c:v>
                </c:pt>
                <c:pt idx="24">
                  <c:v>18.709587462670015</c:v>
                </c:pt>
                <c:pt idx="25">
                  <c:v>18.771473815654701</c:v>
                </c:pt>
                <c:pt idx="26">
                  <c:v>18.898928543379654</c:v>
                </c:pt>
                <c:pt idx="27">
                  <c:v>19.048725720598593</c:v>
                </c:pt>
                <c:pt idx="28">
                  <c:v>19.070120306267256</c:v>
                </c:pt>
                <c:pt idx="29">
                  <c:v>19.132839107255066</c:v>
                </c:pt>
                <c:pt idx="30">
                  <c:v>19.17870570329805</c:v>
                </c:pt>
                <c:pt idx="31">
                  <c:v>19.211995797915264</c:v>
                </c:pt>
                <c:pt idx="32">
                  <c:v>19.190627704834803</c:v>
                </c:pt>
                <c:pt idx="33">
                  <c:v>19.152608716631644</c:v>
                </c:pt>
                <c:pt idx="34">
                  <c:v>19.136052118876606</c:v>
                </c:pt>
                <c:pt idx="35">
                  <c:v>19.082070780748673</c:v>
                </c:pt>
                <c:pt idx="36">
                  <c:v>19.010773250236348</c:v>
                </c:pt>
                <c:pt idx="37">
                  <c:v>18.927938707023145</c:v>
                </c:pt>
                <c:pt idx="38">
                  <c:v>18.874167396112288</c:v>
                </c:pt>
                <c:pt idx="39">
                  <c:v>18.826707617517776</c:v>
                </c:pt>
                <c:pt idx="40">
                  <c:v>18.776875903806737</c:v>
                </c:pt>
                <c:pt idx="41">
                  <c:v>18.762465785860385</c:v>
                </c:pt>
                <c:pt idx="42">
                  <c:v>18.726354411187579</c:v>
                </c:pt>
                <c:pt idx="43">
                  <c:v>18.670666818554913</c:v>
                </c:pt>
                <c:pt idx="44">
                  <c:v>18.617590476744951</c:v>
                </c:pt>
                <c:pt idx="45">
                  <c:v>18.521207175929256</c:v>
                </c:pt>
                <c:pt idx="46">
                  <c:v>18.445107881370888</c:v>
                </c:pt>
                <c:pt idx="47">
                  <c:v>18.384268505281259</c:v>
                </c:pt>
                <c:pt idx="48">
                  <c:v>18.32328114735283</c:v>
                </c:pt>
                <c:pt idx="49">
                  <c:v>18.210149481494049</c:v>
                </c:pt>
                <c:pt idx="50">
                  <c:v>18.143953896845446</c:v>
                </c:pt>
              </c:numCache>
            </c:numRef>
          </c:val>
          <c:smooth val="0"/>
          <c:extLst>
            <c:ext xmlns:c16="http://schemas.microsoft.com/office/drawing/2014/chart" uri="{C3380CC4-5D6E-409C-BE32-E72D297353CC}">
              <c16:uniqueId val="{00000000-D69B-4919-8AC4-61E60706562C}"/>
            </c:ext>
          </c:extLst>
        </c:ser>
        <c:ser>
          <c:idx val="2"/>
          <c:order val="2"/>
          <c:tx>
            <c:strRef>
              <c:f>'Assumptions (Oil G&amp;T)'!$A$38</c:f>
              <c:strCache>
                <c:ptCount val="1"/>
                <c:pt idx="0">
                  <c:v>Total Sold/Abandoned/Retired FERC 6 ($billion)</c:v>
                </c:pt>
              </c:strCache>
            </c:strRef>
          </c:tx>
          <c:marker>
            <c:symbol val="none"/>
          </c:marker>
          <c:cat>
            <c:numRef>
              <c:f>'Assumptions (Oil G&amp;T)'!$B$1:$AZ$1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(Oil G&amp;T)'!$B$38:$AZ$38</c:f>
              <c:numCache>
                <c:formatCode>"$"#,##0.00</c:formatCode>
                <c:ptCount val="51"/>
                <c:pt idx="0">
                  <c:v>1.010570679</c:v>
                </c:pt>
                <c:pt idx="1">
                  <c:v>0.64471968400000002</c:v>
                </c:pt>
                <c:pt idx="2">
                  <c:v>0.63325075900000005</c:v>
                </c:pt>
                <c:pt idx="3">
                  <c:v>0.37735614399999995</c:v>
                </c:pt>
                <c:pt idx="4">
                  <c:v>0.72638450600000004</c:v>
                </c:pt>
                <c:pt idx="5">
                  <c:v>0.73246760300000002</c:v>
                </c:pt>
                <c:pt idx="6">
                  <c:v>0.63628716200000002</c:v>
                </c:pt>
                <c:pt idx="7">
                  <c:v>0.61662958300000004</c:v>
                </c:pt>
                <c:pt idx="8">
                  <c:v>0.54285053499999991</c:v>
                </c:pt>
                <c:pt idx="9">
                  <c:v>0.57098416799999996</c:v>
                </c:pt>
                <c:pt idx="10">
                  <c:v>0.58215887899999996</c:v>
                </c:pt>
                <c:pt idx="11">
                  <c:v>0.37165565900000003</c:v>
                </c:pt>
                <c:pt idx="12">
                  <c:v>0.35639213400000003</c:v>
                </c:pt>
                <c:pt idx="13">
                  <c:v>0.68526727799999998</c:v>
                </c:pt>
                <c:pt idx="14">
                  <c:v>0.74713972899999992</c:v>
                </c:pt>
                <c:pt idx="15">
                  <c:v>0.9710016050000001</c:v>
                </c:pt>
                <c:pt idx="16">
                  <c:v>1.1228458479999999</c:v>
                </c:pt>
                <c:pt idx="17">
                  <c:v>0.66114398166666666</c:v>
                </c:pt>
                <c:pt idx="18">
                  <c:v>0.67428769796296295</c:v>
                </c:pt>
                <c:pt idx="19">
                  <c:v>0.68576586795884775</c:v>
                </c:pt>
                <c:pt idx="20">
                  <c:v>0.69727775562094196</c:v>
                </c:pt>
                <c:pt idx="21">
                  <c:v>0.73345798857882427</c:v>
                </c:pt>
                <c:pt idx="22">
                  <c:v>0.77535419464313815</c:v>
                </c:pt>
                <c:pt idx="23">
                  <c:v>0.78536385204793135</c:v>
                </c:pt>
                <c:pt idx="24">
                  <c:v>0.78961097683103476</c:v>
                </c:pt>
                <c:pt idx="25">
                  <c:v>0.76945646259003864</c:v>
                </c:pt>
                <c:pt idx="26">
                  <c:v>0.73019097532226518</c:v>
                </c:pt>
                <c:pt idx="27">
                  <c:v>0.73786286350622055</c:v>
                </c:pt>
                <c:pt idx="28">
                  <c:v>0.74492677078880454</c:v>
                </c:pt>
                <c:pt idx="29">
                  <c:v>0.75150020443657772</c:v>
                </c:pt>
                <c:pt idx="30">
                  <c:v>0.75752492097164847</c:v>
                </c:pt>
                <c:pt idx="31">
                  <c:v>0.76019902457085098</c:v>
                </c:pt>
                <c:pt idx="32">
                  <c:v>0.75851511678504135</c:v>
                </c:pt>
                <c:pt idx="33">
                  <c:v>0.75553192397805358</c:v>
                </c:pt>
                <c:pt idx="34">
                  <c:v>0.75174536254994462</c:v>
                </c:pt>
                <c:pt idx="35">
                  <c:v>0.7497774625454896</c:v>
                </c:pt>
                <c:pt idx="36">
                  <c:v>0.75195373890362571</c:v>
                </c:pt>
                <c:pt idx="37">
                  <c:v>0.7535193917255596</c:v>
                </c:pt>
                <c:pt idx="38">
                  <c:v>0.75447412738519903</c:v>
                </c:pt>
                <c:pt idx="39">
                  <c:v>0.75480456326837919</c:v>
                </c:pt>
                <c:pt idx="40">
                  <c:v>0.75450230130134932</c:v>
                </c:pt>
                <c:pt idx="41">
                  <c:v>0.75386933204918249</c:v>
                </c:pt>
                <c:pt idx="42">
                  <c:v>0.75335313374519819</c:v>
                </c:pt>
                <c:pt idx="43">
                  <c:v>0.75311104594154754</c:v>
                </c:pt>
                <c:pt idx="44">
                  <c:v>0.75326278854061457</c:v>
                </c:pt>
                <c:pt idx="45">
                  <c:v>0.75365004698451732</c:v>
                </c:pt>
                <c:pt idx="46">
                  <c:v>0.75383852566017195</c:v>
                </c:pt>
                <c:pt idx="47">
                  <c:v>0.75387398498624003</c:v>
                </c:pt>
                <c:pt idx="48">
                  <c:v>0.75380730249746675</c:v>
                </c:pt>
                <c:pt idx="49">
                  <c:v>0.75369649574514319</c:v>
                </c:pt>
                <c:pt idx="50">
                  <c:v>0.75360696179445352</c:v>
                </c:pt>
              </c:numCache>
            </c:numRef>
          </c:val>
          <c:smooth val="0"/>
          <c:extLst>
            <c:ext xmlns:c16="http://schemas.microsoft.com/office/drawing/2014/chart" uri="{C3380CC4-5D6E-409C-BE32-E72D297353CC}">
              <c16:uniqueId val="{00000001-D69B-4919-8AC4-61E60706562C}"/>
            </c:ext>
          </c:extLst>
        </c:ser>
        <c:ser>
          <c:idx val="3"/>
          <c:order val="3"/>
          <c:tx>
            <c:strRef>
              <c:f>'Assumptions (Oil G&amp;T)'!$A$39</c:f>
              <c:strCache>
                <c:ptCount val="1"/>
                <c:pt idx="0">
                  <c:v>Total Other Adjustments FERC 6 ($billion)</c:v>
                </c:pt>
              </c:strCache>
            </c:strRef>
          </c:tx>
          <c:marker>
            <c:symbol val="none"/>
          </c:marker>
          <c:cat>
            <c:numRef>
              <c:f>'Assumptions (Oil G&amp;T)'!$B$1:$AZ$1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(Oil G&amp;T)'!$B$39:$AZ$39</c:f>
              <c:numCache>
                <c:formatCode>"$"#,##0.00</c:formatCode>
                <c:ptCount val="51"/>
                <c:pt idx="0">
                  <c:v>0.107568177</c:v>
                </c:pt>
                <c:pt idx="1">
                  <c:v>-0.105575318</c:v>
                </c:pt>
                <c:pt idx="2">
                  <c:v>-0.52294054599999995</c:v>
                </c:pt>
                <c:pt idx="3">
                  <c:v>-0.27243583700000001</c:v>
                </c:pt>
                <c:pt idx="4">
                  <c:v>-0.33630574699999999</c:v>
                </c:pt>
                <c:pt idx="5">
                  <c:v>0.30215173400000001</c:v>
                </c:pt>
                <c:pt idx="6">
                  <c:v>0.19623754700000007</c:v>
                </c:pt>
                <c:pt idx="7">
                  <c:v>-0.90028806099999992</c:v>
                </c:pt>
                <c:pt idx="8">
                  <c:v>-1.14192929</c:v>
                </c:pt>
                <c:pt idx="9">
                  <c:v>-0.36673095</c:v>
                </c:pt>
                <c:pt idx="10">
                  <c:v>-1.0819407139999999</c:v>
                </c:pt>
                <c:pt idx="11">
                  <c:v>-8.243833300000003E-2</c:v>
                </c:pt>
                <c:pt idx="12">
                  <c:v>-1.513023566</c:v>
                </c:pt>
                <c:pt idx="13">
                  <c:v>-0.66372672799999965</c:v>
                </c:pt>
                <c:pt idx="14">
                  <c:v>-5.6720751890000001</c:v>
                </c:pt>
                <c:pt idx="15">
                  <c:v>-5.796089083</c:v>
                </c:pt>
                <c:pt idx="16">
                  <c:v>-2.6765874549999999</c:v>
                </c:pt>
                <c:pt idx="17">
                  <c:v>-4.6667321189759994</c:v>
                </c:pt>
                <c:pt idx="18">
                  <c:v>-6.1599737487680004</c:v>
                </c:pt>
                <c:pt idx="19">
                  <c:v>-7.3149203839999997</c:v>
                </c:pt>
                <c:pt idx="20">
                  <c:v>-8.2220071680000011</c:v>
                </c:pt>
                <c:pt idx="21">
                  <c:v>-8.6872769919999993</c:v>
                </c:pt>
                <c:pt idx="22">
                  <c:v>-8.7830605439999996</c:v>
                </c:pt>
                <c:pt idx="23">
                  <c:v>-8.7789110079999997</c:v>
                </c:pt>
                <c:pt idx="24">
                  <c:v>-9.0102384640000004</c:v>
                </c:pt>
                <c:pt idx="25">
                  <c:v>-9.120926815999999</c:v>
                </c:pt>
                <c:pt idx="26">
                  <c:v>-9.3530736639999983</c:v>
                </c:pt>
                <c:pt idx="27">
                  <c:v>-9.6332749760000009</c:v>
                </c:pt>
                <c:pt idx="28">
                  <c:v>-9.6739559039999996</c:v>
                </c:pt>
                <c:pt idx="29">
                  <c:v>-9.7941803519999997</c:v>
                </c:pt>
                <c:pt idx="30">
                  <c:v>-9.883021888</c:v>
                </c:pt>
                <c:pt idx="31">
                  <c:v>-9.9479949119999986</c:v>
                </c:pt>
                <c:pt idx="32">
                  <c:v>-9.9062426240000008</c:v>
                </c:pt>
                <c:pt idx="33">
                  <c:v>-9.8323773119999984</c:v>
                </c:pt>
                <c:pt idx="34">
                  <c:v>-9.8003783680000005</c:v>
                </c:pt>
                <c:pt idx="35">
                  <c:v>-9.696752064</c:v>
                </c:pt>
                <c:pt idx="36">
                  <c:v>-9.5615196479999991</c:v>
                </c:pt>
                <c:pt idx="37">
                  <c:v>-9.4067111039999993</c:v>
                </c:pt>
                <c:pt idx="38">
                  <c:v>-9.3075279680000005</c:v>
                </c:pt>
                <c:pt idx="39">
                  <c:v>-9.22083312</c:v>
                </c:pt>
                <c:pt idx="40">
                  <c:v>-9.1306513920000008</c:v>
                </c:pt>
                <c:pt idx="41">
                  <c:v>-9.1047334079999995</c:v>
                </c:pt>
                <c:pt idx="42">
                  <c:v>-9.040097664000001</c:v>
                </c:pt>
                <c:pt idx="43">
                  <c:v>-8.941296448000001</c:v>
                </c:pt>
                <c:pt idx="44">
                  <c:v>-8.848105984</c:v>
                </c:pt>
                <c:pt idx="45">
                  <c:v>-8.6812863040000003</c:v>
                </c:pt>
                <c:pt idx="46">
                  <c:v>-8.5517370560000003</c:v>
                </c:pt>
                <c:pt idx="47">
                  <c:v>-8.4495184000000005</c:v>
                </c:pt>
                <c:pt idx="48">
                  <c:v>-8.3482421440000003</c:v>
                </c:pt>
                <c:pt idx="49">
                  <c:v>-8.1634851200000007</c:v>
                </c:pt>
                <c:pt idx="50">
                  <c:v>-8.0572260479999986</c:v>
                </c:pt>
              </c:numCache>
            </c:numRef>
          </c:val>
          <c:smooth val="0"/>
          <c:extLst>
            <c:ext xmlns:c16="http://schemas.microsoft.com/office/drawing/2014/chart" uri="{C3380CC4-5D6E-409C-BE32-E72D297353CC}">
              <c16:uniqueId val="{00000002-D69B-4919-8AC4-61E60706562C}"/>
            </c:ext>
          </c:extLst>
        </c:ser>
        <c:ser>
          <c:idx val="4"/>
          <c:order val="4"/>
          <c:tx>
            <c:strRef>
              <c:f>'Assumptions (Oil G&amp;T)'!$A$40</c:f>
              <c:strCache>
                <c:ptCount val="1"/>
                <c:pt idx="0">
                  <c:v>Aggregate Revenues FERC 6 ($billion)</c:v>
                </c:pt>
              </c:strCache>
            </c:strRef>
          </c:tx>
          <c:marker>
            <c:symbol val="none"/>
          </c:marker>
          <c:cat>
            <c:numRef>
              <c:f>'Assumptions (Oil G&amp;T)'!$B$1:$AZ$1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(Oil G&amp;T)'!$B$40:$AZ$40</c:f>
              <c:numCache>
                <c:formatCode>"$"#,##0.00</c:formatCode>
                <c:ptCount val="51"/>
                <c:pt idx="0">
                  <c:v>7.2822647319999998</c:v>
                </c:pt>
                <c:pt idx="1">
                  <c:v>7.7682886330000001</c:v>
                </c:pt>
                <c:pt idx="2">
                  <c:v>7.9408306240000002</c:v>
                </c:pt>
                <c:pt idx="3">
                  <c:v>7.7309322509999996</c:v>
                </c:pt>
                <c:pt idx="4">
                  <c:v>7.6575674509999994</c:v>
                </c:pt>
                <c:pt idx="5">
                  <c:v>7.9539967589999998</c:v>
                </c:pt>
                <c:pt idx="6">
                  <c:v>8.5402840659999999</c:v>
                </c:pt>
                <c:pt idx="7">
                  <c:v>9.3103562229999977</c:v>
                </c:pt>
                <c:pt idx="8">
                  <c:v>9.2354151249999994</c:v>
                </c:pt>
                <c:pt idx="9">
                  <c:v>9.9788386189999994</c:v>
                </c:pt>
                <c:pt idx="10">
                  <c:v>11.210556137999999</c:v>
                </c:pt>
                <c:pt idx="11">
                  <c:v>12.565311376</c:v>
                </c:pt>
                <c:pt idx="12">
                  <c:v>14.025650972000001</c:v>
                </c:pt>
                <c:pt idx="13">
                  <c:v>16.024044008000001</c:v>
                </c:pt>
                <c:pt idx="14">
                  <c:v>19.314540135000001</c:v>
                </c:pt>
                <c:pt idx="15">
                  <c:v>22.070514448000001</c:v>
                </c:pt>
                <c:pt idx="16">
                  <c:v>23.118968085000002</c:v>
                </c:pt>
                <c:pt idx="17">
                  <c:v>23.168479904720002</c:v>
                </c:pt>
                <c:pt idx="18">
                  <c:v>28.045599743960004</c:v>
                </c:pt>
                <c:pt idx="19">
                  <c:v>31.81780448</c:v>
                </c:pt>
                <c:pt idx="20">
                  <c:v>34.780466960000005</c:v>
                </c:pt>
                <c:pt idx="21">
                  <c:v>36.300098240000004</c:v>
                </c:pt>
                <c:pt idx="22">
                  <c:v>36.612939679999997</c:v>
                </c:pt>
                <c:pt idx="23">
                  <c:v>36.599386760000002</c:v>
                </c:pt>
                <c:pt idx="24">
                  <c:v>37.354932080000005</c:v>
                </c:pt>
                <c:pt idx="25">
                  <c:v>37.716454519999999</c:v>
                </c:pt>
                <c:pt idx="26">
                  <c:v>38.474676080000002</c:v>
                </c:pt>
                <c:pt idx="27">
                  <c:v>39.389849720000008</c:v>
                </c:pt>
                <c:pt idx="28">
                  <c:v>39.522718879999999</c:v>
                </c:pt>
                <c:pt idx="29">
                  <c:v>39.915387440000003</c:v>
                </c:pt>
                <c:pt idx="30">
                  <c:v>40.205555360000005</c:v>
                </c:pt>
                <c:pt idx="31">
                  <c:v>40.417765639999999</c:v>
                </c:pt>
                <c:pt idx="32">
                  <c:v>40.281397280000007</c:v>
                </c:pt>
                <c:pt idx="33">
                  <c:v>40.040143640000004</c:v>
                </c:pt>
                <c:pt idx="34">
                  <c:v>39.935630960000005</c:v>
                </c:pt>
                <c:pt idx="35">
                  <c:v>39.597174080000002</c:v>
                </c:pt>
                <c:pt idx="36">
                  <c:v>39.155487559999997</c:v>
                </c:pt>
                <c:pt idx="37">
                  <c:v>38.649862880000001</c:v>
                </c:pt>
                <c:pt idx="38">
                  <c:v>38.325917960000005</c:v>
                </c:pt>
                <c:pt idx="39">
                  <c:v>38.042761400000003</c:v>
                </c:pt>
                <c:pt idx="40">
                  <c:v>37.748216240000005</c:v>
                </c:pt>
                <c:pt idx="41">
                  <c:v>37.66356476</c:v>
                </c:pt>
                <c:pt idx="42">
                  <c:v>37.452456080000005</c:v>
                </c:pt>
                <c:pt idx="43">
                  <c:v>37.129758560000006</c:v>
                </c:pt>
                <c:pt idx="44">
                  <c:v>36.825386480000006</c:v>
                </c:pt>
                <c:pt idx="45">
                  <c:v>36.280531880000005</c:v>
                </c:pt>
                <c:pt idx="46">
                  <c:v>35.85740732</c:v>
                </c:pt>
                <c:pt idx="47">
                  <c:v>35.523548000000005</c:v>
                </c:pt>
                <c:pt idx="48">
                  <c:v>35.192766680000005</c:v>
                </c:pt>
                <c:pt idx="49">
                  <c:v>34.589326400000004</c:v>
                </c:pt>
                <c:pt idx="50">
                  <c:v>34.242270560000001</c:v>
                </c:pt>
              </c:numCache>
            </c:numRef>
          </c:val>
          <c:smooth val="0"/>
          <c:extLst>
            <c:ext xmlns:c16="http://schemas.microsoft.com/office/drawing/2014/chart" uri="{C3380CC4-5D6E-409C-BE32-E72D297353CC}">
              <c16:uniqueId val="{00000003-D69B-4919-8AC4-61E60706562C}"/>
            </c:ext>
          </c:extLst>
        </c:ser>
        <c:ser>
          <c:idx val="5"/>
          <c:order val="5"/>
          <c:tx>
            <c:strRef>
              <c:f>'Assumptions (Oil G&amp;T)'!$A$41</c:f>
              <c:strCache>
                <c:ptCount val="1"/>
                <c:pt idx="0">
                  <c:v>Aggregate OPEX FERC 6 ($billion)</c:v>
                </c:pt>
              </c:strCache>
            </c:strRef>
          </c:tx>
          <c:marker>
            <c:symbol val="none"/>
          </c:marker>
          <c:cat>
            <c:numRef>
              <c:f>'Assumptions (Oil G&amp;T)'!$B$1:$AZ$1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(Oil G&amp;T)'!$B$41:$AZ$41</c:f>
              <c:numCache>
                <c:formatCode>"$"#,##0.00</c:formatCode>
                <c:ptCount val="51"/>
                <c:pt idx="0">
                  <c:v>4.676504969999999</c:v>
                </c:pt>
                <c:pt idx="1">
                  <c:v>5.0550079710000002</c:v>
                </c:pt>
                <c:pt idx="2">
                  <c:v>5.1575083209999999</c:v>
                </c:pt>
                <c:pt idx="3">
                  <c:v>5.214598305</c:v>
                </c:pt>
                <c:pt idx="4">
                  <c:v>3.3232993780000002</c:v>
                </c:pt>
                <c:pt idx="5">
                  <c:v>3.2930506509999997</c:v>
                </c:pt>
                <c:pt idx="6">
                  <c:v>4.0352826189999993</c:v>
                </c:pt>
                <c:pt idx="7">
                  <c:v>4.4724636250000005</c:v>
                </c:pt>
                <c:pt idx="8">
                  <c:v>4.1735682889999994</c:v>
                </c:pt>
                <c:pt idx="9">
                  <c:v>4.3129405230000009</c:v>
                </c:pt>
                <c:pt idx="10">
                  <c:v>5.5216871600000008</c:v>
                </c:pt>
                <c:pt idx="11">
                  <c:v>4.9852559210000003</c:v>
                </c:pt>
                <c:pt idx="12">
                  <c:v>5.1227699900000001</c:v>
                </c:pt>
                <c:pt idx="13">
                  <c:v>6.4022940159999999</c:v>
                </c:pt>
                <c:pt idx="14">
                  <c:v>6.9099759899999986</c:v>
                </c:pt>
                <c:pt idx="15">
                  <c:v>7.6315185229999987</c:v>
                </c:pt>
                <c:pt idx="16">
                  <c:v>7.9724605009999996</c:v>
                </c:pt>
                <c:pt idx="17">
                  <c:v>7.8441901999020001</c:v>
                </c:pt>
                <c:pt idx="18">
                  <c:v>8.9867006807610004</c:v>
                </c:pt>
                <c:pt idx="19">
                  <c:v>9.870374567999999</c:v>
                </c:pt>
                <c:pt idx="20">
                  <c:v>10.564405686000001</c:v>
                </c:pt>
                <c:pt idx="21">
                  <c:v>10.920393384</c:v>
                </c:pt>
                <c:pt idx="22">
                  <c:v>10.993679388</c:v>
                </c:pt>
                <c:pt idx="23">
                  <c:v>10.990504490999999</c:v>
                </c:pt>
                <c:pt idx="24">
                  <c:v>11.167497978</c:v>
                </c:pt>
                <c:pt idx="25">
                  <c:v>11.252187957</c:v>
                </c:pt>
                <c:pt idx="26">
                  <c:v>11.429808378000001</c:v>
                </c:pt>
                <c:pt idx="27">
                  <c:v>11.644196277000001</c:v>
                </c:pt>
                <c:pt idx="28">
                  <c:v>11.675322108</c:v>
                </c:pt>
                <c:pt idx="29">
                  <c:v>11.767308354000001</c:v>
                </c:pt>
                <c:pt idx="30">
                  <c:v>11.835282876000001</c:v>
                </c:pt>
                <c:pt idx="31">
                  <c:v>11.884995099000001</c:v>
                </c:pt>
                <c:pt idx="32">
                  <c:v>11.853049548000001</c:v>
                </c:pt>
                <c:pt idx="33">
                  <c:v>11.796533649000001</c:v>
                </c:pt>
                <c:pt idx="34">
                  <c:v>11.772050585999999</c:v>
                </c:pt>
                <c:pt idx="35">
                  <c:v>11.692763928</c:v>
                </c:pt>
                <c:pt idx="36">
                  <c:v>11.589294770999999</c:v>
                </c:pt>
                <c:pt idx="37">
                  <c:v>11.470847508</c:v>
                </c:pt>
                <c:pt idx="38">
                  <c:v>11.394960411</c:v>
                </c:pt>
                <c:pt idx="39">
                  <c:v>11.328628365</c:v>
                </c:pt>
                <c:pt idx="40">
                  <c:v>11.259628434</c:v>
                </c:pt>
                <c:pt idx="41">
                  <c:v>11.239798041</c:v>
                </c:pt>
                <c:pt idx="42">
                  <c:v>11.190343878</c:v>
                </c:pt>
                <c:pt idx="43">
                  <c:v>11.114748995999999</c:v>
                </c:pt>
                <c:pt idx="44">
                  <c:v>11.043447018</c:v>
                </c:pt>
                <c:pt idx="45">
                  <c:v>10.915809783</c:v>
                </c:pt>
                <c:pt idx="46">
                  <c:v>10.816688937</c:v>
                </c:pt>
                <c:pt idx="47">
                  <c:v>10.738479300000002</c:v>
                </c:pt>
                <c:pt idx="48">
                  <c:v>10.660990713</c:v>
                </c:pt>
                <c:pt idx="49">
                  <c:v>10.51962924</c:v>
                </c:pt>
                <c:pt idx="50">
                  <c:v>10.438328196000001</c:v>
                </c:pt>
              </c:numCache>
            </c:numRef>
          </c:val>
          <c:smooth val="0"/>
          <c:extLst>
            <c:ext xmlns:c16="http://schemas.microsoft.com/office/drawing/2014/chart" uri="{C3380CC4-5D6E-409C-BE32-E72D297353CC}">
              <c16:uniqueId val="{00000004-D69B-4919-8AC4-61E60706562C}"/>
            </c:ext>
          </c:extLst>
        </c:ser>
        <c:dLbls>
          <c:showLegendKey val="0"/>
          <c:showVal val="0"/>
          <c:showCatName val="0"/>
          <c:showSerName val="0"/>
          <c:showPercent val="0"/>
          <c:showBubbleSize val="0"/>
        </c:dLbls>
        <c:marker val="1"/>
        <c:smooth val="0"/>
        <c:axId val="199522269"/>
        <c:axId val="634687966"/>
      </c:lineChart>
      <c:lineChart>
        <c:grouping val="standard"/>
        <c:varyColors val="0"/>
        <c:ser>
          <c:idx val="0"/>
          <c:order val="0"/>
          <c:tx>
            <c:strRef>
              <c:f>'Assumptions (Oil G&amp;T)'!$A$36</c:f>
              <c:strCache>
                <c:ptCount val="1"/>
                <c:pt idx="0">
                  <c:v>Total Beginning Year Balance FERC 6 ($billion)</c:v>
                </c:pt>
              </c:strCache>
            </c:strRef>
          </c:tx>
          <c:marker>
            <c:symbol val="none"/>
          </c:marker>
          <c:cat>
            <c:numRef>
              <c:f>'Assumptions (Oil G&amp;T)'!$B$1:$AZ$1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(Oil G&amp;T)'!$B$36:$AZ$36</c:f>
              <c:numCache>
                <c:formatCode>"$"#,##0.00</c:formatCode>
                <c:ptCount val="51"/>
                <c:pt idx="0">
                  <c:v>33.50493298</c:v>
                </c:pt>
                <c:pt idx="1">
                  <c:v>31.685583116</c:v>
                </c:pt>
                <c:pt idx="2">
                  <c:v>35.146123180000004</c:v>
                </c:pt>
                <c:pt idx="3">
                  <c:v>31.435481882000001</c:v>
                </c:pt>
                <c:pt idx="4">
                  <c:v>32.239625525999998</c:v>
                </c:pt>
                <c:pt idx="5">
                  <c:v>33.829539683</c:v>
                </c:pt>
                <c:pt idx="6">
                  <c:v>38.828688145999998</c:v>
                </c:pt>
                <c:pt idx="7">
                  <c:v>38.239242059999995</c:v>
                </c:pt>
                <c:pt idx="8">
                  <c:v>41.820506180000002</c:v>
                </c:pt>
                <c:pt idx="9">
                  <c:v>44.644302746999998</c:v>
                </c:pt>
                <c:pt idx="10">
                  <c:v>48.536091546999998</c:v>
                </c:pt>
                <c:pt idx="11">
                  <c:v>54.955555619000002</c:v>
                </c:pt>
                <c:pt idx="12">
                  <c:v>60.307593605000001</c:v>
                </c:pt>
                <c:pt idx="13">
                  <c:v>65.078336062000005</c:v>
                </c:pt>
                <c:pt idx="14">
                  <c:v>81.341532390000012</c:v>
                </c:pt>
                <c:pt idx="15">
                  <c:v>95.842791779999985</c:v>
                </c:pt>
                <c:pt idx="16">
                  <c:v>103.56160448</c:v>
                </c:pt>
                <c:pt idx="17">
                  <c:v>109.719349197</c:v>
                </c:pt>
                <c:pt idx="18">
                  <c:v>119.80417447634505</c:v>
                </c:pt>
                <c:pt idx="19">
                  <c:v>129.76362392595837</c:v>
                </c:pt>
                <c:pt idx="20">
                  <c:v>139.41939969202866</c:v>
                </c:pt>
                <c:pt idx="21">
                  <c:v>148.74636539298984</c:v>
                </c:pt>
                <c:pt idx="22">
                  <c:v>157.85032986785856</c:v>
                </c:pt>
                <c:pt idx="23">
                  <c:v>166.87213613099163</c:v>
                </c:pt>
                <c:pt idx="24">
                  <c:v>175.88568918914905</c:v>
                </c:pt>
                <c:pt idx="25">
                  <c:v>184.79542721098804</c:v>
                </c:pt>
                <c:pt idx="26">
                  <c:v>193.6765177480527</c:v>
                </c:pt>
                <c:pt idx="27">
                  <c:v>202.49218165211008</c:v>
                </c:pt>
                <c:pt idx="28">
                  <c:v>211.16976953320244</c:v>
                </c:pt>
                <c:pt idx="29">
                  <c:v>219.82100716468091</c:v>
                </c:pt>
                <c:pt idx="30">
                  <c:v>228.40816571549936</c:v>
                </c:pt>
                <c:pt idx="31">
                  <c:v>236.94632460982575</c:v>
                </c:pt>
                <c:pt idx="32">
                  <c:v>245.45012647117017</c:v>
                </c:pt>
                <c:pt idx="33">
                  <c:v>253.97599643521994</c:v>
                </c:pt>
                <c:pt idx="34">
                  <c:v>262.54069591587353</c:v>
                </c:pt>
                <c:pt idx="35">
                  <c:v>271.12462430420015</c:v>
                </c:pt>
                <c:pt idx="36">
                  <c:v>279.76016555840334</c:v>
                </c:pt>
                <c:pt idx="37">
                  <c:v>288.45746542173606</c:v>
                </c:pt>
                <c:pt idx="38">
                  <c:v>297.22517363303365</c:v>
                </c:pt>
                <c:pt idx="39">
                  <c:v>306.03733893376074</c:v>
                </c:pt>
                <c:pt idx="40">
                  <c:v>314.88840886801017</c:v>
                </c:pt>
                <c:pt idx="41">
                  <c:v>323.78013107851558</c:v>
                </c:pt>
                <c:pt idx="42">
                  <c:v>332.68399412432677</c:v>
                </c:pt>
                <c:pt idx="43">
                  <c:v>341.61689773776914</c:v>
                </c:pt>
                <c:pt idx="44">
                  <c:v>350.59315706238255</c:v>
                </c:pt>
                <c:pt idx="45">
                  <c:v>359.60937876658693</c:v>
                </c:pt>
                <c:pt idx="46">
                  <c:v>368.69564959153166</c:v>
                </c:pt>
                <c:pt idx="47">
                  <c:v>377.83518189124243</c:v>
                </c:pt>
                <c:pt idx="48">
                  <c:v>387.0160580115375</c:v>
                </c:pt>
                <c:pt idx="49">
                  <c:v>396.23728971239285</c:v>
                </c:pt>
                <c:pt idx="50">
                  <c:v>405.53025757814174</c:v>
                </c:pt>
              </c:numCache>
            </c:numRef>
          </c:val>
          <c:smooth val="0"/>
          <c:extLst>
            <c:ext xmlns:c16="http://schemas.microsoft.com/office/drawing/2014/chart" uri="{C3380CC4-5D6E-409C-BE32-E72D297353CC}">
              <c16:uniqueId val="{00000005-D69B-4919-8AC4-61E60706562C}"/>
            </c:ext>
          </c:extLst>
        </c:ser>
        <c:dLbls>
          <c:showLegendKey val="0"/>
          <c:showVal val="0"/>
          <c:showCatName val="0"/>
          <c:showSerName val="0"/>
          <c:showPercent val="0"/>
          <c:showBubbleSize val="0"/>
        </c:dLbls>
        <c:marker val="1"/>
        <c:smooth val="0"/>
        <c:axId val="619585986"/>
        <c:axId val="899939156"/>
      </c:lineChart>
      <c:catAx>
        <c:axId val="19952226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634687966"/>
        <c:crosses val="autoZero"/>
        <c:auto val="1"/>
        <c:lblAlgn val="ctr"/>
        <c:lblOffset val="100"/>
        <c:noMultiLvlLbl val="1"/>
      </c:catAx>
      <c:valAx>
        <c:axId val="6346879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99522269"/>
        <c:crosses val="autoZero"/>
        <c:crossBetween val="between"/>
      </c:valAx>
      <c:catAx>
        <c:axId val="619585986"/>
        <c:scaling>
          <c:orientation val="minMax"/>
        </c:scaling>
        <c:delete val="1"/>
        <c:axPos val="b"/>
        <c:numFmt formatCode="General" sourceLinked="1"/>
        <c:majorTickMark val="none"/>
        <c:minorTickMark val="none"/>
        <c:tickLblPos val="nextTo"/>
        <c:crossAx val="899939156"/>
        <c:crosses val="autoZero"/>
        <c:auto val="1"/>
        <c:lblAlgn val="ctr"/>
        <c:lblOffset val="100"/>
        <c:noMultiLvlLbl val="1"/>
      </c:catAx>
      <c:valAx>
        <c:axId val="89993915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t>Beg Balance</a:t>
                </a:r>
              </a:p>
            </c:rich>
          </c:tx>
          <c:overlay val="0"/>
        </c:title>
        <c:numFmt formatCode="&quot;$&quot;#,##0.00" sourceLinked="1"/>
        <c:majorTickMark val="none"/>
        <c:minorTickMark val="none"/>
        <c:tickLblPos val="nextTo"/>
        <c:spPr>
          <a:ln/>
        </c:spPr>
        <c:txPr>
          <a:bodyPr/>
          <a:lstStyle/>
          <a:p>
            <a:pPr lvl="0">
              <a:defRPr b="0">
                <a:solidFill>
                  <a:srgbClr val="4A86E8"/>
                </a:solidFill>
                <a:latin typeface="Roboto"/>
              </a:defRPr>
            </a:pPr>
            <a:endParaRPr lang="en-US"/>
          </a:p>
        </c:txPr>
        <c:crossAx val="619585986"/>
        <c:crosses val="max"/>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U.S. Tight Oil Production (million bbl per day)</a:t>
            </a:r>
          </a:p>
        </c:rich>
      </c:tx>
      <c:overlay val="0"/>
    </c:title>
    <c:autoTitleDeleted val="0"/>
    <c:plotArea>
      <c:layout/>
      <c:lineChart>
        <c:grouping val="standard"/>
        <c:varyColors val="0"/>
        <c:ser>
          <c:idx val="0"/>
          <c:order val="0"/>
          <c:tx>
            <c:strRef>
              <c:f>'Assumptions (Oil G&amp;T)'!$A$48</c:f>
              <c:strCache>
                <c:ptCount val="1"/>
                <c:pt idx="0">
                  <c:v>U.S. Tight Oil Production (million bbl per day)</c:v>
                </c:pt>
              </c:strCache>
            </c:strRef>
          </c:tx>
          <c:marker>
            <c:symbol val="none"/>
          </c:marker>
          <c:cat>
            <c:numRef>
              <c:f>'Assumptions (Oil G&amp;T)'!$B$1:$AZ$1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(Oil G&amp;T)'!$B$48:$AZ$48</c:f>
              <c:numCache>
                <c:formatCode>0.00</c:formatCode>
                <c:ptCount val="51"/>
                <c:pt idx="0">
                  <c:v>0.39678200000000002</c:v>
                </c:pt>
                <c:pt idx="1">
                  <c:v>0.38714999999999999</c:v>
                </c:pt>
                <c:pt idx="2">
                  <c:v>0.37682900000000003</c:v>
                </c:pt>
                <c:pt idx="3">
                  <c:v>0.37246691700000001</c:v>
                </c:pt>
                <c:pt idx="4">
                  <c:v>0.38245941700000002</c:v>
                </c:pt>
                <c:pt idx="5">
                  <c:v>0.40981541700000002</c:v>
                </c:pt>
                <c:pt idx="6">
                  <c:v>0.42802158299999998</c:v>
                </c:pt>
                <c:pt idx="7">
                  <c:v>0.462267333</c:v>
                </c:pt>
                <c:pt idx="8">
                  <c:v>0.55364875000000002</c:v>
                </c:pt>
                <c:pt idx="9">
                  <c:v>0.63217124999999996</c:v>
                </c:pt>
                <c:pt idx="10">
                  <c:v>0.824436167</c:v>
                </c:pt>
                <c:pt idx="11">
                  <c:v>1.292299917</c:v>
                </c:pt>
                <c:pt idx="12">
                  <c:v>2.1434916230000001</c:v>
                </c:pt>
                <c:pt idx="13">
                  <c:v>3.049101523</c:v>
                </c:pt>
                <c:pt idx="14">
                  <c:v>4.1050079510000002</c:v>
                </c:pt>
                <c:pt idx="15">
                  <c:v>4.7744780679999996</c:v>
                </c:pt>
                <c:pt idx="16">
                  <c:v>4.4291678130000003</c:v>
                </c:pt>
                <c:pt idx="17">
                  <c:v>4.9594073779999999</c:v>
                </c:pt>
                <c:pt idx="18">
                  <c:v>6.4646912790000002</c:v>
                </c:pt>
                <c:pt idx="19">
                  <c:v>7.628952</c:v>
                </c:pt>
                <c:pt idx="20">
                  <c:v>8.5433540000000008</c:v>
                </c:pt>
                <c:pt idx="21">
                  <c:v>9.0123759999999997</c:v>
                </c:pt>
                <c:pt idx="22">
                  <c:v>9.1089319999999994</c:v>
                </c:pt>
                <c:pt idx="23">
                  <c:v>9.104749</c:v>
                </c:pt>
                <c:pt idx="24">
                  <c:v>9.337942</c:v>
                </c:pt>
                <c:pt idx="25">
                  <c:v>9.4495229999999992</c:v>
                </c:pt>
                <c:pt idx="26">
                  <c:v>9.6835419999999992</c:v>
                </c:pt>
                <c:pt idx="27">
                  <c:v>9.9660030000000006</c:v>
                </c:pt>
                <c:pt idx="28">
                  <c:v>10.007012</c:v>
                </c:pt>
                <c:pt idx="29">
                  <c:v>10.128206</c:v>
                </c:pt>
                <c:pt idx="30">
                  <c:v>10.217764000000001</c:v>
                </c:pt>
                <c:pt idx="31">
                  <c:v>10.283261</c:v>
                </c:pt>
                <c:pt idx="32">
                  <c:v>10.241172000000001</c:v>
                </c:pt>
                <c:pt idx="33">
                  <c:v>10.166710999999999</c:v>
                </c:pt>
                <c:pt idx="34">
                  <c:v>10.134454</c:v>
                </c:pt>
                <c:pt idx="35">
                  <c:v>10.029992</c:v>
                </c:pt>
                <c:pt idx="36">
                  <c:v>9.8936689999999992</c:v>
                </c:pt>
                <c:pt idx="37">
                  <c:v>9.7376120000000004</c:v>
                </c:pt>
                <c:pt idx="38">
                  <c:v>9.6376290000000004</c:v>
                </c:pt>
                <c:pt idx="39">
                  <c:v>9.5502350000000007</c:v>
                </c:pt>
                <c:pt idx="40">
                  <c:v>9.4593260000000008</c:v>
                </c:pt>
                <c:pt idx="41">
                  <c:v>9.4331990000000001</c:v>
                </c:pt>
                <c:pt idx="42">
                  <c:v>9.3680420000000009</c:v>
                </c:pt>
                <c:pt idx="43">
                  <c:v>9.2684440000000006</c:v>
                </c:pt>
                <c:pt idx="44">
                  <c:v>9.1745020000000004</c:v>
                </c:pt>
                <c:pt idx="45">
                  <c:v>9.0063370000000003</c:v>
                </c:pt>
                <c:pt idx="46">
                  <c:v>8.8757429999999999</c:v>
                </c:pt>
                <c:pt idx="47">
                  <c:v>8.7727000000000004</c:v>
                </c:pt>
                <c:pt idx="48">
                  <c:v>8.6706070000000004</c:v>
                </c:pt>
                <c:pt idx="49">
                  <c:v>8.4843600000000006</c:v>
                </c:pt>
                <c:pt idx="50">
                  <c:v>8.3772439999999992</c:v>
                </c:pt>
              </c:numCache>
            </c:numRef>
          </c:val>
          <c:smooth val="0"/>
          <c:extLst>
            <c:ext xmlns:c16="http://schemas.microsoft.com/office/drawing/2014/chart" uri="{C3380CC4-5D6E-409C-BE32-E72D297353CC}">
              <c16:uniqueId val="{00000000-987D-43FD-B49B-0C5E47FCCA89}"/>
            </c:ext>
          </c:extLst>
        </c:ser>
        <c:dLbls>
          <c:showLegendKey val="0"/>
          <c:showVal val="0"/>
          <c:showCatName val="0"/>
          <c:showSerName val="0"/>
          <c:showPercent val="0"/>
          <c:showBubbleSize val="0"/>
        </c:dLbls>
        <c:smooth val="0"/>
        <c:axId val="1411634200"/>
        <c:axId val="2120257586"/>
      </c:lineChart>
      <c:catAx>
        <c:axId val="141163420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2120257586"/>
        <c:crosses val="autoZero"/>
        <c:auto val="1"/>
        <c:lblAlgn val="ctr"/>
        <c:lblOffset val="100"/>
        <c:noMultiLvlLbl val="1"/>
      </c:catAx>
      <c:valAx>
        <c:axId val="21202575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U.S. Tight Oil Production (million bbl per day)</a:t>
                </a:r>
              </a:p>
            </c:rich>
          </c:tx>
          <c:overlay val="0"/>
        </c:title>
        <c:numFmt formatCode="0.00" sourceLinked="1"/>
        <c:majorTickMark val="none"/>
        <c:minorTickMark val="none"/>
        <c:tickLblPos val="nextTo"/>
        <c:spPr>
          <a:ln/>
        </c:spPr>
        <c:txPr>
          <a:bodyPr/>
          <a:lstStyle/>
          <a:p>
            <a:pPr lvl="0">
              <a:defRPr b="0">
                <a:solidFill>
                  <a:srgbClr val="000000"/>
                </a:solidFill>
                <a:latin typeface="Roboto"/>
              </a:defRPr>
            </a:pPr>
            <a:endParaRPr lang="en-US"/>
          </a:p>
        </c:txPr>
        <c:crossAx val="1411634200"/>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Midstream)'!$A$64</c:f>
              <c:strCache>
                <c:ptCount val="1"/>
                <c:pt idx="0">
                  <c:v>Total Gas Operating Revenues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Midstream)'!$B$86:$R$86</c:f>
              <c:numCache>
                <c:formatCode>"$"#,##0.00</c:formatCode>
                <c:ptCount val="17"/>
                <c:pt idx="0">
                  <c:v>4.3099999999999996</c:v>
                </c:pt>
                <c:pt idx="1">
                  <c:v>3.96</c:v>
                </c:pt>
                <c:pt idx="2">
                  <c:v>3.38</c:v>
                </c:pt>
                <c:pt idx="3">
                  <c:v>5.47</c:v>
                </c:pt>
                <c:pt idx="4">
                  <c:v>5.89</c:v>
                </c:pt>
                <c:pt idx="5">
                  <c:v>8.69</c:v>
                </c:pt>
                <c:pt idx="6">
                  <c:v>6.73</c:v>
                </c:pt>
                <c:pt idx="7">
                  <c:v>6.97</c:v>
                </c:pt>
                <c:pt idx="8">
                  <c:v>8.86</c:v>
                </c:pt>
                <c:pt idx="9">
                  <c:v>3.94</c:v>
                </c:pt>
                <c:pt idx="10">
                  <c:v>4.37</c:v>
                </c:pt>
                <c:pt idx="11">
                  <c:v>4</c:v>
                </c:pt>
                <c:pt idx="12">
                  <c:v>2.75</c:v>
                </c:pt>
                <c:pt idx="13">
                  <c:v>3.73</c:v>
                </c:pt>
                <c:pt idx="14">
                  <c:v>4.37</c:v>
                </c:pt>
                <c:pt idx="15">
                  <c:v>2.62</c:v>
                </c:pt>
                <c:pt idx="16">
                  <c:v>2.52</c:v>
                </c:pt>
              </c:numCache>
            </c:numRef>
          </c:xVal>
          <c:yVal>
            <c:numRef>
              <c:f>'Assumptions (NG Midstream)'!$B$64:$R$64</c:f>
              <c:numCache>
                <c:formatCode>"$"#,##0.00</c:formatCode>
                <c:ptCount val="17"/>
                <c:pt idx="0">
                  <c:v>14.97</c:v>
                </c:pt>
                <c:pt idx="1">
                  <c:v>14.32</c:v>
                </c:pt>
                <c:pt idx="2">
                  <c:v>13.89</c:v>
                </c:pt>
                <c:pt idx="3">
                  <c:v>14.91</c:v>
                </c:pt>
                <c:pt idx="4">
                  <c:v>15.85</c:v>
                </c:pt>
                <c:pt idx="5">
                  <c:v>16.73</c:v>
                </c:pt>
                <c:pt idx="6">
                  <c:v>17.23</c:v>
                </c:pt>
                <c:pt idx="7">
                  <c:v>21.89</c:v>
                </c:pt>
                <c:pt idx="8">
                  <c:v>20.3</c:v>
                </c:pt>
                <c:pt idx="9">
                  <c:v>19.010000000000002</c:v>
                </c:pt>
                <c:pt idx="10">
                  <c:v>19.850000000000001</c:v>
                </c:pt>
                <c:pt idx="11">
                  <c:v>20.87</c:v>
                </c:pt>
                <c:pt idx="12">
                  <c:v>20.96</c:v>
                </c:pt>
                <c:pt idx="13">
                  <c:v>21.27</c:v>
                </c:pt>
                <c:pt idx="14">
                  <c:v>24.65</c:v>
                </c:pt>
                <c:pt idx="15">
                  <c:v>24.09</c:v>
                </c:pt>
                <c:pt idx="16">
                  <c:v>22.4</c:v>
                </c:pt>
              </c:numCache>
            </c:numRef>
          </c:yVal>
          <c:smooth val="1"/>
          <c:extLst>
            <c:ext xmlns:c16="http://schemas.microsoft.com/office/drawing/2014/chart" uri="{C3380CC4-5D6E-409C-BE32-E72D297353CC}">
              <c16:uniqueId val="{00000000-7236-4BA2-AC20-D751777241A7}"/>
            </c:ext>
          </c:extLst>
        </c:ser>
        <c:dLbls>
          <c:showLegendKey val="0"/>
          <c:showVal val="0"/>
          <c:showCatName val="0"/>
          <c:showSerName val="0"/>
          <c:showPercent val="0"/>
          <c:showBubbleSize val="0"/>
        </c:dLbls>
        <c:axId val="1636889866"/>
        <c:axId val="305487248"/>
      </c:scatterChart>
      <c:valAx>
        <c:axId val="16368898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Henry Hub</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305487248"/>
        <c:crosses val="autoZero"/>
        <c:crossBetween val="midCat"/>
      </c:valAx>
      <c:valAx>
        <c:axId val="305487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Total Gas Operating Revenues FERC 2 ($billion)</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63688986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Midstream)'!$A$64</c:f>
              <c:strCache>
                <c:ptCount val="1"/>
                <c:pt idx="0">
                  <c:v>Total Gas Operating Revenues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Midstream)'!$B$85:$R$85</c:f>
              <c:numCache>
                <c:formatCode>0.0</c:formatCode>
                <c:ptCount val="17"/>
                <c:pt idx="0">
                  <c:v>1.3172783290000001</c:v>
                </c:pt>
                <c:pt idx="1">
                  <c:v>1.318267898</c:v>
                </c:pt>
                <c:pt idx="2">
                  <c:v>1.3645950440000001</c:v>
                </c:pt>
                <c:pt idx="3">
                  <c:v>1.4333097619999999</c:v>
                </c:pt>
                <c:pt idx="4">
                  <c:v>1.503235978</c:v>
                </c:pt>
                <c:pt idx="5">
                  <c:v>1.662950749</c:v>
                </c:pt>
                <c:pt idx="6">
                  <c:v>1.964867693</c:v>
                </c:pt>
                <c:pt idx="7">
                  <c:v>2.5217407110000001</c:v>
                </c:pt>
                <c:pt idx="8">
                  <c:v>3.373959326</c:v>
                </c:pt>
                <c:pt idx="9">
                  <c:v>4.3584588059999998</c:v>
                </c:pt>
                <c:pt idx="10">
                  <c:v>6.1238422139999997</c:v>
                </c:pt>
                <c:pt idx="11">
                  <c:v>8.8755331969999993</c:v>
                </c:pt>
                <c:pt idx="12">
                  <c:v>11.05550897</c:v>
                </c:pt>
                <c:pt idx="13">
                  <c:v>12.405446270000001</c:v>
                </c:pt>
                <c:pt idx="14">
                  <c:v>14.361040149999999</c:v>
                </c:pt>
                <c:pt idx="15">
                  <c:v>15.988320849999999</c:v>
                </c:pt>
                <c:pt idx="16">
                  <c:v>16.631585940000001</c:v>
                </c:pt>
              </c:numCache>
            </c:numRef>
          </c:xVal>
          <c:yVal>
            <c:numRef>
              <c:f>'Assumptions (NG Midstream)'!$B$64:$R$64</c:f>
              <c:numCache>
                <c:formatCode>"$"#,##0.00</c:formatCode>
                <c:ptCount val="17"/>
                <c:pt idx="0">
                  <c:v>14.97</c:v>
                </c:pt>
                <c:pt idx="1">
                  <c:v>14.32</c:v>
                </c:pt>
                <c:pt idx="2">
                  <c:v>13.89</c:v>
                </c:pt>
                <c:pt idx="3">
                  <c:v>14.91</c:v>
                </c:pt>
                <c:pt idx="4">
                  <c:v>15.85</c:v>
                </c:pt>
                <c:pt idx="5">
                  <c:v>16.73</c:v>
                </c:pt>
                <c:pt idx="6">
                  <c:v>17.23</c:v>
                </c:pt>
                <c:pt idx="7">
                  <c:v>21.89</c:v>
                </c:pt>
                <c:pt idx="8">
                  <c:v>20.3</c:v>
                </c:pt>
                <c:pt idx="9">
                  <c:v>19.010000000000002</c:v>
                </c:pt>
                <c:pt idx="10">
                  <c:v>19.850000000000001</c:v>
                </c:pt>
                <c:pt idx="11">
                  <c:v>20.87</c:v>
                </c:pt>
                <c:pt idx="12">
                  <c:v>20.96</c:v>
                </c:pt>
                <c:pt idx="13">
                  <c:v>21.27</c:v>
                </c:pt>
                <c:pt idx="14">
                  <c:v>24.65</c:v>
                </c:pt>
                <c:pt idx="15">
                  <c:v>24.09</c:v>
                </c:pt>
                <c:pt idx="16">
                  <c:v>22.4</c:v>
                </c:pt>
              </c:numCache>
            </c:numRef>
          </c:yVal>
          <c:smooth val="1"/>
          <c:extLst>
            <c:ext xmlns:c16="http://schemas.microsoft.com/office/drawing/2014/chart" uri="{C3380CC4-5D6E-409C-BE32-E72D297353CC}">
              <c16:uniqueId val="{00000000-F882-4EF3-9050-9B121ED9D864}"/>
            </c:ext>
          </c:extLst>
        </c:ser>
        <c:dLbls>
          <c:showLegendKey val="0"/>
          <c:showVal val="0"/>
          <c:showCatName val="0"/>
          <c:showSerName val="0"/>
          <c:showPercent val="0"/>
          <c:showBubbleSize val="0"/>
        </c:dLbls>
        <c:axId val="2088623793"/>
        <c:axId val="1771924947"/>
      </c:scatterChart>
      <c:valAx>
        <c:axId val="208862379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Shale Gas Prod</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1771924947"/>
        <c:crosses val="autoZero"/>
        <c:crossBetween val="midCat"/>
      </c:valAx>
      <c:valAx>
        <c:axId val="1771924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Total Gas Operating Revenues FERC 2 ($billion)</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2088623793"/>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Midstream)'!$A$64</c:f>
              <c:strCache>
                <c:ptCount val="1"/>
                <c:pt idx="0">
                  <c:v>Total Gas Operating Revenues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Midstream)'!$B$82:$R$82</c:f>
              <c:numCache>
                <c:formatCode>0.00</c:formatCode>
                <c:ptCount val="17"/>
                <c:pt idx="0">
                  <c:v>0.39678200000000002</c:v>
                </c:pt>
                <c:pt idx="1">
                  <c:v>0.38714999999999999</c:v>
                </c:pt>
                <c:pt idx="2">
                  <c:v>0.37682900000000003</c:v>
                </c:pt>
                <c:pt idx="3">
                  <c:v>0.37246691700000001</c:v>
                </c:pt>
                <c:pt idx="4">
                  <c:v>0.38245941700000002</c:v>
                </c:pt>
                <c:pt idx="5">
                  <c:v>0.40981541700000002</c:v>
                </c:pt>
                <c:pt idx="6">
                  <c:v>0.42802158299999998</c:v>
                </c:pt>
                <c:pt idx="7">
                  <c:v>0.462267333</c:v>
                </c:pt>
                <c:pt idx="8">
                  <c:v>0.55364875000000002</c:v>
                </c:pt>
                <c:pt idx="9">
                  <c:v>0.63217124999999996</c:v>
                </c:pt>
                <c:pt idx="10">
                  <c:v>0.824436167</c:v>
                </c:pt>
                <c:pt idx="11">
                  <c:v>1.292299917</c:v>
                </c:pt>
                <c:pt idx="12">
                  <c:v>2.1434916230000001</c:v>
                </c:pt>
                <c:pt idx="13">
                  <c:v>3.049101523</c:v>
                </c:pt>
                <c:pt idx="14">
                  <c:v>4.1050079510000002</c:v>
                </c:pt>
                <c:pt idx="15">
                  <c:v>4.7744780679999996</c:v>
                </c:pt>
                <c:pt idx="16">
                  <c:v>4.4291678130000003</c:v>
                </c:pt>
              </c:numCache>
            </c:numRef>
          </c:xVal>
          <c:yVal>
            <c:numRef>
              <c:f>'Assumptions (NG Midstream)'!$B$64:$R$64</c:f>
              <c:numCache>
                <c:formatCode>"$"#,##0.00</c:formatCode>
                <c:ptCount val="17"/>
                <c:pt idx="0">
                  <c:v>14.97</c:v>
                </c:pt>
                <c:pt idx="1">
                  <c:v>14.32</c:v>
                </c:pt>
                <c:pt idx="2">
                  <c:v>13.89</c:v>
                </c:pt>
                <c:pt idx="3">
                  <c:v>14.91</c:v>
                </c:pt>
                <c:pt idx="4">
                  <c:v>15.85</c:v>
                </c:pt>
                <c:pt idx="5">
                  <c:v>16.73</c:v>
                </c:pt>
                <c:pt idx="6">
                  <c:v>17.23</c:v>
                </c:pt>
                <c:pt idx="7">
                  <c:v>21.89</c:v>
                </c:pt>
                <c:pt idx="8">
                  <c:v>20.3</c:v>
                </c:pt>
                <c:pt idx="9">
                  <c:v>19.010000000000002</c:v>
                </c:pt>
                <c:pt idx="10">
                  <c:v>19.850000000000001</c:v>
                </c:pt>
                <c:pt idx="11">
                  <c:v>20.87</c:v>
                </c:pt>
                <c:pt idx="12">
                  <c:v>20.96</c:v>
                </c:pt>
                <c:pt idx="13">
                  <c:v>21.27</c:v>
                </c:pt>
                <c:pt idx="14">
                  <c:v>24.65</c:v>
                </c:pt>
                <c:pt idx="15">
                  <c:v>24.09</c:v>
                </c:pt>
                <c:pt idx="16">
                  <c:v>22.4</c:v>
                </c:pt>
              </c:numCache>
            </c:numRef>
          </c:yVal>
          <c:smooth val="1"/>
          <c:extLst>
            <c:ext xmlns:c16="http://schemas.microsoft.com/office/drawing/2014/chart" uri="{C3380CC4-5D6E-409C-BE32-E72D297353CC}">
              <c16:uniqueId val="{00000000-1D45-4FDB-8CDF-E297EA84CEB0}"/>
            </c:ext>
          </c:extLst>
        </c:ser>
        <c:dLbls>
          <c:showLegendKey val="0"/>
          <c:showVal val="0"/>
          <c:showCatName val="0"/>
          <c:showSerName val="0"/>
          <c:showPercent val="0"/>
          <c:showBubbleSize val="0"/>
        </c:dLbls>
        <c:axId val="1499062055"/>
        <c:axId val="1119410911"/>
      </c:scatterChart>
      <c:valAx>
        <c:axId val="14990620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0.00" sourceLinked="1"/>
        <c:majorTickMark val="none"/>
        <c:minorTickMark val="none"/>
        <c:tickLblPos val="nextTo"/>
        <c:spPr>
          <a:ln/>
        </c:spPr>
        <c:txPr>
          <a:bodyPr/>
          <a:lstStyle/>
          <a:p>
            <a:pPr lvl="0">
              <a:defRPr b="0">
                <a:solidFill>
                  <a:srgbClr val="000000"/>
                </a:solidFill>
                <a:latin typeface="Roboto"/>
              </a:defRPr>
            </a:pPr>
            <a:endParaRPr lang="en-US"/>
          </a:p>
        </c:txPr>
        <c:crossAx val="1119410911"/>
        <c:crosses val="autoZero"/>
        <c:crossBetween val="midCat"/>
      </c:valAx>
      <c:valAx>
        <c:axId val="11194109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Total Gas Operating Revenues FERC 2 ($billion)</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499062055"/>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Midstream)'!$A$64</c:f>
              <c:strCache>
                <c:ptCount val="1"/>
                <c:pt idx="0">
                  <c:v>Total Gas Operating Revenues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linear"/>
            <c:dispRSqr val="1"/>
            <c:dispEq val="1"/>
            <c:trendlineLbl>
              <c:numFmt formatCode="General" sourceLinked="0"/>
            </c:trendlineLbl>
          </c:trendline>
          <c:xVal>
            <c:numRef>
              <c:f>'Assumptions (NG Midstream)'!$B$84:$R$84</c:f>
              <c:numCache>
                <c:formatCode>0.0</c:formatCode>
                <c:ptCount val="17"/>
                <c:pt idx="0">
                  <c:v>19.181979999999999</c:v>
                </c:pt>
                <c:pt idx="1">
                  <c:v>19.616311</c:v>
                </c:pt>
                <c:pt idx="2">
                  <c:v>18.927788</c:v>
                </c:pt>
                <c:pt idx="3">
                  <c:v>19.098544</c:v>
                </c:pt>
                <c:pt idx="4">
                  <c:v>18.590890999999999</c:v>
                </c:pt>
                <c:pt idx="5">
                  <c:v>18.050598000000001</c:v>
                </c:pt>
                <c:pt idx="6">
                  <c:v>18.503605</c:v>
                </c:pt>
                <c:pt idx="7">
                  <c:v>19.266026</c:v>
                </c:pt>
                <c:pt idx="8">
                  <c:v>20.158601999999998</c:v>
                </c:pt>
                <c:pt idx="9">
                  <c:v>20.623854000000001</c:v>
                </c:pt>
                <c:pt idx="10">
                  <c:v>21.315507</c:v>
                </c:pt>
                <c:pt idx="11">
                  <c:v>22.901879000000001</c:v>
                </c:pt>
                <c:pt idx="12">
                  <c:v>24.033266000000001</c:v>
                </c:pt>
                <c:pt idx="13">
                  <c:v>24.205522999999999</c:v>
                </c:pt>
                <c:pt idx="14">
                  <c:v>25.889605</c:v>
                </c:pt>
                <c:pt idx="15">
                  <c:v>27.065460000000002</c:v>
                </c:pt>
                <c:pt idx="16">
                  <c:v>26.592115</c:v>
                </c:pt>
              </c:numCache>
            </c:numRef>
          </c:xVal>
          <c:yVal>
            <c:numRef>
              <c:f>'Assumptions (NG Midstream)'!$B$64:$R$64</c:f>
              <c:numCache>
                <c:formatCode>"$"#,##0.00</c:formatCode>
                <c:ptCount val="17"/>
                <c:pt idx="0">
                  <c:v>14.97</c:v>
                </c:pt>
                <c:pt idx="1">
                  <c:v>14.32</c:v>
                </c:pt>
                <c:pt idx="2">
                  <c:v>13.89</c:v>
                </c:pt>
                <c:pt idx="3">
                  <c:v>14.91</c:v>
                </c:pt>
                <c:pt idx="4">
                  <c:v>15.85</c:v>
                </c:pt>
                <c:pt idx="5">
                  <c:v>16.73</c:v>
                </c:pt>
                <c:pt idx="6">
                  <c:v>17.23</c:v>
                </c:pt>
                <c:pt idx="7">
                  <c:v>21.89</c:v>
                </c:pt>
                <c:pt idx="8">
                  <c:v>20.3</c:v>
                </c:pt>
                <c:pt idx="9">
                  <c:v>19.010000000000002</c:v>
                </c:pt>
                <c:pt idx="10">
                  <c:v>19.850000000000001</c:v>
                </c:pt>
                <c:pt idx="11">
                  <c:v>20.87</c:v>
                </c:pt>
                <c:pt idx="12">
                  <c:v>20.96</c:v>
                </c:pt>
                <c:pt idx="13">
                  <c:v>21.27</c:v>
                </c:pt>
                <c:pt idx="14">
                  <c:v>24.65</c:v>
                </c:pt>
                <c:pt idx="15">
                  <c:v>24.09</c:v>
                </c:pt>
                <c:pt idx="16">
                  <c:v>22.4</c:v>
                </c:pt>
              </c:numCache>
            </c:numRef>
          </c:yVal>
          <c:smooth val="1"/>
          <c:extLst>
            <c:ext xmlns:c16="http://schemas.microsoft.com/office/drawing/2014/chart" uri="{C3380CC4-5D6E-409C-BE32-E72D297353CC}">
              <c16:uniqueId val="{00000000-4B40-4782-A279-42FF731BF9F8}"/>
            </c:ext>
          </c:extLst>
        </c:ser>
        <c:dLbls>
          <c:showLegendKey val="0"/>
          <c:showVal val="0"/>
          <c:showCatName val="0"/>
          <c:showSerName val="0"/>
          <c:showPercent val="0"/>
          <c:showBubbleSize val="0"/>
        </c:dLbls>
        <c:axId val="552015981"/>
        <c:axId val="358553951"/>
      </c:scatterChart>
      <c:valAx>
        <c:axId val="5520159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Dry Gas Prod</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358553951"/>
        <c:crosses val="autoZero"/>
        <c:crossBetween val="midCat"/>
      </c:valAx>
      <c:valAx>
        <c:axId val="3585539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Total Gas Operating Revenues FERC 2 ($billion)</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552015981"/>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Midstream)'!$A$59</c:f>
              <c:strCache>
                <c:ptCount val="1"/>
                <c:pt idx="0">
                  <c:v>Total Additions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Midstream)'!$B$85:$R$85</c:f>
              <c:numCache>
                <c:formatCode>0.0</c:formatCode>
                <c:ptCount val="17"/>
                <c:pt idx="0">
                  <c:v>1.3172783290000001</c:v>
                </c:pt>
                <c:pt idx="1">
                  <c:v>1.318267898</c:v>
                </c:pt>
                <c:pt idx="2">
                  <c:v>1.3645950440000001</c:v>
                </c:pt>
                <c:pt idx="3">
                  <c:v>1.4333097619999999</c:v>
                </c:pt>
                <c:pt idx="4">
                  <c:v>1.503235978</c:v>
                </c:pt>
                <c:pt idx="5">
                  <c:v>1.662950749</c:v>
                </c:pt>
                <c:pt idx="6">
                  <c:v>1.964867693</c:v>
                </c:pt>
                <c:pt idx="7">
                  <c:v>2.5217407110000001</c:v>
                </c:pt>
                <c:pt idx="8">
                  <c:v>3.373959326</c:v>
                </c:pt>
                <c:pt idx="9">
                  <c:v>4.3584588059999998</c:v>
                </c:pt>
                <c:pt idx="10">
                  <c:v>6.1238422139999997</c:v>
                </c:pt>
                <c:pt idx="11">
                  <c:v>8.8755331969999993</c:v>
                </c:pt>
                <c:pt idx="12">
                  <c:v>11.05550897</c:v>
                </c:pt>
                <c:pt idx="13">
                  <c:v>12.405446270000001</c:v>
                </c:pt>
                <c:pt idx="14">
                  <c:v>14.361040149999999</c:v>
                </c:pt>
                <c:pt idx="15">
                  <c:v>15.988320849999999</c:v>
                </c:pt>
                <c:pt idx="16">
                  <c:v>16.631585940000001</c:v>
                </c:pt>
              </c:numCache>
            </c:numRef>
          </c:xVal>
          <c:yVal>
            <c:numRef>
              <c:f>'Assumptions (NG Midstream)'!$B$59:$R$59</c:f>
              <c:numCache>
                <c:formatCode>"$"#,##0.00</c:formatCode>
                <c:ptCount val="17"/>
                <c:pt idx="0">
                  <c:v>2.66</c:v>
                </c:pt>
                <c:pt idx="1">
                  <c:v>3.36</c:v>
                </c:pt>
                <c:pt idx="2">
                  <c:v>4.1999999999999993</c:v>
                </c:pt>
                <c:pt idx="3">
                  <c:v>5.3</c:v>
                </c:pt>
                <c:pt idx="4">
                  <c:v>3.1799999999999997</c:v>
                </c:pt>
                <c:pt idx="5">
                  <c:v>2.9999999999999996</c:v>
                </c:pt>
                <c:pt idx="6">
                  <c:v>3.9</c:v>
                </c:pt>
                <c:pt idx="7">
                  <c:v>6.41</c:v>
                </c:pt>
                <c:pt idx="8">
                  <c:v>12.28</c:v>
                </c:pt>
                <c:pt idx="9">
                  <c:v>15.76</c:v>
                </c:pt>
                <c:pt idx="10">
                  <c:v>5.169999999999999</c:v>
                </c:pt>
                <c:pt idx="11">
                  <c:v>14.379999999999999</c:v>
                </c:pt>
                <c:pt idx="12">
                  <c:v>5.01</c:v>
                </c:pt>
                <c:pt idx="13">
                  <c:v>6.53</c:v>
                </c:pt>
                <c:pt idx="14">
                  <c:v>4.51</c:v>
                </c:pt>
                <c:pt idx="15">
                  <c:v>6.54</c:v>
                </c:pt>
                <c:pt idx="16">
                  <c:v>6.03</c:v>
                </c:pt>
              </c:numCache>
            </c:numRef>
          </c:yVal>
          <c:smooth val="1"/>
          <c:extLst>
            <c:ext xmlns:c16="http://schemas.microsoft.com/office/drawing/2014/chart" uri="{C3380CC4-5D6E-409C-BE32-E72D297353CC}">
              <c16:uniqueId val="{00000000-F259-4003-9954-F89F4982ED77}"/>
            </c:ext>
          </c:extLst>
        </c:ser>
        <c:dLbls>
          <c:showLegendKey val="0"/>
          <c:showVal val="0"/>
          <c:showCatName val="0"/>
          <c:showSerName val="0"/>
          <c:showPercent val="0"/>
          <c:showBubbleSize val="0"/>
        </c:dLbls>
        <c:axId val="1199078168"/>
        <c:axId val="1456943560"/>
      </c:scatterChart>
      <c:valAx>
        <c:axId val="11990781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Shale Gas Prod</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1456943560"/>
        <c:crosses val="autoZero"/>
        <c:crossBetween val="midCat"/>
      </c:valAx>
      <c:valAx>
        <c:axId val="14569435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199078168"/>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Midstream)'!$A$58</c:f>
              <c:strCache>
                <c:ptCount val="1"/>
                <c:pt idx="0">
                  <c:v>Total Beginning Year Balance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Midstream)'!$B$85:$R$85</c:f>
              <c:numCache>
                <c:formatCode>0.0</c:formatCode>
                <c:ptCount val="17"/>
                <c:pt idx="0">
                  <c:v>1.3172783290000001</c:v>
                </c:pt>
                <c:pt idx="1">
                  <c:v>1.318267898</c:v>
                </c:pt>
                <c:pt idx="2">
                  <c:v>1.3645950440000001</c:v>
                </c:pt>
                <c:pt idx="3">
                  <c:v>1.4333097619999999</c:v>
                </c:pt>
                <c:pt idx="4">
                  <c:v>1.503235978</c:v>
                </c:pt>
                <c:pt idx="5">
                  <c:v>1.662950749</c:v>
                </c:pt>
                <c:pt idx="6">
                  <c:v>1.964867693</c:v>
                </c:pt>
                <c:pt idx="7">
                  <c:v>2.5217407110000001</c:v>
                </c:pt>
                <c:pt idx="8">
                  <c:v>3.373959326</c:v>
                </c:pt>
                <c:pt idx="9">
                  <c:v>4.3584588059999998</c:v>
                </c:pt>
                <c:pt idx="10">
                  <c:v>6.1238422139999997</c:v>
                </c:pt>
                <c:pt idx="11">
                  <c:v>8.8755331969999993</c:v>
                </c:pt>
                <c:pt idx="12">
                  <c:v>11.05550897</c:v>
                </c:pt>
                <c:pt idx="13">
                  <c:v>12.405446270000001</c:v>
                </c:pt>
                <c:pt idx="14">
                  <c:v>14.361040149999999</c:v>
                </c:pt>
                <c:pt idx="15">
                  <c:v>15.988320849999999</c:v>
                </c:pt>
                <c:pt idx="16">
                  <c:v>16.631585940000001</c:v>
                </c:pt>
              </c:numCache>
            </c:numRef>
          </c:xVal>
          <c:yVal>
            <c:numRef>
              <c:f>'Assumptions (NG Midstream)'!$B$58:$R$58</c:f>
              <c:numCache>
                <c:formatCode>"$"#,##0.00</c:formatCode>
                <c:ptCount val="17"/>
                <c:pt idx="0">
                  <c:v>69.27</c:v>
                </c:pt>
                <c:pt idx="1">
                  <c:v>72.760000000000005</c:v>
                </c:pt>
                <c:pt idx="2">
                  <c:v>75.150000000000006</c:v>
                </c:pt>
                <c:pt idx="3">
                  <c:v>76.149999999999991</c:v>
                </c:pt>
                <c:pt idx="4">
                  <c:v>81.129999999999981</c:v>
                </c:pt>
                <c:pt idx="5">
                  <c:v>83.429999999999993</c:v>
                </c:pt>
                <c:pt idx="6">
                  <c:v>85.500000000000014</c:v>
                </c:pt>
                <c:pt idx="7">
                  <c:v>89.28</c:v>
                </c:pt>
                <c:pt idx="8">
                  <c:v>94.3</c:v>
                </c:pt>
                <c:pt idx="9">
                  <c:v>105.95</c:v>
                </c:pt>
                <c:pt idx="10">
                  <c:v>120.60000000000001</c:v>
                </c:pt>
                <c:pt idx="11">
                  <c:v>125.5</c:v>
                </c:pt>
                <c:pt idx="12">
                  <c:v>138.46</c:v>
                </c:pt>
                <c:pt idx="13">
                  <c:v>141.76000000000002</c:v>
                </c:pt>
                <c:pt idx="14">
                  <c:v>146.82</c:v>
                </c:pt>
                <c:pt idx="15">
                  <c:v>150.32</c:v>
                </c:pt>
                <c:pt idx="16">
                  <c:v>155.55000000000001</c:v>
                </c:pt>
              </c:numCache>
            </c:numRef>
          </c:yVal>
          <c:smooth val="1"/>
          <c:extLst>
            <c:ext xmlns:c16="http://schemas.microsoft.com/office/drawing/2014/chart" uri="{C3380CC4-5D6E-409C-BE32-E72D297353CC}">
              <c16:uniqueId val="{00000000-7B43-486F-914B-A1CBF04CB122}"/>
            </c:ext>
          </c:extLst>
        </c:ser>
        <c:dLbls>
          <c:showLegendKey val="0"/>
          <c:showVal val="0"/>
          <c:showCatName val="0"/>
          <c:showSerName val="0"/>
          <c:showPercent val="0"/>
          <c:showBubbleSize val="0"/>
        </c:dLbls>
        <c:axId val="1805718562"/>
        <c:axId val="1634671034"/>
      </c:scatterChart>
      <c:valAx>
        <c:axId val="18057185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Shale Gas Prod</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1634671034"/>
        <c:crosses val="autoZero"/>
        <c:crossBetween val="midCat"/>
      </c:valAx>
      <c:valAx>
        <c:axId val="1634671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805718562"/>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Midstream)'!$A$65</c:f>
              <c:strCache>
                <c:ptCount val="1"/>
                <c:pt idx="0">
                  <c:v>Total Utility Operating Expenses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Midstream)'!$B$85:$R$85</c:f>
              <c:numCache>
                <c:formatCode>0.0</c:formatCode>
                <c:ptCount val="17"/>
                <c:pt idx="0">
                  <c:v>1.3172783290000001</c:v>
                </c:pt>
                <c:pt idx="1">
                  <c:v>1.318267898</c:v>
                </c:pt>
                <c:pt idx="2">
                  <c:v>1.3645950440000001</c:v>
                </c:pt>
                <c:pt idx="3">
                  <c:v>1.4333097619999999</c:v>
                </c:pt>
                <c:pt idx="4">
                  <c:v>1.503235978</c:v>
                </c:pt>
                <c:pt idx="5">
                  <c:v>1.662950749</c:v>
                </c:pt>
                <c:pt idx="6">
                  <c:v>1.964867693</c:v>
                </c:pt>
                <c:pt idx="7">
                  <c:v>2.5217407110000001</c:v>
                </c:pt>
                <c:pt idx="8">
                  <c:v>3.373959326</c:v>
                </c:pt>
                <c:pt idx="9">
                  <c:v>4.3584588059999998</c:v>
                </c:pt>
                <c:pt idx="10">
                  <c:v>6.1238422139999997</c:v>
                </c:pt>
                <c:pt idx="11">
                  <c:v>8.8755331969999993</c:v>
                </c:pt>
                <c:pt idx="12">
                  <c:v>11.05550897</c:v>
                </c:pt>
                <c:pt idx="13">
                  <c:v>12.405446270000001</c:v>
                </c:pt>
                <c:pt idx="14">
                  <c:v>14.361040149999999</c:v>
                </c:pt>
                <c:pt idx="15">
                  <c:v>15.988320849999999</c:v>
                </c:pt>
                <c:pt idx="16">
                  <c:v>16.631585940000001</c:v>
                </c:pt>
              </c:numCache>
            </c:numRef>
          </c:xVal>
          <c:yVal>
            <c:numRef>
              <c:f>'Assumptions (NG Midstream)'!$B$65:$R$65</c:f>
              <c:numCache>
                <c:formatCode>"$"#,##0.00</c:formatCode>
                <c:ptCount val="17"/>
                <c:pt idx="0">
                  <c:v>11.47</c:v>
                </c:pt>
                <c:pt idx="1">
                  <c:v>10.72</c:v>
                </c:pt>
                <c:pt idx="2">
                  <c:v>10.09</c:v>
                </c:pt>
                <c:pt idx="3">
                  <c:v>10.84</c:v>
                </c:pt>
                <c:pt idx="4">
                  <c:v>11.16</c:v>
                </c:pt>
                <c:pt idx="5">
                  <c:v>12.05</c:v>
                </c:pt>
                <c:pt idx="6">
                  <c:v>12.46</c:v>
                </c:pt>
                <c:pt idx="7">
                  <c:v>16.34</c:v>
                </c:pt>
                <c:pt idx="8">
                  <c:v>14.59</c:v>
                </c:pt>
                <c:pt idx="9">
                  <c:v>13.24</c:v>
                </c:pt>
                <c:pt idx="10">
                  <c:v>13.91</c:v>
                </c:pt>
                <c:pt idx="11">
                  <c:v>14.64</c:v>
                </c:pt>
                <c:pt idx="12">
                  <c:v>14.6</c:v>
                </c:pt>
                <c:pt idx="13">
                  <c:v>14.8</c:v>
                </c:pt>
                <c:pt idx="14">
                  <c:v>17.41</c:v>
                </c:pt>
                <c:pt idx="15">
                  <c:v>17.3</c:v>
                </c:pt>
                <c:pt idx="16">
                  <c:v>15.23</c:v>
                </c:pt>
              </c:numCache>
            </c:numRef>
          </c:yVal>
          <c:smooth val="1"/>
          <c:extLst>
            <c:ext xmlns:c16="http://schemas.microsoft.com/office/drawing/2014/chart" uri="{C3380CC4-5D6E-409C-BE32-E72D297353CC}">
              <c16:uniqueId val="{00000000-FFB8-49A2-867B-D32D41C23C58}"/>
            </c:ext>
          </c:extLst>
        </c:ser>
        <c:dLbls>
          <c:showLegendKey val="0"/>
          <c:showVal val="0"/>
          <c:showCatName val="0"/>
          <c:showSerName val="0"/>
          <c:showPercent val="0"/>
          <c:showBubbleSize val="0"/>
        </c:dLbls>
        <c:axId val="1511579126"/>
        <c:axId val="868111279"/>
      </c:scatterChart>
      <c:valAx>
        <c:axId val="15115791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Shale Gas Prod</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868111279"/>
        <c:crosses val="autoZero"/>
        <c:crossBetween val="midCat"/>
      </c:valAx>
      <c:valAx>
        <c:axId val="8681112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51157912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Midstream)'!$A$59</c:f>
              <c:strCache>
                <c:ptCount val="1"/>
                <c:pt idx="0">
                  <c:v>Total Additions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Midstream)'!$B$82:$R$82</c:f>
              <c:numCache>
                <c:formatCode>0.00</c:formatCode>
                <c:ptCount val="17"/>
                <c:pt idx="0">
                  <c:v>0.39678200000000002</c:v>
                </c:pt>
                <c:pt idx="1">
                  <c:v>0.38714999999999999</c:v>
                </c:pt>
                <c:pt idx="2">
                  <c:v>0.37682900000000003</c:v>
                </c:pt>
                <c:pt idx="3">
                  <c:v>0.37246691700000001</c:v>
                </c:pt>
                <c:pt idx="4">
                  <c:v>0.38245941700000002</c:v>
                </c:pt>
                <c:pt idx="5">
                  <c:v>0.40981541700000002</c:v>
                </c:pt>
                <c:pt idx="6">
                  <c:v>0.42802158299999998</c:v>
                </c:pt>
                <c:pt idx="7">
                  <c:v>0.462267333</c:v>
                </c:pt>
                <c:pt idx="8">
                  <c:v>0.55364875000000002</c:v>
                </c:pt>
                <c:pt idx="9">
                  <c:v>0.63217124999999996</c:v>
                </c:pt>
                <c:pt idx="10">
                  <c:v>0.824436167</c:v>
                </c:pt>
                <c:pt idx="11">
                  <c:v>1.292299917</c:v>
                </c:pt>
                <c:pt idx="12">
                  <c:v>2.1434916230000001</c:v>
                </c:pt>
                <c:pt idx="13">
                  <c:v>3.049101523</c:v>
                </c:pt>
                <c:pt idx="14">
                  <c:v>4.1050079510000002</c:v>
                </c:pt>
                <c:pt idx="15">
                  <c:v>4.7744780679999996</c:v>
                </c:pt>
                <c:pt idx="16">
                  <c:v>4.4291678130000003</c:v>
                </c:pt>
              </c:numCache>
            </c:numRef>
          </c:xVal>
          <c:yVal>
            <c:numRef>
              <c:f>'Assumptions (NG Midstream)'!$B$59:$R$59</c:f>
              <c:numCache>
                <c:formatCode>"$"#,##0.00</c:formatCode>
                <c:ptCount val="17"/>
                <c:pt idx="0">
                  <c:v>2.66</c:v>
                </c:pt>
                <c:pt idx="1">
                  <c:v>3.36</c:v>
                </c:pt>
                <c:pt idx="2">
                  <c:v>4.1999999999999993</c:v>
                </c:pt>
                <c:pt idx="3">
                  <c:v>5.3</c:v>
                </c:pt>
                <c:pt idx="4">
                  <c:v>3.1799999999999997</c:v>
                </c:pt>
                <c:pt idx="5">
                  <c:v>2.9999999999999996</c:v>
                </c:pt>
                <c:pt idx="6">
                  <c:v>3.9</c:v>
                </c:pt>
                <c:pt idx="7">
                  <c:v>6.41</c:v>
                </c:pt>
                <c:pt idx="8">
                  <c:v>12.28</c:v>
                </c:pt>
                <c:pt idx="9">
                  <c:v>15.76</c:v>
                </c:pt>
                <c:pt idx="10">
                  <c:v>5.169999999999999</c:v>
                </c:pt>
                <c:pt idx="11">
                  <c:v>14.379999999999999</c:v>
                </c:pt>
                <c:pt idx="12">
                  <c:v>5.01</c:v>
                </c:pt>
                <c:pt idx="13">
                  <c:v>6.53</c:v>
                </c:pt>
                <c:pt idx="14">
                  <c:v>4.51</c:v>
                </c:pt>
                <c:pt idx="15">
                  <c:v>6.54</c:v>
                </c:pt>
                <c:pt idx="16">
                  <c:v>6.03</c:v>
                </c:pt>
              </c:numCache>
            </c:numRef>
          </c:yVal>
          <c:smooth val="1"/>
          <c:extLst>
            <c:ext xmlns:c16="http://schemas.microsoft.com/office/drawing/2014/chart" uri="{C3380CC4-5D6E-409C-BE32-E72D297353CC}">
              <c16:uniqueId val="{00000000-5D1B-4192-B669-7E900B9DAE45}"/>
            </c:ext>
          </c:extLst>
        </c:ser>
        <c:dLbls>
          <c:showLegendKey val="0"/>
          <c:showVal val="0"/>
          <c:showCatName val="0"/>
          <c:showSerName val="0"/>
          <c:showPercent val="0"/>
          <c:showBubbleSize val="0"/>
        </c:dLbls>
        <c:axId val="434422206"/>
        <c:axId val="1391003578"/>
      </c:scatterChart>
      <c:valAx>
        <c:axId val="4344222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Tight Oil Prod</a:t>
                </a:r>
              </a:p>
            </c:rich>
          </c:tx>
          <c:overlay val="0"/>
        </c:title>
        <c:numFmt formatCode="0.00" sourceLinked="1"/>
        <c:majorTickMark val="none"/>
        <c:minorTickMark val="none"/>
        <c:tickLblPos val="nextTo"/>
        <c:spPr>
          <a:ln/>
        </c:spPr>
        <c:txPr>
          <a:bodyPr/>
          <a:lstStyle/>
          <a:p>
            <a:pPr lvl="0">
              <a:defRPr b="0">
                <a:solidFill>
                  <a:srgbClr val="000000"/>
                </a:solidFill>
                <a:latin typeface="Roboto"/>
              </a:defRPr>
            </a:pPr>
            <a:endParaRPr lang="en-US"/>
          </a:p>
        </c:txPr>
        <c:crossAx val="1391003578"/>
        <c:crosses val="autoZero"/>
        <c:crossBetween val="midCat"/>
      </c:valAx>
      <c:valAx>
        <c:axId val="1391003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43442220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Midstream)'!$A$59</c:f>
              <c:strCache>
                <c:ptCount val="1"/>
                <c:pt idx="0">
                  <c:v>Total Additions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Midstream)'!$B$84:$R$84</c:f>
              <c:numCache>
                <c:formatCode>0.0</c:formatCode>
                <c:ptCount val="17"/>
                <c:pt idx="0">
                  <c:v>19.181979999999999</c:v>
                </c:pt>
                <c:pt idx="1">
                  <c:v>19.616311</c:v>
                </c:pt>
                <c:pt idx="2">
                  <c:v>18.927788</c:v>
                </c:pt>
                <c:pt idx="3">
                  <c:v>19.098544</c:v>
                </c:pt>
                <c:pt idx="4">
                  <c:v>18.590890999999999</c:v>
                </c:pt>
                <c:pt idx="5">
                  <c:v>18.050598000000001</c:v>
                </c:pt>
                <c:pt idx="6">
                  <c:v>18.503605</c:v>
                </c:pt>
                <c:pt idx="7">
                  <c:v>19.266026</c:v>
                </c:pt>
                <c:pt idx="8">
                  <c:v>20.158601999999998</c:v>
                </c:pt>
                <c:pt idx="9">
                  <c:v>20.623854000000001</c:v>
                </c:pt>
                <c:pt idx="10">
                  <c:v>21.315507</c:v>
                </c:pt>
                <c:pt idx="11">
                  <c:v>22.901879000000001</c:v>
                </c:pt>
                <c:pt idx="12">
                  <c:v>24.033266000000001</c:v>
                </c:pt>
                <c:pt idx="13">
                  <c:v>24.205522999999999</c:v>
                </c:pt>
                <c:pt idx="14">
                  <c:v>25.889605</c:v>
                </c:pt>
                <c:pt idx="15">
                  <c:v>27.065460000000002</c:v>
                </c:pt>
                <c:pt idx="16">
                  <c:v>26.592115</c:v>
                </c:pt>
              </c:numCache>
            </c:numRef>
          </c:xVal>
          <c:yVal>
            <c:numRef>
              <c:f>'Assumptions (NG Midstream)'!$B$59:$R$59</c:f>
              <c:numCache>
                <c:formatCode>"$"#,##0.00</c:formatCode>
                <c:ptCount val="17"/>
                <c:pt idx="0">
                  <c:v>2.66</c:v>
                </c:pt>
                <c:pt idx="1">
                  <c:v>3.36</c:v>
                </c:pt>
                <c:pt idx="2">
                  <c:v>4.1999999999999993</c:v>
                </c:pt>
                <c:pt idx="3">
                  <c:v>5.3</c:v>
                </c:pt>
                <c:pt idx="4">
                  <c:v>3.1799999999999997</c:v>
                </c:pt>
                <c:pt idx="5">
                  <c:v>2.9999999999999996</c:v>
                </c:pt>
                <c:pt idx="6">
                  <c:v>3.9</c:v>
                </c:pt>
                <c:pt idx="7">
                  <c:v>6.41</c:v>
                </c:pt>
                <c:pt idx="8">
                  <c:v>12.28</c:v>
                </c:pt>
                <c:pt idx="9">
                  <c:v>15.76</c:v>
                </c:pt>
                <c:pt idx="10">
                  <c:v>5.169999999999999</c:v>
                </c:pt>
                <c:pt idx="11">
                  <c:v>14.379999999999999</c:v>
                </c:pt>
                <c:pt idx="12">
                  <c:v>5.01</c:v>
                </c:pt>
                <c:pt idx="13">
                  <c:v>6.53</c:v>
                </c:pt>
                <c:pt idx="14">
                  <c:v>4.51</c:v>
                </c:pt>
                <c:pt idx="15">
                  <c:v>6.54</c:v>
                </c:pt>
                <c:pt idx="16">
                  <c:v>6.03</c:v>
                </c:pt>
              </c:numCache>
            </c:numRef>
          </c:yVal>
          <c:smooth val="1"/>
          <c:extLst>
            <c:ext xmlns:c16="http://schemas.microsoft.com/office/drawing/2014/chart" uri="{C3380CC4-5D6E-409C-BE32-E72D297353CC}">
              <c16:uniqueId val="{00000000-970E-4CBC-86C4-9005A824A831}"/>
            </c:ext>
          </c:extLst>
        </c:ser>
        <c:dLbls>
          <c:showLegendKey val="0"/>
          <c:showVal val="0"/>
          <c:showCatName val="0"/>
          <c:showSerName val="0"/>
          <c:showPercent val="0"/>
          <c:showBubbleSize val="0"/>
        </c:dLbls>
        <c:axId val="109630796"/>
        <c:axId val="1508126333"/>
      </c:scatterChart>
      <c:valAx>
        <c:axId val="1096307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Dry Gas Prod</a:t>
                </a:r>
              </a:p>
            </c:rich>
          </c:tx>
          <c:overlay val="0"/>
        </c:title>
        <c:numFmt formatCode="0.0" sourceLinked="1"/>
        <c:majorTickMark val="none"/>
        <c:minorTickMark val="none"/>
        <c:tickLblPos val="nextTo"/>
        <c:spPr>
          <a:ln/>
        </c:spPr>
        <c:txPr>
          <a:bodyPr/>
          <a:lstStyle/>
          <a:p>
            <a:pPr lvl="0">
              <a:defRPr b="0">
                <a:solidFill>
                  <a:srgbClr val="000000"/>
                </a:solidFill>
                <a:latin typeface="Roboto"/>
              </a:defRPr>
            </a:pPr>
            <a:endParaRPr lang="en-US"/>
          </a:p>
        </c:txPr>
        <c:crossAx val="1508126333"/>
        <c:crosses val="autoZero"/>
        <c:crossBetween val="midCat"/>
      </c:valAx>
      <c:valAx>
        <c:axId val="1508126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0963079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'Assumptions (NG Midstream)'!$A$60</c:f>
              <c:strCache>
                <c:ptCount val="1"/>
                <c:pt idx="0">
                  <c:v>Total Retirements FERC 2 ($billion)</c:v>
                </c:pt>
              </c:strCache>
            </c:strRef>
          </c:tx>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formatCode>"$"#,##0.00</c:formatCode>
                <c:ptCount val="17"/>
                <c:pt idx="0">
                  <c:v>0.89000000000000012</c:v>
                </c:pt>
                <c:pt idx="1">
                  <c:v>0.74</c:v>
                </c:pt>
                <c:pt idx="2">
                  <c:v>0.65000000000000013</c:v>
                </c:pt>
                <c:pt idx="3">
                  <c:v>0.85</c:v>
                </c:pt>
                <c:pt idx="4">
                  <c:v>0.81</c:v>
                </c:pt>
                <c:pt idx="5">
                  <c:v>0.86</c:v>
                </c:pt>
                <c:pt idx="6">
                  <c:v>0.80000000000000016</c:v>
                </c:pt>
                <c:pt idx="7">
                  <c:v>0.77</c:v>
                </c:pt>
                <c:pt idx="8">
                  <c:v>0.83</c:v>
                </c:pt>
                <c:pt idx="9">
                  <c:v>0.78</c:v>
                </c:pt>
                <c:pt idx="10">
                  <c:v>0.89000000000000012</c:v>
                </c:pt>
                <c:pt idx="11">
                  <c:v>1.28</c:v>
                </c:pt>
                <c:pt idx="12">
                  <c:v>1.55</c:v>
                </c:pt>
                <c:pt idx="13">
                  <c:v>1.8400000000000003</c:v>
                </c:pt>
                <c:pt idx="14">
                  <c:v>0.71999999999999986</c:v>
                </c:pt>
                <c:pt idx="15">
                  <c:v>0.94</c:v>
                </c:pt>
                <c:pt idx="16">
                  <c:v>1.5300000000000002</c:v>
                </c:pt>
              </c:numCache>
            </c:numRef>
          </c:val>
          <c:smooth val="0"/>
          <c:extLst>
            <c:ext xmlns:c16="http://schemas.microsoft.com/office/drawing/2014/chart" uri="{C3380CC4-5D6E-409C-BE32-E72D297353CC}">
              <c16:uniqueId val="{00000000-B0F7-4CA7-A3F7-C59BE6AA28E9}"/>
            </c:ext>
          </c:extLst>
        </c:ser>
        <c:ser>
          <c:idx val="1"/>
          <c:order val="1"/>
          <c:tx>
            <c:strRef>
              <c:f>'Assumptions (NG Midstream)'!$A$61</c:f>
              <c:strCache>
                <c:ptCount val="1"/>
                <c:pt idx="0">
                  <c:v>Total Adjustments FERC 2 ($billion)</c:v>
                </c:pt>
              </c:strCache>
            </c:strRef>
          </c:tx>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formatCode>"$"#,##0.00</c:formatCode>
                <c:ptCount val="17"/>
                <c:pt idx="0">
                  <c:v>-0.04</c:v>
                </c:pt>
                <c:pt idx="1">
                  <c:v>0</c:v>
                </c:pt>
                <c:pt idx="2">
                  <c:v>-0.03</c:v>
                </c:pt>
                <c:pt idx="3">
                  <c:v>0</c:v>
                </c:pt>
                <c:pt idx="4">
                  <c:v>-7.0000000000000007E-2</c:v>
                </c:pt>
                <c:pt idx="5">
                  <c:v>-0.03</c:v>
                </c:pt>
                <c:pt idx="6">
                  <c:v>0.03</c:v>
                </c:pt>
                <c:pt idx="7">
                  <c:v>-0.03</c:v>
                </c:pt>
                <c:pt idx="8">
                  <c:v>0.03</c:v>
                </c:pt>
                <c:pt idx="9">
                  <c:v>0</c:v>
                </c:pt>
                <c:pt idx="10">
                  <c:v>-0.16999999999999998</c:v>
                </c:pt>
                <c:pt idx="11">
                  <c:v>-0.24000000000000002</c:v>
                </c:pt>
                <c:pt idx="12">
                  <c:v>-0.04</c:v>
                </c:pt>
                <c:pt idx="13">
                  <c:v>-0.01</c:v>
                </c:pt>
                <c:pt idx="14">
                  <c:v>0.03</c:v>
                </c:pt>
                <c:pt idx="15">
                  <c:v>0.04</c:v>
                </c:pt>
                <c:pt idx="16">
                  <c:v>-0.15000000000000002</c:v>
                </c:pt>
              </c:numCache>
            </c:numRef>
          </c:val>
          <c:smooth val="0"/>
          <c:extLst>
            <c:ext xmlns:c16="http://schemas.microsoft.com/office/drawing/2014/chart" uri="{C3380CC4-5D6E-409C-BE32-E72D297353CC}">
              <c16:uniqueId val="{00000001-B0F7-4CA7-A3F7-C59BE6AA28E9}"/>
            </c:ext>
          </c:extLst>
        </c:ser>
        <c:ser>
          <c:idx val="2"/>
          <c:order val="2"/>
          <c:tx>
            <c:strRef>
              <c:f>'Assumptions (NG Midstream)'!$A$62</c:f>
              <c:strCache>
                <c:ptCount val="1"/>
                <c:pt idx="0">
                  <c:v>Total Transfers FERC 2 ($billion)</c:v>
                </c:pt>
              </c:strCache>
            </c:strRef>
          </c:tx>
          <c:marker>
            <c:symbol val="none"/>
          </c:marker>
          <c:trendline>
            <c:spPr>
              <a:ln w="19050">
                <a:solidFill>
                  <a:srgbClr val="000000"/>
                </a:solidFill>
              </a:ln>
            </c:spPr>
            <c:trendlineType val="exp"/>
            <c:dispRSqr val="0"/>
            <c:dispEq val="0"/>
          </c:trendline>
          <c:val>
            <c:numRef>
              <c:f>'Assumptions (NG Midstream)'!$B$62:$R$62</c:f>
              <c:numCache>
                <c:formatCode>"$"#,##0.00</c:formatCode>
                <c:ptCount val="17"/>
                <c:pt idx="0">
                  <c:v>0.03</c:v>
                </c:pt>
                <c:pt idx="1">
                  <c:v>0.03</c:v>
                </c:pt>
                <c:pt idx="2">
                  <c:v>0.01</c:v>
                </c:pt>
                <c:pt idx="3">
                  <c:v>0.16999999999999998</c:v>
                </c:pt>
                <c:pt idx="4">
                  <c:v>0</c:v>
                </c:pt>
                <c:pt idx="5">
                  <c:v>0</c:v>
                </c:pt>
                <c:pt idx="6">
                  <c:v>3.0000000000000006E-2</c:v>
                </c:pt>
                <c:pt idx="7">
                  <c:v>-0.43999999999999995</c:v>
                </c:pt>
                <c:pt idx="8">
                  <c:v>-7.0000000000000007E-2</c:v>
                </c:pt>
                <c:pt idx="9">
                  <c:v>0</c:v>
                </c:pt>
                <c:pt idx="10">
                  <c:v>0</c:v>
                </c:pt>
                <c:pt idx="11">
                  <c:v>3.9999999999999994E-2</c:v>
                </c:pt>
                <c:pt idx="12">
                  <c:v>-3.999999999999998E-2</c:v>
                </c:pt>
                <c:pt idx="13">
                  <c:v>-0.2</c:v>
                </c:pt>
                <c:pt idx="14">
                  <c:v>-0.05</c:v>
                </c:pt>
                <c:pt idx="15">
                  <c:v>0.06</c:v>
                </c:pt>
                <c:pt idx="16">
                  <c:v>-1.9999999999999997E-2</c:v>
                </c:pt>
              </c:numCache>
            </c:numRef>
          </c:val>
          <c:smooth val="0"/>
          <c:extLst>
            <c:ext xmlns:c16="http://schemas.microsoft.com/office/drawing/2014/chart" uri="{C3380CC4-5D6E-409C-BE32-E72D297353CC}">
              <c16:uniqueId val="{00000002-B0F7-4CA7-A3F7-C59BE6AA28E9}"/>
            </c:ext>
          </c:extLst>
        </c:ser>
        <c:dLbls>
          <c:showLegendKey val="0"/>
          <c:showVal val="0"/>
          <c:showCatName val="0"/>
          <c:showSerName val="0"/>
          <c:showPercent val="0"/>
          <c:showBubbleSize val="0"/>
        </c:dLbls>
        <c:smooth val="0"/>
        <c:axId val="9603051"/>
        <c:axId val="1541147652"/>
      </c:lineChart>
      <c:catAx>
        <c:axId val="9603051"/>
        <c:scaling>
          <c:orientation val="minMax"/>
        </c:scaling>
        <c:delete val="0"/>
        <c:axPos val="b"/>
        <c:title>
          <c:tx>
            <c:rich>
              <a:bodyPr/>
              <a:lstStyle/>
              <a:p>
                <a:pPr lvl="0">
                  <a:defRPr b="0">
                    <a:solidFill>
                      <a:srgbClr val="000000"/>
                    </a:solidFill>
                    <a:latin typeface="Roboto"/>
                  </a:defRPr>
                </a:pPr>
                <a:endParaRPr/>
              </a:p>
            </c:rich>
          </c:tx>
          <c:overlay val="0"/>
        </c:title>
        <c:majorTickMark val="none"/>
        <c:minorTickMark val="none"/>
        <c:tickLblPos val="nextTo"/>
        <c:txPr>
          <a:bodyPr/>
          <a:lstStyle/>
          <a:p>
            <a:pPr lvl="0">
              <a:defRPr b="0">
                <a:solidFill>
                  <a:srgbClr val="000000"/>
                </a:solidFill>
                <a:latin typeface="Roboto"/>
              </a:defRPr>
            </a:pPr>
            <a:endParaRPr lang="en-US"/>
          </a:p>
        </c:txPr>
        <c:crossAx val="1541147652"/>
        <c:crosses val="autoZero"/>
        <c:auto val="1"/>
        <c:lblAlgn val="ctr"/>
        <c:lblOffset val="100"/>
        <c:noMultiLvlLbl val="1"/>
      </c:catAx>
      <c:valAx>
        <c:axId val="15411476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9603051"/>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Total Beginning Year Balance  FERC 2 ($billion), Total Additions FERC 2 ($billion), Total Retirements FERC 2 ($billion), Total Adjustments FERC 2 ($billion) and Total Transfers FERC 2 ($billion)</a:t>
            </a:r>
          </a:p>
        </c:rich>
      </c:tx>
      <c:overlay val="0"/>
    </c:title>
    <c:autoTitleDeleted val="0"/>
    <c:plotArea>
      <c:layout/>
      <c:lineChart>
        <c:grouping val="standard"/>
        <c:varyColors val="1"/>
        <c:ser>
          <c:idx val="1"/>
          <c:order val="1"/>
          <c:tx>
            <c:strRef>
              <c:f>'Assumptions (NG Midstream)'!$A$59</c:f>
              <c:strCache>
                <c:ptCount val="1"/>
                <c:pt idx="0">
                  <c:v>Total Additions FERC 2 ($billion)</c:v>
                </c:pt>
              </c:strCache>
            </c:strRef>
          </c:tx>
          <c:marker>
            <c:symbol val="none"/>
          </c:marker>
          <c:cat>
            <c:numRef>
              <c:f>'Assumptions (NG Midstream)'!$B$80:$AZ$80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(NG Midstream)'!$B$59:$AZ$59</c:f>
              <c:numCache>
                <c:formatCode>"$"#,##0.00</c:formatCode>
                <c:ptCount val="51"/>
                <c:pt idx="0">
                  <c:v>2.66</c:v>
                </c:pt>
                <c:pt idx="1">
                  <c:v>3.36</c:v>
                </c:pt>
                <c:pt idx="2">
                  <c:v>4.1999999999999993</c:v>
                </c:pt>
                <c:pt idx="3">
                  <c:v>5.3</c:v>
                </c:pt>
                <c:pt idx="4">
                  <c:v>3.1799999999999997</c:v>
                </c:pt>
                <c:pt idx="5">
                  <c:v>2.9999999999999996</c:v>
                </c:pt>
                <c:pt idx="6">
                  <c:v>3.9</c:v>
                </c:pt>
                <c:pt idx="7">
                  <c:v>6.41</c:v>
                </c:pt>
                <c:pt idx="8">
                  <c:v>12.28</c:v>
                </c:pt>
                <c:pt idx="9">
                  <c:v>15.76</c:v>
                </c:pt>
                <c:pt idx="10">
                  <c:v>5.169999999999999</c:v>
                </c:pt>
                <c:pt idx="11">
                  <c:v>14.379999999999999</c:v>
                </c:pt>
                <c:pt idx="12">
                  <c:v>5.01</c:v>
                </c:pt>
                <c:pt idx="13">
                  <c:v>6.53</c:v>
                </c:pt>
                <c:pt idx="14">
                  <c:v>4.51</c:v>
                </c:pt>
                <c:pt idx="15">
                  <c:v>6.54</c:v>
                </c:pt>
                <c:pt idx="16">
                  <c:v>6.03</c:v>
                </c:pt>
                <c:pt idx="17">
                  <c:v>6.757590698543301</c:v>
                </c:pt>
                <c:pt idx="18">
                  <c:v>0.91251232217404721</c:v>
                </c:pt>
                <c:pt idx="19">
                  <c:v>2.8928755543916744</c:v>
                </c:pt>
                <c:pt idx="20">
                  <c:v>1.8611890270152383</c:v>
                </c:pt>
                <c:pt idx="21">
                  <c:v>1.6772379692886334</c:v>
                </c:pt>
                <c:pt idx="22">
                  <c:v>2.1494621767490694</c:v>
                </c:pt>
                <c:pt idx="23">
                  <c:v>2.3146659978750388</c:v>
                </c:pt>
                <c:pt idx="24">
                  <c:v>2.3271647622379552</c:v>
                </c:pt>
                <c:pt idx="25">
                  <c:v>2.1970411642661216</c:v>
                </c:pt>
                <c:pt idx="26">
                  <c:v>1.8456394836396677</c:v>
                </c:pt>
                <c:pt idx="27">
                  <c:v>1.7587277991674224</c:v>
                </c:pt>
                <c:pt idx="28">
                  <c:v>1.4946161446773483</c:v>
                </c:pt>
                <c:pt idx="29">
                  <c:v>1.3306807590402889</c:v>
                </c:pt>
                <c:pt idx="30">
                  <c:v>1.5598283519149618</c:v>
                </c:pt>
                <c:pt idx="31">
                  <c:v>1.6437723941467057</c:v>
                </c:pt>
                <c:pt idx="32">
                  <c:v>1.3622772069183786</c:v>
                </c:pt>
                <c:pt idx="33">
                  <c:v>1.5650198164994027</c:v>
                </c:pt>
                <c:pt idx="34">
                  <c:v>1.4482059239277176</c:v>
                </c:pt>
                <c:pt idx="35">
                  <c:v>1.4684280720435785</c:v>
                </c:pt>
                <c:pt idx="36">
                  <c:v>1.3575570666484018</c:v>
                </c:pt>
                <c:pt idx="37">
                  <c:v>1.4237608807493183</c:v>
                </c:pt>
                <c:pt idx="38">
                  <c:v>1.3534432703633923</c:v>
                </c:pt>
                <c:pt idx="39">
                  <c:v>1.4071385241314978</c:v>
                </c:pt>
                <c:pt idx="40">
                  <c:v>1.3297917285493135</c:v>
                </c:pt>
                <c:pt idx="41">
                  <c:v>1.4215253200317801</c:v>
                </c:pt>
                <c:pt idx="42">
                  <c:v>1.379984542418226</c:v>
                </c:pt>
                <c:pt idx="43">
                  <c:v>1.5690011422383763</c:v>
                </c:pt>
                <c:pt idx="44">
                  <c:v>1.4463044851069902</c:v>
                </c:pt>
                <c:pt idx="45">
                  <c:v>1.3682652475967734</c:v>
                </c:pt>
                <c:pt idx="46">
                  <c:v>1.4929403905784451</c:v>
                </c:pt>
                <c:pt idx="47">
                  <c:v>1.5888827456902317</c:v>
                </c:pt>
                <c:pt idx="48">
                  <c:v>1.4092475755658396</c:v>
                </c:pt>
                <c:pt idx="49">
                  <c:v>1.4898282839486958</c:v>
                </c:pt>
                <c:pt idx="50">
                  <c:v>1.4898282839486958</c:v>
                </c:pt>
              </c:numCache>
            </c:numRef>
          </c:val>
          <c:smooth val="0"/>
          <c:extLst>
            <c:ext xmlns:c16="http://schemas.microsoft.com/office/drawing/2014/chart" uri="{C3380CC4-5D6E-409C-BE32-E72D297353CC}">
              <c16:uniqueId val="{00000000-26DA-4158-BE4E-6009B52AA1CD}"/>
            </c:ext>
          </c:extLst>
        </c:ser>
        <c:ser>
          <c:idx val="2"/>
          <c:order val="2"/>
          <c:tx>
            <c:strRef>
              <c:f>'Assumptions (NG Midstream)'!$A$60</c:f>
              <c:strCache>
                <c:ptCount val="1"/>
                <c:pt idx="0">
                  <c:v>Total Retirements FERC 2 ($billion)</c:v>
                </c:pt>
              </c:strCache>
            </c:strRef>
          </c:tx>
          <c:marker>
            <c:symbol val="none"/>
          </c:marker>
          <c:cat>
            <c:numRef>
              <c:f>'Assumptions (NG Midstream)'!$B$80:$AZ$80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(NG Midstream)'!$B$60:$AZ$60</c:f>
              <c:numCache>
                <c:formatCode>"$"#,##0.00</c:formatCode>
                <c:ptCount val="51"/>
                <c:pt idx="0">
                  <c:v>0.89000000000000012</c:v>
                </c:pt>
                <c:pt idx="1">
                  <c:v>0.74</c:v>
                </c:pt>
                <c:pt idx="2">
                  <c:v>0.65000000000000013</c:v>
                </c:pt>
                <c:pt idx="3">
                  <c:v>0.85</c:v>
                </c:pt>
                <c:pt idx="4">
                  <c:v>0.81</c:v>
                </c:pt>
                <c:pt idx="5">
                  <c:v>0.86</c:v>
                </c:pt>
                <c:pt idx="6">
                  <c:v>0.80000000000000016</c:v>
                </c:pt>
                <c:pt idx="7">
                  <c:v>0.77</c:v>
                </c:pt>
                <c:pt idx="8">
                  <c:v>0.83</c:v>
                </c:pt>
                <c:pt idx="9">
                  <c:v>0.78</c:v>
                </c:pt>
                <c:pt idx="10">
                  <c:v>0.89000000000000012</c:v>
                </c:pt>
                <c:pt idx="11">
                  <c:v>1.28</c:v>
                </c:pt>
                <c:pt idx="12">
                  <c:v>1.55</c:v>
                </c:pt>
                <c:pt idx="13">
                  <c:v>1.8400000000000003</c:v>
                </c:pt>
                <c:pt idx="14">
                  <c:v>0.71999999999999986</c:v>
                </c:pt>
                <c:pt idx="15">
                  <c:v>0.94</c:v>
                </c:pt>
                <c:pt idx="16">
                  <c:v>1.5300000000000002</c:v>
                </c:pt>
                <c:pt idx="17">
                  <c:v>1.0066666666666668</c:v>
                </c:pt>
                <c:pt idx="18">
                  <c:v>1.0304444444444445</c:v>
                </c:pt>
                <c:pt idx="19">
                  <c:v>1.0424740740740743</c:v>
                </c:pt>
                <c:pt idx="20">
                  <c:v>1.0579723456790124</c:v>
                </c:pt>
                <c:pt idx="21">
                  <c:v>1.0711705020576132</c:v>
                </c:pt>
                <c:pt idx="22">
                  <c:v>1.0892485355281207</c:v>
                </c:pt>
                <c:pt idx="23">
                  <c:v>1.1105317712299956</c:v>
                </c:pt>
                <c:pt idx="24">
                  <c:v>1.1292338893119953</c:v>
                </c:pt>
                <c:pt idx="25">
                  <c:v>1.1525161485994615</c:v>
                </c:pt>
                <c:pt idx="26">
                  <c:v>1.170017225172759</c:v>
                </c:pt>
                <c:pt idx="27">
                  <c:v>1.1626850401842763</c:v>
                </c:pt>
                <c:pt idx="28">
                  <c:v>1.136864042863228</c:v>
                </c:pt>
                <c:pt idx="29">
                  <c:v>1.0899883123874434</c:v>
                </c:pt>
                <c:pt idx="30">
                  <c:v>1.1146541998799395</c:v>
                </c:pt>
                <c:pt idx="31">
                  <c:v>1.1262978132052688</c:v>
                </c:pt>
                <c:pt idx="32">
                  <c:v>1.0993843340856202</c:v>
                </c:pt>
                <c:pt idx="33">
                  <c:v>1.1055655119135503</c:v>
                </c:pt>
                <c:pt idx="34">
                  <c:v>1.1105735830781573</c:v>
                </c:pt>
                <c:pt idx="35">
                  <c:v>1.1151135503450964</c:v>
                </c:pt>
                <c:pt idx="36">
                  <c:v>1.1189229639895018</c:v>
                </c:pt>
                <c:pt idx="37">
                  <c:v>1.1221064614516278</c:v>
                </c:pt>
                <c:pt idx="38">
                  <c:v>1.124296989846528</c:v>
                </c:pt>
                <c:pt idx="39">
                  <c:v>1.1252146710876303</c:v>
                </c:pt>
                <c:pt idx="40">
                  <c:v>1.1249467232060057</c:v>
                </c:pt>
                <c:pt idx="41">
                  <c:v>1.1231087615131088</c:v>
                </c:pt>
                <c:pt idx="42">
                  <c:v>1.1199815306024654</c:v>
                </c:pt>
                <c:pt idx="43">
                  <c:v>1.1171346299636782</c:v>
                </c:pt>
                <c:pt idx="44">
                  <c:v>1.1158193357703747</c:v>
                </c:pt>
                <c:pt idx="45">
                  <c:v>1.1175414039959035</c:v>
                </c:pt>
                <c:pt idx="46">
                  <c:v>1.1177338842703011</c:v>
                </c:pt>
                <c:pt idx="47">
                  <c:v>1.1171629556746365</c:v>
                </c:pt>
                <c:pt idx="48">
                  <c:v>1.1183481971139044</c:v>
                </c:pt>
                <c:pt idx="49">
                  <c:v>1.1192003761272613</c:v>
                </c:pt>
                <c:pt idx="50">
                  <c:v>1.1197754956638686</c:v>
                </c:pt>
              </c:numCache>
            </c:numRef>
          </c:val>
          <c:smooth val="0"/>
          <c:extLst>
            <c:ext xmlns:c16="http://schemas.microsoft.com/office/drawing/2014/chart" uri="{C3380CC4-5D6E-409C-BE32-E72D297353CC}">
              <c16:uniqueId val="{00000001-26DA-4158-BE4E-6009B52AA1CD}"/>
            </c:ext>
          </c:extLst>
        </c:ser>
        <c:ser>
          <c:idx val="3"/>
          <c:order val="3"/>
          <c:tx>
            <c:strRef>
              <c:f>'Assumptions (NG Midstream)'!$A$64</c:f>
              <c:strCache>
                <c:ptCount val="1"/>
                <c:pt idx="0">
                  <c:v>Total Gas Operating Revenues FERC 2 ($billion)</c:v>
                </c:pt>
              </c:strCache>
            </c:strRef>
          </c:tx>
          <c:marker>
            <c:symbol val="none"/>
          </c:marker>
          <c:cat>
            <c:numRef>
              <c:f>'Assumptions (NG Midstream)'!$B$80:$AZ$80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(NG Midstream)'!$B$64:$AZ$64</c:f>
              <c:numCache>
                <c:formatCode>"$"#,##0.00</c:formatCode>
                <c:ptCount val="51"/>
                <c:pt idx="0">
                  <c:v>14.97</c:v>
                </c:pt>
                <c:pt idx="1">
                  <c:v>14.32</c:v>
                </c:pt>
                <c:pt idx="2">
                  <c:v>13.89</c:v>
                </c:pt>
                <c:pt idx="3">
                  <c:v>14.91</c:v>
                </c:pt>
                <c:pt idx="4">
                  <c:v>15.85</c:v>
                </c:pt>
                <c:pt idx="5">
                  <c:v>16.73</c:v>
                </c:pt>
                <c:pt idx="6">
                  <c:v>17.23</c:v>
                </c:pt>
                <c:pt idx="7">
                  <c:v>21.89</c:v>
                </c:pt>
                <c:pt idx="8">
                  <c:v>20.3</c:v>
                </c:pt>
                <c:pt idx="9">
                  <c:v>19.010000000000002</c:v>
                </c:pt>
                <c:pt idx="10">
                  <c:v>19.850000000000001</c:v>
                </c:pt>
                <c:pt idx="11">
                  <c:v>20.87</c:v>
                </c:pt>
                <c:pt idx="12">
                  <c:v>20.96</c:v>
                </c:pt>
                <c:pt idx="13">
                  <c:v>21.27</c:v>
                </c:pt>
                <c:pt idx="14">
                  <c:v>24.65</c:v>
                </c:pt>
                <c:pt idx="15">
                  <c:v>24.09</c:v>
                </c:pt>
                <c:pt idx="16">
                  <c:v>22.4</c:v>
                </c:pt>
                <c:pt idx="17" formatCode="0.00">
                  <c:v>23.753141512681452</c:v>
                </c:pt>
                <c:pt idx="18" formatCode="0.00">
                  <c:v>24.329778705964152</c:v>
                </c:pt>
                <c:pt idx="19" formatCode="0.00">
                  <c:v>24.309619009411637</c:v>
                </c:pt>
                <c:pt idx="20" formatCode="0.00">
                  <c:v>24.487791285868635</c:v>
                </c:pt>
                <c:pt idx="21" formatCode="0.00">
                  <c:v>24.559361231523269</c:v>
                </c:pt>
                <c:pt idx="22" formatCode="0.00">
                  <c:v>24.610429078717594</c:v>
                </c:pt>
                <c:pt idx="23" formatCode="0.00">
                  <c:v>24.70654078173439</c:v>
                </c:pt>
                <c:pt idx="24" formatCode="0.00">
                  <c:v>24.819686993932045</c:v>
                </c:pt>
                <c:pt idx="25" formatCode="0.00">
                  <c:v>24.931858997794588</c:v>
                </c:pt>
                <c:pt idx="26" formatCode="0.00">
                  <c:v>25.027803662021597</c:v>
                </c:pt>
                <c:pt idx="27" formatCode="0.00">
                  <c:v>25.086730681029188</c:v>
                </c:pt>
                <c:pt idx="28" formatCode="0.00">
                  <c:v>25.138276741196236</c:v>
                </c:pt>
                <c:pt idx="29" formatCode="0.00">
                  <c:v>25.16554717033177</c:v>
                </c:pt>
                <c:pt idx="30" formatCode="0.00">
                  <c:v>25.181738626153177</c:v>
                </c:pt>
                <c:pt idx="31" formatCode="0.00">
                  <c:v>25.218294466279715</c:v>
                </c:pt>
                <c:pt idx="32" formatCode="0.00">
                  <c:v>25.260941280252972</c:v>
                </c:pt>
                <c:pt idx="33" formatCode="0.00">
                  <c:v>25.278205659672825</c:v>
                </c:pt>
                <c:pt idx="34" formatCode="0.00">
                  <c:v>25.315334571736916</c:v>
                </c:pt>
                <c:pt idx="35" formatCode="0.00">
                  <c:v>25.339991034519436</c:v>
                </c:pt>
                <c:pt idx="36" formatCode="0.00">
                  <c:v>25.366255633094632</c:v>
                </c:pt>
                <c:pt idx="37" formatCode="0.00">
                  <c:v>25.380893702223322</c:v>
                </c:pt>
                <c:pt idx="38" formatCode="0.00">
                  <c:v>25.401996778133132</c:v>
                </c:pt>
                <c:pt idx="39" formatCode="0.00">
                  <c:v>25.415869913640268</c:v>
                </c:pt>
                <c:pt idx="40" formatCode="0.00">
                  <c:v>25.435093716981726</c:v>
                </c:pt>
                <c:pt idx="41" formatCode="0.00">
                  <c:v>25.446493809276951</c:v>
                </c:pt>
                <c:pt idx="42" formatCode="0.00">
                  <c:v>25.467455395161785</c:v>
                </c:pt>
                <c:pt idx="43" formatCode="0.00">
                  <c:v>25.484537765641747</c:v>
                </c:pt>
                <c:pt idx="44" formatCode="0.00">
                  <c:v>25.52109700649579</c:v>
                </c:pt>
                <c:pt idx="45" formatCode="0.00">
                  <c:v>25.545302702558146</c:v>
                </c:pt>
                <c:pt idx="46" formatCode="0.00">
                  <c:v>25.561328732247624</c:v>
                </c:pt>
                <c:pt idx="47" formatCode="0.00">
                  <c:v>25.58995383621858</c:v>
                </c:pt>
                <c:pt idx="48" formatCode="0.00">
                  <c:v>25.628416016110741</c:v>
                </c:pt>
                <c:pt idx="49" formatCode="0.00">
                  <c:v>25.648501022151926</c:v>
                </c:pt>
                <c:pt idx="50" formatCode="0.00">
                  <c:v>25.676693991542017</c:v>
                </c:pt>
              </c:numCache>
            </c:numRef>
          </c:val>
          <c:smooth val="0"/>
          <c:extLst>
            <c:ext xmlns:c16="http://schemas.microsoft.com/office/drawing/2014/chart" uri="{C3380CC4-5D6E-409C-BE32-E72D297353CC}">
              <c16:uniqueId val="{00000002-26DA-4158-BE4E-6009B52AA1CD}"/>
            </c:ext>
          </c:extLst>
        </c:ser>
        <c:ser>
          <c:idx val="4"/>
          <c:order val="4"/>
          <c:tx>
            <c:strRef>
              <c:f>'Assumptions (NG Midstream)'!$A$65</c:f>
              <c:strCache>
                <c:ptCount val="1"/>
                <c:pt idx="0">
                  <c:v>Total Utility Operating Expenses FERC 2 ($billion)</c:v>
                </c:pt>
              </c:strCache>
            </c:strRef>
          </c:tx>
          <c:marker>
            <c:symbol val="none"/>
          </c:marker>
          <c:cat>
            <c:numRef>
              <c:f>'Assumptions (NG Midstream)'!$B$80:$AZ$80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(NG Midstream)'!$B$65:$AZ$65</c:f>
              <c:numCache>
                <c:formatCode>"$"#,##0.00</c:formatCode>
                <c:ptCount val="51"/>
                <c:pt idx="0">
                  <c:v>11.47</c:v>
                </c:pt>
                <c:pt idx="1">
                  <c:v>10.72</c:v>
                </c:pt>
                <c:pt idx="2">
                  <c:v>10.09</c:v>
                </c:pt>
                <c:pt idx="3">
                  <c:v>10.84</c:v>
                </c:pt>
                <c:pt idx="4">
                  <c:v>11.16</c:v>
                </c:pt>
                <c:pt idx="5">
                  <c:v>12.05</c:v>
                </c:pt>
                <c:pt idx="6">
                  <c:v>12.46</c:v>
                </c:pt>
                <c:pt idx="7">
                  <c:v>16.34</c:v>
                </c:pt>
                <c:pt idx="8">
                  <c:v>14.59</c:v>
                </c:pt>
                <c:pt idx="9">
                  <c:v>13.24</c:v>
                </c:pt>
                <c:pt idx="10">
                  <c:v>13.91</c:v>
                </c:pt>
                <c:pt idx="11">
                  <c:v>14.64</c:v>
                </c:pt>
                <c:pt idx="12">
                  <c:v>14.6</c:v>
                </c:pt>
                <c:pt idx="13">
                  <c:v>14.8</c:v>
                </c:pt>
                <c:pt idx="14">
                  <c:v>17.41</c:v>
                </c:pt>
                <c:pt idx="15">
                  <c:v>17.3</c:v>
                </c:pt>
                <c:pt idx="16">
                  <c:v>15.23</c:v>
                </c:pt>
                <c:pt idx="17" formatCode="0.00">
                  <c:v>16.540136086175345</c:v>
                </c:pt>
                <c:pt idx="18" formatCode="0.00">
                  <c:v>16.899382899881822</c:v>
                </c:pt>
                <c:pt idx="19" formatCode="0.00">
                  <c:v>16.886823344521627</c:v>
                </c:pt>
                <c:pt idx="20" formatCode="0.00">
                  <c:v>16.997825241994839</c:v>
                </c:pt>
                <c:pt idx="21" formatCode="0.00">
                  <c:v>17.042413546795647</c:v>
                </c:pt>
                <c:pt idx="22" formatCode="0.00">
                  <c:v>17.074228978753773</c:v>
                </c:pt>
                <c:pt idx="23" formatCode="0.00">
                  <c:v>17.134106876799382</c:v>
                </c:pt>
                <c:pt idx="24" formatCode="0.00">
                  <c:v>17.204597328488017</c:v>
                </c:pt>
                <c:pt idx="25" formatCode="0.00">
                  <c:v>17.274480845271391</c:v>
                </c:pt>
                <c:pt idx="26" formatCode="0.00">
                  <c:v>17.334254677617292</c:v>
                </c:pt>
                <c:pt idx="27" formatCode="0.00">
                  <c:v>17.370966398724253</c:v>
                </c:pt>
                <c:pt idx="28" formatCode="0.00">
                  <c:v>17.403079758892222</c:v>
                </c:pt>
                <c:pt idx="29" formatCode="0.00">
                  <c:v>17.420069323369631</c:v>
                </c:pt>
                <c:pt idx="30" formatCode="0.00">
                  <c:v>17.430156652076263</c:v>
                </c:pt>
                <c:pt idx="31" formatCode="0.00">
                  <c:v>17.452931057266916</c:v>
                </c:pt>
                <c:pt idx="32" formatCode="0.00">
                  <c:v>17.479500158624056</c:v>
                </c:pt>
                <c:pt idx="33" formatCode="0.00">
                  <c:v>17.490255922160387</c:v>
                </c:pt>
                <c:pt idx="34" formatCode="0.00">
                  <c:v>17.51338735299904</c:v>
                </c:pt>
                <c:pt idx="35" formatCode="0.00">
                  <c:v>17.528748408087189</c:v>
                </c:pt>
                <c:pt idx="36" formatCode="0.00">
                  <c:v>17.545111336911994</c:v>
                </c:pt>
                <c:pt idx="37" formatCode="0.00">
                  <c:v>17.554230900746159</c:v>
                </c:pt>
                <c:pt idx="38" formatCode="0.00">
                  <c:v>17.56737818445994</c:v>
                </c:pt>
                <c:pt idx="39" formatCode="0.00">
                  <c:v>17.576021192204003</c:v>
                </c:pt>
                <c:pt idx="40" formatCode="0.00">
                  <c:v>17.587997683103634</c:v>
                </c:pt>
                <c:pt idx="41" formatCode="0.00">
                  <c:v>17.595099977025576</c:v>
                </c:pt>
                <c:pt idx="42" formatCode="0.00">
                  <c:v>17.608159112001751</c:v>
                </c:pt>
                <c:pt idx="43" formatCode="0.00">
                  <c:v>17.618801483387031</c:v>
                </c:pt>
                <c:pt idx="44" formatCode="0.00">
                  <c:v>17.641578007241787</c:v>
                </c:pt>
                <c:pt idx="45" formatCode="0.00">
                  <c:v>17.656658233223126</c:v>
                </c:pt>
                <c:pt idx="46" formatCode="0.00">
                  <c:v>17.666642500921043</c:v>
                </c:pt>
                <c:pt idx="47" formatCode="0.00">
                  <c:v>17.684476032148957</c:v>
                </c:pt>
                <c:pt idx="48" formatCode="0.00">
                  <c:v>17.708438093104135</c:v>
                </c:pt>
                <c:pt idx="49" formatCode="0.00">
                  <c:v>17.720951116037142</c:v>
                </c:pt>
                <c:pt idx="50" formatCode="0.00">
                  <c:v>17.738515426040554</c:v>
                </c:pt>
              </c:numCache>
            </c:numRef>
          </c:val>
          <c:smooth val="0"/>
          <c:extLst>
            <c:ext xmlns:c16="http://schemas.microsoft.com/office/drawing/2014/chart" uri="{C3380CC4-5D6E-409C-BE32-E72D297353CC}">
              <c16:uniqueId val="{00000003-26DA-4158-BE4E-6009B52AA1CD}"/>
            </c:ext>
          </c:extLst>
        </c:ser>
        <c:dLbls>
          <c:showLegendKey val="0"/>
          <c:showVal val="0"/>
          <c:showCatName val="0"/>
          <c:showSerName val="0"/>
          <c:showPercent val="0"/>
          <c:showBubbleSize val="0"/>
        </c:dLbls>
        <c:marker val="1"/>
        <c:smooth val="0"/>
        <c:axId val="1980601017"/>
        <c:axId val="962941995"/>
      </c:lineChart>
      <c:lineChart>
        <c:grouping val="standard"/>
        <c:varyColors val="0"/>
        <c:ser>
          <c:idx val="0"/>
          <c:order val="0"/>
          <c:tx>
            <c:strRef>
              <c:f>'Assumptions (NG Midstream)'!$A$58</c:f>
              <c:strCache>
                <c:ptCount val="1"/>
                <c:pt idx="0">
                  <c:v>Total Beginning Year Balance  FERC 2 ($billion)</c:v>
                </c:pt>
              </c:strCache>
            </c:strRef>
          </c:tx>
          <c:spPr>
            <a:ln w="76200" cmpd="sng">
              <a:solidFill>
                <a:srgbClr val="4285F4"/>
              </a:solidFill>
              <a:prstDash val="sysDot"/>
            </a:ln>
          </c:spPr>
          <c:marker>
            <c:symbol val="none"/>
          </c:marker>
          <c:cat>
            <c:numRef>
              <c:f>'Assumptions (NG Midstream)'!$B$80:$AZ$80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'Assumptions (NG Midstream)'!$B$58:$AZ$58</c:f>
              <c:numCache>
                <c:formatCode>"$"#,##0.00</c:formatCode>
                <c:ptCount val="51"/>
                <c:pt idx="0">
                  <c:v>69.27</c:v>
                </c:pt>
                <c:pt idx="1">
                  <c:v>72.760000000000005</c:v>
                </c:pt>
                <c:pt idx="2">
                  <c:v>75.150000000000006</c:v>
                </c:pt>
                <c:pt idx="3">
                  <c:v>76.149999999999991</c:v>
                </c:pt>
                <c:pt idx="4">
                  <c:v>81.129999999999981</c:v>
                </c:pt>
                <c:pt idx="5">
                  <c:v>83.429999999999993</c:v>
                </c:pt>
                <c:pt idx="6">
                  <c:v>85.500000000000014</c:v>
                </c:pt>
                <c:pt idx="7">
                  <c:v>89.28</c:v>
                </c:pt>
                <c:pt idx="8">
                  <c:v>94.3</c:v>
                </c:pt>
                <c:pt idx="9">
                  <c:v>105.95</c:v>
                </c:pt>
                <c:pt idx="10">
                  <c:v>120.60000000000001</c:v>
                </c:pt>
                <c:pt idx="11">
                  <c:v>125.5</c:v>
                </c:pt>
                <c:pt idx="12">
                  <c:v>138.46</c:v>
                </c:pt>
                <c:pt idx="13">
                  <c:v>141.76000000000002</c:v>
                </c:pt>
                <c:pt idx="14">
                  <c:v>146.82</c:v>
                </c:pt>
                <c:pt idx="15">
                  <c:v>150.32</c:v>
                </c:pt>
                <c:pt idx="16">
                  <c:v>155.55000000000001</c:v>
                </c:pt>
                <c:pt idx="17">
                  <c:v>152.88522638676955</c:v>
                </c:pt>
                <c:pt idx="18">
                  <c:v>158.55948375197951</c:v>
                </c:pt>
                <c:pt idx="19">
                  <c:v>158.36110718526467</c:v>
                </c:pt>
                <c:pt idx="20">
                  <c:v>160.11436792484153</c:v>
                </c:pt>
                <c:pt idx="21">
                  <c:v>160.81863448272097</c:v>
                </c:pt>
                <c:pt idx="22">
                  <c:v>161.32115515159808</c:v>
                </c:pt>
                <c:pt idx="23">
                  <c:v>162.26691887457486</c:v>
                </c:pt>
                <c:pt idx="24">
                  <c:v>163.38030652175945</c:v>
                </c:pt>
                <c:pt idx="25">
                  <c:v>164.4841077099276</c:v>
                </c:pt>
                <c:pt idx="26">
                  <c:v>165.42822772851926</c:v>
                </c:pt>
                <c:pt idx="27">
                  <c:v>166.00808465677284</c:v>
                </c:pt>
                <c:pt idx="28">
                  <c:v>166.51531106352843</c:v>
                </c:pt>
                <c:pt idx="29">
                  <c:v>166.78365905629983</c:v>
                </c:pt>
                <c:pt idx="30">
                  <c:v>166.94298711997376</c:v>
                </c:pt>
                <c:pt idx="31">
                  <c:v>167.30270593016462</c:v>
                </c:pt>
                <c:pt idx="32">
                  <c:v>167.72236147980561</c:v>
                </c:pt>
                <c:pt idx="33">
                  <c:v>167.8922473859179</c:v>
                </c:pt>
                <c:pt idx="34">
                  <c:v>168.25760537044636</c:v>
                </c:pt>
                <c:pt idx="35">
                  <c:v>168.50023126619766</c:v>
                </c:pt>
                <c:pt idx="36">
                  <c:v>168.75868162917405</c:v>
                </c:pt>
                <c:pt idx="37">
                  <c:v>168.90272397075984</c:v>
                </c:pt>
                <c:pt idx="38">
                  <c:v>169.1103836314698</c:v>
                </c:pt>
                <c:pt idx="39">
                  <c:v>169.24689883070937</c:v>
                </c:pt>
                <c:pt idx="40">
                  <c:v>169.43606596902148</c:v>
                </c:pt>
                <c:pt idx="41">
                  <c:v>169.54824579096811</c:v>
                </c:pt>
                <c:pt idx="42">
                  <c:v>169.75451315366865</c:v>
                </c:pt>
                <c:pt idx="43">
                  <c:v>169.92260804529263</c:v>
                </c:pt>
                <c:pt idx="44">
                  <c:v>170.28236031951127</c:v>
                </c:pt>
                <c:pt idx="45">
                  <c:v>170.52055055552427</c:v>
                </c:pt>
                <c:pt idx="46">
                  <c:v>170.67825078377854</c:v>
                </c:pt>
                <c:pt idx="47">
                  <c:v>170.95992912317325</c:v>
                </c:pt>
                <c:pt idx="48">
                  <c:v>171.33840680390122</c:v>
                </c:pt>
                <c:pt idx="49">
                  <c:v>171.53604839689439</c:v>
                </c:pt>
                <c:pt idx="50">
                  <c:v>171.81347442156363</c:v>
                </c:pt>
              </c:numCache>
            </c:numRef>
          </c:val>
          <c:smooth val="0"/>
          <c:extLst>
            <c:ext xmlns:c16="http://schemas.microsoft.com/office/drawing/2014/chart" uri="{C3380CC4-5D6E-409C-BE32-E72D297353CC}">
              <c16:uniqueId val="{00000004-26DA-4158-BE4E-6009B52AA1CD}"/>
            </c:ext>
          </c:extLst>
        </c:ser>
        <c:dLbls>
          <c:showLegendKey val="0"/>
          <c:showVal val="0"/>
          <c:showCatName val="0"/>
          <c:showSerName val="0"/>
          <c:showPercent val="0"/>
          <c:showBubbleSize val="0"/>
        </c:dLbls>
        <c:marker val="1"/>
        <c:smooth val="0"/>
        <c:axId val="1256623556"/>
        <c:axId val="2046653795"/>
      </c:lineChart>
      <c:catAx>
        <c:axId val="1980601017"/>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962941995"/>
        <c:crosses val="autoZero"/>
        <c:auto val="1"/>
        <c:lblAlgn val="ctr"/>
        <c:lblOffset val="100"/>
        <c:noMultiLvlLbl val="1"/>
      </c:catAx>
      <c:valAx>
        <c:axId val="962941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1980601017"/>
        <c:crosses val="autoZero"/>
        <c:crossBetween val="between"/>
      </c:valAx>
      <c:catAx>
        <c:axId val="1256623556"/>
        <c:scaling>
          <c:orientation val="minMax"/>
        </c:scaling>
        <c:delete val="1"/>
        <c:axPos val="b"/>
        <c:numFmt formatCode="General" sourceLinked="1"/>
        <c:majorTickMark val="none"/>
        <c:minorTickMark val="none"/>
        <c:tickLblPos val="nextTo"/>
        <c:crossAx val="2046653795"/>
        <c:crosses val="autoZero"/>
        <c:auto val="1"/>
        <c:lblAlgn val="ctr"/>
        <c:lblOffset val="100"/>
        <c:noMultiLvlLbl val="1"/>
      </c:catAx>
      <c:valAx>
        <c:axId val="204665379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quot;$&quot;#,##0.00" sourceLinked="1"/>
        <c:majorTickMark val="none"/>
        <c:minorTickMark val="none"/>
        <c:tickLblPos val="nextTo"/>
        <c:spPr>
          <a:ln/>
        </c:spPr>
        <c:txPr>
          <a:bodyPr/>
          <a:lstStyle/>
          <a:p>
            <a:pPr lvl="0">
              <a:defRPr b="0">
                <a:solidFill>
                  <a:srgbClr val="1155CC"/>
                </a:solidFill>
                <a:latin typeface="Roboto"/>
              </a:defRPr>
            </a:pPr>
            <a:endParaRPr lang="en-US"/>
          </a:p>
        </c:txPr>
        <c:crossAx val="1256623556"/>
        <c:crosses val="max"/>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strRef>
              <c:f>'Assumptions (NG Midstream)'!$A$64</c:f>
              <c:strCache>
                <c:ptCount val="1"/>
                <c:pt idx="0">
                  <c:v>Total Gas Operating Revenues FERC 2 ($billion)</c:v>
                </c:pt>
              </c:strCache>
            </c:strRef>
          </c:tx>
          <c:spPr>
            <a:ln>
              <a:noFill/>
            </a:ln>
          </c:spPr>
          <c:marker>
            <c:symbol val="circle"/>
            <c:size val="7"/>
            <c:spPr>
              <a:solidFill>
                <a:srgbClr val="4285F4"/>
              </a:solidFill>
              <a:ln cmpd="sng">
                <a:solidFill>
                  <a:srgbClr val="4285F4"/>
                </a:solidFill>
              </a:ln>
            </c:spPr>
          </c:marker>
          <c:trendline>
            <c:spPr>
              <a:ln w="19050">
                <a:solidFill>
                  <a:srgbClr val="000000"/>
                </a:solidFill>
              </a:ln>
            </c:spPr>
            <c:trendlineType val="exp"/>
            <c:dispRSqr val="1"/>
            <c:dispEq val="1"/>
            <c:trendlineLbl>
              <c:numFmt formatCode="General" sourceLinked="0"/>
            </c:trendlineLbl>
          </c:trendline>
          <c:xVal>
            <c:numRef>
              <c:f>'Assumptions (NG Midstream)'!$B$1:$R$1</c:f>
              <c:numCache>
                <c:formatCode>General</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xVal>
          <c:yVal>
            <c:numRef>
              <c:f>'Assumptions (NG Midstream)'!$B$64:$R$64</c:f>
              <c:numCache>
                <c:formatCode>"$"#,##0.00</c:formatCode>
                <c:ptCount val="17"/>
                <c:pt idx="0">
                  <c:v>14.97</c:v>
                </c:pt>
                <c:pt idx="1">
                  <c:v>14.32</c:v>
                </c:pt>
                <c:pt idx="2">
                  <c:v>13.89</c:v>
                </c:pt>
                <c:pt idx="3">
                  <c:v>14.91</c:v>
                </c:pt>
                <c:pt idx="4">
                  <c:v>15.85</c:v>
                </c:pt>
                <c:pt idx="5">
                  <c:v>16.73</c:v>
                </c:pt>
                <c:pt idx="6">
                  <c:v>17.23</c:v>
                </c:pt>
                <c:pt idx="7">
                  <c:v>21.89</c:v>
                </c:pt>
                <c:pt idx="8">
                  <c:v>20.3</c:v>
                </c:pt>
                <c:pt idx="9">
                  <c:v>19.010000000000002</c:v>
                </c:pt>
                <c:pt idx="10">
                  <c:v>19.850000000000001</c:v>
                </c:pt>
                <c:pt idx="11">
                  <c:v>20.87</c:v>
                </c:pt>
                <c:pt idx="12">
                  <c:v>20.96</c:v>
                </c:pt>
                <c:pt idx="13">
                  <c:v>21.27</c:v>
                </c:pt>
                <c:pt idx="14">
                  <c:v>24.65</c:v>
                </c:pt>
                <c:pt idx="15">
                  <c:v>24.09</c:v>
                </c:pt>
                <c:pt idx="16">
                  <c:v>22.4</c:v>
                </c:pt>
              </c:numCache>
            </c:numRef>
          </c:yVal>
          <c:smooth val="1"/>
          <c:extLst>
            <c:ext xmlns:c16="http://schemas.microsoft.com/office/drawing/2014/chart" uri="{C3380CC4-5D6E-409C-BE32-E72D297353CC}">
              <c16:uniqueId val="{00000000-7687-45CE-A495-3CB9AD838AC4}"/>
            </c:ext>
          </c:extLst>
        </c:ser>
        <c:dLbls>
          <c:showLegendKey val="0"/>
          <c:showVal val="0"/>
          <c:showCatName val="0"/>
          <c:showSerName val="0"/>
          <c:showPercent val="0"/>
          <c:showBubbleSize val="0"/>
        </c:dLbls>
        <c:axId val="20181630"/>
        <c:axId val="422171498"/>
      </c:scatterChart>
      <c:valAx>
        <c:axId val="201816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422171498"/>
        <c:crosses val="autoZero"/>
        <c:crossBetween val="midCat"/>
      </c:valAx>
      <c:valAx>
        <c:axId val="4221714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Total Gas Operating Revenues FERC 2 ($billion)</a:t>
                </a:r>
              </a:p>
            </c:rich>
          </c:tx>
          <c:overlay val="0"/>
        </c:title>
        <c:numFmt formatCode="&quot;$&quot;#,##0.00" sourceLinked="1"/>
        <c:majorTickMark val="none"/>
        <c:minorTickMark val="none"/>
        <c:tickLblPos val="nextTo"/>
        <c:spPr>
          <a:ln/>
        </c:spPr>
        <c:txPr>
          <a:bodyPr/>
          <a:lstStyle/>
          <a:p>
            <a:pPr lvl="0">
              <a:defRPr b="0">
                <a:solidFill>
                  <a:srgbClr val="000000"/>
                </a:solidFill>
                <a:latin typeface="Roboto"/>
              </a:defRPr>
            </a:pPr>
            <a:endParaRPr lang="en-US"/>
          </a:p>
        </c:txPr>
        <c:crossAx val="20181630"/>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900" b="0" i="0">
                <a:solidFill>
                  <a:srgbClr val="595959"/>
                </a:solidFill>
                <a:latin typeface="Calibri"/>
              </a:defRPr>
            </a:pPr>
            <a:r>
              <a:t>2016-2050 NG and wholesale electricity nominal prices</a:t>
            </a:r>
          </a:p>
        </c:rich>
      </c:tx>
      <c:overlay val="0"/>
    </c:title>
    <c:autoTitleDeleted val="0"/>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spPr>
              <a:ln w="19050">
                <a:solidFill>
                  <a:srgbClr val="5B9BD5"/>
                </a:solidFill>
              </a:ln>
            </c:spPr>
            <c:trendlineType val="linear"/>
            <c:dispRSqr val="1"/>
            <c:dispEq val="0"/>
            <c:trendlineLbl>
              <c:numFmt formatCode="General" sourceLinked="0"/>
            </c:trendlineLbl>
          </c:trendline>
          <c:xVal>
            <c:numRef>
              <c:f>'Inflation GDP Population'!$R$9:$AZ$9</c:f>
              <c:numCache>
                <c:formatCode>_("$"* #,##0.00_);_("$"* \(#,##0.00\);_("$"* "-"??_);_(@_)</c:formatCode>
                <c:ptCount val="35"/>
                <c:pt idx="0">
                  <c:v>2.99</c:v>
                </c:pt>
                <c:pt idx="1">
                  <c:v>3.52</c:v>
                </c:pt>
                <c:pt idx="2">
                  <c:v>3.67</c:v>
                </c:pt>
                <c:pt idx="3">
                  <c:v>3.3895059999999999</c:v>
                </c:pt>
                <c:pt idx="4">
                  <c:v>3.5205359999999999</c:v>
                </c:pt>
                <c:pt idx="5">
                  <c:v>3.4643860000000002</c:v>
                </c:pt>
                <c:pt idx="6">
                  <c:v>3.522084</c:v>
                </c:pt>
                <c:pt idx="7">
                  <c:v>3.6960329999999999</c:v>
                </c:pt>
                <c:pt idx="8">
                  <c:v>3.9273989999999999</c:v>
                </c:pt>
                <c:pt idx="9">
                  <c:v>4.1603110000000001</c:v>
                </c:pt>
                <c:pt idx="10">
                  <c:v>4.2294790000000004</c:v>
                </c:pt>
                <c:pt idx="11">
                  <c:v>4.2377339999999997</c:v>
                </c:pt>
                <c:pt idx="12">
                  <c:v>4.3179169999999996</c:v>
                </c:pt>
                <c:pt idx="13">
                  <c:v>4.3116459999999996</c:v>
                </c:pt>
                <c:pt idx="14">
                  <c:v>4.3508570000000004</c:v>
                </c:pt>
                <c:pt idx="15">
                  <c:v>4.3408930000000003</c:v>
                </c:pt>
                <c:pt idx="16">
                  <c:v>4.4974610000000004</c:v>
                </c:pt>
                <c:pt idx="17">
                  <c:v>4.554608</c:v>
                </c:pt>
                <c:pt idx="18">
                  <c:v>4.5969170000000004</c:v>
                </c:pt>
                <c:pt idx="19">
                  <c:v>4.6352840000000004</c:v>
                </c:pt>
                <c:pt idx="20">
                  <c:v>4.7120050000000004</c:v>
                </c:pt>
                <c:pt idx="21">
                  <c:v>4.72262</c:v>
                </c:pt>
                <c:pt idx="22">
                  <c:v>4.7219879999999996</c:v>
                </c:pt>
                <c:pt idx="23">
                  <c:v>4.7411029999999998</c:v>
                </c:pt>
                <c:pt idx="24">
                  <c:v>4.8132469999999996</c:v>
                </c:pt>
                <c:pt idx="25">
                  <c:v>4.7929599999999999</c:v>
                </c:pt>
                <c:pt idx="26">
                  <c:v>4.8376070000000002</c:v>
                </c:pt>
                <c:pt idx="27">
                  <c:v>4.9017369999999998</c:v>
                </c:pt>
                <c:pt idx="28">
                  <c:v>4.9949539999999999</c:v>
                </c:pt>
                <c:pt idx="29">
                  <c:v>5.0694549999999996</c:v>
                </c:pt>
                <c:pt idx="30">
                  <c:v>5.1259620000000004</c:v>
                </c:pt>
                <c:pt idx="31">
                  <c:v>5.2034599999999998</c:v>
                </c:pt>
                <c:pt idx="32">
                  <c:v>5.3523440000000004</c:v>
                </c:pt>
                <c:pt idx="33">
                  <c:v>5.4477909999999996</c:v>
                </c:pt>
                <c:pt idx="34">
                  <c:v>5.5391450000000004</c:v>
                </c:pt>
              </c:numCache>
            </c:numRef>
          </c:xVal>
          <c:yVal>
            <c:numRef>
              <c:f>'Inflation GDP Population'!$R$3:$AZ$3</c:f>
              <c:numCache>
                <c:formatCode>_("$"* #,##0.00_);_("$"* \(#,##0.00\);_("$"* "-"??_);_(@_)</c:formatCode>
                <c:ptCount val="35"/>
                <c:pt idx="0">
                  <c:v>64.069999999999993</c:v>
                </c:pt>
                <c:pt idx="1">
                  <c:v>62.54</c:v>
                </c:pt>
                <c:pt idx="2">
                  <c:v>64.2</c:v>
                </c:pt>
                <c:pt idx="3">
                  <c:v>65.09</c:v>
                </c:pt>
                <c:pt idx="4">
                  <c:v>67.893280000000004</c:v>
                </c:pt>
                <c:pt idx="5">
                  <c:v>68.408230000000003</c:v>
                </c:pt>
                <c:pt idx="6">
                  <c:v>69.039839999999998</c:v>
                </c:pt>
                <c:pt idx="7">
                  <c:v>70.165930000000003</c:v>
                </c:pt>
                <c:pt idx="8">
                  <c:v>71.499539999999996</c:v>
                </c:pt>
                <c:pt idx="9">
                  <c:v>73.516589999999994</c:v>
                </c:pt>
                <c:pt idx="10">
                  <c:v>74.703620000000001</c:v>
                </c:pt>
                <c:pt idx="11">
                  <c:v>76.171610000000001</c:v>
                </c:pt>
                <c:pt idx="12">
                  <c:v>77.509479999999996</c:v>
                </c:pt>
                <c:pt idx="13">
                  <c:v>78.937030000000007</c:v>
                </c:pt>
                <c:pt idx="14">
                  <c:v>80.394760000000005</c:v>
                </c:pt>
                <c:pt idx="15">
                  <c:v>81.999220000000008</c:v>
                </c:pt>
                <c:pt idx="16">
                  <c:v>83.288150000000002</c:v>
                </c:pt>
                <c:pt idx="17">
                  <c:v>84.552180000000007</c:v>
                </c:pt>
                <c:pt idx="18">
                  <c:v>85.842559999999992</c:v>
                </c:pt>
                <c:pt idx="19">
                  <c:v>87.282499999999999</c:v>
                </c:pt>
                <c:pt idx="20">
                  <c:v>89.091559999999987</c:v>
                </c:pt>
                <c:pt idx="21">
                  <c:v>90.845109999999991</c:v>
                </c:pt>
                <c:pt idx="22">
                  <c:v>92.884870000000006</c:v>
                </c:pt>
                <c:pt idx="23">
                  <c:v>94.960380000000001</c:v>
                </c:pt>
                <c:pt idx="24">
                  <c:v>96.898049999999998</c:v>
                </c:pt>
                <c:pt idx="25">
                  <c:v>98.792919999999995</c:v>
                </c:pt>
                <c:pt idx="26">
                  <c:v>100.67492</c:v>
                </c:pt>
                <c:pt idx="27">
                  <c:v>102.66981</c:v>
                </c:pt>
                <c:pt idx="28">
                  <c:v>104.79813999999999</c:v>
                </c:pt>
                <c:pt idx="29">
                  <c:v>106.98112999999999</c:v>
                </c:pt>
                <c:pt idx="30">
                  <c:v>108.97937999999999</c:v>
                </c:pt>
                <c:pt idx="31">
                  <c:v>111.37461999999999</c:v>
                </c:pt>
                <c:pt idx="32">
                  <c:v>115.38930999999999</c:v>
                </c:pt>
                <c:pt idx="33">
                  <c:v>118.46299999999999</c:v>
                </c:pt>
                <c:pt idx="34">
                  <c:v>120.87941000000001</c:v>
                </c:pt>
              </c:numCache>
            </c:numRef>
          </c:yVal>
          <c:smooth val="1"/>
          <c:extLst>
            <c:ext xmlns:c16="http://schemas.microsoft.com/office/drawing/2014/chart" uri="{C3380CC4-5D6E-409C-BE32-E72D297353CC}">
              <c16:uniqueId val="{00000000-1A48-4AE3-95EC-8A51B4976FAF}"/>
            </c:ext>
          </c:extLst>
        </c:ser>
        <c:dLbls>
          <c:showLegendKey val="0"/>
          <c:showVal val="0"/>
          <c:showCatName val="0"/>
          <c:showSerName val="0"/>
          <c:showPercent val="0"/>
          <c:showBubbleSize val="0"/>
        </c:dLbls>
        <c:axId val="725170969"/>
        <c:axId val="1350563100"/>
      </c:scatterChart>
      <c:valAx>
        <c:axId val="72517096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sz="1600" b="0" i="0">
                    <a:solidFill>
                      <a:srgbClr val="595959"/>
                    </a:solidFill>
                    <a:latin typeface="Calibri"/>
                  </a:defRPr>
                </a:pPr>
                <a:r>
                  <a:t>NG price to electric plants (nominal, $/MMBtu)</a:t>
                </a:r>
              </a:p>
            </c:rich>
          </c:tx>
          <c:overlay val="0"/>
        </c:title>
        <c:numFmt formatCode="_(&quot;$&quot;* #,##0.00_);_(&quot;$&quot;* \(#,##0.00\);_(&quot;$&quot;* &quot;-&quot;??_);_(@_)" sourceLinked="1"/>
        <c:majorTickMark val="none"/>
        <c:minorTickMark val="none"/>
        <c:tickLblPos val="nextTo"/>
        <c:spPr>
          <a:ln/>
        </c:spPr>
        <c:txPr>
          <a:bodyPr/>
          <a:lstStyle/>
          <a:p>
            <a:pPr lvl="0">
              <a:defRPr sz="1600" b="0" i="0">
                <a:solidFill>
                  <a:srgbClr val="595959"/>
                </a:solidFill>
                <a:latin typeface="Calibri"/>
              </a:defRPr>
            </a:pPr>
            <a:endParaRPr lang="en-US"/>
          </a:p>
        </c:txPr>
        <c:crossAx val="1350563100"/>
        <c:crosses val="autoZero"/>
        <c:crossBetween val="midCat"/>
      </c:valAx>
      <c:valAx>
        <c:axId val="135056310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sz="1600" b="0" i="0">
                    <a:solidFill>
                      <a:srgbClr val="595959"/>
                    </a:solidFill>
                    <a:latin typeface="Calibri"/>
                  </a:defRPr>
                </a:pPr>
                <a:r>
                  <a:t>Wholesale Electricity (nominal, $/MWh)</a:t>
                </a:r>
              </a:p>
            </c:rich>
          </c:tx>
          <c:overlay val="0"/>
        </c:title>
        <c:numFmt formatCode="_(&quot;$&quot;* #,##0.00_);_(&quot;$&quot;* \(#,##0.00\);_(&quot;$&quot;* &quot;-&quot;??_);_(@_)" sourceLinked="1"/>
        <c:majorTickMark val="none"/>
        <c:minorTickMark val="none"/>
        <c:tickLblPos val="nextTo"/>
        <c:spPr>
          <a:ln/>
        </c:spPr>
        <c:txPr>
          <a:bodyPr/>
          <a:lstStyle/>
          <a:p>
            <a:pPr lvl="0">
              <a:defRPr sz="1600" b="0" i="0">
                <a:solidFill>
                  <a:srgbClr val="595959"/>
                </a:solidFill>
                <a:latin typeface="Calibri"/>
              </a:defRPr>
            </a:pPr>
            <a:endParaRPr lang="en-US"/>
          </a:p>
        </c:txPr>
        <c:crossAx val="725170969"/>
        <c:crosses val="autoZero"/>
        <c:crossBetween val="midCat"/>
      </c:valAx>
      <c:spPr>
        <a:solidFill>
          <a:srgbClr val="FFFFFF"/>
        </a:solidFill>
      </c:spPr>
    </c:plotArea>
    <c:plotVisOnly val="1"/>
    <c:dispBlanksAs val="zero"/>
    <c:showDLblsOverMax val="1"/>
  </c:chart>
  <c:spPr>
    <a:solidFill>
      <a:srgbClr val="FFFFFF"/>
    </a:solidFill>
  </c:spPr>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900" b="0" i="0">
                <a:solidFill>
                  <a:srgbClr val="595959"/>
                </a:solidFill>
                <a:latin typeface="Calibri"/>
              </a:defRPr>
            </a:pPr>
            <a:r>
              <a:t>2016-2050 NG and wholesale electricity real prices</a:t>
            </a:r>
          </a:p>
        </c:rich>
      </c:tx>
      <c:overlay val="0"/>
    </c:title>
    <c:autoTitleDeleted val="0"/>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spPr>
              <a:ln w="19050">
                <a:solidFill>
                  <a:srgbClr val="5B9BD5"/>
                </a:solidFill>
              </a:ln>
            </c:spPr>
            <c:trendlineType val="linear"/>
            <c:dispRSqr val="1"/>
            <c:dispEq val="0"/>
            <c:trendlineLbl>
              <c:numFmt formatCode="General" sourceLinked="0"/>
            </c:trendlineLbl>
          </c:trendline>
          <c:xVal>
            <c:numRef>
              <c:f>'Inflation GDP Population'!$R$8:$AZ$8</c:f>
              <c:numCache>
                <c:formatCode>_("$"* #,##0.00_);_("$"* \(#,##0.00\);_("$"* "-"??_);_(@_)</c:formatCode>
                <c:ptCount val="35"/>
                <c:pt idx="0">
                  <c:v>3.2313434287302027</c:v>
                </c:pt>
                <c:pt idx="1">
                  <c:v>3.52</c:v>
                </c:pt>
                <c:pt idx="2">
                  <c:v>3.7020760931583587</c:v>
                </c:pt>
                <c:pt idx="3" formatCode="General">
                  <c:v>4.1500000000000004</c:v>
                </c:pt>
                <c:pt idx="4">
                  <c:v>4.2985610000000003</c:v>
                </c:pt>
                <c:pt idx="5">
                  <c:v>4.2361449999999996</c:v>
                </c:pt>
                <c:pt idx="6">
                  <c:v>4.2766760000000001</c:v>
                </c:pt>
                <c:pt idx="7">
                  <c:v>4.3976439999999997</c:v>
                </c:pt>
                <c:pt idx="8">
                  <c:v>4.5025930000000001</c:v>
                </c:pt>
                <c:pt idx="9">
                  <c:v>4.629785</c:v>
                </c:pt>
                <c:pt idx="10">
                  <c:v>4.6663119999999996</c:v>
                </c:pt>
                <c:pt idx="11">
                  <c:v>4.7123790000000003</c:v>
                </c:pt>
                <c:pt idx="12">
                  <c:v>4.7187349999999997</c:v>
                </c:pt>
                <c:pt idx="13">
                  <c:v>4.7830570000000003</c:v>
                </c:pt>
                <c:pt idx="14">
                  <c:v>4.7796240000000001</c:v>
                </c:pt>
                <c:pt idx="15">
                  <c:v>4.7721999999999998</c:v>
                </c:pt>
                <c:pt idx="16">
                  <c:v>4.78775</c:v>
                </c:pt>
                <c:pt idx="17">
                  <c:v>4.7727040000000001</c:v>
                </c:pt>
                <c:pt idx="18">
                  <c:v>4.7803089999999999</c:v>
                </c:pt>
                <c:pt idx="19">
                  <c:v>4.7717489999999998</c:v>
                </c:pt>
                <c:pt idx="20">
                  <c:v>4.8809269999999998</c:v>
                </c:pt>
                <c:pt idx="21">
                  <c:v>4.8832019999999998</c:v>
                </c:pt>
                <c:pt idx="22">
                  <c:v>4.9507750000000001</c:v>
                </c:pt>
                <c:pt idx="23">
                  <c:v>5.0003739999999999</c:v>
                </c:pt>
                <c:pt idx="24">
                  <c:v>5.0288539999999999</c:v>
                </c:pt>
                <c:pt idx="25">
                  <c:v>5.0585420000000001</c:v>
                </c:pt>
                <c:pt idx="26">
                  <c:v>5.1167959999999999</c:v>
                </c:pt>
                <c:pt idx="27">
                  <c:v>5.1581760000000001</c:v>
                </c:pt>
                <c:pt idx="28">
                  <c:v>5.2137270000000004</c:v>
                </c:pt>
                <c:pt idx="29">
                  <c:v>5.2504759999999999</c:v>
                </c:pt>
                <c:pt idx="30">
                  <c:v>5.2969249999999999</c:v>
                </c:pt>
                <c:pt idx="31">
                  <c:v>5.3486310000000001</c:v>
                </c:pt>
                <c:pt idx="32">
                  <c:v>5.4427149999999997</c:v>
                </c:pt>
                <c:pt idx="33">
                  <c:v>5.5061720000000003</c:v>
                </c:pt>
                <c:pt idx="34">
                  <c:v>5.6015759999999997</c:v>
                </c:pt>
              </c:numCache>
            </c:numRef>
          </c:xVal>
          <c:yVal>
            <c:numRef>
              <c:f>'Inflation GDP Population'!$R$2:$AZ$2</c:f>
              <c:numCache>
                <c:formatCode>_("$"* #,##0.00_);_("$"* \(#,##0.00\);_("$"* "-"??_);_(@_)</c:formatCode>
                <c:ptCount val="35"/>
                <c:pt idx="0">
                  <c:v>65.2</c:v>
                </c:pt>
                <c:pt idx="1">
                  <c:v>62.54</c:v>
                </c:pt>
                <c:pt idx="2">
                  <c:v>62.8</c:v>
                </c:pt>
                <c:pt idx="3">
                  <c:v>62.22</c:v>
                </c:pt>
                <c:pt idx="4">
                  <c:v>63.245459999999994</c:v>
                </c:pt>
                <c:pt idx="5">
                  <c:v>62.18788</c:v>
                </c:pt>
                <c:pt idx="6">
                  <c:v>61.283909999999999</c:v>
                </c:pt>
                <c:pt idx="7">
                  <c:v>60.782710000000002</c:v>
                </c:pt>
                <c:pt idx="8">
                  <c:v>60.470050000000001</c:v>
                </c:pt>
                <c:pt idx="9">
                  <c:v>60.726050000000001</c:v>
                </c:pt>
                <c:pt idx="10">
                  <c:v>60.323509999999999</c:v>
                </c:pt>
                <c:pt idx="11">
                  <c:v>60.154750000000007</c:v>
                </c:pt>
                <c:pt idx="12">
                  <c:v>59.918579999999999</c:v>
                </c:pt>
                <c:pt idx="13">
                  <c:v>59.74736</c:v>
                </c:pt>
                <c:pt idx="14">
                  <c:v>59.571719999999999</c:v>
                </c:pt>
                <c:pt idx="15">
                  <c:v>59.462200000000003</c:v>
                </c:pt>
                <c:pt idx="16">
                  <c:v>59.098179999999999</c:v>
                </c:pt>
                <c:pt idx="17">
                  <c:v>58.690709999999996</c:v>
                </c:pt>
                <c:pt idx="18">
                  <c:v>58.279679999999999</c:v>
                </c:pt>
                <c:pt idx="19">
                  <c:v>57.945390000000003</c:v>
                </c:pt>
                <c:pt idx="20">
                  <c:v>57.822279999999999</c:v>
                </c:pt>
                <c:pt idx="21">
                  <c:v>57.639300000000006</c:v>
                </c:pt>
                <c:pt idx="22">
                  <c:v>57.618220000000008</c:v>
                </c:pt>
                <c:pt idx="23">
                  <c:v>57.583159999999999</c:v>
                </c:pt>
                <c:pt idx="24">
                  <c:v>57.428650000000005</c:v>
                </c:pt>
                <c:pt idx="25">
                  <c:v>57.212560000000003</c:v>
                </c:pt>
                <c:pt idx="26">
                  <c:v>56.957370000000004</c:v>
                </c:pt>
                <c:pt idx="27">
                  <c:v>56.726020000000005</c:v>
                </c:pt>
                <c:pt idx="28">
                  <c:v>56.532699999999998</c:v>
                </c:pt>
                <c:pt idx="29">
                  <c:v>56.329940000000001</c:v>
                </c:pt>
                <c:pt idx="30">
                  <c:v>56.008069999999996</c:v>
                </c:pt>
                <c:pt idx="31">
                  <c:v>55.853279999999998</c:v>
                </c:pt>
                <c:pt idx="32">
                  <c:v>56.44464</c:v>
                </c:pt>
                <c:pt idx="33">
                  <c:v>56.523910000000001</c:v>
                </c:pt>
                <c:pt idx="34">
                  <c:v>56.24409</c:v>
                </c:pt>
              </c:numCache>
            </c:numRef>
          </c:yVal>
          <c:smooth val="1"/>
          <c:extLst>
            <c:ext xmlns:c16="http://schemas.microsoft.com/office/drawing/2014/chart" uri="{C3380CC4-5D6E-409C-BE32-E72D297353CC}">
              <c16:uniqueId val="{00000000-4A0C-44D0-AAB9-84D05DF9A939}"/>
            </c:ext>
          </c:extLst>
        </c:ser>
        <c:dLbls>
          <c:showLegendKey val="0"/>
          <c:showVal val="0"/>
          <c:showCatName val="0"/>
          <c:showSerName val="0"/>
          <c:showPercent val="0"/>
          <c:showBubbleSize val="0"/>
        </c:dLbls>
        <c:axId val="1486283476"/>
        <c:axId val="591271419"/>
      </c:scatterChart>
      <c:valAx>
        <c:axId val="148628347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sz="1600" b="0" i="0">
                    <a:solidFill>
                      <a:srgbClr val="595959"/>
                    </a:solidFill>
                    <a:latin typeface="Calibri"/>
                  </a:defRPr>
                </a:pPr>
                <a:r>
                  <a:t>NG price to electric plants (real, $/MMBtu)</a:t>
                </a:r>
              </a:p>
            </c:rich>
          </c:tx>
          <c:overlay val="0"/>
        </c:title>
        <c:numFmt formatCode="_(&quot;$&quot;* #,##0.00_);_(&quot;$&quot;* \(#,##0.00\);_(&quot;$&quot;* &quot;-&quot;??_);_(@_)" sourceLinked="1"/>
        <c:majorTickMark val="none"/>
        <c:minorTickMark val="none"/>
        <c:tickLblPos val="nextTo"/>
        <c:spPr>
          <a:ln/>
        </c:spPr>
        <c:txPr>
          <a:bodyPr/>
          <a:lstStyle/>
          <a:p>
            <a:pPr lvl="0">
              <a:defRPr sz="1600" b="0" i="0">
                <a:solidFill>
                  <a:srgbClr val="595959"/>
                </a:solidFill>
                <a:latin typeface="Calibri"/>
              </a:defRPr>
            </a:pPr>
            <a:endParaRPr lang="en-US"/>
          </a:p>
        </c:txPr>
        <c:crossAx val="591271419"/>
        <c:crosses val="autoZero"/>
        <c:crossBetween val="midCat"/>
      </c:valAx>
      <c:valAx>
        <c:axId val="59127141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sz="1600" b="0" i="0">
                    <a:solidFill>
                      <a:srgbClr val="595959"/>
                    </a:solidFill>
                    <a:latin typeface="Calibri"/>
                  </a:defRPr>
                </a:pPr>
                <a:r>
                  <a:t>Wholesale Electricity (real, $/MWh)</a:t>
                </a:r>
              </a:p>
            </c:rich>
          </c:tx>
          <c:overlay val="0"/>
        </c:title>
        <c:numFmt formatCode="_(&quot;$&quot;* #,##0.00_);_(&quot;$&quot;* \(#,##0.00\);_(&quot;$&quot;* &quot;-&quot;??_);_(@_)" sourceLinked="1"/>
        <c:majorTickMark val="none"/>
        <c:minorTickMark val="none"/>
        <c:tickLblPos val="nextTo"/>
        <c:spPr>
          <a:ln/>
        </c:spPr>
        <c:txPr>
          <a:bodyPr/>
          <a:lstStyle/>
          <a:p>
            <a:pPr lvl="0">
              <a:defRPr sz="1600" b="0" i="0">
                <a:solidFill>
                  <a:srgbClr val="595959"/>
                </a:solidFill>
                <a:latin typeface="Calibri"/>
              </a:defRPr>
            </a:pPr>
            <a:endParaRPr lang="en-US"/>
          </a:p>
        </c:txPr>
        <c:crossAx val="1486283476"/>
        <c:crosses val="autoZero"/>
        <c:crossBetween val="midCat"/>
      </c:valAx>
      <c:spPr>
        <a:solidFill>
          <a:srgbClr val="FFFFFF"/>
        </a:solidFill>
      </c:spPr>
    </c:plotArea>
    <c:plotVisOnly val="1"/>
    <c:dispBlanksAs val="zero"/>
    <c:showDLblsOverMax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9.xml"/></Relationships>
</file>

<file path=xl/chartsheets/sheet1.xml><?xml version="1.0" encoding="utf-8"?>
<chartsheet xmlns="http://schemas.openxmlformats.org/spreadsheetml/2006/main" xmlns:r="http://schemas.openxmlformats.org/officeDocument/2006/relationships">
  <sheetPr/>
  <sheetViews>
    <sheetView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image" Target="../media/image1.png"/><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3" Type="http://schemas.openxmlformats.org/officeDocument/2006/relationships/chart" Target="../charts/chart29.xml"/><Relationship Id="rId7" Type="http://schemas.openxmlformats.org/officeDocument/2006/relationships/chart" Target="../charts/chart33.xml"/><Relationship Id="rId12" Type="http://schemas.openxmlformats.org/officeDocument/2006/relationships/chart" Target="../charts/chart38.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11" Type="http://schemas.openxmlformats.org/officeDocument/2006/relationships/chart" Target="../charts/chart37.xml"/><Relationship Id="rId5" Type="http://schemas.openxmlformats.org/officeDocument/2006/relationships/chart" Target="../charts/chart31.xml"/><Relationship Id="rId10" Type="http://schemas.openxmlformats.org/officeDocument/2006/relationships/chart" Target="../charts/chart36.xml"/><Relationship Id="rId4" Type="http://schemas.openxmlformats.org/officeDocument/2006/relationships/chart" Target="../charts/chart30.xml"/><Relationship Id="rId9" Type="http://schemas.openxmlformats.org/officeDocument/2006/relationships/chart" Target="../charts/chart35.xml"/><Relationship Id="rId14" Type="http://schemas.openxmlformats.org/officeDocument/2006/relationships/chart" Target="../charts/chart4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8.xml"/><Relationship Id="rId13" Type="http://schemas.openxmlformats.org/officeDocument/2006/relationships/chart" Target="../charts/chart53.xml"/><Relationship Id="rId3" Type="http://schemas.openxmlformats.org/officeDocument/2006/relationships/chart" Target="../charts/chart43.xml"/><Relationship Id="rId7" Type="http://schemas.openxmlformats.org/officeDocument/2006/relationships/chart" Target="../charts/chart47.xml"/><Relationship Id="rId12" Type="http://schemas.openxmlformats.org/officeDocument/2006/relationships/chart" Target="../charts/chart52.xml"/><Relationship Id="rId2" Type="http://schemas.openxmlformats.org/officeDocument/2006/relationships/chart" Target="../charts/chart42.xml"/><Relationship Id="rId16" Type="http://schemas.openxmlformats.org/officeDocument/2006/relationships/chart" Target="../charts/chart56.xml"/><Relationship Id="rId1" Type="http://schemas.openxmlformats.org/officeDocument/2006/relationships/chart" Target="../charts/chart41.xml"/><Relationship Id="rId6" Type="http://schemas.openxmlformats.org/officeDocument/2006/relationships/chart" Target="../charts/chart46.xml"/><Relationship Id="rId11" Type="http://schemas.openxmlformats.org/officeDocument/2006/relationships/chart" Target="../charts/chart51.xml"/><Relationship Id="rId5" Type="http://schemas.openxmlformats.org/officeDocument/2006/relationships/chart" Target="../charts/chart45.xml"/><Relationship Id="rId15" Type="http://schemas.openxmlformats.org/officeDocument/2006/relationships/chart" Target="../charts/chart55.xml"/><Relationship Id="rId10" Type="http://schemas.openxmlformats.org/officeDocument/2006/relationships/chart" Target="../charts/chart50.xml"/><Relationship Id="rId4" Type="http://schemas.openxmlformats.org/officeDocument/2006/relationships/chart" Target="../charts/chart44.xml"/><Relationship Id="rId9" Type="http://schemas.openxmlformats.org/officeDocument/2006/relationships/chart" Target="../charts/chart49.xml"/><Relationship Id="rId14"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4.xml"/><Relationship Id="rId3" Type="http://schemas.openxmlformats.org/officeDocument/2006/relationships/chart" Target="../charts/chart59.xml"/><Relationship Id="rId7" Type="http://schemas.openxmlformats.org/officeDocument/2006/relationships/chart" Target="../charts/chart63.xml"/><Relationship Id="rId12" Type="http://schemas.openxmlformats.org/officeDocument/2006/relationships/chart" Target="../charts/chart68.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5" Type="http://schemas.openxmlformats.org/officeDocument/2006/relationships/chart" Target="../charts/chart61.xml"/><Relationship Id="rId10" Type="http://schemas.openxmlformats.org/officeDocument/2006/relationships/chart" Target="../charts/chart66.xml"/><Relationship Id="rId4" Type="http://schemas.openxmlformats.org/officeDocument/2006/relationships/chart" Target="../charts/chart60.xml"/><Relationship Id="rId9" Type="http://schemas.openxmlformats.org/officeDocument/2006/relationships/chart" Target="../charts/chart6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oneCellAnchor>
    <xdr:from>
      <xdr:col>40</xdr:col>
      <xdr:colOff>361950</xdr:colOff>
      <xdr:row>23</xdr:row>
      <xdr:rowOff>0</xdr:rowOff>
    </xdr:from>
    <xdr:ext cx="6096000" cy="3429000"/>
    <xdr:graphicFrame macro="">
      <xdr:nvGraphicFramePr>
        <xdr:cNvPr id="4"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51</xdr:col>
      <xdr:colOff>590550</xdr:colOff>
      <xdr:row>23</xdr:row>
      <xdr:rowOff>38100</xdr:rowOff>
    </xdr:from>
    <xdr:ext cx="6086475" cy="3438525"/>
    <xdr:graphicFrame macro="">
      <xdr:nvGraphicFramePr>
        <xdr:cNvPr id="9"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314325</xdr:colOff>
      <xdr:row>0</xdr:row>
      <xdr:rowOff>76200</xdr:rowOff>
    </xdr:from>
    <xdr:ext cx="8486775" cy="4486275"/>
    <xdr:graphicFrame macro="">
      <xdr:nvGraphicFramePr>
        <xdr:cNvPr id="2" name="Chart 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323850</xdr:colOff>
      <xdr:row>22</xdr:row>
      <xdr:rowOff>200025</xdr:rowOff>
    </xdr:from>
    <xdr:ext cx="8486775" cy="4010025"/>
    <xdr:graphicFrame macro="">
      <xdr:nvGraphicFramePr>
        <xdr:cNvPr id="3" name="Chart 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23</xdr:col>
      <xdr:colOff>885825</xdr:colOff>
      <xdr:row>1</xdr:row>
      <xdr:rowOff>0</xdr:rowOff>
    </xdr:from>
    <xdr:ext cx="5715000" cy="3533775"/>
    <xdr:graphicFrame macro="">
      <xdr:nvGraphicFramePr>
        <xdr:cNvPr id="4" name="Chart 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24</xdr:col>
      <xdr:colOff>352425</xdr:colOff>
      <xdr:row>20</xdr:row>
      <xdr:rowOff>9525</xdr:rowOff>
    </xdr:from>
    <xdr:ext cx="5715000" cy="3533775"/>
    <xdr:graphicFrame macro="">
      <xdr:nvGraphicFramePr>
        <xdr:cNvPr id="5" name="Chart 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24</xdr:col>
      <xdr:colOff>352425</xdr:colOff>
      <xdr:row>37</xdr:row>
      <xdr:rowOff>190500</xdr:rowOff>
    </xdr:from>
    <xdr:ext cx="5715000" cy="3533775"/>
    <xdr:graphicFrame macro="">
      <xdr:nvGraphicFramePr>
        <xdr:cNvPr id="6" name="Chart 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24</xdr:col>
      <xdr:colOff>352425</xdr:colOff>
      <xdr:row>56</xdr:row>
      <xdr:rowOff>9525</xdr:rowOff>
    </xdr:from>
    <xdr:ext cx="5715000" cy="3533775"/>
    <xdr:graphicFrame macro="">
      <xdr:nvGraphicFramePr>
        <xdr:cNvPr id="7" name="Chart 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323850</xdr:colOff>
      <xdr:row>43</xdr:row>
      <xdr:rowOff>171450</xdr:rowOff>
    </xdr:from>
    <xdr:ext cx="8486775" cy="4010025"/>
    <xdr:graphicFrame macro="">
      <xdr:nvGraphicFramePr>
        <xdr:cNvPr id="8" name="Chart 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238125</xdr:colOff>
      <xdr:row>50</xdr:row>
      <xdr:rowOff>161925</xdr:rowOff>
    </xdr:from>
    <xdr:ext cx="6324600" cy="3533775"/>
    <xdr:graphicFrame macro="">
      <xdr:nvGraphicFramePr>
        <xdr:cNvPr id="10" name="Chart 1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43</xdr:col>
      <xdr:colOff>247650</xdr:colOff>
      <xdr:row>44</xdr:row>
      <xdr:rowOff>133350</xdr:rowOff>
    </xdr:from>
    <xdr:ext cx="7943850" cy="3533775"/>
    <xdr:graphicFrame macro="">
      <xdr:nvGraphicFramePr>
        <xdr:cNvPr id="11" name="Chart 1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41</xdr:col>
      <xdr:colOff>809625</xdr:colOff>
      <xdr:row>24</xdr:row>
      <xdr:rowOff>123825</xdr:rowOff>
    </xdr:from>
    <xdr:ext cx="5715000" cy="2457450"/>
    <xdr:graphicFrame macro="">
      <xdr:nvGraphicFramePr>
        <xdr:cNvPr id="12" name="Chart 1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12</xdr:col>
      <xdr:colOff>180975</xdr:colOff>
      <xdr:row>24</xdr:row>
      <xdr:rowOff>257175</xdr:rowOff>
    </xdr:from>
    <xdr:ext cx="4733925" cy="2905125"/>
    <xdr:graphicFrame macro="">
      <xdr:nvGraphicFramePr>
        <xdr:cNvPr id="13"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20</xdr:col>
      <xdr:colOff>466725</xdr:colOff>
      <xdr:row>24</xdr:row>
      <xdr:rowOff>266700</xdr:rowOff>
    </xdr:from>
    <xdr:ext cx="4352925" cy="2981325"/>
    <xdr:graphicFrame macro="">
      <xdr:nvGraphicFramePr>
        <xdr:cNvPr id="14"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28</xdr:col>
      <xdr:colOff>361950</xdr:colOff>
      <xdr:row>24</xdr:row>
      <xdr:rowOff>276225</xdr:rowOff>
    </xdr:from>
    <xdr:ext cx="4352925" cy="2971800"/>
    <xdr:graphicFrame macro="">
      <xdr:nvGraphicFramePr>
        <xdr:cNvPr id="15"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36</xdr:col>
      <xdr:colOff>333375</xdr:colOff>
      <xdr:row>24</xdr:row>
      <xdr:rowOff>295275</xdr:rowOff>
    </xdr:from>
    <xdr:ext cx="4371975" cy="2905125"/>
    <xdr:graphicFrame macro="">
      <xdr:nvGraphicFramePr>
        <xdr:cNvPr id="16"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44</xdr:col>
      <xdr:colOff>276225</xdr:colOff>
      <xdr:row>24</xdr:row>
      <xdr:rowOff>361950</xdr:rowOff>
    </xdr:from>
    <xdr:ext cx="4371975" cy="2905125"/>
    <xdr:graphicFrame macro="">
      <xdr:nvGraphicFramePr>
        <xdr:cNvPr id="17" name="Chart 1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44</xdr:col>
      <xdr:colOff>266700</xdr:colOff>
      <xdr:row>40</xdr:row>
      <xdr:rowOff>76200</xdr:rowOff>
    </xdr:from>
    <xdr:ext cx="4391025" cy="2952750"/>
    <xdr:graphicFrame macro="">
      <xdr:nvGraphicFramePr>
        <xdr:cNvPr id="18" name="Chart 1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52</xdr:col>
      <xdr:colOff>161925</xdr:colOff>
      <xdr:row>24</xdr:row>
      <xdr:rowOff>333375</xdr:rowOff>
    </xdr:from>
    <xdr:ext cx="4391025" cy="2905125"/>
    <xdr:graphicFrame macro="">
      <xdr:nvGraphicFramePr>
        <xdr:cNvPr id="19" name="Chart 19"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xdr:col>
      <xdr:colOff>9525</xdr:colOff>
      <xdr:row>73</xdr:row>
      <xdr:rowOff>180975</xdr:rowOff>
    </xdr:from>
    <xdr:ext cx="5819775" cy="3295650"/>
    <xdr:graphicFrame macro="">
      <xdr:nvGraphicFramePr>
        <xdr:cNvPr id="20" name="Chart 2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26</xdr:col>
      <xdr:colOff>161925</xdr:colOff>
      <xdr:row>40</xdr:row>
      <xdr:rowOff>161925</xdr:rowOff>
    </xdr:from>
    <xdr:ext cx="5715000" cy="3533775"/>
    <xdr:graphicFrame macro="">
      <xdr:nvGraphicFramePr>
        <xdr:cNvPr id="21" name="Chart 2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40</xdr:col>
      <xdr:colOff>66675</xdr:colOff>
      <xdr:row>74</xdr:row>
      <xdr:rowOff>142875</xdr:rowOff>
    </xdr:from>
    <xdr:ext cx="6905625" cy="3057525"/>
    <xdr:graphicFrame macro="">
      <xdr:nvGraphicFramePr>
        <xdr:cNvPr id="22" name="Chart 2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11</xdr:col>
      <xdr:colOff>66675</xdr:colOff>
      <xdr:row>73</xdr:row>
      <xdr:rowOff>180975</xdr:rowOff>
    </xdr:from>
    <xdr:ext cx="5334000" cy="3295650"/>
    <xdr:graphicFrame macro="">
      <xdr:nvGraphicFramePr>
        <xdr:cNvPr id="23" name="Chart 2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4</xdr:col>
      <xdr:colOff>142875</xdr:colOff>
      <xdr:row>24</xdr:row>
      <xdr:rowOff>409575</xdr:rowOff>
    </xdr:from>
    <xdr:ext cx="4914900" cy="2609850"/>
    <xdr:graphicFrame macro="">
      <xdr:nvGraphicFramePr>
        <xdr:cNvPr id="24" name="Chart 2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52</xdr:col>
      <xdr:colOff>238125</xdr:colOff>
      <xdr:row>2</xdr:row>
      <xdr:rowOff>123825</xdr:rowOff>
    </xdr:from>
    <xdr:ext cx="4391025" cy="2705100"/>
    <xdr:graphicFrame macro="">
      <xdr:nvGraphicFramePr>
        <xdr:cNvPr id="25" name="Chart 2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476250</xdr:colOff>
      <xdr:row>95</xdr:row>
      <xdr:rowOff>76200</xdr:rowOff>
    </xdr:from>
    <xdr:ext cx="5715000" cy="3714750"/>
    <xdr:graphicFrame macro="">
      <xdr:nvGraphicFramePr>
        <xdr:cNvPr id="26" name="Chart 2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142875</xdr:colOff>
      <xdr:row>50</xdr:row>
      <xdr:rowOff>19050</xdr:rowOff>
    </xdr:from>
    <xdr:ext cx="4667250" cy="1000125"/>
    <xdr:pic>
      <xdr:nvPicPr>
        <xdr:cNvPr id="2" name="image1.png" title="Image"/>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21</xdr:col>
      <xdr:colOff>57150</xdr:colOff>
      <xdr:row>83</xdr:row>
      <xdr:rowOff>76200</xdr:rowOff>
    </xdr:from>
    <xdr:ext cx="5715000" cy="2790825"/>
    <xdr:graphicFrame macro="">
      <xdr:nvGraphicFramePr>
        <xdr:cNvPr id="27" name="Chart 2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21</xdr:col>
      <xdr:colOff>171450</xdr:colOff>
      <xdr:row>68</xdr:row>
      <xdr:rowOff>171450</xdr:rowOff>
    </xdr:from>
    <xdr:ext cx="5305425" cy="2257425"/>
    <xdr:graphicFrame macro="">
      <xdr:nvGraphicFramePr>
        <xdr:cNvPr id="28" name="Chart 2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21</xdr:col>
      <xdr:colOff>57150</xdr:colOff>
      <xdr:row>225</xdr:row>
      <xdr:rowOff>38100</xdr:rowOff>
    </xdr:from>
    <xdr:ext cx="5715000" cy="2162175"/>
    <xdr:graphicFrame macro="">
      <xdr:nvGraphicFramePr>
        <xdr:cNvPr id="29" name="Chart 29"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257175</xdr:colOff>
      <xdr:row>242</xdr:row>
      <xdr:rowOff>57150</xdr:rowOff>
    </xdr:from>
    <xdr:ext cx="2667000" cy="1562100"/>
    <xdr:graphicFrame macro="">
      <xdr:nvGraphicFramePr>
        <xdr:cNvPr id="30" name="Chart 3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20</xdr:col>
      <xdr:colOff>142875</xdr:colOff>
      <xdr:row>238</xdr:row>
      <xdr:rowOff>28575</xdr:rowOff>
    </xdr:from>
    <xdr:ext cx="3667125" cy="1781175"/>
    <xdr:graphicFrame macro="">
      <xdr:nvGraphicFramePr>
        <xdr:cNvPr id="31" name="Chart 3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24</xdr:col>
      <xdr:colOff>390525</xdr:colOff>
      <xdr:row>238</xdr:row>
      <xdr:rowOff>47625</xdr:rowOff>
    </xdr:from>
    <xdr:ext cx="3667125" cy="1781175"/>
    <xdr:graphicFrame macro="">
      <xdr:nvGraphicFramePr>
        <xdr:cNvPr id="32" name="Chart 3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23</xdr:col>
      <xdr:colOff>371475</xdr:colOff>
      <xdr:row>247</xdr:row>
      <xdr:rowOff>142875</xdr:rowOff>
    </xdr:from>
    <xdr:ext cx="3667125" cy="1781175"/>
    <xdr:graphicFrame macro="">
      <xdr:nvGraphicFramePr>
        <xdr:cNvPr id="33" name="Chart 3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21</xdr:col>
      <xdr:colOff>171450</xdr:colOff>
      <xdr:row>257</xdr:row>
      <xdr:rowOff>95250</xdr:rowOff>
    </xdr:from>
    <xdr:ext cx="5629275" cy="2419350"/>
    <xdr:graphicFrame macro="">
      <xdr:nvGraphicFramePr>
        <xdr:cNvPr id="34" name="Chart 3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xdr:col>
      <xdr:colOff>85725</xdr:colOff>
      <xdr:row>315</xdr:row>
      <xdr:rowOff>104775</xdr:rowOff>
    </xdr:from>
    <xdr:ext cx="5715000" cy="3533775"/>
    <xdr:graphicFrame macro="">
      <xdr:nvGraphicFramePr>
        <xdr:cNvPr id="35" name="Chart 3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11</xdr:col>
      <xdr:colOff>19050</xdr:colOff>
      <xdr:row>320</xdr:row>
      <xdr:rowOff>28575</xdr:rowOff>
    </xdr:from>
    <xdr:ext cx="5581650" cy="2705100"/>
    <xdr:graphicFrame macro="">
      <xdr:nvGraphicFramePr>
        <xdr:cNvPr id="36" name="Chart 3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11</xdr:col>
      <xdr:colOff>19050</xdr:colOff>
      <xdr:row>334</xdr:row>
      <xdr:rowOff>57150</xdr:rowOff>
    </xdr:from>
    <xdr:ext cx="5581650" cy="2705100"/>
    <xdr:graphicFrame macro="">
      <xdr:nvGraphicFramePr>
        <xdr:cNvPr id="37" name="Chart 3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31</xdr:col>
      <xdr:colOff>19050</xdr:colOff>
      <xdr:row>173</xdr:row>
      <xdr:rowOff>9525</xdr:rowOff>
    </xdr:from>
    <xdr:ext cx="5715000" cy="2162175"/>
    <xdr:graphicFrame macro="">
      <xdr:nvGraphicFramePr>
        <xdr:cNvPr id="38" name="Chart 3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22</xdr:col>
      <xdr:colOff>66675</xdr:colOff>
      <xdr:row>188</xdr:row>
      <xdr:rowOff>28575</xdr:rowOff>
    </xdr:from>
    <xdr:ext cx="5715000" cy="3143250"/>
    <xdr:graphicFrame macro="">
      <xdr:nvGraphicFramePr>
        <xdr:cNvPr id="39" name="Chart 39"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21</xdr:col>
      <xdr:colOff>266700</xdr:colOff>
      <xdr:row>290</xdr:row>
      <xdr:rowOff>85725</xdr:rowOff>
    </xdr:from>
    <xdr:ext cx="3886200" cy="2419350"/>
    <xdr:graphicFrame macro="">
      <xdr:nvGraphicFramePr>
        <xdr:cNvPr id="40" name="Chart 4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13</xdr:col>
      <xdr:colOff>266700</xdr:colOff>
      <xdr:row>3</xdr:row>
      <xdr:rowOff>38100</xdr:rowOff>
    </xdr:from>
    <xdr:ext cx="2524125" cy="1562100"/>
    <xdr:graphicFrame macro="">
      <xdr:nvGraphicFramePr>
        <xdr:cNvPr id="41" name="Chart 4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390525</xdr:colOff>
      <xdr:row>13</xdr:row>
      <xdr:rowOff>47625</xdr:rowOff>
    </xdr:from>
    <xdr:ext cx="2524125" cy="1562100"/>
    <xdr:graphicFrame macro="">
      <xdr:nvGraphicFramePr>
        <xdr:cNvPr id="42" name="Chart 4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390525</xdr:colOff>
      <xdr:row>24</xdr:row>
      <xdr:rowOff>47625</xdr:rowOff>
    </xdr:from>
    <xdr:ext cx="2524125" cy="1562100"/>
    <xdr:graphicFrame macro="">
      <xdr:nvGraphicFramePr>
        <xdr:cNvPr id="43" name="Chart 4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18</xdr:col>
      <xdr:colOff>495300</xdr:colOff>
      <xdr:row>2</xdr:row>
      <xdr:rowOff>38100</xdr:rowOff>
    </xdr:from>
    <xdr:ext cx="3829050" cy="1924050"/>
    <xdr:graphicFrame macro="">
      <xdr:nvGraphicFramePr>
        <xdr:cNvPr id="44" name="Chart 4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19</xdr:col>
      <xdr:colOff>9525</xdr:colOff>
      <xdr:row>13</xdr:row>
      <xdr:rowOff>38100</xdr:rowOff>
    </xdr:from>
    <xdr:ext cx="3848100" cy="1924050"/>
    <xdr:graphicFrame macro="">
      <xdr:nvGraphicFramePr>
        <xdr:cNvPr id="45" name="Chart 4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219075</xdr:colOff>
      <xdr:row>24</xdr:row>
      <xdr:rowOff>38100</xdr:rowOff>
    </xdr:from>
    <xdr:ext cx="3105150" cy="1924050"/>
    <xdr:graphicFrame macro="">
      <xdr:nvGraphicFramePr>
        <xdr:cNvPr id="46" name="Chart 4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14</xdr:col>
      <xdr:colOff>504825</xdr:colOff>
      <xdr:row>59</xdr:row>
      <xdr:rowOff>180975</xdr:rowOff>
    </xdr:from>
    <xdr:ext cx="3038475" cy="1762125"/>
    <xdr:graphicFrame macro="">
      <xdr:nvGraphicFramePr>
        <xdr:cNvPr id="47" name="Chart 4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9</xdr:col>
      <xdr:colOff>171450</xdr:colOff>
      <xdr:row>59</xdr:row>
      <xdr:rowOff>104775</xdr:rowOff>
    </xdr:from>
    <xdr:ext cx="3105150" cy="1924050"/>
    <xdr:graphicFrame macro="">
      <xdr:nvGraphicFramePr>
        <xdr:cNvPr id="48" name="Chart 4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25</xdr:col>
      <xdr:colOff>371475</xdr:colOff>
      <xdr:row>60</xdr:row>
      <xdr:rowOff>142875</xdr:rowOff>
    </xdr:from>
    <xdr:ext cx="3105150" cy="1924050"/>
    <xdr:graphicFrame macro="">
      <xdr:nvGraphicFramePr>
        <xdr:cNvPr id="49" name="Chart 49"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30</xdr:col>
      <xdr:colOff>581025</xdr:colOff>
      <xdr:row>1</xdr:row>
      <xdr:rowOff>123825</xdr:rowOff>
    </xdr:from>
    <xdr:ext cx="8296275" cy="1981200"/>
    <xdr:graphicFrame macro="">
      <xdr:nvGraphicFramePr>
        <xdr:cNvPr id="50" name="Chart 5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31</xdr:col>
      <xdr:colOff>9525</xdr:colOff>
      <xdr:row>13</xdr:row>
      <xdr:rowOff>9525</xdr:rowOff>
    </xdr:from>
    <xdr:ext cx="8296275" cy="1981200"/>
    <xdr:graphicFrame macro="">
      <xdr:nvGraphicFramePr>
        <xdr:cNvPr id="52" name="Chart 5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30</xdr:col>
      <xdr:colOff>590550</xdr:colOff>
      <xdr:row>23</xdr:row>
      <xdr:rowOff>142875</xdr:rowOff>
    </xdr:from>
    <xdr:ext cx="8296275" cy="1981200"/>
    <xdr:graphicFrame macro="">
      <xdr:nvGraphicFramePr>
        <xdr:cNvPr id="55" name="Chart 5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32</xdr:col>
      <xdr:colOff>19050</xdr:colOff>
      <xdr:row>60</xdr:row>
      <xdr:rowOff>85725</xdr:rowOff>
    </xdr:from>
    <xdr:ext cx="6029325" cy="2105025"/>
    <xdr:graphicFrame macro="">
      <xdr:nvGraphicFramePr>
        <xdr:cNvPr id="58" name="Chart 5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20</xdr:col>
      <xdr:colOff>76200</xdr:colOff>
      <xdr:row>59</xdr:row>
      <xdr:rowOff>180975</xdr:rowOff>
    </xdr:from>
    <xdr:ext cx="3057525" cy="1924050"/>
    <xdr:graphicFrame macro="">
      <xdr:nvGraphicFramePr>
        <xdr:cNvPr id="60" name="Chart 6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42</xdr:col>
      <xdr:colOff>361950</xdr:colOff>
      <xdr:row>59</xdr:row>
      <xdr:rowOff>114300</xdr:rowOff>
    </xdr:from>
    <xdr:ext cx="8782050" cy="2924175"/>
    <xdr:graphicFrame macro="">
      <xdr:nvGraphicFramePr>
        <xdr:cNvPr id="63" name="Chart 6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42</xdr:col>
      <xdr:colOff>361950</xdr:colOff>
      <xdr:row>74</xdr:row>
      <xdr:rowOff>161925</xdr:rowOff>
    </xdr:from>
    <xdr:ext cx="8181975" cy="2314575"/>
    <xdr:graphicFrame macro="">
      <xdr:nvGraphicFramePr>
        <xdr:cNvPr id="65" name="Chart 6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828675</xdr:colOff>
      <xdr:row>87</xdr:row>
      <xdr:rowOff>104775</xdr:rowOff>
    </xdr:from>
    <xdr:ext cx="5715000" cy="3533775"/>
    <xdr:graphicFrame macro="">
      <xdr:nvGraphicFramePr>
        <xdr:cNvPr id="51" name="Chart 5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400050</xdr:colOff>
      <xdr:row>87</xdr:row>
      <xdr:rowOff>104775</xdr:rowOff>
    </xdr:from>
    <xdr:ext cx="5715000" cy="3533775"/>
    <xdr:graphicFrame macro="">
      <xdr:nvGraphicFramePr>
        <xdr:cNvPr id="53" name="Chart 5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16</xdr:col>
      <xdr:colOff>752475</xdr:colOff>
      <xdr:row>87</xdr:row>
      <xdr:rowOff>104775</xdr:rowOff>
    </xdr:from>
    <xdr:ext cx="5715000" cy="3533775"/>
    <xdr:graphicFrame macro="">
      <xdr:nvGraphicFramePr>
        <xdr:cNvPr id="54" name="Chart 5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10</xdr:col>
      <xdr:colOff>495300</xdr:colOff>
      <xdr:row>87</xdr:row>
      <xdr:rowOff>104775</xdr:rowOff>
    </xdr:from>
    <xdr:ext cx="5715000" cy="3533775"/>
    <xdr:graphicFrame macro="">
      <xdr:nvGraphicFramePr>
        <xdr:cNvPr id="56" name="Chart 5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4</xdr:col>
      <xdr:colOff>400050</xdr:colOff>
      <xdr:row>107</xdr:row>
      <xdr:rowOff>104775</xdr:rowOff>
    </xdr:from>
    <xdr:ext cx="5715000" cy="3533775"/>
    <xdr:graphicFrame macro="">
      <xdr:nvGraphicFramePr>
        <xdr:cNvPr id="57" name="Chart 5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4</xdr:col>
      <xdr:colOff>400050</xdr:colOff>
      <xdr:row>127</xdr:row>
      <xdr:rowOff>0</xdr:rowOff>
    </xdr:from>
    <xdr:ext cx="5715000" cy="3533775"/>
    <xdr:graphicFrame macro="">
      <xdr:nvGraphicFramePr>
        <xdr:cNvPr id="59" name="Chart 59"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4</xdr:col>
      <xdr:colOff>400050</xdr:colOff>
      <xdr:row>147</xdr:row>
      <xdr:rowOff>0</xdr:rowOff>
    </xdr:from>
    <xdr:ext cx="5715000" cy="3533775"/>
    <xdr:graphicFrame macro="">
      <xdr:nvGraphicFramePr>
        <xdr:cNvPr id="61" name="Chart 6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16</xdr:col>
      <xdr:colOff>752475</xdr:colOff>
      <xdr:row>108</xdr:row>
      <xdr:rowOff>85725</xdr:rowOff>
    </xdr:from>
    <xdr:ext cx="5715000" cy="3533775"/>
    <xdr:graphicFrame macro="">
      <xdr:nvGraphicFramePr>
        <xdr:cNvPr id="62" name="Chart 6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10</xdr:col>
      <xdr:colOff>581025</xdr:colOff>
      <xdr:row>107</xdr:row>
      <xdr:rowOff>142875</xdr:rowOff>
    </xdr:from>
    <xdr:ext cx="5715000" cy="3533775"/>
    <xdr:graphicFrame macro="">
      <xdr:nvGraphicFramePr>
        <xdr:cNvPr id="64" name="Chart 6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18</xdr:col>
      <xdr:colOff>561975</xdr:colOff>
      <xdr:row>34</xdr:row>
      <xdr:rowOff>76200</xdr:rowOff>
    </xdr:from>
    <xdr:ext cx="5715000" cy="3524250"/>
    <xdr:graphicFrame macro="">
      <xdr:nvGraphicFramePr>
        <xdr:cNvPr id="66" name="Chart 6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42</xdr:col>
      <xdr:colOff>390525</xdr:colOff>
      <xdr:row>28</xdr:row>
      <xdr:rowOff>114300</xdr:rowOff>
    </xdr:from>
    <xdr:ext cx="9124950" cy="5133975"/>
    <xdr:graphicFrame macro="">
      <xdr:nvGraphicFramePr>
        <xdr:cNvPr id="67" name="Chart 6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22</xdr:col>
      <xdr:colOff>876300</xdr:colOff>
      <xdr:row>87</xdr:row>
      <xdr:rowOff>104775</xdr:rowOff>
    </xdr:from>
    <xdr:ext cx="5715000" cy="3533775"/>
    <xdr:graphicFrame macro="">
      <xdr:nvGraphicFramePr>
        <xdr:cNvPr id="68" name="Chart 6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absoluteAnchor>
    <xdr:pos x="0" y="0"/>
    <xdr:ext cx="8610600" cy="6276975"/>
    <xdr:graphicFrame macro="">
      <xdr:nvGraphicFramePr>
        <xdr:cNvPr id="69"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absoluteAnchor>
</xdr:wsDr>
</file>

<file path=xl/drawings/drawing9.xml><?xml version="1.0" encoding="utf-8"?>
<xdr:wsDr xmlns:xdr="http://schemas.openxmlformats.org/drawingml/2006/spreadsheetDrawing" xmlns:a="http://schemas.openxmlformats.org/drawingml/2006/main">
  <xdr:absoluteAnchor>
    <xdr:pos x="0" y="0"/>
    <xdr:ext cx="8610600" cy="6276975"/>
    <xdr:graphicFrame macro="">
      <xdr:nvGraphicFramePr>
        <xdr:cNvPr id="70"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absoluteAnchor>
</xdr:wsDr>
</file>

<file path=xl/tables/table1.xml><?xml version="1.0" encoding="utf-8"?>
<table xmlns="http://schemas.openxmlformats.org/spreadsheetml/2006/main" id="1" name="Table_1" displayName="Table_1" ref="B25:C33">
  <tableColumns count="2">
    <tableColumn id="1" name="2050 W+S share"/>
    <tableColumn id="2" name="Avg annual T cost ($billion)"/>
  </tableColumns>
  <tableStyleInfo name="Assumptions (T&amp;D)-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5.vml"/><Relationship Id="rId1" Type="http://schemas.openxmlformats.org/officeDocument/2006/relationships/drawing" Target="../drawings/drawing4.xml"/><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1000"/>
  <sheetViews>
    <sheetView workbookViewId="0"/>
  </sheetViews>
  <sheetFormatPr defaultColWidth="14.4609375" defaultRowHeight="15" customHeight="1"/>
  <cols>
    <col min="1" max="26" width="8.69140625" customWidth="1"/>
  </cols>
  <sheetData>
    <row r="1" spans="1:1" ht="14.6">
      <c r="A1" s="2" t="s">
        <v>1</v>
      </c>
    </row>
    <row r="2" spans="1:1" ht="14.6">
      <c r="A2" s="2" t="s">
        <v>3</v>
      </c>
    </row>
    <row r="3" spans="1:1" ht="14.6">
      <c r="A3" s="4" t="s">
        <v>4</v>
      </c>
    </row>
    <row r="4" spans="1:1" ht="14.6">
      <c r="A4" s="5" t="s">
        <v>8</v>
      </c>
    </row>
    <row r="5" spans="1:1" ht="14.6">
      <c r="A5" s="7" t="s">
        <v>10</v>
      </c>
    </row>
    <row r="6" spans="1:1" ht="14.6">
      <c r="A6" s="9" t="s">
        <v>12</v>
      </c>
    </row>
    <row r="7" spans="1:1" ht="14.6">
      <c r="A7" s="4" t="s">
        <v>14</v>
      </c>
    </row>
    <row r="8" spans="1:1" ht="14.6">
      <c r="A8" s="11" t="s">
        <v>15</v>
      </c>
    </row>
    <row r="9" spans="1:1" ht="14.6">
      <c r="A9" s="11" t="s">
        <v>17</v>
      </c>
    </row>
    <row r="10" spans="1:1" ht="14.6">
      <c r="A10" s="4" t="s">
        <v>19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Z984"/>
  <sheetViews>
    <sheetView workbookViewId="0"/>
  </sheetViews>
  <sheetFormatPr defaultColWidth="14.4609375" defaultRowHeight="15" customHeight="1"/>
  <cols>
    <col min="1" max="1" width="11.15234375" customWidth="1"/>
    <col min="2" max="2" width="25.53515625" customWidth="1"/>
    <col min="3" max="3" width="27.15234375" customWidth="1"/>
    <col min="4" max="4" width="104.4609375" customWidth="1"/>
    <col min="5" max="26" width="8.84375" customWidth="1"/>
  </cols>
  <sheetData>
    <row r="1" spans="1:26" ht="14.25" customHeight="1">
      <c r="A1" s="473" t="s">
        <v>0</v>
      </c>
      <c r="B1" s="474"/>
      <c r="C1" s="474"/>
      <c r="D1" s="474"/>
      <c r="E1" s="1"/>
      <c r="F1" s="1"/>
      <c r="G1" s="1"/>
      <c r="H1" s="1"/>
      <c r="I1" s="1"/>
      <c r="J1" s="1"/>
      <c r="K1" s="1"/>
      <c r="L1" s="1"/>
      <c r="M1" s="1"/>
      <c r="N1" s="1"/>
      <c r="O1" s="1"/>
      <c r="P1" s="1"/>
      <c r="Q1" s="1"/>
      <c r="R1" s="1"/>
      <c r="S1" s="1"/>
      <c r="T1" s="1"/>
      <c r="U1" s="1"/>
      <c r="V1" s="1"/>
      <c r="W1" s="1"/>
      <c r="X1" s="1"/>
      <c r="Y1" s="1"/>
      <c r="Z1" s="1"/>
    </row>
    <row r="2" spans="1:26" ht="12.75" customHeight="1">
      <c r="A2" s="474"/>
      <c r="B2" s="474"/>
      <c r="C2" s="474"/>
      <c r="D2" s="474"/>
      <c r="E2" s="1"/>
      <c r="F2" s="1"/>
      <c r="G2" s="1"/>
      <c r="H2" s="1"/>
      <c r="I2" s="1"/>
      <c r="J2" s="1"/>
      <c r="K2" s="1"/>
      <c r="L2" s="1"/>
      <c r="M2" s="1"/>
      <c r="N2" s="1"/>
      <c r="O2" s="1"/>
      <c r="P2" s="1"/>
      <c r="Q2" s="1"/>
      <c r="R2" s="1"/>
      <c r="S2" s="1"/>
      <c r="T2" s="1"/>
      <c r="U2" s="1"/>
      <c r="V2" s="1"/>
      <c r="W2" s="1"/>
      <c r="X2" s="1"/>
      <c r="Y2" s="1"/>
      <c r="Z2" s="1"/>
    </row>
    <row r="3" spans="1:26" ht="12.75" customHeight="1">
      <c r="A3" s="474"/>
      <c r="B3" s="474"/>
      <c r="C3" s="474"/>
      <c r="D3" s="474"/>
      <c r="E3" s="1"/>
      <c r="F3" s="1"/>
      <c r="G3" s="1"/>
      <c r="H3" s="1"/>
      <c r="I3" s="1"/>
      <c r="J3" s="1"/>
      <c r="K3" s="1"/>
      <c r="L3" s="1"/>
      <c r="M3" s="1"/>
      <c r="N3" s="1"/>
      <c r="O3" s="1"/>
      <c r="P3" s="1"/>
      <c r="Q3" s="1"/>
      <c r="R3" s="1"/>
      <c r="S3" s="1"/>
      <c r="T3" s="1"/>
      <c r="U3" s="1"/>
      <c r="V3" s="1"/>
      <c r="W3" s="1"/>
      <c r="X3" s="1"/>
      <c r="Y3" s="1"/>
      <c r="Z3" s="1"/>
    </row>
    <row r="4" spans="1:26" ht="12.75" customHeight="1">
      <c r="A4" s="474"/>
      <c r="B4" s="474"/>
      <c r="C4" s="474"/>
      <c r="D4" s="474"/>
      <c r="E4" s="1"/>
      <c r="F4" s="1"/>
      <c r="G4" s="1"/>
      <c r="H4" s="1"/>
      <c r="I4" s="1"/>
      <c r="J4" s="1"/>
      <c r="K4" s="1"/>
      <c r="L4" s="1"/>
      <c r="M4" s="1"/>
      <c r="N4" s="1"/>
      <c r="O4" s="1"/>
      <c r="P4" s="1"/>
      <c r="Q4" s="1"/>
      <c r="R4" s="1"/>
      <c r="S4" s="1"/>
      <c r="T4" s="1"/>
      <c r="U4" s="1"/>
      <c r="V4" s="1"/>
      <c r="W4" s="1"/>
      <c r="X4" s="1"/>
      <c r="Y4" s="1"/>
      <c r="Z4" s="1"/>
    </row>
    <row r="5" spans="1:26" ht="12.75" customHeight="1">
      <c r="A5" s="474"/>
      <c r="B5" s="474"/>
      <c r="C5" s="474"/>
      <c r="D5" s="474"/>
      <c r="E5" s="1"/>
      <c r="F5" s="1"/>
      <c r="G5" s="1"/>
      <c r="H5" s="1"/>
      <c r="I5" s="1"/>
      <c r="J5" s="1"/>
      <c r="K5" s="1"/>
      <c r="L5" s="1"/>
      <c r="M5" s="1"/>
      <c r="N5" s="1"/>
      <c r="O5" s="1"/>
      <c r="P5" s="1"/>
      <c r="Q5" s="1"/>
      <c r="R5" s="1"/>
      <c r="S5" s="1"/>
      <c r="T5" s="1"/>
      <c r="U5" s="1"/>
      <c r="V5" s="1"/>
      <c r="W5" s="1"/>
      <c r="X5" s="1"/>
      <c r="Y5" s="1"/>
      <c r="Z5" s="1"/>
    </row>
    <row r="6" spans="1:26" ht="12.75" customHeight="1">
      <c r="A6" s="474"/>
      <c r="B6" s="474"/>
      <c r="C6" s="474"/>
      <c r="D6" s="474"/>
      <c r="E6" s="1"/>
      <c r="F6" s="1"/>
      <c r="G6" s="1"/>
      <c r="H6" s="1"/>
      <c r="I6" s="1"/>
      <c r="J6" s="1"/>
      <c r="K6" s="1"/>
      <c r="L6" s="1"/>
      <c r="M6" s="1"/>
      <c r="N6" s="1"/>
      <c r="O6" s="1"/>
      <c r="P6" s="1"/>
      <c r="Q6" s="1"/>
      <c r="R6" s="1"/>
      <c r="S6" s="1"/>
      <c r="T6" s="1"/>
      <c r="U6" s="1"/>
      <c r="V6" s="1"/>
      <c r="W6" s="1"/>
      <c r="X6" s="1"/>
      <c r="Y6" s="1"/>
      <c r="Z6" s="1"/>
    </row>
    <row r="7" spans="1:26" ht="12.75" customHeight="1">
      <c r="A7" s="474"/>
      <c r="B7" s="474"/>
      <c r="C7" s="474"/>
      <c r="D7" s="474"/>
      <c r="E7" s="1"/>
      <c r="F7" s="1"/>
      <c r="G7" s="1"/>
      <c r="H7" s="1"/>
      <c r="I7" s="1"/>
      <c r="J7" s="1"/>
      <c r="K7" s="1"/>
      <c r="L7" s="1"/>
      <c r="M7" s="1"/>
      <c r="N7" s="1"/>
      <c r="O7" s="1"/>
      <c r="P7" s="1"/>
      <c r="Q7" s="1"/>
      <c r="R7" s="1"/>
      <c r="S7" s="1"/>
      <c r="T7" s="1"/>
      <c r="U7" s="1"/>
      <c r="V7" s="1"/>
      <c r="W7" s="1"/>
      <c r="X7" s="1"/>
      <c r="Y7" s="1"/>
      <c r="Z7" s="1"/>
    </row>
    <row r="8" spans="1:26" ht="12.75" customHeight="1">
      <c r="A8" s="3" t="s">
        <v>2</v>
      </c>
      <c r="B8" s="3" t="s">
        <v>5</v>
      </c>
      <c r="C8" s="3" t="s">
        <v>6</v>
      </c>
      <c r="D8" s="3" t="s">
        <v>7</v>
      </c>
      <c r="E8" s="3"/>
      <c r="F8" s="3"/>
      <c r="G8" s="3"/>
      <c r="H8" s="3"/>
      <c r="I8" s="3"/>
      <c r="J8" s="3"/>
      <c r="K8" s="3"/>
      <c r="L8" s="3"/>
      <c r="M8" s="3"/>
      <c r="N8" s="3"/>
      <c r="O8" s="3"/>
      <c r="P8" s="3"/>
      <c r="Q8" s="3"/>
      <c r="R8" s="3"/>
      <c r="S8" s="3"/>
      <c r="T8" s="3"/>
      <c r="U8" s="3"/>
      <c r="V8" s="3"/>
      <c r="W8" s="3"/>
      <c r="X8" s="3"/>
      <c r="Y8" s="3"/>
      <c r="Z8" s="3"/>
    </row>
    <row r="9" spans="1:26" ht="12.75" customHeight="1">
      <c r="A9" s="6" t="s">
        <v>9</v>
      </c>
      <c r="B9" s="1"/>
      <c r="C9" s="8" t="s">
        <v>11</v>
      </c>
      <c r="D9" s="10" t="s">
        <v>13</v>
      </c>
      <c r="E9" s="1"/>
      <c r="F9" s="1"/>
      <c r="G9" s="1"/>
      <c r="H9" s="1"/>
      <c r="I9" s="1"/>
      <c r="J9" s="1"/>
      <c r="K9" s="1"/>
      <c r="L9" s="1"/>
      <c r="M9" s="1"/>
      <c r="N9" s="1"/>
      <c r="O9" s="1"/>
      <c r="P9" s="1"/>
      <c r="Q9" s="1"/>
      <c r="R9" s="1"/>
      <c r="S9" s="1"/>
      <c r="T9" s="1"/>
      <c r="U9" s="1"/>
      <c r="V9" s="1"/>
      <c r="W9" s="1"/>
      <c r="X9" s="1"/>
      <c r="Y9" s="1"/>
      <c r="Z9" s="1"/>
    </row>
    <row r="10" spans="1:26" ht="12.75" customHeight="1">
      <c r="A10" s="6" t="s">
        <v>16</v>
      </c>
      <c r="B10" s="1"/>
      <c r="C10" s="12" t="s">
        <v>18</v>
      </c>
      <c r="D10" s="13" t="s">
        <v>20</v>
      </c>
      <c r="E10" s="1"/>
      <c r="F10" s="1"/>
      <c r="G10" s="1"/>
      <c r="H10" s="1"/>
      <c r="I10" s="1"/>
      <c r="J10" s="1"/>
      <c r="K10" s="1"/>
      <c r="L10" s="1"/>
      <c r="M10" s="1"/>
      <c r="N10" s="1"/>
      <c r="O10" s="1"/>
      <c r="P10" s="1"/>
      <c r="Q10" s="1"/>
      <c r="R10" s="1"/>
      <c r="S10" s="1"/>
      <c r="T10" s="1"/>
      <c r="U10" s="1"/>
      <c r="V10" s="1"/>
      <c r="W10" s="1"/>
      <c r="X10" s="1"/>
      <c r="Y10" s="1"/>
      <c r="Z10" s="1"/>
    </row>
    <row r="11" spans="1:26" ht="12.75" customHeight="1">
      <c r="A11" s="6" t="s">
        <v>21</v>
      </c>
      <c r="B11" s="1"/>
      <c r="C11" s="8" t="s">
        <v>22</v>
      </c>
      <c r="D11" s="14" t="s">
        <v>23</v>
      </c>
      <c r="E11" s="1"/>
      <c r="F11" s="1"/>
      <c r="G11" s="1"/>
      <c r="H11" s="1"/>
      <c r="I11" s="1"/>
      <c r="J11" s="1"/>
      <c r="K11" s="1"/>
      <c r="L11" s="1"/>
      <c r="M11" s="1"/>
      <c r="N11" s="1"/>
      <c r="O11" s="1"/>
      <c r="P11" s="1"/>
      <c r="Q11" s="1"/>
      <c r="R11" s="1"/>
      <c r="S11" s="1"/>
      <c r="T11" s="1"/>
      <c r="U11" s="1"/>
      <c r="V11" s="1"/>
      <c r="W11" s="1"/>
      <c r="X11" s="1"/>
      <c r="Y11" s="1"/>
      <c r="Z11" s="1"/>
    </row>
    <row r="12" spans="1:26" ht="12.75" customHeight="1">
      <c r="A12" s="15" t="s">
        <v>24</v>
      </c>
      <c r="B12" s="1"/>
      <c r="C12" s="10"/>
      <c r="D12" s="16"/>
      <c r="E12" s="1"/>
      <c r="F12" s="1"/>
      <c r="G12" s="1"/>
      <c r="H12" s="1"/>
      <c r="I12" s="1"/>
      <c r="J12" s="1"/>
      <c r="K12" s="1"/>
      <c r="L12" s="1"/>
      <c r="M12" s="1"/>
      <c r="N12" s="1"/>
      <c r="O12" s="1"/>
      <c r="P12" s="1"/>
      <c r="Q12" s="1"/>
      <c r="R12" s="1"/>
      <c r="S12" s="1"/>
      <c r="T12" s="1"/>
      <c r="U12" s="1"/>
      <c r="V12" s="1"/>
      <c r="W12" s="1"/>
      <c r="X12" s="1"/>
      <c r="Y12" s="1"/>
      <c r="Z12" s="1"/>
    </row>
    <row r="13" spans="1:26" ht="12.75" customHeight="1">
      <c r="A13" s="1"/>
      <c r="B13" s="17" t="s">
        <v>25</v>
      </c>
      <c r="C13" s="10" t="s">
        <v>26</v>
      </c>
      <c r="D13" s="8" t="s">
        <v>27</v>
      </c>
      <c r="E13" s="1"/>
      <c r="F13" s="1"/>
      <c r="G13" s="1"/>
      <c r="H13" s="1"/>
      <c r="I13" s="1"/>
      <c r="J13" s="1"/>
      <c r="K13" s="1"/>
      <c r="L13" s="1"/>
      <c r="M13" s="1"/>
      <c r="N13" s="1"/>
      <c r="O13" s="1"/>
      <c r="P13" s="1"/>
      <c r="Q13" s="1"/>
      <c r="R13" s="1"/>
      <c r="S13" s="1"/>
      <c r="T13" s="1"/>
      <c r="U13" s="1"/>
      <c r="V13" s="1"/>
      <c r="W13" s="1"/>
      <c r="X13" s="1"/>
      <c r="Y13" s="1"/>
      <c r="Z13" s="1"/>
    </row>
    <row r="14" spans="1:26" ht="12.75" customHeight="1">
      <c r="A14" s="1"/>
      <c r="B14" s="17" t="s">
        <v>28</v>
      </c>
      <c r="C14" s="10" t="s">
        <v>29</v>
      </c>
      <c r="D14" s="8" t="s">
        <v>30</v>
      </c>
      <c r="E14" s="1"/>
      <c r="F14" s="1"/>
      <c r="G14" s="1"/>
      <c r="H14" s="1"/>
      <c r="I14" s="1"/>
      <c r="J14" s="1"/>
      <c r="K14" s="1"/>
      <c r="L14" s="1"/>
      <c r="M14" s="1"/>
      <c r="N14" s="1"/>
      <c r="O14" s="1"/>
      <c r="P14" s="1"/>
      <c r="Q14" s="1"/>
      <c r="R14" s="1"/>
      <c r="S14" s="1"/>
      <c r="T14" s="1"/>
      <c r="U14" s="1"/>
      <c r="V14" s="1"/>
      <c r="W14" s="1"/>
      <c r="X14" s="1"/>
      <c r="Y14" s="1"/>
      <c r="Z14" s="1"/>
    </row>
    <row r="15" spans="1:26" ht="53.25" customHeight="1">
      <c r="A15" s="1"/>
      <c r="B15" s="17" t="s">
        <v>31</v>
      </c>
      <c r="C15" s="10" t="s">
        <v>32</v>
      </c>
      <c r="D15" s="8" t="s">
        <v>33</v>
      </c>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7" t="s">
        <v>34</v>
      </c>
      <c r="C16" s="10" t="s">
        <v>32</v>
      </c>
      <c r="D16" s="10" t="s">
        <v>35</v>
      </c>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7" t="s">
        <v>36</v>
      </c>
      <c r="C17" s="10" t="s">
        <v>32</v>
      </c>
      <c r="D17" s="8" t="s">
        <v>37</v>
      </c>
      <c r="E17" s="1"/>
      <c r="F17" s="1"/>
      <c r="G17" s="1"/>
      <c r="H17" s="1"/>
      <c r="I17" s="1"/>
      <c r="J17" s="1"/>
      <c r="K17" s="1"/>
      <c r="L17" s="1"/>
      <c r="M17" s="1"/>
      <c r="N17" s="1"/>
      <c r="O17" s="1"/>
      <c r="P17" s="1"/>
      <c r="Q17" s="1"/>
      <c r="R17" s="1"/>
      <c r="S17" s="1"/>
      <c r="T17" s="1"/>
      <c r="U17" s="1"/>
      <c r="V17" s="1"/>
      <c r="W17" s="1"/>
      <c r="X17" s="1"/>
      <c r="Y17" s="1"/>
      <c r="Z17" s="1"/>
    </row>
    <row r="18" spans="1:26" ht="42.75" customHeight="1">
      <c r="A18" s="1"/>
      <c r="B18" s="17" t="s">
        <v>38</v>
      </c>
      <c r="C18" s="10" t="s">
        <v>32</v>
      </c>
      <c r="D18" s="8" t="s">
        <v>39</v>
      </c>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7" t="s">
        <v>40</v>
      </c>
      <c r="C19" s="10" t="s">
        <v>32</v>
      </c>
      <c r="D19" s="10" t="s">
        <v>41</v>
      </c>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7" t="s">
        <v>42</v>
      </c>
      <c r="C20" s="10" t="s">
        <v>32</v>
      </c>
      <c r="D20" s="10" t="s">
        <v>43</v>
      </c>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7" t="s">
        <v>44</v>
      </c>
      <c r="C21" s="10" t="s">
        <v>32</v>
      </c>
      <c r="D21" s="10" t="s">
        <v>45</v>
      </c>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7" t="s">
        <v>46</v>
      </c>
      <c r="C22" s="10" t="s">
        <v>32</v>
      </c>
      <c r="D22" s="10" t="s">
        <v>47</v>
      </c>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7" t="s">
        <v>48</v>
      </c>
      <c r="C23" s="10" t="s">
        <v>32</v>
      </c>
      <c r="D23" s="10" t="s">
        <v>49</v>
      </c>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7" t="s">
        <v>50</v>
      </c>
      <c r="C24" s="10" t="s">
        <v>32</v>
      </c>
      <c r="D24" s="10" t="s">
        <v>51</v>
      </c>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7" t="s">
        <v>52</v>
      </c>
      <c r="C25" s="10" t="s">
        <v>32</v>
      </c>
      <c r="D25" s="10" t="s">
        <v>53</v>
      </c>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7" t="s">
        <v>54</v>
      </c>
      <c r="C26" s="10" t="s">
        <v>32</v>
      </c>
      <c r="D26" s="10" t="s">
        <v>55</v>
      </c>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7" t="s">
        <v>56</v>
      </c>
      <c r="C27" s="10" t="s">
        <v>32</v>
      </c>
      <c r="D27" s="10" t="s">
        <v>57</v>
      </c>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7" t="s">
        <v>58</v>
      </c>
      <c r="C28" s="10" t="s">
        <v>32</v>
      </c>
      <c r="D28" s="10" t="s">
        <v>59</v>
      </c>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7" t="s">
        <v>60</v>
      </c>
      <c r="C29" s="10" t="s">
        <v>32</v>
      </c>
      <c r="D29" s="10" t="s">
        <v>61</v>
      </c>
      <c r="E29" s="1"/>
      <c r="F29" s="1"/>
      <c r="G29" s="1"/>
      <c r="H29" s="1"/>
      <c r="I29" s="1"/>
      <c r="J29" s="1"/>
      <c r="K29" s="1"/>
      <c r="L29" s="1"/>
      <c r="M29" s="1"/>
      <c r="N29" s="1"/>
      <c r="O29" s="1"/>
      <c r="P29" s="1"/>
      <c r="Q29" s="1"/>
      <c r="R29" s="1"/>
      <c r="S29" s="1"/>
      <c r="T29" s="1"/>
      <c r="U29" s="1"/>
      <c r="V29" s="1"/>
      <c r="W29" s="1"/>
      <c r="X29" s="1"/>
      <c r="Y29" s="1"/>
      <c r="Z29" s="1"/>
    </row>
    <row r="30" spans="1:26" ht="57" customHeight="1">
      <c r="A30" s="1"/>
      <c r="B30" s="17" t="s">
        <v>62</v>
      </c>
      <c r="C30" s="10" t="s">
        <v>32</v>
      </c>
      <c r="D30" s="18" t="s">
        <v>63</v>
      </c>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7" t="s">
        <v>64</v>
      </c>
      <c r="C31" s="10" t="s">
        <v>32</v>
      </c>
      <c r="D31" s="18" t="s">
        <v>65</v>
      </c>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7" t="s">
        <v>66</v>
      </c>
      <c r="C32" s="10" t="s">
        <v>32</v>
      </c>
      <c r="D32" s="3" t="s">
        <v>67</v>
      </c>
      <c r="E32" s="1"/>
      <c r="F32" s="1"/>
      <c r="G32" s="1"/>
      <c r="H32" s="1"/>
      <c r="I32" s="1"/>
      <c r="J32" s="1"/>
      <c r="K32" s="1"/>
      <c r="L32" s="1"/>
      <c r="M32" s="1"/>
      <c r="N32" s="1"/>
      <c r="O32" s="1"/>
      <c r="P32" s="1"/>
      <c r="Q32" s="1"/>
      <c r="R32" s="1"/>
      <c r="S32" s="1"/>
      <c r="T32" s="1"/>
      <c r="U32" s="1"/>
      <c r="V32" s="1"/>
      <c r="W32" s="1"/>
      <c r="X32" s="1"/>
      <c r="Y32" s="1"/>
      <c r="Z32" s="1"/>
    </row>
    <row r="33" spans="1:26" ht="12.75" customHeight="1">
      <c r="A33" s="15" t="s">
        <v>68</v>
      </c>
      <c r="B33" s="1"/>
      <c r="C33" s="1"/>
      <c r="D33" s="18" t="s">
        <v>69</v>
      </c>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7" t="s">
        <v>70</v>
      </c>
      <c r="C34" s="1"/>
      <c r="D34" s="18" t="s">
        <v>71</v>
      </c>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7" t="s">
        <v>72</v>
      </c>
      <c r="C35" s="1"/>
      <c r="D35" s="19" t="s">
        <v>73</v>
      </c>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7" t="s">
        <v>74</v>
      </c>
      <c r="C36" s="1"/>
      <c r="D36" s="18" t="s">
        <v>75</v>
      </c>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7" t="s">
        <v>76</v>
      </c>
      <c r="C37" s="1"/>
      <c r="D37" s="18" t="s">
        <v>77</v>
      </c>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7" t="s">
        <v>78</v>
      </c>
      <c r="C38" s="1"/>
      <c r="D38" s="18" t="s">
        <v>79</v>
      </c>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7" t="s">
        <v>80</v>
      </c>
      <c r="C39" s="1"/>
      <c r="D39" s="18" t="s">
        <v>81</v>
      </c>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7" t="s">
        <v>82</v>
      </c>
      <c r="C40" s="1"/>
      <c r="D40" s="18" t="s">
        <v>83</v>
      </c>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7" t="s">
        <v>84</v>
      </c>
      <c r="C41" s="1"/>
      <c r="D41" s="18" t="s">
        <v>85</v>
      </c>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7" t="s">
        <v>86</v>
      </c>
      <c r="C42" s="1"/>
      <c r="D42" s="18" t="s">
        <v>87</v>
      </c>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7" t="s">
        <v>88</v>
      </c>
      <c r="C43" s="1"/>
      <c r="D43" s="18" t="s">
        <v>89</v>
      </c>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7" t="s">
        <v>90</v>
      </c>
      <c r="C44" s="1"/>
      <c r="D44" s="18" t="s">
        <v>91</v>
      </c>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7" t="s">
        <v>92</v>
      </c>
      <c r="C45" s="1"/>
      <c r="D45" s="19" t="s">
        <v>93</v>
      </c>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7" t="s">
        <v>94</v>
      </c>
      <c r="C46" s="1"/>
      <c r="D46" s="18" t="s">
        <v>95</v>
      </c>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7" t="s">
        <v>96</v>
      </c>
      <c r="C47" s="1"/>
      <c r="D47" s="18" t="s">
        <v>97</v>
      </c>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7" t="s">
        <v>98</v>
      </c>
      <c r="C48" s="1"/>
      <c r="D48" s="19" t="s">
        <v>99</v>
      </c>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7" t="s">
        <v>100</v>
      </c>
      <c r="C49" s="1"/>
      <c r="D49" s="18" t="s">
        <v>101</v>
      </c>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7" t="s">
        <v>102</v>
      </c>
      <c r="C50" s="1"/>
      <c r="D50" s="18" t="s">
        <v>103</v>
      </c>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7" t="s">
        <v>104</v>
      </c>
      <c r="C51" s="1"/>
      <c r="D51" s="18" t="s">
        <v>105</v>
      </c>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7" t="s">
        <v>106</v>
      </c>
      <c r="C52" s="1"/>
      <c r="D52" s="19" t="s">
        <v>73</v>
      </c>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7" t="s">
        <v>107</v>
      </c>
      <c r="C53" s="1"/>
      <c r="D53" s="18" t="s">
        <v>108</v>
      </c>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7" t="s">
        <v>109</v>
      </c>
      <c r="C54" s="1"/>
      <c r="D54" s="18" t="s">
        <v>110</v>
      </c>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7" t="s">
        <v>111</v>
      </c>
      <c r="C55" s="1"/>
      <c r="D55" s="19" t="s">
        <v>67</v>
      </c>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7" t="s">
        <v>112</v>
      </c>
      <c r="C56" s="1"/>
      <c r="D56" s="18" t="s">
        <v>113</v>
      </c>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7" t="s">
        <v>114</v>
      </c>
      <c r="C57" s="1"/>
      <c r="D57" s="19" t="s">
        <v>115</v>
      </c>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7" t="s">
        <v>116</v>
      </c>
      <c r="C58" s="1" t="s">
        <v>117</v>
      </c>
      <c r="D58" s="18" t="s">
        <v>118</v>
      </c>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7" t="s">
        <v>119</v>
      </c>
      <c r="C59" s="1"/>
      <c r="D59" s="18" t="s">
        <v>120</v>
      </c>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7" t="s">
        <v>121</v>
      </c>
      <c r="C60" s="1" t="s">
        <v>117</v>
      </c>
      <c r="D60" s="18" t="s">
        <v>118</v>
      </c>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7" t="s">
        <v>122</v>
      </c>
      <c r="C61" s="1" t="s">
        <v>117</v>
      </c>
      <c r="D61" s="18" t="s">
        <v>118</v>
      </c>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7" t="s">
        <v>123</v>
      </c>
      <c r="C62" s="1" t="s">
        <v>124</v>
      </c>
      <c r="D62" s="18" t="s">
        <v>125</v>
      </c>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7" t="s">
        <v>126</v>
      </c>
      <c r="C63" s="1"/>
      <c r="D63" s="18" t="s">
        <v>127</v>
      </c>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7" t="s">
        <v>128</v>
      </c>
      <c r="C64" s="1"/>
      <c r="D64" s="18" t="s">
        <v>129</v>
      </c>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7" t="s">
        <v>130</v>
      </c>
      <c r="C65" s="1"/>
      <c r="D65" s="18" t="s">
        <v>131</v>
      </c>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7" t="s">
        <v>132</v>
      </c>
      <c r="C66" s="1"/>
      <c r="D66" s="19" t="s">
        <v>133</v>
      </c>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7" t="s">
        <v>134</v>
      </c>
      <c r="C67" s="1"/>
      <c r="D67" s="18" t="s">
        <v>135</v>
      </c>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7" t="s">
        <v>136</v>
      </c>
      <c r="C68" s="1"/>
      <c r="D68" s="18" t="s">
        <v>135</v>
      </c>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7" t="s">
        <v>137</v>
      </c>
      <c r="C69" s="18" t="s">
        <v>138</v>
      </c>
      <c r="D69" s="18"/>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7" t="s">
        <v>139</v>
      </c>
      <c r="C70" s="1" t="s">
        <v>117</v>
      </c>
      <c r="D70" s="18"/>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7" t="s">
        <v>140</v>
      </c>
      <c r="C71" s="18" t="s">
        <v>141</v>
      </c>
      <c r="D71" s="18" t="s">
        <v>142</v>
      </c>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sheetData>
  <mergeCells count="1">
    <mergeCell ref="A1:D7"/>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tabSelected="1" workbookViewId="0">
      <selection activeCell="C3" sqref="C3"/>
    </sheetView>
  </sheetViews>
  <sheetFormatPr defaultRowHeight="14.6"/>
  <cols>
    <col min="12" max="13" width="11.23046875" customWidth="1"/>
  </cols>
  <sheetData>
    <row r="1" spans="1:13">
      <c r="A1" t="s">
        <v>895</v>
      </c>
      <c r="B1" t="s">
        <v>896</v>
      </c>
      <c r="C1" t="s">
        <v>897</v>
      </c>
      <c r="D1" t="s">
        <v>898</v>
      </c>
      <c r="E1" t="s">
        <v>899</v>
      </c>
      <c r="F1" t="s">
        <v>900</v>
      </c>
    </row>
    <row r="10" spans="1:13">
      <c r="L10" t="s">
        <v>902</v>
      </c>
      <c r="M10" t="s">
        <v>901</v>
      </c>
    </row>
    <row r="11" spans="1:13">
      <c r="L11">
        <v>4.2</v>
      </c>
      <c r="M11">
        <f>L11*2</f>
        <v>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7"/>
  <sheetViews>
    <sheetView workbookViewId="0"/>
  </sheetViews>
  <sheetFormatPr defaultColWidth="14.4609375" defaultRowHeight="15" customHeight="1"/>
  <cols>
    <col min="1" max="1" width="55.3046875" customWidth="1"/>
    <col min="2" max="2" width="12.15234375" customWidth="1"/>
    <col min="3" max="3" width="10.3046875" customWidth="1"/>
    <col min="4" max="4" width="8.84375" customWidth="1"/>
    <col min="5" max="5" width="11.69140625" customWidth="1"/>
    <col min="6" max="6" width="12.3046875" customWidth="1"/>
    <col min="7" max="7" width="15.84375" customWidth="1"/>
    <col min="8" max="8" width="10.53515625" customWidth="1"/>
    <col min="9" max="90" width="8.69140625" customWidth="1"/>
  </cols>
  <sheetData>
    <row r="1" spans="1:10" ht="15.75" customHeight="1">
      <c r="A1" s="20"/>
      <c r="B1" s="47" t="s">
        <v>172</v>
      </c>
      <c r="C1" s="48" t="s">
        <v>173</v>
      </c>
      <c r="E1" s="475" t="s">
        <v>149</v>
      </c>
      <c r="F1" s="476"/>
      <c r="H1" s="477" t="s">
        <v>149</v>
      </c>
      <c r="I1" s="476"/>
    </row>
    <row r="2" spans="1:10" ht="15.75" customHeight="1">
      <c r="A2" s="23" t="s">
        <v>150</v>
      </c>
      <c r="B2" s="47">
        <v>2050</v>
      </c>
      <c r="C2" s="49" t="s">
        <v>174</v>
      </c>
      <c r="D2" s="50">
        <v>2050</v>
      </c>
      <c r="E2" s="26" t="s">
        <v>152</v>
      </c>
      <c r="F2" s="26" t="s">
        <v>153</v>
      </c>
      <c r="H2" s="51" t="s">
        <v>152</v>
      </c>
      <c r="I2" s="51" t="s">
        <v>153</v>
      </c>
    </row>
    <row r="3" spans="1:10" ht="15.75" customHeight="1">
      <c r="A3" s="20" t="s">
        <v>154</v>
      </c>
      <c r="B3" s="52">
        <v>0.2157</v>
      </c>
      <c r="C3" s="53">
        <v>0.28199999999999997</v>
      </c>
      <c r="D3" s="54">
        <f t="shared" ref="D3:D15" si="0">F3/$F$16</f>
        <v>1.5762395786292906E-10</v>
      </c>
      <c r="E3" s="55">
        <f t="shared" ref="E3:F3" si="1">H3</f>
        <v>0.1</v>
      </c>
      <c r="F3" s="56">
        <f t="shared" si="1"/>
        <v>9.9999999999999995E-8</v>
      </c>
      <c r="G3" s="20" t="s">
        <v>154</v>
      </c>
      <c r="H3" s="57">
        <v>0.1</v>
      </c>
      <c r="I3" s="58">
        <v>9.9999999999999995E-8</v>
      </c>
      <c r="J3" s="59">
        <f t="shared" ref="J3:J15" si="2">I3/SUM($I$3:$I$13)</f>
        <v>1.5762395786292906E-10</v>
      </c>
    </row>
    <row r="4" spans="1:10" ht="15.75" customHeight="1">
      <c r="A4" s="20" t="s">
        <v>155</v>
      </c>
      <c r="B4" s="52">
        <v>0.1176</v>
      </c>
      <c r="C4" s="53">
        <v>0.18099999999999999</v>
      </c>
      <c r="D4" s="54">
        <f t="shared" si="0"/>
        <v>0</v>
      </c>
      <c r="E4" s="55">
        <f t="shared" ref="E4:F4" si="3">H4</f>
        <v>0</v>
      </c>
      <c r="F4" s="56">
        <f t="shared" si="3"/>
        <v>0</v>
      </c>
      <c r="G4" s="20" t="s">
        <v>155</v>
      </c>
      <c r="H4" s="57">
        <v>0</v>
      </c>
      <c r="I4" s="58">
        <v>0</v>
      </c>
      <c r="J4" s="59">
        <f t="shared" si="2"/>
        <v>0</v>
      </c>
    </row>
    <row r="5" spans="1:10" ht="15.75" customHeight="1">
      <c r="A5" s="20" t="s">
        <v>146</v>
      </c>
      <c r="B5" s="60" t="s">
        <v>175</v>
      </c>
      <c r="C5" s="61" t="s">
        <v>176</v>
      </c>
      <c r="D5" s="54">
        <f t="shared" si="0"/>
        <v>8.0337909809154965E-16</v>
      </c>
      <c r="E5" s="62">
        <f t="shared" ref="E5:F5" si="4">H5</f>
        <v>2.7648638933896998E-10</v>
      </c>
      <c r="F5" s="56">
        <f t="shared" si="4"/>
        <v>5.0968083087354899E-13</v>
      </c>
      <c r="G5" s="63" t="s">
        <v>177</v>
      </c>
      <c r="H5" s="64">
        <v>2.7648638933896998E-10</v>
      </c>
      <c r="I5" s="58">
        <v>5.0968083087354899E-13</v>
      </c>
      <c r="J5" s="59">
        <f t="shared" si="2"/>
        <v>8.0337909809154965E-16</v>
      </c>
    </row>
    <row r="6" spans="1:10" ht="15.75" customHeight="1">
      <c r="A6" s="63" t="s">
        <v>178</v>
      </c>
      <c r="B6" s="65" t="s">
        <v>178</v>
      </c>
      <c r="C6" s="66" t="s">
        <v>178</v>
      </c>
      <c r="D6" s="54">
        <f t="shared" si="0"/>
        <v>1.2744487861927307E-6</v>
      </c>
      <c r="E6" s="62">
        <f t="shared" ref="E6:F6" si="5">H6</f>
        <v>808.53748651951901</v>
      </c>
      <c r="F6" s="56">
        <f t="shared" si="5"/>
        <v>8.0853748597088302E-4</v>
      </c>
      <c r="G6" s="63" t="s">
        <v>179</v>
      </c>
      <c r="H6" s="64">
        <v>808.53748651951901</v>
      </c>
      <c r="I6" s="58">
        <v>8.0853748597088302E-4</v>
      </c>
      <c r="J6" s="59">
        <f t="shared" si="2"/>
        <v>1.2744487861927307E-6</v>
      </c>
    </row>
    <row r="7" spans="1:10" ht="15.75" customHeight="1">
      <c r="A7" s="20" t="s">
        <v>156</v>
      </c>
      <c r="B7" s="52">
        <v>5.5E-2</v>
      </c>
      <c r="C7" s="53">
        <v>7.9708681057781283E-2</v>
      </c>
      <c r="D7" s="54">
        <f t="shared" si="0"/>
        <v>0</v>
      </c>
      <c r="E7" s="55">
        <f t="shared" ref="E7:F7" si="6">H7</f>
        <v>0</v>
      </c>
      <c r="F7" s="56">
        <f t="shared" si="6"/>
        <v>0</v>
      </c>
      <c r="G7" s="20" t="s">
        <v>156</v>
      </c>
      <c r="H7" s="57">
        <v>0</v>
      </c>
      <c r="I7" s="58">
        <v>0</v>
      </c>
      <c r="J7" s="59">
        <f t="shared" si="2"/>
        <v>0</v>
      </c>
    </row>
    <row r="8" spans="1:10" ht="15.75" customHeight="1">
      <c r="A8" s="20" t="s">
        <v>157</v>
      </c>
      <c r="B8" s="52">
        <v>0.14419999999999999</v>
      </c>
      <c r="C8" s="53">
        <v>2.6480274320664382E-2</v>
      </c>
      <c r="D8" s="54">
        <f t="shared" si="0"/>
        <v>0.50004507531347531</v>
      </c>
      <c r="E8" s="62">
        <f t="shared" ref="E8:F8" si="7">H8</f>
        <v>16343131.7952</v>
      </c>
      <c r="F8" s="56">
        <f t="shared" si="7"/>
        <v>317.23925860833799</v>
      </c>
      <c r="G8" s="20" t="s">
        <v>157</v>
      </c>
      <c r="H8" s="64">
        <v>16343131.7952</v>
      </c>
      <c r="I8" s="58">
        <v>317.23925860833799</v>
      </c>
      <c r="J8" s="59">
        <f t="shared" si="2"/>
        <v>0.50004507531347531</v>
      </c>
    </row>
    <row r="9" spans="1:10" ht="15.75" customHeight="1">
      <c r="A9" s="20" t="s">
        <v>158</v>
      </c>
      <c r="B9" s="52">
        <v>8.2400000000000001E-2</v>
      </c>
      <c r="C9" s="53">
        <v>7.7286000203760072E-2</v>
      </c>
      <c r="D9" s="54">
        <f t="shared" si="0"/>
        <v>0.49995364960724215</v>
      </c>
      <c r="E9" s="62">
        <f t="shared" ref="E9:F9" si="8">H9</f>
        <v>1844689.7722823599</v>
      </c>
      <c r="F9" s="56">
        <f t="shared" si="8"/>
        <v>317.18125619076602</v>
      </c>
      <c r="G9" s="20" t="s">
        <v>158</v>
      </c>
      <c r="H9" s="64">
        <v>1844689.7722823599</v>
      </c>
      <c r="I9" s="58">
        <v>317.18125619076602</v>
      </c>
      <c r="J9" s="59">
        <f t="shared" si="2"/>
        <v>0.49995364960724215</v>
      </c>
    </row>
    <row r="10" spans="1:10" ht="15.75" customHeight="1">
      <c r="A10" s="20" t="s">
        <v>159</v>
      </c>
      <c r="B10" s="52">
        <v>1.2E-2</v>
      </c>
      <c r="C10" s="53">
        <v>4.7167477180375698E-3</v>
      </c>
      <c r="D10" s="54">
        <f t="shared" si="0"/>
        <v>1.5762395786292906E-10</v>
      </c>
      <c r="E10" s="55">
        <f t="shared" ref="E10:F10" si="9">H10</f>
        <v>0.1</v>
      </c>
      <c r="F10" s="56">
        <f t="shared" si="9"/>
        <v>9.9999999999999995E-8</v>
      </c>
      <c r="G10" s="20" t="s">
        <v>159</v>
      </c>
      <c r="H10" s="57">
        <v>0.1</v>
      </c>
      <c r="I10" s="58">
        <v>9.9999999999999995E-8</v>
      </c>
      <c r="J10" s="59">
        <f t="shared" si="2"/>
        <v>1.5762395786292906E-10</v>
      </c>
    </row>
    <row r="11" spans="1:10" ht="15.75" customHeight="1">
      <c r="A11" s="20" t="s">
        <v>160</v>
      </c>
      <c r="B11" s="52">
        <v>5.0000000000000001E-3</v>
      </c>
      <c r="C11" s="53">
        <v>6.801987913880132E-3</v>
      </c>
      <c r="D11" s="54">
        <f t="shared" si="0"/>
        <v>8.6693176824610987E-11</v>
      </c>
      <c r="E11" s="62">
        <f>0.5*H11</f>
        <v>0.05</v>
      </c>
      <c r="F11" s="55">
        <f>0.55*I11</f>
        <v>5.5000000000000003E-8</v>
      </c>
      <c r="G11" s="20" t="s">
        <v>148</v>
      </c>
      <c r="H11" s="64">
        <v>0.1</v>
      </c>
      <c r="I11" s="58">
        <v>9.9999999999999995E-8</v>
      </c>
      <c r="J11" s="59">
        <f t="shared" si="2"/>
        <v>1.5762395786292906E-10</v>
      </c>
    </row>
    <row r="12" spans="1:10" ht="15.75" customHeight="1">
      <c r="A12" s="20" t="s">
        <v>161</v>
      </c>
      <c r="B12" s="52">
        <v>7.0000000000000001E-3</v>
      </c>
      <c r="C12" s="53">
        <v>8.5427809696170635E-3</v>
      </c>
      <c r="D12" s="54">
        <f t="shared" si="0"/>
        <v>7.0930781038318081E-11</v>
      </c>
      <c r="E12" s="62">
        <f>0.5*H11</f>
        <v>0.05</v>
      </c>
      <c r="F12" s="67">
        <f>0.45*I11</f>
        <v>4.4999999999999999E-8</v>
      </c>
      <c r="G12" s="20" t="s">
        <v>162</v>
      </c>
      <c r="H12" s="57">
        <v>0</v>
      </c>
      <c r="I12" s="58">
        <v>0</v>
      </c>
      <c r="J12" s="59">
        <f t="shared" si="2"/>
        <v>0</v>
      </c>
    </row>
    <row r="13" spans="1:10" ht="15.75" customHeight="1">
      <c r="A13" s="20" t="s">
        <v>162</v>
      </c>
      <c r="B13" s="52">
        <v>4.0000000000000001E-3</v>
      </c>
      <c r="C13" s="53">
        <v>6.0000000000000001E-3</v>
      </c>
      <c r="D13" s="54">
        <f t="shared" si="0"/>
        <v>0</v>
      </c>
      <c r="E13" s="55">
        <f t="shared" ref="E13:F13" si="10">H12</f>
        <v>0</v>
      </c>
      <c r="F13" s="56">
        <f t="shared" si="10"/>
        <v>0</v>
      </c>
      <c r="G13" s="20" t="s">
        <v>163</v>
      </c>
      <c r="H13" s="64">
        <v>0.1</v>
      </c>
      <c r="I13" s="58">
        <v>9.9999999999999995E-8</v>
      </c>
      <c r="J13" s="59">
        <f t="shared" si="2"/>
        <v>1.5762395786292906E-10</v>
      </c>
    </row>
    <row r="14" spans="1:10" ht="15.75" customHeight="1">
      <c r="A14" s="20" t="s">
        <v>163</v>
      </c>
      <c r="B14" s="52">
        <v>2E-3</v>
      </c>
      <c r="C14" s="53">
        <v>3.0000000000000001E-3</v>
      </c>
      <c r="D14" s="54">
        <f t="shared" si="0"/>
        <v>1.5762395786292906E-10</v>
      </c>
      <c r="E14" s="62">
        <f t="shared" ref="E14:F14" si="11">H13</f>
        <v>0.1</v>
      </c>
      <c r="F14" s="56">
        <f t="shared" si="11"/>
        <v>9.9999999999999995E-8</v>
      </c>
      <c r="G14" s="20" t="s">
        <v>164</v>
      </c>
      <c r="H14" s="57">
        <v>0</v>
      </c>
      <c r="I14" s="68">
        <v>0</v>
      </c>
      <c r="J14" s="59">
        <f t="shared" si="2"/>
        <v>0</v>
      </c>
    </row>
    <row r="15" spans="1:10" ht="15.75" customHeight="1">
      <c r="A15" s="33" t="s">
        <v>164</v>
      </c>
      <c r="B15" s="69" t="s">
        <v>165</v>
      </c>
      <c r="C15" s="70"/>
      <c r="D15" s="54">
        <f t="shared" si="0"/>
        <v>0</v>
      </c>
      <c r="E15" s="55">
        <f t="shared" ref="E15:F15" si="12">H14</f>
        <v>0</v>
      </c>
      <c r="F15" s="56">
        <f t="shared" si="12"/>
        <v>0</v>
      </c>
      <c r="G15" s="72" t="s">
        <v>180</v>
      </c>
      <c r="H15" s="73"/>
      <c r="I15" s="74"/>
      <c r="J15" s="59">
        <f t="shared" si="2"/>
        <v>0</v>
      </c>
    </row>
    <row r="16" spans="1:10" ht="15.75" customHeight="1">
      <c r="B16" s="75"/>
      <c r="C16" s="75"/>
      <c r="D16" s="76">
        <f t="shared" ref="D16:F16" si="13">SUM(D3:D15)</f>
        <v>1.0000000000000004</v>
      </c>
      <c r="E16" s="77">
        <f t="shared" si="13"/>
        <v>18188630.504968882</v>
      </c>
      <c r="F16" s="78">
        <f t="shared" si="13"/>
        <v>634.42132373659035</v>
      </c>
    </row>
    <row r="17" spans="1:3" ht="15.75" customHeight="1"/>
    <row r="18" spans="1:3" ht="15.75" customHeight="1">
      <c r="A18" s="40" t="s">
        <v>183</v>
      </c>
      <c r="B18" s="79">
        <f>SUM('Assumptions (NG Heating)'!AZ2:AZ3)</f>
        <v>8.3453189999999999</v>
      </c>
      <c r="C18" s="80" t="s">
        <v>184</v>
      </c>
    </row>
    <row r="19" spans="1:3" ht="16.5" customHeight="1">
      <c r="A19" s="40" t="s">
        <v>185</v>
      </c>
      <c r="B19" s="81">
        <v>0.02</v>
      </c>
      <c r="C19" s="80" t="s">
        <v>186</v>
      </c>
    </row>
    <row r="20" spans="1:3" ht="15.75" customHeight="1">
      <c r="A20" s="40" t="s">
        <v>187</v>
      </c>
      <c r="B20" s="81">
        <f>'Inflation GDP Population'!U14-'Inflation GDP Population'!U15</f>
        <v>1.9894237381304435E-2</v>
      </c>
    </row>
    <row r="21" spans="1:3" ht="15.75" customHeight="1">
      <c r="A21" s="82" t="s">
        <v>188</v>
      </c>
      <c r="B21" s="83" t="s">
        <v>149</v>
      </c>
    </row>
    <row r="22" spans="1:3" ht="15.75" customHeight="1">
      <c r="A22" s="20" t="str">
        <f t="shared" ref="A22:A35" si="14">G3</f>
        <v>Coal</v>
      </c>
      <c r="B22" s="84">
        <f t="shared" ref="B22:B34" si="15">IF(I3&gt;0,I3*1000000/(H3*8760),0)</f>
        <v>1.1415525114155251E-4</v>
      </c>
    </row>
    <row r="23" spans="1:3" ht="15.75" customHeight="1">
      <c r="A23" s="20" t="str">
        <f t="shared" si="14"/>
        <v>Nuclear</v>
      </c>
      <c r="B23" s="84">
        <f t="shared" si="15"/>
        <v>0</v>
      </c>
    </row>
    <row r="24" spans="1:3" ht="15.75" customHeight="1">
      <c r="A24" s="20" t="str">
        <f t="shared" si="14"/>
        <v>Natural Gas (CC)</v>
      </c>
      <c r="B24" s="84">
        <f t="shared" si="15"/>
        <v>0.21043619322278312</v>
      </c>
    </row>
    <row r="25" spans="1:3" ht="15.75" customHeight="1">
      <c r="A25" s="20" t="str">
        <f t="shared" si="14"/>
        <v>Natural Gas (CT)</v>
      </c>
      <c r="B25" s="84">
        <f t="shared" si="15"/>
        <v>1.1415525106409206E-4</v>
      </c>
    </row>
    <row r="26" spans="1:3" ht="15.75" customHeight="1">
      <c r="A26" s="20" t="str">
        <f t="shared" si="14"/>
        <v>Hydro</v>
      </c>
      <c r="B26" s="84">
        <f t="shared" si="15"/>
        <v>0</v>
      </c>
    </row>
    <row r="27" spans="1:3" ht="15.75" customHeight="1">
      <c r="A27" s="20" t="str">
        <f t="shared" si="14"/>
        <v>Solar</v>
      </c>
      <c r="B27" s="84">
        <f t="shared" si="15"/>
        <v>2.2158866300662767E-3</v>
      </c>
    </row>
    <row r="28" spans="1:3" ht="15.75" customHeight="1">
      <c r="A28" s="20" t="str">
        <f t="shared" si="14"/>
        <v>Wind</v>
      </c>
      <c r="B28" s="84">
        <f t="shared" si="15"/>
        <v>1.9628181660622225E-2</v>
      </c>
    </row>
    <row r="29" spans="1:3" ht="15.75" customHeight="1">
      <c r="A29" s="20" t="str">
        <f t="shared" si="14"/>
        <v>Geothermal</v>
      </c>
      <c r="B29" s="84">
        <f t="shared" si="15"/>
        <v>1.1415525114155251E-4</v>
      </c>
    </row>
    <row r="30" spans="1:3" ht="15.75" customHeight="1">
      <c r="A30" s="20" t="str">
        <f t="shared" si="14"/>
        <v>Biomass</v>
      </c>
      <c r="B30" s="84">
        <f t="shared" si="15"/>
        <v>1.1415525114155251E-4</v>
      </c>
    </row>
    <row r="31" spans="1:3" ht="15.75" customHeight="1">
      <c r="A31" s="20" t="str">
        <f t="shared" si="14"/>
        <v>Other</v>
      </c>
      <c r="B31" s="84">
        <f t="shared" si="15"/>
        <v>0</v>
      </c>
    </row>
    <row r="32" spans="1:3" ht="15.75" customHeight="1">
      <c r="A32" s="20" t="str">
        <f t="shared" si="14"/>
        <v>Petroleum</v>
      </c>
      <c r="B32" s="84">
        <f t="shared" si="15"/>
        <v>1.1415525114155251E-4</v>
      </c>
    </row>
    <row r="33" spans="1:3" ht="15.75" customHeight="1">
      <c r="A33" s="20" t="str">
        <f t="shared" si="14"/>
        <v>Storage</v>
      </c>
      <c r="B33" s="84">
        <f t="shared" si="15"/>
        <v>0</v>
      </c>
    </row>
    <row r="34" spans="1:3" ht="15.75" customHeight="1">
      <c r="A34" s="20" t="str">
        <f t="shared" si="14"/>
        <v>Solar CSP</v>
      </c>
      <c r="B34" s="84">
        <f t="shared" si="15"/>
        <v>0</v>
      </c>
    </row>
    <row r="35" spans="1:3" ht="15.75" customHeight="1">
      <c r="A35" s="20">
        <f t="shared" si="14"/>
        <v>0</v>
      </c>
      <c r="B35" s="85"/>
    </row>
    <row r="36" spans="1:3" ht="15.75" customHeight="1">
      <c r="A36" s="38"/>
      <c r="B36" s="38"/>
      <c r="C36" s="38"/>
    </row>
    <row r="37" spans="1:3" ht="15.75" customHeight="1">
      <c r="A37" s="39"/>
      <c r="B37" s="39"/>
      <c r="C37" s="39"/>
    </row>
    <row r="38" spans="1:3" ht="15.75" customHeight="1"/>
    <row r="39" spans="1:3" ht="15.75" customHeight="1"/>
    <row r="40" spans="1:3" ht="15.75" customHeight="1"/>
    <row r="41" spans="1:3" ht="15.75" customHeight="1"/>
    <row r="42" spans="1:3" ht="15.75" customHeight="1"/>
    <row r="43" spans="1:3" ht="15.75" customHeight="1"/>
    <row r="44" spans="1:3" ht="15.75" customHeight="1"/>
    <row r="45" spans="1:3" ht="15.75" customHeight="1"/>
    <row r="46" spans="1:3" ht="15.75" customHeight="1"/>
    <row r="47" spans="1:3" ht="15.75" customHeight="1"/>
    <row r="48" spans="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sheetData>
  <mergeCells count="2">
    <mergeCell ref="E1:F1"/>
    <mergeCell ref="H1:I1"/>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0"/>
  <sheetViews>
    <sheetView topLeftCell="D1" workbookViewId="0"/>
  </sheetViews>
  <sheetFormatPr defaultColWidth="14.4609375" defaultRowHeight="15" customHeight="1"/>
  <cols>
    <col min="1" max="1" width="44.4609375" hidden="1" customWidth="1"/>
    <col min="2" max="2" width="10.84375" hidden="1" customWidth="1"/>
    <col min="3" max="3" width="8.69140625" hidden="1" customWidth="1"/>
    <col min="4" max="4" width="8.84375" customWidth="1"/>
    <col min="5" max="5" width="11.69140625" customWidth="1"/>
    <col min="6" max="6" width="12.3046875" customWidth="1"/>
    <col min="7" max="90" width="8.69140625" customWidth="1"/>
  </cols>
  <sheetData>
    <row r="1" spans="1:7" ht="15.75" customHeight="1">
      <c r="A1" s="20" t="s">
        <v>143</v>
      </c>
      <c r="B1" s="21">
        <v>0.47299999999999998</v>
      </c>
      <c r="C1" s="22">
        <v>0.5</v>
      </c>
    </row>
    <row r="2" spans="1:7" ht="15.75" customHeight="1">
      <c r="A2" s="23" t="s">
        <v>144</v>
      </c>
      <c r="B2" s="21"/>
      <c r="C2" s="22"/>
    </row>
    <row r="3" spans="1:7" ht="15.75" customHeight="1">
      <c r="A3" s="20" t="s">
        <v>145</v>
      </c>
      <c r="B3" s="21">
        <v>0.2639091559363369</v>
      </c>
      <c r="C3" s="22">
        <v>0.23799999999999999</v>
      </c>
    </row>
    <row r="4" spans="1:7" ht="15.75" customHeight="1">
      <c r="A4" s="20" t="s">
        <v>146</v>
      </c>
      <c r="B4" s="21">
        <v>0.23540482299785648</v>
      </c>
      <c r="C4" s="22">
        <v>0.23300000000000001</v>
      </c>
    </row>
    <row r="5" spans="1:7" ht="15.75" customHeight="1">
      <c r="A5" s="20" t="s">
        <v>147</v>
      </c>
      <c r="B5" s="21">
        <v>2.8808630602455317E-2</v>
      </c>
      <c r="C5" s="22">
        <v>4.5999999999999999E-2</v>
      </c>
    </row>
    <row r="6" spans="1:7" ht="15.75" customHeight="1">
      <c r="A6" s="20" t="s">
        <v>148</v>
      </c>
      <c r="B6" s="21">
        <v>1.3338347571594534E-2</v>
      </c>
      <c r="C6" s="22">
        <v>1.7999999999999999E-2</v>
      </c>
    </row>
    <row r="7" spans="1:7" ht="15.75" customHeight="1">
      <c r="A7" s="20" t="s">
        <v>143</v>
      </c>
      <c r="B7" s="21">
        <v>0.45853914298967247</v>
      </c>
      <c r="C7" s="22">
        <v>0.46500000000000002</v>
      </c>
      <c r="E7" s="475" t="s">
        <v>149</v>
      </c>
      <c r="F7" s="476"/>
    </row>
    <row r="8" spans="1:7" ht="15.75" customHeight="1">
      <c r="A8" s="23" t="s">
        <v>150</v>
      </c>
      <c r="B8" s="24" t="s">
        <v>151</v>
      </c>
      <c r="C8" s="22"/>
      <c r="D8" s="25">
        <v>2050</v>
      </c>
      <c r="E8" s="26" t="s">
        <v>152</v>
      </c>
      <c r="F8" s="26" t="s">
        <v>153</v>
      </c>
    </row>
    <row r="9" spans="1:7" ht="15.75" customHeight="1">
      <c r="A9" s="20" t="s">
        <v>154</v>
      </c>
      <c r="B9" s="27">
        <v>0.2157</v>
      </c>
      <c r="C9" s="22">
        <v>0.28199999999999997</v>
      </c>
      <c r="D9" s="28">
        <f t="shared" ref="D9:D20" si="0">F9/$F$21</f>
        <v>1.5762415874684683E-10</v>
      </c>
      <c r="E9" s="29">
        <f>Inputs!E3</f>
        <v>0.1</v>
      </c>
      <c r="F9" s="30">
        <f>Inputs!F3</f>
        <v>9.9999999999999995E-8</v>
      </c>
      <c r="G9" s="31">
        <f t="shared" ref="G9:G20" si="1">F9*10^6/(E9*8760)</f>
        <v>1.1415525114155251E-4</v>
      </c>
    </row>
    <row r="10" spans="1:7" ht="15.75" customHeight="1">
      <c r="A10" s="20" t="s">
        <v>155</v>
      </c>
      <c r="B10" s="27">
        <v>0.1176</v>
      </c>
      <c r="C10" s="22">
        <v>0.18099999999999999</v>
      </c>
      <c r="D10" s="28">
        <f t="shared" si="0"/>
        <v>0</v>
      </c>
      <c r="E10" s="29">
        <f>Inputs!E4</f>
        <v>0</v>
      </c>
      <c r="F10" s="30">
        <f>Inputs!F4</f>
        <v>0</v>
      </c>
      <c r="G10" s="31" t="e">
        <f t="shared" si="1"/>
        <v>#DIV/0!</v>
      </c>
    </row>
    <row r="11" spans="1:7" ht="15.75" customHeight="1">
      <c r="A11" s="20" t="s">
        <v>146</v>
      </c>
      <c r="B11" s="27">
        <v>0.35439999999999999</v>
      </c>
      <c r="C11" s="22">
        <v>0.32400000000000001</v>
      </c>
      <c r="D11" s="28">
        <f t="shared" si="0"/>
        <v>8.0338012195837089E-16</v>
      </c>
      <c r="E11" s="32">
        <f>Inputs!E5</f>
        <v>2.7648638933896998E-10</v>
      </c>
      <c r="F11" s="30">
        <f>Inputs!F5</f>
        <v>5.0968083087354899E-13</v>
      </c>
      <c r="G11" s="31">
        <f t="shared" si="1"/>
        <v>0.21043619322278312</v>
      </c>
    </row>
    <row r="12" spans="1:7" ht="15.75" customHeight="1">
      <c r="A12" s="20" t="s">
        <v>156</v>
      </c>
      <c r="B12" s="27">
        <v>5.5E-2</v>
      </c>
      <c r="C12" s="22">
        <v>7.9708681057781283E-2</v>
      </c>
      <c r="D12" s="28">
        <f t="shared" si="0"/>
        <v>0</v>
      </c>
      <c r="E12" s="29">
        <f>Inputs!E7</f>
        <v>0</v>
      </c>
      <c r="F12" s="30">
        <f>Inputs!F7</f>
        <v>0</v>
      </c>
      <c r="G12" s="31" t="e">
        <f t="shared" si="1"/>
        <v>#DIV/0!</v>
      </c>
    </row>
    <row r="13" spans="1:7" ht="15.75" customHeight="1">
      <c r="A13" s="20" t="s">
        <v>157</v>
      </c>
      <c r="B13" s="27">
        <v>0.14419999999999999</v>
      </c>
      <c r="C13" s="22">
        <v>2.6480274320664382E-2</v>
      </c>
      <c r="D13" s="28">
        <f t="shared" si="0"/>
        <v>0.50004571259612662</v>
      </c>
      <c r="E13" s="32">
        <f>Inputs!E8</f>
        <v>16343131.7952</v>
      </c>
      <c r="F13" s="30">
        <f>Inputs!F8</f>
        <v>317.23925860833799</v>
      </c>
      <c r="G13" s="31">
        <f t="shared" si="1"/>
        <v>2.2158866300662767E-3</v>
      </c>
    </row>
    <row r="14" spans="1:7" ht="15.75" customHeight="1">
      <c r="A14" s="20" t="s">
        <v>158</v>
      </c>
      <c r="B14" s="27">
        <v>8.2400000000000001E-2</v>
      </c>
      <c r="C14" s="22">
        <v>7.7286000203760072E-2</v>
      </c>
      <c r="D14" s="28">
        <f t="shared" si="0"/>
        <v>0.499954286773376</v>
      </c>
      <c r="E14" s="32">
        <f>Inputs!E9</f>
        <v>1844689.7722823599</v>
      </c>
      <c r="F14" s="30">
        <f>Inputs!F9</f>
        <v>317.18125619076602</v>
      </c>
      <c r="G14" s="31">
        <f t="shared" si="1"/>
        <v>1.9628181660622225E-2</v>
      </c>
    </row>
    <row r="15" spans="1:7" ht="15.75" customHeight="1">
      <c r="A15" s="20" t="s">
        <v>159</v>
      </c>
      <c r="B15" s="27">
        <v>1.2E-2</v>
      </c>
      <c r="C15" s="22">
        <v>4.7167477180375698E-3</v>
      </c>
      <c r="D15" s="28">
        <f t="shared" si="0"/>
        <v>1.5762415874684683E-10</v>
      </c>
      <c r="E15" s="29">
        <f>Inputs!E10</f>
        <v>0.1</v>
      </c>
      <c r="F15" s="30">
        <f>Inputs!F10</f>
        <v>9.9999999999999995E-8</v>
      </c>
      <c r="G15" s="31">
        <f t="shared" si="1"/>
        <v>1.1415525114155251E-4</v>
      </c>
    </row>
    <row r="16" spans="1:7" ht="15.75" customHeight="1">
      <c r="A16" s="20" t="s">
        <v>160</v>
      </c>
      <c r="B16" s="27">
        <v>5.0000000000000001E-3</v>
      </c>
      <c r="C16" s="22">
        <v>6.801987913880132E-3</v>
      </c>
      <c r="D16" s="28">
        <f t="shared" si="0"/>
        <v>8.6693287310765763E-11</v>
      </c>
      <c r="E16" s="32">
        <f>Inputs!E11</f>
        <v>0.05</v>
      </c>
      <c r="F16" s="29">
        <f>Inputs!F11</f>
        <v>5.5000000000000003E-8</v>
      </c>
      <c r="G16" s="31">
        <f t="shared" si="1"/>
        <v>1.2557077625570778E-4</v>
      </c>
    </row>
    <row r="17" spans="1:7" ht="15.75" customHeight="1">
      <c r="A17" s="20" t="s">
        <v>161</v>
      </c>
      <c r="B17" s="27">
        <v>7.0000000000000001E-3</v>
      </c>
      <c r="C17" s="22">
        <v>8.5427809696170635E-3</v>
      </c>
      <c r="D17" s="28">
        <f t="shared" si="0"/>
        <v>7.0930871436081075E-11</v>
      </c>
      <c r="E17" s="32">
        <f>Inputs!E12</f>
        <v>0.05</v>
      </c>
      <c r="F17" s="30">
        <f>Inputs!F12</f>
        <v>4.4999999999999999E-8</v>
      </c>
      <c r="G17" s="31">
        <f t="shared" si="1"/>
        <v>1.0273972602739725E-4</v>
      </c>
    </row>
    <row r="18" spans="1:7" ht="15.75" customHeight="1">
      <c r="A18" s="20" t="s">
        <v>162</v>
      </c>
      <c r="B18" s="27">
        <v>4.0000000000000001E-3</v>
      </c>
      <c r="C18" s="22">
        <v>6.0000000000000001E-3</v>
      </c>
      <c r="D18" s="28">
        <f t="shared" si="0"/>
        <v>0</v>
      </c>
      <c r="E18" s="29">
        <f>Inputs!E13</f>
        <v>0</v>
      </c>
      <c r="F18" s="30">
        <f>Inputs!F13</f>
        <v>0</v>
      </c>
      <c r="G18" s="31" t="e">
        <f t="shared" si="1"/>
        <v>#DIV/0!</v>
      </c>
    </row>
    <row r="19" spans="1:7" ht="15.75" customHeight="1">
      <c r="A19" s="20" t="s">
        <v>163</v>
      </c>
      <c r="B19" s="27">
        <v>2E-3</v>
      </c>
      <c r="C19" s="22">
        <v>3.0000000000000001E-3</v>
      </c>
      <c r="D19" s="28">
        <f t="shared" si="0"/>
        <v>1.5762415874684683E-10</v>
      </c>
      <c r="E19" s="32">
        <f>Inputs!E14</f>
        <v>0.1</v>
      </c>
      <c r="F19" s="30">
        <f>Inputs!F14</f>
        <v>9.9999999999999995E-8</v>
      </c>
      <c r="G19" s="31">
        <f t="shared" si="1"/>
        <v>1.1415525114155251E-4</v>
      </c>
    </row>
    <row r="20" spans="1:7" ht="15.75" customHeight="1">
      <c r="A20" s="33" t="s">
        <v>164</v>
      </c>
      <c r="B20" s="34" t="s">
        <v>165</v>
      </c>
      <c r="C20" s="35"/>
      <c r="D20" s="28">
        <f t="shared" si="0"/>
        <v>0</v>
      </c>
      <c r="E20" s="29">
        <f>Inputs!E15</f>
        <v>0</v>
      </c>
      <c r="F20" s="30">
        <f>Inputs!F15</f>
        <v>0</v>
      </c>
      <c r="G20" s="31" t="e">
        <f t="shared" si="1"/>
        <v>#DIV/0!</v>
      </c>
    </row>
    <row r="21" spans="1:7" ht="15.75" customHeight="1">
      <c r="E21" s="36">
        <f t="shared" ref="E21:F21" si="2">SUM(E9:E20)</f>
        <v>18187821.967482362</v>
      </c>
      <c r="F21" s="37">
        <f t="shared" si="2"/>
        <v>634.42051519910444</v>
      </c>
    </row>
    <row r="22" spans="1:7" ht="15.75" customHeight="1"/>
    <row r="23" spans="1:7" ht="15.75" customHeight="1"/>
    <row r="24" spans="1:7" ht="15.75" customHeight="1"/>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spans="2:3" ht="15.75" customHeight="1"/>
    <row r="34" spans="2:3" ht="15.75" customHeight="1"/>
    <row r="35" spans="2:3" ht="15.75" customHeight="1"/>
    <row r="36" spans="2:3" ht="15.75" customHeight="1"/>
    <row r="37" spans="2:3" ht="15.75" customHeight="1">
      <c r="B37" s="20"/>
      <c r="C37" s="38"/>
    </row>
    <row r="38" spans="2:3" ht="15.75" customHeight="1">
      <c r="B38" s="20"/>
      <c r="C38" s="39"/>
    </row>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sheetData>
  <mergeCells count="1">
    <mergeCell ref="E7:F7"/>
  </mergeCell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9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3.84375" customWidth="1"/>
    <col min="2" max="2" width="23" customWidth="1"/>
    <col min="3" max="3" width="21.4609375" customWidth="1"/>
    <col min="4" max="13" width="9.15234375" customWidth="1"/>
    <col min="14" max="23" width="10.53515625" customWidth="1"/>
    <col min="24" max="54" width="10.69140625" customWidth="1"/>
    <col min="55" max="58" width="9.15234375" customWidth="1"/>
    <col min="59" max="66" width="8.69140625" customWidth="1"/>
    <col min="67" max="68" width="8.15234375" customWidth="1"/>
  </cols>
  <sheetData>
    <row r="1" spans="1:68" ht="14.6">
      <c r="A1" s="40" t="s">
        <v>166</v>
      </c>
      <c r="B1" s="41" t="s">
        <v>167</v>
      </c>
      <c r="C1" s="41" t="s">
        <v>168</v>
      </c>
      <c r="D1" s="42">
        <v>2000</v>
      </c>
      <c r="E1" s="42">
        <v>2001</v>
      </c>
      <c r="F1" s="42">
        <v>2002</v>
      </c>
      <c r="G1" s="42">
        <v>2003</v>
      </c>
      <c r="H1" s="42">
        <v>2004</v>
      </c>
      <c r="I1" s="42">
        <v>2005</v>
      </c>
      <c r="J1" s="42">
        <v>2006</v>
      </c>
      <c r="K1" s="42">
        <v>2007</v>
      </c>
      <c r="L1" s="42">
        <v>2008</v>
      </c>
      <c r="M1" s="42">
        <v>2009</v>
      </c>
      <c r="N1" s="42">
        <v>2010</v>
      </c>
      <c r="O1" s="42">
        <v>2011</v>
      </c>
      <c r="P1" s="42">
        <v>2012</v>
      </c>
      <c r="Q1" s="42">
        <v>2013</v>
      </c>
      <c r="R1" s="42">
        <v>2014</v>
      </c>
      <c r="S1" s="42">
        <v>2015</v>
      </c>
      <c r="T1" s="42">
        <v>2016</v>
      </c>
      <c r="U1" s="42">
        <v>2017</v>
      </c>
      <c r="V1" s="42">
        <v>2018</v>
      </c>
      <c r="W1" s="42">
        <v>2019</v>
      </c>
      <c r="X1" s="42">
        <v>2020</v>
      </c>
      <c r="Y1" s="42">
        <v>2021</v>
      </c>
      <c r="Z1" s="42">
        <v>2022</v>
      </c>
      <c r="AA1" s="42">
        <v>2023</v>
      </c>
      <c r="AB1" s="42">
        <v>2024</v>
      </c>
      <c r="AC1" s="42">
        <v>2025</v>
      </c>
      <c r="AD1" s="42">
        <v>2026</v>
      </c>
      <c r="AE1" s="42">
        <v>2027</v>
      </c>
      <c r="AF1" s="42">
        <v>2028</v>
      </c>
      <c r="AG1" s="42">
        <v>2029</v>
      </c>
      <c r="AH1" s="42">
        <v>2030</v>
      </c>
      <c r="AI1" s="42">
        <v>2031</v>
      </c>
      <c r="AJ1" s="42">
        <v>2032</v>
      </c>
      <c r="AK1" s="42">
        <v>2033</v>
      </c>
      <c r="AL1" s="42">
        <v>2034</v>
      </c>
      <c r="AM1" s="42">
        <v>2035</v>
      </c>
      <c r="AN1" s="42">
        <v>2036</v>
      </c>
      <c r="AO1" s="42">
        <v>2037</v>
      </c>
      <c r="AP1" s="42">
        <v>2038</v>
      </c>
      <c r="AQ1" s="42">
        <v>2039</v>
      </c>
      <c r="AR1" s="42">
        <v>2040</v>
      </c>
      <c r="AS1" s="42">
        <v>2041</v>
      </c>
      <c r="AT1" s="42">
        <v>2042</v>
      </c>
      <c r="AU1" s="42">
        <v>2043</v>
      </c>
      <c r="AV1" s="42">
        <v>2044</v>
      </c>
      <c r="AW1" s="42">
        <v>2045</v>
      </c>
      <c r="AX1" s="42">
        <v>2046</v>
      </c>
      <c r="AY1" s="42">
        <v>2047</v>
      </c>
      <c r="AZ1" s="42">
        <v>2048</v>
      </c>
      <c r="BA1" s="42">
        <v>2049</v>
      </c>
      <c r="BB1" s="42">
        <v>2050</v>
      </c>
      <c r="BC1" s="42">
        <v>2051</v>
      </c>
      <c r="BD1" s="42">
        <v>2052</v>
      </c>
      <c r="BE1" s="42">
        <v>2053</v>
      </c>
      <c r="BF1" s="42">
        <v>2054</v>
      </c>
      <c r="BG1" s="42">
        <v>2055</v>
      </c>
      <c r="BH1" s="42">
        <v>2056</v>
      </c>
      <c r="BI1" s="42">
        <v>2057</v>
      </c>
      <c r="BJ1" s="42">
        <v>2058</v>
      </c>
      <c r="BK1" s="42">
        <v>2059</v>
      </c>
      <c r="BL1" s="42">
        <v>2060</v>
      </c>
      <c r="BM1" s="42">
        <v>2061</v>
      </c>
      <c r="BN1" s="42">
        <v>2062</v>
      </c>
      <c r="BO1" s="42">
        <v>2063</v>
      </c>
      <c r="BP1" s="42">
        <v>2064</v>
      </c>
    </row>
    <row r="2" spans="1:68" ht="14.6">
      <c r="A2" s="43" t="s">
        <v>169</v>
      </c>
      <c r="B2" s="44" t="s">
        <v>170</v>
      </c>
      <c r="C2" s="45" t="s">
        <v>171</v>
      </c>
      <c r="D2" s="46">
        <f>SUM(Model!C8,Model!C412,Model!C653,Model!C878,Model!C1103,Model!C1330,Model!C1555,Model!C1780,Model!C2005,Model!C2226)</f>
        <v>784845</v>
      </c>
      <c r="E2" s="46">
        <f>SUM(Model!D8,Model!D412,Model!D653,Model!D878,Model!D1103,Model!D1330,Model!D1555,Model!D1780,Model!D2005,Model!D2226)</f>
        <v>822053</v>
      </c>
      <c r="F2" s="46">
        <f>SUM(Model!E8,Model!E412,Model!E653,Model!E878,Model!E1103,Model!E1330,Model!E1555,Model!E1780,Model!E2005,Model!E2226)</f>
        <v>877981</v>
      </c>
      <c r="G2" s="46">
        <f>SUM(Model!F8,Model!F412,Model!F653,Model!F878,Model!F1103,Model!F1330,Model!F1555,Model!F1780,Model!F2005,Model!F2226)</f>
        <v>921094</v>
      </c>
      <c r="H2" s="46">
        <f>SUM(Model!G8,Model!G412,Model!G653,Model!G878,Model!G1103,Model!G1330,Model!G1555,Model!G1780,Model!G2005,Model!G2226)</f>
        <v>934990</v>
      </c>
      <c r="I2" s="46">
        <f>SUM(Model!H8,Model!H412,Model!H653,Model!H878,Model!H1103,Model!H1330,Model!H1555,Model!H1780,Model!H2005,Model!H2226)</f>
        <v>949494</v>
      </c>
      <c r="J2" s="46">
        <f>SUM(Model!I8,Model!I412,Model!I653,Model!I878,Model!I1103,Model!I1330,Model!I1555,Model!I1780,Model!I2005,Model!I2226)</f>
        <v>957330</v>
      </c>
      <c r="K2" s="46">
        <f>SUM(Model!J8,Model!J412,Model!J653,Model!J878,Model!J1103,Model!J1330,Model!J1555,Model!J1780,Model!J2005,Model!J2226)</f>
        <v>965526</v>
      </c>
      <c r="L2" s="46">
        <f>SUM(Model!K8,Model!K412,Model!K653,Model!K878,Model!K1103,Model!K1330,Model!K1555,Model!K1780,Model!K2005,Model!K2226)</f>
        <v>980976</v>
      </c>
      <c r="M2" s="46">
        <f>SUM(Model!L8,Model!L412,Model!L653,Model!L878,Model!L1103,Model!L1330,Model!L1555,Model!L1780,Model!L2005,Model!L2226)</f>
        <v>995880</v>
      </c>
      <c r="N2" s="46">
        <f>SUM(Model!M8,Model!M412,Model!M653,Model!M878,Model!M1103,Model!M1330,Model!M1555,Model!M1780,Model!M2005,Model!M2226)</f>
        <v>1008804</v>
      </c>
      <c r="O2" s="46">
        <f>SUM(Model!N8,Model!N412,Model!N653,Model!N878,Model!N1103,Model!N1330,Model!N1555,Model!N1780,Model!N2005,Model!N2226)</f>
        <v>1021015.4</v>
      </c>
      <c r="P2" s="46">
        <f>SUM(Model!O8,Model!O412,Model!O653,Model!O878,Model!O1103,Model!O1330,Model!O1555,Model!O1780,Model!O2005,Model!O2226)</f>
        <v>1032237.1</v>
      </c>
      <c r="Q2" s="46">
        <f>SUM(Model!P8,Model!P412,Model!P653,Model!P878,Model!P1103,Model!P1330,Model!P1555,Model!P1780,Model!P2005,Model!P2226)</f>
        <v>1028199.1</v>
      </c>
      <c r="R2" s="46">
        <f>SUM(Model!Q8,Model!Q412,Model!Q653,Model!Q878,Model!Q1103,Model!Q1330,Model!Q1555,Model!Q1780,Model!Q2005,Model!Q2226)</f>
        <v>1036215.5000000001</v>
      </c>
      <c r="S2" s="46">
        <f>SUM(Model!R8,Model!R412,Model!R653,Model!R878,Model!R1103,Model!R1330,Model!R1555,Model!R1780,Model!R2005,Model!R2226)</f>
        <v>1032010.8</v>
      </c>
      <c r="T2" s="46">
        <f>SUM(Model!S8,Model!S412,Model!S653,Model!S878,Model!S1103,Model!S1330,Model!S1555,Model!S1780,Model!S2005,Model!S2226)</f>
        <v>1048602.8999999999</v>
      </c>
      <c r="U2" s="46">
        <f>SUM(Model!T8,Model!T412,Model!T653,Model!T878,Model!T1103,Model!T1330,Model!T1555,Model!T1780,Model!T2005,Model!T2226)</f>
        <v>1072944</v>
      </c>
      <c r="V2" s="46">
        <f>SUM(Model!U8,Model!U412,Model!U653,Model!U878,Model!U1103,Model!U1330,Model!U1555,Model!U1780,Model!U2005,Model!U2226)</f>
        <v>1085281</v>
      </c>
      <c r="W2" s="46">
        <f>SUM(Model!V8,Model!V412,Model!V653,Model!V878,Model!V1103,Model!V1330,Model!V1555,Model!V1780,Model!V2005,Model!V2226)</f>
        <v>1117754</v>
      </c>
      <c r="X2" s="46">
        <f>SUM(Model!W8,Model!W412,Model!W653,Model!W878,Model!W1103,Model!W1330,Model!W1555,Model!W1780,Model!W2005,Model!W2226)</f>
        <v>1138383</v>
      </c>
      <c r="Y2" s="46">
        <f>SUM(Model!X8,Model!X412,Model!X653,Model!X878,Model!X1103,Model!X1330,Model!X1555,Model!X1780,Model!X2005,Model!X2226)</f>
        <v>1706724.5851656289</v>
      </c>
      <c r="Z2" s="46">
        <f>SUM(Model!Y8,Model!Y412,Model!Y653,Model!Y878,Model!Y1103,Model!Y1330,Model!Y1555,Model!Y1780,Model!Y2005,Model!Y2226)</f>
        <v>2275066.1703312583</v>
      </c>
      <c r="AA2" s="46">
        <f>SUM(Model!Z8,Model!Z412,Model!Z653,Model!Z878,Model!Z1103,Model!Z1330,Model!Z1555,Model!Z1780,Model!Z2005,Model!Z2226)</f>
        <v>2843407.755496887</v>
      </c>
      <c r="AB2" s="46">
        <f>SUM(Model!AA8,Model!AA412,Model!AA653,Model!AA878,Model!AA1103,Model!AA1330,Model!AA1555,Model!AA1780,Model!AA2005,Model!AA2226)</f>
        <v>3411749.3406625176</v>
      </c>
      <c r="AC2" s="46">
        <f>SUM(Model!AB8,Model!AB412,Model!AB653,Model!AB878,Model!AB1103,Model!AB1330,Model!AB1555,Model!AB1780,Model!AB2005,Model!AB2226)</f>
        <v>3980090.9258281463</v>
      </c>
      <c r="AD2" s="46">
        <f>SUM(Model!AC8,Model!AC412,Model!AC653,Model!AC878,Model!AC1103,Model!AC1330,Model!AC1555,Model!AC1780,Model!AC2005,Model!AC2226)</f>
        <v>4548432.510993775</v>
      </c>
      <c r="AE2" s="46">
        <f>SUM(Model!AD8,Model!AD412,Model!AD653,Model!AD878,Model!AD1103,Model!AD1330,Model!AD1555,Model!AD1780,Model!AD2005,Model!AD2226)</f>
        <v>5116774.0961594069</v>
      </c>
      <c r="AF2" s="46">
        <f>SUM(Model!AE8,Model!AE412,Model!AE653,Model!AE878,Model!AE1103,Model!AE1330,Model!AE1555,Model!AE1780,Model!AE2005,Model!AE2226)</f>
        <v>5685115.6813250352</v>
      </c>
      <c r="AG2" s="46">
        <f>SUM(Model!AF8,Model!AF412,Model!AF653,Model!AF878,Model!AF1103,Model!AF1330,Model!AF1555,Model!AF1780,Model!AF2005,Model!AF2226)</f>
        <v>6253457.2664906634</v>
      </c>
      <c r="AH2" s="46">
        <f>SUM(Model!AG8,Model!AG412,Model!AG653,Model!AG878,Model!AG1103,Model!AG1330,Model!AG1555,Model!AG1780,Model!AG2005,Model!AG2226)</f>
        <v>6821798.8516562926</v>
      </c>
      <c r="AI2" s="46">
        <f>SUM(Model!AH8,Model!AH412,Model!AH653,Model!AH878,Model!AH1103,Model!AH1330,Model!AH1555,Model!AH1780,Model!AH2005,Model!AH2226)</f>
        <v>7390140.4368219199</v>
      </c>
      <c r="AJ2" s="46">
        <f>SUM(Model!AI8,Model!AI412,Model!AI653,Model!AI878,Model!AI1103,Model!AI1330,Model!AI1555,Model!AI1780,Model!AI2005,Model!AI2226)</f>
        <v>7958482.02198755</v>
      </c>
      <c r="AK2" s="46">
        <f>SUM(Model!AJ8,Model!AJ412,Model!AJ653,Model!AJ878,Model!AJ1103,Model!AJ1330,Model!AJ1555,Model!AJ1780,Model!AJ2005,Model!AJ2226)</f>
        <v>8526823.6071531791</v>
      </c>
      <c r="AL2" s="46">
        <f>SUM(Model!AK8,Model!AK412,Model!AK653,Model!AK878,Model!AK1103,Model!AK1330,Model!AK1555,Model!AK1780,Model!AK2005,Model!AK2226)</f>
        <v>9095165.192318812</v>
      </c>
      <c r="AM2" s="46">
        <f>SUM(Model!AL8,Model!AL412,Model!AL653,Model!AL878,Model!AL1103,Model!AL1330,Model!AL1555,Model!AL1780,Model!AL2005,Model!AL2226)</f>
        <v>9663506.7774844393</v>
      </c>
      <c r="AN2" s="46">
        <f>SUM(Model!AM8,Model!AM412,Model!AM653,Model!AM878,Model!AM1103,Model!AM1330,Model!AM1555,Model!AM1780,Model!AM2005,Model!AM2226)</f>
        <v>10231848.362650068</v>
      </c>
      <c r="AO2" s="46">
        <f>SUM(Model!AN8,Model!AN412,Model!AN653,Model!AN878,Model!AN1103,Model!AN1330,Model!AN1555,Model!AN1780,Model!AN2005,Model!AN2226)</f>
        <v>10800189.9478157</v>
      </c>
      <c r="AP2" s="46">
        <f>SUM(Model!AO8,Model!AO412,Model!AO653,Model!AO878,Model!AO1103,Model!AO1330,Model!AO1555,Model!AO1780,Model!AO2005,Model!AO2226)</f>
        <v>11368531.532981329</v>
      </c>
      <c r="AQ2" s="46">
        <f>SUM(Model!AP8,Model!AP412,Model!AP653,Model!AP878,Model!AP1103,Model!AP1330,Model!AP1555,Model!AP1780,Model!AP2005,Model!AP2226)</f>
        <v>11936873.118146956</v>
      </c>
      <c r="AR2" s="46">
        <f>SUM(Model!AQ8,Model!AQ412,Model!AQ653,Model!AQ878,Model!AQ1103,Model!AQ1330,Model!AQ1555,Model!AQ1780,Model!AQ2005,Model!AQ2226)</f>
        <v>12505214.703312587</v>
      </c>
      <c r="AS2" s="46">
        <f>SUM(Model!AR8,Model!AR412,Model!AR653,Model!AR878,Model!AR1103,Model!AR1330,Model!AR1555,Model!AR1780,Model!AR2005,Model!AR2226)</f>
        <v>13073556.288478218</v>
      </c>
      <c r="AT2" s="46">
        <f>SUM(Model!AS8,Model!AS412,Model!AS653,Model!AS878,Model!AS1103,Model!AS1330,Model!AS1555,Model!AS1780,Model!AS2005,Model!AS2226)</f>
        <v>13641897.873643845</v>
      </c>
      <c r="AU2" s="46">
        <f>SUM(Model!AT8,Model!AT412,Model!AT653,Model!AT878,Model!AT1103,Model!AT1330,Model!AT1555,Model!AT1780,Model!AT2005,Model!AT2226)</f>
        <v>14210239.458809476</v>
      </c>
      <c r="AV2" s="46">
        <f>SUM(Model!AU8,Model!AU412,Model!AU653,Model!AU878,Model!AU1103,Model!AU1330,Model!AU1555,Model!AU1780,Model!AU2005,Model!AU2226)</f>
        <v>14778581.043975106</v>
      </c>
      <c r="AW2" s="46">
        <f>SUM(Model!AV8,Model!AV412,Model!AV653,Model!AV878,Model!AV1103,Model!AV1330,Model!AV1555,Model!AV1780,Model!AV2005,Model!AV2226)</f>
        <v>15346922.629140737</v>
      </c>
      <c r="AX2" s="46">
        <f>SUM(Model!AW8,Model!AW412,Model!AW653,Model!AW878,Model!AW1103,Model!AW1330,Model!AW1555,Model!AW1780,Model!AW2005,Model!AW2226)</f>
        <v>15915264.214306366</v>
      </c>
      <c r="AY2" s="46">
        <f>SUM(Model!AX8,Model!AX412,Model!AX653,Model!AX878,Model!AX1103,Model!AX1330,Model!AX1555,Model!AX1780,Model!AX2005,Model!AX2226)</f>
        <v>16483605.799471995</v>
      </c>
      <c r="AZ2" s="46">
        <f>SUM(Model!AY8,Model!AY412,Model!AY653,Model!AY878,Model!AY1103,Model!AY1330,Model!AY1555,Model!AY1780,Model!AY2005,Model!AY2226)</f>
        <v>17051947.384637631</v>
      </c>
      <c r="BA2" s="46">
        <f>SUM(Model!AZ8,Model!AZ412,Model!AZ653,Model!AZ878,Model!AZ1103,Model!AZ1330,Model!AZ1555,Model!AZ1780,Model!AZ2005,Model!AZ2226)</f>
        <v>17620288.969803255</v>
      </c>
      <c r="BB2" s="46">
        <f>SUM(Model!BA8,Model!BA412,Model!BA653,Model!BA878,Model!BA1103,Model!BA1330,Model!BA1555,Model!BA1780,Model!BA2005,Model!BA2226)</f>
        <v>18188630.554968886</v>
      </c>
      <c r="BC2" s="71"/>
      <c r="BD2" s="71"/>
      <c r="BE2" s="71"/>
      <c r="BF2" s="71"/>
      <c r="BG2" s="71"/>
      <c r="BH2" s="71"/>
      <c r="BI2" s="71"/>
      <c r="BJ2" s="71"/>
      <c r="BK2" s="71"/>
      <c r="BL2" s="71"/>
      <c r="BM2" s="71"/>
      <c r="BN2" s="71"/>
      <c r="BO2" s="71"/>
      <c r="BP2" s="71"/>
    </row>
    <row r="3" spans="1:68" ht="14.6">
      <c r="A3" s="43" t="s">
        <v>181</v>
      </c>
      <c r="B3" s="44" t="s">
        <v>170</v>
      </c>
      <c r="C3" s="45" t="s">
        <v>182</v>
      </c>
      <c r="D3" s="46">
        <f>Model!C8</f>
        <v>314790</v>
      </c>
      <c r="E3" s="46">
        <f>Model!D8</f>
        <v>313944</v>
      </c>
      <c r="F3" s="46">
        <f>Model!E8</f>
        <v>315063</v>
      </c>
      <c r="G3" s="46">
        <f>Model!F8</f>
        <v>312732</v>
      </c>
      <c r="H3" s="46">
        <f>Model!G8</f>
        <v>312757</v>
      </c>
      <c r="I3" s="46">
        <f>Model!H8</f>
        <v>313099</v>
      </c>
      <c r="J3" s="46">
        <f>Model!I8</f>
        <v>312673</v>
      </c>
      <c r="K3" s="46">
        <f>Model!J8</f>
        <v>312452</v>
      </c>
      <c r="L3" s="46">
        <f>Model!K8</f>
        <v>313032</v>
      </c>
      <c r="M3" s="46">
        <f>Model!L8</f>
        <v>314006</v>
      </c>
      <c r="N3" s="46">
        <f>Model!M8</f>
        <v>316510</v>
      </c>
      <c r="O3" s="46">
        <f>Model!N8</f>
        <v>317349.80000000005</v>
      </c>
      <c r="P3" s="46">
        <f>Model!O8</f>
        <v>309389.89999999991</v>
      </c>
      <c r="Q3" s="46">
        <f>Model!P8</f>
        <v>303015.8</v>
      </c>
      <c r="R3" s="46">
        <f>Model!Q8</f>
        <v>298808.10000000003</v>
      </c>
      <c r="S3" s="46">
        <f>Model!R8</f>
        <v>279436.10000000003</v>
      </c>
      <c r="T3" s="46">
        <f>Model!S8</f>
        <v>260049</v>
      </c>
      <c r="U3" s="46">
        <f>Model!T8</f>
        <v>254345</v>
      </c>
      <c r="V3" s="46">
        <f>Model!U8</f>
        <v>242350</v>
      </c>
      <c r="W3" s="46">
        <f>Model!V8</f>
        <v>236796</v>
      </c>
      <c r="X3" s="46">
        <f>Model!W8</f>
        <v>228300</v>
      </c>
      <c r="Y3" s="46">
        <f>Model!X8</f>
        <v>220690.00333333333</v>
      </c>
      <c r="Z3" s="46">
        <f>Model!Y8</f>
        <v>213080.00666666665</v>
      </c>
      <c r="AA3" s="46">
        <f>Model!Z8</f>
        <v>205470.00999999998</v>
      </c>
      <c r="AB3" s="46">
        <f>Model!AA8</f>
        <v>197860.01333333331</v>
      </c>
      <c r="AC3" s="46">
        <f>Model!AB8</f>
        <v>190250.01666666663</v>
      </c>
      <c r="AD3" s="46">
        <f>Model!AC8</f>
        <v>182640.01999999996</v>
      </c>
      <c r="AE3" s="46">
        <f>Model!AD8</f>
        <v>175030.02333333329</v>
      </c>
      <c r="AF3" s="46">
        <f>Model!AE8</f>
        <v>167420.02666666661</v>
      </c>
      <c r="AG3" s="46">
        <f>Model!AF8</f>
        <v>159810.02999999994</v>
      </c>
      <c r="AH3" s="46">
        <f>Model!AG8</f>
        <v>152200.03333333327</v>
      </c>
      <c r="AI3" s="46">
        <f>Model!AH8</f>
        <v>144590.03666666659</v>
      </c>
      <c r="AJ3" s="46">
        <f>Model!AI8</f>
        <v>136980.03999999992</v>
      </c>
      <c r="AK3" s="46">
        <f>Model!AJ8</f>
        <v>129370.04333333325</v>
      </c>
      <c r="AL3" s="46">
        <f>Model!AK8</f>
        <v>121760.04666666657</v>
      </c>
      <c r="AM3" s="46">
        <f>Model!AL8</f>
        <v>114150.0499999999</v>
      </c>
      <c r="AN3" s="46">
        <f>Model!AM8</f>
        <v>106540.05333333323</v>
      </c>
      <c r="AO3" s="46">
        <f>Model!AN8</f>
        <v>98930.056666666555</v>
      </c>
      <c r="AP3" s="46">
        <f>Model!AO8</f>
        <v>91320.059999999881</v>
      </c>
      <c r="AQ3" s="46">
        <f>Model!AP8</f>
        <v>83710.063333333208</v>
      </c>
      <c r="AR3" s="46">
        <f>Model!AQ8</f>
        <v>76100.066666666535</v>
      </c>
      <c r="AS3" s="46">
        <f>Model!AR8</f>
        <v>68490.069999999861</v>
      </c>
      <c r="AT3" s="46">
        <f>Model!AS8</f>
        <v>60880.073333333195</v>
      </c>
      <c r="AU3" s="46">
        <f>Model!AT8</f>
        <v>53270.076666666529</v>
      </c>
      <c r="AV3" s="46">
        <f>Model!AU8</f>
        <v>45660.079999999864</v>
      </c>
      <c r="AW3" s="46">
        <f>Model!AV8</f>
        <v>38050.083333333198</v>
      </c>
      <c r="AX3" s="46">
        <f>Model!AW8</f>
        <v>30440.086666666532</v>
      </c>
      <c r="AY3" s="46">
        <f>Model!AX8</f>
        <v>22830.089999999866</v>
      </c>
      <c r="AZ3" s="46">
        <f>Model!AY8</f>
        <v>15220.0933333332</v>
      </c>
      <c r="BA3" s="46">
        <f>Model!AZ8</f>
        <v>7610.0966666665327</v>
      </c>
      <c r="BB3" s="46">
        <f>Model!BA8</f>
        <v>0.1</v>
      </c>
      <c r="BC3" s="71"/>
      <c r="BD3" s="71"/>
      <c r="BE3" s="71"/>
      <c r="BF3" s="71"/>
      <c r="BG3" s="71"/>
      <c r="BH3" s="71"/>
      <c r="BI3" s="71"/>
      <c r="BJ3" s="71"/>
      <c r="BK3" s="71"/>
      <c r="BL3" s="71"/>
      <c r="BM3" s="71"/>
      <c r="BN3" s="71"/>
      <c r="BO3" s="71"/>
      <c r="BP3" s="71"/>
    </row>
    <row r="4" spans="1:68" ht="14.6">
      <c r="A4" s="43" t="s">
        <v>189</v>
      </c>
      <c r="B4" s="44" t="s">
        <v>170</v>
      </c>
      <c r="C4" s="45" t="s">
        <v>190</v>
      </c>
      <c r="D4" s="46">
        <f>Model!C412*'Assumptions (NG)'!B15</f>
        <v>65173.700640000003</v>
      </c>
      <c r="E4" s="46">
        <f>Model!D412*'Assumptions (NG)'!C15</f>
        <v>83160.751806</v>
      </c>
      <c r="F4" s="46">
        <f>Model!E412*'Assumptions (NG)'!D15</f>
        <v>126573.99906599999</v>
      </c>
      <c r="G4" s="46">
        <f>Model!F412*'Assumptions (NG)'!E15</f>
        <v>167424.38605200002</v>
      </c>
      <c r="H4" s="46">
        <f>Model!G412*'Assumptions (NG)'!F15</f>
        <v>184272.88304000002</v>
      </c>
      <c r="I4" s="46">
        <f>Model!H412*'Assumptions (NG)'!G15</f>
        <v>194949.92322900001</v>
      </c>
      <c r="J4" s="46">
        <f>Model!I412*'Assumptions (NG)'!H15</f>
        <v>201010.306239</v>
      </c>
      <c r="K4" s="46">
        <f>Model!J412*'Assumptions (NG)'!I15</f>
        <v>204703.29048599998</v>
      </c>
      <c r="L4" s="46">
        <f>Model!K412*'Assumptions (NG)'!J15</f>
        <v>207680.65550399999</v>
      </c>
      <c r="M4" s="46">
        <f>Model!L412*'Assumptions (NG)'!K15</f>
        <v>211500.39480000001</v>
      </c>
      <c r="N4" s="46">
        <f>Model!M412*'Assumptions (NG)'!L15</f>
        <v>215532.57068800001</v>
      </c>
      <c r="O4" s="46">
        <f>Model!N412*'Assumptions (NG)'!M15</f>
        <v>222800.110029</v>
      </c>
      <c r="P4" s="46">
        <f>Model!O412*'Assumptions (NG)'!N15</f>
        <v>228479.5076292</v>
      </c>
      <c r="Q4" s="46">
        <f>Model!P412*'Assumptions (NG)'!O15</f>
        <v>229538.23296599998</v>
      </c>
      <c r="R4" s="46">
        <f>Model!Q412*'Assumptions (NG)'!P15</f>
        <v>236482.03182060001</v>
      </c>
      <c r="S4" s="46">
        <f>Model!R412*'Assumptions (NG)'!Q15</f>
        <v>241642.07680700003</v>
      </c>
      <c r="T4" s="46">
        <f>Model!S412*'Assumptions (NG)'!R15</f>
        <v>245882.57727549999</v>
      </c>
      <c r="U4" s="46">
        <f>Model!T412*'Assumptions (NG)'!S15</f>
        <v>254671.75771199999</v>
      </c>
      <c r="V4" s="46">
        <f>Model!U412*'Assumptions (NG)'!T15</f>
        <v>265458.25202000001</v>
      </c>
      <c r="W4" s="46">
        <f>Model!V412*'Assumptions (NG)'!U15</f>
        <v>275397.96643800003</v>
      </c>
      <c r="X4" s="46">
        <f>Model!W412*'Assumptions (NG)'!V15</f>
        <v>277837.94999999995</v>
      </c>
      <c r="Y4" s="46">
        <f>Model!X412*'Assumptions (NG)'!W15</f>
        <v>259638.9789718411</v>
      </c>
      <c r="Z4" s="46">
        <f>Model!Y412*'Assumptions (NG)'!X15</f>
        <v>242056.40146286559</v>
      </c>
      <c r="AA4" s="46">
        <f>Model!Z412*'Assumptions (NG)'!Y15</f>
        <v>225090.2174730734</v>
      </c>
      <c r="AB4" s="46">
        <f>Model!AA412*'Assumptions (NG)'!Z15</f>
        <v>208740.42700246465</v>
      </c>
      <c r="AC4" s="46">
        <f>Model!AB412*'Assumptions (NG)'!AA15</f>
        <v>193007.03005103924</v>
      </c>
      <c r="AD4" s="46">
        <f>Model!AC412*'Assumptions (NG)'!AB15</f>
        <v>177890.02661879722</v>
      </c>
      <c r="AE4" s="46">
        <f>Model!AD412*'Assumptions (NG)'!AC15</f>
        <v>163389.41670573858</v>
      </c>
      <c r="AF4" s="46">
        <f>Model!AE412*'Assumptions (NG)'!AD15</f>
        <v>149505.2003118633</v>
      </c>
      <c r="AG4" s="46">
        <f>Model!AF412*'Assumptions (NG)'!AE15</f>
        <v>136237.37743717135</v>
      </c>
      <c r="AH4" s="46">
        <f>Model!AG412*'Assumptions (NG)'!AF15</f>
        <v>123585.94808166283</v>
      </c>
      <c r="AI4" s="46">
        <f>Model!AH412*'Assumptions (NG)'!AG15</f>
        <v>111550.91224533765</v>
      </c>
      <c r="AJ4" s="46">
        <f>Model!AI412*'Assumptions (NG)'!AH15</f>
        <v>100132.26992819586</v>
      </c>
      <c r="AK4" s="46">
        <f>Model!AJ412*'Assumptions (NG)'!AI15</f>
        <v>89330.021130237452</v>
      </c>
      <c r="AL4" s="46">
        <f>Model!AK412*'Assumptions (NG)'!AJ15</f>
        <v>79144.1658514624</v>
      </c>
      <c r="AM4" s="46">
        <f>Model!AL412*'Assumptions (NG)'!AK15</f>
        <v>69574.704091870735</v>
      </c>
      <c r="AN4" s="46">
        <f>Model!AM412*'Assumptions (NG)'!AL15</f>
        <v>60621.635851462444</v>
      </c>
      <c r="AO4" s="46">
        <f>Model!AN412*'Assumptions (NG)'!AM15</f>
        <v>52284.961130237505</v>
      </c>
      <c r="AP4" s="46">
        <f>Model!AO412*'Assumptions (NG)'!AN15</f>
        <v>44564.679928195961</v>
      </c>
      <c r="AQ4" s="46">
        <f>Model!AP412*'Assumptions (NG)'!AO15</f>
        <v>37460.792245337776</v>
      </c>
      <c r="AR4" s="46">
        <f>Model!AQ412*'Assumptions (NG)'!AP15</f>
        <v>30973.298081662968</v>
      </c>
      <c r="AS4" s="46">
        <f>Model!AR412*'Assumptions (NG)'!AQ15</f>
        <v>25102.197437171522</v>
      </c>
      <c r="AT4" s="46">
        <f>Model!AS412*'Assumptions (NG)'!AR15</f>
        <v>19847.490311863454</v>
      </c>
      <c r="AU4" s="46">
        <f>Model!AT412*'Assumptions (NG)'!AS15</f>
        <v>15209.176705738751</v>
      </c>
      <c r="AV4" s="46">
        <f>Model!AU412*'Assumptions (NG)'!AT15</f>
        <v>11187.256618797426</v>
      </c>
      <c r="AW4" s="46">
        <f>Model!AV412*'Assumptions (NG)'!AU15</f>
        <v>7781.7300510394689</v>
      </c>
      <c r="AX4" s="46">
        <f>Model!AW412*'Assumptions (NG)'!AV15</f>
        <v>4992.5970024648877</v>
      </c>
      <c r="AY4" s="46">
        <f>Model!AX412*'Assumptions (NG)'!AW15</f>
        <v>2819.8574730736755</v>
      </c>
      <c r="AZ4" s="46">
        <f>Model!AY412*'Assumptions (NG)'!AX15</f>
        <v>1263.511462865838</v>
      </c>
      <c r="BA4" s="46">
        <f>Model!AZ412*'Assumptions (NG)'!AY15</f>
        <v>323.55897184137172</v>
      </c>
      <c r="BB4" s="46">
        <f>Model!BA412*'Assumptions (NG)'!AZ15</f>
        <v>2.7648638933896998E-10</v>
      </c>
      <c r="BC4" s="71"/>
      <c r="BD4" s="71"/>
      <c r="BE4" s="71"/>
      <c r="BF4" s="71"/>
      <c r="BG4" s="71"/>
      <c r="BH4" s="71"/>
      <c r="BI4" s="71"/>
      <c r="BJ4" s="71"/>
      <c r="BK4" s="71"/>
      <c r="BL4" s="71"/>
      <c r="BM4" s="71"/>
      <c r="BN4" s="71"/>
      <c r="BO4" s="71"/>
      <c r="BP4" s="71"/>
    </row>
    <row r="5" spans="1:68" ht="14.6">
      <c r="A5" s="43" t="s">
        <v>196</v>
      </c>
      <c r="B5" s="44" t="s">
        <v>170</v>
      </c>
      <c r="C5" s="45" t="s">
        <v>197</v>
      </c>
      <c r="D5" s="46">
        <f>Model!C412*'Assumptions (NG)'!B16</f>
        <v>153482.29936</v>
      </c>
      <c r="E5" s="46">
        <f>Model!D412*'Assumptions (NG)'!C16</f>
        <v>168665.24819400001</v>
      </c>
      <c r="F5" s="46">
        <f>Model!E412*'Assumptions (NG)'!D16</f>
        <v>184992.00093400004</v>
      </c>
      <c r="G5" s="46">
        <f>Model!F412*'Assumptions (NG)'!E16</f>
        <v>187181.61394799998</v>
      </c>
      <c r="H5" s="46">
        <f>Model!G412*'Assumptions (NG)'!F16</f>
        <v>185935.11696000001</v>
      </c>
      <c r="I5" s="46">
        <f>Model!H412*'Assumptions (NG)'!G16</f>
        <v>187307.07677099999</v>
      </c>
      <c r="J5" s="46">
        <f>Model!I412*'Assumptions (NG)'!H16</f>
        <v>186478.693761</v>
      </c>
      <c r="K5" s="46">
        <f>Model!J412*'Assumptions (NG)'!I16</f>
        <v>187342.70951400002</v>
      </c>
      <c r="L5" s="46">
        <f>Model!K412*'Assumptions (NG)'!J16</f>
        <v>188943.34449600001</v>
      </c>
      <c r="M5" s="46">
        <f>Model!L412*'Assumptions (NG)'!K16</f>
        <v>188939.60519999999</v>
      </c>
      <c r="N5" s="46">
        <f>Model!M412*'Assumptions (NG)'!L16</f>
        <v>190654.42931199999</v>
      </c>
      <c r="O5" s="46">
        <f>Model!N412*'Assumptions (NG)'!M16</f>
        <v>191553.68997099999</v>
      </c>
      <c r="P5" s="46">
        <f>Model!O412*'Assumptions (NG)'!N16</f>
        <v>193031.29237079999</v>
      </c>
      <c r="Q5" s="46">
        <f>Model!P412*'Assumptions (NG)'!O16</f>
        <v>194756.26703399996</v>
      </c>
      <c r="R5" s="46">
        <f>Model!Q412*'Assumptions (NG)'!P16</f>
        <v>194565.26817939998</v>
      </c>
      <c r="S5" s="46">
        <f>Model!R412*'Assumptions (NG)'!Q16</f>
        <v>196536.023193</v>
      </c>
      <c r="T5" s="46">
        <f>Model!S412*'Assumptions (NG)'!R16</f>
        <v>199652.92272450001</v>
      </c>
      <c r="U5" s="46">
        <f>Model!T412*'Assumptions (NG)'!S16</f>
        <v>201340.24228800001</v>
      </c>
      <c r="V5" s="46">
        <f>Model!U412*'Assumptions (NG)'!T16</f>
        <v>198418.74798000001</v>
      </c>
      <c r="W5" s="46">
        <f>Model!V412*'Assumptions (NG)'!U16</f>
        <v>204729.03356199997</v>
      </c>
      <c r="X5" s="46">
        <f>Model!W412*'Assumptions (NG)'!V16</f>
        <v>209597.05000000002</v>
      </c>
      <c r="Y5" s="46">
        <f>Model!X412*'Assumptions (NG)'!W16</f>
        <v>211575.1389443762</v>
      </c>
      <c r="Z5" s="46">
        <f>Model!Y412*'Assumptions (NG)'!X16</f>
        <v>212936.83436956906</v>
      </c>
      <c r="AA5" s="46">
        <f>Model!Z412*'Assumptions (NG)'!Y16</f>
        <v>213682.13627557849</v>
      </c>
      <c r="AB5" s="46">
        <f>Model!AA412*'Assumptions (NG)'!Z16</f>
        <v>213811.0446624046</v>
      </c>
      <c r="AC5" s="46">
        <f>Model!AB412*'Assumptions (NG)'!AA16</f>
        <v>213323.55953004729</v>
      </c>
      <c r="AD5" s="46">
        <f>Model!AC412*'Assumptions (NG)'!AB16</f>
        <v>212219.68087850662</v>
      </c>
      <c r="AE5" s="46">
        <f>Model!AD412*'Assumptions (NG)'!AC16</f>
        <v>210499.40870778257</v>
      </c>
      <c r="AF5" s="46">
        <f>Model!AE412*'Assumptions (NG)'!AD16</f>
        <v>208162.74301787515</v>
      </c>
      <c r="AG5" s="46">
        <f>Model!AF412*'Assumptions (NG)'!AE16</f>
        <v>205209.68380878438</v>
      </c>
      <c r="AH5" s="46">
        <f>Model!AG412*'Assumptions (NG)'!AF16</f>
        <v>201640.23108051022</v>
      </c>
      <c r="AI5" s="46">
        <f>Model!AH412*'Assumptions (NG)'!AG16</f>
        <v>197454.38483305273</v>
      </c>
      <c r="AJ5" s="46">
        <f>Model!AI412*'Assumptions (NG)'!AH16</f>
        <v>192652.14506641182</v>
      </c>
      <c r="AK5" s="46">
        <f>Model!AJ412*'Assumptions (NG)'!AI16</f>
        <v>187233.51178058755</v>
      </c>
      <c r="AL5" s="46">
        <f>Model!AK412*'Assumptions (NG)'!AJ16</f>
        <v>181198.48497557995</v>
      </c>
      <c r="AM5" s="46">
        <f>Model!AL412*'Assumptions (NG)'!AK16</f>
        <v>174547.06465138894</v>
      </c>
      <c r="AN5" s="46">
        <f>Model!AM412*'Assumptions (NG)'!AL16</f>
        <v>167279.25080801456</v>
      </c>
      <c r="AO5" s="46">
        <f>Model!AN412*'Assumptions (NG)'!AM16</f>
        <v>159395.04344545683</v>
      </c>
      <c r="AP5" s="46">
        <f>Model!AO412*'Assumptions (NG)'!AN16</f>
        <v>150894.44256371571</v>
      </c>
      <c r="AQ5" s="46">
        <f>Model!AP412*'Assumptions (NG)'!AO16</f>
        <v>141777.44816279123</v>
      </c>
      <c r="AR5" s="46">
        <f>Model!AQ412*'Assumptions (NG)'!AP16</f>
        <v>132044.06024268336</v>
      </c>
      <c r="AS5" s="46">
        <f>Model!AR412*'Assumptions (NG)'!AQ16</f>
        <v>121694.27880339214</v>
      </c>
      <c r="AT5" s="46">
        <f>Model!AS412*'Assumptions (NG)'!AR16</f>
        <v>110728.10384491752</v>
      </c>
      <c r="AU5" s="46">
        <f>Model!AT412*'Assumptions (NG)'!AS16</f>
        <v>99145.535367259567</v>
      </c>
      <c r="AV5" s="46">
        <f>Model!AU412*'Assumptions (NG)'!AT16</f>
        <v>86946.573370418206</v>
      </c>
      <c r="AW5" s="46">
        <f>Model!AV412*'Assumptions (NG)'!AU16</f>
        <v>74131.217854393486</v>
      </c>
      <c r="AX5" s="46">
        <f>Model!AW412*'Assumptions (NG)'!AV16</f>
        <v>60699.468819185393</v>
      </c>
      <c r="AY5" s="46">
        <f>Model!AX412*'Assumptions (NG)'!AW16</f>
        <v>46651.326264793934</v>
      </c>
      <c r="AZ5" s="46">
        <f>Model!AY412*'Assumptions (NG)'!AX16</f>
        <v>31986.790191219097</v>
      </c>
      <c r="BA5" s="46">
        <f>Model!AZ412*'Assumptions (NG)'!AY16</f>
        <v>16705.860598460891</v>
      </c>
      <c r="BB5" s="46">
        <f>Model!BA412*'Assumptions (NG)'!AZ16</f>
        <v>808.53748651951901</v>
      </c>
      <c r="BC5" s="71"/>
      <c r="BD5" s="71"/>
      <c r="BE5" s="71"/>
      <c r="BF5" s="71"/>
      <c r="BG5" s="71"/>
      <c r="BH5" s="71"/>
      <c r="BI5" s="71"/>
      <c r="BJ5" s="71"/>
      <c r="BK5" s="71"/>
      <c r="BL5" s="71"/>
      <c r="BM5" s="71"/>
      <c r="BN5" s="71"/>
      <c r="BO5" s="71"/>
      <c r="BP5" s="71"/>
    </row>
    <row r="6" spans="1:68" ht="14.6">
      <c r="A6" s="43" t="s">
        <v>202</v>
      </c>
      <c r="B6" s="44" t="s">
        <v>170</v>
      </c>
      <c r="C6" s="45" t="s">
        <v>203</v>
      </c>
      <c r="D6" s="46">
        <f>Model!C653</f>
        <v>2365</v>
      </c>
      <c r="E6" s="46">
        <f>Model!D653</f>
        <v>3853</v>
      </c>
      <c r="F6" s="46">
        <f>Model!E653</f>
        <v>4405</v>
      </c>
      <c r="G6" s="46">
        <f>Model!F653</f>
        <v>5983</v>
      </c>
      <c r="H6" s="46">
        <f>Model!G653</f>
        <v>6442</v>
      </c>
      <c r="I6" s="46">
        <f>Model!H653</f>
        <v>8685</v>
      </c>
      <c r="J6" s="46">
        <f>Model!I653</f>
        <v>11283</v>
      </c>
      <c r="K6" s="46">
        <f>Model!J653</f>
        <v>16449</v>
      </c>
      <c r="L6" s="46">
        <f>Model!K653</f>
        <v>24589</v>
      </c>
      <c r="M6" s="46">
        <f>Model!L653</f>
        <v>34230</v>
      </c>
      <c r="N6" s="46">
        <f>Model!M653</f>
        <v>39068</v>
      </c>
      <c r="O6" s="46">
        <f>Model!N653</f>
        <v>45576.9</v>
      </c>
      <c r="P6" s="46">
        <f>Model!O653</f>
        <v>58836.500000000007</v>
      </c>
      <c r="Q6" s="46">
        <f>Model!P653</f>
        <v>59707.8</v>
      </c>
      <c r="R6" s="46">
        <f>Model!Q653</f>
        <v>63965.899999999987</v>
      </c>
      <c r="S6" s="46">
        <f>Model!R653</f>
        <v>72307.199999999997</v>
      </c>
      <c r="T6" s="46">
        <f>Model!S653</f>
        <v>81020.400000000023</v>
      </c>
      <c r="U6" s="46">
        <f>Model!T653</f>
        <v>91500</v>
      </c>
      <c r="V6" s="46">
        <f>Model!U653</f>
        <v>100000</v>
      </c>
      <c r="W6" s="46">
        <f>Model!V653</f>
        <v>107100</v>
      </c>
      <c r="X6" s="46">
        <f>Model!W653</f>
        <v>122000</v>
      </c>
      <c r="Y6" s="46">
        <f>Model!X653</f>
        <v>179422.99240941199</v>
      </c>
      <c r="Z6" s="46">
        <f>Model!Y653</f>
        <v>236845.98481882398</v>
      </c>
      <c r="AA6" s="46">
        <f>Model!Z653</f>
        <v>294268.97722823598</v>
      </c>
      <c r="AB6" s="46">
        <f>Model!AA653</f>
        <v>351691.96963764797</v>
      </c>
      <c r="AC6" s="46">
        <f>Model!AB653</f>
        <v>409114.96204705996</v>
      </c>
      <c r="AD6" s="46">
        <f>Model!AC653</f>
        <v>466537.95445647195</v>
      </c>
      <c r="AE6" s="46">
        <f>Model!AD653</f>
        <v>523960.94686588395</v>
      </c>
      <c r="AF6" s="46">
        <f>Model!AE653</f>
        <v>581383.93927529594</v>
      </c>
      <c r="AG6" s="46">
        <f>Model!AF653</f>
        <v>638806.93168470799</v>
      </c>
      <c r="AH6" s="46">
        <f>Model!AG653</f>
        <v>696229.92409412004</v>
      </c>
      <c r="AI6" s="46">
        <f>Model!AH653</f>
        <v>753652.91650353209</v>
      </c>
      <c r="AJ6" s="46">
        <f>Model!AI653</f>
        <v>811075.90891294414</v>
      </c>
      <c r="AK6" s="46">
        <f>Model!AJ653</f>
        <v>868498.90132235619</v>
      </c>
      <c r="AL6" s="46">
        <f>Model!AK653</f>
        <v>925921.89373176824</v>
      </c>
      <c r="AM6" s="46">
        <f>Model!AL653</f>
        <v>983344.88614118029</v>
      </c>
      <c r="AN6" s="46">
        <f>Model!AM653</f>
        <v>1040767.8785505923</v>
      </c>
      <c r="AO6" s="46">
        <f>Model!AN653</f>
        <v>1098190.8709600044</v>
      </c>
      <c r="AP6" s="46">
        <f>Model!AO653</f>
        <v>1155613.8633694164</v>
      </c>
      <c r="AQ6" s="46">
        <f>Model!AP653</f>
        <v>1213036.8557788285</v>
      </c>
      <c r="AR6" s="46">
        <f>Model!AQ653</f>
        <v>1270459.8481882405</v>
      </c>
      <c r="AS6" s="46">
        <f>Model!AR653</f>
        <v>1327882.8405976526</v>
      </c>
      <c r="AT6" s="46">
        <f>Model!AS653</f>
        <v>1385305.8330070646</v>
      </c>
      <c r="AU6" s="46">
        <f>Model!AT653</f>
        <v>1442728.8254164767</v>
      </c>
      <c r="AV6" s="46">
        <f>Model!AU653</f>
        <v>1500151.8178258887</v>
      </c>
      <c r="AW6" s="46">
        <f>Model!AV653</f>
        <v>1557574.8102353008</v>
      </c>
      <c r="AX6" s="46">
        <f>Model!AW653</f>
        <v>1614997.8026447129</v>
      </c>
      <c r="AY6" s="46">
        <f>Model!AX653</f>
        <v>1672420.7950541249</v>
      </c>
      <c r="AZ6" s="46">
        <f>Model!AY653</f>
        <v>1729843.787463537</v>
      </c>
      <c r="BA6" s="46">
        <f>Model!AZ653</f>
        <v>1787266.779872949</v>
      </c>
      <c r="BB6" s="46">
        <f>Model!BA653</f>
        <v>1844689.7722823599</v>
      </c>
      <c r="BC6" s="71"/>
      <c r="BD6" s="71"/>
      <c r="BE6" s="71"/>
      <c r="BF6" s="71"/>
      <c r="BG6" s="71"/>
      <c r="BH6" s="71"/>
      <c r="BI6" s="71"/>
      <c r="BJ6" s="71"/>
      <c r="BK6" s="71"/>
      <c r="BL6" s="71"/>
      <c r="BM6" s="71"/>
      <c r="BN6" s="71"/>
      <c r="BO6" s="71"/>
      <c r="BP6" s="71"/>
    </row>
    <row r="7" spans="1:68" ht="14.6">
      <c r="A7" s="43" t="s">
        <v>205</v>
      </c>
      <c r="B7" s="44" t="s">
        <v>170</v>
      </c>
      <c r="C7" s="45" t="s">
        <v>206</v>
      </c>
      <c r="D7" s="46">
        <f>Model!C878</f>
        <v>386</v>
      </c>
      <c r="E7" s="46">
        <f>Model!D878</f>
        <v>392</v>
      </c>
      <c r="F7" s="46">
        <f>Model!E878</f>
        <v>397</v>
      </c>
      <c r="G7" s="46">
        <f>Model!F878</f>
        <v>397</v>
      </c>
      <c r="H7" s="46">
        <f>Model!G878</f>
        <v>398</v>
      </c>
      <c r="I7" s="46">
        <f>Model!H878</f>
        <v>411</v>
      </c>
      <c r="J7" s="46">
        <f>Model!I878</f>
        <v>411</v>
      </c>
      <c r="K7" s="46">
        <f>Model!J878</f>
        <v>503</v>
      </c>
      <c r="L7" s="46">
        <f>Model!K878</f>
        <v>535</v>
      </c>
      <c r="M7" s="46">
        <f>Model!L878</f>
        <v>617</v>
      </c>
      <c r="N7" s="46">
        <f>Model!M878</f>
        <v>940</v>
      </c>
      <c r="O7" s="46">
        <f>Model!N878</f>
        <v>1521.3000000000002</v>
      </c>
      <c r="P7" s="46">
        <f>Model!O878</f>
        <v>3162.9000000000005</v>
      </c>
      <c r="Q7" s="46">
        <f>Model!P878</f>
        <v>6607.3</v>
      </c>
      <c r="R7" s="46">
        <f>Model!Q878</f>
        <v>10291.099999999999</v>
      </c>
      <c r="S7" s="46">
        <f>Model!R878</f>
        <v>13619.099999999999</v>
      </c>
      <c r="T7" s="46">
        <f>Model!S878</f>
        <v>36300</v>
      </c>
      <c r="U7" s="46">
        <f>Model!T878</f>
        <v>47000</v>
      </c>
      <c r="V7" s="46">
        <f>Model!U878</f>
        <v>56000</v>
      </c>
      <c r="W7" s="46">
        <f>Model!V878</f>
        <v>72000</v>
      </c>
      <c r="X7" s="46">
        <f>Model!W878</f>
        <v>82000</v>
      </c>
      <c r="Y7" s="46">
        <f>Model!X878</f>
        <v>624037.72650666663</v>
      </c>
      <c r="Z7" s="46">
        <f>Model!Y878</f>
        <v>1166075.4530133333</v>
      </c>
      <c r="AA7" s="46">
        <f>Model!Z878</f>
        <v>1708113.1795199998</v>
      </c>
      <c r="AB7" s="46">
        <f>Model!AA878</f>
        <v>2250150.9060266665</v>
      </c>
      <c r="AC7" s="46">
        <f>Model!AB878</f>
        <v>2792188.6325333333</v>
      </c>
      <c r="AD7" s="46">
        <f>Model!AC878</f>
        <v>3334226.35904</v>
      </c>
      <c r="AE7" s="46">
        <f>Model!AD878</f>
        <v>3876264.0855466668</v>
      </c>
      <c r="AF7" s="46">
        <f>Model!AE878</f>
        <v>4418301.812053333</v>
      </c>
      <c r="AG7" s="46">
        <f>Model!AF878</f>
        <v>4960339.5385599993</v>
      </c>
      <c r="AH7" s="46">
        <f>Model!AG878</f>
        <v>5502377.2650666656</v>
      </c>
      <c r="AI7" s="46">
        <f>Model!AH878</f>
        <v>6044414.9915733319</v>
      </c>
      <c r="AJ7" s="46">
        <f>Model!AI878</f>
        <v>6586452.7180799982</v>
      </c>
      <c r="AK7" s="46">
        <f>Model!AJ878</f>
        <v>7128490.4445866644</v>
      </c>
      <c r="AL7" s="46">
        <f>Model!AK878</f>
        <v>7670528.1710933307</v>
      </c>
      <c r="AM7" s="46">
        <f>Model!AL878</f>
        <v>8212565.897599997</v>
      </c>
      <c r="AN7" s="46">
        <f>Model!AM878</f>
        <v>8754603.6241066642</v>
      </c>
      <c r="AO7" s="46">
        <f>Model!AN878</f>
        <v>9296641.3506133314</v>
      </c>
      <c r="AP7" s="46">
        <f>Model!AO878</f>
        <v>9838679.0771199986</v>
      </c>
      <c r="AQ7" s="46">
        <f>Model!AP878</f>
        <v>10380716.803626666</v>
      </c>
      <c r="AR7" s="46">
        <f>Model!AQ878</f>
        <v>10922754.530133333</v>
      </c>
      <c r="AS7" s="46">
        <f>Model!AR878</f>
        <v>11464792.25664</v>
      </c>
      <c r="AT7" s="46">
        <f>Model!AS878</f>
        <v>12006829.983146667</v>
      </c>
      <c r="AU7" s="46">
        <f>Model!AT878</f>
        <v>12548867.709653335</v>
      </c>
      <c r="AV7" s="46">
        <f>Model!AU878</f>
        <v>13090905.436160002</v>
      </c>
      <c r="AW7" s="46">
        <f>Model!AV878</f>
        <v>13632943.162666669</v>
      </c>
      <c r="AX7" s="46">
        <f>Model!AW878</f>
        <v>14174980.889173336</v>
      </c>
      <c r="AY7" s="46">
        <f>Model!AX878</f>
        <v>14717018.615680004</v>
      </c>
      <c r="AZ7" s="46">
        <f>Model!AY878</f>
        <v>15259056.342186671</v>
      </c>
      <c r="BA7" s="46">
        <f>Model!AZ878</f>
        <v>15801094.068693338</v>
      </c>
      <c r="BB7" s="46">
        <f>Model!BA878</f>
        <v>16343131.7952</v>
      </c>
      <c r="BC7" s="71"/>
      <c r="BD7" s="71"/>
      <c r="BE7" s="71"/>
      <c r="BF7" s="71"/>
      <c r="BG7" s="71"/>
      <c r="BH7" s="71"/>
      <c r="BI7" s="71"/>
      <c r="BJ7" s="71"/>
      <c r="BK7" s="71"/>
      <c r="BL7" s="71"/>
      <c r="BM7" s="71"/>
      <c r="BN7" s="71"/>
      <c r="BO7" s="71"/>
      <c r="BP7" s="71"/>
    </row>
    <row r="8" spans="1:68" ht="14.6">
      <c r="A8" s="43" t="s">
        <v>211</v>
      </c>
      <c r="B8" s="44" t="s">
        <v>170</v>
      </c>
      <c r="C8" s="45" t="s">
        <v>212</v>
      </c>
      <c r="D8" s="110">
        <v>0</v>
      </c>
      <c r="E8" s="110">
        <v>0</v>
      </c>
      <c r="F8" s="110">
        <v>0</v>
      </c>
      <c r="G8" s="110">
        <v>0</v>
      </c>
      <c r="H8" s="110">
        <v>0</v>
      </c>
      <c r="I8" s="110">
        <v>0</v>
      </c>
      <c r="J8" s="110">
        <v>0</v>
      </c>
      <c r="K8" s="110">
        <v>0</v>
      </c>
      <c r="L8" s="110">
        <v>0</v>
      </c>
      <c r="M8" s="110">
        <v>0</v>
      </c>
      <c r="N8" s="110">
        <v>0</v>
      </c>
      <c r="O8" s="110">
        <v>0</v>
      </c>
      <c r="P8" s="110">
        <v>0</v>
      </c>
      <c r="Q8" s="110">
        <v>0</v>
      </c>
      <c r="R8" s="110">
        <v>0</v>
      </c>
      <c r="S8" s="110">
        <v>0</v>
      </c>
      <c r="T8" s="110">
        <v>0</v>
      </c>
      <c r="U8" s="110">
        <v>0</v>
      </c>
      <c r="V8" s="110">
        <v>0</v>
      </c>
      <c r="W8" s="110">
        <v>0</v>
      </c>
      <c r="X8" s="110">
        <v>0</v>
      </c>
      <c r="Y8" s="110">
        <v>0</v>
      </c>
      <c r="Z8" s="110">
        <v>0</v>
      </c>
      <c r="AA8" s="110">
        <v>0</v>
      </c>
      <c r="AB8" s="110">
        <v>0</v>
      </c>
      <c r="AC8" s="110">
        <v>0</v>
      </c>
      <c r="AD8" s="110">
        <v>0</v>
      </c>
      <c r="AE8" s="110">
        <v>0</v>
      </c>
      <c r="AF8" s="110">
        <v>0</v>
      </c>
      <c r="AG8" s="110">
        <v>0</v>
      </c>
      <c r="AH8" s="110">
        <v>0</v>
      </c>
      <c r="AI8" s="110">
        <v>0</v>
      </c>
      <c r="AJ8" s="110">
        <v>0</v>
      </c>
      <c r="AK8" s="110">
        <v>0</v>
      </c>
      <c r="AL8" s="110">
        <v>0</v>
      </c>
      <c r="AM8" s="110">
        <v>0</v>
      </c>
      <c r="AN8" s="110">
        <v>0</v>
      </c>
      <c r="AO8" s="110">
        <v>0</v>
      </c>
      <c r="AP8" s="110">
        <v>0</v>
      </c>
      <c r="AQ8" s="110">
        <v>0</v>
      </c>
      <c r="AR8" s="110">
        <v>0</v>
      </c>
      <c r="AS8" s="110">
        <v>0</v>
      </c>
      <c r="AT8" s="110">
        <v>0</v>
      </c>
      <c r="AU8" s="110">
        <v>0</v>
      </c>
      <c r="AV8" s="110">
        <v>0</v>
      </c>
      <c r="AW8" s="110">
        <v>0</v>
      </c>
      <c r="AX8" s="110">
        <v>0</v>
      </c>
      <c r="AY8" s="110">
        <v>0</v>
      </c>
      <c r="AZ8" s="110">
        <v>0</v>
      </c>
      <c r="BA8" s="110">
        <v>0</v>
      </c>
      <c r="BB8" s="110">
        <v>0</v>
      </c>
      <c r="BC8" s="71"/>
      <c r="BD8" s="71"/>
      <c r="BE8" s="71"/>
      <c r="BF8" s="71"/>
      <c r="BG8" s="71"/>
      <c r="BH8" s="71"/>
      <c r="BI8" s="71"/>
      <c r="BJ8" s="71"/>
      <c r="BK8" s="71"/>
      <c r="BL8" s="71"/>
      <c r="BM8" s="71"/>
      <c r="BN8" s="71"/>
      <c r="BO8" s="71"/>
      <c r="BP8" s="71"/>
    </row>
    <row r="9" spans="1:68" ht="14.6">
      <c r="A9" s="43" t="s">
        <v>213</v>
      </c>
      <c r="B9" s="44" t="s">
        <v>170</v>
      </c>
      <c r="C9" s="45" t="s">
        <v>214</v>
      </c>
      <c r="D9" s="46">
        <f>Model!C1103</f>
        <v>97860</v>
      </c>
      <c r="E9" s="46">
        <f>Model!D1103</f>
        <v>98159</v>
      </c>
      <c r="F9" s="46">
        <f>Model!E1103</f>
        <v>98658</v>
      </c>
      <c r="G9" s="46">
        <f>Model!F1103</f>
        <v>99209</v>
      </c>
      <c r="H9" s="46">
        <f>Model!G1103</f>
        <v>99628</v>
      </c>
      <c r="I9" s="46">
        <f>Model!H1103</f>
        <v>99988</v>
      </c>
      <c r="J9" s="46">
        <f>Model!I1103</f>
        <v>100334</v>
      </c>
      <c r="K9" s="46">
        <f>Model!J1103</f>
        <v>100266</v>
      </c>
      <c r="L9" s="46">
        <f>Model!K1103</f>
        <v>100756</v>
      </c>
      <c r="M9" s="46">
        <f>Model!L1103</f>
        <v>101004</v>
      </c>
      <c r="N9" s="46">
        <f>Model!M1103</f>
        <v>101167</v>
      </c>
      <c r="O9" s="46">
        <f>Model!N1103</f>
        <v>101418.79999999999</v>
      </c>
      <c r="P9" s="46">
        <f>Model!O1103</f>
        <v>101884.99999999999</v>
      </c>
      <c r="Q9" s="46">
        <f>Model!P1103</f>
        <v>99240.299999999988</v>
      </c>
      <c r="R9" s="46">
        <f>Model!Q1103</f>
        <v>98569.3</v>
      </c>
      <c r="S9" s="46">
        <f>Model!R1103</f>
        <v>98672</v>
      </c>
      <c r="T9" s="46">
        <f>Model!S1103</f>
        <v>99564.800000000003</v>
      </c>
      <c r="U9" s="46">
        <f>Model!T1103</f>
        <v>99348</v>
      </c>
      <c r="V9" s="46">
        <f>Model!U1103</f>
        <v>98646</v>
      </c>
      <c r="W9" s="46">
        <f>Model!V1103</f>
        <v>97474</v>
      </c>
      <c r="X9" s="46">
        <f>Model!W1103</f>
        <v>94840</v>
      </c>
      <c r="Y9" s="46">
        <f>Model!X1103</f>
        <v>91678.666666666672</v>
      </c>
      <c r="Z9" s="46">
        <f>Model!Y1103</f>
        <v>88517.333333333343</v>
      </c>
      <c r="AA9" s="46">
        <f>Model!Z1103</f>
        <v>85356.000000000015</v>
      </c>
      <c r="AB9" s="46">
        <f>Model!AA1103</f>
        <v>82194.666666666686</v>
      </c>
      <c r="AC9" s="46">
        <f>Model!AB1103</f>
        <v>79033.333333333358</v>
      </c>
      <c r="AD9" s="46">
        <f>Model!AC1103</f>
        <v>75872.000000000029</v>
      </c>
      <c r="AE9" s="46">
        <f>Model!AD1103</f>
        <v>72710.666666666701</v>
      </c>
      <c r="AF9" s="46">
        <f>Model!AE1103</f>
        <v>69549.333333333372</v>
      </c>
      <c r="AG9" s="46">
        <f>Model!AF1103</f>
        <v>66388.000000000044</v>
      </c>
      <c r="AH9" s="46">
        <f>Model!AG1103</f>
        <v>63226.666666666708</v>
      </c>
      <c r="AI9" s="46">
        <f>Model!AH1103</f>
        <v>60065.333333333372</v>
      </c>
      <c r="AJ9" s="46">
        <f>Model!AI1103</f>
        <v>56904.000000000036</v>
      </c>
      <c r="AK9" s="46">
        <f>Model!AJ1103</f>
        <v>53742.666666666701</v>
      </c>
      <c r="AL9" s="46">
        <f>Model!AK1103</f>
        <v>50581.333333333365</v>
      </c>
      <c r="AM9" s="46">
        <f>Model!AL1103</f>
        <v>47420.000000000029</v>
      </c>
      <c r="AN9" s="46">
        <f>Model!AM1103</f>
        <v>44258.666666666693</v>
      </c>
      <c r="AO9" s="46">
        <f>Model!AN1103</f>
        <v>41097.333333333358</v>
      </c>
      <c r="AP9" s="46">
        <f>Model!AO1103</f>
        <v>37936.000000000022</v>
      </c>
      <c r="AQ9" s="46">
        <f>Model!AP1103</f>
        <v>34774.666666666686</v>
      </c>
      <c r="AR9" s="46">
        <f>Model!AQ1103</f>
        <v>31613.333333333354</v>
      </c>
      <c r="AS9" s="46">
        <f>Model!AR1103</f>
        <v>28452.000000000022</v>
      </c>
      <c r="AT9" s="46">
        <f>Model!AS1103</f>
        <v>25290.66666666669</v>
      </c>
      <c r="AU9" s="46">
        <f>Model!AT1103</f>
        <v>22129.333333333358</v>
      </c>
      <c r="AV9" s="46">
        <f>Model!AU1103</f>
        <v>18968.000000000025</v>
      </c>
      <c r="AW9" s="46">
        <f>Model!AV1103</f>
        <v>15806.666666666692</v>
      </c>
      <c r="AX9" s="46">
        <f>Model!AW1103</f>
        <v>12645.333333333358</v>
      </c>
      <c r="AY9" s="46">
        <f>Model!AX1103</f>
        <v>9484.0000000000236</v>
      </c>
      <c r="AZ9" s="46">
        <f>Model!AY1103</f>
        <v>6322.6666666666897</v>
      </c>
      <c r="BA9" s="46">
        <f>Model!AZ1103</f>
        <v>3161.3333333333562</v>
      </c>
      <c r="BB9" s="46">
        <f>Model!BA1103</f>
        <v>0</v>
      </c>
      <c r="BC9" s="71"/>
      <c r="BD9" s="71"/>
      <c r="BE9" s="71"/>
      <c r="BF9" s="71"/>
      <c r="BG9" s="71"/>
      <c r="BH9" s="71"/>
      <c r="BI9" s="71"/>
      <c r="BJ9" s="71"/>
      <c r="BK9" s="71"/>
      <c r="BL9" s="71"/>
      <c r="BM9" s="71"/>
      <c r="BN9" s="71"/>
      <c r="BO9" s="71"/>
      <c r="BP9" s="71"/>
    </row>
    <row r="10" spans="1:68" ht="14.6">
      <c r="A10" s="43" t="s">
        <v>215</v>
      </c>
      <c r="B10" s="44" t="s">
        <v>170</v>
      </c>
      <c r="C10" s="45" t="s">
        <v>216</v>
      </c>
      <c r="D10" s="46">
        <f>Model!C1330</f>
        <v>78940</v>
      </c>
      <c r="E10" s="46">
        <f>Model!D1330</f>
        <v>78492</v>
      </c>
      <c r="F10" s="46">
        <f>Model!E1330</f>
        <v>78939</v>
      </c>
      <c r="G10" s="46">
        <f>Model!F1330</f>
        <v>78275</v>
      </c>
      <c r="H10" s="46">
        <f>Model!G1330</f>
        <v>77226</v>
      </c>
      <c r="I10" s="46">
        <f>Model!H1330</f>
        <v>77121</v>
      </c>
      <c r="J10" s="46">
        <f>Model!I1330</f>
        <v>77402</v>
      </c>
      <c r="K10" s="46">
        <f>Model!J1330</f>
        <v>77466</v>
      </c>
      <c r="L10" s="46">
        <f>Model!K1330</f>
        <v>77512</v>
      </c>
      <c r="M10" s="46">
        <f>Model!L1330</f>
        <v>78087</v>
      </c>
      <c r="N10" s="46">
        <f>Model!M1330</f>
        <v>78388</v>
      </c>
      <c r="O10" s="46">
        <f>Model!N1330</f>
        <v>78212.7</v>
      </c>
      <c r="P10" s="46">
        <f>Model!O1330</f>
        <v>78297.399999999994</v>
      </c>
      <c r="Q10" s="46">
        <f>Model!P1330</f>
        <v>78759.399999999994</v>
      </c>
      <c r="R10" s="46">
        <f>Model!Q1330</f>
        <v>79216.600000000006</v>
      </c>
      <c r="S10" s="46">
        <f>Model!R1330</f>
        <v>79198.099999999991</v>
      </c>
      <c r="T10" s="46">
        <f>Model!S1330</f>
        <v>79416.600000000006</v>
      </c>
      <c r="U10" s="46">
        <f>Model!T1330</f>
        <v>79248</v>
      </c>
      <c r="V10" s="46">
        <f>Model!U1330</f>
        <v>79477</v>
      </c>
      <c r="W10" s="46">
        <f>Model!V1330</f>
        <v>79376</v>
      </c>
      <c r="X10" s="46">
        <f>Model!W1330</f>
        <v>79376</v>
      </c>
      <c r="Y10" s="46">
        <f>Model!X1330</f>
        <v>76730.133333333331</v>
      </c>
      <c r="Z10" s="46">
        <f>Model!Y1330</f>
        <v>74084.266666666663</v>
      </c>
      <c r="AA10" s="46">
        <f>Model!Z1330</f>
        <v>71438.399999999994</v>
      </c>
      <c r="AB10" s="46">
        <f>Model!AA1330</f>
        <v>68792.533333333326</v>
      </c>
      <c r="AC10" s="46">
        <f>Model!AB1330</f>
        <v>66146.666666666657</v>
      </c>
      <c r="AD10" s="46">
        <f>Model!AC1330</f>
        <v>63500.799999999988</v>
      </c>
      <c r="AE10" s="46">
        <f>Model!AD1330</f>
        <v>60854.93333333332</v>
      </c>
      <c r="AF10" s="46">
        <f>Model!AE1330</f>
        <v>58209.066666666651</v>
      </c>
      <c r="AG10" s="46">
        <f>Model!AF1330</f>
        <v>55563.199999999983</v>
      </c>
      <c r="AH10" s="46">
        <f>Model!AG1330</f>
        <v>52917.333333333314</v>
      </c>
      <c r="AI10" s="46">
        <f>Model!AH1330</f>
        <v>50271.466666666645</v>
      </c>
      <c r="AJ10" s="46">
        <f>Model!AI1330</f>
        <v>47625.599999999977</v>
      </c>
      <c r="AK10" s="46">
        <f>Model!AJ1330</f>
        <v>44979.733333333308</v>
      </c>
      <c r="AL10" s="46">
        <f>Model!AK1330</f>
        <v>42333.86666666664</v>
      </c>
      <c r="AM10" s="46">
        <f>Model!AL1330</f>
        <v>39687.999999999971</v>
      </c>
      <c r="AN10" s="46">
        <f>Model!AM1330</f>
        <v>37042.133333333302</v>
      </c>
      <c r="AO10" s="46">
        <f>Model!AN1330</f>
        <v>34396.266666666634</v>
      </c>
      <c r="AP10" s="46">
        <f>Model!AO1330</f>
        <v>31750.399999999965</v>
      </c>
      <c r="AQ10" s="46">
        <f>Model!AP1330</f>
        <v>29104.533333333296</v>
      </c>
      <c r="AR10" s="46">
        <f>Model!AQ1330</f>
        <v>26458.666666666628</v>
      </c>
      <c r="AS10" s="46">
        <f>Model!AR1330</f>
        <v>23812.799999999959</v>
      </c>
      <c r="AT10" s="46">
        <f>Model!AS1330</f>
        <v>21166.933333333291</v>
      </c>
      <c r="AU10" s="46">
        <f>Model!AT1330</f>
        <v>18521.066666666622</v>
      </c>
      <c r="AV10" s="46">
        <f>Model!AU1330</f>
        <v>15875.199999999955</v>
      </c>
      <c r="AW10" s="46">
        <f>Model!AV1330</f>
        <v>13229.333333333288</v>
      </c>
      <c r="AX10" s="46">
        <f>Model!AW1330</f>
        <v>10583.466666666622</v>
      </c>
      <c r="AY10" s="46">
        <f>Model!AX1330</f>
        <v>7937.5999999999549</v>
      </c>
      <c r="AZ10" s="46">
        <f>Model!AY1330</f>
        <v>5291.7333333332881</v>
      </c>
      <c r="BA10" s="46">
        <f>Model!AZ1330</f>
        <v>2645.8666666666213</v>
      </c>
      <c r="BB10" s="46">
        <f>Model!BA1330</f>
        <v>0</v>
      </c>
      <c r="BC10" s="71"/>
      <c r="BD10" s="71"/>
      <c r="BE10" s="71"/>
      <c r="BF10" s="71"/>
      <c r="BG10" s="71"/>
      <c r="BH10" s="71"/>
      <c r="BI10" s="71"/>
      <c r="BJ10" s="71"/>
      <c r="BK10" s="71"/>
      <c r="BL10" s="71"/>
      <c r="BM10" s="71"/>
      <c r="BN10" s="71"/>
      <c r="BO10" s="71"/>
      <c r="BP10" s="71"/>
    </row>
    <row r="11" spans="1:68" ht="14.6">
      <c r="A11" s="43" t="s">
        <v>219</v>
      </c>
      <c r="B11" s="44" t="s">
        <v>170</v>
      </c>
      <c r="C11" s="45" t="s">
        <v>220</v>
      </c>
      <c r="D11" s="46">
        <f>Model!C1555</f>
        <v>2760</v>
      </c>
      <c r="E11" s="46">
        <f>Model!D1555</f>
        <v>2184</v>
      </c>
      <c r="F11" s="46">
        <f>Model!E1555</f>
        <v>2219</v>
      </c>
      <c r="G11" s="46">
        <f>Model!F1555</f>
        <v>2101</v>
      </c>
      <c r="H11" s="46">
        <f>Model!G1555</f>
        <v>2121</v>
      </c>
      <c r="I11" s="46">
        <f>Model!H1555</f>
        <v>2254</v>
      </c>
      <c r="J11" s="46">
        <f>Model!I1555</f>
        <v>2243</v>
      </c>
      <c r="K11" s="46">
        <f>Model!J1555</f>
        <v>2184</v>
      </c>
      <c r="L11" s="46">
        <f>Model!K1555</f>
        <v>2199</v>
      </c>
      <c r="M11" s="46">
        <f>Model!L1555</f>
        <v>2351</v>
      </c>
      <c r="N11" s="46">
        <f>Model!M1555</f>
        <v>2375</v>
      </c>
      <c r="O11" s="46">
        <f>Model!N1555</f>
        <v>2378.1999999999998</v>
      </c>
      <c r="P11" s="46">
        <f>Model!O1555</f>
        <v>2549.1</v>
      </c>
      <c r="Q11" s="46">
        <f>Model!P1555</f>
        <v>2564</v>
      </c>
      <c r="R11" s="46">
        <f>Model!Q1555</f>
        <v>2471.3000000000002</v>
      </c>
      <c r="S11" s="46">
        <f>Model!R1555</f>
        <v>2498.5</v>
      </c>
      <c r="T11" s="46">
        <f>Model!S1555</f>
        <v>2473.6</v>
      </c>
      <c r="U11" s="46">
        <f>Model!T1555</f>
        <v>2451</v>
      </c>
      <c r="V11" s="46">
        <f>Model!U1555</f>
        <v>2451</v>
      </c>
      <c r="W11" s="46">
        <f>Model!V1555</f>
        <v>2486</v>
      </c>
      <c r="X11" s="46">
        <f>Model!W1555</f>
        <v>2486</v>
      </c>
      <c r="Y11" s="46">
        <f>Model!X1555</f>
        <v>2403.1366666666668</v>
      </c>
      <c r="Z11" s="46">
        <f>Model!Y1555</f>
        <v>2320.2733333333335</v>
      </c>
      <c r="AA11" s="46">
        <f>Model!Z1555</f>
        <v>2237.4100000000003</v>
      </c>
      <c r="AB11" s="46">
        <f>Model!AA1555</f>
        <v>2154.5466666666671</v>
      </c>
      <c r="AC11" s="46">
        <f>Model!AB1555</f>
        <v>2071.6833333333338</v>
      </c>
      <c r="AD11" s="46">
        <f>Model!AC1555</f>
        <v>1988.8200000000006</v>
      </c>
      <c r="AE11" s="46">
        <f>Model!AD1555</f>
        <v>1905.9566666666674</v>
      </c>
      <c r="AF11" s="46">
        <f>Model!AE1555</f>
        <v>1823.0933333333342</v>
      </c>
      <c r="AG11" s="46">
        <f>Model!AF1555</f>
        <v>1740.2300000000009</v>
      </c>
      <c r="AH11" s="46">
        <f>Model!AG1555</f>
        <v>1657.3666666666677</v>
      </c>
      <c r="AI11" s="46">
        <f>Model!AH1555</f>
        <v>1574.5033333333345</v>
      </c>
      <c r="AJ11" s="46">
        <f>Model!AI1555</f>
        <v>1491.6400000000012</v>
      </c>
      <c r="AK11" s="46">
        <f>Model!AJ1555</f>
        <v>1408.776666666668</v>
      </c>
      <c r="AL11" s="46">
        <f>Model!AK1555</f>
        <v>1325.9133333333348</v>
      </c>
      <c r="AM11" s="46">
        <f>Model!AL1555</f>
        <v>1243.0500000000015</v>
      </c>
      <c r="AN11" s="46">
        <f>Model!AM1555</f>
        <v>1160.1866666666683</v>
      </c>
      <c r="AO11" s="46">
        <f>Model!AN1555</f>
        <v>1077.3233333333351</v>
      </c>
      <c r="AP11" s="46">
        <f>Model!AO1555</f>
        <v>994.46000000000174</v>
      </c>
      <c r="AQ11" s="46">
        <f>Model!AP1555</f>
        <v>911.5966666666684</v>
      </c>
      <c r="AR11" s="46">
        <f>Model!AQ1555</f>
        <v>828.73333333333505</v>
      </c>
      <c r="AS11" s="46">
        <f>Model!AR1555</f>
        <v>745.87000000000171</v>
      </c>
      <c r="AT11" s="46">
        <f>Model!AS1555</f>
        <v>663.00666666666837</v>
      </c>
      <c r="AU11" s="46">
        <f>Model!AT1555</f>
        <v>580.14333333333502</v>
      </c>
      <c r="AV11" s="46">
        <f>Model!AU1555</f>
        <v>497.28000000000168</v>
      </c>
      <c r="AW11" s="46">
        <f>Model!AV1555</f>
        <v>414.41666666666833</v>
      </c>
      <c r="AX11" s="46">
        <f>Model!AW1555</f>
        <v>331.55333333333499</v>
      </c>
      <c r="AY11" s="46">
        <f>Model!AX1555</f>
        <v>248.69000000000165</v>
      </c>
      <c r="AZ11" s="46">
        <f>Model!AY1555</f>
        <v>165.8266666666683</v>
      </c>
      <c r="BA11" s="46">
        <f>Model!AZ1555</f>
        <v>82.963333333334973</v>
      </c>
      <c r="BB11" s="46">
        <f>Model!BA1555</f>
        <v>0.1</v>
      </c>
      <c r="BC11" s="71"/>
      <c r="BD11" s="71"/>
      <c r="BE11" s="71"/>
      <c r="BF11" s="71"/>
      <c r="BG11" s="71"/>
      <c r="BH11" s="71"/>
      <c r="BI11" s="71"/>
      <c r="BJ11" s="71"/>
      <c r="BK11" s="71"/>
      <c r="BL11" s="71"/>
      <c r="BM11" s="71"/>
      <c r="BN11" s="71"/>
      <c r="BO11" s="71"/>
      <c r="BP11" s="71"/>
    </row>
    <row r="12" spans="1:68" ht="14.6">
      <c r="A12" s="43" t="s">
        <v>225</v>
      </c>
      <c r="B12" s="44" t="s">
        <v>170</v>
      </c>
      <c r="C12" s="45" t="s">
        <v>226</v>
      </c>
      <c r="D12" s="46">
        <f>Model!C1780+Model!C2005</f>
        <v>9869</v>
      </c>
      <c r="E12" s="46">
        <f>Model!D1780+Model!D2005</f>
        <v>9488</v>
      </c>
      <c r="F12" s="46">
        <f>Model!E1780+Model!E2005</f>
        <v>9539</v>
      </c>
      <c r="G12" s="46">
        <f>Model!F1780+Model!F2005</f>
        <v>9522</v>
      </c>
      <c r="H12" s="46">
        <f>Model!G1780+Model!G2005</f>
        <v>9604</v>
      </c>
      <c r="I12" s="46">
        <f>Model!H1780+Model!H2005</f>
        <v>9699</v>
      </c>
      <c r="J12" s="46">
        <f>Model!I1780+Model!I2005</f>
        <v>9989</v>
      </c>
      <c r="K12" s="46">
        <f>Model!J1780+Model!J2005</f>
        <v>10730</v>
      </c>
      <c r="L12" s="46">
        <f>Model!K1780+Model!K2005</f>
        <v>10942</v>
      </c>
      <c r="M12" s="46">
        <f>Model!L1780+Model!L2005</f>
        <v>11040</v>
      </c>
      <c r="N12" s="46">
        <f>Model!M1780+Model!M2005</f>
        <v>11188</v>
      </c>
      <c r="O12" s="46">
        <f>Model!N1780+Model!N2005</f>
        <v>11390.8</v>
      </c>
      <c r="P12" s="46">
        <f>Model!O1780+Model!O2005</f>
        <v>12091</v>
      </c>
      <c r="Q12" s="46">
        <f>Model!P1780+Model!P2005</f>
        <v>13140.6</v>
      </c>
      <c r="R12" s="46">
        <f>Model!Q1780+Model!Q2005</f>
        <v>13280.5</v>
      </c>
      <c r="S12" s="46">
        <f>Model!R1780+Model!R2005</f>
        <v>13841.3</v>
      </c>
      <c r="T12" s="46">
        <f>Model!S1780+Model!S2005</f>
        <v>12456.5</v>
      </c>
      <c r="U12" s="46">
        <f>Model!T1780+Model!T2005</f>
        <v>12040</v>
      </c>
      <c r="V12" s="46">
        <f>Model!U1780+Model!U2005</f>
        <v>11926</v>
      </c>
      <c r="W12" s="46">
        <f>Model!V1780+Model!V2005</f>
        <v>12395</v>
      </c>
      <c r="X12" s="46">
        <f>Model!W1780+Model!W2005</f>
        <v>12446</v>
      </c>
      <c r="Y12" s="46">
        <f>Model!X1780+Model!X2005</f>
        <v>12031.138333333332</v>
      </c>
      <c r="Z12" s="46">
        <f>Model!Y1780+Model!Y2005</f>
        <v>11616.276666666667</v>
      </c>
      <c r="AA12" s="46">
        <f>Model!Z1780+Model!Z2005</f>
        <v>11201.415000000001</v>
      </c>
      <c r="AB12" s="46">
        <f>Model!AA1780+Model!AA2005</f>
        <v>10786.553333333333</v>
      </c>
      <c r="AC12" s="46">
        <f>Model!AB1780+Model!AB2005</f>
        <v>10371.691666666666</v>
      </c>
      <c r="AD12" s="46">
        <f>Model!AC1780+Model!AC2005</f>
        <v>9956.83</v>
      </c>
      <c r="AE12" s="46">
        <f>Model!AD1780+Model!AD2005</f>
        <v>9541.9683333333342</v>
      </c>
      <c r="AF12" s="46">
        <f>Model!AE1780+Model!AE2005</f>
        <v>9127.1066666666666</v>
      </c>
      <c r="AG12" s="46">
        <f>Model!AF1780+Model!AF2005</f>
        <v>8712.244999999999</v>
      </c>
      <c r="AH12" s="46">
        <f>Model!AG1780+Model!AG2005</f>
        <v>8297.3833333333332</v>
      </c>
      <c r="AI12" s="46">
        <f>Model!AH1780+Model!AH2005</f>
        <v>7882.5216666666665</v>
      </c>
      <c r="AJ12" s="46">
        <f>Model!AI1780+Model!AI2005</f>
        <v>7467.66</v>
      </c>
      <c r="AK12" s="46">
        <f>Model!AJ1780+Model!AJ2005</f>
        <v>7052.7983333333332</v>
      </c>
      <c r="AL12" s="46">
        <f>Model!AK1780+Model!AK2005</f>
        <v>6637.9366666666665</v>
      </c>
      <c r="AM12" s="46">
        <f>Model!AL1780+Model!AL2005</f>
        <v>6223.0749999999998</v>
      </c>
      <c r="AN12" s="46">
        <f>Model!AM1780+Model!AM2005</f>
        <v>5808.2133333333331</v>
      </c>
      <c r="AO12" s="46">
        <f>Model!AN1780+Model!AN2005</f>
        <v>5393.3516666666665</v>
      </c>
      <c r="AP12" s="46">
        <f>Model!AO1780+Model!AO2005</f>
        <v>4978.49</v>
      </c>
      <c r="AQ12" s="46">
        <f>Model!AP1780+Model!AP2005</f>
        <v>4563.6283333333331</v>
      </c>
      <c r="AR12" s="46">
        <f>Model!AQ1780+Model!AQ2005</f>
        <v>4148.7666666666664</v>
      </c>
      <c r="AS12" s="46">
        <f>Model!AR1780+Model!AR2005</f>
        <v>3733.9049999999997</v>
      </c>
      <c r="AT12" s="46">
        <f>Model!AS1780+Model!AS2005</f>
        <v>3319.0433333333331</v>
      </c>
      <c r="AU12" s="46">
        <f>Model!AT1780+Model!AT2005</f>
        <v>2904.1816666666664</v>
      </c>
      <c r="AV12" s="46">
        <f>Model!AU1780+Model!AU2005</f>
        <v>2489.3199999999997</v>
      </c>
      <c r="AW12" s="46">
        <f>Model!AV1780+Model!AV2005</f>
        <v>2074.4583333333335</v>
      </c>
      <c r="AX12" s="46">
        <f>Model!AW1780+Model!AW2005</f>
        <v>1659.5966666666668</v>
      </c>
      <c r="AY12" s="46">
        <f>Model!AX1780+Model!AX2005</f>
        <v>1244.7350000000001</v>
      </c>
      <c r="AZ12" s="46">
        <f>Model!AY1780+Model!AY2005</f>
        <v>829.87333333333368</v>
      </c>
      <c r="BA12" s="46">
        <f>Model!AZ1780+Model!AZ2005</f>
        <v>415.011666666667</v>
      </c>
      <c r="BB12" s="46">
        <f>Model!BA1780+Model!BA2005</f>
        <v>0.15000000000000002</v>
      </c>
      <c r="BC12" s="71"/>
      <c r="BD12" s="71"/>
      <c r="BE12" s="71"/>
      <c r="BF12" s="71"/>
      <c r="BG12" s="71"/>
      <c r="BH12" s="71"/>
      <c r="BI12" s="71"/>
      <c r="BJ12" s="71"/>
      <c r="BK12" s="71"/>
      <c r="BL12" s="71"/>
      <c r="BM12" s="71"/>
      <c r="BN12" s="71"/>
      <c r="BO12" s="71"/>
      <c r="BP12" s="71"/>
    </row>
    <row r="13" spans="1:68" ht="14.6">
      <c r="A13" s="43" t="s">
        <v>233</v>
      </c>
      <c r="B13" s="44" t="s">
        <v>170</v>
      </c>
      <c r="C13" s="45" t="s">
        <v>234</v>
      </c>
      <c r="D13" s="46">
        <f>Model!C2226</f>
        <v>59219</v>
      </c>
      <c r="E13" s="46">
        <f>Model!D2226</f>
        <v>63715</v>
      </c>
      <c r="F13" s="46">
        <f>Model!E2226</f>
        <v>57195</v>
      </c>
      <c r="G13" s="46">
        <f>Model!F2226</f>
        <v>58269</v>
      </c>
      <c r="H13" s="46">
        <f>Model!G2226</f>
        <v>56606</v>
      </c>
      <c r="I13" s="46">
        <f>Model!H2226</f>
        <v>55980</v>
      </c>
      <c r="J13" s="46">
        <f>Model!I2226</f>
        <v>55506</v>
      </c>
      <c r="K13" s="46">
        <f>Model!J2226</f>
        <v>53430</v>
      </c>
      <c r="L13" s="46">
        <f>Model!K2226</f>
        <v>54787</v>
      </c>
      <c r="M13" s="46">
        <f>Model!L2226</f>
        <v>54105</v>
      </c>
      <c r="N13" s="46">
        <f>Model!M2226</f>
        <v>52981</v>
      </c>
      <c r="O13" s="46">
        <f>Model!N2226</f>
        <v>48813.1</v>
      </c>
      <c r="P13" s="46">
        <f>Model!O2226</f>
        <v>44514.5</v>
      </c>
      <c r="Q13" s="46">
        <f>Model!P2226</f>
        <v>40869.4</v>
      </c>
      <c r="R13" s="46">
        <f>Model!Q2226</f>
        <v>38565.4</v>
      </c>
      <c r="S13" s="46">
        <f>Model!R2226</f>
        <v>34260.400000000001</v>
      </c>
      <c r="T13" s="46">
        <f>Model!S2226</f>
        <v>31786.5</v>
      </c>
      <c r="U13" s="46">
        <f>Model!T2226</f>
        <v>31000</v>
      </c>
      <c r="V13" s="46">
        <f>Model!U2226</f>
        <v>30554</v>
      </c>
      <c r="W13" s="46">
        <f>Model!V2226</f>
        <v>30000</v>
      </c>
      <c r="X13" s="46">
        <f>Model!W2226</f>
        <v>29500</v>
      </c>
      <c r="Y13" s="46">
        <f>Model!X2226</f>
        <v>28516.67</v>
      </c>
      <c r="Z13" s="46">
        <f>Model!Y2226</f>
        <v>27533.339999999997</v>
      </c>
      <c r="AA13" s="46">
        <f>Model!Z2226</f>
        <v>26550.009999999995</v>
      </c>
      <c r="AB13" s="46">
        <f>Model!AA2226</f>
        <v>25566.679999999993</v>
      </c>
      <c r="AC13" s="46">
        <f>Model!AB2226</f>
        <v>24583.349999999991</v>
      </c>
      <c r="AD13" s="46">
        <f>Model!AC2226</f>
        <v>23600.01999999999</v>
      </c>
      <c r="AE13" s="46">
        <f>Model!AD2226</f>
        <v>22616.689999999988</v>
      </c>
      <c r="AF13" s="46">
        <f>Model!AE2226</f>
        <v>21633.359999999986</v>
      </c>
      <c r="AG13" s="46">
        <f>Model!AF2226</f>
        <v>20650.029999999984</v>
      </c>
      <c r="AH13" s="46">
        <f>Model!AG2226</f>
        <v>19666.699999999983</v>
      </c>
      <c r="AI13" s="46">
        <f>Model!AH2226</f>
        <v>18683.369999999981</v>
      </c>
      <c r="AJ13" s="46">
        <f>Model!AI2226</f>
        <v>17700.039999999979</v>
      </c>
      <c r="AK13" s="46">
        <f>Model!AJ2226</f>
        <v>16716.709999999977</v>
      </c>
      <c r="AL13" s="46">
        <f>Model!AK2226</f>
        <v>15733.379999999977</v>
      </c>
      <c r="AM13" s="46">
        <f>Model!AL2226</f>
        <v>14750.049999999977</v>
      </c>
      <c r="AN13" s="46">
        <f>Model!AM2226</f>
        <v>13766.719999999978</v>
      </c>
      <c r="AO13" s="46">
        <f>Model!AN2226</f>
        <v>12783.389999999978</v>
      </c>
      <c r="AP13" s="46">
        <f>Model!AO2226</f>
        <v>11800.059999999978</v>
      </c>
      <c r="AQ13" s="46">
        <f>Model!AP2226</f>
        <v>10816.729999999978</v>
      </c>
      <c r="AR13" s="46">
        <f>Model!AQ2226</f>
        <v>9833.3999999999778</v>
      </c>
      <c r="AS13" s="46">
        <f>Model!AR2226</f>
        <v>8850.0699999999779</v>
      </c>
      <c r="AT13" s="46">
        <f>Model!AS2226</f>
        <v>7866.739999999978</v>
      </c>
      <c r="AU13" s="46">
        <f>Model!AT2226</f>
        <v>6883.409999999978</v>
      </c>
      <c r="AV13" s="46">
        <f>Model!AU2226</f>
        <v>5900.0799999999781</v>
      </c>
      <c r="AW13" s="46">
        <f>Model!AV2226</f>
        <v>4916.7499999999782</v>
      </c>
      <c r="AX13" s="46">
        <f>Model!AW2226</f>
        <v>3933.4199999999782</v>
      </c>
      <c r="AY13" s="46">
        <f>Model!AX2226</f>
        <v>2950.0899999999783</v>
      </c>
      <c r="AZ13" s="46">
        <f>Model!AY2226</f>
        <v>1966.7599999999784</v>
      </c>
      <c r="BA13" s="46">
        <f>Model!AZ2226</f>
        <v>983.42999999997835</v>
      </c>
      <c r="BB13" s="46">
        <f>Model!BA2226</f>
        <v>0.1</v>
      </c>
      <c r="BC13" s="71"/>
      <c r="BD13" s="71"/>
      <c r="BE13" s="71"/>
      <c r="BF13" s="71"/>
      <c r="BG13" s="71"/>
      <c r="BH13" s="71"/>
      <c r="BI13" s="71"/>
      <c r="BJ13" s="71"/>
      <c r="BK13" s="71"/>
      <c r="BL13" s="71"/>
      <c r="BM13" s="71"/>
      <c r="BN13" s="71"/>
      <c r="BO13" s="71"/>
      <c r="BP13" s="71"/>
    </row>
    <row r="14" spans="1:68" ht="14.6">
      <c r="A14" s="43" t="s">
        <v>237</v>
      </c>
      <c r="B14" s="125" t="s">
        <v>170</v>
      </c>
      <c r="C14" s="45" t="s">
        <v>238</v>
      </c>
      <c r="D14" s="46">
        <f>Model!C2447</f>
        <v>0</v>
      </c>
      <c r="E14" s="46">
        <f>Model!D2447</f>
        <v>0</v>
      </c>
      <c r="F14" s="46">
        <f>Model!E2447</f>
        <v>0</v>
      </c>
      <c r="G14" s="46">
        <f>Model!F2447</f>
        <v>0</v>
      </c>
      <c r="H14" s="46">
        <f>Model!G2447</f>
        <v>0</v>
      </c>
      <c r="I14" s="46">
        <f>Model!H2447</f>
        <v>0</v>
      </c>
      <c r="J14" s="46">
        <f>Model!I2447</f>
        <v>0</v>
      </c>
      <c r="K14" s="46">
        <f>Model!J2447</f>
        <v>0</v>
      </c>
      <c r="L14" s="46">
        <f>Model!K2447</f>
        <v>2</v>
      </c>
      <c r="M14" s="46">
        <f>Model!L2447</f>
        <v>6</v>
      </c>
      <c r="N14" s="46">
        <f>Model!M2447</f>
        <v>10</v>
      </c>
      <c r="O14" s="46">
        <f>Model!N2447</f>
        <v>42.8</v>
      </c>
      <c r="P14" s="46">
        <f>Model!O2447</f>
        <v>85.6</v>
      </c>
      <c r="Q14" s="46">
        <f>Model!P2447</f>
        <v>101.1</v>
      </c>
      <c r="R14" s="46">
        <f>Model!Q2447</f>
        <v>128.29999999999998</v>
      </c>
      <c r="S14" s="46">
        <f>Model!R2447</f>
        <v>274.39999999999998</v>
      </c>
      <c r="T14" s="46">
        <f>Model!S2447</f>
        <v>469.59999999999997</v>
      </c>
      <c r="U14" s="46">
        <f>Model!T2447</f>
        <v>579</v>
      </c>
      <c r="V14" s="46">
        <f>Model!U2447</f>
        <v>707.5</v>
      </c>
      <c r="W14" s="46">
        <f>Model!V2447</f>
        <v>907.5</v>
      </c>
      <c r="X14" s="46">
        <f>Model!W2447</f>
        <v>1307.5</v>
      </c>
      <c r="Y14" s="46">
        <f>Model!X2447</f>
        <v>1263.9166666666667</v>
      </c>
      <c r="Z14" s="46">
        <f>Model!Y2447</f>
        <v>1220.3333333333335</v>
      </c>
      <c r="AA14" s="46">
        <f>Model!Z2447</f>
        <v>1176.7500000000002</v>
      </c>
      <c r="AB14" s="46">
        <f>Model!AA2447</f>
        <v>1133.166666666667</v>
      </c>
      <c r="AC14" s="46">
        <f>Model!AB2447</f>
        <v>1089.5833333333337</v>
      </c>
      <c r="AD14" s="46">
        <f>Model!AC2447</f>
        <v>1046.0000000000005</v>
      </c>
      <c r="AE14" s="46">
        <f>Model!AD2447</f>
        <v>1002.4166666666671</v>
      </c>
      <c r="AF14" s="46">
        <f>Model!AE2447</f>
        <v>958.83333333333371</v>
      </c>
      <c r="AG14" s="46">
        <f>Model!AF2447</f>
        <v>915.25000000000034</v>
      </c>
      <c r="AH14" s="46">
        <f>Model!AG2447</f>
        <v>871.66666666666697</v>
      </c>
      <c r="AI14" s="46">
        <f>Model!AH2447</f>
        <v>828.0833333333336</v>
      </c>
      <c r="AJ14" s="46">
        <f>Model!AI2447</f>
        <v>784.50000000000023</v>
      </c>
      <c r="AK14" s="46">
        <f>Model!AJ2447</f>
        <v>740.91666666666686</v>
      </c>
      <c r="AL14" s="46">
        <f>Model!AK2447</f>
        <v>697.33333333333348</v>
      </c>
      <c r="AM14" s="46">
        <f>Model!AL2447</f>
        <v>653.75000000000011</v>
      </c>
      <c r="AN14" s="46">
        <f>Model!AM2447</f>
        <v>610.16666666666674</v>
      </c>
      <c r="AO14" s="46">
        <f>Model!AN2447</f>
        <v>566.58333333333337</v>
      </c>
      <c r="AP14" s="46">
        <f>Model!AO2447</f>
        <v>523</v>
      </c>
      <c r="AQ14" s="46">
        <f>Model!AP2447</f>
        <v>479.41666666666669</v>
      </c>
      <c r="AR14" s="46">
        <f>Model!AQ2447</f>
        <v>435.83333333333337</v>
      </c>
      <c r="AS14" s="46">
        <f>Model!AR2447</f>
        <v>392.25000000000006</v>
      </c>
      <c r="AT14" s="46">
        <f>Model!AS2447</f>
        <v>348.66666666666674</v>
      </c>
      <c r="AU14" s="46">
        <f>Model!AT2447</f>
        <v>305.08333333333343</v>
      </c>
      <c r="AV14" s="46">
        <f>Model!AU2447</f>
        <v>261.50000000000011</v>
      </c>
      <c r="AW14" s="46">
        <f>Model!AV2447</f>
        <v>217.91666666666677</v>
      </c>
      <c r="AX14" s="46">
        <f>Model!AW2447</f>
        <v>174.33333333333343</v>
      </c>
      <c r="AY14" s="46">
        <f>Model!AX2447</f>
        <v>130.75000000000009</v>
      </c>
      <c r="AZ14" s="46">
        <f>Model!AY2447</f>
        <v>87.166666666666742</v>
      </c>
      <c r="BA14" s="46">
        <f>Model!AZ2447</f>
        <v>43.583333333333407</v>
      </c>
      <c r="BB14" s="46">
        <f>Model!BA2447</f>
        <v>0</v>
      </c>
      <c r="BC14" s="71"/>
      <c r="BD14" s="71"/>
      <c r="BE14" s="71"/>
      <c r="BF14" s="71"/>
      <c r="BG14" s="71"/>
      <c r="BH14" s="71"/>
      <c r="BI14" s="71"/>
      <c r="BJ14" s="71"/>
      <c r="BK14" s="71"/>
      <c r="BL14" s="71"/>
      <c r="BM14" s="71"/>
      <c r="BN14" s="71"/>
      <c r="BO14" s="71"/>
      <c r="BP14" s="71"/>
    </row>
    <row r="15" spans="1:68" ht="14.6">
      <c r="A15" s="128" t="s">
        <v>239</v>
      </c>
      <c r="B15" s="129" t="s">
        <v>240</v>
      </c>
      <c r="C15" s="129" t="s">
        <v>171</v>
      </c>
      <c r="D15" s="130">
        <f>SUM(Model!C9,Model!C413,Model!C654,Model!C879,Model!C1104,Model!C1331,Model!C1556,Model!C1781,Model!C2006,Model!C2227)</f>
        <v>3772.1863739999999</v>
      </c>
      <c r="E15" s="130">
        <f>SUM(Model!D9,Model!D413,Model!D654,Model!D879,Model!D1104,Model!D1331,Model!D1556,Model!D1781,Model!D2006,Model!D2227)</f>
        <v>3707.347847</v>
      </c>
      <c r="F15" s="130">
        <f>SUM(Model!E9,Model!E413,Model!E654,Model!E879,Model!E1104,Model!E1331,Model!E1556,Model!E1781,Model!E2006,Model!E2227)</f>
        <v>3823.9609359999995</v>
      </c>
      <c r="G15" s="130">
        <f>SUM(Model!F9,Model!F413,Model!F654,Model!F879,Model!F1104,Model!F1331,Model!F1556,Model!F1781,Model!F2006,Model!F2227)</f>
        <v>3844.976853000001</v>
      </c>
      <c r="H15" s="130">
        <f>SUM(Model!G9,Model!G413,Model!G654,Model!G879,Model!G1104,Model!G1331,Model!G1556,Model!G1781,Model!G2006,Model!G2227)</f>
        <v>3931.8422709999995</v>
      </c>
      <c r="I15" s="130">
        <f>SUM(Model!H9,Model!H413,Model!H654,Model!H879,Model!H1104,Model!H1331,Model!H1556,Model!H1781,Model!H2006,Model!H2227)</f>
        <v>4017.7858619999993</v>
      </c>
      <c r="J15" s="130">
        <f>SUM(Model!I9,Model!I413,Model!I654,Model!I879,Model!I1104,Model!I1331,Model!I1556,Model!I1781,Model!I2006,Model!I2227)</f>
        <v>4026.0981160000006</v>
      </c>
      <c r="K15" s="130">
        <f>SUM(Model!J9,Model!J413,Model!J654,Model!J879,Model!J1104,Model!J1331,Model!J1556,Model!J1781,Model!J2006,Model!J2227)</f>
        <v>4119.7990489999993</v>
      </c>
      <c r="L15" s="130">
        <f>SUM(Model!K9,Model!K413,Model!K654,Model!K879,Model!K1104,Model!K1331,Model!K1556,Model!K1781,Model!K2006,Model!K2227)</f>
        <v>4084.2161430000006</v>
      </c>
      <c r="M15" s="130">
        <f>SUM(Model!L9,Model!L413,Model!L654,Model!L879,Model!L1104,Model!L1331,Model!L1556,Model!L1781,Model!L2006,Model!L2227)</f>
        <v>3915.0878499999999</v>
      </c>
      <c r="N15" s="130">
        <f>SUM(Model!M9,Model!M413,Model!M654,Model!M879,Model!M1104,Model!M1331,Model!M1556,Model!M1781,Model!M2006,Model!M2227)</f>
        <v>4089.1844699999997</v>
      </c>
      <c r="O15" s="130">
        <f>SUM(Model!N9,Model!N413,Model!N654,Model!N879,Model!N1104,Model!N1331,Model!N1556,Model!N1781,Model!N2006,Model!N2227)</f>
        <v>4063.6491463200009</v>
      </c>
      <c r="P15" s="130">
        <f>SUM(Model!O9,Model!O413,Model!O654,Model!O879,Model!O1104,Model!O1331,Model!O1556,Model!O1781,Model!O2006,Model!O2227)</f>
        <v>4010.0264300000008</v>
      </c>
      <c r="Q15" s="130">
        <f>SUM(Model!P9,Model!P413,Model!P654,Model!P879,Model!P1104,Model!P1331,Model!P1556,Model!P1781,Model!P2006,Model!P2227)</f>
        <v>4027.8759344200002</v>
      </c>
      <c r="R15" s="130">
        <f>SUM(Model!Q9,Model!Q413,Model!Q654,Model!Q879,Model!Q1104,Model!Q1331,Model!Q1556,Model!Q1781,Model!Q2006,Model!Q2227)</f>
        <v>4058.5112935299999</v>
      </c>
      <c r="S15" s="130">
        <f>SUM(Model!R9,Model!R413,Model!R654,Model!R879,Model!R1104,Model!R1331,Model!R1556,Model!R1781,Model!R2006,Model!R2227)</f>
        <v>4039.5631600000006</v>
      </c>
      <c r="T15" s="130">
        <f>SUM(Model!S9,Model!S413,Model!S654,Model!S879,Model!S1104,Model!S1331,Model!S1556,Model!S1781,Model!S2006,Model!S2227)</f>
        <v>4067.341891</v>
      </c>
      <c r="U15" s="130">
        <f>SUM(Model!T9,Model!T413,Model!T654,Model!T879,Model!T1104,Model!T1331,Model!T1556,Model!T1781,Model!T2006,Model!T2227)</f>
        <v>4058.3928668600001</v>
      </c>
      <c r="V15" s="130">
        <f>SUM(Model!U9,Model!U413,Model!U654,Model!U879,Model!U1104,Model!U1331,Model!U1556,Model!U1781,Model!U2006,Model!U2227)</f>
        <v>4213.1249945699992</v>
      </c>
      <c r="W15" s="130">
        <f>SUM(Model!V9,Model!V413,Model!V654,Model!V879,Model!V1104,Model!V1331,Model!V1556,Model!V1781,Model!V2006,Model!V2227)</f>
        <v>4360.2789747140005</v>
      </c>
      <c r="X15" s="130">
        <f>SUM(Model!W9,Model!W413,Model!W654,Model!W879,Model!W1104,Model!W1331,Model!W1556,Model!W1781,Model!W2006,Model!W2227)</f>
        <v>4260.6464482450701</v>
      </c>
      <c r="Y15" s="130">
        <f>SUM(Model!X9,Model!X413,Model!X654,Model!X879,Model!X1104,Model!X1331,Model!X1556,Model!X1781,Model!X2006,Model!X2227)</f>
        <v>4139.7722774299546</v>
      </c>
      <c r="Z15" s="130">
        <f>SUM(Model!Y9,Model!Y413,Model!Y654,Model!Y879,Model!Y1104,Model!Y1331,Model!Y1556,Model!Y1781,Model!Y2006,Model!Y2227)</f>
        <v>4018.8981066148381</v>
      </c>
      <c r="AA15" s="130">
        <f>SUM(Model!Z9,Model!Z413,Model!Z654,Model!Z879,Model!Z1104,Model!Z1331,Model!Z1556,Model!Z1781,Model!Z2006,Model!Z2227)</f>
        <v>3898.0239357997225</v>
      </c>
      <c r="AB15" s="130">
        <f>SUM(Model!AA9,Model!AA413,Model!AA654,Model!AA879,Model!AA1104,Model!AA1331,Model!AA1556,Model!AA1781,Model!AA2006,Model!AA2227)</f>
        <v>3777.149764984606</v>
      </c>
      <c r="AC15" s="130">
        <f>SUM(Model!AB9,Model!AB413,Model!AB654,Model!AB879,Model!AB1104,Model!AB1331,Model!AB1556,Model!AB1781,Model!AB2006,Model!AB2227)</f>
        <v>3656.2755941694904</v>
      </c>
      <c r="AD15" s="130">
        <f>SUM(Model!AC9,Model!AC413,Model!AC654,Model!AC879,Model!AC1104,Model!AC1331,Model!AC1556,Model!AC1781,Model!AC2006,Model!AC2227)</f>
        <v>3535.4014233543749</v>
      </c>
      <c r="AE15" s="130">
        <f>SUM(Model!AD9,Model!AD413,Model!AD654,Model!AD879,Model!AD1104,Model!AD1331,Model!AD1556,Model!AD1781,Model!AD2006,Model!AD2227)</f>
        <v>3414.5272525392584</v>
      </c>
      <c r="AF15" s="130">
        <f>SUM(Model!AE9,Model!AE413,Model!AE654,Model!AE879,Model!AE1104,Model!AE1331,Model!AE1556,Model!AE1781,Model!AE2006,Model!AE2227)</f>
        <v>3293.6530817241423</v>
      </c>
      <c r="AG15" s="130">
        <f>SUM(Model!AF9,Model!AF413,Model!AF654,Model!AF879,Model!AF1104,Model!AF1331,Model!AF1556,Model!AF1781,Model!AF2006,Model!AF2227)</f>
        <v>3172.7789109090263</v>
      </c>
      <c r="AH15" s="130">
        <f>SUM(Model!AG9,Model!AG413,Model!AG654,Model!AG879,Model!AG1104,Model!AG1331,Model!AG1556,Model!AG1781,Model!AG2006,Model!AG2227)</f>
        <v>3051.9047400939107</v>
      </c>
      <c r="AI15" s="130">
        <f>SUM(Model!AH9,Model!AH413,Model!AH654,Model!AH879,Model!AH1104,Model!AH1331,Model!AH1556,Model!AH1781,Model!AH2006,Model!AH2227)</f>
        <v>2931.0305692787947</v>
      </c>
      <c r="AJ15" s="130">
        <f>SUM(Model!AI9,Model!AI413,Model!AI654,Model!AI879,Model!AI1104,Model!AI1331,Model!AI1556,Model!AI1781,Model!AI2006,Model!AI2227)</f>
        <v>2810.1563984636782</v>
      </c>
      <c r="AK15" s="130">
        <f>SUM(Model!AJ9,Model!AJ413,Model!AJ654,Model!AJ879,Model!AJ1104,Model!AJ1331,Model!AJ1556,Model!AJ1781,Model!AJ2006,Model!AJ2227)</f>
        <v>2689.2822276485622</v>
      </c>
      <c r="AL15" s="130">
        <f>SUM(Model!AK9,Model!AK413,Model!AK654,Model!AK879,Model!AK1104,Model!AK1331,Model!AK1556,Model!AK1781,Model!AK2006,Model!AK2227)</f>
        <v>2568.4080568334471</v>
      </c>
      <c r="AM15" s="130">
        <f>SUM(Model!AL9,Model!AL413,Model!AL654,Model!AL879,Model!AL1104,Model!AL1331,Model!AL1556,Model!AL1781,Model!AL2006,Model!AL2227)</f>
        <v>2447.5338860183306</v>
      </c>
      <c r="AN15" s="130">
        <f>SUM(Model!AM9,Model!AM413,Model!AM654,Model!AM879,Model!AM1104,Model!AM1331,Model!AM1556,Model!AM1781,Model!AM2006,Model!AM2227)</f>
        <v>2326.6597152032145</v>
      </c>
      <c r="AO15" s="130">
        <f>SUM(Model!AN9,Model!AN413,Model!AN654,Model!AN879,Model!AN1104,Model!AN1331,Model!AN1556,Model!AN1781,Model!AN2006,Model!AN2227)</f>
        <v>2205.785544388099</v>
      </c>
      <c r="AP15" s="130">
        <f>SUM(Model!AO9,Model!AO413,Model!AO654,Model!AO879,Model!AO1104,Model!AO1331,Model!AO1556,Model!AO1781,Model!AO2006,Model!AO2227)</f>
        <v>2084.9113735729825</v>
      </c>
      <c r="AQ15" s="130">
        <f>SUM(Model!AP9,Model!AP413,Model!AP654,Model!AP879,Model!AP1104,Model!AP1331,Model!AP1556,Model!AP1781,Model!AP2006,Model!AP2227)</f>
        <v>1964.0372027578667</v>
      </c>
      <c r="AR15" s="130">
        <f>SUM(Model!AQ9,Model!AQ413,Model!AQ654,Model!AQ879,Model!AQ1104,Model!AQ1331,Model!AQ1556,Model!AQ1781,Model!AQ2006,Model!AQ2227)</f>
        <v>1843.1630319427506</v>
      </c>
      <c r="AS15" s="130">
        <f>SUM(Model!AR9,Model!AR413,Model!AR654,Model!AR879,Model!AR1104,Model!AR1331,Model!AR1556,Model!AR1781,Model!AR2006,Model!AR2227)</f>
        <v>1722.2888611276348</v>
      </c>
      <c r="AT15" s="130">
        <f>SUM(Model!AS9,Model!AS413,Model!AS654,Model!AS879,Model!AS1104,Model!AS1331,Model!AS1556,Model!AS1781,Model!AS2006,Model!AS2227)</f>
        <v>1601.4146903125188</v>
      </c>
      <c r="AU15" s="130">
        <f>SUM(Model!AT9,Model!AT413,Model!AT654,Model!AT879,Model!AT1104,Model!AT1331,Model!AT1556,Model!AT1781,Model!AT2006,Model!AT2227)</f>
        <v>1480.540519497403</v>
      </c>
      <c r="AV15" s="130">
        <f>SUM(Model!AU9,Model!AU413,Model!AU654,Model!AU879,Model!AU1104,Model!AU1331,Model!AU1556,Model!AU1781,Model!AU2006,Model!AU2227)</f>
        <v>1359.666348682287</v>
      </c>
      <c r="AW15" s="130">
        <f>SUM(Model!AV9,Model!AV413,Model!AV654,Model!AV879,Model!AV1104,Model!AV1331,Model!AV1556,Model!AV1781,Model!AV2006,Model!AV2227)</f>
        <v>1238.7921778671709</v>
      </c>
      <c r="AX15" s="130">
        <f>SUM(Model!AW9,Model!AW413,Model!AW654,Model!AW879,Model!AW1104,Model!AW1331,Model!AW1556,Model!AW1781,Model!AW2006,Model!AW2227)</f>
        <v>1117.9180070520549</v>
      </c>
      <c r="AY15" s="130">
        <f>SUM(Model!AX9,Model!AX413,Model!AX654,Model!AX879,Model!AX1104,Model!AX1331,Model!AX1556,Model!AX1781,Model!AX2006,Model!AX2227)</f>
        <v>997.043836236939</v>
      </c>
      <c r="AZ15" s="130">
        <f>SUM(Model!AY9,Model!AY413,Model!AY654,Model!AY879,Model!AY1104,Model!AY1331,Model!AY1556,Model!AY1781,Model!AY2006,Model!AY2227)</f>
        <v>876.1696654218232</v>
      </c>
      <c r="BA15" s="130">
        <f>SUM(Model!AZ9,Model!AZ413,Model!AZ654,Model!AZ879,Model!AZ1104,Model!AZ1331,Model!AZ1556,Model!AZ1781,Model!AZ2006,Model!AZ2227)</f>
        <v>755.29549460670705</v>
      </c>
      <c r="BB15" s="130">
        <f>SUM(Model!BA9,Model!BA413,Model!BA654,Model!BA879,Model!BA1104,Model!BA1331,Model!BA1556,Model!BA1781,Model!BA2006,Model!BA2227)</f>
        <v>634.42132379159034</v>
      </c>
      <c r="BC15" s="132"/>
      <c r="BD15" s="132"/>
      <c r="BE15" s="132"/>
      <c r="BF15" s="132"/>
      <c r="BG15" s="132"/>
      <c r="BH15" s="132"/>
      <c r="BI15" s="132"/>
      <c r="BJ15" s="132"/>
      <c r="BK15" s="132"/>
      <c r="BL15" s="132"/>
      <c r="BM15" s="132"/>
      <c r="BN15" s="132"/>
      <c r="BO15" s="132"/>
      <c r="BP15" s="132"/>
    </row>
    <row r="16" spans="1:68" ht="14.6">
      <c r="A16" s="128" t="s">
        <v>243</v>
      </c>
      <c r="B16" s="133" t="s">
        <v>240</v>
      </c>
      <c r="C16" s="133" t="s">
        <v>238</v>
      </c>
      <c r="D16" s="134">
        <f>Model!C2448</f>
        <v>0</v>
      </c>
      <c r="E16" s="134">
        <f>Model!D2448</f>
        <v>0</v>
      </c>
      <c r="F16" s="134">
        <f>Model!E2448</f>
        <v>0</v>
      </c>
      <c r="G16" s="134">
        <f>Model!F2448</f>
        <v>0</v>
      </c>
      <c r="H16" s="134">
        <f>Model!G2448</f>
        <v>0</v>
      </c>
      <c r="I16" s="134">
        <f>Model!H2448</f>
        <v>0</v>
      </c>
      <c r="J16" s="134">
        <f>Model!I2448</f>
        <v>0</v>
      </c>
      <c r="K16" s="134">
        <f>Model!J2448</f>
        <v>0</v>
      </c>
      <c r="L16" s="134">
        <f>Model!K2448</f>
        <v>2.8E-3</v>
      </c>
      <c r="M16" s="134">
        <f>Model!L2448</f>
        <v>8.3999999999999995E-3</v>
      </c>
      <c r="N16" s="134">
        <f>Model!M2448</f>
        <v>1.4E-2</v>
      </c>
      <c r="O16" s="134">
        <f>Model!N2448</f>
        <v>5.9919999999999994E-2</v>
      </c>
      <c r="P16" s="134">
        <f>Model!O2448</f>
        <v>0.11983999999999999</v>
      </c>
      <c r="Q16" s="134">
        <f>Model!P2448</f>
        <v>0.14154</v>
      </c>
      <c r="R16" s="134">
        <f>Model!Q2448</f>
        <v>0.17961999999999997</v>
      </c>
      <c r="S16" s="134">
        <f>Model!R2448</f>
        <v>0.38415999999999995</v>
      </c>
      <c r="T16" s="134">
        <f>Model!S2448</f>
        <v>0.65744000000000002</v>
      </c>
      <c r="U16" s="134">
        <f>Model!T2448</f>
        <v>0.81059999999999999</v>
      </c>
      <c r="V16" s="134">
        <f>Model!U2448</f>
        <v>0.99050000000000005</v>
      </c>
      <c r="W16" s="134">
        <f>Model!V2448</f>
        <v>1.2705</v>
      </c>
      <c r="X16" s="134">
        <f>Model!W2448</f>
        <v>1.8305</v>
      </c>
      <c r="Y16" s="134">
        <f>Model!X2448</f>
        <v>1.7694833333333333</v>
      </c>
      <c r="Z16" s="134">
        <f>Model!Y2448</f>
        <v>1.7084666666666666</v>
      </c>
      <c r="AA16" s="134">
        <f>Model!Z2448</f>
        <v>1.6474499999999999</v>
      </c>
      <c r="AB16" s="134">
        <f>Model!AA2448</f>
        <v>1.5864333333333331</v>
      </c>
      <c r="AC16" s="134">
        <f>Model!AB2448</f>
        <v>1.5254166666666664</v>
      </c>
      <c r="AD16" s="134">
        <f>Model!AC2448</f>
        <v>1.4643999999999997</v>
      </c>
      <c r="AE16" s="134">
        <f>Model!AD2448</f>
        <v>1.403383333333333</v>
      </c>
      <c r="AF16" s="134">
        <f>Model!AE2448</f>
        <v>1.3423666666666663</v>
      </c>
      <c r="AG16" s="134">
        <f>Model!AF2448</f>
        <v>1.2813499999999995</v>
      </c>
      <c r="AH16" s="134">
        <f>Model!AG2448</f>
        <v>1.2203333333333328</v>
      </c>
      <c r="AI16" s="134">
        <f>Model!AH2448</f>
        <v>1.1593166666666661</v>
      </c>
      <c r="AJ16" s="134">
        <f>Model!AI2448</f>
        <v>1.0982999999999994</v>
      </c>
      <c r="AK16" s="134">
        <f>Model!AJ2448</f>
        <v>1.0372833333333327</v>
      </c>
      <c r="AL16" s="134">
        <f>Model!AK2448</f>
        <v>0.97626666666666595</v>
      </c>
      <c r="AM16" s="134">
        <f>Model!AL2448</f>
        <v>0.91524999999999923</v>
      </c>
      <c r="AN16" s="134">
        <f>Model!AM2448</f>
        <v>0.85423333333333251</v>
      </c>
      <c r="AO16" s="134">
        <f>Model!AN2448</f>
        <v>0.79321666666666579</v>
      </c>
      <c r="AP16" s="134">
        <f>Model!AO2448</f>
        <v>0.73219999999999907</v>
      </c>
      <c r="AQ16" s="134">
        <f>Model!AP2448</f>
        <v>0.67118333333333235</v>
      </c>
      <c r="AR16" s="134">
        <f>Model!AQ2448</f>
        <v>0.61016666666666564</v>
      </c>
      <c r="AS16" s="134">
        <f>Model!AR2448</f>
        <v>0.54914999999999892</v>
      </c>
      <c r="AT16" s="134">
        <f>Model!AS2448</f>
        <v>0.48813333333333225</v>
      </c>
      <c r="AU16" s="134">
        <f>Model!AT2448</f>
        <v>0.42711666666666559</v>
      </c>
      <c r="AV16" s="134">
        <f>Model!AU2448</f>
        <v>0.36609999999999893</v>
      </c>
      <c r="AW16" s="134">
        <f>Model!AV2448</f>
        <v>0.30508333333333226</v>
      </c>
      <c r="AX16" s="134">
        <f>Model!AW2448</f>
        <v>0.2440666666666656</v>
      </c>
      <c r="AY16" s="134">
        <f>Model!AX2448</f>
        <v>0.18304999999999894</v>
      </c>
      <c r="AZ16" s="134">
        <f>Model!AY2448</f>
        <v>0.12203333333333227</v>
      </c>
      <c r="BA16" s="134">
        <f>Model!AZ2448</f>
        <v>6.1016666666665602E-2</v>
      </c>
      <c r="BB16" s="134">
        <f>Model!BA2448</f>
        <v>0</v>
      </c>
      <c r="BC16" s="138"/>
      <c r="BD16" s="138"/>
      <c r="BE16" s="138"/>
      <c r="BF16" s="138"/>
      <c r="BG16" s="138"/>
      <c r="BH16" s="138"/>
      <c r="BI16" s="138"/>
      <c r="BJ16" s="138"/>
      <c r="BK16" s="138"/>
      <c r="BL16" s="138"/>
      <c r="BM16" s="138"/>
      <c r="BN16" s="138"/>
      <c r="BO16" s="138"/>
      <c r="BP16" s="138"/>
    </row>
    <row r="17" spans="1:68" ht="14.6">
      <c r="A17" s="43" t="s">
        <v>256</v>
      </c>
      <c r="B17" s="139" t="s">
        <v>257</v>
      </c>
      <c r="C17" s="139" t="s">
        <v>259</v>
      </c>
      <c r="D17" s="46">
        <f>SUM(Model!C10,Model!C415,Model!C655,Model!C880,Model!C1105,Model!C1332,Model!C1557,Model!C1782,Model!C2007,Model!C2228,Model!C2449)</f>
        <v>32.982407285796725</v>
      </c>
      <c r="E17" s="46">
        <f>SUM(Model!D10,Model!D415,Model!D655,Model!D880,Model!D1105,Model!D1332,Model!D1557,Model!D1782,Model!D2007,Model!D2228,Model!D2449)</f>
        <v>33.824425292780326</v>
      </c>
      <c r="F17" s="46">
        <f>SUM(Model!E10,Model!E415,Model!E655,Model!E880,Model!E1105,Model!E1332,Model!E1557,Model!E1782,Model!E2007,Model!E2228,Model!E2449)</f>
        <v>35.498547121682378</v>
      </c>
      <c r="G17" s="46">
        <f>SUM(Model!F10,Model!F415,Model!F655,Model!F880,Model!F1105,Model!F1332,Model!F1557,Model!F1782,Model!F2007,Model!F2228,Model!F2449)</f>
        <v>36.650112573096649</v>
      </c>
      <c r="H17" s="46">
        <f>SUM(Model!G10,Model!G415,Model!G655,Model!G880,Model!G1105,Model!G1332,Model!G1557,Model!G1782,Model!G2007,Model!G2228,Model!G2449)</f>
        <v>37.864756636146637</v>
      </c>
      <c r="I17" s="46">
        <f>SUM(Model!H10,Model!H415,Model!H655,Model!H880,Model!H1105,Model!H1332,Model!H1557,Model!H1782,Model!H2007,Model!H2228,Model!H2449)</f>
        <v>38.831561501015479</v>
      </c>
      <c r="J17" s="46">
        <f>SUM(Model!I10,Model!I415,Model!I655,Model!I880,Model!I1105,Model!I1332,Model!I1557,Model!I1782,Model!I2007,Model!I2228,Model!I2449)</f>
        <v>39.571360325508465</v>
      </c>
      <c r="K17" s="46">
        <f>SUM(Model!J10,Model!J415,Model!J655,Model!J880,Model!J1105,Model!J1332,Model!J1557,Model!J1782,Model!J2007,Model!J2228,Model!J2449)</f>
        <v>41.055980410552081</v>
      </c>
      <c r="L17" s="46">
        <f>SUM(Model!K10,Model!K415,Model!K655,Model!K880,Model!K1105,Model!K1332,Model!K1557,Model!K1782,Model!K2007,Model!K2228,Model!K2449)</f>
        <v>41.999750702603642</v>
      </c>
      <c r="M17" s="46">
        <f>SUM(Model!L10,Model!L415,Model!L655,Model!L880,Model!L1105,Model!L1332,Model!L1557,Model!L1782,Model!L2007,Model!L2228,Model!L2449)</f>
        <v>42.039607207875711</v>
      </c>
      <c r="N17" s="46">
        <f>SUM(Model!M10,Model!M415,Model!M655,Model!M880,Model!M1105,Model!M1332,Model!M1557,Model!M1782,Model!M2007,Model!M2228,Model!M2449)</f>
        <v>43.669985279073209</v>
      </c>
      <c r="O17" s="46">
        <f>SUM(Model!N10,Model!N415,Model!N655,Model!N880,Model!N1105,Model!N1332,Model!N1557,Model!N1782,Model!N2007,Model!N2228,Model!N2449)</f>
        <v>44.053539669921712</v>
      </c>
      <c r="P17" s="46">
        <f>SUM(Model!O10,Model!O415,Model!O655,Model!O880,Model!O1105,Model!O1332,Model!O1557,Model!O1782,Model!O2007,Model!O2228,Model!O2449)</f>
        <v>43.937071823068749</v>
      </c>
      <c r="Q17" s="46">
        <f>SUM(Model!P10,Model!P415,Model!P655,Model!P880,Model!P1105,Model!P1332,Model!P1557,Model!P1782,Model!P2007,Model!P2228,Model!P2449)</f>
        <v>45.549677340138736</v>
      </c>
      <c r="R17" s="46">
        <f>SUM(Model!Q10,Model!Q415,Model!Q655,Model!Q880,Model!Q1105,Model!Q1332,Model!Q1557,Model!Q1782,Model!Q2007,Model!Q2228,Model!Q2449)</f>
        <v>46.809651130614377</v>
      </c>
      <c r="S17" s="46">
        <f>SUM(Model!R10,Model!R415,Model!R655,Model!R880,Model!R1105,Model!R1332,Model!R1557,Model!R1782,Model!R2007,Model!R2228,Model!R2449)</f>
        <v>46.559471627715673</v>
      </c>
      <c r="T17" s="46">
        <f>SUM(Model!S10,Model!S415,Model!S655,Model!S880,Model!S1105,Model!S1332,Model!S1557,Model!S1782,Model!S2007,Model!S2228,Model!S2449)</f>
        <v>47.298051134775562</v>
      </c>
      <c r="U17" s="46">
        <f>SUM(Model!T10,Model!T415,Model!T655,Model!T880,Model!T1105,Model!T1332,Model!T1557,Model!T1782,Model!T2007,Model!T2228,Model!T2449)</f>
        <v>48.500370358212095</v>
      </c>
      <c r="V17" s="46">
        <f>SUM(Model!U10,Model!U415,Model!U655,Model!U880,Model!U1105,Model!U1332,Model!U1557,Model!U1782,Model!U2007,Model!U2228,Model!U2449)</f>
        <v>49.7490871776318</v>
      </c>
      <c r="W17" s="46">
        <f>SUM(Model!V10,Model!V415,Model!V655,Model!V880,Model!V1105,Model!V1332,Model!V1557,Model!V1782,Model!V2007,Model!V2228,Model!V2449)</f>
        <v>51.012042129872256</v>
      </c>
      <c r="X17" s="46">
        <f>SUM(Model!W10,Model!W415,Model!W655,Model!W880,Model!W1105,Model!W1332,Model!W1557,Model!W1782,Model!W2007,Model!W2228,Model!W2449)</f>
        <v>52.281818782165409</v>
      </c>
      <c r="Y17" s="46">
        <f>SUM(Model!X10,Model!X415,Model!X655,Model!X880,Model!X1105,Model!X1332,Model!X1557,Model!X1782,Model!X2007,Model!X2228,Model!X2449)</f>
        <v>66.184962075522535</v>
      </c>
      <c r="Z17" s="46">
        <f>SUM(Model!Y10,Model!Y415,Model!Y655,Model!Y880,Model!Y1105,Model!Y1332,Model!Y1557,Model!Y1782,Model!Y2007,Model!Y2228,Model!Y2449)</f>
        <v>80.72534759170037</v>
      </c>
      <c r="AA17" s="46">
        <f>SUM(Model!Z10,Model!Z415,Model!Z655,Model!Z880,Model!Z1105,Model!Z1332,Model!Z1557,Model!Z1782,Model!Z2007,Model!Z2228,Model!Z2449)</f>
        <v>95.380842009112229</v>
      </c>
      <c r="AB17" s="46">
        <f>SUM(Model!AA10,Model!AA415,Model!AA655,Model!AA880,Model!AA1105,Model!AA1332,Model!AA1557,Model!AA1782,Model!AA2007,Model!AA2228,Model!AA2449)</f>
        <v>110.70640760253904</v>
      </c>
      <c r="AC17" s="46">
        <f>SUM(Model!AB10,Model!AB415,Model!AB655,Model!AB880,Model!AB1105,Model!AB1332,Model!AB1557,Model!AB1782,Model!AB2007,Model!AB2228,Model!AB2449)</f>
        <v>126.56291363139451</v>
      </c>
      <c r="AD17" s="46">
        <f>SUM(Model!AC10,Model!AC415,Model!AC655,Model!AC880,Model!AC1105,Model!AC1332,Model!AC1557,Model!AC1782,Model!AC2007,Model!AC2228,Model!AC2449)</f>
        <v>142.93345014258054</v>
      </c>
      <c r="AE17" s="46">
        <f>SUM(Model!AD10,Model!AD415,Model!AD655,Model!AD880,Model!AD1105,Model!AD1332,Model!AD1557,Model!AD1782,Model!AD2007,Model!AD2228,Model!AD2449)</f>
        <v>159.82668278404347</v>
      </c>
      <c r="AF17" s="46">
        <f>SUM(Model!AE10,Model!AE415,Model!AE655,Model!AE880,Model!AE1105,Model!AE1332,Model!AE1557,Model!AE1782,Model!AE2007,Model!AE2228,Model!AE2449)</f>
        <v>177.25709933726165</v>
      </c>
      <c r="AG17" s="46">
        <f>SUM(Model!AF10,Model!AF415,Model!AF655,Model!AF880,Model!AF1105,Model!AF1332,Model!AF1557,Model!AF1782,Model!AF2007,Model!AF2228,Model!AF2449)</f>
        <v>195.27054822124006</v>
      </c>
      <c r="AH17" s="46">
        <f>SUM(Model!AG10,Model!AG415,Model!AG655,Model!AG880,Model!AG1105,Model!AG1332,Model!AG1557,Model!AG1782,Model!AG2007,Model!AG2228,Model!AG2449)</f>
        <v>213.94870826960323</v>
      </c>
      <c r="AI17" s="46">
        <f>SUM(Model!AH10,Model!AH415,Model!AH655,Model!AH880,Model!AH1105,Model!AH1332,Model!AH1557,Model!AH1782,Model!AH2007,Model!AH2228,Model!AH2449)</f>
        <v>233.25038921028909</v>
      </c>
      <c r="AJ17" s="46">
        <f>SUM(Model!AI10,Model!AI415,Model!AI655,Model!AI880,Model!AI1105,Model!AI1332,Model!AI1557,Model!AI1782,Model!AI2007,Model!AI2228,Model!AI2449)</f>
        <v>253.1970171837157</v>
      </c>
      <c r="AK17" s="46">
        <f>SUM(Model!AJ10,Model!AJ415,Model!AJ655,Model!AJ880,Model!AJ1105,Model!AJ1332,Model!AJ1557,Model!AJ1782,Model!AJ2007,Model!AJ2228,Model!AJ2449)</f>
        <v>273.81922159964182</v>
      </c>
      <c r="AL17" s="46">
        <f>SUM(Model!AK10,Model!AK415,Model!AK655,Model!AK880,Model!AK1105,Model!AK1332,Model!AK1557,Model!AK1782,Model!AK2007,Model!AK2228,Model!AK2449)</f>
        <v>295.24074961678866</v>
      </c>
      <c r="AM17" s="46">
        <f>SUM(Model!AL10,Model!AL415,Model!AL655,Model!AL880,Model!AL1105,Model!AL1332,Model!AL1557,Model!AL1782,Model!AL2007,Model!AL2228,Model!AL2449)</f>
        <v>317.24485920833484</v>
      </c>
      <c r="AN17" s="46">
        <f>SUM(Model!AM10,Model!AM415,Model!AM655,Model!AM880,Model!AM1105,Model!AM1332,Model!AM1557,Model!AM1782,Model!AM2007,Model!AM2228,Model!AM2449)</f>
        <v>339.70877565524665</v>
      </c>
      <c r="AO17" s="46">
        <f>SUM(Model!AN10,Model!AN415,Model!AN655,Model!AN880,Model!AN1105,Model!AN1332,Model!AN1557,Model!AN1782,Model!AN2007,Model!AN2228,Model!AN2449)</f>
        <v>363.32431804166532</v>
      </c>
      <c r="AP17" s="46">
        <f>SUM(Model!AO10,Model!AO415,Model!AO655,Model!AO880,Model!AO1105,Model!AO1332,Model!AO1557,Model!AO1782,Model!AO2007,Model!AO2228,Model!AO2449)</f>
        <v>387.02172013548574</v>
      </c>
      <c r="AQ17" s="46">
        <f>SUM(Model!AP10,Model!AP415,Model!AP655,Model!AP880,Model!AP1105,Model!AP1332,Model!AP1557,Model!AP1782,Model!AP2007,Model!AP2228,Model!AP2449)</f>
        <v>411.67364210221427</v>
      </c>
      <c r="AR17" s="46">
        <f>SUM(Model!AQ10,Model!AQ415,Model!AQ655,Model!AQ880,Model!AQ1105,Model!AQ1332,Model!AQ1557,Model!AQ1782,Model!AQ2007,Model!AQ2228,Model!AQ2449)</f>
        <v>436.94115974852377</v>
      </c>
      <c r="AS17" s="46">
        <f>SUM(Model!AR10,Model!AR415,Model!AR655,Model!AR880,Model!AR1105,Model!AR1332,Model!AR1557,Model!AR1782,Model!AR2007,Model!AR2228,Model!AR2449)</f>
        <v>463.36963511554399</v>
      </c>
      <c r="AT17" s="46">
        <f>SUM(Model!AS10,Model!AS415,Model!AS655,Model!AS880,Model!AS1105,Model!AS1332,Model!AS1557,Model!AS1782,Model!AS2007,Model!AS2228,Model!AS2449)</f>
        <v>490.3261424081291</v>
      </c>
      <c r="AU17" s="46">
        <f>SUM(Model!AT10,Model!AT415,Model!AT655,Model!AT880,Model!AT1105,Model!AT1332,Model!AT1557,Model!AT1782,Model!AT2007,Model!AT2228,Model!AT2449)</f>
        <v>517.98189009805844</v>
      </c>
      <c r="AV17" s="46">
        <f>SUM(Model!AU10,Model!AU415,Model!AU655,Model!AU880,Model!AU1105,Model!AU1332,Model!AU1557,Model!AU1782,Model!AU2007,Model!AU2228,Model!AU2449)</f>
        <v>547.01269953594317</v>
      </c>
      <c r="AW17" s="46">
        <f>SUM(Model!AV10,Model!AV415,Model!AV655,Model!AV880,Model!AV1105,Model!AV1332,Model!AV1557,Model!AV1782,Model!AV2007,Model!AV2228,Model!AV2449)</f>
        <v>576.1755307232944</v>
      </c>
      <c r="AX17" s="46">
        <f>SUM(Model!AW10,Model!AW415,Model!AW655,Model!AW880,Model!AW1105,Model!AW1332,Model!AW1557,Model!AW1782,Model!AW2007,Model!AW2228,Model!AW2449)</f>
        <v>606.8479487603405</v>
      </c>
      <c r="AY17" s="46">
        <f>SUM(Model!AX10,Model!AX415,Model!AX655,Model!AX880,Model!AX1105,Model!AX1332,Model!AX1557,Model!AX1782,Model!AX2007,Model!AX2228,Model!AX2449)</f>
        <v>638.01693828456973</v>
      </c>
      <c r="AZ17" s="46">
        <f>SUM(Model!AY10,Model!AY415,Model!AY655,Model!AY880,Model!AY1105,Model!AY1332,Model!AY1557,Model!AY1782,Model!AY2007,Model!AY2228,Model!AY2449)</f>
        <v>670.42952327879777</v>
      </c>
      <c r="BA17" s="46">
        <f>SUM(Model!AZ10,Model!AZ415,Model!AZ655,Model!AZ880,Model!AZ1105,Model!AZ1332,Model!AZ1557,Model!AZ1782,Model!AZ2007,Model!AZ2228,Model!AZ2449)</f>
        <v>703.16176684761865</v>
      </c>
      <c r="BB17" s="46">
        <f>SUM(Model!BA10,Model!BA415,Model!BA655,Model!BA880,Model!BA1105,Model!BA1332,Model!BA1557,Model!BA1782,Model!BA2007,Model!BA2228,Model!BA2449)</f>
        <v>737.10922187063841</v>
      </c>
      <c r="BC17" s="147"/>
      <c r="BD17" s="147"/>
      <c r="BE17" s="147"/>
      <c r="BF17" s="147"/>
      <c r="BG17" s="147"/>
      <c r="BH17" s="147"/>
      <c r="BI17" s="147"/>
      <c r="BJ17" s="147"/>
      <c r="BK17" s="147"/>
      <c r="BL17" s="147"/>
      <c r="BM17" s="147"/>
      <c r="BN17" s="147"/>
      <c r="BO17" s="147"/>
      <c r="BP17" s="147"/>
    </row>
    <row r="18" spans="1:68" ht="14.6">
      <c r="A18" s="43" t="s">
        <v>285</v>
      </c>
      <c r="B18" s="139" t="s">
        <v>286</v>
      </c>
      <c r="C18" s="139" t="s">
        <v>259</v>
      </c>
      <c r="D18" s="46">
        <f>SUM(Model!C11,Model!C418,Model!C656,Model!C881,Model!C1107,Model!C1333,Model!C1558,Model!C1783,Model!C2008,Model!C2229)</f>
        <v>92.725825925360141</v>
      </c>
      <c r="E18" s="46">
        <f>SUM(Model!D11,Model!D418,Model!D656,Model!D881,Model!D1107,Model!D1333,Model!D1558,Model!D1783,Model!D2008,Model!D2229)</f>
        <v>90.46094360472506</v>
      </c>
      <c r="F18" s="46">
        <f>SUM(Model!E11,Model!E418,Model!E656,Model!E881,Model!E1107,Model!E1333,Model!E1558,Model!E1783,Model!E2008,Model!E2229)</f>
        <v>86.189955129912789</v>
      </c>
      <c r="G18" s="46">
        <f>SUM(Model!F11,Model!F418,Model!F656,Model!F881,Model!F1107,Model!F1333,Model!F1558,Model!F1783,Model!F2008,Model!F2229)</f>
        <v>103.08030452320338</v>
      </c>
      <c r="H18" s="46">
        <f>SUM(Model!G11,Model!G418,Model!G656,Model!G881,Model!G1107,Model!G1333,Model!G1558,Model!G1783,Model!G2008,Model!G2229)</f>
        <v>109.70919627273683</v>
      </c>
      <c r="I18" s="46">
        <f>SUM(Model!H11,Model!H418,Model!H656,Model!H881,Model!H1107,Model!H1333,Model!H1558,Model!H1783,Model!H2008,Model!H2229)</f>
        <v>135.0608058716615</v>
      </c>
      <c r="J18" s="46">
        <f>SUM(Model!I11,Model!I418,Model!I656,Model!I881,Model!I1107,Model!I1333,Model!I1558,Model!I1783,Model!I2008,Model!I2229)</f>
        <v>122.1689549683086</v>
      </c>
      <c r="K18" s="46">
        <f>SUM(Model!J11,Model!J418,Model!J656,Model!J881,Model!J1107,Model!J1333,Model!J1558,Model!J1783,Model!J2008,Model!J2229)</f>
        <v>126.39917078604186</v>
      </c>
      <c r="L18" s="46">
        <f>SUM(Model!K11,Model!K418,Model!K656,Model!K881,Model!K1107,Model!K1333,Model!K1558,Model!K1783,Model!K2008,Model!K2229)</f>
        <v>150.18779928865564</v>
      </c>
      <c r="M18" s="46">
        <f>SUM(Model!L11,Model!L418,Model!L656,Model!L881,Model!L1107,Model!L1333,Model!L1558,Model!L1783,Model!L2008,Model!L2229)</f>
        <v>109.34037820447904</v>
      </c>
      <c r="N18" s="46">
        <f>SUM(Model!M11,Model!M418,Model!M656,Model!M881,Model!M1107,Model!M1333,Model!M1558,Model!M1783,Model!M2008,Model!M2229)</f>
        <v>119.32626294653485</v>
      </c>
      <c r="O18" s="46">
        <f>SUM(Model!N11,Model!N418,Model!N656,Model!N881,Model!N1107,Model!N1333,Model!N1558,Model!N1783,Model!N2008,Model!N2229)</f>
        <v>121.19496381494103</v>
      </c>
      <c r="P18" s="46">
        <f>SUM(Model!O11,Model!O418,Model!O656,Model!O881,Model!O1107,Model!O1333,Model!O1558,Model!O1783,Model!O2008,Model!O2229)</f>
        <v>104.23803847478963</v>
      </c>
      <c r="Q18" s="46">
        <f>SUM(Model!P11,Model!P418,Model!P656,Model!P881,Model!P1107,Model!P1333,Model!P1558,Model!P1783,Model!P2008,Model!P2229)</f>
        <v>115.45796497520243</v>
      </c>
      <c r="R18" s="46">
        <f>SUM(Model!Q11,Model!Q418,Model!Q656,Model!Q881,Model!Q1107,Model!Q1333,Model!Q1558,Model!Q1783,Model!Q2008,Model!Q2229)</f>
        <v>125.68789561364952</v>
      </c>
      <c r="S18" s="46">
        <f>SUM(Model!R11,Model!R418,Model!R656,Model!R881,Model!R1107,Model!R1333,Model!R1558,Model!R1783,Model!R2008,Model!R2229)</f>
        <v>101.42802844904367</v>
      </c>
      <c r="T18" s="46">
        <f>SUM(Model!S11,Model!S418,Model!S656,Model!S881,Model!S1107,Model!S1333,Model!S1558,Model!S1783,Model!S2008,Model!S2229)</f>
        <v>102.83490806384143</v>
      </c>
      <c r="U18" s="46">
        <f>SUM(Model!T11,Model!T418,Model!T656,Model!T881,Model!T1107,Model!T1333,Model!T1558,Model!T1783,Model!T2008,Model!T2229)</f>
        <v>108.07807682382841</v>
      </c>
      <c r="V18" s="46">
        <f>SUM(Model!U11,Model!U418,Model!U656,Model!U881,Model!U1107,Model!U1333,Model!U1558,Model!U1783,Model!U2008,Model!U2229)</f>
        <v>115.04129827495272</v>
      </c>
      <c r="W18" s="46">
        <f>SUM(Model!V11,Model!V418,Model!V656,Model!V881,Model!V1107,Model!V1333,Model!V1558,Model!V1783,Model!V2008,Model!V2229)</f>
        <v>117.34566657672143</v>
      </c>
      <c r="X18" s="46">
        <f>SUM(Model!W11,Model!W418,Model!W656,Model!W881,Model!W1107,Model!W1333,Model!W1558,Model!W1783,Model!W2008,Model!W2229)</f>
        <v>131.27859521536399</v>
      </c>
      <c r="Y18" s="46">
        <f>SUM(Model!X11,Model!X418,Model!X656,Model!X881,Model!X1107,Model!X1333,Model!X1558,Model!X1783,Model!X2008,Model!X2229)</f>
        <v>126.71432100756081</v>
      </c>
      <c r="Z18" s="46">
        <f>SUM(Model!Y11,Model!Y418,Model!Y656,Model!Y881,Model!Y1107,Model!Y1333,Model!Y1558,Model!Y1783,Model!Y2008,Model!Y2229)</f>
        <v>123.33164998976648</v>
      </c>
      <c r="AA18" s="46">
        <f>SUM(Model!Z11,Model!Z418,Model!Z656,Model!Z881,Model!Z1107,Model!Z1333,Model!Z1558,Model!Z1783,Model!Z2008,Model!Z2229)</f>
        <v>121.67218544456664</v>
      </c>
      <c r="AB18" s="46">
        <f>SUM(Model!AA11,Model!AA418,Model!AA656,Model!AA881,Model!AA1107,Model!AA1333,Model!AA1558,Model!AA1783,Model!AA2008,Model!AA2229)</f>
        <v>120.64620933861714</v>
      </c>
      <c r="AC18" s="46">
        <f>SUM(Model!AB11,Model!AB418,Model!AB656,Model!AB881,Model!AB1107,Model!AB1333,Model!AB1558,Model!AB1783,Model!AB2008,Model!AB2229)</f>
        <v>119.87266091666312</v>
      </c>
      <c r="AD18" s="46">
        <f>SUM(Model!AC11,Model!AC418,Model!AC656,Model!AC881,Model!AC1107,Model!AC1333,Model!AC1558,Model!AC1783,Model!AC2008,Model!AC2229)</f>
        <v>117.17724585998867</v>
      </c>
      <c r="AE18" s="46">
        <f>SUM(Model!AD11,Model!AD418,Model!AD656,Model!AD881,Model!AD1107,Model!AD1333,Model!AD1558,Model!AD1783,Model!AD2008,Model!AD2229)</f>
        <v>114.4527545120342</v>
      </c>
      <c r="AF18" s="46">
        <f>SUM(Model!AE11,Model!AE418,Model!AE656,Model!AE881,Model!AE1107,Model!AE1333,Model!AE1558,Model!AE1783,Model!AE2008,Model!AE2229)</f>
        <v>112.52255124695414</v>
      </c>
      <c r="AG18" s="46">
        <f>SUM(Model!AF11,Model!AF418,Model!AF656,Model!AF881,Model!AF1107,Model!AF1333,Model!AF1558,Model!AF1783,Model!AF2008,Model!AF2229)</f>
        <v>110.34851464258955</v>
      </c>
      <c r="AH18" s="46">
        <f>SUM(Model!AG11,Model!AG418,Model!AG656,Model!AG881,Model!AG1107,Model!AG1333,Model!AG1558,Model!AG1783,Model!AG2008,Model!AG2229)</f>
        <v>108.44813291354042</v>
      </c>
      <c r="AI18" s="46">
        <f>SUM(Model!AH11,Model!AH418,Model!AH656,Model!AH881,Model!AH1107,Model!AH1333,Model!AH1558,Model!AH1783,Model!AH2008,Model!AH2229)</f>
        <v>106.45715798392227</v>
      </c>
      <c r="AJ18" s="46">
        <f>SUM(Model!AI11,Model!AI418,Model!AI656,Model!AI881,Model!AI1107,Model!AI1333,Model!AI1558,Model!AI1783,Model!AI2008,Model!AI2229)</f>
        <v>104.76303274444672</v>
      </c>
      <c r="AK18" s="46">
        <f>SUM(Model!AJ11,Model!AJ418,Model!AJ656,Model!AJ881,Model!AJ1107,Model!AJ1333,Model!AJ1558,Model!AJ1783,Model!AJ2008,Model!AJ2229)</f>
        <v>102.80091375724052</v>
      </c>
      <c r="AL18" s="46">
        <f>SUM(Model!AK11,Model!AK418,Model!AK656,Model!AK881,Model!AK1107,Model!AK1333,Model!AK1558,Model!AK1783,Model!AK2008,Model!AK2229)</f>
        <v>100.77741536881624</v>
      </c>
      <c r="AM18" s="46">
        <f>SUM(Model!AL11,Model!AL418,Model!AL656,Model!AL881,Model!AL1107,Model!AL1333,Model!AL1558,Model!AL1783,Model!AL2008,Model!AL2229)</f>
        <v>98.952578745581107</v>
      </c>
      <c r="AN18" s="46">
        <f>SUM(Model!AM11,Model!AM418,Model!AM656,Model!AM881,Model!AM1107,Model!AM1333,Model!AM1558,Model!AM1783,Model!AM2008,Model!AM2229)</f>
        <v>97.446416707506302</v>
      </c>
      <c r="AO18" s="46">
        <f>SUM(Model!AN11,Model!AN418,Model!AN656,Model!AN881,Model!AN1107,Model!AN1333,Model!AN1558,Model!AN1783,Model!AN2008,Model!AN2229)</f>
        <v>95.71177539310581</v>
      </c>
      <c r="AP18" s="46">
        <f>SUM(Model!AO11,Model!AO418,Model!AO656,Model!AO881,Model!AO1107,Model!AO1333,Model!AO1558,Model!AO1783,Model!AO2008,Model!AO2229)</f>
        <v>94.304208318540375</v>
      </c>
      <c r="AQ18" s="46">
        <f>SUM(Model!AP11,Model!AP418,Model!AP656,Model!AP881,Model!AP1107,Model!AP1333,Model!AP1558,Model!AP1783,Model!AP2008,Model!AP2229)</f>
        <v>92.904020921653498</v>
      </c>
      <c r="AR18" s="46">
        <f>SUM(Model!AQ11,Model!AQ418,Model!AQ656,Model!AQ881,Model!AQ1107,Model!AQ1333,Model!AQ1558,Model!AQ1783,Model!AQ2008,Model!AQ2229)</f>
        <v>91.384168485772278</v>
      </c>
      <c r="AS18" s="46">
        <f>SUM(Model!AR11,Model!AR418,Model!AR656,Model!AR881,Model!AR1107,Model!AR1333,Model!AR1558,Model!AR1783,Model!AR2008,Model!AR2229)</f>
        <v>89.668206657240788</v>
      </c>
      <c r="AT18" s="46">
        <f>SUM(Model!AS11,Model!AS418,Model!AS656,Model!AS881,Model!AS1107,Model!AS1333,Model!AS1558,Model!AS1783,Model!AS2008,Model!AS2229)</f>
        <v>88.028584965494929</v>
      </c>
      <c r="AU18" s="46">
        <f>SUM(Model!AT11,Model!AT418,Model!AT656,Model!AT881,Model!AT1107,Model!AT1333,Model!AT1558,Model!AT1783,Model!AT2008,Model!AT2229)</f>
        <v>86.462291745209214</v>
      </c>
      <c r="AV18" s="46">
        <f>SUM(Model!AU11,Model!AU418,Model!AU656,Model!AU881,Model!AU1107,Model!AU1333,Model!AU1558,Model!AU1783,Model!AU2008,Model!AU2229)</f>
        <v>84.827803603043535</v>
      </c>
      <c r="AW18" s="46">
        <f>SUM(Model!AV11,Model!AV418,Model!AV656,Model!AV881,Model!AV1107,Model!AV1333,Model!AV1558,Model!AV1783,Model!AV2008,Model!AV2229)</f>
        <v>83.37889706459471</v>
      </c>
      <c r="AX18" s="46">
        <f>SUM(Model!AW11,Model!AW418,Model!AW656,Model!AW881,Model!AW1107,Model!AW1333,Model!AW1558,Model!AW1783,Model!AW2008,Model!AW2229)</f>
        <v>81.622609012917863</v>
      </c>
      <c r="AY18" s="46">
        <f>SUM(Model!AX11,Model!AX418,Model!AX656,Model!AX881,Model!AX1107,Model!AX1333,Model!AX1558,Model!AX1783,Model!AX2008,Model!AX2229)</f>
        <v>80.160917278008441</v>
      </c>
      <c r="AZ18" s="46">
        <f>SUM(Model!AY11,Model!AY418,Model!AY656,Model!AY881,Model!AY1107,Model!AY1333,Model!AY1558,Model!AY1783,Model!AY2008,Model!AY2229)</f>
        <v>79.552909302319506</v>
      </c>
      <c r="BA18" s="46">
        <f>SUM(Model!AZ11,Model!AZ418,Model!AZ656,Model!AZ881,Model!AZ1107,Model!AZ1333,Model!AZ1558,Model!AZ1783,Model!AZ2008,Model!AZ2229)</f>
        <v>78.41508359352737</v>
      </c>
      <c r="BB18" s="46">
        <f>SUM(Model!BA11,Model!BA418,Model!BA656,Model!BA881,Model!BA1107,Model!BA1333,Model!BA1558,Model!BA1783,Model!BA2008,Model!BA2229)</f>
        <v>76.688415861155335</v>
      </c>
      <c r="BC18" s="147"/>
      <c r="BD18" s="147"/>
      <c r="BE18" s="147"/>
      <c r="BF18" s="147"/>
      <c r="BG18" s="147"/>
      <c r="BH18" s="147"/>
      <c r="BI18" s="147"/>
      <c r="BJ18" s="147"/>
      <c r="BK18" s="147"/>
      <c r="BL18" s="147"/>
      <c r="BM18" s="147"/>
      <c r="BN18" s="147"/>
      <c r="BO18" s="147"/>
      <c r="BP18" s="147"/>
    </row>
    <row r="19" spans="1:68" ht="14.6">
      <c r="A19" s="43" t="s">
        <v>318</v>
      </c>
      <c r="B19" s="139" t="s">
        <v>319</v>
      </c>
      <c r="C19" s="139" t="s">
        <v>214</v>
      </c>
      <c r="D19" s="46">
        <f>Model!C1106</f>
        <v>3.5749900359947038</v>
      </c>
      <c r="E19" s="46">
        <f>Model!D1106</f>
        <v>3.718720748758845</v>
      </c>
      <c r="F19" s="46">
        <f>Model!E1106</f>
        <v>3.8485380703209429</v>
      </c>
      <c r="G19" s="46">
        <f>Model!F1106</f>
        <v>3.8433245284133171</v>
      </c>
      <c r="H19" s="46">
        <f>Model!G1106</f>
        <v>4.0474657182634211</v>
      </c>
      <c r="I19" s="46">
        <f>Model!H1106</f>
        <v>4.0941636570106974</v>
      </c>
      <c r="J19" s="46">
        <f>Model!I1106</f>
        <v>4.2039888613983543</v>
      </c>
      <c r="K19" s="46">
        <f>Model!J1106</f>
        <v>4.3926865226692584</v>
      </c>
      <c r="L19" s="46">
        <f>Model!K1106</f>
        <v>4.4793383784246394</v>
      </c>
      <c r="M19" s="46">
        <f>Model!L1106</f>
        <v>4.5272495832897208</v>
      </c>
      <c r="N19" s="46">
        <f>Model!M1106</f>
        <v>4.6646960692087269</v>
      </c>
      <c r="O19" s="46">
        <f>Model!N1106</f>
        <v>4.6591476567910446</v>
      </c>
      <c r="P19" s="46">
        <f>Model!O1106</f>
        <v>4.6267985808232917</v>
      </c>
      <c r="Q19" s="46">
        <f>Model!P1106</f>
        <v>4.8400902840137316</v>
      </c>
      <c r="R19" s="46">
        <f>Model!Q1106</f>
        <v>4.9878837329533896</v>
      </c>
      <c r="S19" s="46">
        <f>Model!R1106</f>
        <v>5.0877173234140711</v>
      </c>
      <c r="T19" s="46">
        <f>Model!S1106</f>
        <v>5.235438287215687</v>
      </c>
      <c r="U19" s="46">
        <f>Model!T1106</f>
        <v>5.2609890432800004</v>
      </c>
      <c r="V19" s="46">
        <f>Model!U1106</f>
        <v>5.3980187422704002</v>
      </c>
      <c r="W19" s="46">
        <f>Model!V1106</f>
        <v>5.21588869119641</v>
      </c>
      <c r="X19" s="46">
        <f>Model!W1106</f>
        <v>4.9454240920778814</v>
      </c>
      <c r="Y19" s="46">
        <f>Model!X1106</f>
        <v>4.671579475352555</v>
      </c>
      <c r="Z19" s="46">
        <f>Model!Y1106</f>
        <v>4.4076513438898788</v>
      </c>
      <c r="AA19" s="46">
        <f>Model!Z1106</f>
        <v>4.1533298613474336</v>
      </c>
      <c r="AB19" s="46">
        <f>Model!AA1106</f>
        <v>3.9083141649343163</v>
      </c>
      <c r="AC19" s="46">
        <f>Model!AB1106</f>
        <v>3.6723121172825137</v>
      </c>
      <c r="AD19" s="46">
        <f>Model!AC1106</f>
        <v>3.4450400649681341</v>
      </c>
      <c r="AE19" s="46">
        <f>Model!AD1106</f>
        <v>3.2948937354699397</v>
      </c>
      <c r="AF19" s="46">
        <f>Model!AE1106</f>
        <v>3.145334211129478</v>
      </c>
      <c r="AG19" s="46">
        <f>Model!AF1106</f>
        <v>2.9963597453114366</v>
      </c>
      <c r="AH19" s="46">
        <f>Model!AG1106</f>
        <v>2.8479685960198227</v>
      </c>
      <c r="AI19" s="46">
        <f>Model!AH1106</f>
        <v>2.7001590258863941</v>
      </c>
      <c r="AJ19" s="46">
        <f>Model!AI1106</f>
        <v>2.5529293021591148</v>
      </c>
      <c r="AK19" s="46">
        <f>Model!AJ1106</f>
        <v>2.4062776966906414</v>
      </c>
      <c r="AL19" s="46">
        <f>Model!AK1106</f>
        <v>2.260202485926833</v>
      </c>
      <c r="AM19" s="46">
        <f>Model!AL1106</f>
        <v>2.1147019508952929</v>
      </c>
      <c r="AN19" s="46">
        <f>Model!AM1106</f>
        <v>1.9697743771939356</v>
      </c>
      <c r="AO19" s="46">
        <f>Model!AN1106</f>
        <v>1.8254180549795802</v>
      </c>
      <c r="AP19" s="46">
        <f>Model!AO1106</f>
        <v>1.6816312789565731</v>
      </c>
      <c r="AQ19" s="46">
        <f>Model!AP1106</f>
        <v>1.5384123483654379</v>
      </c>
      <c r="AR19" s="46">
        <f>Model!AQ1106</f>
        <v>1.3957595669715519</v>
      </c>
      <c r="AS19" s="46">
        <f>Model!AR1106</f>
        <v>1.2536712430538481</v>
      </c>
      <c r="AT19" s="46">
        <f>Model!AS1106</f>
        <v>1.1121456893935471</v>
      </c>
      <c r="AU19" s="46">
        <f>Model!AT1106</f>
        <v>0.97118122326291523</v>
      </c>
      <c r="AV19" s="46">
        <f>Model!AU1106</f>
        <v>0.83077616641404828</v>
      </c>
      <c r="AW19" s="46">
        <f>Model!AV1106</f>
        <v>0.69092884506768359</v>
      </c>
      <c r="AX19" s="46">
        <f>Model!AW1106</f>
        <v>0.55163758990203871</v>
      </c>
      <c r="AY19" s="46">
        <f>Model!AX1106</f>
        <v>0.41290073604167615</v>
      </c>
      <c r="AZ19" s="46">
        <f>Model!AY1106</f>
        <v>0.27471662304639538</v>
      </c>
      <c r="BA19" s="46">
        <f>Model!AZ1106</f>
        <v>0.13708359490015165</v>
      </c>
      <c r="BB19" s="46">
        <f>Model!BA1106</f>
        <v>0</v>
      </c>
      <c r="BC19" s="147"/>
      <c r="BD19" s="147"/>
      <c r="BE19" s="147"/>
      <c r="BF19" s="147"/>
      <c r="BG19" s="147"/>
      <c r="BH19" s="147"/>
      <c r="BI19" s="147"/>
      <c r="BJ19" s="147"/>
      <c r="BK19" s="147"/>
      <c r="BL19" s="147"/>
      <c r="BM19" s="147"/>
      <c r="BN19" s="147"/>
      <c r="BO19" s="147"/>
      <c r="BP19" s="147"/>
    </row>
    <row r="20" spans="1:68" ht="14.6">
      <c r="A20" s="128" t="s">
        <v>320</v>
      </c>
      <c r="B20" s="129" t="s">
        <v>321</v>
      </c>
      <c r="C20" s="129" t="s">
        <v>259</v>
      </c>
      <c r="D20" s="130">
        <f>SUM(Model!C14,Model!C421,Model!C658,Model!C883,Model!C1110,Model!C1335,Model!C1560,Model!C1785,Model!C2010,Model!C2231)</f>
        <v>25667.300000000003</v>
      </c>
      <c r="E20" s="130">
        <f>SUM(Model!D14,Model!D421,Model!D658,Model!D883,Model!D1110,Model!D1335,Model!D1560,Model!D1785,Model!D2010,Model!D2231)</f>
        <v>38328.300000000017</v>
      </c>
      <c r="F20" s="130">
        <f>SUM(Model!E14,Model!E421,Model!E658,Model!E883,Model!E1110,Model!E1335,Model!E1560,Model!E1785,Model!E2010,Model!E2231)</f>
        <v>56250.800000000032</v>
      </c>
      <c r="G20" s="130">
        <f>SUM(Model!F14,Model!F421,Model!F658,Model!F883,Model!F1110,Model!F1335,Model!F1560,Model!F1785,Model!F2010,Model!F2231)</f>
        <v>48029.499999999993</v>
      </c>
      <c r="H20" s="130">
        <f>SUM(Model!G14,Model!G421,Model!G658,Model!G883,Model!G1110,Model!G1335,Model!G1560,Model!G1785,Model!G2010,Model!G2231)</f>
        <v>23153.600000000006</v>
      </c>
      <c r="I20" s="130">
        <f>SUM(Model!H14,Model!H421,Model!H658,Model!H883,Model!H1110,Model!H1335,Model!H1560,Model!H1785,Model!H2010,Model!H2231)</f>
        <v>18111.599999999988</v>
      </c>
      <c r="J20" s="130">
        <f>SUM(Model!I14,Model!I421,Model!I658,Model!I883,Model!I1110,Model!I1335,Model!I1560,Model!I1785,Model!I2010,Model!I2231)</f>
        <v>12424.300000000001</v>
      </c>
      <c r="K20" s="130">
        <f>SUM(Model!J14,Model!J421,Model!J658,Model!J883,Model!J1110,Model!J1335,Model!J1560,Model!J1785,Model!J2010,Model!J2231)</f>
        <v>13902.8</v>
      </c>
      <c r="L20" s="130">
        <f>SUM(Model!K14,Model!K421,Model!K658,Model!K883,Model!K1110,Model!K1335,Model!K1560,Model!K1785,Model!K2010,Model!K2231)</f>
        <v>17850.700000000008</v>
      </c>
      <c r="M20" s="130">
        <f>SUM(Model!L14,Model!L421,Model!L658,Model!L883,Model!L1110,Model!L1335,Model!L1560,Model!L1785,Model!L2010,Model!L2231)</f>
        <v>21519.099999999995</v>
      </c>
      <c r="N20" s="130">
        <f>SUM(Model!M14,Model!M421,Model!M658,Model!M883,Model!M1110,Model!M1335,Model!M1560,Model!M1785,Model!M2010,Model!M2231)</f>
        <v>17274.600000000002</v>
      </c>
      <c r="O20" s="130">
        <f>SUM(Model!N14,Model!N421,Model!N658,Model!N883,Model!N1110,Model!N1335,Model!N1560,Model!N1785,Model!N2010,Model!N2231)</f>
        <v>21843.8</v>
      </c>
      <c r="P20" s="130">
        <f>SUM(Model!O14,Model!O421,Model!O658,Model!O883,Model!O1110,Model!O1335,Model!O1560,Model!O1785,Model!O2010,Model!O2231)</f>
        <v>28801.799999999996</v>
      </c>
      <c r="Q20" s="130">
        <f>SUM(Model!P14,Model!P421,Model!P658,Model!P883,Model!P1110,Model!P1335,Model!P1560,Model!P1785,Model!P2010,Model!P2231)</f>
        <v>13904.7</v>
      </c>
      <c r="R20" s="130">
        <f>SUM(Model!Q14,Model!Q421,Model!Q658,Model!Q883,Model!Q1110,Model!Q1335,Model!Q1560,Model!Q1785,Model!Q2010,Model!Q2231)</f>
        <v>17526.699999999997</v>
      </c>
      <c r="S20" s="130">
        <f>SUM(Model!R14,Model!R421,Model!R658,Model!R883,Model!R1110,Model!R1335,Model!R1560,Model!R1785,Model!R2010,Model!R2231)</f>
        <v>17928.199999999993</v>
      </c>
      <c r="T20" s="130">
        <f>SUM(Model!S14,Model!S421,Model!S658,Model!S883,Model!S1110,Model!S1335,Model!S1560,Model!S1785,Model!S2010,Model!S2231)</f>
        <v>27367.100000000002</v>
      </c>
      <c r="U20" s="130">
        <f>SUM(Model!T14,Model!T421,Model!T658,Model!T883,Model!T1110,Model!T1335,Model!T1560,Model!T1785,Model!T2010,Model!T2231)</f>
        <v>20696.000000000007</v>
      </c>
      <c r="V20" s="130">
        <f>SUM(Model!U14,Model!U421,Model!U658,Model!U883,Model!U1110,Model!U1335,Model!U1560,Model!U1785,Model!U2010,Model!U2231)</f>
        <v>32675.200000000001</v>
      </c>
      <c r="W20" s="130">
        <f>SUM(Model!V14,Model!V421,Model!V658,Model!V883,Model!V1110,Model!V1335,Model!V1560,Model!V1785,Model!V2010,Model!V2231)</f>
        <v>24086.299999999977</v>
      </c>
      <c r="X20" s="130">
        <f>SUM(Model!W14,Model!W421,Model!W658,Model!W883,Model!W1110,Model!W1335,Model!W1560,Model!W1785,Model!W2010,Model!W2231)</f>
        <v>32259</v>
      </c>
      <c r="Y20" s="130">
        <f>SUM(Model!X14,Model!X421,Model!X658,Model!X883,Model!X1110,Model!X1335,Model!X1560,Model!X1785,Model!X2010,Model!X2231)</f>
        <v>652619.57349896256</v>
      </c>
      <c r="Z20" s="130">
        <f>SUM(Model!Y14,Model!Y421,Model!Y658,Model!Y883,Model!Y1110,Model!Y1335,Model!Y1560,Model!Y1785,Model!Y2010,Model!Y2231)</f>
        <v>599661.21891607856</v>
      </c>
      <c r="AA20" s="130">
        <f>SUM(Model!Z14,Model!Z421,Model!Z658,Model!Z883,Model!Z1110,Model!Z1335,Model!Z1560,Model!Z1785,Model!Z2010,Model!Z2231)</f>
        <v>599544.75558274519</v>
      </c>
      <c r="AB20" s="130">
        <f>SUM(Model!AA14,Model!AA421,Model!AA658,Model!AA883,Model!AA1110,Model!AA1335,Model!AA1560,Model!AA1785,Model!AA2010,Model!AA2231)</f>
        <v>599467.2189160788</v>
      </c>
      <c r="AC20" s="130">
        <f>SUM(Model!AB14,Model!AB421,Model!AB658,Model!AB883,Model!AB1110,Model!AB1335,Model!AB1560,Model!AB1785,Model!AB2010,Model!AB2231)</f>
        <v>599464.91891607875</v>
      </c>
      <c r="AD20" s="130">
        <f>SUM(Model!AC14,Model!AC421,Model!AC658,Model!AC883,Model!AC1110,Model!AC1335,Model!AC1560,Model!AC1785,Model!AC2010,Model!AC2231)</f>
        <v>599528.7189160788</v>
      </c>
      <c r="AE20" s="130">
        <f>SUM(Model!AD14,Model!AD421,Model!AD658,Model!AD883,Model!AD1110,Model!AD1335,Model!AD1560,Model!AD1785,Model!AD2010,Model!AD2231)</f>
        <v>599460.7189160788</v>
      </c>
      <c r="AF20" s="130">
        <f>SUM(Model!AE14,Model!AE421,Model!AE658,Model!AE883,Model!AE1110,Model!AE1335,Model!AE1560,Model!AE1785,Model!AE2010,Model!AE2231)</f>
        <v>599460.71891607833</v>
      </c>
      <c r="AG20" s="130">
        <f>SUM(Model!AF14,Model!AF421,Model!AF658,Model!AF883,Model!AF1110,Model!AF1335,Model!AF1560,Model!AF1785,Model!AF2010,Model!AF2231)</f>
        <v>599479.51891607838</v>
      </c>
      <c r="AH20" s="130">
        <f>SUM(Model!AG14,Model!AG421,Model!AG658,Model!AG883,Model!AG1110,Model!AG1335,Model!AG1560,Model!AG1785,Model!AG2010,Model!AG2231)</f>
        <v>599631.31891607831</v>
      </c>
      <c r="AI20" s="130">
        <f>SUM(Model!AH14,Model!AH421,Model!AH658,Model!AH883,Model!AH1110,Model!AH1335,Model!AH1560,Model!AH1785,Model!AH2010,Model!AH2231)</f>
        <v>600087.51891607838</v>
      </c>
      <c r="AJ20" s="130">
        <f>SUM(Model!AI14,Model!AI421,Model!AI658,Model!AI883,Model!AI1110,Model!AI1335,Model!AI1560,Model!AI1785,Model!AI2010,Model!AI2231)</f>
        <v>599713.45891607832</v>
      </c>
      <c r="AK20" s="130">
        <f>SUM(Model!AJ14,Model!AJ421,Model!AJ658,Model!AJ883,Model!AJ1110,Model!AJ1335,Model!AJ1560,Model!AJ1785,Model!AJ2010,Model!AJ2231)</f>
        <v>602993.52224941168</v>
      </c>
      <c r="AL20" s="130">
        <f>SUM(Model!AK14,Model!AK421,Model!AK658,Model!AK883,Model!AK1110,Model!AK1335,Model!AK1560,Model!AK1785,Model!AK2010,Model!AK2231)</f>
        <v>604495.08891607833</v>
      </c>
      <c r="AM20" s="130">
        <f>SUM(Model!AL14,Model!AL421,Model!AL658,Model!AL883,Model!AL1110,Model!AL1335,Model!AL1560,Model!AL1785,Model!AL2010,Model!AL2231)</f>
        <v>602908.12558274507</v>
      </c>
      <c r="AN20" s="130">
        <f>SUM(Model!AM14,Model!AM421,Model!AM658,Model!AM883,Model!AM1110,Model!AM1335,Model!AM1560,Model!AM1785,Model!AM2010,Model!AM2231)</f>
        <v>611919.42558274593</v>
      </c>
      <c r="AO20" s="130">
        <f>SUM(Model!AN14,Model!AN421,Model!AN658,Model!AN883,Model!AN1110,Model!AN1335,Model!AN1560,Model!AN1785,Model!AN2010,Model!AN2231)</f>
        <v>609778.64349896321</v>
      </c>
      <c r="AP20" s="130">
        <f>SUM(Model!AO14,Model!AO421,Model!AO658,Model!AO883,Model!AO1110,Model!AO1335,Model!AO1560,Model!AO1785,Model!AO2010,Model!AO2231)</f>
        <v>629307.00683229661</v>
      </c>
      <c r="AQ20" s="130">
        <f>SUM(Model!AP14,Model!AP421,Model!AP658,Model!AP883,Model!AP1110,Model!AP1335,Model!AP1560,Model!AP1785,Model!AP2010,Model!AP2231)</f>
        <v>633018.50683229649</v>
      </c>
      <c r="AR20" s="130">
        <f>SUM(Model!AQ14,Model!AQ421,Model!AQ658,Model!AQ883,Model!AQ1110,Model!AQ1335,Model!AQ1560,Model!AQ1785,Model!AQ2010,Model!AQ2231)</f>
        <v>616795.87683229661</v>
      </c>
      <c r="AS20" s="130">
        <f>SUM(Model!AR14,Model!AR421,Model!AR658,Model!AR883,Model!AR1110,Model!AR1335,Model!AR1560,Model!AR1785,Model!AR2010,Model!AR2231)</f>
        <v>613066.55891607935</v>
      </c>
      <c r="AT20" s="130">
        <f>SUM(Model!AS14,Model!AS421,Model!AS658,Model!AS883,Model!AS1110,Model!AS1335,Model!AS1560,Model!AS1785,Model!AS2010,Model!AS2231)</f>
        <v>606214.82224941254</v>
      </c>
      <c r="AU20" s="130">
        <f>SUM(Model!AT14,Model!AT421,Model!AT658,Model!AT883,Model!AT1110,Model!AT1335,Model!AT1560,Model!AT1785,Model!AT2010,Model!AT2231)</f>
        <v>614754.18891607923</v>
      </c>
      <c r="AV20" s="130">
        <f>SUM(Model!AU14,Model!AU421,Model!AU658,Model!AU883,Model!AU1110,Model!AU1335,Model!AU1560,Model!AU1785,Model!AU2010,Model!AU2231)</f>
        <v>615468.82224941265</v>
      </c>
      <c r="AW20" s="130">
        <f>SUM(Model!AV14,Model!AV421,Model!AV658,Model!AV883,Model!AV1110,Model!AV1335,Model!AV1560,Model!AV1785,Model!AV2010,Model!AV2231)</f>
        <v>606463.82224941254</v>
      </c>
      <c r="AX20" s="130">
        <f>SUM(Model!AW14,Model!AW421,Model!AW658,Model!AW883,Model!AW1110,Model!AW1335,Model!AW1560,Model!AW1785,Model!AW2010,Model!AW2231)</f>
        <v>611641.08558274596</v>
      </c>
      <c r="AY20" s="130">
        <f>SUM(Model!AX14,Model!AX421,Model!AX658,Model!AX883,Model!AX1110,Model!AX1335,Model!AX1560,Model!AX1785,Model!AX2010,Model!AX2231)</f>
        <v>620015.18891607923</v>
      </c>
      <c r="AZ20" s="130">
        <f>SUM(Model!AY14,Model!AY421,Model!AY658,Model!AY883,Model!AY1110,Model!AY1335,Model!AY1560,Model!AY1785,Model!AY2010,Model!AY2231)</f>
        <v>622432.38558274589</v>
      </c>
      <c r="BA20" s="130">
        <f>SUM(Model!AZ14,Model!AZ421,Model!AZ658,Model!AZ883,Model!AZ1110,Model!AZ1335,Model!AZ1560,Model!AZ1785,Model!AZ2010,Model!AZ2231)</f>
        <v>615030.38558274589</v>
      </c>
      <c r="BB20" s="130">
        <f>SUM(Model!BA14,Model!BA421,Model!BA658,Model!BA883,Model!BA1110,Model!BA1335,Model!BA1560,Model!BA1785,Model!BA2010,Model!BA2231)</f>
        <v>610247.03683229</v>
      </c>
      <c r="BC20" s="132"/>
      <c r="BD20" s="132"/>
      <c r="BE20" s="132"/>
      <c r="BF20" s="132"/>
      <c r="BG20" s="132"/>
      <c r="BH20" s="132"/>
      <c r="BI20" s="132"/>
      <c r="BJ20" s="132"/>
      <c r="BK20" s="132"/>
      <c r="BL20" s="132"/>
      <c r="BM20" s="132"/>
      <c r="BN20" s="132"/>
      <c r="BO20" s="132"/>
      <c r="BP20" s="132"/>
    </row>
    <row r="21" spans="1:68" ht="14.6">
      <c r="A21" s="128" t="s">
        <v>322</v>
      </c>
      <c r="B21" s="129" t="s">
        <v>321</v>
      </c>
      <c r="C21" s="129" t="s">
        <v>238</v>
      </c>
      <c r="D21" s="130">
        <f>Model!C2452</f>
        <v>0</v>
      </c>
      <c r="E21" s="130">
        <f>Model!D2452</f>
        <v>0</v>
      </c>
      <c r="F21" s="130">
        <f>Model!E2452</f>
        <v>0</v>
      </c>
      <c r="G21" s="130">
        <f>Model!F2452</f>
        <v>0</v>
      </c>
      <c r="H21" s="130">
        <f>Model!G2452</f>
        <v>0</v>
      </c>
      <c r="I21" s="130">
        <f>Model!H2452</f>
        <v>0</v>
      </c>
      <c r="J21" s="130">
        <f>Model!I2452</f>
        <v>0</v>
      </c>
      <c r="K21" s="130">
        <f>Model!J2452</f>
        <v>0</v>
      </c>
      <c r="L21" s="130">
        <f>Model!K2452</f>
        <v>2</v>
      </c>
      <c r="M21" s="130">
        <f>Model!L2452</f>
        <v>4</v>
      </c>
      <c r="N21" s="130">
        <f>Model!M2452</f>
        <v>4</v>
      </c>
      <c r="O21" s="130">
        <f>Model!N2452</f>
        <v>32.799999999999997</v>
      </c>
      <c r="P21" s="130">
        <f>Model!O2452</f>
        <v>42.8</v>
      </c>
      <c r="Q21" s="130">
        <f>Model!P2452</f>
        <v>15.5</v>
      </c>
      <c r="R21" s="130">
        <f>Model!Q2452</f>
        <v>27.2</v>
      </c>
      <c r="S21" s="130">
        <f>Model!R2452</f>
        <v>146.1</v>
      </c>
      <c r="T21" s="130">
        <f>Model!S2452</f>
        <v>195.2</v>
      </c>
      <c r="U21" s="130">
        <f>Model!T2452</f>
        <v>109.4</v>
      </c>
      <c r="V21" s="130">
        <f>Model!U2452</f>
        <v>128.5</v>
      </c>
      <c r="W21" s="130">
        <f>Model!V2452</f>
        <v>200</v>
      </c>
      <c r="X21" s="130">
        <f>Model!W2452</f>
        <v>400</v>
      </c>
      <c r="Y21" s="130">
        <f>Model!X2452</f>
        <v>-43.583333333333258</v>
      </c>
      <c r="Z21" s="130">
        <f>Model!Y2452</f>
        <v>-43.583333333333258</v>
      </c>
      <c r="AA21" s="130">
        <f>Model!Z2452</f>
        <v>-43.583333333333258</v>
      </c>
      <c r="AB21" s="130">
        <f>Model!AA2452</f>
        <v>-43.583333333333258</v>
      </c>
      <c r="AC21" s="130">
        <f>Model!AB2452</f>
        <v>-43.583333333333258</v>
      </c>
      <c r="AD21" s="130">
        <f>Model!AC2452</f>
        <v>-43.583333333333258</v>
      </c>
      <c r="AE21" s="130">
        <f>Model!AD2452</f>
        <v>-43.583333333333371</v>
      </c>
      <c r="AF21" s="130">
        <f>Model!AE2452</f>
        <v>-43.583333333333371</v>
      </c>
      <c r="AG21" s="130">
        <f>Model!AF2452</f>
        <v>-43.583333333333371</v>
      </c>
      <c r="AH21" s="130">
        <f>Model!AG2452</f>
        <v>-43.583333333333371</v>
      </c>
      <c r="AI21" s="130">
        <f>Model!AH2452</f>
        <v>-43.583333333333371</v>
      </c>
      <c r="AJ21" s="130">
        <f>Model!AI2452</f>
        <v>-43.583333333333371</v>
      </c>
      <c r="AK21" s="130">
        <f>Model!AJ2452</f>
        <v>-43.583333333333371</v>
      </c>
      <c r="AL21" s="130">
        <f>Model!AK2452</f>
        <v>-43.583333333333371</v>
      </c>
      <c r="AM21" s="130">
        <f>Model!AL2452</f>
        <v>-43.583333333333371</v>
      </c>
      <c r="AN21" s="130">
        <f>Model!AM2452</f>
        <v>-43.583333333333371</v>
      </c>
      <c r="AO21" s="130">
        <f>Model!AN2452</f>
        <v>-43.583333333333371</v>
      </c>
      <c r="AP21" s="130">
        <f>Model!AO2452</f>
        <v>-43.583333333333371</v>
      </c>
      <c r="AQ21" s="130">
        <f>Model!AP2452</f>
        <v>-43.583333333333314</v>
      </c>
      <c r="AR21" s="130">
        <f>Model!AQ2452</f>
        <v>-43.583333333333314</v>
      </c>
      <c r="AS21" s="130">
        <f>Model!AR2452</f>
        <v>-43.583333333333314</v>
      </c>
      <c r="AT21" s="130">
        <f>Model!AS2452</f>
        <v>-43.583333333333314</v>
      </c>
      <c r="AU21" s="130">
        <f>Model!AT2452</f>
        <v>-43.583333333333314</v>
      </c>
      <c r="AV21" s="130">
        <f>Model!AU2452</f>
        <v>-43.583333333333314</v>
      </c>
      <c r="AW21" s="130">
        <f>Model!AV2452</f>
        <v>-43.583333333333343</v>
      </c>
      <c r="AX21" s="130">
        <f>Model!AW2452</f>
        <v>-43.583333333333343</v>
      </c>
      <c r="AY21" s="130">
        <f>Model!AX2452</f>
        <v>-43.583333333333343</v>
      </c>
      <c r="AZ21" s="130">
        <f>Model!AY2452</f>
        <v>-43.583333333333343</v>
      </c>
      <c r="BA21" s="130">
        <f>Model!AZ2452</f>
        <v>-43.583333333333336</v>
      </c>
      <c r="BB21" s="130">
        <f>Model!BA2452</f>
        <v>-43.583333333333407</v>
      </c>
      <c r="BC21" s="132"/>
      <c r="BD21" s="132"/>
      <c r="BE21" s="132"/>
      <c r="BF21" s="132"/>
      <c r="BG21" s="132"/>
      <c r="BH21" s="132"/>
      <c r="BI21" s="132"/>
      <c r="BJ21" s="132"/>
      <c r="BK21" s="132"/>
      <c r="BL21" s="132"/>
      <c r="BM21" s="132"/>
      <c r="BN21" s="132"/>
      <c r="BO21" s="132"/>
      <c r="BP21" s="132"/>
    </row>
    <row r="22" spans="1:68" ht="14.6">
      <c r="A22" s="43" t="s">
        <v>323</v>
      </c>
      <c r="B22" s="139" t="s">
        <v>319</v>
      </c>
      <c r="C22" s="139" t="s">
        <v>324</v>
      </c>
      <c r="D22" s="46">
        <f>SUM(Model!C16,Model!C423,Model!C660,Model!C885,Model!C1112,Model!C1337,Model!C1562,Model!C1787,Model!C2012,Model!C2233,Model!C2454)</f>
        <v>72.291445294907263</v>
      </c>
      <c r="E22" s="46">
        <f>SUM(Model!D16,Model!D423,Model!D660,Model!D885,Model!D1112,Model!D1337,Model!D1562,Model!D1787,Model!D2012,Model!D2233,Model!D2454)</f>
        <v>28.583612093751167</v>
      </c>
      <c r="F22" s="46">
        <f>SUM(Model!E16,Model!E423,Model!E660,Model!E885,Model!E1112,Model!E1337,Model!E1562,Model!E1787,Model!E2012,Model!E2233,Model!E2454)</f>
        <v>21.523018449037934</v>
      </c>
      <c r="G22" s="46">
        <f>SUM(Model!F16,Model!F423,Model!F660,Model!F885,Model!F1112,Model!F1337,Model!F1562,Model!F1787,Model!F2012,Model!F2233,Model!F2454)</f>
        <v>15.415102435360101</v>
      </c>
      <c r="H22" s="46">
        <f>SUM(Model!G16,Model!G423,Model!G660,Model!G885,Model!G1112,Model!G1337,Model!G1562,Model!G1787,Model!G2012,Model!G2233,Model!G2454)</f>
        <v>16.346647366015507</v>
      </c>
      <c r="I22" s="46">
        <f>SUM(Model!H16,Model!H423,Model!H660,Model!H885,Model!H1112,Model!H1337,Model!H1562,Model!H1787,Model!H2012,Model!H2233,Model!H2454)</f>
        <v>19.400398927984828</v>
      </c>
      <c r="J22" s="46">
        <f>SUM(Model!I16,Model!I423,Model!I660,Model!I885,Model!I1112,Model!I1337,Model!I1562,Model!I1787,Model!I2012,Model!I2233,Model!I2454)</f>
        <v>26.612428708748755</v>
      </c>
      <c r="K22" s="46">
        <f>SUM(Model!J16,Model!J423,Model!J660,Model!J885,Model!J1112,Model!J1337,Model!J1562,Model!J1787,Model!J2012,Model!J2233,Model!J2454)</f>
        <v>30.872837570310853</v>
      </c>
      <c r="L22" s="46">
        <f>SUM(Model!K16,Model!K423,Model!K660,Model!K885,Model!K1112,Model!K1337,Model!K1562,Model!K1787,Model!K2012,Model!K2233,Model!K2454)</f>
        <v>28.153246990453805</v>
      </c>
      <c r="M22" s="46">
        <f>SUM(Model!L16,Model!L423,Model!L660,Model!L885,Model!L1112,Model!L1337,Model!L1562,Model!L1787,Model!L2012,Model!L2233,Model!L2454)</f>
        <v>25.720633337578235</v>
      </c>
      <c r="N22" s="46">
        <f>SUM(Model!M16,Model!M423,Model!M660,Model!M885,Model!M1112,Model!M1337,Model!M1562,Model!M1787,Model!M2012,Model!M2233,Model!M2454)</f>
        <v>34.193163494986997</v>
      </c>
      <c r="O22" s="46">
        <f>SUM(Model!N16,Model!N423,Model!N660,Model!N885,Model!N1112,Model!N1337,Model!N1562,Model!N1787,Model!N2012,Model!N2233,Model!N2454)</f>
        <v>29.085944045303041</v>
      </c>
      <c r="P22" s="46">
        <f>SUM(Model!O16,Model!O423,Model!O660,Model!O885,Model!O1112,Model!O1337,Model!O1562,Model!O1787,Model!O2012,Model!O2233,Model!O2454)</f>
        <v>24.108751915446362</v>
      </c>
      <c r="Q22" s="46">
        <f>SUM(Model!P16,Model!P423,Model!P660,Model!P885,Model!P1112,Model!P1337,Model!P1562,Model!P1787,Model!P2012,Model!P2233,Model!P2454)</f>
        <v>30.922267284348468</v>
      </c>
      <c r="R22" s="46">
        <f>SUM(Model!Q16,Model!Q423,Model!Q660,Model!Q885,Model!Q1112,Model!Q1337,Model!Q1562,Model!Q1787,Model!Q2012,Model!Q2233,Model!Q2454)</f>
        <v>33.988043142361022</v>
      </c>
      <c r="S22" s="46">
        <f>SUM(Model!R16,Model!R423,Model!R660,Model!R885,Model!R1112,Model!R1337,Model!R1562,Model!R1787,Model!R2012,Model!R2233,Model!R2454)</f>
        <v>49.692418136994078</v>
      </c>
      <c r="T22" s="46">
        <f>SUM(Model!S16,Model!S423,Model!S660,Model!S885,Model!S1112,Model!S1337,Model!S1562,Model!S1787,Model!S2012,Model!S2233,Model!S2454)</f>
        <v>38.56410477521392</v>
      </c>
      <c r="U22" s="46">
        <f>SUM(Model!T16,Model!T423,Model!T660,Model!T885,Model!T1112,Model!T1337,Model!T1562,Model!T1787,Model!T2012,Model!T2233,Model!T2454)</f>
        <v>41.209713943865118</v>
      </c>
      <c r="V22" s="46">
        <f>SUM(Model!U16,Model!U423,Model!U660,Model!U885,Model!U1112,Model!U1337,Model!U1562,Model!U1787,Model!U2012,Model!U2233,Model!U2454)</f>
        <v>53.195158690818367</v>
      </c>
      <c r="W22" s="46">
        <f>SUM(Model!V16,Model!V423,Model!V660,Model!V885,Model!V1112,Model!V1337,Model!V1562,Model!V1787,Model!V2012,Model!V2233,Model!V2454)</f>
        <v>107.62108122759825</v>
      </c>
      <c r="X22" s="46">
        <f>SUM(Model!W16,Model!W423,Model!W660,Model!W885,Model!W1112,Model!W1337,Model!W1562,Model!W1787,Model!W2012,Model!W2233,Model!W2454)</f>
        <v>1462.9809037140917</v>
      </c>
      <c r="Y22" s="46">
        <f>SUM(Model!X16,Model!X423,Model!X660,Model!X885,Model!X1112,Model!X1337,Model!X1562,Model!X1787,Model!X2012,Model!X2233,Model!X2454)</f>
        <v>1476.0271734966871</v>
      </c>
      <c r="Z22" s="46">
        <f>SUM(Model!Y16,Model!Y423,Model!Y660,Model!Y885,Model!Y1112,Model!Y1337,Model!Y1562,Model!Y1787,Model!Y2012,Model!Y2233,Model!Y2454)</f>
        <v>1516.0801276936179</v>
      </c>
      <c r="AA22" s="46">
        <f>SUM(Model!Z16,Model!Z423,Model!Z660,Model!Z885,Model!Z1112,Model!Z1337,Model!Z1562,Model!Z1787,Model!Z2012,Model!Z2233,Model!Z2454)</f>
        <v>1555.1417063015572</v>
      </c>
      <c r="AB22" s="46">
        <f>SUM(Model!AA16,Model!AA423,Model!AA660,Model!AA885,Model!AA1112,Model!AA1337,Model!AA1562,Model!AA1787,Model!AA2012,Model!AA2233,Model!AA2454)</f>
        <v>1594.6856362012015</v>
      </c>
      <c r="AC22" s="46">
        <f>SUM(Model!AB16,Model!AB423,Model!AB660,Model!AB885,Model!AB1112,Model!AB1337,Model!AB1562,Model!AB1787,Model!AB2012,Model!AB2233,Model!AB2454)</f>
        <v>1629.8488511705141</v>
      </c>
      <c r="AD22" s="46">
        <f>SUM(Model!AC16,Model!AC423,Model!AC660,Model!AC885,Model!AC1112,Model!AC1337,Model!AC1562,Model!AC1787,Model!AC2012,Model!AC2233,Model!AC2454)</f>
        <v>1667.6699014749493</v>
      </c>
      <c r="AE22" s="46">
        <f>SUM(Model!AD16,Model!AD423,Model!AD660,Model!AD885,Model!AD1112,Model!AD1337,Model!AD1562,Model!AD1787,Model!AD2012,Model!AD2233,Model!AD2454)</f>
        <v>1709.8617172388458</v>
      </c>
      <c r="AF22" s="46">
        <f>SUM(Model!AE16,Model!AE423,Model!AE660,Model!AE885,Model!AE1112,Model!AE1337,Model!AE1562,Model!AE1787,Model!AE2012,Model!AE2233,Model!AE2454)</f>
        <v>1756.902237340141</v>
      </c>
      <c r="AG22" s="46">
        <f>SUM(Model!AF16,Model!AF423,Model!AF660,Model!AF885,Model!AF1112,Model!AF1337,Model!AF1562,Model!AF1787,Model!AF2012,Model!AF2233,Model!AF2454)</f>
        <v>1800.0477700193721</v>
      </c>
      <c r="AH22" s="46">
        <f>SUM(Model!AG16,Model!AG423,Model!AG660,Model!AG885,Model!AG1112,Model!AG1337,Model!AG1562,Model!AG1787,Model!AG2012,Model!AG2233,Model!AG2454)</f>
        <v>1847.2860603596105</v>
      </c>
      <c r="AI22" s="46">
        <f>SUM(Model!AH16,Model!AH423,Model!AH660,Model!AH885,Model!AH1112,Model!AH1337,Model!AH1562,Model!AH1787,Model!AH2012,Model!AH2233,Model!AH2454)</f>
        <v>1888.2917642115287</v>
      </c>
      <c r="AJ22" s="46">
        <f>SUM(Model!AI16,Model!AI423,Model!AI660,Model!AI885,Model!AI1112,Model!AI1337,Model!AI1562,Model!AI1787,Model!AI2012,Model!AI2233,Model!AI2454)</f>
        <v>1925.4166800093456</v>
      </c>
      <c r="AK22" s="46">
        <f>SUM(Model!AJ16,Model!AJ423,Model!AJ660,Model!AJ885,Model!AJ1112,Model!AJ1337,Model!AJ1562,Model!AJ1787,Model!AJ2012,Model!AJ2233,Model!AJ2454)</f>
        <v>1960.8346945053042</v>
      </c>
      <c r="AL22" s="46">
        <f>SUM(Model!AK16,Model!AK423,Model!AK660,Model!AK885,Model!AK1112,Model!AK1337,Model!AK1562,Model!AK1787,Model!AK2012,Model!AK2233,Model!AK2454)</f>
        <v>1993.8665723898666</v>
      </c>
      <c r="AM22" s="46">
        <f>SUM(Model!AL16,Model!AL423,Model!AL660,Model!AL885,Model!AL1112,Model!AL1337,Model!AL1562,Model!AL1787,Model!AL2012,Model!AL2233,Model!AL2454)</f>
        <v>2038.0035188692364</v>
      </c>
      <c r="AN22" s="46">
        <f>SUM(Model!AM16,Model!AM423,Model!AM660,Model!AM885,Model!AM1112,Model!AM1337,Model!AM1562,Model!AM1787,Model!AM2012,Model!AM2233,Model!AM2454)</f>
        <v>2081.9739421329928</v>
      </c>
      <c r="AO22" s="46">
        <f>SUM(Model!AN16,Model!AN423,Model!AN660,Model!AN885,Model!AN1112,Model!AN1337,Model!AN1562,Model!AN1787,Model!AN2012,Model!AN2233,Model!AN2454)</f>
        <v>2132.7521684021317</v>
      </c>
      <c r="AP22" s="46">
        <f>SUM(Model!AO16,Model!AO423,Model!AO660,Model!AO885,Model!AO1112,Model!AO1337,Model!AO1562,Model!AO1787,Model!AO2012,Model!AO2233,Model!AO2454)</f>
        <v>2173.0802791466058</v>
      </c>
      <c r="AQ22" s="46">
        <f>SUM(Model!AP16,Model!AP423,Model!AP660,Model!AP885,Model!AP1112,Model!AP1337,Model!AP1562,Model!AP1787,Model!AP2012,Model!AP2233,Model!AP2454)</f>
        <v>2216.180167551327</v>
      </c>
      <c r="AR22" s="46">
        <f>SUM(Model!AQ16,Model!AQ423,Model!AQ660,Model!AQ885,Model!AQ1112,Model!AQ1337,Model!AQ1562,Model!AQ1787,Model!AQ2012,Model!AQ2233,Model!AQ2454)</f>
        <v>2261.8028157606373</v>
      </c>
      <c r="AS22" s="46">
        <f>SUM(Model!AR16,Model!AR423,Model!AR660,Model!AR885,Model!AR1112,Model!AR1337,Model!AR1562,Model!AR1787,Model!AR2012,Model!AR2233,Model!AR2454)</f>
        <v>2317.1640578508222</v>
      </c>
      <c r="AT22" s="46">
        <f>SUM(Model!AS16,Model!AS423,Model!AS660,Model!AS885,Model!AS1112,Model!AS1337,Model!AS1562,Model!AS1787,Model!AS2012,Model!AS2233,Model!AS2454)</f>
        <v>2389.0674777399918</v>
      </c>
      <c r="AU22" s="46">
        <f>SUM(Model!AT16,Model!AT423,Model!AT660,Model!AT885,Model!AT1112,Model!AT1337,Model!AT1562,Model!AT1787,Model!AT2012,Model!AT2233,Model!AT2454)</f>
        <v>2434.7159172789866</v>
      </c>
      <c r="AV22" s="46">
        <f>SUM(Model!AU16,Model!AU423,Model!AU660,Model!AU885,Model!AU1112,Model!AU1337,Model!AU1562,Model!AU1787,Model!AU2012,Model!AU2233,Model!AU2454)</f>
        <v>2487.706445214822</v>
      </c>
      <c r="AW22" s="46">
        <f>SUM(Model!AV16,Model!AV423,Model!AV660,Model!AV885,Model!AV1112,Model!AV1337,Model!AV1562,Model!AV1787,Model!AV2012,Model!AV2233,Model!AV2454)</f>
        <v>2546.8256482951651</v>
      </c>
      <c r="AX22" s="46">
        <f>SUM(Model!AW16,Model!AW423,Model!AW660,Model!AW885,Model!AW1112,Model!AW1337,Model!AW1562,Model!AW1787,Model!AW2012,Model!AW2233,Model!AW2454)</f>
        <v>2594.3237141262989</v>
      </c>
      <c r="AY22" s="46">
        <f>SUM(Model!AX16,Model!AX423,Model!AX660,Model!AX885,Model!AX1112,Model!AX1337,Model!AX1562,Model!AX1787,Model!AX2012,Model!AX2233,Model!AX2454)</f>
        <v>2653.6889825309763</v>
      </c>
      <c r="AZ22" s="46">
        <f>SUM(Model!AY16,Model!AY423,Model!AY660,Model!AY885,Model!AY1112,Model!AY1337,Model!AY1562,Model!AY1787,Model!AY2012,Model!AY2233,Model!AY2454)</f>
        <v>2678.7102283887102</v>
      </c>
      <c r="BA22" s="46">
        <f>SUM(Model!AZ16,Model!AZ423,Model!AZ660,Model!AZ885,Model!AZ1112,Model!AZ1337,Model!AZ1562,Model!AZ1787,Model!AZ2012,Model!AZ2233,Model!AZ2454)</f>
        <v>2622.1031592371914</v>
      </c>
      <c r="BB22" s="46">
        <f>SUM(Model!BA16,Model!BA423,Model!BA660,Model!BA885,Model!BA1112,Model!BA1337,Model!BA1562,Model!BA1787,Model!BA2012,Model!BA2233,Model!BA2454)</f>
        <v>0</v>
      </c>
      <c r="BC22" s="168"/>
      <c r="BD22" s="147"/>
      <c r="BE22" s="147"/>
      <c r="BF22" s="147"/>
      <c r="BG22" s="147"/>
      <c r="BH22" s="147"/>
      <c r="BI22" s="147"/>
      <c r="BJ22" s="147"/>
      <c r="BK22" s="147"/>
      <c r="BL22" s="147"/>
      <c r="BM22" s="147"/>
      <c r="BN22" s="147"/>
      <c r="BO22" s="147"/>
      <c r="BP22" s="147"/>
    </row>
    <row r="23" spans="1:68" ht="15.75" customHeight="1">
      <c r="A23" s="169" t="s">
        <v>325</v>
      </c>
      <c r="B23" s="133" t="s">
        <v>326</v>
      </c>
      <c r="C23" s="133" t="s">
        <v>259</v>
      </c>
      <c r="D23" s="130">
        <f>SUM(Model!C237,Model!C635,Model!C872,Model!C1097,Model!C1324,Model!C1549,Model!C1774,Model!C1999,Model!C2224,Model!C2445,Model!C2666)</f>
        <v>0</v>
      </c>
      <c r="E23" s="130">
        <f>SUM(Model!D237,Model!D635,Model!D872,Model!D1097,Model!D1324,Model!D1549,Model!D1774,Model!D1999,Model!D2224,Model!D2445,Model!D2666)</f>
        <v>0</v>
      </c>
      <c r="F23" s="130">
        <f>SUM(Model!E237,Model!E635,Model!E872,Model!E1097,Model!E1324,Model!E1549,Model!E1774,Model!E1999,Model!E2224,Model!E2445,Model!E2666)</f>
        <v>0</v>
      </c>
      <c r="G23" s="130">
        <f>SUM(Model!F237,Model!F635,Model!F872,Model!F1097,Model!F1324,Model!F1549,Model!F1774,Model!F1999,Model!F2224,Model!F2445,Model!F2666)</f>
        <v>0</v>
      </c>
      <c r="H23" s="130">
        <f>SUM(Model!G237,Model!G635,Model!G872,Model!G1097,Model!G1324,Model!G1549,Model!G1774,Model!G1999,Model!G2224,Model!G2445,Model!G2666)</f>
        <v>0</v>
      </c>
      <c r="I23" s="130">
        <f>SUM(Model!H237,Model!H635,Model!H872,Model!H1097,Model!H1324,Model!H1549,Model!H1774,Model!H1999,Model!H2224,Model!H2445,Model!H2666)</f>
        <v>0</v>
      </c>
      <c r="J23" s="130">
        <f>SUM(Model!I237,Model!I635,Model!I872,Model!I1097,Model!I1324,Model!I1549,Model!I1774,Model!I1999,Model!I2224,Model!I2445,Model!I2666)</f>
        <v>0</v>
      </c>
      <c r="K23" s="130">
        <f>SUM(Model!J237,Model!J635,Model!J872,Model!J1097,Model!J1324,Model!J1549,Model!J1774,Model!J1999,Model!J2224,Model!J2445,Model!J2666)</f>
        <v>0</v>
      </c>
      <c r="L23" s="130">
        <f>SUM(Model!K237,Model!K635,Model!K872,Model!K1097,Model!K1324,Model!K1549,Model!K1774,Model!K1999,Model!K2224,Model!K2445,Model!K2666)</f>
        <v>0</v>
      </c>
      <c r="M23" s="130">
        <f>SUM(Model!L237,Model!L635,Model!L872,Model!L1097,Model!L1324,Model!L1549,Model!L1774,Model!L1999,Model!L2224,Model!L2445,Model!L2666)</f>
        <v>0</v>
      </c>
      <c r="N23" s="130">
        <f>SUM(Model!M237,Model!M635,Model!M872,Model!M1097,Model!M1324,Model!M1549,Model!M1774,Model!M1999,Model!M2224,Model!M2445,Model!M2666)</f>
        <v>0</v>
      </c>
      <c r="O23" s="130">
        <f>SUM(Model!N237,Model!N635,Model!N872,Model!N1097,Model!N1324,Model!N1549,Model!N1774,Model!N1999,Model!N2224,Model!N2445,Model!N2666)</f>
        <v>0</v>
      </c>
      <c r="P23" s="130">
        <f>SUM(Model!O237,Model!O635,Model!O872,Model!O1097,Model!O1324,Model!O1549,Model!O1774,Model!O1999,Model!O2224,Model!O2445,Model!O2666)</f>
        <v>0</v>
      </c>
      <c r="Q23" s="130">
        <f>SUM(Model!P237,Model!P635,Model!P872,Model!P1097,Model!P1324,Model!P1549,Model!P1774,Model!P1999,Model!P2224,Model!P2445,Model!P2666)</f>
        <v>0</v>
      </c>
      <c r="R23" s="130">
        <f>SUM(Model!Q237,Model!Q635,Model!Q872,Model!Q1097,Model!Q1324,Model!Q1549,Model!Q1774,Model!Q1999,Model!Q2224,Model!Q2445,Model!Q2666)</f>
        <v>0</v>
      </c>
      <c r="S23" s="130">
        <f>SUM(Model!R237,Model!R635,Model!R872,Model!R1097,Model!R1324,Model!R1549,Model!R1774,Model!R1999,Model!R2224,Model!R2445,Model!R2666)</f>
        <v>0</v>
      </c>
      <c r="T23" s="130">
        <f>SUM(Model!S237,Model!S635,Model!S872,Model!S1097,Model!S1324,Model!S1549,Model!S1774,Model!S1999,Model!S2224,Model!S2445,Model!S2666)</f>
        <v>0</v>
      </c>
      <c r="U23" s="130">
        <f>SUM(Model!T237,Model!T635,Model!T872,Model!T1097,Model!T1324,Model!T1549,Model!T1774,Model!T1999,Model!T2224,Model!T2445,Model!T2666)</f>
        <v>0</v>
      </c>
      <c r="V23" s="130">
        <f>SUM(Model!U237,Model!U635,Model!U872,Model!U1097,Model!U1324,Model!U1549,Model!U1774,Model!U1999,Model!U2224,Model!U2445,Model!U2666)</f>
        <v>0</v>
      </c>
      <c r="W23" s="130">
        <f>SUM(Model!V237,Model!V635,Model!V872,Model!V1097,Model!V1324,Model!V1549,Model!V1774,Model!V1999,Model!V2224,Model!V2445,Model!V2666)</f>
        <v>0</v>
      </c>
      <c r="X23" s="130">
        <f>SUM(Model!W237,Model!W635,Model!W872,Model!W1097,Model!W1324,Model!W1549,Model!W1774,Model!W1999,Model!W2224,Model!W2445,Model!W2666)</f>
        <v>1173.7900246279814</v>
      </c>
      <c r="Y23" s="130">
        <f>SUM(Model!X237,Model!X635,Model!X872,Model!X1097,Model!X1324,Model!X1549,Model!X1774,Model!X1999,Model!X2224,Model!X2445,Model!X2666)</f>
        <v>1134.66369589339</v>
      </c>
      <c r="Z23" s="130">
        <f>SUM(Model!Y237,Model!Y635,Model!Y872,Model!Y1097,Model!Y1324,Model!Y1549,Model!Y1774,Model!Y1999,Model!Y2224,Model!Y2445,Model!Y2666)</f>
        <v>1095.5373671587984</v>
      </c>
      <c r="AA23" s="130">
        <f>SUM(Model!Z237,Model!Z635,Model!Z872,Model!Z1097,Model!Z1324,Model!Z1549,Model!Z1774,Model!Z1999,Model!Z2224,Model!Z2445,Model!Z2666)</f>
        <v>1056.4110384242067</v>
      </c>
      <c r="AB23" s="130">
        <f>SUM(Model!AA237,Model!AA635,Model!AA872,Model!AA1097,Model!AA1324,Model!AA1549,Model!AA1774,Model!AA1999,Model!AA2224,Model!AA2445,Model!AA2666)</f>
        <v>1017.2847096896151</v>
      </c>
      <c r="AC23" s="130">
        <f>SUM(Model!AB237,Model!AB635,Model!AB872,Model!AB1097,Model!AB1324,Model!AB1549,Model!AB1774,Model!AB1999,Model!AB2224,Model!AB2445,Model!AB2666)</f>
        <v>978.15838095502363</v>
      </c>
      <c r="AD23" s="130">
        <f>SUM(Model!AC237,Model!AC635,Model!AC872,Model!AC1097,Model!AC1324,Model!AC1549,Model!AC1774,Model!AC1999,Model!AC2224,Model!AC2445,Model!AC2666)</f>
        <v>939.03205222043198</v>
      </c>
      <c r="AE23" s="130">
        <f>SUM(Model!AD237,Model!AD635,Model!AD872,Model!AD1097,Model!AD1324,Model!AD1549,Model!AD1774,Model!AD1999,Model!AD2224,Model!AD2445,Model!AD2666)</f>
        <v>899.90572348584044</v>
      </c>
      <c r="AF23" s="130">
        <f>SUM(Model!AE237,Model!AE635,Model!AE872,Model!AE1097,Model!AE1324,Model!AE1549,Model!AE1774,Model!AE1999,Model!AE2224,Model!AE2445,Model!AE2666)</f>
        <v>860.7793947512489</v>
      </c>
      <c r="AG23" s="130">
        <f>SUM(Model!AF237,Model!AF635,Model!AF872,Model!AF1097,Model!AF1324,Model!AF1549,Model!AF1774,Model!AF1999,Model!AF2224,Model!AF2445,Model!AF2666)</f>
        <v>821.65306601665736</v>
      </c>
      <c r="AH23" s="130">
        <f>SUM(Model!AG237,Model!AG635,Model!AG872,Model!AG1097,Model!AG1324,Model!AG1549,Model!AG1774,Model!AG1999,Model!AG2224,Model!AG2445,Model!AG2666)</f>
        <v>782.52673728206582</v>
      </c>
      <c r="AI23" s="130">
        <f>SUM(Model!AH237,Model!AH635,Model!AH872,Model!AH1097,Model!AH1324,Model!AH1549,Model!AH1774,Model!AH1999,Model!AH2224,Model!AH2445,Model!AH2666)</f>
        <v>743.40040854747429</v>
      </c>
      <c r="AJ23" s="130">
        <f>SUM(Model!AI237,Model!AI635,Model!AI872,Model!AI1097,Model!AI1324,Model!AI1549,Model!AI1774,Model!AI1999,Model!AI2224,Model!AI2445,Model!AI2666)</f>
        <v>704.27407981288275</v>
      </c>
      <c r="AK23" s="130">
        <f>SUM(Model!AJ237,Model!AJ635,Model!AJ872,Model!AJ1097,Model!AJ1324,Model!AJ1549,Model!AJ1774,Model!AJ1999,Model!AJ2224,Model!AJ2445,Model!AJ2666)</f>
        <v>665.14775107829121</v>
      </c>
      <c r="AL23" s="130">
        <f>SUM(Model!AK237,Model!AK635,Model!AK872,Model!AK1097,Model!AK1324,Model!AK1549,Model!AK1774,Model!AK1999,Model!AK2224,Model!AK2445,Model!AK2666)</f>
        <v>626.02142234369967</v>
      </c>
      <c r="AM23" s="130">
        <f>SUM(Model!AL237,Model!AL635,Model!AL872,Model!AL1097,Model!AL1324,Model!AL1549,Model!AL1774,Model!AL1999,Model!AL2224,Model!AL2445,Model!AL2666)</f>
        <v>586.89509360910813</v>
      </c>
      <c r="AN23" s="130">
        <f>SUM(Model!AM237,Model!AM635,Model!AM872,Model!AM1097,Model!AM1324,Model!AM1549,Model!AM1774,Model!AM1999,Model!AM2224,Model!AM2445,Model!AM2666)</f>
        <v>547.76876487451659</v>
      </c>
      <c r="AO23" s="130">
        <f>SUM(Model!AN237,Model!AN635,Model!AN872,Model!AN1097,Model!AN1324,Model!AN1549,Model!AN1774,Model!AN1999,Model!AN2224,Model!AN2445,Model!AN2666)</f>
        <v>508.642436139925</v>
      </c>
      <c r="AP23" s="130">
        <f>SUM(Model!AO237,Model!AO635,Model!AO872,Model!AO1097,Model!AO1324,Model!AO1549,Model!AO1774,Model!AO1999,Model!AO2224,Model!AO2445,Model!AO2666)</f>
        <v>469.51610740533346</v>
      </c>
      <c r="AQ23" s="130">
        <f>SUM(Model!AP237,Model!AP635,Model!AP872,Model!AP1097,Model!AP1324,Model!AP1549,Model!AP1774,Model!AP1999,Model!AP2224,Model!AP2445,Model!AP2666)</f>
        <v>430.38977867074186</v>
      </c>
      <c r="AR23" s="130">
        <f>SUM(Model!AQ237,Model!AQ635,Model!AQ872,Model!AQ1097,Model!AQ1324,Model!AQ1549,Model!AQ1774,Model!AQ1999,Model!AQ2224,Model!AQ2445,Model!AQ2666)</f>
        <v>391.26344993615032</v>
      </c>
      <c r="AS23" s="130">
        <f>SUM(Model!AR237,Model!AR635,Model!AR872,Model!AR1097,Model!AR1324,Model!AR1549,Model!AR1774,Model!AR1999,Model!AR2224,Model!AR2445,Model!AR2666)</f>
        <v>352.13712120155878</v>
      </c>
      <c r="AT23" s="130">
        <f>SUM(Model!AS237,Model!AS635,Model!AS872,Model!AS1097,Model!AS1324,Model!AS1549,Model!AS1774,Model!AS1999,Model!AS2224,Model!AS2445,Model!AS2666)</f>
        <v>313.01079246696725</v>
      </c>
      <c r="AU23" s="130">
        <f>SUM(Model!AT237,Model!AT635,Model!AT872,Model!AT1097,Model!AT1324,Model!AT1549,Model!AT1774,Model!AT1999,Model!AT2224,Model!AT2445,Model!AT2666)</f>
        <v>273.88446373237571</v>
      </c>
      <c r="AV23" s="130">
        <f>SUM(Model!AU237,Model!AU635,Model!AU872,Model!AU1097,Model!AU1324,Model!AU1549,Model!AU1774,Model!AU1999,Model!AU2224,Model!AU2445,Model!AU2666)</f>
        <v>234.75813499778411</v>
      </c>
      <c r="AW23" s="130">
        <f>SUM(Model!AV237,Model!AV635,Model!AV872,Model!AV1097,Model!AV1324,Model!AV1549,Model!AV1774,Model!AV1999,Model!AV2224,Model!AV2445,Model!AV2666)</f>
        <v>195.63180626319257</v>
      </c>
      <c r="AX23" s="130">
        <f>SUM(Model!AW237,Model!AW635,Model!AW872,Model!AW1097,Model!AW1324,Model!AW1549,Model!AW1774,Model!AW1999,Model!AW2224,Model!AW2445,Model!AW2666)</f>
        <v>156.50547752860103</v>
      </c>
      <c r="AY23" s="130">
        <f>SUM(Model!AX237,Model!AX635,Model!AX872,Model!AX1097,Model!AX1324,Model!AX1549,Model!AX1774,Model!AX1999,Model!AX2224,Model!AX2445,Model!AX2666)</f>
        <v>117.37914879400948</v>
      </c>
      <c r="AZ23" s="130">
        <f>SUM(Model!AY237,Model!AY635,Model!AY872,Model!AY1097,Model!AY1324,Model!AY1549,Model!AY1774,Model!AY1999,Model!AY2224,Model!AY2445,Model!AY2666)</f>
        <v>78.252820059417928</v>
      </c>
      <c r="BA23" s="130">
        <f>SUM(Model!AZ237,Model!AZ635,Model!AZ872,Model!AZ1097,Model!AZ1324,Model!AZ1549,Model!AZ1774,Model!AZ1999,Model!AZ2224,Model!AZ2445,Model!AZ2666)</f>
        <v>39.126491324826375</v>
      </c>
      <c r="BB23" s="130">
        <f>SUM(Model!BA237,Model!BA635,Model!BA872,Model!BA1097,Model!BA1324,Model!BA1549,Model!BA1774,Model!BA1999,Model!BA2224,Model!BA2445,Model!BA2666)</f>
        <v>1.6259023478259332E-4</v>
      </c>
      <c r="BC23" s="172"/>
      <c r="BD23" s="173"/>
      <c r="BE23" s="173"/>
      <c r="BF23" s="173"/>
      <c r="BG23" s="173"/>
      <c r="BH23" s="173"/>
      <c r="BI23" s="173"/>
      <c r="BJ23" s="173"/>
      <c r="BK23" s="173"/>
      <c r="BL23" s="173"/>
      <c r="BM23" s="173"/>
      <c r="BN23" s="173"/>
      <c r="BO23" s="173"/>
      <c r="BP23" s="173"/>
    </row>
    <row r="24" spans="1:68" ht="15.75" customHeight="1">
      <c r="A24" s="43" t="s">
        <v>327</v>
      </c>
      <c r="B24" s="139" t="s">
        <v>328</v>
      </c>
      <c r="C24" s="139" t="s">
        <v>259</v>
      </c>
      <c r="D24" s="46">
        <f t="shared" ref="D24:BB24" si="0">SUM(D17:D18)</f>
        <v>125.70823321115687</v>
      </c>
      <c r="E24" s="46">
        <f t="shared" si="0"/>
        <v>124.28536889750538</v>
      </c>
      <c r="F24" s="46">
        <f t="shared" si="0"/>
        <v>121.68850225159517</v>
      </c>
      <c r="G24" s="46">
        <f t="shared" si="0"/>
        <v>139.73041709630002</v>
      </c>
      <c r="H24" s="46">
        <f t="shared" si="0"/>
        <v>147.57395290888348</v>
      </c>
      <c r="I24" s="46">
        <f t="shared" si="0"/>
        <v>173.89236737267697</v>
      </c>
      <c r="J24" s="46">
        <f t="shared" si="0"/>
        <v>161.74031529381705</v>
      </c>
      <c r="K24" s="46">
        <f t="shared" si="0"/>
        <v>167.45515119659393</v>
      </c>
      <c r="L24" s="46">
        <f t="shared" si="0"/>
        <v>192.18754999125929</v>
      </c>
      <c r="M24" s="46">
        <f t="shared" si="0"/>
        <v>151.37998541235476</v>
      </c>
      <c r="N24" s="46">
        <f t="shared" si="0"/>
        <v>162.99624822560807</v>
      </c>
      <c r="O24" s="46">
        <f t="shared" si="0"/>
        <v>165.24850348486274</v>
      </c>
      <c r="P24" s="46">
        <f t="shared" si="0"/>
        <v>148.1751102978584</v>
      </c>
      <c r="Q24" s="46">
        <f t="shared" si="0"/>
        <v>161.00764231534117</v>
      </c>
      <c r="R24" s="46">
        <f t="shared" si="0"/>
        <v>172.4975467442639</v>
      </c>
      <c r="S24" s="46">
        <f t="shared" si="0"/>
        <v>147.98750007675935</v>
      </c>
      <c r="T24" s="46">
        <f t="shared" si="0"/>
        <v>150.13295919861699</v>
      </c>
      <c r="U24" s="46">
        <f t="shared" si="0"/>
        <v>156.57844718204052</v>
      </c>
      <c r="V24" s="46">
        <f t="shared" si="0"/>
        <v>164.79038545258453</v>
      </c>
      <c r="W24" s="46">
        <f t="shared" si="0"/>
        <v>168.35770870659368</v>
      </c>
      <c r="X24" s="46">
        <f t="shared" si="0"/>
        <v>183.56041399752939</v>
      </c>
      <c r="Y24" s="46">
        <f t="shared" si="0"/>
        <v>192.89928308308333</v>
      </c>
      <c r="Z24" s="46">
        <f t="shared" si="0"/>
        <v>204.05699758146685</v>
      </c>
      <c r="AA24" s="46">
        <f t="shared" si="0"/>
        <v>217.05302745367885</v>
      </c>
      <c r="AB24" s="46">
        <f t="shared" si="0"/>
        <v>231.35261694115619</v>
      </c>
      <c r="AC24" s="46">
        <f t="shared" si="0"/>
        <v>246.43557454805762</v>
      </c>
      <c r="AD24" s="46">
        <f t="shared" si="0"/>
        <v>260.11069600256923</v>
      </c>
      <c r="AE24" s="46">
        <f t="shared" si="0"/>
        <v>274.27943729607767</v>
      </c>
      <c r="AF24" s="46">
        <f t="shared" si="0"/>
        <v>289.7796505842158</v>
      </c>
      <c r="AG24" s="46">
        <f t="shared" si="0"/>
        <v>305.61906286382964</v>
      </c>
      <c r="AH24" s="46">
        <f t="shared" si="0"/>
        <v>322.39684118314364</v>
      </c>
      <c r="AI24" s="46">
        <f t="shared" si="0"/>
        <v>339.70754719421137</v>
      </c>
      <c r="AJ24" s="46">
        <f t="shared" si="0"/>
        <v>357.96004992816245</v>
      </c>
      <c r="AK24" s="46">
        <f t="shared" si="0"/>
        <v>376.62013535688232</v>
      </c>
      <c r="AL24" s="46">
        <f t="shared" si="0"/>
        <v>396.01816498560493</v>
      </c>
      <c r="AM24" s="46">
        <f t="shared" si="0"/>
        <v>416.19743795391594</v>
      </c>
      <c r="AN24" s="46">
        <f t="shared" si="0"/>
        <v>437.15519236275293</v>
      </c>
      <c r="AO24" s="46">
        <f t="shared" si="0"/>
        <v>459.03609343477115</v>
      </c>
      <c r="AP24" s="46">
        <f t="shared" si="0"/>
        <v>481.3259284540261</v>
      </c>
      <c r="AQ24" s="46">
        <f t="shared" si="0"/>
        <v>504.57766302386779</v>
      </c>
      <c r="AR24" s="46">
        <f t="shared" si="0"/>
        <v>528.32532823429608</v>
      </c>
      <c r="AS24" s="46">
        <f t="shared" si="0"/>
        <v>553.03784177278476</v>
      </c>
      <c r="AT24" s="46">
        <f t="shared" si="0"/>
        <v>578.35472737362397</v>
      </c>
      <c r="AU24" s="46">
        <f t="shared" si="0"/>
        <v>604.44418184326764</v>
      </c>
      <c r="AV24" s="46">
        <f t="shared" si="0"/>
        <v>631.84050313898672</v>
      </c>
      <c r="AW24" s="46">
        <f t="shared" si="0"/>
        <v>659.55442778788915</v>
      </c>
      <c r="AX24" s="46">
        <f t="shared" si="0"/>
        <v>688.47055777325841</v>
      </c>
      <c r="AY24" s="46">
        <f t="shared" si="0"/>
        <v>718.1778555625782</v>
      </c>
      <c r="AZ24" s="46">
        <f t="shared" si="0"/>
        <v>749.98243258111734</v>
      </c>
      <c r="BA24" s="46">
        <f t="shared" si="0"/>
        <v>781.57685044114601</v>
      </c>
      <c r="BB24" s="46">
        <f t="shared" si="0"/>
        <v>813.79763773179377</v>
      </c>
      <c r="BC24" s="174"/>
    </row>
    <row r="25" spans="1:68" ht="15.75" customHeight="1">
      <c r="A25" s="43" t="s">
        <v>329</v>
      </c>
      <c r="B25" s="139" t="s">
        <v>319</v>
      </c>
      <c r="C25" s="139" t="s">
        <v>259</v>
      </c>
      <c r="D25" s="46">
        <f t="shared" ref="D25:BB25" si="1">SUM(D19,D22)</f>
        <v>75.866435330901965</v>
      </c>
      <c r="E25" s="46">
        <f t="shared" si="1"/>
        <v>32.302332842510012</v>
      </c>
      <c r="F25" s="46">
        <f t="shared" si="1"/>
        <v>25.371556519358876</v>
      </c>
      <c r="G25" s="46">
        <f t="shared" si="1"/>
        <v>19.258426963773417</v>
      </c>
      <c r="H25" s="46">
        <f t="shared" si="1"/>
        <v>20.394113084278928</v>
      </c>
      <c r="I25" s="46">
        <f t="shared" si="1"/>
        <v>23.494562584995524</v>
      </c>
      <c r="J25" s="46">
        <f t="shared" si="1"/>
        <v>30.816417570147109</v>
      </c>
      <c r="K25" s="46">
        <f t="shared" si="1"/>
        <v>35.265524092980115</v>
      </c>
      <c r="L25" s="46">
        <f t="shared" si="1"/>
        <v>32.632585368878445</v>
      </c>
      <c r="M25" s="46">
        <f t="shared" si="1"/>
        <v>30.247882920867955</v>
      </c>
      <c r="N25" s="46">
        <f t="shared" si="1"/>
        <v>38.857859564195721</v>
      </c>
      <c r="O25" s="46">
        <f t="shared" si="1"/>
        <v>33.745091702094086</v>
      </c>
      <c r="P25" s="46">
        <f t="shared" si="1"/>
        <v>28.735550496269653</v>
      </c>
      <c r="Q25" s="46">
        <f t="shared" si="1"/>
        <v>35.762357568362198</v>
      </c>
      <c r="R25" s="46">
        <f t="shared" si="1"/>
        <v>38.975926875314414</v>
      </c>
      <c r="S25" s="46">
        <f t="shared" si="1"/>
        <v>54.780135460408147</v>
      </c>
      <c r="T25" s="46">
        <f t="shared" si="1"/>
        <v>43.799543062429606</v>
      </c>
      <c r="U25" s="46">
        <f t="shared" si="1"/>
        <v>46.470702987145117</v>
      </c>
      <c r="V25" s="46">
        <f t="shared" si="1"/>
        <v>58.593177433088769</v>
      </c>
      <c r="W25" s="46">
        <f t="shared" si="1"/>
        <v>112.83696991879467</v>
      </c>
      <c r="X25" s="46">
        <f t="shared" si="1"/>
        <v>1467.9263278061696</v>
      </c>
      <c r="Y25" s="46">
        <f t="shared" si="1"/>
        <v>1480.6987529720395</v>
      </c>
      <c r="Z25" s="46">
        <f t="shared" si="1"/>
        <v>1520.4877790375078</v>
      </c>
      <c r="AA25" s="46">
        <f t="shared" si="1"/>
        <v>1559.2950361629046</v>
      </c>
      <c r="AB25" s="46">
        <f t="shared" si="1"/>
        <v>1598.5939503661359</v>
      </c>
      <c r="AC25" s="46">
        <f t="shared" si="1"/>
        <v>1633.5211632877965</v>
      </c>
      <c r="AD25" s="46">
        <f t="shared" si="1"/>
        <v>1671.1149415399175</v>
      </c>
      <c r="AE25" s="46">
        <f t="shared" si="1"/>
        <v>1713.1566109743158</v>
      </c>
      <c r="AF25" s="46">
        <f t="shared" si="1"/>
        <v>1760.0475715512705</v>
      </c>
      <c r="AG25" s="46">
        <f t="shared" si="1"/>
        <v>1803.0441297646835</v>
      </c>
      <c r="AH25" s="46">
        <f t="shared" si="1"/>
        <v>1850.1340289556304</v>
      </c>
      <c r="AI25" s="46">
        <f t="shared" si="1"/>
        <v>1890.9919232374152</v>
      </c>
      <c r="AJ25" s="46">
        <f t="shared" si="1"/>
        <v>1927.9696093115047</v>
      </c>
      <c r="AK25" s="46">
        <f t="shared" si="1"/>
        <v>1963.240972201995</v>
      </c>
      <c r="AL25" s="46">
        <f t="shared" si="1"/>
        <v>1996.1267748757934</v>
      </c>
      <c r="AM25" s="46">
        <f t="shared" si="1"/>
        <v>2040.1182208201317</v>
      </c>
      <c r="AN25" s="46">
        <f t="shared" si="1"/>
        <v>2083.9437165101867</v>
      </c>
      <c r="AO25" s="46">
        <f t="shared" si="1"/>
        <v>2134.5775864571115</v>
      </c>
      <c r="AP25" s="46">
        <f t="shared" si="1"/>
        <v>2174.7619104255623</v>
      </c>
      <c r="AQ25" s="46">
        <f t="shared" si="1"/>
        <v>2217.7185798996925</v>
      </c>
      <c r="AR25" s="46">
        <f t="shared" si="1"/>
        <v>2263.198575327609</v>
      </c>
      <c r="AS25" s="46">
        <f t="shared" si="1"/>
        <v>2318.417729093876</v>
      </c>
      <c r="AT25" s="46">
        <f t="shared" si="1"/>
        <v>2390.1796234293852</v>
      </c>
      <c r="AU25" s="46">
        <f t="shared" si="1"/>
        <v>2435.6870985022497</v>
      </c>
      <c r="AV25" s="46">
        <f t="shared" si="1"/>
        <v>2488.5372213812361</v>
      </c>
      <c r="AW25" s="46">
        <f t="shared" si="1"/>
        <v>2547.516577140233</v>
      </c>
      <c r="AX25" s="46">
        <f t="shared" si="1"/>
        <v>2594.8753517162008</v>
      </c>
      <c r="AY25" s="46">
        <f t="shared" si="1"/>
        <v>2654.1018832670179</v>
      </c>
      <c r="AZ25" s="46">
        <f t="shared" si="1"/>
        <v>2678.9849450117567</v>
      </c>
      <c r="BA25" s="46">
        <f t="shared" si="1"/>
        <v>2622.2402428320916</v>
      </c>
      <c r="BB25" s="46">
        <f t="shared" si="1"/>
        <v>0</v>
      </c>
      <c r="BC25" s="174"/>
    </row>
    <row r="26" spans="1:68" ht="15.75" customHeight="1">
      <c r="A26" s="128" t="s">
        <v>330</v>
      </c>
      <c r="B26" s="133" t="s">
        <v>331</v>
      </c>
      <c r="C26" s="133" t="s">
        <v>332</v>
      </c>
      <c r="D26" s="130">
        <f>SUM(Model!C2668,Model!C2835,Model!C3002)</f>
        <v>43.797746118571425</v>
      </c>
      <c r="E26" s="130">
        <f>SUM(Model!D2668,Model!D2835,Model!D3002)</f>
        <v>44.213080396190477</v>
      </c>
      <c r="F26" s="130">
        <f>SUM(Model!E2668,Model!E2835,Model!E3002)</f>
        <v>45.235963003871639</v>
      </c>
      <c r="G26" s="130">
        <f>SUM(Model!F2668,Model!F2835,Model!F3002)</f>
        <v>48.084935971428578</v>
      </c>
      <c r="H26" s="130">
        <f>SUM(Model!G2668,Model!G2835,Model!G3002)</f>
        <v>48.601713674453784</v>
      </c>
      <c r="I26" s="130">
        <f>SUM(Model!H2668,Model!H2835,Model!H3002)</f>
        <v>53.22568693121849</v>
      </c>
      <c r="J26" s="130">
        <f>SUM(Model!I2668,Model!I2835,Model!I3002)</f>
        <v>64.120486661008414</v>
      </c>
      <c r="K26" s="130">
        <f>SUM(Model!J2668,Model!J2835,Model!J3002)</f>
        <v>58.714915025714291</v>
      </c>
      <c r="L26" s="130">
        <f>SUM(Model!K2668,Model!K2835,Model!K3002)</f>
        <v>61.748133839453786</v>
      </c>
      <c r="M26" s="130">
        <f>SUM(Model!L2668,Model!L2835,Model!L3002)</f>
        <v>63.772222839159667</v>
      </c>
      <c r="N26" s="130">
        <f>SUM(Model!M2668,Model!M2835,Model!M3002)</f>
        <v>68.755790778823524</v>
      </c>
      <c r="O26" s="130">
        <f>SUM(Model!N2668,Model!N2835,Model!N3002)</f>
        <v>70.55617976247899</v>
      </c>
      <c r="P26" s="130">
        <f>SUM(Model!O2668,Model!O2835,Model!O3002)</f>
        <v>73.05299464911765</v>
      </c>
      <c r="Q26" s="130">
        <f>SUM(Model!P2668,Model!P2835,Model!P3002)</f>
        <v>73.905084691638663</v>
      </c>
      <c r="R26" s="130">
        <f>SUM(Model!Q2668,Model!Q2835,Model!Q3002)</f>
        <v>77.263409206974799</v>
      </c>
      <c r="S26" s="130">
        <f>SUM(Model!R2668,Model!R2835,Model!R3002)</f>
        <v>78.24620955638656</v>
      </c>
      <c r="T26" s="130">
        <f>SUM(Model!S2668,Model!S2835,Model!S3002)</f>
        <v>80.58088459390757</v>
      </c>
      <c r="U26" s="130">
        <f>SUM(Model!T2668,Model!T2835,Model!T3002)</f>
        <v>80.439169043514227</v>
      </c>
      <c r="V26" s="130">
        <f>SUM(Model!U2668,Model!U2835,Model!U3002)</f>
        <v>80.446269370749519</v>
      </c>
      <c r="W26" s="130">
        <f>SUM(Model!V2668,Model!V2835,Model!V3002)</f>
        <v>80.453943022843632</v>
      </c>
      <c r="X26" s="130">
        <f>SUM(Model!W2668,Model!W2835,Model!W3002)</f>
        <v>80.453605577121266</v>
      </c>
      <c r="Y26" s="130">
        <f>SUM(Model!X2668,Model!X2835,Model!X3002)</f>
        <v>80.451228058136806</v>
      </c>
      <c r="Z26" s="130">
        <f>SUM(Model!Y2668,Model!Y2835,Model!Y3002)</f>
        <v>80.448843014473084</v>
      </c>
      <c r="AA26" s="130">
        <f>SUM(Model!Z2668,Model!Z2835,Model!Z3002)</f>
        <v>80.450777808664867</v>
      </c>
      <c r="AB26" s="130">
        <f>SUM(Model!AA2668,Model!AA2835,Model!AA3002)</f>
        <v>80.451679496247934</v>
      </c>
      <c r="AC26" s="130">
        <f>SUM(Model!AB2668,Model!AB2835,Model!AB3002)</f>
        <v>80.451226790928786</v>
      </c>
      <c r="AD26" s="130">
        <f>SUM(Model!AC2668,Model!AC2835,Model!AC3002)</f>
        <v>80.450751033690295</v>
      </c>
      <c r="AE26" s="130">
        <f>SUM(Model!AD2668,Model!AD2835,Model!AD3002)</f>
        <v>80.450655628801002</v>
      </c>
      <c r="AF26" s="130">
        <f>SUM(Model!AE2668,Model!AE2835,Model!AE3002)</f>
        <v>80.451018151666574</v>
      </c>
      <c r="AG26" s="130">
        <f>SUM(Model!AF2668,Model!AF2835,Model!AF3002)</f>
        <v>80.45106622026691</v>
      </c>
      <c r="AH26" s="130">
        <f>SUM(Model!AG2668,Model!AG2835,Model!AG3002)</f>
        <v>80.450943565070716</v>
      </c>
      <c r="AI26" s="130">
        <f>SUM(Model!AH2668,Model!AH2835,Model!AH3002)</f>
        <v>80.450886919899091</v>
      </c>
      <c r="AJ26" s="130">
        <f>SUM(Model!AI2668,Model!AI2835,Model!AI3002)</f>
        <v>80.450914097140867</v>
      </c>
      <c r="AK26" s="130">
        <f>SUM(Model!AJ2668,Model!AJ2835,Model!AJ3002)</f>
        <v>80.450965790808837</v>
      </c>
      <c r="AL26" s="130">
        <f>SUM(Model!AK2668,Model!AK2835,Model!AK3002)</f>
        <v>80.450955318637284</v>
      </c>
      <c r="AM26" s="130">
        <f>SUM(Model!AL2668,Model!AL2835,Model!AL3002)</f>
        <v>80.45093313831137</v>
      </c>
      <c r="AN26" s="130">
        <f>SUM(Model!AM2668,Model!AM2835,Model!AM3002)</f>
        <v>80.450931052959504</v>
      </c>
      <c r="AO26" s="130">
        <f>SUM(Model!AN2668,Model!AN2835,Model!AN3002)</f>
        <v>80.450939879571564</v>
      </c>
      <c r="AP26" s="130">
        <f>SUM(Model!AO2668,Model!AO2835,Model!AO3002)</f>
        <v>80.450945036057703</v>
      </c>
      <c r="AQ26" s="130">
        <f>SUM(Model!AP2668,Model!AP2835,Model!AP3002)</f>
        <v>80.450940885107485</v>
      </c>
      <c r="AR26" s="130">
        <f>SUM(Model!AQ2668,Model!AQ2835,Model!AQ3002)</f>
        <v>80.450937998401514</v>
      </c>
      <c r="AS26" s="130">
        <f>SUM(Model!AR2668,Model!AR2835,Model!AR3002)</f>
        <v>80.450938970419543</v>
      </c>
      <c r="AT26" s="130">
        <f>SUM(Model!AS2668,Model!AS2835,Model!AS3002)</f>
        <v>80.450940553911579</v>
      </c>
      <c r="AU26" s="130">
        <f>SUM(Model!AT2668,Model!AT2835,Model!AT3002)</f>
        <v>80.450940688779568</v>
      </c>
      <c r="AV26" s="130">
        <f>SUM(Model!AU2668,Model!AU2835,Model!AU3002)</f>
        <v>80.450939819323935</v>
      </c>
      <c r="AW26" s="130">
        <f>SUM(Model!AV2668,Model!AV2835,Model!AV3002)</f>
        <v>80.450939606167225</v>
      </c>
      <c r="AX26" s="130">
        <f>SUM(Model!AW2668,Model!AW2835,Model!AW3002)</f>
        <v>80.45093992772037</v>
      </c>
      <c r="AY26" s="130">
        <f>SUM(Model!AX2668,Model!AX2835,Model!AX3002)</f>
        <v>80.45094011918053</v>
      </c>
      <c r="AZ26" s="130">
        <f>SUM(Model!AY2668,Model!AY2835,Model!AY3002)</f>
        <v>80.450940032234328</v>
      </c>
      <c r="BA26" s="130">
        <f>SUM(Model!AZ2668,Model!AZ2835,Model!AZ3002)</f>
        <v>80.450939900925277</v>
      </c>
      <c r="BB26" s="130">
        <f>SUM(Model!BA2668,Model!BA2835,Model!BA3002)</f>
        <v>80.450939917245549</v>
      </c>
      <c r="BC26" s="134"/>
      <c r="BD26" s="138"/>
      <c r="BE26" s="138"/>
      <c r="BF26" s="138"/>
      <c r="BG26" s="138"/>
      <c r="BH26" s="138"/>
      <c r="BI26" s="138"/>
      <c r="BJ26" s="138"/>
      <c r="BK26" s="138"/>
      <c r="BL26" s="138"/>
      <c r="BM26" s="138"/>
      <c r="BN26" s="138"/>
      <c r="BO26" s="138"/>
      <c r="BP26" s="138"/>
    </row>
    <row r="27" spans="1:68" ht="15.75" customHeight="1">
      <c r="A27" s="128" t="s">
        <v>333</v>
      </c>
      <c r="B27" s="133" t="s">
        <v>319</v>
      </c>
      <c r="C27" s="133" t="s">
        <v>332</v>
      </c>
      <c r="D27" s="130">
        <f>SUM(Model!C2671,Model!C2838,Model!C3005)</f>
        <v>21.524781159285713</v>
      </c>
      <c r="E27" s="130">
        <f>SUM(Model!D2671,Model!D2838,Model!D3005)</f>
        <v>22.433204113750001</v>
      </c>
      <c r="F27" s="130">
        <f>SUM(Model!E2671,Model!E2838,Model!E3005)</f>
        <v>22.716083118305718</v>
      </c>
      <c r="G27" s="130">
        <f>SUM(Model!F2671,Model!F2838,Model!F3005)</f>
        <v>25.254261760028573</v>
      </c>
      <c r="H27" s="130">
        <f>SUM(Model!G2671,Model!G2838,Model!G3005)</f>
        <v>26.459883638120001</v>
      </c>
      <c r="I27" s="130">
        <f>SUM(Model!H2671,Model!H2838,Model!H3005)</f>
        <v>28.942069745168002</v>
      </c>
      <c r="J27" s="130">
        <f>SUM(Model!I2671,Model!I2838,Model!I3005)</f>
        <v>34.546521807679376</v>
      </c>
      <c r="K27" s="130">
        <f>SUM(Model!J2671,Model!J2838,Model!J3005)</f>
        <v>34.239408003831343</v>
      </c>
      <c r="L27" s="130">
        <f>SUM(Model!K2671,Model!K2838,Model!K3005)</f>
        <v>38.970564511097145</v>
      </c>
      <c r="M27" s="130">
        <f>SUM(Model!L2671,Model!L2838,Model!L3005)</f>
        <v>38.765135009845714</v>
      </c>
      <c r="N27" s="130">
        <f>SUM(Model!M2671,Model!M2838,Model!M3005)</f>
        <v>40.746569432297143</v>
      </c>
      <c r="O27" s="130">
        <f>SUM(Model!N2671,Model!N2838,Model!N3005)</f>
        <v>42.543570722451427</v>
      </c>
      <c r="P27" s="130">
        <f>SUM(Model!O2671,Model!O2838,Model!O3005)</f>
        <v>50.656381848217151</v>
      </c>
      <c r="Q27" s="130">
        <f>SUM(Model!P2671,Model!P2838,Model!P3005)</f>
        <v>57.061103759640012</v>
      </c>
      <c r="R27" s="130">
        <f>SUM(Model!Q2671,Model!Q2838,Model!Q3005)</f>
        <v>58.029850639794283</v>
      </c>
      <c r="S27" s="130">
        <f>SUM(Model!R2671,Model!R2838,Model!R3005)</f>
        <v>62.62448748664</v>
      </c>
      <c r="T27" s="130">
        <f>SUM(Model!S2671,Model!S2838,Model!S3005)</f>
        <v>67.163382028845717</v>
      </c>
      <c r="U27" s="130">
        <f>SUM(Model!T2671,Model!T2838,Model!T3005)</f>
        <v>64.355162473755954</v>
      </c>
      <c r="V27" s="130">
        <f>SUM(Model!U2671,Model!U2838,Model!U3005)</f>
        <v>62.163945595083213</v>
      </c>
      <c r="W27" s="130">
        <f>SUM(Model!V2671,Model!V2838,Model!V3005)</f>
        <v>62.430963108518412</v>
      </c>
      <c r="X27" s="130">
        <f>SUM(Model!W2671,Model!W2838,Model!W3005)</f>
        <v>63.141594413479481</v>
      </c>
      <c r="Y27" s="130">
        <f>SUM(Model!X2671,Model!X2838,Model!X3005)</f>
        <v>62.351805638527395</v>
      </c>
      <c r="Z27" s="130">
        <f>SUM(Model!Y2671,Model!Y2838,Model!Y3005)</f>
        <v>61.949052504319951</v>
      </c>
      <c r="AA27" s="130">
        <f>SUM(Model!Z2671,Model!Z2838,Model!Z3005)</f>
        <v>63.653524255547389</v>
      </c>
      <c r="AB27" s="130">
        <f>SUM(Model!AA2671,Model!AA2838,Model!AA3005)</f>
        <v>63.566897585912642</v>
      </c>
      <c r="AC27" s="130">
        <f>SUM(Model!AB2671,Model!AB2838,Model!AB3005)</f>
        <v>61.351552917717548</v>
      </c>
      <c r="AD27" s="130">
        <f>SUM(Model!AC2671,Model!AC2838,Model!AC3005)</f>
        <v>62.884801219250733</v>
      </c>
      <c r="AE27" s="130">
        <f>SUM(Model!AD2671,Model!AD2838,Model!AD3005)</f>
        <v>64.82164235354594</v>
      </c>
      <c r="AF27" s="130">
        <f>SUM(Model!AE2671,Model!AE2838,Model!AE3005)</f>
        <v>65.085231806049038</v>
      </c>
      <c r="AG27" s="130">
        <f>SUM(Model!AF2671,Model!AF2838,Model!AF3005)</f>
        <v>64.245868356337212</v>
      </c>
      <c r="AH27" s="130">
        <f>SUM(Model!AG2671,Model!AG2838,Model!AG3005)</f>
        <v>67.085632373135525</v>
      </c>
      <c r="AI27" s="130">
        <f>SUM(Model!AH2671,Model!AH2838,Model!AH3005)</f>
        <v>65.493638171005998</v>
      </c>
      <c r="AJ27" s="130">
        <f>SUM(Model!AI2671,Model!AI2838,Model!AI3005)</f>
        <v>63.451405713220737</v>
      </c>
      <c r="AK27" s="130">
        <f>SUM(Model!AJ2671,Model!AJ2838,Model!AJ3005)</f>
        <v>64.929049795549076</v>
      </c>
      <c r="AL27" s="130">
        <f>SUM(Model!AK2671,Model!AK2838,Model!AK3005)</f>
        <v>65.547611035882937</v>
      </c>
      <c r="AM27" s="130">
        <f>SUM(Model!AL2671,Model!AL2838,Model!AL3005)</f>
        <v>62.198374240855244</v>
      </c>
      <c r="AN27" s="130">
        <f>SUM(Model!AM2671,Model!AM2838,Model!AM3005)</f>
        <v>62.474705221608254</v>
      </c>
      <c r="AO27" s="130">
        <f>SUM(Model!AN2671,Model!AN2838,Model!AN3005)</f>
        <v>65.492067363020368</v>
      </c>
      <c r="AP27" s="130">
        <f>SUM(Model!AO2671,Model!AO2838,Model!AO3005)</f>
        <v>65.517185561689431</v>
      </c>
      <c r="AQ27" s="130">
        <f>SUM(Model!AP2671,Model!AP2838,Model!AP3005)</f>
        <v>64.452892203100888</v>
      </c>
      <c r="AR27" s="130">
        <f>SUM(Model!AQ2671,Model!AQ2838,Model!AQ3005)</f>
        <v>66.712722604359527</v>
      </c>
      <c r="AS27" s="130">
        <f>SUM(Model!AR2671,Model!AR2838,Model!AR3005)</f>
        <v>64.910347865772295</v>
      </c>
      <c r="AT27" s="130">
        <f>SUM(Model!AS2671,Model!AS2838,Model!AS3005)</f>
        <v>63.945293469925126</v>
      </c>
      <c r="AU27" s="130">
        <f>SUM(Model!AT2671,Model!AT2838,Model!AT3005)</f>
        <v>59.671611092578679</v>
      </c>
      <c r="AV27" s="130">
        <f>SUM(Model!AU2671,Model!AU2838,Model!AU3005)</f>
        <v>59.671805117293829</v>
      </c>
      <c r="AW27" s="130">
        <f>SUM(Model!AV2671,Model!AV2838,Model!AV3005)</f>
        <v>59.67207511301666</v>
      </c>
      <c r="AX27" s="130">
        <f>SUM(Model!AW2671,Model!AW2838,Model!AW3005)</f>
        <v>59.672112334458056</v>
      </c>
      <c r="AY27" s="130">
        <f>SUM(Model!AX2671,Model!AX2838,Model!AX3005)</f>
        <v>59.671987359263241</v>
      </c>
      <c r="AZ27" s="130">
        <f>SUM(Model!AY2671,Model!AY2838,Model!AY3005)</f>
        <v>59.671907344633837</v>
      </c>
      <c r="BA27" s="130">
        <f>SUM(Model!AZ2671,Model!AZ2838,Model!AZ3005)</f>
        <v>59.671916393540712</v>
      </c>
      <c r="BB27" s="130">
        <f>SUM(Model!BA2671,Model!BA2838,Model!BA3005)</f>
        <v>59.671967277034391</v>
      </c>
      <c r="BC27" s="134"/>
      <c r="BD27" s="138"/>
      <c r="BE27" s="138"/>
      <c r="BF27" s="138"/>
      <c r="BG27" s="138"/>
      <c r="BH27" s="138"/>
      <c r="BI27" s="138"/>
      <c r="BJ27" s="138"/>
      <c r="BK27" s="138"/>
      <c r="BL27" s="138"/>
      <c r="BM27" s="138"/>
      <c r="BN27" s="138"/>
      <c r="BO27" s="138"/>
      <c r="BP27" s="138"/>
    </row>
    <row r="28" spans="1:68" ht="15.75" customHeight="1">
      <c r="A28" s="43" t="s">
        <v>334</v>
      </c>
      <c r="B28" s="175" t="s">
        <v>331</v>
      </c>
      <c r="C28" s="175" t="s">
        <v>335</v>
      </c>
      <c r="D28" s="176">
        <f>SUM(Model!C244,Model!C3169)</f>
        <v>18.49558136412</v>
      </c>
      <c r="E28" s="176">
        <f>SUM(Model!D244,Model!D3169)</f>
        <v>18.465208454650003</v>
      </c>
      <c r="F28" s="176">
        <f>SUM(Model!E244,Model!E3169)</f>
        <v>17.563089095629998</v>
      </c>
      <c r="G28" s="176">
        <f>SUM(Model!F244,Model!F3169)</f>
        <v>18.454568815869997</v>
      </c>
      <c r="H28" s="176">
        <f>SUM(Model!G244,Model!G3169)</f>
        <v>16.528268987019999</v>
      </c>
      <c r="I28" s="176">
        <f>SUM(Model!H244,Model!H3169)</f>
        <v>18.231602432100001</v>
      </c>
      <c r="J28" s="176">
        <f>SUM(Model!I244,Model!I3169)</f>
        <v>19.179879801089999</v>
      </c>
      <c r="K28" s="176">
        <f>SUM(Model!J244,Model!J3169)</f>
        <v>24.696258267369998</v>
      </c>
      <c r="L28" s="176">
        <f>SUM(Model!K244,Model!K3169)</f>
        <v>21.519144204329997</v>
      </c>
      <c r="M28" s="176">
        <f>SUM(Model!L244,Model!L3169)</f>
        <v>20.153504200930001</v>
      </c>
      <c r="N28" s="176">
        <f>SUM(Model!M244,Model!M3169)</f>
        <v>22.468352787620002</v>
      </c>
      <c r="O28" s="176">
        <f>SUM(Model!N244,Model!N3169)</f>
        <v>23.10616220699</v>
      </c>
      <c r="P28" s="176">
        <f>SUM(Model!O244,Model!O3169)</f>
        <v>23.991747976899997</v>
      </c>
      <c r="Q28" s="176">
        <f>SUM(Model!P244,Model!P3169)</f>
        <v>25.166582781599999</v>
      </c>
      <c r="R28" s="176">
        <f>SUM(Model!Q244,Model!Q3169)</f>
        <v>28.329621334939997</v>
      </c>
      <c r="S28" s="176">
        <f>SUM(Model!R244,Model!R3169)</f>
        <v>28.888237779450002</v>
      </c>
      <c r="T28" s="176">
        <f>SUM(Model!S244,Model!S3169)</f>
        <v>26.889659159529998</v>
      </c>
      <c r="U28" s="176">
        <f>SUM(Model!T244,Model!T3169)</f>
        <v>28.387686921928587</v>
      </c>
      <c r="V28" s="176">
        <f>SUM(Model!U244,Model!U3169)</f>
        <v>30.149312275831896</v>
      </c>
      <c r="W28" s="176">
        <f>SUM(Model!V244,Model!V3169)</f>
        <v>31.143148052770442</v>
      </c>
      <c r="X28" s="176">
        <f>SUM(Model!W244,Model!W3169)</f>
        <v>32.090612132823168</v>
      </c>
      <c r="Y28" s="176">
        <f>SUM(Model!X244,Model!X3169)</f>
        <v>32.576308326582904</v>
      </c>
      <c r="Z28" s="176">
        <f>SUM(Model!Y244,Model!Y3169)</f>
        <v>32.734132032755504</v>
      </c>
      <c r="AA28" s="176">
        <f>SUM(Model!Z244,Model!Z3169)</f>
        <v>32.778753719373896</v>
      </c>
      <c r="AB28" s="176">
        <f>SUM(Model!AA244,Model!AA3169)</f>
        <v>33.073790307809212</v>
      </c>
      <c r="AC28" s="176">
        <f>SUM(Model!AB244,Model!AB3169)</f>
        <v>33.232313449870411</v>
      </c>
      <c r="AD28" s="176">
        <f>SUM(Model!AC244,Model!AC3169)</f>
        <v>33.536097232195665</v>
      </c>
      <c r="AE28" s="176">
        <f>SUM(Model!AD244,Model!AD3169)</f>
        <v>33.855293670588146</v>
      </c>
      <c r="AF28" s="176">
        <f>SUM(Model!AE244,Model!AE3169)</f>
        <v>33.948698939762309</v>
      </c>
      <c r="AG28" s="176">
        <f>SUM(Model!AF244,Model!AF3169)</f>
        <v>34.066865757939915</v>
      </c>
      <c r="AH28" s="176">
        <f>SUM(Model!AG244,Model!AG3169)</f>
        <v>34.094401425223893</v>
      </c>
      <c r="AI28" s="176">
        <f>SUM(Model!AH244,Model!AH3169)</f>
        <v>34.149820214623553</v>
      </c>
      <c r="AJ28" s="176">
        <f>SUM(Model!AI244,Model!AI3169)</f>
        <v>34.147130256819231</v>
      </c>
      <c r="AK28" s="176">
        <f>SUM(Model!AJ244,Model!AJ3169)</f>
        <v>34.106265717381575</v>
      </c>
      <c r="AL28" s="176">
        <f>SUM(Model!AK244,Model!AK3169)</f>
        <v>34.116403744788606</v>
      </c>
      <c r="AM28" s="176">
        <f>SUM(Model!AL244,Model!AL3169)</f>
        <v>34.047518272826146</v>
      </c>
      <c r="AN28" s="176">
        <f>SUM(Model!AM244,Model!AM3169)</f>
        <v>33.950603223670598</v>
      </c>
      <c r="AO28" s="176">
        <f>SUM(Model!AN244,Model!AN3169)</f>
        <v>33.828589422229086</v>
      </c>
      <c r="AP28" s="176">
        <f>SUM(Model!AO244,Model!AO3169)</f>
        <v>33.759295245454808</v>
      </c>
      <c r="AQ28" s="176">
        <f>SUM(Model!AP244,Model!AP3169)</f>
        <v>33.694388855700957</v>
      </c>
      <c r="AR28" s="176">
        <f>SUM(Model!AQ244,Model!AQ3169)</f>
        <v>33.628214908598487</v>
      </c>
      <c r="AS28" s="176">
        <f>SUM(Model!AR244,Model!AR3169)</f>
        <v>33.614140792813174</v>
      </c>
      <c r="AT28" s="176">
        <f>SUM(Model!AS244,Model!AS3169)</f>
        <v>33.572506151799487</v>
      </c>
      <c r="AU28" s="176">
        <f>SUM(Model!AT244,Model!AT3169)</f>
        <v>33.499223764888143</v>
      </c>
      <c r="AV28" s="176">
        <f>SUM(Model!AU244,Model!AU3169)</f>
        <v>33.443461177637644</v>
      </c>
      <c r="AW28" s="176">
        <f>SUM(Model!AV244,Model!AV3169)</f>
        <v>33.312068480327341</v>
      </c>
      <c r="AX28" s="176">
        <f>SUM(Model!AW244,Model!AW3169)</f>
        <v>33.206156129177927</v>
      </c>
      <c r="AY28" s="176">
        <f>SUM(Model!AX244,Model!AX3169)</f>
        <v>33.133753952256043</v>
      </c>
      <c r="AZ28" s="176">
        <f>SUM(Model!AY244,Model!AY3169)</f>
        <v>33.072910739818823</v>
      </c>
      <c r="BA28" s="176">
        <f>SUM(Model!AZ244,Model!AZ3169)</f>
        <v>32.926867181124727</v>
      </c>
      <c r="BB28" s="176">
        <f>SUM(Model!BA244,Model!BA3169)</f>
        <v>32.855769263560809</v>
      </c>
      <c r="BC28" s="174"/>
    </row>
    <row r="29" spans="1:68" ht="15.75" customHeight="1">
      <c r="A29" s="43" t="s">
        <v>337</v>
      </c>
      <c r="B29" s="175" t="s">
        <v>319</v>
      </c>
      <c r="C29" s="175" t="s">
        <v>335</v>
      </c>
      <c r="D29" s="176">
        <f>SUM(Model!C248,Model!C3173)</f>
        <v>4.9911713016599997</v>
      </c>
      <c r="E29" s="176">
        <f>SUM(Model!D248,Model!D3173)</f>
        <v>6.01766818795</v>
      </c>
      <c r="F29" s="176">
        <f>SUM(Model!E248,Model!E3173)</f>
        <v>6.9283307978499984</v>
      </c>
      <c r="G29" s="176">
        <f>SUM(Model!F248,Model!F3173)</f>
        <v>8.2025872640999999</v>
      </c>
      <c r="H29" s="176">
        <f>SUM(Model!G248,Model!G3173)</f>
        <v>7.1189177287599987</v>
      </c>
      <c r="I29" s="176">
        <f>SUM(Model!H248,Model!H3173)</f>
        <v>6.7995025875500001</v>
      </c>
      <c r="J29" s="176">
        <f>SUM(Model!I248,Model!I3173)</f>
        <v>7.4033936571999996</v>
      </c>
      <c r="K29" s="176">
        <f>SUM(Model!J248,Model!J3173)</f>
        <v>13.069689508329999</v>
      </c>
      <c r="L29" s="176">
        <f>SUM(Model!K248,Model!K3173)</f>
        <v>19.839185726259998</v>
      </c>
      <c r="M29" s="176">
        <f>SUM(Model!L248,Model!L3173)</f>
        <v>22.747268726969999</v>
      </c>
      <c r="N29" s="176">
        <f>SUM(Model!M248,Model!M3173)</f>
        <v>14.463578666039997</v>
      </c>
      <c r="O29" s="176">
        <f>SUM(Model!N248,Model!N3173)</f>
        <v>21.639890542829995</v>
      </c>
      <c r="P29" s="176">
        <f>SUM(Model!O248,Model!O3173)</f>
        <v>14.30320641989</v>
      </c>
      <c r="Q29" s="176">
        <f>SUM(Model!P248,Model!P3173)</f>
        <v>25.472715954719995</v>
      </c>
      <c r="R29" s="176">
        <f>SUM(Model!Q248,Model!Q3173)</f>
        <v>29.542981551640001</v>
      </c>
      <c r="S29" s="176">
        <f>SUM(Model!R248,Model!R3173)</f>
        <v>25.998328729499999</v>
      </c>
      <c r="T29" s="176">
        <f>SUM(Model!S248,Model!S3173)</f>
        <v>18.46714457118</v>
      </c>
      <c r="U29" s="176">
        <f>SUM(Model!T248,Model!T3173)</f>
        <v>25.637078870925517</v>
      </c>
      <c r="V29" s="176">
        <f>SUM(Model!U248,Model!U3173)</f>
        <v>20.382692550601217</v>
      </c>
      <c r="W29" s="176">
        <f>SUM(Model!V248,Model!V3173)</f>
        <v>23.695528854976704</v>
      </c>
      <c r="X29" s="176">
        <f>SUM(Model!W248,Model!W3173)</f>
        <v>23.166702009753646</v>
      </c>
      <c r="Y29" s="176">
        <f>SUM(Model!X248,Model!X3173)</f>
        <v>23.273472049080315</v>
      </c>
      <c r="Z29" s="176">
        <f>SUM(Model!Y248,Model!Y3173)</f>
        <v>23.896545870858912</v>
      </c>
      <c r="AA29" s="176">
        <f>SUM(Model!Z248,Model!Z3173)</f>
        <v>24.085193526890464</v>
      </c>
      <c r="AB29" s="176">
        <f>SUM(Model!AA248,Model!AA3173)</f>
        <v>24.252576721035094</v>
      </c>
      <c r="AC29" s="176">
        <f>SUM(Model!AB248,Model!AB3173)</f>
        <v>24.168054647752911</v>
      </c>
      <c r="AD29" s="176">
        <f>SUM(Model!AC248,Model!AC3173)</f>
        <v>23.904956860762098</v>
      </c>
      <c r="AE29" s="176">
        <f>SUM(Model!AD248,Model!AD3173)</f>
        <v>23.977964709476243</v>
      </c>
      <c r="AF29" s="176">
        <f>SUM(Model!AE248,Model!AE3173)</f>
        <v>23.693121217116538</v>
      </c>
      <c r="AG29" s="176">
        <f>SUM(Model!AF248,Model!AF3173)</f>
        <v>23.571347270201684</v>
      </c>
      <c r="AH29" s="176">
        <f>SUM(Model!AG248,Model!AG3173)</f>
        <v>23.888613427700623</v>
      </c>
      <c r="AI29" s="176">
        <f>SUM(Model!AH248,Model!AH3173)</f>
        <v>24.022862024501762</v>
      </c>
      <c r="AJ29" s="176">
        <f>SUM(Model!AI248,Model!AI3173)</f>
        <v>23.668160437775377</v>
      </c>
      <c r="AK29" s="176">
        <f>SUM(Model!AJ248,Model!AJ3173)</f>
        <v>23.863432047069345</v>
      </c>
      <c r="AL29" s="176">
        <f>SUM(Model!AK248,Model!AK3173)</f>
        <v>23.708127980752927</v>
      </c>
      <c r="AM29" s="176">
        <f>SUM(Model!AL248,Model!AL3173)</f>
        <v>23.670166416880132</v>
      </c>
      <c r="AN29" s="176">
        <f>SUM(Model!AM248,Model!AM3173)</f>
        <v>23.458092019004692</v>
      </c>
      <c r="AO29" s="176">
        <f>SUM(Model!AN248,Model!AN3173)</f>
        <v>23.440932079128093</v>
      </c>
      <c r="AP29" s="176">
        <f>SUM(Model!AO248,Model!AO3173)</f>
        <v>23.296622373404748</v>
      </c>
      <c r="AQ29" s="176">
        <f>SUM(Model!AP248,Model!AP3173)</f>
        <v>23.305273713177836</v>
      </c>
      <c r="AR29" s="176">
        <f>SUM(Model!AQ248,Model!AQ3173)</f>
        <v>23.156951795980024</v>
      </c>
      <c r="AS29" s="176">
        <f>SUM(Model!AR248,Model!AR3173)</f>
        <v>23.24826952754939</v>
      </c>
      <c r="AT29" s="176">
        <f>SUM(Model!AS248,Model!AS3173)</f>
        <v>23.157888476730232</v>
      </c>
      <c r="AU29" s="176">
        <f>SUM(Model!AT248,Model!AT3173)</f>
        <v>23.316194172568871</v>
      </c>
      <c r="AV29" s="176">
        <f>SUM(Model!AU248,Model!AU3173)</f>
        <v>23.110837286944431</v>
      </c>
      <c r="AW29" s="176">
        <f>SUM(Model!AV248,Model!AV3173)</f>
        <v>22.908054150488248</v>
      </c>
      <c r="AX29" s="176">
        <f>SUM(Model!AW248,Model!AW3173)</f>
        <v>22.966810754131135</v>
      </c>
      <c r="AY29" s="176">
        <f>SUM(Model!AX248,Model!AX3173)</f>
        <v>23.009317108508196</v>
      </c>
      <c r="AZ29" s="176">
        <f>SUM(Model!AY248,Model!AY3173)</f>
        <v>22.728065506832671</v>
      </c>
      <c r="BA29" s="176">
        <f>SUM(Model!AZ248,Model!AZ3173)</f>
        <v>22.692823434462554</v>
      </c>
      <c r="BB29" s="176">
        <f>SUM(Model!BA248,Model!BA3173)</f>
        <v>22.616845752579991</v>
      </c>
      <c r="BC29" s="174"/>
    </row>
    <row r="30" spans="1:68" ht="15.75" customHeight="1">
      <c r="A30" s="128" t="s">
        <v>338</v>
      </c>
      <c r="B30" s="177" t="s">
        <v>331</v>
      </c>
      <c r="C30" s="177" t="s">
        <v>339</v>
      </c>
      <c r="D30" s="178">
        <f>Model!C3337</f>
        <v>45.605050486855163</v>
      </c>
      <c r="E30" s="178">
        <f>Model!D3337</f>
        <v>45.910998798775481</v>
      </c>
      <c r="F30" s="178">
        <f>Model!E3337</f>
        <v>45.051820344287187</v>
      </c>
      <c r="G30" s="178">
        <f>Model!F3337</f>
        <v>47.199276245962736</v>
      </c>
      <c r="H30" s="178">
        <f>Model!G3337</f>
        <v>49.520839734306762</v>
      </c>
      <c r="I30" s="178">
        <f>Model!H3337</f>
        <v>55.639546657260148</v>
      </c>
      <c r="J30" s="178">
        <f>Model!I3337</f>
        <v>56.929564935454096</v>
      </c>
      <c r="K30" s="178">
        <f>Model!J3337</f>
        <v>66.313007751682989</v>
      </c>
      <c r="L30" s="178">
        <f>Model!K3337</f>
        <v>81.863606098110012</v>
      </c>
      <c r="M30" s="178">
        <f>Model!L3337</f>
        <v>78.028653026315794</v>
      </c>
      <c r="N30" s="178">
        <f>Model!M3337</f>
        <v>74.959402054561394</v>
      </c>
      <c r="O30" s="178">
        <f>Model!N3337</f>
        <v>87.667444738421054</v>
      </c>
      <c r="P30" s="178">
        <f>Model!O3337</f>
        <v>89.012528023157884</v>
      </c>
      <c r="Q30" s="178">
        <f>Model!P3337</f>
        <v>99.298666996491221</v>
      </c>
      <c r="R30" s="178">
        <f>Model!Q3337</f>
        <v>113.45372125140349</v>
      </c>
      <c r="S30" s="178">
        <f>Model!R3337</f>
        <v>110.22873948210527</v>
      </c>
      <c r="T30" s="178">
        <f>Model!S3337</f>
        <v>98.339293830964905</v>
      </c>
      <c r="U30" s="178">
        <f>Model!T3337</f>
        <v>104.23036292763156</v>
      </c>
      <c r="V30" s="178">
        <f>Model!U3337</f>
        <v>107.11961215789475</v>
      </c>
      <c r="W30" s="178">
        <f>Model!V3337</f>
        <v>120.17735024610708</v>
      </c>
      <c r="X30" s="178">
        <f>Model!W3337</f>
        <v>122.57725781979678</v>
      </c>
      <c r="Y30" s="178">
        <f>Model!X3337</f>
        <v>123.71029336957548</v>
      </c>
      <c r="Z30" s="178">
        <f>Model!Y3337</f>
        <v>123.93621597651745</v>
      </c>
      <c r="AA30" s="178">
        <f>Model!Z3337</f>
        <v>123.92647828521174</v>
      </c>
      <c r="AB30" s="178">
        <f>Model!AA3337</f>
        <v>124.46262076940582</v>
      </c>
      <c r="AC30" s="178">
        <f>Model!AB3337</f>
        <v>124.71444239767362</v>
      </c>
      <c r="AD30" s="178">
        <f>Model!AC3337</f>
        <v>125.23306816116096</v>
      </c>
      <c r="AE30" s="178">
        <f>Model!AD3337</f>
        <v>125.84260753871212</v>
      </c>
      <c r="AF30" s="178">
        <f>Model!AE3337</f>
        <v>125.92966420208558</v>
      </c>
      <c r="AG30" s="178">
        <f>Model!AF3337</f>
        <v>126.18487314276533</v>
      </c>
      <c r="AH30" s="178">
        <f>Model!AG3337</f>
        <v>126.37150881188458</v>
      </c>
      <c r="AI30" s="178">
        <f>Model!AH3337</f>
        <v>126.50696946560529</v>
      </c>
      <c r="AJ30" s="178">
        <f>Model!AI3337</f>
        <v>126.42002060316656</v>
      </c>
      <c r="AK30" s="178">
        <f>Model!AJ3337</f>
        <v>126.2653176185395</v>
      </c>
      <c r="AL30" s="178">
        <f>Model!AK3337</f>
        <v>126.19794720157083</v>
      </c>
      <c r="AM30" s="178">
        <f>Model!AL3337</f>
        <v>125.97829185256657</v>
      </c>
      <c r="AN30" s="178">
        <f>Model!AM3337</f>
        <v>125.68817522169107</v>
      </c>
      <c r="AO30" s="178">
        <f>Model!AN3337</f>
        <v>125.35111335679282</v>
      </c>
      <c r="AP30" s="178">
        <f>Model!AO3337</f>
        <v>125.13231262909414</v>
      </c>
      <c r="AQ30" s="178">
        <f>Model!AP3337</f>
        <v>124.93919414421819</v>
      </c>
      <c r="AR30" s="178">
        <f>Model!AQ3337</f>
        <v>124.73642402316753</v>
      </c>
      <c r="AS30" s="178">
        <f>Model!AR3337</f>
        <v>124.67778784265644</v>
      </c>
      <c r="AT30" s="178">
        <f>Model!AS3337</f>
        <v>124.53084712421816</v>
      </c>
      <c r="AU30" s="178">
        <f>Model!AT3337</f>
        <v>124.30424885861117</v>
      </c>
      <c r="AV30" s="178">
        <f>Model!AU3337</f>
        <v>124.08827602821361</v>
      </c>
      <c r="AW30" s="178">
        <f>Model!AV3337</f>
        <v>123.69608294236087</v>
      </c>
      <c r="AX30" s="178">
        <f>Model!AW3337</f>
        <v>123.38642746354371</v>
      </c>
      <c r="AY30" s="178">
        <f>Model!AX3337</f>
        <v>123.13886608674906</v>
      </c>
      <c r="AZ30" s="178">
        <f>Model!AY3337</f>
        <v>122.89070255736658</v>
      </c>
      <c r="BA30" s="178">
        <f>Model!AZ3337</f>
        <v>122.43035873467826</v>
      </c>
      <c r="BB30" s="178">
        <f>Model!BA3337</f>
        <v>122.16100242094498</v>
      </c>
      <c r="BC30" s="172"/>
      <c r="BD30" s="173"/>
      <c r="BE30" s="173"/>
      <c r="BF30" s="173"/>
      <c r="BG30" s="173"/>
      <c r="BH30" s="173"/>
      <c r="BI30" s="173"/>
      <c r="BJ30" s="173"/>
      <c r="BK30" s="173"/>
      <c r="BL30" s="173"/>
      <c r="BM30" s="173"/>
      <c r="BN30" s="173"/>
      <c r="BO30" s="173"/>
      <c r="BP30" s="173"/>
    </row>
    <row r="31" spans="1:68" ht="15.75" customHeight="1">
      <c r="A31" s="128" t="s">
        <v>340</v>
      </c>
      <c r="B31" s="177" t="s">
        <v>319</v>
      </c>
      <c r="C31" s="177" t="s">
        <v>339</v>
      </c>
      <c r="D31" s="178">
        <f>Model!C3338</f>
        <v>31.1</v>
      </c>
      <c r="E31" s="178">
        <f>Model!D3338</f>
        <v>41.7</v>
      </c>
      <c r="F31" s="178">
        <f>Model!E3338</f>
        <v>33.799999999999997</v>
      </c>
      <c r="G31" s="178">
        <f>Model!F3338</f>
        <v>44.7</v>
      </c>
      <c r="H31" s="178">
        <f>Model!G3338</f>
        <v>51.7</v>
      </c>
      <c r="I31" s="178">
        <f>Model!H3338</f>
        <v>71.7</v>
      </c>
      <c r="J31" s="178">
        <f>Model!I3338</f>
        <v>98.8</v>
      </c>
      <c r="K31" s="178">
        <f>Model!J3338</f>
        <v>108.1</v>
      </c>
      <c r="L31" s="178">
        <f>Model!K3338</f>
        <v>125.3</v>
      </c>
      <c r="M31" s="178">
        <f>Model!L3338</f>
        <v>87.2</v>
      </c>
      <c r="N31" s="178">
        <f>Model!M3338</f>
        <v>103.1</v>
      </c>
      <c r="O31" s="178">
        <f>Model!N3338</f>
        <v>130.19999999999999</v>
      </c>
      <c r="P31" s="178">
        <f>Model!O3338</f>
        <v>162.69999999999999</v>
      </c>
      <c r="Q31" s="178">
        <f>Model!P3338</f>
        <v>170.6</v>
      </c>
      <c r="R31" s="178">
        <f>Model!Q3338</f>
        <v>203.9</v>
      </c>
      <c r="S31" s="178">
        <f>Model!R3338</f>
        <v>149.6</v>
      </c>
      <c r="T31" s="178">
        <f>Model!S3338</f>
        <v>79.900000000000006</v>
      </c>
      <c r="U31" s="178">
        <f>Model!T3338</f>
        <v>112.3</v>
      </c>
      <c r="V31" s="178">
        <f>Model!U3338</f>
        <v>168.51053225525459</v>
      </c>
      <c r="W31" s="178">
        <f>Model!V3338</f>
        <v>189.6636614658</v>
      </c>
      <c r="X31" s="178">
        <f>Model!W3338</f>
        <v>206.58208897460003</v>
      </c>
      <c r="Y31" s="178">
        <f>Model!X3338</f>
        <v>217.35143697939998</v>
      </c>
      <c r="Z31" s="178">
        <f>Model!Y3338</f>
        <v>220.1246443718</v>
      </c>
      <c r="AA31" s="178">
        <f>Model!Z3338</f>
        <v>224.9103731056</v>
      </c>
      <c r="AB31" s="178">
        <f>Model!AA3338</f>
        <v>235.1595854338</v>
      </c>
      <c r="AC31" s="178">
        <f>Model!AB3338</f>
        <v>243.40610194919998</v>
      </c>
      <c r="AD31" s="178">
        <f>Model!AC3338</f>
        <v>252.54794460580001</v>
      </c>
      <c r="AE31" s="178">
        <f>Model!AD3338</f>
        <v>262.81876997820001</v>
      </c>
      <c r="AF31" s="178">
        <f>Model!AE3338</f>
        <v>269.17502899580001</v>
      </c>
      <c r="AG31" s="178">
        <f>Model!AF3338</f>
        <v>277.06953699439998</v>
      </c>
      <c r="AH31" s="178">
        <f>Model!AG3338</f>
        <v>283.76404788460002</v>
      </c>
      <c r="AI31" s="178">
        <f>Model!AH3338</f>
        <v>291.14727620539998</v>
      </c>
      <c r="AJ31" s="178">
        <f>Model!AI3338</f>
        <v>296.05841487179998</v>
      </c>
      <c r="AK31" s="178">
        <f>Model!AJ3338</f>
        <v>303.59918571139997</v>
      </c>
      <c r="AL31" s="178">
        <f>Model!AK3338</f>
        <v>308.1018894046</v>
      </c>
      <c r="AM31" s="178">
        <f>Model!AL3338</f>
        <v>313.61077377679999</v>
      </c>
      <c r="AN31" s="178">
        <f>Model!AM3338</f>
        <v>319.71105381559994</v>
      </c>
      <c r="AO31" s="178">
        <f>Model!AN3338</f>
        <v>321.29826848779999</v>
      </c>
      <c r="AP31" s="178">
        <f>Model!AO3338</f>
        <v>326.7825854916</v>
      </c>
      <c r="AQ31" s="178">
        <f>Model!AP3338</f>
        <v>331.75652220199999</v>
      </c>
      <c r="AR31" s="178">
        <f>Model!AQ3338</f>
        <v>338.38938304940001</v>
      </c>
      <c r="AS31" s="178">
        <f>Model!AR3338</f>
        <v>344.28561146660002</v>
      </c>
      <c r="AT31" s="178">
        <f>Model!AS3338</f>
        <v>351.57226056080003</v>
      </c>
      <c r="AU31" s="178">
        <f>Model!AT3338</f>
        <v>356.2649177596</v>
      </c>
      <c r="AV31" s="178">
        <f>Model!AU3338</f>
        <v>361.84472090679998</v>
      </c>
      <c r="AW31" s="178">
        <f>Model!AV3338</f>
        <v>366.70617757780002</v>
      </c>
      <c r="AX31" s="178">
        <f>Model!AW3338</f>
        <v>371.80518041819994</v>
      </c>
      <c r="AY31" s="178">
        <f>Model!AX3338</f>
        <v>377.372298871</v>
      </c>
      <c r="AZ31" s="178">
        <f>Model!AY3338</f>
        <v>383.21368043979999</v>
      </c>
      <c r="BA31" s="178">
        <f>Model!AZ3338</f>
        <v>387.59423119499996</v>
      </c>
      <c r="BB31" s="178">
        <f>Model!BA3338</f>
        <v>392.99659759159999</v>
      </c>
      <c r="BC31" s="172"/>
      <c r="BD31" s="173"/>
      <c r="BE31" s="173"/>
      <c r="BF31" s="173"/>
      <c r="BG31" s="173"/>
      <c r="BH31" s="173"/>
      <c r="BI31" s="173"/>
      <c r="BJ31" s="173"/>
      <c r="BK31" s="173"/>
      <c r="BL31" s="173"/>
      <c r="BM31" s="173"/>
      <c r="BN31" s="173"/>
      <c r="BO31" s="173"/>
      <c r="BP31" s="173"/>
    </row>
    <row r="32" spans="1:68" ht="15.75" customHeight="1">
      <c r="A32" s="43" t="s">
        <v>341</v>
      </c>
      <c r="B32" s="175" t="s">
        <v>331</v>
      </c>
      <c r="C32" s="175" t="s">
        <v>342</v>
      </c>
      <c r="D32" s="176">
        <f>Model!C640</f>
        <v>27.09</v>
      </c>
      <c r="E32" s="176">
        <f>Model!D640</f>
        <v>28.376148429528616</v>
      </c>
      <c r="F32" s="176">
        <f>Model!E640</f>
        <v>25.683887061413763</v>
      </c>
      <c r="G32" s="176">
        <f>Model!F640</f>
        <v>33.867736479376127</v>
      </c>
      <c r="H32" s="176">
        <f>Model!G640</f>
        <v>35.125351960279417</v>
      </c>
      <c r="I32" s="176">
        <f>Model!H640</f>
        <v>42</v>
      </c>
      <c r="J32" s="176">
        <f>Model!I640</f>
        <v>37.39177744216282</v>
      </c>
      <c r="K32" s="176">
        <f>Model!J640</f>
        <v>37.987458821131355</v>
      </c>
      <c r="L32" s="176">
        <f>Model!K640</f>
        <v>42.066294998488829</v>
      </c>
      <c r="M32" s="176">
        <f>Model!L640</f>
        <v>28.290072296267322</v>
      </c>
      <c r="N32" s="176">
        <f>Model!M640</f>
        <v>32.22</v>
      </c>
      <c r="O32" s="176">
        <f>Model!N640</f>
        <v>28.54700413903814</v>
      </c>
      <c r="P32" s="176">
        <f>Model!O640</f>
        <v>22.177215498534157</v>
      </c>
      <c r="Q32" s="176">
        <f>Model!P640</f>
        <v>27.358939972147311</v>
      </c>
      <c r="R32" s="176">
        <f>Model!Q640</f>
        <v>30.050971154827479</v>
      </c>
      <c r="S32" s="176">
        <f>Model!R640</f>
        <v>21.83</v>
      </c>
      <c r="T32" s="176">
        <f>Model!S640</f>
        <v>20.84</v>
      </c>
      <c r="U32" s="176">
        <f>Model!T640</f>
        <v>23.32</v>
      </c>
      <c r="V32" s="176">
        <f>Model!U640</f>
        <v>24.593436994116217</v>
      </c>
      <c r="W32" s="176">
        <f>Model!V640</f>
        <v>24.218847414654583</v>
      </c>
      <c r="X32" s="176">
        <f>Model!W640</f>
        <v>25.003388150473008</v>
      </c>
      <c r="Y32" s="176">
        <f>Model!X640</f>
        <v>24.981035713788252</v>
      </c>
      <c r="Z32" s="176">
        <f>Model!Y640</f>
        <v>25.423886128356887</v>
      </c>
      <c r="AA32" s="176">
        <f>Model!Z640</f>
        <v>26.54607160194189</v>
      </c>
      <c r="AB32" s="176">
        <f>Model!AA640</f>
        <v>27.867956229847074</v>
      </c>
      <c r="AC32" s="176">
        <f>Model!AB640</f>
        <v>29.388947563473916</v>
      </c>
      <c r="AD32" s="176">
        <f>Model!AC640</f>
        <v>30.113177569129945</v>
      </c>
      <c r="AE32" s="176">
        <f>Model!AD640</f>
        <v>30.606870872621393</v>
      </c>
      <c r="AF32" s="176">
        <f>Model!AE640</f>
        <v>31.350784384845543</v>
      </c>
      <c r="AG32" s="176">
        <f>Model!AF640</f>
        <v>31.802653871584717</v>
      </c>
      <c r="AH32" s="176">
        <f>Model!AG640</f>
        <v>32.33471794697212</v>
      </c>
      <c r="AI32" s="176">
        <f>Model!AH640</f>
        <v>32.630007371946903</v>
      </c>
      <c r="AJ32" s="176">
        <f>Model!AI640</f>
        <v>33.58913993158933</v>
      </c>
      <c r="AK32" s="176">
        <f>Model!AJ640</f>
        <v>34.211737869473836</v>
      </c>
      <c r="AL32" s="176">
        <f>Model!AK640</f>
        <v>34.762447973108493</v>
      </c>
      <c r="AM32" s="176">
        <f>Model!AL640</f>
        <v>35.309440928755087</v>
      </c>
      <c r="AN32" s="176">
        <f>Model!AM640</f>
        <v>36.005523413272016</v>
      </c>
      <c r="AO32" s="176">
        <f>Model!AN640</f>
        <v>36.463920263139187</v>
      </c>
      <c r="AP32" s="176">
        <f>Model!AO640</f>
        <v>36.880766327458957</v>
      </c>
      <c r="AQ32" s="176">
        <f>Model!AP640</f>
        <v>37.346471358728479</v>
      </c>
      <c r="AR32" s="176">
        <f>Model!AQ640</f>
        <v>37.966633875970871</v>
      </c>
      <c r="AS32" s="176">
        <f>Model!AR640</f>
        <v>38.298948585067791</v>
      </c>
      <c r="AT32" s="176">
        <f>Model!AS640</f>
        <v>38.851328254271934</v>
      </c>
      <c r="AU32" s="176">
        <f>Model!AT640</f>
        <v>39.481575352846647</v>
      </c>
      <c r="AV32" s="176">
        <f>Model!AU640</f>
        <v>40.184289075123587</v>
      </c>
      <c r="AW32" s="176">
        <f>Model!AV640</f>
        <v>40.858600041311817</v>
      </c>
      <c r="AX32" s="176">
        <f>Model!AW640</f>
        <v>41.44782133571988</v>
      </c>
      <c r="AY32" s="176">
        <f>Model!AX640</f>
        <v>42.10329972810969</v>
      </c>
      <c r="AZ32" s="176">
        <f>Model!AY640</f>
        <v>42.972746544255259</v>
      </c>
      <c r="BA32" s="176">
        <f>Model!AZ640</f>
        <v>43.724194658550331</v>
      </c>
      <c r="BB32" s="176">
        <f>Model!BA640</f>
        <v>44.421130481766269</v>
      </c>
      <c r="BC32" s="174"/>
    </row>
    <row r="33" spans="1:68" ht="15.75" customHeight="1">
      <c r="A33" s="43" t="s">
        <v>343</v>
      </c>
      <c r="B33" s="175" t="s">
        <v>319</v>
      </c>
      <c r="C33" s="175" t="s">
        <v>342</v>
      </c>
      <c r="D33" s="176">
        <f>Model!C641</f>
        <v>5.44</v>
      </c>
      <c r="E33" s="176">
        <f>Model!D641</f>
        <v>4.55</v>
      </c>
      <c r="F33" s="176">
        <f>Model!E641</f>
        <v>4.8899999999999997</v>
      </c>
      <c r="G33" s="176">
        <f>Model!F641</f>
        <v>3.93</v>
      </c>
      <c r="H33" s="176">
        <f>Model!G641</f>
        <v>5.55</v>
      </c>
      <c r="I33" s="176">
        <f>Model!H641</f>
        <v>5.0199999999999996</v>
      </c>
      <c r="J33" s="176">
        <f>Model!I641</f>
        <v>5.16</v>
      </c>
      <c r="K33" s="176">
        <f>Model!J641</f>
        <v>4.8499999999999996</v>
      </c>
      <c r="L33" s="176">
        <f>Model!K641</f>
        <v>5.43</v>
      </c>
      <c r="M33" s="176">
        <f>Model!L641</f>
        <v>4.95</v>
      </c>
      <c r="N33" s="176">
        <f>Model!M641</f>
        <v>5.67</v>
      </c>
      <c r="O33" s="176">
        <f>Model!N641</f>
        <v>6.99</v>
      </c>
      <c r="P33" s="176">
        <f>Model!O641</f>
        <v>7.36</v>
      </c>
      <c r="Q33" s="176">
        <f>Model!P641</f>
        <v>8</v>
      </c>
      <c r="R33" s="176">
        <f>Model!Q641</f>
        <v>9.67</v>
      </c>
      <c r="S33" s="176">
        <f>Model!R641</f>
        <v>11.61</v>
      </c>
      <c r="T33" s="176">
        <f>Model!S641</f>
        <v>13.43</v>
      </c>
      <c r="U33" s="176">
        <f>Model!T641</f>
        <v>14.88</v>
      </c>
      <c r="V33" s="176">
        <f>Model!U641</f>
        <v>13.876557365808907</v>
      </c>
      <c r="W33" s="176">
        <f>Model!V641</f>
        <v>14.5110666816717</v>
      </c>
      <c r="X33" s="176">
        <f>Model!W641</f>
        <v>15.046960617135724</v>
      </c>
      <c r="Y33" s="176">
        <f>Model!X641</f>
        <v>15.667403270443138</v>
      </c>
      <c r="Z33" s="176">
        <f>Model!Y641</f>
        <v>16.252130669252068</v>
      </c>
      <c r="AA33" s="176">
        <f>Model!Z641</f>
        <v>16.77532627137748</v>
      </c>
      <c r="AB33" s="176">
        <f>Model!AA641</f>
        <v>17.277603965551457</v>
      </c>
      <c r="AC33" s="176">
        <f>Model!AB641</f>
        <v>17.753091072202544</v>
      </c>
      <c r="AD33" s="176">
        <f>Model!AC641</f>
        <v>18.326308844255244</v>
      </c>
      <c r="AE33" s="176">
        <f>Model!AD641</f>
        <v>18.935736467948054</v>
      </c>
      <c r="AF33" s="176">
        <f>Model!AE641</f>
        <v>19.51819606367156</v>
      </c>
      <c r="AG33" s="176">
        <f>Model!AF641</f>
        <v>20.147538186826061</v>
      </c>
      <c r="AH33" s="176">
        <f>Model!AG641</f>
        <v>20.772869828698013</v>
      </c>
      <c r="AI33" s="176">
        <f>Model!AH641</f>
        <v>21.440914417356694</v>
      </c>
      <c r="AJ33" s="176">
        <f>Model!AI641</f>
        <v>22.014680818569801</v>
      </c>
      <c r="AK33" s="176">
        <f>Model!AJ641</f>
        <v>22.645242836738809</v>
      </c>
      <c r="AL33" s="176">
        <f>Model!AK641</f>
        <v>23.293874215853691</v>
      </c>
      <c r="AM33" s="176">
        <f>Model!AL641</f>
        <v>23.949762640467256</v>
      </c>
      <c r="AN33" s="176">
        <f>Model!AM641</f>
        <v>24.585154236688922</v>
      </c>
      <c r="AO33" s="176">
        <f>Model!AN641</f>
        <v>25.269909073197969</v>
      </c>
      <c r="AP33" s="176">
        <f>Model!AO641</f>
        <v>25.970076162276651</v>
      </c>
      <c r="AQ33" s="176">
        <f>Model!AP641</f>
        <v>26.668422960862411</v>
      </c>
      <c r="AR33" s="176">
        <f>Model!AQ641</f>
        <v>27.342580871620019</v>
      </c>
      <c r="AS33" s="176">
        <f>Model!AR641</f>
        <v>28.082566744033144</v>
      </c>
      <c r="AT33" s="176">
        <f>Model!AS641</f>
        <v>28.78392387551574</v>
      </c>
      <c r="AU33" s="176">
        <f>Model!AT641</f>
        <v>29.473945012542682</v>
      </c>
      <c r="AV33" s="176">
        <f>Model!AU641</f>
        <v>30.151830351800527</v>
      </c>
      <c r="AW33" s="176">
        <f>Model!AV641</f>
        <v>30.839841041357694</v>
      </c>
      <c r="AX33" s="176">
        <f>Model!AW641</f>
        <v>31.552836181854129</v>
      </c>
      <c r="AY33" s="176">
        <f>Model!AX641</f>
        <v>32.253511827711307</v>
      </c>
      <c r="AZ33" s="176">
        <f>Model!AY641</f>
        <v>32.899266488361178</v>
      </c>
      <c r="BA33" s="176">
        <f>Model!AZ641</f>
        <v>33.576977129495781</v>
      </c>
      <c r="BB33" s="176">
        <f>Model!BA641</f>
        <v>34.271691174335615</v>
      </c>
      <c r="BC33" s="174"/>
    </row>
    <row r="34" spans="1:68" ht="15.75" customHeight="1">
      <c r="A34" s="179" t="s">
        <v>344</v>
      </c>
      <c r="B34" s="180" t="s">
        <v>345</v>
      </c>
      <c r="C34" s="180" t="s">
        <v>346</v>
      </c>
      <c r="D34" s="178">
        <f>Model!C638</f>
        <v>8.178647999999999</v>
      </c>
      <c r="E34" s="178">
        <f>Model!D638</f>
        <v>7.7940520000000006</v>
      </c>
      <c r="F34" s="178">
        <f>Model!E638</f>
        <v>8.0329879999999996</v>
      </c>
      <c r="G34" s="178">
        <f>Model!F638</f>
        <v>8.2588439999999999</v>
      </c>
      <c r="H34" s="178">
        <f>Model!G638</f>
        <v>7.9977689999999999</v>
      </c>
      <c r="I34" s="178">
        <f>Model!H638</f>
        <v>7.8256949999999996</v>
      </c>
      <c r="J34" s="178">
        <f>Model!I638</f>
        <v>7.2004959999999993</v>
      </c>
      <c r="K34" s="178">
        <f>Model!J638</f>
        <v>7.7352619999999996</v>
      </c>
      <c r="L34" s="178">
        <f>Model!K638</f>
        <v>8.0448059999999995</v>
      </c>
      <c r="M34" s="178">
        <f>Model!L638</f>
        <v>7.8974989999999998</v>
      </c>
      <c r="N34" s="178">
        <f>Model!M638</f>
        <v>7.8850049999999996</v>
      </c>
      <c r="O34" s="178">
        <f>Model!N638</f>
        <v>7.8690960000000008</v>
      </c>
      <c r="P34" s="178">
        <f>Model!O638</f>
        <v>7.0444449999999996</v>
      </c>
      <c r="Q34" s="178">
        <f>Model!P638</f>
        <v>8.1926729999999992</v>
      </c>
      <c r="R34" s="178">
        <f>Model!Q638</f>
        <v>8.5537790000000005</v>
      </c>
      <c r="S34" s="178">
        <f>Model!R638</f>
        <v>7.814622</v>
      </c>
      <c r="T34" s="178">
        <f>Model!S638</f>
        <v>7.4561719999999996</v>
      </c>
      <c r="U34" s="178">
        <f>Model!T638</f>
        <v>7.5763600000000002</v>
      </c>
      <c r="V34" s="178">
        <f>Model!U638</f>
        <v>8.4502640000000007</v>
      </c>
      <c r="W34" s="178">
        <f>Model!V638</f>
        <v>8.0894410000000008</v>
      </c>
      <c r="X34" s="178">
        <f>Model!W638</f>
        <v>8.0976951290322585</v>
      </c>
      <c r="Y34" s="178">
        <f>Model!X638</f>
        <v>8.1059492580645163</v>
      </c>
      <c r="Z34" s="178">
        <f>Model!Y638</f>
        <v>8.114203387096774</v>
      </c>
      <c r="AA34" s="178">
        <f>Model!Z638</f>
        <v>8.1224575161290318</v>
      </c>
      <c r="AB34" s="178">
        <f>Model!AA638</f>
        <v>8.1307116451612895</v>
      </c>
      <c r="AC34" s="178">
        <f>Model!AB638</f>
        <v>8.1389657741935473</v>
      </c>
      <c r="AD34" s="178">
        <f>Model!AC638</f>
        <v>8.147219903225805</v>
      </c>
      <c r="AE34" s="178">
        <f>Model!AD638</f>
        <v>8.1554740322580628</v>
      </c>
      <c r="AF34" s="178">
        <f>Model!AE638</f>
        <v>8.1637281612903205</v>
      </c>
      <c r="AG34" s="178">
        <f>Model!AF638</f>
        <v>8.1719822903225783</v>
      </c>
      <c r="AH34" s="178">
        <f>Model!AG638</f>
        <v>8.180236419354836</v>
      </c>
      <c r="AI34" s="178">
        <f>Model!AH638</f>
        <v>8.1884905483870938</v>
      </c>
      <c r="AJ34" s="178">
        <f>Model!AI638</f>
        <v>8.1967446774193515</v>
      </c>
      <c r="AK34" s="178">
        <f>Model!AJ638</f>
        <v>8.2049988064516093</v>
      </c>
      <c r="AL34" s="178">
        <f>Model!AK638</f>
        <v>8.213252935483867</v>
      </c>
      <c r="AM34" s="178">
        <f>Model!AL638</f>
        <v>8.2215070645161248</v>
      </c>
      <c r="AN34" s="178">
        <f>Model!AM638</f>
        <v>8.2297611935483825</v>
      </c>
      <c r="AO34" s="178">
        <f>Model!AN638</f>
        <v>8.2380153225806403</v>
      </c>
      <c r="AP34" s="178">
        <f>Model!AO638</f>
        <v>8.246269451612898</v>
      </c>
      <c r="AQ34" s="178">
        <f>Model!AP638</f>
        <v>8.2545235806451558</v>
      </c>
      <c r="AR34" s="178">
        <f>Model!AQ638</f>
        <v>8.2627777096774135</v>
      </c>
      <c r="AS34" s="178">
        <f>Model!AR638</f>
        <v>8.2710318387096713</v>
      </c>
      <c r="AT34" s="178">
        <f>Model!AS638</f>
        <v>8.279285967741929</v>
      </c>
      <c r="AU34" s="178">
        <f>Model!AT638</f>
        <v>8.2875400967741868</v>
      </c>
      <c r="AV34" s="178">
        <f>Model!AU638</f>
        <v>8.2957942258064445</v>
      </c>
      <c r="AW34" s="178">
        <f>Model!AV638</f>
        <v>8.3040483548387023</v>
      </c>
      <c r="AX34" s="178">
        <f>Model!AW638</f>
        <v>8.31230248387096</v>
      </c>
      <c r="AY34" s="178">
        <f>Model!AX638</f>
        <v>8.3205566129032178</v>
      </c>
      <c r="AZ34" s="178">
        <f>Model!AY638</f>
        <v>8.3288107419354755</v>
      </c>
      <c r="BA34" s="178">
        <f>Model!AZ638</f>
        <v>8.3370648709677333</v>
      </c>
      <c r="BB34" s="178">
        <f>Model!BA638</f>
        <v>8.3453189999999999</v>
      </c>
      <c r="BC34" s="173"/>
      <c r="BD34" s="173"/>
      <c r="BE34" s="173"/>
      <c r="BF34" s="173"/>
      <c r="BG34" s="173"/>
      <c r="BH34" s="173"/>
      <c r="BI34" s="173"/>
      <c r="BJ34" s="173"/>
      <c r="BK34" s="173"/>
      <c r="BL34" s="173"/>
      <c r="BM34" s="173"/>
      <c r="BN34" s="173"/>
      <c r="BO34" s="173"/>
      <c r="BP34" s="173"/>
    </row>
    <row r="35" spans="1:68" ht="15.75" customHeight="1">
      <c r="A35" s="179" t="s">
        <v>347</v>
      </c>
      <c r="B35" s="180" t="s">
        <v>345</v>
      </c>
      <c r="C35" s="180" t="s">
        <v>259</v>
      </c>
      <c r="D35" s="178">
        <f>Model!C417</f>
        <v>5.21</v>
      </c>
      <c r="E35" s="178">
        <f>Model!D417</f>
        <v>5.34</v>
      </c>
      <c r="F35" s="178">
        <f>Model!E417</f>
        <v>5.67</v>
      </c>
      <c r="G35" s="178">
        <f>Model!F417</f>
        <v>5.13</v>
      </c>
      <c r="H35" s="178">
        <f>Model!G417</f>
        <v>5.46</v>
      </c>
      <c r="I35" s="178">
        <f>Model!H417</f>
        <v>5.87</v>
      </c>
      <c r="J35" s="178">
        <f>Model!I417</f>
        <v>6.22</v>
      </c>
      <c r="K35" s="178">
        <f>Model!J417</f>
        <v>6.84</v>
      </c>
      <c r="L35" s="178">
        <f>Model!K417</f>
        <v>6.67</v>
      </c>
      <c r="M35" s="178">
        <f>Model!L417</f>
        <v>6.87</v>
      </c>
      <c r="N35" s="178">
        <f>Model!M417</f>
        <v>7.39</v>
      </c>
      <c r="O35" s="178">
        <f>Model!N417</f>
        <v>7.57</v>
      </c>
      <c r="P35" s="178">
        <f>Model!O417</f>
        <v>9.11</v>
      </c>
      <c r="Q35" s="178">
        <f>Model!P417</f>
        <v>8.19</v>
      </c>
      <c r="R35" s="178">
        <f>Model!Q417</f>
        <v>8.15</v>
      </c>
      <c r="S35" s="178">
        <f>Model!R417</f>
        <v>9.61</v>
      </c>
      <c r="T35" s="178">
        <f>Model!S417</f>
        <v>9.98</v>
      </c>
      <c r="U35" s="178">
        <f>Model!T417</f>
        <v>9.25</v>
      </c>
      <c r="V35" s="178">
        <f>Model!U417</f>
        <v>10.63</v>
      </c>
      <c r="W35" s="178">
        <f>Model!V417</f>
        <v>10.962587020424852</v>
      </c>
      <c r="X35" s="178">
        <f>Model!W417</f>
        <v>10.858025773080669</v>
      </c>
      <c r="Y35" s="178">
        <f>Model!X417</f>
        <v>9.8371978591410674</v>
      </c>
      <c r="Z35" s="178">
        <f>Model!Y417</f>
        <v>8.8854675248772175</v>
      </c>
      <c r="AA35" s="178">
        <f>Model!Z417</f>
        <v>7.9999831457008828</v>
      </c>
      <c r="AB35" s="178">
        <f>Model!AA417</f>
        <v>7.1779400578846912</v>
      </c>
      <c r="AC35" s="178">
        <f>Model!AB417</f>
        <v>6.4165805585621545</v>
      </c>
      <c r="AD35" s="178">
        <f>Model!AC417</f>
        <v>5.7131939057276639</v>
      </c>
      <c r="AE35" s="178">
        <f>Model!AD417</f>
        <v>5.0651163182364884</v>
      </c>
      <c r="AF35" s="178">
        <f>Model!AE417</f>
        <v>4.5844642451456883</v>
      </c>
      <c r="AG35" s="178">
        <f>Model!AF417</f>
        <v>4.131848737022211</v>
      </c>
      <c r="AH35" s="178">
        <f>Model!AG417</f>
        <v>3.7066467771179541</v>
      </c>
      <c r="AI35" s="178">
        <f>Model!AH417</f>
        <v>3.3082353486848213</v>
      </c>
      <c r="AJ35" s="178">
        <f>Model!AI417</f>
        <v>2.93599143497471</v>
      </c>
      <c r="AK35" s="178">
        <f>Model!AJ417</f>
        <v>2.5892920192395215</v>
      </c>
      <c r="AL35" s="178">
        <f>Model!AK417</f>
        <v>2.2675140847311548</v>
      </c>
      <c r="AM35" s="178">
        <f>Model!AL417</f>
        <v>1.9700346147015115</v>
      </c>
      <c r="AN35" s="178">
        <f>Model!AM417</f>
        <v>1.6962305924024899</v>
      </c>
      <c r="AO35" s="178">
        <f>Model!AN417</f>
        <v>1.4454790010859904</v>
      </c>
      <c r="AP35" s="178">
        <f>Model!AO417</f>
        <v>1.2171568240039132</v>
      </c>
      <c r="AQ35" s="178">
        <f>Model!AP417</f>
        <v>1.0106410444081584</v>
      </c>
      <c r="AR35" s="178">
        <f>Model!AQ417</f>
        <v>0.82530864555062566</v>
      </c>
      <c r="AS35" s="178">
        <f>Model!AR417</f>
        <v>0.66053661068321456</v>
      </c>
      <c r="AT35" s="178">
        <f>Model!AS417</f>
        <v>0.51570192305782603</v>
      </c>
      <c r="AU35" s="178">
        <f>Model!AT417</f>
        <v>0.39018156592635911</v>
      </c>
      <c r="AV35" s="178">
        <f>Model!AU417</f>
        <v>0.28335252254071458</v>
      </c>
      <c r="AW35" s="178">
        <f>Model!AV417</f>
        <v>0.19459177615279188</v>
      </c>
      <c r="AX35" s="178">
        <f>Model!AW417</f>
        <v>0.12327631001449127</v>
      </c>
      <c r="AY35" s="178">
        <f>Model!AX417</f>
        <v>6.8783107377712635E-2</v>
      </c>
      <c r="AZ35" s="178">
        <f>Model!AY417</f>
        <v>3.0489151494355923E-2</v>
      </c>
      <c r="BA35" s="178">
        <f>Model!AZ417</f>
        <v>7.771425616321141E-3</v>
      </c>
      <c r="BB35" s="178">
        <f>Model!BA417</f>
        <v>6.9129955082110721E-6</v>
      </c>
      <c r="BC35" s="173"/>
      <c r="BD35" s="173"/>
      <c r="BE35" s="173"/>
      <c r="BF35" s="173"/>
      <c r="BG35" s="173"/>
      <c r="BH35" s="173"/>
      <c r="BI35" s="173"/>
      <c r="BJ35" s="173"/>
      <c r="BK35" s="173"/>
      <c r="BL35" s="173"/>
      <c r="BM35" s="173"/>
      <c r="BN35" s="173"/>
      <c r="BO35" s="173"/>
      <c r="BP35" s="173"/>
    </row>
    <row r="36" spans="1:68" ht="15.75" customHeight="1">
      <c r="A36" s="179" t="s">
        <v>348</v>
      </c>
      <c r="B36" s="180" t="s">
        <v>345</v>
      </c>
      <c r="C36" s="180" t="s">
        <v>349</v>
      </c>
      <c r="D36" s="178">
        <f>'Assumptions (NG Heating)'!B5</f>
        <v>8.1422399999999993</v>
      </c>
      <c r="E36" s="178">
        <f>'Assumptions (NG Heating)'!C5</f>
        <v>7.3442189999999998</v>
      </c>
      <c r="F36" s="178">
        <f>'Assumptions (NG Heating)'!D5</f>
        <v>7.5271840000000001</v>
      </c>
      <c r="G36" s="178">
        <f>'Assumptions (NG Heating)'!E5</f>
        <v>7.1503959999999998</v>
      </c>
      <c r="H36" s="178">
        <f>'Assumptions (NG Heating)'!F5</f>
        <v>7.2564080000000004</v>
      </c>
      <c r="I36" s="178">
        <f>'Assumptions (NG Heating)'!G5</f>
        <v>6.6011680000000004</v>
      </c>
      <c r="J36" s="178">
        <f>'Assumptions (NG Heating)'!H5</f>
        <v>6.5265459999999997</v>
      </c>
      <c r="K36" s="178">
        <f>'Assumptions (NG Heating)'!I5</f>
        <v>6.6547159999999996</v>
      </c>
      <c r="L36" s="178">
        <f>'Assumptions (NG Heating)'!J5</f>
        <v>6.6701819999999996</v>
      </c>
      <c r="M36" s="178">
        <f>'Assumptions (NG Heating)'!K5</f>
        <v>6.1673710000000002</v>
      </c>
      <c r="N36" s="178">
        <f>'Assumptions (NG Heating)'!L5</f>
        <v>6.8261919999999998</v>
      </c>
      <c r="O36" s="178">
        <f>'Assumptions (NG Heating)'!M5</f>
        <v>6.9941199999999997</v>
      </c>
      <c r="P36" s="178">
        <f>'Assumptions (NG Heating)'!N5</f>
        <v>7.2262149999999998</v>
      </c>
      <c r="Q36" s="178">
        <f>'Assumptions (NG Heating)'!O5</f>
        <v>7.4254519999999999</v>
      </c>
      <c r="R36" s="178">
        <f>'Assumptions (NG Heating)'!P5</f>
        <v>7.646039</v>
      </c>
      <c r="S36" s="178">
        <f>'Assumptions (NG Heating)'!Q5</f>
        <v>7.521903</v>
      </c>
      <c r="T36" s="178">
        <f>'Assumptions (NG Heating)'!R5</f>
        <v>7.728688</v>
      </c>
      <c r="U36" s="178">
        <f>'Assumptions (NG Heating)'!S5</f>
        <v>7.9491990000000001</v>
      </c>
      <c r="V36" s="178">
        <f>'Assumptions (NG Heating)'!T5</f>
        <v>8.2858359999999998</v>
      </c>
      <c r="W36" s="178">
        <f>'Assumptions (NG Heating)'!U5</f>
        <v>8.1956779999999991</v>
      </c>
      <c r="X36" s="178">
        <f>'Assumptions (NG Heating)'!V5</f>
        <v>8.4257500000000007</v>
      </c>
      <c r="Y36" s="178">
        <f>'Assumptions (NG Heating)'!W5</f>
        <v>8.6176849999999998</v>
      </c>
      <c r="Z36" s="178">
        <f>'Assumptions (NG Heating)'!X5</f>
        <v>8.7915150000000004</v>
      </c>
      <c r="AA36" s="178">
        <f>'Assumptions (NG Heating)'!Y5</f>
        <v>8.9275459999999995</v>
      </c>
      <c r="AB36" s="178">
        <f>'Assumptions (NG Heating)'!Z5</f>
        <v>9.0452709999999996</v>
      </c>
      <c r="AC36" s="178">
        <f>'Assumptions (NG Heating)'!AA5</f>
        <v>9.0864670000000007</v>
      </c>
      <c r="AD36" s="178">
        <f>'Assumptions (NG Heating)'!AB5</f>
        <v>9.1666530000000002</v>
      </c>
      <c r="AE36" s="178">
        <f>'Assumptions (NG Heating)'!AC5</f>
        <v>9.2105840000000008</v>
      </c>
      <c r="AF36" s="178">
        <f>'Assumptions (NG Heating)'!AD5</f>
        <v>9.3042350000000003</v>
      </c>
      <c r="AG36" s="178">
        <f>'Assumptions (NG Heating)'!AE5</f>
        <v>9.3230640000000005</v>
      </c>
      <c r="AH36" s="178">
        <f>'Assumptions (NG Heating)'!AF5</f>
        <v>9.3569820000000004</v>
      </c>
      <c r="AI36" s="178">
        <f>'Assumptions (NG Heating)'!AG5</f>
        <v>9.3843560000000004</v>
      </c>
      <c r="AJ36" s="178">
        <f>'Assumptions (NG Heating)'!AH5</f>
        <v>9.4026589999999999</v>
      </c>
      <c r="AK36" s="178">
        <f>'Assumptions (NG Heating)'!AI5</f>
        <v>9.4053459999999998</v>
      </c>
      <c r="AL36" s="178">
        <f>'Assumptions (NG Heating)'!AJ5</f>
        <v>9.4244380000000003</v>
      </c>
      <c r="AM36" s="178">
        <f>'Assumptions (NG Heating)'!AK5</f>
        <v>9.4736270000000005</v>
      </c>
      <c r="AN36" s="178">
        <f>'Assumptions (NG Heating)'!AL5</f>
        <v>9.5263449999999992</v>
      </c>
      <c r="AO36" s="178">
        <f>'Assumptions (NG Heating)'!AM5</f>
        <v>9.5639140000000005</v>
      </c>
      <c r="AP36" s="178">
        <f>'Assumptions (NG Heating)'!AN5</f>
        <v>9.6495250000000006</v>
      </c>
      <c r="AQ36" s="178">
        <f>'Assumptions (NG Heating)'!AO5</f>
        <v>9.6988690000000002</v>
      </c>
      <c r="AR36" s="178">
        <f>'Assumptions (NG Heating)'!AP5</f>
        <v>9.7457790000000006</v>
      </c>
      <c r="AS36" s="178">
        <f>'Assumptions (NG Heating)'!AQ5</f>
        <v>9.8043969999999998</v>
      </c>
      <c r="AT36" s="178">
        <f>'Assumptions (NG Heating)'!AR5</f>
        <v>9.8412749999999996</v>
      </c>
      <c r="AU36" s="178">
        <f>'Assumptions (NG Heating)'!AS5</f>
        <v>9.8924479999999999</v>
      </c>
      <c r="AV36" s="178">
        <f>'Assumptions (NG Heating)'!AT5</f>
        <v>9.9283719999999995</v>
      </c>
      <c r="AW36" s="178">
        <f>'Assumptions (NG Heating)'!AU5</f>
        <v>10.039173</v>
      </c>
      <c r="AX36" s="178">
        <f>'Assumptions (NG Heating)'!AV5</f>
        <v>10.062462</v>
      </c>
      <c r="AY36" s="178">
        <f>'Assumptions (NG Heating)'!AW5</f>
        <v>10.120937</v>
      </c>
      <c r="AZ36" s="178">
        <f>'Assumptions (NG Heating)'!AX5</f>
        <v>10.185613999999999</v>
      </c>
      <c r="BA36" s="178">
        <f>'Assumptions (NG Heating)'!AY5</f>
        <v>10.248264000000001</v>
      </c>
      <c r="BB36" s="178">
        <f>'Assumptions (NG Heating)'!AZ5</f>
        <v>10.305804999999999</v>
      </c>
      <c r="BC36" s="173"/>
      <c r="BD36" s="173"/>
      <c r="BE36" s="173"/>
      <c r="BF36" s="173"/>
      <c r="BG36" s="173"/>
      <c r="BH36" s="173"/>
      <c r="BI36" s="173"/>
      <c r="BJ36" s="173"/>
      <c r="BK36" s="173"/>
      <c r="BL36" s="173"/>
      <c r="BM36" s="173"/>
      <c r="BN36" s="173"/>
      <c r="BO36" s="173"/>
      <c r="BP36" s="173"/>
    </row>
    <row r="37" spans="1:68" ht="15.75" customHeight="1">
      <c r="A37" s="179" t="s">
        <v>350</v>
      </c>
      <c r="B37" s="180" t="s">
        <v>345</v>
      </c>
      <c r="C37" s="181" t="s">
        <v>351</v>
      </c>
      <c r="D37" s="182">
        <v>1.7931569999999999</v>
      </c>
      <c r="E37" s="182">
        <v>1.7435160000000001</v>
      </c>
      <c r="F37" s="182">
        <v>1.7800050000000001</v>
      </c>
      <c r="G37" s="182">
        <v>1.713775</v>
      </c>
      <c r="H37" s="182">
        <v>1.6640919999999999</v>
      </c>
      <c r="I37" s="182">
        <v>1.6955420000000001</v>
      </c>
      <c r="J37" s="182">
        <v>1.7261899999999999</v>
      </c>
      <c r="K37" s="182">
        <v>1.8477509999999999</v>
      </c>
      <c r="L37" s="182">
        <v>1.867659</v>
      </c>
      <c r="M37" s="182">
        <v>1.9454130000000001</v>
      </c>
      <c r="N37" s="182">
        <v>1.959751</v>
      </c>
      <c r="O37" s="182">
        <v>2.0103719999999998</v>
      </c>
      <c r="P37" s="182">
        <v>2.1270639999999998</v>
      </c>
      <c r="Q37" s="182">
        <v>2.3161459999999998</v>
      </c>
      <c r="R37" s="182">
        <v>2.2122929999999998</v>
      </c>
      <c r="S37" s="182">
        <v>2.2545730000000002</v>
      </c>
      <c r="T37" s="182">
        <v>2.2320609999999999</v>
      </c>
      <c r="U37" s="182">
        <v>2.285987</v>
      </c>
      <c r="V37" s="182">
        <v>2.5513150000000002</v>
      </c>
      <c r="W37" s="182">
        <v>2.816773</v>
      </c>
      <c r="X37" s="182">
        <v>2.9674200000000002</v>
      </c>
      <c r="Y37" s="182">
        <v>3.0572159999999999</v>
      </c>
      <c r="Z37" s="182">
        <v>3.0796060000000001</v>
      </c>
      <c r="AA37" s="182">
        <v>3.14811</v>
      </c>
      <c r="AB37" s="182">
        <v>3.2306319999999999</v>
      </c>
      <c r="AC37" s="182">
        <v>3.3246560000000001</v>
      </c>
      <c r="AD37" s="182">
        <v>3.4258150000000001</v>
      </c>
      <c r="AE37" s="182">
        <v>3.4881259999999998</v>
      </c>
      <c r="AF37" s="182">
        <v>3.5468099999999998</v>
      </c>
      <c r="AG37" s="182">
        <v>3.5855830000000002</v>
      </c>
      <c r="AH37" s="182">
        <v>3.616832</v>
      </c>
      <c r="AI37" s="182">
        <v>3.6515949999999999</v>
      </c>
      <c r="AJ37" s="182">
        <v>3.6891020000000001</v>
      </c>
      <c r="AK37" s="182">
        <v>3.7086000000000001</v>
      </c>
      <c r="AL37" s="182">
        <v>3.7413050000000001</v>
      </c>
      <c r="AM37" s="182">
        <v>3.7744420000000001</v>
      </c>
      <c r="AN37" s="182">
        <v>3.8147570000000002</v>
      </c>
      <c r="AO37" s="182">
        <v>3.8420740000000002</v>
      </c>
      <c r="AP37" s="182">
        <v>3.8826149999999999</v>
      </c>
      <c r="AQ37" s="182">
        <v>3.9177409999999999</v>
      </c>
      <c r="AR37" s="182">
        <v>3.9621249999999999</v>
      </c>
      <c r="AS37" s="182">
        <v>3.98048</v>
      </c>
      <c r="AT37" s="182">
        <v>4.0092230000000004</v>
      </c>
      <c r="AU37" s="182">
        <v>4.0190989999999998</v>
      </c>
      <c r="AV37" s="182">
        <v>4.0480799999999997</v>
      </c>
      <c r="AW37" s="182">
        <v>4.0666929999999999</v>
      </c>
      <c r="AX37" s="182">
        <v>4.0882149999999999</v>
      </c>
      <c r="AY37" s="182">
        <v>4.1047520000000004</v>
      </c>
      <c r="AZ37" s="182">
        <v>4.1326669999999996</v>
      </c>
      <c r="BA37" s="182">
        <v>4.1485190000000003</v>
      </c>
      <c r="BB37" s="182">
        <v>4.1774329999999997</v>
      </c>
      <c r="BC37" s="173"/>
      <c r="BD37" s="173"/>
      <c r="BE37" s="173"/>
      <c r="BF37" s="173"/>
      <c r="BG37" s="173"/>
      <c r="BH37" s="173"/>
      <c r="BI37" s="173"/>
      <c r="BJ37" s="173"/>
      <c r="BK37" s="173"/>
      <c r="BL37" s="173"/>
      <c r="BM37" s="173"/>
      <c r="BN37" s="173"/>
      <c r="BO37" s="173"/>
      <c r="BP37" s="173"/>
    </row>
    <row r="38" spans="1:68" ht="15.75" customHeight="1">
      <c r="A38" s="183" t="s">
        <v>352</v>
      </c>
      <c r="B38" s="7" t="s">
        <v>345</v>
      </c>
      <c r="C38" s="7" t="s">
        <v>353</v>
      </c>
      <c r="D38" s="184">
        <f t="shared" ref="D38:BB38" si="2">SUM(D34:D37)-D40</f>
        <v>4.5617359999999998</v>
      </c>
      <c r="E38" s="184">
        <f t="shared" si="2"/>
        <v>3.0407669999999989</v>
      </c>
      <c r="F38" s="184">
        <f t="shared" si="2"/>
        <v>4.510983999999997</v>
      </c>
      <c r="G38" s="184">
        <f t="shared" si="2"/>
        <v>3.610911999999999</v>
      </c>
      <c r="H38" s="184">
        <f t="shared" si="2"/>
        <v>4.2262330000000006</v>
      </c>
      <c r="I38" s="184">
        <f t="shared" si="2"/>
        <v>4.4011330000000015</v>
      </c>
      <c r="J38" s="184">
        <f t="shared" si="2"/>
        <v>3.5897129999999997</v>
      </c>
      <c r="K38" s="184">
        <f t="shared" si="2"/>
        <v>4.2188559999999988</v>
      </c>
      <c r="L38" s="184">
        <f t="shared" si="2"/>
        <v>3.4681499999999978</v>
      </c>
      <c r="M38" s="184">
        <f t="shared" si="2"/>
        <v>2.6305809999999994</v>
      </c>
      <c r="N38" s="184">
        <f t="shared" si="2"/>
        <v>3.098831999999998</v>
      </c>
      <c r="O38" s="184">
        <f t="shared" si="2"/>
        <v>1.876380000000001</v>
      </c>
      <c r="P38" s="184">
        <f t="shared" si="2"/>
        <v>1.8042470000000002</v>
      </c>
      <c r="Q38" s="184">
        <f t="shared" si="2"/>
        <v>2.2362509999999958</v>
      </c>
      <c r="R38" s="184">
        <f t="shared" si="2"/>
        <v>0.99938199999999711</v>
      </c>
      <c r="S38" s="184">
        <f t="shared" si="2"/>
        <v>0.46179500000000218</v>
      </c>
      <c r="T38" s="184">
        <f t="shared" si="2"/>
        <v>1.1200389999999985</v>
      </c>
      <c r="U38" s="184">
        <f t="shared" si="2"/>
        <v>9.5406000000000546E-2</v>
      </c>
      <c r="V38" s="184">
        <f t="shared" si="2"/>
        <v>-0.15860085000000268</v>
      </c>
      <c r="W38" s="184">
        <f t="shared" si="2"/>
        <v>-2.1914449795751487</v>
      </c>
      <c r="X38" s="184">
        <f t="shared" si="2"/>
        <v>-3.2030540978870725</v>
      </c>
      <c r="Y38" s="184">
        <f t="shared" si="2"/>
        <v>-4.4863138827944162</v>
      </c>
      <c r="Z38" s="184">
        <f t="shared" si="2"/>
        <v>-5.7395290880260035</v>
      </c>
      <c r="AA38" s="184">
        <f t="shared" si="2"/>
        <v>-7.0677423381700883</v>
      </c>
      <c r="AB38" s="184">
        <f t="shared" si="2"/>
        <v>-8.2936492969540154</v>
      </c>
      <c r="AC38" s="184">
        <f t="shared" si="2"/>
        <v>-9.6534136672442976</v>
      </c>
      <c r="AD38" s="184">
        <f t="shared" si="2"/>
        <v>-10.905947191046529</v>
      </c>
      <c r="AE38" s="184">
        <f t="shared" si="2"/>
        <v>-11.904723649505449</v>
      </c>
      <c r="AF38" s="184">
        <f t="shared" si="2"/>
        <v>-12.664998593563986</v>
      </c>
      <c r="AG38" s="184">
        <f t="shared" si="2"/>
        <v>-13.196842972655212</v>
      </c>
      <c r="AH38" s="184">
        <f t="shared" si="2"/>
        <v>-13.633179803527209</v>
      </c>
      <c r="AI38" s="184">
        <f t="shared" si="2"/>
        <v>-14.223201102928087</v>
      </c>
      <c r="AJ38" s="184">
        <f t="shared" si="2"/>
        <v>-14.857289887605937</v>
      </c>
      <c r="AK38" s="184">
        <f t="shared" si="2"/>
        <v>-15.255833174308872</v>
      </c>
      <c r="AL38" s="184">
        <f t="shared" si="2"/>
        <v>-15.752430979784979</v>
      </c>
      <c r="AM38" s="184">
        <f t="shared" si="2"/>
        <v>-16.144457320782365</v>
      </c>
      <c r="AN38" s="184">
        <f t="shared" si="2"/>
        <v>-16.557529214049133</v>
      </c>
      <c r="AO38" s="184">
        <f t="shared" si="2"/>
        <v>-16.967470676333367</v>
      </c>
      <c r="AP38" s="184">
        <f t="shared" si="2"/>
        <v>-17.278859724383185</v>
      </c>
      <c r="AQ38" s="184">
        <f t="shared" si="2"/>
        <v>-17.555916374946687</v>
      </c>
      <c r="AR38" s="184">
        <f t="shared" si="2"/>
        <v>-17.920302644771958</v>
      </c>
      <c r="AS38" s="184">
        <f t="shared" si="2"/>
        <v>-18.218864550607115</v>
      </c>
      <c r="AT38" s="184">
        <f t="shared" si="2"/>
        <v>-18.561728109200246</v>
      </c>
      <c r="AU38" s="184">
        <f t="shared" si="2"/>
        <v>-18.789241337299455</v>
      </c>
      <c r="AV38" s="184">
        <f t="shared" si="2"/>
        <v>-19.217049251652838</v>
      </c>
      <c r="AW38" s="184">
        <f t="shared" si="2"/>
        <v>-19.488781869008506</v>
      </c>
      <c r="AX38" s="184">
        <f t="shared" si="2"/>
        <v>-19.74932720611455</v>
      </c>
      <c r="AY38" s="184">
        <f t="shared" si="2"/>
        <v>-19.944393279719069</v>
      </c>
      <c r="AZ38" s="184">
        <f t="shared" si="2"/>
        <v>-20.237126106570173</v>
      </c>
      <c r="BA38" s="184">
        <f t="shared" si="2"/>
        <v>-20.357852703415944</v>
      </c>
      <c r="BB38" s="184">
        <f t="shared" si="2"/>
        <v>-20.578823087004494</v>
      </c>
    </row>
    <row r="39" spans="1:68" ht="15.75" customHeight="1">
      <c r="A39" s="179" t="s">
        <v>354</v>
      </c>
      <c r="B39" s="181" t="s">
        <v>355</v>
      </c>
      <c r="C39" s="181" t="s">
        <v>356</v>
      </c>
      <c r="D39" s="182">
        <v>18.762308999999998</v>
      </c>
      <c r="E39" s="182">
        <v>19.18102</v>
      </c>
      <c r="F39" s="182">
        <v>18.499193000000002</v>
      </c>
      <c r="G39" s="182">
        <v>18.642102999999999</v>
      </c>
      <c r="H39" s="182">
        <v>18.152035999999999</v>
      </c>
      <c r="I39" s="182">
        <v>17.591272</v>
      </c>
      <c r="J39" s="182">
        <v>18.083518999999999</v>
      </c>
      <c r="K39" s="182">
        <v>18.858872999999999</v>
      </c>
      <c r="L39" s="182">
        <v>19.784497000000002</v>
      </c>
      <c r="M39" s="182">
        <v>20.249701999999999</v>
      </c>
      <c r="N39" s="182">
        <v>20.962116000000002</v>
      </c>
      <c r="O39" s="182">
        <v>22.567208000000001</v>
      </c>
      <c r="P39" s="182">
        <v>23.703476999999999</v>
      </c>
      <c r="Q39" s="182">
        <v>23.888020000000001</v>
      </c>
      <c r="R39" s="182">
        <v>25.562729000000001</v>
      </c>
      <c r="S39" s="182">
        <v>26.739303</v>
      </c>
      <c r="T39" s="182">
        <v>26.276882000000001</v>
      </c>
      <c r="U39" s="182">
        <v>26.966139999999999</v>
      </c>
      <c r="V39" s="182">
        <v>30.076015850000001</v>
      </c>
      <c r="W39" s="182">
        <v>31.415365000000001</v>
      </c>
      <c r="X39" s="182">
        <v>31.905443000000002</v>
      </c>
      <c r="Y39" s="182">
        <v>31.845393999999999</v>
      </c>
      <c r="Z39" s="182">
        <v>31.706486000000002</v>
      </c>
      <c r="AA39" s="182">
        <v>31.804521999999999</v>
      </c>
      <c r="AB39" s="182">
        <v>31.819154999999999</v>
      </c>
      <c r="AC39" s="182">
        <v>32.007519000000002</v>
      </c>
      <c r="AD39" s="182">
        <v>32.040432000000003</v>
      </c>
      <c r="AE39" s="182">
        <v>31.927734000000001</v>
      </c>
      <c r="AF39" s="182">
        <v>31.628454000000001</v>
      </c>
      <c r="AG39" s="182">
        <v>31.328230000000001</v>
      </c>
      <c r="AH39" s="182">
        <v>31.042359999999999</v>
      </c>
      <c r="AI39" s="182">
        <v>30.918406999999998</v>
      </c>
      <c r="AJ39" s="182">
        <v>30.826933</v>
      </c>
      <c r="AK39" s="182">
        <v>30.572741000000001</v>
      </c>
      <c r="AL39" s="182">
        <v>30.496327999999998</v>
      </c>
      <c r="AM39" s="182">
        <v>30.360363</v>
      </c>
      <c r="AN39" s="182">
        <v>30.451832</v>
      </c>
      <c r="AO39" s="182">
        <v>30.366768</v>
      </c>
      <c r="AP39" s="182">
        <v>30.501249000000001</v>
      </c>
      <c r="AQ39" s="182">
        <v>30.802629</v>
      </c>
      <c r="AR39" s="182">
        <v>30.875381000000001</v>
      </c>
      <c r="AS39" s="182">
        <v>30.877424000000001</v>
      </c>
      <c r="AT39" s="182">
        <v>30.759768000000001</v>
      </c>
      <c r="AU39" s="182">
        <v>30.759426000000001</v>
      </c>
      <c r="AV39" s="182">
        <v>30.429953000000001</v>
      </c>
      <c r="AW39" s="182">
        <v>30.274145000000001</v>
      </c>
      <c r="AX39" s="182">
        <v>30.232282999999999</v>
      </c>
      <c r="AY39" s="182">
        <v>30.278065000000002</v>
      </c>
      <c r="AZ39" s="182">
        <v>30.394506</v>
      </c>
      <c r="BA39" s="182">
        <v>30.493931</v>
      </c>
      <c r="BB39" s="182">
        <v>30.580973</v>
      </c>
      <c r="BC39" s="173"/>
      <c r="BD39" s="173"/>
      <c r="BE39" s="173"/>
      <c r="BF39" s="173"/>
      <c r="BG39" s="173"/>
      <c r="BH39" s="173"/>
      <c r="BI39" s="173"/>
      <c r="BJ39" s="173"/>
      <c r="BK39" s="173"/>
      <c r="BL39" s="173"/>
      <c r="BM39" s="173"/>
      <c r="BN39" s="173"/>
      <c r="BO39" s="173"/>
      <c r="BP39" s="173"/>
    </row>
    <row r="40" spans="1:68" ht="15.75" customHeight="1">
      <c r="A40" s="179" t="s">
        <v>357</v>
      </c>
      <c r="B40" s="181" t="s">
        <v>355</v>
      </c>
      <c r="C40" s="181" t="s">
        <v>358</v>
      </c>
      <c r="D40" s="182">
        <v>18.762308999999998</v>
      </c>
      <c r="E40" s="182">
        <v>19.18102</v>
      </c>
      <c r="F40" s="182">
        <v>18.499193000000002</v>
      </c>
      <c r="G40" s="182">
        <v>18.642102999999999</v>
      </c>
      <c r="H40" s="182">
        <v>18.152035999999999</v>
      </c>
      <c r="I40" s="182">
        <v>17.591272</v>
      </c>
      <c r="J40" s="182">
        <v>18.083518999999999</v>
      </c>
      <c r="K40" s="182">
        <v>18.858872999999999</v>
      </c>
      <c r="L40" s="182">
        <v>19.784497000000002</v>
      </c>
      <c r="M40" s="182">
        <v>20.249701999999999</v>
      </c>
      <c r="N40" s="182">
        <v>20.962116000000002</v>
      </c>
      <c r="O40" s="182">
        <v>22.567208000000001</v>
      </c>
      <c r="P40" s="182">
        <v>23.703476999999999</v>
      </c>
      <c r="Q40" s="182">
        <v>23.888020000000001</v>
      </c>
      <c r="R40" s="182">
        <v>25.562729000000001</v>
      </c>
      <c r="S40" s="182">
        <v>26.739303</v>
      </c>
      <c r="T40" s="182">
        <v>26.276882000000001</v>
      </c>
      <c r="U40" s="182">
        <v>26.966139999999999</v>
      </c>
      <c r="V40" s="182">
        <v>30.076015850000001</v>
      </c>
      <c r="W40" s="182">
        <v>32.255924</v>
      </c>
      <c r="X40" s="182">
        <v>33.551945000000003</v>
      </c>
      <c r="Y40" s="182">
        <v>34.104362000000002</v>
      </c>
      <c r="Z40" s="182">
        <v>34.610320999999999</v>
      </c>
      <c r="AA40" s="182">
        <v>35.265839</v>
      </c>
      <c r="AB40" s="182">
        <v>35.878203999999997</v>
      </c>
      <c r="AC40" s="182">
        <v>36.620083000000001</v>
      </c>
      <c r="AD40" s="182">
        <v>37.358829</v>
      </c>
      <c r="AE40" s="182">
        <v>37.824024000000001</v>
      </c>
      <c r="AF40" s="182">
        <v>38.264235999999997</v>
      </c>
      <c r="AG40" s="182">
        <v>38.409320999999998</v>
      </c>
      <c r="AH40" s="182">
        <v>38.493876999999998</v>
      </c>
      <c r="AI40" s="182">
        <v>38.755878000000003</v>
      </c>
      <c r="AJ40" s="182">
        <v>39.081786999999998</v>
      </c>
      <c r="AK40" s="182">
        <v>39.164070000000002</v>
      </c>
      <c r="AL40" s="182">
        <v>39.398941000000001</v>
      </c>
      <c r="AM40" s="182">
        <v>39.584068000000002</v>
      </c>
      <c r="AN40" s="182">
        <v>39.824623000000003</v>
      </c>
      <c r="AO40" s="182">
        <v>40.056953</v>
      </c>
      <c r="AP40" s="182">
        <v>40.274425999999998</v>
      </c>
      <c r="AQ40" s="182">
        <v>40.437691000000001</v>
      </c>
      <c r="AR40" s="182">
        <v>40.716293</v>
      </c>
      <c r="AS40" s="182">
        <v>40.935310000000001</v>
      </c>
      <c r="AT40" s="182">
        <v>41.207214</v>
      </c>
      <c r="AU40" s="182">
        <v>41.378509999999999</v>
      </c>
      <c r="AV40" s="182">
        <v>41.772647999999997</v>
      </c>
      <c r="AW40" s="182">
        <v>42.093288000000001</v>
      </c>
      <c r="AX40" s="182">
        <v>42.335583</v>
      </c>
      <c r="AY40" s="182">
        <v>42.559421999999998</v>
      </c>
      <c r="AZ40" s="182">
        <v>42.914707</v>
      </c>
      <c r="BA40" s="182">
        <v>43.099471999999999</v>
      </c>
      <c r="BB40" s="182">
        <v>43.407387</v>
      </c>
      <c r="BC40" s="173"/>
      <c r="BD40" s="173"/>
      <c r="BE40" s="173"/>
      <c r="BF40" s="173"/>
      <c r="BG40" s="173"/>
      <c r="BH40" s="173"/>
      <c r="BI40" s="173"/>
      <c r="BJ40" s="173"/>
      <c r="BK40" s="173"/>
      <c r="BL40" s="173"/>
      <c r="BM40" s="173"/>
      <c r="BN40" s="173"/>
      <c r="BO40" s="173"/>
      <c r="BP40" s="173"/>
    </row>
    <row r="41" spans="1:68" ht="15.75" customHeight="1">
      <c r="A41" s="179" t="s">
        <v>359</v>
      </c>
      <c r="B41" s="181" t="s">
        <v>355</v>
      </c>
      <c r="C41" s="181" t="s">
        <v>360</v>
      </c>
      <c r="D41" s="182">
        <v>18.762308999999998</v>
      </c>
      <c r="E41" s="182">
        <v>19.18102</v>
      </c>
      <c r="F41" s="182">
        <v>18.499193000000002</v>
      </c>
      <c r="G41" s="182">
        <v>18.642102999999999</v>
      </c>
      <c r="H41" s="182">
        <v>18.152035999999999</v>
      </c>
      <c r="I41" s="182">
        <v>17.591272</v>
      </c>
      <c r="J41" s="182">
        <v>18.083518999999999</v>
      </c>
      <c r="K41" s="182">
        <v>18.858872999999999</v>
      </c>
      <c r="L41" s="182">
        <v>19.784497000000002</v>
      </c>
      <c r="M41" s="182">
        <v>20.249701999999999</v>
      </c>
      <c r="N41" s="182">
        <v>20.962116000000002</v>
      </c>
      <c r="O41" s="182">
        <v>22.567208000000001</v>
      </c>
      <c r="P41" s="182">
        <v>23.703476999999999</v>
      </c>
      <c r="Q41" s="182">
        <v>23.888020000000001</v>
      </c>
      <c r="R41" s="182">
        <v>25.562729000000001</v>
      </c>
      <c r="S41" s="182">
        <v>26.739303</v>
      </c>
      <c r="T41" s="182">
        <v>26.276882000000001</v>
      </c>
      <c r="U41" s="182">
        <v>26.966139999999999</v>
      </c>
      <c r="V41" s="182">
        <v>30.076015850000001</v>
      </c>
      <c r="W41" s="182">
        <v>32.802624000000002</v>
      </c>
      <c r="X41" s="182">
        <v>34.689689999999999</v>
      </c>
      <c r="Y41" s="182">
        <v>35.770995999999997</v>
      </c>
      <c r="Z41" s="182">
        <v>36.589798000000002</v>
      </c>
      <c r="AA41" s="182">
        <v>37.626342999999999</v>
      </c>
      <c r="AB41" s="182">
        <v>38.547901000000003</v>
      </c>
      <c r="AC41" s="182">
        <v>39.811314000000003</v>
      </c>
      <c r="AD41" s="182">
        <v>41.130336999999997</v>
      </c>
      <c r="AE41" s="182">
        <v>42.156601000000002</v>
      </c>
      <c r="AF41" s="182">
        <v>43.058346</v>
      </c>
      <c r="AG41" s="182">
        <v>43.448326000000002</v>
      </c>
      <c r="AH41" s="182">
        <v>44.071457000000002</v>
      </c>
      <c r="AI41" s="182">
        <v>44.759830000000001</v>
      </c>
      <c r="AJ41" s="182">
        <v>45.336655</v>
      </c>
      <c r="AK41" s="182">
        <v>45.891829999999999</v>
      </c>
      <c r="AL41" s="182">
        <v>46.419578999999999</v>
      </c>
      <c r="AM41" s="182">
        <v>46.902061000000003</v>
      </c>
      <c r="AN41" s="182">
        <v>47.401854999999998</v>
      </c>
      <c r="AO41" s="182">
        <v>47.863349999999997</v>
      </c>
      <c r="AP41" s="182">
        <v>48.406834000000003</v>
      </c>
      <c r="AQ41" s="182">
        <v>48.838318000000001</v>
      </c>
      <c r="AR41" s="182">
        <v>49.279327000000002</v>
      </c>
      <c r="AS41" s="182">
        <v>49.646110999999998</v>
      </c>
      <c r="AT41" s="182">
        <v>49.990952</v>
      </c>
      <c r="AU41" s="182">
        <v>50.378459999999997</v>
      </c>
      <c r="AV41" s="182">
        <v>50.946964000000001</v>
      </c>
      <c r="AW41" s="182">
        <v>51.272995000000002</v>
      </c>
      <c r="AX41" s="182">
        <v>51.685265000000001</v>
      </c>
      <c r="AY41" s="182">
        <v>52.090980999999999</v>
      </c>
      <c r="AZ41" s="182">
        <v>52.581477999999997</v>
      </c>
      <c r="BA41" s="182">
        <v>52.936751999999998</v>
      </c>
      <c r="BB41" s="182">
        <v>53.360782999999998</v>
      </c>
      <c r="BC41" s="173"/>
      <c r="BD41" s="173"/>
      <c r="BE41" s="173"/>
      <c r="BF41" s="173"/>
      <c r="BG41" s="173"/>
      <c r="BH41" s="173"/>
      <c r="BI41" s="173"/>
      <c r="BJ41" s="173"/>
      <c r="BK41" s="173"/>
      <c r="BL41" s="173"/>
      <c r="BM41" s="173"/>
      <c r="BN41" s="173"/>
      <c r="BO41" s="173"/>
      <c r="BP41" s="173"/>
    </row>
    <row r="42" spans="1:68" ht="15.75" customHeight="1">
      <c r="A42" s="185" t="s">
        <v>361</v>
      </c>
      <c r="B42" s="4" t="s">
        <v>331</v>
      </c>
      <c r="C42" s="186" t="s">
        <v>362</v>
      </c>
      <c r="D42" s="187">
        <f t="shared" ref="D42:BB42" si="3">SUM(D32,D30,D28,D26,D24)</f>
        <v>260.69661118070348</v>
      </c>
      <c r="E42" s="187">
        <f t="shared" si="3"/>
        <v>261.25080497664999</v>
      </c>
      <c r="F42" s="187">
        <f t="shared" si="3"/>
        <v>255.22326175679774</v>
      </c>
      <c r="G42" s="187">
        <f t="shared" si="3"/>
        <v>287.33693460893744</v>
      </c>
      <c r="H42" s="187">
        <f t="shared" si="3"/>
        <v>297.35012726494347</v>
      </c>
      <c r="I42" s="187">
        <f t="shared" si="3"/>
        <v>342.98920339325559</v>
      </c>
      <c r="J42" s="187">
        <f t="shared" si="3"/>
        <v>339.36202413353237</v>
      </c>
      <c r="K42" s="187">
        <f t="shared" si="3"/>
        <v>355.16679106249256</v>
      </c>
      <c r="L42" s="187">
        <f t="shared" si="3"/>
        <v>399.3847291316419</v>
      </c>
      <c r="M42" s="187">
        <f t="shared" si="3"/>
        <v>341.62443777502756</v>
      </c>
      <c r="N42" s="187">
        <f t="shared" si="3"/>
        <v>361.39979384661297</v>
      </c>
      <c r="O42" s="187">
        <f t="shared" si="3"/>
        <v>375.12529433179088</v>
      </c>
      <c r="P42" s="187">
        <f t="shared" si="3"/>
        <v>356.40959644556807</v>
      </c>
      <c r="Q42" s="187">
        <f t="shared" si="3"/>
        <v>386.73691675721835</v>
      </c>
      <c r="R42" s="187">
        <f t="shared" si="3"/>
        <v>421.59526969240966</v>
      </c>
      <c r="S42" s="187">
        <f t="shared" si="3"/>
        <v>387.18068689470118</v>
      </c>
      <c r="T42" s="187">
        <f t="shared" si="3"/>
        <v>376.78279678301942</v>
      </c>
      <c r="U42" s="187">
        <f t="shared" si="3"/>
        <v>392.95566607511489</v>
      </c>
      <c r="V42" s="187">
        <f t="shared" si="3"/>
        <v>407.09901625117692</v>
      </c>
      <c r="W42" s="187">
        <f t="shared" si="3"/>
        <v>424.3509974429694</v>
      </c>
      <c r="X42" s="187">
        <f t="shared" si="3"/>
        <v>443.68527767774361</v>
      </c>
      <c r="Y42" s="187">
        <f t="shared" si="3"/>
        <v>454.61814855116677</v>
      </c>
      <c r="Z42" s="187">
        <f t="shared" si="3"/>
        <v>466.60007473356973</v>
      </c>
      <c r="AA42" s="187">
        <f t="shared" si="3"/>
        <v>480.75510886887128</v>
      </c>
      <c r="AB42" s="187">
        <f t="shared" si="3"/>
        <v>497.20866374446621</v>
      </c>
      <c r="AC42" s="187">
        <f t="shared" si="3"/>
        <v>514.22250475000442</v>
      </c>
      <c r="AD42" s="187">
        <f t="shared" si="3"/>
        <v>529.44378999874607</v>
      </c>
      <c r="AE42" s="187">
        <f t="shared" si="3"/>
        <v>545.03486500680037</v>
      </c>
      <c r="AF42" s="187">
        <f t="shared" si="3"/>
        <v>561.45981626257583</v>
      </c>
      <c r="AG42" s="187">
        <f t="shared" si="3"/>
        <v>578.12452185638654</v>
      </c>
      <c r="AH42" s="187">
        <f t="shared" si="3"/>
        <v>595.64841293229495</v>
      </c>
      <c r="AI42" s="187">
        <f t="shared" si="3"/>
        <v>613.44523116628625</v>
      </c>
      <c r="AJ42" s="187">
        <f t="shared" si="3"/>
        <v>632.5672548168784</v>
      </c>
      <c r="AK42" s="187">
        <f t="shared" si="3"/>
        <v>651.65442235308603</v>
      </c>
      <c r="AL42" s="187">
        <f t="shared" si="3"/>
        <v>671.54591922371014</v>
      </c>
      <c r="AM42" s="187">
        <f t="shared" si="3"/>
        <v>691.98362214637518</v>
      </c>
      <c r="AN42" s="187">
        <f t="shared" si="3"/>
        <v>713.25042527434607</v>
      </c>
      <c r="AO42" s="187">
        <f t="shared" si="3"/>
        <v>735.13065635650378</v>
      </c>
      <c r="AP42" s="187">
        <f t="shared" si="3"/>
        <v>757.54924769209174</v>
      </c>
      <c r="AQ42" s="187">
        <f t="shared" si="3"/>
        <v>781.00865826762288</v>
      </c>
      <c r="AR42" s="187">
        <f t="shared" si="3"/>
        <v>805.10753904043452</v>
      </c>
      <c r="AS42" s="187">
        <f t="shared" si="3"/>
        <v>830.07965796374174</v>
      </c>
      <c r="AT42" s="187">
        <f t="shared" si="3"/>
        <v>855.7603494578251</v>
      </c>
      <c r="AU42" s="187">
        <f t="shared" si="3"/>
        <v>882.18017050839319</v>
      </c>
      <c r="AV42" s="187">
        <f t="shared" si="3"/>
        <v>910.00746923928546</v>
      </c>
      <c r="AW42" s="187">
        <f t="shared" si="3"/>
        <v>937.87211885805641</v>
      </c>
      <c r="AX42" s="187">
        <f t="shared" si="3"/>
        <v>966.96190262942036</v>
      </c>
      <c r="AY42" s="187">
        <f t="shared" si="3"/>
        <v>997.00471544887353</v>
      </c>
      <c r="AZ42" s="187">
        <f t="shared" si="3"/>
        <v>1029.3697324547923</v>
      </c>
      <c r="BA42" s="187">
        <f t="shared" si="3"/>
        <v>1061.1092109164247</v>
      </c>
      <c r="BB42" s="187">
        <f t="shared" si="3"/>
        <v>1093.6864798153115</v>
      </c>
      <c r="BC42" s="188"/>
      <c r="BD42" s="188"/>
      <c r="BE42" s="188"/>
      <c r="BF42" s="188"/>
      <c r="BG42" s="188"/>
      <c r="BH42" s="188"/>
      <c r="BI42" s="188"/>
      <c r="BJ42" s="188"/>
      <c r="BK42" s="188"/>
      <c r="BL42" s="188"/>
      <c r="BM42" s="188"/>
      <c r="BN42" s="188"/>
      <c r="BO42" s="188"/>
      <c r="BP42" s="188"/>
    </row>
    <row r="43" spans="1:68" ht="15.75" customHeight="1">
      <c r="A43" s="185" t="s">
        <v>363</v>
      </c>
      <c r="B43" s="4" t="s">
        <v>319</v>
      </c>
      <c r="C43" s="186" t="s">
        <v>362</v>
      </c>
      <c r="D43" s="187">
        <f t="shared" ref="D43:BB43" si="4">SUM(D33,D31,D29,D27,D25)</f>
        <v>138.92238779184765</v>
      </c>
      <c r="E43" s="187">
        <f t="shared" si="4"/>
        <v>107.00320514421001</v>
      </c>
      <c r="F43" s="187">
        <f t="shared" si="4"/>
        <v>93.705970435514587</v>
      </c>
      <c r="G43" s="187">
        <f t="shared" si="4"/>
        <v>101.34527598790199</v>
      </c>
      <c r="H43" s="187">
        <f t="shared" si="4"/>
        <v>111.22291445115893</v>
      </c>
      <c r="I43" s="187">
        <f t="shared" si="4"/>
        <v>135.95613491771351</v>
      </c>
      <c r="J43" s="187">
        <f t="shared" si="4"/>
        <v>176.72633303502647</v>
      </c>
      <c r="K43" s="187">
        <f t="shared" si="4"/>
        <v>195.52462160514145</v>
      </c>
      <c r="L43" s="187">
        <f t="shared" si="4"/>
        <v>222.17233560623558</v>
      </c>
      <c r="M43" s="187">
        <f t="shared" si="4"/>
        <v>183.91028665768368</v>
      </c>
      <c r="N43" s="187">
        <f t="shared" si="4"/>
        <v>202.83800766253285</v>
      </c>
      <c r="O43" s="187">
        <f t="shared" si="4"/>
        <v>235.11855296737548</v>
      </c>
      <c r="P43" s="187">
        <f t="shared" si="4"/>
        <v>263.7551387643768</v>
      </c>
      <c r="Q43" s="187">
        <f t="shared" si="4"/>
        <v>296.89617728272219</v>
      </c>
      <c r="R43" s="187">
        <f t="shared" si="4"/>
        <v>340.11875906674868</v>
      </c>
      <c r="S43" s="187">
        <f t="shared" si="4"/>
        <v>304.61295167654811</v>
      </c>
      <c r="T43" s="187">
        <f t="shared" si="4"/>
        <v>222.76006966245535</v>
      </c>
      <c r="U43" s="187">
        <f t="shared" si="4"/>
        <v>263.64294433182658</v>
      </c>
      <c r="V43" s="187">
        <f t="shared" si="4"/>
        <v>323.52690519983668</v>
      </c>
      <c r="W43" s="187">
        <f t="shared" si="4"/>
        <v>403.13819002976152</v>
      </c>
      <c r="X43" s="187">
        <f t="shared" si="4"/>
        <v>1775.8636738211385</v>
      </c>
      <c r="Y43" s="187">
        <f t="shared" si="4"/>
        <v>1799.3428709094903</v>
      </c>
      <c r="Z43" s="187">
        <f t="shared" si="4"/>
        <v>1842.7101524537388</v>
      </c>
      <c r="AA43" s="187">
        <f t="shared" si="4"/>
        <v>1888.7194533223199</v>
      </c>
      <c r="AB43" s="187">
        <f t="shared" si="4"/>
        <v>1938.8506140724351</v>
      </c>
      <c r="AC43" s="187">
        <f t="shared" si="4"/>
        <v>1980.1999638746695</v>
      </c>
      <c r="AD43" s="187">
        <f t="shared" si="4"/>
        <v>2028.7789530699856</v>
      </c>
      <c r="AE43" s="187">
        <f t="shared" si="4"/>
        <v>2083.710724483486</v>
      </c>
      <c r="AF43" s="187">
        <f t="shared" si="4"/>
        <v>2137.5191496339075</v>
      </c>
      <c r="AG43" s="187">
        <f t="shared" si="4"/>
        <v>2188.0784205724485</v>
      </c>
      <c r="AH43" s="187">
        <f t="shared" si="4"/>
        <v>2245.6451924697644</v>
      </c>
      <c r="AI43" s="187">
        <f t="shared" si="4"/>
        <v>2293.0966140556798</v>
      </c>
      <c r="AJ43" s="187">
        <f t="shared" si="4"/>
        <v>2333.1622711528707</v>
      </c>
      <c r="AK43" s="187">
        <f t="shared" si="4"/>
        <v>2378.2778825927521</v>
      </c>
      <c r="AL43" s="187">
        <f t="shared" si="4"/>
        <v>2416.7782775128831</v>
      </c>
      <c r="AM43" s="187">
        <f t="shared" si="4"/>
        <v>2463.5472978951343</v>
      </c>
      <c r="AN43" s="187">
        <f t="shared" si="4"/>
        <v>2514.1727218030887</v>
      </c>
      <c r="AO43" s="187">
        <f t="shared" si="4"/>
        <v>2570.078763460258</v>
      </c>
      <c r="AP43" s="187">
        <f t="shared" si="4"/>
        <v>2616.3283800145332</v>
      </c>
      <c r="AQ43" s="187">
        <f t="shared" si="4"/>
        <v>2663.9016909788334</v>
      </c>
      <c r="AR43" s="187">
        <f t="shared" si="4"/>
        <v>2718.8002136489686</v>
      </c>
      <c r="AS43" s="187">
        <f t="shared" si="4"/>
        <v>2778.9445246978307</v>
      </c>
      <c r="AT43" s="187">
        <f t="shared" si="4"/>
        <v>2857.6389898123562</v>
      </c>
      <c r="AU43" s="187">
        <f t="shared" si="4"/>
        <v>2904.4137665395401</v>
      </c>
      <c r="AV43" s="187">
        <f t="shared" si="4"/>
        <v>2963.3164150440748</v>
      </c>
      <c r="AW43" s="187">
        <f t="shared" si="4"/>
        <v>3027.6427250228958</v>
      </c>
      <c r="AX43" s="187">
        <f t="shared" si="4"/>
        <v>3080.872291404844</v>
      </c>
      <c r="AY43" s="187">
        <f t="shared" si="4"/>
        <v>3146.4089984335005</v>
      </c>
      <c r="AZ43" s="187">
        <f t="shared" si="4"/>
        <v>3177.4978647913845</v>
      </c>
      <c r="BA43" s="187">
        <f t="shared" si="4"/>
        <v>3125.7761909845904</v>
      </c>
      <c r="BB43" s="187">
        <f t="shared" si="4"/>
        <v>509.55710179555001</v>
      </c>
      <c r="BC43" s="188"/>
      <c r="BD43" s="188"/>
      <c r="BE43" s="188"/>
      <c r="BF43" s="188"/>
      <c r="BG43" s="188"/>
      <c r="BH43" s="188"/>
      <c r="BI43" s="188"/>
      <c r="BJ43" s="188"/>
      <c r="BK43" s="188"/>
      <c r="BL43" s="188"/>
      <c r="BM43" s="188"/>
      <c r="BN43" s="188"/>
      <c r="BO43" s="188"/>
      <c r="BP43" s="188"/>
    </row>
    <row r="44" spans="1:68" ht="15.75" customHeight="1">
      <c r="A44" s="185" t="s">
        <v>364</v>
      </c>
      <c r="B44" s="4" t="s">
        <v>331</v>
      </c>
      <c r="C44" s="4" t="s">
        <v>365</v>
      </c>
      <c r="D44" s="187">
        <f>D42*1000/'Inflation GDP Population'!B23</f>
        <v>924.45606801667896</v>
      </c>
      <c r="E44" s="187">
        <f>E42*1000/'Inflation GDP Population'!C23</f>
        <v>916.66949114614033</v>
      </c>
      <c r="F44" s="187">
        <f>F42*1000/'Inflation GDP Population'!D23</f>
        <v>886.19188109999209</v>
      </c>
      <c r="G44" s="187">
        <f>G42*1000/'Inflation GDP Population'!E23</f>
        <v>990.81701589288764</v>
      </c>
      <c r="H44" s="187">
        <f>H42*1000/'Inflation GDP Population'!F23</f>
        <v>1014.8468507335954</v>
      </c>
      <c r="I44" s="187">
        <f>I42*1000/'Inflation GDP Population'!G23</f>
        <v>1158.7473087609985</v>
      </c>
      <c r="J44" s="187">
        <f>J42*1000/'Inflation GDP Population'!H23</f>
        <v>1138.7987387031287</v>
      </c>
      <c r="K44" s="187">
        <f>K42*1000/'Inflation GDP Population'!I23</f>
        <v>1179.9561164866864</v>
      </c>
      <c r="L44" s="187">
        <f>L42*1000/'Inflation GDP Population'!J23</f>
        <v>1313.7655563540852</v>
      </c>
      <c r="M44" s="187">
        <f>M42*1000/'Inflation GDP Population'!K23</f>
        <v>1112.7831849349432</v>
      </c>
      <c r="N44" s="187">
        <f>N42*1000/'Inflation GDP Population'!L23</f>
        <v>1169.5786208628251</v>
      </c>
      <c r="O44" s="187">
        <f>O42*1000/'Inflation GDP Population'!M23</f>
        <v>1202.3246613198426</v>
      </c>
      <c r="P44" s="187">
        <f>P42*1000/'Inflation GDP Population'!N23</f>
        <v>1135.0624090623187</v>
      </c>
      <c r="Q44" s="187">
        <f>Q42*1000/'Inflation GDP Population'!O23</f>
        <v>1223.8510023962606</v>
      </c>
      <c r="R44" s="187">
        <f>R42*1000/'Inflation GDP Population'!P23</f>
        <v>1325.7712883409108</v>
      </c>
      <c r="S44" s="187">
        <f>S42*1000/'Inflation GDP Population'!Q23</f>
        <v>1206.1703641579475</v>
      </c>
      <c r="T44" s="187">
        <f>T42*1000/'Inflation GDP Population'!R23</f>
        <v>1166.5102067585742</v>
      </c>
      <c r="U44" s="187">
        <f>U42*1000/'Inflation GDP Population'!S23</f>
        <v>1209.0943571541998</v>
      </c>
      <c r="V44" s="187">
        <f>V42*1000/'Inflation GDP Population'!T23</f>
        <v>1244.9511200341803</v>
      </c>
      <c r="W44" s="187">
        <f>W42*1000/'Inflation GDP Population'!U23</f>
        <v>1286.8332755160952</v>
      </c>
      <c r="X44" s="187">
        <f>X42*1000/'Inflation GDP Population'!V23</f>
        <v>1334.2812658569376</v>
      </c>
      <c r="Y44" s="187">
        <f>Y42*1000/'Inflation GDP Population'!W23</f>
        <v>1356.7760159588947</v>
      </c>
      <c r="Z44" s="187">
        <f>Z42*1000/'Inflation GDP Population'!X23</f>
        <v>1382.038887204631</v>
      </c>
      <c r="AA44" s="187">
        <f>AA42*1000/'Inflation GDP Population'!Y23</f>
        <v>1413.3122157765665</v>
      </c>
      <c r="AB44" s="187">
        <f>AB42*1000/'Inflation GDP Population'!Z23</f>
        <v>1450.8280549640456</v>
      </c>
      <c r="AC44" s="187">
        <f>AC42*1000/'Inflation GDP Population'!AA23</f>
        <v>1489.4136768767687</v>
      </c>
      <c r="AD44" s="187">
        <f>AD42*1000/'Inflation GDP Population'!AB23</f>
        <v>1522.280601967188</v>
      </c>
      <c r="AE44" s="187">
        <f>AE42*1000/'Inflation GDP Population'!AC23</f>
        <v>1555.7255609730776</v>
      </c>
      <c r="AF44" s="187">
        <f>AF42*1000/'Inflation GDP Population'!AD23</f>
        <v>1591.0511655208898</v>
      </c>
      <c r="AG44" s="187">
        <f>AG42*1000/'Inflation GDP Population'!AE23</f>
        <v>1626.5454665273276</v>
      </c>
      <c r="AH44" s="187">
        <f>AH42*1000/'Inflation GDP Population'!AF23</f>
        <v>1663.9352382027955</v>
      </c>
      <c r="AI44" s="187">
        <f>AI42*1000/'Inflation GDP Population'!AG23</f>
        <v>1703.458896936414</v>
      </c>
      <c r="AJ44" s="187">
        <f>AJ42*1000/'Inflation GDP Population'!AH23</f>
        <v>1746.1733911984772</v>
      </c>
      <c r="AK44" s="187">
        <f>AK42*1000/'Inflation GDP Population'!AI23</f>
        <v>1788.2901374117598</v>
      </c>
      <c r="AL44" s="187">
        <f>AL42*1000/'Inflation GDP Population'!AJ23</f>
        <v>1832.1090761079408</v>
      </c>
      <c r="AM44" s="187">
        <f>AM42*1000/'Inflation GDP Population'!AK23</f>
        <v>1876.9004227335201</v>
      </c>
      <c r="AN44" s="187">
        <f>AN42*1000/'Inflation GDP Population'!AL23</f>
        <v>1923.4102046747028</v>
      </c>
      <c r="AO44" s="187">
        <f>AO42*1000/'Inflation GDP Population'!AM23</f>
        <v>1971.0305585036406</v>
      </c>
      <c r="AP44" s="187">
        <f>AP42*1000/'Inflation GDP Population'!AN23</f>
        <v>2019.5423394497388</v>
      </c>
      <c r="AQ44" s="187">
        <f>AQ42*1000/'Inflation GDP Population'!AO23</f>
        <v>2070.2622607004396</v>
      </c>
      <c r="AR44" s="187">
        <f>AR42*1000/'Inflation GDP Population'!AP23</f>
        <v>2122.0950546912809</v>
      </c>
      <c r="AS44" s="187">
        <f>AS42*1000/'Inflation GDP Population'!AQ23</f>
        <v>2174.2395214941812</v>
      </c>
      <c r="AT44" s="187">
        <f>AT42*1000/'Inflation GDP Population'!AR23</f>
        <v>2227.5805654166779</v>
      </c>
      <c r="AU44" s="187">
        <f>AU42*1000/'Inflation GDP Population'!AS23</f>
        <v>2282.1750739369577</v>
      </c>
      <c r="AV44" s="187">
        <f>AV42*1000/'Inflation GDP Population'!AT23</f>
        <v>2339.7183617912078</v>
      </c>
      <c r="AW44" s="187">
        <f>AW42*1000/'Inflation GDP Population'!AU23</f>
        <v>2396.6552323202159</v>
      </c>
      <c r="AX44" s="187">
        <f>AX42*1000/'Inflation GDP Population'!AV23</f>
        <v>2456.0135970756783</v>
      </c>
      <c r="AY44" s="187">
        <f>AY42*1000/'Inflation GDP Population'!AW23</f>
        <v>2517.0627236369332</v>
      </c>
      <c r="AZ44" s="187">
        <f>AZ42*1000/'Inflation GDP Population'!AX23</f>
        <v>2583.2081855127017</v>
      </c>
      <c r="BA44" s="187">
        <f>BA42*1000/'Inflation GDP Population'!AY23</f>
        <v>2647.0056268084732</v>
      </c>
      <c r="BB44" s="187">
        <f>BB42*1000/'Inflation GDP Population'!AZ23</f>
        <v>2712.1255006830102</v>
      </c>
      <c r="BC44" s="188"/>
      <c r="BD44" s="188"/>
      <c r="BE44" s="188"/>
      <c r="BF44" s="188"/>
      <c r="BG44" s="188"/>
      <c r="BH44" s="188"/>
      <c r="BI44" s="188"/>
      <c r="BJ44" s="188"/>
      <c r="BK44" s="188"/>
      <c r="BL44" s="188"/>
      <c r="BM44" s="188"/>
      <c r="BN44" s="188"/>
      <c r="BO44" s="188"/>
      <c r="BP44" s="188"/>
    </row>
    <row r="45" spans="1:68" ht="15.75" customHeight="1">
      <c r="A45" s="185" t="s">
        <v>366</v>
      </c>
      <c r="B45" s="4" t="s">
        <v>319</v>
      </c>
      <c r="C45" s="4" t="s">
        <v>365</v>
      </c>
      <c r="D45" s="187">
        <f>D43*1000/'Inflation GDP Population'!B23</f>
        <v>492.63258082215486</v>
      </c>
      <c r="E45" s="187">
        <f>E43*1000/'Inflation GDP Population'!C23</f>
        <v>375.44984261126325</v>
      </c>
      <c r="F45" s="187">
        <f>F43*1000/'Inflation GDP Population'!D23</f>
        <v>325.36795290109228</v>
      </c>
      <c r="G45" s="187">
        <f>G43*1000/'Inflation GDP Population'!E23</f>
        <v>349.46646892379994</v>
      </c>
      <c r="H45" s="187">
        <f>H43*1000/'Inflation GDP Population'!F23</f>
        <v>379.60039061828985</v>
      </c>
      <c r="I45" s="187">
        <f>I43*1000/'Inflation GDP Population'!G23</f>
        <v>459.31126661389703</v>
      </c>
      <c r="J45" s="187">
        <f>J43*1000/'Inflation GDP Population'!H23</f>
        <v>593.04138602357875</v>
      </c>
      <c r="K45" s="187">
        <f>K43*1000/'Inflation GDP Population'!I23</f>
        <v>649.58346048219744</v>
      </c>
      <c r="L45" s="187">
        <f>L43*1000/'Inflation GDP Population'!J23</f>
        <v>730.83005133630127</v>
      </c>
      <c r="M45" s="187">
        <f>M43*1000/'Inflation GDP Population'!K23</f>
        <v>599.05630833121722</v>
      </c>
      <c r="N45" s="187">
        <f>N43*1000/'Inflation GDP Population'!L23</f>
        <v>656.43368175576973</v>
      </c>
      <c r="O45" s="187">
        <f>O43*1000/'Inflation GDP Population'!M23</f>
        <v>753.58510566466498</v>
      </c>
      <c r="P45" s="187">
        <f>P43*1000/'Inflation GDP Population'!N23</f>
        <v>839.98451835788796</v>
      </c>
      <c r="Q45" s="187">
        <f>Q43*1000/'Inflation GDP Population'!O23</f>
        <v>939.54486481874119</v>
      </c>
      <c r="R45" s="187">
        <f>R43*1000/'Inflation GDP Population'!P23</f>
        <v>1069.5558461218511</v>
      </c>
      <c r="S45" s="187">
        <f>S43*1000/'Inflation GDP Population'!Q23</f>
        <v>948.95000522289126</v>
      </c>
      <c r="T45" s="187">
        <f>T43*1000/'Inflation GDP Population'!R23</f>
        <v>689.65965839769456</v>
      </c>
      <c r="U45" s="187">
        <f>U43*1000/'Inflation GDP Population'!S23</f>
        <v>811.20905948254335</v>
      </c>
      <c r="V45" s="187">
        <f>V43*1000/'Inflation GDP Population'!T23</f>
        <v>989.37891498420993</v>
      </c>
      <c r="W45" s="187">
        <f>W43*1000/'Inflation GDP Population'!U23</f>
        <v>1222.5059931227058</v>
      </c>
      <c r="X45" s="187">
        <f>X43*1000/'Inflation GDP Population'!V23</f>
        <v>5340.5009133894027</v>
      </c>
      <c r="Y45" s="187">
        <f>Y43*1000/'Inflation GDP Population'!W23</f>
        <v>5370.0127447988407</v>
      </c>
      <c r="Z45" s="187">
        <f>Z43*1000/'Inflation GDP Population'!X23</f>
        <v>5457.9868852185973</v>
      </c>
      <c r="AA45" s="187">
        <f>AA43*1000/'Inflation GDP Population'!Y23</f>
        <v>5552.4116672119517</v>
      </c>
      <c r="AB45" s="187">
        <f>AB43*1000/'Inflation GDP Population'!Z23</f>
        <v>5657.4614852773939</v>
      </c>
      <c r="AC45" s="187">
        <f>AC43*1000/'Inflation GDP Population'!AA23</f>
        <v>5735.5267066338765</v>
      </c>
      <c r="AD45" s="187">
        <f>AD43*1000/'Inflation GDP Population'!AB23</f>
        <v>5833.2365102347394</v>
      </c>
      <c r="AE45" s="187">
        <f>AE43*1000/'Inflation GDP Population'!AC23</f>
        <v>5947.6599459600493</v>
      </c>
      <c r="AF45" s="187">
        <f>AF43*1000/'Inflation GDP Population'!AD23</f>
        <v>6057.2497547318026</v>
      </c>
      <c r="AG45" s="187">
        <f>AG43*1000/'Inflation GDP Population'!AE23</f>
        <v>6156.1288283711547</v>
      </c>
      <c r="AH45" s="187">
        <f>AH43*1000/'Inflation GDP Population'!AF23</f>
        <v>6273.1774099024851</v>
      </c>
      <c r="AI45" s="187">
        <f>AI43*1000/'Inflation GDP Population'!AG23</f>
        <v>6367.6358218995811</v>
      </c>
      <c r="AJ45" s="187">
        <f>AJ43*1000/'Inflation GDP Population'!AH23</f>
        <v>6440.5892720684078</v>
      </c>
      <c r="AK45" s="187">
        <f>AK43*1000/'Inflation GDP Population'!AI23</f>
        <v>6526.5434186844359</v>
      </c>
      <c r="AL45" s="187">
        <f>AL43*1000/'Inflation GDP Population'!AJ23</f>
        <v>6593.4454970559473</v>
      </c>
      <c r="AM45" s="187">
        <f>AM43*1000/'Inflation GDP Population'!AK23</f>
        <v>6681.9976902073577</v>
      </c>
      <c r="AN45" s="187">
        <f>AN43*1000/'Inflation GDP Population'!AL23</f>
        <v>6779.926513988109</v>
      </c>
      <c r="AO45" s="187">
        <f>AO43*1000/'Inflation GDP Population'!AM23</f>
        <v>6890.8890368527782</v>
      </c>
      <c r="AP45" s="187">
        <f>AP43*1000/'Inflation GDP Population'!AN23</f>
        <v>6974.8415082459524</v>
      </c>
      <c r="AQ45" s="187">
        <f>AQ43*1000/'Inflation GDP Population'!AO23</f>
        <v>7061.3495492898683</v>
      </c>
      <c r="AR45" s="187">
        <f>AR43*1000/'Inflation GDP Population'!AP23</f>
        <v>7166.1886248817154</v>
      </c>
      <c r="AS45" s="187">
        <f>AS43*1000/'Inflation GDP Population'!AQ23</f>
        <v>7278.9291433302515</v>
      </c>
      <c r="AT45" s="187">
        <f>AT43*1000/'Inflation GDP Population'!AR23</f>
        <v>7438.5557600512229</v>
      </c>
      <c r="AU45" s="187">
        <f>AU43*1000/'Inflation GDP Population'!AS23</f>
        <v>7513.6360167515568</v>
      </c>
      <c r="AV45" s="187">
        <f>AV43*1000/'Inflation GDP Population'!AT23</f>
        <v>7618.976835291016</v>
      </c>
      <c r="AW45" s="187">
        <f>AW43*1000/'Inflation GDP Population'!AU23</f>
        <v>7736.8925172415347</v>
      </c>
      <c r="AX45" s="187">
        <f>AX43*1000/'Inflation GDP Population'!AV23</f>
        <v>7825.1937516548214</v>
      </c>
      <c r="AY45" s="187">
        <f>AY43*1000/'Inflation GDP Population'!AW23</f>
        <v>7943.5018516508753</v>
      </c>
      <c r="AZ45" s="187">
        <f>AZ43*1000/'Inflation GDP Population'!AX23</f>
        <v>7973.9458379098196</v>
      </c>
      <c r="BA45" s="187">
        <f>BA43*1000/'Inflation GDP Population'!AY23</f>
        <v>7797.4510828479106</v>
      </c>
      <c r="BB45" s="187">
        <f>BB43*1000/'Inflation GDP Population'!AZ23</f>
        <v>1263.6005247748992</v>
      </c>
      <c r="BC45" s="188"/>
      <c r="BD45" s="188"/>
      <c r="BE45" s="188"/>
      <c r="BF45" s="188"/>
      <c r="BG45" s="188"/>
      <c r="BH45" s="188"/>
      <c r="BI45" s="188"/>
      <c r="BJ45" s="188"/>
      <c r="BK45" s="188"/>
      <c r="BL45" s="188"/>
      <c r="BM45" s="188"/>
      <c r="BN45" s="188"/>
      <c r="BO45" s="188"/>
      <c r="BP45" s="188"/>
    </row>
    <row r="46" spans="1:68" ht="15.75" customHeight="1">
      <c r="A46" s="185" t="s">
        <v>367</v>
      </c>
      <c r="B46" s="4" t="s">
        <v>331</v>
      </c>
      <c r="C46" s="189" t="s">
        <v>368</v>
      </c>
      <c r="D46" s="190">
        <f>D42*1000/'Inflation GDP Population'!B17*100</f>
        <v>2.5427993334668</v>
      </c>
      <c r="E46" s="190">
        <f>E42*1000/'Inflation GDP Population'!C17*100</f>
        <v>2.4688641046565518</v>
      </c>
      <c r="F46" s="190">
        <f>F42*1000/'Inflation GDP Population'!D17*100</f>
        <v>2.3337006847836075</v>
      </c>
      <c r="G46" s="190">
        <f>G42*1000/'Inflation GDP Population'!E17*100</f>
        <v>2.5076869060843818</v>
      </c>
      <c r="H46" s="190">
        <f>H42*1000/'Inflation GDP Population'!F17*100</f>
        <v>2.4345562515705148</v>
      </c>
      <c r="I46" s="190">
        <f>I42*1000/'Inflation GDP Population'!G17*100</f>
        <v>2.6309638244376643</v>
      </c>
      <c r="J46" s="190">
        <f>J42*1000/'Inflation GDP Population'!H17*100</f>
        <v>2.4565445473956764</v>
      </c>
      <c r="K46" s="190">
        <f>K42*1000/'Inflation GDP Population'!I17*100</f>
        <v>2.4575853285493534</v>
      </c>
      <c r="L46" s="190">
        <f>L42*1000/'Inflation GDP Population'!J17*100</f>
        <v>2.714530936278075</v>
      </c>
      <c r="M46" s="190">
        <f>M42*1000/'Inflation GDP Population'!K17*100</f>
        <v>2.3643577101409816</v>
      </c>
      <c r="N46" s="190">
        <f>N42*1000/'Inflation GDP Population'!L17*100</f>
        <v>2.4106092604709013</v>
      </c>
      <c r="O46" s="190">
        <f>O42*1000/'Inflation GDP Population'!M17*100</f>
        <v>2.4135326700016178</v>
      </c>
      <c r="P46" s="190">
        <f>P42*1000/'Inflation GDP Population'!N17*100</f>
        <v>2.2004657801627676</v>
      </c>
      <c r="Q46" s="190">
        <f>Q42*1000/'Inflation GDP Population'!O17*100</f>
        <v>2.3040831089725988</v>
      </c>
      <c r="R46" s="190">
        <f>R42*1000/'Inflation GDP Population'!P17*100</f>
        <v>2.4053692237109172</v>
      </c>
      <c r="S46" s="190">
        <f>S42*1000/'Inflation GDP Population'!Q17*100</f>
        <v>2.1244738586402754</v>
      </c>
      <c r="T46" s="190">
        <f>T42*1000/'Inflation GDP Population'!R17*100</f>
        <v>2.0132620436986479</v>
      </c>
      <c r="U46" s="190">
        <f>U42*1000/'Inflation GDP Population'!S17*100</f>
        <v>2.0131519560982687</v>
      </c>
      <c r="V46" s="190">
        <f>V42*1000/'Inflation GDP Population'!T17*100</f>
        <v>1.9781078963584455</v>
      </c>
      <c r="W46" s="190">
        <f>W42*1000/'Inflation GDP Population'!U17*100</f>
        <v>1.983312952755693</v>
      </c>
      <c r="X46" s="190">
        <f>X42*1000/'Inflation GDP Population'!V17*100</f>
        <v>1.9946060698069337</v>
      </c>
      <c r="Y46" s="190">
        <f>Y42*1000/'Inflation GDP Population'!W17*100</f>
        <v>1.9658255902616304</v>
      </c>
      <c r="Z46" s="190">
        <f>Z42*1000/'Inflation GDP Population'!X17*100</f>
        <v>1.9407031754936528</v>
      </c>
      <c r="AA46" s="190">
        <f>AA42*1000/'Inflation GDP Population'!Y17*100</f>
        <v>1.923332267350442</v>
      </c>
      <c r="AB46" s="190">
        <f>AB42*1000/'Inflation GDP Population'!Z17*100</f>
        <v>1.9133093523515217</v>
      </c>
      <c r="AC46" s="190">
        <f>AC42*1000/'Inflation GDP Population'!AA17*100</f>
        <v>1.9033282055854122</v>
      </c>
      <c r="AD46" s="190">
        <f>AD42*1000/'Inflation GDP Population'!AB17*100</f>
        <v>1.884944467478765</v>
      </c>
      <c r="AE46" s="190">
        <f>AE42*1000/'Inflation GDP Population'!AC17*100</f>
        <v>1.8664617005801638</v>
      </c>
      <c r="AF46" s="190">
        <f>AF42*1000/'Inflation GDP Population'!AD17*100</f>
        <v>1.8493945558142773</v>
      </c>
      <c r="AG46" s="190">
        <f>AG42*1000/'Inflation GDP Population'!AE17*100</f>
        <v>1.831674855828755</v>
      </c>
      <c r="AH46" s="190">
        <f>AH42*1000/'Inflation GDP Population'!AF17*100</f>
        <v>1.8152359290913394</v>
      </c>
      <c r="AI46" s="190">
        <f>AI42*1000/'Inflation GDP Population'!AG17*100</f>
        <v>1.7981875310885644</v>
      </c>
      <c r="AJ46" s="190">
        <f>AJ42*1000/'Inflation GDP Population'!AH17*100</f>
        <v>1.7835364568411034</v>
      </c>
      <c r="AK46" s="190">
        <f>AK42*1000/'Inflation GDP Population'!AI17*100</f>
        <v>1.767293696636808</v>
      </c>
      <c r="AL46" s="190">
        <f>AL42*1000/'Inflation GDP Population'!AJ17*100</f>
        <v>1.7517946398877038</v>
      </c>
      <c r="AM46" s="190">
        <f>AM42*1000/'Inflation GDP Population'!AK17*100</f>
        <v>1.7362785167580448</v>
      </c>
      <c r="AN46" s="190">
        <f>AN42*1000/'Inflation GDP Population'!AL17*100</f>
        <v>1.7213996584171019</v>
      </c>
      <c r="AO46" s="190">
        <f>AO42*1000/'Inflation GDP Population'!AM17*100</f>
        <v>1.706555058286733</v>
      </c>
      <c r="AP46" s="190">
        <f>AP42*1000/'Inflation GDP Population'!AN17*100</f>
        <v>1.6915418179795645</v>
      </c>
      <c r="AQ46" s="190">
        <f>AQ42*1000/'Inflation GDP Population'!AO17*100</f>
        <v>1.6774277109749749</v>
      </c>
      <c r="AR46" s="190">
        <f>AR42*1000/'Inflation GDP Population'!AP17*100</f>
        <v>1.6632516208906132</v>
      </c>
      <c r="AS46" s="190">
        <f>AS42*1000/'Inflation GDP Population'!AQ17*100</f>
        <v>1.6494529434731724</v>
      </c>
      <c r="AT46" s="190">
        <f>AT42*1000/'Inflation GDP Population'!AR17*100</f>
        <v>1.6356426125600645</v>
      </c>
      <c r="AU46" s="190">
        <f>AU42*1000/'Inflation GDP Population'!AS17*100</f>
        <v>1.6218461159473816</v>
      </c>
      <c r="AV46" s="190">
        <f>AV42*1000/'Inflation GDP Population'!AT17*100</f>
        <v>1.609212538116441</v>
      </c>
      <c r="AW46" s="190">
        <f>AW42*1000/'Inflation GDP Population'!AU17*100</f>
        <v>1.5952478692970808</v>
      </c>
      <c r="AX46" s="190">
        <f>AX42*1000/'Inflation GDP Population'!AV17*100</f>
        <v>1.5820128572349033</v>
      </c>
      <c r="AY46" s="190">
        <f>AY42*1000/'Inflation GDP Population'!AW17*100</f>
        <v>1.5689675255664657</v>
      </c>
      <c r="AZ46" s="190">
        <f>AZ42*1000/'Inflation GDP Population'!AX17*100</f>
        <v>1.5581319522068697</v>
      </c>
      <c r="BA46" s="190">
        <f>BA42*1000/'Inflation GDP Population'!AY17*100</f>
        <v>1.544930763324982</v>
      </c>
      <c r="BB46" s="190">
        <f>BB42*1000/'Inflation GDP Population'!AZ17*100</f>
        <v>1.5316441527432441</v>
      </c>
      <c r="BC46" s="188"/>
      <c r="BD46" s="188"/>
      <c r="BE46" s="188"/>
      <c r="BF46" s="188"/>
      <c r="BG46" s="188"/>
      <c r="BH46" s="188"/>
      <c r="BI46" s="188"/>
      <c r="BJ46" s="188"/>
      <c r="BK46" s="188"/>
      <c r="BL46" s="188"/>
      <c r="BM46" s="188"/>
      <c r="BN46" s="188"/>
      <c r="BO46" s="188"/>
      <c r="BP46" s="188"/>
    </row>
    <row r="47" spans="1:68" ht="15.75" customHeight="1">
      <c r="A47" s="185" t="s">
        <v>369</v>
      </c>
      <c r="B47" s="4" t="s">
        <v>319</v>
      </c>
      <c r="C47" s="189" t="s">
        <v>368</v>
      </c>
      <c r="D47" s="190">
        <f>D43*1000/'Inflation GDP Population'!B17*100</f>
        <v>1.3550300998576001</v>
      </c>
      <c r="E47" s="190">
        <f>E43*1000/'Inflation GDP Population'!C17*100</f>
        <v>1.0111983091778525</v>
      </c>
      <c r="F47" s="190">
        <f>F43*1000/'Inflation GDP Population'!D17*100</f>
        <v>0.85682506315609541</v>
      </c>
      <c r="G47" s="190">
        <f>G43*1000/'Inflation GDP Population'!E17*100</f>
        <v>0.8844746044717664</v>
      </c>
      <c r="H47" s="190">
        <f>H43*1000/'Inflation GDP Population'!F17*100</f>
        <v>0.91063839180298667</v>
      </c>
      <c r="I47" s="190">
        <f>I43*1000/'Inflation GDP Population'!G17*100</f>
        <v>1.04287735339807</v>
      </c>
      <c r="J47" s="190">
        <f>J43*1000/'Inflation GDP Population'!H17*100</f>
        <v>1.2792713354031697</v>
      </c>
      <c r="K47" s="190">
        <f>K43*1000/'Inflation GDP Population'!I17*100</f>
        <v>1.3529374184716807</v>
      </c>
      <c r="L47" s="190">
        <f>L43*1000/'Inflation GDP Population'!J17*100</f>
        <v>1.5100569305680551</v>
      </c>
      <c r="M47" s="190">
        <f>M43*1000/'Inflation GDP Population'!K17*100</f>
        <v>1.2728296226854947</v>
      </c>
      <c r="N47" s="190">
        <f>N43*1000/'Inflation GDP Population'!L17*100</f>
        <v>1.3529702782683308</v>
      </c>
      <c r="O47" s="190">
        <f>O43*1000/'Inflation GDP Population'!M17*100</f>
        <v>1.5127380570832791</v>
      </c>
      <c r="P47" s="190">
        <f>P43*1000/'Inflation GDP Population'!N17*100</f>
        <v>1.6284189959563318</v>
      </c>
      <c r="Q47" s="190">
        <f>Q43*1000/'Inflation GDP Population'!O17*100</f>
        <v>1.7688341545761841</v>
      </c>
      <c r="R47" s="190">
        <f>R43*1000/'Inflation GDP Population'!P17*100</f>
        <v>1.9405132227000292</v>
      </c>
      <c r="S47" s="190">
        <f>S43*1000/'Inflation GDP Population'!Q17*100</f>
        <v>1.6714218315751854</v>
      </c>
      <c r="T47" s="190">
        <f>T43*1000/'Inflation GDP Population'!R17*100</f>
        <v>1.190273008566668</v>
      </c>
      <c r="U47" s="190">
        <f>U43*1000/'Inflation GDP Population'!S17*100</f>
        <v>1.3506696935925291</v>
      </c>
      <c r="V47" s="190">
        <f>V43*1000/'Inflation GDP Population'!T17*100</f>
        <v>1.5720281806462284</v>
      </c>
      <c r="W47" s="190">
        <f>W43*1000/'Inflation GDP Population'!U17*100</f>
        <v>1.8841694702130807</v>
      </c>
      <c r="X47" s="190">
        <f>X43*1000/'Inflation GDP Population'!V17*100</f>
        <v>7.9834708095182911</v>
      </c>
      <c r="Y47" s="190">
        <f>Y43*1000/'Inflation GDP Population'!W17*100</f>
        <v>7.7805830509878948</v>
      </c>
      <c r="Z47" s="190">
        <f>Z43*1000/'Inflation GDP Population'!X17*100</f>
        <v>7.6642796219511107</v>
      </c>
      <c r="AA47" s="190">
        <f>AA43*1000/'Inflation GDP Population'!Y17*100</f>
        <v>7.5561028921652644</v>
      </c>
      <c r="AB47" s="190">
        <f>AB43*1000/'Inflation GDP Population'!Z17*100</f>
        <v>7.4608937518912413</v>
      </c>
      <c r="AC47" s="190">
        <f>AC43*1000/'Inflation GDP Population'!AA17*100</f>
        <v>7.329454485416198</v>
      </c>
      <c r="AD47" s="190">
        <f>AD43*1000/'Inflation GDP Population'!AB17*100</f>
        <v>7.2229304329656738</v>
      </c>
      <c r="AE47" s="190">
        <f>AE43*1000/'Inflation GDP Population'!AC17*100</f>
        <v>7.1356284011079687</v>
      </c>
      <c r="AF47" s="190">
        <f>AF43*1000/'Inflation GDP Population'!AD17*100</f>
        <v>7.0407821963040949</v>
      </c>
      <c r="AG47" s="190">
        <f>AG43*1000/'Inflation GDP Population'!AE17*100</f>
        <v>6.93249996155612</v>
      </c>
      <c r="AH47" s="190">
        <f>AH43*1000/'Inflation GDP Population'!AF17*100</f>
        <v>6.8435938866938582</v>
      </c>
      <c r="AI47" s="190">
        <f>AI43*1000/'Inflation GDP Population'!AG17*100</f>
        <v>6.7217373768426878</v>
      </c>
      <c r="AJ47" s="190">
        <f>AJ43*1000/'Inflation GDP Population'!AH17*100</f>
        <v>6.5783992747648306</v>
      </c>
      <c r="AK47" s="190">
        <f>AK43*1000/'Inflation GDP Population'!AI17*100</f>
        <v>6.4499148115648479</v>
      </c>
      <c r="AL47" s="190">
        <f>AL43*1000/'Inflation GDP Population'!AJ17*100</f>
        <v>6.3044076527754846</v>
      </c>
      <c r="AM47" s="190">
        <f>AM43*1000/'Inflation GDP Population'!AK17*100</f>
        <v>6.1813663090538506</v>
      </c>
      <c r="AN47" s="190">
        <f>AN43*1000/'Inflation GDP Population'!AL17*100</f>
        <v>6.0678492590435429</v>
      </c>
      <c r="AO47" s="190">
        <f>AO43*1000/'Inflation GDP Population'!AM17*100</f>
        <v>5.9662603865773507</v>
      </c>
      <c r="AP47" s="190">
        <f>AP43*1000/'Inflation GDP Population'!AN17*100</f>
        <v>5.842034531542593</v>
      </c>
      <c r="AQ47" s="190">
        <f>AQ43*1000/'Inflation GDP Population'!AO17*100</f>
        <v>5.7214506759409032</v>
      </c>
      <c r="AR47" s="190">
        <f>AR43*1000/'Inflation GDP Population'!AP17*100</f>
        <v>5.616701673939092</v>
      </c>
      <c r="AS47" s="190">
        <f>AS43*1000/'Inflation GDP Population'!AQ17*100</f>
        <v>5.522046206090395</v>
      </c>
      <c r="AT47" s="190">
        <f>AT43*1000/'Inflation GDP Population'!AR17*100</f>
        <v>5.4618984228604299</v>
      </c>
      <c r="AU47" s="190">
        <f>AU43*1000/'Inflation GDP Population'!AS17*100</f>
        <v>5.3396260127357298</v>
      </c>
      <c r="AV47" s="190">
        <f>AV43*1000/'Inflation GDP Population'!AT17*100</f>
        <v>5.2401832849586087</v>
      </c>
      <c r="AW47" s="190">
        <f>AW43*1000/'Inflation GDP Population'!AU17*100</f>
        <v>5.149785891882944</v>
      </c>
      <c r="AX47" s="190">
        <f>AX43*1000/'Inflation GDP Population'!AV17*100</f>
        <v>5.0405083832647444</v>
      </c>
      <c r="AY47" s="190">
        <f>AY43*1000/'Inflation GDP Population'!AW17*100</f>
        <v>4.9514445259867186</v>
      </c>
      <c r="AZ47" s="190">
        <f>AZ43*1000/'Inflation GDP Population'!AX17*100</f>
        <v>4.8097013105230344</v>
      </c>
      <c r="BA47" s="190">
        <f>BA43*1000/'Inflation GDP Population'!AY17*100</f>
        <v>4.5509997906343962</v>
      </c>
      <c r="BB47" s="190">
        <f>BB43*1000/'Inflation GDP Population'!AZ17*100</f>
        <v>0.71360501373825413</v>
      </c>
      <c r="BC47" s="188"/>
      <c r="BD47" s="188"/>
      <c r="BE47" s="188"/>
      <c r="BF47" s="188"/>
      <c r="BG47" s="188"/>
      <c r="BH47" s="188"/>
      <c r="BI47" s="188"/>
      <c r="BJ47" s="188"/>
      <c r="BK47" s="188"/>
      <c r="BL47" s="188"/>
      <c r="BM47" s="188"/>
      <c r="BN47" s="188"/>
      <c r="BO47" s="188"/>
      <c r="BP47" s="188"/>
    </row>
    <row r="48" spans="1:68" ht="15.75" customHeight="1">
      <c r="A48" s="194" t="s">
        <v>372</v>
      </c>
      <c r="B48" s="195" t="s">
        <v>374</v>
      </c>
      <c r="C48" s="195" t="s">
        <v>182</v>
      </c>
      <c r="D48" s="196">
        <v>125</v>
      </c>
      <c r="E48" s="196">
        <v>125</v>
      </c>
      <c r="F48" s="196">
        <v>125</v>
      </c>
      <c r="G48" s="196">
        <v>125</v>
      </c>
      <c r="H48" s="196">
        <v>125</v>
      </c>
      <c r="I48" s="196">
        <v>125</v>
      </c>
      <c r="J48" s="196">
        <v>125</v>
      </c>
      <c r="K48" s="196">
        <v>125</v>
      </c>
      <c r="L48" s="196">
        <v>125</v>
      </c>
      <c r="M48" s="196">
        <v>125</v>
      </c>
      <c r="N48" s="196">
        <v>125</v>
      </c>
      <c r="O48" s="196">
        <v>125</v>
      </c>
      <c r="P48" s="196">
        <v>125</v>
      </c>
      <c r="Q48" s="196">
        <v>125</v>
      </c>
      <c r="R48" s="196">
        <v>125</v>
      </c>
      <c r="S48" s="196">
        <v>125</v>
      </c>
      <c r="T48" s="196">
        <v>125</v>
      </c>
      <c r="U48" s="196">
        <v>125</v>
      </c>
      <c r="V48" s="196">
        <v>125</v>
      </c>
      <c r="W48" s="196">
        <v>125</v>
      </c>
      <c r="X48" s="196">
        <v>125</v>
      </c>
      <c r="Y48" s="196">
        <v>125</v>
      </c>
      <c r="Z48" s="196">
        <v>125</v>
      </c>
      <c r="AA48" s="196">
        <v>125</v>
      </c>
      <c r="AB48" s="196">
        <v>125</v>
      </c>
      <c r="AC48" s="196">
        <v>125</v>
      </c>
      <c r="AD48" s="196">
        <v>125</v>
      </c>
      <c r="AE48" s="196">
        <v>125</v>
      </c>
      <c r="AF48" s="196">
        <v>125</v>
      </c>
      <c r="AG48" s="196">
        <v>125</v>
      </c>
      <c r="AH48" s="196">
        <v>125</v>
      </c>
      <c r="AI48" s="196">
        <v>125</v>
      </c>
      <c r="AJ48" s="196">
        <v>125</v>
      </c>
      <c r="AK48" s="196">
        <v>125</v>
      </c>
      <c r="AL48" s="196">
        <v>125</v>
      </c>
      <c r="AM48" s="196">
        <v>125</v>
      </c>
      <c r="AN48" s="196">
        <v>125</v>
      </c>
      <c r="AO48" s="196">
        <v>125</v>
      </c>
      <c r="AP48" s="196">
        <v>125</v>
      </c>
      <c r="AQ48" s="196">
        <v>125</v>
      </c>
      <c r="AR48" s="196">
        <v>125</v>
      </c>
      <c r="AS48" s="196">
        <v>125</v>
      </c>
      <c r="AT48" s="196">
        <v>125</v>
      </c>
      <c r="AU48" s="196">
        <v>125</v>
      </c>
      <c r="AV48" s="196">
        <v>125</v>
      </c>
      <c r="AW48" s="196">
        <v>125</v>
      </c>
      <c r="AX48" s="196">
        <v>125</v>
      </c>
      <c r="AY48" s="196">
        <v>125</v>
      </c>
      <c r="AZ48" s="196">
        <v>125</v>
      </c>
      <c r="BA48" s="196">
        <v>125</v>
      </c>
      <c r="BB48" s="196">
        <v>125</v>
      </c>
    </row>
    <row r="49" spans="1:54" ht="15.75" customHeight="1">
      <c r="A49" s="194" t="s">
        <v>375</v>
      </c>
      <c r="B49" s="195" t="s">
        <v>374</v>
      </c>
      <c r="C49" s="195" t="s">
        <v>376</v>
      </c>
      <c r="D49" s="196">
        <v>209.7</v>
      </c>
      <c r="E49" s="196">
        <v>209.7</v>
      </c>
      <c r="F49" s="196">
        <v>209.7</v>
      </c>
      <c r="G49" s="196">
        <v>209.7</v>
      </c>
      <c r="H49" s="196">
        <v>209.7</v>
      </c>
      <c r="I49" s="196">
        <v>209.7</v>
      </c>
      <c r="J49" s="196">
        <v>209.7</v>
      </c>
      <c r="K49" s="196">
        <v>209.7</v>
      </c>
      <c r="L49" s="196">
        <v>209.7</v>
      </c>
      <c r="M49" s="196">
        <v>209.7</v>
      </c>
      <c r="N49" s="196">
        <v>209.7</v>
      </c>
      <c r="O49" s="196">
        <v>209.7</v>
      </c>
      <c r="P49" s="196">
        <v>209.7</v>
      </c>
      <c r="Q49" s="196">
        <v>209.7</v>
      </c>
      <c r="R49" s="196">
        <v>209.7</v>
      </c>
      <c r="S49" s="196">
        <v>209.7</v>
      </c>
      <c r="T49" s="196">
        <v>209.7</v>
      </c>
      <c r="U49" s="196">
        <v>209.7</v>
      </c>
      <c r="V49" s="196">
        <v>209.7</v>
      </c>
      <c r="W49" s="196">
        <v>209.7</v>
      </c>
      <c r="X49" s="196">
        <v>209.7</v>
      </c>
      <c r="Y49" s="196">
        <v>209.7</v>
      </c>
      <c r="Z49" s="196">
        <v>209.7</v>
      </c>
      <c r="AA49" s="196">
        <v>209.7</v>
      </c>
      <c r="AB49" s="196">
        <v>209.7</v>
      </c>
      <c r="AC49" s="196">
        <v>209.7</v>
      </c>
      <c r="AD49" s="196">
        <v>209.7</v>
      </c>
      <c r="AE49" s="196">
        <v>209.7</v>
      </c>
      <c r="AF49" s="196">
        <v>209.7</v>
      </c>
      <c r="AG49" s="196">
        <v>209.7</v>
      </c>
      <c r="AH49" s="196">
        <v>209.7</v>
      </c>
      <c r="AI49" s="196">
        <v>209.7</v>
      </c>
      <c r="AJ49" s="196">
        <v>209.7</v>
      </c>
      <c r="AK49" s="196">
        <v>209.7</v>
      </c>
      <c r="AL49" s="196">
        <v>209.7</v>
      </c>
      <c r="AM49" s="196">
        <v>209.7</v>
      </c>
      <c r="AN49" s="196">
        <v>209.7</v>
      </c>
      <c r="AO49" s="196">
        <v>209.7</v>
      </c>
      <c r="AP49" s="196">
        <v>209.7</v>
      </c>
      <c r="AQ49" s="196">
        <v>209.7</v>
      </c>
      <c r="AR49" s="196">
        <v>209.7</v>
      </c>
      <c r="AS49" s="196">
        <v>209.7</v>
      </c>
      <c r="AT49" s="196">
        <v>209.7</v>
      </c>
      <c r="AU49" s="196">
        <v>209.7</v>
      </c>
      <c r="AV49" s="196">
        <v>209.7</v>
      </c>
      <c r="AW49" s="196">
        <v>209.7</v>
      </c>
      <c r="AX49" s="196">
        <v>209.7</v>
      </c>
      <c r="AY49" s="196">
        <v>209.7</v>
      </c>
      <c r="AZ49" s="196">
        <v>209.7</v>
      </c>
      <c r="BA49" s="196">
        <v>209.7</v>
      </c>
      <c r="BB49" s="196">
        <v>209.7</v>
      </c>
    </row>
    <row r="50" spans="1:54" ht="15.75" customHeight="1">
      <c r="A50" s="194" t="s">
        <v>377</v>
      </c>
      <c r="B50" s="195" t="s">
        <v>374</v>
      </c>
      <c r="C50" s="195" t="s">
        <v>234</v>
      </c>
      <c r="D50" s="196">
        <v>319.2</v>
      </c>
      <c r="E50" s="196">
        <v>319.2</v>
      </c>
      <c r="F50" s="196">
        <v>319.2</v>
      </c>
      <c r="G50" s="196">
        <v>319.2</v>
      </c>
      <c r="H50" s="196">
        <v>319.2</v>
      </c>
      <c r="I50" s="196">
        <v>319.2</v>
      </c>
      <c r="J50" s="196">
        <v>319.2</v>
      </c>
      <c r="K50" s="196">
        <v>319.2</v>
      </c>
      <c r="L50" s="196">
        <v>319.2</v>
      </c>
      <c r="M50" s="196">
        <v>319.2</v>
      </c>
      <c r="N50" s="196">
        <v>319.2</v>
      </c>
      <c r="O50" s="196">
        <v>319.2</v>
      </c>
      <c r="P50" s="196">
        <v>319.2</v>
      </c>
      <c r="Q50" s="196">
        <v>319.2</v>
      </c>
      <c r="R50" s="196">
        <v>319.2</v>
      </c>
      <c r="S50" s="196">
        <v>319.2</v>
      </c>
      <c r="T50" s="196">
        <v>319.2</v>
      </c>
      <c r="U50" s="196">
        <v>319.2</v>
      </c>
      <c r="V50" s="196">
        <v>319.2</v>
      </c>
      <c r="W50" s="196">
        <v>319.2</v>
      </c>
      <c r="X50" s="196">
        <v>319.2</v>
      </c>
      <c r="Y50" s="196">
        <v>319.2</v>
      </c>
      <c r="Z50" s="196">
        <v>319.2</v>
      </c>
      <c r="AA50" s="196">
        <v>319.2</v>
      </c>
      <c r="AB50" s="196">
        <v>319.2</v>
      </c>
      <c r="AC50" s="196">
        <v>319.2</v>
      </c>
      <c r="AD50" s="196">
        <v>319.2</v>
      </c>
      <c r="AE50" s="196">
        <v>319.2</v>
      </c>
      <c r="AF50" s="196">
        <v>319.2</v>
      </c>
      <c r="AG50" s="196">
        <v>319.2</v>
      </c>
      <c r="AH50" s="196">
        <v>319.2</v>
      </c>
      <c r="AI50" s="196">
        <v>319.2</v>
      </c>
      <c r="AJ50" s="196">
        <v>319.2</v>
      </c>
      <c r="AK50" s="196">
        <v>319.2</v>
      </c>
      <c r="AL50" s="196">
        <v>319.2</v>
      </c>
      <c r="AM50" s="196">
        <v>319.2</v>
      </c>
      <c r="AN50" s="196">
        <v>319.2</v>
      </c>
      <c r="AO50" s="196">
        <v>319.2</v>
      </c>
      <c r="AP50" s="196">
        <v>319.2</v>
      </c>
      <c r="AQ50" s="196">
        <v>319.2</v>
      </c>
      <c r="AR50" s="196">
        <v>319.2</v>
      </c>
      <c r="AS50" s="196">
        <v>319.2</v>
      </c>
      <c r="AT50" s="196">
        <v>319.2</v>
      </c>
      <c r="AU50" s="196">
        <v>319.2</v>
      </c>
      <c r="AV50" s="196">
        <v>319.2</v>
      </c>
      <c r="AW50" s="196">
        <v>319.2</v>
      </c>
      <c r="AX50" s="196">
        <v>319.2</v>
      </c>
      <c r="AY50" s="196">
        <v>319.2</v>
      </c>
      <c r="AZ50" s="196">
        <v>319.2</v>
      </c>
      <c r="BA50" s="196">
        <v>319.2</v>
      </c>
      <c r="BB50" s="196">
        <v>319.2</v>
      </c>
    </row>
    <row r="51" spans="1:54" ht="15.75" customHeight="1">
      <c r="A51" s="197" t="s">
        <v>378</v>
      </c>
      <c r="B51" s="195" t="s">
        <v>374</v>
      </c>
      <c r="C51" s="195" t="s">
        <v>379</v>
      </c>
      <c r="D51" s="196">
        <v>50</v>
      </c>
      <c r="E51" s="196">
        <v>50</v>
      </c>
      <c r="F51" s="196">
        <v>50</v>
      </c>
      <c r="G51" s="196">
        <v>50</v>
      </c>
      <c r="H51" s="196">
        <v>50</v>
      </c>
      <c r="I51" s="196">
        <v>50</v>
      </c>
      <c r="J51" s="196">
        <v>50</v>
      </c>
      <c r="K51" s="196">
        <v>50</v>
      </c>
      <c r="L51" s="196">
        <v>50</v>
      </c>
      <c r="M51" s="196">
        <v>50</v>
      </c>
      <c r="N51" s="196">
        <v>50</v>
      </c>
      <c r="O51" s="196">
        <v>50</v>
      </c>
      <c r="P51" s="196">
        <v>50</v>
      </c>
      <c r="Q51" s="196">
        <v>50</v>
      </c>
      <c r="R51" s="196">
        <v>50</v>
      </c>
      <c r="S51" s="196">
        <v>50</v>
      </c>
      <c r="T51" s="196">
        <v>50</v>
      </c>
      <c r="U51" s="196">
        <v>50</v>
      </c>
      <c r="V51" s="196">
        <v>50</v>
      </c>
      <c r="W51" s="196">
        <v>50</v>
      </c>
      <c r="X51" s="196">
        <v>50</v>
      </c>
      <c r="Y51" s="196">
        <v>50</v>
      </c>
      <c r="Z51" s="196">
        <v>50</v>
      </c>
      <c r="AA51" s="196">
        <v>50</v>
      </c>
      <c r="AB51" s="196">
        <v>50</v>
      </c>
      <c r="AC51" s="196">
        <v>50</v>
      </c>
      <c r="AD51" s="196">
        <v>50</v>
      </c>
      <c r="AE51" s="196">
        <v>50</v>
      </c>
      <c r="AF51" s="196">
        <v>50</v>
      </c>
      <c r="AG51" s="196">
        <v>50</v>
      </c>
      <c r="AH51" s="196">
        <v>50</v>
      </c>
      <c r="AI51" s="196">
        <v>50</v>
      </c>
      <c r="AJ51" s="196">
        <v>50</v>
      </c>
      <c r="AK51" s="196">
        <v>50</v>
      </c>
      <c r="AL51" s="196">
        <v>50</v>
      </c>
      <c r="AM51" s="196">
        <v>50</v>
      </c>
      <c r="AN51" s="196">
        <v>50</v>
      </c>
      <c r="AO51" s="196">
        <v>50</v>
      </c>
      <c r="AP51" s="196">
        <v>50</v>
      </c>
      <c r="AQ51" s="196">
        <v>50</v>
      </c>
      <c r="AR51" s="196">
        <v>50</v>
      </c>
      <c r="AS51" s="196">
        <v>50</v>
      </c>
      <c r="AT51" s="196">
        <v>50</v>
      </c>
      <c r="AU51" s="196">
        <v>50</v>
      </c>
      <c r="AV51" s="196">
        <v>50</v>
      </c>
      <c r="AW51" s="196">
        <v>50</v>
      </c>
      <c r="AX51" s="196">
        <v>50</v>
      </c>
      <c r="AY51" s="196">
        <v>50</v>
      </c>
      <c r="AZ51" s="196">
        <v>50</v>
      </c>
      <c r="BA51" s="196">
        <v>50</v>
      </c>
      <c r="BB51" s="196">
        <v>50</v>
      </c>
    </row>
    <row r="52" spans="1:54" ht="15.75" customHeight="1"/>
    <row r="53" spans="1:54" ht="15.75" customHeight="1"/>
    <row r="54" spans="1:54" ht="15.75" customHeight="1"/>
    <row r="55" spans="1:54" ht="15.75" customHeight="1"/>
    <row r="56" spans="1:54" ht="15.75" customHeight="1"/>
    <row r="57" spans="1:54" ht="15.75" customHeight="1"/>
    <row r="58" spans="1:54" ht="15.75" customHeight="1"/>
    <row r="59" spans="1:54" ht="15.75" customHeight="1"/>
    <row r="60" spans="1:54" ht="15.75" customHeight="1"/>
    <row r="61" spans="1:54" ht="15.75" customHeight="1"/>
    <row r="62" spans="1:54" ht="15.75" customHeight="1"/>
    <row r="63" spans="1:54" ht="15.75" customHeight="1"/>
    <row r="64" spans="1:5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sheetData>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D4320"/>
  <sheetViews>
    <sheetView workbookViewId="0">
      <pane xSplit="2" ySplit="2" topLeftCell="K412" activePane="bottomRight" state="frozen"/>
      <selection pane="topRight" activeCell="C1" sqref="C1"/>
      <selection pane="bottomLeft" activeCell="A3" sqref="A3"/>
      <selection pane="bottomRight" activeCell="Q416" sqref="Q416"/>
    </sheetView>
  </sheetViews>
  <sheetFormatPr defaultColWidth="14.4609375" defaultRowHeight="15" customHeight="1" outlineLevelRow="1"/>
  <cols>
    <col min="1" max="1" width="35.3046875" customWidth="1"/>
    <col min="2" max="2" width="13.15234375" customWidth="1"/>
    <col min="3" max="22" width="9.4609375" customWidth="1"/>
    <col min="23" max="53" width="9.84375" customWidth="1"/>
    <col min="54" max="82" width="8.69140625" customWidth="1"/>
  </cols>
  <sheetData>
    <row r="1" spans="1:82" ht="14.6">
      <c r="A1" s="42"/>
      <c r="B1" s="42"/>
      <c r="C1" s="42"/>
      <c r="D1" s="42"/>
      <c r="E1" s="42"/>
      <c r="F1" s="42"/>
      <c r="G1" s="42"/>
      <c r="H1" s="42"/>
      <c r="I1" s="42"/>
      <c r="J1" s="42"/>
      <c r="K1" s="42"/>
      <c r="L1" s="42"/>
      <c r="M1" s="42"/>
      <c r="N1" s="42"/>
      <c r="O1" s="42"/>
      <c r="P1" s="42"/>
      <c r="Q1" s="42"/>
      <c r="R1" s="42"/>
      <c r="S1" s="42"/>
      <c r="T1" s="42"/>
      <c r="U1" s="42"/>
      <c r="V1" s="42"/>
      <c r="W1" s="86">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row>
    <row r="2" spans="1:82" ht="20.25" customHeight="1">
      <c r="A2" s="42" t="s">
        <v>191</v>
      </c>
      <c r="B2" s="42" t="s">
        <v>192</v>
      </c>
      <c r="C2" s="42">
        <v>2000</v>
      </c>
      <c r="D2" s="42">
        <v>2001</v>
      </c>
      <c r="E2" s="42">
        <v>2002</v>
      </c>
      <c r="F2" s="42">
        <v>2003</v>
      </c>
      <c r="G2" s="42">
        <v>2004</v>
      </c>
      <c r="H2" s="42">
        <v>2005</v>
      </c>
      <c r="I2" s="42">
        <v>2006</v>
      </c>
      <c r="J2" s="42">
        <v>2007</v>
      </c>
      <c r="K2" s="42">
        <v>2008</v>
      </c>
      <c r="L2" s="42">
        <v>2009</v>
      </c>
      <c r="M2" s="42">
        <v>2010</v>
      </c>
      <c r="N2" s="42">
        <v>2011</v>
      </c>
      <c r="O2" s="42">
        <v>2012</v>
      </c>
      <c r="P2" s="42">
        <v>2013</v>
      </c>
      <c r="Q2" s="42">
        <v>2014</v>
      </c>
      <c r="R2" s="42">
        <v>2015</v>
      </c>
      <c r="S2" s="42">
        <v>2016</v>
      </c>
      <c r="T2" s="42">
        <v>2017</v>
      </c>
      <c r="U2" s="42">
        <v>2018</v>
      </c>
      <c r="V2" s="42">
        <v>2019</v>
      </c>
      <c r="W2" s="42">
        <v>2020</v>
      </c>
      <c r="X2" s="42">
        <v>2021</v>
      </c>
      <c r="Y2" s="42">
        <v>2022</v>
      </c>
      <c r="Z2" s="42">
        <v>2023</v>
      </c>
      <c r="AA2" s="42">
        <v>2024</v>
      </c>
      <c r="AB2" s="42">
        <v>2025</v>
      </c>
      <c r="AC2" s="42">
        <v>2026</v>
      </c>
      <c r="AD2" s="42">
        <v>2027</v>
      </c>
      <c r="AE2" s="42">
        <v>2028</v>
      </c>
      <c r="AF2" s="42">
        <v>2029</v>
      </c>
      <c r="AG2" s="42">
        <v>2030</v>
      </c>
      <c r="AH2" s="42">
        <v>2031</v>
      </c>
      <c r="AI2" s="42">
        <v>2032</v>
      </c>
      <c r="AJ2" s="42">
        <v>2033</v>
      </c>
      <c r="AK2" s="42">
        <v>2034</v>
      </c>
      <c r="AL2" s="42">
        <v>2035</v>
      </c>
      <c r="AM2" s="42">
        <v>2036</v>
      </c>
      <c r="AN2" s="42">
        <v>2037</v>
      </c>
      <c r="AO2" s="42">
        <v>2038</v>
      </c>
      <c r="AP2" s="42">
        <v>2039</v>
      </c>
      <c r="AQ2" s="42">
        <v>2040</v>
      </c>
      <c r="AR2" s="42">
        <v>2041</v>
      </c>
      <c r="AS2" s="42">
        <v>2042</v>
      </c>
      <c r="AT2" s="42">
        <v>2043</v>
      </c>
      <c r="AU2" s="42">
        <v>2044</v>
      </c>
      <c r="AV2" s="42">
        <v>2045</v>
      </c>
      <c r="AW2" s="42">
        <v>2046</v>
      </c>
      <c r="AX2" s="42">
        <v>2047</v>
      </c>
      <c r="AY2" s="42">
        <v>2048</v>
      </c>
      <c r="AZ2" s="42">
        <v>2049</v>
      </c>
      <c r="BA2" s="42">
        <v>2050</v>
      </c>
      <c r="BB2" s="42">
        <v>2051</v>
      </c>
      <c r="BC2" s="42">
        <v>2052</v>
      </c>
      <c r="BD2" s="42">
        <v>2053</v>
      </c>
      <c r="BE2" s="42">
        <v>2054</v>
      </c>
      <c r="BF2" s="42">
        <v>2055</v>
      </c>
      <c r="BG2" s="42">
        <v>2056</v>
      </c>
      <c r="BH2" s="42">
        <v>2057</v>
      </c>
      <c r="BI2" s="42">
        <v>2058</v>
      </c>
      <c r="BJ2" s="42">
        <v>2059</v>
      </c>
      <c r="BK2" s="42">
        <v>2060</v>
      </c>
      <c r="BL2" s="42">
        <v>2061</v>
      </c>
      <c r="BM2" s="42">
        <v>2062</v>
      </c>
      <c r="BN2" s="42">
        <v>2063</v>
      </c>
      <c r="BO2" s="42">
        <v>2064</v>
      </c>
      <c r="BP2" s="42">
        <v>2065</v>
      </c>
      <c r="BQ2" s="42">
        <v>2066</v>
      </c>
      <c r="BR2" s="42">
        <v>2067</v>
      </c>
      <c r="BS2" s="42">
        <v>2068</v>
      </c>
      <c r="BT2" s="42">
        <v>2069</v>
      </c>
      <c r="BU2" s="42">
        <v>2070</v>
      </c>
      <c r="BV2" s="42">
        <v>2071</v>
      </c>
      <c r="BW2" s="42">
        <v>2072</v>
      </c>
      <c r="BX2" s="42">
        <v>2073</v>
      </c>
      <c r="BY2" s="42">
        <v>2074</v>
      </c>
      <c r="BZ2" s="42">
        <v>2075</v>
      </c>
      <c r="CA2" s="42">
        <v>2076</v>
      </c>
      <c r="CB2" s="42">
        <v>2077</v>
      </c>
      <c r="CC2" s="42">
        <v>2078</v>
      </c>
      <c r="CD2" s="42">
        <v>2079</v>
      </c>
    </row>
    <row r="3" spans="1:82" ht="14.6">
      <c r="A3" s="87" t="s">
        <v>193</v>
      </c>
      <c r="B3" s="42"/>
      <c r="C3" s="42"/>
      <c r="D3" s="42"/>
      <c r="E3" s="42"/>
      <c r="F3" s="42"/>
      <c r="G3" s="42"/>
      <c r="H3" s="42"/>
      <c r="I3" s="42"/>
      <c r="J3" s="42"/>
      <c r="K3" s="42"/>
      <c r="L3" s="42"/>
      <c r="M3" s="42"/>
      <c r="N3" s="42"/>
      <c r="O3" s="42"/>
      <c r="P3" s="42"/>
      <c r="Q3" s="42"/>
      <c r="R3" s="42"/>
      <c r="S3" s="42"/>
      <c r="T3" s="42"/>
      <c r="U3" s="42"/>
      <c r="V3" s="42"/>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row>
    <row r="4" spans="1:82" ht="14.6">
      <c r="A4" s="89"/>
      <c r="B4" s="42"/>
      <c r="C4" s="42"/>
      <c r="D4" s="42"/>
      <c r="E4" s="42"/>
      <c r="F4" s="42"/>
      <c r="G4" s="42"/>
      <c r="H4" s="42"/>
      <c r="I4" s="42"/>
      <c r="J4" s="42"/>
      <c r="K4" s="42"/>
      <c r="L4" s="42"/>
      <c r="M4" s="42"/>
      <c r="N4" s="42"/>
      <c r="O4" s="42"/>
      <c r="P4" s="42"/>
      <c r="Q4" s="42"/>
      <c r="R4" s="42"/>
      <c r="S4" s="42"/>
      <c r="T4" s="42"/>
      <c r="U4" s="42"/>
      <c r="V4" s="42"/>
      <c r="W4" s="88"/>
      <c r="X4" s="88"/>
      <c r="Y4" s="88"/>
      <c r="Z4" s="88"/>
      <c r="AA4" s="88"/>
      <c r="AB4" s="88"/>
      <c r="AC4" s="88"/>
      <c r="AD4" s="88"/>
      <c r="AE4" s="88"/>
      <c r="AF4" s="88"/>
      <c r="AG4" s="88"/>
      <c r="AH4" s="88"/>
      <c r="AI4" s="88"/>
      <c r="AJ4" s="88"/>
      <c r="AK4" s="88"/>
      <c r="AL4" s="88"/>
      <c r="AM4" s="88"/>
      <c r="AN4" s="88"/>
      <c r="AO4" s="88"/>
      <c r="AP4" s="88"/>
      <c r="AQ4" s="88"/>
      <c r="AR4" s="88"/>
      <c r="AS4" s="88"/>
      <c r="AT4" s="88"/>
      <c r="AU4" s="88"/>
      <c r="AV4" s="88"/>
      <c r="AW4" s="88"/>
      <c r="AX4" s="88"/>
      <c r="AY4" s="88"/>
      <c r="AZ4" s="88"/>
      <c r="BA4" s="88"/>
    </row>
    <row r="5" spans="1:82" ht="14.6">
      <c r="A5" s="87" t="s">
        <v>194</v>
      </c>
      <c r="B5" s="42"/>
      <c r="C5" s="42"/>
      <c r="D5" s="42"/>
      <c r="E5" s="42"/>
      <c r="F5" s="42"/>
      <c r="G5" s="42"/>
      <c r="H5" s="42"/>
      <c r="I5" s="42"/>
      <c r="J5" s="42"/>
      <c r="K5" s="42"/>
      <c r="L5" s="42"/>
      <c r="M5" s="42"/>
      <c r="N5" s="42"/>
      <c r="O5" s="42"/>
      <c r="P5" s="42"/>
      <c r="Q5" s="42"/>
      <c r="R5" s="42"/>
      <c r="S5" s="42"/>
      <c r="T5" s="42"/>
      <c r="U5" s="42"/>
      <c r="V5" s="42"/>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row>
    <row r="6" spans="1:82" ht="14.6">
      <c r="A6" s="89"/>
      <c r="B6" s="42"/>
      <c r="C6" s="42"/>
      <c r="D6" s="42"/>
      <c r="E6" s="42"/>
      <c r="F6" s="42"/>
      <c r="G6" s="42"/>
      <c r="H6" s="42"/>
      <c r="I6" s="42"/>
      <c r="J6" s="42"/>
      <c r="K6" s="42"/>
      <c r="L6" s="42"/>
      <c r="M6" s="42"/>
      <c r="N6" s="42"/>
      <c r="O6" s="42"/>
      <c r="P6" s="42"/>
      <c r="Q6" s="42"/>
      <c r="R6" s="42"/>
      <c r="S6" s="42"/>
      <c r="T6" s="42"/>
      <c r="U6" s="42"/>
      <c r="V6" s="42"/>
      <c r="W6" s="88"/>
      <c r="X6" s="88"/>
      <c r="Y6" s="88"/>
      <c r="Z6" s="88"/>
      <c r="AA6" s="88"/>
      <c r="AB6" s="88"/>
      <c r="AC6" s="88"/>
      <c r="AD6" s="90"/>
      <c r="AE6" s="90"/>
      <c r="AF6" s="88"/>
      <c r="AG6" s="88"/>
      <c r="AH6" s="88"/>
      <c r="AI6" s="91"/>
      <c r="AJ6" s="88"/>
      <c r="AK6" s="88"/>
      <c r="AL6" s="88"/>
      <c r="AM6" s="88"/>
      <c r="AN6" s="88"/>
      <c r="AO6" s="88"/>
      <c r="AP6" s="88"/>
      <c r="AQ6" s="88"/>
      <c r="AR6" s="88"/>
      <c r="AS6" s="88"/>
      <c r="AT6" s="88"/>
      <c r="AU6" s="88"/>
      <c r="AV6" s="88"/>
      <c r="AW6" s="88"/>
      <c r="AX6" s="88"/>
      <c r="AY6" s="88"/>
      <c r="AZ6" s="88"/>
      <c r="BA6" s="88"/>
    </row>
    <row r="7" spans="1:82" ht="14.6">
      <c r="A7" s="87" t="s">
        <v>195</v>
      </c>
      <c r="B7" s="42"/>
      <c r="C7" s="42"/>
      <c r="D7" s="42"/>
      <c r="E7" s="42"/>
      <c r="F7" s="42"/>
      <c r="G7" s="42"/>
      <c r="H7" s="42"/>
      <c r="I7" s="42"/>
      <c r="J7" s="42"/>
      <c r="K7" s="42"/>
      <c r="L7" s="42"/>
      <c r="M7" s="42"/>
      <c r="N7" s="42"/>
      <c r="O7" s="42"/>
      <c r="P7" s="42"/>
      <c r="Q7" s="42"/>
      <c r="R7" s="42"/>
      <c r="S7" s="42"/>
      <c r="T7" s="42"/>
      <c r="U7" s="42"/>
      <c r="V7" s="42"/>
      <c r="W7" s="92"/>
      <c r="X7" s="94">
        <f t="shared" ref="X7:BA7" si="0">X9/(X8*0.00876)</f>
        <v>0.59702745424744608</v>
      </c>
      <c r="Y7" s="94">
        <f t="shared" si="0"/>
        <v>0.59702744458759238</v>
      </c>
      <c r="Z7" s="94">
        <f t="shared" si="0"/>
        <v>0.59702743421219406</v>
      </c>
      <c r="AA7" s="94">
        <f t="shared" si="0"/>
        <v>0.59702742303868872</v>
      </c>
      <c r="AB7" s="94">
        <f t="shared" si="0"/>
        <v>0.59702741097130341</v>
      </c>
      <c r="AC7" s="94">
        <f t="shared" si="0"/>
        <v>0.59702739789830328</v>
      </c>
      <c r="AD7" s="94">
        <f t="shared" si="0"/>
        <v>0.59702738368852104</v>
      </c>
      <c r="AE7" s="94">
        <f t="shared" si="0"/>
        <v>0.59702736818694124</v>
      </c>
      <c r="AF7" s="94">
        <f t="shared" si="0"/>
        <v>0.59702735120902151</v>
      </c>
      <c r="AG7" s="94">
        <f t="shared" si="0"/>
        <v>0.59702733253331086</v>
      </c>
      <c r="AH7" s="94">
        <f t="shared" si="0"/>
        <v>0.59702731189173719</v>
      </c>
      <c r="AI7" s="94">
        <f t="shared" si="0"/>
        <v>0.59702728895665713</v>
      </c>
      <c r="AJ7" s="94">
        <f t="shared" si="0"/>
        <v>0.59702726332333445</v>
      </c>
      <c r="AK7" s="94">
        <f t="shared" si="0"/>
        <v>0.59702723448584916</v>
      </c>
      <c r="AL7" s="94">
        <f t="shared" si="0"/>
        <v>0.59702720180336899</v>
      </c>
      <c r="AM7" s="94">
        <f t="shared" si="0"/>
        <v>0.59702716445196757</v>
      </c>
      <c r="AN7" s="94">
        <f t="shared" si="0"/>
        <v>0.59702712135420244</v>
      </c>
      <c r="AO7" s="94">
        <f t="shared" si="0"/>
        <v>0.59702707107348441</v>
      </c>
      <c r="AP7" s="94">
        <f t="shared" si="0"/>
        <v>0.5970270116508285</v>
      </c>
      <c r="AQ7" s="94">
        <f t="shared" si="0"/>
        <v>0.59702694034365711</v>
      </c>
      <c r="AR7" s="94">
        <f t="shared" si="0"/>
        <v>0.59702685319047066</v>
      </c>
      <c r="AS7" s="94">
        <f t="shared" si="0"/>
        <v>0.59702674424902336</v>
      </c>
      <c r="AT7" s="94">
        <f t="shared" si="0"/>
        <v>0.59702660418150666</v>
      </c>
      <c r="AU7" s="94">
        <f t="shared" si="0"/>
        <v>0.59702641742492002</v>
      </c>
      <c r="AV7" s="94">
        <f t="shared" si="0"/>
        <v>0.59702615596589503</v>
      </c>
      <c r="AW7" s="94">
        <f t="shared" si="0"/>
        <v>0.59702576377778704</v>
      </c>
      <c r="AX7" s="94">
        <f t="shared" si="0"/>
        <v>0.5970251101320857</v>
      </c>
      <c r="AY7" s="94">
        <f t="shared" si="0"/>
        <v>0.59702380284497747</v>
      </c>
      <c r="AZ7" s="94">
        <f t="shared" si="0"/>
        <v>0.59701988101800962</v>
      </c>
      <c r="BA7" s="94">
        <f t="shared" si="0"/>
        <v>1.1415525114155249E-4</v>
      </c>
    </row>
    <row r="8" spans="1:82" ht="15" customHeight="1">
      <c r="A8" s="98" t="s">
        <v>25</v>
      </c>
      <c r="B8" s="99" t="s">
        <v>152</v>
      </c>
      <c r="C8" s="20">
        <v>314790</v>
      </c>
      <c r="D8" s="20">
        <v>313944</v>
      </c>
      <c r="E8" s="20">
        <v>315063</v>
      </c>
      <c r="F8" s="20">
        <v>312732</v>
      </c>
      <c r="G8" s="20">
        <v>312757</v>
      </c>
      <c r="H8" s="20">
        <v>313099</v>
      </c>
      <c r="I8" s="20">
        <v>312673</v>
      </c>
      <c r="J8" s="20">
        <v>312452</v>
      </c>
      <c r="K8" s="20">
        <v>313032</v>
      </c>
      <c r="L8" s="20">
        <v>314006</v>
      </c>
      <c r="M8" s="20">
        <v>316510</v>
      </c>
      <c r="N8" s="20">
        <v>317349.80000000005</v>
      </c>
      <c r="O8" s="20">
        <v>309389.89999999991</v>
      </c>
      <c r="P8" s="20">
        <v>303015.8</v>
      </c>
      <c r="Q8" s="20">
        <v>298808.10000000003</v>
      </c>
      <c r="R8" s="20">
        <v>279436.10000000003</v>
      </c>
      <c r="S8" s="20">
        <v>260049</v>
      </c>
      <c r="T8" s="20">
        <v>254345</v>
      </c>
      <c r="U8" s="20">
        <v>242350</v>
      </c>
      <c r="V8" s="20">
        <v>236796</v>
      </c>
      <c r="W8" s="92">
        <v>228300</v>
      </c>
      <c r="X8" s="101">
        <f t="shared" ref="X8:AZ8" si="1">W8+($BA$8-$W$8)/($BA$2-$W$2)</f>
        <v>220690.00333333333</v>
      </c>
      <c r="Y8" s="101">
        <f t="shared" si="1"/>
        <v>213080.00666666665</v>
      </c>
      <c r="Z8" s="101">
        <f t="shared" si="1"/>
        <v>205470.00999999998</v>
      </c>
      <c r="AA8" s="101">
        <f t="shared" si="1"/>
        <v>197860.01333333331</v>
      </c>
      <c r="AB8" s="101">
        <f t="shared" si="1"/>
        <v>190250.01666666663</v>
      </c>
      <c r="AC8" s="101">
        <f t="shared" si="1"/>
        <v>182640.01999999996</v>
      </c>
      <c r="AD8" s="101">
        <f t="shared" si="1"/>
        <v>175030.02333333329</v>
      </c>
      <c r="AE8" s="101">
        <f t="shared" si="1"/>
        <v>167420.02666666661</v>
      </c>
      <c r="AF8" s="101">
        <f t="shared" si="1"/>
        <v>159810.02999999994</v>
      </c>
      <c r="AG8" s="101">
        <f t="shared" si="1"/>
        <v>152200.03333333327</v>
      </c>
      <c r="AH8" s="101">
        <f t="shared" si="1"/>
        <v>144590.03666666659</v>
      </c>
      <c r="AI8" s="101">
        <f t="shared" si="1"/>
        <v>136980.03999999992</v>
      </c>
      <c r="AJ8" s="101">
        <f t="shared" si="1"/>
        <v>129370.04333333325</v>
      </c>
      <c r="AK8" s="101">
        <f t="shared" si="1"/>
        <v>121760.04666666657</v>
      </c>
      <c r="AL8" s="101">
        <f t="shared" si="1"/>
        <v>114150.0499999999</v>
      </c>
      <c r="AM8" s="101">
        <f t="shared" si="1"/>
        <v>106540.05333333323</v>
      </c>
      <c r="AN8" s="101">
        <f t="shared" si="1"/>
        <v>98930.056666666555</v>
      </c>
      <c r="AO8" s="101">
        <f t="shared" si="1"/>
        <v>91320.059999999881</v>
      </c>
      <c r="AP8" s="101">
        <f t="shared" si="1"/>
        <v>83710.063333333208</v>
      </c>
      <c r="AQ8" s="101">
        <f t="shared" si="1"/>
        <v>76100.066666666535</v>
      </c>
      <c r="AR8" s="101">
        <f t="shared" si="1"/>
        <v>68490.069999999861</v>
      </c>
      <c r="AS8" s="101">
        <f t="shared" si="1"/>
        <v>60880.073333333195</v>
      </c>
      <c r="AT8" s="101">
        <f t="shared" si="1"/>
        <v>53270.076666666529</v>
      </c>
      <c r="AU8" s="101">
        <f t="shared" si="1"/>
        <v>45660.079999999864</v>
      </c>
      <c r="AV8" s="101">
        <f t="shared" si="1"/>
        <v>38050.083333333198</v>
      </c>
      <c r="AW8" s="101">
        <f t="shared" si="1"/>
        <v>30440.086666666532</v>
      </c>
      <c r="AX8" s="101">
        <f t="shared" si="1"/>
        <v>22830.089999999866</v>
      </c>
      <c r="AY8" s="101">
        <f t="shared" si="1"/>
        <v>15220.0933333332</v>
      </c>
      <c r="AZ8" s="101">
        <f t="shared" si="1"/>
        <v>7610.0966666665327</v>
      </c>
      <c r="BA8" s="103">
        <f>Inputs!$H$3</f>
        <v>0.1</v>
      </c>
    </row>
    <row r="9" spans="1:82" ht="14.6">
      <c r="A9" s="98" t="s">
        <v>28</v>
      </c>
      <c r="B9" s="99" t="s">
        <v>153</v>
      </c>
      <c r="C9" s="20">
        <v>1964.147338</v>
      </c>
      <c r="D9" s="20">
        <v>1901.7865859999995</v>
      </c>
      <c r="E9" s="20">
        <v>1931.0092689999992</v>
      </c>
      <c r="F9" s="20">
        <v>1971.5429490000004</v>
      </c>
      <c r="G9" s="20">
        <v>1976.0478159999998</v>
      </c>
      <c r="H9" s="20">
        <v>2010.6178079999997</v>
      </c>
      <c r="I9" s="20">
        <v>1988.3451210000003</v>
      </c>
      <c r="J9" s="20">
        <v>2014.2352419999997</v>
      </c>
      <c r="K9" s="20">
        <v>1983.5357570000003</v>
      </c>
      <c r="L9" s="20">
        <v>1753.7734929999997</v>
      </c>
      <c r="M9" s="20">
        <v>1845.1243219999997</v>
      </c>
      <c r="N9" s="20">
        <v>1731.3495843699995</v>
      </c>
      <c r="O9" s="20">
        <v>1511.8206460000001</v>
      </c>
      <c r="P9" s="20">
        <v>1579.0863412200001</v>
      </c>
      <c r="Q9" s="20">
        <v>1579.6408737700003</v>
      </c>
      <c r="R9" s="20">
        <v>1350.3932380000006</v>
      </c>
      <c r="S9" s="20">
        <v>1241.7060550000001</v>
      </c>
      <c r="T9" s="20">
        <v>1268.2502440000001</v>
      </c>
      <c r="U9" s="20">
        <v>1253.7235109999999</v>
      </c>
      <c r="V9" s="20">
        <v>1197.143311</v>
      </c>
      <c r="W9" s="90">
        <f>'Assumptions (Coal)'!V14*W8*0.00876</f>
        <v>1193.9999999999998</v>
      </c>
      <c r="X9" s="101">
        <f t="shared" ref="X9:AZ9" si="2">W9+($BA$9-$W$9)/($BA$2-$W$2)</f>
        <v>1154.2000000033331</v>
      </c>
      <c r="Y9" s="101">
        <f t="shared" si="2"/>
        <v>1114.4000000066665</v>
      </c>
      <c r="Z9" s="101">
        <f t="shared" si="2"/>
        <v>1074.6000000099998</v>
      </c>
      <c r="AA9" s="101">
        <f t="shared" si="2"/>
        <v>1034.8000000133331</v>
      </c>
      <c r="AB9" s="101">
        <f t="shared" si="2"/>
        <v>995.00000001666649</v>
      </c>
      <c r="AC9" s="101">
        <f t="shared" si="2"/>
        <v>955.20000001999983</v>
      </c>
      <c r="AD9" s="101">
        <f t="shared" si="2"/>
        <v>915.40000002333318</v>
      </c>
      <c r="AE9" s="101">
        <f t="shared" si="2"/>
        <v>875.60000002666652</v>
      </c>
      <c r="AF9" s="101">
        <f t="shared" si="2"/>
        <v>835.80000002999986</v>
      </c>
      <c r="AG9" s="101">
        <f t="shared" si="2"/>
        <v>796.00000003333321</v>
      </c>
      <c r="AH9" s="101">
        <f t="shared" si="2"/>
        <v>756.20000003666655</v>
      </c>
      <c r="AI9" s="101">
        <f t="shared" si="2"/>
        <v>716.4000000399999</v>
      </c>
      <c r="AJ9" s="101">
        <f t="shared" si="2"/>
        <v>676.60000004333324</v>
      </c>
      <c r="AK9" s="101">
        <f t="shared" si="2"/>
        <v>636.80000004666658</v>
      </c>
      <c r="AL9" s="101">
        <f t="shared" si="2"/>
        <v>597.00000004999993</v>
      </c>
      <c r="AM9" s="101">
        <f t="shared" si="2"/>
        <v>557.20000005333327</v>
      </c>
      <c r="AN9" s="101">
        <f t="shared" si="2"/>
        <v>517.40000005666661</v>
      </c>
      <c r="AO9" s="101">
        <f t="shared" si="2"/>
        <v>477.60000005999996</v>
      </c>
      <c r="AP9" s="101">
        <f t="shared" si="2"/>
        <v>437.8000000633333</v>
      </c>
      <c r="AQ9" s="101">
        <f t="shared" si="2"/>
        <v>398.00000006666664</v>
      </c>
      <c r="AR9" s="101">
        <f t="shared" si="2"/>
        <v>358.20000006999999</v>
      </c>
      <c r="AS9" s="101">
        <f t="shared" si="2"/>
        <v>318.40000007333333</v>
      </c>
      <c r="AT9" s="101">
        <f t="shared" si="2"/>
        <v>278.60000007666667</v>
      </c>
      <c r="AU9" s="101">
        <f t="shared" si="2"/>
        <v>238.80000008000002</v>
      </c>
      <c r="AV9" s="101">
        <f t="shared" si="2"/>
        <v>199.00000008333336</v>
      </c>
      <c r="AW9" s="101">
        <f t="shared" si="2"/>
        <v>159.20000008666671</v>
      </c>
      <c r="AX9" s="101">
        <f t="shared" si="2"/>
        <v>119.40000009000005</v>
      </c>
      <c r="AY9" s="101">
        <f t="shared" si="2"/>
        <v>79.600000093333392</v>
      </c>
      <c r="AZ9" s="101">
        <f t="shared" si="2"/>
        <v>39.800000096666736</v>
      </c>
      <c r="BA9" s="104">
        <f>Inputs!$I$3</f>
        <v>9.9999999999999995E-8</v>
      </c>
    </row>
    <row r="10" spans="1:82" ht="15" customHeight="1">
      <c r="A10" s="98" t="s">
        <v>31</v>
      </c>
      <c r="B10" s="99" t="s">
        <v>201</v>
      </c>
      <c r="C10" s="105">
        <f>'Assumptions (Coal)'!B24*Model!C8/10^9+'Assumptions (Coal)'!B25*Model!C9/10^3</f>
        <v>12.941457941143764</v>
      </c>
      <c r="D10" s="105">
        <f>'Assumptions (Coal)'!C24*Model!D8/10^9+'Assumptions (Coal)'!C25*Model!D9/10^3</f>
        <v>12.9238342927055</v>
      </c>
      <c r="E10" s="105">
        <f>'Assumptions (Coal)'!D24*Model!E8/10^9+'Assumptions (Coal)'!D25*Model!E9/10^3</f>
        <v>13.298591764207449</v>
      </c>
      <c r="F10" s="105">
        <f>'Assumptions (Coal)'!E24*Model!F8/10^9+'Assumptions (Coal)'!E25*Model!F9/10^3</f>
        <v>13.665189020168537</v>
      </c>
      <c r="G10" s="105">
        <f>'Assumptions (Coal)'!F24*Model!G8/10^9+'Assumptions (Coal)'!F25*Model!G9/10^3</f>
        <v>13.936939703431728</v>
      </c>
      <c r="H10" s="105">
        <f>'Assumptions (Coal)'!G24*Model!H8/10^9+'Assumptions (Coal)'!G25*Model!H9/10^3</f>
        <v>14.345694022021515</v>
      </c>
      <c r="I10" s="105">
        <f>'Assumptions (Coal)'!H24*Model!I8/10^9+'Assumptions (Coal)'!H25*Model!I9/10^3</f>
        <v>14.508077797288532</v>
      </c>
      <c r="J10" s="105">
        <f>'Assumptions (Coal)'!I24*Model!J8/10^9+'Assumptions (Coal)'!I25*Model!J9/10^3</f>
        <v>14.884326440905198</v>
      </c>
      <c r="K10" s="105">
        <f>'Assumptions (Coal)'!J24*Model!K8/10^9+'Assumptions (Coal)'!J25*Model!K9/10^3</f>
        <v>15.035816444034722</v>
      </c>
      <c r="L10" s="105">
        <f>'Assumptions (Coal)'!K24*Model!L8/10^9+'Assumptions (Coal)'!K25*Model!L9/10^3</f>
        <v>14.300954523703902</v>
      </c>
      <c r="M10" s="105">
        <f>'Assumptions (Coal)'!L24*Model!M8/10^9+'Assumptions (Coal)'!L25*Model!M9/10^3</f>
        <v>15.035915165979697</v>
      </c>
      <c r="N10" s="105">
        <f>'Assumptions (Coal)'!M24*Model!N8/10^9+'Assumptions (Coal)'!M25*Model!N9/10^3</f>
        <v>14.801291296062518</v>
      </c>
      <c r="O10" s="105">
        <f>'Assumptions (Coal)'!N24*Model!O8/10^9+'Assumptions (Coal)'!N25*Model!O9/10^3</f>
        <v>13.860544910542185</v>
      </c>
      <c r="P10" s="105">
        <f>'Assumptions (Coal)'!O24*Model!P8/10^9+'Assumptions (Coal)'!O25*Model!P9/10^3</f>
        <v>14.302211200435019</v>
      </c>
      <c r="Q10" s="105">
        <f>'Assumptions (Coal)'!P24*Model!Q8/10^9+'Assumptions (Coal)'!P25*Model!Q9/10^3</f>
        <v>14.475298001067371</v>
      </c>
      <c r="R10" s="105">
        <f>'Assumptions (Coal)'!Q24*Model!R8/10^9+'Assumptions (Coal)'!Q25*Model!R9/10^3</f>
        <v>13.150770169395317</v>
      </c>
      <c r="S10" s="105">
        <f>'Assumptions (Coal)'!R24*Model!S8/10^9+'Assumptions (Coal)'!R25*Model!S9/10^3</f>
        <v>12.388132284670833</v>
      </c>
      <c r="T10" s="105">
        <f>'Assumptions (Coal)'!S24*Model!T8/10^9+'Assumptions (Coal)'!S25*Model!T9/10^3</f>
        <v>12.62052421632804</v>
      </c>
      <c r="U10" s="105">
        <f>'Assumptions (Coal)'!T24*Model!U8/10^9+'Assumptions (Coal)'!T25*Model!U9/10^3</f>
        <v>12.487902917768944</v>
      </c>
      <c r="V10" s="105">
        <f>'Assumptions (Coal)'!U24*Model!V8/10^9+'Assumptions (Coal)'!U25*Model!V9/10^3</f>
        <v>12.277062553264606</v>
      </c>
      <c r="W10" s="105">
        <f>'Assumptions (Coal)'!V24*Model!W8/10^9+'Assumptions (Coal)'!V25*Model!W9/10^3</f>
        <v>12.2745</v>
      </c>
      <c r="X10" s="105">
        <f>IF(W14&gt;0,'Assumptions (Coal)'!W17*Model!W14/10^9+'Assumptions (Coal)'!W18*Model!X9*(Model!W14/Model!X8)/10^3+'Assumptions (Coal)'!W24*(Model!X8-W14)/10^9+'Assumptions (Coal)'!W25*Model!X9*((X8-Model!W14)/Model!X8)/10^3,'Assumptions (Coal)'!W24*Model!X8/10^9+'Assumptions (Coal)'!W25*Model!X9/10^3)</f>
        <v>12.08485905989367</v>
      </c>
      <c r="Y10" s="105">
        <f>IF(X14&gt;0,'Assumptions (Coal)'!X17*Model!X14/10^9+'Assumptions (Coal)'!X18*Model!Y9*(Model!X14/Model!Y8)/10^3+'Assumptions (Coal)'!X24*(Model!Y8-X14)/10^9+'Assumptions (Coal)'!X25*Model!Y9*((Y8-Model!X14)/Model!Y8)/10^3,'Assumptions (Coal)'!X24*Model!Y8/10^9+'Assumptions (Coal)'!X25*Model!Y9/10^3)</f>
        <v>12.064922535770563</v>
      </c>
      <c r="Z10" s="105">
        <f>IF(Y14&gt;0,'Assumptions (Coal)'!Y17*Model!Y14/10^9+'Assumptions (Coal)'!Y18*Model!Z9*(Model!Y14/Model!Z8)/10^3+'Assumptions (Coal)'!Y24*(Model!Z8-Y14)/10^9+'Assumptions (Coal)'!Y25*Model!Z9*((Z8-Model!Y14)/Model!Z8)/10^3,'Assumptions (Coal)'!Y24*Model!Z8/10^9+'Assumptions (Coal)'!Y25*Model!Z9/10^3)</f>
        <v>11.671574043556834</v>
      </c>
      <c r="AA10" s="105">
        <f>IF(Z14&gt;0,'Assumptions (Coal)'!Z17*Model!Z14/10^9+'Assumptions (Coal)'!Z18*Model!AA9*(Model!Z14/Model!AA8)/10^3+'Assumptions (Coal)'!Z24*(Model!AA8-Z14)/10^9+'Assumptions (Coal)'!Z25*Model!AA9*((AA8-Model!Z14)/Model!AA8)/10^3,'Assumptions (Coal)'!Z24*Model!AA8/10^9+'Assumptions (Coal)'!Z25*Model!AA9/10^3)</f>
        <v>11.447220553267321</v>
      </c>
      <c r="AB10" s="105">
        <f>IF(AA14&gt;0,'Assumptions (Coal)'!AA17*Model!AA14/10^9+'Assumptions (Coal)'!AA18*Model!AB9*(Model!AA14/Model!AB8)/10^3+'Assumptions (Coal)'!AA24*(Model!AB8-AA14)/10^9+'Assumptions (Coal)'!AA25*Model!AB9*((AB8-Model!AA14)/Model!AB8)/10^3,'Assumptions (Coal)'!AA24*Model!AB8/10^9+'Assumptions (Coal)'!AA25*Model!AB9/10^3)</f>
        <v>11.210571387620693</v>
      </c>
      <c r="AC10" s="105">
        <f>IF(AB14&gt;0,'Assumptions (Coal)'!AB17*Model!AB14/10^9+'Assumptions (Coal)'!AB18*Model!AC9*(Model!AB14/Model!AC8)/10^3+'Assumptions (Coal)'!AB24*(Model!AC8-AB14)/10^9+'Assumptions (Coal)'!AB25*Model!AC9*((AC8-Model!AB14)/Model!AC8)/10^3,'Assumptions (Coal)'!AB24*Model!AC8/10^9+'Assumptions (Coal)'!AB25*Model!AC9/10^3)</f>
        <v>10.961248391610781</v>
      </c>
      <c r="AD10" s="105">
        <f>IF(AC14&gt;0,'Assumptions (Coal)'!AC17*Model!AC14/10^9+'Assumptions (Coal)'!AC18*Model!AD9*(Model!AC14/Model!AD8)/10^3+'Assumptions (Coal)'!AC24*(Model!AD8-AC14)/10^9+'Assumptions (Coal)'!AC25*Model!AD9*((AD8-Model!AC14)/Model!AD8)/10^3,'Assumptions (Coal)'!AC24*Model!AD8/10^9+'Assumptions (Coal)'!AC25*Model!AD9/10^3)</f>
        <v>10.698863626691089</v>
      </c>
      <c r="AE10" s="105">
        <f>IF(AD14&gt;0,'Assumptions (Coal)'!AD17*Model!AD14/10^9+'Assumptions (Coal)'!AD18*Model!AE9*(Model!AD14/Model!AE8)/10^3+'Assumptions (Coal)'!AD24*(Model!AE8-AD14)/10^9+'Assumptions (Coal)'!AD25*Model!AE9*((AE8-Model!AD14)/Model!AE8)/10^3,'Assumptions (Coal)'!AD24*Model!AE8/10^9+'Assumptions (Coal)'!AD25*Model!AE9/10^3)</f>
        <v>10.423019138207339</v>
      </c>
      <c r="AF10" s="105">
        <f>IF(AE14&gt;0,'Assumptions (Coal)'!AE17*Model!AE14/10^9+'Assumptions (Coal)'!AE18*Model!AF9*(Model!AE14/Model!AF8)/10^3+'Assumptions (Coal)'!AE24*(Model!AF8-AE14)/10^9+'Assumptions (Coal)'!AE25*Model!AF9*((AF8-Model!AE14)/Model!AF8)/10^3,'Assumptions (Coal)'!AE24*Model!AF8/10^9+'Assumptions (Coal)'!AE25*Model!AF9/10^3)</f>
        <v>10.133306717573456</v>
      </c>
      <c r="AG10" s="105">
        <f>IF(AF14&gt;0,'Assumptions (Coal)'!AF17*Model!AF14/10^9+'Assumptions (Coal)'!AF18*Model!AG9*(Model!AF14/Model!AG8)/10^3+'Assumptions (Coal)'!AF24*(Model!AG8-AF14)/10^9+'Assumptions (Coal)'!AF25*Model!AG9*((AG8-Model!AF14)/Model!AG8)/10^3,'Assumptions (Coal)'!AF24*Model!AG8/10^9+'Assumptions (Coal)'!AF25*Model!AG9/10^3)</f>
        <v>9.8293076590760684</v>
      </c>
      <c r="AH10" s="105">
        <f>IF(AG14&gt;0,'Assumptions (Coal)'!AG17*Model!AG14/10^9+'Assumptions (Coal)'!AG18*Model!AH9*(Model!AG14/Model!AH8)/10^3+'Assumptions (Coal)'!AG24*(Model!AH8-AG14)/10^9+'Assumptions (Coal)'!AG25*Model!AH9*((AH8-Model!AG14)/Model!AH8)/10^3,'Assumptions (Coal)'!AG24*Model!AH8/10^9+'Assumptions (Coal)'!AG25*Model!AH9/10^3)</f>
        <v>9.5105925111901861</v>
      </c>
      <c r="AI10" s="105">
        <f>IF(AH14&gt;0,'Assumptions (Coal)'!AH17*Model!AH14/10^9+'Assumptions (Coal)'!AH18*Model!AI9*(Model!AH14/Model!AI8)/10^3+'Assumptions (Coal)'!AH24*(Model!AI8-AH14)/10^9+'Assumptions (Coal)'!AH25*Model!AI9*((AI8-Model!AH14)/Model!AI8)/10^3,'Assumptions (Coal)'!AH24*Model!AI8/10^9+'Assumptions (Coal)'!AH25*Model!AI9/10^3)</f>
        <v>9.1767208222862102</v>
      </c>
      <c r="AJ10" s="105">
        <f>IF(AI14&gt;0,'Assumptions (Coal)'!AI17*Model!AI14/10^9+'Assumptions (Coal)'!AI18*Model!AJ9*(Model!AI14/Model!AJ8)/10^3+'Assumptions (Coal)'!AI24*(Model!AJ8-AI14)/10^9+'Assumptions (Coal)'!AI25*Model!AJ9*((AJ8-Model!AI14)/Model!AJ8)/10^3,'Assumptions (Coal)'!AI24*Model!AJ8/10^9+'Assumptions (Coal)'!AI25*Model!AJ9/10^3)</f>
        <v>8.8386217862838219</v>
      </c>
      <c r="AK10" s="105">
        <f>IF(AJ14&gt;0,'Assumptions (Coal)'!AJ17*Model!AJ14/10^9+'Assumptions (Coal)'!AJ18*Model!AK9*(Model!AJ14/Model!AK8)/10^3+'Assumptions (Coal)'!AJ24*(Model!AK8-AJ14)/10^9+'Assumptions (Coal)'!AJ25*Model!AK9*((AK8-Model!AJ14)/Model!AK8)/10^3,'Assumptions (Coal)'!AJ24*Model!AK8/10^9+'Assumptions (Coal)'!AJ25*Model!AK9/10^3)</f>
        <v>8.5983239136405611</v>
      </c>
      <c r="AL10" s="105">
        <f>IF(AK14&gt;0,'Assumptions (Coal)'!AK17*Model!AK14/10^9+'Assumptions (Coal)'!AK18*Model!AL9*(Model!AK14/Model!AL8)/10^3+'Assumptions (Coal)'!AK24*(Model!AL8-AK14)/10^9+'Assumptions (Coal)'!AK25*Model!AL9*((AL8-Model!AK14)/Model!AL8)/10^3,'Assumptions (Coal)'!AK24*Model!AL8/10^9+'Assumptions (Coal)'!AK25*Model!AL9/10^3)</f>
        <v>8.2192562730964873</v>
      </c>
      <c r="AM10" s="105">
        <f>IF(AL14&gt;0,'Assumptions (Coal)'!AL17*Model!AL14/10^9+'Assumptions (Coal)'!AL18*Model!AM9*(Model!AL14/Model!AM8)/10^3+'Assumptions (Coal)'!AL24*(Model!AM8-AL14)/10^9+'Assumptions (Coal)'!AL25*Model!AM9*((AM8-Model!AL14)/Model!AM8)/10^3,'Assumptions (Coal)'!AL24*Model!AM8/10^9+'Assumptions (Coal)'!AL25*Model!AM9/10^3)</f>
        <v>7.7792034084595478</v>
      </c>
      <c r="AN10" s="105">
        <f>IF(AM14&gt;0,'Assumptions (Coal)'!AM17*Model!AM14/10^9+'Assumptions (Coal)'!AM18*Model!AN9*(Model!AM14/Model!AN8)/10^3+'Assumptions (Coal)'!AM24*(Model!AN8-AM14)/10^9+'Assumptions (Coal)'!AM25*Model!AN9*((AN8-Model!AM14)/Model!AN8)/10^3,'Assumptions (Coal)'!AM24*Model!AN8/10^9+'Assumptions (Coal)'!AM25*Model!AN9/10^3)</f>
        <v>7.7225242437613968</v>
      </c>
      <c r="AO10" s="105">
        <f>IF(AN14&gt;0,'Assumptions (Coal)'!AN17*Model!AN14/10^9+'Assumptions (Coal)'!AN18*Model!AO9*(Model!AN14/Model!AO8)/10^3+'Assumptions (Coal)'!AN24*(Model!AO8-AN14)/10^9+'Assumptions (Coal)'!AN25*Model!AO9*((AO8-Model!AN14)/Model!AO8)/10^3,'Assumptions (Coal)'!AN24*Model!AO8/10^9+'Assumptions (Coal)'!AN25*Model!AO9/10^3)</f>
        <v>6.9811719775117584</v>
      </c>
      <c r="AP10" s="105">
        <f>IF(AO14&gt;0,'Assumptions (Coal)'!AO17*Model!AO14/10^9+'Assumptions (Coal)'!AO18*Model!AP9*(Model!AO14/Model!AP8)/10^3+'Assumptions (Coal)'!AO24*(Model!AP8-AO14)/10^9+'Assumptions (Coal)'!AO25*Model!AP9*((AP8-Model!AO14)/Model!AP8)/10^3,'Assumptions (Coal)'!AO24*Model!AP8/10^9+'Assumptions (Coal)'!AO25*Model!AP9/10^3)</f>
        <v>6.5122452651296152</v>
      </c>
      <c r="AQ10" s="105">
        <f>IF(AP14&gt;0,'Assumptions (Coal)'!AP17*Model!AP14/10^9+'Assumptions (Coal)'!AP18*Model!AQ9*(Model!AP14/Model!AQ8)/10^3+'Assumptions (Coal)'!AP24*(Model!AQ8-AP14)/10^9+'Assumptions (Coal)'!AP25*Model!AQ9*((AQ8-Model!AP14)/Model!AQ8)/10^3,'Assumptions (Coal)'!AP24*Model!AQ8/10^9+'Assumptions (Coal)'!AP25*Model!AQ9/10^3)</f>
        <v>5.9328335647617951</v>
      </c>
      <c r="AR10" s="105">
        <f>IF(AQ14&gt;0,'Assumptions (Coal)'!AQ17*Model!AQ14/10^9+'Assumptions (Coal)'!AQ18*Model!AR9*(Model!AQ14/Model!AR8)/10^3+'Assumptions (Coal)'!AQ24*(Model!AR8-AQ14)/10^9+'Assumptions (Coal)'!AQ25*Model!AR9*((AR8-Model!AQ14)/Model!AR8)/10^3,'Assumptions (Coal)'!AQ24*Model!AR8/10^9+'Assumptions (Coal)'!AQ25*Model!AR9/10^3)</f>
        <v>5.694611781945218</v>
      </c>
      <c r="AS10" s="105">
        <f>IF(AR14&gt;0,'Assumptions (Coal)'!AR17*Model!AR14/10^9+'Assumptions (Coal)'!AR18*Model!AS9*(Model!AR14/Model!AS8)/10^3+'Assumptions (Coal)'!AR24*(Model!AS8-AR14)/10^9+'Assumptions (Coal)'!AR25*Model!AS9*((AS8-Model!AR14)/Model!AS8)/10^3,'Assumptions (Coal)'!AR24*Model!AS8/10^9+'Assumptions (Coal)'!AR25*Model!AS9/10^3)</f>
        <v>5.1671778475599099</v>
      </c>
      <c r="AT10" s="105">
        <f>IF(AS14&gt;0,'Assumptions (Coal)'!AS17*Model!AS14/10^9+'Assumptions (Coal)'!AS18*Model!AT9*(Model!AS14/Model!AT8)/10^3+'Assumptions (Coal)'!AS24*(Model!AT8-AS14)/10^9+'Assumptions (Coal)'!AS25*Model!AT9*((AT8-Model!AS14)/Model!AT8)/10^3,'Assumptions (Coal)'!AS24*Model!AT8/10^9+'Assumptions (Coal)'!AS25*Model!AT9/10^3)</f>
        <v>4.5107936224224314</v>
      </c>
      <c r="AU10" s="105">
        <f>IF(AT14&gt;0,'Assumptions (Coal)'!AT17*Model!AT14/10^9+'Assumptions (Coal)'!AT18*Model!AU9*(Model!AT14/Model!AU8)/10^3+'Assumptions (Coal)'!AT24*(Model!AU8-AT14)/10^9+'Assumptions (Coal)'!AT25*Model!AU9*((AU8-Model!AT14)/Model!AU8)/10^3,'Assumptions (Coal)'!AT24*Model!AU8/10^9+'Assumptions (Coal)'!AT25*Model!AU9/10^3)</f>
        <v>4.3324546750521904</v>
      </c>
      <c r="AV10" s="105">
        <f>IF(AU14&gt;0,'Assumptions (Coal)'!AU17*Model!AU14/10^9+'Assumptions (Coal)'!AU18*Model!AV9*(Model!AU14/Model!AV8)/10^3+'Assumptions (Coal)'!AU24*(Model!AV8-AU14)/10^9+'Assumptions (Coal)'!AU25*Model!AV9*((AV8-Model!AU14)/Model!AV8)/10^3,'Assumptions (Coal)'!AU24*Model!AV8/10^9+'Assumptions (Coal)'!AU25*Model!AV9/10^3)</f>
        <v>3.3484289089915662</v>
      </c>
      <c r="AW10" s="105">
        <f>IF(AV14&gt;0,'Assumptions (Coal)'!AV17*Model!AV14/10^9+'Assumptions (Coal)'!AV18*Model!AW9*(Model!AV14/Model!AW8)/10^3+'Assumptions (Coal)'!AV24*(Model!AW8-AV14)/10^9+'Assumptions (Coal)'!AV25*Model!AW9*((AW8-Model!AV14)/Model!AW8)/10^3,'Assumptions (Coal)'!AV24*Model!AW8/10^9+'Assumptions (Coal)'!AV25*Model!AW9/10^3)</f>
        <v>2.8495924430304989</v>
      </c>
      <c r="AX10" s="105">
        <f>IF(AW14&gt;0,'Assumptions (Coal)'!AW17*Model!AW14/10^9+'Assumptions (Coal)'!AW18*Model!AX9*(Model!AW14/Model!AX8)/10^3+'Assumptions (Coal)'!AW24*(Model!AX8-AW14)/10^9+'Assumptions (Coal)'!AW25*Model!AX9*((AX8-Model!AW14)/Model!AX8)/10^3,'Assumptions (Coal)'!AW24*Model!AX8/10^9+'Assumptions (Coal)'!AW25*Model!AX9/10^3)</f>
        <v>2.013504045745063</v>
      </c>
      <c r="AY10" s="105">
        <f>IF(AX14&gt;0,'Assumptions (Coal)'!AX17*Model!AX14/10^9+'Assumptions (Coal)'!AX18*Model!AY9*(Model!AX14/Model!AY8)/10^3+'Assumptions (Coal)'!AX24*(Model!AY8-AX14)/10^9+'Assumptions (Coal)'!AX25*Model!AY9*((AY8-Model!AX14)/Model!AY8)/10^3,'Assumptions (Coal)'!AX24*Model!AY8/10^9+'Assumptions (Coal)'!AX25*Model!AY9/10^3)</f>
        <v>1.6600588903104212</v>
      </c>
      <c r="AZ10" s="105">
        <f>IF(AY14&gt;0,'Assumptions (Coal)'!AY17*Model!AY14/10^9+'Assumptions (Coal)'!AY18*Model!AZ9*(Model!AY14/Model!AZ8)/10^3+'Assumptions (Coal)'!AY24*(Model!AZ8-AY14)/10^9+'Assumptions (Coal)'!AY25*Model!AZ9*((AZ8-Model!AY14)/Model!AZ8)/10^3,'Assumptions (Coal)'!AY24*Model!AZ8/10^9+'Assumptions (Coal)'!AY25*Model!AZ9/10^3)</f>
        <v>0.69623377577125845</v>
      </c>
      <c r="BA10" s="105">
        <f>IF(AZ14&gt;0,'Assumptions (Coal)'!AZ17*Model!AZ14/10^9+'Assumptions (Coal)'!AZ18*Model!BA9*(Model!AZ14/Model!BA8)/10^3+'Assumptions (Coal)'!AZ24*(Model!BA8-AZ14)/10^9+'Assumptions (Coal)'!AZ25*Model!BA9*((BA8-Model!AZ14)/Model!BA8)/10^3,'Assumptions (Coal)'!AZ24*Model!BA8/10^9+'Assumptions (Coal)'!AZ25*Model!BA9/10^3)</f>
        <v>4.3337768268722927E-6</v>
      </c>
    </row>
    <row r="11" spans="1:82" ht="14.6">
      <c r="A11" s="98" t="s">
        <v>34</v>
      </c>
      <c r="B11" s="99" t="s">
        <v>201</v>
      </c>
      <c r="C11" s="105">
        <f>'Assumptions (Coal)'!B29*Model!C9/10^3</f>
        <v>35.113061961425998</v>
      </c>
      <c r="D11" s="105">
        <f>'Assumptions (Coal)'!C29*Model!D9/10^3</f>
        <v>33.998238797921985</v>
      </c>
      <c r="E11" s="105">
        <f>'Assumptions (Coal)'!D29*Model!E9/10^3</f>
        <v>34.520652701912987</v>
      </c>
      <c r="F11" s="105">
        <f>'Assumptions (Coal)'!E29*Model!F9/10^3</f>
        <v>35.245273299273002</v>
      </c>
      <c r="G11" s="105">
        <f>'Assumptions (Coal)'!F29*Model!G9/10^3</f>
        <v>35.325806806631995</v>
      </c>
      <c r="H11" s="105">
        <f>'Assumptions (Coal)'!G29*Model!H9/10^3</f>
        <v>35.943814553615994</v>
      </c>
      <c r="I11" s="105">
        <f>'Assumptions (Coal)'!H29*Model!I9/10^3</f>
        <v>35.545645728117002</v>
      </c>
      <c r="J11" s="105">
        <f>'Assumptions (Coal)'!I29*Model!J9/10^3</f>
        <v>36.00848342123399</v>
      </c>
      <c r="K11" s="105">
        <f>'Assumptions (Coal)'!J29*Model!K9/10^3</f>
        <v>41.469782071598999</v>
      </c>
      <c r="L11" s="105">
        <f>'Assumptions (Coal)'!K29*Model!L9/10^3</f>
        <v>39.145978137252989</v>
      </c>
      <c r="M11" s="105">
        <f>'Assumptions (Coal)'!L29*Model!M9/10^3</f>
        <v>42.303165330493989</v>
      </c>
      <c r="N11" s="105">
        <f>'Assumptions (Coal)'!M29*Model!N9/10^3</f>
        <v>41.793047617107419</v>
      </c>
      <c r="O11" s="105">
        <f>'Assumptions (Coal)'!N29*Model!O9/10^3</f>
        <v>36.341144688547999</v>
      </c>
      <c r="P11" s="105">
        <f>'Assumptions (Coal)'!O29*Model!P9/10^3</f>
        <v>37.320126588393478</v>
      </c>
      <c r="Q11" s="105">
        <f>'Assumptions (Coal)'!P29*Model!Q9/10^3</f>
        <v>37.811863595432499</v>
      </c>
      <c r="R11" s="105">
        <f>'Assumptions (Coal)'!Q29*Model!R9/10^3</f>
        <v>30.278517182436016</v>
      </c>
      <c r="S11" s="105">
        <f>'Assumptions (Coal)'!R29*Model!S9/10^3</f>
        <v>26.461997738104998</v>
      </c>
      <c r="T11" s="105">
        <f>'Assumptions (Coal)'!S29*Model!T9/10^3</f>
        <v>26.387214576664004</v>
      </c>
      <c r="U11" s="105">
        <f>'Assumptions (Coal)'!T29*Model!U9/10^3</f>
        <v>26.084971369865997</v>
      </c>
      <c r="V11" s="105">
        <f>'Assumptions (Coal)'!U29*Model!V9/10^3</f>
        <v>24.907763728666001</v>
      </c>
      <c r="W11" s="105">
        <f>'Assumptions (Coal)'!V29*Model!W9/10^3</f>
        <v>28.93712121059999</v>
      </c>
      <c r="X11" s="105">
        <f>IF(W14=0,'Assumptions (Coal)'!W29*Model!X9/10^3,('Assumptions (Coal)'!W29*(Model!X8-W14)/Model!X8+'Assumptions (Coal)'!W22*(Model!W14/Model!X8))*Model!X9/10^3)</f>
        <v>28.734549419382979</v>
      </c>
      <c r="Y11" s="105">
        <f>IF(X14=0,'Assumptions (Coal)'!X29*Model!Y9/10^3,('Assumptions (Coal)'!X29*(Model!Y8-X14)/Model!Y8+'Assumptions (Coal)'!X22*(Model!X14/Model!Y8))*Model!Y9/10^3)</f>
        <v>28.262826454715515</v>
      </c>
      <c r="Z11" s="105">
        <f>IF(Y14=0,'Assumptions (Coal)'!Y29*Model!Z9/10^3,('Assumptions (Coal)'!Y29*(Model!Z8-Y14)/Model!Z8+'Assumptions (Coal)'!Y22*(Model!Y14/Model!Z8))*Model!Z9/10^3)</f>
        <v>28.050962732541031</v>
      </c>
      <c r="AA11" s="105">
        <f>IF(Z14=0,'Assumptions (Coal)'!Z29*Model!AA9/10^3,('Assumptions (Coal)'!Z29*(Model!AA8-Z14)/Model!AA8+'Assumptions (Coal)'!Z22*(Model!Z14/Model!AA8))*Model!AA9/10^3)</f>
        <v>27.969278788720377</v>
      </c>
      <c r="AB11" s="105">
        <f>IF(AA14=0,'Assumptions (Coal)'!AA29*Model!AB9/10^3,('Assumptions (Coal)'!AA29*(Model!AB8-AA14)/Model!AB8+'Assumptions (Coal)'!AA22*(Model!AA14/Model!AB8))*Model!AB9/10^3)</f>
        <v>27.713988526464213</v>
      </c>
      <c r="AC11" s="105">
        <f>IF(AB14=0,'Assumptions (Coal)'!AB29*Model!AC9/10^3,('Assumptions (Coal)'!AB29*(Model!AC8-AB14)/Model!AC8+'Assumptions (Coal)'!AB22*(Model!AB14/Model!AC8))*Model!AC9/10^3)</f>
        <v>27.289631103931384</v>
      </c>
      <c r="AD11" s="105">
        <f>IF(AC14=0,'Assumptions (Coal)'!AC29*Model!AD9/10^3,('Assumptions (Coal)'!AC29*(Model!AD8-AC14)/Model!AD8+'Assumptions (Coal)'!AC22*(Model!AC14/Model!AD8))*Model!AD9/10^3)</f>
        <v>26.796662931043038</v>
      </c>
      <c r="AE11" s="105">
        <f>IF(AD14=0,'Assumptions (Coal)'!AD29*Model!AE9/10^3,('Assumptions (Coal)'!AD29*(Model!AE8-AD14)/Model!AE8+'Assumptions (Coal)'!AD22*(Model!AD14/Model!AE8))*Model!AE9/10^3)</f>
        <v>26.19887847315789</v>
      </c>
      <c r="AF11" s="105">
        <f>IF(AE14=0,'Assumptions (Coal)'!AE29*Model!AF9/10^3,('Assumptions (Coal)'!AE29*(Model!AF8-AE14)/Model!AF8+'Assumptions (Coal)'!AE22*(Model!AE14/Model!AF8))*Model!AF9/10^3)</f>
        <v>25.620372574099608</v>
      </c>
      <c r="AG11" s="105">
        <f>IF(AF14=0,'Assumptions (Coal)'!AF29*Model!AG9/10^3,('Assumptions (Coal)'!AF29*(Model!AG8-AF14)/Model!AG8+'Assumptions (Coal)'!AF22*(Model!AF14/Model!AG8))*Model!AG9/10^3)</f>
        <v>25.024597614247927</v>
      </c>
      <c r="AH11" s="105">
        <f>IF(AG14=0,'Assumptions (Coal)'!AG29*Model!AH9/10^3,('Assumptions (Coal)'!AG29*(Model!AH8-AG14)/Model!AH8+'Assumptions (Coal)'!AG22*(Model!AG14/Model!AH8))*Model!AH9/10^3)</f>
        <v>24.327431238999583</v>
      </c>
      <c r="AI11" s="105">
        <f>IF(AH14=0,'Assumptions (Coal)'!AH29*Model!AI9/10^3,('Assumptions (Coal)'!AH29*(Model!AI8-AH14)/Model!AI8+'Assumptions (Coal)'!AH22*(Model!AH14/Model!AI8))*Model!AI9/10^3)</f>
        <v>23.589778242117124</v>
      </c>
      <c r="AJ11" s="105">
        <f>IF(AI14=0,'Assumptions (Coal)'!AI29*Model!AJ9/10^3,('Assumptions (Coal)'!AI29*(Model!AJ8-AI14)/Model!AJ8+'Assumptions (Coal)'!AI22*(Model!AI14/Model!AJ8))*Model!AJ9/10^3)</f>
        <v>22.881547675243176</v>
      </c>
      <c r="AK11" s="105">
        <f>IF(AJ14=0,'Assumptions (Coal)'!AJ29*Model!AK9/10^3,('Assumptions (Coal)'!AJ29*(Model!AK8-AJ14)/Model!AK8+'Assumptions (Coal)'!AJ22*(Model!AJ14/Model!AK8))*Model!AK9/10^3)</f>
        <v>22.073086269765998</v>
      </c>
      <c r="AL11" s="105">
        <f>IF(AK14=0,'Assumptions (Coal)'!AK29*Model!AL9/10^3,('Assumptions (Coal)'!AK29*(Model!AL8-AK14)/Model!AL8+'Assumptions (Coal)'!AK22*(Model!AK14/Model!AL8))*Model!AL9/10^3)</f>
        <v>21.296348232731461</v>
      </c>
      <c r="AM11" s="105">
        <f>IF(AL14=0,'Assumptions (Coal)'!AL29*Model!AM9/10^3,('Assumptions (Coal)'!AL29*(Model!AM8-AL14)/Model!AM8+'Assumptions (Coal)'!AL22*(Model!AL14/Model!AM8))*Model!AM9/10^3)</f>
        <v>20.436334965249923</v>
      </c>
      <c r="AN11" s="105">
        <f>IF(AM14=0,'Assumptions (Coal)'!AM29*Model!AN9/10^3,('Assumptions (Coal)'!AM29*(Model!AN8-AM14)/Model!AN8+'Assumptions (Coal)'!AM22*(Model!AM14/Model!AN8))*Model!AN9/10^3)</f>
        <v>19.447414277239773</v>
      </c>
      <c r="AO11" s="105">
        <f>IF(AN14=0,'Assumptions (Coal)'!AN29*Model!AO9/10^3,('Assumptions (Coal)'!AN29*(Model!AO8-AN14)/Model!AO8+'Assumptions (Coal)'!AN22*(Model!AN14/Model!AO8))*Model!AO9/10^3)</f>
        <v>18.520560001122966</v>
      </c>
      <c r="AP11" s="105">
        <f>IF(AO14=0,'Assumptions (Coal)'!AO29*Model!AP9/10^3,('Assumptions (Coal)'!AO29*(Model!AP8-AO14)/Model!AP8+'Assumptions (Coal)'!AO22*(Model!AO14/Model!AP8))*Model!AP9/10^3)</f>
        <v>17.487334818360193</v>
      </c>
      <c r="AQ11" s="105">
        <f>IF(AP14=0,'Assumptions (Coal)'!AP29*Model!AQ9/10^3,('Assumptions (Coal)'!AP29*(Model!AQ8-AP14)/Model!AQ8+'Assumptions (Coal)'!AP22*(Model!AP14/Model!AQ8))*Model!AQ9/10^3)</f>
        <v>16.331828558446542</v>
      </c>
      <c r="AR11" s="105">
        <f>IF(AQ14=0,'Assumptions (Coal)'!AQ29*Model!AR9/10^3,('Assumptions (Coal)'!AQ29*(Model!AR8-AQ14)/Model!AR8+'Assumptions (Coal)'!AQ22*(Model!AQ14/Model!AR8))*Model!AR9/10^3)</f>
        <v>15.031440213848136</v>
      </c>
      <c r="AS11" s="105">
        <f>IF(AR14=0,'Assumptions (Coal)'!AR29*Model!AS9/10^3,('Assumptions (Coal)'!AR29*(Model!AS8-AR14)/Model!AS8+'Assumptions (Coal)'!AR22*(Model!AR14/Model!AS8))*Model!AS9/10^3)</f>
        <v>13.714109958347741</v>
      </c>
      <c r="AT11" s="105">
        <f>IF(AS14=0,'Assumptions (Coal)'!AS29*Model!AT9/10^3,('Assumptions (Coal)'!AS29*(Model!AT8-AS14)/Model!AT8+'Assumptions (Coal)'!AS22*(Model!AS14/Model!AT8))*Model!AT9/10^3)</f>
        <v>12.336230751557315</v>
      </c>
      <c r="AU11" s="105">
        <f>IF(AT14=0,'Assumptions (Coal)'!AT29*Model!AU9/10^3,('Assumptions (Coal)'!AT29*(Model!AU8-AT14)/Model!AU8+'Assumptions (Coal)'!AT22*(Model!AT14/Model!AU8))*Model!AU9/10^3)</f>
        <v>10.748981883959797</v>
      </c>
      <c r="AV11" s="105">
        <f>IF(AU14=0,'Assumptions (Coal)'!AU29*Model!AV9/10^3,('Assumptions (Coal)'!AU29*(Model!AV8-AU14)/Model!AV8+'Assumptions (Coal)'!AU22*(Model!AU14/Model!AV8))*Model!AV9/10^3)</f>
        <v>9.2789842229680186</v>
      </c>
      <c r="AW11" s="105">
        <f>IF(AV14=0,'Assumptions (Coal)'!AV29*Model!AW9/10^3,('Assumptions (Coal)'!AV29*(Model!AW8-AV14)/Model!AW8+'Assumptions (Coal)'!AV22*(Model!AV14/Model!AW8))*Model!AW9/10^3)</f>
        <v>7.5880869559132318</v>
      </c>
      <c r="AX11" s="105">
        <f>IF(AW14=0,'Assumptions (Coal)'!AW29*Model!AX9/10^3,('Assumptions (Coal)'!AW29*(Model!AX8-AW14)/Model!AX8+'Assumptions (Coal)'!AW22*(Model!AW14/Model!AX8))*Model!AX9/10^3)</f>
        <v>5.8849293193158791</v>
      </c>
      <c r="AY11" s="105">
        <f>IF(AX14=0,'Assumptions (Coal)'!AX29*Model!AY9/10^3,('Assumptions (Coal)'!AX29*(Model!AY8-AX14)/Model!AY8+'Assumptions (Coal)'!AX22*(Model!AX14/Model!AY8))*Model!AY9/10^3)</f>
        <v>3.9445341253438175</v>
      </c>
      <c r="AZ11" s="105">
        <f>IF(AY14=0,'Assumptions (Coal)'!AY29*Model!AZ9/10^3,('Assumptions (Coal)'!AY29*(Model!AZ8-AY14)/Model!AZ8+'Assumptions (Coal)'!AY22*(Model!AY14/Model!AZ8))*Model!AZ9/10^3)</f>
        <v>2.0714974103312782</v>
      </c>
      <c r="BA11" s="105">
        <f>IF(AZ14=0,'Assumptions (Coal)'!AZ29*Model!BA9/10^3,('Assumptions (Coal)'!AZ29*(Model!BA8-AZ14)/Model!BA8+'Assumptions (Coal)'!AZ22*(Model!AZ14/Model!BA8))*Model!BA9/10^3)</f>
        <v>5.3466794199999991E-9</v>
      </c>
    </row>
    <row r="12" spans="1:82" ht="14.6">
      <c r="A12" s="98" t="s">
        <v>36</v>
      </c>
      <c r="B12" s="99" t="s">
        <v>201</v>
      </c>
      <c r="C12" s="105">
        <f>C9*'Assumptions (Coal)'!B39/10^3</f>
        <v>131.4733447047708</v>
      </c>
      <c r="D12" s="105">
        <f>D9*'Assumptions (Coal)'!C39/10^3</f>
        <v>130.39162315994218</v>
      </c>
      <c r="E12" s="105">
        <f>E9*'Assumptions (Coal)'!D39/10^3</f>
        <v>119.69863016306435</v>
      </c>
      <c r="F12" s="105">
        <f>F9*'Assumptions (Coal)'!E39/10^3</f>
        <v>148.55556405285512</v>
      </c>
      <c r="G12" s="105">
        <f>G9*'Assumptions (Coal)'!F39/10^3</f>
        <v>156.43916068274319</v>
      </c>
      <c r="H12" s="105">
        <f>H9*'Assumptions (Coal)'!G39/10^3</f>
        <v>192.72354768844318</v>
      </c>
      <c r="I12" s="105">
        <f>I9*'Assumptions (Coal)'!H39/10^3</f>
        <v>171.47031004126171</v>
      </c>
      <c r="J12" s="105">
        <f>J9*'Assumptions (Coal)'!I39/10^3</f>
        <v>176.5511431612114</v>
      </c>
      <c r="K12" s="105">
        <f>K9*'Assumptions (Coal)'!J39/10^3</f>
        <v>201.20629682571743</v>
      </c>
      <c r="L12" s="105">
        <f>L9*'Assumptions (Coal)'!K39/10^3</f>
        <v>124.21118301907426</v>
      </c>
      <c r="M12" s="105">
        <f>M9*'Assumptions (Coal)'!L39/10^3</f>
        <v>135.11642446330578</v>
      </c>
      <c r="N12" s="105">
        <f>N9*'Assumptions (Coal)'!M39/10^3</f>
        <v>122.13338178550381</v>
      </c>
      <c r="O12" s="105">
        <f>O9*'Assumptions (Coal)'!N39/10^3</f>
        <v>92.217733400578794</v>
      </c>
      <c r="P12" s="105">
        <f>P9*'Assumptions (Coal)'!O39/10^3</f>
        <v>106.92672623527346</v>
      </c>
      <c r="Q12" s="105">
        <f>Q9*'Assumptions (Coal)'!P39/10^3</f>
        <v>114.78191870301166</v>
      </c>
      <c r="R12" s="105">
        <f>R9*'Assumptions (Coal)'!Q39/10^3</f>
        <v>80.843451822050838</v>
      </c>
      <c r="S12" s="105">
        <f>S9*'Assumptions (Coal)'!R39/10^3</f>
        <v>79.556106943849997</v>
      </c>
      <c r="T12" s="105">
        <f>T9*'Assumptions (Coal)'!S39/10^3</f>
        <v>79.316370259760006</v>
      </c>
      <c r="U12" s="105">
        <f>U9*'Assumptions (Coal)'!T39/10^3</f>
        <v>80.489049406199996</v>
      </c>
      <c r="V12" s="105">
        <f>V9*'Assumptions (Coal)'!U39/10^3</f>
        <v>77.922058112990015</v>
      </c>
      <c r="W12" s="105">
        <f>W9*'Assumptions (Coal)'!V39/10^3</f>
        <v>81.064576319999986</v>
      </c>
      <c r="X12" s="105">
        <f>X9*'Assumptions (Coal)'!W39/10^3</f>
        <v>78.956779066228023</v>
      </c>
      <c r="Y12" s="105">
        <f>Y9*'Assumptions (Coal)'!X39/10^3</f>
        <v>76.937997696460258</v>
      </c>
      <c r="Z12" s="105">
        <f>Z9*'Assumptions (Coal)'!Y39/10^3</f>
        <v>75.400308378701652</v>
      </c>
      <c r="AA12" s="105">
        <f>AA9*'Assumptions (Coal)'!Z39/10^3</f>
        <v>73.987723992953306</v>
      </c>
      <c r="AB12" s="105">
        <f>AB9*'Assumptions (Coal)'!AA39/10^3</f>
        <v>73.149007051225254</v>
      </c>
      <c r="AC12" s="105">
        <f>AC9*'Assumptions (Coal)'!AB39/10^3</f>
        <v>71.356897825494059</v>
      </c>
      <c r="AD12" s="105">
        <f>AD9*'Assumptions (Coal)'!AC39/10^3</f>
        <v>69.727491795777325</v>
      </c>
      <c r="AE12" s="105">
        <f>AE9*'Assumptions (Coal)'!AD39/10^3</f>
        <v>67.867300690066898</v>
      </c>
      <c r="AF12" s="105">
        <f>AF9*'Assumptions (Coal)'!AE39/10^3</f>
        <v>65.97556967636811</v>
      </c>
      <c r="AG12" s="105">
        <f>AG9*'Assumptions (Coal)'!AF39/10^3</f>
        <v>63.99422896267982</v>
      </c>
      <c r="AH12" s="105">
        <f>AH9*'Assumptions (Coal)'!AG39/10^3</f>
        <v>62.007810167006632</v>
      </c>
      <c r="AI12" s="105">
        <f>AI9*'Assumptions (Coal)'!AH39/10^3</f>
        <v>59.667630663331515</v>
      </c>
      <c r="AJ12" s="105">
        <f>AJ9*'Assumptions (Coal)'!AI39/10^3</f>
        <v>57.208004991663927</v>
      </c>
      <c r="AK12" s="105">
        <f>AK9*'Assumptions (Coal)'!AJ39/10^3</f>
        <v>54.664542212005976</v>
      </c>
      <c r="AL12" s="105">
        <f>AL9*'Assumptions (Coal)'!AK39/10^3</f>
        <v>52.107652504364118</v>
      </c>
      <c r="AM12" s="105">
        <f>AM9*'Assumptions (Coal)'!AL39/10^3</f>
        <v>49.641817236751535</v>
      </c>
      <c r="AN12" s="105">
        <f>AN9*'Assumptions (Coal)'!AM39/10^3</f>
        <v>47.003259919147879</v>
      </c>
      <c r="AO12" s="105">
        <f>AO9*'Assumptions (Coal)'!AN39/10^3</f>
        <v>44.361813917573087</v>
      </c>
      <c r="AP12" s="105">
        <f>AP9*'Assumptions (Coal)'!AO39/10^3</f>
        <v>41.573654370014154</v>
      </c>
      <c r="AQ12" s="105">
        <f>AQ9*'Assumptions (Coal)'!AP39/10^3</f>
        <v>38.565423906459863</v>
      </c>
      <c r="AR12" s="105">
        <f>AR9*'Assumptions (Coal)'!AQ39/10^3</f>
        <v>35.387623950915497</v>
      </c>
      <c r="AS12" s="105">
        <f>AS9*'Assumptions (Coal)'!AR39/10^3</f>
        <v>32.054894535382829</v>
      </c>
      <c r="AT12" s="105">
        <f>AT9*'Assumptions (Coal)'!AS39/10^3</f>
        <v>28.60380907387135</v>
      </c>
      <c r="AU12" s="105">
        <f>AU9*'Assumptions (Coal)'!AT39/10^3</f>
        <v>25.02579584038385</v>
      </c>
      <c r="AV12" s="105">
        <f>AV9*'Assumptions (Coal)'!AU39/10^3</f>
        <v>21.289244878915095</v>
      </c>
      <c r="AW12" s="105">
        <f>AW9*'Assumptions (Coal)'!AV39/10^3</f>
        <v>17.349517305444884</v>
      </c>
      <c r="AX12" s="105">
        <f>AX9*'Assumptions (Coal)'!AW39/10^3</f>
        <v>13.29812963802372</v>
      </c>
      <c r="AY12" s="105">
        <f>AY9*'Assumptions (Coal)'!AX39/10^3</f>
        <v>9.1849890867696757</v>
      </c>
      <c r="AZ12" s="105">
        <f>AZ9*'Assumptions (Coal)'!AY39/10^3</f>
        <v>4.7148274114514317</v>
      </c>
      <c r="BA12" s="105">
        <f>BA9*'Assumptions (Coal)'!AZ39/10^3</f>
        <v>1.2087941E-8</v>
      </c>
    </row>
    <row r="13" spans="1:82" ht="14.6">
      <c r="A13" s="98" t="s">
        <v>38</v>
      </c>
      <c r="B13" s="99" t="s">
        <v>201</v>
      </c>
      <c r="C13" s="105">
        <f>C8*'Assumptions (Coal)'!B42*'Assumptions (Coal)'!B41*365/10^9</f>
        <v>0</v>
      </c>
      <c r="D13" s="105">
        <f>D8*'Assumptions (Coal)'!C42*'Assumptions (Coal)'!C41*365/10^9</f>
        <v>0</v>
      </c>
      <c r="E13" s="105">
        <f>E8*'Assumptions (Coal)'!D42*'Assumptions (Coal)'!D41*365/10^9</f>
        <v>0</v>
      </c>
      <c r="F13" s="105">
        <f>F8*'Assumptions (Coal)'!E42*'Assumptions (Coal)'!E41*365/10^9</f>
        <v>0</v>
      </c>
      <c r="G13" s="105">
        <f>G8*'Assumptions (Coal)'!F42*'Assumptions (Coal)'!F41*365/10^9</f>
        <v>0</v>
      </c>
      <c r="H13" s="105">
        <f>H8*'Assumptions (Coal)'!G42*'Assumptions (Coal)'!G41*365/10^9</f>
        <v>0</v>
      </c>
      <c r="I13" s="105">
        <f>I8*'Assumptions (Coal)'!H42*'Assumptions (Coal)'!H41*365/10^9</f>
        <v>0</v>
      </c>
      <c r="J13" s="105">
        <f>J8*'Assumptions (Coal)'!I42*'Assumptions (Coal)'!I41*365/10^9</f>
        <v>11.362578786838212</v>
      </c>
      <c r="K13" s="105">
        <f>K8*'Assumptions (Coal)'!J42*'Assumptions (Coal)'!J41*365/10^9</f>
        <v>11.57032380280183</v>
      </c>
      <c r="L13" s="105">
        <f>L8*'Assumptions (Coal)'!K42*'Assumptions (Coal)'!K41*365/10^9</f>
        <v>13.431852507676776</v>
      </c>
      <c r="M13" s="105">
        <f>M8*'Assumptions (Coal)'!L42*'Assumptions (Coal)'!L41*365/10^9</f>
        <v>9.4530306453010891</v>
      </c>
      <c r="N13" s="105">
        <f>N8*'Assumptions (Coal)'!M42*'Assumptions (Coal)'!M41*365/10^9</f>
        <v>9.7997991083353906</v>
      </c>
      <c r="O13" s="105">
        <f>O8*'Assumptions (Coal)'!N42*'Assumptions (Coal)'!N41*365/10^9</f>
        <v>9.2034822940351919</v>
      </c>
      <c r="P13" s="105">
        <f>P8*'Assumptions (Coal)'!O42*'Assumptions (Coal)'!O41*365/10^9</f>
        <v>7.7942777783301187</v>
      </c>
      <c r="Q13" s="105">
        <f>Q8*'Assumptions (Coal)'!P42*'Assumptions (Coal)'!P41*365/10^9</f>
        <v>8.5323604275830682</v>
      </c>
      <c r="R13" s="105">
        <f>R8*'Assumptions (Coal)'!Q42*'Assumptions (Coal)'!Q41*365/10^9</f>
        <v>8.5623714101165813</v>
      </c>
      <c r="S13" s="105">
        <f>S8*'Assumptions (Coal)'!R42*'Assumptions (Coal)'!R41*365/10^9</f>
        <v>6.5650224500138759</v>
      </c>
      <c r="T13" s="105">
        <f>T8*'Assumptions (Coal)'!S42*'Assumptions (Coal)'!S41*365/10^9</f>
        <v>6.8718609333108009</v>
      </c>
      <c r="U13" s="105">
        <f>U8*'Assumptions (Coal)'!T42*'Assumptions (Coal)'!T41*365/10^9</f>
        <v>6.3914196637271479</v>
      </c>
      <c r="V13" s="105">
        <f>V8*'Assumptions (Coal)'!U42*'Assumptions (Coal)'!U41*365/10^9</f>
        <v>6.4107054575756646</v>
      </c>
      <c r="W13" s="105">
        <f>W8*'Assumptions (Coal)'!V42*'Assumptions (Coal)'!V41*365/10^9</f>
        <v>6.2663783999999998</v>
      </c>
      <c r="X13" s="105">
        <f>X8*'Assumptions (Coal)'!W42*'Assumptions (Coal)'!W41*365/10^9</f>
        <v>6.1034435114145991</v>
      </c>
      <c r="Y13" s="105">
        <f>Y8*'Assumptions (Coal)'!X42*'Assumptions (Coal)'!X41*365/10^9</f>
        <v>5.9473896475143881</v>
      </c>
      <c r="Z13" s="105">
        <f>Z8*'Assumptions (Coal)'!Y42*'Assumptions (Coal)'!Y41*365/10^9</f>
        <v>5.8285247171776815</v>
      </c>
      <c r="AA13" s="105">
        <f>AA8*'Assumptions (Coal)'!Z42*'Assumptions (Coal)'!Z41*365/10^9</f>
        <v>5.7193305359637368</v>
      </c>
      <c r="AB13" s="105">
        <f>AB8*'Assumptions (Coal)'!AA42*'Assumptions (Coal)'!AA41*365/10^9</f>
        <v>5.654496929781109</v>
      </c>
      <c r="AC13" s="105">
        <f>AC8*'Assumptions (Coal)'!AB42*'Assumptions (Coal)'!AB41*365/10^9</f>
        <v>5.5159650796830775</v>
      </c>
      <c r="AD13" s="105">
        <f>AD8*'Assumptions (Coal)'!AC42*'Assumptions (Coal)'!AC41*365/10^9</f>
        <v>5.3900103664000296</v>
      </c>
      <c r="AE13" s="105">
        <f>AE8*'Assumptions (Coal)'!AD42*'Assumptions (Coal)'!AD41*365/10^9</f>
        <v>5.246215722608218</v>
      </c>
      <c r="AF13" s="105">
        <f>AF8*'Assumptions (Coal)'!AE42*'Assumptions (Coal)'!AE41*365/10^9</f>
        <v>5.0999830149083119</v>
      </c>
      <c r="AG13" s="105">
        <f>AG8*'Assumptions (Coal)'!AF42*'Assumptions (Coal)'!AF41*365/10^9</f>
        <v>4.9468233858682549</v>
      </c>
      <c r="AH13" s="105">
        <f>AH8*'Assumptions (Coal)'!AG42*'Assumptions (Coal)'!AG41*365/10^9</f>
        <v>4.7932712217655666</v>
      </c>
      <c r="AI13" s="105">
        <f>AI8*'Assumptions (Coal)'!AH42*'Assumptions (Coal)'!AH41*365/10^9</f>
        <v>4.6123729760191479</v>
      </c>
      <c r="AJ13" s="105">
        <f>AJ8*'Assumptions (Coal)'!AI42*'Assumptions (Coal)'!AI41*365/10^9</f>
        <v>4.4222414168472453</v>
      </c>
      <c r="AK13" s="105">
        <f>AK8*'Assumptions (Coal)'!AJ42*'Assumptions (Coal)'!AJ41*365/10^9</f>
        <v>4.2256291635168575</v>
      </c>
      <c r="AL13" s="105">
        <f>AL8*'Assumptions (Coal)'!AK42*'Assumptions (Coal)'!AK41*365/10^9</f>
        <v>4.0279790008010021</v>
      </c>
      <c r="AM13" s="105">
        <f>AM8*'Assumptions (Coal)'!AL42*'Assumptions (Coal)'!AL41*365/10^9</f>
        <v>3.8373674554656296</v>
      </c>
      <c r="AN13" s="105">
        <f>AN8*'Assumptions (Coal)'!AM42*'Assumptions (Coal)'!AM41*365/10^9</f>
        <v>3.6334043146456141</v>
      </c>
      <c r="AO13" s="105">
        <f>AO8*'Assumptions (Coal)'!AN42*'Assumptions (Coal)'!AN41*365/10^9</f>
        <v>3.4292178871334182</v>
      </c>
      <c r="AP13" s="105">
        <f>AP8*'Assumptions (Coal)'!AO42*'Assumptions (Coal)'!AO41*365/10^9</f>
        <v>3.2136903521052784</v>
      </c>
      <c r="AQ13" s="105">
        <f>AQ8*'Assumptions (Coal)'!AP42*'Assumptions (Coal)'!AP41*365/10^9</f>
        <v>2.9811511019139347</v>
      </c>
      <c r="AR13" s="105">
        <f>AR8*'Assumptions (Coal)'!AQ42*'Assumptions (Coal)'!AQ41*365/10^9</f>
        <v>2.7355039527482345</v>
      </c>
      <c r="AS13" s="105">
        <f>AS8*'Assumptions (Coal)'!AR42*'Assumptions (Coal)'!AR41*365/10^9</f>
        <v>2.477880595444919</v>
      </c>
      <c r="AT13" s="105">
        <f>AT8*'Assumptions (Coal)'!AS42*'Assumptions (Coal)'!AS41*365/10^9</f>
        <v>2.2111081978456415</v>
      </c>
      <c r="AU13" s="105">
        <f>AU8*'Assumptions (Coal)'!AT42*'Assumptions (Coal)'!AT41*365/10^9</f>
        <v>1.9345241574892604</v>
      </c>
      <c r="AV13" s="105">
        <f>AV8*'Assumptions (Coal)'!AU42*'Assumptions (Coal)'!AU41*365/10^9</f>
        <v>1.645684988874248</v>
      </c>
      <c r="AW13" s="105">
        <f>AW8*'Assumptions (Coal)'!AV42*'Assumptions (Coal)'!AV41*365/10^9</f>
        <v>1.3411400503855522</v>
      </c>
      <c r="AX13" s="105">
        <f>AX8*'Assumptions (Coal)'!AW42*'Assumptions (Coal)'!AW41*365/10^9</f>
        <v>1.0279636871067597</v>
      </c>
      <c r="AY13" s="105">
        <f>AY8*'Assumptions (Coal)'!AX42*'Assumptions (Coal)'!AX41*365/10^9</f>
        <v>0.71001382744899111</v>
      </c>
      <c r="AZ13" s="105">
        <f>AZ8*'Assumptions (Coal)'!AY42*'Assumptions (Coal)'!AY41*365/10^9</f>
        <v>0.36446582732940891</v>
      </c>
      <c r="BA13" s="105">
        <f>BA8*'Assumptions (Coal)'!AZ42*'Assumptions (Coal)'!AZ41*365/10^9</f>
        <v>4.8869314395769353E-6</v>
      </c>
    </row>
    <row r="14" spans="1:82" ht="15.75" customHeight="1">
      <c r="A14" s="98" t="s">
        <v>46</v>
      </c>
      <c r="B14" s="99" t="s">
        <v>152</v>
      </c>
      <c r="C14" s="20">
        <v>133.19999999999999</v>
      </c>
      <c r="D14" s="20">
        <v>440</v>
      </c>
      <c r="E14" s="86">
        <v>0</v>
      </c>
      <c r="F14" s="20">
        <v>85</v>
      </c>
      <c r="G14" s="20">
        <v>521</v>
      </c>
      <c r="H14" s="20">
        <v>388.1</v>
      </c>
      <c r="I14" s="20">
        <v>524</v>
      </c>
      <c r="J14" s="20">
        <v>1413.6</v>
      </c>
      <c r="K14" s="20">
        <v>1456.8</v>
      </c>
      <c r="L14" s="20">
        <v>1735.2</v>
      </c>
      <c r="M14" s="20">
        <v>4721.5</v>
      </c>
      <c r="N14" s="20">
        <v>3778</v>
      </c>
      <c r="O14" s="20">
        <v>3690</v>
      </c>
      <c r="P14" s="20">
        <v>1535</v>
      </c>
      <c r="Q14" s="20">
        <v>90</v>
      </c>
      <c r="R14" s="20">
        <v>2.2000000000000002</v>
      </c>
      <c r="S14" s="20">
        <v>0</v>
      </c>
      <c r="T14" s="20">
        <v>0</v>
      </c>
      <c r="U14" s="20">
        <v>17</v>
      </c>
      <c r="V14" s="20">
        <v>0</v>
      </c>
      <c r="W14" s="143">
        <v>0</v>
      </c>
      <c r="X14" s="90">
        <f>IF(X8-W8+'Assumptions (Coal)'!W48&gt;0,X8-W8+'Assumptions (Coal)'!W48,0)</f>
        <v>3222.9033333333246</v>
      </c>
      <c r="Y14" s="90">
        <f>IF(Y8-X8+'Assumptions (Coal)'!X48&gt;0,Y8-X8+'Assumptions (Coal)'!X48,0)</f>
        <v>0</v>
      </c>
      <c r="Z14" s="90">
        <f>IF(Z8-Y8+'Assumptions (Coal)'!Y48&gt;0,Z8-Y8+'Assumptions (Coal)'!Y48,0)</f>
        <v>0</v>
      </c>
      <c r="AA14" s="90">
        <f>IF(AA8-Z8+'Assumptions (Coal)'!Z48&gt;0,AA8-Z8+'Assumptions (Coal)'!Z48,0)</f>
        <v>0</v>
      </c>
      <c r="AB14" s="90">
        <f>IF(AB8-AA8+'Assumptions (Coal)'!AA48&gt;0,AB8-AA8+'Assumptions (Coal)'!AA48,0)</f>
        <v>0</v>
      </c>
      <c r="AC14" s="90">
        <f>IF(AC8-AB8+'Assumptions (Coal)'!AB48&gt;0,AC8-AB8+'Assumptions (Coal)'!AB48,0)</f>
        <v>0</v>
      </c>
      <c r="AD14" s="90">
        <f>IF(AD8-AC8+'Assumptions (Coal)'!AC48&gt;0,AD8-AC8+'Assumptions (Coal)'!AC48,0)</f>
        <v>0</v>
      </c>
      <c r="AE14" s="90">
        <f>IF(AE8-AD8+'Assumptions (Coal)'!AD48&gt;0,AE8-AD8+'Assumptions (Coal)'!AD48,0)</f>
        <v>0</v>
      </c>
      <c r="AF14" s="90">
        <f>IF(AF8-AE8+'Assumptions (Coal)'!AE48&gt;0,AF8-AE8+'Assumptions (Coal)'!AE48,0)</f>
        <v>0</v>
      </c>
      <c r="AG14" s="90">
        <f>IF(AG8-AF8+'Assumptions (Coal)'!AF48&gt;0,AG8-AF8+'Assumptions (Coal)'!AF48,0)</f>
        <v>0</v>
      </c>
      <c r="AH14" s="90">
        <f>IF(AH8-AG8+'Assumptions (Coal)'!AG48&gt;0,AH8-AG8+'Assumptions (Coal)'!AG48,0)</f>
        <v>0</v>
      </c>
      <c r="AI14" s="90">
        <f>IF(AI8-AH8+'Assumptions (Coal)'!AH48&gt;0,AI8-AH8+'Assumptions (Coal)'!AH48,0)</f>
        <v>171.20333333332746</v>
      </c>
      <c r="AJ14" s="90">
        <f>IF(AJ8-AI8+'Assumptions (Coal)'!AI48&gt;0,AJ8-AI8+'Assumptions (Coal)'!AI48,0)</f>
        <v>2024.1033333333271</v>
      </c>
      <c r="AK14" s="90">
        <f>IF(AK8-AJ8+'Assumptions (Coal)'!AJ48&gt;0,AK8-AJ8+'Assumptions (Coal)'!AJ48,0)</f>
        <v>2037.5033333333267</v>
      </c>
      <c r="AL14" s="90">
        <f>IF(AL8-AK8+'Assumptions (Coal)'!AK48&gt;0,AL8-AK8+'Assumptions (Coal)'!AK48,0)</f>
        <v>1418.6033333333271</v>
      </c>
      <c r="AM14" s="90">
        <f>IF(AM8-AL8+'Assumptions (Coal)'!AL48&gt;0,AM8-AL8+'Assumptions (Coal)'!AL48,0)</f>
        <v>6490.1033333333271</v>
      </c>
      <c r="AN14" s="90">
        <f>IF(AN8-AM8+'Assumptions (Coal)'!AM48&gt;0,AN8-AM8+'Assumptions (Coal)'!AM48,0)</f>
        <v>2119.0033333333267</v>
      </c>
      <c r="AO14" s="90">
        <f>IF(AO8-AN8+'Assumptions (Coal)'!AN48&gt;0,AO8-AN8+'Assumptions (Coal)'!AN48,0)</f>
        <v>1872.1033333333271</v>
      </c>
      <c r="AP14" s="90">
        <f>IF(AP8-AO8+'Assumptions (Coal)'!AO48&gt;0,AP8-AO8+'Assumptions (Coal)'!AO48,0)</f>
        <v>397.50333333332674</v>
      </c>
      <c r="AQ14" s="90">
        <f>IF(AQ8-AP8+'Assumptions (Coal)'!AP48&gt;0,AQ8-AP8+'Assumptions (Coal)'!AP48,0)</f>
        <v>3769.2033333333275</v>
      </c>
      <c r="AR14" s="90">
        <f>IF(AR8-AQ8+'Assumptions (Coal)'!AQ48&gt;0,AR8-AQ8+'Assumptions (Coal)'!AQ48,0)</f>
        <v>3513.303333333326</v>
      </c>
      <c r="AS14" s="90">
        <f>IF(AS8-AR8+'Assumptions (Coal)'!AR48&gt;0,AS8-AR8+'Assumptions (Coal)'!AR48,0)</f>
        <v>1868.6033333333344</v>
      </c>
      <c r="AT14" s="90">
        <f>IF(AT8-AS8+'Assumptions (Coal)'!AS48&gt;0,AT8-AS8+'Assumptions (Coal)'!AS48,0)</f>
        <v>6621.1033333333326</v>
      </c>
      <c r="AU14" s="90">
        <f>IF(AU8-AT8+'Assumptions (Coal)'!AT48&gt;0,AU8-AT8+'Assumptions (Coal)'!AT48,0)</f>
        <v>1419.4033333333336</v>
      </c>
      <c r="AV14" s="90">
        <f>IF(AV8-AU8+'Assumptions (Coal)'!AU48&gt;0,AV8-AU8+'Assumptions (Coal)'!AU48,0)</f>
        <v>2634.2033333333347</v>
      </c>
      <c r="AW14" s="90">
        <f>IF(AW8-AV8+'Assumptions (Coal)'!AV48&gt;0,AW8-AV8+'Assumptions (Coal)'!AV48,0)</f>
        <v>0</v>
      </c>
      <c r="AX14" s="90">
        <f>IF(AX8-AW8+'Assumptions (Coal)'!AW48&gt;0,AX8-AW8+'Assumptions (Coal)'!AW48,0)</f>
        <v>3501.9033333333336</v>
      </c>
      <c r="AY14" s="90">
        <f>IF(AY8-AX8+'Assumptions (Coal)'!AX48&gt;0,AY8-AX8+'Assumptions (Coal)'!AX48,0)</f>
        <v>0</v>
      </c>
      <c r="AZ14" s="90">
        <f>IF(AZ8-AY8+'Assumptions (Coal)'!AY48&gt;0,AZ8-AY8+'Assumptions (Coal)'!AY48,0)</f>
        <v>0</v>
      </c>
      <c r="BA14" s="90">
        <f>IF(BA8-AZ8+'Assumptions (Coal)'!AZ48&gt;0,BA8-AZ8+'Assumptions (Coal)'!AZ48,0)</f>
        <v>0</v>
      </c>
    </row>
    <row r="15" spans="1:82" ht="15.75" customHeight="1">
      <c r="A15" s="98" t="s">
        <v>48</v>
      </c>
      <c r="B15" s="99" t="s">
        <v>153</v>
      </c>
      <c r="C15" s="99"/>
      <c r="D15" s="99"/>
      <c r="E15" s="99"/>
      <c r="F15" s="99"/>
      <c r="G15" s="99"/>
      <c r="H15" s="99"/>
      <c r="I15" s="99"/>
      <c r="J15" s="99"/>
      <c r="K15" s="99"/>
      <c r="L15" s="99"/>
      <c r="M15" s="99"/>
      <c r="N15" s="99"/>
      <c r="O15" s="99"/>
      <c r="P15" s="99"/>
      <c r="Q15" s="99"/>
      <c r="R15" s="99"/>
      <c r="S15" s="99"/>
      <c r="T15" s="99"/>
      <c r="U15" s="99"/>
      <c r="V15" s="99"/>
      <c r="W15" s="90"/>
      <c r="X15" s="90">
        <f>IF(W14='Assumptions (Coal)'!$V$11,Model!X9-Model!X8*'Assumptions (Coal)'!V15*0.00876,0)</f>
        <v>0</v>
      </c>
      <c r="Y15" s="90">
        <f>IF(X14='Assumptions (Coal)'!$V$11,Model!Y9-Model!Y8*'Assumptions (Coal)'!W15*0.00876,0)</f>
        <v>0</v>
      </c>
      <c r="Z15" s="90">
        <f>IF(Y14='Assumptions (Coal)'!$V$11,Model!Z9-Model!Z8*'Assumptions (Coal)'!X15*0.00876,0)</f>
        <v>0</v>
      </c>
      <c r="AA15" s="90">
        <f>IF(Z14='Assumptions (Coal)'!$V$11,Model!AA9-Model!AA8*'Assumptions (Coal)'!Y15*0.00876,0)</f>
        <v>0</v>
      </c>
      <c r="AB15" s="90">
        <f>IF(AA14='Assumptions (Coal)'!$V$11,Model!AB9-Model!AB8*'Assumptions (Coal)'!Z15*0.00876,0)</f>
        <v>0</v>
      </c>
      <c r="AC15" s="90">
        <f>IF(AB14='Assumptions (Coal)'!$V$11,Model!AC9-Model!AC8*'Assumptions (Coal)'!AA15*0.00876,0)</f>
        <v>0</v>
      </c>
      <c r="AD15" s="90">
        <f>IF(AC14='Assumptions (Coal)'!$V$11,Model!AD9-Model!AD8*'Assumptions (Coal)'!AB15*0.00876,0)</f>
        <v>0</v>
      </c>
      <c r="AE15" s="90">
        <f>IF(AD14='Assumptions (Coal)'!$V$11,Model!AE9-Model!AE8*'Assumptions (Coal)'!AC15*0.00876,0)</f>
        <v>0</v>
      </c>
      <c r="AF15" s="90">
        <f>IF(AE14='Assumptions (Coal)'!$V$11,Model!AF9-Model!AF8*'Assumptions (Coal)'!AD15*0.00876,0)</f>
        <v>0</v>
      </c>
      <c r="AG15" s="90">
        <f>IF(AF14='Assumptions (Coal)'!$V$11,Model!AG9-Model!AG8*'Assumptions (Coal)'!AE15*0.00876,0)</f>
        <v>0</v>
      </c>
      <c r="AH15" s="90">
        <f>IF(AG14='Assumptions (Coal)'!$V$11,Model!AH9-Model!AH8*'Assumptions (Coal)'!AF15*0.00876,0)</f>
        <v>0</v>
      </c>
      <c r="AI15" s="90">
        <f>IF(AH14='Assumptions (Coal)'!$V$11,Model!AI9-Model!AI8*'Assumptions (Coal)'!AG15*0.00876,0)</f>
        <v>0</v>
      </c>
      <c r="AJ15" s="90">
        <f>IF(AI14='Assumptions (Coal)'!$V$11,Model!AJ9-Model!AJ8*'Assumptions (Coal)'!AH15*0.00876,0)</f>
        <v>0</v>
      </c>
      <c r="AK15" s="90">
        <f>IF(AJ14='Assumptions (Coal)'!$V$11,Model!AK9-Model!AK8*'Assumptions (Coal)'!AI15*0.00876,0)</f>
        <v>0</v>
      </c>
      <c r="AL15" s="90">
        <f>IF(AK14='Assumptions (Coal)'!$V$11,Model!AL9-Model!AL8*'Assumptions (Coal)'!AJ15*0.00876,0)</f>
        <v>0</v>
      </c>
      <c r="AM15" s="90">
        <f>IF(AL14='Assumptions (Coal)'!$V$11,Model!AM9-Model!AM8*'Assumptions (Coal)'!AK15*0.00876,0)</f>
        <v>0</v>
      </c>
      <c r="AN15" s="90">
        <f>IF(AM14='Assumptions (Coal)'!$V$11,Model!AN9-Model!AN8*'Assumptions (Coal)'!AL15*0.00876,0)</f>
        <v>0</v>
      </c>
      <c r="AO15" s="90">
        <f>IF(AN14='Assumptions (Coal)'!$V$11,Model!AO9-Model!AO8*'Assumptions (Coal)'!AM15*0.00876,0)</f>
        <v>0</v>
      </c>
      <c r="AP15" s="90">
        <f>IF(AO14='Assumptions (Coal)'!$V$11,Model!AP9-Model!AP8*'Assumptions (Coal)'!AN15*0.00876,0)</f>
        <v>0</v>
      </c>
      <c r="AQ15" s="90">
        <f>IF(AP14='Assumptions (Coal)'!$V$11,Model!AQ9-Model!AQ8*'Assumptions (Coal)'!AO15*0.00876,0)</f>
        <v>0</v>
      </c>
      <c r="AR15" s="90">
        <f>IF(AQ14='Assumptions (Coal)'!$V$11,Model!AR9-Model!AR8*'Assumptions (Coal)'!AP15*0.00876,0)</f>
        <v>0</v>
      </c>
      <c r="AS15" s="90">
        <f>IF(AR14='Assumptions (Coal)'!$V$11,Model!AS9-Model!AS8*'Assumptions (Coal)'!AQ15*0.00876,0)</f>
        <v>0</v>
      </c>
      <c r="AT15" s="90">
        <f>IF(AS14='Assumptions (Coal)'!$V$11,Model!AT9-Model!AT8*'Assumptions (Coal)'!AR15*0.00876,0)</f>
        <v>0</v>
      </c>
      <c r="AU15" s="90">
        <f>IF(AT14='Assumptions (Coal)'!$V$11,Model!AU9-Model!AU8*'Assumptions (Coal)'!AS15*0.00876,0)</f>
        <v>0</v>
      </c>
      <c r="AV15" s="90">
        <f>IF(AU14='Assumptions (Coal)'!$V$11,Model!AV9-Model!AV8*'Assumptions (Coal)'!AT15*0.00876,0)</f>
        <v>0</v>
      </c>
      <c r="AW15" s="90">
        <f>IF(AV14='Assumptions (Coal)'!$V$11,Model!AW9-Model!AW8*'Assumptions (Coal)'!AU15*0.00876,0)</f>
        <v>0</v>
      </c>
      <c r="AX15" s="90">
        <f>IF(AW14='Assumptions (Coal)'!$V$11,Model!AX9-Model!AX8*'Assumptions (Coal)'!AV15*0.00876,0)</f>
        <v>0</v>
      </c>
      <c r="AY15" s="90">
        <f>IF(AX14='Assumptions (Coal)'!$V$11,Model!AY9-Model!AY8*'Assumptions (Coal)'!AW15*0.00876,0)</f>
        <v>0</v>
      </c>
      <c r="AZ15" s="90">
        <f>IF(AY14='Assumptions (Coal)'!$V$11,Model!AZ9-Model!AZ8*'Assumptions (Coal)'!AX15*0.00876,0)</f>
        <v>0</v>
      </c>
      <c r="BA15" s="90">
        <f>IF(AZ14='Assumptions (Coal)'!$V$11,Model!BA9-Model!BA8*'Assumptions (Coal)'!AY15*0.00876,0)</f>
        <v>0</v>
      </c>
    </row>
    <row r="16" spans="1:82" ht="14.6">
      <c r="A16" s="149" t="s">
        <v>290</v>
      </c>
      <c r="B16" s="99" t="s">
        <v>201</v>
      </c>
      <c r="C16" s="150">
        <f t="shared" ref="C16:BA16" si="3">SUM(C17:C76)</f>
        <v>2.5806018522748948</v>
      </c>
      <c r="D16" s="150">
        <f t="shared" si="3"/>
        <v>1.1617580180839147</v>
      </c>
      <c r="E16" s="150">
        <f t="shared" si="3"/>
        <v>1.77383175754971</v>
      </c>
      <c r="F16" s="150">
        <f t="shared" si="3"/>
        <v>2.4896594715738276</v>
      </c>
      <c r="G16" s="150">
        <f t="shared" si="3"/>
        <v>4.3058876391550358</v>
      </c>
      <c r="H16" s="150">
        <f t="shared" si="3"/>
        <v>5.8460700725900523</v>
      </c>
      <c r="I16" s="150">
        <f t="shared" si="3"/>
        <v>7.3481769233243801</v>
      </c>
      <c r="J16" s="150">
        <f t="shared" si="3"/>
        <v>7.5493175760719033</v>
      </c>
      <c r="K16" s="150">
        <f t="shared" si="3"/>
        <v>7.0781435866105982</v>
      </c>
      <c r="L16" s="150">
        <f t="shared" si="3"/>
        <v>6.4150767039225904</v>
      </c>
      <c r="M16" s="150">
        <f t="shared" si="3"/>
        <v>4.3073479014719203</v>
      </c>
      <c r="N16" s="150">
        <f t="shared" si="3"/>
        <v>2.5685076597480681</v>
      </c>
      <c r="O16" s="150">
        <f t="shared" si="3"/>
        <v>0.81012621305215693</v>
      </c>
      <c r="P16" s="150">
        <f t="shared" si="3"/>
        <v>5.4880852764019855E-2</v>
      </c>
      <c r="Q16" s="150">
        <f t="shared" si="3"/>
        <v>9.8423683198769693E-3</v>
      </c>
      <c r="R16" s="150">
        <f t="shared" si="3"/>
        <v>1.6940671023965095</v>
      </c>
      <c r="S16" s="150">
        <f t="shared" si="3"/>
        <v>1.7279484444444397</v>
      </c>
      <c r="T16" s="150">
        <f t="shared" si="3"/>
        <v>1.7625074133333285</v>
      </c>
      <c r="U16" s="150">
        <f t="shared" si="3"/>
        <v>1.7883246015999952</v>
      </c>
      <c r="V16" s="150">
        <f t="shared" si="3"/>
        <v>1.824091093631995</v>
      </c>
      <c r="W16" s="150">
        <f t="shared" si="3"/>
        <v>2.7335591772222148</v>
      </c>
      <c r="X16" s="150">
        <f t="shared" si="3"/>
        <v>0</v>
      </c>
      <c r="Y16" s="150">
        <f t="shared" si="3"/>
        <v>0</v>
      </c>
      <c r="Z16" s="150">
        <f t="shared" si="3"/>
        <v>0</v>
      </c>
      <c r="AA16" s="150">
        <f t="shared" si="3"/>
        <v>0</v>
      </c>
      <c r="AB16" s="150">
        <f t="shared" si="3"/>
        <v>0</v>
      </c>
      <c r="AC16" s="150">
        <f t="shared" si="3"/>
        <v>0.16352887431804958</v>
      </c>
      <c r="AD16" s="150">
        <f t="shared" si="3"/>
        <v>2.1388365600898256</v>
      </c>
      <c r="AE16" s="150">
        <f t="shared" si="3"/>
        <v>4.2064075583269007</v>
      </c>
      <c r="AF16" s="150">
        <f t="shared" si="3"/>
        <v>5.728485501540117</v>
      </c>
      <c r="AG16" s="150">
        <f t="shared" si="3"/>
        <v>12.553240764942922</v>
      </c>
      <c r="AH16" s="150">
        <f t="shared" si="3"/>
        <v>15.038982429143214</v>
      </c>
      <c r="AI16" s="150">
        <f t="shared" si="3"/>
        <v>17.16938689631645</v>
      </c>
      <c r="AJ16" s="150">
        <f t="shared" si="3"/>
        <v>15.728078835243732</v>
      </c>
      <c r="AK16" s="150">
        <f t="shared" si="3"/>
        <v>17.980651520659528</v>
      </c>
      <c r="AL16" s="150">
        <f t="shared" si="3"/>
        <v>20.731407882368607</v>
      </c>
      <c r="AM16" s="150">
        <f t="shared" si="3"/>
        <v>15.764987544433973</v>
      </c>
      <c r="AN16" s="150">
        <f t="shared" si="3"/>
        <v>21.427152772029142</v>
      </c>
      <c r="AO16" s="150">
        <f t="shared" si="3"/>
        <v>21.307299185606794</v>
      </c>
      <c r="AP16" s="150">
        <f t="shared" si="3"/>
        <v>24.497153462298673</v>
      </c>
      <c r="AQ16" s="150">
        <f t="shared" si="3"/>
        <v>20.236652537953479</v>
      </c>
      <c r="AR16" s="150">
        <f t="shared" si="3"/>
        <v>20.626730459266771</v>
      </c>
      <c r="AS16" s="150">
        <f t="shared" si="3"/>
        <v>18.589061892357478</v>
      </c>
      <c r="AT16" s="150">
        <f t="shared" si="3"/>
        <v>10.105293592359557</v>
      </c>
      <c r="AU16" s="150">
        <f t="shared" si="3"/>
        <v>8.3710169887030066</v>
      </c>
      <c r="AV16" s="150">
        <f t="shared" si="3"/>
        <v>4.8729241139959969</v>
      </c>
      <c r="AW16" s="150">
        <f t="shared" si="3"/>
        <v>4.9703825962759165</v>
      </c>
      <c r="AX16" s="150">
        <f t="shared" si="3"/>
        <v>0</v>
      </c>
      <c r="AY16" s="150">
        <f t="shared" si="3"/>
        <v>0</v>
      </c>
      <c r="AZ16" s="150">
        <f t="shared" si="3"/>
        <v>0</v>
      </c>
      <c r="BA16" s="150">
        <f t="shared" si="3"/>
        <v>0</v>
      </c>
    </row>
    <row r="17" spans="1:53" ht="14.6" hidden="1" outlineLevel="1">
      <c r="A17" s="98"/>
      <c r="B17" s="99"/>
      <c r="C17" s="91">
        <f>IF($C$14&gt;0,6*'Assumptions (Coal)'!$V$13*Model!$C$14*'Assumptions (Coal)'!B$2/10^9,0)</f>
        <v>0.31049274363755508</v>
      </c>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row>
    <row r="18" spans="1:53" ht="14.6" hidden="1" outlineLevel="1">
      <c r="A18" s="98"/>
      <c r="B18" s="99"/>
      <c r="C18" s="91">
        <f>IF($D$14&gt;0,6*'Assumptions (Coal)'!$V$13*Model!$D$14*'Assumptions (Coal)'!B$2/10^9,0)</f>
        <v>1.0256517057096415</v>
      </c>
      <c r="D18" s="91"/>
      <c r="E18" s="91"/>
      <c r="F18" s="91"/>
      <c r="G18" s="91"/>
      <c r="H18" s="91"/>
      <c r="I18" s="91"/>
      <c r="J18" s="91"/>
      <c r="K18" s="91"/>
      <c r="L18" s="91"/>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row>
    <row r="19" spans="1:53" ht="14.6" hidden="1" outlineLevel="1">
      <c r="A19" s="98"/>
      <c r="B19" s="99"/>
      <c r="C19" s="91">
        <f>IF($E$14&gt;0,5*'Assumptions (Coal)'!$V$13*Model!$E$14*'Assumptions (Coal)'!B$2/10^9,0)</f>
        <v>0</v>
      </c>
      <c r="D19" s="91">
        <f>IF($E$14&gt;0,'Assumptions (Coal)'!$V$13*Model!$E$14*'Assumptions (Coal)'!C$2/10^9,0)</f>
        <v>0</v>
      </c>
      <c r="E19" s="91"/>
      <c r="F19" s="91"/>
      <c r="G19" s="91"/>
      <c r="H19" s="91"/>
      <c r="I19" s="91"/>
      <c r="J19" s="91"/>
      <c r="K19" s="91"/>
      <c r="L19" s="91"/>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row>
    <row r="20" spans="1:53" ht="14.6" hidden="1" outlineLevel="1">
      <c r="A20" s="98"/>
      <c r="B20" s="99"/>
      <c r="C20" s="91">
        <f>IF($F$14&gt;0,4*'Assumptions (Coal)'!$V$13*Model!$F$14*'Assumptions (Coal)'!B$2/10^9,0)</f>
        <v>0.13209150755351443</v>
      </c>
      <c r="D20" s="91">
        <f>IF($F$14&gt;0,'Assumptions (Coal)'!$V$13*Model!$F$14*'Assumptions (Coal)'!C$2/10^9,0)</f>
        <v>3.3683334426146176E-2</v>
      </c>
      <c r="E20" s="91">
        <f>IF($F$14&gt;0,'Assumptions (Coal)'!$V$13*Model!$F$14*'Assumptions (Coal)'!D$2/10^9,0)</f>
        <v>3.4357001114669106E-2</v>
      </c>
      <c r="F20" s="91"/>
      <c r="G20" s="91"/>
      <c r="H20" s="91"/>
      <c r="I20" s="91"/>
      <c r="J20" s="91"/>
      <c r="K20" s="91"/>
      <c r="L20" s="91"/>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row>
    <row r="21" spans="1:53" ht="14.6" hidden="1" outlineLevel="1">
      <c r="A21" s="98"/>
      <c r="B21" s="99"/>
      <c r="C21" s="91">
        <f>IF($G$14&gt;0,3*'Assumptions (Coal)'!$V$13*Model!$G$14*'Assumptions (Coal)'!B$2/10^9,0)</f>
        <v>0.60723243031218543</v>
      </c>
      <c r="D21" s="91">
        <f>IF($G$14&gt;0,'Assumptions (Coal)'!$V$13*Model!$G$14*'Assumptions (Coal)'!C$2/10^9,0)</f>
        <v>0.20645902630614305</v>
      </c>
      <c r="E21" s="91">
        <f>IF($G$14&gt;0,'Assumptions (Coal)'!$V$13*Model!$G$14*'Assumptions (Coal)'!D$2/10^9,0)</f>
        <v>0.21058820683226592</v>
      </c>
      <c r="F21" s="91">
        <f>IF($G$14&gt;0,'Assumptions (Coal)'!$V$13*Model!$G$14*'Assumptions (Coal)'!E$2/10^9,0)</f>
        <v>0.21479997096891126</v>
      </c>
      <c r="G21" s="91"/>
      <c r="H21" s="91"/>
      <c r="I21" s="91"/>
      <c r="J21" s="91"/>
      <c r="K21" s="91"/>
      <c r="L21" s="91"/>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row>
    <row r="22" spans="1:53" ht="14.6" hidden="1" outlineLevel="1">
      <c r="A22" s="98"/>
      <c r="B22" s="99"/>
      <c r="C22" s="91">
        <f>IF($H$14&gt;0,2*'Assumptions (Coal)'!$V$13*Model!$H$14*'Assumptions (Coal)'!B$2/10^9,0)</f>
        <v>0.30155714165599384</v>
      </c>
      <c r="D22" s="91">
        <f>IF($H$14&gt;0,'Assumptions (Coal)'!$V$13*Model!$H$14*'Assumptions (Coal)'!C$2/10^9,0)</f>
        <v>0.15379414224455687</v>
      </c>
      <c r="E22" s="91">
        <f>IF($H$14&gt;0,'Assumptions (Coal)'!$V$13*Model!$H$14*'Assumptions (Coal)'!D$2/10^9,0)</f>
        <v>0.156870025089448</v>
      </c>
      <c r="F22" s="91">
        <f>IF($H$14&gt;0,'Assumptions (Coal)'!$V$13*Model!$H$14*'Assumptions (Coal)'!E$2/10^9,0)</f>
        <v>0.16000742559123698</v>
      </c>
      <c r="G22" s="91">
        <f>IF($H$14&gt;0,'Assumptions (Coal)'!$V$13*Model!$H$14*'Assumptions (Coal)'!F$2/10^9,0)</f>
        <v>0.16320757410306169</v>
      </c>
      <c r="H22" s="91"/>
      <c r="I22" s="91"/>
      <c r="J22" s="91"/>
      <c r="K22" s="91"/>
      <c r="L22" s="91"/>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row>
    <row r="23" spans="1:53" ht="15.75" hidden="1" customHeight="1" outlineLevel="1">
      <c r="A23" s="98"/>
      <c r="B23" s="99"/>
      <c r="C23" s="91">
        <f>IF($I$14&gt;0,'Assumptions (Coal)'!$V$13*Model!$I$14*'Assumptions (Coal)'!B$2/10^9,0)</f>
        <v>0.20357632340600457</v>
      </c>
      <c r="D23" s="91">
        <f>IF($I$14&gt;0,'Assumptions (Coal)'!$V$13*Model!$I$14*'Assumptions (Coal)'!C$2/10^9,0)</f>
        <v>0.20764784987412468</v>
      </c>
      <c r="E23" s="91">
        <f>IF($I$14&gt;0,'Assumptions (Coal)'!$V$13*Model!$I$14*'Assumptions (Coal)'!D$2/10^9,0)</f>
        <v>0.21180080687160718</v>
      </c>
      <c r="F23" s="91">
        <f>IF($I$14&gt;0,'Assumptions (Coal)'!$V$13*Model!$I$14*'Assumptions (Coal)'!E$2/10^9,0)</f>
        <v>0.21603682300903934</v>
      </c>
      <c r="G23" s="91">
        <f>IF($I$14&gt;0,'Assumptions (Coal)'!$V$13*Model!$I$14*'Assumptions (Coal)'!F$2/10^9,0)</f>
        <v>0.22035755946922012</v>
      </c>
      <c r="H23" s="91">
        <f>IF($I$14&gt;0,'Assumptions (Coal)'!$V$13*Model!$I$14*'Assumptions (Coal)'!G$2/10^9,0)</f>
        <v>0.22476471065860454</v>
      </c>
      <c r="I23" s="91"/>
      <c r="J23" s="91"/>
      <c r="K23" s="91"/>
      <c r="L23" s="91"/>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row>
    <row r="24" spans="1:53" ht="15.75" hidden="1" customHeight="1" outlineLevel="1">
      <c r="A24" s="98"/>
      <c r="B24" s="99"/>
      <c r="C24" s="91"/>
      <c r="D24" s="91">
        <f>IF($J$14&gt;0,'Assumptions (Coal)'!$V$13*Model!$J$14*'Assumptions (Coal)'!C$2/10^9,0)</f>
        <v>0.56017366523294387</v>
      </c>
      <c r="E24" s="91">
        <f>IF($J$14&gt;0,'Assumptions (Coal)'!$V$13*Model!$J$14*'Assumptions (Coal)'!D$2/10^9,0)</f>
        <v>0.57137713853760275</v>
      </c>
      <c r="F24" s="91">
        <f>IF($J$14&gt;0,'Assumptions (Coal)'!$V$13*Model!$J$14*'Assumptions (Coal)'!E$2/10^9,0)</f>
        <v>0.58280468130835483</v>
      </c>
      <c r="G24" s="91">
        <f>IF($J$14&gt;0,'Assumptions (Coal)'!$V$13*Model!$J$14*'Assumptions (Coal)'!F$2/10^9,0)</f>
        <v>0.59446077493452198</v>
      </c>
      <c r="H24" s="91">
        <f>IF($J$14&gt;0,'Assumptions (Coal)'!$V$13*Model!$J$14*'Assumptions (Coal)'!G$2/10^9,0)</f>
        <v>0.60634999043321236</v>
      </c>
      <c r="I24" s="91">
        <f>IF($J$14&gt;0,'Assumptions (Coal)'!$V$13*Model!$J$14*'Assumptions (Coal)'!H$2/10^9,0)</f>
        <v>0.61847699024187675</v>
      </c>
      <c r="J24" s="91"/>
      <c r="K24" s="91"/>
      <c r="L24" s="91"/>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row>
    <row r="25" spans="1:53" ht="15.75" hidden="1" customHeight="1" outlineLevel="1">
      <c r="A25" s="98"/>
      <c r="B25" s="99"/>
      <c r="C25" s="91"/>
      <c r="D25" s="91"/>
      <c r="E25" s="91">
        <f>IF($K$14&gt;0,'Assumptions (Coal)'!$V$13*Model!$K$14*'Assumptions (Coal)'!D$2/10^9,0)</f>
        <v>0.58883857910411708</v>
      </c>
      <c r="F25" s="91">
        <f>IF($K$14&gt;0,'Assumptions (Coal)'!$V$13*Model!$K$14*'Assumptions (Coal)'!E$2/10^9,0)</f>
        <v>0.60061535068619942</v>
      </c>
      <c r="G25" s="91">
        <f>IF($K$14&gt;0,'Assumptions (Coal)'!$V$13*Model!$K$14*'Assumptions (Coal)'!F$2/10^9,0)</f>
        <v>0.61262765769992344</v>
      </c>
      <c r="H25" s="91">
        <f>IF($K$14&gt;0,'Assumptions (Coal)'!$V$13*Model!$K$14*'Assumptions (Coal)'!G$2/10^9,0)</f>
        <v>0.62488021085392187</v>
      </c>
      <c r="I25" s="91">
        <f>IF($K$14&gt;0,'Assumptions (Coal)'!$V$13*Model!$K$14*'Assumptions (Coal)'!H$2/10^9,0)</f>
        <v>0.63737781507100033</v>
      </c>
      <c r="J25" s="91">
        <f>IF($K$14&gt;0,'Assumptions (Coal)'!$V$13*Model!$K$14*'Assumptions (Coal)'!I$2/10^9,0)</f>
        <v>0.65012537137242032</v>
      </c>
      <c r="K25" s="91"/>
      <c r="L25" s="91"/>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row>
    <row r="26" spans="1:53" ht="15.75" hidden="1" customHeight="1" outlineLevel="1">
      <c r="A26" s="98"/>
      <c r="B26" s="99"/>
      <c r="C26" s="91"/>
      <c r="D26" s="91"/>
      <c r="E26" s="91"/>
      <c r="F26" s="91">
        <f>IF($L$14&gt;0,'Assumptions (Coal)'!$V$13*Model!$L$14*'Assumptions (Coal)'!E$2/10^9,0)</f>
        <v>0.71539522001008593</v>
      </c>
      <c r="G26" s="91">
        <f>IF($L$14&gt;0,'Assumptions (Coal)'!$V$13*Model!$L$14*'Assumptions (Coal)'!F$2/10^9,0)</f>
        <v>0.72970312441028762</v>
      </c>
      <c r="H26" s="91">
        <f>IF($L$14&gt;0,'Assumptions (Coal)'!$V$13*Model!$L$14*'Assumptions (Coal)'!G$2/10^9,0)</f>
        <v>0.74429718689849345</v>
      </c>
      <c r="I26" s="91">
        <f>IF($L$14&gt;0,'Assumptions (Coal)'!$V$13*Model!$L$14*'Assumptions (Coal)'!H$2/10^9,0)</f>
        <v>0.75918313063646325</v>
      </c>
      <c r="J26" s="91">
        <f>IF($L$14&gt;0,'Assumptions (Coal)'!$V$13*Model!$L$14*'Assumptions (Coal)'!I$2/10^9,0)</f>
        <v>0.77436679324919255</v>
      </c>
      <c r="K26" s="91">
        <f>IF($L$14&gt;0,'Assumptions (Coal)'!$V$13*Model!$L$14*'Assumptions (Coal)'!J$2/10^9,0)</f>
        <v>0.78985412911417652</v>
      </c>
      <c r="L26" s="91"/>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row>
    <row r="27" spans="1:53" ht="15.75" hidden="1" customHeight="1" outlineLevel="1">
      <c r="A27" s="98"/>
      <c r="B27" s="99"/>
      <c r="C27" s="91"/>
      <c r="D27" s="91"/>
      <c r="E27" s="91"/>
      <c r="F27" s="91"/>
      <c r="G27" s="91">
        <f>IF($M$14&gt;0,'Assumptions (Coal)'!$V$13*Model!$M$14*'Assumptions (Coal)'!F$2/10^9,0)</f>
        <v>1.9855309485380206</v>
      </c>
      <c r="H27" s="91">
        <f>IF($M$14&gt;0,'Assumptions (Coal)'!$V$13*Model!$M$14*'Assumptions (Coal)'!G$2/10^9,0)</f>
        <v>2.0252415675087811</v>
      </c>
      <c r="I27" s="91">
        <f>IF($M$14&gt;0,'Assumptions (Coal)'!$V$13*Model!$M$14*'Assumptions (Coal)'!H$2/10^9,0)</f>
        <v>2.0657463988589564</v>
      </c>
      <c r="J27" s="91">
        <f>IF($M$14&gt;0,'Assumptions (Coal)'!$V$13*Model!$M$14*'Assumptions (Coal)'!I$2/10^9,0)</f>
        <v>2.1070613268361358</v>
      </c>
      <c r="K27" s="91">
        <f>IF($M$14&gt;0,'Assumptions (Coal)'!$V$13*Model!$M$14*'Assumptions (Coal)'!J$2/10^9,0)</f>
        <v>2.1492025533728585</v>
      </c>
      <c r="L27" s="91">
        <f>IF($M$14&gt;0,'Assumptions (Coal)'!$V$13*Model!$M$14*'Assumptions (Coal)'!K$2/10^9,0)</f>
        <v>2.1921866044403155</v>
      </c>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row>
    <row r="28" spans="1:53" ht="15.75" hidden="1" customHeight="1" outlineLevel="1">
      <c r="A28" s="98"/>
      <c r="B28" s="99"/>
      <c r="C28" s="105"/>
      <c r="D28" s="105"/>
      <c r="E28" s="105"/>
      <c r="F28" s="105"/>
      <c r="G28" s="105"/>
      <c r="H28" s="105">
        <f>IF($N$14&gt;0,'Assumptions (Coal)'!$V$13*Model!$N$14*'Assumptions (Coal)'!G$2/10^9,0)</f>
        <v>1.620536406237038</v>
      </c>
      <c r="I28" s="105">
        <f>IF($N$14&gt;0,'Assumptions (Coal)'!$V$13*Model!$N$14*'Assumptions (Coal)'!H$2/10^9,0)</f>
        <v>1.6529471343617788</v>
      </c>
      <c r="J28" s="105">
        <f>IF($N$14&gt;0,'Assumptions (Coal)'!$V$13*Model!$N$14*'Assumptions (Coal)'!I$2/10^9,0)</f>
        <v>1.6860060770490144</v>
      </c>
      <c r="K28" s="105">
        <f>IF($N$14&gt;0,'Assumptions (Coal)'!$V$13*Model!$N$14*'Assumptions (Coal)'!J$2/10^9,0)</f>
        <v>1.7197261985899948</v>
      </c>
      <c r="L28" s="105">
        <f>IF($N$14&gt;0,'Assumptions (Coal)'!$V$13*Model!$N$14*'Assumptions (Coal)'!K$2/10^9,0)</f>
        <v>1.7541207225617945</v>
      </c>
      <c r="M28" s="105">
        <f>IF($N$14&gt;0,'Assumptions (Coal)'!$V$13*Model!$N$14*'Assumptions (Coal)'!L$2/10^9,0)</f>
        <v>1.7892031370130306</v>
      </c>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row>
    <row r="29" spans="1:53" ht="15.75" hidden="1" customHeight="1" outlineLevel="1">
      <c r="A29" s="98"/>
      <c r="B29" s="99"/>
      <c r="C29" s="105"/>
      <c r="D29" s="105"/>
      <c r="E29" s="105"/>
      <c r="F29" s="105"/>
      <c r="G29" s="105"/>
      <c r="H29" s="105"/>
      <c r="I29" s="105">
        <f>IF($O$14&gt;0,'Assumptions (Coal)'!$V$13*Model!$O$14*'Assumptions (Coal)'!H$2/10^9,0)</f>
        <v>1.614445454154305</v>
      </c>
      <c r="J29" s="105">
        <f>IF($O$14&gt;0,'Assumptions (Coal)'!$V$13*Model!$O$14*'Assumptions (Coal)'!I$2/10^9,0)</f>
        <v>1.646734363237391</v>
      </c>
      <c r="K29" s="105">
        <f>IF($O$14&gt;0,'Assumptions (Coal)'!$V$13*Model!$O$14*'Assumptions (Coal)'!J$2/10^9,0)</f>
        <v>1.6796690505021388</v>
      </c>
      <c r="L29" s="105">
        <f>IF($O$14&gt;0,'Assumptions (Coal)'!$V$13*Model!$O$14*'Assumptions (Coal)'!K$2/10^9,0)</f>
        <v>1.7132624315121818</v>
      </c>
      <c r="M29" s="105">
        <f>IF($O$14&gt;0,'Assumptions (Coal)'!$V$13*Model!$O$14*'Assumptions (Coal)'!L$2/10^9,0)</f>
        <v>1.7475276801424253</v>
      </c>
      <c r="N29" s="105">
        <f>IF($O$14&gt;0,'Assumptions (Coal)'!$V$13*Model!$O$14*'Assumptions (Coal)'!M$2/10^9,0)</f>
        <v>1.782478233745274</v>
      </c>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row>
    <row r="30" spans="1:53" ht="15.75" hidden="1" customHeight="1" outlineLevel="1">
      <c r="A30" s="98"/>
      <c r="B30" s="99"/>
      <c r="C30" s="105"/>
      <c r="D30" s="105"/>
      <c r="E30" s="105"/>
      <c r="F30" s="105"/>
      <c r="G30" s="105"/>
      <c r="H30" s="105"/>
      <c r="I30" s="105"/>
      <c r="J30" s="91">
        <f>IF($P$14&gt;0,'Assumptions (Coal)'!$V$13*Model!$P$14*'Assumptions (Coal)'!I$2/10^9,0)</f>
        <v>0.68502364432774943</v>
      </c>
      <c r="K30" s="91">
        <f>IF($P$14&gt;0,'Assumptions (Coal)'!$V$13*Model!$P$14*'Assumptions (Coal)'!J$2/10^9,0)</f>
        <v>0.69872411721430427</v>
      </c>
      <c r="L30" s="91">
        <f>IF($P$14&gt;0,'Assumptions (Coal)'!$V$13*Model!$P$14*'Assumptions (Coal)'!K$2/10^9,0)</f>
        <v>0.71269859955859038</v>
      </c>
      <c r="M30" s="91">
        <f>IF($P$14&gt;0,'Assumptions (Coal)'!$V$13*Model!$P$14*'Assumptions (Coal)'!L$2/10^9,0)</f>
        <v>0.72695257154976223</v>
      </c>
      <c r="N30" s="91">
        <f>IF($P$14&gt;0,'Assumptions (Coal)'!$V$13*Model!$P$14*'Assumptions (Coal)'!M$2/10^9,0)</f>
        <v>0.74149162298075755</v>
      </c>
      <c r="O30" s="91">
        <f>IF($P$14&gt;0,'Assumptions (Coal)'!$V$13*Model!$P$14*'Assumptions (Coal)'!N$2/10^9,0)</f>
        <v>0.75632145544037277</v>
      </c>
      <c r="P30" s="91"/>
      <c r="Q30" s="105"/>
      <c r="R30" s="91"/>
      <c r="S30" s="91"/>
      <c r="T30" s="91"/>
      <c r="U30" s="91"/>
      <c r="V30" s="91"/>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row>
    <row r="31" spans="1:53" ht="15.75" hidden="1" customHeight="1" outlineLevel="1">
      <c r="A31" s="98"/>
      <c r="B31" s="99"/>
      <c r="C31" s="105"/>
      <c r="D31" s="105"/>
      <c r="E31" s="105"/>
      <c r="F31" s="105"/>
      <c r="G31" s="105"/>
      <c r="H31" s="105"/>
      <c r="I31" s="105"/>
      <c r="J31" s="105"/>
      <c r="K31" s="91">
        <f>IF($Q$14&gt;0,'Assumptions (Coal)'!$V$13*Model!$Q$14*'Assumptions (Coal)'!J$2/10^9,0)</f>
        <v>4.0967537817125338E-2</v>
      </c>
      <c r="L31" s="91">
        <f>IF($Q$14&gt;0,'Assumptions (Coal)'!$V$13*Model!$Q$14*'Assumptions (Coal)'!K$2/10^9,0)</f>
        <v>4.1786888573467844E-2</v>
      </c>
      <c r="M31" s="91">
        <f>IF($Q$14&gt;0,'Assumptions (Coal)'!$V$13*Model!$Q$14*'Assumptions (Coal)'!L$2/10^9,0)</f>
        <v>4.2622626344937208E-2</v>
      </c>
      <c r="N31" s="91">
        <f>IF($Q$14&gt;0,'Assumptions (Coal)'!$V$13*Model!$Q$14*'Assumptions (Coal)'!M$2/10^9,0)</f>
        <v>4.3475078871835958E-2</v>
      </c>
      <c r="O31" s="91">
        <f>IF($Q$14&gt;0,'Assumptions (Coal)'!$V$13*Model!$Q$14*'Assumptions (Coal)'!N$2/10^9,0)</f>
        <v>4.4344580449272676E-2</v>
      </c>
      <c r="P31" s="91">
        <f>IF($Q$14&gt;0,'Assumptions (Coal)'!$V$13*Model!$Q$14*'Assumptions (Coal)'!O$2/10^9,0)</f>
        <v>4.5231472058258122E-2</v>
      </c>
      <c r="Q31" s="105"/>
      <c r="R31" s="91"/>
      <c r="S31" s="91"/>
      <c r="T31" s="91"/>
      <c r="U31" s="91"/>
      <c r="V31" s="91"/>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row>
    <row r="32" spans="1:53" ht="15.75" hidden="1" customHeight="1" outlineLevel="1">
      <c r="A32" s="98"/>
      <c r="B32" s="99"/>
      <c r="C32" s="105"/>
      <c r="D32" s="105"/>
      <c r="E32" s="105"/>
      <c r="F32" s="105"/>
      <c r="G32" s="105"/>
      <c r="H32" s="105"/>
      <c r="I32" s="105"/>
      <c r="J32" s="105"/>
      <c r="K32" s="105"/>
      <c r="L32" s="167">
        <f>IF($R$14&gt;0,'Assumptions (Coal)'!$V$13*Model!$R$14*'Assumptions (Coal)'!K$2/10^9,0)</f>
        <v>1.0214572762403252E-3</v>
      </c>
      <c r="M32" s="167">
        <f>IF($R$14&gt;0,'Assumptions (Coal)'!$V$13*Model!$R$14*'Assumptions (Coal)'!L$2/10^9,0)</f>
        <v>1.0418864217651318E-3</v>
      </c>
      <c r="N32" s="167">
        <f>IF($R$14&gt;0,'Assumptions (Coal)'!$V$13*Model!$R$14*'Assumptions (Coal)'!M$2/10^9,0)</f>
        <v>1.0627241502004345E-3</v>
      </c>
      <c r="O32" s="167">
        <f>IF($R$14&gt;0,'Assumptions (Coal)'!$V$13*Model!$R$14*'Assumptions (Coal)'!N$2/10^9,0)</f>
        <v>1.0839786332044431E-3</v>
      </c>
      <c r="P32" s="167">
        <f>IF($R$14&gt;0,'Assumptions (Coal)'!$V$13*Model!$R$14*'Assumptions (Coal)'!O$2/10^9,0)</f>
        <v>1.1056582058685321E-3</v>
      </c>
      <c r="Q32" s="167">
        <f>IF($R$14&gt;0,'Assumptions (Coal)'!$V$13*Model!$R$14*'Assumptions (Coal)'!P$2/10^9,0)</f>
        <v>1.1277713699859027E-3</v>
      </c>
      <c r="R32" s="91"/>
      <c r="S32" s="91"/>
      <c r="T32" s="91"/>
      <c r="U32" s="91"/>
      <c r="V32" s="91"/>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row>
    <row r="33" spans="1:58" ht="15.75" hidden="1" customHeight="1" outlineLevel="1">
      <c r="A33" s="98"/>
      <c r="B33" s="99"/>
      <c r="C33" s="105"/>
      <c r="D33" s="105"/>
      <c r="E33" s="105"/>
      <c r="F33" s="105"/>
      <c r="G33" s="105"/>
      <c r="H33" s="105"/>
      <c r="I33" s="105"/>
      <c r="J33" s="105"/>
      <c r="K33" s="105"/>
      <c r="L33" s="105"/>
      <c r="M33" s="105">
        <f>IF($S$14&gt;0,'Assumptions (Coal)'!$V$13*Model!$S$14*'Assumptions (Coal)'!L$2/10^9,0)</f>
        <v>0</v>
      </c>
      <c r="N33" s="105">
        <f>IF($S$14&gt;0,'Assumptions (Coal)'!$V$13*Model!$S$14*'Assumptions (Coal)'!M$2/10^9,0)</f>
        <v>0</v>
      </c>
      <c r="O33" s="105">
        <f>IF($S$14&gt;0,'Assumptions (Coal)'!$V$13*Model!$S$14*'Assumptions (Coal)'!N$2/10^9,0)</f>
        <v>0</v>
      </c>
      <c r="P33" s="105">
        <f>IF($S$14&gt;0,'Assumptions (Coal)'!$V$13*Model!$S$14*'Assumptions (Coal)'!O$2/10^9,0)</f>
        <v>0</v>
      </c>
      <c r="Q33" s="105">
        <f>IF($S$14&gt;0,'Assumptions (Coal)'!$V$13*Model!$S$14*'Assumptions (Coal)'!P$2/10^9,0)</f>
        <v>0</v>
      </c>
      <c r="R33" s="105">
        <f>IF($S$14&gt;0,'Assumptions (Coal)'!$V$13*Model!$S$14*'Assumptions (Coal)'!Q$2/10^9,0)</f>
        <v>0</v>
      </c>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row>
    <row r="34" spans="1:58" ht="15.75" hidden="1" customHeight="1" outlineLevel="1">
      <c r="A34" s="98"/>
      <c r="B34" s="99"/>
      <c r="C34" s="105"/>
      <c r="D34" s="105"/>
      <c r="E34" s="105"/>
      <c r="F34" s="105"/>
      <c r="G34" s="105"/>
      <c r="H34" s="105"/>
      <c r="I34" s="105"/>
      <c r="J34" s="105"/>
      <c r="K34" s="105"/>
      <c r="L34" s="105"/>
      <c r="M34" s="105"/>
      <c r="N34" s="105">
        <f>IF($T$14&gt;0,'Assumptions (Coal)'!$V$13*Model!$T$14*'Assumptions (Coal)'!M$2/10^9,0)</f>
        <v>0</v>
      </c>
      <c r="O34" s="105">
        <f>IF($T$14&gt;0,'Assumptions (Coal)'!$V$13*Model!$T$14*'Assumptions (Coal)'!N$2/10^9,0)</f>
        <v>0</v>
      </c>
      <c r="P34" s="105">
        <f>IF($T$14&gt;0,'Assumptions (Coal)'!$V$13*Model!$T$14*'Assumptions (Coal)'!O$2/10^9,0)</f>
        <v>0</v>
      </c>
      <c r="Q34" s="105">
        <f>IF($T$14&gt;0,'Assumptions (Coal)'!$V$13*Model!$T$14*'Assumptions (Coal)'!P$2/10^9,0)</f>
        <v>0</v>
      </c>
      <c r="R34" s="105">
        <f>IF($T$14&gt;0,'Assumptions (Coal)'!$V$13*Model!$T$14*'Assumptions (Coal)'!Q$2/10^9,0)</f>
        <v>0</v>
      </c>
      <c r="S34" s="105">
        <f>IF($T$14&gt;0,'Assumptions (Coal)'!$V$13*Model!$T$14*'Assumptions (Coal)'!R$2/10^9,0)</f>
        <v>0</v>
      </c>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row>
    <row r="35" spans="1:58" ht="15.75" hidden="1" customHeight="1" outlineLevel="1">
      <c r="A35" s="98"/>
      <c r="B35" s="99"/>
      <c r="C35" s="105"/>
      <c r="D35" s="105"/>
      <c r="E35" s="105"/>
      <c r="F35" s="105"/>
      <c r="G35" s="105"/>
      <c r="H35" s="105"/>
      <c r="I35" s="105"/>
      <c r="J35" s="105"/>
      <c r="K35" s="105"/>
      <c r="L35" s="105"/>
      <c r="M35" s="105"/>
      <c r="N35" s="105"/>
      <c r="O35" s="91">
        <f>IF($U$14&gt;0,'Assumptions (Coal)'!$V$13*Model!$U$14*'Assumptions (Coal)'!N$2/10^9,0)</f>
        <v>8.3761985293070596E-3</v>
      </c>
      <c r="P35" s="91">
        <f>IF($U$14&gt;0,'Assumptions (Coal)'!$V$13*Model!$U$14*'Assumptions (Coal)'!O$2/10^9,0)</f>
        <v>8.5437224998932016E-3</v>
      </c>
      <c r="Q35" s="91">
        <f>IF($U$14&gt;0,'Assumptions (Coal)'!$V$13*Model!$U$14*'Assumptions (Coal)'!P$2/10^9,0)</f>
        <v>8.7145969498910666E-3</v>
      </c>
      <c r="R35" s="91">
        <f>IF($U$14&gt;0,'Assumptions (Coal)'!$V$13*Model!$U$14*'Assumptions (Coal)'!Q$2/10^9,0)</f>
        <v>8.8888888888888889E-3</v>
      </c>
      <c r="S35" s="91">
        <f>IF($U$14&gt;0,'Assumptions (Coal)'!$V$13*Model!$U$14*'Assumptions (Coal)'!R$2/10^9,0)</f>
        <v>9.0666666666666656E-3</v>
      </c>
      <c r="T35" s="91">
        <f>IF($U$14&gt;0,'Assumptions (Coal)'!$V$13*Model!$U$14*'Assumptions (Coal)'!S$2/10^9,0)</f>
        <v>9.2479999999999975E-3</v>
      </c>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row>
    <row r="36" spans="1:58" ht="15.75" hidden="1" customHeight="1" outlineLevel="1">
      <c r="A36" s="98"/>
      <c r="B36" s="99"/>
      <c r="C36" s="105"/>
      <c r="D36" s="105"/>
      <c r="E36" s="105"/>
      <c r="F36" s="105"/>
      <c r="G36" s="105"/>
      <c r="H36" s="105"/>
      <c r="I36" s="105"/>
      <c r="J36" s="105"/>
      <c r="K36" s="105"/>
      <c r="L36" s="105"/>
      <c r="M36" s="105"/>
      <c r="N36" s="105"/>
      <c r="O36" s="105"/>
      <c r="P36" s="105">
        <f>IF($V$14&gt;0,'Assumptions (Coal)'!$V$13*Model!$V$14*'Assumptions (Coal)'!O$2/10^9,0)</f>
        <v>0</v>
      </c>
      <c r="Q36" s="105">
        <f>IF($V$14&gt;0,'Assumptions (Coal)'!$V$13*Model!$V$14*'Assumptions (Coal)'!P$2/10^9,0)</f>
        <v>0</v>
      </c>
      <c r="R36" s="105">
        <f>IF($V$14&gt;0,'Assumptions (Coal)'!$V$13*Model!$V$14*'Assumptions (Coal)'!Q$2/10^9,0)</f>
        <v>0</v>
      </c>
      <c r="S36" s="105">
        <f>IF($V$14&gt;0,'Assumptions (Coal)'!$V$13*Model!$V$14*'Assumptions (Coal)'!R$2/10^9,0)</f>
        <v>0</v>
      </c>
      <c r="T36" s="105">
        <f>IF($V$14&gt;0,'Assumptions (Coal)'!$V$13*Model!$V$14*'Assumptions (Coal)'!S$2/10^9,0)</f>
        <v>0</v>
      </c>
      <c r="U36" s="105">
        <f>IF($V$14&gt;0,'Assumptions (Coal)'!$V$13*Model!$V$14*'Assumptions (Coal)'!T$2/10^9,0)</f>
        <v>0</v>
      </c>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row>
    <row r="37" spans="1:58" ht="15.75" hidden="1" customHeight="1" outlineLevel="1">
      <c r="A37" s="98"/>
      <c r="B37" s="99"/>
      <c r="C37" s="99"/>
      <c r="D37" s="99"/>
      <c r="E37" s="99"/>
      <c r="F37" s="99"/>
      <c r="G37" s="99"/>
      <c r="H37" s="99"/>
      <c r="I37" s="99"/>
      <c r="J37" s="99"/>
      <c r="K37" s="99"/>
      <c r="L37" s="99"/>
      <c r="M37" s="99"/>
      <c r="N37" s="99"/>
      <c r="O37" s="99"/>
      <c r="P37" s="99"/>
      <c r="Q37" s="105">
        <f>IF($W$14&gt;0,'Assumptions (Coal)'!$V$13*Model!$W$14*'Assumptions (Coal)'!P$2/10^9,0)</f>
        <v>0</v>
      </c>
      <c r="R37" s="105">
        <f>IF($W$14&gt;0,'Assumptions (Coal)'!$V$13*Model!$W$14*'Assumptions (Coal)'!Q$2/10^9,0)</f>
        <v>0</v>
      </c>
      <c r="S37" s="105">
        <f>IF($W$14&gt;0,'Assumptions (Coal)'!$V$13*Model!$W$14*'Assumptions (Coal)'!R$2/10^9,0)</f>
        <v>0</v>
      </c>
      <c r="T37" s="105">
        <f>IF($W$14&gt;0,'Assumptions (Coal)'!$V$13*Model!$W$14*'Assumptions (Coal)'!S$2/10^9,0)</f>
        <v>0</v>
      </c>
      <c r="U37" s="105">
        <f>IF($W$14&gt;0,'Assumptions (Coal)'!$V$13*Model!$W$14*'Assumptions (Coal)'!T$2/10^9,0)</f>
        <v>0</v>
      </c>
      <c r="V37" s="105">
        <f>IF($W$14&gt;0,'Assumptions (Coal)'!$V$13*Model!$W$14*'Assumptions (Coal)'!U$2/10^9,0)</f>
        <v>0</v>
      </c>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row>
    <row r="38" spans="1:58" ht="15.75" hidden="1" customHeight="1" outlineLevel="1">
      <c r="A38" s="98"/>
      <c r="B38" s="99"/>
      <c r="C38" s="99"/>
      <c r="D38" s="99"/>
      <c r="E38" s="99"/>
      <c r="F38" s="99"/>
      <c r="G38" s="99"/>
      <c r="H38" s="99"/>
      <c r="I38" s="99"/>
      <c r="J38" s="99"/>
      <c r="K38" s="99"/>
      <c r="L38" s="99"/>
      <c r="M38" s="99"/>
      <c r="N38" s="99"/>
      <c r="O38" s="99"/>
      <c r="P38" s="99"/>
      <c r="Q38" s="99"/>
      <c r="R38" s="105">
        <f>IF($X$14&gt;0,'Assumptions (Coal)'!$V$13*Model!$X$14*'Assumptions (Coal)'!Q$2/10^9,0)</f>
        <v>1.6851782135076205</v>
      </c>
      <c r="S38" s="105">
        <f>IF($X$14&gt;0,'Assumptions (Coal)'!$V$13*Model!$X$14*'Assumptions (Coal)'!R$2/10^9,0)</f>
        <v>1.7188817777777732</v>
      </c>
      <c r="T38" s="105">
        <f>IF($X$14&gt;0,'Assumptions (Coal)'!$V$13*Model!$X$14*'Assumptions (Coal)'!S$2/10^9,0)</f>
        <v>1.7532594133333286</v>
      </c>
      <c r="U38" s="105">
        <f>IF($X$14&gt;0,'Assumptions (Coal)'!$V$13*Model!$X$14*'Assumptions (Coal)'!T$2/10^9,0)</f>
        <v>1.7883246015999952</v>
      </c>
      <c r="V38" s="105">
        <f>IF($X$14&gt;0,'Assumptions (Coal)'!$V$13*Model!$X$14*'Assumptions (Coal)'!U$2/10^9,0)</f>
        <v>1.824091093631995</v>
      </c>
      <c r="W38" s="105">
        <f>IF($X$14&gt;0,'Assumptions (Coal)'!$V$13*Model!$X$14*'Assumptions (Coal)'!V$2/10^9,0)</f>
        <v>2.7335591772222148</v>
      </c>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row>
    <row r="39" spans="1:58" ht="15.75" hidden="1" customHeight="1" outlineLevel="1">
      <c r="A39" s="98"/>
      <c r="B39" s="99"/>
      <c r="C39" s="99"/>
      <c r="D39" s="99"/>
      <c r="E39" s="99"/>
      <c r="F39" s="99"/>
      <c r="G39" s="99"/>
      <c r="H39" s="99"/>
      <c r="I39" s="99"/>
      <c r="J39" s="99"/>
      <c r="K39" s="99"/>
      <c r="L39" s="99"/>
      <c r="M39" s="99"/>
      <c r="N39" s="99"/>
      <c r="O39" s="99"/>
      <c r="P39" s="99"/>
      <c r="Q39" s="99"/>
      <c r="R39" s="99"/>
      <c r="S39" s="105">
        <f>IF($Y$14&gt;0,'Assumptions (Coal)'!$V$13*Model!$Y$14*'Assumptions (Coal)'!R$2/10^9,0)</f>
        <v>0</v>
      </c>
      <c r="T39" s="105">
        <f>IF($Y$14&gt;0,'Assumptions (Coal)'!$V$13*Model!$Y$14*'Assumptions (Coal)'!S$2/10^9,0)</f>
        <v>0</v>
      </c>
      <c r="U39" s="105">
        <f>IF($Y$14&gt;0,'Assumptions (Coal)'!$V$13*Model!$Y$14*'Assumptions (Coal)'!T$2/10^9,0)</f>
        <v>0</v>
      </c>
      <c r="V39" s="105">
        <f>IF($Y$14&gt;0,'Assumptions (Coal)'!$V$13*Model!$Y$14*'Assumptions (Coal)'!U$2/10^9,0)</f>
        <v>0</v>
      </c>
      <c r="W39" s="105">
        <f>IF($Y$14&gt;0,'Assumptions (Coal)'!$V$13*Model!$Y$14*'Assumptions (Coal)'!V$2/10^9,0)</f>
        <v>0</v>
      </c>
      <c r="X39" s="105">
        <f>IF($Y$14&gt;0,'Assumptions (Coal)'!$V$13*Model!$Y$14*'Assumptions (Coal)'!W$2/10^9,0)</f>
        <v>0</v>
      </c>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row>
    <row r="40" spans="1:58" ht="15.75" hidden="1" customHeight="1" outlineLevel="1">
      <c r="A40" s="98"/>
      <c r="B40" s="99"/>
      <c r="C40" s="99"/>
      <c r="D40" s="99"/>
      <c r="E40" s="99"/>
      <c r="F40" s="99"/>
      <c r="G40" s="99"/>
      <c r="H40" s="99"/>
      <c r="I40" s="99"/>
      <c r="J40" s="99"/>
      <c r="K40" s="99"/>
      <c r="L40" s="99"/>
      <c r="M40" s="99"/>
      <c r="N40" s="99"/>
      <c r="O40" s="99"/>
      <c r="P40" s="99"/>
      <c r="Q40" s="99"/>
      <c r="R40" s="99"/>
      <c r="S40" s="99"/>
      <c r="T40" s="105">
        <f>IF($Z$14&gt;0,'Assumptions (Coal)'!$V$13*Model!$Z$14*'Assumptions (Coal)'!S$2/10^9,0)</f>
        <v>0</v>
      </c>
      <c r="U40" s="105">
        <f>IF($Z$14&gt;0,'Assumptions (Coal)'!$V$13*Model!$Z$14*'Assumptions (Coal)'!T$2/10^9,0)</f>
        <v>0</v>
      </c>
      <c r="V40" s="105">
        <f>IF($Z$14&gt;0,'Assumptions (Coal)'!$V$13*Model!$Z$14*'Assumptions (Coal)'!U$2/10^9,0)</f>
        <v>0</v>
      </c>
      <c r="W40" s="105">
        <f>IF($Z$14&gt;0,'Assumptions (Coal)'!$V$13*Model!$Z$14*'Assumptions (Coal)'!V$2/10^9,0)</f>
        <v>0</v>
      </c>
      <c r="X40" s="105">
        <f>IF($Z$14&gt;0,'Assumptions (Coal)'!$V$13*Model!$Z$14*'Assumptions (Coal)'!W$2/10^9,0)</f>
        <v>0</v>
      </c>
      <c r="Y40" s="105">
        <f>IF($Z$14&gt;0,'Assumptions (Coal)'!$V$13*Model!$Z$14*'Assumptions (Coal)'!X$2/10^9,0)</f>
        <v>0</v>
      </c>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row>
    <row r="41" spans="1:58" ht="15.75" hidden="1" customHeight="1" outlineLevel="1">
      <c r="A41" s="98"/>
      <c r="B41" s="99"/>
      <c r="C41" s="99"/>
      <c r="D41" s="99"/>
      <c r="E41" s="99"/>
      <c r="F41" s="99"/>
      <c r="G41" s="99"/>
      <c r="H41" s="99"/>
      <c r="I41" s="99"/>
      <c r="J41" s="99"/>
      <c r="K41" s="99"/>
      <c r="L41" s="99"/>
      <c r="M41" s="99"/>
      <c r="N41" s="99"/>
      <c r="O41" s="99"/>
      <c r="P41" s="99"/>
      <c r="Q41" s="99"/>
      <c r="R41" s="99"/>
      <c r="S41" s="99"/>
      <c r="T41" s="99"/>
      <c r="U41" s="105">
        <f>IF($AA$14&gt;0,'Assumptions (Coal)'!$V$13*Model!$AA$14*'Assumptions (Coal)'!T$2/10^9,0)</f>
        <v>0</v>
      </c>
      <c r="V41" s="105">
        <f>IF($AA$14&gt;0,'Assumptions (Coal)'!$V$13*Model!$AA$14*'Assumptions (Coal)'!U$2/10^9,0)</f>
        <v>0</v>
      </c>
      <c r="W41" s="105">
        <f>IF($AA$14&gt;0,'Assumptions (Coal)'!$V$13*Model!$AA$14*'Assumptions (Coal)'!V$2/10^9,0)</f>
        <v>0</v>
      </c>
      <c r="X41" s="105">
        <f>IF($AA$14&gt;0,'Assumptions (Coal)'!$V$13*Model!$AA$14*'Assumptions (Coal)'!W$2/10^9,0)</f>
        <v>0</v>
      </c>
      <c r="Y41" s="105">
        <f>IF($AA$14&gt;0,'Assumptions (Coal)'!$V$13*Model!$AA$14*'Assumptions (Coal)'!X$2/10^9,0)</f>
        <v>0</v>
      </c>
      <c r="Z41" s="105">
        <f>IF($AA$14&gt;0,'Assumptions (Coal)'!$V$13*Model!$AA$14*'Assumptions (Coal)'!Y$2/10^9,0)</f>
        <v>0</v>
      </c>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row>
    <row r="42" spans="1:58" ht="15.75" hidden="1" customHeight="1" outlineLevel="1">
      <c r="A42" s="98"/>
      <c r="B42" s="99"/>
      <c r="C42" s="99"/>
      <c r="D42" s="99"/>
      <c r="E42" s="99"/>
      <c r="F42" s="99"/>
      <c r="G42" s="99"/>
      <c r="H42" s="99"/>
      <c r="I42" s="99"/>
      <c r="J42" s="99"/>
      <c r="K42" s="99"/>
      <c r="L42" s="99"/>
      <c r="M42" s="99"/>
      <c r="N42" s="99"/>
      <c r="O42" s="99"/>
      <c r="P42" s="99"/>
      <c r="Q42" s="99"/>
      <c r="R42" s="99"/>
      <c r="S42" s="99"/>
      <c r="T42" s="99"/>
      <c r="U42" s="99"/>
      <c r="V42" s="105">
        <f>IF($AB$14&gt;0,'Assumptions (Coal)'!$V$13*Model!$AB$14*'Assumptions (Coal)'!U$2/10^9,0)</f>
        <v>0</v>
      </c>
      <c r="W42" s="105">
        <f>IF($AB$14&gt;0,'Assumptions (Coal)'!$V$13*Model!$AB$14*'Assumptions (Coal)'!V$2/10^9,0)</f>
        <v>0</v>
      </c>
      <c r="X42" s="105">
        <f>IF($AB$14&gt;0,'Assumptions (Coal)'!$V$13*Model!$AB$14*'Assumptions (Coal)'!W$2/10^9,0)</f>
        <v>0</v>
      </c>
      <c r="Y42" s="105">
        <f>IF($AB$14&gt;0,'Assumptions (Coal)'!$V$13*Model!$AB$14*'Assumptions (Coal)'!X$2/10^9,0)</f>
        <v>0</v>
      </c>
      <c r="Z42" s="105">
        <f>IF($AB$14&gt;0,'Assumptions (Coal)'!$V$13*Model!$AB$14*'Assumptions (Coal)'!Y$2/10^9,0)</f>
        <v>0</v>
      </c>
      <c r="AA42" s="105">
        <f>IF($AB$14&gt;0,'Assumptions (Coal)'!$V$13*Model!$AB$14*'Assumptions (Coal)'!Z$2/10^9,0)</f>
        <v>0</v>
      </c>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row>
    <row r="43" spans="1:58" ht="15.75" hidden="1" customHeight="1" outlineLevel="1">
      <c r="A43" s="98"/>
      <c r="B43" s="99"/>
      <c r="C43" s="99"/>
      <c r="D43" s="99"/>
      <c r="E43" s="99"/>
      <c r="F43" s="99"/>
      <c r="G43" s="99"/>
      <c r="H43" s="99"/>
      <c r="I43" s="99"/>
      <c r="J43" s="99"/>
      <c r="K43" s="99"/>
      <c r="L43" s="99"/>
      <c r="M43" s="99"/>
      <c r="N43" s="99"/>
      <c r="O43" s="99"/>
      <c r="P43" s="99"/>
      <c r="Q43" s="99"/>
      <c r="R43" s="99"/>
      <c r="S43" s="99"/>
      <c r="T43" s="99"/>
      <c r="U43" s="99"/>
      <c r="V43" s="99"/>
      <c r="W43" s="105">
        <f>IF($AC$14&gt;0,'Assumptions (Coal)'!$V$13*Model!$AC$14*'Assumptions (Coal)'!V$2/10^9,0)</f>
        <v>0</v>
      </c>
      <c r="X43" s="105">
        <f>IF($AC$14&gt;0,'Assumptions (Coal)'!$V$13*Model!$AC$14*'Assumptions (Coal)'!W$2/10^9,0)</f>
        <v>0</v>
      </c>
      <c r="Y43" s="105">
        <f>IF($AC$14&gt;0,'Assumptions (Coal)'!$V$13*Model!$AC$14*'Assumptions (Coal)'!X$2/10^9,0)</f>
        <v>0</v>
      </c>
      <c r="Z43" s="105">
        <f>IF($AC$14&gt;0,'Assumptions (Coal)'!$V$13*Model!$AC$14*'Assumptions (Coal)'!Y$2/10^9,0)</f>
        <v>0</v>
      </c>
      <c r="AA43" s="105">
        <f>IF($AC$14&gt;0,'Assumptions (Coal)'!$V$13*Model!$AC$14*'Assumptions (Coal)'!Z$2/10^9,0)</f>
        <v>0</v>
      </c>
      <c r="AB43" s="105">
        <f>IF($AC$14&gt;0,'Assumptions (Coal)'!$V$13*Model!$AC$14*'Assumptions (Coal)'!AA$2/10^9,0)</f>
        <v>0</v>
      </c>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row>
    <row r="44" spans="1:58" ht="15.75" hidden="1" customHeight="1" outlineLevel="1">
      <c r="A44" s="98"/>
      <c r="B44" s="99"/>
      <c r="C44" s="99"/>
      <c r="D44" s="99"/>
      <c r="E44" s="99"/>
      <c r="F44" s="99"/>
      <c r="G44" s="99"/>
      <c r="H44" s="99"/>
      <c r="I44" s="99"/>
      <c r="J44" s="99"/>
      <c r="K44" s="99"/>
      <c r="L44" s="99"/>
      <c r="M44" s="99"/>
      <c r="N44" s="99"/>
      <c r="O44" s="99"/>
      <c r="P44" s="99"/>
      <c r="Q44" s="99"/>
      <c r="R44" s="99"/>
      <c r="S44" s="99"/>
      <c r="T44" s="99"/>
      <c r="U44" s="99"/>
      <c r="V44" s="99"/>
      <c r="W44" s="105"/>
      <c r="X44" s="105">
        <f>IF($AD$14&gt;0,'Assumptions (Coal)'!$V$13*Model!$AD$14*'Assumptions (Coal)'!W$2/10^9,0)</f>
        <v>0</v>
      </c>
      <c r="Y44" s="105">
        <f>IF($AD$14&gt;0,'Assumptions (Coal)'!$V$13*Model!$AD$14*'Assumptions (Coal)'!X$2/10^9,0)</f>
        <v>0</v>
      </c>
      <c r="Z44" s="105">
        <f>IF($AD$14&gt;0,'Assumptions (Coal)'!$V$13*Model!$AD$14*'Assumptions (Coal)'!Y$2/10^9,0)</f>
        <v>0</v>
      </c>
      <c r="AA44" s="105">
        <f>IF($AD$14&gt;0,'Assumptions (Coal)'!$V$13*Model!$AD$14*'Assumptions (Coal)'!Z$2/10^9,0)</f>
        <v>0</v>
      </c>
      <c r="AB44" s="105">
        <f>IF($AD$14&gt;0,'Assumptions (Coal)'!$V$13*Model!$AD$14*'Assumptions (Coal)'!AA$2/10^9,0)</f>
        <v>0</v>
      </c>
      <c r="AC44" s="105">
        <f>IF($AD$14&gt;0,'Assumptions (Coal)'!$V$13*Model!$AD$14*'Assumptions (Coal)'!AB$2/10^9,0)</f>
        <v>0</v>
      </c>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row>
    <row r="45" spans="1:58" ht="15.75" hidden="1" customHeight="1" outlineLevel="1">
      <c r="A45" s="98"/>
      <c r="B45" s="99"/>
      <c r="C45" s="99"/>
      <c r="D45" s="99"/>
      <c r="E45" s="99"/>
      <c r="F45" s="99"/>
      <c r="G45" s="99"/>
      <c r="H45" s="99"/>
      <c r="I45" s="99"/>
      <c r="J45" s="99"/>
      <c r="K45" s="99"/>
      <c r="L45" s="99"/>
      <c r="M45" s="99"/>
      <c r="N45" s="99"/>
      <c r="O45" s="99"/>
      <c r="P45" s="99"/>
      <c r="Q45" s="99"/>
      <c r="R45" s="99"/>
      <c r="S45" s="99"/>
      <c r="T45" s="99"/>
      <c r="U45" s="99"/>
      <c r="V45" s="99"/>
      <c r="W45" s="105"/>
      <c r="X45" s="105"/>
      <c r="Y45" s="105">
        <f>IF($AE$14&gt;0,'Assumptions (Coal)'!$V$13*Model!$AE$14*'Assumptions (Coal)'!X$2/10^9,0)</f>
        <v>0</v>
      </c>
      <c r="Z45" s="105">
        <f>IF($AE$14&gt;0,'Assumptions (Coal)'!$V$13*Model!$AE$14*'Assumptions (Coal)'!Y$2/10^9,0)</f>
        <v>0</v>
      </c>
      <c r="AA45" s="105">
        <f>IF($AE$14&gt;0,'Assumptions (Coal)'!$V$13*Model!$AE$14*'Assumptions (Coal)'!Z$2/10^9,0)</f>
        <v>0</v>
      </c>
      <c r="AB45" s="105">
        <f>IF($AE$14&gt;0,'Assumptions (Coal)'!$V$13*Model!$AE$14*'Assumptions (Coal)'!AA$2/10^9,0)</f>
        <v>0</v>
      </c>
      <c r="AC45" s="105">
        <f>IF($AE$14&gt;0,'Assumptions (Coal)'!$V$13*Model!$AE$14*'Assumptions (Coal)'!AB$2/10^9,0)</f>
        <v>0</v>
      </c>
      <c r="AD45" s="105">
        <f>IF($AE$14&gt;0,'Assumptions (Coal)'!$V$13*Model!$AE$14*'Assumptions (Coal)'!AC$2/10^9,0)</f>
        <v>0</v>
      </c>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row>
    <row r="46" spans="1:58" ht="15.75" hidden="1" customHeight="1" outlineLevel="1">
      <c r="A46" s="98"/>
      <c r="B46" s="99"/>
      <c r="C46" s="99"/>
      <c r="D46" s="99"/>
      <c r="E46" s="99"/>
      <c r="F46" s="99"/>
      <c r="G46" s="99"/>
      <c r="H46" s="99"/>
      <c r="I46" s="99"/>
      <c r="J46" s="99"/>
      <c r="K46" s="99"/>
      <c r="L46" s="99"/>
      <c r="M46" s="99"/>
      <c r="N46" s="99"/>
      <c r="O46" s="99"/>
      <c r="P46" s="99"/>
      <c r="Q46" s="99"/>
      <c r="R46" s="99"/>
      <c r="S46" s="99"/>
      <c r="T46" s="99"/>
      <c r="U46" s="99"/>
      <c r="V46" s="99"/>
      <c r="W46" s="105"/>
      <c r="X46" s="105"/>
      <c r="Y46" s="105"/>
      <c r="Z46" s="105">
        <f>IF($AF$14&gt;0,'Assumptions (Coal)'!$V$13*Model!$AF$14*'Assumptions (Coal)'!Y$2/10^9,0)</f>
        <v>0</v>
      </c>
      <c r="AA46" s="105">
        <f>IF($AF$14&gt;0,'Assumptions (Coal)'!$V$13*Model!$AF$14*'Assumptions (Coal)'!Z$2/10^9,0)</f>
        <v>0</v>
      </c>
      <c r="AB46" s="105">
        <f>IF($AF$14&gt;0,'Assumptions (Coal)'!$V$13*Model!$AF$14*'Assumptions (Coal)'!AA$2/10^9,0)</f>
        <v>0</v>
      </c>
      <c r="AC46" s="105">
        <f>IF($AF$14&gt;0,'Assumptions (Coal)'!$V$13*Model!$AF$14*'Assumptions (Coal)'!AB$2/10^9,0)</f>
        <v>0</v>
      </c>
      <c r="AD46" s="105">
        <f>IF($AF$14&gt;0,'Assumptions (Coal)'!$V$13*Model!$AF$14*'Assumptions (Coal)'!AC$2/10^9,0)</f>
        <v>0</v>
      </c>
      <c r="AE46" s="105">
        <f>IF($AF$14&gt;0,'Assumptions (Coal)'!$V$13*Model!$AF$14*'Assumptions (Coal)'!AD$2/10^9,0)</f>
        <v>0</v>
      </c>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row>
    <row r="47" spans="1:58" ht="15.75" hidden="1" customHeight="1" outlineLevel="1">
      <c r="A47" s="98"/>
      <c r="B47" s="99"/>
      <c r="C47" s="99"/>
      <c r="D47" s="99"/>
      <c r="E47" s="99"/>
      <c r="F47" s="99"/>
      <c r="G47" s="99"/>
      <c r="H47" s="99"/>
      <c r="I47" s="99"/>
      <c r="J47" s="99"/>
      <c r="K47" s="99"/>
      <c r="L47" s="99"/>
      <c r="M47" s="99"/>
      <c r="N47" s="99"/>
      <c r="O47" s="99"/>
      <c r="P47" s="99"/>
      <c r="Q47" s="99"/>
      <c r="R47" s="99"/>
      <c r="S47" s="99"/>
      <c r="T47" s="99"/>
      <c r="U47" s="99"/>
      <c r="V47" s="99"/>
      <c r="W47" s="105"/>
      <c r="X47" s="105"/>
      <c r="Y47" s="105"/>
      <c r="Z47" s="105"/>
      <c r="AA47" s="105">
        <f>IF($AG$14&gt;0,'Assumptions (Coal)'!$V$13*Model!$AG$14*'Assumptions (Coal)'!Z$2/10^9,0)</f>
        <v>0</v>
      </c>
      <c r="AB47" s="105">
        <f>IF($AG$14&gt;0,'Assumptions (Coal)'!$V$13*Model!$AG$14*'Assumptions (Coal)'!AA$2/10^9,0)</f>
        <v>0</v>
      </c>
      <c r="AC47" s="105">
        <f>IF($AG$14&gt;0,'Assumptions (Coal)'!$V$13*Model!$AG$14*'Assumptions (Coal)'!AB$2/10^9,0)</f>
        <v>0</v>
      </c>
      <c r="AD47" s="105">
        <f>IF($AG$14&gt;0,'Assumptions (Coal)'!$V$13*Model!$AG$14*'Assumptions (Coal)'!AC$2/10^9,0)</f>
        <v>0</v>
      </c>
      <c r="AE47" s="105">
        <f>IF($AG$14&gt;0,'Assumptions (Coal)'!$V$13*Model!$AG$14*'Assumptions (Coal)'!AD$2/10^9,0)</f>
        <v>0</v>
      </c>
      <c r="AF47" s="105">
        <f>IF($AG$14&gt;0,'Assumptions (Coal)'!$V$13*Model!$AG$14*'Assumptions (Coal)'!AE$2/10^9,0)</f>
        <v>0</v>
      </c>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row>
    <row r="48" spans="1:58" ht="15.75" hidden="1" customHeight="1" outlineLevel="1">
      <c r="A48" s="98"/>
      <c r="B48" s="99"/>
      <c r="C48" s="99"/>
      <c r="D48" s="99"/>
      <c r="E48" s="99"/>
      <c r="F48" s="99"/>
      <c r="G48" s="99"/>
      <c r="H48" s="99"/>
      <c r="I48" s="99"/>
      <c r="J48" s="99"/>
      <c r="K48" s="99"/>
      <c r="L48" s="99"/>
      <c r="M48" s="99"/>
      <c r="N48" s="99"/>
      <c r="O48" s="99"/>
      <c r="P48" s="99"/>
      <c r="Q48" s="99"/>
      <c r="R48" s="99"/>
      <c r="S48" s="99"/>
      <c r="T48" s="99"/>
      <c r="U48" s="99"/>
      <c r="V48" s="99"/>
      <c r="W48" s="105"/>
      <c r="X48" s="105"/>
      <c r="Y48" s="105"/>
      <c r="Z48" s="105"/>
      <c r="AA48" s="105"/>
      <c r="AB48" s="105">
        <f>IF($AH$14&gt;0,'Assumptions (Coal)'!$V$13*Model!$AH$14*'Assumptions (Coal)'!AA$2/10^9,0)</f>
        <v>0</v>
      </c>
      <c r="AC48" s="105">
        <f>IF($AH$14&gt;0,'Assumptions (Coal)'!$V$13*Model!$AH$14*'Assumptions (Coal)'!AB$2/10^9,0)</f>
        <v>0</v>
      </c>
      <c r="AD48" s="105">
        <f>IF($AH$14&gt;0,'Assumptions (Coal)'!$V$13*Model!$AH$14*'Assumptions (Coal)'!AC$2/10^9,0)</f>
        <v>0</v>
      </c>
      <c r="AE48" s="105">
        <f>IF($AH$14&gt;0,'Assumptions (Coal)'!$V$13*Model!$AH$14*'Assumptions (Coal)'!AD$2/10^9,0)</f>
        <v>0</v>
      </c>
      <c r="AF48" s="105">
        <f>IF($AH$14&gt;0,'Assumptions (Coal)'!$V$13*Model!$AH$14*'Assumptions (Coal)'!AE$2/10^9,0)</f>
        <v>0</v>
      </c>
      <c r="AG48" s="105">
        <f>IF($AH$14&gt;0,'Assumptions (Coal)'!$V$13*Model!$AH$14*'Assumptions (Coal)'!AF$2/10^9,0)</f>
        <v>0</v>
      </c>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row>
    <row r="49" spans="1:74" ht="15.75" hidden="1" customHeight="1" outlineLevel="1">
      <c r="A49" s="98"/>
      <c r="B49" s="99"/>
      <c r="C49" s="99"/>
      <c r="D49" s="99"/>
      <c r="E49" s="99"/>
      <c r="F49" s="99"/>
      <c r="G49" s="99"/>
      <c r="H49" s="99"/>
      <c r="I49" s="99"/>
      <c r="J49" s="99"/>
      <c r="K49" s="99"/>
      <c r="L49" s="99"/>
      <c r="M49" s="99"/>
      <c r="N49" s="99"/>
      <c r="O49" s="99"/>
      <c r="P49" s="99"/>
      <c r="Q49" s="99"/>
      <c r="R49" s="99"/>
      <c r="S49" s="99"/>
      <c r="T49" s="99"/>
      <c r="U49" s="99"/>
      <c r="V49" s="99"/>
      <c r="W49" s="105"/>
      <c r="X49" s="105"/>
      <c r="Y49" s="105"/>
      <c r="Z49" s="105"/>
      <c r="AA49" s="105"/>
      <c r="AB49" s="105"/>
      <c r="AC49" s="105">
        <f>IF($AI$14&gt;0,'Assumptions (Coal)'!$V$13*Model!$AI$14*'Assumptions (Coal)'!AB$2/10^9,0)</f>
        <v>0.16352887431804958</v>
      </c>
      <c r="AD49" s="105">
        <f>IF($AI$14&gt;0,'Assumptions (Coal)'!$V$13*Model!$AI$14*'Assumptions (Coal)'!AC$2/10^9,0)</f>
        <v>0.16679945180441058</v>
      </c>
      <c r="AE49" s="105">
        <f>IF($AI$14&gt;0,'Assumptions (Coal)'!$V$13*Model!$AI$14*'Assumptions (Coal)'!AD$2/10^9,0)</f>
        <v>0.17013544084049878</v>
      </c>
      <c r="AF49" s="105">
        <f>IF($AI$14&gt;0,'Assumptions (Coal)'!$V$13*Model!$AI$14*'Assumptions (Coal)'!AE$2/10^9,0)</f>
        <v>0.17353814965730879</v>
      </c>
      <c r="AG49" s="105">
        <f>IF($AI$14&gt;0,'Assumptions (Coal)'!$V$13*Model!$AI$14*'Assumptions (Coal)'!AF$2/10^9,0)</f>
        <v>0.17700891265045493</v>
      </c>
      <c r="AH49" s="105">
        <f>IF($AI$14&gt;0,'Assumptions (Coal)'!$V$13*Model!$AI$14*'Assumptions (Coal)'!AG$2/10^9,0)</f>
        <v>0.18054909090346405</v>
      </c>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row>
    <row r="50" spans="1:74" ht="15.75" hidden="1" customHeight="1" outlineLevel="1">
      <c r="A50" s="98"/>
      <c r="B50" s="99"/>
      <c r="C50" s="99"/>
      <c r="D50" s="99"/>
      <c r="E50" s="99"/>
      <c r="F50" s="99"/>
      <c r="G50" s="99"/>
      <c r="H50" s="99"/>
      <c r="I50" s="99"/>
      <c r="J50" s="99"/>
      <c r="K50" s="99"/>
      <c r="L50" s="99"/>
      <c r="M50" s="99"/>
      <c r="N50" s="99"/>
      <c r="O50" s="99"/>
      <c r="P50" s="99"/>
      <c r="Q50" s="99"/>
      <c r="R50" s="99"/>
      <c r="S50" s="99"/>
      <c r="T50" s="99"/>
      <c r="U50" s="99"/>
      <c r="V50" s="99"/>
      <c r="W50" s="105"/>
      <c r="X50" s="105"/>
      <c r="Y50" s="105"/>
      <c r="Z50" s="105"/>
      <c r="AA50" s="105"/>
      <c r="AB50" s="105"/>
      <c r="AC50" s="105"/>
      <c r="AD50" s="91">
        <f>IF($AJ$14&gt;0,'Assumptions (Coal)'!$V$13*Model!$AJ$14*'Assumptions (Coal)'!AC$2/10^9,0)</f>
        <v>1.9720371082854149</v>
      </c>
      <c r="AE50" s="91">
        <f>IF($AJ$14&gt;0,'Assumptions (Coal)'!$V$13*Model!$AJ$14*'Assumptions (Coal)'!AD$2/10^9,0)</f>
        <v>2.011477850451123</v>
      </c>
      <c r="AF50" s="91">
        <f>IF($AJ$14&gt;0,'Assumptions (Coal)'!$V$13*Model!$AJ$14*'Assumptions (Coal)'!AE$2/10^9,0)</f>
        <v>2.051707407460146</v>
      </c>
      <c r="AG50" s="91">
        <f>IF($AJ$14&gt;0,'Assumptions (Coal)'!$V$13*Model!$AJ$14*'Assumptions (Coal)'!AF$2/10^9,0)</f>
        <v>2.0927415556093489</v>
      </c>
      <c r="AH50" s="91">
        <f>IF($AJ$14&gt;0,'Assumptions (Coal)'!$V$13*Model!$AJ$14*'Assumptions (Coal)'!AG$2/10^9,0)</f>
        <v>2.1345963867215358</v>
      </c>
      <c r="AI50" s="91">
        <f>IF($AJ$14&gt;0,'Assumptions (Coal)'!$V$13*Model!$AJ$14*'Assumptions (Coal)'!AH$2/10^9,0)</f>
        <v>2.1772883144559665</v>
      </c>
      <c r="AJ50" s="91"/>
      <c r="AK50" s="105"/>
      <c r="AL50" s="91"/>
      <c r="AM50" s="91"/>
      <c r="AN50" s="91"/>
      <c r="AO50" s="91"/>
      <c r="AP50" s="91"/>
      <c r="AQ50" s="91"/>
      <c r="AR50" s="91"/>
      <c r="AS50" s="91"/>
      <c r="AT50" s="91"/>
      <c r="AU50" s="91"/>
      <c r="AV50" s="91"/>
      <c r="AW50" s="91"/>
      <c r="AX50" s="91"/>
      <c r="AY50" s="91"/>
      <c r="AZ50" s="91"/>
      <c r="BA50" s="91"/>
      <c r="BB50" s="91"/>
      <c r="BC50" s="91"/>
      <c r="BD50" s="91"/>
      <c r="BE50" s="91"/>
      <c r="BF50" s="91"/>
      <c r="BG50" s="91"/>
      <c r="BH50" s="91"/>
    </row>
    <row r="51" spans="1:74" ht="15.75" hidden="1" customHeight="1" outlineLevel="1">
      <c r="A51" s="98"/>
      <c r="B51" s="99"/>
      <c r="C51" s="99"/>
      <c r="D51" s="99"/>
      <c r="E51" s="99"/>
      <c r="F51" s="99"/>
      <c r="G51" s="99"/>
      <c r="H51" s="99"/>
      <c r="I51" s="99"/>
      <c r="J51" s="99"/>
      <c r="K51" s="99"/>
      <c r="L51" s="99"/>
      <c r="M51" s="99"/>
      <c r="N51" s="99"/>
      <c r="O51" s="99"/>
      <c r="P51" s="99"/>
      <c r="Q51" s="99"/>
      <c r="R51" s="99"/>
      <c r="S51" s="99"/>
      <c r="T51" s="99"/>
      <c r="U51" s="99"/>
      <c r="V51" s="99"/>
      <c r="W51" s="105"/>
      <c r="X51" s="105"/>
      <c r="Y51" s="105"/>
      <c r="Z51" s="105"/>
      <c r="AA51" s="105"/>
      <c r="AB51" s="105"/>
      <c r="AC51" s="105"/>
      <c r="AD51" s="105"/>
      <c r="AE51" s="105">
        <f>IF($AK$14&gt;0,'Assumptions (Coal)'!$V$13*Model!$AK$14*'Assumptions (Coal)'!AD$2/10^9,0)</f>
        <v>2.0247942670352788</v>
      </c>
      <c r="AF51" s="105">
        <f>IF($AK$14&gt;0,'Assumptions (Coal)'!$V$13*Model!$AK$14*'Assumptions (Coal)'!AE$2/10^9,0)</f>
        <v>2.0652901523759848</v>
      </c>
      <c r="AG51" s="105">
        <f>IF($AK$14&gt;0,'Assumptions (Coal)'!$V$13*Model!$AK$14*'Assumptions (Coal)'!AF$2/10^9,0)</f>
        <v>2.1065959554235043</v>
      </c>
      <c r="AH51" s="105">
        <f>IF($AK$14&gt;0,'Assumptions (Coal)'!$V$13*Model!$AK$14*'Assumptions (Coal)'!AG$2/10^9,0)</f>
        <v>2.1487278745319744</v>
      </c>
      <c r="AI51" s="105">
        <f>IF($AK$14&gt;0,'Assumptions (Coal)'!$V$13*Model!$AK$14*'Assumptions (Coal)'!AH$2/10^9,0)</f>
        <v>2.1917024320226139</v>
      </c>
      <c r="AJ51" s="105">
        <f>IF($AK$14&gt;0,'Assumptions (Coal)'!$V$13*Model!$AK$14*'Assumptions (Coal)'!AI$2/10^9,0)</f>
        <v>2.2355364806630664</v>
      </c>
      <c r="AK51" s="105"/>
      <c r="AL51" s="91"/>
      <c r="AM51" s="91"/>
      <c r="AN51" s="91"/>
      <c r="AO51" s="91"/>
      <c r="AP51" s="91"/>
      <c r="AQ51" s="91"/>
      <c r="AR51" s="91"/>
      <c r="AS51" s="91"/>
      <c r="AT51" s="91"/>
      <c r="AU51" s="91"/>
      <c r="AV51" s="91"/>
      <c r="AW51" s="91"/>
      <c r="AX51" s="91"/>
      <c r="AY51" s="91"/>
      <c r="AZ51" s="91"/>
      <c r="BA51" s="91"/>
      <c r="BB51" s="91"/>
      <c r="BC51" s="91"/>
      <c r="BD51" s="91"/>
      <c r="BE51" s="91"/>
      <c r="BF51" s="91"/>
      <c r="BG51" s="91"/>
      <c r="BH51" s="91"/>
      <c r="BI51" s="91"/>
    </row>
    <row r="52" spans="1:74" ht="15.75" hidden="1" customHeight="1" outlineLevel="1">
      <c r="A52" s="98"/>
      <c r="B52" s="99"/>
      <c r="C52" s="99"/>
      <c r="D52" s="99"/>
      <c r="E52" s="99"/>
      <c r="F52" s="99"/>
      <c r="G52" s="99"/>
      <c r="H52" s="99"/>
      <c r="I52" s="99"/>
      <c r="J52" s="99"/>
      <c r="K52" s="99"/>
      <c r="L52" s="99"/>
      <c r="M52" s="99"/>
      <c r="N52" s="99"/>
      <c r="O52" s="99"/>
      <c r="P52" s="99"/>
      <c r="Q52" s="99"/>
      <c r="R52" s="99"/>
      <c r="S52" s="99"/>
      <c r="T52" s="99"/>
      <c r="U52" s="99"/>
      <c r="V52" s="99"/>
      <c r="W52" s="105"/>
      <c r="X52" s="105"/>
      <c r="Y52" s="105"/>
      <c r="Z52" s="105"/>
      <c r="AA52" s="105"/>
      <c r="AB52" s="105"/>
      <c r="AC52" s="105"/>
      <c r="AD52" s="105"/>
      <c r="AE52" s="105"/>
      <c r="AF52" s="105">
        <f>IF($AL$14&gt;0,'Assumptions (Coal)'!$V$13*Model!$AL$14*'Assumptions (Coal)'!AE$2/10^9,0)</f>
        <v>1.4379497920466764</v>
      </c>
      <c r="AG52" s="105">
        <f>IF($AL$14&gt;0,'Assumptions (Coal)'!$V$13*Model!$AL$14*'Assumptions (Coal)'!AF$2/10^9,0)</f>
        <v>1.4667087878876097</v>
      </c>
      <c r="AH52" s="105">
        <f>IF($AL$14&gt;0,'Assumptions (Coal)'!$V$13*Model!$AL$14*'Assumptions (Coal)'!AG$2/10^9,0)</f>
        <v>1.496042963645362</v>
      </c>
      <c r="AI52" s="105">
        <f>IF($AL$14&gt;0,'Assumptions (Coal)'!$V$13*Model!$AL$14*'Assumptions (Coal)'!AH$2/10^9,0)</f>
        <v>1.5259638229182695</v>
      </c>
      <c r="AJ52" s="105">
        <f>IF($AL$14&gt;0,'Assumptions (Coal)'!$V$13*Model!$AL$14*'Assumptions (Coal)'!AI$2/10^9,0)</f>
        <v>1.5564830993766348</v>
      </c>
      <c r="AK52" s="105">
        <f>IF($AL$14&gt;0,'Assumptions (Coal)'!$V$13*Model!$AL$14*'Assumptions (Coal)'!AJ$2/10^9,0)</f>
        <v>1.5876127613641677</v>
      </c>
      <c r="AL52" s="91"/>
      <c r="AM52" s="91"/>
      <c r="AN52" s="91"/>
      <c r="AO52" s="91"/>
      <c r="AP52" s="91"/>
      <c r="AQ52" s="91"/>
      <c r="AR52" s="91"/>
      <c r="AS52" s="91"/>
      <c r="AT52" s="91"/>
      <c r="AU52" s="91"/>
      <c r="AV52" s="91"/>
      <c r="AW52" s="91"/>
      <c r="AX52" s="91"/>
      <c r="AY52" s="91"/>
      <c r="AZ52" s="91"/>
      <c r="BA52" s="91"/>
      <c r="BB52" s="91"/>
      <c r="BC52" s="91"/>
      <c r="BD52" s="91"/>
      <c r="BE52" s="91"/>
      <c r="BF52" s="91"/>
      <c r="BG52" s="91"/>
      <c r="BH52" s="91"/>
      <c r="BI52" s="91"/>
      <c r="BJ52" s="91"/>
    </row>
    <row r="53" spans="1:74" ht="15.75" hidden="1" customHeight="1" outlineLevel="1">
      <c r="A53" s="98"/>
      <c r="B53" s="99"/>
      <c r="C53" s="99"/>
      <c r="D53" s="99"/>
      <c r="E53" s="99"/>
      <c r="F53" s="99"/>
      <c r="G53" s="99"/>
      <c r="H53" s="99"/>
      <c r="I53" s="99"/>
      <c r="J53" s="99"/>
      <c r="K53" s="99"/>
      <c r="L53" s="99"/>
      <c r="M53" s="99"/>
      <c r="N53" s="99"/>
      <c r="O53" s="99"/>
      <c r="P53" s="99"/>
      <c r="Q53" s="99"/>
      <c r="R53" s="99"/>
      <c r="S53" s="99"/>
      <c r="T53" s="99"/>
      <c r="U53" s="99"/>
      <c r="V53" s="99"/>
      <c r="W53" s="105"/>
      <c r="X53" s="105"/>
      <c r="Y53" s="105"/>
      <c r="Z53" s="105"/>
      <c r="AA53" s="105"/>
      <c r="AB53" s="105"/>
      <c r="AC53" s="105"/>
      <c r="AD53" s="105"/>
      <c r="AE53" s="105"/>
      <c r="AF53" s="105"/>
      <c r="AG53" s="105">
        <f>IF($AM$14&gt;0,'Assumptions (Coal)'!$V$13*Model!$AM$14*'Assumptions (Coal)'!AF$2/10^9,0)</f>
        <v>6.7101855533720034</v>
      </c>
      <c r="AH53" s="105">
        <f>IF($AM$14&gt;0,'Assumptions (Coal)'!$V$13*Model!$AM$14*'Assumptions (Coal)'!AG$2/10^9,0)</f>
        <v>6.8443892644394433</v>
      </c>
      <c r="AI53" s="105">
        <f>IF($AM$14&gt;0,'Assumptions (Coal)'!$V$13*Model!$AM$14*'Assumptions (Coal)'!AH$2/10^9,0)</f>
        <v>6.9812770497282326</v>
      </c>
      <c r="AJ53" s="105">
        <f>IF($AM$14&gt;0,'Assumptions (Coal)'!$V$13*Model!$AM$14*'Assumptions (Coal)'!AI$2/10^9,0)</f>
        <v>7.120902590722797</v>
      </c>
      <c r="AK53" s="105">
        <f>IF($AM$14&gt;0,'Assumptions (Coal)'!$V$13*Model!$AM$14*'Assumptions (Coal)'!AJ$2/10^9,0)</f>
        <v>7.2633206425372547</v>
      </c>
      <c r="AL53" s="105">
        <f>IF($AM$14&gt;0,'Assumptions (Coal)'!$V$13*Model!$AM$14*'Assumptions (Coal)'!AK$2/10^9,0)</f>
        <v>7.4085870553879989</v>
      </c>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row>
    <row r="54" spans="1:74" ht="15.75" hidden="1" customHeight="1" outlineLevel="1">
      <c r="A54" s="98"/>
      <c r="B54" s="99"/>
      <c r="C54" s="99"/>
      <c r="D54" s="99"/>
      <c r="E54" s="99"/>
      <c r="F54" s="99"/>
      <c r="G54" s="99"/>
      <c r="H54" s="99"/>
      <c r="I54" s="99"/>
      <c r="J54" s="99"/>
      <c r="K54" s="99"/>
      <c r="L54" s="99"/>
      <c r="M54" s="99"/>
      <c r="N54" s="99"/>
      <c r="O54" s="99"/>
      <c r="P54" s="99"/>
      <c r="Q54" s="99"/>
      <c r="R54" s="99"/>
      <c r="S54" s="99"/>
      <c r="T54" s="99"/>
      <c r="U54" s="99"/>
      <c r="V54" s="99"/>
      <c r="W54" s="105"/>
      <c r="X54" s="105"/>
      <c r="Y54" s="105"/>
      <c r="Z54" s="105"/>
      <c r="AA54" s="105"/>
      <c r="AB54" s="105"/>
      <c r="AC54" s="105"/>
      <c r="AD54" s="105"/>
      <c r="AE54" s="105"/>
      <c r="AF54" s="105"/>
      <c r="AG54" s="105"/>
      <c r="AH54" s="105">
        <f>IF($AN$14&gt;0,'Assumptions (Coal)'!$V$13*Model!$AN$14*'Assumptions (Coal)'!AG$2/10^9,0)</f>
        <v>2.2346768489014344</v>
      </c>
      <c r="AI54" s="105">
        <f>IF($AN$14&gt;0,'Assumptions (Coal)'!$V$13*Model!$AN$14*'Assumptions (Coal)'!AH$2/10^9,0)</f>
        <v>2.2793703858794632</v>
      </c>
      <c r="AJ54" s="105">
        <f>IF($AN$14&gt;0,'Assumptions (Coal)'!$V$13*Model!$AN$14*'Assumptions (Coal)'!AI$2/10^9,0)</f>
        <v>2.3249577935970525</v>
      </c>
      <c r="AK54" s="105">
        <f>IF($AN$14&gt;0,'Assumptions (Coal)'!$V$13*Model!$AN$14*'Assumptions (Coal)'!AJ$2/10^9,0)</f>
        <v>2.3714569494689939</v>
      </c>
      <c r="AL54" s="105">
        <f>IF($AN$14&gt;0,'Assumptions (Coal)'!$V$13*Model!$AN$14*'Assumptions (Coal)'!AK$2/10^9,0)</f>
        <v>2.4188860884583736</v>
      </c>
      <c r="AM54" s="105">
        <f>IF($AN$14&gt;0,'Assumptions (Coal)'!$V$13*Model!$AN$14*'Assumptions (Coal)'!AL$2/10^9,0)</f>
        <v>2.467263810227541</v>
      </c>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row>
    <row r="55" spans="1:74" ht="15.75" hidden="1" customHeight="1" outlineLevel="1">
      <c r="A55" s="98"/>
      <c r="B55" s="99"/>
      <c r="C55" s="99"/>
      <c r="D55" s="99"/>
      <c r="E55" s="99"/>
      <c r="F55" s="99"/>
      <c r="G55" s="99"/>
      <c r="H55" s="99"/>
      <c r="I55" s="99"/>
      <c r="J55" s="99"/>
      <c r="K55" s="99"/>
      <c r="L55" s="99"/>
      <c r="M55" s="99"/>
      <c r="N55" s="99"/>
      <c r="O55" s="99"/>
      <c r="P55" s="99"/>
      <c r="Q55" s="99"/>
      <c r="R55" s="99"/>
      <c r="S55" s="99"/>
      <c r="T55" s="99"/>
      <c r="U55" s="99"/>
      <c r="V55" s="99"/>
      <c r="W55" s="105"/>
      <c r="X55" s="105"/>
      <c r="Y55" s="105"/>
      <c r="Z55" s="105"/>
      <c r="AA55" s="105"/>
      <c r="AB55" s="105"/>
      <c r="AC55" s="105"/>
      <c r="AD55" s="105"/>
      <c r="AE55" s="105"/>
      <c r="AF55" s="105"/>
      <c r="AG55" s="105"/>
      <c r="AH55" s="105"/>
      <c r="AI55" s="105">
        <f>IF($AO$14&gt;0,'Assumptions (Coal)'!$V$13*Model!$AO$14*'Assumptions (Coal)'!AH$2/10^9,0)</f>
        <v>2.0137848913119041</v>
      </c>
      <c r="AJ55" s="105">
        <f>IF($AO$14&gt;0,'Assumptions (Coal)'!$V$13*Model!$AO$14*'Assumptions (Coal)'!AI$2/10^9,0)</f>
        <v>2.054060589138142</v>
      </c>
      <c r="AK55" s="105">
        <f>IF($AO$14&gt;0,'Assumptions (Coal)'!$V$13*Model!$AO$14*'Assumptions (Coal)'!AJ$2/10^9,0)</f>
        <v>2.0951418009209051</v>
      </c>
      <c r="AL55" s="105">
        <f>IF($AO$14&gt;0,'Assumptions (Coal)'!$V$13*Model!$AO$14*'Assumptions (Coal)'!AK$2/10^9,0)</f>
        <v>2.137044636939323</v>
      </c>
      <c r="AM55" s="105">
        <f>IF($AO$14&gt;0,'Assumptions (Coal)'!$V$13*Model!$AO$14*'Assumptions (Coal)'!AL$2/10^9,0)</f>
        <v>2.1797855296781097</v>
      </c>
      <c r="AN55" s="105">
        <f>IF($AO$14&gt;0,'Assumptions (Coal)'!$V$13*Model!$AO$14*'Assumptions (Coal)'!AM$2/10^9,0)</f>
        <v>2.2233812402716717</v>
      </c>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row>
    <row r="56" spans="1:74" ht="15.75" hidden="1" customHeight="1" outlineLevel="1">
      <c r="A56" s="98"/>
      <c r="B56" s="99"/>
      <c r="C56" s="99"/>
      <c r="D56" s="99"/>
      <c r="E56" s="99"/>
      <c r="F56" s="99"/>
      <c r="G56" s="99"/>
      <c r="H56" s="99"/>
      <c r="I56" s="99"/>
      <c r="J56" s="99"/>
      <c r="K56" s="99"/>
      <c r="L56" s="99"/>
      <c r="M56" s="99"/>
      <c r="N56" s="99"/>
      <c r="O56" s="99"/>
      <c r="P56" s="99"/>
      <c r="Q56" s="99"/>
      <c r="R56" s="99"/>
      <c r="S56" s="99"/>
      <c r="T56" s="99"/>
      <c r="U56" s="99"/>
      <c r="V56" s="99"/>
      <c r="W56" s="105"/>
      <c r="X56" s="105"/>
      <c r="Y56" s="105"/>
      <c r="Z56" s="105"/>
      <c r="AA56" s="105"/>
      <c r="AB56" s="105"/>
      <c r="AC56" s="105"/>
      <c r="AD56" s="105"/>
      <c r="AE56" s="105"/>
      <c r="AF56" s="105"/>
      <c r="AG56" s="105"/>
      <c r="AH56" s="105"/>
      <c r="AI56" s="105"/>
      <c r="AJ56" s="105">
        <f>IF($AP$14&gt;0,'Assumptions (Coal)'!$V$13*Model!$AP$14*'Assumptions (Coal)'!AI$2/10^9,0)</f>
        <v>0.43613828174603847</v>
      </c>
      <c r="AK56" s="105">
        <f>IF($AP$14&gt;0,'Assumptions (Coal)'!$V$13*Model!$AP$14*'Assumptions (Coal)'!AJ$2/10^9,0)</f>
        <v>0.44486104738095927</v>
      </c>
      <c r="AL56" s="105">
        <f>IF($AP$14&gt;0,'Assumptions (Coal)'!$V$13*Model!$AP$14*'Assumptions (Coal)'!AK$2/10^9,0)</f>
        <v>0.45375826832857846</v>
      </c>
      <c r="AM56" s="105">
        <f>IF($AP$14&gt;0,'Assumptions (Coal)'!$V$13*Model!$AP$14*'Assumptions (Coal)'!AL$2/10^9,0)</f>
        <v>0.46283343369515006</v>
      </c>
      <c r="AN56" s="105">
        <f>IF($AP$14&gt;0,'Assumptions (Coal)'!$V$13*Model!$AP$14*'Assumptions (Coal)'!AM$2/10^9,0)</f>
        <v>0.47209010236905302</v>
      </c>
      <c r="AO56" s="105">
        <f>IF($AP$14&gt;0,'Assumptions (Coal)'!$V$13*Model!$AP$14*'Assumptions (Coal)'!AN$2/10^9,0)</f>
        <v>0.48153190441643412</v>
      </c>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row>
    <row r="57" spans="1:74" ht="15.75" hidden="1" customHeight="1" outlineLevel="1">
      <c r="A57" s="98"/>
      <c r="B57" s="99"/>
      <c r="C57" s="99"/>
      <c r="D57" s="99"/>
      <c r="E57" s="99"/>
      <c r="F57" s="99"/>
      <c r="G57" s="99"/>
      <c r="H57" s="99"/>
      <c r="I57" s="99"/>
      <c r="J57" s="99"/>
      <c r="K57" s="99"/>
      <c r="L57" s="99"/>
      <c r="M57" s="99"/>
      <c r="N57" s="99"/>
      <c r="O57" s="99"/>
      <c r="P57" s="99"/>
      <c r="Q57" s="99"/>
      <c r="R57" s="99"/>
      <c r="S57" s="99"/>
      <c r="T57" s="99"/>
      <c r="U57" s="99"/>
      <c r="V57" s="99"/>
      <c r="W57" s="105"/>
      <c r="X57" s="105"/>
      <c r="Y57" s="105"/>
      <c r="Z57" s="105"/>
      <c r="AA57" s="105"/>
      <c r="AB57" s="105"/>
      <c r="AC57" s="105"/>
      <c r="AD57" s="170"/>
      <c r="AE57" s="105"/>
      <c r="AF57" s="105"/>
      <c r="AG57" s="105"/>
      <c r="AH57" s="105"/>
      <c r="AI57" s="105"/>
      <c r="AJ57" s="171"/>
      <c r="AK57" s="105">
        <f>IF($AQ$14&gt;0,'Assumptions (Coal)'!$V$13*Model!$AQ$14*'Assumptions (Coal)'!AJ$2/10^9,0)</f>
        <v>4.2182583189872487</v>
      </c>
      <c r="AL57" s="105">
        <f>IF($AQ$14&gt;0,'Assumptions (Coal)'!$V$13*Model!$AQ$14*'Assumptions (Coal)'!AK$2/10^9,0)</f>
        <v>4.3026234853669942</v>
      </c>
      <c r="AM57" s="105">
        <f>IF($AQ$14&gt;0,'Assumptions (Coal)'!$V$13*Model!$AQ$14*'Assumptions (Coal)'!AL$2/10^9,0)</f>
        <v>4.3886759550743344</v>
      </c>
      <c r="AN57" s="105">
        <f>IF($AQ$14&gt;0,'Assumptions (Coal)'!$V$13*Model!$AQ$14*'Assumptions (Coal)'!AM$2/10^9,0)</f>
        <v>4.4764494741758201</v>
      </c>
      <c r="AO57" s="105">
        <f>IF($AQ$14&gt;0,'Assumptions (Coal)'!$V$13*Model!$AQ$14*'Assumptions (Coal)'!AN$2/10^9,0)</f>
        <v>4.565978463659337</v>
      </c>
      <c r="AP57" s="105">
        <f>IF($AQ$14&gt;0,'Assumptions (Coal)'!$V$13*Model!$AQ$14*'Assumptions (Coal)'!AO$2/10^9,0)</f>
        <v>4.6572980329325233</v>
      </c>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row>
    <row r="58" spans="1:74" ht="15.75" hidden="1" customHeight="1" outlineLevel="1">
      <c r="A58" s="98"/>
      <c r="B58" s="99"/>
      <c r="C58" s="99"/>
      <c r="D58" s="99"/>
      <c r="E58" s="99"/>
      <c r="F58" s="99"/>
      <c r="G58" s="99"/>
      <c r="H58" s="99"/>
      <c r="I58" s="99"/>
      <c r="J58" s="99"/>
      <c r="K58" s="99"/>
      <c r="L58" s="99"/>
      <c r="M58" s="99"/>
      <c r="N58" s="99"/>
      <c r="O58" s="99"/>
      <c r="P58" s="99"/>
      <c r="Q58" s="99"/>
      <c r="R58" s="99"/>
      <c r="S58" s="99"/>
      <c r="T58" s="99"/>
      <c r="U58" s="99"/>
      <c r="V58" s="99"/>
      <c r="W58" s="105"/>
      <c r="X58" s="105"/>
      <c r="Y58" s="105"/>
      <c r="Z58" s="105"/>
      <c r="AA58" s="105"/>
      <c r="AB58" s="105"/>
      <c r="AC58" s="105"/>
      <c r="AD58" s="105"/>
      <c r="AE58" s="105"/>
      <c r="AF58" s="105"/>
      <c r="AG58" s="105"/>
      <c r="AH58" s="105"/>
      <c r="AI58" s="105"/>
      <c r="AJ58" s="171"/>
      <c r="AK58" s="105"/>
      <c r="AL58" s="105">
        <f>IF($AR$14&gt;0,'Assumptions (Coal)'!$V$13*Model!$AR$14*'Assumptions (Coal)'!AK$2/10^9,0)</f>
        <v>4.0105083478873436</v>
      </c>
      <c r="AM58" s="105">
        <f>IF($AR$14&gt;0,'Assumptions (Coal)'!$V$13*Model!$AR$14*'Assumptions (Coal)'!AL$2/10^9,0)</f>
        <v>4.0907185148450909</v>
      </c>
      <c r="AN58" s="105">
        <f>IF($AR$14&gt;0,'Assumptions (Coal)'!$V$13*Model!$AR$14*'Assumptions (Coal)'!AM$2/10^9,0)</f>
        <v>4.1725328851419929</v>
      </c>
      <c r="AO58" s="105">
        <f>IF($AR$14&gt;0,'Assumptions (Coal)'!$V$13*Model!$AR$14*'Assumptions (Coal)'!AN$2/10^9,0)</f>
        <v>4.2559835428448327</v>
      </c>
      <c r="AP58" s="105">
        <f>IF($AR$14&gt;0,'Assumptions (Coal)'!$V$13*Model!$AR$14*'Assumptions (Coal)'!AO$2/10^9,0)</f>
        <v>4.3411032137017287</v>
      </c>
      <c r="AQ58" s="105">
        <f>IF($AR$14&gt;0,'Assumptions (Coal)'!$V$13*Model!$AR$14*'Assumptions (Coal)'!AP$2/10^9,0)</f>
        <v>4.4279252779757634</v>
      </c>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row>
    <row r="59" spans="1:74" ht="15.75" hidden="1" customHeight="1" outlineLevel="1">
      <c r="A59" s="98"/>
      <c r="B59" s="99"/>
      <c r="C59" s="99"/>
      <c r="D59" s="99"/>
      <c r="E59" s="99"/>
      <c r="F59" s="99"/>
      <c r="G59" s="99"/>
      <c r="H59" s="99"/>
      <c r="I59" s="99"/>
      <c r="J59" s="99"/>
      <c r="K59" s="99"/>
      <c r="L59" s="99"/>
      <c r="M59" s="99"/>
      <c r="N59" s="99"/>
      <c r="O59" s="99"/>
      <c r="P59" s="99"/>
      <c r="Q59" s="99"/>
      <c r="R59" s="99"/>
      <c r="S59" s="99"/>
      <c r="T59" s="99"/>
      <c r="U59" s="99"/>
      <c r="V59" s="99"/>
      <c r="W59" s="105"/>
      <c r="X59" s="105"/>
      <c r="Y59" s="105"/>
      <c r="Z59" s="105"/>
      <c r="AA59" s="105"/>
      <c r="AB59" s="105"/>
      <c r="AC59" s="105"/>
      <c r="AD59" s="105"/>
      <c r="AE59" s="105"/>
      <c r="AF59" s="105"/>
      <c r="AG59" s="105"/>
      <c r="AH59" s="105"/>
      <c r="AI59" s="105"/>
      <c r="AJ59" s="171"/>
      <c r="AK59" s="105"/>
      <c r="AL59" s="91"/>
      <c r="AM59" s="105">
        <f>IF($AS$14&gt;0,'Assumptions (Coal)'!$V$13*Model!$AS$14*'Assumptions (Coal)'!AL$2/10^9,0)</f>
        <v>2.1757103009137477</v>
      </c>
      <c r="AN59" s="105">
        <f>IF($AS$14&gt;0,'Assumptions (Coal)'!$V$13*Model!$AS$14*'Assumptions (Coal)'!AM$2/10^9,0)</f>
        <v>2.2192245069320227</v>
      </c>
      <c r="AO59" s="105">
        <f>IF($AS$14&gt;0,'Assumptions (Coal)'!$V$13*Model!$AS$14*'Assumptions (Coal)'!AN$2/10^9,0)</f>
        <v>2.263608997070663</v>
      </c>
      <c r="AP59" s="105">
        <f>IF($AS$14&gt;0,'Assumptions (Coal)'!$V$13*Model!$AS$14*'Assumptions (Coal)'!AO$2/10^9,0)</f>
        <v>2.3088811770120765</v>
      </c>
      <c r="AQ59" s="105">
        <f>IF($AS$14&gt;0,'Assumptions (Coal)'!$V$13*Model!$AS$14*'Assumptions (Coal)'!AP$2/10^9,0)</f>
        <v>2.3550588005523183</v>
      </c>
      <c r="AR59" s="105">
        <f>IF($AS$14&gt;0,'Assumptions (Coal)'!$V$13*Model!$AS$14*'Assumptions (Coal)'!AQ$2/10^9,0)</f>
        <v>2.4021599765633646</v>
      </c>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row>
    <row r="60" spans="1:74" ht="15.75" hidden="1" customHeight="1" outlineLevel="1">
      <c r="A60" s="98"/>
      <c r="B60" s="99"/>
      <c r="C60" s="99"/>
      <c r="D60" s="99"/>
      <c r="E60" s="99"/>
      <c r="F60" s="99"/>
      <c r="G60" s="99"/>
      <c r="H60" s="99"/>
      <c r="I60" s="99"/>
      <c r="J60" s="99"/>
      <c r="K60" s="99"/>
      <c r="L60" s="99"/>
      <c r="M60" s="99"/>
      <c r="N60" s="99"/>
      <c r="O60" s="99"/>
      <c r="P60" s="99"/>
      <c r="Q60" s="99"/>
      <c r="R60" s="99"/>
      <c r="S60" s="99"/>
      <c r="T60" s="99"/>
      <c r="U60" s="99"/>
      <c r="V60" s="99"/>
      <c r="W60" s="105"/>
      <c r="X60" s="105"/>
      <c r="Y60" s="105"/>
      <c r="Z60" s="105"/>
      <c r="AA60" s="105"/>
      <c r="AB60" s="105"/>
      <c r="AC60" s="105"/>
      <c r="AD60" s="105"/>
      <c r="AE60" s="105"/>
      <c r="AF60" s="105"/>
      <c r="AG60" s="105"/>
      <c r="AH60" s="105"/>
      <c r="AI60" s="105"/>
      <c r="AJ60" s="171"/>
      <c r="AK60" s="105"/>
      <c r="AL60" s="91"/>
      <c r="AM60" s="91"/>
      <c r="AN60" s="105">
        <f>IF($AT$14&gt;0,'Assumptions (Coal)'!$V$13*Model!$AT$14*'Assumptions (Coal)'!AM$2/10^9,0)</f>
        <v>7.8634745631385803</v>
      </c>
      <c r="AO60" s="105">
        <f>IF($AT$14&gt;0,'Assumptions (Coal)'!$V$13*Model!$AT$14*'Assumptions (Coal)'!AN$2/10^9,0)</f>
        <v>8.0207440544013515</v>
      </c>
      <c r="AP60" s="105">
        <f>IF($AT$14&gt;0,'Assumptions (Coal)'!$V$13*Model!$AT$14*'Assumptions (Coal)'!AO$2/10^9,0)</f>
        <v>8.1811589354893783</v>
      </c>
      <c r="AQ60" s="105">
        <f>IF($AT$14&gt;0,'Assumptions (Coal)'!$V$13*Model!$AT$14*'Assumptions (Coal)'!AP$2/10^9,0)</f>
        <v>8.3447821141991678</v>
      </c>
      <c r="AR60" s="105">
        <f>IF($AT$14&gt;0,'Assumptions (Coal)'!$V$13*Model!$AT$14*'Assumptions (Coal)'!AQ$2/10^9,0)</f>
        <v>8.5116777564831505</v>
      </c>
      <c r="AS60" s="105">
        <f>IF($AT$14&gt;0,'Assumptions (Coal)'!$V$13*Model!$AT$14*'Assumptions (Coal)'!AR$2/10^9,0)</f>
        <v>8.6819113116128133</v>
      </c>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row>
    <row r="61" spans="1:74" ht="15.75" hidden="1" customHeight="1" outlineLevel="1">
      <c r="A61" s="98"/>
      <c r="B61" s="99"/>
      <c r="C61" s="99"/>
      <c r="D61" s="99"/>
      <c r="E61" s="99"/>
      <c r="F61" s="99"/>
      <c r="G61" s="99"/>
      <c r="H61" s="99"/>
      <c r="I61" s="99"/>
      <c r="J61" s="99"/>
      <c r="K61" s="99"/>
      <c r="L61" s="99"/>
      <c r="M61" s="99"/>
      <c r="N61" s="99"/>
      <c r="O61" s="99"/>
      <c r="P61" s="99"/>
      <c r="Q61" s="99"/>
      <c r="R61" s="99"/>
      <c r="S61" s="99"/>
      <c r="T61" s="99"/>
      <c r="U61" s="99"/>
      <c r="V61" s="99"/>
      <c r="W61" s="105"/>
      <c r="X61" s="105"/>
      <c r="Y61" s="105"/>
      <c r="Z61" s="105"/>
      <c r="AA61" s="105"/>
      <c r="AB61" s="105"/>
      <c r="AC61" s="105"/>
      <c r="AD61" s="105"/>
      <c r="AE61" s="105"/>
      <c r="AF61" s="105"/>
      <c r="AG61" s="105"/>
      <c r="AH61" s="105"/>
      <c r="AI61" s="105"/>
      <c r="AJ61" s="171"/>
      <c r="AK61" s="105"/>
      <c r="AL61" s="91"/>
      <c r="AM61" s="91"/>
      <c r="AN61" s="91"/>
      <c r="AO61" s="105">
        <f>IF($AU$14&gt;0,'Assumptions (Coal)'!$V$13*Model!$AU$14*'Assumptions (Coal)'!AN$2/10^9,0)</f>
        <v>1.7194522232141769</v>
      </c>
      <c r="AP61" s="105">
        <f>IF($AU$14&gt;0,'Assumptions (Coal)'!$V$13*Model!$AU$14*'Assumptions (Coal)'!AO$2/10^9,0)</f>
        <v>1.7538412676784603</v>
      </c>
      <c r="AQ61" s="105">
        <f>IF($AU$14&gt;0,'Assumptions (Coal)'!$V$13*Model!$AU$14*'Assumptions (Coal)'!AP$2/10^9,0)</f>
        <v>1.7889180930320296</v>
      </c>
      <c r="AR61" s="105">
        <f>IF($AU$14&gt;0,'Assumptions (Coal)'!$V$13*Model!$AU$14*'Assumptions (Coal)'!AQ$2/10^9,0)</f>
        <v>1.8246964548926703</v>
      </c>
      <c r="AS61" s="105">
        <f>IF($AU$14&gt;0,'Assumptions (Coal)'!$V$13*Model!$AU$14*'Assumptions (Coal)'!AR$2/10^9,0)</f>
        <v>1.8611903839905237</v>
      </c>
      <c r="AT61" s="105">
        <f>IF($AU$14&gt;0,'Assumptions (Coal)'!$V$13*Model!$AU$14*'Assumptions (Coal)'!AS$2/10^9,0)</f>
        <v>1.8984141916703343</v>
      </c>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row>
    <row r="62" spans="1:74" ht="15.75" hidden="1" customHeight="1" outlineLevel="1">
      <c r="A62" s="98"/>
      <c r="B62" s="99"/>
      <c r="C62" s="99"/>
      <c r="D62" s="99"/>
      <c r="E62" s="99"/>
      <c r="F62" s="99"/>
      <c r="G62" s="99"/>
      <c r="H62" s="99"/>
      <c r="I62" s="99"/>
      <c r="J62" s="99"/>
      <c r="K62" s="99"/>
      <c r="L62" s="99"/>
      <c r="M62" s="99"/>
      <c r="N62" s="99"/>
      <c r="O62" s="99"/>
      <c r="P62" s="99"/>
      <c r="Q62" s="99"/>
      <c r="R62" s="99"/>
      <c r="S62" s="99"/>
      <c r="T62" s="99"/>
      <c r="U62" s="99"/>
      <c r="V62" s="99"/>
      <c r="W62" s="105"/>
      <c r="X62" s="105"/>
      <c r="Y62" s="105"/>
      <c r="Z62" s="105"/>
      <c r="AA62" s="105"/>
      <c r="AB62" s="105"/>
      <c r="AC62" s="105"/>
      <c r="AD62" s="105"/>
      <c r="AE62" s="105"/>
      <c r="AF62" s="105"/>
      <c r="AG62" s="105"/>
      <c r="AH62" s="105"/>
      <c r="AI62" s="105"/>
      <c r="AJ62" s="171"/>
      <c r="AK62" s="105"/>
      <c r="AL62" s="91"/>
      <c r="AM62" s="91"/>
      <c r="AN62" s="91"/>
      <c r="AO62" s="105"/>
      <c r="AP62" s="105">
        <f>IF($AV$14&gt;0,'Assumptions (Coal)'!$V$13*Model!$AV$14*'Assumptions (Coal)'!AO$2/10^9,0)</f>
        <v>3.2548708354845073</v>
      </c>
      <c r="AQ62" s="105">
        <f>IF($AV$14&gt;0,'Assumptions (Coal)'!$V$13*Model!$AV$14*'Assumptions (Coal)'!AP$2/10^9,0)</f>
        <v>3.3199682521941978</v>
      </c>
      <c r="AR62" s="105">
        <f>IF($AV$14&gt;0,'Assumptions (Coal)'!$V$13*Model!$AV$14*'Assumptions (Coal)'!AQ$2/10^9,0)</f>
        <v>3.3863676172380814</v>
      </c>
      <c r="AS62" s="105">
        <f>IF($AV$14&gt;0,'Assumptions (Coal)'!$V$13*Model!$AV$14*'Assumptions (Coal)'!AR$2/10^9,0)</f>
        <v>3.4540949695828433</v>
      </c>
      <c r="AT62" s="105">
        <f>IF($AV$14&gt;0,'Assumptions (Coal)'!$V$13*Model!$AV$14*'Assumptions (Coal)'!AS$2/10^9,0)</f>
        <v>3.5231768689745007</v>
      </c>
      <c r="AU62" s="105">
        <f>IF($AV$14&gt;0,'Assumptions (Coal)'!$V$13*Model!$AV$14*'Assumptions (Coal)'!AT$2/10^9,0)</f>
        <v>3.5936404063539906</v>
      </c>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row>
    <row r="63" spans="1:74" ht="15.75" hidden="1" customHeight="1" outlineLevel="1">
      <c r="A63" s="98"/>
      <c r="B63" s="99"/>
      <c r="C63" s="99"/>
      <c r="D63" s="99"/>
      <c r="E63" s="99"/>
      <c r="F63" s="99"/>
      <c r="G63" s="99"/>
      <c r="H63" s="99"/>
      <c r="I63" s="99"/>
      <c r="J63" s="99"/>
      <c r="K63" s="99"/>
      <c r="L63" s="99"/>
      <c r="M63" s="99"/>
      <c r="N63" s="99"/>
      <c r="O63" s="99"/>
      <c r="P63" s="99"/>
      <c r="Q63" s="99"/>
      <c r="R63" s="99"/>
      <c r="S63" s="99"/>
      <c r="T63" s="99"/>
      <c r="U63" s="99"/>
      <c r="V63" s="99"/>
      <c r="W63" s="105"/>
      <c r="X63" s="105"/>
      <c r="Y63" s="105"/>
      <c r="Z63" s="105"/>
      <c r="AA63" s="105"/>
      <c r="AB63" s="105"/>
      <c r="AC63" s="105"/>
      <c r="AD63" s="105"/>
      <c r="AE63" s="105"/>
      <c r="AF63" s="105"/>
      <c r="AG63" s="105"/>
      <c r="AH63" s="105"/>
      <c r="AI63" s="105"/>
      <c r="AJ63" s="171"/>
      <c r="AK63" s="105"/>
      <c r="AL63" s="91"/>
      <c r="AM63" s="91"/>
      <c r="AN63" s="91"/>
      <c r="AO63" s="105"/>
      <c r="AP63" s="105"/>
      <c r="AQ63" s="105">
        <f>IF($AW$14&gt;0,'Assumptions (Coal)'!$V$13*Model!$AW$14*'Assumptions (Coal)'!AP$2/10^9,0)</f>
        <v>0</v>
      </c>
      <c r="AR63" s="105">
        <f>IF($AW$14&gt;0,'Assumptions (Coal)'!$V$13*Model!$AW$14*'Assumptions (Coal)'!AQ$2/10^9,0)</f>
        <v>0</v>
      </c>
      <c r="AS63" s="105">
        <f>IF($AW$14&gt;0,'Assumptions (Coal)'!$V$13*Model!$AW$14*'Assumptions (Coal)'!AR$2/10^9,0)</f>
        <v>0</v>
      </c>
      <c r="AT63" s="105">
        <f>IF($AW$14&gt;0,'Assumptions (Coal)'!$V$13*Model!$AW$14*'Assumptions (Coal)'!AS$2/10^9,0)</f>
        <v>0</v>
      </c>
      <c r="AU63" s="105">
        <f>IF($AW$14&gt;0,'Assumptions (Coal)'!$V$13*Model!$AW$14*'Assumptions (Coal)'!AT$2/10^9,0)</f>
        <v>0</v>
      </c>
      <c r="AV63" s="105">
        <f>IF($AW$14&gt;0,'Assumptions (Coal)'!$V$13*Model!$AW$14*'Assumptions (Coal)'!AU$2/10^9,0)</f>
        <v>0</v>
      </c>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row>
    <row r="64" spans="1:74" ht="15.75" hidden="1" customHeight="1" outlineLevel="1">
      <c r="A64" s="98"/>
      <c r="B64" s="99"/>
      <c r="C64" s="99"/>
      <c r="D64" s="99"/>
      <c r="E64" s="99"/>
      <c r="F64" s="99"/>
      <c r="G64" s="99"/>
      <c r="H64" s="99"/>
      <c r="I64" s="99"/>
      <c r="J64" s="99"/>
      <c r="K64" s="99"/>
      <c r="L64" s="99"/>
      <c r="M64" s="99"/>
      <c r="N64" s="99"/>
      <c r="O64" s="99"/>
      <c r="P64" s="99"/>
      <c r="Q64" s="99"/>
      <c r="R64" s="99"/>
      <c r="S64" s="99"/>
      <c r="T64" s="99"/>
      <c r="U64" s="99"/>
      <c r="V64" s="99"/>
      <c r="W64" s="105"/>
      <c r="X64" s="105"/>
      <c r="Y64" s="105"/>
      <c r="Z64" s="105"/>
      <c r="AA64" s="105"/>
      <c r="AB64" s="105"/>
      <c r="AC64" s="105"/>
      <c r="AD64" s="105"/>
      <c r="AE64" s="105"/>
      <c r="AF64" s="105"/>
      <c r="AG64" s="105"/>
      <c r="AH64" s="105"/>
      <c r="AI64" s="105"/>
      <c r="AJ64" s="171"/>
      <c r="AK64" s="105"/>
      <c r="AL64" s="91"/>
      <c r="AM64" s="91"/>
      <c r="AN64" s="91"/>
      <c r="AO64" s="105"/>
      <c r="AP64" s="105"/>
      <c r="AQ64" s="105"/>
      <c r="AR64" s="105">
        <f>IF($AX$14&gt;0,'Assumptions (Coal)'!$V$13*Model!$AX$14*'Assumptions (Coal)'!AQ$2/10^9,0)</f>
        <v>4.5018286540895049</v>
      </c>
      <c r="AS64" s="105">
        <f>IF($AX$14&gt;0,'Assumptions (Coal)'!$V$13*Model!$AX$14*'Assumptions (Coal)'!AR$2/10^9,0)</f>
        <v>4.5918652271712963</v>
      </c>
      <c r="AT64" s="105">
        <f>IF($AX$14&gt;0,'Assumptions (Coal)'!$V$13*Model!$AX$14*'Assumptions (Coal)'!AS$2/10^9,0)</f>
        <v>4.6837025317147214</v>
      </c>
      <c r="AU64" s="105">
        <f>IF($AX$14&gt;0,'Assumptions (Coal)'!$V$13*Model!$AX$14*'Assumptions (Coal)'!AT$2/10^9,0)</f>
        <v>4.7773765823490164</v>
      </c>
      <c r="AV64" s="105">
        <f>IF($AX$14&gt;0,'Assumptions (Coal)'!$V$13*Model!$AX$14*'Assumptions (Coal)'!AU$2/10^9,0)</f>
        <v>4.8729241139959969</v>
      </c>
      <c r="AW64" s="105">
        <f>IF($AX$14&gt;0,'Assumptions (Coal)'!$V$13*Model!$AX$14*'Assumptions (Coal)'!AV$2/10^9,0)</f>
        <v>4.9703825962759165</v>
      </c>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row>
    <row r="65" spans="1:77" ht="15.75" hidden="1" customHeight="1" outlineLevel="1">
      <c r="A65" s="98"/>
      <c r="B65" s="99"/>
      <c r="C65" s="99"/>
      <c r="D65" s="99"/>
      <c r="E65" s="99"/>
      <c r="F65" s="99"/>
      <c r="G65" s="99"/>
      <c r="H65" s="99"/>
      <c r="I65" s="99"/>
      <c r="J65" s="99"/>
      <c r="K65" s="99"/>
      <c r="L65" s="99"/>
      <c r="M65" s="99"/>
      <c r="N65" s="99"/>
      <c r="O65" s="99"/>
      <c r="P65" s="99"/>
      <c r="Q65" s="99"/>
      <c r="R65" s="99"/>
      <c r="S65" s="99"/>
      <c r="T65" s="99"/>
      <c r="U65" s="99"/>
      <c r="V65" s="99"/>
      <c r="W65" s="105"/>
      <c r="X65" s="105"/>
      <c r="Y65" s="105"/>
      <c r="Z65" s="105"/>
      <c r="AA65" s="105"/>
      <c r="AB65" s="105"/>
      <c r="AC65" s="105"/>
      <c r="AD65" s="105"/>
      <c r="AE65" s="105"/>
      <c r="AF65" s="105"/>
      <c r="AG65" s="105"/>
      <c r="AH65" s="105"/>
      <c r="AI65" s="105"/>
      <c r="AJ65" s="171"/>
      <c r="AK65" s="105"/>
      <c r="AL65" s="91"/>
      <c r="AM65" s="91"/>
      <c r="AN65" s="91"/>
      <c r="AO65" s="105"/>
      <c r="AP65" s="105"/>
      <c r="AQ65" s="105"/>
      <c r="AR65" s="105"/>
      <c r="AS65" s="105">
        <f>IF($AY$14&gt;0,'Assumptions (Coal)'!$V$13*Model!$AY$14*'Assumptions (Coal)'!AR$2/10^9,0)</f>
        <v>0</v>
      </c>
      <c r="AT65" s="105">
        <f>IF($AY$14&gt;0,'Assumptions (Coal)'!$V$13*Model!$AY$14*'Assumptions (Coal)'!AS$2/10^9,0)</f>
        <v>0</v>
      </c>
      <c r="AU65" s="105">
        <f>IF($AY$14&gt;0,'Assumptions (Coal)'!$V$13*Model!$AY$14*'Assumptions (Coal)'!AT$2/10^9,0)</f>
        <v>0</v>
      </c>
      <c r="AV65" s="105">
        <f>IF($AY$14&gt;0,'Assumptions (Coal)'!$V$13*Model!$AY$14*'Assumptions (Coal)'!AU$2/10^9,0)</f>
        <v>0</v>
      </c>
      <c r="AW65" s="105">
        <f>IF($AY$14&gt;0,'Assumptions (Coal)'!$V$13*Model!$AY$14*'Assumptions (Coal)'!AV$2/10^9,0)</f>
        <v>0</v>
      </c>
      <c r="AX65" s="105">
        <f>IF($AY$14&gt;0,'Assumptions (Coal)'!$V$13*Model!$AY$14*'Assumptions (Coal)'!AW$2/10^9,0)</f>
        <v>0</v>
      </c>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row>
    <row r="66" spans="1:77" ht="15.75" hidden="1" customHeight="1" outlineLevel="1">
      <c r="A66" s="98"/>
      <c r="B66" s="99"/>
      <c r="C66" s="99"/>
      <c r="D66" s="99"/>
      <c r="E66" s="99"/>
      <c r="F66" s="99"/>
      <c r="G66" s="99"/>
      <c r="H66" s="99"/>
      <c r="I66" s="99"/>
      <c r="J66" s="99"/>
      <c r="K66" s="99"/>
      <c r="L66" s="99"/>
      <c r="M66" s="99"/>
      <c r="N66" s="99"/>
      <c r="O66" s="99"/>
      <c r="P66" s="99"/>
      <c r="Q66" s="99"/>
      <c r="R66" s="99"/>
      <c r="S66" s="99"/>
      <c r="T66" s="99"/>
      <c r="U66" s="99"/>
      <c r="V66" s="99"/>
      <c r="W66" s="105"/>
      <c r="X66" s="105"/>
      <c r="Y66" s="105"/>
      <c r="Z66" s="105"/>
      <c r="AA66" s="105"/>
      <c r="AB66" s="105"/>
      <c r="AC66" s="105"/>
      <c r="AD66" s="105"/>
      <c r="AE66" s="105"/>
      <c r="AF66" s="105"/>
      <c r="AG66" s="105"/>
      <c r="AH66" s="105"/>
      <c r="AI66" s="105"/>
      <c r="AJ66" s="171"/>
      <c r="AK66" s="105"/>
      <c r="AL66" s="91"/>
      <c r="AM66" s="91"/>
      <c r="AN66" s="91"/>
      <c r="AO66" s="105"/>
      <c r="AP66" s="105"/>
      <c r="AQ66" s="105"/>
      <c r="AR66" s="105"/>
      <c r="AS66" s="105"/>
      <c r="AT66" s="105">
        <f>IF($AZ$14&gt;0,'Assumptions (Coal)'!$V$13*Model!$AZ$14*'Assumptions (Coal)'!AS$2/10^9,0)</f>
        <v>0</v>
      </c>
      <c r="AU66" s="105">
        <f>IF($AZ$14&gt;0,'Assumptions (Coal)'!$V$13*Model!$AZ$14*'Assumptions (Coal)'!AT$2/10^9,0)</f>
        <v>0</v>
      </c>
      <c r="AV66" s="105">
        <f>IF($AZ$14&gt;0,'Assumptions (Coal)'!$V$13*Model!$AZ$14*'Assumptions (Coal)'!AU$2/10^9,0)</f>
        <v>0</v>
      </c>
      <c r="AW66" s="105">
        <f>IF($AZ$14&gt;0,'Assumptions (Coal)'!$V$13*Model!$AZ$14*'Assumptions (Coal)'!AV$2/10^9,0)</f>
        <v>0</v>
      </c>
      <c r="AX66" s="105">
        <f>IF($AZ$14&gt;0,'Assumptions (Coal)'!$V$13*Model!$AZ$14*'Assumptions (Coal)'!AW$2/10^9,0)</f>
        <v>0</v>
      </c>
      <c r="AY66" s="105">
        <f>IF($AZ$14&gt;0,'Assumptions (Coal)'!$V$13*Model!$AZ$14*'Assumptions (Coal)'!AX$2/10^9,0)</f>
        <v>0</v>
      </c>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row>
    <row r="67" spans="1:77" ht="15.75" hidden="1" customHeight="1" outlineLevel="1">
      <c r="A67" s="98"/>
      <c r="B67" s="99"/>
      <c r="C67" s="99"/>
      <c r="D67" s="99"/>
      <c r="E67" s="99"/>
      <c r="F67" s="99"/>
      <c r="G67" s="99"/>
      <c r="H67" s="99"/>
      <c r="I67" s="99"/>
      <c r="J67" s="99"/>
      <c r="K67" s="99"/>
      <c r="L67" s="99"/>
      <c r="M67" s="99"/>
      <c r="N67" s="99"/>
      <c r="O67" s="99"/>
      <c r="P67" s="99"/>
      <c r="Q67" s="99"/>
      <c r="R67" s="99"/>
      <c r="S67" s="99"/>
      <c r="T67" s="99"/>
      <c r="U67" s="99"/>
      <c r="V67" s="99"/>
      <c r="W67" s="105"/>
      <c r="X67" s="105"/>
      <c r="Y67" s="105"/>
      <c r="Z67" s="105"/>
      <c r="AA67" s="105"/>
      <c r="AB67" s="105"/>
      <c r="AC67" s="105"/>
      <c r="AD67" s="105"/>
      <c r="AE67" s="105"/>
      <c r="AF67" s="105"/>
      <c r="AG67" s="105"/>
      <c r="AH67" s="105"/>
      <c r="AI67" s="105"/>
      <c r="AJ67" s="171"/>
      <c r="AK67" s="105"/>
      <c r="AL67" s="91"/>
      <c r="AM67" s="91"/>
      <c r="AN67" s="91"/>
      <c r="AO67" s="105"/>
      <c r="AP67" s="105"/>
      <c r="AQ67" s="105"/>
      <c r="AR67" s="105"/>
      <c r="AS67" s="105"/>
      <c r="AT67" s="105"/>
      <c r="AU67" s="105">
        <f>IF($BA$14&gt;0,'Assumptions (Coal)'!$V$13*Model!$BA$14*'Assumptions (Coal)'!AT$2/10^9,0)</f>
        <v>0</v>
      </c>
      <c r="AV67" s="105">
        <f>IF($BA$14&gt;0,'Assumptions (Coal)'!$V$13*Model!$BA$14*'Assumptions (Coal)'!AU$2/10^9,0)</f>
        <v>0</v>
      </c>
      <c r="AW67" s="105">
        <f>IF($BA$14&gt;0,'Assumptions (Coal)'!$V$13*Model!$BA$14*'Assumptions (Coal)'!AV$2/10^9,0)</f>
        <v>0</v>
      </c>
      <c r="AX67" s="105">
        <f>IF($BA$14&gt;0,'Assumptions (Coal)'!$V$13*Model!$BA$14*'Assumptions (Coal)'!AW$2/10^9,0)</f>
        <v>0</v>
      </c>
      <c r="AY67" s="105">
        <f>IF($BA$14&gt;0,'Assumptions (Coal)'!$V$13*Model!$BA$14*'Assumptions (Coal)'!AX$2/10^9,0)</f>
        <v>0</v>
      </c>
      <c r="AZ67" s="105">
        <f>IF($BA$14&gt;0,'Assumptions (Coal)'!$V$13*Model!$BA$14*'Assumptions (Coal)'!AY$2/10^9,0)</f>
        <v>0</v>
      </c>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row>
    <row r="68" spans="1:77" ht="15.75" hidden="1" customHeight="1" outlineLevel="1">
      <c r="A68" s="98"/>
      <c r="B68" s="99"/>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row>
    <row r="69" spans="1:77" ht="15.75" hidden="1" customHeight="1" outlineLevel="1">
      <c r="A69" s="98"/>
      <c r="B69" s="99"/>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row>
    <row r="70" spans="1:77" ht="15.75" hidden="1" customHeight="1" outlineLevel="1">
      <c r="A70" s="98"/>
      <c r="B70" s="99"/>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row>
    <row r="71" spans="1:77" ht="15.75" hidden="1" customHeight="1" outlineLevel="1">
      <c r="A71" s="98"/>
      <c r="B71" s="99"/>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row>
    <row r="72" spans="1:77" ht="15.75" hidden="1" customHeight="1" outlineLevel="1">
      <c r="A72" s="98"/>
      <c r="B72" s="99"/>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row>
    <row r="73" spans="1:77" ht="15.75" hidden="1" customHeight="1" outlineLevel="1">
      <c r="A73" s="98"/>
      <c r="B73" s="99"/>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row>
    <row r="74" spans="1:77" ht="15.75" hidden="1" customHeight="1" outlineLevel="1">
      <c r="A74" s="98"/>
      <c r="B74" s="99"/>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row>
    <row r="75" spans="1:77" ht="15.75" hidden="1" customHeight="1" outlineLevel="1">
      <c r="A75" s="98"/>
      <c r="B75" s="99"/>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row>
    <row r="76" spans="1:77" ht="15.75" hidden="1" customHeight="1" outlineLevel="1">
      <c r="A76" s="98"/>
      <c r="B76" s="99"/>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row>
    <row r="77" spans="1:77" ht="15.75" customHeight="1" collapsed="1">
      <c r="A77" s="149" t="s">
        <v>52</v>
      </c>
      <c r="B77" s="99" t="s">
        <v>201</v>
      </c>
      <c r="C77" s="91">
        <f>'Assumptions (Coal)'!$V$4*Model!C16</f>
        <v>1.0322407409099579</v>
      </c>
      <c r="D77" s="91">
        <f>'Assumptions (Coal)'!$V$4*Model!D16</f>
        <v>0.4647032072335659</v>
      </c>
      <c r="E77" s="91">
        <f>'Assumptions (Coal)'!$V$4*Model!E16</f>
        <v>0.70953270301988403</v>
      </c>
      <c r="F77" s="91">
        <f>'Assumptions (Coal)'!$V$4*Model!F16</f>
        <v>0.99586378862953107</v>
      </c>
      <c r="G77" s="91">
        <f>'Assumptions (Coal)'!$V$4*Model!G16</f>
        <v>1.7223550556620144</v>
      </c>
      <c r="H77" s="91">
        <f>'Assumptions (Coal)'!$V$4*Model!H16</f>
        <v>2.3384280290360211</v>
      </c>
      <c r="I77" s="91">
        <f>'Assumptions (Coal)'!$V$4*Model!I16</f>
        <v>2.9392707693297524</v>
      </c>
      <c r="J77" s="91">
        <f>'Assumptions (Coal)'!$V$4*Model!J16</f>
        <v>3.0197270304287613</v>
      </c>
      <c r="K77" s="91">
        <f>'Assumptions (Coal)'!$V$4*Model!K16</f>
        <v>2.8312574346442396</v>
      </c>
      <c r="L77" s="91">
        <f>'Assumptions (Coal)'!$V$4*Model!L16</f>
        <v>2.5660306815690364</v>
      </c>
      <c r="M77" s="91">
        <f>'Assumptions (Coal)'!$V$4*Model!M16</f>
        <v>1.7229391605887683</v>
      </c>
      <c r="N77" s="91">
        <f>'Assumptions (Coal)'!$V$4*Model!N16</f>
        <v>1.0274030638992273</v>
      </c>
      <c r="O77" s="91">
        <f>'Assumptions (Coal)'!$V$4*Model!O16</f>
        <v>0.32405048522086277</v>
      </c>
      <c r="P77" s="91">
        <f>'Assumptions (Coal)'!$V$4*Model!P16</f>
        <v>2.1952341105607943E-2</v>
      </c>
      <c r="Q77" s="91">
        <f>'Assumptions (Coal)'!$V$4*Model!Q16</f>
        <v>3.9369473279507877E-3</v>
      </c>
      <c r="R77" s="91">
        <f>'Assumptions (Coal)'!$V$4*Model!R16</f>
        <v>0.67762684095860382</v>
      </c>
      <c r="S77" s="91">
        <f>'Assumptions (Coal)'!$V$4*Model!S16</f>
        <v>0.69117937777777594</v>
      </c>
      <c r="T77" s="91">
        <f>'Assumptions (Coal)'!$V$4*Model!T16</f>
        <v>0.7050029653333314</v>
      </c>
      <c r="U77" s="91">
        <f>'Assumptions (Coal)'!$V$4*Model!U16</f>
        <v>0.71532984063999816</v>
      </c>
      <c r="V77" s="91">
        <f>'Assumptions (Coal)'!$V$4*Model!V16</f>
        <v>0.72963643745279805</v>
      </c>
      <c r="W77" s="91">
        <f>'Assumptions (Coal)'!$V$4*Model!W16</f>
        <v>1.093423670888886</v>
      </c>
      <c r="X77" s="91">
        <f>'Assumptions (Coal)'!$V$4*Model!X16</f>
        <v>0</v>
      </c>
      <c r="Y77" s="91">
        <f>'Assumptions (Coal)'!$V$4*Model!Y16</f>
        <v>0</v>
      </c>
      <c r="Z77" s="91">
        <f>'Assumptions (Coal)'!$V$4*Model!Z16</f>
        <v>0</v>
      </c>
      <c r="AA77" s="91">
        <f>'Assumptions (Coal)'!$V$4*Model!AA16</f>
        <v>0</v>
      </c>
      <c r="AB77" s="91">
        <f>'Assumptions (Coal)'!$V$4*Model!AB16</f>
        <v>0</v>
      </c>
      <c r="AC77" s="91">
        <f>'Assumptions (Coal)'!$V$4*Model!AC16</f>
        <v>6.5411549727219839E-2</v>
      </c>
      <c r="AD77" s="91">
        <f>'Assumptions (Coal)'!$V$4*Model!AD16</f>
        <v>0.85553462403593028</v>
      </c>
      <c r="AE77" s="91">
        <f>'Assumptions (Coal)'!$V$4*Model!AE16</f>
        <v>1.6825630233307605</v>
      </c>
      <c r="AF77" s="91">
        <f>'Assumptions (Coal)'!$V$4*Model!AF16</f>
        <v>2.2913942006160468</v>
      </c>
      <c r="AG77" s="91">
        <f>'Assumptions (Coal)'!$V$4*Model!AG16</f>
        <v>5.0212963059771694</v>
      </c>
      <c r="AH77" s="91">
        <f>'Assumptions (Coal)'!$V$4*Model!AH16</f>
        <v>6.015592971657286</v>
      </c>
      <c r="AI77" s="91">
        <f>'Assumptions (Coal)'!$V$4*Model!AI16</f>
        <v>6.8677547585265799</v>
      </c>
      <c r="AJ77" s="91">
        <f>'Assumptions (Coal)'!$V$4*Model!AJ16</f>
        <v>6.2912315340974931</v>
      </c>
      <c r="AK77" s="91">
        <f>'Assumptions (Coal)'!$V$4*Model!AK16</f>
        <v>7.1922606082638119</v>
      </c>
      <c r="AL77" s="91">
        <f>'Assumptions (Coal)'!$V$4*Model!AL16</f>
        <v>8.2925631529474426</v>
      </c>
      <c r="AM77" s="91">
        <f>'Assumptions (Coal)'!$V$4*Model!AM16</f>
        <v>6.30599501777359</v>
      </c>
      <c r="AN77" s="91">
        <f>'Assumptions (Coal)'!$V$4*Model!AN16</f>
        <v>8.5708611088116573</v>
      </c>
      <c r="AO77" s="91">
        <f>'Assumptions (Coal)'!$V$4*Model!AO16</f>
        <v>8.5229196742427185</v>
      </c>
      <c r="AP77" s="91">
        <f>'Assumptions (Coal)'!$V$4*Model!AP16</f>
        <v>9.7988613849194692</v>
      </c>
      <c r="AQ77" s="91">
        <f>'Assumptions (Coal)'!$V$4*Model!AQ16</f>
        <v>8.0946610151813925</v>
      </c>
      <c r="AR77" s="91">
        <f>'Assumptions (Coal)'!$V$4*Model!AR16</f>
        <v>8.2506921837067093</v>
      </c>
      <c r="AS77" s="91">
        <f>'Assumptions (Coal)'!$V$4*Model!AS16</f>
        <v>7.4356247569429916</v>
      </c>
      <c r="AT77" s="91">
        <f>'Assumptions (Coal)'!$V$4*Model!AT16</f>
        <v>4.0421174369438226</v>
      </c>
      <c r="AU77" s="91">
        <f>'Assumptions (Coal)'!$V$4*Model!AU16</f>
        <v>3.3484067954812029</v>
      </c>
      <c r="AV77" s="91">
        <f>'Assumptions (Coal)'!$V$4*Model!AV16</f>
        <v>1.9491696455983989</v>
      </c>
      <c r="AW77" s="91">
        <f>'Assumptions (Coal)'!$V$4*Model!AW16</f>
        <v>1.9881530385103667</v>
      </c>
      <c r="AX77" s="91">
        <f>'Assumptions (Coal)'!$V$4*Model!AX16</f>
        <v>0</v>
      </c>
      <c r="AY77" s="91">
        <f>'Assumptions (Coal)'!$V$4*Model!AY16</f>
        <v>0</v>
      </c>
      <c r="AZ77" s="91">
        <f>'Assumptions (Coal)'!$V$4*Model!AZ16</f>
        <v>0</v>
      </c>
      <c r="BA77" s="91">
        <f>'Assumptions (Coal)'!$V$4*Model!BA16</f>
        <v>0</v>
      </c>
    </row>
    <row r="78" spans="1:77" ht="15.75" customHeight="1">
      <c r="A78" s="149" t="s">
        <v>54</v>
      </c>
      <c r="B78" s="99" t="s">
        <v>201</v>
      </c>
      <c r="C78" s="150">
        <f>'Assumptions (Coal)'!$V$5*Model!C16</f>
        <v>1.5483611113649369</v>
      </c>
      <c r="D78" s="150">
        <f>'Assumptions (Coal)'!$V$5*Model!D16</f>
        <v>0.69705481085034882</v>
      </c>
      <c r="E78" s="150">
        <f>'Assumptions (Coal)'!$V$5*Model!E16</f>
        <v>1.0642990545298259</v>
      </c>
      <c r="F78" s="150">
        <f>'Assumptions (Coal)'!$V$5*Model!F16</f>
        <v>1.4937956829442964</v>
      </c>
      <c r="G78" s="150">
        <f>'Assumptions (Coal)'!$V$5*Model!G16</f>
        <v>2.5835325834930214</v>
      </c>
      <c r="H78" s="150">
        <f>'Assumptions (Coal)'!$V$5*Model!H16</f>
        <v>3.5076420435540312</v>
      </c>
      <c r="I78" s="150">
        <f>'Assumptions (Coal)'!$V$5*Model!I16</f>
        <v>4.4089061539946277</v>
      </c>
      <c r="J78" s="150">
        <f>'Assumptions (Coal)'!$V$5*Model!J16</f>
        <v>4.529590545643142</v>
      </c>
      <c r="K78" s="150">
        <f>'Assumptions (Coal)'!$V$5*Model!K16</f>
        <v>4.2468861519663585</v>
      </c>
      <c r="L78" s="150">
        <f>'Assumptions (Coal)'!$V$5*Model!L16</f>
        <v>3.8490460223535541</v>
      </c>
      <c r="M78" s="150">
        <f>'Assumptions (Coal)'!$V$5*Model!M16</f>
        <v>2.584408740883152</v>
      </c>
      <c r="N78" s="150">
        <f>'Assumptions (Coal)'!$V$5*Model!N16</f>
        <v>1.5411045958488407</v>
      </c>
      <c r="O78" s="150">
        <f>'Assumptions (Coal)'!$V$5*Model!O16</f>
        <v>0.48607572783129416</v>
      </c>
      <c r="P78" s="150">
        <f>'Assumptions (Coal)'!$V$5*Model!P16</f>
        <v>3.2928511658411909E-2</v>
      </c>
      <c r="Q78" s="150">
        <f>'Assumptions (Coal)'!$V$5*Model!Q16</f>
        <v>5.9054209919261816E-3</v>
      </c>
      <c r="R78" s="150">
        <f>'Assumptions (Coal)'!$V$5*Model!R16</f>
        <v>1.0164402614379056</v>
      </c>
      <c r="S78" s="150">
        <f>'Assumptions (Coal)'!$V$5*Model!S16</f>
        <v>1.0367690666666638</v>
      </c>
      <c r="T78" s="150">
        <f>'Assumptions (Coal)'!$V$5*Model!T16</f>
        <v>1.0575044479999971</v>
      </c>
      <c r="U78" s="150">
        <f>'Assumptions (Coal)'!$V$5*Model!U16</f>
        <v>1.072994760959997</v>
      </c>
      <c r="V78" s="150">
        <f>'Assumptions (Coal)'!$V$5*Model!V16</f>
        <v>1.094454656179197</v>
      </c>
      <c r="W78" s="150">
        <f>'Assumptions (Coal)'!$V$5*Model!W16</f>
        <v>1.6401355063333287</v>
      </c>
      <c r="X78" s="150">
        <f>'Assumptions (Coal)'!$V$5*Model!X16</f>
        <v>0</v>
      </c>
      <c r="Y78" s="150">
        <f>'Assumptions (Coal)'!$V$5*Model!Y16</f>
        <v>0</v>
      </c>
      <c r="Z78" s="150">
        <f>'Assumptions (Coal)'!$V$5*Model!Z16</f>
        <v>0</v>
      </c>
      <c r="AA78" s="150">
        <f>'Assumptions (Coal)'!$V$5*Model!AA16</f>
        <v>0</v>
      </c>
      <c r="AB78" s="150">
        <f>'Assumptions (Coal)'!$V$5*Model!AB16</f>
        <v>0</v>
      </c>
      <c r="AC78" s="150">
        <f>'Assumptions (Coal)'!$V$5*Model!AC16</f>
        <v>9.8117324590829738E-2</v>
      </c>
      <c r="AD78" s="150">
        <f>'Assumptions (Coal)'!$V$5*Model!AD16</f>
        <v>1.2833019360538953</v>
      </c>
      <c r="AE78" s="150">
        <f>'Assumptions (Coal)'!$V$5*Model!AE16</f>
        <v>2.5238445349961403</v>
      </c>
      <c r="AF78" s="150">
        <f>'Assumptions (Coal)'!$V$5*Model!AF16</f>
        <v>3.4370913009240702</v>
      </c>
      <c r="AG78" s="150">
        <f>'Assumptions (Coal)'!$V$5*Model!AG16</f>
        <v>7.5319444589657527</v>
      </c>
      <c r="AH78" s="150">
        <f>'Assumptions (Coal)'!$V$5*Model!AH16</f>
        <v>9.0233894574859281</v>
      </c>
      <c r="AI78" s="150">
        <f>'Assumptions (Coal)'!$V$5*Model!AI16</f>
        <v>10.30163213778987</v>
      </c>
      <c r="AJ78" s="150">
        <f>'Assumptions (Coal)'!$V$5*Model!AJ16</f>
        <v>9.4368473011462388</v>
      </c>
      <c r="AK78" s="150">
        <f>'Assumptions (Coal)'!$V$5*Model!AK16</f>
        <v>10.788390912395716</v>
      </c>
      <c r="AL78" s="150">
        <f>'Assumptions (Coal)'!$V$5*Model!AL16</f>
        <v>12.438844729421165</v>
      </c>
      <c r="AM78" s="150">
        <f>'Assumptions (Coal)'!$V$5*Model!AM16</f>
        <v>9.4589925266603831</v>
      </c>
      <c r="AN78" s="150">
        <f>'Assumptions (Coal)'!$V$5*Model!AN16</f>
        <v>12.856291663217485</v>
      </c>
      <c r="AO78" s="150">
        <f>'Assumptions (Coal)'!$V$5*Model!AO16</f>
        <v>12.784379511364076</v>
      </c>
      <c r="AP78" s="150">
        <f>'Assumptions (Coal)'!$V$5*Model!AP16</f>
        <v>14.698292077379204</v>
      </c>
      <c r="AQ78" s="150">
        <f>'Assumptions (Coal)'!$V$5*Model!AQ16</f>
        <v>12.141991522772086</v>
      </c>
      <c r="AR78" s="150">
        <f>'Assumptions (Coal)'!$V$5*Model!AR16</f>
        <v>12.376038275560061</v>
      </c>
      <c r="AS78" s="150">
        <f>'Assumptions (Coal)'!$V$5*Model!AS16</f>
        <v>11.153437135414487</v>
      </c>
      <c r="AT78" s="150">
        <f>'Assumptions (Coal)'!$V$5*Model!AT16</f>
        <v>6.063176155415734</v>
      </c>
      <c r="AU78" s="150">
        <f>'Assumptions (Coal)'!$V$5*Model!AU16</f>
        <v>5.0226101932218041</v>
      </c>
      <c r="AV78" s="150">
        <f>'Assumptions (Coal)'!$V$5*Model!AV16</f>
        <v>2.9237544683975982</v>
      </c>
      <c r="AW78" s="150">
        <f>'Assumptions (Coal)'!$V$5*Model!AW16</f>
        <v>2.98222955776555</v>
      </c>
      <c r="AX78" s="150">
        <f>'Assumptions (Coal)'!$V$5*Model!AX16</f>
        <v>0</v>
      </c>
      <c r="AY78" s="150">
        <f>'Assumptions (Coal)'!$V$5*Model!AY16</f>
        <v>0</v>
      </c>
      <c r="AZ78" s="150">
        <f>'Assumptions (Coal)'!$V$5*Model!AZ16</f>
        <v>0</v>
      </c>
      <c r="BA78" s="150">
        <f>'Assumptions (Coal)'!$V$5*Model!BA16</f>
        <v>0</v>
      </c>
    </row>
    <row r="79" spans="1:77" ht="15.75" customHeight="1">
      <c r="A79" s="149" t="s">
        <v>336</v>
      </c>
      <c r="B79" s="99" t="s">
        <v>201</v>
      </c>
      <c r="C79" s="91">
        <f t="array" ref="C79">SUM(IF(ISERROR(C80:C130),"",C80:C130))</f>
        <v>-5.8647278323634457E-3</v>
      </c>
      <c r="D79" s="91">
        <f t="array" ref="D79">SUM(IF(ISERROR(D80:D130),"",D80:D130))</f>
        <v>-2.5516277226021698E-2</v>
      </c>
      <c r="E79" s="91">
        <f t="array" ref="E79">SUM(IF(ISERROR(E80:E130),"",E80:E130))</f>
        <v>-2.6728300394257731E-2</v>
      </c>
      <c r="F79" s="91">
        <f t="array" ref="F79">SUM(IF(ISERROR(F80:F130),"",F80:F130))</f>
        <v>-3.1815750293475546E-2</v>
      </c>
      <c r="G79" s="91">
        <f t="array" ref="G79">SUM(IF(ISERROR(G80:G130),"",G80:G130))</f>
        <v>-5.6963764325868041E-2</v>
      </c>
      <c r="H79" s="91">
        <f t="array" ref="H79">SUM(IF(ISERROR(H80:H130),"",H80:H130))</f>
        <v>-7.7454708814150508E-2</v>
      </c>
      <c r="I79" s="91">
        <f t="array" ref="I79">SUM(IF(ISERROR(I80:I130),"",I80:I130))</f>
        <v>-0.10539005897604618</v>
      </c>
      <c r="J79" s="91">
        <f t="array" ref="J79">SUM(IF(ISERROR(J80:J130),"",J80:J130))</f>
        <v>-0.17714114374885337</v>
      </c>
      <c r="K79" s="91">
        <f t="array" ref="K79">SUM(IF(ISERROR(K80:K130),"",K80:K130))</f>
        <v>-0.25571584820137289</v>
      </c>
      <c r="L79" s="91">
        <f t="array" ref="L79">SUM(IF(ISERROR(L80:L130),"",L80:L130))</f>
        <v>-0.35310215728710975</v>
      </c>
      <c r="M79" s="91">
        <f t="array" ref="M79">SUM(IF(ISERROR(M80:M130),"",M80:M130))</f>
        <v>-0.60645181516161406</v>
      </c>
      <c r="N79" s="91">
        <f t="array" ref="N79">SUM(IF(ISERROR(N80:N130),"",N80:N130))</f>
        <v>-0.82834624440258864</v>
      </c>
      <c r="O79" s="91">
        <f t="array" ref="O79">SUM(IF(ISERROR(O80:O130),"",O80:O130))</f>
        <v>-1.0600549181257084</v>
      </c>
      <c r="P79" s="91">
        <f t="array" ref="P79">SUM(IF(ISERROR(P80:P130),"",P80:P130))</f>
        <v>-1.1920285400137485</v>
      </c>
      <c r="Q79" s="91">
        <f t="array" ref="Q79">SUM(IF(ISERROR(Q80:Q130),"",Q80:Q130))</f>
        <v>-1.2535312044714597</v>
      </c>
      <c r="R79" s="91">
        <f t="array" ref="R79">SUM(IF(ISERROR(R80:R130),"",R80:R130))</f>
        <v>-1.3014315540219665</v>
      </c>
      <c r="S79" s="91">
        <f t="array" ref="S79">SUM(IF(ISERROR(S80:S130),"",S80:S130))</f>
        <v>-1.3243891956079059</v>
      </c>
      <c r="T79" s="91">
        <f t="array" ref="T79">SUM(IF(ISERROR(T80:T130),"",T80:T130))</f>
        <v>-1.3872976823992818</v>
      </c>
      <c r="U79" s="91">
        <f t="array" ref="U79">SUM(IF(ISERROR(U80:U130),"",U80:U130))</f>
        <v>-1.4465340941194036</v>
      </c>
      <c r="V79" s="91">
        <f t="array" ref="V79">SUM(IF(ISERROR(V80:V130),"",V80:V130))</f>
        <v>-1.4678313442915984</v>
      </c>
      <c r="W79" s="91">
        <f t="array" ref="W79">SUM(IF(ISERROR(W80:W130),"",W80:W130))</f>
        <v>-1.5018779710395223</v>
      </c>
      <c r="X79" s="91">
        <f t="array" ref="X79">SUM(IF(ISERROR(X80:X130),"",X80:X130))</f>
        <v>-1.741840867868371</v>
      </c>
      <c r="Y79" s="91">
        <f t="array" ref="Y79">SUM(IF(ISERROR(Y80:Y130),"",Y80:Y130))</f>
        <v>-1.6906940305475917</v>
      </c>
      <c r="Z79" s="91">
        <f t="array" ref="Z79">SUM(IF(ISERROR(Z80:Z130),"",Z80:Z130))</f>
        <v>-1.6302666621631894</v>
      </c>
      <c r="AA79" s="91">
        <f t="array" ref="AA79">SUM(IF(ISERROR(AA80:AA130),"",AA80:AA130))</f>
        <v>-1.5367213302177138</v>
      </c>
      <c r="AB79" s="91">
        <f t="array" ref="AB79">SUM(IF(ISERROR(AB80:AB130),"",AB80:AB130))</f>
        <v>-1.1351638694081423</v>
      </c>
      <c r="AC79" s="91">
        <f t="array" ref="AC79">SUM(IF(ISERROR(AC80:AC130),"",AC80:AC130))</f>
        <v>-0.80176793134379087</v>
      </c>
      <c r="AD79" s="91">
        <f t="array" ref="AD79">SUM(IF(ISERROR(AD80:AD130),"",AD80:AD130))</f>
        <v>-0.45399145391604373</v>
      </c>
      <c r="AE79" s="91">
        <f t="array" ref="AE79">SUM(IF(ISERROR(AE80:AE130),"",AE80:AE130))</f>
        <v>-0.31183200648962767</v>
      </c>
      <c r="AF79" s="91">
        <f t="array" ref="AF79">SUM(IF(ISERROR(AF80:AF130),"",AF80:AF130))</f>
        <v>-0.31685258249264331</v>
      </c>
      <c r="AG79" s="91">
        <f t="array" ref="AG79">SUM(IF(ISERROR(AG80:AG130),"",AG80:AG130))</f>
        <v>-0.33165894681636654</v>
      </c>
      <c r="AH79" s="91">
        <f t="array" ref="AH79">SUM(IF(ISERROR(AH80:AH130),"",AH80:AH130))</f>
        <v>-0.34741274679014394</v>
      </c>
      <c r="AI79" s="91">
        <f t="array" ref="AI79">SUM(IF(ISERROR(AI80:AI130),"",AI80:AI130))</f>
        <v>-0.38339942412004019</v>
      </c>
      <c r="AJ79" s="91">
        <f t="array" ref="AJ79">SUM(IF(ISERROR(AJ80:AJ130),"",AJ80:AJ130))</f>
        <v>-0.63457844941033725</v>
      </c>
      <c r="AK79" s="91">
        <f t="array" ref="AK79">SUM(IF(ISERROR(AK80:AK130),"",AK80:AK130))</f>
        <v>-0.90597648112608342</v>
      </c>
      <c r="AL79" s="91">
        <f t="array" ref="AL79">SUM(IF(ISERROR(AL80:AL130),"",AL80:AL130))</f>
        <v>-1.1203430180277092</v>
      </c>
      <c r="AM79" s="91">
        <f t="array" ref="AM79">SUM(IF(ISERROR(AM80:AM130),"",AM80:AM130))</f>
        <v>-1.5372402560733107</v>
      </c>
      <c r="AN79" s="91">
        <f t="array" ref="AN79">SUM(IF(ISERROR(AN80:AN130),"",AN80:AN130))</f>
        <v>-1.8765223699006397</v>
      </c>
      <c r="AO79" s="91">
        <f t="array" ref="AO79">SUM(IF(ISERROR(AO80:AO130),"",AO80:AO130))</f>
        <v>-2.2056009635534433</v>
      </c>
      <c r="AP79" s="91">
        <f t="array" ref="AP79">SUM(IF(ISERROR(AP80:AP130),"",AP80:AP130))</f>
        <v>-2.3623331695851606</v>
      </c>
      <c r="AQ79" s="91">
        <f t="array" ref="AQ79">SUM(IF(ISERROR(AQ80:AQ130),"",AQ80:AQ130))</f>
        <v>-2.9771522205806793</v>
      </c>
      <c r="AR79" s="91">
        <f t="array" ref="AR79">SUM(IF(ISERROR(AR80:AR130),"",AR80:AR130))</f>
        <v>-3.5964216321648492</v>
      </c>
      <c r="AS79" s="91">
        <f t="array" ref="AS79">SUM(IF(ISERROR(AS80:AS130),"",AS80:AS130))</f>
        <v>-4.0264889587675299</v>
      </c>
      <c r="AT79" s="91">
        <f t="array" ref="AT79">SUM(IF(ISERROR(AT80:AT130),"",AT80:AT130))</f>
        <v>-5.1546852988344867</v>
      </c>
      <c r="AU79" s="91">
        <f t="array" ref="AU79">SUM(IF(ISERROR(AU80:AU130),"",AU80:AU130))</f>
        <v>-5.6044067025521125</v>
      </c>
      <c r="AV79" s="91">
        <f t="array" ref="AV79">SUM(IF(ISERROR(AV80:AV130),"",AV80:AV130))</f>
        <v>-6.2584360003912556</v>
      </c>
      <c r="AW79" s="91">
        <f t="array" ref="AW79">SUM(IF(ISERROR(AW80:AW130),"",AW80:AW130))</f>
        <v>-6.555711710409839</v>
      </c>
      <c r="AX79" s="91">
        <f t="array" ref="AX79">SUM(IF(ISERROR(AX80:AX130),"",AX80:AX130))</f>
        <v>-7.3644196218290539</v>
      </c>
      <c r="AY79" s="91">
        <f t="array" ref="AY79">SUM(IF(ISERROR(AY80:AY130),"",AY80:AY130))</f>
        <v>-7.2429029244785381</v>
      </c>
      <c r="AZ79" s="91">
        <f t="array" ref="AZ79">SUM(IF(ISERROR(AZ80:AZ130),"",AZ80:AZ130))</f>
        <v>-7.1030049619435172</v>
      </c>
      <c r="BA79" s="91">
        <f t="array" ref="BA79">SUM(IF(ISERROR(BA80:BA130),"",BA80:BA130))</f>
        <v>-7.0967205802701603</v>
      </c>
      <c r="BB79" s="91">
        <f t="array" ref="BB79">SUM(IF(ISERROR(BB80:BB130),"",BB80:BB130))</f>
        <v>-5.8300472488215789</v>
      </c>
      <c r="BC79" s="91">
        <f t="array" ref="BC79">SUM(IF(ISERROR(BC80:BC130),"",BC80:BC130))</f>
        <v>-5.5728756658226315</v>
      </c>
      <c r="BD79" s="91">
        <f t="array" ref="BD79">SUM(IF(ISERROR(BD80:BD130),"",BD80:BD130))</f>
        <v>-5.3562827037897431</v>
      </c>
      <c r="BE79" s="91">
        <f t="array" ref="BE79">SUM(IF(ISERROR(BE80:BE130),"",BE80:BE130))</f>
        <v>-5.5064669242360385</v>
      </c>
      <c r="BF79" s="91">
        <f t="array" ref="BF79">SUM(IF(ISERROR(BF80:BF130),"",BF80:BF130))</f>
        <v>-4.7598394868232976</v>
      </c>
      <c r="BG79" s="91">
        <f t="array" ref="BG79">SUM(IF(ISERROR(BG80:BG130),"",BG80:BG130))</f>
        <v>-4.0274005174752787</v>
      </c>
      <c r="BH79" s="91">
        <f t="array" ref="BH79">SUM(IF(ISERROR(BH80:BH130),"",BH80:BH130))</f>
        <v>-3.6986965115586639</v>
      </c>
      <c r="BI79" s="91">
        <f t="array" ref="BI79">SUM(IF(ISERROR(BI80:BI130),"",BI80:BI130))</f>
        <v>-1.994975255361036</v>
      </c>
      <c r="BJ79" s="91">
        <f t="array" ref="BJ79">SUM(IF(ISERROR(BJ80:BJ130),"",BJ80:BJ130))</f>
        <v>-1.6787789882926134</v>
      </c>
      <c r="BK79" s="91">
        <f t="array" ref="BK79">SUM(IF(ISERROR(BK80:BK130),"",BK80:BK130))</f>
        <v>-0.98059075072186119</v>
      </c>
      <c r="BL79" s="91">
        <f t="array" ref="BL79">SUM(IF(ISERROR(BL80:BL130),"",BL80:BL130))</f>
        <v>-1.0271688113811495</v>
      </c>
      <c r="BM79" s="91">
        <f t="array" ref="BM79">SUM(IF(ISERROR(BM80:BM130),"",BM80:BM130))</f>
        <v>0</v>
      </c>
      <c r="BN79" s="91">
        <f t="array" ref="BN79">SUM(IF(ISERROR(BN80:BN130),"",BN80:BN130))</f>
        <v>0</v>
      </c>
      <c r="BO79" s="91">
        <f t="array" ref="BO79">SUM(IF(ISERROR(BO80:BO130),"",BO80:BO130))</f>
        <v>0</v>
      </c>
      <c r="BP79" s="91"/>
    </row>
    <row r="80" spans="1:77" ht="15.75" hidden="1" customHeight="1" outlineLevel="1">
      <c r="A80" s="98"/>
      <c r="B80" s="99"/>
      <c r="C80" s="91">
        <f>IF($C$14&gt;0,PPMT('Assumptions (Coal)'!$V$6,Model!W$1,'Assumptions (Coal)'!$V$9,'Assumptions (Coal)'!$V$4*Model!$C$14*'Assumptions (Coal)'!$B$2/10^9),0)</f>
        <v>-5.8647278323634457E-3</v>
      </c>
      <c r="D80" s="91">
        <f>IF($C$14&gt;0,PPMT('Assumptions (Coal)'!$V$6,Model!X$1,'Assumptions (Coal)'!$V$9,'Assumptions (Coal)'!$V$4*Model!$C$14*'Assumptions (Coal)'!$B$2/10^9),0)</f>
        <v>-6.1433024044007089E-3</v>
      </c>
      <c r="E80" s="91">
        <f>IF($C$14&gt;0,PPMT('Assumptions (Coal)'!$V$6,Model!Y$1,'Assumptions (Coal)'!$V$9,'Assumptions (Coal)'!$V$4*Model!$C$14*'Assumptions (Coal)'!$B$2/10^9),0)</f>
        <v>-6.4351092686097434E-3</v>
      </c>
      <c r="F80" s="91">
        <f>IF($C$14&gt;0,PPMT('Assumptions (Coal)'!$V$6,Model!Z$1,'Assumptions (Coal)'!$V$9,'Assumptions (Coal)'!$V$4*Model!$C$14*'Assumptions (Coal)'!$B$2/10^9),0)</f>
        <v>-6.7407769588687053E-3</v>
      </c>
      <c r="G80" s="91">
        <f>IF($C$14&gt;0,PPMT('Assumptions (Coal)'!$V$6,Model!AA$1,'Assumptions (Coal)'!$V$9,'Assumptions (Coal)'!$V$4*Model!$C$14*'Assumptions (Coal)'!$B$2/10^9),0)</f>
        <v>-7.0609638644149684E-3</v>
      </c>
      <c r="H80" s="91">
        <f>IF($C$14&gt;0,PPMT('Assumptions (Coal)'!$V$6,Model!AB$1,'Assumptions (Coal)'!$V$9,'Assumptions (Coal)'!$V$4*Model!$C$14*'Assumptions (Coal)'!$B$2/10^9),0)</f>
        <v>-7.396359647974679E-3</v>
      </c>
      <c r="I80" s="91">
        <f>IF($C$14&gt;0,PPMT('Assumptions (Coal)'!$V$6,Model!AC$1,'Assumptions (Coal)'!$V$9,'Assumptions (Coal)'!$V$4*Model!$C$14*'Assumptions (Coal)'!$B$2/10^9),0)</f>
        <v>-7.7476867312534772E-3</v>
      </c>
      <c r="J80" s="91">
        <f>IF($C$14&gt;0,PPMT('Assumptions (Coal)'!$V$6,Model!AD$1,'Assumptions (Coal)'!$V$9,'Assumptions (Coal)'!$V$4*Model!$C$14*'Assumptions (Coal)'!$B$2/10^9),0)</f>
        <v>-8.1157018509880174E-3</v>
      </c>
      <c r="K80" s="91">
        <f>IF($C$14&gt;0,PPMT('Assumptions (Coal)'!$V$6,Model!AE$1,'Assumptions (Coal)'!$V$9,'Assumptions (Coal)'!$V$4*Model!$C$14*'Assumptions (Coal)'!$B$2/10^9),0)</f>
        <v>-8.5011976889099485E-3</v>
      </c>
      <c r="L80" s="91">
        <f>IF($C$14&gt;0,PPMT('Assumptions (Coal)'!$V$6,Model!AF$1,'Assumptions (Coal)'!$V$9,'Assumptions (Coal)'!$V$4*Model!$C$14*'Assumptions (Coal)'!$B$2/10^9),0)</f>
        <v>-8.9050045791331713E-3</v>
      </c>
      <c r="M80" s="91">
        <f>IF($C$14&gt;0,PPMT('Assumptions (Coal)'!$V$6,Model!AG$1,'Assumptions (Coal)'!$V$9,'Assumptions (Coal)'!$V$4*Model!$C$14*'Assumptions (Coal)'!$B$2/10^9),0)</f>
        <v>-9.3279922966419977E-3</v>
      </c>
      <c r="N80" s="91">
        <f>IF($C$14&gt;0,PPMT('Assumptions (Coal)'!$V$6,Model!AH$1,'Assumptions (Coal)'!$V$9,'Assumptions (Coal)'!$V$4*Model!$C$14*'Assumptions (Coal)'!$B$2/10^9),0)</f>
        <v>-9.771071930732492E-3</v>
      </c>
      <c r="O80" s="91">
        <f>IF($C$14&gt;0,PPMT('Assumptions (Coal)'!$V$6,Model!AI$1,'Assumptions (Coal)'!$V$9,'Assumptions (Coal)'!$V$4*Model!$C$14*'Assumptions (Coal)'!$B$2/10^9),0)</f>
        <v>-1.0235197847442284E-2</v>
      </c>
      <c r="P80" s="91">
        <f>IF($C$14&gt;0,PPMT('Assumptions (Coal)'!$V$6,Model!AJ$1,'Assumptions (Coal)'!$V$9,'Assumptions (Coal)'!$V$4*Model!$C$14*'Assumptions (Coal)'!$B$2/10^9),0)</f>
        <v>-1.0721369745195794E-2</v>
      </c>
      <c r="Q80" s="91">
        <f>IF($C$14&gt;0,PPMT('Assumptions (Coal)'!$V$6,Model!AK$1,'Assumptions (Coal)'!$V$9,'Assumptions (Coal)'!$V$4*Model!$C$14*'Assumptions (Coal)'!$B$2/10^9),0)</f>
        <v>-1.1230634808092593E-2</v>
      </c>
      <c r="R80" s="91"/>
      <c r="S80" s="91"/>
      <c r="T80" s="91"/>
      <c r="U80" s="91"/>
      <c r="V80" s="91"/>
      <c r="W80" s="91"/>
      <c r="X80" s="91"/>
      <c r="Y80" s="91"/>
      <c r="Z80" s="91"/>
      <c r="AA80" s="91"/>
      <c r="AB80" s="105"/>
      <c r="AC80" s="105"/>
      <c r="AD80" s="105"/>
      <c r="AE80" s="105"/>
      <c r="AF80" s="105"/>
      <c r="AG80" s="105"/>
      <c r="AU80" s="105"/>
      <c r="AV80" s="105"/>
      <c r="AW80" s="105"/>
      <c r="AX80" s="105"/>
      <c r="AY80" s="105"/>
      <c r="AZ80" s="105"/>
      <c r="BA80" s="105"/>
    </row>
    <row r="81" spans="1:53" ht="15.75" hidden="1" customHeight="1" outlineLevel="1">
      <c r="A81" s="98"/>
      <c r="B81" s="99"/>
      <c r="C81" s="105"/>
      <c r="D81" s="91">
        <f>IF($D$14&gt;0,PPMT('Assumptions (Coal)'!$V$6,Model!W$1,'Assumptions (Coal)'!$V$9,'Assumptions (Coal)'!$V$4*Model!$D$14*'Assumptions (Coal)'!$B$2/10^9),0)</f>
        <v>-1.9372974821620991E-2</v>
      </c>
      <c r="E81" s="91">
        <f>IF($D$14&gt;0,PPMT('Assumptions (Coal)'!$V$6,Model!X$1,'Assumptions (Coal)'!$V$9,'Assumptions (Coal)'!$V$4*Model!$D$14*'Assumptions (Coal)'!$B$2/10^9),0)</f>
        <v>-2.0293191125647987E-2</v>
      </c>
      <c r="F81" s="91">
        <f>IF($D$14&gt;0,PPMT('Assumptions (Coal)'!$V$6,Model!Y$1,'Assumptions (Coal)'!$V$9,'Assumptions (Coal)'!$V$4*Model!$D$14*'Assumptions (Coal)'!$B$2/10^9),0)</f>
        <v>-2.1257117704116268E-2</v>
      </c>
      <c r="G81" s="91">
        <f>IF($D$14&gt;0,PPMT('Assumptions (Coal)'!$V$6,Model!Z$1,'Assumptions (Coal)'!$V$9,'Assumptions (Coal)'!$V$4*Model!$D$14*'Assumptions (Coal)'!$B$2/10^9),0)</f>
        <v>-2.2266830795061789E-2</v>
      </c>
      <c r="H81" s="91">
        <f>IF($D$14&gt;0,PPMT('Assumptions (Coal)'!$V$6,Model!AA$1,'Assumptions (Coal)'!$V$9,'Assumptions (Coal)'!$V$4*Model!$D$14*'Assumptions (Coal)'!$B$2/10^9),0)</f>
        <v>-2.332450525782722E-2</v>
      </c>
      <c r="I81" s="91">
        <f>IF($D$14&gt;0,PPMT('Assumptions (Coal)'!$V$6,Model!AB$1,'Assumptions (Coal)'!$V$9,'Assumptions (Coal)'!$V$4*Model!$D$14*'Assumptions (Coal)'!$B$2/10^9),0)</f>
        <v>-2.4432419257574018E-2</v>
      </c>
      <c r="J81" s="91">
        <f>IF($D$14&gt;0,PPMT('Assumptions (Coal)'!$V$6,Model!AC$1,'Assumptions (Coal)'!$V$9,'Assumptions (Coal)'!$V$4*Model!$D$14*'Assumptions (Coal)'!$B$2/10^9),0)</f>
        <v>-2.5592959172308784E-2</v>
      </c>
      <c r="K81" s="91">
        <f>IF($D$14&gt;0,PPMT('Assumptions (Coal)'!$V$6,Model!AD$1,'Assumptions (Coal)'!$V$9,'Assumptions (Coal)'!$V$4*Model!$D$14*'Assumptions (Coal)'!$B$2/10^9),0)</f>
        <v>-2.680862473299345E-2</v>
      </c>
      <c r="L81" s="91">
        <f>IF($D$14&gt;0,PPMT('Assumptions (Coal)'!$V$6,Model!AE$1,'Assumptions (Coal)'!$V$9,'Assumptions (Coal)'!$V$4*Model!$D$14*'Assumptions (Coal)'!$B$2/10^9),0)</f>
        <v>-2.8082034407810635E-2</v>
      </c>
      <c r="M81" s="91">
        <f>IF($D$14&gt;0,PPMT('Assumptions (Coal)'!$V$6,Model!AF$1,'Assumptions (Coal)'!$V$9,'Assumptions (Coal)'!$V$4*Model!$D$14*'Assumptions (Coal)'!$B$2/10^9),0)</f>
        <v>-2.9415931042181646E-2</v>
      </c>
      <c r="N81" s="91">
        <f>IF($D$14&gt;0,PPMT('Assumptions (Coal)'!$V$6,Model!AG$1,'Assumptions (Coal)'!$V$9,'Assumptions (Coal)'!$V$4*Model!$D$14*'Assumptions (Coal)'!$B$2/10^9),0)</f>
        <v>-3.0813187766685277E-2</v>
      </c>
      <c r="O81" s="91">
        <f>IF($D$14&gt;0,PPMT('Assumptions (Coal)'!$V$6,Model!AH$1,'Assumptions (Coal)'!$V$9,'Assumptions (Coal)'!$V$4*Model!$D$14*'Assumptions (Coal)'!$B$2/10^9),0)</f>
        <v>-3.2276814185602826E-2</v>
      </c>
      <c r="P81" s="91">
        <f>IF($D$14&gt;0,PPMT('Assumptions (Coal)'!$V$6,Model!AI$1,'Assumptions (Coal)'!$V$9,'Assumptions (Coal)'!$V$4*Model!$D$14*'Assumptions (Coal)'!$B$2/10^9),0)</f>
        <v>-3.3809962859418959E-2</v>
      </c>
      <c r="Q81" s="91">
        <f>IF($D$14&gt;0,PPMT('Assumptions (Coal)'!$V$6,Model!AJ$1,'Assumptions (Coal)'!$V$9,'Assumptions (Coal)'!$V$4*Model!$D$14*'Assumptions (Coal)'!$B$2/10^9),0)</f>
        <v>-3.5415936095241358E-2</v>
      </c>
      <c r="R81" s="91">
        <f>IF($D$14&gt;0,PPMT('Assumptions (Coal)'!$V$6,Model!AK$1,'Assumptions (Coal)'!$V$9,'Assumptions (Coal)'!$V$4*Model!$D$14*'Assumptions (Coal)'!$B$2/10^9),0)</f>
        <v>-3.7098193059765319E-2</v>
      </c>
      <c r="S81" s="91"/>
      <c r="T81" s="91"/>
      <c r="U81" s="91"/>
      <c r="V81" s="91"/>
      <c r="W81" s="91"/>
      <c r="X81" s="91"/>
      <c r="Y81" s="91"/>
      <c r="Z81" s="91"/>
      <c r="AA81" s="91"/>
      <c r="AB81" s="91"/>
      <c r="AC81" s="105"/>
      <c r="AD81" s="105"/>
      <c r="AE81" s="105"/>
      <c r="AF81" s="105"/>
      <c r="AG81" s="105"/>
      <c r="AU81" s="105"/>
      <c r="AV81" s="105"/>
      <c r="AW81" s="105"/>
      <c r="AX81" s="105"/>
      <c r="AY81" s="105"/>
      <c r="AZ81" s="105"/>
      <c r="BA81" s="105"/>
    </row>
    <row r="82" spans="1:53" ht="15.75" hidden="1" customHeight="1" outlineLevel="1">
      <c r="A82" s="98"/>
      <c r="B82" s="99"/>
      <c r="C82" s="105"/>
      <c r="D82" s="105"/>
      <c r="E82" s="105">
        <f>IF($E$14&gt;0,PPMT('Assumptions (Coal)'!$V$6,Model!W$1,'Assumptions (Coal)'!$V$9,'Assumptions (Coal)'!$V$4*Model!$E$14*AVERAGE('Assumptions (Coal)'!$B$2:$C$2)/10^9),0)</f>
        <v>0</v>
      </c>
      <c r="F82" s="105">
        <f>IF($E$14&gt;0,PPMT('Assumptions (Coal)'!$V$6,Model!X$1,'Assumptions (Coal)'!$V$9,'Assumptions (Coal)'!$V$4*Model!$E$14*AVERAGE('Assumptions (Coal)'!$B$2:$C$2)/10^9),0)</f>
        <v>0</v>
      </c>
      <c r="G82" s="105">
        <f>IF($E$14&gt;0,PPMT('Assumptions (Coal)'!$V$6,Model!Y$1,'Assumptions (Coal)'!$V$9,'Assumptions (Coal)'!$V$4*Model!$E$14*AVERAGE('Assumptions (Coal)'!$B$2:$C$2)/10^9),0)</f>
        <v>0</v>
      </c>
      <c r="H82" s="105">
        <f>IF($E$14&gt;0,PPMT('Assumptions (Coal)'!$V$6,Model!Z$1,'Assumptions (Coal)'!$V$9,'Assumptions (Coal)'!$V$4*Model!$E$14*AVERAGE('Assumptions (Coal)'!$B$2:$C$2)/10^9),0)</f>
        <v>0</v>
      </c>
      <c r="I82" s="105">
        <f>IF($E$14&gt;0,PPMT('Assumptions (Coal)'!$V$6,Model!AA$1,'Assumptions (Coal)'!$V$9,'Assumptions (Coal)'!$V$4*Model!$E$14*AVERAGE('Assumptions (Coal)'!$B$2:$C$2)/10^9),0)</f>
        <v>0</v>
      </c>
      <c r="J82" s="105">
        <f>IF($E$14&gt;0,PPMT('Assumptions (Coal)'!$V$6,Model!AB$1,'Assumptions (Coal)'!$V$9,'Assumptions (Coal)'!$V$4*Model!$E$14*AVERAGE('Assumptions (Coal)'!$B$2:$C$2)/10^9),0)</f>
        <v>0</v>
      </c>
      <c r="K82" s="105">
        <f>IF($E$14&gt;0,PPMT('Assumptions (Coal)'!$V$6,Model!AC$1,'Assumptions (Coal)'!$V$9,'Assumptions (Coal)'!$V$4*Model!$E$14*AVERAGE('Assumptions (Coal)'!$B$2:$C$2)/10^9),0)</f>
        <v>0</v>
      </c>
      <c r="L82" s="105">
        <f>IF($E$14&gt;0,PPMT('Assumptions (Coal)'!$V$6,Model!AD$1,'Assumptions (Coal)'!$V$9,'Assumptions (Coal)'!$V$4*Model!$E$14*AVERAGE('Assumptions (Coal)'!$B$2:$C$2)/10^9),0)</f>
        <v>0</v>
      </c>
      <c r="M82" s="105">
        <f>IF($E$14&gt;0,PPMT('Assumptions (Coal)'!$V$6,Model!AE$1,'Assumptions (Coal)'!$V$9,'Assumptions (Coal)'!$V$4*Model!$E$14*AVERAGE('Assumptions (Coal)'!$B$2:$C$2)/10^9),0)</f>
        <v>0</v>
      </c>
      <c r="N82" s="91">
        <f>IF($E$14&gt;0,PPMT('Assumptions (Coal)'!$V$6,Model!AF$1,'Assumptions (Coal)'!$V$9,'Assumptions (Coal)'!$V$4*Model!$E$14*AVERAGE('Assumptions (Coal)'!$B$2:$C$2)/10^9),0)</f>
        <v>0</v>
      </c>
      <c r="O82" s="105">
        <f>IF($E$14&gt;0,PPMT('Assumptions (Coal)'!$V$6,Model!AG$1,'Assumptions (Coal)'!$V$9,'Assumptions (Coal)'!$V$4*Model!$E$14*AVERAGE('Assumptions (Coal)'!$B$2:$C$2)/10^9),0)</f>
        <v>0</v>
      </c>
      <c r="P82" s="105">
        <f>IF($E$14&gt;0,PPMT('Assumptions (Coal)'!$V$6,Model!AH$1,'Assumptions (Coal)'!$V$9,'Assumptions (Coal)'!$V$4*Model!$E$14*AVERAGE('Assumptions (Coal)'!$B$2:$C$2)/10^9),0)</f>
        <v>0</v>
      </c>
      <c r="Q82" s="105">
        <f>IF($E$14&gt;0,PPMT('Assumptions (Coal)'!$V$6,Model!AI$1,'Assumptions (Coal)'!$V$9,'Assumptions (Coal)'!$V$4*Model!$E$14*AVERAGE('Assumptions (Coal)'!$B$2:$C$2)/10^9),0)</f>
        <v>0</v>
      </c>
      <c r="R82" s="105">
        <f>IF($E$14&gt;0,PPMT('Assumptions (Coal)'!$V$6,Model!AJ$1,'Assumptions (Coal)'!$V$9,'Assumptions (Coal)'!$V$4*Model!$E$14*AVERAGE('Assumptions (Coal)'!$B$2:$C$2)/10^9),0)</f>
        <v>0</v>
      </c>
      <c r="S82" s="105">
        <f>IF($E$14&gt;0,PPMT('Assumptions (Coal)'!$V$6,Model!AK$1,'Assumptions (Coal)'!$V$9,'Assumptions (Coal)'!$V$4*Model!$E$14*AVERAGE('Assumptions (Coal)'!$B$2:$C$2)/10^9),0)</f>
        <v>0</v>
      </c>
      <c r="T82" s="105"/>
      <c r="U82" s="105"/>
      <c r="V82" s="105"/>
      <c r="W82" s="105"/>
      <c r="X82" s="105"/>
      <c r="Y82" s="105"/>
      <c r="Z82" s="105"/>
      <c r="AA82" s="105"/>
      <c r="AB82" s="105"/>
      <c r="AC82" s="105"/>
      <c r="AD82" s="105"/>
      <c r="AE82" s="105"/>
      <c r="AF82" s="105"/>
      <c r="AG82" s="105"/>
      <c r="AU82" s="105"/>
      <c r="AV82" s="105"/>
      <c r="AW82" s="105"/>
      <c r="AX82" s="105"/>
      <c r="AY82" s="105"/>
      <c r="AZ82" s="105"/>
      <c r="BA82" s="105"/>
    </row>
    <row r="83" spans="1:53" ht="15.75" hidden="1" customHeight="1" outlineLevel="1">
      <c r="A83" s="98"/>
      <c r="B83" s="99"/>
      <c r="C83" s="105"/>
      <c r="D83" s="105"/>
      <c r="E83" s="105"/>
      <c r="F83" s="105">
        <f>IF($F$14&gt;0,PPMT('Assumptions (Coal)'!$V$6,Model!W$1,'Assumptions (Coal)'!$V$9,'Assumptions (Coal)'!$V$4*Model!$F$14*AVERAGE('Assumptions (Coal)'!$B$2:$D$2)/10^9),0)</f>
        <v>-3.8178556304905714E-3</v>
      </c>
      <c r="G83" s="105">
        <f>IF($F$14&gt;0,PPMT('Assumptions (Coal)'!$V$6,Model!X$1,'Assumptions (Coal)'!$V$9,'Assumptions (Coal)'!$V$4*Model!$F$14*AVERAGE('Assumptions (Coal)'!$B$2:$D$2)/10^9),0)</f>
        <v>-3.9992037729388733E-3</v>
      </c>
      <c r="H83" s="105">
        <f>IF($F$14&gt;0,PPMT('Assumptions (Coal)'!$V$6,Model!Y$1,'Assumptions (Coal)'!$V$9,'Assumptions (Coal)'!$V$4*Model!$F$14*AVERAGE('Assumptions (Coal)'!$B$2:$D$2)/10^9),0)</f>
        <v>-4.1891659521534706E-3</v>
      </c>
      <c r="I83" s="105">
        <f>IF($F$14&gt;0,PPMT('Assumptions (Coal)'!$V$6,Model!Z$1,'Assumptions (Coal)'!$V$9,'Assumptions (Coal)'!$V$4*Model!$F$14*AVERAGE('Assumptions (Coal)'!$B$2:$D$2)/10^9),0)</f>
        <v>-4.3881513348807601E-3</v>
      </c>
      <c r="J83" s="105">
        <f>IF($F$14&gt;0,PPMT('Assumptions (Coal)'!$V$6,Model!AA$1,'Assumptions (Coal)'!$V$9,'Assumptions (Coal)'!$V$4*Model!$F$14*AVERAGE('Assumptions (Coal)'!$B$2:$D$2)/10^9),0)</f>
        <v>-4.5965885232875951E-3</v>
      </c>
      <c r="K83" s="105">
        <f>IF($F$14&gt;0,PPMT('Assumptions (Coal)'!$V$6,Model!AB$1,'Assumptions (Coal)'!$V$9,'Assumptions (Coal)'!$V$4*Model!$F$14*AVERAGE('Assumptions (Coal)'!$B$2:$D$2)/10^9),0)</f>
        <v>-4.814926478143757E-3</v>
      </c>
      <c r="L83" s="105">
        <f>IF($F$14&gt;0,PPMT('Assumptions (Coal)'!$V$6,Model!AC$1,'Assumptions (Coal)'!$V$9,'Assumptions (Coal)'!$V$4*Model!$F$14*AVERAGE('Assumptions (Coal)'!$B$2:$D$2)/10^9),0)</f>
        <v>-5.0436354858555852E-3</v>
      </c>
      <c r="M83" s="105">
        <f>IF($F$14&gt;0,PPMT('Assumptions (Coal)'!$V$6,Model!AD$1,'Assumptions (Coal)'!$V$9,'Assumptions (Coal)'!$V$4*Model!$F$14*AVERAGE('Assumptions (Coal)'!$B$2:$D$2)/10^9),0)</f>
        <v>-5.283208171433725E-3</v>
      </c>
      <c r="N83" s="91">
        <f>IF($F$14&gt;0,PPMT('Assumptions (Coal)'!$V$6,Model!AE$1,'Assumptions (Coal)'!$V$9,'Assumptions (Coal)'!$V$4*Model!$F$14*AVERAGE('Assumptions (Coal)'!$B$2:$D$2)/10^9),0)</f>
        <v>-5.5341605595768274E-3</v>
      </c>
      <c r="O83" s="105">
        <f>IF($F$14&gt;0,PPMT('Assumptions (Coal)'!$V$6,Model!AF$1,'Assumptions (Coal)'!$V$9,'Assumptions (Coal)'!$V$4*Model!$F$14*AVERAGE('Assumptions (Coal)'!$B$2:$D$2)/10^9),0)</f>
        <v>-5.7970331861567272E-3</v>
      </c>
      <c r="P83" s="105">
        <f>IF($F$14&gt;0,PPMT('Assumptions (Coal)'!$V$6,Model!AG$1,'Assumptions (Coal)'!$V$9,'Assumptions (Coal)'!$V$4*Model!$F$14*AVERAGE('Assumptions (Coal)'!$B$2:$D$2)/10^9),0)</f>
        <v>-6.0723922624991711E-3</v>
      </c>
      <c r="Q83" s="105">
        <f>IF($F$14&gt;0,PPMT('Assumptions (Coal)'!$V$6,Model!AH$1,'Assumptions (Coal)'!$V$9,'Assumptions (Coal)'!$V$4*Model!$F$14*AVERAGE('Assumptions (Coal)'!$B$2:$D$2)/10^9),0)</f>
        <v>-6.3608308949678824E-3</v>
      </c>
      <c r="R83" s="105">
        <f>IF($F$14&gt;0,PPMT('Assumptions (Coal)'!$V$6,Model!AI$1,'Assumptions (Coal)'!$V$9,'Assumptions (Coal)'!$V$4*Model!$F$14*AVERAGE('Assumptions (Coal)'!$B$2:$D$2)/10^9),0)</f>
        <v>-6.6629703624788567E-3</v>
      </c>
      <c r="S83" s="105">
        <f>IF($F$14&gt;0,PPMT('Assumptions (Coal)'!$V$6,Model!AJ$1,'Assumptions (Coal)'!$V$9,'Assumptions (Coal)'!$V$4*Model!$F$14*AVERAGE('Assumptions (Coal)'!$B$2:$D$2)/10^9),0)</f>
        <v>-6.9794614546966035E-3</v>
      </c>
      <c r="T83" s="105">
        <f>IF($F$14&gt;0,PPMT('Assumptions (Coal)'!$V$6,Model!AK$1,'Assumptions (Coal)'!$V$9,'Assumptions (Coal)'!$V$4*Model!$F$14*AVERAGE('Assumptions (Coal)'!$B$2:$D$2)/10^9),0)</f>
        <v>-7.310985873794691E-3</v>
      </c>
      <c r="U83" s="105"/>
      <c r="V83" s="105"/>
      <c r="W83" s="105"/>
      <c r="X83" s="105"/>
      <c r="Y83" s="105"/>
      <c r="Z83" s="105"/>
      <c r="AA83" s="105"/>
      <c r="AB83" s="105"/>
      <c r="AC83" s="105"/>
      <c r="AD83" s="105"/>
      <c r="AE83" s="105"/>
      <c r="AF83" s="105"/>
      <c r="AG83" s="105"/>
      <c r="AU83" s="105"/>
      <c r="AV83" s="105"/>
      <c r="AW83" s="105"/>
      <c r="AX83" s="105"/>
      <c r="AY83" s="105"/>
      <c r="AZ83" s="105"/>
      <c r="BA83" s="105"/>
    </row>
    <row r="84" spans="1:53" ht="15.75" hidden="1" customHeight="1" outlineLevel="1">
      <c r="A84" s="98"/>
      <c r="B84" s="99"/>
      <c r="C84" s="105"/>
      <c r="D84" s="105"/>
      <c r="E84" s="105"/>
      <c r="F84" s="105"/>
      <c r="G84" s="105">
        <f>IF($G$14&gt;0,PPMT('Assumptions (Coal)'!$V$6,Model!W$1,'Assumptions (Coal)'!$V$9,'Assumptions (Coal)'!$V$4*Model!$G$14*AVERAGE('Assumptions (Coal)'!$B$2:$E$2)/10^9),0)</f>
        <v>-2.3636765893452413E-2</v>
      </c>
      <c r="H84" s="105">
        <f>IF($G$14&gt;0,PPMT('Assumptions (Coal)'!$V$6,Model!X$1,'Assumptions (Coal)'!$V$9,'Assumptions (Coal)'!$V$4*Model!$G$14*AVERAGE('Assumptions (Coal)'!$B$2:$E$2)/10^9),0)</f>
        <v>-2.4759512273391404E-2</v>
      </c>
      <c r="I84" s="105">
        <f>IF($G$14&gt;0,PPMT('Assumptions (Coal)'!$V$6,Model!Y$1,'Assumptions (Coal)'!$V$9,'Assumptions (Coal)'!$V$4*Model!$G$14*AVERAGE('Assumptions (Coal)'!$B$2:$E$2)/10^9),0)</f>
        <v>-2.5935589106377496E-2</v>
      </c>
      <c r="J84" s="105">
        <f>IF($G$14&gt;0,PPMT('Assumptions (Coal)'!$V$6,Model!Z$1,'Assumptions (Coal)'!$V$9,'Assumptions (Coal)'!$V$4*Model!$G$14*AVERAGE('Assumptions (Coal)'!$B$2:$E$2)/10^9),0)</f>
        <v>-2.7167529588930425E-2</v>
      </c>
      <c r="K84" s="105">
        <f>IF($G$14&gt;0,PPMT('Assumptions (Coal)'!$V$6,Model!AA$1,'Assumptions (Coal)'!$V$9,'Assumptions (Coal)'!$V$4*Model!$G$14*AVERAGE('Assumptions (Coal)'!$B$2:$E$2)/10^9),0)</f>
        <v>-2.8457987244404615E-2</v>
      </c>
      <c r="L84" s="105">
        <f>IF($G$14&gt;0,PPMT('Assumptions (Coal)'!$V$6,Model!AB$1,'Assumptions (Coal)'!$V$9,'Assumptions (Coal)'!$V$4*Model!$G$14*AVERAGE('Assumptions (Coal)'!$B$2:$E$2)/10^9),0)</f>
        <v>-2.980974163851384E-2</v>
      </c>
      <c r="M84" s="105">
        <f>IF($G$14&gt;0,PPMT('Assumptions (Coal)'!$V$6,Model!AC$1,'Assumptions (Coal)'!$V$9,'Assumptions (Coal)'!$V$4*Model!$G$14*AVERAGE('Assumptions (Coal)'!$B$2:$E$2)/10^9),0)</f>
        <v>-3.1225704366343247E-2</v>
      </c>
      <c r="N84" s="91">
        <f>IF($G$14&gt;0,PPMT('Assumptions (Coal)'!$V$6,Model!AD$1,'Assumptions (Coal)'!$V$9,'Assumptions (Coal)'!$V$4*Model!$G$14*AVERAGE('Assumptions (Coal)'!$B$2:$E$2)/10^9),0)</f>
        <v>-3.2708925323744552E-2</v>
      </c>
      <c r="O84" s="105">
        <f>IF($G$14&gt;0,PPMT('Assumptions (Coal)'!$V$6,Model!AE$1,'Assumptions (Coal)'!$V$9,'Assumptions (Coal)'!$V$4*Model!$G$14*AVERAGE('Assumptions (Coal)'!$B$2:$E$2)/10^9),0)</f>
        <v>-3.4262599276622417E-2</v>
      </c>
      <c r="P84" s="105">
        <f>IF($G$14&gt;0,PPMT('Assumptions (Coal)'!$V$6,Model!AF$1,'Assumptions (Coal)'!$V$9,'Assumptions (Coal)'!$V$4*Model!$G$14*AVERAGE('Assumptions (Coal)'!$B$2:$E$2)/10^9),0)</f>
        <v>-3.5890072742261983E-2</v>
      </c>
      <c r="Q84" s="105">
        <f>IF($G$14&gt;0,PPMT('Assumptions (Coal)'!$V$6,Model!AG$1,'Assumptions (Coal)'!$V$9,'Assumptions (Coal)'!$V$4*Model!$G$14*AVERAGE('Assumptions (Coal)'!$B$2:$E$2)/10^9),0)</f>
        <v>-3.759485119751943E-2</v>
      </c>
      <c r="R84" s="105">
        <f>IF($G$14&gt;0,PPMT('Assumptions (Coal)'!$V$6,Model!AH$1,'Assumptions (Coal)'!$V$9,'Assumptions (Coal)'!$V$4*Model!$G$14*AVERAGE('Assumptions (Coal)'!$B$2:$E$2)/10^9),0)</f>
        <v>-3.9380606629401599E-2</v>
      </c>
      <c r="S84" s="105">
        <f>IF($G$14&gt;0,PPMT('Assumptions (Coal)'!$V$6,Model!AI$1,'Assumptions (Coal)'!$V$9,'Assumptions (Coal)'!$V$4*Model!$G$14*AVERAGE('Assumptions (Coal)'!$B$2:$E$2)/10^9),0)</f>
        <v>-4.1251185444298177E-2</v>
      </c>
      <c r="T84" s="105">
        <f>IF($G$14&gt;0,PPMT('Assumptions (Coal)'!$V$6,Model!AJ$1,'Assumptions (Coal)'!$V$9,'Assumptions (Coal)'!$V$4*Model!$G$14*AVERAGE('Assumptions (Coal)'!$B$2:$E$2)/10^9),0)</f>
        <v>-4.3210616752902338E-2</v>
      </c>
      <c r="U84" s="105">
        <f>IF($G$14&gt;0,PPMT('Assumptions (Coal)'!$V$6,Model!AK$1,'Assumptions (Coal)'!$V$9,'Assumptions (Coal)'!$V$4*Model!$G$14*AVERAGE('Assumptions (Coal)'!$B$2:$E$2)/10^9),0)</f>
        <v>-4.52631210486652E-2</v>
      </c>
      <c r="V84" s="105"/>
      <c r="W84" s="105"/>
      <c r="X84" s="105"/>
      <c r="Y84" s="105"/>
      <c r="Z84" s="105"/>
      <c r="AA84" s="105"/>
      <c r="AB84" s="105"/>
      <c r="AC84" s="105"/>
      <c r="AD84" s="105"/>
      <c r="AE84" s="105"/>
      <c r="AF84" s="105"/>
      <c r="AG84" s="105"/>
      <c r="AU84" s="105"/>
      <c r="AV84" s="105"/>
      <c r="AW84" s="105"/>
      <c r="AX84" s="105"/>
      <c r="AY84" s="105"/>
      <c r="AZ84" s="105"/>
      <c r="BA84" s="105"/>
    </row>
    <row r="85" spans="1:53" ht="15.75" hidden="1" customHeight="1" outlineLevel="1">
      <c r="A85" s="98"/>
      <c r="B85" s="99"/>
      <c r="C85" s="105"/>
      <c r="D85" s="105"/>
      <c r="E85" s="105"/>
      <c r="F85" s="105"/>
      <c r="G85" s="105"/>
      <c r="H85" s="105">
        <f>IF($H$14&gt;0,PPMT('Assumptions (Coal)'!$V$6,Model!W$1,'Assumptions (Coal)'!$V$9,'Assumptions (Coal)'!$V$4*Model!$H$14*AVERAGE('Assumptions (Coal)'!$B$2:$F$2)/10^9),0)</f>
        <v>-1.7785165682803736E-2</v>
      </c>
      <c r="I85" s="105">
        <f>IF($H$14&gt;0,PPMT('Assumptions (Coal)'!$V$6,Model!X$1,'Assumptions (Coal)'!$V$9,'Assumptions (Coal)'!$V$4*Model!$H$14*AVERAGE('Assumptions (Coal)'!$B$2:$F$2)/10^9),0)</f>
        <v>-1.8629961052736912E-2</v>
      </c>
      <c r="J85" s="105">
        <f>IF($H$14&gt;0,PPMT('Assumptions (Coal)'!$V$6,Model!Y$1,'Assumptions (Coal)'!$V$9,'Assumptions (Coal)'!$V$4*Model!$H$14*AVERAGE('Assumptions (Coal)'!$B$2:$F$2)/10^9),0)</f>
        <v>-1.9514884202741917E-2</v>
      </c>
      <c r="K85" s="105">
        <f>IF($H$14&gt;0,PPMT('Assumptions (Coal)'!$V$6,Model!Z$1,'Assumptions (Coal)'!$V$9,'Assumptions (Coal)'!$V$4*Model!$H$14*AVERAGE('Assumptions (Coal)'!$B$2:$F$2)/10^9),0)</f>
        <v>-2.0441841202372156E-2</v>
      </c>
      <c r="L85" s="105">
        <f>IF($H$14&gt;0,PPMT('Assumptions (Coal)'!$V$6,Model!AA$1,'Assumptions (Coal)'!$V$9,'Assumptions (Coal)'!$V$4*Model!$H$14*AVERAGE('Assumptions (Coal)'!$B$2:$F$2)/10^9),0)</f>
        <v>-2.1412828659484833E-2</v>
      </c>
      <c r="M85" s="105">
        <f>IF($H$14&gt;0,PPMT('Assumptions (Coal)'!$V$6,Model!AB$1,'Assumptions (Coal)'!$V$9,'Assumptions (Coal)'!$V$4*Model!$H$14*AVERAGE('Assumptions (Coal)'!$B$2:$F$2)/10^9),0)</f>
        <v>-2.242993802081036E-2</v>
      </c>
      <c r="N85" s="91">
        <f>IF($H$14&gt;0,PPMT('Assumptions (Coal)'!$V$6,Model!AC$1,'Assumptions (Coal)'!$V$9,'Assumptions (Coal)'!$V$4*Model!$H$14*AVERAGE('Assumptions (Coal)'!$B$2:$F$2)/10^9),0)</f>
        <v>-2.3495360076798855E-2</v>
      </c>
      <c r="O85" s="105">
        <f>IF($H$14&gt;0,PPMT('Assumptions (Coal)'!$V$6,Model!AD$1,'Assumptions (Coal)'!$V$9,'Assumptions (Coal)'!$V$4*Model!$H$14*AVERAGE('Assumptions (Coal)'!$B$2:$F$2)/10^9),0)</f>
        <v>-2.46113896804468E-2</v>
      </c>
      <c r="P85" s="105">
        <f>IF($H$14&gt;0,PPMT('Assumptions (Coal)'!$V$6,Model!AE$1,'Assumptions (Coal)'!$V$9,'Assumptions (Coal)'!$V$4*Model!$H$14*AVERAGE('Assumptions (Coal)'!$B$2:$F$2)/10^9),0)</f>
        <v>-2.578043069026802E-2</v>
      </c>
      <c r="Q85" s="105">
        <f>IF($H$14&gt;0,PPMT('Assumptions (Coal)'!$V$6,Model!AF$1,'Assumptions (Coal)'!$V$9,'Assumptions (Coal)'!$V$4*Model!$H$14*AVERAGE('Assumptions (Coal)'!$B$2:$F$2)/10^9),0)</f>
        <v>-2.7005001148055756E-2</v>
      </c>
      <c r="R85" s="105">
        <f>IF($H$14&gt;0,PPMT('Assumptions (Coal)'!$V$6,Model!AG$1,'Assumptions (Coal)'!$V$9,'Assumptions (Coal)'!$V$4*Model!$H$14*AVERAGE('Assumptions (Coal)'!$B$2:$F$2)/10^9),0)</f>
        <v>-2.8287738702588407E-2</v>
      </c>
      <c r="S85" s="105">
        <f>IF($H$14&gt;0,PPMT('Assumptions (Coal)'!$V$6,Model!AH$1,'Assumptions (Coal)'!$V$9,'Assumptions (Coal)'!$V$4*Model!$H$14*AVERAGE('Assumptions (Coal)'!$B$2:$F$2)/10^9),0)</f>
        <v>-2.9631406290961351E-2</v>
      </c>
      <c r="T85" s="105">
        <f>IF($H$14&gt;0,PPMT('Assumptions (Coal)'!$V$6,Model!AI$1,'Assumptions (Coal)'!$V$9,'Assumptions (Coal)'!$V$4*Model!$H$14*AVERAGE('Assumptions (Coal)'!$B$2:$F$2)/10^9),0)</f>
        <v>-3.1038898089782017E-2</v>
      </c>
      <c r="U85" s="105">
        <f>IF($H$14&gt;0,PPMT('Assumptions (Coal)'!$V$6,Model!AJ$1,'Assumptions (Coal)'!$V$9,'Assumptions (Coal)'!$V$4*Model!$H$14*AVERAGE('Assumptions (Coal)'!$B$2:$F$2)/10^9),0)</f>
        <v>-3.2513245749046668E-2</v>
      </c>
      <c r="V85" s="105">
        <f>IF($H$14&gt;0,PPMT('Assumptions (Coal)'!$V$6,Model!AK$1,'Assumptions (Coal)'!$V$9,'Assumptions (Coal)'!$V$4*Model!$H$14*AVERAGE('Assumptions (Coal)'!$B$2:$F$2)/10^9),0)</f>
        <v>-3.4057624922126377E-2</v>
      </c>
      <c r="W85" s="105"/>
      <c r="X85" s="105"/>
      <c r="Y85" s="105"/>
      <c r="Z85" s="105"/>
      <c r="AA85" s="105"/>
      <c r="AB85" s="105"/>
      <c r="AC85" s="105"/>
      <c r="AD85" s="105"/>
      <c r="AE85" s="105"/>
      <c r="AF85" s="105"/>
      <c r="AG85" s="105"/>
      <c r="AU85" s="105"/>
      <c r="AV85" s="105"/>
      <c r="AW85" s="105"/>
      <c r="AX85" s="105"/>
      <c r="AY85" s="105"/>
      <c r="AZ85" s="105"/>
      <c r="BA85" s="105"/>
    </row>
    <row r="86" spans="1:53" ht="15.75" hidden="1" customHeight="1" outlineLevel="1">
      <c r="A86" s="98"/>
      <c r="B86" s="99"/>
      <c r="C86" s="105"/>
      <c r="D86" s="105"/>
      <c r="E86" s="105"/>
      <c r="F86" s="105"/>
      <c r="G86" s="105"/>
      <c r="H86" s="105"/>
      <c r="I86" s="105">
        <f>IF($I$14&gt;0,PPMT('Assumptions (Coal)'!$V$6,Model!W$1,'Assumptions (Coal)'!$V$9,'Assumptions (Coal)'!$V$4*Model!$I$14*AVERAGE('Assumptions (Coal)'!$B$2:$G$2)/10^9),0)</f>
        <v>-2.4256251493223521E-2</v>
      </c>
      <c r="J86" s="105">
        <f>IF($I$14&gt;0,PPMT('Assumptions (Coal)'!$V$6,Model!X$1,'Assumptions (Coal)'!$V$9,'Assumptions (Coal)'!$V$4*Model!$I$14*AVERAGE('Assumptions (Coal)'!$B$2:$G$2)/10^9),0)</f>
        <v>-2.5408423439151638E-2</v>
      </c>
      <c r="K86" s="105">
        <f>IF($I$14&gt;0,PPMT('Assumptions (Coal)'!$V$6,Model!Y$1,'Assumptions (Coal)'!$V$9,'Assumptions (Coal)'!$V$4*Model!$I$14*AVERAGE('Assumptions (Coal)'!$B$2:$G$2)/10^9),0)</f>
        <v>-2.6615323552511345E-2</v>
      </c>
      <c r="L86" s="105">
        <f>IF($I$14&gt;0,PPMT('Assumptions (Coal)'!$V$6,Model!Z$1,'Assumptions (Coal)'!$V$9,'Assumptions (Coal)'!$V$4*Model!$I$14*AVERAGE('Assumptions (Coal)'!$B$2:$G$2)/10^9),0)</f>
        <v>-2.7879551421255633E-2</v>
      </c>
      <c r="M86" s="105">
        <f>IF($I$14&gt;0,PPMT('Assumptions (Coal)'!$V$6,Model!AA$1,'Assumptions (Coal)'!$V$9,'Assumptions (Coal)'!$V$4*Model!$I$14*AVERAGE('Assumptions (Coal)'!$B$2:$G$2)/10^9),0)</f>
        <v>-2.9203830113765272E-2</v>
      </c>
      <c r="N86" s="91">
        <f>IF($I$14&gt;0,PPMT('Assumptions (Coal)'!$V$6,Model!AB$1,'Assumptions (Coal)'!$V$9,'Assumptions (Coal)'!$V$4*Model!$I$14*AVERAGE('Assumptions (Coal)'!$B$2:$G$2)/10^9),0)</f>
        <v>-3.0591012044169124E-2</v>
      </c>
      <c r="O86" s="105">
        <f>IF($I$14&gt;0,PPMT('Assumptions (Coal)'!$V$6,Model!AC$1,'Assumptions (Coal)'!$V$9,'Assumptions (Coal)'!$V$4*Model!$I$14*AVERAGE('Assumptions (Coal)'!$B$2:$G$2)/10^9),0)</f>
        <v>-3.2044085116267162E-2</v>
      </c>
      <c r="P86" s="105">
        <f>IF($I$14&gt;0,PPMT('Assumptions (Coal)'!$V$6,Model!AD$1,'Assumptions (Coal)'!$V$9,'Assumptions (Coal)'!$V$4*Model!$I$14*AVERAGE('Assumptions (Coal)'!$B$2:$G$2)/10^9),0)</f>
        <v>-3.3566179159289847E-2</v>
      </c>
      <c r="Q86" s="105">
        <f>IF($I$14&gt;0,PPMT('Assumptions (Coal)'!$V$6,Model!AE$1,'Assumptions (Coal)'!$V$9,'Assumptions (Coal)'!$V$4*Model!$I$14*AVERAGE('Assumptions (Coal)'!$B$2:$G$2)/10^9),0)</f>
        <v>-3.5160572669356113E-2</v>
      </c>
      <c r="R86" s="105">
        <f>IF($I$14&gt;0,PPMT('Assumptions (Coal)'!$V$6,Model!AF$1,'Assumptions (Coal)'!$V$9,'Assumptions (Coal)'!$V$4*Model!$I$14*AVERAGE('Assumptions (Coal)'!$B$2:$G$2)/10^9),0)</f>
        <v>-3.6830699871150535E-2</v>
      </c>
      <c r="S86" s="105">
        <f>IF($I$14&gt;0,PPMT('Assumptions (Coal)'!$V$6,Model!AG$1,'Assumptions (Coal)'!$V$9,'Assumptions (Coal)'!$V$4*Model!$I$14*AVERAGE('Assumptions (Coal)'!$B$2:$G$2)/10^9),0)</f>
        <v>-3.8580158115030183E-2</v>
      </c>
      <c r="T86" s="105">
        <f>IF($I$14&gt;0,PPMT('Assumptions (Coal)'!$V$6,Model!AH$1,'Assumptions (Coal)'!$V$9,'Assumptions (Coal)'!$V$4*Model!$I$14*AVERAGE('Assumptions (Coal)'!$B$2:$G$2)/10^9),0)</f>
        <v>-4.0412715625494117E-2</v>
      </c>
      <c r="U86" s="105">
        <f>IF($I$14&gt;0,PPMT('Assumptions (Coal)'!$V$6,Model!AI$1,'Assumptions (Coal)'!$V$9,'Assumptions (Coal)'!$V$4*Model!$I$14*AVERAGE('Assumptions (Coal)'!$B$2:$G$2)/10^9),0)</f>
        <v>-4.2332319617705089E-2</v>
      </c>
      <c r="V86" s="105">
        <f>IF($I$14&gt;0,PPMT('Assumptions (Coal)'!$V$6,Model!AJ$1,'Assumptions (Coal)'!$V$9,'Assumptions (Coal)'!$V$4*Model!$I$14*AVERAGE('Assumptions (Coal)'!$B$2:$G$2)/10^9),0)</f>
        <v>-4.4343104799546083E-2</v>
      </c>
      <c r="W86" s="105">
        <f>IF($I$14&gt;0,PPMT('Assumptions (Coal)'!$V$6,Model!AK$1,'Assumptions (Coal)'!$V$9,'Assumptions (Coal)'!$V$4*Model!$I$14*AVERAGE('Assumptions (Coal)'!$B$2:$G$2)/10^9),0)</f>
        <v>-4.6449402277524518E-2</v>
      </c>
      <c r="X86" s="105"/>
      <c r="Y86" s="105"/>
      <c r="Z86" s="105"/>
      <c r="AA86" s="105"/>
      <c r="AB86" s="105"/>
      <c r="AC86" s="105"/>
      <c r="AD86" s="105"/>
      <c r="AE86" s="105"/>
      <c r="AF86" s="105"/>
      <c r="AG86" s="105"/>
      <c r="AU86" s="105"/>
      <c r="AV86" s="105"/>
      <c r="AW86" s="105"/>
      <c r="AX86" s="105"/>
      <c r="AY86" s="105"/>
      <c r="AZ86" s="105"/>
      <c r="BA86" s="105"/>
    </row>
    <row r="87" spans="1:53" ht="15.75" hidden="1" customHeight="1" outlineLevel="1">
      <c r="A87" s="98"/>
      <c r="B87" s="99"/>
      <c r="C87" s="105"/>
      <c r="D87" s="105"/>
      <c r="E87" s="105"/>
      <c r="F87" s="105"/>
      <c r="G87" s="105"/>
      <c r="H87" s="105"/>
      <c r="I87" s="105"/>
      <c r="J87" s="105">
        <f>IF($J$14&gt;0,PPMT('Assumptions (Coal)'!$V$6,Model!W$1,'Assumptions (Coal)'!$V$9,'Assumptions (Coal)'!$V$4*Model!$J$14*AVERAGE('Assumptions (Coal)'!$C$2:$H$2)/10^9),0)</f>
        <v>-6.6745056971444991E-2</v>
      </c>
      <c r="K87" s="105">
        <f>IF($J$14&gt;0,PPMT('Assumptions (Coal)'!$V$6,Model!X$1,'Assumptions (Coal)'!$V$9,'Assumptions (Coal)'!$V$4*Model!$J$14*AVERAGE('Assumptions (Coal)'!$C$2:$H$2)/10^9),0)</f>
        <v>-6.991544717758863E-2</v>
      </c>
      <c r="L87" s="105">
        <f>IF($J$14&gt;0,PPMT('Assumptions (Coal)'!$V$6,Model!Y$1,'Assumptions (Coal)'!$V$9,'Assumptions (Coal)'!$V$4*Model!$J$14*AVERAGE('Assumptions (Coal)'!$C$2:$H$2)/10^9),0)</f>
        <v>-7.3236430918524095E-2</v>
      </c>
      <c r="M87" s="105">
        <f>IF($J$14&gt;0,PPMT('Assumptions (Coal)'!$V$6,Model!Z$1,'Assumptions (Coal)'!$V$9,'Assumptions (Coal)'!$V$4*Model!$J$14*AVERAGE('Assumptions (Coal)'!$C$2:$H$2)/10^9),0)</f>
        <v>-7.6715161387153979E-2</v>
      </c>
      <c r="N87" s="91">
        <f>IF($J$14&gt;0,PPMT('Assumptions (Coal)'!$V$6,Model!AA$1,'Assumptions (Coal)'!$V$9,'Assumptions (Coal)'!$V$4*Model!$J$14*AVERAGE('Assumptions (Coal)'!$C$2:$H$2)/10^9),0)</f>
        <v>-8.0359131553043792E-2</v>
      </c>
      <c r="O87" s="105">
        <f>IF($J$14&gt;0,PPMT('Assumptions (Coal)'!$V$6,Model!AB$1,'Assumptions (Coal)'!$V$9,'Assumptions (Coal)'!$V$4*Model!$J$14*AVERAGE('Assumptions (Coal)'!$C$2:$H$2)/10^9),0)</f>
        <v>-8.4176190301813378E-2</v>
      </c>
      <c r="P87" s="105">
        <f>IF($J$14&gt;0,PPMT('Assumptions (Coal)'!$V$6,Model!AC$1,'Assumptions (Coal)'!$V$9,'Assumptions (Coal)'!$V$4*Model!$J$14*AVERAGE('Assumptions (Coal)'!$C$2:$H$2)/10^9),0)</f>
        <v>-8.8174559341149511E-2</v>
      </c>
      <c r="Q87" s="105">
        <f>IF($J$14&gt;0,PPMT('Assumptions (Coal)'!$V$6,Model!AD$1,'Assumptions (Coal)'!$V$9,'Assumptions (Coal)'!$V$4*Model!$J$14*AVERAGE('Assumptions (Coal)'!$C$2:$H$2)/10^9),0)</f>
        <v>-9.2362850909854105E-2</v>
      </c>
      <c r="R87" s="105">
        <f>IF($J$14&gt;0,PPMT('Assumptions (Coal)'!$V$6,Model!AE$1,'Assumptions (Coal)'!$V$9,'Assumptions (Coal)'!$V$4*Model!$J$14*AVERAGE('Assumptions (Coal)'!$C$2:$H$2)/10^9),0)</f>
        <v>-9.675008632807218E-2</v>
      </c>
      <c r="S87" s="105">
        <f>IF($J$14&gt;0,PPMT('Assumptions (Coal)'!$V$6,Model!AF$1,'Assumptions (Coal)'!$V$9,'Assumptions (Coal)'!$V$4*Model!$J$14*AVERAGE('Assumptions (Coal)'!$C$2:$H$2)/10^9),0)</f>
        <v>-0.10134571542865561</v>
      </c>
      <c r="T87" s="105">
        <f>IF($J$14&gt;0,PPMT('Assumptions (Coal)'!$V$6,Model!AG$1,'Assumptions (Coal)'!$V$9,'Assumptions (Coal)'!$V$4*Model!$J$14*AVERAGE('Assumptions (Coal)'!$C$2:$H$2)/10^9),0)</f>
        <v>-0.10615963691151677</v>
      </c>
      <c r="U87" s="105">
        <f>IF($J$14&gt;0,PPMT('Assumptions (Coal)'!$V$6,Model!AH$1,'Assumptions (Coal)'!$V$9,'Assumptions (Coal)'!$V$4*Model!$J$14*AVERAGE('Assumptions (Coal)'!$C$2:$H$2)/10^9),0)</f>
        <v>-0.11120221966481381</v>
      </c>
      <c r="V87" s="105">
        <f>IF($J$14&gt;0,PPMT('Assumptions (Coal)'!$V$6,Model!AI$1,'Assumptions (Coal)'!$V$9,'Assumptions (Coal)'!$V$4*Model!$J$14*AVERAGE('Assumptions (Coal)'!$C$2:$H$2)/10^9),0)</f>
        <v>-0.11648432509889248</v>
      </c>
      <c r="W87" s="105">
        <f>IF($J$14&gt;0,PPMT('Assumptions (Coal)'!$V$6,Model!AJ$1,'Assumptions (Coal)'!$V$9,'Assumptions (Coal)'!$V$4*Model!$J$14*AVERAGE('Assumptions (Coal)'!$C$2:$H$2)/10^9),0)</f>
        <v>-0.12201733054108986</v>
      </c>
      <c r="X87" s="105">
        <f>IF($J$14&gt;0,PPMT('Assumptions (Coal)'!$V$6,Model!AK$1,'Assumptions (Coal)'!$V$9,'Assumptions (Coal)'!$V$4*Model!$J$14*AVERAGE('Assumptions (Coal)'!$C$2:$H$2)/10^9),0)</f>
        <v>-0.12781315374179161</v>
      </c>
      <c r="Y87" s="105"/>
      <c r="Z87" s="105"/>
      <c r="AA87" s="105"/>
      <c r="AB87" s="105"/>
      <c r="AC87" s="105"/>
      <c r="AD87" s="105"/>
      <c r="AE87" s="105"/>
      <c r="AF87" s="105"/>
      <c r="AG87" s="105"/>
      <c r="AH87" s="105"/>
      <c r="AU87" s="105"/>
      <c r="AV87" s="105"/>
      <c r="AW87" s="105"/>
      <c r="AX87" s="105"/>
      <c r="AY87" s="105"/>
      <c r="AZ87" s="105"/>
      <c r="BA87" s="105"/>
    </row>
    <row r="88" spans="1:53" ht="15.75" hidden="1" customHeight="1" outlineLevel="1">
      <c r="A88" s="98"/>
      <c r="B88" s="99"/>
      <c r="C88" s="105"/>
      <c r="D88" s="105"/>
      <c r="E88" s="105"/>
      <c r="F88" s="105"/>
      <c r="G88" s="105"/>
      <c r="H88" s="105"/>
      <c r="I88" s="105"/>
      <c r="J88" s="105"/>
      <c r="K88" s="105">
        <f>IF($K$14&gt;0,PPMT('Assumptions (Coal)'!$V$6,Model!W$1,'Assumptions (Coal)'!$V$9,'Assumptions (Coal)'!$V$4*Model!$K$14*AVERAGE('Assumptions (Coal)'!$D$2:$I$2)/10^9),0)</f>
        <v>-7.0160500124448993E-2</v>
      </c>
      <c r="L88" s="105">
        <f>IF($K$14&gt;0,PPMT('Assumptions (Coal)'!$V$6,Model!X$1,'Assumptions (Coal)'!$V$9,'Assumptions (Coal)'!$V$4*Model!$K$14*AVERAGE('Assumptions (Coal)'!$D$2:$I$2)/10^9),0)</f>
        <v>-7.349312388036032E-2</v>
      </c>
      <c r="M88" s="105">
        <f>IF($K$14&gt;0,PPMT('Assumptions (Coal)'!$V$6,Model!Y$1,'Assumptions (Coal)'!$V$9,'Assumptions (Coal)'!$V$4*Model!$K$14*AVERAGE('Assumptions (Coal)'!$D$2:$I$2)/10^9),0)</f>
        <v>-7.6984047264677433E-2</v>
      </c>
      <c r="N88" s="91">
        <f>IF($K$14&gt;0,PPMT('Assumptions (Coal)'!$V$6,Model!Z$1,'Assumptions (Coal)'!$V$9,'Assumptions (Coal)'!$V$4*Model!$K$14*AVERAGE('Assumptions (Coal)'!$D$2:$I$2)/10^9),0)</f>
        <v>-8.0640789509749608E-2</v>
      </c>
      <c r="O88" s="105">
        <f>IF($K$14&gt;0,PPMT('Assumptions (Coal)'!$V$6,Model!AA$1,'Assumptions (Coal)'!$V$9,'Assumptions (Coal)'!$V$4*Model!$K$14*AVERAGE('Assumptions (Coal)'!$D$2:$I$2)/10^9),0)</f>
        <v>-8.4471227011462702E-2</v>
      </c>
      <c r="P88" s="105">
        <f>IF($K$14&gt;0,PPMT('Assumptions (Coal)'!$V$6,Model!AB$1,'Assumptions (Coal)'!$V$9,'Assumptions (Coal)'!$V$4*Model!$K$14*AVERAGE('Assumptions (Coal)'!$D$2:$I$2)/10^9),0)</f>
        <v>-8.8483610294507187E-2</v>
      </c>
      <c r="Q88" s="105">
        <f>IF($K$14&gt;0,PPMT('Assumptions (Coal)'!$V$6,Model!AC$1,'Assumptions (Coal)'!$V$9,'Assumptions (Coal)'!$V$4*Model!$K$14*AVERAGE('Assumptions (Coal)'!$D$2:$I$2)/10^9),0)</f>
        <v>-9.2686581783496286E-2</v>
      </c>
      <c r="R88" s="105">
        <f>IF($K$14&gt;0,PPMT('Assumptions (Coal)'!$V$6,Model!AD$1,'Assumptions (Coal)'!$V$9,'Assumptions (Coal)'!$V$4*Model!$K$14*AVERAGE('Assumptions (Coal)'!$D$2:$I$2)/10^9),0)</f>
        <v>-9.7089194418212343E-2</v>
      </c>
      <c r="S88" s="105">
        <f>IF($K$14&gt;0,PPMT('Assumptions (Coal)'!$V$6,Model!AE$1,'Assumptions (Coal)'!$V$9,'Assumptions (Coal)'!$V$4*Model!$K$14*AVERAGE('Assumptions (Coal)'!$D$2:$I$2)/10^9),0)</f>
        <v>-0.10170093115307742</v>
      </c>
      <c r="T88" s="105">
        <f>IF($K$14&gt;0,PPMT('Assumptions (Coal)'!$V$6,Model!AF$1,'Assumptions (Coal)'!$V$9,'Assumptions (Coal)'!$V$4*Model!$K$14*AVERAGE('Assumptions (Coal)'!$D$2:$I$2)/10^9),0)</f>
        <v>-0.10653172538284862</v>
      </c>
      <c r="U88" s="105">
        <f>IF($K$14&gt;0,PPMT('Assumptions (Coal)'!$V$6,Model!AG$1,'Assumptions (Coal)'!$V$9,'Assumptions (Coal)'!$V$4*Model!$K$14*AVERAGE('Assumptions (Coal)'!$D$2:$I$2)/10^9),0)</f>
        <v>-0.11159198233853394</v>
      </c>
      <c r="V88" s="105">
        <f>IF($K$14&gt;0,PPMT('Assumptions (Coal)'!$V$6,Model!AH$1,'Assumptions (Coal)'!$V$9,'Assumptions (Coal)'!$V$4*Model!$K$14*AVERAGE('Assumptions (Coal)'!$D$2:$I$2)/10^9),0)</f>
        <v>-0.11689260149961431</v>
      </c>
      <c r="W88" s="105">
        <f>IF($K$14&gt;0,PPMT('Assumptions (Coal)'!$V$6,Model!AI$1,'Assumptions (Coal)'!$V$9,'Assumptions (Coal)'!$V$4*Model!$K$14*AVERAGE('Assumptions (Coal)'!$D$2:$I$2)/10^9),0)</f>
        <v>-0.12244500007084598</v>
      </c>
      <c r="X88" s="105">
        <f>IF($K$14&gt;0,PPMT('Assumptions (Coal)'!$V$6,Model!AJ$1,'Assumptions (Coal)'!$V$9,'Assumptions (Coal)'!$V$4*Model!$K$14*AVERAGE('Assumptions (Coal)'!$D$2:$I$2)/10^9),0)</f>
        <v>-0.12826113757421115</v>
      </c>
      <c r="Y88" s="105">
        <f>IF($K$14&gt;0,PPMT('Assumptions (Coal)'!$V$6,Model!AK$1,'Assumptions (Coal)'!$V$9,'Assumptions (Coal)'!$V$4*Model!$K$14*AVERAGE('Assumptions (Coal)'!$D$2:$I$2)/10^9),0)</f>
        <v>-0.13435354160898616</v>
      </c>
      <c r="Z88" s="105"/>
      <c r="AA88" s="105"/>
      <c r="AB88" s="105"/>
      <c r="AC88" s="105"/>
      <c r="AD88" s="105"/>
      <c r="AE88" s="105"/>
      <c r="AF88" s="105"/>
      <c r="AG88" s="105"/>
      <c r="AH88" s="105"/>
      <c r="AI88" s="105"/>
      <c r="AU88" s="105"/>
      <c r="AV88" s="105"/>
      <c r="AW88" s="105"/>
      <c r="AX88" s="105"/>
      <c r="AY88" s="105"/>
      <c r="AZ88" s="105"/>
      <c r="BA88" s="105"/>
    </row>
    <row r="89" spans="1:53" ht="15.75" hidden="1" customHeight="1" outlineLevel="1">
      <c r="A89" s="98"/>
      <c r="B89" s="99"/>
      <c r="C89" s="105"/>
      <c r="D89" s="105"/>
      <c r="E89" s="105"/>
      <c r="F89" s="105"/>
      <c r="G89" s="105"/>
      <c r="H89" s="105"/>
      <c r="I89" s="105"/>
      <c r="J89" s="105"/>
      <c r="K89" s="105"/>
      <c r="L89" s="105">
        <f>IF($L$14&gt;0,PPMT('Assumptions (Coal)'!$V$6,Model!W$1,'Assumptions (Coal)'!$V$9,'Assumptions (Coal)'!$V$4*Model!$L$14*AVERAGE('Assumptions (Coal)'!$E$2:$J$2)/10^9),0)</f>
        <v>-8.5239806296171602E-2</v>
      </c>
      <c r="M89" s="105">
        <f>IF($L$14&gt;0,PPMT('Assumptions (Coal)'!$V$6,Model!X$1,'Assumptions (Coal)'!$V$9,'Assumptions (Coal)'!$V$4*Model!$L$14*AVERAGE('Assumptions (Coal)'!$E$2:$J$2)/10^9),0)</f>
        <v>-8.9288697095239761E-2</v>
      </c>
      <c r="N89" s="91">
        <f>IF($L$14&gt;0,PPMT('Assumptions (Coal)'!$V$6,Model!Y$1,'Assumptions (Coal)'!$V$9,'Assumptions (Coal)'!$V$4*Model!$L$14*AVERAGE('Assumptions (Coal)'!$E$2:$J$2)/10^9),0)</f>
        <v>-9.3529910207263645E-2</v>
      </c>
      <c r="O89" s="105">
        <f>IF($L$14&gt;0,PPMT('Assumptions (Coal)'!$V$6,Model!Z$1,'Assumptions (Coal)'!$V$9,'Assumptions (Coal)'!$V$4*Model!$L$14*AVERAGE('Assumptions (Coal)'!$E$2:$J$2)/10^9),0)</f>
        <v>-9.7972580942108672E-2</v>
      </c>
      <c r="P89" s="105">
        <f>IF($L$14&gt;0,PPMT('Assumptions (Coal)'!$V$6,Model!AA$1,'Assumptions (Coal)'!$V$9,'Assumptions (Coal)'!$V$4*Model!$L$14*AVERAGE('Assumptions (Coal)'!$E$2:$J$2)/10^9),0)</f>
        <v>-0.10262627853685882</v>
      </c>
      <c r="Q89" s="105">
        <f>IF($L$14&gt;0,PPMT('Assumptions (Coal)'!$V$6,Model!AB$1,'Assumptions (Coal)'!$V$9,'Assumptions (Coal)'!$V$4*Model!$L$14*AVERAGE('Assumptions (Coal)'!$E$2:$J$2)/10^9),0)</f>
        <v>-0.10750102676735962</v>
      </c>
      <c r="R89" s="105">
        <f>IF($L$14&gt;0,PPMT('Assumptions (Coal)'!$V$6,Model!AC$1,'Assumptions (Coal)'!$V$9,'Assumptions (Coal)'!$V$4*Model!$L$14*AVERAGE('Assumptions (Coal)'!$E$2:$J$2)/10^9),0)</f>
        <v>-0.1126073255388092</v>
      </c>
      <c r="S89" s="105">
        <f>IF($L$14&gt;0,PPMT('Assumptions (Coal)'!$V$6,Model!AD$1,'Assumptions (Coal)'!$V$9,'Assumptions (Coal)'!$V$4*Model!$L$14*AVERAGE('Assumptions (Coal)'!$E$2:$J$2)/10^9),0)</f>
        <v>-0.11795617350190264</v>
      </c>
      <c r="T89" s="105">
        <f>IF($L$14&gt;0,PPMT('Assumptions (Coal)'!$V$6,Model!AE$1,'Assumptions (Coal)'!$V$9,'Assumptions (Coal)'!$V$4*Model!$L$14*AVERAGE('Assumptions (Coal)'!$E$2:$J$2)/10^9),0)</f>
        <v>-0.123559091743243</v>
      </c>
      <c r="U89" s="105">
        <f>IF($L$14&gt;0,PPMT('Assumptions (Coal)'!$V$6,Model!AF$1,'Assumptions (Coal)'!$V$9,'Assumptions (Coal)'!$V$4*Model!$L$14*AVERAGE('Assumptions (Coal)'!$E$2:$J$2)/10^9),0)</f>
        <v>-0.12942814860104704</v>
      </c>
      <c r="V89" s="105">
        <f>IF($L$14&gt;0,PPMT('Assumptions (Coal)'!$V$6,Model!AG$1,'Assumptions (Coal)'!$V$9,'Assumptions (Coal)'!$V$4*Model!$L$14*AVERAGE('Assumptions (Coal)'!$E$2:$J$2)/10^9),0)</f>
        <v>-0.1355759856595968</v>
      </c>
      <c r="W89" s="105">
        <f>IF($L$14&gt;0,PPMT('Assumptions (Coal)'!$V$6,Model!AH$1,'Assumptions (Coal)'!$V$9,'Assumptions (Coal)'!$V$4*Model!$L$14*AVERAGE('Assumptions (Coal)'!$E$2:$J$2)/10^9),0)</f>
        <v>-0.14201584497842765</v>
      </c>
      <c r="X89" s="105">
        <f>IF($L$14&gt;0,PPMT('Assumptions (Coal)'!$V$6,Model!AI$1,'Assumptions (Coal)'!$V$9,'Assumptions (Coal)'!$V$4*Model!$L$14*AVERAGE('Assumptions (Coal)'!$E$2:$J$2)/10^9),0)</f>
        <v>-0.14876159761490299</v>
      </c>
      <c r="Y89" s="105">
        <f>IF($L$14&gt;0,PPMT('Assumptions (Coal)'!$V$6,Model!AJ$1,'Assumptions (Coal)'!$V$9,'Assumptions (Coal)'!$V$4*Model!$L$14*AVERAGE('Assumptions (Coal)'!$E$2:$J$2)/10^9),0)</f>
        <v>-0.15582777350161087</v>
      </c>
      <c r="Z89" s="105">
        <f>IF($L$14&gt;0,PPMT('Assumptions (Coal)'!$V$6,Model!AK$1,'Assumptions (Coal)'!$V$9,'Assumptions (Coal)'!$V$4*Model!$L$14*AVERAGE('Assumptions (Coal)'!$E$2:$J$2)/10^9),0)</f>
        <v>-0.16322959274293736</v>
      </c>
      <c r="AA89" s="105"/>
      <c r="AB89" s="105"/>
      <c r="AC89" s="105"/>
      <c r="AD89" s="105"/>
      <c r="AE89" s="105"/>
      <c r="AF89" s="105"/>
      <c r="AG89" s="105"/>
      <c r="AH89" s="105"/>
      <c r="AI89" s="105"/>
      <c r="AJ89" s="105"/>
      <c r="AU89" s="105"/>
      <c r="AV89" s="105"/>
      <c r="AW89" s="105"/>
      <c r="AX89" s="105"/>
      <c r="AY89" s="105"/>
      <c r="AZ89" s="105"/>
      <c r="BA89" s="105"/>
    </row>
    <row r="90" spans="1:53" ht="15.75" hidden="1" customHeight="1" outlineLevel="1">
      <c r="A90" s="98"/>
      <c r="B90" s="99"/>
      <c r="C90" s="105"/>
      <c r="D90" s="105"/>
      <c r="E90" s="105"/>
      <c r="F90" s="105"/>
      <c r="G90" s="105"/>
      <c r="H90" s="105"/>
      <c r="I90" s="105"/>
      <c r="J90" s="105"/>
      <c r="K90" s="105"/>
      <c r="L90" s="105"/>
      <c r="M90" s="105">
        <f>IF($M$14&gt;0,PPMT('Assumptions (Coal)'!$V$6,Model!W$1,'Assumptions (Coal)'!$V$9,'Assumptions (Coal)'!$V$4*Model!$M$14*AVERAGE('Assumptions (Coal)'!$F$2:$K$2)/10^9),0)</f>
        <v>-0.23657730540336661</v>
      </c>
      <c r="N90" s="91">
        <f>IF($M$14&gt;0,PPMT('Assumptions (Coal)'!$V$6,Model!X$1,'Assumptions (Coal)'!$V$9,'Assumptions (Coal)'!$V$4*Model!$M$14*AVERAGE('Assumptions (Coal)'!$F$2:$K$2)/10^9),0)</f>
        <v>-0.24781472741002655</v>
      </c>
      <c r="O90" s="105">
        <f>IF($M$14&gt;0,PPMT('Assumptions (Coal)'!$V$6,Model!Y$1,'Assumptions (Coal)'!$V$9,'Assumptions (Coal)'!$V$4*Model!$M$14*AVERAGE('Assumptions (Coal)'!$F$2:$K$2)/10^9),0)</f>
        <v>-0.25958592696200283</v>
      </c>
      <c r="P90" s="105">
        <f>IF($M$14&gt;0,PPMT('Assumptions (Coal)'!$V$6,Model!Z$1,'Assumptions (Coal)'!$V$9,'Assumptions (Coal)'!$V$4*Model!$M$14*AVERAGE('Assumptions (Coal)'!$F$2:$K$2)/10^9),0)</f>
        <v>-0.2719162584926979</v>
      </c>
      <c r="Q90" s="105">
        <f>IF($M$14&gt;0,PPMT('Assumptions (Coal)'!$V$6,Model!AA$1,'Assumptions (Coal)'!$V$9,'Assumptions (Coal)'!$V$4*Model!$M$14*AVERAGE('Assumptions (Coal)'!$F$2:$K$2)/10^9),0)</f>
        <v>-0.28483228077110107</v>
      </c>
      <c r="R90" s="105">
        <f>IF($M$14&gt;0,PPMT('Assumptions (Coal)'!$V$6,Model!AB$1,'Assumptions (Coal)'!$V$9,'Assumptions (Coal)'!$V$4*Model!$M$14*AVERAGE('Assumptions (Coal)'!$F$2:$K$2)/10^9),0)</f>
        <v>-0.29836181410772838</v>
      </c>
      <c r="S90" s="105">
        <f>IF($M$14&gt;0,PPMT('Assumptions (Coal)'!$V$6,Model!AC$1,'Assumptions (Coal)'!$V$9,'Assumptions (Coal)'!$V$4*Model!$M$14*AVERAGE('Assumptions (Coal)'!$F$2:$K$2)/10^9),0)</f>
        <v>-0.3125340002778455</v>
      </c>
      <c r="T90" s="105">
        <f>IF($M$14&gt;0,PPMT('Assumptions (Coal)'!$V$6,Model!AD$1,'Assumptions (Coal)'!$V$9,'Assumptions (Coal)'!$V$4*Model!$M$14*AVERAGE('Assumptions (Coal)'!$F$2:$K$2)/10^9),0)</f>
        <v>-0.32737936529104317</v>
      </c>
      <c r="U90" s="105">
        <f>IF($M$14&gt;0,PPMT('Assumptions (Coal)'!$V$6,Model!AE$1,'Assumptions (Coal)'!$V$9,'Assumptions (Coal)'!$V$4*Model!$M$14*AVERAGE('Assumptions (Coal)'!$F$2:$K$2)/10^9),0)</f>
        <v>-0.34292988514236766</v>
      </c>
      <c r="V90" s="105">
        <f>IF($M$14&gt;0,PPMT('Assumptions (Coal)'!$V$6,Model!AF$1,'Assumptions (Coal)'!$V$9,'Assumptions (Coal)'!$V$4*Model!$M$14*AVERAGE('Assumptions (Coal)'!$F$2:$K$2)/10^9),0)</f>
        <v>-0.35921905468663018</v>
      </c>
      <c r="W90" s="105">
        <f>IF($M$14&gt;0,PPMT('Assumptions (Coal)'!$V$6,Model!AG$1,'Assumptions (Coal)'!$V$9,'Assumptions (Coal)'!$V$4*Model!$M$14*AVERAGE('Assumptions (Coal)'!$F$2:$K$2)/10^9),0)</f>
        <v>-0.37628195978424517</v>
      </c>
      <c r="X90" s="105">
        <f>IF($M$14&gt;0,PPMT('Assumptions (Coal)'!$V$6,Model!AH$1,'Assumptions (Coal)'!$V$9,'Assumptions (Coal)'!$V$4*Model!$M$14*AVERAGE('Assumptions (Coal)'!$F$2:$K$2)/10^9),0)</f>
        <v>-0.39415535287399678</v>
      </c>
      <c r="Y90" s="105">
        <f>IF($M$14&gt;0,PPMT('Assumptions (Coal)'!$V$6,Model!AI$1,'Assumptions (Coal)'!$V$9,'Assumptions (Coal)'!$V$4*Model!$M$14*AVERAGE('Assumptions (Coal)'!$F$2:$K$2)/10^9),0)</f>
        <v>-0.4128777321355116</v>
      </c>
      <c r="Z90" s="105">
        <f>IF($M$14&gt;0,PPMT('Assumptions (Coal)'!$V$6,Model!AJ$1,'Assumptions (Coal)'!$V$9,'Assumptions (Coal)'!$V$4*Model!$M$14*AVERAGE('Assumptions (Coal)'!$F$2:$K$2)/10^9),0)</f>
        <v>-0.43248942441194838</v>
      </c>
      <c r="AA90" s="105">
        <f>IF($M$14&gt;0,PPMT('Assumptions (Coal)'!$V$6,Model!AK$1,'Assumptions (Coal)'!$V$9,'Assumptions (Coal)'!$V$4*Model!$M$14*AVERAGE('Assumptions (Coal)'!$F$2:$K$2)/10^9),0)</f>
        <v>-0.45303267207151587</v>
      </c>
      <c r="AB90" s="105"/>
      <c r="AC90" s="105"/>
      <c r="AD90" s="105"/>
      <c r="AE90" s="105"/>
      <c r="AF90" s="105"/>
      <c r="AG90" s="105"/>
      <c r="AH90" s="105"/>
      <c r="AI90" s="105"/>
      <c r="AJ90" s="105"/>
      <c r="AK90" s="105"/>
      <c r="AU90" s="105"/>
      <c r="AV90" s="105"/>
      <c r="AW90" s="105"/>
      <c r="AX90" s="105"/>
      <c r="AY90" s="105"/>
      <c r="AZ90" s="105"/>
      <c r="BA90" s="105"/>
    </row>
    <row r="91" spans="1:53" ht="15.75" hidden="1" customHeight="1" outlineLevel="1">
      <c r="A91" s="98"/>
      <c r="B91" s="99"/>
      <c r="C91" s="105"/>
      <c r="D91" s="105"/>
      <c r="E91" s="105"/>
      <c r="F91" s="105"/>
      <c r="G91" s="105"/>
      <c r="H91" s="105"/>
      <c r="I91" s="105"/>
      <c r="J91" s="105"/>
      <c r="K91" s="105"/>
      <c r="L91" s="105"/>
      <c r="M91" s="105"/>
      <c r="N91" s="91">
        <f>IF($N$14&gt;0,PPMT('Assumptions (Coal)'!$V$6,Model!W$1,'Assumptions (Coal)'!$V$9,'Assumptions (Coal)'!$V$4*Model!$N$14*AVERAGE('Assumptions (Coal)'!$G$2:$L$2)/10^9),0)</f>
        <v>-0.19308796802079792</v>
      </c>
      <c r="O91" s="105">
        <f>IF($N$14&gt;0,PPMT('Assumptions (Coal)'!$V$6,Model!X$1,'Assumptions (Coal)'!$V$9,'Assumptions (Coal)'!$V$4*Model!$N$14*AVERAGE('Assumptions (Coal)'!$G$2:$L$2)/10^9),0)</f>
        <v>-0.20225964650178582</v>
      </c>
      <c r="P91" s="105">
        <f>IF($N$14&gt;0,PPMT('Assumptions (Coal)'!$V$6,Model!Y$1,'Assumptions (Coal)'!$V$9,'Assumptions (Coal)'!$V$4*Model!$N$14*AVERAGE('Assumptions (Coal)'!$G$2:$L$2)/10^9),0)</f>
        <v>-0.21186697971062068</v>
      </c>
      <c r="Q91" s="105">
        <f>IF($N$14&gt;0,PPMT('Assumptions (Coal)'!$V$6,Model!Z$1,'Assumptions (Coal)'!$V$9,'Assumptions (Coal)'!$V$4*Model!$N$14*AVERAGE('Assumptions (Coal)'!$G$2:$L$2)/10^9),0)</f>
        <v>-0.2219306612468751</v>
      </c>
      <c r="R91" s="105">
        <f>IF($N$14&gt;0,PPMT('Assumptions (Coal)'!$V$6,Model!AA$1,'Assumptions (Coal)'!$V$9,'Assumptions (Coal)'!$V$4*Model!$N$14*AVERAGE('Assumptions (Coal)'!$G$2:$L$2)/10^9),0)</f>
        <v>-0.23247236765610166</v>
      </c>
      <c r="S91" s="105">
        <f>IF($N$14&gt;0,PPMT('Assumptions (Coal)'!$V$6,Model!AB$1,'Assumptions (Coal)'!$V$9,'Assumptions (Coal)'!$V$4*Model!$N$14*AVERAGE('Assumptions (Coal)'!$G$2:$L$2)/10^9),0)</f>
        <v>-0.24351480511976653</v>
      </c>
      <c r="T91" s="105">
        <f>IF($N$14&gt;0,PPMT('Assumptions (Coal)'!$V$6,Model!AC$1,'Assumptions (Coal)'!$V$9,'Assumptions (Coal)'!$V$4*Model!$N$14*AVERAGE('Assumptions (Coal)'!$G$2:$L$2)/10^9),0)</f>
        <v>-0.25508175836295544</v>
      </c>
      <c r="U91" s="105">
        <f>IF($N$14&gt;0,PPMT('Assumptions (Coal)'!$V$6,Model!AD$1,'Assumptions (Coal)'!$V$9,'Assumptions (Coal)'!$V$4*Model!$N$14*AVERAGE('Assumptions (Coal)'!$G$2:$L$2)/10^9),0)</f>
        <v>-0.26719814188519581</v>
      </c>
      <c r="V91" s="105">
        <f>IF($N$14&gt;0,PPMT('Assumptions (Coal)'!$V$6,Model!AE$1,'Assumptions (Coal)'!$V$9,'Assumptions (Coal)'!$V$4*Model!$N$14*AVERAGE('Assumptions (Coal)'!$G$2:$L$2)/10^9),0)</f>
        <v>-0.27989005362474262</v>
      </c>
      <c r="W91" s="105">
        <f>IF($N$14&gt;0,PPMT('Assumptions (Coal)'!$V$6,Model!AF$1,'Assumptions (Coal)'!$V$9,'Assumptions (Coal)'!$V$4*Model!$N$14*AVERAGE('Assumptions (Coal)'!$G$2:$L$2)/10^9),0)</f>
        <v>-0.2931848311719179</v>
      </c>
      <c r="X91" s="105">
        <f>IF($N$14&gt;0,PPMT('Assumptions (Coal)'!$V$6,Model!AG$1,'Assumptions (Coal)'!$V$9,'Assumptions (Coal)'!$V$4*Model!$N$14*AVERAGE('Assumptions (Coal)'!$G$2:$L$2)/10^9),0)</f>
        <v>-0.30711111065258406</v>
      </c>
      <c r="Y91" s="105">
        <f>IF($N$14&gt;0,PPMT('Assumptions (Coal)'!$V$6,Model!AH$1,'Assumptions (Coal)'!$V$9,'Assumptions (Coal)'!$V$4*Model!$N$14*AVERAGE('Assumptions (Coal)'!$G$2:$L$2)/10^9),0)</f>
        <v>-0.32169888840858174</v>
      </c>
      <c r="Z91" s="105">
        <f>IF($N$14&gt;0,PPMT('Assumptions (Coal)'!$V$6,Model!AI$1,'Assumptions (Coal)'!$V$9,'Assumptions (Coal)'!$V$4*Model!$N$14*AVERAGE('Assumptions (Coal)'!$G$2:$L$2)/10^9),0)</f>
        <v>-0.33697958560798941</v>
      </c>
      <c r="AA91" s="105">
        <f>IF($N$14&gt;0,PPMT('Assumptions (Coal)'!$V$6,Model!AJ$1,'Assumptions (Coal)'!$V$9,'Assumptions (Coal)'!$V$4*Model!$N$14*AVERAGE('Assumptions (Coal)'!$G$2:$L$2)/10^9),0)</f>
        <v>-0.3529861159243689</v>
      </c>
      <c r="AB91" s="105">
        <f>IF($N$14&gt;0,PPMT('Assumptions (Coal)'!$V$6,Model!AK$1,'Assumptions (Coal)'!$V$9,'Assumptions (Coal)'!$V$4*Model!$N$14*AVERAGE('Assumptions (Coal)'!$G$2:$L$2)/10^9),0)</f>
        <v>-0.36975295643077638</v>
      </c>
      <c r="AC91" s="105"/>
      <c r="AD91" s="105"/>
      <c r="AE91" s="105"/>
      <c r="AF91" s="105"/>
      <c r="AG91" s="105"/>
      <c r="AH91" s="105"/>
      <c r="AI91" s="105"/>
      <c r="AJ91" s="105"/>
      <c r="AK91" s="105"/>
      <c r="AL91" s="105"/>
      <c r="AU91" s="105"/>
      <c r="AV91" s="105"/>
      <c r="AW91" s="105"/>
      <c r="AX91" s="105"/>
      <c r="AY91" s="105"/>
      <c r="AZ91" s="105"/>
      <c r="BA91" s="105"/>
    </row>
    <row r="92" spans="1:53" ht="15.75" hidden="1" customHeight="1" outlineLevel="1">
      <c r="A92" s="98"/>
      <c r="B92" s="99"/>
      <c r="C92" s="105"/>
      <c r="D92" s="105"/>
      <c r="E92" s="105"/>
      <c r="F92" s="105"/>
      <c r="G92" s="105"/>
      <c r="H92" s="105"/>
      <c r="I92" s="105"/>
      <c r="J92" s="105"/>
      <c r="K92" s="105"/>
      <c r="L92" s="105"/>
      <c r="M92" s="105"/>
      <c r="N92" s="105"/>
      <c r="O92" s="105">
        <f>IF($O$14&gt;0,PPMT('Assumptions (Coal)'!$V$6,Model!W$1,'Assumptions (Coal)'!$V$9,'Assumptions (Coal)'!$V$4*Model!$O$14*AVERAGE('Assumptions (Coal)'!$H$2:$M$2)/10^9),0)</f>
        <v>-0.19236222711399661</v>
      </c>
      <c r="P92" s="105">
        <f>IF($O$14&gt;0,PPMT('Assumptions (Coal)'!$V$6,Model!X$1,'Assumptions (Coal)'!$V$9,'Assumptions (Coal)'!$V$4*Model!$O$14*AVERAGE('Assumptions (Coal)'!$H$2:$M$2)/10^9),0)</f>
        <v>-0.20149943290191144</v>
      </c>
      <c r="Q92" s="105">
        <f>IF($O$14&gt;0,PPMT('Assumptions (Coal)'!$V$6,Model!Y$1,'Assumptions (Coal)'!$V$9,'Assumptions (Coal)'!$V$4*Model!$O$14*AVERAGE('Assumptions (Coal)'!$H$2:$M$2)/10^9),0)</f>
        <v>-0.21107065596475225</v>
      </c>
      <c r="R92" s="105">
        <f>IF($O$14&gt;0,PPMT('Assumptions (Coal)'!$V$6,Model!Z$1,'Assumptions (Coal)'!$V$9,'Assumptions (Coal)'!$V$4*Model!$O$14*AVERAGE('Assumptions (Coal)'!$H$2:$M$2)/10^9),0)</f>
        <v>-0.22109651212307799</v>
      </c>
      <c r="S92" s="105">
        <f>IF($O$14&gt;0,PPMT('Assumptions (Coal)'!$V$6,Model!AA$1,'Assumptions (Coal)'!$V$9,'Assumptions (Coal)'!$V$4*Model!$O$14*AVERAGE('Assumptions (Coal)'!$H$2:$M$2)/10^9),0)</f>
        <v>-0.23159859644892417</v>
      </c>
      <c r="T92" s="105">
        <f>IF($O$14&gt;0,PPMT('Assumptions (Coal)'!$V$6,Model!AB$1,'Assumptions (Coal)'!$V$9,'Assumptions (Coal)'!$V$4*Model!$O$14*AVERAGE('Assumptions (Coal)'!$H$2:$M$2)/10^9),0)</f>
        <v>-0.24259952978024804</v>
      </c>
      <c r="U92" s="105">
        <f>IF($O$14&gt;0,PPMT('Assumptions (Coal)'!$V$6,Model!AC$1,'Assumptions (Coal)'!$V$9,'Assumptions (Coal)'!$V$4*Model!$O$14*AVERAGE('Assumptions (Coal)'!$H$2:$M$2)/10^9),0)</f>
        <v>-0.25412300744480987</v>
      </c>
      <c r="V92" s="105">
        <f>IF($O$14&gt;0,PPMT('Assumptions (Coal)'!$V$6,Model!AD$1,'Assumptions (Coal)'!$V$9,'Assumptions (Coal)'!$V$4*Model!$O$14*AVERAGE('Assumptions (Coal)'!$H$2:$M$2)/10^9),0)</f>
        <v>-0.26619385029843834</v>
      </c>
      <c r="W92" s="105">
        <f>IF($O$14&gt;0,PPMT('Assumptions (Coal)'!$V$6,Model!AE$1,'Assumptions (Coal)'!$V$9,'Assumptions (Coal)'!$V$4*Model!$O$14*AVERAGE('Assumptions (Coal)'!$H$2:$M$2)/10^9),0)</f>
        <v>-0.27883805818761415</v>
      </c>
      <c r="X92" s="105">
        <f>IF($O$14&gt;0,PPMT('Assumptions (Coal)'!$V$6,Model!AF$1,'Assumptions (Coal)'!$V$9,'Assumptions (Coal)'!$V$4*Model!$O$14*AVERAGE('Assumptions (Coal)'!$H$2:$M$2)/10^9),0)</f>
        <v>-0.29208286595152583</v>
      </c>
      <c r="Y92" s="105">
        <f>IF($O$14&gt;0,PPMT('Assumptions (Coal)'!$V$6,Model!AG$1,'Assumptions (Coal)'!$V$9,'Assumptions (Coal)'!$V$4*Model!$O$14*AVERAGE('Assumptions (Coal)'!$H$2:$M$2)/10^9),0)</f>
        <v>-0.30595680208422332</v>
      </c>
      <c r="Z92" s="105">
        <f>IF($O$14&gt;0,PPMT('Assumptions (Coal)'!$V$6,Model!AH$1,'Assumptions (Coal)'!$V$9,'Assumptions (Coal)'!$V$4*Model!$O$14*AVERAGE('Assumptions (Coal)'!$H$2:$M$2)/10^9),0)</f>
        <v>-0.3204897501832239</v>
      </c>
      <c r="AA92" s="105">
        <f>IF($O$14&gt;0,PPMT('Assumptions (Coal)'!$V$6,Model!AI$1,'Assumptions (Coal)'!$V$9,'Assumptions (Coal)'!$V$4*Model!$O$14*AVERAGE('Assumptions (Coal)'!$H$2:$M$2)/10^9),0)</f>
        <v>-0.33571301331692704</v>
      </c>
      <c r="AB92" s="105">
        <f>IF($O$14&gt;0,PPMT('Assumptions (Coal)'!$V$6,Model!AJ$1,'Assumptions (Coal)'!$V$9,'Assumptions (Coal)'!$V$4*Model!$O$14*AVERAGE('Assumptions (Coal)'!$H$2:$M$2)/10^9),0)</f>
        <v>-0.35165938144948111</v>
      </c>
      <c r="AC92" s="105">
        <f>IF($O$14&gt;0,PPMT('Assumptions (Coal)'!$V$6,Model!AK$1,'Assumptions (Coal)'!$V$9,'Assumptions (Coal)'!$V$4*Model!$O$14*AVERAGE('Assumptions (Coal)'!$H$2:$M$2)/10^9),0)</f>
        <v>-0.3683632020683314</v>
      </c>
      <c r="AD92" s="105"/>
      <c r="AE92" s="105"/>
      <c r="AF92" s="105"/>
      <c r="AG92" s="105"/>
      <c r="AH92" s="105"/>
      <c r="AI92" s="105"/>
      <c r="AJ92" s="105"/>
      <c r="AK92" s="105"/>
      <c r="AL92" s="105"/>
      <c r="AM92" s="105"/>
      <c r="AU92" s="105"/>
      <c r="AV92" s="105"/>
      <c r="AW92" s="105"/>
      <c r="AX92" s="105"/>
      <c r="AY92" s="105"/>
      <c r="AZ92" s="105"/>
      <c r="BA92" s="105"/>
    </row>
    <row r="93" spans="1:53" ht="15.75" hidden="1" customHeight="1" outlineLevel="1">
      <c r="A93" s="98"/>
      <c r="B93" s="99"/>
      <c r="C93" s="105"/>
      <c r="D93" s="105"/>
      <c r="E93" s="105"/>
      <c r="F93" s="105"/>
      <c r="G93" s="105"/>
      <c r="H93" s="105"/>
      <c r="I93" s="105"/>
      <c r="J93" s="105"/>
      <c r="K93" s="105"/>
      <c r="L93" s="105"/>
      <c r="M93" s="105"/>
      <c r="N93" s="105"/>
      <c r="O93" s="105"/>
      <c r="P93" s="91">
        <f>IF($P$14&gt;0,PPMT('Assumptions (Coal)'!$V$6,Model!W$1,'Assumptions (Coal)'!$V$9,'Assumptions (Coal)'!$V$4*Model!$P$14*AVERAGE('Assumptions (Coal)'!$I$2:$N$2)/10^9),0)</f>
        <v>-8.1621013277068985E-2</v>
      </c>
      <c r="Q93" s="91">
        <f>IF($P$14&gt;0,PPMT('Assumptions (Coal)'!$V$6,Model!X$1,'Assumptions (Coal)'!$V$9,'Assumptions (Coal)'!$V$4*Model!$P$14*AVERAGE('Assumptions (Coal)'!$I$2:$N$2)/10^9),0)</f>
        <v>-8.5498011407729765E-2</v>
      </c>
      <c r="R93" s="91">
        <f>IF($P$14&gt;0,PPMT('Assumptions (Coal)'!$V$6,Model!Y$1,'Assumptions (Coal)'!$V$9,'Assumptions (Coal)'!$V$4*Model!$P$14*AVERAGE('Assumptions (Coal)'!$I$2:$N$2)/10^9),0)</f>
        <v>-8.9559166949596938E-2</v>
      </c>
      <c r="S93" s="91">
        <f>IF($P$14&gt;0,PPMT('Assumptions (Coal)'!$V$6,Model!Z$1,'Assumptions (Coal)'!$V$9,'Assumptions (Coal)'!$V$4*Model!$P$14*AVERAGE('Assumptions (Coal)'!$I$2:$N$2)/10^9),0)</f>
        <v>-9.3813227379702782E-2</v>
      </c>
      <c r="T93" s="91">
        <f>IF($P$14&gt;0,PPMT('Assumptions (Coal)'!$V$6,Model!AA$1,'Assumptions (Coal)'!$V$9,'Assumptions (Coal)'!$V$4*Model!$P$14*AVERAGE('Assumptions (Coal)'!$I$2:$N$2)/10^9),0)</f>
        <v>-9.826935568023866E-2</v>
      </c>
      <c r="U93" s="91">
        <f>IF($P$14&gt;0,PPMT('Assumptions (Coal)'!$V$6,Model!AB$1,'Assumptions (Coal)'!$V$9,'Assumptions (Coal)'!$V$4*Model!$P$14*AVERAGE('Assumptions (Coal)'!$I$2:$N$2)/10^9),0)</f>
        <v>-0.10293715007505</v>
      </c>
      <c r="V93" s="91">
        <f>IF($P$14&gt;0,PPMT('Assumptions (Coal)'!$V$6,Model!AC$1,'Assumptions (Coal)'!$V$9,'Assumptions (Coal)'!$V$4*Model!$P$14*AVERAGE('Assumptions (Coal)'!$I$2:$N$2)/10^9),0)</f>
        <v>-0.10782666470361488</v>
      </c>
      <c r="W93" s="91">
        <f>IF($P$14&gt;0,PPMT('Assumptions (Coal)'!$V$6,Model!AD$1,'Assumptions (Coal)'!$V$9,'Assumptions (Coal)'!$V$4*Model!$P$14*AVERAGE('Assumptions (Coal)'!$I$2:$N$2)/10^9),0)</f>
        <v>-0.11294843127703658</v>
      </c>
      <c r="X93" s="91">
        <f>IF($P$14&gt;0,PPMT('Assumptions (Coal)'!$V$6,Model!AE$1,'Assumptions (Coal)'!$V$9,'Assumptions (Coal)'!$V$4*Model!$P$14*AVERAGE('Assumptions (Coal)'!$I$2:$N$2)/10^9),0)</f>
        <v>-0.11831348176269581</v>
      </c>
      <c r="Y93" s="91">
        <f>IF($P$14&gt;0,PPMT('Assumptions (Coal)'!$V$6,Model!AF$1,'Assumptions (Coal)'!$V$9,'Assumptions (Coal)'!$V$4*Model!$P$14*AVERAGE('Assumptions (Coal)'!$I$2:$N$2)/10^9),0)</f>
        <v>-0.12393337214642387</v>
      </c>
      <c r="Z93" s="91">
        <f>IF($P$14&gt;0,PPMT('Assumptions (Coal)'!$V$6,Model!AG$1,'Assumptions (Coal)'!$V$9,'Assumptions (Coal)'!$V$4*Model!$P$14*AVERAGE('Assumptions (Coal)'!$I$2:$N$2)/10^9),0)</f>
        <v>-0.12982020732337901</v>
      </c>
      <c r="AA93" s="91">
        <f>IF($P$14&gt;0,PPMT('Assumptions (Coal)'!$V$6,Model!AH$1,'Assumptions (Coal)'!$V$9,'Assumptions (Coal)'!$V$4*Model!$P$14*AVERAGE('Assumptions (Coal)'!$I$2:$N$2)/10^9),0)</f>
        <v>-0.1359866671712395</v>
      </c>
      <c r="AB93" s="91">
        <f>IF($P$14&gt;0,PPMT('Assumptions (Coal)'!$V$6,Model!AI$1,'Assumptions (Coal)'!$V$9,'Assumptions (Coal)'!$V$4*Model!$P$14*AVERAGE('Assumptions (Coal)'!$I$2:$N$2)/10^9),0)</f>
        <v>-0.14244603386187338</v>
      </c>
      <c r="AC93" s="91">
        <f>IF($P$14&gt;0,PPMT('Assumptions (Coal)'!$V$6,Model!AJ$1,'Assumptions (Coal)'!$V$9,'Assumptions (Coal)'!$V$4*Model!$P$14*AVERAGE('Assumptions (Coal)'!$I$2:$N$2)/10^9),0)</f>
        <v>-0.14921222047031238</v>
      </c>
      <c r="AD93" s="91">
        <f>IF($P$14&gt;0,PPMT('Assumptions (Coal)'!$V$6,Model!AK$1,'Assumptions (Coal)'!$V$9,'Assumptions (Coal)'!$V$4*Model!$P$14*AVERAGE('Assumptions (Coal)'!$I$2:$N$2)/10^9),0)</f>
        <v>-0.1562998009426522</v>
      </c>
      <c r="AE93" s="91"/>
      <c r="AF93" s="91"/>
      <c r="AG93" s="91"/>
      <c r="AH93" s="91"/>
      <c r="AI93" s="91"/>
      <c r="AJ93" s="91"/>
      <c r="AK93" s="91"/>
      <c r="AL93" s="91"/>
      <c r="AM93" s="91"/>
      <c r="AN93" s="91"/>
      <c r="AU93" s="105"/>
      <c r="AV93" s="105"/>
      <c r="AW93" s="105"/>
      <c r="AX93" s="105"/>
      <c r="AY93" s="105"/>
      <c r="AZ93" s="105"/>
      <c r="BA93" s="105"/>
    </row>
    <row r="94" spans="1:53" ht="15.75" hidden="1" customHeight="1" outlineLevel="1">
      <c r="A94" s="98"/>
      <c r="B94" s="99"/>
      <c r="C94" s="105"/>
      <c r="D94" s="105"/>
      <c r="E94" s="105"/>
      <c r="F94" s="105"/>
      <c r="G94" s="105"/>
      <c r="H94" s="105"/>
      <c r="I94" s="105"/>
      <c r="J94" s="105"/>
      <c r="K94" s="105"/>
      <c r="L94" s="105"/>
      <c r="M94" s="105"/>
      <c r="N94" s="105"/>
      <c r="O94" s="105"/>
      <c r="P94" s="171"/>
      <c r="Q94" s="105">
        <f>IF($Q$14&gt;0,PPMT('Assumptions (Coal)'!$V$6,Model!W$1,'Assumptions (Coal)'!$V$9,'Assumptions (Coal)'!$V$4*Model!$Q$14*AVERAGE('Assumptions (Coal)'!$J$2:$O$2)/10^9),0)</f>
        <v>-4.8813088070585875E-3</v>
      </c>
      <c r="R94" s="105">
        <f>IF($Q$14&gt;0,PPMT('Assumptions (Coal)'!$V$6,Model!X$1,'Assumptions (Coal)'!$V$9,'Assumptions (Coal)'!$V$4*Model!$Q$14*AVERAGE('Assumptions (Coal)'!$J$2:$O$2)/10^9),0)</f>
        <v>-5.1131709753938709E-3</v>
      </c>
      <c r="S94" s="105">
        <f>IF($Q$14&gt;0,PPMT('Assumptions (Coal)'!$V$6,Model!Y$1,'Assumptions (Coal)'!$V$9,'Assumptions (Coal)'!$V$4*Model!$Q$14*AVERAGE('Assumptions (Coal)'!$J$2:$O$2)/10^9),0)</f>
        <v>-5.3560465967250797E-3</v>
      </c>
      <c r="T94" s="105">
        <f>IF($Q$14&gt;0,PPMT('Assumptions (Coal)'!$V$6,Model!Z$1,'Assumptions (Coal)'!$V$9,'Assumptions (Coal)'!$V$4*Model!$Q$14*AVERAGE('Assumptions (Coal)'!$J$2:$O$2)/10^9),0)</f>
        <v>-5.6104588100695206E-3</v>
      </c>
      <c r="U94" s="105">
        <f>IF($Q$14&gt;0,PPMT('Assumptions (Coal)'!$V$6,Model!AA$1,'Assumptions (Coal)'!$V$9,'Assumptions (Coal)'!$V$4*Model!$Q$14*AVERAGE('Assumptions (Coal)'!$J$2:$O$2)/10^9),0)</f>
        <v>-5.8769556035478225E-3</v>
      </c>
      <c r="V94" s="105">
        <f>IF($Q$14&gt;0,PPMT('Assumptions (Coal)'!$V$6,Model!AB$1,'Assumptions (Coal)'!$V$9,'Assumptions (Coal)'!$V$4*Model!$Q$14*AVERAGE('Assumptions (Coal)'!$J$2:$O$2)/10^9),0)</f>
        <v>-6.1561109947163442E-3</v>
      </c>
      <c r="W94" s="105">
        <f>IF($Q$14&gt;0,PPMT('Assumptions (Coal)'!$V$6,Model!AC$1,'Assumptions (Coal)'!$V$9,'Assumptions (Coal)'!$V$4*Model!$Q$14*AVERAGE('Assumptions (Coal)'!$J$2:$O$2)/10^9),0)</f>
        <v>-6.4485262669653712E-3</v>
      </c>
      <c r="X94" s="105">
        <f>IF($Q$14&gt;0,PPMT('Assumptions (Coal)'!$V$6,Model!AD$1,'Assumptions (Coal)'!$V$9,'Assumptions (Coal)'!$V$4*Model!$Q$14*AVERAGE('Assumptions (Coal)'!$J$2:$O$2)/10^9),0)</f>
        <v>-6.754831264646227E-3</v>
      </c>
      <c r="Y94" s="105">
        <f>IF($Q$14&gt;0,PPMT('Assumptions (Coal)'!$V$6,Model!AE$1,'Assumptions (Coal)'!$V$9,'Assumptions (Coal)'!$V$4*Model!$Q$14*AVERAGE('Assumptions (Coal)'!$J$2:$O$2)/10^9),0)</f>
        <v>-7.0756857497169213E-3</v>
      </c>
      <c r="Z94" s="105">
        <f>IF($Q$14&gt;0,PPMT('Assumptions (Coal)'!$V$6,Model!AF$1,'Assumptions (Coal)'!$V$9,'Assumptions (Coal)'!$V$4*Model!$Q$14*AVERAGE('Assumptions (Coal)'!$J$2:$O$2)/10^9),0)</f>
        <v>-7.4117808228284753E-3</v>
      </c>
      <c r="AA94" s="105">
        <f>IF($Q$14&gt;0,PPMT('Assumptions (Coal)'!$V$6,Model!AG$1,'Assumptions (Coal)'!$V$9,'Assumptions (Coal)'!$V$4*Model!$Q$14*AVERAGE('Assumptions (Coal)'!$J$2:$O$2)/10^9),0)</f>
        <v>-7.7638404119128286E-3</v>
      </c>
      <c r="AB94" s="105">
        <f>IF($Q$14&gt;0,PPMT('Assumptions (Coal)'!$V$6,Model!AH$1,'Assumptions (Coal)'!$V$9,'Assumptions (Coal)'!$V$4*Model!$Q$14*AVERAGE('Assumptions (Coal)'!$J$2:$O$2)/10^9),0)</f>
        <v>-8.1326228314786871E-3</v>
      </c>
      <c r="AC94" s="105">
        <f>IF($Q$14&gt;0,PPMT('Assumptions (Coal)'!$V$6,Model!AI$1,'Assumptions (Coal)'!$V$9,'Assumptions (Coal)'!$V$4*Model!$Q$14*AVERAGE('Assumptions (Coal)'!$J$2:$O$2)/10^9),0)</f>
        <v>-8.5189224159739254E-3</v>
      </c>
      <c r="AD94" s="105">
        <f>IF($Q$14&gt;0,PPMT('Assumptions (Coal)'!$V$6,Model!AJ$1,'Assumptions (Coal)'!$V$9,'Assumptions (Coal)'!$V$4*Model!$Q$14*AVERAGE('Assumptions (Coal)'!$J$2:$O$2)/10^9),0)</f>
        <v>-8.9235712307326881E-3</v>
      </c>
      <c r="AE94" s="105">
        <f>IF($Q$14&gt;0,PPMT('Assumptions (Coal)'!$V$6,Model!AK$1,'Assumptions (Coal)'!$V$9,'Assumptions (Coal)'!$V$4*Model!$Q$14*AVERAGE('Assumptions (Coal)'!$J$2:$O$2)/10^9),0)</f>
        <v>-9.3474408641924887E-3</v>
      </c>
      <c r="AF94" s="105"/>
      <c r="AG94" s="105"/>
      <c r="AH94" s="105"/>
      <c r="AI94" s="105"/>
      <c r="AJ94" s="105"/>
      <c r="AK94" s="105"/>
      <c r="AL94" s="105"/>
      <c r="AM94" s="105"/>
      <c r="AN94" s="105"/>
      <c r="AO94" s="105"/>
      <c r="AU94" s="105"/>
      <c r="AV94" s="105"/>
      <c r="AW94" s="105"/>
      <c r="AX94" s="105"/>
      <c r="AY94" s="105"/>
      <c r="AZ94" s="105"/>
      <c r="BA94" s="105"/>
    </row>
    <row r="95" spans="1:53" ht="15.75" hidden="1" customHeight="1" outlineLevel="1">
      <c r="A95" s="98"/>
      <c r="B95" s="99"/>
      <c r="C95" s="105"/>
      <c r="D95" s="105"/>
      <c r="E95" s="105"/>
      <c r="F95" s="105"/>
      <c r="G95" s="105"/>
      <c r="H95" s="105"/>
      <c r="I95" s="105"/>
      <c r="J95" s="105"/>
      <c r="K95" s="105"/>
      <c r="L95" s="105"/>
      <c r="M95" s="105"/>
      <c r="N95" s="105"/>
      <c r="O95" s="105"/>
      <c r="P95" s="171"/>
      <c r="Q95" s="105"/>
      <c r="R95" s="91">
        <f>IF($R$14&gt;0,PPMT('Assumptions (Coal)'!$V$6,Model!W$1,'Assumptions (Coal)'!$V$9,'Assumptions (Coal)'!$V$4*Model!$R$14*AVERAGE('Assumptions (Coal)'!$K$2:$P$2)/10^9),0)</f>
        <v>-1.2170729958932749E-4</v>
      </c>
      <c r="S95" s="91">
        <f>IF($R$14&gt;0,PPMT('Assumptions (Coal)'!$V$6,Model!X$1,'Assumptions (Coal)'!$V$9,'Assumptions (Coal)'!$V$4*Model!$R$14*AVERAGE('Assumptions (Coal)'!$K$2:$P$2)/10^9),0)</f>
        <v>-1.2748839631982053E-4</v>
      </c>
      <c r="T95" s="91">
        <f>IF($R$14&gt;0,PPMT('Assumptions (Coal)'!$V$6,Model!Y$1,'Assumptions (Coal)'!$V$9,'Assumptions (Coal)'!$V$4*Model!$R$14*AVERAGE('Assumptions (Coal)'!$K$2:$P$2)/10^9),0)</f>
        <v>-1.3354409514501202E-4</v>
      </c>
      <c r="U95" s="91">
        <f>IF($R$14&gt;0,PPMT('Assumptions (Coal)'!$V$6,Model!Z$1,'Assumptions (Coal)'!$V$9,'Assumptions (Coal)'!$V$4*Model!$R$14*AVERAGE('Assumptions (Coal)'!$K$2:$P$2)/10^9),0)</f>
        <v>-1.3988743966440007E-4</v>
      </c>
      <c r="V95" s="91">
        <f>IF($R$14&gt;0,PPMT('Assumptions (Coal)'!$V$6,Model!AA$1,'Assumptions (Coal)'!$V$9,'Assumptions (Coal)'!$V$4*Model!$R$14*AVERAGE('Assumptions (Coal)'!$K$2:$P$2)/10^9),0)</f>
        <v>-1.4653209304845907E-4</v>
      </c>
      <c r="W95" s="91">
        <f>IF($R$14&gt;0,PPMT('Assumptions (Coal)'!$V$6,Model!AB$1,'Assumptions (Coal)'!$V$9,'Assumptions (Coal)'!$V$4*Model!$R$14*AVERAGE('Assumptions (Coal)'!$K$2:$P$2)/10^9),0)</f>
        <v>-1.534923674682609E-4</v>
      </c>
      <c r="X95" s="91">
        <f>IF($R$14&gt;0,PPMT('Assumptions (Coal)'!$V$6,Model!AC$1,'Assumptions (Coal)'!$V$9,'Assumptions (Coal)'!$V$4*Model!$R$14*AVERAGE('Assumptions (Coal)'!$K$2:$P$2)/10^9),0)</f>
        <v>-1.6078325492300329E-4</v>
      </c>
      <c r="Y95" s="91">
        <f>IF($R$14&gt;0,PPMT('Assumptions (Coal)'!$V$6,Model!AD$1,'Assumptions (Coal)'!$V$9,'Assumptions (Coal)'!$V$4*Model!$R$14*AVERAGE('Assumptions (Coal)'!$K$2:$P$2)/10^9),0)</f>
        <v>-1.6842045953184594E-4</v>
      </c>
      <c r="Z95" s="91">
        <f>IF($R$14&gt;0,PPMT('Assumptions (Coal)'!$V$6,Model!AE$1,'Assumptions (Coal)'!$V$9,'Assumptions (Coal)'!$V$4*Model!$R$14*AVERAGE('Assumptions (Coal)'!$K$2:$P$2)/10^9),0)</f>
        <v>-1.7642043135960859E-4</v>
      </c>
      <c r="AA95" s="91">
        <f>IF($R$14&gt;0,PPMT('Assumptions (Coal)'!$V$6,Model!AF$1,'Assumptions (Coal)'!$V$9,'Assumptions (Coal)'!$V$4*Model!$R$14*AVERAGE('Assumptions (Coal)'!$K$2:$P$2)/10^9),0)</f>
        <v>-1.8480040184919004E-4</v>
      </c>
      <c r="AB95" s="91">
        <f>IF($R$14&gt;0,PPMT('Assumptions (Coal)'!$V$6,Model!AG$1,'Assumptions (Coal)'!$V$9,'Assumptions (Coal)'!$V$4*Model!$R$14*AVERAGE('Assumptions (Coal)'!$K$2:$P$2)/10^9),0)</f>
        <v>-1.9357842093702658E-4</v>
      </c>
      <c r="AC95" s="91">
        <f>IF($R$14&gt;0,PPMT('Assumptions (Coal)'!$V$6,Model!AH$1,'Assumptions (Coal)'!$V$9,'Assumptions (Coal)'!$V$4*Model!$R$14*AVERAGE('Assumptions (Coal)'!$K$2:$P$2)/10^9),0)</f>
        <v>-2.0277339593153534E-4</v>
      </c>
      <c r="AD95" s="91">
        <f>IF($R$14&gt;0,PPMT('Assumptions (Coal)'!$V$6,Model!AI$1,'Assumptions (Coal)'!$V$9,'Assumptions (Coal)'!$V$4*Model!$R$14*AVERAGE('Assumptions (Coal)'!$K$2:$P$2)/10^9),0)</f>
        <v>-2.1240513223828327E-4</v>
      </c>
      <c r="AE95" s="91">
        <f>IF($R$14&gt;0,PPMT('Assumptions (Coal)'!$V$6,Model!AJ$1,'Assumptions (Coal)'!$V$9,'Assumptions (Coal)'!$V$4*Model!$R$14*AVERAGE('Assumptions (Coal)'!$K$2:$P$2)/10^9),0)</f>
        <v>-2.2249437601960169E-4</v>
      </c>
      <c r="AF95" s="91">
        <f>IF($R$14&gt;0,PPMT('Assumptions (Coal)'!$V$6,Model!AK$1,'Assumptions (Coal)'!$V$9,'Assumptions (Coal)'!$V$4*Model!$R$14*AVERAGE('Assumptions (Coal)'!$K$2:$P$2)/10^9),0)</f>
        <v>-2.3306285888053277E-4</v>
      </c>
      <c r="AG95" s="91"/>
      <c r="AH95" s="91"/>
      <c r="AI95" s="91"/>
      <c r="AJ95" s="91"/>
      <c r="AK95" s="91"/>
      <c r="AL95" s="91"/>
      <c r="AM95" s="91"/>
      <c r="AN95" s="91"/>
      <c r="AO95" s="91"/>
      <c r="AP95" s="91"/>
      <c r="AU95" s="105"/>
      <c r="AV95" s="105"/>
      <c r="AW95" s="105"/>
      <c r="AX95" s="105"/>
      <c r="AY95" s="105"/>
      <c r="AZ95" s="105"/>
      <c r="BA95" s="105"/>
    </row>
    <row r="96" spans="1:53" ht="15.75" hidden="1" customHeight="1" outlineLevel="1">
      <c r="A96" s="98"/>
      <c r="B96" s="99"/>
      <c r="C96" s="105"/>
      <c r="D96" s="105"/>
      <c r="E96" s="105"/>
      <c r="F96" s="105"/>
      <c r="G96" s="105"/>
      <c r="H96" s="105"/>
      <c r="I96" s="105"/>
      <c r="J96" s="105"/>
      <c r="K96" s="105"/>
      <c r="L96" s="105"/>
      <c r="M96" s="105"/>
      <c r="N96" s="105"/>
      <c r="O96" s="105"/>
      <c r="P96" s="171"/>
      <c r="Q96" s="105"/>
      <c r="R96" s="91"/>
      <c r="S96" s="105">
        <f>IF($S$14&gt;0,PPMT('Assumptions (Coal)'!$V$6,Model!W$1,'Assumptions (Coal)'!$V$9,'Assumptions (Coal)'!$V$4*Model!$S$14*AVERAGE('Assumptions (Coal)'!$L$2:$Q$2)/10^9),0)</f>
        <v>0</v>
      </c>
      <c r="T96" s="105">
        <f>IF($S$14&gt;0,PPMT('Assumptions (Coal)'!$V$6,Model!X$1,'Assumptions (Coal)'!$V$9,'Assumptions (Coal)'!$V$4*Model!$S$14*AVERAGE('Assumptions (Coal)'!$L$2:$Q$2)/10^9),0)</f>
        <v>0</v>
      </c>
      <c r="U96" s="105">
        <f>IF($S$14&gt;0,PPMT('Assumptions (Coal)'!$V$6,Model!Y$1,'Assumptions (Coal)'!$V$9,'Assumptions (Coal)'!$V$4*Model!$S$14*AVERAGE('Assumptions (Coal)'!$L$2:$Q$2)/10^9),0)</f>
        <v>0</v>
      </c>
      <c r="V96" s="105">
        <f>IF($S$14&gt;0,PPMT('Assumptions (Coal)'!$V$6,Model!Z$1,'Assumptions (Coal)'!$V$9,'Assumptions (Coal)'!$V$4*Model!$S$14*AVERAGE('Assumptions (Coal)'!$L$2:$Q$2)/10^9),0)</f>
        <v>0</v>
      </c>
      <c r="W96" s="105">
        <f>IF($S$14&gt;0,PPMT('Assumptions (Coal)'!$V$6,Model!AA$1,'Assumptions (Coal)'!$V$9,'Assumptions (Coal)'!$V$4*Model!$S$14*AVERAGE('Assumptions (Coal)'!$L$2:$Q$2)/10^9),0)</f>
        <v>0</v>
      </c>
      <c r="X96" s="105">
        <f>IF($S$14&gt;0,PPMT('Assumptions (Coal)'!$V$6,Model!AB$1,'Assumptions (Coal)'!$V$9,'Assumptions (Coal)'!$V$4*Model!$S$14*AVERAGE('Assumptions (Coal)'!$L$2:$Q$2)/10^9),0)</f>
        <v>0</v>
      </c>
      <c r="Y96" s="105">
        <f>IF($S$14&gt;0,PPMT('Assumptions (Coal)'!$V$6,Model!AC$1,'Assumptions (Coal)'!$V$9,'Assumptions (Coal)'!$V$4*Model!$S$14*AVERAGE('Assumptions (Coal)'!$L$2:$Q$2)/10^9),0)</f>
        <v>0</v>
      </c>
      <c r="Z96" s="105">
        <f>IF($S$14&gt;0,PPMT('Assumptions (Coal)'!$V$6,Model!AD$1,'Assumptions (Coal)'!$V$9,'Assumptions (Coal)'!$V$4*Model!$S$14*AVERAGE('Assumptions (Coal)'!$L$2:$Q$2)/10^9),0)</f>
        <v>0</v>
      </c>
      <c r="AA96" s="105">
        <f>IF($S$14&gt;0,PPMT('Assumptions (Coal)'!$V$6,Model!AE$1,'Assumptions (Coal)'!$V$9,'Assumptions (Coal)'!$V$4*Model!$S$14*AVERAGE('Assumptions (Coal)'!$L$2:$Q$2)/10^9),0)</f>
        <v>0</v>
      </c>
      <c r="AB96" s="105">
        <f>IF($S$14&gt;0,PPMT('Assumptions (Coal)'!$V$6,Model!AF$1,'Assumptions (Coal)'!$V$9,'Assumptions (Coal)'!$V$4*Model!$S$14*AVERAGE('Assumptions (Coal)'!$L$2:$Q$2)/10^9),0)</f>
        <v>0</v>
      </c>
      <c r="AC96" s="105">
        <f>IF($S$14&gt;0,PPMT('Assumptions (Coal)'!$V$6,Model!AG$1,'Assumptions (Coal)'!$V$9,'Assumptions (Coal)'!$V$4*Model!$S$14*AVERAGE('Assumptions (Coal)'!$L$2:$Q$2)/10^9),0)</f>
        <v>0</v>
      </c>
      <c r="AD96" s="105">
        <f>IF($S$14&gt;0,PPMT('Assumptions (Coal)'!$V$6,Model!AH$1,'Assumptions (Coal)'!$V$9,'Assumptions (Coal)'!$V$4*Model!$S$14*AVERAGE('Assumptions (Coal)'!$L$2:$Q$2)/10^9),0)</f>
        <v>0</v>
      </c>
      <c r="AE96" s="105">
        <f>IF($S$14&gt;0,PPMT('Assumptions (Coal)'!$V$6,Model!AI$1,'Assumptions (Coal)'!$V$9,'Assumptions (Coal)'!$V$4*Model!$S$14*AVERAGE('Assumptions (Coal)'!$L$2:$Q$2)/10^9),0)</f>
        <v>0</v>
      </c>
      <c r="AF96" s="105">
        <f>IF($S$14&gt;0,PPMT('Assumptions (Coal)'!$V$6,Model!AJ$1,'Assumptions (Coal)'!$V$9,'Assumptions (Coal)'!$V$4*Model!$S$14*AVERAGE('Assumptions (Coal)'!$L$2:$Q$2)/10^9),0)</f>
        <v>0</v>
      </c>
      <c r="AG96" s="105">
        <f>IF($S$14&gt;0,PPMT('Assumptions (Coal)'!$V$6,Model!AK$1,'Assumptions (Coal)'!$V$9,'Assumptions (Coal)'!$V$4*Model!$S$14*AVERAGE('Assumptions (Coal)'!$L$2:$Q$2)/10^9),0)</f>
        <v>0</v>
      </c>
      <c r="AH96" s="105"/>
      <c r="AI96" s="105"/>
      <c r="AJ96" s="105"/>
      <c r="AK96" s="105"/>
      <c r="AL96" s="105"/>
      <c r="AM96" s="105"/>
      <c r="AN96" s="105"/>
      <c r="AO96" s="105"/>
      <c r="AP96" s="105"/>
      <c r="AQ96" s="105"/>
      <c r="AU96" s="105"/>
      <c r="AV96" s="105"/>
      <c r="AW96" s="105"/>
      <c r="AX96" s="105"/>
      <c r="AY96" s="105"/>
      <c r="AZ96" s="105"/>
      <c r="BA96" s="105"/>
    </row>
    <row r="97" spans="1:59" ht="15.75" hidden="1" customHeight="1" outlineLevel="1">
      <c r="A97" s="98"/>
      <c r="B97" s="99"/>
      <c r="C97" s="105"/>
      <c r="D97" s="105"/>
      <c r="E97" s="105"/>
      <c r="F97" s="105"/>
      <c r="G97" s="105"/>
      <c r="H97" s="105"/>
      <c r="I97" s="105"/>
      <c r="J97" s="105"/>
      <c r="K97" s="105"/>
      <c r="L97" s="105"/>
      <c r="M97" s="105"/>
      <c r="N97" s="105"/>
      <c r="O97" s="105"/>
      <c r="P97" s="171"/>
      <c r="Q97" s="105"/>
      <c r="R97" s="91"/>
      <c r="S97" s="91"/>
      <c r="T97" s="105">
        <f>IF($T$14&gt;0,PPMT('Assumptions (Coal)'!$V$6,Model!W$1,'Assumptions (Coal)'!$V$9,'Assumptions (Coal)'!$V$4*Model!$T$14*AVERAGE('Assumptions (Coal)'!$M$2:$R$2)/10^9),0)</f>
        <v>0</v>
      </c>
      <c r="U97" s="105">
        <f>IF($T$14&gt;0,PPMT('Assumptions (Coal)'!$V$6,Model!X$1,'Assumptions (Coal)'!$V$9,'Assumptions (Coal)'!$V$4*Model!$T$14*AVERAGE('Assumptions (Coal)'!$M$2:$R$2)/10^9),0)</f>
        <v>0</v>
      </c>
      <c r="V97" s="105">
        <f>IF($T$14&gt;0,PPMT('Assumptions (Coal)'!$V$6,Model!Y$1,'Assumptions (Coal)'!$V$9,'Assumptions (Coal)'!$V$4*Model!$T$14*AVERAGE('Assumptions (Coal)'!$M$2:$R$2)/10^9),0)</f>
        <v>0</v>
      </c>
      <c r="W97" s="105">
        <f>IF($T$14&gt;0,PPMT('Assumptions (Coal)'!$V$6,Model!Z$1,'Assumptions (Coal)'!$V$9,'Assumptions (Coal)'!$V$4*Model!$T$14*AVERAGE('Assumptions (Coal)'!$M$2:$R$2)/10^9),0)</f>
        <v>0</v>
      </c>
      <c r="X97" s="105">
        <f>IF($T$14&gt;0,PPMT('Assumptions (Coal)'!$V$6,Model!AA$1,'Assumptions (Coal)'!$V$9,'Assumptions (Coal)'!$V$4*Model!$T$14*AVERAGE('Assumptions (Coal)'!$M$2:$R$2)/10^9),0)</f>
        <v>0</v>
      </c>
      <c r="Y97" s="105">
        <f>IF($T$14&gt;0,PPMT('Assumptions (Coal)'!$V$6,Model!AB$1,'Assumptions (Coal)'!$V$9,'Assumptions (Coal)'!$V$4*Model!$T$14*AVERAGE('Assumptions (Coal)'!$M$2:$R$2)/10^9),0)</f>
        <v>0</v>
      </c>
      <c r="Z97" s="105">
        <f>IF($T$14&gt;0,PPMT('Assumptions (Coal)'!$V$6,Model!AC$1,'Assumptions (Coal)'!$V$9,'Assumptions (Coal)'!$V$4*Model!$T$14*AVERAGE('Assumptions (Coal)'!$M$2:$R$2)/10^9),0)</f>
        <v>0</v>
      </c>
      <c r="AA97" s="105">
        <f>IF($T$14&gt;0,PPMT('Assumptions (Coal)'!$V$6,Model!AD$1,'Assumptions (Coal)'!$V$9,'Assumptions (Coal)'!$V$4*Model!$T$14*AVERAGE('Assumptions (Coal)'!$M$2:$R$2)/10^9),0)</f>
        <v>0</v>
      </c>
      <c r="AB97" s="105">
        <f>IF($T$14&gt;0,PPMT('Assumptions (Coal)'!$V$6,Model!AE$1,'Assumptions (Coal)'!$V$9,'Assumptions (Coal)'!$V$4*Model!$T$14*AVERAGE('Assumptions (Coal)'!$M$2:$R$2)/10^9),0)</f>
        <v>0</v>
      </c>
      <c r="AC97" s="105">
        <f>IF($T$14&gt;0,PPMT('Assumptions (Coal)'!$V$6,Model!AF$1,'Assumptions (Coal)'!$V$9,'Assumptions (Coal)'!$V$4*Model!$T$14*AVERAGE('Assumptions (Coal)'!$M$2:$R$2)/10^9),0)</f>
        <v>0</v>
      </c>
      <c r="AD97" s="105">
        <f>IF($T$14&gt;0,PPMT('Assumptions (Coal)'!$V$6,Model!AG$1,'Assumptions (Coal)'!$V$9,'Assumptions (Coal)'!$V$4*Model!$T$14*AVERAGE('Assumptions (Coal)'!$M$2:$R$2)/10^9),0)</f>
        <v>0</v>
      </c>
      <c r="AE97" s="105">
        <f>IF($T$14&gt;0,PPMT('Assumptions (Coal)'!$V$6,Model!AH$1,'Assumptions (Coal)'!$V$9,'Assumptions (Coal)'!$V$4*Model!$T$14*AVERAGE('Assumptions (Coal)'!$M$2:$R$2)/10^9),0)</f>
        <v>0</v>
      </c>
      <c r="AF97" s="105">
        <f>IF($T$14&gt;0,PPMT('Assumptions (Coal)'!$V$6,Model!AI$1,'Assumptions (Coal)'!$V$9,'Assumptions (Coal)'!$V$4*Model!$T$14*AVERAGE('Assumptions (Coal)'!$M$2:$R$2)/10^9),0)</f>
        <v>0</v>
      </c>
      <c r="AG97" s="105">
        <f>IF($T$14&gt;0,PPMT('Assumptions (Coal)'!$V$6,Model!AJ$1,'Assumptions (Coal)'!$V$9,'Assumptions (Coal)'!$V$4*Model!$T$14*AVERAGE('Assumptions (Coal)'!$M$2:$R$2)/10^9),0)</f>
        <v>0</v>
      </c>
      <c r="AH97" s="105">
        <f>IF($T$14&gt;0,PPMT('Assumptions (Coal)'!$V$6,Model!AK$1,'Assumptions (Coal)'!$V$9,'Assumptions (Coal)'!$V$4*Model!$T$14*AVERAGE('Assumptions (Coal)'!$M$2:$R$2)/10^9),0)</f>
        <v>0</v>
      </c>
      <c r="AI97" s="105"/>
      <c r="AJ97" s="105"/>
      <c r="AK97" s="105"/>
      <c r="AL97" s="105"/>
      <c r="AM97" s="105"/>
      <c r="AN97" s="105"/>
      <c r="AO97" s="105"/>
      <c r="AP97" s="105"/>
      <c r="AQ97" s="105"/>
      <c r="AR97" s="105"/>
      <c r="AU97" s="105"/>
      <c r="AV97" s="105"/>
      <c r="AW97" s="105"/>
      <c r="AX97" s="105"/>
      <c r="AY97" s="105"/>
      <c r="AZ97" s="105"/>
      <c r="BA97" s="105"/>
    </row>
    <row r="98" spans="1:59" ht="15.75" hidden="1" customHeight="1" outlineLevel="1">
      <c r="A98" s="98"/>
      <c r="B98" s="99"/>
      <c r="C98" s="105"/>
      <c r="D98" s="105"/>
      <c r="E98" s="105"/>
      <c r="F98" s="105"/>
      <c r="G98" s="105"/>
      <c r="H98" s="105"/>
      <c r="I98" s="105"/>
      <c r="J98" s="105"/>
      <c r="K98" s="105"/>
      <c r="L98" s="105"/>
      <c r="M98" s="105"/>
      <c r="N98" s="105"/>
      <c r="O98" s="105"/>
      <c r="P98" s="171"/>
      <c r="Q98" s="105"/>
      <c r="R98" s="91"/>
      <c r="S98" s="91"/>
      <c r="T98" s="91"/>
      <c r="U98" s="105">
        <f>IF($U$14&gt;0,PPMT('Assumptions (Coal)'!$V$6,Model!W$1,'Assumptions (Coal)'!$V$9,'Assumptions (Coal)'!$V$4*Model!$U$14*AVERAGE('Assumptions (Coal)'!$N$2:$S$2)/10^9),0)</f>
        <v>-9.9802950895638539E-4</v>
      </c>
      <c r="V98" s="105">
        <f>IF($U$14&gt;0,PPMT('Assumptions (Coal)'!$V$6,Model!X$1,'Assumptions (Coal)'!$V$9,'Assumptions (Coal)'!$V$4*Model!$U$14*AVERAGE('Assumptions (Coal)'!$N$2:$S$2)/10^9),0)</f>
        <v>-1.0454359106318138E-3</v>
      </c>
      <c r="W98" s="105">
        <f>IF($U$14&gt;0,PPMT('Assumptions (Coal)'!$V$6,Model!Y$1,'Assumptions (Coal)'!$V$9,'Assumptions (Coal)'!$V$4*Model!$U$14*AVERAGE('Assumptions (Coal)'!$N$2:$S$2)/10^9),0)</f>
        <v>-1.0950941163868249E-3</v>
      </c>
      <c r="X98" s="105">
        <f>IF($U$14&gt;0,PPMT('Assumptions (Coal)'!$V$6,Model!Z$1,'Assumptions (Coal)'!$V$9,'Assumptions (Coal)'!$V$4*Model!$U$14*AVERAGE('Assumptions (Coal)'!$N$2:$S$2)/10^9),0)</f>
        <v>-1.1471110869151989E-3</v>
      </c>
      <c r="Y98" s="105">
        <f>IF($U$14&gt;0,PPMT('Assumptions (Coal)'!$V$6,Model!AA$1,'Assumptions (Coal)'!$V$9,'Assumptions (Coal)'!$V$4*Model!$U$14*AVERAGE('Assumptions (Coal)'!$N$2:$S$2)/10^9),0)</f>
        <v>-1.2015988635436709E-3</v>
      </c>
      <c r="Z98" s="105">
        <f>IF($U$14&gt;0,PPMT('Assumptions (Coal)'!$V$6,Model!AB$1,'Assumptions (Coal)'!$V$9,'Assumptions (Coal)'!$V$4*Model!$U$14*AVERAGE('Assumptions (Coal)'!$N$2:$S$2)/10^9),0)</f>
        <v>-1.2586748095619953E-3</v>
      </c>
      <c r="AA98" s="105">
        <f>IF($U$14&gt;0,PPMT('Assumptions (Coal)'!$V$6,Model!AC$1,'Assumptions (Coal)'!$V$9,'Assumptions (Coal)'!$V$4*Model!$U$14*AVERAGE('Assumptions (Coal)'!$N$2:$S$2)/10^9),0)</f>
        <v>-1.3184618630161901E-3</v>
      </c>
      <c r="AB98" s="105">
        <f>IF($U$14&gt;0,PPMT('Assumptions (Coal)'!$V$6,Model!AD$1,'Assumptions (Coal)'!$V$9,'Assumptions (Coal)'!$V$4*Model!$U$14*AVERAGE('Assumptions (Coal)'!$N$2:$S$2)/10^9),0)</f>
        <v>-1.3810888015094592E-3</v>
      </c>
      <c r="AC98" s="105">
        <f>IF($U$14&gt;0,PPMT('Assumptions (Coal)'!$V$6,Model!AE$1,'Assumptions (Coal)'!$V$9,'Assumptions (Coal)'!$V$4*Model!$U$14*AVERAGE('Assumptions (Coal)'!$N$2:$S$2)/10^9),0)</f>
        <v>-1.4466905195811583E-3</v>
      </c>
      <c r="AD98" s="105">
        <f>IF($U$14&gt;0,PPMT('Assumptions (Coal)'!$V$6,Model!AF$1,'Assumptions (Coal)'!$V$9,'Assumptions (Coal)'!$V$4*Model!$U$14*AVERAGE('Assumptions (Coal)'!$N$2:$S$2)/10^9),0)</f>
        <v>-1.5154083192612632E-3</v>
      </c>
      <c r="AE98" s="105">
        <f>IF($U$14&gt;0,PPMT('Assumptions (Coal)'!$V$6,Model!AG$1,'Assumptions (Coal)'!$V$9,'Assumptions (Coal)'!$V$4*Model!$U$14*AVERAGE('Assumptions (Coal)'!$N$2:$S$2)/10^9),0)</f>
        <v>-1.5873902144261734E-3</v>
      </c>
      <c r="AF98" s="105">
        <f>IF($U$14&gt;0,PPMT('Assumptions (Coal)'!$V$6,Model!AH$1,'Assumptions (Coal)'!$V$9,'Assumptions (Coal)'!$V$4*Model!$U$14*AVERAGE('Assumptions (Coal)'!$N$2:$S$2)/10^9),0)</f>
        <v>-1.6627912496114167E-3</v>
      </c>
      <c r="AG98" s="105">
        <f>IF($U$14&gt;0,PPMT('Assumptions (Coal)'!$V$6,Model!AI$1,'Assumptions (Coal)'!$V$9,'Assumptions (Coal)'!$V$4*Model!$U$14*AVERAGE('Assumptions (Coal)'!$N$2:$S$2)/10^9),0)</f>
        <v>-1.741773833967959E-3</v>
      </c>
      <c r="AH98" s="105">
        <f>IF($U$14&gt;0,PPMT('Assumptions (Coal)'!$V$6,Model!AJ$1,'Assumptions (Coal)'!$V$9,'Assumptions (Coal)'!$V$4*Model!$U$14*AVERAGE('Assumptions (Coal)'!$N$2:$S$2)/10^9),0)</f>
        <v>-1.8245080910814372E-3</v>
      </c>
      <c r="AI98" s="105">
        <f>IF($U$14&gt;0,PPMT('Assumptions (Coal)'!$V$6,Model!AK$1,'Assumptions (Coal)'!$V$9,'Assumptions (Coal)'!$V$4*Model!$U$14*AVERAGE('Assumptions (Coal)'!$N$2:$S$2)/10^9),0)</f>
        <v>-1.9111722254078053E-3</v>
      </c>
      <c r="AJ98" s="105"/>
      <c r="AK98" s="105"/>
      <c r="AL98" s="105"/>
      <c r="AM98" s="105"/>
      <c r="AN98" s="105"/>
      <c r="AO98" s="105"/>
      <c r="AP98" s="105"/>
      <c r="AQ98" s="105"/>
      <c r="AR98" s="105"/>
      <c r="AS98" s="105"/>
      <c r="AU98" s="105"/>
      <c r="AV98" s="105"/>
      <c r="AW98" s="105"/>
      <c r="AX98" s="105"/>
      <c r="AY98" s="105"/>
      <c r="AZ98" s="105"/>
      <c r="BA98" s="105"/>
    </row>
    <row r="99" spans="1:59" ht="15.75" hidden="1" customHeight="1" outlineLevel="1">
      <c r="A99" s="98"/>
      <c r="B99" s="99"/>
      <c r="C99" s="105"/>
      <c r="D99" s="105"/>
      <c r="E99" s="105"/>
      <c r="F99" s="105"/>
      <c r="G99" s="105"/>
      <c r="H99" s="105"/>
      <c r="I99" s="105"/>
      <c r="J99" s="105"/>
      <c r="K99" s="105"/>
      <c r="L99" s="105"/>
      <c r="M99" s="105"/>
      <c r="N99" s="105"/>
      <c r="O99" s="105"/>
      <c r="P99" s="171"/>
      <c r="Q99" s="105"/>
      <c r="R99" s="91"/>
      <c r="S99" s="91"/>
      <c r="T99" s="91"/>
      <c r="U99" s="105"/>
      <c r="V99" s="105">
        <f>IF($V$14&gt;0,PPMT('Assumptions (Coal)'!$V$6,Model!W$1,'Assumptions (Coal)'!$V$9,'Assumptions (Coal)'!$V$4*Model!$V$14*AVERAGE('Assumptions (Coal)'!$O$2:$T$2)/10^9),0)</f>
        <v>0</v>
      </c>
      <c r="W99" s="105">
        <f>IF($V$14&gt;0,PPMT('Assumptions (Coal)'!$V$6,Model!X$1,'Assumptions (Coal)'!$V$9,'Assumptions (Coal)'!$V$4*Model!$V$14*AVERAGE('Assumptions (Coal)'!$O$2:$T$2)/10^9),0)</f>
        <v>0</v>
      </c>
      <c r="X99" s="105">
        <f>IF($V$14&gt;0,PPMT('Assumptions (Coal)'!$V$6,Model!Y$1,'Assumptions (Coal)'!$V$9,'Assumptions (Coal)'!$V$4*Model!$V$14*AVERAGE('Assumptions (Coal)'!$O$2:$T$2)/10^9),0)</f>
        <v>0</v>
      </c>
      <c r="Y99" s="105">
        <f>IF($V$14&gt;0,PPMT('Assumptions (Coal)'!$V$6,Model!Z$1,'Assumptions (Coal)'!$V$9,'Assumptions (Coal)'!$V$4*Model!$V$14*AVERAGE('Assumptions (Coal)'!$O$2:$T$2)/10^9),0)</f>
        <v>0</v>
      </c>
      <c r="Z99" s="105">
        <f>IF($V$14&gt;0,PPMT('Assumptions (Coal)'!$V$6,Model!AA$1,'Assumptions (Coal)'!$V$9,'Assumptions (Coal)'!$V$4*Model!$V$14*AVERAGE('Assumptions (Coal)'!$O$2:$T$2)/10^9),0)</f>
        <v>0</v>
      </c>
      <c r="AA99" s="105">
        <f>IF($V$14&gt;0,PPMT('Assumptions (Coal)'!$V$6,Model!AB$1,'Assumptions (Coal)'!$V$9,'Assumptions (Coal)'!$V$4*Model!$V$14*AVERAGE('Assumptions (Coal)'!$O$2:$T$2)/10^9),0)</f>
        <v>0</v>
      </c>
      <c r="AB99" s="105">
        <f>IF($V$14&gt;0,PPMT('Assumptions (Coal)'!$V$6,Model!AC$1,'Assumptions (Coal)'!$V$9,'Assumptions (Coal)'!$V$4*Model!$V$14*AVERAGE('Assumptions (Coal)'!$O$2:$T$2)/10^9),0)</f>
        <v>0</v>
      </c>
      <c r="AC99" s="105">
        <f>IF($V$14&gt;0,PPMT('Assumptions (Coal)'!$V$6,Model!AD$1,'Assumptions (Coal)'!$V$9,'Assumptions (Coal)'!$V$4*Model!$V$14*AVERAGE('Assumptions (Coal)'!$O$2:$T$2)/10^9),0)</f>
        <v>0</v>
      </c>
      <c r="AD99" s="105">
        <f>IF($V$14&gt;0,PPMT('Assumptions (Coal)'!$V$6,Model!AE$1,'Assumptions (Coal)'!$V$9,'Assumptions (Coal)'!$V$4*Model!$V$14*AVERAGE('Assumptions (Coal)'!$O$2:$T$2)/10^9),0)</f>
        <v>0</v>
      </c>
      <c r="AE99" s="105">
        <f>IF($V$14&gt;0,PPMT('Assumptions (Coal)'!$V$6,Model!AF$1,'Assumptions (Coal)'!$V$9,'Assumptions (Coal)'!$V$4*Model!$V$14*AVERAGE('Assumptions (Coal)'!$O$2:$T$2)/10^9),0)</f>
        <v>0</v>
      </c>
      <c r="AF99" s="105">
        <f>IF($V$14&gt;0,PPMT('Assumptions (Coal)'!$V$6,Model!AG$1,'Assumptions (Coal)'!$V$9,'Assumptions (Coal)'!$V$4*Model!$V$14*AVERAGE('Assumptions (Coal)'!$O$2:$T$2)/10^9),0)</f>
        <v>0</v>
      </c>
      <c r="AG99" s="105">
        <f>IF($V$14&gt;0,PPMT('Assumptions (Coal)'!$V$6,Model!AH$1,'Assumptions (Coal)'!$V$9,'Assumptions (Coal)'!$V$4*Model!$V$14*AVERAGE('Assumptions (Coal)'!$O$2:$T$2)/10^9),0)</f>
        <v>0</v>
      </c>
      <c r="AH99" s="105">
        <f>IF($V$14&gt;0,PPMT('Assumptions (Coal)'!$V$6,Model!AI$1,'Assumptions (Coal)'!$V$9,'Assumptions (Coal)'!$V$4*Model!$V$14*AVERAGE('Assumptions (Coal)'!$O$2:$T$2)/10^9),0)</f>
        <v>0</v>
      </c>
      <c r="AI99" s="105">
        <f>IF($V$14&gt;0,PPMT('Assumptions (Coal)'!$V$6,Model!AJ$1,'Assumptions (Coal)'!$V$9,'Assumptions (Coal)'!$V$4*Model!$V$14*AVERAGE('Assumptions (Coal)'!$O$2:$T$2)/10^9),0)</f>
        <v>0</v>
      </c>
      <c r="AJ99" s="105">
        <f>IF($V$14&gt;0,PPMT('Assumptions (Coal)'!$V$6,Model!AK$1,'Assumptions (Coal)'!$V$9,'Assumptions (Coal)'!$V$4*Model!$V$14*AVERAGE('Assumptions (Coal)'!$O$2:$T$2)/10^9),0)</f>
        <v>0</v>
      </c>
      <c r="AK99" s="105"/>
      <c r="AL99" s="105"/>
      <c r="AM99" s="105"/>
      <c r="AN99" s="105"/>
      <c r="AO99" s="105"/>
      <c r="AP99" s="105"/>
      <c r="AQ99" s="105"/>
      <c r="AR99" s="105"/>
      <c r="AS99" s="105"/>
      <c r="AT99" s="105"/>
      <c r="AU99" s="105"/>
      <c r="AV99" s="105"/>
      <c r="AW99" s="105"/>
      <c r="AX99" s="105"/>
      <c r="AY99" s="105"/>
      <c r="AZ99" s="105"/>
      <c r="BA99" s="105"/>
    </row>
    <row r="100" spans="1:59" ht="15.75" hidden="1" customHeight="1" outlineLevel="1">
      <c r="A100" s="98"/>
      <c r="B100" s="99"/>
      <c r="C100" s="105"/>
      <c r="D100" s="105"/>
      <c r="E100" s="105"/>
      <c r="F100" s="105"/>
      <c r="G100" s="105"/>
      <c r="H100" s="105"/>
      <c r="I100" s="105"/>
      <c r="J100" s="105"/>
      <c r="K100" s="105"/>
      <c r="L100" s="105"/>
      <c r="M100" s="105"/>
      <c r="N100" s="105"/>
      <c r="O100" s="105"/>
      <c r="P100" s="105"/>
      <c r="Q100" s="105"/>
      <c r="R100" s="105"/>
      <c r="S100" s="105"/>
      <c r="T100" s="105"/>
      <c r="U100" s="105"/>
      <c r="V100" s="99"/>
      <c r="W100" s="105">
        <f>IF($W$14&gt;0,PPMT('Assumptions (Coal)'!$V$6,Model!W1,'Assumptions (Coal)'!$V$9,'Assumptions (Coal)'!$V$4*Model!$W$14*AVERAGE('Assumptions (Coal)'!$P$2:$U$2)/10^9),0)</f>
        <v>0</v>
      </c>
      <c r="X100" s="105">
        <f>IF($W$14&gt;0,PPMT('Assumptions (Coal)'!$V$6,Model!X1,'Assumptions (Coal)'!$V$9,'Assumptions (Coal)'!$V$4*Model!$W$14*AVERAGE('Assumptions (Coal)'!$P$2:$U$2)/10^9),0)</f>
        <v>0</v>
      </c>
      <c r="Y100" s="105">
        <f>IF($W$14&gt;0,PPMT('Assumptions (Coal)'!$V$6,Model!Y1,'Assumptions (Coal)'!$V$9,'Assumptions (Coal)'!$V$4*Model!$W$14*AVERAGE('Assumptions (Coal)'!$P$2:$U$2)/10^9),0)</f>
        <v>0</v>
      </c>
      <c r="Z100" s="105">
        <f>IF($W$14&gt;0,PPMT('Assumptions (Coal)'!$V$6,Model!Z1,'Assumptions (Coal)'!$V$9,'Assumptions (Coal)'!$V$4*Model!$W$14*AVERAGE('Assumptions (Coal)'!$P$2:$U$2)/10^9),0)</f>
        <v>0</v>
      </c>
      <c r="AA100" s="105">
        <f>IF($W$14&gt;0,PPMT('Assumptions (Coal)'!$V$6,Model!AA1,'Assumptions (Coal)'!$V$9,'Assumptions (Coal)'!$V$4*Model!$W$14*AVERAGE('Assumptions (Coal)'!$P$2:$U$2)/10^9),0)</f>
        <v>0</v>
      </c>
      <c r="AB100" s="105">
        <f>IF($W$14&gt;0,PPMT('Assumptions (Coal)'!$V$6,Model!AB1,'Assumptions (Coal)'!$V$9,'Assumptions (Coal)'!$V$4*Model!$W$14*AVERAGE('Assumptions (Coal)'!$P$2:$U$2)/10^9),0)</f>
        <v>0</v>
      </c>
      <c r="AC100" s="105">
        <f>IF($W$14&gt;0,PPMT('Assumptions (Coal)'!$V$6,Model!AC1,'Assumptions (Coal)'!$V$9,'Assumptions (Coal)'!$V$4*Model!$W$14*AVERAGE('Assumptions (Coal)'!$P$2:$U$2)/10^9),0)</f>
        <v>0</v>
      </c>
      <c r="AD100" s="105">
        <f>IF($W$14&gt;0,PPMT('Assumptions (Coal)'!$V$6,Model!AD1,'Assumptions (Coal)'!$V$9,'Assumptions (Coal)'!$V$4*Model!$W$14*AVERAGE('Assumptions (Coal)'!$P$2:$U$2)/10^9),0)</f>
        <v>0</v>
      </c>
      <c r="AE100" s="105">
        <f>IF($W$14&gt;0,PPMT('Assumptions (Coal)'!$V$6,Model!AE1,'Assumptions (Coal)'!$V$9,'Assumptions (Coal)'!$V$4*Model!$W$14*AVERAGE('Assumptions (Coal)'!$P$2:$U$2)/10^9),0)</f>
        <v>0</v>
      </c>
      <c r="AF100" s="105">
        <f>IF($W$14&gt;0,PPMT('Assumptions (Coal)'!$V$6,Model!AF1,'Assumptions (Coal)'!$V$9,'Assumptions (Coal)'!$V$4*Model!$W$14*AVERAGE('Assumptions (Coal)'!$P$2:$U$2)/10^9),0)</f>
        <v>0</v>
      </c>
      <c r="AG100" s="105">
        <f>IF($W$14&gt;0,PPMT('Assumptions (Coal)'!$V$6,Model!AG1,'Assumptions (Coal)'!$V$9,'Assumptions (Coal)'!$V$4*Model!$W$14*AVERAGE('Assumptions (Coal)'!$P$2:$U$2)/10^9),0)</f>
        <v>0</v>
      </c>
      <c r="AH100" s="105">
        <f>IF($W$14&gt;0,PPMT('Assumptions (Coal)'!$V$6,Model!AH1,'Assumptions (Coal)'!$V$9,'Assumptions (Coal)'!$V$4*Model!$W$14*AVERAGE('Assumptions (Coal)'!$P$2:$U$2)/10^9),0)</f>
        <v>0</v>
      </c>
      <c r="AI100" s="105">
        <f>IF($W$14&gt;0,PPMT('Assumptions (Coal)'!$V$6,Model!AI1,'Assumptions (Coal)'!$V$9,'Assumptions (Coal)'!$V$4*Model!$W$14*AVERAGE('Assumptions (Coal)'!$P$2:$U$2)/10^9),0)</f>
        <v>0</v>
      </c>
      <c r="AJ100" s="105">
        <f>IF($W$14&gt;0,PPMT('Assumptions (Coal)'!$V$6,Model!AJ1,'Assumptions (Coal)'!$V$9,'Assumptions (Coal)'!$V$4*Model!$W$14*AVERAGE('Assumptions (Coal)'!$P$2:$U$2)/10^9),0)</f>
        <v>0</v>
      </c>
      <c r="AK100" s="105">
        <f>IF($W$14&gt;0,PPMT('Assumptions (Coal)'!$V$6,Model!AK1,'Assumptions (Coal)'!$V$9,'Assumptions (Coal)'!$V$4*Model!$W$14*AVERAGE('Assumptions (Coal)'!$P$2:$U$2)/10^9),0)</f>
        <v>0</v>
      </c>
      <c r="AL100" s="105"/>
      <c r="AM100" s="105"/>
      <c r="AN100" s="105"/>
      <c r="AO100" s="105"/>
      <c r="AP100" s="105"/>
      <c r="AQ100" s="105"/>
      <c r="AR100" s="105"/>
      <c r="AS100" s="105"/>
      <c r="AT100" s="105"/>
      <c r="AU100" s="105"/>
      <c r="AV100" s="105"/>
      <c r="AW100" s="105"/>
      <c r="AX100" s="105"/>
      <c r="AY100" s="105"/>
      <c r="AZ100" s="105"/>
      <c r="BA100" s="105"/>
    </row>
    <row r="101" spans="1:59" ht="15.75" hidden="1" customHeight="1" outlineLevel="1">
      <c r="A101" s="98"/>
      <c r="B101" s="99"/>
      <c r="C101" s="105"/>
      <c r="D101" s="105"/>
      <c r="E101" s="105"/>
      <c r="F101" s="105"/>
      <c r="G101" s="105"/>
      <c r="H101" s="105"/>
      <c r="I101" s="105"/>
      <c r="J101" s="105"/>
      <c r="K101" s="105"/>
      <c r="L101" s="105"/>
      <c r="M101" s="105"/>
      <c r="N101" s="105"/>
      <c r="O101" s="105"/>
      <c r="P101" s="105"/>
      <c r="Q101" s="105"/>
      <c r="R101" s="105"/>
      <c r="S101" s="105"/>
      <c r="T101" s="105"/>
      <c r="U101" s="105"/>
      <c r="V101" s="99"/>
      <c r="W101" s="105"/>
      <c r="X101" s="105">
        <f>IF($X$14&gt;0,PPMT('Assumptions (Coal)'!$V$6,Model!W1,'Assumptions (Coal)'!$V$9,'Assumptions (Coal)'!$V$4*Model!$X$14*AVERAGE('Assumptions (Coal)'!$Q$2:$V$2)/10^9),0)</f>
        <v>-0.21727944209017827</v>
      </c>
      <c r="Y101" s="105">
        <f>IF($X$14&gt;0,PPMT('Assumptions (Coal)'!$V$6,Model!X1,'Assumptions (Coal)'!$V$9,'Assumptions (Coal)'!$V$4*Model!$X$14*AVERAGE('Assumptions (Coal)'!$Q$2:$V$2)/10^9),0)</f>
        <v>-0.22760021558946175</v>
      </c>
      <c r="Z101" s="105">
        <f>IF($X$14&gt;0,PPMT('Assumptions (Coal)'!$V$6,Model!Y1,'Assumptions (Coal)'!$V$9,'Assumptions (Coal)'!$V$4*Model!$X$14*AVERAGE('Assumptions (Coal)'!$Q$2:$V$2)/10^9),0)</f>
        <v>-0.23841122582996122</v>
      </c>
      <c r="AA101" s="105">
        <f>IF($X$14&gt;0,PPMT('Assumptions (Coal)'!$V$6,Model!Z1,'Assumptions (Coal)'!$V$9,'Assumptions (Coal)'!$V$4*Model!$X$14*AVERAGE('Assumptions (Coal)'!$Q$2:$V$2)/10^9),0)</f>
        <v>-0.24973575905688433</v>
      </c>
      <c r="AB101" s="105">
        <f>IF($X$14&gt;0,PPMT('Assumptions (Coal)'!$V$6,Model!AA1,'Assumptions (Coal)'!$V$9,'Assumptions (Coal)'!$V$4*Model!$X$14*AVERAGE('Assumptions (Coal)'!$Q$2:$V$2)/10^9),0)</f>
        <v>-0.26159820761208635</v>
      </c>
      <c r="AC101" s="105">
        <f>IF($X$14&gt;0,PPMT('Assumptions (Coal)'!$V$6,Model!AB1,'Assumptions (Coal)'!$V$9,'Assumptions (Coal)'!$V$4*Model!$X$14*AVERAGE('Assumptions (Coal)'!$Q$2:$V$2)/10^9),0)</f>
        <v>-0.27402412247366043</v>
      </c>
      <c r="AD101" s="105">
        <f>IF($X$14&gt;0,PPMT('Assumptions (Coal)'!$V$6,Model!AC1,'Assumptions (Coal)'!$V$9,'Assumptions (Coal)'!$V$4*Model!$X$14*AVERAGE('Assumptions (Coal)'!$Q$2:$V$2)/10^9),0)</f>
        <v>-0.28704026829115931</v>
      </c>
      <c r="AE101" s="105">
        <f>IF($X$14&gt;0,PPMT('Assumptions (Coal)'!$V$6,Model!AD1,'Assumptions (Coal)'!$V$9,'Assumptions (Coal)'!$V$4*Model!$X$14*AVERAGE('Assumptions (Coal)'!$Q$2:$V$2)/10^9),0)</f>
        <v>-0.3006746810349894</v>
      </c>
      <c r="AF101" s="105">
        <f>IF($X$14&gt;0,PPMT('Assumptions (Coal)'!$V$6,Model!AE1,'Assumptions (Coal)'!$V$9,'Assumptions (Coal)'!$V$4*Model!$X$14*AVERAGE('Assumptions (Coal)'!$Q$2:$V$2)/10^9),0)</f>
        <v>-0.31495672838415134</v>
      </c>
      <c r="AG101" s="105">
        <f>IF($X$14&gt;0,PPMT('Assumptions (Coal)'!$V$6,Model!AF1,'Assumptions (Coal)'!$V$9,'Assumptions (Coal)'!$V$4*Model!$X$14*AVERAGE('Assumptions (Coal)'!$Q$2:$V$2)/10^9),0)</f>
        <v>-0.32991717298239859</v>
      </c>
      <c r="AH101" s="105">
        <f>IF($X$14&gt;0,PPMT('Assumptions (Coal)'!$V$6,Model!AG1,'Assumptions (Coal)'!$V$9,'Assumptions (Coal)'!$V$4*Model!$X$14*AVERAGE('Assumptions (Coal)'!$Q$2:$V$2)/10^9),0)</f>
        <v>-0.34558823869906252</v>
      </c>
      <c r="AI101" s="105">
        <f>IF($X$14&gt;0,PPMT('Assumptions (Coal)'!$V$6,Model!AH1,'Assumptions (Coal)'!$V$9,'Assumptions (Coal)'!$V$4*Model!$X$14*AVERAGE('Assumptions (Coal)'!$Q$2:$V$2)/10^9),0)</f>
        <v>-0.36200368003726796</v>
      </c>
      <c r="AJ101" s="105">
        <f>IF($X$14&gt;0,PPMT('Assumptions (Coal)'!$V$6,Model!AI1,'Assumptions (Coal)'!$V$9,'Assumptions (Coal)'!$V$4*Model!$X$14*AVERAGE('Assumptions (Coal)'!$Q$2:$V$2)/10^9),0)</f>
        <v>-0.37919885483903826</v>
      </c>
      <c r="AK101" s="105">
        <f>IF($X$14&gt;0,PPMT('Assumptions (Coal)'!$V$6,Model!AJ1,'Assumptions (Coal)'!$V$9,'Assumptions (Coal)'!$V$4*Model!$X$14*AVERAGE('Assumptions (Coal)'!$Q$2:$V$2)/10^9),0)</f>
        <v>-0.39721080044389256</v>
      </c>
      <c r="AL101" s="105">
        <f>IF($X$14&gt;0,PPMT('Assumptions (Coal)'!$V$6,Model!AK1,'Assumptions (Coal)'!$V$9,'Assumptions (Coal)'!$V$4*Model!$X$14*AVERAGE('Assumptions (Coal)'!$Q$2:$V$2)/10^9),0)</f>
        <v>-0.41607831346497742</v>
      </c>
      <c r="AM101" s="105"/>
      <c r="AN101" s="105"/>
      <c r="AO101" s="105"/>
      <c r="AP101" s="105"/>
      <c r="AQ101" s="105"/>
      <c r="AR101" s="105"/>
      <c r="AS101" s="105"/>
      <c r="AT101" s="105"/>
      <c r="AU101" s="105"/>
      <c r="AV101" s="105"/>
      <c r="AW101" s="105"/>
      <c r="AX101" s="105"/>
      <c r="AY101" s="105"/>
      <c r="AZ101" s="105"/>
      <c r="BA101" s="105"/>
    </row>
    <row r="102" spans="1:59" ht="15.75" hidden="1" customHeight="1" outlineLevel="1">
      <c r="A102" s="98"/>
      <c r="B102" s="99"/>
      <c r="C102" s="105"/>
      <c r="D102" s="105"/>
      <c r="E102" s="105"/>
      <c r="F102" s="105"/>
      <c r="G102" s="105"/>
      <c r="H102" s="105"/>
      <c r="I102" s="105"/>
      <c r="J102" s="105"/>
      <c r="K102" s="105"/>
      <c r="L102" s="105"/>
      <c r="M102" s="105"/>
      <c r="N102" s="105"/>
      <c r="O102" s="105"/>
      <c r="P102" s="105"/>
      <c r="Q102" s="105"/>
      <c r="R102" s="105"/>
      <c r="S102" s="105"/>
      <c r="T102" s="105"/>
      <c r="U102" s="105"/>
      <c r="V102" s="99"/>
      <c r="W102" s="105"/>
      <c r="X102" s="105"/>
      <c r="Y102" s="105">
        <f>IF($Y$14&gt;0,PPMT('Assumptions (Coal)'!$V$6,Model!W1,'Assumptions (Coal)'!$V$9,'Assumptions (Coal)'!$V$4*Model!$Y$14*AVERAGE('Assumptions (Coal)'!$R$2:$W$2)/10^9),0)</f>
        <v>0</v>
      </c>
      <c r="Z102" s="105">
        <f>IF($Y$14&gt;0,PPMT('Assumptions (Coal)'!$V$6,Model!X1,'Assumptions (Coal)'!$V$9,'Assumptions (Coal)'!$V$4*Model!$Y$14*AVERAGE('Assumptions (Coal)'!$R$2:$W$2)/10^9),0)</f>
        <v>0</v>
      </c>
      <c r="AA102" s="105">
        <f>IF($Y$14&gt;0,PPMT('Assumptions (Coal)'!$V$6,Model!Y1,'Assumptions (Coal)'!$V$9,'Assumptions (Coal)'!$V$4*Model!$Y$14*AVERAGE('Assumptions (Coal)'!$R$2:$W$2)/10^9),0)</f>
        <v>0</v>
      </c>
      <c r="AB102" s="105">
        <f>IF($Y$14&gt;0,PPMT('Assumptions (Coal)'!$V$6,Model!Z1,'Assumptions (Coal)'!$V$9,'Assumptions (Coal)'!$V$4*Model!$Y$14*AVERAGE('Assumptions (Coal)'!$R$2:$W$2)/10^9),0)</f>
        <v>0</v>
      </c>
      <c r="AC102" s="105">
        <f>IF($Y$14&gt;0,PPMT('Assumptions (Coal)'!$V$6,Model!AA1,'Assumptions (Coal)'!$V$9,'Assumptions (Coal)'!$V$4*Model!$Y$14*AVERAGE('Assumptions (Coal)'!$R$2:$W$2)/10^9),0)</f>
        <v>0</v>
      </c>
      <c r="AD102" s="105">
        <f>IF($Y$14&gt;0,PPMT('Assumptions (Coal)'!$V$6,Model!AB1,'Assumptions (Coal)'!$V$9,'Assumptions (Coal)'!$V$4*Model!$Y$14*AVERAGE('Assumptions (Coal)'!$R$2:$W$2)/10^9),0)</f>
        <v>0</v>
      </c>
      <c r="AE102" s="105">
        <f>IF($Y$14&gt;0,PPMT('Assumptions (Coal)'!$V$6,Model!AC1,'Assumptions (Coal)'!$V$9,'Assumptions (Coal)'!$V$4*Model!$Y$14*AVERAGE('Assumptions (Coal)'!$R$2:$W$2)/10^9),0)</f>
        <v>0</v>
      </c>
      <c r="AF102" s="105">
        <f>IF($Y$14&gt;0,PPMT('Assumptions (Coal)'!$V$6,Model!AD1,'Assumptions (Coal)'!$V$9,'Assumptions (Coal)'!$V$4*Model!$Y$14*AVERAGE('Assumptions (Coal)'!$R$2:$W$2)/10^9),0)</f>
        <v>0</v>
      </c>
      <c r="AG102" s="105">
        <f>IF($Y$14&gt;0,PPMT('Assumptions (Coal)'!$V$6,Model!AE1,'Assumptions (Coal)'!$V$9,'Assumptions (Coal)'!$V$4*Model!$Y$14*AVERAGE('Assumptions (Coal)'!$R$2:$W$2)/10^9),0)</f>
        <v>0</v>
      </c>
      <c r="AH102" s="105">
        <f>IF($Y$14&gt;0,PPMT('Assumptions (Coal)'!$V$6,Model!AF1,'Assumptions (Coal)'!$V$9,'Assumptions (Coal)'!$V$4*Model!$Y$14*AVERAGE('Assumptions (Coal)'!$R$2:$W$2)/10^9),0)</f>
        <v>0</v>
      </c>
      <c r="AI102" s="105">
        <f>IF($Y$14&gt;0,PPMT('Assumptions (Coal)'!$V$6,Model!AG1,'Assumptions (Coal)'!$V$9,'Assumptions (Coal)'!$V$4*Model!$Y$14*AVERAGE('Assumptions (Coal)'!$R$2:$W$2)/10^9),0)</f>
        <v>0</v>
      </c>
      <c r="AJ102" s="105">
        <f>IF($Y$14&gt;0,PPMT('Assumptions (Coal)'!$V$6,Model!AH1,'Assumptions (Coal)'!$V$9,'Assumptions (Coal)'!$V$4*Model!$Y$14*AVERAGE('Assumptions (Coal)'!$R$2:$W$2)/10^9),0)</f>
        <v>0</v>
      </c>
      <c r="AK102" s="105">
        <f>IF($Y$14&gt;0,PPMT('Assumptions (Coal)'!$V$6,Model!AI1,'Assumptions (Coal)'!$V$9,'Assumptions (Coal)'!$V$4*Model!$Y$14*AVERAGE('Assumptions (Coal)'!$R$2:$W$2)/10^9),0)</f>
        <v>0</v>
      </c>
      <c r="AL102" s="105">
        <f>IF($Y$14&gt;0,PPMT('Assumptions (Coal)'!$V$6,Model!AJ1,'Assumptions (Coal)'!$V$9,'Assumptions (Coal)'!$V$4*Model!$Y$14*AVERAGE('Assumptions (Coal)'!$R$2:$W$2)/10^9),0)</f>
        <v>0</v>
      </c>
      <c r="AM102" s="105">
        <f>IF($Y$14&gt;0,PPMT('Assumptions (Coal)'!$V$6,Model!AK1,'Assumptions (Coal)'!$V$9,'Assumptions (Coal)'!$V$4*Model!$Y$14*AVERAGE('Assumptions (Coal)'!$R$2:$W$2)/10^9),0)</f>
        <v>0</v>
      </c>
      <c r="AN102" s="105"/>
      <c r="AO102" s="105"/>
      <c r="AP102" s="105"/>
      <c r="AQ102" s="105"/>
      <c r="AR102" s="105"/>
      <c r="AS102" s="105"/>
      <c r="AT102" s="105"/>
      <c r="AU102" s="105"/>
      <c r="AV102" s="105"/>
      <c r="AW102" s="105"/>
      <c r="AX102" s="105"/>
      <c r="AY102" s="105"/>
      <c r="AZ102" s="105"/>
      <c r="BA102" s="105"/>
    </row>
    <row r="103" spans="1:59" ht="15.75" hidden="1" customHeight="1" outlineLevel="1">
      <c r="A103" s="98"/>
      <c r="B103" s="99"/>
      <c r="C103" s="105"/>
      <c r="D103" s="105"/>
      <c r="E103" s="105"/>
      <c r="F103" s="105"/>
      <c r="G103" s="105"/>
      <c r="H103" s="105"/>
      <c r="I103" s="105"/>
      <c r="J103" s="105"/>
      <c r="K103" s="105"/>
      <c r="L103" s="105"/>
      <c r="M103" s="105"/>
      <c r="N103" s="105"/>
      <c r="O103" s="105"/>
      <c r="P103" s="105"/>
      <c r="Q103" s="105"/>
      <c r="R103" s="105"/>
      <c r="S103" s="105"/>
      <c r="T103" s="105"/>
      <c r="U103" s="105"/>
      <c r="V103" s="99"/>
      <c r="W103" s="105"/>
      <c r="X103" s="105"/>
      <c r="Y103" s="105"/>
      <c r="Z103" s="105">
        <f>IF($Z$14&gt;0,PPMT('Assumptions (Coal)'!$V$6,Model!W1,'Assumptions (Coal)'!$V$9,'Assumptions (Coal)'!$V$4*Model!$Z$14*AVERAGE('Assumptions (Coal)'!$S$2:$X$2)/10^9),0)</f>
        <v>0</v>
      </c>
      <c r="AA103" s="105">
        <f>IF($Z$14&gt;0,PPMT('Assumptions (Coal)'!$V$6,Model!X1,'Assumptions (Coal)'!$V$9,'Assumptions (Coal)'!$V$4*Model!$Z$14*AVERAGE('Assumptions (Coal)'!$S$2:$X$2)/10^9),0)</f>
        <v>0</v>
      </c>
      <c r="AB103" s="105">
        <f>IF($Z$14&gt;0,PPMT('Assumptions (Coal)'!$V$6,Model!Y1,'Assumptions (Coal)'!$V$9,'Assumptions (Coal)'!$V$4*Model!$Z$14*AVERAGE('Assumptions (Coal)'!$S$2:$X$2)/10^9),0)</f>
        <v>0</v>
      </c>
      <c r="AC103" s="105">
        <f>IF($Z$14&gt;0,PPMT('Assumptions (Coal)'!$V$6,Model!Z1,'Assumptions (Coal)'!$V$9,'Assumptions (Coal)'!$V$4*Model!$Z$14*AVERAGE('Assumptions (Coal)'!$S$2:$X$2)/10^9),0)</f>
        <v>0</v>
      </c>
      <c r="AD103" s="105">
        <f>IF($Z$14&gt;0,PPMT('Assumptions (Coal)'!$V$6,Model!AA1,'Assumptions (Coal)'!$V$9,'Assumptions (Coal)'!$V$4*Model!$Z$14*AVERAGE('Assumptions (Coal)'!$S$2:$X$2)/10^9),0)</f>
        <v>0</v>
      </c>
      <c r="AE103" s="105">
        <f>IF($Z$14&gt;0,PPMT('Assumptions (Coal)'!$V$6,Model!AB1,'Assumptions (Coal)'!$V$9,'Assumptions (Coal)'!$V$4*Model!$Z$14*AVERAGE('Assumptions (Coal)'!$S$2:$X$2)/10^9),0)</f>
        <v>0</v>
      </c>
      <c r="AF103" s="105">
        <f>IF($Z$14&gt;0,PPMT('Assumptions (Coal)'!$V$6,Model!AC1,'Assumptions (Coal)'!$V$9,'Assumptions (Coal)'!$V$4*Model!$Z$14*AVERAGE('Assumptions (Coal)'!$S$2:$X$2)/10^9),0)</f>
        <v>0</v>
      </c>
      <c r="AG103" s="105">
        <f>IF($Z$14&gt;0,PPMT('Assumptions (Coal)'!$V$6,Model!AD1,'Assumptions (Coal)'!$V$9,'Assumptions (Coal)'!$V$4*Model!$Z$14*AVERAGE('Assumptions (Coal)'!$S$2:$X$2)/10^9),0)</f>
        <v>0</v>
      </c>
      <c r="AH103" s="105">
        <f>IF($Z$14&gt;0,PPMT('Assumptions (Coal)'!$V$6,Model!AE1,'Assumptions (Coal)'!$V$9,'Assumptions (Coal)'!$V$4*Model!$Z$14*AVERAGE('Assumptions (Coal)'!$S$2:$X$2)/10^9),0)</f>
        <v>0</v>
      </c>
      <c r="AI103" s="105">
        <f>IF($Z$14&gt;0,PPMT('Assumptions (Coal)'!$V$6,Model!AF1,'Assumptions (Coal)'!$V$9,'Assumptions (Coal)'!$V$4*Model!$Z$14*AVERAGE('Assumptions (Coal)'!$S$2:$X$2)/10^9),0)</f>
        <v>0</v>
      </c>
      <c r="AJ103" s="105">
        <f>IF($Z$14&gt;0,PPMT('Assumptions (Coal)'!$V$6,Model!AG1,'Assumptions (Coal)'!$V$9,'Assumptions (Coal)'!$V$4*Model!$Z$14*AVERAGE('Assumptions (Coal)'!$S$2:$X$2)/10^9),0)</f>
        <v>0</v>
      </c>
      <c r="AK103" s="105">
        <f>IF($Z$14&gt;0,PPMT('Assumptions (Coal)'!$V$6,Model!AH1,'Assumptions (Coal)'!$V$9,'Assumptions (Coal)'!$V$4*Model!$Z$14*AVERAGE('Assumptions (Coal)'!$S$2:$X$2)/10^9),0)</f>
        <v>0</v>
      </c>
      <c r="AL103" s="105">
        <f>IF($Z$14&gt;0,PPMT('Assumptions (Coal)'!$V$6,Model!AI1,'Assumptions (Coal)'!$V$9,'Assumptions (Coal)'!$V$4*Model!$Z$14*AVERAGE('Assumptions (Coal)'!$S$2:$X$2)/10^9),0)</f>
        <v>0</v>
      </c>
      <c r="AM103" s="105">
        <f>IF($Z$14&gt;0,PPMT('Assumptions (Coal)'!$V$6,Model!AJ1,'Assumptions (Coal)'!$V$9,'Assumptions (Coal)'!$V$4*Model!$Z$14*AVERAGE('Assumptions (Coal)'!$S$2:$X$2)/10^9),0)</f>
        <v>0</v>
      </c>
      <c r="AN103" s="105">
        <f>IF($Z$14&gt;0,PPMT('Assumptions (Coal)'!$V$6,Model!AK1,'Assumptions (Coal)'!$V$9,'Assumptions (Coal)'!$V$4*Model!$Z$14*AVERAGE('Assumptions (Coal)'!$S$2:$X$2)/10^9),0)</f>
        <v>0</v>
      </c>
      <c r="AO103" s="105"/>
      <c r="AP103" s="105"/>
      <c r="AQ103" s="105"/>
      <c r="AR103" s="105"/>
      <c r="AS103" s="105"/>
      <c r="AT103" s="105"/>
      <c r="AU103" s="105"/>
      <c r="AV103" s="105"/>
      <c r="AW103" s="105"/>
      <c r="AX103" s="105"/>
      <c r="AY103" s="105"/>
      <c r="AZ103" s="105"/>
      <c r="BA103" s="105"/>
    </row>
    <row r="104" spans="1:59" ht="15.75" hidden="1" customHeight="1" outlineLevel="1">
      <c r="A104" s="98"/>
      <c r="B104" s="99"/>
      <c r="C104" s="105"/>
      <c r="D104" s="105"/>
      <c r="E104" s="105"/>
      <c r="F104" s="105"/>
      <c r="G104" s="105"/>
      <c r="H104" s="105"/>
      <c r="I104" s="105"/>
      <c r="J104" s="105"/>
      <c r="K104" s="105"/>
      <c r="L104" s="105"/>
      <c r="M104" s="105"/>
      <c r="N104" s="105"/>
      <c r="O104" s="105"/>
      <c r="P104" s="105"/>
      <c r="Q104" s="105"/>
      <c r="R104" s="105"/>
      <c r="S104" s="105"/>
      <c r="T104" s="105"/>
      <c r="U104" s="105"/>
      <c r="V104" s="99"/>
      <c r="W104" s="105"/>
      <c r="X104" s="105"/>
      <c r="Y104" s="105"/>
      <c r="Z104" s="105"/>
      <c r="AA104" s="105">
        <f>IF($AA$14&gt;0,PPMT('Assumptions (Coal)'!$V$6,Model!W1,'Assumptions (Coal)'!$V$9,'Assumptions (Coal)'!$V$4*Model!$AA$14*AVERAGE('Assumptions (Coal)'!$T$2:$Y$2)/10^9),0)</f>
        <v>0</v>
      </c>
      <c r="AB104" s="105">
        <f>IF($AA$14&gt;0,PPMT('Assumptions (Coal)'!$V$6,Model!X1,'Assumptions (Coal)'!$V$9,'Assumptions (Coal)'!$V$4*Model!$AA$14*AVERAGE('Assumptions (Coal)'!$T$2:$Y$2)/10^9),0)</f>
        <v>0</v>
      </c>
      <c r="AC104" s="105">
        <f>IF($AA$14&gt;0,PPMT('Assumptions (Coal)'!$V$6,Model!Y1,'Assumptions (Coal)'!$V$9,'Assumptions (Coal)'!$V$4*Model!$AA$14*AVERAGE('Assumptions (Coal)'!$T$2:$Y$2)/10^9),0)</f>
        <v>0</v>
      </c>
      <c r="AD104" s="105">
        <f>IF($AA$14&gt;0,PPMT('Assumptions (Coal)'!$V$6,Model!Z1,'Assumptions (Coal)'!$V$9,'Assumptions (Coal)'!$V$4*Model!$AA$14*AVERAGE('Assumptions (Coal)'!$T$2:$Y$2)/10^9),0)</f>
        <v>0</v>
      </c>
      <c r="AE104" s="105">
        <f>IF($AA$14&gt;0,PPMT('Assumptions (Coal)'!$V$6,Model!AA1,'Assumptions (Coal)'!$V$9,'Assumptions (Coal)'!$V$4*Model!$AA$14*AVERAGE('Assumptions (Coal)'!$T$2:$Y$2)/10^9),0)</f>
        <v>0</v>
      </c>
      <c r="AF104" s="105">
        <f>IF($AA$14&gt;0,PPMT('Assumptions (Coal)'!$V$6,Model!AB1,'Assumptions (Coal)'!$V$9,'Assumptions (Coal)'!$V$4*Model!$AA$14*AVERAGE('Assumptions (Coal)'!$T$2:$Y$2)/10^9),0)</f>
        <v>0</v>
      </c>
      <c r="AG104" s="105">
        <f>IF($AA$14&gt;0,PPMT('Assumptions (Coal)'!$V$6,Model!AC1,'Assumptions (Coal)'!$V$9,'Assumptions (Coal)'!$V$4*Model!$AA$14*AVERAGE('Assumptions (Coal)'!$T$2:$Y$2)/10^9),0)</f>
        <v>0</v>
      </c>
      <c r="AH104" s="105">
        <f>IF($AA$14&gt;0,PPMT('Assumptions (Coal)'!$V$6,Model!AD1,'Assumptions (Coal)'!$V$9,'Assumptions (Coal)'!$V$4*Model!$AA$14*AVERAGE('Assumptions (Coal)'!$T$2:$Y$2)/10^9),0)</f>
        <v>0</v>
      </c>
      <c r="AI104" s="105">
        <f>IF($AA$14&gt;0,PPMT('Assumptions (Coal)'!$V$6,Model!AE1,'Assumptions (Coal)'!$V$9,'Assumptions (Coal)'!$V$4*Model!$AA$14*AVERAGE('Assumptions (Coal)'!$T$2:$Y$2)/10^9),0)</f>
        <v>0</v>
      </c>
      <c r="AJ104" s="105">
        <f>IF($AA$14&gt;0,PPMT('Assumptions (Coal)'!$V$6,Model!AF1,'Assumptions (Coal)'!$V$9,'Assumptions (Coal)'!$V$4*Model!$AA$14*AVERAGE('Assumptions (Coal)'!$T$2:$Y$2)/10^9),0)</f>
        <v>0</v>
      </c>
      <c r="AK104" s="105">
        <f>IF($AA$14&gt;0,PPMT('Assumptions (Coal)'!$V$6,Model!AG1,'Assumptions (Coal)'!$V$9,'Assumptions (Coal)'!$V$4*Model!$AA$14*AVERAGE('Assumptions (Coal)'!$T$2:$Y$2)/10^9),0)</f>
        <v>0</v>
      </c>
      <c r="AL104" s="105">
        <f>IF($AA$14&gt;0,PPMT('Assumptions (Coal)'!$V$6,Model!AH1,'Assumptions (Coal)'!$V$9,'Assumptions (Coal)'!$V$4*Model!$AA$14*AVERAGE('Assumptions (Coal)'!$T$2:$Y$2)/10^9),0)</f>
        <v>0</v>
      </c>
      <c r="AM104" s="105">
        <f>IF($AA$14&gt;0,PPMT('Assumptions (Coal)'!$V$6,Model!AI1,'Assumptions (Coal)'!$V$9,'Assumptions (Coal)'!$V$4*Model!$AA$14*AVERAGE('Assumptions (Coal)'!$T$2:$Y$2)/10^9),0)</f>
        <v>0</v>
      </c>
      <c r="AN104" s="105">
        <f>IF($AA$14&gt;0,PPMT('Assumptions (Coal)'!$V$6,Model!AJ1,'Assumptions (Coal)'!$V$9,'Assumptions (Coal)'!$V$4*Model!$AA$14*AVERAGE('Assumptions (Coal)'!$T$2:$Y$2)/10^9),0)</f>
        <v>0</v>
      </c>
      <c r="AO104" s="105">
        <f>IF($AA$14&gt;0,PPMT('Assumptions (Coal)'!$V$6,Model!AK1,'Assumptions (Coal)'!$V$9,'Assumptions (Coal)'!$V$4*Model!$AA$14*AVERAGE('Assumptions (Coal)'!$T$2:$Y$2)/10^9),0)</f>
        <v>0</v>
      </c>
      <c r="AP104" s="105"/>
      <c r="AQ104" s="105"/>
      <c r="AR104" s="105"/>
      <c r="AS104" s="105"/>
      <c r="AT104" s="105"/>
      <c r="AU104" s="105"/>
      <c r="AV104" s="105"/>
      <c r="AW104" s="105"/>
      <c r="AX104" s="105"/>
      <c r="AY104" s="105"/>
      <c r="AZ104" s="105"/>
      <c r="BA104" s="105"/>
    </row>
    <row r="105" spans="1:59" ht="15.75" hidden="1" customHeight="1" outlineLevel="1">
      <c r="A105" s="98"/>
      <c r="B105" s="99"/>
      <c r="C105" s="105"/>
      <c r="D105" s="105"/>
      <c r="E105" s="105"/>
      <c r="F105" s="105"/>
      <c r="G105" s="105"/>
      <c r="H105" s="105"/>
      <c r="I105" s="105"/>
      <c r="J105" s="105"/>
      <c r="K105" s="105"/>
      <c r="L105" s="105"/>
      <c r="M105" s="105"/>
      <c r="N105" s="105"/>
      <c r="O105" s="105"/>
      <c r="P105" s="105"/>
      <c r="Q105" s="105"/>
      <c r="R105" s="105"/>
      <c r="S105" s="105"/>
      <c r="T105" s="105"/>
      <c r="U105" s="105"/>
      <c r="V105" s="99"/>
      <c r="W105" s="105"/>
      <c r="X105" s="105"/>
      <c r="Y105" s="105"/>
      <c r="Z105" s="105"/>
      <c r="AA105" s="105"/>
      <c r="AB105" s="105">
        <f>IF($AB$14&gt;0,PPMT('Assumptions (Coal)'!$V$6,Model!W1,'Assumptions (Coal)'!$V$9,'Assumptions (Coal)'!$V$4*Model!$AB$14*AVERAGE('Assumptions (Coal)'!$U$2:$Z$2)/10^9),0)</f>
        <v>0</v>
      </c>
      <c r="AC105" s="105">
        <f>IF($AB$14&gt;0,PPMT('Assumptions (Coal)'!$V$6,Model!X1,'Assumptions (Coal)'!$V$9,'Assumptions (Coal)'!$V$4*Model!$AB$14*AVERAGE('Assumptions (Coal)'!$U$2:$Z$2)/10^9),0)</f>
        <v>0</v>
      </c>
      <c r="AD105" s="105">
        <f>IF($AB$14&gt;0,PPMT('Assumptions (Coal)'!$V$6,Model!Y1,'Assumptions (Coal)'!$V$9,'Assumptions (Coal)'!$V$4*Model!$AB$14*AVERAGE('Assumptions (Coal)'!$U$2:$Z$2)/10^9),0)</f>
        <v>0</v>
      </c>
      <c r="AE105" s="105">
        <f>IF($AB$14&gt;0,PPMT('Assumptions (Coal)'!$V$6,Model!Z1,'Assumptions (Coal)'!$V$9,'Assumptions (Coal)'!$V$4*Model!$AB$14*AVERAGE('Assumptions (Coal)'!$U$2:$Z$2)/10^9),0)</f>
        <v>0</v>
      </c>
      <c r="AF105" s="105">
        <f>IF($AB$14&gt;0,PPMT('Assumptions (Coal)'!$V$6,Model!AA1,'Assumptions (Coal)'!$V$9,'Assumptions (Coal)'!$V$4*Model!$AB$14*AVERAGE('Assumptions (Coal)'!$U$2:$Z$2)/10^9),0)</f>
        <v>0</v>
      </c>
      <c r="AG105" s="105">
        <f>IF($AB$14&gt;0,PPMT('Assumptions (Coal)'!$V$6,Model!AB1,'Assumptions (Coal)'!$V$9,'Assumptions (Coal)'!$V$4*Model!$AB$14*AVERAGE('Assumptions (Coal)'!$U$2:$Z$2)/10^9),0)</f>
        <v>0</v>
      </c>
      <c r="AH105" s="105">
        <f>IF($AB$14&gt;0,PPMT('Assumptions (Coal)'!$V$6,Model!AC1,'Assumptions (Coal)'!$V$9,'Assumptions (Coal)'!$V$4*Model!$AB$14*AVERAGE('Assumptions (Coal)'!$U$2:$Z$2)/10^9),0)</f>
        <v>0</v>
      </c>
      <c r="AI105" s="105">
        <f>IF($AB$14&gt;0,PPMT('Assumptions (Coal)'!$V$6,Model!AD1,'Assumptions (Coal)'!$V$9,'Assumptions (Coal)'!$V$4*Model!$AB$14*AVERAGE('Assumptions (Coal)'!$U$2:$Z$2)/10^9),0)</f>
        <v>0</v>
      </c>
      <c r="AJ105" s="105">
        <f>IF($AB$14&gt;0,PPMT('Assumptions (Coal)'!$V$6,Model!AE1,'Assumptions (Coal)'!$V$9,'Assumptions (Coal)'!$V$4*Model!$AB$14*AVERAGE('Assumptions (Coal)'!$U$2:$Z$2)/10^9),0)</f>
        <v>0</v>
      </c>
      <c r="AK105" s="105">
        <f>IF($AB$14&gt;0,PPMT('Assumptions (Coal)'!$V$6,Model!AF1,'Assumptions (Coal)'!$V$9,'Assumptions (Coal)'!$V$4*Model!$AB$14*AVERAGE('Assumptions (Coal)'!$U$2:$Z$2)/10^9),0)</f>
        <v>0</v>
      </c>
      <c r="AL105" s="105">
        <f>IF($AB$14&gt;0,PPMT('Assumptions (Coal)'!$V$6,Model!AG1,'Assumptions (Coal)'!$V$9,'Assumptions (Coal)'!$V$4*Model!$AB$14*AVERAGE('Assumptions (Coal)'!$U$2:$Z$2)/10^9),0)</f>
        <v>0</v>
      </c>
      <c r="AM105" s="105">
        <f>IF($AB$14&gt;0,PPMT('Assumptions (Coal)'!$V$6,Model!AH1,'Assumptions (Coal)'!$V$9,'Assumptions (Coal)'!$V$4*Model!$AB$14*AVERAGE('Assumptions (Coal)'!$U$2:$Z$2)/10^9),0)</f>
        <v>0</v>
      </c>
      <c r="AN105" s="105">
        <f>IF($AB$14&gt;0,PPMT('Assumptions (Coal)'!$V$6,Model!AI1,'Assumptions (Coal)'!$V$9,'Assumptions (Coal)'!$V$4*Model!$AB$14*AVERAGE('Assumptions (Coal)'!$U$2:$Z$2)/10^9),0)</f>
        <v>0</v>
      </c>
      <c r="AO105" s="105">
        <f>IF($AB$14&gt;0,PPMT('Assumptions (Coal)'!$V$6,Model!AJ1,'Assumptions (Coal)'!$V$9,'Assumptions (Coal)'!$V$4*Model!$AB$14*AVERAGE('Assumptions (Coal)'!$U$2:$Z$2)/10^9),0)</f>
        <v>0</v>
      </c>
      <c r="AP105" s="105">
        <f>IF($AB$14&gt;0,PPMT('Assumptions (Coal)'!$V$6,Model!AK1,'Assumptions (Coal)'!$V$9,'Assumptions (Coal)'!$V$4*Model!$AB$14*AVERAGE('Assumptions (Coal)'!$U$2:$Z$2)/10^9),0)</f>
        <v>0</v>
      </c>
      <c r="AQ105" s="105"/>
      <c r="AR105" s="105"/>
      <c r="AS105" s="105"/>
      <c r="AT105" s="105"/>
      <c r="AU105" s="105"/>
      <c r="AV105" s="105"/>
      <c r="AW105" s="105"/>
      <c r="AX105" s="105"/>
      <c r="AY105" s="105"/>
      <c r="AZ105" s="105"/>
      <c r="BA105" s="105"/>
    </row>
    <row r="106" spans="1:59" ht="15.75" hidden="1" customHeight="1" outlineLevel="1">
      <c r="A106" s="98"/>
      <c r="B106" s="99"/>
      <c r="C106" s="105"/>
      <c r="D106" s="105"/>
      <c r="E106" s="105"/>
      <c r="F106" s="105"/>
      <c r="G106" s="105"/>
      <c r="H106" s="105"/>
      <c r="I106" s="105"/>
      <c r="J106" s="105"/>
      <c r="K106" s="105"/>
      <c r="L106" s="105"/>
      <c r="M106" s="105"/>
      <c r="N106" s="105"/>
      <c r="O106" s="105"/>
      <c r="P106" s="105"/>
      <c r="Q106" s="105"/>
      <c r="R106" s="105"/>
      <c r="S106" s="105"/>
      <c r="T106" s="105"/>
      <c r="U106" s="105"/>
      <c r="V106" s="99"/>
      <c r="W106" s="105"/>
      <c r="X106" s="105"/>
      <c r="Y106" s="105"/>
      <c r="Z106" s="105"/>
      <c r="AA106" s="105"/>
      <c r="AB106" s="105"/>
      <c r="AC106" s="105">
        <f>IF($AC$14&gt;0,PPMT('Assumptions (Coal)'!$V$6,Model!W1,'Assumptions (Coal)'!$V$9,'Assumptions (Coal)'!$V$4*Model!$AC$14*AVERAGE('Assumptions (Coal)'!$V$2:$AA$2)/10^9),0)</f>
        <v>0</v>
      </c>
      <c r="AD106" s="105">
        <f>IF($AC$14&gt;0,PPMT('Assumptions (Coal)'!$V$6,Model!X1,'Assumptions (Coal)'!$V$9,'Assumptions (Coal)'!$V$4*Model!$AC$14*AVERAGE('Assumptions (Coal)'!$V$2:$AA$2)/10^9),0)</f>
        <v>0</v>
      </c>
      <c r="AE106" s="105">
        <f>IF($AC$14&gt;0,PPMT('Assumptions (Coal)'!$V$6,Model!Y1,'Assumptions (Coal)'!$V$9,'Assumptions (Coal)'!$V$4*Model!$AC$14*AVERAGE('Assumptions (Coal)'!$V$2:$AA$2)/10^9),0)</f>
        <v>0</v>
      </c>
      <c r="AF106" s="105">
        <f>IF($AC$14&gt;0,PPMT('Assumptions (Coal)'!$V$6,Model!Z1,'Assumptions (Coal)'!$V$9,'Assumptions (Coal)'!$V$4*Model!$AC$14*AVERAGE('Assumptions (Coal)'!$V$2:$AA$2)/10^9),0)</f>
        <v>0</v>
      </c>
      <c r="AG106" s="105">
        <f>IF($AC$14&gt;0,PPMT('Assumptions (Coal)'!$V$6,Model!AA1,'Assumptions (Coal)'!$V$9,'Assumptions (Coal)'!$V$4*Model!$AC$14*AVERAGE('Assumptions (Coal)'!$V$2:$AA$2)/10^9),0)</f>
        <v>0</v>
      </c>
      <c r="AH106" s="105">
        <f>IF($AC$14&gt;0,PPMT('Assumptions (Coal)'!$V$6,Model!AB1,'Assumptions (Coal)'!$V$9,'Assumptions (Coal)'!$V$4*Model!$AC$14*AVERAGE('Assumptions (Coal)'!$V$2:$AA$2)/10^9),0)</f>
        <v>0</v>
      </c>
      <c r="AI106" s="105">
        <f>IF($AC$14&gt;0,PPMT('Assumptions (Coal)'!$V$6,Model!AC1,'Assumptions (Coal)'!$V$9,'Assumptions (Coal)'!$V$4*Model!$AC$14*AVERAGE('Assumptions (Coal)'!$V$2:$AA$2)/10^9),0)</f>
        <v>0</v>
      </c>
      <c r="AJ106" s="105">
        <f>IF($AC$14&gt;0,PPMT('Assumptions (Coal)'!$V$6,Model!AD1,'Assumptions (Coal)'!$V$9,'Assumptions (Coal)'!$V$4*Model!$AC$14*AVERAGE('Assumptions (Coal)'!$V$2:$AA$2)/10^9),0)</f>
        <v>0</v>
      </c>
      <c r="AK106" s="105">
        <f>IF($AC$14&gt;0,PPMT('Assumptions (Coal)'!$V$6,Model!AE1,'Assumptions (Coal)'!$V$9,'Assumptions (Coal)'!$V$4*Model!$AC$14*AVERAGE('Assumptions (Coal)'!$V$2:$AA$2)/10^9),0)</f>
        <v>0</v>
      </c>
      <c r="AL106" s="105">
        <f>IF($AC$14&gt;0,PPMT('Assumptions (Coal)'!$V$6,Model!AF1,'Assumptions (Coal)'!$V$9,'Assumptions (Coal)'!$V$4*Model!$AC$14*AVERAGE('Assumptions (Coal)'!$V$2:$AA$2)/10^9),0)</f>
        <v>0</v>
      </c>
      <c r="AM106" s="105">
        <f>IF($AC$14&gt;0,PPMT('Assumptions (Coal)'!$V$6,Model!AG1,'Assumptions (Coal)'!$V$9,'Assumptions (Coal)'!$V$4*Model!$AC$14*AVERAGE('Assumptions (Coal)'!$V$2:$AA$2)/10^9),0)</f>
        <v>0</v>
      </c>
      <c r="AN106" s="105">
        <f>IF($AC$14&gt;0,PPMT('Assumptions (Coal)'!$V$6,Model!AH1,'Assumptions (Coal)'!$V$9,'Assumptions (Coal)'!$V$4*Model!$AC$14*AVERAGE('Assumptions (Coal)'!$V$2:$AA$2)/10^9),0)</f>
        <v>0</v>
      </c>
      <c r="AO106" s="105">
        <f>IF($AC$14&gt;0,PPMT('Assumptions (Coal)'!$V$6,Model!AI1,'Assumptions (Coal)'!$V$9,'Assumptions (Coal)'!$V$4*Model!$AC$14*AVERAGE('Assumptions (Coal)'!$V$2:$AA$2)/10^9),0)</f>
        <v>0</v>
      </c>
      <c r="AP106" s="105">
        <f>IF($AC$14&gt;0,PPMT('Assumptions (Coal)'!$V$6,Model!AJ1,'Assumptions (Coal)'!$V$9,'Assumptions (Coal)'!$V$4*Model!$AC$14*AVERAGE('Assumptions (Coal)'!$V$2:$AA$2)/10^9),0)</f>
        <v>0</v>
      </c>
      <c r="AQ106" s="105">
        <f>IF($AC$14&gt;0,PPMT('Assumptions (Coal)'!$V$6,Model!AK1,'Assumptions (Coal)'!$V$9,'Assumptions (Coal)'!$V$4*Model!$AC$14*AVERAGE('Assumptions (Coal)'!$V$2:$AA$2)/10^9),0)</f>
        <v>0</v>
      </c>
      <c r="AR106" s="105"/>
      <c r="AS106" s="105"/>
      <c r="AT106" s="105"/>
      <c r="AU106" s="105"/>
      <c r="AV106" s="105"/>
      <c r="AW106" s="105"/>
      <c r="AX106" s="105"/>
      <c r="AY106" s="105"/>
      <c r="AZ106" s="105"/>
      <c r="BA106" s="105"/>
    </row>
    <row r="107" spans="1:59" ht="15.75" hidden="1" customHeight="1" outlineLevel="1">
      <c r="A107" s="98"/>
      <c r="B107" s="99"/>
      <c r="C107" s="105"/>
      <c r="D107" s="105"/>
      <c r="E107" s="105"/>
      <c r="F107" s="105"/>
      <c r="G107" s="105"/>
      <c r="H107" s="105"/>
      <c r="I107" s="105"/>
      <c r="J107" s="105"/>
      <c r="K107" s="105"/>
      <c r="L107" s="105"/>
      <c r="M107" s="105"/>
      <c r="N107" s="105"/>
      <c r="O107" s="105"/>
      <c r="P107" s="105"/>
      <c r="Q107" s="105"/>
      <c r="R107" s="105"/>
      <c r="S107" s="105"/>
      <c r="T107" s="105"/>
      <c r="U107" s="105"/>
      <c r="V107" s="99"/>
      <c r="W107" s="105"/>
      <c r="X107" s="105"/>
      <c r="Y107" s="105"/>
      <c r="Z107" s="105"/>
      <c r="AA107" s="105"/>
      <c r="AB107" s="105"/>
      <c r="AC107" s="105"/>
      <c r="AD107" s="105">
        <f>IF($AD$14&gt;0,PPMT('Assumptions (Coal)'!$V$6,Model!W1,'Assumptions (Coal)'!$V$9,'Assumptions (Coal)'!$V$4*Model!$AD$14*AVERAGE('Assumptions (Coal)'!$W$2:$AB$2)/10^9),0)</f>
        <v>0</v>
      </c>
      <c r="AE107" s="105">
        <f>IF($AD$14&gt;0,PPMT('Assumptions (Coal)'!$V$6,Model!X1,'Assumptions (Coal)'!$V$9,'Assumptions (Coal)'!$V$4*Model!$AD$14*AVERAGE('Assumptions (Coal)'!$W$2:$AB$2)/10^9),0)</f>
        <v>0</v>
      </c>
      <c r="AF107" s="105">
        <f>IF($AD$14&gt;0,PPMT('Assumptions (Coal)'!$V$6,Model!Y1,'Assumptions (Coal)'!$V$9,'Assumptions (Coal)'!$V$4*Model!$AD$14*AVERAGE('Assumptions (Coal)'!$W$2:$AB$2)/10^9),0)</f>
        <v>0</v>
      </c>
      <c r="AG107" s="105">
        <f>IF($AD$14&gt;0,PPMT('Assumptions (Coal)'!$V$6,Model!Z1,'Assumptions (Coal)'!$V$9,'Assumptions (Coal)'!$V$4*Model!$AD$14*AVERAGE('Assumptions (Coal)'!$W$2:$AB$2)/10^9),0)</f>
        <v>0</v>
      </c>
      <c r="AH107" s="105">
        <f>IF($AD$14&gt;0,PPMT('Assumptions (Coal)'!$V$6,Model!AA1,'Assumptions (Coal)'!$V$9,'Assumptions (Coal)'!$V$4*Model!$AD$14*AVERAGE('Assumptions (Coal)'!$W$2:$AB$2)/10^9),0)</f>
        <v>0</v>
      </c>
      <c r="AI107" s="105">
        <f>IF($AD$14&gt;0,PPMT('Assumptions (Coal)'!$V$6,Model!AB1,'Assumptions (Coal)'!$V$9,'Assumptions (Coal)'!$V$4*Model!$AD$14*AVERAGE('Assumptions (Coal)'!$W$2:$AB$2)/10^9),0)</f>
        <v>0</v>
      </c>
      <c r="AJ107" s="105">
        <f>IF($AD$14&gt;0,PPMT('Assumptions (Coal)'!$V$6,Model!AC1,'Assumptions (Coal)'!$V$9,'Assumptions (Coal)'!$V$4*Model!$AD$14*AVERAGE('Assumptions (Coal)'!$W$2:$AB$2)/10^9),0)</f>
        <v>0</v>
      </c>
      <c r="AK107" s="105">
        <f>IF($AD$14&gt;0,PPMT('Assumptions (Coal)'!$V$6,Model!AD1,'Assumptions (Coal)'!$V$9,'Assumptions (Coal)'!$V$4*Model!$AD$14*AVERAGE('Assumptions (Coal)'!$W$2:$AB$2)/10^9),0)</f>
        <v>0</v>
      </c>
      <c r="AL107" s="105">
        <f>IF($AD$14&gt;0,PPMT('Assumptions (Coal)'!$V$6,Model!AE1,'Assumptions (Coal)'!$V$9,'Assumptions (Coal)'!$V$4*Model!$AD$14*AVERAGE('Assumptions (Coal)'!$W$2:$AB$2)/10^9),0)</f>
        <v>0</v>
      </c>
      <c r="AM107" s="105">
        <f>IF($AD$14&gt;0,PPMT('Assumptions (Coal)'!$V$6,Model!AF1,'Assumptions (Coal)'!$V$9,'Assumptions (Coal)'!$V$4*Model!$AD$14*AVERAGE('Assumptions (Coal)'!$W$2:$AB$2)/10^9),0)</f>
        <v>0</v>
      </c>
      <c r="AN107" s="105">
        <f>IF($AD$14&gt;0,PPMT('Assumptions (Coal)'!$V$6,Model!AG1,'Assumptions (Coal)'!$V$9,'Assumptions (Coal)'!$V$4*Model!$AD$14*AVERAGE('Assumptions (Coal)'!$W$2:$AB$2)/10^9),0)</f>
        <v>0</v>
      </c>
      <c r="AO107" s="105">
        <f>IF($AD$14&gt;0,PPMT('Assumptions (Coal)'!$V$6,Model!AH1,'Assumptions (Coal)'!$V$9,'Assumptions (Coal)'!$V$4*Model!$AD$14*AVERAGE('Assumptions (Coal)'!$W$2:$AB$2)/10^9),0)</f>
        <v>0</v>
      </c>
      <c r="AP107" s="105">
        <f>IF($AD$14&gt;0,PPMT('Assumptions (Coal)'!$V$6,Model!AI1,'Assumptions (Coal)'!$V$9,'Assumptions (Coal)'!$V$4*Model!$AD$14*AVERAGE('Assumptions (Coal)'!$W$2:$AB$2)/10^9),0)</f>
        <v>0</v>
      </c>
      <c r="AQ107" s="105">
        <f>IF($AD$14&gt;0,PPMT('Assumptions (Coal)'!$V$6,Model!AJ1,'Assumptions (Coal)'!$V$9,'Assumptions (Coal)'!$V$4*Model!$AD$14*AVERAGE('Assumptions (Coal)'!$W$2:$AB$2)/10^9),0)</f>
        <v>0</v>
      </c>
      <c r="AR107" s="105">
        <f>IF($AD$14&gt;0,PPMT('Assumptions (Coal)'!$V$6,Model!AK1,'Assumptions (Coal)'!$V$9,'Assumptions (Coal)'!$V$4*Model!$AD$14*AVERAGE('Assumptions (Coal)'!$W$2:$AB$2)/10^9),0)</f>
        <v>0</v>
      </c>
      <c r="AS107" s="105"/>
      <c r="AT107" s="105"/>
      <c r="AU107" s="105"/>
      <c r="AV107" s="105"/>
      <c r="AW107" s="105"/>
      <c r="AX107" s="105"/>
      <c r="AY107" s="105"/>
      <c r="AZ107" s="105"/>
      <c r="BA107" s="105"/>
      <c r="BB107" s="105"/>
    </row>
    <row r="108" spans="1:59" ht="15.75" hidden="1" customHeight="1" outlineLevel="1">
      <c r="A108" s="98"/>
      <c r="B108" s="99"/>
      <c r="C108" s="105"/>
      <c r="D108" s="105"/>
      <c r="E108" s="105"/>
      <c r="F108" s="105"/>
      <c r="G108" s="105"/>
      <c r="H108" s="105"/>
      <c r="I108" s="105"/>
      <c r="J108" s="105"/>
      <c r="K108" s="105"/>
      <c r="L108" s="105"/>
      <c r="M108" s="105"/>
      <c r="N108" s="105"/>
      <c r="O108" s="105"/>
      <c r="P108" s="105"/>
      <c r="Q108" s="105"/>
      <c r="R108" s="105"/>
      <c r="S108" s="105"/>
      <c r="T108" s="105"/>
      <c r="U108" s="105"/>
      <c r="V108" s="99"/>
      <c r="W108" s="105"/>
      <c r="X108" s="105"/>
      <c r="Y108" s="105"/>
      <c r="Z108" s="105"/>
      <c r="AA108" s="105"/>
      <c r="AB108" s="105"/>
      <c r="AC108" s="105"/>
      <c r="AD108" s="105"/>
      <c r="AE108" s="105">
        <f>IF($AE$14&gt;0,PPMT('Assumptions (Coal)'!$V$6,Model!W1,'Assumptions (Coal)'!$V$9,'Assumptions (Coal)'!$V$4*Model!$AE$14*AVERAGE('Assumptions (Coal)'!$X$2:$AC$2)/10^9),0)</f>
        <v>0</v>
      </c>
      <c r="AF108" s="105">
        <f>IF($AE$14&gt;0,PPMT('Assumptions (Coal)'!$V$6,Model!X1,'Assumptions (Coal)'!$V$9,'Assumptions (Coal)'!$V$4*Model!$AE$14*AVERAGE('Assumptions (Coal)'!$X$2:$AC$2)/10^9),0)</f>
        <v>0</v>
      </c>
      <c r="AG108" s="105">
        <f>IF($AE$14&gt;0,PPMT('Assumptions (Coal)'!$V$6,Model!Y1,'Assumptions (Coal)'!$V$9,'Assumptions (Coal)'!$V$4*Model!$AE$14*AVERAGE('Assumptions (Coal)'!$X$2:$AC$2)/10^9),0)</f>
        <v>0</v>
      </c>
      <c r="AH108" s="105">
        <f>IF($AE$14&gt;0,PPMT('Assumptions (Coal)'!$V$6,Model!Z1,'Assumptions (Coal)'!$V$9,'Assumptions (Coal)'!$V$4*Model!$AE$14*AVERAGE('Assumptions (Coal)'!$X$2:$AC$2)/10^9),0)</f>
        <v>0</v>
      </c>
      <c r="AI108" s="105">
        <f>IF($AE$14&gt;0,PPMT('Assumptions (Coal)'!$V$6,Model!AA1,'Assumptions (Coal)'!$V$9,'Assumptions (Coal)'!$V$4*Model!$AE$14*AVERAGE('Assumptions (Coal)'!$X$2:$AC$2)/10^9),0)</f>
        <v>0</v>
      </c>
      <c r="AJ108" s="105">
        <f>IF($AE$14&gt;0,PPMT('Assumptions (Coal)'!$V$6,Model!AB1,'Assumptions (Coal)'!$V$9,'Assumptions (Coal)'!$V$4*Model!$AE$14*AVERAGE('Assumptions (Coal)'!$X$2:$AC$2)/10^9),0)</f>
        <v>0</v>
      </c>
      <c r="AK108" s="105">
        <f>IF($AE$14&gt;0,PPMT('Assumptions (Coal)'!$V$6,Model!AC1,'Assumptions (Coal)'!$V$9,'Assumptions (Coal)'!$V$4*Model!$AE$14*AVERAGE('Assumptions (Coal)'!$X$2:$AC$2)/10^9),0)</f>
        <v>0</v>
      </c>
      <c r="AL108" s="105">
        <f>IF($AE$14&gt;0,PPMT('Assumptions (Coal)'!$V$6,Model!AD1,'Assumptions (Coal)'!$V$9,'Assumptions (Coal)'!$V$4*Model!$AE$14*AVERAGE('Assumptions (Coal)'!$X$2:$AC$2)/10^9),0)</f>
        <v>0</v>
      </c>
      <c r="AM108" s="105">
        <f>IF($AE$14&gt;0,PPMT('Assumptions (Coal)'!$V$6,Model!AE1,'Assumptions (Coal)'!$V$9,'Assumptions (Coal)'!$V$4*Model!$AE$14*AVERAGE('Assumptions (Coal)'!$X$2:$AC$2)/10^9),0)</f>
        <v>0</v>
      </c>
      <c r="AN108" s="105">
        <f>IF($AE$14&gt;0,PPMT('Assumptions (Coal)'!$V$6,Model!AF1,'Assumptions (Coal)'!$V$9,'Assumptions (Coal)'!$V$4*Model!$AE$14*AVERAGE('Assumptions (Coal)'!$X$2:$AC$2)/10^9),0)</f>
        <v>0</v>
      </c>
      <c r="AO108" s="105">
        <f>IF($AE$14&gt;0,PPMT('Assumptions (Coal)'!$V$6,Model!AG1,'Assumptions (Coal)'!$V$9,'Assumptions (Coal)'!$V$4*Model!$AE$14*AVERAGE('Assumptions (Coal)'!$X$2:$AC$2)/10^9),0)</f>
        <v>0</v>
      </c>
      <c r="AP108" s="105">
        <f>IF($AE$14&gt;0,PPMT('Assumptions (Coal)'!$V$6,Model!AH1,'Assumptions (Coal)'!$V$9,'Assumptions (Coal)'!$V$4*Model!$AE$14*AVERAGE('Assumptions (Coal)'!$X$2:$AC$2)/10^9),0)</f>
        <v>0</v>
      </c>
      <c r="AQ108" s="105">
        <f>IF($AE$14&gt;0,PPMT('Assumptions (Coal)'!$V$6,Model!AI1,'Assumptions (Coal)'!$V$9,'Assumptions (Coal)'!$V$4*Model!$AE$14*AVERAGE('Assumptions (Coal)'!$X$2:$AC$2)/10^9),0)</f>
        <v>0</v>
      </c>
      <c r="AR108" s="105">
        <f>IF($AE$14&gt;0,PPMT('Assumptions (Coal)'!$V$6,Model!AJ1,'Assumptions (Coal)'!$V$9,'Assumptions (Coal)'!$V$4*Model!$AE$14*AVERAGE('Assumptions (Coal)'!$X$2:$AC$2)/10^9),0)</f>
        <v>0</v>
      </c>
      <c r="AS108" s="105">
        <f>IF($AE$14&gt;0,PPMT('Assumptions (Coal)'!$V$6,Model!AK1,'Assumptions (Coal)'!$V$9,'Assumptions (Coal)'!$V$4*Model!$AE$14*AVERAGE('Assumptions (Coal)'!$X$2:$AC$2)/10^9),0)</f>
        <v>0</v>
      </c>
      <c r="AT108" s="105"/>
      <c r="AU108" s="105"/>
      <c r="AV108" s="105"/>
      <c r="AW108" s="105"/>
      <c r="AX108" s="105"/>
      <c r="AY108" s="105"/>
      <c r="AZ108" s="105"/>
      <c r="BA108" s="105"/>
      <c r="BB108" s="105"/>
      <c r="BC108" s="105"/>
    </row>
    <row r="109" spans="1:59" ht="15.75" hidden="1" customHeight="1" outlineLevel="1">
      <c r="A109" s="98"/>
      <c r="B109" s="99"/>
      <c r="C109" s="105"/>
      <c r="D109" s="105"/>
      <c r="E109" s="105"/>
      <c r="F109" s="105"/>
      <c r="G109" s="105"/>
      <c r="H109" s="105"/>
      <c r="I109" s="105"/>
      <c r="J109" s="105"/>
      <c r="K109" s="105"/>
      <c r="L109" s="105"/>
      <c r="M109" s="105"/>
      <c r="N109" s="105"/>
      <c r="O109" s="105"/>
      <c r="P109" s="105"/>
      <c r="Q109" s="105"/>
      <c r="R109" s="105"/>
      <c r="S109" s="105"/>
      <c r="T109" s="105"/>
      <c r="U109" s="105"/>
      <c r="V109" s="99"/>
      <c r="W109" s="105"/>
      <c r="X109" s="105"/>
      <c r="Y109" s="105"/>
      <c r="Z109" s="105"/>
      <c r="AA109" s="105"/>
      <c r="AB109" s="105"/>
      <c r="AC109" s="105"/>
      <c r="AD109" s="105"/>
      <c r="AE109" s="105"/>
      <c r="AF109" s="105">
        <f>IF($AF$14&gt;0,PPMT('Assumptions (Coal)'!$V$6,Model!W1,'Assumptions (Coal)'!$V$9,'Assumptions (Coal)'!$V$4*Model!$AF$14*AVERAGE('Assumptions (Coal)'!$Y$2:$AD$2)/10^9),0)</f>
        <v>0</v>
      </c>
      <c r="AG109" s="105">
        <f>IF($AF$14&gt;0,PPMT('Assumptions (Coal)'!$V$6,Model!X1,'Assumptions (Coal)'!$V$9,'Assumptions (Coal)'!$V$4*Model!$AF$14*AVERAGE('Assumptions (Coal)'!$Y$2:$AD$2)/10^9),0)</f>
        <v>0</v>
      </c>
      <c r="AH109" s="105">
        <f>IF($AF$14&gt;0,PPMT('Assumptions (Coal)'!$V$6,Model!Y1,'Assumptions (Coal)'!$V$9,'Assumptions (Coal)'!$V$4*Model!$AF$14*AVERAGE('Assumptions (Coal)'!$Y$2:$AD$2)/10^9),0)</f>
        <v>0</v>
      </c>
      <c r="AI109" s="105">
        <f>IF($AF$14&gt;0,PPMT('Assumptions (Coal)'!$V$6,Model!Z1,'Assumptions (Coal)'!$V$9,'Assumptions (Coal)'!$V$4*Model!$AF$14*AVERAGE('Assumptions (Coal)'!$Y$2:$AD$2)/10^9),0)</f>
        <v>0</v>
      </c>
      <c r="AJ109" s="105">
        <f>IF($AF$14&gt;0,PPMT('Assumptions (Coal)'!$V$6,Model!AA1,'Assumptions (Coal)'!$V$9,'Assumptions (Coal)'!$V$4*Model!$AF$14*AVERAGE('Assumptions (Coal)'!$Y$2:$AD$2)/10^9),0)</f>
        <v>0</v>
      </c>
      <c r="AK109" s="105">
        <f>IF($AF$14&gt;0,PPMT('Assumptions (Coal)'!$V$6,Model!AB1,'Assumptions (Coal)'!$V$9,'Assumptions (Coal)'!$V$4*Model!$AF$14*AVERAGE('Assumptions (Coal)'!$Y$2:$AD$2)/10^9),0)</f>
        <v>0</v>
      </c>
      <c r="AL109" s="105">
        <f>IF($AF$14&gt;0,PPMT('Assumptions (Coal)'!$V$6,Model!AC1,'Assumptions (Coal)'!$V$9,'Assumptions (Coal)'!$V$4*Model!$AF$14*AVERAGE('Assumptions (Coal)'!$Y$2:$AD$2)/10^9),0)</f>
        <v>0</v>
      </c>
      <c r="AM109" s="105">
        <f>IF($AF$14&gt;0,PPMT('Assumptions (Coal)'!$V$6,Model!AD1,'Assumptions (Coal)'!$V$9,'Assumptions (Coal)'!$V$4*Model!$AF$14*AVERAGE('Assumptions (Coal)'!$Y$2:$AD$2)/10^9),0)</f>
        <v>0</v>
      </c>
      <c r="AN109" s="105">
        <f>IF($AF$14&gt;0,PPMT('Assumptions (Coal)'!$V$6,Model!AE1,'Assumptions (Coal)'!$V$9,'Assumptions (Coal)'!$V$4*Model!$AF$14*AVERAGE('Assumptions (Coal)'!$Y$2:$AD$2)/10^9),0)</f>
        <v>0</v>
      </c>
      <c r="AO109" s="105">
        <f>IF($AF$14&gt;0,PPMT('Assumptions (Coal)'!$V$6,Model!AF1,'Assumptions (Coal)'!$V$9,'Assumptions (Coal)'!$V$4*Model!$AF$14*AVERAGE('Assumptions (Coal)'!$Y$2:$AD$2)/10^9),0)</f>
        <v>0</v>
      </c>
      <c r="AP109" s="105">
        <f>IF($AF$14&gt;0,PPMT('Assumptions (Coal)'!$V$6,Model!AG1,'Assumptions (Coal)'!$V$9,'Assumptions (Coal)'!$V$4*Model!$AF$14*AVERAGE('Assumptions (Coal)'!$Y$2:$AD$2)/10^9),0)</f>
        <v>0</v>
      </c>
      <c r="AQ109" s="105">
        <f>IF($AF$14&gt;0,PPMT('Assumptions (Coal)'!$V$6,Model!AH1,'Assumptions (Coal)'!$V$9,'Assumptions (Coal)'!$V$4*Model!$AF$14*AVERAGE('Assumptions (Coal)'!$Y$2:$AD$2)/10^9),0)</f>
        <v>0</v>
      </c>
      <c r="AR109" s="105">
        <f>IF($AF$14&gt;0,PPMT('Assumptions (Coal)'!$V$6,Model!AI1,'Assumptions (Coal)'!$V$9,'Assumptions (Coal)'!$V$4*Model!$AF$14*AVERAGE('Assumptions (Coal)'!$Y$2:$AD$2)/10^9),0)</f>
        <v>0</v>
      </c>
      <c r="AS109" s="105">
        <f>IF($AF$14&gt;0,PPMT('Assumptions (Coal)'!$V$6,Model!AJ1,'Assumptions (Coal)'!$V$9,'Assumptions (Coal)'!$V$4*Model!$AF$14*AVERAGE('Assumptions (Coal)'!$Y$2:$AD$2)/10^9),0)</f>
        <v>0</v>
      </c>
      <c r="AT109" s="105">
        <f>IF($AF$14&gt;0,PPMT('Assumptions (Coal)'!$V$6,Model!AK1,'Assumptions (Coal)'!$V$9,'Assumptions (Coal)'!$V$4*Model!$AF$14*AVERAGE('Assumptions (Coal)'!$Y$2:$AD$2)/10^9),0)</f>
        <v>0</v>
      </c>
      <c r="AU109" s="105"/>
      <c r="AV109" s="105"/>
      <c r="AW109" s="105"/>
      <c r="AX109" s="105"/>
      <c r="AY109" s="105"/>
      <c r="AZ109" s="105"/>
      <c r="BA109" s="105"/>
      <c r="BB109" s="105"/>
      <c r="BC109" s="105"/>
      <c r="BD109" s="105"/>
    </row>
    <row r="110" spans="1:59" ht="15.75" hidden="1" customHeight="1" outlineLevel="1">
      <c r="A110" s="98"/>
      <c r="B110" s="99"/>
      <c r="C110" s="105"/>
      <c r="D110" s="105"/>
      <c r="E110" s="105"/>
      <c r="F110" s="105"/>
      <c r="G110" s="105"/>
      <c r="H110" s="105"/>
      <c r="I110" s="105"/>
      <c r="J110" s="105"/>
      <c r="K110" s="105"/>
      <c r="L110" s="105"/>
      <c r="M110" s="105"/>
      <c r="N110" s="105"/>
      <c r="O110" s="105"/>
      <c r="P110" s="105"/>
      <c r="Q110" s="105"/>
      <c r="R110" s="105"/>
      <c r="S110" s="105"/>
      <c r="T110" s="105"/>
      <c r="U110" s="105"/>
      <c r="V110" s="99"/>
      <c r="W110" s="105"/>
      <c r="X110" s="105"/>
      <c r="Y110" s="105"/>
      <c r="Z110" s="105"/>
      <c r="AA110" s="105"/>
      <c r="AB110" s="105"/>
      <c r="AC110" s="105"/>
      <c r="AD110" s="105"/>
      <c r="AE110" s="105"/>
      <c r="AF110" s="105"/>
      <c r="AG110" s="105">
        <f>IF($AG$14&gt;0,PPMT('Assumptions (Coal)'!$V$6,Model!W1,'Assumptions (Coal)'!$V$9,'Assumptions (Coal)'!$V$4*Model!$AG$14*AVERAGE('Assumptions (Coal)'!$Z$2:$AE$2)/10^9),0)</f>
        <v>0</v>
      </c>
      <c r="AH110" s="105">
        <f>IF($AG$14&gt;0,PPMT('Assumptions (Coal)'!$V$6,Model!X1,'Assumptions (Coal)'!$V$9,'Assumptions (Coal)'!$V$4*Model!$AG$14*AVERAGE('Assumptions (Coal)'!$Z$2:$AE$2)/10^9),0)</f>
        <v>0</v>
      </c>
      <c r="AI110" s="105">
        <f>IF($AG$14&gt;0,PPMT('Assumptions (Coal)'!$V$6,Model!Y1,'Assumptions (Coal)'!$V$9,'Assumptions (Coal)'!$V$4*Model!$AG$14*AVERAGE('Assumptions (Coal)'!$Z$2:$AE$2)/10^9),0)</f>
        <v>0</v>
      </c>
      <c r="AJ110" s="105">
        <f>IF($AG$14&gt;0,PPMT('Assumptions (Coal)'!$V$6,Model!Z1,'Assumptions (Coal)'!$V$9,'Assumptions (Coal)'!$V$4*Model!$AG$14*AVERAGE('Assumptions (Coal)'!$Z$2:$AE$2)/10^9),0)</f>
        <v>0</v>
      </c>
      <c r="AK110" s="105">
        <f>IF($AG$14&gt;0,PPMT('Assumptions (Coal)'!$V$6,Model!AA1,'Assumptions (Coal)'!$V$9,'Assumptions (Coal)'!$V$4*Model!$AG$14*AVERAGE('Assumptions (Coal)'!$Z$2:$AE$2)/10^9),0)</f>
        <v>0</v>
      </c>
      <c r="AL110" s="105">
        <f>IF($AG$14&gt;0,PPMT('Assumptions (Coal)'!$V$6,Model!AB1,'Assumptions (Coal)'!$V$9,'Assumptions (Coal)'!$V$4*Model!$AG$14*AVERAGE('Assumptions (Coal)'!$Z$2:$AE$2)/10^9),0)</f>
        <v>0</v>
      </c>
      <c r="AM110" s="105">
        <f>IF($AG$14&gt;0,PPMT('Assumptions (Coal)'!$V$6,Model!AC1,'Assumptions (Coal)'!$V$9,'Assumptions (Coal)'!$V$4*Model!$AG$14*AVERAGE('Assumptions (Coal)'!$Z$2:$AE$2)/10^9),0)</f>
        <v>0</v>
      </c>
      <c r="AN110" s="105">
        <f>IF($AG$14&gt;0,PPMT('Assumptions (Coal)'!$V$6,Model!AD1,'Assumptions (Coal)'!$V$9,'Assumptions (Coal)'!$V$4*Model!$AG$14*AVERAGE('Assumptions (Coal)'!$Z$2:$AE$2)/10^9),0)</f>
        <v>0</v>
      </c>
      <c r="AO110" s="105">
        <f>IF($AG$14&gt;0,PPMT('Assumptions (Coal)'!$V$6,Model!AE1,'Assumptions (Coal)'!$V$9,'Assumptions (Coal)'!$V$4*Model!$AG$14*AVERAGE('Assumptions (Coal)'!$Z$2:$AE$2)/10^9),0)</f>
        <v>0</v>
      </c>
      <c r="AP110" s="105">
        <f>IF($AG$14&gt;0,PPMT('Assumptions (Coal)'!$V$6,Model!AF1,'Assumptions (Coal)'!$V$9,'Assumptions (Coal)'!$V$4*Model!$AG$14*AVERAGE('Assumptions (Coal)'!$Z$2:$AE$2)/10^9),0)</f>
        <v>0</v>
      </c>
      <c r="AQ110" s="105">
        <f>IF($AG$14&gt;0,PPMT('Assumptions (Coal)'!$V$6,Model!AG1,'Assumptions (Coal)'!$V$9,'Assumptions (Coal)'!$V$4*Model!$AG$14*AVERAGE('Assumptions (Coal)'!$Z$2:$AE$2)/10^9),0)</f>
        <v>0</v>
      </c>
      <c r="AR110" s="105">
        <f>IF($AG$14&gt;0,PPMT('Assumptions (Coal)'!$V$6,Model!AH1,'Assumptions (Coal)'!$V$9,'Assumptions (Coal)'!$V$4*Model!$AG$14*AVERAGE('Assumptions (Coal)'!$Z$2:$AE$2)/10^9),0)</f>
        <v>0</v>
      </c>
      <c r="AS110" s="105">
        <f>IF($AG$14&gt;0,PPMT('Assumptions (Coal)'!$V$6,Model!AI1,'Assumptions (Coal)'!$V$9,'Assumptions (Coal)'!$V$4*Model!$AG$14*AVERAGE('Assumptions (Coal)'!$Z$2:$AE$2)/10^9),0)</f>
        <v>0</v>
      </c>
      <c r="AT110" s="105">
        <f>IF($AG$14&gt;0,PPMT('Assumptions (Coal)'!$V$6,Model!AJ1,'Assumptions (Coal)'!$V$9,'Assumptions (Coal)'!$V$4*Model!$AG$14*AVERAGE('Assumptions (Coal)'!$Z$2:$AE$2)/10^9),0)</f>
        <v>0</v>
      </c>
      <c r="AU110" s="105">
        <f>IF($AG$14&gt;0,PPMT('Assumptions (Coal)'!$V$6,Model!AK1,'Assumptions (Coal)'!$V$9,'Assumptions (Coal)'!$V$4*Model!$AG$14*AVERAGE('Assumptions (Coal)'!$Z$2:$AE$2)/10^9),0)</f>
        <v>0</v>
      </c>
      <c r="AV110" s="105"/>
      <c r="AW110" s="105"/>
      <c r="AX110" s="105"/>
      <c r="AY110" s="105"/>
      <c r="AZ110" s="105"/>
      <c r="BA110" s="105"/>
      <c r="BB110" s="105"/>
      <c r="BC110" s="105"/>
      <c r="BD110" s="105"/>
      <c r="BE110" s="105"/>
    </row>
    <row r="111" spans="1:59" ht="15.75" hidden="1" customHeight="1" outlineLevel="1">
      <c r="A111" s="98"/>
      <c r="B111" s="99"/>
      <c r="C111" s="105"/>
      <c r="D111" s="105"/>
      <c r="E111" s="105"/>
      <c r="F111" s="105"/>
      <c r="G111" s="105"/>
      <c r="H111" s="105"/>
      <c r="I111" s="105"/>
      <c r="J111" s="105"/>
      <c r="K111" s="105"/>
      <c r="L111" s="105"/>
      <c r="M111" s="105"/>
      <c r="N111" s="105"/>
      <c r="O111" s="105"/>
      <c r="P111" s="105"/>
      <c r="Q111" s="105"/>
      <c r="R111" s="105"/>
      <c r="S111" s="105"/>
      <c r="T111" s="105"/>
      <c r="U111" s="105"/>
      <c r="V111" s="99"/>
      <c r="W111" s="105"/>
      <c r="X111" s="105"/>
      <c r="Y111" s="105"/>
      <c r="Z111" s="105"/>
      <c r="AA111" s="105"/>
      <c r="AB111" s="105"/>
      <c r="AC111" s="105"/>
      <c r="AD111" s="105"/>
      <c r="AE111" s="105"/>
      <c r="AF111" s="105"/>
      <c r="AG111" s="105"/>
      <c r="AH111" s="105">
        <f>IF($AH$14&gt;0,PPMT('Assumptions (Coal)'!$V$6,Model!W1,'Assumptions (Coal)'!$V$9,'Assumptions (Coal)'!$V$4*Model!$AH$14*AVERAGE('Assumptions (Coal)'!$AA$2:$AF$2)/10^9),0)</f>
        <v>0</v>
      </c>
      <c r="AI111" s="105">
        <f>IF($AH$14&gt;0,PPMT('Assumptions (Coal)'!$V$6,Model!X1,'Assumptions (Coal)'!$V$9,'Assumptions (Coal)'!$V$4*Model!$AH$14*AVERAGE('Assumptions (Coal)'!$AA$2:$AF$2)/10^9),0)</f>
        <v>0</v>
      </c>
      <c r="AJ111" s="105">
        <f>IF($AH$14&gt;0,PPMT('Assumptions (Coal)'!$V$6,Model!Y1,'Assumptions (Coal)'!$V$9,'Assumptions (Coal)'!$V$4*Model!$AH$14*AVERAGE('Assumptions (Coal)'!$AA$2:$AF$2)/10^9),0)</f>
        <v>0</v>
      </c>
      <c r="AK111" s="105">
        <f>IF($AH$14&gt;0,PPMT('Assumptions (Coal)'!$V$6,Model!Z1,'Assumptions (Coal)'!$V$9,'Assumptions (Coal)'!$V$4*Model!$AH$14*AVERAGE('Assumptions (Coal)'!$AA$2:$AF$2)/10^9),0)</f>
        <v>0</v>
      </c>
      <c r="AL111" s="105">
        <f>IF($AH$14&gt;0,PPMT('Assumptions (Coal)'!$V$6,Model!AA1,'Assumptions (Coal)'!$V$9,'Assumptions (Coal)'!$V$4*Model!$AH$14*AVERAGE('Assumptions (Coal)'!$AA$2:$AF$2)/10^9),0)</f>
        <v>0</v>
      </c>
      <c r="AM111" s="105">
        <f>IF($AH$14&gt;0,PPMT('Assumptions (Coal)'!$V$6,Model!AB1,'Assumptions (Coal)'!$V$9,'Assumptions (Coal)'!$V$4*Model!$AH$14*AVERAGE('Assumptions (Coal)'!$AA$2:$AF$2)/10^9),0)</f>
        <v>0</v>
      </c>
      <c r="AN111" s="105">
        <f>IF($AH$14&gt;0,PPMT('Assumptions (Coal)'!$V$6,Model!AC1,'Assumptions (Coal)'!$V$9,'Assumptions (Coal)'!$V$4*Model!$AH$14*AVERAGE('Assumptions (Coal)'!$AA$2:$AF$2)/10^9),0)</f>
        <v>0</v>
      </c>
      <c r="AO111" s="105">
        <f>IF($AH$14&gt;0,PPMT('Assumptions (Coal)'!$V$6,Model!AD1,'Assumptions (Coal)'!$V$9,'Assumptions (Coal)'!$V$4*Model!$AH$14*AVERAGE('Assumptions (Coal)'!$AA$2:$AF$2)/10^9),0)</f>
        <v>0</v>
      </c>
      <c r="AP111" s="105">
        <f>IF($AH$14&gt;0,PPMT('Assumptions (Coal)'!$V$6,Model!AE1,'Assumptions (Coal)'!$V$9,'Assumptions (Coal)'!$V$4*Model!$AH$14*AVERAGE('Assumptions (Coal)'!$AA$2:$AF$2)/10^9),0)</f>
        <v>0</v>
      </c>
      <c r="AQ111" s="105">
        <f>IF($AH$14&gt;0,PPMT('Assumptions (Coal)'!$V$6,Model!AF1,'Assumptions (Coal)'!$V$9,'Assumptions (Coal)'!$V$4*Model!$AH$14*AVERAGE('Assumptions (Coal)'!$AA$2:$AF$2)/10^9),0)</f>
        <v>0</v>
      </c>
      <c r="AR111" s="105">
        <f>IF($AH$14&gt;0,PPMT('Assumptions (Coal)'!$V$6,Model!AG1,'Assumptions (Coal)'!$V$9,'Assumptions (Coal)'!$V$4*Model!$AH$14*AVERAGE('Assumptions (Coal)'!$AA$2:$AF$2)/10^9),0)</f>
        <v>0</v>
      </c>
      <c r="AS111" s="105">
        <f>IF($AH$14&gt;0,PPMT('Assumptions (Coal)'!$V$6,Model!AH1,'Assumptions (Coal)'!$V$9,'Assumptions (Coal)'!$V$4*Model!$AH$14*AVERAGE('Assumptions (Coal)'!$AA$2:$AF$2)/10^9),0)</f>
        <v>0</v>
      </c>
      <c r="AT111" s="105">
        <f>IF($AH$14&gt;0,PPMT('Assumptions (Coal)'!$V$6,Model!AI1,'Assumptions (Coal)'!$V$9,'Assumptions (Coal)'!$V$4*Model!$AH$14*AVERAGE('Assumptions (Coal)'!$AA$2:$AF$2)/10^9),0)</f>
        <v>0</v>
      </c>
      <c r="AU111" s="105">
        <f>IF($AH$14&gt;0,PPMT('Assumptions (Coal)'!$V$6,Model!AJ1,'Assumptions (Coal)'!$V$9,'Assumptions (Coal)'!$V$4*Model!$AH$14*AVERAGE('Assumptions (Coal)'!$AA$2:$AF$2)/10^9),0)</f>
        <v>0</v>
      </c>
      <c r="AV111" s="105">
        <f>IF($AH$14&gt;0,PPMT('Assumptions (Coal)'!$V$6,Model!AK1,'Assumptions (Coal)'!$V$9,'Assumptions (Coal)'!$V$4*Model!$AH$14*AVERAGE('Assumptions (Coal)'!$AA$2:$AF$2)/10^9),0)</f>
        <v>0</v>
      </c>
      <c r="AW111" s="105"/>
      <c r="AX111" s="105"/>
      <c r="AY111" s="105"/>
      <c r="AZ111" s="105"/>
      <c r="BA111" s="105"/>
      <c r="BB111" s="105"/>
      <c r="BC111" s="105"/>
      <c r="BD111" s="105"/>
      <c r="BE111" s="105"/>
      <c r="BF111" s="105"/>
    </row>
    <row r="112" spans="1:59" ht="15.75" hidden="1" customHeight="1" outlineLevel="1">
      <c r="A112" s="98"/>
      <c r="B112" s="99"/>
      <c r="C112" s="105"/>
      <c r="D112" s="105"/>
      <c r="E112" s="105"/>
      <c r="F112" s="105"/>
      <c r="G112" s="105"/>
      <c r="H112" s="105"/>
      <c r="I112" s="105"/>
      <c r="J112" s="105"/>
      <c r="K112" s="105"/>
      <c r="L112" s="105"/>
      <c r="M112" s="105"/>
      <c r="N112" s="105"/>
      <c r="O112" s="105"/>
      <c r="P112" s="105"/>
      <c r="Q112" s="105"/>
      <c r="R112" s="105"/>
      <c r="S112" s="105"/>
      <c r="T112" s="105"/>
      <c r="U112" s="105"/>
      <c r="V112" s="99"/>
      <c r="W112" s="105"/>
      <c r="X112" s="105"/>
      <c r="Y112" s="105"/>
      <c r="Z112" s="105"/>
      <c r="AA112" s="105"/>
      <c r="AB112" s="105"/>
      <c r="AC112" s="105"/>
      <c r="AD112" s="105"/>
      <c r="AE112" s="105"/>
      <c r="AF112" s="105"/>
      <c r="AG112" s="105"/>
      <c r="AH112" s="105"/>
      <c r="AI112" s="105">
        <f>IF($AI$14&gt;0,PPMT('Assumptions (Coal)'!$V$6,Model!W1,'Assumptions (Coal)'!$V$9,'Assumptions (Coal)'!$V$4*Model!$AI$14*AVERAGE('Assumptions (Coal)'!$AB$2:$AG$2)/10^9),0)</f>
        <v>-1.9484571857364408E-2</v>
      </c>
      <c r="AJ112" s="105">
        <f>IF($AI$14&gt;0,PPMT('Assumptions (Coal)'!$V$6,Model!X1,'Assumptions (Coal)'!$V$9,'Assumptions (Coal)'!$V$4*Model!$AI$14*AVERAGE('Assumptions (Coal)'!$AB$2:$AG$2)/10^9),0)</f>
        <v>-2.0410089020589217E-2</v>
      </c>
      <c r="AK112" s="105">
        <f>IF($AI$14&gt;0,PPMT('Assumptions (Coal)'!$V$6,Model!Y1,'Assumptions (Coal)'!$V$9,'Assumptions (Coal)'!$V$4*Model!$AI$14*AVERAGE('Assumptions (Coal)'!$AB$2:$AG$2)/10^9),0)</f>
        <v>-2.1379568249067206E-2</v>
      </c>
      <c r="AL112" s="105">
        <f>IF($AI$14&gt;0,PPMT('Assumptions (Coal)'!$V$6,Model!Z1,'Assumptions (Coal)'!$V$9,'Assumptions (Coal)'!$V$4*Model!$AI$14*AVERAGE('Assumptions (Coal)'!$AB$2:$AG$2)/10^9),0)</f>
        <v>-2.2395097740897894E-2</v>
      </c>
      <c r="AM112" s="105">
        <f>IF($AI$14&gt;0,PPMT('Assumptions (Coal)'!$V$6,Model!AA1,'Assumptions (Coal)'!$V$9,'Assumptions (Coal)'!$V$4*Model!$AI$14*AVERAGE('Assumptions (Coal)'!$AB$2:$AG$2)/10^9),0)</f>
        <v>-2.3458864883590544E-2</v>
      </c>
      <c r="AN112" s="105">
        <f>IF($AI$14&gt;0,PPMT('Assumptions (Coal)'!$V$6,Model!AB1,'Assumptions (Coal)'!$V$9,'Assumptions (Coal)'!$V$4*Model!$AI$14*AVERAGE('Assumptions (Coal)'!$AB$2:$AG$2)/10^9),0)</f>
        <v>-2.4573160965561096E-2</v>
      </c>
      <c r="AO112" s="105">
        <f>IF($AI$14&gt;0,PPMT('Assumptions (Coal)'!$V$6,Model!AC1,'Assumptions (Coal)'!$V$9,'Assumptions (Coal)'!$V$4*Model!$AI$14*AVERAGE('Assumptions (Coal)'!$AB$2:$AG$2)/10^9),0)</f>
        <v>-2.5740386111425251E-2</v>
      </c>
      <c r="AP112" s="105">
        <f>IF($AI$14&gt;0,PPMT('Assumptions (Coal)'!$V$6,Model!AD1,'Assumptions (Coal)'!$V$9,'Assumptions (Coal)'!$V$4*Model!$AI$14*AVERAGE('Assumptions (Coal)'!$AB$2:$AG$2)/10^9),0)</f>
        <v>-2.6963054451717951E-2</v>
      </c>
      <c r="AQ112" s="105">
        <f>IF($AI$14&gt;0,PPMT('Assumptions (Coal)'!$V$6,Model!AE1,'Assumptions (Coal)'!$V$9,'Assumptions (Coal)'!$V$4*Model!$AI$14*AVERAGE('Assumptions (Coal)'!$AB$2:$AG$2)/10^9),0)</f>
        <v>-2.824379953817455E-2</v>
      </c>
      <c r="AR112" s="105">
        <f>IF($AI$14&gt;0,PPMT('Assumptions (Coal)'!$V$6,Model!AF1,'Assumptions (Coal)'!$V$9,'Assumptions (Coal)'!$V$4*Model!$AI$14*AVERAGE('Assumptions (Coal)'!$AB$2:$AG$2)/10^9),0)</f>
        <v>-2.9585380016237842E-2</v>
      </c>
      <c r="AS112" s="105">
        <f>IF($AI$14&gt;0,PPMT('Assumptions (Coal)'!$V$6,Model!AG1,'Assumptions (Coal)'!$V$9,'Assumptions (Coal)'!$V$4*Model!$AI$14*AVERAGE('Assumptions (Coal)'!$AB$2:$AG$2)/10^9),0)</f>
        <v>-3.0990685567009141E-2</v>
      </c>
      <c r="AT112" s="105">
        <f>IF($AI$14&gt;0,PPMT('Assumptions (Coal)'!$V$6,Model!AH1,'Assumptions (Coal)'!$V$9,'Assumptions (Coal)'!$V$4*Model!$AI$14*AVERAGE('Assumptions (Coal)'!$AB$2:$AG$2)/10^9),0)</f>
        <v>-3.2462743131442075E-2</v>
      </c>
      <c r="AU112" s="105">
        <f>IF($AI$14&gt;0,PPMT('Assumptions (Coal)'!$V$6,Model!AI1,'Assumptions (Coal)'!$V$9,'Assumptions (Coal)'!$V$4*Model!$AI$14*AVERAGE('Assumptions (Coal)'!$AB$2:$AG$2)/10^9),0)</f>
        <v>-3.4004723430185575E-2</v>
      </c>
      <c r="AV112" s="105">
        <f>IF($AI$14&gt;0,PPMT('Assumptions (Coal)'!$V$6,Model!AJ1,'Assumptions (Coal)'!$V$9,'Assumptions (Coal)'!$V$4*Model!$AI$14*AVERAGE('Assumptions (Coal)'!$AB$2:$AG$2)/10^9),0)</f>
        <v>-3.5619947793119396E-2</v>
      </c>
      <c r="AW112" s="105">
        <f>IF($AI$14&gt;0,PPMT('Assumptions (Coal)'!$V$6,Model!AK1,'Assumptions (Coal)'!$V$9,'Assumptions (Coal)'!$V$4*Model!$AI$14*AVERAGE('Assumptions (Coal)'!$AB$2:$AG$2)/10^9),0)</f>
        <v>-3.7311895313292556E-2</v>
      </c>
      <c r="AX112" s="105"/>
      <c r="AY112" s="105"/>
      <c r="AZ112" s="105"/>
      <c r="BA112" s="105"/>
      <c r="BB112" s="105"/>
      <c r="BC112" s="105"/>
      <c r="BD112" s="105"/>
      <c r="BE112" s="105"/>
      <c r="BF112" s="105"/>
      <c r="BG112" s="105"/>
    </row>
    <row r="113" spans="1:75" ht="15.75" hidden="1" customHeight="1" outlineLevel="1">
      <c r="A113" s="98"/>
      <c r="B113" s="99"/>
      <c r="C113" s="105"/>
      <c r="D113" s="105"/>
      <c r="E113" s="105"/>
      <c r="F113" s="105"/>
      <c r="G113" s="105"/>
      <c r="H113" s="105"/>
      <c r="I113" s="105"/>
      <c r="J113" s="105"/>
      <c r="K113" s="105"/>
      <c r="L113" s="105"/>
      <c r="M113" s="105"/>
      <c r="N113" s="105"/>
      <c r="O113" s="105"/>
      <c r="P113" s="105"/>
      <c r="Q113" s="105"/>
      <c r="R113" s="105"/>
      <c r="S113" s="105"/>
      <c r="T113" s="105"/>
      <c r="U113" s="105"/>
      <c r="V113" s="99"/>
      <c r="W113" s="105"/>
      <c r="X113" s="105"/>
      <c r="Y113" s="105"/>
      <c r="Z113" s="105"/>
      <c r="AA113" s="105"/>
      <c r="AB113" s="105"/>
      <c r="AC113" s="105"/>
      <c r="AD113" s="105"/>
      <c r="AE113" s="105"/>
      <c r="AF113" s="105"/>
      <c r="AG113" s="105"/>
      <c r="AH113" s="105"/>
      <c r="AI113" s="105"/>
      <c r="AJ113" s="91">
        <f>IF($AJ$14&gt;0,PPMT('Assumptions (Coal)'!$V$6,Model!W1,'Assumptions (Coal)'!$V$9,'Assumptions (Coal)'!$V$4*Model!$AJ$14*AVERAGE('Assumptions (Coal)'!$AC$2:$AH$2)/10^9),0)</f>
        <v>-0.23496950555070981</v>
      </c>
      <c r="AK113" s="91">
        <f>IF($AJ$14&gt;0,PPMT('Assumptions (Coal)'!$V$6,Model!X1,'Assumptions (Coal)'!$V$9,'Assumptions (Coal)'!$V$4*Model!$AJ$14*AVERAGE('Assumptions (Coal)'!$AC$2:$AH$2)/10^9),0)</f>
        <v>-0.24613055706436854</v>
      </c>
      <c r="AL113" s="91">
        <f>IF($AJ$14&gt;0,PPMT('Assumptions (Coal)'!$V$6,Model!Y1,'Assumptions (Coal)'!$V$9,'Assumptions (Coal)'!$V$4*Model!$AJ$14*AVERAGE('Assumptions (Coal)'!$AC$2:$AH$2)/10^9),0)</f>
        <v>-0.25782175852492606</v>
      </c>
      <c r="AM113" s="91">
        <f>IF($AJ$14&gt;0,PPMT('Assumptions (Coal)'!$V$6,Model!Z1,'Assumptions (Coal)'!$V$9,'Assumptions (Coal)'!$V$4*Model!$AJ$14*AVERAGE('Assumptions (Coal)'!$AC$2:$AH$2)/10^9),0)</f>
        <v>-0.27006829205485999</v>
      </c>
      <c r="AN113" s="91">
        <f>IF($AJ$14&gt;0,PPMT('Assumptions (Coal)'!$V$6,Model!AA1,'Assumptions (Coal)'!$V$9,'Assumptions (Coal)'!$V$4*Model!$AJ$14*AVERAGE('Assumptions (Coal)'!$AC$2:$AH$2)/10^9),0)</f>
        <v>-0.28289653592746583</v>
      </c>
      <c r="AO113" s="91">
        <f>IF($AJ$14&gt;0,PPMT('Assumptions (Coal)'!$V$6,Model!AB1,'Assumptions (Coal)'!$V$9,'Assumptions (Coal)'!$V$4*Model!$AJ$14*AVERAGE('Assumptions (Coal)'!$AC$2:$AH$2)/10^9),0)</f>
        <v>-0.29633412138402054</v>
      </c>
      <c r="AP113" s="91">
        <f>IF($AJ$14&gt;0,PPMT('Assumptions (Coal)'!$V$6,Model!AC1,'Assumptions (Coal)'!$V$9,'Assumptions (Coal)'!$V$4*Model!$AJ$14*AVERAGE('Assumptions (Coal)'!$AC$2:$AH$2)/10^9),0)</f>
        <v>-0.31040999214976145</v>
      </c>
      <c r="AQ113" s="91">
        <f>IF($AJ$14&gt;0,PPMT('Assumptions (Coal)'!$V$6,Model!AD1,'Assumptions (Coal)'!$V$9,'Assumptions (Coal)'!$V$4*Model!$AJ$14*AVERAGE('Assumptions (Coal)'!$AC$2:$AH$2)/10^9),0)</f>
        <v>-0.32515446677687515</v>
      </c>
      <c r="AR113" s="91">
        <f>IF($AJ$14&gt;0,PPMT('Assumptions (Coal)'!$V$6,Model!AE1,'Assumptions (Coal)'!$V$9,'Assumptions (Coal)'!$V$4*Model!$AJ$14*AVERAGE('Assumptions (Coal)'!$AC$2:$AH$2)/10^9),0)</f>
        <v>-0.34059930394877674</v>
      </c>
      <c r="AS113" s="91">
        <f>IF($AJ$14&gt;0,PPMT('Assumptions (Coal)'!$V$6,Model!AF1,'Assumptions (Coal)'!$V$9,'Assumptions (Coal)'!$V$4*Model!$AJ$14*AVERAGE('Assumptions (Coal)'!$AC$2:$AH$2)/10^9),0)</f>
        <v>-0.35677777088634366</v>
      </c>
      <c r="AT113" s="91">
        <f>IF($AJ$14&gt;0,PPMT('Assumptions (Coal)'!$V$6,Model!AG1,'Assumptions (Coal)'!$V$9,'Assumptions (Coal)'!$V$4*Model!$AJ$14*AVERAGE('Assumptions (Coal)'!$AC$2:$AH$2)/10^9),0)</f>
        <v>-0.37372471500344501</v>
      </c>
      <c r="AU113" s="91">
        <f>IF($AJ$14&gt;0,PPMT('Assumptions (Coal)'!$V$6,Model!AH1,'Assumptions (Coal)'!$V$9,'Assumptions (Coal)'!$V$4*Model!$AJ$14*AVERAGE('Assumptions (Coal)'!$AC$2:$AH$2)/10^9),0)</f>
        <v>-0.39147663896610857</v>
      </c>
      <c r="AV113" s="91">
        <f>IF($AJ$14&gt;0,PPMT('Assumptions (Coal)'!$V$6,Model!AI1,'Assumptions (Coal)'!$V$9,'Assumptions (Coal)'!$V$4*Model!$AJ$14*AVERAGE('Assumptions (Coal)'!$AC$2:$AH$2)/10^9),0)</f>
        <v>-0.41007177931699879</v>
      </c>
      <c r="AW113" s="91">
        <f>IF($AJ$14&gt;0,PPMT('Assumptions (Coal)'!$V$6,Model!AJ1,'Assumptions (Coal)'!$V$9,'Assumptions (Coal)'!$V$4*Model!$AJ$14*AVERAGE('Assumptions (Coal)'!$AC$2:$AH$2)/10^9),0)</f>
        <v>-0.4295501888345562</v>
      </c>
      <c r="AX113" s="91">
        <f>IF($AJ$14&gt;0,PPMT('Assumptions (Coal)'!$V$6,Model!AK1,'Assumptions (Coal)'!$V$9,'Assumptions (Coal)'!$V$4*Model!$AJ$14*AVERAGE('Assumptions (Coal)'!$AC$2:$AH$2)/10^9),0)</f>
        <v>-0.44995382280419755</v>
      </c>
      <c r="AY113" s="91"/>
      <c r="AZ113" s="91"/>
      <c r="BA113" s="91"/>
      <c r="BB113" s="91"/>
      <c r="BC113" s="91"/>
      <c r="BD113" s="91"/>
      <c r="BE113" s="91"/>
      <c r="BF113" s="91"/>
      <c r="BG113" s="91"/>
      <c r="BH113" s="91"/>
    </row>
    <row r="114" spans="1:75" ht="15.75" hidden="1" customHeight="1" outlineLevel="1">
      <c r="A114" s="98"/>
      <c r="B114" s="99"/>
      <c r="C114" s="105"/>
      <c r="D114" s="105"/>
      <c r="E114" s="105"/>
      <c r="F114" s="105"/>
      <c r="G114" s="105"/>
      <c r="H114" s="105"/>
      <c r="I114" s="105"/>
      <c r="J114" s="105"/>
      <c r="K114" s="105"/>
      <c r="L114" s="105"/>
      <c r="M114" s="105"/>
      <c r="N114" s="105"/>
      <c r="O114" s="105"/>
      <c r="P114" s="91"/>
      <c r="Q114" s="91"/>
      <c r="R114" s="91"/>
      <c r="S114" s="91"/>
      <c r="T114" s="91"/>
      <c r="U114" s="91"/>
      <c r="V114" s="99"/>
      <c r="W114" s="105"/>
      <c r="X114" s="105"/>
      <c r="Y114" s="105"/>
      <c r="Z114" s="105"/>
      <c r="AA114" s="105"/>
      <c r="AB114" s="105"/>
      <c r="AC114" s="105"/>
      <c r="AD114" s="105"/>
      <c r="AE114" s="105"/>
      <c r="AF114" s="105"/>
      <c r="AG114" s="105"/>
      <c r="AH114" s="105"/>
      <c r="AI114" s="105"/>
      <c r="AJ114" s="171"/>
      <c r="AK114" s="105">
        <f>IF($AK$14&gt;0,PPMT('Assumptions (Coal)'!$V$6,Model!W1,'Assumptions (Coal)'!$V$9,'Assumptions (Coal)'!$V$4*Model!$AK$14*AVERAGE('Assumptions (Coal)'!$AD$2:$AI$2)/10^9),0)</f>
        <v>-0.24125555536875506</v>
      </c>
      <c r="AL114" s="105">
        <f>IF($AK$14&gt;0,PPMT('Assumptions (Coal)'!$V$6,Model!X1,'Assumptions (Coal)'!$V$9,'Assumptions (Coal)'!$V$4*Model!$AK$14*AVERAGE('Assumptions (Coal)'!$AD$2:$AI$2)/10^9),0)</f>
        <v>-0.25271519424877092</v>
      </c>
      <c r="AM114" s="105">
        <f>IF($AK$14&gt;0,PPMT('Assumptions (Coal)'!$V$6,Model!Y1,'Assumptions (Coal)'!$V$9,'Assumptions (Coal)'!$V$4*Model!$AK$14*AVERAGE('Assumptions (Coal)'!$AD$2:$AI$2)/10^9),0)</f>
        <v>-0.26471916597558759</v>
      </c>
      <c r="AN114" s="105">
        <f>IF($AK$14&gt;0,PPMT('Assumptions (Coal)'!$V$6,Model!Z1,'Assumptions (Coal)'!$V$9,'Assumptions (Coal)'!$V$4*Model!$AK$14*AVERAGE('Assumptions (Coal)'!$AD$2:$AI$2)/10^9),0)</f>
        <v>-0.27729332635942794</v>
      </c>
      <c r="AO114" s="105">
        <f>IF($AK$14&gt;0,PPMT('Assumptions (Coal)'!$V$6,Model!AA1,'Assumptions (Coal)'!$V$9,'Assumptions (Coal)'!$V$4*Model!$AK$14*AVERAGE('Assumptions (Coal)'!$AD$2:$AI$2)/10^9),0)</f>
        <v>-0.29046475936150074</v>
      </c>
      <c r="AP114" s="105">
        <f>IF($AK$14&gt;0,PPMT('Assumptions (Coal)'!$V$6,Model!AB1,'Assumptions (Coal)'!$V$9,'Assumptions (Coal)'!$V$4*Model!$AK$14*AVERAGE('Assumptions (Coal)'!$AD$2:$AI$2)/10^9),0)</f>
        <v>-0.30426183543117208</v>
      </c>
      <c r="AQ114" s="105">
        <f>IF($AK$14&gt;0,PPMT('Assumptions (Coal)'!$V$6,Model!AC1,'Assumptions (Coal)'!$V$9,'Assumptions (Coal)'!$V$4*Model!$AK$14*AVERAGE('Assumptions (Coal)'!$AD$2:$AI$2)/10^9),0)</f>
        <v>-0.31871427261415275</v>
      </c>
      <c r="AR114" s="105">
        <f>IF($AK$14&gt;0,PPMT('Assumptions (Coal)'!$V$6,Model!AD1,'Assumptions (Coal)'!$V$9,'Assumptions (Coal)'!$V$4*Model!$AK$14*AVERAGE('Assumptions (Coal)'!$AD$2:$AI$2)/10^9),0)</f>
        <v>-0.33385320056332501</v>
      </c>
      <c r="AS114" s="105">
        <f>IF($AK$14&gt;0,PPMT('Assumptions (Coal)'!$V$6,Model!AE1,'Assumptions (Coal)'!$V$9,'Assumptions (Coal)'!$V$4*Model!$AK$14*AVERAGE('Assumptions (Coal)'!$AD$2:$AI$2)/10^9),0)</f>
        <v>-0.34971122759008288</v>
      </c>
      <c r="AT114" s="105">
        <f>IF($AK$14&gt;0,PPMT('Assumptions (Coal)'!$V$6,Model!AF1,'Assumptions (Coal)'!$V$9,'Assumptions (Coal)'!$V$4*Model!$AK$14*AVERAGE('Assumptions (Coal)'!$AD$2:$AI$2)/10^9),0)</f>
        <v>-0.36632251090061185</v>
      </c>
      <c r="AU114" s="105">
        <f>IF($AK$14&gt;0,PPMT('Assumptions (Coal)'!$V$6,Model!AG1,'Assumptions (Coal)'!$V$9,'Assumptions (Coal)'!$V$4*Model!$AK$14*AVERAGE('Assumptions (Coal)'!$AD$2:$AI$2)/10^9),0)</f>
        <v>-0.38372283016839093</v>
      </c>
      <c r="AV114" s="105">
        <f>IF($AK$14&gt;0,PPMT('Assumptions (Coal)'!$V$6,Model!AH1,'Assumptions (Coal)'!$V$9,'Assumptions (Coal)'!$V$4*Model!$AK$14*AVERAGE('Assumptions (Coal)'!$AD$2:$AI$2)/10^9),0)</f>
        <v>-0.40194966460138953</v>
      </c>
      <c r="AW114" s="105">
        <f>IF($AK$14&gt;0,PPMT('Assumptions (Coal)'!$V$6,Model!AI1,'Assumptions (Coal)'!$V$9,'Assumptions (Coal)'!$V$4*Model!$AK$14*AVERAGE('Assumptions (Coal)'!$AD$2:$AI$2)/10^9),0)</f>
        <v>-0.4210422736699555</v>
      </c>
      <c r="AX114" s="105">
        <f>IF($AK$14&gt;0,PPMT('Assumptions (Coal)'!$V$6,Model!AJ1,'Assumptions (Coal)'!$V$9,'Assumptions (Coal)'!$V$4*Model!$AK$14*AVERAGE('Assumptions (Coal)'!$AD$2:$AI$2)/10^9),0)</f>
        <v>-0.44104178166927843</v>
      </c>
      <c r="AY114" s="105">
        <f>IF($AK$14&gt;0,PPMT('Assumptions (Coal)'!$V$6,Model!AK1,'Assumptions (Coal)'!$V$9,'Assumptions (Coal)'!$V$4*Model!$AK$14*AVERAGE('Assumptions (Coal)'!$AD$2:$AI$2)/10^9),0)</f>
        <v>-0.46199126629856907</v>
      </c>
      <c r="AZ114" s="105"/>
      <c r="BA114" s="105"/>
      <c r="BB114" s="105"/>
      <c r="BC114" s="105"/>
      <c r="BD114" s="105"/>
      <c r="BE114" s="105"/>
      <c r="BF114" s="105"/>
      <c r="BG114" s="105"/>
      <c r="BH114" s="105"/>
      <c r="BI114" s="105"/>
    </row>
    <row r="115" spans="1:75" ht="15.75" hidden="1" customHeight="1" outlineLevel="1">
      <c r="A115" s="98"/>
      <c r="B115" s="99"/>
      <c r="C115" s="105"/>
      <c r="D115" s="105"/>
      <c r="E115" s="105"/>
      <c r="F115" s="105"/>
      <c r="G115" s="105"/>
      <c r="H115" s="105"/>
      <c r="I115" s="105"/>
      <c r="J115" s="105"/>
      <c r="K115" s="105"/>
      <c r="L115" s="105"/>
      <c r="M115" s="105"/>
      <c r="N115" s="105"/>
      <c r="O115" s="105"/>
      <c r="P115" s="171"/>
      <c r="Q115" s="105"/>
      <c r="R115" s="105"/>
      <c r="S115" s="105"/>
      <c r="T115" s="105"/>
      <c r="U115" s="105"/>
      <c r="V115" s="99"/>
      <c r="W115" s="105"/>
      <c r="X115" s="105"/>
      <c r="Y115" s="105"/>
      <c r="Z115" s="105"/>
      <c r="AA115" s="105"/>
      <c r="AB115" s="105"/>
      <c r="AC115" s="105"/>
      <c r="AD115" s="105"/>
      <c r="AE115" s="105"/>
      <c r="AF115" s="105"/>
      <c r="AG115" s="105"/>
      <c r="AH115" s="105"/>
      <c r="AI115" s="105"/>
      <c r="AJ115" s="171"/>
      <c r="AK115" s="105"/>
      <c r="AL115" s="91">
        <f>IF($AL$14&gt;0,PPMT('Assumptions (Coal)'!$V$6,Model!W1,'Assumptions (Coal)'!$V$9,'Assumptions (Coal)'!$V$4*Model!$AL$14*AVERAGE('Assumptions (Coal)'!$AE$2:$AJ$2)/10^9),0)</f>
        <v>-0.17133265404813702</v>
      </c>
      <c r="AM115" s="91">
        <f>IF($AL$14&gt;0,PPMT('Assumptions (Coal)'!$V$6,Model!X1,'Assumptions (Coal)'!$V$9,'Assumptions (Coal)'!$V$4*Model!$AL$14*AVERAGE('Assumptions (Coal)'!$AE$2:$AJ$2)/10^9),0)</f>
        <v>-0.17947095511542355</v>
      </c>
      <c r="AN115" s="91">
        <f>IF($AL$14&gt;0,PPMT('Assumptions (Coal)'!$V$6,Model!Y1,'Assumptions (Coal)'!$V$9,'Assumptions (Coal)'!$V$4*Model!$AL$14*AVERAGE('Assumptions (Coal)'!$AE$2:$AJ$2)/10^9),0)</f>
        <v>-0.18799582548340618</v>
      </c>
      <c r="AO115" s="91">
        <f>IF($AL$14&gt;0,PPMT('Assumptions (Coal)'!$V$6,Model!Z1,'Assumptions (Coal)'!$V$9,'Assumptions (Coal)'!$V$4*Model!$AL$14*AVERAGE('Assumptions (Coal)'!$AE$2:$AJ$2)/10^9),0)</f>
        <v>-0.19692562719386794</v>
      </c>
      <c r="AP115" s="91">
        <f>IF($AL$14&gt;0,PPMT('Assumptions (Coal)'!$V$6,Model!AA1,'Assumptions (Coal)'!$V$9,'Assumptions (Coal)'!$V$4*Model!$AL$14*AVERAGE('Assumptions (Coal)'!$AE$2:$AJ$2)/10^9),0)</f>
        <v>-0.20627959448557665</v>
      </c>
      <c r="AQ115" s="91">
        <f>IF($AL$14&gt;0,PPMT('Assumptions (Coal)'!$V$6,Model!AB1,'Assumptions (Coal)'!$V$9,'Assumptions (Coal)'!$V$4*Model!$AL$14*AVERAGE('Assumptions (Coal)'!$AE$2:$AJ$2)/10^9),0)</f>
        <v>-0.21607787522364155</v>
      </c>
      <c r="AR115" s="91">
        <f>IF($AL$14&gt;0,PPMT('Assumptions (Coal)'!$V$6,Model!AC1,'Assumptions (Coal)'!$V$9,'Assumptions (Coal)'!$V$4*Model!$AL$14*AVERAGE('Assumptions (Coal)'!$AE$2:$AJ$2)/10^9),0)</f>
        <v>-0.22634157429676455</v>
      </c>
      <c r="AS115" s="91">
        <f>IF($AL$14&gt;0,PPMT('Assumptions (Coal)'!$V$6,Model!AD1,'Assumptions (Coal)'!$V$9,'Assumptions (Coal)'!$V$4*Model!$AL$14*AVERAGE('Assumptions (Coal)'!$AE$2:$AJ$2)/10^9),0)</f>
        <v>-0.23709279907586087</v>
      </c>
      <c r="AT115" s="91">
        <f>IF($AL$14&gt;0,PPMT('Assumptions (Coal)'!$V$6,Model!AE1,'Assumptions (Coal)'!$V$9,'Assumptions (Coal)'!$V$4*Model!$AL$14*AVERAGE('Assumptions (Coal)'!$AE$2:$AJ$2)/10^9),0)</f>
        <v>-0.24835470703196422</v>
      </c>
      <c r="AU115" s="91">
        <f>IF($AL$14&gt;0,PPMT('Assumptions (Coal)'!$V$6,Model!AF1,'Assumptions (Coal)'!$V$9,'Assumptions (Coal)'!$V$4*Model!$AL$14*AVERAGE('Assumptions (Coal)'!$AE$2:$AJ$2)/10^9),0)</f>
        <v>-0.26015155561598252</v>
      </c>
      <c r="AV115" s="91">
        <f>IF($AL$14&gt;0,PPMT('Assumptions (Coal)'!$V$6,Model!AG1,'Assumptions (Coal)'!$V$9,'Assumptions (Coal)'!$V$4*Model!$AL$14*AVERAGE('Assumptions (Coal)'!$AE$2:$AJ$2)/10^9),0)</f>
        <v>-0.27250875450774176</v>
      </c>
      <c r="AW115" s="91">
        <f>IF($AL$14&gt;0,PPMT('Assumptions (Coal)'!$V$6,Model!AH1,'Assumptions (Coal)'!$V$9,'Assumptions (Coal)'!$V$4*Model!$AL$14*AVERAGE('Assumptions (Coal)'!$AE$2:$AJ$2)/10^9),0)</f>
        <v>-0.28545292034685948</v>
      </c>
      <c r="AX115" s="91">
        <f>IF($AL$14&gt;0,PPMT('Assumptions (Coal)'!$V$6,Model!AI1,'Assumptions (Coal)'!$V$9,'Assumptions (Coal)'!$V$4*Model!$AL$14*AVERAGE('Assumptions (Coal)'!$AE$2:$AJ$2)/10^9),0)</f>
        <v>-0.29901193406333532</v>
      </c>
      <c r="AY115" s="91">
        <f>IF($AL$14&gt;0,PPMT('Assumptions (Coal)'!$V$6,Model!AJ1,'Assumptions (Coal)'!$V$9,'Assumptions (Coal)'!$V$4*Model!$AL$14*AVERAGE('Assumptions (Coal)'!$AE$2:$AJ$2)/10^9),0)</f>
        <v>-0.31321500093134375</v>
      </c>
      <c r="AZ115" s="91">
        <f>IF($AL$14&gt;0,PPMT('Assumptions (Coal)'!$V$6,Model!AK1,'Assumptions (Coal)'!$V$9,'Assumptions (Coal)'!$V$4*Model!$AL$14*AVERAGE('Assumptions (Coal)'!$AE$2:$AJ$2)/10^9),0)</f>
        <v>-0.3280927134755825</v>
      </c>
      <c r="BA115" s="91"/>
      <c r="BB115" s="91"/>
      <c r="BC115" s="91"/>
      <c r="BD115" s="91"/>
      <c r="BE115" s="91"/>
      <c r="BF115" s="91"/>
      <c r="BG115" s="91"/>
      <c r="BH115" s="91"/>
      <c r="BI115" s="91"/>
      <c r="BJ115" s="91"/>
    </row>
    <row r="116" spans="1:75" ht="15.75" hidden="1" customHeight="1" outlineLevel="1">
      <c r="A116" s="98"/>
      <c r="B116" s="99"/>
      <c r="C116" s="105"/>
      <c r="D116" s="105"/>
      <c r="E116" s="105"/>
      <c r="F116" s="105"/>
      <c r="G116" s="105"/>
      <c r="H116" s="105"/>
      <c r="I116" s="105"/>
      <c r="J116" s="105"/>
      <c r="K116" s="105"/>
      <c r="L116" s="105"/>
      <c r="M116" s="105"/>
      <c r="N116" s="105"/>
      <c r="O116" s="105"/>
      <c r="P116" s="171"/>
      <c r="Q116" s="105"/>
      <c r="R116" s="91"/>
      <c r="S116" s="91"/>
      <c r="T116" s="91"/>
      <c r="U116" s="91"/>
      <c r="V116" s="99"/>
      <c r="W116" s="105"/>
      <c r="X116" s="105"/>
      <c r="Y116" s="105"/>
      <c r="Z116" s="105"/>
      <c r="AA116" s="105"/>
      <c r="AB116" s="105"/>
      <c r="AC116" s="105"/>
      <c r="AD116" s="105"/>
      <c r="AE116" s="105"/>
      <c r="AF116" s="105"/>
      <c r="AG116" s="105"/>
      <c r="AH116" s="105"/>
      <c r="AI116" s="105"/>
      <c r="AJ116" s="171"/>
      <c r="AK116" s="105"/>
      <c r="AL116" s="91"/>
      <c r="AM116" s="105">
        <f>IF($AM$14&gt;0,PPMT('Assumptions (Coal)'!$V$6,Model!W1,'Assumptions (Coal)'!$V$9,'Assumptions (Coal)'!$V$4*Model!$AM$14*AVERAGE('Assumptions (Coal)'!$AF$2:$AK$2)/10^9),0)</f>
        <v>-0.79952297804384898</v>
      </c>
      <c r="AN116" s="105">
        <f>IF($AM$14&gt;0,PPMT('Assumptions (Coal)'!$V$6,Model!X1,'Assumptions (Coal)'!$V$9,'Assumptions (Coal)'!$V$4*Model!$AM$14*AVERAGE('Assumptions (Coal)'!$AF$2:$AK$2)/10^9),0)</f>
        <v>-0.83750031950093184</v>
      </c>
      <c r="AO116" s="105">
        <f>IF($AM$14&gt;0,PPMT('Assumptions (Coal)'!$V$6,Model!Y1,'Assumptions (Coal)'!$V$9,'Assumptions (Coal)'!$V$4*Model!$AM$14*AVERAGE('Assumptions (Coal)'!$AF$2:$AK$2)/10^9),0)</f>
        <v>-0.87728158467722617</v>
      </c>
      <c r="AP116" s="105">
        <f>IF($AM$14&gt;0,PPMT('Assumptions (Coal)'!$V$6,Model!Z1,'Assumptions (Coal)'!$V$9,'Assumptions (Coal)'!$V$4*Model!$AM$14*AVERAGE('Assumptions (Coal)'!$AF$2:$AK$2)/10^9),0)</f>
        <v>-0.91895245994939434</v>
      </c>
      <c r="AQ116" s="105">
        <f>IF($AM$14&gt;0,PPMT('Assumptions (Coal)'!$V$6,Model!AA1,'Assumptions (Coal)'!$V$9,'Assumptions (Coal)'!$V$4*Model!$AM$14*AVERAGE('Assumptions (Coal)'!$AF$2:$AK$2)/10^9),0)</f>
        <v>-0.96260270179699059</v>
      </c>
      <c r="AR116" s="105">
        <f>IF($AM$14&gt;0,PPMT('Assumptions (Coal)'!$V$6,Model!AB1,'Assumptions (Coal)'!$V$9,'Assumptions (Coal)'!$V$4*Model!$AM$14*AVERAGE('Assumptions (Coal)'!$AF$2:$AK$2)/10^9),0)</f>
        <v>-1.0083263301323477</v>
      </c>
      <c r="AS116" s="105">
        <f>IF($AM$14&gt;0,PPMT('Assumptions (Coal)'!$V$6,Model!AC1,'Assumptions (Coal)'!$V$9,'Assumptions (Coal)'!$V$4*Model!$AM$14*AVERAGE('Assumptions (Coal)'!$AF$2:$AK$2)/10^9),0)</f>
        <v>-1.0562218308136342</v>
      </c>
      <c r="AT116" s="105">
        <f>IF($AM$14&gt;0,PPMT('Assumptions (Coal)'!$V$6,Model!AD1,'Assumptions (Coal)'!$V$9,'Assumptions (Coal)'!$V$4*Model!$AM$14*AVERAGE('Assumptions (Coal)'!$AF$2:$AK$2)/10^9),0)</f>
        <v>-1.1063923677772818</v>
      </c>
      <c r="AU116" s="105">
        <f>IF($AM$14&gt;0,PPMT('Assumptions (Coal)'!$V$6,Model!AE1,'Assumptions (Coal)'!$V$9,'Assumptions (Coal)'!$V$4*Model!$AM$14*AVERAGE('Assumptions (Coal)'!$AF$2:$AK$2)/10^9),0)</f>
        <v>-1.1589460052467027</v>
      </c>
      <c r="AV116" s="105">
        <f>IF($AM$14&gt;0,PPMT('Assumptions (Coal)'!$V$6,Model!AF1,'Assumptions (Coal)'!$V$9,'Assumptions (Coal)'!$V$4*Model!$AM$14*AVERAGE('Assumptions (Coal)'!$AF$2:$AK$2)/10^9),0)</f>
        <v>-1.2139959404959211</v>
      </c>
      <c r="AW116" s="105">
        <f>IF($AM$14&gt;0,PPMT('Assumptions (Coal)'!$V$6,Model!AG1,'Assumptions (Coal)'!$V$9,'Assumptions (Coal)'!$V$4*Model!$AM$14*AVERAGE('Assumptions (Coal)'!$AF$2:$AK$2)/10^9),0)</f>
        <v>-1.2716607476694775</v>
      </c>
      <c r="AX116" s="105">
        <f>IF($AM$14&gt;0,PPMT('Assumptions (Coal)'!$V$6,Model!AH1,'Assumptions (Coal)'!$V$9,'Assumptions (Coal)'!$V$4*Model!$AM$14*AVERAGE('Assumptions (Coal)'!$AF$2:$AK$2)/10^9),0)</f>
        <v>-1.3320646331837775</v>
      </c>
      <c r="AY116" s="105">
        <f>IF($AM$14&gt;0,PPMT('Assumptions (Coal)'!$V$6,Model!AI1,'Assumptions (Coal)'!$V$9,'Assumptions (Coal)'!$V$4*Model!$AM$14*AVERAGE('Assumptions (Coal)'!$AF$2:$AK$2)/10^9),0)</f>
        <v>-1.3953377032600069</v>
      </c>
      <c r="AZ116" s="105">
        <f>IF($AM$14&gt;0,PPMT('Assumptions (Coal)'!$V$6,Model!AJ1,'Assumptions (Coal)'!$V$9,'Assumptions (Coal)'!$V$4*Model!$AM$14*AVERAGE('Assumptions (Coal)'!$AF$2:$AK$2)/10^9),0)</f>
        <v>-1.4616162441648575</v>
      </c>
      <c r="BA116" s="105">
        <f>IF($AM$14&gt;0,PPMT('Assumptions (Coal)'!$V$6,Model!AK1,'Assumptions (Coal)'!$V$9,'Assumptions (Coal)'!$V$4*Model!$AM$14*AVERAGE('Assumptions (Coal)'!$AF$2:$AK$2)/10^9),0)</f>
        <v>-1.531043015762688</v>
      </c>
      <c r="BB116" s="105"/>
      <c r="BC116" s="105"/>
      <c r="BD116" s="105"/>
      <c r="BE116" s="105"/>
      <c r="BF116" s="105"/>
      <c r="BG116" s="105"/>
      <c r="BH116" s="105"/>
      <c r="BI116" s="105"/>
      <c r="BJ116" s="105"/>
      <c r="BK116" s="105"/>
    </row>
    <row r="117" spans="1:75" ht="15.75" hidden="1" customHeight="1" outlineLevel="1">
      <c r="A117" s="98"/>
      <c r="B117" s="99"/>
      <c r="C117" s="105"/>
      <c r="D117" s="105"/>
      <c r="E117" s="105"/>
      <c r="F117" s="105"/>
      <c r="G117" s="105"/>
      <c r="H117" s="105"/>
      <c r="I117" s="105"/>
      <c r="J117" s="105"/>
      <c r="K117" s="105"/>
      <c r="L117" s="105"/>
      <c r="M117" s="105"/>
      <c r="N117" s="105"/>
      <c r="O117" s="105"/>
      <c r="P117" s="171"/>
      <c r="Q117" s="105"/>
      <c r="R117" s="91"/>
      <c r="S117" s="105"/>
      <c r="T117" s="105"/>
      <c r="U117" s="105"/>
      <c r="V117" s="99"/>
      <c r="W117" s="105"/>
      <c r="X117" s="105"/>
      <c r="Y117" s="105"/>
      <c r="Z117" s="105"/>
      <c r="AA117" s="105"/>
      <c r="AB117" s="105"/>
      <c r="AC117" s="105"/>
      <c r="AD117" s="105"/>
      <c r="AE117" s="105"/>
      <c r="AF117" s="105"/>
      <c r="AG117" s="105"/>
      <c r="AH117" s="105"/>
      <c r="AI117" s="105"/>
      <c r="AJ117" s="171"/>
      <c r="AK117" s="105"/>
      <c r="AL117" s="91"/>
      <c r="AM117" s="91"/>
      <c r="AN117" s="105">
        <f>IF($AN$14&gt;0,PPMT('Assumptions (Coal)'!$V$6,Model!W1,'Assumptions (Coal)'!$V$9,'Assumptions (Coal)'!$V$4*Model!$AN$14*AVERAGE('Assumptions (Coal)'!$AG$2:$AL$2)/10^9),0)</f>
        <v>-0.26626320166384665</v>
      </c>
      <c r="AO117" s="105">
        <f>IF($AN$14&gt;0,PPMT('Assumptions (Coal)'!$V$6,Model!X1,'Assumptions (Coal)'!$V$9,'Assumptions (Coal)'!$V$4*Model!$AN$14*AVERAGE('Assumptions (Coal)'!$AG$2:$AL$2)/10^9),0)</f>
        <v>-0.27891070374287941</v>
      </c>
      <c r="AP117" s="105">
        <f>IF($AN$14&gt;0,PPMT('Assumptions (Coal)'!$V$6,Model!Y1,'Assumptions (Coal)'!$V$9,'Assumptions (Coal)'!$V$4*Model!$AN$14*AVERAGE('Assumptions (Coal)'!$AG$2:$AL$2)/10^9),0)</f>
        <v>-0.29215896217066617</v>
      </c>
      <c r="AQ117" s="105">
        <f>IF($AN$14&gt;0,PPMT('Assumptions (Coal)'!$V$6,Model!Z1,'Assumptions (Coal)'!$V$9,'Assumptions (Coal)'!$V$4*Model!$AN$14*AVERAGE('Assumptions (Coal)'!$AG$2:$AL$2)/10^9),0)</f>
        <v>-0.30603651287377281</v>
      </c>
      <c r="AR117" s="105">
        <f>IF($AN$14&gt;0,PPMT('Assumptions (Coal)'!$V$6,Model!AA1,'Assumptions (Coal)'!$V$9,'Assumptions (Coal)'!$V$4*Model!$AN$14*AVERAGE('Assumptions (Coal)'!$AG$2:$AL$2)/10^9),0)</f>
        <v>-0.32057324723527691</v>
      </c>
      <c r="AS117" s="105">
        <f>IF($AN$14&gt;0,PPMT('Assumptions (Coal)'!$V$6,Model!AB1,'Assumptions (Coal)'!$V$9,'Assumptions (Coal)'!$V$4*Model!$AN$14*AVERAGE('Assumptions (Coal)'!$AG$2:$AL$2)/10^9),0)</f>
        <v>-0.33580047647895267</v>
      </c>
      <c r="AT117" s="105">
        <f>IF($AN$14&gt;0,PPMT('Assumptions (Coal)'!$V$6,Model!AC1,'Assumptions (Coal)'!$V$9,'Assumptions (Coal)'!$V$4*Model!$AN$14*AVERAGE('Assumptions (Coal)'!$AG$2:$AL$2)/10^9),0)</f>
        <v>-0.35175099911170288</v>
      </c>
      <c r="AU117" s="105">
        <f>IF($AN$14&gt;0,PPMT('Assumptions (Coal)'!$V$6,Model!AD1,'Assumptions (Coal)'!$V$9,'Assumptions (Coal)'!$V$4*Model!$AN$14*AVERAGE('Assumptions (Coal)'!$AG$2:$AL$2)/10^9),0)</f>
        <v>-0.3684591715695088</v>
      </c>
      <c r="AV117" s="105">
        <f>IF($AN$14&gt;0,PPMT('Assumptions (Coal)'!$V$6,Model!AE1,'Assumptions (Coal)'!$V$9,'Assumptions (Coal)'!$V$4*Model!$AN$14*AVERAGE('Assumptions (Coal)'!$AG$2:$AL$2)/10^9),0)</f>
        <v>-0.38596098221906039</v>
      </c>
      <c r="AW117" s="105">
        <f>IF($AN$14&gt;0,PPMT('Assumptions (Coal)'!$V$6,Model!AF1,'Assumptions (Coal)'!$V$9,'Assumptions (Coal)'!$V$4*Model!$AN$14*AVERAGE('Assumptions (Coal)'!$AG$2:$AL$2)/10^9),0)</f>
        <v>-0.40429412887446586</v>
      </c>
      <c r="AX117" s="105">
        <f>IF($AN$14&gt;0,PPMT('Assumptions (Coal)'!$V$6,Model!AG1,'Assumptions (Coal)'!$V$9,'Assumptions (Coal)'!$V$4*Model!$AN$14*AVERAGE('Assumptions (Coal)'!$AG$2:$AL$2)/10^9),0)</f>
        <v>-0.42349809999600296</v>
      </c>
      <c r="AY117" s="105">
        <f>IF($AN$14&gt;0,PPMT('Assumptions (Coal)'!$V$6,Model!AH1,'Assumptions (Coal)'!$V$9,'Assumptions (Coal)'!$V$4*Model!$AN$14*AVERAGE('Assumptions (Coal)'!$AG$2:$AL$2)/10^9),0)</f>
        <v>-0.44361425974581309</v>
      </c>
      <c r="AZ117" s="105">
        <f>IF($AN$14&gt;0,PPMT('Assumptions (Coal)'!$V$6,Model!AI1,'Assumptions (Coal)'!$V$9,'Assumptions (Coal)'!$V$4*Model!$AN$14*AVERAGE('Assumptions (Coal)'!$AG$2:$AL$2)/10^9),0)</f>
        <v>-0.46468593708373929</v>
      </c>
      <c r="BA117" s="105">
        <f>IF($AN$14&gt;0,PPMT('Assumptions (Coal)'!$V$6,Model!AJ1,'Assumptions (Coal)'!$V$9,'Assumptions (Coal)'!$V$4*Model!$AN$14*AVERAGE('Assumptions (Coal)'!$AG$2:$AL$2)/10^9),0)</f>
        <v>-0.48675851909521684</v>
      </c>
      <c r="BB117" s="105">
        <f>IF($AN$14&gt;0,PPMT('Assumptions (Coal)'!$V$6,Model!AK1,'Assumptions (Coal)'!$V$9,'Assumptions (Coal)'!$V$4*Model!$AN$14*AVERAGE('Assumptions (Coal)'!$AG$2:$AL$2)/10^9),0)</f>
        <v>-0.50987954875223962</v>
      </c>
      <c r="BC117" s="105"/>
      <c r="BD117" s="105"/>
      <c r="BE117" s="105"/>
      <c r="BF117" s="105"/>
      <c r="BG117" s="105"/>
      <c r="BH117" s="105"/>
      <c r="BI117" s="105"/>
      <c r="BJ117" s="105"/>
      <c r="BK117" s="105"/>
      <c r="BL117" s="105"/>
    </row>
    <row r="118" spans="1:75" ht="15.75" hidden="1" customHeight="1" outlineLevel="1">
      <c r="A118" s="98"/>
      <c r="B118" s="99"/>
      <c r="C118" s="105"/>
      <c r="D118" s="105"/>
      <c r="E118" s="105"/>
      <c r="F118" s="105"/>
      <c r="G118" s="105"/>
      <c r="H118" s="105"/>
      <c r="I118" s="105"/>
      <c r="J118" s="105"/>
      <c r="K118" s="105"/>
      <c r="L118" s="105"/>
      <c r="M118" s="105"/>
      <c r="N118" s="105"/>
      <c r="O118" s="105"/>
      <c r="P118" s="171"/>
      <c r="Q118" s="105"/>
      <c r="R118" s="91"/>
      <c r="S118" s="91"/>
      <c r="T118" s="105"/>
      <c r="U118" s="105"/>
      <c r="V118" s="99"/>
      <c r="W118" s="105"/>
      <c r="X118" s="105"/>
      <c r="Y118" s="105"/>
      <c r="Z118" s="105"/>
      <c r="AA118" s="105"/>
      <c r="AB118" s="105"/>
      <c r="AC118" s="105"/>
      <c r="AD118" s="105"/>
      <c r="AE118" s="105"/>
      <c r="AF118" s="105"/>
      <c r="AG118" s="105"/>
      <c r="AH118" s="105"/>
      <c r="AI118" s="105"/>
      <c r="AJ118" s="171"/>
      <c r="AK118" s="105"/>
      <c r="AL118" s="91"/>
      <c r="AM118" s="91"/>
      <c r="AN118" s="91"/>
      <c r="AO118" s="105">
        <f>IF($AO$14&gt;0,PPMT('Assumptions (Coal)'!$V$6,Model!W1,'Assumptions (Coal)'!$V$9,'Assumptions (Coal)'!$V$4*Model!$AO$14*AVERAGE('Assumptions (Coal)'!$AH$2:$AM$2)/10^9),0)</f>
        <v>-0.23994378108252343</v>
      </c>
      <c r="AP118" s="105">
        <f>IF($AO$14&gt;0,PPMT('Assumptions (Coal)'!$V$6,Model!X1,'Assumptions (Coal)'!$V$9,'Assumptions (Coal)'!$V$4*Model!$AO$14*AVERAGE('Assumptions (Coal)'!$AH$2:$AM$2)/10^9),0)</f>
        <v>-0.25134111068394327</v>
      </c>
      <c r="AQ118" s="105">
        <f>IF($AO$14&gt;0,PPMT('Assumptions (Coal)'!$V$6,Model!Y1,'Assumptions (Coal)'!$V$9,'Assumptions (Coal)'!$V$4*Model!$AO$14*AVERAGE('Assumptions (Coal)'!$AH$2:$AM$2)/10^9),0)</f>
        <v>-0.26327981344143059</v>
      </c>
      <c r="AR118" s="105">
        <f>IF($AO$14&gt;0,PPMT('Assumptions (Coal)'!$V$6,Model!Z1,'Assumptions (Coal)'!$V$9,'Assumptions (Coal)'!$V$4*Model!$AO$14*AVERAGE('Assumptions (Coal)'!$AH$2:$AM$2)/10^9),0)</f>
        <v>-0.27578560457989854</v>
      </c>
      <c r="AS118" s="105">
        <f>IF($AO$14&gt;0,PPMT('Assumptions (Coal)'!$V$6,Model!AA1,'Assumptions (Coal)'!$V$9,'Assumptions (Coal)'!$V$4*Model!$AO$14*AVERAGE('Assumptions (Coal)'!$AH$2:$AM$2)/10^9),0)</f>
        <v>-0.28888542079744367</v>
      </c>
      <c r="AT118" s="105">
        <f>IF($AO$14&gt;0,PPMT('Assumptions (Coal)'!$V$6,Model!AB1,'Assumptions (Coal)'!$V$9,'Assumptions (Coal)'!$V$4*Model!$AO$14*AVERAGE('Assumptions (Coal)'!$AH$2:$AM$2)/10^9),0)</f>
        <v>-0.30260747828532225</v>
      </c>
      <c r="AU118" s="105">
        <f>IF($AO$14&gt;0,PPMT('Assumptions (Coal)'!$V$6,Model!AC1,'Assumptions (Coal)'!$V$9,'Assumptions (Coal)'!$V$4*Model!$AO$14*AVERAGE('Assumptions (Coal)'!$AH$2:$AM$2)/10^9),0)</f>
        <v>-0.31698133350387508</v>
      </c>
      <c r="AV118" s="105">
        <f>IF($AO$14&gt;0,PPMT('Assumptions (Coal)'!$V$6,Model!AD1,'Assumptions (Coal)'!$V$9,'Assumptions (Coal)'!$V$4*Model!$AO$14*AVERAGE('Assumptions (Coal)'!$AH$2:$AM$2)/10^9),0)</f>
        <v>-0.33203794684530918</v>
      </c>
      <c r="AW118" s="105">
        <f>IF($AO$14&gt;0,PPMT('Assumptions (Coal)'!$V$6,Model!AE1,'Assumptions (Coal)'!$V$9,'Assumptions (Coal)'!$V$4*Model!$AO$14*AVERAGE('Assumptions (Coal)'!$AH$2:$AM$2)/10^9),0)</f>
        <v>-0.34780974932046133</v>
      </c>
      <c r="AX118" s="105">
        <f>IF($AO$14&gt;0,PPMT('Assumptions (Coal)'!$V$6,Model!AF1,'Assumptions (Coal)'!$V$9,'Assumptions (Coal)'!$V$4*Model!$AO$14*AVERAGE('Assumptions (Coal)'!$AH$2:$AM$2)/10^9),0)</f>
        <v>-0.36433071241318327</v>
      </c>
      <c r="AY118" s="105">
        <f>IF($AO$14&gt;0,PPMT('Assumptions (Coal)'!$V$6,Model!AG1,'Assumptions (Coal)'!$V$9,'Assumptions (Coal)'!$V$4*Model!$AO$14*AVERAGE('Assumptions (Coal)'!$AH$2:$AM$2)/10^9),0)</f>
        <v>-0.3816364212528095</v>
      </c>
      <c r="AZ118" s="105">
        <f>IF($AO$14&gt;0,PPMT('Assumptions (Coal)'!$V$6,Model!AH1,'Assumptions (Coal)'!$V$9,'Assumptions (Coal)'!$V$4*Model!$AO$14*AVERAGE('Assumptions (Coal)'!$AH$2:$AM$2)/10^9),0)</f>
        <v>-0.3997641512623179</v>
      </c>
      <c r="BA118" s="105">
        <f>IF($AO$14&gt;0,PPMT('Assumptions (Coal)'!$V$6,Model!AI1,'Assumptions (Coal)'!$V$9,'Assumptions (Coal)'!$V$4*Model!$AO$14*AVERAGE('Assumptions (Coal)'!$AH$2:$AM$2)/10^9),0)</f>
        <v>-0.41875294844727806</v>
      </c>
      <c r="BB118" s="105">
        <f>IF($AO$14&gt;0,PPMT('Assumptions (Coal)'!$V$6,Model!AJ1,'Assumptions (Coal)'!$V$9,'Assumptions (Coal)'!$V$4*Model!$AO$14*AVERAGE('Assumptions (Coal)'!$AH$2:$AM$2)/10^9),0)</f>
        <v>-0.43864371349852377</v>
      </c>
      <c r="BC118" s="105">
        <f>IF($AO$14&gt;0,PPMT('Assumptions (Coal)'!$V$6,Model!AK1,'Assumptions (Coal)'!$V$9,'Assumptions (Coal)'!$V$4*Model!$AO$14*AVERAGE('Assumptions (Coal)'!$AH$2:$AM$2)/10^9),0)</f>
        <v>-0.4594792898897036</v>
      </c>
      <c r="BD118" s="105"/>
      <c r="BE118" s="105"/>
      <c r="BF118" s="105"/>
      <c r="BG118" s="105"/>
      <c r="BH118" s="105"/>
      <c r="BI118" s="105"/>
      <c r="BJ118" s="105"/>
      <c r="BK118" s="105"/>
      <c r="BL118" s="105"/>
      <c r="BM118" s="105"/>
    </row>
    <row r="119" spans="1:75" ht="15.75" hidden="1" customHeight="1" outlineLevel="1">
      <c r="A119" s="98"/>
      <c r="B119" s="99"/>
      <c r="C119" s="105"/>
      <c r="D119" s="105"/>
      <c r="E119" s="105"/>
      <c r="F119" s="105"/>
      <c r="G119" s="105"/>
      <c r="H119" s="105"/>
      <c r="I119" s="105"/>
      <c r="J119" s="105"/>
      <c r="K119" s="105"/>
      <c r="L119" s="105"/>
      <c r="M119" s="105"/>
      <c r="N119" s="105"/>
      <c r="O119" s="105"/>
      <c r="P119" s="171"/>
      <c r="Q119" s="105"/>
      <c r="R119" s="91"/>
      <c r="S119" s="91"/>
      <c r="T119" s="91"/>
      <c r="U119" s="105"/>
      <c r="V119" s="99"/>
      <c r="W119" s="105"/>
      <c r="X119" s="105"/>
      <c r="Y119" s="105"/>
      <c r="Z119" s="105"/>
      <c r="AA119" s="105"/>
      <c r="AB119" s="105"/>
      <c r="AC119" s="105"/>
      <c r="AD119" s="105"/>
      <c r="AE119" s="105"/>
      <c r="AF119" s="105"/>
      <c r="AG119" s="105"/>
      <c r="AH119" s="105"/>
      <c r="AI119" s="105"/>
      <c r="AJ119" s="171"/>
      <c r="AK119" s="105"/>
      <c r="AL119" s="91"/>
      <c r="AM119" s="91"/>
      <c r="AN119" s="91"/>
      <c r="AO119" s="105"/>
      <c r="AP119" s="105">
        <f>IF($AP$14&gt;0,PPMT('Assumptions (Coal)'!$V$6,Model!W1,'Assumptions (Coal)'!$V$9,'Assumptions (Coal)'!$V$4*Model!$AP$14*AVERAGE('Assumptions (Coal)'!$AI$2:$AN$2)/10^9),0)</f>
        <v>-5.1966160262928954E-2</v>
      </c>
      <c r="AQ119" s="105">
        <f>IF($AP$14&gt;0,PPMT('Assumptions (Coal)'!$V$6,Model!X1,'Assumptions (Coal)'!$V$9,'Assumptions (Coal)'!$V$4*Model!$AP$14*AVERAGE('Assumptions (Coal)'!$AI$2:$AN$2)/10^9),0)</f>
        <v>-5.4434552875418082E-2</v>
      </c>
      <c r="AR119" s="105">
        <f>IF($AP$14&gt;0,PPMT('Assumptions (Coal)'!$V$6,Model!Y1,'Assumptions (Coal)'!$V$9,'Assumptions (Coal)'!$V$4*Model!$AP$14*AVERAGE('Assumptions (Coal)'!$AI$2:$AN$2)/10^9),0)</f>
        <v>-5.7020194137000449E-2</v>
      </c>
      <c r="AS119" s="105">
        <f>IF($AP$14&gt;0,PPMT('Assumptions (Coal)'!$V$6,Model!Z1,'Assumptions (Coal)'!$V$9,'Assumptions (Coal)'!$V$4*Model!$AP$14*AVERAGE('Assumptions (Coal)'!$AI$2:$AN$2)/10^9),0)</f>
        <v>-5.9728653358507966E-2</v>
      </c>
      <c r="AT119" s="105">
        <f>IF($AP$14&gt;0,PPMT('Assumptions (Coal)'!$V$6,Model!AA1,'Assumptions (Coal)'!$V$9,'Assumptions (Coal)'!$V$4*Model!$AP$14*AVERAGE('Assumptions (Coal)'!$AI$2:$AN$2)/10^9),0)</f>
        <v>-6.2565764393037085E-2</v>
      </c>
      <c r="AU119" s="105">
        <f>IF($AP$14&gt;0,PPMT('Assumptions (Coal)'!$V$6,Model!AB1,'Assumptions (Coal)'!$V$9,'Assumptions (Coal)'!$V$4*Model!$AP$14*AVERAGE('Assumptions (Coal)'!$AI$2:$AN$2)/10^9),0)</f>
        <v>-6.5537638201706355E-2</v>
      </c>
      <c r="AV119" s="105">
        <f>IF($AP$14&gt;0,PPMT('Assumptions (Coal)'!$V$6,Model!AC1,'Assumptions (Coal)'!$V$9,'Assumptions (Coal)'!$V$4*Model!$AP$14*AVERAGE('Assumptions (Coal)'!$AI$2:$AN$2)/10^9),0)</f>
        <v>-6.865067601628741E-2</v>
      </c>
      <c r="AW119" s="105">
        <f>IF($AP$14&gt;0,PPMT('Assumptions (Coal)'!$V$6,Model!AD1,'Assumptions (Coal)'!$V$9,'Assumptions (Coal)'!$V$4*Model!$AP$14*AVERAGE('Assumptions (Coal)'!$AI$2:$AN$2)/10^9),0)</f>
        <v>-7.1911583127061057E-2</v>
      </c>
      <c r="AX119" s="105">
        <f>IF($AP$14&gt;0,PPMT('Assumptions (Coal)'!$V$6,Model!AE1,'Assumptions (Coal)'!$V$9,'Assumptions (Coal)'!$V$4*Model!$AP$14*AVERAGE('Assumptions (Coal)'!$AI$2:$AN$2)/10^9),0)</f>
        <v>-7.532738332559645E-2</v>
      </c>
      <c r="AY119" s="105">
        <f>IF($AP$14&gt;0,PPMT('Assumptions (Coal)'!$V$6,Model!AF1,'Assumptions (Coal)'!$V$9,'Assumptions (Coal)'!$V$4*Model!$AP$14*AVERAGE('Assumptions (Coal)'!$AI$2:$AN$2)/10^9),0)</f>
        <v>-7.8905434033562288E-2</v>
      </c>
      <c r="AZ119" s="105">
        <f>IF($AP$14&gt;0,PPMT('Assumptions (Coal)'!$V$6,Model!AG1,'Assumptions (Coal)'!$V$9,'Assumptions (Coal)'!$V$4*Model!$AP$14*AVERAGE('Assumptions (Coal)'!$AI$2:$AN$2)/10^9),0)</f>
        <v>-8.2653442150156506E-2</v>
      </c>
      <c r="BA119" s="105">
        <f>IF($AP$14&gt;0,PPMT('Assumptions (Coal)'!$V$6,Model!AH1,'Assumptions (Coal)'!$V$9,'Assumptions (Coal)'!$V$4*Model!$AP$14*AVERAGE('Assumptions (Coal)'!$AI$2:$AN$2)/10^9),0)</f>
        <v>-8.6579480652288932E-2</v>
      </c>
      <c r="BB119" s="105">
        <f>IF($AP$14&gt;0,PPMT('Assumptions (Coal)'!$V$6,Model!AI1,'Assumptions (Coal)'!$V$9,'Assumptions (Coal)'!$V$4*Model!$AP$14*AVERAGE('Assumptions (Coal)'!$AI$2:$AN$2)/10^9),0)</f>
        <v>-9.0692005983272664E-2</v>
      </c>
      <c r="BC119" s="105">
        <f>IF($AP$14&gt;0,PPMT('Assumptions (Coal)'!$V$6,Model!AJ1,'Assumptions (Coal)'!$V$9,'Assumptions (Coal)'!$V$4*Model!$AP$14*AVERAGE('Assumptions (Coal)'!$AI$2:$AN$2)/10^9),0)</f>
        <v>-9.4999876267478106E-2</v>
      </c>
      <c r="BD119" s="105">
        <f>IF($AP$14&gt;0,PPMT('Assumptions (Coal)'!$V$6,Model!AK1,'Assumptions (Coal)'!$V$9,'Assumptions (Coal)'!$V$4*Model!$AP$14*AVERAGE('Assumptions (Coal)'!$AI$2:$AN$2)/10^9),0)</f>
        <v>-9.9512370390183319E-2</v>
      </c>
      <c r="BE119" s="105"/>
      <c r="BF119" s="105"/>
      <c r="BG119" s="105"/>
      <c r="BH119" s="105"/>
      <c r="BI119" s="105"/>
      <c r="BJ119" s="105"/>
      <c r="BK119" s="105"/>
      <c r="BL119" s="105"/>
      <c r="BM119" s="105"/>
      <c r="BN119" s="105"/>
    </row>
    <row r="120" spans="1:75" ht="15.75" hidden="1" customHeight="1" outlineLevel="1">
      <c r="A120" s="98"/>
      <c r="B120" s="99"/>
      <c r="C120" s="105"/>
      <c r="D120" s="105"/>
      <c r="E120" s="105"/>
      <c r="F120" s="105"/>
      <c r="G120" s="105"/>
      <c r="H120" s="105"/>
      <c r="I120" s="105"/>
      <c r="J120" s="105"/>
      <c r="K120" s="105"/>
      <c r="L120" s="105"/>
      <c r="M120" s="105"/>
      <c r="N120" s="105"/>
      <c r="O120" s="105"/>
      <c r="P120" s="171"/>
      <c r="Q120" s="105"/>
      <c r="R120" s="91"/>
      <c r="S120" s="91"/>
      <c r="T120" s="91"/>
      <c r="U120" s="105"/>
      <c r="V120" s="99"/>
      <c r="W120" s="105"/>
      <c r="X120" s="105"/>
      <c r="Y120" s="105"/>
      <c r="Z120" s="105"/>
      <c r="AA120" s="105"/>
      <c r="AB120" s="105"/>
      <c r="AC120" s="105"/>
      <c r="AD120" s="105"/>
      <c r="AE120" s="105"/>
      <c r="AF120" s="105"/>
      <c r="AG120" s="105"/>
      <c r="AH120" s="105"/>
      <c r="AI120" s="105"/>
      <c r="AJ120" s="171"/>
      <c r="AK120" s="105"/>
      <c r="AL120" s="91"/>
      <c r="AM120" s="91"/>
      <c r="AN120" s="91"/>
      <c r="AO120" s="105"/>
      <c r="AP120" s="105"/>
      <c r="AQ120" s="105">
        <f>IF($AQ$14&gt;0,PPMT('Assumptions (Coal)'!$V$6,Model!W1,'Assumptions (Coal)'!$V$9,'Assumptions (Coal)'!$V$4*Model!$AQ$14*AVERAGE('Assumptions (Coal)'!$AJ$2:$AO$2)/10^9),0)</f>
        <v>-0.50260822544022354</v>
      </c>
      <c r="AR120" s="105">
        <f>IF($AQ$14&gt;0,PPMT('Assumptions (Coal)'!$V$6,Model!X1,'Assumptions (Coal)'!$V$9,'Assumptions (Coal)'!$V$4*Model!$AQ$14*AVERAGE('Assumptions (Coal)'!$AJ$2:$AO$2)/10^9),0)</f>
        <v>-0.52648211614863416</v>
      </c>
      <c r="AS120" s="105">
        <f>IF($AQ$14&gt;0,PPMT('Assumptions (Coal)'!$V$6,Model!Y1,'Assumptions (Coal)'!$V$9,'Assumptions (Coal)'!$V$4*Model!$AQ$14*AVERAGE('Assumptions (Coal)'!$AJ$2:$AO$2)/10^9),0)</f>
        <v>-0.55149001666569442</v>
      </c>
      <c r="AT120" s="105">
        <f>IF($AQ$14&gt;0,PPMT('Assumptions (Coal)'!$V$6,Model!Z1,'Assumptions (Coal)'!$V$9,'Assumptions (Coal)'!$V$4*Model!$AQ$14*AVERAGE('Assumptions (Coal)'!$AJ$2:$AO$2)/10^9),0)</f>
        <v>-0.57768579245731477</v>
      </c>
      <c r="AU120" s="105">
        <f>IF($AQ$14&gt;0,PPMT('Assumptions (Coal)'!$V$6,Model!AA1,'Assumptions (Coal)'!$V$9,'Assumptions (Coal)'!$V$4*Model!$AQ$14*AVERAGE('Assumptions (Coal)'!$AJ$2:$AO$2)/10^9),0)</f>
        <v>-0.60512586759903719</v>
      </c>
      <c r="AV120" s="105">
        <f>IF($AQ$14&gt;0,PPMT('Assumptions (Coal)'!$V$6,Model!AB1,'Assumptions (Coal)'!$V$9,'Assumptions (Coal)'!$V$4*Model!$AQ$14*AVERAGE('Assumptions (Coal)'!$AJ$2:$AO$2)/10^9),0)</f>
        <v>-0.63386934630999148</v>
      </c>
      <c r="AW120" s="105">
        <f>IF($AQ$14&gt;0,PPMT('Assumptions (Coal)'!$V$6,Model!AC1,'Assumptions (Coal)'!$V$9,'Assumptions (Coal)'!$V$4*Model!$AQ$14*AVERAGE('Assumptions (Coal)'!$AJ$2:$AO$2)/10^9),0)</f>
        <v>-0.66397814025971613</v>
      </c>
      <c r="AX120" s="105">
        <f>IF($AQ$14&gt;0,PPMT('Assumptions (Coal)'!$V$6,Model!AD1,'Assumptions (Coal)'!$V$9,'Assumptions (Coal)'!$V$4*Model!$AQ$14*AVERAGE('Assumptions (Coal)'!$AJ$2:$AO$2)/10^9),0)</f>
        <v>-0.69551710192205263</v>
      </c>
      <c r="AY120" s="105">
        <f>IF($AQ$14&gt;0,PPMT('Assumptions (Coal)'!$V$6,Model!AE1,'Assumptions (Coal)'!$V$9,'Assumptions (Coal)'!$V$4*Model!$AQ$14*AVERAGE('Assumptions (Coal)'!$AJ$2:$AO$2)/10^9),0)</f>
        <v>-0.72855416426335007</v>
      </c>
      <c r="AZ120" s="105">
        <f>IF($AQ$14&gt;0,PPMT('Assumptions (Coal)'!$V$6,Model!AF1,'Assumptions (Coal)'!$V$9,'Assumptions (Coal)'!$V$4*Model!$AQ$14*AVERAGE('Assumptions (Coal)'!$AJ$2:$AO$2)/10^9),0)</f>
        <v>-0.76316048706585926</v>
      </c>
      <c r="BA120" s="105">
        <f>IF($AQ$14&gt;0,PPMT('Assumptions (Coal)'!$V$6,Model!AG1,'Assumptions (Coal)'!$V$9,'Assumptions (Coal)'!$V$4*Model!$AQ$14*AVERAGE('Assumptions (Coal)'!$AJ$2:$AO$2)/10^9),0)</f>
        <v>-0.79941061020148763</v>
      </c>
      <c r="BB120" s="105">
        <f>IF($AQ$14&gt;0,PPMT('Assumptions (Coal)'!$V$6,Model!AH1,'Assumptions (Coal)'!$V$9,'Assumptions (Coal)'!$V$4*Model!$AQ$14*AVERAGE('Assumptions (Coal)'!$AJ$2:$AO$2)/10^9),0)</f>
        <v>-0.83738261418605819</v>
      </c>
      <c r="BC120" s="105">
        <f>IF($AQ$14&gt;0,PPMT('Assumptions (Coal)'!$V$6,Model!AI1,'Assumptions (Coal)'!$V$9,'Assumptions (Coal)'!$V$4*Model!$AQ$14*AVERAGE('Assumptions (Coal)'!$AJ$2:$AO$2)/10^9),0)</f>
        <v>-0.87715828835989607</v>
      </c>
      <c r="BD120" s="105">
        <f>IF($AQ$14&gt;0,PPMT('Assumptions (Coal)'!$V$6,Model!AJ1,'Assumptions (Coal)'!$V$9,'Assumptions (Coal)'!$V$4*Model!$AQ$14*AVERAGE('Assumptions (Coal)'!$AJ$2:$AO$2)/10^9),0)</f>
        <v>-0.91882330705699111</v>
      </c>
      <c r="BE120" s="105">
        <f>IF($AQ$14&gt;0,PPMT('Assumptions (Coal)'!$V$6,Model!AK1,'Assumptions (Coal)'!$V$9,'Assumptions (Coal)'!$V$4*Model!$AQ$14*AVERAGE('Assumptions (Coal)'!$AJ$2:$AO$2)/10^9),0)</f>
        <v>-0.96246741414219805</v>
      </c>
      <c r="BF120" s="105"/>
      <c r="BG120" s="105"/>
      <c r="BH120" s="105"/>
      <c r="BI120" s="105"/>
      <c r="BJ120" s="105"/>
      <c r="BK120" s="105"/>
      <c r="BL120" s="105"/>
      <c r="BM120" s="105"/>
      <c r="BN120" s="105"/>
      <c r="BO120" s="105"/>
    </row>
    <row r="121" spans="1:75" ht="15.75" hidden="1" customHeight="1" outlineLevel="1">
      <c r="A121" s="98"/>
      <c r="B121" s="99"/>
      <c r="C121" s="99"/>
      <c r="D121" s="99"/>
      <c r="E121" s="99"/>
      <c r="F121" s="99"/>
      <c r="G121" s="99"/>
      <c r="H121" s="99"/>
      <c r="I121" s="99"/>
      <c r="J121" s="99"/>
      <c r="K121" s="99"/>
      <c r="L121" s="99"/>
      <c r="M121" s="99"/>
      <c r="N121" s="99"/>
      <c r="O121" s="99"/>
      <c r="P121" s="99"/>
      <c r="Q121" s="99"/>
      <c r="R121" s="99"/>
      <c r="S121" s="99"/>
      <c r="T121" s="99"/>
      <c r="U121" s="99"/>
      <c r="V121" s="99"/>
      <c r="W121" s="105"/>
      <c r="X121" s="105"/>
      <c r="Y121" s="105"/>
      <c r="Z121" s="105"/>
      <c r="AA121" s="105"/>
      <c r="AB121" s="105"/>
      <c r="AC121" s="105"/>
      <c r="AD121" s="105"/>
      <c r="AE121" s="105"/>
      <c r="AF121" s="105"/>
      <c r="AG121" s="105"/>
      <c r="AH121" s="105"/>
      <c r="AI121" s="105"/>
      <c r="AJ121" s="171"/>
      <c r="AK121" s="105"/>
      <c r="AL121" s="91"/>
      <c r="AM121" s="91"/>
      <c r="AN121" s="91"/>
      <c r="AO121" s="105"/>
      <c r="AP121" s="105"/>
      <c r="AQ121" s="105"/>
      <c r="AR121" s="105">
        <f>IF($AR$14&gt;0,PPMT('Assumptions (Coal)'!$V$6,Model!W1,'Assumptions (Coal)'!$V$9,'Assumptions (Coal)'!$V$4*Model!$AR$14*AVERAGE('Assumptions (Coal)'!$AK$2:$AP$2)/10^9),0)</f>
        <v>-0.47785468110658724</v>
      </c>
      <c r="AS121" s="105">
        <f>IF($AR$14&gt;0,PPMT('Assumptions (Coal)'!$V$6,Model!X1,'Assumptions (Coal)'!$V$9,'Assumptions (Coal)'!$V$4*Model!$AR$14*AVERAGE('Assumptions (Coal)'!$AK$2:$AP$2)/10^9),0)</f>
        <v>-0.50055277845915014</v>
      </c>
      <c r="AT121" s="105">
        <f>IF($AR$14&gt;0,PPMT('Assumptions (Coal)'!$V$6,Model!Y1,'Assumptions (Coal)'!$V$9,'Assumptions (Coal)'!$V$4*Model!$AR$14*AVERAGE('Assumptions (Coal)'!$AK$2:$AP$2)/10^9),0)</f>
        <v>-0.52432903543595977</v>
      </c>
      <c r="AU121" s="105">
        <f>IF($AR$14&gt;0,PPMT('Assumptions (Coal)'!$V$6,Model!Z1,'Assumptions (Coal)'!$V$9,'Assumptions (Coal)'!$V$4*Model!$AR$14*AVERAGE('Assumptions (Coal)'!$AK$2:$AP$2)/10^9),0)</f>
        <v>-0.54923466461916781</v>
      </c>
      <c r="AV121" s="105">
        <f>IF($AR$14&gt;0,PPMT('Assumptions (Coal)'!$V$6,Model!AA1,'Assumptions (Coal)'!$V$9,'Assumptions (Coal)'!$V$4*Model!$AR$14*AVERAGE('Assumptions (Coal)'!$AK$2:$AP$2)/10^9),0)</f>
        <v>-0.57532331118857827</v>
      </c>
      <c r="AW121" s="105">
        <f>IF($AR$14&gt;0,PPMT('Assumptions (Coal)'!$V$6,Model!AB1,'Assumptions (Coal)'!$V$9,'Assumptions (Coal)'!$V$4*Model!$AR$14*AVERAGE('Assumptions (Coal)'!$AK$2:$AP$2)/10^9),0)</f>
        <v>-0.60265116847003575</v>
      </c>
      <c r="AX121" s="105">
        <f>IF($AR$14&gt;0,PPMT('Assumptions (Coal)'!$V$6,Model!AC1,'Assumptions (Coal)'!$V$9,'Assumptions (Coal)'!$V$4*Model!$AR$14*AVERAGE('Assumptions (Coal)'!$AK$2:$AP$2)/10^9),0)</f>
        <v>-0.63127709897236239</v>
      </c>
      <c r="AY121" s="105">
        <f>IF($AR$14&gt;0,PPMT('Assumptions (Coal)'!$V$6,Model!AD1,'Assumptions (Coal)'!$V$9,'Assumptions (Coal)'!$V$4*Model!$AR$14*AVERAGE('Assumptions (Coal)'!$AK$2:$AP$2)/10^9),0)</f>
        <v>-0.66126276117354976</v>
      </c>
      <c r="AZ121" s="105">
        <f>IF($AR$14&gt;0,PPMT('Assumptions (Coal)'!$V$6,Model!AE1,'Assumptions (Coal)'!$V$9,'Assumptions (Coal)'!$V$4*Model!$AR$14*AVERAGE('Assumptions (Coal)'!$AK$2:$AP$2)/10^9),0)</f>
        <v>-0.69267274232929321</v>
      </c>
      <c r="BA121" s="105">
        <f>IF($AR$14&gt;0,PPMT('Assumptions (Coal)'!$V$6,Model!AF1,'Assumptions (Coal)'!$V$9,'Assumptions (Coal)'!$V$4*Model!$AR$14*AVERAGE('Assumptions (Coal)'!$AK$2:$AP$2)/10^9),0)</f>
        <v>-0.72557469758993476</v>
      </c>
      <c r="BB121" s="105">
        <f>IF($AR$14&gt;0,PPMT('Assumptions (Coal)'!$V$6,Model!AG1,'Assumptions (Coal)'!$V$9,'Assumptions (Coal)'!$V$4*Model!$AR$14*AVERAGE('Assumptions (Coal)'!$AK$2:$AP$2)/10^9),0)</f>
        <v>-0.7600394957254567</v>
      </c>
      <c r="BC121" s="105">
        <f>IF($AR$14&gt;0,PPMT('Assumptions (Coal)'!$V$6,Model!AH1,'Assumptions (Coal)'!$V$9,'Assumptions (Coal)'!$V$4*Model!$AR$14*AVERAGE('Assumptions (Coal)'!$AK$2:$AP$2)/10^9),0)</f>
        <v>-0.79614137177241584</v>
      </c>
      <c r="BD121" s="105">
        <f>IF($AR$14&gt;0,PPMT('Assumptions (Coal)'!$V$6,Model!AI1,'Assumptions (Coal)'!$V$9,'Assumptions (Coal)'!$V$4*Model!$AR$14*AVERAGE('Assumptions (Coal)'!$AK$2:$AP$2)/10^9),0)</f>
        <v>-0.83395808693160567</v>
      </c>
      <c r="BE121" s="105">
        <f>IF($AR$14&gt;0,PPMT('Assumptions (Coal)'!$V$6,Model!AJ1,'Assumptions (Coal)'!$V$9,'Assumptions (Coal)'!$V$4*Model!$AR$14*AVERAGE('Assumptions (Coal)'!$AK$2:$AP$2)/10^9),0)</f>
        <v>-0.87357109606085692</v>
      </c>
      <c r="BF121" s="105">
        <f>IF($AR$14&gt;0,PPMT('Assumptions (Coal)'!$V$6,Model!AK1,'Assumptions (Coal)'!$V$9,'Assumptions (Coal)'!$V$4*Model!$AR$14*AVERAGE('Assumptions (Coal)'!$AK$2:$AP$2)/10^9),0)</f>
        <v>-0.91506572312374745</v>
      </c>
      <c r="BG121" s="105"/>
      <c r="BH121" s="105"/>
      <c r="BI121" s="105"/>
      <c r="BJ121" s="105"/>
      <c r="BK121" s="105"/>
      <c r="BL121" s="105"/>
      <c r="BM121" s="105"/>
      <c r="BN121" s="105"/>
      <c r="BO121" s="105"/>
      <c r="BP121" s="105"/>
    </row>
    <row r="122" spans="1:75" ht="15.75" hidden="1" customHeight="1" outlineLevel="1">
      <c r="A122" s="98"/>
      <c r="B122" s="99"/>
      <c r="C122" s="99"/>
      <c r="D122" s="99"/>
      <c r="E122" s="99"/>
      <c r="F122" s="99"/>
      <c r="G122" s="99"/>
      <c r="H122" s="99"/>
      <c r="I122" s="99"/>
      <c r="J122" s="99"/>
      <c r="K122" s="99"/>
      <c r="L122" s="99"/>
      <c r="M122" s="99"/>
      <c r="N122" s="99"/>
      <c r="O122" s="99"/>
      <c r="P122" s="99"/>
      <c r="Q122" s="99"/>
      <c r="R122" s="99"/>
      <c r="S122" s="99"/>
      <c r="T122" s="99"/>
      <c r="U122" s="99"/>
      <c r="V122" s="99"/>
      <c r="W122" s="105"/>
      <c r="X122" s="105"/>
      <c r="Y122" s="105"/>
      <c r="Z122" s="105"/>
      <c r="AA122" s="105"/>
      <c r="AB122" s="105"/>
      <c r="AC122" s="105"/>
      <c r="AD122" s="105"/>
      <c r="AE122" s="105"/>
      <c r="AF122" s="105"/>
      <c r="AG122" s="105"/>
      <c r="AH122" s="105"/>
      <c r="AI122" s="105"/>
      <c r="AJ122" s="171"/>
      <c r="AK122" s="105"/>
      <c r="AL122" s="91"/>
      <c r="AM122" s="91"/>
      <c r="AN122" s="91"/>
      <c r="AO122" s="105"/>
      <c r="AP122" s="105"/>
      <c r="AQ122" s="105"/>
      <c r="AR122" s="105"/>
      <c r="AS122" s="105">
        <f>IF($AS$14&gt;0,PPMT('Assumptions (Coal)'!$V$6,Model!W1,'Assumptions (Coal)'!$V$9,'Assumptions (Coal)'!$V$4*Model!$AS$14*AVERAGE('Assumptions (Coal)'!$AL$2:$AQ$2)/10^9),0)</f>
        <v>-0.25923729907485049</v>
      </c>
      <c r="AT122" s="105">
        <f>IF($AS$14&gt;0,PPMT('Assumptions (Coal)'!$V$6,Model!X1,'Assumptions (Coal)'!$V$9,'Assumptions (Coal)'!$V$4*Model!$AS$14*AVERAGE('Assumptions (Coal)'!$AL$2:$AQ$2)/10^9),0)</f>
        <v>-0.27155107078090585</v>
      </c>
      <c r="AU122" s="105">
        <f>IF($AS$14&gt;0,PPMT('Assumptions (Coal)'!$V$6,Model!Y1,'Assumptions (Coal)'!$V$9,'Assumptions (Coal)'!$V$4*Model!$AS$14*AVERAGE('Assumptions (Coal)'!$AL$2:$AQ$2)/10^9),0)</f>
        <v>-0.28444974664299894</v>
      </c>
      <c r="AV122" s="105">
        <f>IF($AS$14&gt;0,PPMT('Assumptions (Coal)'!$V$6,Model!Z1,'Assumptions (Coal)'!$V$9,'Assumptions (Coal)'!$V$4*Model!$AS$14*AVERAGE('Assumptions (Coal)'!$AL$2:$AQ$2)/10^9),0)</f>
        <v>-0.29796110960854133</v>
      </c>
      <c r="AW122" s="105">
        <f>IF($AS$14&gt;0,PPMT('Assumptions (Coal)'!$V$6,Model!AA1,'Assumptions (Coal)'!$V$9,'Assumptions (Coal)'!$V$4*Model!$AS$14*AVERAGE('Assumptions (Coal)'!$AL$2:$AQ$2)/10^9),0)</f>
        <v>-0.31211426231494699</v>
      </c>
      <c r="AX122" s="105">
        <f>IF($AS$14&gt;0,PPMT('Assumptions (Coal)'!$V$6,Model!AB1,'Assumptions (Coal)'!$V$9,'Assumptions (Coal)'!$V$4*Model!$AS$14*AVERAGE('Assumptions (Coal)'!$AL$2:$AQ$2)/10^9),0)</f>
        <v>-0.32693968977490706</v>
      </c>
      <c r="AY122" s="105">
        <f>IF($AS$14&gt;0,PPMT('Assumptions (Coal)'!$V$6,Model!AC1,'Assumptions (Coal)'!$V$9,'Assumptions (Coal)'!$V$4*Model!$AS$14*AVERAGE('Assumptions (Coal)'!$AL$2:$AQ$2)/10^9),0)</f>
        <v>-0.34246932503921512</v>
      </c>
      <c r="AZ122" s="105">
        <f>IF($AS$14&gt;0,PPMT('Assumptions (Coal)'!$V$6,Model!AD1,'Assumptions (Coal)'!$V$9,'Assumptions (Coal)'!$V$4*Model!$AS$14*AVERAGE('Assumptions (Coal)'!$AL$2:$AQ$2)/10^9),0)</f>
        <v>-0.35873661797857787</v>
      </c>
      <c r="BA122" s="105">
        <f>IF($AS$14&gt;0,PPMT('Assumptions (Coal)'!$V$6,Model!AE1,'Assumptions (Coal)'!$V$9,'Assumptions (Coal)'!$V$4*Model!$AS$14*AVERAGE('Assumptions (Coal)'!$AL$2:$AQ$2)/10^9),0)</f>
        <v>-0.37577660733256024</v>
      </c>
      <c r="BB122" s="105">
        <f>IF($AS$14&gt;0,PPMT('Assumptions (Coal)'!$V$6,Model!AF1,'Assumptions (Coal)'!$V$9,'Assumptions (Coal)'!$V$4*Model!$AS$14*AVERAGE('Assumptions (Coal)'!$AL$2:$AQ$2)/10^9),0)</f>
        <v>-0.39362599618085697</v>
      </c>
      <c r="BC122" s="105">
        <f>IF($AS$14&gt;0,PPMT('Assumptions (Coal)'!$V$6,Model!AG1,'Assumptions (Coal)'!$V$9,'Assumptions (Coal)'!$V$4*Model!$AS$14*AVERAGE('Assumptions (Coal)'!$AL$2:$AQ$2)/10^9),0)</f>
        <v>-0.41232323099944768</v>
      </c>
      <c r="BD122" s="105">
        <f>IF($AS$14&gt;0,PPMT('Assumptions (Coal)'!$V$6,Model!AH1,'Assumptions (Coal)'!$V$9,'Assumptions (Coal)'!$V$4*Model!$AS$14*AVERAGE('Assumptions (Coal)'!$AL$2:$AQ$2)/10^9),0)</f>
        <v>-0.43190858447192138</v>
      </c>
      <c r="BE122" s="105">
        <f>IF($AS$14&gt;0,PPMT('Assumptions (Coal)'!$V$6,Model!AI1,'Assumptions (Coal)'!$V$9,'Assumptions (Coal)'!$V$4*Model!$AS$14*AVERAGE('Assumptions (Coal)'!$AL$2:$AQ$2)/10^9),0)</f>
        <v>-0.45242424223433769</v>
      </c>
      <c r="BF122" s="105">
        <f>IF($AS$14&gt;0,PPMT('Assumptions (Coal)'!$V$6,Model!AJ1,'Assumptions (Coal)'!$V$9,'Assumptions (Coal)'!$V$4*Model!$AS$14*AVERAGE('Assumptions (Coal)'!$AL$2:$AQ$2)/10^9),0)</f>
        <v>-0.47391439374046868</v>
      </c>
      <c r="BG122" s="105">
        <f>IF($AS$14&gt;0,PPMT('Assumptions (Coal)'!$V$6,Model!AK1,'Assumptions (Coal)'!$V$9,'Assumptions (Coal)'!$V$4*Model!$AS$14*AVERAGE('Assumptions (Coal)'!$AL$2:$AQ$2)/10^9),0)</f>
        <v>-0.49642532744314094</v>
      </c>
      <c r="BH122" s="105"/>
      <c r="BI122" s="105"/>
      <c r="BJ122" s="105"/>
      <c r="BK122" s="105"/>
      <c r="BL122" s="105"/>
      <c r="BM122" s="105"/>
      <c r="BN122" s="105"/>
      <c r="BO122" s="105"/>
      <c r="BP122" s="105"/>
      <c r="BQ122" s="105"/>
      <c r="BR122" s="105"/>
    </row>
    <row r="123" spans="1:75" ht="15.75" hidden="1" customHeight="1" outlineLevel="1">
      <c r="A123" s="98"/>
      <c r="B123" s="99"/>
      <c r="C123" s="99"/>
      <c r="D123" s="99"/>
      <c r="E123" s="99"/>
      <c r="F123" s="99"/>
      <c r="G123" s="99"/>
      <c r="H123" s="99"/>
      <c r="I123" s="99"/>
      <c r="J123" s="99"/>
      <c r="K123" s="99"/>
      <c r="L123" s="99"/>
      <c r="M123" s="99"/>
      <c r="N123" s="99"/>
      <c r="O123" s="99"/>
      <c r="P123" s="99"/>
      <c r="Q123" s="99"/>
      <c r="R123" s="99"/>
      <c r="S123" s="99"/>
      <c r="T123" s="99"/>
      <c r="U123" s="99"/>
      <c r="V123" s="99"/>
      <c r="W123" s="105"/>
      <c r="X123" s="105"/>
      <c r="Y123" s="105"/>
      <c r="Z123" s="105"/>
      <c r="AA123" s="105"/>
      <c r="AB123" s="105"/>
      <c r="AC123" s="105"/>
      <c r="AD123" s="105"/>
      <c r="AE123" s="105"/>
      <c r="AF123" s="105"/>
      <c r="AG123" s="105"/>
      <c r="AH123" s="105"/>
      <c r="AI123" s="105"/>
      <c r="AJ123" s="171"/>
      <c r="AK123" s="105"/>
      <c r="AL123" s="91"/>
      <c r="AM123" s="91"/>
      <c r="AN123" s="91"/>
      <c r="AO123" s="105"/>
      <c r="AP123" s="105"/>
      <c r="AQ123" s="105"/>
      <c r="AR123" s="105"/>
      <c r="AS123" s="105"/>
      <c r="AT123" s="105">
        <f>IF($AT$14&gt;0,PPMT('Assumptions (Coal)'!$V$6,Model!W1,'Assumptions (Coal)'!$V$9,'Assumptions (Coal)'!$V$4*Model!$AT$14*AVERAGE('Assumptions (Coal)'!$AM$2:$AR$2)/10^9),0)</f>
        <v>-0.93693811452550013</v>
      </c>
      <c r="AU123" s="105">
        <f>IF($AT$14&gt;0,PPMT('Assumptions (Coal)'!$V$6,Model!X1,'Assumptions (Coal)'!$V$9,'Assumptions (Coal)'!$V$4*Model!$AT$14*AVERAGE('Assumptions (Coal)'!$AM$2:$AR$2)/10^9),0)</f>
        <v>-0.98144267496546134</v>
      </c>
      <c r="AV123" s="105">
        <f>IF($AT$14&gt;0,PPMT('Assumptions (Coal)'!$V$6,Model!Y1,'Assumptions (Coal)'!$V$9,'Assumptions (Coal)'!$V$4*Model!$AT$14*AVERAGE('Assumptions (Coal)'!$AM$2:$AR$2)/10^9),0)</f>
        <v>-1.0280612020263209</v>
      </c>
      <c r="AW123" s="105">
        <f>IF($AT$14&gt;0,PPMT('Assumptions (Coal)'!$V$6,Model!Z1,'Assumptions (Coal)'!$V$9,'Assumptions (Coal)'!$V$4*Model!$AT$14*AVERAGE('Assumptions (Coal)'!$AM$2:$AR$2)/10^9),0)</f>
        <v>-1.076894109122571</v>
      </c>
      <c r="AX123" s="105">
        <f>IF($AT$14&gt;0,PPMT('Assumptions (Coal)'!$V$6,Model!AA1,'Assumptions (Coal)'!$V$9,'Assumptions (Coal)'!$V$4*Model!$AT$14*AVERAGE('Assumptions (Coal)'!$AM$2:$AR$2)/10^9),0)</f>
        <v>-1.1280465793058931</v>
      </c>
      <c r="AY123" s="105">
        <f>IF($AT$14&gt;0,PPMT('Assumptions (Coal)'!$V$6,Model!AB1,'Assumptions (Coal)'!$V$9,'Assumptions (Coal)'!$V$4*Model!$AT$14*AVERAGE('Assumptions (Coal)'!$AM$2:$AR$2)/10^9),0)</f>
        <v>-1.1816287918229231</v>
      </c>
      <c r="AZ123" s="105">
        <f>IF($AT$14&gt;0,PPMT('Assumptions (Coal)'!$V$6,Model!AC1,'Assumptions (Coal)'!$V$9,'Assumptions (Coal)'!$V$4*Model!$AT$14*AVERAGE('Assumptions (Coal)'!$AM$2:$AR$2)/10^9),0)</f>
        <v>-1.2377561594345119</v>
      </c>
      <c r="BA123" s="105">
        <f>IF($AT$14&gt;0,PPMT('Assumptions (Coal)'!$V$6,Model!AD1,'Assumptions (Coal)'!$V$9,'Assumptions (Coal)'!$V$4*Model!$AT$14*AVERAGE('Assumptions (Coal)'!$AM$2:$AR$2)/10^9),0)</f>
        <v>-1.2965495770076512</v>
      </c>
      <c r="BB123" s="105">
        <f>IF($AT$14&gt;0,PPMT('Assumptions (Coal)'!$V$6,Model!AE1,'Assumptions (Coal)'!$V$9,'Assumptions (Coal)'!$V$4*Model!$AT$14*AVERAGE('Assumptions (Coal)'!$AM$2:$AR$2)/10^9),0)</f>
        <v>-1.3581356819155146</v>
      </c>
      <c r="BC123" s="105">
        <f>IF($AT$14&gt;0,PPMT('Assumptions (Coal)'!$V$6,Model!AF1,'Assumptions (Coal)'!$V$9,'Assumptions (Coal)'!$V$4*Model!$AT$14*AVERAGE('Assumptions (Coal)'!$AM$2:$AR$2)/10^9),0)</f>
        <v>-1.4226471268065017</v>
      </c>
      <c r="BD123" s="105">
        <f>IF($AT$14&gt;0,PPMT('Assumptions (Coal)'!$V$6,Model!AG1,'Assumptions (Coal)'!$V$9,'Assumptions (Coal)'!$V$4*Model!$AT$14*AVERAGE('Assumptions (Coal)'!$AM$2:$AR$2)/10^9),0)</f>
        <v>-1.4902228653298106</v>
      </c>
      <c r="BE123" s="105">
        <f>IF($AT$14&gt;0,PPMT('Assumptions (Coal)'!$V$6,Model!AH1,'Assumptions (Coal)'!$V$9,'Assumptions (Coal)'!$V$4*Model!$AT$14*AVERAGE('Assumptions (Coal)'!$AM$2:$AR$2)/10^9),0)</f>
        <v>-1.5610084514329765</v>
      </c>
      <c r="BF123" s="105">
        <f>IF($AT$14&gt;0,PPMT('Assumptions (Coal)'!$V$6,Model!AI1,'Assumptions (Coal)'!$V$9,'Assumptions (Coal)'!$V$4*Model!$AT$14*AVERAGE('Assumptions (Coal)'!$AM$2:$AR$2)/10^9),0)</f>
        <v>-1.6351563528760429</v>
      </c>
      <c r="BG123" s="105">
        <f>IF($AT$14&gt;0,PPMT('Assumptions (Coal)'!$V$6,Model!AJ1,'Assumptions (Coal)'!$V$9,'Assumptions (Coal)'!$V$4*Model!$AT$14*AVERAGE('Assumptions (Coal)'!$AM$2:$AR$2)/10^9),0)</f>
        <v>-1.712826279637655</v>
      </c>
      <c r="BH123" s="105">
        <f>IF($AT$14&gt;0,PPMT('Assumptions (Coal)'!$V$6,Model!AK1,'Assumptions (Coal)'!$V$9,'Assumptions (Coal)'!$V$4*Model!$AT$14*AVERAGE('Assumptions (Coal)'!$AM$2:$AR$2)/10^9),0)</f>
        <v>-1.7941855279204433</v>
      </c>
      <c r="BI123" s="105"/>
      <c r="BJ123" s="105"/>
      <c r="BK123" s="105"/>
      <c r="BL123" s="105"/>
      <c r="BM123" s="105"/>
      <c r="BN123" s="105"/>
      <c r="BO123" s="105"/>
      <c r="BP123" s="105"/>
      <c r="BQ123" s="105"/>
      <c r="BR123" s="105"/>
    </row>
    <row r="124" spans="1:75" ht="15.75" hidden="1" customHeight="1" outlineLevel="1">
      <c r="A124" s="98"/>
      <c r="B124" s="99"/>
      <c r="C124" s="99"/>
      <c r="D124" s="99"/>
      <c r="E124" s="99"/>
      <c r="F124" s="99"/>
      <c r="G124" s="99"/>
      <c r="H124" s="99"/>
      <c r="I124" s="99"/>
      <c r="J124" s="99"/>
      <c r="K124" s="99"/>
      <c r="L124" s="99"/>
      <c r="M124" s="99"/>
      <c r="N124" s="99"/>
      <c r="O124" s="99"/>
      <c r="P124" s="99"/>
      <c r="Q124" s="99"/>
      <c r="R124" s="99"/>
      <c r="S124" s="99"/>
      <c r="T124" s="99"/>
      <c r="U124" s="99"/>
      <c r="V124" s="99"/>
      <c r="W124" s="105"/>
      <c r="X124" s="105"/>
      <c r="Y124" s="105"/>
      <c r="Z124" s="105"/>
      <c r="AA124" s="105"/>
      <c r="AB124" s="105"/>
      <c r="AC124" s="105"/>
      <c r="AD124" s="105"/>
      <c r="AE124" s="105"/>
      <c r="AF124" s="105"/>
      <c r="AG124" s="105"/>
      <c r="AH124" s="105"/>
      <c r="AI124" s="105"/>
      <c r="AJ124" s="171"/>
      <c r="AK124" s="105"/>
      <c r="AL124" s="91"/>
      <c r="AM124" s="91"/>
      <c r="AN124" s="91"/>
      <c r="AO124" s="105"/>
      <c r="AP124" s="105"/>
      <c r="AQ124" s="105"/>
      <c r="AR124" s="105"/>
      <c r="AS124" s="105"/>
      <c r="AT124" s="105"/>
      <c r="AU124" s="105">
        <f>IF($AU$14&gt;0,PPMT('Assumptions (Coal)'!$V$6,Model!W1,'Assumptions (Coal)'!$V$9,'Assumptions (Coal)'!$V$4*Model!$AU$14*AVERAGE('Assumptions (Coal)'!$AN$2:$AS$2)/10^9),0)</f>
        <v>-0.20487385202298627</v>
      </c>
      <c r="AV124" s="105">
        <f>IF($AU$14&gt;0,PPMT('Assumptions (Coal)'!$V$6,Model!X1,'Assumptions (Coal)'!$V$9,'Assumptions (Coal)'!$V$4*Model!$AU$14*AVERAGE('Assumptions (Coal)'!$AN$2:$AS$2)/10^9),0)</f>
        <v>-0.21460535999407812</v>
      </c>
      <c r="AW124" s="105">
        <f>IF($AU$14&gt;0,PPMT('Assumptions (Coal)'!$V$6,Model!Y1,'Assumptions (Coal)'!$V$9,'Assumptions (Coal)'!$V$4*Model!$AU$14*AVERAGE('Assumptions (Coal)'!$AN$2:$AS$2)/10^9),0)</f>
        <v>-0.22479911459379687</v>
      </c>
      <c r="AX124" s="105">
        <f>IF($AU$14&gt;0,PPMT('Assumptions (Coal)'!$V$6,Model!Z1,'Assumptions (Coal)'!$V$9,'Assumptions (Coal)'!$V$4*Model!$AU$14*AVERAGE('Assumptions (Coal)'!$AN$2:$AS$2)/10^9),0)</f>
        <v>-0.23547707253700215</v>
      </c>
      <c r="AY124" s="105">
        <f>IF($AU$14&gt;0,PPMT('Assumptions (Coal)'!$V$6,Model!AA1,'Assumptions (Coal)'!$V$9,'Assumptions (Coal)'!$V$4*Model!$AU$14*AVERAGE('Assumptions (Coal)'!$AN$2:$AS$2)/10^9),0)</f>
        <v>-0.24666223348250974</v>
      </c>
      <c r="AZ124" s="105">
        <f>IF($AU$14&gt;0,PPMT('Assumptions (Coal)'!$V$6,Model!AB1,'Assumptions (Coal)'!$V$9,'Assumptions (Coal)'!$V$4*Model!$AU$14*AVERAGE('Assumptions (Coal)'!$AN$2:$AS$2)/10^9),0)</f>
        <v>-0.25837868957292898</v>
      </c>
      <c r="BA124" s="105">
        <f>IF($AU$14&gt;0,PPMT('Assumptions (Coal)'!$V$6,Model!AC1,'Assumptions (Coal)'!$V$9,'Assumptions (Coal)'!$V$4*Model!$AU$14*AVERAGE('Assumptions (Coal)'!$AN$2:$AS$2)/10^9),0)</f>
        <v>-0.27065167732764311</v>
      </c>
      <c r="BB124" s="105">
        <f>IF($AU$14&gt;0,PPMT('Assumptions (Coal)'!$V$6,Model!AD1,'Assumptions (Coal)'!$V$9,'Assumptions (Coal)'!$V$4*Model!$AU$14*AVERAGE('Assumptions (Coal)'!$AN$2:$AS$2)/10^9),0)</f>
        <v>-0.28350763200070617</v>
      </c>
      <c r="BC124" s="105">
        <f>IF($AU$14&gt;0,PPMT('Assumptions (Coal)'!$V$6,Model!AE1,'Assumptions (Coal)'!$V$9,'Assumptions (Coal)'!$V$4*Model!$AU$14*AVERAGE('Assumptions (Coal)'!$AN$2:$AS$2)/10^9),0)</f>
        <v>-0.29697424452073967</v>
      </c>
      <c r="BD124" s="105">
        <f>IF($AU$14&gt;0,PPMT('Assumptions (Coal)'!$V$6,Model!AF1,'Assumptions (Coal)'!$V$9,'Assumptions (Coal)'!$V$4*Model!$AU$14*AVERAGE('Assumptions (Coal)'!$AN$2:$AS$2)/10^9),0)</f>
        <v>-0.31108052113547485</v>
      </c>
      <c r="BE124" s="105">
        <f>IF($AU$14&gt;0,PPMT('Assumptions (Coal)'!$V$6,Model!AG1,'Assumptions (Coal)'!$V$9,'Assumptions (Coal)'!$V$4*Model!$AU$14*AVERAGE('Assumptions (Coal)'!$AN$2:$AS$2)/10^9),0)</f>
        <v>-0.32585684588940994</v>
      </c>
      <c r="BF124" s="105">
        <f>IF($AU$14&gt;0,PPMT('Assumptions (Coal)'!$V$6,Model!AH1,'Assumptions (Coal)'!$V$9,'Assumptions (Coal)'!$V$4*Model!$AU$14*AVERAGE('Assumptions (Coal)'!$AN$2:$AS$2)/10^9),0)</f>
        <v>-0.34133504606915688</v>
      </c>
      <c r="BG124" s="105">
        <f>IF($AU$14&gt;0,PPMT('Assumptions (Coal)'!$V$6,Model!AI1,'Assumptions (Coal)'!$V$9,'Assumptions (Coal)'!$V$4*Model!$AU$14*AVERAGE('Assumptions (Coal)'!$AN$2:$AS$2)/10^9),0)</f>
        <v>-0.35754846075744184</v>
      </c>
      <c r="BH124" s="105">
        <f>IF($AU$14&gt;0,PPMT('Assumptions (Coal)'!$V$6,Model!AJ1,'Assumptions (Coal)'!$V$9,'Assumptions (Coal)'!$V$4*Model!$AU$14*AVERAGE('Assumptions (Coal)'!$AN$2:$AS$2)/10^9),0)</f>
        <v>-0.37453201264342034</v>
      </c>
      <c r="BI124" s="105">
        <f>IF($AU$14&gt;0,PPMT('Assumptions (Coal)'!$V$6,Model!AK1,'Assumptions (Coal)'!$V$9,'Assumptions (Coal)'!$V$4*Model!$AU$14*AVERAGE('Assumptions (Coal)'!$AN$2:$AS$2)/10^9),0)</f>
        <v>-0.39232228324398277</v>
      </c>
      <c r="BJ124" s="105"/>
      <c r="BK124" s="105"/>
      <c r="BL124" s="105"/>
      <c r="BM124" s="105"/>
      <c r="BN124" s="105"/>
      <c r="BO124" s="105"/>
      <c r="BP124" s="105"/>
      <c r="BQ124" s="105"/>
      <c r="BR124" s="105"/>
      <c r="BS124" s="105"/>
    </row>
    <row r="125" spans="1:75" ht="15.75" hidden="1" customHeight="1" outlineLevel="1">
      <c r="A125" s="98"/>
      <c r="B125" s="99"/>
      <c r="C125" s="99"/>
      <c r="D125" s="99"/>
      <c r="E125" s="99"/>
      <c r="F125" s="99"/>
      <c r="G125" s="99"/>
      <c r="H125" s="99"/>
      <c r="I125" s="99"/>
      <c r="J125" s="99"/>
      <c r="K125" s="99"/>
      <c r="L125" s="99"/>
      <c r="M125" s="99"/>
      <c r="N125" s="99"/>
      <c r="O125" s="99"/>
      <c r="P125" s="99"/>
      <c r="Q125" s="99"/>
      <c r="R125" s="99"/>
      <c r="S125" s="99"/>
      <c r="T125" s="99"/>
      <c r="U125" s="99"/>
      <c r="V125" s="99"/>
      <c r="W125" s="105"/>
      <c r="X125" s="105"/>
      <c r="Y125" s="105"/>
      <c r="Z125" s="105"/>
      <c r="AA125" s="105"/>
      <c r="AB125" s="105"/>
      <c r="AC125" s="105"/>
      <c r="AD125" s="105"/>
      <c r="AE125" s="105"/>
      <c r="AF125" s="105"/>
      <c r="AG125" s="105"/>
      <c r="AH125" s="105"/>
      <c r="AI125" s="105"/>
      <c r="AJ125" s="171"/>
      <c r="AK125" s="105"/>
      <c r="AL125" s="91"/>
      <c r="AM125" s="91"/>
      <c r="AN125" s="91"/>
      <c r="AO125" s="105"/>
      <c r="AP125" s="105"/>
      <c r="AQ125" s="105"/>
      <c r="AR125" s="105"/>
      <c r="AS125" s="105"/>
      <c r="AT125" s="105"/>
      <c r="AU125" s="105"/>
      <c r="AV125" s="105">
        <f>IF($AV$14&gt;0,PPMT('Assumptions (Coal)'!$V$6,Model!W1,'Assumptions (Coal)'!$V$9,'Assumptions (Coal)'!$V$4*Model!$AV$14*AVERAGE('Assumptions (Coal)'!$AO$2:$AT$2)/10^9),0)</f>
        <v>-0.38781997946791719</v>
      </c>
      <c r="AW125" s="105">
        <f>IF($AV$14&gt;0,PPMT('Assumptions (Coal)'!$V$6,Model!X1,'Assumptions (Coal)'!$V$9,'Assumptions (Coal)'!$V$4*Model!$AV$14*AVERAGE('Assumptions (Coal)'!$AO$2:$AT$2)/10^9),0)</f>
        <v>-0.40624142849264328</v>
      </c>
      <c r="AX125" s="105">
        <f>IF($AV$14&gt;0,PPMT('Assumptions (Coal)'!$V$6,Model!Y1,'Assumptions (Coal)'!$V$9,'Assumptions (Coal)'!$V$4*Model!$AV$14*AVERAGE('Assumptions (Coal)'!$AO$2:$AT$2)/10^9),0)</f>
        <v>-0.42553789634604383</v>
      </c>
      <c r="AY125" s="105">
        <f>IF($AV$14&gt;0,PPMT('Assumptions (Coal)'!$V$6,Model!Z1,'Assumptions (Coal)'!$V$9,'Assumptions (Coal)'!$V$4*Model!$AV$14*AVERAGE('Assumptions (Coal)'!$AO$2:$AT$2)/10^9),0)</f>
        <v>-0.44575094642248086</v>
      </c>
      <c r="AZ125" s="105">
        <f>IF($AV$14&gt;0,PPMT('Assumptions (Coal)'!$V$6,Model!AA1,'Assumptions (Coal)'!$V$9,'Assumptions (Coal)'!$V$4*Model!$AV$14*AVERAGE('Assumptions (Coal)'!$AO$2:$AT$2)/10^9),0)</f>
        <v>-0.46692411637754871</v>
      </c>
      <c r="BA125" s="105">
        <f>IF($AV$14&gt;0,PPMT('Assumptions (Coal)'!$V$6,Model!AB1,'Assumptions (Coal)'!$V$9,'Assumptions (Coal)'!$V$4*Model!$AV$14*AVERAGE('Assumptions (Coal)'!$AO$2:$AT$2)/10^9),0)</f>
        <v>-0.48910301190548222</v>
      </c>
      <c r="BB125" s="105">
        <f>IF($AV$14&gt;0,PPMT('Assumptions (Coal)'!$V$6,Model!AC1,'Assumptions (Coal)'!$V$9,'Assumptions (Coal)'!$V$4*Model!$AV$14*AVERAGE('Assumptions (Coal)'!$AO$2:$AT$2)/10^9),0)</f>
        <v>-0.51233540497099261</v>
      </c>
      <c r="BC125" s="105">
        <f>IF($AV$14&gt;0,PPMT('Assumptions (Coal)'!$V$6,Model!AD1,'Assumptions (Coal)'!$V$9,'Assumptions (Coal)'!$V$4*Model!$AV$14*AVERAGE('Assumptions (Coal)'!$AO$2:$AT$2)/10^9),0)</f>
        <v>-0.53667133670711475</v>
      </c>
      <c r="BD125" s="105">
        <f>IF($AV$14&gt;0,PPMT('Assumptions (Coal)'!$V$6,Model!AE1,'Assumptions (Coal)'!$V$9,'Assumptions (Coal)'!$V$4*Model!$AV$14*AVERAGE('Assumptions (Coal)'!$AO$2:$AT$2)/10^9),0)</f>
        <v>-0.56216322520070283</v>
      </c>
      <c r="BE125" s="105">
        <f>IF($AV$14&gt;0,PPMT('Assumptions (Coal)'!$V$6,Model!AF1,'Assumptions (Coal)'!$V$9,'Assumptions (Coal)'!$V$4*Model!$AV$14*AVERAGE('Assumptions (Coal)'!$AO$2:$AT$2)/10^9),0)</f>
        <v>-0.58886597839773613</v>
      </c>
      <c r="BF125" s="105">
        <f>IF($AV$14&gt;0,PPMT('Assumptions (Coal)'!$V$6,Model!AG1,'Assumptions (Coal)'!$V$9,'Assumptions (Coal)'!$V$4*Model!$AV$14*AVERAGE('Assumptions (Coal)'!$AO$2:$AT$2)/10^9),0)</f>
        <v>-0.61683711237162875</v>
      </c>
      <c r="BG125" s="105">
        <f>IF($AV$14&gt;0,PPMT('Assumptions (Coal)'!$V$6,Model!AH1,'Assumptions (Coal)'!$V$9,'Assumptions (Coal)'!$V$4*Model!$AV$14*AVERAGE('Assumptions (Coal)'!$AO$2:$AT$2)/10^9),0)</f>
        <v>-0.64613687520928098</v>
      </c>
      <c r="BH125" s="105">
        <f>IF($AV$14&gt;0,PPMT('Assumptions (Coal)'!$V$6,Model!AI1,'Assumptions (Coal)'!$V$9,'Assumptions (Coal)'!$V$4*Model!$AV$14*AVERAGE('Assumptions (Coal)'!$AO$2:$AT$2)/10^9),0)</f>
        <v>-0.67682837678172181</v>
      </c>
      <c r="BI125" s="105">
        <f>IF($AV$14&gt;0,PPMT('Assumptions (Coal)'!$V$6,Model!AJ1,'Assumptions (Coal)'!$V$9,'Assumptions (Coal)'!$V$4*Model!$AV$14*AVERAGE('Assumptions (Coal)'!$AO$2:$AT$2)/10^9),0)</f>
        <v>-0.70897772467885367</v>
      </c>
      <c r="BJ125" s="105">
        <f>IF($AV$14&gt;0,PPMT('Assumptions (Coal)'!$V$6,Model!AK1,'Assumptions (Coal)'!$V$9,'Assumptions (Coal)'!$V$4*Model!$AV$14*AVERAGE('Assumptions (Coal)'!$AO$2:$AT$2)/10^9),0)</f>
        <v>-0.74265416660109906</v>
      </c>
      <c r="BK125" s="105"/>
      <c r="BL125" s="105"/>
      <c r="BM125" s="105"/>
      <c r="BN125" s="105"/>
      <c r="BO125" s="105"/>
      <c r="BP125" s="105"/>
      <c r="BQ125" s="105"/>
      <c r="BR125" s="105"/>
      <c r="BS125" s="105"/>
      <c r="BT125" s="105"/>
    </row>
    <row r="126" spans="1:75" ht="15.75" hidden="1" customHeight="1" outlineLevel="1">
      <c r="A126" s="98"/>
      <c r="B126" s="99"/>
      <c r="C126" s="99"/>
      <c r="D126" s="99"/>
      <c r="E126" s="99"/>
      <c r="F126" s="99"/>
      <c r="G126" s="99"/>
      <c r="H126" s="99"/>
      <c r="I126" s="99"/>
      <c r="J126" s="99"/>
      <c r="K126" s="99"/>
      <c r="L126" s="99"/>
      <c r="M126" s="99"/>
      <c r="N126" s="99"/>
      <c r="O126" s="99"/>
      <c r="P126" s="99"/>
      <c r="Q126" s="99"/>
      <c r="R126" s="99"/>
      <c r="S126" s="99"/>
      <c r="T126" s="99"/>
      <c r="U126" s="99"/>
      <c r="V126" s="99"/>
      <c r="W126" s="105"/>
      <c r="X126" s="105"/>
      <c r="Y126" s="105"/>
      <c r="Z126" s="105"/>
      <c r="AA126" s="105"/>
      <c r="AB126" s="105"/>
      <c r="AC126" s="105"/>
      <c r="AD126" s="105"/>
      <c r="AE126" s="105"/>
      <c r="AF126" s="105"/>
      <c r="AG126" s="105"/>
      <c r="AH126" s="105"/>
      <c r="AI126" s="105"/>
      <c r="AJ126" s="171"/>
      <c r="AK126" s="105"/>
      <c r="AL126" s="91"/>
      <c r="AM126" s="91"/>
      <c r="AN126" s="91"/>
      <c r="AO126" s="105"/>
      <c r="AP126" s="105"/>
      <c r="AQ126" s="105"/>
      <c r="AR126" s="105"/>
      <c r="AS126" s="105"/>
      <c r="AT126" s="105"/>
      <c r="AU126" s="105"/>
      <c r="AV126" s="105"/>
      <c r="AW126" s="105">
        <f>IF($AW$14&gt;0,PPMT('Assumptions (Coal)'!$V$6,Model!W1,'Assumptions (Coal)'!$V$9,'Assumptions (Coal)'!$V$4*Model!$AW$14*AVERAGE('Assumptions (Coal)'!$AP$2:$AU$2)/10^9),0)</f>
        <v>0</v>
      </c>
      <c r="AX126" s="105">
        <f>IF($AW$14&gt;0,PPMT('Assumptions (Coal)'!$V$6,Model!X1,'Assumptions (Coal)'!$V$9,'Assumptions (Coal)'!$V$4*Model!$AW$14*AVERAGE('Assumptions (Coal)'!$AP$2:$AU$2)/10^9),0)</f>
        <v>0</v>
      </c>
      <c r="AY126" s="105">
        <f>IF($AW$14&gt;0,PPMT('Assumptions (Coal)'!$V$6,Model!Y1,'Assumptions (Coal)'!$V$9,'Assumptions (Coal)'!$V$4*Model!$AW$14*AVERAGE('Assumptions (Coal)'!$AP$2:$AU$2)/10^9),0)</f>
        <v>0</v>
      </c>
      <c r="AZ126" s="105">
        <f>IF($AW$14&gt;0,PPMT('Assumptions (Coal)'!$V$6,Model!Z1,'Assumptions (Coal)'!$V$9,'Assumptions (Coal)'!$V$4*Model!$AW$14*AVERAGE('Assumptions (Coal)'!$AP$2:$AU$2)/10^9),0)</f>
        <v>0</v>
      </c>
      <c r="BA126" s="105">
        <f>IF($AW$14&gt;0,PPMT('Assumptions (Coal)'!$V$6,Model!AA1,'Assumptions (Coal)'!$V$9,'Assumptions (Coal)'!$V$4*Model!$AW$14*AVERAGE('Assumptions (Coal)'!$AP$2:$AU$2)/10^9),0)</f>
        <v>0</v>
      </c>
      <c r="BB126" s="105">
        <f>IF($AW$14&gt;0,PPMT('Assumptions (Coal)'!$V$6,Model!AB1,'Assumptions (Coal)'!$V$9,'Assumptions (Coal)'!$V$4*Model!$AW$14*AVERAGE('Assumptions (Coal)'!$AP$2:$AU$2)/10^9),0)</f>
        <v>0</v>
      </c>
      <c r="BC126" s="105">
        <f>IF($AW$14&gt;0,PPMT('Assumptions (Coal)'!$V$6,Model!AC1,'Assumptions (Coal)'!$V$9,'Assumptions (Coal)'!$V$4*Model!$AW$14*AVERAGE('Assumptions (Coal)'!$AP$2:$AU$2)/10^9),0)</f>
        <v>0</v>
      </c>
      <c r="BD126" s="105">
        <f>IF($AW$14&gt;0,PPMT('Assumptions (Coal)'!$V$6,Model!AD1,'Assumptions (Coal)'!$V$9,'Assumptions (Coal)'!$V$4*Model!$AW$14*AVERAGE('Assumptions (Coal)'!$AP$2:$AU$2)/10^9),0)</f>
        <v>0</v>
      </c>
      <c r="BE126" s="105">
        <f>IF($AW$14&gt;0,PPMT('Assumptions (Coal)'!$V$6,Model!AE1,'Assumptions (Coal)'!$V$9,'Assumptions (Coal)'!$V$4*Model!$AW$14*AVERAGE('Assumptions (Coal)'!$AP$2:$AU$2)/10^9),0)</f>
        <v>0</v>
      </c>
      <c r="BF126" s="105">
        <f>IF($AW$14&gt;0,PPMT('Assumptions (Coal)'!$V$6,Model!AF1,'Assumptions (Coal)'!$V$9,'Assumptions (Coal)'!$V$4*Model!$AW$14*AVERAGE('Assumptions (Coal)'!$AP$2:$AU$2)/10^9),0)</f>
        <v>0</v>
      </c>
      <c r="BG126" s="105">
        <f>IF($AW$14&gt;0,PPMT('Assumptions (Coal)'!$V$6,Model!AG1,'Assumptions (Coal)'!$V$9,'Assumptions (Coal)'!$V$4*Model!$AW$14*AVERAGE('Assumptions (Coal)'!$AP$2:$AU$2)/10^9),0)</f>
        <v>0</v>
      </c>
      <c r="BH126" s="105">
        <f>IF($AW$14&gt;0,PPMT('Assumptions (Coal)'!$V$6,Model!AH1,'Assumptions (Coal)'!$V$9,'Assumptions (Coal)'!$V$4*Model!$AW$14*AVERAGE('Assumptions (Coal)'!$AP$2:$AU$2)/10^9),0)</f>
        <v>0</v>
      </c>
      <c r="BI126" s="105">
        <f>IF($AW$14&gt;0,PPMT('Assumptions (Coal)'!$V$6,Model!AI1,'Assumptions (Coal)'!$V$9,'Assumptions (Coal)'!$V$4*Model!$AW$14*AVERAGE('Assumptions (Coal)'!$AP$2:$AU$2)/10^9),0)</f>
        <v>0</v>
      </c>
      <c r="BJ126" s="105">
        <f>IF($AW$14&gt;0,PPMT('Assumptions (Coal)'!$V$6,Model!AJ1,'Assumptions (Coal)'!$V$9,'Assumptions (Coal)'!$V$4*Model!$AW$14*AVERAGE('Assumptions (Coal)'!$AP$2:$AU$2)/10^9),0)</f>
        <v>0</v>
      </c>
      <c r="BK126" s="105">
        <f>IF($AW$14&gt;0,PPMT('Assumptions (Coal)'!$V$6,Model!AK1,'Assumptions (Coal)'!$V$9,'Assumptions (Coal)'!$V$4*Model!$AW$14*AVERAGE('Assumptions (Coal)'!$AP$2:$AU$2)/10^9),0)</f>
        <v>0</v>
      </c>
      <c r="BL126" s="105"/>
      <c r="BM126" s="105"/>
      <c r="BN126" s="105"/>
      <c r="BO126" s="105"/>
      <c r="BP126" s="105"/>
      <c r="BQ126" s="105"/>
      <c r="BR126" s="105"/>
      <c r="BS126" s="105"/>
      <c r="BT126" s="105"/>
      <c r="BU126" s="105"/>
    </row>
    <row r="127" spans="1:75" ht="15.75" hidden="1" customHeight="1" outlineLevel="1">
      <c r="A127" s="98"/>
      <c r="B127" s="99"/>
      <c r="C127" s="99"/>
      <c r="D127" s="99"/>
      <c r="E127" s="99"/>
      <c r="F127" s="99"/>
      <c r="G127" s="99"/>
      <c r="H127" s="99"/>
      <c r="I127" s="99"/>
      <c r="J127" s="99"/>
      <c r="K127" s="99"/>
      <c r="L127" s="99"/>
      <c r="M127" s="99"/>
      <c r="N127" s="99"/>
      <c r="O127" s="99"/>
      <c r="P127" s="99"/>
      <c r="Q127" s="99"/>
      <c r="R127" s="99"/>
      <c r="S127" s="99"/>
      <c r="T127" s="99"/>
      <c r="U127" s="99"/>
      <c r="V127" s="99"/>
      <c r="W127" s="105"/>
      <c r="X127" s="105"/>
      <c r="Y127" s="105"/>
      <c r="Z127" s="105"/>
      <c r="AA127" s="105"/>
      <c r="AB127" s="105"/>
      <c r="AC127" s="105"/>
      <c r="AD127" s="105"/>
      <c r="AE127" s="105"/>
      <c r="AF127" s="105"/>
      <c r="AG127" s="105"/>
      <c r="AH127" s="105"/>
      <c r="AI127" s="105"/>
      <c r="AJ127" s="171"/>
      <c r="AK127" s="105"/>
      <c r="AL127" s="91"/>
      <c r="AM127" s="91"/>
      <c r="AN127" s="91"/>
      <c r="AO127" s="105"/>
      <c r="AP127" s="105"/>
      <c r="AQ127" s="105"/>
      <c r="AR127" s="105"/>
      <c r="AS127" s="105"/>
      <c r="AT127" s="105"/>
      <c r="AU127" s="105"/>
      <c r="AV127" s="105"/>
      <c r="AW127" s="105"/>
      <c r="AX127" s="105">
        <f>IF($AX$14&gt;0,PPMT('Assumptions (Coal)'!$V$6,Model!W1,'Assumptions (Coal)'!$V$9,'Assumptions (Coal)'!$V$4*Model!$AX$14*AVERAGE('Assumptions (Coal)'!$AQ$2:$AV$2)/10^9),0)</f>
        <v>-0.53639581551542148</v>
      </c>
      <c r="AY127" s="105">
        <f>IF($AX$14&gt;0,PPMT('Assumptions (Coal)'!$V$6,Model!X1,'Assumptions (Coal)'!$V$9,'Assumptions (Coal)'!$V$4*Model!$AX$14*AVERAGE('Assumptions (Coal)'!$AQ$2:$AV$2)/10^9),0)</f>
        <v>-0.56187461675240402</v>
      </c>
      <c r="AZ127" s="105">
        <f>IF($AX$14&gt;0,PPMT('Assumptions (Coal)'!$V$6,Model!Y1,'Assumptions (Coal)'!$V$9,'Assumptions (Coal)'!$V$4*Model!$AX$14*AVERAGE('Assumptions (Coal)'!$AQ$2:$AV$2)/10^9),0)</f>
        <v>-0.58856366104814328</v>
      </c>
      <c r="BA127" s="105">
        <f>IF($AX$14&gt;0,PPMT('Assumptions (Coal)'!$V$6,Model!Z1,'Assumptions (Coal)'!$V$9,'Assumptions (Coal)'!$V$4*Model!$AX$14*AVERAGE('Assumptions (Coal)'!$AQ$2:$AV$2)/10^9),0)</f>
        <v>-0.61652043494793007</v>
      </c>
      <c r="BB127" s="105">
        <f>IF($AX$14&gt;0,PPMT('Assumptions (Coal)'!$V$6,Model!AA1,'Assumptions (Coal)'!$V$9,'Assumptions (Coal)'!$V$4*Model!$AX$14*AVERAGE('Assumptions (Coal)'!$AQ$2:$AV$2)/10^9),0)</f>
        <v>-0.6458051556079567</v>
      </c>
      <c r="BC127" s="105">
        <f>IF($AX$14&gt;0,PPMT('Assumptions (Coal)'!$V$6,Model!AB1,'Assumptions (Coal)'!$V$9,'Assumptions (Coal)'!$V$4*Model!$AX$14*AVERAGE('Assumptions (Coal)'!$AQ$2:$AV$2)/10^9),0)</f>
        <v>-0.67648090049933474</v>
      </c>
      <c r="BD127" s="105">
        <f>IF($AX$14&gt;0,PPMT('Assumptions (Coal)'!$V$6,Model!AC1,'Assumptions (Coal)'!$V$9,'Assumptions (Coal)'!$V$4*Model!$AX$14*AVERAGE('Assumptions (Coal)'!$AQ$2:$AV$2)/10^9),0)</f>
        <v>-0.70861374327305304</v>
      </c>
      <c r="BE127" s="105">
        <f>IF($AX$14&gt;0,PPMT('Assumptions (Coal)'!$V$6,Model!AD1,'Assumptions (Coal)'!$V$9,'Assumptions (Coal)'!$V$4*Model!$AX$14*AVERAGE('Assumptions (Coal)'!$AQ$2:$AV$2)/10^9),0)</f>
        <v>-0.74227289607852309</v>
      </c>
      <c r="BF127" s="105">
        <f>IF($AX$14&gt;0,PPMT('Assumptions (Coal)'!$V$6,Model!AE1,'Assumptions (Coal)'!$V$9,'Assumptions (Coal)'!$V$4*Model!$AX$14*AVERAGE('Assumptions (Coal)'!$AQ$2:$AV$2)/10^9),0)</f>
        <v>-0.7775308586422528</v>
      </c>
      <c r="BG127" s="105">
        <f>IF($AX$14&gt;0,PPMT('Assumptions (Coal)'!$V$6,Model!AF1,'Assumptions (Coal)'!$V$9,'Assumptions (Coal)'!$V$4*Model!$AX$14*AVERAGE('Assumptions (Coal)'!$AQ$2:$AV$2)/10^9),0)</f>
        <v>-0.81446357442775996</v>
      </c>
      <c r="BH127" s="105">
        <f>IF($AX$14&gt;0,PPMT('Assumptions (Coal)'!$V$6,Model!AG1,'Assumptions (Coal)'!$V$9,'Assumptions (Coal)'!$V$4*Model!$AX$14*AVERAGE('Assumptions (Coal)'!$AQ$2:$AV$2)/10^9),0)</f>
        <v>-0.85315059421307859</v>
      </c>
      <c r="BI127" s="105">
        <f>IF($AX$14&gt;0,PPMT('Assumptions (Coal)'!$V$6,Model!AH1,'Assumptions (Coal)'!$V$9,'Assumptions (Coal)'!$V$4*Model!$AX$14*AVERAGE('Assumptions (Coal)'!$AQ$2:$AV$2)/10^9),0)</f>
        <v>-0.89367524743819982</v>
      </c>
      <c r="BJ127" s="105">
        <f>IF($AX$14&gt;0,PPMT('Assumptions (Coal)'!$V$6,Model!AI1,'Assumptions (Coal)'!$V$9,'Assumptions (Coal)'!$V$4*Model!$AX$14*AVERAGE('Assumptions (Coal)'!$AQ$2:$AV$2)/10^9),0)</f>
        <v>-0.93612482169151445</v>
      </c>
      <c r="BK127" s="105">
        <f>IF($AX$14&gt;0,PPMT('Assumptions (Coal)'!$V$6,Model!AJ1,'Assumptions (Coal)'!$V$9,'Assumptions (Coal)'!$V$4*Model!$AX$14*AVERAGE('Assumptions (Coal)'!$AQ$2:$AV$2)/10^9),0)</f>
        <v>-0.98059075072186119</v>
      </c>
      <c r="BL127" s="105">
        <f>IF($AX$14&gt;0,PPMT('Assumptions (Coal)'!$V$6,Model!AK1,'Assumptions (Coal)'!$V$9,'Assumptions (Coal)'!$V$4*Model!$AX$14*AVERAGE('Assumptions (Coal)'!$AQ$2:$AV$2)/10^9),0)</f>
        <v>-1.0271688113811495</v>
      </c>
      <c r="BM127" s="105"/>
      <c r="BN127" s="105"/>
      <c r="BO127" s="105"/>
      <c r="BP127" s="105"/>
      <c r="BQ127" s="105"/>
      <c r="BR127" s="105"/>
      <c r="BS127" s="105"/>
      <c r="BT127" s="105"/>
      <c r="BU127" s="105"/>
      <c r="BV127" s="105"/>
    </row>
    <row r="128" spans="1:75" ht="15.75" hidden="1" customHeight="1" outlineLevel="1">
      <c r="A128" s="98"/>
      <c r="B128" s="99"/>
      <c r="C128" s="99"/>
      <c r="D128" s="99"/>
      <c r="E128" s="99"/>
      <c r="F128" s="99"/>
      <c r="G128" s="99"/>
      <c r="H128" s="99"/>
      <c r="I128" s="99"/>
      <c r="J128" s="99"/>
      <c r="K128" s="99"/>
      <c r="L128" s="99"/>
      <c r="M128" s="99"/>
      <c r="N128" s="99"/>
      <c r="O128" s="99"/>
      <c r="P128" s="99"/>
      <c r="Q128" s="99"/>
      <c r="R128" s="99"/>
      <c r="S128" s="99"/>
      <c r="T128" s="99"/>
      <c r="U128" s="99"/>
      <c r="V128" s="99"/>
      <c r="W128" s="105"/>
      <c r="X128" s="105"/>
      <c r="Y128" s="105"/>
      <c r="Z128" s="105"/>
      <c r="AA128" s="105"/>
      <c r="AB128" s="105"/>
      <c r="AC128" s="105"/>
      <c r="AD128" s="105"/>
      <c r="AE128" s="105"/>
      <c r="AF128" s="105"/>
      <c r="AG128" s="105"/>
      <c r="AH128" s="105"/>
      <c r="AI128" s="105"/>
      <c r="AJ128" s="171"/>
      <c r="AK128" s="105"/>
      <c r="AL128" s="91"/>
      <c r="AM128" s="91"/>
      <c r="AN128" s="91"/>
      <c r="AO128" s="105"/>
      <c r="AP128" s="105"/>
      <c r="AQ128" s="105"/>
      <c r="AR128" s="105"/>
      <c r="AS128" s="105"/>
      <c r="AT128" s="105"/>
      <c r="AU128" s="105"/>
      <c r="AV128" s="105"/>
      <c r="AW128" s="105"/>
      <c r="AX128" s="105"/>
      <c r="AY128" s="105">
        <f>IF($AY$14&gt;0,PPMT('Assumptions (Coal)'!$V$6,Model!W1,'Assumptions (Coal)'!$V$9,'Assumptions (Coal)'!$V$4*Model!$AY$14*AVERAGE('Assumptions (Coal)'!$AR$2:$AW$2)/10^9),0)</f>
        <v>0</v>
      </c>
      <c r="AZ128" s="105">
        <f>IF($AY$14&gt;0,PPMT('Assumptions (Coal)'!$V$6,Model!X1,'Assumptions (Coal)'!$V$9,'Assumptions (Coal)'!$V$4*Model!$AY$14*AVERAGE('Assumptions (Coal)'!$AR$2:$AW$2)/10^9),0)</f>
        <v>0</v>
      </c>
      <c r="BA128" s="105">
        <f>IF($AY$14&gt;0,PPMT('Assumptions (Coal)'!$V$6,Model!Y1,'Assumptions (Coal)'!$V$9,'Assumptions (Coal)'!$V$4*Model!$AY$14*AVERAGE('Assumptions (Coal)'!$AR$2:$AW$2)/10^9),0)</f>
        <v>0</v>
      </c>
      <c r="BB128" s="105">
        <f>IF($AY$14&gt;0,PPMT('Assumptions (Coal)'!$V$6,Model!Z1,'Assumptions (Coal)'!$V$9,'Assumptions (Coal)'!$V$4*Model!$AY$14*AVERAGE('Assumptions (Coal)'!$AR$2:$AW$2)/10^9),0)</f>
        <v>0</v>
      </c>
      <c r="BC128" s="105">
        <f>IF($AY$14&gt;0,PPMT('Assumptions (Coal)'!$V$6,Model!AA1,'Assumptions (Coal)'!$V$9,'Assumptions (Coal)'!$V$4*Model!$AY$14*AVERAGE('Assumptions (Coal)'!$AR$2:$AW$2)/10^9),0)</f>
        <v>0</v>
      </c>
      <c r="BD128" s="105">
        <f>IF($AY$14&gt;0,PPMT('Assumptions (Coal)'!$V$6,Model!AB1,'Assumptions (Coal)'!$V$9,'Assumptions (Coal)'!$V$4*Model!$AY$14*AVERAGE('Assumptions (Coal)'!$AR$2:$AW$2)/10^9),0)</f>
        <v>0</v>
      </c>
      <c r="BE128" s="105">
        <f>IF($AY$14&gt;0,PPMT('Assumptions (Coal)'!$V$6,Model!AC1,'Assumptions (Coal)'!$V$9,'Assumptions (Coal)'!$V$4*Model!$AY$14*AVERAGE('Assumptions (Coal)'!$AR$2:$AW$2)/10^9),0)</f>
        <v>0</v>
      </c>
      <c r="BF128" s="105">
        <f>IF($AY$14&gt;0,PPMT('Assumptions (Coal)'!$V$6,Model!AD1,'Assumptions (Coal)'!$V$9,'Assumptions (Coal)'!$V$4*Model!$AY$14*AVERAGE('Assumptions (Coal)'!$AR$2:$AW$2)/10^9),0)</f>
        <v>0</v>
      </c>
      <c r="BG128" s="105">
        <f>IF($AY$14&gt;0,PPMT('Assumptions (Coal)'!$V$6,Model!AE1,'Assumptions (Coal)'!$V$9,'Assumptions (Coal)'!$V$4*Model!$AY$14*AVERAGE('Assumptions (Coal)'!$AR$2:$AW$2)/10^9),0)</f>
        <v>0</v>
      </c>
      <c r="BH128" s="105">
        <f>IF($AY$14&gt;0,PPMT('Assumptions (Coal)'!$V$6,Model!AF1,'Assumptions (Coal)'!$V$9,'Assumptions (Coal)'!$V$4*Model!$AY$14*AVERAGE('Assumptions (Coal)'!$AR$2:$AW$2)/10^9),0)</f>
        <v>0</v>
      </c>
      <c r="BI128" s="105">
        <f>IF($AY$14&gt;0,PPMT('Assumptions (Coal)'!$V$6,Model!AG1,'Assumptions (Coal)'!$V$9,'Assumptions (Coal)'!$V$4*Model!$AY$14*AVERAGE('Assumptions (Coal)'!$AR$2:$AW$2)/10^9),0)</f>
        <v>0</v>
      </c>
      <c r="BJ128" s="105">
        <f>IF($AY$14&gt;0,PPMT('Assumptions (Coal)'!$V$6,Model!AH1,'Assumptions (Coal)'!$V$9,'Assumptions (Coal)'!$V$4*Model!$AY$14*AVERAGE('Assumptions (Coal)'!$AR$2:$AW$2)/10^9),0)</f>
        <v>0</v>
      </c>
      <c r="BK128" s="105">
        <f>IF($AY$14&gt;0,PPMT('Assumptions (Coal)'!$V$6,Model!AI1,'Assumptions (Coal)'!$V$9,'Assumptions (Coal)'!$V$4*Model!$AY$14*AVERAGE('Assumptions (Coal)'!$AR$2:$AW$2)/10^9),0)</f>
        <v>0</v>
      </c>
      <c r="BL128" s="105">
        <f>IF($AY$14&gt;0,PPMT('Assumptions (Coal)'!$V$6,Model!AJ1,'Assumptions (Coal)'!$V$9,'Assumptions (Coal)'!$V$4*Model!$AY$14*AVERAGE('Assumptions (Coal)'!$AR$2:$AW$2)/10^9),0)</f>
        <v>0</v>
      </c>
      <c r="BM128" s="105">
        <f>IF($AY$14&gt;0,PPMT('Assumptions (Coal)'!$V$6,Model!AK1,'Assumptions (Coal)'!$V$9,'Assumptions (Coal)'!$V$4*Model!$AY$14*AVERAGE('Assumptions (Coal)'!$AR$2:$AW$2)/10^9),0)</f>
        <v>0</v>
      </c>
      <c r="BN128" s="105"/>
      <c r="BO128" s="105"/>
      <c r="BP128" s="105"/>
      <c r="BQ128" s="105"/>
      <c r="BR128" s="105"/>
      <c r="BS128" s="105"/>
      <c r="BT128" s="105"/>
      <c r="BU128" s="105"/>
      <c r="BV128" s="105"/>
      <c r="BW128" s="105"/>
    </row>
    <row r="129" spans="1:77" ht="15.75" hidden="1" customHeight="1" outlineLevel="1">
      <c r="A129" s="98"/>
      <c r="B129" s="99"/>
      <c r="C129" s="99"/>
      <c r="D129" s="99"/>
      <c r="E129" s="99"/>
      <c r="F129" s="99"/>
      <c r="G129" s="99"/>
      <c r="H129" s="99"/>
      <c r="I129" s="99"/>
      <c r="J129" s="99"/>
      <c r="K129" s="99"/>
      <c r="L129" s="99"/>
      <c r="M129" s="99"/>
      <c r="N129" s="99"/>
      <c r="O129" s="99"/>
      <c r="P129" s="99"/>
      <c r="Q129" s="99"/>
      <c r="R129" s="99"/>
      <c r="S129" s="99"/>
      <c r="T129" s="99"/>
      <c r="U129" s="99"/>
      <c r="V129" s="99"/>
      <c r="W129" s="105"/>
      <c r="X129" s="105"/>
      <c r="Y129" s="105"/>
      <c r="Z129" s="105"/>
      <c r="AA129" s="105"/>
      <c r="AB129" s="105"/>
      <c r="AC129" s="105"/>
      <c r="AD129" s="105"/>
      <c r="AE129" s="105"/>
      <c r="AF129" s="105"/>
      <c r="AG129" s="105"/>
      <c r="AH129" s="105"/>
      <c r="AI129" s="105"/>
      <c r="AJ129" s="171"/>
      <c r="AK129" s="105"/>
      <c r="AL129" s="91"/>
      <c r="AM129" s="91"/>
      <c r="AN129" s="91"/>
      <c r="AO129" s="105"/>
      <c r="AP129" s="105"/>
      <c r="AQ129" s="105"/>
      <c r="AR129" s="105"/>
      <c r="AS129" s="105"/>
      <c r="AT129" s="105"/>
      <c r="AU129" s="105"/>
      <c r="AV129" s="105"/>
      <c r="AW129" s="105"/>
      <c r="AX129" s="105"/>
      <c r="AY129" s="105"/>
      <c r="AZ129" s="105">
        <f>IF($AZ$14&gt;0,PPMT('Assumptions (Coal)'!$V$6,Model!W1,'Assumptions (Coal)'!$V$9,'Assumptions (Coal)'!$V$4*Model!$AZ$14*AVERAGE('Assumptions (Coal)'!$AS$2:$AX$2)/10^9),0)</f>
        <v>0</v>
      </c>
      <c r="BA129" s="105">
        <f>IF($AZ$14&gt;0,PPMT('Assumptions (Coal)'!$V$6,Model!X1,'Assumptions (Coal)'!$V$9,'Assumptions (Coal)'!$V$4*Model!$AZ$14*AVERAGE('Assumptions (Coal)'!$AS$2:$AX$2)/10^9),0)</f>
        <v>0</v>
      </c>
      <c r="BB129" s="105">
        <f>IF($AZ$14&gt;0,PPMT('Assumptions (Coal)'!$V$6,Model!Y1,'Assumptions (Coal)'!$V$9,'Assumptions (Coal)'!$V$4*Model!$AZ$14*AVERAGE('Assumptions (Coal)'!$AS$2:$AX$2)/10^9),0)</f>
        <v>0</v>
      </c>
      <c r="BC129" s="105">
        <f>IF($AZ$14&gt;0,PPMT('Assumptions (Coal)'!$V$6,Model!Z1,'Assumptions (Coal)'!$V$9,'Assumptions (Coal)'!$V$4*Model!$AZ$14*AVERAGE('Assumptions (Coal)'!$AS$2:$AX$2)/10^9),0)</f>
        <v>0</v>
      </c>
      <c r="BD129" s="105">
        <f>IF($AZ$14&gt;0,PPMT('Assumptions (Coal)'!$V$6,Model!AA1,'Assumptions (Coal)'!$V$9,'Assumptions (Coal)'!$V$4*Model!$AZ$14*AVERAGE('Assumptions (Coal)'!$AS$2:$AX$2)/10^9),0)</f>
        <v>0</v>
      </c>
      <c r="BE129" s="105">
        <f>IF($AZ$14&gt;0,PPMT('Assumptions (Coal)'!$V$6,Model!AB1,'Assumptions (Coal)'!$V$9,'Assumptions (Coal)'!$V$4*Model!$AZ$14*AVERAGE('Assumptions (Coal)'!$AS$2:$AX$2)/10^9),0)</f>
        <v>0</v>
      </c>
      <c r="BF129" s="105">
        <f>IF($AZ$14&gt;0,PPMT('Assumptions (Coal)'!$V$6,Model!AC1,'Assumptions (Coal)'!$V$9,'Assumptions (Coal)'!$V$4*Model!$AZ$14*AVERAGE('Assumptions (Coal)'!$AS$2:$AX$2)/10^9),0)</f>
        <v>0</v>
      </c>
      <c r="BG129" s="105">
        <f>IF($AZ$14&gt;0,PPMT('Assumptions (Coal)'!$V$6,Model!AD1,'Assumptions (Coal)'!$V$9,'Assumptions (Coal)'!$V$4*Model!$AZ$14*AVERAGE('Assumptions (Coal)'!$AS$2:$AX$2)/10^9),0)</f>
        <v>0</v>
      </c>
      <c r="BH129" s="105">
        <f>IF($AZ$14&gt;0,PPMT('Assumptions (Coal)'!$V$6,Model!AE1,'Assumptions (Coal)'!$V$9,'Assumptions (Coal)'!$V$4*Model!$AZ$14*AVERAGE('Assumptions (Coal)'!$AS$2:$AX$2)/10^9),0)</f>
        <v>0</v>
      </c>
      <c r="BI129" s="105">
        <f>IF($AZ$14&gt;0,PPMT('Assumptions (Coal)'!$V$6,Model!AF1,'Assumptions (Coal)'!$V$9,'Assumptions (Coal)'!$V$4*Model!$AZ$14*AVERAGE('Assumptions (Coal)'!$AS$2:$AX$2)/10^9),0)</f>
        <v>0</v>
      </c>
      <c r="BJ129" s="105">
        <f>IF($AZ$14&gt;0,PPMT('Assumptions (Coal)'!$V$6,Model!AG1,'Assumptions (Coal)'!$V$9,'Assumptions (Coal)'!$V$4*Model!$AZ$14*AVERAGE('Assumptions (Coal)'!$AS$2:$AX$2)/10^9),0)</f>
        <v>0</v>
      </c>
      <c r="BK129" s="105">
        <f>IF($AZ$14&gt;0,PPMT('Assumptions (Coal)'!$V$6,Model!AH1,'Assumptions (Coal)'!$V$9,'Assumptions (Coal)'!$V$4*Model!$AZ$14*AVERAGE('Assumptions (Coal)'!$AS$2:$AX$2)/10^9),0)</f>
        <v>0</v>
      </c>
      <c r="BL129" s="105">
        <f>IF($AZ$14&gt;0,PPMT('Assumptions (Coal)'!$V$6,Model!AI1,'Assumptions (Coal)'!$V$9,'Assumptions (Coal)'!$V$4*Model!$AZ$14*AVERAGE('Assumptions (Coal)'!$AS$2:$AX$2)/10^9),0)</f>
        <v>0</v>
      </c>
      <c r="BM129" s="105">
        <f>IF($AZ$14&gt;0,PPMT('Assumptions (Coal)'!$V$6,Model!AJ1,'Assumptions (Coal)'!$V$9,'Assumptions (Coal)'!$V$4*Model!$AZ$14*AVERAGE('Assumptions (Coal)'!$AS$2:$AX$2)/10^9),0)</f>
        <v>0</v>
      </c>
      <c r="BN129" s="105">
        <f>IF($AZ$14&gt;0,PPMT('Assumptions (Coal)'!$V$6,Model!AK1,'Assumptions (Coal)'!$V$9,'Assumptions (Coal)'!$V$4*Model!$AZ$14*AVERAGE('Assumptions (Coal)'!$AS$2:$AX$2)/10^9),0)</f>
        <v>0</v>
      </c>
      <c r="BO129" s="105"/>
      <c r="BP129" s="105"/>
      <c r="BQ129" s="105"/>
      <c r="BR129" s="105"/>
      <c r="BS129" s="105"/>
      <c r="BT129" s="105"/>
      <c r="BU129" s="105"/>
      <c r="BV129" s="105"/>
      <c r="BW129" s="105"/>
      <c r="BX129" s="105"/>
    </row>
    <row r="130" spans="1:77" ht="15.75" hidden="1" customHeight="1" outlineLevel="1">
      <c r="A130" s="98"/>
      <c r="B130" s="99"/>
      <c r="C130" s="99"/>
      <c r="D130" s="99"/>
      <c r="E130" s="99"/>
      <c r="F130" s="99"/>
      <c r="G130" s="99"/>
      <c r="H130" s="99"/>
      <c r="I130" s="99"/>
      <c r="J130" s="99"/>
      <c r="K130" s="99"/>
      <c r="L130" s="99"/>
      <c r="M130" s="99"/>
      <c r="N130" s="99"/>
      <c r="O130" s="99"/>
      <c r="P130" s="99"/>
      <c r="Q130" s="99"/>
      <c r="R130" s="99"/>
      <c r="S130" s="99"/>
      <c r="T130" s="99"/>
      <c r="U130" s="99"/>
      <c r="V130" s="99"/>
      <c r="W130" s="105"/>
      <c r="X130" s="105"/>
      <c r="Y130" s="105"/>
      <c r="Z130" s="105"/>
      <c r="AA130" s="105"/>
      <c r="AB130" s="105"/>
      <c r="AC130" s="105"/>
      <c r="AD130" s="105"/>
      <c r="AE130" s="105"/>
      <c r="AF130" s="105"/>
      <c r="AG130" s="105"/>
      <c r="AH130" s="105"/>
      <c r="AI130" s="105"/>
      <c r="AJ130" s="171"/>
      <c r="AK130" s="105"/>
      <c r="AL130" s="91"/>
      <c r="AM130" s="91"/>
      <c r="AN130" s="91"/>
      <c r="AO130" s="105"/>
      <c r="AP130" s="105"/>
      <c r="AQ130" s="105"/>
      <c r="AR130" s="105"/>
      <c r="AS130" s="105"/>
      <c r="AT130" s="105"/>
      <c r="AU130" s="105"/>
      <c r="AV130" s="105"/>
      <c r="AW130" s="105"/>
      <c r="AX130" s="105"/>
      <c r="AY130" s="105"/>
      <c r="AZ130" s="105"/>
      <c r="BA130" s="105">
        <f>IF($BA$14&gt;0,PPMT('Assumptions (Coal)'!$V$6,Model!W1,'Assumptions (Coal)'!$V$9,'Assumptions (Coal)'!$V$4*Model!$BA$14*AVERAGE('Assumptions (Coal)'!$AT$2:$AY$2)/10^9),0)</f>
        <v>0</v>
      </c>
      <c r="BB130" s="105">
        <f>IF($BA$14&gt;0,PPMT('Assumptions (Coal)'!$V$6,Model!X1,'Assumptions (Coal)'!$V$9,'Assumptions (Coal)'!$V$4*Model!$BA$14*AVERAGE('Assumptions (Coal)'!$AT$2:$AY$2)/10^9),0)</f>
        <v>0</v>
      </c>
      <c r="BC130" s="105">
        <f>IF($BA$14&gt;0,PPMT('Assumptions (Coal)'!$V$6,Model!Y1,'Assumptions (Coal)'!$V$9,'Assumptions (Coal)'!$V$4*Model!$BA$14*AVERAGE('Assumptions (Coal)'!$AT$2:$AY$2)/10^9),0)</f>
        <v>0</v>
      </c>
      <c r="BD130" s="105">
        <f>IF($BA$14&gt;0,PPMT('Assumptions (Coal)'!$V$6,Model!Z1,'Assumptions (Coal)'!$V$9,'Assumptions (Coal)'!$V$4*Model!$BA$14*AVERAGE('Assumptions (Coal)'!$AT$2:$AY$2)/10^9),0)</f>
        <v>0</v>
      </c>
      <c r="BE130" s="105">
        <f>IF($BA$14&gt;0,PPMT('Assumptions (Coal)'!$V$6,Model!AA1,'Assumptions (Coal)'!$V$9,'Assumptions (Coal)'!$V$4*Model!$BA$14*AVERAGE('Assumptions (Coal)'!$AT$2:$AY$2)/10^9),0)</f>
        <v>0</v>
      </c>
      <c r="BF130" s="105">
        <f>IF($BA$14&gt;0,PPMT('Assumptions (Coal)'!$V$6,Model!AB1,'Assumptions (Coal)'!$V$9,'Assumptions (Coal)'!$V$4*Model!$BA$14*AVERAGE('Assumptions (Coal)'!$AT$2:$AY$2)/10^9),0)</f>
        <v>0</v>
      </c>
      <c r="BG130" s="105">
        <f>IF($BA$14&gt;0,PPMT('Assumptions (Coal)'!$V$6,Model!AC1,'Assumptions (Coal)'!$V$9,'Assumptions (Coal)'!$V$4*Model!$BA$14*AVERAGE('Assumptions (Coal)'!$AT$2:$AY$2)/10^9),0)</f>
        <v>0</v>
      </c>
      <c r="BH130" s="105">
        <f>IF($BA$14&gt;0,PPMT('Assumptions (Coal)'!$V$6,Model!AD1,'Assumptions (Coal)'!$V$9,'Assumptions (Coal)'!$V$4*Model!$BA$14*AVERAGE('Assumptions (Coal)'!$AT$2:$AY$2)/10^9),0)</f>
        <v>0</v>
      </c>
      <c r="BI130" s="105">
        <f>IF($BA$14&gt;0,PPMT('Assumptions (Coal)'!$V$6,Model!AE1,'Assumptions (Coal)'!$V$9,'Assumptions (Coal)'!$V$4*Model!$BA$14*AVERAGE('Assumptions (Coal)'!$AT$2:$AY$2)/10^9),0)</f>
        <v>0</v>
      </c>
      <c r="BJ130" s="105">
        <f>IF($BA$14&gt;0,PPMT('Assumptions (Coal)'!$V$6,Model!AF1,'Assumptions (Coal)'!$V$9,'Assumptions (Coal)'!$V$4*Model!$BA$14*AVERAGE('Assumptions (Coal)'!$AT$2:$AY$2)/10^9),0)</f>
        <v>0</v>
      </c>
      <c r="BK130" s="105">
        <f>IF($BA$14&gt;0,PPMT('Assumptions (Coal)'!$V$6,Model!AG1,'Assumptions (Coal)'!$V$9,'Assumptions (Coal)'!$V$4*Model!$BA$14*AVERAGE('Assumptions (Coal)'!$AT$2:$AY$2)/10^9),0)</f>
        <v>0</v>
      </c>
      <c r="BL130" s="105">
        <f>IF($BA$14&gt;0,PPMT('Assumptions (Coal)'!$V$6,Model!AH1,'Assumptions (Coal)'!$V$9,'Assumptions (Coal)'!$V$4*Model!$BA$14*AVERAGE('Assumptions (Coal)'!$AT$2:$AY$2)/10^9),0)</f>
        <v>0</v>
      </c>
      <c r="BM130" s="105">
        <f>IF($BA$14&gt;0,PPMT('Assumptions (Coal)'!$V$6,Model!AI1,'Assumptions (Coal)'!$V$9,'Assumptions (Coal)'!$V$4*Model!$BA$14*AVERAGE('Assumptions (Coal)'!$AT$2:$AY$2)/10^9),0)</f>
        <v>0</v>
      </c>
      <c r="BN130" s="105">
        <f>IF($BA$14&gt;0,PPMT('Assumptions (Coal)'!$V$6,Model!AJ1,'Assumptions (Coal)'!$V$9,'Assumptions (Coal)'!$V$4*Model!$BA$14*AVERAGE('Assumptions (Coal)'!$AT$2:$AY$2)/10^9),0)</f>
        <v>0</v>
      </c>
      <c r="BO130" s="105">
        <f>IF($BA$14&gt;0,PPMT('Assumptions (Coal)'!$V$6,Model!AK1,'Assumptions (Coal)'!$V$9,'Assumptions (Coal)'!$V$4*Model!$BA$14*AVERAGE('Assumptions (Coal)'!$AT$2:$AY$2)/10^9),0)</f>
        <v>0</v>
      </c>
      <c r="BP130" s="105"/>
      <c r="BQ130" s="105"/>
      <c r="BR130" s="105"/>
      <c r="BS130" s="105"/>
      <c r="BT130" s="105"/>
      <c r="BU130" s="105"/>
      <c r="BV130" s="105"/>
      <c r="BW130" s="105"/>
      <c r="BX130" s="105"/>
      <c r="BY130" s="105"/>
    </row>
    <row r="131" spans="1:77" ht="15.75" customHeight="1" collapsed="1">
      <c r="A131" s="149" t="s">
        <v>709</v>
      </c>
      <c r="B131" s="99" t="s">
        <v>201</v>
      </c>
      <c r="C131" s="91">
        <f t="array" ref="C131">SUM(IF(ISERROR(C132:C182),"",C132:C182))</f>
        <v>-5.8993621291135471E-3</v>
      </c>
      <c r="D131" s="91">
        <f t="array" ref="D131">SUM(IF(ISERROR(D132:D182),"",D132:D182))</f>
        <v>-2.5108169965559472E-2</v>
      </c>
      <c r="E131" s="91">
        <f t="array" ref="E131">SUM(IF(ISERROR(E132:E182),"",E132:E182))</f>
        <v>-2.3896146797323436E-2</v>
      </c>
      <c r="F131" s="91">
        <f t="array" ref="F131">SUM(IF(ISERROR(F132:F182),"",F132:F182))</f>
        <v>-2.6466954600905559E-2</v>
      </c>
      <c r="G131" s="91">
        <f t="array" ref="G131">SUM(IF(ISERROR(G132:G182),"",G132:G182))</f>
        <v>-4.8732059866989863E-2</v>
      </c>
      <c r="H131" s="91">
        <f t="array" ref="H131">SUM(IF(ISERROR(H132:H182),"",H132:H182))</f>
        <v>-6.3916477484634776E-2</v>
      </c>
      <c r="I131" s="91">
        <f t="array" ref="I131">SUM(IF(ISERROR(I132:I182),"",I132:I182))</f>
        <v>-8.4636876208446024E-2</v>
      </c>
      <c r="J131" s="91">
        <f t="array" ref="J131">SUM(IF(ISERROR(J132:J182),"",J132:J182))</f>
        <v>-0.14677006998016556</v>
      </c>
      <c r="K131" s="91">
        <f t="array" ref="K131">SUM(IF(ISERROR(K132:K182),"",K132:K182))</f>
        <v>-0.20893070036305905</v>
      </c>
      <c r="L131" s="91">
        <f t="array" ref="L131">SUM(IF(ISERROR(L132:L182),"",L132:L182))</f>
        <v>-0.28252738967554913</v>
      </c>
      <c r="M131" s="91">
        <f t="array" ref="M131">SUM(IF(ISERROR(M132:M182),"",M132:M182))</f>
        <v>-0.50372945579595774</v>
      </c>
      <c r="N131" s="91">
        <f t="array" ref="N131">SUM(IF(ISERROR(N132:N182),"",N132:N182))</f>
        <v>-0.66915124841622153</v>
      </c>
      <c r="O131" s="91">
        <f t="array" ref="O131">SUM(IF(ISERROR(O132:O182),"",O132:O182))</f>
        <v>-0.82330302885967899</v>
      </c>
      <c r="P131" s="91">
        <f t="array" ref="P131">SUM(IF(ISERROR(P132:P182),"",P132:P182))</f>
        <v>-0.85505344845906694</v>
      </c>
      <c r="Q131" s="91">
        <f t="array" ref="Q131">SUM(IF(ISERROR(Q132:Q182),"",Q132:Q182))</f>
        <v>-0.80334222830659707</v>
      </c>
      <c r="R131" s="91">
        <f t="array" ref="R131">SUM(IF(ISERROR(R132:R182),"",R132:R182))</f>
        <v>-0.74392192213929076</v>
      </c>
      <c r="S131" s="91">
        <f t="array" ref="S131">SUM(IF(ISERROR(S132:S182),"",S132:S182))</f>
        <v>-0.68210392332324721</v>
      </c>
      <c r="T131" s="91">
        <f t="array" ref="T131">SUM(IF(ISERROR(T132:T182),"",T132:T182))</f>
        <v>-0.6191954365318717</v>
      </c>
      <c r="U131" s="91">
        <f t="array" ref="U131">SUM(IF(ISERROR(U132:U182),"",U132:U182))</f>
        <v>-0.55430272001506431</v>
      </c>
      <c r="V131" s="91">
        <f t="array" ref="V131">SUM(IF(ISERROR(V132:V182),"",V132:V182))</f>
        <v>-0.48559235054439254</v>
      </c>
      <c r="W131" s="91">
        <f t="array" ref="W131">SUM(IF(ISERROR(W132:W182),"",W132:W182))</f>
        <v>-0.41587036169054165</v>
      </c>
      <c r="X131" s="91">
        <f t="array" ref="X131">SUM(IF(ISERROR(X132:X182),"",X132:X182))</f>
        <v>-0.5630937493305499</v>
      </c>
      <c r="Y131" s="91">
        <f t="array" ref="Y131">SUM(IF(ISERROR(Y132:Y182),"",Y132:Y182))</f>
        <v>-0.48035630810680224</v>
      </c>
      <c r="Z131" s="91">
        <f t="array" ref="Z131">SUM(IF(ISERROR(Z132:Z182),"",Z132:Z182))</f>
        <v>-0.40004834165579162</v>
      </c>
      <c r="AA131" s="91">
        <f t="array" ref="AA131">SUM(IF(ISERROR(AA132:AA182),"",AA132:AA182))</f>
        <v>-0.32261067520304021</v>
      </c>
      <c r="AB131" s="91">
        <f t="array" ref="AB131">SUM(IF(ISERROR(AB132:AB182),"",AB132:AB182))</f>
        <v>-0.24961641201769874</v>
      </c>
      <c r="AC131" s="91">
        <f t="array" ref="AC131">SUM(IF(ISERROR(AC132:AC182),"",AC132:AC182))</f>
        <v>-0.195696128220812</v>
      </c>
      <c r="AD131" s="91">
        <f t="array" ref="AD131">SUM(IF(ISERROR(AD132:AD182),"",AD132:AD182))</f>
        <v>-0.15761215148198193</v>
      </c>
      <c r="AE131" s="91">
        <f t="array" ref="AE131">SUM(IF(ISERROR(AE132:AE182),"",AE132:AE182))</f>
        <v>-0.13604755742096986</v>
      </c>
      <c r="AF131" s="91">
        <f t="array" ref="AF131">SUM(IF(ISERROR(AF132:AF182),"",AF132:AF182))</f>
        <v>-0.12123553711271255</v>
      </c>
      <c r="AG131" s="91">
        <f t="array" ref="AG131">SUM(IF(ISERROR(AG132:AG182),"",AG132:AG182))</f>
        <v>-0.10618503944431198</v>
      </c>
      <c r="AH131" s="91">
        <f t="array" ref="AH131">SUM(IF(ISERROR(AH132:AH182),"",AH132:AH182))</f>
        <v>-9.0431239470534566E-2</v>
      </c>
      <c r="AI131" s="91">
        <f t="array" ref="AI131">SUM(IF(ISERROR(AI132:AI182),"",AI132:AI182))</f>
        <v>-9.3528772481312292E-2</v>
      </c>
      <c r="AJ131" s="91">
        <f t="array" ref="AJ131">SUM(IF(ISERROR(AJ132:AJ182),"",AJ132:AJ182))</f>
        <v>-0.31167442367229758</v>
      </c>
      <c r="AK131" s="91">
        <f t="array" ref="AK131">SUM(IF(ISERROR(AK132:AK182),"",AK132:AK182))</f>
        <v>-0.52421224340430261</v>
      </c>
      <c r="AL131" s="91">
        <f t="array" ref="AL131">SUM(IF(ISERROR(AL132:AL182),"",AL132:AL182))</f>
        <v>-0.65352282386834926</v>
      </c>
      <c r="AM131" s="91">
        <f t="array" ref="AM131">SUM(IF(ISERROR(AM132:AM182),"",AM132:AM182))</f>
        <v>-1.4045511114795999</v>
      </c>
      <c r="AN131" s="91">
        <f t="array" ref="AN131">SUM(IF(ISERROR(AN132:AN182),"",AN132:AN182))</f>
        <v>-1.5993678249702419</v>
      </c>
      <c r="AO131" s="91">
        <f t="array" ref="AO131">SUM(IF(ISERROR(AO132:AO182),"",AO132:AO182))</f>
        <v>-1.7515937874769023</v>
      </c>
      <c r="AP131" s="91">
        <f t="array" ref="AP131">SUM(IF(ISERROR(AP132:AP182),"",AP132:AP182))</f>
        <v>-1.6991007894289019</v>
      </c>
      <c r="AQ131" s="91">
        <f t="array" ref="AQ131">SUM(IF(ISERROR(AQ132:AQ182),"",AQ132:AQ182))</f>
        <v>-2.0924663547473359</v>
      </c>
      <c r="AR131" s="91">
        <f t="array" ref="AR131">SUM(IF(ISERROR(AR132:AR182),"",AR132:AR182))</f>
        <v>-2.4317282881352922</v>
      </c>
      <c r="AS131" s="91">
        <f t="array" ref="AS131">SUM(IF(ISERROR(AS132:AS182),"",AS132:AS182))</f>
        <v>-2.5216664920293015</v>
      </c>
      <c r="AT131" s="91">
        <f t="array" ref="AT131">SUM(IF(ISERROR(AT132:AT182),"",AT132:AT182))</f>
        <v>-3.2728794924590079</v>
      </c>
      <c r="AU131" s="91">
        <f t="array" ref="AU131">SUM(IF(ISERROR(AU132:AU182),"",AU132:AU182))</f>
        <v>-3.2341156804394551</v>
      </c>
      <c r="AV131" s="91">
        <f t="array" ref="AV131">SUM(IF(ISERROR(AV132:AV182),"",AV132:AV182))</f>
        <v>-3.3580166221149641</v>
      </c>
      <c r="AW131" s="91">
        <f t="array" ref="AW131">SUM(IF(ISERROR(AW132:AW182),"",AW132:AW182))</f>
        <v>-3.0607409120963793</v>
      </c>
      <c r="AX131" s="91">
        <f t="array" ref="AX131">SUM(IF(ISERROR(AX132:AX182),"",AX132:AX182))</f>
        <v>-3.2889081202582453</v>
      </c>
      <c r="AY131" s="91">
        <f t="array" ref="AY131">SUM(IF(ISERROR(AY132:AY182),"",AY132:AY182))</f>
        <v>-2.9390981882213651</v>
      </c>
      <c r="AZ131" s="91">
        <f t="array" ref="AZ131">SUM(IF(ISERROR(AZ132:AZ182),"",AZ132:AZ182))</f>
        <v>-2.5950602993086345</v>
      </c>
      <c r="BA131" s="91">
        <f t="array" ref="BA131">SUM(IF(ISERROR(BA132:BA182),"",BA132:BA182))</f>
        <v>-2.2576675636163173</v>
      </c>
      <c r="BB131" s="91">
        <f t="array" ref="BB131">SUM(IF(ISERROR(BB132:BB182),"",BB132:BB182))</f>
        <v>-1.9205733360534847</v>
      </c>
      <c r="BC131" s="91">
        <f t="array" ref="BC131">SUM(IF(ISERROR(BC132:BC182),"",BC132:BC182))</f>
        <v>-1.6436460917344595</v>
      </c>
      <c r="BD131" s="91">
        <f t="array" ref="BD131">SUM(IF(ISERROR(BD132:BD182),"",BD132:BD182))</f>
        <v>-1.3789344976078848</v>
      </c>
      <c r="BE131" s="91">
        <f t="array" ref="BE131">SUM(IF(ISERROR(BE132:BE182),"",BE132:BE182))</f>
        <v>-1.1245110691778719</v>
      </c>
      <c r="BF131" s="91">
        <f t="array" ref="BF131">SUM(IF(ISERROR(BF132:BF182),"",BF132:BF182))</f>
        <v>-0.86295389027666047</v>
      </c>
      <c r="BG131" s="91">
        <f t="array" ref="BG131">SUM(IF(ISERROR(BG132:BG182),"",BG132:BG182))</f>
        <v>-0.6368615146525537</v>
      </c>
      <c r="BH131" s="91">
        <f t="array" ref="BH131">SUM(IF(ISERROR(BH132:BH182),"",BH132:BH182))</f>
        <v>-0.44555999007247793</v>
      </c>
      <c r="BI131" s="91">
        <f t="array" ref="BI131">SUM(IF(ISERROR(BI132:BI182),"",BI132:BI182))</f>
        <v>-0.26987190577344139</v>
      </c>
      <c r="BJ131" s="91">
        <f t="array" ref="BJ131">SUM(IF(ISERROR(BJ132:BJ182),"",BJ132:BJ182))</f>
        <v>-0.17511058114379219</v>
      </c>
      <c r="BK131" s="91">
        <f t="array" ref="BK131">SUM(IF(ISERROR(BK132:BK182),"",BK132:BK182))</f>
        <v>-9.5368579199893014E-2</v>
      </c>
      <c r="BL131" s="91">
        <f t="array" ref="BL131">SUM(IF(ISERROR(BL132:BL182),"",BL132:BL182))</f>
        <v>-4.8790518540604601E-2</v>
      </c>
      <c r="BM131" s="91">
        <f t="array" ref="BM131">SUM(IF(ISERROR(BM132:BM182),"",BM132:BM182))</f>
        <v>0</v>
      </c>
      <c r="BN131" s="91">
        <f t="array" ref="BN131">SUM(IF(ISERROR(BN132:BN182),"",BN132:BN182))</f>
        <v>0</v>
      </c>
      <c r="BO131" s="91">
        <f t="array" ref="BO131">SUM(IF(ISERROR(BO132:BO182),"",BO132:BO182))</f>
        <v>0</v>
      </c>
    </row>
    <row r="132" spans="1:77" ht="15.75" hidden="1" customHeight="1" outlineLevel="1">
      <c r="A132" s="98"/>
      <c r="B132" s="99"/>
      <c r="C132" s="91">
        <f>IF($C$14&gt;0,IPMT('Assumptions (Coal)'!$V$6,Model!W$1,'Assumptions (Coal)'!$V$9,'Assumptions (Coal)'!$V$4*Model!$C$14*'Assumptions (Coal)'!$B$2/10^9),0)</f>
        <v>-5.8993621291135471E-3</v>
      </c>
      <c r="D132" s="91">
        <f>IF($C$14&gt;0,IPMT('Assumptions (Coal)'!$V$6,Model!X$1,'Assumptions (Coal)'!$V$9,'Assumptions (Coal)'!$V$4*Model!$C$14*'Assumptions (Coal)'!$B$2/10^9),0)</f>
        <v>-5.620787557076283E-3</v>
      </c>
      <c r="E132" s="91">
        <f>IF($C$14&gt;0,IPMT('Assumptions (Coal)'!$V$6,Model!Y$1,'Assumptions (Coal)'!$V$9,'Assumptions (Coal)'!$V$4*Model!$C$14*'Assumptions (Coal)'!$B$2/10^9),0)</f>
        <v>-5.3289806928672476E-3</v>
      </c>
      <c r="F132" s="91">
        <f>IF($C$14&gt;0,IPMT('Assumptions (Coal)'!$V$6,Model!Z$1,'Assumptions (Coal)'!$V$9,'Assumptions (Coal)'!$V$4*Model!$C$14*'Assumptions (Coal)'!$B$2/10^9),0)</f>
        <v>-5.0233130026082857E-3</v>
      </c>
      <c r="G132" s="91">
        <f>IF($C$14&gt;0,IPMT('Assumptions (Coal)'!$V$6,Model!AA$1,'Assumptions (Coal)'!$V$9,'Assumptions (Coal)'!$V$4*Model!$C$14*'Assumptions (Coal)'!$B$2/10^9),0)</f>
        <v>-4.7031260970620218E-3</v>
      </c>
      <c r="H132" s="91">
        <f>IF($C$14&gt;0,IPMT('Assumptions (Coal)'!$V$6,Model!AB$1,'Assumptions (Coal)'!$V$9,'Assumptions (Coal)'!$V$4*Model!$C$14*'Assumptions (Coal)'!$B$2/10^9),0)</f>
        <v>-4.3677303135023111E-3</v>
      </c>
      <c r="I132" s="91">
        <f>IF($C$14&gt;0,IPMT('Assumptions (Coal)'!$V$6,Model!AC$1,'Assumptions (Coal)'!$V$9,'Assumptions (Coal)'!$V$4*Model!$C$14*'Assumptions (Coal)'!$B$2/10^9),0)</f>
        <v>-4.0164032302235139E-3</v>
      </c>
      <c r="J132" s="91">
        <f>IF($C$14&gt;0,IPMT('Assumptions (Coal)'!$V$6,Model!AD$1,'Assumptions (Coal)'!$V$9,'Assumptions (Coal)'!$V$4*Model!$C$14*'Assumptions (Coal)'!$B$2/10^9),0)</f>
        <v>-3.6483881104889741E-3</v>
      </c>
      <c r="K132" s="91">
        <f>IF($C$14&gt;0,IPMT('Assumptions (Coal)'!$V$6,Model!AE$1,'Assumptions (Coal)'!$V$9,'Assumptions (Coal)'!$V$4*Model!$C$14*'Assumptions (Coal)'!$B$2/10^9),0)</f>
        <v>-3.2628922725670435E-3</v>
      </c>
      <c r="L132" s="91">
        <f>IF($C$14&gt;0,IPMT('Assumptions (Coal)'!$V$6,Model!AF$1,'Assumptions (Coal)'!$V$9,'Assumptions (Coal)'!$V$4*Model!$C$14*'Assumptions (Coal)'!$B$2/10^9),0)</f>
        <v>-2.859085382343821E-3</v>
      </c>
      <c r="M132" s="91">
        <f>IF($C$14&gt;0,IPMT('Assumptions (Coal)'!$V$6,Model!AG$1,'Assumptions (Coal)'!$V$9,'Assumptions (Coal)'!$V$4*Model!$C$14*'Assumptions (Coal)'!$B$2/10^9),0)</f>
        <v>-2.4360976648349951E-3</v>
      </c>
      <c r="N132" s="91">
        <f>IF($C$14&gt;0,IPMT('Assumptions (Coal)'!$V$6,Model!AH$1,'Assumptions (Coal)'!$V$9,'Assumptions (Coal)'!$V$4*Model!$C$14*'Assumptions (Coal)'!$B$2/10^9),0)</f>
        <v>-1.9930180307445007E-3</v>
      </c>
      <c r="O132" s="91">
        <f>IF($C$14&gt;0,IPMT('Assumptions (Coal)'!$V$6,Model!AI$1,'Assumptions (Coal)'!$V$9,'Assumptions (Coal)'!$V$4*Model!$C$14*'Assumptions (Coal)'!$B$2/10^9),0)</f>
        <v>-1.5288921140347068E-3</v>
      </c>
      <c r="P132" s="91">
        <f>IF($C$14&gt;0,IPMT('Assumptions (Coal)'!$V$6,Model!AJ$1,'Assumptions (Coal)'!$V$9,'Assumptions (Coal)'!$V$4*Model!$C$14*'Assumptions (Coal)'!$B$2/10^9),0)</f>
        <v>-1.0427202162811985E-3</v>
      </c>
      <c r="Q132" s="91">
        <f>IF($C$14&gt;0,IPMT('Assumptions (Coal)'!$V$6,Model!AK$1,'Assumptions (Coal)'!$V$9,'Assumptions (Coal)'!$V$4*Model!$C$14*'Assumptions (Coal)'!$B$2/10^9),0)</f>
        <v>-5.3345515338439813E-4</v>
      </c>
      <c r="R132" s="91"/>
      <c r="S132" s="91"/>
      <c r="T132" s="91"/>
      <c r="U132" s="91"/>
      <c r="V132" s="91"/>
      <c r="W132" s="91"/>
      <c r="X132" s="91"/>
      <c r="Y132" s="91"/>
      <c r="Z132" s="91"/>
      <c r="AA132" s="91"/>
      <c r="AB132" s="105"/>
      <c r="AC132" s="105"/>
      <c r="AD132" s="105"/>
      <c r="AE132" s="105"/>
      <c r="AF132" s="105"/>
      <c r="AG132" s="105"/>
      <c r="AU132" s="105"/>
      <c r="AV132" s="105"/>
      <c r="AW132" s="105"/>
      <c r="AX132" s="105"/>
      <c r="AY132" s="105"/>
      <c r="AZ132" s="105"/>
      <c r="BA132" s="105"/>
    </row>
    <row r="133" spans="1:77" ht="15.75" hidden="1" customHeight="1" outlineLevel="1">
      <c r="A133" s="98"/>
      <c r="B133" s="99"/>
      <c r="C133" s="105"/>
      <c r="D133" s="91">
        <f>IF($D$14&gt;0,IPMT('Assumptions (Coal)'!$V$6,Model!W$1,'Assumptions (Coal)'!$V$9,'Assumptions (Coal)'!$V$4*Model!$D$14*'Assumptions (Coal)'!$B$2/10^9),0)</f>
        <v>-1.9487382408483189E-2</v>
      </c>
      <c r="E133" s="91">
        <f>IF($D$14&gt;0,IPMT('Assumptions (Coal)'!$V$6,Model!X$1,'Assumptions (Coal)'!$V$9,'Assumptions (Coal)'!$V$4*Model!$D$14*'Assumptions (Coal)'!$B$2/10^9),0)</f>
        <v>-1.856716610445619E-2</v>
      </c>
      <c r="F133" s="91">
        <f>IF($D$14&gt;0,IPMT('Assumptions (Coal)'!$V$6,Model!Y$1,'Assumptions (Coal)'!$V$9,'Assumptions (Coal)'!$V$4*Model!$D$14*'Assumptions (Coal)'!$B$2/10^9),0)</f>
        <v>-1.7603239525987906E-2</v>
      </c>
      <c r="G133" s="91">
        <f>IF($D$14&gt;0,IPMT('Assumptions (Coal)'!$V$6,Model!Z$1,'Assumptions (Coal)'!$V$9,'Assumptions (Coal)'!$V$4*Model!$D$14*'Assumptions (Coal)'!$B$2/10^9),0)</f>
        <v>-1.6593526435042385E-2</v>
      </c>
      <c r="H133" s="91">
        <f>IF($D$14&gt;0,IPMT('Assumptions (Coal)'!$V$6,Model!AA$1,'Assumptions (Coal)'!$V$9,'Assumptions (Coal)'!$V$4*Model!$D$14*'Assumptions (Coal)'!$B$2/10^9),0)</f>
        <v>-1.553585197227695E-2</v>
      </c>
      <c r="I133" s="91">
        <f>IF($D$14&gt;0,IPMT('Assumptions (Coal)'!$V$6,Model!AB$1,'Assumptions (Coal)'!$V$9,'Assumptions (Coal)'!$V$4*Model!$D$14*'Assumptions (Coal)'!$B$2/10^9),0)</f>
        <v>-1.4427937972530157E-2</v>
      </c>
      <c r="J133" s="91">
        <f>IF($D$14&gt;0,IPMT('Assumptions (Coal)'!$V$6,Model!AC$1,'Assumptions (Coal)'!$V$9,'Assumptions (Coal)'!$V$4*Model!$D$14*'Assumptions (Coal)'!$B$2/10^9),0)</f>
        <v>-1.326739805779539E-2</v>
      </c>
      <c r="K133" s="91">
        <f>IF($D$14&gt;0,IPMT('Assumptions (Coal)'!$V$6,Model!AD$1,'Assumptions (Coal)'!$V$9,'Assumptions (Coal)'!$V$4*Model!$D$14*'Assumptions (Coal)'!$B$2/10^9),0)</f>
        <v>-1.2051732497110723E-2</v>
      </c>
      <c r="L133" s="91">
        <f>IF($D$14&gt;0,IPMT('Assumptions (Coal)'!$V$6,Model!AE$1,'Assumptions (Coal)'!$V$9,'Assumptions (Coal)'!$V$4*Model!$D$14*'Assumptions (Coal)'!$B$2/10^9),0)</f>
        <v>-1.0778322822293537E-2</v>
      </c>
      <c r="M133" s="91">
        <f>IF($D$14&gt;0,IPMT('Assumptions (Coal)'!$V$6,Model!AF$1,'Assumptions (Coal)'!$V$9,'Assumptions (Coal)'!$V$4*Model!$D$14*'Assumptions (Coal)'!$B$2/10^9),0)</f>
        <v>-9.4444261879225305E-3</v>
      </c>
      <c r="N133" s="91">
        <f>IF($D$14&gt;0,IPMT('Assumptions (Coal)'!$V$6,Model!AG$1,'Assumptions (Coal)'!$V$9,'Assumptions (Coal)'!$V$4*Model!$D$14*'Assumptions (Coal)'!$B$2/10^9),0)</f>
        <v>-8.0471694634189021E-3</v>
      </c>
      <c r="O133" s="91">
        <f>IF($D$14&gt;0,IPMT('Assumptions (Coal)'!$V$6,Model!AH$1,'Assumptions (Coal)'!$V$9,'Assumptions (Coal)'!$V$4*Model!$D$14*'Assumptions (Coal)'!$B$2/10^9),0)</f>
        <v>-6.583543044501353E-3</v>
      </c>
      <c r="P133" s="91">
        <f>IF($D$14&gt;0,IPMT('Assumptions (Coal)'!$V$6,Model!AI$1,'Assumptions (Coal)'!$V$9,'Assumptions (Coal)'!$V$4*Model!$D$14*'Assumptions (Coal)'!$B$2/10^9),0)</f>
        <v>-5.0503943706852175E-3</v>
      </c>
      <c r="Q133" s="91">
        <f>IF($D$14&gt;0,IPMT('Assumptions (Coal)'!$V$6,Model!AJ$1,'Assumptions (Coal)'!$V$9,'Assumptions (Coal)'!$V$4*Model!$D$14*'Assumptions (Coal)'!$B$2/10^9),0)</f>
        <v>-3.4444211348628176E-3</v>
      </c>
      <c r="R133" s="91">
        <f>IF($D$14&gt;0,IPMT('Assumptions (Coal)'!$V$6,Model!AK$1,'Assumptions (Coal)'!$V$9,'Assumptions (Coal)'!$V$4*Model!$D$14*'Assumptions (Coal)'!$B$2/10^9),0)</f>
        <v>-1.7621641703388527E-3</v>
      </c>
      <c r="S133" s="91"/>
      <c r="T133" s="91"/>
      <c r="U133" s="91"/>
      <c r="V133" s="91"/>
      <c r="W133" s="91"/>
      <c r="X133" s="91"/>
      <c r="Y133" s="91"/>
      <c r="Z133" s="91"/>
      <c r="AA133" s="91"/>
      <c r="AB133" s="91"/>
      <c r="AC133" s="105"/>
      <c r="AD133" s="105"/>
      <c r="AE133" s="105"/>
      <c r="AF133" s="105"/>
      <c r="AG133" s="105"/>
      <c r="AU133" s="105"/>
      <c r="AV133" s="105"/>
      <c r="AW133" s="105"/>
      <c r="AX133" s="105"/>
      <c r="AY133" s="105"/>
      <c r="AZ133" s="105"/>
      <c r="BA133" s="105"/>
    </row>
    <row r="134" spans="1:77" ht="15.75" hidden="1" customHeight="1" outlineLevel="1">
      <c r="A134" s="98"/>
      <c r="B134" s="99"/>
      <c r="C134" s="105"/>
      <c r="D134" s="105"/>
      <c r="E134" s="105">
        <f>IF($E$14&gt;0,IPMT('Assumptions (Coal)'!$V$6,Model!W$1,'Assumptions (Coal)'!$V$9,'Assumptions (Coal)'!$V$4*Model!$E$14*AVERAGE('Assumptions (Coal)'!$B$2:$C$2)/10^9),0)</f>
        <v>0</v>
      </c>
      <c r="F134" s="105">
        <f>IF($E$14&gt;0,IPMT('Assumptions (Coal)'!$V$6,Model!X$1,'Assumptions (Coal)'!$V$9,'Assumptions (Coal)'!$V$4*Model!$E$14*AVERAGE('Assumptions (Coal)'!$B$2:$C$2)/10^9),0)</f>
        <v>0</v>
      </c>
      <c r="G134" s="105">
        <f>IF($E$14&gt;0,IPMT('Assumptions (Coal)'!$V$6,Model!Y$1,'Assumptions (Coal)'!$V$9,'Assumptions (Coal)'!$V$4*Model!$E$14*AVERAGE('Assumptions (Coal)'!$B$2:$C$2)/10^9),0)</f>
        <v>0</v>
      </c>
      <c r="H134" s="105">
        <f>IF($E$14&gt;0,IPMT('Assumptions (Coal)'!$V$6,Model!Z$1,'Assumptions (Coal)'!$V$9,'Assumptions (Coal)'!$V$4*Model!$E$14*AVERAGE('Assumptions (Coal)'!$B$2:$C$2)/10^9),0)</f>
        <v>0</v>
      </c>
      <c r="I134" s="105">
        <f>IF($E$14&gt;0,IPMT('Assumptions (Coal)'!$V$6,Model!AA$1,'Assumptions (Coal)'!$V$9,'Assumptions (Coal)'!$V$4*Model!$E$14*AVERAGE('Assumptions (Coal)'!$B$2:$C$2)/10^9),0)</f>
        <v>0</v>
      </c>
      <c r="J134" s="105">
        <f>IF($E$14&gt;0,IPMT('Assumptions (Coal)'!$V$6,Model!AB$1,'Assumptions (Coal)'!$V$9,'Assumptions (Coal)'!$V$4*Model!$E$14*AVERAGE('Assumptions (Coal)'!$B$2:$C$2)/10^9),0)</f>
        <v>0</v>
      </c>
      <c r="K134" s="105">
        <f>IF($E$14&gt;0,IPMT('Assumptions (Coal)'!$V$6,Model!AC$1,'Assumptions (Coal)'!$V$9,'Assumptions (Coal)'!$V$4*Model!$E$14*AVERAGE('Assumptions (Coal)'!$B$2:$C$2)/10^9),0)</f>
        <v>0</v>
      </c>
      <c r="L134" s="105">
        <f>IF($E$14&gt;0,IPMT('Assumptions (Coal)'!$V$6,Model!AD$1,'Assumptions (Coal)'!$V$9,'Assumptions (Coal)'!$V$4*Model!$E$14*AVERAGE('Assumptions (Coal)'!$B$2:$C$2)/10^9),0)</f>
        <v>0</v>
      </c>
      <c r="M134" s="105">
        <f>IF($E$14&gt;0,IPMT('Assumptions (Coal)'!$V$6,Model!AE$1,'Assumptions (Coal)'!$V$9,'Assumptions (Coal)'!$V$4*Model!$E$14*AVERAGE('Assumptions (Coal)'!$B$2:$C$2)/10^9),0)</f>
        <v>0</v>
      </c>
      <c r="N134" s="91">
        <f>IF($E$14&gt;0,IPMT('Assumptions (Coal)'!$V$6,Model!AF$1,'Assumptions (Coal)'!$V$9,'Assumptions (Coal)'!$V$4*Model!$E$14*AVERAGE('Assumptions (Coal)'!$B$2:$C$2)/10^9),0)</f>
        <v>0</v>
      </c>
      <c r="O134" s="105">
        <f>IF($E$14&gt;0,IPMT('Assumptions (Coal)'!$V$6,Model!AG$1,'Assumptions (Coal)'!$V$9,'Assumptions (Coal)'!$V$4*Model!$E$14*AVERAGE('Assumptions (Coal)'!$B$2:$C$2)/10^9),0)</f>
        <v>0</v>
      </c>
      <c r="P134" s="105">
        <f>IF($E$14&gt;0,IPMT('Assumptions (Coal)'!$V$6,Model!AH$1,'Assumptions (Coal)'!$V$9,'Assumptions (Coal)'!$V$4*Model!$E$14*AVERAGE('Assumptions (Coal)'!$B$2:$C$2)/10^9),0)</f>
        <v>0</v>
      </c>
      <c r="Q134" s="105">
        <f>IF($E$14&gt;0,IPMT('Assumptions (Coal)'!$V$6,Model!AI$1,'Assumptions (Coal)'!$V$9,'Assumptions (Coal)'!$V$4*Model!$E$14*AVERAGE('Assumptions (Coal)'!$B$2:$C$2)/10^9),0)</f>
        <v>0</v>
      </c>
      <c r="R134" s="105">
        <f>IF($E$14&gt;0,IPMT('Assumptions (Coal)'!$V$6,Model!AJ$1,'Assumptions (Coal)'!$V$9,'Assumptions (Coal)'!$V$4*Model!$E$14*AVERAGE('Assumptions (Coal)'!$B$2:$C$2)/10^9),0)</f>
        <v>0</v>
      </c>
      <c r="S134" s="105">
        <f>IF($E$14&gt;0,IPMT('Assumptions (Coal)'!$V$6,Model!AK$1,'Assumptions (Coal)'!$V$9,'Assumptions (Coal)'!$V$4*Model!$E$14*AVERAGE('Assumptions (Coal)'!$B$2:$C$2)/10^9),0)</f>
        <v>0</v>
      </c>
      <c r="T134" s="105"/>
      <c r="U134" s="105"/>
      <c r="V134" s="105"/>
      <c r="W134" s="105"/>
      <c r="X134" s="105"/>
      <c r="Y134" s="105"/>
      <c r="Z134" s="105"/>
      <c r="AA134" s="105"/>
      <c r="AB134" s="105"/>
      <c r="AC134" s="105"/>
      <c r="AD134" s="105"/>
      <c r="AE134" s="105"/>
      <c r="AF134" s="105"/>
      <c r="AG134" s="105"/>
      <c r="AU134" s="105"/>
      <c r="AV134" s="105"/>
      <c r="AW134" s="105"/>
      <c r="AX134" s="105"/>
      <c r="AY134" s="105"/>
      <c r="AZ134" s="105"/>
      <c r="BA134" s="105"/>
    </row>
    <row r="135" spans="1:77" ht="15.75" hidden="1" customHeight="1" outlineLevel="1">
      <c r="A135" s="98"/>
      <c r="B135" s="99"/>
      <c r="C135" s="105"/>
      <c r="D135" s="105"/>
      <c r="E135" s="105"/>
      <c r="F135" s="105">
        <f>IF($F$14&gt;0,IPMT('Assumptions (Coal)'!$V$6,Model!W$1,'Assumptions (Coal)'!$V$9,'Assumptions (Coal)'!$V$4*Model!$F$14*AVERAGE('Assumptions (Coal)'!$B$2:$D$2)/10^9),0)</f>
        <v>-3.8404020723093678E-3</v>
      </c>
      <c r="G135" s="105">
        <f>IF($F$14&gt;0,IPMT('Assumptions (Coal)'!$V$6,Model!X$1,'Assumptions (Coal)'!$V$9,'Assumptions (Coal)'!$V$4*Model!$F$14*AVERAGE('Assumptions (Coal)'!$B$2:$D$2)/10^9),0)</f>
        <v>-3.6590539298610651E-3</v>
      </c>
      <c r="H135" s="105">
        <f>IF($F$14&gt;0,IPMT('Assumptions (Coal)'!$V$6,Model!Y$1,'Assumptions (Coal)'!$V$9,'Assumptions (Coal)'!$V$4*Model!$F$14*AVERAGE('Assumptions (Coal)'!$B$2:$D$2)/10^9),0)</f>
        <v>-3.4690917506464678E-3</v>
      </c>
      <c r="I135" s="105">
        <f>IF($F$14&gt;0,IPMT('Assumptions (Coal)'!$V$6,Model!Z$1,'Assumptions (Coal)'!$V$9,'Assumptions (Coal)'!$V$4*Model!$F$14*AVERAGE('Assumptions (Coal)'!$B$2:$D$2)/10^9),0)</f>
        <v>-3.2701063679191787E-3</v>
      </c>
      <c r="J135" s="105">
        <f>IF($F$14&gt;0,IPMT('Assumptions (Coal)'!$V$6,Model!AA$1,'Assumptions (Coal)'!$V$9,'Assumptions (Coal)'!$V$4*Model!$F$14*AVERAGE('Assumptions (Coal)'!$B$2:$D$2)/10^9),0)</f>
        <v>-3.061669179512342E-3</v>
      </c>
      <c r="K135" s="105">
        <f>IF($F$14&gt;0,IPMT('Assumptions (Coal)'!$V$6,Model!AB$1,'Assumptions (Coal)'!$V$9,'Assumptions (Coal)'!$V$4*Model!$F$14*AVERAGE('Assumptions (Coal)'!$B$2:$D$2)/10^9),0)</f>
        <v>-2.8433312246561814E-3</v>
      </c>
      <c r="L135" s="105">
        <f>IF($F$14&gt;0,IPMT('Assumptions (Coal)'!$V$6,Model!AC$1,'Assumptions (Coal)'!$V$9,'Assumptions (Coal)'!$V$4*Model!$F$14*AVERAGE('Assumptions (Coal)'!$B$2:$D$2)/10^9),0)</f>
        <v>-2.6146222169443527E-3</v>
      </c>
      <c r="M135" s="105">
        <f>IF($F$14&gt;0,IPMT('Assumptions (Coal)'!$V$6,Model!AD$1,'Assumptions (Coal)'!$V$9,'Assumptions (Coal)'!$V$4*Model!$F$14*AVERAGE('Assumptions (Coal)'!$B$2:$D$2)/10^9),0)</f>
        <v>-2.3750495313662129E-3</v>
      </c>
      <c r="N135" s="91">
        <f>IF($F$14&gt;0,IPMT('Assumptions (Coal)'!$V$6,Model!AE$1,'Assumptions (Coal)'!$V$9,'Assumptions (Coal)'!$V$4*Model!$F$14*AVERAGE('Assumptions (Coal)'!$B$2:$D$2)/10^9),0)</f>
        <v>-2.124097143223111E-3</v>
      </c>
      <c r="O135" s="105">
        <f>IF($F$14&gt;0,IPMT('Assumptions (Coal)'!$V$6,Model!AF$1,'Assumptions (Coal)'!$V$9,'Assumptions (Coal)'!$V$4*Model!$F$14*AVERAGE('Assumptions (Coal)'!$B$2:$D$2)/10^9),0)</f>
        <v>-1.8612245166432118E-3</v>
      </c>
      <c r="P135" s="105">
        <f>IF($F$14&gt;0,IPMT('Assumptions (Coal)'!$V$6,Model!AG$1,'Assumptions (Coal)'!$V$9,'Assumptions (Coal)'!$V$4*Model!$F$14*AVERAGE('Assumptions (Coal)'!$B$2:$D$2)/10^9),0)</f>
        <v>-1.5858654403007673E-3</v>
      </c>
      <c r="Q135" s="105">
        <f>IF($F$14&gt;0,IPMT('Assumptions (Coal)'!$V$6,Model!AH$1,'Assumptions (Coal)'!$V$9,'Assumptions (Coal)'!$V$4*Model!$F$14*AVERAGE('Assumptions (Coal)'!$B$2:$D$2)/10^9),0)</f>
        <v>-1.2974268078320569E-3</v>
      </c>
      <c r="R135" s="105">
        <f>IF($F$14&gt;0,IPMT('Assumptions (Coal)'!$V$6,Model!AI$1,'Assumptions (Coal)'!$V$9,'Assumptions (Coal)'!$V$4*Model!$F$14*AVERAGE('Assumptions (Coal)'!$B$2:$D$2)/10^9),0)</f>
        <v>-9.9528734032108216E-4</v>
      </c>
      <c r="S135" s="105">
        <f>IF($F$14&gt;0,IPMT('Assumptions (Coal)'!$V$6,Model!AJ$1,'Assumptions (Coal)'!$V$9,'Assumptions (Coal)'!$V$4*Model!$F$14*AVERAGE('Assumptions (Coal)'!$B$2:$D$2)/10^9),0)</f>
        <v>-6.7879624810333644E-4</v>
      </c>
      <c r="T135" s="105">
        <f>IF($F$14&gt;0,IPMT('Assumptions (Coal)'!$V$6,Model!AK$1,'Assumptions (Coal)'!$V$9,'Assumptions (Coal)'!$V$4*Model!$F$14*AVERAGE('Assumptions (Coal)'!$B$2:$D$2)/10^9),0)</f>
        <v>-3.4727182900524777E-4</v>
      </c>
      <c r="U135" s="105"/>
      <c r="V135" s="105"/>
      <c r="W135" s="105"/>
      <c r="X135" s="105"/>
      <c r="Y135" s="105"/>
      <c r="Z135" s="105"/>
      <c r="AA135" s="105"/>
      <c r="AB135" s="105"/>
      <c r="AC135" s="105"/>
      <c r="AD135" s="105"/>
      <c r="AE135" s="105"/>
      <c r="AF135" s="105"/>
      <c r="AG135" s="105"/>
      <c r="AU135" s="105"/>
      <c r="AV135" s="105"/>
      <c r="AW135" s="105"/>
      <c r="AX135" s="105"/>
      <c r="AY135" s="105"/>
      <c r="AZ135" s="105"/>
      <c r="BA135" s="105"/>
    </row>
    <row r="136" spans="1:77" ht="15.75" hidden="1" customHeight="1" outlineLevel="1">
      <c r="A136" s="98"/>
      <c r="B136" s="99"/>
      <c r="C136" s="105"/>
      <c r="D136" s="105"/>
      <c r="E136" s="105"/>
      <c r="F136" s="105"/>
      <c r="G136" s="105">
        <f>IF($G$14&gt;0,IPMT('Assumptions (Coal)'!$V$6,Model!W$1,'Assumptions (Coal)'!$V$9,'Assumptions (Coal)'!$V$4*Model!$G$14*AVERAGE('Assumptions (Coal)'!$B$2:$E$2)/10^9),0)</f>
        <v>-2.3776353405024389E-2</v>
      </c>
      <c r="H136" s="105">
        <f>IF($G$14&gt;0,IPMT('Assumptions (Coal)'!$V$6,Model!X$1,'Assumptions (Coal)'!$V$9,'Assumptions (Coal)'!$V$4*Model!$G$14*AVERAGE('Assumptions (Coal)'!$B$2:$E$2)/10^9),0)</f>
        <v>-2.2653607025085395E-2</v>
      </c>
      <c r="I136" s="105">
        <f>IF($G$14&gt;0,IPMT('Assumptions (Coal)'!$V$6,Model!Y$1,'Assumptions (Coal)'!$V$9,'Assumptions (Coal)'!$V$4*Model!$G$14*AVERAGE('Assumptions (Coal)'!$B$2:$E$2)/10^9),0)</f>
        <v>-2.1477530192099296E-2</v>
      </c>
      <c r="J136" s="105">
        <f>IF($G$14&gt;0,IPMT('Assumptions (Coal)'!$V$6,Model!Z$1,'Assumptions (Coal)'!$V$9,'Assumptions (Coal)'!$V$4*Model!$G$14*AVERAGE('Assumptions (Coal)'!$B$2:$E$2)/10^9),0)</f>
        <v>-2.0245589709546371E-2</v>
      </c>
      <c r="K136" s="105">
        <f>IF($G$14&gt;0,IPMT('Assumptions (Coal)'!$V$6,Model!AA$1,'Assumptions (Coal)'!$V$9,'Assumptions (Coal)'!$V$4*Model!$G$14*AVERAGE('Assumptions (Coal)'!$B$2:$E$2)/10^9),0)</f>
        <v>-1.8955132054072173E-2</v>
      </c>
      <c r="L136" s="105">
        <f>IF($G$14&gt;0,IPMT('Assumptions (Coal)'!$V$6,Model!AB$1,'Assumptions (Coal)'!$V$9,'Assumptions (Coal)'!$V$4*Model!$G$14*AVERAGE('Assumptions (Coal)'!$B$2:$E$2)/10^9),0)</f>
        <v>-1.7603377659962956E-2</v>
      </c>
      <c r="M136" s="105">
        <f>IF($G$14&gt;0,IPMT('Assumptions (Coal)'!$V$6,Model!AC$1,'Assumptions (Coal)'!$V$9,'Assumptions (Coal)'!$V$4*Model!$G$14*AVERAGE('Assumptions (Coal)'!$B$2:$E$2)/10^9),0)</f>
        <v>-1.6187414932133548E-2</v>
      </c>
      <c r="N136" s="91">
        <f>IF($G$14&gt;0,IPMT('Assumptions (Coal)'!$V$6,Model!AD$1,'Assumptions (Coal)'!$V$9,'Assumptions (Coal)'!$V$4*Model!$G$14*AVERAGE('Assumptions (Coal)'!$B$2:$E$2)/10^9),0)</f>
        <v>-1.4704193974732244E-2</v>
      </c>
      <c r="O136" s="105">
        <f>IF($G$14&gt;0,IPMT('Assumptions (Coal)'!$V$6,Model!AE$1,'Assumptions (Coal)'!$V$9,'Assumptions (Coal)'!$V$4*Model!$G$14*AVERAGE('Assumptions (Coal)'!$B$2:$E$2)/10^9),0)</f>
        <v>-1.3150520021854378E-2</v>
      </c>
      <c r="P136" s="105">
        <f>IF($G$14&gt;0,IPMT('Assumptions (Coal)'!$V$6,Model!AF$1,'Assumptions (Coal)'!$V$9,'Assumptions (Coal)'!$V$4*Model!$G$14*AVERAGE('Assumptions (Coal)'!$B$2:$E$2)/10^9),0)</f>
        <v>-1.1523046556214816E-2</v>
      </c>
      <c r="Q136" s="105">
        <f>IF($G$14&gt;0,IPMT('Assumptions (Coal)'!$V$6,Model!AG$1,'Assumptions (Coal)'!$V$9,'Assumptions (Coal)'!$V$4*Model!$G$14*AVERAGE('Assumptions (Coal)'!$B$2:$E$2)/10^9),0)</f>
        <v>-9.8182681009573707E-3</v>
      </c>
      <c r="R136" s="105">
        <f>IF($G$14&gt;0,IPMT('Assumptions (Coal)'!$V$6,Model!AH$1,'Assumptions (Coal)'!$V$9,'Assumptions (Coal)'!$V$4*Model!$G$14*AVERAGE('Assumptions (Coal)'!$B$2:$E$2)/10^9),0)</f>
        <v>-8.0325126690751984E-3</v>
      </c>
      <c r="S136" s="105">
        <f>IF($G$14&gt;0,IPMT('Assumptions (Coal)'!$V$6,Model!AI$1,'Assumptions (Coal)'!$V$9,'Assumptions (Coal)'!$V$4*Model!$G$14*AVERAGE('Assumptions (Coal)'!$B$2:$E$2)/10^9),0)</f>
        <v>-6.1619338541786216E-3</v>
      </c>
      <c r="T136" s="105">
        <f>IF($G$14&gt;0,IPMT('Assumptions (Coal)'!$V$6,Model!AJ$1,'Assumptions (Coal)'!$V$9,'Assumptions (Coal)'!$V$4*Model!$G$14*AVERAGE('Assumptions (Coal)'!$B$2:$E$2)/10^9),0)</f>
        <v>-4.2025025455744575E-3</v>
      </c>
      <c r="U136" s="105">
        <f>IF($G$14&gt;0,IPMT('Assumptions (Coal)'!$V$6,Model!AK$1,'Assumptions (Coal)'!$V$9,'Assumptions (Coal)'!$V$4*Model!$G$14*AVERAGE('Assumptions (Coal)'!$B$2:$E$2)/10^9),0)</f>
        <v>-2.1499982498115969E-3</v>
      </c>
      <c r="V136" s="105"/>
      <c r="W136" s="105"/>
      <c r="X136" s="105"/>
      <c r="Y136" s="105"/>
      <c r="Z136" s="105"/>
      <c r="AA136" s="105"/>
      <c r="AB136" s="105"/>
      <c r="AC136" s="105"/>
      <c r="AD136" s="105"/>
      <c r="AE136" s="105"/>
      <c r="AF136" s="105"/>
      <c r="AG136" s="105"/>
      <c r="AU136" s="105"/>
      <c r="AV136" s="105"/>
      <c r="AW136" s="105"/>
      <c r="AX136" s="105"/>
      <c r="AY136" s="105"/>
      <c r="AZ136" s="105"/>
      <c r="BA136" s="105"/>
    </row>
    <row r="137" spans="1:77" ht="15.75" hidden="1" customHeight="1" outlineLevel="1">
      <c r="A137" s="98"/>
      <c r="B137" s="99"/>
      <c r="C137" s="105"/>
      <c r="D137" s="105"/>
      <c r="E137" s="105"/>
      <c r="F137" s="105"/>
      <c r="G137" s="105"/>
      <c r="H137" s="105">
        <f>IF($H$14&gt;0,IPMT('Assumptions (Coal)'!$V$6,Model!W$1,'Assumptions (Coal)'!$V$9,'Assumptions (Coal)'!$V$4*Model!$H$14*AVERAGE('Assumptions (Coal)'!$B$2:$F$2)/10^9),0)</f>
        <v>-1.7890196423123651E-2</v>
      </c>
      <c r="I137" s="105">
        <f>IF($H$14&gt;0,IPMT('Assumptions (Coal)'!$V$6,Model!X$1,'Assumptions (Coal)'!$V$9,'Assumptions (Coal)'!$V$4*Model!$H$14*AVERAGE('Assumptions (Coal)'!$B$2:$F$2)/10^9),0)</f>
        <v>-1.7045401053190468E-2</v>
      </c>
      <c r="J137" s="105">
        <f>IF($H$14&gt;0,IPMT('Assumptions (Coal)'!$V$6,Model!Y$1,'Assumptions (Coal)'!$V$9,'Assumptions (Coal)'!$V$4*Model!$H$14*AVERAGE('Assumptions (Coal)'!$B$2:$F$2)/10^9),0)</f>
        <v>-1.6160477903185463E-2</v>
      </c>
      <c r="K137" s="105">
        <f>IF($H$14&gt;0,IPMT('Assumptions (Coal)'!$V$6,Model!Z$1,'Assumptions (Coal)'!$V$9,'Assumptions (Coal)'!$V$4*Model!$H$14*AVERAGE('Assumptions (Coal)'!$B$2:$F$2)/10^9),0)</f>
        <v>-1.5233520903555224E-2</v>
      </c>
      <c r="L137" s="105">
        <f>IF($H$14&gt;0,IPMT('Assumptions (Coal)'!$V$6,Model!AA$1,'Assumptions (Coal)'!$V$9,'Assumptions (Coal)'!$V$4*Model!$H$14*AVERAGE('Assumptions (Coal)'!$B$2:$F$2)/10^9),0)</f>
        <v>-1.4262533446442547E-2</v>
      </c>
      <c r="M137" s="105">
        <f>IF($H$14&gt;0,IPMT('Assumptions (Coal)'!$V$6,Model!AB$1,'Assumptions (Coal)'!$V$9,'Assumptions (Coal)'!$V$4*Model!$H$14*AVERAGE('Assumptions (Coal)'!$B$2:$F$2)/10^9),0)</f>
        <v>-1.3245424085117018E-2</v>
      </c>
      <c r="N137" s="91">
        <f>IF($H$14&gt;0,IPMT('Assumptions (Coal)'!$V$6,Model!AC$1,'Assumptions (Coal)'!$V$9,'Assumptions (Coal)'!$V$4*Model!$H$14*AVERAGE('Assumptions (Coal)'!$B$2:$F$2)/10^9),0)</f>
        <v>-1.2180002029128527E-2</v>
      </c>
      <c r="O137" s="105">
        <f>IF($H$14&gt;0,IPMT('Assumptions (Coal)'!$V$6,Model!AD$1,'Assumptions (Coal)'!$V$9,'Assumptions (Coal)'!$V$4*Model!$H$14*AVERAGE('Assumptions (Coal)'!$B$2:$F$2)/10^9),0)</f>
        <v>-1.106397242548058E-2</v>
      </c>
      <c r="P137" s="105">
        <f>IF($H$14&gt;0,IPMT('Assumptions (Coal)'!$V$6,Model!AE$1,'Assumptions (Coal)'!$V$9,'Assumptions (Coal)'!$V$4*Model!$H$14*AVERAGE('Assumptions (Coal)'!$B$2:$F$2)/10^9),0)</f>
        <v>-9.8949314156593585E-3</v>
      </c>
      <c r="Q137" s="105">
        <f>IF($H$14&gt;0,IPMT('Assumptions (Coal)'!$V$6,Model!AF$1,'Assumptions (Coal)'!$V$9,'Assumptions (Coal)'!$V$4*Model!$H$14*AVERAGE('Assumptions (Coal)'!$B$2:$F$2)/10^9),0)</f>
        <v>-8.6703609578716277E-3</v>
      </c>
      <c r="R137" s="105">
        <f>IF($H$14&gt;0,IPMT('Assumptions (Coal)'!$V$6,Model!AG$1,'Assumptions (Coal)'!$V$9,'Assumptions (Coal)'!$V$4*Model!$H$14*AVERAGE('Assumptions (Coal)'!$B$2:$F$2)/10^9),0)</f>
        <v>-7.3876234033389788E-3</v>
      </c>
      <c r="S137" s="105">
        <f>IF($H$14&gt;0,IPMT('Assumptions (Coal)'!$V$6,Model!AH$1,'Assumptions (Coal)'!$V$9,'Assumptions (Coal)'!$V$4*Model!$H$14*AVERAGE('Assumptions (Coal)'!$B$2:$F$2)/10^9),0)</f>
        <v>-6.0439558149660306E-3</v>
      </c>
      <c r="T137" s="105">
        <f>IF($H$14&gt;0,IPMT('Assumptions (Coal)'!$V$6,Model!AI$1,'Assumptions (Coal)'!$V$9,'Assumptions (Coal)'!$V$4*Model!$H$14*AVERAGE('Assumptions (Coal)'!$B$2:$F$2)/10^9),0)</f>
        <v>-4.6364640161453653E-3</v>
      </c>
      <c r="U137" s="105">
        <f>IF($H$14&gt;0,IPMT('Assumptions (Coal)'!$V$6,Model!AJ$1,'Assumptions (Coal)'!$V$9,'Assumptions (Coal)'!$V$4*Model!$H$14*AVERAGE('Assumptions (Coal)'!$B$2:$F$2)/10^9),0)</f>
        <v>-3.1621163568807194E-3</v>
      </c>
      <c r="V137" s="105">
        <f>IF($H$14&gt;0,IPMT('Assumptions (Coal)'!$V$6,Model!AK$1,'Assumptions (Coal)'!$V$9,'Assumptions (Coal)'!$V$4*Model!$H$14*AVERAGE('Assumptions (Coal)'!$B$2:$F$2)/10^9),0)</f>
        <v>-1.617737183801003E-3</v>
      </c>
      <c r="W137" s="105"/>
      <c r="X137" s="105"/>
      <c r="Y137" s="105"/>
      <c r="Z137" s="105"/>
      <c r="AA137" s="105"/>
      <c r="AB137" s="105"/>
      <c r="AC137" s="105"/>
      <c r="AD137" s="105"/>
      <c r="AE137" s="105"/>
      <c r="AF137" s="105"/>
      <c r="AG137" s="105"/>
      <c r="AU137" s="105"/>
      <c r="AV137" s="105"/>
      <c r="AW137" s="105"/>
      <c r="AX137" s="105"/>
      <c r="AY137" s="105"/>
      <c r="AZ137" s="105"/>
      <c r="BA137" s="105"/>
    </row>
    <row r="138" spans="1:77" ht="15.75" hidden="1" customHeight="1" outlineLevel="1">
      <c r="A138" s="98"/>
      <c r="B138" s="99"/>
      <c r="C138" s="105"/>
      <c r="D138" s="105"/>
      <c r="E138" s="105"/>
      <c r="F138" s="105"/>
      <c r="G138" s="105"/>
      <c r="H138" s="105"/>
      <c r="I138" s="105">
        <f>IF($I$14&gt;0,IPMT('Assumptions (Coal)'!$V$6,Model!W$1,'Assumptions (Coal)'!$V$9,'Assumptions (Coal)'!$V$4*Model!$I$14*AVERAGE('Assumptions (Coal)'!$B$2:$G$2)/10^9),0)</f>
        <v>-2.4399497392483413E-2</v>
      </c>
      <c r="J138" s="105">
        <f>IF($I$14&gt;0,IPMT('Assumptions (Coal)'!$V$6,Model!X$1,'Assumptions (Coal)'!$V$9,'Assumptions (Coal)'!$V$4*Model!$I$14*AVERAGE('Assumptions (Coal)'!$B$2:$G$2)/10^9),0)</f>
        <v>-2.3247325446555292E-2</v>
      </c>
      <c r="K138" s="105">
        <f>IF($I$14&gt;0,IPMT('Assumptions (Coal)'!$V$6,Model!Y$1,'Assumptions (Coal)'!$V$9,'Assumptions (Coal)'!$V$4*Model!$I$14*AVERAGE('Assumptions (Coal)'!$B$2:$G$2)/10^9),0)</f>
        <v>-2.2040425333195585E-2</v>
      </c>
      <c r="L138" s="105">
        <f>IF($I$14&gt;0,IPMT('Assumptions (Coal)'!$V$6,Model!Z$1,'Assumptions (Coal)'!$V$9,'Assumptions (Coal)'!$V$4*Model!$I$14*AVERAGE('Assumptions (Coal)'!$B$2:$G$2)/10^9),0)</f>
        <v>-2.07761974644513E-2</v>
      </c>
      <c r="M138" s="105">
        <f>IF($I$14&gt;0,IPMT('Assumptions (Coal)'!$V$6,Model!AA$1,'Assumptions (Coal)'!$V$9,'Assumptions (Coal)'!$V$4*Model!$I$14*AVERAGE('Assumptions (Coal)'!$B$2:$G$2)/10^9),0)</f>
        <v>-1.9451918771941655E-2</v>
      </c>
      <c r="N138" s="91">
        <f>IF($I$14&gt;0,IPMT('Assumptions (Coal)'!$V$6,Model!AB$1,'Assumptions (Coal)'!$V$9,'Assumptions (Coal)'!$V$4*Model!$I$14*AVERAGE('Assumptions (Coal)'!$B$2:$G$2)/10^9),0)</f>
        <v>-1.8064736841537806E-2</v>
      </c>
      <c r="O138" s="105">
        <f>IF($I$14&gt;0,IPMT('Assumptions (Coal)'!$V$6,Model!AC$1,'Assumptions (Coal)'!$V$9,'Assumptions (Coal)'!$V$4*Model!$I$14*AVERAGE('Assumptions (Coal)'!$B$2:$G$2)/10^9),0)</f>
        <v>-1.6611663769439771E-2</v>
      </c>
      <c r="P138" s="105">
        <f>IF($I$14&gt;0,IPMT('Assumptions (Coal)'!$V$6,Model!AD$1,'Assumptions (Coal)'!$V$9,'Assumptions (Coal)'!$V$4*Model!$I$14*AVERAGE('Assumptions (Coal)'!$B$2:$G$2)/10^9),0)</f>
        <v>-1.5089569726417082E-2</v>
      </c>
      <c r="Q138" s="105">
        <f>IF($I$14&gt;0,IPMT('Assumptions (Coal)'!$V$6,Model!AE$1,'Assumptions (Coal)'!$V$9,'Assumptions (Coal)'!$V$4*Model!$I$14*AVERAGE('Assumptions (Coal)'!$B$2:$G$2)/10^9),0)</f>
        <v>-1.3495176216350817E-2</v>
      </c>
      <c r="R138" s="105">
        <f>IF($I$14&gt;0,IPMT('Assumptions (Coal)'!$V$6,Model!AF$1,'Assumptions (Coal)'!$V$9,'Assumptions (Coal)'!$V$4*Model!$I$14*AVERAGE('Assumptions (Coal)'!$B$2:$G$2)/10^9),0)</f>
        <v>-1.18250490145564E-2</v>
      </c>
      <c r="S138" s="105">
        <f>IF($I$14&gt;0,IPMT('Assumptions (Coal)'!$V$6,Model!AG$1,'Assumptions (Coal)'!$V$9,'Assumptions (Coal)'!$V$4*Model!$I$14*AVERAGE('Assumptions (Coal)'!$B$2:$G$2)/10^9),0)</f>
        <v>-1.0075590770676749E-2</v>
      </c>
      <c r="T138" s="105">
        <f>IF($I$14&gt;0,IPMT('Assumptions (Coal)'!$V$6,Model!AH$1,'Assumptions (Coal)'!$V$9,'Assumptions (Coal)'!$V$4*Model!$I$14*AVERAGE('Assumptions (Coal)'!$B$2:$G$2)/10^9),0)</f>
        <v>-8.2430332602128169E-3</v>
      </c>
      <c r="U138" s="105">
        <f>IF($I$14&gt;0,IPMT('Assumptions (Coal)'!$V$6,Model!AI$1,'Assumptions (Coal)'!$V$9,'Assumptions (Coal)'!$V$4*Model!$I$14*AVERAGE('Assumptions (Coal)'!$B$2:$G$2)/10^9),0)</f>
        <v>-6.3234292680018449E-3</v>
      </c>
      <c r="V138" s="105">
        <f>IF($I$14&gt;0,IPMT('Assumptions (Coal)'!$V$6,Model!AJ$1,'Assumptions (Coal)'!$V$9,'Assumptions (Coal)'!$V$4*Model!$I$14*AVERAGE('Assumptions (Coal)'!$B$2:$G$2)/10^9),0)</f>
        <v>-4.3126440861608537E-3</v>
      </c>
      <c r="W138" s="105">
        <f>IF($I$14&gt;0,IPMT('Assumptions (Coal)'!$V$6,Model!AK$1,'Assumptions (Coal)'!$V$9,'Assumptions (Coal)'!$V$4*Model!$I$14*AVERAGE('Assumptions (Coal)'!$B$2:$G$2)/10^9),0)</f>
        <v>-2.2063466081824147E-3</v>
      </c>
      <c r="X138" s="105"/>
      <c r="Y138" s="105"/>
      <c r="Z138" s="105"/>
      <c r="AA138" s="105"/>
      <c r="AB138" s="105"/>
      <c r="AC138" s="105"/>
      <c r="AD138" s="105"/>
      <c r="AE138" s="105"/>
      <c r="AF138" s="105"/>
      <c r="AG138" s="105"/>
      <c r="AU138" s="105"/>
      <c r="AV138" s="105"/>
      <c r="AW138" s="105"/>
      <c r="AX138" s="105"/>
      <c r="AY138" s="105"/>
      <c r="AZ138" s="105"/>
      <c r="BA138" s="105"/>
    </row>
    <row r="139" spans="1:77" ht="15.75" hidden="1" customHeight="1" outlineLevel="1">
      <c r="A139" s="98"/>
      <c r="B139" s="99"/>
      <c r="C139" s="105"/>
      <c r="D139" s="105"/>
      <c r="E139" s="105"/>
      <c r="F139" s="105"/>
      <c r="G139" s="105"/>
      <c r="H139" s="105"/>
      <c r="I139" s="105"/>
      <c r="J139" s="105">
        <f>IF($J$14&gt;0,IPMT('Assumptions (Coal)'!$V$6,Model!W$1,'Assumptions (Coal)'!$V$9,'Assumptions (Coal)'!$V$4*Model!$J$14*AVERAGE('Assumptions (Coal)'!$C$2:$H$2)/10^9),0)</f>
        <v>-6.7139221573081748E-2</v>
      </c>
      <c r="K139" s="105">
        <f>IF($J$14&gt;0,IPMT('Assumptions (Coal)'!$V$6,Model!X$1,'Assumptions (Coal)'!$V$9,'Assumptions (Coal)'!$V$4*Model!$J$14*AVERAGE('Assumptions (Coal)'!$C$2:$H$2)/10^9),0)</f>
        <v>-6.3968831366938095E-2</v>
      </c>
      <c r="L139" s="105">
        <f>IF($J$14&gt;0,IPMT('Assumptions (Coal)'!$V$6,Model!Y$1,'Assumptions (Coal)'!$V$9,'Assumptions (Coal)'!$V$4*Model!$J$14*AVERAGE('Assumptions (Coal)'!$C$2:$H$2)/10^9),0)</f>
        <v>-6.0647847626002623E-2</v>
      </c>
      <c r="M139" s="105">
        <f>IF($J$14&gt;0,IPMT('Assumptions (Coal)'!$V$6,Model!Z$1,'Assumptions (Coal)'!$V$9,'Assumptions (Coal)'!$V$4*Model!$J$14*AVERAGE('Assumptions (Coal)'!$C$2:$H$2)/10^9),0)</f>
        <v>-5.7169117157372731E-2</v>
      </c>
      <c r="N139" s="91">
        <f>IF($J$14&gt;0,IPMT('Assumptions (Coal)'!$V$6,Model!AA$1,'Assumptions (Coal)'!$V$9,'Assumptions (Coal)'!$V$4*Model!$J$14*AVERAGE('Assumptions (Coal)'!$C$2:$H$2)/10^9),0)</f>
        <v>-5.3525146991482919E-2</v>
      </c>
      <c r="O139" s="105">
        <f>IF($J$14&gt;0,IPMT('Assumptions (Coal)'!$V$6,Model!AB$1,'Assumptions (Coal)'!$V$9,'Assumptions (Coal)'!$V$4*Model!$J$14*AVERAGE('Assumptions (Coal)'!$C$2:$H$2)/10^9),0)</f>
        <v>-4.9708088242713333E-2</v>
      </c>
      <c r="P139" s="105">
        <f>IF($J$14&gt;0,IPMT('Assumptions (Coal)'!$V$6,Model!AC$1,'Assumptions (Coal)'!$V$9,'Assumptions (Coal)'!$V$4*Model!$J$14*AVERAGE('Assumptions (Coal)'!$C$2:$H$2)/10^9),0)</f>
        <v>-4.57097192033772E-2</v>
      </c>
      <c r="Q139" s="105">
        <f>IF($J$14&gt;0,IPMT('Assumptions (Coal)'!$V$6,Model!AD$1,'Assumptions (Coal)'!$V$9,'Assumptions (Coal)'!$V$4*Model!$J$14*AVERAGE('Assumptions (Coal)'!$C$2:$H$2)/10^9),0)</f>
        <v>-4.1521427634672599E-2</v>
      </c>
      <c r="R139" s="105">
        <f>IF($J$14&gt;0,IPMT('Assumptions (Coal)'!$V$6,Model!AE$1,'Assumptions (Coal)'!$V$9,'Assumptions (Coal)'!$V$4*Model!$J$14*AVERAGE('Assumptions (Coal)'!$C$2:$H$2)/10^9),0)</f>
        <v>-3.7134192216454538E-2</v>
      </c>
      <c r="S139" s="105">
        <f>IF($J$14&gt;0,IPMT('Assumptions (Coal)'!$V$6,Model!AF$1,'Assumptions (Coal)'!$V$9,'Assumptions (Coal)'!$V$4*Model!$J$14*AVERAGE('Assumptions (Coal)'!$C$2:$H$2)/10^9),0)</f>
        <v>-3.2538563115871104E-2</v>
      </c>
      <c r="T139" s="105">
        <f>IF($J$14&gt;0,IPMT('Assumptions (Coal)'!$V$6,Model!AG$1,'Assumptions (Coal)'!$V$9,'Assumptions (Coal)'!$V$4*Model!$J$14*AVERAGE('Assumptions (Coal)'!$C$2:$H$2)/10^9),0)</f>
        <v>-2.7724641633009965E-2</v>
      </c>
      <c r="U139" s="105">
        <f>IF($J$14&gt;0,IPMT('Assumptions (Coal)'!$V$6,Model!AH$1,'Assumptions (Coal)'!$V$9,'Assumptions (Coal)'!$V$4*Model!$J$14*AVERAGE('Assumptions (Coal)'!$C$2:$H$2)/10^9),0)</f>
        <v>-2.2682058879712919E-2</v>
      </c>
      <c r="V139" s="105">
        <f>IF($J$14&gt;0,IPMT('Assumptions (Coal)'!$V$6,Model!AI$1,'Assumptions (Coal)'!$V$9,'Assumptions (Coal)'!$V$4*Model!$J$14*AVERAGE('Assumptions (Coal)'!$C$2:$H$2)/10^9),0)</f>
        <v>-1.7399953445634261E-2</v>
      </c>
      <c r="W139" s="105">
        <f>IF($J$14&gt;0,IPMT('Assumptions (Coal)'!$V$6,Model!AJ$1,'Assumptions (Coal)'!$V$9,'Assumptions (Coal)'!$V$4*Model!$J$14*AVERAGE('Assumptions (Coal)'!$C$2:$H$2)/10^9),0)</f>
        <v>-1.1866948003436869E-2</v>
      </c>
      <c r="X139" s="105">
        <f>IF($J$14&gt;0,IPMT('Assumptions (Coal)'!$V$6,Model!AK$1,'Assumptions (Coal)'!$V$9,'Assumptions (Coal)'!$V$4*Model!$J$14*AVERAGE('Assumptions (Coal)'!$C$2:$H$2)/10^9),0)</f>
        <v>-6.0711248027351013E-3</v>
      </c>
      <c r="Y139" s="105"/>
      <c r="Z139" s="105"/>
      <c r="AA139" s="105"/>
      <c r="AB139" s="105"/>
      <c r="AC139" s="105"/>
      <c r="AD139" s="105"/>
      <c r="AE139" s="105"/>
      <c r="AF139" s="105"/>
      <c r="AG139" s="105"/>
      <c r="AH139" s="105"/>
      <c r="AU139" s="105"/>
      <c r="AV139" s="105"/>
      <c r="AW139" s="105"/>
      <c r="AX139" s="105"/>
      <c r="AY139" s="105"/>
      <c r="AZ139" s="105"/>
      <c r="BA139" s="105"/>
    </row>
    <row r="140" spans="1:77" ht="15.75" hidden="1" customHeight="1" outlineLevel="1">
      <c r="A140" s="98"/>
      <c r="B140" s="99"/>
      <c r="C140" s="105"/>
      <c r="D140" s="105"/>
      <c r="E140" s="105"/>
      <c r="F140" s="105"/>
      <c r="G140" s="105"/>
      <c r="H140" s="105"/>
      <c r="I140" s="105"/>
      <c r="J140" s="105"/>
      <c r="K140" s="105">
        <f>IF($K$14&gt;0,IPMT('Assumptions (Coal)'!$V$6,Model!W$1,'Assumptions (Coal)'!$V$9,'Assumptions (Coal)'!$V$4*Model!$K$14*AVERAGE('Assumptions (Coal)'!$D$2:$I$2)/10^9),0)</f>
        <v>-7.0574834710964054E-2</v>
      </c>
      <c r="L140" s="105">
        <f>IF($K$14&gt;0,IPMT('Assumptions (Coal)'!$V$6,Model!X$1,'Assumptions (Coal)'!$V$9,'Assumptions (Coal)'!$V$4*Model!$K$14*AVERAGE('Assumptions (Coal)'!$D$2:$I$2)/10^9),0)</f>
        <v>-6.7242210955052714E-2</v>
      </c>
      <c r="M140" s="105">
        <f>IF($K$14&gt;0,IPMT('Assumptions (Coal)'!$V$6,Model!Y$1,'Assumptions (Coal)'!$V$9,'Assumptions (Coal)'!$V$4*Model!$K$14*AVERAGE('Assumptions (Coal)'!$D$2:$I$2)/10^9),0)</f>
        <v>-6.3751287570735587E-2</v>
      </c>
      <c r="N140" s="91">
        <f>IF($K$14&gt;0,IPMT('Assumptions (Coal)'!$V$6,Model!Z$1,'Assumptions (Coal)'!$V$9,'Assumptions (Coal)'!$V$4*Model!$K$14*AVERAGE('Assumptions (Coal)'!$D$2:$I$2)/10^9),0)</f>
        <v>-6.0094545325663426E-2</v>
      </c>
      <c r="O140" s="105">
        <f>IF($K$14&gt;0,IPMT('Assumptions (Coal)'!$V$6,Model!AA$1,'Assumptions (Coal)'!$V$9,'Assumptions (Coal)'!$V$4*Model!$K$14*AVERAGE('Assumptions (Coal)'!$D$2:$I$2)/10^9),0)</f>
        <v>-5.6264107823950305E-2</v>
      </c>
      <c r="P140" s="105">
        <f>IF($K$14&gt;0,IPMT('Assumptions (Coal)'!$V$6,Model!AB$1,'Assumptions (Coal)'!$V$9,'Assumptions (Coal)'!$V$4*Model!$K$14*AVERAGE('Assumptions (Coal)'!$D$2:$I$2)/10^9),0)</f>
        <v>-5.225172454090584E-2</v>
      </c>
      <c r="Q140" s="105">
        <f>IF($K$14&gt;0,IPMT('Assumptions (Coal)'!$V$6,Model!AC$1,'Assumptions (Coal)'!$V$9,'Assumptions (Coal)'!$V$4*Model!$K$14*AVERAGE('Assumptions (Coal)'!$D$2:$I$2)/10^9),0)</f>
        <v>-4.8048753051916748E-2</v>
      </c>
      <c r="R140" s="105">
        <f>IF($K$14&gt;0,IPMT('Assumptions (Coal)'!$V$6,Model!AD$1,'Assumptions (Coal)'!$V$9,'Assumptions (Coal)'!$V$4*Model!$K$14*AVERAGE('Assumptions (Coal)'!$D$2:$I$2)/10^9),0)</f>
        <v>-4.364614041720067E-2</v>
      </c>
      <c r="S140" s="105">
        <f>IF($K$14&gt;0,IPMT('Assumptions (Coal)'!$V$6,Model!AE$1,'Assumptions (Coal)'!$V$9,'Assumptions (Coal)'!$V$4*Model!$K$14*AVERAGE('Assumptions (Coal)'!$D$2:$I$2)/10^9),0)</f>
        <v>-3.9034403682335586E-2</v>
      </c>
      <c r="T140" s="105">
        <f>IF($K$14&gt;0,IPMT('Assumptions (Coal)'!$V$6,Model!AF$1,'Assumptions (Coal)'!$V$9,'Assumptions (Coal)'!$V$4*Model!$K$14*AVERAGE('Assumptions (Coal)'!$D$2:$I$2)/10^9),0)</f>
        <v>-3.4203609452564405E-2</v>
      </c>
      <c r="U140" s="105">
        <f>IF($K$14&gt;0,IPMT('Assumptions (Coal)'!$V$6,Model!AG$1,'Assumptions (Coal)'!$V$9,'Assumptions (Coal)'!$V$4*Model!$K$14*AVERAGE('Assumptions (Coal)'!$D$2:$I$2)/10^9),0)</f>
        <v>-2.9143352496879101E-2</v>
      </c>
      <c r="V140" s="105">
        <f>IF($K$14&gt;0,IPMT('Assumptions (Coal)'!$V$6,Model!AH$1,'Assumptions (Coal)'!$V$9,'Assumptions (Coal)'!$V$4*Model!$K$14*AVERAGE('Assumptions (Coal)'!$D$2:$I$2)/10^9),0)</f>
        <v>-2.3842733335798741E-2</v>
      </c>
      <c r="W140" s="105">
        <f>IF($K$14&gt;0,IPMT('Assumptions (Coal)'!$V$6,Model!AI$1,'Assumptions (Coal)'!$V$9,'Assumptions (Coal)'!$V$4*Model!$K$14*AVERAGE('Assumptions (Coal)'!$D$2:$I$2)/10^9),0)</f>
        <v>-1.8290334764567057E-2</v>
      </c>
      <c r="X140" s="105">
        <f>IF($K$14&gt;0,IPMT('Assumptions (Coal)'!$V$6,Model!AJ$1,'Assumptions (Coal)'!$V$9,'Assumptions (Coal)'!$V$4*Model!$K$14*AVERAGE('Assumptions (Coal)'!$D$2:$I$2)/10^9),0)</f>
        <v>-1.2474197261201872E-2</v>
      </c>
      <c r="Y140" s="105">
        <f>IF($K$14&gt;0,IPMT('Assumptions (Coal)'!$V$6,Model!AK$1,'Assumptions (Coal)'!$V$9,'Assumptions (Coal)'!$V$4*Model!$K$14*AVERAGE('Assumptions (Coal)'!$D$2:$I$2)/10^9),0)</f>
        <v>-6.3817932264268436E-3</v>
      </c>
      <c r="Z140" s="105"/>
      <c r="AA140" s="105"/>
      <c r="AB140" s="105"/>
      <c r="AC140" s="105"/>
      <c r="AD140" s="105"/>
      <c r="AE140" s="105"/>
      <c r="AF140" s="105"/>
      <c r="AG140" s="105"/>
      <c r="AH140" s="105"/>
      <c r="AI140" s="105"/>
      <c r="AU140" s="105"/>
      <c r="AV140" s="105"/>
      <c r="AW140" s="105"/>
      <c r="AX140" s="105"/>
      <c r="AY140" s="105"/>
      <c r="AZ140" s="105"/>
      <c r="BA140" s="105"/>
    </row>
    <row r="141" spans="1:77" ht="15.75" hidden="1" customHeight="1" outlineLevel="1">
      <c r="A141" s="98"/>
      <c r="B141" s="99"/>
      <c r="C141" s="105"/>
      <c r="D141" s="105"/>
      <c r="E141" s="105"/>
      <c r="F141" s="105"/>
      <c r="G141" s="105"/>
      <c r="H141" s="105"/>
      <c r="I141" s="105"/>
      <c r="J141" s="105"/>
      <c r="K141" s="105"/>
      <c r="L141" s="105">
        <f>IF($L$14&gt;0,IPMT('Assumptions (Coal)'!$V$6,Model!W$1,'Assumptions (Coal)'!$V$9,'Assumptions (Coal)'!$V$4*Model!$L$14*AVERAGE('Assumptions (Coal)'!$E$2:$J$2)/10^9),0)</f>
        <v>-8.5743192102055291E-2</v>
      </c>
      <c r="M141" s="105">
        <f>IF($L$14&gt;0,IPMT('Assumptions (Coal)'!$V$6,Model!X$1,'Assumptions (Coal)'!$V$9,'Assumptions (Coal)'!$V$4*Model!$L$14*AVERAGE('Assumptions (Coal)'!$E$2:$J$2)/10^9),0)</f>
        <v>-8.1694301302987132E-2</v>
      </c>
      <c r="N141" s="91">
        <f>IF($L$14&gt;0,IPMT('Assumptions (Coal)'!$V$6,Model!Y$1,'Assumptions (Coal)'!$V$9,'Assumptions (Coal)'!$V$4*Model!$L$14*AVERAGE('Assumptions (Coal)'!$E$2:$J$2)/10^9),0)</f>
        <v>-7.7453088190963235E-2</v>
      </c>
      <c r="O141" s="105">
        <f>IF($L$14&gt;0,IPMT('Assumptions (Coal)'!$V$6,Model!Z$1,'Assumptions (Coal)'!$V$9,'Assumptions (Coal)'!$V$4*Model!$L$14*AVERAGE('Assumptions (Coal)'!$E$2:$J$2)/10^9),0)</f>
        <v>-7.3010417456118221E-2</v>
      </c>
      <c r="P141" s="105">
        <f>IF($L$14&gt;0,IPMT('Assumptions (Coal)'!$V$6,Model!AA$1,'Assumptions (Coal)'!$V$9,'Assumptions (Coal)'!$V$4*Model!$L$14*AVERAGE('Assumptions (Coal)'!$E$2:$J$2)/10^9),0)</f>
        <v>-6.8356719861368057E-2</v>
      </c>
      <c r="Q141" s="105">
        <f>IF($L$14&gt;0,IPMT('Assumptions (Coal)'!$V$6,Model!AB$1,'Assumptions (Coal)'!$V$9,'Assumptions (Coal)'!$V$4*Model!$L$14*AVERAGE('Assumptions (Coal)'!$E$2:$J$2)/10^9),0)</f>
        <v>-6.3481971630867259E-2</v>
      </c>
      <c r="R141" s="105">
        <f>IF($L$14&gt;0,IPMT('Assumptions (Coal)'!$V$6,Model!AC$1,'Assumptions (Coal)'!$V$9,'Assumptions (Coal)'!$V$4*Model!$L$14*AVERAGE('Assumptions (Coal)'!$E$2:$J$2)/10^9),0)</f>
        <v>-5.8375672859417672E-2</v>
      </c>
      <c r="S141" s="105">
        <f>IF($L$14&gt;0,IPMT('Assumptions (Coal)'!$V$6,Model!AD$1,'Assumptions (Coal)'!$V$9,'Assumptions (Coal)'!$V$4*Model!$L$14*AVERAGE('Assumptions (Coal)'!$E$2:$J$2)/10^9),0)</f>
        <v>-5.3026824896324237E-2</v>
      </c>
      <c r="T141" s="105">
        <f>IF($L$14&gt;0,IPMT('Assumptions (Coal)'!$V$6,Model!AE$1,'Assumptions (Coal)'!$V$9,'Assumptions (Coal)'!$V$4*Model!$L$14*AVERAGE('Assumptions (Coal)'!$E$2:$J$2)/10^9),0)</f>
        <v>-4.7423906654983874E-2</v>
      </c>
      <c r="U141" s="105">
        <f>IF($L$14&gt;0,IPMT('Assumptions (Coal)'!$V$6,Model!AF$1,'Assumptions (Coal)'!$V$9,'Assumptions (Coal)'!$V$4*Model!$L$14*AVERAGE('Assumptions (Coal)'!$E$2:$J$2)/10^9),0)</f>
        <v>-4.1554849797179827E-2</v>
      </c>
      <c r="V141" s="105">
        <f>IF($L$14&gt;0,IPMT('Assumptions (Coal)'!$V$6,Model!AG$1,'Assumptions (Coal)'!$V$9,'Assumptions (Coal)'!$V$4*Model!$L$14*AVERAGE('Assumptions (Coal)'!$E$2:$J$2)/10^9),0)</f>
        <v>-3.5407012738630089E-2</v>
      </c>
      <c r="W141" s="105">
        <f>IF($L$14&gt;0,IPMT('Assumptions (Coal)'!$V$6,Model!AH$1,'Assumptions (Coal)'!$V$9,'Assumptions (Coal)'!$V$4*Model!$L$14*AVERAGE('Assumptions (Coal)'!$E$2:$J$2)/10^9),0)</f>
        <v>-2.8967153419799246E-2</v>
      </c>
      <c r="X141" s="105">
        <f>IF($L$14&gt;0,IPMT('Assumptions (Coal)'!$V$6,Model!AI$1,'Assumptions (Coal)'!$V$9,'Assumptions (Coal)'!$V$4*Model!$L$14*AVERAGE('Assumptions (Coal)'!$E$2:$J$2)/10^9),0)</f>
        <v>-2.2221400783323929E-2</v>
      </c>
      <c r="Y141" s="105">
        <f>IF($L$14&gt;0,IPMT('Assumptions (Coal)'!$V$6,Model!AJ$1,'Assumptions (Coal)'!$V$9,'Assumptions (Coal)'!$V$4*Model!$L$14*AVERAGE('Assumptions (Coal)'!$E$2:$J$2)/10^9),0)</f>
        <v>-1.515522489661604E-2</v>
      </c>
      <c r="Z141" s="105">
        <f>IF($L$14&gt;0,IPMT('Assumptions (Coal)'!$V$6,Model!AK$1,'Assumptions (Coal)'!$V$9,'Assumptions (Coal)'!$V$4*Model!$L$14*AVERAGE('Assumptions (Coal)'!$E$2:$J$2)/10^9),0)</f>
        <v>-7.7534056552895246E-3</v>
      </c>
      <c r="AA141" s="105"/>
      <c r="AB141" s="105"/>
      <c r="AC141" s="105"/>
      <c r="AD141" s="105"/>
      <c r="AE141" s="105"/>
      <c r="AF141" s="105"/>
      <c r="AG141" s="105"/>
      <c r="AH141" s="105"/>
      <c r="AI141" s="105"/>
      <c r="AJ141" s="105"/>
      <c r="AU141" s="105"/>
      <c r="AV141" s="105"/>
      <c r="AW141" s="105"/>
      <c r="AX141" s="105"/>
      <c r="AY141" s="105"/>
      <c r="AZ141" s="105"/>
      <c r="BA141" s="105"/>
    </row>
    <row r="142" spans="1:77" ht="15.75" hidden="1" customHeight="1" outlineLevel="1">
      <c r="A142" s="98"/>
      <c r="B142" s="99"/>
      <c r="C142" s="105"/>
      <c r="D142" s="105"/>
      <c r="E142" s="105"/>
      <c r="F142" s="105"/>
      <c r="G142" s="105"/>
      <c r="H142" s="105"/>
      <c r="I142" s="105"/>
      <c r="J142" s="105"/>
      <c r="K142" s="105"/>
      <c r="L142" s="105"/>
      <c r="M142" s="105">
        <f>IF($M$14&gt;0,IPMT('Assumptions (Coal)'!$V$6,Model!W$1,'Assumptions (Coal)'!$V$9,'Assumptions (Coal)'!$V$4*Model!$M$14*AVERAGE('Assumptions (Coal)'!$F$2:$K$2)/10^9),0)</f>
        <v>-0.23797441859154633</v>
      </c>
      <c r="N142" s="91">
        <f>IF($M$14&gt;0,IPMT('Assumptions (Coal)'!$V$6,Model!X$1,'Assumptions (Coal)'!$V$9,'Assumptions (Coal)'!$V$4*Model!$M$14*AVERAGE('Assumptions (Coal)'!$F$2:$K$2)/10^9),0)</f>
        <v>-0.22673699658488641</v>
      </c>
      <c r="O142" s="105">
        <f>IF($M$14&gt;0,IPMT('Assumptions (Coal)'!$V$6,Model!Y$1,'Assumptions (Coal)'!$V$9,'Assumptions (Coal)'!$V$4*Model!$M$14*AVERAGE('Assumptions (Coal)'!$F$2:$K$2)/10^9),0)</f>
        <v>-0.21496579703291011</v>
      </c>
      <c r="P142" s="105">
        <f>IF($M$14&gt;0,IPMT('Assumptions (Coal)'!$V$6,Model!Z$1,'Assumptions (Coal)'!$V$9,'Assumptions (Coal)'!$V$4*Model!$M$14*AVERAGE('Assumptions (Coal)'!$F$2:$K$2)/10^9),0)</f>
        <v>-0.20263546550221498</v>
      </c>
      <c r="Q142" s="105">
        <f>IF($M$14&gt;0,IPMT('Assumptions (Coal)'!$V$6,Model!AA$1,'Assumptions (Coal)'!$V$9,'Assumptions (Coal)'!$V$4*Model!$M$14*AVERAGE('Assumptions (Coal)'!$F$2:$K$2)/10^9),0)</f>
        <v>-0.18971944322381182</v>
      </c>
      <c r="R142" s="105">
        <f>IF($M$14&gt;0,IPMT('Assumptions (Coal)'!$V$6,Model!AB$1,'Assumptions (Coal)'!$V$9,'Assumptions (Coal)'!$V$4*Model!$M$14*AVERAGE('Assumptions (Coal)'!$F$2:$K$2)/10^9),0)</f>
        <v>-0.17618990988718453</v>
      </c>
      <c r="S142" s="105">
        <f>IF($M$14&gt;0,IPMT('Assumptions (Coal)'!$V$6,Model!AC$1,'Assumptions (Coal)'!$V$9,'Assumptions (Coal)'!$V$4*Model!$M$14*AVERAGE('Assumptions (Coal)'!$F$2:$K$2)/10^9),0)</f>
        <v>-0.16201772371706744</v>
      </c>
      <c r="T142" s="105">
        <f>IF($M$14&gt;0,IPMT('Assumptions (Coal)'!$V$6,Model!AD$1,'Assumptions (Coal)'!$V$9,'Assumptions (Coal)'!$V$4*Model!$M$14*AVERAGE('Assumptions (Coal)'!$F$2:$K$2)/10^9),0)</f>
        <v>-0.14717235870386977</v>
      </c>
      <c r="U142" s="105">
        <f>IF($M$14&gt;0,IPMT('Assumptions (Coal)'!$V$6,Model!AE$1,'Assumptions (Coal)'!$V$9,'Assumptions (Coal)'!$V$4*Model!$M$14*AVERAGE('Assumptions (Coal)'!$F$2:$K$2)/10^9),0)</f>
        <v>-0.13162183885254525</v>
      </c>
      <c r="V142" s="105">
        <f>IF($M$14&gt;0,IPMT('Assumptions (Coal)'!$V$6,Model!AF$1,'Assumptions (Coal)'!$V$9,'Assumptions (Coal)'!$V$4*Model!$M$14*AVERAGE('Assumptions (Coal)'!$F$2:$K$2)/10^9),0)</f>
        <v>-0.11533266930828279</v>
      </c>
      <c r="W142" s="105">
        <f>IF($M$14&gt;0,IPMT('Assumptions (Coal)'!$V$6,Model!AG$1,'Assumptions (Coal)'!$V$9,'Assumptions (Coal)'!$V$4*Model!$M$14*AVERAGE('Assumptions (Coal)'!$F$2:$K$2)/10^9),0)</f>
        <v>-9.826976421066784E-2</v>
      </c>
      <c r="X142" s="105">
        <f>IF($M$14&gt;0,IPMT('Assumptions (Coal)'!$V$6,Model!AH$1,'Assumptions (Coal)'!$V$9,'Assumptions (Coal)'!$V$4*Model!$M$14*AVERAGE('Assumptions (Coal)'!$F$2:$K$2)/10^9),0)</f>
        <v>-8.0396371120916216E-2</v>
      </c>
      <c r="Y142" s="105">
        <f>IF($M$14&gt;0,IPMT('Assumptions (Coal)'!$V$6,Model!AI$1,'Assumptions (Coal)'!$V$9,'Assumptions (Coal)'!$V$4*Model!$M$14*AVERAGE('Assumptions (Coal)'!$F$2:$K$2)/10^9),0)</f>
        <v>-6.167399185940136E-2</v>
      </c>
      <c r="Z142" s="105">
        <f>IF($M$14&gt;0,IPMT('Assumptions (Coal)'!$V$6,Model!AJ$1,'Assumptions (Coal)'!$V$9,'Assumptions (Coal)'!$V$4*Model!$M$14*AVERAGE('Assumptions (Coal)'!$F$2:$K$2)/10^9),0)</f>
        <v>-4.2062299582964549E-2</v>
      </c>
      <c r="AA142" s="105">
        <f>IF($M$14&gt;0,IPMT('Assumptions (Coal)'!$V$6,Model!AK$1,'Assumptions (Coal)'!$V$9,'Assumptions (Coal)'!$V$4*Model!$M$14*AVERAGE('Assumptions (Coal)'!$F$2:$K$2)/10^9),0)</f>
        <v>-2.1519051923397006E-2</v>
      </c>
      <c r="AB142" s="105"/>
      <c r="AC142" s="105"/>
      <c r="AD142" s="105"/>
      <c r="AE142" s="105"/>
      <c r="AF142" s="105"/>
      <c r="AG142" s="105"/>
      <c r="AH142" s="105"/>
      <c r="AI142" s="105"/>
      <c r="AJ142" s="105"/>
      <c r="AK142" s="105"/>
      <c r="AU142" s="105"/>
      <c r="AV142" s="105"/>
      <c r="AW142" s="105"/>
      <c r="AX142" s="105"/>
      <c r="AY142" s="105"/>
      <c r="AZ142" s="105"/>
      <c r="BA142" s="105"/>
    </row>
    <row r="143" spans="1:77" ht="15.75" hidden="1" customHeight="1" outlineLevel="1">
      <c r="A143" s="98"/>
      <c r="B143" s="99"/>
      <c r="C143" s="105"/>
      <c r="D143" s="105"/>
      <c r="E143" s="105"/>
      <c r="F143" s="105"/>
      <c r="G143" s="105"/>
      <c r="H143" s="105"/>
      <c r="I143" s="105"/>
      <c r="J143" s="105"/>
      <c r="K143" s="105"/>
      <c r="L143" s="105"/>
      <c r="M143" s="105"/>
      <c r="N143" s="91">
        <f>IF($N$14&gt;0,IPMT('Assumptions (Coal)'!$V$6,Model!W$1,'Assumptions (Coal)'!$V$9,'Assumptions (Coal)'!$V$4*Model!$N$14*AVERAGE('Assumptions (Coal)'!$G$2:$L$2)/10^9),0)</f>
        <v>-0.1942282538404404</v>
      </c>
      <c r="O143" s="105">
        <f>IF($N$14&gt;0,IPMT('Assumptions (Coal)'!$V$6,Model!X$1,'Assumptions (Coal)'!$V$9,'Assumptions (Coal)'!$V$4*Model!$N$14*AVERAGE('Assumptions (Coal)'!$G$2:$L$2)/10^9),0)</f>
        <v>-0.18505657535945244</v>
      </c>
      <c r="P143" s="105">
        <f>IF($N$14&gt;0,IPMT('Assumptions (Coal)'!$V$6,Model!Y$1,'Assumptions (Coal)'!$V$9,'Assumptions (Coal)'!$V$4*Model!$N$14*AVERAGE('Assumptions (Coal)'!$G$2:$L$2)/10^9),0)</f>
        <v>-0.17544924215061758</v>
      </c>
      <c r="Q143" s="105">
        <f>IF($N$14&gt;0,IPMT('Assumptions (Coal)'!$V$6,Model!Z$1,'Assumptions (Coal)'!$V$9,'Assumptions (Coal)'!$V$4*Model!$N$14*AVERAGE('Assumptions (Coal)'!$G$2:$L$2)/10^9),0)</f>
        <v>-0.16538556061436313</v>
      </c>
      <c r="R143" s="105">
        <f>IF($N$14&gt;0,IPMT('Assumptions (Coal)'!$V$6,Model!AA$1,'Assumptions (Coal)'!$V$9,'Assumptions (Coal)'!$V$4*Model!$N$14*AVERAGE('Assumptions (Coal)'!$G$2:$L$2)/10^9),0)</f>
        <v>-0.15484385420513655</v>
      </c>
      <c r="S143" s="105">
        <f>IF($N$14&gt;0,IPMT('Assumptions (Coal)'!$V$6,Model!AB$1,'Assumptions (Coal)'!$V$9,'Assumptions (Coal)'!$V$4*Model!$N$14*AVERAGE('Assumptions (Coal)'!$G$2:$L$2)/10^9),0)</f>
        <v>-0.14380141674147173</v>
      </c>
      <c r="T143" s="105">
        <f>IF($N$14&gt;0,IPMT('Assumptions (Coal)'!$V$6,Model!AC$1,'Assumptions (Coal)'!$V$9,'Assumptions (Coal)'!$V$4*Model!$N$14*AVERAGE('Assumptions (Coal)'!$G$2:$L$2)/10^9),0)</f>
        <v>-0.13223446349828283</v>
      </c>
      <c r="U143" s="105">
        <f>IF($N$14&gt;0,IPMT('Assumptions (Coal)'!$V$6,Model!AD$1,'Assumptions (Coal)'!$V$9,'Assumptions (Coal)'!$V$4*Model!$N$14*AVERAGE('Assumptions (Coal)'!$G$2:$L$2)/10^9),0)</f>
        <v>-0.12011807997604244</v>
      </c>
      <c r="V143" s="105">
        <f>IF($N$14&gt;0,IPMT('Assumptions (Coal)'!$V$6,Model!AE$1,'Assumptions (Coal)'!$V$9,'Assumptions (Coal)'!$V$4*Model!$N$14*AVERAGE('Assumptions (Coal)'!$G$2:$L$2)/10^9),0)</f>
        <v>-0.10742616823649564</v>
      </c>
      <c r="W143" s="105">
        <f>IF($N$14&gt;0,IPMT('Assumptions (Coal)'!$V$6,Model!AF$1,'Assumptions (Coal)'!$V$9,'Assumptions (Coal)'!$V$4*Model!$N$14*AVERAGE('Assumptions (Coal)'!$G$2:$L$2)/10^9),0)</f>
        <v>-9.4131390689320374E-2</v>
      </c>
      <c r="X143" s="105">
        <f>IF($N$14&gt;0,IPMT('Assumptions (Coal)'!$V$6,Model!AG$1,'Assumptions (Coal)'!$V$9,'Assumptions (Coal)'!$V$4*Model!$N$14*AVERAGE('Assumptions (Coal)'!$G$2:$L$2)/10^9),0)</f>
        <v>-8.020511120865427E-2</v>
      </c>
      <c r="Y143" s="105">
        <f>IF($N$14&gt;0,IPMT('Assumptions (Coal)'!$V$6,Model!AH$1,'Assumptions (Coal)'!$V$9,'Assumptions (Coal)'!$V$4*Model!$N$14*AVERAGE('Assumptions (Coal)'!$G$2:$L$2)/10^9),0)</f>
        <v>-6.5617333452656537E-2</v>
      </c>
      <c r="Z143" s="105">
        <f>IF($N$14&gt;0,IPMT('Assumptions (Coal)'!$V$6,Model!AI$1,'Assumptions (Coal)'!$V$9,'Assumptions (Coal)'!$V$4*Model!$N$14*AVERAGE('Assumptions (Coal)'!$G$2:$L$2)/10^9),0)</f>
        <v>-5.0336636253248891E-2</v>
      </c>
      <c r="AA143" s="105">
        <f>IF($N$14&gt;0,IPMT('Assumptions (Coal)'!$V$6,Model!AJ$1,'Assumptions (Coal)'!$V$9,'Assumptions (Coal)'!$V$4*Model!$N$14*AVERAGE('Assumptions (Coal)'!$G$2:$L$2)/10^9),0)</f>
        <v>-3.4330105936869401E-2</v>
      </c>
      <c r="AB143" s="105">
        <f>IF($N$14&gt;0,IPMT('Assumptions (Coal)'!$V$6,Model!AK$1,'Assumptions (Coal)'!$V$9,'Assumptions (Coal)'!$V$4*Model!$N$14*AVERAGE('Assumptions (Coal)'!$G$2:$L$2)/10^9),0)</f>
        <v>-1.7563265430461879E-2</v>
      </c>
      <c r="AC143" s="105"/>
      <c r="AD143" s="105"/>
      <c r="AE143" s="105"/>
      <c r="AF143" s="105"/>
      <c r="AG143" s="105"/>
      <c r="AH143" s="105"/>
      <c r="AI143" s="105"/>
      <c r="AJ143" s="105"/>
      <c r="AK143" s="105"/>
      <c r="AL143" s="105"/>
      <c r="AU143" s="105"/>
      <c r="AV143" s="105"/>
      <c r="AW143" s="105"/>
      <c r="AX143" s="105"/>
      <c r="AY143" s="105"/>
      <c r="AZ143" s="105"/>
      <c r="BA143" s="105"/>
    </row>
    <row r="144" spans="1:77" ht="15.75" hidden="1" customHeight="1" outlineLevel="1">
      <c r="A144" s="98"/>
      <c r="B144" s="99"/>
      <c r="C144" s="105"/>
      <c r="D144" s="105"/>
      <c r="E144" s="105"/>
      <c r="F144" s="105"/>
      <c r="G144" s="105"/>
      <c r="H144" s="105"/>
      <c r="I144" s="105"/>
      <c r="J144" s="105"/>
      <c r="K144" s="105"/>
      <c r="L144" s="105"/>
      <c r="M144" s="105"/>
      <c r="N144" s="105"/>
      <c r="O144" s="105">
        <f>IF($O$14&gt;0,IPMT('Assumptions (Coal)'!$V$6,Model!W$1,'Assumptions (Coal)'!$V$9,'Assumptions (Coal)'!$V$4*Model!$O$14*AVERAGE('Assumptions (Coal)'!$H$2:$M$2)/10^9),0)</f>
        <v>-0.1934982270525806</v>
      </c>
      <c r="P144" s="105">
        <f>IF($O$14&gt;0,IPMT('Assumptions (Coal)'!$V$6,Model!X$1,'Assumptions (Coal)'!$V$9,'Assumptions (Coal)'!$V$4*Model!$O$14*AVERAGE('Assumptions (Coal)'!$H$2:$M$2)/10^9),0)</f>
        <v>-0.18436102126466572</v>
      </c>
      <c r="Q144" s="105">
        <f>IF($O$14&gt;0,IPMT('Assumptions (Coal)'!$V$6,Model!Y$1,'Assumptions (Coal)'!$V$9,'Assumptions (Coal)'!$V$4*Model!$O$14*AVERAGE('Assumptions (Coal)'!$H$2:$M$2)/10^9),0)</f>
        <v>-0.17478979820182491</v>
      </c>
      <c r="R144" s="105">
        <f>IF($O$14&gt;0,IPMT('Assumptions (Coal)'!$V$6,Model!Z$1,'Assumptions (Coal)'!$V$9,'Assumptions (Coal)'!$V$4*Model!$O$14*AVERAGE('Assumptions (Coal)'!$H$2:$M$2)/10^9),0)</f>
        <v>-0.1647639420434992</v>
      </c>
      <c r="S144" s="105">
        <f>IF($O$14&gt;0,IPMT('Assumptions (Coal)'!$V$6,Model!AA$1,'Assumptions (Coal)'!$V$9,'Assumptions (Coal)'!$V$4*Model!$O$14*AVERAGE('Assumptions (Coal)'!$H$2:$M$2)/10^9),0)</f>
        <v>-0.15426185771765297</v>
      </c>
      <c r="T144" s="105">
        <f>IF($O$14&gt;0,IPMT('Assumptions (Coal)'!$V$6,Model!AB$1,'Assumptions (Coal)'!$V$9,'Assumptions (Coal)'!$V$4*Model!$O$14*AVERAGE('Assumptions (Coal)'!$H$2:$M$2)/10^9),0)</f>
        <v>-0.14326092438632909</v>
      </c>
      <c r="U144" s="105">
        <f>IF($O$14&gt;0,IPMT('Assumptions (Coal)'!$V$6,Model!AC$1,'Assumptions (Coal)'!$V$9,'Assumptions (Coal)'!$V$4*Model!$O$14*AVERAGE('Assumptions (Coal)'!$H$2:$M$2)/10^9),0)</f>
        <v>-0.13173744672176729</v>
      </c>
      <c r="V144" s="105">
        <f>IF($O$14&gt;0,IPMT('Assumptions (Coal)'!$V$6,Model!AD$1,'Assumptions (Coal)'!$V$9,'Assumptions (Coal)'!$V$4*Model!$O$14*AVERAGE('Assumptions (Coal)'!$H$2:$M$2)/10^9),0)</f>
        <v>-0.11966660386813883</v>
      </c>
      <c r="W144" s="105">
        <f>IF($O$14&gt;0,IPMT('Assumptions (Coal)'!$V$6,Model!AE$1,'Assumptions (Coal)'!$V$9,'Assumptions (Coal)'!$V$4*Model!$O$14*AVERAGE('Assumptions (Coal)'!$H$2:$M$2)/10^9),0)</f>
        <v>-0.10702239597896301</v>
      </c>
      <c r="X144" s="105">
        <f>IF($O$14&gt;0,IPMT('Assumptions (Coal)'!$V$6,Model!AF$1,'Assumptions (Coal)'!$V$9,'Assumptions (Coal)'!$V$4*Model!$O$14*AVERAGE('Assumptions (Coal)'!$H$2:$M$2)/10^9),0)</f>
        <v>-9.3777588215051347E-2</v>
      </c>
      <c r="Y144" s="105">
        <f>IF($O$14&gt;0,IPMT('Assumptions (Coal)'!$V$6,Model!AG$1,'Assumptions (Coal)'!$V$9,'Assumptions (Coal)'!$V$4*Model!$O$14*AVERAGE('Assumptions (Coal)'!$H$2:$M$2)/10^9),0)</f>
        <v>-7.9903652082353865E-2</v>
      </c>
      <c r="Z144" s="105">
        <f>IF($O$14&gt;0,IPMT('Assumptions (Coal)'!$V$6,Model!AH$1,'Assumptions (Coal)'!$V$9,'Assumptions (Coal)'!$V$4*Model!$O$14*AVERAGE('Assumptions (Coal)'!$H$2:$M$2)/10^9),0)</f>
        <v>-6.5370703983353276E-2</v>
      </c>
      <c r="AA144" s="105">
        <f>IF($O$14&gt;0,IPMT('Assumptions (Coal)'!$V$6,Model!AI$1,'Assumptions (Coal)'!$V$9,'Assumptions (Coal)'!$V$4*Model!$O$14*AVERAGE('Assumptions (Coal)'!$H$2:$M$2)/10^9),0)</f>
        <v>-5.0147440849650129E-2</v>
      </c>
      <c r="AB144" s="105">
        <f>IF($O$14&gt;0,IPMT('Assumptions (Coal)'!$V$6,Model!AJ$1,'Assumptions (Coal)'!$V$9,'Assumptions (Coal)'!$V$4*Model!$O$14*AVERAGE('Assumptions (Coal)'!$H$2:$M$2)/10^9),0)</f>
        <v>-3.420107271709609E-2</v>
      </c>
      <c r="AC144" s="105">
        <f>IF($O$14&gt;0,IPMT('Assumptions (Coal)'!$V$6,Model!AK$1,'Assumptions (Coal)'!$V$9,'Assumptions (Coal)'!$V$4*Model!$O$14*AVERAGE('Assumptions (Coal)'!$H$2:$M$2)/10^9),0)</f>
        <v>-1.7497252098245743E-2</v>
      </c>
      <c r="AD144" s="105"/>
      <c r="AE144" s="105"/>
      <c r="AF144" s="105"/>
      <c r="AG144" s="105"/>
      <c r="AH144" s="105"/>
      <c r="AI144" s="105"/>
      <c r="AJ144" s="105"/>
      <c r="AK144" s="105"/>
      <c r="AL144" s="105"/>
      <c r="AM144" s="105"/>
      <c r="AU144" s="105"/>
      <c r="AV144" s="105"/>
      <c r="AW144" s="105"/>
      <c r="AX144" s="105"/>
      <c r="AY144" s="105"/>
      <c r="AZ144" s="105"/>
      <c r="BA144" s="105"/>
    </row>
    <row r="145" spans="1:55" ht="15.75" hidden="1" customHeight="1" outlineLevel="1">
      <c r="A145" s="98"/>
      <c r="B145" s="99"/>
      <c r="C145" s="105"/>
      <c r="D145" s="105"/>
      <c r="E145" s="105"/>
      <c r="F145" s="105"/>
      <c r="G145" s="105"/>
      <c r="H145" s="105"/>
      <c r="I145" s="105"/>
      <c r="J145" s="105"/>
      <c r="K145" s="105"/>
      <c r="L145" s="105"/>
      <c r="M145" s="105"/>
      <c r="N145" s="105"/>
      <c r="O145" s="105"/>
      <c r="P145" s="91">
        <f>IF($P$14&gt;0,IPMT('Assumptions (Coal)'!$V$6,Model!W$1,'Assumptions (Coal)'!$V$9,'Assumptions (Coal)'!$V$4*Model!$P$14*AVERAGE('Assumptions (Coal)'!$I$2:$N$2)/10^9),0)</f>
        <v>-8.2103028210359211E-2</v>
      </c>
      <c r="Q145" s="91">
        <f>IF($P$14&gt;0,IPMT('Assumptions (Coal)'!$V$6,Model!X$1,'Assumptions (Coal)'!$V$9,'Assumptions (Coal)'!$V$4*Model!$P$14*AVERAGE('Assumptions (Coal)'!$I$2:$N$2)/10^9),0)</f>
        <v>-7.822603007969843E-2</v>
      </c>
      <c r="R145" s="91">
        <f>IF($P$14&gt;0,IPMT('Assumptions (Coal)'!$V$6,Model!Y$1,'Assumptions (Coal)'!$V$9,'Assumptions (Coal)'!$V$4*Model!$P$14*AVERAGE('Assumptions (Coal)'!$I$2:$N$2)/10^9),0)</f>
        <v>-7.4164874537831244E-2</v>
      </c>
      <c r="S145" s="91">
        <f>IF($P$14&gt;0,IPMT('Assumptions (Coal)'!$V$6,Model!Z$1,'Assumptions (Coal)'!$V$9,'Assumptions (Coal)'!$V$4*Model!$P$14*AVERAGE('Assumptions (Coal)'!$I$2:$N$2)/10^9),0)</f>
        <v>-6.99108141077254E-2</v>
      </c>
      <c r="T145" s="91">
        <f>IF($P$14&gt;0,IPMT('Assumptions (Coal)'!$V$6,Model!AA$1,'Assumptions (Coal)'!$V$9,'Assumptions (Coal)'!$V$4*Model!$P$14*AVERAGE('Assumptions (Coal)'!$I$2:$N$2)/10^9),0)</f>
        <v>-6.5454685807189522E-2</v>
      </c>
      <c r="U145" s="91">
        <f>IF($P$14&gt;0,IPMT('Assumptions (Coal)'!$V$6,Model!AB$1,'Assumptions (Coal)'!$V$9,'Assumptions (Coal)'!$V$4*Model!$P$14*AVERAGE('Assumptions (Coal)'!$I$2:$N$2)/10^9),0)</f>
        <v>-6.0786891412378183E-2</v>
      </c>
      <c r="V145" s="91">
        <f>IF($P$14&gt;0,IPMT('Assumptions (Coal)'!$V$6,Model!AC$1,'Assumptions (Coal)'!$V$9,'Assumptions (Coal)'!$V$4*Model!$P$14*AVERAGE('Assumptions (Coal)'!$I$2:$N$2)/10^9),0)</f>
        <v>-5.5897376783813311E-2</v>
      </c>
      <c r="W145" s="91">
        <f>IF($P$14&gt;0,IPMT('Assumptions (Coal)'!$V$6,Model!AD$1,'Assumptions (Coal)'!$V$9,'Assumptions (Coal)'!$V$4*Model!$P$14*AVERAGE('Assumptions (Coal)'!$I$2:$N$2)/10^9),0)</f>
        <v>-5.0775610210391599E-2</v>
      </c>
      <c r="X145" s="91">
        <f>IF($P$14&gt;0,IPMT('Assumptions (Coal)'!$V$6,Model!AE$1,'Assumptions (Coal)'!$V$9,'Assumptions (Coal)'!$V$4*Model!$P$14*AVERAGE('Assumptions (Coal)'!$I$2:$N$2)/10^9),0)</f>
        <v>-4.5410559724732368E-2</v>
      </c>
      <c r="Y145" s="91">
        <f>IF($P$14&gt;0,IPMT('Assumptions (Coal)'!$V$6,Model!AF$1,'Assumptions (Coal)'!$V$9,'Assumptions (Coal)'!$V$4*Model!$P$14*AVERAGE('Assumptions (Coal)'!$I$2:$N$2)/10^9),0)</f>
        <v>-3.9790669341004316E-2</v>
      </c>
      <c r="Z145" s="91">
        <f>IF($P$14&gt;0,IPMT('Assumptions (Coal)'!$V$6,Model!AG$1,'Assumptions (Coal)'!$V$9,'Assumptions (Coal)'!$V$4*Model!$P$14*AVERAGE('Assumptions (Coal)'!$I$2:$N$2)/10^9),0)</f>
        <v>-3.3903834164049185E-2</v>
      </c>
      <c r="AA145" s="91">
        <f>IF($P$14&gt;0,IPMT('Assumptions (Coal)'!$V$6,Model!AH$1,'Assumptions (Coal)'!$V$9,'Assumptions (Coal)'!$V$4*Model!$P$14*AVERAGE('Assumptions (Coal)'!$I$2:$N$2)/10^9),0)</f>
        <v>-2.7737374316188682E-2</v>
      </c>
      <c r="AB145" s="91">
        <f>IF($P$14&gt;0,IPMT('Assumptions (Coal)'!$V$6,Model!AI$1,'Assumptions (Coal)'!$V$9,'Assumptions (Coal)'!$V$4*Model!$P$14*AVERAGE('Assumptions (Coal)'!$I$2:$N$2)/10^9),0)</f>
        <v>-2.1278007625554804E-2</v>
      </c>
      <c r="AC145" s="91">
        <f>IF($P$14&gt;0,IPMT('Assumptions (Coal)'!$V$6,Model!AJ$1,'Assumptions (Coal)'!$V$9,'Assumptions (Coal)'!$V$4*Model!$P$14*AVERAGE('Assumptions (Coal)'!$I$2:$N$2)/10^9),0)</f>
        <v>-1.4511821017115817E-2</v>
      </c>
      <c r="AD145" s="91">
        <f>IF($P$14&gt;0,IPMT('Assumptions (Coal)'!$V$6,Model!AK$1,'Assumptions (Coal)'!$V$9,'Assumptions (Coal)'!$V$4*Model!$P$14*AVERAGE('Assumptions (Coal)'!$I$2:$N$2)/10^9),0)</f>
        <v>-7.424240544775979E-3</v>
      </c>
      <c r="AE145" s="91"/>
      <c r="AF145" s="91"/>
      <c r="AG145" s="91"/>
      <c r="AH145" s="91"/>
      <c r="AI145" s="91"/>
      <c r="AJ145" s="91"/>
      <c r="AK145" s="91"/>
      <c r="AL145" s="91"/>
      <c r="AM145" s="91"/>
      <c r="AN145" s="91"/>
      <c r="AU145" s="105"/>
      <c r="AV145" s="105"/>
      <c r="AW145" s="105"/>
      <c r="AX145" s="105"/>
      <c r="AY145" s="105"/>
      <c r="AZ145" s="105"/>
      <c r="BA145" s="105"/>
    </row>
    <row r="146" spans="1:55" ht="15.75" hidden="1" customHeight="1" outlineLevel="1">
      <c r="A146" s="98"/>
      <c r="B146" s="99"/>
      <c r="C146" s="105"/>
      <c r="D146" s="105"/>
      <c r="E146" s="105"/>
      <c r="F146" s="105"/>
      <c r="G146" s="105"/>
      <c r="H146" s="105"/>
      <c r="I146" s="105"/>
      <c r="J146" s="105"/>
      <c r="K146" s="105"/>
      <c r="L146" s="105"/>
      <c r="M146" s="105"/>
      <c r="N146" s="105"/>
      <c r="O146" s="105"/>
      <c r="P146" s="171"/>
      <c r="Q146" s="105">
        <f>IF($Q$14&gt;0,IPMT('Assumptions (Coal)'!$V$6,Model!W$1,'Assumptions (Coal)'!$V$9,'Assumptions (Coal)'!$V$4*Model!$Q$14*AVERAGE('Assumptions (Coal)'!$J$2:$O$2)/10^9),0)</f>
        <v>-4.9101354981830455E-3</v>
      </c>
      <c r="R146" s="105">
        <f>IF($Q$14&gt;0,IPMT('Assumptions (Coal)'!$V$6,Model!X$1,'Assumptions (Coal)'!$V$9,'Assumptions (Coal)'!$V$4*Model!$Q$14*AVERAGE('Assumptions (Coal)'!$J$2:$O$2)/10^9),0)</f>
        <v>-4.6782733298477621E-3</v>
      </c>
      <c r="S146" s="105">
        <f>IF($Q$14&gt;0,IPMT('Assumptions (Coal)'!$V$6,Model!Y$1,'Assumptions (Coal)'!$V$9,'Assumptions (Coal)'!$V$4*Model!$Q$14*AVERAGE('Assumptions (Coal)'!$J$2:$O$2)/10^9),0)</f>
        <v>-4.4353977085165525E-3</v>
      </c>
      <c r="T146" s="105">
        <f>IF($Q$14&gt;0,IPMT('Assumptions (Coal)'!$V$6,Model!Z$1,'Assumptions (Coal)'!$V$9,'Assumptions (Coal)'!$V$4*Model!$Q$14*AVERAGE('Assumptions (Coal)'!$J$2:$O$2)/10^9),0)</f>
        <v>-4.1809854951721116E-3</v>
      </c>
      <c r="U146" s="105">
        <f>IF($Q$14&gt;0,IPMT('Assumptions (Coal)'!$V$6,Model!AA$1,'Assumptions (Coal)'!$V$9,'Assumptions (Coal)'!$V$4*Model!$Q$14*AVERAGE('Assumptions (Coal)'!$J$2:$O$2)/10^9),0)</f>
        <v>-3.9144887016938096E-3</v>
      </c>
      <c r="V146" s="105">
        <f>IF($Q$14&gt;0,IPMT('Assumptions (Coal)'!$V$6,Model!AB$1,'Assumptions (Coal)'!$V$9,'Assumptions (Coal)'!$V$4*Model!$Q$14*AVERAGE('Assumptions (Coal)'!$J$2:$O$2)/10^9),0)</f>
        <v>-3.6353333105252879E-3</v>
      </c>
      <c r="W146" s="105">
        <f>IF($Q$14&gt;0,IPMT('Assumptions (Coal)'!$V$6,Model!AC$1,'Assumptions (Coal)'!$V$9,'Assumptions (Coal)'!$V$4*Model!$Q$14*AVERAGE('Assumptions (Coal)'!$J$2:$O$2)/10^9),0)</f>
        <v>-3.3429180382762613E-3</v>
      </c>
      <c r="X146" s="105">
        <f>IF($Q$14&gt;0,IPMT('Assumptions (Coal)'!$V$6,Model!AD$1,'Assumptions (Coal)'!$V$9,'Assumptions (Coal)'!$V$4*Model!$Q$14*AVERAGE('Assumptions (Coal)'!$J$2:$O$2)/10^9),0)</f>
        <v>-3.036613040595406E-3</v>
      </c>
      <c r="Y146" s="105">
        <f>IF($Q$14&gt;0,IPMT('Assumptions (Coal)'!$V$6,Model!AE$1,'Assumptions (Coal)'!$V$9,'Assumptions (Coal)'!$V$4*Model!$Q$14*AVERAGE('Assumptions (Coal)'!$J$2:$O$2)/10^9),0)</f>
        <v>-2.7157585555247108E-3</v>
      </c>
      <c r="Z146" s="105">
        <f>IF($Q$14&gt;0,IPMT('Assumptions (Coal)'!$V$6,Model!AF$1,'Assumptions (Coal)'!$V$9,'Assumptions (Coal)'!$V$4*Model!$Q$14*AVERAGE('Assumptions (Coal)'!$J$2:$O$2)/10^9),0)</f>
        <v>-2.3796634824131569E-3</v>
      </c>
      <c r="AA146" s="105">
        <f>IF($Q$14&gt;0,IPMT('Assumptions (Coal)'!$V$6,Model!AG$1,'Assumptions (Coal)'!$V$9,'Assumptions (Coal)'!$V$4*Model!$Q$14*AVERAGE('Assumptions (Coal)'!$J$2:$O$2)/10^9),0)</f>
        <v>-2.0276038933288044E-3</v>
      </c>
      <c r="AB146" s="105">
        <f>IF($Q$14&gt;0,IPMT('Assumptions (Coal)'!$V$6,Model!AH$1,'Assumptions (Coal)'!$V$9,'Assumptions (Coal)'!$V$4*Model!$Q$14*AVERAGE('Assumptions (Coal)'!$J$2:$O$2)/10^9),0)</f>
        <v>-1.6588214737629451E-3</v>
      </c>
      <c r="AC146" s="105">
        <f>IF($Q$14&gt;0,IPMT('Assumptions (Coal)'!$V$6,Model!AI$1,'Assumptions (Coal)'!$V$9,'Assumptions (Coal)'!$V$4*Model!$Q$14*AVERAGE('Assumptions (Coal)'!$J$2:$O$2)/10^9),0)</f>
        <v>-1.2725218892677074E-3</v>
      </c>
      <c r="AD146" s="105">
        <f>IF($Q$14&gt;0,IPMT('Assumptions (Coal)'!$V$6,Model!AJ$1,'Assumptions (Coal)'!$V$9,'Assumptions (Coal)'!$V$4*Model!$Q$14*AVERAGE('Assumptions (Coal)'!$J$2:$O$2)/10^9),0)</f>
        <v>-8.678730745089458E-4</v>
      </c>
      <c r="AE146" s="105">
        <f>IF($Q$14&gt;0,IPMT('Assumptions (Coal)'!$V$6,Model!AK$1,'Assumptions (Coal)'!$V$9,'Assumptions (Coal)'!$V$4*Model!$Q$14*AVERAGE('Assumptions (Coal)'!$J$2:$O$2)/10^9),0)</f>
        <v>-4.4400344104914322E-4</v>
      </c>
      <c r="AF146" s="105"/>
      <c r="AG146" s="105"/>
      <c r="AH146" s="105"/>
      <c r="AI146" s="105"/>
      <c r="AJ146" s="105"/>
      <c r="AK146" s="105"/>
      <c r="AL146" s="105"/>
      <c r="AM146" s="105"/>
      <c r="AN146" s="105"/>
      <c r="AO146" s="105"/>
      <c r="AU146" s="105"/>
      <c r="AV146" s="105"/>
      <c r="AW146" s="105"/>
      <c r="AX146" s="105"/>
      <c r="AY146" s="105"/>
      <c r="AZ146" s="105"/>
      <c r="BA146" s="105"/>
    </row>
    <row r="147" spans="1:55" ht="15.75" hidden="1" customHeight="1" outlineLevel="1">
      <c r="A147" s="98"/>
      <c r="B147" s="99"/>
      <c r="C147" s="105"/>
      <c r="D147" s="105"/>
      <c r="E147" s="105"/>
      <c r="F147" s="105"/>
      <c r="G147" s="105"/>
      <c r="H147" s="105"/>
      <c r="I147" s="105"/>
      <c r="J147" s="105"/>
      <c r="K147" s="105"/>
      <c r="L147" s="105"/>
      <c r="M147" s="105"/>
      <c r="N147" s="105"/>
      <c r="O147" s="105"/>
      <c r="P147" s="171"/>
      <c r="Q147" s="105"/>
      <c r="R147" s="91">
        <f>IF($R$14&gt;0,IPMT('Assumptions (Coal)'!$V$6,Model!W$1,'Assumptions (Coal)'!$V$9,'Assumptions (Coal)'!$V$4*Model!$R$14*AVERAGE('Assumptions (Coal)'!$K$2:$P$2)/10^9),0)</f>
        <v>-1.2242604508803064E-4</v>
      </c>
      <c r="S147" s="91">
        <f>IF($R$14&gt;0,IPMT('Assumptions (Coal)'!$V$6,Model!X$1,'Assumptions (Coal)'!$V$9,'Assumptions (Coal)'!$V$4*Model!$R$14*AVERAGE('Assumptions (Coal)'!$K$2:$P$2)/10^9),0)</f>
        <v>-1.1664494835753756E-4</v>
      </c>
      <c r="T147" s="91">
        <f>IF($R$14&gt;0,IPMT('Assumptions (Coal)'!$V$6,Model!Y$1,'Assumptions (Coal)'!$V$9,'Assumptions (Coal)'!$V$4*Model!$R$14*AVERAGE('Assumptions (Coal)'!$K$2:$P$2)/10^9),0)</f>
        <v>-1.1058924953234606E-4</v>
      </c>
      <c r="U147" s="91">
        <f>IF($R$14&gt;0,IPMT('Assumptions (Coal)'!$V$6,Model!Z$1,'Assumptions (Coal)'!$V$9,'Assumptions (Coal)'!$V$4*Model!$R$14*AVERAGE('Assumptions (Coal)'!$K$2:$P$2)/10^9),0)</f>
        <v>-1.04245905012958E-4</v>
      </c>
      <c r="V147" s="91">
        <f>IF($R$14&gt;0,IPMT('Assumptions (Coal)'!$V$6,Model!AA$1,'Assumptions (Coal)'!$V$9,'Assumptions (Coal)'!$V$4*Model!$R$14*AVERAGE('Assumptions (Coal)'!$K$2:$P$2)/10^9),0)</f>
        <v>-9.7601251628898981E-5</v>
      </c>
      <c r="W147" s="91">
        <f>IF($R$14&gt;0,IPMT('Assumptions (Coal)'!$V$6,Model!AB$1,'Assumptions (Coal)'!$V$9,'Assumptions (Coal)'!$V$4*Model!$R$14*AVERAGE('Assumptions (Coal)'!$K$2:$P$2)/10^9),0)</f>
        <v>-9.0640977209097197E-5</v>
      </c>
      <c r="X147" s="91">
        <f>IF($R$14&gt;0,IPMT('Assumptions (Coal)'!$V$6,Model!AC$1,'Assumptions (Coal)'!$V$9,'Assumptions (Coal)'!$V$4*Model!$R$14*AVERAGE('Assumptions (Coal)'!$K$2:$P$2)/10^9),0)</f>
        <v>-8.3350089754354793E-5</v>
      </c>
      <c r="Y147" s="91">
        <f>IF($R$14&gt;0,IPMT('Assumptions (Coal)'!$V$6,Model!AD$1,'Assumptions (Coal)'!$V$9,'Assumptions (Coal)'!$V$4*Model!$R$14*AVERAGE('Assumptions (Coal)'!$K$2:$P$2)/10^9),0)</f>
        <v>-7.5712885145512139E-5</v>
      </c>
      <c r="Z147" s="91">
        <f>IF($R$14&gt;0,IPMT('Assumptions (Coal)'!$V$6,Model!AE$1,'Assumptions (Coal)'!$V$9,'Assumptions (Coal)'!$V$4*Model!$R$14*AVERAGE('Assumptions (Coal)'!$K$2:$P$2)/10^9),0)</f>
        <v>-6.7712913317749464E-5</v>
      </c>
      <c r="AA147" s="91">
        <f>IF($R$14&gt;0,IPMT('Assumptions (Coal)'!$V$6,Model!AF$1,'Assumptions (Coal)'!$V$9,'Assumptions (Coal)'!$V$4*Model!$R$14*AVERAGE('Assumptions (Coal)'!$K$2:$P$2)/10^9),0)</f>
        <v>-5.9332942828168064E-5</v>
      </c>
      <c r="AB147" s="91">
        <f>IF($R$14&gt;0,IPMT('Assumptions (Coal)'!$V$6,Model!AG$1,'Assumptions (Coal)'!$V$9,'Assumptions (Coal)'!$V$4*Model!$R$14*AVERAGE('Assumptions (Coal)'!$K$2:$P$2)/10^9),0)</f>
        <v>-5.0554923740331532E-5</v>
      </c>
      <c r="AC147" s="91">
        <f>IF($R$14&gt;0,IPMT('Assumptions (Coal)'!$V$6,Model!AH$1,'Assumptions (Coal)'!$V$9,'Assumptions (Coal)'!$V$4*Model!$R$14*AVERAGE('Assumptions (Coal)'!$K$2:$P$2)/10^9),0)</f>
        <v>-4.1359948745822771E-5</v>
      </c>
      <c r="AD147" s="91">
        <f>IF($R$14&gt;0,IPMT('Assumptions (Coal)'!$V$6,Model!AI$1,'Assumptions (Coal)'!$V$9,'Assumptions (Coal)'!$V$4*Model!$R$14*AVERAGE('Assumptions (Coal)'!$K$2:$P$2)/10^9),0)</f>
        <v>-3.1728212439074841E-5</v>
      </c>
      <c r="AE147" s="91">
        <f>IF($R$14&gt;0,IPMT('Assumptions (Coal)'!$V$6,Model!AJ$1,'Assumptions (Coal)'!$V$9,'Assumptions (Coal)'!$V$4*Model!$R$14*AVERAGE('Assumptions (Coal)'!$K$2:$P$2)/10^9),0)</f>
        <v>-2.1638968657756388E-5</v>
      </c>
      <c r="AF147" s="91">
        <f>IF($R$14&gt;0,IPMT('Assumptions (Coal)'!$V$6,Model!AK$1,'Assumptions (Coal)'!$V$9,'Assumptions (Coal)'!$V$4*Model!$R$14*AVERAGE('Assumptions (Coal)'!$K$2:$P$2)/10^9),0)</f>
        <v>-1.1070485796825307E-5</v>
      </c>
      <c r="AG147" s="91"/>
      <c r="AH147" s="91"/>
      <c r="AI147" s="91"/>
      <c r="AJ147" s="91"/>
      <c r="AK147" s="91"/>
      <c r="AL147" s="91"/>
      <c r="AM147" s="91"/>
      <c r="AN147" s="91"/>
      <c r="AO147" s="91"/>
      <c r="AP147" s="91"/>
      <c r="AU147" s="105"/>
      <c r="AV147" s="105"/>
      <c r="AW147" s="105"/>
      <c r="AX147" s="105"/>
      <c r="AY147" s="105"/>
      <c r="AZ147" s="105"/>
      <c r="BA147" s="105"/>
    </row>
    <row r="148" spans="1:55" ht="15.75" hidden="1" customHeight="1" outlineLevel="1">
      <c r="A148" s="98"/>
      <c r="B148" s="99"/>
      <c r="C148" s="105"/>
      <c r="D148" s="105"/>
      <c r="E148" s="105"/>
      <c r="F148" s="105"/>
      <c r="G148" s="105"/>
      <c r="H148" s="105"/>
      <c r="I148" s="105"/>
      <c r="J148" s="105"/>
      <c r="K148" s="105"/>
      <c r="L148" s="105"/>
      <c r="M148" s="105"/>
      <c r="N148" s="105"/>
      <c r="O148" s="105"/>
      <c r="P148" s="171"/>
      <c r="Q148" s="105"/>
      <c r="R148" s="91"/>
      <c r="S148" s="105">
        <f>IF($S$14&gt;0,IPMT('Assumptions (Coal)'!$V$6,Model!W$1,'Assumptions (Coal)'!$V$9,'Assumptions (Coal)'!$V$4*Model!$S$14*AVERAGE('Assumptions (Coal)'!$L$2:$Q$2)/10^9),0)</f>
        <v>0</v>
      </c>
      <c r="T148" s="105">
        <f>IF($S$14&gt;0,IPMT('Assumptions (Coal)'!$V$6,Model!X$1,'Assumptions (Coal)'!$V$9,'Assumptions (Coal)'!$V$4*Model!$S$14*AVERAGE('Assumptions (Coal)'!$L$2:$Q$2)/10^9),0)</f>
        <v>0</v>
      </c>
      <c r="U148" s="105">
        <f>IF($S$14&gt;0,IPMT('Assumptions (Coal)'!$V$6,Model!Y$1,'Assumptions (Coal)'!$V$9,'Assumptions (Coal)'!$V$4*Model!$S$14*AVERAGE('Assumptions (Coal)'!$L$2:$Q$2)/10^9),0)</f>
        <v>0</v>
      </c>
      <c r="V148" s="105">
        <f>IF($S$14&gt;0,IPMT('Assumptions (Coal)'!$V$6,Model!Z$1,'Assumptions (Coal)'!$V$9,'Assumptions (Coal)'!$V$4*Model!$S$14*AVERAGE('Assumptions (Coal)'!$L$2:$Q$2)/10^9),0)</f>
        <v>0</v>
      </c>
      <c r="W148" s="105">
        <f>IF($S$14&gt;0,IPMT('Assumptions (Coal)'!$V$6,Model!AA$1,'Assumptions (Coal)'!$V$9,'Assumptions (Coal)'!$V$4*Model!$S$14*AVERAGE('Assumptions (Coal)'!$L$2:$Q$2)/10^9),0)</f>
        <v>0</v>
      </c>
      <c r="X148" s="105">
        <f>IF($S$14&gt;0,IPMT('Assumptions (Coal)'!$V$6,Model!AB$1,'Assumptions (Coal)'!$V$9,'Assumptions (Coal)'!$V$4*Model!$S$14*AVERAGE('Assumptions (Coal)'!$L$2:$Q$2)/10^9),0)</f>
        <v>0</v>
      </c>
      <c r="Y148" s="105">
        <f>IF($S$14&gt;0,IPMT('Assumptions (Coal)'!$V$6,Model!AC$1,'Assumptions (Coal)'!$V$9,'Assumptions (Coal)'!$V$4*Model!$S$14*AVERAGE('Assumptions (Coal)'!$L$2:$Q$2)/10^9),0)</f>
        <v>0</v>
      </c>
      <c r="Z148" s="105">
        <f>IF($S$14&gt;0,IPMT('Assumptions (Coal)'!$V$6,Model!AD$1,'Assumptions (Coal)'!$V$9,'Assumptions (Coal)'!$V$4*Model!$S$14*AVERAGE('Assumptions (Coal)'!$L$2:$Q$2)/10^9),0)</f>
        <v>0</v>
      </c>
      <c r="AA148" s="105">
        <f>IF($S$14&gt;0,IPMT('Assumptions (Coal)'!$V$6,Model!AE$1,'Assumptions (Coal)'!$V$9,'Assumptions (Coal)'!$V$4*Model!$S$14*AVERAGE('Assumptions (Coal)'!$L$2:$Q$2)/10^9),0)</f>
        <v>0</v>
      </c>
      <c r="AB148" s="105">
        <f>IF($S$14&gt;0,IPMT('Assumptions (Coal)'!$V$6,Model!AF$1,'Assumptions (Coal)'!$V$9,'Assumptions (Coal)'!$V$4*Model!$S$14*AVERAGE('Assumptions (Coal)'!$L$2:$Q$2)/10^9),0)</f>
        <v>0</v>
      </c>
      <c r="AC148" s="105">
        <f>IF($S$14&gt;0,IPMT('Assumptions (Coal)'!$V$6,Model!AG$1,'Assumptions (Coal)'!$V$9,'Assumptions (Coal)'!$V$4*Model!$S$14*AVERAGE('Assumptions (Coal)'!$L$2:$Q$2)/10^9),0)</f>
        <v>0</v>
      </c>
      <c r="AD148" s="105">
        <f>IF($S$14&gt;0,IPMT('Assumptions (Coal)'!$V$6,Model!AH$1,'Assumptions (Coal)'!$V$9,'Assumptions (Coal)'!$V$4*Model!$S$14*AVERAGE('Assumptions (Coal)'!$L$2:$Q$2)/10^9),0)</f>
        <v>0</v>
      </c>
      <c r="AE148" s="105">
        <f>IF($S$14&gt;0,IPMT('Assumptions (Coal)'!$V$6,Model!AI$1,'Assumptions (Coal)'!$V$9,'Assumptions (Coal)'!$V$4*Model!$S$14*AVERAGE('Assumptions (Coal)'!$L$2:$Q$2)/10^9),0)</f>
        <v>0</v>
      </c>
      <c r="AF148" s="105">
        <f>IF($S$14&gt;0,IPMT('Assumptions (Coal)'!$V$6,Model!AJ$1,'Assumptions (Coal)'!$V$9,'Assumptions (Coal)'!$V$4*Model!$S$14*AVERAGE('Assumptions (Coal)'!$L$2:$Q$2)/10^9),0)</f>
        <v>0</v>
      </c>
      <c r="AG148" s="105">
        <f>IF($S$14&gt;0,IPMT('Assumptions (Coal)'!$V$6,Model!AK$1,'Assumptions (Coal)'!$V$9,'Assumptions (Coal)'!$V$4*Model!$S$14*AVERAGE('Assumptions (Coal)'!$L$2:$Q$2)/10^9),0)</f>
        <v>0</v>
      </c>
      <c r="AH148" s="105"/>
      <c r="AI148" s="105"/>
      <c r="AJ148" s="105"/>
      <c r="AK148" s="105"/>
      <c r="AL148" s="105"/>
      <c r="AM148" s="105"/>
      <c r="AN148" s="105"/>
      <c r="AO148" s="105"/>
      <c r="AP148" s="105"/>
      <c r="AQ148" s="105"/>
      <c r="AU148" s="105"/>
      <c r="AV148" s="105"/>
      <c r="AW148" s="105"/>
      <c r="AX148" s="105"/>
      <c r="AY148" s="105"/>
      <c r="AZ148" s="105"/>
      <c r="BA148" s="105"/>
    </row>
    <row r="149" spans="1:55" ht="15.75" hidden="1" customHeight="1" outlineLevel="1">
      <c r="A149" s="98"/>
      <c r="B149" s="99"/>
      <c r="C149" s="105"/>
      <c r="D149" s="105"/>
      <c r="E149" s="105"/>
      <c r="F149" s="105"/>
      <c r="G149" s="105"/>
      <c r="H149" s="105"/>
      <c r="I149" s="105"/>
      <c r="J149" s="105"/>
      <c r="K149" s="105"/>
      <c r="L149" s="105"/>
      <c r="M149" s="105"/>
      <c r="N149" s="105"/>
      <c r="O149" s="105"/>
      <c r="P149" s="171"/>
      <c r="Q149" s="105"/>
      <c r="R149" s="91"/>
      <c r="S149" s="91"/>
      <c r="T149" s="105">
        <f>IF($T$14&gt;0,IPMT('Assumptions (Coal)'!$V$6,Model!W$1,'Assumptions (Coal)'!$V$9,'Assumptions (Coal)'!$V$4*Model!$T$14*AVERAGE('Assumptions (Coal)'!$M$2:$R$2)/10^9),0)</f>
        <v>0</v>
      </c>
      <c r="U149" s="105">
        <f>IF($T$14&gt;0,IPMT('Assumptions (Coal)'!$V$6,Model!X$1,'Assumptions (Coal)'!$V$9,'Assumptions (Coal)'!$V$4*Model!$T$14*AVERAGE('Assumptions (Coal)'!$M$2:$R$2)/10^9),0)</f>
        <v>0</v>
      </c>
      <c r="V149" s="105">
        <f>IF($T$14&gt;0,IPMT('Assumptions (Coal)'!$V$6,Model!Y$1,'Assumptions (Coal)'!$V$9,'Assumptions (Coal)'!$V$4*Model!$T$14*AVERAGE('Assumptions (Coal)'!$M$2:$R$2)/10^9),0)</f>
        <v>0</v>
      </c>
      <c r="W149" s="105">
        <f>IF($T$14&gt;0,IPMT('Assumptions (Coal)'!$V$6,Model!Z$1,'Assumptions (Coal)'!$V$9,'Assumptions (Coal)'!$V$4*Model!$T$14*AVERAGE('Assumptions (Coal)'!$M$2:$R$2)/10^9),0)</f>
        <v>0</v>
      </c>
      <c r="X149" s="105">
        <f>IF($T$14&gt;0,IPMT('Assumptions (Coal)'!$V$6,Model!AA$1,'Assumptions (Coal)'!$V$9,'Assumptions (Coal)'!$V$4*Model!$T$14*AVERAGE('Assumptions (Coal)'!$M$2:$R$2)/10^9),0)</f>
        <v>0</v>
      </c>
      <c r="Y149" s="105">
        <f>IF($T$14&gt;0,IPMT('Assumptions (Coal)'!$V$6,Model!AB$1,'Assumptions (Coal)'!$V$9,'Assumptions (Coal)'!$V$4*Model!$T$14*AVERAGE('Assumptions (Coal)'!$M$2:$R$2)/10^9),0)</f>
        <v>0</v>
      </c>
      <c r="Z149" s="105">
        <f>IF($T$14&gt;0,IPMT('Assumptions (Coal)'!$V$6,Model!AC$1,'Assumptions (Coal)'!$V$9,'Assumptions (Coal)'!$V$4*Model!$T$14*AVERAGE('Assumptions (Coal)'!$M$2:$R$2)/10^9),0)</f>
        <v>0</v>
      </c>
      <c r="AA149" s="105">
        <f>IF($T$14&gt;0,IPMT('Assumptions (Coal)'!$V$6,Model!AD$1,'Assumptions (Coal)'!$V$9,'Assumptions (Coal)'!$V$4*Model!$T$14*AVERAGE('Assumptions (Coal)'!$M$2:$R$2)/10^9),0)</f>
        <v>0</v>
      </c>
      <c r="AB149" s="105">
        <f>IF($T$14&gt;0,IPMT('Assumptions (Coal)'!$V$6,Model!AE$1,'Assumptions (Coal)'!$V$9,'Assumptions (Coal)'!$V$4*Model!$T$14*AVERAGE('Assumptions (Coal)'!$M$2:$R$2)/10^9),0)</f>
        <v>0</v>
      </c>
      <c r="AC149" s="105">
        <f>IF($T$14&gt;0,IPMT('Assumptions (Coal)'!$V$6,Model!AF$1,'Assumptions (Coal)'!$V$9,'Assumptions (Coal)'!$V$4*Model!$T$14*AVERAGE('Assumptions (Coal)'!$M$2:$R$2)/10^9),0)</f>
        <v>0</v>
      </c>
      <c r="AD149" s="105">
        <f>IF($T$14&gt;0,IPMT('Assumptions (Coal)'!$V$6,Model!AG$1,'Assumptions (Coal)'!$V$9,'Assumptions (Coal)'!$V$4*Model!$T$14*AVERAGE('Assumptions (Coal)'!$M$2:$R$2)/10^9),0)</f>
        <v>0</v>
      </c>
      <c r="AE149" s="105">
        <f>IF($T$14&gt;0,IPMT('Assumptions (Coal)'!$V$6,Model!AH$1,'Assumptions (Coal)'!$V$9,'Assumptions (Coal)'!$V$4*Model!$T$14*AVERAGE('Assumptions (Coal)'!$M$2:$R$2)/10^9),0)</f>
        <v>0</v>
      </c>
      <c r="AF149" s="105">
        <f>IF($T$14&gt;0,IPMT('Assumptions (Coal)'!$V$6,Model!AI$1,'Assumptions (Coal)'!$V$9,'Assumptions (Coal)'!$V$4*Model!$T$14*AVERAGE('Assumptions (Coal)'!$M$2:$R$2)/10^9),0)</f>
        <v>0</v>
      </c>
      <c r="AG149" s="105">
        <f>IF($T$14&gt;0,IPMT('Assumptions (Coal)'!$V$6,Model!AJ$1,'Assumptions (Coal)'!$V$9,'Assumptions (Coal)'!$V$4*Model!$T$14*AVERAGE('Assumptions (Coal)'!$M$2:$R$2)/10^9),0)</f>
        <v>0</v>
      </c>
      <c r="AH149" s="105">
        <f>IF($T$14&gt;0,IPMT('Assumptions (Coal)'!$V$6,Model!AK$1,'Assumptions (Coal)'!$V$9,'Assumptions (Coal)'!$V$4*Model!$T$14*AVERAGE('Assumptions (Coal)'!$M$2:$R$2)/10^9),0)</f>
        <v>0</v>
      </c>
      <c r="AI149" s="105"/>
      <c r="AJ149" s="105"/>
      <c r="AK149" s="105"/>
      <c r="AL149" s="105"/>
      <c r="AM149" s="105"/>
      <c r="AN149" s="105"/>
      <c r="AO149" s="105"/>
      <c r="AP149" s="105"/>
      <c r="AQ149" s="105"/>
      <c r="AR149" s="105"/>
      <c r="AU149" s="105"/>
      <c r="AV149" s="105"/>
      <c r="AW149" s="105"/>
      <c r="AX149" s="105"/>
      <c r="AY149" s="105"/>
      <c r="AZ149" s="105"/>
      <c r="BA149" s="105"/>
    </row>
    <row r="150" spans="1:55" ht="15.75" hidden="1" customHeight="1" outlineLevel="1">
      <c r="A150" s="98"/>
      <c r="B150" s="99"/>
      <c r="C150" s="105"/>
      <c r="D150" s="105"/>
      <c r="E150" s="105"/>
      <c r="F150" s="105"/>
      <c r="G150" s="105"/>
      <c r="H150" s="105"/>
      <c r="I150" s="105"/>
      <c r="J150" s="105"/>
      <c r="K150" s="105"/>
      <c r="L150" s="105"/>
      <c r="M150" s="105"/>
      <c r="N150" s="105"/>
      <c r="O150" s="105"/>
      <c r="P150" s="171"/>
      <c r="Q150" s="105"/>
      <c r="R150" s="91"/>
      <c r="S150" s="91"/>
      <c r="T150" s="91"/>
      <c r="U150" s="105">
        <f>IF($U$14&gt;0,IPMT('Assumptions (Coal)'!$V$6,Model!W$1,'Assumptions (Coal)'!$V$9,'Assumptions (Coal)'!$V$4*Model!$U$14*AVERAGE('Assumptions (Coal)'!$N$2:$S$2)/10^9),0)</f>
        <v>-1.0039233971582909E-3</v>
      </c>
      <c r="V150" s="105">
        <f>IF($U$14&gt;0,IPMT('Assumptions (Coal)'!$V$6,Model!X$1,'Assumptions (Coal)'!$V$9,'Assumptions (Coal)'!$V$4*Model!$U$14*AVERAGE('Assumptions (Coal)'!$N$2:$S$2)/10^9),0)</f>
        <v>-9.565169954828624E-4</v>
      </c>
      <c r="W150" s="105">
        <f>IF($U$14&gt;0,IPMT('Assumptions (Coal)'!$V$6,Model!Y$1,'Assumptions (Coal)'!$V$9,'Assumptions (Coal)'!$V$4*Model!$U$14*AVERAGE('Assumptions (Coal)'!$N$2:$S$2)/10^9),0)</f>
        <v>-9.0685878972785112E-4</v>
      </c>
      <c r="X150" s="105">
        <f>IF($U$14&gt;0,IPMT('Assumptions (Coal)'!$V$6,Model!Z$1,'Assumptions (Coal)'!$V$9,'Assumptions (Coal)'!$V$4*Model!$U$14*AVERAGE('Assumptions (Coal)'!$N$2:$S$2)/10^9),0)</f>
        <v>-8.5484181919947709E-4</v>
      </c>
      <c r="Y150" s="105">
        <f>IF($U$14&gt;0,IPMT('Assumptions (Coal)'!$V$6,Model!AA$1,'Assumptions (Coal)'!$V$9,'Assumptions (Coal)'!$V$4*Model!$U$14*AVERAGE('Assumptions (Coal)'!$N$2:$S$2)/10^9),0)</f>
        <v>-8.0035404257100507E-4</v>
      </c>
      <c r="Z150" s="105">
        <f>IF($U$14&gt;0,IPMT('Assumptions (Coal)'!$V$6,Model!AB$1,'Assumptions (Coal)'!$V$9,'Assumptions (Coal)'!$V$4*Model!$U$14*AVERAGE('Assumptions (Coal)'!$N$2:$S$2)/10^9),0)</f>
        <v>-7.4327809655268078E-4</v>
      </c>
      <c r="AA150" s="105">
        <f>IF($U$14&gt;0,IPMT('Assumptions (Coal)'!$V$6,Model!AC$1,'Assumptions (Coal)'!$V$9,'Assumptions (Coal)'!$V$4*Model!$U$14*AVERAGE('Assumptions (Coal)'!$N$2:$S$2)/10^9),0)</f>
        <v>-6.8349104309848598E-4</v>
      </c>
      <c r="AB150" s="105">
        <f>IF($U$14&gt;0,IPMT('Assumptions (Coal)'!$V$6,Model!AD$1,'Assumptions (Coal)'!$V$9,'Assumptions (Coal)'!$V$4*Model!$U$14*AVERAGE('Assumptions (Coal)'!$N$2:$S$2)/10^9),0)</f>
        <v>-6.208641046052169E-4</v>
      </c>
      <c r="AC150" s="105">
        <f>IF($U$14&gt;0,IPMT('Assumptions (Coal)'!$V$6,Model!AE$1,'Assumptions (Coal)'!$V$9,'Assumptions (Coal)'!$V$4*Model!$U$14*AVERAGE('Assumptions (Coal)'!$N$2:$S$2)/10^9),0)</f>
        <v>-5.5526238653351759E-4</v>
      </c>
      <c r="AD150" s="105">
        <f>IF($U$14&gt;0,IPMT('Assumptions (Coal)'!$V$6,Model!AF$1,'Assumptions (Coal)'!$V$9,'Assumptions (Coal)'!$V$4*Model!$U$14*AVERAGE('Assumptions (Coal)'!$N$2:$S$2)/10^9),0)</f>
        <v>-4.8654458685341265E-4</v>
      </c>
      <c r="AE150" s="105">
        <f>IF($U$14&gt;0,IPMT('Assumptions (Coal)'!$V$6,Model!AG$1,'Assumptions (Coal)'!$V$9,'Assumptions (Coal)'!$V$4*Model!$U$14*AVERAGE('Assumptions (Coal)'!$N$2:$S$2)/10^9),0)</f>
        <v>-4.1456269168850258E-4</v>
      </c>
      <c r="AF150" s="105">
        <f>IF($U$14&gt;0,IPMT('Assumptions (Coal)'!$V$6,Model!AH$1,'Assumptions (Coal)'!$V$9,'Assumptions (Coal)'!$V$4*Model!$U$14*AVERAGE('Assumptions (Coal)'!$N$2:$S$2)/10^9),0)</f>
        <v>-3.3916165650325946E-4</v>
      </c>
      <c r="AG150" s="105">
        <f>IF($U$14&gt;0,IPMT('Assumptions (Coal)'!$V$6,Model!AI$1,'Assumptions (Coal)'!$V$9,'Assumptions (Coal)'!$V$4*Model!$U$14*AVERAGE('Assumptions (Coal)'!$N$2:$S$2)/10^9),0)</f>
        <v>-2.6017907214671707E-4</v>
      </c>
      <c r="AH150" s="105">
        <f>IF($U$14&gt;0,IPMT('Assumptions (Coal)'!$V$6,Model!AJ$1,'Assumptions (Coal)'!$V$9,'Assumptions (Coal)'!$V$4*Model!$U$14*AVERAGE('Assumptions (Coal)'!$N$2:$S$2)/10^9),0)</f>
        <v>-1.7744481503323902E-4</v>
      </c>
      <c r="AI150" s="105">
        <f>IF($U$14&gt;0,IPMT('Assumptions (Coal)'!$V$6,Model!AK$1,'Assumptions (Coal)'!$V$9,'Assumptions (Coal)'!$V$4*Model!$U$14*AVERAGE('Assumptions (Coal)'!$N$2:$S$2)/10^9),0)</f>
        <v>-9.0780680706870748E-5</v>
      </c>
      <c r="AJ150" s="105"/>
      <c r="AK150" s="105"/>
      <c r="AL150" s="105"/>
      <c r="AM150" s="105"/>
      <c r="AN150" s="105"/>
      <c r="AO150" s="105"/>
      <c r="AP150" s="105"/>
      <c r="AQ150" s="105"/>
      <c r="AR150" s="105"/>
      <c r="AS150" s="105"/>
      <c r="AU150" s="105"/>
      <c r="AV150" s="105"/>
      <c r="AW150" s="105"/>
      <c r="AX150" s="105"/>
      <c r="AY150" s="105"/>
      <c r="AZ150" s="105"/>
      <c r="BA150" s="105"/>
    </row>
    <row r="151" spans="1:55" ht="15.75" hidden="1" customHeight="1" outlineLevel="1">
      <c r="A151" s="98"/>
      <c r="B151" s="99"/>
      <c r="C151" s="105"/>
      <c r="D151" s="105"/>
      <c r="E151" s="105"/>
      <c r="F151" s="105"/>
      <c r="G151" s="105"/>
      <c r="H151" s="105"/>
      <c r="I151" s="105"/>
      <c r="J151" s="105"/>
      <c r="K151" s="105"/>
      <c r="L151" s="105"/>
      <c r="M151" s="105"/>
      <c r="N151" s="105"/>
      <c r="O151" s="105"/>
      <c r="P151" s="171"/>
      <c r="Q151" s="105"/>
      <c r="R151" s="91"/>
      <c r="S151" s="91"/>
      <c r="T151" s="91"/>
      <c r="U151" s="105"/>
      <c r="V151" s="105">
        <f>IF($V$14&gt;0,IPMT('Assumptions (Coal)'!$V$6,Model!W$1,'Assumptions (Coal)'!$V$9,'Assumptions (Coal)'!$V$4*Model!$V$14*AVERAGE('Assumptions (Coal)'!$O$2:$T$2)/10^9),0)</f>
        <v>0</v>
      </c>
      <c r="W151" s="105">
        <f>IF($V$14&gt;0,IPMT('Assumptions (Coal)'!$V$6,Model!X$1,'Assumptions (Coal)'!$V$9,'Assumptions (Coal)'!$V$4*Model!$V$14*AVERAGE('Assumptions (Coal)'!$O$2:$T$2)/10^9),0)</f>
        <v>0</v>
      </c>
      <c r="X151" s="105">
        <f>IF($V$14&gt;0,IPMT('Assumptions (Coal)'!$V$6,Model!Y$1,'Assumptions (Coal)'!$V$9,'Assumptions (Coal)'!$V$4*Model!$V$14*AVERAGE('Assumptions (Coal)'!$O$2:$T$2)/10^9),0)</f>
        <v>0</v>
      </c>
      <c r="Y151" s="105">
        <f>IF($V$14&gt;0,IPMT('Assumptions (Coal)'!$V$6,Model!Z$1,'Assumptions (Coal)'!$V$9,'Assumptions (Coal)'!$V$4*Model!$V$14*AVERAGE('Assumptions (Coal)'!$O$2:$T$2)/10^9),0)</f>
        <v>0</v>
      </c>
      <c r="Z151" s="105">
        <f>IF($V$14&gt;0,IPMT('Assumptions (Coal)'!$V$6,Model!AA$1,'Assumptions (Coal)'!$V$9,'Assumptions (Coal)'!$V$4*Model!$V$14*AVERAGE('Assumptions (Coal)'!$O$2:$T$2)/10^9),0)</f>
        <v>0</v>
      </c>
      <c r="AA151" s="105">
        <f>IF($V$14&gt;0,IPMT('Assumptions (Coal)'!$V$6,Model!AB$1,'Assumptions (Coal)'!$V$9,'Assumptions (Coal)'!$V$4*Model!$V$14*AVERAGE('Assumptions (Coal)'!$O$2:$T$2)/10^9),0)</f>
        <v>0</v>
      </c>
      <c r="AB151" s="105">
        <f>IF($V$14&gt;0,IPMT('Assumptions (Coal)'!$V$6,Model!AC$1,'Assumptions (Coal)'!$V$9,'Assumptions (Coal)'!$V$4*Model!$V$14*AVERAGE('Assumptions (Coal)'!$O$2:$T$2)/10^9),0)</f>
        <v>0</v>
      </c>
      <c r="AC151" s="105">
        <f>IF($V$14&gt;0,IPMT('Assumptions (Coal)'!$V$6,Model!AD$1,'Assumptions (Coal)'!$V$9,'Assumptions (Coal)'!$V$4*Model!$V$14*AVERAGE('Assumptions (Coal)'!$O$2:$T$2)/10^9),0)</f>
        <v>0</v>
      </c>
      <c r="AD151" s="105">
        <f>IF($V$14&gt;0,IPMT('Assumptions (Coal)'!$V$6,Model!AE$1,'Assumptions (Coal)'!$V$9,'Assumptions (Coal)'!$V$4*Model!$V$14*AVERAGE('Assumptions (Coal)'!$O$2:$T$2)/10^9),0)</f>
        <v>0</v>
      </c>
      <c r="AE151" s="105">
        <f>IF($V$14&gt;0,IPMT('Assumptions (Coal)'!$V$6,Model!AF$1,'Assumptions (Coal)'!$V$9,'Assumptions (Coal)'!$V$4*Model!$V$14*AVERAGE('Assumptions (Coal)'!$O$2:$T$2)/10^9),0)</f>
        <v>0</v>
      </c>
      <c r="AF151" s="105">
        <f>IF($V$14&gt;0,IPMT('Assumptions (Coal)'!$V$6,Model!AG$1,'Assumptions (Coal)'!$V$9,'Assumptions (Coal)'!$V$4*Model!$V$14*AVERAGE('Assumptions (Coal)'!$O$2:$T$2)/10^9),0)</f>
        <v>0</v>
      </c>
      <c r="AG151" s="105">
        <f>IF($V$14&gt;0,IPMT('Assumptions (Coal)'!$V$6,Model!AH$1,'Assumptions (Coal)'!$V$9,'Assumptions (Coal)'!$V$4*Model!$V$14*AVERAGE('Assumptions (Coal)'!$O$2:$T$2)/10^9),0)</f>
        <v>0</v>
      </c>
      <c r="AH151" s="105">
        <f>IF($V$14&gt;0,IPMT('Assumptions (Coal)'!$V$6,Model!AI$1,'Assumptions (Coal)'!$V$9,'Assumptions (Coal)'!$V$4*Model!$V$14*AVERAGE('Assumptions (Coal)'!$O$2:$T$2)/10^9),0)</f>
        <v>0</v>
      </c>
      <c r="AI151" s="105">
        <f>IF($V$14&gt;0,IPMT('Assumptions (Coal)'!$V$6,Model!AJ$1,'Assumptions (Coal)'!$V$9,'Assumptions (Coal)'!$V$4*Model!$V$14*AVERAGE('Assumptions (Coal)'!$O$2:$T$2)/10^9),0)</f>
        <v>0</v>
      </c>
      <c r="AJ151" s="105">
        <f>IF($V$14&gt;0,IPMT('Assumptions (Coal)'!$V$6,Model!AK$1,'Assumptions (Coal)'!$V$9,'Assumptions (Coal)'!$V$4*Model!$V$14*AVERAGE('Assumptions (Coal)'!$O$2:$T$2)/10^9),0)</f>
        <v>0</v>
      </c>
      <c r="AK151" s="105"/>
      <c r="AL151" s="105"/>
      <c r="AM151" s="105"/>
      <c r="AN151" s="105"/>
      <c r="AO151" s="105"/>
      <c r="AP151" s="105"/>
      <c r="AQ151" s="105"/>
      <c r="AR151" s="105"/>
      <c r="AS151" s="105"/>
      <c r="AT151" s="105"/>
      <c r="AU151" s="105"/>
      <c r="AV151" s="105"/>
      <c r="AW151" s="105"/>
      <c r="AX151" s="105"/>
      <c r="AY151" s="105"/>
      <c r="AZ151" s="105"/>
      <c r="BA151" s="105"/>
    </row>
    <row r="152" spans="1:55" ht="15.75" hidden="1" customHeight="1" outlineLevel="1">
      <c r="A152" s="98"/>
      <c r="B152" s="99"/>
      <c r="C152" s="105"/>
      <c r="D152" s="105"/>
      <c r="E152" s="105"/>
      <c r="F152" s="105"/>
      <c r="G152" s="105"/>
      <c r="H152" s="105"/>
      <c r="I152" s="105"/>
      <c r="J152" s="105"/>
      <c r="K152" s="105"/>
      <c r="L152" s="105"/>
      <c r="M152" s="105"/>
      <c r="N152" s="105"/>
      <c r="O152" s="105"/>
      <c r="P152" s="105"/>
      <c r="Q152" s="105"/>
      <c r="R152" s="105"/>
      <c r="S152" s="105"/>
      <c r="T152" s="105"/>
      <c r="U152" s="105"/>
      <c r="V152" s="99"/>
      <c r="W152" s="105">
        <f>IF($W$14&gt;0,IPMT('Assumptions (Coal)'!$V$6,Model!W1,'Assumptions (Coal)'!$V$9,'Assumptions (Coal)'!$V$4*Model!$W$14*AVERAGE('Assumptions (Coal)'!$P$2:$U$2)/10^9),0)</f>
        <v>0</v>
      </c>
      <c r="X152" s="105">
        <f>IF($W$14&gt;0,IPMT('Assumptions (Coal)'!$V$6,Model!X1,'Assumptions (Coal)'!$V$9,'Assumptions (Coal)'!$V$4*Model!$W$14*AVERAGE('Assumptions (Coal)'!$P$2:$U$2)/10^9),0)</f>
        <v>0</v>
      </c>
      <c r="Y152" s="105">
        <f>IF($W$14&gt;0,IPMT('Assumptions (Coal)'!$V$6,Model!Y1,'Assumptions (Coal)'!$V$9,'Assumptions (Coal)'!$V$4*Model!$W$14*AVERAGE('Assumptions (Coal)'!$P$2:$U$2)/10^9),0)</f>
        <v>0</v>
      </c>
      <c r="Z152" s="105">
        <f>IF($W$14&gt;0,IPMT('Assumptions (Coal)'!$V$6,Model!Z1,'Assumptions (Coal)'!$V$9,'Assumptions (Coal)'!$V$4*Model!$W$14*AVERAGE('Assumptions (Coal)'!$P$2:$U$2)/10^9),0)</f>
        <v>0</v>
      </c>
      <c r="AA152" s="105">
        <f>IF($W$14&gt;0,IPMT('Assumptions (Coal)'!$V$6,Model!AA1,'Assumptions (Coal)'!$V$9,'Assumptions (Coal)'!$V$4*Model!$W$14*AVERAGE('Assumptions (Coal)'!$P$2:$U$2)/10^9),0)</f>
        <v>0</v>
      </c>
      <c r="AB152" s="105">
        <f>IF($W$14&gt;0,IPMT('Assumptions (Coal)'!$V$6,Model!AB1,'Assumptions (Coal)'!$V$9,'Assumptions (Coal)'!$V$4*Model!$W$14*AVERAGE('Assumptions (Coal)'!$P$2:$U$2)/10^9),0)</f>
        <v>0</v>
      </c>
      <c r="AC152" s="105">
        <f>IF($W$14&gt;0,IPMT('Assumptions (Coal)'!$V$6,Model!AC1,'Assumptions (Coal)'!$V$9,'Assumptions (Coal)'!$V$4*Model!$W$14*AVERAGE('Assumptions (Coal)'!$P$2:$U$2)/10^9),0)</f>
        <v>0</v>
      </c>
      <c r="AD152" s="105">
        <f>IF($W$14&gt;0,IPMT('Assumptions (Coal)'!$V$6,Model!AD1,'Assumptions (Coal)'!$V$9,'Assumptions (Coal)'!$V$4*Model!$W$14*AVERAGE('Assumptions (Coal)'!$P$2:$U$2)/10^9),0)</f>
        <v>0</v>
      </c>
      <c r="AE152" s="105">
        <f>IF($W$14&gt;0,IPMT('Assumptions (Coal)'!$V$6,Model!AE1,'Assumptions (Coal)'!$V$9,'Assumptions (Coal)'!$V$4*Model!$W$14*AVERAGE('Assumptions (Coal)'!$P$2:$U$2)/10^9),0)</f>
        <v>0</v>
      </c>
      <c r="AF152" s="105">
        <f>IF($W$14&gt;0,IPMT('Assumptions (Coal)'!$V$6,Model!AF1,'Assumptions (Coal)'!$V$9,'Assumptions (Coal)'!$V$4*Model!$W$14*AVERAGE('Assumptions (Coal)'!$P$2:$U$2)/10^9),0)</f>
        <v>0</v>
      </c>
      <c r="AG152" s="105">
        <f>IF($W$14&gt;0,IPMT('Assumptions (Coal)'!$V$6,Model!AG1,'Assumptions (Coal)'!$V$9,'Assumptions (Coal)'!$V$4*Model!$W$14*AVERAGE('Assumptions (Coal)'!$P$2:$U$2)/10^9),0)</f>
        <v>0</v>
      </c>
      <c r="AH152" s="105">
        <f>IF($W$14&gt;0,IPMT('Assumptions (Coal)'!$V$6,Model!AH1,'Assumptions (Coal)'!$V$9,'Assumptions (Coal)'!$V$4*Model!$W$14*AVERAGE('Assumptions (Coal)'!$P$2:$U$2)/10^9),0)</f>
        <v>0</v>
      </c>
      <c r="AI152" s="105">
        <f>IF($W$14&gt;0,IPMT('Assumptions (Coal)'!$V$6,Model!AI1,'Assumptions (Coal)'!$V$9,'Assumptions (Coal)'!$V$4*Model!$W$14*AVERAGE('Assumptions (Coal)'!$P$2:$U$2)/10^9),0)</f>
        <v>0</v>
      </c>
      <c r="AJ152" s="105">
        <f>IF($W$14&gt;0,IPMT('Assumptions (Coal)'!$V$6,Model!AJ1,'Assumptions (Coal)'!$V$9,'Assumptions (Coal)'!$V$4*Model!$W$14*AVERAGE('Assumptions (Coal)'!$P$2:$U$2)/10^9),0)</f>
        <v>0</v>
      </c>
      <c r="AK152" s="105">
        <f>IF($W$14&gt;0,IPMT('Assumptions (Coal)'!$V$6,Model!AK1,'Assumptions (Coal)'!$V$9,'Assumptions (Coal)'!$V$4*Model!$W$14*AVERAGE('Assumptions (Coal)'!$P$2:$U$2)/10^9),0)</f>
        <v>0</v>
      </c>
      <c r="AL152" s="105"/>
      <c r="AM152" s="105"/>
      <c r="AN152" s="105"/>
      <c r="AO152" s="105"/>
      <c r="AP152" s="105"/>
      <c r="AQ152" s="105"/>
      <c r="AR152" s="105"/>
      <c r="AS152" s="105"/>
      <c r="AT152" s="105"/>
      <c r="AU152" s="105"/>
      <c r="AV152" s="105"/>
      <c r="AW152" s="105"/>
      <c r="AX152" s="105"/>
      <c r="AY152" s="105"/>
      <c r="AZ152" s="105"/>
      <c r="BA152" s="105"/>
    </row>
    <row r="153" spans="1:55" ht="15.75" hidden="1" customHeight="1" outlineLevel="1">
      <c r="A153" s="98"/>
      <c r="B153" s="99"/>
      <c r="C153" s="105"/>
      <c r="D153" s="105"/>
      <c r="E153" s="105"/>
      <c r="F153" s="105"/>
      <c r="G153" s="105"/>
      <c r="H153" s="105"/>
      <c r="I153" s="105"/>
      <c r="J153" s="105"/>
      <c r="K153" s="105"/>
      <c r="L153" s="105"/>
      <c r="M153" s="105"/>
      <c r="N153" s="105"/>
      <c r="O153" s="105"/>
      <c r="P153" s="105"/>
      <c r="Q153" s="105"/>
      <c r="R153" s="105"/>
      <c r="S153" s="105"/>
      <c r="T153" s="105"/>
      <c r="U153" s="105"/>
      <c r="V153" s="99"/>
      <c r="W153" s="105"/>
      <c r="X153" s="105">
        <f>IF($X$14&gt;0,IPMT('Assumptions (Coal)'!$V$6,Model!W1,'Assumptions (Coal)'!$V$9,'Assumptions (Coal)'!$V$4*Model!$X$14*AVERAGE('Assumptions (Coal)'!$Q$2:$V$2)/10^9),0)</f>
        <v>-0.2185625912643856</v>
      </c>
      <c r="Y153" s="105">
        <f>IF($X$14&gt;0,IPMT('Assumptions (Coal)'!$V$6,Model!X1,'Assumptions (Coal)'!$V$9,'Assumptions (Coal)'!$V$4*Model!$X$14*AVERAGE('Assumptions (Coal)'!$Q$2:$V$2)/10^9),0)</f>
        <v>-0.20824181776510209</v>
      </c>
      <c r="Z153" s="105">
        <f>IF($X$14&gt;0,IPMT('Assumptions (Coal)'!$V$6,Model!Y1,'Assumptions (Coal)'!$V$9,'Assumptions (Coal)'!$V$4*Model!$X$14*AVERAGE('Assumptions (Coal)'!$Q$2:$V$2)/10^9),0)</f>
        <v>-0.19743080752460263</v>
      </c>
      <c r="AA153" s="105">
        <f>IF($X$14&gt;0,IPMT('Assumptions (Coal)'!$V$6,Model!Z1,'Assumptions (Coal)'!$V$9,'Assumptions (Coal)'!$V$4*Model!$X$14*AVERAGE('Assumptions (Coal)'!$Q$2:$V$2)/10^9),0)</f>
        <v>-0.18610627429767948</v>
      </c>
      <c r="AB153" s="105">
        <f>IF($X$14&gt;0,IPMT('Assumptions (Coal)'!$V$6,Model!AA1,'Assumptions (Coal)'!$V$9,'Assumptions (Coal)'!$V$4*Model!$X$14*AVERAGE('Assumptions (Coal)'!$Q$2:$V$2)/10^9),0)</f>
        <v>-0.17424382574247746</v>
      </c>
      <c r="AC153" s="105">
        <f>IF($X$14&gt;0,IPMT('Assumptions (Coal)'!$V$6,Model!AB1,'Assumptions (Coal)'!$V$9,'Assumptions (Coal)'!$V$4*Model!$X$14*AVERAGE('Assumptions (Coal)'!$Q$2:$V$2)/10^9),0)</f>
        <v>-0.16181791088090339</v>
      </c>
      <c r="AD153" s="105">
        <f>IF($X$14&gt;0,IPMT('Assumptions (Coal)'!$V$6,Model!AC1,'Assumptions (Coal)'!$V$9,'Assumptions (Coal)'!$V$4*Model!$X$14*AVERAGE('Assumptions (Coal)'!$Q$2:$V$2)/10^9),0)</f>
        <v>-0.14880176506340451</v>
      </c>
      <c r="AE153" s="105">
        <f>IF($X$14&gt;0,IPMT('Assumptions (Coal)'!$V$6,Model!AD1,'Assumptions (Coal)'!$V$9,'Assumptions (Coal)'!$V$4*Model!$X$14*AVERAGE('Assumptions (Coal)'!$Q$2:$V$2)/10^9),0)</f>
        <v>-0.13516735231957444</v>
      </c>
      <c r="AF153" s="105">
        <f>IF($X$14&gt;0,IPMT('Assumptions (Coal)'!$V$6,Model!AE1,'Assumptions (Coal)'!$V$9,'Assumptions (Coal)'!$V$4*Model!$X$14*AVERAGE('Assumptions (Coal)'!$Q$2:$V$2)/10^9),0)</f>
        <v>-0.12088530497041247</v>
      </c>
      <c r="AG153" s="105">
        <f>IF($X$14&gt;0,IPMT('Assumptions (Coal)'!$V$6,Model!AF1,'Assumptions (Coal)'!$V$9,'Assumptions (Coal)'!$V$4*Model!$X$14*AVERAGE('Assumptions (Coal)'!$Q$2:$V$2)/10^9),0)</f>
        <v>-0.10592486037216527</v>
      </c>
      <c r="AH153" s="105">
        <f>IF($X$14&gt;0,IPMT('Assumptions (Coal)'!$V$6,Model!AG1,'Assumptions (Coal)'!$V$9,'Assumptions (Coal)'!$V$4*Model!$X$14*AVERAGE('Assumptions (Coal)'!$Q$2:$V$2)/10^9),0)</f>
        <v>-9.0253794655501332E-2</v>
      </c>
      <c r="AI153" s="105">
        <f>IF($X$14&gt;0,IPMT('Assumptions (Coal)'!$V$6,Model!AH1,'Assumptions (Coal)'!$V$9,'Assumptions (Coal)'!$V$4*Model!$X$14*AVERAGE('Assumptions (Coal)'!$Q$2:$V$2)/10^9),0)</f>
        <v>-7.3838353317295879E-2</v>
      </c>
      <c r="AJ153" s="105">
        <f>IF($X$14&gt;0,IPMT('Assumptions (Coal)'!$V$6,Model!AI1,'Assumptions (Coal)'!$V$9,'Assumptions (Coal)'!$V$4*Model!$X$14*AVERAGE('Assumptions (Coal)'!$Q$2:$V$2)/10^9),0)</f>
        <v>-5.6643178515525638E-2</v>
      </c>
      <c r="AK153" s="105">
        <f>IF($X$14&gt;0,IPMT('Assumptions (Coal)'!$V$6,Model!AJ1,'Assumptions (Coal)'!$V$9,'Assumptions (Coal)'!$V$4*Model!$X$14*AVERAGE('Assumptions (Coal)'!$Q$2:$V$2)/10^9),0)</f>
        <v>-3.8631232910671325E-2</v>
      </c>
      <c r="AL153" s="105">
        <f>IF($X$14&gt;0,IPMT('Assumptions (Coal)'!$V$6,Model!AK1,'Assumptions (Coal)'!$V$9,'Assumptions (Coal)'!$V$4*Model!$X$14*AVERAGE('Assumptions (Coal)'!$Q$2:$V$2)/10^9),0)</f>
        <v>-1.9763719889586424E-2</v>
      </c>
      <c r="AM153" s="105"/>
      <c r="AN153" s="105"/>
      <c r="AO153" s="105"/>
      <c r="AP153" s="105"/>
      <c r="AQ153" s="105"/>
      <c r="AR153" s="105"/>
      <c r="AS153" s="105"/>
      <c r="AT153" s="105"/>
      <c r="AU153" s="105"/>
      <c r="AV153" s="105"/>
      <c r="AW153" s="105"/>
      <c r="AX153" s="105"/>
      <c r="AY153" s="105"/>
      <c r="AZ153" s="105"/>
      <c r="BA153" s="105"/>
    </row>
    <row r="154" spans="1:55" ht="15.75" hidden="1" customHeight="1" outlineLevel="1">
      <c r="A154" s="98"/>
      <c r="B154" s="99"/>
      <c r="C154" s="105"/>
      <c r="D154" s="105"/>
      <c r="E154" s="105"/>
      <c r="F154" s="105"/>
      <c r="G154" s="105"/>
      <c r="H154" s="105"/>
      <c r="I154" s="105"/>
      <c r="J154" s="105"/>
      <c r="K154" s="105"/>
      <c r="L154" s="105"/>
      <c r="M154" s="105"/>
      <c r="N154" s="105"/>
      <c r="O154" s="105"/>
      <c r="P154" s="105"/>
      <c r="Q154" s="105"/>
      <c r="R154" s="105"/>
      <c r="S154" s="105"/>
      <c r="T154" s="105"/>
      <c r="U154" s="105"/>
      <c r="V154" s="99"/>
      <c r="W154" s="105"/>
      <c r="X154" s="105"/>
      <c r="Y154" s="105">
        <f>IF($Y$14&gt;0,IPMT('Assumptions (Coal)'!$V$6,Model!W1,'Assumptions (Coal)'!$V$9,'Assumptions (Coal)'!$V$4*Model!$Y$14*AVERAGE('Assumptions (Coal)'!$R$2:$W$2)/10^9),0)</f>
        <v>0</v>
      </c>
      <c r="Z154" s="105">
        <f>IF($Y$14&gt;0,IPMT('Assumptions (Coal)'!$V$6,Model!X1,'Assumptions (Coal)'!$V$9,'Assumptions (Coal)'!$V$4*Model!$Y$14*AVERAGE('Assumptions (Coal)'!$R$2:$W$2)/10^9),0)</f>
        <v>0</v>
      </c>
      <c r="AA154" s="105">
        <f>IF($Y$14&gt;0,IPMT('Assumptions (Coal)'!$V$6,Model!Y1,'Assumptions (Coal)'!$V$9,'Assumptions (Coal)'!$V$4*Model!$Y$14*AVERAGE('Assumptions (Coal)'!$R$2:$W$2)/10^9),0)</f>
        <v>0</v>
      </c>
      <c r="AB154" s="105">
        <f>IF($Y$14&gt;0,IPMT('Assumptions (Coal)'!$V$6,Model!Z1,'Assumptions (Coal)'!$V$9,'Assumptions (Coal)'!$V$4*Model!$Y$14*AVERAGE('Assumptions (Coal)'!$R$2:$W$2)/10^9),0)</f>
        <v>0</v>
      </c>
      <c r="AC154" s="105">
        <f>IF($Y$14&gt;0,IPMT('Assumptions (Coal)'!$V$6,Model!AA1,'Assumptions (Coal)'!$V$9,'Assumptions (Coal)'!$V$4*Model!$Y$14*AVERAGE('Assumptions (Coal)'!$R$2:$W$2)/10^9),0)</f>
        <v>0</v>
      </c>
      <c r="AD154" s="105">
        <f>IF($Y$14&gt;0,IPMT('Assumptions (Coal)'!$V$6,Model!AB1,'Assumptions (Coal)'!$V$9,'Assumptions (Coal)'!$V$4*Model!$Y$14*AVERAGE('Assumptions (Coal)'!$R$2:$W$2)/10^9),0)</f>
        <v>0</v>
      </c>
      <c r="AE154" s="105">
        <f>IF($Y$14&gt;0,IPMT('Assumptions (Coal)'!$V$6,Model!AC1,'Assumptions (Coal)'!$V$9,'Assumptions (Coal)'!$V$4*Model!$Y$14*AVERAGE('Assumptions (Coal)'!$R$2:$W$2)/10^9),0)</f>
        <v>0</v>
      </c>
      <c r="AF154" s="105">
        <f>IF($Y$14&gt;0,IPMT('Assumptions (Coal)'!$V$6,Model!AD1,'Assumptions (Coal)'!$V$9,'Assumptions (Coal)'!$V$4*Model!$Y$14*AVERAGE('Assumptions (Coal)'!$R$2:$W$2)/10^9),0)</f>
        <v>0</v>
      </c>
      <c r="AG154" s="105">
        <f>IF($Y$14&gt;0,IPMT('Assumptions (Coal)'!$V$6,Model!AE1,'Assumptions (Coal)'!$V$9,'Assumptions (Coal)'!$V$4*Model!$Y$14*AVERAGE('Assumptions (Coal)'!$R$2:$W$2)/10^9),0)</f>
        <v>0</v>
      </c>
      <c r="AH154" s="105">
        <f>IF($Y$14&gt;0,IPMT('Assumptions (Coal)'!$V$6,Model!AF1,'Assumptions (Coal)'!$V$9,'Assumptions (Coal)'!$V$4*Model!$Y$14*AVERAGE('Assumptions (Coal)'!$R$2:$W$2)/10^9),0)</f>
        <v>0</v>
      </c>
      <c r="AI154" s="105">
        <f>IF($Y$14&gt;0,IPMT('Assumptions (Coal)'!$V$6,Model!AG1,'Assumptions (Coal)'!$V$9,'Assumptions (Coal)'!$V$4*Model!$Y$14*AVERAGE('Assumptions (Coal)'!$R$2:$W$2)/10^9),0)</f>
        <v>0</v>
      </c>
      <c r="AJ154" s="105">
        <f>IF($Y$14&gt;0,IPMT('Assumptions (Coal)'!$V$6,Model!AH1,'Assumptions (Coal)'!$V$9,'Assumptions (Coal)'!$V$4*Model!$Y$14*AVERAGE('Assumptions (Coal)'!$R$2:$W$2)/10^9),0)</f>
        <v>0</v>
      </c>
      <c r="AK154" s="105">
        <f>IF($Y$14&gt;0,IPMT('Assumptions (Coal)'!$V$6,Model!AI1,'Assumptions (Coal)'!$V$9,'Assumptions (Coal)'!$V$4*Model!$Y$14*AVERAGE('Assumptions (Coal)'!$R$2:$W$2)/10^9),0)</f>
        <v>0</v>
      </c>
      <c r="AL154" s="105">
        <f>IF($Y$14&gt;0,IPMT('Assumptions (Coal)'!$V$6,Model!AJ1,'Assumptions (Coal)'!$V$9,'Assumptions (Coal)'!$V$4*Model!$Y$14*AVERAGE('Assumptions (Coal)'!$R$2:$W$2)/10^9),0)</f>
        <v>0</v>
      </c>
      <c r="AM154" s="105">
        <f>IF($Y$14&gt;0,IPMT('Assumptions (Coal)'!$V$6,Model!AK1,'Assumptions (Coal)'!$V$9,'Assumptions (Coal)'!$V$4*Model!$Y$14*AVERAGE('Assumptions (Coal)'!$R$2:$W$2)/10^9),0)</f>
        <v>0</v>
      </c>
      <c r="AN154" s="105"/>
      <c r="AO154" s="105"/>
      <c r="AP154" s="105"/>
      <c r="AQ154" s="105"/>
      <c r="AR154" s="105"/>
      <c r="AS154" s="105"/>
      <c r="AT154" s="105"/>
      <c r="AU154" s="105"/>
      <c r="AV154" s="105"/>
      <c r="AW154" s="105"/>
      <c r="AX154" s="105"/>
      <c r="AY154" s="105"/>
      <c r="AZ154" s="105"/>
      <c r="BA154" s="105"/>
    </row>
    <row r="155" spans="1:55" ht="15.75" hidden="1" customHeight="1" outlineLevel="1">
      <c r="A155" s="98"/>
      <c r="B155" s="99"/>
      <c r="C155" s="105"/>
      <c r="D155" s="105"/>
      <c r="E155" s="105"/>
      <c r="F155" s="105"/>
      <c r="G155" s="105"/>
      <c r="H155" s="105"/>
      <c r="I155" s="105"/>
      <c r="J155" s="105"/>
      <c r="K155" s="105"/>
      <c r="L155" s="105"/>
      <c r="M155" s="105"/>
      <c r="N155" s="105"/>
      <c r="O155" s="105"/>
      <c r="P155" s="105"/>
      <c r="Q155" s="105"/>
      <c r="R155" s="105"/>
      <c r="S155" s="105"/>
      <c r="T155" s="105"/>
      <c r="U155" s="105"/>
      <c r="V155" s="99"/>
      <c r="W155" s="105"/>
      <c r="X155" s="105"/>
      <c r="Y155" s="105"/>
      <c r="Z155" s="105">
        <f>IF($Z$14&gt;0,IPMT('Assumptions (Coal)'!$V$6,Model!W1,'Assumptions (Coal)'!$V$9,'Assumptions (Coal)'!$V$4*Model!$Z$14*AVERAGE('Assumptions (Coal)'!$S$2:$X$2)/10^9),0)</f>
        <v>0</v>
      </c>
      <c r="AA155" s="105">
        <f>IF($Z$14&gt;0,IPMT('Assumptions (Coal)'!$V$6,Model!X1,'Assumptions (Coal)'!$V$9,'Assumptions (Coal)'!$V$4*Model!$Z$14*AVERAGE('Assumptions (Coal)'!$S$2:$X$2)/10^9),0)</f>
        <v>0</v>
      </c>
      <c r="AB155" s="105">
        <f>IF($Z$14&gt;0,IPMT('Assumptions (Coal)'!$V$6,Model!Y1,'Assumptions (Coal)'!$V$9,'Assumptions (Coal)'!$V$4*Model!$Z$14*AVERAGE('Assumptions (Coal)'!$S$2:$X$2)/10^9),0)</f>
        <v>0</v>
      </c>
      <c r="AC155" s="105">
        <f>IF($Z$14&gt;0,IPMT('Assumptions (Coal)'!$V$6,Model!Z1,'Assumptions (Coal)'!$V$9,'Assumptions (Coal)'!$V$4*Model!$Z$14*AVERAGE('Assumptions (Coal)'!$S$2:$X$2)/10^9),0)</f>
        <v>0</v>
      </c>
      <c r="AD155" s="105">
        <f>IF($Z$14&gt;0,IPMT('Assumptions (Coal)'!$V$6,Model!AA1,'Assumptions (Coal)'!$V$9,'Assumptions (Coal)'!$V$4*Model!$Z$14*AVERAGE('Assumptions (Coal)'!$S$2:$X$2)/10^9),0)</f>
        <v>0</v>
      </c>
      <c r="AE155" s="105">
        <f>IF($Z$14&gt;0,IPMT('Assumptions (Coal)'!$V$6,Model!AB1,'Assumptions (Coal)'!$V$9,'Assumptions (Coal)'!$V$4*Model!$Z$14*AVERAGE('Assumptions (Coal)'!$S$2:$X$2)/10^9),0)</f>
        <v>0</v>
      </c>
      <c r="AF155" s="105">
        <f>IF($Z$14&gt;0,IPMT('Assumptions (Coal)'!$V$6,Model!AC1,'Assumptions (Coal)'!$V$9,'Assumptions (Coal)'!$V$4*Model!$Z$14*AVERAGE('Assumptions (Coal)'!$S$2:$X$2)/10^9),0)</f>
        <v>0</v>
      </c>
      <c r="AG155" s="105">
        <f>IF($Z$14&gt;0,IPMT('Assumptions (Coal)'!$V$6,Model!AD1,'Assumptions (Coal)'!$V$9,'Assumptions (Coal)'!$V$4*Model!$Z$14*AVERAGE('Assumptions (Coal)'!$S$2:$X$2)/10^9),0)</f>
        <v>0</v>
      </c>
      <c r="AH155" s="105">
        <f>IF($Z$14&gt;0,IPMT('Assumptions (Coal)'!$V$6,Model!AE1,'Assumptions (Coal)'!$V$9,'Assumptions (Coal)'!$V$4*Model!$Z$14*AVERAGE('Assumptions (Coal)'!$S$2:$X$2)/10^9),0)</f>
        <v>0</v>
      </c>
      <c r="AI155" s="105">
        <f>IF($Z$14&gt;0,IPMT('Assumptions (Coal)'!$V$6,Model!AF1,'Assumptions (Coal)'!$V$9,'Assumptions (Coal)'!$V$4*Model!$Z$14*AVERAGE('Assumptions (Coal)'!$S$2:$X$2)/10^9),0)</f>
        <v>0</v>
      </c>
      <c r="AJ155" s="105">
        <f>IF($Z$14&gt;0,IPMT('Assumptions (Coal)'!$V$6,Model!AG1,'Assumptions (Coal)'!$V$9,'Assumptions (Coal)'!$V$4*Model!$Z$14*AVERAGE('Assumptions (Coal)'!$S$2:$X$2)/10^9),0)</f>
        <v>0</v>
      </c>
      <c r="AK155" s="105">
        <f>IF($Z$14&gt;0,IPMT('Assumptions (Coal)'!$V$6,Model!AH1,'Assumptions (Coal)'!$V$9,'Assumptions (Coal)'!$V$4*Model!$Z$14*AVERAGE('Assumptions (Coal)'!$S$2:$X$2)/10^9),0)</f>
        <v>0</v>
      </c>
      <c r="AL155" s="105">
        <f>IF($Z$14&gt;0,IPMT('Assumptions (Coal)'!$V$6,Model!AI1,'Assumptions (Coal)'!$V$9,'Assumptions (Coal)'!$V$4*Model!$Z$14*AVERAGE('Assumptions (Coal)'!$S$2:$X$2)/10^9),0)</f>
        <v>0</v>
      </c>
      <c r="AM155" s="105">
        <f>IF($Z$14&gt;0,IPMT('Assumptions (Coal)'!$V$6,Model!AJ1,'Assumptions (Coal)'!$V$9,'Assumptions (Coal)'!$V$4*Model!$Z$14*AVERAGE('Assumptions (Coal)'!$S$2:$X$2)/10^9),0)</f>
        <v>0</v>
      </c>
      <c r="AN155" s="105">
        <f>IF($Z$14&gt;0,IPMT('Assumptions (Coal)'!$V$6,Model!AK1,'Assumptions (Coal)'!$V$9,'Assumptions (Coal)'!$V$4*Model!$Z$14*AVERAGE('Assumptions (Coal)'!$S$2:$X$2)/10^9),0)</f>
        <v>0</v>
      </c>
      <c r="AO155" s="105"/>
      <c r="AP155" s="105"/>
      <c r="AQ155" s="105"/>
      <c r="AR155" s="105"/>
      <c r="AS155" s="105"/>
      <c r="AT155" s="105"/>
      <c r="AU155" s="105"/>
      <c r="AV155" s="105"/>
      <c r="AW155" s="105"/>
      <c r="AX155" s="105"/>
      <c r="AY155" s="105"/>
      <c r="AZ155" s="105"/>
      <c r="BA155" s="105"/>
    </row>
    <row r="156" spans="1:55" ht="15.75" hidden="1" customHeight="1" outlineLevel="1">
      <c r="A156" s="98"/>
      <c r="B156" s="99"/>
      <c r="C156" s="105"/>
      <c r="D156" s="105"/>
      <c r="E156" s="105"/>
      <c r="F156" s="105"/>
      <c r="G156" s="105"/>
      <c r="H156" s="105"/>
      <c r="I156" s="105"/>
      <c r="J156" s="105"/>
      <c r="K156" s="105"/>
      <c r="L156" s="105"/>
      <c r="M156" s="105"/>
      <c r="N156" s="105"/>
      <c r="O156" s="105"/>
      <c r="P156" s="105"/>
      <c r="Q156" s="105"/>
      <c r="R156" s="105"/>
      <c r="S156" s="105"/>
      <c r="T156" s="105"/>
      <c r="U156" s="105"/>
      <c r="V156" s="99"/>
      <c r="W156" s="105"/>
      <c r="X156" s="105"/>
      <c r="Y156" s="105"/>
      <c r="Z156" s="105"/>
      <c r="AA156" s="105">
        <f>IF($AA$14&gt;0,IPMT('Assumptions (Coal)'!$V$6,Model!W1,'Assumptions (Coal)'!$V$9,'Assumptions (Coal)'!$V$4*Model!$AA$14*AVERAGE('Assumptions (Coal)'!$T$2:$Y$2)/10^9),0)</f>
        <v>0</v>
      </c>
      <c r="AB156" s="105">
        <f>IF($AA$14&gt;0,IPMT('Assumptions (Coal)'!$V$6,Model!X1,'Assumptions (Coal)'!$V$9,'Assumptions (Coal)'!$V$4*Model!$AA$14*AVERAGE('Assumptions (Coal)'!$T$2:$Y$2)/10^9),0)</f>
        <v>0</v>
      </c>
      <c r="AC156" s="105">
        <f>IF($AA$14&gt;0,IPMT('Assumptions (Coal)'!$V$6,Model!Y1,'Assumptions (Coal)'!$V$9,'Assumptions (Coal)'!$V$4*Model!$AA$14*AVERAGE('Assumptions (Coal)'!$T$2:$Y$2)/10^9),0)</f>
        <v>0</v>
      </c>
      <c r="AD156" s="105">
        <f>IF($AA$14&gt;0,IPMT('Assumptions (Coal)'!$V$6,Model!Z1,'Assumptions (Coal)'!$V$9,'Assumptions (Coal)'!$V$4*Model!$AA$14*AVERAGE('Assumptions (Coal)'!$T$2:$Y$2)/10^9),0)</f>
        <v>0</v>
      </c>
      <c r="AE156" s="105">
        <f>IF($AA$14&gt;0,IPMT('Assumptions (Coal)'!$V$6,Model!AA1,'Assumptions (Coal)'!$V$9,'Assumptions (Coal)'!$V$4*Model!$AA$14*AVERAGE('Assumptions (Coal)'!$T$2:$Y$2)/10^9),0)</f>
        <v>0</v>
      </c>
      <c r="AF156" s="105">
        <f>IF($AA$14&gt;0,IPMT('Assumptions (Coal)'!$V$6,Model!AB1,'Assumptions (Coal)'!$V$9,'Assumptions (Coal)'!$V$4*Model!$AA$14*AVERAGE('Assumptions (Coal)'!$T$2:$Y$2)/10^9),0)</f>
        <v>0</v>
      </c>
      <c r="AG156" s="105">
        <f>IF($AA$14&gt;0,IPMT('Assumptions (Coal)'!$V$6,Model!AC1,'Assumptions (Coal)'!$V$9,'Assumptions (Coal)'!$V$4*Model!$AA$14*AVERAGE('Assumptions (Coal)'!$T$2:$Y$2)/10^9),0)</f>
        <v>0</v>
      </c>
      <c r="AH156" s="105">
        <f>IF($AA$14&gt;0,IPMT('Assumptions (Coal)'!$V$6,Model!AD1,'Assumptions (Coal)'!$V$9,'Assumptions (Coal)'!$V$4*Model!$AA$14*AVERAGE('Assumptions (Coal)'!$T$2:$Y$2)/10^9),0)</f>
        <v>0</v>
      </c>
      <c r="AI156" s="105">
        <f>IF($AA$14&gt;0,IPMT('Assumptions (Coal)'!$V$6,Model!AE1,'Assumptions (Coal)'!$V$9,'Assumptions (Coal)'!$V$4*Model!$AA$14*AVERAGE('Assumptions (Coal)'!$T$2:$Y$2)/10^9),0)</f>
        <v>0</v>
      </c>
      <c r="AJ156" s="105">
        <f>IF($AA$14&gt;0,IPMT('Assumptions (Coal)'!$V$6,Model!AF1,'Assumptions (Coal)'!$V$9,'Assumptions (Coal)'!$V$4*Model!$AA$14*AVERAGE('Assumptions (Coal)'!$T$2:$Y$2)/10^9),0)</f>
        <v>0</v>
      </c>
      <c r="AK156" s="105">
        <f>IF($AA$14&gt;0,IPMT('Assumptions (Coal)'!$V$6,Model!AG1,'Assumptions (Coal)'!$V$9,'Assumptions (Coal)'!$V$4*Model!$AA$14*AVERAGE('Assumptions (Coal)'!$T$2:$Y$2)/10^9),0)</f>
        <v>0</v>
      </c>
      <c r="AL156" s="105">
        <f>IF($AA$14&gt;0,IPMT('Assumptions (Coal)'!$V$6,Model!AH1,'Assumptions (Coal)'!$V$9,'Assumptions (Coal)'!$V$4*Model!$AA$14*AVERAGE('Assumptions (Coal)'!$T$2:$Y$2)/10^9),0)</f>
        <v>0</v>
      </c>
      <c r="AM156" s="105">
        <f>IF($AA$14&gt;0,IPMT('Assumptions (Coal)'!$V$6,Model!AI1,'Assumptions (Coal)'!$V$9,'Assumptions (Coal)'!$V$4*Model!$AA$14*AVERAGE('Assumptions (Coal)'!$T$2:$Y$2)/10^9),0)</f>
        <v>0</v>
      </c>
      <c r="AN156" s="105">
        <f>IF($AA$14&gt;0,IPMT('Assumptions (Coal)'!$V$6,Model!AJ1,'Assumptions (Coal)'!$V$9,'Assumptions (Coal)'!$V$4*Model!$AA$14*AVERAGE('Assumptions (Coal)'!$T$2:$Y$2)/10^9),0)</f>
        <v>0</v>
      </c>
      <c r="AO156" s="105">
        <f>IF($AA$14&gt;0,IPMT('Assumptions (Coal)'!$V$6,Model!AK1,'Assumptions (Coal)'!$V$9,'Assumptions (Coal)'!$V$4*Model!$AA$14*AVERAGE('Assumptions (Coal)'!$T$2:$Y$2)/10^9),0)</f>
        <v>0</v>
      </c>
      <c r="AP156" s="105"/>
      <c r="AQ156" s="105"/>
      <c r="AR156" s="105"/>
      <c r="AS156" s="105"/>
      <c r="AT156" s="105"/>
      <c r="AU156" s="105"/>
      <c r="AV156" s="105"/>
      <c r="AW156" s="105"/>
      <c r="AX156" s="105"/>
      <c r="AY156" s="105"/>
      <c r="AZ156" s="105"/>
      <c r="BA156" s="105"/>
    </row>
    <row r="157" spans="1:55" ht="15.75" hidden="1" customHeight="1" outlineLevel="1">
      <c r="A157" s="98"/>
      <c r="B157" s="99"/>
      <c r="C157" s="105"/>
      <c r="D157" s="105"/>
      <c r="E157" s="105"/>
      <c r="F157" s="105"/>
      <c r="G157" s="105"/>
      <c r="H157" s="105"/>
      <c r="I157" s="105"/>
      <c r="J157" s="105"/>
      <c r="K157" s="105"/>
      <c r="L157" s="105"/>
      <c r="M157" s="105"/>
      <c r="N157" s="105"/>
      <c r="O157" s="105"/>
      <c r="P157" s="105"/>
      <c r="Q157" s="105"/>
      <c r="R157" s="105"/>
      <c r="S157" s="105"/>
      <c r="T157" s="105"/>
      <c r="U157" s="105"/>
      <c r="V157" s="99"/>
      <c r="W157" s="105"/>
      <c r="X157" s="105"/>
      <c r="Y157" s="105"/>
      <c r="Z157" s="105"/>
      <c r="AA157" s="105"/>
      <c r="AB157" s="105">
        <f>IF($AB$14&gt;0,IPMT('Assumptions (Coal)'!$V$6,Model!W1,'Assumptions (Coal)'!$V$9,'Assumptions (Coal)'!$V$4*Model!$AB$14*AVERAGE('Assumptions (Coal)'!$U$2:$Z$2)/10^9),0)</f>
        <v>0</v>
      </c>
      <c r="AC157" s="105">
        <f>IF($AB$14&gt;0,IPMT('Assumptions (Coal)'!$V$6,Model!X1,'Assumptions (Coal)'!$V$9,'Assumptions (Coal)'!$V$4*Model!$AB$14*AVERAGE('Assumptions (Coal)'!$U$2:$Z$2)/10^9),0)</f>
        <v>0</v>
      </c>
      <c r="AD157" s="105">
        <f>IF($AB$14&gt;0,IPMT('Assumptions (Coal)'!$V$6,Model!Y1,'Assumptions (Coal)'!$V$9,'Assumptions (Coal)'!$V$4*Model!$AB$14*AVERAGE('Assumptions (Coal)'!$U$2:$Z$2)/10^9),0)</f>
        <v>0</v>
      </c>
      <c r="AE157" s="105">
        <f>IF($AB$14&gt;0,IPMT('Assumptions (Coal)'!$V$6,Model!Z1,'Assumptions (Coal)'!$V$9,'Assumptions (Coal)'!$V$4*Model!$AB$14*AVERAGE('Assumptions (Coal)'!$U$2:$Z$2)/10^9),0)</f>
        <v>0</v>
      </c>
      <c r="AF157" s="105">
        <f>IF($AB$14&gt;0,IPMT('Assumptions (Coal)'!$V$6,Model!AA1,'Assumptions (Coal)'!$V$9,'Assumptions (Coal)'!$V$4*Model!$AB$14*AVERAGE('Assumptions (Coal)'!$U$2:$Z$2)/10^9),0)</f>
        <v>0</v>
      </c>
      <c r="AG157" s="105">
        <f>IF($AB$14&gt;0,IPMT('Assumptions (Coal)'!$V$6,Model!AB1,'Assumptions (Coal)'!$V$9,'Assumptions (Coal)'!$V$4*Model!$AB$14*AVERAGE('Assumptions (Coal)'!$U$2:$Z$2)/10^9),0)</f>
        <v>0</v>
      </c>
      <c r="AH157" s="105">
        <f>IF($AB$14&gt;0,IPMT('Assumptions (Coal)'!$V$6,Model!AC1,'Assumptions (Coal)'!$V$9,'Assumptions (Coal)'!$V$4*Model!$AB$14*AVERAGE('Assumptions (Coal)'!$U$2:$Z$2)/10^9),0)</f>
        <v>0</v>
      </c>
      <c r="AI157" s="105">
        <f>IF($AB$14&gt;0,IPMT('Assumptions (Coal)'!$V$6,Model!AD1,'Assumptions (Coal)'!$V$9,'Assumptions (Coal)'!$V$4*Model!$AB$14*AVERAGE('Assumptions (Coal)'!$U$2:$Z$2)/10^9),0)</f>
        <v>0</v>
      </c>
      <c r="AJ157" s="105">
        <f>IF($AB$14&gt;0,IPMT('Assumptions (Coal)'!$V$6,Model!AE1,'Assumptions (Coal)'!$V$9,'Assumptions (Coal)'!$V$4*Model!$AB$14*AVERAGE('Assumptions (Coal)'!$U$2:$Z$2)/10^9),0)</f>
        <v>0</v>
      </c>
      <c r="AK157" s="105">
        <f>IF($AB$14&gt;0,IPMT('Assumptions (Coal)'!$V$6,Model!AF1,'Assumptions (Coal)'!$V$9,'Assumptions (Coal)'!$V$4*Model!$AB$14*AVERAGE('Assumptions (Coal)'!$U$2:$Z$2)/10^9),0)</f>
        <v>0</v>
      </c>
      <c r="AL157" s="105">
        <f>IF($AB$14&gt;0,IPMT('Assumptions (Coal)'!$V$6,Model!AG1,'Assumptions (Coal)'!$V$9,'Assumptions (Coal)'!$V$4*Model!$AB$14*AVERAGE('Assumptions (Coal)'!$U$2:$Z$2)/10^9),0)</f>
        <v>0</v>
      </c>
      <c r="AM157" s="105">
        <f>IF($AB$14&gt;0,IPMT('Assumptions (Coal)'!$V$6,Model!AH1,'Assumptions (Coal)'!$V$9,'Assumptions (Coal)'!$V$4*Model!$AB$14*AVERAGE('Assumptions (Coal)'!$U$2:$Z$2)/10^9),0)</f>
        <v>0</v>
      </c>
      <c r="AN157" s="105">
        <f>IF($AB$14&gt;0,IPMT('Assumptions (Coal)'!$V$6,Model!AI1,'Assumptions (Coal)'!$V$9,'Assumptions (Coal)'!$V$4*Model!$AB$14*AVERAGE('Assumptions (Coal)'!$U$2:$Z$2)/10^9),0)</f>
        <v>0</v>
      </c>
      <c r="AO157" s="105">
        <f>IF($AB$14&gt;0,IPMT('Assumptions (Coal)'!$V$6,Model!AJ1,'Assumptions (Coal)'!$V$9,'Assumptions (Coal)'!$V$4*Model!$AB$14*AVERAGE('Assumptions (Coal)'!$U$2:$Z$2)/10^9),0)</f>
        <v>0</v>
      </c>
      <c r="AP157" s="105">
        <f>IF($AB$14&gt;0,IPMT('Assumptions (Coal)'!$V$6,Model!AK1,'Assumptions (Coal)'!$V$9,'Assumptions (Coal)'!$V$4*Model!$AB$14*AVERAGE('Assumptions (Coal)'!$U$2:$Z$2)/10^9),0)</f>
        <v>0</v>
      </c>
      <c r="AQ157" s="105"/>
      <c r="AR157" s="105"/>
      <c r="AS157" s="105"/>
      <c r="AT157" s="105"/>
      <c r="AU157" s="105"/>
      <c r="AV157" s="105"/>
      <c r="AW157" s="105"/>
      <c r="AX157" s="105"/>
      <c r="AY157" s="105"/>
      <c r="AZ157" s="105"/>
      <c r="BA157" s="105"/>
    </row>
    <row r="158" spans="1:55" ht="15.75" hidden="1" customHeight="1" outlineLevel="1">
      <c r="A158" s="98"/>
      <c r="B158" s="99"/>
      <c r="C158" s="105"/>
      <c r="D158" s="105"/>
      <c r="E158" s="105"/>
      <c r="F158" s="105"/>
      <c r="G158" s="105"/>
      <c r="H158" s="105"/>
      <c r="I158" s="105"/>
      <c r="J158" s="105"/>
      <c r="K158" s="105"/>
      <c r="L158" s="105"/>
      <c r="M158" s="105"/>
      <c r="N158" s="105"/>
      <c r="O158" s="105"/>
      <c r="P158" s="105"/>
      <c r="Q158" s="105"/>
      <c r="R158" s="105"/>
      <c r="S158" s="105"/>
      <c r="T158" s="105"/>
      <c r="U158" s="105"/>
      <c r="V158" s="99"/>
      <c r="W158" s="105"/>
      <c r="X158" s="105"/>
      <c r="Y158" s="105"/>
      <c r="Z158" s="105"/>
      <c r="AA158" s="105"/>
      <c r="AB158" s="105"/>
      <c r="AC158" s="105">
        <f>IF($AC$14&gt;0,IPMT('Assumptions (Coal)'!$V$6,Model!W1,'Assumptions (Coal)'!$V$9,'Assumptions (Coal)'!$V$4*Model!$AC$14*AVERAGE('Assumptions (Coal)'!$V$2:$AA$2)/10^9),0)</f>
        <v>0</v>
      </c>
      <c r="AD158" s="105">
        <f>IF($AC$14&gt;0,IPMT('Assumptions (Coal)'!$V$6,Model!X1,'Assumptions (Coal)'!$V$9,'Assumptions (Coal)'!$V$4*Model!$AC$14*AVERAGE('Assumptions (Coal)'!$V$2:$AA$2)/10^9),0)</f>
        <v>0</v>
      </c>
      <c r="AE158" s="105">
        <f>IF($AC$14&gt;0,IPMT('Assumptions (Coal)'!$V$6,Model!Y1,'Assumptions (Coal)'!$V$9,'Assumptions (Coal)'!$V$4*Model!$AC$14*AVERAGE('Assumptions (Coal)'!$V$2:$AA$2)/10^9),0)</f>
        <v>0</v>
      </c>
      <c r="AF158" s="105">
        <f>IF($AC$14&gt;0,IPMT('Assumptions (Coal)'!$V$6,Model!Z1,'Assumptions (Coal)'!$V$9,'Assumptions (Coal)'!$V$4*Model!$AC$14*AVERAGE('Assumptions (Coal)'!$V$2:$AA$2)/10^9),0)</f>
        <v>0</v>
      </c>
      <c r="AG158" s="105">
        <f>IF($AC$14&gt;0,IPMT('Assumptions (Coal)'!$V$6,Model!AA1,'Assumptions (Coal)'!$V$9,'Assumptions (Coal)'!$V$4*Model!$AC$14*AVERAGE('Assumptions (Coal)'!$V$2:$AA$2)/10^9),0)</f>
        <v>0</v>
      </c>
      <c r="AH158" s="105">
        <f>IF($AC$14&gt;0,IPMT('Assumptions (Coal)'!$V$6,Model!AB1,'Assumptions (Coal)'!$V$9,'Assumptions (Coal)'!$V$4*Model!$AC$14*AVERAGE('Assumptions (Coal)'!$V$2:$AA$2)/10^9),0)</f>
        <v>0</v>
      </c>
      <c r="AI158" s="105">
        <f>IF($AC$14&gt;0,IPMT('Assumptions (Coal)'!$V$6,Model!AC1,'Assumptions (Coal)'!$V$9,'Assumptions (Coal)'!$V$4*Model!$AC$14*AVERAGE('Assumptions (Coal)'!$V$2:$AA$2)/10^9),0)</f>
        <v>0</v>
      </c>
      <c r="AJ158" s="105">
        <f>IF($AC$14&gt;0,IPMT('Assumptions (Coal)'!$V$6,Model!AD1,'Assumptions (Coal)'!$V$9,'Assumptions (Coal)'!$V$4*Model!$AC$14*AVERAGE('Assumptions (Coal)'!$V$2:$AA$2)/10^9),0)</f>
        <v>0</v>
      </c>
      <c r="AK158" s="105">
        <f>IF($AC$14&gt;0,IPMT('Assumptions (Coal)'!$V$6,Model!AE1,'Assumptions (Coal)'!$V$9,'Assumptions (Coal)'!$V$4*Model!$AC$14*AVERAGE('Assumptions (Coal)'!$V$2:$AA$2)/10^9),0)</f>
        <v>0</v>
      </c>
      <c r="AL158" s="105">
        <f>IF($AC$14&gt;0,IPMT('Assumptions (Coal)'!$V$6,Model!AF1,'Assumptions (Coal)'!$V$9,'Assumptions (Coal)'!$V$4*Model!$AC$14*AVERAGE('Assumptions (Coal)'!$V$2:$AA$2)/10^9),0)</f>
        <v>0</v>
      </c>
      <c r="AM158" s="105">
        <f>IF($AC$14&gt;0,IPMT('Assumptions (Coal)'!$V$6,Model!AG1,'Assumptions (Coal)'!$V$9,'Assumptions (Coal)'!$V$4*Model!$AC$14*AVERAGE('Assumptions (Coal)'!$V$2:$AA$2)/10^9),0)</f>
        <v>0</v>
      </c>
      <c r="AN158" s="105">
        <f>IF($AC$14&gt;0,IPMT('Assumptions (Coal)'!$V$6,Model!AH1,'Assumptions (Coal)'!$V$9,'Assumptions (Coal)'!$V$4*Model!$AC$14*AVERAGE('Assumptions (Coal)'!$V$2:$AA$2)/10^9),0)</f>
        <v>0</v>
      </c>
      <c r="AO158" s="105">
        <f>IF($AC$14&gt;0,IPMT('Assumptions (Coal)'!$V$6,Model!AI1,'Assumptions (Coal)'!$V$9,'Assumptions (Coal)'!$V$4*Model!$AC$14*AVERAGE('Assumptions (Coal)'!$V$2:$AA$2)/10^9),0)</f>
        <v>0</v>
      </c>
      <c r="AP158" s="105">
        <f>IF($AC$14&gt;0,IPMT('Assumptions (Coal)'!$V$6,Model!AJ1,'Assumptions (Coal)'!$V$9,'Assumptions (Coal)'!$V$4*Model!$AC$14*AVERAGE('Assumptions (Coal)'!$V$2:$AA$2)/10^9),0)</f>
        <v>0</v>
      </c>
      <c r="AQ158" s="105">
        <f>IF($AC$14&gt;0,IPMT('Assumptions (Coal)'!$V$6,Model!AK1,'Assumptions (Coal)'!$V$9,'Assumptions (Coal)'!$V$4*Model!$AC$14*AVERAGE('Assumptions (Coal)'!$V$2:$AA$2)/10^9),0)</f>
        <v>0</v>
      </c>
      <c r="AR158" s="105"/>
      <c r="AS158" s="105"/>
      <c r="AT158" s="105"/>
      <c r="AU158" s="105"/>
      <c r="AV158" s="105"/>
      <c r="AW158" s="105"/>
      <c r="AX158" s="105"/>
      <c r="AY158" s="105"/>
      <c r="AZ158" s="105"/>
      <c r="BA158" s="105"/>
    </row>
    <row r="159" spans="1:55" ht="15.75" hidden="1" customHeight="1" outlineLevel="1">
      <c r="A159" s="98"/>
      <c r="B159" s="99"/>
      <c r="C159" s="105"/>
      <c r="D159" s="105"/>
      <c r="E159" s="105"/>
      <c r="F159" s="105"/>
      <c r="G159" s="105"/>
      <c r="H159" s="105"/>
      <c r="I159" s="105"/>
      <c r="J159" s="105"/>
      <c r="K159" s="105"/>
      <c r="L159" s="105"/>
      <c r="M159" s="105"/>
      <c r="N159" s="105"/>
      <c r="O159" s="105"/>
      <c r="P159" s="105"/>
      <c r="Q159" s="105"/>
      <c r="R159" s="105"/>
      <c r="S159" s="105"/>
      <c r="T159" s="105"/>
      <c r="U159" s="105"/>
      <c r="V159" s="99"/>
      <c r="W159" s="105"/>
      <c r="X159" s="105"/>
      <c r="Y159" s="105"/>
      <c r="Z159" s="105"/>
      <c r="AA159" s="105"/>
      <c r="AB159" s="105"/>
      <c r="AC159" s="105"/>
      <c r="AD159" s="105">
        <f>IF($AD$14&gt;0,IPMT('Assumptions (Coal)'!$V$6,Model!W1,'Assumptions (Coal)'!$V$9,'Assumptions (Coal)'!$V$4*Model!$AD$14*AVERAGE('Assumptions (Coal)'!$W$2:$AB$2)/10^9),0)</f>
        <v>0</v>
      </c>
      <c r="AE159" s="105">
        <f>IF($AD$14&gt;0,IPMT('Assumptions (Coal)'!$V$6,Model!X1,'Assumptions (Coal)'!$V$9,'Assumptions (Coal)'!$V$4*Model!$AD$14*AVERAGE('Assumptions (Coal)'!$W$2:$AB$2)/10^9),0)</f>
        <v>0</v>
      </c>
      <c r="AF159" s="105">
        <f>IF($AD$14&gt;0,IPMT('Assumptions (Coal)'!$V$6,Model!Y1,'Assumptions (Coal)'!$V$9,'Assumptions (Coal)'!$V$4*Model!$AD$14*AVERAGE('Assumptions (Coal)'!$W$2:$AB$2)/10^9),0)</f>
        <v>0</v>
      </c>
      <c r="AG159" s="105">
        <f>IF($AD$14&gt;0,IPMT('Assumptions (Coal)'!$V$6,Model!Z1,'Assumptions (Coal)'!$V$9,'Assumptions (Coal)'!$V$4*Model!$AD$14*AVERAGE('Assumptions (Coal)'!$W$2:$AB$2)/10^9),0)</f>
        <v>0</v>
      </c>
      <c r="AH159" s="105">
        <f>IF($AD$14&gt;0,IPMT('Assumptions (Coal)'!$V$6,Model!AA1,'Assumptions (Coal)'!$V$9,'Assumptions (Coal)'!$V$4*Model!$AD$14*AVERAGE('Assumptions (Coal)'!$W$2:$AB$2)/10^9),0)</f>
        <v>0</v>
      </c>
      <c r="AI159" s="105">
        <f>IF($AD$14&gt;0,IPMT('Assumptions (Coal)'!$V$6,Model!AB1,'Assumptions (Coal)'!$V$9,'Assumptions (Coal)'!$V$4*Model!$AD$14*AVERAGE('Assumptions (Coal)'!$W$2:$AB$2)/10^9),0)</f>
        <v>0</v>
      </c>
      <c r="AJ159" s="105">
        <f>IF($AD$14&gt;0,IPMT('Assumptions (Coal)'!$V$6,Model!AC1,'Assumptions (Coal)'!$V$9,'Assumptions (Coal)'!$V$4*Model!$AD$14*AVERAGE('Assumptions (Coal)'!$W$2:$AB$2)/10^9),0)</f>
        <v>0</v>
      </c>
      <c r="AK159" s="105">
        <f>IF($AD$14&gt;0,IPMT('Assumptions (Coal)'!$V$6,Model!AD1,'Assumptions (Coal)'!$V$9,'Assumptions (Coal)'!$V$4*Model!$AD$14*AVERAGE('Assumptions (Coal)'!$W$2:$AB$2)/10^9),0)</f>
        <v>0</v>
      </c>
      <c r="AL159" s="105">
        <f>IF($AD$14&gt;0,IPMT('Assumptions (Coal)'!$V$6,Model!AE1,'Assumptions (Coal)'!$V$9,'Assumptions (Coal)'!$V$4*Model!$AD$14*AVERAGE('Assumptions (Coal)'!$W$2:$AB$2)/10^9),0)</f>
        <v>0</v>
      </c>
      <c r="AM159" s="105">
        <f>IF($AD$14&gt;0,IPMT('Assumptions (Coal)'!$V$6,Model!AF1,'Assumptions (Coal)'!$V$9,'Assumptions (Coal)'!$V$4*Model!$AD$14*AVERAGE('Assumptions (Coal)'!$W$2:$AB$2)/10^9),0)</f>
        <v>0</v>
      </c>
      <c r="AN159" s="105">
        <f>IF($AD$14&gt;0,IPMT('Assumptions (Coal)'!$V$6,Model!AG1,'Assumptions (Coal)'!$V$9,'Assumptions (Coal)'!$V$4*Model!$AD$14*AVERAGE('Assumptions (Coal)'!$W$2:$AB$2)/10^9),0)</f>
        <v>0</v>
      </c>
      <c r="AO159" s="105">
        <f>IF($AD$14&gt;0,IPMT('Assumptions (Coal)'!$V$6,Model!AH1,'Assumptions (Coal)'!$V$9,'Assumptions (Coal)'!$V$4*Model!$AD$14*AVERAGE('Assumptions (Coal)'!$W$2:$AB$2)/10^9),0)</f>
        <v>0</v>
      </c>
      <c r="AP159" s="105">
        <f>IF($AD$14&gt;0,IPMT('Assumptions (Coal)'!$V$6,Model!AI1,'Assumptions (Coal)'!$V$9,'Assumptions (Coal)'!$V$4*Model!$AD$14*AVERAGE('Assumptions (Coal)'!$W$2:$AB$2)/10^9),0)</f>
        <v>0</v>
      </c>
      <c r="AQ159" s="105">
        <f>IF($AD$14&gt;0,IPMT('Assumptions (Coal)'!$V$6,Model!AJ1,'Assumptions (Coal)'!$V$9,'Assumptions (Coal)'!$V$4*Model!$AD$14*AVERAGE('Assumptions (Coal)'!$W$2:$AB$2)/10^9),0)</f>
        <v>0</v>
      </c>
      <c r="AR159" s="105">
        <f>IF($AD$14&gt;0,IPMT('Assumptions (Coal)'!$V$6,Model!AK1,'Assumptions (Coal)'!$V$9,'Assumptions (Coal)'!$V$4*Model!$AD$14*AVERAGE('Assumptions (Coal)'!$W$2:$AB$2)/10^9),0)</f>
        <v>0</v>
      </c>
      <c r="AS159" s="105"/>
      <c r="AT159" s="105"/>
      <c r="AU159" s="105"/>
      <c r="AV159" s="105"/>
      <c r="AW159" s="105"/>
      <c r="AX159" s="105"/>
      <c r="AY159" s="105"/>
      <c r="AZ159" s="105"/>
      <c r="BA159" s="105"/>
      <c r="BB159" s="105"/>
    </row>
    <row r="160" spans="1:55" ht="15.75" hidden="1" customHeight="1" outlineLevel="1">
      <c r="A160" s="98"/>
      <c r="B160" s="99"/>
      <c r="C160" s="105"/>
      <c r="D160" s="105"/>
      <c r="E160" s="105"/>
      <c r="F160" s="105"/>
      <c r="G160" s="105"/>
      <c r="H160" s="105"/>
      <c r="I160" s="105"/>
      <c r="J160" s="105"/>
      <c r="K160" s="105"/>
      <c r="L160" s="105"/>
      <c r="M160" s="105"/>
      <c r="N160" s="105"/>
      <c r="O160" s="105"/>
      <c r="P160" s="105"/>
      <c r="Q160" s="105"/>
      <c r="R160" s="105"/>
      <c r="S160" s="105"/>
      <c r="T160" s="105"/>
      <c r="U160" s="105"/>
      <c r="V160" s="99"/>
      <c r="W160" s="105"/>
      <c r="X160" s="105"/>
      <c r="Y160" s="105"/>
      <c r="Z160" s="105"/>
      <c r="AA160" s="105"/>
      <c r="AB160" s="105"/>
      <c r="AC160" s="105"/>
      <c r="AD160" s="105"/>
      <c r="AE160" s="105">
        <f>IF($AE$14&gt;0,IPMT('Assumptions (Coal)'!$V$6,Model!W1,'Assumptions (Coal)'!$V$9,'Assumptions (Coal)'!$V$4*Model!$AE$14*AVERAGE('Assumptions (Coal)'!$X$2:$AC$2)/10^9),0)</f>
        <v>0</v>
      </c>
      <c r="AF160" s="105">
        <f>IF($AE$14&gt;0,IPMT('Assumptions (Coal)'!$V$6,Model!X1,'Assumptions (Coal)'!$V$9,'Assumptions (Coal)'!$V$4*Model!$AE$14*AVERAGE('Assumptions (Coal)'!$X$2:$AC$2)/10^9),0)</f>
        <v>0</v>
      </c>
      <c r="AG160" s="105">
        <f>IF($AE$14&gt;0,IPMT('Assumptions (Coal)'!$V$6,Model!Y1,'Assumptions (Coal)'!$V$9,'Assumptions (Coal)'!$V$4*Model!$AE$14*AVERAGE('Assumptions (Coal)'!$X$2:$AC$2)/10^9),0)</f>
        <v>0</v>
      </c>
      <c r="AH160" s="105">
        <f>IF($AE$14&gt;0,IPMT('Assumptions (Coal)'!$V$6,Model!Z1,'Assumptions (Coal)'!$V$9,'Assumptions (Coal)'!$V$4*Model!$AE$14*AVERAGE('Assumptions (Coal)'!$X$2:$AC$2)/10^9),0)</f>
        <v>0</v>
      </c>
      <c r="AI160" s="105">
        <f>IF($AE$14&gt;0,IPMT('Assumptions (Coal)'!$V$6,Model!AA1,'Assumptions (Coal)'!$V$9,'Assumptions (Coal)'!$V$4*Model!$AE$14*AVERAGE('Assumptions (Coal)'!$X$2:$AC$2)/10^9),0)</f>
        <v>0</v>
      </c>
      <c r="AJ160" s="105">
        <f>IF($AE$14&gt;0,IPMT('Assumptions (Coal)'!$V$6,Model!AB1,'Assumptions (Coal)'!$V$9,'Assumptions (Coal)'!$V$4*Model!$AE$14*AVERAGE('Assumptions (Coal)'!$X$2:$AC$2)/10^9),0)</f>
        <v>0</v>
      </c>
      <c r="AK160" s="105">
        <f>IF($AE$14&gt;0,IPMT('Assumptions (Coal)'!$V$6,Model!AC1,'Assumptions (Coal)'!$V$9,'Assumptions (Coal)'!$V$4*Model!$AE$14*AVERAGE('Assumptions (Coal)'!$X$2:$AC$2)/10^9),0)</f>
        <v>0</v>
      </c>
      <c r="AL160" s="105">
        <f>IF($AE$14&gt;0,IPMT('Assumptions (Coal)'!$V$6,Model!AD1,'Assumptions (Coal)'!$V$9,'Assumptions (Coal)'!$V$4*Model!$AE$14*AVERAGE('Assumptions (Coal)'!$X$2:$AC$2)/10^9),0)</f>
        <v>0</v>
      </c>
      <c r="AM160" s="105">
        <f>IF($AE$14&gt;0,IPMT('Assumptions (Coal)'!$V$6,Model!AE1,'Assumptions (Coal)'!$V$9,'Assumptions (Coal)'!$V$4*Model!$AE$14*AVERAGE('Assumptions (Coal)'!$X$2:$AC$2)/10^9),0)</f>
        <v>0</v>
      </c>
      <c r="AN160" s="105">
        <f>IF($AE$14&gt;0,IPMT('Assumptions (Coal)'!$V$6,Model!AF1,'Assumptions (Coal)'!$V$9,'Assumptions (Coal)'!$V$4*Model!$AE$14*AVERAGE('Assumptions (Coal)'!$X$2:$AC$2)/10^9),0)</f>
        <v>0</v>
      </c>
      <c r="AO160" s="105">
        <f>IF($AE$14&gt;0,IPMT('Assumptions (Coal)'!$V$6,Model!AG1,'Assumptions (Coal)'!$V$9,'Assumptions (Coal)'!$V$4*Model!$AE$14*AVERAGE('Assumptions (Coal)'!$X$2:$AC$2)/10^9),0)</f>
        <v>0</v>
      </c>
      <c r="AP160" s="105">
        <f>IF($AE$14&gt;0,IPMT('Assumptions (Coal)'!$V$6,Model!AH1,'Assumptions (Coal)'!$V$9,'Assumptions (Coal)'!$V$4*Model!$AE$14*AVERAGE('Assumptions (Coal)'!$X$2:$AC$2)/10^9),0)</f>
        <v>0</v>
      </c>
      <c r="AQ160" s="105">
        <f>IF($AE$14&gt;0,IPMT('Assumptions (Coal)'!$V$6,Model!AI1,'Assumptions (Coal)'!$V$9,'Assumptions (Coal)'!$V$4*Model!$AE$14*AVERAGE('Assumptions (Coal)'!$X$2:$AC$2)/10^9),0)</f>
        <v>0</v>
      </c>
      <c r="AR160" s="105">
        <f>IF($AE$14&gt;0,IPMT('Assumptions (Coal)'!$V$6,Model!AJ1,'Assumptions (Coal)'!$V$9,'Assumptions (Coal)'!$V$4*Model!$AE$14*AVERAGE('Assumptions (Coal)'!$X$2:$AC$2)/10^9),0)</f>
        <v>0</v>
      </c>
      <c r="AS160" s="105">
        <f>IF($AE$14&gt;0,IPMT('Assumptions (Coal)'!$V$6,Model!AK1,'Assumptions (Coal)'!$V$9,'Assumptions (Coal)'!$V$4*Model!$AE$14*AVERAGE('Assumptions (Coal)'!$X$2:$AC$2)/10^9),0)</f>
        <v>0</v>
      </c>
      <c r="AT160" s="105"/>
      <c r="AU160" s="105"/>
      <c r="AV160" s="105"/>
      <c r="AW160" s="105"/>
      <c r="AX160" s="105"/>
      <c r="AY160" s="105"/>
      <c r="AZ160" s="105"/>
      <c r="BA160" s="105"/>
      <c r="BB160" s="105"/>
      <c r="BC160" s="105"/>
    </row>
    <row r="161" spans="1:67" ht="15.75" hidden="1" customHeight="1" outlineLevel="1">
      <c r="A161" s="98"/>
      <c r="B161" s="99"/>
      <c r="C161" s="105"/>
      <c r="D161" s="105"/>
      <c r="E161" s="105"/>
      <c r="F161" s="105"/>
      <c r="G161" s="105"/>
      <c r="H161" s="105"/>
      <c r="I161" s="105"/>
      <c r="J161" s="105"/>
      <c r="K161" s="105"/>
      <c r="L161" s="105"/>
      <c r="M161" s="105"/>
      <c r="N161" s="105"/>
      <c r="O161" s="105"/>
      <c r="P161" s="105"/>
      <c r="Q161" s="105"/>
      <c r="R161" s="105"/>
      <c r="S161" s="105"/>
      <c r="T161" s="105"/>
      <c r="U161" s="105"/>
      <c r="V161" s="99"/>
      <c r="W161" s="105"/>
      <c r="X161" s="105"/>
      <c r="Y161" s="105"/>
      <c r="Z161" s="105"/>
      <c r="AA161" s="105"/>
      <c r="AB161" s="105"/>
      <c r="AC161" s="105"/>
      <c r="AD161" s="105"/>
      <c r="AE161" s="105"/>
      <c r="AF161" s="105">
        <f>IF($AF$14&gt;0,IPMT('Assumptions (Coal)'!$V$6,Model!W1,'Assumptions (Coal)'!$V$9,'Assumptions (Coal)'!$V$4*Model!$AF$14*AVERAGE('Assumptions (Coal)'!$Y$2:$AD$2)/10^9),0)</f>
        <v>0</v>
      </c>
      <c r="AG161" s="105">
        <f>IF($AF$14&gt;0,IPMT('Assumptions (Coal)'!$V$6,Model!X1,'Assumptions (Coal)'!$V$9,'Assumptions (Coal)'!$V$4*Model!$AF$14*AVERAGE('Assumptions (Coal)'!$Y$2:$AD$2)/10^9),0)</f>
        <v>0</v>
      </c>
      <c r="AH161" s="105">
        <f>IF($AF$14&gt;0,IPMT('Assumptions (Coal)'!$V$6,Model!Y1,'Assumptions (Coal)'!$V$9,'Assumptions (Coal)'!$V$4*Model!$AF$14*AVERAGE('Assumptions (Coal)'!$Y$2:$AD$2)/10^9),0)</f>
        <v>0</v>
      </c>
      <c r="AI161" s="105">
        <f>IF($AF$14&gt;0,IPMT('Assumptions (Coal)'!$V$6,Model!Z1,'Assumptions (Coal)'!$V$9,'Assumptions (Coal)'!$V$4*Model!$AF$14*AVERAGE('Assumptions (Coal)'!$Y$2:$AD$2)/10^9),0)</f>
        <v>0</v>
      </c>
      <c r="AJ161" s="105">
        <f>IF($AF$14&gt;0,IPMT('Assumptions (Coal)'!$V$6,Model!AA1,'Assumptions (Coal)'!$V$9,'Assumptions (Coal)'!$V$4*Model!$AF$14*AVERAGE('Assumptions (Coal)'!$Y$2:$AD$2)/10^9),0)</f>
        <v>0</v>
      </c>
      <c r="AK161" s="105">
        <f>IF($AF$14&gt;0,IPMT('Assumptions (Coal)'!$V$6,Model!AB1,'Assumptions (Coal)'!$V$9,'Assumptions (Coal)'!$V$4*Model!$AF$14*AVERAGE('Assumptions (Coal)'!$Y$2:$AD$2)/10^9),0)</f>
        <v>0</v>
      </c>
      <c r="AL161" s="105">
        <f>IF($AF$14&gt;0,IPMT('Assumptions (Coal)'!$V$6,Model!AC1,'Assumptions (Coal)'!$V$9,'Assumptions (Coal)'!$V$4*Model!$AF$14*AVERAGE('Assumptions (Coal)'!$Y$2:$AD$2)/10^9),0)</f>
        <v>0</v>
      </c>
      <c r="AM161" s="105">
        <f>IF($AF$14&gt;0,IPMT('Assumptions (Coal)'!$V$6,Model!AD1,'Assumptions (Coal)'!$V$9,'Assumptions (Coal)'!$V$4*Model!$AF$14*AVERAGE('Assumptions (Coal)'!$Y$2:$AD$2)/10^9),0)</f>
        <v>0</v>
      </c>
      <c r="AN161" s="105">
        <f>IF($AF$14&gt;0,IPMT('Assumptions (Coal)'!$V$6,Model!AE1,'Assumptions (Coal)'!$V$9,'Assumptions (Coal)'!$V$4*Model!$AF$14*AVERAGE('Assumptions (Coal)'!$Y$2:$AD$2)/10^9),0)</f>
        <v>0</v>
      </c>
      <c r="AO161" s="105">
        <f>IF($AF$14&gt;0,IPMT('Assumptions (Coal)'!$V$6,Model!AF1,'Assumptions (Coal)'!$V$9,'Assumptions (Coal)'!$V$4*Model!$AF$14*AVERAGE('Assumptions (Coal)'!$Y$2:$AD$2)/10^9),0)</f>
        <v>0</v>
      </c>
      <c r="AP161" s="105">
        <f>IF($AF$14&gt;0,IPMT('Assumptions (Coal)'!$V$6,Model!AG1,'Assumptions (Coal)'!$V$9,'Assumptions (Coal)'!$V$4*Model!$AF$14*AVERAGE('Assumptions (Coal)'!$Y$2:$AD$2)/10^9),0)</f>
        <v>0</v>
      </c>
      <c r="AQ161" s="105">
        <f>IF($AF$14&gt;0,IPMT('Assumptions (Coal)'!$V$6,Model!AH1,'Assumptions (Coal)'!$V$9,'Assumptions (Coal)'!$V$4*Model!$AF$14*AVERAGE('Assumptions (Coal)'!$Y$2:$AD$2)/10^9),0)</f>
        <v>0</v>
      </c>
      <c r="AR161" s="105">
        <f>IF($AF$14&gt;0,IPMT('Assumptions (Coal)'!$V$6,Model!AI1,'Assumptions (Coal)'!$V$9,'Assumptions (Coal)'!$V$4*Model!$AF$14*AVERAGE('Assumptions (Coal)'!$Y$2:$AD$2)/10^9),0)</f>
        <v>0</v>
      </c>
      <c r="AS161" s="105">
        <f>IF($AF$14&gt;0,IPMT('Assumptions (Coal)'!$V$6,Model!AJ1,'Assumptions (Coal)'!$V$9,'Assumptions (Coal)'!$V$4*Model!$AF$14*AVERAGE('Assumptions (Coal)'!$Y$2:$AD$2)/10^9),0)</f>
        <v>0</v>
      </c>
      <c r="AT161" s="105">
        <f>IF($AF$14&gt;0,IPMT('Assumptions (Coal)'!$V$6,Model!AK1,'Assumptions (Coal)'!$V$9,'Assumptions (Coal)'!$V$4*Model!$AF$14*AVERAGE('Assumptions (Coal)'!$Y$2:$AD$2)/10^9),0)</f>
        <v>0</v>
      </c>
      <c r="AU161" s="105"/>
      <c r="AV161" s="105"/>
      <c r="AW161" s="105"/>
      <c r="AX161" s="105"/>
      <c r="AY161" s="105"/>
      <c r="AZ161" s="105"/>
      <c r="BA161" s="105"/>
      <c r="BB161" s="105"/>
      <c r="BC161" s="105"/>
      <c r="BD161" s="105"/>
    </row>
    <row r="162" spans="1:67" ht="15.75" hidden="1" customHeight="1" outlineLevel="1">
      <c r="A162" s="98"/>
      <c r="B162" s="99"/>
      <c r="C162" s="105"/>
      <c r="D162" s="105"/>
      <c r="E162" s="105"/>
      <c r="F162" s="105"/>
      <c r="G162" s="105"/>
      <c r="H162" s="105"/>
      <c r="I162" s="105"/>
      <c r="J162" s="105"/>
      <c r="K162" s="105"/>
      <c r="L162" s="105"/>
      <c r="M162" s="105"/>
      <c r="N162" s="105"/>
      <c r="O162" s="105"/>
      <c r="P162" s="105"/>
      <c r="Q162" s="105"/>
      <c r="R162" s="105"/>
      <c r="S162" s="105"/>
      <c r="T162" s="105"/>
      <c r="U162" s="105"/>
      <c r="V162" s="99"/>
      <c r="W162" s="105"/>
      <c r="X162" s="105"/>
      <c r="Y162" s="105"/>
      <c r="Z162" s="105"/>
      <c r="AA162" s="105"/>
      <c r="AB162" s="105"/>
      <c r="AC162" s="105"/>
      <c r="AD162" s="105"/>
      <c r="AE162" s="105"/>
      <c r="AF162" s="105"/>
      <c r="AG162" s="105">
        <f>IF($AG$14&gt;0,IPMT('Assumptions (Coal)'!$V$6,Model!W1,'Assumptions (Coal)'!$V$9,'Assumptions (Coal)'!$V$4*Model!$AG$14*AVERAGE('Assumptions (Coal)'!$Z$2:$AE$2)/10^9),0)</f>
        <v>0</v>
      </c>
      <c r="AH162" s="105">
        <f>IF($AG$14&gt;0,IPMT('Assumptions (Coal)'!$V$6,Model!X1,'Assumptions (Coal)'!$V$9,'Assumptions (Coal)'!$V$4*Model!$AG$14*AVERAGE('Assumptions (Coal)'!$Z$2:$AE$2)/10^9),0)</f>
        <v>0</v>
      </c>
      <c r="AI162" s="105">
        <f>IF($AG$14&gt;0,IPMT('Assumptions (Coal)'!$V$6,Model!Y1,'Assumptions (Coal)'!$V$9,'Assumptions (Coal)'!$V$4*Model!$AG$14*AVERAGE('Assumptions (Coal)'!$Z$2:$AE$2)/10^9),0)</f>
        <v>0</v>
      </c>
      <c r="AJ162" s="105">
        <f>IF($AG$14&gt;0,IPMT('Assumptions (Coal)'!$V$6,Model!Z1,'Assumptions (Coal)'!$V$9,'Assumptions (Coal)'!$V$4*Model!$AG$14*AVERAGE('Assumptions (Coal)'!$Z$2:$AE$2)/10^9),0)</f>
        <v>0</v>
      </c>
      <c r="AK162" s="105">
        <f>IF($AG$14&gt;0,IPMT('Assumptions (Coal)'!$V$6,Model!AA1,'Assumptions (Coal)'!$V$9,'Assumptions (Coal)'!$V$4*Model!$AG$14*AVERAGE('Assumptions (Coal)'!$Z$2:$AE$2)/10^9),0)</f>
        <v>0</v>
      </c>
      <c r="AL162" s="105">
        <f>IF($AG$14&gt;0,IPMT('Assumptions (Coal)'!$V$6,Model!AB1,'Assumptions (Coal)'!$V$9,'Assumptions (Coal)'!$V$4*Model!$AG$14*AVERAGE('Assumptions (Coal)'!$Z$2:$AE$2)/10^9),0)</f>
        <v>0</v>
      </c>
      <c r="AM162" s="105">
        <f>IF($AG$14&gt;0,IPMT('Assumptions (Coal)'!$V$6,Model!AC1,'Assumptions (Coal)'!$V$9,'Assumptions (Coal)'!$V$4*Model!$AG$14*AVERAGE('Assumptions (Coal)'!$Z$2:$AE$2)/10^9),0)</f>
        <v>0</v>
      </c>
      <c r="AN162" s="105">
        <f>IF($AG$14&gt;0,IPMT('Assumptions (Coal)'!$V$6,Model!AD1,'Assumptions (Coal)'!$V$9,'Assumptions (Coal)'!$V$4*Model!$AG$14*AVERAGE('Assumptions (Coal)'!$Z$2:$AE$2)/10^9),0)</f>
        <v>0</v>
      </c>
      <c r="AO162" s="105">
        <f>IF($AG$14&gt;0,IPMT('Assumptions (Coal)'!$V$6,Model!AE1,'Assumptions (Coal)'!$V$9,'Assumptions (Coal)'!$V$4*Model!$AG$14*AVERAGE('Assumptions (Coal)'!$Z$2:$AE$2)/10^9),0)</f>
        <v>0</v>
      </c>
      <c r="AP162" s="105">
        <f>IF($AG$14&gt;0,IPMT('Assumptions (Coal)'!$V$6,Model!AF1,'Assumptions (Coal)'!$V$9,'Assumptions (Coal)'!$V$4*Model!$AG$14*AVERAGE('Assumptions (Coal)'!$Z$2:$AE$2)/10^9),0)</f>
        <v>0</v>
      </c>
      <c r="AQ162" s="105">
        <f>IF($AG$14&gt;0,IPMT('Assumptions (Coal)'!$V$6,Model!AG1,'Assumptions (Coal)'!$V$9,'Assumptions (Coal)'!$V$4*Model!$AG$14*AVERAGE('Assumptions (Coal)'!$Z$2:$AE$2)/10^9),0)</f>
        <v>0</v>
      </c>
      <c r="AR162" s="105">
        <f>IF($AG$14&gt;0,IPMT('Assumptions (Coal)'!$V$6,Model!AH1,'Assumptions (Coal)'!$V$9,'Assumptions (Coal)'!$V$4*Model!$AG$14*AVERAGE('Assumptions (Coal)'!$Z$2:$AE$2)/10^9),0)</f>
        <v>0</v>
      </c>
      <c r="AS162" s="105">
        <f>IF($AG$14&gt;0,IPMT('Assumptions (Coal)'!$V$6,Model!AI1,'Assumptions (Coal)'!$V$9,'Assumptions (Coal)'!$V$4*Model!$AG$14*AVERAGE('Assumptions (Coal)'!$Z$2:$AE$2)/10^9),0)</f>
        <v>0</v>
      </c>
      <c r="AT162" s="105">
        <f>IF($AG$14&gt;0,IPMT('Assumptions (Coal)'!$V$6,Model!AJ1,'Assumptions (Coal)'!$V$9,'Assumptions (Coal)'!$V$4*Model!$AG$14*AVERAGE('Assumptions (Coal)'!$Z$2:$AE$2)/10^9),0)</f>
        <v>0</v>
      </c>
      <c r="AU162" s="105">
        <f>IF($AG$14&gt;0,IPMT('Assumptions (Coal)'!$V$6,Model!AK1,'Assumptions (Coal)'!$V$9,'Assumptions (Coal)'!$V$4*Model!$AG$14*AVERAGE('Assumptions (Coal)'!$Z$2:$AE$2)/10^9),0)</f>
        <v>0</v>
      </c>
      <c r="AV162" s="105"/>
      <c r="AW162" s="105"/>
      <c r="AX162" s="105"/>
      <c r="AY162" s="105"/>
      <c r="AZ162" s="105"/>
      <c r="BA162" s="105"/>
      <c r="BB162" s="105"/>
      <c r="BC162" s="105"/>
      <c r="BD162" s="105"/>
      <c r="BE162" s="105"/>
    </row>
    <row r="163" spans="1:67" ht="15.75" hidden="1" customHeight="1" outlineLevel="1">
      <c r="A163" s="98"/>
      <c r="B163" s="99"/>
      <c r="C163" s="105"/>
      <c r="D163" s="105"/>
      <c r="E163" s="105"/>
      <c r="F163" s="105"/>
      <c r="G163" s="105"/>
      <c r="H163" s="105"/>
      <c r="I163" s="105"/>
      <c r="J163" s="105"/>
      <c r="K163" s="105"/>
      <c r="L163" s="105"/>
      <c r="M163" s="105"/>
      <c r="N163" s="105"/>
      <c r="O163" s="105"/>
      <c r="P163" s="105"/>
      <c r="Q163" s="105"/>
      <c r="R163" s="105"/>
      <c r="S163" s="105"/>
      <c r="T163" s="105"/>
      <c r="U163" s="105"/>
      <c r="V163" s="99"/>
      <c r="W163" s="105"/>
      <c r="X163" s="105"/>
      <c r="Y163" s="105"/>
      <c r="Z163" s="105"/>
      <c r="AA163" s="105"/>
      <c r="AB163" s="105"/>
      <c r="AC163" s="105"/>
      <c r="AD163" s="105"/>
      <c r="AE163" s="105"/>
      <c r="AF163" s="105"/>
      <c r="AG163" s="105"/>
      <c r="AH163" s="105">
        <f>IF($AH$14&gt;0,IPMT('Assumptions (Coal)'!$V$6,Model!W1,'Assumptions (Coal)'!$V$9,'Assumptions (Coal)'!$V$4*Model!$AH$14*AVERAGE('Assumptions (Coal)'!$AA$2:$AF$2)/10^9),0)</f>
        <v>0</v>
      </c>
      <c r="AI163" s="105">
        <f>IF($AH$14&gt;0,IPMT('Assumptions (Coal)'!$V$6,Model!X1,'Assumptions (Coal)'!$V$9,'Assumptions (Coal)'!$V$4*Model!$AH$14*AVERAGE('Assumptions (Coal)'!$AA$2:$AF$2)/10^9),0)</f>
        <v>0</v>
      </c>
      <c r="AJ163" s="105">
        <f>IF($AH$14&gt;0,IPMT('Assumptions (Coal)'!$V$6,Model!Y1,'Assumptions (Coal)'!$V$9,'Assumptions (Coal)'!$V$4*Model!$AH$14*AVERAGE('Assumptions (Coal)'!$AA$2:$AF$2)/10^9),0)</f>
        <v>0</v>
      </c>
      <c r="AK163" s="105">
        <f>IF($AH$14&gt;0,IPMT('Assumptions (Coal)'!$V$6,Model!Z1,'Assumptions (Coal)'!$V$9,'Assumptions (Coal)'!$V$4*Model!$AH$14*AVERAGE('Assumptions (Coal)'!$AA$2:$AF$2)/10^9),0)</f>
        <v>0</v>
      </c>
      <c r="AL163" s="105">
        <f>IF($AH$14&gt;0,IPMT('Assumptions (Coal)'!$V$6,Model!AA1,'Assumptions (Coal)'!$V$9,'Assumptions (Coal)'!$V$4*Model!$AH$14*AVERAGE('Assumptions (Coal)'!$AA$2:$AF$2)/10^9),0)</f>
        <v>0</v>
      </c>
      <c r="AM163" s="105">
        <f>IF($AH$14&gt;0,IPMT('Assumptions (Coal)'!$V$6,Model!AB1,'Assumptions (Coal)'!$V$9,'Assumptions (Coal)'!$V$4*Model!$AH$14*AVERAGE('Assumptions (Coal)'!$AA$2:$AF$2)/10^9),0)</f>
        <v>0</v>
      </c>
      <c r="AN163" s="105">
        <f>IF($AH$14&gt;0,IPMT('Assumptions (Coal)'!$V$6,Model!AC1,'Assumptions (Coal)'!$V$9,'Assumptions (Coal)'!$V$4*Model!$AH$14*AVERAGE('Assumptions (Coal)'!$AA$2:$AF$2)/10^9),0)</f>
        <v>0</v>
      </c>
      <c r="AO163" s="105">
        <f>IF($AH$14&gt;0,IPMT('Assumptions (Coal)'!$V$6,Model!AD1,'Assumptions (Coal)'!$V$9,'Assumptions (Coal)'!$V$4*Model!$AH$14*AVERAGE('Assumptions (Coal)'!$AA$2:$AF$2)/10^9),0)</f>
        <v>0</v>
      </c>
      <c r="AP163" s="105">
        <f>IF($AH$14&gt;0,IPMT('Assumptions (Coal)'!$V$6,Model!AE1,'Assumptions (Coal)'!$V$9,'Assumptions (Coal)'!$V$4*Model!$AH$14*AVERAGE('Assumptions (Coal)'!$AA$2:$AF$2)/10^9),0)</f>
        <v>0</v>
      </c>
      <c r="AQ163" s="105">
        <f>IF($AH$14&gt;0,IPMT('Assumptions (Coal)'!$V$6,Model!AF1,'Assumptions (Coal)'!$V$9,'Assumptions (Coal)'!$V$4*Model!$AH$14*AVERAGE('Assumptions (Coal)'!$AA$2:$AF$2)/10^9),0)</f>
        <v>0</v>
      </c>
      <c r="AR163" s="105">
        <f>IF($AH$14&gt;0,IPMT('Assumptions (Coal)'!$V$6,Model!AG1,'Assumptions (Coal)'!$V$9,'Assumptions (Coal)'!$V$4*Model!$AH$14*AVERAGE('Assumptions (Coal)'!$AA$2:$AF$2)/10^9),0)</f>
        <v>0</v>
      </c>
      <c r="AS163" s="105">
        <f>IF($AH$14&gt;0,IPMT('Assumptions (Coal)'!$V$6,Model!AH1,'Assumptions (Coal)'!$V$9,'Assumptions (Coal)'!$V$4*Model!$AH$14*AVERAGE('Assumptions (Coal)'!$AA$2:$AF$2)/10^9),0)</f>
        <v>0</v>
      </c>
      <c r="AT163" s="105">
        <f>IF($AH$14&gt;0,IPMT('Assumptions (Coal)'!$V$6,Model!AI1,'Assumptions (Coal)'!$V$9,'Assumptions (Coal)'!$V$4*Model!$AH$14*AVERAGE('Assumptions (Coal)'!$AA$2:$AF$2)/10^9),0)</f>
        <v>0</v>
      </c>
      <c r="AU163" s="105">
        <f>IF($AH$14&gt;0,IPMT('Assumptions (Coal)'!$V$6,Model!AJ1,'Assumptions (Coal)'!$V$9,'Assumptions (Coal)'!$V$4*Model!$AH$14*AVERAGE('Assumptions (Coal)'!$AA$2:$AF$2)/10^9),0)</f>
        <v>0</v>
      </c>
      <c r="AV163" s="105">
        <f>IF($AH$14&gt;0,IPMT('Assumptions (Coal)'!$V$6,Model!AK1,'Assumptions (Coal)'!$V$9,'Assumptions (Coal)'!$V$4*Model!$AH$14*AVERAGE('Assumptions (Coal)'!$AA$2:$AF$2)/10^9),0)</f>
        <v>0</v>
      </c>
      <c r="AW163" s="105"/>
      <c r="AX163" s="105"/>
      <c r="AY163" s="105"/>
      <c r="AZ163" s="105"/>
      <c r="BA163" s="105"/>
      <c r="BB163" s="105"/>
      <c r="BC163" s="105"/>
      <c r="BD163" s="105"/>
      <c r="BE163" s="105"/>
      <c r="BF163" s="105"/>
    </row>
    <row r="164" spans="1:67" ht="15.75" hidden="1" customHeight="1" outlineLevel="1">
      <c r="A164" s="98"/>
      <c r="B164" s="99"/>
      <c r="C164" s="105"/>
      <c r="D164" s="105"/>
      <c r="E164" s="105"/>
      <c r="F164" s="105"/>
      <c r="G164" s="105"/>
      <c r="H164" s="105"/>
      <c r="I164" s="105"/>
      <c r="J164" s="105"/>
      <c r="K164" s="105"/>
      <c r="L164" s="105"/>
      <c r="M164" s="105"/>
      <c r="N164" s="105"/>
      <c r="O164" s="105"/>
      <c r="P164" s="105"/>
      <c r="Q164" s="105"/>
      <c r="R164" s="105"/>
      <c r="S164" s="105"/>
      <c r="T164" s="105"/>
      <c r="U164" s="105"/>
      <c r="V164" s="99"/>
      <c r="W164" s="105"/>
      <c r="X164" s="105"/>
      <c r="Y164" s="105"/>
      <c r="Z164" s="105"/>
      <c r="AA164" s="105"/>
      <c r="AB164" s="105"/>
      <c r="AC164" s="105"/>
      <c r="AD164" s="105"/>
      <c r="AE164" s="105"/>
      <c r="AF164" s="105"/>
      <c r="AG164" s="105"/>
      <c r="AH164" s="105"/>
      <c r="AI164" s="105">
        <f>IF($AI$14&gt;0,IPMT('Assumptions (Coal)'!$V$6,Model!W1,'Assumptions (Coal)'!$V$9,'Assumptions (Coal)'!$V$4*Model!$AI$14*AVERAGE('Assumptions (Coal)'!$AB$2:$AG$2)/10^9),0)</f>
        <v>-1.9599638483309551E-2</v>
      </c>
      <c r="AJ164" s="105">
        <f>IF($AI$14&gt;0,IPMT('Assumptions (Coal)'!$V$6,Model!X1,'Assumptions (Coal)'!$V$9,'Assumptions (Coal)'!$V$4*Model!$AI$14*AVERAGE('Assumptions (Coal)'!$AB$2:$AG$2)/10^9),0)</f>
        <v>-1.8674121320084738E-2</v>
      </c>
      <c r="AK164" s="105">
        <f>IF($AI$14&gt;0,IPMT('Assumptions (Coal)'!$V$6,Model!Y1,'Assumptions (Coal)'!$V$9,'Assumptions (Coal)'!$V$4*Model!$AI$14*AVERAGE('Assumptions (Coal)'!$AB$2:$AG$2)/10^9),0)</f>
        <v>-1.7704642091606746E-2</v>
      </c>
      <c r="AL164" s="105">
        <f>IF($AI$14&gt;0,IPMT('Assumptions (Coal)'!$V$6,Model!Z1,'Assumptions (Coal)'!$V$9,'Assumptions (Coal)'!$V$4*Model!$AI$14*AVERAGE('Assumptions (Coal)'!$AB$2:$AG$2)/10^9),0)</f>
        <v>-1.6689112599776058E-2</v>
      </c>
      <c r="AM164" s="105">
        <f>IF($AI$14&gt;0,IPMT('Assumptions (Coal)'!$V$6,Model!AA1,'Assumptions (Coal)'!$V$9,'Assumptions (Coal)'!$V$4*Model!$AI$14*AVERAGE('Assumptions (Coal)'!$AB$2:$AG$2)/10^9),0)</f>
        <v>-1.5625345457083408E-2</v>
      </c>
      <c r="AN164" s="105">
        <f>IF($AI$14&gt;0,IPMT('Assumptions (Coal)'!$V$6,Model!AB1,'Assumptions (Coal)'!$V$9,'Assumptions (Coal)'!$V$4*Model!$AI$14*AVERAGE('Assumptions (Coal)'!$AB$2:$AG$2)/10^9),0)</f>
        <v>-1.4511049375112859E-2</v>
      </c>
      <c r="AO164" s="105">
        <f>IF($AI$14&gt;0,IPMT('Assumptions (Coal)'!$V$6,Model!AC1,'Assumptions (Coal)'!$V$9,'Assumptions (Coal)'!$V$4*Model!$AI$14*AVERAGE('Assumptions (Coal)'!$AB$2:$AG$2)/10^9),0)</f>
        <v>-1.3343824229248706E-2</v>
      </c>
      <c r="AP164" s="105">
        <f>IF($AI$14&gt;0,IPMT('Assumptions (Coal)'!$V$6,Model!AD1,'Assumptions (Coal)'!$V$9,'Assumptions (Coal)'!$V$4*Model!$AI$14*AVERAGE('Assumptions (Coal)'!$AB$2:$AG$2)/10^9),0)</f>
        <v>-1.2121155888956006E-2</v>
      </c>
      <c r="AQ164" s="105">
        <f>IF($AI$14&gt;0,IPMT('Assumptions (Coal)'!$V$6,Model!AE1,'Assumptions (Coal)'!$V$9,'Assumptions (Coal)'!$V$4*Model!$AI$14*AVERAGE('Assumptions (Coal)'!$AB$2:$AG$2)/10^9),0)</f>
        <v>-1.0840410802499404E-2</v>
      </c>
      <c r="AR164" s="105">
        <f>IF($AI$14&gt;0,IPMT('Assumptions (Coal)'!$V$6,Model!AF1,'Assumptions (Coal)'!$V$9,'Assumptions (Coal)'!$V$4*Model!$AI$14*AVERAGE('Assumptions (Coal)'!$AB$2:$AG$2)/10^9),0)</f>
        <v>-9.4988303244361132E-3</v>
      </c>
      <c r="AS164" s="105">
        <f>IF($AI$14&gt;0,IPMT('Assumptions (Coal)'!$V$6,Model!AG1,'Assumptions (Coal)'!$V$9,'Assumptions (Coal)'!$V$4*Model!$AI$14*AVERAGE('Assumptions (Coal)'!$AB$2:$AG$2)/10^9),0)</f>
        <v>-8.0935247736648157E-3</v>
      </c>
      <c r="AT164" s="105">
        <f>IF($AI$14&gt;0,IPMT('Assumptions (Coal)'!$V$6,Model!AH1,'Assumptions (Coal)'!$V$9,'Assumptions (Coal)'!$V$4*Model!$AI$14*AVERAGE('Assumptions (Coal)'!$AB$2:$AG$2)/10^9),0)</f>
        <v>-6.6214672092318825E-3</v>
      </c>
      <c r="AU164" s="105">
        <f>IF($AI$14&gt;0,IPMT('Assumptions (Coal)'!$V$6,Model!AI1,'Assumptions (Coal)'!$V$9,'Assumptions (Coal)'!$V$4*Model!$AI$14*AVERAGE('Assumptions (Coal)'!$AB$2:$AG$2)/10^9),0)</f>
        <v>-5.0794869104883828E-3</v>
      </c>
      <c r="AV164" s="105">
        <f>IF($AI$14&gt;0,IPMT('Assumptions (Coal)'!$V$6,Model!AJ1,'Assumptions (Coal)'!$V$9,'Assumptions (Coal)'!$V$4*Model!$AI$14*AVERAGE('Assumptions (Coal)'!$AB$2:$AG$2)/10^9),0)</f>
        <v>-3.4642625475545673E-3</v>
      </c>
      <c r="AW164" s="105">
        <f>IF($AI$14&gt;0,IPMT('Assumptions (Coal)'!$V$6,Model!AK1,'Assumptions (Coal)'!$V$9,'Assumptions (Coal)'!$V$4*Model!$AI$14*AVERAGE('Assumptions (Coal)'!$AB$2:$AG$2)/10^9),0)</f>
        <v>-1.7723150273813964E-3</v>
      </c>
      <c r="AX164" s="105"/>
      <c r="AY164" s="105"/>
      <c r="AZ164" s="105"/>
      <c r="BA164" s="105"/>
      <c r="BB164" s="105"/>
      <c r="BC164" s="105"/>
      <c r="BD164" s="105"/>
      <c r="BE164" s="105"/>
      <c r="BF164" s="105"/>
      <c r="BG164" s="105"/>
    </row>
    <row r="165" spans="1:67" ht="15.75" hidden="1" customHeight="1" outlineLevel="1">
      <c r="A165" s="98"/>
      <c r="B165" s="99"/>
      <c r="C165" s="105"/>
      <c r="D165" s="105"/>
      <c r="E165" s="105"/>
      <c r="F165" s="105"/>
      <c r="G165" s="105"/>
      <c r="H165" s="105"/>
      <c r="I165" s="105"/>
      <c r="J165" s="105"/>
      <c r="K165" s="105"/>
      <c r="L165" s="105"/>
      <c r="M165" s="105"/>
      <c r="N165" s="105"/>
      <c r="O165" s="105"/>
      <c r="P165" s="105"/>
      <c r="Q165" s="105"/>
      <c r="R165" s="105"/>
      <c r="S165" s="105"/>
      <c r="T165" s="105"/>
      <c r="U165" s="105"/>
      <c r="V165" s="99"/>
      <c r="W165" s="105"/>
      <c r="X165" s="105"/>
      <c r="Y165" s="105"/>
      <c r="Z165" s="105"/>
      <c r="AA165" s="105"/>
      <c r="AB165" s="105"/>
      <c r="AC165" s="105"/>
      <c r="AD165" s="105"/>
      <c r="AE165" s="105"/>
      <c r="AF165" s="105"/>
      <c r="AG165" s="105"/>
      <c r="AH165" s="105"/>
      <c r="AI165" s="105"/>
      <c r="AJ165" s="91">
        <f>IF($AJ$14&gt;0,IPMT('Assumptions (Coal)'!$V$6,Model!W1,'Assumptions (Coal)'!$V$9,'Assumptions (Coal)'!$V$4*Model!$AJ$14*AVERAGE('Assumptions (Coal)'!$AC$2:$AH$2)/10^9),0)</f>
        <v>-0.23635712383668719</v>
      </c>
      <c r="AK165" s="91">
        <f>IF($AJ$14&gt;0,IPMT('Assumptions (Coal)'!$V$6,Model!X1,'Assumptions (Coal)'!$V$9,'Assumptions (Coal)'!$V$4*Model!$AJ$14*AVERAGE('Assumptions (Coal)'!$AC$2:$AH$2)/10^9),0)</f>
        <v>-0.22519607232302846</v>
      </c>
      <c r="AL165" s="91">
        <f>IF($AJ$14&gt;0,IPMT('Assumptions (Coal)'!$V$6,Model!Y1,'Assumptions (Coal)'!$V$9,'Assumptions (Coal)'!$V$4*Model!$AJ$14*AVERAGE('Assumptions (Coal)'!$AC$2:$AH$2)/10^9),0)</f>
        <v>-0.21350487086247089</v>
      </c>
      <c r="AM165" s="91">
        <f>IF($AJ$14&gt;0,IPMT('Assumptions (Coal)'!$V$6,Model!Z1,'Assumptions (Coal)'!$V$9,'Assumptions (Coal)'!$V$4*Model!$AJ$14*AVERAGE('Assumptions (Coal)'!$AC$2:$AH$2)/10^9),0)</f>
        <v>-0.20125833733253692</v>
      </c>
      <c r="AN165" s="91">
        <f>IF($AJ$14&gt;0,IPMT('Assumptions (Coal)'!$V$6,Model!AA1,'Assumptions (Coal)'!$V$9,'Assumptions (Coal)'!$V$4*Model!$AJ$14*AVERAGE('Assumptions (Coal)'!$AC$2:$AH$2)/10^9),0)</f>
        <v>-0.18843009345993109</v>
      </c>
      <c r="AO165" s="91">
        <f>IF($AJ$14&gt;0,IPMT('Assumptions (Coal)'!$V$6,Model!AB1,'Assumptions (Coal)'!$V$9,'Assumptions (Coal)'!$V$4*Model!$AJ$14*AVERAGE('Assumptions (Coal)'!$AC$2:$AH$2)/10^9),0)</f>
        <v>-0.17499250800337646</v>
      </c>
      <c r="AP165" s="91">
        <f>IF($AJ$14&gt;0,IPMT('Assumptions (Coal)'!$V$6,Model!AC1,'Assumptions (Coal)'!$V$9,'Assumptions (Coal)'!$V$4*Model!$AJ$14*AVERAGE('Assumptions (Coal)'!$AC$2:$AH$2)/10^9),0)</f>
        <v>-0.16091663723763547</v>
      </c>
      <c r="AQ165" s="91">
        <f>IF($AJ$14&gt;0,IPMT('Assumptions (Coal)'!$V$6,Model!AD1,'Assumptions (Coal)'!$V$9,'Assumptions (Coal)'!$V$4*Model!$AJ$14*AVERAGE('Assumptions (Coal)'!$AC$2:$AH$2)/10^9),0)</f>
        <v>-0.14617216261052179</v>
      </c>
      <c r="AR165" s="91">
        <f>IF($AJ$14&gt;0,IPMT('Assumptions (Coal)'!$V$6,Model!AE1,'Assumptions (Coal)'!$V$9,'Assumptions (Coal)'!$V$4*Model!$AJ$14*AVERAGE('Assumptions (Coal)'!$AC$2:$AH$2)/10^9),0)</f>
        <v>-0.13072732543862026</v>
      </c>
      <c r="AS165" s="91">
        <f>IF($AJ$14&gt;0,IPMT('Assumptions (Coal)'!$V$6,Model!AF1,'Assumptions (Coal)'!$V$9,'Assumptions (Coal)'!$V$4*Model!$AJ$14*AVERAGE('Assumptions (Coal)'!$AC$2:$AH$2)/10^9),0)</f>
        <v>-0.11454885850105337</v>
      </c>
      <c r="AT165" s="91">
        <f>IF($AJ$14&gt;0,IPMT('Assumptions (Coal)'!$V$6,Model!AG1,'Assumptions (Coal)'!$V$9,'Assumptions (Coal)'!$V$4*Model!$AJ$14*AVERAGE('Assumptions (Coal)'!$AC$2:$AH$2)/10^9),0)</f>
        <v>-9.7601914383952035E-2</v>
      </c>
      <c r="AU165" s="91">
        <f>IF($AJ$14&gt;0,IPMT('Assumptions (Coal)'!$V$6,Model!AH1,'Assumptions (Coal)'!$V$9,'Assumptions (Coal)'!$V$4*Model!$AJ$14*AVERAGE('Assumptions (Coal)'!$AC$2:$AH$2)/10^9),0)</f>
        <v>-7.9849990421288417E-2</v>
      </c>
      <c r="AV165" s="91">
        <f>IF($AJ$14&gt;0,IPMT('Assumptions (Coal)'!$V$6,Model!AI1,'Assumptions (Coal)'!$V$9,'Assumptions (Coal)'!$V$4*Model!$AJ$14*AVERAGE('Assumptions (Coal)'!$AC$2:$AH$2)/10^9),0)</f>
        <v>-6.1254850070398249E-2</v>
      </c>
      <c r="AW165" s="91">
        <f>IF($AJ$14&gt;0,IPMT('Assumptions (Coal)'!$V$6,Model!AJ1,'Assumptions (Coal)'!$V$9,'Assumptions (Coal)'!$V$4*Model!$AJ$14*AVERAGE('Assumptions (Coal)'!$AC$2:$AH$2)/10^9),0)</f>
        <v>-4.1776440552840806E-2</v>
      </c>
      <c r="AX165" s="91">
        <f>IF($AJ$14&gt;0,IPMT('Assumptions (Coal)'!$V$6,Model!AK1,'Assumptions (Coal)'!$V$9,'Assumptions (Coal)'!$V$4*Model!$AJ$14*AVERAGE('Assumptions (Coal)'!$AC$2:$AH$2)/10^9),0)</f>
        <v>-2.1372806583199386E-2</v>
      </c>
      <c r="AY165" s="91"/>
      <c r="AZ165" s="91"/>
      <c r="BA165" s="91"/>
      <c r="BB165" s="91"/>
      <c r="BC165" s="91"/>
      <c r="BD165" s="91"/>
      <c r="BE165" s="91"/>
      <c r="BF165" s="91"/>
      <c r="BG165" s="91"/>
      <c r="BH165" s="91"/>
    </row>
    <row r="166" spans="1:67" ht="15.75" hidden="1" customHeight="1" outlineLevel="1">
      <c r="A166" s="98"/>
      <c r="B166" s="99"/>
      <c r="C166" s="105"/>
      <c r="D166" s="105"/>
      <c r="E166" s="105"/>
      <c r="F166" s="105"/>
      <c r="G166" s="105"/>
      <c r="H166" s="105"/>
      <c r="I166" s="105"/>
      <c r="J166" s="105"/>
      <c r="K166" s="105"/>
      <c r="L166" s="105"/>
      <c r="M166" s="105"/>
      <c r="N166" s="105"/>
      <c r="O166" s="105"/>
      <c r="P166" s="91"/>
      <c r="Q166" s="91"/>
      <c r="R166" s="91"/>
      <c r="S166" s="91"/>
      <c r="T166" s="91"/>
      <c r="U166" s="91"/>
      <c r="V166" s="99"/>
      <c r="W166" s="105"/>
      <c r="X166" s="105"/>
      <c r="Y166" s="105"/>
      <c r="Z166" s="105"/>
      <c r="AA166" s="105"/>
      <c r="AB166" s="105"/>
      <c r="AC166" s="105"/>
      <c r="AD166" s="105"/>
      <c r="AE166" s="105"/>
      <c r="AF166" s="105"/>
      <c r="AG166" s="105"/>
      <c r="AH166" s="105"/>
      <c r="AI166" s="105"/>
      <c r="AJ166" s="171"/>
      <c r="AK166" s="105">
        <f>IF($AK$14&gt;0,IPMT('Assumptions (Coal)'!$V$6,Model!W1,'Assumptions (Coal)'!$V$9,'Assumptions (Coal)'!$V$4*Model!$AK$14*AVERAGE('Assumptions (Coal)'!$AD$2:$AI$2)/10^9),0)</f>
        <v>-0.24268029607899613</v>
      </c>
      <c r="AL166" s="105">
        <f>IF($AK$14&gt;0,IPMT('Assumptions (Coal)'!$V$6,Model!X1,'Assumptions (Coal)'!$V$9,'Assumptions (Coal)'!$V$4*Model!$AK$14*AVERAGE('Assumptions (Coal)'!$AD$2:$AI$2)/10^9),0)</f>
        <v>-0.23122065719898022</v>
      </c>
      <c r="AM166" s="105">
        <f>IF($AK$14&gt;0,IPMT('Assumptions (Coal)'!$V$6,Model!Y1,'Assumptions (Coal)'!$V$9,'Assumptions (Coal)'!$V$4*Model!$AK$14*AVERAGE('Assumptions (Coal)'!$AD$2:$AI$2)/10^9),0)</f>
        <v>-0.21921668547216355</v>
      </c>
      <c r="AN166" s="105">
        <f>IF($AK$14&gt;0,IPMT('Assumptions (Coal)'!$V$6,Model!Z1,'Assumptions (Coal)'!$V$9,'Assumptions (Coal)'!$V$4*Model!$AK$14*AVERAGE('Assumptions (Coal)'!$AD$2:$AI$2)/10^9),0)</f>
        <v>-0.2066425250883232</v>
      </c>
      <c r="AO166" s="105">
        <f>IF($AK$14&gt;0,IPMT('Assumptions (Coal)'!$V$6,Model!AA1,'Assumptions (Coal)'!$V$9,'Assumptions (Coal)'!$V$4*Model!$AK$14*AVERAGE('Assumptions (Coal)'!$AD$2:$AI$2)/10^9),0)</f>
        <v>-0.19347109208625035</v>
      </c>
      <c r="AP166" s="105">
        <f>IF($AK$14&gt;0,IPMT('Assumptions (Coal)'!$V$6,Model!AB1,'Assumptions (Coal)'!$V$9,'Assumptions (Coal)'!$V$4*Model!$AK$14*AVERAGE('Assumptions (Coal)'!$AD$2:$AI$2)/10^9),0)</f>
        <v>-0.17967401601657906</v>
      </c>
      <c r="AQ166" s="105">
        <f>IF($AK$14&gt;0,IPMT('Assumptions (Coal)'!$V$6,Model!AC1,'Assumptions (Coal)'!$V$9,'Assumptions (Coal)'!$V$4*Model!$AK$14*AVERAGE('Assumptions (Coal)'!$AD$2:$AI$2)/10^9),0)</f>
        <v>-0.16522157883359839</v>
      </c>
      <c r="AR166" s="105">
        <f>IF($AK$14&gt;0,IPMT('Assumptions (Coal)'!$V$6,Model!AD1,'Assumptions (Coal)'!$V$9,'Assumptions (Coal)'!$V$4*Model!$AK$14*AVERAGE('Assumptions (Coal)'!$AD$2:$AI$2)/10^9),0)</f>
        <v>-0.15008265088442616</v>
      </c>
      <c r="AS166" s="105">
        <f>IF($AK$14&gt;0,IPMT('Assumptions (Coal)'!$V$6,Model!AE1,'Assumptions (Coal)'!$V$9,'Assumptions (Coal)'!$V$4*Model!$AK$14*AVERAGE('Assumptions (Coal)'!$AD$2:$AI$2)/10^9),0)</f>
        <v>-0.13422462385766823</v>
      </c>
      <c r="AT166" s="105">
        <f>IF($AK$14&gt;0,IPMT('Assumptions (Coal)'!$V$6,Model!AF1,'Assumptions (Coal)'!$V$9,'Assumptions (Coal)'!$V$4*Model!$AK$14*AVERAGE('Assumptions (Coal)'!$AD$2:$AI$2)/10^9),0)</f>
        <v>-0.11761334054713929</v>
      </c>
      <c r="AU166" s="105">
        <f>IF($AK$14&gt;0,IPMT('Assumptions (Coal)'!$V$6,Model!AG1,'Assumptions (Coal)'!$V$9,'Assumptions (Coal)'!$V$4*Model!$AK$14*AVERAGE('Assumptions (Coal)'!$AD$2:$AI$2)/10^9),0)</f>
        <v>-0.10021302127936021</v>
      </c>
      <c r="AV166" s="105">
        <f>IF($AK$14&gt;0,IPMT('Assumptions (Coal)'!$V$6,Model!AH1,'Assumptions (Coal)'!$V$9,'Assumptions (Coal)'!$V$4*Model!$AK$14*AVERAGE('Assumptions (Coal)'!$AD$2:$AI$2)/10^9),0)</f>
        <v>-8.1986186846361664E-2</v>
      </c>
      <c r="AW166" s="105">
        <f>IF($AK$14&gt;0,IPMT('Assumptions (Coal)'!$V$6,Model!AI1,'Assumptions (Coal)'!$V$9,'Assumptions (Coal)'!$V$4*Model!$AK$14*AVERAGE('Assumptions (Coal)'!$AD$2:$AI$2)/10^9),0)</f>
        <v>-6.2893577777795653E-2</v>
      </c>
      <c r="AX166" s="105">
        <f>IF($AK$14&gt;0,IPMT('Assumptions (Coal)'!$V$6,Model!AJ1,'Assumptions (Coal)'!$V$9,'Assumptions (Coal)'!$V$4*Model!$AK$14*AVERAGE('Assumptions (Coal)'!$AD$2:$AI$2)/10^9),0)</f>
        <v>-4.2894069778472758E-2</v>
      </c>
      <c r="AY166" s="105">
        <f>IF($AK$14&gt;0,IPMT('Assumptions (Coal)'!$V$6,Model!AK1,'Assumptions (Coal)'!$V$9,'Assumptions (Coal)'!$V$4*Model!$AK$14*AVERAGE('Assumptions (Coal)'!$AD$2:$AI$2)/10^9),0)</f>
        <v>-2.1944585149182034E-2</v>
      </c>
      <c r="AZ166" s="105"/>
      <c r="BA166" s="105"/>
      <c r="BB166" s="105"/>
      <c r="BC166" s="105"/>
      <c r="BD166" s="105"/>
      <c r="BE166" s="105"/>
      <c r="BF166" s="105"/>
      <c r="BG166" s="105"/>
      <c r="BH166" s="105"/>
      <c r="BI166" s="105"/>
    </row>
    <row r="167" spans="1:67" ht="15.75" hidden="1" customHeight="1" outlineLevel="1">
      <c r="A167" s="98"/>
      <c r="B167" s="99"/>
      <c r="C167" s="105"/>
      <c r="D167" s="105"/>
      <c r="E167" s="105"/>
      <c r="F167" s="105"/>
      <c r="G167" s="105"/>
      <c r="H167" s="105"/>
      <c r="I167" s="105"/>
      <c r="J167" s="105"/>
      <c r="K167" s="105"/>
      <c r="L167" s="105"/>
      <c r="M167" s="105"/>
      <c r="N167" s="105"/>
      <c r="O167" s="105"/>
      <c r="P167" s="171"/>
      <c r="Q167" s="105"/>
      <c r="R167" s="105"/>
      <c r="S167" s="105"/>
      <c r="T167" s="105"/>
      <c r="U167" s="105"/>
      <c r="V167" s="99"/>
      <c r="W167" s="105"/>
      <c r="X167" s="105"/>
      <c r="Y167" s="105"/>
      <c r="Z167" s="105"/>
      <c r="AA167" s="105"/>
      <c r="AB167" s="105"/>
      <c r="AC167" s="105"/>
      <c r="AD167" s="105"/>
      <c r="AE167" s="105"/>
      <c r="AF167" s="105"/>
      <c r="AG167" s="105"/>
      <c r="AH167" s="105"/>
      <c r="AI167" s="105"/>
      <c r="AJ167" s="171"/>
      <c r="AK167" s="105"/>
      <c r="AL167" s="91">
        <f>IF($AL$14&gt;0,IPMT('Assumptions (Coal)'!$V$6,Model!W1,'Assumptions (Coal)'!$V$9,'Assumptions (Coal)'!$V$4*Model!$AL$14*AVERAGE('Assumptions (Coal)'!$AE$2:$AJ$2)/10^9),0)</f>
        <v>-0.1723444633175357</v>
      </c>
      <c r="AM167" s="91">
        <f>IF($AL$14&gt;0,IPMT('Assumptions (Coal)'!$V$6,Model!X1,'Assumptions (Coal)'!$V$9,'Assumptions (Coal)'!$V$4*Model!$AL$14*AVERAGE('Assumptions (Coal)'!$AE$2:$AJ$2)/10^9),0)</f>
        <v>-0.16420616225024917</v>
      </c>
      <c r="AN167" s="91">
        <f>IF($AL$14&gt;0,IPMT('Assumptions (Coal)'!$V$6,Model!Y1,'Assumptions (Coal)'!$V$9,'Assumptions (Coal)'!$V$4*Model!$AL$14*AVERAGE('Assumptions (Coal)'!$AE$2:$AJ$2)/10^9),0)</f>
        <v>-0.15568129188226651</v>
      </c>
      <c r="AO167" s="91">
        <f>IF($AL$14&gt;0,IPMT('Assumptions (Coal)'!$V$6,Model!Z1,'Assumptions (Coal)'!$V$9,'Assumptions (Coal)'!$V$4*Model!$AL$14*AVERAGE('Assumptions (Coal)'!$AE$2:$AJ$2)/10^9),0)</f>
        <v>-0.14675149017180475</v>
      </c>
      <c r="AP167" s="91">
        <f>IF($AL$14&gt;0,IPMT('Assumptions (Coal)'!$V$6,Model!AA1,'Assumptions (Coal)'!$V$9,'Assumptions (Coal)'!$V$4*Model!$AL$14*AVERAGE('Assumptions (Coal)'!$AE$2:$AJ$2)/10^9),0)</f>
        <v>-0.13739752288009602</v>
      </c>
      <c r="AQ167" s="91">
        <f>IF($AL$14&gt;0,IPMT('Assumptions (Coal)'!$V$6,Model!AB1,'Assumptions (Coal)'!$V$9,'Assumptions (Coal)'!$V$4*Model!$AL$14*AVERAGE('Assumptions (Coal)'!$AE$2:$AJ$2)/10^9),0)</f>
        <v>-0.12759924214203111</v>
      </c>
      <c r="AR167" s="91">
        <f>IF($AL$14&gt;0,IPMT('Assumptions (Coal)'!$V$6,Model!AC1,'Assumptions (Coal)'!$V$9,'Assumptions (Coal)'!$V$4*Model!$AL$14*AVERAGE('Assumptions (Coal)'!$AE$2:$AJ$2)/10^9),0)</f>
        <v>-0.11733554306890814</v>
      </c>
      <c r="AS167" s="91">
        <f>IF($AL$14&gt;0,IPMT('Assumptions (Coal)'!$V$6,Model!AD1,'Assumptions (Coal)'!$V$9,'Assumptions (Coal)'!$V$4*Model!$AL$14*AVERAGE('Assumptions (Coal)'!$AE$2:$AJ$2)/10^9),0)</f>
        <v>-0.10658431828981184</v>
      </c>
      <c r="AT167" s="91">
        <f>IF($AL$14&gt;0,IPMT('Assumptions (Coal)'!$V$6,Model!AE1,'Assumptions (Coal)'!$V$9,'Assumptions (Coal)'!$V$4*Model!$AL$14*AVERAGE('Assumptions (Coal)'!$AE$2:$AJ$2)/10^9),0)</f>
        <v>-9.5322410333708446E-2</v>
      </c>
      <c r="AU167" s="91">
        <f>IF($AL$14&gt;0,IPMT('Assumptions (Coal)'!$V$6,Model!AF1,'Assumptions (Coal)'!$V$9,'Assumptions (Coal)'!$V$4*Model!$AL$14*AVERAGE('Assumptions (Coal)'!$AE$2:$AJ$2)/10^9),0)</f>
        <v>-8.3525561749690155E-2</v>
      </c>
      <c r="AV167" s="91">
        <f>IF($AL$14&gt;0,IPMT('Assumptions (Coal)'!$V$6,Model!AG1,'Assumptions (Coal)'!$V$9,'Assumptions (Coal)'!$V$4*Model!$AL$14*AVERAGE('Assumptions (Coal)'!$AE$2:$AJ$2)/10^9),0)</f>
        <v>-7.1168362857930975E-2</v>
      </c>
      <c r="AW167" s="91">
        <f>IF($AL$14&gt;0,IPMT('Assumptions (Coal)'!$V$6,Model!AH1,'Assumptions (Coal)'!$V$9,'Assumptions (Coal)'!$V$4*Model!$AL$14*AVERAGE('Assumptions (Coal)'!$AE$2:$AJ$2)/10^9),0)</f>
        <v>-5.8224197018813248E-2</v>
      </c>
      <c r="AX167" s="91">
        <f>IF($AL$14&gt;0,IPMT('Assumptions (Coal)'!$V$6,Model!AI1,'Assumptions (Coal)'!$V$9,'Assumptions (Coal)'!$V$4*Model!$AL$14*AVERAGE('Assumptions (Coal)'!$AE$2:$AJ$2)/10^9),0)</f>
        <v>-4.4665183302337423E-2</v>
      </c>
      <c r="AY167" s="91">
        <f>IF($AL$14&gt;0,IPMT('Assumptions (Coal)'!$V$6,Model!AJ1,'Assumptions (Coal)'!$V$9,'Assumptions (Coal)'!$V$4*Model!$AL$14*AVERAGE('Assumptions (Coal)'!$AE$2:$AJ$2)/10^9),0)</f>
        <v>-3.0462116434328997E-2</v>
      </c>
      <c r="AZ167" s="91">
        <f>IF($AL$14&gt;0,IPMT('Assumptions (Coal)'!$V$6,Model!AK1,'Assumptions (Coal)'!$V$9,'Assumptions (Coal)'!$V$4*Model!$AL$14*AVERAGE('Assumptions (Coal)'!$AE$2:$AJ$2)/10^9),0)</f>
        <v>-1.5584403890090168E-2</v>
      </c>
      <c r="BA167" s="91"/>
      <c r="BB167" s="91"/>
      <c r="BC167" s="91"/>
      <c r="BD167" s="91"/>
      <c r="BE167" s="91"/>
      <c r="BF167" s="91"/>
      <c r="BG167" s="91"/>
      <c r="BH167" s="91"/>
      <c r="BI167" s="91"/>
      <c r="BJ167" s="91"/>
    </row>
    <row r="168" spans="1:67" ht="15.75" hidden="1" customHeight="1" outlineLevel="1">
      <c r="A168" s="98"/>
      <c r="B168" s="99"/>
      <c r="C168" s="105"/>
      <c r="D168" s="105"/>
      <c r="E168" s="105"/>
      <c r="F168" s="105"/>
      <c r="G168" s="105"/>
      <c r="H168" s="105"/>
      <c r="I168" s="105"/>
      <c r="J168" s="105"/>
      <c r="K168" s="105"/>
      <c r="L168" s="105"/>
      <c r="M168" s="105"/>
      <c r="N168" s="105"/>
      <c r="O168" s="105"/>
      <c r="P168" s="171"/>
      <c r="Q168" s="105"/>
      <c r="R168" s="91"/>
      <c r="S168" s="91"/>
      <c r="T168" s="91"/>
      <c r="U168" s="91"/>
      <c r="V168" s="99"/>
      <c r="W168" s="105"/>
      <c r="X168" s="105"/>
      <c r="Y168" s="105"/>
      <c r="Z168" s="105"/>
      <c r="AA168" s="105"/>
      <c r="AB168" s="105"/>
      <c r="AC168" s="105"/>
      <c r="AD168" s="105"/>
      <c r="AE168" s="105"/>
      <c r="AF168" s="105"/>
      <c r="AG168" s="105"/>
      <c r="AH168" s="105"/>
      <c r="AI168" s="105"/>
      <c r="AJ168" s="171"/>
      <c r="AK168" s="105"/>
      <c r="AL168" s="91"/>
      <c r="AM168" s="105">
        <f>IF($AM$14&gt;0,IPMT('Assumptions (Coal)'!$V$6,Model!W1,'Assumptions (Coal)'!$V$9,'Assumptions (Coal)'!$V$4*Model!$AM$14*AVERAGE('Assumptions (Coal)'!$AF$2:$AK$2)/10^9),0)</f>
        <v>-0.80424458096756668</v>
      </c>
      <c r="AN168" s="105">
        <f>IF($AM$14&gt;0,IPMT('Assumptions (Coal)'!$V$6,Model!X1,'Assumptions (Coal)'!$V$9,'Assumptions (Coal)'!$V$4*Model!$AM$14*AVERAGE('Assumptions (Coal)'!$AF$2:$AK$2)/10^9),0)</f>
        <v>-0.76626723951048381</v>
      </c>
      <c r="AO168" s="105">
        <f>IF($AM$14&gt;0,IPMT('Assumptions (Coal)'!$V$6,Model!Y1,'Assumptions (Coal)'!$V$9,'Assumptions (Coal)'!$V$4*Model!$AM$14*AVERAGE('Assumptions (Coal)'!$AF$2:$AK$2)/10^9),0)</f>
        <v>-0.72648597433418938</v>
      </c>
      <c r="AP168" s="105">
        <f>IF($AM$14&gt;0,IPMT('Assumptions (Coal)'!$V$6,Model!Z1,'Assumptions (Coal)'!$V$9,'Assumptions (Coal)'!$V$4*Model!$AM$14*AVERAGE('Assumptions (Coal)'!$AF$2:$AK$2)/10^9),0)</f>
        <v>-0.6848150990620212</v>
      </c>
      <c r="AQ168" s="105">
        <f>IF($AM$14&gt;0,IPMT('Assumptions (Coal)'!$V$6,Model!AA1,'Assumptions (Coal)'!$V$9,'Assumptions (Coal)'!$V$4*Model!$AM$14*AVERAGE('Assumptions (Coal)'!$AF$2:$AK$2)/10^9),0)</f>
        <v>-0.64116485721442495</v>
      </c>
      <c r="AR168" s="105">
        <f>IF($AM$14&gt;0,IPMT('Assumptions (Coal)'!$V$6,Model!AB1,'Assumptions (Coal)'!$V$9,'Assumptions (Coal)'!$V$4*Model!$AM$14*AVERAGE('Assumptions (Coal)'!$AF$2:$AK$2)/10^9),0)</f>
        <v>-0.59544122887906803</v>
      </c>
      <c r="AS168" s="105">
        <f>IF($AM$14&gt;0,IPMT('Assumptions (Coal)'!$V$6,Model!AC1,'Assumptions (Coal)'!$V$9,'Assumptions (Coal)'!$V$4*Model!$AM$14*AVERAGE('Assumptions (Coal)'!$AF$2:$AK$2)/10^9),0)</f>
        <v>-0.54754572819778147</v>
      </c>
      <c r="AT168" s="105">
        <f>IF($AM$14&gt;0,IPMT('Assumptions (Coal)'!$V$6,Model!AD1,'Assumptions (Coal)'!$V$9,'Assumptions (Coal)'!$V$4*Model!$AM$14*AVERAGE('Assumptions (Coal)'!$AF$2:$AK$2)/10^9),0)</f>
        <v>-0.49737519123413376</v>
      </c>
      <c r="AU168" s="105">
        <f>IF($AM$14&gt;0,IPMT('Assumptions (Coal)'!$V$6,Model!AE1,'Assumptions (Coal)'!$V$9,'Assumptions (Coal)'!$V$4*Model!$AM$14*AVERAGE('Assumptions (Coal)'!$AF$2:$AK$2)/10^9),0)</f>
        <v>-0.44482155376471294</v>
      </c>
      <c r="AV168" s="105">
        <f>IF($AM$14&gt;0,IPMT('Assumptions (Coal)'!$V$6,Model!AF1,'Assumptions (Coal)'!$V$9,'Assumptions (Coal)'!$V$4*Model!$AM$14*AVERAGE('Assumptions (Coal)'!$AF$2:$AK$2)/10^9),0)</f>
        <v>-0.38977161851549458</v>
      </c>
      <c r="AW168" s="105">
        <f>IF($AM$14&gt;0,IPMT('Assumptions (Coal)'!$V$6,Model!AG1,'Assumptions (Coal)'!$V$9,'Assumptions (Coal)'!$V$4*Model!$AM$14*AVERAGE('Assumptions (Coal)'!$AF$2:$AK$2)/10^9),0)</f>
        <v>-0.33210681134193831</v>
      </c>
      <c r="AX168" s="105">
        <f>IF($AM$14&gt;0,IPMT('Assumptions (Coal)'!$V$6,Model!AH1,'Assumptions (Coal)'!$V$9,'Assumptions (Coal)'!$V$4*Model!$AM$14*AVERAGE('Assumptions (Coal)'!$AF$2:$AK$2)/10^9),0)</f>
        <v>-0.27170292582763822</v>
      </c>
      <c r="AY168" s="105">
        <f>IF($AM$14&gt;0,IPMT('Assumptions (Coal)'!$V$6,Model!AI1,'Assumptions (Coal)'!$V$9,'Assumptions (Coal)'!$V$4*Model!$AM$14*AVERAGE('Assumptions (Coal)'!$AF$2:$AK$2)/10^9),0)</f>
        <v>-0.20842985575140874</v>
      </c>
      <c r="AZ168" s="105">
        <f>IF($AM$14&gt;0,IPMT('Assumptions (Coal)'!$V$6,Model!AJ1,'Assumptions (Coal)'!$V$9,'Assumptions (Coal)'!$V$4*Model!$AM$14*AVERAGE('Assumptions (Coal)'!$AF$2:$AK$2)/10^9),0)</f>
        <v>-0.14215131484655838</v>
      </c>
      <c r="BA168" s="105">
        <f>IF($AM$14&gt;0,IPMT('Assumptions (Coal)'!$V$6,Model!AK1,'Assumptions (Coal)'!$V$9,'Assumptions (Coal)'!$V$4*Model!$AM$14*AVERAGE('Assumptions (Coal)'!$AF$2:$AK$2)/10^9),0)</f>
        <v>-7.272454324872768E-2</v>
      </c>
      <c r="BB168" s="105"/>
      <c r="BC168" s="105"/>
      <c r="BD168" s="105"/>
      <c r="BE168" s="105"/>
      <c r="BF168" s="105"/>
      <c r="BG168" s="105"/>
      <c r="BH168" s="105"/>
      <c r="BI168" s="105"/>
      <c r="BJ168" s="105"/>
      <c r="BK168" s="105"/>
    </row>
    <row r="169" spans="1:67" ht="15.75" hidden="1" customHeight="1" outlineLevel="1">
      <c r="A169" s="98"/>
      <c r="B169" s="99"/>
      <c r="C169" s="105"/>
      <c r="D169" s="105"/>
      <c r="E169" s="105"/>
      <c r="F169" s="105"/>
      <c r="G169" s="105"/>
      <c r="H169" s="105"/>
      <c r="I169" s="105"/>
      <c r="J169" s="105"/>
      <c r="K169" s="105"/>
      <c r="L169" s="105"/>
      <c r="M169" s="105"/>
      <c r="N169" s="105"/>
      <c r="O169" s="105"/>
      <c r="P169" s="171"/>
      <c r="Q169" s="105"/>
      <c r="R169" s="91"/>
      <c r="S169" s="105"/>
      <c r="T169" s="105"/>
      <c r="U169" s="105"/>
      <c r="V169" s="99"/>
      <c r="W169" s="105"/>
      <c r="X169" s="105"/>
      <c r="Y169" s="105"/>
      <c r="Z169" s="105"/>
      <c r="AA169" s="105"/>
      <c r="AB169" s="105"/>
      <c r="AC169" s="105"/>
      <c r="AD169" s="105"/>
      <c r="AE169" s="105"/>
      <c r="AF169" s="105"/>
      <c r="AG169" s="105"/>
      <c r="AH169" s="105"/>
      <c r="AI169" s="105"/>
      <c r="AJ169" s="171"/>
      <c r="AK169" s="105"/>
      <c r="AL169" s="91"/>
      <c r="AM169" s="91"/>
      <c r="AN169" s="105">
        <f>IF($AN$14&gt;0,IPMT('Assumptions (Coal)'!$V$6,Model!W1,'Assumptions (Coal)'!$V$9,'Assumptions (Coal)'!$V$4*Model!$AN$14*AVERAGE('Assumptions (Coal)'!$AG$2:$AL$2)/10^9),0)</f>
        <v>-0.26783562565412439</v>
      </c>
      <c r="AO169" s="105">
        <f>IF($AN$14&gt;0,IPMT('Assumptions (Coal)'!$V$6,Model!X1,'Assumptions (Coal)'!$V$9,'Assumptions (Coal)'!$V$4*Model!$AN$14*AVERAGE('Assumptions (Coal)'!$AG$2:$AL$2)/10^9),0)</f>
        <v>-0.25518812357509163</v>
      </c>
      <c r="AP169" s="105">
        <f>IF($AN$14&gt;0,IPMT('Assumptions (Coal)'!$V$6,Model!Y1,'Assumptions (Coal)'!$V$9,'Assumptions (Coal)'!$V$4*Model!$AN$14*AVERAGE('Assumptions (Coal)'!$AG$2:$AL$2)/10^9),0)</f>
        <v>-0.24193986514730484</v>
      </c>
      <c r="AQ169" s="105">
        <f>IF($AN$14&gt;0,IPMT('Assumptions (Coal)'!$V$6,Model!Z1,'Assumptions (Coal)'!$V$9,'Assumptions (Coal)'!$V$4*Model!$AN$14*AVERAGE('Assumptions (Coal)'!$AG$2:$AL$2)/10^9),0)</f>
        <v>-0.22806231444419822</v>
      </c>
      <c r="AR169" s="105">
        <f>IF($AN$14&gt;0,IPMT('Assumptions (Coal)'!$V$6,Model!AA1,'Assumptions (Coal)'!$V$9,'Assumptions (Coal)'!$V$4*Model!$AN$14*AVERAGE('Assumptions (Coal)'!$AG$2:$AL$2)/10^9),0)</f>
        <v>-0.21352558008269398</v>
      </c>
      <c r="AS169" s="105">
        <f>IF($AN$14&gt;0,IPMT('Assumptions (Coal)'!$V$6,Model!AB1,'Assumptions (Coal)'!$V$9,'Assumptions (Coal)'!$V$4*Model!$AN$14*AVERAGE('Assumptions (Coal)'!$AG$2:$AL$2)/10^9),0)</f>
        <v>-0.19829835083901837</v>
      </c>
      <c r="AT169" s="105">
        <f>IF($AN$14&gt;0,IPMT('Assumptions (Coal)'!$V$6,Model!AC1,'Assumptions (Coal)'!$V$9,'Assumptions (Coal)'!$V$4*Model!$AN$14*AVERAGE('Assumptions (Coal)'!$AG$2:$AL$2)/10^9),0)</f>
        <v>-0.1823478282062681</v>
      </c>
      <c r="AU169" s="105">
        <f>IF($AN$14&gt;0,IPMT('Assumptions (Coal)'!$V$6,Model!AD1,'Assumptions (Coal)'!$V$9,'Assumptions (Coal)'!$V$4*Model!$AN$14*AVERAGE('Assumptions (Coal)'!$AG$2:$AL$2)/10^9),0)</f>
        <v>-0.16563965574846221</v>
      </c>
      <c r="AV169" s="105">
        <f>IF($AN$14&gt;0,IPMT('Assumptions (Coal)'!$V$6,Model!AE1,'Assumptions (Coal)'!$V$9,'Assumptions (Coal)'!$V$4*Model!$AN$14*AVERAGE('Assumptions (Coal)'!$AG$2:$AL$2)/10^9),0)</f>
        <v>-0.14813784509891056</v>
      </c>
      <c r="AW169" s="105">
        <f>IF($AN$14&gt;0,IPMT('Assumptions (Coal)'!$V$6,Model!AF1,'Assumptions (Coal)'!$V$9,'Assumptions (Coal)'!$V$4*Model!$AN$14*AVERAGE('Assumptions (Coal)'!$AG$2:$AL$2)/10^9),0)</f>
        <v>-0.1298046984435052</v>
      </c>
      <c r="AX169" s="105">
        <f>IF($AN$14&gt;0,IPMT('Assumptions (Coal)'!$V$6,Model!AG1,'Assumptions (Coal)'!$V$9,'Assumptions (Coal)'!$V$4*Model!$AN$14*AVERAGE('Assumptions (Coal)'!$AG$2:$AL$2)/10^9),0)</f>
        <v>-0.11060072732196806</v>
      </c>
      <c r="AY169" s="105">
        <f>IF($AN$14&gt;0,IPMT('Assumptions (Coal)'!$V$6,Model!AH1,'Assumptions (Coal)'!$V$9,'Assumptions (Coal)'!$V$4*Model!$AN$14*AVERAGE('Assumptions (Coal)'!$AG$2:$AL$2)/10^9),0)</f>
        <v>-9.0484567572157934E-2</v>
      </c>
      <c r="AZ169" s="105">
        <f>IF($AN$14&gt;0,IPMT('Assumptions (Coal)'!$V$6,Model!AI1,'Assumptions (Coal)'!$V$9,'Assumptions (Coal)'!$V$4*Model!$AN$14*AVERAGE('Assumptions (Coal)'!$AG$2:$AL$2)/10^9),0)</f>
        <v>-6.9412890234231792E-2</v>
      </c>
      <c r="BA169" s="105">
        <f>IF($AN$14&gt;0,IPMT('Assumptions (Coal)'!$V$6,Model!AJ1,'Assumptions (Coal)'!$V$9,'Assumptions (Coal)'!$V$4*Model!$AN$14*AVERAGE('Assumptions (Coal)'!$AG$2:$AL$2)/10^9),0)</f>
        <v>-4.7340308222754181E-2</v>
      </c>
      <c r="BB169" s="105">
        <f>IF($AN$14&gt;0,IPMT('Assumptions (Coal)'!$V$6,Model!AK1,'Assumptions (Coal)'!$V$9,'Assumptions (Coal)'!$V$4*Model!$AN$14*AVERAGE('Assumptions (Coal)'!$AG$2:$AL$2)/10^9),0)</f>
        <v>-2.4219278565731382E-2</v>
      </c>
      <c r="BC169" s="105"/>
      <c r="BD169" s="105"/>
      <c r="BE169" s="105"/>
      <c r="BF169" s="105"/>
      <c r="BG169" s="105"/>
      <c r="BH169" s="105"/>
      <c r="BI169" s="105"/>
      <c r="BJ169" s="105"/>
      <c r="BK169" s="105"/>
      <c r="BL169" s="105"/>
    </row>
    <row r="170" spans="1:67" ht="15.75" hidden="1" customHeight="1" outlineLevel="1">
      <c r="A170" s="98"/>
      <c r="B170" s="99"/>
      <c r="C170" s="105"/>
      <c r="D170" s="105"/>
      <c r="E170" s="105"/>
      <c r="F170" s="105"/>
      <c r="G170" s="105"/>
      <c r="H170" s="105"/>
      <c r="I170" s="105"/>
      <c r="J170" s="105"/>
      <c r="K170" s="105"/>
      <c r="L170" s="105"/>
      <c r="M170" s="105"/>
      <c r="N170" s="105"/>
      <c r="O170" s="105"/>
      <c r="P170" s="171"/>
      <c r="Q170" s="105"/>
      <c r="R170" s="91"/>
      <c r="S170" s="91"/>
      <c r="T170" s="105"/>
      <c r="U170" s="105"/>
      <c r="V170" s="99"/>
      <c r="W170" s="105"/>
      <c r="X170" s="105"/>
      <c r="Y170" s="105"/>
      <c r="Z170" s="105"/>
      <c r="AA170" s="105"/>
      <c r="AB170" s="105"/>
      <c r="AC170" s="105"/>
      <c r="AD170" s="105"/>
      <c r="AE170" s="105"/>
      <c r="AF170" s="105"/>
      <c r="AG170" s="105"/>
      <c r="AH170" s="105"/>
      <c r="AI170" s="105"/>
      <c r="AJ170" s="171"/>
      <c r="AK170" s="105"/>
      <c r="AL170" s="91"/>
      <c r="AM170" s="91"/>
      <c r="AN170" s="91"/>
      <c r="AO170" s="105">
        <f>IF($AO$14&gt;0,IPMT('Assumptions (Coal)'!$V$6,Model!W1,'Assumptions (Coal)'!$V$9,'Assumptions (Coal)'!$V$4*Model!$AO$14*AVERAGE('Assumptions (Coal)'!$AH$2:$AM$2)/10^9),0)</f>
        <v>-0.24136077507694115</v>
      </c>
      <c r="AP170" s="105">
        <f>IF($AO$14&gt;0,IPMT('Assumptions (Coal)'!$V$6,Model!X1,'Assumptions (Coal)'!$V$9,'Assumptions (Coal)'!$V$4*Model!$AO$14*AVERAGE('Assumptions (Coal)'!$AH$2:$AM$2)/10^9),0)</f>
        <v>-0.22996344547552125</v>
      </c>
      <c r="AQ170" s="105">
        <f>IF($AO$14&gt;0,IPMT('Assumptions (Coal)'!$V$6,Model!Y1,'Assumptions (Coal)'!$V$9,'Assumptions (Coal)'!$V$4*Model!$AO$14*AVERAGE('Assumptions (Coal)'!$AH$2:$AM$2)/10^9),0)</f>
        <v>-0.2180247427180339</v>
      </c>
      <c r="AR170" s="105">
        <f>IF($AO$14&gt;0,IPMT('Assumptions (Coal)'!$V$6,Model!Z1,'Assumptions (Coal)'!$V$9,'Assumptions (Coal)'!$V$4*Model!$AO$14*AVERAGE('Assumptions (Coal)'!$AH$2:$AM$2)/10^9),0)</f>
        <v>-0.20551895157956601</v>
      </c>
      <c r="AS170" s="105">
        <f>IF($AO$14&gt;0,IPMT('Assumptions (Coal)'!$V$6,Model!AA1,'Assumptions (Coal)'!$V$9,'Assumptions (Coal)'!$V$4*Model!$AO$14*AVERAGE('Assumptions (Coal)'!$AH$2:$AM$2)/10^9),0)</f>
        <v>-0.19241913536202079</v>
      </c>
      <c r="AT170" s="105">
        <f>IF($AO$14&gt;0,IPMT('Assumptions (Coal)'!$V$6,Model!AB1,'Assumptions (Coal)'!$V$9,'Assumptions (Coal)'!$V$4*Model!$AO$14*AVERAGE('Assumptions (Coal)'!$AH$2:$AM$2)/10^9),0)</f>
        <v>-0.17869707787414224</v>
      </c>
      <c r="AU170" s="105">
        <f>IF($AO$14&gt;0,IPMT('Assumptions (Coal)'!$V$6,Model!AC1,'Assumptions (Coal)'!$V$9,'Assumptions (Coal)'!$V$4*Model!$AO$14*AVERAGE('Assumptions (Coal)'!$AH$2:$AM$2)/10^9),0)</f>
        <v>-0.16432322265558941</v>
      </c>
      <c r="AV170" s="105">
        <f>IF($AO$14&gt;0,IPMT('Assumptions (Coal)'!$V$6,Model!AD1,'Assumptions (Coal)'!$V$9,'Assumptions (Coal)'!$V$4*Model!$AO$14*AVERAGE('Assumptions (Coal)'!$AH$2:$AM$2)/10^9),0)</f>
        <v>-0.14926660931415536</v>
      </c>
      <c r="AW170" s="105">
        <f>IF($AO$14&gt;0,IPMT('Assumptions (Coal)'!$V$6,Model!AE1,'Assumptions (Coal)'!$V$9,'Assumptions (Coal)'!$V$4*Model!$AO$14*AVERAGE('Assumptions (Coal)'!$AH$2:$AM$2)/10^9),0)</f>
        <v>-0.13349480683900317</v>
      </c>
      <c r="AX170" s="105">
        <f>IF($AO$14&gt;0,IPMT('Assumptions (Coal)'!$V$6,Model!AF1,'Assumptions (Coal)'!$V$9,'Assumptions (Coal)'!$V$4*Model!$AO$14*AVERAGE('Assumptions (Coal)'!$AH$2:$AM$2)/10^9),0)</f>
        <v>-0.11697384374628128</v>
      </c>
      <c r="AY170" s="105">
        <f>IF($AO$14&gt;0,IPMT('Assumptions (Coal)'!$V$6,Model!AG1,'Assumptions (Coal)'!$V$9,'Assumptions (Coal)'!$V$4*Model!$AO$14*AVERAGE('Assumptions (Coal)'!$AH$2:$AM$2)/10^9),0)</f>
        <v>-9.9668134906655062E-2</v>
      </c>
      <c r="AZ170" s="105">
        <f>IF($AO$14&gt;0,IPMT('Assumptions (Coal)'!$V$6,Model!AH1,'Assumptions (Coal)'!$V$9,'Assumptions (Coal)'!$V$4*Model!$AO$14*AVERAGE('Assumptions (Coal)'!$AH$2:$AM$2)/10^9),0)</f>
        <v>-8.1540404897146618E-2</v>
      </c>
      <c r="BA170" s="105">
        <f>IF($AO$14&gt;0,IPMT('Assumptions (Coal)'!$V$6,Model!AI1,'Assumptions (Coal)'!$V$9,'Assumptions (Coal)'!$V$4*Model!$AO$14*AVERAGE('Assumptions (Coal)'!$AH$2:$AM$2)/10^9),0)</f>
        <v>-6.2551607712186499E-2</v>
      </c>
      <c r="BB170" s="105">
        <f>IF($AO$14&gt;0,IPMT('Assumptions (Coal)'!$V$6,Model!AJ1,'Assumptions (Coal)'!$V$9,'Assumptions (Coal)'!$V$4*Model!$AO$14*AVERAGE('Assumptions (Coal)'!$AH$2:$AM$2)/10^9),0)</f>
        <v>-4.26608426609408E-2</v>
      </c>
      <c r="BC170" s="105">
        <f>IF($AO$14&gt;0,IPMT('Assumptions (Coal)'!$V$6,Model!AK1,'Assumptions (Coal)'!$V$9,'Assumptions (Coal)'!$V$4*Model!$AO$14*AVERAGE('Assumptions (Coal)'!$AH$2:$AM$2)/10^9),0)</f>
        <v>-2.1825266269760921E-2</v>
      </c>
      <c r="BD170" s="105"/>
      <c r="BE170" s="105"/>
      <c r="BF170" s="105"/>
      <c r="BG170" s="105"/>
      <c r="BH170" s="105"/>
      <c r="BI170" s="105"/>
      <c r="BJ170" s="105"/>
      <c r="BK170" s="105"/>
      <c r="BL170" s="105"/>
      <c r="BM170" s="105"/>
    </row>
    <row r="171" spans="1:67" ht="15.75" hidden="1" customHeight="1" outlineLevel="1">
      <c r="A171" s="98"/>
      <c r="B171" s="99"/>
      <c r="C171" s="105"/>
      <c r="D171" s="105"/>
      <c r="E171" s="105"/>
      <c r="F171" s="105"/>
      <c r="G171" s="105"/>
      <c r="H171" s="105"/>
      <c r="I171" s="105"/>
      <c r="J171" s="105"/>
      <c r="K171" s="105"/>
      <c r="L171" s="105"/>
      <c r="M171" s="105"/>
      <c r="N171" s="105"/>
      <c r="O171" s="105"/>
      <c r="P171" s="171"/>
      <c r="Q171" s="105"/>
      <c r="R171" s="91"/>
      <c r="S171" s="91"/>
      <c r="T171" s="91"/>
      <c r="U171" s="105"/>
      <c r="V171" s="99"/>
      <c r="W171" s="105"/>
      <c r="X171" s="105"/>
      <c r="Y171" s="105"/>
      <c r="Z171" s="105"/>
      <c r="AA171" s="105"/>
      <c r="AB171" s="105"/>
      <c r="AC171" s="105"/>
      <c r="AD171" s="105"/>
      <c r="AE171" s="105"/>
      <c r="AF171" s="105"/>
      <c r="AG171" s="105"/>
      <c r="AH171" s="105"/>
      <c r="AI171" s="105"/>
      <c r="AJ171" s="171"/>
      <c r="AK171" s="105"/>
      <c r="AL171" s="91"/>
      <c r="AM171" s="91"/>
      <c r="AN171" s="91"/>
      <c r="AO171" s="105"/>
      <c r="AP171" s="105">
        <f>IF($AP$14&gt;0,IPMT('Assumptions (Coal)'!$V$6,Model!W1,'Assumptions (Coal)'!$V$9,'Assumptions (Coal)'!$V$4*Model!$AP$14*AVERAGE('Assumptions (Coal)'!$AI$2:$AN$2)/10^9),0)</f>
        <v>-5.2273047720788071E-2</v>
      </c>
      <c r="AQ171" s="105">
        <f>IF($AP$14&gt;0,IPMT('Assumptions (Coal)'!$V$6,Model!X1,'Assumptions (Coal)'!$V$9,'Assumptions (Coal)'!$V$4*Model!$AP$14*AVERAGE('Assumptions (Coal)'!$AI$2:$AN$2)/10^9),0)</f>
        <v>-4.9804655108298942E-2</v>
      </c>
      <c r="AR171" s="105">
        <f>IF($AP$14&gt;0,IPMT('Assumptions (Coal)'!$V$6,Model!Y1,'Assumptions (Coal)'!$V$9,'Assumptions (Coal)'!$V$4*Model!$AP$14*AVERAGE('Assumptions (Coal)'!$AI$2:$AN$2)/10^9),0)</f>
        <v>-4.7219013846716576E-2</v>
      </c>
      <c r="AS171" s="105">
        <f>IF($AP$14&gt;0,IPMT('Assumptions (Coal)'!$V$6,Model!Z1,'Assumptions (Coal)'!$V$9,'Assumptions (Coal)'!$V$4*Model!$AP$14*AVERAGE('Assumptions (Coal)'!$AI$2:$AN$2)/10^9),0)</f>
        <v>-4.4510554625209059E-2</v>
      </c>
      <c r="AT171" s="105">
        <f>IF($AP$14&gt;0,IPMT('Assumptions (Coal)'!$V$6,Model!AA1,'Assumptions (Coal)'!$V$9,'Assumptions (Coal)'!$V$4*Model!$AP$14*AVERAGE('Assumptions (Coal)'!$AI$2:$AN$2)/10^9),0)</f>
        <v>-4.1673443590679933E-2</v>
      </c>
      <c r="AU171" s="105">
        <f>IF($AP$14&gt;0,IPMT('Assumptions (Coal)'!$V$6,Model!AB1,'Assumptions (Coal)'!$V$9,'Assumptions (Coal)'!$V$4*Model!$AP$14*AVERAGE('Assumptions (Coal)'!$AI$2:$AN$2)/10^9),0)</f>
        <v>-3.870156978201067E-2</v>
      </c>
      <c r="AV171" s="105">
        <f>IF($AP$14&gt;0,IPMT('Assumptions (Coal)'!$V$6,Model!AC1,'Assumptions (Coal)'!$V$9,'Assumptions (Coal)'!$V$4*Model!$AP$14*AVERAGE('Assumptions (Coal)'!$AI$2:$AN$2)/10^9),0)</f>
        <v>-3.5588531967429615E-2</v>
      </c>
      <c r="AW171" s="105">
        <f>IF($AP$14&gt;0,IPMT('Assumptions (Coal)'!$V$6,Model!AD1,'Assumptions (Coal)'!$V$9,'Assumptions (Coal)'!$V$4*Model!$AP$14*AVERAGE('Assumptions (Coal)'!$AI$2:$AN$2)/10^9),0)</f>
        <v>-3.2327624856655961E-2</v>
      </c>
      <c r="AX171" s="105">
        <f>IF($AP$14&gt;0,IPMT('Assumptions (Coal)'!$V$6,Model!AE1,'Assumptions (Coal)'!$V$9,'Assumptions (Coal)'!$V$4*Model!$AP$14*AVERAGE('Assumptions (Coal)'!$AI$2:$AN$2)/10^9),0)</f>
        <v>-2.8911824658120571E-2</v>
      </c>
      <c r="AY171" s="105">
        <f>IF($AP$14&gt;0,IPMT('Assumptions (Coal)'!$V$6,Model!AF1,'Assumptions (Coal)'!$V$9,'Assumptions (Coal)'!$V$4*Model!$AP$14*AVERAGE('Assumptions (Coal)'!$AI$2:$AN$2)/10^9),0)</f>
        <v>-2.5333773950154737E-2</v>
      </c>
      <c r="AZ171" s="105">
        <f>IF($AP$14&gt;0,IPMT('Assumptions (Coal)'!$V$6,Model!AG1,'Assumptions (Coal)'!$V$9,'Assumptions (Coal)'!$V$4*Model!$AP$14*AVERAGE('Assumptions (Coal)'!$AI$2:$AN$2)/10^9),0)</f>
        <v>-2.1585765833560529E-2</v>
      </c>
      <c r="BA171" s="105">
        <f>IF($AP$14&gt;0,IPMT('Assumptions (Coal)'!$V$6,Model!AH1,'Assumptions (Coal)'!$V$9,'Assumptions (Coal)'!$V$4*Model!$AP$14*AVERAGE('Assumptions (Coal)'!$AI$2:$AN$2)/10^9),0)</f>
        <v>-1.7659727331428097E-2</v>
      </c>
      <c r="BB171" s="105">
        <f>IF($AP$14&gt;0,IPMT('Assumptions (Coal)'!$V$6,Model!AI1,'Assumptions (Coal)'!$V$9,'Assumptions (Coal)'!$V$4*Model!$AP$14*AVERAGE('Assumptions (Coal)'!$AI$2:$AN$2)/10^9),0)</f>
        <v>-1.3547202000444368E-2</v>
      </c>
      <c r="BC171" s="105">
        <f>IF($AP$14&gt;0,IPMT('Assumptions (Coal)'!$V$6,Model!AJ1,'Assumptions (Coal)'!$V$9,'Assumptions (Coal)'!$V$4*Model!$AP$14*AVERAGE('Assumptions (Coal)'!$AI$2:$AN$2)/10^9),0)</f>
        <v>-9.2393317162389171E-3</v>
      </c>
      <c r="BD171" s="105">
        <f>IF($AP$14&gt;0,IPMT('Assumptions (Coal)'!$V$6,Model!AK1,'Assumptions (Coal)'!$V$9,'Assumptions (Coal)'!$V$4*Model!$AP$14*AVERAGE('Assumptions (Coal)'!$AI$2:$AN$2)/10^9),0)</f>
        <v>-4.7268375935337068E-3</v>
      </c>
      <c r="BE171" s="105"/>
      <c r="BF171" s="105"/>
      <c r="BG171" s="105"/>
      <c r="BH171" s="105"/>
      <c r="BI171" s="105"/>
      <c r="BJ171" s="105"/>
      <c r="BK171" s="105"/>
      <c r="BL171" s="105"/>
      <c r="BM171" s="105"/>
      <c r="BN171" s="105"/>
    </row>
    <row r="172" spans="1:67" ht="15.75" hidden="1" customHeight="1" outlineLevel="1">
      <c r="A172" s="98"/>
      <c r="B172" s="99"/>
      <c r="C172" s="105"/>
      <c r="D172" s="105"/>
      <c r="E172" s="105"/>
      <c r="F172" s="105"/>
      <c r="G172" s="105"/>
      <c r="H172" s="105"/>
      <c r="I172" s="105"/>
      <c r="J172" s="105"/>
      <c r="K172" s="105"/>
      <c r="L172" s="105"/>
      <c r="M172" s="105"/>
      <c r="N172" s="105"/>
      <c r="O172" s="105"/>
      <c r="P172" s="171"/>
      <c r="Q172" s="105"/>
      <c r="R172" s="91"/>
      <c r="S172" s="91"/>
      <c r="T172" s="91"/>
      <c r="U172" s="105"/>
      <c r="V172" s="99"/>
      <c r="W172" s="105"/>
      <c r="X172" s="105"/>
      <c r="Y172" s="105"/>
      <c r="Z172" s="105"/>
      <c r="AA172" s="105"/>
      <c r="AB172" s="105"/>
      <c r="AC172" s="105"/>
      <c r="AD172" s="105"/>
      <c r="AE172" s="105"/>
      <c r="AF172" s="105"/>
      <c r="AG172" s="105"/>
      <c r="AH172" s="105"/>
      <c r="AI172" s="105"/>
      <c r="AJ172" s="171"/>
      <c r="AK172" s="105"/>
      <c r="AL172" s="91"/>
      <c r="AM172" s="91"/>
      <c r="AN172" s="91"/>
      <c r="AO172" s="105"/>
      <c r="AP172" s="105"/>
      <c r="AQ172" s="105">
        <f>IF($AQ$14&gt;0,IPMT('Assumptions (Coal)'!$V$6,Model!W1,'Assumptions (Coal)'!$V$9,'Assumptions (Coal)'!$V$4*Model!$AQ$14*AVERAGE('Assumptions (Coal)'!$AJ$2:$AO$2)/10^9),0)</f>
        <v>-0.50557639087372908</v>
      </c>
      <c r="AR172" s="105">
        <f>IF($AQ$14&gt;0,IPMT('Assumptions (Coal)'!$V$6,Model!X1,'Assumptions (Coal)'!$V$9,'Assumptions (Coal)'!$V$4*Model!$AQ$14*AVERAGE('Assumptions (Coal)'!$AJ$2:$AO$2)/10^9),0)</f>
        <v>-0.48170250016531835</v>
      </c>
      <c r="AS172" s="105">
        <f>IF($AQ$14&gt;0,IPMT('Assumptions (Coal)'!$V$6,Model!Y1,'Assumptions (Coal)'!$V$9,'Assumptions (Coal)'!$V$4*Model!$AQ$14*AVERAGE('Assumptions (Coal)'!$AJ$2:$AO$2)/10^9),0)</f>
        <v>-0.45669459964825815</v>
      </c>
      <c r="AT172" s="105">
        <f>IF($AQ$14&gt;0,IPMT('Assumptions (Coal)'!$V$6,Model!Z1,'Assumptions (Coal)'!$V$9,'Assumptions (Coal)'!$V$4*Model!$AQ$14*AVERAGE('Assumptions (Coal)'!$AJ$2:$AO$2)/10^9),0)</f>
        <v>-0.43049882385663768</v>
      </c>
      <c r="AU172" s="105">
        <f>IF($AQ$14&gt;0,IPMT('Assumptions (Coal)'!$V$6,Model!AA1,'Assumptions (Coal)'!$V$9,'Assumptions (Coal)'!$V$4*Model!$AQ$14*AVERAGE('Assumptions (Coal)'!$AJ$2:$AO$2)/10^9),0)</f>
        <v>-0.40305874871491526</v>
      </c>
      <c r="AV172" s="105">
        <f>IF($AQ$14&gt;0,IPMT('Assumptions (Coal)'!$V$6,Model!AB1,'Assumptions (Coal)'!$V$9,'Assumptions (Coal)'!$V$4*Model!$AQ$14*AVERAGE('Assumptions (Coal)'!$AJ$2:$AO$2)/10^9),0)</f>
        <v>-0.37431527000396098</v>
      </c>
      <c r="AW172" s="105">
        <f>IF($AQ$14&gt;0,IPMT('Assumptions (Coal)'!$V$6,Model!AC1,'Assumptions (Coal)'!$V$9,'Assumptions (Coal)'!$V$4*Model!$AQ$14*AVERAGE('Assumptions (Coal)'!$AJ$2:$AO$2)/10^9),0)</f>
        <v>-0.34420647605423643</v>
      </c>
      <c r="AX172" s="105">
        <f>IF($AQ$14&gt;0,IPMT('Assumptions (Coal)'!$V$6,Model!AD1,'Assumptions (Coal)'!$V$9,'Assumptions (Coal)'!$V$4*Model!$AQ$14*AVERAGE('Assumptions (Coal)'!$AJ$2:$AO$2)/10^9),0)</f>
        <v>-0.31266751439189988</v>
      </c>
      <c r="AY172" s="105">
        <f>IF($AQ$14&gt;0,IPMT('Assumptions (Coal)'!$V$6,Model!AE1,'Assumptions (Coal)'!$V$9,'Assumptions (Coal)'!$V$4*Model!$AQ$14*AVERAGE('Assumptions (Coal)'!$AJ$2:$AO$2)/10^9),0)</f>
        <v>-0.27963045205060244</v>
      </c>
      <c r="AZ172" s="105">
        <f>IF($AQ$14&gt;0,IPMT('Assumptions (Coal)'!$V$6,Model!AF1,'Assumptions (Coal)'!$V$9,'Assumptions (Coal)'!$V$4*Model!$AQ$14*AVERAGE('Assumptions (Coal)'!$AJ$2:$AO$2)/10^9),0)</f>
        <v>-0.2450241292480933</v>
      </c>
      <c r="BA172" s="105">
        <f>IF($AQ$14&gt;0,IPMT('Assumptions (Coal)'!$V$6,Model!AG1,'Assumptions (Coal)'!$V$9,'Assumptions (Coal)'!$V$4*Model!$AQ$14*AVERAGE('Assumptions (Coal)'!$AJ$2:$AO$2)/10^9),0)</f>
        <v>-0.20877400611246497</v>
      </c>
      <c r="BB172" s="105">
        <f>IF($AQ$14&gt;0,IPMT('Assumptions (Coal)'!$V$6,Model!AH1,'Assumptions (Coal)'!$V$9,'Assumptions (Coal)'!$V$4*Model!$AQ$14*AVERAGE('Assumptions (Coal)'!$AJ$2:$AO$2)/10^9),0)</f>
        <v>-0.17080200212789434</v>
      </c>
      <c r="BC172" s="105">
        <f>IF($AQ$14&gt;0,IPMT('Assumptions (Coal)'!$V$6,Model!AI1,'Assumptions (Coal)'!$V$9,'Assumptions (Coal)'!$V$4*Model!$AQ$14*AVERAGE('Assumptions (Coal)'!$AJ$2:$AO$2)/10^9),0)</f>
        <v>-0.13102632795405655</v>
      </c>
      <c r="BD172" s="105">
        <f>IF($AQ$14&gt;0,IPMT('Assumptions (Coal)'!$V$6,Model!AJ1,'Assumptions (Coal)'!$V$9,'Assumptions (Coal)'!$V$4*Model!$AQ$14*AVERAGE('Assumptions (Coal)'!$AJ$2:$AO$2)/10^9),0)</f>
        <v>-8.936130925696148E-2</v>
      </c>
      <c r="BE172" s="105">
        <f>IF($AQ$14&gt;0,IPMT('Assumptions (Coal)'!$V$6,Model!AK1,'Assumptions (Coal)'!$V$9,'Assumptions (Coal)'!$V$4*Model!$AQ$14*AVERAGE('Assumptions (Coal)'!$AJ$2:$AO$2)/10^9),0)</f>
        <v>-4.5717202171754408E-2</v>
      </c>
      <c r="BF172" s="105"/>
      <c r="BG172" s="105"/>
      <c r="BH172" s="105"/>
      <c r="BI172" s="105"/>
      <c r="BJ172" s="105"/>
      <c r="BK172" s="105"/>
      <c r="BL172" s="105"/>
      <c r="BM172" s="105"/>
      <c r="BN172" s="105"/>
      <c r="BO172" s="105"/>
    </row>
    <row r="173" spans="1:67" ht="15.75" hidden="1" customHeight="1" outlineLevel="1">
      <c r="A173" s="98"/>
      <c r="B173" s="99"/>
      <c r="C173" s="99"/>
      <c r="D173" s="99"/>
      <c r="E173" s="99"/>
      <c r="F173" s="99"/>
      <c r="G173" s="99"/>
      <c r="H173" s="99"/>
      <c r="I173" s="99"/>
      <c r="J173" s="99"/>
      <c r="K173" s="99"/>
      <c r="L173" s="99"/>
      <c r="M173" s="99"/>
      <c r="N173" s="99"/>
      <c r="O173" s="99"/>
      <c r="P173" s="99"/>
      <c r="Q173" s="99"/>
      <c r="R173" s="99"/>
      <c r="S173" s="99"/>
      <c r="T173" s="99"/>
      <c r="U173" s="99"/>
      <c r="V173" s="99"/>
      <c r="W173" s="105"/>
      <c r="X173" s="105"/>
      <c r="Y173" s="105"/>
      <c r="Z173" s="105"/>
      <c r="AA173" s="105"/>
      <c r="AB173" s="105"/>
      <c r="AC173" s="105"/>
      <c r="AD173" s="105"/>
      <c r="AE173" s="105"/>
      <c r="AF173" s="105"/>
      <c r="AG173" s="105"/>
      <c r="AH173" s="105"/>
      <c r="AI173" s="105"/>
      <c r="AJ173" s="171"/>
      <c r="AK173" s="105"/>
      <c r="AL173" s="91"/>
      <c r="AM173" s="91"/>
      <c r="AN173" s="91"/>
      <c r="AO173" s="105"/>
      <c r="AP173" s="105"/>
      <c r="AQ173" s="105"/>
      <c r="AR173" s="105">
        <f>IF($AR$14&gt;0,IPMT('Assumptions (Coal)'!$V$6,Model!W1,'Assumptions (Coal)'!$V$9,'Assumptions (Coal)'!$V$4*Model!$AR$14*AVERAGE('Assumptions (Coal)'!$AK$2:$AP$2)/10^9),0)</f>
        <v>-0.48067666386553842</v>
      </c>
      <c r="AS173" s="105">
        <f>IF($AR$14&gt;0,IPMT('Assumptions (Coal)'!$V$6,Model!X1,'Assumptions (Coal)'!$V$9,'Assumptions (Coal)'!$V$4*Model!$AR$14*AVERAGE('Assumptions (Coal)'!$AK$2:$AP$2)/10^9),0)</f>
        <v>-0.45797856651297547</v>
      </c>
      <c r="AT173" s="105">
        <f>IF($AR$14&gt;0,IPMT('Assumptions (Coal)'!$V$6,Model!Y1,'Assumptions (Coal)'!$V$9,'Assumptions (Coal)'!$V$4*Model!$AR$14*AVERAGE('Assumptions (Coal)'!$AK$2:$AP$2)/10^9),0)</f>
        <v>-0.43420230953616573</v>
      </c>
      <c r="AU173" s="105">
        <f>IF($AR$14&gt;0,IPMT('Assumptions (Coal)'!$V$6,Model!Z1,'Assumptions (Coal)'!$V$9,'Assumptions (Coal)'!$V$4*Model!$AR$14*AVERAGE('Assumptions (Coal)'!$AK$2:$AP$2)/10^9),0)</f>
        <v>-0.40929668035295774</v>
      </c>
      <c r="AV173" s="105">
        <f>IF($AR$14&gt;0,IPMT('Assumptions (Coal)'!$V$6,Model!AA1,'Assumptions (Coal)'!$V$9,'Assumptions (Coal)'!$V$4*Model!$AR$14*AVERAGE('Assumptions (Coal)'!$AK$2:$AP$2)/10^9),0)</f>
        <v>-0.38320803378354718</v>
      </c>
      <c r="AW173" s="105">
        <f>IF($AR$14&gt;0,IPMT('Assumptions (Coal)'!$V$6,Model!AB1,'Assumptions (Coal)'!$V$9,'Assumptions (Coal)'!$V$4*Model!$AR$14*AVERAGE('Assumptions (Coal)'!$AK$2:$AP$2)/10^9),0)</f>
        <v>-0.35588017650208975</v>
      </c>
      <c r="AX173" s="105">
        <f>IF($AR$14&gt;0,IPMT('Assumptions (Coal)'!$V$6,Model!AC1,'Assumptions (Coal)'!$V$9,'Assumptions (Coal)'!$V$4*Model!$AR$14*AVERAGE('Assumptions (Coal)'!$AK$2:$AP$2)/10^9),0)</f>
        <v>-0.32725424599976305</v>
      </c>
      <c r="AY173" s="105">
        <f>IF($AR$14&gt;0,IPMT('Assumptions (Coal)'!$V$6,Model!AD1,'Assumptions (Coal)'!$V$9,'Assumptions (Coal)'!$V$4*Model!$AR$14*AVERAGE('Assumptions (Coal)'!$AK$2:$AP$2)/10^9),0)</f>
        <v>-0.29726858379857579</v>
      </c>
      <c r="AZ173" s="105">
        <f>IF($AR$14&gt;0,IPMT('Assumptions (Coal)'!$V$6,Model!AE1,'Assumptions (Coal)'!$V$9,'Assumptions (Coal)'!$V$4*Model!$AR$14*AVERAGE('Assumptions (Coal)'!$AK$2:$AP$2)/10^9),0)</f>
        <v>-0.26585860264283229</v>
      </c>
      <c r="BA173" s="105">
        <f>IF($AR$14&gt;0,IPMT('Assumptions (Coal)'!$V$6,Model!AF1,'Assumptions (Coal)'!$V$9,'Assumptions (Coal)'!$V$4*Model!$AR$14*AVERAGE('Assumptions (Coal)'!$AK$2:$AP$2)/10^9),0)</f>
        <v>-0.23295664738219082</v>
      </c>
      <c r="BB173" s="105">
        <f>IF($AR$14&gt;0,IPMT('Assumptions (Coal)'!$V$6,Model!AG1,'Assumptions (Coal)'!$V$9,'Assumptions (Coal)'!$V$4*Model!$AR$14*AVERAGE('Assumptions (Coal)'!$AK$2:$AP$2)/10^9),0)</f>
        <v>-0.19849184924666891</v>
      </c>
      <c r="BC173" s="105">
        <f>IF($AR$14&gt;0,IPMT('Assumptions (Coal)'!$V$6,Model!AH1,'Assumptions (Coal)'!$V$9,'Assumptions (Coal)'!$V$4*Model!$AR$14*AVERAGE('Assumptions (Coal)'!$AK$2:$AP$2)/10^9),0)</f>
        <v>-0.16238997319970974</v>
      </c>
      <c r="BD173" s="105">
        <f>IF($AR$14&gt;0,IPMT('Assumptions (Coal)'!$V$6,Model!AI1,'Assumptions (Coal)'!$V$9,'Assumptions (Coal)'!$V$4*Model!$AR$14*AVERAGE('Assumptions (Coal)'!$AK$2:$AP$2)/10^9),0)</f>
        <v>-0.12457325804051997</v>
      </c>
      <c r="BE173" s="105">
        <f>IF($AR$14&gt;0,IPMT('Assumptions (Coal)'!$V$6,Model!AJ1,'Assumptions (Coal)'!$V$9,'Assumptions (Coal)'!$V$4*Model!$AR$14*AVERAGE('Assumptions (Coal)'!$AK$2:$AP$2)/10^9),0)</f>
        <v>-8.4960248911268701E-2</v>
      </c>
      <c r="BF173" s="105">
        <f>IF($AR$14&gt;0,IPMT('Assumptions (Coal)'!$V$6,Model!AK1,'Assumptions (Coal)'!$V$9,'Assumptions (Coal)'!$V$4*Model!$AR$14*AVERAGE('Assumptions (Coal)'!$AK$2:$AP$2)/10^9),0)</f>
        <v>-4.3465621848378003E-2</v>
      </c>
      <c r="BG173" s="105"/>
      <c r="BH173" s="105"/>
      <c r="BI173" s="105"/>
      <c r="BJ173" s="105"/>
      <c r="BK173" s="105"/>
      <c r="BL173" s="105"/>
      <c r="BM173" s="105"/>
      <c r="BN173" s="105"/>
      <c r="BO173" s="105"/>
    </row>
    <row r="174" spans="1:67" ht="15.75" hidden="1" customHeight="1" outlineLevel="1">
      <c r="A174" s="98"/>
      <c r="B174" s="99"/>
      <c r="C174" s="99"/>
      <c r="D174" s="99"/>
      <c r="E174" s="99"/>
      <c r="F174" s="99"/>
      <c r="G174" s="99"/>
      <c r="H174" s="99"/>
      <c r="I174" s="99"/>
      <c r="J174" s="99"/>
      <c r="K174" s="99"/>
      <c r="L174" s="99"/>
      <c r="M174" s="99"/>
      <c r="N174" s="99"/>
      <c r="O174" s="99"/>
      <c r="P174" s="99"/>
      <c r="Q174" s="99"/>
      <c r="R174" s="99"/>
      <c r="S174" s="99"/>
      <c r="T174" s="99"/>
      <c r="U174" s="99"/>
      <c r="V174" s="99"/>
      <c r="W174" s="105"/>
      <c r="X174" s="105"/>
      <c r="Y174" s="105"/>
      <c r="Z174" s="105"/>
      <c r="AA174" s="105"/>
      <c r="AB174" s="105"/>
      <c r="AC174" s="105"/>
      <c r="AD174" s="105"/>
      <c r="AE174" s="105"/>
      <c r="AF174" s="105"/>
      <c r="AG174" s="105"/>
      <c r="AH174" s="105"/>
      <c r="AI174" s="105"/>
      <c r="AJ174" s="171"/>
      <c r="AK174" s="105"/>
      <c r="AL174" s="91"/>
      <c r="AM174" s="91"/>
      <c r="AN174" s="91"/>
      <c r="AO174" s="105"/>
      <c r="AP174" s="105"/>
      <c r="AQ174" s="105"/>
      <c r="AR174" s="105"/>
      <c r="AS174" s="105">
        <f>IF($AS$14&gt;0,IPMT('Assumptions (Coal)'!$V$6,Model!W1,'Assumptions (Coal)'!$V$9,'Assumptions (Coal)'!$V$4*Model!$AS$14*AVERAGE('Assumptions (Coal)'!$AL$2:$AQ$2)/10^9),0)</f>
        <v>-0.26076823142183969</v>
      </c>
      <c r="AT174" s="105">
        <f>IF($AS$14&gt;0,IPMT('Assumptions (Coal)'!$V$6,Model!X1,'Assumptions (Coal)'!$V$9,'Assumptions (Coal)'!$V$4*Model!$AS$14*AVERAGE('Assumptions (Coal)'!$AL$2:$AQ$2)/10^9),0)</f>
        <v>-0.24845445971578428</v>
      </c>
      <c r="AU174" s="105">
        <f>IF($AS$14&gt;0,IPMT('Assumptions (Coal)'!$V$6,Model!Y1,'Assumptions (Coal)'!$V$9,'Assumptions (Coal)'!$V$4*Model!$AS$14*AVERAGE('Assumptions (Coal)'!$AL$2:$AQ$2)/10^9),0)</f>
        <v>-0.23555578385369122</v>
      </c>
      <c r="AV174" s="105">
        <f>IF($AS$14&gt;0,IPMT('Assumptions (Coal)'!$V$6,Model!Z1,'Assumptions (Coal)'!$V$9,'Assumptions (Coal)'!$V$4*Model!$AS$14*AVERAGE('Assumptions (Coal)'!$AL$2:$AQ$2)/10^9),0)</f>
        <v>-0.22204442088814877</v>
      </c>
      <c r="AW174" s="105">
        <f>IF($AS$14&gt;0,IPMT('Assumptions (Coal)'!$V$6,Model!AA1,'Assumptions (Coal)'!$V$9,'Assumptions (Coal)'!$V$4*Model!$AS$14*AVERAGE('Assumptions (Coal)'!$AL$2:$AQ$2)/10^9),0)</f>
        <v>-0.20789126818174306</v>
      </c>
      <c r="AX174" s="105">
        <f>IF($AS$14&gt;0,IPMT('Assumptions (Coal)'!$V$6,Model!AB1,'Assumptions (Coal)'!$V$9,'Assumptions (Coal)'!$V$4*Model!$AS$14*AVERAGE('Assumptions (Coal)'!$AL$2:$AQ$2)/10^9),0)</f>
        <v>-0.19306584072178307</v>
      </c>
      <c r="AY174" s="105">
        <f>IF($AS$14&gt;0,IPMT('Assumptions (Coal)'!$V$6,Model!AC1,'Assumptions (Coal)'!$V$9,'Assumptions (Coal)'!$V$4*Model!$AS$14*AVERAGE('Assumptions (Coal)'!$AL$2:$AQ$2)/10^9),0)</f>
        <v>-0.177536205457475</v>
      </c>
      <c r="AZ174" s="105">
        <f>IF($AS$14&gt;0,IPMT('Assumptions (Coal)'!$V$6,Model!AD1,'Assumptions (Coal)'!$V$9,'Assumptions (Coal)'!$V$4*Model!$AS$14*AVERAGE('Assumptions (Coal)'!$AL$2:$AQ$2)/10^9),0)</f>
        <v>-0.16126891251811226</v>
      </c>
      <c r="BA174" s="105">
        <f>IF($AS$14&gt;0,IPMT('Assumptions (Coal)'!$V$6,Model!AE1,'Assumptions (Coal)'!$V$9,'Assumptions (Coal)'!$V$4*Model!$AS$14*AVERAGE('Assumptions (Coal)'!$AL$2:$AQ$2)/10^9),0)</f>
        <v>-0.14422892316412986</v>
      </c>
      <c r="BB174" s="105">
        <f>IF($AS$14&gt;0,IPMT('Assumptions (Coal)'!$V$6,Model!AF1,'Assumptions (Coal)'!$V$9,'Assumptions (Coal)'!$V$4*Model!$AS$14*AVERAGE('Assumptions (Coal)'!$AL$2:$AQ$2)/10^9),0)</f>
        <v>-0.12637953431583324</v>
      </c>
      <c r="BC174" s="105">
        <f>IF($AS$14&gt;0,IPMT('Assumptions (Coal)'!$V$6,Model!AG1,'Assumptions (Coal)'!$V$9,'Assumptions (Coal)'!$V$4*Model!$AS$14*AVERAGE('Assumptions (Coal)'!$AL$2:$AQ$2)/10^9),0)</f>
        <v>-0.10768229949724252</v>
      </c>
      <c r="BD174" s="105">
        <f>IF($AS$14&gt;0,IPMT('Assumptions (Coal)'!$V$6,Model!AH1,'Assumptions (Coal)'!$V$9,'Assumptions (Coal)'!$V$4*Model!$AS$14*AVERAGE('Assumptions (Coal)'!$AL$2:$AQ$2)/10^9),0)</f>
        <v>-8.809694602476878E-2</v>
      </c>
      <c r="BE174" s="105">
        <f>IF($AS$14&gt;0,IPMT('Assumptions (Coal)'!$V$6,Model!AI1,'Assumptions (Coal)'!$V$9,'Assumptions (Coal)'!$V$4*Model!$AS$14*AVERAGE('Assumptions (Coal)'!$AL$2:$AQ$2)/10^9),0)</f>
        <v>-6.758128826235249E-2</v>
      </c>
      <c r="BF174" s="105">
        <f>IF($AS$14&gt;0,IPMT('Assumptions (Coal)'!$V$6,Model!AJ1,'Assumptions (Coal)'!$V$9,'Assumptions (Coal)'!$V$4*Model!$AS$14*AVERAGE('Assumptions (Coal)'!$AL$2:$AQ$2)/10^9),0)</f>
        <v>-4.6091136756221451E-2</v>
      </c>
      <c r="BG174" s="105">
        <f>IF($AS$14&gt;0,IPMT('Assumptions (Coal)'!$V$6,Model!AK1,'Assumptions (Coal)'!$V$9,'Assumptions (Coal)'!$V$4*Model!$AS$14*AVERAGE('Assumptions (Coal)'!$AL$2:$AQ$2)/10^9),0)</f>
        <v>-2.3580203053549194E-2</v>
      </c>
      <c r="BH174" s="105"/>
      <c r="BI174" s="105"/>
      <c r="BJ174" s="105"/>
      <c r="BK174" s="105"/>
      <c r="BL174" s="105"/>
      <c r="BM174" s="105"/>
      <c r="BN174" s="105"/>
      <c r="BO174" s="105"/>
    </row>
    <row r="175" spans="1:67" ht="15.75" hidden="1" customHeight="1" outlineLevel="1">
      <c r="A175" s="98"/>
      <c r="B175" s="99"/>
      <c r="C175" s="99"/>
      <c r="D175" s="99"/>
      <c r="E175" s="99"/>
      <c r="F175" s="99"/>
      <c r="G175" s="99"/>
      <c r="H175" s="99"/>
      <c r="I175" s="99"/>
      <c r="J175" s="99"/>
      <c r="K175" s="99"/>
      <c r="L175" s="99"/>
      <c r="M175" s="99"/>
      <c r="N175" s="99"/>
      <c r="O175" s="99"/>
      <c r="P175" s="99"/>
      <c r="Q175" s="99"/>
      <c r="R175" s="99"/>
      <c r="S175" s="99"/>
      <c r="T175" s="99"/>
      <c r="U175" s="99"/>
      <c r="V175" s="99"/>
      <c r="W175" s="105"/>
      <c r="X175" s="105"/>
      <c r="Y175" s="105"/>
      <c r="Z175" s="105"/>
      <c r="AA175" s="105"/>
      <c r="AB175" s="105"/>
      <c r="AC175" s="105"/>
      <c r="AD175" s="105"/>
      <c r="AE175" s="105"/>
      <c r="AF175" s="105"/>
      <c r="AG175" s="105"/>
      <c r="AH175" s="105"/>
      <c r="AI175" s="105"/>
      <c r="AJ175" s="171"/>
      <c r="AK175" s="105"/>
      <c r="AL175" s="91"/>
      <c r="AM175" s="91"/>
      <c r="AN175" s="91"/>
      <c r="AO175" s="105"/>
      <c r="AP175" s="105"/>
      <c r="AQ175" s="105"/>
      <c r="AR175" s="105"/>
      <c r="AS175" s="105"/>
      <c r="AT175" s="105">
        <f>IF($AT$14&gt;0,IPMT('Assumptions (Coal)'!$V$6,Model!W1,'Assumptions (Coal)'!$V$9,'Assumptions (Coal)'!$V$4*Model!$AT$14*AVERAGE('Assumptions (Coal)'!$AM$2:$AR$2)/10^9),0)</f>
        <v>-0.94247122597116462</v>
      </c>
      <c r="AU175" s="105">
        <f>IF($AT$14&gt;0,IPMT('Assumptions (Coal)'!$V$6,Model!X1,'Assumptions (Coal)'!$V$9,'Assumptions (Coal)'!$V$4*Model!$AT$14*AVERAGE('Assumptions (Coal)'!$AM$2:$AR$2)/10^9),0)</f>
        <v>-0.89796666553120319</v>
      </c>
      <c r="AV175" s="105">
        <f>IF($AT$14&gt;0,IPMT('Assumptions (Coal)'!$V$6,Model!Y1,'Assumptions (Coal)'!$V$9,'Assumptions (Coal)'!$V$4*Model!$AT$14*AVERAGE('Assumptions (Coal)'!$AM$2:$AR$2)/10^9),0)</f>
        <v>-0.85134813847034363</v>
      </c>
      <c r="AW175" s="105">
        <f>IF($AT$14&gt;0,IPMT('Assumptions (Coal)'!$V$6,Model!Z1,'Assumptions (Coal)'!$V$9,'Assumptions (Coal)'!$V$4*Model!$AT$14*AVERAGE('Assumptions (Coal)'!$AM$2:$AR$2)/10^9),0)</f>
        <v>-0.80251523137409353</v>
      </c>
      <c r="AX175" s="105">
        <f>IF($AT$14&gt;0,IPMT('Assumptions (Coal)'!$V$6,Model!AA1,'Assumptions (Coal)'!$V$9,'Assumptions (Coal)'!$V$4*Model!$AT$14*AVERAGE('Assumptions (Coal)'!$AM$2:$AR$2)/10^9),0)</f>
        <v>-0.75136276119077128</v>
      </c>
      <c r="AY175" s="105">
        <f>IF($AT$14&gt;0,IPMT('Assumptions (Coal)'!$V$6,Model!AB1,'Assumptions (Coal)'!$V$9,'Assumptions (Coal)'!$V$4*Model!$AT$14*AVERAGE('Assumptions (Coal)'!$AM$2:$AR$2)/10^9),0)</f>
        <v>-0.6977805486737414</v>
      </c>
      <c r="AZ175" s="105">
        <f>IF($AT$14&gt;0,IPMT('Assumptions (Coal)'!$V$6,Model!AC1,'Assumptions (Coal)'!$V$9,'Assumptions (Coal)'!$V$4*Model!$AT$14*AVERAGE('Assumptions (Coal)'!$AM$2:$AR$2)/10^9),0)</f>
        <v>-0.64165318106215252</v>
      </c>
      <c r="BA175" s="105">
        <f>IF($AT$14&gt;0,IPMT('Assumptions (Coal)'!$V$6,Model!AD1,'Assumptions (Coal)'!$V$9,'Assumptions (Coal)'!$V$4*Model!$AT$14*AVERAGE('Assumptions (Coal)'!$AM$2:$AR$2)/10^9),0)</f>
        <v>-0.58285976348901325</v>
      </c>
      <c r="BB175" s="105">
        <f>IF($AT$14&gt;0,IPMT('Assumptions (Coal)'!$V$6,Model!AE1,'Assumptions (Coal)'!$V$9,'Assumptions (Coal)'!$V$4*Model!$AT$14*AVERAGE('Assumptions (Coal)'!$AM$2:$AR$2)/10^9),0)</f>
        <v>-0.52127365858114982</v>
      </c>
      <c r="BC175" s="105">
        <f>IF($AT$14&gt;0,IPMT('Assumptions (Coal)'!$V$6,Model!AF1,'Assumptions (Coal)'!$V$9,'Assumptions (Coal)'!$V$4*Model!$AT$14*AVERAGE('Assumptions (Coal)'!$AM$2:$AR$2)/10^9),0)</f>
        <v>-0.4567622136901629</v>
      </c>
      <c r="BD175" s="105">
        <f>IF($AT$14&gt;0,IPMT('Assumptions (Coal)'!$V$6,Model!AG1,'Assumptions (Coal)'!$V$9,'Assumptions (Coal)'!$V$4*Model!$AT$14*AVERAGE('Assumptions (Coal)'!$AM$2:$AR$2)/10^9),0)</f>
        <v>-0.38918647516685412</v>
      </c>
      <c r="BE175" s="105">
        <f>IF($AT$14&gt;0,IPMT('Assumptions (Coal)'!$V$6,Model!AH1,'Assumptions (Coal)'!$V$9,'Assumptions (Coal)'!$V$4*Model!$AT$14*AVERAGE('Assumptions (Coal)'!$AM$2:$AR$2)/10^9),0)</f>
        <v>-0.31840088906368813</v>
      </c>
      <c r="BF175" s="105">
        <f>IF($AT$14&gt;0,IPMT('Assumptions (Coal)'!$V$6,Model!AI1,'Assumptions (Coal)'!$V$9,'Assumptions (Coal)'!$V$4*Model!$AT$14*AVERAGE('Assumptions (Coal)'!$AM$2:$AR$2)/10^9),0)</f>
        <v>-0.24425298762062173</v>
      </c>
      <c r="BG175" s="105">
        <f>IF($AT$14&gt;0,IPMT('Assumptions (Coal)'!$V$6,Model!AJ1,'Assumptions (Coal)'!$V$9,'Assumptions (Coal)'!$V$4*Model!$AT$14*AVERAGE('Assumptions (Coal)'!$AM$2:$AR$2)/10^9),0)</f>
        <v>-0.16658306085900965</v>
      </c>
      <c r="BH175" s="105">
        <f>IF($AT$14&gt;0,IPMT('Assumptions (Coal)'!$V$6,Model!AK1,'Assumptions (Coal)'!$V$9,'Assumptions (Coal)'!$V$4*Model!$AT$14*AVERAGE('Assumptions (Coal)'!$AM$2:$AR$2)/10^9),0)</f>
        <v>-8.5223812576221053E-2</v>
      </c>
      <c r="BI175" s="105"/>
      <c r="BJ175" s="105"/>
      <c r="BK175" s="105"/>
      <c r="BL175" s="105"/>
      <c r="BM175" s="105"/>
      <c r="BN175" s="105"/>
      <c r="BO175" s="105"/>
    </row>
    <row r="176" spans="1:67" ht="15.75" hidden="1" customHeight="1" outlineLevel="1">
      <c r="A176" s="98"/>
      <c r="B176" s="99"/>
      <c r="C176" s="99"/>
      <c r="D176" s="99"/>
      <c r="E176" s="99"/>
      <c r="F176" s="99"/>
      <c r="G176" s="99"/>
      <c r="H176" s="99"/>
      <c r="I176" s="99"/>
      <c r="J176" s="99"/>
      <c r="K176" s="99"/>
      <c r="L176" s="99"/>
      <c r="M176" s="99"/>
      <c r="N176" s="99"/>
      <c r="O176" s="99"/>
      <c r="P176" s="99"/>
      <c r="Q176" s="99"/>
      <c r="R176" s="99"/>
      <c r="S176" s="99"/>
      <c r="T176" s="99"/>
      <c r="U176" s="99"/>
      <c r="V176" s="99"/>
      <c r="W176" s="105"/>
      <c r="X176" s="105"/>
      <c r="Y176" s="105"/>
      <c r="Z176" s="105"/>
      <c r="AA176" s="105"/>
      <c r="AB176" s="105"/>
      <c r="AC176" s="105"/>
      <c r="AD176" s="105"/>
      <c r="AE176" s="105"/>
      <c r="AF176" s="105"/>
      <c r="AG176" s="105"/>
      <c r="AH176" s="105"/>
      <c r="AI176" s="105"/>
      <c r="AJ176" s="171"/>
      <c r="AK176" s="105"/>
      <c r="AL176" s="91"/>
      <c r="AM176" s="91"/>
      <c r="AN176" s="91"/>
      <c r="AO176" s="105"/>
      <c r="AP176" s="105"/>
      <c r="AQ176" s="105"/>
      <c r="AR176" s="105"/>
      <c r="AS176" s="105"/>
      <c r="AT176" s="105"/>
      <c r="AU176" s="105">
        <f>IF($AU$14&gt;0,IPMT('Assumptions (Coal)'!$V$6,Model!W1,'Assumptions (Coal)'!$V$9,'Assumptions (Coal)'!$V$4*Model!$AU$14*AVERAGE('Assumptions (Coal)'!$AN$2:$AS$2)/10^9),0)</f>
        <v>-0.20608373967508573</v>
      </c>
      <c r="AV176" s="105">
        <f>IF($AU$14&gt;0,IPMT('Assumptions (Coal)'!$V$6,Model!X1,'Assumptions (Coal)'!$V$9,'Assumptions (Coal)'!$V$4*Model!$AU$14*AVERAGE('Assumptions (Coal)'!$AN$2:$AS$2)/10^9),0)</f>
        <v>-0.19635223170399382</v>
      </c>
      <c r="AW176" s="105">
        <f>IF($AU$14&gt;0,IPMT('Assumptions (Coal)'!$V$6,Model!Y1,'Assumptions (Coal)'!$V$9,'Assumptions (Coal)'!$V$4*Model!$AU$14*AVERAGE('Assumptions (Coal)'!$AN$2:$AS$2)/10^9),0)</f>
        <v>-0.18615847710427511</v>
      </c>
      <c r="AX176" s="105">
        <f>IF($AU$14&gt;0,IPMT('Assumptions (Coal)'!$V$6,Model!Z1,'Assumptions (Coal)'!$V$9,'Assumptions (Coal)'!$V$4*Model!$AU$14*AVERAGE('Assumptions (Coal)'!$AN$2:$AS$2)/10^9),0)</f>
        <v>-0.17548051916106977</v>
      </c>
      <c r="AY176" s="105">
        <f>IF($AU$14&gt;0,IPMT('Assumptions (Coal)'!$V$6,Model!AA1,'Assumptions (Coal)'!$V$9,'Assumptions (Coal)'!$V$4*Model!$AU$14*AVERAGE('Assumptions (Coal)'!$AN$2:$AS$2)/10^9),0)</f>
        <v>-0.16429535821556215</v>
      </c>
      <c r="AZ176" s="105">
        <f>IF($AU$14&gt;0,IPMT('Assumptions (Coal)'!$V$6,Model!AB1,'Assumptions (Coal)'!$V$9,'Assumptions (Coal)'!$V$4*Model!$AU$14*AVERAGE('Assumptions (Coal)'!$AN$2:$AS$2)/10^9),0)</f>
        <v>-0.15257890212514297</v>
      </c>
      <c r="BA176" s="105">
        <f>IF($AU$14&gt;0,IPMT('Assumptions (Coal)'!$V$6,Model!AC1,'Assumptions (Coal)'!$V$9,'Assumptions (Coal)'!$V$4*Model!$AU$14*AVERAGE('Assumptions (Coal)'!$AN$2:$AS$2)/10^9),0)</f>
        <v>-0.14030591437042883</v>
      </c>
      <c r="BB176" s="105">
        <f>IF($AU$14&gt;0,IPMT('Assumptions (Coal)'!$V$6,Model!AD1,'Assumptions (Coal)'!$V$9,'Assumptions (Coal)'!$V$4*Model!$AU$14*AVERAGE('Assumptions (Coal)'!$AN$2:$AS$2)/10^9),0)</f>
        <v>-0.12744995969736578</v>
      </c>
      <c r="BC176" s="105">
        <f>IF($AU$14&gt;0,IPMT('Assumptions (Coal)'!$V$6,Model!AE1,'Assumptions (Coal)'!$V$9,'Assumptions (Coal)'!$V$4*Model!$AU$14*AVERAGE('Assumptions (Coal)'!$AN$2:$AS$2)/10^9),0)</f>
        <v>-0.11398334717733224</v>
      </c>
      <c r="BD176" s="105">
        <f>IF($AU$14&gt;0,IPMT('Assumptions (Coal)'!$V$6,Model!AF1,'Assumptions (Coal)'!$V$9,'Assumptions (Coal)'!$V$4*Model!$AU$14*AVERAGE('Assumptions (Coal)'!$AN$2:$AS$2)/10^9),0)</f>
        <v>-9.987707056259712E-2</v>
      </c>
      <c r="BE176" s="105">
        <f>IF($AU$14&gt;0,IPMT('Assumptions (Coal)'!$V$6,Model!AG1,'Assumptions (Coal)'!$V$9,'Assumptions (Coal)'!$V$4*Model!$AU$14*AVERAGE('Assumptions (Coal)'!$AN$2:$AS$2)/10^9),0)</f>
        <v>-8.5100745808662059E-2</v>
      </c>
      <c r="BF176" s="105">
        <f>IF($AU$14&gt;0,IPMT('Assumptions (Coal)'!$V$6,Model!AH1,'Assumptions (Coal)'!$V$9,'Assumptions (Coal)'!$V$4*Model!$AU$14*AVERAGE('Assumptions (Coal)'!$AN$2:$AS$2)/10^9),0)</f>
        <v>-6.9622545628915095E-2</v>
      </c>
      <c r="BG176" s="105">
        <f>IF($AU$14&gt;0,IPMT('Assumptions (Coal)'!$V$6,Model!AI1,'Assumptions (Coal)'!$V$9,'Assumptions (Coal)'!$V$4*Model!$AU$14*AVERAGE('Assumptions (Coal)'!$AN$2:$AS$2)/10^9),0)</f>
        <v>-5.3409130940630135E-2</v>
      </c>
      <c r="BH176" s="105">
        <f>IF($AU$14&gt;0,IPMT('Assumptions (Coal)'!$V$6,Model!AJ1,'Assumptions (Coal)'!$V$9,'Assumptions (Coal)'!$V$4*Model!$AU$14*AVERAGE('Assumptions (Coal)'!$AN$2:$AS$2)/10^9),0)</f>
        <v>-3.6425579054651644E-2</v>
      </c>
      <c r="BI176" s="105">
        <f>IF($AU$14&gt;0,IPMT('Assumptions (Coal)'!$V$6,Model!AK1,'Assumptions (Coal)'!$V$9,'Assumptions (Coal)'!$V$4*Model!$AU$14*AVERAGE('Assumptions (Coal)'!$AN$2:$AS$2)/10^9),0)</f>
        <v>-1.8635308454089183E-2</v>
      </c>
      <c r="BJ176" s="105"/>
      <c r="BK176" s="105"/>
      <c r="BL176" s="105"/>
      <c r="BM176" s="105"/>
      <c r="BN176" s="105"/>
      <c r="BO176" s="105"/>
    </row>
    <row r="177" spans="1:74" ht="15.75" hidden="1" customHeight="1" outlineLevel="1">
      <c r="A177" s="98"/>
      <c r="B177" s="99"/>
      <c r="C177" s="99"/>
      <c r="D177" s="99"/>
      <c r="E177" s="99"/>
      <c r="F177" s="99"/>
      <c r="G177" s="99"/>
      <c r="H177" s="99"/>
      <c r="I177" s="99"/>
      <c r="J177" s="99"/>
      <c r="K177" s="99"/>
      <c r="L177" s="99"/>
      <c r="M177" s="99"/>
      <c r="N177" s="99"/>
      <c r="O177" s="99"/>
      <c r="P177" s="99"/>
      <c r="Q177" s="99"/>
      <c r="R177" s="99"/>
      <c r="S177" s="99"/>
      <c r="T177" s="99"/>
      <c r="U177" s="99"/>
      <c r="V177" s="99"/>
      <c r="W177" s="105"/>
      <c r="X177" s="105"/>
      <c r="Y177" s="105"/>
      <c r="Z177" s="105"/>
      <c r="AA177" s="105"/>
      <c r="AB177" s="105"/>
      <c r="AC177" s="105"/>
      <c r="AD177" s="105"/>
      <c r="AE177" s="105"/>
      <c r="AF177" s="105"/>
      <c r="AG177" s="105"/>
      <c r="AH177" s="105"/>
      <c r="AI177" s="105"/>
      <c r="AJ177" s="171"/>
      <c r="AK177" s="105"/>
      <c r="AL177" s="91"/>
      <c r="AM177" s="91"/>
      <c r="AN177" s="91"/>
      <c r="AO177" s="105"/>
      <c r="AP177" s="105"/>
      <c r="AQ177" s="105"/>
      <c r="AR177" s="105"/>
      <c r="AS177" s="105"/>
      <c r="AT177" s="105"/>
      <c r="AU177" s="105"/>
      <c r="AV177" s="105">
        <f>IF($AV$14&gt;0,IPMT('Assumptions (Coal)'!$V$6,Model!W1,'Assumptions (Coal)'!$V$9,'Assumptions (Coal)'!$V$4*Model!$AV$14*AVERAGE('Assumptions (Coal)'!$AO$2:$AT$2)/10^9),0)</f>
        <v>-0.39011026004673427</v>
      </c>
      <c r="AW177" s="105">
        <f>IF($AV$14&gt;0,IPMT('Assumptions (Coal)'!$V$6,Model!X1,'Assumptions (Coal)'!$V$9,'Assumptions (Coal)'!$V$4*Model!$AV$14*AVERAGE('Assumptions (Coal)'!$AO$2:$AT$2)/10^9),0)</f>
        <v>-0.37168881102200818</v>
      </c>
      <c r="AX177" s="105">
        <f>IF($AV$14&gt;0,IPMT('Assumptions (Coal)'!$V$6,Model!Y1,'Assumptions (Coal)'!$V$9,'Assumptions (Coal)'!$V$4*Model!$AV$14*AVERAGE('Assumptions (Coal)'!$AO$2:$AT$2)/10^9),0)</f>
        <v>-0.35239234316860751</v>
      </c>
      <c r="AY177" s="105">
        <f>IF($AV$14&gt;0,IPMT('Assumptions (Coal)'!$V$6,Model!Z1,'Assumptions (Coal)'!$V$9,'Assumptions (Coal)'!$V$4*Model!$AV$14*AVERAGE('Assumptions (Coal)'!$AO$2:$AT$2)/10^9),0)</f>
        <v>-0.33217929309217054</v>
      </c>
      <c r="AZ177" s="105">
        <f>IF($AV$14&gt;0,IPMT('Assumptions (Coal)'!$V$6,Model!AA1,'Assumptions (Coal)'!$V$9,'Assumptions (Coal)'!$V$4*Model!$AV$14*AVERAGE('Assumptions (Coal)'!$AO$2:$AT$2)/10^9),0)</f>
        <v>-0.31100612313710269</v>
      </c>
      <c r="BA177" s="105">
        <f>IF($AV$14&gt;0,IPMT('Assumptions (Coal)'!$V$6,Model!AB1,'Assumptions (Coal)'!$V$9,'Assumptions (Coal)'!$V$4*Model!$AV$14*AVERAGE('Assumptions (Coal)'!$AO$2:$AT$2)/10^9),0)</f>
        <v>-0.28882722760916907</v>
      </c>
      <c r="BB177" s="105">
        <f>IF($AV$14&gt;0,IPMT('Assumptions (Coal)'!$V$6,Model!AC1,'Assumptions (Coal)'!$V$9,'Assumptions (Coal)'!$V$4*Model!$AV$14*AVERAGE('Assumptions (Coal)'!$AO$2:$AT$2)/10^9),0)</f>
        <v>-0.26559483454365868</v>
      </c>
      <c r="BC177" s="105">
        <f>IF($AV$14&gt;0,IPMT('Assumptions (Coal)'!$V$6,Model!AD1,'Assumptions (Coal)'!$V$9,'Assumptions (Coal)'!$V$4*Model!$AV$14*AVERAGE('Assumptions (Coal)'!$AO$2:$AT$2)/10^9),0)</f>
        <v>-0.24125890280753653</v>
      </c>
      <c r="BD177" s="105">
        <f>IF($AV$14&gt;0,IPMT('Assumptions (Coal)'!$V$6,Model!AE1,'Assumptions (Coal)'!$V$9,'Assumptions (Coal)'!$V$4*Model!$AV$14*AVERAGE('Assumptions (Coal)'!$AO$2:$AT$2)/10^9),0)</f>
        <v>-0.21576701431394862</v>
      </c>
      <c r="BE177" s="105">
        <f>IF($AV$14&gt;0,IPMT('Assumptions (Coal)'!$V$6,Model!AF1,'Assumptions (Coal)'!$V$9,'Assumptions (Coal)'!$V$4*Model!$AV$14*AVERAGE('Assumptions (Coal)'!$AO$2:$AT$2)/10^9),0)</f>
        <v>-0.18906426111691524</v>
      </c>
      <c r="BF177" s="105">
        <f>IF($AV$14&gt;0,IPMT('Assumptions (Coal)'!$V$6,Model!AG1,'Assumptions (Coal)'!$V$9,'Assumptions (Coal)'!$V$4*Model!$AV$14*AVERAGE('Assumptions (Coal)'!$AO$2:$AT$2)/10^9),0)</f>
        <v>-0.16109312714302276</v>
      </c>
      <c r="BG177" s="105">
        <f>IF($AV$14&gt;0,IPMT('Assumptions (Coal)'!$V$6,Model!AH1,'Assumptions (Coal)'!$V$9,'Assumptions (Coal)'!$V$4*Model!$AV$14*AVERAGE('Assumptions (Coal)'!$AO$2:$AT$2)/10^9),0)</f>
        <v>-0.13179336430537042</v>
      </c>
      <c r="BH177" s="105">
        <f>IF($AV$14&gt;0,IPMT('Assumptions (Coal)'!$V$6,Model!AI1,'Assumptions (Coal)'!$V$9,'Assumptions (Coal)'!$V$4*Model!$AV$14*AVERAGE('Assumptions (Coal)'!$AO$2:$AT$2)/10^9),0)</f>
        <v>-0.10110186273292955</v>
      </c>
      <c r="BI177" s="105">
        <f>IF($AV$14&gt;0,IPMT('Assumptions (Coal)'!$V$6,Model!AJ1,'Assumptions (Coal)'!$V$9,'Assumptions (Coal)'!$V$4*Model!$AV$14*AVERAGE('Assumptions (Coal)'!$AO$2:$AT$2)/10^9),0)</f>
        <v>-6.8952514835797757E-2</v>
      </c>
      <c r="BJ177" s="105">
        <f>IF($AV$14&gt;0,IPMT('Assumptions (Coal)'!$V$6,Model!AK1,'Assumptions (Coal)'!$V$9,'Assumptions (Coal)'!$V$4*Model!$AV$14*AVERAGE('Assumptions (Coal)'!$AO$2:$AT$2)/10^9),0)</f>
        <v>-3.5276072913552212E-2</v>
      </c>
      <c r="BK177" s="105"/>
      <c r="BL177" s="105"/>
      <c r="BM177" s="105"/>
      <c r="BN177" s="105"/>
      <c r="BO177" s="105"/>
    </row>
    <row r="178" spans="1:74" ht="15.75" hidden="1" customHeight="1" outlineLevel="1">
      <c r="A178" s="98"/>
      <c r="B178" s="99"/>
      <c r="C178" s="99"/>
      <c r="D178" s="99"/>
      <c r="E178" s="99"/>
      <c r="F178" s="99"/>
      <c r="G178" s="99"/>
      <c r="H178" s="99"/>
      <c r="I178" s="99"/>
      <c r="J178" s="99"/>
      <c r="K178" s="99"/>
      <c r="L178" s="99"/>
      <c r="M178" s="99"/>
      <c r="N178" s="99"/>
      <c r="O178" s="99"/>
      <c r="P178" s="99"/>
      <c r="Q178" s="99"/>
      <c r="R178" s="99"/>
      <c r="S178" s="99"/>
      <c r="T178" s="99"/>
      <c r="U178" s="99"/>
      <c r="V178" s="99"/>
      <c r="W178" s="105"/>
      <c r="X178" s="105"/>
      <c r="Y178" s="105"/>
      <c r="Z178" s="105"/>
      <c r="AA178" s="105"/>
      <c r="AB178" s="105"/>
      <c r="AC178" s="105"/>
      <c r="AD178" s="105"/>
      <c r="AE178" s="105"/>
      <c r="AF178" s="105"/>
      <c r="AG178" s="105"/>
      <c r="AH178" s="105"/>
      <c r="AI178" s="105"/>
      <c r="AJ178" s="171"/>
      <c r="AK178" s="105"/>
      <c r="AL178" s="91"/>
      <c r="AM178" s="91"/>
      <c r="AN178" s="91"/>
      <c r="AO178" s="105"/>
      <c r="AP178" s="105"/>
      <c r="AQ178" s="105"/>
      <c r="AR178" s="105"/>
      <c r="AS178" s="105"/>
      <c r="AT178" s="105"/>
      <c r="AU178" s="105"/>
      <c r="AV178" s="105"/>
      <c r="AW178" s="105">
        <f>IF($AW$14&gt;0,IPMT('Assumptions (Coal)'!$V$6,Model!W1,'Assumptions (Coal)'!$V$9,'Assumptions (Coal)'!$V$4*Model!$AW$14*AVERAGE('Assumptions (Coal)'!$AP$2:$AU$2)/10^9),0)</f>
        <v>0</v>
      </c>
      <c r="AX178" s="105">
        <f>IF($AW$14&gt;0,IPMT('Assumptions (Coal)'!$V$6,Model!X1,'Assumptions (Coal)'!$V$9,'Assumptions (Coal)'!$V$4*Model!$AW$14*AVERAGE('Assumptions (Coal)'!$AP$2:$AU$2)/10^9),0)</f>
        <v>0</v>
      </c>
      <c r="AY178" s="105">
        <f>IF($AW$14&gt;0,IPMT('Assumptions (Coal)'!$V$6,Model!Y1,'Assumptions (Coal)'!$V$9,'Assumptions (Coal)'!$V$4*Model!$AW$14*AVERAGE('Assumptions (Coal)'!$AP$2:$AU$2)/10^9),0)</f>
        <v>0</v>
      </c>
      <c r="AZ178" s="105">
        <f>IF($AW$14&gt;0,IPMT('Assumptions (Coal)'!$V$6,Model!Z1,'Assumptions (Coal)'!$V$9,'Assumptions (Coal)'!$V$4*Model!$AW$14*AVERAGE('Assumptions (Coal)'!$AP$2:$AU$2)/10^9),0)</f>
        <v>0</v>
      </c>
      <c r="BA178" s="105">
        <f>IF($AW$14&gt;0,IPMT('Assumptions (Coal)'!$V$6,Model!AA1,'Assumptions (Coal)'!$V$9,'Assumptions (Coal)'!$V$4*Model!$AW$14*AVERAGE('Assumptions (Coal)'!$AP$2:$AU$2)/10^9),0)</f>
        <v>0</v>
      </c>
      <c r="BB178" s="105">
        <f>IF($AW$14&gt;0,IPMT('Assumptions (Coal)'!$V$6,Model!AB1,'Assumptions (Coal)'!$V$9,'Assumptions (Coal)'!$V$4*Model!$AW$14*AVERAGE('Assumptions (Coal)'!$AP$2:$AU$2)/10^9),0)</f>
        <v>0</v>
      </c>
      <c r="BC178" s="105">
        <f>IF($AW$14&gt;0,IPMT('Assumptions (Coal)'!$V$6,Model!AC1,'Assumptions (Coal)'!$V$9,'Assumptions (Coal)'!$V$4*Model!$AW$14*AVERAGE('Assumptions (Coal)'!$AP$2:$AU$2)/10^9),0)</f>
        <v>0</v>
      </c>
      <c r="BD178" s="105">
        <f>IF($AW$14&gt;0,IPMT('Assumptions (Coal)'!$V$6,Model!AD1,'Assumptions (Coal)'!$V$9,'Assumptions (Coal)'!$V$4*Model!$AW$14*AVERAGE('Assumptions (Coal)'!$AP$2:$AU$2)/10^9),0)</f>
        <v>0</v>
      </c>
      <c r="BE178" s="105">
        <f>IF($AW$14&gt;0,IPMT('Assumptions (Coal)'!$V$6,Model!AE1,'Assumptions (Coal)'!$V$9,'Assumptions (Coal)'!$V$4*Model!$AW$14*AVERAGE('Assumptions (Coal)'!$AP$2:$AU$2)/10^9),0)</f>
        <v>0</v>
      </c>
      <c r="BF178" s="105">
        <f>IF($AW$14&gt;0,IPMT('Assumptions (Coal)'!$V$6,Model!AF1,'Assumptions (Coal)'!$V$9,'Assumptions (Coal)'!$V$4*Model!$AW$14*AVERAGE('Assumptions (Coal)'!$AP$2:$AU$2)/10^9),0)</f>
        <v>0</v>
      </c>
      <c r="BG178" s="105">
        <f>IF($AW$14&gt;0,IPMT('Assumptions (Coal)'!$V$6,Model!AG1,'Assumptions (Coal)'!$V$9,'Assumptions (Coal)'!$V$4*Model!$AW$14*AVERAGE('Assumptions (Coal)'!$AP$2:$AU$2)/10^9),0)</f>
        <v>0</v>
      </c>
      <c r="BH178" s="105">
        <f>IF($AW$14&gt;0,IPMT('Assumptions (Coal)'!$V$6,Model!AH1,'Assumptions (Coal)'!$V$9,'Assumptions (Coal)'!$V$4*Model!$AW$14*AVERAGE('Assumptions (Coal)'!$AP$2:$AU$2)/10^9),0)</f>
        <v>0</v>
      </c>
      <c r="BI178" s="105">
        <f>IF($AW$14&gt;0,IPMT('Assumptions (Coal)'!$V$6,Model!AI1,'Assumptions (Coal)'!$V$9,'Assumptions (Coal)'!$V$4*Model!$AW$14*AVERAGE('Assumptions (Coal)'!$AP$2:$AU$2)/10^9),0)</f>
        <v>0</v>
      </c>
      <c r="BJ178" s="105">
        <f>IF($AW$14&gt;0,IPMT('Assumptions (Coal)'!$V$6,Model!AJ1,'Assumptions (Coal)'!$V$9,'Assumptions (Coal)'!$V$4*Model!$AW$14*AVERAGE('Assumptions (Coal)'!$AP$2:$AU$2)/10^9),0)</f>
        <v>0</v>
      </c>
      <c r="BK178" s="105">
        <f>IF($AW$14&gt;0,IPMT('Assumptions (Coal)'!$V$6,Model!AK1,'Assumptions (Coal)'!$V$9,'Assumptions (Coal)'!$V$4*Model!$AW$14*AVERAGE('Assumptions (Coal)'!$AP$2:$AU$2)/10^9),0)</f>
        <v>0</v>
      </c>
      <c r="BL178" s="105"/>
      <c r="BM178" s="105"/>
      <c r="BN178" s="105"/>
      <c r="BO178" s="105"/>
    </row>
    <row r="179" spans="1:74" ht="15.75" hidden="1" customHeight="1" outlineLevel="1">
      <c r="A179" s="98"/>
      <c r="B179" s="99"/>
      <c r="C179" s="99"/>
      <c r="D179" s="99"/>
      <c r="E179" s="99"/>
      <c r="F179" s="99"/>
      <c r="G179" s="99"/>
      <c r="H179" s="99"/>
      <c r="I179" s="99"/>
      <c r="J179" s="99"/>
      <c r="K179" s="99"/>
      <c r="L179" s="99"/>
      <c r="M179" s="99"/>
      <c r="N179" s="99"/>
      <c r="O179" s="99"/>
      <c r="P179" s="99"/>
      <c r="Q179" s="99"/>
      <c r="R179" s="99"/>
      <c r="S179" s="99"/>
      <c r="T179" s="99"/>
      <c r="U179" s="99"/>
      <c r="V179" s="99"/>
      <c r="W179" s="105"/>
      <c r="X179" s="105"/>
      <c r="Y179" s="105"/>
      <c r="Z179" s="105"/>
      <c r="AA179" s="105"/>
      <c r="AB179" s="105"/>
      <c r="AC179" s="105"/>
      <c r="AD179" s="105"/>
      <c r="AE179" s="105"/>
      <c r="AF179" s="105"/>
      <c r="AG179" s="105"/>
      <c r="AH179" s="105"/>
      <c r="AI179" s="105"/>
      <c r="AJ179" s="171"/>
      <c r="AK179" s="105"/>
      <c r="AL179" s="91"/>
      <c r="AM179" s="91"/>
      <c r="AN179" s="91"/>
      <c r="AO179" s="105"/>
      <c r="AP179" s="105"/>
      <c r="AQ179" s="105"/>
      <c r="AR179" s="105"/>
      <c r="AS179" s="105"/>
      <c r="AT179" s="105"/>
      <c r="AU179" s="105"/>
      <c r="AV179" s="105"/>
      <c r="AW179" s="105"/>
      <c r="AX179" s="105">
        <f>IF($AX$14&gt;0,IPMT('Assumptions (Coal)'!$V$6,Model!W1,'Assumptions (Coal)'!$V$9,'Assumptions (Coal)'!$V$4*Model!$AX$14*AVERAGE('Assumptions (Coal)'!$AQ$2:$AV$2)/10^9),0)</f>
        <v>-0.53956351440633277</v>
      </c>
      <c r="AY179" s="105">
        <f>IF($AX$14&gt;0,IPMT('Assumptions (Coal)'!$V$6,Model!X1,'Assumptions (Coal)'!$V$9,'Assumptions (Coal)'!$V$4*Model!$AX$14*AVERAGE('Assumptions (Coal)'!$AQ$2:$AV$2)/10^9),0)</f>
        <v>-0.51408471316935012</v>
      </c>
      <c r="AZ179" s="105">
        <f>IF($AX$14&gt;0,IPMT('Assumptions (Coal)'!$V$6,Model!Y1,'Assumptions (Coal)'!$V$9,'Assumptions (Coal)'!$V$4*Model!$AX$14*AVERAGE('Assumptions (Coal)'!$AQ$2:$AV$2)/10^9),0)</f>
        <v>-0.48739566887361091</v>
      </c>
      <c r="BA179" s="105">
        <f>IF($AX$14&gt;0,IPMT('Assumptions (Coal)'!$V$6,Model!Z1,'Assumptions (Coal)'!$V$9,'Assumptions (Coal)'!$V$4*Model!$AX$14*AVERAGE('Assumptions (Coal)'!$AQ$2:$AV$2)/10^9),0)</f>
        <v>-0.45943889497382412</v>
      </c>
      <c r="BB179" s="105">
        <f>IF($AX$14&gt;0,IPMT('Assumptions (Coal)'!$V$6,Model!AA1,'Assumptions (Coal)'!$V$9,'Assumptions (Coal)'!$V$4*Model!$AX$14*AVERAGE('Assumptions (Coal)'!$AQ$2:$AV$2)/10^9),0)</f>
        <v>-0.43015417431379743</v>
      </c>
      <c r="BC179" s="105">
        <f>IF($AX$14&gt;0,IPMT('Assumptions (Coal)'!$V$6,Model!AB1,'Assumptions (Coal)'!$V$9,'Assumptions (Coal)'!$V$4*Model!$AX$14*AVERAGE('Assumptions (Coal)'!$AQ$2:$AV$2)/10^9),0)</f>
        <v>-0.39947842942241951</v>
      </c>
      <c r="BD179" s="105">
        <f>IF($AX$14&gt;0,IPMT('Assumptions (Coal)'!$V$6,Model!AC1,'Assumptions (Coal)'!$V$9,'Assumptions (Coal)'!$V$4*Model!$AX$14*AVERAGE('Assumptions (Coal)'!$AQ$2:$AV$2)/10^9),0)</f>
        <v>-0.36734558664870109</v>
      </c>
      <c r="BE179" s="105">
        <f>IF($AX$14&gt;0,IPMT('Assumptions (Coal)'!$V$6,Model!AD1,'Assumptions (Coal)'!$V$9,'Assumptions (Coal)'!$V$4*Model!$AX$14*AVERAGE('Assumptions (Coal)'!$AQ$2:$AV$2)/10^9),0)</f>
        <v>-0.33368643384323105</v>
      </c>
      <c r="BF179" s="105">
        <f>IF($AX$14&gt;0,IPMT('Assumptions (Coal)'!$V$6,Model!AE1,'Assumptions (Coal)'!$V$9,'Assumptions (Coal)'!$V$4*Model!$AX$14*AVERAGE('Assumptions (Coal)'!$AQ$2:$AV$2)/10^9),0)</f>
        <v>-0.29842847127950128</v>
      </c>
      <c r="BG179" s="105">
        <f>IF($AX$14&gt;0,IPMT('Assumptions (Coal)'!$V$6,Model!AF1,'Assumptions (Coal)'!$V$9,'Assumptions (Coal)'!$V$4*Model!$AX$14*AVERAGE('Assumptions (Coal)'!$AQ$2:$AV$2)/10^9),0)</f>
        <v>-0.26149575549399429</v>
      </c>
      <c r="BH179" s="105">
        <f>IF($AX$14&gt;0,IPMT('Assumptions (Coal)'!$V$6,Model!AG1,'Assumptions (Coal)'!$V$9,'Assumptions (Coal)'!$V$4*Model!$AX$14*AVERAGE('Assumptions (Coal)'!$AQ$2:$AV$2)/10^9),0)</f>
        <v>-0.22280873570867568</v>
      </c>
      <c r="BI179" s="105">
        <f>IF($AX$14&gt;0,IPMT('Assumptions (Coal)'!$V$6,Model!AH1,'Assumptions (Coal)'!$V$9,'Assumptions (Coal)'!$V$4*Model!$AX$14*AVERAGE('Assumptions (Coal)'!$AQ$2:$AV$2)/10^9),0)</f>
        <v>-0.18228408248355446</v>
      </c>
      <c r="BJ179" s="105">
        <f>IF($AX$14&gt;0,IPMT('Assumptions (Coal)'!$V$6,Model!AI1,'Assumptions (Coal)'!$V$9,'Assumptions (Coal)'!$V$4*Model!$AX$14*AVERAGE('Assumptions (Coal)'!$AQ$2:$AV$2)/10^9),0)</f>
        <v>-0.13983450823023996</v>
      </c>
      <c r="BK179" s="105">
        <f>IF($AX$14&gt;0,IPMT('Assumptions (Coal)'!$V$6,Model!AJ1,'Assumptions (Coal)'!$V$9,'Assumptions (Coal)'!$V$4*Model!$AX$14*AVERAGE('Assumptions (Coal)'!$AQ$2:$AV$2)/10^9),0)</f>
        <v>-9.5368579199893014E-2</v>
      </c>
      <c r="BL179" s="105">
        <f>IF($AX$14&gt;0,IPMT('Assumptions (Coal)'!$V$6,Model!AK1,'Assumptions (Coal)'!$V$9,'Assumptions (Coal)'!$V$4*Model!$AX$14*AVERAGE('Assumptions (Coal)'!$AQ$2:$AV$2)/10^9),0)</f>
        <v>-4.8790518540604601E-2</v>
      </c>
      <c r="BM179" s="105"/>
      <c r="BN179" s="105"/>
      <c r="BO179" s="105"/>
    </row>
    <row r="180" spans="1:74" ht="15.75" hidden="1" customHeight="1" outlineLevel="1">
      <c r="A180" s="98"/>
      <c r="B180" s="99"/>
      <c r="C180" s="99"/>
      <c r="D180" s="99"/>
      <c r="E180" s="99"/>
      <c r="F180" s="99"/>
      <c r="G180" s="99"/>
      <c r="H180" s="99"/>
      <c r="I180" s="99"/>
      <c r="J180" s="99"/>
      <c r="K180" s="99"/>
      <c r="L180" s="99"/>
      <c r="M180" s="99"/>
      <c r="N180" s="99"/>
      <c r="O180" s="99"/>
      <c r="P180" s="99"/>
      <c r="Q180" s="99"/>
      <c r="R180" s="99"/>
      <c r="S180" s="99"/>
      <c r="T180" s="99"/>
      <c r="U180" s="99"/>
      <c r="V180" s="99"/>
      <c r="W180" s="105"/>
      <c r="X180" s="105"/>
      <c r="Y180" s="105"/>
      <c r="Z180" s="105"/>
      <c r="AA180" s="105"/>
      <c r="AB180" s="105"/>
      <c r="AC180" s="105"/>
      <c r="AD180" s="105"/>
      <c r="AE180" s="105"/>
      <c r="AF180" s="105"/>
      <c r="AG180" s="105"/>
      <c r="AH180" s="105"/>
      <c r="AI180" s="105"/>
      <c r="AJ180" s="171"/>
      <c r="AK180" s="105"/>
      <c r="AL180" s="91"/>
      <c r="AM180" s="91"/>
      <c r="AN180" s="91"/>
      <c r="AO180" s="105"/>
      <c r="AP180" s="105"/>
      <c r="AQ180" s="105"/>
      <c r="AR180" s="105"/>
      <c r="AS180" s="105"/>
      <c r="AT180" s="105"/>
      <c r="AU180" s="105"/>
      <c r="AV180" s="105"/>
      <c r="AW180" s="105"/>
      <c r="AX180" s="105"/>
      <c r="AY180" s="105">
        <f>IF($AY$14&gt;0,IPMT('Assumptions (Coal)'!$V$6,Model!W1,'Assumptions (Coal)'!$V$9,'Assumptions (Coal)'!$V$4*Model!$AY$14*AVERAGE('Assumptions (Coal)'!$AR$2:$AW$2)/10^9),0)</f>
        <v>0</v>
      </c>
      <c r="AZ180" s="105">
        <f>IF($AY$14&gt;0,IPMT('Assumptions (Coal)'!$V$6,Model!X1,'Assumptions (Coal)'!$V$9,'Assumptions (Coal)'!$V$4*Model!$AY$14*AVERAGE('Assumptions (Coal)'!$AR$2:$AW$2)/10^9),0)</f>
        <v>0</v>
      </c>
      <c r="BA180" s="105">
        <f>IF($AY$14&gt;0,IPMT('Assumptions (Coal)'!$V$6,Model!Y1,'Assumptions (Coal)'!$V$9,'Assumptions (Coal)'!$V$4*Model!$AY$14*AVERAGE('Assumptions (Coal)'!$AR$2:$AW$2)/10^9),0)</f>
        <v>0</v>
      </c>
      <c r="BB180" s="105">
        <f>IF($AY$14&gt;0,IPMT('Assumptions (Coal)'!$V$6,Model!Z1,'Assumptions (Coal)'!$V$9,'Assumptions (Coal)'!$V$4*Model!$AY$14*AVERAGE('Assumptions (Coal)'!$AR$2:$AW$2)/10^9),0)</f>
        <v>0</v>
      </c>
      <c r="BC180" s="105">
        <f>IF($AY$14&gt;0,IPMT('Assumptions (Coal)'!$V$6,Model!AA1,'Assumptions (Coal)'!$V$9,'Assumptions (Coal)'!$V$4*Model!$AY$14*AVERAGE('Assumptions (Coal)'!$AR$2:$AW$2)/10^9),0)</f>
        <v>0</v>
      </c>
      <c r="BD180" s="105">
        <f>IF($AY$14&gt;0,IPMT('Assumptions (Coal)'!$V$6,Model!AB1,'Assumptions (Coal)'!$V$9,'Assumptions (Coal)'!$V$4*Model!$AY$14*AVERAGE('Assumptions (Coal)'!$AR$2:$AW$2)/10^9),0)</f>
        <v>0</v>
      </c>
      <c r="BE180" s="105">
        <f>IF($AY$14&gt;0,IPMT('Assumptions (Coal)'!$V$6,Model!AC1,'Assumptions (Coal)'!$V$9,'Assumptions (Coal)'!$V$4*Model!$AY$14*AVERAGE('Assumptions (Coal)'!$AR$2:$AW$2)/10^9),0)</f>
        <v>0</v>
      </c>
      <c r="BF180" s="105">
        <f>IF($AY$14&gt;0,IPMT('Assumptions (Coal)'!$V$6,Model!AD1,'Assumptions (Coal)'!$V$9,'Assumptions (Coal)'!$V$4*Model!$AY$14*AVERAGE('Assumptions (Coal)'!$AR$2:$AW$2)/10^9),0)</f>
        <v>0</v>
      </c>
      <c r="BG180" s="105">
        <f>IF($AY$14&gt;0,IPMT('Assumptions (Coal)'!$V$6,Model!AE1,'Assumptions (Coal)'!$V$9,'Assumptions (Coal)'!$V$4*Model!$AY$14*AVERAGE('Assumptions (Coal)'!$AR$2:$AW$2)/10^9),0)</f>
        <v>0</v>
      </c>
      <c r="BH180" s="105">
        <f>IF($AY$14&gt;0,IPMT('Assumptions (Coal)'!$V$6,Model!AF1,'Assumptions (Coal)'!$V$9,'Assumptions (Coal)'!$V$4*Model!$AY$14*AVERAGE('Assumptions (Coal)'!$AR$2:$AW$2)/10^9),0)</f>
        <v>0</v>
      </c>
      <c r="BI180" s="105">
        <f>IF($AY$14&gt;0,IPMT('Assumptions (Coal)'!$V$6,Model!AG1,'Assumptions (Coal)'!$V$9,'Assumptions (Coal)'!$V$4*Model!$AY$14*AVERAGE('Assumptions (Coal)'!$AR$2:$AW$2)/10^9),0)</f>
        <v>0</v>
      </c>
      <c r="BJ180" s="105">
        <f>IF($AY$14&gt;0,IPMT('Assumptions (Coal)'!$V$6,Model!AH1,'Assumptions (Coal)'!$V$9,'Assumptions (Coal)'!$V$4*Model!$AY$14*AVERAGE('Assumptions (Coal)'!$AR$2:$AW$2)/10^9),0)</f>
        <v>0</v>
      </c>
      <c r="BK180" s="105">
        <f>IF($AY$14&gt;0,IPMT('Assumptions (Coal)'!$V$6,Model!AI1,'Assumptions (Coal)'!$V$9,'Assumptions (Coal)'!$V$4*Model!$AY$14*AVERAGE('Assumptions (Coal)'!$AR$2:$AW$2)/10^9),0)</f>
        <v>0</v>
      </c>
      <c r="BL180" s="105">
        <f>IF($AY$14&gt;0,IPMT('Assumptions (Coal)'!$V$6,Model!AJ1,'Assumptions (Coal)'!$V$9,'Assumptions (Coal)'!$V$4*Model!$AY$14*AVERAGE('Assumptions (Coal)'!$AR$2:$AW$2)/10^9),0)</f>
        <v>0</v>
      </c>
      <c r="BM180" s="105">
        <f>IF($AY$14&gt;0,IPMT('Assumptions (Coal)'!$V$6,Model!AK1,'Assumptions (Coal)'!$V$9,'Assumptions (Coal)'!$V$4*Model!$AY$14*AVERAGE('Assumptions (Coal)'!$AR$2:$AW$2)/10^9),0)</f>
        <v>0</v>
      </c>
      <c r="BN180" s="105"/>
      <c r="BO180" s="105"/>
    </row>
    <row r="181" spans="1:74" ht="15.75" hidden="1" customHeight="1" outlineLevel="1">
      <c r="A181" s="98"/>
      <c r="B181" s="99"/>
      <c r="C181" s="99"/>
      <c r="D181" s="99"/>
      <c r="E181" s="99"/>
      <c r="F181" s="99"/>
      <c r="G181" s="99"/>
      <c r="H181" s="99"/>
      <c r="I181" s="99"/>
      <c r="J181" s="99"/>
      <c r="K181" s="99"/>
      <c r="L181" s="99"/>
      <c r="M181" s="99"/>
      <c r="N181" s="99"/>
      <c r="O181" s="99"/>
      <c r="P181" s="99"/>
      <c r="Q181" s="99"/>
      <c r="R181" s="99"/>
      <c r="S181" s="99"/>
      <c r="T181" s="99"/>
      <c r="U181" s="99"/>
      <c r="V181" s="99"/>
      <c r="W181" s="105"/>
      <c r="X181" s="105"/>
      <c r="Y181" s="105"/>
      <c r="Z181" s="105"/>
      <c r="AA181" s="105"/>
      <c r="AB181" s="105"/>
      <c r="AC181" s="105"/>
      <c r="AD181" s="105"/>
      <c r="AE181" s="105"/>
      <c r="AF181" s="105"/>
      <c r="AG181" s="105"/>
      <c r="AH181" s="105"/>
      <c r="AI181" s="105"/>
      <c r="AJ181" s="171"/>
      <c r="AK181" s="105"/>
      <c r="AL181" s="91"/>
      <c r="AM181" s="91"/>
      <c r="AN181" s="91"/>
      <c r="AO181" s="105"/>
      <c r="AP181" s="105"/>
      <c r="AQ181" s="105"/>
      <c r="AR181" s="105"/>
      <c r="AS181" s="105"/>
      <c r="AT181" s="105"/>
      <c r="AU181" s="105"/>
      <c r="AV181" s="105"/>
      <c r="AW181" s="105"/>
      <c r="AX181" s="105"/>
      <c r="AY181" s="105"/>
      <c r="AZ181" s="105">
        <f>IF($AZ$14&gt;0,IPMT('Assumptions (Coal)'!$V$6,Model!W1,'Assumptions (Coal)'!$V$9,'Assumptions (Coal)'!$V$4*Model!$AZ$14*AVERAGE('Assumptions (Coal)'!$AS$2:$AX$2)/10^9),0)</f>
        <v>0</v>
      </c>
      <c r="BA181" s="105">
        <f>IF($AZ$14&gt;0,IPMT('Assumptions (Coal)'!$V$6,Model!X1,'Assumptions (Coal)'!$V$9,'Assumptions (Coal)'!$V$4*Model!$AZ$14*AVERAGE('Assumptions (Coal)'!$AS$2:$AX$2)/10^9),0)</f>
        <v>0</v>
      </c>
      <c r="BB181" s="105">
        <f>IF($AZ$14&gt;0,IPMT('Assumptions (Coal)'!$V$6,Model!Y1,'Assumptions (Coal)'!$V$9,'Assumptions (Coal)'!$V$4*Model!$AZ$14*AVERAGE('Assumptions (Coal)'!$AS$2:$AX$2)/10^9),0)</f>
        <v>0</v>
      </c>
      <c r="BC181" s="105">
        <f>IF($AZ$14&gt;0,IPMT('Assumptions (Coal)'!$V$6,Model!Z1,'Assumptions (Coal)'!$V$9,'Assumptions (Coal)'!$V$4*Model!$AZ$14*AVERAGE('Assumptions (Coal)'!$AS$2:$AX$2)/10^9),0)</f>
        <v>0</v>
      </c>
      <c r="BD181" s="105">
        <f>IF($AZ$14&gt;0,IPMT('Assumptions (Coal)'!$V$6,Model!AA1,'Assumptions (Coal)'!$V$9,'Assumptions (Coal)'!$V$4*Model!$AZ$14*AVERAGE('Assumptions (Coal)'!$AS$2:$AX$2)/10^9),0)</f>
        <v>0</v>
      </c>
      <c r="BE181" s="105">
        <f>IF($AZ$14&gt;0,IPMT('Assumptions (Coal)'!$V$6,Model!AB1,'Assumptions (Coal)'!$V$9,'Assumptions (Coal)'!$V$4*Model!$AZ$14*AVERAGE('Assumptions (Coal)'!$AS$2:$AX$2)/10^9),0)</f>
        <v>0</v>
      </c>
      <c r="BF181" s="105">
        <f>IF($AZ$14&gt;0,IPMT('Assumptions (Coal)'!$V$6,Model!AC1,'Assumptions (Coal)'!$V$9,'Assumptions (Coal)'!$V$4*Model!$AZ$14*AVERAGE('Assumptions (Coal)'!$AS$2:$AX$2)/10^9),0)</f>
        <v>0</v>
      </c>
      <c r="BG181" s="105">
        <f>IF($AZ$14&gt;0,IPMT('Assumptions (Coal)'!$V$6,Model!AD1,'Assumptions (Coal)'!$V$9,'Assumptions (Coal)'!$V$4*Model!$AZ$14*AVERAGE('Assumptions (Coal)'!$AS$2:$AX$2)/10^9),0)</f>
        <v>0</v>
      </c>
      <c r="BH181" s="105">
        <f>IF($AZ$14&gt;0,IPMT('Assumptions (Coal)'!$V$6,Model!AE1,'Assumptions (Coal)'!$V$9,'Assumptions (Coal)'!$V$4*Model!$AZ$14*AVERAGE('Assumptions (Coal)'!$AS$2:$AX$2)/10^9),0)</f>
        <v>0</v>
      </c>
      <c r="BI181" s="105">
        <f>IF($AZ$14&gt;0,IPMT('Assumptions (Coal)'!$V$6,Model!AF1,'Assumptions (Coal)'!$V$9,'Assumptions (Coal)'!$V$4*Model!$AZ$14*AVERAGE('Assumptions (Coal)'!$AS$2:$AX$2)/10^9),0)</f>
        <v>0</v>
      </c>
      <c r="BJ181" s="105">
        <f>IF($AZ$14&gt;0,IPMT('Assumptions (Coal)'!$V$6,Model!AG1,'Assumptions (Coal)'!$V$9,'Assumptions (Coal)'!$V$4*Model!$AZ$14*AVERAGE('Assumptions (Coal)'!$AS$2:$AX$2)/10^9),0)</f>
        <v>0</v>
      </c>
      <c r="BK181" s="105">
        <f>IF($AZ$14&gt;0,IPMT('Assumptions (Coal)'!$V$6,Model!AH1,'Assumptions (Coal)'!$V$9,'Assumptions (Coal)'!$V$4*Model!$AZ$14*AVERAGE('Assumptions (Coal)'!$AS$2:$AX$2)/10^9),0)</f>
        <v>0</v>
      </c>
      <c r="BL181" s="105">
        <f>IF($AZ$14&gt;0,IPMT('Assumptions (Coal)'!$V$6,Model!AI1,'Assumptions (Coal)'!$V$9,'Assumptions (Coal)'!$V$4*Model!$AZ$14*AVERAGE('Assumptions (Coal)'!$AS$2:$AX$2)/10^9),0)</f>
        <v>0</v>
      </c>
      <c r="BM181" s="105">
        <f>IF($AZ$14&gt;0,IPMT('Assumptions (Coal)'!$V$6,Model!AJ1,'Assumptions (Coal)'!$V$9,'Assumptions (Coal)'!$V$4*Model!$AZ$14*AVERAGE('Assumptions (Coal)'!$AS$2:$AX$2)/10^9),0)</f>
        <v>0</v>
      </c>
      <c r="BN181" s="105">
        <f>IF($AZ$14&gt;0,IPMT('Assumptions (Coal)'!$V$6,Model!AK1,'Assumptions (Coal)'!$V$9,'Assumptions (Coal)'!$V$4*Model!$AZ$14*AVERAGE('Assumptions (Coal)'!$AS$2:$AX$2)/10^9),0)</f>
        <v>0</v>
      </c>
      <c r="BO181" s="105"/>
    </row>
    <row r="182" spans="1:74" ht="15.75" hidden="1" customHeight="1" outlineLevel="1">
      <c r="A182" s="98"/>
      <c r="B182" s="99"/>
      <c r="C182" s="99"/>
      <c r="D182" s="99"/>
      <c r="E182" s="99"/>
      <c r="F182" s="99"/>
      <c r="G182" s="99"/>
      <c r="H182" s="99"/>
      <c r="I182" s="99"/>
      <c r="J182" s="99"/>
      <c r="K182" s="99"/>
      <c r="L182" s="99"/>
      <c r="M182" s="99"/>
      <c r="N182" s="99"/>
      <c r="O182" s="99"/>
      <c r="P182" s="99"/>
      <c r="Q182" s="99"/>
      <c r="R182" s="99"/>
      <c r="S182" s="99"/>
      <c r="T182" s="99"/>
      <c r="U182" s="99"/>
      <c r="V182" s="99"/>
      <c r="W182" s="105"/>
      <c r="X182" s="105"/>
      <c r="Y182" s="105"/>
      <c r="Z182" s="105"/>
      <c r="AA182" s="105"/>
      <c r="AB182" s="105"/>
      <c r="AC182" s="105"/>
      <c r="AD182" s="105"/>
      <c r="AE182" s="105"/>
      <c r="AF182" s="105"/>
      <c r="AG182" s="105"/>
      <c r="AH182" s="105"/>
      <c r="AI182" s="105"/>
      <c r="AJ182" s="171"/>
      <c r="AK182" s="105"/>
      <c r="AL182" s="91"/>
      <c r="AM182" s="91"/>
      <c r="AN182" s="91"/>
      <c r="AO182" s="105"/>
      <c r="AP182" s="105"/>
      <c r="AQ182" s="105"/>
      <c r="AR182" s="105"/>
      <c r="AS182" s="105"/>
      <c r="AT182" s="105"/>
      <c r="AU182" s="105"/>
      <c r="AV182" s="105"/>
      <c r="AW182" s="105"/>
      <c r="AX182" s="105"/>
      <c r="AY182" s="105"/>
      <c r="AZ182" s="105"/>
      <c r="BA182" s="105">
        <f>IF($BA$14&gt;0,IPMT('Assumptions (Coal)'!$V$6,Model!W1,'Assumptions (Coal)'!$V$9,'Assumptions (Coal)'!$V$4*Model!$BA$14*AVERAGE('Assumptions (Coal)'!$AT$2:$AY$2)/10^9),0)</f>
        <v>0</v>
      </c>
      <c r="BB182" s="105">
        <f>IF($BA$14&gt;0,IPMT('Assumptions (Coal)'!$V$6,Model!X1,'Assumptions (Coal)'!$V$9,'Assumptions (Coal)'!$V$4*Model!$BA$14*AVERAGE('Assumptions (Coal)'!$AT$2:$AY$2)/10^9),0)</f>
        <v>0</v>
      </c>
      <c r="BC182" s="105">
        <f>IF($BA$14&gt;0,IPMT('Assumptions (Coal)'!$V$6,Model!Y1,'Assumptions (Coal)'!$V$9,'Assumptions (Coal)'!$V$4*Model!$BA$14*AVERAGE('Assumptions (Coal)'!$AT$2:$AY$2)/10^9),0)</f>
        <v>0</v>
      </c>
      <c r="BD182" s="105">
        <f>IF($BA$14&gt;0,IPMT('Assumptions (Coal)'!$V$6,Model!Z1,'Assumptions (Coal)'!$V$9,'Assumptions (Coal)'!$V$4*Model!$BA$14*AVERAGE('Assumptions (Coal)'!$AT$2:$AY$2)/10^9),0)</f>
        <v>0</v>
      </c>
      <c r="BE182" s="105">
        <f>IF($BA$14&gt;0,IPMT('Assumptions (Coal)'!$V$6,Model!AA1,'Assumptions (Coal)'!$V$9,'Assumptions (Coal)'!$V$4*Model!$BA$14*AVERAGE('Assumptions (Coal)'!$AT$2:$AY$2)/10^9),0)</f>
        <v>0</v>
      </c>
      <c r="BF182" s="105">
        <f>IF($BA$14&gt;0,IPMT('Assumptions (Coal)'!$V$6,Model!AB1,'Assumptions (Coal)'!$V$9,'Assumptions (Coal)'!$V$4*Model!$BA$14*AVERAGE('Assumptions (Coal)'!$AT$2:$AY$2)/10^9),0)</f>
        <v>0</v>
      </c>
      <c r="BG182" s="105">
        <f>IF($BA$14&gt;0,IPMT('Assumptions (Coal)'!$V$6,Model!AC1,'Assumptions (Coal)'!$V$9,'Assumptions (Coal)'!$V$4*Model!$BA$14*AVERAGE('Assumptions (Coal)'!$AT$2:$AY$2)/10^9),0)</f>
        <v>0</v>
      </c>
      <c r="BH182" s="105">
        <f>IF($BA$14&gt;0,IPMT('Assumptions (Coal)'!$V$6,Model!AD1,'Assumptions (Coal)'!$V$9,'Assumptions (Coal)'!$V$4*Model!$BA$14*AVERAGE('Assumptions (Coal)'!$AT$2:$AY$2)/10^9),0)</f>
        <v>0</v>
      </c>
      <c r="BI182" s="105">
        <f>IF($BA$14&gt;0,IPMT('Assumptions (Coal)'!$V$6,Model!AE1,'Assumptions (Coal)'!$V$9,'Assumptions (Coal)'!$V$4*Model!$BA$14*AVERAGE('Assumptions (Coal)'!$AT$2:$AY$2)/10^9),0)</f>
        <v>0</v>
      </c>
      <c r="BJ182" s="105">
        <f>IF($BA$14&gt;0,IPMT('Assumptions (Coal)'!$V$6,Model!AF1,'Assumptions (Coal)'!$V$9,'Assumptions (Coal)'!$V$4*Model!$BA$14*AVERAGE('Assumptions (Coal)'!$AT$2:$AY$2)/10^9),0)</f>
        <v>0</v>
      </c>
      <c r="BK182" s="105">
        <f>IF($BA$14&gt;0,IPMT('Assumptions (Coal)'!$V$6,Model!AG1,'Assumptions (Coal)'!$V$9,'Assumptions (Coal)'!$V$4*Model!$BA$14*AVERAGE('Assumptions (Coal)'!$AT$2:$AY$2)/10^9),0)</f>
        <v>0</v>
      </c>
      <c r="BL182" s="105">
        <f>IF($BA$14&gt;0,IPMT('Assumptions (Coal)'!$V$6,Model!AH1,'Assumptions (Coal)'!$V$9,'Assumptions (Coal)'!$V$4*Model!$BA$14*AVERAGE('Assumptions (Coal)'!$AT$2:$AY$2)/10^9),0)</f>
        <v>0</v>
      </c>
      <c r="BM182" s="105">
        <f>IF($BA$14&gt;0,IPMT('Assumptions (Coal)'!$V$6,Model!AI1,'Assumptions (Coal)'!$V$9,'Assumptions (Coal)'!$V$4*Model!$BA$14*AVERAGE('Assumptions (Coal)'!$AT$2:$AY$2)/10^9),0)</f>
        <v>0</v>
      </c>
      <c r="BN182" s="105">
        <f>IF($BA$14&gt;0,IPMT('Assumptions (Coal)'!$V$6,Model!AJ1,'Assumptions (Coal)'!$V$9,'Assumptions (Coal)'!$V$4*Model!$BA$14*AVERAGE('Assumptions (Coal)'!$AT$2:$AY$2)/10^9),0)</f>
        <v>0</v>
      </c>
      <c r="BO182" s="105">
        <f>IF($BA$14&gt;0,IPMT('Assumptions (Coal)'!$V$6,Model!AK1,'Assumptions (Coal)'!$V$9,'Assumptions (Coal)'!$V$4*Model!$BA$14*AVERAGE('Assumptions (Coal)'!$AT$2:$AY$2)/10^9),0)</f>
        <v>0</v>
      </c>
    </row>
    <row r="183" spans="1:74" ht="15.75" customHeight="1" collapsed="1">
      <c r="A183" s="149" t="s">
        <v>806</v>
      </c>
      <c r="B183" s="99" t="s">
        <v>201</v>
      </c>
      <c r="C183" s="105">
        <f t="shared" ref="C183:BV183" si="4">SUM(C184:C234)</f>
        <v>1.1643477886408314E-2</v>
      </c>
      <c r="D183" s="105">
        <f t="shared" si="4"/>
        <v>6.0876410127306643E-2</v>
      </c>
      <c r="E183" s="105">
        <f t="shared" si="4"/>
        <v>9.4773397127858566E-2</v>
      </c>
      <c r="F183" s="105">
        <f t="shared" si="4"/>
        <v>9.5241642096914061E-2</v>
      </c>
      <c r="G183" s="105">
        <f t="shared" si="4"/>
        <v>0.14261147621561532</v>
      </c>
      <c r="H183" s="105">
        <f t="shared" si="4"/>
        <v>0.2141482321086442</v>
      </c>
      <c r="I183" s="105">
        <f t="shared" si="4"/>
        <v>0.28155327189593993</v>
      </c>
      <c r="J183" s="105">
        <f t="shared" si="4"/>
        <v>0.44110678256581431</v>
      </c>
      <c r="K183" s="105">
        <f t="shared" si="4"/>
        <v>0.68070136164408623</v>
      </c>
      <c r="L183" s="105">
        <f t="shared" si="4"/>
        <v>0.94206702105417295</v>
      </c>
      <c r="M183" s="105">
        <f t="shared" si="4"/>
        <v>1.5147982176755923</v>
      </c>
      <c r="N183" s="105">
        <f t="shared" si="4"/>
        <v>2.2592782226212549</v>
      </c>
      <c r="O183" s="105">
        <f t="shared" si="4"/>
        <v>2.8636896441846864</v>
      </c>
      <c r="P183" s="105">
        <f t="shared" si="4"/>
        <v>3.2048568365208485</v>
      </c>
      <c r="Q183" s="105">
        <f t="shared" si="4"/>
        <v>3.1522533386082841</v>
      </c>
      <c r="R183" s="105">
        <f t="shared" si="4"/>
        <v>2.952441125272331</v>
      </c>
      <c r="S183" s="105">
        <f t="shared" si="4"/>
        <v>2.7701529115074393</v>
      </c>
      <c r="T183" s="105">
        <f t="shared" si="4"/>
        <v>2.6160462760947629</v>
      </c>
      <c r="U183" s="105">
        <f t="shared" si="4"/>
        <v>2.5129046172861829</v>
      </c>
      <c r="V183" s="105">
        <f t="shared" si="4"/>
        <v>2.4529502983302702</v>
      </c>
      <c r="W183" s="105">
        <f t="shared" si="4"/>
        <v>2.422743650087257</v>
      </c>
      <c r="X183" s="105">
        <f t="shared" si="4"/>
        <v>2.8203942497566774</v>
      </c>
      <c r="Y183" s="105">
        <f t="shared" si="4"/>
        <v>3.1961896821046167</v>
      </c>
      <c r="Z183" s="105">
        <f t="shared" si="4"/>
        <v>3.129047537137386</v>
      </c>
      <c r="AA183" s="105">
        <f t="shared" si="4"/>
        <v>3.0389502068519443</v>
      </c>
      <c r="AB183" s="105">
        <f t="shared" si="4"/>
        <v>2.9364119532878994</v>
      </c>
      <c r="AC183" s="105">
        <f t="shared" si="4"/>
        <v>2.8375428425636202</v>
      </c>
      <c r="AD183" s="105">
        <f t="shared" si="4"/>
        <v>2.6843476551101375</v>
      </c>
      <c r="AE183" s="105">
        <f t="shared" si="4"/>
        <v>2.4806170217767591</v>
      </c>
      <c r="AF183" s="105">
        <f t="shared" si="4"/>
        <v>2.2901251990925227</v>
      </c>
      <c r="AG183" s="105">
        <f t="shared" si="4"/>
        <v>1.909982241696603</v>
      </c>
      <c r="AH183" s="105">
        <f t="shared" si="4"/>
        <v>1.4026408952848404</v>
      </c>
      <c r="AI183" s="105">
        <f t="shared" si="4"/>
        <v>0.98599852143247646</v>
      </c>
      <c r="AJ183" s="105">
        <f t="shared" si="4"/>
        <v>1.1648189602646786</v>
      </c>
      <c r="AK183" s="105">
        <f t="shared" si="4"/>
        <v>1.9674567653360353</v>
      </c>
      <c r="AL183" s="105">
        <f t="shared" si="4"/>
        <v>2.6723169445299995</v>
      </c>
      <c r="AM183" s="105">
        <f t="shared" si="4"/>
        <v>4.4378347950842265</v>
      </c>
      <c r="AN183" s="105">
        <f t="shared" si="4"/>
        <v>6.2597907994835111</v>
      </c>
      <c r="AO183" s="105">
        <f t="shared" si="4"/>
        <v>6.8325008114634791</v>
      </c>
      <c r="AP183" s="105">
        <f t="shared" si="4"/>
        <v>6.9373175609632414</v>
      </c>
      <c r="AQ183" s="105">
        <f t="shared" si="4"/>
        <v>7.559071810312938</v>
      </c>
      <c r="AR183" s="105">
        <f t="shared" si="4"/>
        <v>8.7590927856738467</v>
      </c>
      <c r="AS183" s="105">
        <f t="shared" si="4"/>
        <v>9.4084666546593994</v>
      </c>
      <c r="AT183" s="105">
        <f t="shared" si="4"/>
        <v>11.191071490679542</v>
      </c>
      <c r="AU183" s="105">
        <f t="shared" si="4"/>
        <v>12.854946501372506</v>
      </c>
      <c r="AV183" s="105">
        <f t="shared" si="4"/>
        <v>13.366196699531626</v>
      </c>
      <c r="AW183" s="105">
        <f t="shared" si="4"/>
        <v>13.476563014717883</v>
      </c>
      <c r="AX183" s="105">
        <f t="shared" si="4"/>
        <v>13.887262367763281</v>
      </c>
      <c r="AY183" s="105">
        <f t="shared" si="4"/>
        <v>14.344358160529438</v>
      </c>
      <c r="AZ183" s="105">
        <f t="shared" si="4"/>
        <v>13.785839251732236</v>
      </c>
      <c r="BA183" s="105">
        <f t="shared" si="4"/>
        <v>13.323444103843896</v>
      </c>
      <c r="BB183" s="105">
        <f t="shared" si="4"/>
        <v>13.040248888480237</v>
      </c>
      <c r="BC183" s="105">
        <f t="shared" si="4"/>
        <v>12.813994632997474</v>
      </c>
      <c r="BD183" s="105">
        <f t="shared" si="4"/>
        <v>12.388330620670231</v>
      </c>
      <c r="BE183" s="105">
        <f t="shared" si="4"/>
        <v>11.721879185208607</v>
      </c>
      <c r="BF183" s="105">
        <f t="shared" si="4"/>
        <v>11.217665305466774</v>
      </c>
      <c r="BG183" s="105">
        <f t="shared" si="4"/>
        <v>10.070599487351135</v>
      </c>
      <c r="BH183" s="105">
        <f t="shared" si="4"/>
        <v>8.8125195927340965</v>
      </c>
      <c r="BI183" s="105">
        <f t="shared" si="4"/>
        <v>8.2139888160993753</v>
      </c>
      <c r="BJ183" s="105">
        <f t="shared" si="4"/>
        <v>7.8699549254090098</v>
      </c>
      <c r="BK183" s="105">
        <f t="shared" si="4"/>
        <v>7.2141957197212809</v>
      </c>
      <c r="BL183" s="105">
        <f t="shared" si="4"/>
        <v>6.0571196168633268</v>
      </c>
      <c r="BM183" s="105">
        <f t="shared" si="4"/>
        <v>5.1857675882236069</v>
      </c>
      <c r="BN183" s="105">
        <f t="shared" si="4"/>
        <v>3.7737880260220051</v>
      </c>
      <c r="BO183" s="105">
        <f t="shared" si="4"/>
        <v>2.4247618584474986</v>
      </c>
      <c r="BP183" s="105">
        <f t="shared" si="4"/>
        <v>1.7251938902343793</v>
      </c>
      <c r="BQ183" s="105">
        <f t="shared" si="4"/>
        <v>1.2668383356666577</v>
      </c>
      <c r="BR183" s="105">
        <f t="shared" si="4"/>
        <v>0.63356115823185699</v>
      </c>
      <c r="BS183" s="105">
        <f t="shared" si="4"/>
        <v>0</v>
      </c>
      <c r="BT183" s="105">
        <f t="shared" si="4"/>
        <v>0</v>
      </c>
      <c r="BU183" s="105">
        <f t="shared" si="4"/>
        <v>0</v>
      </c>
      <c r="BV183" s="105">
        <f t="shared" si="4"/>
        <v>0</v>
      </c>
    </row>
    <row r="184" spans="1:74" ht="15.75" hidden="1" customHeight="1" outlineLevel="1">
      <c r="A184" s="98"/>
      <c r="B184" s="99"/>
      <c r="C184" s="91">
        <f>IF($C$14&gt;0,'Assumptions (Coal)'!V$10*Model!$C$14*'Assumptions (Coal)'!$B$2/10^9,0)</f>
        <v>1.1643477886408314E-2</v>
      </c>
      <c r="D184" s="91">
        <f>IF($C$14&gt;0,'Assumptions (Coal)'!W$10*Model!$C$14*'Assumptions (Coal)'!$B$2/10^9,0)</f>
        <v>2.2414471163195098E-2</v>
      </c>
      <c r="E184" s="91">
        <f>IF($C$14&gt;0,'Assumptions (Coal)'!X$10*Model!$C$14*'Assumptions (Coal)'!$B$2/10^9,0)</f>
        <v>2.0731600492679553E-2</v>
      </c>
      <c r="F184" s="91">
        <f>IF($C$14&gt;0,'Assumptions (Coal)'!Y$10*Model!$C$14*'Assumptions (Coal)'!$B$2/10^9,0)</f>
        <v>1.9179136774491776E-2</v>
      </c>
      <c r="G184" s="91">
        <f>IF($C$14&gt;0,'Assumptions (Coal)'!Z$10*Model!$C$14*'Assumptions (Coal)'!$B$2/10^9,0)</f>
        <v>1.773845044401352E-2</v>
      </c>
      <c r="H184" s="91">
        <f>IF($C$14&gt;0,'Assumptions (Coal)'!AA$10*Model!$C$14*'Assumptions (Coal)'!$B$2/10^9,0)</f>
        <v>1.6409541501244785E-2</v>
      </c>
      <c r="I184" s="91">
        <f>IF($C$14&gt;0,'Assumptions (Coal)'!AB$10*Model!$C$14*'Assumptions (Coal)'!$B$2/10^9,0)</f>
        <v>1.517688530900369E-2</v>
      </c>
      <c r="J184" s="91">
        <f>IF($C$14&gt;0,'Assumptions (Coal)'!AC$10*Model!$C$14*'Assumptions (Coal)'!$B$2/10^9,0)</f>
        <v>1.404048186729024E-2</v>
      </c>
      <c r="K184" s="91">
        <f>IF($C$14&gt;0,'Assumptions (Coal)'!AD$10*Model!$C$14*'Assumptions (Coal)'!$B$2/10^9,0)</f>
        <v>1.3854186221107706E-2</v>
      </c>
      <c r="L184" s="91">
        <f>IF($C$14&gt;0,'Assumptions (Coal)'!AE$10*Model!$C$14*'Assumptions (Coal)'!$B$2/10^9,0)</f>
        <v>1.385108129367133E-2</v>
      </c>
      <c r="M184" s="91">
        <f>IF($C$14&gt;0,'Assumptions (Coal)'!AF$10*Model!$C$14*'Assumptions (Coal)'!$B$2/10^9,0)</f>
        <v>1.3854186221107706E-2</v>
      </c>
      <c r="N184" s="91">
        <f>IF($C$14&gt;0,'Assumptions (Coal)'!AG$10*Model!$C$14*'Assumptions (Coal)'!$B$2/10^9,0)</f>
        <v>1.385108129367133E-2</v>
      </c>
      <c r="O184" s="91">
        <f>IF($C$14&gt;0,'Assumptions (Coal)'!AH$10*Model!$C$14*'Assumptions (Coal)'!$B$2/10^9,0)</f>
        <v>1.3854186221107706E-2</v>
      </c>
      <c r="P184" s="91">
        <f>IF($C$14&gt;0,'Assumptions (Coal)'!AI$10*Model!$C$14*'Assumptions (Coal)'!$B$2/10^9,0)</f>
        <v>1.385108129367133E-2</v>
      </c>
      <c r="Q184" s="91">
        <f>IF($C$14&gt;0,'Assumptions (Coal)'!AJ$10*Model!$C$14*'Assumptions (Coal)'!$B$2/10^9,0)</f>
        <v>1.3854186221107706E-2</v>
      </c>
      <c r="R184" s="91">
        <f>IF($C$14&gt;0,'Assumptions (Coal)'!AK$10*Model!$C$14*'Assumptions (Coal)'!$B$2/10^9,0)</f>
        <v>1.385108129367133E-2</v>
      </c>
      <c r="S184" s="91">
        <f>IF($C$14&gt;0,'Assumptions (Coal)'!AL$10*Model!$C$14*'Assumptions (Coal)'!$B$2/10^9,0)</f>
        <v>1.3854186221107706E-2</v>
      </c>
      <c r="T184" s="91">
        <f>IF($C$14&gt;0,'Assumptions (Coal)'!AM$10*Model!$C$14*'Assumptions (Coal)'!$B$2/10^9,0)</f>
        <v>1.385108129367133E-2</v>
      </c>
      <c r="U184" s="91">
        <f>IF($C$14&gt;0,'Assumptions (Coal)'!AN$10*Model!$C$14*'Assumptions (Coal)'!$B$2/10^9,0)</f>
        <v>1.3854186221107706E-2</v>
      </c>
      <c r="V184" s="91">
        <f>IF($C$14&gt;0,'Assumptions (Coal)'!AO$10*Model!$C$14*'Assumptions (Coal)'!$B$2/10^9,0)</f>
        <v>1.385108129367133E-2</v>
      </c>
      <c r="W184" s="91">
        <f>IF($C$14&gt;0,'Assumptions (Coal)'!AP$10*Model!$C$14*'Assumptions (Coal)'!$B$2/10^9,0)</f>
        <v>6.927093110553853E-3</v>
      </c>
      <c r="X184" s="105"/>
      <c r="Y184" s="105"/>
      <c r="Z184" s="105"/>
      <c r="AA184" s="105"/>
      <c r="AB184" s="105"/>
      <c r="AC184" s="105"/>
      <c r="AD184" s="105"/>
      <c r="AE184" s="105"/>
      <c r="AF184" s="105"/>
      <c r="AG184" s="105"/>
      <c r="AQ184" s="105"/>
      <c r="AR184" s="105"/>
      <c r="AS184" s="105"/>
      <c r="AT184" s="105"/>
      <c r="AU184" s="105"/>
      <c r="AV184" s="105"/>
      <c r="AW184" s="105"/>
      <c r="AX184" s="105"/>
      <c r="AY184" s="105"/>
      <c r="AZ184" s="105"/>
      <c r="BA184" s="105"/>
    </row>
    <row r="185" spans="1:74" ht="15.75" hidden="1" customHeight="1" outlineLevel="1">
      <c r="A185" s="98"/>
      <c r="B185" s="99"/>
      <c r="C185" s="105"/>
      <c r="D185" s="105">
        <f>IF($D$14&gt;0,'Assumptions (Coal)'!V$10*Model!$D$14*'Assumptions (Coal)'!$B$2/10^9,0)</f>
        <v>3.8461938964111549E-2</v>
      </c>
      <c r="E185" s="105">
        <f>IF($D$14&gt;0,'Assumptions (Coal)'!W$10*Model!$D$14*'Assumptions (Coal)'!$B$2/10^9,0)</f>
        <v>7.4041796635179014E-2</v>
      </c>
      <c r="F185" s="105">
        <f>IF($D$14&gt;0,'Assumptions (Coal)'!X$10*Model!$D$14*'Assumptions (Coal)'!$B$2/10^9,0)</f>
        <v>6.848276439023275E-2</v>
      </c>
      <c r="G185" s="105">
        <f>IF($D$14&gt;0,'Assumptions (Coal)'!Y$10*Model!$D$14*'Assumptions (Coal)'!$B$2/10^9,0)</f>
        <v>6.3354505861684549E-2</v>
      </c>
      <c r="H185" s="105">
        <f>IF($D$14&gt;0,'Assumptions (Coal)'!Z$10*Model!$D$14*'Assumptions (Coal)'!$B$2/10^9,0)</f>
        <v>5.8595481947191809E-2</v>
      </c>
      <c r="I185" s="105">
        <f>IF($D$14&gt;0,'Assumptions (Coal)'!AA$10*Model!$D$14*'Assumptions (Coal)'!$B$2/10^9,0)</f>
        <v>5.4205692646754546E-2</v>
      </c>
      <c r="J185" s="105">
        <f>IF($D$14&gt;0,'Assumptions (Coal)'!AB$10*Model!$D$14*'Assumptions (Coal)'!$B$2/10^9,0)</f>
        <v>5.0133855375087279E-2</v>
      </c>
      <c r="K185" s="105">
        <f>IF($D$14&gt;0,'Assumptions (Coal)'!AC$10*Model!$D$14*'Assumptions (Coal)'!$B$2/10^9,0)</f>
        <v>4.6379970132189988E-2</v>
      </c>
      <c r="L185" s="105">
        <f>IF($D$14&gt;0,'Assumptions (Coal)'!AD$10*Model!$D$14*'Assumptions (Coal)'!$B$2/10^9,0)</f>
        <v>4.5764579108764199E-2</v>
      </c>
      <c r="M185" s="105">
        <f>IF($D$14&gt;0,'Assumptions (Coal)'!AE$10*Model!$D$14*'Assumptions (Coal)'!$B$2/10^9,0)</f>
        <v>4.57543225917071E-2</v>
      </c>
      <c r="N185" s="105">
        <f>IF($D$14&gt;0,'Assumptions (Coal)'!AF$10*Model!$D$14*'Assumptions (Coal)'!$B$2/10^9,0)</f>
        <v>4.5764579108764199E-2</v>
      </c>
      <c r="O185" s="105">
        <f>IF($D$14&gt;0,'Assumptions (Coal)'!AG$10*Model!$D$14*'Assumptions (Coal)'!$B$2/10^9,0)</f>
        <v>4.57543225917071E-2</v>
      </c>
      <c r="P185" s="105">
        <f>IF($D$14&gt;0,'Assumptions (Coal)'!AH$10*Model!$D$14*'Assumptions (Coal)'!$B$2/10^9,0)</f>
        <v>4.5764579108764199E-2</v>
      </c>
      <c r="Q185" s="105">
        <f>IF($D$14&gt;0,'Assumptions (Coal)'!AI$10*Model!$D$14*'Assumptions (Coal)'!$B$2/10^9,0)</f>
        <v>4.57543225917071E-2</v>
      </c>
      <c r="R185" s="105">
        <f>IF($D$14&gt;0,'Assumptions (Coal)'!AJ$10*Model!$D$14*'Assumptions (Coal)'!$B$2/10^9,0)</f>
        <v>4.5764579108764199E-2</v>
      </c>
      <c r="S185" s="105">
        <f>IF($D$14&gt;0,'Assumptions (Coal)'!AK$10*Model!$D$14*'Assumptions (Coal)'!$B$2/10^9,0)</f>
        <v>4.57543225917071E-2</v>
      </c>
      <c r="T185" s="105">
        <f>IF($D$14&gt;0,'Assumptions (Coal)'!AL$10*Model!$D$14*'Assumptions (Coal)'!$B$2/10^9,0)</f>
        <v>4.5764579108764199E-2</v>
      </c>
      <c r="U185" s="105">
        <f>IF($D$14&gt;0,'Assumptions (Coal)'!AM$10*Model!$D$14*'Assumptions (Coal)'!$B$2/10^9,0)</f>
        <v>4.57543225917071E-2</v>
      </c>
      <c r="V185" s="105">
        <f>IF($D$14&gt;0,'Assumptions (Coal)'!AN$10*Model!$D$14*'Assumptions (Coal)'!$B$2/10^9,0)</f>
        <v>4.5764579108764199E-2</v>
      </c>
      <c r="W185" s="105">
        <f>IF($D$14&gt;0,'Assumptions (Coal)'!AO$10*Model!$D$14*'Assumptions (Coal)'!$B$2/10^9,0)</f>
        <v>4.57543225917071E-2</v>
      </c>
      <c r="X185" s="105">
        <f>IF($D$14&gt;0,'Assumptions (Coal)'!AP$10*Model!$D$14*'Assumptions (Coal)'!$B$2/10^9,0)</f>
        <v>2.2882289554382099E-2</v>
      </c>
      <c r="Y185" s="105"/>
      <c r="Z185" s="105"/>
      <c r="AA185" s="105"/>
      <c r="AB185" s="105"/>
      <c r="AC185" s="105"/>
      <c r="AD185" s="105"/>
      <c r="AE185" s="105"/>
      <c r="AF185" s="105"/>
      <c r="AG185" s="105"/>
      <c r="AQ185" s="105"/>
      <c r="AR185" s="105"/>
      <c r="AS185" s="105"/>
      <c r="AT185" s="105"/>
      <c r="AU185" s="105"/>
      <c r="AV185" s="105"/>
      <c r="AW185" s="105"/>
      <c r="AX185" s="105"/>
      <c r="AY185" s="105"/>
      <c r="AZ185" s="105"/>
      <c r="BA185" s="105"/>
    </row>
    <row r="186" spans="1:74" ht="15.75" hidden="1" customHeight="1" outlineLevel="1">
      <c r="A186" s="98"/>
      <c r="B186" s="99"/>
      <c r="C186" s="105"/>
      <c r="D186" s="105"/>
      <c r="E186" s="105">
        <f>IF($E$14&gt;0,'Assumptions (Coal)'!V$10*Model!$E$14*AVERAGE('Assumptions (Coal)'!$B$2:$C$2)/10^9,0)</f>
        <v>0</v>
      </c>
      <c r="F186" s="105">
        <f>IF($E$14&gt;0,'Assumptions (Coal)'!W$10*Model!$E$14*AVERAGE('Assumptions (Coal)'!$B$2:$C$2)/10^9,0)</f>
        <v>0</v>
      </c>
      <c r="G186" s="105">
        <f>IF($E$14&gt;0,'Assumptions (Coal)'!X$10*Model!$E$14*AVERAGE('Assumptions (Coal)'!$B$2:$C$2)/10^9,0)</f>
        <v>0</v>
      </c>
      <c r="H186" s="105">
        <f>IF($E$14&gt;0,'Assumptions (Coal)'!Y$10*Model!$E$14*AVERAGE('Assumptions (Coal)'!$B$2:$C$2)/10^9,0)</f>
        <v>0</v>
      </c>
      <c r="I186" s="105">
        <f>IF($E$14&gt;0,'Assumptions (Coal)'!Z$10*Model!$E$14*AVERAGE('Assumptions (Coal)'!$B$2:$C$2)/10^9,0)</f>
        <v>0</v>
      </c>
      <c r="J186" s="105">
        <f>IF($E$14&gt;0,'Assumptions (Coal)'!AA$10*Model!$E$14*AVERAGE('Assumptions (Coal)'!$B$2:$C$2)/10^9,0)</f>
        <v>0</v>
      </c>
      <c r="K186" s="105">
        <f>IF($E$14&gt;0,'Assumptions (Coal)'!AB$10*Model!$E$14*AVERAGE('Assumptions (Coal)'!$B$2:$C$2)/10^9,0)</f>
        <v>0</v>
      </c>
      <c r="L186" s="105">
        <f>IF($E$14&gt;0,'Assumptions (Coal)'!AC$10*Model!$E$14*AVERAGE('Assumptions (Coal)'!$B$2:$C$2)/10^9,0)</f>
        <v>0</v>
      </c>
      <c r="M186" s="105">
        <f>IF($E$14&gt;0,'Assumptions (Coal)'!AD$10*Model!$E$14*AVERAGE('Assumptions (Coal)'!$B$2:$C$2)/10^9,0)</f>
        <v>0</v>
      </c>
      <c r="N186" s="105">
        <f>IF($E$14&gt;0,'Assumptions (Coal)'!AE$10*Model!$E$14*AVERAGE('Assumptions (Coal)'!$B$2:$C$2)/10^9,0)</f>
        <v>0</v>
      </c>
      <c r="O186" s="105">
        <f>IF($E$14&gt;0,'Assumptions (Coal)'!AF$10*Model!$E$14*AVERAGE('Assumptions (Coal)'!$B$2:$C$2)/10^9,0)</f>
        <v>0</v>
      </c>
      <c r="P186" s="105">
        <f>IF($E$14&gt;0,'Assumptions (Coal)'!AG$10*Model!$E$14*AVERAGE('Assumptions (Coal)'!$B$2:$C$2)/10^9,0)</f>
        <v>0</v>
      </c>
      <c r="Q186" s="105">
        <f>IF($E$14&gt;0,'Assumptions (Coal)'!AH$10*Model!$E$14*AVERAGE('Assumptions (Coal)'!$B$2:$C$2)/10^9,0)</f>
        <v>0</v>
      </c>
      <c r="R186" s="105">
        <f>IF($E$14&gt;0,'Assumptions (Coal)'!AI$10*Model!$E$14*AVERAGE('Assumptions (Coal)'!$B$2:$C$2)/10^9,0)</f>
        <v>0</v>
      </c>
      <c r="S186" s="105">
        <f>IF($E$14&gt;0,'Assumptions (Coal)'!AJ$10*Model!$E$14*AVERAGE('Assumptions (Coal)'!$B$2:$C$2)/10^9,0)</f>
        <v>0</v>
      </c>
      <c r="T186" s="105">
        <f>IF($E$14&gt;0,'Assumptions (Coal)'!AK$10*Model!$E$14*AVERAGE('Assumptions (Coal)'!$B$2:$C$2)/10^9,0)</f>
        <v>0</v>
      </c>
      <c r="U186" s="105">
        <f>IF($E$14&gt;0,'Assumptions (Coal)'!AL$10*Model!$E$14*AVERAGE('Assumptions (Coal)'!$B$2:$C$2)/10^9,0)</f>
        <v>0</v>
      </c>
      <c r="V186" s="105">
        <f>IF($E$14&gt;0,'Assumptions (Coal)'!AM$10*Model!$E$14*AVERAGE('Assumptions (Coal)'!$B$2:$C$2)/10^9,0)</f>
        <v>0</v>
      </c>
      <c r="W186" s="105">
        <f>IF($E$14&gt;0,'Assumptions (Coal)'!AN$10*Model!$E$14*AVERAGE('Assumptions (Coal)'!$B$2:$C$2)/10^9,0)</f>
        <v>0</v>
      </c>
      <c r="X186" s="105">
        <f>IF($E$14&gt;0,'Assumptions (Coal)'!AO$10*Model!$E$14*AVERAGE('Assumptions (Coal)'!$B$2:$C$2)/10^9,0)</f>
        <v>0</v>
      </c>
      <c r="Y186" s="105">
        <f>IF($E$14&gt;0,'Assumptions (Coal)'!AP$10*Model!$E$14*AVERAGE('Assumptions (Coal)'!$B$2:$C$2)/10^9,0)</f>
        <v>0</v>
      </c>
      <c r="Z186" s="105"/>
      <c r="AA186" s="105"/>
      <c r="AB186" s="105"/>
      <c r="AC186" s="105"/>
      <c r="AD186" s="105"/>
      <c r="AE186" s="105"/>
      <c r="AF186" s="105"/>
      <c r="AG186" s="105"/>
      <c r="AQ186" s="105"/>
      <c r="AR186" s="105"/>
      <c r="AS186" s="105"/>
      <c r="AT186" s="105"/>
      <c r="AU186" s="105"/>
      <c r="AV186" s="105"/>
      <c r="AW186" s="105"/>
      <c r="AX186" s="105"/>
      <c r="AY186" s="105"/>
      <c r="AZ186" s="105"/>
      <c r="BA186" s="105"/>
    </row>
    <row r="187" spans="1:74" ht="15.75" hidden="1" customHeight="1" outlineLevel="1">
      <c r="A187" s="98"/>
      <c r="B187" s="99"/>
      <c r="C187" s="105"/>
      <c r="D187" s="105"/>
      <c r="E187" s="105"/>
      <c r="F187" s="105">
        <f>IF($F$14&gt;0,'Assumptions (Coal)'!V$10*Model!$F$14*AVERAGE('Assumptions (Coal)'!$B$2:$D$2)/10^9,0)</f>
        <v>7.5797409321895414E-3</v>
      </c>
      <c r="G187" s="105">
        <f>IF($F$14&gt;0,'Assumptions (Coal)'!W$10*Model!$F$14*AVERAGE('Assumptions (Coal)'!$B$2:$D$2)/10^9,0)</f>
        <v>1.4591506610527017E-2</v>
      </c>
      <c r="H187" s="105">
        <f>IF($F$14&gt;0,'Assumptions (Coal)'!X$10*Model!$F$14*AVERAGE('Assumptions (Coal)'!$B$2:$D$2)/10^9,0)</f>
        <v>1.3495981387794552E-2</v>
      </c>
      <c r="I187" s="105">
        <f>IF($F$14&gt;0,'Assumptions (Coal)'!Y$10*Model!$F$14*AVERAGE('Assumptions (Coal)'!$B$2:$D$2)/10^9,0)</f>
        <v>1.2485349263502615E-2</v>
      </c>
      <c r="J187" s="105">
        <f>IF($F$14&gt;0,'Assumptions (Coal)'!Z$10*Model!$F$14*AVERAGE('Assumptions (Coal)'!$B$2:$D$2)/10^9,0)</f>
        <v>1.1547482652159694E-2</v>
      </c>
      <c r="K187" s="105">
        <f>IF($F$14&gt;0,'Assumptions (Coal)'!AA$10*Model!$F$14*AVERAGE('Assumptions (Coal)'!$B$2:$D$2)/10^9,0)</f>
        <v>1.0682381553765797E-2</v>
      </c>
      <c r="L187" s="105">
        <f>IF($F$14&gt;0,'Assumptions (Coal)'!AB$10*Model!$F$14*AVERAGE('Assumptions (Coal)'!$B$2:$D$2)/10^9,0)</f>
        <v>9.8799396470779944E-3</v>
      </c>
      <c r="M187" s="105">
        <f>IF($F$14&gt;0,'Assumptions (Coal)'!AC$10*Model!$F$14*AVERAGE('Assumptions (Coal)'!$B$2:$D$2)/10^9,0)</f>
        <v>9.1401569320962977E-3</v>
      </c>
      <c r="N187" s="105">
        <f>IF($F$14&gt;0,'Assumptions (Coal)'!AD$10*Model!$F$14*AVERAGE('Assumptions (Coal)'!$B$2:$D$2)/10^9,0)</f>
        <v>9.0188810771812625E-3</v>
      </c>
      <c r="O187" s="105">
        <f>IF($F$14&gt;0,'Assumptions (Coal)'!AE$10*Model!$F$14*AVERAGE('Assumptions (Coal)'!$B$2:$D$2)/10^9,0)</f>
        <v>9.0168598129326798E-3</v>
      </c>
      <c r="P187" s="105">
        <f>IF($F$14&gt;0,'Assumptions (Coal)'!AF$10*Model!$F$14*AVERAGE('Assumptions (Coal)'!$B$2:$D$2)/10^9,0)</f>
        <v>9.0188810771812625E-3</v>
      </c>
      <c r="Q187" s="105">
        <f>IF($F$14&gt;0,'Assumptions (Coal)'!AG$10*Model!$F$14*AVERAGE('Assumptions (Coal)'!$B$2:$D$2)/10^9,0)</f>
        <v>9.0168598129326798E-3</v>
      </c>
      <c r="R187" s="105">
        <f>IF($F$14&gt;0,'Assumptions (Coal)'!AH$10*Model!$F$14*AVERAGE('Assumptions (Coal)'!$B$2:$D$2)/10^9,0)</f>
        <v>9.0188810771812625E-3</v>
      </c>
      <c r="S187" s="105">
        <f>IF($F$14&gt;0,'Assumptions (Coal)'!AI$10*Model!$F$14*AVERAGE('Assumptions (Coal)'!$B$2:$D$2)/10^9,0)</f>
        <v>9.0168598129326798E-3</v>
      </c>
      <c r="T187" s="105">
        <f>IF($F$14&gt;0,'Assumptions (Coal)'!AJ$10*Model!$F$14*AVERAGE('Assumptions (Coal)'!$B$2:$D$2)/10^9,0)</f>
        <v>9.0188810771812625E-3</v>
      </c>
      <c r="U187" s="105">
        <f>IF($F$14&gt;0,'Assumptions (Coal)'!AK$10*Model!$F$14*AVERAGE('Assumptions (Coal)'!$B$2:$D$2)/10^9,0)</f>
        <v>9.0168598129326798E-3</v>
      </c>
      <c r="V187" s="105">
        <f>IF($F$14&gt;0,'Assumptions (Coal)'!AL$10*Model!$F$14*AVERAGE('Assumptions (Coal)'!$B$2:$D$2)/10^9,0)</f>
        <v>9.0188810771812625E-3</v>
      </c>
      <c r="W187" s="105">
        <f>IF($F$14&gt;0,'Assumptions (Coal)'!AM$10*Model!$F$14*AVERAGE('Assumptions (Coal)'!$B$2:$D$2)/10^9,0)</f>
        <v>9.0168598129326798E-3</v>
      </c>
      <c r="X187" s="105">
        <f>IF($F$14&gt;0,'Assumptions (Coal)'!AN$10*Model!$F$14*AVERAGE('Assumptions (Coal)'!$B$2:$D$2)/10^9,0)</f>
        <v>9.0188810771812625E-3</v>
      </c>
      <c r="Y187" s="105">
        <f>IF($F$14&gt;0,'Assumptions (Coal)'!AO$10*Model!$F$14*AVERAGE('Assumptions (Coal)'!$B$2:$D$2)/10^9,0)</f>
        <v>9.0168598129326798E-3</v>
      </c>
      <c r="Z187" s="105">
        <f>IF($F$14&gt;0,'Assumptions (Coal)'!AP$10*Model!$F$14*AVERAGE('Assumptions (Coal)'!$B$2:$D$2)/10^9,0)</f>
        <v>4.5094405385906313E-3</v>
      </c>
      <c r="AA187" s="105"/>
      <c r="AB187" s="105"/>
      <c r="AC187" s="105"/>
      <c r="AD187" s="105"/>
      <c r="AE187" s="105"/>
      <c r="AF187" s="105"/>
      <c r="AG187" s="105"/>
      <c r="AQ187" s="105"/>
      <c r="AR187" s="105"/>
      <c r="AS187" s="105"/>
      <c r="AT187" s="105"/>
      <c r="AU187" s="105"/>
      <c r="AV187" s="105"/>
      <c r="AW187" s="105"/>
      <c r="AX187" s="105"/>
      <c r="AY187" s="105"/>
      <c r="AZ187" s="105"/>
      <c r="BA187" s="105"/>
    </row>
    <row r="188" spans="1:74" ht="15.75" hidden="1" customHeight="1" outlineLevel="1">
      <c r="A188" s="98"/>
      <c r="B188" s="99"/>
      <c r="C188" s="105"/>
      <c r="D188" s="105"/>
      <c r="E188" s="105"/>
      <c r="F188" s="105"/>
      <c r="G188" s="105">
        <f>IF($G$14&gt;0,'Assumptions (Coal)'!V$10*Model!$G$14*AVERAGE('Assumptions (Coal)'!$B$2:$E$2)/10^9,0)</f>
        <v>4.6927013299390231E-2</v>
      </c>
      <c r="H188" s="105">
        <f>IF($G$14&gt;0,'Assumptions (Coal)'!W$10*Model!$G$14*AVERAGE('Assumptions (Coal)'!$B$2:$E$2)/10^9,0)</f>
        <v>9.0337629068879516E-2</v>
      </c>
      <c r="I188" s="105">
        <f>IF($G$14&gt;0,'Assumptions (Coal)'!X$10*Model!$G$14*AVERAGE('Assumptions (Coal)'!$B$2:$E$2)/10^9,0)</f>
        <v>8.3555111413340974E-2</v>
      </c>
      <c r="J188" s="105">
        <f>IF($G$14&gt;0,'Assumptions (Coal)'!Y$10*Model!$G$14*AVERAGE('Assumptions (Coal)'!$B$2:$E$2)/10^9,0)</f>
        <v>7.7298176306755603E-2</v>
      </c>
      <c r="K188" s="105">
        <f>IF($G$14&gt;0,'Assumptions (Coal)'!Z$10*Model!$G$14*AVERAGE('Assumptions (Coal)'!$B$2:$E$2)/10^9,0)</f>
        <v>7.1491740527844377E-2</v>
      </c>
      <c r="L188" s="105">
        <f>IF($G$14&gt;0,'Assumptions (Coal)'!AA$10*Model!$G$14*AVERAGE('Assumptions (Coal)'!$B$2:$E$2)/10^9,0)</f>
        <v>6.6135804076607324E-2</v>
      </c>
      <c r="M188" s="105">
        <f>IF($G$14&gt;0,'Assumptions (Coal)'!AB$10*Model!$G$14*AVERAGE('Assumptions (Coal)'!$B$2:$E$2)/10^9,0)</f>
        <v>6.1167797601978532E-2</v>
      </c>
      <c r="N188" s="105">
        <f>IF($G$14&gt;0,'Assumptions (Coal)'!AC$10*Model!$G$14*AVERAGE('Assumptions (Coal)'!$B$2:$E$2)/10^9,0)</f>
        <v>5.6587721103958058E-2</v>
      </c>
      <c r="O188" s="105">
        <f>IF($G$14&gt;0,'Assumptions (Coal)'!AD$10*Model!$G$14*AVERAGE('Assumptions (Coal)'!$B$2:$E$2)/10^9,0)</f>
        <v>5.5836888891167807E-2</v>
      </c>
      <c r="P188" s="105">
        <f>IF($G$14&gt;0,'Assumptions (Coal)'!AE$10*Model!$G$14*AVERAGE('Assumptions (Coal)'!$B$2:$E$2)/10^9,0)</f>
        <v>5.5824375020954622E-2</v>
      </c>
      <c r="Q188" s="105">
        <f>IF($G$14&gt;0,'Assumptions (Coal)'!AF$10*Model!$G$14*AVERAGE('Assumptions (Coal)'!$B$2:$E$2)/10^9,0)</f>
        <v>5.5836888891167807E-2</v>
      </c>
      <c r="R188" s="105">
        <f>IF($G$14&gt;0,'Assumptions (Coal)'!AG$10*Model!$G$14*AVERAGE('Assumptions (Coal)'!$B$2:$E$2)/10^9,0)</f>
        <v>5.5824375020954622E-2</v>
      </c>
      <c r="S188" s="105">
        <f>IF($G$14&gt;0,'Assumptions (Coal)'!AH$10*Model!$G$14*AVERAGE('Assumptions (Coal)'!$B$2:$E$2)/10^9,0)</f>
        <v>5.5836888891167807E-2</v>
      </c>
      <c r="T188" s="105">
        <f>IF($G$14&gt;0,'Assumptions (Coal)'!AI$10*Model!$G$14*AVERAGE('Assumptions (Coal)'!$B$2:$E$2)/10^9,0)</f>
        <v>5.5824375020954622E-2</v>
      </c>
      <c r="U188" s="105">
        <f>IF($G$14&gt;0,'Assumptions (Coal)'!AJ$10*Model!$G$14*AVERAGE('Assumptions (Coal)'!$B$2:$E$2)/10^9,0)</f>
        <v>5.5836888891167807E-2</v>
      </c>
      <c r="V188" s="105">
        <f>IF($G$14&gt;0,'Assumptions (Coal)'!AK$10*Model!$G$14*AVERAGE('Assumptions (Coal)'!$B$2:$E$2)/10^9,0)</f>
        <v>5.5824375020954622E-2</v>
      </c>
      <c r="W188" s="105">
        <f>IF($G$14&gt;0,'Assumptions (Coal)'!AL$10*Model!$G$14*AVERAGE('Assumptions (Coal)'!$B$2:$E$2)/10^9,0)</f>
        <v>5.5836888891167807E-2</v>
      </c>
      <c r="X188" s="105">
        <f>IF($G$14&gt;0,'Assumptions (Coal)'!AM$10*Model!$G$14*AVERAGE('Assumptions (Coal)'!$B$2:$E$2)/10^9,0)</f>
        <v>5.5824375020954622E-2</v>
      </c>
      <c r="Y188" s="105">
        <f>IF($G$14&gt;0,'Assumptions (Coal)'!AN$10*Model!$G$14*AVERAGE('Assumptions (Coal)'!$B$2:$E$2)/10^9,0)</f>
        <v>5.5836888891167807E-2</v>
      </c>
      <c r="Z188" s="105">
        <f>IF($G$14&gt;0,'Assumptions (Coal)'!AO$10*Model!$G$14*AVERAGE('Assumptions (Coal)'!$B$2:$E$2)/10^9,0)</f>
        <v>5.5824375020954622E-2</v>
      </c>
      <c r="AA188" s="105">
        <f>IF($G$14&gt;0,'Assumptions (Coal)'!AP$10*Model!$G$14*AVERAGE('Assumptions (Coal)'!$B$2:$E$2)/10^9,0)</f>
        <v>2.7918444445583904E-2</v>
      </c>
      <c r="AB188" s="105"/>
      <c r="AC188" s="105"/>
      <c r="AD188" s="105"/>
      <c r="AE188" s="105"/>
      <c r="AF188" s="105"/>
      <c r="AG188" s="105"/>
      <c r="AQ188" s="105"/>
      <c r="AR188" s="105"/>
      <c r="AS188" s="105"/>
      <c r="AT188" s="105"/>
      <c r="AU188" s="105"/>
      <c r="AV188" s="105"/>
      <c r="AW188" s="105"/>
      <c r="AX188" s="105"/>
      <c r="AY188" s="105"/>
      <c r="AZ188" s="105"/>
      <c r="BA188" s="105"/>
    </row>
    <row r="189" spans="1:74" ht="15.75" hidden="1" customHeight="1" outlineLevel="1">
      <c r="A189" s="98"/>
      <c r="B189" s="99"/>
      <c r="C189" s="105"/>
      <c r="D189" s="105"/>
      <c r="E189" s="105"/>
      <c r="F189" s="105"/>
      <c r="G189" s="105"/>
      <c r="H189" s="105">
        <f>IF($H$14&gt;0,'Assumptions (Coal)'!V$10*Model!$H$14*AVERAGE('Assumptions (Coal)'!$B$2:$F$2)/10^9,0)</f>
        <v>3.5309598203533514E-2</v>
      </c>
      <c r="I189" s="105">
        <f>IF($H$14&gt;0,'Assumptions (Coal)'!W$10*Model!$H$14*AVERAGE('Assumptions (Coal)'!$B$2:$F$2)/10^9,0)</f>
        <v>6.7973330515015598E-2</v>
      </c>
      <c r="J189" s="105">
        <f>IF($H$14&gt;0,'Assumptions (Coal)'!X$10*Model!$H$14*AVERAGE('Assumptions (Coal)'!$B$2:$F$2)/10^9,0)</f>
        <v>6.2869916587998204E-2</v>
      </c>
      <c r="K189" s="105">
        <f>IF($H$14&gt;0,'Assumptions (Coal)'!Y$10*Model!$H$14*AVERAGE('Assumptions (Coal)'!$B$2:$F$2)/10^9,0)</f>
        <v>5.8161970160860409E-2</v>
      </c>
      <c r="L189" s="105">
        <f>IF($H$14&gt;0,'Assumptions (Coal)'!Z$10*Model!$H$14*AVERAGE('Assumptions (Coal)'!$B$2:$F$2)/10^9,0)</f>
        <v>5.3792995876476533E-2</v>
      </c>
      <c r="M189" s="105">
        <f>IF($H$14&gt;0,'Assumptions (Coal)'!AA$10*Model!$H$14*AVERAGE('Assumptions (Coal)'!$B$2:$F$2)/10^9,0)</f>
        <v>4.9762993734846571E-2</v>
      </c>
      <c r="N189" s="105">
        <f>IF($H$14&gt;0,'Assumptions (Coal)'!AB$10*Model!$H$14*AVERAGE('Assumptions (Coal)'!$B$2:$F$2)/10^9,0)</f>
        <v>4.6024884271699158E-2</v>
      </c>
      <c r="O189" s="105">
        <f>IF($H$14&gt;0,'Assumptions (Coal)'!AC$10*Model!$H$14*AVERAGE('Assumptions (Coal)'!$B$2:$F$2)/10^9,0)</f>
        <v>4.2578667487034288E-2</v>
      </c>
      <c r="P189" s="105">
        <f>IF($H$14&gt;0,'Assumptions (Coal)'!AD$10*Model!$H$14*AVERAGE('Assumptions (Coal)'!$B$2:$F$2)/10^9,0)</f>
        <v>4.2013713915777753E-2</v>
      </c>
      <c r="Q189" s="105">
        <f>IF($H$14&gt;0,'Assumptions (Coal)'!AE$10*Model!$H$14*AVERAGE('Assumptions (Coal)'!$B$2:$F$2)/10^9,0)</f>
        <v>4.2004298022923471E-2</v>
      </c>
      <c r="R189" s="105">
        <f>IF($H$14&gt;0,'Assumptions (Coal)'!AF$10*Model!$H$14*AVERAGE('Assumptions (Coal)'!$B$2:$F$2)/10^9,0)</f>
        <v>4.2013713915777753E-2</v>
      </c>
      <c r="S189" s="105">
        <f>IF($H$14&gt;0,'Assumptions (Coal)'!AG$10*Model!$H$14*AVERAGE('Assumptions (Coal)'!$B$2:$F$2)/10^9,0)</f>
        <v>4.2004298022923471E-2</v>
      </c>
      <c r="T189" s="105">
        <f>IF($H$14&gt;0,'Assumptions (Coal)'!AH$10*Model!$H$14*AVERAGE('Assumptions (Coal)'!$B$2:$F$2)/10^9,0)</f>
        <v>4.2013713915777753E-2</v>
      </c>
      <c r="U189" s="105">
        <f>IF($H$14&gt;0,'Assumptions (Coal)'!AI$10*Model!$H$14*AVERAGE('Assumptions (Coal)'!$B$2:$F$2)/10^9,0)</f>
        <v>4.2004298022923471E-2</v>
      </c>
      <c r="V189" s="105">
        <f>IF($H$14&gt;0,'Assumptions (Coal)'!AJ$10*Model!$H$14*AVERAGE('Assumptions (Coal)'!$B$2:$F$2)/10^9,0)</f>
        <v>4.2013713915777753E-2</v>
      </c>
      <c r="W189" s="105">
        <f>IF($H$14&gt;0,'Assumptions (Coal)'!AK$10*Model!$H$14*AVERAGE('Assumptions (Coal)'!$B$2:$F$2)/10^9,0)</f>
        <v>4.2004298022923471E-2</v>
      </c>
      <c r="X189" s="105">
        <f>IF($H$14&gt;0,'Assumptions (Coal)'!AL$10*Model!$H$14*AVERAGE('Assumptions (Coal)'!$B$2:$F$2)/10^9,0)</f>
        <v>4.2013713915777753E-2</v>
      </c>
      <c r="Y189" s="105">
        <f>IF($H$14&gt;0,'Assumptions (Coal)'!AM$10*Model!$H$14*AVERAGE('Assumptions (Coal)'!$B$2:$F$2)/10^9,0)</f>
        <v>4.2004298022923471E-2</v>
      </c>
      <c r="Z189" s="105">
        <f>IF($H$14&gt;0,'Assumptions (Coal)'!AN$10*Model!$H$14*AVERAGE('Assumptions (Coal)'!$B$2:$F$2)/10^9,0)</f>
        <v>4.2013713915777753E-2</v>
      </c>
      <c r="AA189" s="105">
        <f>IF($H$14&gt;0,'Assumptions (Coal)'!AO$10*Model!$H$14*AVERAGE('Assumptions (Coal)'!$B$2:$F$2)/10^9,0)</f>
        <v>4.2004298022923471E-2</v>
      </c>
      <c r="AB189" s="105">
        <f>IF($H$14&gt;0,'Assumptions (Coal)'!AP$10*Model!$H$14*AVERAGE('Assumptions (Coal)'!$B$2:$F$2)/10^9,0)</f>
        <v>2.1006856957888877E-2</v>
      </c>
      <c r="AC189" s="105"/>
      <c r="AD189" s="105"/>
      <c r="AE189" s="105"/>
      <c r="AF189" s="105"/>
      <c r="AG189" s="105"/>
      <c r="AQ189" s="105"/>
      <c r="AR189" s="105"/>
      <c r="AS189" s="105"/>
      <c r="AT189" s="105"/>
      <c r="AU189" s="105"/>
      <c r="AV189" s="105"/>
      <c r="AW189" s="105"/>
      <c r="AX189" s="105"/>
      <c r="AY189" s="105"/>
      <c r="AZ189" s="105"/>
      <c r="BA189" s="105"/>
    </row>
    <row r="190" spans="1:74" ht="15.75" hidden="1" customHeight="1" outlineLevel="1">
      <c r="A190" s="98"/>
      <c r="B190" s="99"/>
      <c r="C190" s="105"/>
      <c r="D190" s="105"/>
      <c r="E190" s="105"/>
      <c r="F190" s="105"/>
      <c r="G190" s="105"/>
      <c r="H190" s="105"/>
      <c r="I190" s="105">
        <f>IF($I$14&gt;0,'Assumptions (Coal)'!V$10*Model!$I$14*AVERAGE('Assumptions (Coal)'!$B$2:$G$2)/10^9,0)</f>
        <v>4.8156902748322516E-2</v>
      </c>
      <c r="J190" s="105">
        <f>IF($I$14&gt;0,'Assumptions (Coal)'!W$10*Model!$I$14*AVERAGE('Assumptions (Coal)'!$B$2:$G$2)/10^9,0)</f>
        <v>9.2705248250704086E-2</v>
      </c>
      <c r="K190" s="105">
        <f>IF($I$14&gt;0,'Assumptions (Coal)'!X$10*Model!$I$14*AVERAGE('Assumptions (Coal)'!$B$2:$G$2)/10^9,0)</f>
        <v>8.5744970573479851E-2</v>
      </c>
      <c r="L190" s="105">
        <f>IF($I$14&gt;0,'Assumptions (Coal)'!Y$10*Model!$I$14*AVERAGE('Assumptions (Coal)'!$B$2:$G$2)/10^9,0)</f>
        <v>7.9324050207036853E-2</v>
      </c>
      <c r="M190" s="105">
        <f>IF($I$14&gt;0,'Assumptions (Coal)'!Z$10*Model!$I$14*AVERAGE('Assumptions (Coal)'!$B$2:$G$2)/10^9,0)</f>
        <v>7.3365436106977752E-2</v>
      </c>
      <c r="N190" s="105">
        <f>IF($I$14&gt;0,'Assumptions (Coal)'!AA$10*Model!$I$14*AVERAGE('Assumptions (Coal)'!$B$2:$G$2)/10^9,0)</f>
        <v>6.7869128273302534E-2</v>
      </c>
      <c r="O190" s="105">
        <f>IF($I$14&gt;0,'Assumptions (Coal)'!AB$10*Model!$I$14*AVERAGE('Assumptions (Coal)'!$B$2:$G$2)/10^9,0)</f>
        <v>6.2770917502346785E-2</v>
      </c>
      <c r="P190" s="105">
        <f>IF($I$14&gt;0,'Assumptions (Coal)'!AC$10*Model!$I$14*AVERAGE('Assumptions (Coal)'!$B$2:$G$2)/10^9,0)</f>
        <v>5.8070803794110518E-2</v>
      </c>
      <c r="Q190" s="105">
        <f>IF($I$14&gt;0,'Assumptions (Coal)'!AD$10*Model!$I$14*AVERAGE('Assumptions (Coal)'!$B$2:$G$2)/10^9,0)</f>
        <v>5.7300293350137359E-2</v>
      </c>
      <c r="R190" s="105">
        <f>IF($I$14&gt;0,'Assumptions (Coal)'!AE$10*Model!$I$14*AVERAGE('Assumptions (Coal)'!$B$2:$G$2)/10^9,0)</f>
        <v>5.7287451509404466E-2</v>
      </c>
      <c r="S190" s="105">
        <f>IF($I$14&gt;0,'Assumptions (Coal)'!AF$10*Model!$I$14*AVERAGE('Assumptions (Coal)'!$B$2:$G$2)/10^9,0)</f>
        <v>5.7300293350137359E-2</v>
      </c>
      <c r="T190" s="105">
        <f>IF($I$14&gt;0,'Assumptions (Coal)'!AG$10*Model!$I$14*AVERAGE('Assumptions (Coal)'!$B$2:$G$2)/10^9,0)</f>
        <v>5.7287451509404466E-2</v>
      </c>
      <c r="U190" s="105">
        <f>IF($I$14&gt;0,'Assumptions (Coal)'!AH$10*Model!$I$14*AVERAGE('Assumptions (Coal)'!$B$2:$G$2)/10^9,0)</f>
        <v>5.7300293350137359E-2</v>
      </c>
      <c r="V190" s="105">
        <f>IF($I$14&gt;0,'Assumptions (Coal)'!AI$10*Model!$I$14*AVERAGE('Assumptions (Coal)'!$B$2:$G$2)/10^9,0)</f>
        <v>5.7287451509404466E-2</v>
      </c>
      <c r="W190" s="105">
        <f>IF($I$14&gt;0,'Assumptions (Coal)'!AJ$10*Model!$I$14*AVERAGE('Assumptions (Coal)'!$B$2:$G$2)/10^9,0)</f>
        <v>5.7300293350137359E-2</v>
      </c>
      <c r="X190" s="105">
        <f>IF($I$14&gt;0,'Assumptions (Coal)'!AK$10*Model!$I$14*AVERAGE('Assumptions (Coal)'!$B$2:$G$2)/10^9,0)</f>
        <v>5.7287451509404466E-2</v>
      </c>
      <c r="Y190" s="105">
        <f>IF($I$14&gt;0,'Assumptions (Coal)'!AL$10*Model!$I$14*AVERAGE('Assumptions (Coal)'!$B$2:$G$2)/10^9,0)</f>
        <v>5.7300293350137359E-2</v>
      </c>
      <c r="Z190" s="105">
        <f>IF($I$14&gt;0,'Assumptions (Coal)'!AM$10*Model!$I$14*AVERAGE('Assumptions (Coal)'!$B$2:$G$2)/10^9,0)</f>
        <v>5.7287451509404466E-2</v>
      </c>
      <c r="AA190" s="105">
        <f>IF($I$14&gt;0,'Assumptions (Coal)'!AN$10*Model!$I$14*AVERAGE('Assumptions (Coal)'!$B$2:$G$2)/10^9,0)</f>
        <v>5.7300293350137359E-2</v>
      </c>
      <c r="AB190" s="105">
        <f>IF($I$14&gt;0,'Assumptions (Coal)'!AO$10*Model!$I$14*AVERAGE('Assumptions (Coal)'!$B$2:$G$2)/10^9,0)</f>
        <v>5.7287451509404466E-2</v>
      </c>
      <c r="AC190" s="105">
        <f>IF($I$14&gt;0,'Assumptions (Coal)'!AP$10*Model!$I$14*AVERAGE('Assumptions (Coal)'!$B$2:$G$2)/10^9,0)</f>
        <v>2.8650146675068679E-2</v>
      </c>
      <c r="AD190" s="105"/>
      <c r="AE190" s="105"/>
      <c r="AF190" s="105"/>
      <c r="AG190" s="105"/>
      <c r="AQ190" s="105"/>
      <c r="AR190" s="105"/>
      <c r="AS190" s="105"/>
      <c r="AT190" s="105"/>
      <c r="AU190" s="105"/>
      <c r="AV190" s="105"/>
      <c r="AW190" s="105"/>
      <c r="AX190" s="105"/>
      <c r="AY190" s="105"/>
      <c r="AZ190" s="105"/>
      <c r="BA190" s="105"/>
    </row>
    <row r="191" spans="1:74" ht="15.75" hidden="1" customHeight="1" outlineLevel="1">
      <c r="A191" s="98"/>
      <c r="B191" s="99"/>
      <c r="C191" s="105"/>
      <c r="D191" s="105"/>
      <c r="E191" s="105"/>
      <c r="F191" s="105"/>
      <c r="G191" s="105"/>
      <c r="H191" s="105"/>
      <c r="I191" s="105"/>
      <c r="J191" s="105">
        <f>IF($J$14&gt;0,'Assumptions (Coal)'!V$10*Model!$J$14*AVERAGE('Assumptions (Coal)'!$C$2:$H$2)/10^9,0)</f>
        <v>0.13251162152581925</v>
      </c>
      <c r="K191" s="105">
        <f>IF($J$14&gt;0,'Assumptions (Coal)'!W$10*Model!$J$14*AVERAGE('Assumptions (Coal)'!$C$2:$H$2)/10^9,0)</f>
        <v>0.25509370554530375</v>
      </c>
      <c r="L191" s="105">
        <f>IF($J$14&gt;0,'Assumptions (Coal)'!X$10*Model!$J$14*AVERAGE('Assumptions (Coal)'!$C$2:$H$2)/10^9,0)</f>
        <v>0.23594135918077197</v>
      </c>
      <c r="M191" s="105">
        <f>IF($J$14&gt;0,'Assumptions (Coal)'!Y$10*Model!$J$14*AVERAGE('Assumptions (Coal)'!$C$2:$H$2)/10^9,0)</f>
        <v>0.21827314297732944</v>
      </c>
      <c r="N191" s="105">
        <f>IF($J$14&gt;0,'Assumptions (Coal)'!Z$10*Model!$J$14*AVERAGE('Assumptions (Coal)'!$C$2:$H$2)/10^9,0)</f>
        <v>0.20187703834053475</v>
      </c>
      <c r="O191" s="105">
        <f>IF($J$14&gt;0,'Assumptions (Coal)'!AA$10*Model!$J$14*AVERAGE('Assumptions (Coal)'!$C$2:$H$2)/10^9,0)</f>
        <v>0.18675304527038791</v>
      </c>
      <c r="P191" s="105">
        <f>IF($J$14&gt;0,'Assumptions (Coal)'!AB$10*Model!$J$14*AVERAGE('Assumptions (Coal)'!$C$2:$H$2)/10^9,0)</f>
        <v>0.17272448160485451</v>
      </c>
      <c r="Q191" s="105">
        <f>IF($J$14&gt;0,'Assumptions (Coal)'!AC$10*Model!$J$14*AVERAGE('Assumptions (Coal)'!$C$2:$H$2)/10^9,0)</f>
        <v>0.15979134734393458</v>
      </c>
      <c r="R191" s="105">
        <f>IF($J$14&gt;0,'Assumptions (Coal)'!AD$10*Model!$J$14*AVERAGE('Assumptions (Coal)'!$C$2:$H$2)/10^9,0)</f>
        <v>0.15767116139952145</v>
      </c>
      <c r="S191" s="105">
        <f>IF($J$14&gt;0,'Assumptions (Coal)'!AE$10*Model!$J$14*AVERAGE('Assumptions (Coal)'!$C$2:$H$2)/10^9,0)</f>
        <v>0.15763582496711456</v>
      </c>
      <c r="T191" s="105">
        <f>IF($J$14&gt;0,'Assumptions (Coal)'!AF$10*Model!$J$14*AVERAGE('Assumptions (Coal)'!$C$2:$H$2)/10^9,0)</f>
        <v>0.15767116139952145</v>
      </c>
      <c r="U191" s="105">
        <f>IF($J$14&gt;0,'Assumptions (Coal)'!AG$10*Model!$J$14*AVERAGE('Assumptions (Coal)'!$C$2:$H$2)/10^9,0)</f>
        <v>0.15763582496711456</v>
      </c>
      <c r="V191" s="105">
        <f>IF($J$14&gt;0,'Assumptions (Coal)'!AH$10*Model!$J$14*AVERAGE('Assumptions (Coal)'!$C$2:$H$2)/10^9,0)</f>
        <v>0.15767116139952145</v>
      </c>
      <c r="W191" s="105">
        <f>IF($J$14&gt;0,'Assumptions (Coal)'!AI$10*Model!$J$14*AVERAGE('Assumptions (Coal)'!$C$2:$H$2)/10^9,0)</f>
        <v>0.15763582496711456</v>
      </c>
      <c r="X191" s="105">
        <f>IF($J$14&gt;0,'Assumptions (Coal)'!AJ$10*Model!$J$14*AVERAGE('Assumptions (Coal)'!$C$2:$H$2)/10^9,0)</f>
        <v>0.15767116139952145</v>
      </c>
      <c r="Y191" s="105">
        <f>IF($J$14&gt;0,'Assumptions (Coal)'!AK$10*Model!$J$14*AVERAGE('Assumptions (Coal)'!$C$2:$H$2)/10^9,0)</f>
        <v>0.15763582496711456</v>
      </c>
      <c r="Z191" s="105">
        <f>IF($J$14&gt;0,'Assumptions (Coal)'!AL$10*Model!$J$14*AVERAGE('Assumptions (Coal)'!$C$2:$H$2)/10^9,0)</f>
        <v>0.15767116139952145</v>
      </c>
      <c r="AA191" s="105">
        <f>IF($J$14&gt;0,'Assumptions (Coal)'!AM$10*Model!$J$14*AVERAGE('Assumptions (Coal)'!$C$2:$H$2)/10^9,0)</f>
        <v>0.15763582496711456</v>
      </c>
      <c r="AB191" s="105">
        <f>IF($J$14&gt;0,'Assumptions (Coal)'!AN$10*Model!$J$14*AVERAGE('Assumptions (Coal)'!$C$2:$H$2)/10^9,0)</f>
        <v>0.15767116139952145</v>
      </c>
      <c r="AC191" s="105">
        <f>IF($J$14&gt;0,'Assumptions (Coal)'!AO$10*Model!$J$14*AVERAGE('Assumptions (Coal)'!$C$2:$H$2)/10^9,0)</f>
        <v>0.15763582496711456</v>
      </c>
      <c r="AD191" s="105">
        <f>IF($J$14&gt;0,'Assumptions (Coal)'!AP$10*Model!$J$14*AVERAGE('Assumptions (Coal)'!$C$2:$H$2)/10^9,0)</f>
        <v>7.8835580699760724E-2</v>
      </c>
      <c r="AE191" s="105"/>
      <c r="AF191" s="105"/>
      <c r="AG191" s="105"/>
      <c r="AH191" s="105"/>
      <c r="AQ191" s="105"/>
      <c r="AR191" s="105"/>
      <c r="AS191" s="105"/>
      <c r="AT191" s="105"/>
      <c r="AU191" s="105"/>
      <c r="AV191" s="105"/>
      <c r="AW191" s="105"/>
      <c r="AX191" s="105"/>
      <c r="AY191" s="105"/>
      <c r="AZ191" s="105"/>
      <c r="BA191" s="105"/>
    </row>
    <row r="192" spans="1:74" ht="15.75" hidden="1" customHeight="1" outlineLevel="1">
      <c r="A192" s="98"/>
      <c r="B192" s="99"/>
      <c r="C192" s="105"/>
      <c r="D192" s="105"/>
      <c r="E192" s="105"/>
      <c r="F192" s="105"/>
      <c r="G192" s="105"/>
      <c r="H192" s="105"/>
      <c r="I192" s="105"/>
      <c r="J192" s="105"/>
      <c r="K192" s="105">
        <f>IF($K$14&gt;0,'Assumptions (Coal)'!V$10*Model!$K$14*AVERAGE('Assumptions (Coal)'!$D$2:$I$2)/10^9,0)</f>
        <v>0.13929243692953427</v>
      </c>
      <c r="L192" s="105">
        <f>IF($K$14&gt;0,'Assumptions (Coal)'!W$10*Model!$K$14*AVERAGE('Assumptions (Coal)'!$D$2:$I$2)/10^9,0)</f>
        <v>0.2681472272518155</v>
      </c>
      <c r="M192" s="105">
        <f>IF($K$14&gt;0,'Assumptions (Coal)'!X$10*Model!$K$14*AVERAGE('Assumptions (Coal)'!$D$2:$I$2)/10^9,0)</f>
        <v>0.2480148270342668</v>
      </c>
      <c r="N192" s="105">
        <f>IF($K$14&gt;0,'Assumptions (Coal)'!Y$10*Model!$K$14*AVERAGE('Assumptions (Coal)'!$D$2:$I$2)/10^9,0)</f>
        <v>0.22944250211032891</v>
      </c>
      <c r="O192" s="105">
        <f>IF($K$14&gt;0,'Assumptions (Coal)'!Z$10*Model!$K$14*AVERAGE('Assumptions (Coal)'!$D$2:$I$2)/10^9,0)</f>
        <v>0.21220738458091454</v>
      </c>
      <c r="P192" s="105">
        <f>IF($K$14&gt;0,'Assumptions (Coal)'!AA$10*Model!$K$14*AVERAGE('Assumptions (Coal)'!$D$2:$I$2)/10^9,0)</f>
        <v>0.19630947444602367</v>
      </c>
      <c r="Q192" s="105">
        <f>IF($K$14&gt;0,'Assumptions (Coal)'!AB$10*Model!$K$14*AVERAGE('Assumptions (Coal)'!$D$2:$I$2)/10^9,0)</f>
        <v>0.18156304845641696</v>
      </c>
      <c r="R192" s="105">
        <f>IF($K$14&gt;0,'Assumptions (Coal)'!AC$10*Model!$K$14*AVERAGE('Assumptions (Coal)'!$D$2:$I$2)/10^9,0)</f>
        <v>0.16796810661209444</v>
      </c>
      <c r="S192" s="105">
        <f>IF($K$14&gt;0,'Assumptions (Coal)'!AD$10*Model!$K$14*AVERAGE('Assumptions (Coal)'!$D$2:$I$2)/10^9,0)</f>
        <v>0.16573942762122187</v>
      </c>
      <c r="T192" s="105">
        <f>IF($K$14&gt;0,'Assumptions (Coal)'!AE$10*Model!$K$14*AVERAGE('Assumptions (Coal)'!$D$2:$I$2)/10^9,0)</f>
        <v>0.16570228297137402</v>
      </c>
      <c r="U192" s="105">
        <f>IF($K$14&gt;0,'Assumptions (Coal)'!AF$10*Model!$K$14*AVERAGE('Assumptions (Coal)'!$D$2:$I$2)/10^9,0)</f>
        <v>0.16573942762122187</v>
      </c>
      <c r="V192" s="105">
        <f>IF($K$14&gt;0,'Assumptions (Coal)'!AG$10*Model!$K$14*AVERAGE('Assumptions (Coal)'!$D$2:$I$2)/10^9,0)</f>
        <v>0.16570228297137402</v>
      </c>
      <c r="W192" s="105">
        <f>IF($K$14&gt;0,'Assumptions (Coal)'!AH$10*Model!$K$14*AVERAGE('Assumptions (Coal)'!$D$2:$I$2)/10^9,0)</f>
        <v>0.16573942762122187</v>
      </c>
      <c r="X192" s="105">
        <f>IF($K$14&gt;0,'Assumptions (Coal)'!AI$10*Model!$K$14*AVERAGE('Assumptions (Coal)'!$D$2:$I$2)/10^9,0)</f>
        <v>0.16570228297137402</v>
      </c>
      <c r="Y192" s="105">
        <f>IF($K$14&gt;0,'Assumptions (Coal)'!AJ$10*Model!$K$14*AVERAGE('Assumptions (Coal)'!$D$2:$I$2)/10^9,0)</f>
        <v>0.16573942762122187</v>
      </c>
      <c r="Z192" s="105">
        <f>IF($K$14&gt;0,'Assumptions (Coal)'!AK$10*Model!$K$14*AVERAGE('Assumptions (Coal)'!$D$2:$I$2)/10^9,0)</f>
        <v>0.16570228297137402</v>
      </c>
      <c r="AA192" s="105">
        <f>IF($K$14&gt;0,'Assumptions (Coal)'!AL$10*Model!$K$14*AVERAGE('Assumptions (Coal)'!$D$2:$I$2)/10^9,0)</f>
        <v>0.16573942762122187</v>
      </c>
      <c r="AB192" s="105">
        <f>IF($K$14&gt;0,'Assumptions (Coal)'!AM$10*Model!$K$14*AVERAGE('Assumptions (Coal)'!$D$2:$I$2)/10^9,0)</f>
        <v>0.16570228297137402</v>
      </c>
      <c r="AC192" s="105">
        <f>IF($K$14&gt;0,'Assumptions (Coal)'!AN$10*Model!$K$14*AVERAGE('Assumptions (Coal)'!$D$2:$I$2)/10^9,0)</f>
        <v>0.16573942762122187</v>
      </c>
      <c r="AD192" s="105">
        <f>IF($K$14&gt;0,'Assumptions (Coal)'!AO$10*Model!$K$14*AVERAGE('Assumptions (Coal)'!$D$2:$I$2)/10^9,0)</f>
        <v>0.16570228297137402</v>
      </c>
      <c r="AE192" s="105">
        <f>IF($K$14&gt;0,'Assumptions (Coal)'!AP$10*Model!$K$14*AVERAGE('Assumptions (Coal)'!$D$2:$I$2)/10^9,0)</f>
        <v>8.2869713810610937E-2</v>
      </c>
      <c r="AF192" s="105"/>
      <c r="AG192" s="105"/>
      <c r="AH192" s="105"/>
      <c r="AI192" s="105"/>
      <c r="AQ192" s="105"/>
      <c r="AR192" s="105"/>
      <c r="AS192" s="105"/>
      <c r="AT192" s="105"/>
      <c r="AU192" s="105"/>
      <c r="AV192" s="105"/>
      <c r="AW192" s="105"/>
      <c r="AX192" s="105"/>
      <c r="AY192" s="105"/>
      <c r="AZ192" s="105"/>
      <c r="BA192" s="105"/>
    </row>
    <row r="193" spans="1:53" ht="15.75" hidden="1" customHeight="1" outlineLevel="1">
      <c r="A193" s="98"/>
      <c r="B193" s="99"/>
      <c r="C193" s="105"/>
      <c r="D193" s="105"/>
      <c r="E193" s="105"/>
      <c r="F193" s="105"/>
      <c r="G193" s="105"/>
      <c r="H193" s="105"/>
      <c r="I193" s="105"/>
      <c r="J193" s="105"/>
      <c r="K193" s="105"/>
      <c r="L193" s="105">
        <f>IF($L$14&gt;0,'Assumptions (Coal)'!V$10*Model!$L$14*AVERAGE('Assumptions (Coal)'!$E$2:$J$2)/10^9,0)</f>
        <v>0.16922998441195122</v>
      </c>
      <c r="M193" s="105">
        <f>IF($L$14&gt;0,'Assumptions (Coal)'!W$10*Model!$L$14*AVERAGE('Assumptions (Coal)'!$E$2:$J$2)/10^9,0)</f>
        <v>0.32577900199196697</v>
      </c>
      <c r="N193" s="105">
        <f>IF($L$14&gt;0,'Assumptions (Coal)'!X$10*Model!$L$14*AVERAGE('Assumptions (Coal)'!$E$2:$J$2)/10^9,0)</f>
        <v>0.30131962824495956</v>
      </c>
      <c r="O193" s="105">
        <f>IF($L$14&gt;0,'Assumptions (Coal)'!Y$10*Model!$L$14*AVERAGE('Assumptions (Coal)'!$E$2:$J$2)/10^9,0)</f>
        <v>0.27875563032336603</v>
      </c>
      <c r="P193" s="105">
        <f>IF($L$14&gt;0,'Assumptions (Coal)'!Z$10*Model!$L$14*AVERAGE('Assumptions (Coal)'!$E$2:$J$2)/10^9,0)</f>
        <v>0.25781624025212729</v>
      </c>
      <c r="Q193" s="105">
        <f>IF($L$14&gt;0,'Assumptions (Coal)'!AA$10*Model!$L$14*AVERAGE('Assumptions (Coal)'!$E$2:$J$2)/10^9,0)</f>
        <v>0.23850145803124326</v>
      </c>
      <c r="R193" s="105">
        <f>IF($L$14&gt;0,'Assumptions (Coal)'!AB$10*Model!$L$14*AVERAGE('Assumptions (Coal)'!$E$2:$J$2)/10^9,0)</f>
        <v>0.22058564368149802</v>
      </c>
      <c r="S193" s="105">
        <f>IF($L$14&gt;0,'Assumptions (Coal)'!AC$10*Model!$L$14*AVERAGE('Assumptions (Coal)'!$E$2:$J$2)/10^9,0)</f>
        <v>0.20406879720289159</v>
      </c>
      <c r="T193" s="105">
        <f>IF($L$14&gt;0,'Assumptions (Coal)'!AD$10*Model!$L$14*AVERAGE('Assumptions (Coal)'!$E$2:$J$2)/10^9,0)</f>
        <v>0.2013611174523004</v>
      </c>
      <c r="U193" s="105">
        <f>IF($L$14&gt;0,'Assumptions (Coal)'!AE$10*Model!$L$14*AVERAGE('Assumptions (Coal)'!$E$2:$J$2)/10^9,0)</f>
        <v>0.20131598945645718</v>
      </c>
      <c r="V193" s="105">
        <f>IF($L$14&gt;0,'Assumptions (Coal)'!AF$10*Model!$L$14*AVERAGE('Assumptions (Coal)'!$E$2:$J$2)/10^9,0)</f>
        <v>0.2013611174523004</v>
      </c>
      <c r="W193" s="105">
        <f>IF($L$14&gt;0,'Assumptions (Coal)'!AG$10*Model!$L$14*AVERAGE('Assumptions (Coal)'!$E$2:$J$2)/10^9,0)</f>
        <v>0.20131598945645718</v>
      </c>
      <c r="X193" s="105">
        <f>IF($L$14&gt;0,'Assumptions (Coal)'!AH$10*Model!$L$14*AVERAGE('Assumptions (Coal)'!$E$2:$J$2)/10^9,0)</f>
        <v>0.2013611174523004</v>
      </c>
      <c r="Y193" s="105">
        <f>IF($L$14&gt;0,'Assumptions (Coal)'!AI$10*Model!$L$14*AVERAGE('Assumptions (Coal)'!$E$2:$J$2)/10^9,0)</f>
        <v>0.20131598945645718</v>
      </c>
      <c r="Z193" s="105">
        <f>IF($L$14&gt;0,'Assumptions (Coal)'!AJ$10*Model!$L$14*AVERAGE('Assumptions (Coal)'!$E$2:$J$2)/10^9,0)</f>
        <v>0.2013611174523004</v>
      </c>
      <c r="AA193" s="105">
        <f>IF($L$14&gt;0,'Assumptions (Coal)'!AK$10*Model!$L$14*AVERAGE('Assumptions (Coal)'!$E$2:$J$2)/10^9,0)</f>
        <v>0.20131598945645718</v>
      </c>
      <c r="AB193" s="105">
        <f>IF($L$14&gt;0,'Assumptions (Coal)'!AL$10*Model!$L$14*AVERAGE('Assumptions (Coal)'!$E$2:$J$2)/10^9,0)</f>
        <v>0.2013611174523004</v>
      </c>
      <c r="AC193" s="105">
        <f>IF($L$14&gt;0,'Assumptions (Coal)'!AM$10*Model!$L$14*AVERAGE('Assumptions (Coal)'!$E$2:$J$2)/10^9,0)</f>
        <v>0.20131598945645718</v>
      </c>
      <c r="AD193" s="105">
        <f>IF($L$14&gt;0,'Assumptions (Coal)'!AN$10*Model!$L$14*AVERAGE('Assumptions (Coal)'!$E$2:$J$2)/10^9,0)</f>
        <v>0.2013611174523004</v>
      </c>
      <c r="AE193" s="105">
        <f>IF($L$14&gt;0,'Assumptions (Coal)'!AO$10*Model!$L$14*AVERAGE('Assumptions (Coal)'!$E$2:$J$2)/10^9,0)</f>
        <v>0.20131598945645718</v>
      </c>
      <c r="AF193" s="105">
        <f>IF($L$14&gt;0,'Assumptions (Coal)'!AP$10*Model!$L$14*AVERAGE('Assumptions (Coal)'!$E$2:$J$2)/10^9,0)</f>
        <v>0.1006805587261502</v>
      </c>
      <c r="AG193" s="105"/>
      <c r="AH193" s="105"/>
      <c r="AI193" s="105"/>
      <c r="AJ193" s="105"/>
      <c r="AQ193" s="105"/>
      <c r="AR193" s="105"/>
      <c r="AS193" s="105"/>
      <c r="AT193" s="105"/>
      <c r="AU193" s="105"/>
      <c r="AV193" s="105"/>
      <c r="AW193" s="105"/>
      <c r="AX193" s="105"/>
      <c r="AY193" s="105"/>
      <c r="AZ193" s="105"/>
      <c r="BA193" s="105"/>
    </row>
    <row r="194" spans="1:53" ht="15.75" hidden="1" customHeight="1" outlineLevel="1">
      <c r="A194" s="98"/>
      <c r="B194" s="99"/>
      <c r="C194" s="105"/>
      <c r="D194" s="105"/>
      <c r="E194" s="105"/>
      <c r="F194" s="105"/>
      <c r="G194" s="105"/>
      <c r="H194" s="105"/>
      <c r="I194" s="105"/>
      <c r="J194" s="105"/>
      <c r="K194" s="105"/>
      <c r="L194" s="105"/>
      <c r="M194" s="105">
        <f>IF($M$14&gt;0,'Assumptions (Coal)'!V$10*Model!$M$14*AVERAGE('Assumptions (Coal)'!$F$2:$K$2)/10^9,0)</f>
        <v>0.46968635248331508</v>
      </c>
      <c r="N194" s="105">
        <f>IF($M$14&gt;0,'Assumptions (Coal)'!W$10*Model!$M$14*AVERAGE('Assumptions (Coal)'!$F$2:$K$2)/10^9,0)</f>
        <v>0.90417754095388059</v>
      </c>
      <c r="O194" s="105">
        <f>IF($M$14&gt;0,'Assumptions (Coal)'!X$10*Model!$M$14*AVERAGE('Assumptions (Coal)'!$F$2:$K$2)/10^9,0)</f>
        <v>0.83629220680829186</v>
      </c>
      <c r="P194" s="105">
        <f>IF($M$14&gt;0,'Assumptions (Coal)'!Y$10*Model!$M$14*AVERAGE('Assumptions (Coal)'!$F$2:$K$2)/10^9,0)</f>
        <v>0.7736673598105166</v>
      </c>
      <c r="Q194" s="105">
        <f>IF($M$14&gt;0,'Assumptions (Coal)'!Z$10*Model!$M$14*AVERAGE('Assumptions (Coal)'!$F$2:$K$2)/10^9,0)</f>
        <v>0.71555150179658111</v>
      </c>
      <c r="R194" s="105">
        <f>IF($M$14&gt;0,'Assumptions (Coal)'!AA$10*Model!$M$14*AVERAGE('Assumptions (Coal)'!$F$2:$K$2)/10^9,0)</f>
        <v>0.66194463276648541</v>
      </c>
      <c r="S194" s="105">
        <f>IF($M$14&gt;0,'Assumptions (Coal)'!AB$10*Model!$M$14*AVERAGE('Assumptions (Coal)'!$F$2:$K$2)/10^9,0)</f>
        <v>0.61222050425025176</v>
      </c>
      <c r="T194" s="105">
        <f>IF($M$14&gt;0,'Assumptions (Coal)'!AC$10*Model!$M$14*AVERAGE('Assumptions (Coal)'!$F$2:$K$2)/10^9,0)</f>
        <v>0.56637911624788029</v>
      </c>
      <c r="U194" s="105">
        <f>IF($M$14&gt;0,'Assumptions (Coal)'!AD$10*Model!$M$14*AVERAGE('Assumptions (Coal)'!$F$2:$K$2)/10^9,0)</f>
        <v>0.5588641346081471</v>
      </c>
      <c r="V194" s="105">
        <f>IF($M$14&gt;0,'Assumptions (Coal)'!AE$10*Model!$M$14*AVERAGE('Assumptions (Coal)'!$F$2:$K$2)/10^9,0)</f>
        <v>0.55873888491415169</v>
      </c>
      <c r="W194" s="105">
        <f>IF($M$14&gt;0,'Assumptions (Coal)'!AF$10*Model!$M$14*AVERAGE('Assumptions (Coal)'!$F$2:$K$2)/10^9,0)</f>
        <v>0.5588641346081471</v>
      </c>
      <c r="X194" s="105">
        <f>IF($M$14&gt;0,'Assumptions (Coal)'!AG$10*Model!$M$14*AVERAGE('Assumptions (Coal)'!$F$2:$K$2)/10^9,0)</f>
        <v>0.55873888491415169</v>
      </c>
      <c r="Y194" s="105">
        <f>IF($M$14&gt;0,'Assumptions (Coal)'!AH$10*Model!$M$14*AVERAGE('Assumptions (Coal)'!$F$2:$K$2)/10^9,0)</f>
        <v>0.5588641346081471</v>
      </c>
      <c r="Z194" s="105">
        <f>IF($M$14&gt;0,'Assumptions (Coal)'!AI$10*Model!$M$14*AVERAGE('Assumptions (Coal)'!$F$2:$K$2)/10^9,0)</f>
        <v>0.55873888491415169</v>
      </c>
      <c r="AA194" s="105">
        <f>IF($M$14&gt;0,'Assumptions (Coal)'!AJ$10*Model!$M$14*AVERAGE('Assumptions (Coal)'!$F$2:$K$2)/10^9,0)</f>
        <v>0.5588641346081471</v>
      </c>
      <c r="AB194" s="105">
        <f>IF($M$14&gt;0,'Assumptions (Coal)'!AK$10*Model!$M$14*AVERAGE('Assumptions (Coal)'!$F$2:$K$2)/10^9,0)</f>
        <v>0.55873888491415169</v>
      </c>
      <c r="AC194" s="105">
        <f>IF($M$14&gt;0,'Assumptions (Coal)'!AL$10*Model!$M$14*AVERAGE('Assumptions (Coal)'!$F$2:$K$2)/10^9,0)</f>
        <v>0.5588641346081471</v>
      </c>
      <c r="AD194" s="105">
        <f>IF($M$14&gt;0,'Assumptions (Coal)'!AM$10*Model!$M$14*AVERAGE('Assumptions (Coal)'!$F$2:$K$2)/10^9,0)</f>
        <v>0.55873888491415169</v>
      </c>
      <c r="AE194" s="105">
        <f>IF($M$14&gt;0,'Assumptions (Coal)'!AN$10*Model!$M$14*AVERAGE('Assumptions (Coal)'!$F$2:$K$2)/10^9,0)</f>
        <v>0.5588641346081471</v>
      </c>
      <c r="AF194" s="105">
        <f>IF($M$14&gt;0,'Assumptions (Coal)'!AO$10*Model!$M$14*AVERAGE('Assumptions (Coal)'!$F$2:$K$2)/10^9,0)</f>
        <v>0.55873888491415169</v>
      </c>
      <c r="AG194" s="105">
        <f>IF($M$14&gt;0,'Assumptions (Coal)'!AP$10*Model!$M$14*AVERAGE('Assumptions (Coal)'!$F$2:$K$2)/10^9,0)</f>
        <v>0.27943206730407355</v>
      </c>
      <c r="AH194" s="105"/>
      <c r="AI194" s="105"/>
      <c r="AJ194" s="105"/>
      <c r="AK194" s="105"/>
      <c r="AQ194" s="105"/>
      <c r="AR194" s="105"/>
      <c r="AS194" s="105"/>
      <c r="AT194" s="105"/>
      <c r="AU194" s="105"/>
      <c r="AV194" s="105"/>
      <c r="AW194" s="105"/>
      <c r="AX194" s="105"/>
      <c r="AY194" s="105"/>
      <c r="AZ194" s="105"/>
      <c r="BA194" s="105"/>
    </row>
    <row r="195" spans="1:53" ht="15.75" hidden="1" customHeight="1" outlineLevel="1">
      <c r="A195" s="98"/>
      <c r="B195" s="99"/>
      <c r="C195" s="105"/>
      <c r="D195" s="105"/>
      <c r="E195" s="105"/>
      <c r="F195" s="105"/>
      <c r="G195" s="105"/>
      <c r="H195" s="105"/>
      <c r="I195" s="105"/>
      <c r="J195" s="105"/>
      <c r="K195" s="105"/>
      <c r="L195" s="105"/>
      <c r="M195" s="105"/>
      <c r="N195" s="105">
        <f>IF($N$14&gt;0,'Assumptions (Coal)'!V$10*Model!$N$14*AVERAGE('Assumptions (Coal)'!$G$2:$L$2)/10^9,0)</f>
        <v>0.38334523784297436</v>
      </c>
      <c r="O195" s="105">
        <f>IF($N$14&gt;0,'Assumptions (Coal)'!W$10*Model!$N$14*AVERAGE('Assumptions (Coal)'!$G$2:$L$2)/10^9,0)</f>
        <v>0.73796513919691542</v>
      </c>
      <c r="P195" s="105">
        <f>IF($N$14&gt;0,'Assumptions (Coal)'!X$10*Model!$N$14*AVERAGE('Assumptions (Coal)'!$G$2:$L$2)/10^9,0)</f>
        <v>0.68255897415401068</v>
      </c>
      <c r="Q195" s="105">
        <f>IF($N$14&gt;0,'Assumptions (Coal)'!Y$10*Model!$N$14*AVERAGE('Assumptions (Coal)'!$G$2:$L$2)/10^9,0)</f>
        <v>0.63144627577494739</v>
      </c>
      <c r="R195" s="105">
        <f>IF($N$14&gt;0,'Assumptions (Coal)'!Z$10*Model!$N$14*AVERAGE('Assumptions (Coal)'!$G$2:$L$2)/10^9,0)</f>
        <v>0.58401369167917683</v>
      </c>
      <c r="S195" s="105">
        <f>IF($N$14&gt;0,'Assumptions (Coal)'!AA$10*Model!$N$14*AVERAGE('Assumptions (Coal)'!$G$2:$L$2)/10^9,0)</f>
        <v>0.54026122186669867</v>
      </c>
      <c r="T195" s="105">
        <f>IF($N$14&gt;0,'Assumptions (Coal)'!AB$10*Model!$N$14*AVERAGE('Assumptions (Coal)'!$G$2:$L$2)/10^9,0)</f>
        <v>0.49967773935372239</v>
      </c>
      <c r="U195" s="105">
        <f>IF($N$14&gt;0,'Assumptions (Coal)'!AC$10*Model!$N$14*AVERAGE('Assumptions (Coal)'!$G$2:$L$2)/10^9,0)</f>
        <v>0.46226324414024805</v>
      </c>
      <c r="V195" s="105">
        <f>IF($N$14&gt;0,'Assumptions (Coal)'!AD$10*Model!$N$14*AVERAGE('Assumptions (Coal)'!$G$2:$L$2)/10^9,0)</f>
        <v>0.45612972033476057</v>
      </c>
      <c r="W195" s="105">
        <f>IF($N$14&gt;0,'Assumptions (Coal)'!AE$10*Model!$N$14*AVERAGE('Assumptions (Coal)'!$G$2:$L$2)/10^9,0)</f>
        <v>0.45602749493800238</v>
      </c>
      <c r="X195" s="105">
        <f>IF($N$14&gt;0,'Assumptions (Coal)'!AF$10*Model!$N$14*AVERAGE('Assumptions (Coal)'!$G$2:$L$2)/10^9,0)</f>
        <v>0.45612972033476057</v>
      </c>
      <c r="Y195" s="105">
        <f>IF($N$14&gt;0,'Assumptions (Coal)'!AG$10*Model!$N$14*AVERAGE('Assumptions (Coal)'!$G$2:$L$2)/10^9,0)</f>
        <v>0.45602749493800238</v>
      </c>
      <c r="Z195" s="105">
        <f>IF($N$14&gt;0,'Assumptions (Coal)'!AH$10*Model!$N$14*AVERAGE('Assumptions (Coal)'!$G$2:$L$2)/10^9,0)</f>
        <v>0.45612972033476057</v>
      </c>
      <c r="AA195" s="105">
        <f>IF($N$14&gt;0,'Assumptions (Coal)'!AI$10*Model!$N$14*AVERAGE('Assumptions (Coal)'!$G$2:$L$2)/10^9,0)</f>
        <v>0.45602749493800238</v>
      </c>
      <c r="AB195" s="105">
        <f>IF($N$14&gt;0,'Assumptions (Coal)'!AJ$10*Model!$N$14*AVERAGE('Assumptions (Coal)'!$G$2:$L$2)/10^9,0)</f>
        <v>0.45612972033476057</v>
      </c>
      <c r="AC195" s="105">
        <f>IF($N$14&gt;0,'Assumptions (Coal)'!AK$10*Model!$N$14*AVERAGE('Assumptions (Coal)'!$G$2:$L$2)/10^9,0)</f>
        <v>0.45602749493800238</v>
      </c>
      <c r="AD195" s="105">
        <f>IF($N$14&gt;0,'Assumptions (Coal)'!AL$10*Model!$N$14*AVERAGE('Assumptions (Coal)'!$G$2:$L$2)/10^9,0)</f>
        <v>0.45612972033476057</v>
      </c>
      <c r="AE195" s="105">
        <f>IF($N$14&gt;0,'Assumptions (Coal)'!AM$10*Model!$N$14*AVERAGE('Assumptions (Coal)'!$G$2:$L$2)/10^9,0)</f>
        <v>0.45602749493800238</v>
      </c>
      <c r="AF195" s="105">
        <f>IF($N$14&gt;0,'Assumptions (Coal)'!AN$10*Model!$N$14*AVERAGE('Assumptions (Coal)'!$G$2:$L$2)/10^9,0)</f>
        <v>0.45612972033476057</v>
      </c>
      <c r="AG195" s="105">
        <f>IF($N$14&gt;0,'Assumptions (Coal)'!AO$10*Model!$N$14*AVERAGE('Assumptions (Coal)'!$G$2:$L$2)/10^9,0)</f>
        <v>0.45602749493800238</v>
      </c>
      <c r="AH195" s="105">
        <f>IF($N$14&gt;0,'Assumptions (Coal)'!AP$10*Model!$N$14*AVERAGE('Assumptions (Coal)'!$G$2:$L$2)/10^9,0)</f>
        <v>0.22806486016738028</v>
      </c>
      <c r="AI195" s="105"/>
      <c r="AJ195" s="105"/>
      <c r="AK195" s="105"/>
      <c r="AL195" s="105"/>
      <c r="AQ195" s="105"/>
      <c r="AR195" s="105"/>
      <c r="AS195" s="105"/>
      <c r="AT195" s="105"/>
      <c r="AU195" s="105"/>
      <c r="AV195" s="105"/>
      <c r="AW195" s="105"/>
      <c r="AX195" s="105"/>
      <c r="AY195" s="105"/>
      <c r="AZ195" s="105"/>
      <c r="BA195" s="105"/>
    </row>
    <row r="196" spans="1:53" ht="15.75" hidden="1" customHeight="1" outlineLevel="1">
      <c r="A196" s="98"/>
      <c r="B196" s="99"/>
      <c r="C196" s="105"/>
      <c r="D196" s="105"/>
      <c r="E196" s="105"/>
      <c r="F196" s="105"/>
      <c r="G196" s="105"/>
      <c r="H196" s="105"/>
      <c r="I196" s="105"/>
      <c r="J196" s="105"/>
      <c r="K196" s="105"/>
      <c r="L196" s="105"/>
      <c r="M196" s="105"/>
      <c r="N196" s="105"/>
      <c r="O196" s="105">
        <f>IF($O$14&gt;0,'Assumptions (Coal)'!V$10*Model!$O$14*AVERAGE('Assumptions (Coal)'!$H$2:$M$2)/10^9,0)</f>
        <v>0.38190439549851435</v>
      </c>
      <c r="P196" s="105">
        <f>IF($O$14&gt;0,'Assumptions (Coal)'!W$10*Model!$O$14*AVERAGE('Assumptions (Coal)'!$H$2:$M$2)/10^9,0)</f>
        <v>0.73519142162767337</v>
      </c>
      <c r="Q196" s="105">
        <f>IF($O$14&gt;0,'Assumptions (Coal)'!X$10*Model!$O$14*AVERAGE('Assumptions (Coal)'!$H$2:$M$2)/10^9,0)</f>
        <v>0.67999350633162137</v>
      </c>
      <c r="R196" s="105">
        <f>IF($O$14&gt;0,'Assumptions (Coal)'!Y$10*Model!$O$14*AVERAGE('Assumptions (Coal)'!$H$2:$M$2)/10^9,0)</f>
        <v>0.62907292026515282</v>
      </c>
      <c r="S196" s="105">
        <f>IF($O$14&gt;0,'Assumptions (Coal)'!Z$10*Model!$O$14*AVERAGE('Assumptions (Coal)'!$H$2:$M$2)/10^9,0)</f>
        <v>0.58181861639547006</v>
      </c>
      <c r="T196" s="105">
        <f>IF($O$14&gt;0,'Assumptions (Coal)'!AA$10*Model!$O$14*AVERAGE('Assumptions (Coal)'!$H$2:$M$2)/10^9,0)</f>
        <v>0.53823059472257295</v>
      </c>
      <c r="U196" s="105">
        <f>IF($O$14&gt;0,'Assumptions (Coal)'!AB$10*Model!$O$14*AVERAGE('Assumptions (Coal)'!$H$2:$M$2)/10^9,0)</f>
        <v>0.49779964938579685</v>
      </c>
      <c r="V196" s="105">
        <f>IF($O$14&gt;0,'Assumptions (Coal)'!AC$10*Model!$O$14*AVERAGE('Assumptions (Coal)'!$H$2:$M$2)/10^9,0)</f>
        <v>0.46052578038514186</v>
      </c>
      <c r="W196" s="105">
        <f>IF($O$14&gt;0,'Assumptions (Coal)'!AD$10*Model!$O$14*AVERAGE('Assumptions (Coal)'!$H$2:$M$2)/10^9,0)</f>
        <v>0.45441531005716557</v>
      </c>
      <c r="X196" s="105">
        <f>IF($O$14&gt;0,'Assumptions (Coal)'!AE$10*Model!$O$14*AVERAGE('Assumptions (Coal)'!$H$2:$M$2)/10^9,0)</f>
        <v>0.45431346888503266</v>
      </c>
      <c r="Y196" s="105">
        <f>IF($O$14&gt;0,'Assumptions (Coal)'!AF$10*Model!$O$14*AVERAGE('Assumptions (Coal)'!$H$2:$M$2)/10^9,0)</f>
        <v>0.45441531005716557</v>
      </c>
      <c r="Z196" s="105">
        <f>IF($O$14&gt;0,'Assumptions (Coal)'!AG$10*Model!$O$14*AVERAGE('Assumptions (Coal)'!$H$2:$M$2)/10^9,0)</f>
        <v>0.45431346888503266</v>
      </c>
      <c r="AA196" s="105">
        <f>IF($O$14&gt;0,'Assumptions (Coal)'!AH$10*Model!$O$14*AVERAGE('Assumptions (Coal)'!$H$2:$M$2)/10^9,0)</f>
        <v>0.45441531005716557</v>
      </c>
      <c r="AB196" s="105">
        <f>IF($O$14&gt;0,'Assumptions (Coal)'!AI$10*Model!$O$14*AVERAGE('Assumptions (Coal)'!$H$2:$M$2)/10^9,0)</f>
        <v>0.45431346888503266</v>
      </c>
      <c r="AC196" s="105">
        <f>IF($O$14&gt;0,'Assumptions (Coal)'!AJ$10*Model!$O$14*AVERAGE('Assumptions (Coal)'!$H$2:$M$2)/10^9,0)</f>
        <v>0.45441531005716557</v>
      </c>
      <c r="AD196" s="105">
        <f>IF($O$14&gt;0,'Assumptions (Coal)'!AK$10*Model!$O$14*AVERAGE('Assumptions (Coal)'!$H$2:$M$2)/10^9,0)</f>
        <v>0.45431346888503266</v>
      </c>
      <c r="AE196" s="105">
        <f>IF($O$14&gt;0,'Assumptions (Coal)'!AL$10*Model!$O$14*AVERAGE('Assumptions (Coal)'!$H$2:$M$2)/10^9,0)</f>
        <v>0.45441531005716557</v>
      </c>
      <c r="AF196" s="105">
        <f>IF($O$14&gt;0,'Assumptions (Coal)'!AM$10*Model!$O$14*AVERAGE('Assumptions (Coal)'!$H$2:$M$2)/10^9,0)</f>
        <v>0.45431346888503266</v>
      </c>
      <c r="AG196" s="105">
        <f>IF($O$14&gt;0,'Assumptions (Coal)'!AN$10*Model!$O$14*AVERAGE('Assumptions (Coal)'!$H$2:$M$2)/10^9,0)</f>
        <v>0.45441531005716557</v>
      </c>
      <c r="AH196" s="105">
        <f>IF($O$14&gt;0,'Assumptions (Coal)'!AO$10*Model!$O$14*AVERAGE('Assumptions (Coal)'!$H$2:$M$2)/10^9,0)</f>
        <v>0.45431346888503266</v>
      </c>
      <c r="AI196" s="105">
        <f>IF($O$14&gt;0,'Assumptions (Coal)'!AP$10*Model!$O$14*AVERAGE('Assumptions (Coal)'!$H$2:$M$2)/10^9,0)</f>
        <v>0.22720765502858278</v>
      </c>
      <c r="AJ196" s="105"/>
      <c r="AK196" s="105"/>
      <c r="AL196" s="105"/>
      <c r="AM196" s="105"/>
      <c r="AQ196" s="105"/>
      <c r="AR196" s="105"/>
      <c r="AS196" s="105"/>
      <c r="AT196" s="105"/>
      <c r="AU196" s="105"/>
      <c r="AV196" s="105"/>
      <c r="AW196" s="105"/>
      <c r="AX196" s="105"/>
      <c r="AY196" s="105"/>
      <c r="AZ196" s="105"/>
      <c r="BA196" s="105"/>
    </row>
    <row r="197" spans="1:53" ht="15.75" hidden="1" customHeight="1" outlineLevel="1">
      <c r="A197" s="98"/>
      <c r="B197" s="99"/>
      <c r="C197" s="105"/>
      <c r="D197" s="105"/>
      <c r="E197" s="105"/>
      <c r="F197" s="105"/>
      <c r="G197" s="105"/>
      <c r="H197" s="91"/>
      <c r="I197" s="105"/>
      <c r="J197" s="105"/>
      <c r="K197" s="105"/>
      <c r="L197" s="105"/>
      <c r="M197" s="105"/>
      <c r="N197" s="105"/>
      <c r="O197" s="105"/>
      <c r="P197" s="91">
        <f>IF($P$14&gt;0,'Assumptions (Coal)'!V$10*Model!$P$14*AVERAGE('Assumptions (Coal)'!$I$2:$N$2)/10^9,0)</f>
        <v>0.16204545041518265</v>
      </c>
      <c r="Q197" s="91">
        <f>IF($P$14&gt;0,'Assumptions (Coal)'!W$10*Model!$P$14*AVERAGE('Assumptions (Coal)'!$I$2:$N$2)/10^9,0)</f>
        <v>0.31194829507925426</v>
      </c>
      <c r="R197" s="91">
        <f>IF($P$14&gt;0,'Assumptions (Coal)'!X$10*Model!$P$14*AVERAGE('Assumptions (Coal)'!$I$2:$N$2)/10^9,0)</f>
        <v>0.28852732597924652</v>
      </c>
      <c r="S197" s="91">
        <f>IF($P$14&gt;0,'Assumptions (Coal)'!Y$10*Model!$P$14*AVERAGE('Assumptions (Coal)'!$I$2:$N$2)/10^9,0)</f>
        <v>0.26692126592388882</v>
      </c>
      <c r="T197" s="91">
        <f>IF($P$14&gt;0,'Assumptions (Coal)'!Z$10*Model!$P$14*AVERAGE('Assumptions (Coal)'!$I$2:$N$2)/10^9,0)</f>
        <v>0.24687084219251695</v>
      </c>
      <c r="U197" s="91">
        <f>IF($P$14&gt;0,'Assumptions (Coal)'!AA$10*Model!$P$14*AVERAGE('Assumptions (Coal)'!$I$2:$N$2)/10^9,0)</f>
        <v>0.22837605478513076</v>
      </c>
      <c r="V197" s="91">
        <f>IF($P$14&gt;0,'Assumptions (Coal)'!AB$10*Model!$P$14*AVERAGE('Assumptions (Coal)'!$I$2:$N$2)/10^9,0)</f>
        <v>0.21122084310117673</v>
      </c>
      <c r="W197" s="91">
        <f>IF($P$14&gt;0,'Assumptions (Coal)'!AC$10*Model!$P$14*AVERAGE('Assumptions (Coal)'!$I$2:$N$2)/10^9,0)</f>
        <v>0.19540520714065493</v>
      </c>
      <c r="X197" s="91">
        <f>IF($P$14&gt;0,'Assumptions (Coal)'!AD$10*Model!$P$14*AVERAGE('Assumptions (Coal)'!$I$2:$N$2)/10^9,0)</f>
        <v>0.19281247993401196</v>
      </c>
      <c r="Y197" s="91">
        <f>IF($P$14&gt;0,'Assumptions (Coal)'!AE$10*Model!$P$14*AVERAGE('Assumptions (Coal)'!$I$2:$N$2)/10^9,0)</f>
        <v>0.19276926781390127</v>
      </c>
      <c r="Z197" s="91">
        <f>IF($P$14&gt;0,'Assumptions (Coal)'!AF$10*Model!$P$14*AVERAGE('Assumptions (Coal)'!$I$2:$N$2)/10^9,0)</f>
        <v>0.19281247993401196</v>
      </c>
      <c r="AA197" s="91">
        <f>IF($P$14&gt;0,'Assumptions (Coal)'!AG$10*Model!$P$14*AVERAGE('Assumptions (Coal)'!$I$2:$N$2)/10^9,0)</f>
        <v>0.19276926781390127</v>
      </c>
      <c r="AB197" s="91">
        <f>IF($P$14&gt;0,'Assumptions (Coal)'!AH$10*Model!$P$14*AVERAGE('Assumptions (Coal)'!$I$2:$N$2)/10^9,0)</f>
        <v>0.19281247993401196</v>
      </c>
      <c r="AC197" s="91">
        <f>IF($P$14&gt;0,'Assumptions (Coal)'!AI$10*Model!$P$14*AVERAGE('Assumptions (Coal)'!$I$2:$N$2)/10^9,0)</f>
        <v>0.19276926781390127</v>
      </c>
      <c r="AD197" s="91">
        <f>IF($P$14&gt;0,'Assumptions (Coal)'!AJ$10*Model!$P$14*AVERAGE('Assumptions (Coal)'!$I$2:$N$2)/10^9,0)</f>
        <v>0.19281247993401196</v>
      </c>
      <c r="AE197" s="91">
        <f>IF($P$14&gt;0,'Assumptions (Coal)'!AK$10*Model!$P$14*AVERAGE('Assumptions (Coal)'!$I$2:$N$2)/10^9,0)</f>
        <v>0.19276926781390127</v>
      </c>
      <c r="AF197" s="91">
        <f>IF($P$14&gt;0,'Assumptions (Coal)'!AL$10*Model!$P$14*AVERAGE('Assumptions (Coal)'!$I$2:$N$2)/10^9,0)</f>
        <v>0.19281247993401196</v>
      </c>
      <c r="AG197" s="91">
        <f>IF($P$14&gt;0,'Assumptions (Coal)'!AM$10*Model!$P$14*AVERAGE('Assumptions (Coal)'!$I$2:$N$2)/10^9,0)</f>
        <v>0.19276926781390127</v>
      </c>
      <c r="AH197" s="91">
        <f>IF($P$14&gt;0,'Assumptions (Coal)'!AN$10*Model!$P$14*AVERAGE('Assumptions (Coal)'!$I$2:$N$2)/10^9,0)</f>
        <v>0.19281247993401196</v>
      </c>
      <c r="AI197" s="91">
        <f>IF($P$14&gt;0,'Assumptions (Coal)'!AO$10*Model!$P$14*AVERAGE('Assumptions (Coal)'!$I$2:$N$2)/10^9,0)</f>
        <v>0.19276926781390127</v>
      </c>
      <c r="AJ197" s="91">
        <f>IF($P$14&gt;0,'Assumptions (Coal)'!AP$10*Model!$P$14*AVERAGE('Assumptions (Coal)'!$I$2:$N$2)/10^9,0)</f>
        <v>9.640623996700598E-2</v>
      </c>
      <c r="AK197" s="91"/>
      <c r="AL197" s="91"/>
      <c r="AM197" s="91"/>
      <c r="AN197" s="91"/>
      <c r="AQ197" s="105"/>
      <c r="AR197" s="105"/>
      <c r="AS197" s="105"/>
      <c r="AT197" s="105"/>
      <c r="AU197" s="105"/>
      <c r="AV197" s="105"/>
      <c r="AW197" s="105"/>
      <c r="AX197" s="105"/>
      <c r="AY197" s="105"/>
      <c r="AZ197" s="105"/>
      <c r="BA197" s="105"/>
    </row>
    <row r="198" spans="1:53" ht="15.75" hidden="1" customHeight="1" outlineLevel="1">
      <c r="A198" s="98"/>
      <c r="B198" s="99"/>
      <c r="C198" s="105"/>
      <c r="D198" s="105"/>
      <c r="E198" s="105"/>
      <c r="F198" s="105"/>
      <c r="G198" s="105"/>
      <c r="H198" s="105"/>
      <c r="I198" s="105"/>
      <c r="J198" s="105"/>
      <c r="K198" s="105"/>
      <c r="L198" s="105"/>
      <c r="M198" s="105"/>
      <c r="N198" s="105"/>
      <c r="O198" s="105"/>
      <c r="P198" s="171"/>
      <c r="Q198" s="105">
        <f>IF($Q$14&gt;0,'Assumptions (Coal)'!V$10*Model!$Q$14*AVERAGE('Assumptions (Coal)'!$J$2:$O$2)/10^9,0)</f>
        <v>9.6910569043086436E-3</v>
      </c>
      <c r="R198" s="105">
        <f>IF($Q$14&gt;0,'Assumptions (Coal)'!W$10*Model!$Q$14*AVERAGE('Assumptions (Coal)'!$J$2:$O$2)/10^9,0)</f>
        <v>1.8655930611254427E-2</v>
      </c>
      <c r="S198" s="105">
        <f>IF($Q$14&gt;0,'Assumptions (Coal)'!X$10*Model!$Q$14*AVERAGE('Assumptions (Coal)'!$J$2:$O$2)/10^9,0)</f>
        <v>1.7255249853351681E-2</v>
      </c>
      <c r="T198" s="105">
        <f>IF($Q$14&gt;0,'Assumptions (Coal)'!Y$10*Model!$Q$14*AVERAGE('Assumptions (Coal)'!$J$2:$O$2)/10^9,0)</f>
        <v>1.5963108932777196E-2</v>
      </c>
      <c r="U198" s="105">
        <f>IF($Q$14&gt;0,'Assumptions (Coal)'!Z$10*Model!$Q$14*AVERAGE('Assumptions (Coal)'!$J$2:$O$2)/10^9,0)</f>
        <v>1.4764002158484075E-2</v>
      </c>
      <c r="V198" s="105">
        <f>IF($Q$14&gt;0,'Assumptions (Coal)'!AA$10*Model!$Q$14*AVERAGE('Assumptions (Coal)'!$J$2:$O$2)/10^9,0)</f>
        <v>1.3657929530472315E-2</v>
      </c>
      <c r="W198" s="105">
        <f>IF($Q$14&gt;0,'Assumptions (Coal)'!AB$10*Model!$Q$14*AVERAGE('Assumptions (Coal)'!$J$2:$O$2)/10^9,0)</f>
        <v>1.2631969639536172E-2</v>
      </c>
      <c r="X198" s="105">
        <f>IF($Q$14&gt;0,'Assumptions (Coal)'!AC$10*Model!$Q$14*AVERAGE('Assumptions (Coal)'!$J$2:$O$2)/10^9,0)</f>
        <v>1.1686122485675649E-2</v>
      </c>
      <c r="Y198" s="105">
        <f>IF($Q$14&gt;0,'Assumptions (Coal)'!AD$10*Model!$Q$14*AVERAGE('Assumptions (Coal)'!$J$2:$O$2)/10^9,0)</f>
        <v>1.153106557520671E-2</v>
      </c>
      <c r="Z198" s="105">
        <f>IF($Q$14&gt;0,'Assumptions (Coal)'!AE$10*Model!$Q$14*AVERAGE('Assumptions (Coal)'!$J$2:$O$2)/10^9,0)</f>
        <v>1.1528481293365563E-2</v>
      </c>
      <c r="AA198" s="105">
        <f>IF($Q$14&gt;0,'Assumptions (Coal)'!AF$10*Model!$Q$14*AVERAGE('Assumptions (Coal)'!$J$2:$O$2)/10^9,0)</f>
        <v>1.153106557520671E-2</v>
      </c>
      <c r="AB198" s="105">
        <f>IF($Q$14&gt;0,'Assumptions (Coal)'!AG$10*Model!$Q$14*AVERAGE('Assumptions (Coal)'!$J$2:$O$2)/10^9,0)</f>
        <v>1.1528481293365563E-2</v>
      </c>
      <c r="AC198" s="105">
        <f>IF($Q$14&gt;0,'Assumptions (Coal)'!AH$10*Model!$Q$14*AVERAGE('Assumptions (Coal)'!$J$2:$O$2)/10^9,0)</f>
        <v>1.153106557520671E-2</v>
      </c>
      <c r="AD198" s="105">
        <f>IF($Q$14&gt;0,'Assumptions (Coal)'!AI$10*Model!$Q$14*AVERAGE('Assumptions (Coal)'!$J$2:$O$2)/10^9,0)</f>
        <v>1.1528481293365563E-2</v>
      </c>
      <c r="AE198" s="105">
        <f>IF($Q$14&gt;0,'Assumptions (Coal)'!AJ$10*Model!$Q$14*AVERAGE('Assumptions (Coal)'!$J$2:$O$2)/10^9,0)</f>
        <v>1.153106557520671E-2</v>
      </c>
      <c r="AF198" s="105">
        <f>IF($Q$14&gt;0,'Assumptions (Coal)'!AK$10*Model!$Q$14*AVERAGE('Assumptions (Coal)'!$J$2:$O$2)/10^9,0)</f>
        <v>1.1528481293365563E-2</v>
      </c>
      <c r="AG198" s="105">
        <f>IF($Q$14&gt;0,'Assumptions (Coal)'!AL$10*Model!$Q$14*AVERAGE('Assumptions (Coal)'!$J$2:$O$2)/10^9,0)</f>
        <v>1.153106557520671E-2</v>
      </c>
      <c r="AH198" s="105">
        <f>IF($Q$14&gt;0,'Assumptions (Coal)'!AM$10*Model!$Q$14*AVERAGE('Assumptions (Coal)'!$J$2:$O$2)/10^9,0)</f>
        <v>1.1528481293365563E-2</v>
      </c>
      <c r="AI198" s="105">
        <f>IF($Q$14&gt;0,'Assumptions (Coal)'!AN$10*Model!$Q$14*AVERAGE('Assumptions (Coal)'!$J$2:$O$2)/10^9,0)</f>
        <v>1.153106557520671E-2</v>
      </c>
      <c r="AJ198" s="105">
        <f>IF($Q$14&gt;0,'Assumptions (Coal)'!AO$10*Model!$Q$14*AVERAGE('Assumptions (Coal)'!$J$2:$O$2)/10^9,0)</f>
        <v>1.1528481293365563E-2</v>
      </c>
      <c r="AK198" s="105">
        <f>IF($Q$14&gt;0,'Assumptions (Coal)'!AP$10*Model!$Q$14*AVERAGE('Assumptions (Coal)'!$J$2:$O$2)/10^9,0)</f>
        <v>5.7655327876033552E-3</v>
      </c>
      <c r="AL198" s="91"/>
      <c r="AM198" s="91"/>
      <c r="AN198" s="91"/>
      <c r="AO198" s="91"/>
      <c r="AQ198" s="105"/>
      <c r="AR198" s="105"/>
      <c r="AS198" s="105"/>
      <c r="AT198" s="105"/>
      <c r="AU198" s="105"/>
      <c r="AV198" s="105"/>
      <c r="AW198" s="105"/>
      <c r="AX198" s="105"/>
      <c r="AY198" s="105"/>
      <c r="AZ198" s="105"/>
      <c r="BA198" s="105"/>
    </row>
    <row r="199" spans="1:53" ht="15.75" hidden="1" customHeight="1" outlineLevel="1">
      <c r="A199" s="98"/>
      <c r="B199" s="99"/>
      <c r="C199" s="105"/>
      <c r="D199" s="105"/>
      <c r="E199" s="105"/>
      <c r="F199" s="105"/>
      <c r="G199" s="105"/>
      <c r="H199" s="105"/>
      <c r="I199" s="105"/>
      <c r="J199" s="105"/>
      <c r="K199" s="105"/>
      <c r="L199" s="105"/>
      <c r="M199" s="105"/>
      <c r="N199" s="105"/>
      <c r="O199" s="105"/>
      <c r="P199" s="171"/>
      <c r="Q199" s="105"/>
      <c r="R199" s="91">
        <f>IF($R$14&gt;0,'Assumptions (Coal)'!V$10*Model!$R$14*AVERAGE('Assumptions (Coal)'!$K$2:$P$2)/10^9,0)</f>
        <v>2.4163035214742884E-4</v>
      </c>
      <c r="S199" s="91">
        <f>IF($R$14&gt;0,'Assumptions (Coal)'!W$10*Model!$R$14*AVERAGE('Assumptions (Coal)'!$K$2:$P$2)/10^9,0)</f>
        <v>4.6515453657394366E-4</v>
      </c>
      <c r="T199" s="91">
        <f>IF($R$14&gt;0,'Assumptions (Coal)'!X$10*Model!$R$14*AVERAGE('Assumptions (Coal)'!$K$2:$P$2)/10^9,0)</f>
        <v>4.3023089634356863E-4</v>
      </c>
      <c r="U199" s="91">
        <f>IF($R$14&gt;0,'Assumptions (Coal)'!Y$10*Model!$R$14*AVERAGE('Assumptions (Coal)'!$K$2:$P$2)/10^9,0)</f>
        <v>3.980135160572448E-4</v>
      </c>
      <c r="V199" s="91">
        <f>IF($R$14&gt;0,'Assumptions (Coal)'!Z$10*Model!$R$14*AVERAGE('Assumptions (Coal)'!$K$2:$P$2)/10^9,0)</f>
        <v>3.681157871515363E-4</v>
      </c>
      <c r="W199" s="91">
        <f>IF($R$14&gt;0,'Assumptions (Coal)'!AA$10*Model!$R$14*AVERAGE('Assumptions (Coal)'!$K$2:$P$2)/10^9,0)</f>
        <v>3.4053770962644303E-4</v>
      </c>
      <c r="X199" s="91">
        <f>IF($R$14&gt;0,'Assumptions (Coal)'!AB$10*Model!$R$14*AVERAGE('Assumptions (Coal)'!$K$2:$P$2)/10^9,0)</f>
        <v>3.1495710967910189E-4</v>
      </c>
      <c r="Y199" s="91">
        <f>IF($R$14&gt;0,'Assumptions (Coal)'!AC$10*Model!$R$14*AVERAGE('Assumptions (Coal)'!$K$2:$P$2)/10^9,0)</f>
        <v>2.9137398730951289E-4</v>
      </c>
      <c r="Z199" s="91">
        <f>IF($R$14&gt;0,'Assumptions (Coal)'!AD$10*Model!$R$14*AVERAGE('Assumptions (Coal)'!$K$2:$P$2)/10^9,0)</f>
        <v>2.8750790167515397E-4</v>
      </c>
      <c r="AA199" s="91">
        <f>IF($R$14&gt;0,'Assumptions (Coal)'!AE$10*Model!$R$14*AVERAGE('Assumptions (Coal)'!$K$2:$P$2)/10^9,0)</f>
        <v>2.8744346691458135E-4</v>
      </c>
      <c r="AB199" s="91">
        <f>IF($R$14&gt;0,'Assumptions (Coal)'!AF$10*Model!$R$14*AVERAGE('Assumptions (Coal)'!$K$2:$P$2)/10^9,0)</f>
        <v>2.8750790167515397E-4</v>
      </c>
      <c r="AC199" s="91">
        <f>IF($R$14&gt;0,'Assumptions (Coal)'!AG$10*Model!$R$14*AVERAGE('Assumptions (Coal)'!$K$2:$P$2)/10^9,0)</f>
        <v>2.8744346691458135E-4</v>
      </c>
      <c r="AD199" s="91">
        <f>IF($R$14&gt;0,'Assumptions (Coal)'!AH$10*Model!$R$14*AVERAGE('Assumptions (Coal)'!$K$2:$P$2)/10^9,0)</f>
        <v>2.8750790167515397E-4</v>
      </c>
      <c r="AE199" s="91">
        <f>IF($R$14&gt;0,'Assumptions (Coal)'!AI$10*Model!$R$14*AVERAGE('Assumptions (Coal)'!$K$2:$P$2)/10^9,0)</f>
        <v>2.8744346691458135E-4</v>
      </c>
      <c r="AF199" s="91">
        <f>IF($R$14&gt;0,'Assumptions (Coal)'!AJ$10*Model!$R$14*AVERAGE('Assumptions (Coal)'!$K$2:$P$2)/10^9,0)</f>
        <v>2.8750790167515397E-4</v>
      </c>
      <c r="AG199" s="91">
        <f>IF($R$14&gt;0,'Assumptions (Coal)'!AK$10*Model!$R$14*AVERAGE('Assumptions (Coal)'!$K$2:$P$2)/10^9,0)</f>
        <v>2.8744346691458135E-4</v>
      </c>
      <c r="AH199" s="91">
        <f>IF($R$14&gt;0,'Assumptions (Coal)'!AL$10*Model!$R$14*AVERAGE('Assumptions (Coal)'!$K$2:$P$2)/10^9,0)</f>
        <v>2.8750790167515397E-4</v>
      </c>
      <c r="AI199" s="91">
        <f>IF($R$14&gt;0,'Assumptions (Coal)'!AM$10*Model!$R$14*AVERAGE('Assumptions (Coal)'!$K$2:$P$2)/10^9,0)</f>
        <v>2.8744346691458135E-4</v>
      </c>
      <c r="AJ199" s="91">
        <f>IF($R$14&gt;0,'Assumptions (Coal)'!AN$10*Model!$R$14*AVERAGE('Assumptions (Coal)'!$K$2:$P$2)/10^9,0)</f>
        <v>2.8750790167515397E-4</v>
      </c>
      <c r="AK199" s="91">
        <f>IF($R$14&gt;0,'Assumptions (Coal)'!AO$10*Model!$R$14*AVERAGE('Assumptions (Coal)'!$K$2:$P$2)/10^9,0)</f>
        <v>2.8744346691458135E-4</v>
      </c>
      <c r="AL199" s="91">
        <f>IF($R$14&gt;0,'Assumptions (Coal)'!AP$10*Model!$R$14*AVERAGE('Assumptions (Coal)'!$K$2:$P$2)/10^9,0)</f>
        <v>1.4375395083757699E-4</v>
      </c>
      <c r="AM199" s="91"/>
      <c r="AN199" s="91"/>
      <c r="AO199" s="91"/>
      <c r="AP199" s="91"/>
      <c r="AQ199" s="105"/>
      <c r="AR199" s="105"/>
      <c r="AS199" s="105"/>
      <c r="AT199" s="105"/>
      <c r="AU199" s="105"/>
      <c r="AV199" s="105"/>
      <c r="AW199" s="105"/>
      <c r="AX199" s="105"/>
      <c r="AY199" s="105"/>
      <c r="AZ199" s="105"/>
      <c r="BA199" s="105"/>
    </row>
    <row r="200" spans="1:53" ht="15.75" hidden="1" customHeight="1" outlineLevel="1">
      <c r="A200" s="98"/>
      <c r="B200" s="99"/>
      <c r="C200" s="105"/>
      <c r="D200" s="105"/>
      <c r="E200" s="105"/>
      <c r="F200" s="105"/>
      <c r="G200" s="105"/>
      <c r="H200" s="105"/>
      <c r="I200" s="105"/>
      <c r="J200" s="105"/>
      <c r="K200" s="105"/>
      <c r="L200" s="105"/>
      <c r="M200" s="105"/>
      <c r="N200" s="105"/>
      <c r="O200" s="105"/>
      <c r="P200" s="171"/>
      <c r="Q200" s="105"/>
      <c r="R200" s="91"/>
      <c r="S200" s="105">
        <f>IF($S$14&gt;0,'Assumptions (Coal)'!V$10*Model!$S$14*AVERAGE('Assumptions (Coal)'!$L$2:$Q$2)/10^9,0)</f>
        <v>0</v>
      </c>
      <c r="T200" s="105">
        <f>IF($S$14&gt;0,'Assumptions (Coal)'!W$10*Model!$S$14*AVERAGE('Assumptions (Coal)'!$L$2:$Q$2)/10^9,0)</f>
        <v>0</v>
      </c>
      <c r="U200" s="105">
        <f>IF($S$14&gt;0,'Assumptions (Coal)'!X$10*Model!$S$14*AVERAGE('Assumptions (Coal)'!$L$2:$Q$2)/10^9,0)</f>
        <v>0</v>
      </c>
      <c r="V200" s="105">
        <f>IF($S$14&gt;0,'Assumptions (Coal)'!Y$10*Model!$S$14*AVERAGE('Assumptions (Coal)'!$L$2:$Q$2)/10^9,0)</f>
        <v>0</v>
      </c>
      <c r="W200" s="105">
        <f>IF($S$14&gt;0,'Assumptions (Coal)'!Z$10*Model!$S$14*AVERAGE('Assumptions (Coal)'!$L$2:$Q$2)/10^9,0)</f>
        <v>0</v>
      </c>
      <c r="X200" s="105">
        <f>IF($S$14&gt;0,'Assumptions (Coal)'!AA$10*Model!$S$14*AVERAGE('Assumptions (Coal)'!$L$2:$Q$2)/10^9,0)</f>
        <v>0</v>
      </c>
      <c r="Y200" s="105">
        <f>IF($S$14&gt;0,'Assumptions (Coal)'!AB$10*Model!$S$14*AVERAGE('Assumptions (Coal)'!$L$2:$Q$2)/10^9,0)</f>
        <v>0</v>
      </c>
      <c r="Z200" s="105">
        <f>IF($S$14&gt;0,'Assumptions (Coal)'!AC$10*Model!$S$14*AVERAGE('Assumptions (Coal)'!$L$2:$Q$2)/10^9,0)</f>
        <v>0</v>
      </c>
      <c r="AA200" s="105">
        <f>IF($S$14&gt;0,'Assumptions (Coal)'!AD$10*Model!$S$14*AVERAGE('Assumptions (Coal)'!$L$2:$Q$2)/10^9,0)</f>
        <v>0</v>
      </c>
      <c r="AB200" s="105">
        <f>IF($S$14&gt;0,'Assumptions (Coal)'!AE$10*Model!$S$14*AVERAGE('Assumptions (Coal)'!$L$2:$Q$2)/10^9,0)</f>
        <v>0</v>
      </c>
      <c r="AC200" s="105">
        <f>IF($S$14&gt;0,'Assumptions (Coal)'!AF$10*Model!$S$14*AVERAGE('Assumptions (Coal)'!$L$2:$Q$2)/10^9,0)</f>
        <v>0</v>
      </c>
      <c r="AD200" s="105">
        <f>IF($S$14&gt;0,'Assumptions (Coal)'!AG$10*Model!$S$14*AVERAGE('Assumptions (Coal)'!$L$2:$Q$2)/10^9,0)</f>
        <v>0</v>
      </c>
      <c r="AE200" s="105">
        <f>IF($S$14&gt;0,'Assumptions (Coal)'!AH$10*Model!$S$14*AVERAGE('Assumptions (Coal)'!$L$2:$Q$2)/10^9,0)</f>
        <v>0</v>
      </c>
      <c r="AF200" s="105">
        <f>IF($S$14&gt;0,'Assumptions (Coal)'!AI$10*Model!$S$14*AVERAGE('Assumptions (Coal)'!$L$2:$Q$2)/10^9,0)</f>
        <v>0</v>
      </c>
      <c r="AG200" s="105">
        <f>IF($S$14&gt;0,'Assumptions (Coal)'!AJ$10*Model!$S$14*AVERAGE('Assumptions (Coal)'!$L$2:$Q$2)/10^9,0)</f>
        <v>0</v>
      </c>
      <c r="AH200" s="105">
        <f>IF($S$14&gt;0,'Assumptions (Coal)'!AK$10*Model!$S$14*AVERAGE('Assumptions (Coal)'!$L$2:$Q$2)/10^9,0)</f>
        <v>0</v>
      </c>
      <c r="AI200" s="105">
        <f>IF($S$14&gt;0,'Assumptions (Coal)'!AL$10*Model!$S$14*AVERAGE('Assumptions (Coal)'!$L$2:$Q$2)/10^9,0)</f>
        <v>0</v>
      </c>
      <c r="AJ200" s="105">
        <f>IF($S$14&gt;0,'Assumptions (Coal)'!AM$10*Model!$S$14*AVERAGE('Assumptions (Coal)'!$L$2:$Q$2)/10^9,0)</f>
        <v>0</v>
      </c>
      <c r="AK200" s="105">
        <f>IF($S$14&gt;0,'Assumptions (Coal)'!AN$10*Model!$S$14*AVERAGE('Assumptions (Coal)'!$L$2:$Q$2)/10^9,0)</f>
        <v>0</v>
      </c>
      <c r="AL200" s="105">
        <f>IF($S$14&gt;0,'Assumptions (Coal)'!AO$10*Model!$S$14*AVERAGE('Assumptions (Coal)'!$L$2:$Q$2)/10^9,0)</f>
        <v>0</v>
      </c>
      <c r="AM200" s="105">
        <f>IF($S$14&gt;0,'Assumptions (Coal)'!AP$10*Model!$S$14*AVERAGE('Assumptions (Coal)'!$L$2:$Q$2)/10^9,0)</f>
        <v>0</v>
      </c>
      <c r="AN200" s="105"/>
      <c r="AO200" s="105"/>
      <c r="AP200" s="105"/>
      <c r="AQ200" s="105"/>
      <c r="AR200" s="105"/>
      <c r="AS200" s="105"/>
      <c r="AT200" s="105"/>
      <c r="AU200" s="105"/>
      <c r="AV200" s="105"/>
      <c r="AW200" s="105"/>
      <c r="AX200" s="105"/>
      <c r="AY200" s="105"/>
      <c r="AZ200" s="105"/>
      <c r="BA200" s="105"/>
    </row>
    <row r="201" spans="1:53" ht="15.75" hidden="1" customHeight="1" outlineLevel="1">
      <c r="A201" s="98"/>
      <c r="B201" s="99"/>
      <c r="C201" s="105"/>
      <c r="D201" s="105"/>
      <c r="E201" s="105"/>
      <c r="F201" s="105"/>
      <c r="G201" s="105"/>
      <c r="H201" s="105"/>
      <c r="I201" s="105"/>
      <c r="J201" s="105"/>
      <c r="K201" s="105"/>
      <c r="L201" s="105"/>
      <c r="M201" s="105"/>
      <c r="N201" s="105"/>
      <c r="O201" s="105"/>
      <c r="P201" s="171"/>
      <c r="Q201" s="105"/>
      <c r="R201" s="91"/>
      <c r="S201" s="91"/>
      <c r="T201" s="105">
        <f>IF($T$14&gt;0,'Assumptions (Coal)'!V$10*Model!$T$14*AVERAGE('Assumptions (Coal)'!$M$2:$R$2)/10^9,0)</f>
        <v>0</v>
      </c>
      <c r="U201" s="105">
        <f>IF($T$14&gt;0,'Assumptions (Coal)'!W$10*Model!$T$14*AVERAGE('Assumptions (Coal)'!$M$2:$R$2)/10^9,0)</f>
        <v>0</v>
      </c>
      <c r="V201" s="105">
        <f>IF($T$14&gt;0,'Assumptions (Coal)'!X$10*Model!$T$14*AVERAGE('Assumptions (Coal)'!$M$2:$R$2)/10^9,0)</f>
        <v>0</v>
      </c>
      <c r="W201" s="105">
        <f>IF($T$14&gt;0,'Assumptions (Coal)'!Y$10*Model!$T$14*AVERAGE('Assumptions (Coal)'!$M$2:$R$2)/10^9,0)</f>
        <v>0</v>
      </c>
      <c r="X201" s="105">
        <f>IF($T$14&gt;0,'Assumptions (Coal)'!Z$10*Model!$T$14*AVERAGE('Assumptions (Coal)'!$M$2:$R$2)/10^9,0)</f>
        <v>0</v>
      </c>
      <c r="Y201" s="105">
        <f>IF($T$14&gt;0,'Assumptions (Coal)'!AA$10*Model!$T$14*AVERAGE('Assumptions (Coal)'!$M$2:$R$2)/10^9,0)</f>
        <v>0</v>
      </c>
      <c r="Z201" s="105">
        <f>IF($T$14&gt;0,'Assumptions (Coal)'!AB$10*Model!$T$14*AVERAGE('Assumptions (Coal)'!$M$2:$R$2)/10^9,0)</f>
        <v>0</v>
      </c>
      <c r="AA201" s="105">
        <f>IF($T$14&gt;0,'Assumptions (Coal)'!AC$10*Model!$T$14*AVERAGE('Assumptions (Coal)'!$M$2:$R$2)/10^9,0)</f>
        <v>0</v>
      </c>
      <c r="AB201" s="105">
        <f>IF($T$14&gt;0,'Assumptions (Coal)'!AD$10*Model!$T$14*AVERAGE('Assumptions (Coal)'!$M$2:$R$2)/10^9,0)</f>
        <v>0</v>
      </c>
      <c r="AC201" s="105">
        <f>IF($T$14&gt;0,'Assumptions (Coal)'!AE$10*Model!$T$14*AVERAGE('Assumptions (Coal)'!$M$2:$R$2)/10^9,0)</f>
        <v>0</v>
      </c>
      <c r="AD201" s="105">
        <f>IF($T$14&gt;0,'Assumptions (Coal)'!AF$10*Model!$T$14*AVERAGE('Assumptions (Coal)'!$M$2:$R$2)/10^9,0)</f>
        <v>0</v>
      </c>
      <c r="AE201" s="105">
        <f>IF($T$14&gt;0,'Assumptions (Coal)'!AG$10*Model!$T$14*AVERAGE('Assumptions (Coal)'!$M$2:$R$2)/10^9,0)</f>
        <v>0</v>
      </c>
      <c r="AF201" s="105">
        <f>IF($T$14&gt;0,'Assumptions (Coal)'!AH$10*Model!$T$14*AVERAGE('Assumptions (Coal)'!$M$2:$R$2)/10^9,0)</f>
        <v>0</v>
      </c>
      <c r="AG201" s="105">
        <f>IF($T$14&gt;0,'Assumptions (Coal)'!AI$10*Model!$T$14*AVERAGE('Assumptions (Coal)'!$M$2:$R$2)/10^9,0)</f>
        <v>0</v>
      </c>
      <c r="AH201" s="105">
        <f>IF($T$14&gt;0,'Assumptions (Coal)'!AJ$10*Model!$T$14*AVERAGE('Assumptions (Coal)'!$M$2:$R$2)/10^9,0)</f>
        <v>0</v>
      </c>
      <c r="AI201" s="105">
        <f>IF($T$14&gt;0,'Assumptions (Coal)'!AK$10*Model!$T$14*AVERAGE('Assumptions (Coal)'!$M$2:$R$2)/10^9,0)</f>
        <v>0</v>
      </c>
      <c r="AJ201" s="105">
        <f>IF($T$14&gt;0,'Assumptions (Coal)'!AL$10*Model!$T$14*AVERAGE('Assumptions (Coal)'!$M$2:$R$2)/10^9,0)</f>
        <v>0</v>
      </c>
      <c r="AK201" s="105">
        <f>IF($T$14&gt;0,'Assumptions (Coal)'!AM$10*Model!$T$14*AVERAGE('Assumptions (Coal)'!$M$2:$R$2)/10^9,0)</f>
        <v>0</v>
      </c>
      <c r="AL201" s="105">
        <f>IF($T$14&gt;0,'Assumptions (Coal)'!AN$10*Model!$T$14*AVERAGE('Assumptions (Coal)'!$M$2:$R$2)/10^9,0)</f>
        <v>0</v>
      </c>
      <c r="AM201" s="105">
        <f>IF($T$14&gt;0,'Assumptions (Coal)'!AO$10*Model!$T$14*AVERAGE('Assumptions (Coal)'!$M$2:$R$2)/10^9,0)</f>
        <v>0</v>
      </c>
      <c r="AN201" s="105">
        <f>IF($T$14&gt;0,'Assumptions (Coal)'!AP$10*Model!$T$14*AVERAGE('Assumptions (Coal)'!$M$2:$R$2)/10^9,0)</f>
        <v>0</v>
      </c>
      <c r="AO201" s="105"/>
      <c r="AP201" s="105"/>
      <c r="AQ201" s="105"/>
      <c r="AR201" s="105"/>
      <c r="AS201" s="105"/>
      <c r="AT201" s="105"/>
      <c r="AU201" s="105"/>
      <c r="AV201" s="105"/>
      <c r="AW201" s="105"/>
      <c r="AX201" s="105"/>
      <c r="AY201" s="105"/>
      <c r="AZ201" s="105"/>
      <c r="BA201" s="105"/>
    </row>
    <row r="202" spans="1:53" ht="15.75" hidden="1" customHeight="1" outlineLevel="1">
      <c r="A202" s="98"/>
      <c r="B202" s="99"/>
      <c r="C202" s="105"/>
      <c r="D202" s="105"/>
      <c r="E202" s="105"/>
      <c r="F202" s="105"/>
      <c r="G202" s="105"/>
      <c r="H202" s="105"/>
      <c r="I202" s="105"/>
      <c r="J202" s="105"/>
      <c r="K202" s="105"/>
      <c r="L202" s="105"/>
      <c r="M202" s="105"/>
      <c r="N202" s="105"/>
      <c r="O202" s="105"/>
      <c r="P202" s="171"/>
      <c r="Q202" s="105"/>
      <c r="R202" s="91"/>
      <c r="S202" s="91"/>
      <c r="T202" s="91"/>
      <c r="U202" s="105">
        <f>IF($U$14&gt;0,'Assumptions (Coal)'!V$10*Model!$U$14*AVERAGE('Assumptions (Coal)'!$N$2:$S$2)/10^9,0)</f>
        <v>1.9814277575492581E-3</v>
      </c>
      <c r="V202" s="105">
        <f>IF($U$14&gt;0,'Assumptions (Coal)'!W$10*Model!$U$14*AVERAGE('Assumptions (Coal)'!$N$2:$S$2)/10^9,0)</f>
        <v>3.8143805284661589E-3</v>
      </c>
      <c r="W202" s="105">
        <f>IF($U$14&gt;0,'Assumptions (Coal)'!X$10*Model!$U$14*AVERAGE('Assumptions (Coal)'!$N$2:$S$2)/10^9,0)</f>
        <v>3.5279981699083726E-3</v>
      </c>
      <c r="X202" s="105">
        <f>IF($U$14&gt;0,'Assumptions (Coal)'!Y$10*Model!$U$14*AVERAGE('Assumptions (Coal)'!$N$2:$S$2)/10^9,0)</f>
        <v>3.2638078022351382E-3</v>
      </c>
      <c r="Y202" s="105">
        <f>IF($U$14&gt;0,'Assumptions (Coal)'!Z$10*Model!$U$14*AVERAGE('Assumptions (Coal)'!$N$2:$S$2)/10^9,0)</f>
        <v>3.0186391410343769E-3</v>
      </c>
      <c r="Z202" s="105">
        <f>IF($U$14&gt;0,'Assumptions (Coal)'!AA$10*Model!$U$14*AVERAGE('Assumptions (Coal)'!$N$2:$S$2)/10^9,0)</f>
        <v>2.7924921863060879E-3</v>
      </c>
      <c r="AA202" s="105">
        <f>IF($U$14&gt;0,'Assumptions (Coal)'!AB$10*Model!$U$14*AVERAGE('Assumptions (Coal)'!$N$2:$S$2)/10^9,0)</f>
        <v>2.5827250343735402E-3</v>
      </c>
      <c r="AB202" s="105">
        <f>IF($U$14&gt;0,'Assumptions (Coal)'!AC$10*Model!$U$14*AVERAGE('Assumptions (Coal)'!$N$2:$S$2)/10^9,0)</f>
        <v>2.3893376852367324E-3</v>
      </c>
      <c r="AC202" s="105">
        <f>IF($U$14&gt;0,'Assumptions (Coal)'!AD$10*Model!$U$14*AVERAGE('Assumptions (Coal)'!$N$2:$S$2)/10^9,0)</f>
        <v>2.3576348411159442E-3</v>
      </c>
      <c r="AD202" s="105">
        <f>IF($U$14&gt;0,'Assumptions (Coal)'!AE$10*Model!$U$14*AVERAGE('Assumptions (Coal)'!$N$2:$S$2)/10^9,0)</f>
        <v>2.3571064603805977E-3</v>
      </c>
      <c r="AE202" s="105">
        <f>IF($U$14&gt;0,'Assumptions (Coal)'!AF$10*Model!$U$14*AVERAGE('Assumptions (Coal)'!$N$2:$S$2)/10^9,0)</f>
        <v>2.3576348411159442E-3</v>
      </c>
      <c r="AF202" s="105">
        <f>IF($U$14&gt;0,'Assumptions (Coal)'!AG$10*Model!$U$14*AVERAGE('Assumptions (Coal)'!$N$2:$S$2)/10^9,0)</f>
        <v>2.3571064603805977E-3</v>
      </c>
      <c r="AG202" s="105">
        <f>IF($U$14&gt;0,'Assumptions (Coal)'!AH$10*Model!$U$14*AVERAGE('Assumptions (Coal)'!$N$2:$S$2)/10^9,0)</f>
        <v>2.3576348411159442E-3</v>
      </c>
      <c r="AH202" s="105">
        <f>IF($U$14&gt;0,'Assumptions (Coal)'!AI$10*Model!$U$14*AVERAGE('Assumptions (Coal)'!$N$2:$S$2)/10^9,0)</f>
        <v>2.3571064603805977E-3</v>
      </c>
      <c r="AI202" s="105">
        <f>IF($U$14&gt;0,'Assumptions (Coal)'!AJ$10*Model!$U$14*AVERAGE('Assumptions (Coal)'!$N$2:$S$2)/10^9,0)</f>
        <v>2.3576348411159442E-3</v>
      </c>
      <c r="AJ202" s="105">
        <f>IF($U$14&gt;0,'Assumptions (Coal)'!AK$10*Model!$U$14*AVERAGE('Assumptions (Coal)'!$N$2:$S$2)/10^9,0)</f>
        <v>2.3571064603805977E-3</v>
      </c>
      <c r="AK202" s="105">
        <f>IF($U$14&gt;0,'Assumptions (Coal)'!AL$10*Model!$U$14*AVERAGE('Assumptions (Coal)'!$N$2:$S$2)/10^9,0)</f>
        <v>2.3576348411159442E-3</v>
      </c>
      <c r="AL202" s="105">
        <f>IF($U$14&gt;0,'Assumptions (Coal)'!AM$10*Model!$U$14*AVERAGE('Assumptions (Coal)'!$N$2:$S$2)/10^9,0)</f>
        <v>2.3571064603805977E-3</v>
      </c>
      <c r="AM202" s="105">
        <f>IF($U$14&gt;0,'Assumptions (Coal)'!AN$10*Model!$U$14*AVERAGE('Assumptions (Coal)'!$N$2:$S$2)/10^9,0)</f>
        <v>2.3576348411159442E-3</v>
      </c>
      <c r="AN202" s="105">
        <f>IF($U$14&gt;0,'Assumptions (Coal)'!AO$10*Model!$U$14*AVERAGE('Assumptions (Coal)'!$N$2:$S$2)/10^9,0)</f>
        <v>2.3571064603805977E-3</v>
      </c>
      <c r="AO202" s="105">
        <f>IF($U$14&gt;0,'Assumptions (Coal)'!AP$10*Model!$U$14*AVERAGE('Assumptions (Coal)'!$N$2:$S$2)/10^9,0)</f>
        <v>1.1788174205579721E-3</v>
      </c>
      <c r="AP202" s="105"/>
      <c r="AQ202" s="105"/>
      <c r="AR202" s="105"/>
      <c r="AS202" s="105"/>
      <c r="AT202" s="105"/>
      <c r="AU202" s="105"/>
      <c r="AV202" s="105"/>
      <c r="AW202" s="105"/>
      <c r="AX202" s="105"/>
      <c r="AY202" s="105"/>
      <c r="AZ202" s="105"/>
      <c r="BA202" s="105"/>
    </row>
    <row r="203" spans="1:53" ht="15.75" hidden="1" customHeight="1" outlineLevel="1">
      <c r="A203" s="98"/>
      <c r="B203" s="99"/>
      <c r="C203" s="105"/>
      <c r="D203" s="105"/>
      <c r="E203" s="105"/>
      <c r="F203" s="105"/>
      <c r="G203" s="105"/>
      <c r="H203" s="105"/>
      <c r="I203" s="105"/>
      <c r="J203" s="105"/>
      <c r="K203" s="105"/>
      <c r="L203" s="105"/>
      <c r="M203" s="105"/>
      <c r="N203" s="105"/>
      <c r="O203" s="105"/>
      <c r="P203" s="171"/>
      <c r="Q203" s="105"/>
      <c r="R203" s="91"/>
      <c r="S203" s="91"/>
      <c r="T203" s="91"/>
      <c r="U203" s="105"/>
      <c r="V203" s="105">
        <f>IF($V$14&gt;0,'Assumptions (Coal)'!V$10*Model!$V$14*AVERAGE('Assumptions (Coal)'!$O$2:$T$2)/10^9,0)</f>
        <v>0</v>
      </c>
      <c r="W203" s="105">
        <f>IF($V$14&gt;0,'Assumptions (Coal)'!W$10*Model!$V$14*AVERAGE('Assumptions (Coal)'!$O$2:$T$2)/10^9,0)</f>
        <v>0</v>
      </c>
      <c r="X203" s="105">
        <f>IF($V$14&gt;0,'Assumptions (Coal)'!X$10*Model!$V$14*AVERAGE('Assumptions (Coal)'!$O$2:$T$2)/10^9,0)</f>
        <v>0</v>
      </c>
      <c r="Y203" s="105">
        <f>IF($V$14&gt;0,'Assumptions (Coal)'!Y$10*Model!$V$14*AVERAGE('Assumptions (Coal)'!$O$2:$T$2)/10^9,0)</f>
        <v>0</v>
      </c>
      <c r="Z203" s="105">
        <f>IF($V$14&gt;0,'Assumptions (Coal)'!Z$10*Model!$V$14*AVERAGE('Assumptions (Coal)'!$O$2:$T$2)/10^9,0)</f>
        <v>0</v>
      </c>
      <c r="AA203" s="105">
        <f>IF($V$14&gt;0,'Assumptions (Coal)'!AA$10*Model!$V$14*AVERAGE('Assumptions (Coal)'!$O$2:$T$2)/10^9,0)</f>
        <v>0</v>
      </c>
      <c r="AB203" s="105">
        <f>IF($V$14&gt;0,'Assumptions (Coal)'!AB$10*Model!$V$14*AVERAGE('Assumptions (Coal)'!$O$2:$T$2)/10^9,0)</f>
        <v>0</v>
      </c>
      <c r="AC203" s="105">
        <f>IF($V$14&gt;0,'Assumptions (Coal)'!AC$10*Model!$V$14*AVERAGE('Assumptions (Coal)'!$O$2:$T$2)/10^9,0)</f>
        <v>0</v>
      </c>
      <c r="AD203" s="105">
        <f>IF($V$14&gt;0,'Assumptions (Coal)'!AD$10*Model!$V$14*AVERAGE('Assumptions (Coal)'!$O$2:$T$2)/10^9,0)</f>
        <v>0</v>
      </c>
      <c r="AE203" s="105">
        <f>IF($V$14&gt;0,'Assumptions (Coal)'!AE$10*Model!$V$14*AVERAGE('Assumptions (Coal)'!$O$2:$T$2)/10^9,0)</f>
        <v>0</v>
      </c>
      <c r="AF203" s="105">
        <f>IF($V$14&gt;0,'Assumptions (Coal)'!AF$10*Model!$V$14*AVERAGE('Assumptions (Coal)'!$O$2:$T$2)/10^9,0)</f>
        <v>0</v>
      </c>
      <c r="AG203" s="105">
        <f>IF($V$14&gt;0,'Assumptions (Coal)'!AG$10*Model!$V$14*AVERAGE('Assumptions (Coal)'!$O$2:$T$2)/10^9,0)</f>
        <v>0</v>
      </c>
      <c r="AH203" s="105">
        <f>IF($V$14&gt;0,'Assumptions (Coal)'!AH$10*Model!$V$14*AVERAGE('Assumptions (Coal)'!$O$2:$T$2)/10^9,0)</f>
        <v>0</v>
      </c>
      <c r="AI203" s="105">
        <f>IF($V$14&gt;0,'Assumptions (Coal)'!AI$10*Model!$V$14*AVERAGE('Assumptions (Coal)'!$O$2:$T$2)/10^9,0)</f>
        <v>0</v>
      </c>
      <c r="AJ203" s="105">
        <f>IF($V$14&gt;0,'Assumptions (Coal)'!AJ$10*Model!$V$14*AVERAGE('Assumptions (Coal)'!$O$2:$T$2)/10^9,0)</f>
        <v>0</v>
      </c>
      <c r="AK203" s="105">
        <f>IF($V$14&gt;0,'Assumptions (Coal)'!AK$10*Model!$V$14*AVERAGE('Assumptions (Coal)'!$O$2:$T$2)/10^9,0)</f>
        <v>0</v>
      </c>
      <c r="AL203" s="105">
        <f>IF($V$14&gt;0,'Assumptions (Coal)'!AL$10*Model!$V$14*AVERAGE('Assumptions (Coal)'!$O$2:$T$2)/10^9,0)</f>
        <v>0</v>
      </c>
      <c r="AM203" s="105">
        <f>IF($V$14&gt;0,'Assumptions (Coal)'!AM$10*Model!$V$14*AVERAGE('Assumptions (Coal)'!$O$2:$T$2)/10^9,0)</f>
        <v>0</v>
      </c>
      <c r="AN203" s="105">
        <f>IF($V$14&gt;0,'Assumptions (Coal)'!AN$10*Model!$V$14*AVERAGE('Assumptions (Coal)'!$O$2:$T$2)/10^9,0)</f>
        <v>0</v>
      </c>
      <c r="AO203" s="105">
        <f>IF($V$14&gt;0,'Assumptions (Coal)'!AO$10*Model!$V$14*AVERAGE('Assumptions (Coal)'!$O$2:$T$2)/10^9,0)</f>
        <v>0</v>
      </c>
      <c r="AP203" s="105">
        <f>IF($V$14&gt;0,'Assumptions (Coal)'!AP$10*Model!$V$14*AVERAGE('Assumptions (Coal)'!$O$2:$T$2)/10^9,0)</f>
        <v>0</v>
      </c>
      <c r="AQ203" s="105"/>
      <c r="AR203" s="105"/>
      <c r="AS203" s="105"/>
      <c r="AT203" s="105"/>
      <c r="AU203" s="105"/>
      <c r="AV203" s="105"/>
      <c r="AW203" s="105"/>
      <c r="AX203" s="105"/>
      <c r="AY203" s="105"/>
      <c r="AZ203" s="105"/>
      <c r="BA203" s="105"/>
    </row>
    <row r="204" spans="1:53" ht="15.75" hidden="1" customHeight="1" outlineLevel="1">
      <c r="A204" s="98"/>
      <c r="B204" s="99"/>
      <c r="C204" s="99"/>
      <c r="D204" s="99"/>
      <c r="E204" s="99"/>
      <c r="F204" s="99"/>
      <c r="G204" s="99"/>
      <c r="H204" s="99"/>
      <c r="I204" s="99"/>
      <c r="J204" s="99"/>
      <c r="K204" s="99"/>
      <c r="L204" s="99"/>
      <c r="M204" s="99"/>
      <c r="N204" s="99"/>
      <c r="O204" s="99"/>
      <c r="P204" s="99"/>
      <c r="Q204" s="99"/>
      <c r="R204" s="99"/>
      <c r="S204" s="99"/>
      <c r="T204" s="99"/>
      <c r="U204" s="99"/>
      <c r="V204" s="99"/>
      <c r="W204" s="105">
        <f>IF($W$14&gt;0,'Assumptions (Coal)'!V10*Model!$W$14*AVERAGE('Assumptions (Coal)'!$P$2:$U$2)/10^9,0)</f>
        <v>0</v>
      </c>
      <c r="X204" s="105">
        <f>IF($W$14&gt;0,'Assumptions (Coal)'!W10*Model!$W$14*AVERAGE('Assumptions (Coal)'!$P$2:$U$2)/10^9,0)</f>
        <v>0</v>
      </c>
      <c r="Y204" s="105">
        <f>IF($W$14&gt;0,'Assumptions (Coal)'!X10*Model!$W$14*AVERAGE('Assumptions (Coal)'!$P$2:$U$2)/10^9,0)</f>
        <v>0</v>
      </c>
      <c r="Z204" s="105">
        <f>IF($W$14&gt;0,'Assumptions (Coal)'!Y10*Model!$W$14*AVERAGE('Assumptions (Coal)'!$P$2:$U$2)/10^9,0)</f>
        <v>0</v>
      </c>
      <c r="AA204" s="105">
        <f>IF($W$14&gt;0,'Assumptions (Coal)'!Z10*Model!$W$14*AVERAGE('Assumptions (Coal)'!$P$2:$U$2)/10^9,0)</f>
        <v>0</v>
      </c>
      <c r="AB204" s="105">
        <f>IF($W$14&gt;0,'Assumptions (Coal)'!AA10*Model!$W$14*AVERAGE('Assumptions (Coal)'!$P$2:$U$2)/10^9,0)</f>
        <v>0</v>
      </c>
      <c r="AC204" s="105">
        <f>IF($W$14&gt;0,'Assumptions (Coal)'!AB10*Model!$W$14*AVERAGE('Assumptions (Coal)'!$P$2:$U$2)/10^9,0)</f>
        <v>0</v>
      </c>
      <c r="AD204" s="105">
        <f>IF($W$14&gt;0,'Assumptions (Coal)'!AC10*Model!$W$14*AVERAGE('Assumptions (Coal)'!$P$2:$U$2)/10^9,0)</f>
        <v>0</v>
      </c>
      <c r="AE204" s="105">
        <f>IF($W$14&gt;0,'Assumptions (Coal)'!AD10*Model!$W$14*AVERAGE('Assumptions (Coal)'!$P$2:$U$2)/10^9,0)</f>
        <v>0</v>
      </c>
      <c r="AF204" s="105">
        <f>IF($W$14&gt;0,'Assumptions (Coal)'!AE10*Model!$W$14*AVERAGE('Assumptions (Coal)'!$P$2:$U$2)/10^9,0)</f>
        <v>0</v>
      </c>
      <c r="AG204" s="105">
        <f>IF($W$14&gt;0,'Assumptions (Coal)'!AF10*Model!$W$14*AVERAGE('Assumptions (Coal)'!$P$2:$U$2)/10^9,0)</f>
        <v>0</v>
      </c>
      <c r="AH204" s="105">
        <f>IF($W$14&gt;0,'Assumptions (Coal)'!AG10*Model!$W$14*AVERAGE('Assumptions (Coal)'!$P$2:$U$2)/10^9,0)</f>
        <v>0</v>
      </c>
      <c r="AI204" s="105">
        <f>IF($W$14&gt;0,'Assumptions (Coal)'!AH10*Model!$W$14*AVERAGE('Assumptions (Coal)'!$P$2:$U$2)/10^9,0)</f>
        <v>0</v>
      </c>
      <c r="AJ204" s="105">
        <f>IF($W$14&gt;0,'Assumptions (Coal)'!AI10*Model!$W$14*AVERAGE('Assumptions (Coal)'!$P$2:$U$2)/10^9,0)</f>
        <v>0</v>
      </c>
      <c r="AK204" s="105">
        <f>IF($W$14&gt;0,'Assumptions (Coal)'!AJ10*Model!$W$14*AVERAGE('Assumptions (Coal)'!$P$2:$U$2)/10^9,0)</f>
        <v>0</v>
      </c>
      <c r="AL204" s="105">
        <f>IF($W$14&gt;0,'Assumptions (Coal)'!AK10*Model!$W$14*AVERAGE('Assumptions (Coal)'!$P$2:$U$2)/10^9,0)</f>
        <v>0</v>
      </c>
      <c r="AM204" s="105">
        <f>IF($W$14&gt;0,'Assumptions (Coal)'!AL10*Model!$W$14*AVERAGE('Assumptions (Coal)'!$P$2:$U$2)/10^9,0)</f>
        <v>0</v>
      </c>
      <c r="AN204" s="105">
        <f>IF($W$14&gt;0,'Assumptions (Coal)'!AM10*Model!$W$14*AVERAGE('Assumptions (Coal)'!$P$2:$U$2)/10^9,0)</f>
        <v>0</v>
      </c>
      <c r="AO204" s="105">
        <f>IF($W$14&gt;0,'Assumptions (Coal)'!AN10*Model!$W$14*AVERAGE('Assumptions (Coal)'!$P$2:$U$2)/10^9,0)</f>
        <v>0</v>
      </c>
      <c r="AP204" s="105">
        <f>IF($W$14&gt;0,'Assumptions (Coal)'!AO10*Model!$W$14*AVERAGE('Assumptions (Coal)'!$P$2:$U$2)/10^9,0)</f>
        <v>0</v>
      </c>
      <c r="AQ204" s="105">
        <f>IF($W$14&gt;0,'Assumptions (Coal)'!AP10*Model!$W$14*AVERAGE('Assumptions (Coal)'!$P$2:$U$2)/10^9,0)</f>
        <v>0</v>
      </c>
      <c r="AR204" s="105"/>
      <c r="AS204" s="105"/>
      <c r="AT204" s="105"/>
      <c r="AU204" s="105"/>
      <c r="AV204" s="105"/>
      <c r="AW204" s="105"/>
      <c r="AX204" s="105"/>
      <c r="AY204" s="105"/>
      <c r="AZ204" s="105"/>
      <c r="BA204" s="105"/>
    </row>
    <row r="205" spans="1:53" ht="15.75" hidden="1" customHeight="1" outlineLevel="1">
      <c r="A205" s="98"/>
      <c r="B205" s="99"/>
      <c r="C205" s="99"/>
      <c r="D205" s="99"/>
      <c r="E205" s="99"/>
      <c r="F205" s="99"/>
      <c r="G205" s="99"/>
      <c r="H205" s="99"/>
      <c r="I205" s="99"/>
      <c r="J205" s="99"/>
      <c r="K205" s="99"/>
      <c r="L205" s="99"/>
      <c r="M205" s="99"/>
      <c r="N205" s="99"/>
      <c r="O205" s="99"/>
      <c r="P205" s="99"/>
      <c r="Q205" s="99"/>
      <c r="R205" s="99"/>
      <c r="S205" s="99"/>
      <c r="T205" s="99"/>
      <c r="U205" s="99"/>
      <c r="V205" s="99"/>
      <c r="W205" s="105"/>
      <c r="X205" s="105">
        <f>IF($X$14&gt;0,'Assumptions (Coal)'!V10*Model!$X$14*AVERAGE('Assumptions (Coal)'!$Q$2:$V$2)/10^9,0)</f>
        <v>0.43137353539023476</v>
      </c>
      <c r="Y205" s="105">
        <f>IF($X$14&gt;0,'Assumptions (Coal)'!W10*Model!$X$14*AVERAGE('Assumptions (Coal)'!$Q$2:$V$2)/10^9,0)</f>
        <v>0.83042281386189476</v>
      </c>
      <c r="Z205" s="105">
        <f>IF($X$14&gt;0,'Assumptions (Coal)'!X10*Model!$X$14*AVERAGE('Assumptions (Coal)'!$Q$2:$V$2)/10^9,0)</f>
        <v>0.76807495888015931</v>
      </c>
      <c r="AA205" s="105">
        <f>IF($X$14&gt;0,'Assumptions (Coal)'!Y10*Model!$X$14*AVERAGE('Assumptions (Coal)'!$Q$2:$V$2)/10^9,0)</f>
        <v>0.71055848749479456</v>
      </c>
      <c r="AB205" s="105">
        <f>IF($X$14&gt;0,'Assumptions (Coal)'!Z10*Model!$X$14*AVERAGE('Assumptions (Coal)'!$Q$2:$V$2)/10^9,0)</f>
        <v>0.65718320204917635</v>
      </c>
      <c r="AC205" s="105">
        <f>IF($X$14&gt;0,'Assumptions (Coal)'!AA10*Model!$X$14*AVERAGE('Assumptions (Coal)'!$Q$2:$V$2)/10^9,0)</f>
        <v>0.60794910254330425</v>
      </c>
      <c r="AD205" s="105">
        <f>IF($X$14&gt;0,'Assumptions (Coal)'!AB10*Model!$X$14*AVERAGE('Assumptions (Coal)'!$Q$2:$V$2)/10^9,0)</f>
        <v>0.5622810242633246</v>
      </c>
      <c r="AE205" s="105">
        <f>IF($X$14&gt;0,'Assumptions (Coal)'!AC10*Model!$X$14*AVERAGE('Assumptions (Coal)'!$Q$2:$V$2)/10^9,0)</f>
        <v>0.52017896720923773</v>
      </c>
      <c r="AF205" s="105">
        <f>IF($X$14&gt;0,'Assumptions (Coal)'!AD10*Model!$X$14*AVERAGE('Assumptions (Coal)'!$Q$2:$V$2)/10^9,0)</f>
        <v>0.51327699064299404</v>
      </c>
      <c r="AG205" s="105">
        <f>IF($X$14&gt;0,'Assumptions (Coal)'!AE10*Model!$X$14*AVERAGE('Assumptions (Coal)'!$Q$2:$V$2)/10^9,0)</f>
        <v>0.51316195770022321</v>
      </c>
      <c r="AH205" s="105">
        <f>IF($X$14&gt;0,'Assumptions (Coal)'!AF10*Model!$X$14*AVERAGE('Assumptions (Coal)'!$Q$2:$V$2)/10^9,0)</f>
        <v>0.51327699064299404</v>
      </c>
      <c r="AI205" s="105">
        <f>IF($X$14&gt;0,'Assumptions (Coal)'!AG10*Model!$X$14*AVERAGE('Assumptions (Coal)'!$Q$2:$V$2)/10^9,0)</f>
        <v>0.51316195770022321</v>
      </c>
      <c r="AJ205" s="105">
        <f>IF($X$14&gt;0,'Assumptions (Coal)'!AH10*Model!$X$14*AVERAGE('Assumptions (Coal)'!$Q$2:$V$2)/10^9,0)</f>
        <v>0.51327699064299404</v>
      </c>
      <c r="AK205" s="105">
        <f>IF($X$14&gt;0,'Assumptions (Coal)'!AI10*Model!$X$14*AVERAGE('Assumptions (Coal)'!$Q$2:$V$2)/10^9,0)</f>
        <v>0.51316195770022321</v>
      </c>
      <c r="AL205" s="105">
        <f>IF($X$14&gt;0,'Assumptions (Coal)'!AJ10*Model!$X$14*AVERAGE('Assumptions (Coal)'!$Q$2:$V$2)/10^9,0)</f>
        <v>0.51327699064299404</v>
      </c>
      <c r="AM205" s="105">
        <f>IF($X$14&gt;0,'Assumptions (Coal)'!AK10*Model!$X$14*AVERAGE('Assumptions (Coal)'!$Q$2:$V$2)/10^9,0)</f>
        <v>0.51316195770022321</v>
      </c>
      <c r="AN205" s="105">
        <f>IF($X$14&gt;0,'Assumptions (Coal)'!AL10*Model!$X$14*AVERAGE('Assumptions (Coal)'!$Q$2:$V$2)/10^9,0)</f>
        <v>0.51327699064299404</v>
      </c>
      <c r="AO205" s="105">
        <f>IF($X$14&gt;0,'Assumptions (Coal)'!AM10*Model!$X$14*AVERAGE('Assumptions (Coal)'!$Q$2:$V$2)/10^9,0)</f>
        <v>0.51316195770022321</v>
      </c>
      <c r="AP205" s="105">
        <f>IF($X$14&gt;0,'Assumptions (Coal)'!AN10*Model!$X$14*AVERAGE('Assumptions (Coal)'!$Q$2:$V$2)/10^9,0)</f>
        <v>0.51327699064299404</v>
      </c>
      <c r="AQ205" s="105">
        <f>IF($X$14&gt;0,'Assumptions (Coal)'!AO10*Model!$X$14*AVERAGE('Assumptions (Coal)'!$Q$2:$V$2)/10^9,0)</f>
        <v>0.51316195770022321</v>
      </c>
      <c r="AR205" s="105">
        <f>IF($X$14&gt;0,'Assumptions (Coal)'!AP10*Model!$X$14*AVERAGE('Assumptions (Coal)'!$Q$2:$V$2)/10^9,0)</f>
        <v>0.25663849532149702</v>
      </c>
      <c r="AS205" s="105"/>
      <c r="AT205" s="105"/>
      <c r="AU205" s="105"/>
      <c r="AV205" s="105"/>
      <c r="AW205" s="105"/>
      <c r="AX205" s="105"/>
      <c r="AY205" s="105"/>
      <c r="AZ205" s="105"/>
      <c r="BA205" s="105"/>
    </row>
    <row r="206" spans="1:53" ht="15.75" hidden="1" customHeight="1" outlineLevel="1">
      <c r="A206" s="98"/>
      <c r="B206" s="99"/>
      <c r="C206" s="99"/>
      <c r="D206" s="99"/>
      <c r="E206" s="99"/>
      <c r="F206" s="99"/>
      <c r="G206" s="99"/>
      <c r="H206" s="99"/>
      <c r="I206" s="99"/>
      <c r="J206" s="99"/>
      <c r="K206" s="99"/>
      <c r="L206" s="99"/>
      <c r="M206" s="99"/>
      <c r="N206" s="99"/>
      <c r="O206" s="99"/>
      <c r="P206" s="99"/>
      <c r="Q206" s="99"/>
      <c r="R206" s="99"/>
      <c r="S206" s="99"/>
      <c r="T206" s="99"/>
      <c r="U206" s="99"/>
      <c r="V206" s="99"/>
      <c r="W206" s="105"/>
      <c r="X206" s="105"/>
      <c r="Y206" s="105">
        <f>IF($Y$14&gt;0,'Assumptions (Coal)'!V10*Model!$Y$14*AVERAGE('Assumptions (Coal)'!$R$2:$W$2)/10^9,0)</f>
        <v>0</v>
      </c>
      <c r="Z206" s="105">
        <f>IF($Y$14&gt;0,'Assumptions (Coal)'!W10*Model!$Y$14*AVERAGE('Assumptions (Coal)'!$R$2:$W$2)/10^9,0)</f>
        <v>0</v>
      </c>
      <c r="AA206" s="105">
        <f>IF($Y$14&gt;0,'Assumptions (Coal)'!X10*Model!$Y$14*AVERAGE('Assumptions (Coal)'!$R$2:$W$2)/10^9,0)</f>
        <v>0</v>
      </c>
      <c r="AB206" s="105">
        <f>IF($Y$14&gt;0,'Assumptions (Coal)'!Y10*Model!$Y$14*AVERAGE('Assumptions (Coal)'!$R$2:$W$2)/10^9,0)</f>
        <v>0</v>
      </c>
      <c r="AC206" s="105">
        <f>IF($Y$14&gt;0,'Assumptions (Coal)'!Z10*Model!$Y$14*AVERAGE('Assumptions (Coal)'!$R$2:$W$2)/10^9,0)</f>
        <v>0</v>
      </c>
      <c r="AD206" s="105">
        <f>IF($Y$14&gt;0,'Assumptions (Coal)'!AA10*Model!$Y$14*AVERAGE('Assumptions (Coal)'!$R$2:$W$2)/10^9,0)</f>
        <v>0</v>
      </c>
      <c r="AE206" s="105">
        <f>IF($Y$14&gt;0,'Assumptions (Coal)'!AB10*Model!$Y$14*AVERAGE('Assumptions (Coal)'!$R$2:$W$2)/10^9,0)</f>
        <v>0</v>
      </c>
      <c r="AF206" s="105">
        <f>IF($Y$14&gt;0,'Assumptions (Coal)'!AC10*Model!$Y$14*AVERAGE('Assumptions (Coal)'!$R$2:$W$2)/10^9,0)</f>
        <v>0</v>
      </c>
      <c r="AG206" s="105">
        <f>IF($Y$14&gt;0,'Assumptions (Coal)'!AD10*Model!$Y$14*AVERAGE('Assumptions (Coal)'!$R$2:$W$2)/10^9,0)</f>
        <v>0</v>
      </c>
      <c r="AH206" s="105">
        <f>IF($Y$14&gt;0,'Assumptions (Coal)'!AE10*Model!$Y$14*AVERAGE('Assumptions (Coal)'!$R$2:$W$2)/10^9,0)</f>
        <v>0</v>
      </c>
      <c r="AI206" s="105">
        <f>IF($Y$14&gt;0,'Assumptions (Coal)'!AF10*Model!$Y$14*AVERAGE('Assumptions (Coal)'!$R$2:$W$2)/10^9,0)</f>
        <v>0</v>
      </c>
      <c r="AJ206" s="105">
        <f>IF($Y$14&gt;0,'Assumptions (Coal)'!AG10*Model!$Y$14*AVERAGE('Assumptions (Coal)'!$R$2:$W$2)/10^9,0)</f>
        <v>0</v>
      </c>
      <c r="AK206" s="105">
        <f>IF($Y$14&gt;0,'Assumptions (Coal)'!AH10*Model!$Y$14*AVERAGE('Assumptions (Coal)'!$R$2:$W$2)/10^9,0)</f>
        <v>0</v>
      </c>
      <c r="AL206" s="105">
        <f>IF($Y$14&gt;0,'Assumptions (Coal)'!AI10*Model!$Y$14*AVERAGE('Assumptions (Coal)'!$R$2:$W$2)/10^9,0)</f>
        <v>0</v>
      </c>
      <c r="AM206" s="105">
        <f>IF($Y$14&gt;0,'Assumptions (Coal)'!AJ10*Model!$Y$14*AVERAGE('Assumptions (Coal)'!$R$2:$W$2)/10^9,0)</f>
        <v>0</v>
      </c>
      <c r="AN206" s="105">
        <f>IF($Y$14&gt;0,'Assumptions (Coal)'!AK10*Model!$Y$14*AVERAGE('Assumptions (Coal)'!$R$2:$W$2)/10^9,0)</f>
        <v>0</v>
      </c>
      <c r="AO206" s="105">
        <f>IF($Y$14&gt;0,'Assumptions (Coal)'!AL10*Model!$Y$14*AVERAGE('Assumptions (Coal)'!$R$2:$W$2)/10^9,0)</f>
        <v>0</v>
      </c>
      <c r="AP206" s="105">
        <f>IF($Y$14&gt;0,'Assumptions (Coal)'!AM10*Model!$Y$14*AVERAGE('Assumptions (Coal)'!$R$2:$W$2)/10^9,0)</f>
        <v>0</v>
      </c>
      <c r="AQ206" s="105">
        <f>IF($Y$14&gt;0,'Assumptions (Coal)'!AN10*Model!$Y$14*AVERAGE('Assumptions (Coal)'!$R$2:$W$2)/10^9,0)</f>
        <v>0</v>
      </c>
      <c r="AR206" s="105">
        <f>IF($Y$14&gt;0,'Assumptions (Coal)'!AO10*Model!$Y$14*AVERAGE('Assumptions (Coal)'!$R$2:$W$2)/10^9,0)</f>
        <v>0</v>
      </c>
      <c r="AS206" s="105">
        <f>IF($Y$14&gt;0,'Assumptions (Coal)'!AP10*Model!$Y$14*AVERAGE('Assumptions (Coal)'!$R$2:$W$2)/10^9,0)</f>
        <v>0</v>
      </c>
      <c r="AT206" s="105"/>
      <c r="AU206" s="105"/>
      <c r="AV206" s="105"/>
      <c r="AW206" s="105"/>
      <c r="AX206" s="105"/>
      <c r="AY206" s="105"/>
      <c r="AZ206" s="105"/>
      <c r="BA206" s="105"/>
    </row>
    <row r="207" spans="1:53" ht="15.75" hidden="1" customHeight="1" outlineLevel="1">
      <c r="A207" s="98"/>
      <c r="B207" s="99"/>
      <c r="C207" s="99"/>
      <c r="D207" s="99"/>
      <c r="E207" s="99"/>
      <c r="F207" s="99"/>
      <c r="G207" s="99"/>
      <c r="H207" s="99"/>
      <c r="I207" s="99"/>
      <c r="J207" s="99"/>
      <c r="K207" s="99"/>
      <c r="L207" s="99"/>
      <c r="M207" s="99"/>
      <c r="N207" s="99"/>
      <c r="O207" s="99"/>
      <c r="P207" s="99"/>
      <c r="Q207" s="99"/>
      <c r="R207" s="99"/>
      <c r="S207" s="99"/>
      <c r="T207" s="99"/>
      <c r="U207" s="99"/>
      <c r="V207" s="99"/>
      <c r="W207" s="105"/>
      <c r="X207" s="105"/>
      <c r="Y207" s="105"/>
      <c r="Z207" s="105">
        <f>IF($Z$14&gt;0,'Assumptions (Coal)'!V10*Model!$Z$14*AVERAGE('Assumptions (Coal)'!$S$2:$X$2)/10^9,0)</f>
        <v>0</v>
      </c>
      <c r="AA207" s="105">
        <f>IF($Z$14&gt;0,'Assumptions (Coal)'!W10*Model!$Z$14*AVERAGE('Assumptions (Coal)'!$S$2:$X$2)/10^9,0)</f>
        <v>0</v>
      </c>
      <c r="AB207" s="105">
        <f>IF($Z$14&gt;0,'Assumptions (Coal)'!X10*Model!$Z$14*AVERAGE('Assumptions (Coal)'!$S$2:$X$2)/10^9,0)</f>
        <v>0</v>
      </c>
      <c r="AC207" s="105">
        <f>IF($Z$14&gt;0,'Assumptions (Coal)'!Y10*Model!$Z$14*AVERAGE('Assumptions (Coal)'!$S$2:$X$2)/10^9,0)</f>
        <v>0</v>
      </c>
      <c r="AD207" s="105">
        <f>IF($Z$14&gt;0,'Assumptions (Coal)'!Z10*Model!$Z$14*AVERAGE('Assumptions (Coal)'!$S$2:$X$2)/10^9,0)</f>
        <v>0</v>
      </c>
      <c r="AE207" s="105">
        <f>IF($Z$14&gt;0,'Assumptions (Coal)'!AA10*Model!$Z$14*AVERAGE('Assumptions (Coal)'!$S$2:$X$2)/10^9,0)</f>
        <v>0</v>
      </c>
      <c r="AF207" s="105">
        <f>IF($Z$14&gt;0,'Assumptions (Coal)'!AB10*Model!$Z$14*AVERAGE('Assumptions (Coal)'!$S$2:$X$2)/10^9,0)</f>
        <v>0</v>
      </c>
      <c r="AG207" s="105">
        <f>IF($Z$14&gt;0,'Assumptions (Coal)'!AC10*Model!$Z$14*AVERAGE('Assumptions (Coal)'!$S$2:$X$2)/10^9,0)</f>
        <v>0</v>
      </c>
      <c r="AH207" s="105">
        <f>IF($Z$14&gt;0,'Assumptions (Coal)'!AD10*Model!$Z$14*AVERAGE('Assumptions (Coal)'!$S$2:$X$2)/10^9,0)</f>
        <v>0</v>
      </c>
      <c r="AI207" s="105">
        <f>IF($Z$14&gt;0,'Assumptions (Coal)'!AE10*Model!$Z$14*AVERAGE('Assumptions (Coal)'!$S$2:$X$2)/10^9,0)</f>
        <v>0</v>
      </c>
      <c r="AJ207" s="105">
        <f>IF($Z$14&gt;0,'Assumptions (Coal)'!AF10*Model!$Z$14*AVERAGE('Assumptions (Coal)'!$S$2:$X$2)/10^9,0)</f>
        <v>0</v>
      </c>
      <c r="AK207" s="105">
        <f>IF($Z$14&gt;0,'Assumptions (Coal)'!AG10*Model!$Z$14*AVERAGE('Assumptions (Coal)'!$S$2:$X$2)/10^9,0)</f>
        <v>0</v>
      </c>
      <c r="AL207" s="105">
        <f>IF($Z$14&gt;0,'Assumptions (Coal)'!AH10*Model!$Z$14*AVERAGE('Assumptions (Coal)'!$S$2:$X$2)/10^9,0)</f>
        <v>0</v>
      </c>
      <c r="AM207" s="105">
        <f>IF($Z$14&gt;0,'Assumptions (Coal)'!AI10*Model!$Z$14*AVERAGE('Assumptions (Coal)'!$S$2:$X$2)/10^9,0)</f>
        <v>0</v>
      </c>
      <c r="AN207" s="105">
        <f>IF($Z$14&gt;0,'Assumptions (Coal)'!AJ10*Model!$Z$14*AVERAGE('Assumptions (Coal)'!$S$2:$X$2)/10^9,0)</f>
        <v>0</v>
      </c>
      <c r="AO207" s="105">
        <f>IF($Z$14&gt;0,'Assumptions (Coal)'!AK10*Model!$Z$14*AVERAGE('Assumptions (Coal)'!$S$2:$X$2)/10^9,0)</f>
        <v>0</v>
      </c>
      <c r="AP207" s="105">
        <f>IF($Z$14&gt;0,'Assumptions (Coal)'!AL10*Model!$Z$14*AVERAGE('Assumptions (Coal)'!$S$2:$X$2)/10^9,0)</f>
        <v>0</v>
      </c>
      <c r="AQ207" s="105">
        <f>IF($Z$14&gt;0,'Assumptions (Coal)'!AM10*Model!$Z$14*AVERAGE('Assumptions (Coal)'!$S$2:$X$2)/10^9,0)</f>
        <v>0</v>
      </c>
      <c r="AR207" s="105">
        <f>IF($Z$14&gt;0,'Assumptions (Coal)'!AN10*Model!$Z$14*AVERAGE('Assumptions (Coal)'!$S$2:$X$2)/10^9,0)</f>
        <v>0</v>
      </c>
      <c r="AS207" s="105">
        <f>IF($Z$14&gt;0,'Assumptions (Coal)'!AO10*Model!$Z$14*AVERAGE('Assumptions (Coal)'!$S$2:$X$2)/10^9,0)</f>
        <v>0</v>
      </c>
      <c r="AT207" s="105">
        <f>IF($Z$14&gt;0,'Assumptions (Coal)'!AP10*Model!$Z$14*AVERAGE('Assumptions (Coal)'!$S$2:$X$2)/10^9,0)</f>
        <v>0</v>
      </c>
      <c r="AU207" s="105"/>
      <c r="AV207" s="105"/>
      <c r="AW207" s="105"/>
      <c r="AX207" s="105"/>
      <c r="AY207" s="105"/>
      <c r="AZ207" s="105"/>
      <c r="BA207" s="105"/>
    </row>
    <row r="208" spans="1:53" ht="15.75" hidden="1" customHeight="1" outlineLevel="1">
      <c r="A208" s="98"/>
      <c r="B208" s="99"/>
      <c r="C208" s="99"/>
      <c r="D208" s="99"/>
      <c r="E208" s="99"/>
      <c r="F208" s="99"/>
      <c r="G208" s="99"/>
      <c r="H208" s="99"/>
      <c r="I208" s="99"/>
      <c r="J208" s="99"/>
      <c r="K208" s="99"/>
      <c r="L208" s="99"/>
      <c r="M208" s="99"/>
      <c r="N208" s="99"/>
      <c r="O208" s="99"/>
      <c r="P208" s="99"/>
      <c r="Q208" s="99"/>
      <c r="R208" s="99"/>
      <c r="S208" s="99"/>
      <c r="T208" s="99"/>
      <c r="U208" s="99"/>
      <c r="V208" s="99"/>
      <c r="W208" s="105"/>
      <c r="X208" s="105"/>
      <c r="Y208" s="105"/>
      <c r="Z208" s="105"/>
      <c r="AA208" s="105">
        <f>IF($AA$14&gt;0,'Assumptions (Coal)'!V10*Model!$AA$14*AVERAGE('Assumptions (Coal)'!$T$2:$Y$2)/10^9,0)</f>
        <v>0</v>
      </c>
      <c r="AB208" s="105">
        <f>IF($AA$14&gt;0,'Assumptions (Coal)'!W10*Model!$AA$14*AVERAGE('Assumptions (Coal)'!$T$2:$Y$2)/10^9,0)</f>
        <v>0</v>
      </c>
      <c r="AC208" s="105">
        <f>IF($AA$14&gt;0,'Assumptions (Coal)'!X10*Model!$AA$14*AVERAGE('Assumptions (Coal)'!$T$2:$Y$2)/10^9,0)</f>
        <v>0</v>
      </c>
      <c r="AD208" s="105">
        <f>IF($AA$14&gt;0,'Assumptions (Coal)'!Y10*Model!$AA$14*AVERAGE('Assumptions (Coal)'!$T$2:$Y$2)/10^9,0)</f>
        <v>0</v>
      </c>
      <c r="AE208" s="105">
        <f>IF($AA$14&gt;0,'Assumptions (Coal)'!Z10*Model!$AA$14*AVERAGE('Assumptions (Coal)'!$T$2:$Y$2)/10^9,0)</f>
        <v>0</v>
      </c>
      <c r="AF208" s="105">
        <f>IF($AA$14&gt;0,'Assumptions (Coal)'!AA10*Model!$AA$14*AVERAGE('Assumptions (Coal)'!$T$2:$Y$2)/10^9,0)</f>
        <v>0</v>
      </c>
      <c r="AG208" s="105">
        <f>IF($AA$14&gt;0,'Assumptions (Coal)'!AB10*Model!$AA$14*AVERAGE('Assumptions (Coal)'!$T$2:$Y$2)/10^9,0)</f>
        <v>0</v>
      </c>
      <c r="AH208" s="105">
        <f>IF($AA$14&gt;0,'Assumptions (Coal)'!AC10*Model!$AA$14*AVERAGE('Assumptions (Coal)'!$T$2:$Y$2)/10^9,0)</f>
        <v>0</v>
      </c>
      <c r="AI208" s="105">
        <f>IF($AA$14&gt;0,'Assumptions (Coal)'!AD10*Model!$AA$14*AVERAGE('Assumptions (Coal)'!$T$2:$Y$2)/10^9,0)</f>
        <v>0</v>
      </c>
      <c r="AJ208" s="105">
        <f>IF($AA$14&gt;0,'Assumptions (Coal)'!AE10*Model!$AA$14*AVERAGE('Assumptions (Coal)'!$T$2:$Y$2)/10^9,0)</f>
        <v>0</v>
      </c>
      <c r="AK208" s="105">
        <f>IF($AA$14&gt;0,'Assumptions (Coal)'!AF10*Model!$AA$14*AVERAGE('Assumptions (Coal)'!$T$2:$Y$2)/10^9,0)</f>
        <v>0</v>
      </c>
      <c r="AL208" s="105">
        <f>IF($AA$14&gt;0,'Assumptions (Coal)'!AG10*Model!$AA$14*AVERAGE('Assumptions (Coal)'!$T$2:$Y$2)/10^9,0)</f>
        <v>0</v>
      </c>
      <c r="AM208" s="105">
        <f>IF($AA$14&gt;0,'Assumptions (Coal)'!AH10*Model!$AA$14*AVERAGE('Assumptions (Coal)'!$T$2:$Y$2)/10^9,0)</f>
        <v>0</v>
      </c>
      <c r="AN208" s="105">
        <f>IF($AA$14&gt;0,'Assumptions (Coal)'!AI10*Model!$AA$14*AVERAGE('Assumptions (Coal)'!$T$2:$Y$2)/10^9,0)</f>
        <v>0</v>
      </c>
      <c r="AO208" s="105">
        <f>IF($AA$14&gt;0,'Assumptions (Coal)'!AJ10*Model!$AA$14*AVERAGE('Assumptions (Coal)'!$T$2:$Y$2)/10^9,0)</f>
        <v>0</v>
      </c>
      <c r="AP208" s="105">
        <f>IF($AA$14&gt;0,'Assumptions (Coal)'!AK10*Model!$AA$14*AVERAGE('Assumptions (Coal)'!$T$2:$Y$2)/10^9,0)</f>
        <v>0</v>
      </c>
      <c r="AQ208" s="105">
        <f>IF($AA$14&gt;0,'Assumptions (Coal)'!AL10*Model!$AA$14*AVERAGE('Assumptions (Coal)'!$T$2:$Y$2)/10^9,0)</f>
        <v>0</v>
      </c>
      <c r="AR208" s="105">
        <f>IF($AA$14&gt;0,'Assumptions (Coal)'!AM10*Model!$AA$14*AVERAGE('Assumptions (Coal)'!$T$2:$Y$2)/10^9,0)</f>
        <v>0</v>
      </c>
      <c r="AS208" s="105">
        <f>IF($AA$14&gt;0,'Assumptions (Coal)'!AN10*Model!$AA$14*AVERAGE('Assumptions (Coal)'!$T$2:$Y$2)/10^9,0)</f>
        <v>0</v>
      </c>
      <c r="AT208" s="105">
        <f>IF($AA$14&gt;0,'Assumptions (Coal)'!AO10*Model!$AA$14*AVERAGE('Assumptions (Coal)'!$T$2:$Y$2)/10^9,0)</f>
        <v>0</v>
      </c>
      <c r="AU208" s="105">
        <f>IF($AA$14&gt;0,'Assumptions (Coal)'!AP10*Model!$AA$14*AVERAGE('Assumptions (Coal)'!$T$2:$Y$2)/10^9,0)</f>
        <v>0</v>
      </c>
      <c r="AV208" s="105"/>
      <c r="AW208" s="105"/>
      <c r="AX208" s="105"/>
      <c r="AY208" s="105"/>
      <c r="AZ208" s="105"/>
      <c r="BA208" s="105"/>
    </row>
    <row r="209" spans="1:67" ht="15.75" hidden="1" customHeight="1" outlineLevel="1">
      <c r="A209" s="98"/>
      <c r="B209" s="99"/>
      <c r="C209" s="99"/>
      <c r="D209" s="99"/>
      <c r="E209" s="99"/>
      <c r="F209" s="99"/>
      <c r="G209" s="99"/>
      <c r="H209" s="99"/>
      <c r="I209" s="99"/>
      <c r="J209" s="99"/>
      <c r="K209" s="99"/>
      <c r="L209" s="99"/>
      <c r="M209" s="99"/>
      <c r="N209" s="99"/>
      <c r="O209" s="99"/>
      <c r="P209" s="99"/>
      <c r="Q209" s="99"/>
      <c r="R209" s="99"/>
      <c r="S209" s="99"/>
      <c r="T209" s="99"/>
      <c r="U209" s="99"/>
      <c r="V209" s="99"/>
      <c r="W209" s="105"/>
      <c r="X209" s="105"/>
      <c r="Y209" s="105"/>
      <c r="Z209" s="105"/>
      <c r="AA209" s="105"/>
      <c r="AB209" s="105">
        <f>IF($AB$14&gt;0,'Assumptions (Coal)'!V10*Model!$AB$14*AVERAGE('Assumptions (Coal)'!$U$2:$Z$2)/10^9,0)</f>
        <v>0</v>
      </c>
      <c r="AC209" s="105">
        <f>IF($AB$14&gt;0,'Assumptions (Coal)'!W10*Model!$AB$14*AVERAGE('Assumptions (Coal)'!$U$2:$Z$2)/10^9,0)</f>
        <v>0</v>
      </c>
      <c r="AD209" s="105">
        <f>IF($AB$14&gt;0,'Assumptions (Coal)'!X10*Model!$AB$14*AVERAGE('Assumptions (Coal)'!$U$2:$Z$2)/10^9,0)</f>
        <v>0</v>
      </c>
      <c r="AE209" s="105">
        <f>IF($AB$14&gt;0,'Assumptions (Coal)'!Y10*Model!$AB$14*AVERAGE('Assumptions (Coal)'!$U$2:$Z$2)/10^9,0)</f>
        <v>0</v>
      </c>
      <c r="AF209" s="105">
        <f>IF($AB$14&gt;0,'Assumptions (Coal)'!Z10*Model!$AB$14*AVERAGE('Assumptions (Coal)'!$U$2:$Z$2)/10^9,0)</f>
        <v>0</v>
      </c>
      <c r="AG209" s="105">
        <f>IF($AB$14&gt;0,'Assumptions (Coal)'!AA10*Model!$AB$14*AVERAGE('Assumptions (Coal)'!$U$2:$Z$2)/10^9,0)</f>
        <v>0</v>
      </c>
      <c r="AH209" s="105">
        <f>IF($AB$14&gt;0,'Assumptions (Coal)'!AB10*Model!$AB$14*AVERAGE('Assumptions (Coal)'!$U$2:$Z$2)/10^9,0)</f>
        <v>0</v>
      </c>
      <c r="AI209" s="105">
        <f>IF($AB$14&gt;0,'Assumptions (Coal)'!AC10*Model!$AB$14*AVERAGE('Assumptions (Coal)'!$U$2:$Z$2)/10^9,0)</f>
        <v>0</v>
      </c>
      <c r="AJ209" s="105">
        <f>IF($AB$14&gt;0,'Assumptions (Coal)'!AD10*Model!$AB$14*AVERAGE('Assumptions (Coal)'!$U$2:$Z$2)/10^9,0)</f>
        <v>0</v>
      </c>
      <c r="AK209" s="105">
        <f>IF($AB$14&gt;0,'Assumptions (Coal)'!AE10*Model!$AB$14*AVERAGE('Assumptions (Coal)'!$U$2:$Z$2)/10^9,0)</f>
        <v>0</v>
      </c>
      <c r="AL209" s="105">
        <f>IF($AB$14&gt;0,'Assumptions (Coal)'!AF10*Model!$AB$14*AVERAGE('Assumptions (Coal)'!$U$2:$Z$2)/10^9,0)</f>
        <v>0</v>
      </c>
      <c r="AM209" s="105">
        <f>IF($AB$14&gt;0,'Assumptions (Coal)'!AG10*Model!$AB$14*AVERAGE('Assumptions (Coal)'!$U$2:$Z$2)/10^9,0)</f>
        <v>0</v>
      </c>
      <c r="AN209" s="105">
        <f>IF($AB$14&gt;0,'Assumptions (Coal)'!AH10*Model!$AB$14*AVERAGE('Assumptions (Coal)'!$U$2:$Z$2)/10^9,0)</f>
        <v>0</v>
      </c>
      <c r="AO209" s="105">
        <f>IF($AB$14&gt;0,'Assumptions (Coal)'!AI10*Model!$AB$14*AVERAGE('Assumptions (Coal)'!$U$2:$Z$2)/10^9,0)</f>
        <v>0</v>
      </c>
      <c r="AP209" s="105">
        <f>IF($AB$14&gt;0,'Assumptions (Coal)'!AJ10*Model!$AB$14*AVERAGE('Assumptions (Coal)'!$U$2:$Z$2)/10^9,0)</f>
        <v>0</v>
      </c>
      <c r="AQ209" s="105">
        <f>IF($AB$14&gt;0,'Assumptions (Coal)'!AK10*Model!$AB$14*AVERAGE('Assumptions (Coal)'!$U$2:$Z$2)/10^9,0)</f>
        <v>0</v>
      </c>
      <c r="AR209" s="105">
        <f>IF($AB$14&gt;0,'Assumptions (Coal)'!AL10*Model!$AB$14*AVERAGE('Assumptions (Coal)'!$U$2:$Z$2)/10^9,0)</f>
        <v>0</v>
      </c>
      <c r="AS209" s="105">
        <f>IF($AB$14&gt;0,'Assumptions (Coal)'!AM10*Model!$AB$14*AVERAGE('Assumptions (Coal)'!$U$2:$Z$2)/10^9,0)</f>
        <v>0</v>
      </c>
      <c r="AT209" s="105">
        <f>IF($AB$14&gt;0,'Assumptions (Coal)'!AN10*Model!$AB$14*AVERAGE('Assumptions (Coal)'!$U$2:$Z$2)/10^9,0)</f>
        <v>0</v>
      </c>
      <c r="AU209" s="105">
        <f>IF($AB$14&gt;0,'Assumptions (Coal)'!AO10*Model!$AB$14*AVERAGE('Assumptions (Coal)'!$U$2:$Z$2)/10^9,0)</f>
        <v>0</v>
      </c>
      <c r="AV209" s="105">
        <f>IF($AB$14&gt;0,'Assumptions (Coal)'!AP10*Model!$AB$14*AVERAGE('Assumptions (Coal)'!$U$2:$Z$2)/10^9,0)</f>
        <v>0</v>
      </c>
      <c r="AW209" s="105"/>
      <c r="AX209" s="105"/>
      <c r="AY209" s="105"/>
      <c r="AZ209" s="105"/>
      <c r="BA209" s="105"/>
    </row>
    <row r="210" spans="1:67" ht="15.75" hidden="1" customHeight="1" outlineLevel="1">
      <c r="A210" s="98"/>
      <c r="B210" s="99"/>
      <c r="C210" s="99"/>
      <c r="D210" s="99"/>
      <c r="E210" s="99"/>
      <c r="F210" s="99"/>
      <c r="G210" s="99"/>
      <c r="H210" s="99"/>
      <c r="I210" s="99"/>
      <c r="J210" s="99"/>
      <c r="K210" s="99"/>
      <c r="L210" s="99"/>
      <c r="M210" s="99"/>
      <c r="N210" s="99"/>
      <c r="O210" s="99"/>
      <c r="P210" s="99"/>
      <c r="Q210" s="99"/>
      <c r="R210" s="99"/>
      <c r="S210" s="99"/>
      <c r="T210" s="99"/>
      <c r="U210" s="99"/>
      <c r="V210" s="99"/>
      <c r="W210" s="105"/>
      <c r="X210" s="105"/>
      <c r="Y210" s="105"/>
      <c r="Z210" s="105"/>
      <c r="AA210" s="105"/>
      <c r="AB210" s="105"/>
      <c r="AC210" s="105">
        <f>IF($AC$14&gt;0,'Assumptions (Coal)'!V10*Model!$AC$14*AVERAGE('Assumptions (Coal)'!$V$2:$AA$2)/10^9,0)</f>
        <v>0</v>
      </c>
      <c r="AD210" s="105">
        <f>IF($AC$14&gt;0,'Assumptions (Coal)'!W10*Model!$AC$14*AVERAGE('Assumptions (Coal)'!$V$2:$AA$2)/10^9,0)</f>
        <v>0</v>
      </c>
      <c r="AE210" s="105">
        <f>IF($AC$14&gt;0,'Assumptions (Coal)'!X10*Model!$AC$14*AVERAGE('Assumptions (Coal)'!$V$2:$AA$2)/10^9,0)</f>
        <v>0</v>
      </c>
      <c r="AF210" s="105">
        <f>IF($AC$14&gt;0,'Assumptions (Coal)'!Y10*Model!$AC$14*AVERAGE('Assumptions (Coal)'!$V$2:$AA$2)/10^9,0)</f>
        <v>0</v>
      </c>
      <c r="AG210" s="105">
        <f>IF($AC$14&gt;0,'Assumptions (Coal)'!Z10*Model!$AC$14*AVERAGE('Assumptions (Coal)'!$V$2:$AA$2)/10^9,0)</f>
        <v>0</v>
      </c>
      <c r="AH210" s="105">
        <f>IF($AC$14&gt;0,'Assumptions (Coal)'!AA10*Model!$AC$14*AVERAGE('Assumptions (Coal)'!$V$2:$AA$2)/10^9,0)</f>
        <v>0</v>
      </c>
      <c r="AI210" s="105">
        <f>IF($AC$14&gt;0,'Assumptions (Coal)'!AB10*Model!$AC$14*AVERAGE('Assumptions (Coal)'!$V$2:$AA$2)/10^9,0)</f>
        <v>0</v>
      </c>
      <c r="AJ210" s="105">
        <f>IF($AC$14&gt;0,'Assumptions (Coal)'!AC10*Model!$AC$14*AVERAGE('Assumptions (Coal)'!$V$2:$AA$2)/10^9,0)</f>
        <v>0</v>
      </c>
      <c r="AK210" s="105">
        <f>IF($AC$14&gt;0,'Assumptions (Coal)'!AD10*Model!$AC$14*AVERAGE('Assumptions (Coal)'!$V$2:$AA$2)/10^9,0)</f>
        <v>0</v>
      </c>
      <c r="AL210" s="105">
        <f>IF($AC$14&gt;0,'Assumptions (Coal)'!AE10*Model!$AC$14*AVERAGE('Assumptions (Coal)'!$V$2:$AA$2)/10^9,0)</f>
        <v>0</v>
      </c>
      <c r="AM210" s="105">
        <f>IF($AC$14&gt;0,'Assumptions (Coal)'!AF10*Model!$AC$14*AVERAGE('Assumptions (Coal)'!$V$2:$AA$2)/10^9,0)</f>
        <v>0</v>
      </c>
      <c r="AN210" s="105">
        <f>IF($AC$14&gt;0,'Assumptions (Coal)'!AG10*Model!$AC$14*AVERAGE('Assumptions (Coal)'!$V$2:$AA$2)/10^9,0)</f>
        <v>0</v>
      </c>
      <c r="AO210" s="105">
        <f>IF($AC$14&gt;0,'Assumptions (Coal)'!AH10*Model!$AC$14*AVERAGE('Assumptions (Coal)'!$V$2:$AA$2)/10^9,0)</f>
        <v>0</v>
      </c>
      <c r="AP210" s="105">
        <f>IF($AC$14&gt;0,'Assumptions (Coal)'!AI10*Model!$AC$14*AVERAGE('Assumptions (Coal)'!$V$2:$AA$2)/10^9,0)</f>
        <v>0</v>
      </c>
      <c r="AQ210" s="105">
        <f>IF($AC$14&gt;0,'Assumptions (Coal)'!AJ10*Model!$AC$14*AVERAGE('Assumptions (Coal)'!$V$2:$AA$2)/10^9,0)</f>
        <v>0</v>
      </c>
      <c r="AR210" s="105">
        <f>IF($AC$14&gt;0,'Assumptions (Coal)'!AK10*Model!$AC$14*AVERAGE('Assumptions (Coal)'!$V$2:$AA$2)/10^9,0)</f>
        <v>0</v>
      </c>
      <c r="AS210" s="105">
        <f>IF($AC$14&gt;0,'Assumptions (Coal)'!AL10*Model!$AC$14*AVERAGE('Assumptions (Coal)'!$V$2:$AA$2)/10^9,0)</f>
        <v>0</v>
      </c>
      <c r="AT210" s="105">
        <f>IF($AC$14&gt;0,'Assumptions (Coal)'!AM10*Model!$AC$14*AVERAGE('Assumptions (Coal)'!$V$2:$AA$2)/10^9,0)</f>
        <v>0</v>
      </c>
      <c r="AU210" s="105">
        <f>IF($AC$14&gt;0,'Assumptions (Coal)'!AN10*Model!$AC$14*AVERAGE('Assumptions (Coal)'!$V$2:$AA$2)/10^9,0)</f>
        <v>0</v>
      </c>
      <c r="AV210" s="105">
        <f>IF($AC$14&gt;0,'Assumptions (Coal)'!AO10*Model!$AC$14*AVERAGE('Assumptions (Coal)'!$V$2:$AA$2)/10^9,0)</f>
        <v>0</v>
      </c>
      <c r="AW210" s="105">
        <f>IF($AC$14&gt;0,'Assumptions (Coal)'!AP10*Model!$AC$14*AVERAGE('Assumptions (Coal)'!$V$2:$AA$2)/10^9,0)</f>
        <v>0</v>
      </c>
      <c r="AX210" s="105"/>
      <c r="AY210" s="105"/>
      <c r="AZ210" s="105"/>
      <c r="BA210" s="105"/>
    </row>
    <row r="211" spans="1:67" ht="15.75" hidden="1" customHeight="1" outlineLevel="1">
      <c r="A211" s="98"/>
      <c r="B211" s="99"/>
      <c r="C211" s="99"/>
      <c r="D211" s="99"/>
      <c r="E211" s="99"/>
      <c r="F211" s="99"/>
      <c r="G211" s="99"/>
      <c r="H211" s="99"/>
      <c r="I211" s="99"/>
      <c r="J211" s="99"/>
      <c r="K211" s="99"/>
      <c r="L211" s="99"/>
      <c r="M211" s="99"/>
      <c r="N211" s="99"/>
      <c r="O211" s="99"/>
      <c r="P211" s="99"/>
      <c r="Q211" s="99"/>
      <c r="R211" s="99"/>
      <c r="S211" s="99"/>
      <c r="T211" s="99"/>
      <c r="U211" s="99"/>
      <c r="V211" s="99"/>
      <c r="W211" s="105"/>
      <c r="X211" s="105"/>
      <c r="Y211" s="105"/>
      <c r="Z211" s="105"/>
      <c r="AA211" s="105"/>
      <c r="AB211" s="105"/>
      <c r="AC211" s="105"/>
      <c r="AD211" s="105">
        <f>IF($AD$14&gt;0,'Assumptions (Coal)'!V10*Model!$AD$14*AVERAGE('Assumptions (Coal)'!$W$2:$AB$2)/10^9,0)</f>
        <v>0</v>
      </c>
      <c r="AE211" s="105">
        <f>IF($AD$14&gt;0,'Assumptions (Coal)'!W10*Model!$AD$14*AVERAGE('Assumptions (Coal)'!$W$2:$AB$2)/10^9,0)</f>
        <v>0</v>
      </c>
      <c r="AF211" s="105">
        <f>IF($AD$14&gt;0,'Assumptions (Coal)'!X10*Model!$AD$14*AVERAGE('Assumptions (Coal)'!$W$2:$AB$2)/10^9,0)</f>
        <v>0</v>
      </c>
      <c r="AG211" s="105">
        <f>IF($AD$14&gt;0,'Assumptions (Coal)'!Y10*Model!$AD$14*AVERAGE('Assumptions (Coal)'!$W$2:$AB$2)/10^9,0)</f>
        <v>0</v>
      </c>
      <c r="AH211" s="105">
        <f>IF($AD$14&gt;0,'Assumptions (Coal)'!Z10*Model!$AD$14*AVERAGE('Assumptions (Coal)'!$W$2:$AB$2)/10^9,0)</f>
        <v>0</v>
      </c>
      <c r="AI211" s="105">
        <f>IF($AD$14&gt;0,'Assumptions (Coal)'!AA10*Model!$AD$14*AVERAGE('Assumptions (Coal)'!$W$2:$AB$2)/10^9,0)</f>
        <v>0</v>
      </c>
      <c r="AJ211" s="105">
        <f>IF($AD$14&gt;0,'Assumptions (Coal)'!AB10*Model!$AD$14*AVERAGE('Assumptions (Coal)'!$W$2:$AB$2)/10^9,0)</f>
        <v>0</v>
      </c>
      <c r="AK211" s="105">
        <f>IF($AD$14&gt;0,'Assumptions (Coal)'!AC10*Model!$AD$14*AVERAGE('Assumptions (Coal)'!$W$2:$AB$2)/10^9,0)</f>
        <v>0</v>
      </c>
      <c r="AL211" s="105">
        <f>IF($AD$14&gt;0,'Assumptions (Coal)'!AD10*Model!$AD$14*AVERAGE('Assumptions (Coal)'!$W$2:$AB$2)/10^9,0)</f>
        <v>0</v>
      </c>
      <c r="AM211" s="105">
        <f>IF($AD$14&gt;0,'Assumptions (Coal)'!AE10*Model!$AD$14*AVERAGE('Assumptions (Coal)'!$W$2:$AB$2)/10^9,0)</f>
        <v>0</v>
      </c>
      <c r="AN211" s="105">
        <f>IF($AD$14&gt;0,'Assumptions (Coal)'!AF10*Model!$AD$14*AVERAGE('Assumptions (Coal)'!$W$2:$AB$2)/10^9,0)</f>
        <v>0</v>
      </c>
      <c r="AO211" s="105">
        <f>IF($AD$14&gt;0,'Assumptions (Coal)'!AG10*Model!$AD$14*AVERAGE('Assumptions (Coal)'!$W$2:$AB$2)/10^9,0)</f>
        <v>0</v>
      </c>
      <c r="AP211" s="105">
        <f>IF($AD$14&gt;0,'Assumptions (Coal)'!AH10*Model!$AD$14*AVERAGE('Assumptions (Coal)'!$W$2:$AB$2)/10^9,0)</f>
        <v>0</v>
      </c>
      <c r="AQ211" s="105">
        <f>IF($AD$14&gt;0,'Assumptions (Coal)'!AI10*Model!$AD$14*AVERAGE('Assumptions (Coal)'!$W$2:$AB$2)/10^9,0)</f>
        <v>0</v>
      </c>
      <c r="AR211" s="105">
        <f>IF($AD$14&gt;0,'Assumptions (Coal)'!AJ10*Model!$AD$14*AVERAGE('Assumptions (Coal)'!$W$2:$AB$2)/10^9,0)</f>
        <v>0</v>
      </c>
      <c r="AS211" s="105">
        <f>IF($AD$14&gt;0,'Assumptions (Coal)'!AK10*Model!$AD$14*AVERAGE('Assumptions (Coal)'!$W$2:$AB$2)/10^9,0)</f>
        <v>0</v>
      </c>
      <c r="AT211" s="105">
        <f>IF($AD$14&gt;0,'Assumptions (Coal)'!AL10*Model!$AD$14*AVERAGE('Assumptions (Coal)'!$W$2:$AB$2)/10^9,0)</f>
        <v>0</v>
      </c>
      <c r="AU211" s="105">
        <f>IF($AD$14&gt;0,'Assumptions (Coal)'!AM10*Model!$AD$14*AVERAGE('Assumptions (Coal)'!$W$2:$AB$2)/10^9,0)</f>
        <v>0</v>
      </c>
      <c r="AV211" s="105">
        <f>IF($AD$14&gt;0,'Assumptions (Coal)'!AN10*Model!$AD$14*AVERAGE('Assumptions (Coal)'!$W$2:$AB$2)/10^9,0)</f>
        <v>0</v>
      </c>
      <c r="AW211" s="105">
        <f>IF($AD$14&gt;0,'Assumptions (Coal)'!AO10*Model!$AD$14*AVERAGE('Assumptions (Coal)'!$W$2:$AB$2)/10^9,0)</f>
        <v>0</v>
      </c>
      <c r="AX211" s="105">
        <f>IF($AD$14&gt;0,'Assumptions (Coal)'!AP10*Model!$AD$14*AVERAGE('Assumptions (Coal)'!$W$2:$AB$2)/10^9,0)</f>
        <v>0</v>
      </c>
      <c r="AY211" s="105"/>
      <c r="AZ211" s="105"/>
      <c r="BA211" s="105"/>
      <c r="BB211" s="105"/>
    </row>
    <row r="212" spans="1:67" ht="15.75" hidden="1" customHeight="1" outlineLevel="1">
      <c r="A212" s="98"/>
      <c r="B212" s="99"/>
      <c r="C212" s="99"/>
      <c r="D212" s="99"/>
      <c r="E212" s="99"/>
      <c r="F212" s="99"/>
      <c r="G212" s="99"/>
      <c r="H212" s="99"/>
      <c r="I212" s="99"/>
      <c r="J212" s="99"/>
      <c r="K212" s="99"/>
      <c r="L212" s="99"/>
      <c r="M212" s="99"/>
      <c r="N212" s="99"/>
      <c r="O212" s="99"/>
      <c r="P212" s="99"/>
      <c r="Q212" s="99"/>
      <c r="R212" s="99"/>
      <c r="S212" s="99"/>
      <c r="T212" s="99"/>
      <c r="U212" s="99"/>
      <c r="V212" s="99"/>
      <c r="W212" s="105"/>
      <c r="X212" s="105"/>
      <c r="Y212" s="105"/>
      <c r="Z212" s="105"/>
      <c r="AA212" s="105"/>
      <c r="AB212" s="105"/>
      <c r="AC212" s="105"/>
      <c r="AD212" s="105"/>
      <c r="AE212" s="105">
        <f>IF($AE$14&gt;0,'Assumptions (Coal)'!V10*Model!$AE$14*AVERAGE('Assumptions (Coal)'!$X$2:$AC$2)/10^9,0)</f>
        <v>0</v>
      </c>
      <c r="AF212" s="105">
        <f>IF($AE$14&gt;0,'Assumptions (Coal)'!W10*Model!$AE$14*AVERAGE('Assumptions (Coal)'!$X$2:$AC$2)/10^9,0)</f>
        <v>0</v>
      </c>
      <c r="AG212" s="105">
        <f>IF($AE$14&gt;0,'Assumptions (Coal)'!X10*Model!$AE$14*AVERAGE('Assumptions (Coal)'!$X$2:$AC$2)/10^9,0)</f>
        <v>0</v>
      </c>
      <c r="AH212" s="105">
        <f>IF($AE$14&gt;0,'Assumptions (Coal)'!Y10*Model!$AE$14*AVERAGE('Assumptions (Coal)'!$X$2:$AC$2)/10^9,0)</f>
        <v>0</v>
      </c>
      <c r="AI212" s="105">
        <f>IF($AE$14&gt;0,'Assumptions (Coal)'!Z10*Model!$AE$14*AVERAGE('Assumptions (Coal)'!$X$2:$AC$2)/10^9,0)</f>
        <v>0</v>
      </c>
      <c r="AJ212" s="105">
        <f>IF($AE$14&gt;0,'Assumptions (Coal)'!AA10*Model!$AE$14*AVERAGE('Assumptions (Coal)'!$X$2:$AC$2)/10^9,0)</f>
        <v>0</v>
      </c>
      <c r="AK212" s="105">
        <f>IF($AE$14&gt;0,'Assumptions (Coal)'!AB10*Model!$AE$14*AVERAGE('Assumptions (Coal)'!$X$2:$AC$2)/10^9,0)</f>
        <v>0</v>
      </c>
      <c r="AL212" s="105">
        <f>IF($AE$14&gt;0,'Assumptions (Coal)'!AC10*Model!$AE$14*AVERAGE('Assumptions (Coal)'!$X$2:$AC$2)/10^9,0)</f>
        <v>0</v>
      </c>
      <c r="AM212" s="105">
        <f>IF($AE$14&gt;0,'Assumptions (Coal)'!AD10*Model!$AE$14*AVERAGE('Assumptions (Coal)'!$X$2:$AC$2)/10^9,0)</f>
        <v>0</v>
      </c>
      <c r="AN212" s="105">
        <f>IF($AE$14&gt;0,'Assumptions (Coal)'!AE10*Model!$AE$14*AVERAGE('Assumptions (Coal)'!$X$2:$AC$2)/10^9,0)</f>
        <v>0</v>
      </c>
      <c r="AO212" s="105">
        <f>IF($AE$14&gt;0,'Assumptions (Coal)'!AF10*Model!$AE$14*AVERAGE('Assumptions (Coal)'!$X$2:$AC$2)/10^9,0)</f>
        <v>0</v>
      </c>
      <c r="AP212" s="105">
        <f>IF($AE$14&gt;0,'Assumptions (Coal)'!AG10*Model!$AE$14*AVERAGE('Assumptions (Coal)'!$X$2:$AC$2)/10^9,0)</f>
        <v>0</v>
      </c>
      <c r="AQ212" s="105">
        <f>IF($AE$14&gt;0,'Assumptions (Coal)'!AH10*Model!$AE$14*AVERAGE('Assumptions (Coal)'!$X$2:$AC$2)/10^9,0)</f>
        <v>0</v>
      </c>
      <c r="AR212" s="105">
        <f>IF($AE$14&gt;0,'Assumptions (Coal)'!AI10*Model!$AE$14*AVERAGE('Assumptions (Coal)'!$X$2:$AC$2)/10^9,0)</f>
        <v>0</v>
      </c>
      <c r="AS212" s="105">
        <f>IF($AE$14&gt;0,'Assumptions (Coal)'!AJ10*Model!$AE$14*AVERAGE('Assumptions (Coal)'!$X$2:$AC$2)/10^9,0)</f>
        <v>0</v>
      </c>
      <c r="AT212" s="105">
        <f>IF($AE$14&gt;0,'Assumptions (Coal)'!AK10*Model!$AE$14*AVERAGE('Assumptions (Coal)'!$X$2:$AC$2)/10^9,0)</f>
        <v>0</v>
      </c>
      <c r="AU212" s="105">
        <f>IF($AE$14&gt;0,'Assumptions (Coal)'!AL10*Model!$AE$14*AVERAGE('Assumptions (Coal)'!$X$2:$AC$2)/10^9,0)</f>
        <v>0</v>
      </c>
      <c r="AV212" s="105">
        <f>IF($AE$14&gt;0,'Assumptions (Coal)'!AM10*Model!$AE$14*AVERAGE('Assumptions (Coal)'!$X$2:$AC$2)/10^9,0)</f>
        <v>0</v>
      </c>
      <c r="AW212" s="105">
        <f>IF($AE$14&gt;0,'Assumptions (Coal)'!AN10*Model!$AE$14*AVERAGE('Assumptions (Coal)'!$X$2:$AC$2)/10^9,0)</f>
        <v>0</v>
      </c>
      <c r="AX212" s="105">
        <f>IF($AE$14&gt;0,'Assumptions (Coal)'!AO10*Model!$AE$14*AVERAGE('Assumptions (Coal)'!$X$2:$AC$2)/10^9,0)</f>
        <v>0</v>
      </c>
      <c r="AY212" s="105">
        <f>IF($AE$14&gt;0,'Assumptions (Coal)'!AP10*Model!$AE$14*AVERAGE('Assumptions (Coal)'!$X$2:$AC$2)/10^9,0)</f>
        <v>0</v>
      </c>
      <c r="AZ212" s="105"/>
      <c r="BA212" s="105"/>
      <c r="BB212" s="105"/>
      <c r="BC212" s="105"/>
    </row>
    <row r="213" spans="1:67" ht="15.75" hidden="1" customHeight="1" outlineLevel="1">
      <c r="A213" s="98"/>
      <c r="B213" s="99"/>
      <c r="C213" s="99"/>
      <c r="D213" s="99"/>
      <c r="E213" s="99"/>
      <c r="F213" s="99"/>
      <c r="G213" s="99"/>
      <c r="H213" s="99"/>
      <c r="I213" s="99"/>
      <c r="J213" s="99"/>
      <c r="K213" s="99"/>
      <c r="L213" s="99"/>
      <c r="M213" s="99"/>
      <c r="N213" s="99"/>
      <c r="O213" s="99"/>
      <c r="P213" s="99"/>
      <c r="Q213" s="99"/>
      <c r="R213" s="99"/>
      <c r="S213" s="99"/>
      <c r="T213" s="99"/>
      <c r="U213" s="99"/>
      <c r="V213" s="99"/>
      <c r="W213" s="105"/>
      <c r="X213" s="105"/>
      <c r="Y213" s="105"/>
      <c r="Z213" s="105"/>
      <c r="AA213" s="105"/>
      <c r="AB213" s="105"/>
      <c r="AC213" s="105"/>
      <c r="AD213" s="105"/>
      <c r="AE213" s="105"/>
      <c r="AF213" s="105">
        <f>IF($AF$14&gt;0,'Assumptions (Coal)'!V10*Model!$AF$14*AVERAGE('Assumptions (Coal)'!$Y$2:$AD$2)/10^9,0)</f>
        <v>0</v>
      </c>
      <c r="AG213" s="105">
        <f>IF($AF$14&gt;0,'Assumptions (Coal)'!W10*Model!$AF$14*AVERAGE('Assumptions (Coal)'!$Y$2:$AD$2)/10^9,0)</f>
        <v>0</v>
      </c>
      <c r="AH213" s="105">
        <f>IF($AF$14&gt;0,'Assumptions (Coal)'!X10*Model!$AF$14*AVERAGE('Assumptions (Coal)'!$Y$2:$AD$2)/10^9,0)</f>
        <v>0</v>
      </c>
      <c r="AI213" s="105">
        <f>IF($AF$14&gt;0,'Assumptions (Coal)'!Y10*Model!$AF$14*AVERAGE('Assumptions (Coal)'!$Y$2:$AD$2)/10^9,0)</f>
        <v>0</v>
      </c>
      <c r="AJ213" s="105">
        <f>IF($AF$14&gt;0,'Assumptions (Coal)'!Z10*Model!$AF$14*AVERAGE('Assumptions (Coal)'!$Y$2:$AD$2)/10^9,0)</f>
        <v>0</v>
      </c>
      <c r="AK213" s="105">
        <f>IF($AF$14&gt;0,'Assumptions (Coal)'!AA10*Model!$AF$14*AVERAGE('Assumptions (Coal)'!$Y$2:$AD$2)/10^9,0)</f>
        <v>0</v>
      </c>
      <c r="AL213" s="105">
        <f>IF($AF$14&gt;0,'Assumptions (Coal)'!AB10*Model!$AF$14*AVERAGE('Assumptions (Coal)'!$Y$2:$AD$2)/10^9,0)</f>
        <v>0</v>
      </c>
      <c r="AM213" s="105">
        <f>IF($AF$14&gt;0,'Assumptions (Coal)'!AC10*Model!$AF$14*AVERAGE('Assumptions (Coal)'!$Y$2:$AD$2)/10^9,0)</f>
        <v>0</v>
      </c>
      <c r="AN213" s="105">
        <f>IF($AF$14&gt;0,'Assumptions (Coal)'!AD10*Model!$AF$14*AVERAGE('Assumptions (Coal)'!$Y$2:$AD$2)/10^9,0)</f>
        <v>0</v>
      </c>
      <c r="AO213" s="105">
        <f>IF($AF$14&gt;0,'Assumptions (Coal)'!AE10*Model!$AF$14*AVERAGE('Assumptions (Coal)'!$Y$2:$AD$2)/10^9,0)</f>
        <v>0</v>
      </c>
      <c r="AP213" s="105">
        <f>IF($AF$14&gt;0,'Assumptions (Coal)'!AF10*Model!$AF$14*AVERAGE('Assumptions (Coal)'!$Y$2:$AD$2)/10^9,0)</f>
        <v>0</v>
      </c>
      <c r="AQ213" s="105">
        <f>IF($AF$14&gt;0,'Assumptions (Coal)'!AG10*Model!$AF$14*AVERAGE('Assumptions (Coal)'!$Y$2:$AD$2)/10^9,0)</f>
        <v>0</v>
      </c>
      <c r="AR213" s="105">
        <f>IF($AF$14&gt;0,'Assumptions (Coal)'!AH10*Model!$AF$14*AVERAGE('Assumptions (Coal)'!$Y$2:$AD$2)/10^9,0)</f>
        <v>0</v>
      </c>
      <c r="AS213" s="105">
        <f>IF($AF$14&gt;0,'Assumptions (Coal)'!AI10*Model!$AF$14*AVERAGE('Assumptions (Coal)'!$Y$2:$AD$2)/10^9,0)</f>
        <v>0</v>
      </c>
      <c r="AT213" s="105">
        <f>IF($AF$14&gt;0,'Assumptions (Coal)'!AJ10*Model!$AF$14*AVERAGE('Assumptions (Coal)'!$Y$2:$AD$2)/10^9,0)</f>
        <v>0</v>
      </c>
      <c r="AU213" s="105">
        <f>IF($AF$14&gt;0,'Assumptions (Coal)'!AK10*Model!$AF$14*AVERAGE('Assumptions (Coal)'!$Y$2:$AD$2)/10^9,0)</f>
        <v>0</v>
      </c>
      <c r="AV213" s="105">
        <f>IF($AF$14&gt;0,'Assumptions (Coal)'!AL10*Model!$AF$14*AVERAGE('Assumptions (Coal)'!$Y$2:$AD$2)/10^9,0)</f>
        <v>0</v>
      </c>
      <c r="AW213" s="105">
        <f>IF($AF$14&gt;0,'Assumptions (Coal)'!AM10*Model!$AF$14*AVERAGE('Assumptions (Coal)'!$Y$2:$AD$2)/10^9,0)</f>
        <v>0</v>
      </c>
      <c r="AX213" s="105">
        <f>IF($AF$14&gt;0,'Assumptions (Coal)'!AN10*Model!$AF$14*AVERAGE('Assumptions (Coal)'!$Y$2:$AD$2)/10^9,0)</f>
        <v>0</v>
      </c>
      <c r="AY213" s="105">
        <f>IF($AF$14&gt;0,'Assumptions (Coal)'!AO10*Model!$AF$14*AVERAGE('Assumptions (Coal)'!$Y$2:$AD$2)/10^9,0)</f>
        <v>0</v>
      </c>
      <c r="AZ213" s="105">
        <f>IF($AF$14&gt;0,'Assumptions (Coal)'!AP10*Model!$AF$14*AVERAGE('Assumptions (Coal)'!$Y$2:$AD$2)/10^9,0)</f>
        <v>0</v>
      </c>
      <c r="BA213" s="105"/>
      <c r="BB213" s="105"/>
      <c r="BC213" s="105"/>
      <c r="BD213" s="105"/>
    </row>
    <row r="214" spans="1:67" ht="15.75" hidden="1" customHeight="1" outlineLevel="1">
      <c r="A214" s="98"/>
      <c r="B214" s="99"/>
      <c r="C214" s="99"/>
      <c r="D214" s="99"/>
      <c r="E214" s="99"/>
      <c r="F214" s="99"/>
      <c r="G214" s="99"/>
      <c r="H214" s="99"/>
      <c r="I214" s="99"/>
      <c r="J214" s="99"/>
      <c r="K214" s="99"/>
      <c r="L214" s="99"/>
      <c r="M214" s="99"/>
      <c r="N214" s="99"/>
      <c r="O214" s="99"/>
      <c r="P214" s="99"/>
      <c r="Q214" s="99"/>
      <c r="R214" s="99"/>
      <c r="S214" s="99"/>
      <c r="T214" s="99"/>
      <c r="U214" s="99"/>
      <c r="V214" s="99"/>
      <c r="W214" s="105"/>
      <c r="X214" s="105"/>
      <c r="Y214" s="105"/>
      <c r="Z214" s="105"/>
      <c r="AA214" s="105"/>
      <c r="AB214" s="105"/>
      <c r="AC214" s="105"/>
      <c r="AD214" s="105"/>
      <c r="AE214" s="105"/>
      <c r="AF214" s="105"/>
      <c r="AG214" s="105">
        <f>IF($AG$14&gt;0,'Assumptions (Coal)'!V10*Model!$AG$14*AVERAGE('Assumptions (Coal)'!$Z$2:$AE$2)/10^9,0)</f>
        <v>0</v>
      </c>
      <c r="AH214" s="105">
        <f>IF($AG$14&gt;0,'Assumptions (Coal)'!W10*Model!$AG$14*AVERAGE('Assumptions (Coal)'!$Z$2:$AE$2)/10^9,0)</f>
        <v>0</v>
      </c>
      <c r="AI214" s="105">
        <f>IF($AG$14&gt;0,'Assumptions (Coal)'!X10*Model!$AG$14*AVERAGE('Assumptions (Coal)'!$Z$2:$AE$2)/10^9,0)</f>
        <v>0</v>
      </c>
      <c r="AJ214" s="105">
        <f>IF($AG$14&gt;0,'Assumptions (Coal)'!Y10*Model!$AG$14*AVERAGE('Assumptions (Coal)'!$Z$2:$AE$2)/10^9,0)</f>
        <v>0</v>
      </c>
      <c r="AK214" s="105">
        <f>IF($AG$14&gt;0,'Assumptions (Coal)'!Z10*Model!$AG$14*AVERAGE('Assumptions (Coal)'!$Z$2:$AE$2)/10^9,0)</f>
        <v>0</v>
      </c>
      <c r="AL214" s="105">
        <f>IF($AG$14&gt;0,'Assumptions (Coal)'!AA10*Model!$AG$14*AVERAGE('Assumptions (Coal)'!$Z$2:$AE$2)/10^9,0)</f>
        <v>0</v>
      </c>
      <c r="AM214" s="105">
        <f>IF($AG$14&gt;0,'Assumptions (Coal)'!AB10*Model!$AG$14*AVERAGE('Assumptions (Coal)'!$Z$2:$AE$2)/10^9,0)</f>
        <v>0</v>
      </c>
      <c r="AN214" s="105">
        <f>IF($AG$14&gt;0,'Assumptions (Coal)'!AC10*Model!$AG$14*AVERAGE('Assumptions (Coal)'!$Z$2:$AE$2)/10^9,0)</f>
        <v>0</v>
      </c>
      <c r="AO214" s="105">
        <f>IF($AG$14&gt;0,'Assumptions (Coal)'!AD10*Model!$AG$14*AVERAGE('Assumptions (Coal)'!$Z$2:$AE$2)/10^9,0)</f>
        <v>0</v>
      </c>
      <c r="AP214" s="105">
        <f>IF($AG$14&gt;0,'Assumptions (Coal)'!AE10*Model!$AG$14*AVERAGE('Assumptions (Coal)'!$Z$2:$AE$2)/10^9,0)</f>
        <v>0</v>
      </c>
      <c r="AQ214" s="105">
        <f>IF($AG$14&gt;0,'Assumptions (Coal)'!AF10*Model!$AG$14*AVERAGE('Assumptions (Coal)'!$Z$2:$AE$2)/10^9,0)</f>
        <v>0</v>
      </c>
      <c r="AR214" s="105">
        <f>IF($AG$14&gt;0,'Assumptions (Coal)'!AG10*Model!$AG$14*AVERAGE('Assumptions (Coal)'!$Z$2:$AE$2)/10^9,0)</f>
        <v>0</v>
      </c>
      <c r="AS214" s="105">
        <f>IF($AG$14&gt;0,'Assumptions (Coal)'!AH10*Model!$AG$14*AVERAGE('Assumptions (Coal)'!$Z$2:$AE$2)/10^9,0)</f>
        <v>0</v>
      </c>
      <c r="AT214" s="105">
        <f>IF($AG$14&gt;0,'Assumptions (Coal)'!AI10*Model!$AG$14*AVERAGE('Assumptions (Coal)'!$Z$2:$AE$2)/10^9,0)</f>
        <v>0</v>
      </c>
      <c r="AU214" s="105">
        <f>IF($AG$14&gt;0,'Assumptions (Coal)'!AJ10*Model!$AG$14*AVERAGE('Assumptions (Coal)'!$Z$2:$AE$2)/10^9,0)</f>
        <v>0</v>
      </c>
      <c r="AV214" s="105">
        <f>IF($AG$14&gt;0,'Assumptions (Coal)'!AK10*Model!$AG$14*AVERAGE('Assumptions (Coal)'!$Z$2:$AE$2)/10^9,0)</f>
        <v>0</v>
      </c>
      <c r="AW214" s="105">
        <f>IF($AG$14&gt;0,'Assumptions (Coal)'!AL10*Model!$AG$14*AVERAGE('Assumptions (Coal)'!$Z$2:$AE$2)/10^9,0)</f>
        <v>0</v>
      </c>
      <c r="AX214" s="105">
        <f>IF($AG$14&gt;0,'Assumptions (Coal)'!AM10*Model!$AG$14*AVERAGE('Assumptions (Coal)'!$Z$2:$AE$2)/10^9,0)</f>
        <v>0</v>
      </c>
      <c r="AY214" s="105">
        <f>IF($AG$14&gt;0,'Assumptions (Coal)'!AN10*Model!$AG$14*AVERAGE('Assumptions (Coal)'!$Z$2:$AE$2)/10^9,0)</f>
        <v>0</v>
      </c>
      <c r="AZ214" s="105">
        <f>IF($AG$14&gt;0,'Assumptions (Coal)'!AO10*Model!$AG$14*AVERAGE('Assumptions (Coal)'!$Z$2:$AE$2)/10^9,0)</f>
        <v>0</v>
      </c>
      <c r="BA214" s="105">
        <f>IF($AG$14&gt;0,'Assumptions (Coal)'!AP10*Model!$AG$14*AVERAGE('Assumptions (Coal)'!$Z$2:$AE$2)/10^9,0)</f>
        <v>0</v>
      </c>
      <c r="BB214" s="105"/>
      <c r="BC214" s="105"/>
      <c r="BD214" s="105"/>
      <c r="BE214" s="105"/>
    </row>
    <row r="215" spans="1:67" ht="15.75" hidden="1" customHeight="1" outlineLevel="1">
      <c r="A215" s="98"/>
      <c r="B215" s="99"/>
      <c r="C215" s="99"/>
      <c r="D215" s="99"/>
      <c r="E215" s="99"/>
      <c r="F215" s="99"/>
      <c r="G215" s="99"/>
      <c r="H215" s="99"/>
      <c r="I215" s="99"/>
      <c r="J215" s="99"/>
      <c r="K215" s="99"/>
      <c r="L215" s="99"/>
      <c r="M215" s="99"/>
      <c r="N215" s="99"/>
      <c r="O215" s="99"/>
      <c r="P215" s="99"/>
      <c r="Q215" s="99"/>
      <c r="R215" s="99"/>
      <c r="S215" s="99"/>
      <c r="T215" s="99"/>
      <c r="U215" s="99"/>
      <c r="V215" s="99"/>
      <c r="W215" s="105"/>
      <c r="X215" s="105"/>
      <c r="Y215" s="105"/>
      <c r="Z215" s="105"/>
      <c r="AA215" s="105"/>
      <c r="AB215" s="105"/>
      <c r="AC215" s="105"/>
      <c r="AD215" s="105"/>
      <c r="AE215" s="105"/>
      <c r="AF215" s="105"/>
      <c r="AG215" s="105"/>
      <c r="AH215" s="105">
        <f>IF($AH$14&gt;0,'Assumptions (Coal)'!V10*Model!$AH$14*AVERAGE('Assumptions (Coal)'!$AA$2:$AF$2)/10^9,0)</f>
        <v>0</v>
      </c>
      <c r="AI215" s="105">
        <f>IF($AH$14&gt;0,'Assumptions (Coal)'!W10*Model!$AH$14*AVERAGE('Assumptions (Coal)'!$AA$2:$AF$2)/10^9,0)</f>
        <v>0</v>
      </c>
      <c r="AJ215" s="105">
        <f>IF($AH$14&gt;0,'Assumptions (Coal)'!X10*Model!$AH$14*AVERAGE('Assumptions (Coal)'!$AA$2:$AF$2)/10^9,0)</f>
        <v>0</v>
      </c>
      <c r="AK215" s="105">
        <f>IF($AH$14&gt;0,'Assumptions (Coal)'!Y10*Model!$AH$14*AVERAGE('Assumptions (Coal)'!$AA$2:$AF$2)/10^9,0)</f>
        <v>0</v>
      </c>
      <c r="AL215" s="105">
        <f>IF($AH$14&gt;0,'Assumptions (Coal)'!Z10*Model!$AH$14*AVERAGE('Assumptions (Coal)'!$AA$2:$AF$2)/10^9,0)</f>
        <v>0</v>
      </c>
      <c r="AM215" s="105">
        <f>IF($AH$14&gt;0,'Assumptions (Coal)'!AA10*Model!$AH$14*AVERAGE('Assumptions (Coal)'!$AA$2:$AF$2)/10^9,0)</f>
        <v>0</v>
      </c>
      <c r="AN215" s="105">
        <f>IF($AH$14&gt;0,'Assumptions (Coal)'!AB10*Model!$AH$14*AVERAGE('Assumptions (Coal)'!$AA$2:$AF$2)/10^9,0)</f>
        <v>0</v>
      </c>
      <c r="AO215" s="105">
        <f>IF($AH$14&gt;0,'Assumptions (Coal)'!AC10*Model!$AH$14*AVERAGE('Assumptions (Coal)'!$AA$2:$AF$2)/10^9,0)</f>
        <v>0</v>
      </c>
      <c r="AP215" s="105">
        <f>IF($AH$14&gt;0,'Assumptions (Coal)'!AD10*Model!$AH$14*AVERAGE('Assumptions (Coal)'!$AA$2:$AF$2)/10^9,0)</f>
        <v>0</v>
      </c>
      <c r="AQ215" s="105">
        <f>IF($AH$14&gt;0,'Assumptions (Coal)'!AE10*Model!$AH$14*AVERAGE('Assumptions (Coal)'!$AA$2:$AF$2)/10^9,0)</f>
        <v>0</v>
      </c>
      <c r="AR215" s="105">
        <f>IF($AH$14&gt;0,'Assumptions (Coal)'!AF10*Model!$AH$14*AVERAGE('Assumptions (Coal)'!$AA$2:$AF$2)/10^9,0)</f>
        <v>0</v>
      </c>
      <c r="AS215" s="105">
        <f>IF($AH$14&gt;0,'Assumptions (Coal)'!AG10*Model!$AH$14*AVERAGE('Assumptions (Coal)'!$AA$2:$AF$2)/10^9,0)</f>
        <v>0</v>
      </c>
      <c r="AT215" s="105">
        <f>IF($AH$14&gt;0,'Assumptions (Coal)'!AH10*Model!$AH$14*AVERAGE('Assumptions (Coal)'!$AA$2:$AF$2)/10^9,0)</f>
        <v>0</v>
      </c>
      <c r="AU215" s="105">
        <f>IF($AH$14&gt;0,'Assumptions (Coal)'!AI10*Model!$AH$14*AVERAGE('Assumptions (Coal)'!$AA$2:$AF$2)/10^9,0)</f>
        <v>0</v>
      </c>
      <c r="AV215" s="105">
        <f>IF($AH$14&gt;0,'Assumptions (Coal)'!AJ10*Model!$AH$14*AVERAGE('Assumptions (Coal)'!$AA$2:$AF$2)/10^9,0)</f>
        <v>0</v>
      </c>
      <c r="AW215" s="105">
        <f>IF($AH$14&gt;0,'Assumptions (Coal)'!AK10*Model!$AH$14*AVERAGE('Assumptions (Coal)'!$AA$2:$AF$2)/10^9,0)</f>
        <v>0</v>
      </c>
      <c r="AX215" s="105">
        <f>IF($AH$14&gt;0,'Assumptions (Coal)'!AL10*Model!$AH$14*AVERAGE('Assumptions (Coal)'!$AA$2:$AF$2)/10^9,0)</f>
        <v>0</v>
      </c>
      <c r="AY215" s="105">
        <f>IF($AH$14&gt;0,'Assumptions (Coal)'!AM10*Model!$AH$14*AVERAGE('Assumptions (Coal)'!$AA$2:$AF$2)/10^9,0)</f>
        <v>0</v>
      </c>
      <c r="AZ215" s="105">
        <f>IF($AH$14&gt;0,'Assumptions (Coal)'!AN10*Model!$AH$14*AVERAGE('Assumptions (Coal)'!$AA$2:$AF$2)/10^9,0)</f>
        <v>0</v>
      </c>
      <c r="BA215" s="105">
        <f>IF($AH$14&gt;0,'Assumptions (Coal)'!AO10*Model!$AH$14*AVERAGE('Assumptions (Coal)'!$AA$2:$AF$2)/10^9,0)</f>
        <v>0</v>
      </c>
      <c r="BB215" s="105">
        <f>IF($AH$14&gt;0,'Assumptions (Coal)'!AP10*Model!$AH$14*AVERAGE('Assumptions (Coal)'!$AA$2:$AF$2)/10^9,0)</f>
        <v>0</v>
      </c>
      <c r="BC215" s="105"/>
      <c r="BD215" s="105"/>
      <c r="BE215" s="105"/>
      <c r="BF215" s="105"/>
    </row>
    <row r="216" spans="1:67" ht="15.75" hidden="1" customHeight="1" outlineLevel="1">
      <c r="A216" s="98"/>
      <c r="B216" s="99"/>
      <c r="C216" s="99"/>
      <c r="D216" s="99"/>
      <c r="E216" s="99"/>
      <c r="F216" s="99"/>
      <c r="G216" s="99"/>
      <c r="H216" s="99"/>
      <c r="I216" s="99"/>
      <c r="J216" s="99"/>
      <c r="K216" s="99"/>
      <c r="L216" s="99"/>
      <c r="M216" s="99"/>
      <c r="N216" s="99"/>
      <c r="O216" s="99"/>
      <c r="P216" s="99"/>
      <c r="Q216" s="99"/>
      <c r="R216" s="99"/>
      <c r="S216" s="99"/>
      <c r="T216" s="99"/>
      <c r="U216" s="99"/>
      <c r="V216" s="99"/>
      <c r="W216" s="105"/>
      <c r="X216" s="105"/>
      <c r="Y216" s="105"/>
      <c r="Z216" s="105"/>
      <c r="AA216" s="105"/>
      <c r="AB216" s="105"/>
      <c r="AC216" s="105"/>
      <c r="AD216" s="105"/>
      <c r="AE216" s="105"/>
      <c r="AF216" s="105"/>
      <c r="AG216" s="105"/>
      <c r="AH216" s="105"/>
      <c r="AI216" s="105">
        <f>IF($AI$14&gt;0,'Assumptions (Coal)'!V10*Model!$AI$14*AVERAGE('Assumptions (Coal)'!$AB$2:$AG$2)/10^9,0)</f>
        <v>3.8683497006532008E-2</v>
      </c>
      <c r="AJ216" s="105">
        <f>IF($AI$14&gt;0,'Assumptions (Coal)'!W10*Model!$AI$14*AVERAGE('Assumptions (Coal)'!$AB$2:$AG$2)/10^9,0)</f>
        <v>7.4468310637374552E-2</v>
      </c>
      <c r="AK216" s="105">
        <f>IF($AI$14&gt;0,'Assumptions (Coal)'!X10*Model!$AI$14*AVERAGE('Assumptions (Coal)'!$AB$2:$AG$2)/10^9,0)</f>
        <v>6.8877255870030449E-2</v>
      </c>
      <c r="AL216" s="105">
        <f>IF($AI$14&gt;0,'Assumptions (Coal)'!Y10*Model!$AI$14*AVERAGE('Assumptions (Coal)'!$AB$2:$AG$2)/10^9,0)</f>
        <v>6.3719456269159522E-2</v>
      </c>
      <c r="AM216" s="105">
        <f>IF($AI$14&gt;0,'Assumptions (Coal)'!Z10*Model!$AI$14*AVERAGE('Assumptions (Coal)'!$AB$2:$AG$2)/10^9,0)</f>
        <v>5.8933018239551299E-2</v>
      </c>
      <c r="AN216" s="105">
        <f>IF($AI$14&gt;0,'Assumptions (Coal)'!AA10*Model!$AI$14*AVERAGE('Assumptions (Coal)'!$AB$2:$AG$2)/10^9,0)</f>
        <v>5.4517941781205774E-2</v>
      </c>
      <c r="AO216" s="105">
        <f>IF($AI$14&gt;0,'Assumptions (Coal)'!AB10*Model!$AI$14*AVERAGE('Assumptions (Coal)'!$AB$2:$AG$2)/10^9,0)</f>
        <v>5.0422648898114257E-2</v>
      </c>
      <c r="AP216" s="105">
        <f>IF($AI$14&gt;0,'Assumptions (Coal)'!AC10*Model!$AI$14*AVERAGE('Assumptions (Coal)'!$AB$2:$AG$2)/10^9,0)</f>
        <v>4.6647139590276734E-2</v>
      </c>
      <c r="AQ216" s="105">
        <f>IF($AI$14&gt;0,'Assumptions (Coal)'!AD10*Model!$AI$14*AVERAGE('Assumptions (Coal)'!$AB$2:$AG$2)/10^9,0)</f>
        <v>4.602820363817222E-2</v>
      </c>
      <c r="AR216" s="105">
        <f>IF($AI$14&gt;0,'Assumptions (Coal)'!AE10*Model!$AI$14*AVERAGE('Assumptions (Coal)'!$AB$2:$AG$2)/10^9,0)</f>
        <v>4.6017888038970473E-2</v>
      </c>
      <c r="AS216" s="105">
        <f>IF($AI$14&gt;0,'Assumptions (Coal)'!AF10*Model!$AI$14*AVERAGE('Assumptions (Coal)'!$AB$2:$AG$2)/10^9,0)</f>
        <v>4.602820363817222E-2</v>
      </c>
      <c r="AT216" s="105">
        <f>IF($AI$14&gt;0,'Assumptions (Coal)'!AG10*Model!$AI$14*AVERAGE('Assumptions (Coal)'!$AB$2:$AG$2)/10^9,0)</f>
        <v>4.6017888038970473E-2</v>
      </c>
      <c r="AU216" s="105">
        <f>IF($AI$14&gt;0,'Assumptions (Coal)'!AH10*Model!$AI$14*AVERAGE('Assumptions (Coal)'!$AB$2:$AG$2)/10^9,0)</f>
        <v>4.602820363817222E-2</v>
      </c>
      <c r="AV216" s="105">
        <f>IF($AI$14&gt;0,'Assumptions (Coal)'!AI10*Model!$AI$14*AVERAGE('Assumptions (Coal)'!$AB$2:$AG$2)/10^9,0)</f>
        <v>4.6017888038970473E-2</v>
      </c>
      <c r="AW216" s="105">
        <f>IF($AI$14&gt;0,'Assumptions (Coal)'!AJ10*Model!$AI$14*AVERAGE('Assumptions (Coal)'!$AB$2:$AG$2)/10^9,0)</f>
        <v>4.602820363817222E-2</v>
      </c>
      <c r="AX216" s="105">
        <f>IF($AI$14&gt;0,'Assumptions (Coal)'!AK10*Model!$AI$14*AVERAGE('Assumptions (Coal)'!$AB$2:$AG$2)/10^9,0)</f>
        <v>4.6017888038970473E-2</v>
      </c>
      <c r="AY216" s="105">
        <f>IF($AI$14&gt;0,'Assumptions (Coal)'!AL10*Model!$AI$14*AVERAGE('Assumptions (Coal)'!$AB$2:$AG$2)/10^9,0)</f>
        <v>4.602820363817222E-2</v>
      </c>
      <c r="AZ216" s="105">
        <f>IF($AI$14&gt;0,'Assumptions (Coal)'!AM10*Model!$AI$14*AVERAGE('Assumptions (Coal)'!$AB$2:$AG$2)/10^9,0)</f>
        <v>4.6017888038970473E-2</v>
      </c>
      <c r="BA216" s="105">
        <f>IF($AI$14&gt;0,'Assumptions (Coal)'!AN10*Model!$AI$14*AVERAGE('Assumptions (Coal)'!$AB$2:$AG$2)/10^9,0)</f>
        <v>4.602820363817222E-2</v>
      </c>
      <c r="BB216" s="105">
        <f>IF($AI$14&gt;0,'Assumptions (Coal)'!AO10*Model!$AI$14*AVERAGE('Assumptions (Coal)'!$AB$2:$AG$2)/10^9,0)</f>
        <v>4.6017888038970473E-2</v>
      </c>
      <c r="BC216" s="105">
        <f>IF($AI$14&gt;0,'Assumptions (Coal)'!AP10*Model!$AI$14*AVERAGE('Assumptions (Coal)'!$AB$2:$AG$2)/10^9,0)</f>
        <v>2.301410181908611E-2</v>
      </c>
      <c r="BD216" s="105"/>
      <c r="BE216" s="105"/>
      <c r="BF216" s="105"/>
      <c r="BG216" s="105"/>
    </row>
    <row r="217" spans="1:67" ht="15.75" hidden="1" customHeight="1" outlineLevel="1">
      <c r="A217" s="98"/>
      <c r="B217" s="99"/>
      <c r="C217" s="99"/>
      <c r="D217" s="99"/>
      <c r="E217" s="99"/>
      <c r="F217" s="99"/>
      <c r="G217" s="99"/>
      <c r="H217" s="99"/>
      <c r="I217" s="99"/>
      <c r="J217" s="99"/>
      <c r="K217" s="99"/>
      <c r="L217" s="99"/>
      <c r="M217" s="99"/>
      <c r="N217" s="99"/>
      <c r="O217" s="99"/>
      <c r="P217" s="99"/>
      <c r="Q217" s="99"/>
      <c r="R217" s="99"/>
      <c r="S217" s="99"/>
      <c r="T217" s="99"/>
      <c r="U217" s="99"/>
      <c r="V217" s="99"/>
      <c r="W217" s="105"/>
      <c r="X217" s="105"/>
      <c r="Y217" s="105"/>
      <c r="Z217" s="105"/>
      <c r="AA217" s="105"/>
      <c r="AB217" s="91"/>
      <c r="AC217" s="105"/>
      <c r="AD217" s="105"/>
      <c r="AE217" s="105"/>
      <c r="AF217" s="105"/>
      <c r="AG217" s="105"/>
      <c r="AH217" s="105"/>
      <c r="AI217" s="105"/>
      <c r="AJ217" s="91">
        <f>IF($AJ$14&gt;0,'Assumptions (Coal)'!V10*Model!$AJ$14*AVERAGE('Assumptions (Coal)'!$AC$2:$AH$2)/10^9,0)</f>
        <v>0.46649432336188262</v>
      </c>
      <c r="AK217" s="105">
        <f>IF($AJ$14&gt;0,'Assumptions (Coal)'!W10*Model!$AJ$14*AVERAGE('Assumptions (Coal)'!$AC$2:$AH$2)/10^9,0)</f>
        <v>0.89803267209318172</v>
      </c>
      <c r="AL217" s="91">
        <f>IF($AJ$14&gt;0,'Assumptions (Coal)'!X10*Model!$AJ$14*AVERAGE('Assumptions (Coal)'!$AC$2:$AH$2)/10^9,0)</f>
        <v>0.83060869255661085</v>
      </c>
      <c r="AM217" s="91">
        <f>IF($AJ$14&gt;0,'Assumptions (Coal)'!Y10*Model!$AJ$14*AVERAGE('Assumptions (Coal)'!$AC$2:$AH$2)/10^9,0)</f>
        <v>0.76840944944169309</v>
      </c>
      <c r="AN217" s="91">
        <f>IF($AJ$14&gt;0,'Assumptions (Coal)'!Z10*Model!$AJ$14*AVERAGE('Assumptions (Coal)'!$AC$2:$AH$2)/10^9,0)</f>
        <v>0.71068855183104951</v>
      </c>
      <c r="AO217" s="91">
        <f>IF($AJ$14&gt;0,'Assumptions (Coal)'!AA10*Model!$AJ$14*AVERAGE('Assumptions (Coal)'!$AC$2:$AH$2)/10^9,0)</f>
        <v>0.65744599972467999</v>
      </c>
      <c r="AP217" s="91">
        <f>IF($AJ$14&gt;0,'Assumptions (Coal)'!AB10*Model!$AJ$14*AVERAGE('Assumptions (Coal)'!$AC$2:$AH$2)/10^9,0)</f>
        <v>0.60805980069143528</v>
      </c>
      <c r="AQ217" s="91">
        <f>IF($AJ$14&gt;0,'Assumptions (Coal)'!AC10*Model!$AJ$14*AVERAGE('Assumptions (Coal)'!$AC$2:$AH$2)/10^9,0)</f>
        <v>0.56252995473131562</v>
      </c>
      <c r="AR217" s="91">
        <f>IF($AJ$14&gt;0,'Assumptions (Coal)'!AD10*Model!$AJ$14*AVERAGE('Assumptions (Coal)'!$AC$2:$AH$2)/10^9,0)</f>
        <v>0.55506604555752537</v>
      </c>
      <c r="AS217" s="91">
        <f>IF($AJ$14&gt;0,'Assumptions (Coal)'!AE10*Model!$AJ$14*AVERAGE('Assumptions (Coal)'!$AC$2:$AH$2)/10^9,0)</f>
        <v>0.55494164707129567</v>
      </c>
      <c r="AT217" s="91">
        <f>IF($AJ$14&gt;0,'Assumptions (Coal)'!AF10*Model!$AJ$14*AVERAGE('Assumptions (Coal)'!$AC$2:$AH$2)/10^9,0)</f>
        <v>0.55506604555752537</v>
      </c>
      <c r="AU217" s="91">
        <f>IF($AJ$14&gt;0,'Assumptions (Coal)'!AG10*Model!$AJ$14*AVERAGE('Assumptions (Coal)'!$AC$2:$AH$2)/10^9,0)</f>
        <v>0.55494164707129567</v>
      </c>
      <c r="AV217" s="91">
        <f>IF($AJ$14&gt;0,'Assumptions (Coal)'!AH10*Model!$AJ$14*AVERAGE('Assumptions (Coal)'!$AC$2:$AH$2)/10^9,0)</f>
        <v>0.55506604555752537</v>
      </c>
      <c r="AW217" s="91">
        <f>IF($AJ$14&gt;0,'Assumptions (Coal)'!AI10*Model!$AJ$14*AVERAGE('Assumptions (Coal)'!$AC$2:$AH$2)/10^9,0)</f>
        <v>0.55494164707129567</v>
      </c>
      <c r="AX217" s="91">
        <f>IF($AJ$14&gt;0,'Assumptions (Coal)'!AJ10*Model!$AJ$14*AVERAGE('Assumptions (Coal)'!$AC$2:$AH$2)/10^9,0)</f>
        <v>0.55506604555752537</v>
      </c>
      <c r="AY217" s="91">
        <f>IF($AJ$14&gt;0,'Assumptions (Coal)'!AK10*Model!$AJ$14*AVERAGE('Assumptions (Coal)'!$AC$2:$AH$2)/10^9,0)</f>
        <v>0.55494164707129567</v>
      </c>
      <c r="AZ217" s="91">
        <f>IF($AJ$14&gt;0,'Assumptions (Coal)'!AL10*Model!$AJ$14*AVERAGE('Assumptions (Coal)'!$AC$2:$AH$2)/10^9,0)</f>
        <v>0.55506604555752537</v>
      </c>
      <c r="BA217" s="91">
        <f>IF($AJ$14&gt;0,'Assumptions (Coal)'!AM10*Model!$AJ$14*AVERAGE('Assumptions (Coal)'!$AC$2:$AH$2)/10^9,0)</f>
        <v>0.55494164707129567</v>
      </c>
      <c r="BB217" s="91">
        <f>IF($AJ$14&gt;0,'Assumptions (Coal)'!AN10*Model!$AJ$14*AVERAGE('Assumptions (Coal)'!$AC$2:$AH$2)/10^9,0)</f>
        <v>0.55506604555752537</v>
      </c>
      <c r="BC217" s="91">
        <f>IF($AJ$14&gt;0,'Assumptions (Coal)'!AO10*Model!$AJ$14*AVERAGE('Assumptions (Coal)'!$AC$2:$AH$2)/10^9,0)</f>
        <v>0.55494164707129567</v>
      </c>
      <c r="BD217" s="91">
        <f>IF($AJ$14&gt;0,'Assumptions (Coal)'!AP10*Model!$AJ$14*AVERAGE('Assumptions (Coal)'!$AC$2:$AH$2)/10^9,0)</f>
        <v>0.27753302277876268</v>
      </c>
      <c r="BE217" s="91"/>
      <c r="BF217" s="91"/>
      <c r="BG217" s="91"/>
      <c r="BH217" s="91"/>
    </row>
    <row r="218" spans="1:67" ht="15.75" hidden="1" customHeight="1" outlineLevel="1">
      <c r="A218" s="98"/>
      <c r="B218" s="99"/>
      <c r="C218" s="99"/>
      <c r="D218" s="99"/>
      <c r="E218" s="99"/>
      <c r="F218" s="99"/>
      <c r="G218" s="99"/>
      <c r="H218" s="99"/>
      <c r="I218" s="99"/>
      <c r="J218" s="99"/>
      <c r="K218" s="99"/>
      <c r="L218" s="99"/>
      <c r="M218" s="99"/>
      <c r="N218" s="99"/>
      <c r="O218" s="99"/>
      <c r="P218" s="99"/>
      <c r="Q218" s="99"/>
      <c r="R218" s="99"/>
      <c r="S218" s="99"/>
      <c r="T218" s="99"/>
      <c r="U218" s="99"/>
      <c r="V218" s="99"/>
      <c r="W218" s="105"/>
      <c r="X218" s="105"/>
      <c r="Y218" s="105"/>
      <c r="Z218" s="105"/>
      <c r="AA218" s="105"/>
      <c r="AB218" s="105"/>
      <c r="AC218" s="105"/>
      <c r="AD218" s="105"/>
      <c r="AE218" s="105"/>
      <c r="AF218" s="105"/>
      <c r="AG218" s="105"/>
      <c r="AH218" s="105"/>
      <c r="AI218" s="105"/>
      <c r="AJ218" s="171"/>
      <c r="AK218" s="105">
        <f>IF($AK$14&gt;0,'Assumptions (Coal)'!V10*Model!$AK$14*AVERAGE('Assumptions (Coal)'!$AD$2:$AI$2)/10^9,0)</f>
        <v>0.47897426857696607</v>
      </c>
      <c r="AL218" s="91">
        <f>IF($AK$14&gt;0,'Assumptions (Coal)'!W10*Model!$AK$14*AVERAGE('Assumptions (Coal)'!$AD$2:$AI$2)/10^9,0)</f>
        <v>0.92205739862856473</v>
      </c>
      <c r="AM218" s="91">
        <f>IF($AK$14&gt;0,'Assumptions (Coal)'!X10*Model!$AK$14*AVERAGE('Assumptions (Coal)'!$AD$2:$AI$2)/10^9,0)</f>
        <v>0.85282965101024044</v>
      </c>
      <c r="AN218" s="91">
        <f>IF($AK$14&gt;0,'Assumptions (Coal)'!Y10*Model!$AK$14*AVERAGE('Assumptions (Coal)'!$AD$2:$AI$2)/10^9,0)</f>
        <v>0.78896641519997834</v>
      </c>
      <c r="AO218" s="91">
        <f>IF($AK$14&gt;0,'Assumptions (Coal)'!Z10*Model!$AK$14*AVERAGE('Assumptions (Coal)'!$AD$2:$AI$2)/10^9,0)</f>
        <v>0.72970133236805512</v>
      </c>
      <c r="AP218" s="91">
        <f>IF($AK$14&gt;0,'Assumptions (Coal)'!AA10*Model!$AK$14*AVERAGE('Assumptions (Coal)'!$AD$2:$AI$2)/10^9,0)</f>
        <v>0.67503440251447078</v>
      </c>
      <c r="AQ218" s="91">
        <f>IF($AK$14&gt;0,'Assumptions (Coal)'!AB10*Model!$AK$14*AVERAGE('Assumptions (Coal)'!$AD$2:$AI$2)/10^9,0)</f>
        <v>0.62432699328112251</v>
      </c>
      <c r="AR218" s="91">
        <f>IF($AK$14&gt;0,'Assumptions (Coal)'!AC10*Model!$AK$14*AVERAGE('Assumptions (Coal)'!$AD$2:$AI$2)/10^9,0)</f>
        <v>0.57757910466801088</v>
      </c>
      <c r="AS218" s="91">
        <f>IF($AK$14&gt;0,'Assumptions (Coal)'!AD10*Model!$AK$14*AVERAGE('Assumptions (Coal)'!$AD$2:$AI$2)/10^9,0)</f>
        <v>0.56991551637077931</v>
      </c>
      <c r="AT218" s="91">
        <f>IF($AK$14&gt;0,'Assumptions (Coal)'!AE10*Model!$AK$14*AVERAGE('Assumptions (Coal)'!$AD$2:$AI$2)/10^9,0)</f>
        <v>0.56978778989915868</v>
      </c>
      <c r="AU218" s="91">
        <f>IF($AK$14&gt;0,'Assumptions (Coal)'!AF10*Model!$AK$14*AVERAGE('Assumptions (Coal)'!$AD$2:$AI$2)/10^9,0)</f>
        <v>0.56991551637077931</v>
      </c>
      <c r="AV218" s="91">
        <f>IF($AK$14&gt;0,'Assumptions (Coal)'!AG10*Model!$AK$14*AVERAGE('Assumptions (Coal)'!$AD$2:$AI$2)/10^9,0)</f>
        <v>0.56978778989915868</v>
      </c>
      <c r="AW218" s="91">
        <f>IF($AK$14&gt;0,'Assumptions (Coal)'!AH10*Model!$AK$14*AVERAGE('Assumptions (Coal)'!$AD$2:$AI$2)/10^9,0)</f>
        <v>0.56991551637077931</v>
      </c>
      <c r="AX218" s="91">
        <f>IF($AK$14&gt;0,'Assumptions (Coal)'!AI10*Model!$AK$14*AVERAGE('Assumptions (Coal)'!$AD$2:$AI$2)/10^9,0)</f>
        <v>0.56978778989915868</v>
      </c>
      <c r="AY218" s="91">
        <f>IF($AK$14&gt;0,'Assumptions (Coal)'!AJ10*Model!$AK$14*AVERAGE('Assumptions (Coal)'!$AD$2:$AI$2)/10^9,0)</f>
        <v>0.56991551637077931</v>
      </c>
      <c r="AZ218" s="91">
        <f>IF($AK$14&gt;0,'Assumptions (Coal)'!AK10*Model!$AK$14*AVERAGE('Assumptions (Coal)'!$AD$2:$AI$2)/10^9,0)</f>
        <v>0.56978778989915868</v>
      </c>
      <c r="BA218" s="91">
        <f>IF($AK$14&gt;0,'Assumptions (Coal)'!AL10*Model!$AK$14*AVERAGE('Assumptions (Coal)'!$AD$2:$AI$2)/10^9,0)</f>
        <v>0.56991551637077931</v>
      </c>
      <c r="BB218" s="91">
        <f>IF($AK$14&gt;0,'Assumptions (Coal)'!AM10*Model!$AK$14*AVERAGE('Assumptions (Coal)'!$AD$2:$AI$2)/10^9,0)</f>
        <v>0.56978778989915868</v>
      </c>
      <c r="BC218" s="91">
        <f>IF($AK$14&gt;0,'Assumptions (Coal)'!AN10*Model!$AK$14*AVERAGE('Assumptions (Coal)'!$AD$2:$AI$2)/10^9,0)</f>
        <v>0.56991551637077931</v>
      </c>
      <c r="BD218" s="91">
        <f>IF($AK$14&gt;0,'Assumptions (Coal)'!AO10*Model!$AK$14*AVERAGE('Assumptions (Coal)'!$AD$2:$AI$2)/10^9,0)</f>
        <v>0.56978778989915868</v>
      </c>
      <c r="BE218" s="91">
        <f>IF($AK$14&gt;0,'Assumptions (Coal)'!AP10*Model!$AK$14*AVERAGE('Assumptions (Coal)'!$AD$2:$AI$2)/10^9,0)</f>
        <v>0.28495775818538965</v>
      </c>
      <c r="BF218" s="91"/>
      <c r="BG218" s="91"/>
      <c r="BH218" s="91"/>
      <c r="BI218" s="91"/>
    </row>
    <row r="219" spans="1:67" ht="15.75" hidden="1" customHeight="1" outlineLevel="1">
      <c r="A219" s="98"/>
      <c r="B219" s="99"/>
      <c r="C219" s="99"/>
      <c r="D219" s="99"/>
      <c r="E219" s="99"/>
      <c r="F219" s="99"/>
      <c r="G219" s="99"/>
      <c r="H219" s="99"/>
      <c r="I219" s="99"/>
      <c r="J219" s="99"/>
      <c r="K219" s="99"/>
      <c r="L219" s="99"/>
      <c r="M219" s="99"/>
      <c r="N219" s="99"/>
      <c r="O219" s="99"/>
      <c r="P219" s="99"/>
      <c r="Q219" s="99"/>
      <c r="R219" s="99"/>
      <c r="S219" s="99"/>
      <c r="T219" s="99"/>
      <c r="U219" s="99"/>
      <c r="V219" s="99"/>
      <c r="W219" s="105"/>
      <c r="X219" s="105"/>
      <c r="Y219" s="105"/>
      <c r="Z219" s="105"/>
      <c r="AA219" s="105"/>
      <c r="AB219" s="105"/>
      <c r="AC219" s="105"/>
      <c r="AD219" s="105"/>
      <c r="AE219" s="105"/>
      <c r="AF219" s="105"/>
      <c r="AG219" s="105"/>
      <c r="AH219" s="105"/>
      <c r="AI219" s="105"/>
      <c r="AJ219" s="171"/>
      <c r="AK219" s="105"/>
      <c r="AL219" s="91">
        <f>IF($AL$14&gt;0,'Assumptions (Coal)'!V10*Model!$AL$14*AVERAGE('Assumptions (Coal)'!$AE$2:$AJ$2)/10^9,0)</f>
        <v>0.34015354602145204</v>
      </c>
      <c r="AM219" s="91">
        <f>IF($AL$14&gt;0,'Assumptions (Coal)'!W10*Model!$AL$14*AVERAGE('Assumptions (Coal)'!$AE$2:$AJ$2)/10^9,0)</f>
        <v>0.65481825299436336</v>
      </c>
      <c r="AN219" s="91">
        <f>IF($AL$14&gt;0,'Assumptions (Coal)'!X10*Model!$AL$14*AVERAGE('Assumptions (Coal)'!$AE$2:$AJ$2)/10^9,0)</f>
        <v>0.60565472714272939</v>
      </c>
      <c r="AO219" s="91">
        <f>IF($AL$14&gt;0,'Assumptions (Coal)'!Y10*Model!$AL$14*AVERAGE('Assumptions (Coal)'!$AE$2:$AJ$2)/10^9,0)</f>
        <v>0.56030092100653572</v>
      </c>
      <c r="AP219" s="91">
        <f>IF($AL$14&gt;0,'Assumptions (Coal)'!Z10*Model!$AL$14*AVERAGE('Assumptions (Coal)'!$AE$2:$AJ$2)/10^9,0)</f>
        <v>0.51821258891214816</v>
      </c>
      <c r="AQ219" s="91">
        <f>IF($AL$14&gt;0,'Assumptions (Coal)'!AA10*Model!$AL$14*AVERAGE('Assumptions (Coal)'!$AE$2:$AJ$2)/10^9,0)</f>
        <v>0.47938973085956638</v>
      </c>
      <c r="AR219" s="91">
        <f>IF($AL$14&gt;0,'Assumptions (Coal)'!AB10*Model!$AL$14*AVERAGE('Assumptions (Coal)'!$AE$2:$AJ$2)/10^9,0)</f>
        <v>0.44337880878742869</v>
      </c>
      <c r="AS219" s="91">
        <f>IF($AL$14&gt;0,'Assumptions (Coal)'!AC10*Model!$AL$14*AVERAGE('Assumptions (Coal)'!$AE$2:$AJ$2)/10^9,0)</f>
        <v>0.410179822695735</v>
      </c>
      <c r="AT219" s="91">
        <f>IF($AL$14&gt;0,'Assumptions (Coal)'!AD10*Model!$AL$14*AVERAGE('Assumptions (Coal)'!$AE$2:$AJ$2)/10^9,0)</f>
        <v>0.40473736595939169</v>
      </c>
      <c r="AU219" s="91">
        <f>IF($AL$14&gt;0,'Assumptions (Coal)'!AE10*Model!$AL$14*AVERAGE('Assumptions (Coal)'!$AE$2:$AJ$2)/10^9,0)</f>
        <v>0.40464665834711933</v>
      </c>
      <c r="AV219" s="91">
        <f>IF($AL$14&gt;0,'Assumptions (Coal)'!AF10*Model!$AL$14*AVERAGE('Assumptions (Coal)'!$AE$2:$AJ$2)/10^9,0)</f>
        <v>0.40473736595939169</v>
      </c>
      <c r="AW219" s="91">
        <f>IF($AL$14&gt;0,'Assumptions (Coal)'!AG10*Model!$AL$14*AVERAGE('Assumptions (Coal)'!$AE$2:$AJ$2)/10^9,0)</f>
        <v>0.40464665834711933</v>
      </c>
      <c r="AX219" s="91">
        <f>IF($AL$14&gt;0,'Assumptions (Coal)'!AH10*Model!$AL$14*AVERAGE('Assumptions (Coal)'!$AE$2:$AJ$2)/10^9,0)</f>
        <v>0.40473736595939169</v>
      </c>
      <c r="AY219" s="91">
        <f>IF($AL$14&gt;0,'Assumptions (Coal)'!AI10*Model!$AL$14*AVERAGE('Assumptions (Coal)'!$AE$2:$AJ$2)/10^9,0)</f>
        <v>0.40464665834711933</v>
      </c>
      <c r="AZ219" s="91">
        <f>IF($AL$14&gt;0,'Assumptions (Coal)'!AJ10*Model!$AL$14*AVERAGE('Assumptions (Coal)'!$AE$2:$AJ$2)/10^9,0)</f>
        <v>0.40473736595939169</v>
      </c>
      <c r="BA219" s="91">
        <f>IF($AL$14&gt;0,'Assumptions (Coal)'!AK10*Model!$AL$14*AVERAGE('Assumptions (Coal)'!$AE$2:$AJ$2)/10^9,0)</f>
        <v>0.40464665834711933</v>
      </c>
      <c r="BB219" s="91">
        <f>IF($AL$14&gt;0,'Assumptions (Coal)'!AL10*Model!$AL$14*AVERAGE('Assumptions (Coal)'!$AE$2:$AJ$2)/10^9,0)</f>
        <v>0.40473736595939169</v>
      </c>
      <c r="BC219" s="91">
        <f>IF($AL$14&gt;0,'Assumptions (Coal)'!AM10*Model!$AL$14*AVERAGE('Assumptions (Coal)'!$AE$2:$AJ$2)/10^9,0)</f>
        <v>0.40464665834711933</v>
      </c>
      <c r="BD219" s="91">
        <f>IF($AL$14&gt;0,'Assumptions (Coal)'!AN10*Model!$AL$14*AVERAGE('Assumptions (Coal)'!$AE$2:$AJ$2)/10^9,0)</f>
        <v>0.40473736595939169</v>
      </c>
      <c r="BE219" s="91">
        <f>IF($AL$14&gt;0,'Assumptions (Coal)'!AO10*Model!$AL$14*AVERAGE('Assumptions (Coal)'!$AE$2:$AJ$2)/10^9,0)</f>
        <v>0.40464665834711933</v>
      </c>
      <c r="BF219" s="91">
        <f>IF($AL$14&gt;0,'Assumptions (Coal)'!AP10*Model!$AL$14*AVERAGE('Assumptions (Coal)'!$AE$2:$AJ$2)/10^9,0)</f>
        <v>0.20236868297969585</v>
      </c>
      <c r="BG219" s="91"/>
      <c r="BH219" s="91"/>
      <c r="BI219" s="91"/>
      <c r="BJ219" s="91"/>
    </row>
    <row r="220" spans="1:67" ht="15.75" hidden="1" customHeight="1" outlineLevel="1">
      <c r="A220" s="98"/>
      <c r="B220" s="99"/>
      <c r="C220" s="99"/>
      <c r="D220" s="99"/>
      <c r="E220" s="99"/>
      <c r="F220" s="99"/>
      <c r="G220" s="99"/>
      <c r="H220" s="99"/>
      <c r="I220" s="99"/>
      <c r="J220" s="99"/>
      <c r="K220" s="99"/>
      <c r="L220" s="99"/>
      <c r="M220" s="99"/>
      <c r="N220" s="99"/>
      <c r="O220" s="99"/>
      <c r="P220" s="99"/>
      <c r="Q220" s="99"/>
      <c r="R220" s="99"/>
      <c r="S220" s="99"/>
      <c r="T220" s="99"/>
      <c r="U220" s="99"/>
      <c r="V220" s="99"/>
      <c r="W220" s="105"/>
      <c r="X220" s="105"/>
      <c r="Y220" s="105"/>
      <c r="Z220" s="105"/>
      <c r="AA220" s="105"/>
      <c r="AB220" s="105"/>
      <c r="AC220" s="105"/>
      <c r="AD220" s="105"/>
      <c r="AE220" s="105"/>
      <c r="AF220" s="105"/>
      <c r="AG220" s="105"/>
      <c r="AH220" s="105"/>
      <c r="AI220" s="105"/>
      <c r="AJ220" s="171"/>
      <c r="AK220" s="105"/>
      <c r="AL220" s="91"/>
      <c r="AM220" s="105">
        <f>IF($AM$14&gt;0,'Assumptions (Coal)'!V10*Model!$AM$14*AVERAGE('Assumptions (Coal)'!$AF$2:$AK$2)/10^9,0)</f>
        <v>1.5873248308570398</v>
      </c>
      <c r="AN220" s="105">
        <f>IF($AM$14&gt;0,'Assumptions (Coal)'!W10*Model!$AM$14*AVERAGE('Assumptions (Coal)'!$AF$2:$AK$2)/10^9,0)</f>
        <v>3.0557061210551923</v>
      </c>
      <c r="AO220" s="105">
        <f>IF($AM$14&gt;0,'Assumptions (Coal)'!X10*Model!$AM$14*AVERAGE('Assumptions (Coal)'!$AF$2:$AK$2)/10^9,0)</f>
        <v>2.8262847721686546</v>
      </c>
      <c r="AP220" s="105">
        <f>IF($AM$14&gt;0,'Assumptions (Coal)'!Y10*Model!$AM$14*AVERAGE('Assumptions (Coal)'!$AF$2:$AK$2)/10^9,0)</f>
        <v>2.6146414613877158</v>
      </c>
      <c r="AQ220" s="105">
        <f>IF($AM$14&gt;0,'Assumptions (Coal)'!Z10*Model!$AM$14*AVERAGE('Assumptions (Coal)'!$AF$2:$AK$2)/10^9,0)</f>
        <v>2.4182364689830047</v>
      </c>
      <c r="AR220" s="105">
        <f>IF($AM$14&gt;0,'Assumptions (Coal)'!AA10*Model!$AM$14*AVERAGE('Assumptions (Coal)'!$AF$2:$AK$2)/10^9,0)</f>
        <v>2.2370697949545213</v>
      </c>
      <c r="AS220" s="105">
        <f>IF($AM$14&gt;0,'Assumptions (Coal)'!AB10*Model!$AM$14*AVERAGE('Assumptions (Coal)'!$AF$2:$AK$2)/10^9,0)</f>
        <v>2.0690250061944564</v>
      </c>
      <c r="AT220" s="105">
        <f>IF($AM$14&gt;0,'Assumptions (Coal)'!AC10*Model!$AM$14*AVERAGE('Assumptions (Coal)'!$AF$2:$AK$2)/10^9,0)</f>
        <v>1.9141021027028091</v>
      </c>
      <c r="AU220" s="105">
        <f>IF($AM$14&gt;0,'Assumptions (Coal)'!AD10*Model!$AM$14*AVERAGE('Assumptions (Coal)'!$AF$2:$AK$2)/10^9,0)</f>
        <v>1.8887049054090963</v>
      </c>
      <c r="AV220" s="105">
        <f>IF($AM$14&gt;0,'Assumptions (Coal)'!AE10*Model!$AM$14*AVERAGE('Assumptions (Coal)'!$AF$2:$AK$2)/10^9,0)</f>
        <v>1.8882816187875342</v>
      </c>
      <c r="AW220" s="105">
        <f>IF($AM$14&gt;0,'Assumptions (Coal)'!AF10*Model!$AM$14*AVERAGE('Assumptions (Coal)'!$AF$2:$AK$2)/10^9,0)</f>
        <v>1.8887049054090963</v>
      </c>
      <c r="AX220" s="105">
        <f>IF($AM$14&gt;0,'Assumptions (Coal)'!AG10*Model!$AM$14*AVERAGE('Assumptions (Coal)'!$AF$2:$AK$2)/10^9,0)</f>
        <v>1.8882816187875342</v>
      </c>
      <c r="AY220" s="105">
        <f>IF($AM$14&gt;0,'Assumptions (Coal)'!AH10*Model!$AM$14*AVERAGE('Assumptions (Coal)'!$AF$2:$AK$2)/10^9,0)</f>
        <v>1.8887049054090963</v>
      </c>
      <c r="AZ220" s="105">
        <f>IF($AM$14&gt;0,'Assumptions (Coal)'!AI10*Model!$AM$14*AVERAGE('Assumptions (Coal)'!$AF$2:$AK$2)/10^9,0)</f>
        <v>1.8882816187875342</v>
      </c>
      <c r="BA220" s="105">
        <f>IF($AM$14&gt;0,'Assumptions (Coal)'!AJ10*Model!$AM$14*AVERAGE('Assumptions (Coal)'!$AF$2:$AK$2)/10^9,0)</f>
        <v>1.8887049054090963</v>
      </c>
      <c r="BB220" s="105">
        <f>IF($AM$14&gt;0,'Assumptions (Coal)'!AK10*Model!$AM$14*AVERAGE('Assumptions (Coal)'!$AF$2:$AK$2)/10^9,0)</f>
        <v>1.8882816187875342</v>
      </c>
      <c r="BC220" s="105">
        <f>IF($AM$14&gt;0,'Assumptions (Coal)'!AL10*Model!$AM$14*AVERAGE('Assumptions (Coal)'!$AF$2:$AK$2)/10^9,0)</f>
        <v>1.8887049054090963</v>
      </c>
      <c r="BD220" s="105">
        <f>IF($AM$14&gt;0,'Assumptions (Coal)'!AM10*Model!$AM$14*AVERAGE('Assumptions (Coal)'!$AF$2:$AK$2)/10^9,0)</f>
        <v>1.8882816187875342</v>
      </c>
      <c r="BE220" s="105">
        <f>IF($AM$14&gt;0,'Assumptions (Coal)'!AN10*Model!$AM$14*AVERAGE('Assumptions (Coal)'!$AF$2:$AK$2)/10^9,0)</f>
        <v>1.8887049054090963</v>
      </c>
      <c r="BF220" s="105">
        <f>IF($AM$14&gt;0,'Assumptions (Coal)'!AO10*Model!$AM$14*AVERAGE('Assumptions (Coal)'!$AF$2:$AK$2)/10^9,0)</f>
        <v>1.8882816187875342</v>
      </c>
      <c r="BG220" s="105">
        <f>IF($AM$14&gt;0,'Assumptions (Coal)'!AP10*Model!$AM$14*AVERAGE('Assumptions (Coal)'!$AF$2:$AK$2)/10^9,0)</f>
        <v>0.94435245270454815</v>
      </c>
      <c r="BH220" s="105"/>
      <c r="BI220" s="105"/>
      <c r="BJ220" s="105"/>
      <c r="BK220" s="105"/>
    </row>
    <row r="221" spans="1:67" ht="15.75" hidden="1" customHeight="1" outlineLevel="1">
      <c r="A221" s="98"/>
      <c r="B221" s="99"/>
      <c r="C221" s="99"/>
      <c r="D221" s="99"/>
      <c r="E221" s="99"/>
      <c r="F221" s="99"/>
      <c r="G221" s="99"/>
      <c r="H221" s="99"/>
      <c r="I221" s="99"/>
      <c r="J221" s="99"/>
      <c r="K221" s="99"/>
      <c r="L221" s="99"/>
      <c r="M221" s="99"/>
      <c r="N221" s="99"/>
      <c r="O221" s="99"/>
      <c r="P221" s="99"/>
      <c r="Q221" s="99"/>
      <c r="R221" s="99"/>
      <c r="S221" s="99"/>
      <c r="T221" s="99"/>
      <c r="U221" s="99"/>
      <c r="V221" s="99"/>
      <c r="W221" s="105"/>
      <c r="X221" s="105"/>
      <c r="Y221" s="105"/>
      <c r="Z221" s="105"/>
      <c r="AA221" s="105"/>
      <c r="AB221" s="105"/>
      <c r="AC221" s="105"/>
      <c r="AD221" s="105"/>
      <c r="AE221" s="105"/>
      <c r="AF221" s="105"/>
      <c r="AG221" s="105"/>
      <c r="AH221" s="105"/>
      <c r="AI221" s="105"/>
      <c r="AJ221" s="171"/>
      <c r="AK221" s="105"/>
      <c r="AL221" s="91"/>
      <c r="AM221" s="91"/>
      <c r="AN221" s="105">
        <f>IF($AN$14&gt;0,'Assumptions (Coal)'!V10*Model!$AN$14*AVERAGE('Assumptions (Coal)'!$AG$2:$AL$2)/10^9,0)</f>
        <v>0.52862294536998222</v>
      </c>
      <c r="AO221" s="105">
        <f>IF($AN$14&gt;0,'Assumptions (Coal)'!W10*Model!$AN$14*AVERAGE('Assumptions (Coal)'!$AG$2:$AL$2)/10^9,0)</f>
        <v>1.0176344113669071</v>
      </c>
      <c r="AP221" s="105">
        <f>IF($AN$14&gt;0,'Assumptions (Coal)'!X10*Model!$AN$14*AVERAGE('Assumptions (Coal)'!$AG$2:$AL$2)/10^9,0)</f>
        <v>0.94123077499609886</v>
      </c>
      <c r="AQ221" s="105">
        <f>IF($AN$14&gt;0,'Assumptions (Coal)'!Y10*Model!$AN$14*AVERAGE('Assumptions (Coal)'!$AG$2:$AL$2)/10^9,0)</f>
        <v>0.87074771561343467</v>
      </c>
      <c r="AR221" s="105">
        <f>IF($AN$14&gt;0,'Assumptions (Coal)'!Z10*Model!$AN$14*AVERAGE('Assumptions (Coal)'!$AG$2:$AL$2)/10^9,0)</f>
        <v>0.80533943650632223</v>
      </c>
      <c r="AS221" s="105">
        <f>IF($AN$14&gt;0,'Assumptions (Coal)'!AA10*Model!$AN$14*AVERAGE('Assumptions (Coal)'!$AG$2:$AL$2)/10^9,0)</f>
        <v>0.74500593767476164</v>
      </c>
      <c r="AT221" s="105">
        <f>IF($AN$14&gt;0,'Assumptions (Coal)'!AB10*Model!$AN$14*AVERAGE('Assumptions (Coal)'!$AG$2:$AL$2)/10^9,0)</f>
        <v>0.68904238852492616</v>
      </c>
      <c r="AU221" s="105">
        <f>IF($AN$14&gt;0,'Assumptions (Coal)'!AC10*Model!$AN$14*AVERAGE('Assumptions (Coal)'!$AG$2:$AL$2)/10^9,0)</f>
        <v>0.63744878905681601</v>
      </c>
      <c r="AV221" s="105">
        <f>IF($AN$14&gt;0,'Assumptions (Coal)'!AD10*Model!$AN$14*AVERAGE('Assumptions (Coal)'!$AG$2:$AL$2)/10^9,0)</f>
        <v>0.62899082193089617</v>
      </c>
      <c r="AW221" s="105">
        <f>IF($AN$14&gt;0,'Assumptions (Coal)'!AE10*Model!$AN$14*AVERAGE('Assumptions (Coal)'!$AG$2:$AL$2)/10^9,0)</f>
        <v>0.62884985581213082</v>
      </c>
      <c r="AX221" s="105">
        <f>IF($AN$14&gt;0,'Assumptions (Coal)'!AF10*Model!$AN$14*AVERAGE('Assumptions (Coal)'!$AG$2:$AL$2)/10^9,0)</f>
        <v>0.62899082193089617</v>
      </c>
      <c r="AY221" s="105">
        <f>IF($AN$14&gt;0,'Assumptions (Coal)'!AG10*Model!$AN$14*AVERAGE('Assumptions (Coal)'!$AG$2:$AL$2)/10^9,0)</f>
        <v>0.62884985581213082</v>
      </c>
      <c r="AZ221" s="105">
        <f>IF($AN$14&gt;0,'Assumptions (Coal)'!AH10*Model!$AN$14*AVERAGE('Assumptions (Coal)'!$AG$2:$AL$2)/10^9,0)</f>
        <v>0.62899082193089617</v>
      </c>
      <c r="BA221" s="105">
        <f>IF($AN$14&gt;0,'Assumptions (Coal)'!AI10*Model!$AN$14*AVERAGE('Assumptions (Coal)'!$AG$2:$AL$2)/10^9,0)</f>
        <v>0.62884985581213082</v>
      </c>
      <c r="BB221" s="105">
        <f>IF($AN$14&gt;0,'Assumptions (Coal)'!AJ10*Model!$AN$14*AVERAGE('Assumptions (Coal)'!$AG$2:$AL$2)/10^9,0)</f>
        <v>0.62899082193089617</v>
      </c>
      <c r="BC221" s="105">
        <f>IF($AN$14&gt;0,'Assumptions (Coal)'!AK10*Model!$AN$14*AVERAGE('Assumptions (Coal)'!$AG$2:$AL$2)/10^9,0)</f>
        <v>0.62884985581213082</v>
      </c>
      <c r="BD221" s="105">
        <f>IF($AN$14&gt;0,'Assumptions (Coal)'!AL10*Model!$AN$14*AVERAGE('Assumptions (Coal)'!$AG$2:$AL$2)/10^9,0)</f>
        <v>0.62899082193089617</v>
      </c>
      <c r="BE221" s="105">
        <f>IF($AN$14&gt;0,'Assumptions (Coal)'!AM10*Model!$AN$14*AVERAGE('Assumptions (Coal)'!$AG$2:$AL$2)/10^9,0)</f>
        <v>0.62884985581213082</v>
      </c>
      <c r="BF221" s="105">
        <f>IF($AN$14&gt;0,'Assumptions (Coal)'!AN10*Model!$AN$14*AVERAGE('Assumptions (Coal)'!$AG$2:$AL$2)/10^9,0)</f>
        <v>0.62899082193089617</v>
      </c>
      <c r="BG221" s="105">
        <f>IF($AN$14&gt;0,'Assumptions (Coal)'!AO10*Model!$AN$14*AVERAGE('Assumptions (Coal)'!$AG$2:$AL$2)/10^9,0)</f>
        <v>0.62884985581213082</v>
      </c>
      <c r="BH221" s="105">
        <f>IF($AN$14&gt;0,'Assumptions (Coal)'!AP10*Model!$AN$14*AVERAGE('Assumptions (Coal)'!$AG$2:$AL$2)/10^9,0)</f>
        <v>0.31449541096544809</v>
      </c>
      <c r="BI221" s="105"/>
      <c r="BJ221" s="105"/>
      <c r="BK221" s="105"/>
      <c r="BL221" s="105"/>
    </row>
    <row r="222" spans="1:67" ht="15.75" hidden="1" customHeight="1" outlineLevel="1">
      <c r="A222" s="98"/>
      <c r="B222" s="99"/>
      <c r="C222" s="99"/>
      <c r="D222" s="99"/>
      <c r="E222" s="99"/>
      <c r="F222" s="99"/>
      <c r="G222" s="99"/>
      <c r="H222" s="99"/>
      <c r="I222" s="99"/>
      <c r="J222" s="99"/>
      <c r="K222" s="99"/>
      <c r="L222" s="99"/>
      <c r="M222" s="99"/>
      <c r="N222" s="99"/>
      <c r="O222" s="99"/>
      <c r="P222" s="99"/>
      <c r="Q222" s="99"/>
      <c r="R222" s="99"/>
      <c r="S222" s="99"/>
      <c r="T222" s="99"/>
      <c r="U222" s="99"/>
      <c r="V222" s="99"/>
      <c r="W222" s="105"/>
      <c r="X222" s="105"/>
      <c r="Y222" s="105"/>
      <c r="Z222" s="105"/>
      <c r="AA222" s="105"/>
      <c r="AB222" s="105"/>
      <c r="AC222" s="105"/>
      <c r="AD222" s="105"/>
      <c r="AE222" s="105"/>
      <c r="AF222" s="105"/>
      <c r="AG222" s="105"/>
      <c r="AH222" s="105"/>
      <c r="AI222" s="105"/>
      <c r="AJ222" s="171"/>
      <c r="AK222" s="105"/>
      <c r="AL222" s="91"/>
      <c r="AM222" s="91"/>
      <c r="AN222" s="91"/>
      <c r="AO222" s="105">
        <f>IF($AO$14&gt;0,'Assumptions (Coal)'!V10*Model!$AO$14*AVERAGE('Assumptions (Coal)'!$AH$2:$AM$2)/10^9,0)</f>
        <v>0.47636995080975214</v>
      </c>
      <c r="AP222" s="105">
        <f>IF($AO$14&gt;0,'Assumptions (Coal)'!W10*Model!$AO$14*AVERAGE('Assumptions (Coal)'!$AH$2:$AM$2)/10^9,0)</f>
        <v>0.91704391330549362</v>
      </c>
      <c r="AQ222" s="105">
        <f>IF($AO$14&gt;0,'Assumptions (Coal)'!X10*Model!$AO$14*AVERAGE('Assumptions (Coal)'!$AH$2:$AM$2)/10^9,0)</f>
        <v>0.84819257641512391</v>
      </c>
      <c r="AR222" s="105">
        <f>IF($AO$14&gt;0,'Assumptions (Coal)'!Y10*Model!$AO$14*AVERAGE('Assumptions (Coal)'!$AH$2:$AM$2)/10^9,0)</f>
        <v>0.7846765829738237</v>
      </c>
      <c r="AS222" s="105">
        <f>IF($AO$14&gt;0,'Assumptions (Coal)'!Z10*Model!$AO$14*AVERAGE('Assumptions (Coal)'!$AH$2:$AM$2)/10^9,0)</f>
        <v>0.72573374106029698</v>
      </c>
      <c r="AT222" s="105">
        <f>IF($AO$14&gt;0,'Assumptions (Coal)'!AA10*Model!$AO$14*AVERAGE('Assumptions (Coal)'!$AH$2:$AM$2)/10^9,0)</f>
        <v>0.67136405067454408</v>
      </c>
      <c r="AU222" s="105">
        <f>IF($AO$14&gt;0,'Assumptions (Coal)'!AB10*Model!$AO$14*AVERAGE('Assumptions (Coal)'!$AH$2:$AM$2)/10^9,0)</f>
        <v>0.62093235188215157</v>
      </c>
      <c r="AV222" s="105">
        <f>IF($AO$14&gt;0,'Assumptions (Coal)'!AC10*Model!$AO$14*AVERAGE('Assumptions (Coal)'!$AH$2:$AM$2)/10^9,0)</f>
        <v>0.57443864468311978</v>
      </c>
      <c r="AW222" s="105">
        <f>IF($AO$14&gt;0,'Assumptions (Coal)'!AD10*Model!$AO$14*AVERAGE('Assumptions (Coal)'!$AH$2:$AM$2)/10^9,0)</f>
        <v>0.56681672547016371</v>
      </c>
      <c r="AX222" s="105">
        <f>IF($AO$14&gt;0,'Assumptions (Coal)'!AE10*Model!$AO$14*AVERAGE('Assumptions (Coal)'!$AH$2:$AM$2)/10^9,0)</f>
        <v>0.56668969348328113</v>
      </c>
      <c r="AY222" s="105">
        <f>IF($AO$14&gt;0,'Assumptions (Coal)'!AF10*Model!$AO$14*AVERAGE('Assumptions (Coal)'!$AH$2:$AM$2)/10^9,0)</f>
        <v>0.56681672547016371</v>
      </c>
      <c r="AZ222" s="105">
        <f>IF($AO$14&gt;0,'Assumptions (Coal)'!AG10*Model!$AO$14*AVERAGE('Assumptions (Coal)'!$AH$2:$AM$2)/10^9,0)</f>
        <v>0.56668969348328113</v>
      </c>
      <c r="BA222" s="105">
        <f>IF($AO$14&gt;0,'Assumptions (Coal)'!AH10*Model!$AO$14*AVERAGE('Assumptions (Coal)'!$AH$2:$AM$2)/10^9,0)</f>
        <v>0.56681672547016371</v>
      </c>
      <c r="BB222" s="105">
        <f>IF($AO$14&gt;0,'Assumptions (Coal)'!AI10*Model!$AO$14*AVERAGE('Assumptions (Coal)'!$AH$2:$AM$2)/10^9,0)</f>
        <v>0.56668969348328113</v>
      </c>
      <c r="BC222" s="105">
        <f>IF($AO$14&gt;0,'Assumptions (Coal)'!AJ10*Model!$AO$14*AVERAGE('Assumptions (Coal)'!$AH$2:$AM$2)/10^9,0)</f>
        <v>0.56681672547016371</v>
      </c>
      <c r="BD222" s="105">
        <f>IF($AO$14&gt;0,'Assumptions (Coal)'!AK10*Model!$AO$14*AVERAGE('Assumptions (Coal)'!$AH$2:$AM$2)/10^9,0)</f>
        <v>0.56668969348328113</v>
      </c>
      <c r="BE222" s="105">
        <f>IF($AO$14&gt;0,'Assumptions (Coal)'!AL10*Model!$AO$14*AVERAGE('Assumptions (Coal)'!$AH$2:$AM$2)/10^9,0)</f>
        <v>0.56681672547016371</v>
      </c>
      <c r="BF222" s="105">
        <f>IF($AO$14&gt;0,'Assumptions (Coal)'!AM10*Model!$AO$14*AVERAGE('Assumptions (Coal)'!$AH$2:$AM$2)/10^9,0)</f>
        <v>0.56668969348328113</v>
      </c>
      <c r="BG222" s="105">
        <f>IF($AO$14&gt;0,'Assumptions (Coal)'!AN10*Model!$AO$14*AVERAGE('Assumptions (Coal)'!$AH$2:$AM$2)/10^9,0)</f>
        <v>0.56681672547016371</v>
      </c>
      <c r="BH222" s="105">
        <f>IF($AO$14&gt;0,'Assumptions (Coal)'!AO10*Model!$AO$14*AVERAGE('Assumptions (Coal)'!$AH$2:$AM$2)/10^9,0)</f>
        <v>0.56668969348328113</v>
      </c>
      <c r="BI222" s="105">
        <f>IF($AO$14&gt;0,'Assumptions (Coal)'!AP10*Model!$AO$14*AVERAGE('Assumptions (Coal)'!$AH$2:$AM$2)/10^9,0)</f>
        <v>0.28340836273508185</v>
      </c>
      <c r="BJ222" s="105"/>
      <c r="BK222" s="105"/>
      <c r="BL222" s="105"/>
      <c r="BM222" s="105"/>
    </row>
    <row r="223" spans="1:67" ht="15.75" hidden="1" customHeight="1" outlineLevel="1">
      <c r="A223" s="98"/>
      <c r="B223" s="99"/>
      <c r="C223" s="99"/>
      <c r="D223" s="99"/>
      <c r="E223" s="99"/>
      <c r="F223" s="99"/>
      <c r="G223" s="99"/>
      <c r="H223" s="99"/>
      <c r="I223" s="99"/>
      <c r="J223" s="99"/>
      <c r="K223" s="99"/>
      <c r="L223" s="99"/>
      <c r="M223" s="99"/>
      <c r="N223" s="99"/>
      <c r="O223" s="99"/>
      <c r="P223" s="99"/>
      <c r="Q223" s="99"/>
      <c r="R223" s="99"/>
      <c r="S223" s="99"/>
      <c r="T223" s="99"/>
      <c r="U223" s="99"/>
      <c r="V223" s="99"/>
      <c r="W223" s="105"/>
      <c r="X223" s="105"/>
      <c r="Y223" s="105"/>
      <c r="Z223" s="105"/>
      <c r="AA223" s="105"/>
      <c r="AB223" s="105"/>
      <c r="AC223" s="105"/>
      <c r="AD223" s="105"/>
      <c r="AE223" s="105"/>
      <c r="AF223" s="105"/>
      <c r="AG223" s="105"/>
      <c r="AH223" s="105"/>
      <c r="AI223" s="105"/>
      <c r="AJ223" s="171"/>
      <c r="AK223" s="105"/>
      <c r="AL223" s="91"/>
      <c r="AM223" s="91"/>
      <c r="AN223" s="91"/>
      <c r="AO223" s="105"/>
      <c r="AP223" s="105">
        <f>IF($AP$14&gt;0,'Assumptions (Coal)'!V10*Model!$AP$14*AVERAGE('Assumptions (Coal)'!$AI$2:$AN$2)/10^9,0)</f>
        <v>0.10317048892260802</v>
      </c>
      <c r="AQ223" s="105">
        <f>IF($AP$14&gt;0,'Assumptions (Coal)'!W10*Model!$AP$14*AVERAGE('Assumptions (Coal)'!$AI$2:$AN$2)/10^9,0)</f>
        <v>0.19861006920861526</v>
      </c>
      <c r="AR223" s="105">
        <f>IF($AP$14&gt;0,'Assumptions (Coal)'!X10*Model!$AP$14*AVERAGE('Assumptions (Coal)'!$AI$2:$AN$2)/10^9,0)</f>
        <v>0.18369849454300097</v>
      </c>
      <c r="AS223" s="105">
        <f>IF($AP$14&gt;0,'Assumptions (Coal)'!Y10*Model!$AP$14*AVERAGE('Assumptions (Coal)'!$AI$2:$AN$2)/10^9,0)</f>
        <v>0.16994242935331991</v>
      </c>
      <c r="AT223" s="105">
        <f>IF($AP$14&gt;0,'Assumptions (Coal)'!Z10*Model!$AP$14*AVERAGE('Assumptions (Coal)'!$AI$2:$AN$2)/10^9,0)</f>
        <v>0.15717680085729591</v>
      </c>
      <c r="AU223" s="105">
        <f>IF($AP$14&gt;0,'Assumptions (Coal)'!AA10*Model!$AP$14*AVERAGE('Assumptions (Coal)'!$AI$2:$AN$2)/10^9,0)</f>
        <v>0.14540160905492894</v>
      </c>
      <c r="AV223" s="105">
        <f>IF($AP$14&gt;0,'Assumptions (Coal)'!AB10*Model!$AP$14*AVERAGE('Assumptions (Coal)'!$AI$2:$AN$2)/10^9,0)</f>
        <v>0.13447929329432212</v>
      </c>
      <c r="AW223" s="105">
        <f>IF($AP$14&gt;0,'Assumptions (Coal)'!AC10*Model!$AP$14*AVERAGE('Assumptions (Coal)'!$AI$2:$AN$2)/10^9,0)</f>
        <v>0.1244098535754756</v>
      </c>
      <c r="AX223" s="105">
        <f>IF($AP$14&gt;0,'Assumptions (Coal)'!AD10*Model!$AP$14*AVERAGE('Assumptions (Coal)'!$AI$2:$AN$2)/10^9,0)</f>
        <v>0.12275912575271386</v>
      </c>
      <c r="AY223" s="105">
        <f>IF($AP$14&gt;0,'Assumptions (Coal)'!AE10*Model!$AP$14*AVERAGE('Assumptions (Coal)'!$AI$2:$AN$2)/10^9,0)</f>
        <v>0.12273161362233448</v>
      </c>
      <c r="AZ223" s="105">
        <f>IF($AP$14&gt;0,'Assumptions (Coal)'!AF10*Model!$AP$14*AVERAGE('Assumptions (Coal)'!$AI$2:$AN$2)/10^9,0)</f>
        <v>0.12275912575271386</v>
      </c>
      <c r="BA223" s="105">
        <f>IF($AP$14&gt;0,'Assumptions (Coal)'!AG10*Model!$AP$14*AVERAGE('Assumptions (Coal)'!$AI$2:$AN$2)/10^9,0)</f>
        <v>0.12273161362233448</v>
      </c>
      <c r="BB223" s="105">
        <f>IF($AP$14&gt;0,'Assumptions (Coal)'!AH10*Model!$AP$14*AVERAGE('Assumptions (Coal)'!$AI$2:$AN$2)/10^9,0)</f>
        <v>0.12275912575271386</v>
      </c>
      <c r="BC223" s="105">
        <f>IF($AP$14&gt;0,'Assumptions (Coal)'!AI10*Model!$AP$14*AVERAGE('Assumptions (Coal)'!$AI$2:$AN$2)/10^9,0)</f>
        <v>0.12273161362233448</v>
      </c>
      <c r="BD223" s="105">
        <f>IF($AP$14&gt;0,'Assumptions (Coal)'!AJ10*Model!$AP$14*AVERAGE('Assumptions (Coal)'!$AI$2:$AN$2)/10^9,0)</f>
        <v>0.12275912575271386</v>
      </c>
      <c r="BE223" s="105">
        <f>IF($AP$14&gt;0,'Assumptions (Coal)'!AK10*Model!$AP$14*AVERAGE('Assumptions (Coal)'!$AI$2:$AN$2)/10^9,0)</f>
        <v>0.12273161362233448</v>
      </c>
      <c r="BF223" s="105">
        <f>IF($AP$14&gt;0,'Assumptions (Coal)'!AL10*Model!$AP$14*AVERAGE('Assumptions (Coal)'!$AI$2:$AN$2)/10^9,0)</f>
        <v>0.12275912575271386</v>
      </c>
      <c r="BG223" s="105">
        <f>IF($AP$14&gt;0,'Assumptions (Coal)'!AM10*Model!$AP$14*AVERAGE('Assumptions (Coal)'!$AI$2:$AN$2)/10^9,0)</f>
        <v>0.12273161362233448</v>
      </c>
      <c r="BH223" s="105">
        <f>IF($AP$14&gt;0,'Assumptions (Coal)'!AN10*Model!$AP$14*AVERAGE('Assumptions (Coal)'!$AI$2:$AN$2)/10^9,0)</f>
        <v>0.12275912575271386</v>
      </c>
      <c r="BI223" s="105">
        <f>IF($AP$14&gt;0,'Assumptions (Coal)'!AO10*Model!$AP$14*AVERAGE('Assumptions (Coal)'!$AI$2:$AN$2)/10^9,0)</f>
        <v>0.12273161362233448</v>
      </c>
      <c r="BJ223" s="105">
        <f>IF($AP$14&gt;0,'Assumptions (Coal)'!AP10*Model!$AP$14*AVERAGE('Assumptions (Coal)'!$AI$2:$AN$2)/10^9,0)</f>
        <v>6.137956287635693E-2</v>
      </c>
      <c r="BK223" s="105"/>
      <c r="BL223" s="105"/>
      <c r="BM223" s="105"/>
      <c r="BN223" s="105"/>
    </row>
    <row r="224" spans="1:67" ht="15.75" hidden="1" customHeight="1" outlineLevel="1">
      <c r="A224" s="98"/>
      <c r="B224" s="99"/>
      <c r="C224" s="99"/>
      <c r="D224" s="99"/>
      <c r="E224" s="99"/>
      <c r="F224" s="99"/>
      <c r="G224" s="99"/>
      <c r="H224" s="99"/>
      <c r="I224" s="99"/>
      <c r="J224" s="99"/>
      <c r="K224" s="99"/>
      <c r="L224" s="99"/>
      <c r="M224" s="99"/>
      <c r="N224" s="99"/>
      <c r="O224" s="99"/>
      <c r="P224" s="99"/>
      <c r="Q224" s="99"/>
      <c r="R224" s="99"/>
      <c r="S224" s="99"/>
      <c r="T224" s="99"/>
      <c r="U224" s="99"/>
      <c r="V224" s="99"/>
      <c r="W224" s="105"/>
      <c r="X224" s="105"/>
      <c r="Y224" s="105"/>
      <c r="Z224" s="105"/>
      <c r="AA224" s="105"/>
      <c r="AB224" s="105"/>
      <c r="AC224" s="105"/>
      <c r="AD224" s="105"/>
      <c r="AE224" s="105"/>
      <c r="AF224" s="105"/>
      <c r="AG224" s="105"/>
      <c r="AH224" s="105"/>
      <c r="AI224" s="105"/>
      <c r="AJ224" s="171"/>
      <c r="AK224" s="105"/>
      <c r="AL224" s="91"/>
      <c r="AM224" s="91"/>
      <c r="AN224" s="91"/>
      <c r="AO224" s="105"/>
      <c r="AP224" s="105"/>
      <c r="AQ224" s="105">
        <f>IF($AQ$14&gt;0,'Assumptions (Coal)'!V10*Model!$AQ$14*AVERAGE('Assumptions (Coal)'!$AJ$2:$AO$2)/10^9,0)</f>
        <v>0.99784813988235976</v>
      </c>
      <c r="AR224" s="105">
        <f>IF($AQ$14&gt;0,'Assumptions (Coal)'!W10*Model!$AQ$14*AVERAGE('Assumptions (Coal)'!$AJ$2:$AO$2)/10^9,0)</f>
        <v>1.9209241924828679</v>
      </c>
      <c r="AS224" s="105">
        <f>IF($AQ$14&gt;0,'Assumptions (Coal)'!X10*Model!$AQ$14*AVERAGE('Assumptions (Coal)'!$AJ$2:$AO$2)/10^9,0)</f>
        <v>1.7767018746652044</v>
      </c>
      <c r="AT224" s="105">
        <f>IF($AQ$14&gt;0,'Assumptions (Coal)'!Y10*Model!$AQ$14*AVERAGE('Assumptions (Coal)'!$AJ$2:$AO$2)/10^9,0)</f>
        <v>1.6436554560142231</v>
      </c>
      <c r="AU224" s="105">
        <f>IF($AQ$14&gt;0,'Assumptions (Coal)'!Z10*Model!$AQ$14*AVERAGE('Assumptions (Coal)'!$AJ$2:$AO$2)/10^9,0)</f>
        <v>1.5201883795061124</v>
      </c>
      <c r="AV224" s="105">
        <f>IF($AQ$14&gt;0,'Assumptions (Coal)'!AA10*Model!$AQ$14*AVERAGE('Assumptions (Coal)'!$AJ$2:$AO$2)/10^9,0)</f>
        <v>1.4063006451408722</v>
      </c>
      <c r="AW224" s="105">
        <f>IF($AQ$14&gt;0,'Assumptions (Coal)'!AB10*Model!$AQ$14*AVERAGE('Assumptions (Coal)'!$AJ$2:$AO$2)/10^9,0)</f>
        <v>1.3006617887319933</v>
      </c>
      <c r="AX224" s="105">
        <f>IF($AQ$14&gt;0,'Assumptions (Coal)'!AC10*Model!$AQ$14*AVERAGE('Assumptions (Coal)'!$AJ$2:$AO$2)/10^9,0)</f>
        <v>1.2032718102794751</v>
      </c>
      <c r="AY224" s="105">
        <f>IF($AQ$14&gt;0,'Assumptions (Coal)'!AD10*Model!$AQ$14*AVERAGE('Assumptions (Coal)'!$AJ$2:$AO$2)/10^9,0)</f>
        <v>1.1873062400413572</v>
      </c>
      <c r="AZ224" s="105">
        <f>IF($AQ$14&gt;0,'Assumptions (Coal)'!AE10*Model!$AQ$14*AVERAGE('Assumptions (Coal)'!$AJ$2:$AO$2)/10^9,0)</f>
        <v>1.187040147204055</v>
      </c>
      <c r="BA224" s="105">
        <f>IF($AQ$14&gt;0,'Assumptions (Coal)'!AF10*Model!$AQ$14*AVERAGE('Assumptions (Coal)'!$AJ$2:$AO$2)/10^9,0)</f>
        <v>1.1873062400413572</v>
      </c>
      <c r="BB224" s="105">
        <f>IF($AQ$14&gt;0,'Assumptions (Coal)'!AG10*Model!$AQ$14*AVERAGE('Assumptions (Coal)'!$AJ$2:$AO$2)/10^9,0)</f>
        <v>1.187040147204055</v>
      </c>
      <c r="BC224" s="105">
        <f>IF($AQ$14&gt;0,'Assumptions (Coal)'!AH10*Model!$AQ$14*AVERAGE('Assumptions (Coal)'!$AJ$2:$AO$2)/10^9,0)</f>
        <v>1.1873062400413572</v>
      </c>
      <c r="BD224" s="105">
        <f>IF($AQ$14&gt;0,'Assumptions (Coal)'!AI10*Model!$AQ$14*AVERAGE('Assumptions (Coal)'!$AJ$2:$AO$2)/10^9,0)</f>
        <v>1.187040147204055</v>
      </c>
      <c r="BE224" s="105">
        <f>IF($AQ$14&gt;0,'Assumptions (Coal)'!AJ10*Model!$AQ$14*AVERAGE('Assumptions (Coal)'!$AJ$2:$AO$2)/10^9,0)</f>
        <v>1.1873062400413572</v>
      </c>
      <c r="BF224" s="105">
        <f>IF($AQ$14&gt;0,'Assumptions (Coal)'!AK10*Model!$AQ$14*AVERAGE('Assumptions (Coal)'!$AJ$2:$AO$2)/10^9,0)</f>
        <v>1.187040147204055</v>
      </c>
      <c r="BG224" s="105">
        <f>IF($AQ$14&gt;0,'Assumptions (Coal)'!AL10*Model!$AQ$14*AVERAGE('Assumptions (Coal)'!$AJ$2:$AO$2)/10^9,0)</f>
        <v>1.1873062400413572</v>
      </c>
      <c r="BH224" s="105">
        <f>IF($AQ$14&gt;0,'Assumptions (Coal)'!AM10*Model!$AQ$14*AVERAGE('Assumptions (Coal)'!$AJ$2:$AO$2)/10^9,0)</f>
        <v>1.187040147204055</v>
      </c>
      <c r="BI224" s="105">
        <f>IF($AQ$14&gt;0,'Assumptions (Coal)'!AN10*Model!$AQ$14*AVERAGE('Assumptions (Coal)'!$AJ$2:$AO$2)/10^9,0)</f>
        <v>1.1873062400413572</v>
      </c>
      <c r="BJ224" s="105">
        <f>IF($AQ$14&gt;0,'Assumptions (Coal)'!AO10*Model!$AQ$14*AVERAGE('Assumptions (Coal)'!$AJ$2:$AO$2)/10^9,0)</f>
        <v>1.187040147204055</v>
      </c>
      <c r="BK224" s="105">
        <f>IF($AQ$14&gt;0,'Assumptions (Coal)'!AP10*Model!$AQ$14*AVERAGE('Assumptions (Coal)'!$AJ$2:$AO$2)/10^9,0)</f>
        <v>0.5936531200206786</v>
      </c>
      <c r="BL224" s="105"/>
      <c r="BM224" s="105"/>
      <c r="BN224" s="105"/>
      <c r="BO224" s="105"/>
    </row>
    <row r="225" spans="1:77" ht="15.75" hidden="1" customHeight="1" outlineLevel="1">
      <c r="A225" s="98"/>
      <c r="B225" s="99"/>
      <c r="C225" s="99"/>
      <c r="D225" s="99"/>
      <c r="E225" s="99"/>
      <c r="F225" s="99"/>
      <c r="G225" s="99"/>
      <c r="H225" s="99"/>
      <c r="I225" s="99"/>
      <c r="J225" s="99"/>
      <c r="K225" s="99"/>
      <c r="L225" s="99"/>
      <c r="M225" s="99"/>
      <c r="N225" s="99"/>
      <c r="O225" s="99"/>
      <c r="P225" s="99"/>
      <c r="Q225" s="99"/>
      <c r="R225" s="99"/>
      <c r="S225" s="99"/>
      <c r="T225" s="99"/>
      <c r="U225" s="99"/>
      <c r="V225" s="99"/>
      <c r="W225" s="105"/>
      <c r="X225" s="105"/>
      <c r="Y225" s="105"/>
      <c r="Z225" s="105"/>
      <c r="AA225" s="105"/>
      <c r="AB225" s="105"/>
      <c r="AC225" s="105"/>
      <c r="AD225" s="105"/>
      <c r="AE225" s="105"/>
      <c r="AF225" s="105"/>
      <c r="AG225" s="105"/>
      <c r="AH225" s="105"/>
      <c r="AI225" s="105"/>
      <c r="AJ225" s="171"/>
      <c r="AK225" s="105"/>
      <c r="AL225" s="91"/>
      <c r="AM225" s="91"/>
      <c r="AN225" s="91"/>
      <c r="AO225" s="105"/>
      <c r="AP225" s="105"/>
      <c r="AQ225" s="105"/>
      <c r="AR225" s="105">
        <f>IF($AR$14&gt;0,'Assumptions (Coal)'!V10*Model!$AR$14*AVERAGE('Assumptions (Coal)'!$AK$2:$AP$2)/10^9,0)</f>
        <v>0.94870394183987816</v>
      </c>
      <c r="AS225" s="105">
        <f>IF($AR$14&gt;0,'Assumptions (Coal)'!W10*Model!$AR$14*AVERAGE('Assumptions (Coal)'!$AK$2:$AP$2)/10^9,0)</f>
        <v>1.8263183349712218</v>
      </c>
      <c r="AT225" s="105">
        <f>IF($AR$14&gt;0,'Assumptions (Coal)'!X10*Model!$AR$14*AVERAGE('Assumptions (Coal)'!$AK$2:$AP$2)/10^9,0)</f>
        <v>1.6891989919106312</v>
      </c>
      <c r="AU225" s="105">
        <f>IF($AR$14&gt;0,'Assumptions (Coal)'!Y10*Model!$AR$14*AVERAGE('Assumptions (Coal)'!$AK$2:$AP$2)/10^9,0)</f>
        <v>1.5627051329986474</v>
      </c>
      <c r="AV225" s="105">
        <f>IF($AR$14&gt;0,'Assumptions (Coal)'!Z10*Model!$AR$14*AVERAGE('Assumptions (Coal)'!$AK$2:$AP$2)/10^9,0)</f>
        <v>1.4453188319283266</v>
      </c>
      <c r="AW225" s="105">
        <f>IF($AR$14&gt;0,'Assumptions (Coal)'!AA10*Model!$AR$14*AVERAGE('Assumptions (Coal)'!$AK$2:$AP$2)/10^9,0)</f>
        <v>1.3370400886996687</v>
      </c>
      <c r="AX225" s="105">
        <f>IF($AR$14&gt;0,'Assumptions (Coal)'!AB10*Model!$AR$14*AVERAGE('Assumptions (Coal)'!$AK$2:$AP$2)/10^9,0)</f>
        <v>1.2366039647235534</v>
      </c>
      <c r="AY225" s="105">
        <f>IF($AR$14&gt;0,'Assumptions (Coal)'!AC10*Model!$AR$14*AVERAGE('Assumptions (Coal)'!$AK$2:$AP$2)/10^9,0)</f>
        <v>1.1440104599999812</v>
      </c>
      <c r="AZ225" s="105">
        <f>IF($AR$14&gt;0,'Assumptions (Coal)'!AD10*Model!$AR$14*AVERAGE('Assumptions (Coal)'!$AK$2:$AP$2)/10^9,0)</f>
        <v>1.1288311969305431</v>
      </c>
      <c r="BA225" s="105">
        <f>IF($AR$14&gt;0,'Assumptions (Coal)'!AE10*Model!$AR$14*AVERAGE('Assumptions (Coal)'!$AK$2:$AP$2)/10^9,0)</f>
        <v>1.1285782092127192</v>
      </c>
      <c r="BB225" s="105">
        <f>IF($AR$14&gt;0,'Assumptions (Coal)'!AF10*Model!$AR$14*AVERAGE('Assumptions (Coal)'!$AK$2:$AP$2)/10^9,0)</f>
        <v>1.1288311969305431</v>
      </c>
      <c r="BC225" s="105">
        <f>IF($AR$14&gt;0,'Assumptions (Coal)'!AG10*Model!$AR$14*AVERAGE('Assumptions (Coal)'!$AK$2:$AP$2)/10^9,0)</f>
        <v>1.1285782092127192</v>
      </c>
      <c r="BD225" s="105">
        <f>IF($AR$14&gt;0,'Assumptions (Coal)'!AH10*Model!$AR$14*AVERAGE('Assumptions (Coal)'!$AK$2:$AP$2)/10^9,0)</f>
        <v>1.1288311969305431</v>
      </c>
      <c r="BE225" s="105">
        <f>IF($AR$14&gt;0,'Assumptions (Coal)'!AI10*Model!$AR$14*AVERAGE('Assumptions (Coal)'!$AK$2:$AP$2)/10^9,0)</f>
        <v>1.1285782092127192</v>
      </c>
      <c r="BF225" s="105">
        <f>IF($AR$14&gt;0,'Assumptions (Coal)'!AJ10*Model!$AR$14*AVERAGE('Assumptions (Coal)'!$AK$2:$AP$2)/10^9,0)</f>
        <v>1.1288311969305431</v>
      </c>
      <c r="BG225" s="105">
        <f>IF($AR$14&gt;0,'Assumptions (Coal)'!AK10*Model!$AR$14*AVERAGE('Assumptions (Coal)'!$AK$2:$AP$2)/10^9,0)</f>
        <v>1.1285782092127192</v>
      </c>
      <c r="BH225" s="105">
        <f>IF($AR$14&gt;0,'Assumptions (Coal)'!AL10*Model!$AR$14*AVERAGE('Assumptions (Coal)'!$AK$2:$AP$2)/10^9,0)</f>
        <v>1.1288311969305431</v>
      </c>
      <c r="BI225" s="105">
        <f>IF($AR$14&gt;0,'Assumptions (Coal)'!AM10*Model!$AR$14*AVERAGE('Assumptions (Coal)'!$AK$2:$AP$2)/10^9,0)</f>
        <v>1.1285782092127192</v>
      </c>
      <c r="BJ225" s="105">
        <f>IF($AR$14&gt;0,'Assumptions (Coal)'!AN10*Model!$AR$14*AVERAGE('Assumptions (Coal)'!$AK$2:$AP$2)/10^9,0)</f>
        <v>1.1288311969305431</v>
      </c>
      <c r="BK225" s="105">
        <f>IF($AR$14&gt;0,'Assumptions (Coal)'!AO10*Model!$AR$14*AVERAGE('Assumptions (Coal)'!$AK$2:$AP$2)/10^9,0)</f>
        <v>1.1285782092127192</v>
      </c>
      <c r="BL225" s="105">
        <f>IF($AR$14&gt;0,'Assumptions (Coal)'!AP10*Model!$AR$14*AVERAGE('Assumptions (Coal)'!$AK$2:$AP$2)/10^9,0)</f>
        <v>0.56441559846527156</v>
      </c>
      <c r="BM225" s="105"/>
      <c r="BN225" s="105"/>
      <c r="BO225" s="105"/>
      <c r="BP225" s="105"/>
    </row>
    <row r="226" spans="1:77" ht="15.75" hidden="1" customHeight="1" outlineLevel="1">
      <c r="A226" s="98"/>
      <c r="B226" s="99"/>
      <c r="C226" s="99"/>
      <c r="D226" s="99"/>
      <c r="E226" s="99"/>
      <c r="F226" s="99"/>
      <c r="G226" s="99"/>
      <c r="H226" s="99"/>
      <c r="I226" s="99"/>
      <c r="J226" s="99"/>
      <c r="K226" s="99"/>
      <c r="L226" s="99"/>
      <c r="M226" s="99"/>
      <c r="N226" s="99"/>
      <c r="O226" s="99"/>
      <c r="P226" s="99"/>
      <c r="Q226" s="99"/>
      <c r="R226" s="99"/>
      <c r="S226" s="99"/>
      <c r="T226" s="99"/>
      <c r="U226" s="99"/>
      <c r="V226" s="99"/>
      <c r="W226" s="105"/>
      <c r="X226" s="105"/>
      <c r="Y226" s="105"/>
      <c r="Z226" s="105"/>
      <c r="AA226" s="105"/>
      <c r="AB226" s="105"/>
      <c r="AC226" s="105"/>
      <c r="AD226" s="105"/>
      <c r="AE226" s="105"/>
      <c r="AF226" s="105"/>
      <c r="AG226" s="105"/>
      <c r="AH226" s="105"/>
      <c r="AI226" s="105"/>
      <c r="AJ226" s="171"/>
      <c r="AK226" s="105"/>
      <c r="AL226" s="91"/>
      <c r="AM226" s="91"/>
      <c r="AN226" s="91"/>
      <c r="AO226" s="105"/>
      <c r="AP226" s="105"/>
      <c r="AQ226" s="105"/>
      <c r="AR226" s="105"/>
      <c r="AS226" s="105">
        <f>IF($AS$14&gt;0,'Assumptions (Coal)'!V10*Model!$AS$14*AVERAGE('Assumptions (Coal)'!$AL$2:$AQ$2)/10^9,0)</f>
        <v>0.5146741409641572</v>
      </c>
      <c r="AT226" s="105">
        <f>IF($AS$14&gt;0,'Assumptions (Coal)'!W10*Model!$AS$14*AVERAGE('Assumptions (Coal)'!$AL$2:$AQ$2)/10^9,0)</f>
        <v>0.99078203296540035</v>
      </c>
      <c r="AU226" s="105">
        <f>IF($AS$14&gt;0,'Assumptions (Coal)'!X10*Model!$AS$14*AVERAGE('Assumptions (Coal)'!$AL$2:$AQ$2)/10^9,0)</f>
        <v>0.91639446379138079</v>
      </c>
      <c r="AV226" s="105">
        <f>IF($AS$14&gt;0,'Assumptions (Coal)'!Y10*Model!$AS$14*AVERAGE('Assumptions (Coal)'!$AL$2:$AQ$2)/10^9,0)</f>
        <v>0.84777124499615975</v>
      </c>
      <c r="AW226" s="105">
        <f>IF($AS$14&gt;0,'Assumptions (Coal)'!Z10*Model!$AS$14*AVERAGE('Assumptions (Coal)'!$AL$2:$AQ$2)/10^9,0)</f>
        <v>0.78408889795419479</v>
      </c>
      <c r="AX226" s="105">
        <f>IF($AS$14&gt;0,'Assumptions (Coal)'!AA10*Model!$AS$14*AVERAGE('Assumptions (Coal)'!$AL$2:$AQ$2)/10^9,0)</f>
        <v>0.72534742266548557</v>
      </c>
      <c r="AY226" s="105">
        <f>IF($AS$14&gt;0,'Assumptions (Coal)'!AB10*Model!$AS$14*AVERAGE('Assumptions (Coal)'!$AL$2:$AQ$2)/10^9,0)</f>
        <v>0.67086058694208028</v>
      </c>
      <c r="AZ226" s="105">
        <f>IF($AS$14&gt;0,'Assumptions (Coal)'!AC10*Model!$AS$14*AVERAGE('Assumptions (Coal)'!$AL$2:$AQ$2)/10^9,0)</f>
        <v>0.62062839078397847</v>
      </c>
      <c r="BA226" s="105">
        <f>IF($AS$14&gt;0,'Assumptions (Coal)'!AD10*Model!$AS$14*AVERAGE('Assumptions (Coal)'!$AL$2:$AQ$2)/10^9,0)</f>
        <v>0.61239360452855196</v>
      </c>
      <c r="BB226" s="105">
        <f>IF($AS$14&gt;0,'Assumptions (Coal)'!AE10*Model!$AS$14*AVERAGE('Assumptions (Coal)'!$AL$2:$AQ$2)/10^9,0)</f>
        <v>0.61225635809096135</v>
      </c>
      <c r="BC226" s="105">
        <f>IF($AS$14&gt;0,'Assumptions (Coal)'!AF10*Model!$AS$14*AVERAGE('Assumptions (Coal)'!$AL$2:$AQ$2)/10^9,0)</f>
        <v>0.61239360452855196</v>
      </c>
      <c r="BD226" s="105">
        <f>IF($AS$14&gt;0,'Assumptions (Coal)'!AG10*Model!$AS$14*AVERAGE('Assumptions (Coal)'!$AL$2:$AQ$2)/10^9,0)</f>
        <v>0.61225635809096135</v>
      </c>
      <c r="BE226" s="105">
        <f>IF($AS$14&gt;0,'Assumptions (Coal)'!AH10*Model!$AS$14*AVERAGE('Assumptions (Coal)'!$AL$2:$AQ$2)/10^9,0)</f>
        <v>0.61239360452855196</v>
      </c>
      <c r="BF226" s="105">
        <f>IF($AS$14&gt;0,'Assumptions (Coal)'!AI10*Model!$AS$14*AVERAGE('Assumptions (Coal)'!$AL$2:$AQ$2)/10^9,0)</f>
        <v>0.61225635809096135</v>
      </c>
      <c r="BG226" s="105">
        <f>IF($AS$14&gt;0,'Assumptions (Coal)'!AJ10*Model!$AS$14*AVERAGE('Assumptions (Coal)'!$AL$2:$AQ$2)/10^9,0)</f>
        <v>0.61239360452855196</v>
      </c>
      <c r="BH226" s="105">
        <f>IF($AS$14&gt;0,'Assumptions (Coal)'!AK10*Model!$AS$14*AVERAGE('Assumptions (Coal)'!$AL$2:$AQ$2)/10^9,0)</f>
        <v>0.61225635809096135</v>
      </c>
      <c r="BI226" s="105">
        <f>IF($AS$14&gt;0,'Assumptions (Coal)'!AL10*Model!$AS$14*AVERAGE('Assumptions (Coal)'!$AL$2:$AQ$2)/10^9,0)</f>
        <v>0.61239360452855196</v>
      </c>
      <c r="BJ226" s="105">
        <f>IF($AS$14&gt;0,'Assumptions (Coal)'!AM10*Model!$AS$14*AVERAGE('Assumptions (Coal)'!$AL$2:$AQ$2)/10^9,0)</f>
        <v>0.61225635809096135</v>
      </c>
      <c r="BK226" s="105">
        <f>IF($AS$14&gt;0,'Assumptions (Coal)'!AN10*Model!$AS$14*AVERAGE('Assumptions (Coal)'!$AL$2:$AQ$2)/10^9,0)</f>
        <v>0.61239360452855196</v>
      </c>
      <c r="BL226" s="105">
        <f>IF($AS$14&gt;0,'Assumptions (Coal)'!AO10*Model!$AS$14*AVERAGE('Assumptions (Coal)'!$AL$2:$AQ$2)/10^9,0)</f>
        <v>0.61225635809096135</v>
      </c>
      <c r="BM226" s="105">
        <f>IF($AS$14&gt;0,'Assumptions (Coal)'!AP10*Model!$AS$14*AVERAGE('Assumptions (Coal)'!$AL$2:$AQ$2)/10^9,0)</f>
        <v>0.30619680226427598</v>
      </c>
      <c r="BN226" s="105"/>
      <c r="BO226" s="105"/>
      <c r="BP226" s="105"/>
      <c r="BQ226" s="105"/>
      <c r="BR226" s="105"/>
    </row>
    <row r="227" spans="1:77" ht="15.75" hidden="1" customHeight="1" outlineLevel="1">
      <c r="A227" s="98"/>
      <c r="B227" s="99"/>
      <c r="C227" s="99"/>
      <c r="D227" s="99"/>
      <c r="E227" s="99"/>
      <c r="F227" s="99"/>
      <c r="G227" s="99"/>
      <c r="H227" s="99"/>
      <c r="I227" s="99"/>
      <c r="J227" s="99"/>
      <c r="K227" s="99"/>
      <c r="L227" s="99"/>
      <c r="M227" s="99"/>
      <c r="N227" s="99"/>
      <c r="O227" s="99"/>
      <c r="P227" s="99"/>
      <c r="Q227" s="99"/>
      <c r="R227" s="99"/>
      <c r="S227" s="99"/>
      <c r="T227" s="99"/>
      <c r="U227" s="99"/>
      <c r="V227" s="99"/>
      <c r="W227" s="105"/>
      <c r="X227" s="105"/>
      <c r="Y227" s="105"/>
      <c r="Z227" s="105"/>
      <c r="AA227" s="105"/>
      <c r="AB227" s="105"/>
      <c r="AC227" s="105"/>
      <c r="AD227" s="105"/>
      <c r="AE227" s="105"/>
      <c r="AF227" s="105"/>
      <c r="AG227" s="105"/>
      <c r="AH227" s="105"/>
      <c r="AI227" s="105"/>
      <c r="AJ227" s="171"/>
      <c r="AK227" s="105"/>
      <c r="AL227" s="91"/>
      <c r="AM227" s="91"/>
      <c r="AN227" s="91"/>
      <c r="AO227" s="105"/>
      <c r="AP227" s="105"/>
      <c r="AQ227" s="105"/>
      <c r="AR227" s="105"/>
      <c r="AS227" s="105"/>
      <c r="AT227" s="105">
        <f>IF($AT$14&gt;0,'Assumptions (Coal)'!V10*Model!$AT$14*AVERAGE('Assumptions (Coal)'!$AM$2:$AR$2)/10^9,0)</f>
        <v>1.8601405775746667</v>
      </c>
      <c r="AU227" s="105">
        <f>IF($AT$14&gt;0,'Assumptions (Coal)'!W10*Model!$AT$14*AVERAGE('Assumptions (Coal)'!$AM$2:$AR$2)/10^9,0)</f>
        <v>3.5808946212030719</v>
      </c>
      <c r="AV227" s="105">
        <f>IF($AT$14&gt;0,'Assumptions (Coal)'!X10*Model!$AT$14*AVERAGE('Assumptions (Coal)'!$AM$2:$AR$2)/10^9,0)</f>
        <v>3.3120423030576127</v>
      </c>
      <c r="AW227" s="105">
        <f>IF($AT$14&gt;0,'Assumptions (Coal)'!Y10*Model!$AT$14*AVERAGE('Assumptions (Coal)'!$AM$2:$AR$2)/10^9,0)</f>
        <v>3.064023559380991</v>
      </c>
      <c r="AX227" s="105">
        <f>IF($AT$14&gt;0,'Assumptions (Coal)'!Z10*Model!$AT$14*AVERAGE('Assumptions (Coal)'!$AM$2:$AR$2)/10^9,0)</f>
        <v>2.8338621652490854</v>
      </c>
      <c r="AY227" s="105">
        <f>IF($AT$14&gt;0,'Assumptions (Coal)'!AA10*Model!$AT$14*AVERAGE('Assumptions (Coal)'!$AM$2:$AR$2)/10^9,0)</f>
        <v>2.6215581206618972</v>
      </c>
      <c r="AZ227" s="105">
        <f>IF($AT$14&gt;0,'Assumptions (Coal)'!AB10*Model!$AT$14*AVERAGE('Assumptions (Coal)'!$AM$2:$AR$2)/10^9,0)</f>
        <v>2.4246312381826587</v>
      </c>
      <c r="BA227" s="105">
        <f>IF($AT$14&gt;0,'Assumptions (Coal)'!AC10*Model!$AT$14*AVERAGE('Assumptions (Coal)'!$AM$2:$AR$2)/10^9,0)</f>
        <v>2.2430815178113717</v>
      </c>
      <c r="BB227" s="105">
        <f>IF($AT$14&gt;0,'Assumptions (Coal)'!AD10*Model!$AT$14*AVERAGE('Assumptions (Coal)'!$AM$2:$AR$2)/10^9,0)</f>
        <v>2.2133192685701766</v>
      </c>
      <c r="BC227" s="105">
        <f>IF($AT$14&gt;0,'Assumptions (Coal)'!AE10*Model!$AT$14*AVERAGE('Assumptions (Coal)'!$AM$2:$AR$2)/10^9,0)</f>
        <v>2.2128232310828237</v>
      </c>
      <c r="BD227" s="105">
        <f>IF($AT$14&gt;0,'Assumptions (Coal)'!AF10*Model!$AT$14*AVERAGE('Assumptions (Coal)'!$AM$2:$AR$2)/10^9,0)</f>
        <v>2.2133192685701766</v>
      </c>
      <c r="BE227" s="105">
        <f>IF($AT$14&gt;0,'Assumptions (Coal)'!AG10*Model!$AT$14*AVERAGE('Assumptions (Coal)'!$AM$2:$AR$2)/10^9,0)</f>
        <v>2.2128232310828237</v>
      </c>
      <c r="BF227" s="105">
        <f>IF($AT$14&gt;0,'Assumptions (Coal)'!AH10*Model!$AT$14*AVERAGE('Assumptions (Coal)'!$AM$2:$AR$2)/10^9,0)</f>
        <v>2.2133192685701766</v>
      </c>
      <c r="BG227" s="105">
        <f>IF($AT$14&gt;0,'Assumptions (Coal)'!AI10*Model!$AT$14*AVERAGE('Assumptions (Coal)'!$AM$2:$AR$2)/10^9,0)</f>
        <v>2.2128232310828237</v>
      </c>
      <c r="BH227" s="105">
        <f>IF($AT$14&gt;0,'Assumptions (Coal)'!AJ10*Model!$AT$14*AVERAGE('Assumptions (Coal)'!$AM$2:$AR$2)/10^9,0)</f>
        <v>2.2133192685701766</v>
      </c>
      <c r="BI227" s="105">
        <f>IF($AT$14&gt;0,'Assumptions (Coal)'!AK10*Model!$AT$14*AVERAGE('Assumptions (Coal)'!$AM$2:$AR$2)/10^9,0)</f>
        <v>2.2128232310828237</v>
      </c>
      <c r="BJ227" s="105">
        <f>IF($AT$14&gt;0,'Assumptions (Coal)'!AL10*Model!$AT$14*AVERAGE('Assumptions (Coal)'!$AM$2:$AR$2)/10^9,0)</f>
        <v>2.2133192685701766</v>
      </c>
      <c r="BK227" s="105">
        <f>IF($AT$14&gt;0,'Assumptions (Coal)'!AM10*Model!$AT$14*AVERAGE('Assumptions (Coal)'!$AM$2:$AR$2)/10^9,0)</f>
        <v>2.2128232310828237</v>
      </c>
      <c r="BL227" s="105">
        <f>IF($AT$14&gt;0,'Assumptions (Coal)'!AN10*Model!$AT$14*AVERAGE('Assumptions (Coal)'!$AM$2:$AR$2)/10^9,0)</f>
        <v>2.2133192685701766</v>
      </c>
      <c r="BM227" s="105">
        <f>IF($AT$14&gt;0,'Assumptions (Coal)'!AO10*Model!$AT$14*AVERAGE('Assumptions (Coal)'!$AM$2:$AR$2)/10^9,0)</f>
        <v>2.2128232310828237</v>
      </c>
      <c r="BN227" s="105">
        <f>IF($AT$14&gt;0,'Assumptions (Coal)'!AP10*Model!$AT$14*AVERAGE('Assumptions (Coal)'!$AM$2:$AR$2)/10^9,0)</f>
        <v>1.1066596342850883</v>
      </c>
      <c r="BO227" s="105"/>
      <c r="BP227" s="105"/>
      <c r="BQ227" s="105"/>
      <c r="BR227" s="105"/>
    </row>
    <row r="228" spans="1:77" ht="15.75" hidden="1" customHeight="1" outlineLevel="1">
      <c r="A228" s="98"/>
      <c r="B228" s="99"/>
      <c r="C228" s="99"/>
      <c r="D228" s="99"/>
      <c r="E228" s="99"/>
      <c r="F228" s="99"/>
      <c r="G228" s="99"/>
      <c r="H228" s="99"/>
      <c r="I228" s="99"/>
      <c r="J228" s="99"/>
      <c r="K228" s="99"/>
      <c r="L228" s="99"/>
      <c r="M228" s="99"/>
      <c r="N228" s="99"/>
      <c r="O228" s="99"/>
      <c r="P228" s="99"/>
      <c r="Q228" s="99"/>
      <c r="R228" s="99"/>
      <c r="S228" s="99"/>
      <c r="T228" s="99"/>
      <c r="U228" s="99"/>
      <c r="V228" s="99"/>
      <c r="W228" s="105"/>
      <c r="X228" s="105"/>
      <c r="Y228" s="105"/>
      <c r="Z228" s="105"/>
      <c r="AA228" s="105"/>
      <c r="AB228" s="105"/>
      <c r="AC228" s="105"/>
      <c r="AD228" s="105"/>
      <c r="AE228" s="105"/>
      <c r="AF228" s="105"/>
      <c r="AG228" s="105"/>
      <c r="AH228" s="105"/>
      <c r="AI228" s="105"/>
      <c r="AJ228" s="171"/>
      <c r="AK228" s="105"/>
      <c r="AL228" s="91"/>
      <c r="AM228" s="91"/>
      <c r="AN228" s="91"/>
      <c r="AO228" s="105"/>
      <c r="AP228" s="105"/>
      <c r="AQ228" s="105"/>
      <c r="AR228" s="105"/>
      <c r="AS228" s="105"/>
      <c r="AT228" s="105"/>
      <c r="AU228" s="105">
        <f>IF($AU$14&gt;0,'Assumptions (Coal)'!V10*Model!$AU$14*AVERAGE('Assumptions (Coal)'!$AN$2:$AS$2)/10^9,0)</f>
        <v>0.40674422304293234</v>
      </c>
      <c r="AV228" s="105">
        <f>IF($AU$14&gt;0,'Assumptions (Coal)'!W10*Model!$AU$14*AVERAGE('Assumptions (Coal)'!$AN$2:$AS$2)/10^9,0)</f>
        <v>0.78300974563918102</v>
      </c>
      <c r="AW228" s="105">
        <f>IF($AU$14&gt;0,'Assumptions (Coal)'!X10*Model!$AU$14*AVERAGE('Assumptions (Coal)'!$AN$2:$AS$2)/10^9,0)</f>
        <v>0.72422164726870919</v>
      </c>
      <c r="AX228" s="105">
        <f>IF($AU$14&gt;0,'Assumptions (Coal)'!Y10*Model!$AU$14*AVERAGE('Assumptions (Coal)'!$AN$2:$AS$2)/10^9,0)</f>
        <v>0.6699890841963182</v>
      </c>
      <c r="AY228" s="105">
        <f>IF($AU$14&gt;0,'Assumptions (Coal)'!Z10*Model!$AU$14*AVERAGE('Assumptions (Coal)'!$AN$2:$AS$2)/10^9,0)</f>
        <v>0.61966126566513935</v>
      </c>
      <c r="AZ228" s="105">
        <f>IF($AU$14&gt;0,'Assumptions (Coal)'!AA10*Model!$AU$14*AVERAGE('Assumptions (Coal)'!$AN$2:$AS$2)/10^9,0)</f>
        <v>0.57323819167517265</v>
      </c>
      <c r="BA228" s="105">
        <f>IF($AU$14&gt;0,'Assumptions (Coal)'!AB10*Model!$AU$14*AVERAGE('Assumptions (Coal)'!$AN$2:$AS$2)/10^9,0)</f>
        <v>0.53017753659569422</v>
      </c>
      <c r="BB228" s="105">
        <f>IF($AU$14&gt;0,'Assumptions (Coal)'!AC10*Model!$AU$14*AVERAGE('Assumptions (Coal)'!$AN$2:$AS$2)/10^9,0)</f>
        <v>0.49047930042670407</v>
      </c>
      <c r="BC228" s="105">
        <f>IF($AU$14&gt;0,'Assumptions (Coal)'!AD10*Model!$AU$14*AVERAGE('Assumptions (Coal)'!$AN$2:$AS$2)/10^9,0)</f>
        <v>0.4839713928580171</v>
      </c>
      <c r="BD228" s="105">
        <f>IF($AU$14&gt;0,'Assumptions (Coal)'!AE10*Model!$AU$14*AVERAGE('Assumptions (Coal)'!$AN$2:$AS$2)/10^9,0)</f>
        <v>0.48386292773187234</v>
      </c>
      <c r="BE228" s="105">
        <f>IF($AU$14&gt;0,'Assumptions (Coal)'!AF10*Model!$AU$14*AVERAGE('Assumptions (Coal)'!$AN$2:$AS$2)/10^9,0)</f>
        <v>0.4839713928580171</v>
      </c>
      <c r="BF228" s="105">
        <f>IF($AU$14&gt;0,'Assumptions (Coal)'!AG10*Model!$AU$14*AVERAGE('Assumptions (Coal)'!$AN$2:$AS$2)/10^9,0)</f>
        <v>0.48386292773187234</v>
      </c>
      <c r="BG228" s="105">
        <f>IF($AU$14&gt;0,'Assumptions (Coal)'!AH10*Model!$AU$14*AVERAGE('Assumptions (Coal)'!$AN$2:$AS$2)/10^9,0)</f>
        <v>0.4839713928580171</v>
      </c>
      <c r="BH228" s="105">
        <f>IF($AU$14&gt;0,'Assumptions (Coal)'!AI10*Model!$AU$14*AVERAGE('Assumptions (Coal)'!$AN$2:$AS$2)/10^9,0)</f>
        <v>0.48386292773187234</v>
      </c>
      <c r="BI228" s="105">
        <f>IF($AU$14&gt;0,'Assumptions (Coal)'!AJ10*Model!$AU$14*AVERAGE('Assumptions (Coal)'!$AN$2:$AS$2)/10^9,0)</f>
        <v>0.4839713928580171</v>
      </c>
      <c r="BJ228" s="105">
        <f>IF($AU$14&gt;0,'Assumptions (Coal)'!AK10*Model!$AU$14*AVERAGE('Assumptions (Coal)'!$AN$2:$AS$2)/10^9,0)</f>
        <v>0.48386292773187234</v>
      </c>
      <c r="BK228" s="105">
        <f>IF($AU$14&gt;0,'Assumptions (Coal)'!AL10*Model!$AU$14*AVERAGE('Assumptions (Coal)'!$AN$2:$AS$2)/10^9,0)</f>
        <v>0.4839713928580171</v>
      </c>
      <c r="BL228" s="105">
        <f>IF($AU$14&gt;0,'Assumptions (Coal)'!AM10*Model!$AU$14*AVERAGE('Assumptions (Coal)'!$AN$2:$AS$2)/10^9,0)</f>
        <v>0.48386292773187234</v>
      </c>
      <c r="BM228" s="105">
        <f>IF($AU$14&gt;0,'Assumptions (Coal)'!AN10*Model!$AU$14*AVERAGE('Assumptions (Coal)'!$AN$2:$AS$2)/10^9,0)</f>
        <v>0.4839713928580171</v>
      </c>
      <c r="BN228" s="105">
        <f>IF($AU$14&gt;0,'Assumptions (Coal)'!AO10*Model!$AU$14*AVERAGE('Assumptions (Coal)'!$AN$2:$AS$2)/10^9,0)</f>
        <v>0.48386292773187234</v>
      </c>
      <c r="BO228" s="105">
        <f>IF($AU$14&gt;0,'Assumptions (Coal)'!AP10*Model!$AU$14*AVERAGE('Assumptions (Coal)'!$AN$2:$AS$2)/10^9,0)</f>
        <v>0.24198569642900855</v>
      </c>
      <c r="BP228" s="105"/>
      <c r="BQ228" s="105"/>
      <c r="BR228" s="105"/>
      <c r="BS228" s="105"/>
    </row>
    <row r="229" spans="1:77" ht="15.75" hidden="1" customHeight="1" outlineLevel="1">
      <c r="A229" s="98"/>
      <c r="B229" s="99"/>
      <c r="C229" s="99"/>
      <c r="D229" s="99"/>
      <c r="E229" s="99"/>
      <c r="F229" s="99"/>
      <c r="G229" s="99"/>
      <c r="H229" s="99"/>
      <c r="I229" s="99"/>
      <c r="J229" s="99"/>
      <c r="K229" s="99"/>
      <c r="L229" s="99"/>
      <c r="M229" s="99"/>
      <c r="N229" s="99"/>
      <c r="O229" s="99"/>
      <c r="P229" s="99"/>
      <c r="Q229" s="99"/>
      <c r="R229" s="99"/>
      <c r="S229" s="99"/>
      <c r="T229" s="99"/>
      <c r="U229" s="99"/>
      <c r="V229" s="99"/>
      <c r="W229" s="105"/>
      <c r="X229" s="105"/>
      <c r="Y229" s="105"/>
      <c r="Z229" s="105"/>
      <c r="AA229" s="105"/>
      <c r="AB229" s="105"/>
      <c r="AC229" s="105"/>
      <c r="AD229" s="105"/>
      <c r="AE229" s="105"/>
      <c r="AF229" s="105"/>
      <c r="AG229" s="105"/>
      <c r="AH229" s="105"/>
      <c r="AI229" s="105"/>
      <c r="AJ229" s="171"/>
      <c r="AK229" s="105"/>
      <c r="AL229" s="91"/>
      <c r="AM229" s="91"/>
      <c r="AN229" s="91"/>
      <c r="AO229" s="105"/>
      <c r="AP229" s="105"/>
      <c r="AQ229" s="105"/>
      <c r="AR229" s="105"/>
      <c r="AS229" s="105"/>
      <c r="AT229" s="105"/>
      <c r="AU229" s="105"/>
      <c r="AV229" s="105">
        <f>IF($AV$14&gt;0,'Assumptions (Coal)'!V10*Model!$AV$14*AVERAGE('Assumptions (Coal)'!$AO$2:$AT$2)/10^9,0)</f>
        <v>0.76995446061855444</v>
      </c>
      <c r="AW229" s="105">
        <f>IF($AV$14&gt;0,'Assumptions (Coal)'!W10*Model!$AV$14*AVERAGE('Assumptions (Coal)'!$AO$2:$AT$2)/10^9,0)</f>
        <v>1.4822136669880919</v>
      </c>
      <c r="AX229" s="105">
        <f>IF($AV$14&gt;0,'Assumptions (Coal)'!X10*Model!$AV$14*AVERAGE('Assumptions (Coal)'!$AO$2:$AT$2)/10^9,0)</f>
        <v>1.3709295822800234</v>
      </c>
      <c r="AY229" s="105">
        <f>IF($AV$14&gt;0,'Assumptions (Coal)'!Y10*Model!$AV$14*AVERAGE('Assumptions (Coal)'!$AO$2:$AT$2)/10^9,0)</f>
        <v>1.2682689875308828</v>
      </c>
      <c r="AZ229" s="105">
        <f>IF($AV$14&gt;0,'Assumptions (Coal)'!Z10*Model!$AV$14*AVERAGE('Assumptions (Coal)'!$AO$2:$AT$2)/10^9,0)</f>
        <v>1.1729999556036805</v>
      </c>
      <c r="BA229" s="105">
        <f>IF($AV$14&gt;0,'Assumptions (Coal)'!AA10*Model!$AV$14*AVERAGE('Assumptions (Coal)'!$AO$2:$AT$2)/10^9,0)</f>
        <v>1.0851224864984161</v>
      </c>
      <c r="BB229" s="105">
        <f>IF($AV$14&gt;0,'Assumptions (Coal)'!AB10*Model!$AV$14*AVERAGE('Assumptions (Coal)'!$AO$2:$AT$2)/10^9,0)</f>
        <v>1.0036099742675983</v>
      </c>
      <c r="BC229" s="105">
        <f>IF($AV$14&gt;0,'Assumptions (Coal)'!AC10*Model!$AV$14*AVERAGE('Assumptions (Coal)'!$AO$2:$AT$2)/10^9,0)</f>
        <v>0.92846241891122772</v>
      </c>
      <c r="BD229" s="105">
        <f>IF($AV$14&gt;0,'Assumptions (Coal)'!AD10*Model!$AV$14*AVERAGE('Assumptions (Coal)'!$AO$2:$AT$2)/10^9,0)</f>
        <v>0.91614314754133075</v>
      </c>
      <c r="BE229" s="105">
        <f>IF($AV$14&gt;0,'Assumptions (Coal)'!AE10*Model!$AV$14*AVERAGE('Assumptions (Coal)'!$AO$2:$AT$2)/10^9,0)</f>
        <v>0.91593782635183241</v>
      </c>
      <c r="BF229" s="105">
        <f>IF($AV$14&gt;0,'Assumptions (Coal)'!AF10*Model!$AV$14*AVERAGE('Assumptions (Coal)'!$AO$2:$AT$2)/10^9,0)</f>
        <v>0.91614314754133075</v>
      </c>
      <c r="BG229" s="105">
        <f>IF($AV$14&gt;0,'Assumptions (Coal)'!AG10*Model!$AV$14*AVERAGE('Assumptions (Coal)'!$AO$2:$AT$2)/10^9,0)</f>
        <v>0.91593782635183241</v>
      </c>
      <c r="BH229" s="105">
        <f>IF($AV$14&gt;0,'Assumptions (Coal)'!AH10*Model!$AV$14*AVERAGE('Assumptions (Coal)'!$AO$2:$AT$2)/10^9,0)</f>
        <v>0.91614314754133075</v>
      </c>
      <c r="BI229" s="105">
        <f>IF($AV$14&gt;0,'Assumptions (Coal)'!AI10*Model!$AV$14*AVERAGE('Assumptions (Coal)'!$AO$2:$AT$2)/10^9,0)</f>
        <v>0.91593782635183241</v>
      </c>
      <c r="BJ229" s="105">
        <f>IF($AV$14&gt;0,'Assumptions (Coal)'!AJ10*Model!$AV$14*AVERAGE('Assumptions (Coal)'!$AO$2:$AT$2)/10^9,0)</f>
        <v>0.91614314754133075</v>
      </c>
      <c r="BK229" s="105">
        <f>IF($AV$14&gt;0,'Assumptions (Coal)'!AK10*Model!$AV$14*AVERAGE('Assumptions (Coal)'!$AO$2:$AT$2)/10^9,0)</f>
        <v>0.91593782635183241</v>
      </c>
      <c r="BL229" s="105">
        <f>IF($AV$14&gt;0,'Assumptions (Coal)'!AL10*Model!$AV$14*AVERAGE('Assumptions (Coal)'!$AO$2:$AT$2)/10^9,0)</f>
        <v>0.91614314754133075</v>
      </c>
      <c r="BM229" s="105">
        <f>IF($AV$14&gt;0,'Assumptions (Coal)'!AM10*Model!$AV$14*AVERAGE('Assumptions (Coal)'!$AO$2:$AT$2)/10^9,0)</f>
        <v>0.91593782635183241</v>
      </c>
      <c r="BN229" s="105">
        <f>IF($AV$14&gt;0,'Assumptions (Coal)'!AN10*Model!$AV$14*AVERAGE('Assumptions (Coal)'!$AO$2:$AT$2)/10^9,0)</f>
        <v>0.91614314754133075</v>
      </c>
      <c r="BO229" s="105">
        <f>IF($AV$14&gt;0,'Assumptions (Coal)'!AO10*Model!$AV$14*AVERAGE('Assumptions (Coal)'!$AO$2:$AT$2)/10^9,0)</f>
        <v>0.91593782635183241</v>
      </c>
      <c r="BP229" s="105">
        <f>IF($AV$14&gt;0,'Assumptions (Coal)'!AP10*Model!$AV$14*AVERAGE('Assumptions (Coal)'!$AO$2:$AT$2)/10^9,0)</f>
        <v>0.45807157377066537</v>
      </c>
      <c r="BQ229" s="105"/>
      <c r="BR229" s="105"/>
      <c r="BS229" s="105"/>
      <c r="BT229" s="105"/>
    </row>
    <row r="230" spans="1:77" ht="15.75" hidden="1" customHeight="1" outlineLevel="1">
      <c r="A230" s="98"/>
      <c r="B230" s="99"/>
      <c r="C230" s="99"/>
      <c r="D230" s="99"/>
      <c r="E230" s="99"/>
      <c r="F230" s="99"/>
      <c r="G230" s="99"/>
      <c r="H230" s="99"/>
      <c r="I230" s="99"/>
      <c r="J230" s="99"/>
      <c r="K230" s="99"/>
      <c r="L230" s="99"/>
      <c r="M230" s="99"/>
      <c r="N230" s="99"/>
      <c r="O230" s="99"/>
      <c r="P230" s="99"/>
      <c r="Q230" s="99"/>
      <c r="R230" s="99"/>
      <c r="S230" s="99"/>
      <c r="T230" s="99"/>
      <c r="U230" s="99"/>
      <c r="V230" s="99"/>
      <c r="W230" s="105"/>
      <c r="X230" s="105"/>
      <c r="Y230" s="105"/>
      <c r="Z230" s="105"/>
      <c r="AA230" s="105"/>
      <c r="AB230" s="105"/>
      <c r="AC230" s="105"/>
      <c r="AD230" s="105"/>
      <c r="AE230" s="105"/>
      <c r="AF230" s="105"/>
      <c r="AG230" s="105"/>
      <c r="AH230" s="105"/>
      <c r="AI230" s="105"/>
      <c r="AJ230" s="171"/>
      <c r="AK230" s="105"/>
      <c r="AL230" s="91"/>
      <c r="AM230" s="91"/>
      <c r="AN230" s="91"/>
      <c r="AO230" s="105"/>
      <c r="AP230" s="105"/>
      <c r="AQ230" s="105"/>
      <c r="AR230" s="105"/>
      <c r="AS230" s="105"/>
      <c r="AT230" s="105"/>
      <c r="AU230" s="105"/>
      <c r="AV230" s="105"/>
      <c r="AW230" s="105">
        <f>IF($AW$14&gt;0,'Assumptions (Coal)'!V10*Model!$AW$14*AVERAGE('Assumptions (Coal)'!$AP$2:$AU$2)/10^9,0)</f>
        <v>0</v>
      </c>
      <c r="AX230" s="105">
        <f>IF($AW$14&gt;0,'Assumptions (Coal)'!W10*Model!$AW$14*AVERAGE('Assumptions (Coal)'!$AP$2:$AU$2)/10^9,0)</f>
        <v>0</v>
      </c>
      <c r="AY230" s="105">
        <f>IF($AW$14&gt;0,'Assumptions (Coal)'!X10*Model!$AW$14*AVERAGE('Assumptions (Coal)'!$AP$2:$AU$2)/10^9,0)</f>
        <v>0</v>
      </c>
      <c r="AZ230" s="105">
        <f>IF($AW$14&gt;0,'Assumptions (Coal)'!Y10*Model!$AW$14*AVERAGE('Assumptions (Coal)'!$AP$2:$AU$2)/10^9,0)</f>
        <v>0</v>
      </c>
      <c r="BA230" s="105">
        <f>IF($AW$14&gt;0,'Assumptions (Coal)'!Z10*Model!$AW$14*AVERAGE('Assumptions (Coal)'!$AP$2:$AU$2)/10^9,0)</f>
        <v>0</v>
      </c>
      <c r="BB230" s="105">
        <f>IF($AW$14&gt;0,'Assumptions (Coal)'!AA10*Model!$AW$14*AVERAGE('Assumptions (Coal)'!$AP$2:$AU$2)/10^9,0)</f>
        <v>0</v>
      </c>
      <c r="BC230" s="105">
        <f>IF($AW$14&gt;0,'Assumptions (Coal)'!AB10*Model!$AW$14*AVERAGE('Assumptions (Coal)'!$AP$2:$AU$2)/10^9,0)</f>
        <v>0</v>
      </c>
      <c r="BD230" s="105">
        <f>IF($AW$14&gt;0,'Assumptions (Coal)'!AC10*Model!$AW$14*AVERAGE('Assumptions (Coal)'!$AP$2:$AU$2)/10^9,0)</f>
        <v>0</v>
      </c>
      <c r="BE230" s="105">
        <f>IF($AW$14&gt;0,'Assumptions (Coal)'!AD10*Model!$AW$14*AVERAGE('Assumptions (Coal)'!$AP$2:$AU$2)/10^9,0)</f>
        <v>0</v>
      </c>
      <c r="BF230" s="105">
        <f>IF($AW$14&gt;0,'Assumptions (Coal)'!AE10*Model!$AW$14*AVERAGE('Assumptions (Coal)'!$AP$2:$AU$2)/10^9,0)</f>
        <v>0</v>
      </c>
      <c r="BG230" s="105">
        <f>IF($AW$14&gt;0,'Assumptions (Coal)'!AF10*Model!$AW$14*AVERAGE('Assumptions (Coal)'!$AP$2:$AU$2)/10^9,0)</f>
        <v>0</v>
      </c>
      <c r="BH230" s="105">
        <f>IF($AW$14&gt;0,'Assumptions (Coal)'!AG10*Model!$AW$14*AVERAGE('Assumptions (Coal)'!$AP$2:$AU$2)/10^9,0)</f>
        <v>0</v>
      </c>
      <c r="BI230" s="105">
        <f>IF($AW$14&gt;0,'Assumptions (Coal)'!AH10*Model!$AW$14*AVERAGE('Assumptions (Coal)'!$AP$2:$AU$2)/10^9,0)</f>
        <v>0</v>
      </c>
      <c r="BJ230" s="105">
        <f>IF($AW$14&gt;0,'Assumptions (Coal)'!AI10*Model!$AW$14*AVERAGE('Assumptions (Coal)'!$AP$2:$AU$2)/10^9,0)</f>
        <v>0</v>
      </c>
      <c r="BK230" s="105">
        <f>IF($AW$14&gt;0,'Assumptions (Coal)'!AJ10*Model!$AW$14*AVERAGE('Assumptions (Coal)'!$AP$2:$AU$2)/10^9,0)</f>
        <v>0</v>
      </c>
      <c r="BL230" s="105">
        <f>IF($AW$14&gt;0,'Assumptions (Coal)'!AK10*Model!$AW$14*AVERAGE('Assumptions (Coal)'!$AP$2:$AU$2)/10^9,0)</f>
        <v>0</v>
      </c>
      <c r="BM230" s="105">
        <f>IF($AW$14&gt;0,'Assumptions (Coal)'!AL10*Model!$AW$14*AVERAGE('Assumptions (Coal)'!$AP$2:$AU$2)/10^9,0)</f>
        <v>0</v>
      </c>
      <c r="BN230" s="105">
        <f>IF($AW$14&gt;0,'Assumptions (Coal)'!AM10*Model!$AW$14*AVERAGE('Assumptions (Coal)'!$AP$2:$AU$2)/10^9,0)</f>
        <v>0</v>
      </c>
      <c r="BO230" s="105">
        <f>IF($AW$14&gt;0,'Assumptions (Coal)'!AN10*Model!$AW$14*AVERAGE('Assumptions (Coal)'!$AP$2:$AU$2)/10^9,0)</f>
        <v>0</v>
      </c>
      <c r="BP230" s="105">
        <f>IF($AW$14&gt;0,'Assumptions (Coal)'!AO10*Model!$AW$14*AVERAGE('Assumptions (Coal)'!$AP$2:$AU$2)/10^9,0)</f>
        <v>0</v>
      </c>
      <c r="BQ230" s="105">
        <f>IF($AW$14&gt;0,'Assumptions (Coal)'!AP10*Model!$AW$14*AVERAGE('Assumptions (Coal)'!$AP$2:$AU$2)/10^9,0)</f>
        <v>0</v>
      </c>
      <c r="BR230" s="105"/>
      <c r="BS230" s="105"/>
      <c r="BT230" s="105"/>
      <c r="BU230" s="105"/>
    </row>
    <row r="231" spans="1:77" ht="15.75" hidden="1" customHeight="1" outlineLevel="1">
      <c r="A231" s="98"/>
      <c r="B231" s="99"/>
      <c r="C231" s="99"/>
      <c r="D231" s="99"/>
      <c r="E231" s="99"/>
      <c r="F231" s="99"/>
      <c r="G231" s="99"/>
      <c r="H231" s="99"/>
      <c r="I231" s="99"/>
      <c r="J231" s="99"/>
      <c r="K231" s="99"/>
      <c r="L231" s="99"/>
      <c r="M231" s="99"/>
      <c r="N231" s="99"/>
      <c r="O231" s="99"/>
      <c r="P231" s="99"/>
      <c r="Q231" s="99"/>
      <c r="R231" s="99"/>
      <c r="S231" s="99"/>
      <c r="T231" s="99"/>
      <c r="U231" s="99"/>
      <c r="V231" s="99"/>
      <c r="W231" s="105"/>
      <c r="X231" s="105"/>
      <c r="Y231" s="105"/>
      <c r="Z231" s="105"/>
      <c r="AA231" s="105"/>
      <c r="AB231" s="105"/>
      <c r="AC231" s="105"/>
      <c r="AD231" s="105"/>
      <c r="AE231" s="105"/>
      <c r="AF231" s="105"/>
      <c r="AG231" s="105"/>
      <c r="AH231" s="105"/>
      <c r="AI231" s="105"/>
      <c r="AJ231" s="171"/>
      <c r="AK231" s="105"/>
      <c r="AL231" s="91"/>
      <c r="AM231" s="91"/>
      <c r="AN231" s="91"/>
      <c r="AO231" s="105"/>
      <c r="AP231" s="105"/>
      <c r="AQ231" s="105"/>
      <c r="AR231" s="105"/>
      <c r="AS231" s="105"/>
      <c r="AT231" s="105"/>
      <c r="AU231" s="105"/>
      <c r="AV231" s="105"/>
      <c r="AW231" s="105"/>
      <c r="AX231" s="105">
        <f>IF($AX$14&gt;0,'Assumptions (Coal)'!V10*Model!$AX$14*AVERAGE('Assumptions (Coal)'!$AQ$2:$AV$2)/10^9,0)</f>
        <v>1.0649279889598671</v>
      </c>
      <c r="AY231" s="105">
        <f>IF($AX$14&gt;0,'Assumptions (Coal)'!W10*Model!$AX$14*AVERAGE('Assumptions (Coal)'!$AQ$2:$AV$2)/10^9,0)</f>
        <v>2.0500573739470083</v>
      </c>
      <c r="AZ231" s="105">
        <f>IF($AX$14&gt;0,'Assumptions (Coal)'!X10*Model!$AX$14*AVERAGE('Assumptions (Coal)'!$AQ$2:$AV$2)/10^9,0)</f>
        <v>1.8961397819426753</v>
      </c>
      <c r="BA231" s="105">
        <f>IF($AX$14&gt;0,'Assumptions (Coal)'!Y10*Model!$AX$14*AVERAGE('Assumptions (Coal)'!$AQ$2:$AV$2)/10^9,0)</f>
        <v>1.7541493834146931</v>
      </c>
      <c r="BB231" s="105">
        <f>IF($AX$14&gt;0,'Assumptions (Coal)'!Z10*Model!$AX$14*AVERAGE('Assumptions (Coal)'!$AQ$2:$AV$2)/10^9,0)</f>
        <v>1.6223822935807257</v>
      </c>
      <c r="BC231" s="105">
        <f>IF($AX$14&gt;0,'Assumptions (Coal)'!AA10*Model!$AX$14*AVERAGE('Assumptions (Coal)'!$AQ$2:$AV$2)/10^9,0)</f>
        <v>1.5008385124407728</v>
      </c>
      <c r="BD231" s="105">
        <f>IF($AX$14&gt;0,'Assumptions (Coal)'!AB10*Model!$AX$14*AVERAGE('Assumptions (Coal)'!$AQ$2:$AV$2)/10^9,0)</f>
        <v>1.3880981360095548</v>
      </c>
      <c r="BE231" s="105">
        <f>IF($AX$14&gt;0,'Assumptions (Coal)'!AC10*Model!$AX$14*AVERAGE('Assumptions (Coal)'!$AQ$2:$AV$2)/10^9,0)</f>
        <v>1.2841611642870718</v>
      </c>
      <c r="BF231" s="105">
        <f>IF($AX$14&gt;0,'Assumptions (Coal)'!AD10*Model!$AX$14*AVERAGE('Assumptions (Coal)'!$AQ$2:$AV$2)/10^9,0)</f>
        <v>1.267122316463714</v>
      </c>
      <c r="BG231" s="105">
        <f>IF($AX$14&gt;0,'Assumptions (Coal)'!AE10*Model!$AX$14*AVERAGE('Assumptions (Coal)'!$AQ$2:$AV$2)/10^9,0)</f>
        <v>1.2668383356666577</v>
      </c>
      <c r="BH231" s="105">
        <f>IF($AX$14&gt;0,'Assumptions (Coal)'!AF10*Model!$AX$14*AVERAGE('Assumptions (Coal)'!$AQ$2:$AV$2)/10^9,0)</f>
        <v>1.267122316463714</v>
      </c>
      <c r="BI231" s="105">
        <f>IF($AX$14&gt;0,'Assumptions (Coal)'!AG10*Model!$AX$14*AVERAGE('Assumptions (Coal)'!$AQ$2:$AV$2)/10^9,0)</f>
        <v>1.2668383356666577</v>
      </c>
      <c r="BJ231" s="105">
        <f>IF($AX$14&gt;0,'Assumptions (Coal)'!AH10*Model!$AX$14*AVERAGE('Assumptions (Coal)'!$AQ$2:$AV$2)/10^9,0)</f>
        <v>1.267122316463714</v>
      </c>
      <c r="BK231" s="105">
        <f>IF($AX$14&gt;0,'Assumptions (Coal)'!AI10*Model!$AX$14*AVERAGE('Assumptions (Coal)'!$AQ$2:$AV$2)/10^9,0)</f>
        <v>1.2668383356666577</v>
      </c>
      <c r="BL231" s="105">
        <f>IF($AX$14&gt;0,'Assumptions (Coal)'!AJ10*Model!$AX$14*AVERAGE('Assumptions (Coal)'!$AQ$2:$AV$2)/10^9,0)</f>
        <v>1.267122316463714</v>
      </c>
      <c r="BM231" s="105">
        <f>IF($AX$14&gt;0,'Assumptions (Coal)'!AK10*Model!$AX$14*AVERAGE('Assumptions (Coal)'!$AQ$2:$AV$2)/10^9,0)</f>
        <v>1.2668383356666577</v>
      </c>
      <c r="BN231" s="105">
        <f>IF($AX$14&gt;0,'Assumptions (Coal)'!AL10*Model!$AX$14*AVERAGE('Assumptions (Coal)'!$AQ$2:$AV$2)/10^9,0)</f>
        <v>1.267122316463714</v>
      </c>
      <c r="BO231" s="105">
        <f>IF($AX$14&gt;0,'Assumptions (Coal)'!AM10*Model!$AX$14*AVERAGE('Assumptions (Coal)'!$AQ$2:$AV$2)/10^9,0)</f>
        <v>1.2668383356666577</v>
      </c>
      <c r="BP231" s="105">
        <f>IF($AX$14&gt;0,'Assumptions (Coal)'!AN10*Model!$AX$14*AVERAGE('Assumptions (Coal)'!$AQ$2:$AV$2)/10^9,0)</f>
        <v>1.267122316463714</v>
      </c>
      <c r="BQ231" s="105">
        <f>IF($AX$14&gt;0,'Assumptions (Coal)'!AO10*Model!$AX$14*AVERAGE('Assumptions (Coal)'!$AQ$2:$AV$2)/10^9,0)</f>
        <v>1.2668383356666577</v>
      </c>
      <c r="BR231" s="105">
        <f>IF($AX$14&gt;0,'Assumptions (Coal)'!AP10*Model!$AX$14*AVERAGE('Assumptions (Coal)'!$AQ$2:$AV$2)/10^9,0)</f>
        <v>0.63356115823185699</v>
      </c>
      <c r="BS231" s="105"/>
      <c r="BT231" s="105"/>
      <c r="BU231" s="105"/>
      <c r="BV231" s="105"/>
    </row>
    <row r="232" spans="1:77" ht="15.75" hidden="1" customHeight="1" outlineLevel="1">
      <c r="A232" s="98"/>
      <c r="B232" s="99"/>
      <c r="C232" s="99"/>
      <c r="D232" s="99"/>
      <c r="E232" s="99"/>
      <c r="F232" s="99"/>
      <c r="G232" s="99"/>
      <c r="H232" s="99"/>
      <c r="I232" s="99"/>
      <c r="J232" s="99"/>
      <c r="K232" s="99"/>
      <c r="L232" s="99"/>
      <c r="M232" s="99"/>
      <c r="N232" s="99"/>
      <c r="O232" s="99"/>
      <c r="P232" s="99"/>
      <c r="Q232" s="99"/>
      <c r="R232" s="99"/>
      <c r="S232" s="99"/>
      <c r="T232" s="99"/>
      <c r="U232" s="99"/>
      <c r="V232" s="99"/>
      <c r="W232" s="105"/>
      <c r="X232" s="105"/>
      <c r="Y232" s="105"/>
      <c r="Z232" s="105"/>
      <c r="AA232" s="105"/>
      <c r="AB232" s="105"/>
      <c r="AC232" s="105"/>
      <c r="AD232" s="105"/>
      <c r="AE232" s="105"/>
      <c r="AF232" s="105"/>
      <c r="AG232" s="105"/>
      <c r="AH232" s="105"/>
      <c r="AI232" s="105"/>
      <c r="AJ232" s="171"/>
      <c r="AK232" s="105"/>
      <c r="AL232" s="91"/>
      <c r="AM232" s="91"/>
      <c r="AN232" s="91"/>
      <c r="AO232" s="105"/>
      <c r="AP232" s="105"/>
      <c r="AQ232" s="105"/>
      <c r="AR232" s="105"/>
      <c r="AS232" s="105"/>
      <c r="AT232" s="105"/>
      <c r="AU232" s="105"/>
      <c r="AV232" s="105"/>
      <c r="AW232" s="105"/>
      <c r="AX232" s="105"/>
      <c r="AY232" s="105">
        <f>IF($AY$14&gt;0,'Assumptions (Coal)'!V10*Model!$AY$14*AVERAGE('Assumptions (Coal)'!$AR$2:$AW$2)/10^9,0)</f>
        <v>0</v>
      </c>
      <c r="AZ232" s="105">
        <f>IF($AY$14&gt;0,'Assumptions (Coal)'!W10*Model!$AY$14*AVERAGE('Assumptions (Coal)'!$AR$2:$AW$2)/10^9,0)</f>
        <v>0</v>
      </c>
      <c r="BA232" s="105">
        <f>IF($AY$14&gt;0,'Assumptions (Coal)'!X10*Model!$AY$14*AVERAGE('Assumptions (Coal)'!$AR$2:$AW$2)/10^9,0)</f>
        <v>0</v>
      </c>
      <c r="BB232" s="105">
        <f>IF($AY$14&gt;0,'Assumptions (Coal)'!Y10*Model!$AY$14*AVERAGE('Assumptions (Coal)'!$AR$2:$AW$2)/10^9,0)</f>
        <v>0</v>
      </c>
      <c r="BC232" s="105">
        <f>IF($AY$14&gt;0,'Assumptions (Coal)'!Z10*Model!$AY$14*AVERAGE('Assumptions (Coal)'!$AR$2:$AW$2)/10^9,0)</f>
        <v>0</v>
      </c>
      <c r="BD232" s="105">
        <f>IF($AY$14&gt;0,'Assumptions (Coal)'!AA10*Model!$AY$14*AVERAGE('Assumptions (Coal)'!$AR$2:$AW$2)/10^9,0)</f>
        <v>0</v>
      </c>
      <c r="BE232" s="105">
        <f>IF($AY$14&gt;0,'Assumptions (Coal)'!AB10*Model!$AY$14*AVERAGE('Assumptions (Coal)'!$AR$2:$AW$2)/10^9,0)</f>
        <v>0</v>
      </c>
      <c r="BF232" s="105">
        <f>IF($AY$14&gt;0,'Assumptions (Coal)'!AC10*Model!$AY$14*AVERAGE('Assumptions (Coal)'!$AR$2:$AW$2)/10^9,0)</f>
        <v>0</v>
      </c>
      <c r="BG232" s="105">
        <f>IF($AY$14&gt;0,'Assumptions (Coal)'!AD10*Model!$AY$14*AVERAGE('Assumptions (Coal)'!$AR$2:$AW$2)/10^9,0)</f>
        <v>0</v>
      </c>
      <c r="BH232" s="105">
        <f>IF($AY$14&gt;0,'Assumptions (Coal)'!AE10*Model!$AY$14*AVERAGE('Assumptions (Coal)'!$AR$2:$AW$2)/10^9,0)</f>
        <v>0</v>
      </c>
      <c r="BI232" s="105">
        <f>IF($AY$14&gt;0,'Assumptions (Coal)'!AF10*Model!$AY$14*AVERAGE('Assumptions (Coal)'!$AR$2:$AW$2)/10^9,0)</f>
        <v>0</v>
      </c>
      <c r="BJ232" s="105">
        <f>IF($AY$14&gt;0,'Assumptions (Coal)'!AG10*Model!$AY$14*AVERAGE('Assumptions (Coal)'!$AR$2:$AW$2)/10^9,0)</f>
        <v>0</v>
      </c>
      <c r="BK232" s="105">
        <f>IF($AY$14&gt;0,'Assumptions (Coal)'!AH10*Model!$AY$14*AVERAGE('Assumptions (Coal)'!$AR$2:$AW$2)/10^9,0)</f>
        <v>0</v>
      </c>
      <c r="BL232" s="105">
        <f>IF($AY$14&gt;0,'Assumptions (Coal)'!AI10*Model!$AY$14*AVERAGE('Assumptions (Coal)'!$AR$2:$AW$2)/10^9,0)</f>
        <v>0</v>
      </c>
      <c r="BM232" s="105">
        <f>IF($AY$14&gt;0,'Assumptions (Coal)'!AJ10*Model!$AY$14*AVERAGE('Assumptions (Coal)'!$AR$2:$AW$2)/10^9,0)</f>
        <v>0</v>
      </c>
      <c r="BN232" s="105">
        <f>IF($AY$14&gt;0,'Assumptions (Coal)'!AK10*Model!$AY$14*AVERAGE('Assumptions (Coal)'!$AR$2:$AW$2)/10^9,0)</f>
        <v>0</v>
      </c>
      <c r="BO232" s="105">
        <f>IF($AY$14&gt;0,'Assumptions (Coal)'!AL10*Model!$AY$14*AVERAGE('Assumptions (Coal)'!$AR$2:$AW$2)/10^9,0)</f>
        <v>0</v>
      </c>
      <c r="BP232" s="105">
        <f>IF($AY$14&gt;0,'Assumptions (Coal)'!AM10*Model!$AY$14*AVERAGE('Assumptions (Coal)'!$AR$2:$AW$2)/10^9,0)</f>
        <v>0</v>
      </c>
      <c r="BQ232" s="105">
        <f>IF($AY$14&gt;0,'Assumptions (Coal)'!AN10*Model!$AY$14*AVERAGE('Assumptions (Coal)'!$AR$2:$AW$2)/10^9,0)</f>
        <v>0</v>
      </c>
      <c r="BR232" s="105">
        <f>IF($AY$14&gt;0,'Assumptions (Coal)'!AO10*Model!$AY$14*AVERAGE('Assumptions (Coal)'!$AR$2:$AW$2)/10^9,0)</f>
        <v>0</v>
      </c>
      <c r="BS232" s="105">
        <f>IF($AY$14&gt;0,'Assumptions (Coal)'!AP10*Model!$AY$14*AVERAGE('Assumptions (Coal)'!$AR$2:$AW$2)/10^9,0)</f>
        <v>0</v>
      </c>
      <c r="BT232" s="105"/>
      <c r="BU232" s="105"/>
      <c r="BV232" s="105"/>
      <c r="BW232" s="105"/>
    </row>
    <row r="233" spans="1:77" ht="15.75" hidden="1" customHeight="1" outlineLevel="1">
      <c r="A233" s="98"/>
      <c r="B233" s="99"/>
      <c r="C233" s="99"/>
      <c r="D233" s="99"/>
      <c r="E233" s="99"/>
      <c r="F233" s="99"/>
      <c r="G233" s="99"/>
      <c r="H233" s="99"/>
      <c r="I233" s="99"/>
      <c r="J233" s="99"/>
      <c r="K233" s="99"/>
      <c r="L233" s="99"/>
      <c r="M233" s="99"/>
      <c r="N233" s="99"/>
      <c r="O233" s="99"/>
      <c r="P233" s="99"/>
      <c r="Q233" s="99"/>
      <c r="R233" s="99"/>
      <c r="S233" s="99"/>
      <c r="T233" s="99"/>
      <c r="U233" s="99"/>
      <c r="V233" s="99"/>
      <c r="W233" s="105"/>
      <c r="X233" s="105"/>
      <c r="Y233" s="105"/>
      <c r="Z233" s="105"/>
      <c r="AA233" s="105"/>
      <c r="AB233" s="105"/>
      <c r="AC233" s="105"/>
      <c r="AD233" s="105"/>
      <c r="AE233" s="105"/>
      <c r="AF233" s="105"/>
      <c r="AG233" s="105"/>
      <c r="AH233" s="105"/>
      <c r="AI233" s="105"/>
      <c r="AJ233" s="171"/>
      <c r="AK233" s="105"/>
      <c r="AL233" s="91"/>
      <c r="AM233" s="91"/>
      <c r="AN233" s="91"/>
      <c r="AO233" s="105"/>
      <c r="AP233" s="105"/>
      <c r="AQ233" s="105"/>
      <c r="AR233" s="105"/>
      <c r="AS233" s="105"/>
      <c r="AT233" s="105"/>
      <c r="AU233" s="105"/>
      <c r="AV233" s="105"/>
      <c r="AW233" s="105"/>
      <c r="AX233" s="105"/>
      <c r="AY233" s="105"/>
      <c r="AZ233" s="105">
        <f>IF($AZ$14&gt;0,'Assumptions (Coal)'!V10*Model!$AZ$14*AVERAGE('Assumptions (Coal)'!$AS$2:$AX$2)/10^9,0)</f>
        <v>0</v>
      </c>
      <c r="BA233" s="105">
        <f>IF($AZ$14&gt;0,'Assumptions (Coal)'!W10*Model!$AZ$14*AVERAGE('Assumptions (Coal)'!$AS$2:$AX$2)/10^9,0)</f>
        <v>0</v>
      </c>
      <c r="BB233" s="105">
        <f>IF($AZ$14&gt;0,'Assumptions (Coal)'!X10*Model!$AZ$14*AVERAGE('Assumptions (Coal)'!$AS$2:$AX$2)/10^9,0)</f>
        <v>0</v>
      </c>
      <c r="BC233" s="105">
        <f>IF($AZ$14&gt;0,'Assumptions (Coal)'!Y10*Model!$AZ$14*AVERAGE('Assumptions (Coal)'!$AS$2:$AX$2)/10^9,0)</f>
        <v>0</v>
      </c>
      <c r="BD233" s="105">
        <f>IF($AZ$14&gt;0,'Assumptions (Coal)'!Z10*Model!$AZ$14*AVERAGE('Assumptions (Coal)'!$AS$2:$AX$2)/10^9,0)</f>
        <v>0</v>
      </c>
      <c r="BE233" s="105">
        <f>IF($AZ$14&gt;0,'Assumptions (Coal)'!AA10*Model!$AZ$14*AVERAGE('Assumptions (Coal)'!$AS$2:$AX$2)/10^9,0)</f>
        <v>0</v>
      </c>
      <c r="BF233" s="105">
        <f>IF($AZ$14&gt;0,'Assumptions (Coal)'!AB10*Model!$AZ$14*AVERAGE('Assumptions (Coal)'!$AS$2:$AX$2)/10^9,0)</f>
        <v>0</v>
      </c>
      <c r="BG233" s="105">
        <f>IF($AZ$14&gt;0,'Assumptions (Coal)'!AC10*Model!$AZ$14*AVERAGE('Assumptions (Coal)'!$AS$2:$AX$2)/10^9,0)</f>
        <v>0</v>
      </c>
      <c r="BH233" s="105">
        <f>IF($AZ$14&gt;0,'Assumptions (Coal)'!AD10*Model!$AZ$14*AVERAGE('Assumptions (Coal)'!$AS$2:$AX$2)/10^9,0)</f>
        <v>0</v>
      </c>
      <c r="BI233" s="105">
        <f>IF($AZ$14&gt;0,'Assumptions (Coal)'!AE10*Model!$AZ$14*AVERAGE('Assumptions (Coal)'!$AS$2:$AX$2)/10^9,0)</f>
        <v>0</v>
      </c>
      <c r="BJ233" s="105">
        <f>IF($AZ$14&gt;0,'Assumptions (Coal)'!AF10*Model!$AZ$14*AVERAGE('Assumptions (Coal)'!$AS$2:$AX$2)/10^9,0)</f>
        <v>0</v>
      </c>
      <c r="BK233" s="105">
        <f>IF($AZ$14&gt;0,'Assumptions (Coal)'!AG10*Model!$AZ$14*AVERAGE('Assumptions (Coal)'!$AS$2:$AX$2)/10^9,0)</f>
        <v>0</v>
      </c>
      <c r="BL233" s="105">
        <f>IF($AZ$14&gt;0,'Assumptions (Coal)'!AH10*Model!$AZ$14*AVERAGE('Assumptions (Coal)'!$AS$2:$AX$2)/10^9,0)</f>
        <v>0</v>
      </c>
      <c r="BM233" s="105">
        <f>IF($AZ$14&gt;0,'Assumptions (Coal)'!AI10*Model!$AZ$14*AVERAGE('Assumptions (Coal)'!$AS$2:$AX$2)/10^9,0)</f>
        <v>0</v>
      </c>
      <c r="BN233" s="105">
        <f>IF($AZ$14&gt;0,'Assumptions (Coal)'!AJ10*Model!$AZ$14*AVERAGE('Assumptions (Coal)'!$AS$2:$AX$2)/10^9,0)</f>
        <v>0</v>
      </c>
      <c r="BO233" s="105">
        <f>IF($AZ$14&gt;0,'Assumptions (Coal)'!AK10*Model!$AZ$14*AVERAGE('Assumptions (Coal)'!$AS$2:$AX$2)/10^9,0)</f>
        <v>0</v>
      </c>
      <c r="BP233" s="105">
        <f>IF($AZ$14&gt;0,'Assumptions (Coal)'!AL10*Model!$AZ$14*AVERAGE('Assumptions (Coal)'!$AS$2:$AX$2)/10^9,0)</f>
        <v>0</v>
      </c>
      <c r="BQ233" s="105">
        <f>IF($AZ$14&gt;0,'Assumptions (Coal)'!AM10*Model!$AZ$14*AVERAGE('Assumptions (Coal)'!$AS$2:$AX$2)/10^9,0)</f>
        <v>0</v>
      </c>
      <c r="BR233" s="105">
        <f>IF($AZ$14&gt;0,'Assumptions (Coal)'!AN10*Model!$AZ$14*AVERAGE('Assumptions (Coal)'!$AS$2:$AX$2)/10^9,0)</f>
        <v>0</v>
      </c>
      <c r="BS233" s="105">
        <f>IF($AZ$14&gt;0,'Assumptions (Coal)'!AO10*Model!$AZ$14*AVERAGE('Assumptions (Coal)'!$AS$2:$AX$2)/10^9,0)</f>
        <v>0</v>
      </c>
      <c r="BT233" s="105">
        <f>IF($AZ$14&gt;0,'Assumptions (Coal)'!AP10*Model!$AZ$14*AVERAGE('Assumptions (Coal)'!$AS$2:$AX$2)/10^9,0)</f>
        <v>0</v>
      </c>
      <c r="BU233" s="105"/>
      <c r="BV233" s="105"/>
      <c r="BW233" s="105"/>
      <c r="BX233" s="105"/>
    </row>
    <row r="234" spans="1:77" ht="15.75" hidden="1" customHeight="1" outlineLevel="1">
      <c r="A234" s="98"/>
      <c r="B234" s="99"/>
      <c r="C234" s="99"/>
      <c r="D234" s="99"/>
      <c r="E234" s="99"/>
      <c r="F234" s="99"/>
      <c r="G234" s="99"/>
      <c r="H234" s="99"/>
      <c r="I234" s="99"/>
      <c r="J234" s="99"/>
      <c r="K234" s="99"/>
      <c r="L234" s="99"/>
      <c r="M234" s="99"/>
      <c r="N234" s="99"/>
      <c r="O234" s="99"/>
      <c r="P234" s="99"/>
      <c r="Q234" s="99"/>
      <c r="R234" s="99"/>
      <c r="S234" s="99"/>
      <c r="T234" s="99"/>
      <c r="U234" s="99"/>
      <c r="V234" s="99"/>
      <c r="W234" s="105"/>
      <c r="X234" s="105"/>
      <c r="Y234" s="105"/>
      <c r="Z234" s="105"/>
      <c r="AA234" s="105"/>
      <c r="AB234" s="105"/>
      <c r="AC234" s="105"/>
      <c r="AD234" s="105"/>
      <c r="AE234" s="105"/>
      <c r="AF234" s="105"/>
      <c r="AG234" s="105"/>
      <c r="AH234" s="105"/>
      <c r="AI234" s="105"/>
      <c r="AJ234" s="171"/>
      <c r="AK234" s="105"/>
      <c r="AL234" s="91"/>
      <c r="AM234" s="91"/>
      <c r="AN234" s="91"/>
      <c r="AO234" s="105"/>
      <c r="AP234" s="105"/>
      <c r="AQ234" s="105"/>
      <c r="AR234" s="105"/>
      <c r="AS234" s="105"/>
      <c r="AT234" s="105"/>
      <c r="AU234" s="105"/>
      <c r="AV234" s="105"/>
      <c r="AW234" s="105"/>
      <c r="AX234" s="105"/>
      <c r="AY234" s="105"/>
      <c r="AZ234" s="105"/>
      <c r="BA234" s="105">
        <f>IF($BA$14&gt;0,'Assumptions (Coal)'!V10*Model!$BA$14*AVERAGE('Assumptions (Coal)'!$AT$2:$AY$2)/10^9,0)</f>
        <v>0</v>
      </c>
      <c r="BB234" s="105">
        <f>IF($BA$14&gt;0,'Assumptions (Coal)'!W10*Model!$BA$14*AVERAGE('Assumptions (Coal)'!$AT$2:$AY$2)/10^9,0)</f>
        <v>0</v>
      </c>
      <c r="BC234" s="105">
        <f>IF($BA$14&gt;0,'Assumptions (Coal)'!X10*Model!$BA$14*AVERAGE('Assumptions (Coal)'!$AT$2:$AY$2)/10^9,0)</f>
        <v>0</v>
      </c>
      <c r="BD234" s="105">
        <f>IF($BA$14&gt;0,'Assumptions (Coal)'!Y10*Model!$BA$14*AVERAGE('Assumptions (Coal)'!$AT$2:$AY$2)/10^9,0)</f>
        <v>0</v>
      </c>
      <c r="BE234" s="105">
        <f>IF($BA$14&gt;0,'Assumptions (Coal)'!Z10*Model!$BA$14*AVERAGE('Assumptions (Coal)'!$AT$2:$AY$2)/10^9,0)</f>
        <v>0</v>
      </c>
      <c r="BF234" s="105">
        <f>IF($BA$14&gt;0,'Assumptions (Coal)'!AA10*Model!$BA$14*AVERAGE('Assumptions (Coal)'!$AT$2:$AY$2)/10^9,0)</f>
        <v>0</v>
      </c>
      <c r="BG234" s="105">
        <f>IF($BA$14&gt;0,'Assumptions (Coal)'!AB10*Model!$BA$14*AVERAGE('Assumptions (Coal)'!$AT$2:$AY$2)/10^9,0)</f>
        <v>0</v>
      </c>
      <c r="BH234" s="105">
        <f>IF($BA$14&gt;0,'Assumptions (Coal)'!AC10*Model!$BA$14*AVERAGE('Assumptions (Coal)'!$AT$2:$AY$2)/10^9,0)</f>
        <v>0</v>
      </c>
      <c r="BI234" s="105">
        <f>IF($BA$14&gt;0,'Assumptions (Coal)'!AD10*Model!$BA$14*AVERAGE('Assumptions (Coal)'!$AT$2:$AY$2)/10^9,0)</f>
        <v>0</v>
      </c>
      <c r="BJ234" s="105">
        <f>IF($BA$14&gt;0,'Assumptions (Coal)'!AE10*Model!$BA$14*AVERAGE('Assumptions (Coal)'!$AT$2:$AY$2)/10^9,0)</f>
        <v>0</v>
      </c>
      <c r="BK234" s="105">
        <f>IF($BA$14&gt;0,'Assumptions (Coal)'!AF10*Model!$BA$14*AVERAGE('Assumptions (Coal)'!$AT$2:$AY$2)/10^9,0)</f>
        <v>0</v>
      </c>
      <c r="BL234" s="105">
        <f>IF($BA$14&gt;0,'Assumptions (Coal)'!AG10*Model!$BA$14*AVERAGE('Assumptions (Coal)'!$AT$2:$AY$2)/10^9,0)</f>
        <v>0</v>
      </c>
      <c r="BM234" s="105">
        <f>IF($BA$14&gt;0,'Assumptions (Coal)'!AH10*Model!$BA$14*AVERAGE('Assumptions (Coal)'!$AT$2:$AY$2)/10^9,0)</f>
        <v>0</v>
      </c>
      <c r="BN234" s="105">
        <f>IF($BA$14&gt;0,'Assumptions (Coal)'!AI10*Model!$BA$14*AVERAGE('Assumptions (Coal)'!$AT$2:$AY$2)/10^9,0)</f>
        <v>0</v>
      </c>
      <c r="BO234" s="105">
        <f>IF($BA$14&gt;0,'Assumptions (Coal)'!AJ10*Model!$BA$14*AVERAGE('Assumptions (Coal)'!$AT$2:$AY$2)/10^9,0)</f>
        <v>0</v>
      </c>
      <c r="BP234" s="105">
        <f>IF($BA$14&gt;0,'Assumptions (Coal)'!AK10*Model!$BA$14*AVERAGE('Assumptions (Coal)'!$AT$2:$AY$2)/10^9,0)</f>
        <v>0</v>
      </c>
      <c r="BQ234" s="105">
        <f>IF($BA$14&gt;0,'Assumptions (Coal)'!AL10*Model!$BA$14*AVERAGE('Assumptions (Coal)'!$AT$2:$AY$2)/10^9,0)</f>
        <v>0</v>
      </c>
      <c r="BR234" s="105">
        <f>IF($BA$14&gt;0,'Assumptions (Coal)'!AM10*Model!$BA$14*AVERAGE('Assumptions (Coal)'!$AT$2:$AY$2)/10^9,0)</f>
        <v>0</v>
      </c>
      <c r="BS234" s="105">
        <f>IF($BA$14&gt;0,'Assumptions (Coal)'!AN10*Model!$BA$14*AVERAGE('Assumptions (Coal)'!$AT$2:$AY$2)/10^9,0)</f>
        <v>0</v>
      </c>
      <c r="BT234" s="105">
        <f>IF($BA$14&gt;0,'Assumptions (Coal)'!AO10*Model!$BA$14*AVERAGE('Assumptions (Coal)'!$AT$2:$AY$2)/10^9,0)</f>
        <v>0</v>
      </c>
      <c r="BU234" s="105">
        <f>IF($BA$14&gt;0,'Assumptions (Coal)'!AP10*Model!$BA$14*AVERAGE('Assumptions (Coal)'!$AT$2:$AY$2)/10^9,0)</f>
        <v>0</v>
      </c>
      <c r="BV234" s="105"/>
      <c r="BW234" s="105"/>
      <c r="BX234" s="105"/>
      <c r="BY234" s="105"/>
    </row>
    <row r="235" spans="1:77" ht="15.75" customHeight="1" collapsed="1">
      <c r="A235" s="98" t="s">
        <v>62</v>
      </c>
      <c r="B235" s="99" t="s">
        <v>201</v>
      </c>
      <c r="C235" s="105">
        <f>IF(Model!C12+Model!C13-Model!C10-Model!C11-C183+C131&gt;0,(1-'Assumptions (Coal)'!B31)*(Model!C12+Model!C13-Model!C10-Model!C11-C183+C131)+C183-C78+C79,Model!C12+Model!C13-Model!C10-Model!C11+C131-C78+C79)</f>
        <v>52.668250914109692</v>
      </c>
      <c r="D235" s="105">
        <f>IF(Model!D12+Model!D13-Model!D10-Model!D11-D183+D131&gt;0,(1-'Assumptions (Coal)'!C31)*(Model!D12+Model!D13-Model!D10-Model!D11-D183+D131)+D183-D78+D79,Model!D12+Model!D13-Model!D10-Model!D11+D131-D78+D79)</f>
        <v>53.537622890045128</v>
      </c>
      <c r="E235" s="105">
        <f>IF(Model!E12+Model!E13-Model!E10-Model!E11-E183+E131&gt;0,(1-'Assumptions (Coal)'!D31)*(Model!E12+Model!E13-Model!E10-Model!E11-E183+E131)+E183-E78+E79,Model!E12+Model!E13-Model!E10-Model!E11+E131-E78+E79)</f>
        <v>45.648211541665958</v>
      </c>
      <c r="F235" s="105">
        <f>IF(Model!F12+Model!F13-Model!F10-Model!F11-F183+F131&gt;0,(1-'Assumptions (Coal)'!E31)*(Model!F12+Model!F13-Model!F10-Model!F11-F183+F131)+F183-F78+F79,Model!F12+Model!F13-Model!F10-Model!F11+F131-F78+F79)</f>
        <v>63.259835747724395</v>
      </c>
      <c r="G235" s="105">
        <f>IF(Model!G12+Model!G13-Model!G10-Model!G11-G183+G131&gt;0,(1-'Assumptions (Coal)'!F31)*(Model!G12+Model!G13-Model!G10-Model!G11-G183+G131)+G183-G78+G79,Model!G12+Model!G13-Model!G10-Model!G11+G131-G78+G79)</f>
        <v>67.042411042184682</v>
      </c>
      <c r="H235" s="105">
        <f>IF(Model!H12+Model!H13-Model!H10-Model!H11-H183+H131&gt;0,(1-'Assumptions (Coal)'!G31)*(Model!H12+Model!H13-Model!H10-Model!H11-H183+H131)+H183-H78+H79,Model!H12+Model!H13-Model!H10-Model!H11+H131-H78+H79)</f>
        <v>89.030434841828523</v>
      </c>
      <c r="I235" s="105">
        <f>IF(Model!I12+Model!I13-Model!I10-Model!I11-I183+I131&gt;0,(1-'Assumptions (Coal)'!H31)*(Model!I12+Model!I13-Model!I10-Model!I11-I183+I131)+I183-I78+I79,Model!I12+Model!I13-Model!I10-Model!I11+I131-I78+I79)</f>
        <v>74.450014697963951</v>
      </c>
      <c r="J235" s="105">
        <f>IF(Model!J12+Model!J13-Model!J10-Model!J11-J183+J131&gt;0,(1-'Assumptions (Coal)'!I31)*(Model!J12+Model!J13-Model!J10-Model!J11-J183+J131)+J183-J78+J79,Model!J12+Model!J13-Model!J10-Model!J11+J131-J78+J79)</f>
        <v>84.415847994860712</v>
      </c>
      <c r="K235" s="105">
        <f>IF(Model!K12+Model!K13-Model!K10-Model!K11-K183+K131&gt;0,(1-'Assumptions (Coal)'!J31)*(Model!K12+Model!K13-Model!K10-Model!K11-K183+K131)+K183-K78+K79,Model!K12+Model!K13-Model!K10-Model!K11+K131-K78+K79)</f>
        <v>97.176002894547295</v>
      </c>
      <c r="L235" s="105">
        <f>IF(Model!L12+Model!L13-Model!L10-Model!L11-L183+L131&gt;0,(1-'Assumptions (Coal)'!K31)*(Model!L12+Model!L13-Model!L10-Model!L11-L183+L131)+L183-L78+L79,Model!L12+Model!L13-Model!L10-Model!L11+L131-L78+L79)</f>
        <v>50.671399337205372</v>
      </c>
      <c r="M235" s="105">
        <f>IF(Model!M12+Model!M13-Model!M10-Model!M11-M183+M131&gt;0,(1-'Assumptions (Coal)'!L31)*(Model!M12+Model!M13-Model!M10-Model!M11-M183+M131)+M183-M78+M79,Model!M12+Model!M13-Model!M10-Model!M11+M131-M78+M79)</f>
        <v>53.711638171760889</v>
      </c>
      <c r="N235" s="105">
        <f>IF(Model!N12+Model!N13-Model!N10-Model!N11-N183+N131&gt;0,(1-'Assumptions (Coal)'!M31)*(Model!N12+Model!N13-Model!N10-Model!N11-N183+N131)+N183-N78+N79,Model!N12+Model!N13-Model!N10-Model!N11+N131-N78+N79)</f>
        <v>46.956595513630482</v>
      </c>
      <c r="O235" s="105">
        <f>IF(Model!O12+Model!O13-Model!O10-Model!O11-O183+O131&gt;0,(1-'Assumptions (Coal)'!N31)*(Model!O12+Model!O13-Model!O10-Model!O11-O183+O131)+O183-O78+O79,Model!O12+Model!O13-Model!O10-Model!O11+O131-O78+O79)</f>
        <v>32.213705722839322</v>
      </c>
      <c r="P235" s="105">
        <f>IF(Model!P12+Model!P13-Model!P10-Model!P11-P183+P131&gt;0,(1-'Assumptions (Coal)'!O31)*(Model!P12+Model!P13-Model!P10-Model!P11-P183+P131)+P183-P78+P79,Model!P12+Model!P13-Model!P10-Model!P11+P131-P78+P79)</f>
        <v>40.355091145715541</v>
      </c>
      <c r="Q235" s="105">
        <f>IF(Model!Q12+Model!Q13-Model!Q10-Model!Q11-Q183+Q131&gt;0,(1-'Assumptions (Coal)'!P31)*(Model!Q12+Model!Q13-Model!Q10-Model!Q11-Q183+Q131)+Q183-Q78+Q79,Model!Q12+Model!Q13-Model!Q10-Model!Q11+Q131-Q78+Q79)</f>
        <v>45.489305991811882</v>
      </c>
      <c r="R235" s="105">
        <f>IF(Model!R12+Model!R13-Model!R10-Model!R11-R183+R131&gt;0,(1-'Assumptions (Coal)'!Q31)*(Model!R12+Model!R13-Model!R10-Model!R11-R183+R131)+R183-R78+R79,Model!R12+Model!R13-Model!R10-Model!R11+R131-R78+R79)</f>
        <v>28.116681651213359</v>
      </c>
      <c r="S235" s="105">
        <f>IF(Model!S12+Model!S13-Model!S10-Model!S11-S183+S131&gt;0,(1-'Assumptions (Coal)'!R31)*(Model!S12+Model!S13-Model!S10-Model!S11-S183+S131)+S183-S78+S79,Model!S12+Model!S13-Model!S10-Model!S11+S131-S78+S79)</f>
        <v>28.891177297800148</v>
      </c>
      <c r="T235" s="105">
        <f>IF(Model!T12+Model!T13-Model!T10-Model!T11-T183+T131&gt;0,(1-'Assumptions (Coal)'!S31)*(Model!T12+Model!T13-Model!T10-Model!T11-T183+T131)+T183-T78+T79,Model!T12+Model!T13-Model!T10-Model!T11+T131-T78+T79)</f>
        <v>28.735657092539366</v>
      </c>
      <c r="U235" s="105">
        <f>IF(Model!U12+Model!U13-Model!U10-Model!U11-U183+U131&gt;0,(1-'Assumptions (Coal)'!T31)*(Model!U12+Model!U13-Model!U10-Model!U11-U183+U131)+U183-U78+U79,Model!U12+Model!U13-Model!U10-Model!U11+U131-U78+U79)</f>
        <v>35.733281843749637</v>
      </c>
      <c r="V235" s="105">
        <f>IF(Model!V12+Model!V13-Model!V10-Model!V11-V183+V131&gt;0,(1-'Assumptions (Coal)'!U31)*(Model!V12+Model!V13-Model!V10-Model!V11-V183+V131)+V183-V78+V79,Model!V12+Model!V13-Model!V10-Model!V11+V131-V78+V79)</f>
        <v>34.816086063270198</v>
      </c>
      <c r="W235" s="105">
        <f>IF(Model!W12+Model!W13-Model!W10-Model!W11-W183+W131&gt;0,(1-'Assumptions (Coal)'!V31)*(Model!W12+Model!W13-Model!W10-Model!W11-W183+W131)+W183-W78+W79,Model!W12+Model!W13-Model!W10-Model!W11+W131-W78+W79)</f>
        <v>33.472498575835935</v>
      </c>
      <c r="X235" s="105">
        <f>IF(Model!X12+Model!X13-Model!X10-Model!X11-X183+X131&gt;0,(1-'Assumptions (Coal)'!W31)*(Model!X12+Model!X13-Model!X10-Model!X11-X183+X131)+X183-X78+X79,Model!X12+Model!X13-Model!X10-Model!X11+X131-X78+X79)</f>
        <v>33.355841000318513</v>
      </c>
      <c r="Y235" s="105">
        <f>IF(Model!Y12+Model!Y13-Model!Y10-Model!Y11-Y183+Y131&gt;0,(1-'Assumptions (Coal)'!X31)*(Model!Y12+Model!Y13-Model!Y10-Model!Y11-Y183+Y131)+Y183-Y78+Y79,Model!Y12+Model!Y13-Model!Y10-Model!Y11+Y131-Y78+Y79)</f>
        <v>32.22155861854597</v>
      </c>
      <c r="Z235" s="105">
        <f>IF(Model!Z12+Model!Z13-Model!Z10-Model!Z11-Z183+Z131&gt;0,(1-'Assumptions (Coal)'!Y31)*(Model!Z12+Model!Z13-Model!Z10-Model!Z11-Z183+Z131)+Z183-Z78+Z79,Model!Z12+Model!Z13-Model!Z10-Model!Z11+Z131-Z78+Z79)</f>
        <v>31.500769223354954</v>
      </c>
      <c r="AA235" s="105">
        <f>IF(Model!AA12+Model!AA13-Model!AA10-Model!AA11-AA183+AA131&gt;0,(1-'Assumptions (Coal)'!Z31)*(Model!AA12+Model!AA13-Model!AA10-Model!AA11-AA183+AA131)+AA183-AA78+AA79,Model!AA12+Model!AA13-Model!AA10-Model!AA11+AA131-AA78+AA79)</f>
        <v>30.676134377484974</v>
      </c>
      <c r="AB235" s="105">
        <f>IF(Model!AB12+Model!AB13-Model!AB10-Model!AB11-AB183+AB131&gt;0,(1-'Assumptions (Coal)'!AA31)*(Model!AB12+Model!AB13-Model!AB10-Model!AB11-AB183+AB131)+AB183-AB78+AB79,Model!AB12+Model!AB13-Model!AB10-Model!AB11+AB131-AB78+AB79)</f>
        <v>30.78865148815628</v>
      </c>
      <c r="AC235" s="105">
        <f>IF(Model!AC12+Model!AC13-Model!AC10-Model!AC11-AC183+AC131&gt;0,(1-'Assumptions (Coal)'!AB31)*(Model!AC12+Model!AC13-Model!AC10-Model!AC11-AC183+AC131)+AC183-AC78+AC79,Model!AC12+Model!AC13-Model!AC10-Model!AC11+AC131-AC78+AC79)</f>
        <v>30.052765693320925</v>
      </c>
      <c r="AD235" s="105">
        <f>IF(Model!AD12+Model!AD13-Model!AD10-Model!AD11-AD183+AD131&gt;0,(1-'Assumptions (Coal)'!AC31)*(Model!AD12+Model!AD13-Model!AD10-Model!AD11-AD183+AD131)+AD183-AD78+AD79,Model!AD12+Model!AD13-Model!AD10-Model!AD11+AD131-AD78+AD79)</f>
        <v>28.423266745442575</v>
      </c>
      <c r="AE235" s="105">
        <f>IF(Model!AE12+Model!AE13-Model!AE10-Model!AE11-AE183+AE131&gt;0,(1-'Assumptions (Coal)'!AD31)*(Model!AE12+Model!AE13-Model!AE10-Model!AE11-AE183+AE131)+AE183-AE78+AE79,Model!AE12+Model!AE13-Model!AE10-Model!AE11+AE131-AE78+AE79)</f>
        <v>26.406154315759593</v>
      </c>
      <c r="AF235" s="105">
        <f>IF(Model!AF12+Model!AF13-Model!AF10-Model!AF11-AF183+AF131&gt;0,(1-'Assumptions (Coal)'!AE31)*(Model!AF12+Model!AF13-Model!AF10-Model!AF11-AF183+AF131)+AF183-AF78+AF79,Model!AF12+Model!AF13-Model!AF10-Model!AF11+AF131-AF78+AF79)</f>
        <v>24.535486319760331</v>
      </c>
      <c r="AG235" s="105">
        <f>IF(Model!AG12+Model!AG13-Model!AG10-Model!AG11-AG183+AG131&gt;0,(1-'Assumptions (Coal)'!AF31)*(Model!AG12+Model!AG13-Model!AG10-Model!AG11-AG183+AG131)+AG183-AG78+AG79,Model!AG12+Model!AG13-Model!AG10-Model!AG11+AG131-AG78+AG79)</f>
        <v>19.382452873240187</v>
      </c>
      <c r="AH235" s="105">
        <f>IF(Model!AH12+Model!AH13-Model!AH10-Model!AH11-AH183+AH131&gt;0,(1-'Assumptions (Coal)'!AG31)*(Model!AH12+Model!AH13-Model!AH10-Model!AH11-AH183+AH131)+AH183-AH78+AH79,Model!AH12+Model!AH13-Model!AH10-Model!AH11+AH131-AH78+AH79)</f>
        <v>16.89312723903215</v>
      </c>
      <c r="AI235" s="105">
        <f>IF(Model!AI12+Model!AI13-Model!AI10-Model!AI11-AI183+AI131&gt;0,(1-'Assumptions (Coal)'!AH31)*(Model!AI12+Model!AI13-Model!AI10-Model!AI11-AI183+AI131)+AI183-AI78+AI79,Model!AI12+Model!AI13-Model!AI10-Model!AI11+AI131-AI78+AI79)</f>
        <v>14.343809011539065</v>
      </c>
      <c r="AJ235" s="105">
        <f>IF(Model!AJ12+Model!AJ13-Model!AJ10-Model!AJ11-AJ183+AJ131&gt;0,(1-'Assumptions (Coal)'!AI31)*(Model!AJ12+Model!AJ13-Model!AJ10-Model!AJ11-AJ183+AJ131)+AJ183-AJ78+AJ79,Model!AJ12+Model!AJ13-Model!AJ10-Model!AJ11+AJ131-AJ78+AJ79)</f>
        <v>13.555924224515385</v>
      </c>
      <c r="AK235" s="105">
        <f>IF(Model!AK12+Model!AK13-Model!AK10-Model!AK11-AK183+AK131&gt;0,(1-'Assumptions (Coal)'!AJ31)*(Model!AK12+Model!AK13-Model!AK10-Model!AK11-AK183+AK131)+AK183-AK78+AK79,Model!AK12+Model!AK13-Model!AK10-Model!AK11+AK131-AK78+AK79)</f>
        <v>10.597492196681225</v>
      </c>
      <c r="AL235" s="105">
        <f>IF(Model!AL12+Model!AL13-Model!AL10-Model!AL11-AL183+AL131&gt;0,(1-'Assumptions (Coal)'!AK31)*(Model!AL12+Model!AL13-Model!AL10-Model!AL11-AL183+AL131)+AL183-AL78+AL79,Model!AL12+Model!AL13-Model!AL10-Model!AL11+AL131-AL78+AL79)</f>
        <v>7.5155371095227963</v>
      </c>
      <c r="AM235" s="105">
        <f>IF(Model!AM12+Model!AM13-Model!AM10-Model!AM11-AM183+AM131&gt;0,(1-'Assumptions (Coal)'!AL31)*(Model!AM12+Model!AM13-Model!AM10-Model!AM11-AM183+AM131)+AM183-AM78+AM79,Model!AM12+Model!AM13-Model!AM10-Model!AM11+AM131-AM78+AM79)</f>
        <v>8.784397737786195</v>
      </c>
      <c r="AN235" s="105">
        <f>IF(Model!AN12+Model!AN13-Model!AN10-Model!AN11-AN183+AN131&gt;0,(1-'Assumptions (Coal)'!AM31)*(Model!AN12+Model!AN13-Model!AN10-Model!AN11-AN183+AN131)+AN183-AN78+AN79,Model!AN12+Model!AN13-Model!AN10-Model!AN11+AN131-AN78+AN79)</f>
        <v>3.8569547661528603</v>
      </c>
      <c r="AO235" s="105">
        <f>IF(Model!AO12+Model!AO13-Model!AO10-Model!AO11-AO183+AO131&gt;0,(1-'Assumptions (Coal)'!AN31)*(Model!AO12+Model!AO13-Model!AO10-Model!AO11-AO183+AO131)+AO183-AO78+AO79,Model!AO12+Model!AO13-Model!AO10-Model!AO11+AO131-AO78+AO79)</f>
        <v>2.6696324659797672</v>
      </c>
      <c r="AP235" s="105">
        <f>IF(Model!AP12+Model!AP13-Model!AP10-Model!AP11-AP183+AP131&gt;0,(1-'Assumptions (Coal)'!AO31)*(Model!AP12+Model!AP13-Model!AP10-Model!AP11-AP183+AP131)+AP183-AP78+AP79,Model!AP12+Model!AP13-Model!AP10-Model!AP11+AP131-AP78+AP79)</f>
        <v>-0.52374411829350809</v>
      </c>
      <c r="AQ235" s="105">
        <f>IF(Model!AQ12+Model!AQ13-Model!AQ10-Model!AQ11-AQ183+AQ131&gt;0,(1-'Assumptions (Coal)'!AP31)*(Model!AQ12+Model!AQ13-Model!AQ10-Model!AQ11-AQ183+AQ131)+AQ183-AQ78+AQ79,Model!AQ12+Model!AQ13-Model!AQ10-Model!AQ11+AQ131-AQ78+AQ79)</f>
        <v>4.7924095843274728E-2</v>
      </c>
      <c r="AR235" s="105">
        <f>IF(Model!AR12+Model!AR13-Model!AR10-Model!AR11-AR183+AR131&gt;0,(1-'Assumptions (Coal)'!AQ31)*(Model!AR12+Model!AR13-Model!AR10-Model!AR11-AR183+AR131)+AR183-AR78+AR79,Model!AR12+Model!AR13-Model!AR10-Model!AR11+AR131-AR78+AR79)</f>
        <v>-2.3104258031426883</v>
      </c>
      <c r="AS235" s="105">
        <f>IF(Model!AS12+Model!AS13-Model!AS10-Model!AS11-AS183+AS131&gt;0,(1-'Assumptions (Coal)'!AR31)*(Model!AS12+Model!AS13-Model!AS10-Model!AS11-AS183+AS131)+AS183-AS78+AS79,Model!AS12+Model!AS13-Model!AS10-Model!AS11+AS131-AS78+AS79)</f>
        <v>-2.8315896387198176</v>
      </c>
      <c r="AT235" s="105">
        <f>IF(Model!AT12+Model!AT13-Model!AT10-Model!AT11-AT183+AT131&gt;0,(1-'Assumptions (Coal)'!AS31)*(Model!AT12+Model!AT13-Model!AT10-Model!AT11-AT183+AT131)+AT183-AT78+AT79,Model!AT12+Model!AT13-Model!AT10-Model!AT11+AT131-AT78+AT79)</f>
        <v>-0.52284804897198356</v>
      </c>
      <c r="AU235" s="105">
        <f>IF(Model!AU12+Model!AU13-Model!AU10-Model!AU11-AU183+AU131&gt;0,(1-'Assumptions (Coal)'!AT31)*(Model!AU12+Model!AU13-Model!AU10-Model!AU11-AU183+AU131)+AU183-AU78+AU79,Model!AU12+Model!AU13-Model!AU10-Model!AU11+AU131-AU78+AU79)</f>
        <v>-1.9822491373522482</v>
      </c>
      <c r="AV235" s="105">
        <f>IF(Model!AV12+Model!AV13-Model!AV10-Model!AV11-AV183+AV131&gt;0,(1-'Assumptions (Coal)'!AU31)*(Model!AV12+Model!AV13-Model!AV10-Model!AV11-AV183+AV131)+AV183-AV78+AV79,Model!AV12+Model!AV13-Model!AV10-Model!AV11+AV131-AV78+AV79)</f>
        <v>-2.232690355074058</v>
      </c>
      <c r="AW235" s="105">
        <f>IF(Model!AW12+Model!AW13-Model!AW10-Model!AW11-AW183+AW131&gt;0,(1-'Assumptions (Coal)'!AV31)*(Model!AW12+Model!AW13-Model!AW10-Model!AW11-AW183+AW131)+AW183-AW78+AW79,Model!AW12+Model!AW13-Model!AW10-Model!AW11+AW131-AW78+AW79)</f>
        <v>-4.3457042233850647</v>
      </c>
      <c r="AX235" s="105">
        <f>IF(Model!AX12+Model!AX13-Model!AX10-Model!AX11-AX183+AX131&gt;0,(1-'Assumptions (Coal)'!AW31)*(Model!AX12+Model!AX13-Model!AX10-Model!AX11-AX183+AX131)+AX183-AX78+AX79,Model!AX12+Model!AX13-Model!AX10-Model!AX11+AX131-AX78+AX79)</f>
        <v>-4.2256677820177613</v>
      </c>
      <c r="AY235" s="105">
        <f>IF(Model!AY12+Model!AY13-Model!AY10-Model!AY11-AY183+AY131&gt;0,(1-'Assumptions (Coal)'!AX31)*(Model!AY12+Model!AY13-Model!AY10-Model!AY11-AY183+AY131)+AY183-AY78+AY79,Model!AY12+Model!AY13-Model!AY10-Model!AY11+AY131-AY78+AY79)</f>
        <v>-5.8915912141354765</v>
      </c>
      <c r="AZ235" s="105">
        <f>IF(Model!AZ12+Model!AZ13-Model!AZ10-Model!AZ11-AZ183+AZ131&gt;0,(1-'Assumptions (Coal)'!AY31)*(Model!AZ12+Model!AZ13-Model!AZ10-Model!AZ11-AZ183+AZ131)+AZ183-AZ78+AZ79,Model!AZ12+Model!AZ13-Model!AZ10-Model!AZ11+AZ131-AZ78+AZ79)</f>
        <v>-7.3865032085738473</v>
      </c>
      <c r="BA235" s="105">
        <f>IF(Model!BA12+Model!BA13-Model!BA10-Model!BA11-BA183+BA131&gt;0,(1-'Assumptions (Coal)'!AZ31)*(Model!BA12+Model!BA13-Model!BA10-Model!BA11-BA183+BA131)+BA183-BA78+BA79,Model!BA12+Model!BA13-Model!BA10-Model!BA11+BA131-BA78+BA79)</f>
        <v>-9.3543875839906043</v>
      </c>
      <c r="BB235" s="105"/>
      <c r="BC235" s="105"/>
      <c r="BD235" s="105"/>
      <c r="BE235" s="105"/>
      <c r="BF235" s="105"/>
      <c r="BG235" s="105"/>
      <c r="BH235" s="105"/>
      <c r="BI235" s="105"/>
      <c r="BJ235" s="105"/>
      <c r="BK235" s="105"/>
      <c r="BL235" s="105"/>
      <c r="BM235" s="105"/>
      <c r="BN235" s="105"/>
      <c r="BO235" s="105"/>
      <c r="BP235" s="105"/>
      <c r="BQ235" s="105"/>
      <c r="BR235" s="105"/>
      <c r="BS235" s="105"/>
      <c r="BT235" s="105"/>
      <c r="BU235" s="105"/>
      <c r="BV235" s="105"/>
      <c r="BW235" s="105"/>
      <c r="BX235" s="105"/>
      <c r="BY235" s="105"/>
    </row>
    <row r="236" spans="1:77" ht="15.75" customHeight="1">
      <c r="A236" s="98" t="s">
        <v>64</v>
      </c>
      <c r="B236" s="99" t="s">
        <v>201</v>
      </c>
      <c r="C236" s="105">
        <f>IF(Model!C12+Model!C13-Model!C10-Model!C11-C183+C131&gt;0,'Assumptions (Coal)'!B31*(Model!C12+Model!C13-Model!C10-Model!C11-C183+C131)-'Assumptions (Coal)'!B32*Model!C9/10^3,-'Assumptions (Coal)'!B32*Model!C9/10^3)</f>
        <v>28.119778656260578</v>
      </c>
      <c r="D236" s="105">
        <f>IF(Model!D12+Model!D13-Model!D10-Model!D11-D183+D131&gt;0,'Assumptions (Coal)'!C31*(Model!D12+Model!D13-Model!D10-Model!D11-D183+D131)-'Assumptions (Coal)'!C32*Model!D9/10^3,-'Assumptions (Coal)'!C32*Model!D9/10^3)</f>
        <v>28.126837624197123</v>
      </c>
      <c r="E236" s="105">
        <f>IF(Model!E12+Model!E13-Model!E10-Model!E11-E183+E131&gt;0,'Assumptions (Coal)'!D31*(Model!E12+Model!E13-Model!E10-Model!E11-E183+E131)-'Assumptions (Coal)'!D32*Model!E9/10^3,-'Assumptions (Coal)'!D32*Model!E9/10^3)</f>
        <v>24.021119116859509</v>
      </c>
      <c r="F236" s="105">
        <f>IF(Model!F12+Model!F13-Model!F10-Model!F11-F183+F131&gt;0,'Assumptions (Coal)'!E31*(Model!F12+Model!F13-Model!F10-Model!F11-F183+F131)-'Assumptions (Coal)'!E32*Model!F9/10^3,-'Assumptions (Coal)'!E32*Model!F9/10^3)</f>
        <v>33.692705844631831</v>
      </c>
      <c r="G236" s="105">
        <f>IF(Model!G12+Model!G13-Model!G10-Model!G11-G183+G131&gt;0,'Assumptions (Coal)'!F31*(Model!G12+Model!G13-Model!G10-Model!G11-G183+G131)-'Assumptions (Coal)'!F32*Model!G9/10^3,-'Assumptions (Coal)'!F32*Model!G9/10^3)</f>
        <v>36.278825277804771</v>
      </c>
      <c r="H236" s="105">
        <f>IF(Model!H12+Model!H13-Model!H10-Model!H11-H183+H131&gt;0,'Assumptions (Coal)'!G31*(Model!H12+Model!H13-Model!H10-Model!H11-H183+H131)-'Assumptions (Coal)'!G32*Model!H9/10^3,-'Assumptions (Coal)'!G32*Model!H9/10^3)</f>
        <v>48.544516936470131</v>
      </c>
      <c r="I236" s="105">
        <f>IF(Model!I12+Model!I13-Model!I10-Model!I11-I183+I131&gt;0,'Assumptions (Coal)'!H31*(Model!I12+Model!I13-Model!I10-Model!I11-I183+I131)-'Assumptions (Coal)'!H32*Model!I9/10^3,-'Assumptions (Coal)'!H32*Model!I9/10^3)</f>
        <v>41.147035871664144</v>
      </c>
      <c r="J236" s="105">
        <f>IF(Model!J12+Model!J13-Model!J10-Model!J11-J183+J131&gt;0,'Assumptions (Coal)'!I31*(Model!J12+Model!J13-Model!J10-Model!J11-J183+J131)-'Assumptions (Coal)'!I32*Model!J9/10^3,-'Assumptions (Coal)'!I32*Model!J9/10^3)</f>
        <v>46.490336153942472</v>
      </c>
      <c r="K236" s="105">
        <f>IF(Model!K12+Model!K13-Model!K10-Model!K11-K183+K131&gt;0,'Assumptions (Coal)'!J31*(Model!K12+Model!K13-Model!K10-Model!K11-K183+K131)-'Assumptions (Coal)'!J32*Model!K9/10^3,-'Assumptions (Coal)'!J32*Model!K9/10^3)</f>
        <v>53.116642947394908</v>
      </c>
      <c r="L236" s="105">
        <f>IF(Model!L12+Model!L13-Model!L10-Model!L11-L183+L131&gt;0,'Assumptions (Coal)'!K31*(Model!L12+Model!L13-Model!L10-Model!L11-L183+L131)-'Assumptions (Coal)'!K32*Model!L9/10^3,-'Assumptions (Coal)'!K32*Model!L9/10^3)</f>
        <v>27.897526847789781</v>
      </c>
      <c r="M236" s="105">
        <f>IF(Model!M12+Model!M13-Model!M10-Model!M11-M183+M131&gt;0,'Assumptions (Coal)'!L31*(Model!M12+Model!M13-Model!M10-Model!M11-M183+M131)-'Assumptions (Coal)'!L32*Model!M9/10^3,-'Assumptions (Coal)'!L32*Model!M9/10^3)</f>
        <v>28.598094302036657</v>
      </c>
      <c r="N236" s="105">
        <f>IF(Model!N12+Model!N13-Model!N10-Model!N11-N183+N131&gt;0,'Assumptions (Coal)'!M31*(Model!N12+Model!N13-Model!N10-Model!N11-N183+N131)-'Assumptions (Coal)'!M32*Model!N9/10^3,-'Assumptions (Coal)'!M32*Model!N9/10^3)</f>
        <v>24.170184514122816</v>
      </c>
      <c r="O236" s="105">
        <f>IF(Model!O12+Model!O13-Model!O10-Model!O11-O183+O131&gt;0,'Assumptions (Coal)'!N31*(Model!O12+Model!O13-Model!O10-Model!O11-O183+O131)-'Assumptions (Coal)'!N32*Model!O9/10^3,-'Assumptions (Coal)'!N32*Model!O9/10^3)</f>
        <v>15.591223962762598</v>
      </c>
      <c r="P236" s="105">
        <f>IF(Model!P12+Model!P13-Model!P10-Model!P11-P183+P131&gt;0,'Assumptions (Coal)'!O31*(Model!P12+Model!P13-Model!P10-Model!P11-P183+P131)-'Assumptions (Coal)'!O32*Model!P9/10^3,-'Assumptions (Coal)'!O32*Model!P9/10^3)</f>
        <v>19.550065932248295</v>
      </c>
      <c r="Q236" s="105">
        <f>IF(Model!Q12+Model!Q13-Model!Q10-Model!Q11-Q183+Q131&gt;0,'Assumptions (Coal)'!P31*(Model!Q12+Model!Q13-Model!Q10-Model!Q11-Q183+Q131)-'Assumptions (Coal)'!P32*Model!Q9/10^3,-'Assumptions (Coal)'!P32*Model!Q9/10^3)</f>
        <v>22.338865217581116</v>
      </c>
      <c r="R236" s="105">
        <f>IF(Model!R12+Model!R13-Model!R10-Model!R11-R183+R131&gt;0,'Assumptions (Coal)'!Q31*(Model!R12+Model!R13-Model!R10-Model!R11-R183+R131)-'Assumptions (Coal)'!Q32*Model!R9/10^3,-'Assumptions (Coal)'!Q32*Model!R9/10^3)</f>
        <v>13.80735535507907</v>
      </c>
      <c r="S236" s="105">
        <f>IF(Model!S12+Model!S13-Model!S10-Model!S11-S183+S131&gt;0,'Assumptions (Coal)'!R31*(Model!S12+Model!S13-Model!S10-Model!S11-S183+S131)-'Assumptions (Coal)'!R32*Model!S9/10^3,-'Assumptions (Coal)'!R32*Model!S9/10^3)</f>
        <v>14.407372875591319</v>
      </c>
      <c r="T236" s="105">
        <f>IF(Model!T12+Model!T13-Model!T10-Model!T11-T183+T131&gt;0,'Assumptions (Coal)'!S31*(Model!T12+Model!T13-Model!T10-Model!T11-T183+T131)-'Assumptions (Coal)'!S32*Model!T9/10^3,-'Assumptions (Coal)'!S32*Model!T9/10^3)</f>
        <v>14.412806310728332</v>
      </c>
      <c r="U236" s="105">
        <f>IF(Model!U12+Model!U13-Model!U10-Model!U11-U183+U131&gt;0,'Assumptions (Coal)'!T31*(Model!U12+Model!U13-Model!U10-Model!U11-U183+U131)-'Assumptions (Coal)'!T32*Model!U9/10^3,-'Assumptions (Coal)'!T32*Model!U9/10^3)</f>
        <v>8.5243990451955032</v>
      </c>
      <c r="V236" s="105">
        <f>IF(Model!V12+Model!V13-Model!V10-Model!V11-V183+V131&gt;0,'Assumptions (Coal)'!U31*(Model!V12+Model!V13-Model!V10-Model!V11-V183+V131)-'Assumptions (Coal)'!U32*Model!V9/10^3,-'Assumptions (Coal)'!U32*Model!V9/10^3)</f>
        <v>8.3333002450261535</v>
      </c>
      <c r="W236" s="105">
        <f>IF(Model!W12+Model!W13-Model!W10-Model!W11-W183+W131&gt;0,'Assumptions (Coal)'!V31*(Model!W12+Model!W13-Model!W10-Model!W11-W183+W131)-'Assumptions (Coal)'!V32*Model!W9/10^3,-'Assumptions (Coal)'!V32*Model!W9/10^3)</f>
        <v>8.121811094500659</v>
      </c>
      <c r="X236" s="105">
        <f>IF(Model!X12+Model!X13-Model!X10-Model!X11-X183+X131&gt;0,'Assumptions (Coal)'!W31*(Model!X12+Model!X13-Model!X10-Model!X11-X183+X131)-'Assumptions (Coal)'!W32*Model!X9/10^3,-'Assumptions (Coal)'!W32*Model!X9/10^3)</f>
        <v>7.6264384408457824</v>
      </c>
      <c r="Y236" s="105">
        <f>IF(Model!Y12+Model!Y13-Model!Y10-Model!Y11-Y183+Y131&gt;0,'Assumptions (Coal)'!X31*(Model!Y12+Model!Y13-Model!Y10-Model!Y11-Y183+Y131)-'Assumptions (Coal)'!X32*Model!Y9/10^3,-'Assumptions (Coal)'!X32*Model!Y9/10^3)</f>
        <v>7.2258977706825833</v>
      </c>
      <c r="Z236" s="105">
        <f>IF(Model!Z12+Model!Z13-Model!Z10-Model!Z11-Z183+Z131&gt;0,'Assumptions (Coal)'!Y31*(Model!Z12+Model!Z13-Model!Z10-Model!Z11-Z183+Z131)-'Assumptions (Coal)'!Y32*Model!Z9/10^3,-'Assumptions (Coal)'!Y32*Model!Z9/10^3)</f>
        <v>7.0515090579909465</v>
      </c>
      <c r="AA236" s="105">
        <f>IF(Model!AA12+Model!AA13-Model!AA10-Model!AA11-AA183+AA131&gt;0,'Assumptions (Coal)'!Z31*(Model!AA12+Model!AA13-Model!AA10-Model!AA11-AA183+AA131)-'Assumptions (Coal)'!Z32*Model!AA9/10^3,-'Assumptions (Coal)'!Z32*Model!AA9/10^3)</f>
        <v>6.8478071566858443</v>
      </c>
      <c r="AB236" s="105">
        <f>IF(Model!AB12+Model!AB13-Model!AB10-Model!AB11-AB183+AB131&gt;0,'Assumptions (Coal)'!AA31*(Model!AB12+Model!AB13-Model!AB10-Model!AB11-AB183+AB131)-'Assumptions (Coal)'!AA32*Model!AB9/10^3,-'Assumptions (Coal)'!AA32*Model!AB9/10^3)</f>
        <v>6.8156783739853841</v>
      </c>
      <c r="AC236" s="105">
        <f>IF(Model!AC12+Model!AC13-Model!AC10-Model!AC11-AC183+AC131&gt;0,'Assumptions (Coal)'!AB31*(Model!AC12+Model!AC13-Model!AC10-Model!AC11-AC183+AC131)-'Assumptions (Coal)'!AB32*Model!AC9/10^3,-'Assumptions (Coal)'!AB32*Model!AC9/10^3)</f>
        <v>6.6023109544067804</v>
      </c>
      <c r="AD236" s="105">
        <f>IF(Model!AD12+Model!AD13-Model!AD10-Model!AD11-AD183+AD131&gt;0,'Assumptions (Coal)'!AC31*(Model!AD12+Model!AD13-Model!AD10-Model!AD11-AD183+AD131)-'Assumptions (Coal)'!AC32*Model!AD9/10^3,-'Assumptions (Coal)'!AC32*Model!AD9/10^3)</f>
        <v>6.4520827607924396</v>
      </c>
      <c r="AE236" s="105">
        <f>IF(Model!AE12+Model!AE13-Model!AE10-Model!AE11-AE183+AE131&gt;0,'Assumptions (Coal)'!AD31*(Model!AE12+Model!AE13-Model!AE10-Model!AE11-AE183+AE131)-'Assumptions (Coal)'!AD32*Model!AE9/10^3,-'Assumptions (Coal)'!AD32*Model!AE9/10^3)</f>
        <v>6.2827573738737215</v>
      </c>
      <c r="AF236" s="105">
        <f>IF(Model!AF12+Model!AF13-Model!AF10-Model!AF11-AF183+AF131&gt;0,'Assumptions (Coal)'!AE31*(Model!AF12+Model!AF13-Model!AF10-Model!AF11-AF183+AF131)-'Assumptions (Coal)'!AE32*Model!AF9/10^3,-'Assumptions (Coal)'!AE32*Model!AF9/10^3)</f>
        <v>6.1021323805123995</v>
      </c>
      <c r="AG236" s="105">
        <f>IF(Model!AG12+Model!AG13-Model!AG10-Model!AG11-AG183+AG131&gt;0,'Assumptions (Coal)'!AF31*(Model!AG12+Model!AG13-Model!AG10-Model!AG11-AG183+AG131)-'Assumptions (Coal)'!AF32*Model!AG9/10^3,-'Assumptions (Coal)'!AF32*Model!AG9/10^3)</f>
        <v>5.9489469144887313</v>
      </c>
      <c r="AH236" s="105">
        <f>IF(Model!AH12+Model!AH13-Model!AH10-Model!AH11-AH183+AH131&gt;0,'Assumptions (Coal)'!AG31*(Model!AH12+Model!AH13-Model!AH10-Model!AH11-AH183+AH131)-'Assumptions (Coal)'!AG32*Model!AH9/10^3,-'Assumptions (Coal)'!AG32*Model!AH9/10^3)</f>
        <v>5.8471028376402465</v>
      </c>
      <c r="AI236" s="105">
        <f>IF(Model!AI12+Model!AI13-Model!AI10-Model!AI11-AI183+AI131&gt;0,'Assumptions (Coal)'!AH31*(Model!AI12+Model!AI13-Model!AI10-Model!AI11-AI183+AI131)-'Assumptions (Coal)'!AH32*Model!AI9/10^3,-'Assumptions (Coal)'!AH32*Model!AI9/10^3)</f>
        <v>5.6551948074600196</v>
      </c>
      <c r="AJ236" s="105">
        <f>IF(Model!AJ12+Model!AJ13-Model!AJ10-Model!AJ11-AJ183+AJ131&gt;0,'Assumptions (Coal)'!AI31*(Model!AJ12+Model!AJ13-Model!AJ10-Model!AJ11-AJ183+AJ131)-'Assumptions (Coal)'!AI32*Model!AJ9/10^3,-'Assumptions (Coal)'!AI32*Model!AJ9/10^3)</f>
        <v>5.2620966088008236</v>
      </c>
      <c r="AK236" s="105">
        <f>IF(Model!AK12+Model!AK13-Model!AK10-Model!AK11-AK183+AK131&gt;0,'Assumptions (Coal)'!AJ31*(Model!AK12+Model!AK13-Model!AK10-Model!AK11-AK183+AK131)-'Assumptions (Coal)'!AJ32*Model!AK9/10^3,-'Assumptions (Coal)'!AJ32*Model!AK9/10^3)</f>
        <v>4.7220916566411351</v>
      </c>
      <c r="AL236" s="105">
        <f>IF(Model!AL12+Model!AL13-Model!AL10-Model!AL11-AL183+AL131&gt;0,'Assumptions (Coal)'!AK31*(Model!AL12+Model!AL13-Model!AL10-Model!AL11-AL183+AL131)-'Assumptions (Coal)'!AK32*Model!AL9/10^3,-'Assumptions (Coal)'!AK32*Model!AL9/10^3)</f>
        <v>4.2409577660792444</v>
      </c>
      <c r="AM236" s="105">
        <f>IF(Model!AM12+Model!AM13-Model!AM10-Model!AM11-AM183+AM131&gt;0,'Assumptions (Coal)'!AL31*(Model!AM12+Model!AM13-Model!AM10-Model!AM11-AM183+AM131)-'Assumptions (Coal)'!AL32*Model!AM9/10^3,-'Assumptions (Coal)'!AL32*Model!AM9/10^3)</f>
        <v>3.4588825685989537</v>
      </c>
      <c r="AN236" s="105">
        <f>IF(Model!AN12+Model!AN13-Model!AN10-Model!AN11-AN183+AN131&gt;0,'Assumptions (Coal)'!AM31*(Model!AN12+Model!AN13-Model!AN10-Model!AN11-AN183+AN131)-'Assumptions (Coal)'!AM32*Model!AN9/10^3,-'Assumptions (Coal)'!AM32*Model!AN9/10^3)</f>
        <v>2.6907563111517989</v>
      </c>
      <c r="AO236" s="105">
        <f>IF(Model!AO12+Model!AO13-Model!AO10-Model!AO11-AO183+AO131&gt;0,'Assumptions (Coal)'!AN31*(Model!AO12+Model!AO13-Model!AO10-Model!AO11-AO183+AO131)-'Assumptions (Coal)'!AN32*Model!AO9/10^3,-'Assumptions (Coal)'!AN32*Model!AO9/10^3)</f>
        <v>2.3255674672758149</v>
      </c>
      <c r="AP236" s="105">
        <f>IF(Model!AP12+Model!AP13-Model!AP10-Model!AP11-AP183+AP131&gt;0,'Assumptions (Coal)'!AO31*(Model!AP12+Model!AP13-Model!AP10-Model!AP11-AP183+AP131)-'Assumptions (Coal)'!AO32*Model!AP9/10^3,-'Assumptions (Coal)'!AO32*Model!AP9/10^3)</f>
        <v>2.0351712560756745</v>
      </c>
      <c r="AQ236" s="105">
        <f>IF(Model!AQ12+Model!AQ13-Model!AQ10-Model!AQ11-AQ183+AQ131&gt;0,'Assumptions (Coal)'!AP31*(Model!AQ12+Model!AQ13-Model!AQ10-Model!AQ11-AQ183+AQ131)-'Assumptions (Coal)'!AP32*Model!AQ9/10^3,-'Assumptions (Coal)'!AP32*Model!AQ9/10^3)</f>
        <v>1.5433389696263469</v>
      </c>
      <c r="AR236" s="105">
        <f>IF(Model!AR12+Model!AR13-Model!AR10-Model!AR11-AR183+AR131&gt;0,'Assumptions (Coal)'!AQ31*(Model!AR12+Model!AR13-Model!AR10-Model!AR11-AR183+AR131)-'Assumptions (Coal)'!AQ32*Model!AR9/10^3,-'Assumptions (Coal)'!AQ32*Model!AR9/10^3)</f>
        <v>0.86355505071568994</v>
      </c>
      <c r="AS236" s="105">
        <f>IF(Model!AS12+Model!AS13-Model!AS10-Model!AS11-AS183+AS131&gt;0,'Assumptions (Coal)'!AR31*(Model!AS12+Model!AS13-Model!AS10-Model!AS11-AS183+AS131)-'Assumptions (Coal)'!AR32*Model!AS9/10^3,-'Assumptions (Coal)'!AR32*Model!AS9/10^3)</f>
        <v>0.38277003632497864</v>
      </c>
      <c r="AT236" s="105">
        <f>IF(Model!AT12+Model!AT13-Model!AT10-Model!AT11-AT183+AT131&gt;0,'Assumptions (Coal)'!AS31*(Model!AT12+Model!AT13-Model!AT10-Model!AT11-AT183+AT131)-'Assumptions (Coal)'!AS32*Model!AT9/10^3,-'Assumptions (Coal)'!AS32*Model!AT9/10^3)</f>
        <v>-0.35585254945094158</v>
      </c>
      <c r="AU236" s="105">
        <f>IF(Model!AU12+Model!AU13-Model!AU10-Model!AU11-AU183+AU131&gt;0,'Assumptions (Coal)'!AT31*(Model!AU12+Model!AU13-Model!AU10-Model!AU11-AU183+AU131)-'Assumptions (Coal)'!AT32*Model!AU9/10^3,-'Assumptions (Coal)'!AT32*Model!AU9/10^3)</f>
        <v>-0.31111680039572087</v>
      </c>
      <c r="AV236" s="105">
        <f>IF(Model!AV12+Model!AV13-Model!AV10-Model!AV11-AV183+AV131&gt;0,'Assumptions (Coal)'!AU31*(Model!AV12+Model!AV13-Model!AV10-Model!AV11-AV183+AV131)-'Assumptions (Coal)'!AU32*Model!AV9/10^3,-'Assumptions (Coal)'!AU32*Model!AV9/10^3)</f>
        <v>-0.2644492803585109</v>
      </c>
      <c r="AW236" s="105">
        <f>IF(Model!AW12+Model!AW13-Model!AW10-Model!AW11-AW183+AW131&gt;0,'Assumptions (Coal)'!AV31*(Model!AW12+Model!AW13-Model!AW10-Model!AW11-AW183+AW131)-'Assumptions (Coal)'!AV32*Model!AW9/10^3,-'Assumptions (Coal)'!AV32*Model!AW9/10^3)</f>
        <v>-0.21579061279965431</v>
      </c>
      <c r="AX236" s="105">
        <f>IF(Model!AX12+Model!AX13-Model!AX10-Model!AX11-AX183+AX131&gt;0,'Assumptions (Coal)'!AW31*(Model!AX12+Model!AX13-Model!AX10-Model!AX11-AX183+AX131)-'Assumptions (Coal)'!AW32*Model!AX9/10^3,-'Assumptions (Coal)'!AW32*Model!AX9/10^3)</f>
        <v>-0.16507981882629999</v>
      </c>
      <c r="AY236" s="105">
        <f>IF(Model!AY12+Model!AY13-Model!AY10-Model!AY11-AY183+AY131&gt;0,'Assumptions (Coal)'!AX31*(Model!AY12+Model!AY13-Model!AY10-Model!AY11-AY183+AY131)-'Assumptions (Coal)'!AX32*Model!AY9/10^3,-'Assumptions (Coal)'!AX32*Model!AY9/10^3)</f>
        <v>-0.11225427684889171</v>
      </c>
      <c r="AZ236" s="105">
        <f>IF(Model!AZ12+Model!AZ13-Model!AZ10-Model!AZ11-AZ183+AZ131&gt;0,'Assumptions (Coal)'!AY31*(Model!AZ12+Model!AZ13-Model!AZ10-Model!AZ11-AZ183+AZ131)-'Assumptions (Coal)'!AY32*Model!AZ9/10^3,-'Assumptions (Coal)'!AY32*Model!AZ9/10^3)</f>
        <v>-5.7249681264856536E-2</v>
      </c>
      <c r="BA236" s="105">
        <f>IF(Model!BA12+Model!BA13-Model!BA10-Model!BA11-BA183+BA131&gt;0,'Assumptions (Coal)'!AZ31*(Model!BA12+Model!BA13-Model!BA10-Model!BA11-BA183+BA131)-'Assumptions (Coal)'!AZ32*Model!BA9/10^3,-'Assumptions (Coal)'!AZ32*Model!BA9/10^3)</f>
        <v>-1.4672028831237175E-10</v>
      </c>
    </row>
    <row r="237" spans="1:77" ht="15.75" customHeight="1">
      <c r="A237" s="98" t="s">
        <v>66</v>
      </c>
      <c r="B237" s="99" t="s">
        <v>816</v>
      </c>
      <c r="C237" s="99"/>
      <c r="D237" s="99"/>
      <c r="E237" s="99"/>
      <c r="F237" s="99"/>
      <c r="G237" s="99"/>
      <c r="H237" s="99"/>
      <c r="I237" s="99"/>
      <c r="J237" s="99"/>
      <c r="K237" s="99"/>
      <c r="L237" s="99"/>
      <c r="M237" s="99"/>
      <c r="N237" s="99"/>
      <c r="O237" s="99"/>
      <c r="P237" s="99"/>
      <c r="Q237" s="99"/>
      <c r="R237" s="99"/>
      <c r="S237" s="99"/>
      <c r="T237" s="99"/>
      <c r="U237" s="99"/>
      <c r="V237" s="99"/>
      <c r="W237" s="90">
        <f>W9*'Assumptions (Coal)'!V30</f>
        <v>885.94799999999987</v>
      </c>
      <c r="X237" s="90">
        <f>X9*'Assumptions (Coal)'!W30</f>
        <v>856.41640000247321</v>
      </c>
      <c r="Y237" s="90">
        <f>Y9*'Assumptions (Coal)'!X30</f>
        <v>826.88480000494656</v>
      </c>
      <c r="Z237" s="90">
        <f>Z9*'Assumptions (Coal)'!Y30</f>
        <v>797.3532000074199</v>
      </c>
      <c r="AA237" s="90">
        <f>AA9*'Assumptions (Coal)'!Z30</f>
        <v>767.82160000989313</v>
      </c>
      <c r="AB237" s="90">
        <f>AB9*'Assumptions (Coal)'!AA30</f>
        <v>738.29000001236648</v>
      </c>
      <c r="AC237" s="90">
        <f>AC9*'Assumptions (Coal)'!AB30</f>
        <v>708.75840001483982</v>
      </c>
      <c r="AD237" s="90">
        <f>AD9*'Assumptions (Coal)'!AC30</f>
        <v>679.22680001731317</v>
      </c>
      <c r="AE237" s="90">
        <f>AE9*'Assumptions (Coal)'!AD30</f>
        <v>649.69520001978651</v>
      </c>
      <c r="AF237" s="90">
        <f>AF9*'Assumptions (Coal)'!AE30</f>
        <v>620.16360002225986</v>
      </c>
      <c r="AG237" s="90">
        <f>AG9*'Assumptions (Coal)'!AF30</f>
        <v>590.6320000247332</v>
      </c>
      <c r="AH237" s="90">
        <f>AH9*'Assumptions (Coal)'!AG30</f>
        <v>561.10040002720655</v>
      </c>
      <c r="AI237" s="90">
        <f>AI9*'Assumptions (Coal)'!AH30</f>
        <v>531.56880002967989</v>
      </c>
      <c r="AJ237" s="90">
        <f>AJ9*'Assumptions (Coal)'!AI30</f>
        <v>502.03720003215324</v>
      </c>
      <c r="AK237" s="90">
        <f>AK9*'Assumptions (Coal)'!AJ30</f>
        <v>472.50560003462658</v>
      </c>
      <c r="AL237" s="90">
        <f>AL9*'Assumptions (Coal)'!AK30</f>
        <v>442.97400003709993</v>
      </c>
      <c r="AM237" s="90">
        <f>AM9*'Assumptions (Coal)'!AL30</f>
        <v>413.44240003957327</v>
      </c>
      <c r="AN237" s="90">
        <f>AN9*'Assumptions (Coal)'!AM30</f>
        <v>383.91080004204662</v>
      </c>
      <c r="AO237" s="90">
        <f>AO9*'Assumptions (Coal)'!AN30</f>
        <v>354.37920004451996</v>
      </c>
      <c r="AP237" s="90">
        <f>AP9*'Assumptions (Coal)'!AO30</f>
        <v>324.84760004699331</v>
      </c>
      <c r="AQ237" s="90">
        <f>AQ9*'Assumptions (Coal)'!AP30</f>
        <v>295.31600004946665</v>
      </c>
      <c r="AR237" s="90">
        <f>AR9*'Assumptions (Coal)'!AQ30</f>
        <v>265.78440005194</v>
      </c>
      <c r="AS237" s="90">
        <f>AS9*'Assumptions (Coal)'!AR30</f>
        <v>236.25280005441334</v>
      </c>
      <c r="AT237" s="90">
        <f>AT9*'Assumptions (Coal)'!AS30</f>
        <v>206.72120005688666</v>
      </c>
      <c r="AU237" s="90">
        <f>AU9*'Assumptions (Coal)'!AT30</f>
        <v>177.18960005936</v>
      </c>
      <c r="AV237" s="90">
        <f>AV9*'Assumptions (Coal)'!AU30</f>
        <v>147.65800006183335</v>
      </c>
      <c r="AW237" s="90">
        <f>AW9*'Assumptions (Coal)'!AV30</f>
        <v>118.12640006430669</v>
      </c>
      <c r="AX237" s="90">
        <f>AX9*'Assumptions (Coal)'!AW30</f>
        <v>88.594800066780039</v>
      </c>
      <c r="AY237" s="90">
        <f>AY9*'Assumptions (Coal)'!AX30</f>
        <v>59.063200069253377</v>
      </c>
      <c r="AZ237" s="90">
        <f>AZ9*'Assumptions (Coal)'!AY30</f>
        <v>29.531600071726718</v>
      </c>
      <c r="BA237" s="90">
        <f>BA9*'Assumptions (Coal)'!AZ30</f>
        <v>7.4199999999999989E-8</v>
      </c>
    </row>
    <row r="238" spans="1:77" ht="15.75" customHeight="1">
      <c r="A238" s="87" t="s">
        <v>817</v>
      </c>
      <c r="B238" s="99"/>
      <c r="C238" s="99"/>
      <c r="D238" s="99"/>
      <c r="E238" s="99"/>
      <c r="F238" s="99"/>
      <c r="G238" s="99"/>
      <c r="H238" s="99"/>
      <c r="I238" s="99"/>
      <c r="J238" s="99"/>
      <c r="K238" s="99"/>
      <c r="L238" s="99"/>
      <c r="M238" s="99"/>
      <c r="N238" s="99"/>
      <c r="O238" s="99"/>
      <c r="P238" s="99"/>
      <c r="Q238" s="99"/>
      <c r="R238" s="99"/>
      <c r="S238" s="99"/>
      <c r="T238" s="99"/>
      <c r="U238" s="99"/>
      <c r="V238" s="99"/>
      <c r="W238" s="90"/>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row>
    <row r="239" spans="1:77" ht="15.75" customHeight="1">
      <c r="A239" s="98" t="s">
        <v>25</v>
      </c>
      <c r="B239" s="99"/>
      <c r="C239" s="99"/>
      <c r="D239" s="99"/>
      <c r="E239" s="99"/>
      <c r="F239" s="99"/>
      <c r="G239" s="99"/>
      <c r="H239" s="99"/>
      <c r="I239" s="99"/>
      <c r="J239" s="99"/>
      <c r="K239" s="99"/>
      <c r="L239" s="99"/>
      <c r="M239" s="99"/>
      <c r="N239" s="99"/>
      <c r="O239" s="99"/>
      <c r="P239" s="99"/>
      <c r="Q239" s="99"/>
      <c r="R239" s="99"/>
      <c r="S239" s="99"/>
      <c r="T239" s="99"/>
      <c r="U239" s="99"/>
      <c r="V239" s="99"/>
      <c r="W239" s="90"/>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row>
    <row r="240" spans="1:77" ht="15.75" customHeight="1">
      <c r="A240" s="98" t="s">
        <v>31</v>
      </c>
      <c r="B240" s="99"/>
      <c r="C240" s="99"/>
      <c r="D240" s="99"/>
      <c r="E240" s="99"/>
      <c r="F240" s="99"/>
      <c r="G240" s="99"/>
      <c r="H240" s="99"/>
      <c r="I240" s="99"/>
      <c r="J240" s="99"/>
      <c r="K240" s="99"/>
      <c r="L240" s="99"/>
      <c r="M240" s="99"/>
      <c r="N240" s="99"/>
      <c r="O240" s="99"/>
      <c r="P240" s="99"/>
      <c r="Q240" s="99"/>
      <c r="R240" s="99"/>
      <c r="S240" s="99"/>
      <c r="T240" s="99"/>
      <c r="U240" s="99"/>
      <c r="V240" s="99"/>
      <c r="W240" s="90"/>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row>
    <row r="241" spans="1:77" ht="15.75" customHeight="1">
      <c r="A241" s="98"/>
      <c r="B241" s="99"/>
      <c r="C241" s="99"/>
      <c r="D241" s="99"/>
      <c r="E241" s="99"/>
      <c r="F241" s="99"/>
      <c r="G241" s="99"/>
      <c r="H241" s="99"/>
      <c r="I241" s="99"/>
      <c r="J241" s="99"/>
      <c r="K241" s="99"/>
      <c r="L241" s="99"/>
      <c r="M241" s="99"/>
      <c r="N241" s="99"/>
      <c r="O241" s="99"/>
      <c r="P241" s="99"/>
      <c r="Q241" s="99"/>
      <c r="R241" s="99"/>
      <c r="S241" s="99"/>
      <c r="T241" s="99"/>
      <c r="U241" s="99"/>
      <c r="V241" s="99"/>
      <c r="W241" s="90"/>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row>
    <row r="242" spans="1:77" ht="15.75" customHeight="1">
      <c r="A242" s="98"/>
      <c r="B242" s="99"/>
      <c r="C242" s="99"/>
      <c r="D242" s="99"/>
      <c r="E242" s="99"/>
      <c r="F242" s="99"/>
      <c r="G242" s="99"/>
      <c r="H242" s="99"/>
      <c r="I242" s="99"/>
      <c r="J242" s="99"/>
      <c r="K242" s="99"/>
      <c r="L242" s="99"/>
      <c r="M242" s="99"/>
      <c r="N242" s="99"/>
      <c r="O242" s="99"/>
      <c r="P242" s="99"/>
      <c r="Q242" s="99"/>
      <c r="R242" s="99"/>
      <c r="S242" s="99"/>
      <c r="T242" s="99"/>
      <c r="U242" s="99"/>
      <c r="V242" s="99"/>
      <c r="W242" s="90"/>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row>
    <row r="243" spans="1:77" ht="15.75" customHeight="1">
      <c r="A243" s="363" t="s">
        <v>818</v>
      </c>
      <c r="B243" s="42"/>
      <c r="C243" s="42"/>
      <c r="D243" s="42"/>
      <c r="E243" s="42"/>
      <c r="F243" s="42"/>
      <c r="G243" s="42"/>
      <c r="H243" s="42"/>
      <c r="I243" s="42"/>
      <c r="J243" s="42"/>
      <c r="K243" s="42"/>
      <c r="L243" s="42"/>
      <c r="M243" s="42"/>
      <c r="N243" s="42"/>
      <c r="O243" s="42"/>
      <c r="P243" s="42"/>
      <c r="Q243" s="42"/>
      <c r="R243" s="42"/>
      <c r="S243" s="42"/>
      <c r="T243" s="42"/>
      <c r="U243" s="42"/>
      <c r="V243" s="42"/>
      <c r="W243" s="86"/>
    </row>
    <row r="244" spans="1:77" ht="15.75" customHeight="1">
      <c r="A244" s="364" t="s">
        <v>819</v>
      </c>
      <c r="B244" s="99" t="s">
        <v>201</v>
      </c>
      <c r="C244" s="147">
        <f>(1+'Assumptions (NG Midstream)'!B67)*'Assumptions (NG Midstream)'!B65</f>
        <v>13.117600648620002</v>
      </c>
      <c r="D244" s="147">
        <f>(1+'Assumptions (NG Midstream)'!C67)*'Assumptions (NG Midstream)'!C65</f>
        <v>12.651949288000003</v>
      </c>
      <c r="E244" s="147">
        <f>(1+'Assumptions (NG Midstream)'!D67)*'Assumptions (NG Midstream)'!D65</f>
        <v>11.63195452648</v>
      </c>
      <c r="F244" s="147">
        <f>(1+'Assumptions (NG Midstream)'!E67)*'Assumptions (NG Midstream)'!E65</f>
        <v>12.457780765119999</v>
      </c>
      <c r="G244" s="147">
        <f>(1+'Assumptions (NG Midstream)'!F67)*'Assumptions (NG Midstream)'!F65</f>
        <v>12.70647470232</v>
      </c>
      <c r="H244" s="147">
        <f>(1+'Assumptions (NG Midstream)'!G67)*'Assumptions (NG Midstream)'!G65</f>
        <v>14.444594183450002</v>
      </c>
      <c r="I244" s="147">
        <f>(1+'Assumptions (NG Midstream)'!H67)*'Assumptions (NG Midstream)'!H65</f>
        <v>14.539304789240001</v>
      </c>
      <c r="J244" s="147">
        <f>(1+'Assumptions (NG Midstream)'!I67)*'Assumptions (NG Midstream)'!I65</f>
        <v>19.552925098619998</v>
      </c>
      <c r="K244" s="147">
        <f>(1+'Assumptions (NG Midstream)'!J67)*'Assumptions (NG Midstream)'!J65</f>
        <v>16.719540671979999</v>
      </c>
      <c r="L244" s="147">
        <f>(1+'Assumptions (NG Midstream)'!K67)*'Assumptions (NG Midstream)'!K65</f>
        <v>15.193622599479999</v>
      </c>
      <c r="M244" s="147">
        <f>(1+'Assumptions (NG Midstream)'!L67)*'Assumptions (NG Midstream)'!L65</f>
        <v>16.118412553620001</v>
      </c>
      <c r="N244" s="147">
        <f>(1+'Assumptions (NG Midstream)'!M67)*'Assumptions (NG Midstream)'!M65</f>
        <v>17.37311789784</v>
      </c>
      <c r="O244" s="147">
        <f>(1+'Assumptions (NG Midstream)'!N67)*'Assumptions (NG Midstream)'!N65</f>
        <v>18.100562488399998</v>
      </c>
      <c r="P244" s="147">
        <f>(1+'Assumptions (NG Midstream)'!O67)*'Assumptions (NG Midstream)'!O65</f>
        <v>17.803944663199999</v>
      </c>
      <c r="Q244" s="147">
        <f>(1+'Assumptions (NG Midstream)'!P67)*'Assumptions (NG Midstream)'!P65</f>
        <v>20.383148946439999</v>
      </c>
      <c r="R244" s="147">
        <f>(1+'Assumptions (NG Midstream)'!Q67)*'Assumptions (NG Midstream)'!Q65</f>
        <v>20.111991478000004</v>
      </c>
      <c r="S244" s="147">
        <f>(1+'Assumptions (NG Midstream)'!R67)*'Assumptions (NG Midstream)'!R65</f>
        <v>17.721329583379998</v>
      </c>
      <c r="T244" s="147">
        <f>(1+'Assumptions (NG Midstream)'!S67)*'Assumptions (NG Midstream)'!S65</f>
        <v>19.366868192041288</v>
      </c>
      <c r="U244" s="147">
        <f>(1+'Assumptions (NG Midstream)'!T67)*'Assumptions (NG Midstream)'!T65</f>
        <v>19.814606492956749</v>
      </c>
      <c r="V244" s="147">
        <f>(1+'Assumptions (NG Midstream)'!U67)*'Assumptions (NG Midstream)'!U65</f>
        <v>19.792217299570442</v>
      </c>
      <c r="W244" s="147">
        <f>(1+'Assumptions (NG Midstream)'!V67)*'Assumptions (NG Midstream)'!V65</f>
        <v>19.941545593923166</v>
      </c>
      <c r="X244" s="147">
        <f>(1+'Assumptions (NG Midstream)'!W67)*'Assumptions (NG Midstream)'!W65</f>
        <v>20.017855934982908</v>
      </c>
      <c r="Y244" s="147">
        <f>(1+'Assumptions (NG Midstream)'!X67)*'Assumptions (NG Midstream)'!X65</f>
        <v>20.091400736555507</v>
      </c>
      <c r="Z244" s="147">
        <f>(1+'Assumptions (NG Midstream)'!Y67)*'Assumptions (NG Midstream)'!Y65</f>
        <v>20.139673554723899</v>
      </c>
      <c r="AA244" s="147">
        <f>(1+'Assumptions (NG Midstream)'!Z67)*'Assumptions (NG Midstream)'!Z65</f>
        <v>20.231167633109212</v>
      </c>
      <c r="AB244" s="147">
        <f>(1+'Assumptions (NG Midstream)'!AA67)*'Assumptions (NG Midstream)'!AA65</f>
        <v>20.29229729932041</v>
      </c>
      <c r="AC244" s="147">
        <f>(1+'Assumptions (NG Midstream)'!AB67)*'Assumptions (NG Midstream)'!AB65</f>
        <v>20.391817597495663</v>
      </c>
      <c r="AD244" s="147">
        <f>(1+'Assumptions (NG Midstream)'!AC67)*'Assumptions (NG Midstream)'!AC65</f>
        <v>20.464467952038145</v>
      </c>
      <c r="AE244" s="147">
        <f>(1+'Assumptions (NG Midstream)'!AD67)*'Assumptions (NG Midstream)'!AD65</f>
        <v>20.522078515562306</v>
      </c>
      <c r="AF244" s="147">
        <f>(1+'Assumptions (NG Midstream)'!AE67)*'Assumptions (NG Midstream)'!AE65</f>
        <v>20.534461150839917</v>
      </c>
      <c r="AG244" s="147">
        <f>(1+'Assumptions (NG Midstream)'!AF67)*'Assumptions (NG Midstream)'!AF65</f>
        <v>20.483826117823895</v>
      </c>
      <c r="AH244" s="147">
        <f>(1+'Assumptions (NG Midstream)'!AG67)*'Assumptions (NG Midstream)'!AG65</f>
        <v>20.482075850773555</v>
      </c>
      <c r="AI244" s="147">
        <f>(1+'Assumptions (NG Midstream)'!AH67)*'Assumptions (NG Midstream)'!AH65</f>
        <v>20.516123276619233</v>
      </c>
      <c r="AJ244" s="147">
        <f>(1+'Assumptions (NG Midstream)'!AI67)*'Assumptions (NG Midstream)'!AI65</f>
        <v>20.540252021031574</v>
      </c>
      <c r="AK244" s="147">
        <f>(1+'Assumptions (NG Midstream)'!AJ67)*'Assumptions (NG Midstream)'!AJ65</f>
        <v>20.578545570888608</v>
      </c>
      <c r="AL244" s="147">
        <f>(1+'Assumptions (NG Midstream)'!AK67)*'Assumptions (NG Midstream)'!AK65</f>
        <v>20.600839755626147</v>
      </c>
      <c r="AM244" s="147">
        <f>(1+'Assumptions (NG Midstream)'!AL67)*'Assumptions (NG Midstream)'!AL65</f>
        <v>20.622914237020598</v>
      </c>
      <c r="AN244" s="147">
        <f>(1+'Assumptions (NG Midstream)'!AM67)*'Assumptions (NG Midstream)'!AM65</f>
        <v>20.637114788029091</v>
      </c>
      <c r="AO244" s="147">
        <f>(1+'Assumptions (NG Midstream)'!AN67)*'Assumptions (NG Midstream)'!AN65</f>
        <v>20.655090772804812</v>
      </c>
      <c r="AP244" s="147">
        <f>(1+'Assumptions (NG Midstream)'!AO67)*'Assumptions (NG Midstream)'!AO65</f>
        <v>20.666466235950956</v>
      </c>
      <c r="AQ244" s="147">
        <f>(1+'Assumptions (NG Midstream)'!AP67)*'Assumptions (NG Midstream)'!AP65</f>
        <v>20.679642209498489</v>
      </c>
      <c r="AR244" s="147">
        <f>(1+'Assumptions (NG Midstream)'!AQ67)*'Assumptions (NG Midstream)'!AQ65</f>
        <v>20.688373045663173</v>
      </c>
      <c r="AS244" s="147">
        <f>(1+'Assumptions (NG Midstream)'!AR67)*'Assumptions (NG Midstream)'!AR65</f>
        <v>20.703610692099492</v>
      </c>
      <c r="AT244" s="147">
        <f>(1+'Assumptions (NG Midstream)'!AS67)*'Assumptions (NG Midstream)'!AS65</f>
        <v>20.717262419488144</v>
      </c>
      <c r="AU244" s="147">
        <f>(1+'Assumptions (NG Midstream)'!AT67)*'Assumptions (NG Midstream)'!AT65</f>
        <v>20.743497106937649</v>
      </c>
      <c r="AV244" s="147">
        <f>(1+'Assumptions (NG Midstream)'!AU67)*'Assumptions (NG Midstream)'!AU65</f>
        <v>20.758887229877338</v>
      </c>
      <c r="AW244" s="147">
        <f>(1+'Assumptions (NG Midstream)'!AV67)*'Assumptions (NG Midstream)'!AV65</f>
        <v>20.766963851627931</v>
      </c>
      <c r="AX244" s="147">
        <f>(1+'Assumptions (NG Midstream)'!AW67)*'Assumptions (NG Midstream)'!AW65</f>
        <v>20.784502757256046</v>
      </c>
      <c r="AY244" s="147">
        <f>(1+'Assumptions (NG Midstream)'!AX67)*'Assumptions (NG Midstream)'!AX65</f>
        <v>20.812771419868824</v>
      </c>
      <c r="AZ244" s="147">
        <f>(1+'Assumptions (NG Midstream)'!AY67)*'Assumptions (NG Midstream)'!AY65</f>
        <v>20.829293555124728</v>
      </c>
      <c r="BA244" s="147">
        <f>(1+'Assumptions (NG Midstream)'!AZ67)*'Assumptions (NG Midstream)'!AZ65</f>
        <v>20.851691838160811</v>
      </c>
    </row>
    <row r="245" spans="1:77" ht="15.75" customHeight="1">
      <c r="A245" s="364" t="s">
        <v>820</v>
      </c>
      <c r="B245" s="99" t="s">
        <v>201</v>
      </c>
      <c r="C245" s="147">
        <f>(1+'Assumptions (NG Midstream)'!B67)*'Assumptions (NG Midstream)'!B58</f>
        <v>79.220243847420008</v>
      </c>
      <c r="D245" s="147">
        <f>(1+'Assumptions (NG Midstream)'!C67)*'Assumptions (NG Midstream)'!C58</f>
        <v>85.872745354000017</v>
      </c>
      <c r="E245" s="147">
        <f>(1+'Assumptions (NG Midstream)'!D67)*'Assumptions (NG Midstream)'!D58</f>
        <v>86.634428410799998</v>
      </c>
      <c r="F245" s="147">
        <f>(1+'Assumptions (NG Midstream)'!E67)*'Assumptions (NG Midstream)'!E58</f>
        <v>87.514760633199984</v>
      </c>
      <c r="G245" s="147">
        <f>(1+'Assumptions (NG Midstream)'!F67)*'Assumptions (NG Midstream)'!F58</f>
        <v>92.372427652259972</v>
      </c>
      <c r="H245" s="147">
        <f>(1+'Assumptions (NG Midstream)'!G67)*'Assumptions (NG Midstream)'!G58</f>
        <v>100.00933549586999</v>
      </c>
      <c r="I245" s="147">
        <f>(1+'Assumptions (NG Midstream)'!H67)*'Assumptions (NG Midstream)'!H58</f>
        <v>99.768102687000024</v>
      </c>
      <c r="J245" s="147">
        <f>(1+'Assumptions (NG Midstream)'!I67)*'Assumptions (NG Midstream)'!I58</f>
        <v>106.83507667104</v>
      </c>
      <c r="K245" s="147">
        <f>(1+'Assumptions (NG Midstream)'!J67)*'Assumptions (NG Midstream)'!J58</f>
        <v>108.06392634459999</v>
      </c>
      <c r="L245" s="147">
        <f>(1+'Assumptions (NG Midstream)'!K67)*'Assumptions (NG Midstream)'!K58</f>
        <v>121.58340743315</v>
      </c>
      <c r="M245" s="147">
        <f>(1+'Assumptions (NG Midstream)'!L67)*'Assumptions (NG Midstream)'!L58</f>
        <v>139.74698446920002</v>
      </c>
      <c r="N245" s="147">
        <f>(1+'Assumptions (NG Midstream)'!M67)*'Assumptions (NG Midstream)'!M58</f>
        <v>148.9293918155</v>
      </c>
      <c r="O245" s="147">
        <f>(1+'Assumptions (NG Midstream)'!N67)*'Assumptions (NG Midstream)'!N58</f>
        <v>171.65780014684</v>
      </c>
      <c r="P245" s="147">
        <f>(1+'Assumptions (NG Midstream)'!O67)*'Assumptions (NG Midstream)'!O58</f>
        <v>170.53291861184002</v>
      </c>
      <c r="Q245" s="147">
        <f>(1+'Assumptions (NG Midstream)'!P67)*'Assumptions (NG Midstream)'!P58</f>
        <v>171.89281610088</v>
      </c>
      <c r="R245" s="147">
        <f>(1+'Assumptions (NG Midstream)'!Q67)*'Assumptions (NG Midstream)'!Q58</f>
        <v>174.75344271520001</v>
      </c>
      <c r="S245" s="147">
        <f>(1+'Assumptions (NG Midstream)'!R67)*'Assumptions (NG Midstream)'!R58</f>
        <v>180.9949321533</v>
      </c>
      <c r="T245" s="147">
        <f>(1+'Assumptions (NG Midstream)'!S67)*'Assumptions (NG Midstream)'!S58</f>
        <v>179.01352277371882</v>
      </c>
      <c r="U245" s="147">
        <f>(1+'Assumptions (NG Midstream)'!T67)*'Assumptions (NG Midstream)'!T58</f>
        <v>185.91174570604076</v>
      </c>
      <c r="V245" s="147">
        <f>(1+'Assumptions (NG Midstream)'!U67)*'Assumptions (NG Midstream)'!U58</f>
        <v>185.60728570824722</v>
      </c>
      <c r="W245" s="147">
        <f>(1+'Assumptions (NG Midstream)'!V67)*'Assumptions (NG Midstream)'!V58</f>
        <v>187.84332246968665</v>
      </c>
      <c r="X245" s="147">
        <f>(1+'Assumptions (NG Midstream)'!W67)*'Assumptions (NG Midstream)'!W58</f>
        <v>188.89602977279429</v>
      </c>
      <c r="Y245" s="147">
        <f>(1+'Assumptions (NG Midstream)'!X67)*'Assumptions (NG Midstream)'!X58</f>
        <v>189.8280724399288</v>
      </c>
      <c r="Z245" s="147">
        <f>(1+'Assumptions (NG Midstream)'!Y67)*'Assumptions (NG Midstream)'!Y58</f>
        <v>190.73085036547059</v>
      </c>
      <c r="AA245" s="147">
        <f>(1+'Assumptions (NG Midstream)'!Z67)*'Assumptions (NG Midstream)'!Z58</f>
        <v>192.12157692975001</v>
      </c>
      <c r="AB245" s="147">
        <f>(1+'Assumptions (NG Midstream)'!AA67)*'Assumptions (NG Midstream)'!AA58</f>
        <v>193.21914473493129</v>
      </c>
      <c r="AC245" s="147">
        <f>(1+'Assumptions (NG Midstream)'!AB67)*'Assumptions (NG Midstream)'!AB58</f>
        <v>194.60786218127913</v>
      </c>
      <c r="AD245" s="147">
        <f>(1+'Assumptions (NG Midstream)'!AC67)*'Assumptions (NG Midstream)'!AC58</f>
        <v>195.57156753738599</v>
      </c>
      <c r="AE245" s="147">
        <f>(1+'Assumptions (NG Midstream)'!AD67)*'Assumptions (NG Midstream)'!AD58</f>
        <v>196.35836501541914</v>
      </c>
      <c r="AF245" s="147">
        <f>(1+'Assumptions (NG Midstream)'!AE67)*'Assumptions (NG Midstream)'!AE58</f>
        <v>196.60154640670766</v>
      </c>
      <c r="AG245" s="147">
        <f>(1+'Assumptions (NG Midstream)'!AF67)*'Assumptions (NG Midstream)'!AF58</f>
        <v>196.19049834232632</v>
      </c>
      <c r="AH245" s="147">
        <f>(1+'Assumptions (NG Midstream)'!AG67)*'Assumptions (NG Midstream)'!AG58</f>
        <v>196.33989853380581</v>
      </c>
      <c r="AI245" s="147">
        <f>(1+'Assumptions (NG Midstream)'!AH67)*'Assumptions (NG Midstream)'!AH58</f>
        <v>196.85989949018386</v>
      </c>
      <c r="AJ245" s="147">
        <f>(1+'Assumptions (NG Midstream)'!AI67)*'Assumptions (NG Midstream)'!AI58</f>
        <v>197.16973205147761</v>
      </c>
      <c r="AK245" s="147">
        <f>(1+'Assumptions (NG Midstream)'!AJ67)*'Assumptions (NG Midstream)'!AJ58</f>
        <v>197.70571677393949</v>
      </c>
      <c r="AL245" s="147">
        <f>(1+'Assumptions (NG Midstream)'!AK67)*'Assumptions (NG Midstream)'!AK58</f>
        <v>198.03160968979199</v>
      </c>
      <c r="AM245" s="147">
        <f>(1+'Assumptions (NG Midstream)'!AL67)*'Assumptions (NG Midstream)'!AL58</f>
        <v>198.36270919918056</v>
      </c>
      <c r="AN245" s="147">
        <f>(1+'Assumptions (NG Midstream)'!AM67)*'Assumptions (NG Midstream)'!AM58</f>
        <v>198.56551519139481</v>
      </c>
      <c r="AO245" s="147">
        <f>(1+'Assumptions (NG Midstream)'!AN67)*'Assumptions (NG Midstream)'!AN58</f>
        <v>198.83390041786339</v>
      </c>
      <c r="AP245" s="147">
        <f>(1+'Assumptions (NG Midstream)'!AO67)*'Assumptions (NG Midstream)'!AO58</f>
        <v>199.00609369859623</v>
      </c>
      <c r="AQ245" s="147">
        <f>(1+'Assumptions (NG Midstream)'!AP67)*'Assumptions (NG Midstream)'!AP58</f>
        <v>199.21979094814401</v>
      </c>
      <c r="AR245" s="147">
        <f>(1+'Assumptions (NG Midstream)'!AQ67)*'Assumptions (NG Midstream)'!AQ58</f>
        <v>199.35535249821905</v>
      </c>
      <c r="AS245" s="147">
        <f>(1+'Assumptions (NG Midstream)'!AR67)*'Assumptions (NG Midstream)'!AR58</f>
        <v>199.59675121091607</v>
      </c>
      <c r="AT245" s="147">
        <f>(1+'Assumptions (NG Midstream)'!AS67)*'Assumptions (NG Midstream)'!AS58</f>
        <v>199.80537638712346</v>
      </c>
      <c r="AU245" s="147">
        <f>(1+'Assumptions (NG Midstream)'!AT67)*'Assumptions (NG Midstream)'!AT58</f>
        <v>200.22311196880025</v>
      </c>
      <c r="AV245" s="147">
        <f>(1+'Assumptions (NG Midstream)'!AU67)*'Assumptions (NG Midstream)'!AU58</f>
        <v>200.48056844064268</v>
      </c>
      <c r="AW245" s="147">
        <f>(1+'Assumptions (NG Midstream)'!AV67)*'Assumptions (NG Midstream)'!AV58</f>
        <v>200.63059883059424</v>
      </c>
      <c r="AX245" s="147">
        <f>(1+'Assumptions (NG Midstream)'!AW67)*'Assumptions (NG Midstream)'!AW58</f>
        <v>200.92860607129367</v>
      </c>
      <c r="AY245" s="147">
        <f>(1+'Assumptions (NG Midstream)'!AX67)*'Assumptions (NG Midstream)'!AX58</f>
        <v>201.37445648821756</v>
      </c>
      <c r="AZ245" s="147">
        <f>(1+'Assumptions (NG Midstream)'!AY67)*'Assumptions (NG Midstream)'!AY58</f>
        <v>201.62431936915158</v>
      </c>
      <c r="BA245" s="147">
        <f>(1+'Assumptions (NG Midstream)'!AZ67)*'Assumptions (NG Midstream)'!AZ58</f>
        <v>201.96738770048518</v>
      </c>
    </row>
    <row r="246" spans="1:77" ht="15.75" customHeight="1">
      <c r="A246" s="364" t="s">
        <v>821</v>
      </c>
      <c r="B246" s="99" t="s">
        <v>201</v>
      </c>
      <c r="C246" s="147">
        <f>(1+'Assumptions (NG Midstream)'!B67)*'Assumptions (NG Midstream)'!B60</f>
        <v>1.0178434679400001</v>
      </c>
      <c r="D246" s="147">
        <f>(1+'Assumptions (NG Midstream)'!C67)*'Assumptions (NG Midstream)'!C60</f>
        <v>0.87336217100000002</v>
      </c>
      <c r="E246" s="147">
        <f>(1+'Assumptions (NG Midstream)'!D67)*'Assumptions (NG Midstream)'!D60</f>
        <v>0.74933304680000012</v>
      </c>
      <c r="F246" s="147">
        <f>(1+'Assumptions (NG Midstream)'!E67)*'Assumptions (NG Midstream)'!E60</f>
        <v>0.9768555028</v>
      </c>
      <c r="G246" s="147">
        <f>(1+'Assumptions (NG Midstream)'!F67)*'Assumptions (NG Midstream)'!F60</f>
        <v>0.92224413162000007</v>
      </c>
      <c r="H246" s="147">
        <f>(1+'Assumptions (NG Midstream)'!G67)*'Assumptions (NG Midstream)'!G60</f>
        <v>1.03090049774</v>
      </c>
      <c r="I246" s="147">
        <f>(1+'Assumptions (NG Midstream)'!H67)*'Assumptions (NG Midstream)'!H60</f>
        <v>0.93350271520000017</v>
      </c>
      <c r="J246" s="147">
        <f>(1+'Assumptions (NG Midstream)'!I67)*'Assumptions (NG Midstream)'!I60</f>
        <v>0.92140467111000002</v>
      </c>
      <c r="K246" s="147">
        <f>(1+'Assumptions (NG Midstream)'!J67)*'Assumptions (NG Midstream)'!J60</f>
        <v>0.95114590525999987</v>
      </c>
      <c r="L246" s="147">
        <f>(1+'Assumptions (NG Midstream)'!K67)*'Assumptions (NG Midstream)'!K60</f>
        <v>0.89509257005999998</v>
      </c>
      <c r="M246" s="147">
        <f>(1+'Assumptions (NG Midstream)'!L67)*'Assumptions (NG Midstream)'!L60</f>
        <v>1.0313002999800001</v>
      </c>
      <c r="N246" s="147">
        <f>(1+'Assumptions (NG Midstream)'!M67)*'Assumptions (NG Midstream)'!M60</f>
        <v>1.5189611276799999</v>
      </c>
      <c r="O246" s="147">
        <f>(1+'Assumptions (NG Midstream)'!N67)*'Assumptions (NG Midstream)'!N60</f>
        <v>1.9216350587</v>
      </c>
      <c r="P246" s="147">
        <f>(1+'Assumptions (NG Midstream)'!O67)*'Assumptions (NG Midstream)'!O60</f>
        <v>2.2134633905600003</v>
      </c>
      <c r="Q246" s="147">
        <f>(1+'Assumptions (NG Midstream)'!P67)*'Assumptions (NG Midstream)'!P60</f>
        <v>0.84295618847999987</v>
      </c>
      <c r="R246" s="147">
        <f>(1+'Assumptions (NG Midstream)'!Q67)*'Assumptions (NG Midstream)'!Q60</f>
        <v>1.0927902884</v>
      </c>
      <c r="S246" s="147">
        <f>(1+'Assumptions (NG Midstream)'!R67)*'Assumptions (NG Midstream)'!R60</f>
        <v>1.7802780211800002</v>
      </c>
      <c r="T246" s="147">
        <f>(1+'Assumptions (NG Midstream)'!S67)*'Assumptions (NG Midstream)'!S60</f>
        <v>1.1787073906211765</v>
      </c>
      <c r="U246" s="147">
        <f>(1+'Assumptions (NG Midstream)'!T67)*'Assumptions (NG Midstream)'!T60</f>
        <v>1.2082009917452596</v>
      </c>
      <c r="V246" s="147">
        <f>(1+'Assumptions (NG Midstream)'!U67)*'Assumptions (NG Midstream)'!U60</f>
        <v>1.2218327261613848</v>
      </c>
      <c r="W246" s="147">
        <f>(1+'Assumptions (NG Midstream)'!V67)*'Assumptions (NG Midstream)'!V60</f>
        <v>1.2411942979825508</v>
      </c>
      <c r="X246" s="147">
        <f>(1+'Assumptions (NG Midstream)'!W67)*'Assumptions (NG Midstream)'!W60</f>
        <v>1.2581866255689054</v>
      </c>
      <c r="Y246" s="147">
        <f>(1+'Assumptions (NG Midstream)'!X67)*'Assumptions (NG Midstream)'!X60</f>
        <v>1.2817286716860592</v>
      </c>
      <c r="Z246" s="147">
        <f>(1+'Assumptions (NG Midstream)'!Y67)*'Assumptions (NG Midstream)'!Y60</f>
        <v>1.3053348800459514</v>
      </c>
      <c r="AA246" s="147">
        <f>(1+'Assumptions (NG Midstream)'!Z67)*'Assumptions (NG Midstream)'!Z60</f>
        <v>1.3278846156910673</v>
      </c>
      <c r="AB246" s="147">
        <f>(1+'Assumptions (NG Midstream)'!AA67)*'Assumptions (NG Midstream)'!AA60</f>
        <v>1.3538583613092998</v>
      </c>
      <c r="AC246" s="147">
        <f>(1+'Assumptions (NG Midstream)'!AB67)*'Assumptions (NG Midstream)'!AB60</f>
        <v>1.3763947908564167</v>
      </c>
      <c r="AD246" s="147">
        <f>(1+'Assumptions (NG Midstream)'!AC67)*'Assumptions (NG Midstream)'!AC60</f>
        <v>1.3697413371839087</v>
      </c>
      <c r="AE246" s="147">
        <f>(1+'Assumptions (NG Midstream)'!AD67)*'Assumptions (NG Midstream)'!AD60</f>
        <v>1.3406140448926989</v>
      </c>
      <c r="AF246" s="147">
        <f>(1+'Assumptions (NG Midstream)'!AE67)*'Assumptions (NG Midstream)'!AE60</f>
        <v>1.284858414745965</v>
      </c>
      <c r="AG246" s="147">
        <f>(1+'Assumptions (NG Midstream)'!AF67)*'Assumptions (NG Midstream)'!AF60</f>
        <v>1.3099356057206193</v>
      </c>
      <c r="AH246" s="147">
        <f>(1+'Assumptions (NG Midstream)'!AG67)*'Assumptions (NG Midstream)'!AG60</f>
        <v>1.3217789702449689</v>
      </c>
      <c r="AI246" s="147">
        <f>(1+'Assumptions (NG Midstream)'!AH67)*'Assumptions (NG Midstream)'!AH60</f>
        <v>1.2903746858777458</v>
      </c>
      <c r="AJ246" s="147">
        <f>(1+'Assumptions (NG Midstream)'!AI67)*'Assumptions (NG Midstream)'!AI60</f>
        <v>1.2983568874880222</v>
      </c>
      <c r="AK246" s="147">
        <f>(1+'Assumptions (NG Midstream)'!AJ67)*'Assumptions (NG Midstream)'!AJ60</f>
        <v>1.3049439624987982</v>
      </c>
      <c r="AL246" s="147">
        <f>(1+'Assumptions (NG Midstream)'!AK67)*'Assumptions (NG Midstream)'!AK60</f>
        <v>1.3105485357635704</v>
      </c>
      <c r="AM246" s="147">
        <f>(1+'Assumptions (NG Midstream)'!AL67)*'Assumptions (NG Midstream)'!AL60</f>
        <v>1.3152069474555839</v>
      </c>
      <c r="AN246" s="147">
        <f>(1+'Assumptions (NG Midstream)'!AM67)*'Assumptions (NG Midstream)'!AM60</f>
        <v>1.3191714282613245</v>
      </c>
      <c r="AO246" s="147">
        <f>(1+'Assumptions (NG Midstream)'!AN67)*'Assumptions (NG Midstream)'!AN60</f>
        <v>1.3219079214343876</v>
      </c>
      <c r="AP246" s="147">
        <f>(1+'Assumptions (NG Midstream)'!AO67)*'Assumptions (NG Midstream)'!AO60</f>
        <v>1.3230645749644283</v>
      </c>
      <c r="AQ246" s="147">
        <f>(1+'Assumptions (NG Midstream)'!AP67)*'Assumptions (NG Midstream)'!AP60</f>
        <v>1.3226915399810752</v>
      </c>
      <c r="AR246" s="147">
        <f>(1+'Assumptions (NG Midstream)'!AQ67)*'Assumptions (NG Midstream)'!AQ60</f>
        <v>1.3205547600965573</v>
      </c>
      <c r="AS246" s="147">
        <f>(1+'Assumptions (NG Midstream)'!AR67)*'Assumptions (NG Midstream)'!AR60</f>
        <v>1.3168702897584796</v>
      </c>
      <c r="AT246" s="147">
        <f>(1+'Assumptions (NG Midstream)'!AS67)*'Assumptions (NG Midstream)'!AS60</f>
        <v>1.3135950994554322</v>
      </c>
      <c r="AU246" s="147">
        <f>(1+'Assumptions (NG Midstream)'!AT67)*'Assumptions (NG Midstream)'!AT60</f>
        <v>1.3120138773252898</v>
      </c>
      <c r="AV246" s="147">
        <f>(1+'Assumptions (NG Midstream)'!AU67)*'Assumptions (NG Midstream)'!AU60</f>
        <v>1.3138905263861427</v>
      </c>
      <c r="AW246" s="147">
        <f>(1+'Assumptions (NG Midstream)'!AV67)*'Assumptions (NG Midstream)'!AV60</f>
        <v>1.3138851464940708</v>
      </c>
      <c r="AX246" s="147">
        <f>(1+'Assumptions (NG Midstream)'!AW67)*'Assumptions (NG Midstream)'!AW60</f>
        <v>1.3129977099865604</v>
      </c>
      <c r="AY246" s="147">
        <f>(1+'Assumptions (NG Midstream)'!AX67)*'Assumptions (NG Midstream)'!AX60</f>
        <v>1.3143974229674158</v>
      </c>
      <c r="AZ246" s="147">
        <f>(1+'Assumptions (NG Midstream)'!AY67)*'Assumptions (NG Midstream)'!AY60</f>
        <v>1.3155136554867903</v>
      </c>
      <c r="BA246" s="147">
        <f>(1+'Assumptions (NG Midstream)'!AZ67)*'Assumptions (NG Midstream)'!AZ60</f>
        <v>1.3163003217974811</v>
      </c>
    </row>
    <row r="247" spans="1:77" ht="15.75" customHeight="1">
      <c r="A247" s="364" t="s">
        <v>822</v>
      </c>
      <c r="B247" s="99" t="s">
        <v>201</v>
      </c>
      <c r="C247" s="147">
        <f>(1+'Assumptions (NG Midstream)'!B67)*SUM('Assumptions (NG Midstream)'!B61:B62)</f>
        <v>-1.1436443460000003E-2</v>
      </c>
      <c r="D247" s="147">
        <f>(1+'Assumptions (NG Midstream)'!C67)*SUM('Assumptions (NG Midstream)'!C61:C62)</f>
        <v>3.5406574500000003E-2</v>
      </c>
      <c r="E247" s="147">
        <f>(1+'Assumptions (NG Midstream)'!D67)*SUM('Assumptions (NG Midstream)'!D61:D62)</f>
        <v>-2.3056401439999995E-2</v>
      </c>
      <c r="F247" s="147">
        <f>(1+'Assumptions (NG Midstream)'!E67)*SUM('Assumptions (NG Midstream)'!E61:E62)</f>
        <v>0.19537110055999998</v>
      </c>
      <c r="G247" s="147">
        <f>(1+'Assumptions (NG Midstream)'!F67)*SUM('Assumptions (NG Midstream)'!F61:F62)</f>
        <v>-7.9700110140000002E-2</v>
      </c>
      <c r="H247" s="147">
        <f>(1+'Assumptions (NG Midstream)'!G67)*SUM('Assumptions (NG Midstream)'!G61:G62)</f>
        <v>-3.5961645270000002E-2</v>
      </c>
      <c r="I247" s="147">
        <f>(1+'Assumptions (NG Midstream)'!H67)*SUM('Assumptions (NG Midstream)'!H61:H62)</f>
        <v>7.0012703640000007E-2</v>
      </c>
      <c r="J247" s="147">
        <f>(1+'Assumptions (NG Midstream)'!I67)*SUM('Assumptions (NG Midstream)'!I61:I62)</f>
        <v>-0.56241583820999996</v>
      </c>
      <c r="K247" s="147">
        <f>(1+'Assumptions (NG Midstream)'!J67)*SUM('Assumptions (NG Midstream)'!J61:J62)</f>
        <v>-4.5838356880000007E-2</v>
      </c>
      <c r="L247" s="147">
        <f>(1+'Assumptions (NG Midstream)'!K67)*SUM('Assumptions (NG Midstream)'!K61:K62)</f>
        <v>0</v>
      </c>
      <c r="M247" s="147">
        <f>(1+'Assumptions (NG Midstream)'!L67)*SUM('Assumptions (NG Midstream)'!L61:L62)</f>
        <v>-0.19698994493999997</v>
      </c>
      <c r="N247" s="147">
        <f>(1+'Assumptions (NG Midstream)'!M67)*SUM('Assumptions (NG Midstream)'!M61:M62)</f>
        <v>-0.23733767620000001</v>
      </c>
      <c r="O247" s="147">
        <f>(1+'Assumptions (NG Midstream)'!N67)*SUM('Assumptions (NG Midstream)'!N61:N62)</f>
        <v>-9.9181164319999987E-2</v>
      </c>
      <c r="P247" s="147">
        <f>(1+'Assumptions (NG Midstream)'!O67)*SUM('Assumptions (NG Midstream)'!O61:O62)</f>
        <v>-0.25262353914000002</v>
      </c>
      <c r="Q247" s="147">
        <f>(1+'Assumptions (NG Midstream)'!P67)*SUM('Assumptions (NG Midstream)'!P61:P62)</f>
        <v>-2.3415449680000006E-2</v>
      </c>
      <c r="R247" s="147">
        <f>(1+'Assumptions (NG Midstream)'!Q67)*SUM('Assumptions (NG Midstream)'!Q61:Q62)</f>
        <v>0.11625428600000001</v>
      </c>
      <c r="S247" s="147">
        <f>(1+'Assumptions (NG Midstream)'!R67)*SUM('Assumptions (NG Midstream)'!R61:R62)</f>
        <v>-0.19780866901999999</v>
      </c>
      <c r="T247" s="147">
        <f>(1+'Assumptions (NG Midstream)'!S67)*SUM('Assumptions (NG Midstream)'!S61:S62)</f>
        <v>-8.976910590823528E-2</v>
      </c>
      <c r="U247" s="147">
        <f>(1+'Assumptions (NG Midstream)'!T67)*SUM('Assumptions (NG Midstream)'!T61:T62)</f>
        <v>-9.4321492131072687E-2</v>
      </c>
      <c r="V247" s="147">
        <f>(1+'Assumptions (NG Midstream)'!U67)*SUM('Assumptions (NG Midstream)'!U61:U62)</f>
        <v>-0.11385389721659583</v>
      </c>
      <c r="W247" s="147">
        <f>(1+'Assumptions (NG Midstream)'!V67)*SUM('Assumptions (NG Midstream)'!V61:V62)</f>
        <v>-0.11608652108993754</v>
      </c>
      <c r="X247" s="147">
        <f>(1+'Assumptions (NG Midstream)'!W67)*SUM('Assumptions (NG Midstream)'!W61:W62)</f>
        <v>-0.12162507888250458</v>
      </c>
      <c r="Y247" s="147">
        <f>(1+'Assumptions (NG Midstream)'!X67)*SUM('Assumptions (NG Midstream)'!X61:X62)</f>
        <v>-0.13467426110842001</v>
      </c>
      <c r="Z247" s="147">
        <f>(1+'Assumptions (NG Midstream)'!Y67)*SUM('Assumptions (NG Midstream)'!Y61:Y62)</f>
        <v>-0.10666482354069631</v>
      </c>
      <c r="AA247" s="147">
        <f>(1+'Assumptions (NG Midstream)'!Z67)*SUM('Assumptions (NG Midstream)'!Z61:Z62)</f>
        <v>-0.11068863718383609</v>
      </c>
      <c r="AB247" s="147">
        <f>(1+'Assumptions (NG Midstream)'!AA67)*SUM('Assumptions (NG Midstream)'!AA61:AA62)</f>
        <v>-0.11794554460031652</v>
      </c>
      <c r="AC247" s="147">
        <f>(1+'Assumptions (NG Midstream)'!AB67)*SUM('Assumptions (NG Midstream)'!AB61:AB62)</f>
        <v>-0.11265723171794514</v>
      </c>
      <c r="AD247" s="147">
        <f>(1+'Assumptions (NG Midstream)'!AC67)*SUM('Assumptions (NG Midstream)'!AC61:AC62)</f>
        <v>-0.10463317653479533</v>
      </c>
      <c r="AE247" s="147">
        <f>(1+'Assumptions (NG Midstream)'!AD67)*SUM('Assumptions (NG Midstream)'!AD61:AD62)</f>
        <v>-0.10542721005753029</v>
      </c>
      <c r="AF247" s="147">
        <f>(1+'Assumptions (NG Midstream)'!AE67)*SUM('Assumptions (NG Midstream)'!AE61:AE62)</f>
        <v>-9.5910856055033314E-2</v>
      </c>
      <c r="AG247" s="147">
        <f>(1+'Assumptions (NG Midstream)'!AF67)*SUM('Assumptions (NG Midstream)'!AF61:AF62)</f>
        <v>-0.10042665697824311</v>
      </c>
      <c r="AH247" s="147">
        <f>(1+'Assumptions (NG Midstream)'!AG67)*SUM('Assumptions (NG Midstream)'!AG61:AG62)</f>
        <v>-0.11479658128315778</v>
      </c>
      <c r="AI247" s="147">
        <f>(1+'Assumptions (NG Midstream)'!AH67)*SUM('Assumptions (NG Midstream)'!AH61:AH62)</f>
        <v>-0.10916458580082572</v>
      </c>
      <c r="AJ247" s="147">
        <f>(1+'Assumptions (NG Midstream)'!AI67)*SUM('Assumptions (NG Midstream)'!AI61:AI62)</f>
        <v>-0.11050507990461655</v>
      </c>
      <c r="AK247" s="147">
        <f>(1+'Assumptions (NG Midstream)'!AJ67)*SUM('Assumptions (NG Midstream)'!AJ61:AJ62)</f>
        <v>-0.11163428413794689</v>
      </c>
      <c r="AL247" s="147">
        <f>(1+'Assumptions (NG Midstream)'!AK67)*SUM('Assumptions (NG Midstream)'!AK61:AK62)</f>
        <v>-0.11149006688261104</v>
      </c>
      <c r="AM247" s="147">
        <f>(1+'Assumptions (NG Midstream)'!AL67)*SUM('Assumptions (NG Midstream)'!AL61:AL62)</f>
        <v>-0.11118526059367125</v>
      </c>
      <c r="AN247" s="147">
        <f>(1+'Assumptions (NG Midstream)'!AM67)*SUM('Assumptions (NG Midstream)'!AM61:AM62)</f>
        <v>-0.11050217086785193</v>
      </c>
      <c r="AO247" s="147">
        <f>(1+'Assumptions (NG Midstream)'!AN67)*SUM('Assumptions (NG Midstream)'!AN61:AN62)</f>
        <v>-0.10891229027323573</v>
      </c>
      <c r="AP247" s="147">
        <f>(1+'Assumptions (NG Midstream)'!AO67)*SUM('Assumptions (NG Midstream)'!AO61:AO62)</f>
        <v>-0.10906640884182482</v>
      </c>
      <c r="AQ247" s="147">
        <f>(1+'Assumptions (NG Midstream)'!AP67)*SUM('Assumptions (NG Midstream)'!AP61:AP62)</f>
        <v>-0.10895400786650489</v>
      </c>
      <c r="AR247" s="147">
        <f>(1+'Assumptions (NG Midstream)'!AQ67)*SUM('Assumptions (NG Midstream)'!AQ61:AQ62)</f>
        <v>-0.10834930983242778</v>
      </c>
      <c r="AS247" s="147">
        <f>(1+'Assumptions (NG Midstream)'!AR67)*SUM('Assumptions (NG Midstream)'!AR61:AR62)</f>
        <v>-0.10806523997141425</v>
      </c>
      <c r="AT247" s="147">
        <f>(1+'Assumptions (NG Midstream)'!AS67)*SUM('Assumptions (NG Midstream)'!AS61:AS62)</f>
        <v>-0.10831354471971628</v>
      </c>
      <c r="AU247" s="147">
        <f>(1+'Assumptions (NG Midstream)'!AT67)*SUM('Assumptions (NG Midstream)'!AT61:AT62)</f>
        <v>-0.10852313022835225</v>
      </c>
      <c r="AV247" s="147">
        <f>(1+'Assumptions (NG Midstream)'!AU67)*SUM('Assumptions (NG Midstream)'!AU61:AU62)</f>
        <v>-0.10936762297760297</v>
      </c>
      <c r="AW247" s="147">
        <f>(1+'Assumptions (NG Midstream)'!AV67)*SUM('Assumptions (NG Midstream)'!AV61:AV62)</f>
        <v>-0.10994143688020624</v>
      </c>
      <c r="AX247" s="147">
        <f>(1+'Assumptions (NG Midstream)'!AW67)*SUM('Assumptions (NG Midstream)'!AW61:AW62)</f>
        <v>-0.10958712455251354</v>
      </c>
      <c r="AY247" s="147">
        <f>(1+'Assumptions (NG Midstream)'!AX67)*SUM('Assumptions (NG Midstream)'!AX61:AX62)</f>
        <v>-0.10960610764607082</v>
      </c>
      <c r="AZ247" s="147">
        <f>(1+'Assumptions (NG Midstream)'!AY67)*SUM('Assumptions (NG Midstream)'!AY61:AY62)</f>
        <v>-0.10954995425220959</v>
      </c>
      <c r="BA247" s="147">
        <f>(1+'Assumptions (NG Midstream)'!AZ67)*SUM('Assumptions (NG Midstream)'!AZ61:AZ62)</f>
        <v>-0.10941774748164139</v>
      </c>
    </row>
    <row r="248" spans="1:77" ht="15.75" customHeight="1">
      <c r="A248" s="365" t="s">
        <v>290</v>
      </c>
      <c r="B248" s="99" t="s">
        <v>201</v>
      </c>
      <c r="C248" s="147">
        <f>(1+'Assumptions (NG Midstream)'!B67)*'Assumptions (NG Midstream)'!B59</f>
        <v>3.0420939603600003</v>
      </c>
      <c r="D248" s="147">
        <f>(1+'Assumptions (NG Midstream)'!C67)*'Assumptions (NG Midstream)'!C59</f>
        <v>3.9655363440000002</v>
      </c>
      <c r="E248" s="147">
        <f>(1+'Assumptions (NG Midstream)'!D67)*'Assumptions (NG Midstream)'!D59</f>
        <v>4.8418443023999984</v>
      </c>
      <c r="F248" s="147">
        <f>(1+'Assumptions (NG Midstream)'!E67)*'Assumptions (NG Midstream)'!E59</f>
        <v>6.0909813703999998</v>
      </c>
      <c r="G248" s="147">
        <f>(1+'Assumptions (NG Midstream)'!F67)*'Assumptions (NG Midstream)'!F59</f>
        <v>3.6206621463599995</v>
      </c>
      <c r="H248" s="147">
        <f>(1+'Assumptions (NG Midstream)'!G67)*'Assumptions (NG Midstream)'!G59</f>
        <v>3.5961645269999996</v>
      </c>
      <c r="I248" s="147">
        <f>(1+'Assumptions (NG Midstream)'!H67)*'Assumptions (NG Midstream)'!H59</f>
        <v>4.5508257366000002</v>
      </c>
      <c r="J248" s="147">
        <f>(1+'Assumptions (NG Midstream)'!I67)*'Assumptions (NG Midstream)'!I59</f>
        <v>7.6703947296299999</v>
      </c>
      <c r="K248" s="147">
        <f>(1+'Assumptions (NG Midstream)'!J67)*'Assumptions (NG Midstream)'!J59</f>
        <v>14.072375562159998</v>
      </c>
      <c r="L248" s="147">
        <f>(1+'Assumptions (NG Midstream)'!K67)*'Assumptions (NG Midstream)'!K59</f>
        <v>18.085460133519998</v>
      </c>
      <c r="M248" s="147">
        <f>(1+'Assumptions (NG Midstream)'!L67)*'Assumptions (NG Midstream)'!L59</f>
        <v>5.9908118549399987</v>
      </c>
      <c r="N248" s="147">
        <f>(1+'Assumptions (NG Midstream)'!M67)*'Assumptions (NG Midstream)'!M59</f>
        <v>17.064578918779997</v>
      </c>
      <c r="O248" s="147">
        <f>(1+'Assumptions (NG Midstream)'!N67)*'Assumptions (NG Midstream)'!N59</f>
        <v>6.2112204155399997</v>
      </c>
      <c r="P248" s="147">
        <f>(1+'Assumptions (NG Midstream)'!O67)*'Assumptions (NG Midstream)'!O59</f>
        <v>7.8553890980199998</v>
      </c>
      <c r="Q248" s="147">
        <f>(1+'Assumptions (NG Midstream)'!P67)*'Assumptions (NG Midstream)'!P59</f>
        <v>5.2801839028400002</v>
      </c>
      <c r="R248" s="147">
        <f>(1+'Assumptions (NG Midstream)'!Q67)*'Assumptions (NG Midstream)'!Q59</f>
        <v>7.6030303044000007</v>
      </c>
      <c r="S248" s="147">
        <f>(1+'Assumptions (NG Midstream)'!R67)*'Assumptions (NG Midstream)'!R59</f>
        <v>7.0163898481799993</v>
      </c>
      <c r="T248" s="147">
        <f>(1+'Assumptions (NG Midstream)'!S67)*'Assumptions (NG Midstream)'!S59</f>
        <v>7.9124722839396426</v>
      </c>
      <c r="U248" s="147">
        <f>(1+'Assumptions (NG Midstream)'!T67)*'Assumptions (NG Midstream)'!T59</f>
        <v>1.069925019805271</v>
      </c>
      <c r="V248" s="147">
        <f>(1+'Assumptions (NG Midstream)'!U67)*'Assumptions (NG Midstream)'!U59</f>
        <v>3.390597534243188</v>
      </c>
      <c r="W248" s="147">
        <f>(1+'Assumptions (NG Midstream)'!V67)*'Assumptions (NG Midstream)'!V59</f>
        <v>2.1835137914841929</v>
      </c>
      <c r="X248" s="147">
        <f>(1+'Assumptions (NG Midstream)'!W67)*'Assumptions (NG Midstream)'!W59</f>
        <v>1.9700676753156214</v>
      </c>
      <c r="Y248" s="147">
        <f>(1+'Assumptions (NG Midstream)'!X67)*'Assumptions (NG Midstream)'!X59</f>
        <v>2.529291718816256</v>
      </c>
      <c r="Z248" s="147">
        <f>(1+'Assumptions (NG Midstream)'!Y67)*'Assumptions (NG Midstream)'!Y59</f>
        <v>2.7206914209543216</v>
      </c>
      <c r="AA248" s="147">
        <f>(1+'Assumptions (NG Midstream)'!Z67)*'Assumptions (NG Midstream)'!Z59</f>
        <v>2.736551138964578</v>
      </c>
      <c r="AB248" s="147">
        <f>(1+'Assumptions (NG Midstream)'!AA67)*'Assumptions (NG Midstream)'!AA59</f>
        <v>2.5808597597500054</v>
      </c>
      <c r="AC248" s="147">
        <f>(1+'Assumptions (NG Midstream)'!AB67)*'Assumptions (NG Midstream)'!AB59</f>
        <v>2.1711890358754955</v>
      </c>
      <c r="AD248" s="147">
        <f>(1+'Assumptions (NG Midstream)'!AC67)*'Assumptions (NG Midstream)'!AC59</f>
        <v>2.0719301307878619</v>
      </c>
      <c r="AE248" s="147">
        <f>(1+'Assumptions (NG Midstream)'!AD67)*'Assumptions (NG Midstream)'!AD59</f>
        <v>1.7624828649091944</v>
      </c>
      <c r="AF248" s="147">
        <f>(1+'Assumptions (NG Midstream)'!AE67)*'Assumptions (NG Midstream)'!AE59</f>
        <v>1.5685822968583596</v>
      </c>
      <c r="AG248" s="147">
        <f>(1+'Assumptions (NG Midstream)'!AF67)*'Assumptions (NG Midstream)'!AF59</f>
        <v>1.8331018689078673</v>
      </c>
      <c r="AH248" s="147">
        <f>(1+'Assumptions (NG Midstream)'!AG67)*'Assumptions (NG Midstream)'!AG59</f>
        <v>1.9290668568992084</v>
      </c>
      <c r="AI248" s="147">
        <f>(1+'Assumptions (NG Midstream)'!AH67)*'Assumptions (NG Midstream)'!AH59</f>
        <v>1.5989385772153586</v>
      </c>
      <c r="AJ248" s="147">
        <f>(1+'Assumptions (NG Midstream)'!AI67)*'Assumptions (NG Midstream)'!AI59</f>
        <v>1.8379320229429594</v>
      </c>
      <c r="AK248" s="147">
        <f>(1+'Assumptions (NG Midstream)'!AJ67)*'Assumptions (NG Midstream)'!AJ59</f>
        <v>1.7016680440448322</v>
      </c>
      <c r="AL248" s="147">
        <f>(1+'Assumptions (NG Midstream)'!AK67)*'Assumptions (NG Midstream)'!AK59</f>
        <v>1.7257850190191595</v>
      </c>
      <c r="AM248" s="147">
        <f>(1+'Assumptions (NG Midstream)'!AL67)*'Assumptions (NG Midstream)'!AL59</f>
        <v>1.5957027812328939</v>
      </c>
      <c r="AN248" s="147">
        <f>(1+'Assumptions (NG Midstream)'!AM67)*'Assumptions (NG Midstream)'!AM59</f>
        <v>1.6738025660514788</v>
      </c>
      <c r="AO248" s="147">
        <f>(1+'Assumptions (NG Midstream)'!AN67)*'Assumptions (NG Midstream)'!AN59</f>
        <v>1.5913298678756191</v>
      </c>
      <c r="AP248" s="147">
        <f>(1+'Assumptions (NG Midstream)'!AO67)*'Assumptions (NG Midstream)'!AO59</f>
        <v>1.6545599530323964</v>
      </c>
      <c r="AQ248" s="147">
        <f>(1+'Assumptions (NG Midstream)'!AP67)*'Assumptions (NG Midstream)'!AP59</f>
        <v>1.5635445066022813</v>
      </c>
      <c r="AR248" s="147">
        <f>(1+'Assumptions (NG Midstream)'!AQ67)*'Assumptions (NG Midstream)'!AQ59</f>
        <v>1.6714338738099486</v>
      </c>
      <c r="AS248" s="147">
        <f>(1+'Assumptions (NG Midstream)'!AR67)*'Assumptions (NG Midstream)'!AR59</f>
        <v>1.6225809038645158</v>
      </c>
      <c r="AT248" s="147">
        <f>(1+'Assumptions (NG Midstream)'!AS67)*'Assumptions (NG Midstream)'!AS59</f>
        <v>1.8449273312307199</v>
      </c>
      <c r="AU248" s="147">
        <f>(1+'Assumptions (NG Midstream)'!AT67)*'Assumptions (NG Midstream)'!AT59</f>
        <v>1.7006082386877384</v>
      </c>
      <c r="AV248" s="147">
        <f>(1+'Assumptions (NG Midstream)'!AU67)*'Assumptions (NG Midstream)'!AU59</f>
        <v>1.608665898169604</v>
      </c>
      <c r="AW248" s="147">
        <f>(1+'Assumptions (NG Midstream)'!AV67)*'Assumptions (NG Midstream)'!AV59</f>
        <v>1.7549366905546135</v>
      </c>
      <c r="AX248" s="147">
        <f>(1+'Assumptions (NG Midstream)'!AW67)*'Assumptions (NG Midstream)'!AW59</f>
        <v>1.8674083274347482</v>
      </c>
      <c r="AY248" s="147">
        <f>(1+'Assumptions (NG Midstream)'!AX67)*'Assumptions (NG Midstream)'!AX59</f>
        <v>1.656292187376915</v>
      </c>
      <c r="AZ248" s="147">
        <f>(1+'Assumptions (NG Midstream)'!AY67)*'Assumptions (NG Midstream)'!AY59</f>
        <v>1.7511515307443988</v>
      </c>
      <c r="BA248" s="147">
        <f>(1+'Assumptions (NG Midstream)'!AZ67)*'Assumptions (NG Midstream)'!AZ59</f>
        <v>1.7512987712077279</v>
      </c>
    </row>
    <row r="249" spans="1:77" ht="15.75" customHeight="1">
      <c r="A249" s="365" t="s">
        <v>52</v>
      </c>
      <c r="B249" s="99" t="s">
        <v>201</v>
      </c>
      <c r="C249" s="147">
        <f>C248*'Assumptions (NG Midstream)'!$B$70</f>
        <v>1.8252563762160001</v>
      </c>
      <c r="D249" s="147">
        <f>D248*'Assumptions (NG Midstream)'!$B$70</f>
        <v>2.3793218064000001</v>
      </c>
      <c r="E249" s="147">
        <f>E248*'Assumptions (NG Midstream)'!$B$70</f>
        <v>2.9051065814399988</v>
      </c>
      <c r="F249" s="147">
        <f>F248*'Assumptions (NG Midstream)'!$B$70</f>
        <v>3.6545888222399996</v>
      </c>
      <c r="G249" s="147">
        <f>G248*'Assumptions (NG Midstream)'!$B$70</f>
        <v>2.1723972878159996</v>
      </c>
      <c r="H249" s="147">
        <f>H248*'Assumptions (NG Midstream)'!$B$70</f>
        <v>2.1576987161999996</v>
      </c>
      <c r="I249" s="147">
        <f>I248*'Assumptions (NG Midstream)'!$B$70</f>
        <v>2.73049544196</v>
      </c>
      <c r="J249" s="147">
        <f>J248*'Assumptions (NG Midstream)'!$B$70</f>
        <v>4.6022368377779994</v>
      </c>
      <c r="K249" s="147">
        <f>K248*'Assumptions (NG Midstream)'!$B$70</f>
        <v>8.4434253372959986</v>
      </c>
      <c r="L249" s="147">
        <f>L248*'Assumptions (NG Midstream)'!$B$70</f>
        <v>10.851276080111999</v>
      </c>
      <c r="M249" s="147">
        <f>M248*'Assumptions (NG Midstream)'!$B$70</f>
        <v>3.594487112963999</v>
      </c>
      <c r="N249" s="147">
        <f>N248*'Assumptions (NG Midstream)'!$B$70</f>
        <v>10.238747351267998</v>
      </c>
      <c r="O249" s="147">
        <f>O248*'Assumptions (NG Midstream)'!$B$70</f>
        <v>3.7267322493239998</v>
      </c>
      <c r="P249" s="147">
        <f>P248*'Assumptions (NG Midstream)'!$B$70</f>
        <v>4.7132334588119997</v>
      </c>
      <c r="Q249" s="147">
        <f>Q248*'Assumptions (NG Midstream)'!$B$70</f>
        <v>3.1681103417040002</v>
      </c>
      <c r="R249" s="147">
        <f>R248*'Assumptions (NG Midstream)'!$B$70</f>
        <v>4.5618181826400006</v>
      </c>
      <c r="S249" s="147">
        <f>S248*'Assumptions (NG Midstream)'!$B$70</f>
        <v>4.2098339089079992</v>
      </c>
      <c r="T249" s="147">
        <f>T248*'Assumptions (NG Midstream)'!$B$70</f>
        <v>4.7474833703637858</v>
      </c>
      <c r="U249" s="147">
        <f>U248*'Assumptions (NG Midstream)'!$B$70</f>
        <v>0.64195501188316262</v>
      </c>
      <c r="V249" s="147">
        <f>V248*'Assumptions (NG Midstream)'!$B$70</f>
        <v>2.0343585205459127</v>
      </c>
      <c r="W249" s="147">
        <f>W248*'Assumptions (NG Midstream)'!$B$70</f>
        <v>1.3101082748905157</v>
      </c>
      <c r="X249" s="147">
        <f>X248*'Assumptions (NG Midstream)'!$B$70</f>
        <v>1.1820406051893728</v>
      </c>
      <c r="Y249" s="147">
        <f>Y248*'Assumptions (NG Midstream)'!$B$70</f>
        <v>1.5175750312897536</v>
      </c>
      <c r="Z249" s="147">
        <f>Z248*'Assumptions (NG Midstream)'!$B$70</f>
        <v>1.632414852572593</v>
      </c>
      <c r="AA249" s="147">
        <f>AA248*'Assumptions (NG Midstream)'!$B$70</f>
        <v>1.6419306833787468</v>
      </c>
      <c r="AB249" s="147">
        <f>AB248*'Assumptions (NG Midstream)'!$B$70</f>
        <v>1.5485158558500032</v>
      </c>
      <c r="AC249" s="147">
        <f>AC248*'Assumptions (NG Midstream)'!$B$70</f>
        <v>1.3027134215252973</v>
      </c>
      <c r="AD249" s="147">
        <f>AD248*'Assumptions (NG Midstream)'!$B$70</f>
        <v>1.2431580784727172</v>
      </c>
      <c r="AE249" s="147">
        <f>AE248*'Assumptions (NG Midstream)'!$B$70</f>
        <v>1.0574897189455166</v>
      </c>
      <c r="AF249" s="147">
        <f>AF248*'Assumptions (NG Midstream)'!$B$70</f>
        <v>0.94114937811501576</v>
      </c>
      <c r="AG249" s="147">
        <f>AG248*'Assumptions (NG Midstream)'!$B$70</f>
        <v>1.0998611213447202</v>
      </c>
      <c r="AH249" s="147">
        <f>AH248*'Assumptions (NG Midstream)'!$B$70</f>
        <v>1.157440114139525</v>
      </c>
      <c r="AI249" s="147">
        <f>AI248*'Assumptions (NG Midstream)'!$B$70</f>
        <v>0.95936314632921516</v>
      </c>
      <c r="AJ249" s="147">
        <f>AJ248*'Assumptions (NG Midstream)'!$B$70</f>
        <v>1.1027592137657756</v>
      </c>
      <c r="AK249" s="147">
        <f>AK248*'Assumptions (NG Midstream)'!$B$70</f>
        <v>1.0210008264268993</v>
      </c>
      <c r="AL249" s="147">
        <f>AL248*'Assumptions (NG Midstream)'!$B$70</f>
        <v>1.0354710114114956</v>
      </c>
      <c r="AM249" s="147">
        <f>AM248*'Assumptions (NG Midstream)'!$B$70</f>
        <v>0.95742166873973633</v>
      </c>
      <c r="AN249" s="147">
        <f>AN248*'Assumptions (NG Midstream)'!$B$70</f>
        <v>1.0042815396308873</v>
      </c>
      <c r="AO249" s="147">
        <f>AO248*'Assumptions (NG Midstream)'!$B$70</f>
        <v>0.9547979207253714</v>
      </c>
      <c r="AP249" s="147">
        <f>AP248*'Assumptions (NG Midstream)'!$B$70</f>
        <v>0.99273597181943785</v>
      </c>
      <c r="AQ249" s="147">
        <f>AQ248*'Assumptions (NG Midstream)'!$B$70</f>
        <v>0.93812670396136877</v>
      </c>
      <c r="AR249" s="147">
        <f>AR248*'Assumptions (NG Midstream)'!$B$70</f>
        <v>1.0028603242859691</v>
      </c>
      <c r="AS249" s="147">
        <f>AS248*'Assumptions (NG Midstream)'!$B$70</f>
        <v>0.97354854231870946</v>
      </c>
      <c r="AT249" s="147">
        <f>AT248*'Assumptions (NG Midstream)'!$B$70</f>
        <v>1.1069563987384319</v>
      </c>
      <c r="AU249" s="147">
        <f>AU248*'Assumptions (NG Midstream)'!$B$70</f>
        <v>1.0203649432126429</v>
      </c>
      <c r="AV249" s="147">
        <f>AV248*'Assumptions (NG Midstream)'!$B$70</f>
        <v>0.96519953890176236</v>
      </c>
      <c r="AW249" s="147">
        <f>AW248*'Assumptions (NG Midstream)'!$B$70</f>
        <v>1.052962014332768</v>
      </c>
      <c r="AX249" s="147">
        <f>AX248*'Assumptions (NG Midstream)'!$B$70</f>
        <v>1.1204449964608489</v>
      </c>
      <c r="AY249" s="147">
        <f>AY248*'Assumptions (NG Midstream)'!$B$70</f>
        <v>0.99377531242614892</v>
      </c>
      <c r="AZ249" s="147">
        <f>AZ248*'Assumptions (NG Midstream)'!$B$70</f>
        <v>1.0506909184466393</v>
      </c>
      <c r="BA249" s="147">
        <f>BA248*'Assumptions (NG Midstream)'!$B$70</f>
        <v>1.0507792627246366</v>
      </c>
    </row>
    <row r="250" spans="1:77" ht="15.75" customHeight="1">
      <c r="A250" s="365" t="s">
        <v>54</v>
      </c>
      <c r="B250" s="99" t="s">
        <v>201</v>
      </c>
      <c r="C250" s="147">
        <f>C248*'Assumptions (NG Midstream)'!$B$71</f>
        <v>1.2168375841440002</v>
      </c>
      <c r="D250" s="147">
        <f>D248*'Assumptions (NG Midstream)'!$B$71</f>
        <v>1.5862145376000001</v>
      </c>
      <c r="E250" s="147">
        <f>E248*'Assumptions (NG Midstream)'!$B$71</f>
        <v>1.9367377209599994</v>
      </c>
      <c r="F250" s="147">
        <f>F248*'Assumptions (NG Midstream)'!$B$71</f>
        <v>2.4363925481600002</v>
      </c>
      <c r="G250" s="147">
        <f>G248*'Assumptions (NG Midstream)'!$B$71</f>
        <v>1.4482648585439999</v>
      </c>
      <c r="H250" s="147">
        <f>H248*'Assumptions (NG Midstream)'!$B$71</f>
        <v>1.4384658107999999</v>
      </c>
      <c r="I250" s="147">
        <f>I248*'Assumptions (NG Midstream)'!$B$71</f>
        <v>1.8203302946400002</v>
      </c>
      <c r="J250" s="147">
        <f>J248*'Assumptions (NG Midstream)'!$B$71</f>
        <v>3.0681578918520001</v>
      </c>
      <c r="K250" s="147">
        <f>K248*'Assumptions (NG Midstream)'!$B$71</f>
        <v>5.6289502248639991</v>
      </c>
      <c r="L250" s="147">
        <f>L248*'Assumptions (NG Midstream)'!$B$71</f>
        <v>7.2341840534079997</v>
      </c>
      <c r="M250" s="147">
        <f>M248*'Assumptions (NG Midstream)'!$B$71</f>
        <v>2.3963247419759997</v>
      </c>
      <c r="N250" s="147">
        <f>N248*'Assumptions (NG Midstream)'!$B$71</f>
        <v>6.8258315675119992</v>
      </c>
      <c r="O250" s="147">
        <f>O248*'Assumptions (NG Midstream)'!$B$71</f>
        <v>2.4844881662159999</v>
      </c>
      <c r="P250" s="147">
        <f>P248*'Assumptions (NG Midstream)'!$B$71</f>
        <v>3.1421556392080001</v>
      </c>
      <c r="Q250" s="147">
        <f>Q248*'Assumptions (NG Midstream)'!$B$71</f>
        <v>2.112073561136</v>
      </c>
      <c r="R250" s="147">
        <f>R248*'Assumptions (NG Midstream)'!$B$71</f>
        <v>3.0412121217600006</v>
      </c>
      <c r="S250" s="147">
        <f>S248*'Assumptions (NG Midstream)'!$B$71</f>
        <v>2.8065559392720001</v>
      </c>
      <c r="T250" s="147">
        <f>T248*'Assumptions (NG Midstream)'!$B$71</f>
        <v>3.1649889135758573</v>
      </c>
      <c r="U250" s="147">
        <f>U248*'Assumptions (NG Midstream)'!$B$71</f>
        <v>0.42797000792210843</v>
      </c>
      <c r="V250" s="147">
        <f>V248*'Assumptions (NG Midstream)'!$B$71</f>
        <v>1.3562390136972753</v>
      </c>
      <c r="W250" s="147">
        <f>W248*'Assumptions (NG Midstream)'!$B$71</f>
        <v>0.87340551659367716</v>
      </c>
      <c r="X250" s="147">
        <f>X248*'Assumptions (NG Midstream)'!$B$71</f>
        <v>0.78802707012624862</v>
      </c>
      <c r="Y250" s="147">
        <f>Y248*'Assumptions (NG Midstream)'!$B$71</f>
        <v>1.0117166875265025</v>
      </c>
      <c r="Z250" s="147">
        <f>Z248*'Assumptions (NG Midstream)'!$B$71</f>
        <v>1.0882765683817286</v>
      </c>
      <c r="AA250" s="147">
        <f>AA248*'Assumptions (NG Midstream)'!$B$71</f>
        <v>1.0946204555858312</v>
      </c>
      <c r="AB250" s="147">
        <f>AB248*'Assumptions (NG Midstream)'!$B$71</f>
        <v>1.0323439039000022</v>
      </c>
      <c r="AC250" s="147">
        <f>AC248*'Assumptions (NG Midstream)'!$B$71</f>
        <v>0.86847561435019827</v>
      </c>
      <c r="AD250" s="147">
        <f>AD248*'Assumptions (NG Midstream)'!$B$71</f>
        <v>0.82877205231514484</v>
      </c>
      <c r="AE250" s="147">
        <f>AE248*'Assumptions (NG Midstream)'!$B$71</f>
        <v>0.70499314596367779</v>
      </c>
      <c r="AF250" s="147">
        <f>AF248*'Assumptions (NG Midstream)'!$B$71</f>
        <v>0.62743291874334384</v>
      </c>
      <c r="AG250" s="147">
        <f>AG248*'Assumptions (NG Midstream)'!$B$71</f>
        <v>0.73324074756314694</v>
      </c>
      <c r="AH250" s="147">
        <f>AH248*'Assumptions (NG Midstream)'!$B$71</f>
        <v>0.77162674275968346</v>
      </c>
      <c r="AI250" s="147">
        <f>AI248*'Assumptions (NG Midstream)'!$B$71</f>
        <v>0.63957543088614344</v>
      </c>
      <c r="AJ250" s="147">
        <f>AJ248*'Assumptions (NG Midstream)'!$B$71</f>
        <v>0.73517280917718386</v>
      </c>
      <c r="AK250" s="147">
        <f>AK248*'Assumptions (NG Midstream)'!$B$71</f>
        <v>0.68066721761793292</v>
      </c>
      <c r="AL250" s="147">
        <f>AL248*'Assumptions (NG Midstream)'!$B$71</f>
        <v>0.69031400760766382</v>
      </c>
      <c r="AM250" s="147">
        <f>AM248*'Assumptions (NG Midstream)'!$B$71</f>
        <v>0.63828111249315755</v>
      </c>
      <c r="AN250" s="147">
        <f>AN248*'Assumptions (NG Midstream)'!$B$71</f>
        <v>0.66952102642059153</v>
      </c>
      <c r="AO250" s="147">
        <f>AO248*'Assumptions (NG Midstream)'!$B$71</f>
        <v>0.63653194715024775</v>
      </c>
      <c r="AP250" s="147">
        <f>AP248*'Assumptions (NG Midstream)'!$B$71</f>
        <v>0.6618239812129586</v>
      </c>
      <c r="AQ250" s="147">
        <f>AQ248*'Assumptions (NG Midstream)'!$B$71</f>
        <v>0.62541780264091251</v>
      </c>
      <c r="AR250" s="147">
        <f>AR248*'Assumptions (NG Midstream)'!$B$71</f>
        <v>0.66857354952397952</v>
      </c>
      <c r="AS250" s="147">
        <f>AS248*'Assumptions (NG Midstream)'!$B$71</f>
        <v>0.64903236154580635</v>
      </c>
      <c r="AT250" s="147">
        <f>AT248*'Assumptions (NG Midstream)'!$B$71</f>
        <v>0.73797093249228807</v>
      </c>
      <c r="AU250" s="147">
        <f>AU248*'Assumptions (NG Midstream)'!$B$71</f>
        <v>0.68024329547509543</v>
      </c>
      <c r="AV250" s="147">
        <f>AV248*'Assumptions (NG Midstream)'!$B$71</f>
        <v>0.64346635926784168</v>
      </c>
      <c r="AW250" s="147">
        <f>AW248*'Assumptions (NG Midstream)'!$B$71</f>
        <v>0.70197467622184551</v>
      </c>
      <c r="AX250" s="147">
        <f>AX248*'Assumptions (NG Midstream)'!$B$71</f>
        <v>0.74696333097389933</v>
      </c>
      <c r="AY250" s="147">
        <f>AY248*'Assumptions (NG Midstream)'!$B$71</f>
        <v>0.66251687495076605</v>
      </c>
      <c r="AZ250" s="147">
        <f>AZ248*'Assumptions (NG Midstream)'!$B$71</f>
        <v>0.70046061229775958</v>
      </c>
      <c r="BA250" s="147">
        <f>BA248*'Assumptions (NG Midstream)'!$B$71</f>
        <v>0.70051950848309119</v>
      </c>
    </row>
    <row r="251" spans="1:77" ht="15.75" customHeight="1">
      <c r="A251" s="365" t="s">
        <v>336</v>
      </c>
      <c r="B251" s="99" t="s">
        <v>201</v>
      </c>
      <c r="C251" s="91">
        <f t="array" ref="C251">SUM(IF(ISERROR(C252:C302),"",C252:C302))</f>
        <v>-6.9884022100649326E-2</v>
      </c>
      <c r="D251" s="91">
        <f t="array" ref="D251">SUM(IF(ISERROR(D252:D302),"",D252:D302))</f>
        <v>-0.16622297988458179</v>
      </c>
      <c r="E251" s="91">
        <f t="array" ref="E251">SUM(IF(ISERROR(E252:E302),"",E252:E302))</f>
        <v>-0.28991820540312196</v>
      </c>
      <c r="F251" s="91">
        <f t="array" ref="F251">SUM(IF(ISERROR(F252:F302),"",F252:F302))</f>
        <v>-0.45158617645738219</v>
      </c>
      <c r="G251" s="91">
        <f t="array" ref="G251">SUM(IF(ISERROR(G252:G302),"",G252:G302))</f>
        <v>-0.56863022788825934</v>
      </c>
      <c r="H251" s="91">
        <f t="array" ref="H251">SUM(IF(ISERROR(H252:H302),"",H252:H302))</f>
        <v>-0.69388981549239137</v>
      </c>
      <c r="I251" s="91">
        <f t="array" ref="I251">SUM(IF(ISERROR(I252:I302),"",I252:I302))</f>
        <v>-0.85047467573163316</v>
      </c>
      <c r="J251" s="91">
        <f t="array" ref="J251">SUM(IF(ISERROR(J252:J302),"",J252:J302))</f>
        <v>-1.0904672055172497</v>
      </c>
      <c r="K251" s="91">
        <f t="array" ref="K251">SUM(IF(ISERROR(K252:K302),"",K252:K302))</f>
        <v>-1.4955276666147124</v>
      </c>
      <c r="L251" s="91">
        <f t="array" ref="L251">SUM(IF(ISERROR(L252:L302),"",L252:L302))</f>
        <v>-2.0231576125495079</v>
      </c>
      <c r="M251" s="91">
        <f t="array" ref="M251">SUM(IF(ISERROR(M252:M302),"",M252:M302))</f>
        <v>-2.3125174107974162</v>
      </c>
      <c r="N251" s="91">
        <f t="array" ref="N251">SUM(IF(ISERROR(N252:N302),"",N252:N302))</f>
        <v>-2.8779695553921862</v>
      </c>
      <c r="O251" s="91">
        <f t="array" ref="O251">SUM(IF(ISERROR(O252:O302),"",O252:O302))</f>
        <v>-3.2365035501325785</v>
      </c>
      <c r="P251" s="91">
        <f t="array" ref="P251">SUM(IF(ISERROR(P252:P302),"",P252:P302))</f>
        <v>-3.6596979993512115</v>
      </c>
      <c r="Q251" s="91">
        <f t="array" ref="Q251">SUM(IF(ISERROR(Q252:Q302),"",Q252:Q302))</f>
        <v>-4.0554735384347165</v>
      </c>
      <c r="R251" s="91">
        <f t="array" ref="R251">SUM(IF(ISERROR(R252:R302),"",R252:R302))</f>
        <v>-4.327515214007871</v>
      </c>
      <c r="S251" s="91">
        <f t="array" ref="S251">SUM(IF(ISERROR(S252:S302),"",S252:S302))</f>
        <v>-4.5437149689133394</v>
      </c>
      <c r="T251" s="91">
        <f t="array" ref="T251">SUM(IF(ISERROR(T252:T302),"",T252:T302))</f>
        <v>-4.7371501133606015</v>
      </c>
      <c r="U251" s="91">
        <f t="array" ref="U251">SUM(IF(ISERROR(U252:U302),"",U252:U302))</f>
        <v>-4.702996787750152</v>
      </c>
      <c r="V251" s="91">
        <f t="array" ref="V251">SUM(IF(ISERROR(V252:V302),"",V252:V302))</f>
        <v>-4.8875066273505077</v>
      </c>
      <c r="W251" s="91">
        <f t="array" ref="W251">SUM(IF(ISERROR(W252:W302),"",W252:W302))</f>
        <v>-5.0597903252135863</v>
      </c>
      <c r="X251" s="91">
        <f t="array" ref="X251">SUM(IF(ISERROR(X252:X302),"",X252:X302))</f>
        <v>-5.1752013852932244</v>
      </c>
      <c r="Y251" s="91">
        <f t="array" ref="Y251">SUM(IF(ISERROR(Y252:Y302),"",Y252:Y302))</f>
        <v>-5.1000705510075726</v>
      </c>
      <c r="Z251" s="91">
        <f t="array" ref="Z251">SUM(IF(ISERROR(Z252:Z302),"",Z252:Z302))</f>
        <v>-4.5885441744775672</v>
      </c>
      <c r="AA251" s="91">
        <f t="array" ref="AA251">SUM(IF(ISERROR(AA252:AA302),"",AA252:AA302))</f>
        <v>-3.7662388986038193</v>
      </c>
      <c r="AB251" s="91">
        <f t="array" ref="AB251">SUM(IF(ISERROR(AB252:AB302),"",AB252:AB302))</f>
        <v>-3.7007856976363991</v>
      </c>
      <c r="AC251" s="91">
        <f t="array" ref="AC251">SUM(IF(ISERROR(AC252:AC302),"",AC252:AC302))</f>
        <v>-2.8683025313705097</v>
      </c>
      <c r="AD251" s="91">
        <f t="array" ref="AD251">SUM(IF(ISERROR(AD252:AD302),"",AD252:AD302))</f>
        <v>-2.7088311114898094</v>
      </c>
      <c r="AE251" s="91">
        <f t="array" ref="AE251">SUM(IF(ISERROR(AE252:AE302),"",AE252:AE302))</f>
        <v>-2.4185326111876004</v>
      </c>
      <c r="AF251" s="91">
        <f t="array" ref="AF251">SUM(IF(ISERROR(AF252:AF302),"",AF252:AF302))</f>
        <v>-2.27705010085708</v>
      </c>
      <c r="AG251" s="91">
        <f t="array" ref="AG251">SUM(IF(ISERROR(AG252:AG302),"",AG252:AG302))</f>
        <v>-1.9731437268156857</v>
      </c>
      <c r="AH251" s="91">
        <f t="array" ref="AH251">SUM(IF(ISERROR(AH252:AH302),"",AH252:AH302))</f>
        <v>-1.6885242407976371</v>
      </c>
      <c r="AI251" s="91">
        <f t="array" ref="AI251">SUM(IF(ISERROR(AI252:AI302),"",AI252:AI302))</f>
        <v>-1.3140656521032876</v>
      </c>
      <c r="AJ251" s="91">
        <f t="array" ref="AJ251">SUM(IF(ISERROR(AJ252:AJ302),"",AJ252:AJ302))</f>
        <v>-1.3821168694642005</v>
      </c>
      <c r="AK251" s="91">
        <f t="array" ref="AK251">SUM(IF(ISERROR(AK252:AK302),"",AK252:AK302))</f>
        <v>-1.294400080188336</v>
      </c>
      <c r="AL251" s="91">
        <f t="array" ref="AL251">SUM(IF(ISERROR(AL252:AL302),"",AL252:AL302))</f>
        <v>-1.2827068637946468</v>
      </c>
      <c r="AM251" s="91">
        <f t="array" ref="AM251">SUM(IF(ISERROR(AM252:AM302),"",AM252:AM302))</f>
        <v>-1.28165679490303</v>
      </c>
      <c r="AN251" s="91">
        <f t="array" ref="AN251">SUM(IF(ISERROR(AN252:AN302),"",AN252:AN302))</f>
        <v>-1.2443103379911447</v>
      </c>
      <c r="AO251" s="91">
        <f t="array" ref="AO251">SUM(IF(ISERROR(AO252:AO302),"",AO252:AO302))</f>
        <v>-1.1892584198380614</v>
      </c>
      <c r="AP251" s="91">
        <f t="array" ref="AP251">SUM(IF(ISERROR(AP252:AP302),"",AP252:AP302))</f>
        <v>-1.1304521287760678</v>
      </c>
      <c r="AQ251" s="91">
        <f t="array" ref="AQ251">SUM(IF(ISERROR(AQ252:AQ302),"",AQ252:AQ302))</f>
        <v>-1.0757272355801679</v>
      </c>
      <c r="AR251" s="91">
        <f t="array" ref="AR251">SUM(IF(ISERROR(AR252:AR302),"",AR252:AR302))</f>
        <v>-1.0472227252587303</v>
      </c>
      <c r="AS251" s="91">
        <f t="array" ref="AS251">SUM(IF(ISERROR(AS252:AS302),"",AS252:AS302))</f>
        <v>-1.0222049697605702</v>
      </c>
      <c r="AT251" s="91">
        <f t="array" ref="AT251">SUM(IF(ISERROR(AT252:AT302),"",AT252:AT302))</f>
        <v>-1.0214525560276408</v>
      </c>
      <c r="AU251" s="91">
        <f t="array" ref="AU251">SUM(IF(ISERROR(AU252:AU302),"",AU252:AU302))</f>
        <v>-1.0305082394269898</v>
      </c>
      <c r="AV251" s="91">
        <f t="array" ref="AV251">SUM(IF(ISERROR(AV252:AV302),"",AV252:AV302))</f>
        <v>-1.0201509534618034</v>
      </c>
      <c r="AW251" s="91">
        <f t="array" ref="AW251">SUM(IF(ISERROR(AW252:AW302),"",AW252:AW302))</f>
        <v>-1.005854088720284</v>
      </c>
      <c r="AX251" s="91">
        <f t="array" ref="AX251">SUM(IF(ISERROR(AX252:AX302),"",AX252:AX302))</f>
        <v>-1.015508288251866</v>
      </c>
      <c r="AY251" s="91">
        <f t="array" ref="AY251">SUM(IF(ISERROR(AY252:AY302),"",AY252:AY302))</f>
        <v>-1.0047917764598295</v>
      </c>
      <c r="AZ251" s="91">
        <f t="array" ref="AZ251">SUM(IF(ISERROR(AZ252:AZ302),"",AZ252:AZ302))</f>
        <v>-1.0047128492798674</v>
      </c>
      <c r="BA251" s="91">
        <f t="array" ref="BA251">SUM(IF(ISERROR(BA252:BA302),"",BA252:BA302))</f>
        <v>-1.0029920977546603</v>
      </c>
      <c r="BB251" s="91">
        <f t="array" ref="BB251">SUM(IF(ISERROR(BB252:BB302),"",BB252:BB302))</f>
        <v>-0.96975285030486003</v>
      </c>
      <c r="BC251" s="91">
        <f t="array" ref="BC251">SUM(IF(ISERROR(BC252:BC302),"",BC252:BC302))</f>
        <v>-0.92871203403183822</v>
      </c>
      <c r="BD251" s="91">
        <f t="array" ref="BD251">SUM(IF(ISERROR(BD252:BD302),"",BD252:BD302))</f>
        <v>-0.89019901896400111</v>
      </c>
      <c r="BE251" s="91">
        <f t="array" ref="BE251">SUM(IF(ISERROR(BE252:BE302),"",BE252:BE302))</f>
        <v>-0.84449963080875923</v>
      </c>
      <c r="BF251" s="91">
        <f t="array" ref="BF251">SUM(IF(ISERROR(BF252:BF302),"",BF252:BF302))</f>
        <v>-0.80155932157137988</v>
      </c>
      <c r="BG251" s="91">
        <f t="array" ref="BG251">SUM(IF(ISERROR(BG252:BG302),"",BG252:BG302))</f>
        <v>-0.74806499620189482</v>
      </c>
      <c r="BH251" s="91">
        <f t="array" ref="BH251">SUM(IF(ISERROR(BH252:BH302),"",BH252:BH302))</f>
        <v>-0.69387924719845473</v>
      </c>
      <c r="BI251" s="91">
        <f t="array" ref="BI251">SUM(IF(ISERROR(BI252:BI302),"",BI252:BI302))</f>
        <v>-0.6205161596713703</v>
      </c>
      <c r="BJ251" s="91">
        <f t="array" ref="BJ251">SUM(IF(ISERROR(BJ252:BJ302),"",BJ252:BJ302))</f>
        <v>-0.55146054725949889</v>
      </c>
      <c r="BK251" s="91">
        <f t="array" ref="BK251">SUM(IF(ISERROR(BK252:BK302),"",BK252:BK302))</f>
        <v>-0.48347530010796169</v>
      </c>
      <c r="BL251" s="91">
        <f t="array" ref="BL251">SUM(IF(ISERROR(BL252:BL302),"",BL252:BL302))</f>
        <v>-0.40044879113165438</v>
      </c>
      <c r="BM251" s="91">
        <f t="array" ref="BM251">SUM(IF(ISERROR(BM252:BM302),"",BM252:BM302))</f>
        <v>-0.30355033344264282</v>
      </c>
      <c r="BN251" s="91">
        <f t="array" ref="BN251">SUM(IF(ISERROR(BN252:BN302),"",BN252:BN302))</f>
        <v>-0.21373454984843809</v>
      </c>
      <c r="BO251" s="91">
        <f t="array" ref="BO251">SUM(IF(ISERROR(BO252:BO302),"",BO252:BO302))</f>
        <v>-0.11073477077887428</v>
      </c>
      <c r="BP251" s="91">
        <f t="array" ref="BP251">SUM(IF(ISERROR(BP252:BP302),"",BP252:BP302))</f>
        <v>0</v>
      </c>
      <c r="BQ251" s="91">
        <f t="array" ref="BQ251">SUM(IF(ISERROR(BQ252:BQ302),"",BQ252:BQ302))</f>
        <v>0</v>
      </c>
      <c r="BR251" s="91">
        <f t="array" ref="BR251">SUM(IF(ISERROR(BR252:BR302),"",BR252:BR302))</f>
        <v>0</v>
      </c>
      <c r="BS251" s="91">
        <f t="array" ref="BS251">SUM(IF(ISERROR(BS252:BS302),"",BS252:BS302))</f>
        <v>0</v>
      </c>
      <c r="BT251" s="91">
        <f t="array" ref="BT251">SUM(IF(ISERROR(BT252:BT302),"",BT252:BT302))</f>
        <v>0</v>
      </c>
      <c r="BU251" s="91">
        <f t="array" ref="BU251">SUM(IF(ISERROR(BU252:BU302),"",BU252:BU302))</f>
        <v>0</v>
      </c>
      <c r="BV251" s="91">
        <f t="array" ref="BV251">SUM(IF(ISERROR(BV252:BV302),"",BV252:BV302))</f>
        <v>0</v>
      </c>
      <c r="BW251" s="91">
        <f t="array" ref="BW251">SUM(IF(ISERROR(BW252:BW302),"",BW252:BW302))</f>
        <v>0</v>
      </c>
      <c r="BX251" s="91">
        <f t="array" ref="BX251">SUM(IF(ISERROR(BX252:BX302),"",BX252:BX302))</f>
        <v>0</v>
      </c>
      <c r="BY251" s="91">
        <f t="array" ref="BY251">SUM(IF(ISERROR(BY252:BY302),"",BY252:BY302))</f>
        <v>0</v>
      </c>
    </row>
    <row r="252" spans="1:77" ht="15.75" hidden="1" customHeight="1" outlineLevel="1">
      <c r="A252" s="365"/>
      <c r="B252" s="99"/>
      <c r="C252" s="377">
        <f>PPMT('Assumptions (NG Midstream)'!$B$72,Model!W$1,'Assumptions (NG Midstream)'!$B$75,Model!$C$249)</f>
        <v>-6.9884022100649326E-2</v>
      </c>
      <c r="D252" s="377">
        <f>PPMT('Assumptions (NG Midstream)'!$B$72,Model!X$1,'Assumptions (NG Midstream)'!$B$75,Model!$C$249)</f>
        <v>-7.512532375819804E-2</v>
      </c>
      <c r="E252" s="377">
        <f>PPMT('Assumptions (NG Midstream)'!$B$72,Model!Y$1,'Assumptions (NG Midstream)'!$B$75,Model!$C$249)</f>
        <v>-8.0759723040062889E-2</v>
      </c>
      <c r="F252" s="377">
        <f>PPMT('Assumptions (NG Midstream)'!$B$72,Model!Z$1,'Assumptions (NG Midstream)'!$B$75,Model!$C$249)</f>
        <v>-8.6816702268067605E-2</v>
      </c>
      <c r="G252" s="377">
        <f>PPMT('Assumptions (NG Midstream)'!$B$72,Model!AA$1,'Assumptions (NG Midstream)'!$B$75,Model!$C$249)</f>
        <v>-9.3327954938172655E-2</v>
      </c>
      <c r="H252" s="377">
        <f>PPMT('Assumptions (NG Midstream)'!$B$72,Model!AB$1,'Assumptions (NG Midstream)'!$B$75,Model!$C$249)</f>
        <v>-0.10032755155853564</v>
      </c>
      <c r="I252" s="377">
        <f>PPMT('Assumptions (NG Midstream)'!$B$72,Model!AC$1,'Assumptions (NG Midstream)'!$B$75,Model!$C$249)</f>
        <v>-0.1078521179254258</v>
      </c>
      <c r="J252" s="377">
        <f>PPMT('Assumptions (NG Midstream)'!$B$72,Model!AD$1,'Assumptions (NG Midstream)'!$B$75,Model!$C$249)</f>
        <v>-0.1159410267698327</v>
      </c>
      <c r="K252" s="377">
        <f>PPMT('Assumptions (NG Midstream)'!$B$72,Model!AE$1,'Assumptions (NG Midstream)'!$B$75,Model!$C$249)</f>
        <v>-0.12463660377757019</v>
      </c>
      <c r="L252" s="377">
        <f>PPMT('Assumptions (NG Midstream)'!$B$72,Model!AF$1,'Assumptions (NG Midstream)'!$B$75,Model!$C$249)</f>
        <v>-0.13398434906088794</v>
      </c>
      <c r="M252" s="377">
        <f>PPMT('Assumptions (NG Midstream)'!$B$72,Model!AG$1,'Assumptions (NG Midstream)'!$B$75,Model!$C$249)</f>
        <v>-0.14403317524045453</v>
      </c>
      <c r="N252" s="377">
        <f>PPMT('Assumptions (NG Midstream)'!$B$72,Model!AH$1,'Assumptions (NG Midstream)'!$B$75,Model!$C$249)</f>
        <v>-0.15483566338348864</v>
      </c>
      <c r="O252" s="377">
        <f>PPMT('Assumptions (NG Midstream)'!$B$72,Model!AI$1,'Assumptions (NG Midstream)'!$B$75,Model!$C$249)</f>
        <v>-0.16644833813725027</v>
      </c>
      <c r="P252" s="377">
        <f>PPMT('Assumptions (NG Midstream)'!$B$72,Model!AJ$1,'Assumptions (NG Midstream)'!$B$75,Model!$C$249)</f>
        <v>-0.17893196349754406</v>
      </c>
      <c r="Q252" s="377">
        <f>PPMT('Assumptions (NG Midstream)'!$B$72,Model!AK$1,'Assumptions (NG Midstream)'!$B$75,Model!$C$249)</f>
        <v>-0.19235186075985986</v>
      </c>
      <c r="R252" s="377" t="e">
        <f>PPMT('Assumptions (NG Midstream)'!$B$72,Model!AL$1,'Assumptions (NG Midstream)'!$B$75,Model!$C$249)</f>
        <v>#NUM!</v>
      </c>
      <c r="S252" s="377" t="e">
        <f>PPMT('Assumptions (NG Midstream)'!$B$72,Model!AM$1,'Assumptions (NG Midstream)'!$B$75,Model!$C$249)</f>
        <v>#NUM!</v>
      </c>
      <c r="T252" s="377" t="e">
        <f>PPMT('Assumptions (NG Midstream)'!$B$72,Model!AN$1,'Assumptions (NG Midstream)'!$B$75,Model!$C$249)</f>
        <v>#NUM!</v>
      </c>
      <c r="U252" s="377" t="e">
        <f>PPMT('Assumptions (NG Midstream)'!$B$72,Model!AO$1,'Assumptions (NG Midstream)'!$B$75,Model!$C$249)</f>
        <v>#NUM!</v>
      </c>
      <c r="V252" s="377" t="e">
        <f>PPMT('Assumptions (NG Midstream)'!$B$72,Model!AP$1,'Assumptions (NG Midstream)'!$B$75,Model!$C$249)</f>
        <v>#NUM!</v>
      </c>
      <c r="W252" s="377" t="e">
        <f>PPMT('Assumptions (NG Midstream)'!$B$72,Model!AQ$1,'Assumptions (NG Midstream)'!$B$75,Model!$C$249)</f>
        <v>#NUM!</v>
      </c>
      <c r="X252" s="377" t="e">
        <f>PPMT('Assumptions (NG Midstream)'!$B$72,Model!AR$1,'Assumptions (NG Midstream)'!$B$75,Model!$C$249)</f>
        <v>#NUM!</v>
      </c>
      <c r="Y252" s="377" t="e">
        <f>PPMT('Assumptions (NG Midstream)'!$B$72,Model!AS$1,'Assumptions (NG Midstream)'!$B$75,Model!$C$249)</f>
        <v>#NUM!</v>
      </c>
      <c r="Z252" s="377" t="e">
        <f>PPMT('Assumptions (NG Midstream)'!$B$72,Model!AT$1,'Assumptions (NG Midstream)'!$B$75,Model!$C$249)</f>
        <v>#NUM!</v>
      </c>
      <c r="AA252" s="377" t="e">
        <f>PPMT('Assumptions (NG Midstream)'!$B$72,Model!AU$1,'Assumptions (NG Midstream)'!$B$75,Model!$C$249)</f>
        <v>#NUM!</v>
      </c>
      <c r="AB252" s="377"/>
    </row>
    <row r="253" spans="1:77" ht="15.75" hidden="1" customHeight="1" outlineLevel="1">
      <c r="A253" s="365"/>
      <c r="B253" s="99"/>
      <c r="C253" s="377"/>
      <c r="D253" s="377">
        <f>PPMT('Assumptions (NG Midstream)'!$B$72,Model!W$1,'Assumptions (NG Midstream)'!$B$75,Model!$D$249)</f>
        <v>-9.109765612638375E-2</v>
      </c>
      <c r="E253" s="377">
        <f>PPMT('Assumptions (NG Midstream)'!$B$72,Model!X$1,'Assumptions (NG Midstream)'!$B$75,Model!$D$249)</f>
        <v>-9.7929980335862532E-2</v>
      </c>
      <c r="F253" s="377">
        <f>PPMT('Assumptions (NG Midstream)'!$B$72,Model!Y$1,'Assumptions (NG Midstream)'!$B$75,Model!$D$249)</f>
        <v>-0.10527472886105223</v>
      </c>
      <c r="G253" s="377">
        <f>PPMT('Assumptions (NG Midstream)'!$B$72,Model!Z$1,'Assumptions (NG Midstream)'!$B$75,Model!$D$249)</f>
        <v>-0.11317033352563113</v>
      </c>
      <c r="H253" s="377">
        <f>PPMT('Assumptions (NG Midstream)'!$B$72,Model!AA$1,'Assumptions (NG Midstream)'!$B$75,Model!$D$249)</f>
        <v>-0.12165810854005346</v>
      </c>
      <c r="I253" s="377">
        <f>PPMT('Assumptions (NG Midstream)'!$B$72,Model!AB$1,'Assumptions (NG Midstream)'!$B$75,Model!$D$249)</f>
        <v>-0.13078246668055749</v>
      </c>
      <c r="J253" s="377">
        <f>PPMT('Assumptions (NG Midstream)'!$B$72,Model!AC$1,'Assumptions (NG Midstream)'!$B$75,Model!$D$249)</f>
        <v>-0.14059115168159927</v>
      </c>
      <c r="K253" s="377">
        <f>PPMT('Assumptions (NG Midstream)'!$B$72,Model!AD$1,'Assumptions (NG Midstream)'!$B$75,Model!$D$249)</f>
        <v>-0.15113548805771923</v>
      </c>
      <c r="L253" s="377">
        <f>PPMT('Assumptions (NG Midstream)'!$B$72,Model!AE$1,'Assumptions (NG Midstream)'!$B$75,Model!$D$249)</f>
        <v>-0.16247064966204819</v>
      </c>
      <c r="M253" s="377">
        <f>PPMT('Assumptions (NG Midstream)'!$B$72,Model!AF$1,'Assumptions (NG Midstream)'!$B$75,Model!$D$249)</f>
        <v>-0.17465594838670181</v>
      </c>
      <c r="N253" s="377">
        <f>PPMT('Assumptions (NG Midstream)'!$B$72,Model!AG$1,'Assumptions (NG Midstream)'!$B$75,Model!$D$249)</f>
        <v>-0.18775514451570441</v>
      </c>
      <c r="O253" s="377">
        <f>PPMT('Assumptions (NG Midstream)'!$B$72,Model!AH$1,'Assumptions (NG Midstream)'!$B$75,Model!$D$249)</f>
        <v>-0.20183678035438227</v>
      </c>
      <c r="P253" s="377">
        <f>PPMT('Assumptions (NG Midstream)'!$B$72,Model!AI$1,'Assumptions (NG Midstream)'!$B$75,Model!$D$249)</f>
        <v>-0.21697453888096094</v>
      </c>
      <c r="Q253" s="377">
        <f>PPMT('Assumptions (NG Midstream)'!$B$72,Model!AJ$1,'Assumptions (NG Midstream)'!$B$75,Model!$D$249)</f>
        <v>-0.23324762929703302</v>
      </c>
      <c r="R253" s="377">
        <f>PPMT('Assumptions (NG Midstream)'!$B$72,Model!AK$1,'Assumptions (NG Midstream)'!$B$75,Model!$D$249)</f>
        <v>-0.25074120149431045</v>
      </c>
      <c r="S253" s="377" t="e">
        <f>PPMT('Assumptions (NG Midstream)'!$B$72,Model!AL$1,'Assumptions (NG Midstream)'!$B$75,Model!$D$249)</f>
        <v>#NUM!</v>
      </c>
      <c r="T253" s="377" t="e">
        <f>PPMT('Assumptions (NG Midstream)'!$B$72,Model!AM$1,'Assumptions (NG Midstream)'!$B$75,Model!$D$249)</f>
        <v>#NUM!</v>
      </c>
      <c r="U253" s="377" t="e">
        <f>PPMT('Assumptions (NG Midstream)'!$B$72,Model!AN$1,'Assumptions (NG Midstream)'!$B$75,Model!$D$249)</f>
        <v>#NUM!</v>
      </c>
      <c r="V253" s="377" t="e">
        <f>PPMT('Assumptions (NG Midstream)'!$B$72,Model!AO$1,'Assumptions (NG Midstream)'!$B$75,Model!$D$249)</f>
        <v>#NUM!</v>
      </c>
      <c r="W253" s="377" t="e">
        <f>PPMT('Assumptions (NG Midstream)'!$B$72,Model!AP$1,'Assumptions (NG Midstream)'!$B$75,Model!$D$249)</f>
        <v>#NUM!</v>
      </c>
      <c r="X253" s="377" t="e">
        <f>PPMT('Assumptions (NG Midstream)'!$B$72,Model!AQ$1,'Assumptions (NG Midstream)'!$B$75,Model!$D$249)</f>
        <v>#NUM!</v>
      </c>
      <c r="Y253" s="377" t="e">
        <f>PPMT('Assumptions (NG Midstream)'!$B$72,Model!AR$1,'Assumptions (NG Midstream)'!$B$75,Model!$D$249)</f>
        <v>#NUM!</v>
      </c>
      <c r="Z253" s="377" t="e">
        <f>PPMT('Assumptions (NG Midstream)'!$B$72,Model!AS$1,'Assumptions (NG Midstream)'!$B$75,Model!$D$249)</f>
        <v>#NUM!</v>
      </c>
      <c r="AA253" s="377" t="e">
        <f>PPMT('Assumptions (NG Midstream)'!$B$72,Model!AT$1,'Assumptions (NG Midstream)'!$B$75,Model!$D$249)</f>
        <v>#NUM!</v>
      </c>
      <c r="AB253" s="377" t="e">
        <f>PPMT('Assumptions (NG Midstream)'!$B$72,Model!AU$1,'Assumptions (NG Midstream)'!$B$75,Model!$D$249)</f>
        <v>#NUM!</v>
      </c>
    </row>
    <row r="254" spans="1:77" ht="15.75" hidden="1" customHeight="1" outlineLevel="1">
      <c r="A254" s="365"/>
      <c r="B254" s="99"/>
      <c r="C254" s="377"/>
      <c r="D254" s="377"/>
      <c r="E254" s="377">
        <f>PPMT('Assumptions (NG Midstream)'!$B$72,Model!W$1,'Assumptions (NG Midstream)'!$B$75,Model!$E$249)</f>
        <v>-0.1112285020271965</v>
      </c>
      <c r="F254" s="377">
        <f>PPMT('Assumptions (NG Midstream)'!$B$72,Model!X$1,'Assumptions (NG Midstream)'!$B$75,Model!$E$249)</f>
        <v>-0.11957063967923623</v>
      </c>
      <c r="G254" s="377">
        <f>PPMT('Assumptions (NG Midstream)'!$B$72,Model!Y$1,'Assumptions (NG Midstream)'!$B$75,Model!$E$249)</f>
        <v>-0.12853843765517897</v>
      </c>
      <c r="H254" s="377">
        <f>PPMT('Assumptions (NG Midstream)'!$B$72,Model!Z$1,'Assumptions (NG Midstream)'!$B$75,Model!$E$249)</f>
        <v>-0.13817882047931737</v>
      </c>
      <c r="I254" s="377">
        <f>PPMT('Assumptions (NG Midstream)'!$B$72,Model!AA$1,'Assumptions (NG Midstream)'!$B$75,Model!$E$249)</f>
        <v>-0.14854223201526617</v>
      </c>
      <c r="J254" s="377">
        <f>PPMT('Assumptions (NG Midstream)'!$B$72,Model!AB$1,'Assumptions (NG Midstream)'!$B$75,Model!$E$249)</f>
        <v>-0.15968289941641114</v>
      </c>
      <c r="K254" s="377">
        <f>PPMT('Assumptions (NG Midstream)'!$B$72,Model!AC$1,'Assumptions (NG Midstream)'!$B$75,Model!$E$249)</f>
        <v>-0.17165911687264196</v>
      </c>
      <c r="L254" s="377">
        <f>PPMT('Assumptions (NG Midstream)'!$B$72,Model!AD$1,'Assumptions (NG Midstream)'!$B$75,Model!$E$249)</f>
        <v>-0.1845335506380901</v>
      </c>
      <c r="M254" s="377">
        <f>PPMT('Assumptions (NG Midstream)'!$B$72,Model!AE$1,'Assumptions (NG Midstream)'!$B$75,Model!$E$249)</f>
        <v>-0.1983735669359469</v>
      </c>
      <c r="N254" s="377">
        <f>PPMT('Assumptions (NG Midstream)'!$B$72,Model!AF$1,'Assumptions (NG Midstream)'!$B$75,Model!$E$249)</f>
        <v>-0.21325158445614292</v>
      </c>
      <c r="O254" s="377">
        <f>PPMT('Assumptions (NG Midstream)'!$B$72,Model!AG$1,'Assumptions (NG Midstream)'!$B$75,Model!$E$249)</f>
        <v>-0.22924545329035362</v>
      </c>
      <c r="P254" s="377">
        <f>PPMT('Assumptions (NG Midstream)'!$B$72,Model!AH$1,'Assumptions (NG Midstream)'!$B$75,Model!$E$249)</f>
        <v>-0.24643886228713011</v>
      </c>
      <c r="Q254" s="377">
        <f>PPMT('Assumptions (NG Midstream)'!$B$72,Model!AI$1,'Assumptions (NG Midstream)'!$B$75,Model!$E$249)</f>
        <v>-0.26492177695866492</v>
      </c>
      <c r="R254" s="377">
        <f>PPMT('Assumptions (NG Midstream)'!$B$72,Model!AJ$1,'Assumptions (NG Midstream)'!$B$75,Model!$E$249)</f>
        <v>-0.2847909102305648</v>
      </c>
      <c r="S254" s="377">
        <f>PPMT('Assumptions (NG Midstream)'!$B$72,Model!AK$1,'Assumptions (NG Midstream)'!$B$75,Model!$E$249)</f>
        <v>-0.30615022849785717</v>
      </c>
      <c r="T254" s="377" t="e">
        <f>PPMT('Assumptions (NG Midstream)'!$B$72,Model!AL$1,'Assumptions (NG Midstream)'!$B$75,Model!$E$249)</f>
        <v>#NUM!</v>
      </c>
      <c r="U254" s="377" t="e">
        <f>PPMT('Assumptions (NG Midstream)'!$B$72,Model!AM$1,'Assumptions (NG Midstream)'!$B$75,Model!$E$249)</f>
        <v>#NUM!</v>
      </c>
      <c r="V254" s="377" t="e">
        <f>PPMT('Assumptions (NG Midstream)'!$B$72,Model!AN$1,'Assumptions (NG Midstream)'!$B$75,Model!$E$249)</f>
        <v>#NUM!</v>
      </c>
      <c r="W254" s="377" t="e">
        <f>PPMT('Assumptions (NG Midstream)'!$B$72,Model!AO$1,'Assumptions (NG Midstream)'!$B$75,Model!$E$249)</f>
        <v>#NUM!</v>
      </c>
      <c r="X254" s="377" t="e">
        <f>PPMT('Assumptions (NG Midstream)'!$B$72,Model!AP$1,'Assumptions (NG Midstream)'!$B$75,Model!$E$249)</f>
        <v>#NUM!</v>
      </c>
      <c r="Y254" s="377" t="e">
        <f>PPMT('Assumptions (NG Midstream)'!$B$72,Model!AQ$1,'Assumptions (NG Midstream)'!$B$75,Model!$E$249)</f>
        <v>#NUM!</v>
      </c>
      <c r="Z254" s="377" t="e">
        <f>PPMT('Assumptions (NG Midstream)'!$B$72,Model!AR$1,'Assumptions (NG Midstream)'!$B$75,Model!$E$249)</f>
        <v>#NUM!</v>
      </c>
      <c r="AA254" s="377" t="e">
        <f>PPMT('Assumptions (NG Midstream)'!$B$72,Model!AS$1,'Assumptions (NG Midstream)'!$B$75,Model!$E$249)</f>
        <v>#NUM!</v>
      </c>
      <c r="AB254" s="377" t="e">
        <f>PPMT('Assumptions (NG Midstream)'!$B$72,Model!AT$1,'Assumptions (NG Midstream)'!$B$75,Model!$E$249)</f>
        <v>#NUM!</v>
      </c>
      <c r="AC254" s="377" t="e">
        <f>PPMT('Assumptions (NG Midstream)'!$B$72,Model!AU$1,'Assumptions (NG Midstream)'!$B$75,Model!$E$249)</f>
        <v>#NUM!</v>
      </c>
    </row>
    <row r="255" spans="1:77" ht="15.75" hidden="1" customHeight="1" outlineLevel="1">
      <c r="A255" s="365"/>
      <c r="B255" s="99"/>
      <c r="C255" s="377"/>
      <c r="D255" s="377"/>
      <c r="E255" s="377"/>
      <c r="F255" s="377">
        <f>PPMT('Assumptions (NG Midstream)'!$B$72,Model!W$1,'Assumptions (NG Midstream)'!$B$75,Model!$F$249)</f>
        <v>-0.1399241056490261</v>
      </c>
      <c r="G255" s="377">
        <f>PPMT('Assumptions (NG Midstream)'!$B$72,Model!X$1,'Assumptions (NG Midstream)'!$B$75,Model!$F$249)</f>
        <v>-0.15041841357270305</v>
      </c>
      <c r="H255" s="377">
        <f>PPMT('Assumptions (NG Midstream)'!$B$72,Model!Y$1,'Assumptions (NG Midstream)'!$B$75,Model!$F$249)</f>
        <v>-0.16169979459065581</v>
      </c>
      <c r="I255" s="377">
        <f>PPMT('Assumptions (NG Midstream)'!$B$72,Model!Z$1,'Assumptions (NG Midstream)'!$B$75,Model!$F$249)</f>
        <v>-0.17382727918495497</v>
      </c>
      <c r="J255" s="377">
        <f>PPMT('Assumptions (NG Midstream)'!$B$72,Model!AA$1,'Assumptions (NG Midstream)'!$B$75,Model!$F$249)</f>
        <v>-0.18686432512382659</v>
      </c>
      <c r="K255" s="377">
        <f>PPMT('Assumptions (NG Midstream)'!$B$72,Model!AB$1,'Assumptions (NG Midstream)'!$B$75,Model!$F$249)</f>
        <v>-0.20087914950811361</v>
      </c>
      <c r="L255" s="377">
        <f>PPMT('Assumptions (NG Midstream)'!$B$72,Model!AC$1,'Assumptions (NG Midstream)'!$B$75,Model!$F$249)</f>
        <v>-0.21594508572122212</v>
      </c>
      <c r="M255" s="377">
        <f>PPMT('Assumptions (NG Midstream)'!$B$72,Model!AD$1,'Assumptions (NG Midstream)'!$B$75,Model!$F$249)</f>
        <v>-0.23214096715031374</v>
      </c>
      <c r="N255" s="377">
        <f>PPMT('Assumptions (NG Midstream)'!$B$72,Model!AE$1,'Assumptions (NG Midstream)'!$B$75,Model!$F$249)</f>
        <v>-0.2495515396865873</v>
      </c>
      <c r="O255" s="377">
        <f>PPMT('Assumptions (NG Midstream)'!$B$72,Model!AF$1,'Assumptions (NG Midstream)'!$B$75,Model!$F$249)</f>
        <v>-0.26826790516308135</v>
      </c>
      <c r="P255" s="377">
        <f>PPMT('Assumptions (NG Midstream)'!$B$72,Model!AG$1,'Assumptions (NG Midstream)'!$B$75,Model!$F$249)</f>
        <v>-0.2883879980503124</v>
      </c>
      <c r="Q255" s="377">
        <f>PPMT('Assumptions (NG Midstream)'!$B$72,Model!AH$1,'Assumptions (NG Midstream)'!$B$75,Model!$F$249)</f>
        <v>-0.31001709790408583</v>
      </c>
      <c r="R255" s="377">
        <f>PPMT('Assumptions (NG Midstream)'!$B$72,Model!AI$1,'Assumptions (NG Midstream)'!$B$75,Model!$F$249)</f>
        <v>-0.33326838024689237</v>
      </c>
      <c r="S255" s="377">
        <f>PPMT('Assumptions (NG Midstream)'!$B$72,Model!AJ$1,'Assumptions (NG Midstream)'!$B$75,Model!$F$249)</f>
        <v>-0.35826350876540924</v>
      </c>
      <c r="T255" s="377">
        <f>PPMT('Assumptions (NG Midstream)'!$B$72,Model!AK$1,'Assumptions (NG Midstream)'!$B$75,Model!$F$249)</f>
        <v>-0.38513327192281493</v>
      </c>
      <c r="U255" s="377" t="e">
        <f>PPMT('Assumptions (NG Midstream)'!$B$72,Model!AL$1,'Assumptions (NG Midstream)'!$B$75,Model!$F$249)</f>
        <v>#NUM!</v>
      </c>
      <c r="V255" s="377" t="e">
        <f>PPMT('Assumptions (NG Midstream)'!$B$72,Model!AM$1,'Assumptions (NG Midstream)'!$B$75,Model!$F$249)</f>
        <v>#NUM!</v>
      </c>
      <c r="W255" s="377" t="e">
        <f>PPMT('Assumptions (NG Midstream)'!$B$72,Model!AN$1,'Assumptions (NG Midstream)'!$B$75,Model!$F$249)</f>
        <v>#NUM!</v>
      </c>
      <c r="X255" s="377" t="e">
        <f>PPMT('Assumptions (NG Midstream)'!$B$72,Model!AO$1,'Assumptions (NG Midstream)'!$B$75,Model!$F$249)</f>
        <v>#NUM!</v>
      </c>
      <c r="Y255" s="377" t="e">
        <f>PPMT('Assumptions (NG Midstream)'!$B$72,Model!AP$1,'Assumptions (NG Midstream)'!$B$75,Model!$F$249)</f>
        <v>#NUM!</v>
      </c>
      <c r="Z255" s="377" t="e">
        <f>PPMT('Assumptions (NG Midstream)'!$B$72,Model!AQ$1,'Assumptions (NG Midstream)'!$B$75,Model!$F$249)</f>
        <v>#NUM!</v>
      </c>
      <c r="AA255" s="377" t="e">
        <f>PPMT('Assumptions (NG Midstream)'!$B$72,Model!AR$1,'Assumptions (NG Midstream)'!$B$75,Model!$F$249)</f>
        <v>#NUM!</v>
      </c>
      <c r="AB255" s="377" t="e">
        <f>PPMT('Assumptions (NG Midstream)'!$B$72,Model!AS$1,'Assumptions (NG Midstream)'!$B$75,Model!$F$249)</f>
        <v>#NUM!</v>
      </c>
      <c r="AC255" s="377" t="e">
        <f>PPMT('Assumptions (NG Midstream)'!$B$72,Model!AT$1,'Assumptions (NG Midstream)'!$B$75,Model!$F$249)</f>
        <v>#NUM!</v>
      </c>
      <c r="AD255" s="377" t="e">
        <f>PPMT('Assumptions (NG Midstream)'!$B$72,Model!AU$1,'Assumptions (NG Midstream)'!$B$75,Model!$F$249)</f>
        <v>#NUM!</v>
      </c>
    </row>
    <row r="256" spans="1:77" ht="15.75" hidden="1" customHeight="1" outlineLevel="1">
      <c r="A256" s="365"/>
      <c r="B256" s="99"/>
      <c r="C256" s="377"/>
      <c r="D256" s="377"/>
      <c r="E256" s="377"/>
      <c r="F256" s="377"/>
      <c r="G256" s="377">
        <f>PPMT('Assumptions (NG Midstream)'!$B$72,Model!W$1,'Assumptions (NG Midstream)'!$B$75,Model!$G$249)</f>
        <v>-8.3175088196573502E-2</v>
      </c>
      <c r="H256" s="377">
        <f>PPMT('Assumptions (NG Midstream)'!$B$72,Model!X$1,'Assumptions (NG Midstream)'!$B$75,Model!$G$249)</f>
        <v>-8.941321981131653E-2</v>
      </c>
      <c r="I256" s="377">
        <f>PPMT('Assumptions (NG Midstream)'!$B$72,Model!Y$1,'Assumptions (NG Midstream)'!$B$75,Model!$G$249)</f>
        <v>-9.6119211297165275E-2</v>
      </c>
      <c r="J256" s="377">
        <f>PPMT('Assumptions (NG Midstream)'!$B$72,Model!Z$1,'Assumptions (NG Midstream)'!$B$75,Model!$G$249)</f>
        <v>-0.10332815214445266</v>
      </c>
      <c r="K256" s="377">
        <f>PPMT('Assumptions (NG Midstream)'!$B$72,Model!AA$1,'Assumptions (NG Midstream)'!$B$75,Model!$G$249)</f>
        <v>-0.1110777635552866</v>
      </c>
      <c r="L256" s="377">
        <f>PPMT('Assumptions (NG Midstream)'!$B$72,Model!AB$1,'Assumptions (NG Midstream)'!$B$75,Model!$G$249)</f>
        <v>-0.11940859582193311</v>
      </c>
      <c r="M256" s="377">
        <f>PPMT('Assumptions (NG Midstream)'!$B$72,Model!AC$1,'Assumptions (NG Midstream)'!$B$75,Model!$G$249)</f>
        <v>-0.12836424050857809</v>
      </c>
      <c r="N256" s="377">
        <f>PPMT('Assumptions (NG Midstream)'!$B$72,Model!AD$1,'Assumptions (NG Midstream)'!$B$75,Model!$G$249)</f>
        <v>-0.13799155854672143</v>
      </c>
      <c r="O256" s="377">
        <f>PPMT('Assumptions (NG Midstream)'!$B$72,Model!AE$1,'Assumptions (NG Midstream)'!$B$75,Model!$G$249)</f>
        <v>-0.14834092543772556</v>
      </c>
      <c r="P256" s="377">
        <f>PPMT('Assumptions (NG Midstream)'!$B$72,Model!AF$1,'Assumptions (NG Midstream)'!$B$75,Model!$G$249)</f>
        <v>-0.159466494845555</v>
      </c>
      <c r="Q256" s="377">
        <f>PPMT('Assumptions (NG Midstream)'!$B$72,Model!AG$1,'Assumptions (NG Midstream)'!$B$75,Model!$G$249)</f>
        <v>-0.17142648195897156</v>
      </c>
      <c r="R256" s="377">
        <f>PPMT('Assumptions (NG Midstream)'!$B$72,Model!AH$1,'Assumptions (NG Midstream)'!$B$75,Model!$G$249)</f>
        <v>-0.18428346810589444</v>
      </c>
      <c r="S256" s="377">
        <f>PPMT('Assumptions (NG Midstream)'!$B$72,Model!AI$1,'Assumptions (NG Midstream)'!$B$75,Model!$G$249)</f>
        <v>-0.19810472821383654</v>
      </c>
      <c r="T256" s="377">
        <f>PPMT('Assumptions (NG Midstream)'!$B$72,Model!AJ$1,'Assumptions (NG Midstream)'!$B$75,Model!$G$249)</f>
        <v>-0.21296258282987429</v>
      </c>
      <c r="U256" s="377">
        <f>PPMT('Assumptions (NG Midstream)'!$B$72,Model!AK$1,'Assumptions (NG Midstream)'!$B$75,Model!$G$249)</f>
        <v>-0.22893477654211486</v>
      </c>
      <c r="V256" s="377" t="e">
        <f>PPMT('Assumptions (NG Midstream)'!$B$72,Model!AL$1,'Assumptions (NG Midstream)'!$B$75,Model!$G$249)</f>
        <v>#NUM!</v>
      </c>
      <c r="W256" s="377" t="e">
        <f>PPMT('Assumptions (NG Midstream)'!$B$72,Model!AM$1,'Assumptions (NG Midstream)'!$B$75,Model!$G$249)</f>
        <v>#NUM!</v>
      </c>
      <c r="X256" s="377" t="e">
        <f>PPMT('Assumptions (NG Midstream)'!$B$72,Model!AN$1,'Assumptions (NG Midstream)'!$B$75,Model!$G$249)</f>
        <v>#NUM!</v>
      </c>
      <c r="Y256" s="377" t="e">
        <f>PPMT('Assumptions (NG Midstream)'!$B$72,Model!AO$1,'Assumptions (NG Midstream)'!$B$75,Model!$G$249)</f>
        <v>#NUM!</v>
      </c>
      <c r="Z256" s="377" t="e">
        <f>PPMT('Assumptions (NG Midstream)'!$B$72,Model!AP$1,'Assumptions (NG Midstream)'!$B$75,Model!$G$249)</f>
        <v>#NUM!</v>
      </c>
      <c r="AA256" s="377" t="e">
        <f>PPMT('Assumptions (NG Midstream)'!$B$72,Model!AQ$1,'Assumptions (NG Midstream)'!$B$75,Model!$G$249)</f>
        <v>#NUM!</v>
      </c>
      <c r="AB256" s="377" t="e">
        <f>PPMT('Assumptions (NG Midstream)'!$B$72,Model!AR$1,'Assumptions (NG Midstream)'!$B$75,Model!$G$249)</f>
        <v>#NUM!</v>
      </c>
      <c r="AC256" s="377" t="e">
        <f>PPMT('Assumptions (NG Midstream)'!$B$72,Model!AS$1,'Assumptions (NG Midstream)'!$B$75,Model!$G$249)</f>
        <v>#NUM!</v>
      </c>
      <c r="AD256" s="377" t="e">
        <f>PPMT('Assumptions (NG Midstream)'!$B$72,Model!AT$1,'Assumptions (NG Midstream)'!$B$75,Model!$G$249)</f>
        <v>#NUM!</v>
      </c>
      <c r="AE256" s="377" t="e">
        <f>PPMT('Assumptions (NG Midstream)'!$B$72,Model!AU$1,'Assumptions (NG Midstream)'!$B$75,Model!$G$249)</f>
        <v>#NUM!</v>
      </c>
    </row>
    <row r="257" spans="1:47" ht="15.75" hidden="1" customHeight="1" outlineLevel="1">
      <c r="A257" s="365"/>
      <c r="B257" s="99"/>
      <c r="C257" s="377"/>
      <c r="D257" s="377"/>
      <c r="E257" s="377"/>
      <c r="F257" s="377"/>
      <c r="G257" s="377"/>
      <c r="H257" s="377">
        <f>PPMT('Assumptions (NG Midstream)'!$B$72,Model!W$1,'Assumptions (NG Midstream)'!$B$75,Model!$H$249)</f>
        <v>-8.2612320512512605E-2</v>
      </c>
      <c r="I257" s="377">
        <f>PPMT('Assumptions (NG Midstream)'!$B$72,Model!X$1,'Assumptions (NG Midstream)'!$B$75,Model!$H$249)</f>
        <v>-8.8808244550951029E-2</v>
      </c>
      <c r="J257" s="377">
        <f>PPMT('Assumptions (NG Midstream)'!$B$72,Model!Y$1,'Assumptions (NG Midstream)'!$B$75,Model!$H$249)</f>
        <v>-9.5468862892272383E-2</v>
      </c>
      <c r="K257" s="377">
        <f>PPMT('Assumptions (NG Midstream)'!$B$72,Model!Z$1,'Assumptions (NG Midstream)'!$B$75,Model!$H$249)</f>
        <v>-0.10262902760919279</v>
      </c>
      <c r="L257" s="377">
        <f>PPMT('Assumptions (NG Midstream)'!$B$72,Model!AA$1,'Assumptions (NG Midstream)'!$B$75,Model!$H$249)</f>
        <v>-0.11032620467988223</v>
      </c>
      <c r="M257" s="377">
        <f>PPMT('Assumptions (NG Midstream)'!$B$72,Model!AB$1,'Assumptions (NG Midstream)'!$B$75,Model!$H$249)</f>
        <v>-0.11860067003087342</v>
      </c>
      <c r="N257" s="377">
        <f>PPMT('Assumptions (NG Midstream)'!$B$72,Model!AC$1,'Assumptions (NG Midstream)'!$B$75,Model!$H$249)</f>
        <v>-0.12749572028318892</v>
      </c>
      <c r="O257" s="377">
        <f>PPMT('Assumptions (NG Midstream)'!$B$72,Model!AD$1,'Assumptions (NG Midstream)'!$B$75,Model!$H$249)</f>
        <v>-0.13705789930442808</v>
      </c>
      <c r="P257" s="377">
        <f>PPMT('Assumptions (NG Midstream)'!$B$72,Model!AE$1,'Assumptions (NG Midstream)'!$B$75,Model!$H$249)</f>
        <v>-0.14733724175226021</v>
      </c>
      <c r="Q257" s="377">
        <f>PPMT('Assumptions (NG Midstream)'!$B$72,Model!AF$1,'Assumptions (NG Midstream)'!$B$75,Model!$H$249)</f>
        <v>-0.15838753488367974</v>
      </c>
      <c r="R257" s="377">
        <f>PPMT('Assumptions (NG Midstream)'!$B$72,Model!AG$1,'Assumptions (NG Midstream)'!$B$75,Model!$H$249)</f>
        <v>-0.17026659999995569</v>
      </c>
      <c r="S257" s="377">
        <f>PPMT('Assumptions (NG Midstream)'!$B$72,Model!AH$1,'Assumptions (NG Midstream)'!$B$75,Model!$H$249)</f>
        <v>-0.18303659499995237</v>
      </c>
      <c r="T257" s="377">
        <f>PPMT('Assumptions (NG Midstream)'!$B$72,Model!AI$1,'Assumptions (NG Midstream)'!$B$75,Model!$H$249)</f>
        <v>-0.1967643396249488</v>
      </c>
      <c r="U257" s="377">
        <f>PPMT('Assumptions (NG Midstream)'!$B$72,Model!AJ$1,'Assumptions (NG Midstream)'!$B$75,Model!$H$249)</f>
        <v>-0.21152166509681997</v>
      </c>
      <c r="V257" s="377">
        <f>PPMT('Assumptions (NG Midstream)'!$B$72,Model!AK$1,'Assumptions (NG Midstream)'!$B$75,Model!$H$249)</f>
        <v>-0.22738578997908143</v>
      </c>
      <c r="W257" s="377" t="e">
        <f>PPMT('Assumptions (NG Midstream)'!$B$72,Model!AL$1,'Assumptions (NG Midstream)'!$B$75,Model!$H$249)</f>
        <v>#NUM!</v>
      </c>
      <c r="X257" s="377" t="e">
        <f>PPMT('Assumptions (NG Midstream)'!$B$72,Model!AM$1,'Assumptions (NG Midstream)'!$B$75,Model!$H$249)</f>
        <v>#NUM!</v>
      </c>
      <c r="Y257" s="377" t="e">
        <f>PPMT('Assumptions (NG Midstream)'!$B$72,Model!AN$1,'Assumptions (NG Midstream)'!$B$75,Model!$H$249)</f>
        <v>#NUM!</v>
      </c>
      <c r="Z257" s="377" t="e">
        <f>PPMT('Assumptions (NG Midstream)'!$B$72,Model!AO$1,'Assumptions (NG Midstream)'!$B$75,Model!$H$249)</f>
        <v>#NUM!</v>
      </c>
      <c r="AA257" s="377" t="e">
        <f>PPMT('Assumptions (NG Midstream)'!$B$72,Model!AP$1,'Assumptions (NG Midstream)'!$B$75,Model!$H$249)</f>
        <v>#NUM!</v>
      </c>
      <c r="AB257" s="377" t="e">
        <f>PPMT('Assumptions (NG Midstream)'!$B$72,Model!AQ$1,'Assumptions (NG Midstream)'!$B$75,Model!$H$249)</f>
        <v>#NUM!</v>
      </c>
      <c r="AC257" s="377" t="e">
        <f>PPMT('Assumptions (NG Midstream)'!$B$72,Model!AR$1,'Assumptions (NG Midstream)'!$B$75,Model!$H$249)</f>
        <v>#NUM!</v>
      </c>
      <c r="AD257" s="377" t="e">
        <f>PPMT('Assumptions (NG Midstream)'!$B$72,Model!AS$1,'Assumptions (NG Midstream)'!$B$75,Model!$H$249)</f>
        <v>#NUM!</v>
      </c>
      <c r="AE257" s="377" t="e">
        <f>PPMT('Assumptions (NG Midstream)'!$B$72,Model!AT$1,'Assumptions (NG Midstream)'!$B$75,Model!$H$249)</f>
        <v>#NUM!</v>
      </c>
      <c r="AF257" s="377" t="e">
        <f>PPMT('Assumptions (NG Midstream)'!$B$72,Model!AU$1,'Assumptions (NG Midstream)'!$B$75,Model!$H$249)</f>
        <v>#NUM!</v>
      </c>
    </row>
    <row r="258" spans="1:47" ht="15.75" hidden="1" customHeight="1" outlineLevel="1">
      <c r="A258" s="365"/>
      <c r="B258" s="99"/>
      <c r="C258" s="377"/>
      <c r="D258" s="377"/>
      <c r="E258" s="377"/>
      <c r="F258" s="377"/>
      <c r="G258" s="377"/>
      <c r="H258" s="377"/>
      <c r="I258" s="377">
        <f>PPMT('Assumptions (NG Midstream)'!$B$72,Model!W$1,'Assumptions (NG Midstream)'!$B$75,Model!$I$249)</f>
        <v>-0.10454312407731241</v>
      </c>
      <c r="J258" s="377">
        <f>PPMT('Assumptions (NG Midstream)'!$B$72,Model!X$1,'Assumptions (NG Midstream)'!$B$75,Model!$I$249)</f>
        <v>-0.11238385838311084</v>
      </c>
      <c r="K258" s="377">
        <f>PPMT('Assumptions (NG Midstream)'!$B$72,Model!Y$1,'Assumptions (NG Midstream)'!$B$75,Model!$I$249)</f>
        <v>-0.12081264776184415</v>
      </c>
      <c r="L258" s="377">
        <f>PPMT('Assumptions (NG Midstream)'!$B$72,Model!Z$1,'Assumptions (NG Midstream)'!$B$75,Model!$I$249)</f>
        <v>-0.12987359634398246</v>
      </c>
      <c r="M258" s="377">
        <f>PPMT('Assumptions (NG Midstream)'!$B$72,Model!AA$1,'Assumptions (NG Midstream)'!$B$75,Model!$I$249)</f>
        <v>-0.13961411606978114</v>
      </c>
      <c r="N258" s="377">
        <f>PPMT('Assumptions (NG Midstream)'!$B$72,Model!AB$1,'Assumptions (NG Midstream)'!$B$75,Model!$I$249)</f>
        <v>-0.15008517477501473</v>
      </c>
      <c r="O258" s="377">
        <f>PPMT('Assumptions (NG Midstream)'!$B$72,Model!AC$1,'Assumptions (NG Midstream)'!$B$75,Model!$I$249)</f>
        <v>-0.16134156288314086</v>
      </c>
      <c r="P258" s="377">
        <f>PPMT('Assumptions (NG Midstream)'!$B$72,Model!AD$1,'Assumptions (NG Midstream)'!$B$75,Model!$I$249)</f>
        <v>-0.17344218009937637</v>
      </c>
      <c r="Q258" s="377">
        <f>PPMT('Assumptions (NG Midstream)'!$B$72,Model!AE$1,'Assumptions (NG Midstream)'!$B$75,Model!$I$249)</f>
        <v>-0.18645034360682963</v>
      </c>
      <c r="R258" s="377">
        <f>PPMT('Assumptions (NG Midstream)'!$B$72,Model!AF$1,'Assumptions (NG Midstream)'!$B$75,Model!$I$249)</f>
        <v>-0.20043411937734187</v>
      </c>
      <c r="S258" s="377">
        <f>PPMT('Assumptions (NG Midstream)'!$B$72,Model!AG$1,'Assumptions (NG Midstream)'!$B$75,Model!$I$249)</f>
        <v>-0.21546667833064248</v>
      </c>
      <c r="T258" s="377">
        <f>PPMT('Assumptions (NG Midstream)'!$B$72,Model!AH$1,'Assumptions (NG Midstream)'!$B$75,Model!$I$249)</f>
        <v>-0.23162667920544067</v>
      </c>
      <c r="U258" s="377">
        <f>PPMT('Assumptions (NG Midstream)'!$B$72,Model!AI$1,'Assumptions (NG Midstream)'!$B$75,Model!$I$249)</f>
        <v>-0.24899868014584875</v>
      </c>
      <c r="V258" s="377">
        <f>PPMT('Assumptions (NG Midstream)'!$B$72,Model!AJ$1,'Assumptions (NG Midstream)'!$B$75,Model!$I$249)</f>
        <v>-0.26767358115678741</v>
      </c>
      <c r="W258" s="377">
        <f>PPMT('Assumptions (NG Midstream)'!$B$72,Model!AK$1,'Assumptions (NG Midstream)'!$B$75,Model!$I$249)</f>
        <v>-0.2877490997435464</v>
      </c>
      <c r="X258" s="377" t="e">
        <f>PPMT('Assumptions (NG Midstream)'!$B$72,Model!AL$1,'Assumptions (NG Midstream)'!$B$75,Model!$I$249)</f>
        <v>#NUM!</v>
      </c>
      <c r="Y258" s="377" t="e">
        <f>PPMT('Assumptions (NG Midstream)'!$B$72,Model!AM$1,'Assumptions (NG Midstream)'!$B$75,Model!$I$249)</f>
        <v>#NUM!</v>
      </c>
      <c r="Z258" s="377" t="e">
        <f>PPMT('Assumptions (NG Midstream)'!$B$72,Model!AN$1,'Assumptions (NG Midstream)'!$B$75,Model!$I$249)</f>
        <v>#NUM!</v>
      </c>
      <c r="AA258" s="377" t="e">
        <f>PPMT('Assumptions (NG Midstream)'!$B$72,Model!AO$1,'Assumptions (NG Midstream)'!$B$75,Model!$I$249)</f>
        <v>#NUM!</v>
      </c>
      <c r="AB258" s="377" t="e">
        <f>PPMT('Assumptions (NG Midstream)'!$B$72,Model!AP$1,'Assumptions (NG Midstream)'!$B$75,Model!$I$249)</f>
        <v>#NUM!</v>
      </c>
      <c r="AC258" s="377" t="e">
        <f>PPMT('Assumptions (NG Midstream)'!$B$72,Model!AQ$1,'Assumptions (NG Midstream)'!$B$75,Model!$I$249)</f>
        <v>#NUM!</v>
      </c>
      <c r="AD258" s="377" t="e">
        <f>PPMT('Assumptions (NG Midstream)'!$B$72,Model!AR$1,'Assumptions (NG Midstream)'!$B$75,Model!$I$249)</f>
        <v>#NUM!</v>
      </c>
      <c r="AE258" s="377" t="e">
        <f>PPMT('Assumptions (NG Midstream)'!$B$72,Model!AS$1,'Assumptions (NG Midstream)'!$B$75,Model!$I$249)</f>
        <v>#NUM!</v>
      </c>
      <c r="AF258" s="377" t="e">
        <f>PPMT('Assumptions (NG Midstream)'!$B$72,Model!AT$1,'Assumptions (NG Midstream)'!$B$75,Model!$I$249)</f>
        <v>#NUM!</v>
      </c>
      <c r="AG258" s="377" t="e">
        <f>PPMT('Assumptions (NG Midstream)'!$B$72,Model!AU$1,'Assumptions (NG Midstream)'!$B$75,Model!$I$249)</f>
        <v>#NUM!</v>
      </c>
    </row>
    <row r="259" spans="1:47" ht="15.75" hidden="1" customHeight="1" outlineLevel="1">
      <c r="A259" s="365"/>
      <c r="B259" s="99"/>
      <c r="C259" s="377"/>
      <c r="D259" s="377"/>
      <c r="E259" s="377"/>
      <c r="F259" s="377"/>
      <c r="G259" s="377"/>
      <c r="H259" s="377"/>
      <c r="I259" s="377"/>
      <c r="J259" s="377">
        <f>PPMT('Assumptions (NG Midstream)'!$B$72,Model!W$1,'Assumptions (NG Midstream)'!$B$75,Model!$J$249)</f>
        <v>-0.17620692910574415</v>
      </c>
      <c r="K259" s="377">
        <f>PPMT('Assumptions (NG Midstream)'!$B$72,Model!X$1,'Assumptions (NG Midstream)'!$B$75,Model!$J$249)</f>
        <v>-0.18942244878867495</v>
      </c>
      <c r="L259" s="377">
        <f>PPMT('Assumptions (NG Midstream)'!$B$72,Model!Y$1,'Assumptions (NG Midstream)'!$B$75,Model!$J$249)</f>
        <v>-0.20362913244782563</v>
      </c>
      <c r="M259" s="377">
        <f>PPMT('Assumptions (NG Midstream)'!$B$72,Model!Z$1,'Assumptions (NG Midstream)'!$B$75,Model!$J$249)</f>
        <v>-0.2189013173814125</v>
      </c>
      <c r="N259" s="377">
        <f>PPMT('Assumptions (NG Midstream)'!$B$72,Model!AA$1,'Assumptions (NG Midstream)'!$B$75,Model!$J$249)</f>
        <v>-0.23531891618501843</v>
      </c>
      <c r="O259" s="377">
        <f>PPMT('Assumptions (NG Midstream)'!$B$72,Model!AB$1,'Assumptions (NG Midstream)'!$B$75,Model!$J$249)</f>
        <v>-0.25296783489889485</v>
      </c>
      <c r="P259" s="377">
        <f>PPMT('Assumptions (NG Midstream)'!$B$72,Model!AC$1,'Assumptions (NG Midstream)'!$B$75,Model!$J$249)</f>
        <v>-0.2719404225163119</v>
      </c>
      <c r="Q259" s="377">
        <f>PPMT('Assumptions (NG Midstream)'!$B$72,Model!AD$1,'Assumptions (NG Midstream)'!$B$75,Model!$J$249)</f>
        <v>-0.29233595420503528</v>
      </c>
      <c r="R259" s="377">
        <f>PPMT('Assumptions (NG Midstream)'!$B$72,Model!AE$1,'Assumptions (NG Midstream)'!$B$75,Model!$J$249)</f>
        <v>-0.314261150770413</v>
      </c>
      <c r="S259" s="377">
        <f>PPMT('Assumptions (NG Midstream)'!$B$72,Model!AF$1,'Assumptions (NG Midstream)'!$B$75,Model!$J$249)</f>
        <v>-0.33783073707819394</v>
      </c>
      <c r="T259" s="377">
        <f>PPMT('Assumptions (NG Midstream)'!$B$72,Model!AG$1,'Assumptions (NG Midstream)'!$B$75,Model!$J$249)</f>
        <v>-0.36316804235905847</v>
      </c>
      <c r="U259" s="377">
        <f>PPMT('Assumptions (NG Midstream)'!$B$72,Model!AH$1,'Assumptions (NG Midstream)'!$B$75,Model!$J$249)</f>
        <v>-0.39040564553598783</v>
      </c>
      <c r="V259" s="377">
        <f>PPMT('Assumptions (NG Midstream)'!$B$72,Model!AI$1,'Assumptions (NG Midstream)'!$B$75,Model!$J$249)</f>
        <v>-0.41968606895118699</v>
      </c>
      <c r="W259" s="377">
        <f>PPMT('Assumptions (NG Midstream)'!$B$72,Model!AJ$1,'Assumptions (NG Midstream)'!$B$75,Model!$J$249)</f>
        <v>-0.45116252412252605</v>
      </c>
      <c r="X259" s="377">
        <f>PPMT('Assumptions (NG Midstream)'!$B$72,Model!AK$1,'Assumptions (NG Midstream)'!$B$75,Model!$J$249)</f>
        <v>-0.48499971343171544</v>
      </c>
      <c r="Y259" s="377" t="e">
        <f>PPMT('Assumptions (NG Midstream)'!$B$72,Model!AL$1,'Assumptions (NG Midstream)'!$B$75,Model!$J$249)</f>
        <v>#NUM!</v>
      </c>
      <c r="Z259" s="377" t="e">
        <f>PPMT('Assumptions (NG Midstream)'!$B$72,Model!AM$1,'Assumptions (NG Midstream)'!$B$75,Model!$J$249)</f>
        <v>#NUM!</v>
      </c>
      <c r="AA259" s="377" t="e">
        <f>PPMT('Assumptions (NG Midstream)'!$B$72,Model!AN$1,'Assumptions (NG Midstream)'!$B$75,Model!$J$249)</f>
        <v>#NUM!</v>
      </c>
      <c r="AB259" s="377" t="e">
        <f>PPMT('Assumptions (NG Midstream)'!$B$72,Model!AO$1,'Assumptions (NG Midstream)'!$B$75,Model!$J$249)</f>
        <v>#NUM!</v>
      </c>
      <c r="AC259" s="377" t="e">
        <f>PPMT('Assumptions (NG Midstream)'!$B$72,Model!AP$1,'Assumptions (NG Midstream)'!$B$75,Model!$J$249)</f>
        <v>#NUM!</v>
      </c>
      <c r="AD259" s="377" t="e">
        <f>PPMT('Assumptions (NG Midstream)'!$B$72,Model!AQ$1,'Assumptions (NG Midstream)'!$B$75,Model!$J$249)</f>
        <v>#NUM!</v>
      </c>
      <c r="AE259" s="377" t="e">
        <f>PPMT('Assumptions (NG Midstream)'!$B$72,Model!AR$1,'Assumptions (NG Midstream)'!$B$75,Model!$J$249)</f>
        <v>#NUM!</v>
      </c>
      <c r="AF259" s="377" t="e">
        <f>PPMT('Assumptions (NG Midstream)'!$B$72,Model!AS$1,'Assumptions (NG Midstream)'!$B$75,Model!$J$249)</f>
        <v>#NUM!</v>
      </c>
      <c r="AG259" s="377" t="e">
        <f>PPMT('Assumptions (NG Midstream)'!$B$72,Model!AT$1,'Assumptions (NG Midstream)'!$B$75,Model!$J$249)</f>
        <v>#NUM!</v>
      </c>
      <c r="AH259" s="377" t="e">
        <f>PPMT('Assumptions (NG Midstream)'!$B$72,Model!AU$1,'Assumptions (NG Midstream)'!$B$75,Model!$J$249)</f>
        <v>#NUM!</v>
      </c>
    </row>
    <row r="260" spans="1:47" ht="15.75" hidden="1" customHeight="1" outlineLevel="1">
      <c r="A260" s="365"/>
      <c r="B260" s="99"/>
      <c r="C260" s="377"/>
      <c r="D260" s="377"/>
      <c r="E260" s="377"/>
      <c r="F260" s="377"/>
      <c r="G260" s="377"/>
      <c r="H260" s="377"/>
      <c r="I260" s="377"/>
      <c r="J260" s="377"/>
      <c r="K260" s="377">
        <f>PPMT('Assumptions (NG Midstream)'!$B$72,Model!W$1,'Assumptions (NG Midstream)'!$B$75,Model!$K$249)</f>
        <v>-0.32327542068366871</v>
      </c>
      <c r="L260" s="377">
        <f>PPMT('Assumptions (NG Midstream)'!$B$72,Model!X$1,'Assumptions (NG Midstream)'!$B$75,Model!$K$249)</f>
        <v>-0.34752107723494385</v>
      </c>
      <c r="M260" s="377">
        <f>PPMT('Assumptions (NG Midstream)'!$B$72,Model!Y$1,'Assumptions (NG Midstream)'!$B$75,Model!$K$249)</f>
        <v>-0.3735851580275647</v>
      </c>
      <c r="N260" s="377">
        <f>PPMT('Assumptions (NG Midstream)'!$B$72,Model!Z$1,'Assumptions (NG Midstream)'!$B$75,Model!$K$249)</f>
        <v>-0.40160404487963203</v>
      </c>
      <c r="O260" s="377">
        <f>PPMT('Assumptions (NG Midstream)'!$B$72,Model!AA$1,'Assumptions (NG Midstream)'!$B$75,Model!$K$249)</f>
        <v>-0.43172434824560441</v>
      </c>
      <c r="P260" s="377">
        <f>PPMT('Assumptions (NG Midstream)'!$B$72,Model!AB$1,'Assumptions (NG Midstream)'!$B$75,Model!$K$249)</f>
        <v>-0.46410367436402472</v>
      </c>
      <c r="Q260" s="377">
        <f>PPMT('Assumptions (NG Midstream)'!$B$72,Model!AC$1,'Assumptions (NG Midstream)'!$B$75,Model!$K$249)</f>
        <v>-0.49891144994132658</v>
      </c>
      <c r="R260" s="377">
        <f>PPMT('Assumptions (NG Midstream)'!$B$72,Model!AD$1,'Assumptions (NG Midstream)'!$B$75,Model!$K$249)</f>
        <v>-0.53632980868692604</v>
      </c>
      <c r="S260" s="377">
        <f>PPMT('Assumptions (NG Midstream)'!$B$72,Model!AE$1,'Assumptions (NG Midstream)'!$B$75,Model!$K$249)</f>
        <v>-0.57655454433844555</v>
      </c>
      <c r="T260" s="377">
        <f>PPMT('Assumptions (NG Midstream)'!$B$72,Model!AF$1,'Assumptions (NG Midstream)'!$B$75,Model!$K$249)</f>
        <v>-0.61979613516382892</v>
      </c>
      <c r="U260" s="377">
        <f>PPMT('Assumptions (NG Midstream)'!$B$72,Model!AG$1,'Assumptions (NG Midstream)'!$B$75,Model!$K$249)</f>
        <v>-0.66628084530111609</v>
      </c>
      <c r="V260" s="377">
        <f>PPMT('Assumptions (NG Midstream)'!$B$72,Model!AH$1,'Assumptions (NG Midstream)'!$B$75,Model!$K$249)</f>
        <v>-0.71625190869869981</v>
      </c>
      <c r="W260" s="377">
        <f>PPMT('Assumptions (NG Midstream)'!$B$72,Model!AI$1,'Assumptions (NG Midstream)'!$B$75,Model!$K$249)</f>
        <v>-0.76997080185110234</v>
      </c>
      <c r="X260" s="377">
        <f>PPMT('Assumptions (NG Midstream)'!$B$72,Model!AJ$1,'Assumptions (NG Midstream)'!$B$75,Model!$K$249)</f>
        <v>-0.82771861198993502</v>
      </c>
      <c r="Y260" s="377">
        <f>PPMT('Assumptions (NG Midstream)'!$B$72,Model!AK$1,'Assumptions (NG Midstream)'!$B$75,Model!$K$249)</f>
        <v>-0.88979750788918011</v>
      </c>
      <c r="Z260" s="377" t="e">
        <f>PPMT('Assumptions (NG Midstream)'!$B$72,Model!AL$1,'Assumptions (NG Midstream)'!$B$75,Model!$K$249)</f>
        <v>#NUM!</v>
      </c>
      <c r="AA260" s="377" t="e">
        <f>PPMT('Assumptions (NG Midstream)'!$B$72,Model!AM$1,'Assumptions (NG Midstream)'!$B$75,Model!$K$249)</f>
        <v>#NUM!</v>
      </c>
      <c r="AB260" s="377" t="e">
        <f>PPMT('Assumptions (NG Midstream)'!$B$72,Model!AN$1,'Assumptions (NG Midstream)'!$B$75,Model!$K$249)</f>
        <v>#NUM!</v>
      </c>
      <c r="AC260" s="377" t="e">
        <f>PPMT('Assumptions (NG Midstream)'!$B$72,Model!AO$1,'Assumptions (NG Midstream)'!$B$75,Model!$K$249)</f>
        <v>#NUM!</v>
      </c>
      <c r="AD260" s="377" t="e">
        <f>PPMT('Assumptions (NG Midstream)'!$B$72,Model!AP$1,'Assumptions (NG Midstream)'!$B$75,Model!$K$249)</f>
        <v>#NUM!</v>
      </c>
      <c r="AE260" s="377" t="e">
        <f>PPMT('Assumptions (NG Midstream)'!$B$72,Model!AQ$1,'Assumptions (NG Midstream)'!$B$75,Model!$K$249)</f>
        <v>#NUM!</v>
      </c>
      <c r="AF260" s="377" t="e">
        <f>PPMT('Assumptions (NG Midstream)'!$B$72,Model!AR$1,'Assumptions (NG Midstream)'!$B$75,Model!$K$249)</f>
        <v>#NUM!</v>
      </c>
      <c r="AG260" s="377" t="e">
        <f>PPMT('Assumptions (NG Midstream)'!$B$72,Model!AS$1,'Assumptions (NG Midstream)'!$B$75,Model!$K$249)</f>
        <v>#NUM!</v>
      </c>
      <c r="AH260" s="377" t="e">
        <f>PPMT('Assumptions (NG Midstream)'!$B$72,Model!AT$1,'Assumptions (NG Midstream)'!$B$75,Model!$K$249)</f>
        <v>#NUM!</v>
      </c>
      <c r="AI260" s="377" t="e">
        <f>PPMT('Assumptions (NG Midstream)'!$B$72,Model!AU$1,'Assumptions (NG Midstream)'!$B$75,Model!$K$249)</f>
        <v>#NUM!</v>
      </c>
    </row>
    <row r="261" spans="1:47" ht="15.75" hidden="1" customHeight="1" outlineLevel="1">
      <c r="A261" s="365"/>
      <c r="B261" s="99"/>
      <c r="C261" s="377"/>
      <c r="D261" s="377"/>
      <c r="E261" s="377"/>
      <c r="F261" s="377"/>
      <c r="G261" s="377"/>
      <c r="H261" s="377"/>
      <c r="I261" s="377"/>
      <c r="J261" s="377"/>
      <c r="K261" s="377"/>
      <c r="L261" s="377">
        <f>PPMT('Assumptions (NG Midstream)'!$B$72,Model!W$1,'Assumptions (NG Midstream)'!$B$75,Model!$L$249)</f>
        <v>-0.41546537093869257</v>
      </c>
      <c r="M261" s="377">
        <f>PPMT('Assumptions (NG Midstream)'!$B$72,Model!X$1,'Assumptions (NG Midstream)'!$B$75,Model!$L$249)</f>
        <v>-0.4466252737590945</v>
      </c>
      <c r="N261" s="377">
        <f>PPMT('Assumptions (NG Midstream)'!$B$72,Model!Y$1,'Assumptions (NG Midstream)'!$B$75,Model!$L$249)</f>
        <v>-0.48012216929102669</v>
      </c>
      <c r="O261" s="377">
        <f>PPMT('Assumptions (NG Midstream)'!$B$72,Model!Z$1,'Assumptions (NG Midstream)'!$B$75,Model!$L$249)</f>
        <v>-0.51613133198785366</v>
      </c>
      <c r="P261" s="377">
        <f>PPMT('Assumptions (NG Midstream)'!$B$72,Model!AA$1,'Assumptions (NG Midstream)'!$B$75,Model!$L$249)</f>
        <v>-0.55484118188694265</v>
      </c>
      <c r="Q261" s="377">
        <f>PPMT('Assumptions (NG Midstream)'!$B$72,Model!AB$1,'Assumptions (NG Midstream)'!$B$75,Model!$L$249)</f>
        <v>-0.59645427052846334</v>
      </c>
      <c r="R261" s="377">
        <f>PPMT('Assumptions (NG Midstream)'!$B$72,Model!AC$1,'Assumptions (NG Midstream)'!$B$75,Model!$L$249)</f>
        <v>-0.64118834081809806</v>
      </c>
      <c r="S261" s="377">
        <f>PPMT('Assumptions (NG Midstream)'!$B$72,Model!AD$1,'Assumptions (NG Midstream)'!$B$75,Model!$L$249)</f>
        <v>-0.68927746637945542</v>
      </c>
      <c r="T261" s="377">
        <f>PPMT('Assumptions (NG Midstream)'!$B$72,Model!AE$1,'Assumptions (NG Midstream)'!$B$75,Model!$L$249)</f>
        <v>-0.74097327635791466</v>
      </c>
      <c r="U261" s="377">
        <f>PPMT('Assumptions (NG Midstream)'!$B$72,Model!AF$1,'Assumptions (NG Midstream)'!$B$75,Model!$L$249)</f>
        <v>-0.79654627208475826</v>
      </c>
      <c r="V261" s="377">
        <f>PPMT('Assumptions (NG Midstream)'!$B$72,Model!AG$1,'Assumptions (NG Midstream)'!$B$75,Model!$L$249)</f>
        <v>-0.85628724249111499</v>
      </c>
      <c r="W261" s="377">
        <f>PPMT('Assumptions (NG Midstream)'!$B$72,Model!AH$1,'Assumptions (NG Midstream)'!$B$75,Model!$L$249)</f>
        <v>-0.92050878567794858</v>
      </c>
      <c r="X261" s="377">
        <f>PPMT('Assumptions (NG Midstream)'!$B$72,Model!AI$1,'Assumptions (NG Midstream)'!$B$75,Model!$L$249)</f>
        <v>-0.98954694460379478</v>
      </c>
      <c r="Y261" s="377">
        <f>PPMT('Assumptions (NG Midstream)'!$B$72,Model!AJ$1,'Assumptions (NG Midstream)'!$B$75,Model!$L$249)</f>
        <v>-1.0637629654490794</v>
      </c>
      <c r="Z261" s="377">
        <f>PPMT('Assumptions (NG Midstream)'!$B$72,Model!AK$1,'Assumptions (NG Midstream)'!$B$75,Model!$L$249)</f>
        <v>-1.1435451878577603</v>
      </c>
      <c r="AA261" s="377" t="e">
        <f>PPMT('Assumptions (NG Midstream)'!$B$72,Model!AL$1,'Assumptions (NG Midstream)'!$B$75,Model!$L$249)</f>
        <v>#NUM!</v>
      </c>
      <c r="AB261" s="377" t="e">
        <f>PPMT('Assumptions (NG Midstream)'!$B$72,Model!AM$1,'Assumptions (NG Midstream)'!$B$75,Model!$L$249)</f>
        <v>#NUM!</v>
      </c>
      <c r="AC261" s="377" t="e">
        <f>PPMT('Assumptions (NG Midstream)'!$B$72,Model!AN$1,'Assumptions (NG Midstream)'!$B$75,Model!$L$249)</f>
        <v>#NUM!</v>
      </c>
      <c r="AD261" s="377" t="e">
        <f>PPMT('Assumptions (NG Midstream)'!$B$72,Model!AO$1,'Assumptions (NG Midstream)'!$B$75,Model!$L$249)</f>
        <v>#NUM!</v>
      </c>
      <c r="AE261" s="377" t="e">
        <f>PPMT('Assumptions (NG Midstream)'!$B$72,Model!AP$1,'Assumptions (NG Midstream)'!$B$75,Model!$L$249)</f>
        <v>#NUM!</v>
      </c>
      <c r="AF261" s="377" t="e">
        <f>PPMT('Assumptions (NG Midstream)'!$B$72,Model!AQ$1,'Assumptions (NG Midstream)'!$B$75,Model!$L$249)</f>
        <v>#NUM!</v>
      </c>
      <c r="AG261" s="377" t="e">
        <f>PPMT('Assumptions (NG Midstream)'!$B$72,Model!AR$1,'Assumptions (NG Midstream)'!$B$75,Model!$L$249)</f>
        <v>#NUM!</v>
      </c>
      <c r="AH261" s="377" t="e">
        <f>PPMT('Assumptions (NG Midstream)'!$B$72,Model!AS$1,'Assumptions (NG Midstream)'!$B$75,Model!$L$249)</f>
        <v>#NUM!</v>
      </c>
      <c r="AI261" s="377" t="e">
        <f>PPMT('Assumptions (NG Midstream)'!$B$72,Model!AT$1,'Assumptions (NG Midstream)'!$B$75,Model!$L$249)</f>
        <v>#NUM!</v>
      </c>
      <c r="AJ261" s="377" t="e">
        <f>PPMT('Assumptions (NG Midstream)'!$B$72,Model!AU$1,'Assumptions (NG Midstream)'!$B$75,Model!$L$249)</f>
        <v>#NUM!</v>
      </c>
    </row>
    <row r="262" spans="1:47" ht="15.75" hidden="1" customHeight="1" outlineLevel="1">
      <c r="A262" s="365"/>
      <c r="B262" s="99"/>
      <c r="C262" s="377"/>
      <c r="D262" s="377"/>
      <c r="E262" s="377"/>
      <c r="F262" s="377"/>
      <c r="G262" s="377"/>
      <c r="H262" s="377"/>
      <c r="I262" s="377"/>
      <c r="J262" s="377"/>
      <c r="K262" s="377"/>
      <c r="L262" s="377"/>
      <c r="M262" s="377">
        <f>PPMT('Assumptions (NG Midstream)'!$B$72,Model!W$1,'Assumptions (NG Midstream)'!$B$75,Model!$M$249)</f>
        <v>-0.1376229773066952</v>
      </c>
      <c r="N262" s="377">
        <f>PPMT('Assumptions (NG Midstream)'!$B$72,Model!X$1,'Assumptions (NG Midstream)'!$B$75,Model!$M$249)</f>
        <v>-0.14794470060469736</v>
      </c>
      <c r="O262" s="377">
        <f>PPMT('Assumptions (NG Midstream)'!$B$72,Model!Y$1,'Assumptions (NG Midstream)'!$B$75,Model!$M$249)</f>
        <v>-0.15904055315004967</v>
      </c>
      <c r="P262" s="377">
        <f>PPMT('Assumptions (NG Midstream)'!$B$72,Model!Z$1,'Assumptions (NG Midstream)'!$B$75,Model!$M$249)</f>
        <v>-0.17096859463630337</v>
      </c>
      <c r="Q262" s="377">
        <f>PPMT('Assumptions (NG Midstream)'!$B$72,Model!AA$1,'Assumptions (NG Midstream)'!$B$75,Model!$M$249)</f>
        <v>-0.1837912392340261</v>
      </c>
      <c r="R262" s="377">
        <f>PPMT('Assumptions (NG Midstream)'!$B$72,Model!AB$1,'Assumptions (NG Midstream)'!$B$75,Model!$M$249)</f>
        <v>-0.19757558217657809</v>
      </c>
      <c r="S262" s="377">
        <f>PPMT('Assumptions (NG Midstream)'!$B$72,Model!AC$1,'Assumptions (NG Midstream)'!$B$75,Model!$M$249)</f>
        <v>-0.21239375083982145</v>
      </c>
      <c r="T262" s="377">
        <f>PPMT('Assumptions (NG Midstream)'!$B$72,Model!AD$1,'Assumptions (NG Midstream)'!$B$75,Model!$M$249)</f>
        <v>-0.22832328215280803</v>
      </c>
      <c r="U262" s="377">
        <f>PPMT('Assumptions (NG Midstream)'!$B$72,Model!AE$1,'Assumptions (NG Midstream)'!$B$75,Model!$M$249)</f>
        <v>-0.24544752831426864</v>
      </c>
      <c r="V262" s="377">
        <f>PPMT('Assumptions (NG Midstream)'!$B$72,Model!AF$1,'Assumptions (NG Midstream)'!$B$75,Model!$M$249)</f>
        <v>-0.26385609293783879</v>
      </c>
      <c r="W262" s="377">
        <f>PPMT('Assumptions (NG Midstream)'!$B$72,Model!AG$1,'Assumptions (NG Midstream)'!$B$75,Model!$M$249)</f>
        <v>-0.28364529990817666</v>
      </c>
      <c r="X262" s="377">
        <f>PPMT('Assumptions (NG Midstream)'!$B$72,Model!AH$1,'Assumptions (NG Midstream)'!$B$75,Model!$M$249)</f>
        <v>-0.30491869740128996</v>
      </c>
      <c r="Y262" s="377">
        <f>PPMT('Assumptions (NG Midstream)'!$B$72,Model!AI$1,'Assumptions (NG Midstream)'!$B$75,Model!$M$249)</f>
        <v>-0.32778759970638671</v>
      </c>
      <c r="Z262" s="377">
        <f>PPMT('Assumptions (NG Midstream)'!$B$72,Model!AJ$1,'Assumptions (NG Midstream)'!$B$75,Model!$M$249)</f>
        <v>-0.35237166968436573</v>
      </c>
      <c r="AA262" s="377">
        <f>PPMT('Assumptions (NG Midstream)'!$B$72,Model!AK$1,'Assumptions (NG Midstream)'!$B$75,Model!$M$249)</f>
        <v>-0.37879954491069312</v>
      </c>
      <c r="AB262" s="377" t="e">
        <f>PPMT('Assumptions (NG Midstream)'!$B$72,Model!AL$1,'Assumptions (NG Midstream)'!$B$75,Model!$M$249)</f>
        <v>#NUM!</v>
      </c>
      <c r="AC262" s="377" t="e">
        <f>PPMT('Assumptions (NG Midstream)'!$B$72,Model!AM$1,'Assumptions (NG Midstream)'!$B$75,Model!$M$249)</f>
        <v>#NUM!</v>
      </c>
      <c r="AD262" s="377" t="e">
        <f>PPMT('Assumptions (NG Midstream)'!$B$72,Model!AN$1,'Assumptions (NG Midstream)'!$B$75,Model!$M$249)</f>
        <v>#NUM!</v>
      </c>
      <c r="AE262" s="377" t="e">
        <f>PPMT('Assumptions (NG Midstream)'!$B$72,Model!AO$1,'Assumptions (NG Midstream)'!$B$75,Model!$M$249)</f>
        <v>#NUM!</v>
      </c>
      <c r="AF262" s="377" t="e">
        <f>PPMT('Assumptions (NG Midstream)'!$B$72,Model!AP$1,'Assumptions (NG Midstream)'!$B$75,Model!$M$249)</f>
        <v>#NUM!</v>
      </c>
      <c r="AG262" s="377" t="e">
        <f>PPMT('Assumptions (NG Midstream)'!$B$72,Model!AQ$1,'Assumptions (NG Midstream)'!$B$75,Model!$M$249)</f>
        <v>#NUM!</v>
      </c>
      <c r="AH262" s="377" t="e">
        <f>PPMT('Assumptions (NG Midstream)'!$B$72,Model!AR$1,'Assumptions (NG Midstream)'!$B$75,Model!$M$249)</f>
        <v>#NUM!</v>
      </c>
      <c r="AI262" s="377" t="e">
        <f>PPMT('Assumptions (NG Midstream)'!$B$72,Model!AS$1,'Assumptions (NG Midstream)'!$B$75,Model!$M$249)</f>
        <v>#NUM!</v>
      </c>
      <c r="AJ262" s="377" t="e">
        <f>PPMT('Assumptions (NG Midstream)'!$B$72,Model!AT$1,'Assumptions (NG Midstream)'!$B$75,Model!$M$249)</f>
        <v>#NUM!</v>
      </c>
      <c r="AK262" s="377" t="e">
        <f>PPMT('Assumptions (NG Midstream)'!$B$72,Model!AU$1,'Assumptions (NG Midstream)'!$B$75,Model!$M$249)</f>
        <v>#NUM!</v>
      </c>
    </row>
    <row r="263" spans="1:47" ht="15.75" hidden="1" customHeight="1" outlineLevel="1">
      <c r="A263" s="365"/>
      <c r="B263" s="99"/>
      <c r="C263" s="377"/>
      <c r="D263" s="377"/>
      <c r="E263" s="377"/>
      <c r="F263" s="377"/>
      <c r="G263" s="377"/>
      <c r="H263" s="377"/>
      <c r="I263" s="377"/>
      <c r="J263" s="377"/>
      <c r="K263" s="377"/>
      <c r="L263" s="377"/>
      <c r="M263" s="377"/>
      <c r="N263" s="377">
        <f>PPMT('Assumptions (NG Midstream)'!$B$72,Model!W$1,'Assumptions (NG Midstream)'!$B$75,Model!$N$249)</f>
        <v>-0.39201333878496347</v>
      </c>
      <c r="O263" s="377">
        <f>PPMT('Assumptions (NG Midstream)'!$B$72,Model!X$1,'Assumptions (NG Midstream)'!$B$75,Model!$N$249)</f>
        <v>-0.4214143391938357</v>
      </c>
      <c r="P263" s="377">
        <f>PPMT('Assumptions (NG Midstream)'!$B$72,Model!Y$1,'Assumptions (NG Midstream)'!$B$75,Model!$N$249)</f>
        <v>-0.45302041463337339</v>
      </c>
      <c r="Q263" s="377">
        <f>PPMT('Assumptions (NG Midstream)'!$B$72,Model!Z$1,'Assumptions (NG Midstream)'!$B$75,Model!$N$249)</f>
        <v>-0.48699694573087643</v>
      </c>
      <c r="R263" s="377">
        <f>PPMT('Assumptions (NG Midstream)'!$B$72,Model!AA$1,'Assumptions (NG Midstream)'!$B$75,Model!$N$249)</f>
        <v>-0.52352171666069203</v>
      </c>
      <c r="S263" s="377">
        <f>PPMT('Assumptions (NG Midstream)'!$B$72,Model!AB$1,'Assumptions (NG Midstream)'!$B$75,Model!$N$249)</f>
        <v>-0.56278584541024401</v>
      </c>
      <c r="T263" s="377">
        <f>PPMT('Assumptions (NG Midstream)'!$B$72,Model!AC$1,'Assumptions (NG Midstream)'!$B$75,Model!$N$249)</f>
        <v>-0.60499478381601224</v>
      </c>
      <c r="U263" s="377">
        <f>PPMT('Assumptions (NG Midstream)'!$B$72,Model!AD$1,'Assumptions (NG Midstream)'!$B$75,Model!$N$249)</f>
        <v>-0.65036939260221327</v>
      </c>
      <c r="V263" s="377">
        <f>PPMT('Assumptions (NG Midstream)'!$B$72,Model!AE$1,'Assumptions (NG Midstream)'!$B$75,Model!$N$249)</f>
        <v>-0.69914709704737921</v>
      </c>
      <c r="W263" s="377">
        <f>PPMT('Assumptions (NG Midstream)'!$B$72,Model!AF$1,'Assumptions (NG Midstream)'!$B$75,Model!$N$249)</f>
        <v>-0.75158312932593274</v>
      </c>
      <c r="X263" s="377">
        <f>PPMT('Assumptions (NG Midstream)'!$B$72,Model!AG$1,'Assumptions (NG Midstream)'!$B$75,Model!$N$249)</f>
        <v>-0.80795186402537755</v>
      </c>
      <c r="Y263" s="377">
        <f>PPMT('Assumptions (NG Midstream)'!$B$72,Model!AH$1,'Assumptions (NG Midstream)'!$B$75,Model!$N$249)</f>
        <v>-0.86854825382728096</v>
      </c>
      <c r="Z263" s="377">
        <f>PPMT('Assumptions (NG Midstream)'!$B$72,Model!AI$1,'Assumptions (NG Midstream)'!$B$75,Model!$N$249)</f>
        <v>-0.93368937286432707</v>
      </c>
      <c r="AA263" s="377">
        <f>PPMT('Assumptions (NG Midstream)'!$B$72,Model!AJ$1,'Assumptions (NG Midstream)'!$B$75,Model!$N$249)</f>
        <v>-1.0037160758291517</v>
      </c>
      <c r="AB263" s="377">
        <f>PPMT('Assumptions (NG Midstream)'!$B$72,Model!AK$1,'Assumptions (NG Midstream)'!$B$75,Model!$N$249)</f>
        <v>-1.0789947815163379</v>
      </c>
      <c r="AC263" s="377" t="e">
        <f>PPMT('Assumptions (NG Midstream)'!$B$72,Model!AL$1,'Assumptions (NG Midstream)'!$B$75,Model!$N$249)</f>
        <v>#NUM!</v>
      </c>
      <c r="AD263" s="377" t="e">
        <f>PPMT('Assumptions (NG Midstream)'!$B$72,Model!AM$1,'Assumptions (NG Midstream)'!$B$75,Model!$N$249)</f>
        <v>#NUM!</v>
      </c>
      <c r="AE263" s="377" t="e">
        <f>PPMT('Assumptions (NG Midstream)'!$B$72,Model!AN$1,'Assumptions (NG Midstream)'!$B$75,Model!$N$249)</f>
        <v>#NUM!</v>
      </c>
      <c r="AF263" s="377" t="e">
        <f>PPMT('Assumptions (NG Midstream)'!$B$72,Model!AO$1,'Assumptions (NG Midstream)'!$B$75,Model!$N$249)</f>
        <v>#NUM!</v>
      </c>
      <c r="AG263" s="377" t="e">
        <f>PPMT('Assumptions (NG Midstream)'!$B$72,Model!AP$1,'Assumptions (NG Midstream)'!$B$75,Model!$N$249)</f>
        <v>#NUM!</v>
      </c>
      <c r="AH263" s="377" t="e">
        <f>PPMT('Assumptions (NG Midstream)'!$B$72,Model!AQ$1,'Assumptions (NG Midstream)'!$B$75,Model!$N$249)</f>
        <v>#NUM!</v>
      </c>
      <c r="AI263" s="377" t="e">
        <f>PPMT('Assumptions (NG Midstream)'!$B$72,Model!AR$1,'Assumptions (NG Midstream)'!$B$75,Model!$N$249)</f>
        <v>#NUM!</v>
      </c>
      <c r="AJ263" s="377" t="e">
        <f>PPMT('Assumptions (NG Midstream)'!$B$72,Model!AS$1,'Assumptions (NG Midstream)'!$B$75,Model!$N$249)</f>
        <v>#NUM!</v>
      </c>
      <c r="AK263" s="377" t="e">
        <f>PPMT('Assumptions (NG Midstream)'!$B$72,Model!AT$1,'Assumptions (NG Midstream)'!$B$75,Model!$N$249)</f>
        <v>#NUM!</v>
      </c>
      <c r="AL263" s="377" t="e">
        <f>PPMT('Assumptions (NG Midstream)'!$B$72,Model!AU$1,'Assumptions (NG Midstream)'!$B$75,Model!$N$249)</f>
        <v>#NUM!</v>
      </c>
    </row>
    <row r="264" spans="1:47" ht="15.75" hidden="1" customHeight="1" outlineLevel="1">
      <c r="A264" s="365"/>
      <c r="B264" s="99"/>
      <c r="C264" s="377"/>
      <c r="D264" s="377"/>
      <c r="E264" s="377"/>
      <c r="F264" s="377"/>
      <c r="G264" s="377"/>
      <c r="H264" s="377"/>
      <c r="I264" s="377"/>
      <c r="J264" s="377"/>
      <c r="K264" s="377"/>
      <c r="L264" s="377"/>
      <c r="M264" s="377"/>
      <c r="N264" s="377"/>
      <c r="O264" s="377">
        <f>PPMT('Assumptions (NG Midstream)'!$B$72,Model!W$1,'Assumptions (NG Midstream)'!$B$75,Model!$O$249)</f>
        <v>-0.14268627808597817</v>
      </c>
      <c r="P264" s="377">
        <f>PPMT('Assumptions (NG Midstream)'!$B$72,Model!X$1,'Assumptions (NG Midstream)'!$B$75,Model!$O$249)</f>
        <v>-0.15338774894242654</v>
      </c>
      <c r="Q264" s="377">
        <f>PPMT('Assumptions (NG Midstream)'!$B$72,Model!Y$1,'Assumptions (NG Midstream)'!$B$75,Model!$O$249)</f>
        <v>-0.16489183011310854</v>
      </c>
      <c r="R264" s="377">
        <f>PPMT('Assumptions (NG Midstream)'!$B$72,Model!Z$1,'Assumptions (NG Midstream)'!$B$75,Model!$O$249)</f>
        <v>-0.17725871737159168</v>
      </c>
      <c r="S264" s="377">
        <f>PPMT('Assumptions (NG Midstream)'!$B$72,Model!AA$1,'Assumptions (NG Midstream)'!$B$75,Model!$O$249)</f>
        <v>-0.19055312117446102</v>
      </c>
      <c r="T264" s="377">
        <f>PPMT('Assumptions (NG Midstream)'!$B$72,Model!AB$1,'Assumptions (NG Midstream)'!$B$75,Model!$O$249)</f>
        <v>-0.20484460526254564</v>
      </c>
      <c r="U264" s="377">
        <f>PPMT('Assumptions (NG Midstream)'!$B$72,Model!AC$1,'Assumptions (NG Midstream)'!$B$75,Model!$O$249)</f>
        <v>-0.22020795065723653</v>
      </c>
      <c r="V264" s="377">
        <f>PPMT('Assumptions (NG Midstream)'!$B$72,Model!AD$1,'Assumptions (NG Midstream)'!$B$75,Model!$O$249)</f>
        <v>-0.23672354695652925</v>
      </c>
      <c r="W264" s="377">
        <f>PPMT('Assumptions (NG Midstream)'!$B$72,Model!AE$1,'Assumptions (NG Midstream)'!$B$75,Model!$O$249)</f>
        <v>-0.25447781297826894</v>
      </c>
      <c r="X264" s="377">
        <f>PPMT('Assumptions (NG Midstream)'!$B$72,Model!AF$1,'Assumptions (NG Midstream)'!$B$75,Model!$O$249)</f>
        <v>-0.27356364895163915</v>
      </c>
      <c r="Y264" s="377">
        <f>PPMT('Assumptions (NG Midstream)'!$B$72,Model!AG$1,'Assumptions (NG Midstream)'!$B$75,Model!$O$249)</f>
        <v>-0.29408092262301205</v>
      </c>
      <c r="Z264" s="377">
        <f>PPMT('Assumptions (NG Midstream)'!$B$72,Model!AH$1,'Assumptions (NG Midstream)'!$B$75,Model!$O$249)</f>
        <v>-0.31613699181973798</v>
      </c>
      <c r="AA264" s="377">
        <f>PPMT('Assumptions (NG Midstream)'!$B$72,Model!AI$1,'Assumptions (NG Midstream)'!$B$75,Model!$O$249)</f>
        <v>-0.3398472662062183</v>
      </c>
      <c r="AB264" s="377">
        <f>PPMT('Assumptions (NG Midstream)'!$B$72,Model!AJ$1,'Assumptions (NG Midstream)'!$B$75,Model!$O$249)</f>
        <v>-0.36533581117168473</v>
      </c>
      <c r="AC264" s="377">
        <f>PPMT('Assumptions (NG Midstream)'!$B$72,Model!AK$1,'Assumptions (NG Midstream)'!$B$75,Model!$O$249)</f>
        <v>-0.39273599700956102</v>
      </c>
      <c r="AD264" s="377" t="e">
        <f>PPMT('Assumptions (NG Midstream)'!$B$72,Model!AL$1,'Assumptions (NG Midstream)'!$B$75,Model!$O$249)</f>
        <v>#NUM!</v>
      </c>
      <c r="AE264" s="377" t="e">
        <f>PPMT('Assumptions (NG Midstream)'!$B$72,Model!AM$1,'Assumptions (NG Midstream)'!$B$75,Model!$O$249)</f>
        <v>#NUM!</v>
      </c>
      <c r="AF264" s="377" t="e">
        <f>PPMT('Assumptions (NG Midstream)'!$B$72,Model!AN$1,'Assumptions (NG Midstream)'!$B$75,Model!$O$249)</f>
        <v>#NUM!</v>
      </c>
      <c r="AG264" s="377" t="e">
        <f>PPMT('Assumptions (NG Midstream)'!$B$72,Model!AO$1,'Assumptions (NG Midstream)'!$B$75,Model!$O$249)</f>
        <v>#NUM!</v>
      </c>
      <c r="AH264" s="377" t="e">
        <f>PPMT('Assumptions (NG Midstream)'!$B$72,Model!AP$1,'Assumptions (NG Midstream)'!$B$75,Model!$O$249)</f>
        <v>#NUM!</v>
      </c>
      <c r="AI264" s="377" t="e">
        <f>PPMT('Assumptions (NG Midstream)'!$B$72,Model!AQ$1,'Assumptions (NG Midstream)'!$B$75,Model!$O$249)</f>
        <v>#NUM!</v>
      </c>
      <c r="AJ264" s="377" t="e">
        <f>PPMT('Assumptions (NG Midstream)'!$B$72,Model!AR$1,'Assumptions (NG Midstream)'!$B$75,Model!$O$249)</f>
        <v>#NUM!</v>
      </c>
      <c r="AK264" s="377" t="e">
        <f>PPMT('Assumptions (NG Midstream)'!$B$72,Model!AS$1,'Assumptions (NG Midstream)'!$B$75,Model!$O$249)</f>
        <v>#NUM!</v>
      </c>
      <c r="AL264" s="377" t="e">
        <f>PPMT('Assumptions (NG Midstream)'!$B$72,Model!AT$1,'Assumptions (NG Midstream)'!$B$75,Model!$O$249)</f>
        <v>#NUM!</v>
      </c>
      <c r="AM264" s="377" t="e">
        <f>PPMT('Assumptions (NG Midstream)'!$B$72,Model!AU$1,'Assumptions (NG Midstream)'!$B$75,Model!$O$249)</f>
        <v>#NUM!</v>
      </c>
    </row>
    <row r="265" spans="1:47" ht="15.75" hidden="1" customHeight="1" outlineLevel="1">
      <c r="A265" s="365"/>
      <c r="B265" s="99"/>
      <c r="C265" s="377"/>
      <c r="D265" s="377"/>
      <c r="E265" s="377"/>
      <c r="F265" s="377"/>
      <c r="G265" s="377"/>
      <c r="H265" s="377"/>
      <c r="I265" s="377"/>
      <c r="J265" s="377"/>
      <c r="K265" s="377"/>
      <c r="L265" s="377"/>
      <c r="M265" s="377"/>
      <c r="N265" s="377"/>
      <c r="O265" s="377"/>
      <c r="P265" s="377">
        <f>PPMT('Assumptions (NG Midstream)'!$B$72,Model!W$1,'Assumptions (NG Midstream)'!$B$75,Model!$P$249)</f>
        <v>-0.18045668295868975</v>
      </c>
      <c r="Q265" s="377">
        <f>PPMT('Assumptions (NG Midstream)'!$B$72,Model!X$1,'Assumptions (NG Midstream)'!$B$75,Model!$P$249)</f>
        <v>-0.19399093418059146</v>
      </c>
      <c r="R265" s="377">
        <f>PPMT('Assumptions (NG Midstream)'!$B$72,Model!Y$1,'Assumptions (NG Midstream)'!$B$75,Model!$P$249)</f>
        <v>-0.20854025424413586</v>
      </c>
      <c r="S265" s="377">
        <f>PPMT('Assumptions (NG Midstream)'!$B$72,Model!Z$1,'Assumptions (NG Midstream)'!$B$75,Model!$P$249)</f>
        <v>-0.22418077331244604</v>
      </c>
      <c r="T265" s="377">
        <f>PPMT('Assumptions (NG Midstream)'!$B$72,Model!AA$1,'Assumptions (NG Midstream)'!$B$75,Model!$P$249)</f>
        <v>-0.24099433131087944</v>
      </c>
      <c r="U265" s="377">
        <f>PPMT('Assumptions (NG Midstream)'!$B$72,Model!AB$1,'Assumptions (NG Midstream)'!$B$75,Model!$P$249)</f>
        <v>-0.25906890615919542</v>
      </c>
      <c r="V265" s="377">
        <f>PPMT('Assumptions (NG Midstream)'!$B$72,Model!AC$1,'Assumptions (NG Midstream)'!$B$75,Model!$P$249)</f>
        <v>-0.27849907412113506</v>
      </c>
      <c r="W265" s="377">
        <f>PPMT('Assumptions (NG Midstream)'!$B$72,Model!AD$1,'Assumptions (NG Midstream)'!$B$75,Model!$P$249)</f>
        <v>-0.29938650468022021</v>
      </c>
      <c r="X265" s="377">
        <f>PPMT('Assumptions (NG Midstream)'!$B$72,Model!AE$1,'Assumptions (NG Midstream)'!$B$75,Model!$P$249)</f>
        <v>-0.32184049253123675</v>
      </c>
      <c r="Y265" s="377">
        <f>PPMT('Assumptions (NG Midstream)'!$B$72,Model!AF$1,'Assumptions (NG Midstream)'!$B$75,Model!$P$249)</f>
        <v>-0.34597852947107949</v>
      </c>
      <c r="Z265" s="377">
        <f>PPMT('Assumptions (NG Midstream)'!$B$72,Model!AG$1,'Assumptions (NG Midstream)'!$B$75,Model!$P$249)</f>
        <v>-0.37192691918141041</v>
      </c>
      <c r="AA265" s="377">
        <f>PPMT('Assumptions (NG Midstream)'!$B$72,Model!AH$1,'Assumptions (NG Midstream)'!$B$75,Model!$P$249)</f>
        <v>-0.39982143812001625</v>
      </c>
      <c r="AB265" s="377">
        <f>PPMT('Assumptions (NG Midstream)'!$B$72,Model!AI$1,'Assumptions (NG Midstream)'!$B$75,Model!$P$249)</f>
        <v>-0.42980804597901745</v>
      </c>
      <c r="AC265" s="377">
        <f>PPMT('Assumptions (NG Midstream)'!$B$72,Model!AJ$1,'Assumptions (NG Midstream)'!$B$75,Model!$P$249)</f>
        <v>-0.4620436494274438</v>
      </c>
      <c r="AD265" s="377">
        <f>PPMT('Assumptions (NG Midstream)'!$B$72,Model!AK$1,'Assumptions (NG Midstream)'!$B$75,Model!$P$249)</f>
        <v>-0.49669692313450203</v>
      </c>
      <c r="AE265" s="377" t="e">
        <f>PPMT('Assumptions (NG Midstream)'!$B$72,Model!AL$1,'Assumptions (NG Midstream)'!$B$75,Model!$P$249)</f>
        <v>#NUM!</v>
      </c>
      <c r="AF265" s="377" t="e">
        <f>PPMT('Assumptions (NG Midstream)'!$B$72,Model!AM$1,'Assumptions (NG Midstream)'!$B$75,Model!$P$249)</f>
        <v>#NUM!</v>
      </c>
      <c r="AG265" s="377" t="e">
        <f>PPMT('Assumptions (NG Midstream)'!$B$72,Model!AN$1,'Assumptions (NG Midstream)'!$B$75,Model!$P$249)</f>
        <v>#NUM!</v>
      </c>
      <c r="AH265" s="377" t="e">
        <f>PPMT('Assumptions (NG Midstream)'!$B$72,Model!AO$1,'Assumptions (NG Midstream)'!$B$75,Model!$P$249)</f>
        <v>#NUM!</v>
      </c>
      <c r="AI265" s="377" t="e">
        <f>PPMT('Assumptions (NG Midstream)'!$B$72,Model!AP$1,'Assumptions (NG Midstream)'!$B$75,Model!$P$249)</f>
        <v>#NUM!</v>
      </c>
      <c r="AJ265" s="377" t="e">
        <f>PPMT('Assumptions (NG Midstream)'!$B$72,Model!AQ$1,'Assumptions (NG Midstream)'!$B$75,Model!$P$249)</f>
        <v>#NUM!</v>
      </c>
      <c r="AK265" s="377" t="e">
        <f>PPMT('Assumptions (NG Midstream)'!$B$72,Model!AR$1,'Assumptions (NG Midstream)'!$B$75,Model!$P$249)</f>
        <v>#NUM!</v>
      </c>
      <c r="AL265" s="377" t="e">
        <f>PPMT('Assumptions (NG Midstream)'!$B$72,Model!AS$1,'Assumptions (NG Midstream)'!$B$75,Model!$P$249)</f>
        <v>#NUM!</v>
      </c>
      <c r="AM265" s="377" t="e">
        <f>PPMT('Assumptions (NG Midstream)'!$B$72,Model!AT$1,'Assumptions (NG Midstream)'!$B$75,Model!$P$249)</f>
        <v>#NUM!</v>
      </c>
      <c r="AN265" s="377" t="e">
        <f>PPMT('Assumptions (NG Midstream)'!$B$72,Model!AU$1,'Assumptions (NG Midstream)'!$B$75,Model!$P$249)</f>
        <v>#NUM!</v>
      </c>
    </row>
    <row r="266" spans="1:47" ht="15.75" hidden="1" customHeight="1" outlineLevel="1">
      <c r="A266" s="365"/>
      <c r="B266" s="99"/>
      <c r="C266" s="377"/>
      <c r="D266" s="377"/>
      <c r="E266" s="377"/>
      <c r="F266" s="377"/>
      <c r="G266" s="377"/>
      <c r="H266" s="377"/>
      <c r="I266" s="377"/>
      <c r="J266" s="377"/>
      <c r="K266" s="377"/>
      <c r="L266" s="377"/>
      <c r="M266" s="377"/>
      <c r="N266" s="377"/>
      <c r="O266" s="377"/>
      <c r="P266" s="377"/>
      <c r="Q266" s="377">
        <f>PPMT('Assumptions (NG Midstream)'!$B$72,Model!W$1,'Assumptions (NG Midstream)'!$B$75,Model!$Q$249)</f>
        <v>-0.12129818913216475</v>
      </c>
      <c r="R266" s="377">
        <f>PPMT('Assumptions (NG Midstream)'!$B$72,Model!X$1,'Assumptions (NG Midstream)'!$B$75,Model!$Q$249)</f>
        <v>-0.13039555331707711</v>
      </c>
      <c r="S266" s="377">
        <f>PPMT('Assumptions (NG Midstream)'!$B$72,Model!Y$1,'Assumptions (NG Midstream)'!$B$75,Model!$Q$249)</f>
        <v>-0.14017521981585793</v>
      </c>
      <c r="T266" s="377">
        <f>PPMT('Assumptions (NG Midstream)'!$B$72,Model!Z$1,'Assumptions (NG Midstream)'!$B$75,Model!$Q$249)</f>
        <v>-0.15068836130204724</v>
      </c>
      <c r="U266" s="377">
        <f>PPMT('Assumptions (NG Midstream)'!$B$72,Model!AA$1,'Assumptions (NG Midstream)'!$B$75,Model!$Q$249)</f>
        <v>-0.16198998839970077</v>
      </c>
      <c r="V266" s="377">
        <f>PPMT('Assumptions (NG Midstream)'!$B$72,Model!AB$1,'Assumptions (NG Midstream)'!$B$75,Model!$Q$249)</f>
        <v>-0.17413923752967836</v>
      </c>
      <c r="W266" s="377">
        <f>PPMT('Assumptions (NG Midstream)'!$B$72,Model!AC$1,'Assumptions (NG Midstream)'!$B$75,Model!$Q$249)</f>
        <v>-0.18719968034440423</v>
      </c>
      <c r="X266" s="377">
        <f>PPMT('Assumptions (NG Midstream)'!$B$72,Model!AD$1,'Assumptions (NG Midstream)'!$B$75,Model!$Q$249)</f>
        <v>-0.20123965637023453</v>
      </c>
      <c r="Y266" s="377">
        <f>PPMT('Assumptions (NG Midstream)'!$B$72,Model!AE$1,'Assumptions (NG Midstream)'!$B$75,Model!$Q$249)</f>
        <v>-0.21633263059800215</v>
      </c>
      <c r="Z266" s="377">
        <f>PPMT('Assumptions (NG Midstream)'!$B$72,Model!AF$1,'Assumptions (NG Midstream)'!$B$75,Model!$Q$249)</f>
        <v>-0.23255757789285231</v>
      </c>
      <c r="AA266" s="377">
        <f>PPMT('Assumptions (NG Midstream)'!$B$72,Model!AG$1,'Assumptions (NG Midstream)'!$B$75,Model!$Q$249)</f>
        <v>-0.24999939623481618</v>
      </c>
      <c r="AB266" s="377">
        <f>PPMT('Assumptions (NG Midstream)'!$B$72,Model!AH$1,'Assumptions (NG Midstream)'!$B$75,Model!$Q$249)</f>
        <v>-0.26874935095242741</v>
      </c>
      <c r="AC266" s="377">
        <f>PPMT('Assumptions (NG Midstream)'!$B$72,Model!AI$1,'Assumptions (NG Midstream)'!$B$75,Model!$Q$249)</f>
        <v>-0.2889055522738595</v>
      </c>
      <c r="AD266" s="377">
        <f>PPMT('Assumptions (NG Midstream)'!$B$72,Model!AJ$1,'Assumptions (NG Midstream)'!$B$75,Model!$Q$249)</f>
        <v>-0.31057346869439895</v>
      </c>
      <c r="AE266" s="377">
        <f>PPMT('Assumptions (NG Midstream)'!$B$72,Model!AK$1,'Assumptions (NG Midstream)'!$B$75,Model!$Q$249)</f>
        <v>-0.33386647884647885</v>
      </c>
      <c r="AF266" s="377" t="e">
        <f>PPMT('Assumptions (NG Midstream)'!$B$72,Model!AL$1,'Assumptions (NG Midstream)'!$B$75,Model!$Q$249)</f>
        <v>#NUM!</v>
      </c>
      <c r="AG266" s="377" t="e">
        <f>PPMT('Assumptions (NG Midstream)'!$B$72,Model!AM$1,'Assumptions (NG Midstream)'!$B$75,Model!$Q$249)</f>
        <v>#NUM!</v>
      </c>
      <c r="AH266" s="377" t="e">
        <f>PPMT('Assumptions (NG Midstream)'!$B$72,Model!AN$1,'Assumptions (NG Midstream)'!$B$75,Model!$Q$249)</f>
        <v>#NUM!</v>
      </c>
      <c r="AI266" s="377" t="e">
        <f>PPMT('Assumptions (NG Midstream)'!$B$72,Model!AO$1,'Assumptions (NG Midstream)'!$B$75,Model!$Q$249)</f>
        <v>#NUM!</v>
      </c>
      <c r="AJ266" s="377" t="e">
        <f>PPMT('Assumptions (NG Midstream)'!$B$72,Model!AP$1,'Assumptions (NG Midstream)'!$B$75,Model!$Q$249)</f>
        <v>#NUM!</v>
      </c>
      <c r="AK266" s="377" t="e">
        <f>PPMT('Assumptions (NG Midstream)'!$B$72,Model!AQ$1,'Assumptions (NG Midstream)'!$B$75,Model!$Q$249)</f>
        <v>#NUM!</v>
      </c>
      <c r="AL266" s="377" t="e">
        <f>PPMT('Assumptions (NG Midstream)'!$B$72,Model!AR$1,'Assumptions (NG Midstream)'!$B$75,Model!$Q$249)</f>
        <v>#NUM!</v>
      </c>
      <c r="AM266" s="377" t="e">
        <f>PPMT('Assumptions (NG Midstream)'!$B$72,Model!AS$1,'Assumptions (NG Midstream)'!$B$75,Model!$Q$249)</f>
        <v>#NUM!</v>
      </c>
      <c r="AN266" s="377" t="e">
        <f>PPMT('Assumptions (NG Midstream)'!$B$72,Model!AT$1,'Assumptions (NG Midstream)'!$B$75,Model!$Q$249)</f>
        <v>#NUM!</v>
      </c>
      <c r="AO266" s="377" t="e">
        <f>PPMT('Assumptions (NG Midstream)'!$B$72,Model!AU$1,'Assumptions (NG Midstream)'!$B$75,Model!$Q$249)</f>
        <v>#NUM!</v>
      </c>
    </row>
    <row r="267" spans="1:47" ht="15.75" hidden="1" customHeight="1" outlineLevel="1">
      <c r="A267" s="365"/>
      <c r="B267" s="99"/>
      <c r="C267" s="377"/>
      <c r="D267" s="377"/>
      <c r="E267" s="377"/>
      <c r="F267" s="377"/>
      <c r="G267" s="377"/>
      <c r="H267" s="377"/>
      <c r="I267" s="377"/>
      <c r="J267" s="377"/>
      <c r="K267" s="377"/>
      <c r="L267" s="377"/>
      <c r="M267" s="377"/>
      <c r="N267" s="377"/>
      <c r="O267" s="377"/>
      <c r="P267" s="377"/>
      <c r="Q267" s="377"/>
      <c r="R267" s="377">
        <f>PPMT('Assumptions (NG Midstream)'!$B$72,Model!W$1,'Assumptions (NG Midstream)'!$B$75,Model!$R$249)</f>
        <v>-0.17465941050739894</v>
      </c>
      <c r="S267" s="377">
        <f>PPMT('Assumptions (NG Midstream)'!$B$72,Model!X$1,'Assumptions (NG Midstream)'!$B$75,Model!$R$249)</f>
        <v>-0.18775886629545385</v>
      </c>
      <c r="T267" s="377">
        <f>PPMT('Assumptions (NG Midstream)'!$B$72,Model!Y$1,'Assumptions (NG Midstream)'!$B$75,Model!$R$249)</f>
        <v>-0.20184078126761293</v>
      </c>
      <c r="U267" s="377">
        <f>PPMT('Assumptions (NG Midstream)'!$B$72,Model!Z$1,'Assumptions (NG Midstream)'!$B$75,Model!$R$249)</f>
        <v>-0.21697883986268388</v>
      </c>
      <c r="V267" s="377">
        <f>PPMT('Assumptions (NG Midstream)'!$B$72,Model!AA$1,'Assumptions (NG Midstream)'!$B$75,Model!$R$249)</f>
        <v>-0.23325225285238513</v>
      </c>
      <c r="W267" s="377">
        <f>PPMT('Assumptions (NG Midstream)'!$B$72,Model!AB$1,'Assumptions (NG Midstream)'!$B$75,Model!$R$249)</f>
        <v>-0.25074617181631403</v>
      </c>
      <c r="X267" s="377">
        <f>PPMT('Assumptions (NG Midstream)'!$B$72,Model!AC$1,'Assumptions (NG Midstream)'!$B$75,Model!$R$249)</f>
        <v>-0.26955213470253758</v>
      </c>
      <c r="Y267" s="377">
        <f>PPMT('Assumptions (NG Midstream)'!$B$72,Model!AD$1,'Assumptions (NG Midstream)'!$B$75,Model!$R$249)</f>
        <v>-0.2897685448052279</v>
      </c>
      <c r="Z267" s="377">
        <f>PPMT('Assumptions (NG Midstream)'!$B$72,Model!AE$1,'Assumptions (NG Midstream)'!$B$75,Model!$R$249)</f>
        <v>-0.31150118566562002</v>
      </c>
      <c r="AA267" s="377">
        <f>PPMT('Assumptions (NG Midstream)'!$B$72,Model!AF$1,'Assumptions (NG Midstream)'!$B$75,Model!$R$249)</f>
        <v>-0.33486377459054156</v>
      </c>
      <c r="AB267" s="377">
        <f>PPMT('Assumptions (NG Midstream)'!$B$72,Model!AG$1,'Assumptions (NG Midstream)'!$B$75,Model!$R$249)</f>
        <v>-0.35997855768483206</v>
      </c>
      <c r="AC267" s="377">
        <f>PPMT('Assumptions (NG Midstream)'!$B$72,Model!AH$1,'Assumptions (NG Midstream)'!$B$75,Model!$R$249)</f>
        <v>-0.38697694951119449</v>
      </c>
      <c r="AD267" s="377">
        <f>PPMT('Assumptions (NG Midstream)'!$B$72,Model!AI$1,'Assumptions (NG Midstream)'!$B$75,Model!$R$249)</f>
        <v>-0.41600022072453413</v>
      </c>
      <c r="AE267" s="377">
        <f>PPMT('Assumptions (NG Midstream)'!$B$72,Model!AJ$1,'Assumptions (NG Midstream)'!$B$75,Model!$R$249)</f>
        <v>-0.44720023727887426</v>
      </c>
      <c r="AF267" s="377">
        <f>PPMT('Assumptions (NG Midstream)'!$B$72,Model!AK$1,'Assumptions (NG Midstream)'!$B$75,Model!$R$249)</f>
        <v>-0.48074025507478974</v>
      </c>
      <c r="AG267" s="377" t="e">
        <f>PPMT('Assumptions (NG Midstream)'!$B$72,Model!AL$1,'Assumptions (NG Midstream)'!$B$75,Model!$R$249)</f>
        <v>#NUM!</v>
      </c>
      <c r="AH267" s="377" t="e">
        <f>PPMT('Assumptions (NG Midstream)'!$B$72,Model!AM$1,'Assumptions (NG Midstream)'!$B$75,Model!$R$249)</f>
        <v>#NUM!</v>
      </c>
      <c r="AI267" s="377" t="e">
        <f>PPMT('Assumptions (NG Midstream)'!$B$72,Model!AN$1,'Assumptions (NG Midstream)'!$B$75,Model!$R$249)</f>
        <v>#NUM!</v>
      </c>
      <c r="AJ267" s="377" t="e">
        <f>PPMT('Assumptions (NG Midstream)'!$B$72,Model!AO$1,'Assumptions (NG Midstream)'!$B$75,Model!$R$249)</f>
        <v>#NUM!</v>
      </c>
      <c r="AK267" s="377" t="e">
        <f>PPMT('Assumptions (NG Midstream)'!$B$72,Model!AP$1,'Assumptions (NG Midstream)'!$B$75,Model!$R$249)</f>
        <v>#NUM!</v>
      </c>
      <c r="AL267" s="377" t="e">
        <f>PPMT('Assumptions (NG Midstream)'!$B$72,Model!AQ$1,'Assumptions (NG Midstream)'!$B$75,Model!$R$249)</f>
        <v>#NUM!</v>
      </c>
      <c r="AM267" s="377" t="e">
        <f>PPMT('Assumptions (NG Midstream)'!$B$72,Model!AR$1,'Assumptions (NG Midstream)'!$B$75,Model!$R$249)</f>
        <v>#NUM!</v>
      </c>
      <c r="AN267" s="377" t="e">
        <f>PPMT('Assumptions (NG Midstream)'!$B$72,Model!AS$1,'Assumptions (NG Midstream)'!$B$75,Model!$R$249)</f>
        <v>#NUM!</v>
      </c>
      <c r="AO267" s="377" t="e">
        <f>PPMT('Assumptions (NG Midstream)'!$B$72,Model!AT$1,'Assumptions (NG Midstream)'!$B$75,Model!$R$249)</f>
        <v>#NUM!</v>
      </c>
      <c r="AP267" s="377" t="e">
        <f>PPMT('Assumptions (NG Midstream)'!$B$72,Model!AU$1,'Assumptions (NG Midstream)'!$B$75,Model!$R$249)</f>
        <v>#NUM!</v>
      </c>
    </row>
    <row r="268" spans="1:47" ht="15.75" hidden="1" customHeight="1" outlineLevel="1">
      <c r="A268" s="365"/>
      <c r="B268" s="99"/>
      <c r="C268" s="377"/>
      <c r="D268" s="377"/>
      <c r="E268" s="377"/>
      <c r="F268" s="377"/>
      <c r="G268" s="377"/>
      <c r="H268" s="377"/>
      <c r="I268" s="377"/>
      <c r="J268" s="377"/>
      <c r="K268" s="377"/>
      <c r="L268" s="377"/>
      <c r="M268" s="377"/>
      <c r="N268" s="377"/>
      <c r="O268" s="377"/>
      <c r="P268" s="377"/>
      <c r="Q268" s="377"/>
      <c r="R268" s="377"/>
      <c r="S268" s="377">
        <f>PPMT('Assumptions (NG Midstream)'!$B$72,Model!W$1,'Assumptions (NG Midstream)'!$B$75,Model!$S$249)</f>
        <v>-0.16118290546126221</v>
      </c>
      <c r="T268" s="377">
        <f>PPMT('Assumptions (NG Midstream)'!$B$72,Model!X$1,'Assumptions (NG Midstream)'!$B$75,Model!$S$249)</f>
        <v>-0.17327162337085686</v>
      </c>
      <c r="U268" s="377">
        <f>PPMT('Assumptions (NG Midstream)'!$B$72,Model!Y$1,'Assumptions (NG Midstream)'!$B$75,Model!$S$249)</f>
        <v>-0.18626699512367118</v>
      </c>
      <c r="V268" s="377">
        <f>PPMT('Assumptions (NG Midstream)'!$B$72,Model!Z$1,'Assumptions (NG Midstream)'!$B$75,Model!$S$249)</f>
        <v>-0.20023701975794647</v>
      </c>
      <c r="W268" s="377">
        <f>PPMT('Assumptions (NG Midstream)'!$B$72,Model!AA$1,'Assumptions (NG Midstream)'!$B$75,Model!$S$249)</f>
        <v>-0.21525479623979243</v>
      </c>
      <c r="X268" s="377">
        <f>PPMT('Assumptions (NG Midstream)'!$B$72,Model!AB$1,'Assumptions (NG Midstream)'!$B$75,Model!$S$249)</f>
        <v>-0.2313989059577769</v>
      </c>
      <c r="Y268" s="377">
        <f>PPMT('Assumptions (NG Midstream)'!$B$72,Model!AC$1,'Assumptions (NG Midstream)'!$B$75,Model!$S$249)</f>
        <v>-0.24875382390461015</v>
      </c>
      <c r="Z268" s="377">
        <f>PPMT('Assumptions (NG Midstream)'!$B$72,Model!AD$1,'Assumptions (NG Midstream)'!$B$75,Model!$S$249)</f>
        <v>-0.26741036069745588</v>
      </c>
      <c r="AA268" s="377">
        <f>PPMT('Assumptions (NG Midstream)'!$B$72,Model!AE$1,'Assumptions (NG Midstream)'!$B$75,Model!$S$249)</f>
        <v>-0.28746613774976509</v>
      </c>
      <c r="AB268" s="377">
        <f>PPMT('Assumptions (NG Midstream)'!$B$72,Model!AF$1,'Assumptions (NG Midstream)'!$B$75,Model!$S$249)</f>
        <v>-0.30902609808099751</v>
      </c>
      <c r="AC268" s="377">
        <f>PPMT('Assumptions (NG Midstream)'!$B$72,Model!AG$1,'Assumptions (NG Midstream)'!$B$75,Model!$S$249)</f>
        <v>-0.33220305543707224</v>
      </c>
      <c r="AD268" s="377">
        <f>PPMT('Assumptions (NG Midstream)'!$B$72,Model!AH$1,'Assumptions (NG Midstream)'!$B$75,Model!$S$249)</f>
        <v>-0.35711828459485268</v>
      </c>
      <c r="AE268" s="377">
        <f>PPMT('Assumptions (NG Midstream)'!$B$72,Model!AI$1,'Assumptions (NG Midstream)'!$B$75,Model!$S$249)</f>
        <v>-0.38390215593946669</v>
      </c>
      <c r="AF268" s="377">
        <f>PPMT('Assumptions (NG Midstream)'!$B$72,Model!AJ$1,'Assumptions (NG Midstream)'!$B$75,Model!$S$249)</f>
        <v>-0.41269481763492671</v>
      </c>
      <c r="AG268" s="377">
        <f>PPMT('Assumptions (NG Midstream)'!$B$72,Model!AK$1,'Assumptions (NG Midstream)'!$B$75,Model!$S$249)</f>
        <v>-0.44364692895754615</v>
      </c>
      <c r="AH268" s="377" t="e">
        <f>PPMT('Assumptions (NG Midstream)'!$B$72,Model!AL$1,'Assumptions (NG Midstream)'!$B$75,Model!$S$249)</f>
        <v>#NUM!</v>
      </c>
      <c r="AI268" s="377" t="e">
        <f>PPMT('Assumptions (NG Midstream)'!$B$72,Model!AM$1,'Assumptions (NG Midstream)'!$B$75,Model!$S$249)</f>
        <v>#NUM!</v>
      </c>
      <c r="AJ268" s="377" t="e">
        <f>PPMT('Assumptions (NG Midstream)'!$B$72,Model!AN$1,'Assumptions (NG Midstream)'!$B$75,Model!$S$249)</f>
        <v>#NUM!</v>
      </c>
      <c r="AK268" s="377" t="e">
        <f>PPMT('Assumptions (NG Midstream)'!$B$72,Model!AO$1,'Assumptions (NG Midstream)'!$B$75,Model!$S$249)</f>
        <v>#NUM!</v>
      </c>
      <c r="AL268" s="377" t="e">
        <f>PPMT('Assumptions (NG Midstream)'!$B$72,Model!AP$1,'Assumptions (NG Midstream)'!$B$75,Model!$S$249)</f>
        <v>#NUM!</v>
      </c>
      <c r="AM268" s="377" t="e">
        <f>PPMT('Assumptions (NG Midstream)'!$B$72,Model!AQ$1,'Assumptions (NG Midstream)'!$B$75,Model!$S$249)</f>
        <v>#NUM!</v>
      </c>
      <c r="AN268" s="377" t="e">
        <f>PPMT('Assumptions (NG Midstream)'!$B$72,Model!AR$1,'Assumptions (NG Midstream)'!$B$75,Model!$S$249)</f>
        <v>#NUM!</v>
      </c>
      <c r="AO268" s="377" t="e">
        <f>PPMT('Assumptions (NG Midstream)'!$B$72,Model!AS$1,'Assumptions (NG Midstream)'!$B$75,Model!$S$249)</f>
        <v>#NUM!</v>
      </c>
      <c r="AP268" s="377" t="e">
        <f>PPMT('Assumptions (NG Midstream)'!$B$72,Model!AT$1,'Assumptions (NG Midstream)'!$B$75,Model!$S$249)</f>
        <v>#NUM!</v>
      </c>
      <c r="AQ268" s="377" t="e">
        <f>PPMT('Assumptions (NG Midstream)'!$B$72,Model!AU$1,'Assumptions (NG Midstream)'!$B$75,Model!$S$249)</f>
        <v>#NUM!</v>
      </c>
    </row>
    <row r="269" spans="1:47" ht="15.75" hidden="1" customHeight="1" outlineLevel="1">
      <c r="A269" s="365"/>
      <c r="B269" s="99"/>
      <c r="C269" s="377"/>
      <c r="D269" s="377"/>
      <c r="E269" s="377"/>
      <c r="F269" s="377"/>
      <c r="G269" s="377"/>
      <c r="H269" s="377"/>
      <c r="I269" s="377"/>
      <c r="J269" s="377"/>
      <c r="K269" s="377"/>
      <c r="L269" s="377"/>
      <c r="M269" s="377"/>
      <c r="N269" s="377"/>
      <c r="O269" s="377"/>
      <c r="P269" s="377"/>
      <c r="Q269" s="377"/>
      <c r="R269" s="377"/>
      <c r="S269" s="42"/>
      <c r="T269" s="377">
        <f>PPMT('Assumptions (NG Midstream)'!$B$72,Model!W$1,'Assumptions (NG Midstream)'!$B$75,Model!$T$249)</f>
        <v>-0.18176801741395809</v>
      </c>
      <c r="U269" s="377">
        <f>PPMT('Assumptions (NG Midstream)'!$B$72,Model!X$1,'Assumptions (NG Midstream)'!$B$75,Model!$T$249)</f>
        <v>-0.19540061872000494</v>
      </c>
      <c r="V269" s="377">
        <f>PPMT('Assumptions (NG Midstream)'!$B$72,Model!Y$1,'Assumptions (NG Midstream)'!$B$75,Model!$T$249)</f>
        <v>-0.21005566512400534</v>
      </c>
      <c r="W269" s="377">
        <f>PPMT('Assumptions (NG Midstream)'!$B$72,Model!Z$1,'Assumptions (NG Midstream)'!$B$75,Model!$T$249)</f>
        <v>-0.22580984000830573</v>
      </c>
      <c r="X269" s="377">
        <f>PPMT('Assumptions (NG Midstream)'!$B$72,Model!AA$1,'Assumptions (NG Midstream)'!$B$75,Model!$T$249)</f>
        <v>-0.24274557800892863</v>
      </c>
      <c r="Y269" s="377">
        <f>PPMT('Assumptions (NG Midstream)'!$B$72,Model!AB$1,'Assumptions (NG Midstream)'!$B$75,Model!$T$249)</f>
        <v>-0.2609514963595983</v>
      </c>
      <c r="Z269" s="377">
        <f>PPMT('Assumptions (NG Midstream)'!$B$72,Model!AC$1,'Assumptions (NG Midstream)'!$B$75,Model!$T$249)</f>
        <v>-0.28052285858656817</v>
      </c>
      <c r="AA269" s="377">
        <f>PPMT('Assumptions (NG Midstream)'!$B$72,Model!AD$1,'Assumptions (NG Midstream)'!$B$75,Model!$T$249)</f>
        <v>-0.30156207298056076</v>
      </c>
      <c r="AB269" s="377">
        <f>PPMT('Assumptions (NG Midstream)'!$B$72,Model!AE$1,'Assumptions (NG Midstream)'!$B$75,Model!$T$249)</f>
        <v>-0.32417922845410291</v>
      </c>
      <c r="AC269" s="377">
        <f>PPMT('Assumptions (NG Midstream)'!$B$72,Model!AF$1,'Assumptions (NG Midstream)'!$B$75,Model!$T$249)</f>
        <v>-0.34849267058816058</v>
      </c>
      <c r="AD269" s="377">
        <f>PPMT('Assumptions (NG Midstream)'!$B$72,Model!AG$1,'Assumptions (NG Midstream)'!$B$75,Model!$T$249)</f>
        <v>-0.37462962088227253</v>
      </c>
      <c r="AE269" s="377">
        <f>PPMT('Assumptions (NG Midstream)'!$B$72,Model!AH$1,'Assumptions (NG Midstream)'!$B$75,Model!$T$249)</f>
        <v>-0.40272684244844303</v>
      </c>
      <c r="AF269" s="377">
        <f>PPMT('Assumptions (NG Midstream)'!$B$72,Model!AI$1,'Assumptions (NG Midstream)'!$B$75,Model!$T$249)</f>
        <v>-0.43293135563207624</v>
      </c>
      <c r="AG269" s="377">
        <f>PPMT('Assumptions (NG Midstream)'!$B$72,Model!AJ$1,'Assumptions (NG Midstream)'!$B$75,Model!$T$249)</f>
        <v>-0.46540120730448198</v>
      </c>
      <c r="AH269" s="377">
        <f>PPMT('Assumptions (NG Midstream)'!$B$72,Model!AK$1,'Assumptions (NG Midstream)'!$B$75,Model!$T$249)</f>
        <v>-0.50030629785231817</v>
      </c>
      <c r="AI269" s="377" t="e">
        <f>PPMT('Assumptions (NG Midstream)'!$B$72,Model!AL$1,'Assumptions (NG Midstream)'!$B$75,Model!$T$249)</f>
        <v>#NUM!</v>
      </c>
      <c r="AJ269" s="377" t="e">
        <f>PPMT('Assumptions (NG Midstream)'!$B$72,Model!AM$1,'Assumptions (NG Midstream)'!$B$75,Model!$T$249)</f>
        <v>#NUM!</v>
      </c>
      <c r="AK269" s="377" t="e">
        <f>PPMT('Assumptions (NG Midstream)'!$B$72,Model!AN$1,'Assumptions (NG Midstream)'!$B$75,Model!$T$249)</f>
        <v>#NUM!</v>
      </c>
      <c r="AL269" s="377" t="e">
        <f>PPMT('Assumptions (NG Midstream)'!$B$72,Model!AO$1,'Assumptions (NG Midstream)'!$B$75,Model!$T$249)</f>
        <v>#NUM!</v>
      </c>
      <c r="AM269" s="377" t="e">
        <f>PPMT('Assumptions (NG Midstream)'!$B$72,Model!AP$1,'Assumptions (NG Midstream)'!$B$75,Model!$T$249)</f>
        <v>#NUM!</v>
      </c>
      <c r="AN269" s="377" t="e">
        <f>PPMT('Assumptions (NG Midstream)'!$B$72,Model!AQ$1,'Assumptions (NG Midstream)'!$B$75,Model!$T$249)</f>
        <v>#NUM!</v>
      </c>
      <c r="AO269" s="377" t="e">
        <f>PPMT('Assumptions (NG Midstream)'!$B$72,Model!AR$1,'Assumptions (NG Midstream)'!$B$75,Model!$T$249)</f>
        <v>#NUM!</v>
      </c>
      <c r="AP269" s="377" t="e">
        <f>PPMT('Assumptions (NG Midstream)'!$B$72,Model!AS$1,'Assumptions (NG Midstream)'!$B$75,Model!$T$249)</f>
        <v>#NUM!</v>
      </c>
      <c r="AQ269" s="377" t="e">
        <f>PPMT('Assumptions (NG Midstream)'!$B$72,Model!AT$1,'Assumptions (NG Midstream)'!$B$75,Model!$T$249)</f>
        <v>#NUM!</v>
      </c>
      <c r="AR269" s="377" t="e">
        <f>PPMT('Assumptions (NG Midstream)'!$B$72,Model!AU$1,'Assumptions (NG Midstream)'!$B$75,Model!$T$249)</f>
        <v>#NUM!</v>
      </c>
    </row>
    <row r="270" spans="1:47" ht="15.75" hidden="1" customHeight="1" outlineLevel="1">
      <c r="A270" s="365"/>
      <c r="B270" s="99"/>
      <c r="C270" s="377"/>
      <c r="D270" s="377"/>
      <c r="E270" s="377"/>
      <c r="F270" s="377"/>
      <c r="G270" s="377"/>
      <c r="H270" s="377"/>
      <c r="I270" s="377"/>
      <c r="J270" s="377"/>
      <c r="K270" s="377"/>
      <c r="L270" s="377"/>
      <c r="M270" s="377"/>
      <c r="N270" s="377"/>
      <c r="O270" s="377"/>
      <c r="P270" s="377"/>
      <c r="Q270" s="377"/>
      <c r="R270" s="377"/>
      <c r="S270" s="42"/>
      <c r="T270" s="42"/>
      <c r="U270" s="377">
        <f>PPMT('Assumptions (NG Midstream)'!$B$72,Model!W$1,'Assumptions (NG Midstream)'!$B$75,Model!$U$249)</f>
        <v>-2.4578683204532218E-2</v>
      </c>
      <c r="V270" s="377">
        <f>PPMT('Assumptions (NG Midstream)'!$B$72,Model!X$1,'Assumptions (NG Midstream)'!$B$75,Model!$U$249)</f>
        <v>-2.6422084444872134E-2</v>
      </c>
      <c r="W270" s="377">
        <f>PPMT('Assumptions (NG Midstream)'!$B$72,Model!Y$1,'Assumptions (NG Midstream)'!$B$75,Model!$U$249)</f>
        <v>-2.8403740778237548E-2</v>
      </c>
      <c r="X270" s="377">
        <f>PPMT('Assumptions (NG Midstream)'!$B$72,Model!Z$1,'Assumptions (NG Midstream)'!$B$75,Model!$U$249)</f>
        <v>-3.053402133660536E-2</v>
      </c>
      <c r="Y270" s="377">
        <f>PPMT('Assumptions (NG Midstream)'!$B$72,Model!AA$1,'Assumptions (NG Midstream)'!$B$75,Model!$U$249)</f>
        <v>-3.2824072936850759E-2</v>
      </c>
      <c r="Z270" s="377">
        <f>PPMT('Assumptions (NG Midstream)'!$B$72,Model!AB$1,'Assumptions (NG Midstream)'!$B$75,Model!$U$249)</f>
        <v>-3.5285878407114571E-2</v>
      </c>
      <c r="AA270" s="377">
        <f>PPMT('Assumptions (NG Midstream)'!$B$72,Model!AC$1,'Assumptions (NG Midstream)'!$B$75,Model!$U$249)</f>
        <v>-3.7932319287648161E-2</v>
      </c>
      <c r="AB270" s="377">
        <f>PPMT('Assumptions (NG Midstream)'!$B$72,Model!AD$1,'Assumptions (NG Midstream)'!$B$75,Model!$U$249)</f>
        <v>-4.0777243234221765E-2</v>
      </c>
      <c r="AC270" s="377">
        <f>PPMT('Assumptions (NG Midstream)'!$B$72,Model!AE$1,'Assumptions (NG Midstream)'!$B$75,Model!$U$249)</f>
        <v>-4.3835536476788409E-2</v>
      </c>
      <c r="AD270" s="377">
        <f>PPMT('Assumptions (NG Midstream)'!$B$72,Model!AF$1,'Assumptions (NG Midstream)'!$B$75,Model!$U$249)</f>
        <v>-4.7123201712547538E-2</v>
      </c>
      <c r="AE270" s="377">
        <f>PPMT('Assumptions (NG Midstream)'!$B$72,Model!AG$1,'Assumptions (NG Midstream)'!$B$75,Model!$U$249)</f>
        <v>-5.0657441840988603E-2</v>
      </c>
      <c r="AF270" s="377">
        <f>PPMT('Assumptions (NG Midstream)'!$B$72,Model!AH$1,'Assumptions (NG Midstream)'!$B$75,Model!$U$249)</f>
        <v>-5.4456749979062746E-2</v>
      </c>
      <c r="AG270" s="377">
        <f>PPMT('Assumptions (NG Midstream)'!$B$72,Model!AI$1,'Assumptions (NG Midstream)'!$B$75,Model!$U$249)</f>
        <v>-5.8541006227492448E-2</v>
      </c>
      <c r="AH270" s="377">
        <f>PPMT('Assumptions (NG Midstream)'!$B$72,Model!AJ$1,'Assumptions (NG Midstream)'!$B$75,Model!$U$249)</f>
        <v>-6.2931581694554387E-2</v>
      </c>
      <c r="AI270" s="377">
        <f>PPMT('Assumptions (NG Midstream)'!$B$72,Model!AK$1,'Assumptions (NG Midstream)'!$B$75,Model!$U$249)</f>
        <v>-6.7651450321645962E-2</v>
      </c>
      <c r="AJ270" s="377" t="e">
        <f>PPMT('Assumptions (NG Midstream)'!$B$72,Model!AL$1,'Assumptions (NG Midstream)'!$B$75,Model!$U$249)</f>
        <v>#NUM!</v>
      </c>
      <c r="AK270" s="377" t="e">
        <f>PPMT('Assumptions (NG Midstream)'!$B$72,Model!AM$1,'Assumptions (NG Midstream)'!$B$75,Model!$U$249)</f>
        <v>#NUM!</v>
      </c>
      <c r="AL270" s="377" t="e">
        <f>PPMT('Assumptions (NG Midstream)'!$B$72,Model!AN$1,'Assumptions (NG Midstream)'!$B$75,Model!$U$249)</f>
        <v>#NUM!</v>
      </c>
      <c r="AM270" s="377" t="e">
        <f>PPMT('Assumptions (NG Midstream)'!$B$72,Model!AO$1,'Assumptions (NG Midstream)'!$B$75,Model!$U$249)</f>
        <v>#NUM!</v>
      </c>
      <c r="AN270" s="377" t="e">
        <f>PPMT('Assumptions (NG Midstream)'!$B$72,Model!AP$1,'Assumptions (NG Midstream)'!$B$75,Model!$U$249)</f>
        <v>#NUM!</v>
      </c>
      <c r="AO270" s="377" t="e">
        <f>PPMT('Assumptions (NG Midstream)'!$B$72,Model!AQ$1,'Assumptions (NG Midstream)'!$B$75,Model!$U$249)</f>
        <v>#NUM!</v>
      </c>
      <c r="AP270" s="377" t="e">
        <f>PPMT('Assumptions (NG Midstream)'!$B$72,Model!AR$1,'Assumptions (NG Midstream)'!$B$75,Model!$U$249)</f>
        <v>#NUM!</v>
      </c>
      <c r="AQ270" s="377" t="e">
        <f>PPMT('Assumptions (NG Midstream)'!$B$72,Model!AS$1,'Assumptions (NG Midstream)'!$B$75,Model!$U$249)</f>
        <v>#NUM!</v>
      </c>
      <c r="AR270" s="377" t="e">
        <f>PPMT('Assumptions (NG Midstream)'!$B$72,Model!AT$1,'Assumptions (NG Midstream)'!$B$75,Model!$U$249)</f>
        <v>#NUM!</v>
      </c>
      <c r="AS270" s="377" t="e">
        <f>PPMT('Assumptions (NG Midstream)'!$B$72,Model!AU$1,'Assumptions (NG Midstream)'!$B$75,Model!$U$249)</f>
        <v>#NUM!</v>
      </c>
    </row>
    <row r="271" spans="1:47" ht="15.75" hidden="1" customHeight="1" outlineLevel="1">
      <c r="A271" s="365"/>
      <c r="B271" s="99"/>
      <c r="C271" s="377"/>
      <c r="D271" s="377"/>
      <c r="E271" s="377"/>
      <c r="F271" s="377"/>
      <c r="G271" s="377"/>
      <c r="H271" s="377"/>
      <c r="I271" s="377"/>
      <c r="J271" s="377"/>
      <c r="K271" s="377"/>
      <c r="L271" s="377"/>
      <c r="M271" s="377"/>
      <c r="N271" s="377"/>
      <c r="O271" s="377"/>
      <c r="P271" s="377"/>
      <c r="Q271" s="377"/>
      <c r="R271" s="377"/>
      <c r="S271" s="42"/>
      <c r="T271" s="42"/>
      <c r="U271" s="42"/>
      <c r="V271" s="377">
        <f>PPMT('Assumptions (NG Midstream)'!$B$72,Model!W$1,'Assumptions (NG Midstream)'!$B$75,Model!$V$249)</f>
        <v>-7.7889965301866509E-2</v>
      </c>
      <c r="W271" s="377">
        <f>PPMT('Assumptions (NG Midstream)'!$B$72,Model!X$1,'Assumptions (NG Midstream)'!$B$75,Model!$V$249)</f>
        <v>-8.373171269950648E-2</v>
      </c>
      <c r="X271" s="377">
        <f>PPMT('Assumptions (NG Midstream)'!$B$72,Model!Y$1,'Assumptions (NG Midstream)'!$B$75,Model!$V$249)</f>
        <v>-9.0011591151969494E-2</v>
      </c>
      <c r="Y271" s="377">
        <f>PPMT('Assumptions (NG Midstream)'!$B$72,Model!Z$1,'Assumptions (NG Midstream)'!$B$75,Model!$V$249)</f>
        <v>-9.6762460488367202E-2</v>
      </c>
      <c r="Z271" s="377">
        <f>PPMT('Assumptions (NG Midstream)'!$B$72,Model!AA$1,'Assumptions (NG Midstream)'!$B$75,Model!$V$249)</f>
        <v>-0.10401964502499472</v>
      </c>
      <c r="AA271" s="377">
        <f>PPMT('Assumptions (NG Midstream)'!$B$72,Model!AB$1,'Assumptions (NG Midstream)'!$B$75,Model!$V$249)</f>
        <v>-0.11182111840186934</v>
      </c>
      <c r="AB271" s="377">
        <f>PPMT('Assumptions (NG Midstream)'!$B$72,Model!AC$1,'Assumptions (NG Midstream)'!$B$75,Model!$V$249)</f>
        <v>-0.12020770228200954</v>
      </c>
      <c r="AC271" s="377">
        <f>PPMT('Assumptions (NG Midstream)'!$B$72,Model!AD$1,'Assumptions (NG Midstream)'!$B$75,Model!$V$249)</f>
        <v>-0.12922327995316024</v>
      </c>
      <c r="AD271" s="377">
        <f>PPMT('Assumptions (NG Midstream)'!$B$72,Model!AE$1,'Assumptions (NG Midstream)'!$B$75,Model!$V$249)</f>
        <v>-0.13891502594964728</v>
      </c>
      <c r="AE271" s="377">
        <f>PPMT('Assumptions (NG Midstream)'!$B$72,Model!AF$1,'Assumptions (NG Midstream)'!$B$75,Model!$V$249)</f>
        <v>-0.14933365289587083</v>
      </c>
      <c r="AF271" s="377">
        <f>PPMT('Assumptions (NG Midstream)'!$B$72,Model!AG$1,'Assumptions (NG Midstream)'!$B$75,Model!$V$249)</f>
        <v>-0.16053367686306111</v>
      </c>
      <c r="AG271" s="377">
        <f>PPMT('Assumptions (NG Midstream)'!$B$72,Model!AH$1,'Assumptions (NG Midstream)'!$B$75,Model!$V$249)</f>
        <v>-0.1725737026277907</v>
      </c>
      <c r="AH271" s="377">
        <f>PPMT('Assumptions (NG Midstream)'!$B$72,Model!AI$1,'Assumptions (NG Midstream)'!$B$75,Model!$V$249)</f>
        <v>-0.18551673032487501</v>
      </c>
      <c r="AI271" s="377">
        <f>PPMT('Assumptions (NG Midstream)'!$B$72,Model!AJ$1,'Assumptions (NG Midstream)'!$B$75,Model!$V$249)</f>
        <v>-0.19943048509924066</v>
      </c>
      <c r="AJ271" s="377">
        <f>PPMT('Assumptions (NG Midstream)'!$B$72,Model!AK$1,'Assumptions (NG Midstream)'!$B$75,Model!$V$249)</f>
        <v>-0.21438777148168367</v>
      </c>
      <c r="AK271" s="377" t="e">
        <f>PPMT('Assumptions (NG Midstream)'!$B$72,Model!AL$1,'Assumptions (NG Midstream)'!$B$75,Model!$V$249)</f>
        <v>#NUM!</v>
      </c>
      <c r="AL271" s="377" t="e">
        <f>PPMT('Assumptions (NG Midstream)'!$B$72,Model!AM$1,'Assumptions (NG Midstream)'!$B$75,Model!$V$249)</f>
        <v>#NUM!</v>
      </c>
      <c r="AM271" s="377" t="e">
        <f>PPMT('Assumptions (NG Midstream)'!$B$72,Model!AN$1,'Assumptions (NG Midstream)'!$B$75,Model!$V$249)</f>
        <v>#NUM!</v>
      </c>
      <c r="AN271" s="377" t="e">
        <f>PPMT('Assumptions (NG Midstream)'!$B$72,Model!AO$1,'Assumptions (NG Midstream)'!$B$75,Model!$V$249)</f>
        <v>#NUM!</v>
      </c>
      <c r="AO271" s="377" t="e">
        <f>PPMT('Assumptions (NG Midstream)'!$B$72,Model!AP$1,'Assumptions (NG Midstream)'!$B$75,Model!$V$249)</f>
        <v>#NUM!</v>
      </c>
      <c r="AP271" s="377" t="e">
        <f>PPMT('Assumptions (NG Midstream)'!$B$72,Model!AQ$1,'Assumptions (NG Midstream)'!$B$75,Model!$V$249)</f>
        <v>#NUM!</v>
      </c>
      <c r="AQ271" s="377" t="e">
        <f>PPMT('Assumptions (NG Midstream)'!$B$72,Model!AR$1,'Assumptions (NG Midstream)'!$B$75,Model!$V$249)</f>
        <v>#NUM!</v>
      </c>
      <c r="AR271" s="377" t="e">
        <f>PPMT('Assumptions (NG Midstream)'!$B$72,Model!AS$1,'Assumptions (NG Midstream)'!$B$75,Model!$V$249)</f>
        <v>#NUM!</v>
      </c>
      <c r="AS271" s="377" t="e">
        <f>PPMT('Assumptions (NG Midstream)'!$B$72,Model!AT$1,'Assumptions (NG Midstream)'!$B$75,Model!$V$249)</f>
        <v>#NUM!</v>
      </c>
      <c r="AT271" s="377" t="e">
        <f>PPMT('Assumptions (NG Midstream)'!$B$72,Model!AU$1,'Assumptions (NG Midstream)'!$B$75,Model!$V$249)</f>
        <v>#NUM!</v>
      </c>
    </row>
    <row r="272" spans="1:47" ht="15.75" hidden="1" customHeight="1" outlineLevel="1">
      <c r="A272" s="365"/>
      <c r="B272" s="99"/>
      <c r="C272" s="377"/>
      <c r="D272" s="377"/>
      <c r="E272" s="377"/>
      <c r="F272" s="377"/>
      <c r="G272" s="377"/>
      <c r="H272" s="377"/>
      <c r="I272" s="377"/>
      <c r="J272" s="377"/>
      <c r="K272" s="377"/>
      <c r="L272" s="377"/>
      <c r="M272" s="377"/>
      <c r="N272" s="377"/>
      <c r="O272" s="377"/>
      <c r="P272" s="377"/>
      <c r="Q272" s="377"/>
      <c r="R272" s="377"/>
      <c r="S272" s="42"/>
      <c r="T272" s="42"/>
      <c r="U272" s="42"/>
      <c r="V272" s="42"/>
      <c r="W272" s="377">
        <f>PPMT('Assumptions (NG Midstream)'!$B$72,Model!W$1,'Assumptions (NG Midstream)'!$B$75,Model!$W$249)</f>
        <v>-5.0160425039302924E-2</v>
      </c>
      <c r="X272" s="377">
        <f>PPMT('Assumptions (NG Midstream)'!$B$72,Model!X$1,'Assumptions (NG Midstream)'!$B$75,Model!$W$249)</f>
        <v>-5.3922456917250644E-2</v>
      </c>
      <c r="Y272" s="377">
        <f>PPMT('Assumptions (NG Midstream)'!$B$72,Model!Y$1,'Assumptions (NG Midstream)'!$B$75,Model!$W$249)</f>
        <v>-5.796664118604445E-2</v>
      </c>
      <c r="Z272" s="377">
        <f>PPMT('Assumptions (NG Midstream)'!$B$72,Model!Z$1,'Assumptions (NG Midstream)'!$B$75,Model!$W$249)</f>
        <v>-6.2314139274997772E-2</v>
      </c>
      <c r="AA272" s="377">
        <f>PPMT('Assumptions (NG Midstream)'!$B$72,Model!AA$1,'Assumptions (NG Midstream)'!$B$75,Model!$W$249)</f>
        <v>-6.6987699720622601E-2</v>
      </c>
      <c r="AB272" s="377">
        <f>PPMT('Assumptions (NG Midstream)'!$B$72,Model!AB$1,'Assumptions (NG Midstream)'!$B$75,Model!$W$249)</f>
        <v>-7.2011777199669308E-2</v>
      </c>
      <c r="AC272" s="377">
        <f>PPMT('Assumptions (NG Midstream)'!$B$72,Model!AC$1,'Assumptions (NG Midstream)'!$B$75,Model!$W$249)</f>
        <v>-7.74126604896445E-2</v>
      </c>
      <c r="AD272" s="377">
        <f>PPMT('Assumptions (NG Midstream)'!$B$72,Model!AD$1,'Assumptions (NG Midstream)'!$B$75,Model!$W$249)</f>
        <v>-8.3218610026367837E-2</v>
      </c>
      <c r="AE272" s="377">
        <f>PPMT('Assumptions (NG Midstream)'!$B$72,Model!AE$1,'Assumptions (NG Midstream)'!$B$75,Model!$W$249)</f>
        <v>-8.9460005778345425E-2</v>
      </c>
      <c r="AF272" s="377">
        <f>PPMT('Assumptions (NG Midstream)'!$B$72,Model!AF$1,'Assumptions (NG Midstream)'!$B$75,Model!$W$249)</f>
        <v>-9.6169506211721337E-2</v>
      </c>
      <c r="AG272" s="377">
        <f>PPMT('Assumptions (NG Midstream)'!$B$72,Model!AG$1,'Assumptions (NG Midstream)'!$B$75,Model!$W$249)</f>
        <v>-0.10338221917760042</v>
      </c>
      <c r="AH272" s="377">
        <f>PPMT('Assumptions (NG Midstream)'!$B$72,Model!AH$1,'Assumptions (NG Midstream)'!$B$75,Model!$W$249)</f>
        <v>-0.11113588561592046</v>
      </c>
      <c r="AI272" s="377">
        <f>PPMT('Assumptions (NG Midstream)'!$B$72,Model!AI$1,'Assumptions (NG Midstream)'!$B$75,Model!$W$249)</f>
        <v>-0.1194710770371145</v>
      </c>
      <c r="AJ272" s="377">
        <f>PPMT('Assumptions (NG Midstream)'!$B$72,Model!AJ$1,'Assumptions (NG Midstream)'!$B$75,Model!$W$249)</f>
        <v>-0.12843140781489809</v>
      </c>
      <c r="AK272" s="377">
        <f>PPMT('Assumptions (NG Midstream)'!$B$72,Model!AK$1,'Assumptions (NG Midstream)'!$B$75,Model!$W$249)</f>
        <v>-0.13806376340101542</v>
      </c>
      <c r="AL272" s="377" t="e">
        <f>PPMT('Assumptions (NG Midstream)'!$B$72,Model!AL$1,'Assumptions (NG Midstream)'!$B$75,Model!$W$249)</f>
        <v>#NUM!</v>
      </c>
      <c r="AM272" s="377" t="e">
        <f>PPMT('Assumptions (NG Midstream)'!$B$72,Model!AM$1,'Assumptions (NG Midstream)'!$B$75,Model!$W$249)</f>
        <v>#NUM!</v>
      </c>
      <c r="AN272" s="377" t="e">
        <f>PPMT('Assumptions (NG Midstream)'!$B$72,Model!AN$1,'Assumptions (NG Midstream)'!$B$75,Model!$W$249)</f>
        <v>#NUM!</v>
      </c>
      <c r="AO272" s="377" t="e">
        <f>PPMT('Assumptions (NG Midstream)'!$B$72,Model!AO$1,'Assumptions (NG Midstream)'!$B$75,Model!$W$249)</f>
        <v>#NUM!</v>
      </c>
      <c r="AP272" s="377" t="e">
        <f>PPMT('Assumptions (NG Midstream)'!$B$72,Model!AP$1,'Assumptions (NG Midstream)'!$B$75,Model!$W$249)</f>
        <v>#NUM!</v>
      </c>
      <c r="AQ272" s="377" t="e">
        <f>PPMT('Assumptions (NG Midstream)'!$B$72,Model!AQ$1,'Assumptions (NG Midstream)'!$B$75,Model!$W$249)</f>
        <v>#NUM!</v>
      </c>
      <c r="AR272" s="377" t="e">
        <f>PPMT('Assumptions (NG Midstream)'!$B$72,Model!AR$1,'Assumptions (NG Midstream)'!$B$75,Model!$W$249)</f>
        <v>#NUM!</v>
      </c>
      <c r="AS272" s="377" t="e">
        <f>PPMT('Assumptions (NG Midstream)'!$B$72,Model!AS$1,'Assumptions (NG Midstream)'!$B$75,Model!$W$249)</f>
        <v>#NUM!</v>
      </c>
      <c r="AT272" s="377" t="e">
        <f>PPMT('Assumptions (NG Midstream)'!$B$72,Model!AT$1,'Assumptions (NG Midstream)'!$B$75,Model!$W$249)</f>
        <v>#NUM!</v>
      </c>
      <c r="AU272" s="377" t="e">
        <f>PPMT('Assumptions (NG Midstream)'!$B$72,Model!AU$1,'Assumptions (NG Midstream)'!$B$75,Model!$W$249)</f>
        <v>#NUM!</v>
      </c>
    </row>
    <row r="273" spans="1:63" ht="15.75" hidden="1" customHeight="1" outlineLevel="1">
      <c r="A273" s="365"/>
      <c r="B273" s="99"/>
      <c r="C273" s="377"/>
      <c r="D273" s="377"/>
      <c r="E273" s="377"/>
      <c r="F273" s="377"/>
      <c r="G273" s="377"/>
      <c r="H273" s="377"/>
      <c r="I273" s="377"/>
      <c r="J273" s="377"/>
      <c r="K273" s="377"/>
      <c r="L273" s="377"/>
      <c r="M273" s="377"/>
      <c r="N273" s="377"/>
      <c r="O273" s="377"/>
      <c r="P273" s="377"/>
      <c r="Q273" s="377"/>
      <c r="R273" s="377"/>
      <c r="S273" s="42"/>
      <c r="T273" s="42"/>
      <c r="U273" s="42"/>
      <c r="V273" s="42"/>
      <c r="W273" s="86"/>
      <c r="X273" s="377">
        <f>PPMT('Assumptions (NG Midstream)'!$B$72,Model!W$1,'Assumptions (NG Midstream)'!$B$75,Model!$X$249)</f>
        <v>-4.5257067912931652E-2</v>
      </c>
      <c r="Y273" s="377">
        <f>PPMT('Assumptions (NG Midstream)'!$B$72,Model!X$1,'Assumptions (NG Midstream)'!$B$75,Model!$X$249)</f>
        <v>-4.8651348006401522E-2</v>
      </c>
      <c r="Z273" s="377">
        <f>PPMT('Assumptions (NG Midstream)'!$B$72,Model!Y$1,'Assumptions (NG Midstream)'!$B$75,Model!$X$249)</f>
        <v>-5.2300199106881641E-2</v>
      </c>
      <c r="AA273" s="377">
        <f>PPMT('Assumptions (NG Midstream)'!$B$72,Model!Z$1,'Assumptions (NG Midstream)'!$B$75,Model!$X$249)</f>
        <v>-5.6222714039897766E-2</v>
      </c>
      <c r="AB273" s="377">
        <f>PPMT('Assumptions (NG Midstream)'!$B$72,Model!AA$1,'Assumptions (NG Midstream)'!$B$75,Model!$X$249)</f>
        <v>-6.0439417592890086E-2</v>
      </c>
      <c r="AC273" s="377">
        <f>PPMT('Assumptions (NG Midstream)'!$B$72,Model!AB$1,'Assumptions (NG Midstream)'!$B$75,Model!$X$249)</f>
        <v>-6.4972373912356857E-2</v>
      </c>
      <c r="AD273" s="377">
        <f>PPMT('Assumptions (NG Midstream)'!$B$72,Model!AC$1,'Assumptions (NG Midstream)'!$B$75,Model!$X$249)</f>
        <v>-6.9845301955783604E-2</v>
      </c>
      <c r="AE273" s="377">
        <f>PPMT('Assumptions (NG Midstream)'!$B$72,Model!AD$1,'Assumptions (NG Midstream)'!$B$75,Model!$X$249)</f>
        <v>-7.5083699602467385E-2</v>
      </c>
      <c r="AF273" s="377">
        <f>PPMT('Assumptions (NG Midstream)'!$B$72,Model!AE$1,'Assumptions (NG Midstream)'!$B$75,Model!$X$249)</f>
        <v>-8.0714977072652447E-2</v>
      </c>
      <c r="AG273" s="377">
        <f>PPMT('Assumptions (NG Midstream)'!$B$72,Model!AF$1,'Assumptions (NG Midstream)'!$B$75,Model!$X$249)</f>
        <v>-8.6768600353101369E-2</v>
      </c>
      <c r="AH273" s="377">
        <f>PPMT('Assumptions (NG Midstream)'!$B$72,Model!AG$1,'Assumptions (NG Midstream)'!$B$75,Model!$X$249)</f>
        <v>-9.3276245379583969E-2</v>
      </c>
      <c r="AI273" s="377">
        <f>PPMT('Assumptions (NG Midstream)'!$B$72,Model!AH$1,'Assumptions (NG Midstream)'!$B$75,Model!$X$249)</f>
        <v>-0.10027196378305277</v>
      </c>
      <c r="AJ273" s="377">
        <f>PPMT('Assumptions (NG Midstream)'!$B$72,Model!AI$1,'Assumptions (NG Midstream)'!$B$75,Model!$X$249)</f>
        <v>-0.10779236106678174</v>
      </c>
      <c r="AK273" s="377">
        <f>PPMT('Assumptions (NG Midstream)'!$B$72,Model!AJ$1,'Assumptions (NG Midstream)'!$B$75,Model!$X$249)</f>
        <v>-0.11587678814679037</v>
      </c>
      <c r="AL273" s="377">
        <f>PPMT('Assumptions (NG Midstream)'!$B$72,Model!AK$1,'Assumptions (NG Midstream)'!$B$75,Model!$X$249)</f>
        <v>-0.12456754725779964</v>
      </c>
      <c r="AM273" s="377" t="e">
        <f>PPMT('Assumptions (NG Midstream)'!$B$72,Model!AL$1,'Assumptions (NG Midstream)'!$B$75,Model!$X$249)</f>
        <v>#NUM!</v>
      </c>
      <c r="AN273" s="377" t="e">
        <f>PPMT('Assumptions (NG Midstream)'!$B$72,Model!AM$1,'Assumptions (NG Midstream)'!$B$75,Model!$X$249)</f>
        <v>#NUM!</v>
      </c>
      <c r="AO273" s="377" t="e">
        <f>PPMT('Assumptions (NG Midstream)'!$B$72,Model!AN$1,'Assumptions (NG Midstream)'!$B$75,Model!$X$249)</f>
        <v>#NUM!</v>
      </c>
      <c r="AP273" s="377" t="e">
        <f>PPMT('Assumptions (NG Midstream)'!$B$72,Model!AO$1,'Assumptions (NG Midstream)'!$B$75,Model!$X$249)</f>
        <v>#NUM!</v>
      </c>
      <c r="AQ273" s="377" t="e">
        <f>PPMT('Assumptions (NG Midstream)'!$B$72,Model!AP$1,'Assumptions (NG Midstream)'!$B$75,Model!$X$249)</f>
        <v>#NUM!</v>
      </c>
      <c r="AR273" s="377" t="e">
        <f>PPMT('Assumptions (NG Midstream)'!$B$72,Model!AQ$1,'Assumptions (NG Midstream)'!$B$75,Model!$X$249)</f>
        <v>#NUM!</v>
      </c>
      <c r="AS273" s="377" t="e">
        <f>PPMT('Assumptions (NG Midstream)'!$B$72,Model!AR$1,'Assumptions (NG Midstream)'!$B$75,Model!$X$249)</f>
        <v>#NUM!</v>
      </c>
      <c r="AT273" s="377" t="e">
        <f>PPMT('Assumptions (NG Midstream)'!$B$72,Model!AS$1,'Assumptions (NG Midstream)'!$B$75,Model!$X$249)</f>
        <v>#NUM!</v>
      </c>
      <c r="AU273" s="377" t="e">
        <f>PPMT('Assumptions (NG Midstream)'!$B$72,Model!AT$1,'Assumptions (NG Midstream)'!$B$75,Model!$X$249)</f>
        <v>#NUM!</v>
      </c>
      <c r="AV273" s="377" t="e">
        <f>PPMT('Assumptions (NG Midstream)'!$B$72,Model!AU$1,'Assumptions (NG Midstream)'!$B$75,Model!$X$249)</f>
        <v>#NUM!</v>
      </c>
    </row>
    <row r="274" spans="1:63" ht="15.75" hidden="1" customHeight="1" outlineLevel="1">
      <c r="A274" s="365"/>
      <c r="B274" s="99"/>
      <c r="C274" s="377"/>
      <c r="D274" s="377"/>
      <c r="E274" s="377"/>
      <c r="F274" s="377"/>
      <c r="G274" s="377"/>
      <c r="H274" s="377"/>
      <c r="I274" s="377"/>
      <c r="J274" s="377"/>
      <c r="K274" s="377"/>
      <c r="L274" s="377"/>
      <c r="M274" s="377"/>
      <c r="N274" s="377"/>
      <c r="O274" s="377"/>
      <c r="P274" s="377"/>
      <c r="Q274" s="377"/>
      <c r="R274" s="377"/>
      <c r="S274" s="42"/>
      <c r="T274" s="42"/>
      <c r="U274" s="42"/>
      <c r="V274" s="42"/>
      <c r="W274" s="86"/>
      <c r="Y274" s="377">
        <f>PPMT('Assumptions (NG Midstream)'!$B$72,Model!W$1,'Assumptions (NG Midstream)'!$B$75,Model!$Y$249)</f>
        <v>-5.810375375645109E-2</v>
      </c>
      <c r="Z274" s="377">
        <f>PPMT('Assumptions (NG Midstream)'!$B$72,Model!X$1,'Assumptions (NG Midstream)'!$B$75,Model!$Y$249)</f>
        <v>-6.2461535288184919E-2</v>
      </c>
      <c r="AA274" s="377">
        <f>PPMT('Assumptions (NG Midstream)'!$B$72,Model!Y$1,'Assumptions (NG Midstream)'!$B$75,Model!$Y$249)</f>
        <v>-6.714615043479881E-2</v>
      </c>
      <c r="AB274" s="377">
        <f>PPMT('Assumptions (NG Midstream)'!$B$72,Model!Z$1,'Assumptions (NG Midstream)'!$B$75,Model!$Y$249)</f>
        <v>-7.2182111717408709E-2</v>
      </c>
      <c r="AC274" s="377">
        <f>PPMT('Assumptions (NG Midstream)'!$B$72,Model!AA$1,'Assumptions (NG Midstream)'!$B$75,Model!$Y$249)</f>
        <v>-7.7595770096214364E-2</v>
      </c>
      <c r="AD274" s="377">
        <f>PPMT('Assumptions (NG Midstream)'!$B$72,Model!AB$1,'Assumptions (NG Midstream)'!$B$75,Model!$Y$249)</f>
        <v>-8.3415452853430438E-2</v>
      </c>
      <c r="AE274" s="377">
        <f>PPMT('Assumptions (NG Midstream)'!$B$72,Model!AC$1,'Assumptions (NG Midstream)'!$B$75,Model!$Y$249)</f>
        <v>-8.9671611817437713E-2</v>
      </c>
      <c r="AF274" s="377">
        <f>PPMT('Assumptions (NG Midstream)'!$B$72,Model!AD$1,'Assumptions (NG Midstream)'!$B$75,Model!$Y$249)</f>
        <v>-9.639698270374554E-2</v>
      </c>
      <c r="AG274" s="377">
        <f>PPMT('Assumptions (NG Midstream)'!$B$72,Model!AE$1,'Assumptions (NG Midstream)'!$B$75,Model!$Y$249)</f>
        <v>-0.10362675640652647</v>
      </c>
      <c r="AH274" s="377">
        <f>PPMT('Assumptions (NG Midstream)'!$B$72,Model!AF$1,'Assumptions (NG Midstream)'!$B$75,Model!$Y$249)</f>
        <v>-0.11139876313701595</v>
      </c>
      <c r="AI274" s="377">
        <f>PPMT('Assumptions (NG Midstream)'!$B$72,Model!AG$1,'Assumptions (NG Midstream)'!$B$75,Model!$Y$249)</f>
        <v>-0.11975367037229212</v>
      </c>
      <c r="AJ274" s="377">
        <f>PPMT('Assumptions (NG Midstream)'!$B$72,Model!AH$1,'Assumptions (NG Midstream)'!$B$75,Model!$Y$249)</f>
        <v>-0.12873519565021405</v>
      </c>
      <c r="AK274" s="377">
        <f>PPMT('Assumptions (NG Midstream)'!$B$72,Model!AI$1,'Assumptions (NG Midstream)'!$B$75,Model!$Y$249)</f>
        <v>-0.1383903353239801</v>
      </c>
      <c r="AL274" s="377">
        <f>PPMT('Assumptions (NG Midstream)'!$B$72,Model!AJ$1,'Assumptions (NG Midstream)'!$B$75,Model!$Y$249)</f>
        <v>-0.14876961047327861</v>
      </c>
      <c r="AM274" s="377">
        <f>PPMT('Assumptions (NG Midstream)'!$B$72,Model!AK$1,'Assumptions (NG Midstream)'!$B$75,Model!$Y$249)</f>
        <v>-0.15992733125877454</v>
      </c>
      <c r="AN274" s="377" t="e">
        <f>PPMT('Assumptions (NG Midstream)'!$B$72,Model!AL$1,'Assumptions (NG Midstream)'!$B$75,Model!$Y$249)</f>
        <v>#NUM!</v>
      </c>
      <c r="AO274" s="377" t="e">
        <f>PPMT('Assumptions (NG Midstream)'!$B$72,Model!AM$1,'Assumptions (NG Midstream)'!$B$75,Model!$Y$249)</f>
        <v>#NUM!</v>
      </c>
      <c r="AP274" s="377" t="e">
        <f>PPMT('Assumptions (NG Midstream)'!$B$72,Model!AN$1,'Assumptions (NG Midstream)'!$B$75,Model!$Y$249)</f>
        <v>#NUM!</v>
      </c>
      <c r="AQ274" s="377" t="e">
        <f>PPMT('Assumptions (NG Midstream)'!$B$72,Model!AO$1,'Assumptions (NG Midstream)'!$B$75,Model!$Y$249)</f>
        <v>#NUM!</v>
      </c>
      <c r="AR274" s="377" t="e">
        <f>PPMT('Assumptions (NG Midstream)'!$B$72,Model!AP$1,'Assumptions (NG Midstream)'!$B$75,Model!$Y$249)</f>
        <v>#NUM!</v>
      </c>
      <c r="AS274" s="377" t="e">
        <f>PPMT('Assumptions (NG Midstream)'!$B$72,Model!AQ$1,'Assumptions (NG Midstream)'!$B$75,Model!$Y$249)</f>
        <v>#NUM!</v>
      </c>
      <c r="AT274" s="377" t="e">
        <f>PPMT('Assumptions (NG Midstream)'!$B$72,Model!AR$1,'Assumptions (NG Midstream)'!$B$75,Model!$Y$249)</f>
        <v>#NUM!</v>
      </c>
      <c r="AU274" s="377" t="e">
        <f>PPMT('Assumptions (NG Midstream)'!$B$72,Model!AS$1,'Assumptions (NG Midstream)'!$B$75,Model!$Y$249)</f>
        <v>#NUM!</v>
      </c>
      <c r="AV274" s="377" t="e">
        <f>PPMT('Assumptions (NG Midstream)'!$B$72,Model!AT$1,'Assumptions (NG Midstream)'!$B$75,Model!$Y$249)</f>
        <v>#NUM!</v>
      </c>
      <c r="AW274" s="377" t="e">
        <f>PPMT('Assumptions (NG Midstream)'!$B$72,Model!AU$1,'Assumptions (NG Midstream)'!$B$75,Model!$Y$249)</f>
        <v>#NUM!</v>
      </c>
    </row>
    <row r="275" spans="1:63" ht="15.75" hidden="1" customHeight="1" outlineLevel="1">
      <c r="A275" s="365"/>
      <c r="B275" s="99"/>
      <c r="C275" s="377"/>
      <c r="D275" s="377"/>
      <c r="E275" s="377"/>
      <c r="F275" s="377"/>
      <c r="G275" s="377"/>
      <c r="H275" s="377"/>
      <c r="I275" s="377"/>
      <c r="J275" s="377"/>
      <c r="K275" s="377"/>
      <c r="L275" s="377"/>
      <c r="M275" s="377"/>
      <c r="N275" s="377"/>
      <c r="O275" s="377"/>
      <c r="P275" s="377"/>
      <c r="Q275" s="377"/>
      <c r="R275" s="377"/>
      <c r="S275" s="42"/>
      <c r="T275" s="42"/>
      <c r="U275" s="42"/>
      <c r="V275" s="42"/>
      <c r="W275" s="86"/>
      <c r="Z275" s="377">
        <f>PPMT('Assumptions (NG Midstream)'!$B$72,Model!W$1,'Assumptions (NG Midstream)'!$B$75,Model!$Z$249)</f>
        <v>-6.2500653125296166E-2</v>
      </c>
      <c r="AA275" s="377">
        <f>PPMT('Assumptions (NG Midstream)'!$B$72,Model!X$1,'Assumptions (NG Midstream)'!$B$75,Model!$Z$249)</f>
        <v>-6.7188202109693382E-2</v>
      </c>
      <c r="AB275" s="377">
        <f>PPMT('Assumptions (NG Midstream)'!$B$72,Model!Y$1,'Assumptions (NG Midstream)'!$B$75,Model!$Z$249)</f>
        <v>-7.2227317267920393E-2</v>
      </c>
      <c r="AC275" s="377">
        <f>PPMT('Assumptions (NG Midstream)'!$B$72,Model!Z$1,'Assumptions (NG Midstream)'!$B$75,Model!$Z$249)</f>
        <v>-7.7644366063014419E-2</v>
      </c>
      <c r="AD275" s="377">
        <f>PPMT('Assumptions (NG Midstream)'!$B$72,Model!AA$1,'Assumptions (NG Midstream)'!$B$75,Model!$Z$249)</f>
        <v>-8.3467693517740499E-2</v>
      </c>
      <c r="AE275" s="377">
        <f>PPMT('Assumptions (NG Midstream)'!$B$72,Model!AB$1,'Assumptions (NG Midstream)'!$B$75,Model!$Z$249)</f>
        <v>-8.9727770531571036E-2</v>
      </c>
      <c r="AF275" s="377">
        <f>PPMT('Assumptions (NG Midstream)'!$B$72,Model!AC$1,'Assumptions (NG Midstream)'!$B$75,Model!$Z$249)</f>
        <v>-9.6457353321438857E-2</v>
      </c>
      <c r="AG275" s="377">
        <f>PPMT('Assumptions (NG Midstream)'!$B$72,Model!AD$1,'Assumptions (NG Midstream)'!$B$75,Model!$Z$249)</f>
        <v>-0.10369165482054676</v>
      </c>
      <c r="AH275" s="377">
        <f>PPMT('Assumptions (NG Midstream)'!$B$72,Model!AE$1,'Assumptions (NG Midstream)'!$B$75,Model!$Z$249)</f>
        <v>-0.11146852893208779</v>
      </c>
      <c r="AI275" s="377">
        <f>PPMT('Assumptions (NG Midstream)'!$B$72,Model!AF$1,'Assumptions (NG Midstream)'!$B$75,Model!$Z$249)</f>
        <v>-0.11982866860199437</v>
      </c>
      <c r="AJ275" s="377">
        <f>PPMT('Assumptions (NG Midstream)'!$B$72,Model!AG$1,'Assumptions (NG Midstream)'!$B$75,Model!$Z$249)</f>
        <v>-0.12881581874714393</v>
      </c>
      <c r="AK275" s="377">
        <f>PPMT('Assumptions (NG Midstream)'!$B$72,Model!AH$1,'Assumptions (NG Midstream)'!$B$75,Model!$Z$249)</f>
        <v>-0.13847700515317973</v>
      </c>
      <c r="AL275" s="377">
        <f>PPMT('Assumptions (NG Midstream)'!$B$72,Model!AI$1,'Assumptions (NG Midstream)'!$B$75,Model!$Z$249)</f>
        <v>-0.14886278053966823</v>
      </c>
      <c r="AM275" s="377">
        <f>PPMT('Assumptions (NG Midstream)'!$B$72,Model!AJ$1,'Assumptions (NG Midstream)'!$B$75,Model!$Z$249)</f>
        <v>-0.16002748908014336</v>
      </c>
      <c r="AN275" s="377">
        <f>PPMT('Assumptions (NG Midstream)'!$B$72,Model!AK$1,'Assumptions (NG Midstream)'!$B$75,Model!$Z$249)</f>
        <v>-0.17202955076115409</v>
      </c>
      <c r="AO275" s="377" t="e">
        <f>PPMT('Assumptions (NG Midstream)'!$B$72,Model!AL$1,'Assumptions (NG Midstream)'!$B$75,Model!$Z$249)</f>
        <v>#NUM!</v>
      </c>
      <c r="AP275" s="377" t="e">
        <f>PPMT('Assumptions (NG Midstream)'!$B$72,Model!AM$1,'Assumptions (NG Midstream)'!$B$75,Model!$Z$249)</f>
        <v>#NUM!</v>
      </c>
      <c r="AQ275" s="377" t="e">
        <f>PPMT('Assumptions (NG Midstream)'!$B$72,Model!AN$1,'Assumptions (NG Midstream)'!$B$75,Model!$Z$249)</f>
        <v>#NUM!</v>
      </c>
      <c r="AR275" s="377" t="e">
        <f>PPMT('Assumptions (NG Midstream)'!$B$72,Model!AO$1,'Assumptions (NG Midstream)'!$B$75,Model!$Z$249)</f>
        <v>#NUM!</v>
      </c>
      <c r="AS275" s="377" t="e">
        <f>PPMT('Assumptions (NG Midstream)'!$B$72,Model!AP$1,'Assumptions (NG Midstream)'!$B$75,Model!$Z$249)</f>
        <v>#NUM!</v>
      </c>
      <c r="AT275" s="377" t="e">
        <f>PPMT('Assumptions (NG Midstream)'!$B$72,Model!AQ$1,'Assumptions (NG Midstream)'!$B$75,Model!$Z$249)</f>
        <v>#NUM!</v>
      </c>
      <c r="AU275" s="377" t="e">
        <f>PPMT('Assumptions (NG Midstream)'!$B$72,Model!AR$1,'Assumptions (NG Midstream)'!$B$75,Model!$Z$249)</f>
        <v>#NUM!</v>
      </c>
      <c r="AV275" s="377" t="e">
        <f>PPMT('Assumptions (NG Midstream)'!$B$72,Model!AS$1,'Assumptions (NG Midstream)'!$B$75,Model!$Z$249)</f>
        <v>#NUM!</v>
      </c>
      <c r="AW275" s="377" t="e">
        <f>PPMT('Assumptions (NG Midstream)'!$B$72,Model!AT$1,'Assumptions (NG Midstream)'!$B$75,Model!$Z$249)</f>
        <v>#NUM!</v>
      </c>
      <c r="AX275" s="377" t="e">
        <f>PPMT('Assumptions (NG Midstream)'!$B$72,Model!AU$1,'Assumptions (NG Midstream)'!$B$75,Model!$Z$249)</f>
        <v>#NUM!</v>
      </c>
    </row>
    <row r="276" spans="1:63" ht="15.75" hidden="1" customHeight="1" outlineLevel="1">
      <c r="A276" s="365"/>
      <c r="B276" s="99"/>
      <c r="C276" s="377"/>
      <c r="D276" s="377"/>
      <c r="E276" s="377"/>
      <c r="F276" s="377"/>
      <c r="G276" s="377"/>
      <c r="H276" s="377"/>
      <c r="I276" s="377"/>
      <c r="J276" s="377"/>
      <c r="K276" s="377"/>
      <c r="L276" s="377"/>
      <c r="M276" s="377"/>
      <c r="N276" s="377"/>
      <c r="O276" s="377"/>
      <c r="P276" s="377"/>
      <c r="Q276" s="377"/>
      <c r="R276" s="377"/>
      <c r="S276" s="42"/>
      <c r="T276" s="42"/>
      <c r="U276" s="42"/>
      <c r="V276" s="42"/>
      <c r="W276" s="86"/>
      <c r="AA276" s="377">
        <f>PPMT('Assumptions (NG Midstream)'!$B$72,Model!W$1,'Assumptions (NG Midstream)'!$B$75,Model!$AA$249)</f>
        <v>-6.286498798752628E-2</v>
      </c>
      <c r="AB276" s="377">
        <f>PPMT('Assumptions (NG Midstream)'!$B$72,Model!X$1,'Assumptions (NG Midstream)'!$B$75,Model!$AA$249)</f>
        <v>-6.7579862086590753E-2</v>
      </c>
      <c r="AC276" s="377">
        <f>PPMT('Assumptions (NG Midstream)'!$B$72,Model!Y$1,'Assumptions (NG Midstream)'!$B$75,Model!$AA$249)</f>
        <v>-7.2648351743085066E-2</v>
      </c>
      <c r="AD276" s="377">
        <f>PPMT('Assumptions (NG Midstream)'!$B$72,Model!Z$1,'Assumptions (NG Midstream)'!$B$75,Model!$AA$249)</f>
        <v>-7.8096978123816441E-2</v>
      </c>
      <c r="AE276" s="377">
        <f>PPMT('Assumptions (NG Midstream)'!$B$72,Model!AA$1,'Assumptions (NG Midstream)'!$B$75,Model!$AA$249)</f>
        <v>-8.3954251483102663E-2</v>
      </c>
      <c r="AF276" s="377">
        <f>PPMT('Assumptions (NG Midstream)'!$B$72,Model!AB$1,'Assumptions (NG Midstream)'!$B$75,Model!$AA$249)</f>
        <v>-9.0250820344335375E-2</v>
      </c>
      <c r="AG276" s="377">
        <f>PPMT('Assumptions (NG Midstream)'!$B$72,Model!AC$1,'Assumptions (NG Midstream)'!$B$75,Model!$AA$249)</f>
        <v>-9.7019631870160522E-2</v>
      </c>
      <c r="AH276" s="377">
        <f>PPMT('Assumptions (NG Midstream)'!$B$72,Model!AD$1,'Assumptions (NG Midstream)'!$B$75,Model!$AA$249)</f>
        <v>-0.10429610426042256</v>
      </c>
      <c r="AI276" s="377">
        <f>PPMT('Assumptions (NG Midstream)'!$B$72,Model!AE$1,'Assumptions (NG Midstream)'!$B$75,Model!$AA$249)</f>
        <v>-0.11211831207995428</v>
      </c>
      <c r="AJ276" s="377">
        <f>PPMT('Assumptions (NG Midstream)'!$B$72,Model!AF$1,'Assumptions (NG Midstream)'!$B$75,Model!$AA$249)</f>
        <v>-0.12052718548595084</v>
      </c>
      <c r="AK276" s="377">
        <f>PPMT('Assumptions (NG Midstream)'!$B$72,Model!AG$1,'Assumptions (NG Midstream)'!$B$75,Model!$AA$249)</f>
        <v>-0.12956672439739714</v>
      </c>
      <c r="AL276" s="377">
        <f>PPMT('Assumptions (NG Midstream)'!$B$72,Model!AH$1,'Assumptions (NG Midstream)'!$B$75,Model!$AA$249)</f>
        <v>-0.13928422872720192</v>
      </c>
      <c r="AM276" s="377">
        <f>PPMT('Assumptions (NG Midstream)'!$B$72,Model!AI$1,'Assumptions (NG Midstream)'!$B$75,Model!$AA$249)</f>
        <v>-0.14973054588174206</v>
      </c>
      <c r="AN276" s="377">
        <f>PPMT('Assumptions (NG Midstream)'!$B$72,Model!AJ$1,'Assumptions (NG Midstream)'!$B$75,Model!$AA$249)</f>
        <v>-0.16096033682287275</v>
      </c>
      <c r="AO276" s="377">
        <f>PPMT('Assumptions (NG Midstream)'!$B$72,Model!AK$1,'Assumptions (NG Midstream)'!$B$75,Model!$AA$249)</f>
        <v>-0.17303236208458819</v>
      </c>
      <c r="AP276" s="377" t="e">
        <f>PPMT('Assumptions (NG Midstream)'!$B$72,Model!AL$1,'Assumptions (NG Midstream)'!$B$75,Model!$AA$249)</f>
        <v>#NUM!</v>
      </c>
      <c r="AQ276" s="377" t="e">
        <f>PPMT('Assumptions (NG Midstream)'!$B$72,Model!AM$1,'Assumptions (NG Midstream)'!$B$75,Model!$AA$249)</f>
        <v>#NUM!</v>
      </c>
      <c r="AR276" s="377" t="e">
        <f>PPMT('Assumptions (NG Midstream)'!$B$72,Model!AN$1,'Assumptions (NG Midstream)'!$B$75,Model!$AA$249)</f>
        <v>#NUM!</v>
      </c>
      <c r="AS276" s="377" t="e">
        <f>PPMT('Assumptions (NG Midstream)'!$B$72,Model!AO$1,'Assumptions (NG Midstream)'!$B$75,Model!$AA$249)</f>
        <v>#NUM!</v>
      </c>
      <c r="AT276" s="377" t="e">
        <f>PPMT('Assumptions (NG Midstream)'!$B$72,Model!AP$1,'Assumptions (NG Midstream)'!$B$75,Model!$AA$249)</f>
        <v>#NUM!</v>
      </c>
      <c r="AU276" s="377" t="e">
        <f>PPMT('Assumptions (NG Midstream)'!$B$72,Model!AQ$1,'Assumptions (NG Midstream)'!$B$75,Model!$AA$249)</f>
        <v>#NUM!</v>
      </c>
      <c r="AV276" s="377" t="e">
        <f>PPMT('Assumptions (NG Midstream)'!$B$72,Model!AR$1,'Assumptions (NG Midstream)'!$B$75,Model!$AA$249)</f>
        <v>#NUM!</v>
      </c>
      <c r="AW276" s="377" t="e">
        <f>PPMT('Assumptions (NG Midstream)'!$B$72,Model!AS$1,'Assumptions (NG Midstream)'!$B$75,Model!$AA$249)</f>
        <v>#NUM!</v>
      </c>
      <c r="AX276" s="377" t="e">
        <f>PPMT('Assumptions (NG Midstream)'!$B$72,Model!AT$1,'Assumptions (NG Midstream)'!$B$75,Model!$AA$249)</f>
        <v>#NUM!</v>
      </c>
      <c r="AY276" s="377" t="e">
        <f>PPMT('Assumptions (NG Midstream)'!$B$72,Model!AU$1,'Assumptions (NG Midstream)'!$B$75,Model!$AA$249)</f>
        <v>#NUM!</v>
      </c>
    </row>
    <row r="277" spans="1:63" ht="15.75" hidden="1" customHeight="1" outlineLevel="1">
      <c r="A277" s="365"/>
      <c r="B277" s="99"/>
      <c r="C277" s="377"/>
      <c r="D277" s="377"/>
      <c r="E277" s="377"/>
      <c r="F277" s="377"/>
      <c r="G277" s="377"/>
      <c r="H277" s="377"/>
      <c r="I277" s="377"/>
      <c r="J277" s="377"/>
      <c r="K277" s="377"/>
      <c r="L277" s="377"/>
      <c r="M277" s="377"/>
      <c r="N277" s="377"/>
      <c r="O277" s="377"/>
      <c r="P277" s="377"/>
      <c r="Q277" s="377"/>
      <c r="R277" s="377"/>
      <c r="S277" s="42"/>
      <c r="T277" s="42"/>
      <c r="U277" s="42"/>
      <c r="V277" s="42"/>
      <c r="W277" s="86"/>
      <c r="AB277" s="377">
        <f>PPMT('Assumptions (NG Midstream)'!$B$72,Model!W$1,'Assumptions (NG Midstream)'!$B$75,Model!$AB$249)</f>
        <v>-5.9288392416288832E-2</v>
      </c>
      <c r="AC277" s="377">
        <f>PPMT('Assumptions (NG Midstream)'!$B$72,Model!X$1,'Assumptions (NG Midstream)'!$B$75,Model!$AB$249)</f>
        <v>-6.3735021847510495E-2</v>
      </c>
      <c r="AD277" s="377">
        <f>PPMT('Assumptions (NG Midstream)'!$B$72,Model!Y$1,'Assumptions (NG Midstream)'!$B$75,Model!$AB$249)</f>
        <v>-6.851514848607379E-2</v>
      </c>
      <c r="AE277" s="377">
        <f>PPMT('Assumptions (NG Midstream)'!$B$72,Model!Z$1,'Assumptions (NG Midstream)'!$B$75,Model!$AB$249)</f>
        <v>-7.365378462252932E-2</v>
      </c>
      <c r="AF277" s="377">
        <f>PPMT('Assumptions (NG Midstream)'!$B$72,Model!AA$1,'Assumptions (NG Midstream)'!$B$75,Model!$AB$249)</f>
        <v>-7.9177818469218994E-2</v>
      </c>
      <c r="AG277" s="377">
        <f>PPMT('Assumptions (NG Midstream)'!$B$72,Model!AB$1,'Assumptions (NG Midstream)'!$B$75,Model!$AB$249)</f>
        <v>-8.5116154854410431E-2</v>
      </c>
      <c r="AH277" s="377">
        <f>PPMT('Assumptions (NG Midstream)'!$B$72,Model!AC$1,'Assumptions (NG Midstream)'!$B$75,Model!$AB$249)</f>
        <v>-9.1499866468491217E-2</v>
      </c>
      <c r="AI277" s="377">
        <f>PPMT('Assumptions (NG Midstream)'!$B$72,Model!AD$1,'Assumptions (NG Midstream)'!$B$75,Model!$AB$249)</f>
        <v>-9.836235645362805E-2</v>
      </c>
      <c r="AJ277" s="377">
        <f>PPMT('Assumptions (NG Midstream)'!$B$72,Model!AE$1,'Assumptions (NG Midstream)'!$B$75,Model!$AB$249)</f>
        <v>-0.10573953318765017</v>
      </c>
      <c r="AK277" s="377">
        <f>PPMT('Assumptions (NG Midstream)'!$B$72,Model!AF$1,'Assumptions (NG Midstream)'!$B$75,Model!$AB$249)</f>
        <v>-0.11366999817672394</v>
      </c>
      <c r="AL277" s="377">
        <f>PPMT('Assumptions (NG Midstream)'!$B$72,Model!AG$1,'Assumptions (NG Midstream)'!$B$75,Model!$AB$249)</f>
        <v>-0.12219524803997822</v>
      </c>
      <c r="AM277" s="377">
        <f>PPMT('Assumptions (NG Midstream)'!$B$72,Model!AH$1,'Assumptions (NG Midstream)'!$B$75,Model!$AB$249)</f>
        <v>-0.13135989164297657</v>
      </c>
      <c r="AN277" s="377">
        <f>PPMT('Assumptions (NG Midstream)'!$B$72,Model!AI$1,'Assumptions (NG Midstream)'!$B$75,Model!$AB$249)</f>
        <v>-0.14121188351619984</v>
      </c>
      <c r="AO277" s="377">
        <f>PPMT('Assumptions (NG Midstream)'!$B$72,Model!AJ$1,'Assumptions (NG Midstream)'!$B$75,Model!$AB$249)</f>
        <v>-0.15180277477991483</v>
      </c>
      <c r="AP277" s="377">
        <f>PPMT('Assumptions (NG Midstream)'!$B$72,Model!AK$1,'Assumptions (NG Midstream)'!$B$75,Model!$AB$249)</f>
        <v>-0.16318798288840841</v>
      </c>
      <c r="AQ277" s="377" t="e">
        <f>PPMT('Assumptions (NG Midstream)'!$B$72,Model!AL$1,'Assumptions (NG Midstream)'!$B$75,Model!$AB$249)</f>
        <v>#NUM!</v>
      </c>
      <c r="AR277" s="377" t="e">
        <f>PPMT('Assumptions (NG Midstream)'!$B$72,Model!AM$1,'Assumptions (NG Midstream)'!$B$75,Model!$AB$249)</f>
        <v>#NUM!</v>
      </c>
      <c r="AS277" s="377" t="e">
        <f>PPMT('Assumptions (NG Midstream)'!$B$72,Model!AN$1,'Assumptions (NG Midstream)'!$B$75,Model!$AB$249)</f>
        <v>#NUM!</v>
      </c>
      <c r="AT277" s="377" t="e">
        <f>PPMT('Assumptions (NG Midstream)'!$B$72,Model!AO$1,'Assumptions (NG Midstream)'!$B$75,Model!$AB$249)</f>
        <v>#NUM!</v>
      </c>
      <c r="AU277" s="377" t="e">
        <f>PPMT('Assumptions (NG Midstream)'!$B$72,Model!AP$1,'Assumptions (NG Midstream)'!$B$75,Model!$AB$249)</f>
        <v>#NUM!</v>
      </c>
      <c r="AV277" s="377" t="e">
        <f>PPMT('Assumptions (NG Midstream)'!$B$72,Model!AQ$1,'Assumptions (NG Midstream)'!$B$75,Model!$AB$249)</f>
        <v>#NUM!</v>
      </c>
      <c r="AW277" s="377" t="e">
        <f>PPMT('Assumptions (NG Midstream)'!$B$72,Model!AR$1,'Assumptions (NG Midstream)'!$B$75,Model!$AB$249)</f>
        <v>#NUM!</v>
      </c>
      <c r="AX277" s="377" t="e">
        <f>PPMT('Assumptions (NG Midstream)'!$B$72,Model!AS$1,'Assumptions (NG Midstream)'!$B$75,Model!$AB$249)</f>
        <v>#NUM!</v>
      </c>
      <c r="AY277" s="377" t="e">
        <f>PPMT('Assumptions (NG Midstream)'!$B$72,Model!AT$1,'Assumptions (NG Midstream)'!$B$75,Model!$AB$249)</f>
        <v>#NUM!</v>
      </c>
      <c r="AZ277" s="377" t="e">
        <f>PPMT('Assumptions (NG Midstream)'!$B$72,Model!AU$1,'Assumptions (NG Midstream)'!$B$75,Model!$AB$249)</f>
        <v>#NUM!</v>
      </c>
    </row>
    <row r="278" spans="1:63" ht="15.75" hidden="1" customHeight="1" outlineLevel="1">
      <c r="A278" s="365"/>
      <c r="B278" s="99"/>
      <c r="C278" s="377"/>
      <c r="D278" s="377"/>
      <c r="E278" s="377"/>
      <c r="F278" s="377"/>
      <c r="G278" s="377"/>
      <c r="H278" s="377"/>
      <c r="I278" s="377"/>
      <c r="J278" s="377"/>
      <c r="K278" s="377"/>
      <c r="L278" s="377"/>
      <c r="M278" s="377"/>
      <c r="N278" s="377"/>
      <c r="O278" s="377"/>
      <c r="P278" s="377"/>
      <c r="Q278" s="377"/>
      <c r="R278" s="377"/>
      <c r="S278" s="42"/>
      <c r="T278" s="42"/>
      <c r="U278" s="42"/>
      <c r="V278" s="42"/>
      <c r="W278" s="86"/>
      <c r="AC278" s="377">
        <f>PPMT('Assumptions (NG Midstream)'!$B$72,Model!W$1,'Assumptions (NG Midstream)'!$B$75,Model!$AC$249)</f>
        <v>-4.9877296541443718E-2</v>
      </c>
      <c r="AD278" s="377">
        <f>PPMT('Assumptions (NG Midstream)'!$B$72,Model!X$1,'Assumptions (NG Midstream)'!$B$75,Model!$AC$249)</f>
        <v>-5.3618093782051991E-2</v>
      </c>
      <c r="AE278" s="377">
        <f>PPMT('Assumptions (NG Midstream)'!$B$72,Model!Y$1,'Assumptions (NG Midstream)'!$B$75,Model!$AC$249)</f>
        <v>-5.7639450815705894E-2</v>
      </c>
      <c r="AF278" s="377">
        <f>PPMT('Assumptions (NG Midstream)'!$B$72,Model!Z$1,'Assumptions (NG Midstream)'!$B$75,Model!$AC$249)</f>
        <v>-6.1962409626883833E-2</v>
      </c>
      <c r="AG278" s="377">
        <f>PPMT('Assumptions (NG Midstream)'!$B$72,Model!AA$1,'Assumptions (NG Midstream)'!$B$75,Model!$AC$249)</f>
        <v>-6.6609590348900113E-2</v>
      </c>
      <c r="AH278" s="377">
        <f>PPMT('Assumptions (NG Midstream)'!$B$72,Model!AB$1,'Assumptions (NG Midstream)'!$B$75,Model!$AC$249)</f>
        <v>-7.1605309625067629E-2</v>
      </c>
      <c r="AI278" s="377">
        <f>PPMT('Assumptions (NG Midstream)'!$B$72,Model!AC$1,'Assumptions (NG Midstream)'!$B$75,Model!$AC$249)</f>
        <v>-7.6975707846947697E-2</v>
      </c>
      <c r="AJ278" s="377">
        <f>PPMT('Assumptions (NG Midstream)'!$B$72,Model!AD$1,'Assumptions (NG Midstream)'!$B$75,Model!$AC$249)</f>
        <v>-8.2748885935468766E-2</v>
      </c>
      <c r="AK278" s="377">
        <f>PPMT('Assumptions (NG Midstream)'!$B$72,Model!AE$1,'Assumptions (NG Midstream)'!$B$75,Model!$AC$249)</f>
        <v>-8.8955052380628938E-2</v>
      </c>
      <c r="AL278" s="377">
        <f>PPMT('Assumptions (NG Midstream)'!$B$72,Model!AF$1,'Assumptions (NG Midstream)'!$B$75,Model!$AC$249)</f>
        <v>-9.5626681309176106E-2</v>
      </c>
      <c r="AM278" s="377">
        <f>PPMT('Assumptions (NG Midstream)'!$B$72,Model!AG$1,'Assumptions (NG Midstream)'!$B$75,Model!$AC$249)</f>
        <v>-0.1027986824073643</v>
      </c>
      <c r="AN278" s="377">
        <f>PPMT('Assumptions (NG Midstream)'!$B$72,Model!AH$1,'Assumptions (NG Midstream)'!$B$75,Model!$AC$249)</f>
        <v>-0.11050858358791663</v>
      </c>
      <c r="AO278" s="377">
        <f>PPMT('Assumptions (NG Midstream)'!$B$72,Model!AI$1,'Assumptions (NG Midstream)'!$B$75,Model!$AC$249)</f>
        <v>-0.11879672735701038</v>
      </c>
      <c r="AP278" s="377">
        <f>PPMT('Assumptions (NG Midstream)'!$B$72,Model!AJ$1,'Assumptions (NG Midstream)'!$B$75,Model!$AC$249)</f>
        <v>-0.12770648190878617</v>
      </c>
      <c r="AQ278" s="377">
        <f>PPMT('Assumptions (NG Midstream)'!$B$72,Model!AK$1,'Assumptions (NG Midstream)'!$B$75,Model!$AC$249)</f>
        <v>-0.13728446805194514</v>
      </c>
      <c r="AR278" s="377" t="e">
        <f>PPMT('Assumptions (NG Midstream)'!$B$72,Model!AL$1,'Assumptions (NG Midstream)'!$B$75,Model!$AC$249)</f>
        <v>#NUM!</v>
      </c>
      <c r="AS278" s="377" t="e">
        <f>PPMT('Assumptions (NG Midstream)'!$B$72,Model!AM$1,'Assumptions (NG Midstream)'!$B$75,Model!$AC$249)</f>
        <v>#NUM!</v>
      </c>
      <c r="AT278" s="377" t="e">
        <f>PPMT('Assumptions (NG Midstream)'!$B$72,Model!AN$1,'Assumptions (NG Midstream)'!$B$75,Model!$AC$249)</f>
        <v>#NUM!</v>
      </c>
      <c r="AU278" s="377" t="e">
        <f>PPMT('Assumptions (NG Midstream)'!$B$72,Model!AO$1,'Assumptions (NG Midstream)'!$B$75,Model!$AC$249)</f>
        <v>#NUM!</v>
      </c>
      <c r="AV278" s="377" t="e">
        <f>PPMT('Assumptions (NG Midstream)'!$B$72,Model!AP$1,'Assumptions (NG Midstream)'!$B$75,Model!$AC$249)</f>
        <v>#NUM!</v>
      </c>
      <c r="AW278" s="377" t="e">
        <f>PPMT('Assumptions (NG Midstream)'!$B$72,Model!AQ$1,'Assumptions (NG Midstream)'!$B$75,Model!$AC$249)</f>
        <v>#NUM!</v>
      </c>
      <c r="AX278" s="377" t="e">
        <f>PPMT('Assumptions (NG Midstream)'!$B$72,Model!AR$1,'Assumptions (NG Midstream)'!$B$75,Model!$AC$249)</f>
        <v>#NUM!</v>
      </c>
      <c r="AY278" s="377" t="e">
        <f>PPMT('Assumptions (NG Midstream)'!$B$72,Model!AS$1,'Assumptions (NG Midstream)'!$B$75,Model!$AC$249)</f>
        <v>#NUM!</v>
      </c>
      <c r="AZ278" s="377" t="e">
        <f>PPMT('Assumptions (NG Midstream)'!$B$72,Model!AT$1,'Assumptions (NG Midstream)'!$B$75,Model!$AC$249)</f>
        <v>#NUM!</v>
      </c>
      <c r="BA278" s="377" t="e">
        <f>PPMT('Assumptions (NG Midstream)'!$B$72,Model!AU$1,'Assumptions (NG Midstream)'!$B$75,Model!$AC$249)</f>
        <v>#NUM!</v>
      </c>
    </row>
    <row r="279" spans="1:63" ht="15.75" hidden="1" customHeight="1" outlineLevel="1">
      <c r="A279" s="365"/>
      <c r="B279" s="99"/>
      <c r="C279" s="377"/>
      <c r="D279" s="377"/>
      <c r="E279" s="377"/>
      <c r="F279" s="377"/>
      <c r="G279" s="377"/>
      <c r="H279" s="377"/>
      <c r="I279" s="377"/>
      <c r="J279" s="377"/>
      <c r="K279" s="377"/>
      <c r="L279" s="377"/>
      <c r="M279" s="377"/>
      <c r="N279" s="377"/>
      <c r="O279" s="377"/>
      <c r="P279" s="377"/>
      <c r="Q279" s="377"/>
      <c r="R279" s="377"/>
      <c r="S279" s="42"/>
      <c r="T279" s="42"/>
      <c r="U279" s="42"/>
      <c r="V279" s="42"/>
      <c r="W279" s="86"/>
      <c r="AD279" s="377">
        <f>PPMT('Assumptions (NG Midstream)'!$B$72,Model!W$1,'Assumptions (NG Midstream)'!$B$75,Model!$AD$249)</f>
        <v>-4.7597087051790228E-2</v>
      </c>
      <c r="AE279" s="377">
        <f>PPMT('Assumptions (NG Midstream)'!$B$72,Model!X$1,'Assumptions (NG Midstream)'!$B$75,Model!$AD$249)</f>
        <v>-5.1166868580674492E-2</v>
      </c>
      <c r="AF279" s="377">
        <f>PPMT('Assumptions (NG Midstream)'!$B$72,Model!Y$1,'Assumptions (NG Midstream)'!$B$75,Model!$AD$249)</f>
        <v>-5.500438372422508E-2</v>
      </c>
      <c r="AG279" s="377">
        <f>PPMT('Assumptions (NG Midstream)'!$B$72,Model!Z$1,'Assumptions (NG Midstream)'!$B$75,Model!$AD$249)</f>
        <v>-5.9129712503541959E-2</v>
      </c>
      <c r="AH279" s="377">
        <f>PPMT('Assumptions (NG Midstream)'!$B$72,Model!AA$1,'Assumptions (NG Midstream)'!$B$75,Model!$AD$249)</f>
        <v>-6.3564440941307601E-2</v>
      </c>
      <c r="AI279" s="377">
        <f>PPMT('Assumptions (NG Midstream)'!$B$72,Model!AB$1,'Assumptions (NG Midstream)'!$B$75,Model!$AD$249)</f>
        <v>-6.8331774011905669E-2</v>
      </c>
      <c r="AJ279" s="377">
        <f>PPMT('Assumptions (NG Midstream)'!$B$72,Model!AC$1,'Assumptions (NG Midstream)'!$B$75,Model!$AD$249)</f>
        <v>-7.3456657062798608E-2</v>
      </c>
      <c r="AK279" s="377">
        <f>PPMT('Assumptions (NG Midstream)'!$B$72,Model!AD$1,'Assumptions (NG Midstream)'!$B$75,Model!$AD$249)</f>
        <v>-7.8965906342508482E-2</v>
      </c>
      <c r="AL279" s="377">
        <f>PPMT('Assumptions (NG Midstream)'!$B$72,Model!AE$1,'Assumptions (NG Midstream)'!$B$75,Model!$AD$249)</f>
        <v>-8.4888349318196624E-2</v>
      </c>
      <c r="AM279" s="377">
        <f>PPMT('Assumptions (NG Midstream)'!$B$72,Model!AF$1,'Assumptions (NG Midstream)'!$B$75,Model!$AD$249)</f>
        <v>-9.1254975517061382E-2</v>
      </c>
      <c r="AN279" s="377">
        <f>PPMT('Assumptions (NG Midstream)'!$B$72,Model!AG$1,'Assumptions (NG Midstream)'!$B$75,Model!$AD$249)</f>
        <v>-9.8099098680840977E-2</v>
      </c>
      <c r="AO279" s="377">
        <f>PPMT('Assumptions (NG Midstream)'!$B$72,Model!AH$1,'Assumptions (NG Midstream)'!$B$75,Model!$AD$249)</f>
        <v>-0.10545653108190405</v>
      </c>
      <c r="AP279" s="377">
        <f>PPMT('Assumptions (NG Midstream)'!$B$72,Model!AI$1,'Assumptions (NG Midstream)'!$B$75,Model!$AD$249)</f>
        <v>-0.11336577091304686</v>
      </c>
      <c r="AQ279" s="377">
        <f>PPMT('Assumptions (NG Midstream)'!$B$72,Model!AJ$1,'Assumptions (NG Midstream)'!$B$75,Model!$AD$249)</f>
        <v>-0.12186820373152538</v>
      </c>
      <c r="AR279" s="377">
        <f>PPMT('Assumptions (NG Midstream)'!$B$72,Model!AK$1,'Assumptions (NG Midstream)'!$B$75,Model!$AD$249)</f>
        <v>-0.13100831901138979</v>
      </c>
      <c r="AS279" s="377" t="e">
        <f>PPMT('Assumptions (NG Midstream)'!$B$72,Model!AL$1,'Assumptions (NG Midstream)'!$B$75,Model!$AD$249)</f>
        <v>#NUM!</v>
      </c>
      <c r="AT279" s="377" t="e">
        <f>PPMT('Assumptions (NG Midstream)'!$B$72,Model!AM$1,'Assumptions (NG Midstream)'!$B$75,Model!$AD$249)</f>
        <v>#NUM!</v>
      </c>
      <c r="AU279" s="377" t="e">
        <f>PPMT('Assumptions (NG Midstream)'!$B$72,Model!AN$1,'Assumptions (NG Midstream)'!$B$75,Model!$AD$249)</f>
        <v>#NUM!</v>
      </c>
      <c r="AV279" s="377" t="e">
        <f>PPMT('Assumptions (NG Midstream)'!$B$72,Model!AO$1,'Assumptions (NG Midstream)'!$B$75,Model!$AD$249)</f>
        <v>#NUM!</v>
      </c>
      <c r="AW279" s="377" t="e">
        <f>PPMT('Assumptions (NG Midstream)'!$B$72,Model!AP$1,'Assumptions (NG Midstream)'!$B$75,Model!$AD$249)</f>
        <v>#NUM!</v>
      </c>
      <c r="AX279" s="377" t="e">
        <f>PPMT('Assumptions (NG Midstream)'!$B$72,Model!AQ$1,'Assumptions (NG Midstream)'!$B$75,Model!$AD$249)</f>
        <v>#NUM!</v>
      </c>
      <c r="AY279" s="377" t="e">
        <f>PPMT('Assumptions (NG Midstream)'!$B$72,Model!AR$1,'Assumptions (NG Midstream)'!$B$75,Model!$AD$249)</f>
        <v>#NUM!</v>
      </c>
      <c r="AZ279" s="377" t="e">
        <f>PPMT('Assumptions (NG Midstream)'!$B$72,Model!AS$1,'Assumptions (NG Midstream)'!$B$75,Model!$AD$249)</f>
        <v>#NUM!</v>
      </c>
      <c r="BA279" s="377" t="e">
        <f>PPMT('Assumptions (NG Midstream)'!$B$72,Model!AT$1,'Assumptions (NG Midstream)'!$B$75,Model!$AD$249)</f>
        <v>#NUM!</v>
      </c>
      <c r="BB279" s="377" t="e">
        <f>PPMT('Assumptions (NG Midstream)'!$B$72,Model!AU$1,'Assumptions (NG Midstream)'!$B$75,Model!$AD$249)</f>
        <v>#NUM!</v>
      </c>
    </row>
    <row r="280" spans="1:63" ht="15.75" hidden="1" customHeight="1" outlineLevel="1">
      <c r="A280" s="365"/>
      <c r="B280" s="99"/>
      <c r="C280" s="377"/>
      <c r="D280" s="377"/>
      <c r="E280" s="377"/>
      <c r="F280" s="377"/>
      <c r="G280" s="377"/>
      <c r="H280" s="377"/>
      <c r="I280" s="377"/>
      <c r="J280" s="377"/>
      <c r="K280" s="377"/>
      <c r="L280" s="377"/>
      <c r="M280" s="377"/>
      <c r="N280" s="377"/>
      <c r="O280" s="377"/>
      <c r="P280" s="377"/>
      <c r="Q280" s="377"/>
      <c r="R280" s="377"/>
      <c r="S280" s="42"/>
      <c r="T280" s="42"/>
      <c r="U280" s="42"/>
      <c r="V280" s="42"/>
      <c r="W280" s="86"/>
      <c r="AE280" s="377">
        <f>PPMT('Assumptions (NG Midstream)'!$B$72,Model!W$1,'Assumptions (NG Midstream)'!$B$75,Model!$AE$249)</f>
        <v>-4.0488358705644344E-2</v>
      </c>
      <c r="AF280" s="377">
        <f>PPMT('Assumptions (NG Midstream)'!$B$72,Model!X$1,'Assumptions (NG Midstream)'!$B$75,Model!$AE$249)</f>
        <v>-4.3524985608567664E-2</v>
      </c>
      <c r="AG280" s="377">
        <f>PPMT('Assumptions (NG Midstream)'!$B$72,Model!Y$1,'Assumptions (NG Midstream)'!$B$75,Model!$AE$249)</f>
        <v>-4.6789359529210248E-2</v>
      </c>
      <c r="AH280" s="377">
        <f>PPMT('Assumptions (NG Midstream)'!$B$72,Model!Z$1,'Assumptions (NG Midstream)'!$B$75,Model!$AE$249)</f>
        <v>-5.0298561493901009E-2</v>
      </c>
      <c r="AI280" s="377">
        <f>PPMT('Assumptions (NG Midstream)'!$B$72,Model!AA$1,'Assumptions (NG Midstream)'!$B$75,Model!$AE$249)</f>
        <v>-5.4070953605943585E-2</v>
      </c>
      <c r="AJ280" s="377">
        <f>PPMT('Assumptions (NG Midstream)'!$B$72,Model!AB$1,'Assumptions (NG Midstream)'!$B$75,Model!$AE$249)</f>
        <v>-5.8126275126389362E-2</v>
      </c>
      <c r="AK280" s="377">
        <f>PPMT('Assumptions (NG Midstream)'!$B$72,Model!AC$1,'Assumptions (NG Midstream)'!$B$75,Model!$AE$249)</f>
        <v>-6.2485745760868551E-2</v>
      </c>
      <c r="AL280" s="377">
        <f>PPMT('Assumptions (NG Midstream)'!$B$72,Model!AD$1,'Assumptions (NG Midstream)'!$B$75,Model!$AE$249)</f>
        <v>-6.7172176692933697E-2</v>
      </c>
      <c r="AM280" s="377">
        <f>PPMT('Assumptions (NG Midstream)'!$B$72,Model!AE$1,'Assumptions (NG Midstream)'!$B$75,Model!$AE$249)</f>
        <v>-7.221008994490373E-2</v>
      </c>
      <c r="AN280" s="377">
        <f>PPMT('Assumptions (NG Midstream)'!$B$72,Model!AF$1,'Assumptions (NG Midstream)'!$B$75,Model!$AE$249)</f>
        <v>-7.7625846690771508E-2</v>
      </c>
      <c r="AO280" s="377">
        <f>PPMT('Assumptions (NG Midstream)'!$B$72,Model!AG$1,'Assumptions (NG Midstream)'!$B$75,Model!$AE$249)</f>
        <v>-8.3447785192579366E-2</v>
      </c>
      <c r="AP280" s="377">
        <f>PPMT('Assumptions (NG Midstream)'!$B$72,Model!AH$1,'Assumptions (NG Midstream)'!$B$75,Model!$AE$249)</f>
        <v>-8.9706369082022813E-2</v>
      </c>
      <c r="AQ280" s="377">
        <f>PPMT('Assumptions (NG Midstream)'!$B$72,Model!AI$1,'Assumptions (NG Midstream)'!$B$75,Model!$AE$249)</f>
        <v>-9.6434346763174542E-2</v>
      </c>
      <c r="AR280" s="377">
        <f>PPMT('Assumptions (NG Midstream)'!$B$72,Model!AJ$1,'Assumptions (NG Midstream)'!$B$75,Model!$AE$249)</f>
        <v>-0.10366692277041263</v>
      </c>
      <c r="AS280" s="377">
        <f>PPMT('Assumptions (NG Midstream)'!$B$72,Model!AK$1,'Assumptions (NG Midstream)'!$B$75,Model!$AE$249)</f>
        <v>-0.11144194197819357</v>
      </c>
      <c r="AT280" s="377" t="e">
        <f>PPMT('Assumptions (NG Midstream)'!$B$72,Model!AL$1,'Assumptions (NG Midstream)'!$B$75,Model!$AE$249)</f>
        <v>#NUM!</v>
      </c>
      <c r="AU280" s="377" t="e">
        <f>PPMT('Assumptions (NG Midstream)'!$B$72,Model!AM$1,'Assumptions (NG Midstream)'!$B$75,Model!$AE$249)</f>
        <v>#NUM!</v>
      </c>
      <c r="AV280" s="377" t="e">
        <f>PPMT('Assumptions (NG Midstream)'!$B$72,Model!AN$1,'Assumptions (NG Midstream)'!$B$75,Model!$AE$249)</f>
        <v>#NUM!</v>
      </c>
      <c r="AW280" s="377" t="e">
        <f>PPMT('Assumptions (NG Midstream)'!$B$72,Model!AO$1,'Assumptions (NG Midstream)'!$B$75,Model!$AE$249)</f>
        <v>#NUM!</v>
      </c>
      <c r="AX280" s="377" t="e">
        <f>PPMT('Assumptions (NG Midstream)'!$B$72,Model!AP$1,'Assumptions (NG Midstream)'!$B$75,Model!$AE$249)</f>
        <v>#NUM!</v>
      </c>
      <c r="AY280" s="377" t="e">
        <f>PPMT('Assumptions (NG Midstream)'!$B$72,Model!AQ$1,'Assumptions (NG Midstream)'!$B$75,Model!$AE$249)</f>
        <v>#NUM!</v>
      </c>
      <c r="AZ280" s="377" t="e">
        <f>PPMT('Assumptions (NG Midstream)'!$B$72,Model!AR$1,'Assumptions (NG Midstream)'!$B$75,Model!$AE$249)</f>
        <v>#NUM!</v>
      </c>
      <c r="BA280" s="377" t="e">
        <f>PPMT('Assumptions (NG Midstream)'!$B$72,Model!AS$1,'Assumptions (NG Midstream)'!$B$75,Model!$AE$249)</f>
        <v>#NUM!</v>
      </c>
      <c r="BB280" s="377" t="e">
        <f>PPMT('Assumptions (NG Midstream)'!$B$72,Model!AT$1,'Assumptions (NG Midstream)'!$B$75,Model!$AE$249)</f>
        <v>#NUM!</v>
      </c>
      <c r="BC280" s="377" t="e">
        <f>PPMT('Assumptions (NG Midstream)'!$B$72,Model!AU$1,'Assumptions (NG Midstream)'!$B$75,Model!$AE$249)</f>
        <v>#NUM!</v>
      </c>
    </row>
    <row r="281" spans="1:63" ht="15.75" hidden="1" customHeight="1" outlineLevel="1">
      <c r="A281" s="365"/>
      <c r="B281" s="99"/>
      <c r="C281" s="377"/>
      <c r="D281" s="377"/>
      <c r="E281" s="377"/>
      <c r="F281" s="377"/>
      <c r="G281" s="377"/>
      <c r="H281" s="377"/>
      <c r="I281" s="377"/>
      <c r="J281" s="377"/>
      <c r="K281" s="377"/>
      <c r="L281" s="377"/>
      <c r="M281" s="377"/>
      <c r="N281" s="377"/>
      <c r="O281" s="377"/>
      <c r="P281" s="377"/>
      <c r="Q281" s="377"/>
      <c r="R281" s="377"/>
      <c r="S281" s="42"/>
      <c r="T281" s="42"/>
      <c r="U281" s="42"/>
      <c r="V281" s="42"/>
      <c r="W281" s="86"/>
      <c r="AF281" s="377">
        <f>PPMT('Assumptions (NG Midstream)'!$B$72,Model!W$1,'Assumptions (NG Midstream)'!$B$75,Model!$AF$249)</f>
        <v>-3.603400859037393E-2</v>
      </c>
      <c r="AG281" s="377">
        <f>PPMT('Assumptions (NG Midstream)'!$B$72,Model!X$1,'Assumptions (NG Midstream)'!$B$75,Model!$AF$249)</f>
        <v>-3.8736559234651975E-2</v>
      </c>
      <c r="AH281" s="377">
        <f>PPMT('Assumptions (NG Midstream)'!$B$72,Model!Y$1,'Assumptions (NG Midstream)'!$B$75,Model!$AF$249)</f>
        <v>-4.1641801177250873E-2</v>
      </c>
      <c r="AI281" s="377">
        <f>PPMT('Assumptions (NG Midstream)'!$B$72,Model!Z$1,'Assumptions (NG Midstream)'!$B$75,Model!$AF$249)</f>
        <v>-4.4764936265544682E-2</v>
      </c>
      <c r="AJ281" s="377">
        <f>PPMT('Assumptions (NG Midstream)'!$B$72,Model!AA$1,'Assumptions (NG Midstream)'!$B$75,Model!$AF$249)</f>
        <v>-4.8122306485460536E-2</v>
      </c>
      <c r="AK281" s="377">
        <f>PPMT('Assumptions (NG Midstream)'!$B$72,Model!AB$1,'Assumptions (NG Midstream)'!$B$75,Model!$AF$249)</f>
        <v>-5.1731479471870075E-2</v>
      </c>
      <c r="AL281" s="377">
        <f>PPMT('Assumptions (NG Midstream)'!$B$72,Model!AC$1,'Assumptions (NG Midstream)'!$B$75,Model!$AF$249)</f>
        <v>-5.5611340432260334E-2</v>
      </c>
      <c r="AM281" s="377">
        <f>PPMT('Assumptions (NG Midstream)'!$B$72,Model!AD$1,'Assumptions (NG Midstream)'!$B$75,Model!$AF$249)</f>
        <v>-5.9782190964679856E-2</v>
      </c>
      <c r="AN281" s="377">
        <f>PPMT('Assumptions (NG Midstream)'!$B$72,Model!AE$1,'Assumptions (NG Midstream)'!$B$75,Model!$AF$249)</f>
        <v>-6.4265855287030854E-2</v>
      </c>
      <c r="AO281" s="377">
        <f>PPMT('Assumptions (NG Midstream)'!$B$72,Model!AF$1,'Assumptions (NG Midstream)'!$B$75,Model!$AF$249)</f>
        <v>-6.9085794433558168E-2</v>
      </c>
      <c r="AP281" s="377">
        <f>PPMT('Assumptions (NG Midstream)'!$B$72,Model!AG$1,'Assumptions (NG Midstream)'!$B$75,Model!$AF$249)</f>
        <v>-7.426722901607502E-2</v>
      </c>
      <c r="AQ281" s="377">
        <f>PPMT('Assumptions (NG Midstream)'!$B$72,Model!AH$1,'Assumptions (NG Midstream)'!$B$75,Model!$AF$249)</f>
        <v>-7.9837271192280637E-2</v>
      </c>
      <c r="AR281" s="377">
        <f>PPMT('Assumptions (NG Midstream)'!$B$72,Model!AI$1,'Assumptions (NG Midstream)'!$B$75,Model!$AF$249)</f>
        <v>-8.5825066531701702E-2</v>
      </c>
      <c r="AS281" s="377">
        <f>PPMT('Assumptions (NG Midstream)'!$B$72,Model!AJ$1,'Assumptions (NG Midstream)'!$B$75,Model!$AF$249)</f>
        <v>-9.2261946521579333E-2</v>
      </c>
      <c r="AT281" s="377">
        <f>PPMT('Assumptions (NG Midstream)'!$B$72,Model!AK$1,'Assumptions (NG Midstream)'!$B$75,Model!$AF$249)</f>
        <v>-9.9181592510697775E-2</v>
      </c>
      <c r="AU281" s="377" t="e">
        <f>PPMT('Assumptions (NG Midstream)'!$B$72,Model!AL$1,'Assumptions (NG Midstream)'!$B$75,Model!$AF$249)</f>
        <v>#NUM!</v>
      </c>
      <c r="AV281" s="377" t="e">
        <f>PPMT('Assumptions (NG Midstream)'!$B$72,Model!AM$1,'Assumptions (NG Midstream)'!$B$75,Model!$AF$249)</f>
        <v>#NUM!</v>
      </c>
      <c r="AW281" s="377" t="e">
        <f>PPMT('Assumptions (NG Midstream)'!$B$72,Model!AN$1,'Assumptions (NG Midstream)'!$B$75,Model!$AF$249)</f>
        <v>#NUM!</v>
      </c>
      <c r="AX281" s="377" t="e">
        <f>PPMT('Assumptions (NG Midstream)'!$B$72,Model!AO$1,'Assumptions (NG Midstream)'!$B$75,Model!$AF$249)</f>
        <v>#NUM!</v>
      </c>
      <c r="AY281" s="377" t="e">
        <f>PPMT('Assumptions (NG Midstream)'!$B$72,Model!AP$1,'Assumptions (NG Midstream)'!$B$75,Model!$AF$249)</f>
        <v>#NUM!</v>
      </c>
      <c r="AZ281" s="377" t="e">
        <f>PPMT('Assumptions (NG Midstream)'!$B$72,Model!AQ$1,'Assumptions (NG Midstream)'!$B$75,Model!$AF$249)</f>
        <v>#NUM!</v>
      </c>
      <c r="BA281" s="377" t="e">
        <f>PPMT('Assumptions (NG Midstream)'!$B$72,Model!AR$1,'Assumptions (NG Midstream)'!$B$75,Model!$AF$249)</f>
        <v>#NUM!</v>
      </c>
      <c r="BB281" s="377" t="e">
        <f>PPMT('Assumptions (NG Midstream)'!$B$72,Model!AS$1,'Assumptions (NG Midstream)'!$B$75,Model!$AF$249)</f>
        <v>#NUM!</v>
      </c>
      <c r="BC281" s="377" t="e">
        <f>PPMT('Assumptions (NG Midstream)'!$B$72,Model!AT$1,'Assumptions (NG Midstream)'!$B$75,Model!$AF$249)</f>
        <v>#NUM!</v>
      </c>
      <c r="BD281" s="377" t="e">
        <f>PPMT('Assumptions (NG Midstream)'!$B$72,Model!AU$1,'Assumptions (NG Midstream)'!$B$75,Model!$AF$249)</f>
        <v>#NUM!</v>
      </c>
    </row>
    <row r="282" spans="1:63" ht="15.75" hidden="1" customHeight="1" outlineLevel="1">
      <c r="A282" s="365"/>
      <c r="B282" s="99"/>
      <c r="C282" s="377"/>
      <c r="D282" s="377"/>
      <c r="E282" s="377"/>
      <c r="F282" s="377"/>
      <c r="G282" s="377"/>
      <c r="H282" s="377"/>
      <c r="I282" s="377"/>
      <c r="J282" s="377"/>
      <c r="K282" s="377"/>
      <c r="L282" s="377"/>
      <c r="M282" s="377"/>
      <c r="N282" s="377"/>
      <c r="O282" s="377"/>
      <c r="P282" s="377"/>
      <c r="Q282" s="377"/>
      <c r="R282" s="377"/>
      <c r="S282" s="42"/>
      <c r="T282" s="42"/>
      <c r="U282" s="42"/>
      <c r="V282" s="42"/>
      <c r="W282" s="86"/>
      <c r="AG282" s="377">
        <f>PPMT('Assumptions (NG Midstream)'!$B$72,Model!W$1,'Assumptions (NG Midstream)'!$B$75,Model!$AG$249)</f>
        <v>-4.2110642599724024E-2</v>
      </c>
      <c r="AH282" s="377">
        <f>PPMT('Assumptions (NG Midstream)'!$B$72,Model!X$1,'Assumptions (NG Midstream)'!$B$75,Model!$AG$249)</f>
        <v>-4.5268940794703318E-2</v>
      </c>
      <c r="AI282" s="377">
        <f>PPMT('Assumptions (NG Midstream)'!$B$72,Model!Y$1,'Assumptions (NG Midstream)'!$B$75,Model!$AG$249)</f>
        <v>-4.866411135430608E-2</v>
      </c>
      <c r="AJ282" s="377">
        <f>PPMT('Assumptions (NG Midstream)'!$B$72,Model!Z$1,'Assumptions (NG Midstream)'!$B$75,Model!$AG$249)</f>
        <v>-5.2313919705879022E-2</v>
      </c>
      <c r="AK282" s="377">
        <f>PPMT('Assumptions (NG Midstream)'!$B$72,Model!AA$1,'Assumptions (NG Midstream)'!$B$75,Model!$AG$249)</f>
        <v>-5.6237463683819947E-2</v>
      </c>
      <c r="AL282" s="377">
        <f>PPMT('Assumptions (NG Midstream)'!$B$72,Model!AB$1,'Assumptions (NG Midstream)'!$B$75,Model!$AG$249)</f>
        <v>-6.045527346010645E-2</v>
      </c>
      <c r="AM282" s="377">
        <f>PPMT('Assumptions (NG Midstream)'!$B$72,Model!AC$1,'Assumptions (NG Midstream)'!$B$75,Model!$AG$249)</f>
        <v>-6.4989418969614424E-2</v>
      </c>
      <c r="AN282" s="377">
        <f>PPMT('Assumptions (NG Midstream)'!$B$72,Model!AD$1,'Assumptions (NG Midstream)'!$B$75,Model!$AG$249)</f>
        <v>-6.986362539233551E-2</v>
      </c>
      <c r="AO282" s="377">
        <f>PPMT('Assumptions (NG Midstream)'!$B$72,Model!AE$1,'Assumptions (NG Midstream)'!$B$75,Model!$AG$249)</f>
        <v>-7.5103397296760674E-2</v>
      </c>
      <c r="AP282" s="377">
        <f>PPMT('Assumptions (NG Midstream)'!$B$72,Model!AF$1,'Assumptions (NG Midstream)'!$B$75,Model!$AG$249)</f>
        <v>-8.073615209401773E-2</v>
      </c>
      <c r="AQ282" s="377">
        <f>PPMT('Assumptions (NG Midstream)'!$B$72,Model!AG$1,'Assumptions (NG Midstream)'!$B$75,Model!$AG$249)</f>
        <v>-8.6791363501069044E-2</v>
      </c>
      <c r="AR282" s="377">
        <f>PPMT('Assumptions (NG Midstream)'!$B$72,Model!AH$1,'Assumptions (NG Midstream)'!$B$75,Model!$AG$249)</f>
        <v>-9.3300715763649233E-2</v>
      </c>
      <c r="AS282" s="377">
        <f>PPMT('Assumptions (NG Midstream)'!$B$72,Model!AI$1,'Assumptions (NG Midstream)'!$B$75,Model!$AG$249)</f>
        <v>-0.10029826944592293</v>
      </c>
      <c r="AT282" s="377">
        <f>PPMT('Assumptions (NG Midstream)'!$B$72,Model!AJ$1,'Assumptions (NG Midstream)'!$B$75,Model!$AG$249)</f>
        <v>-0.10782063965436715</v>
      </c>
      <c r="AU282" s="377">
        <f>PPMT('Assumptions (NG Midstream)'!$B$72,Model!AK$1,'Assumptions (NG Midstream)'!$B$75,Model!$AG$249)</f>
        <v>-0.11590718762844468</v>
      </c>
      <c r="AV282" s="377" t="e">
        <f>PPMT('Assumptions (NG Midstream)'!$B$72,Model!AL$1,'Assumptions (NG Midstream)'!$B$75,Model!$AG$249)</f>
        <v>#NUM!</v>
      </c>
      <c r="AW282" s="377" t="e">
        <f>PPMT('Assumptions (NG Midstream)'!$B$72,Model!AM$1,'Assumptions (NG Midstream)'!$B$75,Model!$AG$249)</f>
        <v>#NUM!</v>
      </c>
      <c r="AX282" s="377" t="e">
        <f>PPMT('Assumptions (NG Midstream)'!$B$72,Model!AN$1,'Assumptions (NG Midstream)'!$B$75,Model!$AG$249)</f>
        <v>#NUM!</v>
      </c>
      <c r="AY282" s="377" t="e">
        <f>PPMT('Assumptions (NG Midstream)'!$B$72,Model!AO$1,'Assumptions (NG Midstream)'!$B$75,Model!$AG$249)</f>
        <v>#NUM!</v>
      </c>
      <c r="AZ282" s="377" t="e">
        <f>PPMT('Assumptions (NG Midstream)'!$B$72,Model!AP$1,'Assumptions (NG Midstream)'!$B$75,Model!$AG$249)</f>
        <v>#NUM!</v>
      </c>
      <c r="BA282" s="377" t="e">
        <f>PPMT('Assumptions (NG Midstream)'!$B$72,Model!AQ$1,'Assumptions (NG Midstream)'!$B$75,Model!$AG$249)</f>
        <v>#NUM!</v>
      </c>
      <c r="BB282" s="377" t="e">
        <f>PPMT('Assumptions (NG Midstream)'!$B$72,Model!AR$1,'Assumptions (NG Midstream)'!$B$75,Model!$AG$249)</f>
        <v>#NUM!</v>
      </c>
      <c r="BC282" s="377" t="e">
        <f>PPMT('Assumptions (NG Midstream)'!$B$72,Model!AS$1,'Assumptions (NG Midstream)'!$B$75,Model!$AG$249)</f>
        <v>#NUM!</v>
      </c>
      <c r="BD282" s="377" t="e">
        <f>PPMT('Assumptions (NG Midstream)'!$B$72,Model!AT$1,'Assumptions (NG Midstream)'!$B$75,Model!$AG$249)</f>
        <v>#NUM!</v>
      </c>
      <c r="BE282" s="377" t="e">
        <f>PPMT('Assumptions (NG Midstream)'!$B$72,Model!AU$1,'Assumptions (NG Midstream)'!$B$75,Model!$AG$249)</f>
        <v>#NUM!</v>
      </c>
    </row>
    <row r="283" spans="1:63" ht="15.75" hidden="1" customHeight="1" outlineLevel="1">
      <c r="A283" s="365"/>
      <c r="B283" s="99"/>
      <c r="C283" s="377"/>
      <c r="D283" s="377"/>
      <c r="E283" s="377"/>
      <c r="F283" s="377"/>
      <c r="G283" s="377"/>
      <c r="H283" s="377"/>
      <c r="I283" s="377"/>
      <c r="J283" s="377"/>
      <c r="K283" s="377"/>
      <c r="L283" s="377"/>
      <c r="M283" s="377"/>
      <c r="N283" s="377"/>
      <c r="O283" s="377"/>
      <c r="P283" s="377"/>
      <c r="Q283" s="377"/>
      <c r="R283" s="377"/>
      <c r="S283" s="42"/>
      <c r="T283" s="42"/>
      <c r="U283" s="42"/>
      <c r="V283" s="42"/>
      <c r="W283" s="86"/>
      <c r="AH283" s="377">
        <f>PPMT('Assumptions (NG Midstream)'!$B$72,Model!W$1,'Assumptions (NG Midstream)'!$B$75,Model!$AH$249)</f>
        <v>-4.4315183100137032E-2</v>
      </c>
      <c r="AI283" s="377">
        <f>PPMT('Assumptions (NG Midstream)'!$B$72,Model!X$1,'Assumptions (NG Midstream)'!$B$75,Model!$AH$249)</f>
        <v>-4.763882183264731E-2</v>
      </c>
      <c r="AJ283" s="377">
        <f>PPMT('Assumptions (NG Midstream)'!$B$72,Model!Y$1,'Assumptions (NG Midstream)'!$B$75,Model!$AH$249)</f>
        <v>-5.121173347009586E-2</v>
      </c>
      <c r="AK283" s="377">
        <f>PPMT('Assumptions (NG Midstream)'!$B$72,Model!Z$1,'Assumptions (NG Midstream)'!$B$75,Model!$AH$249)</f>
        <v>-5.5052613480353042E-2</v>
      </c>
      <c r="AL283" s="377">
        <f>PPMT('Assumptions (NG Midstream)'!$B$72,Model!AA$1,'Assumptions (NG Midstream)'!$B$75,Model!$AH$249)</f>
        <v>-5.9181559491379515E-2</v>
      </c>
      <c r="AM283" s="377">
        <f>PPMT('Assumptions (NG Midstream)'!$B$72,Model!AB$1,'Assumptions (NG Midstream)'!$B$75,Model!$AH$249)</f>
        <v>-6.3620176453232993E-2</v>
      </c>
      <c r="AN283" s="377">
        <f>PPMT('Assumptions (NG Midstream)'!$B$72,Model!AC$1,'Assumptions (NG Midstream)'!$B$75,Model!$AH$249)</f>
        <v>-6.8391689687225463E-2</v>
      </c>
      <c r="AO283" s="377">
        <f>PPMT('Assumptions (NG Midstream)'!$B$72,Model!AD$1,'Assumptions (NG Midstream)'!$B$75,Model!$AH$249)</f>
        <v>-7.3521066413767364E-2</v>
      </c>
      <c r="AP283" s="377">
        <f>PPMT('Assumptions (NG Midstream)'!$B$72,Model!AE$1,'Assumptions (NG Midstream)'!$B$75,Model!$AH$249)</f>
        <v>-7.9035146394799929E-2</v>
      </c>
      <c r="AQ283" s="377">
        <f>PPMT('Assumptions (NG Midstream)'!$B$72,Model!AF$1,'Assumptions (NG Midstream)'!$B$75,Model!$AH$249)</f>
        <v>-8.496278237440992E-2</v>
      </c>
      <c r="AR283" s="377">
        <f>PPMT('Assumptions (NG Midstream)'!$B$72,Model!AG$1,'Assumptions (NG Midstream)'!$B$75,Model!$AH$249)</f>
        <v>-9.1334991052490669E-2</v>
      </c>
      <c r="AS283" s="377">
        <f>PPMT('Assumptions (NG Midstream)'!$B$72,Model!AH$1,'Assumptions (NG Midstream)'!$B$75,Model!$AH$249)</f>
        <v>-9.8185115381427449E-2</v>
      </c>
      <c r="AT283" s="377">
        <f>PPMT('Assumptions (NG Midstream)'!$B$72,Model!AI$1,'Assumptions (NG Midstream)'!$B$75,Model!$AH$249)</f>
        <v>-0.10554899903503452</v>
      </c>
      <c r="AU283" s="377">
        <f>PPMT('Assumptions (NG Midstream)'!$B$72,Model!AJ$1,'Assumptions (NG Midstream)'!$B$75,Model!$AH$249)</f>
        <v>-0.11346517396266212</v>
      </c>
      <c r="AV283" s="377">
        <f>PPMT('Assumptions (NG Midstream)'!$B$72,Model!AK$1,'Assumptions (NG Midstream)'!$B$75,Model!$AH$249)</f>
        <v>-0.12197506200986176</v>
      </c>
      <c r="AW283" s="377" t="e">
        <f>PPMT('Assumptions (NG Midstream)'!$B$72,Model!AL$1,'Assumptions (NG Midstream)'!$B$75,Model!$AH$249)</f>
        <v>#NUM!</v>
      </c>
      <c r="AX283" s="377" t="e">
        <f>PPMT('Assumptions (NG Midstream)'!$B$72,Model!AM$1,'Assumptions (NG Midstream)'!$B$75,Model!$AH$249)</f>
        <v>#NUM!</v>
      </c>
      <c r="AY283" s="377" t="e">
        <f>PPMT('Assumptions (NG Midstream)'!$B$72,Model!AN$1,'Assumptions (NG Midstream)'!$B$75,Model!$AH$249)</f>
        <v>#NUM!</v>
      </c>
      <c r="AZ283" s="377" t="e">
        <f>PPMT('Assumptions (NG Midstream)'!$B$72,Model!AO$1,'Assumptions (NG Midstream)'!$B$75,Model!$AH$249)</f>
        <v>#NUM!</v>
      </c>
      <c r="BA283" s="377" t="e">
        <f>PPMT('Assumptions (NG Midstream)'!$B$72,Model!AP$1,'Assumptions (NG Midstream)'!$B$75,Model!$AH$249)</f>
        <v>#NUM!</v>
      </c>
      <c r="BB283" s="377" t="e">
        <f>PPMT('Assumptions (NG Midstream)'!$B$72,Model!AQ$1,'Assumptions (NG Midstream)'!$B$75,Model!$AH$249)</f>
        <v>#NUM!</v>
      </c>
      <c r="BC283" s="377" t="e">
        <f>PPMT('Assumptions (NG Midstream)'!$B$72,Model!AR$1,'Assumptions (NG Midstream)'!$B$75,Model!$AH$249)</f>
        <v>#NUM!</v>
      </c>
      <c r="BD283" s="377" t="e">
        <f>PPMT('Assumptions (NG Midstream)'!$B$72,Model!AS$1,'Assumptions (NG Midstream)'!$B$75,Model!$AH$249)</f>
        <v>#NUM!</v>
      </c>
      <c r="BE283" s="377" t="e">
        <f>PPMT('Assumptions (NG Midstream)'!$B$72,Model!AT$1,'Assumptions (NG Midstream)'!$B$75,Model!$AH$249)</f>
        <v>#NUM!</v>
      </c>
      <c r="BF283" s="377" t="e">
        <f>PPMT('Assumptions (NG Midstream)'!$B$72,Model!AU$1,'Assumptions (NG Midstream)'!$B$75,Model!$AH$249)</f>
        <v>#NUM!</v>
      </c>
    </row>
    <row r="284" spans="1:63" ht="15.75" hidden="1" customHeight="1" outlineLevel="1">
      <c r="A284" s="365"/>
      <c r="B284" s="99"/>
      <c r="C284" s="377"/>
      <c r="D284" s="377"/>
      <c r="E284" s="377"/>
      <c r="F284" s="377"/>
      <c r="G284" s="377"/>
      <c r="H284" s="377"/>
      <c r="I284" s="377"/>
      <c r="J284" s="377"/>
      <c r="K284" s="377"/>
      <c r="L284" s="377"/>
      <c r="M284" s="377"/>
      <c r="N284" s="377"/>
      <c r="O284" s="377"/>
      <c r="P284" s="377"/>
      <c r="Q284" s="377"/>
      <c r="R284" s="377"/>
      <c r="S284" s="42"/>
      <c r="T284" s="42"/>
      <c r="U284" s="42"/>
      <c r="V284" s="42"/>
      <c r="W284" s="86"/>
      <c r="AI284" s="377">
        <f>PPMT('Assumptions (NG Midstream)'!$B$72,Model!W$1,'Assumptions (NG Midstream)'!$B$75,Model!$AI$249)</f>
        <v>-3.6731363437070043E-2</v>
      </c>
      <c r="AJ284" s="377">
        <f>PPMT('Assumptions (NG Midstream)'!$B$72,Model!X$1,'Assumptions (NG Midstream)'!$B$75,Model!$AI$249)</f>
        <v>-3.94862156948503E-2</v>
      </c>
      <c r="AK284" s="377">
        <f>PPMT('Assumptions (NG Midstream)'!$B$72,Model!Y$1,'Assumptions (NG Midstream)'!$B$75,Model!$AI$249)</f>
        <v>-4.2447681871964078E-2</v>
      </c>
      <c r="AL284" s="377">
        <f>PPMT('Assumptions (NG Midstream)'!$B$72,Model!Z$1,'Assumptions (NG Midstream)'!$B$75,Model!$AI$249)</f>
        <v>-4.5631258012361377E-2</v>
      </c>
      <c r="AM284" s="377">
        <f>PPMT('Assumptions (NG Midstream)'!$B$72,Model!AA$1,'Assumptions (NG Midstream)'!$B$75,Model!$AI$249)</f>
        <v>-4.905360236328847E-2</v>
      </c>
      <c r="AN284" s="377">
        <f>PPMT('Assumptions (NG Midstream)'!$B$72,Model!AB$1,'Assumptions (NG Midstream)'!$B$75,Model!$AI$249)</f>
        <v>-5.2732622540535116E-2</v>
      </c>
      <c r="AO284" s="377">
        <f>PPMT('Assumptions (NG Midstream)'!$B$72,Model!AC$1,'Assumptions (NG Midstream)'!$B$75,Model!$AI$249)</f>
        <v>-5.6687569231075249E-2</v>
      </c>
      <c r="AP284" s="377">
        <f>PPMT('Assumptions (NG Midstream)'!$B$72,Model!AD$1,'Assumptions (NG Midstream)'!$B$75,Model!$AI$249)</f>
        <v>-6.0939136923405884E-2</v>
      </c>
      <c r="AQ284" s="377">
        <f>PPMT('Assumptions (NG Midstream)'!$B$72,Model!AE$1,'Assumptions (NG Midstream)'!$B$75,Model!$AI$249)</f>
        <v>-6.5509572192661333E-2</v>
      </c>
      <c r="AR284" s="377">
        <f>PPMT('Assumptions (NG Midstream)'!$B$72,Model!AF$1,'Assumptions (NG Midstream)'!$B$75,Model!$AI$249)</f>
        <v>-7.042279010711093E-2</v>
      </c>
      <c r="AS284" s="377">
        <f>PPMT('Assumptions (NG Midstream)'!$B$72,Model!AG$1,'Assumptions (NG Midstream)'!$B$75,Model!$AI$249)</f>
        <v>-7.5704499365144243E-2</v>
      </c>
      <c r="AT284" s="377">
        <f>PPMT('Assumptions (NG Midstream)'!$B$72,Model!AH$1,'Assumptions (NG Midstream)'!$B$75,Model!$AI$249)</f>
        <v>-8.1382336817530071E-2</v>
      </c>
      <c r="AU284" s="377">
        <f>PPMT('Assumptions (NG Midstream)'!$B$72,Model!AI$1,'Assumptions (NG Midstream)'!$B$75,Model!$AI$249)</f>
        <v>-8.7486012078844821E-2</v>
      </c>
      <c r="AV284" s="377">
        <f>PPMT('Assumptions (NG Midstream)'!$B$72,Model!AJ$1,'Assumptions (NG Midstream)'!$B$75,Model!$AI$249)</f>
        <v>-9.404746298475819E-2</v>
      </c>
      <c r="AW284" s="377">
        <f>PPMT('Assumptions (NG Midstream)'!$B$72,Model!AK$1,'Assumptions (NG Midstream)'!$B$75,Model!$AI$249)</f>
        <v>-0.10110102270861505</v>
      </c>
      <c r="AX284" s="377" t="e">
        <f>PPMT('Assumptions (NG Midstream)'!$B$72,Model!AL$1,'Assumptions (NG Midstream)'!$B$75,Model!$AI$249)</f>
        <v>#NUM!</v>
      </c>
      <c r="AY284" s="377" t="e">
        <f>PPMT('Assumptions (NG Midstream)'!$B$72,Model!AM$1,'Assumptions (NG Midstream)'!$B$75,Model!$AI$249)</f>
        <v>#NUM!</v>
      </c>
      <c r="AZ284" s="377" t="e">
        <f>PPMT('Assumptions (NG Midstream)'!$B$72,Model!AN$1,'Assumptions (NG Midstream)'!$B$75,Model!$AI$249)</f>
        <v>#NUM!</v>
      </c>
      <c r="BA284" s="377" t="e">
        <f>PPMT('Assumptions (NG Midstream)'!$B$72,Model!AO$1,'Assumptions (NG Midstream)'!$B$75,Model!$AI$249)</f>
        <v>#NUM!</v>
      </c>
      <c r="BB284" s="377" t="e">
        <f>PPMT('Assumptions (NG Midstream)'!$B$72,Model!AP$1,'Assumptions (NG Midstream)'!$B$75,Model!$AI$249)</f>
        <v>#NUM!</v>
      </c>
      <c r="BC284" s="377" t="e">
        <f>PPMT('Assumptions (NG Midstream)'!$B$72,Model!AQ$1,'Assumptions (NG Midstream)'!$B$75,Model!$AI$249)</f>
        <v>#NUM!</v>
      </c>
      <c r="BD284" s="377" t="e">
        <f>PPMT('Assumptions (NG Midstream)'!$B$72,Model!AR$1,'Assumptions (NG Midstream)'!$B$75,Model!$AI$249)</f>
        <v>#NUM!</v>
      </c>
      <c r="BE284" s="377" t="e">
        <f>PPMT('Assumptions (NG Midstream)'!$B$72,Model!AS$1,'Assumptions (NG Midstream)'!$B$75,Model!$AI$249)</f>
        <v>#NUM!</v>
      </c>
      <c r="BF284" s="377" t="e">
        <f>PPMT('Assumptions (NG Midstream)'!$B$72,Model!AT$1,'Assumptions (NG Midstream)'!$B$75,Model!$AI$249)</f>
        <v>#NUM!</v>
      </c>
      <c r="BG284" s="377" t="e">
        <f>PPMT('Assumptions (NG Midstream)'!$B$72,Model!AU$1,'Assumptions (NG Midstream)'!$B$75,Model!$AI$249)</f>
        <v>#NUM!</v>
      </c>
    </row>
    <row r="285" spans="1:63" ht="15.75" hidden="1" customHeight="1" outlineLevel="1">
      <c r="A285" s="365"/>
      <c r="B285" s="99"/>
      <c r="C285" s="377"/>
      <c r="D285" s="377"/>
      <c r="E285" s="377"/>
      <c r="F285" s="377"/>
      <c r="G285" s="377"/>
      <c r="H285" s="377"/>
      <c r="I285" s="377"/>
      <c r="J285" s="377"/>
      <c r="K285" s="377"/>
      <c r="L285" s="377"/>
      <c r="M285" s="377"/>
      <c r="N285" s="377"/>
      <c r="O285" s="377"/>
      <c r="P285" s="377"/>
      <c r="Q285" s="377"/>
      <c r="R285" s="377"/>
      <c r="S285" s="42"/>
      <c r="T285" s="42"/>
      <c r="U285" s="42"/>
      <c r="V285" s="42"/>
      <c r="W285" s="86"/>
      <c r="AJ285" s="377">
        <f>PPMT('Assumptions (NG Midstream)'!$B$72,Model!W$1,'Assumptions (NG Midstream)'!$B$75,Model!$AJ$249)</f>
        <v>-4.222160254893545E-2</v>
      </c>
      <c r="AK285" s="377">
        <f>PPMT('Assumptions (NG Midstream)'!$B$72,Model!X$1,'Assumptions (NG Midstream)'!$B$75,Model!$AJ$249)</f>
        <v>-4.5388222740105601E-2</v>
      </c>
      <c r="AL285" s="377">
        <f>PPMT('Assumptions (NG Midstream)'!$B$72,Model!Y$1,'Assumptions (NG Midstream)'!$B$75,Model!$AJ$249)</f>
        <v>-4.8792339445613529E-2</v>
      </c>
      <c r="AM285" s="377">
        <f>PPMT('Assumptions (NG Midstream)'!$B$72,Model!Z$1,'Assumptions (NG Midstream)'!$B$75,Model!$AJ$249)</f>
        <v>-5.2451764904034533E-2</v>
      </c>
      <c r="AN285" s="377">
        <f>PPMT('Assumptions (NG Midstream)'!$B$72,Model!AA$1,'Assumptions (NG Midstream)'!$B$75,Model!$AJ$249)</f>
        <v>-5.6385647271837119E-2</v>
      </c>
      <c r="AO285" s="377">
        <f>PPMT('Assumptions (NG Midstream)'!$B$72,Model!AB$1,'Assumptions (NG Midstream)'!$B$75,Model!$AJ$249)</f>
        <v>-6.0614570817224912E-2</v>
      </c>
      <c r="AP285" s="377">
        <f>PPMT('Assumptions (NG Midstream)'!$B$72,Model!AC$1,'Assumptions (NG Midstream)'!$B$75,Model!$AJ$249)</f>
        <v>-6.5160663628516774E-2</v>
      </c>
      <c r="AQ285" s="377">
        <f>PPMT('Assumptions (NG Midstream)'!$B$72,Model!AD$1,'Assumptions (NG Midstream)'!$B$75,Model!$AJ$249)</f>
        <v>-7.0047713400655534E-2</v>
      </c>
      <c r="AR285" s="377">
        <f>PPMT('Assumptions (NG Midstream)'!$B$72,Model!AE$1,'Assumptions (NG Midstream)'!$B$75,Model!$AJ$249)</f>
        <v>-7.5301291905704712E-2</v>
      </c>
      <c r="AS285" s="377">
        <f>PPMT('Assumptions (NG Midstream)'!$B$72,Model!AF$1,'Assumptions (NG Midstream)'!$B$75,Model!$AJ$249)</f>
        <v>-8.0948888798632559E-2</v>
      </c>
      <c r="AT285" s="377">
        <f>PPMT('Assumptions (NG Midstream)'!$B$72,Model!AG$1,'Assumptions (NG Midstream)'!$B$75,Model!$AJ$249)</f>
        <v>-8.7020055458529991E-2</v>
      </c>
      <c r="AU285" s="377">
        <f>PPMT('Assumptions (NG Midstream)'!$B$72,Model!AH$1,'Assumptions (NG Midstream)'!$B$75,Model!$AJ$249)</f>
        <v>-9.3546559617919745E-2</v>
      </c>
      <c r="AV285" s="377">
        <f>PPMT('Assumptions (NG Midstream)'!$B$72,Model!AI$1,'Assumptions (NG Midstream)'!$B$75,Model!$AJ$249)</f>
        <v>-0.10056255158926372</v>
      </c>
      <c r="AW285" s="377">
        <f>PPMT('Assumptions (NG Midstream)'!$B$72,Model!AJ$1,'Assumptions (NG Midstream)'!$B$75,Model!$AJ$249)</f>
        <v>-0.10810474295845851</v>
      </c>
      <c r="AX285" s="377">
        <f>PPMT('Assumptions (NG Midstream)'!$B$72,Model!AK$1,'Assumptions (NG Midstream)'!$B$75,Model!$AJ$249)</f>
        <v>-0.11621259868034289</v>
      </c>
      <c r="AY285" s="377" t="e">
        <f>PPMT('Assumptions (NG Midstream)'!$B$72,Model!AL$1,'Assumptions (NG Midstream)'!$B$75,Model!$AJ$249)</f>
        <v>#NUM!</v>
      </c>
      <c r="AZ285" s="377" t="e">
        <f>PPMT('Assumptions (NG Midstream)'!$B$72,Model!AM$1,'Assumptions (NG Midstream)'!$B$75,Model!$AJ$249)</f>
        <v>#NUM!</v>
      </c>
      <c r="BA285" s="377" t="e">
        <f>PPMT('Assumptions (NG Midstream)'!$B$72,Model!AN$1,'Assumptions (NG Midstream)'!$B$75,Model!$AJ$249)</f>
        <v>#NUM!</v>
      </c>
      <c r="BB285" s="377" t="e">
        <f>PPMT('Assumptions (NG Midstream)'!$B$72,Model!AO$1,'Assumptions (NG Midstream)'!$B$75,Model!$AJ$249)</f>
        <v>#NUM!</v>
      </c>
      <c r="BC285" s="377" t="e">
        <f>PPMT('Assumptions (NG Midstream)'!$B$72,Model!AP$1,'Assumptions (NG Midstream)'!$B$75,Model!$AJ$249)</f>
        <v>#NUM!</v>
      </c>
      <c r="BD285" s="377" t="e">
        <f>PPMT('Assumptions (NG Midstream)'!$B$72,Model!AQ$1,'Assumptions (NG Midstream)'!$B$75,Model!$AJ$249)</f>
        <v>#NUM!</v>
      </c>
      <c r="BE285" s="377" t="e">
        <f>PPMT('Assumptions (NG Midstream)'!$B$72,Model!AR$1,'Assumptions (NG Midstream)'!$B$75,Model!$AJ$249)</f>
        <v>#NUM!</v>
      </c>
      <c r="BF285" s="377" t="e">
        <f>PPMT('Assumptions (NG Midstream)'!$B$72,Model!AS$1,'Assumptions (NG Midstream)'!$B$75,Model!$AJ$249)</f>
        <v>#NUM!</v>
      </c>
      <c r="BG285" s="377" t="e">
        <f>PPMT('Assumptions (NG Midstream)'!$B$72,Model!AT$1,'Assumptions (NG Midstream)'!$B$75,Model!$AJ$249)</f>
        <v>#NUM!</v>
      </c>
      <c r="BH285" s="377" t="e">
        <f>PPMT('Assumptions (NG Midstream)'!$B$72,Model!AU$1,'Assumptions (NG Midstream)'!$B$75,Model!$AJ$249)</f>
        <v>#NUM!</v>
      </c>
    </row>
    <row r="286" spans="1:63" ht="15.75" hidden="1" customHeight="1" outlineLevel="1">
      <c r="A286" s="365"/>
      <c r="B286" s="99"/>
      <c r="C286" s="377"/>
      <c r="D286" s="377"/>
      <c r="E286" s="377"/>
      <c r="F286" s="377"/>
      <c r="G286" s="377"/>
      <c r="H286" s="377"/>
      <c r="I286" s="377"/>
      <c r="J286" s="377"/>
      <c r="K286" s="377"/>
      <c r="L286" s="377"/>
      <c r="M286" s="377"/>
      <c r="N286" s="377"/>
      <c r="O286" s="377"/>
      <c r="P286" s="377"/>
      <c r="Q286" s="377"/>
      <c r="R286" s="377"/>
      <c r="S286" s="42"/>
      <c r="T286" s="42"/>
      <c r="U286" s="42"/>
      <c r="V286" s="42"/>
      <c r="W286" s="86"/>
      <c r="AK286" s="377">
        <f>PPMT('Assumptions (NG Midstream)'!$B$72,Model!W$1,'Assumptions (NG Midstream)'!$B$75,Model!$AK$249)</f>
        <v>-3.9091299857130279E-2</v>
      </c>
      <c r="AL286" s="377">
        <f>PPMT('Assumptions (NG Midstream)'!$B$72,Model!X$1,'Assumptions (NG Midstream)'!$B$75,Model!$AK$249)</f>
        <v>-4.2023147346415053E-2</v>
      </c>
      <c r="AM286" s="377">
        <f>PPMT('Assumptions (NG Midstream)'!$B$72,Model!Y$1,'Assumptions (NG Midstream)'!$B$75,Model!$AK$249)</f>
        <v>-4.5174883397396191E-2</v>
      </c>
      <c r="AN286" s="377">
        <f>PPMT('Assumptions (NG Midstream)'!$B$72,Model!Z$1,'Assumptions (NG Midstream)'!$B$75,Model!$AK$249)</f>
        <v>-4.85629996522009E-2</v>
      </c>
      <c r="AO286" s="377">
        <f>PPMT('Assumptions (NG Midstream)'!$B$72,Model!AA$1,'Assumptions (NG Midstream)'!$B$75,Model!$AK$249)</f>
        <v>-5.2205224626115959E-2</v>
      </c>
      <c r="AP286" s="377">
        <f>PPMT('Assumptions (NG Midstream)'!$B$72,Model!AB$1,'Assumptions (NG Midstream)'!$B$75,Model!$AK$249)</f>
        <v>-5.6120616473074668E-2</v>
      </c>
      <c r="AQ286" s="377">
        <f>PPMT('Assumptions (NG Midstream)'!$B$72,Model!AC$1,'Assumptions (NG Midstream)'!$B$75,Model!$AK$249)</f>
        <v>-6.0329662708555255E-2</v>
      </c>
      <c r="AR286" s="377">
        <f>PPMT('Assumptions (NG Midstream)'!$B$72,Model!AD$1,'Assumptions (NG Midstream)'!$B$75,Model!$AK$249)</f>
        <v>-6.4854387411696898E-2</v>
      </c>
      <c r="AS286" s="377">
        <f>PPMT('Assumptions (NG Midstream)'!$B$72,Model!AE$1,'Assumptions (NG Midstream)'!$B$75,Model!$AK$249)</f>
        <v>-6.9718466467574181E-2</v>
      </c>
      <c r="AT286" s="377">
        <f>PPMT('Assumptions (NG Midstream)'!$B$72,Model!AF$1,'Assumptions (NG Midstream)'!$B$75,Model!$AK$249)</f>
        <v>-7.4947351452642239E-2</v>
      </c>
      <c r="AU286" s="377">
        <f>PPMT('Assumptions (NG Midstream)'!$B$72,Model!AG$1,'Assumptions (NG Midstream)'!$B$75,Model!$AK$249)</f>
        <v>-8.0568402811590403E-2</v>
      </c>
      <c r="AV286" s="377">
        <f>PPMT('Assumptions (NG Midstream)'!$B$72,Model!AH$1,'Assumptions (NG Midstream)'!$B$75,Model!$AK$249)</f>
        <v>-8.6611033022459677E-2</v>
      </c>
      <c r="AW286" s="377">
        <f>PPMT('Assumptions (NG Midstream)'!$B$72,Model!AI$1,'Assumptions (NG Midstream)'!$B$75,Model!$AK$249)</f>
        <v>-9.310686049914417E-2</v>
      </c>
      <c r="AX286" s="377">
        <f>PPMT('Assumptions (NG Midstream)'!$B$72,Model!AJ$1,'Assumptions (NG Midstream)'!$B$75,Model!$AK$249)</f>
        <v>-0.10008987503657998</v>
      </c>
      <c r="AY286" s="377">
        <f>PPMT('Assumptions (NG Midstream)'!$B$72,Model!AK$1,'Assumptions (NG Midstream)'!$B$75,Model!$AK$249)</f>
        <v>-0.10759661566432346</v>
      </c>
      <c r="AZ286" s="377" t="e">
        <f>PPMT('Assumptions (NG Midstream)'!$B$72,Model!AL$1,'Assumptions (NG Midstream)'!$B$75,Model!$AK$249)</f>
        <v>#NUM!</v>
      </c>
      <c r="BA286" s="377" t="e">
        <f>PPMT('Assumptions (NG Midstream)'!$B$72,Model!AM$1,'Assumptions (NG Midstream)'!$B$75,Model!$AK$249)</f>
        <v>#NUM!</v>
      </c>
      <c r="BB286" s="377" t="e">
        <f>PPMT('Assumptions (NG Midstream)'!$B$72,Model!AN$1,'Assumptions (NG Midstream)'!$B$75,Model!$AK$249)</f>
        <v>#NUM!</v>
      </c>
      <c r="BC286" s="377" t="e">
        <f>PPMT('Assumptions (NG Midstream)'!$B$72,Model!AO$1,'Assumptions (NG Midstream)'!$B$75,Model!$AK$249)</f>
        <v>#NUM!</v>
      </c>
      <c r="BD286" s="377" t="e">
        <f>PPMT('Assumptions (NG Midstream)'!$B$72,Model!AP$1,'Assumptions (NG Midstream)'!$B$75,Model!$AK$249)</f>
        <v>#NUM!</v>
      </c>
      <c r="BE286" s="377" t="e">
        <f>PPMT('Assumptions (NG Midstream)'!$B$72,Model!AQ$1,'Assumptions (NG Midstream)'!$B$75,Model!$AK$249)</f>
        <v>#NUM!</v>
      </c>
      <c r="BF286" s="377" t="e">
        <f>PPMT('Assumptions (NG Midstream)'!$B$72,Model!AR$1,'Assumptions (NG Midstream)'!$B$75,Model!$AK$249)</f>
        <v>#NUM!</v>
      </c>
      <c r="BG286" s="377" t="e">
        <f>PPMT('Assumptions (NG Midstream)'!$B$72,Model!AS$1,'Assumptions (NG Midstream)'!$B$75,Model!$AK$249)</f>
        <v>#NUM!</v>
      </c>
      <c r="BH286" s="377" t="e">
        <f>PPMT('Assumptions (NG Midstream)'!$B$72,Model!AT$1,'Assumptions (NG Midstream)'!$B$75,Model!$AK$249)</f>
        <v>#NUM!</v>
      </c>
      <c r="BI286" s="377" t="e">
        <f>PPMT('Assumptions (NG Midstream)'!$B$72,Model!AU$1,'Assumptions (NG Midstream)'!$B$75,Model!$AK$249)</f>
        <v>#NUM!</v>
      </c>
    </row>
    <row r="287" spans="1:63" ht="15.75" hidden="1" customHeight="1" outlineLevel="1">
      <c r="A287" s="365"/>
      <c r="B287" s="99"/>
      <c r="C287" s="377"/>
      <c r="D287" s="377"/>
      <c r="E287" s="377"/>
      <c r="F287" s="377"/>
      <c r="G287" s="377"/>
      <c r="H287" s="377"/>
      <c r="I287" s="377"/>
      <c r="J287" s="377"/>
      <c r="K287" s="377"/>
      <c r="L287" s="377"/>
      <c r="M287" s="377"/>
      <c r="N287" s="377"/>
      <c r="O287" s="377"/>
      <c r="P287" s="377"/>
      <c r="Q287" s="377"/>
      <c r="R287" s="377"/>
      <c r="S287" s="42"/>
      <c r="T287" s="42"/>
      <c r="U287" s="42"/>
      <c r="V287" s="42"/>
      <c r="W287" s="86"/>
      <c r="AL287" s="377">
        <f>PPMT('Assumptions (NG Midstream)'!$B$72,Model!W$1,'Assumptions (NG Midstream)'!$B$75,Model!$AL$249)</f>
        <v>-3.964532324827736E-2</v>
      </c>
      <c r="AM287" s="377">
        <f>PPMT('Assumptions (NG Midstream)'!$B$72,Model!X$1,'Assumptions (NG Midstream)'!$B$75,Model!$AL$249)</f>
        <v>-4.2618722491898152E-2</v>
      </c>
      <c r="AN287" s="377">
        <f>PPMT('Assumptions (NG Midstream)'!$B$72,Model!Y$1,'Assumptions (NG Midstream)'!$B$75,Model!$AL$249)</f>
        <v>-4.5815126678790521E-2</v>
      </c>
      <c r="AO287" s="377">
        <f>PPMT('Assumptions (NG Midstream)'!$B$72,Model!Z$1,'Assumptions (NG Midstream)'!$B$75,Model!$AL$249)</f>
        <v>-4.9251261179699808E-2</v>
      </c>
      <c r="AP287" s="377">
        <f>PPMT('Assumptions (NG Midstream)'!$B$72,Model!AA$1,'Assumptions (NG Midstream)'!$B$75,Model!$AL$249)</f>
        <v>-5.2945105768177285E-2</v>
      </c>
      <c r="AQ287" s="377">
        <f>PPMT('Assumptions (NG Midstream)'!$B$72,Model!AB$1,'Assumptions (NG Midstream)'!$B$75,Model!$AL$249)</f>
        <v>-5.6915988700790593E-2</v>
      </c>
      <c r="AR287" s="377">
        <f>PPMT('Assumptions (NG Midstream)'!$B$72,Model!AC$1,'Assumptions (NG Midstream)'!$B$75,Model!$AL$249)</f>
        <v>-6.1184687853349885E-2</v>
      </c>
      <c r="AS287" s="377">
        <f>PPMT('Assumptions (NG Midstream)'!$B$72,Model!AD$1,'Assumptions (NG Midstream)'!$B$75,Model!$AL$249)</f>
        <v>-6.577353944235112E-2</v>
      </c>
      <c r="AT287" s="377">
        <f>PPMT('Assumptions (NG Midstream)'!$B$72,Model!AE$1,'Assumptions (NG Midstream)'!$B$75,Model!$AL$249)</f>
        <v>-7.0706554900527463E-2</v>
      </c>
      <c r="AU287" s="377">
        <f>PPMT('Assumptions (NG Midstream)'!$B$72,Model!AF$1,'Assumptions (NG Midstream)'!$B$75,Model!$AL$249)</f>
        <v>-7.6009546518067031E-2</v>
      </c>
      <c r="AV287" s="377">
        <f>PPMT('Assumptions (NG Midstream)'!$B$72,Model!AG$1,'Assumptions (NG Midstream)'!$B$75,Model!$AL$249)</f>
        <v>-8.1710262506922038E-2</v>
      </c>
      <c r="AW287" s="377">
        <f>PPMT('Assumptions (NG Midstream)'!$B$72,Model!AH$1,'Assumptions (NG Midstream)'!$B$75,Model!$AL$249)</f>
        <v>-8.7838532194941199E-2</v>
      </c>
      <c r="AX287" s="377">
        <f>PPMT('Assumptions (NG Midstream)'!$B$72,Model!AI$1,'Assumptions (NG Midstream)'!$B$75,Model!$AL$249)</f>
        <v>-9.44264221095618E-2</v>
      </c>
      <c r="AY287" s="377">
        <f>PPMT('Assumptions (NG Midstream)'!$B$72,Model!AJ$1,'Assumptions (NG Midstream)'!$B$75,Model!$AL$249)</f>
        <v>-0.10150840376777893</v>
      </c>
      <c r="AZ287" s="377">
        <f>PPMT('Assumptions (NG Midstream)'!$B$72,Model!AK$1,'Assumptions (NG Midstream)'!$B$75,Model!$AL$249)</f>
        <v>-0.10912153405036235</v>
      </c>
      <c r="BA287" s="377" t="e">
        <f>PPMT('Assumptions (NG Midstream)'!$B$72,Model!AL$1,'Assumptions (NG Midstream)'!$B$75,Model!$AL$249)</f>
        <v>#NUM!</v>
      </c>
      <c r="BB287" s="377" t="e">
        <f>PPMT('Assumptions (NG Midstream)'!$B$72,Model!AM$1,'Assumptions (NG Midstream)'!$B$75,Model!$AL$249)</f>
        <v>#NUM!</v>
      </c>
      <c r="BC287" s="377" t="e">
        <f>PPMT('Assumptions (NG Midstream)'!$B$72,Model!AN$1,'Assumptions (NG Midstream)'!$B$75,Model!$AL$249)</f>
        <v>#NUM!</v>
      </c>
      <c r="BD287" s="377" t="e">
        <f>PPMT('Assumptions (NG Midstream)'!$B$72,Model!AO$1,'Assumptions (NG Midstream)'!$B$75,Model!$AL$249)</f>
        <v>#NUM!</v>
      </c>
      <c r="BE287" s="377" t="e">
        <f>PPMT('Assumptions (NG Midstream)'!$B$72,Model!AP$1,'Assumptions (NG Midstream)'!$B$75,Model!$AL$249)</f>
        <v>#NUM!</v>
      </c>
      <c r="BF287" s="377" t="e">
        <f>PPMT('Assumptions (NG Midstream)'!$B$72,Model!AQ$1,'Assumptions (NG Midstream)'!$B$75,Model!$AL$249)</f>
        <v>#NUM!</v>
      </c>
      <c r="BG287" s="377" t="e">
        <f>PPMT('Assumptions (NG Midstream)'!$B$72,Model!AR$1,'Assumptions (NG Midstream)'!$B$75,Model!$AL$249)</f>
        <v>#NUM!</v>
      </c>
      <c r="BH287" s="377" t="e">
        <f>PPMT('Assumptions (NG Midstream)'!$B$72,Model!AS$1,'Assumptions (NG Midstream)'!$B$75,Model!$AL$249)</f>
        <v>#NUM!</v>
      </c>
      <c r="BI287" s="377" t="e">
        <f>PPMT('Assumptions (NG Midstream)'!$B$72,Model!AT$1,'Assumptions (NG Midstream)'!$B$75,Model!$AL$249)</f>
        <v>#NUM!</v>
      </c>
      <c r="BJ287" s="377" t="e">
        <f>PPMT('Assumptions (NG Midstream)'!$B$72,Model!AU$1,'Assumptions (NG Midstream)'!$B$75,Model!$AL$249)</f>
        <v>#NUM!</v>
      </c>
    </row>
    <row r="288" spans="1:63" ht="15.75" hidden="1" customHeight="1" outlineLevel="1">
      <c r="A288" s="365"/>
      <c r="B288" s="99"/>
      <c r="C288" s="377"/>
      <c r="D288" s="377"/>
      <c r="E288" s="377"/>
      <c r="F288" s="377"/>
      <c r="G288" s="377"/>
      <c r="H288" s="377"/>
      <c r="I288" s="377"/>
      <c r="J288" s="377"/>
      <c r="K288" s="377"/>
      <c r="L288" s="377"/>
      <c r="M288" s="377"/>
      <c r="N288" s="377"/>
      <c r="O288" s="377"/>
      <c r="P288" s="377"/>
      <c r="Q288" s="377"/>
      <c r="R288" s="377"/>
      <c r="S288" s="42"/>
      <c r="T288" s="42"/>
      <c r="U288" s="42"/>
      <c r="V288" s="42"/>
      <c r="W288" s="86"/>
      <c r="AM288" s="377">
        <f>PPMT('Assumptions (NG Midstream)'!$B$72,Model!W$1,'Assumptions (NG Midstream)'!$B$75,Model!$AM$249)</f>
        <v>-3.6657029625919449E-2</v>
      </c>
      <c r="AN288" s="377">
        <f>PPMT('Assumptions (NG Midstream)'!$B$72,Model!X$1,'Assumptions (NG Midstream)'!$B$75,Model!$AM$249)</f>
        <v>-3.9406306847863413E-2</v>
      </c>
      <c r="AO288" s="377">
        <f>PPMT('Assumptions (NG Midstream)'!$B$72,Model!Y$1,'Assumptions (NG Midstream)'!$B$75,Model!$AM$249)</f>
        <v>-4.2361779861453175E-2</v>
      </c>
      <c r="AP288" s="377">
        <f>PPMT('Assumptions (NG Midstream)'!$B$72,Model!Z$1,'Assumptions (NG Midstream)'!$B$75,Model!$AM$249)</f>
        <v>-4.5538913351062159E-2</v>
      </c>
      <c r="AQ288" s="377">
        <f>PPMT('Assumptions (NG Midstream)'!$B$72,Model!AA$1,'Assumptions (NG Midstream)'!$B$75,Model!$AM$249)</f>
        <v>-4.8954331852391814E-2</v>
      </c>
      <c r="AR288" s="377">
        <f>PPMT('Assumptions (NG Midstream)'!$B$72,Model!AB$1,'Assumptions (NG Midstream)'!$B$75,Model!$AM$249)</f>
        <v>-5.2625906741321206E-2</v>
      </c>
      <c r="AS288" s="377">
        <f>PPMT('Assumptions (NG Midstream)'!$B$72,Model!AC$1,'Assumptions (NG Midstream)'!$B$75,Model!$AM$249)</f>
        <v>-5.6572849746920298E-2</v>
      </c>
      <c r="AT288" s="377">
        <f>PPMT('Assumptions (NG Midstream)'!$B$72,Model!AD$1,'Assumptions (NG Midstream)'!$B$75,Model!$AM$249)</f>
        <v>-6.0815813477939309E-2</v>
      </c>
      <c r="AU288" s="377">
        <f>PPMT('Assumptions (NG Midstream)'!$B$72,Model!AE$1,'Assumptions (NG Midstream)'!$B$75,Model!$AM$249)</f>
        <v>-6.5376999488784768E-2</v>
      </c>
      <c r="AV288" s="377">
        <f>PPMT('Assumptions (NG Midstream)'!$B$72,Model!AF$1,'Assumptions (NG Midstream)'!$B$75,Model!$AM$249)</f>
        <v>-7.0280274450443617E-2</v>
      </c>
      <c r="AW288" s="377">
        <f>PPMT('Assumptions (NG Midstream)'!$B$72,Model!AG$1,'Assumptions (NG Midstream)'!$B$75,Model!$AM$249)</f>
        <v>-7.555129503422689E-2</v>
      </c>
      <c r="AX288" s="377">
        <f>PPMT('Assumptions (NG Midstream)'!$B$72,Model!AH$1,'Assumptions (NG Midstream)'!$B$75,Model!$AM$249)</f>
        <v>-8.1217642161793904E-2</v>
      </c>
      <c r="AY288" s="377">
        <f>PPMT('Assumptions (NG Midstream)'!$B$72,Model!AI$1,'Assumptions (NG Midstream)'!$B$75,Model!$AM$249)</f>
        <v>-8.7308965323928456E-2</v>
      </c>
      <c r="AZ288" s="377">
        <f>PPMT('Assumptions (NG Midstream)'!$B$72,Model!AJ$1,'Assumptions (NG Midstream)'!$B$75,Model!$AM$249)</f>
        <v>-9.3857137723223086E-2</v>
      </c>
      <c r="BA288" s="377">
        <f>PPMT('Assumptions (NG Midstream)'!$B$72,Model!AK$1,'Assumptions (NG Midstream)'!$B$75,Model!$AM$249)</f>
        <v>-0.10089642305246481</v>
      </c>
      <c r="BB288" s="377" t="e">
        <f>PPMT('Assumptions (NG Midstream)'!$B$72,Model!AL$1,'Assumptions (NG Midstream)'!$B$75,Model!$AM$249)</f>
        <v>#NUM!</v>
      </c>
      <c r="BC288" s="377" t="e">
        <f>PPMT('Assumptions (NG Midstream)'!$B$72,Model!AM$1,'Assumptions (NG Midstream)'!$B$75,Model!$AM$249)</f>
        <v>#NUM!</v>
      </c>
      <c r="BD288" s="377" t="e">
        <f>PPMT('Assumptions (NG Midstream)'!$B$72,Model!AN$1,'Assumptions (NG Midstream)'!$B$75,Model!$AM$249)</f>
        <v>#NUM!</v>
      </c>
      <c r="BE288" s="377" t="e">
        <f>PPMT('Assumptions (NG Midstream)'!$B$72,Model!AO$1,'Assumptions (NG Midstream)'!$B$75,Model!$AM$249)</f>
        <v>#NUM!</v>
      </c>
      <c r="BF288" s="377" t="e">
        <f>PPMT('Assumptions (NG Midstream)'!$B$72,Model!AP$1,'Assumptions (NG Midstream)'!$B$75,Model!$AM$249)</f>
        <v>#NUM!</v>
      </c>
      <c r="BG288" s="377" t="e">
        <f>PPMT('Assumptions (NG Midstream)'!$B$72,Model!AQ$1,'Assumptions (NG Midstream)'!$B$75,Model!$AM$249)</f>
        <v>#NUM!</v>
      </c>
      <c r="BH288" s="377" t="e">
        <f>PPMT('Assumptions (NG Midstream)'!$B$72,Model!AR$1,'Assumptions (NG Midstream)'!$B$75,Model!$AM$249)</f>
        <v>#NUM!</v>
      </c>
      <c r="BI288" s="377" t="e">
        <f>PPMT('Assumptions (NG Midstream)'!$B$72,Model!AS$1,'Assumptions (NG Midstream)'!$B$75,Model!$AM$249)</f>
        <v>#NUM!</v>
      </c>
      <c r="BJ288" s="377" t="e">
        <f>PPMT('Assumptions (NG Midstream)'!$B$72,Model!AT$1,'Assumptions (NG Midstream)'!$B$75,Model!$AM$249)</f>
        <v>#NUM!</v>
      </c>
      <c r="BK288" s="377" t="e">
        <f>PPMT('Assumptions (NG Midstream)'!$B$72,Model!AU$1,'Assumptions (NG Midstream)'!$B$75,Model!$AM$249)</f>
        <v>#NUM!</v>
      </c>
    </row>
    <row r="289" spans="1:77" ht="15.75" hidden="1" customHeight="1" outlineLevel="1">
      <c r="A289" s="365"/>
      <c r="B289" s="99"/>
      <c r="C289" s="377"/>
      <c r="D289" s="377"/>
      <c r="E289" s="377"/>
      <c r="F289" s="377"/>
      <c r="G289" s="377"/>
      <c r="H289" s="377"/>
      <c r="I289" s="377"/>
      <c r="J289" s="377"/>
      <c r="K289" s="377"/>
      <c r="L289" s="377"/>
      <c r="M289" s="377"/>
      <c r="N289" s="377"/>
      <c r="O289" s="377"/>
      <c r="P289" s="377"/>
      <c r="Q289" s="377"/>
      <c r="R289" s="377"/>
      <c r="S289" s="42"/>
      <c r="T289" s="42"/>
      <c r="U289" s="42"/>
      <c r="V289" s="42"/>
      <c r="W289" s="86"/>
      <c r="AN289" s="377">
        <f>PPMT('Assumptions (NG Midstream)'!$B$72,Model!W$1,'Assumptions (NG Midstream)'!$B$75,Model!$AN$249)</f>
        <v>-3.8451164573569806E-2</v>
      </c>
      <c r="AO289" s="377">
        <f>PPMT('Assumptions (NG Midstream)'!$B$72,Model!X$1,'Assumptions (NG Midstream)'!$B$75,Model!$AN$249)</f>
        <v>-4.1335001916587538E-2</v>
      </c>
      <c r="AP289" s="377">
        <f>PPMT('Assumptions (NG Midstream)'!$B$72,Model!Y$1,'Assumptions (NG Midstream)'!$B$75,Model!$AN$249)</f>
        <v>-4.4435127060331613E-2</v>
      </c>
      <c r="AQ289" s="377">
        <f>PPMT('Assumptions (NG Midstream)'!$B$72,Model!Z$1,'Assumptions (NG Midstream)'!$B$75,Model!$AN$249)</f>
        <v>-4.7767761589856475E-2</v>
      </c>
      <c r="AR289" s="377">
        <f>PPMT('Assumptions (NG Midstream)'!$B$72,Model!AA$1,'Assumptions (NG Midstream)'!$B$75,Model!$AN$249)</f>
        <v>-5.1350343709095705E-2</v>
      </c>
      <c r="AS289" s="377">
        <f>PPMT('Assumptions (NG Midstream)'!$B$72,Model!AB$1,'Assumptions (NG Midstream)'!$B$75,Model!$AN$249)</f>
        <v>-5.5201619487277899E-2</v>
      </c>
      <c r="AT289" s="377">
        <f>PPMT('Assumptions (NG Midstream)'!$B$72,Model!AC$1,'Assumptions (NG Midstream)'!$B$75,Model!$AN$249)</f>
        <v>-5.9341740948823725E-2</v>
      </c>
      <c r="AU289" s="377">
        <f>PPMT('Assumptions (NG Midstream)'!$B$72,Model!AD$1,'Assumptions (NG Midstream)'!$B$75,Model!$AN$249)</f>
        <v>-6.37923715199855E-2</v>
      </c>
      <c r="AV289" s="377">
        <f>PPMT('Assumptions (NG Midstream)'!$B$72,Model!AE$1,'Assumptions (NG Midstream)'!$B$75,Model!$AN$249)</f>
        <v>-6.8576799383984421E-2</v>
      </c>
      <c r="AW289" s="377">
        <f>PPMT('Assumptions (NG Midstream)'!$B$72,Model!AF$1,'Assumptions (NG Midstream)'!$B$75,Model!$AN$249)</f>
        <v>-7.3720059337783264E-2</v>
      </c>
      <c r="AX289" s="377">
        <f>PPMT('Assumptions (NG Midstream)'!$B$72,Model!AG$1,'Assumptions (NG Midstream)'!$B$75,Model!$AN$249)</f>
        <v>-7.9249063788116997E-2</v>
      </c>
      <c r="AY289" s="377">
        <f>PPMT('Assumptions (NG Midstream)'!$B$72,Model!AH$1,'Assumptions (NG Midstream)'!$B$75,Model!$AN$249)</f>
        <v>-8.5192743572225782E-2</v>
      </c>
      <c r="AZ289" s="377">
        <f>PPMT('Assumptions (NG Midstream)'!$B$72,Model!AI$1,'Assumptions (NG Midstream)'!$B$75,Model!$AN$249)</f>
        <v>-9.1582199340142709E-2</v>
      </c>
      <c r="BA289" s="377">
        <f>PPMT('Assumptions (NG Midstream)'!$B$72,Model!AJ$1,'Assumptions (NG Midstream)'!$B$75,Model!$AN$249)</f>
        <v>-9.8450864290653431E-2</v>
      </c>
      <c r="BB289" s="377">
        <f>PPMT('Assumptions (NG Midstream)'!$B$72,Model!AK$1,'Assumptions (NG Midstream)'!$B$75,Model!$AN$249)</f>
        <v>-0.10583467911245241</v>
      </c>
      <c r="BC289" s="377" t="e">
        <f>PPMT('Assumptions (NG Midstream)'!$B$72,Model!AL$1,'Assumptions (NG Midstream)'!$B$75,Model!$AN$249)</f>
        <v>#NUM!</v>
      </c>
      <c r="BD289" s="377" t="e">
        <f>PPMT('Assumptions (NG Midstream)'!$B$72,Model!AM$1,'Assumptions (NG Midstream)'!$B$75,Model!$AN$249)</f>
        <v>#NUM!</v>
      </c>
      <c r="BE289" s="377" t="e">
        <f>PPMT('Assumptions (NG Midstream)'!$B$72,Model!AN$1,'Assumptions (NG Midstream)'!$B$75,Model!$AN$249)</f>
        <v>#NUM!</v>
      </c>
      <c r="BF289" s="377" t="e">
        <f>PPMT('Assumptions (NG Midstream)'!$B$72,Model!AO$1,'Assumptions (NG Midstream)'!$B$75,Model!$AN$249)</f>
        <v>#NUM!</v>
      </c>
      <c r="BG289" s="377" t="e">
        <f>PPMT('Assumptions (NG Midstream)'!$B$72,Model!AP$1,'Assumptions (NG Midstream)'!$B$75,Model!$AN$249)</f>
        <v>#NUM!</v>
      </c>
      <c r="BH289" s="377" t="e">
        <f>PPMT('Assumptions (NG Midstream)'!$B$72,Model!AQ$1,'Assumptions (NG Midstream)'!$B$75,Model!$AN$249)</f>
        <v>#NUM!</v>
      </c>
      <c r="BI289" s="377" t="e">
        <f>PPMT('Assumptions (NG Midstream)'!$B$72,Model!AR$1,'Assumptions (NG Midstream)'!$B$75,Model!$AN$249)</f>
        <v>#NUM!</v>
      </c>
      <c r="BJ289" s="377" t="e">
        <f>PPMT('Assumptions (NG Midstream)'!$B$72,Model!AS$1,'Assumptions (NG Midstream)'!$B$75,Model!$AN$249)</f>
        <v>#NUM!</v>
      </c>
      <c r="BK289" s="377" t="e">
        <f>PPMT('Assumptions (NG Midstream)'!$B$72,Model!AT$1,'Assumptions (NG Midstream)'!$B$75,Model!$AN$249)</f>
        <v>#NUM!</v>
      </c>
      <c r="BL289" s="377" t="e">
        <f>PPMT('Assumptions (NG Midstream)'!$B$72,Model!AU$1,'Assumptions (NG Midstream)'!$B$75,Model!$AN$249)</f>
        <v>#NUM!</v>
      </c>
    </row>
    <row r="290" spans="1:77" ht="15.75" hidden="1" customHeight="1" outlineLevel="1">
      <c r="A290" s="365"/>
      <c r="B290" s="99"/>
      <c r="C290" s="377"/>
      <c r="D290" s="377"/>
      <c r="E290" s="377"/>
      <c r="F290" s="377"/>
      <c r="G290" s="377"/>
      <c r="H290" s="377"/>
      <c r="I290" s="377"/>
      <c r="J290" s="377"/>
      <c r="K290" s="377"/>
      <c r="L290" s="377"/>
      <c r="M290" s="377"/>
      <c r="N290" s="377"/>
      <c r="O290" s="377"/>
      <c r="P290" s="377"/>
      <c r="Q290" s="377"/>
      <c r="R290" s="377"/>
      <c r="S290" s="42"/>
      <c r="T290" s="42"/>
      <c r="U290" s="42"/>
      <c r="V290" s="42"/>
      <c r="W290" s="86"/>
      <c r="AO290" s="377">
        <f>PPMT('Assumptions (NG Midstream)'!$B$72,Model!W$1,'Assumptions (NG Midstream)'!$B$75,Model!$AO$249)</f>
        <v>-3.6556573565821995E-2</v>
      </c>
      <c r="AP290" s="377">
        <f>PPMT('Assumptions (NG Midstream)'!$B$72,Model!X$1,'Assumptions (NG Midstream)'!$B$75,Model!$AO$249)</f>
        <v>-3.9298316583258643E-2</v>
      </c>
      <c r="AQ290" s="377">
        <f>PPMT('Assumptions (NG Midstream)'!$B$72,Model!Y$1,'Assumptions (NG Midstream)'!$B$75,Model!$AO$249)</f>
        <v>-4.2245690327003052E-2</v>
      </c>
      <c r="AR290" s="377">
        <f>PPMT('Assumptions (NG Midstream)'!$B$72,Model!Z$1,'Assumptions (NG Midstream)'!$B$75,Model!$AO$249)</f>
        <v>-4.5414117101528276E-2</v>
      </c>
      <c r="AS290" s="377">
        <f>PPMT('Assumptions (NG Midstream)'!$B$72,Model!AA$1,'Assumptions (NG Midstream)'!$B$75,Model!$AO$249)</f>
        <v>-4.8820175884142891E-2</v>
      </c>
      <c r="AT290" s="377">
        <f>PPMT('Assumptions (NG Midstream)'!$B$72,Model!AB$1,'Assumptions (NG Midstream)'!$B$75,Model!$AO$249)</f>
        <v>-5.2481689075453621E-2</v>
      </c>
      <c r="AU290" s="377">
        <f>PPMT('Assumptions (NG Midstream)'!$B$72,Model!AC$1,'Assumptions (NG Midstream)'!$B$75,Model!$AO$249)</f>
        <v>-5.6417815756112627E-2</v>
      </c>
      <c r="AV290" s="377">
        <f>PPMT('Assumptions (NG Midstream)'!$B$72,Model!AD$1,'Assumptions (NG Midstream)'!$B$75,Model!$AO$249)</f>
        <v>-6.0649151937821069E-2</v>
      </c>
      <c r="AW290" s="377">
        <f>PPMT('Assumptions (NG Midstream)'!$B$72,Model!AE$1,'Assumptions (NG Midstream)'!$B$75,Model!$AO$249)</f>
        <v>-6.5197838333157662E-2</v>
      </c>
      <c r="AX290" s="377">
        <f>PPMT('Assumptions (NG Midstream)'!$B$72,Model!AF$1,'Assumptions (NG Midstream)'!$B$75,Model!$AO$249)</f>
        <v>-7.0087676208144489E-2</v>
      </c>
      <c r="AY290" s="377">
        <f>PPMT('Assumptions (NG Midstream)'!$B$72,Model!AG$1,'Assumptions (NG Midstream)'!$B$75,Model!$AO$249)</f>
        <v>-7.5344251923755309E-2</v>
      </c>
      <c r="AZ290" s="377">
        <f>PPMT('Assumptions (NG Midstream)'!$B$72,Model!AH$1,'Assumptions (NG Midstream)'!$B$75,Model!$AO$249)</f>
        <v>-8.0995070818036974E-2</v>
      </c>
      <c r="BA290" s="377">
        <f>PPMT('Assumptions (NG Midstream)'!$B$72,Model!AI$1,'Assumptions (NG Midstream)'!$B$75,Model!$AO$249)</f>
        <v>-8.7069701129389734E-2</v>
      </c>
      <c r="BB290" s="377">
        <f>PPMT('Assumptions (NG Midstream)'!$B$72,Model!AJ$1,'Assumptions (NG Midstream)'!$B$75,Model!$AO$249)</f>
        <v>-9.3599928714093991E-2</v>
      </c>
      <c r="BC290" s="377">
        <f>PPMT('Assumptions (NG Midstream)'!$B$72,Model!AK$1,'Assumptions (NG Midstream)'!$B$75,Model!$AO$249)</f>
        <v>-0.10061992336765102</v>
      </c>
      <c r="BD290" s="377" t="e">
        <f>PPMT('Assumptions (NG Midstream)'!$B$72,Model!AL$1,'Assumptions (NG Midstream)'!$B$75,Model!$AO$249)</f>
        <v>#NUM!</v>
      </c>
      <c r="BE290" s="377" t="e">
        <f>PPMT('Assumptions (NG Midstream)'!$B$72,Model!AM$1,'Assumptions (NG Midstream)'!$B$75,Model!$AO$249)</f>
        <v>#NUM!</v>
      </c>
      <c r="BF290" s="377" t="e">
        <f>PPMT('Assumptions (NG Midstream)'!$B$72,Model!AN$1,'Assumptions (NG Midstream)'!$B$75,Model!$AO$249)</f>
        <v>#NUM!</v>
      </c>
      <c r="BG290" s="377" t="e">
        <f>PPMT('Assumptions (NG Midstream)'!$B$72,Model!AO$1,'Assumptions (NG Midstream)'!$B$75,Model!$AO$249)</f>
        <v>#NUM!</v>
      </c>
      <c r="BH290" s="377" t="e">
        <f>PPMT('Assumptions (NG Midstream)'!$B$72,Model!AP$1,'Assumptions (NG Midstream)'!$B$75,Model!$AO$249)</f>
        <v>#NUM!</v>
      </c>
      <c r="BI290" s="377" t="e">
        <f>PPMT('Assumptions (NG Midstream)'!$B$72,Model!AQ$1,'Assumptions (NG Midstream)'!$B$75,Model!$AO$249)</f>
        <v>#NUM!</v>
      </c>
      <c r="BJ290" s="377" t="e">
        <f>PPMT('Assumptions (NG Midstream)'!$B$72,Model!AR$1,'Assumptions (NG Midstream)'!$B$75,Model!$AO$249)</f>
        <v>#NUM!</v>
      </c>
      <c r="BK290" s="377" t="e">
        <f>PPMT('Assumptions (NG Midstream)'!$B$72,Model!AS$1,'Assumptions (NG Midstream)'!$B$75,Model!$AO$249)</f>
        <v>#NUM!</v>
      </c>
      <c r="BL290" s="377" t="e">
        <f>PPMT('Assumptions (NG Midstream)'!$B$72,Model!AT$1,'Assumptions (NG Midstream)'!$B$75,Model!$AO$249)</f>
        <v>#NUM!</v>
      </c>
      <c r="BM290" s="377" t="e">
        <f>PPMT('Assumptions (NG Midstream)'!$B$72,Model!AU$1,'Assumptions (NG Midstream)'!$B$75,Model!$AO$249)</f>
        <v>#NUM!</v>
      </c>
    </row>
    <row r="291" spans="1:77" ht="15.75" hidden="1" customHeight="1" outlineLevel="1">
      <c r="A291" s="365"/>
      <c r="B291" s="99"/>
      <c r="C291" s="377"/>
      <c r="D291" s="377"/>
      <c r="E291" s="377"/>
      <c r="F291" s="377"/>
      <c r="G291" s="377"/>
      <c r="H291" s="377"/>
      <c r="I291" s="377"/>
      <c r="J291" s="377"/>
      <c r="K291" s="377"/>
      <c r="L291" s="377"/>
      <c r="M291" s="377"/>
      <c r="N291" s="377"/>
      <c r="O291" s="377"/>
      <c r="P291" s="377"/>
      <c r="Q291" s="377"/>
      <c r="R291" s="377"/>
      <c r="S291" s="42"/>
      <c r="T291" s="42"/>
      <c r="U291" s="42"/>
      <c r="V291" s="42"/>
      <c r="W291" s="86"/>
      <c r="AP291" s="377">
        <f>PPMT('Assumptions (NG Midstream)'!$B$72,Model!W$1,'Assumptions (NG Midstream)'!$B$75,Model!$AP$249)</f>
        <v>-3.8009116691084067E-2</v>
      </c>
      <c r="AQ291" s="377">
        <f>PPMT('Assumptions (NG Midstream)'!$B$72,Model!X$1,'Assumptions (NG Midstream)'!$B$75,Model!$AP$249)</f>
        <v>-4.0859800442915373E-2</v>
      </c>
      <c r="AR291" s="377">
        <f>PPMT('Assumptions (NG Midstream)'!$B$72,Model!Y$1,'Assumptions (NG Midstream)'!$B$75,Model!$AP$249)</f>
        <v>-4.3924285476134035E-2</v>
      </c>
      <c r="AS291" s="377">
        <f>PPMT('Assumptions (NG Midstream)'!$B$72,Model!Z$1,'Assumptions (NG Midstream)'!$B$75,Model!$AP$249)</f>
        <v>-4.7218606886844074E-2</v>
      </c>
      <c r="AT291" s="377">
        <f>PPMT('Assumptions (NG Midstream)'!$B$72,Model!AA$1,'Assumptions (NG Midstream)'!$B$75,Model!$AP$249)</f>
        <v>-5.0760002403357374E-2</v>
      </c>
      <c r="AU291" s="377">
        <f>PPMT('Assumptions (NG Midstream)'!$B$72,Model!AB$1,'Assumptions (NG Midstream)'!$B$75,Model!$AP$249)</f>
        <v>-5.4567002583609192E-2</v>
      </c>
      <c r="AV291" s="377">
        <f>PPMT('Assumptions (NG Midstream)'!$B$72,Model!AC$1,'Assumptions (NG Midstream)'!$B$75,Model!$AP$249)</f>
        <v>-5.8659527777379872E-2</v>
      </c>
      <c r="AW291" s="377">
        <f>PPMT('Assumptions (NG Midstream)'!$B$72,Model!AD$1,'Assumptions (NG Midstream)'!$B$75,Model!$AP$249)</f>
        <v>-6.3058992360683366E-2</v>
      </c>
      <c r="AX291" s="377">
        <f>PPMT('Assumptions (NG Midstream)'!$B$72,Model!AE$1,'Assumptions (NG Midstream)'!$B$75,Model!$AP$249)</f>
        <v>-6.7788416787734618E-2</v>
      </c>
      <c r="AY291" s="377">
        <f>PPMT('Assumptions (NG Midstream)'!$B$72,Model!AF$1,'Assumptions (NG Midstream)'!$B$75,Model!$AP$249)</f>
        <v>-7.2872548046814714E-2</v>
      </c>
      <c r="AZ291" s="377">
        <f>PPMT('Assumptions (NG Midstream)'!$B$72,Model!AG$1,'Assumptions (NG Midstream)'!$B$75,Model!$AP$249)</f>
        <v>-7.8337989150325804E-2</v>
      </c>
      <c r="BA291" s="377">
        <f>PPMT('Assumptions (NG Midstream)'!$B$72,Model!AH$1,'Assumptions (NG Midstream)'!$B$75,Model!$AP$249)</f>
        <v>-8.421333833660026E-2</v>
      </c>
      <c r="BB291" s="377">
        <f>PPMT('Assumptions (NG Midstream)'!$B$72,Model!AI$1,'Assumptions (NG Midstream)'!$B$75,Model!$AP$249)</f>
        <v>-9.0529338711845264E-2</v>
      </c>
      <c r="BC291" s="377">
        <f>PPMT('Assumptions (NG Midstream)'!$B$72,Model!AJ$1,'Assumptions (NG Midstream)'!$B$75,Model!$AP$249)</f>
        <v>-9.731903911523368E-2</v>
      </c>
      <c r="BD291" s="377">
        <f>PPMT('Assumptions (NG Midstream)'!$B$72,Model!AK$1,'Assumptions (NG Midstream)'!$B$75,Model!$AP$249)</f>
        <v>-0.10461796704887619</v>
      </c>
      <c r="BE291" s="377" t="e">
        <f>PPMT('Assumptions (NG Midstream)'!$B$72,Model!AL$1,'Assumptions (NG Midstream)'!$B$75,Model!$AP$249)</f>
        <v>#NUM!</v>
      </c>
      <c r="BF291" s="377" t="e">
        <f>PPMT('Assumptions (NG Midstream)'!$B$72,Model!AM$1,'Assumptions (NG Midstream)'!$B$75,Model!$AP$249)</f>
        <v>#NUM!</v>
      </c>
      <c r="BG291" s="377" t="e">
        <f>PPMT('Assumptions (NG Midstream)'!$B$72,Model!AN$1,'Assumptions (NG Midstream)'!$B$75,Model!$AP$249)</f>
        <v>#NUM!</v>
      </c>
      <c r="BH291" s="377" t="e">
        <f>PPMT('Assumptions (NG Midstream)'!$B$72,Model!AO$1,'Assumptions (NG Midstream)'!$B$75,Model!$AP$249)</f>
        <v>#NUM!</v>
      </c>
      <c r="BI291" s="377" t="e">
        <f>PPMT('Assumptions (NG Midstream)'!$B$72,Model!AP$1,'Assumptions (NG Midstream)'!$B$75,Model!$AP$249)</f>
        <v>#NUM!</v>
      </c>
      <c r="BJ291" s="377" t="e">
        <f>PPMT('Assumptions (NG Midstream)'!$B$72,Model!AQ$1,'Assumptions (NG Midstream)'!$B$75,Model!$AP$249)</f>
        <v>#NUM!</v>
      </c>
      <c r="BK291" s="377" t="e">
        <f>PPMT('Assumptions (NG Midstream)'!$B$72,Model!AR$1,'Assumptions (NG Midstream)'!$B$75,Model!$AP$249)</f>
        <v>#NUM!</v>
      </c>
      <c r="BL291" s="377" t="e">
        <f>PPMT('Assumptions (NG Midstream)'!$B$72,Model!AS$1,'Assumptions (NG Midstream)'!$B$75,Model!$AP$249)</f>
        <v>#NUM!</v>
      </c>
      <c r="BM291" s="377" t="e">
        <f>PPMT('Assumptions (NG Midstream)'!$B$72,Model!AT$1,'Assumptions (NG Midstream)'!$B$75,Model!$AP$249)</f>
        <v>#NUM!</v>
      </c>
      <c r="BN291" s="377" t="e">
        <f>PPMT('Assumptions (NG Midstream)'!$B$72,Model!AU$1,'Assumptions (NG Midstream)'!$B$75,Model!$AP$249)</f>
        <v>#NUM!</v>
      </c>
    </row>
    <row r="292" spans="1:77" ht="15.75" hidden="1" customHeight="1" outlineLevel="1">
      <c r="A292" s="365"/>
      <c r="B292" s="99"/>
      <c r="C292" s="377"/>
      <c r="D292" s="377"/>
      <c r="E292" s="377"/>
      <c r="F292" s="377"/>
      <c r="G292" s="377"/>
      <c r="H292" s="377"/>
      <c r="I292" s="377"/>
      <c r="J292" s="377"/>
      <c r="K292" s="377"/>
      <c r="L292" s="377"/>
      <c r="M292" s="377"/>
      <c r="N292" s="377"/>
      <c r="O292" s="377"/>
      <c r="P292" s="377"/>
      <c r="Q292" s="377"/>
      <c r="R292" s="377"/>
      <c r="S292" s="42"/>
      <c r="T292" s="42"/>
      <c r="U292" s="42"/>
      <c r="V292" s="42"/>
      <c r="W292" s="86"/>
      <c r="AQ292" s="377">
        <f>PPMT('Assumptions (NG Midstream)'!$B$72,Model!W$1,'Assumptions (NG Midstream)'!$B$75,Model!$AQ$249)</f>
        <v>-3.5918278750933813E-2</v>
      </c>
      <c r="AR292" s="377">
        <f>PPMT('Assumptions (NG Midstream)'!$B$72,Model!X$1,'Assumptions (NG Midstream)'!$B$75,Model!$AQ$249)</f>
        <v>-3.8612149657253847E-2</v>
      </c>
      <c r="AS292" s="377">
        <f>PPMT('Assumptions (NG Midstream)'!$B$72,Model!Y$1,'Assumptions (NG Midstream)'!$B$75,Model!$AQ$249)</f>
        <v>-4.150806088154789E-2</v>
      </c>
      <c r="AT292" s="377">
        <f>PPMT('Assumptions (NG Midstream)'!$B$72,Model!Z$1,'Assumptions (NG Midstream)'!$B$75,Model!$AQ$249)</f>
        <v>-4.462116544766398E-2</v>
      </c>
      <c r="AU292" s="377">
        <f>PPMT('Assumptions (NG Midstream)'!$B$72,Model!AA$1,'Assumptions (NG Midstream)'!$B$75,Model!$AQ$249)</f>
        <v>-4.796775285623877E-2</v>
      </c>
      <c r="AV292" s="377">
        <f>PPMT('Assumptions (NG Midstream)'!$B$72,Model!AB$1,'Assumptions (NG Midstream)'!$B$75,Model!$AQ$249)</f>
        <v>-5.1565334320456686E-2</v>
      </c>
      <c r="AW292" s="377">
        <f>PPMT('Assumptions (NG Midstream)'!$B$72,Model!AC$1,'Assumptions (NG Midstream)'!$B$75,Model!$AQ$249)</f>
        <v>-5.543273439449093E-2</v>
      </c>
      <c r="AX292" s="377">
        <f>PPMT('Assumptions (NG Midstream)'!$B$72,Model!AD$1,'Assumptions (NG Midstream)'!$B$75,Model!$AQ$249)</f>
        <v>-5.9590189474077751E-2</v>
      </c>
      <c r="AY292" s="377">
        <f>PPMT('Assumptions (NG Midstream)'!$B$72,Model!AE$1,'Assumptions (NG Midstream)'!$B$75,Model!$AQ$249)</f>
        <v>-6.4059453684633588E-2</v>
      </c>
      <c r="AZ292" s="377">
        <f>PPMT('Assumptions (NG Midstream)'!$B$72,Model!AF$1,'Assumptions (NG Midstream)'!$B$75,Model!$AQ$249)</f>
        <v>-6.8863912710981107E-2</v>
      </c>
      <c r="BA292" s="377">
        <f>PPMT('Assumptions (NG Midstream)'!$B$72,Model!AG$1,'Assumptions (NG Midstream)'!$B$75,Model!$AQ$249)</f>
        <v>-7.4028706164304681E-2</v>
      </c>
      <c r="BB292" s="377">
        <f>PPMT('Assumptions (NG Midstream)'!$B$72,Model!AH$1,'Assumptions (NG Midstream)'!$B$75,Model!$AQ$249)</f>
        <v>-7.9580859126627532E-2</v>
      </c>
      <c r="BC292" s="377">
        <f>PPMT('Assumptions (NG Midstream)'!$B$72,Model!AI$1,'Assumptions (NG Midstream)'!$B$75,Model!$AQ$249)</f>
        <v>-8.5549423561124605E-2</v>
      </c>
      <c r="BD292" s="377">
        <f>PPMT('Assumptions (NG Midstream)'!$B$72,Model!AJ$1,'Assumptions (NG Midstream)'!$B$75,Model!$AQ$249)</f>
        <v>-9.1965630328208953E-2</v>
      </c>
      <c r="BE292" s="377">
        <f>PPMT('Assumptions (NG Midstream)'!$B$72,Model!AK$1,'Assumptions (NG Midstream)'!$B$75,Model!$AQ$249)</f>
        <v>-9.8863052602824616E-2</v>
      </c>
      <c r="BF292" s="377" t="e">
        <f>PPMT('Assumptions (NG Midstream)'!$B$72,Model!AL$1,'Assumptions (NG Midstream)'!$B$75,Model!$AQ$249)</f>
        <v>#NUM!</v>
      </c>
      <c r="BG292" s="377" t="e">
        <f>PPMT('Assumptions (NG Midstream)'!$B$72,Model!AM$1,'Assumptions (NG Midstream)'!$B$75,Model!$AQ$249)</f>
        <v>#NUM!</v>
      </c>
      <c r="BH292" s="377" t="e">
        <f>PPMT('Assumptions (NG Midstream)'!$B$72,Model!AN$1,'Assumptions (NG Midstream)'!$B$75,Model!$AQ$249)</f>
        <v>#NUM!</v>
      </c>
      <c r="BI292" s="377" t="e">
        <f>PPMT('Assumptions (NG Midstream)'!$B$72,Model!AO$1,'Assumptions (NG Midstream)'!$B$75,Model!$AQ$249)</f>
        <v>#NUM!</v>
      </c>
      <c r="BJ292" s="377" t="e">
        <f>PPMT('Assumptions (NG Midstream)'!$B$72,Model!AP$1,'Assumptions (NG Midstream)'!$B$75,Model!$AQ$249)</f>
        <v>#NUM!</v>
      </c>
      <c r="BK292" s="377" t="e">
        <f>PPMT('Assumptions (NG Midstream)'!$B$72,Model!AQ$1,'Assumptions (NG Midstream)'!$B$75,Model!$AQ$249)</f>
        <v>#NUM!</v>
      </c>
      <c r="BL292" s="377" t="e">
        <f>PPMT('Assumptions (NG Midstream)'!$B$72,Model!AR$1,'Assumptions (NG Midstream)'!$B$75,Model!$AQ$249)</f>
        <v>#NUM!</v>
      </c>
      <c r="BM292" s="377" t="e">
        <f>PPMT('Assumptions (NG Midstream)'!$B$72,Model!AS$1,'Assumptions (NG Midstream)'!$B$75,Model!$AQ$249)</f>
        <v>#NUM!</v>
      </c>
      <c r="BN292" s="377" t="e">
        <f>PPMT('Assumptions (NG Midstream)'!$B$72,Model!AT$1,'Assumptions (NG Midstream)'!$B$75,Model!$AQ$249)</f>
        <v>#NUM!</v>
      </c>
      <c r="BO292" s="377" t="e">
        <f>PPMT('Assumptions (NG Midstream)'!$B$72,Model!AU$1,'Assumptions (NG Midstream)'!$B$75,Model!$AQ$249)</f>
        <v>#NUM!</v>
      </c>
    </row>
    <row r="293" spans="1:77" ht="15.75" hidden="1" customHeight="1" outlineLevel="1">
      <c r="A293" s="365"/>
      <c r="B293" s="99"/>
      <c r="C293" s="377"/>
      <c r="D293" s="377"/>
      <c r="E293" s="377"/>
      <c r="F293" s="377"/>
      <c r="G293" s="377"/>
      <c r="H293" s="377"/>
      <c r="I293" s="377"/>
      <c r="J293" s="377"/>
      <c r="K293" s="377"/>
      <c r="L293" s="377"/>
      <c r="M293" s="377"/>
      <c r="N293" s="377"/>
      <c r="O293" s="377"/>
      <c r="P293" s="377"/>
      <c r="Q293" s="377"/>
      <c r="R293" s="377"/>
      <c r="S293" s="42"/>
      <c r="T293" s="42"/>
      <c r="U293" s="42"/>
      <c r="V293" s="42"/>
      <c r="W293" s="86"/>
      <c r="AR293" s="377">
        <f>PPMT('Assumptions (NG Midstream)'!$B$72,Model!W$1,'Assumptions (NG Midstream)'!$B$75,Model!$AR$249)</f>
        <v>-3.8396750165890843E-2</v>
      </c>
      <c r="AS293" s="377">
        <f>PPMT('Assumptions (NG Midstream)'!$B$72,Model!X$1,'Assumptions (NG Midstream)'!$B$75,Model!$AR$249)</f>
        <v>-4.1276506428332659E-2</v>
      </c>
      <c r="AT293" s="377">
        <f>PPMT('Assumptions (NG Midstream)'!$B$72,Model!Y$1,'Assumptions (NG Midstream)'!$B$75,Model!$AR$249)</f>
        <v>-4.4372244410457611E-2</v>
      </c>
      <c r="AU293" s="377">
        <f>PPMT('Assumptions (NG Midstream)'!$B$72,Model!Z$1,'Assumptions (NG Midstream)'!$B$75,Model!$AR$249)</f>
        <v>-4.7700162741241926E-2</v>
      </c>
      <c r="AV293" s="377">
        <f>PPMT('Assumptions (NG Midstream)'!$B$72,Model!AA$1,'Assumptions (NG Midstream)'!$B$75,Model!$AR$249)</f>
        <v>-5.1277674946835064E-2</v>
      </c>
      <c r="AW293" s="377">
        <f>PPMT('Assumptions (NG Midstream)'!$B$72,Model!AB$1,'Assumptions (NG Midstream)'!$B$75,Model!$AR$249)</f>
        <v>-5.5123500567847698E-2</v>
      </c>
      <c r="AX293" s="377">
        <f>PPMT('Assumptions (NG Midstream)'!$B$72,Model!AC$1,'Assumptions (NG Midstream)'!$B$75,Model!$AR$249)</f>
        <v>-5.9257763110436269E-2</v>
      </c>
      <c r="AY293" s="377">
        <f>PPMT('Assumptions (NG Midstream)'!$B$72,Model!AD$1,'Assumptions (NG Midstream)'!$B$75,Model!$AR$249)</f>
        <v>-6.3702095343718998E-2</v>
      </c>
      <c r="AZ293" s="377">
        <f>PPMT('Assumptions (NG Midstream)'!$B$72,Model!AE$1,'Assumptions (NG Midstream)'!$B$75,Model!$AR$249)</f>
        <v>-6.847975249449792E-2</v>
      </c>
      <c r="BA293" s="377">
        <f>PPMT('Assumptions (NG Midstream)'!$B$72,Model!AF$1,'Assumptions (NG Midstream)'!$B$75,Model!$AR$249)</f>
        <v>-7.361573393158527E-2</v>
      </c>
      <c r="BB293" s="377">
        <f>PPMT('Assumptions (NG Midstream)'!$B$72,Model!AG$1,'Assumptions (NG Midstream)'!$B$75,Model!$AR$249)</f>
        <v>-7.9136913976454157E-2</v>
      </c>
      <c r="BC293" s="377">
        <f>PPMT('Assumptions (NG Midstream)'!$B$72,Model!AH$1,'Assumptions (NG Midstream)'!$B$75,Model!$AR$249)</f>
        <v>-8.507218252468822E-2</v>
      </c>
      <c r="BD293" s="377">
        <f>PPMT('Assumptions (NG Midstream)'!$B$72,Model!AI$1,'Assumptions (NG Midstream)'!$B$75,Model!$AR$249)</f>
        <v>-9.1452596214039839E-2</v>
      </c>
      <c r="BE293" s="377">
        <f>PPMT('Assumptions (NG Midstream)'!$B$72,Model!AJ$1,'Assumptions (NG Midstream)'!$B$75,Model!$AR$249)</f>
        <v>-9.8311540930092839E-2</v>
      </c>
      <c r="BF293" s="377">
        <f>PPMT('Assumptions (NG Midstream)'!$B$72,Model!AK$1,'Assumptions (NG Midstream)'!$B$75,Model!$AR$249)</f>
        <v>-0.1056849064998498</v>
      </c>
      <c r="BG293" s="377" t="e">
        <f>PPMT('Assumptions (NG Midstream)'!$B$72,Model!AL$1,'Assumptions (NG Midstream)'!$B$75,Model!$AR$249)</f>
        <v>#NUM!</v>
      </c>
      <c r="BH293" s="377" t="e">
        <f>PPMT('Assumptions (NG Midstream)'!$B$72,Model!AM$1,'Assumptions (NG Midstream)'!$B$75,Model!$AR$249)</f>
        <v>#NUM!</v>
      </c>
      <c r="BI293" s="377" t="e">
        <f>PPMT('Assumptions (NG Midstream)'!$B$72,Model!AN$1,'Assumptions (NG Midstream)'!$B$75,Model!$AR$249)</f>
        <v>#NUM!</v>
      </c>
      <c r="BJ293" s="377" t="e">
        <f>PPMT('Assumptions (NG Midstream)'!$B$72,Model!AO$1,'Assumptions (NG Midstream)'!$B$75,Model!$AR$249)</f>
        <v>#NUM!</v>
      </c>
      <c r="BK293" s="377" t="e">
        <f>PPMT('Assumptions (NG Midstream)'!$B$72,Model!AP$1,'Assumptions (NG Midstream)'!$B$75,Model!$AR$249)</f>
        <v>#NUM!</v>
      </c>
      <c r="BL293" s="377" t="e">
        <f>PPMT('Assumptions (NG Midstream)'!$B$72,Model!AQ$1,'Assumptions (NG Midstream)'!$B$75,Model!$AR$249)</f>
        <v>#NUM!</v>
      </c>
      <c r="BM293" s="377" t="e">
        <f>PPMT('Assumptions (NG Midstream)'!$B$72,Model!AR$1,'Assumptions (NG Midstream)'!$B$75,Model!$AR$249)</f>
        <v>#NUM!</v>
      </c>
      <c r="BN293" s="377" t="e">
        <f>PPMT('Assumptions (NG Midstream)'!$B$72,Model!AS$1,'Assumptions (NG Midstream)'!$B$75,Model!$AR$249)</f>
        <v>#NUM!</v>
      </c>
      <c r="BO293" s="377" t="e">
        <f>PPMT('Assumptions (NG Midstream)'!$B$72,Model!AT$1,'Assumptions (NG Midstream)'!$B$75,Model!$AR$249)</f>
        <v>#NUM!</v>
      </c>
      <c r="BP293" s="377" t="e">
        <f>PPMT('Assumptions (NG Midstream)'!$B$72,Model!AU$1,'Assumptions (NG Midstream)'!$B$75,Model!$AR$249)</f>
        <v>#NUM!</v>
      </c>
    </row>
    <row r="294" spans="1:77" ht="15.75" hidden="1" customHeight="1" outlineLevel="1">
      <c r="A294" s="365"/>
      <c r="B294" s="99"/>
      <c r="C294" s="377"/>
      <c r="D294" s="377"/>
      <c r="E294" s="377"/>
      <c r="F294" s="377"/>
      <c r="G294" s="377"/>
      <c r="H294" s="377"/>
      <c r="I294" s="377"/>
      <c r="J294" s="377"/>
      <c r="K294" s="377"/>
      <c r="L294" s="377"/>
      <c r="M294" s="377"/>
      <c r="N294" s="377"/>
      <c r="O294" s="377"/>
      <c r="P294" s="377"/>
      <c r="Q294" s="377"/>
      <c r="R294" s="377"/>
      <c r="S294" s="42"/>
      <c r="T294" s="42"/>
      <c r="U294" s="42"/>
      <c r="V294" s="42"/>
      <c r="W294" s="86"/>
      <c r="AS294" s="377">
        <f>PPMT('Assumptions (NG Midstream)'!$B$72,Model!W$1,'Assumptions (NG Midstream)'!$B$75,Model!$AS$249)</f>
        <v>-3.7274483044679049E-2</v>
      </c>
      <c r="AT294" s="377">
        <f>PPMT('Assumptions (NG Midstream)'!$B$72,Model!X$1,'Assumptions (NG Midstream)'!$B$75,Model!$AS$249)</f>
        <v>-4.007006927302998E-2</v>
      </c>
      <c r="AU294" s="377">
        <f>PPMT('Assumptions (NG Midstream)'!$B$72,Model!Y$1,'Assumptions (NG Midstream)'!$B$75,Model!$AS$249)</f>
        <v>-4.3075324468507238E-2</v>
      </c>
      <c r="AV294" s="377">
        <f>PPMT('Assumptions (NG Midstream)'!$B$72,Model!Z$1,'Assumptions (NG Midstream)'!$B$75,Model!$AS$249)</f>
        <v>-4.6305973803645276E-2</v>
      </c>
      <c r="AW294" s="377">
        <f>PPMT('Assumptions (NG Midstream)'!$B$72,Model!AA$1,'Assumptions (NG Midstream)'!$B$75,Model!$AS$249)</f>
        <v>-4.9778921838918667E-2</v>
      </c>
      <c r="AX294" s="377">
        <f>PPMT('Assumptions (NG Midstream)'!$B$72,Model!AB$1,'Assumptions (NG Midstream)'!$B$75,Model!$AS$249)</f>
        <v>-5.3512340976837568E-2</v>
      </c>
      <c r="AY294" s="377">
        <f>PPMT('Assumptions (NG Midstream)'!$B$72,Model!AC$1,'Assumptions (NG Midstream)'!$B$75,Model!$AS$249)</f>
        <v>-5.7525766550100388E-2</v>
      </c>
      <c r="AZ294" s="377">
        <f>PPMT('Assumptions (NG Midstream)'!$B$72,Model!AD$1,'Assumptions (NG Midstream)'!$B$75,Model!$AS$249)</f>
        <v>-6.1840199041357909E-2</v>
      </c>
      <c r="BA294" s="377">
        <f>PPMT('Assumptions (NG Midstream)'!$B$72,Model!AE$1,'Assumptions (NG Midstream)'!$B$75,Model!$AS$249)</f>
        <v>-6.6478213969459757E-2</v>
      </c>
      <c r="BB294" s="377">
        <f>PPMT('Assumptions (NG Midstream)'!$B$72,Model!AF$1,'Assumptions (NG Midstream)'!$B$75,Model!$AS$249)</f>
        <v>-7.1464080017169251E-2</v>
      </c>
      <c r="BC294" s="377">
        <f>PPMT('Assumptions (NG Midstream)'!$B$72,Model!AG$1,'Assumptions (NG Midstream)'!$B$75,Model!$AS$249)</f>
        <v>-7.6823886018456924E-2</v>
      </c>
      <c r="BD294" s="377">
        <f>PPMT('Assumptions (NG Midstream)'!$B$72,Model!AH$1,'Assumptions (NG Midstream)'!$B$75,Model!$AS$249)</f>
        <v>-8.2585677469841204E-2</v>
      </c>
      <c r="BE294" s="377">
        <f>PPMT('Assumptions (NG Midstream)'!$B$72,Model!AI$1,'Assumptions (NG Midstream)'!$B$75,Model!$AS$249)</f>
        <v>-8.8779603280079292E-2</v>
      </c>
      <c r="BF294" s="377">
        <f>PPMT('Assumptions (NG Midstream)'!$B$72,Model!AJ$1,'Assumptions (NG Midstream)'!$B$75,Model!$AS$249)</f>
        <v>-9.5438073526085257E-2</v>
      </c>
      <c r="BG294" s="377">
        <f>PPMT('Assumptions (NG Midstream)'!$B$72,Model!AK$1,'Assumptions (NG Midstream)'!$B$75,Model!$AS$249)</f>
        <v>-0.10259592904054164</v>
      </c>
      <c r="BH294" s="377" t="e">
        <f>PPMT('Assumptions (NG Midstream)'!$B$72,Model!AL$1,'Assumptions (NG Midstream)'!$B$75,Model!$AS$249)</f>
        <v>#NUM!</v>
      </c>
      <c r="BI294" s="377" t="e">
        <f>PPMT('Assumptions (NG Midstream)'!$B$72,Model!AM$1,'Assumptions (NG Midstream)'!$B$75,Model!$AS$249)</f>
        <v>#NUM!</v>
      </c>
      <c r="BJ294" s="377" t="e">
        <f>PPMT('Assumptions (NG Midstream)'!$B$72,Model!AN$1,'Assumptions (NG Midstream)'!$B$75,Model!$AS$249)</f>
        <v>#NUM!</v>
      </c>
      <c r="BK294" s="377" t="e">
        <f>PPMT('Assumptions (NG Midstream)'!$B$72,Model!AO$1,'Assumptions (NG Midstream)'!$B$75,Model!$AS$249)</f>
        <v>#NUM!</v>
      </c>
      <c r="BL294" s="377" t="e">
        <f>PPMT('Assumptions (NG Midstream)'!$B$72,Model!AP$1,'Assumptions (NG Midstream)'!$B$75,Model!$AS$249)</f>
        <v>#NUM!</v>
      </c>
      <c r="BM294" s="377" t="e">
        <f>PPMT('Assumptions (NG Midstream)'!$B$72,Model!AQ$1,'Assumptions (NG Midstream)'!$B$75,Model!$AS$249)</f>
        <v>#NUM!</v>
      </c>
      <c r="BN294" s="377" t="e">
        <f>PPMT('Assumptions (NG Midstream)'!$B$72,Model!AR$1,'Assumptions (NG Midstream)'!$B$75,Model!$AS$249)</f>
        <v>#NUM!</v>
      </c>
      <c r="BO294" s="377" t="e">
        <f>PPMT('Assumptions (NG Midstream)'!$B$72,Model!AS$1,'Assumptions (NG Midstream)'!$B$75,Model!$AS$249)</f>
        <v>#NUM!</v>
      </c>
      <c r="BP294" s="377" t="e">
        <f>PPMT('Assumptions (NG Midstream)'!$B$72,Model!AT$1,'Assumptions (NG Midstream)'!$B$75,Model!$AS$249)</f>
        <v>#NUM!</v>
      </c>
      <c r="BQ294" s="377" t="e">
        <f>PPMT('Assumptions (NG Midstream)'!$B$72,Model!AU$1,'Assumptions (NG Midstream)'!$B$75,Model!$AS$249)</f>
        <v>#NUM!</v>
      </c>
    </row>
    <row r="295" spans="1:77" ht="15.75" hidden="1" customHeight="1" outlineLevel="1">
      <c r="A295" s="365"/>
      <c r="B295" s="99"/>
      <c r="C295" s="377"/>
      <c r="D295" s="377"/>
      <c r="E295" s="377"/>
      <c r="F295" s="377"/>
      <c r="G295" s="377"/>
      <c r="H295" s="377"/>
      <c r="I295" s="377"/>
      <c r="J295" s="377"/>
      <c r="K295" s="377"/>
      <c r="L295" s="377"/>
      <c r="M295" s="377"/>
      <c r="N295" s="377"/>
      <c r="O295" s="377"/>
      <c r="P295" s="377"/>
      <c r="Q295" s="377"/>
      <c r="R295" s="377"/>
      <c r="S295" s="42"/>
      <c r="T295" s="42"/>
      <c r="U295" s="42"/>
      <c r="V295" s="42"/>
      <c r="W295" s="86"/>
      <c r="AT295" s="377">
        <f>PPMT('Assumptions (NG Midstream)'!$B$72,Model!W$1,'Assumptions (NG Midstream)'!$B$75,Model!$AT$249)</f>
        <v>-4.2382301161586075E-2</v>
      </c>
      <c r="AU295" s="377">
        <f>PPMT('Assumptions (NG Midstream)'!$B$72,Model!X$1,'Assumptions (NG Midstream)'!$B$75,Model!$AT$249)</f>
        <v>-4.5560973748705026E-2</v>
      </c>
      <c r="AV295" s="377">
        <f>PPMT('Assumptions (NG Midstream)'!$B$72,Model!Y$1,'Assumptions (NG Midstream)'!$B$75,Model!$AT$249)</f>
        <v>-4.8978046779857919E-2</v>
      </c>
      <c r="AW295" s="377">
        <f>PPMT('Assumptions (NG Midstream)'!$B$72,Model!Z$1,'Assumptions (NG Midstream)'!$B$75,Model!$AT$249)</f>
        <v>-5.2651400288347243E-2</v>
      </c>
      <c r="AX295" s="377">
        <f>PPMT('Assumptions (NG Midstream)'!$B$72,Model!AA$1,'Assumptions (NG Midstream)'!$B$75,Model!$AT$249)</f>
        <v>-5.6600255309973285E-2</v>
      </c>
      <c r="AY295" s="377">
        <f>PPMT('Assumptions (NG Midstream)'!$B$72,Model!AB$1,'Assumptions (NG Midstream)'!$B$75,Model!$AT$249)</f>
        <v>-6.0845274458221292E-2</v>
      </c>
      <c r="AZ295" s="377">
        <f>PPMT('Assumptions (NG Midstream)'!$B$72,Model!AC$1,'Assumptions (NG Midstream)'!$B$75,Model!$AT$249)</f>
        <v>-6.5408670042587894E-2</v>
      </c>
      <c r="BA295" s="377">
        <f>PPMT('Assumptions (NG Midstream)'!$B$72,Model!AD$1,'Assumptions (NG Midstream)'!$B$75,Model!$AT$249)</f>
        <v>-7.0314320295781968E-2</v>
      </c>
      <c r="BB295" s="377">
        <f>PPMT('Assumptions (NG Midstream)'!$B$72,Model!AE$1,'Assumptions (NG Midstream)'!$B$75,Model!$AT$249)</f>
        <v>-7.5587894317965629E-2</v>
      </c>
      <c r="BC295" s="377">
        <f>PPMT('Assumptions (NG Midstream)'!$B$72,Model!AF$1,'Assumptions (NG Midstream)'!$B$75,Model!$AT$249)</f>
        <v>-8.1256986391813044E-2</v>
      </c>
      <c r="BD295" s="377">
        <f>PPMT('Assumptions (NG Midstream)'!$B$72,Model!AG$1,'Assumptions (NG Midstream)'!$B$75,Model!$AT$249)</f>
        <v>-8.735126037119903E-2</v>
      </c>
      <c r="BE295" s="377">
        <f>PPMT('Assumptions (NG Midstream)'!$B$72,Model!AH$1,'Assumptions (NG Midstream)'!$B$75,Model!$AT$249)</f>
        <v>-9.3902604899038955E-2</v>
      </c>
      <c r="BF295" s="377">
        <f>PPMT('Assumptions (NG Midstream)'!$B$72,Model!AI$1,'Assumptions (NG Midstream)'!$B$75,Model!$AT$249)</f>
        <v>-0.10094530026646688</v>
      </c>
      <c r="BG295" s="377">
        <f>PPMT('Assumptions (NG Midstream)'!$B$72,Model!AJ$1,'Assumptions (NG Midstream)'!$B$75,Model!$AT$249)</f>
        <v>-0.1085161977864519</v>
      </c>
      <c r="BH295" s="377">
        <f>PPMT('Assumptions (NG Midstream)'!$B$72,Model!AK$1,'Assumptions (NG Midstream)'!$B$75,Model!$AT$249)</f>
        <v>-0.11665491262043579</v>
      </c>
      <c r="BI295" s="377" t="e">
        <f>PPMT('Assumptions (NG Midstream)'!$B$72,Model!AL$1,'Assumptions (NG Midstream)'!$B$75,Model!$AT$249)</f>
        <v>#NUM!</v>
      </c>
      <c r="BJ295" s="377" t="e">
        <f>PPMT('Assumptions (NG Midstream)'!$B$72,Model!AM$1,'Assumptions (NG Midstream)'!$B$75,Model!$AT$249)</f>
        <v>#NUM!</v>
      </c>
      <c r="BK295" s="377" t="e">
        <f>PPMT('Assumptions (NG Midstream)'!$B$72,Model!AN$1,'Assumptions (NG Midstream)'!$B$75,Model!$AT$249)</f>
        <v>#NUM!</v>
      </c>
      <c r="BL295" s="377" t="e">
        <f>PPMT('Assumptions (NG Midstream)'!$B$72,Model!AO$1,'Assumptions (NG Midstream)'!$B$75,Model!$AT$249)</f>
        <v>#NUM!</v>
      </c>
      <c r="BM295" s="377" t="e">
        <f>PPMT('Assumptions (NG Midstream)'!$B$72,Model!AP$1,'Assumptions (NG Midstream)'!$B$75,Model!$AT$249)</f>
        <v>#NUM!</v>
      </c>
      <c r="BN295" s="377" t="e">
        <f>PPMT('Assumptions (NG Midstream)'!$B$72,Model!AQ$1,'Assumptions (NG Midstream)'!$B$75,Model!$AT$249)</f>
        <v>#NUM!</v>
      </c>
      <c r="BO295" s="377" t="e">
        <f>PPMT('Assumptions (NG Midstream)'!$B$72,Model!AR$1,'Assumptions (NG Midstream)'!$B$75,Model!$AT$249)</f>
        <v>#NUM!</v>
      </c>
      <c r="BP295" s="377" t="e">
        <f>PPMT('Assumptions (NG Midstream)'!$B$72,Model!AS$1,'Assumptions (NG Midstream)'!$B$75,Model!$AT$249)</f>
        <v>#NUM!</v>
      </c>
      <c r="BQ295" s="377" t="e">
        <f>PPMT('Assumptions (NG Midstream)'!$B$72,Model!AT$1,'Assumptions (NG Midstream)'!$B$75,Model!$AT$249)</f>
        <v>#NUM!</v>
      </c>
      <c r="BR295" s="377" t="e">
        <f>PPMT('Assumptions (NG Midstream)'!$B$72,Model!AU$1,'Assumptions (NG Midstream)'!$B$75,Model!$AT$249)</f>
        <v>#NUM!</v>
      </c>
    </row>
    <row r="296" spans="1:77" ht="15.75" hidden="1" customHeight="1" outlineLevel="1">
      <c r="A296" s="365"/>
      <c r="B296" s="99"/>
      <c r="C296" s="377"/>
      <c r="D296" s="377"/>
      <c r="E296" s="377"/>
      <c r="F296" s="377"/>
      <c r="G296" s="377"/>
      <c r="H296" s="377"/>
      <c r="I296" s="377"/>
      <c r="J296" s="377"/>
      <c r="K296" s="377"/>
      <c r="L296" s="377"/>
      <c r="M296" s="377"/>
      <c r="N296" s="377"/>
      <c r="O296" s="377"/>
      <c r="P296" s="377"/>
      <c r="Q296" s="377"/>
      <c r="R296" s="377"/>
      <c r="S296" s="42"/>
      <c r="T296" s="42"/>
      <c r="U296" s="42"/>
      <c r="V296" s="42"/>
      <c r="W296" s="86"/>
      <c r="AU296" s="377">
        <f>PPMT('Assumptions (NG Midstream)'!$B$72,Model!W$1,'Assumptions (NG Midstream)'!$B$75,Model!$AU$249)</f>
        <v>-3.9066953646275979E-2</v>
      </c>
      <c r="AV296" s="377">
        <f>PPMT('Assumptions (NG Midstream)'!$B$72,Model!X$1,'Assumptions (NG Midstream)'!$B$75,Model!$AU$249)</f>
        <v>-4.1996975169746674E-2</v>
      </c>
      <c r="AW296" s="377">
        <f>PPMT('Assumptions (NG Midstream)'!$B$72,Model!Y$1,'Assumptions (NG Midstream)'!$B$75,Model!$AU$249)</f>
        <v>-4.5146748307477676E-2</v>
      </c>
      <c r="AX296" s="377">
        <f>PPMT('Assumptions (NG Midstream)'!$B$72,Model!Z$1,'Assumptions (NG Midstream)'!$B$75,Model!$AU$249)</f>
        <v>-4.8532754430538505E-2</v>
      </c>
      <c r="AY296" s="377">
        <f>PPMT('Assumptions (NG Midstream)'!$B$72,Model!AA$1,'Assumptions (NG Midstream)'!$B$75,Model!$AU$249)</f>
        <v>-5.217271101282888E-2</v>
      </c>
      <c r="AZ296" s="377">
        <f>PPMT('Assumptions (NG Midstream)'!$B$72,Model!AB$1,'Assumptions (NG Midstream)'!$B$75,Model!$AU$249)</f>
        <v>-5.6085664338791051E-2</v>
      </c>
      <c r="BA296" s="377">
        <f>PPMT('Assumptions (NG Midstream)'!$B$72,Model!AC$1,'Assumptions (NG Midstream)'!$B$75,Model!$AU$249)</f>
        <v>-6.0292089164200383E-2</v>
      </c>
      <c r="BB296" s="377">
        <f>PPMT('Assumptions (NG Midstream)'!$B$72,Model!AD$1,'Assumptions (NG Midstream)'!$B$75,Model!$AU$249)</f>
        <v>-6.4813995851515413E-2</v>
      </c>
      <c r="BC296" s="377">
        <f>PPMT('Assumptions (NG Midstream)'!$B$72,Model!AE$1,'Assumptions (NG Midstream)'!$B$75,Model!$AU$249)</f>
        <v>-6.9675045540379066E-2</v>
      </c>
      <c r="BD296" s="377">
        <f>PPMT('Assumptions (NG Midstream)'!$B$72,Model!AF$1,'Assumptions (NG Midstream)'!$B$75,Model!$AU$249)</f>
        <v>-7.4900673955907493E-2</v>
      </c>
      <c r="BE296" s="377">
        <f>PPMT('Assumptions (NG Midstream)'!$B$72,Model!AG$1,'Assumptions (NG Midstream)'!$B$75,Model!$AU$249)</f>
        <v>-8.0518224502600558E-2</v>
      </c>
      <c r="BF296" s="377">
        <f>PPMT('Assumptions (NG Midstream)'!$B$72,Model!AH$1,'Assumptions (NG Midstream)'!$B$75,Model!$AU$249)</f>
        <v>-8.65570913402956E-2</v>
      </c>
      <c r="BG296" s="377">
        <f>PPMT('Assumptions (NG Midstream)'!$B$72,Model!AI$1,'Assumptions (NG Midstream)'!$B$75,Model!$AU$249)</f>
        <v>-9.3048873190817782E-2</v>
      </c>
      <c r="BH296" s="377">
        <f>PPMT('Assumptions (NG Midstream)'!$B$72,Model!AJ$1,'Assumptions (NG Midstream)'!$B$75,Model!$AU$249)</f>
        <v>-0.1000275386801291</v>
      </c>
      <c r="BI296" s="377">
        <f>PPMT('Assumptions (NG Midstream)'!$B$72,Model!AK$1,'Assumptions (NG Midstream)'!$B$75,Model!$AU$249)</f>
        <v>-0.10752960408113878</v>
      </c>
      <c r="BJ296" s="377" t="e">
        <f>PPMT('Assumptions (NG Midstream)'!$B$72,Model!AL$1,'Assumptions (NG Midstream)'!$B$75,Model!$AU$249)</f>
        <v>#NUM!</v>
      </c>
      <c r="BK296" s="377" t="e">
        <f>PPMT('Assumptions (NG Midstream)'!$B$72,Model!AM$1,'Assumptions (NG Midstream)'!$B$75,Model!$AU$249)</f>
        <v>#NUM!</v>
      </c>
      <c r="BL296" s="377" t="e">
        <f>PPMT('Assumptions (NG Midstream)'!$B$72,Model!AN$1,'Assumptions (NG Midstream)'!$B$75,Model!$AU$249)</f>
        <v>#NUM!</v>
      </c>
      <c r="BM296" s="377" t="e">
        <f>PPMT('Assumptions (NG Midstream)'!$B$72,Model!AO$1,'Assumptions (NG Midstream)'!$B$75,Model!$AU$249)</f>
        <v>#NUM!</v>
      </c>
      <c r="BN296" s="377" t="e">
        <f>PPMT('Assumptions (NG Midstream)'!$B$72,Model!AP$1,'Assumptions (NG Midstream)'!$B$75,Model!$AU$249)</f>
        <v>#NUM!</v>
      </c>
      <c r="BO296" s="377" t="e">
        <f>PPMT('Assumptions (NG Midstream)'!$B$72,Model!AQ$1,'Assumptions (NG Midstream)'!$B$75,Model!$AU$249)</f>
        <v>#NUM!</v>
      </c>
      <c r="BP296" s="377" t="e">
        <f>PPMT('Assumptions (NG Midstream)'!$B$72,Model!AR$1,'Assumptions (NG Midstream)'!$B$75,Model!$AU$249)</f>
        <v>#NUM!</v>
      </c>
      <c r="BQ296" s="377" t="e">
        <f>PPMT('Assumptions (NG Midstream)'!$B$72,Model!AS$1,'Assumptions (NG Midstream)'!$B$75,Model!$AU$249)</f>
        <v>#NUM!</v>
      </c>
      <c r="BR296" s="377" t="e">
        <f>PPMT('Assumptions (NG Midstream)'!$B$72,Model!AT$1,'Assumptions (NG Midstream)'!$B$75,Model!$AU$249)</f>
        <v>#NUM!</v>
      </c>
      <c r="BS296" s="377" t="e">
        <f>PPMT('Assumptions (NG Midstream)'!$B$72,Model!AU$1,'Assumptions (NG Midstream)'!$B$75,Model!$AU$249)</f>
        <v>#NUM!</v>
      </c>
    </row>
    <row r="297" spans="1:77" ht="15.75" hidden="1" customHeight="1" outlineLevel="1">
      <c r="A297" s="365"/>
      <c r="B297" s="99"/>
      <c r="C297" s="377"/>
      <c r="D297" s="377"/>
      <c r="E297" s="377"/>
      <c r="F297" s="377"/>
      <c r="G297" s="377"/>
      <c r="H297" s="377"/>
      <c r="I297" s="377"/>
      <c r="J297" s="377"/>
      <c r="K297" s="377"/>
      <c r="L297" s="377"/>
      <c r="M297" s="377"/>
      <c r="N297" s="377"/>
      <c r="O297" s="377"/>
      <c r="P297" s="377"/>
      <c r="Q297" s="377"/>
      <c r="R297" s="377"/>
      <c r="S297" s="42"/>
      <c r="T297" s="42"/>
      <c r="U297" s="42"/>
      <c r="V297" s="42"/>
      <c r="W297" s="86"/>
      <c r="AV297" s="377">
        <f>PPMT('Assumptions (NG Midstream)'!$B$72,Model!W$1,'Assumptions (NG Midstream)'!$B$75,Model!$AV$249)</f>
        <v>-3.6954822778367362E-2</v>
      </c>
      <c r="AW297" s="377">
        <f>PPMT('Assumptions (NG Midstream)'!$B$72,Model!X$1,'Assumptions (NG Midstream)'!$B$75,Model!$AV$249)</f>
        <v>-3.9726434486744906E-2</v>
      </c>
      <c r="AX297" s="377">
        <f>PPMT('Assumptions (NG Midstream)'!$B$72,Model!Y$1,'Assumptions (NG Midstream)'!$B$75,Model!$AV$249)</f>
        <v>-4.270591707325079E-2</v>
      </c>
      <c r="AY297" s="377">
        <f>PPMT('Assumptions (NG Midstream)'!$B$72,Model!Z$1,'Assumptions (NG Midstream)'!$B$75,Model!$AV$249)</f>
        <v>-4.5908860853744592E-2</v>
      </c>
      <c r="AZ297" s="377">
        <f>PPMT('Assumptions (NG Midstream)'!$B$72,Model!AA$1,'Assumptions (NG Midstream)'!$B$75,Model!$AV$249)</f>
        <v>-4.9352025417775433E-2</v>
      </c>
      <c r="BA297" s="377">
        <f>PPMT('Assumptions (NG Midstream)'!$B$72,Model!AB$1,'Assumptions (NG Midstream)'!$B$75,Model!$AV$249)</f>
        <v>-5.3053427324108594E-2</v>
      </c>
      <c r="BB297" s="377">
        <f>PPMT('Assumptions (NG Midstream)'!$B$72,Model!AC$1,'Assumptions (NG Midstream)'!$B$75,Model!$AV$249)</f>
        <v>-5.7032434373416735E-2</v>
      </c>
      <c r="BC297" s="377">
        <f>PPMT('Assumptions (NG Midstream)'!$B$72,Model!AD$1,'Assumptions (NG Midstream)'!$B$75,Model!$AV$249)</f>
        <v>-6.1309866951422987E-2</v>
      </c>
      <c r="BD297" s="377">
        <f>PPMT('Assumptions (NG Midstream)'!$B$72,Model!AE$1,'Assumptions (NG Midstream)'!$B$75,Model!$AV$249)</f>
        <v>-6.5908106972779726E-2</v>
      </c>
      <c r="BE297" s="377">
        <f>PPMT('Assumptions (NG Midstream)'!$B$72,Model!AF$1,'Assumptions (NG Midstream)'!$B$75,Model!$AV$249)</f>
        <v>-7.0851214995738196E-2</v>
      </c>
      <c r="BF297" s="377">
        <f>PPMT('Assumptions (NG Midstream)'!$B$72,Model!AG$1,'Assumptions (NG Midstream)'!$B$75,Model!$AV$249)</f>
        <v>-7.6165056120418545E-2</v>
      </c>
      <c r="BG297" s="377">
        <f>PPMT('Assumptions (NG Midstream)'!$B$72,Model!AH$1,'Assumptions (NG Midstream)'!$B$75,Model!$AV$249)</f>
        <v>-8.1877435329449938E-2</v>
      </c>
      <c r="BH297" s="377">
        <f>PPMT('Assumptions (NG Midstream)'!$B$72,Model!AI$1,'Assumptions (NG Midstream)'!$B$75,Model!$AV$249)</f>
        <v>-8.8018242979158695E-2</v>
      </c>
      <c r="BI297" s="377">
        <f>PPMT('Assumptions (NG Midstream)'!$B$72,Model!AJ$1,'Assumptions (NG Midstream)'!$B$75,Model!$AV$249)</f>
        <v>-9.4619611202595613E-2</v>
      </c>
      <c r="BJ297" s="377">
        <f>PPMT('Assumptions (NG Midstream)'!$B$72,Model!AK$1,'Assumptions (NG Midstream)'!$B$75,Model!$AV$249)</f>
        <v>-0.10171608204279027</v>
      </c>
      <c r="BK297" s="377" t="e">
        <f>PPMT('Assumptions (NG Midstream)'!$B$72,Model!AL$1,'Assumptions (NG Midstream)'!$B$75,Model!$AV$249)</f>
        <v>#NUM!</v>
      </c>
      <c r="BL297" s="377" t="e">
        <f>PPMT('Assumptions (NG Midstream)'!$B$72,Model!AM$1,'Assumptions (NG Midstream)'!$B$75,Model!$AV$249)</f>
        <v>#NUM!</v>
      </c>
      <c r="BM297" s="377" t="e">
        <f>PPMT('Assumptions (NG Midstream)'!$B$72,Model!AN$1,'Assumptions (NG Midstream)'!$B$75,Model!$AV$249)</f>
        <v>#NUM!</v>
      </c>
      <c r="BN297" s="377" t="e">
        <f>PPMT('Assumptions (NG Midstream)'!$B$72,Model!AO$1,'Assumptions (NG Midstream)'!$B$75,Model!$AV$249)</f>
        <v>#NUM!</v>
      </c>
      <c r="BO297" s="377" t="e">
        <f>PPMT('Assumptions (NG Midstream)'!$B$72,Model!AP$1,'Assumptions (NG Midstream)'!$B$75,Model!$AV$249)</f>
        <v>#NUM!</v>
      </c>
      <c r="BP297" s="377" t="e">
        <f>PPMT('Assumptions (NG Midstream)'!$B$72,Model!AQ$1,'Assumptions (NG Midstream)'!$B$75,Model!$AV$249)</f>
        <v>#NUM!</v>
      </c>
      <c r="BQ297" s="377" t="e">
        <f>PPMT('Assumptions (NG Midstream)'!$B$72,Model!AR$1,'Assumptions (NG Midstream)'!$B$75,Model!$AV$249)</f>
        <v>#NUM!</v>
      </c>
      <c r="BR297" s="377" t="e">
        <f>PPMT('Assumptions (NG Midstream)'!$B$72,Model!AS$1,'Assumptions (NG Midstream)'!$B$75,Model!$AV$249)</f>
        <v>#NUM!</v>
      </c>
      <c r="BS297" s="377" t="e">
        <f>PPMT('Assumptions (NG Midstream)'!$B$72,Model!AT$1,'Assumptions (NG Midstream)'!$B$75,Model!$AV$249)</f>
        <v>#NUM!</v>
      </c>
      <c r="BT297" s="377" t="e">
        <f>PPMT('Assumptions (NG Midstream)'!$B$72,Model!AU$1,'Assumptions (NG Midstream)'!$B$75,Model!$AV$249)</f>
        <v>#NUM!</v>
      </c>
    </row>
    <row r="298" spans="1:77" ht="15.75" hidden="1" customHeight="1" outlineLevel="1">
      <c r="A298" s="365"/>
      <c r="B298" s="99"/>
      <c r="C298" s="377"/>
      <c r="D298" s="377"/>
      <c r="E298" s="377"/>
      <c r="F298" s="377"/>
      <c r="G298" s="377"/>
      <c r="H298" s="377"/>
      <c r="I298" s="377"/>
      <c r="J298" s="377"/>
      <c r="K298" s="377"/>
      <c r="L298" s="377"/>
      <c r="M298" s="377"/>
      <c r="N298" s="377"/>
      <c r="O298" s="377"/>
      <c r="P298" s="377"/>
      <c r="Q298" s="377"/>
      <c r="R298" s="377"/>
      <c r="S298" s="42"/>
      <c r="T298" s="42"/>
      <c r="U298" s="42"/>
      <c r="V298" s="42"/>
      <c r="W298" s="86"/>
      <c r="AW298" s="377">
        <f>PPMT('Assumptions (NG Midstream)'!$B$72,Model!W$1,'Assumptions (NG Midstream)'!$B$75,Model!$AW$249)</f>
        <v>-4.0315005409446845E-2</v>
      </c>
      <c r="AX298" s="377">
        <f>PPMT('Assumptions (NG Midstream)'!$B$72,Model!X$1,'Assumptions (NG Midstream)'!$B$75,Model!$AW$249)</f>
        <v>-4.3338630815155363E-2</v>
      </c>
      <c r="AY298" s="377">
        <f>PPMT('Assumptions (NG Midstream)'!$B$72,Model!Y$1,'Assumptions (NG Midstream)'!$B$75,Model!$AW$249)</f>
        <v>-4.6589028126292016E-2</v>
      </c>
      <c r="AZ298" s="377">
        <f>PPMT('Assumptions (NG Midstream)'!$B$72,Model!Z$1,'Assumptions (NG Midstream)'!$B$75,Model!$AW$249)</f>
        <v>-5.0083205235763914E-2</v>
      </c>
      <c r="BA298" s="377">
        <f>PPMT('Assumptions (NG Midstream)'!$B$72,Model!AA$1,'Assumptions (NG Midstream)'!$B$75,Model!$AW$249)</f>
        <v>-5.3839445628446204E-2</v>
      </c>
      <c r="BB298" s="377">
        <f>PPMT('Assumptions (NG Midstream)'!$B$72,Model!AB$1,'Assumptions (NG Midstream)'!$B$75,Model!$AW$249)</f>
        <v>-5.7877404050579673E-2</v>
      </c>
      <c r="BC298" s="377">
        <f>PPMT('Assumptions (NG Midstream)'!$B$72,Model!AC$1,'Assumptions (NG Midstream)'!$B$75,Model!$AW$249)</f>
        <v>-6.2218209354373145E-2</v>
      </c>
      <c r="BD298" s="377">
        <f>PPMT('Assumptions (NG Midstream)'!$B$72,Model!AD$1,'Assumptions (NG Midstream)'!$B$75,Model!$AW$249)</f>
        <v>-6.688457505595112E-2</v>
      </c>
      <c r="BE298" s="377">
        <f>PPMT('Assumptions (NG Midstream)'!$B$72,Model!AE$1,'Assumptions (NG Midstream)'!$B$75,Model!$AW$249)</f>
        <v>-7.1900918185147475E-2</v>
      </c>
      <c r="BF298" s="377">
        <f>PPMT('Assumptions (NG Midstream)'!$B$72,Model!AF$1,'Assumptions (NG Midstream)'!$B$75,Model!$AW$249)</f>
        <v>-7.7293487049033535E-2</v>
      </c>
      <c r="BG298" s="377">
        <f>PPMT('Assumptions (NG Midstream)'!$B$72,Model!AG$1,'Assumptions (NG Midstream)'!$B$75,Model!$AW$249)</f>
        <v>-8.3090498577711044E-2</v>
      </c>
      <c r="BH298" s="377">
        <f>PPMT('Assumptions (NG Midstream)'!$B$72,Model!AH$1,'Assumptions (NG Midstream)'!$B$75,Model!$AW$249)</f>
        <v>-8.9322285971039361E-2</v>
      </c>
      <c r="BI298" s="377">
        <f>PPMT('Assumptions (NG Midstream)'!$B$72,Model!AI$1,'Assumptions (NG Midstream)'!$B$75,Model!$AW$249)</f>
        <v>-9.602145741886732E-2</v>
      </c>
      <c r="BJ298" s="377">
        <f>PPMT('Assumptions (NG Midstream)'!$B$72,Model!AJ$1,'Assumptions (NG Midstream)'!$B$75,Model!$AW$249)</f>
        <v>-0.10322306672528239</v>
      </c>
      <c r="BK298" s="377">
        <f>PPMT('Assumptions (NG Midstream)'!$B$72,Model!AK$1,'Assumptions (NG Midstream)'!$B$75,Model!$AW$249)</f>
        <v>-0.11096479672967856</v>
      </c>
      <c r="BL298" s="377" t="e">
        <f>PPMT('Assumptions (NG Midstream)'!$B$72,Model!AL$1,'Assumptions (NG Midstream)'!$B$75,Model!$AW$249)</f>
        <v>#NUM!</v>
      </c>
      <c r="BM298" s="377" t="e">
        <f>PPMT('Assumptions (NG Midstream)'!$B$72,Model!AM$1,'Assumptions (NG Midstream)'!$B$75,Model!$AW$249)</f>
        <v>#NUM!</v>
      </c>
      <c r="BN298" s="377" t="e">
        <f>PPMT('Assumptions (NG Midstream)'!$B$72,Model!AN$1,'Assumptions (NG Midstream)'!$B$75,Model!$AW$249)</f>
        <v>#NUM!</v>
      </c>
      <c r="BO298" s="377" t="e">
        <f>PPMT('Assumptions (NG Midstream)'!$B$72,Model!AO$1,'Assumptions (NG Midstream)'!$B$75,Model!$AW$249)</f>
        <v>#NUM!</v>
      </c>
      <c r="BP298" s="377" t="e">
        <f>PPMT('Assumptions (NG Midstream)'!$B$72,Model!AP$1,'Assumptions (NG Midstream)'!$B$75,Model!$AW$249)</f>
        <v>#NUM!</v>
      </c>
      <c r="BQ298" s="377" t="e">
        <f>PPMT('Assumptions (NG Midstream)'!$B$72,Model!AQ$1,'Assumptions (NG Midstream)'!$B$75,Model!$AW$249)</f>
        <v>#NUM!</v>
      </c>
      <c r="BR298" s="377" t="e">
        <f>PPMT('Assumptions (NG Midstream)'!$B$72,Model!AR$1,'Assumptions (NG Midstream)'!$B$75,Model!$AW$249)</f>
        <v>#NUM!</v>
      </c>
      <c r="BS298" s="377" t="e">
        <f>PPMT('Assumptions (NG Midstream)'!$B$72,Model!AS$1,'Assumptions (NG Midstream)'!$B$75,Model!$AW$249)</f>
        <v>#NUM!</v>
      </c>
      <c r="BT298" s="377" t="e">
        <f>PPMT('Assumptions (NG Midstream)'!$B$72,Model!AT$1,'Assumptions (NG Midstream)'!$B$75,Model!$AW$249)</f>
        <v>#NUM!</v>
      </c>
      <c r="BU298" s="377" t="e">
        <f>PPMT('Assumptions (NG Midstream)'!$B$72,Model!AU$1,'Assumptions (NG Midstream)'!$B$75,Model!$AW$249)</f>
        <v>#NUM!</v>
      </c>
    </row>
    <row r="299" spans="1:77" ht="15.75" hidden="1" customHeight="1" outlineLevel="1">
      <c r="A299" s="365"/>
      <c r="B299" s="99"/>
      <c r="C299" s="377"/>
      <c r="D299" s="377"/>
      <c r="E299" s="377"/>
      <c r="F299" s="377"/>
      <c r="G299" s="377"/>
      <c r="H299" s="377"/>
      <c r="I299" s="377"/>
      <c r="J299" s="377"/>
      <c r="K299" s="377"/>
      <c r="L299" s="377"/>
      <c r="M299" s="377"/>
      <c r="N299" s="377"/>
      <c r="O299" s="377"/>
      <c r="P299" s="377"/>
      <c r="Q299" s="377"/>
      <c r="R299" s="377"/>
      <c r="S299" s="42"/>
      <c r="T299" s="42"/>
      <c r="U299" s="42"/>
      <c r="V299" s="42"/>
      <c r="W299" s="86"/>
      <c r="AW299" s="377"/>
      <c r="AX299" s="377">
        <f>PPMT('Assumptions (NG Midstream)'!$B$72,Model!W$1,'Assumptions (NG Midstream)'!$B$75,Model!$AX$249)</f>
        <v>-4.289874228932198E-2</v>
      </c>
      <c r="AY299" s="377">
        <f>PPMT('Assumptions (NG Midstream)'!$B$72,Model!X$1,'Assumptions (NG Midstream)'!$B$75,Model!$AX$249)</f>
        <v>-4.6116147961021134E-2</v>
      </c>
      <c r="AZ299" s="377">
        <f>PPMT('Assumptions (NG Midstream)'!$B$72,Model!Y$1,'Assumptions (NG Midstream)'!$B$75,Model!$AX$249)</f>
        <v>-4.9574859058097727E-2</v>
      </c>
      <c r="BA299" s="377">
        <f>PPMT('Assumptions (NG Midstream)'!$B$72,Model!Z$1,'Assumptions (NG Midstream)'!$B$75,Model!$AX$249)</f>
        <v>-5.3292973487455049E-2</v>
      </c>
      <c r="BB299" s="377">
        <f>PPMT('Assumptions (NG Midstream)'!$B$72,Model!AA$1,'Assumptions (NG Midstream)'!$B$75,Model!$AX$249)</f>
        <v>-5.7289946499014172E-2</v>
      </c>
      <c r="BC299" s="377">
        <f>PPMT('Assumptions (NG Midstream)'!$B$72,Model!AB$1,'Assumptions (NG Midstream)'!$B$75,Model!$AX$249)</f>
        <v>-6.1586692486440241E-2</v>
      </c>
      <c r="BD299" s="377">
        <f>PPMT('Assumptions (NG Midstream)'!$B$72,Model!AC$1,'Assumptions (NG Midstream)'!$B$75,Model!$AX$249)</f>
        <v>-6.6205694422923261E-2</v>
      </c>
      <c r="BE299" s="377">
        <f>PPMT('Assumptions (NG Midstream)'!$B$72,Model!AD$1,'Assumptions (NG Midstream)'!$B$75,Model!$AX$249)</f>
        <v>-7.1171121504642498E-2</v>
      </c>
      <c r="BF299" s="377">
        <f>PPMT('Assumptions (NG Midstream)'!$B$72,Model!AE$1,'Assumptions (NG Midstream)'!$B$75,Model!$AX$249)</f>
        <v>-7.6508955617490687E-2</v>
      </c>
      <c r="BG299" s="377">
        <f>PPMT('Assumptions (NG Midstream)'!$B$72,Model!AF$1,'Assumptions (NG Midstream)'!$B$75,Model!$AX$249)</f>
        <v>-8.2247127288802499E-2</v>
      </c>
      <c r="BH299" s="377">
        <f>PPMT('Assumptions (NG Midstream)'!$B$72,Model!AG$1,'Assumptions (NG Midstream)'!$B$75,Model!$AX$249)</f>
        <v>-8.8415661835462664E-2</v>
      </c>
      <c r="BI299" s="377">
        <f>PPMT('Assumptions (NG Midstream)'!$B$72,Model!AH$1,'Assumptions (NG Midstream)'!$B$75,Model!$AX$249)</f>
        <v>-9.5046836473122384E-2</v>
      </c>
      <c r="BJ299" s="377">
        <f>PPMT('Assumptions (NG Midstream)'!$B$72,Model!AI$1,'Assumptions (NG Midstream)'!$B$75,Model!$AX$249)</f>
        <v>-0.10217534920860656</v>
      </c>
      <c r="BK299" s="377">
        <f>PPMT('Assumptions (NG Midstream)'!$B$72,Model!AJ$1,'Assumptions (NG Midstream)'!$B$75,Model!$AX$249)</f>
        <v>-0.10983850039925207</v>
      </c>
      <c r="BL299" s="377">
        <f>PPMT('Assumptions (NG Midstream)'!$B$72,Model!AK$1,'Assumptions (NG Midstream)'!$B$75,Model!$AX$249)</f>
        <v>-0.11807638792919595</v>
      </c>
      <c r="BM299" s="377" t="e">
        <f>PPMT('Assumptions (NG Midstream)'!$B$72,Model!AL$1,'Assumptions (NG Midstream)'!$B$75,Model!$AX$249)</f>
        <v>#NUM!</v>
      </c>
      <c r="BN299" s="377" t="e">
        <f>PPMT('Assumptions (NG Midstream)'!$B$72,Model!AM$1,'Assumptions (NG Midstream)'!$B$75,Model!$AX$249)</f>
        <v>#NUM!</v>
      </c>
      <c r="BO299" s="377" t="e">
        <f>PPMT('Assumptions (NG Midstream)'!$B$72,Model!AN$1,'Assumptions (NG Midstream)'!$B$75,Model!$AX$249)</f>
        <v>#NUM!</v>
      </c>
      <c r="BP299" s="377" t="e">
        <f>PPMT('Assumptions (NG Midstream)'!$B$72,Model!AO$1,'Assumptions (NG Midstream)'!$B$75,Model!$AX$249)</f>
        <v>#NUM!</v>
      </c>
      <c r="BQ299" s="377" t="e">
        <f>PPMT('Assumptions (NG Midstream)'!$B$72,Model!AP$1,'Assumptions (NG Midstream)'!$B$75,Model!$AX$249)</f>
        <v>#NUM!</v>
      </c>
      <c r="BR299" s="377" t="e">
        <f>PPMT('Assumptions (NG Midstream)'!$B$72,Model!AQ$1,'Assumptions (NG Midstream)'!$B$75,Model!$AX$249)</f>
        <v>#NUM!</v>
      </c>
      <c r="BS299" s="377" t="e">
        <f>PPMT('Assumptions (NG Midstream)'!$B$72,Model!AR$1,'Assumptions (NG Midstream)'!$B$75,Model!$AX$249)</f>
        <v>#NUM!</v>
      </c>
      <c r="BT299" s="377" t="e">
        <f>PPMT('Assumptions (NG Midstream)'!$B$72,Model!AS$1,'Assumptions (NG Midstream)'!$B$75,Model!$AX$249)</f>
        <v>#NUM!</v>
      </c>
      <c r="BU299" s="377" t="e">
        <f>PPMT('Assumptions (NG Midstream)'!$B$72,Model!AT$1,'Assumptions (NG Midstream)'!$B$75,Model!$AX$249)</f>
        <v>#NUM!</v>
      </c>
      <c r="BV299" s="377" t="e">
        <f>PPMT('Assumptions (Oil G&amp;T)'!$B$73,Model!AU$1,'Assumptions (Oil G&amp;T)'!$B$76,Model!$AX$249)</f>
        <v>#NUM!</v>
      </c>
    </row>
    <row r="300" spans="1:77" ht="15.75" hidden="1" customHeight="1" outlineLevel="1">
      <c r="A300" s="365"/>
      <c r="B300" s="99"/>
      <c r="C300" s="377"/>
      <c r="D300" s="377"/>
      <c r="E300" s="377"/>
      <c r="F300" s="377"/>
      <c r="G300" s="377"/>
      <c r="H300" s="377"/>
      <c r="I300" s="377"/>
      <c r="J300" s="377"/>
      <c r="K300" s="377"/>
      <c r="L300" s="377"/>
      <c r="M300" s="377"/>
      <c r="N300" s="377"/>
      <c r="O300" s="377"/>
      <c r="P300" s="377"/>
      <c r="Q300" s="377"/>
      <c r="R300" s="377"/>
      <c r="S300" s="42"/>
      <c r="T300" s="42"/>
      <c r="U300" s="42"/>
      <c r="V300" s="42"/>
      <c r="W300" s="86"/>
      <c r="AW300" s="377"/>
      <c r="AX300" s="377"/>
      <c r="AY300" s="377">
        <f>PPMT('Assumptions (NG Midstream)'!$B$72,Model!W$1,'Assumptions (NG Midstream)'!$B$75,Model!$AY$249)</f>
        <v>-3.8048910170441784E-2</v>
      </c>
      <c r="AZ300" s="377">
        <f>PPMT('Assumptions (NG Midstream)'!$B$72,Model!X$1,'Assumptions (NG Midstream)'!$B$75,Model!$AY$249)</f>
        <v>-4.0902578433224916E-2</v>
      </c>
      <c r="BA300" s="377">
        <f>PPMT('Assumptions (NG Midstream)'!$B$72,Model!Y$1,'Assumptions (NG Midstream)'!$B$75,Model!$AY$249)</f>
        <v>-4.3970271815716798E-2</v>
      </c>
      <c r="BB300" s="377">
        <f>PPMT('Assumptions (NG Midstream)'!$B$72,Model!Z$1,'Assumptions (NG Midstream)'!$B$75,Model!$AY$249)</f>
        <v>-4.7268042201895545E-2</v>
      </c>
      <c r="BC300" s="377">
        <f>PPMT('Assumptions (NG Midstream)'!$B$72,Model!AA$1,'Assumptions (NG Midstream)'!$B$75,Model!$AY$249)</f>
        <v>-5.081314536703771E-2</v>
      </c>
      <c r="BD300" s="377">
        <f>PPMT('Assumptions (NG Midstream)'!$B$72,Model!AB$1,'Assumptions (NG Midstream)'!$B$75,Model!$AY$249)</f>
        <v>-5.4624131269565536E-2</v>
      </c>
      <c r="BE300" s="377">
        <f>PPMT('Assumptions (NG Midstream)'!$B$72,Model!AC$1,'Assumptions (NG Midstream)'!$B$75,Model!$AY$249)</f>
        <v>-5.8720941114782953E-2</v>
      </c>
      <c r="BF300" s="377">
        <f>PPMT('Assumptions (NG Midstream)'!$B$72,Model!AD$1,'Assumptions (NG Midstream)'!$B$75,Model!$AY$249)</f>
        <v>-6.3125011698391673E-2</v>
      </c>
      <c r="BG300" s="377">
        <f>PPMT('Assumptions (NG Midstream)'!$B$72,Model!AE$1,'Assumptions (NG Midstream)'!$B$75,Model!$AY$249)</f>
        <v>-6.7859387575771049E-2</v>
      </c>
      <c r="BH300" s="377">
        <f>PPMT('Assumptions (NG Midstream)'!$B$72,Model!AF$1,'Assumptions (NG Midstream)'!$B$75,Model!$AY$249)</f>
        <v>-7.2948841643953877E-2</v>
      </c>
      <c r="BI300" s="377">
        <f>PPMT('Assumptions (NG Midstream)'!$B$72,Model!AG$1,'Assumptions (NG Midstream)'!$B$75,Model!$AY$249)</f>
        <v>-7.8420004767250417E-2</v>
      </c>
      <c r="BJ300" s="377">
        <f>PPMT('Assumptions (NG Midstream)'!$B$72,Model!AH$1,'Assumptions (NG Midstream)'!$B$75,Model!$AY$249)</f>
        <v>-8.4301505124794202E-2</v>
      </c>
      <c r="BK300" s="377">
        <f>PPMT('Assumptions (NG Midstream)'!$B$72,Model!AI$1,'Assumptions (NG Midstream)'!$B$75,Model!$AY$249)</f>
        <v>-9.0624118009153765E-2</v>
      </c>
      <c r="BL300" s="377">
        <f>PPMT('Assumptions (NG Midstream)'!$B$72,Model!AJ$1,'Assumptions (NG Midstream)'!$B$75,Model!$AY$249)</f>
        <v>-9.7420926859840301E-2</v>
      </c>
      <c r="BM300" s="377">
        <f>PPMT('Assumptions (NG Midstream)'!$B$72,Model!AK$1,'Assumptions (NG Midstream)'!$B$75,Model!$AY$249)</f>
        <v>-0.10472749637432832</v>
      </c>
      <c r="BN300" s="377" t="e">
        <f>PPMT('Assumptions (NG Midstream)'!$B$72,Model!AL$1,'Assumptions (NG Midstream)'!$B$75,Model!$AY$249)</f>
        <v>#NUM!</v>
      </c>
      <c r="BO300" s="377" t="e">
        <f>PPMT('Assumptions (NG Midstream)'!$B$72,Model!AM$1,'Assumptions (NG Midstream)'!$B$75,Model!$AY$249)</f>
        <v>#NUM!</v>
      </c>
      <c r="BP300" s="377" t="e">
        <f>PPMT('Assumptions (NG Midstream)'!$B$72,Model!AN$1,'Assumptions (NG Midstream)'!$B$75,Model!$AY$249)</f>
        <v>#NUM!</v>
      </c>
      <c r="BQ300" s="377" t="e">
        <f>PPMT('Assumptions (NG Midstream)'!$B$72,Model!AO$1,'Assumptions (NG Midstream)'!$B$75,Model!$AY$249)</f>
        <v>#NUM!</v>
      </c>
      <c r="BR300" s="377" t="e">
        <f>PPMT('Assumptions (NG Midstream)'!$B$72,Model!AP$1,'Assumptions (NG Midstream)'!$B$75,Model!$AY$249)</f>
        <v>#NUM!</v>
      </c>
      <c r="BS300" s="377" t="e">
        <f>PPMT('Assumptions (NG Midstream)'!$B$72,Model!AQ$1,'Assumptions (NG Midstream)'!$B$75,Model!$AY$249)</f>
        <v>#NUM!</v>
      </c>
      <c r="BT300" s="377" t="e">
        <f>PPMT('Assumptions (NG Midstream)'!$B$72,Model!AR$1,'Assumptions (NG Midstream)'!$B$75,Model!$AY$249)</f>
        <v>#NUM!</v>
      </c>
      <c r="BU300" s="377" t="e">
        <f>PPMT('Assumptions (NG Midstream)'!$B$72,Model!AS$1,'Assumptions (NG Midstream)'!$B$75,Model!$AY$249)</f>
        <v>#NUM!</v>
      </c>
      <c r="BV300" s="377" t="e">
        <f>PPMT('Assumptions (Oil G&amp;T)'!$B$73,Model!AT$1,'Assumptions (Oil G&amp;T)'!$B$76,Model!$AY$249)</f>
        <v>#NUM!</v>
      </c>
      <c r="BW300" s="377" t="e">
        <f>PPMT('Assumptions (Oil G&amp;T)'!$B$73,Model!AU$1,'Assumptions (Oil G&amp;T)'!$B$76,Model!$AY$249)</f>
        <v>#NUM!</v>
      </c>
    </row>
    <row r="301" spans="1:77" ht="15.75" hidden="1" customHeight="1" outlineLevel="1">
      <c r="A301" s="365"/>
      <c r="B301" s="99"/>
      <c r="C301" s="377"/>
      <c r="D301" s="377"/>
      <c r="E301" s="377"/>
      <c r="F301" s="377"/>
      <c r="G301" s="377"/>
      <c r="H301" s="377"/>
      <c r="I301" s="377"/>
      <c r="J301" s="377"/>
      <c r="K301" s="377"/>
      <c r="L301" s="377"/>
      <c r="M301" s="377"/>
      <c r="N301" s="377"/>
      <c r="O301" s="377"/>
      <c r="P301" s="377"/>
      <c r="Q301" s="377"/>
      <c r="R301" s="377"/>
      <c r="S301" s="42"/>
      <c r="T301" s="42"/>
      <c r="U301" s="42"/>
      <c r="V301" s="42"/>
      <c r="W301" s="86"/>
      <c r="AW301" s="377"/>
      <c r="AX301" s="377"/>
      <c r="AY301" s="377"/>
      <c r="AZ301" s="377">
        <f>PPMT('Assumptions (NG Midstream)'!$B$72,Model!W$1,'Assumptions (NG Midstream)'!$B$75,Model!$AZ$249)</f>
        <v>-4.0228051424698714E-2</v>
      </c>
      <c r="BA301" s="377">
        <f>PPMT('Assumptions (NG Midstream)'!$B$72,Model!X$1,'Assumptions (NG Midstream)'!$B$75,Model!$AZ$249)</f>
        <v>-4.3245155281551123E-2</v>
      </c>
      <c r="BB301" s="377">
        <f>PPMT('Assumptions (NG Midstream)'!$B$72,Model!Y$1,'Assumptions (NG Midstream)'!$B$75,Model!$AZ$249)</f>
        <v>-4.6488541927667458E-2</v>
      </c>
      <c r="BC301" s="377">
        <f>PPMT('Assumptions (NG Midstream)'!$B$72,Model!Z$1,'Assumptions (NG Midstream)'!$B$75,Model!$AZ$249)</f>
        <v>-4.9975182572242517E-2</v>
      </c>
      <c r="BD301" s="377">
        <f>PPMT('Assumptions (NG Midstream)'!$B$72,Model!AA$1,'Assumptions (NG Midstream)'!$B$75,Model!$AZ$249)</f>
        <v>-5.3723321265160696E-2</v>
      </c>
      <c r="BE301" s="377">
        <f>PPMT('Assumptions (NG Midstream)'!$B$72,Model!AB$1,'Assumptions (NG Midstream)'!$B$75,Model!$AZ$249)</f>
        <v>-5.7752570360047759E-2</v>
      </c>
      <c r="BF301" s="377">
        <f>PPMT('Assumptions (NG Midstream)'!$B$72,Model!AC$1,'Assumptions (NG Midstream)'!$B$75,Model!$AZ$249)</f>
        <v>-6.2084013137051336E-2</v>
      </c>
      <c r="BG301" s="377">
        <f>PPMT('Assumptions (NG Midstream)'!$B$72,Model!AD$1,'Assumptions (NG Midstream)'!$B$75,Model!$AZ$249)</f>
        <v>-6.6740314122330183E-2</v>
      </c>
      <c r="BH301" s="377">
        <f>PPMT('Assumptions (NG Midstream)'!$B$72,Model!AE$1,'Assumptions (NG Midstream)'!$B$75,Model!$AZ$249)</f>
        <v>-7.1745837681504956E-2</v>
      </c>
      <c r="BI301" s="377">
        <f>PPMT('Assumptions (NG Midstream)'!$B$72,Model!AF$1,'Assumptions (NG Midstream)'!$B$75,Model!$AZ$249)</f>
        <v>-7.7126775507617831E-2</v>
      </c>
      <c r="BJ301" s="377">
        <f>PPMT('Assumptions (NG Midstream)'!$B$72,Model!AG$1,'Assumptions (NG Midstream)'!$B$75,Model!$AZ$249)</f>
        <v>-8.2911283670689159E-2</v>
      </c>
      <c r="BK301" s="377">
        <f>PPMT('Assumptions (NG Midstream)'!$B$72,Model!AH$1,'Assumptions (NG Midstream)'!$B$75,Model!$AZ$249)</f>
        <v>-8.9129629945990843E-2</v>
      </c>
      <c r="BL301" s="377">
        <f>PPMT('Assumptions (NG Midstream)'!$B$72,Model!AI$1,'Assumptions (NG Midstream)'!$B$75,Model!$AZ$249)</f>
        <v>-9.5814352191940164E-2</v>
      </c>
      <c r="BM301" s="377">
        <f>PPMT('Assumptions (NG Midstream)'!$B$72,Model!AJ$1,'Assumptions (NG Midstream)'!$B$75,Model!$AZ$249)</f>
        <v>-0.10300042860633568</v>
      </c>
      <c r="BN301" s="377">
        <f>PPMT('Assumptions (NG Midstream)'!$B$72,Model!AK$1,'Assumptions (NG Midstream)'!$B$75,Model!$AZ$249)</f>
        <v>-0.11072546075181085</v>
      </c>
      <c r="BO301" s="377" t="e">
        <f>PPMT('Assumptions (NG Midstream)'!$B$72,Model!AL$1,'Assumptions (NG Midstream)'!$B$75,Model!$AZ$249)</f>
        <v>#NUM!</v>
      </c>
      <c r="BP301" s="377" t="e">
        <f>PPMT('Assumptions (NG Midstream)'!$B$72,Model!AM$1,'Assumptions (NG Midstream)'!$B$75,Model!$AZ$249)</f>
        <v>#NUM!</v>
      </c>
      <c r="BQ301" s="377" t="e">
        <f>PPMT('Assumptions (NG Midstream)'!$B$72,Model!AN$1,'Assumptions (NG Midstream)'!$B$75,Model!$AZ$249)</f>
        <v>#NUM!</v>
      </c>
      <c r="BR301" s="377" t="e">
        <f>PPMT('Assumptions (NG Midstream)'!$B$72,Model!AO$1,'Assumptions (NG Midstream)'!$B$75,Model!$AZ$249)</f>
        <v>#NUM!</v>
      </c>
      <c r="BS301" s="377" t="e">
        <f>PPMT('Assumptions (NG Midstream)'!$B$72,Model!AP$1,'Assumptions (NG Midstream)'!$B$75,Model!$AZ$249)</f>
        <v>#NUM!</v>
      </c>
      <c r="BT301" s="377" t="e">
        <f>PPMT('Assumptions (NG Midstream)'!$B$72,Model!AQ$1,'Assumptions (NG Midstream)'!$B$75,Model!$AZ$249)</f>
        <v>#NUM!</v>
      </c>
      <c r="BU301" s="377" t="e">
        <f>PPMT('Assumptions (NG Midstream)'!$B$72,Model!AR$1,'Assumptions (NG Midstream)'!$B$75,Model!$AZ$249)</f>
        <v>#NUM!</v>
      </c>
      <c r="BV301" s="377" t="e">
        <f>PPMT('Assumptions (Oil G&amp;T)'!$B$73,Model!AS$1,'Assumptions (Oil G&amp;T)'!$B$76,Model!$AZ$249)</f>
        <v>#NUM!</v>
      </c>
      <c r="BW301" s="377" t="e">
        <f>PPMT('Assumptions (Oil G&amp;T)'!$B$73,Model!AT$1,'Assumptions (Oil G&amp;T)'!$B$76,Model!$AZ$249)</f>
        <v>#NUM!</v>
      </c>
      <c r="BX301" s="377" t="e">
        <f>PPMT('Assumptions (Oil G&amp;T)'!$B$73,Model!AU$1,'Assumptions (Oil G&amp;T)'!$B$76,Model!$AZ$249)</f>
        <v>#NUM!</v>
      </c>
    </row>
    <row r="302" spans="1:77" ht="15.75" hidden="1" customHeight="1" outlineLevel="1">
      <c r="A302" s="365"/>
      <c r="B302" s="99"/>
      <c r="C302" s="377"/>
      <c r="D302" s="377"/>
      <c r="E302" s="377"/>
      <c r="F302" s="377"/>
      <c r="G302" s="377"/>
      <c r="H302" s="377"/>
      <c r="I302" s="377"/>
      <c r="J302" s="377"/>
      <c r="K302" s="377"/>
      <c r="L302" s="377"/>
      <c r="M302" s="377"/>
      <c r="N302" s="377"/>
      <c r="O302" s="377"/>
      <c r="P302" s="377"/>
      <c r="Q302" s="377"/>
      <c r="R302" s="377"/>
      <c r="S302" s="42"/>
      <c r="T302" s="42"/>
      <c r="U302" s="42"/>
      <c r="V302" s="42"/>
      <c r="W302" s="86"/>
      <c r="BA302" s="377">
        <f>PPMT('Assumptions (NG Midstream)'!$B$72,Model!W$1,'Assumptions (NG Midstream)'!$B$75,Model!$BA$249)</f>
        <v>-4.0231433882942112E-2</v>
      </c>
      <c r="BB302" s="377">
        <f>PPMT('Assumptions (NG Midstream)'!$B$72,Model!X$1,'Assumptions (NG Midstream)'!$B$75,Model!$BA$249)</f>
        <v>-4.3248791424162762E-2</v>
      </c>
      <c r="BC302" s="377">
        <f>PPMT('Assumptions (NG Midstream)'!$B$72,Model!Y$1,'Assumptions (NG Midstream)'!$B$75,Model!$BA$249)</f>
        <v>-4.6492450780974977E-2</v>
      </c>
      <c r="BD302" s="377">
        <f>PPMT('Assumptions (NG Midstream)'!$B$72,Model!Z$1,'Assumptions (NG Midstream)'!$B$75,Model!$BA$249)</f>
        <v>-4.99793845895481E-2</v>
      </c>
      <c r="BE302" s="377">
        <f>PPMT('Assumptions (NG Midstream)'!$B$72,Model!AA$1,'Assumptions (NG Midstream)'!$B$75,Model!$BA$249)</f>
        <v>-5.3727838433764198E-2</v>
      </c>
      <c r="BF302" s="377">
        <f>PPMT('Assumptions (NG Midstream)'!$B$72,Model!AB$1,'Assumptions (NG Midstream)'!$B$75,Model!$BA$249)</f>
        <v>-5.7757426316296524E-2</v>
      </c>
      <c r="BG302" s="377">
        <f>PPMT('Assumptions (NG Midstream)'!$B$72,Model!AC$1,'Assumptions (NG Midstream)'!$B$75,Model!$BA$249)</f>
        <v>-6.208923329001876E-2</v>
      </c>
      <c r="BH302" s="377">
        <f>PPMT('Assumptions (NG Midstream)'!$B$72,Model!AD$1,'Assumptions (NG Midstream)'!$B$75,Model!$BA$249)</f>
        <v>-6.6745925786770161E-2</v>
      </c>
      <c r="BI302" s="377">
        <f>PPMT('Assumptions (NG Midstream)'!$B$72,Model!AE$1,'Assumptions (NG Midstream)'!$B$75,Model!$BA$249)</f>
        <v>-7.1751870220777933E-2</v>
      </c>
      <c r="BJ302" s="377">
        <f>PPMT('Assumptions (NG Midstream)'!$B$72,Model!AF$1,'Assumptions (NG Midstream)'!$B$75,Model!$BA$249)</f>
        <v>-7.7133260487336278E-2</v>
      </c>
      <c r="BK302" s="377">
        <f>PPMT('Assumptions (NG Midstream)'!$B$72,Model!AG$1,'Assumptions (NG Midstream)'!$B$75,Model!$BA$249)</f>
        <v>-8.2918255023886486E-2</v>
      </c>
      <c r="BL302" s="377">
        <f>PPMT('Assumptions (NG Midstream)'!$B$72,Model!AH$1,'Assumptions (NG Midstream)'!$B$75,Model!$BA$249)</f>
        <v>-8.9137124150677968E-2</v>
      </c>
      <c r="BM302" s="377">
        <f>PPMT('Assumptions (NG Midstream)'!$B$72,Model!AI$1,'Assumptions (NG Midstream)'!$B$75,Model!$BA$249)</f>
        <v>-9.5822408461978828E-2</v>
      </c>
      <c r="BN302" s="377">
        <f>PPMT('Assumptions (NG Midstream)'!$B$72,Model!AJ$1,'Assumptions (NG Midstream)'!$B$75,Model!$BA$249)</f>
        <v>-0.10300908909662725</v>
      </c>
      <c r="BO302" s="377">
        <f>PPMT('Assumptions (NG Midstream)'!$B$72,Model!AK$1,'Assumptions (NG Midstream)'!$B$75,Model!$BA$249)</f>
        <v>-0.11073477077887428</v>
      </c>
      <c r="BP302" s="377" t="e">
        <f>PPMT('Assumptions (NG Midstream)'!$B$72,Model!AL$1,'Assumptions (NG Midstream)'!$B$75,Model!$BA$249)</f>
        <v>#NUM!</v>
      </c>
      <c r="BQ302" s="377" t="e">
        <f>PPMT('Assumptions (NG Midstream)'!$B$72,Model!AM$1,'Assumptions (NG Midstream)'!$B$75,Model!$BA$249)</f>
        <v>#NUM!</v>
      </c>
      <c r="BR302" s="377" t="e">
        <f>PPMT('Assumptions (NG Midstream)'!$B$72,Model!AN$1,'Assumptions (NG Midstream)'!$B$75,Model!$BA$249)</f>
        <v>#NUM!</v>
      </c>
      <c r="BS302" s="377" t="e">
        <f>PPMT('Assumptions (NG Midstream)'!$B$72,Model!AO$1,'Assumptions (NG Midstream)'!$B$75,Model!$BA$249)</f>
        <v>#NUM!</v>
      </c>
      <c r="BT302" s="377" t="e">
        <f>PPMT('Assumptions (NG Midstream)'!$B$72,Model!AP$1,'Assumptions (NG Midstream)'!$B$75,Model!$BA$249)</f>
        <v>#NUM!</v>
      </c>
      <c r="BU302" s="377" t="e">
        <f>PPMT('Assumptions (NG Midstream)'!$B$72,Model!AQ$1,'Assumptions (NG Midstream)'!$B$75,Model!$BA$249)</f>
        <v>#NUM!</v>
      </c>
      <c r="BV302" s="377" t="e">
        <f>PPMT('Assumptions (Oil G&amp;T)'!$B$73,Model!AR$1,'Assumptions (Oil G&amp;T)'!$B$76,Model!$BA$249)</f>
        <v>#NUM!</v>
      </c>
      <c r="BW302" s="377" t="e">
        <f>PPMT('Assumptions (Oil G&amp;T)'!$B$73,Model!AS$1,'Assumptions (Oil G&amp;T)'!$B$76,Model!$BA$249)</f>
        <v>#NUM!</v>
      </c>
      <c r="BX302" s="377" t="e">
        <f>PPMT('Assumptions (Oil G&amp;T)'!$B$73,Model!AT$1,'Assumptions (Oil G&amp;T)'!$B$76,Model!$BA$249)</f>
        <v>#NUM!</v>
      </c>
      <c r="BY302" s="377" t="e">
        <f>PPMT('Assumptions (Oil G&amp;T)'!$B$73,Model!AU$1,'Assumptions (Oil G&amp;T)'!$B$76,Model!$BA$249)</f>
        <v>#NUM!</v>
      </c>
    </row>
    <row r="303" spans="1:77" ht="15.75" customHeight="1" collapsed="1">
      <c r="A303" s="365" t="s">
        <v>709</v>
      </c>
      <c r="B303" s="99" t="s">
        <v>201</v>
      </c>
      <c r="C303" s="91">
        <f t="array" ref="C303">SUM(IF(ISERROR(C304:C354),"",C304:C354))</f>
        <v>-0.13689422821620001</v>
      </c>
      <c r="D303" s="91">
        <f t="array" ref="D303">SUM(IF(ISERROR(D304:D354),"",D304:D354))</f>
        <v>-0.31010206203865132</v>
      </c>
      <c r="E303" s="91">
        <f t="array" ref="E303">SUM(IF(ISERROR(E304:E354),"",E304:E354))</f>
        <v>-0.51551833215530762</v>
      </c>
      <c r="F303" s="91">
        <f t="array" ref="F303">SUM(IF(ISERROR(F304:F354),"",F304:F354))</f>
        <v>-0.76786862841807335</v>
      </c>
      <c r="G303" s="91">
        <f t="array" ref="G303">SUM(IF(ISERROR(G304:G354),"",G304:G354))</f>
        <v>-0.89692946176996968</v>
      </c>
      <c r="H303" s="91">
        <f t="array" ref="H303">SUM(IF(ISERROR(H304:H354),"",H304:H354))</f>
        <v>-1.0161095983933501</v>
      </c>
      <c r="I303" s="91">
        <f t="array" ref="I303">SUM(IF(ISERROR(I304:I354),"",I304:I354))</f>
        <v>-1.1688550203784209</v>
      </c>
      <c r="J303" s="91">
        <f t="array" ref="J303">SUM(IF(ISERROR(J304:J354),"",J304:J354))</f>
        <v>-1.4502371825318985</v>
      </c>
      <c r="K303" s="91">
        <f t="array" ref="K303">SUM(IF(ISERROR(K304:K354),"",K304:K354))</f>
        <v>-2.0017090424153046</v>
      </c>
      <c r="L303" s="91">
        <f t="array" ref="L303">SUM(IF(ISERROR(L304:L354),"",L304:L354))</f>
        <v>-2.7033901734276009</v>
      </c>
      <c r="M303" s="91">
        <f t="array" ref="M303">SUM(IF(ISERROR(M304:M354),"",M304:M354))</f>
        <v>-2.8212398859586876</v>
      </c>
      <c r="N303" s="91">
        <f t="array" ref="N303">SUM(IF(ISERROR(N304:N354),"",N304:N354))</f>
        <v>-3.4157071314939813</v>
      </c>
      <c r="O303" s="91">
        <f t="array" ref="O303">SUM(IF(ISERROR(O304:O354),"",O304:O354))</f>
        <v>-3.4793643335388675</v>
      </c>
      <c r="P303" s="91">
        <f t="array" ref="P303">SUM(IF(ISERROR(P304:P354),"",P304:P354))</f>
        <v>-3.5901190766898243</v>
      </c>
      <c r="Q303" s="91">
        <f t="array" ref="Q303">SUM(IF(ISERROR(Q304:Q354),"",Q304:Q354))</f>
        <v>-3.5532500023662834</v>
      </c>
      <c r="R303" s="91">
        <f t="array" ref="R303">SUM(IF(ISERROR(R304:R354),"",R304:R354))</f>
        <v>-3.5912258506816794</v>
      </c>
      <c r="S303" s="91">
        <f t="array" ref="S303">SUM(IF(ISERROR(S304:S354),"",S304:S354))</f>
        <v>-3.5823997527991884</v>
      </c>
      <c r="T303" s="91">
        <f t="array" ref="T303">SUM(IF(ISERROR(T304:T354),"",T304:T354))</f>
        <v>-3.5976823829079723</v>
      </c>
      <c r="U303" s="91">
        <f t="array" ref="U303">SUM(IF(ISERROR(U304:U354),"",U304:U354))</f>
        <v>-3.2905427502971643</v>
      </c>
      <c r="V303" s="91">
        <f t="array" ref="V303">SUM(IF(ISERROR(V304:V354),"",V304:V354))</f>
        <v>-3.0903948802568468</v>
      </c>
      <c r="W303" s="91">
        <f t="array" ref="W303">SUM(IF(ISERROR(W304:W354),"",W304:W354))</f>
        <v>-2.8220900038223466</v>
      </c>
      <c r="X303" s="91">
        <f t="array" ref="X303">SUM(IF(ISERROR(X304:X354),"",X304:X354))</f>
        <v>-2.5312587748205315</v>
      </c>
      <c r="Y303" s="91">
        <f t="array" ref="Y303">SUM(IF(ISERROR(Y304:Y354),"",Y304:Y354))</f>
        <v>-2.2569367982702708</v>
      </c>
      <c r="Z303" s="91">
        <f t="array" ref="Z303">SUM(IF(ISERROR(Z304:Z354),"",Z304:Z354))</f>
        <v>-1.9968626208876477</v>
      </c>
      <c r="AA303" s="91">
        <f t="array" ref="AA303">SUM(IF(ISERROR(AA304:AA354),"",AA304:AA354))</f>
        <v>-1.7758666090552357</v>
      </c>
      <c r="AB303" s="91">
        <f t="array" ref="AB303">SUM(IF(ISERROR(AB304:AB354),"",AB304:AB354))</f>
        <v>-1.6095373808486999</v>
      </c>
      <c r="AC303" s="91">
        <f t="array" ref="AC303">SUM(IF(ISERROR(AC304:AC354),"",AC304:AC354))</f>
        <v>-1.429681960140367</v>
      </c>
      <c r="AD303" s="91">
        <f t="array" ref="AD303">SUM(IF(ISERROR(AD304:AD354),"",AD304:AD354))</f>
        <v>-1.3077961261730326</v>
      </c>
      <c r="AE303" s="91">
        <f t="array" ref="AE303">SUM(IF(ISERROR(AE304:AE354),"",AE304:AE354))</f>
        <v>-1.1839455217322108</v>
      </c>
      <c r="AF303" s="91">
        <f t="array" ref="AF303">SUM(IF(ISERROR(AF304:AF354),"",AF304:AF354))</f>
        <v>-1.073141779251767</v>
      </c>
      <c r="AG303" s="91">
        <f t="array" ref="AG303">SUM(IF(ISERROR(AG304:AG354),"",AG304:AG354))</f>
        <v>-0.98485260578834</v>
      </c>
      <c r="AH303" s="91">
        <f t="array" ref="AH303">SUM(IF(ISERROR(AH304:AH354),"",AH304:AH354))</f>
        <v>-0.9236748348376278</v>
      </c>
      <c r="AI303" s="91">
        <f t="array" ref="AI303">SUM(IF(ISERROR(AI304:AI354),"",AI304:AI354))</f>
        <v>-0.86898775275249629</v>
      </c>
      <c r="AJ303" s="91">
        <f t="array" ref="AJ303">SUM(IF(ISERROR(AJ304:AJ354),"",AJ304:AJ354))</f>
        <v>-0.85313976987718287</v>
      </c>
      <c r="AK303" s="91">
        <f t="array" ref="AK303">SUM(IF(ISERROR(AK304:AK354),"",AK304:AK354))</f>
        <v>-0.82605606664938513</v>
      </c>
      <c r="AL303" s="91">
        <f t="array" ref="AL303">SUM(IF(ISERROR(AL304:AL354),"",AL304:AL354))</f>
        <v>-0.80663638649112224</v>
      </c>
      <c r="AM303" s="91">
        <f t="array" ref="AM303">SUM(IF(ISERROR(AM304:AM354),"",AM304:AM354))</f>
        <v>-0.78223999686200396</v>
      </c>
      <c r="AN303" s="91">
        <f t="array" ref="AN303">SUM(IF(ISERROR(AN304:AN354),"",AN304:AN354))</f>
        <v>-0.76143685271659323</v>
      </c>
      <c r="AO303" s="91">
        <f t="array" ref="AO303">SUM(IF(ISERROR(AO304:AO354),"",AO304:AO354))</f>
        <v>-0.73972342142166014</v>
      </c>
      <c r="AP303" s="91">
        <f t="array" ref="AP303">SUM(IF(ISERROR(AP304:AP354),"",AP304:AP354))</f>
        <v>-0.72498423782026344</v>
      </c>
      <c r="AQ303" s="91">
        <f t="array" ref="AQ303">SUM(IF(ISERROR(AQ304:AQ354),"",AQ304:AQ354))</f>
        <v>-0.71055983095916109</v>
      </c>
      <c r="AR303" s="91">
        <f t="array" ref="AR303">SUM(IF(ISERROR(AR304:AR354),"",AR304:AR354))</f>
        <v>-0.70509481261209617</v>
      </c>
      <c r="AS303" s="91">
        <f t="array" ref="AS303">SUM(IF(ISERROR(AS304:AS354),"",AS304:AS354))</f>
        <v>-0.69956924889159444</v>
      </c>
      <c r="AT303" s="91">
        <f t="array" ref="AT303">SUM(IF(ISERROR(AT304:AT354),"",AT304:AT354))</f>
        <v>-0.70592560606493415</v>
      </c>
      <c r="AU303" s="91">
        <f t="array" ref="AU303">SUM(IF(ISERROR(AU304:AU354),"",AU304:AU354))</f>
        <v>-0.70584403510380933</v>
      </c>
      <c r="AV303" s="91">
        <f t="array" ref="AV303">SUM(IF(ISERROR(AV304:AV354),"",AV304:AV354))</f>
        <v>-0.70094588256441737</v>
      </c>
      <c r="AW303" s="91">
        <f t="array" ref="AW303">SUM(IF(ISERROR(AW304:AW354),"",AW304:AW354))</f>
        <v>-0.7034067121297396</v>
      </c>
      <c r="AX303" s="91">
        <f t="array" ref="AX303">SUM(IF(ISERROR(AX304:AX354),"",AX304:AX354))</f>
        <v>-0.71200103021028194</v>
      </c>
      <c r="AY303" s="91">
        <f t="array" ref="AY303">SUM(IF(ISERROR(AY304:AY354),"",AY304:AY354))</f>
        <v>-0.71037105702335313</v>
      </c>
      <c r="AZ303" s="91">
        <f t="array" ref="AZ303">SUM(IF(ISERROR(AZ304:AZ354),"",AZ304:AZ354))</f>
        <v>-0.71381349267236394</v>
      </c>
      <c r="BA303" s="91">
        <f t="array" ref="BA303">SUM(IF(ISERROR(BA304:BA354),"",BA304:BA354))</f>
        <v>-0.71726847368072166</v>
      </c>
      <c r="BB303" s="91">
        <f t="array" ref="BB303">SUM(IF(ISERROR(BB304:BB354),"",BB304:BB354))</f>
        <v>-0.64204406634912214</v>
      </c>
      <c r="BC303" s="91">
        <f t="array" ref="BC303">SUM(IF(ISERROR(BC304:BC354),"",BC304:BC354))</f>
        <v>-0.5693126025762576</v>
      </c>
      <c r="BD303" s="91">
        <f t="array" ref="BD303">SUM(IF(ISERROR(BD304:BD354),"",BD304:BD354))</f>
        <v>-0.49965920002386971</v>
      </c>
      <c r="BE303" s="91">
        <f t="array" ref="BE303">SUM(IF(ISERROR(BE304:BE354),"",BE304:BE354))</f>
        <v>-0.43289427360156968</v>
      </c>
      <c r="BF303" s="91">
        <f t="array" ref="BF303">SUM(IF(ISERROR(BF304:BF354),"",BF304:BF354))</f>
        <v>-0.36955680129091267</v>
      </c>
      <c r="BG303" s="91">
        <f t="array" ref="BG303">SUM(IF(ISERROR(BG304:BG354),"",BG304:BG354))</f>
        <v>-0.30943985217305925</v>
      </c>
      <c r="BH303" s="91">
        <f t="array" ref="BH303">SUM(IF(ISERROR(BH304:BH354),"",BH304:BH354))</f>
        <v>-0.25333497745791711</v>
      </c>
      <c r="BI303" s="91">
        <f t="array" ref="BI303">SUM(IF(ISERROR(BI304:BI354),"",BI304:BI354))</f>
        <v>-0.20129403391803302</v>
      </c>
      <c r="BJ303" s="91">
        <f t="array" ref="BJ303">SUM(IF(ISERROR(BJ304:BJ354),"",BJ304:BJ354))</f>
        <v>-0.15475532194268027</v>
      </c>
      <c r="BK303" s="91">
        <f t="array" ref="BK303">SUM(IF(ISERROR(BK304:BK354),"",BK304:BK354))</f>
        <v>-0.11339578089821786</v>
      </c>
      <c r="BL303" s="91">
        <f t="array" ref="BL303">SUM(IF(ISERROR(BL304:BL354),"",BL304:BL354))</f>
        <v>-7.7135133390120722E-2</v>
      </c>
      <c r="BM303" s="91">
        <f t="array" ref="BM303">SUM(IF(ISERROR(BM304:BM354),"",BM304:BM354))</f>
        <v>-4.7101474055246631E-2</v>
      </c>
      <c r="BN303" s="91">
        <f t="array" ref="BN303">SUM(IF(ISERROR(BN304:BN354),"",BN304:BN354))</f>
        <v>-2.4335199047048429E-2</v>
      </c>
      <c r="BO303" s="91">
        <f t="array" ref="BO303">SUM(IF(ISERROR(BO304:BO354),"",BO304:BO354))</f>
        <v>-8.3051078084155714E-3</v>
      </c>
      <c r="BP303" s="91">
        <f t="array" ref="BP303">SUM(IF(ISERROR(BP304:BP354),"",BP304:BP354))</f>
        <v>0</v>
      </c>
      <c r="BQ303" s="91">
        <f t="array" ref="BQ303">SUM(IF(ISERROR(BQ304:BQ354),"",BQ304:BQ354))</f>
        <v>0</v>
      </c>
      <c r="BR303" s="91">
        <f t="array" ref="BR303">SUM(IF(ISERROR(BR304:BR354),"",BR304:BR354))</f>
        <v>0</v>
      </c>
      <c r="BS303" s="91">
        <f t="array" ref="BS303">SUM(IF(ISERROR(BS304:BS354),"",BS304:BS354))</f>
        <v>0</v>
      </c>
      <c r="BT303" s="91">
        <f t="array" ref="BT303">SUM(IF(ISERROR(BT304:BT354),"",BT304:BT354))</f>
        <v>0</v>
      </c>
      <c r="BU303" s="91">
        <f t="array" ref="BU303">SUM(IF(ISERROR(BU304:BU354),"",BU304:BU354))</f>
        <v>0</v>
      </c>
      <c r="BV303" s="91">
        <f t="array" ref="BV303">SUM(IF(ISERROR(BV304:BV354),"",BV304:BV354))</f>
        <v>0</v>
      </c>
      <c r="BW303" s="91">
        <f t="array" ref="BW303">SUM(IF(ISERROR(BW304:BW354),"",BW304:BW354))</f>
        <v>0</v>
      </c>
      <c r="BX303" s="91">
        <f t="array" ref="BX303">SUM(IF(ISERROR(BX304:BX354),"",BX304:BX354))</f>
        <v>0</v>
      </c>
      <c r="BY303" s="91">
        <f t="array" ref="BY303">SUM(IF(ISERROR(BY304:BY354),"",BY304:BY354))</f>
        <v>0</v>
      </c>
    </row>
    <row r="304" spans="1:77" ht="15.75" hidden="1" customHeight="1" outlineLevel="1">
      <c r="A304" s="365"/>
      <c r="B304" s="99"/>
      <c r="C304" s="377">
        <f>IPMT('Assumptions (NG Midstream)'!$B$72,Model!W$1,'Assumptions (NG Midstream)'!$B$75,Model!$C$249)</f>
        <v>-0.13689422821620001</v>
      </c>
      <c r="D304" s="377">
        <f>IPMT('Assumptions (NG Midstream)'!$B$72,Model!X$1,'Assumptions (NG Midstream)'!$B$75,Model!$C$249)</f>
        <v>-0.1316529265586513</v>
      </c>
      <c r="E304" s="377">
        <f>IPMT('Assumptions (NG Midstream)'!$B$72,Model!Y$1,'Assumptions (NG Midstream)'!$B$75,Model!$C$249)</f>
        <v>-0.12601852727678645</v>
      </c>
      <c r="F304" s="377">
        <f>IPMT('Assumptions (NG Midstream)'!$B$72,Model!Z$1,'Assumptions (NG Midstream)'!$B$75,Model!$C$249)</f>
        <v>-0.11996154804878176</v>
      </c>
      <c r="G304" s="377">
        <f>IPMT('Assumptions (NG Midstream)'!$B$72,Model!AA$1,'Assumptions (NG Midstream)'!$B$75,Model!$C$249)</f>
        <v>-0.11345029537867665</v>
      </c>
      <c r="H304" s="377">
        <f>IPMT('Assumptions (NG Midstream)'!$B$72,Model!AB$1,'Assumptions (NG Midstream)'!$B$75,Model!$C$249)</f>
        <v>-0.10645069875831371</v>
      </c>
      <c r="I304" s="377">
        <f>IPMT('Assumptions (NG Midstream)'!$B$72,Model!AC$1,'Assumptions (NG Midstream)'!$B$75,Model!$C$249)</f>
        <v>-9.8926132391423546E-2</v>
      </c>
      <c r="J304" s="377">
        <f>IPMT('Assumptions (NG Midstream)'!$B$72,Model!AD$1,'Assumptions (NG Midstream)'!$B$75,Model!$C$249)</f>
        <v>-9.0837223547016607E-2</v>
      </c>
      <c r="K304" s="377">
        <f>IPMT('Assumptions (NG Midstream)'!$B$72,Model!AE$1,'Assumptions (NG Midstream)'!$B$75,Model!$C$249)</f>
        <v>-8.2141646539279148E-2</v>
      </c>
      <c r="L304" s="377">
        <f>IPMT('Assumptions (NG Midstream)'!$B$72,Model!AF$1,'Assumptions (NG Midstream)'!$B$75,Model!$C$249)</f>
        <v>-7.2793901255961385E-2</v>
      </c>
      <c r="M304" s="377">
        <f>IPMT('Assumptions (NG Midstream)'!$B$72,Model!AG$1,'Assumptions (NG Midstream)'!$B$75,Model!$C$249)</f>
        <v>-6.2745075076394805E-2</v>
      </c>
      <c r="N304" s="377">
        <f>IPMT('Assumptions (NG Midstream)'!$B$72,Model!AH$1,'Assumptions (NG Midstream)'!$B$75,Model!$C$249)</f>
        <v>-5.1942586933360714E-2</v>
      </c>
      <c r="O304" s="377">
        <f>IPMT('Assumptions (NG Midstream)'!$B$72,Model!AI$1,'Assumptions (NG Midstream)'!$B$75,Model!$C$249)</f>
        <v>-4.032991217959906E-2</v>
      </c>
      <c r="P304" s="377">
        <f>IPMT('Assumptions (NG Midstream)'!$B$72,Model!AJ$1,'Assumptions (NG Midstream)'!$B$75,Model!$C$249)</f>
        <v>-2.7846286819305292E-2</v>
      </c>
      <c r="Q304" s="377">
        <f>IPMT('Assumptions (NG Midstream)'!$B$72,Model!AK$1,'Assumptions (NG Midstream)'!$B$75,Model!$C$249)</f>
        <v>-1.4426389556989489E-2</v>
      </c>
      <c r="R304" s="377" t="e">
        <f>IPMT('Assumptions (NG Midstream)'!$B$72,Model!AL$1,'Assumptions (NG Midstream)'!$B$75,Model!$C$249)</f>
        <v>#NUM!</v>
      </c>
      <c r="S304" s="377" t="e">
        <f>IPMT('Assumptions (NG Midstream)'!$B$72,Model!AM$1,'Assumptions (NG Midstream)'!$B$75,Model!$C$249)</f>
        <v>#NUM!</v>
      </c>
      <c r="T304" s="377" t="e">
        <f>IPMT('Assumptions (NG Midstream)'!$B$72,Model!AN$1,'Assumptions (NG Midstream)'!$B$75,Model!$C$249)</f>
        <v>#NUM!</v>
      </c>
      <c r="U304" s="377" t="e">
        <f>IPMT('Assumptions (NG Midstream)'!$B$72,Model!AO$1,'Assumptions (NG Midstream)'!$B$75,Model!$C$249)</f>
        <v>#NUM!</v>
      </c>
      <c r="V304" s="377" t="e">
        <f>IPMT('Assumptions (NG Midstream)'!$B$72,Model!AP$1,'Assumptions (NG Midstream)'!$B$75,Model!$C$249)</f>
        <v>#NUM!</v>
      </c>
      <c r="W304" s="377" t="e">
        <f>IPMT('Assumptions (NG Midstream)'!$B$72,Model!AQ$1,'Assumptions (NG Midstream)'!$B$75,Model!$C$249)</f>
        <v>#NUM!</v>
      </c>
      <c r="X304" s="377" t="e">
        <f>IPMT('Assumptions (NG Midstream)'!$B$72,Model!AR$1,'Assumptions (NG Midstream)'!$B$75,Model!$C$249)</f>
        <v>#NUM!</v>
      </c>
      <c r="Y304" s="377" t="e">
        <f>IPMT('Assumptions (NG Midstream)'!$B$72,Model!AS$1,'Assumptions (NG Midstream)'!$B$75,Model!$C$249)</f>
        <v>#NUM!</v>
      </c>
      <c r="Z304" s="377" t="e">
        <f>IPMT('Assumptions (NG Midstream)'!$B$72,Model!AT$1,'Assumptions (NG Midstream)'!$B$75,Model!$C$249)</f>
        <v>#NUM!</v>
      </c>
      <c r="AA304" s="377" t="e">
        <f>IPMT('Assumptions (NG Midstream)'!$B$72,Model!AU$1,'Assumptions (NG Midstream)'!$B$75,Model!$C$249)</f>
        <v>#NUM!</v>
      </c>
      <c r="AB304" s="377"/>
    </row>
    <row r="305" spans="1:43" ht="15.75" hidden="1" customHeight="1" outlineLevel="1">
      <c r="A305" s="365"/>
      <c r="B305" s="99"/>
      <c r="C305" s="377"/>
      <c r="D305" s="377">
        <f>IPMT('Assumptions (NG Midstream)'!$B$72,Model!W$1,'Assumptions (NG Midstream)'!$B$75,Model!$D$249)</f>
        <v>-0.17844913547999999</v>
      </c>
      <c r="E305" s="377">
        <f>IPMT('Assumptions (NG Midstream)'!$B$72,Model!X$1,'Assumptions (NG Midstream)'!$B$75,Model!$D$249)</f>
        <v>-0.17161681127052125</v>
      </c>
      <c r="F305" s="377">
        <f>IPMT('Assumptions (NG Midstream)'!$B$72,Model!Y$1,'Assumptions (NG Midstream)'!$B$75,Model!$D$249)</f>
        <v>-0.16427206274533154</v>
      </c>
      <c r="G305" s="377">
        <f>IPMT('Assumptions (NG Midstream)'!$B$72,Model!Z$1,'Assumptions (NG Midstream)'!$B$75,Model!$D$249)</f>
        <v>-0.15637645808075262</v>
      </c>
      <c r="H305" s="377">
        <f>IPMT('Assumptions (NG Midstream)'!$B$72,Model!AA$1,'Assumptions (NG Midstream)'!$B$75,Model!$D$249)</f>
        <v>-0.1478886830663303</v>
      </c>
      <c r="I305" s="377">
        <f>IPMT('Assumptions (NG Midstream)'!$B$72,Model!AB$1,'Assumptions (NG Midstream)'!$B$75,Model!$D$249)</f>
        <v>-0.13876432492582627</v>
      </c>
      <c r="J305" s="377">
        <f>IPMT('Assumptions (NG Midstream)'!$B$72,Model!AC$1,'Assumptions (NG Midstream)'!$B$75,Model!$D$249)</f>
        <v>-0.12895563992478448</v>
      </c>
      <c r="K305" s="377">
        <f>IPMT('Assumptions (NG Midstream)'!$B$72,Model!AD$1,'Assumptions (NG Midstream)'!$B$75,Model!$D$249)</f>
        <v>-0.11841130354866453</v>
      </c>
      <c r="L305" s="377">
        <f>IPMT('Assumptions (NG Midstream)'!$B$72,Model!AE$1,'Assumptions (NG Midstream)'!$B$75,Model!$D$249)</f>
        <v>-0.10707614194433557</v>
      </c>
      <c r="M305" s="377">
        <f>IPMT('Assumptions (NG Midstream)'!$B$72,Model!AF$1,'Assumptions (NG Midstream)'!$B$75,Model!$D$249)</f>
        <v>-9.489084321968197E-2</v>
      </c>
      <c r="N305" s="377">
        <f>IPMT('Assumptions (NG Midstream)'!$B$72,Model!AG$1,'Assumptions (NG Midstream)'!$B$75,Model!$D$249)</f>
        <v>-8.1791647090679334E-2</v>
      </c>
      <c r="O305" s="377">
        <f>IPMT('Assumptions (NG Midstream)'!$B$72,Model!AH$1,'Assumptions (NG Midstream)'!$B$75,Model!$D$249)</f>
        <v>-6.7710011252001504E-2</v>
      </c>
      <c r="P305" s="377">
        <f>IPMT('Assumptions (NG Midstream)'!$B$72,Model!AI$1,'Assumptions (NG Midstream)'!$B$75,Model!$D$249)</f>
        <v>-5.2572252725422826E-2</v>
      </c>
      <c r="Q305" s="377">
        <f>IPMT('Assumptions (NG Midstream)'!$B$72,Model!AJ$1,'Assumptions (NG Midstream)'!$B$75,Model!$D$249)</f>
        <v>-3.6299162309350756E-2</v>
      </c>
      <c r="R305" s="377">
        <f>IPMT('Assumptions (NG Midstream)'!$B$72,Model!AK$1,'Assumptions (NG Midstream)'!$B$75,Model!$D$249)</f>
        <v>-1.8805590112073289E-2</v>
      </c>
      <c r="S305" s="377" t="e">
        <f>IPMT('Assumptions (NG Midstream)'!$B$72,Model!AL$1,'Assumptions (NG Midstream)'!$B$75,Model!$D$249)</f>
        <v>#NUM!</v>
      </c>
      <c r="T305" s="377" t="e">
        <f>IPMT('Assumptions (NG Midstream)'!$B$72,Model!AM$1,'Assumptions (NG Midstream)'!$B$75,Model!$D$249)</f>
        <v>#NUM!</v>
      </c>
      <c r="U305" s="377" t="e">
        <f>IPMT('Assumptions (NG Midstream)'!$B$72,Model!AN$1,'Assumptions (NG Midstream)'!$B$75,Model!$D$249)</f>
        <v>#NUM!</v>
      </c>
      <c r="V305" s="377" t="e">
        <f>IPMT('Assumptions (NG Midstream)'!$B$72,Model!AO$1,'Assumptions (NG Midstream)'!$B$75,Model!$D$249)</f>
        <v>#NUM!</v>
      </c>
      <c r="W305" s="377" t="e">
        <f>IPMT('Assumptions (NG Midstream)'!$B$72,Model!AP$1,'Assumptions (NG Midstream)'!$B$75,Model!$D$249)</f>
        <v>#NUM!</v>
      </c>
      <c r="X305" s="377" t="e">
        <f>IPMT('Assumptions (NG Midstream)'!$B$72,Model!AQ$1,'Assumptions (NG Midstream)'!$B$75,Model!$D$249)</f>
        <v>#NUM!</v>
      </c>
      <c r="Y305" s="377" t="e">
        <f>IPMT('Assumptions (NG Midstream)'!$B$72,Model!AR$1,'Assumptions (NG Midstream)'!$B$75,Model!$D$249)</f>
        <v>#NUM!</v>
      </c>
      <c r="Z305" s="377" t="e">
        <f>IPMT('Assumptions (NG Midstream)'!$B$72,Model!AS$1,'Assumptions (NG Midstream)'!$B$75,Model!$D$249)</f>
        <v>#NUM!</v>
      </c>
      <c r="AA305" s="377" t="e">
        <f>IPMT('Assumptions (NG Midstream)'!$B$72,Model!AT$1,'Assumptions (NG Midstream)'!$B$75,Model!$D$249)</f>
        <v>#NUM!</v>
      </c>
      <c r="AB305" s="377" t="e">
        <f>IPMT('Assumptions (NG Midstream)'!$B$72,Model!AU$1,'Assumptions (NG Midstream)'!$B$75,Model!$D$249)</f>
        <v>#NUM!</v>
      </c>
    </row>
    <row r="306" spans="1:43" ht="15.75" hidden="1" customHeight="1" outlineLevel="1">
      <c r="A306" s="365"/>
      <c r="B306" s="99"/>
      <c r="C306" s="377"/>
      <c r="D306" s="377"/>
      <c r="E306" s="377">
        <f>IPMT('Assumptions (NG Midstream)'!$B$72,Model!W$1,'Assumptions (NG Midstream)'!$B$75,Model!$E$249)</f>
        <v>-0.2178829936079999</v>
      </c>
      <c r="F306" s="377">
        <f>IPMT('Assumptions (NG Midstream)'!$B$72,Model!X$1,'Assumptions (NG Midstream)'!$B$75,Model!$E$249)</f>
        <v>-0.20954085595596017</v>
      </c>
      <c r="G306" s="377">
        <f>IPMT('Assumptions (NG Midstream)'!$B$72,Model!Y$1,'Assumptions (NG Midstream)'!$B$75,Model!$E$249)</f>
        <v>-0.20057305798001746</v>
      </c>
      <c r="H306" s="377">
        <f>IPMT('Assumptions (NG Midstream)'!$B$72,Model!Z$1,'Assumptions (NG Midstream)'!$B$75,Model!$E$249)</f>
        <v>-0.19093267515587903</v>
      </c>
      <c r="I306" s="377">
        <f>IPMT('Assumptions (NG Midstream)'!$B$72,Model!AA$1,'Assumptions (NG Midstream)'!$B$75,Model!$E$249)</f>
        <v>-0.18056926361993023</v>
      </c>
      <c r="J306" s="377">
        <f>IPMT('Assumptions (NG Midstream)'!$B$72,Model!AB$1,'Assumptions (NG Midstream)'!$B$75,Model!$E$249)</f>
        <v>-0.16942859621878525</v>
      </c>
      <c r="K306" s="377">
        <f>IPMT('Assumptions (NG Midstream)'!$B$72,Model!AC$1,'Assumptions (NG Midstream)'!$B$75,Model!$E$249)</f>
        <v>-0.15745237876255444</v>
      </c>
      <c r="L306" s="377">
        <f>IPMT('Assumptions (NG Midstream)'!$B$72,Model!AD$1,'Assumptions (NG Midstream)'!$B$75,Model!$E$249)</f>
        <v>-0.14457794499710627</v>
      </c>
      <c r="M306" s="377">
        <f>IPMT('Assumptions (NG Midstream)'!$B$72,Model!AE$1,'Assumptions (NG Midstream)'!$B$75,Model!$E$249)</f>
        <v>-0.13073792869924952</v>
      </c>
      <c r="N306" s="377">
        <f>IPMT('Assumptions (NG Midstream)'!$B$72,Model!AF$1,'Assumptions (NG Midstream)'!$B$75,Model!$E$249)</f>
        <v>-0.11585991117905349</v>
      </c>
      <c r="O306" s="377">
        <f>IPMT('Assumptions (NG Midstream)'!$B$72,Model!AG$1,'Assumptions (NG Midstream)'!$B$75,Model!$E$249)</f>
        <v>-9.9866042344842795E-2</v>
      </c>
      <c r="P306" s="377">
        <f>IPMT('Assumptions (NG Midstream)'!$B$72,Model!AH$1,'Assumptions (NG Midstream)'!$B$75,Model!$E$249)</f>
        <v>-8.267263334806628E-2</v>
      </c>
      <c r="Q306" s="377">
        <f>IPMT('Assumptions (NG Midstream)'!$B$72,Model!AI$1,'Assumptions (NG Midstream)'!$B$75,Model!$E$249)</f>
        <v>-6.4189718676531504E-2</v>
      </c>
      <c r="R306" s="377">
        <f>IPMT('Assumptions (NG Midstream)'!$B$72,Model!AJ$1,'Assumptions (NG Midstream)'!$B$75,Model!$E$249)</f>
        <v>-4.4320585404631643E-2</v>
      </c>
      <c r="S306" s="377">
        <f>IPMT('Assumptions (NG Midstream)'!$B$72,Model!AK$1,'Assumptions (NG Midstream)'!$B$75,Model!$E$249)</f>
        <v>-2.2961267137339283E-2</v>
      </c>
      <c r="T306" s="377" t="e">
        <f>IPMT('Assumptions (NG Midstream)'!$B$72,Model!AL$1,'Assumptions (NG Midstream)'!$B$75,Model!$E$249)</f>
        <v>#NUM!</v>
      </c>
      <c r="U306" s="377" t="e">
        <f>IPMT('Assumptions (NG Midstream)'!$B$72,Model!AM$1,'Assumptions (NG Midstream)'!$B$75,Model!$E$249)</f>
        <v>#NUM!</v>
      </c>
      <c r="V306" s="377" t="e">
        <f>IPMT('Assumptions (NG Midstream)'!$B$72,Model!AN$1,'Assumptions (NG Midstream)'!$B$75,Model!$E$249)</f>
        <v>#NUM!</v>
      </c>
      <c r="W306" s="377" t="e">
        <f>IPMT('Assumptions (NG Midstream)'!$B$72,Model!AO$1,'Assumptions (NG Midstream)'!$B$75,Model!$E$249)</f>
        <v>#NUM!</v>
      </c>
      <c r="X306" s="377" t="e">
        <f>IPMT('Assumptions (NG Midstream)'!$B$72,Model!AP$1,'Assumptions (NG Midstream)'!$B$75,Model!$E$249)</f>
        <v>#NUM!</v>
      </c>
      <c r="Y306" s="377" t="e">
        <f>IPMT('Assumptions (NG Midstream)'!$B$72,Model!AQ$1,'Assumptions (NG Midstream)'!$B$75,Model!$E$249)</f>
        <v>#NUM!</v>
      </c>
      <c r="Z306" s="377" t="e">
        <f>IPMT('Assumptions (NG Midstream)'!$B$72,Model!AR$1,'Assumptions (NG Midstream)'!$B$75,Model!$E$249)</f>
        <v>#NUM!</v>
      </c>
      <c r="AA306" s="377" t="e">
        <f>IPMT('Assumptions (NG Midstream)'!$B$72,Model!AS$1,'Assumptions (NG Midstream)'!$B$75,Model!$E$249)</f>
        <v>#NUM!</v>
      </c>
      <c r="AB306" s="377" t="e">
        <f>IPMT('Assumptions (NG Midstream)'!$B$72,Model!AT$1,'Assumptions (NG Midstream)'!$B$75,Model!$E$249)</f>
        <v>#NUM!</v>
      </c>
      <c r="AC306" s="377" t="e">
        <f>IPMT('Assumptions (NG Midstream)'!$B$72,Model!AU$1,'Assumptions (NG Midstream)'!$B$75,Model!$E$249)</f>
        <v>#NUM!</v>
      </c>
    </row>
    <row r="307" spans="1:43" ht="15.75" hidden="1" customHeight="1" outlineLevel="1">
      <c r="A307" s="365"/>
      <c r="B307" s="99"/>
      <c r="C307" s="377"/>
      <c r="D307" s="377"/>
      <c r="E307" s="377"/>
      <c r="F307" s="377">
        <f>IPMT('Assumptions (NG Midstream)'!$B$72,Model!W$1,'Assumptions (NG Midstream)'!$B$75,Model!$F$249)</f>
        <v>-0.27409416166799994</v>
      </c>
      <c r="G307" s="377">
        <f>IPMT('Assumptions (NG Midstream)'!$B$72,Model!X$1,'Assumptions (NG Midstream)'!$B$75,Model!$F$249)</f>
        <v>-0.26359985374432299</v>
      </c>
      <c r="H307" s="377">
        <f>IPMT('Assumptions (NG Midstream)'!$B$72,Model!Y$1,'Assumptions (NG Midstream)'!$B$75,Model!$F$249)</f>
        <v>-0.25231847272637026</v>
      </c>
      <c r="I307" s="377">
        <f>IPMT('Assumptions (NG Midstream)'!$B$72,Model!Z$1,'Assumptions (NG Midstream)'!$B$75,Model!$F$249)</f>
        <v>-0.24019098813207113</v>
      </c>
      <c r="J307" s="377">
        <f>IPMT('Assumptions (NG Midstream)'!$B$72,Model!AA$1,'Assumptions (NG Midstream)'!$B$75,Model!$F$249)</f>
        <v>-0.22715394219319945</v>
      </c>
      <c r="K307" s="377">
        <f>IPMT('Assumptions (NG Midstream)'!$B$72,Model!AB$1,'Assumptions (NG Midstream)'!$B$75,Model!$F$249)</f>
        <v>-0.21313911780891245</v>
      </c>
      <c r="L307" s="377">
        <f>IPMT('Assumptions (NG Midstream)'!$B$72,Model!AC$1,'Assumptions (NG Midstream)'!$B$75,Model!$F$249)</f>
        <v>-0.19807318159580395</v>
      </c>
      <c r="M307" s="377">
        <f>IPMT('Assumptions (NG Midstream)'!$B$72,Model!AD$1,'Assumptions (NG Midstream)'!$B$75,Model!$F$249)</f>
        <v>-0.18187730016671227</v>
      </c>
      <c r="N307" s="377">
        <f>IPMT('Assumptions (NG Midstream)'!$B$72,Model!AE$1,'Assumptions (NG Midstream)'!$B$75,Model!$F$249)</f>
        <v>-0.16446672763043874</v>
      </c>
      <c r="O307" s="377">
        <f>IPMT('Assumptions (NG Midstream)'!$B$72,Model!AF$1,'Assumptions (NG Midstream)'!$B$75,Model!$F$249)</f>
        <v>-0.14575036215394468</v>
      </c>
      <c r="P307" s="377">
        <f>IPMT('Assumptions (NG Midstream)'!$B$72,Model!AG$1,'Assumptions (NG Midstream)'!$B$75,Model!$F$249)</f>
        <v>-0.12563026926671361</v>
      </c>
      <c r="Q307" s="377">
        <f>IPMT('Assumptions (NG Midstream)'!$B$72,Model!AH$1,'Assumptions (NG Midstream)'!$B$75,Model!$F$249)</f>
        <v>-0.10400116941294019</v>
      </c>
      <c r="R307" s="377">
        <f>IPMT('Assumptions (NG Midstream)'!$B$72,Model!AI$1,'Assumptions (NG Midstream)'!$B$75,Model!$F$249)</f>
        <v>-8.0749887070133725E-2</v>
      </c>
      <c r="S307" s="377">
        <f>IPMT('Assumptions (NG Midstream)'!$B$72,Model!AJ$1,'Assumptions (NG Midstream)'!$B$75,Model!$F$249)</f>
        <v>-5.5754758551616816E-2</v>
      </c>
      <c r="T307" s="377">
        <f>IPMT('Assumptions (NG Midstream)'!$B$72,Model!AK$1,'Assumptions (NG Midstream)'!$B$75,Model!$F$249)</f>
        <v>-2.8884995394211119E-2</v>
      </c>
      <c r="U307" s="377" t="e">
        <f>IPMT('Assumptions (NG Midstream)'!$B$72,Model!AL$1,'Assumptions (NG Midstream)'!$B$75,Model!$F$249)</f>
        <v>#NUM!</v>
      </c>
      <c r="V307" s="377" t="e">
        <f>IPMT('Assumptions (NG Midstream)'!$B$72,Model!AM$1,'Assumptions (NG Midstream)'!$B$75,Model!$F$249)</f>
        <v>#NUM!</v>
      </c>
      <c r="W307" s="377" t="e">
        <f>IPMT('Assumptions (NG Midstream)'!$B$72,Model!AN$1,'Assumptions (NG Midstream)'!$B$75,Model!$F$249)</f>
        <v>#NUM!</v>
      </c>
      <c r="X307" s="377" t="e">
        <f>IPMT('Assumptions (NG Midstream)'!$B$72,Model!AO$1,'Assumptions (NG Midstream)'!$B$75,Model!$F$249)</f>
        <v>#NUM!</v>
      </c>
      <c r="Y307" s="377" t="e">
        <f>IPMT('Assumptions (NG Midstream)'!$B$72,Model!AP$1,'Assumptions (NG Midstream)'!$B$75,Model!$F$249)</f>
        <v>#NUM!</v>
      </c>
      <c r="Z307" s="377" t="e">
        <f>IPMT('Assumptions (NG Midstream)'!$B$72,Model!AQ$1,'Assumptions (NG Midstream)'!$B$75,Model!$F$249)</f>
        <v>#NUM!</v>
      </c>
      <c r="AA307" s="377" t="e">
        <f>IPMT('Assumptions (NG Midstream)'!$B$72,Model!AR$1,'Assumptions (NG Midstream)'!$B$75,Model!$F$249)</f>
        <v>#NUM!</v>
      </c>
      <c r="AB307" s="377" t="e">
        <f>IPMT('Assumptions (NG Midstream)'!$B$72,Model!AS$1,'Assumptions (NG Midstream)'!$B$75,Model!$F$249)</f>
        <v>#NUM!</v>
      </c>
      <c r="AC307" s="377" t="e">
        <f>IPMT('Assumptions (NG Midstream)'!$B$72,Model!AT$1,'Assumptions (NG Midstream)'!$B$75,Model!$F$249)</f>
        <v>#NUM!</v>
      </c>
      <c r="AD307" s="377" t="e">
        <f>IPMT('Assumptions (NG Midstream)'!$B$72,Model!AU$1,'Assumptions (NG Midstream)'!$B$75,Model!$F$249)</f>
        <v>#NUM!</v>
      </c>
    </row>
    <row r="308" spans="1:43" ht="15.75" hidden="1" customHeight="1" outlineLevel="1">
      <c r="A308" s="365"/>
      <c r="B308" s="99"/>
      <c r="C308" s="377"/>
      <c r="D308" s="377"/>
      <c r="E308" s="377"/>
      <c r="F308" s="377"/>
      <c r="G308" s="377">
        <f>IPMT('Assumptions (NG Midstream)'!$B$72,Model!W$1,'Assumptions (NG Midstream)'!$B$75,Model!$G$249)</f>
        <v>-0.16292979658619997</v>
      </c>
      <c r="H308" s="377">
        <f>IPMT('Assumptions (NG Midstream)'!$B$72,Model!X$1,'Assumptions (NG Midstream)'!$B$75,Model!$G$249)</f>
        <v>-0.15669166497145695</v>
      </c>
      <c r="I308" s="377">
        <f>IPMT('Assumptions (NG Midstream)'!$B$72,Model!Y$1,'Assumptions (NG Midstream)'!$B$75,Model!$G$249)</f>
        <v>-0.14998567348560821</v>
      </c>
      <c r="J308" s="377">
        <f>IPMT('Assumptions (NG Midstream)'!$B$72,Model!Z$1,'Assumptions (NG Midstream)'!$B$75,Model!$G$249)</f>
        <v>-0.14277673263832083</v>
      </c>
      <c r="K308" s="377">
        <f>IPMT('Assumptions (NG Midstream)'!$B$72,Model!AA$1,'Assumptions (NG Midstream)'!$B$75,Model!$G$249)</f>
        <v>-0.13502712122748686</v>
      </c>
      <c r="L308" s="377">
        <f>IPMT('Assumptions (NG Midstream)'!$B$72,Model!AB$1,'Assumptions (NG Midstream)'!$B$75,Model!$G$249)</f>
        <v>-0.12669628896084037</v>
      </c>
      <c r="M308" s="377">
        <f>IPMT('Assumptions (NG Midstream)'!$B$72,Model!AC$1,'Assumptions (NG Midstream)'!$B$75,Model!$G$249)</f>
        <v>-0.11774064427419538</v>
      </c>
      <c r="N308" s="377">
        <f>IPMT('Assumptions (NG Midstream)'!$B$72,Model!AD$1,'Assumptions (NG Midstream)'!$B$75,Model!$G$249)</f>
        <v>-0.10811332623605202</v>
      </c>
      <c r="O308" s="377">
        <f>IPMT('Assumptions (NG Midstream)'!$B$72,Model!AE$1,'Assumptions (NG Midstream)'!$B$75,Model!$G$249)</f>
        <v>-9.7763959345047904E-2</v>
      </c>
      <c r="P308" s="377">
        <f>IPMT('Assumptions (NG Midstream)'!$B$72,Model!AF$1,'Assumptions (NG Midstream)'!$B$75,Model!$G$249)</f>
        <v>-8.6638389937218493E-2</v>
      </c>
      <c r="Q308" s="377">
        <f>IPMT('Assumptions (NG Midstream)'!$B$72,Model!AG$1,'Assumptions (NG Midstream)'!$B$75,Model!$G$249)</f>
        <v>-7.4678402823801879E-2</v>
      </c>
      <c r="R308" s="377">
        <f>IPMT('Assumptions (NG Midstream)'!$B$72,Model!AH$1,'Assumptions (NG Midstream)'!$B$75,Model!$G$249)</f>
        <v>-6.1821416676879015E-2</v>
      </c>
      <c r="S308" s="377">
        <f>IPMT('Assumptions (NG Midstream)'!$B$72,Model!AI$1,'Assumptions (NG Midstream)'!$B$75,Model!$G$249)</f>
        <v>-4.8000156568936921E-2</v>
      </c>
      <c r="T308" s="377">
        <f>IPMT('Assumptions (NG Midstream)'!$B$72,Model!AJ$1,'Assumptions (NG Midstream)'!$B$75,Model!$G$249)</f>
        <v>-3.3142301952899182E-2</v>
      </c>
      <c r="U308" s="377">
        <f>IPMT('Assumptions (NG Midstream)'!$B$72,Model!AK$1,'Assumptions (NG Midstream)'!$B$75,Model!$G$249)</f>
        <v>-1.7170108240658614E-2</v>
      </c>
      <c r="V308" s="377" t="e">
        <f>IPMT('Assumptions (NG Midstream)'!$B$72,Model!AL$1,'Assumptions (NG Midstream)'!$B$75,Model!$G$249)</f>
        <v>#NUM!</v>
      </c>
      <c r="W308" s="377" t="e">
        <f>IPMT('Assumptions (NG Midstream)'!$B$72,Model!AM$1,'Assumptions (NG Midstream)'!$B$75,Model!$G$249)</f>
        <v>#NUM!</v>
      </c>
      <c r="X308" s="377" t="e">
        <f>IPMT('Assumptions (NG Midstream)'!$B$72,Model!AN$1,'Assumptions (NG Midstream)'!$B$75,Model!$G$249)</f>
        <v>#NUM!</v>
      </c>
      <c r="Y308" s="377" t="e">
        <f>IPMT('Assumptions (NG Midstream)'!$B$72,Model!AO$1,'Assumptions (NG Midstream)'!$B$75,Model!$G$249)</f>
        <v>#NUM!</v>
      </c>
      <c r="Z308" s="377" t="e">
        <f>IPMT('Assumptions (NG Midstream)'!$B$72,Model!AP$1,'Assumptions (NG Midstream)'!$B$75,Model!$G$249)</f>
        <v>#NUM!</v>
      </c>
      <c r="AA308" s="377" t="e">
        <f>IPMT('Assumptions (NG Midstream)'!$B$72,Model!AQ$1,'Assumptions (NG Midstream)'!$B$75,Model!$G$249)</f>
        <v>#NUM!</v>
      </c>
      <c r="AB308" s="377" t="e">
        <f>IPMT('Assumptions (NG Midstream)'!$B$72,Model!AR$1,'Assumptions (NG Midstream)'!$B$75,Model!$G$249)</f>
        <v>#NUM!</v>
      </c>
      <c r="AC308" s="377" t="e">
        <f>IPMT('Assumptions (NG Midstream)'!$B$72,Model!AS$1,'Assumptions (NG Midstream)'!$B$75,Model!$G$249)</f>
        <v>#NUM!</v>
      </c>
      <c r="AD308" s="377" t="e">
        <f>IPMT('Assumptions (NG Midstream)'!$B$72,Model!AT$1,'Assumptions (NG Midstream)'!$B$75,Model!$G$249)</f>
        <v>#NUM!</v>
      </c>
      <c r="AE308" s="377" t="e">
        <f>IPMT('Assumptions (NG Midstream)'!$B$72,Model!AU$1,'Assumptions (NG Midstream)'!$B$75,Model!$G$249)</f>
        <v>#NUM!</v>
      </c>
    </row>
    <row r="309" spans="1:43" ht="15.75" hidden="1" customHeight="1" outlineLevel="1">
      <c r="A309" s="365"/>
      <c r="B309" s="99"/>
      <c r="C309" s="377"/>
      <c r="D309" s="377"/>
      <c r="E309" s="377"/>
      <c r="F309" s="377"/>
      <c r="G309" s="377"/>
      <c r="H309" s="377">
        <f>IPMT('Assumptions (NG Midstream)'!$B$72,Model!W$1,'Assumptions (NG Midstream)'!$B$75,Model!$H$249)</f>
        <v>-0.16182740371499996</v>
      </c>
      <c r="I309" s="377">
        <f>IPMT('Assumptions (NG Midstream)'!$B$72,Model!X$1,'Assumptions (NG Midstream)'!$B$75,Model!$H$249)</f>
        <v>-0.15563147967656152</v>
      </c>
      <c r="J309" s="377">
        <f>IPMT('Assumptions (NG Midstream)'!$B$72,Model!Y$1,'Assumptions (NG Midstream)'!$B$75,Model!$H$249)</f>
        <v>-0.14897086133524021</v>
      </c>
      <c r="K309" s="377">
        <f>IPMT('Assumptions (NG Midstream)'!$B$72,Model!Z$1,'Assumptions (NG Midstream)'!$B$75,Model!$H$249)</f>
        <v>-0.1418106966183198</v>
      </c>
      <c r="L309" s="377">
        <f>IPMT('Assumptions (NG Midstream)'!$B$72,Model!AA$1,'Assumptions (NG Midstream)'!$B$75,Model!$H$249)</f>
        <v>-0.13411351954763032</v>
      </c>
      <c r="M309" s="377">
        <f>IPMT('Assumptions (NG Midstream)'!$B$72,Model!AB$1,'Assumptions (NG Midstream)'!$B$75,Model!$H$249)</f>
        <v>-0.12583905419663916</v>
      </c>
      <c r="N309" s="377">
        <f>IPMT('Assumptions (NG Midstream)'!$B$72,Model!AC$1,'Assumptions (NG Midstream)'!$B$75,Model!$H$249)</f>
        <v>-0.11694400394432365</v>
      </c>
      <c r="O309" s="377">
        <f>IPMT('Assumptions (NG Midstream)'!$B$72,Model!AD$1,'Assumptions (NG Midstream)'!$B$75,Model!$H$249)</f>
        <v>-0.10738182492308447</v>
      </c>
      <c r="P309" s="377">
        <f>IPMT('Assumptions (NG Midstream)'!$B$72,Model!AE$1,'Assumptions (NG Midstream)'!$B$75,Model!$H$249)</f>
        <v>-9.7102482475252355E-2</v>
      </c>
      <c r="Q309" s="377">
        <f>IPMT('Assumptions (NG Midstream)'!$B$72,Model!AF$1,'Assumptions (NG Midstream)'!$B$75,Model!$H$249)</f>
        <v>-8.6052189343832838E-2</v>
      </c>
      <c r="R309" s="377">
        <f>IPMT('Assumptions (NG Midstream)'!$B$72,Model!AG$1,'Assumptions (NG Midstream)'!$B$75,Model!$H$249)</f>
        <v>-7.4173124227556869E-2</v>
      </c>
      <c r="S309" s="377">
        <f>IPMT('Assumptions (NG Midstream)'!$B$72,Model!AH$1,'Assumptions (NG Midstream)'!$B$75,Model!$H$249)</f>
        <v>-6.1403129227560201E-2</v>
      </c>
      <c r="T309" s="377">
        <f>IPMT('Assumptions (NG Midstream)'!$B$72,Model!AI$1,'Assumptions (NG Midstream)'!$B$75,Model!$H$249)</f>
        <v>-4.7675384602563757E-2</v>
      </c>
      <c r="U309" s="377">
        <f>IPMT('Assumptions (NG Midstream)'!$B$72,Model!AJ$1,'Assumptions (NG Midstream)'!$B$75,Model!$H$249)</f>
        <v>-3.2918059130692609E-2</v>
      </c>
      <c r="V309" s="377">
        <f>IPMT('Assumptions (NG Midstream)'!$B$72,Model!AK$1,'Assumptions (NG Midstream)'!$B$75,Model!$H$249)</f>
        <v>-1.7053934248431109E-2</v>
      </c>
      <c r="W309" s="377" t="e">
        <f>IPMT('Assumptions (NG Midstream)'!$B$72,Model!AL$1,'Assumptions (NG Midstream)'!$B$75,Model!$H$249)</f>
        <v>#NUM!</v>
      </c>
      <c r="X309" s="377" t="e">
        <f>IPMT('Assumptions (NG Midstream)'!$B$72,Model!AM$1,'Assumptions (NG Midstream)'!$B$75,Model!$H$249)</f>
        <v>#NUM!</v>
      </c>
      <c r="Y309" s="377" t="e">
        <f>IPMT('Assumptions (NG Midstream)'!$B$72,Model!AN$1,'Assumptions (NG Midstream)'!$B$75,Model!$H$249)</f>
        <v>#NUM!</v>
      </c>
      <c r="Z309" s="377" t="e">
        <f>IPMT('Assumptions (NG Midstream)'!$B$72,Model!AO$1,'Assumptions (NG Midstream)'!$B$75,Model!$H$249)</f>
        <v>#NUM!</v>
      </c>
      <c r="AA309" s="377" t="e">
        <f>IPMT('Assumptions (NG Midstream)'!$B$72,Model!AP$1,'Assumptions (NG Midstream)'!$B$75,Model!$H$249)</f>
        <v>#NUM!</v>
      </c>
      <c r="AB309" s="377" t="e">
        <f>IPMT('Assumptions (NG Midstream)'!$B$72,Model!AQ$1,'Assumptions (NG Midstream)'!$B$75,Model!$H$249)</f>
        <v>#NUM!</v>
      </c>
      <c r="AC309" s="377" t="e">
        <f>IPMT('Assumptions (NG Midstream)'!$B$72,Model!AR$1,'Assumptions (NG Midstream)'!$B$75,Model!$H$249)</f>
        <v>#NUM!</v>
      </c>
      <c r="AD309" s="377" t="e">
        <f>IPMT('Assumptions (NG Midstream)'!$B$72,Model!AS$1,'Assumptions (NG Midstream)'!$B$75,Model!$H$249)</f>
        <v>#NUM!</v>
      </c>
      <c r="AE309" s="377" t="e">
        <f>IPMT('Assumptions (NG Midstream)'!$B$72,Model!AT$1,'Assumptions (NG Midstream)'!$B$75,Model!$H$249)</f>
        <v>#NUM!</v>
      </c>
      <c r="AF309" s="377" t="e">
        <f>IPMT('Assumptions (NG Midstream)'!$B$72,Model!AU$1,'Assumptions (NG Midstream)'!$B$75,Model!$H$249)</f>
        <v>#NUM!</v>
      </c>
    </row>
    <row r="310" spans="1:43" ht="15.75" hidden="1" customHeight="1" outlineLevel="1">
      <c r="A310" s="365"/>
      <c r="B310" s="99"/>
      <c r="C310" s="377"/>
      <c r="D310" s="377"/>
      <c r="E310" s="377"/>
      <c r="F310" s="377"/>
      <c r="G310" s="377"/>
      <c r="H310" s="377"/>
      <c r="I310" s="377">
        <f>IPMT('Assumptions (NG Midstream)'!$B$72,Model!W$1,'Assumptions (NG Midstream)'!$B$75,Model!$I$249)</f>
        <v>-0.20478715814699999</v>
      </c>
      <c r="J310" s="377">
        <f>IPMT('Assumptions (NG Midstream)'!$B$72,Model!X$1,'Assumptions (NG Midstream)'!$B$75,Model!$I$249)</f>
        <v>-0.19694642384120159</v>
      </c>
      <c r="K310" s="377">
        <f>IPMT('Assumptions (NG Midstream)'!$B$72,Model!Y$1,'Assumptions (NG Midstream)'!$B$75,Model!$I$249)</f>
        <v>-0.18851763446246825</v>
      </c>
      <c r="L310" s="377">
        <f>IPMT('Assumptions (NG Midstream)'!$B$72,Model!Z$1,'Assumptions (NG Midstream)'!$B$75,Model!$I$249)</f>
        <v>-0.17945668588032998</v>
      </c>
      <c r="M310" s="377">
        <f>IPMT('Assumptions (NG Midstream)'!$B$72,Model!AA$1,'Assumptions (NG Midstream)'!$B$75,Model!$I$249)</f>
        <v>-0.16971616615453125</v>
      </c>
      <c r="N310" s="377">
        <f>IPMT('Assumptions (NG Midstream)'!$B$72,Model!AB$1,'Assumptions (NG Midstream)'!$B$75,Model!$I$249)</f>
        <v>-0.15924510744929768</v>
      </c>
      <c r="O310" s="377">
        <f>IPMT('Assumptions (NG Midstream)'!$B$72,Model!AC$1,'Assumptions (NG Midstream)'!$B$75,Model!$I$249)</f>
        <v>-0.14798871934117158</v>
      </c>
      <c r="P310" s="377">
        <f>IPMT('Assumptions (NG Midstream)'!$B$72,Model!AD$1,'Assumptions (NG Midstream)'!$B$75,Model!$I$249)</f>
        <v>-0.13588810212493602</v>
      </c>
      <c r="Q310" s="377">
        <f>IPMT('Assumptions (NG Midstream)'!$B$72,Model!AE$1,'Assumptions (NG Midstream)'!$B$75,Model!$I$249)</f>
        <v>-0.12287993861748278</v>
      </c>
      <c r="R310" s="377">
        <f>IPMT('Assumptions (NG Midstream)'!$B$72,Model!AF$1,'Assumptions (NG Midstream)'!$B$75,Model!$I$249)</f>
        <v>-0.10889616284697055</v>
      </c>
      <c r="S310" s="377">
        <f>IPMT('Assumptions (NG Midstream)'!$B$72,Model!AG$1,'Assumptions (NG Midstream)'!$B$75,Model!$I$249)</f>
        <v>-9.386360389366992E-2</v>
      </c>
      <c r="T310" s="377">
        <f>IPMT('Assumptions (NG Midstream)'!$B$72,Model!AH$1,'Assumptions (NG Midstream)'!$B$75,Model!$I$249)</f>
        <v>-7.7703603018871761E-2</v>
      </c>
      <c r="U310" s="377">
        <f>IPMT('Assumptions (NG Midstream)'!$B$72,Model!AI$1,'Assumptions (NG Midstream)'!$B$75,Model!$I$249)</f>
        <v>-6.0331602078463678E-2</v>
      </c>
      <c r="V310" s="377">
        <f>IPMT('Assumptions (NG Midstream)'!$B$72,Model!AJ$1,'Assumptions (NG Midstream)'!$B$75,Model!$I$249)</f>
        <v>-4.1656701067525038E-2</v>
      </c>
      <c r="W310" s="377">
        <f>IPMT('Assumptions (NG Midstream)'!$B$72,Model!AK$1,'Assumptions (NG Midstream)'!$B$75,Model!$I$249)</f>
        <v>-2.1581182480765983E-2</v>
      </c>
      <c r="X310" s="377" t="e">
        <f>IPMT('Assumptions (NG Midstream)'!$B$72,Model!AL$1,'Assumptions (NG Midstream)'!$B$75,Model!$I$249)</f>
        <v>#NUM!</v>
      </c>
      <c r="Y310" s="377" t="e">
        <f>IPMT('Assumptions (NG Midstream)'!$B$72,Model!AM$1,'Assumptions (NG Midstream)'!$B$75,Model!$I$249)</f>
        <v>#NUM!</v>
      </c>
      <c r="Z310" s="377" t="e">
        <f>IPMT('Assumptions (NG Midstream)'!$B$72,Model!AN$1,'Assumptions (NG Midstream)'!$B$75,Model!$I$249)</f>
        <v>#NUM!</v>
      </c>
      <c r="AA310" s="377" t="e">
        <f>IPMT('Assumptions (NG Midstream)'!$B$72,Model!AO$1,'Assumptions (NG Midstream)'!$B$75,Model!$I$249)</f>
        <v>#NUM!</v>
      </c>
      <c r="AB310" s="377" t="e">
        <f>IPMT('Assumptions (NG Midstream)'!$B$72,Model!AP$1,'Assumptions (NG Midstream)'!$B$75,Model!$I$249)</f>
        <v>#NUM!</v>
      </c>
      <c r="AC310" s="377" t="e">
        <f>IPMT('Assumptions (NG Midstream)'!$B$72,Model!AQ$1,'Assumptions (NG Midstream)'!$B$75,Model!$I$249)</f>
        <v>#NUM!</v>
      </c>
      <c r="AD310" s="377" t="e">
        <f>IPMT('Assumptions (NG Midstream)'!$B$72,Model!AR$1,'Assumptions (NG Midstream)'!$B$75,Model!$I$249)</f>
        <v>#NUM!</v>
      </c>
      <c r="AE310" s="377" t="e">
        <f>IPMT('Assumptions (NG Midstream)'!$B$72,Model!AS$1,'Assumptions (NG Midstream)'!$B$75,Model!$I$249)</f>
        <v>#NUM!</v>
      </c>
      <c r="AF310" s="377" t="e">
        <f>IPMT('Assumptions (NG Midstream)'!$B$72,Model!AT$1,'Assumptions (NG Midstream)'!$B$75,Model!$I$249)</f>
        <v>#NUM!</v>
      </c>
      <c r="AG310" s="377" t="e">
        <f>IPMT('Assumptions (NG Midstream)'!$B$72,Model!AU$1,'Assumptions (NG Midstream)'!$B$75,Model!$I$249)</f>
        <v>#NUM!</v>
      </c>
    </row>
    <row r="311" spans="1:43" ht="15.75" hidden="1" customHeight="1" outlineLevel="1">
      <c r="A311" s="365"/>
      <c r="B311" s="99"/>
      <c r="C311" s="377"/>
      <c r="D311" s="377"/>
      <c r="E311" s="377"/>
      <c r="F311" s="377"/>
      <c r="G311" s="377"/>
      <c r="H311" s="377"/>
      <c r="I311" s="377"/>
      <c r="J311" s="377">
        <f>IPMT('Assumptions (NG Midstream)'!$B$72,Model!W$1,'Assumptions (NG Midstream)'!$B$75,Model!$J$249)</f>
        <v>-0.34516776283334993</v>
      </c>
      <c r="K311" s="377">
        <f>IPMT('Assumptions (NG Midstream)'!$B$72,Model!X$1,'Assumptions (NG Midstream)'!$B$75,Model!$J$249)</f>
        <v>-0.33195224315041916</v>
      </c>
      <c r="L311" s="377">
        <f>IPMT('Assumptions (NG Midstream)'!$B$72,Model!Y$1,'Assumptions (NG Midstream)'!$B$75,Model!$J$249)</f>
        <v>-0.31774555949126854</v>
      </c>
      <c r="M311" s="377">
        <f>IPMT('Assumptions (NG Midstream)'!$B$72,Model!Z$1,'Assumptions (NG Midstream)'!$B$75,Model!$J$249)</f>
        <v>-0.30247337455768158</v>
      </c>
      <c r="N311" s="377">
        <f>IPMT('Assumptions (NG Midstream)'!$B$72,Model!AA$1,'Assumptions (NG Midstream)'!$B$75,Model!$J$249)</f>
        <v>-0.28605577575407565</v>
      </c>
      <c r="O311" s="377">
        <f>IPMT('Assumptions (NG Midstream)'!$B$72,Model!AB$1,'Assumptions (NG Midstream)'!$B$75,Model!$J$249)</f>
        <v>-0.26840685704019923</v>
      </c>
      <c r="P311" s="377">
        <f>IPMT('Assumptions (NG Midstream)'!$B$72,Model!AC$1,'Assumptions (NG Midstream)'!$B$75,Model!$J$249)</f>
        <v>-0.24943426942278218</v>
      </c>
      <c r="Q311" s="377">
        <f>IPMT('Assumptions (NG Midstream)'!$B$72,Model!AD$1,'Assumptions (NG Midstream)'!$B$75,Model!$J$249)</f>
        <v>-0.22903873773405878</v>
      </c>
      <c r="R311" s="377">
        <f>IPMT('Assumptions (NG Midstream)'!$B$72,Model!AE$1,'Assumptions (NG Midstream)'!$B$75,Model!$J$249)</f>
        <v>-0.20711354116868111</v>
      </c>
      <c r="S311" s="377">
        <f>IPMT('Assumptions (NG Midstream)'!$B$72,Model!AF$1,'Assumptions (NG Midstream)'!$B$75,Model!$J$249)</f>
        <v>-0.18354395486090014</v>
      </c>
      <c r="T311" s="377">
        <f>IPMT('Assumptions (NG Midstream)'!$B$72,Model!AG$1,'Assumptions (NG Midstream)'!$B$75,Model!$J$249)</f>
        <v>-0.15820664958003558</v>
      </c>
      <c r="U311" s="377">
        <f>IPMT('Assumptions (NG Midstream)'!$B$72,Model!AH$1,'Assumptions (NG Midstream)'!$B$75,Model!$J$249)</f>
        <v>-0.13096904640310622</v>
      </c>
      <c r="V311" s="377">
        <f>IPMT('Assumptions (NG Midstream)'!$B$72,Model!AI$1,'Assumptions (NG Midstream)'!$B$75,Model!$J$249)</f>
        <v>-0.10168862298790712</v>
      </c>
      <c r="W311" s="377">
        <f>IPMT('Assumptions (NG Midstream)'!$B$72,Model!AJ$1,'Assumptions (NG Midstream)'!$B$75,Model!$J$249)</f>
        <v>-7.0212167816568111E-2</v>
      </c>
      <c r="X311" s="377">
        <f>IPMT('Assumptions (NG Midstream)'!$B$72,Model!AK$1,'Assumptions (NG Midstream)'!$B$75,Model!$J$249)</f>
        <v>-3.6374978507378655E-2</v>
      </c>
      <c r="Y311" s="377" t="e">
        <f>IPMT('Assumptions (NG Midstream)'!$B$72,Model!AL$1,'Assumptions (NG Midstream)'!$B$75,Model!$J$249)</f>
        <v>#NUM!</v>
      </c>
      <c r="Z311" s="377" t="e">
        <f>IPMT('Assumptions (NG Midstream)'!$B$72,Model!AM$1,'Assumptions (NG Midstream)'!$B$75,Model!$J$249)</f>
        <v>#NUM!</v>
      </c>
      <c r="AA311" s="377" t="e">
        <f>IPMT('Assumptions (NG Midstream)'!$B$72,Model!AN$1,'Assumptions (NG Midstream)'!$B$75,Model!$J$249)</f>
        <v>#NUM!</v>
      </c>
      <c r="AB311" s="377" t="e">
        <f>IPMT('Assumptions (NG Midstream)'!$B$72,Model!AO$1,'Assumptions (NG Midstream)'!$B$75,Model!$J$249)</f>
        <v>#NUM!</v>
      </c>
      <c r="AC311" s="377" t="e">
        <f>IPMT('Assumptions (NG Midstream)'!$B$72,Model!AP$1,'Assumptions (NG Midstream)'!$B$75,Model!$J$249)</f>
        <v>#NUM!</v>
      </c>
      <c r="AD311" s="377" t="e">
        <f>IPMT('Assumptions (NG Midstream)'!$B$72,Model!AQ$1,'Assumptions (NG Midstream)'!$B$75,Model!$J$249)</f>
        <v>#NUM!</v>
      </c>
      <c r="AE311" s="377" t="e">
        <f>IPMT('Assumptions (NG Midstream)'!$B$72,Model!AR$1,'Assumptions (NG Midstream)'!$B$75,Model!$J$249)</f>
        <v>#NUM!</v>
      </c>
      <c r="AF311" s="377" t="e">
        <f>IPMT('Assumptions (NG Midstream)'!$B$72,Model!AS$1,'Assumptions (NG Midstream)'!$B$75,Model!$J$249)</f>
        <v>#NUM!</v>
      </c>
      <c r="AG311" s="377" t="e">
        <f>IPMT('Assumptions (NG Midstream)'!$B$72,Model!AT$1,'Assumptions (NG Midstream)'!$B$75,Model!$J$249)</f>
        <v>#NUM!</v>
      </c>
      <c r="AH311" s="377" t="e">
        <f>IPMT('Assumptions (NG Midstream)'!$B$72,Model!AU$1,'Assumptions (NG Midstream)'!$B$75,Model!$J$249)</f>
        <v>#NUM!</v>
      </c>
    </row>
    <row r="312" spans="1:43" ht="15.75" hidden="1" customHeight="1" outlineLevel="1">
      <c r="A312" s="365"/>
      <c r="B312" s="99"/>
      <c r="C312" s="377"/>
      <c r="D312" s="377"/>
      <c r="E312" s="377"/>
      <c r="F312" s="377"/>
      <c r="G312" s="377"/>
      <c r="H312" s="377"/>
      <c r="I312" s="377"/>
      <c r="J312" s="377"/>
      <c r="K312" s="377">
        <f>IPMT('Assumptions (NG Midstream)'!$B$72,Model!W$1,'Assumptions (NG Midstream)'!$B$75,Model!$K$249)</f>
        <v>-0.63325690029719983</v>
      </c>
      <c r="L312" s="377">
        <f>IPMT('Assumptions (NG Midstream)'!$B$72,Model!X$1,'Assumptions (NG Midstream)'!$B$75,Model!$K$249)</f>
        <v>-0.60901124374592475</v>
      </c>
      <c r="M312" s="377">
        <f>IPMT('Assumptions (NG Midstream)'!$B$72,Model!Y$1,'Assumptions (NG Midstream)'!$B$75,Model!$K$249)</f>
        <v>-0.58294716295330395</v>
      </c>
      <c r="N312" s="377">
        <f>IPMT('Assumptions (NG Midstream)'!$B$72,Model!Z$1,'Assumptions (NG Midstream)'!$B$75,Model!$K$249)</f>
        <v>-0.55492827610123663</v>
      </c>
      <c r="O312" s="377">
        <f>IPMT('Assumptions (NG Midstream)'!$B$72,Model!AA$1,'Assumptions (NG Midstream)'!$B$75,Model!$K$249)</f>
        <v>-0.52480797273526414</v>
      </c>
      <c r="P312" s="377">
        <f>IPMT('Assumptions (NG Midstream)'!$B$72,Model!AB$1,'Assumptions (NG Midstream)'!$B$75,Model!$K$249)</f>
        <v>-0.49242864661684388</v>
      </c>
      <c r="Q312" s="377">
        <f>IPMT('Assumptions (NG Midstream)'!$B$72,Model!AC$1,'Assumptions (NG Midstream)'!$B$75,Model!$K$249)</f>
        <v>-0.45762087103954202</v>
      </c>
      <c r="R312" s="377">
        <f>IPMT('Assumptions (NG Midstream)'!$B$72,Model!AD$1,'Assumptions (NG Midstream)'!$B$75,Model!$K$249)</f>
        <v>-0.42020251229394256</v>
      </c>
      <c r="S312" s="377">
        <f>IPMT('Assumptions (NG Midstream)'!$B$72,Model!AE$1,'Assumptions (NG Midstream)'!$B$75,Model!$K$249)</f>
        <v>-0.37997777664242305</v>
      </c>
      <c r="T312" s="377">
        <f>IPMT('Assumptions (NG Midstream)'!$B$72,Model!AF$1,'Assumptions (NG Midstream)'!$B$75,Model!$K$249)</f>
        <v>-0.33673618581703968</v>
      </c>
      <c r="U312" s="377">
        <f>IPMT('Assumptions (NG Midstream)'!$B$72,Model!AG$1,'Assumptions (NG Midstream)'!$B$75,Model!$K$249)</f>
        <v>-0.29025147567975251</v>
      </c>
      <c r="V312" s="377">
        <f>IPMT('Assumptions (NG Midstream)'!$B$72,Model!AH$1,'Assumptions (NG Midstream)'!$B$75,Model!$K$249)</f>
        <v>-0.24028041228216881</v>
      </c>
      <c r="W312" s="377">
        <f>IPMT('Assumptions (NG Midstream)'!$B$72,Model!AI$1,'Assumptions (NG Midstream)'!$B$75,Model!$K$249)</f>
        <v>-0.18656151912976629</v>
      </c>
      <c r="X312" s="377">
        <f>IPMT('Assumptions (NG Midstream)'!$B$72,Model!AJ$1,'Assumptions (NG Midstream)'!$B$75,Model!$K$249)</f>
        <v>-0.12881370899093364</v>
      </c>
      <c r="Y312" s="377">
        <f>IPMT('Assumptions (NG Midstream)'!$B$72,Model!AK$1,'Assumptions (NG Midstream)'!$B$75,Model!$K$249)</f>
        <v>-6.6734813091688508E-2</v>
      </c>
      <c r="Z312" s="377" t="e">
        <f>IPMT('Assumptions (NG Midstream)'!$B$72,Model!AL$1,'Assumptions (NG Midstream)'!$B$75,Model!$K$249)</f>
        <v>#NUM!</v>
      </c>
      <c r="AA312" s="377" t="e">
        <f>IPMT('Assumptions (NG Midstream)'!$B$72,Model!AM$1,'Assumptions (NG Midstream)'!$B$75,Model!$K$249)</f>
        <v>#NUM!</v>
      </c>
      <c r="AB312" s="377" t="e">
        <f>IPMT('Assumptions (NG Midstream)'!$B$72,Model!AN$1,'Assumptions (NG Midstream)'!$B$75,Model!$K$249)</f>
        <v>#NUM!</v>
      </c>
      <c r="AC312" s="377" t="e">
        <f>IPMT('Assumptions (NG Midstream)'!$B$72,Model!AO$1,'Assumptions (NG Midstream)'!$B$75,Model!$K$249)</f>
        <v>#NUM!</v>
      </c>
      <c r="AD312" s="377" t="e">
        <f>IPMT('Assumptions (NG Midstream)'!$B$72,Model!AP$1,'Assumptions (NG Midstream)'!$B$75,Model!$K$249)</f>
        <v>#NUM!</v>
      </c>
      <c r="AE312" s="377" t="e">
        <f>IPMT('Assumptions (NG Midstream)'!$B$72,Model!AQ$1,'Assumptions (NG Midstream)'!$B$75,Model!$K$249)</f>
        <v>#NUM!</v>
      </c>
      <c r="AF312" s="377" t="e">
        <f>IPMT('Assumptions (NG Midstream)'!$B$72,Model!AR$1,'Assumptions (NG Midstream)'!$B$75,Model!$K$249)</f>
        <v>#NUM!</v>
      </c>
      <c r="AG312" s="377" t="e">
        <f>IPMT('Assumptions (NG Midstream)'!$B$72,Model!AS$1,'Assumptions (NG Midstream)'!$B$75,Model!$K$249)</f>
        <v>#NUM!</v>
      </c>
      <c r="AH312" s="377" t="e">
        <f>IPMT('Assumptions (NG Midstream)'!$B$72,Model!AT$1,'Assumptions (NG Midstream)'!$B$75,Model!$K$249)</f>
        <v>#NUM!</v>
      </c>
      <c r="AI312" s="377" t="e">
        <f>IPMT('Assumptions (NG Midstream)'!$B$72,Model!AU$1,'Assumptions (NG Midstream)'!$B$75,Model!$K$249)</f>
        <v>#NUM!</v>
      </c>
    </row>
    <row r="313" spans="1:43" ht="15.75" hidden="1" customHeight="1" outlineLevel="1">
      <c r="A313" s="365"/>
      <c r="B313" s="99"/>
      <c r="C313" s="377"/>
      <c r="D313" s="377"/>
      <c r="E313" s="377"/>
      <c r="F313" s="377"/>
      <c r="G313" s="377"/>
      <c r="H313" s="377"/>
      <c r="I313" s="377"/>
      <c r="J313" s="377"/>
      <c r="K313" s="377"/>
      <c r="L313" s="377">
        <f>IPMT('Assumptions (NG Midstream)'!$B$72,Model!W$1,'Assumptions (NG Midstream)'!$B$75,Model!$L$249)</f>
        <v>-0.81384570600839978</v>
      </c>
      <c r="M313" s="377">
        <f>IPMT('Assumptions (NG Midstream)'!$B$72,Model!X$1,'Assumptions (NG Midstream)'!$B$75,Model!$L$249)</f>
        <v>-0.78268580318799785</v>
      </c>
      <c r="N313" s="377">
        <f>IPMT('Assumptions (NG Midstream)'!$B$72,Model!Y$1,'Assumptions (NG Midstream)'!$B$75,Model!$L$249)</f>
        <v>-0.74918890765606572</v>
      </c>
      <c r="O313" s="377">
        <f>IPMT('Assumptions (NG Midstream)'!$B$72,Model!Z$1,'Assumptions (NG Midstream)'!$B$75,Model!$L$249)</f>
        <v>-0.71317974495923886</v>
      </c>
      <c r="P313" s="377">
        <f>IPMT('Assumptions (NG Midstream)'!$B$72,Model!AA$1,'Assumptions (NG Midstream)'!$B$75,Model!$L$249)</f>
        <v>-0.67446989506014987</v>
      </c>
      <c r="Q313" s="377">
        <f>IPMT('Assumptions (NG Midstream)'!$B$72,Model!AB$1,'Assumptions (NG Midstream)'!$B$75,Model!$L$249)</f>
        <v>-0.63285680641862918</v>
      </c>
      <c r="R313" s="377">
        <f>IPMT('Assumptions (NG Midstream)'!$B$72,Model!AC$1,'Assumptions (NG Midstream)'!$B$75,Model!$L$249)</f>
        <v>-0.58812273612899435</v>
      </c>
      <c r="S313" s="377">
        <f>IPMT('Assumptions (NG Midstream)'!$B$72,Model!AD$1,'Assumptions (NG Midstream)'!$B$75,Model!$L$249)</f>
        <v>-0.54003361056763699</v>
      </c>
      <c r="T313" s="377">
        <f>IPMT('Assumptions (NG Midstream)'!$B$72,Model!AE$1,'Assumptions (NG Midstream)'!$B$75,Model!$L$249)</f>
        <v>-0.48833780058917781</v>
      </c>
      <c r="U313" s="377">
        <f>IPMT('Assumptions (NG Midstream)'!$B$72,Model!AF$1,'Assumptions (NG Midstream)'!$B$75,Model!$L$249)</f>
        <v>-0.43276480486233421</v>
      </c>
      <c r="V313" s="377">
        <f>IPMT('Assumptions (NG Midstream)'!$B$72,Model!AG$1,'Assumptions (NG Midstream)'!$B$75,Model!$L$249)</f>
        <v>-0.37302383445597737</v>
      </c>
      <c r="W313" s="377">
        <f>IPMT('Assumptions (NG Midstream)'!$B$72,Model!AH$1,'Assumptions (NG Midstream)'!$B$75,Model!$L$249)</f>
        <v>-0.30880229126914377</v>
      </c>
      <c r="X313" s="377">
        <f>IPMT('Assumptions (NG Midstream)'!$B$72,Model!AI$1,'Assumptions (NG Midstream)'!$B$75,Model!$L$249)</f>
        <v>-0.23976413234329758</v>
      </c>
      <c r="Y313" s="377">
        <f>IPMT('Assumptions (NG Midstream)'!$B$72,Model!AJ$1,'Assumptions (NG Midstream)'!$B$75,Model!$L$249)</f>
        <v>-0.16554811149801299</v>
      </c>
      <c r="Z313" s="377">
        <f>IPMT('Assumptions (NG Midstream)'!$B$72,Model!AK$1,'Assumptions (NG Midstream)'!$B$75,Model!$L$249)</f>
        <v>-8.576588908933204E-2</v>
      </c>
      <c r="AA313" s="377" t="e">
        <f>IPMT('Assumptions (NG Midstream)'!$B$72,Model!AL$1,'Assumptions (NG Midstream)'!$B$75,Model!$L$249)</f>
        <v>#NUM!</v>
      </c>
      <c r="AB313" s="377" t="e">
        <f>IPMT('Assumptions (NG Midstream)'!$B$72,Model!AM$1,'Assumptions (NG Midstream)'!$B$75,Model!$L$249)</f>
        <v>#NUM!</v>
      </c>
      <c r="AC313" s="377" t="e">
        <f>IPMT('Assumptions (NG Midstream)'!$B$72,Model!AN$1,'Assumptions (NG Midstream)'!$B$75,Model!$L$249)</f>
        <v>#NUM!</v>
      </c>
      <c r="AD313" s="377" t="e">
        <f>IPMT('Assumptions (NG Midstream)'!$B$72,Model!AO$1,'Assumptions (NG Midstream)'!$B$75,Model!$L$249)</f>
        <v>#NUM!</v>
      </c>
      <c r="AE313" s="377" t="e">
        <f>IPMT('Assumptions (NG Midstream)'!$B$72,Model!AP$1,'Assumptions (NG Midstream)'!$B$75,Model!$L$249)</f>
        <v>#NUM!</v>
      </c>
      <c r="AF313" s="377" t="e">
        <f>IPMT('Assumptions (NG Midstream)'!$B$72,Model!AQ$1,'Assumptions (NG Midstream)'!$B$75,Model!$L$249)</f>
        <v>#NUM!</v>
      </c>
      <c r="AG313" s="377" t="e">
        <f>IPMT('Assumptions (NG Midstream)'!$B$72,Model!AR$1,'Assumptions (NG Midstream)'!$B$75,Model!$L$249)</f>
        <v>#NUM!</v>
      </c>
      <c r="AH313" s="377" t="e">
        <f>IPMT('Assumptions (NG Midstream)'!$B$72,Model!AS$1,'Assumptions (NG Midstream)'!$B$75,Model!$L$249)</f>
        <v>#NUM!</v>
      </c>
      <c r="AI313" s="377" t="e">
        <f>IPMT('Assumptions (NG Midstream)'!$B$72,Model!AT$1,'Assumptions (NG Midstream)'!$B$75,Model!$L$249)</f>
        <v>#NUM!</v>
      </c>
      <c r="AJ313" s="377" t="e">
        <f>IPMT('Assumptions (NG Midstream)'!$B$72,Model!AU$1,'Assumptions (NG Midstream)'!$B$75,Model!$L$249)</f>
        <v>#NUM!</v>
      </c>
    </row>
    <row r="314" spans="1:43" ht="15.75" hidden="1" customHeight="1" outlineLevel="1">
      <c r="A314" s="365"/>
      <c r="B314" s="99"/>
      <c r="C314" s="377"/>
      <c r="D314" s="377"/>
      <c r="E314" s="377"/>
      <c r="F314" s="377"/>
      <c r="G314" s="377"/>
      <c r="H314" s="377"/>
      <c r="I314" s="377"/>
      <c r="J314" s="377"/>
      <c r="K314" s="377"/>
      <c r="L314" s="377"/>
      <c r="M314" s="377">
        <f>IPMT('Assumptions (NG Midstream)'!$B$72,Model!W$1,'Assumptions (NG Midstream)'!$B$75,Model!$M$249)</f>
        <v>-0.26958653347229994</v>
      </c>
      <c r="N314" s="377">
        <f>IPMT('Assumptions (NG Midstream)'!$B$72,Model!X$1,'Assumptions (NG Midstream)'!$B$75,Model!$M$249)</f>
        <v>-0.25926481017429781</v>
      </c>
      <c r="O314" s="377">
        <f>IPMT('Assumptions (NG Midstream)'!$B$72,Model!Y$1,'Assumptions (NG Midstream)'!$B$75,Model!$M$249)</f>
        <v>-0.2481689576289455</v>
      </c>
      <c r="P314" s="377">
        <f>IPMT('Assumptions (NG Midstream)'!$B$72,Model!Z$1,'Assumptions (NG Midstream)'!$B$75,Model!$M$249)</f>
        <v>-0.23624091614269177</v>
      </c>
      <c r="Q314" s="377">
        <f>IPMT('Assumptions (NG Midstream)'!$B$72,Model!AA$1,'Assumptions (NG Midstream)'!$B$75,Model!$M$249)</f>
        <v>-0.22341827154496899</v>
      </c>
      <c r="R314" s="377">
        <f>IPMT('Assumptions (NG Midstream)'!$B$72,Model!AB$1,'Assumptions (NG Midstream)'!$B$75,Model!$M$249)</f>
        <v>-0.20963392860241703</v>
      </c>
      <c r="S314" s="377">
        <f>IPMT('Assumptions (NG Midstream)'!$B$72,Model!AC$1,'Assumptions (NG Midstream)'!$B$75,Model!$M$249)</f>
        <v>-0.19481575993917369</v>
      </c>
      <c r="T314" s="377">
        <f>IPMT('Assumptions (NG Midstream)'!$B$72,Model!AD$1,'Assumptions (NG Midstream)'!$B$75,Model!$M$249)</f>
        <v>-0.17888622862618705</v>
      </c>
      <c r="U314" s="377">
        <f>IPMT('Assumptions (NG Midstream)'!$B$72,Model!AE$1,'Assumptions (NG Midstream)'!$B$75,Model!$M$249)</f>
        <v>-0.16176198246472648</v>
      </c>
      <c r="V314" s="377">
        <f>IPMT('Assumptions (NG Midstream)'!$B$72,Model!AF$1,'Assumptions (NG Midstream)'!$B$75,Model!$M$249)</f>
        <v>-0.14335341784115632</v>
      </c>
      <c r="W314" s="377">
        <f>IPMT('Assumptions (NG Midstream)'!$B$72,Model!AG$1,'Assumptions (NG Midstream)'!$B$75,Model!$M$249)</f>
        <v>-0.12356421087081841</v>
      </c>
      <c r="X314" s="377">
        <f>IPMT('Assumptions (NG Midstream)'!$B$72,Model!AH$1,'Assumptions (NG Midstream)'!$B$75,Model!$M$249)</f>
        <v>-0.10229081337770518</v>
      </c>
      <c r="Y314" s="377">
        <f>IPMT('Assumptions (NG Midstream)'!$B$72,Model!AI$1,'Assumptions (NG Midstream)'!$B$75,Model!$M$249)</f>
        <v>-7.9421911072608403E-2</v>
      </c>
      <c r="Z314" s="377">
        <f>IPMT('Assumptions (NG Midstream)'!$B$72,Model!AJ$1,'Assumptions (NG Midstream)'!$B$75,Model!$M$249)</f>
        <v>-5.4837841094629414E-2</v>
      </c>
      <c r="AA314" s="377">
        <f>IPMT('Assumptions (NG Midstream)'!$B$72,Model!AK$1,'Assumptions (NG Midstream)'!$B$75,Model!$M$249)</f>
        <v>-2.8409965868301988E-2</v>
      </c>
      <c r="AB314" s="377" t="e">
        <f>IPMT('Assumptions (NG Midstream)'!$B$72,Model!AL$1,'Assumptions (NG Midstream)'!$B$75,Model!$M$249)</f>
        <v>#NUM!</v>
      </c>
      <c r="AC314" s="377" t="e">
        <f>IPMT('Assumptions (NG Midstream)'!$B$72,Model!AM$1,'Assumptions (NG Midstream)'!$B$75,Model!$M$249)</f>
        <v>#NUM!</v>
      </c>
      <c r="AD314" s="377" t="e">
        <f>IPMT('Assumptions (NG Midstream)'!$B$72,Model!AN$1,'Assumptions (NG Midstream)'!$B$75,Model!$M$249)</f>
        <v>#NUM!</v>
      </c>
      <c r="AE314" s="377" t="e">
        <f>IPMT('Assumptions (NG Midstream)'!$B$72,Model!AO$1,'Assumptions (NG Midstream)'!$B$75,Model!$M$249)</f>
        <v>#NUM!</v>
      </c>
      <c r="AF314" s="377" t="e">
        <f>IPMT('Assumptions (NG Midstream)'!$B$72,Model!AP$1,'Assumptions (NG Midstream)'!$B$75,Model!$M$249)</f>
        <v>#NUM!</v>
      </c>
      <c r="AG314" s="377" t="e">
        <f>IPMT('Assumptions (NG Midstream)'!$B$72,Model!AQ$1,'Assumptions (NG Midstream)'!$B$75,Model!$M$249)</f>
        <v>#NUM!</v>
      </c>
      <c r="AH314" s="377" t="e">
        <f>IPMT('Assumptions (NG Midstream)'!$B$72,Model!AR$1,'Assumptions (NG Midstream)'!$B$75,Model!$M$249)</f>
        <v>#NUM!</v>
      </c>
      <c r="AI314" s="377" t="e">
        <f>IPMT('Assumptions (NG Midstream)'!$B$72,Model!AS$1,'Assumptions (NG Midstream)'!$B$75,Model!$M$249)</f>
        <v>#NUM!</v>
      </c>
      <c r="AJ314" s="377" t="e">
        <f>IPMT('Assumptions (NG Midstream)'!$B$72,Model!AT$1,'Assumptions (NG Midstream)'!$B$75,Model!$M$249)</f>
        <v>#NUM!</v>
      </c>
      <c r="AK314" s="377" t="e">
        <f>IPMT('Assumptions (NG Midstream)'!$B$72,Model!AU$1,'Assumptions (NG Midstream)'!$B$75,Model!$M$249)</f>
        <v>#NUM!</v>
      </c>
    </row>
    <row r="315" spans="1:43" ht="15.75" hidden="1" customHeight="1" outlineLevel="1">
      <c r="A315" s="365"/>
      <c r="B315" s="99"/>
      <c r="C315" s="377"/>
      <c r="D315" s="377"/>
      <c r="E315" s="377"/>
      <c r="F315" s="377"/>
      <c r="G315" s="377"/>
      <c r="H315" s="377"/>
      <c r="I315" s="377"/>
      <c r="J315" s="377"/>
      <c r="K315" s="377"/>
      <c r="L315" s="377"/>
      <c r="M315" s="377"/>
      <c r="N315" s="377">
        <f>IPMT('Assumptions (NG Midstream)'!$B$72,Model!W$1,'Assumptions (NG Midstream)'!$B$75,Model!$N$249)</f>
        <v>-0.76790605134509982</v>
      </c>
      <c r="O315" s="377">
        <f>IPMT('Assumptions (NG Midstream)'!$B$72,Model!X$1,'Assumptions (NG Midstream)'!$B$75,Model!$N$249)</f>
        <v>-0.73850505093622754</v>
      </c>
      <c r="P315" s="377">
        <f>IPMT('Assumptions (NG Midstream)'!$B$72,Model!Y$1,'Assumptions (NG Midstream)'!$B$75,Model!$N$249)</f>
        <v>-0.7068989754966899</v>
      </c>
      <c r="Q315" s="377">
        <f>IPMT('Assumptions (NG Midstream)'!$B$72,Model!Z$1,'Assumptions (NG Midstream)'!$B$75,Model!$N$249)</f>
        <v>-0.67292244439918703</v>
      </c>
      <c r="R315" s="377">
        <f>IPMT('Assumptions (NG Midstream)'!$B$72,Model!AA$1,'Assumptions (NG Midstream)'!$B$75,Model!$N$249)</f>
        <v>-0.63639767346937115</v>
      </c>
      <c r="S315" s="377">
        <f>IPMT('Assumptions (NG Midstream)'!$B$72,Model!AB$1,'Assumptions (NG Midstream)'!$B$75,Model!$N$249)</f>
        <v>-0.59713354471981928</v>
      </c>
      <c r="T315" s="377">
        <f>IPMT('Assumptions (NG Midstream)'!$B$72,Model!AC$1,'Assumptions (NG Midstream)'!$B$75,Model!$N$249)</f>
        <v>-0.55492460631405094</v>
      </c>
      <c r="U315" s="377">
        <f>IPMT('Assumptions (NG Midstream)'!$B$72,Model!AD$1,'Assumptions (NG Midstream)'!$B$75,Model!$N$249)</f>
        <v>-0.50954999752785002</v>
      </c>
      <c r="V315" s="377">
        <f>IPMT('Assumptions (NG Midstream)'!$B$72,Model!AE$1,'Assumptions (NG Midstream)'!$B$75,Model!$N$249)</f>
        <v>-0.46077229308268397</v>
      </c>
      <c r="W315" s="377">
        <f>IPMT('Assumptions (NG Midstream)'!$B$72,Model!AF$1,'Assumptions (NG Midstream)'!$B$75,Model!$N$249)</f>
        <v>-0.4083362608041306</v>
      </c>
      <c r="X315" s="377">
        <f>IPMT('Assumptions (NG Midstream)'!$B$72,Model!AG$1,'Assumptions (NG Midstream)'!$B$75,Model!$N$249)</f>
        <v>-0.35196752610468568</v>
      </c>
      <c r="Y315" s="377">
        <f>IPMT('Assumptions (NG Midstream)'!$B$72,Model!AH$1,'Assumptions (NG Midstream)'!$B$75,Model!$N$249)</f>
        <v>-0.29137113630278233</v>
      </c>
      <c r="Z315" s="377">
        <f>IPMT('Assumptions (NG Midstream)'!$B$72,Model!AI$1,'Assumptions (NG Midstream)'!$B$75,Model!$N$249)</f>
        <v>-0.22623001726573619</v>
      </c>
      <c r="AA315" s="377">
        <f>IPMT('Assumptions (NG Midstream)'!$B$72,Model!AJ$1,'Assumptions (NG Midstream)'!$B$75,Model!$N$249)</f>
        <v>-0.15620331430091172</v>
      </c>
      <c r="AB315" s="377">
        <f>IPMT('Assumptions (NG Midstream)'!$B$72,Model!AK$1,'Assumptions (NG Midstream)'!$B$75,Model!$N$249)</f>
        <v>-8.0924608613725343E-2</v>
      </c>
      <c r="AC315" s="377" t="e">
        <f>IPMT('Assumptions (NG Midstream)'!$B$72,Model!AL$1,'Assumptions (NG Midstream)'!$B$75,Model!$N$249)</f>
        <v>#NUM!</v>
      </c>
      <c r="AD315" s="377" t="e">
        <f>IPMT('Assumptions (NG Midstream)'!$B$72,Model!AM$1,'Assumptions (NG Midstream)'!$B$75,Model!$N$249)</f>
        <v>#NUM!</v>
      </c>
      <c r="AE315" s="377" t="e">
        <f>IPMT('Assumptions (NG Midstream)'!$B$72,Model!AN$1,'Assumptions (NG Midstream)'!$B$75,Model!$N$249)</f>
        <v>#NUM!</v>
      </c>
      <c r="AF315" s="377" t="e">
        <f>IPMT('Assumptions (NG Midstream)'!$B$72,Model!AO$1,'Assumptions (NG Midstream)'!$B$75,Model!$N$249)</f>
        <v>#NUM!</v>
      </c>
      <c r="AG315" s="377" t="e">
        <f>IPMT('Assumptions (NG Midstream)'!$B$72,Model!AP$1,'Assumptions (NG Midstream)'!$B$75,Model!$N$249)</f>
        <v>#NUM!</v>
      </c>
      <c r="AH315" s="377" t="e">
        <f>IPMT('Assumptions (NG Midstream)'!$B$72,Model!AQ$1,'Assumptions (NG Midstream)'!$B$75,Model!$N$249)</f>
        <v>#NUM!</v>
      </c>
      <c r="AI315" s="377" t="e">
        <f>IPMT('Assumptions (NG Midstream)'!$B$72,Model!AR$1,'Assumptions (NG Midstream)'!$B$75,Model!$N$249)</f>
        <v>#NUM!</v>
      </c>
      <c r="AJ315" s="377" t="e">
        <f>IPMT('Assumptions (NG Midstream)'!$B$72,Model!AS$1,'Assumptions (NG Midstream)'!$B$75,Model!$N$249)</f>
        <v>#NUM!</v>
      </c>
      <c r="AK315" s="377" t="e">
        <f>IPMT('Assumptions (NG Midstream)'!$B$72,Model!AT$1,'Assumptions (NG Midstream)'!$B$75,Model!$N$249)</f>
        <v>#NUM!</v>
      </c>
      <c r="AL315" s="377" t="e">
        <f>IPMT('Assumptions (NG Midstream)'!$B$72,Model!AU$1,'Assumptions (NG Midstream)'!$B$75,Model!$N$249)</f>
        <v>#NUM!</v>
      </c>
    </row>
    <row r="316" spans="1:43" ht="15.75" hidden="1" customHeight="1" outlineLevel="1">
      <c r="A316" s="365"/>
      <c r="B316" s="99"/>
      <c r="C316" s="377"/>
      <c r="D316" s="377"/>
      <c r="E316" s="377"/>
      <c r="F316" s="377"/>
      <c r="G316" s="377"/>
      <c r="H316" s="377"/>
      <c r="I316" s="377"/>
      <c r="J316" s="377"/>
      <c r="K316" s="377"/>
      <c r="L316" s="377"/>
      <c r="M316" s="377"/>
      <c r="N316" s="377"/>
      <c r="O316" s="377">
        <f>IPMT('Assumptions (NG Midstream)'!$B$72,Model!W$1,'Assumptions (NG Midstream)'!$B$75,Model!$O$249)</f>
        <v>-0.2795049186993</v>
      </c>
      <c r="P316" s="377">
        <f>IPMT('Assumptions (NG Midstream)'!$B$72,Model!X$1,'Assumptions (NG Midstream)'!$B$75,Model!$O$249)</f>
        <v>-0.26880344784285159</v>
      </c>
      <c r="Q316" s="377">
        <f>IPMT('Assumptions (NG Midstream)'!$B$72,Model!Y$1,'Assumptions (NG Midstream)'!$B$75,Model!$O$249)</f>
        <v>-0.25729936667216963</v>
      </c>
      <c r="R316" s="377">
        <f>IPMT('Assumptions (NG Midstream)'!$B$72,Model!Z$1,'Assumptions (NG Midstream)'!$B$75,Model!$O$249)</f>
        <v>-0.24493247941368648</v>
      </c>
      <c r="S316" s="377">
        <f>IPMT('Assumptions (NG Midstream)'!$B$72,Model!AA$1,'Assumptions (NG Midstream)'!$B$75,Model!$O$249)</f>
        <v>-0.23163807561081709</v>
      </c>
      <c r="T316" s="377">
        <f>IPMT('Assumptions (NG Midstream)'!$B$72,Model!AB$1,'Assumptions (NG Midstream)'!$B$75,Model!$O$249)</f>
        <v>-0.2173465915227325</v>
      </c>
      <c r="U316" s="377">
        <f>IPMT('Assumptions (NG Midstream)'!$B$72,Model!AC$1,'Assumptions (NG Midstream)'!$B$75,Model!$O$249)</f>
        <v>-0.20198324612804161</v>
      </c>
      <c r="V316" s="377">
        <f>IPMT('Assumptions (NG Midstream)'!$B$72,Model!AD$1,'Assumptions (NG Midstream)'!$B$75,Model!$O$249)</f>
        <v>-0.18546764982874883</v>
      </c>
      <c r="W316" s="377">
        <f>IPMT('Assumptions (NG Midstream)'!$B$72,Model!AE$1,'Assumptions (NG Midstream)'!$B$75,Model!$O$249)</f>
        <v>-0.16771338380700918</v>
      </c>
      <c r="X316" s="377">
        <f>IPMT('Assumptions (NG Midstream)'!$B$72,Model!AF$1,'Assumptions (NG Midstream)'!$B$75,Model!$O$249)</f>
        <v>-0.14862754783363899</v>
      </c>
      <c r="Y316" s="377">
        <f>IPMT('Assumptions (NG Midstream)'!$B$72,Model!AG$1,'Assumptions (NG Midstream)'!$B$75,Model!$O$249)</f>
        <v>-0.12811027416226606</v>
      </c>
      <c r="Z316" s="377">
        <f>IPMT('Assumptions (NG Midstream)'!$B$72,Model!AH$1,'Assumptions (NG Midstream)'!$B$75,Model!$O$249)</f>
        <v>-0.10605420496554016</v>
      </c>
      <c r="AA316" s="377">
        <f>IPMT('Assumptions (NG Midstream)'!$B$72,Model!AI$1,'Assumptions (NG Midstream)'!$B$75,Model!$O$249)</f>
        <v>-8.2343930579059782E-2</v>
      </c>
      <c r="AB316" s="377">
        <f>IPMT('Assumptions (NG Midstream)'!$B$72,Model!AJ$1,'Assumptions (NG Midstream)'!$B$75,Model!$O$249)</f>
        <v>-5.6855385613593427E-2</v>
      </c>
      <c r="AC316" s="377">
        <f>IPMT('Assumptions (NG Midstream)'!$B$72,Model!AK$1,'Assumptions (NG Midstream)'!$B$75,Model!$O$249)</f>
        <v>-2.9455199775717079E-2</v>
      </c>
      <c r="AD316" s="377" t="e">
        <f>IPMT('Assumptions (NG Midstream)'!$B$72,Model!AL$1,'Assumptions (NG Midstream)'!$B$75,Model!$O$249)</f>
        <v>#NUM!</v>
      </c>
      <c r="AE316" s="377" t="e">
        <f>IPMT('Assumptions (NG Midstream)'!$B$72,Model!AM$1,'Assumptions (NG Midstream)'!$B$75,Model!$O$249)</f>
        <v>#NUM!</v>
      </c>
      <c r="AF316" s="377" t="e">
        <f>IPMT('Assumptions (NG Midstream)'!$B$72,Model!AN$1,'Assumptions (NG Midstream)'!$B$75,Model!$O$249)</f>
        <v>#NUM!</v>
      </c>
      <c r="AG316" s="377" t="e">
        <f>IPMT('Assumptions (NG Midstream)'!$B$72,Model!AO$1,'Assumptions (NG Midstream)'!$B$75,Model!$O$249)</f>
        <v>#NUM!</v>
      </c>
      <c r="AH316" s="377" t="e">
        <f>IPMT('Assumptions (NG Midstream)'!$B$72,Model!AP$1,'Assumptions (NG Midstream)'!$B$75,Model!$O$249)</f>
        <v>#NUM!</v>
      </c>
      <c r="AI316" s="377" t="e">
        <f>IPMT('Assumptions (NG Midstream)'!$B$72,Model!AQ$1,'Assumptions (NG Midstream)'!$B$75,Model!$O$249)</f>
        <v>#NUM!</v>
      </c>
      <c r="AJ316" s="377" t="e">
        <f>IPMT('Assumptions (NG Midstream)'!$B$72,Model!AR$1,'Assumptions (NG Midstream)'!$B$75,Model!$O$249)</f>
        <v>#NUM!</v>
      </c>
      <c r="AK316" s="377" t="e">
        <f>IPMT('Assumptions (NG Midstream)'!$B$72,Model!AS$1,'Assumptions (NG Midstream)'!$B$75,Model!$O$249)</f>
        <v>#NUM!</v>
      </c>
      <c r="AL316" s="377" t="e">
        <f>IPMT('Assumptions (NG Midstream)'!$B$72,Model!AT$1,'Assumptions (NG Midstream)'!$B$75,Model!$O$249)</f>
        <v>#NUM!</v>
      </c>
      <c r="AM316" s="377" t="e">
        <f>IPMT('Assumptions (NG Midstream)'!$B$72,Model!AU$1,'Assumptions (NG Midstream)'!$B$75,Model!$O$249)</f>
        <v>#NUM!</v>
      </c>
    </row>
    <row r="317" spans="1:43" ht="15.75" hidden="1" customHeight="1" outlineLevel="1">
      <c r="A317" s="365"/>
      <c r="B317" s="99"/>
      <c r="C317" s="377"/>
      <c r="D317" s="377"/>
      <c r="E317" s="377"/>
      <c r="F317" s="377"/>
      <c r="G317" s="377"/>
      <c r="H317" s="377"/>
      <c r="I317" s="377"/>
      <c r="J317" s="377"/>
      <c r="K317" s="377"/>
      <c r="L317" s="377"/>
      <c r="M317" s="377"/>
      <c r="N317" s="377"/>
      <c r="O317" s="377"/>
      <c r="P317" s="377">
        <f>IPMT('Assumptions (NG Midstream)'!$B$72,Model!W$1,'Assumptions (NG Midstream)'!$B$75,Model!$P$249)</f>
        <v>-0.35349250941089999</v>
      </c>
      <c r="Q317" s="377">
        <f>IPMT('Assumptions (NG Midstream)'!$B$72,Model!X$1,'Assumptions (NG Midstream)'!$B$75,Model!$P$249)</f>
        <v>-0.33995825818899822</v>
      </c>
      <c r="R317" s="377">
        <f>IPMT('Assumptions (NG Midstream)'!$B$72,Model!Y$1,'Assumptions (NG Midstream)'!$B$75,Model!$P$249)</f>
        <v>-0.32540893812545391</v>
      </c>
      <c r="S317" s="377">
        <f>IPMT('Assumptions (NG Midstream)'!$B$72,Model!Z$1,'Assumptions (NG Midstream)'!$B$75,Model!$P$249)</f>
        <v>-0.3097684190571437</v>
      </c>
      <c r="T317" s="377">
        <f>IPMT('Assumptions (NG Midstream)'!$B$72,Model!AA$1,'Assumptions (NG Midstream)'!$B$75,Model!$P$249)</f>
        <v>-0.29295486105871021</v>
      </c>
      <c r="U317" s="377">
        <f>IPMT('Assumptions (NG Midstream)'!$B$72,Model!AB$1,'Assumptions (NG Midstream)'!$B$75,Model!$P$249)</f>
        <v>-0.27488028621039429</v>
      </c>
      <c r="V317" s="377">
        <f>IPMT('Assumptions (NG Midstream)'!$B$72,Model!AC$1,'Assumptions (NG Midstream)'!$B$75,Model!$P$249)</f>
        <v>-0.25545011824845465</v>
      </c>
      <c r="W317" s="377">
        <f>IPMT('Assumptions (NG Midstream)'!$B$72,Model!AD$1,'Assumptions (NG Midstream)'!$B$75,Model!$P$249)</f>
        <v>-0.23456268768936947</v>
      </c>
      <c r="X317" s="377">
        <f>IPMT('Assumptions (NG Midstream)'!$B$72,Model!AE$1,'Assumptions (NG Midstream)'!$B$75,Model!$P$249)</f>
        <v>-0.21210869983835298</v>
      </c>
      <c r="Y317" s="377">
        <f>IPMT('Assumptions (NG Midstream)'!$B$72,Model!AF$1,'Assumptions (NG Midstream)'!$B$75,Model!$P$249)</f>
        <v>-0.18797066289851019</v>
      </c>
      <c r="Z317" s="377">
        <f>IPMT('Assumptions (NG Midstream)'!$B$72,Model!AG$1,'Assumptions (NG Midstream)'!$B$75,Model!$P$249)</f>
        <v>-0.16202227318817927</v>
      </c>
      <c r="AA317" s="377">
        <f>IPMT('Assumptions (NG Midstream)'!$B$72,Model!AH$1,'Assumptions (NG Midstream)'!$B$75,Model!$P$249)</f>
        <v>-0.13412775424957346</v>
      </c>
      <c r="AB317" s="377">
        <f>IPMT('Assumptions (NG Midstream)'!$B$72,Model!AI$1,'Assumptions (NG Midstream)'!$B$75,Model!$P$249)</f>
        <v>-0.10414114639057225</v>
      </c>
      <c r="AC317" s="377">
        <f>IPMT('Assumptions (NG Midstream)'!$B$72,Model!AJ$1,'Assumptions (NG Midstream)'!$B$75,Model!$P$249)</f>
        <v>-7.1905542942145934E-2</v>
      </c>
      <c r="AD317" s="377">
        <f>IPMT('Assumptions (NG Midstream)'!$B$72,Model!AK$1,'Assumptions (NG Midstream)'!$B$75,Model!$P$249)</f>
        <v>-3.7252269235087655E-2</v>
      </c>
      <c r="AE317" s="377" t="e">
        <f>IPMT('Assumptions (NG Midstream)'!$B$72,Model!AL$1,'Assumptions (NG Midstream)'!$B$75,Model!$P$249)</f>
        <v>#NUM!</v>
      </c>
      <c r="AF317" s="377" t="e">
        <f>IPMT('Assumptions (NG Midstream)'!$B$72,Model!AM$1,'Assumptions (NG Midstream)'!$B$75,Model!$P$249)</f>
        <v>#NUM!</v>
      </c>
      <c r="AG317" s="377" t="e">
        <f>IPMT('Assumptions (NG Midstream)'!$B$72,Model!AN$1,'Assumptions (NG Midstream)'!$B$75,Model!$P$249)</f>
        <v>#NUM!</v>
      </c>
      <c r="AH317" s="377" t="e">
        <f>IPMT('Assumptions (NG Midstream)'!$B$72,Model!AO$1,'Assumptions (NG Midstream)'!$B$75,Model!$P$249)</f>
        <v>#NUM!</v>
      </c>
      <c r="AI317" s="377" t="e">
        <f>IPMT('Assumptions (NG Midstream)'!$B$72,Model!AP$1,'Assumptions (NG Midstream)'!$B$75,Model!$P$249)</f>
        <v>#NUM!</v>
      </c>
      <c r="AJ317" s="377" t="e">
        <f>IPMT('Assumptions (NG Midstream)'!$B$72,Model!AQ$1,'Assumptions (NG Midstream)'!$B$75,Model!$P$249)</f>
        <v>#NUM!</v>
      </c>
      <c r="AK317" s="377" t="e">
        <f>IPMT('Assumptions (NG Midstream)'!$B$72,Model!AR$1,'Assumptions (NG Midstream)'!$B$75,Model!$P$249)</f>
        <v>#NUM!</v>
      </c>
      <c r="AL317" s="377" t="e">
        <f>IPMT('Assumptions (NG Midstream)'!$B$72,Model!AS$1,'Assumptions (NG Midstream)'!$B$75,Model!$P$249)</f>
        <v>#NUM!</v>
      </c>
      <c r="AM317" s="377" t="e">
        <f>IPMT('Assumptions (NG Midstream)'!$B$72,Model!AT$1,'Assumptions (NG Midstream)'!$B$75,Model!$P$249)</f>
        <v>#NUM!</v>
      </c>
      <c r="AN317" s="377" t="e">
        <f>IPMT('Assumptions (NG Midstream)'!$B$72,Model!AU$1,'Assumptions (NG Midstream)'!$B$75,Model!$P$249)</f>
        <v>#NUM!</v>
      </c>
    </row>
    <row r="318" spans="1:43" ht="15.75" hidden="1" customHeight="1" outlineLevel="1">
      <c r="A318" s="365"/>
      <c r="B318" s="99"/>
      <c r="C318" s="377"/>
      <c r="D318" s="377"/>
      <c r="E318" s="377"/>
      <c r="F318" s="377"/>
      <c r="G318" s="377"/>
      <c r="H318" s="377"/>
      <c r="I318" s="377"/>
      <c r="J318" s="377"/>
      <c r="K318" s="377"/>
      <c r="L318" s="377"/>
      <c r="M318" s="377"/>
      <c r="N318" s="377"/>
      <c r="O318" s="377"/>
      <c r="P318" s="377"/>
      <c r="Q318" s="377">
        <f>IPMT('Assumptions (NG Midstream)'!$B$72,Model!W$1,'Assumptions (NG Midstream)'!$B$75,Model!$Q$249)</f>
        <v>-0.23760827562780001</v>
      </c>
      <c r="R318" s="377">
        <f>IPMT('Assumptions (NG Midstream)'!$B$72,Model!X$1,'Assumptions (NG Midstream)'!$B$75,Model!$Q$249)</f>
        <v>-0.22851091144288765</v>
      </c>
      <c r="S318" s="377">
        <f>IPMT('Assumptions (NG Midstream)'!$B$72,Model!Y$1,'Assumptions (NG Midstream)'!$B$75,Model!$Q$249)</f>
        <v>-0.2187312449441069</v>
      </c>
      <c r="T318" s="377">
        <f>IPMT('Assumptions (NG Midstream)'!$B$72,Model!Z$1,'Assumptions (NG Midstream)'!$B$75,Model!$Q$249)</f>
        <v>-0.20821810345791755</v>
      </c>
      <c r="U318" s="377">
        <f>IPMT('Assumptions (NG Midstream)'!$B$72,Model!AA$1,'Assumptions (NG Midstream)'!$B$75,Model!$Q$249)</f>
        <v>-0.19691647636026399</v>
      </c>
      <c r="V318" s="377">
        <f>IPMT('Assumptions (NG Midstream)'!$B$72,Model!AB$1,'Assumptions (NG Midstream)'!$B$75,Model!$Q$249)</f>
        <v>-0.18476722723028643</v>
      </c>
      <c r="W318" s="377">
        <f>IPMT('Assumptions (NG Midstream)'!$B$72,Model!AC$1,'Assumptions (NG Midstream)'!$B$75,Model!$Q$249)</f>
        <v>-0.17170678441556056</v>
      </c>
      <c r="X318" s="377">
        <f>IPMT('Assumptions (NG Midstream)'!$B$72,Model!AD$1,'Assumptions (NG Midstream)'!$B$75,Model!$Q$249)</f>
        <v>-0.15766680838973024</v>
      </c>
      <c r="Y318" s="377">
        <f>IPMT('Assumptions (NG Midstream)'!$B$72,Model!AE$1,'Assumptions (NG Midstream)'!$B$75,Model!$Q$249)</f>
        <v>-0.14257383416196265</v>
      </c>
      <c r="Z318" s="377">
        <f>IPMT('Assumptions (NG Midstream)'!$B$72,Model!AF$1,'Assumptions (NG Midstream)'!$B$75,Model!$Q$249)</f>
        <v>-0.12634888686711249</v>
      </c>
      <c r="AA318" s="377">
        <f>IPMT('Assumptions (NG Midstream)'!$B$72,Model!AG$1,'Assumptions (NG Midstream)'!$B$75,Model!$Q$249)</f>
        <v>-0.10890706852514856</v>
      </c>
      <c r="AB318" s="377">
        <f>IPMT('Assumptions (NG Midstream)'!$B$72,Model!AH$1,'Assumptions (NG Midstream)'!$B$75,Model!$Q$249)</f>
        <v>-9.0157113807537367E-2</v>
      </c>
      <c r="AC318" s="377">
        <f>IPMT('Assumptions (NG Midstream)'!$B$72,Model!AI$1,'Assumptions (NG Midstream)'!$B$75,Model!$Q$249)</f>
        <v>-7.0000912486105279E-2</v>
      </c>
      <c r="AD318" s="377">
        <f>IPMT('Assumptions (NG Midstream)'!$B$72,Model!AJ$1,'Assumptions (NG Midstream)'!$B$75,Model!$Q$249)</f>
        <v>-4.8332996065565841E-2</v>
      </c>
      <c r="AE318" s="377">
        <f>IPMT('Assumptions (NG Midstream)'!$B$72,Model!AK$1,'Assumptions (NG Midstream)'!$B$75,Model!$Q$249)</f>
        <v>-2.5039985913485913E-2</v>
      </c>
      <c r="AF318" s="377" t="e">
        <f>IPMT('Assumptions (NG Midstream)'!$B$72,Model!AL$1,'Assumptions (NG Midstream)'!$B$75,Model!$Q$249)</f>
        <v>#NUM!</v>
      </c>
      <c r="AG318" s="377" t="e">
        <f>IPMT('Assumptions (NG Midstream)'!$B$72,Model!AM$1,'Assumptions (NG Midstream)'!$B$75,Model!$Q$249)</f>
        <v>#NUM!</v>
      </c>
      <c r="AH318" s="377" t="e">
        <f>IPMT('Assumptions (NG Midstream)'!$B$72,Model!AN$1,'Assumptions (NG Midstream)'!$B$75,Model!$Q$249)</f>
        <v>#NUM!</v>
      </c>
      <c r="AI318" s="377" t="e">
        <f>IPMT('Assumptions (NG Midstream)'!$B$72,Model!AO$1,'Assumptions (NG Midstream)'!$B$75,Model!$Q$249)</f>
        <v>#NUM!</v>
      </c>
      <c r="AJ318" s="377" t="e">
        <f>IPMT('Assumptions (NG Midstream)'!$B$72,Model!AP$1,'Assumptions (NG Midstream)'!$B$75,Model!$Q$249)</f>
        <v>#NUM!</v>
      </c>
      <c r="AK318" s="377" t="e">
        <f>IPMT('Assumptions (NG Midstream)'!$B$72,Model!AQ$1,'Assumptions (NG Midstream)'!$B$75,Model!$Q$249)</f>
        <v>#NUM!</v>
      </c>
      <c r="AL318" s="377" t="e">
        <f>IPMT('Assumptions (NG Midstream)'!$B$72,Model!AR$1,'Assumptions (NG Midstream)'!$B$75,Model!$Q$249)</f>
        <v>#NUM!</v>
      </c>
      <c r="AM318" s="377" t="e">
        <f>IPMT('Assumptions (NG Midstream)'!$B$72,Model!AS$1,'Assumptions (NG Midstream)'!$B$75,Model!$Q$249)</f>
        <v>#NUM!</v>
      </c>
      <c r="AN318" s="377" t="e">
        <f>IPMT('Assumptions (NG Midstream)'!$B$72,Model!AT$1,'Assumptions (NG Midstream)'!$B$75,Model!$Q$249)</f>
        <v>#NUM!</v>
      </c>
      <c r="AO318" s="377" t="e">
        <f>IPMT('Assumptions (NG Midstream)'!$B$72,Model!AU$1,'Assumptions (NG Midstream)'!$B$75,Model!$Q$249)</f>
        <v>#NUM!</v>
      </c>
    </row>
    <row r="319" spans="1:43" ht="15.75" hidden="1" customHeight="1" outlineLevel="1">
      <c r="A319" s="365"/>
      <c r="B319" s="99"/>
      <c r="C319" s="377"/>
      <c r="D319" s="377"/>
      <c r="E319" s="377"/>
      <c r="F319" s="377"/>
      <c r="G319" s="377"/>
      <c r="H319" s="377"/>
      <c r="I319" s="377"/>
      <c r="J319" s="377"/>
      <c r="K319" s="377"/>
      <c r="L319" s="377"/>
      <c r="M319" s="377"/>
      <c r="N319" s="377"/>
      <c r="O319" s="377"/>
      <c r="P319" s="377"/>
      <c r="Q319" s="377"/>
      <c r="R319" s="377">
        <f>IPMT('Assumptions (NG Midstream)'!$B$72,Model!W$1,'Assumptions (NG Midstream)'!$B$75,Model!$R$249)</f>
        <v>-0.34213636369800005</v>
      </c>
      <c r="S319" s="377">
        <f>IPMT('Assumptions (NG Midstream)'!$B$72,Model!X$1,'Assumptions (NG Midstream)'!$B$75,Model!$R$249)</f>
        <v>-0.32903690790994511</v>
      </c>
      <c r="T319" s="377">
        <f>IPMT('Assumptions (NG Midstream)'!$B$72,Model!Y$1,'Assumptions (NG Midstream)'!$B$75,Model!$R$249)</f>
        <v>-0.31495499293778612</v>
      </c>
      <c r="U319" s="377">
        <f>IPMT('Assumptions (NG Midstream)'!$B$72,Model!Z$1,'Assumptions (NG Midstream)'!$B$75,Model!$R$249)</f>
        <v>-0.29981693434271517</v>
      </c>
      <c r="V319" s="377">
        <f>IPMT('Assumptions (NG Midstream)'!$B$72,Model!AA$1,'Assumptions (NG Midstream)'!$B$75,Model!$R$249)</f>
        <v>-0.28354352135301381</v>
      </c>
      <c r="W319" s="377">
        <f>IPMT('Assumptions (NG Midstream)'!$B$72,Model!AB$1,'Assumptions (NG Midstream)'!$B$75,Model!$R$249)</f>
        <v>-0.26604960238908493</v>
      </c>
      <c r="X319" s="377">
        <f>IPMT('Assumptions (NG Midstream)'!$B$72,Model!AC$1,'Assumptions (NG Midstream)'!$B$75,Model!$R$249)</f>
        <v>-0.24724363950286138</v>
      </c>
      <c r="Y319" s="377">
        <f>IPMT('Assumptions (NG Midstream)'!$B$72,Model!AD$1,'Assumptions (NG Midstream)'!$B$75,Model!$R$249)</f>
        <v>-0.22702722940017103</v>
      </c>
      <c r="Z319" s="377">
        <f>IPMT('Assumptions (NG Midstream)'!$B$72,Model!AE$1,'Assumptions (NG Midstream)'!$B$75,Model!$R$249)</f>
        <v>-0.20529458853977897</v>
      </c>
      <c r="AA319" s="377">
        <f>IPMT('Assumptions (NG Midstream)'!$B$72,Model!AF$1,'Assumptions (NG Midstream)'!$B$75,Model!$R$249)</f>
        <v>-0.18193199961485743</v>
      </c>
      <c r="AB319" s="377">
        <f>IPMT('Assumptions (NG Midstream)'!$B$72,Model!AG$1,'Assumptions (NG Midstream)'!$B$75,Model!$R$249)</f>
        <v>-0.15681721652056688</v>
      </c>
      <c r="AC319" s="377">
        <f>IPMT('Assumptions (NG Midstream)'!$B$72,Model!AH$1,'Assumptions (NG Midstream)'!$B$75,Model!$R$249)</f>
        <v>-0.12981882469420444</v>
      </c>
      <c r="AD319" s="377">
        <f>IPMT('Assumptions (NG Midstream)'!$B$72,Model!AI$1,'Assumptions (NG Midstream)'!$B$75,Model!$R$249)</f>
        <v>-0.10079555348086484</v>
      </c>
      <c r="AE319" s="377">
        <f>IPMT('Assumptions (NG Midstream)'!$B$72,Model!AJ$1,'Assumptions (NG Midstream)'!$B$75,Model!$R$249)</f>
        <v>-6.9595536926524787E-2</v>
      </c>
      <c r="AF319" s="377">
        <f>IPMT('Assumptions (NG Midstream)'!$B$72,Model!AK$1,'Assumptions (NG Midstream)'!$B$75,Model!$R$249)</f>
        <v>-3.6055519130609226E-2</v>
      </c>
      <c r="AG319" s="377" t="e">
        <f>IPMT('Assumptions (NG Midstream)'!$B$72,Model!AL$1,'Assumptions (NG Midstream)'!$B$75,Model!$R$249)</f>
        <v>#NUM!</v>
      </c>
      <c r="AH319" s="377" t="e">
        <f>IPMT('Assumptions (NG Midstream)'!$B$72,Model!AM$1,'Assumptions (NG Midstream)'!$B$75,Model!$R$249)</f>
        <v>#NUM!</v>
      </c>
      <c r="AI319" s="377" t="e">
        <f>IPMT('Assumptions (NG Midstream)'!$B$72,Model!AN$1,'Assumptions (NG Midstream)'!$B$75,Model!$R$249)</f>
        <v>#NUM!</v>
      </c>
      <c r="AJ319" s="377" t="e">
        <f>IPMT('Assumptions (NG Midstream)'!$B$72,Model!AO$1,'Assumptions (NG Midstream)'!$B$75,Model!$R$249)</f>
        <v>#NUM!</v>
      </c>
      <c r="AK319" s="377" t="e">
        <f>IPMT('Assumptions (NG Midstream)'!$B$72,Model!AP$1,'Assumptions (NG Midstream)'!$B$75,Model!$R$249)</f>
        <v>#NUM!</v>
      </c>
      <c r="AL319" s="377" t="e">
        <f>IPMT('Assumptions (NG Midstream)'!$B$72,Model!AQ$1,'Assumptions (NG Midstream)'!$B$75,Model!$R$249)</f>
        <v>#NUM!</v>
      </c>
      <c r="AM319" s="377" t="e">
        <f>IPMT('Assumptions (NG Midstream)'!$B$72,Model!AR$1,'Assumptions (NG Midstream)'!$B$75,Model!$R$249)</f>
        <v>#NUM!</v>
      </c>
      <c r="AN319" s="377" t="e">
        <f>IPMT('Assumptions (NG Midstream)'!$B$72,Model!AS$1,'Assumptions (NG Midstream)'!$B$75,Model!$R$249)</f>
        <v>#NUM!</v>
      </c>
      <c r="AO319" s="377" t="e">
        <f>IPMT('Assumptions (NG Midstream)'!$B$72,Model!AT$1,'Assumptions (NG Midstream)'!$B$75,Model!$R$249)</f>
        <v>#NUM!</v>
      </c>
      <c r="AP319" s="377" t="e">
        <f>IPMT('Assumptions (NG Midstream)'!$B$72,Model!AU$1,'Assumptions (NG Midstream)'!$B$75,Model!$R$249)</f>
        <v>#NUM!</v>
      </c>
    </row>
    <row r="320" spans="1:43" ht="15.75" hidden="1" customHeight="1" outlineLevel="1">
      <c r="A320" s="365"/>
      <c r="B320" s="99"/>
      <c r="C320" s="377"/>
      <c r="D320" s="377"/>
      <c r="E320" s="377"/>
      <c r="F320" s="377"/>
      <c r="G320" s="377"/>
      <c r="H320" s="377"/>
      <c r="I320" s="377"/>
      <c r="J320" s="377"/>
      <c r="K320" s="377"/>
      <c r="L320" s="377"/>
      <c r="M320" s="377"/>
      <c r="N320" s="377"/>
      <c r="O320" s="377"/>
      <c r="P320" s="377"/>
      <c r="Q320" s="377"/>
      <c r="R320" s="377"/>
      <c r="S320" s="377">
        <f>IPMT('Assumptions (NG Midstream)'!$B$72,Model!W$1,'Assumptions (NG Midstream)'!$B$75,Model!$S$249)</f>
        <v>-0.31573754316809993</v>
      </c>
      <c r="T320" s="377">
        <f>IPMT('Assumptions (NG Midstream)'!$B$72,Model!X$1,'Assumptions (NG Midstream)'!$B$75,Model!$S$249)</f>
        <v>-0.30364882525850528</v>
      </c>
      <c r="U320" s="377">
        <f>IPMT('Assumptions (NG Midstream)'!$B$72,Model!Y$1,'Assumptions (NG Midstream)'!$B$75,Model!$S$249)</f>
        <v>-0.290653453505691</v>
      </c>
      <c r="V320" s="377">
        <f>IPMT('Assumptions (NG Midstream)'!$B$72,Model!Z$1,'Assumptions (NG Midstream)'!$B$75,Model!$S$249)</f>
        <v>-0.27668342887141567</v>
      </c>
      <c r="W320" s="377">
        <f>IPMT('Assumptions (NG Midstream)'!$B$72,Model!AA$1,'Assumptions (NG Midstream)'!$B$75,Model!$S$249)</f>
        <v>-0.26166565238956968</v>
      </c>
      <c r="X320" s="377">
        <f>IPMT('Assumptions (NG Midstream)'!$B$72,Model!AB$1,'Assumptions (NG Midstream)'!$B$75,Model!$S$249)</f>
        <v>-0.24552154267158524</v>
      </c>
      <c r="Y320" s="377">
        <f>IPMT('Assumptions (NG Midstream)'!$B$72,Model!AC$1,'Assumptions (NG Midstream)'!$B$75,Model!$S$249)</f>
        <v>-0.22816662472475197</v>
      </c>
      <c r="Z320" s="377">
        <f>IPMT('Assumptions (NG Midstream)'!$B$72,Model!AD$1,'Assumptions (NG Midstream)'!$B$75,Model!$S$249)</f>
        <v>-0.20951008793190623</v>
      </c>
      <c r="AA320" s="377">
        <f>IPMT('Assumptions (NG Midstream)'!$B$72,Model!AE$1,'Assumptions (NG Midstream)'!$B$75,Model!$S$249)</f>
        <v>-0.18945431087959705</v>
      </c>
      <c r="AB320" s="377">
        <f>IPMT('Assumptions (NG Midstream)'!$B$72,Model!AF$1,'Assumptions (NG Midstream)'!$B$75,Model!$S$249)</f>
        <v>-0.16789435054836466</v>
      </c>
      <c r="AC320" s="377">
        <f>IPMT('Assumptions (NG Midstream)'!$B$72,Model!AG$1,'Assumptions (NG Midstream)'!$B$75,Model!$S$249)</f>
        <v>-0.14471739319228982</v>
      </c>
      <c r="AD320" s="377">
        <f>IPMT('Assumptions (NG Midstream)'!$B$72,Model!AH$1,'Assumptions (NG Midstream)'!$B$75,Model!$S$249)</f>
        <v>-0.11980216403450943</v>
      </c>
      <c r="AE320" s="377">
        <f>IPMT('Assumptions (NG Midstream)'!$B$72,Model!AI$1,'Assumptions (NG Midstream)'!$B$75,Model!$S$249)</f>
        <v>-9.3018292689895449E-2</v>
      </c>
      <c r="AF320" s="377">
        <f>IPMT('Assumptions (NG Midstream)'!$B$72,Model!AJ$1,'Assumptions (NG Midstream)'!$B$75,Model!$S$249)</f>
        <v>-6.4225630994435456E-2</v>
      </c>
      <c r="AG320" s="377">
        <f>IPMT('Assumptions (NG Midstream)'!$B$72,Model!AK$1,'Assumptions (NG Midstream)'!$B$75,Model!$S$249)</f>
        <v>-3.3273519671815965E-2</v>
      </c>
      <c r="AH320" s="377" t="e">
        <f>IPMT('Assumptions (NG Midstream)'!$B$72,Model!AL$1,'Assumptions (NG Midstream)'!$B$75,Model!$S$249)</f>
        <v>#NUM!</v>
      </c>
      <c r="AI320" s="377" t="e">
        <f>IPMT('Assumptions (NG Midstream)'!$B$72,Model!AM$1,'Assumptions (NG Midstream)'!$B$75,Model!$S$249)</f>
        <v>#NUM!</v>
      </c>
      <c r="AJ320" s="377" t="e">
        <f>IPMT('Assumptions (NG Midstream)'!$B$72,Model!AN$1,'Assumptions (NG Midstream)'!$B$75,Model!$S$249)</f>
        <v>#NUM!</v>
      </c>
      <c r="AK320" s="377" t="e">
        <f>IPMT('Assumptions (NG Midstream)'!$B$72,Model!AO$1,'Assumptions (NG Midstream)'!$B$75,Model!$S$249)</f>
        <v>#NUM!</v>
      </c>
      <c r="AL320" s="377" t="e">
        <f>IPMT('Assumptions (NG Midstream)'!$B$72,Model!AP$1,'Assumptions (NG Midstream)'!$B$75,Model!$S$249)</f>
        <v>#NUM!</v>
      </c>
      <c r="AM320" s="377" t="e">
        <f>IPMT('Assumptions (NG Midstream)'!$B$72,Model!AQ$1,'Assumptions (NG Midstream)'!$B$75,Model!$S$249)</f>
        <v>#NUM!</v>
      </c>
      <c r="AN320" s="377" t="e">
        <f>IPMT('Assumptions (NG Midstream)'!$B$72,Model!AR$1,'Assumptions (NG Midstream)'!$B$75,Model!$S$249)</f>
        <v>#NUM!</v>
      </c>
      <c r="AO320" s="377" t="e">
        <f>IPMT('Assumptions (NG Midstream)'!$B$72,Model!AS$1,'Assumptions (NG Midstream)'!$B$75,Model!$S$249)</f>
        <v>#NUM!</v>
      </c>
      <c r="AP320" s="377" t="e">
        <f>IPMT('Assumptions (NG Midstream)'!$B$72,Model!AT$1,'Assumptions (NG Midstream)'!$B$75,Model!$S$249)</f>
        <v>#NUM!</v>
      </c>
      <c r="AQ320" s="377" t="e">
        <f>IPMT('Assumptions (NG Midstream)'!$B$72,Model!AU$1,'Assumptions (NG Midstream)'!$B$75,Model!$S$249)</f>
        <v>#NUM!</v>
      </c>
    </row>
    <row r="321" spans="1:59" ht="15.75" hidden="1" customHeight="1" outlineLevel="1">
      <c r="A321" s="365"/>
      <c r="B321" s="99"/>
      <c r="C321" s="377"/>
      <c r="D321" s="377"/>
      <c r="E321" s="377"/>
      <c r="F321" s="377"/>
      <c r="G321" s="377"/>
      <c r="H321" s="377"/>
      <c r="I321" s="377"/>
      <c r="J321" s="377"/>
      <c r="K321" s="377"/>
      <c r="L321" s="377"/>
      <c r="M321" s="377"/>
      <c r="N321" s="377"/>
      <c r="O321" s="377"/>
      <c r="P321" s="377"/>
      <c r="Q321" s="377"/>
      <c r="R321" s="377"/>
      <c r="S321" s="42"/>
      <c r="T321" s="377">
        <f>IPMT('Assumptions (NG Midstream)'!$B$72,Model!W$1,'Assumptions (NG Midstream)'!$B$75,Model!$T$249)</f>
        <v>-0.3560612527772839</v>
      </c>
      <c r="U321" s="377">
        <f>IPMT('Assumptions (NG Midstream)'!$B$72,Model!X$1,'Assumptions (NG Midstream)'!$B$75,Model!$T$249)</f>
        <v>-0.34242865147123708</v>
      </c>
      <c r="V321" s="377">
        <f>IPMT('Assumptions (NG Midstream)'!$B$72,Model!Y$1,'Assumptions (NG Midstream)'!$B$75,Model!$T$249)</f>
        <v>-0.32777360506723668</v>
      </c>
      <c r="W321" s="377">
        <f>IPMT('Assumptions (NG Midstream)'!$B$72,Model!Z$1,'Assumptions (NG Midstream)'!$B$75,Model!$T$249)</f>
        <v>-0.31201943018293632</v>
      </c>
      <c r="X321" s="377">
        <f>IPMT('Assumptions (NG Midstream)'!$B$72,Model!AA$1,'Assumptions (NG Midstream)'!$B$75,Model!$T$249)</f>
        <v>-0.29508369218231334</v>
      </c>
      <c r="Y321" s="377">
        <f>IPMT('Assumptions (NG Midstream)'!$B$72,Model!AB$1,'Assumptions (NG Midstream)'!$B$75,Model!$T$249)</f>
        <v>-0.27687777383164369</v>
      </c>
      <c r="Z321" s="377">
        <f>IPMT('Assumptions (NG Midstream)'!$B$72,Model!AC$1,'Assumptions (NG Midstream)'!$B$75,Model!$T$249)</f>
        <v>-0.25730641160467382</v>
      </c>
      <c r="AA321" s="377">
        <f>IPMT('Assumptions (NG Midstream)'!$B$72,Model!AD$1,'Assumptions (NG Midstream)'!$B$75,Model!$T$249)</f>
        <v>-0.23626719721068121</v>
      </c>
      <c r="AB321" s="377">
        <f>IPMT('Assumptions (NG Midstream)'!$B$72,Model!AE$1,'Assumptions (NG Midstream)'!$B$75,Model!$T$249)</f>
        <v>-0.21365004173713917</v>
      </c>
      <c r="AC321" s="377">
        <f>IPMT('Assumptions (NG Midstream)'!$B$72,Model!AF$1,'Assumptions (NG Midstream)'!$B$75,Model!$T$249)</f>
        <v>-0.18933659960308141</v>
      </c>
      <c r="AD321" s="377">
        <f>IPMT('Assumptions (NG Midstream)'!$B$72,Model!AG$1,'Assumptions (NG Midstream)'!$B$75,Model!$T$249)</f>
        <v>-0.16319964930896938</v>
      </c>
      <c r="AE321" s="377">
        <f>IPMT('Assumptions (NG Midstream)'!$B$72,Model!AH$1,'Assumptions (NG Midstream)'!$B$75,Model!$T$249)</f>
        <v>-0.13510242774279899</v>
      </c>
      <c r="AF321" s="377">
        <f>IPMT('Assumptions (NG Midstream)'!$B$72,Model!AI$1,'Assumptions (NG Midstream)'!$B$75,Model!$T$249)</f>
        <v>-0.10489791455916571</v>
      </c>
      <c r="AG321" s="377">
        <f>IPMT('Assumptions (NG Midstream)'!$B$72,Model!AJ$1,'Assumptions (NG Midstream)'!$B$75,Model!$T$249)</f>
        <v>-7.2428062886760014E-2</v>
      </c>
      <c r="AH321" s="377">
        <f>IPMT('Assumptions (NG Midstream)'!$B$72,Model!AK$1,'Assumptions (NG Midstream)'!$B$75,Model!$T$249)</f>
        <v>-3.7522972338923863E-2</v>
      </c>
      <c r="AI321" s="377" t="e">
        <f>IPMT('Assumptions (NG Midstream)'!$B$72,Model!AL$1,'Assumptions (NG Midstream)'!$B$75,Model!$T$249)</f>
        <v>#NUM!</v>
      </c>
      <c r="AJ321" s="377" t="e">
        <f>IPMT('Assumptions (NG Midstream)'!$B$72,Model!AM$1,'Assumptions (NG Midstream)'!$B$75,Model!$T$249)</f>
        <v>#NUM!</v>
      </c>
      <c r="AK321" s="377" t="e">
        <f>IPMT('Assumptions (NG Midstream)'!$B$72,Model!AN$1,'Assumptions (NG Midstream)'!$B$75,Model!$T$249)</f>
        <v>#NUM!</v>
      </c>
      <c r="AL321" s="377" t="e">
        <f>IPMT('Assumptions (NG Midstream)'!$B$72,Model!AO$1,'Assumptions (NG Midstream)'!$B$75,Model!$T$249)</f>
        <v>#NUM!</v>
      </c>
      <c r="AM321" s="377" t="e">
        <f>IPMT('Assumptions (NG Midstream)'!$B$72,Model!AP$1,'Assumptions (NG Midstream)'!$B$75,Model!$T$249)</f>
        <v>#NUM!</v>
      </c>
      <c r="AN321" s="377" t="e">
        <f>IPMT('Assumptions (NG Midstream)'!$B$72,Model!AQ$1,'Assumptions (NG Midstream)'!$B$75,Model!$T$249)</f>
        <v>#NUM!</v>
      </c>
      <c r="AO321" s="377" t="e">
        <f>IPMT('Assumptions (NG Midstream)'!$B$72,Model!AR$1,'Assumptions (NG Midstream)'!$B$75,Model!$T$249)</f>
        <v>#NUM!</v>
      </c>
      <c r="AP321" s="377" t="e">
        <f>IPMT('Assumptions (NG Midstream)'!$B$72,Model!AS$1,'Assumptions (NG Midstream)'!$B$75,Model!$T$249)</f>
        <v>#NUM!</v>
      </c>
      <c r="AQ321" s="377" t="e">
        <f>IPMT('Assumptions (NG Midstream)'!$B$72,Model!AT$1,'Assumptions (NG Midstream)'!$B$75,Model!$T$249)</f>
        <v>#NUM!</v>
      </c>
      <c r="AR321" s="377" t="e">
        <f>IPMT('Assumptions (NG Midstream)'!$B$72,Model!AU$1,'Assumptions (NG Midstream)'!$B$75,Model!$T$249)</f>
        <v>#NUM!</v>
      </c>
    </row>
    <row r="322" spans="1:59" ht="15.75" hidden="1" customHeight="1" outlineLevel="1">
      <c r="A322" s="365"/>
      <c r="B322" s="99"/>
      <c r="C322" s="377"/>
      <c r="D322" s="377"/>
      <c r="E322" s="377"/>
      <c r="F322" s="377"/>
      <c r="G322" s="377"/>
      <c r="H322" s="377"/>
      <c r="I322" s="377"/>
      <c r="J322" s="377"/>
      <c r="K322" s="377"/>
      <c r="L322" s="377"/>
      <c r="M322" s="377"/>
      <c r="N322" s="377"/>
      <c r="O322" s="377"/>
      <c r="P322" s="377"/>
      <c r="Q322" s="377"/>
      <c r="R322" s="377"/>
      <c r="S322" s="42"/>
      <c r="T322" s="42"/>
      <c r="U322" s="377">
        <f>IPMT('Assumptions (NG Midstream)'!$B$72,Model!W$1,'Assumptions (NG Midstream)'!$B$75,Model!$U$249)</f>
        <v>-4.8146625891237194E-2</v>
      </c>
      <c r="V322" s="377">
        <f>IPMT('Assumptions (NG Midstream)'!$B$72,Model!X$1,'Assumptions (NG Midstream)'!$B$75,Model!$U$249)</f>
        <v>-4.6303224650897278E-2</v>
      </c>
      <c r="W322" s="377">
        <f>IPMT('Assumptions (NG Midstream)'!$B$72,Model!Y$1,'Assumptions (NG Midstream)'!$B$75,Model!$U$249)</f>
        <v>-4.4321568317531874E-2</v>
      </c>
      <c r="X322" s="377">
        <f>IPMT('Assumptions (NG Midstream)'!$B$72,Model!Z$1,'Assumptions (NG Midstream)'!$B$75,Model!$U$249)</f>
        <v>-4.2191287759164059E-2</v>
      </c>
      <c r="Y322" s="377">
        <f>IPMT('Assumptions (NG Midstream)'!$B$72,Model!AA$1,'Assumptions (NG Midstream)'!$B$75,Model!$U$249)</f>
        <v>-3.9901236158918656E-2</v>
      </c>
      <c r="Z322" s="377">
        <f>IPMT('Assumptions (NG Midstream)'!$B$72,Model!AB$1,'Assumptions (NG Midstream)'!$B$75,Model!$U$249)</f>
        <v>-3.7439430688654844E-2</v>
      </c>
      <c r="AA322" s="377">
        <f>IPMT('Assumptions (NG Midstream)'!$B$72,Model!AC$1,'Assumptions (NG Midstream)'!$B$75,Model!$U$249)</f>
        <v>-3.4792989808121254E-2</v>
      </c>
      <c r="AB322" s="377">
        <f>IPMT('Assumptions (NG Midstream)'!$B$72,Model!AD$1,'Assumptions (NG Midstream)'!$B$75,Model!$U$249)</f>
        <v>-3.1948065861547637E-2</v>
      </c>
      <c r="AC322" s="377">
        <f>IPMT('Assumptions (NG Midstream)'!$B$72,Model!AE$1,'Assumptions (NG Midstream)'!$B$75,Model!$U$249)</f>
        <v>-2.8889772618981006E-2</v>
      </c>
      <c r="AD322" s="377">
        <f>IPMT('Assumptions (NG Midstream)'!$B$72,Model!AF$1,'Assumptions (NG Midstream)'!$B$75,Model!$U$249)</f>
        <v>-2.5602107383221877E-2</v>
      </c>
      <c r="AE322" s="377">
        <f>IPMT('Assumptions (NG Midstream)'!$B$72,Model!AG$1,'Assumptions (NG Midstream)'!$B$75,Model!$U$249)</f>
        <v>-2.2067867254780812E-2</v>
      </c>
      <c r="AF322" s="377">
        <f>IPMT('Assumptions (NG Midstream)'!$B$72,Model!AH$1,'Assumptions (NG Midstream)'!$B$75,Model!$U$249)</f>
        <v>-1.8268559116706669E-2</v>
      </c>
      <c r="AG322" s="377">
        <f>IPMT('Assumptions (NG Midstream)'!$B$72,Model!AI$1,'Assumptions (NG Midstream)'!$B$75,Model!$U$249)</f>
        <v>-1.4184302868276958E-2</v>
      </c>
      <c r="AH322" s="377">
        <f>IPMT('Assumptions (NG Midstream)'!$B$72,Model!AJ$1,'Assumptions (NG Midstream)'!$B$75,Model!$U$249)</f>
        <v>-9.7937274012150268E-3</v>
      </c>
      <c r="AI322" s="377">
        <f>IPMT('Assumptions (NG Midstream)'!$B$72,Model!AK$1,'Assumptions (NG Midstream)'!$B$75,Model!$U$249)</f>
        <v>-5.0738587741234473E-3</v>
      </c>
      <c r="AJ322" s="377" t="e">
        <f>IPMT('Assumptions (NG Midstream)'!$B$72,Model!AL$1,'Assumptions (NG Midstream)'!$B$75,Model!$U$249)</f>
        <v>#NUM!</v>
      </c>
      <c r="AK322" s="377" t="e">
        <f>IPMT('Assumptions (NG Midstream)'!$B$72,Model!AM$1,'Assumptions (NG Midstream)'!$B$75,Model!$U$249)</f>
        <v>#NUM!</v>
      </c>
      <c r="AL322" s="377" t="e">
        <f>IPMT('Assumptions (NG Midstream)'!$B$72,Model!AN$1,'Assumptions (NG Midstream)'!$B$75,Model!$U$249)</f>
        <v>#NUM!</v>
      </c>
      <c r="AM322" s="377" t="e">
        <f>IPMT('Assumptions (NG Midstream)'!$B$72,Model!AO$1,'Assumptions (NG Midstream)'!$B$75,Model!$U$249)</f>
        <v>#NUM!</v>
      </c>
      <c r="AN322" s="377" t="e">
        <f>IPMT('Assumptions (NG Midstream)'!$B$72,Model!AP$1,'Assumptions (NG Midstream)'!$B$75,Model!$U$249)</f>
        <v>#NUM!</v>
      </c>
      <c r="AO322" s="377" t="e">
        <f>IPMT('Assumptions (NG Midstream)'!$B$72,Model!AQ$1,'Assumptions (NG Midstream)'!$B$75,Model!$U$249)</f>
        <v>#NUM!</v>
      </c>
      <c r="AP322" s="377" t="e">
        <f>IPMT('Assumptions (NG Midstream)'!$B$72,Model!AR$1,'Assumptions (NG Midstream)'!$B$75,Model!$U$249)</f>
        <v>#NUM!</v>
      </c>
      <c r="AQ322" s="377" t="e">
        <f>IPMT('Assumptions (NG Midstream)'!$B$72,Model!AS$1,'Assumptions (NG Midstream)'!$B$75,Model!$U$249)</f>
        <v>#NUM!</v>
      </c>
      <c r="AR322" s="377" t="e">
        <f>IPMT('Assumptions (NG Midstream)'!$B$72,Model!AT$1,'Assumptions (NG Midstream)'!$B$75,Model!$U$249)</f>
        <v>#NUM!</v>
      </c>
      <c r="AS322" s="377" t="e">
        <f>IPMT('Assumptions (NG Midstream)'!$B$72,Model!AU$1,'Assumptions (NG Midstream)'!$B$75,Model!$U$249)</f>
        <v>#NUM!</v>
      </c>
    </row>
    <row r="323" spans="1:59" ht="15.75" hidden="1" customHeight="1" outlineLevel="1">
      <c r="A323" s="365"/>
      <c r="B323" s="99"/>
      <c r="C323" s="377"/>
      <c r="D323" s="377"/>
      <c r="E323" s="377"/>
      <c r="F323" s="377"/>
      <c r="G323" s="377"/>
      <c r="H323" s="377"/>
      <c r="I323" s="377"/>
      <c r="J323" s="377"/>
      <c r="K323" s="377"/>
      <c r="L323" s="377"/>
      <c r="M323" s="377"/>
      <c r="N323" s="377"/>
      <c r="O323" s="377"/>
      <c r="P323" s="377"/>
      <c r="Q323" s="377"/>
      <c r="R323" s="377"/>
      <c r="S323" s="42"/>
      <c r="T323" s="42"/>
      <c r="U323" s="42"/>
      <c r="V323" s="377">
        <f>IPMT('Assumptions (NG Midstream)'!$B$72,Model!W$1,'Assumptions (NG Midstream)'!$B$75,Model!$V$249)</f>
        <v>-0.15257688904094344</v>
      </c>
      <c r="W323" s="377">
        <f>IPMT('Assumptions (NG Midstream)'!$B$72,Model!X$1,'Assumptions (NG Midstream)'!$B$75,Model!$V$249)</f>
        <v>-0.14673514164330348</v>
      </c>
      <c r="X323" s="377">
        <f>IPMT('Assumptions (NG Midstream)'!$B$72,Model!Y$1,'Assumptions (NG Midstream)'!$B$75,Model!$V$249)</f>
        <v>-0.14045526319084048</v>
      </c>
      <c r="Y323" s="377">
        <f>IPMT('Assumptions (NG Midstream)'!$B$72,Model!Z$1,'Assumptions (NG Midstream)'!$B$75,Model!$V$249)</f>
        <v>-0.13370439385444277</v>
      </c>
      <c r="Z323" s="377">
        <f>IPMT('Assumptions (NG Midstream)'!$B$72,Model!AA$1,'Assumptions (NG Midstream)'!$B$75,Model!$V$249)</f>
        <v>-0.12644720931781522</v>
      </c>
      <c r="AA323" s="377">
        <f>IPMT('Assumptions (NG Midstream)'!$B$72,Model!AB$1,'Assumptions (NG Midstream)'!$B$75,Model!$V$249)</f>
        <v>-0.11864573594094062</v>
      </c>
      <c r="AB323" s="377">
        <f>IPMT('Assumptions (NG Midstream)'!$B$72,Model!AC$1,'Assumptions (NG Midstream)'!$B$75,Model!$V$249)</f>
        <v>-0.11025915206080042</v>
      </c>
      <c r="AC323" s="377">
        <f>IPMT('Assumptions (NG Midstream)'!$B$72,Model!AD$1,'Assumptions (NG Midstream)'!$B$75,Model!$V$249)</f>
        <v>-0.1012435743896497</v>
      </c>
      <c r="AD323" s="377">
        <f>IPMT('Assumptions (NG Midstream)'!$B$72,Model!AE$1,'Assumptions (NG Midstream)'!$B$75,Model!$V$249)</f>
        <v>-9.1551828393162685E-2</v>
      </c>
      <c r="AE323" s="377">
        <f>IPMT('Assumptions (NG Midstream)'!$B$72,Model!AF$1,'Assumptions (NG Midstream)'!$B$75,Model!$V$249)</f>
        <v>-8.113320144693914E-2</v>
      </c>
      <c r="AF323" s="377">
        <f>IPMT('Assumptions (NG Midstream)'!$B$72,Model!AG$1,'Assumptions (NG Midstream)'!$B$75,Model!$V$249)</f>
        <v>-6.9933177479748837E-2</v>
      </c>
      <c r="AG323" s="377">
        <f>IPMT('Assumptions (NG Midstream)'!$B$72,Model!AH$1,'Assumptions (NG Midstream)'!$B$75,Model!$V$249)</f>
        <v>-5.7893151715019256E-2</v>
      </c>
      <c r="AH323" s="377">
        <f>IPMT('Assumptions (NG Midstream)'!$B$72,Model!AI$1,'Assumptions (NG Midstream)'!$B$75,Model!$V$249)</f>
        <v>-4.4950124017934939E-2</v>
      </c>
      <c r="AI323" s="377">
        <f>IPMT('Assumptions (NG Midstream)'!$B$72,Model!AJ$1,'Assumptions (NG Midstream)'!$B$75,Model!$V$249)</f>
        <v>-3.1036369243569322E-2</v>
      </c>
      <c r="AJ323" s="377">
        <f>IPMT('Assumptions (NG Midstream)'!$B$72,Model!AK$1,'Assumptions (NG Midstream)'!$B$75,Model!$V$249)</f>
        <v>-1.6079082861126276E-2</v>
      </c>
      <c r="AK323" s="377" t="e">
        <f>IPMT('Assumptions (NG Midstream)'!$B$72,Model!AL$1,'Assumptions (NG Midstream)'!$B$75,Model!$V$249)</f>
        <v>#NUM!</v>
      </c>
      <c r="AL323" s="377" t="e">
        <f>IPMT('Assumptions (NG Midstream)'!$B$72,Model!AM$1,'Assumptions (NG Midstream)'!$B$75,Model!$V$249)</f>
        <v>#NUM!</v>
      </c>
      <c r="AM323" s="377" t="e">
        <f>IPMT('Assumptions (NG Midstream)'!$B$72,Model!AN$1,'Assumptions (NG Midstream)'!$B$75,Model!$V$249)</f>
        <v>#NUM!</v>
      </c>
      <c r="AN323" s="377" t="e">
        <f>IPMT('Assumptions (NG Midstream)'!$B$72,Model!AO$1,'Assumptions (NG Midstream)'!$B$75,Model!$V$249)</f>
        <v>#NUM!</v>
      </c>
      <c r="AO323" s="377" t="e">
        <f>IPMT('Assumptions (NG Midstream)'!$B$72,Model!AP$1,'Assumptions (NG Midstream)'!$B$75,Model!$V$249)</f>
        <v>#NUM!</v>
      </c>
      <c r="AP323" s="377" t="e">
        <f>IPMT('Assumptions (NG Midstream)'!$B$72,Model!AQ$1,'Assumptions (NG Midstream)'!$B$75,Model!$V$249)</f>
        <v>#NUM!</v>
      </c>
      <c r="AQ323" s="377" t="e">
        <f>IPMT('Assumptions (NG Midstream)'!$B$72,Model!AR$1,'Assumptions (NG Midstream)'!$B$75,Model!$V$249)</f>
        <v>#NUM!</v>
      </c>
      <c r="AR323" s="377" t="e">
        <f>IPMT('Assumptions (NG Midstream)'!$B$72,Model!AS$1,'Assumptions (NG Midstream)'!$B$75,Model!$V$249)</f>
        <v>#NUM!</v>
      </c>
      <c r="AS323" s="377" t="e">
        <f>IPMT('Assumptions (NG Midstream)'!$B$72,Model!AT$1,'Assumptions (NG Midstream)'!$B$75,Model!$V$249)</f>
        <v>#NUM!</v>
      </c>
      <c r="AT323" s="377" t="e">
        <f>IPMT('Assumptions (NG Midstream)'!$B$72,Model!AU$1,'Assumptions (NG Midstream)'!$B$75,Model!$V$249)</f>
        <v>#NUM!</v>
      </c>
    </row>
    <row r="324" spans="1:59" ht="15.75" hidden="1" customHeight="1" outlineLevel="1">
      <c r="A324" s="365"/>
      <c r="B324" s="99"/>
      <c r="C324" s="377"/>
      <c r="D324" s="377"/>
      <c r="E324" s="377"/>
      <c r="F324" s="377"/>
      <c r="G324" s="377"/>
      <c r="H324" s="377"/>
      <c r="I324" s="377"/>
      <c r="J324" s="377"/>
      <c r="K324" s="377"/>
      <c r="L324" s="377"/>
      <c r="M324" s="377"/>
      <c r="N324" s="377"/>
      <c r="O324" s="377"/>
      <c r="P324" s="377"/>
      <c r="Q324" s="377"/>
      <c r="R324" s="377"/>
      <c r="S324" s="42"/>
      <c r="T324" s="42"/>
      <c r="U324" s="42"/>
      <c r="V324" s="42"/>
      <c r="W324" s="377">
        <f>IPMT('Assumptions (NG Midstream)'!$B$72,Model!W$1,'Assumptions (NG Midstream)'!$B$75,Model!$W$249)</f>
        <v>-9.825812061678868E-2</v>
      </c>
      <c r="X324" s="377">
        <f>IPMT('Assumptions (NG Midstream)'!$B$72,Model!X$1,'Assumptions (NG Midstream)'!$B$75,Model!$W$249)</f>
        <v>-9.4496088738840966E-2</v>
      </c>
      <c r="Y324" s="377">
        <f>IPMT('Assumptions (NG Midstream)'!$B$72,Model!Y$1,'Assumptions (NG Midstream)'!$B$75,Model!$W$249)</f>
        <v>-9.0451904470047154E-2</v>
      </c>
      <c r="Z324" s="377">
        <f>IPMT('Assumptions (NG Midstream)'!$B$72,Model!Z$1,'Assumptions (NG Midstream)'!$B$75,Model!$W$249)</f>
        <v>-8.6104406381093831E-2</v>
      </c>
      <c r="AA324" s="377">
        <f>IPMT('Assumptions (NG Midstream)'!$B$72,Model!AA$1,'Assumptions (NG Midstream)'!$B$75,Model!$W$249)</f>
        <v>-8.1430845935468996E-2</v>
      </c>
      <c r="AB324" s="377">
        <f>IPMT('Assumptions (NG Midstream)'!$B$72,Model!AB$1,'Assumptions (NG Midstream)'!$B$75,Model!$W$249)</f>
        <v>-7.6406768456422289E-2</v>
      </c>
      <c r="AC324" s="377">
        <f>IPMT('Assumptions (NG Midstream)'!$B$72,Model!AC$1,'Assumptions (NG Midstream)'!$B$75,Model!$W$249)</f>
        <v>-7.1005885166447097E-2</v>
      </c>
      <c r="AD324" s="377">
        <f>IPMT('Assumptions (NG Midstream)'!$B$72,Model!AD$1,'Assumptions (NG Midstream)'!$B$75,Model!$W$249)</f>
        <v>-6.519993562972376E-2</v>
      </c>
      <c r="AE324" s="377">
        <f>IPMT('Assumptions (NG Midstream)'!$B$72,Model!AE$1,'Assumptions (NG Midstream)'!$B$75,Model!$W$249)</f>
        <v>-5.8958539877746172E-2</v>
      </c>
      <c r="AF324" s="377">
        <f>IPMT('Assumptions (NG Midstream)'!$B$72,Model!AF$1,'Assumptions (NG Midstream)'!$B$75,Model!$W$249)</f>
        <v>-5.224903944437026E-2</v>
      </c>
      <c r="AG324" s="377">
        <f>IPMT('Assumptions (NG Midstream)'!$B$72,Model!AG$1,'Assumptions (NG Midstream)'!$B$75,Model!$W$249)</f>
        <v>-4.5036326478491165E-2</v>
      </c>
      <c r="AH324" s="377">
        <f>IPMT('Assumptions (NG Midstream)'!$B$72,Model!AH$1,'Assumptions (NG Midstream)'!$B$75,Model!$W$249)</f>
        <v>-3.7282660040171139E-2</v>
      </c>
      <c r="AI324" s="377">
        <f>IPMT('Assumptions (NG Midstream)'!$B$72,Model!AI$1,'Assumptions (NG Midstream)'!$B$75,Model!$W$249)</f>
        <v>-2.8947468618977099E-2</v>
      </c>
      <c r="AJ324" s="377">
        <f>IPMT('Assumptions (NG Midstream)'!$B$72,Model!AJ$1,'Assumptions (NG Midstream)'!$B$75,Model!$W$249)</f>
        <v>-1.9987137841193516E-2</v>
      </c>
      <c r="AK324" s="377">
        <f>IPMT('Assumptions (NG Midstream)'!$B$72,Model!AK$1,'Assumptions (NG Midstream)'!$B$75,Model!$W$249)</f>
        <v>-1.0354782255076158E-2</v>
      </c>
      <c r="AL324" s="377" t="e">
        <f>IPMT('Assumptions (NG Midstream)'!$B$72,Model!AL$1,'Assumptions (NG Midstream)'!$B$75,Model!$W$249)</f>
        <v>#NUM!</v>
      </c>
      <c r="AM324" s="377" t="e">
        <f>IPMT('Assumptions (NG Midstream)'!$B$72,Model!AM$1,'Assumptions (NG Midstream)'!$B$75,Model!$W$249)</f>
        <v>#NUM!</v>
      </c>
      <c r="AN324" s="377" t="e">
        <f>IPMT('Assumptions (NG Midstream)'!$B$72,Model!AN$1,'Assumptions (NG Midstream)'!$B$75,Model!$W$249)</f>
        <v>#NUM!</v>
      </c>
      <c r="AO324" s="377" t="e">
        <f>IPMT('Assumptions (NG Midstream)'!$B$72,Model!AO$1,'Assumptions (NG Midstream)'!$B$75,Model!$W$249)</f>
        <v>#NUM!</v>
      </c>
      <c r="AP324" s="377" t="e">
        <f>IPMT('Assumptions (NG Midstream)'!$B$72,Model!AP$1,'Assumptions (NG Midstream)'!$B$75,Model!$W$249)</f>
        <v>#NUM!</v>
      </c>
      <c r="AQ324" s="377" t="e">
        <f>IPMT('Assumptions (NG Midstream)'!$B$72,Model!AQ$1,'Assumptions (NG Midstream)'!$B$75,Model!$W$249)</f>
        <v>#NUM!</v>
      </c>
      <c r="AR324" s="377" t="e">
        <f>IPMT('Assumptions (NG Midstream)'!$B$72,Model!AR$1,'Assumptions (NG Midstream)'!$B$75,Model!$W$249)</f>
        <v>#NUM!</v>
      </c>
      <c r="AS324" s="377" t="e">
        <f>IPMT('Assumptions (NG Midstream)'!$B$72,Model!AS$1,'Assumptions (NG Midstream)'!$B$75,Model!$W$249)</f>
        <v>#NUM!</v>
      </c>
      <c r="AT324" s="377" t="e">
        <f>IPMT('Assumptions (NG Midstream)'!$B$72,Model!AT$1,'Assumptions (NG Midstream)'!$B$75,Model!$W$249)</f>
        <v>#NUM!</v>
      </c>
      <c r="AU324" s="377" t="e">
        <f>IPMT('Assumptions (NG Midstream)'!$B$72,Model!AU$1,'Assumptions (NG Midstream)'!$B$75,Model!$W$249)</f>
        <v>#NUM!</v>
      </c>
    </row>
    <row r="325" spans="1:59" ht="15.75" hidden="1" customHeight="1" outlineLevel="1">
      <c r="A325" s="365"/>
      <c r="B325" s="99"/>
      <c r="C325" s="377"/>
      <c r="D325" s="377"/>
      <c r="E325" s="377"/>
      <c r="F325" s="377"/>
      <c r="G325" s="377"/>
      <c r="H325" s="377"/>
      <c r="I325" s="377"/>
      <c r="J325" s="377"/>
      <c r="K325" s="377"/>
      <c r="L325" s="377"/>
      <c r="M325" s="377"/>
      <c r="N325" s="377"/>
      <c r="O325" s="377"/>
      <c r="P325" s="377"/>
      <c r="Q325" s="377"/>
      <c r="R325" s="377"/>
      <c r="S325" s="42"/>
      <c r="T325" s="42"/>
      <c r="U325" s="42"/>
      <c r="V325" s="42"/>
      <c r="W325" s="86"/>
      <c r="X325" s="377">
        <f>IPMT('Assumptions (NG Midstream)'!$B$72,Model!W$1,'Assumptions (NG Midstream)'!$B$75,Model!$X$249)</f>
        <v>-8.8653045389202961E-2</v>
      </c>
      <c r="Y325" s="377">
        <f>IPMT('Assumptions (NG Midstream)'!$B$72,Model!X$1,'Assumptions (NG Midstream)'!$B$75,Model!$X$249)</f>
        <v>-8.5258765295733091E-2</v>
      </c>
      <c r="Z325" s="377">
        <f>IPMT('Assumptions (NG Midstream)'!$B$72,Model!Y$1,'Assumptions (NG Midstream)'!$B$75,Model!$X$249)</f>
        <v>-8.1609914195252972E-2</v>
      </c>
      <c r="AA325" s="377">
        <f>IPMT('Assumptions (NG Midstream)'!$B$72,Model!Z$1,'Assumptions (NG Midstream)'!$B$75,Model!$X$249)</f>
        <v>-7.7687399262236848E-2</v>
      </c>
      <c r="AB325" s="377">
        <f>IPMT('Assumptions (NG Midstream)'!$B$72,Model!AA$1,'Assumptions (NG Midstream)'!$B$75,Model!$X$249)</f>
        <v>-7.3470695709244513E-2</v>
      </c>
      <c r="AC325" s="377">
        <f>IPMT('Assumptions (NG Midstream)'!$B$72,Model!AB$1,'Assumptions (NG Midstream)'!$B$75,Model!$X$249)</f>
        <v>-6.8937739389777763E-2</v>
      </c>
      <c r="AD325" s="377">
        <f>IPMT('Assumptions (NG Midstream)'!$B$72,Model!AC$1,'Assumptions (NG Midstream)'!$B$75,Model!$X$249)</f>
        <v>-6.4064811346351003E-2</v>
      </c>
      <c r="AE325" s="377">
        <f>IPMT('Assumptions (NG Midstream)'!$B$72,Model!AD$1,'Assumptions (NG Midstream)'!$B$75,Model!$X$249)</f>
        <v>-5.8826413699667228E-2</v>
      </c>
      <c r="AF325" s="377">
        <f>IPMT('Assumptions (NG Midstream)'!$B$72,Model!AE$1,'Assumptions (NG Midstream)'!$B$75,Model!$X$249)</f>
        <v>-5.3195136229482173E-2</v>
      </c>
      <c r="AG325" s="377">
        <f>IPMT('Assumptions (NG Midstream)'!$B$72,Model!AF$1,'Assumptions (NG Midstream)'!$B$75,Model!$X$249)</f>
        <v>-4.714151294903323E-2</v>
      </c>
      <c r="AH325" s="377">
        <f>IPMT('Assumptions (NG Midstream)'!$B$72,Model!AG$1,'Assumptions (NG Midstream)'!$B$75,Model!$X$249)</f>
        <v>-4.0633867922550637E-2</v>
      </c>
      <c r="AI325" s="377">
        <f>IPMT('Assumptions (NG Midstream)'!$B$72,Model!AH$1,'Assumptions (NG Midstream)'!$B$75,Model!$X$249)</f>
        <v>-3.3638149519081839E-2</v>
      </c>
      <c r="AJ325" s="377">
        <f>IPMT('Assumptions (NG Midstream)'!$B$72,Model!AI$1,'Assumptions (NG Midstream)'!$B$75,Model!$X$249)</f>
        <v>-2.6117752235352874E-2</v>
      </c>
      <c r="AK325" s="377">
        <f>IPMT('Assumptions (NG Midstream)'!$B$72,Model!AJ$1,'Assumptions (NG Midstream)'!$B$75,Model!$X$249)</f>
        <v>-1.8033325155344251E-2</v>
      </c>
      <c r="AL325" s="377">
        <f>IPMT('Assumptions (NG Midstream)'!$B$72,Model!AK$1,'Assumptions (NG Midstream)'!$B$75,Model!$X$249)</f>
        <v>-9.3425660443349733E-3</v>
      </c>
      <c r="AM325" s="377" t="e">
        <f>IPMT('Assumptions (NG Midstream)'!$B$72,Model!AL$1,'Assumptions (NG Midstream)'!$B$75,Model!$X$249)</f>
        <v>#NUM!</v>
      </c>
      <c r="AN325" s="377" t="e">
        <f>IPMT('Assumptions (NG Midstream)'!$B$72,Model!AM$1,'Assumptions (NG Midstream)'!$B$75,Model!$X$249)</f>
        <v>#NUM!</v>
      </c>
      <c r="AO325" s="377" t="e">
        <f>IPMT('Assumptions (NG Midstream)'!$B$72,Model!AN$1,'Assumptions (NG Midstream)'!$B$75,Model!$X$249)</f>
        <v>#NUM!</v>
      </c>
      <c r="AP325" s="377" t="e">
        <f>IPMT('Assumptions (NG Midstream)'!$B$72,Model!AO$1,'Assumptions (NG Midstream)'!$B$75,Model!$X$249)</f>
        <v>#NUM!</v>
      </c>
      <c r="AQ325" s="377" t="e">
        <f>IPMT('Assumptions (NG Midstream)'!$B$72,Model!AP$1,'Assumptions (NG Midstream)'!$B$75,Model!$X$249)</f>
        <v>#NUM!</v>
      </c>
      <c r="AR325" s="377" t="e">
        <f>IPMT('Assumptions (NG Midstream)'!$B$72,Model!AQ$1,'Assumptions (NG Midstream)'!$B$75,Model!$X$249)</f>
        <v>#NUM!</v>
      </c>
      <c r="AS325" s="377" t="e">
        <f>IPMT('Assumptions (NG Midstream)'!$B$72,Model!AR$1,'Assumptions (NG Midstream)'!$B$75,Model!$X$249)</f>
        <v>#NUM!</v>
      </c>
      <c r="AT325" s="377" t="e">
        <f>IPMT('Assumptions (NG Midstream)'!$B$72,Model!AS$1,'Assumptions (NG Midstream)'!$B$75,Model!$X$249)</f>
        <v>#NUM!</v>
      </c>
      <c r="AU325" s="377" t="e">
        <f>IPMT('Assumptions (NG Midstream)'!$B$72,Model!AT$1,'Assumptions (NG Midstream)'!$B$75,Model!$X$249)</f>
        <v>#NUM!</v>
      </c>
      <c r="AV325" s="377" t="e">
        <f>IPMT('Assumptions (NG Midstream)'!$B$72,Model!AU$1,'Assumptions (NG Midstream)'!$B$75,Model!$X$249)</f>
        <v>#NUM!</v>
      </c>
    </row>
    <row r="326" spans="1:59" ht="15.75" hidden="1" customHeight="1" outlineLevel="1">
      <c r="A326" s="365"/>
      <c r="B326" s="99"/>
      <c r="C326" s="377"/>
      <c r="D326" s="377"/>
      <c r="E326" s="377"/>
      <c r="F326" s="377"/>
      <c r="G326" s="377"/>
      <c r="H326" s="377"/>
      <c r="I326" s="377"/>
      <c r="J326" s="377"/>
      <c r="K326" s="377"/>
      <c r="L326" s="377"/>
      <c r="M326" s="377"/>
      <c r="N326" s="377"/>
      <c r="O326" s="377"/>
      <c r="P326" s="377"/>
      <c r="Q326" s="377"/>
      <c r="R326" s="377"/>
      <c r="S326" s="42"/>
      <c r="T326" s="42"/>
      <c r="U326" s="42"/>
      <c r="V326" s="42"/>
      <c r="W326" s="86"/>
      <c r="Y326" s="377">
        <f>IPMT('Assumptions (NG Midstream)'!$B$72,Model!W$1,'Assumptions (NG Midstream)'!$B$75,Model!$Y$249)</f>
        <v>-0.1138181273467315</v>
      </c>
      <c r="Z326" s="377">
        <f>IPMT('Assumptions (NG Midstream)'!$B$72,Model!X$1,'Assumptions (NG Midstream)'!$B$75,Model!$Y$249)</f>
        <v>-0.10946034581499767</v>
      </c>
      <c r="AA326" s="377">
        <f>IPMT('Assumptions (NG Midstream)'!$B$72,Model!Y$1,'Assumptions (NG Midstream)'!$B$75,Model!$Y$249)</f>
        <v>-0.10477573066838382</v>
      </c>
      <c r="AB326" s="377">
        <f>IPMT('Assumptions (NG Midstream)'!$B$72,Model!Z$1,'Assumptions (NG Midstream)'!$B$75,Model!$Y$249)</f>
        <v>-9.9739769385773905E-2</v>
      </c>
      <c r="AC326" s="377">
        <f>IPMT('Assumptions (NG Midstream)'!$B$72,Model!AA$1,'Assumptions (NG Midstream)'!$B$75,Model!$Y$249)</f>
        <v>-9.4326111006968236E-2</v>
      </c>
      <c r="AD326" s="377">
        <f>IPMT('Assumptions (NG Midstream)'!$B$72,Model!AB$1,'Assumptions (NG Midstream)'!$B$75,Model!$Y$249)</f>
        <v>-8.8506428249752161E-2</v>
      </c>
      <c r="AE326" s="377">
        <f>IPMT('Assumptions (NG Midstream)'!$B$72,Model!AC$1,'Assumptions (NG Midstream)'!$B$75,Model!$Y$249)</f>
        <v>-8.2250269285744887E-2</v>
      </c>
      <c r="AF326" s="377">
        <f>IPMT('Assumptions (NG Midstream)'!$B$72,Model!AD$1,'Assumptions (NG Midstream)'!$B$75,Model!$Y$249)</f>
        <v>-7.5524898399437046E-2</v>
      </c>
      <c r="AG326" s="377">
        <f>IPMT('Assumptions (NG Midstream)'!$B$72,Model!AE$1,'Assumptions (NG Midstream)'!$B$75,Model!$Y$249)</f>
        <v>-6.8295124696656134E-2</v>
      </c>
      <c r="AH326" s="377">
        <f>IPMT('Assumptions (NG Midstream)'!$B$72,Model!AF$1,'Assumptions (NG Midstream)'!$B$75,Model!$Y$249)</f>
        <v>-6.0523117966166648E-2</v>
      </c>
      <c r="AI326" s="377">
        <f>IPMT('Assumptions (NG Midstream)'!$B$72,Model!AG$1,'Assumptions (NG Midstream)'!$B$75,Model!$Y$249)</f>
        <v>-5.2168210730890459E-2</v>
      </c>
      <c r="AJ326" s="377">
        <f>IPMT('Assumptions (NG Midstream)'!$B$72,Model!AH$1,'Assumptions (NG Midstream)'!$B$75,Model!$Y$249)</f>
        <v>-4.3186685452968547E-2</v>
      </c>
      <c r="AK326" s="377">
        <f>IPMT('Assumptions (NG Midstream)'!$B$72,Model!AI$1,'Assumptions (NG Midstream)'!$B$75,Model!$Y$249)</f>
        <v>-3.353154577920249E-2</v>
      </c>
      <c r="AL326" s="377">
        <f>IPMT('Assumptions (NG Midstream)'!$B$72,Model!AJ$1,'Assumptions (NG Midstream)'!$B$75,Model!$Y$249)</f>
        <v>-2.3152270629903986E-2</v>
      </c>
      <c r="AM326" s="377">
        <f>IPMT('Assumptions (NG Midstream)'!$B$72,Model!AK$1,'Assumptions (NG Midstream)'!$B$75,Model!$Y$249)</f>
        <v>-1.1994549844408087E-2</v>
      </c>
      <c r="AN326" s="377" t="e">
        <f>IPMT('Assumptions (NG Midstream)'!$B$72,Model!AL$1,'Assumptions (NG Midstream)'!$B$75,Model!$Y$249)</f>
        <v>#NUM!</v>
      </c>
      <c r="AO326" s="377" t="e">
        <f>IPMT('Assumptions (NG Midstream)'!$B$72,Model!AM$1,'Assumptions (NG Midstream)'!$B$75,Model!$Y$249)</f>
        <v>#NUM!</v>
      </c>
      <c r="AP326" s="377" t="e">
        <f>IPMT('Assumptions (NG Midstream)'!$B$72,Model!AN$1,'Assumptions (NG Midstream)'!$B$75,Model!$Y$249)</f>
        <v>#NUM!</v>
      </c>
      <c r="AQ326" s="377" t="e">
        <f>IPMT('Assumptions (NG Midstream)'!$B$72,Model!AO$1,'Assumptions (NG Midstream)'!$B$75,Model!$Y$249)</f>
        <v>#NUM!</v>
      </c>
      <c r="AR326" s="377" t="e">
        <f>IPMT('Assumptions (NG Midstream)'!$B$72,Model!AP$1,'Assumptions (NG Midstream)'!$B$75,Model!$Y$249)</f>
        <v>#NUM!</v>
      </c>
      <c r="AS326" s="377" t="e">
        <f>IPMT('Assumptions (NG Midstream)'!$B$72,Model!AQ$1,'Assumptions (NG Midstream)'!$B$75,Model!$Y$249)</f>
        <v>#NUM!</v>
      </c>
      <c r="AT326" s="377" t="e">
        <f>IPMT('Assumptions (NG Midstream)'!$B$72,Model!AR$1,'Assumptions (NG Midstream)'!$B$75,Model!$Y$249)</f>
        <v>#NUM!</v>
      </c>
      <c r="AU326" s="377" t="e">
        <f>IPMT('Assumptions (NG Midstream)'!$B$72,Model!AS$1,'Assumptions (NG Midstream)'!$B$75,Model!$Y$249)</f>
        <v>#NUM!</v>
      </c>
      <c r="AV326" s="377" t="e">
        <f>IPMT('Assumptions (NG Midstream)'!$B$72,Model!AT$1,'Assumptions (NG Midstream)'!$B$75,Model!$Y$249)</f>
        <v>#NUM!</v>
      </c>
      <c r="AW326" s="377" t="e">
        <f>IPMT('Assumptions (NG Midstream)'!$B$72,Model!AU$1,'Assumptions (NG Midstream)'!$B$75,Model!$Y$249)</f>
        <v>#NUM!</v>
      </c>
    </row>
    <row r="327" spans="1:59" ht="15.75" hidden="1" customHeight="1" outlineLevel="1">
      <c r="A327" s="365"/>
      <c r="B327" s="99"/>
      <c r="C327" s="377"/>
      <c r="D327" s="377"/>
      <c r="E327" s="377"/>
      <c r="F327" s="377"/>
      <c r="G327" s="377"/>
      <c r="H327" s="377"/>
      <c r="I327" s="377"/>
      <c r="J327" s="377"/>
      <c r="K327" s="377"/>
      <c r="L327" s="377"/>
      <c r="M327" s="377"/>
      <c r="N327" s="377"/>
      <c r="O327" s="377"/>
      <c r="P327" s="377"/>
      <c r="Q327" s="377"/>
      <c r="R327" s="377"/>
      <c r="S327" s="42"/>
      <c r="T327" s="42"/>
      <c r="U327" s="42"/>
      <c r="V327" s="42"/>
      <c r="W327" s="86"/>
      <c r="Z327" s="377">
        <f>IPMT('Assumptions (NG Midstream)'!$B$72,Model!W$1,'Assumptions (NG Midstream)'!$B$75,Model!$Z$249)</f>
        <v>-0.12243111394294447</v>
      </c>
      <c r="AA327" s="377">
        <f>IPMT('Assumptions (NG Midstream)'!$B$72,Model!X$1,'Assumptions (NG Midstream)'!$B$75,Model!$Z$249)</f>
        <v>-0.11774356495854726</v>
      </c>
      <c r="AB327" s="377">
        <f>IPMT('Assumptions (NG Midstream)'!$B$72,Model!Y$1,'Assumptions (NG Midstream)'!$B$75,Model!$Z$249)</f>
        <v>-0.11270444980032025</v>
      </c>
      <c r="AC327" s="377">
        <f>IPMT('Assumptions (NG Midstream)'!$B$72,Model!Z$1,'Assumptions (NG Midstream)'!$B$75,Model!$Z$249)</f>
        <v>-0.10728740100522624</v>
      </c>
      <c r="AD327" s="377">
        <f>IPMT('Assumptions (NG Midstream)'!$B$72,Model!AA$1,'Assumptions (NG Midstream)'!$B$75,Model!$Z$249)</f>
        <v>-0.10146407355050015</v>
      </c>
      <c r="AE327" s="377">
        <f>IPMT('Assumptions (NG Midstream)'!$B$72,Model!AB$1,'Assumptions (NG Midstream)'!$B$75,Model!$Z$249)</f>
        <v>-9.5203996536669611E-2</v>
      </c>
      <c r="AF327" s="377">
        <f>IPMT('Assumptions (NG Midstream)'!$B$72,Model!AC$1,'Assumptions (NG Midstream)'!$B$75,Model!$Z$249)</f>
        <v>-8.8474413746801789E-2</v>
      </c>
      <c r="AG327" s="377">
        <f>IPMT('Assumptions (NG Midstream)'!$B$72,Model!AD$1,'Assumptions (NG Midstream)'!$B$75,Model!$Z$249)</f>
        <v>-8.1240112247693869E-2</v>
      </c>
      <c r="AH327" s="377">
        <f>IPMT('Assumptions (NG Midstream)'!$B$72,Model!AE$1,'Assumptions (NG Midstream)'!$B$75,Model!$Z$249)</f>
        <v>-7.3463238136152853E-2</v>
      </c>
      <c r="AI327" s="377">
        <f>IPMT('Assumptions (NG Midstream)'!$B$72,Model!AF$1,'Assumptions (NG Midstream)'!$B$75,Model!$Z$249)</f>
        <v>-6.5103098466246276E-2</v>
      </c>
      <c r="AJ327" s="377">
        <f>IPMT('Assumptions (NG Midstream)'!$B$72,Model!AG$1,'Assumptions (NG Midstream)'!$B$75,Model!$Z$249)</f>
        <v>-5.6115948321096697E-2</v>
      </c>
      <c r="AK327" s="377">
        <f>IPMT('Assumptions (NG Midstream)'!$B$72,Model!AH$1,'Assumptions (NG Midstream)'!$B$75,Model!$Z$249)</f>
        <v>-4.6454761915060906E-2</v>
      </c>
      <c r="AL327" s="377">
        <f>IPMT('Assumptions (NG Midstream)'!$B$72,Model!AI$1,'Assumptions (NG Midstream)'!$B$75,Model!$Z$249)</f>
        <v>-3.6068986528572419E-2</v>
      </c>
      <c r="AM327" s="377">
        <f>IPMT('Assumptions (NG Midstream)'!$B$72,Model!AJ$1,'Assumptions (NG Midstream)'!$B$75,Model!$Z$249)</f>
        <v>-2.4904277988097304E-2</v>
      </c>
      <c r="AN327" s="377">
        <f>IPMT('Assumptions (NG Midstream)'!$B$72,Model!AK$1,'Assumptions (NG Midstream)'!$B$75,Model!$Z$249)</f>
        <v>-1.2902216307086557E-2</v>
      </c>
      <c r="AO327" s="377" t="e">
        <f>IPMT('Assumptions (NG Midstream)'!$B$72,Model!AL$1,'Assumptions (NG Midstream)'!$B$75,Model!$Z$249)</f>
        <v>#NUM!</v>
      </c>
      <c r="AP327" s="377" t="e">
        <f>IPMT('Assumptions (NG Midstream)'!$B$72,Model!AM$1,'Assumptions (NG Midstream)'!$B$75,Model!$Z$249)</f>
        <v>#NUM!</v>
      </c>
      <c r="AQ327" s="377" t="e">
        <f>IPMT('Assumptions (NG Midstream)'!$B$72,Model!AN$1,'Assumptions (NG Midstream)'!$B$75,Model!$Z$249)</f>
        <v>#NUM!</v>
      </c>
      <c r="AR327" s="377" t="e">
        <f>IPMT('Assumptions (NG Midstream)'!$B$72,Model!AO$1,'Assumptions (NG Midstream)'!$B$75,Model!$Z$249)</f>
        <v>#NUM!</v>
      </c>
      <c r="AS327" s="377" t="e">
        <f>IPMT('Assumptions (NG Midstream)'!$B$72,Model!AP$1,'Assumptions (NG Midstream)'!$B$75,Model!$Z$249)</f>
        <v>#NUM!</v>
      </c>
      <c r="AT327" s="377" t="e">
        <f>IPMT('Assumptions (NG Midstream)'!$B$72,Model!AQ$1,'Assumptions (NG Midstream)'!$B$75,Model!$Z$249)</f>
        <v>#NUM!</v>
      </c>
      <c r="AU327" s="377" t="e">
        <f>IPMT('Assumptions (NG Midstream)'!$B$72,Model!AR$1,'Assumptions (NG Midstream)'!$B$75,Model!$Z$249)</f>
        <v>#NUM!</v>
      </c>
      <c r="AV327" s="377" t="e">
        <f>IPMT('Assumptions (NG Midstream)'!$B$72,Model!AS$1,'Assumptions (NG Midstream)'!$B$75,Model!$Z$249)</f>
        <v>#NUM!</v>
      </c>
      <c r="AW327" s="377" t="e">
        <f>IPMT('Assumptions (NG Midstream)'!$B$72,Model!AT$1,'Assumptions (NG Midstream)'!$B$75,Model!$Z$249)</f>
        <v>#NUM!</v>
      </c>
      <c r="AX327" s="377" t="e">
        <f>IPMT('Assumptions (NG Midstream)'!$B$72,Model!AU$1,'Assumptions (NG Midstream)'!$B$75,Model!$Z$249)</f>
        <v>#NUM!</v>
      </c>
    </row>
    <row r="328" spans="1:59" ht="15.75" hidden="1" customHeight="1" outlineLevel="1">
      <c r="A328" s="365"/>
      <c r="B328" s="99"/>
      <c r="C328" s="377"/>
      <c r="D328" s="377"/>
      <c r="E328" s="377"/>
      <c r="F328" s="377"/>
      <c r="G328" s="377"/>
      <c r="H328" s="377"/>
      <c r="I328" s="377"/>
      <c r="J328" s="377"/>
      <c r="K328" s="377"/>
      <c r="L328" s="377"/>
      <c r="M328" s="377"/>
      <c r="N328" s="377"/>
      <c r="O328" s="377"/>
      <c r="P328" s="377"/>
      <c r="Q328" s="377"/>
      <c r="R328" s="377"/>
      <c r="S328" s="42"/>
      <c r="T328" s="42"/>
      <c r="U328" s="42"/>
      <c r="V328" s="42"/>
      <c r="W328" s="86"/>
      <c r="AA328" s="377">
        <f>IPMT('Assumptions (NG Midstream)'!$B$72,Model!W$1,'Assumptions (NG Midstream)'!$B$75,Model!$AA$249)</f>
        <v>-0.123144801253406</v>
      </c>
      <c r="AB328" s="377">
        <f>IPMT('Assumptions (NG Midstream)'!$B$72,Model!X$1,'Assumptions (NG Midstream)'!$B$75,Model!$AA$249)</f>
        <v>-0.11842992715434153</v>
      </c>
      <c r="AC328" s="377">
        <f>IPMT('Assumptions (NG Midstream)'!$B$72,Model!Y$1,'Assumptions (NG Midstream)'!$B$75,Model!$AA$249)</f>
        <v>-0.11336143749784724</v>
      </c>
      <c r="AD328" s="377">
        <f>IPMT('Assumptions (NG Midstream)'!$B$72,Model!Z$1,'Assumptions (NG Midstream)'!$B$75,Model!$AA$249)</f>
        <v>-0.10791281111711586</v>
      </c>
      <c r="AE328" s="377">
        <f>IPMT('Assumptions (NG Midstream)'!$B$72,Model!AA$1,'Assumptions (NG Midstream)'!$B$75,Model!$AA$249)</f>
        <v>-0.10205553775782962</v>
      </c>
      <c r="AF328" s="377">
        <f>IPMT('Assumptions (NG Midstream)'!$B$72,Model!AB$1,'Assumptions (NG Midstream)'!$B$75,Model!$AA$249)</f>
        <v>-9.5758968896596922E-2</v>
      </c>
      <c r="AG328" s="377">
        <f>IPMT('Assumptions (NG Midstream)'!$B$72,Model!AC$1,'Assumptions (NG Midstream)'!$B$75,Model!$AA$249)</f>
        <v>-8.8990157370771775E-2</v>
      </c>
      <c r="AH328" s="377">
        <f>IPMT('Assumptions (NG Midstream)'!$B$72,Model!AD$1,'Assumptions (NG Midstream)'!$B$75,Model!$AA$249)</f>
        <v>-8.1713684980509724E-2</v>
      </c>
      <c r="AI328" s="377">
        <f>IPMT('Assumptions (NG Midstream)'!$B$72,Model!AE$1,'Assumptions (NG Midstream)'!$B$75,Model!$AA$249)</f>
        <v>-7.3891477160978034E-2</v>
      </c>
      <c r="AJ328" s="377">
        <f>IPMT('Assumptions (NG Midstream)'!$B$72,Model!AF$1,'Assumptions (NG Midstream)'!$B$75,Model!$AA$249)</f>
        <v>-6.5482603754981467E-2</v>
      </c>
      <c r="AK328" s="377">
        <f>IPMT('Assumptions (NG Midstream)'!$B$72,Model!AG$1,'Assumptions (NG Midstream)'!$B$75,Model!$AA$249)</f>
        <v>-5.6443064843535153E-2</v>
      </c>
      <c r="AL328" s="377">
        <f>IPMT('Assumptions (NG Midstream)'!$B$72,Model!AH$1,'Assumptions (NG Midstream)'!$B$75,Model!$AA$249)</f>
        <v>-4.672556051373037E-2</v>
      </c>
      <c r="AM328" s="377">
        <f>IPMT('Assumptions (NG Midstream)'!$B$72,Model!AI$1,'Assumptions (NG Midstream)'!$B$75,Model!$AA$249)</f>
        <v>-3.6279243359190215E-2</v>
      </c>
      <c r="AN328" s="377">
        <f>IPMT('Assumptions (NG Midstream)'!$B$72,Model!AJ$1,'Assumptions (NG Midstream)'!$B$75,Model!$AA$249)</f>
        <v>-2.5049452418059569E-2</v>
      </c>
      <c r="AO328" s="377">
        <f>IPMT('Assumptions (NG Midstream)'!$B$72,Model!AK$1,'Assumptions (NG Midstream)'!$B$75,Model!$AA$249)</f>
        <v>-1.2977427156344114E-2</v>
      </c>
      <c r="AP328" s="377" t="e">
        <f>IPMT('Assumptions (NG Midstream)'!$B$72,Model!AL$1,'Assumptions (NG Midstream)'!$B$75,Model!$AA$249)</f>
        <v>#NUM!</v>
      </c>
      <c r="AQ328" s="377" t="e">
        <f>IPMT('Assumptions (NG Midstream)'!$B$72,Model!AM$1,'Assumptions (NG Midstream)'!$B$75,Model!$AA$249)</f>
        <v>#NUM!</v>
      </c>
      <c r="AR328" s="377" t="e">
        <f>IPMT('Assumptions (NG Midstream)'!$B$72,Model!AN$1,'Assumptions (NG Midstream)'!$B$75,Model!$AA$249)</f>
        <v>#NUM!</v>
      </c>
      <c r="AS328" s="377" t="e">
        <f>IPMT('Assumptions (NG Midstream)'!$B$72,Model!AO$1,'Assumptions (NG Midstream)'!$B$75,Model!$AA$249)</f>
        <v>#NUM!</v>
      </c>
      <c r="AT328" s="377" t="e">
        <f>IPMT('Assumptions (NG Midstream)'!$B$72,Model!AP$1,'Assumptions (NG Midstream)'!$B$75,Model!$AA$249)</f>
        <v>#NUM!</v>
      </c>
      <c r="AU328" s="377" t="e">
        <f>IPMT('Assumptions (NG Midstream)'!$B$72,Model!AQ$1,'Assumptions (NG Midstream)'!$B$75,Model!$AA$249)</f>
        <v>#NUM!</v>
      </c>
      <c r="AV328" s="377" t="e">
        <f>IPMT('Assumptions (NG Midstream)'!$B$72,Model!AR$1,'Assumptions (NG Midstream)'!$B$75,Model!$AA$249)</f>
        <v>#NUM!</v>
      </c>
      <c r="AW328" s="377" t="e">
        <f>IPMT('Assumptions (NG Midstream)'!$B$72,Model!AS$1,'Assumptions (NG Midstream)'!$B$75,Model!$AA$249)</f>
        <v>#NUM!</v>
      </c>
      <c r="AX328" s="377" t="e">
        <f>IPMT('Assumptions (NG Midstream)'!$B$72,Model!AT$1,'Assumptions (NG Midstream)'!$B$75,Model!$AA$249)</f>
        <v>#NUM!</v>
      </c>
      <c r="AY328" s="377" t="e">
        <f>IPMT('Assumptions (NG Midstream)'!$B$72,Model!AU$1,'Assumptions (NG Midstream)'!$B$75,Model!$AA$249)</f>
        <v>#NUM!</v>
      </c>
    </row>
    <row r="329" spans="1:59" ht="15.75" hidden="1" customHeight="1" outlineLevel="1">
      <c r="A329" s="365"/>
      <c r="B329" s="99"/>
      <c r="C329" s="377"/>
      <c r="D329" s="377"/>
      <c r="E329" s="377"/>
      <c r="F329" s="377"/>
      <c r="G329" s="377"/>
      <c r="H329" s="377"/>
      <c r="I329" s="377"/>
      <c r="J329" s="377"/>
      <c r="K329" s="377"/>
      <c r="L329" s="377"/>
      <c r="M329" s="377"/>
      <c r="N329" s="377"/>
      <c r="O329" s="377"/>
      <c r="P329" s="377"/>
      <c r="Q329" s="377"/>
      <c r="R329" s="377"/>
      <c r="S329" s="42"/>
      <c r="T329" s="42"/>
      <c r="U329" s="42"/>
      <c r="V329" s="42"/>
      <c r="W329" s="86"/>
      <c r="AB329" s="377">
        <f>IPMT('Assumptions (NG Midstream)'!$B$72,Model!W$1,'Assumptions (NG Midstream)'!$B$75,Model!$AB$249)</f>
        <v>-0.11613868918875023</v>
      </c>
      <c r="AC329" s="377">
        <f>IPMT('Assumptions (NG Midstream)'!$B$72,Model!X$1,'Assumptions (NG Midstream)'!$B$75,Model!$AB$249)</f>
        <v>-0.11169205975752858</v>
      </c>
      <c r="AD329" s="377">
        <f>IPMT('Assumptions (NG Midstream)'!$B$72,Model!Y$1,'Assumptions (NG Midstream)'!$B$75,Model!$AB$249)</f>
        <v>-0.10691193311896528</v>
      </c>
      <c r="AE329" s="377">
        <f>IPMT('Assumptions (NG Midstream)'!$B$72,Model!Z$1,'Assumptions (NG Midstream)'!$B$75,Model!$AB$249)</f>
        <v>-0.10177329698250977</v>
      </c>
      <c r="AF329" s="377">
        <f>IPMT('Assumptions (NG Midstream)'!$B$72,Model!AA$1,'Assumptions (NG Midstream)'!$B$75,Model!$AB$249)</f>
        <v>-9.6249263135820051E-2</v>
      </c>
      <c r="AG329" s="377">
        <f>IPMT('Assumptions (NG Midstream)'!$B$72,Model!AB$1,'Assumptions (NG Midstream)'!$B$75,Model!$AB$249)</f>
        <v>-9.0310926750628628E-2</v>
      </c>
      <c r="AH329" s="377">
        <f>IPMT('Assumptions (NG Midstream)'!$B$72,Model!AC$1,'Assumptions (NG Midstream)'!$B$75,Model!$AB$249)</f>
        <v>-8.3927215136547856E-2</v>
      </c>
      <c r="AI329" s="377">
        <f>IPMT('Assumptions (NG Midstream)'!$B$72,Model!AD$1,'Assumptions (NG Midstream)'!$B$75,Model!$AB$249)</f>
        <v>-7.7064725151410995E-2</v>
      </c>
      <c r="AJ329" s="377">
        <f>IPMT('Assumptions (NG Midstream)'!$B$72,Model!AE$1,'Assumptions (NG Midstream)'!$B$75,Model!$AB$249)</f>
        <v>-6.9687548417388903E-2</v>
      </c>
      <c r="AK329" s="377">
        <f>IPMT('Assumptions (NG Midstream)'!$B$72,Model!AF$1,'Assumptions (NG Midstream)'!$B$75,Model!$AB$249)</f>
        <v>-6.1757083428315138E-2</v>
      </c>
      <c r="AL329" s="377">
        <f>IPMT('Assumptions (NG Midstream)'!$B$72,Model!AG$1,'Assumptions (NG Midstream)'!$B$75,Model!$AB$249)</f>
        <v>-5.3231833565060838E-2</v>
      </c>
      <c r="AM329" s="377">
        <f>IPMT('Assumptions (NG Midstream)'!$B$72,Model!AH$1,'Assumptions (NG Midstream)'!$B$75,Model!$AB$249)</f>
        <v>-4.4067189962062478E-2</v>
      </c>
      <c r="AN329" s="377">
        <f>IPMT('Assumptions (NG Midstream)'!$B$72,Model!AI$1,'Assumptions (NG Midstream)'!$B$75,Model!$AB$249)</f>
        <v>-3.4215198088839223E-2</v>
      </c>
      <c r="AO329" s="377">
        <f>IPMT('Assumptions (NG Midstream)'!$B$72,Model!AJ$1,'Assumptions (NG Midstream)'!$B$75,Model!$AB$249)</f>
        <v>-2.3624306825124241E-2</v>
      </c>
      <c r="AP329" s="377">
        <f>IPMT('Assumptions (NG Midstream)'!$B$72,Model!AK$1,'Assumptions (NG Midstream)'!$B$75,Model!$AB$249)</f>
        <v>-1.2239098716630632E-2</v>
      </c>
      <c r="AQ329" s="377" t="e">
        <f>IPMT('Assumptions (NG Midstream)'!$B$72,Model!AL$1,'Assumptions (NG Midstream)'!$B$75,Model!$AB$249)</f>
        <v>#NUM!</v>
      </c>
      <c r="AR329" s="377" t="e">
        <f>IPMT('Assumptions (NG Midstream)'!$B$72,Model!AM$1,'Assumptions (NG Midstream)'!$B$75,Model!$AB$249)</f>
        <v>#NUM!</v>
      </c>
      <c r="AS329" s="377" t="e">
        <f>IPMT('Assumptions (NG Midstream)'!$B$72,Model!AN$1,'Assumptions (NG Midstream)'!$B$75,Model!$AB$249)</f>
        <v>#NUM!</v>
      </c>
      <c r="AT329" s="377" t="e">
        <f>IPMT('Assumptions (NG Midstream)'!$B$72,Model!AO$1,'Assumptions (NG Midstream)'!$B$75,Model!$AB$249)</f>
        <v>#NUM!</v>
      </c>
      <c r="AU329" s="377" t="e">
        <f>IPMT('Assumptions (NG Midstream)'!$B$72,Model!AP$1,'Assumptions (NG Midstream)'!$B$75,Model!$AB$249)</f>
        <v>#NUM!</v>
      </c>
      <c r="AV329" s="377" t="e">
        <f>IPMT('Assumptions (NG Midstream)'!$B$72,Model!AQ$1,'Assumptions (NG Midstream)'!$B$75,Model!$AB$249)</f>
        <v>#NUM!</v>
      </c>
      <c r="AW329" s="377" t="e">
        <f>IPMT('Assumptions (NG Midstream)'!$B$72,Model!AR$1,'Assumptions (NG Midstream)'!$B$75,Model!$AB$249)</f>
        <v>#NUM!</v>
      </c>
      <c r="AX329" s="377" t="e">
        <f>IPMT('Assumptions (NG Midstream)'!$B$72,Model!AS$1,'Assumptions (NG Midstream)'!$B$75,Model!$AB$249)</f>
        <v>#NUM!</v>
      </c>
      <c r="AY329" s="377" t="e">
        <f>IPMT('Assumptions (NG Midstream)'!$B$72,Model!AT$1,'Assumptions (NG Midstream)'!$B$75,Model!$AB$249)</f>
        <v>#NUM!</v>
      </c>
      <c r="AZ329" s="377" t="e">
        <f>IPMT('Assumptions (NG Midstream)'!$B$72,Model!AU$1,'Assumptions (NG Midstream)'!$B$75,Model!$AB$249)</f>
        <v>#NUM!</v>
      </c>
    </row>
    <row r="330" spans="1:59" ht="15.75" hidden="1" customHeight="1" outlineLevel="1">
      <c r="A330" s="365"/>
      <c r="B330" s="99"/>
      <c r="C330" s="377"/>
      <c r="D330" s="377"/>
      <c r="E330" s="377"/>
      <c r="F330" s="377"/>
      <c r="G330" s="377"/>
      <c r="H330" s="377"/>
      <c r="I330" s="377"/>
      <c r="J330" s="377"/>
      <c r="K330" s="377"/>
      <c r="L330" s="377"/>
      <c r="M330" s="377"/>
      <c r="N330" s="377"/>
      <c r="O330" s="377"/>
      <c r="P330" s="377"/>
      <c r="Q330" s="377"/>
      <c r="R330" s="377"/>
      <c r="S330" s="42"/>
      <c r="T330" s="42"/>
      <c r="U330" s="42"/>
      <c r="V330" s="42"/>
      <c r="W330" s="86"/>
      <c r="AC330" s="377">
        <f>IPMT('Assumptions (NG Midstream)'!$B$72,Model!W$1,'Assumptions (NG Midstream)'!$B$75,Model!$AC$249)</f>
        <v>-9.7703506614397292E-2</v>
      </c>
      <c r="AD330" s="377">
        <f>IPMT('Assumptions (NG Midstream)'!$B$72,Model!X$1,'Assumptions (NG Midstream)'!$B$75,Model!$AC$249)</f>
        <v>-9.3962709373789019E-2</v>
      </c>
      <c r="AE330" s="377">
        <f>IPMT('Assumptions (NG Midstream)'!$B$72,Model!Y$1,'Assumptions (NG Midstream)'!$B$75,Model!$AC$249)</f>
        <v>-8.9941352340135131E-2</v>
      </c>
      <c r="AF330" s="377">
        <f>IPMT('Assumptions (NG Midstream)'!$B$72,Model!Z$1,'Assumptions (NG Midstream)'!$B$75,Model!$AC$249)</f>
        <v>-8.5618393528957185E-2</v>
      </c>
      <c r="AG330" s="377">
        <f>IPMT('Assumptions (NG Midstream)'!$B$72,Model!AA$1,'Assumptions (NG Midstream)'!$B$75,Model!$AC$249)</f>
        <v>-8.0971212806940904E-2</v>
      </c>
      <c r="AH330" s="377">
        <f>IPMT('Assumptions (NG Midstream)'!$B$72,Model!AB$1,'Assumptions (NG Midstream)'!$B$75,Model!$AC$249)</f>
        <v>-7.5975493530773389E-2</v>
      </c>
      <c r="AI330" s="377">
        <f>IPMT('Assumptions (NG Midstream)'!$B$72,Model!AC$1,'Assumptions (NG Midstream)'!$B$75,Model!$AC$249)</f>
        <v>-7.0605095308893306E-2</v>
      </c>
      <c r="AJ330" s="377">
        <f>IPMT('Assumptions (NG Midstream)'!$B$72,Model!AD$1,'Assumptions (NG Midstream)'!$B$75,Model!$AC$249)</f>
        <v>-6.4831917220372223E-2</v>
      </c>
      <c r="AK330" s="377">
        <f>IPMT('Assumptions (NG Midstream)'!$B$72,Model!AE$1,'Assumptions (NG Midstream)'!$B$75,Model!$AC$249)</f>
        <v>-5.8625750775212065E-2</v>
      </c>
      <c r="AL330" s="377">
        <f>IPMT('Assumptions (NG Midstream)'!$B$72,Model!AF$1,'Assumptions (NG Midstream)'!$B$75,Model!$AC$249)</f>
        <v>-5.1954121846664897E-2</v>
      </c>
      <c r="AM330" s="377">
        <f>IPMT('Assumptions (NG Midstream)'!$B$72,Model!AG$1,'Assumptions (NG Midstream)'!$B$75,Model!$AC$249)</f>
        <v>-4.4782120748476692E-2</v>
      </c>
      <c r="AN330" s="377">
        <f>IPMT('Assumptions (NG Midstream)'!$B$72,Model!AH$1,'Assumptions (NG Midstream)'!$B$75,Model!$AC$249)</f>
        <v>-3.7072219567924378E-2</v>
      </c>
      <c r="AO330" s="377">
        <f>IPMT('Assumptions (NG Midstream)'!$B$72,Model!AI$1,'Assumptions (NG Midstream)'!$B$75,Model!$AC$249)</f>
        <v>-2.8784075798830622E-2</v>
      </c>
      <c r="AP330" s="377">
        <f>IPMT('Assumptions (NG Midstream)'!$B$72,Model!AJ$1,'Assumptions (NG Midstream)'!$B$75,Model!$AC$249)</f>
        <v>-1.9874321247054846E-2</v>
      </c>
      <c r="AQ330" s="377">
        <f>IPMT('Assumptions (NG Midstream)'!$B$72,Model!AK$1,'Assumptions (NG Midstream)'!$B$75,Model!$AC$249)</f>
        <v>-1.0296335103895885E-2</v>
      </c>
      <c r="AR330" s="377" t="e">
        <f>IPMT('Assumptions (NG Midstream)'!$B$72,Model!AL$1,'Assumptions (NG Midstream)'!$B$75,Model!$AC$249)</f>
        <v>#NUM!</v>
      </c>
      <c r="AS330" s="377" t="e">
        <f>IPMT('Assumptions (NG Midstream)'!$B$72,Model!AM$1,'Assumptions (NG Midstream)'!$B$75,Model!$AC$249)</f>
        <v>#NUM!</v>
      </c>
      <c r="AT330" s="377" t="e">
        <f>IPMT('Assumptions (NG Midstream)'!$B$72,Model!AN$1,'Assumptions (NG Midstream)'!$B$75,Model!$AC$249)</f>
        <v>#NUM!</v>
      </c>
      <c r="AU330" s="377" t="e">
        <f>IPMT('Assumptions (NG Midstream)'!$B$72,Model!AO$1,'Assumptions (NG Midstream)'!$B$75,Model!$AC$249)</f>
        <v>#NUM!</v>
      </c>
      <c r="AV330" s="377" t="e">
        <f>IPMT('Assumptions (NG Midstream)'!$B$72,Model!AP$1,'Assumptions (NG Midstream)'!$B$75,Model!$AC$249)</f>
        <v>#NUM!</v>
      </c>
      <c r="AW330" s="377" t="e">
        <f>IPMT('Assumptions (NG Midstream)'!$B$72,Model!AQ$1,'Assumptions (NG Midstream)'!$B$75,Model!$AC$249)</f>
        <v>#NUM!</v>
      </c>
      <c r="AX330" s="377" t="e">
        <f>IPMT('Assumptions (NG Midstream)'!$B$72,Model!AR$1,'Assumptions (NG Midstream)'!$B$75,Model!$AC$249)</f>
        <v>#NUM!</v>
      </c>
      <c r="AY330" s="377" t="e">
        <f>IPMT('Assumptions (NG Midstream)'!$B$72,Model!AS$1,'Assumptions (NG Midstream)'!$B$75,Model!$AC$249)</f>
        <v>#NUM!</v>
      </c>
      <c r="AZ330" s="377" t="e">
        <f>IPMT('Assumptions (NG Midstream)'!$B$72,Model!AT$1,'Assumptions (NG Midstream)'!$B$75,Model!$AC$249)</f>
        <v>#NUM!</v>
      </c>
      <c r="BA330" s="377" t="e">
        <f>IPMT('Assumptions (NG Midstream)'!$B$72,Model!AU$1,'Assumptions (NG Midstream)'!$B$75,Model!$AC$249)</f>
        <v>#NUM!</v>
      </c>
    </row>
    <row r="331" spans="1:59" ht="15.75" hidden="1" customHeight="1" outlineLevel="1">
      <c r="A331" s="365"/>
      <c r="B331" s="99"/>
      <c r="C331" s="377"/>
      <c r="D331" s="377"/>
      <c r="E331" s="377"/>
      <c r="F331" s="377"/>
      <c r="G331" s="377"/>
      <c r="H331" s="377"/>
      <c r="I331" s="377"/>
      <c r="J331" s="377"/>
      <c r="K331" s="377"/>
      <c r="L331" s="377"/>
      <c r="M331" s="377"/>
      <c r="N331" s="377"/>
      <c r="O331" s="377"/>
      <c r="P331" s="377"/>
      <c r="Q331" s="377"/>
      <c r="R331" s="377"/>
      <c r="S331" s="42"/>
      <c r="T331" s="42"/>
      <c r="U331" s="42"/>
      <c r="V331" s="42"/>
      <c r="W331" s="86"/>
      <c r="AD331" s="377">
        <f>IPMT('Assumptions (NG Midstream)'!$B$72,Model!W$1,'Assumptions (NG Midstream)'!$B$75,Model!$AD$249)</f>
        <v>-9.3236855885453787E-2</v>
      </c>
      <c r="AE331" s="377">
        <f>IPMT('Assumptions (NG Midstream)'!$B$72,Model!X$1,'Assumptions (NG Midstream)'!$B$75,Model!$AD$249)</f>
        <v>-8.9667074356569523E-2</v>
      </c>
      <c r="AF331" s="377">
        <f>IPMT('Assumptions (NG Midstream)'!$B$72,Model!Y$1,'Assumptions (NG Midstream)'!$B$75,Model!$AD$249)</f>
        <v>-8.5829559213018936E-2</v>
      </c>
      <c r="AG331" s="377">
        <f>IPMT('Assumptions (NG Midstream)'!$B$72,Model!Z$1,'Assumptions (NG Midstream)'!$B$75,Model!$AD$249)</f>
        <v>-8.1704230433702049E-2</v>
      </c>
      <c r="AH331" s="377">
        <f>IPMT('Assumptions (NG Midstream)'!$B$72,Model!AA$1,'Assumptions (NG Midstream)'!$B$75,Model!$AD$249)</f>
        <v>-7.7269501995936407E-2</v>
      </c>
      <c r="AI331" s="377">
        <f>IPMT('Assumptions (NG Midstream)'!$B$72,Model!AB$1,'Assumptions (NG Midstream)'!$B$75,Model!$AD$249)</f>
        <v>-7.2502168925338339E-2</v>
      </c>
      <c r="AJ331" s="377">
        <f>IPMT('Assumptions (NG Midstream)'!$B$72,Model!AC$1,'Assumptions (NG Midstream)'!$B$75,Model!$AD$249)</f>
        <v>-6.7377285874445414E-2</v>
      </c>
      <c r="AK331" s="377">
        <f>IPMT('Assumptions (NG Midstream)'!$B$72,Model!AD$1,'Assumptions (NG Midstream)'!$B$75,Model!$AD$249)</f>
        <v>-6.1868036594735512E-2</v>
      </c>
      <c r="AL331" s="377">
        <f>IPMT('Assumptions (NG Midstream)'!$B$72,Model!AE$1,'Assumptions (NG Midstream)'!$B$75,Model!$AD$249)</f>
        <v>-5.5945593619047378E-2</v>
      </c>
      <c r="AM331" s="377">
        <f>IPMT('Assumptions (NG Midstream)'!$B$72,Model!AF$1,'Assumptions (NG Midstream)'!$B$75,Model!$AD$249)</f>
        <v>-4.9578967420182626E-2</v>
      </c>
      <c r="AN331" s="377">
        <f>IPMT('Assumptions (NG Midstream)'!$B$72,Model!AG$1,'Assumptions (NG Midstream)'!$B$75,Model!$AD$249)</f>
        <v>-4.2734844256403025E-2</v>
      </c>
      <c r="AO331" s="377">
        <f>IPMT('Assumptions (NG Midstream)'!$B$72,Model!AH$1,'Assumptions (NG Midstream)'!$B$75,Model!$AD$249)</f>
        <v>-3.5377411855339956E-2</v>
      </c>
      <c r="AP331" s="377">
        <f>IPMT('Assumptions (NG Midstream)'!$B$72,Model!AI$1,'Assumptions (NG Midstream)'!$B$75,Model!$AD$249)</f>
        <v>-2.7468172024197147E-2</v>
      </c>
      <c r="AQ331" s="377">
        <f>IPMT('Assumptions (NG Midstream)'!$B$72,Model!AJ$1,'Assumptions (NG Midstream)'!$B$75,Model!$AD$249)</f>
        <v>-1.8965739205718635E-2</v>
      </c>
      <c r="AR331" s="377">
        <f>IPMT('Assumptions (NG Midstream)'!$B$72,Model!AK$1,'Assumptions (NG Midstream)'!$B$75,Model!$AD$249)</f>
        <v>-9.8256239258542339E-3</v>
      </c>
      <c r="AS331" s="377" t="e">
        <f>IPMT('Assumptions (NG Midstream)'!$B$72,Model!AL$1,'Assumptions (NG Midstream)'!$B$75,Model!$AD$249)</f>
        <v>#NUM!</v>
      </c>
      <c r="AT331" s="377" t="e">
        <f>IPMT('Assumptions (NG Midstream)'!$B$72,Model!AM$1,'Assumptions (NG Midstream)'!$B$75,Model!$AD$249)</f>
        <v>#NUM!</v>
      </c>
      <c r="AU331" s="377" t="e">
        <f>IPMT('Assumptions (NG Midstream)'!$B$72,Model!AN$1,'Assumptions (NG Midstream)'!$B$75,Model!$AD$249)</f>
        <v>#NUM!</v>
      </c>
      <c r="AV331" s="377" t="e">
        <f>IPMT('Assumptions (NG Midstream)'!$B$72,Model!AO$1,'Assumptions (NG Midstream)'!$B$75,Model!$AD$249)</f>
        <v>#NUM!</v>
      </c>
      <c r="AW331" s="377" t="e">
        <f>IPMT('Assumptions (NG Midstream)'!$B$72,Model!AP$1,'Assumptions (NG Midstream)'!$B$75,Model!$AD$249)</f>
        <v>#NUM!</v>
      </c>
      <c r="AX331" s="377" t="e">
        <f>IPMT('Assumptions (NG Midstream)'!$B$72,Model!AQ$1,'Assumptions (NG Midstream)'!$B$75,Model!$AD$249)</f>
        <v>#NUM!</v>
      </c>
      <c r="AY331" s="377" t="e">
        <f>IPMT('Assumptions (NG Midstream)'!$B$72,Model!AR$1,'Assumptions (NG Midstream)'!$B$75,Model!$AD$249)</f>
        <v>#NUM!</v>
      </c>
      <c r="AZ331" s="377" t="e">
        <f>IPMT('Assumptions (NG Midstream)'!$B$72,Model!AS$1,'Assumptions (NG Midstream)'!$B$75,Model!$AD$249)</f>
        <v>#NUM!</v>
      </c>
      <c r="BA331" s="377" t="e">
        <f>IPMT('Assumptions (NG Midstream)'!$B$72,Model!AT$1,'Assumptions (NG Midstream)'!$B$75,Model!$AD$249)</f>
        <v>#NUM!</v>
      </c>
      <c r="BB331" s="377" t="e">
        <f>IPMT('Assumptions (NG Midstream)'!$B$72,Model!AU$1,'Assumptions (NG Midstream)'!$B$75,Model!$AD$249)</f>
        <v>#NUM!</v>
      </c>
    </row>
    <row r="332" spans="1:59" ht="15.75" hidden="1" customHeight="1" outlineLevel="1">
      <c r="A332" s="365"/>
      <c r="B332" s="99"/>
      <c r="C332" s="377"/>
      <c r="D332" s="377"/>
      <c r="E332" s="377"/>
      <c r="F332" s="377"/>
      <c r="G332" s="377"/>
      <c r="H332" s="377"/>
      <c r="I332" s="377"/>
      <c r="J332" s="377"/>
      <c r="K332" s="377"/>
      <c r="L332" s="377"/>
      <c r="M332" s="377"/>
      <c r="N332" s="377"/>
      <c r="O332" s="377"/>
      <c r="P332" s="377"/>
      <c r="Q332" s="377"/>
      <c r="R332" s="377"/>
      <c r="S332" s="42"/>
      <c r="T332" s="42"/>
      <c r="U332" s="42"/>
      <c r="V332" s="42"/>
      <c r="W332" s="86"/>
      <c r="AE332" s="377">
        <f>IPMT('Assumptions (NG Midstream)'!$B$72,Model!W$1,'Assumptions (NG Midstream)'!$B$75,Model!$AE$249)</f>
        <v>-7.9311728920913746E-2</v>
      </c>
      <c r="AF332" s="377">
        <f>IPMT('Assumptions (NG Midstream)'!$B$72,Model!X$1,'Assumptions (NG Midstream)'!$B$75,Model!$AE$249)</f>
        <v>-7.6275102017990412E-2</v>
      </c>
      <c r="AG332" s="377">
        <f>IPMT('Assumptions (NG Midstream)'!$B$72,Model!Y$1,'Assumptions (NG Midstream)'!$B$75,Model!$AE$249)</f>
        <v>-7.3010728097347849E-2</v>
      </c>
      <c r="AH332" s="377">
        <f>IPMT('Assumptions (NG Midstream)'!$B$72,Model!Z$1,'Assumptions (NG Midstream)'!$B$75,Model!$AE$249)</f>
        <v>-6.9501526132657074E-2</v>
      </c>
      <c r="AI332" s="377">
        <f>IPMT('Assumptions (NG Midstream)'!$B$72,Model!AA$1,'Assumptions (NG Midstream)'!$B$75,Model!$AE$249)</f>
        <v>-6.5729134020614491E-2</v>
      </c>
      <c r="AJ332" s="377">
        <f>IPMT('Assumptions (NG Midstream)'!$B$72,Model!AB$1,'Assumptions (NG Midstream)'!$B$75,Model!$AE$249)</f>
        <v>-6.167381250016872E-2</v>
      </c>
      <c r="AK332" s="377">
        <f>IPMT('Assumptions (NG Midstream)'!$B$72,Model!AC$1,'Assumptions (NG Midstream)'!$B$75,Model!$AE$249)</f>
        <v>-5.7314341865689532E-2</v>
      </c>
      <c r="AL332" s="377">
        <f>IPMT('Assumptions (NG Midstream)'!$B$72,Model!AD$1,'Assumptions (NG Midstream)'!$B$75,Model!$AE$249)</f>
        <v>-5.2627910933624386E-2</v>
      </c>
      <c r="AM332" s="377">
        <f>IPMT('Assumptions (NG Midstream)'!$B$72,Model!AE$1,'Assumptions (NG Midstream)'!$B$75,Model!$AE$249)</f>
        <v>-4.7589997681654353E-2</v>
      </c>
      <c r="AN332" s="377">
        <f>IPMT('Assumptions (NG Midstream)'!$B$72,Model!AF$1,'Assumptions (NG Midstream)'!$B$75,Model!$AE$249)</f>
        <v>-4.2174240935786575E-2</v>
      </c>
      <c r="AO332" s="377">
        <f>IPMT('Assumptions (NG Midstream)'!$B$72,Model!AG$1,'Assumptions (NG Midstream)'!$B$75,Model!$AE$249)</f>
        <v>-3.6352302433978717E-2</v>
      </c>
      <c r="AP332" s="377">
        <f>IPMT('Assumptions (NG Midstream)'!$B$72,Model!AH$1,'Assumptions (NG Midstream)'!$B$75,Model!$AE$249)</f>
        <v>-3.009371854453527E-2</v>
      </c>
      <c r="AQ332" s="377">
        <f>IPMT('Assumptions (NG Midstream)'!$B$72,Model!AI$1,'Assumptions (NG Midstream)'!$B$75,Model!$AE$249)</f>
        <v>-2.3365740863383548E-2</v>
      </c>
      <c r="AR332" s="377">
        <f>IPMT('Assumptions (NG Midstream)'!$B$72,Model!AJ$1,'Assumptions (NG Midstream)'!$B$75,Model!$AE$249)</f>
        <v>-1.6133164856145462E-2</v>
      </c>
      <c r="AS332" s="377">
        <f>IPMT('Assumptions (NG Midstream)'!$B$72,Model!AK$1,'Assumptions (NG Midstream)'!$B$75,Model!$AE$249)</f>
        <v>-8.3581456483645174E-3</v>
      </c>
      <c r="AT332" s="377" t="e">
        <f>IPMT('Assumptions (NG Midstream)'!$B$72,Model!AL$1,'Assumptions (NG Midstream)'!$B$75,Model!$AE$249)</f>
        <v>#NUM!</v>
      </c>
      <c r="AU332" s="377" t="e">
        <f>IPMT('Assumptions (NG Midstream)'!$B$72,Model!AM$1,'Assumptions (NG Midstream)'!$B$75,Model!$AE$249)</f>
        <v>#NUM!</v>
      </c>
      <c r="AV332" s="377" t="e">
        <f>IPMT('Assumptions (NG Midstream)'!$B$72,Model!AN$1,'Assumptions (NG Midstream)'!$B$75,Model!$AE$249)</f>
        <v>#NUM!</v>
      </c>
      <c r="AW332" s="377" t="e">
        <f>IPMT('Assumptions (NG Midstream)'!$B$72,Model!AO$1,'Assumptions (NG Midstream)'!$B$75,Model!$AE$249)</f>
        <v>#NUM!</v>
      </c>
      <c r="AX332" s="377" t="e">
        <f>IPMT('Assumptions (NG Midstream)'!$B$72,Model!AP$1,'Assumptions (NG Midstream)'!$B$75,Model!$AE$249)</f>
        <v>#NUM!</v>
      </c>
      <c r="AY332" s="377" t="e">
        <f>IPMT('Assumptions (NG Midstream)'!$B$72,Model!AQ$1,'Assumptions (NG Midstream)'!$B$75,Model!$AE$249)</f>
        <v>#NUM!</v>
      </c>
      <c r="AZ332" s="377" t="e">
        <f>IPMT('Assumptions (NG Midstream)'!$B$72,Model!AR$1,'Assumptions (NG Midstream)'!$B$75,Model!$AE$249)</f>
        <v>#NUM!</v>
      </c>
      <c r="BA332" s="377" t="e">
        <f>IPMT('Assumptions (NG Midstream)'!$B$72,Model!AS$1,'Assumptions (NG Midstream)'!$B$75,Model!$AE$249)</f>
        <v>#NUM!</v>
      </c>
      <c r="BB332" s="377" t="e">
        <f>IPMT('Assumptions (NG Midstream)'!$B$72,Model!AT$1,'Assumptions (NG Midstream)'!$B$75,Model!$AE$249)</f>
        <v>#NUM!</v>
      </c>
      <c r="BC332" s="377" t="e">
        <f>IPMT('Assumptions (NG Midstream)'!$B$72,Model!AU$1,'Assumptions (NG Midstream)'!$B$75,Model!$AE$249)</f>
        <v>#NUM!</v>
      </c>
    </row>
    <row r="333" spans="1:59" ht="15.75" hidden="1" customHeight="1" outlineLevel="1">
      <c r="A333" s="365"/>
      <c r="B333" s="99"/>
      <c r="C333" s="377"/>
      <c r="D333" s="377"/>
      <c r="E333" s="377"/>
      <c r="F333" s="377"/>
      <c r="G333" s="377"/>
      <c r="H333" s="377"/>
      <c r="I333" s="377"/>
      <c r="J333" s="377"/>
      <c r="K333" s="377"/>
      <c r="L333" s="377"/>
      <c r="M333" s="377"/>
      <c r="N333" s="377"/>
      <c r="O333" s="377"/>
      <c r="P333" s="377"/>
      <c r="Q333" s="377"/>
      <c r="R333" s="377"/>
      <c r="S333" s="42"/>
      <c r="T333" s="42"/>
      <c r="U333" s="42"/>
      <c r="V333" s="42"/>
      <c r="W333" s="86"/>
      <c r="AF333" s="377">
        <f>IPMT('Assumptions (NG Midstream)'!$B$72,Model!W$1,'Assumptions (NG Midstream)'!$B$75,Model!$AF$249)</f>
        <v>-7.0586203358626184E-2</v>
      </c>
      <c r="AG333" s="377">
        <f>IPMT('Assumptions (NG Midstream)'!$B$72,Model!X$1,'Assumptions (NG Midstream)'!$B$75,Model!$AF$249)</f>
        <v>-6.7883652714348139E-2</v>
      </c>
      <c r="AH333" s="377">
        <f>IPMT('Assumptions (NG Midstream)'!$B$72,Model!Y$1,'Assumptions (NG Midstream)'!$B$75,Model!$AF$249)</f>
        <v>-6.4978410771749234E-2</v>
      </c>
      <c r="AI333" s="377">
        <f>IPMT('Assumptions (NG Midstream)'!$B$72,Model!Z$1,'Assumptions (NG Midstream)'!$B$75,Model!$AF$249)</f>
        <v>-6.1855275683455425E-2</v>
      </c>
      <c r="AJ333" s="377">
        <f>IPMT('Assumptions (NG Midstream)'!$B$72,Model!AA$1,'Assumptions (NG Midstream)'!$B$75,Model!$AF$249)</f>
        <v>-5.8497905463539571E-2</v>
      </c>
      <c r="AK333" s="377">
        <f>IPMT('Assumptions (NG Midstream)'!$B$72,Model!AB$1,'Assumptions (NG Midstream)'!$B$75,Model!$AF$249)</f>
        <v>-5.4888732477130033E-2</v>
      </c>
      <c r="AL333" s="377">
        <f>IPMT('Assumptions (NG Midstream)'!$B$72,Model!AC$1,'Assumptions (NG Midstream)'!$B$75,Model!$AF$249)</f>
        <v>-5.100887151673978E-2</v>
      </c>
      <c r="AM333" s="377">
        <f>IPMT('Assumptions (NG Midstream)'!$B$72,Model!AD$1,'Assumptions (NG Midstream)'!$B$75,Model!$AF$249)</f>
        <v>-4.6838020984320251E-2</v>
      </c>
      <c r="AN333" s="377">
        <f>IPMT('Assumptions (NG Midstream)'!$B$72,Model!AE$1,'Assumptions (NG Midstream)'!$B$75,Model!$AF$249)</f>
        <v>-4.235435666196926E-2</v>
      </c>
      <c r="AO333" s="377">
        <f>IPMT('Assumptions (NG Midstream)'!$B$72,Model!AF$1,'Assumptions (NG Midstream)'!$B$75,Model!$AF$249)</f>
        <v>-3.7534417515441947E-2</v>
      </c>
      <c r="AP333" s="377">
        <f>IPMT('Assumptions (NG Midstream)'!$B$72,Model!AG$1,'Assumptions (NG Midstream)'!$B$75,Model!$AF$249)</f>
        <v>-3.2352982932925087E-2</v>
      </c>
      <c r="AQ333" s="377">
        <f>IPMT('Assumptions (NG Midstream)'!$B$72,Model!AH$1,'Assumptions (NG Midstream)'!$B$75,Model!$AF$249)</f>
        <v>-2.678294075671946E-2</v>
      </c>
      <c r="AR333" s="377">
        <f>IPMT('Assumptions (NG Midstream)'!$B$72,Model!AI$1,'Assumptions (NG Midstream)'!$B$75,Model!$AF$249)</f>
        <v>-2.0795145417298405E-2</v>
      </c>
      <c r="AS333" s="377">
        <f>IPMT('Assumptions (NG Midstream)'!$B$72,Model!AJ$1,'Assumptions (NG Midstream)'!$B$75,Model!$AF$249)</f>
        <v>-1.4358265427420783E-2</v>
      </c>
      <c r="AT333" s="377">
        <f>IPMT('Assumptions (NG Midstream)'!$B$72,Model!AK$1,'Assumptions (NG Midstream)'!$B$75,Model!$AF$249)</f>
        <v>-7.4386194383023324E-3</v>
      </c>
      <c r="AU333" s="377" t="e">
        <f>IPMT('Assumptions (NG Midstream)'!$B$72,Model!AL$1,'Assumptions (NG Midstream)'!$B$75,Model!$AF$249)</f>
        <v>#NUM!</v>
      </c>
      <c r="AV333" s="377" t="e">
        <f>IPMT('Assumptions (NG Midstream)'!$B$72,Model!AM$1,'Assumptions (NG Midstream)'!$B$75,Model!$AF$249)</f>
        <v>#NUM!</v>
      </c>
      <c r="AW333" s="377" t="e">
        <f>IPMT('Assumptions (NG Midstream)'!$B$72,Model!AN$1,'Assumptions (NG Midstream)'!$B$75,Model!$AF$249)</f>
        <v>#NUM!</v>
      </c>
      <c r="AX333" s="377" t="e">
        <f>IPMT('Assumptions (NG Midstream)'!$B$72,Model!AO$1,'Assumptions (NG Midstream)'!$B$75,Model!$AF$249)</f>
        <v>#NUM!</v>
      </c>
      <c r="AY333" s="377" t="e">
        <f>IPMT('Assumptions (NG Midstream)'!$B$72,Model!AP$1,'Assumptions (NG Midstream)'!$B$75,Model!$AF$249)</f>
        <v>#NUM!</v>
      </c>
      <c r="AZ333" s="377" t="e">
        <f>IPMT('Assumptions (NG Midstream)'!$B$72,Model!AQ$1,'Assumptions (NG Midstream)'!$B$75,Model!$AF$249)</f>
        <v>#NUM!</v>
      </c>
      <c r="BA333" s="377" t="e">
        <f>IPMT('Assumptions (NG Midstream)'!$B$72,Model!AR$1,'Assumptions (NG Midstream)'!$B$75,Model!$AF$249)</f>
        <v>#NUM!</v>
      </c>
      <c r="BB333" s="377" t="e">
        <f>IPMT('Assumptions (NG Midstream)'!$B$72,Model!AS$1,'Assumptions (NG Midstream)'!$B$75,Model!$AF$249)</f>
        <v>#NUM!</v>
      </c>
      <c r="BC333" s="377" t="e">
        <f>IPMT('Assumptions (NG Midstream)'!$B$72,Model!AT$1,'Assumptions (NG Midstream)'!$B$75,Model!$AF$249)</f>
        <v>#NUM!</v>
      </c>
      <c r="BD333" s="377" t="e">
        <f>IPMT('Assumptions (NG Midstream)'!$B$72,Model!AU$1,'Assumptions (NG Midstream)'!$B$75,Model!$AF$249)</f>
        <v>#NUM!</v>
      </c>
    </row>
    <row r="334" spans="1:59" ht="15.75" hidden="1" customHeight="1" outlineLevel="1">
      <c r="A334" s="365"/>
      <c r="B334" s="99"/>
      <c r="C334" s="377"/>
      <c r="D334" s="377"/>
      <c r="E334" s="377"/>
      <c r="F334" s="377"/>
      <c r="G334" s="377"/>
      <c r="H334" s="377"/>
      <c r="I334" s="377"/>
      <c r="J334" s="377"/>
      <c r="K334" s="377"/>
      <c r="L334" s="377"/>
      <c r="M334" s="377"/>
      <c r="N334" s="377"/>
      <c r="O334" s="377"/>
      <c r="P334" s="377"/>
      <c r="Q334" s="377"/>
      <c r="R334" s="377"/>
      <c r="S334" s="42"/>
      <c r="T334" s="42"/>
      <c r="U334" s="42"/>
      <c r="V334" s="42"/>
      <c r="W334" s="86"/>
      <c r="AG334" s="377">
        <f>IPMT('Assumptions (NG Midstream)'!$B$72,Model!W$1,'Assumptions (NG Midstream)'!$B$75,Model!$AG$249)</f>
        <v>-8.248958410085401E-2</v>
      </c>
      <c r="AH334" s="377">
        <f>IPMT('Assumptions (NG Midstream)'!$B$72,Model!X$1,'Assumptions (NG Midstream)'!$B$75,Model!$AG$249)</f>
        <v>-7.9331285905874724E-2</v>
      </c>
      <c r="AI334" s="377">
        <f>IPMT('Assumptions (NG Midstream)'!$B$72,Model!Y$1,'Assumptions (NG Midstream)'!$B$75,Model!$AG$249)</f>
        <v>-7.5936115346271968E-2</v>
      </c>
      <c r="AJ334" s="377">
        <f>IPMT('Assumptions (NG Midstream)'!$B$72,Model!Z$1,'Assumptions (NG Midstream)'!$B$75,Model!$AG$249)</f>
        <v>-7.2286306994699012E-2</v>
      </c>
      <c r="AK334" s="377">
        <f>IPMT('Assumptions (NG Midstream)'!$B$72,Model!AA$1,'Assumptions (NG Midstream)'!$B$75,Model!$AG$249)</f>
        <v>-6.8362763016758088E-2</v>
      </c>
      <c r="AL334" s="377">
        <f>IPMT('Assumptions (NG Midstream)'!$B$72,Model!AB$1,'Assumptions (NG Midstream)'!$B$75,Model!$AG$249)</f>
        <v>-6.4144953240471592E-2</v>
      </c>
      <c r="AM334" s="377">
        <f>IPMT('Assumptions (NG Midstream)'!$B$72,Model!AC$1,'Assumptions (NG Midstream)'!$B$75,Model!$AG$249)</f>
        <v>-5.9610807730963611E-2</v>
      </c>
      <c r="AN334" s="377">
        <f>IPMT('Assumptions (NG Midstream)'!$B$72,Model!AD$1,'Assumptions (NG Midstream)'!$B$75,Model!$AG$249)</f>
        <v>-5.4736601308242518E-2</v>
      </c>
      <c r="AO334" s="377">
        <f>IPMT('Assumptions (NG Midstream)'!$B$72,Model!AE$1,'Assumptions (NG Midstream)'!$B$75,Model!$AG$249)</f>
        <v>-4.9496829403817361E-2</v>
      </c>
      <c r="AP334" s="377">
        <f>IPMT('Assumptions (NG Midstream)'!$B$72,Model!AF$1,'Assumptions (NG Midstream)'!$B$75,Model!$AG$249)</f>
        <v>-4.3864074606560305E-2</v>
      </c>
      <c r="AQ334" s="377">
        <f>IPMT('Assumptions (NG Midstream)'!$B$72,Model!AG$1,'Assumptions (NG Midstream)'!$B$75,Model!$AG$249)</f>
        <v>-3.7808863199508984E-2</v>
      </c>
      <c r="AR334" s="377">
        <f>IPMT('Assumptions (NG Midstream)'!$B$72,Model!AH$1,'Assumptions (NG Midstream)'!$B$75,Model!$AG$249)</f>
        <v>-3.1299510936928801E-2</v>
      </c>
      <c r="AS334" s="377">
        <f>IPMT('Assumptions (NG Midstream)'!$B$72,Model!AI$1,'Assumptions (NG Midstream)'!$B$75,Model!$AG$249)</f>
        <v>-2.4301957254655105E-2</v>
      </c>
      <c r="AT334" s="377">
        <f>IPMT('Assumptions (NG Midstream)'!$B$72,Model!AJ$1,'Assumptions (NG Midstream)'!$B$75,Model!$AG$249)</f>
        <v>-1.6779587046210888E-2</v>
      </c>
      <c r="AU334" s="377">
        <f>IPMT('Assumptions (NG Midstream)'!$B$72,Model!AK$1,'Assumptions (NG Midstream)'!$B$75,Model!$AG$249)</f>
        <v>-8.693039072133351E-3</v>
      </c>
      <c r="AV334" s="377" t="e">
        <f>IPMT('Assumptions (NG Midstream)'!$B$72,Model!AL$1,'Assumptions (NG Midstream)'!$B$75,Model!$AG$249)</f>
        <v>#NUM!</v>
      </c>
      <c r="AW334" s="377" t="e">
        <f>IPMT('Assumptions (NG Midstream)'!$B$72,Model!AM$1,'Assumptions (NG Midstream)'!$B$75,Model!$AG$249)</f>
        <v>#NUM!</v>
      </c>
      <c r="AX334" s="377" t="e">
        <f>IPMT('Assumptions (NG Midstream)'!$B$72,Model!AN$1,'Assumptions (NG Midstream)'!$B$75,Model!$AG$249)</f>
        <v>#NUM!</v>
      </c>
      <c r="AY334" s="377" t="e">
        <f>IPMT('Assumptions (NG Midstream)'!$B$72,Model!AO$1,'Assumptions (NG Midstream)'!$B$75,Model!$AG$249)</f>
        <v>#NUM!</v>
      </c>
      <c r="AZ334" s="377" t="e">
        <f>IPMT('Assumptions (NG Midstream)'!$B$72,Model!AP$1,'Assumptions (NG Midstream)'!$B$75,Model!$AG$249)</f>
        <v>#NUM!</v>
      </c>
      <c r="BA334" s="377" t="e">
        <f>IPMT('Assumptions (NG Midstream)'!$B$72,Model!AQ$1,'Assumptions (NG Midstream)'!$B$75,Model!$AG$249)</f>
        <v>#NUM!</v>
      </c>
      <c r="BB334" s="377" t="e">
        <f>IPMT('Assumptions (NG Midstream)'!$B$72,Model!AR$1,'Assumptions (NG Midstream)'!$B$75,Model!$AG$249)</f>
        <v>#NUM!</v>
      </c>
      <c r="BC334" s="377" t="e">
        <f>IPMT('Assumptions (NG Midstream)'!$B$72,Model!AS$1,'Assumptions (NG Midstream)'!$B$75,Model!$AG$249)</f>
        <v>#NUM!</v>
      </c>
      <c r="BD334" s="377" t="e">
        <f>IPMT('Assumptions (NG Midstream)'!$B$72,Model!AT$1,'Assumptions (NG Midstream)'!$B$75,Model!$AG$249)</f>
        <v>#NUM!</v>
      </c>
      <c r="BE334" s="377" t="e">
        <f>IPMT('Assumptions (NG Midstream)'!$B$72,Model!AU$1,'Assumptions (NG Midstream)'!$B$75,Model!$AG$249)</f>
        <v>#NUM!</v>
      </c>
    </row>
    <row r="335" spans="1:59" ht="15.75" hidden="1" customHeight="1" outlineLevel="1">
      <c r="A335" s="365"/>
      <c r="B335" s="99"/>
      <c r="C335" s="377"/>
      <c r="D335" s="377"/>
      <c r="E335" s="377"/>
      <c r="F335" s="377"/>
      <c r="G335" s="377"/>
      <c r="H335" s="377"/>
      <c r="I335" s="377"/>
      <c r="J335" s="377"/>
      <c r="K335" s="377"/>
      <c r="L335" s="377"/>
      <c r="M335" s="377"/>
      <c r="N335" s="377"/>
      <c r="O335" s="377"/>
      <c r="P335" s="377"/>
      <c r="Q335" s="377"/>
      <c r="R335" s="377"/>
      <c r="S335" s="42"/>
      <c r="T335" s="42"/>
      <c r="U335" s="42"/>
      <c r="V335" s="42"/>
      <c r="W335" s="86"/>
      <c r="AH335" s="377">
        <f>IPMT('Assumptions (NG Midstream)'!$B$72,Model!W$1,'Assumptions (NG Midstream)'!$B$75,Model!$AH$249)</f>
        <v>-8.6808008560464375E-2</v>
      </c>
      <c r="AI335" s="377">
        <f>IPMT('Assumptions (NG Midstream)'!$B$72,Model!X$1,'Assumptions (NG Midstream)'!$B$75,Model!$AH$249)</f>
        <v>-8.3484369827954097E-2</v>
      </c>
      <c r="AJ335" s="377">
        <f>IPMT('Assumptions (NG Midstream)'!$B$72,Model!Y$1,'Assumptions (NG Midstream)'!$B$75,Model!$AH$249)</f>
        <v>-7.9911458190505547E-2</v>
      </c>
      <c r="AK335" s="377">
        <f>IPMT('Assumptions (NG Midstream)'!$B$72,Model!Z$1,'Assumptions (NG Midstream)'!$B$75,Model!$AH$249)</f>
        <v>-7.6070578180248358E-2</v>
      </c>
      <c r="AL335" s="377">
        <f>IPMT('Assumptions (NG Midstream)'!$B$72,Model!AA$1,'Assumptions (NG Midstream)'!$B$75,Model!$AH$249)</f>
        <v>-7.1941632169221878E-2</v>
      </c>
      <c r="AM335" s="377">
        <f>IPMT('Assumptions (NG Midstream)'!$B$72,Model!AB$1,'Assumptions (NG Midstream)'!$B$75,Model!$AH$249)</f>
        <v>-6.7503015207368414E-2</v>
      </c>
      <c r="AN335" s="377">
        <f>IPMT('Assumptions (NG Midstream)'!$B$72,Model!AC$1,'Assumptions (NG Midstream)'!$B$75,Model!$AH$249)</f>
        <v>-6.2731501973375944E-2</v>
      </c>
      <c r="AO335" s="377">
        <f>IPMT('Assumptions (NG Midstream)'!$B$72,Model!AD$1,'Assumptions (NG Midstream)'!$B$75,Model!$AH$249)</f>
        <v>-5.7602125246834029E-2</v>
      </c>
      <c r="AP335" s="377">
        <f>IPMT('Assumptions (NG Midstream)'!$B$72,Model!AE$1,'Assumptions (NG Midstream)'!$B$75,Model!$AH$249)</f>
        <v>-5.2088045265801478E-2</v>
      </c>
      <c r="AQ335" s="377">
        <f>IPMT('Assumptions (NG Midstream)'!$B$72,Model!AF$1,'Assumptions (NG Midstream)'!$B$75,Model!$AH$249)</f>
        <v>-4.616040928619148E-2</v>
      </c>
      <c r="AR335" s="377">
        <f>IPMT('Assumptions (NG Midstream)'!$B$72,Model!AG$1,'Assumptions (NG Midstream)'!$B$75,Model!$AH$249)</f>
        <v>-3.9788200608110738E-2</v>
      </c>
      <c r="AS335" s="377">
        <f>IPMT('Assumptions (NG Midstream)'!$B$72,Model!AH$1,'Assumptions (NG Midstream)'!$B$75,Model!$AH$249)</f>
        <v>-3.2938076279173945E-2</v>
      </c>
      <c r="AT335" s="377">
        <f>IPMT('Assumptions (NG Midstream)'!$B$72,Model!AI$1,'Assumptions (NG Midstream)'!$B$75,Model!$AH$249)</f>
        <v>-2.5574192625566875E-2</v>
      </c>
      <c r="AU335" s="377">
        <f>IPMT('Assumptions (NG Midstream)'!$B$72,Model!AJ$1,'Assumptions (NG Midstream)'!$B$75,Model!$AH$249)</f>
        <v>-1.7658017697939291E-2</v>
      </c>
      <c r="AV335" s="377">
        <f>IPMT('Assumptions (NG Midstream)'!$B$72,Model!AK$1,'Assumptions (NG Midstream)'!$B$75,Model!$AH$249)</f>
        <v>-9.148129650739632E-3</v>
      </c>
      <c r="AW335" s="377" t="e">
        <f>IPMT('Assumptions (NG Midstream)'!$B$72,Model!AL$1,'Assumptions (NG Midstream)'!$B$75,Model!$AH$249)</f>
        <v>#NUM!</v>
      </c>
      <c r="AX335" s="377" t="e">
        <f>IPMT('Assumptions (NG Midstream)'!$B$72,Model!AM$1,'Assumptions (NG Midstream)'!$B$75,Model!$AH$249)</f>
        <v>#NUM!</v>
      </c>
      <c r="AY335" s="377" t="e">
        <f>IPMT('Assumptions (NG Midstream)'!$B$72,Model!AN$1,'Assumptions (NG Midstream)'!$B$75,Model!$AH$249)</f>
        <v>#NUM!</v>
      </c>
      <c r="AZ335" s="377" t="e">
        <f>IPMT('Assumptions (NG Midstream)'!$B$72,Model!AO$1,'Assumptions (NG Midstream)'!$B$75,Model!$AH$249)</f>
        <v>#NUM!</v>
      </c>
      <c r="BA335" s="377" t="e">
        <f>IPMT('Assumptions (NG Midstream)'!$B$72,Model!AP$1,'Assumptions (NG Midstream)'!$B$75,Model!$AH$249)</f>
        <v>#NUM!</v>
      </c>
      <c r="BB335" s="377" t="e">
        <f>IPMT('Assumptions (NG Midstream)'!$B$72,Model!AQ$1,'Assumptions (NG Midstream)'!$B$75,Model!$AH$249)</f>
        <v>#NUM!</v>
      </c>
      <c r="BC335" s="377" t="e">
        <f>IPMT('Assumptions (NG Midstream)'!$B$72,Model!AR$1,'Assumptions (NG Midstream)'!$B$75,Model!$AH$249)</f>
        <v>#NUM!</v>
      </c>
      <c r="BD335" s="377" t="e">
        <f>IPMT('Assumptions (NG Midstream)'!$B$72,Model!AS$1,'Assumptions (NG Midstream)'!$B$75,Model!$AH$249)</f>
        <v>#NUM!</v>
      </c>
      <c r="BE335" s="377" t="e">
        <f>IPMT('Assumptions (NG Midstream)'!$B$72,Model!AT$1,'Assumptions (NG Midstream)'!$B$75,Model!$AH$249)</f>
        <v>#NUM!</v>
      </c>
      <c r="BF335" s="377" t="e">
        <f>IPMT('Assumptions (NG Midstream)'!$B$72,Model!AU$1,'Assumptions (NG Midstream)'!$B$75,Model!$AH$249)</f>
        <v>#NUM!</v>
      </c>
    </row>
    <row r="336" spans="1:59" ht="15.75" hidden="1" customHeight="1" outlineLevel="1">
      <c r="A336" s="365"/>
      <c r="B336" s="99"/>
      <c r="C336" s="377"/>
      <c r="D336" s="377"/>
      <c r="E336" s="377"/>
      <c r="F336" s="377"/>
      <c r="G336" s="377"/>
      <c r="H336" s="377"/>
      <c r="I336" s="377"/>
      <c r="J336" s="377"/>
      <c r="K336" s="377"/>
      <c r="L336" s="377"/>
      <c r="M336" s="377"/>
      <c r="N336" s="377"/>
      <c r="O336" s="377"/>
      <c r="P336" s="377"/>
      <c r="Q336" s="377"/>
      <c r="R336" s="377"/>
      <c r="S336" s="42"/>
      <c r="T336" s="42"/>
      <c r="U336" s="42"/>
      <c r="V336" s="42"/>
      <c r="W336" s="86"/>
      <c r="AI336" s="377">
        <f>IPMT('Assumptions (NG Midstream)'!$B$72,Model!W$1,'Assumptions (NG Midstream)'!$B$75,Model!$AI$249)</f>
        <v>-7.1952235974691137E-2</v>
      </c>
      <c r="AJ336" s="377">
        <f>IPMT('Assumptions (NG Midstream)'!$B$72,Model!X$1,'Assumptions (NG Midstream)'!$B$75,Model!$AI$249)</f>
        <v>-6.9197383716910879E-2</v>
      </c>
      <c r="AK336" s="377">
        <f>IPMT('Assumptions (NG Midstream)'!$B$72,Model!Y$1,'Assumptions (NG Midstream)'!$B$75,Model!$AI$249)</f>
        <v>-6.6235917539797115E-2</v>
      </c>
      <c r="AL336" s="377">
        <f>IPMT('Assumptions (NG Midstream)'!$B$72,Model!Z$1,'Assumptions (NG Midstream)'!$B$75,Model!$AI$249)</f>
        <v>-6.3052341399399817E-2</v>
      </c>
      <c r="AM336" s="377">
        <f>IPMT('Assumptions (NG Midstream)'!$B$72,Model!AA$1,'Assumptions (NG Midstream)'!$B$75,Model!$AI$249)</f>
        <v>-5.9629997048472702E-2</v>
      </c>
      <c r="AN336" s="377">
        <f>IPMT('Assumptions (NG Midstream)'!$B$72,Model!AB$1,'Assumptions (NG Midstream)'!$B$75,Model!$AI$249)</f>
        <v>-5.595097687122607E-2</v>
      </c>
      <c r="AO336" s="377">
        <f>IPMT('Assumptions (NG Midstream)'!$B$72,Model!AC$1,'Assumptions (NG Midstream)'!$B$75,Model!$AI$249)</f>
        <v>-5.199603018068593E-2</v>
      </c>
      <c r="AP336" s="377">
        <f>IPMT('Assumptions (NG Midstream)'!$B$72,Model!AD$1,'Assumptions (NG Midstream)'!$B$75,Model!$AI$249)</f>
        <v>-4.7744462488355295E-2</v>
      </c>
      <c r="AQ336" s="377">
        <f>IPMT('Assumptions (NG Midstream)'!$B$72,Model!AE$1,'Assumptions (NG Midstream)'!$B$75,Model!$AI$249)</f>
        <v>-4.3174027219099846E-2</v>
      </c>
      <c r="AR336" s="377">
        <f>IPMT('Assumptions (NG Midstream)'!$B$72,Model!AF$1,'Assumptions (NG Midstream)'!$B$75,Model!$AI$249)</f>
        <v>-3.8260809304650242E-2</v>
      </c>
      <c r="AS336" s="377">
        <f>IPMT('Assumptions (NG Midstream)'!$B$72,Model!AG$1,'Assumptions (NG Midstream)'!$B$75,Model!$AI$249)</f>
        <v>-3.297910004661693E-2</v>
      </c>
      <c r="AT336" s="377">
        <f>IPMT('Assumptions (NG Midstream)'!$B$72,Model!AH$1,'Assumptions (NG Midstream)'!$B$75,Model!$AI$249)</f>
        <v>-2.7301262594231115E-2</v>
      </c>
      <c r="AU336" s="377">
        <f>IPMT('Assumptions (NG Midstream)'!$B$72,Model!AI$1,'Assumptions (NG Midstream)'!$B$75,Model!$AI$249)</f>
        <v>-2.1197587332916355E-2</v>
      </c>
      <c r="AV336" s="377">
        <f>IPMT('Assumptions (NG Midstream)'!$B$72,Model!AJ$1,'Assumptions (NG Midstream)'!$B$75,Model!$AI$249)</f>
        <v>-1.4636136427002991E-2</v>
      </c>
      <c r="AW336" s="377">
        <f>IPMT('Assumptions (NG Midstream)'!$B$72,Model!AK$1,'Assumptions (NG Midstream)'!$B$75,Model!$AI$249)</f>
        <v>-7.5825767031461287E-3</v>
      </c>
      <c r="AX336" s="377" t="e">
        <f>IPMT('Assumptions (NG Midstream)'!$B$72,Model!AL$1,'Assumptions (NG Midstream)'!$B$75,Model!$AI$249)</f>
        <v>#NUM!</v>
      </c>
      <c r="AY336" s="377" t="e">
        <f>IPMT('Assumptions (NG Midstream)'!$B$72,Model!AM$1,'Assumptions (NG Midstream)'!$B$75,Model!$AI$249)</f>
        <v>#NUM!</v>
      </c>
      <c r="AZ336" s="377" t="e">
        <f>IPMT('Assumptions (NG Midstream)'!$B$72,Model!AN$1,'Assumptions (NG Midstream)'!$B$75,Model!$AI$249)</f>
        <v>#NUM!</v>
      </c>
      <c r="BA336" s="377" t="e">
        <f>IPMT('Assumptions (NG Midstream)'!$B$72,Model!AO$1,'Assumptions (NG Midstream)'!$B$75,Model!$AI$249)</f>
        <v>#NUM!</v>
      </c>
      <c r="BB336" s="377" t="e">
        <f>IPMT('Assumptions (NG Midstream)'!$B$72,Model!AP$1,'Assumptions (NG Midstream)'!$B$75,Model!$AI$249)</f>
        <v>#NUM!</v>
      </c>
      <c r="BC336" s="377" t="e">
        <f>IPMT('Assumptions (NG Midstream)'!$B$72,Model!AQ$1,'Assumptions (NG Midstream)'!$B$75,Model!$AI$249)</f>
        <v>#NUM!</v>
      </c>
      <c r="BD336" s="377" t="e">
        <f>IPMT('Assumptions (NG Midstream)'!$B$72,Model!AR$1,'Assumptions (NG Midstream)'!$B$75,Model!$AI$249)</f>
        <v>#NUM!</v>
      </c>
      <c r="BE336" s="377" t="e">
        <f>IPMT('Assumptions (NG Midstream)'!$B$72,Model!AS$1,'Assumptions (NG Midstream)'!$B$75,Model!$AI$249)</f>
        <v>#NUM!</v>
      </c>
      <c r="BF336" s="377" t="e">
        <f>IPMT('Assumptions (NG Midstream)'!$B$72,Model!AT$1,'Assumptions (NG Midstream)'!$B$75,Model!$AI$249)</f>
        <v>#NUM!</v>
      </c>
      <c r="BG336" s="377" t="e">
        <f>IPMT('Assumptions (NG Midstream)'!$B$72,Model!AU$1,'Assumptions (NG Midstream)'!$B$75,Model!$AI$249)</f>
        <v>#NUM!</v>
      </c>
    </row>
    <row r="337" spans="1:75" ht="15.75" hidden="1" customHeight="1" outlineLevel="1">
      <c r="A337" s="365"/>
      <c r="B337" s="99"/>
      <c r="C337" s="377"/>
      <c r="D337" s="377"/>
      <c r="E337" s="377"/>
      <c r="F337" s="377"/>
      <c r="G337" s="377"/>
      <c r="H337" s="377"/>
      <c r="I337" s="377"/>
      <c r="J337" s="377"/>
      <c r="K337" s="377"/>
      <c r="L337" s="377"/>
      <c r="M337" s="377"/>
      <c r="N337" s="377"/>
      <c r="O337" s="377"/>
      <c r="P337" s="377"/>
      <c r="Q337" s="377"/>
      <c r="R337" s="377"/>
      <c r="S337" s="42"/>
      <c r="T337" s="42"/>
      <c r="U337" s="42"/>
      <c r="V337" s="42"/>
      <c r="W337" s="86"/>
      <c r="AJ337" s="377">
        <f>IPMT('Assumptions (NG Midstream)'!$B$72,Model!W$1,'Assumptions (NG Midstream)'!$B$75,Model!$AJ$249)</f>
        <v>-8.2706941032433159E-2</v>
      </c>
      <c r="AK337" s="377">
        <f>IPMT('Assumptions (NG Midstream)'!$B$72,Model!X$1,'Assumptions (NG Midstream)'!$B$75,Model!$AJ$249)</f>
        <v>-7.9540320841263001E-2</v>
      </c>
      <c r="AL337" s="377">
        <f>IPMT('Assumptions (NG Midstream)'!$B$72,Model!Y$1,'Assumptions (NG Midstream)'!$B$75,Model!$AJ$249)</f>
        <v>-7.6136204135755101E-2</v>
      </c>
      <c r="AM337" s="377">
        <f>IPMT('Assumptions (NG Midstream)'!$B$72,Model!Z$1,'Assumptions (NG Midstream)'!$B$75,Model!$AJ$249)</f>
        <v>-7.2476778677334083E-2</v>
      </c>
      <c r="AN337" s="377">
        <f>IPMT('Assumptions (NG Midstream)'!$B$72,Model!AA$1,'Assumptions (NG Midstream)'!$B$75,Model!$AJ$249)</f>
        <v>-6.854289630953149E-2</v>
      </c>
      <c r="AO337" s="377">
        <f>IPMT('Assumptions (NG Midstream)'!$B$72,Model!AB$1,'Assumptions (NG Midstream)'!$B$75,Model!$AJ$249)</f>
        <v>-6.4313972764143704E-2</v>
      </c>
      <c r="AP337" s="377">
        <f>IPMT('Assumptions (NG Midstream)'!$B$72,Model!AC$1,'Assumptions (NG Midstream)'!$B$75,Model!$AJ$249)</f>
        <v>-5.9767879952851835E-2</v>
      </c>
      <c r="AQ337" s="377">
        <f>IPMT('Assumptions (NG Midstream)'!$B$72,Model!AD$1,'Assumptions (NG Midstream)'!$B$75,Model!$AJ$249)</f>
        <v>-5.4880830180713075E-2</v>
      </c>
      <c r="AR337" s="377">
        <f>IPMT('Assumptions (NG Midstream)'!$B$72,Model!AE$1,'Assumptions (NG Midstream)'!$B$75,Model!$AJ$249)</f>
        <v>-4.9627251675663911E-2</v>
      </c>
      <c r="AS337" s="377">
        <f>IPMT('Assumptions (NG Midstream)'!$B$72,Model!AF$1,'Assumptions (NG Midstream)'!$B$75,Model!$AJ$249)</f>
        <v>-4.397965478273605E-2</v>
      </c>
      <c r="AT337" s="377">
        <f>IPMT('Assumptions (NG Midstream)'!$B$72,Model!AG$1,'Assumptions (NG Midstream)'!$B$75,Model!$AJ$249)</f>
        <v>-3.7908488122838611E-2</v>
      </c>
      <c r="AU337" s="377">
        <f>IPMT('Assumptions (NG Midstream)'!$B$72,Model!AH$1,'Assumptions (NG Midstream)'!$B$75,Model!$AJ$249)</f>
        <v>-3.1381983963448871E-2</v>
      </c>
      <c r="AV337" s="377">
        <f>IPMT('Assumptions (NG Midstream)'!$B$72,Model!AI$1,'Assumptions (NG Midstream)'!$B$75,Model!$AJ$249)</f>
        <v>-2.4365991992104881E-2</v>
      </c>
      <c r="AW337" s="377">
        <f>IPMT('Assumptions (NG Midstream)'!$B$72,Model!AJ$1,'Assumptions (NG Midstream)'!$B$75,Model!$AJ$249)</f>
        <v>-1.6823800622910105E-2</v>
      </c>
      <c r="AX337" s="377">
        <f>IPMT('Assumptions (NG Midstream)'!$B$72,Model!AK$1,'Assumptions (NG Midstream)'!$B$75,Model!$AJ$249)</f>
        <v>-8.7159449010257174E-3</v>
      </c>
      <c r="AY337" s="377" t="e">
        <f>IPMT('Assumptions (NG Midstream)'!$B$72,Model!AL$1,'Assumptions (NG Midstream)'!$B$75,Model!$AJ$249)</f>
        <v>#NUM!</v>
      </c>
      <c r="AZ337" s="377" t="e">
        <f>IPMT('Assumptions (NG Midstream)'!$B$72,Model!AM$1,'Assumptions (NG Midstream)'!$B$75,Model!$AJ$249)</f>
        <v>#NUM!</v>
      </c>
      <c r="BA337" s="377" t="e">
        <f>IPMT('Assumptions (NG Midstream)'!$B$72,Model!AN$1,'Assumptions (NG Midstream)'!$B$75,Model!$AJ$249)</f>
        <v>#NUM!</v>
      </c>
      <c r="BB337" s="377" t="e">
        <f>IPMT('Assumptions (NG Midstream)'!$B$72,Model!AO$1,'Assumptions (NG Midstream)'!$B$75,Model!$AJ$249)</f>
        <v>#NUM!</v>
      </c>
      <c r="BC337" s="377" t="e">
        <f>IPMT('Assumptions (NG Midstream)'!$B$72,Model!AP$1,'Assumptions (NG Midstream)'!$B$75,Model!$AJ$249)</f>
        <v>#NUM!</v>
      </c>
      <c r="BD337" s="377" t="e">
        <f>IPMT('Assumptions (NG Midstream)'!$B$72,Model!AQ$1,'Assumptions (NG Midstream)'!$B$75,Model!$AJ$249)</f>
        <v>#NUM!</v>
      </c>
      <c r="BE337" s="377" t="e">
        <f>IPMT('Assumptions (NG Midstream)'!$B$72,Model!AR$1,'Assumptions (NG Midstream)'!$B$75,Model!$AJ$249)</f>
        <v>#NUM!</v>
      </c>
      <c r="BF337" s="377" t="e">
        <f>IPMT('Assumptions (NG Midstream)'!$B$72,Model!AS$1,'Assumptions (NG Midstream)'!$B$75,Model!$AJ$249)</f>
        <v>#NUM!</v>
      </c>
      <c r="BG337" s="377" t="e">
        <f>IPMT('Assumptions (NG Midstream)'!$B$72,Model!AT$1,'Assumptions (NG Midstream)'!$B$75,Model!$AJ$249)</f>
        <v>#NUM!</v>
      </c>
      <c r="BH337" s="377" t="e">
        <f>IPMT('Assumptions (NG Midstream)'!$B$72,Model!AU$1,'Assumptions (NG Midstream)'!$B$75,Model!$AJ$249)</f>
        <v>#NUM!</v>
      </c>
    </row>
    <row r="338" spans="1:75" ht="15.75" hidden="1" customHeight="1" outlineLevel="1">
      <c r="A338" s="365"/>
      <c r="B338" s="99"/>
      <c r="C338" s="377"/>
      <c r="D338" s="377"/>
      <c r="E338" s="377"/>
      <c r="F338" s="377"/>
      <c r="G338" s="377"/>
      <c r="H338" s="377"/>
      <c r="I338" s="377"/>
      <c r="J338" s="377"/>
      <c r="K338" s="377"/>
      <c r="L338" s="377"/>
      <c r="M338" s="377"/>
      <c r="N338" s="377"/>
      <c r="O338" s="377"/>
      <c r="P338" s="377"/>
      <c r="Q338" s="377"/>
      <c r="R338" s="377"/>
      <c r="S338" s="42"/>
      <c r="T338" s="42"/>
      <c r="U338" s="42"/>
      <c r="V338" s="42"/>
      <c r="W338" s="86"/>
      <c r="AK338" s="377">
        <f>IPMT('Assumptions (NG Midstream)'!$B$72,Model!W$1,'Assumptions (NG Midstream)'!$B$75,Model!$AK$249)</f>
        <v>-7.6575061982017439E-2</v>
      </c>
      <c r="AL338" s="377">
        <f>IPMT('Assumptions (NG Midstream)'!$B$72,Model!X$1,'Assumptions (NG Midstream)'!$B$75,Model!$AK$249)</f>
        <v>-7.3643214492732673E-2</v>
      </c>
      <c r="AM338" s="377">
        <f>IPMT('Assumptions (NG Midstream)'!$B$72,Model!Y$1,'Assumptions (NG Midstream)'!$B$75,Model!$AK$249)</f>
        <v>-7.0491478441751548E-2</v>
      </c>
      <c r="AN338" s="377">
        <f>IPMT('Assumptions (NG Midstream)'!$B$72,Model!Z$1,'Assumptions (NG Midstream)'!$B$75,Model!$AK$249)</f>
        <v>-6.7103362186946833E-2</v>
      </c>
      <c r="AO338" s="377">
        <f>IPMT('Assumptions (NG Midstream)'!$B$72,Model!AA$1,'Assumptions (NG Midstream)'!$B$75,Model!$AK$249)</f>
        <v>-6.346113721303176E-2</v>
      </c>
      <c r="AP338" s="377">
        <f>IPMT('Assumptions (NG Midstream)'!$B$72,Model!AB$1,'Assumptions (NG Midstream)'!$B$75,Model!$AK$249)</f>
        <v>-5.9545745366073065E-2</v>
      </c>
      <c r="AQ338" s="377">
        <f>IPMT('Assumptions (NG Midstream)'!$B$72,Model!AC$1,'Assumptions (NG Midstream)'!$B$75,Model!$AK$249)</f>
        <v>-5.5336699130592477E-2</v>
      </c>
      <c r="AR338" s="377">
        <f>IPMT('Assumptions (NG Midstream)'!$B$72,Model!AD$1,'Assumptions (NG Midstream)'!$B$75,Model!$AK$249)</f>
        <v>-5.0811974427450828E-2</v>
      </c>
      <c r="AS338" s="377">
        <f>IPMT('Assumptions (NG Midstream)'!$B$72,Model!AE$1,'Assumptions (NG Midstream)'!$B$75,Model!$AK$249)</f>
        <v>-4.5947895371573559E-2</v>
      </c>
      <c r="AT338" s="377">
        <f>IPMT('Assumptions (NG Midstream)'!$B$72,Model!AF$1,'Assumptions (NG Midstream)'!$B$75,Model!$AK$249)</f>
        <v>-4.0719010386505494E-2</v>
      </c>
      <c r="AU338" s="377">
        <f>IPMT('Assumptions (NG Midstream)'!$B$72,Model!AG$1,'Assumptions (NG Midstream)'!$B$75,Model!$AK$249)</f>
        <v>-3.5097959027557329E-2</v>
      </c>
      <c r="AV338" s="377">
        <f>IPMT('Assumptions (NG Midstream)'!$B$72,Model!AH$1,'Assumptions (NG Midstream)'!$B$75,Model!$AK$249)</f>
        <v>-2.9055328816688049E-2</v>
      </c>
      <c r="AW338" s="377">
        <f>IPMT('Assumptions (NG Midstream)'!$B$72,Model!AI$1,'Assumptions (NG Midstream)'!$B$75,Model!$AK$249)</f>
        <v>-2.2559501340003566E-2</v>
      </c>
      <c r="AX338" s="377">
        <f>IPMT('Assumptions (NG Midstream)'!$B$72,Model!AJ$1,'Assumptions (NG Midstream)'!$B$75,Model!$AK$249)</f>
        <v>-1.5576486802567758E-2</v>
      </c>
      <c r="AY338" s="377">
        <f>IPMT('Assumptions (NG Midstream)'!$B$72,Model!AK$1,'Assumptions (NG Midstream)'!$B$75,Model!$AK$249)</f>
        <v>-8.0697461748242601E-3</v>
      </c>
      <c r="AZ338" s="377" t="e">
        <f>IPMT('Assumptions (NG Midstream)'!$B$72,Model!AL$1,'Assumptions (NG Midstream)'!$B$75,Model!$AK$249)</f>
        <v>#NUM!</v>
      </c>
      <c r="BA338" s="377" t="e">
        <f>IPMT('Assumptions (NG Midstream)'!$B$72,Model!AM$1,'Assumptions (NG Midstream)'!$B$75,Model!$AK$249)</f>
        <v>#NUM!</v>
      </c>
      <c r="BB338" s="377" t="e">
        <f>IPMT('Assumptions (NG Midstream)'!$B$72,Model!AN$1,'Assumptions (NG Midstream)'!$B$75,Model!$AK$249)</f>
        <v>#NUM!</v>
      </c>
      <c r="BC338" s="377" t="e">
        <f>IPMT('Assumptions (NG Midstream)'!$B$72,Model!AO$1,'Assumptions (NG Midstream)'!$B$75,Model!$AK$249)</f>
        <v>#NUM!</v>
      </c>
      <c r="BD338" s="377" t="e">
        <f>IPMT('Assumptions (NG Midstream)'!$B$72,Model!AP$1,'Assumptions (NG Midstream)'!$B$75,Model!$AK$249)</f>
        <v>#NUM!</v>
      </c>
      <c r="BE338" s="377" t="e">
        <f>IPMT('Assumptions (NG Midstream)'!$B$72,Model!AQ$1,'Assumptions (NG Midstream)'!$B$75,Model!$AK$249)</f>
        <v>#NUM!</v>
      </c>
      <c r="BF338" s="377" t="e">
        <f>IPMT('Assumptions (NG Midstream)'!$B$72,Model!AR$1,'Assumptions (NG Midstream)'!$B$75,Model!$AK$249)</f>
        <v>#NUM!</v>
      </c>
      <c r="BG338" s="377" t="e">
        <f>IPMT('Assumptions (NG Midstream)'!$B$72,Model!AS$1,'Assumptions (NG Midstream)'!$B$75,Model!$AK$249)</f>
        <v>#NUM!</v>
      </c>
      <c r="BH338" s="377" t="e">
        <f>IPMT('Assumptions (NG Midstream)'!$B$72,Model!AT$1,'Assumptions (NG Midstream)'!$B$75,Model!$AK$249)</f>
        <v>#NUM!</v>
      </c>
      <c r="BI338" s="377" t="e">
        <f>IPMT('Assumptions (NG Midstream)'!$B$72,Model!AU$1,'Assumptions (NG Midstream)'!$B$75,Model!$AK$249)</f>
        <v>#NUM!</v>
      </c>
    </row>
    <row r="339" spans="1:75" ht="15.75" hidden="1" customHeight="1" outlineLevel="1">
      <c r="A339" s="365"/>
      <c r="B339" s="99"/>
      <c r="C339" s="377"/>
      <c r="D339" s="377"/>
      <c r="E339" s="377"/>
      <c r="F339" s="377"/>
      <c r="G339" s="377"/>
      <c r="H339" s="377"/>
      <c r="I339" s="377"/>
      <c r="J339" s="377"/>
      <c r="K339" s="377"/>
      <c r="L339" s="377"/>
      <c r="M339" s="377"/>
      <c r="N339" s="377"/>
      <c r="O339" s="377"/>
      <c r="P339" s="377"/>
      <c r="Q339" s="377"/>
      <c r="R339" s="377"/>
      <c r="S339" s="42"/>
      <c r="T339" s="42"/>
      <c r="U339" s="42"/>
      <c r="V339" s="42"/>
      <c r="W339" s="86"/>
      <c r="AL339" s="377">
        <f>IPMT('Assumptions (NG Midstream)'!$B$72,Model!W$1,'Assumptions (NG Midstream)'!$B$75,Model!$AL$249)</f>
        <v>-7.7660325855862161E-2</v>
      </c>
      <c r="AM339" s="377">
        <f>IPMT('Assumptions (NG Midstream)'!$B$72,Model!X$1,'Assumptions (NG Midstream)'!$B$75,Model!$AL$249)</f>
        <v>-7.4686926612241369E-2</v>
      </c>
      <c r="AN339" s="377">
        <f>IPMT('Assumptions (NG Midstream)'!$B$72,Model!Y$1,'Assumptions (NG Midstream)'!$B$75,Model!$AL$249)</f>
        <v>-7.1490522425348993E-2</v>
      </c>
      <c r="AO339" s="377">
        <f>IPMT('Assumptions (NG Midstream)'!$B$72,Model!Z$1,'Assumptions (NG Midstream)'!$B$75,Model!$AL$249)</f>
        <v>-6.8054387924439713E-2</v>
      </c>
      <c r="AP339" s="377">
        <f>IPMT('Assumptions (NG Midstream)'!$B$72,Model!AA$1,'Assumptions (NG Midstream)'!$B$75,Model!$AL$249)</f>
        <v>-6.4360543335962223E-2</v>
      </c>
      <c r="AQ339" s="377">
        <f>IPMT('Assumptions (NG Midstream)'!$B$72,Model!AB$1,'Assumptions (NG Midstream)'!$B$75,Model!$AL$249)</f>
        <v>-6.0389660403348921E-2</v>
      </c>
      <c r="AR339" s="377">
        <f>IPMT('Assumptions (NG Midstream)'!$B$72,Model!AC$1,'Assumptions (NG Midstream)'!$B$75,Model!$AL$249)</f>
        <v>-5.6120961250789636E-2</v>
      </c>
      <c r="AS339" s="377">
        <f>IPMT('Assumptions (NG Midstream)'!$B$72,Model!AD$1,'Assumptions (NG Midstream)'!$B$75,Model!$AL$249)</f>
        <v>-5.1532109661788388E-2</v>
      </c>
      <c r="AT339" s="377">
        <f>IPMT('Assumptions (NG Midstream)'!$B$72,Model!AE$1,'Assumptions (NG Midstream)'!$B$75,Model!$AL$249)</f>
        <v>-4.6599094203612058E-2</v>
      </c>
      <c r="AU339" s="377">
        <f>IPMT('Assumptions (NG Midstream)'!$B$72,Model!AF$1,'Assumptions (NG Midstream)'!$B$75,Model!$AL$249)</f>
        <v>-4.1296102586072497E-2</v>
      </c>
      <c r="AV339" s="377">
        <f>IPMT('Assumptions (NG Midstream)'!$B$72,Model!AG$1,'Assumptions (NG Midstream)'!$B$75,Model!$AL$249)</f>
        <v>-3.559538659721747E-2</v>
      </c>
      <c r="AW339" s="377">
        <f>IPMT('Assumptions (NG Midstream)'!$B$72,Model!AH$1,'Assumptions (NG Midstream)'!$B$75,Model!$AL$249)</f>
        <v>-2.9467116909198322E-2</v>
      </c>
      <c r="AX339" s="377">
        <f>IPMT('Assumptions (NG Midstream)'!$B$72,Model!AI$1,'Assumptions (NG Midstream)'!$B$75,Model!$AL$249)</f>
        <v>-2.2879226994577725E-2</v>
      </c>
      <c r="AY339" s="377">
        <f>IPMT('Assumptions (NG Midstream)'!$B$72,Model!AJ$1,'Assumptions (NG Midstream)'!$B$75,Model!$AL$249)</f>
        <v>-1.5797245336360594E-2</v>
      </c>
      <c r="AZ339" s="377">
        <f>IPMT('Assumptions (NG Midstream)'!$B$72,Model!AK$1,'Assumptions (NG Midstream)'!$B$75,Model!$AL$249)</f>
        <v>-8.1841150537771759E-3</v>
      </c>
      <c r="BA339" s="377" t="e">
        <f>IPMT('Assumptions (NG Midstream)'!$B$72,Model!AL$1,'Assumptions (NG Midstream)'!$B$75,Model!$AL$249)</f>
        <v>#NUM!</v>
      </c>
      <c r="BB339" s="377" t="e">
        <f>IPMT('Assumptions (NG Midstream)'!$B$72,Model!AM$1,'Assumptions (NG Midstream)'!$B$75,Model!$AL$249)</f>
        <v>#NUM!</v>
      </c>
      <c r="BC339" s="377" t="e">
        <f>IPMT('Assumptions (NG Midstream)'!$B$72,Model!AN$1,'Assumptions (NG Midstream)'!$B$75,Model!$AL$249)</f>
        <v>#NUM!</v>
      </c>
      <c r="BD339" s="377" t="e">
        <f>IPMT('Assumptions (NG Midstream)'!$B$72,Model!AO$1,'Assumptions (NG Midstream)'!$B$75,Model!$AL$249)</f>
        <v>#NUM!</v>
      </c>
      <c r="BE339" s="377" t="e">
        <f>IPMT('Assumptions (NG Midstream)'!$B$72,Model!AP$1,'Assumptions (NG Midstream)'!$B$75,Model!$AL$249)</f>
        <v>#NUM!</v>
      </c>
      <c r="BF339" s="377" t="e">
        <f>IPMT('Assumptions (NG Midstream)'!$B$72,Model!AQ$1,'Assumptions (NG Midstream)'!$B$75,Model!$AL$249)</f>
        <v>#NUM!</v>
      </c>
      <c r="BG339" s="377" t="e">
        <f>IPMT('Assumptions (NG Midstream)'!$B$72,Model!AR$1,'Assumptions (NG Midstream)'!$B$75,Model!$AL$249)</f>
        <v>#NUM!</v>
      </c>
      <c r="BH339" s="377" t="e">
        <f>IPMT('Assumptions (NG Midstream)'!$B$72,Model!AS$1,'Assumptions (NG Midstream)'!$B$75,Model!$AL$249)</f>
        <v>#NUM!</v>
      </c>
      <c r="BI339" s="377" t="e">
        <f>IPMT('Assumptions (NG Midstream)'!$B$72,Model!AT$1,'Assumptions (NG Midstream)'!$B$75,Model!$AL$249)</f>
        <v>#NUM!</v>
      </c>
      <c r="BJ339" s="377" t="e">
        <f>IPMT('Assumptions (NG Midstream)'!$B$72,Model!AU$1,'Assumptions (NG Midstream)'!$B$75,Model!$AL$249)</f>
        <v>#NUM!</v>
      </c>
    </row>
    <row r="340" spans="1:75" ht="15.75" hidden="1" customHeight="1" outlineLevel="1">
      <c r="A340" s="365"/>
      <c r="B340" s="99"/>
      <c r="C340" s="377"/>
      <c r="D340" s="377"/>
      <c r="E340" s="377"/>
      <c r="F340" s="377"/>
      <c r="G340" s="377"/>
      <c r="H340" s="377"/>
      <c r="I340" s="377"/>
      <c r="J340" s="377"/>
      <c r="K340" s="377"/>
      <c r="L340" s="377"/>
      <c r="M340" s="377"/>
      <c r="N340" s="377"/>
      <c r="O340" s="377"/>
      <c r="P340" s="377"/>
      <c r="Q340" s="377"/>
      <c r="R340" s="377"/>
      <c r="S340" s="42"/>
      <c r="T340" s="42"/>
      <c r="U340" s="42"/>
      <c r="V340" s="42"/>
      <c r="W340" s="86"/>
      <c r="AM340" s="377">
        <f>IPMT('Assumptions (NG Midstream)'!$B$72,Model!W$1,'Assumptions (NG Midstream)'!$B$75,Model!$AM$249)</f>
        <v>-7.1806625155480225E-2</v>
      </c>
      <c r="AN340" s="377">
        <f>IPMT('Assumptions (NG Midstream)'!$B$72,Model!X$1,'Assumptions (NG Midstream)'!$B$75,Model!$AM$249)</f>
        <v>-6.9057347933536267E-2</v>
      </c>
      <c r="AO340" s="377">
        <f>IPMT('Assumptions (NG Midstream)'!$B$72,Model!Y$1,'Assumptions (NG Midstream)'!$B$75,Model!$AM$249)</f>
        <v>-6.6101874919946513E-2</v>
      </c>
      <c r="AP340" s="377">
        <f>IPMT('Assumptions (NG Midstream)'!$B$72,Model!Z$1,'Assumptions (NG Midstream)'!$B$75,Model!$AM$249)</f>
        <v>-6.2924741430337536E-2</v>
      </c>
      <c r="AQ340" s="377">
        <f>IPMT('Assumptions (NG Midstream)'!$B$72,Model!AA$1,'Assumptions (NG Midstream)'!$B$75,Model!$AM$249)</f>
        <v>-5.950932292900786E-2</v>
      </c>
      <c r="AR340" s="377">
        <f>IPMT('Assumptions (NG Midstream)'!$B$72,Model!AB$1,'Assumptions (NG Midstream)'!$B$75,Model!$AM$249)</f>
        <v>-5.5837748040078468E-2</v>
      </c>
      <c r="AS340" s="377">
        <f>IPMT('Assumptions (NG Midstream)'!$B$72,Model!AC$1,'Assumptions (NG Midstream)'!$B$75,Model!$AM$249)</f>
        <v>-5.1890805034479383E-2</v>
      </c>
      <c r="AT340" s="377">
        <f>IPMT('Assumptions (NG Midstream)'!$B$72,Model!AD$1,'Assumptions (NG Midstream)'!$B$75,Model!$AM$249)</f>
        <v>-4.7647841303460364E-2</v>
      </c>
      <c r="AU340" s="377">
        <f>IPMT('Assumptions (NG Midstream)'!$B$72,Model!AE$1,'Assumptions (NG Midstream)'!$B$75,Model!$AM$249)</f>
        <v>-4.3086655292614913E-2</v>
      </c>
      <c r="AV340" s="377">
        <f>IPMT('Assumptions (NG Midstream)'!$B$72,Model!AF$1,'Assumptions (NG Midstream)'!$B$75,Model!$AM$249)</f>
        <v>-3.8183380330956057E-2</v>
      </c>
      <c r="AW340" s="377">
        <f>IPMT('Assumptions (NG Midstream)'!$B$72,Model!AG$1,'Assumptions (NG Midstream)'!$B$75,Model!$AM$249)</f>
        <v>-3.2912359747172784E-2</v>
      </c>
      <c r="AX340" s="377">
        <f>IPMT('Assumptions (NG Midstream)'!$B$72,Model!AH$1,'Assumptions (NG Midstream)'!$B$75,Model!$AM$249)</f>
        <v>-2.7246012619605773E-2</v>
      </c>
      <c r="AY340" s="377">
        <f>IPMT('Assumptions (NG Midstream)'!$B$72,Model!AI$1,'Assumptions (NG Midstream)'!$B$75,Model!$AM$249)</f>
        <v>-2.1154689457471221E-2</v>
      </c>
      <c r="AZ340" s="377">
        <f>IPMT('Assumptions (NG Midstream)'!$B$72,Model!AJ$1,'Assumptions (NG Midstream)'!$B$75,Model!$AM$249)</f>
        <v>-1.4606517058176591E-2</v>
      </c>
      <c r="BA340" s="377">
        <f>IPMT('Assumptions (NG Midstream)'!$B$72,Model!AK$1,'Assumptions (NG Midstream)'!$B$75,Model!$AM$249)</f>
        <v>-7.567231728934861E-3</v>
      </c>
      <c r="BB340" s="377" t="e">
        <f>IPMT('Assumptions (NG Midstream)'!$B$72,Model!AL$1,'Assumptions (NG Midstream)'!$B$75,Model!$AM$249)</f>
        <v>#NUM!</v>
      </c>
      <c r="BC340" s="377" t="e">
        <f>IPMT('Assumptions (NG Midstream)'!$B$72,Model!AM$1,'Assumptions (NG Midstream)'!$B$75,Model!$AM$249)</f>
        <v>#NUM!</v>
      </c>
      <c r="BD340" s="377" t="e">
        <f>IPMT('Assumptions (NG Midstream)'!$B$72,Model!AN$1,'Assumptions (NG Midstream)'!$B$75,Model!$AM$249)</f>
        <v>#NUM!</v>
      </c>
      <c r="BE340" s="377" t="e">
        <f>IPMT('Assumptions (NG Midstream)'!$B$72,Model!AO$1,'Assumptions (NG Midstream)'!$B$75,Model!$AM$249)</f>
        <v>#NUM!</v>
      </c>
      <c r="BF340" s="377" t="e">
        <f>IPMT('Assumptions (NG Midstream)'!$B$72,Model!AP$1,'Assumptions (NG Midstream)'!$B$75,Model!$AM$249)</f>
        <v>#NUM!</v>
      </c>
      <c r="BG340" s="377" t="e">
        <f>IPMT('Assumptions (NG Midstream)'!$B$72,Model!AQ$1,'Assumptions (NG Midstream)'!$B$75,Model!$AM$249)</f>
        <v>#NUM!</v>
      </c>
      <c r="BH340" s="377" t="e">
        <f>IPMT('Assumptions (NG Midstream)'!$B$72,Model!AR$1,'Assumptions (NG Midstream)'!$B$75,Model!$AM$249)</f>
        <v>#NUM!</v>
      </c>
      <c r="BI340" s="377" t="e">
        <f>IPMT('Assumptions (NG Midstream)'!$B$72,Model!AS$1,'Assumptions (NG Midstream)'!$B$75,Model!$AM$249)</f>
        <v>#NUM!</v>
      </c>
      <c r="BJ340" s="377" t="e">
        <f>IPMT('Assumptions (NG Midstream)'!$B$72,Model!AT$1,'Assumptions (NG Midstream)'!$B$75,Model!$AM$249)</f>
        <v>#NUM!</v>
      </c>
      <c r="BK340" s="377" t="e">
        <f>IPMT('Assumptions (NG Midstream)'!$B$72,Model!AU$1,'Assumptions (NG Midstream)'!$B$75,Model!$AM$249)</f>
        <v>#NUM!</v>
      </c>
    </row>
    <row r="341" spans="1:75" ht="15.75" hidden="1" customHeight="1" outlineLevel="1">
      <c r="A341" s="365"/>
      <c r="B341" s="99"/>
      <c r="C341" s="377"/>
      <c r="D341" s="377"/>
      <c r="E341" s="377"/>
      <c r="F341" s="377"/>
      <c r="G341" s="377"/>
      <c r="H341" s="377"/>
      <c r="I341" s="377"/>
      <c r="J341" s="377"/>
      <c r="K341" s="377"/>
      <c r="L341" s="377"/>
      <c r="M341" s="377"/>
      <c r="N341" s="377"/>
      <c r="O341" s="377"/>
      <c r="P341" s="377"/>
      <c r="Q341" s="377"/>
      <c r="R341" s="377"/>
      <c r="S341" s="42"/>
      <c r="T341" s="42"/>
      <c r="U341" s="42"/>
      <c r="V341" s="42"/>
      <c r="W341" s="86"/>
      <c r="AN341" s="377">
        <f>IPMT('Assumptions (NG Midstream)'!$B$72,Model!W$1,'Assumptions (NG Midstream)'!$B$75,Model!$AN$249)</f>
        <v>-7.5321115472316541E-2</v>
      </c>
      <c r="AO341" s="377">
        <f>IPMT('Assumptions (NG Midstream)'!$B$72,Model!X$1,'Assumptions (NG Midstream)'!$B$75,Model!$AN$249)</f>
        <v>-7.2437278129298815E-2</v>
      </c>
      <c r="AP341" s="377">
        <f>IPMT('Assumptions (NG Midstream)'!$B$72,Model!Y$1,'Assumptions (NG Midstream)'!$B$75,Model!$AN$249)</f>
        <v>-6.9337152985554748E-2</v>
      </c>
      <c r="AQ341" s="377">
        <f>IPMT('Assumptions (NG Midstream)'!$B$72,Model!Z$1,'Assumptions (NG Midstream)'!$B$75,Model!$AN$249)</f>
        <v>-6.6004518456029879E-2</v>
      </c>
      <c r="AR341" s="377">
        <f>IPMT('Assumptions (NG Midstream)'!$B$72,Model!AA$1,'Assumptions (NG Midstream)'!$B$75,Model!$AN$249)</f>
        <v>-6.2421936336790634E-2</v>
      </c>
      <c r="AS341" s="377">
        <f>IPMT('Assumptions (NG Midstream)'!$B$72,Model!AB$1,'Assumptions (NG Midstream)'!$B$75,Model!$AN$249)</f>
        <v>-5.8570660558608455E-2</v>
      </c>
      <c r="AT341" s="377">
        <f>IPMT('Assumptions (NG Midstream)'!$B$72,Model!AC$1,'Assumptions (NG Midstream)'!$B$75,Model!$AN$249)</f>
        <v>-5.4430539097062622E-2</v>
      </c>
      <c r="AU341" s="377">
        <f>IPMT('Assumptions (NG Midstream)'!$B$72,Model!AD$1,'Assumptions (NG Midstream)'!$B$75,Model!$AN$249)</f>
        <v>-4.9979908525900833E-2</v>
      </c>
      <c r="AV341" s="377">
        <f>IPMT('Assumptions (NG Midstream)'!$B$72,Model!AE$1,'Assumptions (NG Midstream)'!$B$75,Model!$AN$249)</f>
        <v>-4.5195480661901925E-2</v>
      </c>
      <c r="AW341" s="377">
        <f>IPMT('Assumptions (NG Midstream)'!$B$72,Model!AF$1,'Assumptions (NG Midstream)'!$B$75,Model!$AN$249)</f>
        <v>-4.005222070810309E-2</v>
      </c>
      <c r="AX341" s="377">
        <f>IPMT('Assumptions (NG Midstream)'!$B$72,Model!AG$1,'Assumptions (NG Midstream)'!$B$75,Model!$AN$249)</f>
        <v>-3.452321625776935E-2</v>
      </c>
      <c r="AY341" s="377">
        <f>IPMT('Assumptions (NG Midstream)'!$B$72,Model!AH$1,'Assumptions (NG Midstream)'!$B$75,Model!$AN$249)</f>
        <v>-2.8579536473660575E-2</v>
      </c>
      <c r="AZ341" s="377">
        <f>IPMT('Assumptions (NG Midstream)'!$B$72,Model!AI$1,'Assumptions (NG Midstream)'!$B$75,Model!$AN$249)</f>
        <v>-2.2190080705743638E-2</v>
      </c>
      <c r="BA341" s="377">
        <f>IPMT('Assumptions (NG Midstream)'!$B$72,Model!AJ$1,'Assumptions (NG Midstream)'!$B$75,Model!$AN$249)</f>
        <v>-1.5321415755232937E-2</v>
      </c>
      <c r="BB341" s="377">
        <f>IPMT('Assumptions (NG Midstream)'!$B$72,Model!AK$1,'Assumptions (NG Midstream)'!$B$75,Model!$AN$249)</f>
        <v>-7.9376009334339321E-3</v>
      </c>
      <c r="BC341" s="377" t="e">
        <f>IPMT('Assumptions (NG Midstream)'!$B$72,Model!AL$1,'Assumptions (NG Midstream)'!$B$75,Model!$AN$249)</f>
        <v>#NUM!</v>
      </c>
      <c r="BD341" s="377" t="e">
        <f>IPMT('Assumptions (NG Midstream)'!$B$72,Model!AM$1,'Assumptions (NG Midstream)'!$B$75,Model!$AN$249)</f>
        <v>#NUM!</v>
      </c>
      <c r="BE341" s="377" t="e">
        <f>IPMT('Assumptions (NG Midstream)'!$B$72,Model!AN$1,'Assumptions (NG Midstream)'!$B$75,Model!$AN$249)</f>
        <v>#NUM!</v>
      </c>
      <c r="BF341" s="377" t="e">
        <f>IPMT('Assumptions (NG Midstream)'!$B$72,Model!AO$1,'Assumptions (NG Midstream)'!$B$75,Model!$AN$249)</f>
        <v>#NUM!</v>
      </c>
      <c r="BG341" s="377" t="e">
        <f>IPMT('Assumptions (NG Midstream)'!$B$72,Model!AP$1,'Assumptions (NG Midstream)'!$B$75,Model!$AN$249)</f>
        <v>#NUM!</v>
      </c>
      <c r="BH341" s="377" t="e">
        <f>IPMT('Assumptions (NG Midstream)'!$B$72,Model!AQ$1,'Assumptions (NG Midstream)'!$B$75,Model!$AN$249)</f>
        <v>#NUM!</v>
      </c>
      <c r="BI341" s="377" t="e">
        <f>IPMT('Assumptions (NG Midstream)'!$B$72,Model!AR$1,'Assumptions (NG Midstream)'!$B$75,Model!$AN$249)</f>
        <v>#NUM!</v>
      </c>
      <c r="BJ341" s="377" t="e">
        <f>IPMT('Assumptions (NG Midstream)'!$B$72,Model!AS$1,'Assumptions (NG Midstream)'!$B$75,Model!$AN$249)</f>
        <v>#NUM!</v>
      </c>
      <c r="BK341" s="377" t="e">
        <f>IPMT('Assumptions (NG Midstream)'!$B$72,Model!AT$1,'Assumptions (NG Midstream)'!$B$75,Model!$AN$249)</f>
        <v>#NUM!</v>
      </c>
      <c r="BL341" s="377" t="e">
        <f>IPMT('Assumptions (NG Midstream)'!$B$72,Model!AU$1,'Assumptions (NG Midstream)'!$B$75,Model!$AN$249)</f>
        <v>#NUM!</v>
      </c>
    </row>
    <row r="342" spans="1:75" ht="15.75" hidden="1" customHeight="1" outlineLevel="1">
      <c r="A342" s="365"/>
      <c r="B342" s="99"/>
      <c r="C342" s="377"/>
      <c r="D342" s="377"/>
      <c r="E342" s="377"/>
      <c r="F342" s="377"/>
      <c r="G342" s="377"/>
      <c r="H342" s="377"/>
      <c r="I342" s="377"/>
      <c r="J342" s="377"/>
      <c r="K342" s="377"/>
      <c r="L342" s="377"/>
      <c r="M342" s="377"/>
      <c r="N342" s="377"/>
      <c r="O342" s="377"/>
      <c r="P342" s="377"/>
      <c r="Q342" s="377"/>
      <c r="R342" s="377"/>
      <c r="S342" s="42"/>
      <c r="T342" s="42"/>
      <c r="U342" s="42"/>
      <c r="V342" s="42"/>
      <c r="W342" s="86"/>
      <c r="AO342" s="377">
        <f>IPMT('Assumptions (NG Midstream)'!$B$72,Model!W$1,'Assumptions (NG Midstream)'!$B$75,Model!$AO$249)</f>
        <v>-7.1609844054402849E-2</v>
      </c>
      <c r="AP342" s="377">
        <f>IPMT('Assumptions (NG Midstream)'!$B$72,Model!X$1,'Assumptions (NG Midstream)'!$B$75,Model!$AO$249)</f>
        <v>-6.8868101036966209E-2</v>
      </c>
      <c r="AQ342" s="377">
        <f>IPMT('Assumptions (NG Midstream)'!$B$72,Model!Y$1,'Assumptions (NG Midstream)'!$B$75,Model!$AO$249)</f>
        <v>-6.5920727293221806E-2</v>
      </c>
      <c r="AR342" s="377">
        <f>IPMT('Assumptions (NG Midstream)'!$B$72,Model!Z$1,'Assumptions (NG Midstream)'!$B$75,Model!$AO$249)</f>
        <v>-6.2752300518696583E-2</v>
      </c>
      <c r="AS342" s="377">
        <f>IPMT('Assumptions (NG Midstream)'!$B$72,Model!AA$1,'Assumptions (NG Midstream)'!$B$75,Model!$AO$249)</f>
        <v>-5.9346241736081953E-2</v>
      </c>
      <c r="AT342" s="377">
        <f>IPMT('Assumptions (NG Midstream)'!$B$72,Model!AB$1,'Assumptions (NG Midstream)'!$B$75,Model!$AO$249)</f>
        <v>-5.5684728544771231E-2</v>
      </c>
      <c r="AU342" s="377">
        <f>IPMT('Assumptions (NG Midstream)'!$B$72,Model!AC$1,'Assumptions (NG Midstream)'!$B$75,Model!$AO$249)</f>
        <v>-5.1748601864112224E-2</v>
      </c>
      <c r="AV342" s="377">
        <f>IPMT('Assumptions (NG Midstream)'!$B$72,Model!AD$1,'Assumptions (NG Midstream)'!$B$75,Model!$AO$249)</f>
        <v>-4.7517265682403768E-2</v>
      </c>
      <c r="AW342" s="377">
        <f>IPMT('Assumptions (NG Midstream)'!$B$72,Model!AE$1,'Assumptions (NG Midstream)'!$B$75,Model!$AO$249)</f>
        <v>-4.2968579287067189E-2</v>
      </c>
      <c r="AX342" s="377">
        <f>IPMT('Assumptions (NG Midstream)'!$B$72,Model!AF$1,'Assumptions (NG Midstream)'!$B$75,Model!$AO$249)</f>
        <v>-3.8078741412080362E-2</v>
      </c>
      <c r="AY342" s="377">
        <f>IPMT('Assumptions (NG Midstream)'!$B$72,Model!AG$1,'Assumptions (NG Midstream)'!$B$75,Model!$AO$249)</f>
        <v>-3.2822165696469528E-2</v>
      </c>
      <c r="AZ342" s="377">
        <f>IPMT('Assumptions (NG Midstream)'!$B$72,Model!AH$1,'Assumptions (NG Midstream)'!$B$75,Model!$AO$249)</f>
        <v>-2.7171346802187881E-2</v>
      </c>
      <c r="BA342" s="377">
        <f>IPMT('Assumptions (NG Midstream)'!$B$72,Model!AI$1,'Assumptions (NG Midstream)'!$B$75,Model!$AO$249)</f>
        <v>-2.10967164908351E-2</v>
      </c>
      <c r="BB342" s="377">
        <f>IPMT('Assumptions (NG Midstream)'!$B$72,Model!AJ$1,'Assumptions (NG Midstream)'!$B$75,Model!$AO$249)</f>
        <v>-1.4566488906130874E-2</v>
      </c>
      <c r="BC342" s="377">
        <f>IPMT('Assumptions (NG Midstream)'!$B$72,Model!AK$1,'Assumptions (NG Midstream)'!$B$75,Model!$AO$249)</f>
        <v>-7.5464942525738264E-3</v>
      </c>
      <c r="BD342" s="377" t="e">
        <f>IPMT('Assumptions (NG Midstream)'!$B$72,Model!AL$1,'Assumptions (NG Midstream)'!$B$75,Model!$AO$249)</f>
        <v>#NUM!</v>
      </c>
      <c r="BE342" s="377" t="e">
        <f>IPMT('Assumptions (NG Midstream)'!$B$72,Model!AM$1,'Assumptions (NG Midstream)'!$B$75,Model!$AO$249)</f>
        <v>#NUM!</v>
      </c>
      <c r="BF342" s="377" t="e">
        <f>IPMT('Assumptions (NG Midstream)'!$B$72,Model!AN$1,'Assumptions (NG Midstream)'!$B$75,Model!$AO$249)</f>
        <v>#NUM!</v>
      </c>
      <c r="BG342" s="377" t="e">
        <f>IPMT('Assumptions (NG Midstream)'!$B$72,Model!AO$1,'Assumptions (NG Midstream)'!$B$75,Model!$AO$249)</f>
        <v>#NUM!</v>
      </c>
      <c r="BH342" s="377" t="e">
        <f>IPMT('Assumptions (NG Midstream)'!$B$72,Model!AP$1,'Assumptions (NG Midstream)'!$B$75,Model!$AO$249)</f>
        <v>#NUM!</v>
      </c>
      <c r="BI342" s="377" t="e">
        <f>IPMT('Assumptions (NG Midstream)'!$B$72,Model!AQ$1,'Assumptions (NG Midstream)'!$B$75,Model!$AO$249)</f>
        <v>#NUM!</v>
      </c>
      <c r="BJ342" s="377" t="e">
        <f>IPMT('Assumptions (NG Midstream)'!$B$72,Model!AR$1,'Assumptions (NG Midstream)'!$B$75,Model!$AO$249)</f>
        <v>#NUM!</v>
      </c>
      <c r="BK342" s="377" t="e">
        <f>IPMT('Assumptions (NG Midstream)'!$B$72,Model!AS$1,'Assumptions (NG Midstream)'!$B$75,Model!$AO$249)</f>
        <v>#NUM!</v>
      </c>
      <c r="BL342" s="377" t="e">
        <f>IPMT('Assumptions (NG Midstream)'!$B$72,Model!AT$1,'Assumptions (NG Midstream)'!$B$75,Model!$AO$249)</f>
        <v>#NUM!</v>
      </c>
      <c r="BM342" s="377" t="e">
        <f>IPMT('Assumptions (NG Midstream)'!$B$72,Model!AU$1,'Assumptions (NG Midstream)'!$B$75,Model!$AO$249)</f>
        <v>#NUM!</v>
      </c>
    </row>
    <row r="343" spans="1:75" ht="15.75" hidden="1" customHeight="1" outlineLevel="1">
      <c r="A343" s="365"/>
      <c r="B343" s="99"/>
      <c r="C343" s="377"/>
      <c r="D343" s="377"/>
      <c r="E343" s="377"/>
      <c r="F343" s="377"/>
      <c r="G343" s="377"/>
      <c r="H343" s="377"/>
      <c r="I343" s="377"/>
      <c r="J343" s="377"/>
      <c r="K343" s="377"/>
      <c r="L343" s="377"/>
      <c r="M343" s="377"/>
      <c r="N343" s="377"/>
      <c r="O343" s="377"/>
      <c r="P343" s="377"/>
      <c r="Q343" s="377"/>
      <c r="R343" s="377"/>
      <c r="S343" s="42"/>
      <c r="T343" s="42"/>
      <c r="U343" s="42"/>
      <c r="V343" s="42"/>
      <c r="W343" s="86"/>
      <c r="AP343" s="377">
        <f>IPMT('Assumptions (NG Midstream)'!$B$72,Model!W$1,'Assumptions (NG Midstream)'!$B$75,Model!$AP$249)</f>
        <v>-7.4455197886457838E-2</v>
      </c>
      <c r="AQ343" s="377">
        <f>IPMT('Assumptions (NG Midstream)'!$B$72,Model!X$1,'Assumptions (NG Midstream)'!$B$75,Model!$AP$249)</f>
        <v>-7.160451413462654E-2</v>
      </c>
      <c r="AR343" s="377">
        <f>IPMT('Assumptions (NG Midstream)'!$B$72,Model!Y$1,'Assumptions (NG Midstream)'!$B$75,Model!$AP$249)</f>
        <v>-6.8540029101407884E-2</v>
      </c>
      <c r="AS343" s="377">
        <f>IPMT('Assumptions (NG Midstream)'!$B$72,Model!Z$1,'Assumptions (NG Midstream)'!$B$75,Model!$AP$249)</f>
        <v>-6.5245707690697846E-2</v>
      </c>
      <c r="AT343" s="377">
        <f>IPMT('Assumptions (NG Midstream)'!$B$72,Model!AA$1,'Assumptions (NG Midstream)'!$B$75,Model!$AP$249)</f>
        <v>-6.1704312174184525E-2</v>
      </c>
      <c r="AU343" s="377">
        <f>IPMT('Assumptions (NG Midstream)'!$B$72,Model!AB$1,'Assumptions (NG Midstream)'!$B$75,Model!$AP$249)</f>
        <v>-5.7897311993932721E-2</v>
      </c>
      <c r="AV343" s="377">
        <f>IPMT('Assumptions (NG Midstream)'!$B$72,Model!AC$1,'Assumptions (NG Midstream)'!$B$75,Model!$AP$249)</f>
        <v>-5.3804786800162034E-2</v>
      </c>
      <c r="AW343" s="377">
        <f>IPMT('Assumptions (NG Midstream)'!$B$72,Model!AD$1,'Assumptions (NG Midstream)'!$B$75,Model!$AP$249)</f>
        <v>-4.940532221685854E-2</v>
      </c>
      <c r="AX343" s="377">
        <f>IPMT('Assumptions (NG Midstream)'!$B$72,Model!AE$1,'Assumptions (NG Midstream)'!$B$75,Model!$AP$249)</f>
        <v>-4.4675897789807288E-2</v>
      </c>
      <c r="AY343" s="377">
        <f>IPMT('Assumptions (NG Midstream)'!$B$72,Model!AF$1,'Assumptions (NG Midstream)'!$B$75,Model!$AP$249)</f>
        <v>-3.9591766530727192E-2</v>
      </c>
      <c r="AZ343" s="377">
        <f>IPMT('Assumptions (NG Midstream)'!$B$72,Model!AG$1,'Assumptions (NG Midstream)'!$B$75,Model!$AP$249)</f>
        <v>-3.4126325427216088E-2</v>
      </c>
      <c r="BA343" s="377">
        <f>IPMT('Assumptions (NG Midstream)'!$B$72,Model!AH$1,'Assumptions (NG Midstream)'!$B$75,Model!$AP$249)</f>
        <v>-2.825097624094166E-2</v>
      </c>
      <c r="BB343" s="377">
        <f>IPMT('Assumptions (NG Midstream)'!$B$72,Model!AI$1,'Assumptions (NG Midstream)'!$B$75,Model!$AP$249)</f>
        <v>-2.1934975865696631E-2</v>
      </c>
      <c r="BC343" s="377">
        <f>IPMT('Assumptions (NG Midstream)'!$B$72,Model!AJ$1,'Assumptions (NG Midstream)'!$B$75,Model!$AP$249)</f>
        <v>-1.514527546230824E-2</v>
      </c>
      <c r="BD343" s="377">
        <f>IPMT('Assumptions (NG Midstream)'!$B$72,Model!AK$1,'Assumptions (NG Midstream)'!$B$75,Model!$AP$249)</f>
        <v>-7.8463475286657154E-3</v>
      </c>
      <c r="BE343" s="377" t="e">
        <f>IPMT('Assumptions (NG Midstream)'!$B$72,Model!AL$1,'Assumptions (NG Midstream)'!$B$75,Model!$AP$249)</f>
        <v>#NUM!</v>
      </c>
      <c r="BF343" s="377" t="e">
        <f>IPMT('Assumptions (NG Midstream)'!$B$72,Model!AM$1,'Assumptions (NG Midstream)'!$B$75,Model!$AP$249)</f>
        <v>#NUM!</v>
      </c>
      <c r="BG343" s="377" t="e">
        <f>IPMT('Assumptions (NG Midstream)'!$B$72,Model!AN$1,'Assumptions (NG Midstream)'!$B$75,Model!$AP$249)</f>
        <v>#NUM!</v>
      </c>
      <c r="BH343" s="377" t="e">
        <f>IPMT('Assumptions (NG Midstream)'!$B$72,Model!AO$1,'Assumptions (NG Midstream)'!$B$75,Model!$AP$249)</f>
        <v>#NUM!</v>
      </c>
      <c r="BI343" s="377" t="e">
        <f>IPMT('Assumptions (NG Midstream)'!$B$72,Model!AP$1,'Assumptions (NG Midstream)'!$B$75,Model!$AP$249)</f>
        <v>#NUM!</v>
      </c>
      <c r="BJ343" s="377" t="e">
        <f>IPMT('Assumptions (NG Midstream)'!$B$72,Model!AQ$1,'Assumptions (NG Midstream)'!$B$75,Model!$AP$249)</f>
        <v>#NUM!</v>
      </c>
      <c r="BK343" s="377" t="e">
        <f>IPMT('Assumptions (NG Midstream)'!$B$72,Model!AR$1,'Assumptions (NG Midstream)'!$B$75,Model!$AP$249)</f>
        <v>#NUM!</v>
      </c>
      <c r="BL343" s="377" t="e">
        <f>IPMT('Assumptions (NG Midstream)'!$B$72,Model!AS$1,'Assumptions (NG Midstream)'!$B$75,Model!$AP$249)</f>
        <v>#NUM!</v>
      </c>
      <c r="BM343" s="377" t="e">
        <f>IPMT('Assumptions (NG Midstream)'!$B$72,Model!AT$1,'Assumptions (NG Midstream)'!$B$75,Model!$AP$249)</f>
        <v>#NUM!</v>
      </c>
      <c r="BN343" s="377" t="e">
        <f>IPMT('Assumptions (NG Midstream)'!$B$72,Model!AU$1,'Assumptions (NG Midstream)'!$B$75,Model!$AP$249)</f>
        <v>#NUM!</v>
      </c>
    </row>
    <row r="344" spans="1:75" ht="15.75" hidden="1" customHeight="1" outlineLevel="1">
      <c r="A344" s="365"/>
      <c r="B344" s="99"/>
      <c r="C344" s="377"/>
      <c r="D344" s="377"/>
      <c r="E344" s="377"/>
      <c r="F344" s="377"/>
      <c r="G344" s="377"/>
      <c r="H344" s="377"/>
      <c r="I344" s="377"/>
      <c r="J344" s="377"/>
      <c r="K344" s="377"/>
      <c r="L344" s="377"/>
      <c r="M344" s="377"/>
      <c r="N344" s="377"/>
      <c r="O344" s="377"/>
      <c r="P344" s="377"/>
      <c r="Q344" s="377"/>
      <c r="R344" s="377"/>
      <c r="S344" s="42"/>
      <c r="T344" s="42"/>
      <c r="U344" s="42"/>
      <c r="V344" s="42"/>
      <c r="W344" s="86"/>
      <c r="AQ344" s="377">
        <f>IPMT('Assumptions (NG Midstream)'!$B$72,Model!W$1,'Assumptions (NG Midstream)'!$B$75,Model!$AQ$249)</f>
        <v>-7.0359502797102652E-2</v>
      </c>
      <c r="AR344" s="377">
        <f>IPMT('Assumptions (NG Midstream)'!$B$72,Model!X$1,'Assumptions (NG Midstream)'!$B$75,Model!$AQ$249)</f>
        <v>-6.7665631890782618E-2</v>
      </c>
      <c r="AS344" s="377">
        <f>IPMT('Assumptions (NG Midstream)'!$B$72,Model!Y$1,'Assumptions (NG Midstream)'!$B$75,Model!$AQ$249)</f>
        <v>-6.4769720666488576E-2</v>
      </c>
      <c r="AT344" s="377">
        <f>IPMT('Assumptions (NG Midstream)'!$B$72,Model!Z$1,'Assumptions (NG Midstream)'!$B$75,Model!$AQ$249)</f>
        <v>-6.1656616100372492E-2</v>
      </c>
      <c r="AU344" s="377">
        <f>IPMT('Assumptions (NG Midstream)'!$B$72,Model!AA$1,'Assumptions (NG Midstream)'!$B$75,Model!$AQ$249)</f>
        <v>-5.8310028691797688E-2</v>
      </c>
      <c r="AV344" s="377">
        <f>IPMT('Assumptions (NG Midstream)'!$B$72,Model!AB$1,'Assumptions (NG Midstream)'!$B$75,Model!$AQ$249)</f>
        <v>-5.4712447227579786E-2</v>
      </c>
      <c r="AW344" s="377">
        <f>IPMT('Assumptions (NG Midstream)'!$B$72,Model!AC$1,'Assumptions (NG Midstream)'!$B$75,Model!$AQ$249)</f>
        <v>-5.0845047153545535E-2</v>
      </c>
      <c r="AX344" s="377">
        <f>IPMT('Assumptions (NG Midstream)'!$B$72,Model!AD$1,'Assumptions (NG Midstream)'!$B$75,Model!$AQ$249)</f>
        <v>-4.6687592073958707E-2</v>
      </c>
      <c r="AY344" s="377">
        <f>IPMT('Assumptions (NG Midstream)'!$B$72,Model!AE$1,'Assumptions (NG Midstream)'!$B$75,Model!$AQ$249)</f>
        <v>-4.2218327863402877E-2</v>
      </c>
      <c r="AZ344" s="377">
        <f>IPMT('Assumptions (NG Midstream)'!$B$72,Model!AF$1,'Assumptions (NG Midstream)'!$B$75,Model!$AQ$249)</f>
        <v>-3.7413868837055358E-2</v>
      </c>
      <c r="BA344" s="377">
        <f>IPMT('Assumptions (NG Midstream)'!$B$72,Model!AG$1,'Assumptions (NG Midstream)'!$B$75,Model!$AQ$249)</f>
        <v>-3.2249075383731778E-2</v>
      </c>
      <c r="BB344" s="377">
        <f>IPMT('Assumptions (NG Midstream)'!$B$72,Model!AH$1,'Assumptions (NG Midstream)'!$B$75,Model!$AQ$249)</f>
        <v>-2.669692242140893E-2</v>
      </c>
      <c r="BC344" s="377">
        <f>IPMT('Assumptions (NG Midstream)'!$B$72,Model!AI$1,'Assumptions (NG Midstream)'!$B$75,Model!$AQ$249)</f>
        <v>-2.0728357986911861E-2</v>
      </c>
      <c r="BD344" s="377">
        <f>IPMT('Assumptions (NG Midstream)'!$B$72,Model!AJ$1,'Assumptions (NG Midstream)'!$B$75,Model!$AQ$249)</f>
        <v>-1.4312151219827518E-2</v>
      </c>
      <c r="BE344" s="377">
        <f>IPMT('Assumptions (NG Midstream)'!$B$72,Model!AK$1,'Assumptions (NG Midstream)'!$B$75,Model!$AQ$249)</f>
        <v>-7.4147289452118461E-3</v>
      </c>
      <c r="BF344" s="377" t="e">
        <f>IPMT('Assumptions (NG Midstream)'!$B$72,Model!AL$1,'Assumptions (NG Midstream)'!$B$75,Model!$AQ$249)</f>
        <v>#NUM!</v>
      </c>
      <c r="BG344" s="377" t="e">
        <f>IPMT('Assumptions (NG Midstream)'!$B$72,Model!AM$1,'Assumptions (NG Midstream)'!$B$75,Model!$AQ$249)</f>
        <v>#NUM!</v>
      </c>
      <c r="BH344" s="377" t="e">
        <f>IPMT('Assumptions (NG Midstream)'!$B$72,Model!AN$1,'Assumptions (NG Midstream)'!$B$75,Model!$AQ$249)</f>
        <v>#NUM!</v>
      </c>
      <c r="BI344" s="377" t="e">
        <f>IPMT('Assumptions (NG Midstream)'!$B$72,Model!AO$1,'Assumptions (NG Midstream)'!$B$75,Model!$AQ$249)</f>
        <v>#NUM!</v>
      </c>
      <c r="BJ344" s="377" t="e">
        <f>IPMT('Assumptions (NG Midstream)'!$B$72,Model!AP$1,'Assumptions (NG Midstream)'!$B$75,Model!$AQ$249)</f>
        <v>#NUM!</v>
      </c>
      <c r="BK344" s="377" t="e">
        <f>IPMT('Assumptions (NG Midstream)'!$B$72,Model!AQ$1,'Assumptions (NG Midstream)'!$B$75,Model!$AQ$249)</f>
        <v>#NUM!</v>
      </c>
      <c r="BL344" s="377" t="e">
        <f>IPMT('Assumptions (NG Midstream)'!$B$72,Model!AR$1,'Assumptions (NG Midstream)'!$B$75,Model!$AQ$249)</f>
        <v>#NUM!</v>
      </c>
      <c r="BM344" s="377" t="e">
        <f>IPMT('Assumptions (NG Midstream)'!$B$72,Model!AS$1,'Assumptions (NG Midstream)'!$B$75,Model!$AQ$249)</f>
        <v>#NUM!</v>
      </c>
      <c r="BN344" s="377" t="e">
        <f>IPMT('Assumptions (NG Midstream)'!$B$72,Model!AT$1,'Assumptions (NG Midstream)'!$B$75,Model!$AQ$249)</f>
        <v>#NUM!</v>
      </c>
      <c r="BO344" s="377" t="e">
        <f>IPMT('Assumptions (NG Midstream)'!$B$72,Model!AU$1,'Assumptions (NG Midstream)'!$B$75,Model!$AQ$249)</f>
        <v>#NUM!</v>
      </c>
    </row>
    <row r="345" spans="1:75" ht="15.75" hidden="1" customHeight="1" outlineLevel="1">
      <c r="A345" s="365"/>
      <c r="B345" s="99"/>
      <c r="C345" s="377"/>
      <c r="D345" s="377"/>
      <c r="E345" s="377"/>
      <c r="F345" s="377"/>
      <c r="G345" s="377"/>
      <c r="H345" s="377"/>
      <c r="I345" s="377"/>
      <c r="J345" s="377"/>
      <c r="K345" s="377"/>
      <c r="L345" s="377"/>
      <c r="M345" s="377"/>
      <c r="N345" s="377"/>
      <c r="O345" s="377"/>
      <c r="P345" s="377"/>
      <c r="Q345" s="377"/>
      <c r="R345" s="377"/>
      <c r="S345" s="42"/>
      <c r="T345" s="42"/>
      <c r="U345" s="42"/>
      <c r="V345" s="42"/>
      <c r="W345" s="86"/>
      <c r="AR345" s="377">
        <f>IPMT('Assumptions (NG Midstream)'!$B$72,Model!W$1,'Assumptions (NG Midstream)'!$B$75,Model!$AR$249)</f>
        <v>-7.5214524321447679E-2</v>
      </c>
      <c r="AS345" s="377">
        <f>IPMT('Assumptions (NG Midstream)'!$B$72,Model!X$1,'Assumptions (NG Midstream)'!$B$75,Model!$AR$249)</f>
        <v>-7.2334768059005863E-2</v>
      </c>
      <c r="AT345" s="377">
        <f>IPMT('Assumptions (NG Midstream)'!$B$72,Model!Y$1,'Assumptions (NG Midstream)'!$B$75,Model!$AR$249)</f>
        <v>-6.9239030076880925E-2</v>
      </c>
      <c r="AU345" s="377">
        <f>IPMT('Assumptions (NG Midstream)'!$B$72,Model!Z$1,'Assumptions (NG Midstream)'!$B$75,Model!$AR$249)</f>
        <v>-6.5911111746096609E-2</v>
      </c>
      <c r="AV345" s="377">
        <f>IPMT('Assumptions (NG Midstream)'!$B$72,Model!AA$1,'Assumptions (NG Midstream)'!$B$75,Model!$AR$249)</f>
        <v>-6.2333599540503451E-2</v>
      </c>
      <c r="AW345" s="377">
        <f>IPMT('Assumptions (NG Midstream)'!$B$72,Model!AB$1,'Assumptions (NG Midstream)'!$B$75,Model!$AR$249)</f>
        <v>-5.8487773919490824E-2</v>
      </c>
      <c r="AX345" s="377">
        <f>IPMT('Assumptions (NG Midstream)'!$B$72,Model!AC$1,'Assumptions (NG Midstream)'!$B$75,Model!$AR$249)</f>
        <v>-5.4353511376902253E-2</v>
      </c>
      <c r="AY345" s="377">
        <f>IPMT('Assumptions (NG Midstream)'!$B$72,Model!AD$1,'Assumptions (NG Midstream)'!$B$75,Model!$AR$249)</f>
        <v>-4.9909179143619524E-2</v>
      </c>
      <c r="AZ345" s="377">
        <f>IPMT('Assumptions (NG Midstream)'!$B$72,Model!AE$1,'Assumptions (NG Midstream)'!$B$75,Model!$AR$249)</f>
        <v>-4.5131521992840602E-2</v>
      </c>
      <c r="BA345" s="377">
        <f>IPMT('Assumptions (NG Midstream)'!$B$72,Model!AF$1,'Assumptions (NG Midstream)'!$B$75,Model!$AR$249)</f>
        <v>-3.9995540555753259E-2</v>
      </c>
      <c r="BB345" s="377">
        <f>IPMT('Assumptions (NG Midstream)'!$B$72,Model!AG$1,'Assumptions (NG Midstream)'!$B$75,Model!$AR$249)</f>
        <v>-3.4474360510884365E-2</v>
      </c>
      <c r="BC345" s="377">
        <f>IPMT('Assumptions (NG Midstream)'!$B$72,Model!AH$1,'Assumptions (NG Midstream)'!$B$75,Model!$AR$249)</f>
        <v>-2.8539091962650302E-2</v>
      </c>
      <c r="BD345" s="377">
        <f>IPMT('Assumptions (NG Midstream)'!$B$72,Model!AI$1,'Assumptions (NG Midstream)'!$B$75,Model!$AR$249)</f>
        <v>-2.215867827329868E-2</v>
      </c>
      <c r="BE345" s="377">
        <f>IPMT('Assumptions (NG Midstream)'!$B$72,Model!AJ$1,'Assumptions (NG Midstream)'!$B$75,Model!$AR$249)</f>
        <v>-1.5299733557245695E-2</v>
      </c>
      <c r="BF345" s="377">
        <f>IPMT('Assumptions (NG Midstream)'!$B$72,Model!AK$1,'Assumptions (NG Midstream)'!$B$75,Model!$AR$249)</f>
        <v>-7.926367987488735E-3</v>
      </c>
      <c r="BG345" s="377" t="e">
        <f>IPMT('Assumptions (NG Midstream)'!$B$72,Model!AL$1,'Assumptions (NG Midstream)'!$B$75,Model!$AR$249)</f>
        <v>#NUM!</v>
      </c>
      <c r="BH345" s="377" t="e">
        <f>IPMT('Assumptions (NG Midstream)'!$B$72,Model!AM$1,'Assumptions (NG Midstream)'!$B$75,Model!$AR$249)</f>
        <v>#NUM!</v>
      </c>
      <c r="BI345" s="377" t="e">
        <f>IPMT('Assumptions (NG Midstream)'!$B$72,Model!AN$1,'Assumptions (NG Midstream)'!$B$75,Model!$AR$249)</f>
        <v>#NUM!</v>
      </c>
      <c r="BJ345" s="377" t="e">
        <f>IPMT('Assumptions (NG Midstream)'!$B$72,Model!AO$1,'Assumptions (NG Midstream)'!$B$75,Model!$AR$249)</f>
        <v>#NUM!</v>
      </c>
      <c r="BK345" s="377" t="e">
        <f>IPMT('Assumptions (NG Midstream)'!$B$72,Model!AP$1,'Assumptions (NG Midstream)'!$B$75,Model!$AR$249)</f>
        <v>#NUM!</v>
      </c>
      <c r="BL345" s="377" t="e">
        <f>IPMT('Assumptions (NG Midstream)'!$B$72,Model!AQ$1,'Assumptions (NG Midstream)'!$B$75,Model!$AR$249)</f>
        <v>#NUM!</v>
      </c>
      <c r="BM345" s="377" t="e">
        <f>IPMT('Assumptions (NG Midstream)'!$B$72,Model!AR$1,'Assumptions (NG Midstream)'!$B$75,Model!$AR$249)</f>
        <v>#NUM!</v>
      </c>
      <c r="BN345" s="377" t="e">
        <f>IPMT('Assumptions (NG Midstream)'!$B$72,Model!AS$1,'Assumptions (NG Midstream)'!$B$75,Model!$AR$249)</f>
        <v>#NUM!</v>
      </c>
      <c r="BO345" s="377" t="e">
        <f>IPMT('Assumptions (NG Midstream)'!$B$72,Model!AT$1,'Assumptions (NG Midstream)'!$B$75,Model!$AR$249)</f>
        <v>#NUM!</v>
      </c>
      <c r="BP345" s="377" t="e">
        <f>IPMT('Assumptions (NG Midstream)'!$B$72,Model!AU$1,'Assumptions (NG Midstream)'!$B$75,Model!$AR$249)</f>
        <v>#NUM!</v>
      </c>
    </row>
    <row r="346" spans="1:75" ht="15.75" hidden="1" customHeight="1" outlineLevel="1">
      <c r="A346" s="365"/>
      <c r="B346" s="99"/>
      <c r="C346" s="377"/>
      <c r="D346" s="377"/>
      <c r="E346" s="377"/>
      <c r="F346" s="377"/>
      <c r="G346" s="377"/>
      <c r="H346" s="377"/>
      <c r="I346" s="377"/>
      <c r="J346" s="377"/>
      <c r="K346" s="377"/>
      <c r="L346" s="377"/>
      <c r="M346" s="377"/>
      <c r="N346" s="377"/>
      <c r="O346" s="377"/>
      <c r="P346" s="377"/>
      <c r="Q346" s="377"/>
      <c r="R346" s="377"/>
      <c r="S346" s="42"/>
      <c r="T346" s="42"/>
      <c r="U346" s="42"/>
      <c r="V346" s="42"/>
      <c r="W346" s="86"/>
      <c r="AS346" s="377">
        <f>IPMT('Assumptions (NG Midstream)'!$B$72,Model!W$1,'Assumptions (NG Midstream)'!$B$75,Model!$AS$249)</f>
        <v>-7.3016140673903204E-2</v>
      </c>
      <c r="AT346" s="377">
        <f>IPMT('Assumptions (NG Midstream)'!$B$72,Model!X$1,'Assumptions (NG Midstream)'!$B$75,Model!$AS$249)</f>
        <v>-7.022055444555228E-2</v>
      </c>
      <c r="AU346" s="377">
        <f>IPMT('Assumptions (NG Midstream)'!$B$72,Model!Y$1,'Assumptions (NG Midstream)'!$B$75,Model!$AS$249)</f>
        <v>-6.7215299250075022E-2</v>
      </c>
      <c r="AV346" s="377">
        <f>IPMT('Assumptions (NG Midstream)'!$B$72,Model!Z$1,'Assumptions (NG Midstream)'!$B$75,Model!$AS$249)</f>
        <v>-6.3984649914936992E-2</v>
      </c>
      <c r="AW346" s="377">
        <f>IPMT('Assumptions (NG Midstream)'!$B$72,Model!AA$1,'Assumptions (NG Midstream)'!$B$75,Model!$AS$249)</f>
        <v>-6.0511701879663579E-2</v>
      </c>
      <c r="AX346" s="377">
        <f>IPMT('Assumptions (NG Midstream)'!$B$72,Model!AB$1,'Assumptions (NG Midstream)'!$B$75,Model!$AS$249)</f>
        <v>-5.6778282741744686E-2</v>
      </c>
      <c r="AY346" s="377">
        <f>IPMT('Assumptions (NG Midstream)'!$B$72,Model!AC$1,'Assumptions (NG Midstream)'!$B$75,Model!$AS$249)</f>
        <v>-5.2764857168481873E-2</v>
      </c>
      <c r="AZ346" s="377">
        <f>IPMT('Assumptions (NG Midstream)'!$B$72,Model!AD$1,'Assumptions (NG Midstream)'!$B$75,Model!$AS$249)</f>
        <v>-4.8450424677224338E-2</v>
      </c>
      <c r="BA346" s="377">
        <f>IPMT('Assumptions (NG Midstream)'!$B$72,Model!AE$1,'Assumptions (NG Midstream)'!$B$75,Model!$AS$249)</f>
        <v>-4.3812409749122497E-2</v>
      </c>
      <c r="BB346" s="377">
        <f>IPMT('Assumptions (NG Midstream)'!$B$72,Model!AF$1,'Assumptions (NG Midstream)'!$B$75,Model!$AS$249)</f>
        <v>-3.8826543701413009E-2</v>
      </c>
      <c r="BC346" s="377">
        <f>IPMT('Assumptions (NG Midstream)'!$B$72,Model!AG$1,'Assumptions (NG Midstream)'!$B$75,Model!$AS$249)</f>
        <v>-3.3466737700125322E-2</v>
      </c>
      <c r="BD346" s="377">
        <f>IPMT('Assumptions (NG Midstream)'!$B$72,Model!AH$1,'Assumptions (NG Midstream)'!$B$75,Model!$AS$249)</f>
        <v>-2.7704946248741057E-2</v>
      </c>
      <c r="BE346" s="377">
        <f>IPMT('Assumptions (NG Midstream)'!$B$72,Model!AI$1,'Assumptions (NG Midstream)'!$B$75,Model!$AS$249)</f>
        <v>-2.1511020438502958E-2</v>
      </c>
      <c r="BF346" s="377">
        <f>IPMT('Assumptions (NG Midstream)'!$B$72,Model!AJ$1,'Assumptions (NG Midstream)'!$B$75,Model!$AS$249)</f>
        <v>-1.4852550192497014E-2</v>
      </c>
      <c r="BG346" s="377">
        <f>IPMT('Assumptions (NG Midstream)'!$B$72,Model!AK$1,'Assumptions (NG Midstream)'!$B$75,Model!$AS$249)</f>
        <v>-7.694694678040623E-3</v>
      </c>
      <c r="BH346" s="377" t="e">
        <f>IPMT('Assumptions (NG Midstream)'!$B$72,Model!AL$1,'Assumptions (NG Midstream)'!$B$75,Model!$AS$249)</f>
        <v>#NUM!</v>
      </c>
      <c r="BI346" s="377" t="e">
        <f>IPMT('Assumptions (NG Midstream)'!$B$72,Model!AM$1,'Assumptions (NG Midstream)'!$B$75,Model!$AS$249)</f>
        <v>#NUM!</v>
      </c>
      <c r="BJ346" s="377" t="e">
        <f>IPMT('Assumptions (NG Midstream)'!$B$72,Model!AN$1,'Assumptions (NG Midstream)'!$B$75,Model!$AS$249)</f>
        <v>#NUM!</v>
      </c>
      <c r="BK346" s="377" t="e">
        <f>IPMT('Assumptions (NG Midstream)'!$B$72,Model!AO$1,'Assumptions (NG Midstream)'!$B$75,Model!$AS$249)</f>
        <v>#NUM!</v>
      </c>
      <c r="BL346" s="377" t="e">
        <f>IPMT('Assumptions (NG Midstream)'!$B$72,Model!AP$1,'Assumptions (NG Midstream)'!$B$75,Model!$AS$249)</f>
        <v>#NUM!</v>
      </c>
      <c r="BM346" s="377" t="e">
        <f>IPMT('Assumptions (NG Midstream)'!$B$72,Model!AQ$1,'Assumptions (NG Midstream)'!$B$75,Model!$AS$249)</f>
        <v>#NUM!</v>
      </c>
      <c r="BN346" s="377" t="e">
        <f>IPMT('Assumptions (NG Midstream)'!$B$72,Model!AR$1,'Assumptions (NG Midstream)'!$B$75,Model!$AS$249)</f>
        <v>#NUM!</v>
      </c>
      <c r="BO346" s="377" t="e">
        <f>IPMT('Assumptions (NG Midstream)'!$B$72,Model!AS$1,'Assumptions (NG Midstream)'!$B$75,Model!$AS$249)</f>
        <v>#NUM!</v>
      </c>
      <c r="BP346" s="377" t="e">
        <f>IPMT('Assumptions (NG Midstream)'!$B$72,Model!AT$1,'Assumptions (NG Midstream)'!$B$75,Model!$AS$249)</f>
        <v>#NUM!</v>
      </c>
      <c r="BQ346" s="377" t="e">
        <f>IPMT('Assumptions (NG Midstream)'!$B$72,Model!AU$1,'Assumptions (NG Midstream)'!$B$75,Model!$AS$249)</f>
        <v>#NUM!</v>
      </c>
    </row>
    <row r="347" spans="1:75" ht="15.75" hidden="1" customHeight="1" outlineLevel="1">
      <c r="A347" s="365"/>
      <c r="B347" s="99"/>
      <c r="C347" s="377"/>
      <c r="D347" s="377"/>
      <c r="E347" s="377"/>
      <c r="F347" s="377"/>
      <c r="G347" s="377"/>
      <c r="H347" s="377"/>
      <c r="I347" s="377"/>
      <c r="J347" s="377"/>
      <c r="K347" s="377"/>
      <c r="L347" s="377"/>
      <c r="M347" s="377"/>
      <c r="N347" s="377"/>
      <c r="O347" s="377"/>
      <c r="P347" s="377"/>
      <c r="Q347" s="377"/>
      <c r="R347" s="377"/>
      <c r="S347" s="42"/>
      <c r="T347" s="42"/>
      <c r="U347" s="42"/>
      <c r="V347" s="42"/>
      <c r="W347" s="86"/>
      <c r="AT347" s="377">
        <f>IPMT('Assumptions (NG Midstream)'!$B$72,Model!W$1,'Assumptions (NG Midstream)'!$B$75,Model!$AT$249)</f>
        <v>-8.3021729905382383E-2</v>
      </c>
      <c r="AU347" s="377">
        <f>IPMT('Assumptions (NG Midstream)'!$B$72,Model!X$1,'Assumptions (NG Midstream)'!$B$75,Model!$AT$249)</f>
        <v>-7.9843057318263438E-2</v>
      </c>
      <c r="AV347" s="377">
        <f>IPMT('Assumptions (NG Midstream)'!$B$72,Model!Y$1,'Assumptions (NG Midstream)'!$B$75,Model!$AT$249)</f>
        <v>-7.642598428711056E-2</v>
      </c>
      <c r="AW347" s="377">
        <f>IPMT('Assumptions (NG Midstream)'!$B$72,Model!Z$1,'Assumptions (NG Midstream)'!$B$75,Model!$AT$249)</f>
        <v>-7.2752630778621222E-2</v>
      </c>
      <c r="AX347" s="377">
        <f>IPMT('Assumptions (NG Midstream)'!$B$72,Model!AA$1,'Assumptions (NG Midstream)'!$B$75,Model!$AT$249)</f>
        <v>-6.8803775756995172E-2</v>
      </c>
      <c r="AY347" s="377">
        <f>IPMT('Assumptions (NG Midstream)'!$B$72,Model!AB$1,'Assumptions (NG Midstream)'!$B$75,Model!$AT$249)</f>
        <v>-6.4558756608747173E-2</v>
      </c>
      <c r="AZ347" s="377">
        <f>IPMT('Assumptions (NG Midstream)'!$B$72,Model!AC$1,'Assumptions (NG Midstream)'!$B$75,Model!$AT$249)</f>
        <v>-5.9995361024380578E-2</v>
      </c>
      <c r="BA347" s="377">
        <f>IPMT('Assumptions (NG Midstream)'!$B$72,Model!AD$1,'Assumptions (NG Midstream)'!$B$75,Model!$AT$249)</f>
        <v>-5.5089710771186483E-2</v>
      </c>
      <c r="BB347" s="377">
        <f>IPMT('Assumptions (NG Midstream)'!$B$72,Model!AE$1,'Assumptions (NG Midstream)'!$B$75,Model!$AT$249)</f>
        <v>-4.9816136749002836E-2</v>
      </c>
      <c r="BC347" s="377">
        <f>IPMT('Assumptions (NG Midstream)'!$B$72,Model!AF$1,'Assumptions (NG Midstream)'!$B$75,Model!$AT$249)</f>
        <v>-4.4147044675155414E-2</v>
      </c>
      <c r="BD347" s="377">
        <f>IPMT('Assumptions (NG Midstream)'!$B$72,Model!AG$1,'Assumptions (NG Midstream)'!$B$75,Model!$AT$249)</f>
        <v>-3.8052770695769435E-2</v>
      </c>
      <c r="BE347" s="377">
        <f>IPMT('Assumptions (NG Midstream)'!$B$72,Model!AH$1,'Assumptions (NG Midstream)'!$B$75,Model!$AT$249)</f>
        <v>-3.1501426167929517E-2</v>
      </c>
      <c r="BF347" s="377">
        <f>IPMT('Assumptions (NG Midstream)'!$B$72,Model!AI$1,'Assumptions (NG Midstream)'!$B$75,Model!$AT$249)</f>
        <v>-2.4458730800501587E-2</v>
      </c>
      <c r="BG347" s="377">
        <f>IPMT('Assumptions (NG Midstream)'!$B$72,Model!AJ$1,'Assumptions (NG Midstream)'!$B$75,Model!$AT$249)</f>
        <v>-1.6887833280516573E-2</v>
      </c>
      <c r="BH347" s="377">
        <f>IPMT('Assumptions (NG Midstream)'!$B$72,Model!AK$1,'Assumptions (NG Midstream)'!$B$75,Model!$AT$249)</f>
        <v>-8.7491184465326843E-3</v>
      </c>
      <c r="BI347" s="377" t="e">
        <f>IPMT('Assumptions (NG Midstream)'!$B$72,Model!AL$1,'Assumptions (NG Midstream)'!$B$75,Model!$AT$249)</f>
        <v>#NUM!</v>
      </c>
      <c r="BJ347" s="377" t="e">
        <f>IPMT('Assumptions (NG Midstream)'!$B$72,Model!AM$1,'Assumptions (NG Midstream)'!$B$75,Model!$AT$249)</f>
        <v>#NUM!</v>
      </c>
      <c r="BK347" s="377" t="e">
        <f>IPMT('Assumptions (NG Midstream)'!$B$72,Model!AN$1,'Assumptions (NG Midstream)'!$B$75,Model!$AT$249)</f>
        <v>#NUM!</v>
      </c>
      <c r="BL347" s="377" t="e">
        <f>IPMT('Assumptions (NG Midstream)'!$B$72,Model!AO$1,'Assumptions (NG Midstream)'!$B$75,Model!$AT$249)</f>
        <v>#NUM!</v>
      </c>
      <c r="BM347" s="377" t="e">
        <f>IPMT('Assumptions (NG Midstream)'!$B$72,Model!AP$1,'Assumptions (NG Midstream)'!$B$75,Model!$AT$249)</f>
        <v>#NUM!</v>
      </c>
      <c r="BN347" s="377" t="e">
        <f>IPMT('Assumptions (NG Midstream)'!$B$72,Model!AQ$1,'Assumptions (NG Midstream)'!$B$75,Model!$AT$249)</f>
        <v>#NUM!</v>
      </c>
      <c r="BO347" s="377" t="e">
        <f>IPMT('Assumptions (NG Midstream)'!$B$72,Model!AR$1,'Assumptions (NG Midstream)'!$B$75,Model!$AT$249)</f>
        <v>#NUM!</v>
      </c>
      <c r="BP347" s="377" t="e">
        <f>IPMT('Assumptions (NG Midstream)'!$B$72,Model!AS$1,'Assumptions (NG Midstream)'!$B$75,Model!$AT$249)</f>
        <v>#NUM!</v>
      </c>
      <c r="BQ347" s="377" t="e">
        <f>IPMT('Assumptions (NG Midstream)'!$B$72,Model!AT$1,'Assumptions (NG Midstream)'!$B$75,Model!$AT$249)</f>
        <v>#NUM!</v>
      </c>
      <c r="BR347" s="377" t="e">
        <f>IPMT('Assumptions (NG Midstream)'!$B$72,Model!AU$1,'Assumptions (NG Midstream)'!$B$75,Model!$AT$249)</f>
        <v>#NUM!</v>
      </c>
    </row>
    <row r="348" spans="1:75" ht="15.75" hidden="1" customHeight="1" outlineLevel="1">
      <c r="A348" s="365"/>
      <c r="B348" s="99"/>
      <c r="C348" s="377"/>
      <c r="D348" s="377"/>
      <c r="E348" s="377"/>
      <c r="F348" s="377"/>
      <c r="G348" s="377"/>
      <c r="H348" s="377"/>
      <c r="I348" s="377"/>
      <c r="J348" s="377"/>
      <c r="K348" s="377"/>
      <c r="L348" s="377"/>
      <c r="M348" s="377"/>
      <c r="N348" s="377"/>
      <c r="O348" s="377"/>
      <c r="P348" s="377"/>
      <c r="Q348" s="377"/>
      <c r="R348" s="377"/>
      <c r="S348" s="42"/>
      <c r="T348" s="42"/>
      <c r="U348" s="42"/>
      <c r="V348" s="42"/>
      <c r="W348" s="86"/>
      <c r="AU348" s="377">
        <f>IPMT('Assumptions (NG Midstream)'!$B$72,Model!W$1,'Assumptions (NG Midstream)'!$B$75,Model!$AU$249)</f>
        <v>-7.6527370740948217E-2</v>
      </c>
      <c r="AV348" s="377">
        <f>IPMT('Assumptions (NG Midstream)'!$B$72,Model!X$1,'Assumptions (NG Midstream)'!$B$75,Model!$AU$249)</f>
        <v>-7.3597349217477528E-2</v>
      </c>
      <c r="AW348" s="377">
        <f>IPMT('Assumptions (NG Midstream)'!$B$72,Model!Y$1,'Assumptions (NG Midstream)'!$B$75,Model!$AU$249)</f>
        <v>-7.0447576079746527E-2</v>
      </c>
      <c r="AX348" s="377">
        <f>IPMT('Assumptions (NG Midstream)'!$B$72,Model!Z$1,'Assumptions (NG Midstream)'!$B$75,Model!$AU$249)</f>
        <v>-6.7061569956685704E-2</v>
      </c>
      <c r="AY348" s="377">
        <f>IPMT('Assumptions (NG Midstream)'!$B$72,Model!AA$1,'Assumptions (NG Midstream)'!$B$75,Model!$AU$249)</f>
        <v>-6.3421613374395308E-2</v>
      </c>
      <c r="AZ348" s="377">
        <f>IPMT('Assumptions (NG Midstream)'!$B$72,Model!AB$1,'Assumptions (NG Midstream)'!$B$75,Model!$AU$249)</f>
        <v>-5.9508660048433144E-2</v>
      </c>
      <c r="BA348" s="377">
        <f>IPMT('Assumptions (NG Midstream)'!$B$72,Model!AC$1,'Assumptions (NG Midstream)'!$B$75,Model!$AU$249)</f>
        <v>-5.530223522302382E-2</v>
      </c>
      <c r="BB348" s="377">
        <f>IPMT('Assumptions (NG Midstream)'!$B$72,Model!AD$1,'Assumptions (NG Midstream)'!$B$75,Model!$AU$249)</f>
        <v>-5.0780328535708782E-2</v>
      </c>
      <c r="BC348" s="377">
        <f>IPMT('Assumptions (NG Midstream)'!$B$72,Model!AE$1,'Assumptions (NG Midstream)'!$B$75,Model!$AU$249)</f>
        <v>-4.591927884684513E-2</v>
      </c>
      <c r="BD348" s="377">
        <f>IPMT('Assumptions (NG Midstream)'!$B$72,Model!AF$1,'Assumptions (NG Midstream)'!$B$75,Model!$AU$249)</f>
        <v>-4.0693650431316696E-2</v>
      </c>
      <c r="BE348" s="377">
        <f>IPMT('Assumptions (NG Midstream)'!$B$72,Model!AG$1,'Assumptions (NG Midstream)'!$B$75,Model!$AU$249)</f>
        <v>-3.5076099884623638E-2</v>
      </c>
      <c r="BF348" s="377">
        <f>IPMT('Assumptions (NG Midstream)'!$B$72,Model!AH$1,'Assumptions (NG Midstream)'!$B$75,Model!$AU$249)</f>
        <v>-2.9037233046928599E-2</v>
      </c>
      <c r="BG348" s="377">
        <f>IPMT('Assumptions (NG Midstream)'!$B$72,Model!AI$1,'Assumptions (NG Midstream)'!$B$75,Model!$AU$249)</f>
        <v>-2.2545451196406423E-2</v>
      </c>
      <c r="BH348" s="377">
        <f>IPMT('Assumptions (NG Midstream)'!$B$72,Model!AJ$1,'Assumptions (NG Midstream)'!$B$75,Model!$AU$249)</f>
        <v>-1.5566785707095092E-2</v>
      </c>
      <c r="BI348" s="377">
        <f>IPMT('Assumptions (NG Midstream)'!$B$72,Model!AK$1,'Assumptions (NG Midstream)'!$B$75,Model!$AU$249)</f>
        <v>-8.0647203060854097E-3</v>
      </c>
      <c r="BJ348" s="377" t="e">
        <f>IPMT('Assumptions (NG Midstream)'!$B$72,Model!AL$1,'Assumptions (NG Midstream)'!$B$75,Model!$AU$249)</f>
        <v>#NUM!</v>
      </c>
      <c r="BK348" s="377" t="e">
        <f>IPMT('Assumptions (NG Midstream)'!$B$72,Model!AM$1,'Assumptions (NG Midstream)'!$B$75,Model!$AU$249)</f>
        <v>#NUM!</v>
      </c>
      <c r="BL348" s="377" t="e">
        <f>IPMT('Assumptions (NG Midstream)'!$B$72,Model!AN$1,'Assumptions (NG Midstream)'!$B$75,Model!$AU$249)</f>
        <v>#NUM!</v>
      </c>
      <c r="BM348" s="377" t="e">
        <f>IPMT('Assumptions (NG Midstream)'!$B$72,Model!AO$1,'Assumptions (NG Midstream)'!$B$75,Model!$AU$249)</f>
        <v>#NUM!</v>
      </c>
      <c r="BN348" s="377" t="e">
        <f>IPMT('Assumptions (NG Midstream)'!$B$72,Model!AP$1,'Assumptions (NG Midstream)'!$B$75,Model!$AU$249)</f>
        <v>#NUM!</v>
      </c>
      <c r="BO348" s="377" t="e">
        <f>IPMT('Assumptions (NG Midstream)'!$B$72,Model!AQ$1,'Assumptions (NG Midstream)'!$B$75,Model!$AU$249)</f>
        <v>#NUM!</v>
      </c>
      <c r="BP348" s="377" t="e">
        <f>IPMT('Assumptions (NG Midstream)'!$B$72,Model!AR$1,'Assumptions (NG Midstream)'!$B$75,Model!$AU$249)</f>
        <v>#NUM!</v>
      </c>
      <c r="BQ348" s="377" t="e">
        <f>IPMT('Assumptions (NG Midstream)'!$B$72,Model!AS$1,'Assumptions (NG Midstream)'!$B$75,Model!$AU$249)</f>
        <v>#NUM!</v>
      </c>
      <c r="BR348" s="377" t="e">
        <f>IPMT('Assumptions (NG Midstream)'!$B$72,Model!AT$1,'Assumptions (NG Midstream)'!$B$75,Model!$AU$249)</f>
        <v>#NUM!</v>
      </c>
      <c r="BS348" s="377" t="e">
        <f>IPMT('Assumptions (NG Midstream)'!$B$72,Model!AU$1,'Assumptions (NG Midstream)'!$B$75,Model!$AU$249)</f>
        <v>#NUM!</v>
      </c>
    </row>
    <row r="349" spans="1:75" ht="15.75" hidden="1" customHeight="1" outlineLevel="1">
      <c r="A349" s="365"/>
      <c r="B349" s="99"/>
      <c r="C349" s="377"/>
      <c r="D349" s="377"/>
      <c r="E349" s="377"/>
      <c r="F349" s="377"/>
      <c r="G349" s="377"/>
      <c r="H349" s="377"/>
      <c r="I349" s="377"/>
      <c r="J349" s="377"/>
      <c r="K349" s="377"/>
      <c r="L349" s="377"/>
      <c r="M349" s="377"/>
      <c r="N349" s="377"/>
      <c r="O349" s="377"/>
      <c r="P349" s="377"/>
      <c r="Q349" s="377"/>
      <c r="R349" s="377"/>
      <c r="S349" s="42"/>
      <c r="T349" s="42"/>
      <c r="U349" s="42"/>
      <c r="V349" s="42"/>
      <c r="W349" s="86"/>
      <c r="AV349" s="377">
        <f>IPMT('Assumptions (NG Midstream)'!$B$72,Model!W$1,'Assumptions (NG Midstream)'!$B$75,Model!$AV$249)</f>
        <v>-7.2389965417632179E-2</v>
      </c>
      <c r="AW349" s="377">
        <f>IPMT('Assumptions (NG Midstream)'!$B$72,Model!X$1,'Assumptions (NG Midstream)'!$B$75,Model!$AV$249)</f>
        <v>-6.9618353709254635E-2</v>
      </c>
      <c r="AX349" s="377">
        <f>IPMT('Assumptions (NG Midstream)'!$B$72,Model!Y$1,'Assumptions (NG Midstream)'!$B$75,Model!$AV$249)</f>
        <v>-6.6638871122748758E-2</v>
      </c>
      <c r="AY349" s="377">
        <f>IPMT('Assumptions (NG Midstream)'!$B$72,Model!Z$1,'Assumptions (NG Midstream)'!$B$75,Model!$AV$249)</f>
        <v>-6.3435927342254964E-2</v>
      </c>
      <c r="AZ349" s="377">
        <f>IPMT('Assumptions (NG Midstream)'!$B$72,Model!AA$1,'Assumptions (NG Midstream)'!$B$75,Model!$AV$249)</f>
        <v>-5.9992762778224101E-2</v>
      </c>
      <c r="BA349" s="377">
        <f>IPMT('Assumptions (NG Midstream)'!$B$72,Model!AB$1,'Assumptions (NG Midstream)'!$B$75,Model!$AV$249)</f>
        <v>-5.6291360871890947E-2</v>
      </c>
      <c r="BB349" s="377">
        <f>IPMT('Assumptions (NG Midstream)'!$B$72,Model!AC$1,'Assumptions (NG Midstream)'!$B$75,Model!$AV$249)</f>
        <v>-5.2312353822582806E-2</v>
      </c>
      <c r="BC349" s="377">
        <f>IPMT('Assumptions (NG Midstream)'!$B$72,Model!AD$1,'Assumptions (NG Midstream)'!$B$75,Model!$AV$249)</f>
        <v>-4.8034921244576548E-2</v>
      </c>
      <c r="BD349" s="377">
        <f>IPMT('Assumptions (NG Midstream)'!$B$72,Model!AE$1,'Assumptions (NG Midstream)'!$B$75,Model!$AV$249)</f>
        <v>-4.3436681223219815E-2</v>
      </c>
      <c r="BE349" s="377">
        <f>IPMT('Assumptions (NG Midstream)'!$B$72,Model!AF$1,'Assumptions (NG Midstream)'!$B$75,Model!$AV$249)</f>
        <v>-3.8493573200261338E-2</v>
      </c>
      <c r="BF349" s="377">
        <f>IPMT('Assumptions (NG Midstream)'!$B$72,Model!AG$1,'Assumptions (NG Midstream)'!$B$75,Model!$AV$249)</f>
        <v>-3.3179732075580975E-2</v>
      </c>
      <c r="BG349" s="377">
        <f>IPMT('Assumptions (NG Midstream)'!$B$72,Model!AH$1,'Assumptions (NG Midstream)'!$B$75,Model!$AV$249)</f>
        <v>-2.7467352866549589E-2</v>
      </c>
      <c r="BH349" s="377">
        <f>IPMT('Assumptions (NG Midstream)'!$B$72,Model!AI$1,'Assumptions (NG Midstream)'!$B$75,Model!$AV$249)</f>
        <v>-2.1326545216840839E-2</v>
      </c>
      <c r="BI349" s="377">
        <f>IPMT('Assumptions (NG Midstream)'!$B$72,Model!AJ$1,'Assumptions (NG Midstream)'!$B$75,Model!$AV$249)</f>
        <v>-1.472517699340394E-2</v>
      </c>
      <c r="BJ349" s="377">
        <f>IPMT('Assumptions (NG Midstream)'!$B$72,Model!AK$1,'Assumptions (NG Midstream)'!$B$75,Model!$AV$249)</f>
        <v>-7.6287061532092698E-3</v>
      </c>
      <c r="BK349" s="377" t="e">
        <f>IPMT('Assumptions (NG Midstream)'!$B$72,Model!AL$1,'Assumptions (NG Midstream)'!$B$75,Model!$AV$249)</f>
        <v>#NUM!</v>
      </c>
      <c r="BL349" s="377" t="e">
        <f>IPMT('Assumptions (NG Midstream)'!$B$72,Model!AM$1,'Assumptions (NG Midstream)'!$B$75,Model!$AV$249)</f>
        <v>#NUM!</v>
      </c>
      <c r="BM349" s="377" t="e">
        <f>IPMT('Assumptions (NG Midstream)'!$B$72,Model!AN$1,'Assumptions (NG Midstream)'!$B$75,Model!$AV$249)</f>
        <v>#NUM!</v>
      </c>
      <c r="BN349" s="377" t="e">
        <f>IPMT('Assumptions (NG Midstream)'!$B$72,Model!AO$1,'Assumptions (NG Midstream)'!$B$75,Model!$AV$249)</f>
        <v>#NUM!</v>
      </c>
      <c r="BO349" s="377" t="e">
        <f>IPMT('Assumptions (NG Midstream)'!$B$72,Model!AP$1,'Assumptions (NG Midstream)'!$B$75,Model!$AV$249)</f>
        <v>#NUM!</v>
      </c>
      <c r="BP349" s="377" t="e">
        <f>IPMT('Assumptions (NG Midstream)'!$B$72,Model!AQ$1,'Assumptions (NG Midstream)'!$B$75,Model!$AV$249)</f>
        <v>#NUM!</v>
      </c>
      <c r="BQ349" s="377" t="e">
        <f>IPMT('Assumptions (NG Midstream)'!$B$72,Model!AR$1,'Assumptions (NG Midstream)'!$B$75,Model!$AV$249)</f>
        <v>#NUM!</v>
      </c>
      <c r="BR349" s="377" t="e">
        <f>IPMT('Assumptions (NG Midstream)'!$B$72,Model!AS$1,'Assumptions (NG Midstream)'!$B$75,Model!$AV$249)</f>
        <v>#NUM!</v>
      </c>
      <c r="BS349" s="377" t="e">
        <f>IPMT('Assumptions (NG Midstream)'!$B$72,Model!AT$1,'Assumptions (NG Midstream)'!$B$75,Model!$AV$249)</f>
        <v>#NUM!</v>
      </c>
      <c r="BT349" s="377" t="e">
        <f>IPMT('Assumptions (NG Midstream)'!$B$72,Model!AU$1,'Assumptions (NG Midstream)'!$B$75,Model!$AV$249)</f>
        <v>#NUM!</v>
      </c>
    </row>
    <row r="350" spans="1:75" ht="15.75" hidden="1" customHeight="1" outlineLevel="1">
      <c r="A350" s="365"/>
      <c r="B350" s="99"/>
      <c r="C350" s="377"/>
      <c r="D350" s="377"/>
      <c r="E350" s="377"/>
      <c r="F350" s="377"/>
      <c r="G350" s="377"/>
      <c r="H350" s="377"/>
      <c r="I350" s="377"/>
      <c r="J350" s="377"/>
      <c r="K350" s="377"/>
      <c r="L350" s="377"/>
      <c r="M350" s="377"/>
      <c r="N350" s="377"/>
      <c r="O350" s="377"/>
      <c r="P350" s="377"/>
      <c r="Q350" s="377"/>
      <c r="R350" s="377"/>
      <c r="S350" s="42"/>
      <c r="T350" s="42"/>
      <c r="U350" s="42"/>
      <c r="V350" s="42"/>
      <c r="W350" s="86"/>
      <c r="AW350" s="377">
        <f>IPMT('Assumptions (NG Midstream)'!$B$72,Model!W$1,'Assumptions (NG Midstream)'!$B$75,Model!$AW$249)</f>
        <v>-7.89721510749576E-2</v>
      </c>
      <c r="AX350" s="377">
        <f>IPMT('Assumptions (NG Midstream)'!$B$72,Model!X$1,'Assumptions (NG Midstream)'!$B$75,Model!$AW$249)</f>
        <v>-7.594852566924909E-2</v>
      </c>
      <c r="AY350" s="377">
        <f>IPMT('Assumptions (NG Midstream)'!$B$72,Model!Y$1,'Assumptions (NG Midstream)'!$B$75,Model!$AW$249)</f>
        <v>-7.2698128358112429E-2</v>
      </c>
      <c r="AZ350" s="377">
        <f>IPMT('Assumptions (NG Midstream)'!$B$72,Model!Z$1,'Assumptions (NG Midstream)'!$B$75,Model!$AW$249)</f>
        <v>-6.9203951248640538E-2</v>
      </c>
      <c r="BA350" s="377">
        <f>IPMT('Assumptions (NG Midstream)'!$B$72,Model!AA$1,'Assumptions (NG Midstream)'!$B$75,Model!$AW$249)</f>
        <v>-6.5447710855958241E-2</v>
      </c>
      <c r="BB350" s="377">
        <f>IPMT('Assumptions (NG Midstream)'!$B$72,Model!AB$1,'Assumptions (NG Midstream)'!$B$75,Model!$AW$249)</f>
        <v>-6.1409752433824766E-2</v>
      </c>
      <c r="BC350" s="377">
        <f>IPMT('Assumptions (NG Midstream)'!$B$72,Model!AC$1,'Assumptions (NG Midstream)'!$B$75,Model!$AW$249)</f>
        <v>-5.70689471300313E-2</v>
      </c>
      <c r="BD350" s="377">
        <f>IPMT('Assumptions (NG Midstream)'!$B$72,Model!AD$1,'Assumptions (NG Midstream)'!$B$75,Model!$AW$249)</f>
        <v>-5.2402581428453311E-2</v>
      </c>
      <c r="BE350" s="377">
        <f>IPMT('Assumptions (NG Midstream)'!$B$72,Model!AE$1,'Assumptions (NG Midstream)'!$B$75,Model!$AW$249)</f>
        <v>-4.7386238299256978E-2</v>
      </c>
      <c r="BF350" s="377">
        <f>IPMT('Assumptions (NG Midstream)'!$B$72,Model!AF$1,'Assumptions (NG Midstream)'!$B$75,Model!$AW$249)</f>
        <v>-4.199366943537091E-2</v>
      </c>
      <c r="BG350" s="377">
        <f>IPMT('Assumptions (NG Midstream)'!$B$72,Model!AG$1,'Assumptions (NG Midstream)'!$B$75,Model!$AW$249)</f>
        <v>-3.6196657906693401E-2</v>
      </c>
      <c r="BH350" s="377">
        <f>IPMT('Assumptions (NG Midstream)'!$B$72,Model!AH$1,'Assumptions (NG Midstream)'!$B$75,Model!$AW$249)</f>
        <v>-2.9964870513365074E-2</v>
      </c>
      <c r="BI350" s="377">
        <f>IPMT('Assumptions (NG Midstream)'!$B$72,Model!AI$1,'Assumptions (NG Midstream)'!$B$75,Model!$AW$249)</f>
        <v>-2.3265699065537118E-2</v>
      </c>
      <c r="BJ350" s="377">
        <f>IPMT('Assumptions (NG Midstream)'!$B$72,Model!AJ$1,'Assumptions (NG Midstream)'!$B$75,Model!$AW$249)</f>
        <v>-1.6064089759122071E-2</v>
      </c>
      <c r="BK350" s="377">
        <f>IPMT('Assumptions (NG Midstream)'!$B$72,Model!AK$1,'Assumptions (NG Midstream)'!$B$75,Model!$AW$249)</f>
        <v>-8.3223597547258908E-3</v>
      </c>
      <c r="BL350" s="377" t="e">
        <f>IPMT('Assumptions (NG Midstream)'!$B$72,Model!AL$1,'Assumptions (NG Midstream)'!$B$75,Model!$AW$249)</f>
        <v>#NUM!</v>
      </c>
      <c r="BM350" s="377" t="e">
        <f>IPMT('Assumptions (NG Midstream)'!$B$72,Model!AM$1,'Assumptions (NG Midstream)'!$B$75,Model!$AW$249)</f>
        <v>#NUM!</v>
      </c>
      <c r="BN350" s="377" t="e">
        <f>IPMT('Assumptions (NG Midstream)'!$B$72,Model!AN$1,'Assumptions (NG Midstream)'!$B$75,Model!$AW$249)</f>
        <v>#NUM!</v>
      </c>
      <c r="BO350" s="377" t="e">
        <f>IPMT('Assumptions (NG Midstream)'!$B$72,Model!AO$1,'Assumptions (NG Midstream)'!$B$75,Model!$AW$249)</f>
        <v>#NUM!</v>
      </c>
      <c r="BP350" s="377" t="e">
        <f>IPMT('Assumptions (NG Midstream)'!$B$72,Model!AP$1,'Assumptions (NG Midstream)'!$B$75,Model!$AW$249)</f>
        <v>#NUM!</v>
      </c>
      <c r="BQ350" s="377" t="e">
        <f>IPMT('Assumptions (NG Midstream)'!$B$72,Model!AQ$1,'Assumptions (NG Midstream)'!$B$75,Model!$AW$249)</f>
        <v>#NUM!</v>
      </c>
      <c r="BR350" s="377" t="e">
        <f>IPMT('Assumptions (NG Midstream)'!$B$72,Model!AR$1,'Assumptions (NG Midstream)'!$B$75,Model!$AW$249)</f>
        <v>#NUM!</v>
      </c>
      <c r="BS350" s="377" t="e">
        <f>IPMT('Assumptions (NG Midstream)'!$B$72,Model!AS$1,'Assumptions (NG Midstream)'!$B$75,Model!$AW$249)</f>
        <v>#NUM!</v>
      </c>
      <c r="BT350" s="377" t="e">
        <f>IPMT('Assumptions (NG Midstream)'!$B$72,Model!AT$1,'Assumptions (NG Midstream)'!$B$75,Model!$AW$249)</f>
        <v>#NUM!</v>
      </c>
      <c r="BU350" s="377" t="e">
        <f>IPMT('Assumptions (NG Midstream)'!$B$72,Model!AU$1,'Assumptions (NG Midstream)'!$B$75,Model!$AW$249)</f>
        <v>#NUM!</v>
      </c>
    </row>
    <row r="351" spans="1:75" ht="15.75" hidden="1" customHeight="1" outlineLevel="1">
      <c r="A351" s="365"/>
      <c r="B351" s="99"/>
      <c r="C351" s="377"/>
      <c r="D351" s="377"/>
      <c r="E351" s="377"/>
      <c r="F351" s="377"/>
      <c r="G351" s="377"/>
      <c r="H351" s="377"/>
      <c r="I351" s="377"/>
      <c r="J351" s="377"/>
      <c r="K351" s="377"/>
      <c r="L351" s="377"/>
      <c r="M351" s="377"/>
      <c r="N351" s="377"/>
      <c r="O351" s="377"/>
      <c r="P351" s="377"/>
      <c r="Q351" s="377"/>
      <c r="R351" s="377"/>
      <c r="S351" s="42"/>
      <c r="T351" s="42"/>
      <c r="U351" s="42"/>
      <c r="V351" s="42"/>
      <c r="W351" s="86"/>
      <c r="AW351" s="377"/>
      <c r="AX351" s="377">
        <f>IPMT('Assumptions (NG Midstream)'!$B$72,Model!W$1,'Assumptions (NG Midstream)'!$B$75,Model!$AX$249)</f>
        <v>-8.4033374734563668E-2</v>
      </c>
      <c r="AY351" s="377">
        <f>IPMT('Assumptions (NG Midstream)'!$B$72,Model!X$1,'Assumptions (NG Midstream)'!$B$75,Model!$AX$249)</f>
        <v>-8.0815969062864507E-2</v>
      </c>
      <c r="AZ351" s="377">
        <f>IPMT('Assumptions (NG Midstream)'!$B$72,Model!Y$1,'Assumptions (NG Midstream)'!$B$75,Model!$AX$249)</f>
        <v>-7.7357257965787934E-2</v>
      </c>
      <c r="BA351" s="377">
        <f>IPMT('Assumptions (NG Midstream)'!$B$72,Model!Z$1,'Assumptions (NG Midstream)'!$B$75,Model!$AX$249)</f>
        <v>-7.3639143536430612E-2</v>
      </c>
      <c r="BB351" s="377">
        <f>IPMT('Assumptions (NG Midstream)'!$B$72,Model!AA$1,'Assumptions (NG Midstream)'!$B$75,Model!$AX$249)</f>
        <v>-6.9642170524871469E-2</v>
      </c>
      <c r="BC351" s="377">
        <f>IPMT('Assumptions (NG Midstream)'!$B$72,Model!AB$1,'Assumptions (NG Midstream)'!$B$75,Model!$AX$249)</f>
        <v>-6.5345424537445407E-2</v>
      </c>
      <c r="BD351" s="377">
        <f>IPMT('Assumptions (NG Midstream)'!$B$72,Model!AC$1,'Assumptions (NG Midstream)'!$B$75,Model!$AX$249)</f>
        <v>-6.0726422600962393E-2</v>
      </c>
      <c r="BE351" s="377">
        <f>IPMT('Assumptions (NG Midstream)'!$B$72,Model!AD$1,'Assumptions (NG Midstream)'!$B$75,Model!$AX$249)</f>
        <v>-5.5760995519243142E-2</v>
      </c>
      <c r="BF351" s="377">
        <f>IPMT('Assumptions (NG Midstream)'!$B$72,Model!AE$1,'Assumptions (NG Midstream)'!$B$75,Model!$AX$249)</f>
        <v>-5.042316140639496E-2</v>
      </c>
      <c r="BG351" s="377">
        <f>IPMT('Assumptions (NG Midstream)'!$B$72,Model!AF$1,'Assumptions (NG Midstream)'!$B$75,Model!$AX$249)</f>
        <v>-4.4684989735083155E-2</v>
      </c>
      <c r="BH351" s="377">
        <f>IPMT('Assumptions (NG Midstream)'!$B$72,Model!AG$1,'Assumptions (NG Midstream)'!$B$75,Model!$AX$249)</f>
        <v>-3.851645518842297E-2</v>
      </c>
      <c r="BI351" s="377">
        <f>IPMT('Assumptions (NG Midstream)'!$B$72,Model!AH$1,'Assumptions (NG Midstream)'!$B$75,Model!$AX$249)</f>
        <v>-3.188528055076327E-2</v>
      </c>
      <c r="BJ351" s="377">
        <f>IPMT('Assumptions (NG Midstream)'!$B$72,Model!AI$1,'Assumptions (NG Midstream)'!$B$75,Model!$AX$249)</f>
        <v>-2.475676781527909E-2</v>
      </c>
      <c r="BK351" s="377">
        <f>IPMT('Assumptions (NG Midstream)'!$B$72,Model!AJ$1,'Assumptions (NG Midstream)'!$B$75,Model!$AX$249)</f>
        <v>-1.7093616624633601E-2</v>
      </c>
      <c r="BL351" s="377">
        <f>IPMT('Assumptions (NG Midstream)'!$B$72,Model!AK$1,'Assumptions (NG Midstream)'!$B$75,Model!$AX$249)</f>
        <v>-8.8557290946896967E-3</v>
      </c>
      <c r="BM351" s="377" t="e">
        <f>IPMT('Assumptions (NG Midstream)'!$B$72,Model!AL$1,'Assumptions (NG Midstream)'!$B$75,Model!$AX$249)</f>
        <v>#NUM!</v>
      </c>
      <c r="BN351" s="377" t="e">
        <f>IPMT('Assumptions (NG Midstream)'!$B$72,Model!AM$1,'Assumptions (NG Midstream)'!$B$75,Model!$AX$249)</f>
        <v>#NUM!</v>
      </c>
      <c r="BO351" s="377" t="e">
        <f>IPMT('Assumptions (NG Midstream)'!$B$72,Model!AN$1,'Assumptions (NG Midstream)'!$B$75,Model!$AX$249)</f>
        <v>#NUM!</v>
      </c>
      <c r="BP351" s="377" t="e">
        <f>IPMT('Assumptions (NG Midstream)'!$B$72,Model!AO$1,'Assumptions (NG Midstream)'!$B$75,Model!$AX$249)</f>
        <v>#NUM!</v>
      </c>
      <c r="BQ351" s="377" t="e">
        <f>IPMT('Assumptions (NG Midstream)'!$B$72,Model!AP$1,'Assumptions (NG Midstream)'!$B$75,Model!$AX$249)</f>
        <v>#NUM!</v>
      </c>
      <c r="BR351" s="377" t="e">
        <f>IPMT('Assumptions (NG Midstream)'!$B$72,Model!AQ$1,'Assumptions (NG Midstream)'!$B$75,Model!$AX$249)</f>
        <v>#NUM!</v>
      </c>
      <c r="BS351" s="377" t="e">
        <f>IPMT('Assumptions (NG Midstream)'!$B$72,Model!AR$1,'Assumptions (NG Midstream)'!$B$75,Model!$AX$249)</f>
        <v>#NUM!</v>
      </c>
      <c r="BT351" s="377" t="e">
        <f>IPMT('Assumptions (NG Midstream)'!$B$72,Model!AS$1,'Assumptions (NG Midstream)'!$B$75,Model!$AX$249)</f>
        <v>#NUM!</v>
      </c>
      <c r="BU351" s="377" t="e">
        <f>IPMT('Assumptions (NG Midstream)'!$B$72,Model!AT$1,'Assumptions (NG Midstream)'!$B$75,Model!$AX$249)</f>
        <v>#NUM!</v>
      </c>
      <c r="BV351" s="377" t="e">
        <f>IPMT('Assumptions (Oil G&amp;T)'!$B$73,Model!AU$1,'Assumptions (Oil G&amp;T)'!$B$76,Model!$AX$249)</f>
        <v>#NUM!</v>
      </c>
    </row>
    <row r="352" spans="1:75" ht="15.75" hidden="1" customHeight="1" outlineLevel="1">
      <c r="A352" s="365"/>
      <c r="B352" s="99"/>
      <c r="C352" s="377"/>
      <c r="D352" s="377"/>
      <c r="E352" s="377"/>
      <c r="F352" s="377"/>
      <c r="G352" s="377"/>
      <c r="H352" s="377"/>
      <c r="I352" s="377"/>
      <c r="J352" s="377"/>
      <c r="K352" s="377"/>
      <c r="L352" s="377"/>
      <c r="M352" s="377"/>
      <c r="N352" s="377"/>
      <c r="O352" s="377"/>
      <c r="P352" s="377"/>
      <c r="Q352" s="377"/>
      <c r="R352" s="377"/>
      <c r="S352" s="42"/>
      <c r="T352" s="42"/>
      <c r="U352" s="42"/>
      <c r="V352" s="42"/>
      <c r="W352" s="86"/>
      <c r="AW352" s="377"/>
      <c r="AX352" s="377"/>
      <c r="AY352" s="377">
        <f>IPMT('Assumptions (NG Midstream)'!$B$72,Model!W$1,'Assumptions (NG Midstream)'!$B$75,Model!$AY$249)</f>
        <v>-7.4533148431961169E-2</v>
      </c>
      <c r="AZ352" s="377">
        <f>IPMT('Assumptions (NG Midstream)'!$B$72,Model!X$1,'Assumptions (NG Midstream)'!$B$75,Model!$AY$249)</f>
        <v>-7.1679480169178036E-2</v>
      </c>
      <c r="BA352" s="377">
        <f>IPMT('Assumptions (NG Midstream)'!$B$72,Model!Y$1,'Assumptions (NG Midstream)'!$B$75,Model!$AY$249)</f>
        <v>-6.8611786786686155E-2</v>
      </c>
      <c r="BB352" s="377">
        <f>IPMT('Assumptions (NG Midstream)'!$B$72,Model!Z$1,'Assumptions (NG Midstream)'!$B$75,Model!$AY$249)</f>
        <v>-6.5314016400507408E-2</v>
      </c>
      <c r="BC352" s="377">
        <f>IPMT('Assumptions (NG Midstream)'!$B$72,Model!AA$1,'Assumptions (NG Midstream)'!$B$75,Model!$AY$249)</f>
        <v>-6.1768913235365229E-2</v>
      </c>
      <c r="BD352" s="377">
        <f>IPMT('Assumptions (NG Midstream)'!$B$72,Model!AB$1,'Assumptions (NG Midstream)'!$B$75,Model!$AY$249)</f>
        <v>-5.795792733283741E-2</v>
      </c>
      <c r="BE352" s="377">
        <f>IPMT('Assumptions (NG Midstream)'!$B$72,Model!AC$1,'Assumptions (NG Midstream)'!$B$75,Model!$AY$249)</f>
        <v>-5.3861117487619993E-2</v>
      </c>
      <c r="BF352" s="377">
        <f>IPMT('Assumptions (NG Midstream)'!$B$72,Model!AD$1,'Assumptions (NG Midstream)'!$B$75,Model!$AY$249)</f>
        <v>-4.9457046904011266E-2</v>
      </c>
      <c r="BG352" s="377">
        <f>IPMT('Assumptions (NG Midstream)'!$B$72,Model!AE$1,'Assumptions (NG Midstream)'!$B$75,Model!$AY$249)</f>
        <v>-4.472267102663189E-2</v>
      </c>
      <c r="BH352" s="377">
        <f>IPMT('Assumptions (NG Midstream)'!$B$72,Model!AF$1,'Assumptions (NG Midstream)'!$B$75,Model!$AY$249)</f>
        <v>-3.9633216958449062E-2</v>
      </c>
      <c r="BI352" s="377">
        <f>IPMT('Assumptions (NG Midstream)'!$B$72,Model!AG$1,'Assumptions (NG Midstream)'!$B$75,Model!$AY$249)</f>
        <v>-3.4162053835152521E-2</v>
      </c>
      <c r="BJ352" s="377">
        <f>IPMT('Assumptions (NG Midstream)'!$B$72,Model!AH$1,'Assumptions (NG Midstream)'!$B$75,Model!$AY$249)</f>
        <v>-2.8280553477608748E-2</v>
      </c>
      <c r="BK352" s="377">
        <f>IPMT('Assumptions (NG Midstream)'!$B$72,Model!AI$1,'Assumptions (NG Midstream)'!$B$75,Model!$AY$249)</f>
        <v>-2.1957940593249178E-2</v>
      </c>
      <c r="BL352" s="377">
        <f>IPMT('Assumptions (NG Midstream)'!$B$72,Model!AJ$1,'Assumptions (NG Midstream)'!$B$75,Model!$AY$249)</f>
        <v>-1.5161131742562646E-2</v>
      </c>
      <c r="BM352" s="377">
        <f>IPMT('Assumptions (NG Midstream)'!$B$72,Model!AK$1,'Assumptions (NG Midstream)'!$B$75,Model!$AY$249)</f>
        <v>-7.8545622280746241E-3</v>
      </c>
      <c r="BN352" s="377" t="e">
        <f>IPMT('Assumptions (NG Midstream)'!$B$72,Model!AL$1,'Assumptions (NG Midstream)'!$B$75,Model!$AY$249)</f>
        <v>#NUM!</v>
      </c>
      <c r="BO352" s="377" t="e">
        <f>IPMT('Assumptions (NG Midstream)'!$B$72,Model!AM$1,'Assumptions (NG Midstream)'!$B$75,Model!$AY$249)</f>
        <v>#NUM!</v>
      </c>
      <c r="BP352" s="377" t="e">
        <f>IPMT('Assumptions (NG Midstream)'!$B$72,Model!AN$1,'Assumptions (NG Midstream)'!$B$75,Model!$AY$249)</f>
        <v>#NUM!</v>
      </c>
      <c r="BQ352" s="377" t="e">
        <f>IPMT('Assumptions (NG Midstream)'!$B$72,Model!AO$1,'Assumptions (NG Midstream)'!$B$75,Model!$AY$249)</f>
        <v>#NUM!</v>
      </c>
      <c r="BR352" s="377" t="e">
        <f>IPMT('Assumptions (NG Midstream)'!$B$72,Model!AP$1,'Assumptions (NG Midstream)'!$B$75,Model!$AY$249)</f>
        <v>#NUM!</v>
      </c>
      <c r="BS352" s="377" t="e">
        <f>IPMT('Assumptions (NG Midstream)'!$B$72,Model!AQ$1,'Assumptions (NG Midstream)'!$B$75,Model!$AY$249)</f>
        <v>#NUM!</v>
      </c>
      <c r="BT352" s="377" t="e">
        <f>IPMT('Assumptions (NG Midstream)'!$B$72,Model!AR$1,'Assumptions (NG Midstream)'!$B$75,Model!$AY$249)</f>
        <v>#NUM!</v>
      </c>
      <c r="BU352" s="377" t="e">
        <f>IPMT('Assumptions (NG Midstream)'!$B$72,Model!AS$1,'Assumptions (NG Midstream)'!$B$75,Model!$AY$249)</f>
        <v>#NUM!</v>
      </c>
      <c r="BV352" s="377" t="e">
        <f>IPMT('Assumptions (Oil G&amp;T)'!$B$73,Model!AT$1,'Assumptions (Oil G&amp;T)'!$B$76,Model!$AY$249)</f>
        <v>#NUM!</v>
      </c>
      <c r="BW352" s="377" t="e">
        <f>IPMT('Assumptions (Oil G&amp;T)'!$B$73,Model!AU$1,'Assumptions (Oil G&amp;T)'!$B$76,Model!$AY$249)</f>
        <v>#NUM!</v>
      </c>
    </row>
    <row r="353" spans="1:82" ht="15.75" hidden="1" customHeight="1" outlineLevel="1">
      <c r="A353" s="365"/>
      <c r="B353" s="99"/>
      <c r="C353" s="377"/>
      <c r="D353" s="377"/>
      <c r="E353" s="377"/>
      <c r="F353" s="377"/>
      <c r="G353" s="377"/>
      <c r="H353" s="377"/>
      <c r="I353" s="377"/>
      <c r="J353" s="377"/>
      <c r="K353" s="377"/>
      <c r="L353" s="377"/>
      <c r="M353" s="377"/>
      <c r="N353" s="377"/>
      <c r="O353" s="377"/>
      <c r="P353" s="377"/>
      <c r="Q353" s="377"/>
      <c r="R353" s="377"/>
      <c r="S353" s="42"/>
      <c r="T353" s="42"/>
      <c r="U353" s="42"/>
      <c r="V353" s="42"/>
      <c r="W353" s="86"/>
      <c r="AW353" s="377"/>
      <c r="AX353" s="377"/>
      <c r="AY353" s="377"/>
      <c r="AZ353" s="377">
        <f>IPMT('Assumptions (NG Midstream)'!$B$72,Model!W$1,'Assumptions (NG Midstream)'!$B$75,Model!$AZ$249)</f>
        <v>-7.8801818883497951E-2</v>
      </c>
      <c r="BA353" s="377">
        <f>IPMT('Assumptions (NG Midstream)'!$B$72,Model!X$1,'Assumptions (NG Midstream)'!$B$75,Model!$AZ$249)</f>
        <v>-7.5784715026645549E-2</v>
      </c>
      <c r="BB353" s="377">
        <f>IPMT('Assumptions (NG Midstream)'!$B$72,Model!Y$1,'Assumptions (NG Midstream)'!$B$75,Model!$AZ$249)</f>
        <v>-7.2541328380529208E-2</v>
      </c>
      <c r="BC353" s="377">
        <f>IPMT('Assumptions (NG Midstream)'!$B$72,Model!Z$1,'Assumptions (NG Midstream)'!$B$75,Model!$AZ$249)</f>
        <v>-6.9054687735954162E-2</v>
      </c>
      <c r="BD353" s="377">
        <f>IPMT('Assumptions (NG Midstream)'!$B$72,Model!AA$1,'Assumptions (NG Midstream)'!$B$75,Model!$AZ$249)</f>
        <v>-6.5306549043035955E-2</v>
      </c>
      <c r="BE353" s="377">
        <f>IPMT('Assumptions (NG Midstream)'!$B$72,Model!AB$1,'Assumptions (NG Midstream)'!$B$75,Model!$AZ$249)</f>
        <v>-6.12772999481489E-2</v>
      </c>
      <c r="BF353" s="377">
        <f>IPMT('Assumptions (NG Midstream)'!$B$72,Model!AC$1,'Assumptions (NG Midstream)'!$B$75,Model!$AZ$249)</f>
        <v>-5.6945857171145323E-2</v>
      </c>
      <c r="BG353" s="377">
        <f>IPMT('Assumptions (NG Midstream)'!$B$72,Model!AD$1,'Assumptions (NG Midstream)'!$B$75,Model!$AZ$249)</f>
        <v>-5.2289556185866476E-2</v>
      </c>
      <c r="BH353" s="377">
        <f>IPMT('Assumptions (NG Midstream)'!$B$72,Model!AE$1,'Assumptions (NG Midstream)'!$B$75,Model!$AZ$249)</f>
        <v>-4.7284032626691702E-2</v>
      </c>
      <c r="BI353" s="377">
        <f>IPMT('Assumptions (NG Midstream)'!$B$72,Model!AF$1,'Assumptions (NG Midstream)'!$B$75,Model!$AZ$249)</f>
        <v>-4.1903094800578834E-2</v>
      </c>
      <c r="BJ353" s="377">
        <f>IPMT('Assumptions (NG Midstream)'!$B$72,Model!AG$1,'Assumptions (NG Midstream)'!$B$75,Model!$AZ$249)</f>
        <v>-3.6118586637507499E-2</v>
      </c>
      <c r="BK353" s="377">
        <f>IPMT('Assumptions (NG Midstream)'!$B$72,Model!AH$1,'Assumptions (NG Midstream)'!$B$75,Model!$AZ$249)</f>
        <v>-2.9900240362205815E-2</v>
      </c>
      <c r="BL353" s="377">
        <f>IPMT('Assumptions (NG Midstream)'!$B$72,Model!AI$1,'Assumptions (NG Midstream)'!$B$75,Model!$AZ$249)</f>
        <v>-2.3215518116256498E-2</v>
      </c>
      <c r="BM353" s="377">
        <f>IPMT('Assumptions (NG Midstream)'!$B$72,Model!AJ$1,'Assumptions (NG Midstream)'!$B$75,Model!$AZ$249)</f>
        <v>-1.6029441701860988E-2</v>
      </c>
      <c r="BN353" s="377">
        <f>IPMT('Assumptions (NG Midstream)'!$B$72,Model!AK$1,'Assumptions (NG Midstream)'!$B$75,Model!$AZ$249)</f>
        <v>-8.3044095563858129E-3</v>
      </c>
      <c r="BO353" s="377" t="e">
        <f>IPMT('Assumptions (NG Midstream)'!$B$72,Model!AL$1,'Assumptions (NG Midstream)'!$B$75,Model!$AZ$249)</f>
        <v>#NUM!</v>
      </c>
      <c r="BP353" s="377" t="e">
        <f>IPMT('Assumptions (NG Midstream)'!$B$72,Model!AM$1,'Assumptions (NG Midstream)'!$B$75,Model!$AZ$249)</f>
        <v>#NUM!</v>
      </c>
      <c r="BQ353" s="377" t="e">
        <f>IPMT('Assumptions (NG Midstream)'!$B$72,Model!AN$1,'Assumptions (NG Midstream)'!$B$75,Model!$AZ$249)</f>
        <v>#NUM!</v>
      </c>
      <c r="BR353" s="377" t="e">
        <f>IPMT('Assumptions (NG Midstream)'!$B$72,Model!AO$1,'Assumptions (NG Midstream)'!$B$75,Model!$AZ$249)</f>
        <v>#NUM!</v>
      </c>
      <c r="BS353" s="377" t="e">
        <f>IPMT('Assumptions (NG Midstream)'!$B$72,Model!AP$1,'Assumptions (NG Midstream)'!$B$75,Model!$AZ$249)</f>
        <v>#NUM!</v>
      </c>
      <c r="BT353" s="377" t="e">
        <f>IPMT('Assumptions (NG Midstream)'!$B$72,Model!AQ$1,'Assumptions (NG Midstream)'!$B$75,Model!$AZ$249)</f>
        <v>#NUM!</v>
      </c>
      <c r="BU353" s="377" t="e">
        <f>IPMT('Assumptions (NG Midstream)'!$B$72,Model!AR$1,'Assumptions (NG Midstream)'!$B$75,Model!$AZ$249)</f>
        <v>#NUM!</v>
      </c>
      <c r="BV353" s="377" t="e">
        <f>IPMT('Assumptions (Oil G&amp;T)'!$B$73,Model!AS$1,'Assumptions (Oil G&amp;T)'!$B$76,Model!$AZ$249)</f>
        <v>#NUM!</v>
      </c>
      <c r="BW353" s="377" t="e">
        <f>IPMT('Assumptions (Oil G&amp;T)'!$B$73,Model!AT$1,'Assumptions (Oil G&amp;T)'!$B$76,Model!$AZ$249)</f>
        <v>#NUM!</v>
      </c>
      <c r="BX353" s="377" t="e">
        <f>IPMT('Assumptions (Oil G&amp;T)'!$B$73,Model!AU$1,'Assumptions (Oil G&amp;T)'!$B$76,Model!$AZ$249)</f>
        <v>#NUM!</v>
      </c>
    </row>
    <row r="354" spans="1:82" ht="15.75" hidden="1" customHeight="1" outlineLevel="1">
      <c r="A354" s="365"/>
      <c r="B354" s="99"/>
      <c r="C354" s="377"/>
      <c r="D354" s="377"/>
      <c r="E354" s="377"/>
      <c r="F354" s="377"/>
      <c r="G354" s="377"/>
      <c r="H354" s="377"/>
      <c r="I354" s="377"/>
      <c r="J354" s="377"/>
      <c r="K354" s="377"/>
      <c r="L354" s="377"/>
      <c r="M354" s="377"/>
      <c r="N354" s="377"/>
      <c r="O354" s="377"/>
      <c r="P354" s="377"/>
      <c r="Q354" s="377"/>
      <c r="R354" s="377"/>
      <c r="S354" s="42"/>
      <c r="T354" s="42"/>
      <c r="U354" s="42"/>
      <c r="V354" s="42"/>
      <c r="W354" s="86"/>
      <c r="BA354" s="377">
        <f>IPMT('Assumptions (NG Midstream)'!$B$72,Model!W$1,'Assumptions (NG Midstream)'!$B$75,Model!$BA$249)</f>
        <v>-7.8808444704347738E-2</v>
      </c>
      <c r="BB354" s="377">
        <f>IPMT('Assumptions (NG Midstream)'!$B$72,Model!X$1,'Assumptions (NG Midstream)'!$B$75,Model!$BA$249)</f>
        <v>-7.5791087163127088E-2</v>
      </c>
      <c r="BC354" s="377">
        <f>IPMT('Assumptions (NG Midstream)'!$B$72,Model!Y$1,'Assumptions (NG Midstream)'!$B$75,Model!$BA$249)</f>
        <v>-7.2547427806314874E-2</v>
      </c>
      <c r="BD354" s="377">
        <f>IPMT('Assumptions (NG Midstream)'!$B$72,Model!Z$1,'Assumptions (NG Midstream)'!$B$75,Model!$BA$249)</f>
        <v>-6.9060493997741765E-2</v>
      </c>
      <c r="BE354" s="377">
        <f>IPMT('Assumptions (NG Midstream)'!$B$72,Model!AA$1,'Assumptions (NG Midstream)'!$B$75,Model!$BA$249)</f>
        <v>-6.5312040153525652E-2</v>
      </c>
      <c r="BF354" s="377">
        <f>IPMT('Assumptions (NG Midstream)'!$B$72,Model!AB$1,'Assumptions (NG Midstream)'!$B$75,Model!$BA$249)</f>
        <v>-6.1282452270993326E-2</v>
      </c>
      <c r="BG354" s="377">
        <f>IPMT('Assumptions (NG Midstream)'!$B$72,Model!AC$1,'Assumptions (NG Midstream)'!$B$75,Model!$BA$249)</f>
        <v>-5.6950645297271098E-2</v>
      </c>
      <c r="BH354" s="377">
        <f>IPMT('Assumptions (NG Midstream)'!$B$72,Model!AD$1,'Assumptions (NG Midstream)'!$B$75,Model!$BA$249)</f>
        <v>-5.229395280051969E-2</v>
      </c>
      <c r="BI354" s="377">
        <f>IPMT('Assumptions (NG Midstream)'!$B$72,Model!AE$1,'Assumptions (NG Midstream)'!$B$75,Model!$BA$249)</f>
        <v>-4.7288008366511924E-2</v>
      </c>
      <c r="BJ354" s="377">
        <f>IPMT('Assumptions (NG Midstream)'!$B$72,Model!AF$1,'Assumptions (NG Midstream)'!$B$75,Model!$BA$249)</f>
        <v>-4.190661809995358E-2</v>
      </c>
      <c r="BK354" s="377">
        <f>IPMT('Assumptions (NG Midstream)'!$B$72,Model!AG$1,'Assumptions (NG Midstream)'!$B$75,Model!$BA$249)</f>
        <v>-3.6121623563403364E-2</v>
      </c>
      <c r="BL354" s="377">
        <f>IPMT('Assumptions (NG Midstream)'!$B$72,Model!AH$1,'Assumptions (NG Midstream)'!$B$75,Model!$BA$249)</f>
        <v>-2.9902754436611879E-2</v>
      </c>
      <c r="BM354" s="377">
        <f>IPMT('Assumptions (NG Midstream)'!$B$72,Model!AI$1,'Assumptions (NG Midstream)'!$B$75,Model!$BA$249)</f>
        <v>-2.3217470125311022E-2</v>
      </c>
      <c r="BN354" s="377">
        <f>IPMT('Assumptions (NG Midstream)'!$B$72,Model!AJ$1,'Assumptions (NG Midstream)'!$B$75,Model!$BA$249)</f>
        <v>-1.6030789490662615E-2</v>
      </c>
      <c r="BO354" s="377">
        <f>IPMT('Assumptions (NG Midstream)'!$B$72,Model!AK$1,'Assumptions (NG Midstream)'!$B$75,Model!$BA$249)</f>
        <v>-8.3051078084155714E-3</v>
      </c>
      <c r="BP354" s="377" t="e">
        <f>IPMT('Assumptions (NG Midstream)'!$B$72,Model!AL$1,'Assumptions (NG Midstream)'!$B$75,Model!$BA$249)</f>
        <v>#NUM!</v>
      </c>
      <c r="BQ354" s="377" t="e">
        <f>IPMT('Assumptions (NG Midstream)'!$B$72,Model!AM$1,'Assumptions (NG Midstream)'!$B$75,Model!$BA$249)</f>
        <v>#NUM!</v>
      </c>
      <c r="BR354" s="377" t="e">
        <f>IPMT('Assumptions (NG Midstream)'!$B$72,Model!AN$1,'Assumptions (NG Midstream)'!$B$75,Model!$BA$249)</f>
        <v>#NUM!</v>
      </c>
      <c r="BS354" s="377" t="e">
        <f>IPMT('Assumptions (NG Midstream)'!$B$72,Model!AO$1,'Assumptions (NG Midstream)'!$B$75,Model!$BA$249)</f>
        <v>#NUM!</v>
      </c>
      <c r="BT354" s="377" t="e">
        <f>IPMT('Assumptions (NG Midstream)'!$B$72,Model!AP$1,'Assumptions (NG Midstream)'!$B$75,Model!$BA$249)</f>
        <v>#NUM!</v>
      </c>
      <c r="BU354" s="377" t="e">
        <f>IPMT('Assumptions (NG Midstream)'!$B$72,Model!AQ$1,'Assumptions (NG Midstream)'!$B$75,Model!$BA$249)</f>
        <v>#NUM!</v>
      </c>
      <c r="BV354" s="377" t="e">
        <f>IPMT('Assumptions (Oil G&amp;T)'!$B$73,Model!AR$1,'Assumptions (Oil G&amp;T)'!$B$76,Model!$BA$249)</f>
        <v>#NUM!</v>
      </c>
      <c r="BW354" s="377" t="e">
        <f>IPMT('Assumptions (Oil G&amp;T)'!$B$73,Model!AS$1,'Assumptions (Oil G&amp;T)'!$B$76,Model!$BA$249)</f>
        <v>#NUM!</v>
      </c>
      <c r="BX354" s="377" t="e">
        <f>IPMT('Assumptions (Oil G&amp;T)'!$B$73,Model!AT$1,'Assumptions (Oil G&amp;T)'!$B$76,Model!$BA$249)</f>
        <v>#NUM!</v>
      </c>
      <c r="BY354" s="377" t="e">
        <f>IPMT('Assumptions (Oil G&amp;T)'!$B$73,Model!AU$1,'Assumptions (Oil G&amp;T)'!$B$76,Model!$BA$249)</f>
        <v>#NUM!</v>
      </c>
    </row>
    <row r="355" spans="1:82" ht="15.75" customHeight="1" collapsed="1">
      <c r="A355" s="365" t="s">
        <v>837</v>
      </c>
      <c r="B355" s="99" t="s">
        <v>201</v>
      </c>
      <c r="C355" s="147">
        <f>SUM($C248:C$248)*'Assumptions (NG Midstream)'!$B$77</f>
        <v>0.10140313201200001</v>
      </c>
      <c r="D355" s="147">
        <f>SUM($C$248:D248)*'Assumptions (NG Midstream)'!$B$77</f>
        <v>0.23358767681200002</v>
      </c>
      <c r="E355" s="147">
        <f>SUM($C$248:E248)*'Assumptions (NG Midstream)'!$B$77</f>
        <v>0.394982486892</v>
      </c>
      <c r="F355" s="147">
        <f>SUM($C$248:F248)*'Assumptions (NG Midstream)'!$B$77</f>
        <v>0.59801519923866664</v>
      </c>
      <c r="G355" s="147">
        <f>SUM($C$248:G248)*'Assumptions (NG Midstream)'!$B$77</f>
        <v>0.71870393745066663</v>
      </c>
      <c r="H355" s="147">
        <f>SUM($C$248:H248)*'Assumptions (NG Midstream)'!$B$77</f>
        <v>0.83857608835066666</v>
      </c>
      <c r="I355" s="147">
        <f>SUM($C$248:I248)*'Assumptions (NG Midstream)'!$B$77</f>
        <v>0.9902702795706666</v>
      </c>
      <c r="J355" s="147">
        <f>SUM($C$248:J248)*'Assumptions (NG Midstream)'!$B$77</f>
        <v>1.2459501038916665</v>
      </c>
      <c r="K355" s="147">
        <f>SUM($C$248:K248)*'Assumptions (NG Midstream)'!$B$77</f>
        <v>1.7150292892969998</v>
      </c>
      <c r="L355" s="147">
        <f>SUM($C$248:L248)*'Assumptions (NG Midstream)'!$B$77</f>
        <v>2.3178779604143331</v>
      </c>
      <c r="M355" s="147">
        <f>SUM($C248:M$248)*'Assumptions (NG Midstream)'!$B$77</f>
        <v>2.5175716889123332</v>
      </c>
      <c r="N355" s="147">
        <f>SUM($C$248:N248)*'Assumptions (NG Midstream)'!$B$77</f>
        <v>3.0863909862049996</v>
      </c>
      <c r="O355" s="147">
        <f>SUM($C$248:O248)*'Assumptions (NG Midstream)'!$B$77</f>
        <v>3.2934316667229999</v>
      </c>
      <c r="P355" s="147">
        <f>SUM($C$248:P248)*'Assumptions (NG Midstream)'!$B$77</f>
        <v>3.5552779699903332</v>
      </c>
      <c r="Q355" s="147">
        <f>SUM($C$248:Q248)*'Assumptions (NG Midstream)'!$B$77</f>
        <v>3.7312841000849994</v>
      </c>
      <c r="R355" s="147">
        <f>SUM($C$248:R248)*'Assumptions (NG Midstream)'!$B$77</f>
        <v>3.9847184435649998</v>
      </c>
      <c r="S355" s="147">
        <f>SUM($C$248:S248)*'Assumptions (NG Midstream)'!$B$77</f>
        <v>4.218598105171</v>
      </c>
      <c r="T355" s="147">
        <f>SUM($C$248:T248)*'Assumptions (NG Midstream)'!$B$77</f>
        <v>4.4823471813023206</v>
      </c>
      <c r="U355" s="147">
        <f>SUM($C$248:U248)*'Assumptions (NG Midstream)'!$B$77</f>
        <v>4.5180113486291633</v>
      </c>
      <c r="V355" s="147">
        <f>SUM($C$248:V248)*'Assumptions (NG Midstream)'!$B$77</f>
        <v>4.6310312664372706</v>
      </c>
      <c r="W355" s="147">
        <f>SUM($C248:W$248)*'Assumptions (NG Midstream)'!$B$77</f>
        <v>4.7038150594867432</v>
      </c>
      <c r="X355" s="147">
        <f>SUM($C$248:X248)*'Assumptions (NG Midstream)'!$B$77</f>
        <v>4.7694839819972641</v>
      </c>
      <c r="Y355" s="147">
        <f>SUM($C$248:Y248)*'Assumptions (NG Midstream)'!$B$77</f>
        <v>4.8537937059578056</v>
      </c>
      <c r="Z355" s="147">
        <f>SUM($C$248:Z248)*'Assumptions (NG Midstream)'!$B$77</f>
        <v>4.9444834199896164</v>
      </c>
      <c r="AA355" s="147">
        <f>SUM($C$248:AA248)*'Assumptions (NG Midstream)'!$B$77</f>
        <v>5.0357017912884361</v>
      </c>
      <c r="AB355" s="147">
        <f>SUM($C$248:AB248)*'Assumptions (NG Midstream)'!$B$77</f>
        <v>5.12173044994677</v>
      </c>
      <c r="AC355" s="147">
        <f>SUM($C$248:AC248)*'Assumptions (NG Midstream)'!$B$77</f>
        <v>5.1941034178092869</v>
      </c>
      <c r="AD355" s="147">
        <f>SUM($C$248:AD248)*'Assumptions (NG Midstream)'!$B$77</f>
        <v>5.2631677555022147</v>
      </c>
      <c r="AE355" s="147">
        <f>SUM($C$248:AE248)*'Assumptions (NG Midstream)'!$B$77</f>
        <v>5.3219171843325217</v>
      </c>
      <c r="AF355" s="147">
        <f>SUM($C$248:AF248)*'Assumptions (NG Midstream)'!$B$77</f>
        <v>5.3742032608944665</v>
      </c>
      <c r="AG355" s="147">
        <f>SUM(D$248:AG248)*'Assumptions (NG Midstream)'!$B$77</f>
        <v>5.3339035245127295</v>
      </c>
      <c r="AH355" s="147">
        <f>SUM(E$248:AH248)*'Assumptions (NG Midstream)'!$B$77</f>
        <v>5.2660212082760358</v>
      </c>
      <c r="AI355" s="147">
        <f>SUM(F$248:AI248)*'Assumptions (NG Midstream)'!$B$77</f>
        <v>5.1579243507698793</v>
      </c>
      <c r="AJ355" s="147">
        <f>SUM(G$248:AJ248)*'Assumptions (NG Midstream)'!$B$77</f>
        <v>5.0161560391879778</v>
      </c>
      <c r="AK355" s="147">
        <f>SUM(H$248:AK248)*'Assumptions (NG Midstream)'!$B$77</f>
        <v>4.9521895691108053</v>
      </c>
      <c r="AL355" s="147">
        <f>SUM(I$248:AL248)*'Assumptions (NG Midstream)'!$B$77</f>
        <v>4.8898435855114437</v>
      </c>
      <c r="AM355" s="147">
        <f>SUM(J$248:AM248)*'Assumptions (NG Midstream)'!$B$77</f>
        <v>4.791339486999207</v>
      </c>
      <c r="AN355" s="147">
        <f>SUM(K$248:AN248)*'Assumptions (NG Midstream)'!$B$77</f>
        <v>4.5914530815465895</v>
      </c>
      <c r="AO355" s="147">
        <f>SUM(L$248:AO248)*'Assumptions (NG Midstream)'!$B$77</f>
        <v>4.1754182250704446</v>
      </c>
      <c r="AP355" s="147">
        <f>SUM(M$248:AP248)*'Assumptions (NG Midstream)'!$B$77</f>
        <v>3.6277215523875248</v>
      </c>
      <c r="AQ355" s="147">
        <f>SUM(N$248:AQ248)*'Assumptions (NG Midstream)'!$B$77</f>
        <v>3.4801459741096004</v>
      </c>
      <c r="AR355" s="147">
        <f>SUM(O$248:AR248)*'Assumptions (NG Midstream)'!$B$77</f>
        <v>2.9670411392772658</v>
      </c>
      <c r="AS355" s="147">
        <f>SUM(P$248:AS248)*'Assumptions (NG Midstream)'!$B$77</f>
        <v>2.814086488888083</v>
      </c>
      <c r="AT355" s="147">
        <f>SUM(Q$248:AT248)*'Assumptions (NG Midstream)'!$B$77</f>
        <v>2.61373776332844</v>
      </c>
      <c r="AU355" s="147">
        <f>SUM(R$248:AU248)*'Assumptions (NG Midstream)'!$B$77</f>
        <v>2.4944185745233649</v>
      </c>
      <c r="AV355" s="147">
        <f>SUM(S$248:AV248)*'Assumptions (NG Midstream)'!$B$77</f>
        <v>2.2946064276490183</v>
      </c>
      <c r="AW355" s="147">
        <f>SUM(T$248:AW248)*'Assumptions (NG Midstream)'!$B$77</f>
        <v>2.1192246557281726</v>
      </c>
      <c r="AX355" s="147">
        <f>SUM(U$248:AX248)*'Assumptions (NG Midstream)'!$B$77</f>
        <v>1.9177225238446762</v>
      </c>
      <c r="AY355" s="147">
        <f>SUM(V$248:AY248)*'Assumptions (NG Midstream)'!$B$77</f>
        <v>1.9372680960970643</v>
      </c>
      <c r="AZ355" s="147">
        <f>SUM(W$248:AZ248)*'Assumptions (NG Midstream)'!$B$77</f>
        <v>1.8826198959804381</v>
      </c>
      <c r="BA355" s="147">
        <f>SUM(X$248:BA248)*'Assumptions (NG Midstream)'!$B$77</f>
        <v>1.8682127286378893</v>
      </c>
      <c r="BB355" s="147">
        <f>SUM(Y$248:BB248)*'Assumptions (NG Midstream)'!$B$77</f>
        <v>1.8025438061273686</v>
      </c>
      <c r="BC355" s="147">
        <f>SUM(Z$248:BC248)*'Assumptions (NG Midstream)'!$B$77</f>
        <v>1.7182340821668267</v>
      </c>
      <c r="BD355" s="147">
        <f>SUM(AA$248:BD248)*'Assumptions (NG Midstream)'!$B$77</f>
        <v>1.6275443681350159</v>
      </c>
      <c r="BE355" s="147">
        <f>SUM(AB$248:BE248)*'Assumptions (NG Midstream)'!$B$77</f>
        <v>1.5363259968361966</v>
      </c>
      <c r="BF355" s="147">
        <f>SUM(AC$248:BF248)*'Assumptions (NG Midstream)'!$B$77</f>
        <v>1.4502973381778632</v>
      </c>
      <c r="BG355" s="147">
        <f>SUM(AD$248:BG248)*'Assumptions (NG Midstream)'!$B$77</f>
        <v>1.3779243703153465</v>
      </c>
      <c r="BH355" s="147">
        <f>SUM(AE$248:BH248)*'Assumptions (NG Midstream)'!$B$77</f>
        <v>1.3088600326224178</v>
      </c>
      <c r="BI355" s="147">
        <f>SUM(AF$248:BI248)*'Assumptions (NG Midstream)'!$B$77</f>
        <v>1.2501106037921117</v>
      </c>
      <c r="BJ355" s="147">
        <f>SUM(AG$248:BJ248)*'Assumptions (NG Midstream)'!$B$77</f>
        <v>1.1978245272301666</v>
      </c>
      <c r="BK355" s="147">
        <f>SUM(AH$248:BK248)*'Assumptions (NG Midstream)'!$B$77</f>
        <v>1.1367211315999044</v>
      </c>
      <c r="BL355" s="147">
        <f>SUM(AI$248:BL248)*'Assumptions (NG Midstream)'!$B$77</f>
        <v>1.0724189030365971</v>
      </c>
      <c r="BM355" s="147">
        <f>SUM(AJ$248:BM248)*'Assumptions (NG Midstream)'!$B$77</f>
        <v>1.0191209504627519</v>
      </c>
      <c r="BN355" s="147">
        <f>SUM(AK$248:BN248)*'Assumptions (NG Midstream)'!$B$77</f>
        <v>0.95785654969798661</v>
      </c>
      <c r="BO355" s="147">
        <f>SUM(AL$248:BO248)*'Assumptions (NG Midstream)'!$B$77</f>
        <v>0.90113428156315878</v>
      </c>
      <c r="BP355" s="147">
        <f>SUM(AM$248:BP248)*'Assumptions (NG Midstream)'!$B$77</f>
        <v>0.84360811426252003</v>
      </c>
      <c r="BQ355" s="147">
        <f>SUM(AN$248:BQ248)*'Assumptions (NG Midstream)'!$B$77</f>
        <v>0.79041802155475693</v>
      </c>
      <c r="BR355" s="147">
        <f>SUM(AO$248:BR248)*'Assumptions (NG Midstream)'!$B$77</f>
        <v>0.73462460268637431</v>
      </c>
      <c r="BS355" s="147">
        <f>SUM(AP$248:BS248)*'Assumptions (NG Midstream)'!$B$77</f>
        <v>0.68158027375718699</v>
      </c>
      <c r="BT355" s="147">
        <f>SUM(AQ$248:BT248)*'Assumptions (NG Midstream)'!$B$77</f>
        <v>0.62642827532277379</v>
      </c>
      <c r="BU355" s="147">
        <f>SUM(AR$248:BU248)*'Assumptions (NG Midstream)'!$B$77</f>
        <v>0.57431012510269763</v>
      </c>
      <c r="BV355" s="147">
        <f>SUM(AS$248:BV248)*'Assumptions (NG Midstream)'!$B$77</f>
        <v>0.51859566264236601</v>
      </c>
      <c r="BW355" s="147">
        <f>SUM(AT$248:BW248)*'Assumptions (NG Midstream)'!$B$77</f>
        <v>0.46450963251354876</v>
      </c>
      <c r="BX355" s="147">
        <f>SUM(AU$248:BX248)*'Assumptions (NG Midstream)'!$B$77</f>
        <v>0.40301205480585817</v>
      </c>
      <c r="BY355" s="147">
        <f>SUM(AV$248:BY248)*'Assumptions (NG Midstream)'!$B$77</f>
        <v>0.34632511351626688</v>
      </c>
      <c r="BZ355" s="147">
        <f>SUM(AW$248:BZ248)*'Assumptions (NG Midstream)'!$B$77</f>
        <v>0.29270291691061345</v>
      </c>
      <c r="CA355" s="147">
        <f>SUM(AX$248:CA248)*'Assumptions (NG Midstream)'!$B$77</f>
        <v>0.23420502722545966</v>
      </c>
      <c r="CB355" s="147">
        <f>SUM(AY$248:CB248)*'Assumptions (NG Midstream)'!$B$77</f>
        <v>0.17195808297763471</v>
      </c>
      <c r="CC355" s="147">
        <f>SUM(AZ$248:CC248)*'Assumptions (NG Midstream)'!$B$77</f>
        <v>0.11674834339840423</v>
      </c>
      <c r="CD355" s="147">
        <f>SUM(BA$248:CD248)*'Assumptions (NG Midstream)'!$B$77</f>
        <v>5.8376625706924264E-2</v>
      </c>
    </row>
    <row r="356" spans="1:82" ht="15.75" customHeight="1">
      <c r="A356" s="365" t="s">
        <v>838</v>
      </c>
      <c r="B356" s="99" t="s">
        <v>201</v>
      </c>
      <c r="C356" s="147">
        <f t="shared" ref="C356:BU356" si="5">SUM(C357:C407)</f>
        <v>0.11407852351350001</v>
      </c>
      <c r="D356" s="147">
        <f t="shared" si="5"/>
        <v>0.36831637589838845</v>
      </c>
      <c r="E356" s="147">
        <f t="shared" si="5"/>
        <v>0.67096184374659718</v>
      </c>
      <c r="F356" s="147">
        <f t="shared" si="5"/>
        <v>1.0306335472005732</v>
      </c>
      <c r="G356" s="147">
        <f t="shared" si="5"/>
        <v>1.3175187276131706</v>
      </c>
      <c r="H356" s="147">
        <f t="shared" si="5"/>
        <v>1.4893330759068302</v>
      </c>
      <c r="I356" s="147">
        <f t="shared" si="5"/>
        <v>1.683145326647604</v>
      </c>
      <c r="J356" s="147">
        <f t="shared" si="5"/>
        <v>2.0151962609897174</v>
      </c>
      <c r="K356" s="147">
        <f t="shared" si="5"/>
        <v>2.6879195257140038</v>
      </c>
      <c r="L356" s="147">
        <f t="shared" si="5"/>
        <v>3.7134725945297626</v>
      </c>
      <c r="M356" s="147">
        <f t="shared" si="5"/>
        <v>4.3747996247913905</v>
      </c>
      <c r="N356" s="147">
        <f t="shared" si="5"/>
        <v>4.9678671905916039</v>
      </c>
      <c r="O356" s="147">
        <f t="shared" si="5"/>
        <v>5.5383127224687643</v>
      </c>
      <c r="P356" s="147">
        <f t="shared" si="5"/>
        <v>5.732487001603797</v>
      </c>
      <c r="Q356" s="147">
        <f t="shared" si="5"/>
        <v>5.8921135481935929</v>
      </c>
      <c r="R356" s="147">
        <f t="shared" si="5"/>
        <v>6.0540136967224596</v>
      </c>
      <c r="S356" s="147">
        <f t="shared" si="5"/>
        <v>6.3126530255465276</v>
      </c>
      <c r="T356" s="147">
        <f t="shared" si="5"/>
        <v>6.6215148544461373</v>
      </c>
      <c r="U356" s="147">
        <f t="shared" si="5"/>
        <v>6.7111534047115047</v>
      </c>
      <c r="V356" s="147">
        <f t="shared" si="5"/>
        <v>6.6754469048903768</v>
      </c>
      <c r="W356" s="147">
        <f t="shared" si="5"/>
        <v>6.6429776791859121</v>
      </c>
      <c r="X356" s="147">
        <f t="shared" si="5"/>
        <v>6.491739511572626</v>
      </c>
      <c r="Y356" s="147">
        <f t="shared" si="5"/>
        <v>6.3317584493348571</v>
      </c>
      <c r="Z356" s="147">
        <f t="shared" si="5"/>
        <v>6.1742592280822954</v>
      </c>
      <c r="AA356" s="147">
        <f t="shared" si="5"/>
        <v>6.0687529792181634</v>
      </c>
      <c r="AB356" s="147">
        <f t="shared" si="5"/>
        <v>6.0316430679502524</v>
      </c>
      <c r="AC356" s="147">
        <f t="shared" si="5"/>
        <v>5.9502791746558934</v>
      </c>
      <c r="AD356" s="147">
        <f t="shared" si="5"/>
        <v>5.7619375977912028</v>
      </c>
      <c r="AE356" s="147">
        <f t="shared" si="5"/>
        <v>5.3470259060058787</v>
      </c>
      <c r="AF356" s="147">
        <f t="shared" si="5"/>
        <v>4.6828747253000458</v>
      </c>
      <c r="AG356" s="147">
        <f t="shared" si="5"/>
        <v>4.2053359779561346</v>
      </c>
      <c r="AH356" s="147">
        <f t="shared" si="5"/>
        <v>3.7690007963504444</v>
      </c>
      <c r="AI356" s="147">
        <f t="shared" si="5"/>
        <v>3.3219940189337605</v>
      </c>
      <c r="AJ356" s="147">
        <f t="shared" si="5"/>
        <v>3.0805006241446167</v>
      </c>
      <c r="AK356" s="147">
        <f t="shared" si="5"/>
        <v>2.8655490444382292</v>
      </c>
      <c r="AL356" s="147">
        <f t="shared" si="5"/>
        <v>2.6532830989721599</v>
      </c>
      <c r="AM356" s="147">
        <f t="shared" si="5"/>
        <v>2.3986366769873322</v>
      </c>
      <c r="AN356" s="147">
        <f t="shared" si="5"/>
        <v>2.1352359708195423</v>
      </c>
      <c r="AO356" s="147">
        <f t="shared" si="5"/>
        <v>2.0050115153610903</v>
      </c>
      <c r="AP356" s="147">
        <f t="shared" si="5"/>
        <v>1.9761099035508243</v>
      </c>
      <c r="AQ356" s="147">
        <f t="shared" si="5"/>
        <v>1.9215585749792852</v>
      </c>
      <c r="AR356" s="147">
        <f t="shared" si="5"/>
        <v>1.9001097512108012</v>
      </c>
      <c r="AS356" s="147">
        <f t="shared" si="5"/>
        <v>1.8735899224341486</v>
      </c>
      <c r="AT356" s="147">
        <f t="shared" si="5"/>
        <v>1.8370582728480742</v>
      </c>
      <c r="AU356" s="147">
        <f t="shared" si="5"/>
        <v>1.7981923875483412</v>
      </c>
      <c r="AV356" s="147">
        <f t="shared" si="5"/>
        <v>1.7529335459216739</v>
      </c>
      <c r="AW356" s="147">
        <f t="shared" si="5"/>
        <v>1.7221864383136531</v>
      </c>
      <c r="AX356" s="147">
        <f t="shared" si="5"/>
        <v>1.7123582337364422</v>
      </c>
      <c r="AY356" s="147">
        <f t="shared" si="5"/>
        <v>1.7068613482313997</v>
      </c>
      <c r="AZ356" s="147">
        <f t="shared" si="5"/>
        <v>1.707770579732099</v>
      </c>
      <c r="BA356" s="147">
        <f t="shared" si="5"/>
        <v>1.7104745347058994</v>
      </c>
      <c r="BB356" s="147">
        <f t="shared" si="5"/>
        <v>1.6396351008859893</v>
      </c>
      <c r="BC356" s="147">
        <f t="shared" si="5"/>
        <v>1.5131172717135086</v>
      </c>
      <c r="BD356" s="147">
        <f t="shared" si="5"/>
        <v>1.3976743722813005</v>
      </c>
      <c r="BE356" s="147">
        <f t="shared" si="5"/>
        <v>1.2886177460571928</v>
      </c>
      <c r="BF356" s="147">
        <f t="shared" si="5"/>
        <v>1.1905246682166752</v>
      </c>
      <c r="BG356" s="147">
        <f t="shared" si="5"/>
        <v>1.1020617084067976</v>
      </c>
      <c r="BH356" s="147">
        <f t="shared" si="5"/>
        <v>1.0216629147433642</v>
      </c>
      <c r="BI356" s="147">
        <f t="shared" si="5"/>
        <v>0.94776194233453115</v>
      </c>
      <c r="BJ356" s="147">
        <f t="shared" si="5"/>
        <v>0.87534962928623483</v>
      </c>
      <c r="BK356" s="147">
        <f t="shared" si="5"/>
        <v>0.8035667755351541</v>
      </c>
      <c r="BL356" s="147">
        <f t="shared" si="5"/>
        <v>0.73139698656985419</v>
      </c>
      <c r="BM356" s="147">
        <f t="shared" si="5"/>
        <v>0.65792165251697798</v>
      </c>
      <c r="BN356" s="147">
        <f t="shared" si="5"/>
        <v>0.5805636339640009</v>
      </c>
      <c r="BO356" s="147">
        <f t="shared" si="5"/>
        <v>0.50147909450043482</v>
      </c>
      <c r="BP356" s="147">
        <f t="shared" si="5"/>
        <v>0.42764983548821967</v>
      </c>
      <c r="BQ356" s="147">
        <f t="shared" si="5"/>
        <v>0.35262330141169196</v>
      </c>
      <c r="BR356" s="147">
        <f t="shared" si="5"/>
        <v>0.27181089374934525</v>
      </c>
      <c r="BS356" s="147">
        <f t="shared" si="5"/>
        <v>0.19321369965817542</v>
      </c>
      <c r="BT356" s="147">
        <f t="shared" si="5"/>
        <v>0.11719362883448428</v>
      </c>
      <c r="BU356" s="147">
        <f t="shared" si="5"/>
        <v>3.9071475585644409E-2</v>
      </c>
    </row>
    <row r="357" spans="1:82" ht="15.75" hidden="1" customHeight="1" outlineLevel="1">
      <c r="A357" s="365"/>
      <c r="B357" s="99"/>
      <c r="C357" s="147">
        <f>$C248*'Assumptions (NG Midstream)'!B$76</f>
        <v>0.11407852351350001</v>
      </c>
      <c r="D357" s="147">
        <f>$C248*'Assumptions (NG Midstream)'!C$76</f>
        <v>0.21960876299838844</v>
      </c>
      <c r="E357" s="147">
        <f>$C248*'Assumptions (NG Midstream)'!D$76</f>
        <v>0.2031206137332372</v>
      </c>
      <c r="F357" s="147">
        <f>$C248*'Assumptions (NG Midstream)'!E$76</f>
        <v>0.18791014393143721</v>
      </c>
      <c r="G357" s="147">
        <f>$C248*'Assumptions (NG Midstream)'!F$76</f>
        <v>0.17379482795536683</v>
      </c>
      <c r="H357" s="147">
        <f>$C248*'Assumptions (NG Midstream)'!G$76</f>
        <v>0.16077466580502603</v>
      </c>
      <c r="I357" s="147">
        <f>$C248*'Assumptions (NG Midstream)'!H$76</f>
        <v>0.14869755278239682</v>
      </c>
      <c r="J357" s="147">
        <f>$C248*'Assumptions (NG Midstream)'!I$76</f>
        <v>0.13756348888747921</v>
      </c>
      <c r="K357" s="147">
        <f>$C248*'Assumptions (NG Midstream)'!J$76</f>
        <v>0.13573823251126321</v>
      </c>
      <c r="L357" s="147">
        <f>$C248*'Assumptions (NG Midstream)'!K$76</f>
        <v>0.13570781157165959</v>
      </c>
      <c r="M357" s="147">
        <f>$C248*'Assumptions (NG Midstream)'!L$76</f>
        <v>0.13573823251126321</v>
      </c>
      <c r="N357" s="147">
        <f>$C248*'Assumptions (NG Midstream)'!M$76</f>
        <v>0.13570781157165959</v>
      </c>
      <c r="O357" s="147">
        <f>$C248*'Assumptions (NG Midstream)'!N$76</f>
        <v>0.13573823251126321</v>
      </c>
      <c r="P357" s="147">
        <f>$C248*'Assumptions (NG Midstream)'!O$76</f>
        <v>0.13570781157165959</v>
      </c>
      <c r="Q357" s="147">
        <f>$C248*'Assumptions (NG Midstream)'!P$76</f>
        <v>0.13573823251126321</v>
      </c>
      <c r="R357" s="147">
        <f>$C248*'Assumptions (NG Midstream)'!Q$76</f>
        <v>0.13570781157165959</v>
      </c>
      <c r="S357" s="147">
        <f>$C248*'Assumptions (NG Midstream)'!R$76</f>
        <v>0.13573823251126321</v>
      </c>
      <c r="T357" s="147">
        <f>$C248*'Assumptions (NG Midstream)'!S$76</f>
        <v>0.13570781157165959</v>
      </c>
      <c r="U357" s="147">
        <f>$C248*'Assumptions (NG Midstream)'!T$76</f>
        <v>0.13573823251126321</v>
      </c>
      <c r="V357" s="147">
        <f>$C248*'Assumptions (NG Midstream)'!U$76</f>
        <v>0.13570781157165959</v>
      </c>
      <c r="W357" s="147">
        <f>$C248*'Assumptions (NG Midstream)'!V$76</f>
        <v>6.7869116255631606E-2</v>
      </c>
      <c r="X357" s="147"/>
    </row>
    <row r="358" spans="1:82" ht="15.75" hidden="1" customHeight="1" outlineLevel="1">
      <c r="A358" s="365"/>
      <c r="B358" s="99"/>
      <c r="C358" s="147"/>
      <c r="D358" s="147">
        <f>$D248*'Assumptions (NG Midstream)'!B$76</f>
        <v>0.14870761290000001</v>
      </c>
      <c r="E358" s="147">
        <f>$D248*'Assumptions (NG Midstream)'!C$76</f>
        <v>0.28627206867336003</v>
      </c>
      <c r="F358" s="147">
        <f>$D248*'Assumptions (NG Midstream)'!D$76</f>
        <v>0.26477886168887999</v>
      </c>
      <c r="G358" s="147">
        <f>$D248*'Assumptions (NG Midstream)'!E$76</f>
        <v>0.24495117996888</v>
      </c>
      <c r="H358" s="147">
        <f>$D248*'Assumptions (NG Midstream)'!F$76</f>
        <v>0.22655109133272</v>
      </c>
      <c r="I358" s="147">
        <f>$D248*'Assumptions (NG Midstream)'!G$76</f>
        <v>0.20957859578040003</v>
      </c>
      <c r="J358" s="147">
        <f>$D248*'Assumptions (NG Midstream)'!H$76</f>
        <v>0.19383541649472</v>
      </c>
      <c r="K358" s="147">
        <f>$D248*'Assumptions (NG Midstream)'!I$76</f>
        <v>0.17932155347568002</v>
      </c>
      <c r="L358" s="147">
        <f>$D248*'Assumptions (NG Midstream)'!J$76</f>
        <v>0.17694223166928</v>
      </c>
      <c r="M358" s="147">
        <f>$D248*'Assumptions (NG Midstream)'!K$76</f>
        <v>0.17690257630584</v>
      </c>
      <c r="N358" s="147">
        <f>$D248*'Assumptions (NG Midstream)'!L$76</f>
        <v>0.17694223166928</v>
      </c>
      <c r="O358" s="147">
        <f>$D248*'Assumptions (NG Midstream)'!M$76</f>
        <v>0.17690257630584</v>
      </c>
      <c r="P358" s="147">
        <f>$D248*'Assumptions (NG Midstream)'!N$76</f>
        <v>0.17694223166928</v>
      </c>
      <c r="Q358" s="147">
        <f>$D248*'Assumptions (NG Midstream)'!O$76</f>
        <v>0.17690257630584</v>
      </c>
      <c r="R358" s="147">
        <f>$D248*'Assumptions (NG Midstream)'!P$76</f>
        <v>0.17694223166928</v>
      </c>
      <c r="S358" s="147">
        <f>$D248*'Assumptions (NG Midstream)'!Q$76</f>
        <v>0.17690257630584</v>
      </c>
      <c r="T358" s="147">
        <f>$D248*'Assumptions (NG Midstream)'!R$76</f>
        <v>0.17694223166928</v>
      </c>
      <c r="U358" s="147">
        <f>$D248*'Assumptions (NG Midstream)'!S$76</f>
        <v>0.17690257630584</v>
      </c>
      <c r="V358" s="147">
        <f>$D248*'Assumptions (NG Midstream)'!T$76</f>
        <v>0.17694223166928</v>
      </c>
      <c r="W358" s="147">
        <f>$D248*'Assumptions (NG Midstream)'!U$76</f>
        <v>0.17690257630584</v>
      </c>
      <c r="X358" s="147">
        <f>$D248*'Assumptions (NG Midstream)'!V$76</f>
        <v>8.8471115834639999E-2</v>
      </c>
    </row>
    <row r="359" spans="1:82" ht="15.75" hidden="1" customHeight="1" outlineLevel="1">
      <c r="A359" s="378"/>
      <c r="B359" s="42"/>
      <c r="C359" s="147"/>
      <c r="D359" s="42"/>
      <c r="E359" s="147">
        <f>$E248*'Assumptions (NG Midstream)'!B$76</f>
        <v>0.18156916133999992</v>
      </c>
      <c r="F359" s="147">
        <f>$E248*'Assumptions (NG Midstream)'!C$76</f>
        <v>0.34953274019025593</v>
      </c>
      <c r="G359" s="147">
        <f>$E248*'Assumptions (NG Midstream)'!D$76</f>
        <v>0.32328994407124789</v>
      </c>
      <c r="H359" s="147">
        <f>$E248*'Assumptions (NG Midstream)'!E$76</f>
        <v>0.29908072255924789</v>
      </c>
      <c r="I359" s="147">
        <f>$E248*'Assumptions (NG Midstream)'!F$76</f>
        <v>0.27661456499611192</v>
      </c>
      <c r="J359" s="147">
        <f>$E248*'Assumptions (NG Midstream)'!G$76</f>
        <v>0.25589147138183993</v>
      </c>
      <c r="K359" s="147">
        <f>$E248*'Assumptions (NG Midstream)'!H$76</f>
        <v>0.23666934950131191</v>
      </c>
      <c r="L359" s="147">
        <f>$E248*'Assumptions (NG Midstream)'!I$76</f>
        <v>0.21894819935452794</v>
      </c>
      <c r="M359" s="147">
        <f>$E248*'Assumptions (NG Midstream)'!J$76</f>
        <v>0.21604309277308792</v>
      </c>
      <c r="N359" s="147">
        <f>$E248*'Assumptions (NG Midstream)'!K$76</f>
        <v>0.21599467433006392</v>
      </c>
      <c r="O359" s="147">
        <f>$E248*'Assumptions (NG Midstream)'!L$76</f>
        <v>0.21604309277308792</v>
      </c>
      <c r="P359" s="147">
        <f>$E248*'Assumptions (NG Midstream)'!M$76</f>
        <v>0.21599467433006392</v>
      </c>
      <c r="Q359" s="147">
        <f>$E248*'Assumptions (NG Midstream)'!N$76</f>
        <v>0.21604309277308792</v>
      </c>
      <c r="R359" s="147">
        <f>$E248*'Assumptions (NG Midstream)'!O$76</f>
        <v>0.21599467433006392</v>
      </c>
      <c r="S359" s="147">
        <f>$E248*'Assumptions (NG Midstream)'!P$76</f>
        <v>0.21604309277308792</v>
      </c>
      <c r="T359" s="147">
        <f>$E248*'Assumptions (NG Midstream)'!Q$76</f>
        <v>0.21599467433006392</v>
      </c>
      <c r="U359" s="147">
        <f>$E248*'Assumptions (NG Midstream)'!R$76</f>
        <v>0.21604309277308792</v>
      </c>
      <c r="V359" s="147">
        <f>$E248*'Assumptions (NG Midstream)'!S$76</f>
        <v>0.21599467433006392</v>
      </c>
      <c r="W359" s="147">
        <f>$E248*'Assumptions (NG Midstream)'!T$76</f>
        <v>0.21604309277308792</v>
      </c>
      <c r="X359" s="147">
        <f>$E248*'Assumptions (NG Midstream)'!U$76</f>
        <v>0.21599467433006392</v>
      </c>
      <c r="Y359" s="147">
        <f>$E248*'Assumptions (NG Midstream)'!V$76</f>
        <v>0.10802154638654396</v>
      </c>
    </row>
    <row r="360" spans="1:82" ht="15.75" hidden="1" customHeight="1" outlineLevel="1">
      <c r="A360" s="378"/>
      <c r="B360" s="42"/>
      <c r="C360" s="147"/>
      <c r="D360" s="42"/>
      <c r="E360" s="42"/>
      <c r="F360" s="147">
        <f>$F248*'Assumptions (NG Midstream)'!B$76</f>
        <v>0.22841180138999997</v>
      </c>
      <c r="G360" s="147">
        <f>$F248*'Assumptions (NG Midstream)'!C$76</f>
        <v>0.43970794512917599</v>
      </c>
      <c r="H360" s="147">
        <f>$F248*'Assumptions (NG Midstream)'!D$76</f>
        <v>0.40669482610160795</v>
      </c>
      <c r="I360" s="147">
        <f>$F248*'Assumptions (NG Midstream)'!E$76</f>
        <v>0.37623991924960798</v>
      </c>
      <c r="J360" s="147">
        <f>$F248*'Assumptions (NG Midstream)'!F$76</f>
        <v>0.34797776569095201</v>
      </c>
      <c r="K360" s="147">
        <f>$F248*'Assumptions (NG Midstream)'!G$76</f>
        <v>0.32190836542564</v>
      </c>
      <c r="L360" s="147">
        <f>$F248*'Assumptions (NG Midstream)'!H$76</f>
        <v>0.29772716938515198</v>
      </c>
      <c r="M360" s="147">
        <f>$F248*'Assumptions (NG Midstream)'!I$76</f>
        <v>0.27543417756948801</v>
      </c>
      <c r="N360" s="147">
        <f>$F248*'Assumptions (NG Midstream)'!J$76</f>
        <v>0.271779588747248</v>
      </c>
      <c r="O360" s="147">
        <f>$F248*'Assumptions (NG Midstream)'!K$76</f>
        <v>0.27171867893354396</v>
      </c>
      <c r="P360" s="147">
        <f>$F248*'Assumptions (NG Midstream)'!L$76</f>
        <v>0.271779588747248</v>
      </c>
      <c r="Q360" s="147">
        <f>$F248*'Assumptions (NG Midstream)'!M$76</f>
        <v>0.27171867893354396</v>
      </c>
      <c r="R360" s="147">
        <f>$F248*'Assumptions (NG Midstream)'!N$76</f>
        <v>0.271779588747248</v>
      </c>
      <c r="S360" s="147">
        <f>$F248*'Assumptions (NG Midstream)'!O$76</f>
        <v>0.27171867893354396</v>
      </c>
      <c r="T360" s="147">
        <f>$F248*'Assumptions (NG Midstream)'!P$76</f>
        <v>0.271779588747248</v>
      </c>
      <c r="U360" s="147">
        <f>$F248*'Assumptions (NG Midstream)'!Q$76</f>
        <v>0.27171867893354396</v>
      </c>
      <c r="V360" s="147">
        <f>$F248*'Assumptions (NG Midstream)'!R$76</f>
        <v>0.271779588747248</v>
      </c>
      <c r="W360" s="147">
        <f>$F248*'Assumptions (NG Midstream)'!S$76</f>
        <v>0.27171867893354396</v>
      </c>
      <c r="X360" s="147">
        <f>$F248*'Assumptions (NG Midstream)'!T$76</f>
        <v>0.271779588747248</v>
      </c>
      <c r="Y360" s="147">
        <f>$F248*'Assumptions (NG Midstream)'!U$76</f>
        <v>0.27171867893354396</v>
      </c>
      <c r="Z360" s="147">
        <f>$F248*'Assumptions (NG Midstream)'!V$76</f>
        <v>0.135889794373624</v>
      </c>
    </row>
    <row r="361" spans="1:82" ht="15.75" hidden="1" customHeight="1" outlineLevel="1">
      <c r="A361" s="378"/>
      <c r="B361" s="42"/>
      <c r="C361" s="147"/>
      <c r="D361" s="42"/>
      <c r="E361" s="42"/>
      <c r="F361" s="42"/>
      <c r="G361" s="147">
        <f>$G248*'Assumptions (NG Midstream)'!B$76</f>
        <v>0.13577483048849998</v>
      </c>
      <c r="H361" s="147">
        <f>$G248*'Assumptions (NG Midstream)'!C$76</f>
        <v>0.26137560034572838</v>
      </c>
      <c r="I361" s="147">
        <f>$G248*'Assumptions (NG Midstream)'!D$76</f>
        <v>0.24175161151245717</v>
      </c>
      <c r="J361" s="147">
        <f>$G248*'Assumptions (NG Midstream)'!E$76</f>
        <v>0.22364830078065717</v>
      </c>
      <c r="K361" s="147">
        <f>$G248*'Assumptions (NG Midstream)'!F$76</f>
        <v>0.20684842842154677</v>
      </c>
      <c r="L361" s="147">
        <f>$G248*'Assumptions (NG Midstream)'!G$76</f>
        <v>0.19135199443512599</v>
      </c>
      <c r="M361" s="147">
        <f>$G248*'Assumptions (NG Midstream)'!H$76</f>
        <v>0.17697796571407678</v>
      </c>
      <c r="N361" s="147">
        <f>$G248*'Assumptions (NG Midstream)'!I$76</f>
        <v>0.16372634225839919</v>
      </c>
      <c r="O361" s="147">
        <f>$G248*'Assumptions (NG Midstream)'!J$76</f>
        <v>0.16155394497058317</v>
      </c>
      <c r="P361" s="147">
        <f>$G248*'Assumptions (NG Midstream)'!K$76</f>
        <v>0.16151773834911956</v>
      </c>
      <c r="Q361" s="147">
        <f>$G248*'Assumptions (NG Midstream)'!L$76</f>
        <v>0.16155394497058317</v>
      </c>
      <c r="R361" s="147">
        <f>$G248*'Assumptions (NG Midstream)'!M$76</f>
        <v>0.16151773834911956</v>
      </c>
      <c r="S361" s="147">
        <f>$G248*'Assumptions (NG Midstream)'!N$76</f>
        <v>0.16155394497058317</v>
      </c>
      <c r="T361" s="147">
        <f>$G248*'Assumptions (NG Midstream)'!O$76</f>
        <v>0.16151773834911956</v>
      </c>
      <c r="U361" s="147">
        <f>$G248*'Assumptions (NG Midstream)'!P$76</f>
        <v>0.16155394497058317</v>
      </c>
      <c r="V361" s="147">
        <f>$G248*'Assumptions (NG Midstream)'!Q$76</f>
        <v>0.16151773834911956</v>
      </c>
      <c r="W361" s="147">
        <f>$G248*'Assumptions (NG Midstream)'!R$76</f>
        <v>0.16155394497058317</v>
      </c>
      <c r="X361" s="147">
        <f>$G248*'Assumptions (NG Midstream)'!S$76</f>
        <v>0.16151773834911956</v>
      </c>
      <c r="Y361" s="147">
        <f>$G248*'Assumptions (NG Midstream)'!T$76</f>
        <v>0.16155394497058317</v>
      </c>
      <c r="Z361" s="147">
        <f>$G248*'Assumptions (NG Midstream)'!U$76</f>
        <v>0.16151773834911956</v>
      </c>
      <c r="AA361" s="147">
        <f>$G248*'Assumptions (NG Midstream)'!V$76</f>
        <v>8.0776972485291587E-2</v>
      </c>
    </row>
    <row r="362" spans="1:82" ht="15.75" hidden="1" customHeight="1" outlineLevel="1">
      <c r="A362" s="378"/>
      <c r="B362" s="42"/>
      <c r="C362" s="147"/>
      <c r="D362" s="42"/>
      <c r="E362" s="42"/>
      <c r="F362" s="42"/>
      <c r="G362" s="42"/>
      <c r="H362" s="147">
        <f>$H248*'Assumptions (NG Midstream)'!B$76</f>
        <v>0.13485616976249998</v>
      </c>
      <c r="I362" s="147">
        <f>$H248*'Assumptions (NG Midstream)'!C$76</f>
        <v>0.25960711720412999</v>
      </c>
      <c r="J362" s="147">
        <f>$H248*'Assumptions (NG Midstream)'!D$76</f>
        <v>0.24011590546778996</v>
      </c>
      <c r="K362" s="147">
        <f>$H248*'Assumptions (NG Midstream)'!E$76</f>
        <v>0.22213508283278996</v>
      </c>
      <c r="L362" s="147">
        <f>$H248*'Assumptions (NG Midstream)'!F$76</f>
        <v>0.20544887942750997</v>
      </c>
      <c r="M362" s="147">
        <f>$H248*'Assumptions (NG Midstream)'!G$76</f>
        <v>0.19005729525194998</v>
      </c>
      <c r="N362" s="147">
        <f>$H248*'Assumptions (NG Midstream)'!H$76</f>
        <v>0.17578052207975997</v>
      </c>
      <c r="O362" s="147">
        <f>$H248*'Assumptions (NG Midstream)'!I$76</f>
        <v>0.16261855991093999</v>
      </c>
      <c r="P362" s="147">
        <f>$H248*'Assumptions (NG Midstream)'!J$76</f>
        <v>0.16046086119473998</v>
      </c>
      <c r="Q362" s="147">
        <f>$H248*'Assumptions (NG Midstream)'!K$76</f>
        <v>0.16042489954946998</v>
      </c>
      <c r="R362" s="147">
        <f>$H248*'Assumptions (NG Midstream)'!L$76</f>
        <v>0.16046086119473998</v>
      </c>
      <c r="S362" s="147">
        <f>$H248*'Assumptions (NG Midstream)'!M$76</f>
        <v>0.16042489954946998</v>
      </c>
      <c r="T362" s="147">
        <f>$H248*'Assumptions (NG Midstream)'!N$76</f>
        <v>0.16046086119473998</v>
      </c>
      <c r="U362" s="147">
        <f>$H248*'Assumptions (NG Midstream)'!O$76</f>
        <v>0.16042489954946998</v>
      </c>
      <c r="V362" s="147">
        <f>$H248*'Assumptions (NG Midstream)'!P$76</f>
        <v>0.16046086119473998</v>
      </c>
      <c r="W362" s="147">
        <f>$H248*'Assumptions (NG Midstream)'!Q$76</f>
        <v>0.16042489954946998</v>
      </c>
      <c r="X362" s="147">
        <f>$H248*'Assumptions (NG Midstream)'!R$76</f>
        <v>0.16046086119473998</v>
      </c>
      <c r="Y362" s="147">
        <f>$H248*'Assumptions (NG Midstream)'!S$76</f>
        <v>0.16042489954946998</v>
      </c>
      <c r="Z362" s="147">
        <f>$H248*'Assumptions (NG Midstream)'!T$76</f>
        <v>0.16046086119473998</v>
      </c>
      <c r="AA362" s="147">
        <f>$H248*'Assumptions (NG Midstream)'!U$76</f>
        <v>0.16042489954946998</v>
      </c>
      <c r="AB362" s="147">
        <f>$H248*'Assumptions (NG Midstream)'!V$76</f>
        <v>8.0230430597369992E-2</v>
      </c>
    </row>
    <row r="363" spans="1:82" ht="15.75" hidden="1" customHeight="1" outlineLevel="1">
      <c r="A363" s="378"/>
      <c r="B363" s="42"/>
      <c r="C363" s="147"/>
      <c r="D363" s="42"/>
      <c r="E363" s="42"/>
      <c r="F363" s="42"/>
      <c r="G363" s="42"/>
      <c r="H363" s="42"/>
      <c r="I363" s="147">
        <f>$I248*'Assumptions (NG Midstream)'!B$76</f>
        <v>0.1706559651225</v>
      </c>
      <c r="J363" s="147">
        <f>$I248*'Assumptions (NG Midstream)'!C$76</f>
        <v>0.32852410992515402</v>
      </c>
      <c r="K363" s="147">
        <f>$I248*'Assumptions (NG Midstream)'!D$76</f>
        <v>0.30385863443278199</v>
      </c>
      <c r="L363" s="147">
        <f>$I248*'Assumptions (NG Midstream)'!E$76</f>
        <v>0.28110450574978202</v>
      </c>
      <c r="M363" s="147">
        <f>$I248*'Assumptions (NG Midstream)'!F$76</f>
        <v>0.25998867433195799</v>
      </c>
      <c r="N363" s="147">
        <f>$I248*'Assumptions (NG Midstream)'!G$76</f>
        <v>0.24051114017931002</v>
      </c>
      <c r="O363" s="147">
        <f>$I248*'Assumptions (NG Midstream)'!H$76</f>
        <v>0.222444362005008</v>
      </c>
      <c r="P363" s="147">
        <f>$I248*'Assumptions (NG Midstream)'!I$76</f>
        <v>0.20578833980905203</v>
      </c>
      <c r="Q363" s="147">
        <f>$I248*'Assumptions (NG Midstream)'!J$76</f>
        <v>0.20305784436709201</v>
      </c>
      <c r="R363" s="147">
        <f>$I248*'Assumptions (NG Midstream)'!K$76</f>
        <v>0.20301233610972599</v>
      </c>
      <c r="S363" s="147">
        <f>$I248*'Assumptions (NG Midstream)'!L$76</f>
        <v>0.20305784436709201</v>
      </c>
      <c r="T363" s="147">
        <f>$I248*'Assumptions (NG Midstream)'!M$76</f>
        <v>0.20301233610972599</v>
      </c>
      <c r="U363" s="147">
        <f>$I248*'Assumptions (NG Midstream)'!N$76</f>
        <v>0.20305784436709201</v>
      </c>
      <c r="V363" s="147">
        <f>$I248*'Assumptions (NG Midstream)'!O$76</f>
        <v>0.20301233610972599</v>
      </c>
      <c r="W363" s="147">
        <f>$I248*'Assumptions (NG Midstream)'!P$76</f>
        <v>0.20305784436709201</v>
      </c>
      <c r="X363" s="147">
        <f>$I248*'Assumptions (NG Midstream)'!Q$76</f>
        <v>0.20301233610972599</v>
      </c>
      <c r="Y363" s="147">
        <f>$I248*'Assumptions (NG Midstream)'!R$76</f>
        <v>0.20305784436709201</v>
      </c>
      <c r="Z363" s="147">
        <f>$I248*'Assumptions (NG Midstream)'!S$76</f>
        <v>0.20301233610972599</v>
      </c>
      <c r="AA363" s="147">
        <f>$I248*'Assumptions (NG Midstream)'!T$76</f>
        <v>0.20305784436709201</v>
      </c>
      <c r="AB363" s="147">
        <f>$I248*'Assumptions (NG Midstream)'!U$76</f>
        <v>0.20301233610972599</v>
      </c>
      <c r="AC363" s="147">
        <f>$I248*'Assumptions (NG Midstream)'!V$76</f>
        <v>0.10152892218354601</v>
      </c>
    </row>
    <row r="364" spans="1:82" ht="15.75" hidden="1" customHeight="1" outlineLevel="1">
      <c r="A364" s="378"/>
      <c r="B364" s="42"/>
      <c r="C364" s="147"/>
      <c r="D364" s="42"/>
      <c r="E364" s="42"/>
      <c r="F364" s="42"/>
      <c r="G364" s="42"/>
      <c r="H364" s="42"/>
      <c r="I364" s="42"/>
      <c r="J364" s="147">
        <f>$J248*'Assumptions (NG Midstream)'!B$76</f>
        <v>0.28763980236112496</v>
      </c>
      <c r="K364" s="147">
        <f>$J248*'Assumptions (NG Midstream)'!C$76</f>
        <v>0.55372579553198975</v>
      </c>
      <c r="L364" s="147">
        <f>$J248*'Assumptions (NG Midstream)'!D$76</f>
        <v>0.51215225609739501</v>
      </c>
      <c r="M364" s="147">
        <f>$J248*'Assumptions (NG Midstream)'!E$76</f>
        <v>0.4738002824492451</v>
      </c>
      <c r="N364" s="147">
        <f>$J248*'Assumptions (NG Midstream)'!F$76</f>
        <v>0.4382096509037619</v>
      </c>
      <c r="O364" s="147">
        <f>$J248*'Assumptions (NG Midstream)'!G$76</f>
        <v>0.40538036146094553</v>
      </c>
      <c r="P364" s="147">
        <f>$J248*'Assumptions (NG Midstream)'!H$76</f>
        <v>0.37492889438431437</v>
      </c>
      <c r="Q364" s="147">
        <f>$J248*'Assumptions (NG Midstream)'!I$76</f>
        <v>0.3468552496738686</v>
      </c>
      <c r="R364" s="147">
        <f>$J248*'Assumptions (NG Midstream)'!J$76</f>
        <v>0.34225301283609061</v>
      </c>
      <c r="S364" s="147">
        <f>$J248*'Assumptions (NG Midstream)'!K$76</f>
        <v>0.34217630888879425</v>
      </c>
      <c r="T364" s="147">
        <f>$J248*'Assumptions (NG Midstream)'!L$76</f>
        <v>0.34225301283609061</v>
      </c>
      <c r="U364" s="147">
        <f>$J248*'Assumptions (NG Midstream)'!M$76</f>
        <v>0.34217630888879425</v>
      </c>
      <c r="V364" s="147">
        <f>$J248*'Assumptions (NG Midstream)'!N$76</f>
        <v>0.34225301283609061</v>
      </c>
      <c r="W364" s="147">
        <f>$J248*'Assumptions (NG Midstream)'!O$76</f>
        <v>0.34217630888879425</v>
      </c>
      <c r="X364" s="147">
        <f>$J248*'Assumptions (NG Midstream)'!P$76</f>
        <v>0.34225301283609061</v>
      </c>
      <c r="Y364" s="147">
        <f>$J248*'Assumptions (NG Midstream)'!Q$76</f>
        <v>0.34217630888879425</v>
      </c>
      <c r="Z364" s="147">
        <f>$J248*'Assumptions (NG Midstream)'!R$76</f>
        <v>0.34225301283609061</v>
      </c>
      <c r="AA364" s="147">
        <f>$J248*'Assumptions (NG Midstream)'!S$76</f>
        <v>0.34217630888879425</v>
      </c>
      <c r="AB364" s="147">
        <f>$J248*'Assumptions (NG Midstream)'!T$76</f>
        <v>0.34225301283609061</v>
      </c>
      <c r="AC364" s="147">
        <f>$J248*'Assumptions (NG Midstream)'!U$76</f>
        <v>0.34217630888879425</v>
      </c>
      <c r="AD364" s="147">
        <f>$J248*'Assumptions (NG Midstream)'!V$76</f>
        <v>0.1711265064180453</v>
      </c>
    </row>
    <row r="365" spans="1:82" ht="15.75" hidden="1" customHeight="1" outlineLevel="1">
      <c r="A365" s="378"/>
      <c r="B365" s="42"/>
      <c r="C365" s="147"/>
      <c r="D365" s="42"/>
      <c r="E365" s="42"/>
      <c r="F365" s="42"/>
      <c r="G365" s="42"/>
      <c r="H365" s="42"/>
      <c r="I365" s="42"/>
      <c r="J365" s="42"/>
      <c r="K365" s="147">
        <f>$K248*'Assumptions (NG Midstream)'!B$76</f>
        <v>0.52771408358099992</v>
      </c>
      <c r="L365" s="147">
        <f>$K248*'Assumptions (NG Midstream)'!C$76</f>
        <v>1.0158847918323304</v>
      </c>
      <c r="M365" s="147">
        <f>$K248*'Assumptions (NG Midstream)'!D$76</f>
        <v>0.93961251628542297</v>
      </c>
      <c r="N365" s="147">
        <f>$K248*'Assumptions (NG Midstream)'!E$76</f>
        <v>0.86925063847462303</v>
      </c>
      <c r="O365" s="147">
        <f>$K248*'Assumptions (NG Midstream)'!F$76</f>
        <v>0.80395481586620066</v>
      </c>
      <c r="P365" s="147">
        <f>$K248*'Assumptions (NG Midstream)'!G$76</f>
        <v>0.74372504846015586</v>
      </c>
      <c r="Q365" s="147">
        <f>$K248*'Assumptions (NG Midstream)'!H$76</f>
        <v>0.68785771747838065</v>
      </c>
      <c r="R365" s="147">
        <f>$K248*'Assumptions (NG Midstream)'!I$76</f>
        <v>0.63635282292087514</v>
      </c>
      <c r="S365" s="147">
        <f>$K248*'Assumptions (NG Midstream)'!J$76</f>
        <v>0.62790939758357911</v>
      </c>
      <c r="T365" s="147">
        <f>$K248*'Assumptions (NG Midstream)'!K$76</f>
        <v>0.62776867382795742</v>
      </c>
      <c r="U365" s="147">
        <f>$K248*'Assumptions (NG Midstream)'!L$76</f>
        <v>0.62790939758357911</v>
      </c>
      <c r="V365" s="147">
        <f>$K248*'Assumptions (NG Midstream)'!M$76</f>
        <v>0.62776867382795742</v>
      </c>
      <c r="W365" s="147">
        <f>$K248*'Assumptions (NG Midstream)'!N$76</f>
        <v>0.62790939758357911</v>
      </c>
      <c r="X365" s="147">
        <f>$K248*'Assumptions (NG Midstream)'!O$76</f>
        <v>0.62776867382795742</v>
      </c>
      <c r="Y365" s="147">
        <f>$K248*'Assumptions (NG Midstream)'!P$76</f>
        <v>0.62790939758357911</v>
      </c>
      <c r="Z365" s="147">
        <f>$K248*'Assumptions (NG Midstream)'!Q$76</f>
        <v>0.62776867382795742</v>
      </c>
      <c r="AA365" s="147">
        <f>$K248*'Assumptions (NG Midstream)'!R$76</f>
        <v>0.62790939758357911</v>
      </c>
      <c r="AB365" s="147">
        <f>$K248*'Assumptions (NG Midstream)'!S$76</f>
        <v>0.62776867382795742</v>
      </c>
      <c r="AC365" s="147">
        <f>$K248*'Assumptions (NG Midstream)'!T$76</f>
        <v>0.62790939758357911</v>
      </c>
      <c r="AD365" s="147">
        <f>$K248*'Assumptions (NG Midstream)'!U$76</f>
        <v>0.62776867382795742</v>
      </c>
      <c r="AE365" s="147">
        <f>$K248*'Assumptions (NG Midstream)'!V$76</f>
        <v>0.31395469879178955</v>
      </c>
    </row>
    <row r="366" spans="1:82" ht="15.75" hidden="1" customHeight="1" outlineLevel="1">
      <c r="A366" s="378"/>
      <c r="B366" s="42"/>
      <c r="C366" s="42"/>
      <c r="D366" s="42"/>
      <c r="E366" s="42"/>
      <c r="F366" s="42"/>
      <c r="G366" s="42"/>
      <c r="H366" s="42"/>
      <c r="I366" s="42"/>
      <c r="J366" s="42"/>
      <c r="K366" s="42"/>
      <c r="L366" s="147">
        <f>$L248*'Assumptions (NG Midstream)'!B$76</f>
        <v>0.67820475500699995</v>
      </c>
      <c r="M366" s="147">
        <f>$L248*'Assumptions (NG Midstream)'!C$76</f>
        <v>1.3055893670388088</v>
      </c>
      <c r="N366" s="147">
        <f>$L248*'Assumptions (NG Midstream)'!D$76</f>
        <v>1.2075661731151301</v>
      </c>
      <c r="O366" s="147">
        <f>$L248*'Assumptions (NG Midstream)'!E$76</f>
        <v>1.1171388724475302</v>
      </c>
      <c r="P366" s="147">
        <f>$L248*'Assumptions (NG Midstream)'!F$76</f>
        <v>1.0332223374279974</v>
      </c>
      <c r="Q366" s="147">
        <f>$L248*'Assumptions (NG Midstream)'!G$76</f>
        <v>0.95581656805653192</v>
      </c>
      <c r="R366" s="147">
        <f>$L248*'Assumptions (NG Midstream)'!H$76</f>
        <v>0.88401729132645746</v>
      </c>
      <c r="S366" s="147">
        <f>$L248*'Assumptions (NG Midstream)'!I$76</f>
        <v>0.81782450723777433</v>
      </c>
      <c r="T366" s="147">
        <f>$L248*'Assumptions (NG Midstream)'!J$76</f>
        <v>0.80697323115766229</v>
      </c>
      <c r="U366" s="147">
        <f>$L248*'Assumptions (NG Midstream)'!K$76</f>
        <v>0.80679237655632707</v>
      </c>
      <c r="V366" s="147">
        <f>$L248*'Assumptions (NG Midstream)'!L$76</f>
        <v>0.80697323115766229</v>
      </c>
      <c r="W366" s="147">
        <f>$L248*'Assumptions (NG Midstream)'!M$76</f>
        <v>0.80679237655632707</v>
      </c>
      <c r="X366" s="147">
        <f>$L248*'Assumptions (NG Midstream)'!N$76</f>
        <v>0.80697323115766229</v>
      </c>
      <c r="Y366" s="147">
        <f>$L248*'Assumptions (NG Midstream)'!O$76</f>
        <v>0.80679237655632707</v>
      </c>
      <c r="Z366" s="147">
        <f>$L248*'Assumptions (NG Midstream)'!P$76</f>
        <v>0.80697323115766229</v>
      </c>
      <c r="AA366" s="147">
        <f>$L248*'Assumptions (NG Midstream)'!Q$76</f>
        <v>0.80679237655632707</v>
      </c>
      <c r="AB366" s="147">
        <f>$L248*'Assumptions (NG Midstream)'!R$76</f>
        <v>0.80697323115766229</v>
      </c>
      <c r="AC366" s="147">
        <f>$L248*'Assumptions (NG Midstream)'!S$76</f>
        <v>0.80679237655632707</v>
      </c>
      <c r="AD366" s="147">
        <f>$L248*'Assumptions (NG Midstream)'!T$76</f>
        <v>0.80697323115766229</v>
      </c>
      <c r="AE366" s="147">
        <f>$L248*'Assumptions (NG Midstream)'!U$76</f>
        <v>0.80679237655632707</v>
      </c>
      <c r="AF366" s="147">
        <f>$L248*'Assumptions (NG Midstream)'!V$76</f>
        <v>0.40348661557883114</v>
      </c>
    </row>
    <row r="367" spans="1:82" ht="15.75" hidden="1" customHeight="1" outlineLevel="1">
      <c r="A367" s="378"/>
      <c r="B367" s="42"/>
      <c r="C367" s="42"/>
      <c r="D367" s="42"/>
      <c r="E367" s="42"/>
      <c r="F367" s="42"/>
      <c r="G367" s="42"/>
      <c r="H367" s="42"/>
      <c r="I367" s="42"/>
      <c r="J367" s="42"/>
      <c r="K367" s="42"/>
      <c r="L367" s="42"/>
      <c r="M367" s="147">
        <f>$M248*'Assumptions (NG Midstream)'!B$76</f>
        <v>0.22465544456024994</v>
      </c>
      <c r="N367" s="147">
        <f>$M248*'Assumptions (NG Midstream)'!C$76</f>
        <v>0.43247670780811853</v>
      </c>
      <c r="O367" s="147">
        <f>$M248*'Assumptions (NG Midstream)'!D$76</f>
        <v>0.40000650755434369</v>
      </c>
      <c r="P367" s="147">
        <f>$M248*'Assumptions (NG Midstream)'!E$76</f>
        <v>0.37005244827964373</v>
      </c>
      <c r="Q367" s="147">
        <f>$M248*'Assumptions (NG Midstream)'!F$76</f>
        <v>0.34225508127272214</v>
      </c>
      <c r="R367" s="147">
        <f>$M248*'Assumptions (NG Midstream)'!G$76</f>
        <v>0.31661440653357892</v>
      </c>
      <c r="S367" s="147">
        <f>$M248*'Assumptions (NG Midstream)'!H$76</f>
        <v>0.29283088346946712</v>
      </c>
      <c r="T367" s="147">
        <f>$M248*'Assumptions (NG Midstream)'!I$76</f>
        <v>0.27090451208038674</v>
      </c>
      <c r="U367" s="147">
        <f>$M248*'Assumptions (NG Midstream)'!J$76</f>
        <v>0.26731002496742273</v>
      </c>
      <c r="V367" s="147">
        <f>$M248*'Assumptions (NG Midstream)'!K$76</f>
        <v>0.26725011684887334</v>
      </c>
      <c r="W367" s="147">
        <f>$M248*'Assumptions (NG Midstream)'!L$76</f>
        <v>0.26731002496742273</v>
      </c>
      <c r="X367" s="147">
        <f>$M248*'Assumptions (NG Midstream)'!M$76</f>
        <v>0.26725011684887334</v>
      </c>
      <c r="Y367" s="147">
        <f>$M248*'Assumptions (NG Midstream)'!N$76</f>
        <v>0.26731002496742273</v>
      </c>
      <c r="Z367" s="147">
        <f>$M248*'Assumptions (NG Midstream)'!O$76</f>
        <v>0.26725011684887334</v>
      </c>
      <c r="AA367" s="147">
        <f>$M248*'Assumptions (NG Midstream)'!P$76</f>
        <v>0.26731002496742273</v>
      </c>
      <c r="AB367" s="147">
        <f>$M248*'Assumptions (NG Midstream)'!Q$76</f>
        <v>0.26725011684887334</v>
      </c>
      <c r="AC367" s="147">
        <f>$M248*'Assumptions (NG Midstream)'!R$76</f>
        <v>0.26731002496742273</v>
      </c>
      <c r="AD367" s="147">
        <f>$M248*'Assumptions (NG Midstream)'!S$76</f>
        <v>0.26725011684887334</v>
      </c>
      <c r="AE367" s="147">
        <f>$M248*'Assumptions (NG Midstream)'!T$76</f>
        <v>0.26731002496742273</v>
      </c>
      <c r="AF367" s="147">
        <f>$M248*'Assumptions (NG Midstream)'!U$76</f>
        <v>0.26725011684887334</v>
      </c>
      <c r="AG367" s="147">
        <f>$M248*'Assumptions (NG Midstream)'!V$76</f>
        <v>0.13365501248371137</v>
      </c>
    </row>
    <row r="368" spans="1:82" ht="15.75" hidden="1" customHeight="1" outlineLevel="1">
      <c r="A368" s="378"/>
      <c r="B368" s="42"/>
      <c r="C368" s="42"/>
      <c r="D368" s="42"/>
      <c r="E368" s="42"/>
      <c r="F368" s="42"/>
      <c r="G368" s="42"/>
      <c r="H368" s="42"/>
      <c r="I368" s="42"/>
      <c r="J368" s="42"/>
      <c r="K368" s="42"/>
      <c r="L368" s="42"/>
      <c r="M368" s="42"/>
      <c r="N368" s="147">
        <f>$N248*'Assumptions (NG Midstream)'!B$76</f>
        <v>0.63992170945424987</v>
      </c>
      <c r="O368" s="147">
        <f>$N248*'Assumptions (NG Midstream)'!C$76</f>
        <v>1.231891952146728</v>
      </c>
      <c r="P368" s="147">
        <f>$N248*'Assumptions (NG Midstream)'!D$76</f>
        <v>1.1394019344069404</v>
      </c>
      <c r="Q368" s="147">
        <f>$N248*'Assumptions (NG Midstream)'!E$76</f>
        <v>1.0540790398130404</v>
      </c>
      <c r="R368" s="147">
        <f>$N248*'Assumptions (NG Midstream)'!F$76</f>
        <v>0.97489939362990119</v>
      </c>
      <c r="S368" s="147">
        <f>$N248*'Assumptions (NG Midstream)'!G$76</f>
        <v>0.90186299585752283</v>
      </c>
      <c r="T368" s="147">
        <f>$N248*'Assumptions (NG Midstream)'!H$76</f>
        <v>0.83411661754996624</v>
      </c>
      <c r="U368" s="147">
        <f>$N248*'Assumptions (NG Midstream)'!I$76</f>
        <v>0.77166025870723154</v>
      </c>
      <c r="V368" s="147">
        <f>$N248*'Assumptions (NG Midstream)'!J$76</f>
        <v>0.76142151135596348</v>
      </c>
      <c r="W368" s="147">
        <f>$N248*'Assumptions (NG Midstream)'!K$76</f>
        <v>0.76125086556677557</v>
      </c>
      <c r="X368" s="147">
        <f>$N248*'Assumptions (NG Midstream)'!L$76</f>
        <v>0.76142151135596348</v>
      </c>
      <c r="Y368" s="147">
        <f>$N248*'Assumptions (NG Midstream)'!M$76</f>
        <v>0.76125086556677557</v>
      </c>
      <c r="Z368" s="147">
        <f>$N248*'Assumptions (NG Midstream)'!N$76</f>
        <v>0.76142151135596348</v>
      </c>
      <c r="AA368" s="147">
        <f>$N248*'Assumptions (NG Midstream)'!O$76</f>
        <v>0.76125086556677557</v>
      </c>
      <c r="AB368" s="147">
        <f>$N248*'Assumptions (NG Midstream)'!P$76</f>
        <v>0.76142151135596348</v>
      </c>
      <c r="AC368" s="147">
        <f>$N248*'Assumptions (NG Midstream)'!Q$76</f>
        <v>0.76125086556677557</v>
      </c>
      <c r="AD368" s="147">
        <f>$N248*'Assumptions (NG Midstream)'!R$76</f>
        <v>0.76142151135596348</v>
      </c>
      <c r="AE368" s="147">
        <f>$N248*'Assumptions (NG Midstream)'!S$76</f>
        <v>0.76125086556677557</v>
      </c>
      <c r="AF368" s="147">
        <f>$N248*'Assumptions (NG Midstream)'!T$76</f>
        <v>0.76142151135596348</v>
      </c>
      <c r="AG368" s="147">
        <f>$N248*'Assumptions (NG Midstream)'!U$76</f>
        <v>0.76125086556677557</v>
      </c>
      <c r="AH368" s="147">
        <f>$N248*'Assumptions (NG Midstream)'!V$76</f>
        <v>0.38071075567798174</v>
      </c>
    </row>
    <row r="369" spans="1:50" ht="15.75" hidden="1" customHeight="1" outlineLevel="1">
      <c r="A369" s="378"/>
      <c r="B369" s="42"/>
      <c r="C369" s="42"/>
      <c r="D369" s="42"/>
      <c r="E369" s="42"/>
      <c r="F369" s="42"/>
      <c r="G369" s="42"/>
      <c r="H369" s="42"/>
      <c r="I369" s="42"/>
      <c r="J369" s="42"/>
      <c r="K369" s="42"/>
      <c r="L369" s="42"/>
      <c r="M369" s="42"/>
      <c r="N369" s="42"/>
      <c r="O369" s="147">
        <f>$O248*'Assumptions (NG Midstream)'!B$76</f>
        <v>0.23292076558274999</v>
      </c>
      <c r="P369" s="147">
        <f>$O248*'Assumptions (NG Midstream)'!C$76</f>
        <v>0.44838800179783261</v>
      </c>
      <c r="Q369" s="147">
        <f>$O248*'Assumptions (NG Midstream)'!D$76</f>
        <v>0.41472318714560574</v>
      </c>
      <c r="R369" s="147">
        <f>$O248*'Assumptions (NG Midstream)'!E$76</f>
        <v>0.38366708506790576</v>
      </c>
      <c r="S369" s="147">
        <f>$O248*'Assumptions (NG Midstream)'!F$76</f>
        <v>0.3548470223398002</v>
      </c>
      <c r="T369" s="147">
        <f>$O248*'Assumptions (NG Midstream)'!G$76</f>
        <v>0.32826299896128897</v>
      </c>
      <c r="U369" s="147">
        <f>$O248*'Assumptions (NG Midstream)'!H$76</f>
        <v>0.30360445391159518</v>
      </c>
      <c r="V369" s="147">
        <f>$O248*'Assumptions (NG Midstream)'!I$76</f>
        <v>0.2808713871907188</v>
      </c>
      <c r="W369" s="147">
        <f>$O248*'Assumptions (NG Midstream)'!J$76</f>
        <v>0.27714465494139479</v>
      </c>
      <c r="X369" s="147">
        <f>$O248*'Assumptions (NG Midstream)'!K$76</f>
        <v>0.27708254273723937</v>
      </c>
      <c r="Y369" s="147">
        <f>$O248*'Assumptions (NG Midstream)'!L$76</f>
        <v>0.27714465494139479</v>
      </c>
      <c r="Z369" s="147">
        <f>$O248*'Assumptions (NG Midstream)'!M$76</f>
        <v>0.27708254273723937</v>
      </c>
      <c r="AA369" s="147">
        <f>$O248*'Assumptions (NG Midstream)'!N$76</f>
        <v>0.27714465494139479</v>
      </c>
      <c r="AB369" s="147">
        <f>$O248*'Assumptions (NG Midstream)'!O$76</f>
        <v>0.27708254273723937</v>
      </c>
      <c r="AC369" s="147">
        <f>$O248*'Assumptions (NG Midstream)'!P$76</f>
        <v>0.27714465494139479</v>
      </c>
      <c r="AD369" s="147">
        <f>$O248*'Assumptions (NG Midstream)'!Q$76</f>
        <v>0.27708254273723937</v>
      </c>
      <c r="AE369" s="147">
        <f>$O248*'Assumptions (NG Midstream)'!R$76</f>
        <v>0.27714465494139479</v>
      </c>
      <c r="AF369" s="147">
        <f>$O248*'Assumptions (NG Midstream)'!S$76</f>
        <v>0.27708254273723937</v>
      </c>
      <c r="AG369" s="147">
        <f>$O248*'Assumptions (NG Midstream)'!T$76</f>
        <v>0.27714465494139479</v>
      </c>
      <c r="AH369" s="147">
        <f>$O248*'Assumptions (NG Midstream)'!U$76</f>
        <v>0.27708254273723937</v>
      </c>
      <c r="AI369" s="147">
        <f>$O248*'Assumptions (NG Midstream)'!V$76</f>
        <v>0.13857232747069739</v>
      </c>
    </row>
    <row r="370" spans="1:50" ht="15.75" hidden="1" customHeight="1" outlineLevel="1">
      <c r="A370" s="378"/>
      <c r="B370" s="42"/>
      <c r="C370" s="42"/>
      <c r="D370" s="42"/>
      <c r="E370" s="42"/>
      <c r="F370" s="42"/>
      <c r="G370" s="42"/>
      <c r="H370" s="42"/>
      <c r="I370" s="42"/>
      <c r="J370" s="42"/>
      <c r="K370" s="42"/>
      <c r="L370" s="42"/>
      <c r="M370" s="42"/>
      <c r="N370" s="42"/>
      <c r="O370" s="42"/>
      <c r="P370" s="147">
        <f>$P248*'Assumptions (NG Midstream)'!B$76</f>
        <v>0.29457709117574998</v>
      </c>
      <c r="Q370" s="147">
        <f>$P248*'Assumptions (NG Midstream)'!C$76</f>
        <v>0.56708053898606381</v>
      </c>
      <c r="R370" s="147">
        <f>$P248*'Assumptions (NG Midstream)'!D$76</f>
        <v>0.52450433007479536</v>
      </c>
      <c r="S370" s="147">
        <f>$P248*'Assumptions (NG Midstream)'!E$76</f>
        <v>0.48522738458469539</v>
      </c>
      <c r="T370" s="147">
        <f>$P248*'Assumptions (NG Midstream)'!F$76</f>
        <v>0.44877837916988261</v>
      </c>
      <c r="U370" s="147">
        <f>$P248*'Assumptions (NG Midstream)'!G$76</f>
        <v>0.41515731383035698</v>
      </c>
      <c r="V370" s="147">
        <f>$P248*'Assumptions (NG Midstream)'!H$76</f>
        <v>0.38397141911121757</v>
      </c>
      <c r="W370" s="147">
        <f>$P248*'Assumptions (NG Midstream)'!I$76</f>
        <v>0.35522069501246439</v>
      </c>
      <c r="X370" s="147">
        <f>$P248*'Assumptions (NG Midstream)'!J$76</f>
        <v>0.35050746155365237</v>
      </c>
      <c r="Y370" s="147">
        <f>$P248*'Assumptions (NG Midstream)'!K$76</f>
        <v>0.35042890766267215</v>
      </c>
      <c r="Z370" s="147">
        <f>$P248*'Assumptions (NG Midstream)'!L$76</f>
        <v>0.35050746155365237</v>
      </c>
      <c r="AA370" s="147">
        <f>$P248*'Assumptions (NG Midstream)'!M$76</f>
        <v>0.35042890766267215</v>
      </c>
      <c r="AB370" s="147">
        <f>$P248*'Assumptions (NG Midstream)'!N$76</f>
        <v>0.35050746155365237</v>
      </c>
      <c r="AC370" s="147">
        <f>$P248*'Assumptions (NG Midstream)'!O$76</f>
        <v>0.35042890766267215</v>
      </c>
      <c r="AD370" s="147">
        <f>$P248*'Assumptions (NG Midstream)'!P$76</f>
        <v>0.35050746155365237</v>
      </c>
      <c r="AE370" s="147">
        <f>$P248*'Assumptions (NG Midstream)'!Q$76</f>
        <v>0.35042890766267215</v>
      </c>
      <c r="AF370" s="147">
        <f>$P248*'Assumptions (NG Midstream)'!R$76</f>
        <v>0.35050746155365237</v>
      </c>
      <c r="AG370" s="147">
        <f>$P248*'Assumptions (NG Midstream)'!S$76</f>
        <v>0.35042890766267215</v>
      </c>
      <c r="AH370" s="147">
        <f>$P248*'Assumptions (NG Midstream)'!T$76</f>
        <v>0.35050746155365237</v>
      </c>
      <c r="AI370" s="147">
        <f>$P248*'Assumptions (NG Midstream)'!U$76</f>
        <v>0.35042890766267215</v>
      </c>
      <c r="AJ370" s="147">
        <f>$P248*'Assumptions (NG Midstream)'!V$76</f>
        <v>0.17525373077682618</v>
      </c>
    </row>
    <row r="371" spans="1:50" ht="15.75" hidden="1" customHeight="1" outlineLevel="1">
      <c r="A371" s="378"/>
      <c r="B371" s="42"/>
      <c r="C371" s="42"/>
      <c r="D371" s="42"/>
      <c r="E371" s="42"/>
      <c r="F371" s="42"/>
      <c r="G371" s="42"/>
      <c r="H371" s="42"/>
      <c r="I371" s="42"/>
      <c r="J371" s="42"/>
      <c r="K371" s="42"/>
      <c r="L371" s="42"/>
      <c r="M371" s="42"/>
      <c r="N371" s="42"/>
      <c r="O371" s="42"/>
      <c r="P371" s="42"/>
      <c r="Q371" s="147">
        <f>$Q248*'Assumptions (NG Midstream)'!B$76</f>
        <v>0.19800689635650001</v>
      </c>
      <c r="R371" s="147">
        <f>$Q248*'Assumptions (NG Midstream)'!C$76</f>
        <v>0.38117647594601961</v>
      </c>
      <c r="S371" s="147">
        <f>$Q248*'Assumptions (NG Midstream)'!D$76</f>
        <v>0.35255787919262677</v>
      </c>
      <c r="T371" s="147">
        <f>$Q248*'Assumptions (NG Midstream)'!E$76</f>
        <v>0.32615695967842678</v>
      </c>
      <c r="U371" s="147">
        <f>$Q248*'Assumptions (NG Midstream)'!F$76</f>
        <v>0.30165690636924919</v>
      </c>
      <c r="V371" s="147">
        <f>$Q248*'Assumptions (NG Midstream)'!G$76</f>
        <v>0.27905771926509404</v>
      </c>
      <c r="W371" s="147">
        <f>$Q248*'Assumptions (NG Midstream)'!H$76</f>
        <v>0.2580953891708192</v>
      </c>
      <c r="X371" s="147">
        <f>$Q248*'Assumptions (NG Midstream)'!I$76</f>
        <v>0.23876991608642484</v>
      </c>
      <c r="Y371" s="147">
        <f>$Q248*'Assumptions (NG Midstream)'!J$76</f>
        <v>0.23560180574472081</v>
      </c>
      <c r="Z371" s="147">
        <f>$Q248*'Assumptions (NG Midstream)'!K$76</f>
        <v>0.23554900390569239</v>
      </c>
      <c r="AA371" s="147">
        <f>$Q248*'Assumptions (NG Midstream)'!L$76</f>
        <v>0.23560180574472081</v>
      </c>
      <c r="AB371" s="147">
        <f>$Q248*'Assumptions (NG Midstream)'!M$76</f>
        <v>0.23554900390569239</v>
      </c>
      <c r="AC371" s="147">
        <f>$Q248*'Assumptions (NG Midstream)'!N$76</f>
        <v>0.23560180574472081</v>
      </c>
      <c r="AD371" s="147">
        <f>$Q248*'Assumptions (NG Midstream)'!O$76</f>
        <v>0.23554900390569239</v>
      </c>
      <c r="AE371" s="147">
        <f>$Q248*'Assumptions (NG Midstream)'!P$76</f>
        <v>0.23560180574472081</v>
      </c>
      <c r="AF371" s="147">
        <f>$Q248*'Assumptions (NG Midstream)'!Q$76</f>
        <v>0.23554900390569239</v>
      </c>
      <c r="AG371" s="147">
        <f>$Q248*'Assumptions (NG Midstream)'!R$76</f>
        <v>0.23560180574472081</v>
      </c>
      <c r="AH371" s="147">
        <f>$Q248*'Assumptions (NG Midstream)'!S$76</f>
        <v>0.23554900390569239</v>
      </c>
      <c r="AI371" s="147">
        <f>$Q248*'Assumptions (NG Midstream)'!T$76</f>
        <v>0.23560180574472081</v>
      </c>
      <c r="AJ371" s="147">
        <f>$Q248*'Assumptions (NG Midstream)'!U$76</f>
        <v>0.23554900390569239</v>
      </c>
      <c r="AK371" s="147">
        <f>$Q248*'Assumptions (NG Midstream)'!V$76</f>
        <v>0.11780090287236041</v>
      </c>
    </row>
    <row r="372" spans="1:50" ht="15.75" hidden="1" customHeight="1" outlineLevel="1">
      <c r="A372" s="378"/>
      <c r="B372" s="42"/>
      <c r="C372" s="42"/>
      <c r="D372" s="42"/>
      <c r="E372" s="42"/>
      <c r="F372" s="42"/>
      <c r="G372" s="42"/>
      <c r="H372" s="42"/>
      <c r="I372" s="42"/>
      <c r="J372" s="42"/>
      <c r="K372" s="42"/>
      <c r="L372" s="42"/>
      <c r="M372" s="42"/>
      <c r="N372" s="42"/>
      <c r="O372" s="42"/>
      <c r="P372" s="42"/>
      <c r="Q372" s="42"/>
      <c r="R372" s="147">
        <f>$R248*'Assumptions (NG Midstream)'!B$76</f>
        <v>0.28511363641500004</v>
      </c>
      <c r="S372" s="147">
        <f>$R248*'Assumptions (NG Midstream)'!C$76</f>
        <v>0.5488627576746361</v>
      </c>
      <c r="T372" s="147">
        <f>$R248*'Assumptions (NG Midstream)'!D$76</f>
        <v>0.50765433342478805</v>
      </c>
      <c r="U372" s="147">
        <f>$R248*'Assumptions (NG Midstream)'!E$76</f>
        <v>0.46963918190278803</v>
      </c>
      <c r="V372" s="147">
        <f>$R248*'Assumptions (NG Midstream)'!F$76</f>
        <v>0.43436112129037202</v>
      </c>
      <c r="W372" s="147">
        <f>$R248*'Assumptions (NG Midstream)'!G$76</f>
        <v>0.40182015158754003</v>
      </c>
      <c r="X372" s="147">
        <f>$R248*'Assumptions (NG Midstream)'!H$76</f>
        <v>0.37163612127907203</v>
      </c>
      <c r="Y372" s="147">
        <f>$R248*'Assumptions (NG Midstream)'!I$76</f>
        <v>0.34380903036496807</v>
      </c>
      <c r="Z372" s="147">
        <f>$R248*'Assumptions (NG Midstream)'!J$76</f>
        <v>0.33924721218232801</v>
      </c>
      <c r="AA372" s="147">
        <f>$R248*'Assumptions (NG Midstream)'!K$76</f>
        <v>0.33917118187928402</v>
      </c>
      <c r="AB372" s="147">
        <f>$R248*'Assumptions (NG Midstream)'!L$76</f>
        <v>0.33924721218232801</v>
      </c>
      <c r="AC372" s="147">
        <f>$R248*'Assumptions (NG Midstream)'!M$76</f>
        <v>0.33917118187928402</v>
      </c>
      <c r="AD372" s="147">
        <f>$R248*'Assumptions (NG Midstream)'!N$76</f>
        <v>0.33924721218232801</v>
      </c>
      <c r="AE372" s="147">
        <f>$R248*'Assumptions (NG Midstream)'!O$76</f>
        <v>0.33917118187928402</v>
      </c>
      <c r="AF372" s="147">
        <f>$R248*'Assumptions (NG Midstream)'!P$76</f>
        <v>0.33924721218232801</v>
      </c>
      <c r="AG372" s="147">
        <f>$R248*'Assumptions (NG Midstream)'!Q$76</f>
        <v>0.33917118187928402</v>
      </c>
      <c r="AH372" s="147">
        <f>$R248*'Assumptions (NG Midstream)'!R$76</f>
        <v>0.33924721218232801</v>
      </c>
      <c r="AI372" s="147">
        <f>$R248*'Assumptions (NG Midstream)'!S$76</f>
        <v>0.33917118187928402</v>
      </c>
      <c r="AJ372" s="147">
        <f>$R248*'Assumptions (NG Midstream)'!T$76</f>
        <v>0.33924721218232801</v>
      </c>
      <c r="AK372" s="147">
        <f>$R248*'Assumptions (NG Midstream)'!U$76</f>
        <v>0.33917118187928402</v>
      </c>
      <c r="AL372" s="147">
        <f>$R248*'Assumptions (NG Midstream)'!V$76</f>
        <v>0.169623606091164</v>
      </c>
    </row>
    <row r="373" spans="1:50" ht="15.75" hidden="1" customHeight="1" outlineLevel="1">
      <c r="A373" s="378"/>
      <c r="B373" s="42"/>
      <c r="C373" s="42"/>
      <c r="D373" s="42"/>
      <c r="E373" s="42"/>
      <c r="F373" s="42"/>
      <c r="G373" s="42"/>
      <c r="H373" s="42"/>
      <c r="I373" s="42"/>
      <c r="J373" s="42"/>
      <c r="K373" s="42"/>
      <c r="L373" s="42"/>
      <c r="M373" s="42"/>
      <c r="N373" s="42"/>
      <c r="O373" s="42"/>
      <c r="P373" s="42"/>
      <c r="Q373" s="42"/>
      <c r="R373" s="42"/>
      <c r="S373" s="147">
        <f>$S248*'Assumptions (NG Midstream)'!B$76</f>
        <v>0.26311461930674995</v>
      </c>
      <c r="T373" s="147">
        <f>$S248*'Assumptions (NG Midstream)'!C$76</f>
        <v>0.50651318314011418</v>
      </c>
      <c r="U373" s="147">
        <f>$S248*'Assumptions (NG Midstream)'!D$76</f>
        <v>0.46848435016297851</v>
      </c>
      <c r="V373" s="147">
        <f>$S248*'Assumptions (NG Midstream)'!E$76</f>
        <v>0.43340240092207855</v>
      </c>
      <c r="W373" s="147">
        <f>$S248*'Assumptions (NG Midstream)'!F$76</f>
        <v>0.40084635202652336</v>
      </c>
      <c r="X373" s="147">
        <f>$S248*'Assumptions (NG Midstream)'!G$76</f>
        <v>0.370816203476313</v>
      </c>
      <c r="Y373" s="147">
        <f>$S248*'Assumptions (NG Midstream)'!H$76</f>
        <v>0.34296113577903836</v>
      </c>
      <c r="Z373" s="147">
        <f>$S248*'Assumptions (NG Midstream)'!I$76</f>
        <v>0.31728114893469961</v>
      </c>
      <c r="AA373" s="147">
        <f>$S248*'Assumptions (NG Midstream)'!J$76</f>
        <v>0.31307131502579155</v>
      </c>
      <c r="AB373" s="147">
        <f>$S248*'Assumptions (NG Midstream)'!K$76</f>
        <v>0.31300115112730975</v>
      </c>
      <c r="AC373" s="147">
        <f>$S248*'Assumptions (NG Midstream)'!L$76</f>
        <v>0.31307131502579155</v>
      </c>
      <c r="AD373" s="147">
        <f>$S248*'Assumptions (NG Midstream)'!M$76</f>
        <v>0.31300115112730975</v>
      </c>
      <c r="AE373" s="147">
        <f>$S248*'Assumptions (NG Midstream)'!N$76</f>
        <v>0.31307131502579155</v>
      </c>
      <c r="AF373" s="147">
        <f>$S248*'Assumptions (NG Midstream)'!O$76</f>
        <v>0.31300115112730975</v>
      </c>
      <c r="AG373" s="147">
        <f>$S248*'Assumptions (NG Midstream)'!P$76</f>
        <v>0.31307131502579155</v>
      </c>
      <c r="AH373" s="147">
        <f>$S248*'Assumptions (NG Midstream)'!Q$76</f>
        <v>0.31300115112730975</v>
      </c>
      <c r="AI373" s="147">
        <f>$S248*'Assumptions (NG Midstream)'!R$76</f>
        <v>0.31307131502579155</v>
      </c>
      <c r="AJ373" s="147">
        <f>$S248*'Assumptions (NG Midstream)'!S$76</f>
        <v>0.31300115112730975</v>
      </c>
      <c r="AK373" s="147">
        <f>$S248*'Assumptions (NG Midstream)'!T$76</f>
        <v>0.31307131502579155</v>
      </c>
      <c r="AL373" s="147">
        <f>$S248*'Assumptions (NG Midstream)'!U$76</f>
        <v>0.31300115112730975</v>
      </c>
      <c r="AM373" s="147">
        <f>$S248*'Assumptions (NG Midstream)'!V$76</f>
        <v>0.15653565751289578</v>
      </c>
    </row>
    <row r="374" spans="1:50" ht="15.75" hidden="1" customHeight="1" outlineLevel="1">
      <c r="A374" s="378"/>
      <c r="B374" s="42"/>
      <c r="C374" s="42"/>
      <c r="D374" s="42"/>
      <c r="E374" s="42"/>
      <c r="F374" s="42"/>
      <c r="G374" s="42"/>
      <c r="H374" s="42"/>
      <c r="I374" s="42"/>
      <c r="J374" s="42"/>
      <c r="K374" s="42"/>
      <c r="L374" s="42"/>
      <c r="M374" s="42"/>
      <c r="N374" s="42"/>
      <c r="O374" s="42"/>
      <c r="P374" s="42"/>
      <c r="Q374" s="42"/>
      <c r="R374" s="42"/>
      <c r="S374" s="42"/>
      <c r="T374" s="147">
        <f>$T248*'Assumptions (NG Midstream)'!B$76</f>
        <v>0.29671771064773661</v>
      </c>
      <c r="U374" s="147">
        <f>$T248*'Assumptions (NG Midstream)'!C$76</f>
        <v>0.57120137417760286</v>
      </c>
      <c r="V374" s="147">
        <f>$T248*'Assumptions (NG Midstream)'!D$76</f>
        <v>0.52831577439864996</v>
      </c>
      <c r="W374" s="147">
        <f>$T248*'Assumptions (NG Midstream)'!E$76</f>
        <v>0.4887534129789517</v>
      </c>
      <c r="X374" s="147">
        <f>$T248*'Assumptions (NG Midstream)'!F$76</f>
        <v>0.4520395415814718</v>
      </c>
      <c r="Y374" s="147">
        <f>$T248*'Assumptions (NG Midstream)'!G$76</f>
        <v>0.41817416020621012</v>
      </c>
      <c r="Z374" s="147">
        <f>$T248*'Assumptions (NG Midstream)'!H$76</f>
        <v>0.38676164523896972</v>
      </c>
      <c r="AA374" s="147">
        <f>$T248*'Assumptions (NG Midstream)'!I$76</f>
        <v>0.35780199667975066</v>
      </c>
      <c r="AB374" s="147">
        <f>$T248*'Assumptions (NG Midstream)'!J$76</f>
        <v>0.35305451330938686</v>
      </c>
      <c r="AC374" s="147">
        <f>$T248*'Assumptions (NG Midstream)'!K$76</f>
        <v>0.35297538858654742</v>
      </c>
      <c r="AD374" s="147">
        <f>$T248*'Assumptions (NG Midstream)'!L$76</f>
        <v>0.35305451330938686</v>
      </c>
      <c r="AE374" s="147">
        <f>$T248*'Assumptions (NG Midstream)'!M$76</f>
        <v>0.35297538858654742</v>
      </c>
      <c r="AF374" s="147">
        <f>$T248*'Assumptions (NG Midstream)'!N$76</f>
        <v>0.35305451330938686</v>
      </c>
      <c r="AG374" s="147">
        <f>$T248*'Assumptions (NG Midstream)'!O$76</f>
        <v>0.35297538858654742</v>
      </c>
      <c r="AH374" s="147">
        <f>$T248*'Assumptions (NG Midstream)'!P$76</f>
        <v>0.35305451330938686</v>
      </c>
      <c r="AI374" s="147">
        <f>$T248*'Assumptions (NG Midstream)'!Q$76</f>
        <v>0.35297538858654742</v>
      </c>
      <c r="AJ374" s="147">
        <f>$T248*'Assumptions (NG Midstream)'!R$76</f>
        <v>0.35305451330938686</v>
      </c>
      <c r="AK374" s="147">
        <f>$T248*'Assumptions (NG Midstream)'!S$76</f>
        <v>0.35297538858654742</v>
      </c>
      <c r="AL374" s="147">
        <f>$T248*'Assumptions (NG Midstream)'!T$76</f>
        <v>0.35305451330938686</v>
      </c>
      <c r="AM374" s="147">
        <f>$T248*'Assumptions (NG Midstream)'!U$76</f>
        <v>0.35297538858654742</v>
      </c>
      <c r="AN374" s="147">
        <f>$T248*'Assumptions (NG Midstream)'!V$76</f>
        <v>0.17652725665469343</v>
      </c>
    </row>
    <row r="375" spans="1:50" ht="15.75" hidden="1" customHeight="1" outlineLevel="1">
      <c r="A375" s="378"/>
      <c r="B375" s="42"/>
      <c r="C375" s="42"/>
      <c r="D375" s="42"/>
      <c r="E375" s="42"/>
      <c r="F375" s="42"/>
      <c r="G375" s="42"/>
      <c r="H375" s="42"/>
      <c r="I375" s="42"/>
      <c r="J375" s="42"/>
      <c r="K375" s="42"/>
      <c r="L375" s="42"/>
      <c r="M375" s="42"/>
      <c r="N375" s="42"/>
      <c r="O375" s="42"/>
      <c r="P375" s="42"/>
      <c r="Q375" s="42"/>
      <c r="R375" s="42"/>
      <c r="S375" s="42"/>
      <c r="T375" s="42"/>
      <c r="U375" s="147">
        <f>$U248*'Assumptions (NG Midstream)'!B$76</f>
        <v>4.0122188242697664E-2</v>
      </c>
      <c r="V375" s="147">
        <f>$U248*'Assumptions (NG Midstream)'!C$76</f>
        <v>7.7237887179742518E-2</v>
      </c>
      <c r="W375" s="147">
        <f>$U248*'Assumptions (NG Midstream)'!D$76</f>
        <v>7.1438893572397938E-2</v>
      </c>
      <c r="X375" s="147">
        <f>$U248*'Assumptions (NG Midstream)'!E$76</f>
        <v>6.6089268473371585E-2</v>
      </c>
      <c r="Y375" s="147">
        <f>$U248*'Assumptions (NG Midstream)'!F$76</f>
        <v>6.1124816381475135E-2</v>
      </c>
      <c r="Z375" s="147">
        <f>$U248*'Assumptions (NG Midstream)'!G$76</f>
        <v>5.6545537296708574E-2</v>
      </c>
      <c r="AA375" s="147">
        <f>$U248*'Assumptions (NG Midstream)'!H$76</f>
        <v>5.2297934968081647E-2</v>
      </c>
      <c r="AB375" s="147">
        <f>$U248*'Assumptions (NG Midstream)'!I$76</f>
        <v>4.8382009395594359E-2</v>
      </c>
      <c r="AC375" s="147">
        <f>$U248*'Assumptions (NG Midstream)'!J$76</f>
        <v>4.7740054383711192E-2</v>
      </c>
      <c r="AD375" s="147">
        <f>$U248*'Assumptions (NG Midstream)'!K$76</f>
        <v>4.7729355133513139E-2</v>
      </c>
      <c r="AE375" s="147">
        <f>$U248*'Assumptions (NG Midstream)'!L$76</f>
        <v>4.7740054383711192E-2</v>
      </c>
      <c r="AF375" s="147">
        <f>$U248*'Assumptions (NG Midstream)'!M$76</f>
        <v>4.7729355133513139E-2</v>
      </c>
      <c r="AG375" s="147">
        <f>$U248*'Assumptions (NG Midstream)'!N$76</f>
        <v>4.7740054383711192E-2</v>
      </c>
      <c r="AH375" s="147">
        <f>$U248*'Assumptions (NG Midstream)'!O$76</f>
        <v>4.7729355133513139E-2</v>
      </c>
      <c r="AI375" s="147">
        <f>$U248*'Assumptions (NG Midstream)'!P$76</f>
        <v>4.7740054383711192E-2</v>
      </c>
      <c r="AJ375" s="147">
        <f>$U248*'Assumptions (NG Midstream)'!Q$76</f>
        <v>4.7729355133513139E-2</v>
      </c>
      <c r="AK375" s="147">
        <f>$U248*'Assumptions (NG Midstream)'!R$76</f>
        <v>4.7740054383711192E-2</v>
      </c>
      <c r="AL375" s="147">
        <f>$U248*'Assumptions (NG Midstream)'!S$76</f>
        <v>4.7729355133513139E-2</v>
      </c>
      <c r="AM375" s="147">
        <f>$U248*'Assumptions (NG Midstream)'!T$76</f>
        <v>4.7740054383711192E-2</v>
      </c>
      <c r="AN375" s="147">
        <f>$U248*'Assumptions (NG Midstream)'!U$76</f>
        <v>4.7729355133513139E-2</v>
      </c>
      <c r="AO375" s="147">
        <f>$U248*'Assumptions (NG Midstream)'!V$76</f>
        <v>2.3870027191855596E-2</v>
      </c>
    </row>
    <row r="376" spans="1:50" ht="15.75" hidden="1" customHeight="1" outlineLevel="1">
      <c r="A376" s="378"/>
      <c r="B376" s="42"/>
      <c r="C376" s="42"/>
      <c r="D376" s="42"/>
      <c r="E376" s="42"/>
      <c r="F376" s="42"/>
      <c r="G376" s="42"/>
      <c r="H376" s="42"/>
      <c r="I376" s="42"/>
      <c r="J376" s="42"/>
      <c r="K376" s="42"/>
      <c r="L376" s="42"/>
      <c r="M376" s="42"/>
      <c r="N376" s="42"/>
      <c r="O376" s="42"/>
      <c r="P376" s="42"/>
      <c r="Q376" s="42"/>
      <c r="R376" s="42"/>
      <c r="S376" s="42"/>
      <c r="T376" s="42"/>
      <c r="U376" s="42"/>
      <c r="V376" s="147">
        <f>$V248*'Assumptions (NG Midstream)'!B$76</f>
        <v>0.12714740753411954</v>
      </c>
      <c r="W376" s="147">
        <f>$V248*'Assumptions (NG Midstream)'!C$76</f>
        <v>0.24476723599701575</v>
      </c>
      <c r="X376" s="147">
        <f>$V248*'Assumptions (NG Midstream)'!D$76</f>
        <v>0.22639019736141766</v>
      </c>
      <c r="Y376" s="147">
        <f>$V248*'Assumptions (NG Midstream)'!E$76</f>
        <v>0.20943720969020171</v>
      </c>
      <c r="Z376" s="147">
        <f>$V248*'Assumptions (NG Midstream)'!F$76</f>
        <v>0.19370483713131334</v>
      </c>
      <c r="AA376" s="147">
        <f>$V248*'Assumptions (NG Midstream)'!G$76</f>
        <v>0.17919307968475248</v>
      </c>
      <c r="AB376" s="147">
        <f>$V248*'Assumptions (NG Midstream)'!H$76</f>
        <v>0.16573240747380702</v>
      </c>
      <c r="AC376" s="147">
        <f>$V248*'Assumptions (NG Midstream)'!I$76</f>
        <v>0.15332282049847698</v>
      </c>
      <c r="AD376" s="147">
        <f>$V248*'Assumptions (NG Midstream)'!J$76</f>
        <v>0.15128846197793105</v>
      </c>
      <c r="AE376" s="147">
        <f>$V248*'Assumptions (NG Midstream)'!K$76</f>
        <v>0.15125455600258861</v>
      </c>
      <c r="AF376" s="147">
        <f>$V248*'Assumptions (NG Midstream)'!L$76</f>
        <v>0.15128846197793105</v>
      </c>
      <c r="AG376" s="147">
        <f>$V248*'Assumptions (NG Midstream)'!M$76</f>
        <v>0.15125455600258861</v>
      </c>
      <c r="AH376" s="147">
        <f>$V248*'Assumptions (NG Midstream)'!N$76</f>
        <v>0.15128846197793105</v>
      </c>
      <c r="AI376" s="147">
        <f>$V248*'Assumptions (NG Midstream)'!O$76</f>
        <v>0.15125455600258861</v>
      </c>
      <c r="AJ376" s="147">
        <f>$V248*'Assumptions (NG Midstream)'!P$76</f>
        <v>0.15128846197793105</v>
      </c>
      <c r="AK376" s="147">
        <f>$V248*'Assumptions (NG Midstream)'!Q$76</f>
        <v>0.15125455600258861</v>
      </c>
      <c r="AL376" s="147">
        <f>$V248*'Assumptions (NG Midstream)'!R$76</f>
        <v>0.15128846197793105</v>
      </c>
      <c r="AM376" s="147">
        <f>$V248*'Assumptions (NG Midstream)'!S$76</f>
        <v>0.15125455600258861</v>
      </c>
      <c r="AN376" s="147">
        <f>$V248*'Assumptions (NG Midstream)'!T$76</f>
        <v>0.15128846197793105</v>
      </c>
      <c r="AO376" s="147">
        <f>$V248*'Assumptions (NG Midstream)'!U$76</f>
        <v>0.15125455600258861</v>
      </c>
      <c r="AP376" s="147">
        <f>$V248*'Assumptions (NG Midstream)'!V$76</f>
        <v>7.5644230988965527E-2</v>
      </c>
    </row>
    <row r="377" spans="1:50" ht="15.75" hidden="1" customHeight="1" outlineLevel="1">
      <c r="A377" s="378"/>
      <c r="B377" s="42"/>
      <c r="C377" s="42"/>
      <c r="D377" s="42"/>
      <c r="E377" s="42"/>
      <c r="F377" s="42"/>
      <c r="G377" s="42"/>
      <c r="H377" s="42"/>
      <c r="I377" s="42"/>
      <c r="J377" s="42"/>
      <c r="K377" s="42"/>
      <c r="L377" s="42"/>
      <c r="M377" s="42"/>
      <c r="N377" s="42"/>
      <c r="O377" s="42"/>
      <c r="P377" s="42"/>
      <c r="Q377" s="42"/>
      <c r="R377" s="42"/>
      <c r="S377" s="42"/>
      <c r="T377" s="42"/>
      <c r="U377" s="42"/>
      <c r="V377" s="42"/>
      <c r="W377" s="147">
        <f>$W248*'Assumptions (NG Midstream)'!B$76</f>
        <v>8.1881767180657233E-2</v>
      </c>
      <c r="X377" s="147">
        <f>$W248*'Assumptions (NG Midstream)'!C$76</f>
        <v>0.1576278606072439</v>
      </c>
      <c r="Y377" s="147">
        <f>$W248*'Assumptions (NG Midstream)'!D$76</f>
        <v>0.14579321585739954</v>
      </c>
      <c r="Z377" s="147">
        <f>$W248*'Assumptions (NG Midstream)'!E$76</f>
        <v>0.13487564689997858</v>
      </c>
      <c r="AA377" s="147">
        <f>$W248*'Assumptions (NG Midstream)'!F$76</f>
        <v>0.12474414290749195</v>
      </c>
      <c r="AB377" s="147">
        <f>$W248*'Assumptions (NG Midstream)'!G$76</f>
        <v>0.1153987038799396</v>
      </c>
      <c r="AC377" s="147">
        <f>$W248*'Assumptions (NG Midstream)'!H$76</f>
        <v>0.10673015412774735</v>
      </c>
      <c r="AD377" s="147">
        <f>$W248*'Assumptions (NG Midstream)'!I$76</f>
        <v>9.8738493650915207E-2</v>
      </c>
      <c r="AE377" s="147">
        <f>$W248*'Assumptions (NG Midstream)'!J$76</f>
        <v>9.742838537602469E-2</v>
      </c>
      <c r="AF377" s="147">
        <f>$W248*'Assumptions (NG Midstream)'!K$76</f>
        <v>9.7406550238109832E-2</v>
      </c>
      <c r="AG377" s="147">
        <f>$W248*'Assumptions (NG Midstream)'!L$76</f>
        <v>9.742838537602469E-2</v>
      </c>
      <c r="AH377" s="147">
        <f>$W248*'Assumptions (NG Midstream)'!M$76</f>
        <v>9.7406550238109832E-2</v>
      </c>
      <c r="AI377" s="147">
        <f>$W248*'Assumptions (NG Midstream)'!N$76</f>
        <v>9.742838537602469E-2</v>
      </c>
      <c r="AJ377" s="147">
        <f>$W248*'Assumptions (NG Midstream)'!O$76</f>
        <v>9.7406550238109832E-2</v>
      </c>
      <c r="AK377" s="147">
        <f>$W248*'Assumptions (NG Midstream)'!P$76</f>
        <v>9.742838537602469E-2</v>
      </c>
      <c r="AL377" s="147">
        <f>$W248*'Assumptions (NG Midstream)'!Q$76</f>
        <v>9.7406550238109832E-2</v>
      </c>
      <c r="AM377" s="147">
        <f>$W248*'Assumptions (NG Midstream)'!R$76</f>
        <v>9.742838537602469E-2</v>
      </c>
      <c r="AN377" s="147">
        <f>$W248*'Assumptions (NG Midstream)'!S$76</f>
        <v>9.7406550238109832E-2</v>
      </c>
      <c r="AO377" s="147">
        <f>$W248*'Assumptions (NG Midstream)'!T$76</f>
        <v>9.742838537602469E-2</v>
      </c>
      <c r="AP377" s="147">
        <f>$W248*'Assumptions (NG Midstream)'!U$76</f>
        <v>9.7406550238109832E-2</v>
      </c>
      <c r="AQ377" s="147">
        <f>$W248*'Assumptions (NG Midstream)'!V$76</f>
        <v>4.8714192688012345E-2</v>
      </c>
    </row>
    <row r="378" spans="1:50" ht="15.75" hidden="1" customHeight="1" outlineLevel="1">
      <c r="A378" s="378"/>
      <c r="B378" s="42"/>
      <c r="C378" s="42"/>
      <c r="D378" s="42"/>
      <c r="E378" s="42"/>
      <c r="F378" s="42"/>
      <c r="G378" s="42"/>
      <c r="H378" s="42"/>
      <c r="I378" s="42"/>
      <c r="J378" s="42"/>
      <c r="K378" s="42"/>
      <c r="L378" s="42"/>
      <c r="M378" s="42"/>
      <c r="N378" s="42"/>
      <c r="O378" s="42"/>
      <c r="P378" s="42"/>
      <c r="Q378" s="42"/>
      <c r="R378" s="42"/>
      <c r="S378" s="42"/>
      <c r="T378" s="42"/>
      <c r="U378" s="42"/>
      <c r="V378" s="42"/>
      <c r="W378" s="86"/>
      <c r="X378" s="147">
        <f>$X248*'Assumptions (NG Midstream)'!B$76</f>
        <v>7.3877537824335801E-2</v>
      </c>
      <c r="Y378" s="147">
        <f>$X248*'Assumptions (NG Midstream)'!C$76</f>
        <v>0.14221918548103471</v>
      </c>
      <c r="Z378" s="147">
        <f>$X248*'Assumptions (NG Midstream)'!D$76</f>
        <v>0.13154141868082403</v>
      </c>
      <c r="AA378" s="147">
        <f>$X248*'Assumptions (NG Midstream)'!E$76</f>
        <v>0.12169108030424593</v>
      </c>
      <c r="AB378" s="147">
        <f>$X248*'Assumptions (NG Midstream)'!F$76</f>
        <v>0.11254996629078146</v>
      </c>
      <c r="AC378" s="147">
        <f>$X248*'Assumptions (NG Midstream)'!G$76</f>
        <v>0.1041180766404306</v>
      </c>
      <c r="AD378" s="147">
        <f>$X248*'Assumptions (NG Midstream)'!H$76</f>
        <v>9.6296907969427581E-2</v>
      </c>
      <c r="AE378" s="147">
        <f>$X248*'Assumptions (NG Midstream)'!I$76</f>
        <v>8.9086460277772409E-2</v>
      </c>
      <c r="AF378" s="147">
        <f>$X248*'Assumptions (NG Midstream)'!J$76</f>
        <v>8.7904419672583028E-2</v>
      </c>
      <c r="AG378" s="147">
        <f>$X248*'Assumptions (NG Midstream)'!K$76</f>
        <v>8.7884718995829864E-2</v>
      </c>
      <c r="AH378" s="147">
        <f>$X248*'Assumptions (NG Midstream)'!L$76</f>
        <v>8.7904419672583028E-2</v>
      </c>
      <c r="AI378" s="147">
        <f>$X248*'Assumptions (NG Midstream)'!M$76</f>
        <v>8.7884718995829864E-2</v>
      </c>
      <c r="AJ378" s="147">
        <f>$X248*'Assumptions (NG Midstream)'!N$76</f>
        <v>8.7904419672583028E-2</v>
      </c>
      <c r="AK378" s="147">
        <f>$X248*'Assumptions (NG Midstream)'!O$76</f>
        <v>8.7884718995829864E-2</v>
      </c>
      <c r="AL378" s="147">
        <f>$X248*'Assumptions (NG Midstream)'!P$76</f>
        <v>8.7904419672583028E-2</v>
      </c>
      <c r="AM378" s="147">
        <f>$X248*'Assumptions (NG Midstream)'!Q$76</f>
        <v>8.7884718995829864E-2</v>
      </c>
      <c r="AN378" s="147">
        <f>$X248*'Assumptions (NG Midstream)'!R$76</f>
        <v>8.7904419672583028E-2</v>
      </c>
      <c r="AO378" s="147">
        <f>$X248*'Assumptions (NG Midstream)'!S$76</f>
        <v>8.7884718995829864E-2</v>
      </c>
      <c r="AP378" s="147">
        <f>$X248*'Assumptions (NG Midstream)'!T$76</f>
        <v>8.7904419672583028E-2</v>
      </c>
      <c r="AQ378" s="147">
        <f>$X248*'Assumptions (NG Midstream)'!U$76</f>
        <v>8.7884718995829864E-2</v>
      </c>
      <c r="AR378" s="147">
        <f>$X248*'Assumptions (NG Midstream)'!V$76</f>
        <v>4.3952209836291514E-2</v>
      </c>
    </row>
    <row r="379" spans="1:50" ht="15.75" hidden="1" customHeight="1" outlineLevel="1">
      <c r="A379" s="378"/>
      <c r="B379" s="42"/>
      <c r="C379" s="42"/>
      <c r="D379" s="42"/>
      <c r="E379" s="42"/>
      <c r="F379" s="42"/>
      <c r="G379" s="42"/>
      <c r="H379" s="42"/>
      <c r="I379" s="42"/>
      <c r="J379" s="42"/>
      <c r="K379" s="42"/>
      <c r="L379" s="42"/>
      <c r="M379" s="42"/>
      <c r="N379" s="42"/>
      <c r="O379" s="42"/>
      <c r="P379" s="42"/>
      <c r="Q379" s="42"/>
      <c r="R379" s="42"/>
      <c r="S379" s="42"/>
      <c r="T379" s="42"/>
      <c r="U379" s="42"/>
      <c r="V379" s="42"/>
      <c r="W379" s="86"/>
      <c r="Y379" s="147">
        <f>$Y248*'Assumptions (NG Midstream)'!B$76</f>
        <v>9.4848439455609598E-2</v>
      </c>
      <c r="Z379" s="147">
        <f>$Y248*'Assumptions (NG Midstream)'!C$76</f>
        <v>0.18258956918134553</v>
      </c>
      <c r="AA379" s="147">
        <f>$Y248*'Assumptions (NG Midstream)'!D$76</f>
        <v>0.1688808080653614</v>
      </c>
      <c r="AB379" s="147">
        <f>$Y248*'Assumptions (NG Midstream)'!E$76</f>
        <v>0.15623434947128012</v>
      </c>
      <c r="AC379" s="147">
        <f>$Y248*'Assumptions (NG Midstream)'!F$76</f>
        <v>0.14449843589597272</v>
      </c>
      <c r="AD379" s="147">
        <f>$Y248*'Assumptions (NG Midstream)'!G$76</f>
        <v>0.13367306733943912</v>
      </c>
      <c r="AE379" s="147">
        <f>$Y248*'Assumptions (NG Midstream)'!H$76</f>
        <v>0.12363177921573859</v>
      </c>
      <c r="AF379" s="147">
        <f>$Y248*'Assumptions (NG Midstream)'!I$76</f>
        <v>0.1143745715248711</v>
      </c>
      <c r="AG379" s="147">
        <f>$Y248*'Assumptions (NG Midstream)'!J$76</f>
        <v>0.11285699649358134</v>
      </c>
      <c r="AH379" s="147">
        <f>$Y248*'Assumptions (NG Midstream)'!K$76</f>
        <v>0.11283170357639317</v>
      </c>
      <c r="AI379" s="147">
        <f>$Y248*'Assumptions (NG Midstream)'!L$76</f>
        <v>0.11285699649358134</v>
      </c>
      <c r="AJ379" s="147">
        <f>$Y248*'Assumptions (NG Midstream)'!M$76</f>
        <v>0.11283170357639317</v>
      </c>
      <c r="AK379" s="147">
        <f>$Y248*'Assumptions (NG Midstream)'!N$76</f>
        <v>0.11285699649358134</v>
      </c>
      <c r="AL379" s="147">
        <f>$Y248*'Assumptions (NG Midstream)'!O$76</f>
        <v>0.11283170357639317</v>
      </c>
      <c r="AM379" s="147">
        <f>$Y248*'Assumptions (NG Midstream)'!P$76</f>
        <v>0.11285699649358134</v>
      </c>
      <c r="AN379" s="147">
        <f>$Y248*'Assumptions (NG Midstream)'!Q$76</f>
        <v>0.11283170357639317</v>
      </c>
      <c r="AO379" s="147">
        <f>$Y248*'Assumptions (NG Midstream)'!R$76</f>
        <v>0.11285699649358134</v>
      </c>
      <c r="AP379" s="147">
        <f>$Y248*'Assumptions (NG Midstream)'!S$76</f>
        <v>0.11283170357639317</v>
      </c>
      <c r="AQ379" s="147">
        <f>$Y248*'Assumptions (NG Midstream)'!T$76</f>
        <v>0.11285699649358134</v>
      </c>
      <c r="AR379" s="147">
        <f>$Y248*'Assumptions (NG Midstream)'!U$76</f>
        <v>0.11283170357639317</v>
      </c>
      <c r="AS379" s="147">
        <f>$Y248*'Assumptions (NG Midstream)'!V$76</f>
        <v>5.6428498246790672E-2</v>
      </c>
    </row>
    <row r="380" spans="1:50" ht="15.75" hidden="1" customHeight="1" outlineLevel="1">
      <c r="A380" s="378"/>
      <c r="B380" s="42"/>
      <c r="C380" s="42"/>
      <c r="D380" s="42"/>
      <c r="E380" s="42"/>
      <c r="F380" s="42"/>
      <c r="G380" s="42"/>
      <c r="H380" s="42"/>
      <c r="I380" s="42"/>
      <c r="J380" s="42"/>
      <c r="K380" s="42"/>
      <c r="L380" s="42"/>
      <c r="M380" s="42"/>
      <c r="N380" s="42"/>
      <c r="O380" s="42"/>
      <c r="P380" s="42"/>
      <c r="Q380" s="42"/>
      <c r="R380" s="42"/>
      <c r="S380" s="42"/>
      <c r="T380" s="42"/>
      <c r="U380" s="42"/>
      <c r="V380" s="42"/>
      <c r="W380" s="86"/>
      <c r="Z380" s="147">
        <f>$Z248*'Assumptions (NG Midstream)'!B$76</f>
        <v>0.10202592828578706</v>
      </c>
      <c r="AA380" s="147">
        <f>$Z248*'Assumptions (NG Midstream)'!C$76</f>
        <v>0.19640671367869247</v>
      </c>
      <c r="AB380" s="147">
        <f>$Z248*'Assumptions (NG Midstream)'!D$76</f>
        <v>0.18166056617712004</v>
      </c>
      <c r="AC380" s="147">
        <f>$Z248*'Assumptions (NG Midstream)'!E$76</f>
        <v>0.16805710907234844</v>
      </c>
      <c r="AD380" s="147">
        <f>$Z248*'Assumptions (NG Midstream)'!F$76</f>
        <v>0.15543310087912041</v>
      </c>
      <c r="AE380" s="147">
        <f>$Z248*'Assumptions (NG Midstream)'!G$76</f>
        <v>0.1437885415974359</v>
      </c>
      <c r="AF380" s="147">
        <f>$Z248*'Assumptions (NG Midstream)'!H$76</f>
        <v>0.13298739665624723</v>
      </c>
      <c r="AG380" s="147">
        <f>$Z248*'Assumptions (NG Midstream)'!I$76</f>
        <v>0.12302966605555443</v>
      </c>
      <c r="AH380" s="147">
        <f>$Z248*'Assumptions (NG Midstream)'!J$76</f>
        <v>0.12139725120298182</v>
      </c>
      <c r="AI380" s="147">
        <f>$Z248*'Assumptions (NG Midstream)'!K$76</f>
        <v>0.12137004428877228</v>
      </c>
      <c r="AJ380" s="147">
        <f>$Z248*'Assumptions (NG Midstream)'!L$76</f>
        <v>0.12139725120298182</v>
      </c>
      <c r="AK380" s="147">
        <f>$Z248*'Assumptions (NG Midstream)'!M$76</f>
        <v>0.12137004428877228</v>
      </c>
      <c r="AL380" s="147">
        <f>$Z248*'Assumptions (NG Midstream)'!N$76</f>
        <v>0.12139725120298182</v>
      </c>
      <c r="AM380" s="147">
        <f>$Z248*'Assumptions (NG Midstream)'!O$76</f>
        <v>0.12137004428877228</v>
      </c>
      <c r="AN380" s="147">
        <f>$Z248*'Assumptions (NG Midstream)'!P$76</f>
        <v>0.12139725120298182</v>
      </c>
      <c r="AO380" s="147">
        <f>$Z248*'Assumptions (NG Midstream)'!Q$76</f>
        <v>0.12137004428877228</v>
      </c>
      <c r="AP380" s="147">
        <f>$Z248*'Assumptions (NG Midstream)'!R$76</f>
        <v>0.12139725120298182</v>
      </c>
      <c r="AQ380" s="147">
        <f>$Z248*'Assumptions (NG Midstream)'!S$76</f>
        <v>0.12137004428877228</v>
      </c>
      <c r="AR380" s="147">
        <f>$Z248*'Assumptions (NG Midstream)'!T$76</f>
        <v>0.12139725120298182</v>
      </c>
      <c r="AS380" s="147">
        <f>$Z248*'Assumptions (NG Midstream)'!U$76</f>
        <v>0.12137004428877228</v>
      </c>
      <c r="AT380" s="147">
        <f>$Z248*'Assumptions (NG Midstream)'!V$76</f>
        <v>6.0698625601490912E-2</v>
      </c>
    </row>
    <row r="381" spans="1:50" ht="15.75" hidden="1" customHeight="1" outlineLevel="1">
      <c r="A381" s="378"/>
      <c r="B381" s="42"/>
      <c r="C381" s="42"/>
      <c r="D381" s="42"/>
      <c r="E381" s="42"/>
      <c r="F381" s="42"/>
      <c r="G381" s="42"/>
      <c r="H381" s="42"/>
      <c r="I381" s="42"/>
      <c r="J381" s="42"/>
      <c r="K381" s="42"/>
      <c r="L381" s="42"/>
      <c r="M381" s="42"/>
      <c r="N381" s="42"/>
      <c r="O381" s="42"/>
      <c r="P381" s="42"/>
      <c r="Q381" s="42"/>
      <c r="R381" s="42"/>
      <c r="S381" s="42"/>
      <c r="T381" s="42"/>
      <c r="U381" s="42"/>
      <c r="V381" s="42"/>
      <c r="W381" s="86"/>
      <c r="AA381" s="147">
        <f>$AA248*'Assumptions (NG Midstream)'!B$76</f>
        <v>0.10262066771117168</v>
      </c>
      <c r="AB381" s="147">
        <f>$AA248*'Assumptions (NG Midstream)'!C$76</f>
        <v>0.19755162672185289</v>
      </c>
      <c r="AC381" s="147">
        <f>$AA248*'Assumptions (NG Midstream)'!D$76</f>
        <v>0.18271951954866486</v>
      </c>
      <c r="AD381" s="147">
        <f>$AA248*'Assumptions (NG Midstream)'!E$76</f>
        <v>0.16903676385384198</v>
      </c>
      <c r="AE381" s="147">
        <f>$AA248*'Assumptions (NG Midstream)'!F$76</f>
        <v>0.15633916656904634</v>
      </c>
      <c r="AF381" s="147">
        <f>$AA248*'Assumptions (NG Midstream)'!G$76</f>
        <v>0.14462672769427795</v>
      </c>
      <c r="AG381" s="147">
        <f>$AA248*'Assumptions (NG Midstream)'!H$76</f>
        <v>0.13376261967258857</v>
      </c>
      <c r="AH381" s="147">
        <f>$AA248*'Assumptions (NG Midstream)'!I$76</f>
        <v>0.12374684250397823</v>
      </c>
      <c r="AI381" s="147">
        <f>$AA248*'Assumptions (NG Midstream)'!J$76</f>
        <v>0.12210491182059947</v>
      </c>
      <c r="AJ381" s="147">
        <f>$AA248*'Assumptions (NG Midstream)'!K$76</f>
        <v>0.12207754630920982</v>
      </c>
      <c r="AK381" s="147">
        <f>$AA248*'Assumptions (NG Midstream)'!L$76</f>
        <v>0.12210491182059947</v>
      </c>
      <c r="AL381" s="147">
        <f>$AA248*'Assumptions (NG Midstream)'!M$76</f>
        <v>0.12207754630920982</v>
      </c>
      <c r="AM381" s="147">
        <f>$AA248*'Assumptions (NG Midstream)'!N$76</f>
        <v>0.12210491182059947</v>
      </c>
      <c r="AN381" s="147">
        <f>$AA248*'Assumptions (NG Midstream)'!O$76</f>
        <v>0.12207754630920982</v>
      </c>
      <c r="AO381" s="147">
        <f>$AA248*'Assumptions (NG Midstream)'!P$76</f>
        <v>0.12210491182059947</v>
      </c>
      <c r="AP381" s="147">
        <f>$AA248*'Assumptions (NG Midstream)'!Q$76</f>
        <v>0.12207754630920982</v>
      </c>
      <c r="AQ381" s="147">
        <f>$AA248*'Assumptions (NG Midstream)'!R$76</f>
        <v>0.12210491182059947</v>
      </c>
      <c r="AR381" s="147">
        <f>$AA248*'Assumptions (NG Midstream)'!S$76</f>
        <v>0.12207754630920982</v>
      </c>
      <c r="AS381" s="147">
        <f>$AA248*'Assumptions (NG Midstream)'!T$76</f>
        <v>0.12210491182059947</v>
      </c>
      <c r="AT381" s="147">
        <f>$AA248*'Assumptions (NG Midstream)'!U$76</f>
        <v>0.12207754630920982</v>
      </c>
      <c r="AU381" s="147">
        <f>$AA248*'Assumptions (NG Midstream)'!V$76</f>
        <v>6.1052455910299737E-2</v>
      </c>
    </row>
    <row r="382" spans="1:50" ht="15.75" hidden="1" customHeight="1" outlineLevel="1">
      <c r="A382" s="378"/>
      <c r="B382" s="42"/>
      <c r="C382" s="42"/>
      <c r="D382" s="42"/>
      <c r="E382" s="42"/>
      <c r="F382" s="42"/>
      <c r="G382" s="42"/>
      <c r="H382" s="42"/>
      <c r="I382" s="42"/>
      <c r="J382" s="42"/>
      <c r="K382" s="42"/>
      <c r="L382" s="42"/>
      <c r="M382" s="42"/>
      <c r="N382" s="42"/>
      <c r="O382" s="42"/>
      <c r="P382" s="42"/>
      <c r="Q382" s="42"/>
      <c r="R382" s="42"/>
      <c r="S382" s="42"/>
      <c r="T382" s="42"/>
      <c r="U382" s="42"/>
      <c r="V382" s="42"/>
      <c r="W382" s="86"/>
      <c r="AB382" s="147">
        <f>$AB248*'Assumptions (NG Midstream)'!B$76</f>
        <v>9.6782240990625198E-2</v>
      </c>
      <c r="AC382" s="147">
        <f>$AB248*'Assumptions (NG Midstream)'!C$76</f>
        <v>0.1863122660563529</v>
      </c>
      <c r="AD382" s="147">
        <f>$AB248*'Assumptions (NG Midstream)'!D$76</f>
        <v>0.17232400615850785</v>
      </c>
      <c r="AE382" s="147">
        <f>$AB248*'Assumptions (NG Midstream)'!E$76</f>
        <v>0.15941970735975783</v>
      </c>
      <c r="AF382" s="147">
        <f>$AB248*'Assumptions (NG Midstream)'!F$76</f>
        <v>0.14744451807451781</v>
      </c>
      <c r="AG382" s="147">
        <f>$AB248*'Assumptions (NG Midstream)'!G$76</f>
        <v>0.13639843830278778</v>
      </c>
      <c r="AH382" s="147">
        <f>$AB248*'Assumptions (NG Midstream)'!H$76</f>
        <v>0.12615242505658025</v>
      </c>
      <c r="AI382" s="147">
        <f>$AB248*'Assumptions (NG Midstream)'!I$76</f>
        <v>0.11670647833589524</v>
      </c>
      <c r="AJ382" s="147">
        <f>$AB248*'Assumptions (NG Midstream)'!J$76</f>
        <v>0.11515796248004524</v>
      </c>
      <c r="AK382" s="147">
        <f>$AB248*'Assumptions (NG Midstream)'!K$76</f>
        <v>0.11513215388244773</v>
      </c>
      <c r="AL382" s="147">
        <f>$AB248*'Assumptions (NG Midstream)'!L$76</f>
        <v>0.11515796248004524</v>
      </c>
      <c r="AM382" s="147">
        <f>$AB248*'Assumptions (NG Midstream)'!M$76</f>
        <v>0.11513215388244773</v>
      </c>
      <c r="AN382" s="147">
        <f>$AB248*'Assumptions (NG Midstream)'!N$76</f>
        <v>0.11515796248004524</v>
      </c>
      <c r="AO382" s="147">
        <f>$AB248*'Assumptions (NG Midstream)'!O$76</f>
        <v>0.11513215388244773</v>
      </c>
      <c r="AP382" s="147">
        <f>$AB248*'Assumptions (NG Midstream)'!P$76</f>
        <v>0.11515796248004524</v>
      </c>
      <c r="AQ382" s="147">
        <f>$AB248*'Assumptions (NG Midstream)'!Q$76</f>
        <v>0.11513215388244773</v>
      </c>
      <c r="AR382" s="147">
        <f>$AB248*'Assumptions (NG Midstream)'!R$76</f>
        <v>0.11515796248004524</v>
      </c>
      <c r="AS382" s="147">
        <f>$AB248*'Assumptions (NG Midstream)'!S$76</f>
        <v>0.11513215388244773</v>
      </c>
      <c r="AT382" s="147">
        <f>$AB248*'Assumptions (NG Midstream)'!T$76</f>
        <v>0.11515796248004524</v>
      </c>
      <c r="AU382" s="147">
        <f>$AB248*'Assumptions (NG Midstream)'!U$76</f>
        <v>0.11513215388244773</v>
      </c>
      <c r="AV382" s="147">
        <f>$AB248*'Assumptions (NG Midstream)'!V$76</f>
        <v>5.7578981240022621E-2</v>
      </c>
    </row>
    <row r="383" spans="1:50" ht="15.75" hidden="1" customHeight="1" outlineLevel="1">
      <c r="A383" s="378"/>
      <c r="B383" s="42"/>
      <c r="C383" s="42"/>
      <c r="D383" s="42"/>
      <c r="E383" s="42"/>
      <c r="F383" s="42"/>
      <c r="G383" s="42"/>
      <c r="H383" s="42"/>
      <c r="I383" s="42"/>
      <c r="J383" s="42"/>
      <c r="K383" s="42"/>
      <c r="L383" s="42"/>
      <c r="M383" s="42"/>
      <c r="N383" s="42"/>
      <c r="O383" s="42"/>
      <c r="P383" s="42"/>
      <c r="Q383" s="42"/>
      <c r="R383" s="42"/>
      <c r="S383" s="42"/>
      <c r="T383" s="42"/>
      <c r="U383" s="42"/>
      <c r="V383" s="42"/>
      <c r="W383" s="86"/>
      <c r="AC383" s="147">
        <f>$AC248*'Assumptions (NG Midstream)'!B$76</f>
        <v>8.1419588845331084E-2</v>
      </c>
      <c r="AD383" s="147">
        <f>$AC248*'Assumptions (NG Midstream)'!C$76</f>
        <v>0.15673813649985202</v>
      </c>
      <c r="AE383" s="147">
        <f>$AC248*'Assumptions (NG Midstream)'!D$76</f>
        <v>0.14497029192540684</v>
      </c>
      <c r="AF383" s="147">
        <f>$AC248*'Assumptions (NG Midstream)'!E$76</f>
        <v>0.13411434674602934</v>
      </c>
      <c r="AG383" s="147">
        <f>$AC248*'Assumptions (NG Midstream)'!F$76</f>
        <v>0.12404002961956706</v>
      </c>
      <c r="AH383" s="147">
        <f>$AC248*'Assumptions (NG Midstream)'!G$76</f>
        <v>0.11474734054601994</v>
      </c>
      <c r="AI383" s="147">
        <f>$AC248*'Assumptions (NG Midstream)'!H$76</f>
        <v>0.10612772007359422</v>
      </c>
      <c r="AJ383" s="147">
        <f>$AC248*'Assumptions (NG Midstream)'!I$76</f>
        <v>9.818116820228992E-2</v>
      </c>
      <c r="AK383" s="147">
        <f>$AC248*'Assumptions (NG Midstream)'!J$76</f>
        <v>9.6878454780764608E-2</v>
      </c>
      <c r="AL383" s="147">
        <f>$AC248*'Assumptions (NG Midstream)'!K$76</f>
        <v>9.6856742890405842E-2</v>
      </c>
      <c r="AM383" s="147">
        <f>$AC248*'Assumptions (NG Midstream)'!L$76</f>
        <v>9.6878454780764608E-2</v>
      </c>
      <c r="AN383" s="147">
        <f>$AC248*'Assumptions (NG Midstream)'!M$76</f>
        <v>9.6856742890405842E-2</v>
      </c>
      <c r="AO383" s="147">
        <f>$AC248*'Assumptions (NG Midstream)'!N$76</f>
        <v>9.6878454780764608E-2</v>
      </c>
      <c r="AP383" s="147">
        <f>$AC248*'Assumptions (NG Midstream)'!O$76</f>
        <v>9.6856742890405842E-2</v>
      </c>
      <c r="AQ383" s="147">
        <f>$AC248*'Assumptions (NG Midstream)'!P$76</f>
        <v>9.6878454780764608E-2</v>
      </c>
      <c r="AR383" s="147">
        <f>$AC248*'Assumptions (NG Midstream)'!Q$76</f>
        <v>9.6856742890405842E-2</v>
      </c>
      <c r="AS383" s="147">
        <f>$AC248*'Assumptions (NG Midstream)'!R$76</f>
        <v>9.6878454780764608E-2</v>
      </c>
      <c r="AT383" s="147">
        <f>$AC248*'Assumptions (NG Midstream)'!S$76</f>
        <v>9.6856742890405842E-2</v>
      </c>
      <c r="AU383" s="147">
        <f>$AC248*'Assumptions (NG Midstream)'!T$76</f>
        <v>9.6878454780764608E-2</v>
      </c>
      <c r="AV383" s="147">
        <f>$AC248*'Assumptions (NG Midstream)'!U$76</f>
        <v>9.6856742890405842E-2</v>
      </c>
      <c r="AW383" s="147">
        <f>$AC248*'Assumptions (NG Midstream)'!V$76</f>
        <v>4.8439227390382304E-2</v>
      </c>
    </row>
    <row r="384" spans="1:50" ht="15.75" hidden="1" customHeight="1" outlineLevel="1">
      <c r="A384" s="378"/>
      <c r="B384" s="42"/>
      <c r="C384" s="42"/>
      <c r="D384" s="42"/>
      <c r="E384" s="42"/>
      <c r="F384" s="42"/>
      <c r="G384" s="42"/>
      <c r="H384" s="42"/>
      <c r="I384" s="42"/>
      <c r="J384" s="42"/>
      <c r="K384" s="42"/>
      <c r="L384" s="42"/>
      <c r="M384" s="42"/>
      <c r="N384" s="42"/>
      <c r="O384" s="42"/>
      <c r="P384" s="42"/>
      <c r="Q384" s="42"/>
      <c r="R384" s="42"/>
      <c r="S384" s="42"/>
      <c r="T384" s="42"/>
      <c r="U384" s="42"/>
      <c r="V384" s="42"/>
      <c r="W384" s="86"/>
      <c r="AD384" s="147">
        <f>$AD248*'Assumptions (NG Midstream)'!B$76</f>
        <v>7.7697379904544825E-2</v>
      </c>
      <c r="AE384" s="147">
        <f>$AD248*'Assumptions (NG Midstream)'!C$76</f>
        <v>0.14957263614157576</v>
      </c>
      <c r="AF384" s="147">
        <f>$AD248*'Assumptions (NG Midstream)'!D$76</f>
        <v>0.13834277483270555</v>
      </c>
      <c r="AG384" s="147">
        <f>$AD248*'Assumptions (NG Midstream)'!E$76</f>
        <v>0.12798312417876623</v>
      </c>
      <c r="AH384" s="147">
        <f>$AD248*'Assumptions (NG Midstream)'!F$76</f>
        <v>0.11836936837191055</v>
      </c>
      <c r="AI384" s="147">
        <f>$AD248*'Assumptions (NG Midstream)'!G$76</f>
        <v>0.1095015074121385</v>
      </c>
      <c r="AJ384" s="147">
        <f>$AD248*'Assumptions (NG Midstream)'!H$76</f>
        <v>0.10127594479291069</v>
      </c>
      <c r="AK384" s="147">
        <f>$AD248*'Assumptions (NG Midstream)'!I$76</f>
        <v>9.369268051422712E-2</v>
      </c>
      <c r="AL384" s="147">
        <f>$AD248*'Assumptions (NG Midstream)'!J$76</f>
        <v>9.2449522435754397E-2</v>
      </c>
      <c r="AM384" s="147">
        <f>$AD248*'Assumptions (NG Midstream)'!K$76</f>
        <v>9.2428803134446513E-2</v>
      </c>
      <c r="AN384" s="147">
        <f>$AD248*'Assumptions (NG Midstream)'!L$76</f>
        <v>9.2449522435754397E-2</v>
      </c>
      <c r="AO384" s="147">
        <f>$AD248*'Assumptions (NG Midstream)'!M$76</f>
        <v>9.2428803134446513E-2</v>
      </c>
      <c r="AP384" s="147">
        <f>$AD248*'Assumptions (NG Midstream)'!N$76</f>
        <v>9.2449522435754397E-2</v>
      </c>
      <c r="AQ384" s="147">
        <f>$AD248*'Assumptions (NG Midstream)'!O$76</f>
        <v>9.2428803134446513E-2</v>
      </c>
      <c r="AR384" s="147">
        <f>$AD248*'Assumptions (NG Midstream)'!P$76</f>
        <v>9.2449522435754397E-2</v>
      </c>
      <c r="AS384" s="147">
        <f>$AD248*'Assumptions (NG Midstream)'!Q$76</f>
        <v>9.2428803134446513E-2</v>
      </c>
      <c r="AT384" s="147">
        <f>$AD248*'Assumptions (NG Midstream)'!R$76</f>
        <v>9.2449522435754397E-2</v>
      </c>
      <c r="AU384" s="147">
        <f>$AD248*'Assumptions (NG Midstream)'!S$76</f>
        <v>9.2428803134446513E-2</v>
      </c>
      <c r="AV384" s="147">
        <f>$AD248*'Assumptions (NG Midstream)'!T$76</f>
        <v>9.2449522435754397E-2</v>
      </c>
      <c r="AW384" s="147">
        <f>$AD248*'Assumptions (NG Midstream)'!U$76</f>
        <v>9.2428803134446513E-2</v>
      </c>
      <c r="AX384" s="147">
        <f>$AD248*'Assumptions (NG Midstream)'!V$76</f>
        <v>4.6224761217877199E-2</v>
      </c>
    </row>
    <row r="385" spans="1:66" ht="15.75" hidden="1" customHeight="1" outlineLevel="1">
      <c r="A385" s="378"/>
      <c r="B385" s="42"/>
      <c r="C385" s="42"/>
      <c r="D385" s="42"/>
      <c r="E385" s="42"/>
      <c r="F385" s="42"/>
      <c r="G385" s="42"/>
      <c r="H385" s="42"/>
      <c r="I385" s="42"/>
      <c r="J385" s="42"/>
      <c r="K385" s="42"/>
      <c r="L385" s="42"/>
      <c r="M385" s="42"/>
      <c r="N385" s="42"/>
      <c r="O385" s="42"/>
      <c r="P385" s="42"/>
      <c r="Q385" s="42"/>
      <c r="R385" s="42"/>
      <c r="S385" s="42"/>
      <c r="T385" s="42"/>
      <c r="U385" s="42"/>
      <c r="V385" s="42"/>
      <c r="W385" s="86"/>
      <c r="AE385" s="147">
        <f>$AE248*'Assumptions (NG Midstream)'!B$76</f>
        <v>6.6093107434094786E-2</v>
      </c>
      <c r="AF385" s="147">
        <f>$AE248*'Assumptions (NG Midstream)'!C$76</f>
        <v>0.12723363801779475</v>
      </c>
      <c r="AG385" s="147">
        <f>$AE248*'Assumptions (NG Midstream)'!D$76</f>
        <v>0.11768098088998689</v>
      </c>
      <c r="AH385" s="147">
        <f>$AE248*'Assumptions (NG Midstream)'!E$76</f>
        <v>0.10886856656544093</v>
      </c>
      <c r="AI385" s="147">
        <f>$AE248*'Assumptions (NG Midstream)'!F$76</f>
        <v>0.10069064607226227</v>
      </c>
      <c r="AJ385" s="147">
        <f>$AE248*'Assumptions (NG Midstream)'!G$76</f>
        <v>9.3147219410450927E-2</v>
      </c>
      <c r="AK385" s="147">
        <f>$AE248*'Assumptions (NG Midstream)'!H$76</f>
        <v>8.6150162436761421E-2</v>
      </c>
      <c r="AL385" s="147">
        <f>$AE248*'Assumptions (NG Midstream)'!I$76</f>
        <v>7.9699475151193772E-2</v>
      </c>
      <c r="AM385" s="147">
        <f>$AE248*'Assumptions (NG Midstream)'!J$76</f>
        <v>7.8641985432248249E-2</v>
      </c>
      <c r="AN385" s="147">
        <f>$AE248*'Assumptions (NG Midstream)'!K$76</f>
        <v>7.8624360603599161E-2</v>
      </c>
      <c r="AO385" s="147">
        <f>$AE248*'Assumptions (NG Midstream)'!L$76</f>
        <v>7.8641985432248249E-2</v>
      </c>
      <c r="AP385" s="147">
        <f>$AE248*'Assumptions (NG Midstream)'!M$76</f>
        <v>7.8624360603599161E-2</v>
      </c>
      <c r="AQ385" s="147">
        <f>$AE248*'Assumptions (NG Midstream)'!N$76</f>
        <v>7.8641985432248249E-2</v>
      </c>
      <c r="AR385" s="147">
        <f>$AE248*'Assumptions (NG Midstream)'!O$76</f>
        <v>7.8624360603599161E-2</v>
      </c>
      <c r="AS385" s="147">
        <f>$AE248*'Assumptions (NG Midstream)'!P$76</f>
        <v>7.8641985432248249E-2</v>
      </c>
      <c r="AT385" s="147">
        <f>$AE248*'Assumptions (NG Midstream)'!Q$76</f>
        <v>7.8624360603599161E-2</v>
      </c>
      <c r="AU385" s="147">
        <f>$AE248*'Assumptions (NG Midstream)'!R$76</f>
        <v>7.8641985432248249E-2</v>
      </c>
      <c r="AV385" s="147">
        <f>$AE248*'Assumptions (NG Midstream)'!S$76</f>
        <v>7.8624360603599161E-2</v>
      </c>
      <c r="AW385" s="147">
        <f>$AE248*'Assumptions (NG Midstream)'!T$76</f>
        <v>7.8641985432248249E-2</v>
      </c>
      <c r="AX385" s="147">
        <f>$AE248*'Assumptions (NG Midstream)'!U$76</f>
        <v>7.8624360603599161E-2</v>
      </c>
      <c r="AY385" s="147">
        <f>$AE248*'Assumptions (NG Midstream)'!V$76</f>
        <v>3.9320992716124124E-2</v>
      </c>
    </row>
    <row r="386" spans="1:66" ht="15.75" hidden="1" customHeight="1" outlineLevel="1">
      <c r="A386" s="378"/>
      <c r="B386" s="42"/>
      <c r="C386" s="42"/>
      <c r="D386" s="42"/>
      <c r="E386" s="42"/>
      <c r="F386" s="42"/>
      <c r="G386" s="42"/>
      <c r="H386" s="42"/>
      <c r="I386" s="42"/>
      <c r="J386" s="42"/>
      <c r="K386" s="42"/>
      <c r="L386" s="42"/>
      <c r="M386" s="42"/>
      <c r="N386" s="42"/>
      <c r="O386" s="42"/>
      <c r="P386" s="42"/>
      <c r="Q386" s="42"/>
      <c r="R386" s="42"/>
      <c r="S386" s="42"/>
      <c r="T386" s="42"/>
      <c r="U386" s="42"/>
      <c r="V386" s="42"/>
      <c r="W386" s="86"/>
      <c r="AF386" s="147">
        <f>$AF248*'Assumptions (NG Midstream)'!B$76</f>
        <v>5.8821836132188485E-2</v>
      </c>
      <c r="AG386" s="147">
        <f>$AF248*'Assumptions (NG Midstream)'!C$76</f>
        <v>0.11323595601020499</v>
      </c>
      <c r="AH386" s="147">
        <f>$AF248*'Assumptions (NG Midstream)'!D$76</f>
        <v>0.10473423996123267</v>
      </c>
      <c r="AI386" s="147">
        <f>$AF248*'Assumptions (NG Midstream)'!E$76</f>
        <v>9.6891328476940874E-2</v>
      </c>
      <c r="AJ386" s="147">
        <f>$AF248*'Assumptions (NG Midstream)'!F$76</f>
        <v>8.9613106619518088E-2</v>
      </c>
      <c r="AK386" s="147">
        <f>$AF248*'Assumptions (NG Midstream)'!G$76</f>
        <v>8.2899574388964309E-2</v>
      </c>
      <c r="AL386" s="147">
        <f>$AF248*'Assumptions (NG Midstream)'!H$76</f>
        <v>7.6672302670436621E-2</v>
      </c>
      <c r="AM386" s="147">
        <f>$AF248*'Assumptions (NG Midstream)'!I$76</f>
        <v>7.0931291463935023E-2</v>
      </c>
      <c r="AN386" s="147">
        <f>$AF248*'Assumptions (NG Midstream)'!J$76</f>
        <v>6.9990142085820009E-2</v>
      </c>
      <c r="AO386" s="147">
        <f>$AF248*'Assumptions (NG Midstream)'!K$76</f>
        <v>6.9974456262851412E-2</v>
      </c>
      <c r="AP386" s="147">
        <f>$AF248*'Assumptions (NG Midstream)'!L$76</f>
        <v>6.9990142085820009E-2</v>
      </c>
      <c r="AQ386" s="147">
        <f>$AF248*'Assumptions (NG Midstream)'!M$76</f>
        <v>6.9974456262851412E-2</v>
      </c>
      <c r="AR386" s="147">
        <f>$AF248*'Assumptions (NG Midstream)'!N$76</f>
        <v>6.9990142085820009E-2</v>
      </c>
      <c r="AS386" s="147">
        <f>$AF248*'Assumptions (NG Midstream)'!O$76</f>
        <v>6.9974456262851412E-2</v>
      </c>
      <c r="AT386" s="147">
        <f>$AF248*'Assumptions (NG Midstream)'!P$76</f>
        <v>6.9990142085820009E-2</v>
      </c>
      <c r="AU386" s="147">
        <f>$AF248*'Assumptions (NG Midstream)'!Q$76</f>
        <v>6.9974456262851412E-2</v>
      </c>
      <c r="AV386" s="147">
        <f>$AF248*'Assumptions (NG Midstream)'!R$76</f>
        <v>6.9990142085820009E-2</v>
      </c>
      <c r="AW386" s="147">
        <f>$AF248*'Assumptions (NG Midstream)'!S$76</f>
        <v>6.9974456262851412E-2</v>
      </c>
      <c r="AX386" s="147">
        <f>$AF248*'Assumptions (NG Midstream)'!T$76</f>
        <v>6.9990142085820009E-2</v>
      </c>
      <c r="AY386" s="147">
        <f>$AF248*'Assumptions (NG Midstream)'!U$76</f>
        <v>6.9974456262851412E-2</v>
      </c>
      <c r="AZ386" s="147">
        <f>$AF248*'Assumptions (NG Midstream)'!V$76</f>
        <v>3.4995071042910005E-2</v>
      </c>
    </row>
    <row r="387" spans="1:66" ht="15.75" hidden="1" customHeight="1" outlineLevel="1">
      <c r="A387" s="378"/>
      <c r="B387" s="42"/>
      <c r="C387" s="42"/>
      <c r="D387" s="42"/>
      <c r="E387" s="42"/>
      <c r="F387" s="42"/>
      <c r="G387" s="42"/>
      <c r="H387" s="42"/>
      <c r="I387" s="42"/>
      <c r="J387" s="42"/>
      <c r="K387" s="42"/>
      <c r="L387" s="42"/>
      <c r="M387" s="42"/>
      <c r="N387" s="42"/>
      <c r="O387" s="42"/>
      <c r="P387" s="42"/>
      <c r="Q387" s="42"/>
      <c r="R387" s="42"/>
      <c r="S387" s="42"/>
      <c r="T387" s="42"/>
      <c r="U387" s="42"/>
      <c r="V387" s="42"/>
      <c r="W387" s="86"/>
      <c r="AG387" s="147">
        <f>$AG248*'Assumptions (NG Midstream)'!B$76</f>
        <v>6.8741320084045016E-2</v>
      </c>
      <c r="AH387" s="147">
        <f>$AG248*'Assumptions (NG Midstream)'!C$76</f>
        <v>0.13233162391645895</v>
      </c>
      <c r="AI387" s="147">
        <f>$AG248*'Assumptions (NG Midstream)'!D$76</f>
        <v>0.12239621178697829</v>
      </c>
      <c r="AJ387" s="147">
        <f>$AG248*'Assumptions (NG Midstream)'!E$76</f>
        <v>0.11323070244243896</v>
      </c>
      <c r="AK387" s="147">
        <f>$AG248*'Assumptions (NG Midstream)'!F$76</f>
        <v>0.10472510977070645</v>
      </c>
      <c r="AL387" s="147">
        <f>$AG248*'Assumptions (NG Midstream)'!G$76</f>
        <v>9.6879433771780793E-2</v>
      </c>
      <c r="AM387" s="147">
        <f>$AG248*'Assumptions (NG Midstream)'!H$76</f>
        <v>8.9602019352216553E-2</v>
      </c>
      <c r="AN387" s="147">
        <f>$AG248*'Assumptions (NG Midstream)'!I$76</f>
        <v>8.289286651201376E-2</v>
      </c>
      <c r="AO387" s="147">
        <f>$AG248*'Assumptions (NG Midstream)'!J$76</f>
        <v>8.1793005390669041E-2</v>
      </c>
      <c r="AP387" s="147">
        <f>$AG248*'Assumptions (NG Midstream)'!K$76</f>
        <v>8.1774674371979952E-2</v>
      </c>
      <c r="AQ387" s="147">
        <f>$AG248*'Assumptions (NG Midstream)'!L$76</f>
        <v>8.1793005390669041E-2</v>
      </c>
      <c r="AR387" s="147">
        <f>$AG248*'Assumptions (NG Midstream)'!M$76</f>
        <v>8.1774674371979952E-2</v>
      </c>
      <c r="AS387" s="147">
        <f>$AG248*'Assumptions (NG Midstream)'!N$76</f>
        <v>8.1793005390669041E-2</v>
      </c>
      <c r="AT387" s="147">
        <f>$AG248*'Assumptions (NG Midstream)'!O$76</f>
        <v>8.1774674371979952E-2</v>
      </c>
      <c r="AU387" s="147">
        <f>$AG248*'Assumptions (NG Midstream)'!P$76</f>
        <v>8.1793005390669041E-2</v>
      </c>
      <c r="AV387" s="147">
        <f>$AG248*'Assumptions (NG Midstream)'!Q$76</f>
        <v>8.1774674371979952E-2</v>
      </c>
      <c r="AW387" s="147">
        <f>$AG248*'Assumptions (NG Midstream)'!R$76</f>
        <v>8.1793005390669041E-2</v>
      </c>
      <c r="AX387" s="147">
        <f>$AG248*'Assumptions (NG Midstream)'!S$76</f>
        <v>8.1774674371979952E-2</v>
      </c>
      <c r="AY387" s="147">
        <f>$AG248*'Assumptions (NG Midstream)'!T$76</f>
        <v>8.1793005390669041E-2</v>
      </c>
      <c r="AZ387" s="147">
        <f>$AG248*'Assumptions (NG Midstream)'!U$76</f>
        <v>8.1774674371979952E-2</v>
      </c>
      <c r="BA387" s="147">
        <f>$AG248*'Assumptions (NG Midstream)'!V$76</f>
        <v>4.089650269533452E-2</v>
      </c>
    </row>
    <row r="388" spans="1:66" ht="15.75" hidden="1" customHeight="1" outlineLevel="1">
      <c r="A388" s="378"/>
      <c r="B388" s="42"/>
      <c r="C388" s="42"/>
      <c r="D388" s="42"/>
      <c r="E388" s="42"/>
      <c r="F388" s="42"/>
      <c r="G388" s="42"/>
      <c r="H388" s="42"/>
      <c r="I388" s="42"/>
      <c r="J388" s="42"/>
      <c r="K388" s="42"/>
      <c r="L388" s="42"/>
      <c r="M388" s="42"/>
      <c r="N388" s="42"/>
      <c r="O388" s="42"/>
      <c r="P388" s="42"/>
      <c r="Q388" s="42"/>
      <c r="R388" s="42"/>
      <c r="S388" s="42"/>
      <c r="T388" s="42"/>
      <c r="U388" s="42"/>
      <c r="V388" s="42"/>
      <c r="W388" s="86"/>
      <c r="AH388" s="147">
        <f>$AH248*'Assumptions (NG Midstream)'!B$76</f>
        <v>7.234000713372031E-2</v>
      </c>
      <c r="AI388" s="147">
        <f>$AH248*'Assumptions (NG Midstream)'!C$76</f>
        <v>0.13925933639955387</v>
      </c>
      <c r="AJ388" s="147">
        <f>$AH248*'Assumptions (NG Midstream)'!D$76</f>
        <v>0.12880379403516015</v>
      </c>
      <c r="AK388" s="147">
        <f>$AH248*'Assumptions (NG Midstream)'!E$76</f>
        <v>0.11915845975066411</v>
      </c>
      <c r="AL388" s="147">
        <f>$AH248*'Assumptions (NG Midstream)'!F$76</f>
        <v>0.11020758953465178</v>
      </c>
      <c r="AM388" s="147">
        <f>$AH248*'Assumptions (NG Midstream)'!G$76</f>
        <v>0.10195118338712317</v>
      </c>
      <c r="AN388" s="147">
        <f>$AH248*'Assumptions (NG Midstream)'!H$76</f>
        <v>9.4292787965233313E-2</v>
      </c>
      <c r="AO388" s="147">
        <f>$AH248*'Assumptions (NG Midstream)'!I$76</f>
        <v>8.7232403268982212E-2</v>
      </c>
      <c r="AP388" s="147">
        <f>$AH248*'Assumptions (NG Midstream)'!J$76</f>
        <v>8.6074963154842685E-2</v>
      </c>
      <c r="AQ388" s="147">
        <f>$AH248*'Assumptions (NG Midstream)'!K$76</f>
        <v>8.6055672486273688E-2</v>
      </c>
      <c r="AR388" s="147">
        <f>$AH248*'Assumptions (NG Midstream)'!L$76</f>
        <v>8.6074963154842685E-2</v>
      </c>
      <c r="AS388" s="147">
        <f>$AH248*'Assumptions (NG Midstream)'!M$76</f>
        <v>8.6055672486273688E-2</v>
      </c>
      <c r="AT388" s="147">
        <f>$AH248*'Assumptions (NG Midstream)'!N$76</f>
        <v>8.6074963154842685E-2</v>
      </c>
      <c r="AU388" s="147">
        <f>$AH248*'Assumptions (NG Midstream)'!O$76</f>
        <v>8.6055672486273688E-2</v>
      </c>
      <c r="AV388" s="147">
        <f>$AH248*'Assumptions (NG Midstream)'!P$76</f>
        <v>8.6074963154842685E-2</v>
      </c>
      <c r="AW388" s="147">
        <f>$AH248*'Assumptions (NG Midstream)'!Q$76</f>
        <v>8.6055672486273688E-2</v>
      </c>
      <c r="AX388" s="147">
        <f>$AH248*'Assumptions (NG Midstream)'!R$76</f>
        <v>8.6074963154842685E-2</v>
      </c>
      <c r="AY388" s="147">
        <f>$AH248*'Assumptions (NG Midstream)'!S$76</f>
        <v>8.6055672486273688E-2</v>
      </c>
      <c r="AZ388" s="147">
        <f>$AH248*'Assumptions (NG Midstream)'!T$76</f>
        <v>8.6074963154842685E-2</v>
      </c>
      <c r="BA388" s="147">
        <f>$AH248*'Assumptions (NG Midstream)'!U$76</f>
        <v>8.6055672486273688E-2</v>
      </c>
      <c r="BB388" s="147">
        <f>$AH248*'Assumptions (NG Midstream)'!V$76</f>
        <v>4.3037481577421342E-2</v>
      </c>
    </row>
    <row r="389" spans="1:66" ht="15.75" hidden="1" customHeight="1" outlineLevel="1">
      <c r="A389" s="378"/>
      <c r="B389" s="42"/>
      <c r="C389" s="42"/>
      <c r="D389" s="42"/>
      <c r="E389" s="42"/>
      <c r="F389" s="42"/>
      <c r="G389" s="42"/>
      <c r="H389" s="42"/>
      <c r="I389" s="42"/>
      <c r="J389" s="42"/>
      <c r="K389" s="42"/>
      <c r="L389" s="42"/>
      <c r="M389" s="42"/>
      <c r="N389" s="42"/>
      <c r="O389" s="42"/>
      <c r="P389" s="42"/>
      <c r="Q389" s="42"/>
      <c r="R389" s="42"/>
      <c r="S389" s="42"/>
      <c r="T389" s="42"/>
      <c r="U389" s="42"/>
      <c r="V389" s="42"/>
      <c r="W389" s="86"/>
      <c r="AI389" s="147">
        <f>$AI248*'Assumptions (NG Midstream)'!B$76</f>
        <v>5.9960196645575947E-2</v>
      </c>
      <c r="AJ389" s="147">
        <f>$AI248*'Assumptions (NG Midstream)'!C$76</f>
        <v>0.11542737588917674</v>
      </c>
      <c r="AK389" s="147">
        <f>$AI248*'Assumptions (NG Midstream)'!D$76</f>
        <v>0.10676112880066949</v>
      </c>
      <c r="AL389" s="147">
        <f>$AI248*'Assumptions (NG Midstream)'!E$76</f>
        <v>9.8766435914592693E-2</v>
      </c>
      <c r="AM389" s="147">
        <f>$AI248*'Assumptions (NG Midstream)'!F$76</f>
        <v>9.134736091631343E-2</v>
      </c>
      <c r="AN389" s="147">
        <f>$AI248*'Assumptions (NG Midstream)'!G$76</f>
        <v>8.4503903805831698E-2</v>
      </c>
      <c r="AO389" s="147">
        <f>$AI248*'Assumptions (NG Midstream)'!H$76</f>
        <v>7.8156117654286733E-2</v>
      </c>
      <c r="AP389" s="147">
        <f>$AI248*'Assumptions (NG Midstream)'!I$76</f>
        <v>7.2304002461678521E-2</v>
      </c>
      <c r="AQ389" s="147">
        <f>$AI248*'Assumptions (NG Midstream)'!J$76</f>
        <v>7.1344639315349304E-2</v>
      </c>
      <c r="AR389" s="147">
        <f>$AI248*'Assumptions (NG Midstream)'!K$76</f>
        <v>7.1328649929577145E-2</v>
      </c>
      <c r="AS389" s="147">
        <f>$AI248*'Assumptions (NG Midstream)'!L$76</f>
        <v>7.1344639315349304E-2</v>
      </c>
      <c r="AT389" s="147">
        <f>$AI248*'Assumptions (NG Midstream)'!M$76</f>
        <v>7.1328649929577145E-2</v>
      </c>
      <c r="AU389" s="147">
        <f>$AI248*'Assumptions (NG Midstream)'!N$76</f>
        <v>7.1344639315349304E-2</v>
      </c>
      <c r="AV389" s="147">
        <f>$AI248*'Assumptions (NG Midstream)'!O$76</f>
        <v>7.1328649929577145E-2</v>
      </c>
      <c r="AW389" s="147">
        <f>$AI248*'Assumptions (NG Midstream)'!P$76</f>
        <v>7.1344639315349304E-2</v>
      </c>
      <c r="AX389" s="147">
        <f>$AI248*'Assumptions (NG Midstream)'!Q$76</f>
        <v>7.1328649929577145E-2</v>
      </c>
      <c r="AY389" s="147">
        <f>$AI248*'Assumptions (NG Midstream)'!R$76</f>
        <v>7.1344639315349304E-2</v>
      </c>
      <c r="AZ389" s="147">
        <f>$AI248*'Assumptions (NG Midstream)'!S$76</f>
        <v>7.1328649929577145E-2</v>
      </c>
      <c r="BA389" s="147">
        <f>$AI248*'Assumptions (NG Midstream)'!T$76</f>
        <v>7.1344639315349304E-2</v>
      </c>
      <c r="BB389" s="147">
        <f>$AI248*'Assumptions (NG Midstream)'!U$76</f>
        <v>7.1328649929577145E-2</v>
      </c>
      <c r="BC389" s="147">
        <f>$AI248*'Assumptions (NG Midstream)'!V$76</f>
        <v>3.5672319657674652E-2</v>
      </c>
    </row>
    <row r="390" spans="1:66" ht="15.75" hidden="1" customHeight="1" outlineLevel="1">
      <c r="A390" s="378"/>
      <c r="B390" s="42"/>
      <c r="C390" s="42"/>
      <c r="D390" s="42"/>
      <c r="E390" s="42"/>
      <c r="F390" s="42"/>
      <c r="G390" s="42"/>
      <c r="H390" s="42"/>
      <c r="I390" s="42"/>
      <c r="J390" s="42"/>
      <c r="K390" s="42"/>
      <c r="L390" s="42"/>
      <c r="M390" s="42"/>
      <c r="N390" s="42"/>
      <c r="O390" s="42"/>
      <c r="P390" s="42"/>
      <c r="Q390" s="42"/>
      <c r="R390" s="42"/>
      <c r="S390" s="42"/>
      <c r="T390" s="42"/>
      <c r="U390" s="42"/>
      <c r="V390" s="42"/>
      <c r="W390" s="86"/>
      <c r="AJ390" s="147">
        <f>$AJ248*'Assumptions (NG Midstream)'!B$76</f>
        <v>6.8922450860360973E-2</v>
      </c>
      <c r="AK390" s="147">
        <f>$AJ248*'Assumptions (NG Midstream)'!C$76</f>
        <v>0.13268031273625225</v>
      </c>
      <c r="AL390" s="147">
        <f>$AJ248*'Assumptions (NG Midstream)'!D$76</f>
        <v>0.1227187211719014</v>
      </c>
      <c r="AM390" s="147">
        <f>$AJ248*'Assumptions (NG Midstream)'!E$76</f>
        <v>0.1135290610571866</v>
      </c>
      <c r="AN390" s="147">
        <f>$AJ248*'Assumptions (NG Midstream)'!F$76</f>
        <v>0.10500105647073127</v>
      </c>
      <c r="AO390" s="147">
        <f>$AJ248*'Assumptions (NG Midstream)'!G$76</f>
        <v>9.7134707412535409E-2</v>
      </c>
      <c r="AP390" s="147">
        <f>$AJ248*'Assumptions (NG Midstream)'!H$76</f>
        <v>8.9838117281451857E-2</v>
      </c>
      <c r="AQ390" s="147">
        <f>$AJ248*'Assumptions (NG Midstream)'!I$76</f>
        <v>8.3111286077480626E-2</v>
      </c>
      <c r="AR390" s="147">
        <f>$AJ248*'Assumptions (NG Midstream)'!J$76</f>
        <v>8.2008526863714848E-2</v>
      </c>
      <c r="AS390" s="147">
        <f>$AJ248*'Assumptions (NG Midstream)'!K$76</f>
        <v>8.1990147543485409E-2</v>
      </c>
      <c r="AT390" s="147">
        <f>$AJ248*'Assumptions (NG Midstream)'!L$76</f>
        <v>8.2008526863714848E-2</v>
      </c>
      <c r="AU390" s="147">
        <f>$AJ248*'Assumptions (NG Midstream)'!M$76</f>
        <v>8.1990147543485409E-2</v>
      </c>
      <c r="AV390" s="147">
        <f>$AJ248*'Assumptions (NG Midstream)'!N$76</f>
        <v>8.2008526863714848E-2</v>
      </c>
      <c r="AW390" s="147">
        <f>$AJ248*'Assumptions (NG Midstream)'!O$76</f>
        <v>8.1990147543485409E-2</v>
      </c>
      <c r="AX390" s="147">
        <f>$AJ248*'Assumptions (NG Midstream)'!P$76</f>
        <v>8.2008526863714848E-2</v>
      </c>
      <c r="AY390" s="147">
        <f>$AJ248*'Assumptions (NG Midstream)'!Q$76</f>
        <v>8.1990147543485409E-2</v>
      </c>
      <c r="AZ390" s="147">
        <f>$AJ248*'Assumptions (NG Midstream)'!R$76</f>
        <v>8.2008526863714848E-2</v>
      </c>
      <c r="BA390" s="147">
        <f>$AJ248*'Assumptions (NG Midstream)'!S$76</f>
        <v>8.1990147543485409E-2</v>
      </c>
      <c r="BB390" s="147">
        <f>$AJ248*'Assumptions (NG Midstream)'!T$76</f>
        <v>8.2008526863714848E-2</v>
      </c>
      <c r="BC390" s="147">
        <f>$AJ248*'Assumptions (NG Midstream)'!U$76</f>
        <v>8.1990147543485409E-2</v>
      </c>
      <c r="BD390" s="147">
        <f>$AJ248*'Assumptions (NG Midstream)'!V$76</f>
        <v>4.1004263431857424E-2</v>
      </c>
    </row>
    <row r="391" spans="1:66" ht="15.75" hidden="1" customHeight="1" outlineLevel="1">
      <c r="A391" s="378"/>
      <c r="B391" s="42"/>
      <c r="C391" s="42"/>
      <c r="D391" s="42"/>
      <c r="E391" s="42"/>
      <c r="F391" s="42"/>
      <c r="G391" s="42"/>
      <c r="H391" s="42"/>
      <c r="I391" s="42"/>
      <c r="J391" s="42"/>
      <c r="K391" s="42"/>
      <c r="L391" s="42"/>
      <c r="M391" s="42"/>
      <c r="N391" s="42"/>
      <c r="O391" s="42"/>
      <c r="P391" s="42"/>
      <c r="Q391" s="42"/>
      <c r="R391" s="42"/>
      <c r="S391" s="42"/>
      <c r="T391" s="42"/>
      <c r="U391" s="42"/>
      <c r="V391" s="42"/>
      <c r="W391" s="86"/>
      <c r="AK391" s="147">
        <f>$AK248*'Assumptions (NG Midstream)'!B$76</f>
        <v>6.3812551651681204E-2</v>
      </c>
      <c r="AL391" s="147">
        <f>$AK248*'Assumptions (NG Midstream)'!C$76</f>
        <v>0.12284341609959644</v>
      </c>
      <c r="AM391" s="147">
        <f>$AK248*'Assumptions (NG Midstream)'!D$76</f>
        <v>0.11362037530087343</v>
      </c>
      <c r="AN391" s="147">
        <f>$AK248*'Assumptions (NG Midstream)'!E$76</f>
        <v>0.10511203508064929</v>
      </c>
      <c r="AO391" s="147">
        <f>$AK248*'Assumptions (NG Midstream)'!F$76</f>
        <v>9.7216295356281263E-2</v>
      </c>
      <c r="AP391" s="147">
        <f>$AK248*'Assumptions (NG Midstream)'!G$76</f>
        <v>8.9933156127769379E-2</v>
      </c>
      <c r="AQ391" s="147">
        <f>$AK248*'Assumptions (NG Midstream)'!H$76</f>
        <v>8.3177533992911404E-2</v>
      </c>
      <c r="AR391" s="147">
        <f>$AK248*'Assumptions (NG Midstream)'!I$76</f>
        <v>7.694942895170731E-2</v>
      </c>
      <c r="AS391" s="147">
        <f>$AK248*'Assumptions (NG Midstream)'!J$76</f>
        <v>7.5928428125280417E-2</v>
      </c>
      <c r="AT391" s="147">
        <f>$AK248*'Assumptions (NG Midstream)'!K$76</f>
        <v>7.5911411444839955E-2</v>
      </c>
      <c r="AU391" s="147">
        <f>$AK248*'Assumptions (NG Midstream)'!L$76</f>
        <v>7.5928428125280417E-2</v>
      </c>
      <c r="AV391" s="147">
        <f>$AK248*'Assumptions (NG Midstream)'!M$76</f>
        <v>7.5911411444839955E-2</v>
      </c>
      <c r="AW391" s="147">
        <f>$AK248*'Assumptions (NG Midstream)'!N$76</f>
        <v>7.5928428125280417E-2</v>
      </c>
      <c r="AX391" s="147">
        <f>$AK248*'Assumptions (NG Midstream)'!O$76</f>
        <v>7.5911411444839955E-2</v>
      </c>
      <c r="AY391" s="147">
        <f>$AK248*'Assumptions (NG Midstream)'!P$76</f>
        <v>7.5928428125280417E-2</v>
      </c>
      <c r="AZ391" s="147">
        <f>$AK248*'Assumptions (NG Midstream)'!Q$76</f>
        <v>7.5911411444839955E-2</v>
      </c>
      <c r="BA391" s="147">
        <f>$AK248*'Assumptions (NG Midstream)'!R$76</f>
        <v>7.5928428125280417E-2</v>
      </c>
      <c r="BB391" s="147">
        <f>$AK248*'Assumptions (NG Midstream)'!S$76</f>
        <v>7.5911411444839955E-2</v>
      </c>
      <c r="BC391" s="147">
        <f>$AK248*'Assumptions (NG Midstream)'!T$76</f>
        <v>7.5928428125280417E-2</v>
      </c>
      <c r="BD391" s="147">
        <f>$AK248*'Assumptions (NG Midstream)'!U$76</f>
        <v>7.5911411444839955E-2</v>
      </c>
      <c r="BE391" s="147">
        <f>$AK248*'Assumptions (NG Midstream)'!V$76</f>
        <v>3.7964214062640209E-2</v>
      </c>
    </row>
    <row r="392" spans="1:66" ht="15.75" hidden="1" customHeight="1" outlineLevel="1">
      <c r="A392" s="378"/>
      <c r="B392" s="42"/>
      <c r="C392" s="42"/>
      <c r="D392" s="42"/>
      <c r="E392" s="42"/>
      <c r="F392" s="42"/>
      <c r="G392" s="42"/>
      <c r="H392" s="42"/>
      <c r="I392" s="42"/>
      <c r="J392" s="42"/>
      <c r="K392" s="42"/>
      <c r="L392" s="42"/>
      <c r="M392" s="42"/>
      <c r="N392" s="42"/>
      <c r="O392" s="42"/>
      <c r="P392" s="42"/>
      <c r="Q392" s="42"/>
      <c r="R392" s="42"/>
      <c r="S392" s="42"/>
      <c r="T392" s="42"/>
      <c r="U392" s="42"/>
      <c r="V392" s="42"/>
      <c r="W392" s="86"/>
      <c r="AL392" s="147">
        <f>$AL248*'Assumptions (NG Midstream)'!B$76</f>
        <v>6.4716938213218472E-2</v>
      </c>
      <c r="AM392" s="147">
        <f>$AL248*'Assumptions (NG Midstream)'!C$76</f>
        <v>0.12458442052299314</v>
      </c>
      <c r="AN392" s="147">
        <f>$AL248*'Assumptions (NG Midstream)'!D$76</f>
        <v>0.11523066571990927</v>
      </c>
      <c r="AO392" s="147">
        <f>$AL248*'Assumptions (NG Midstream)'!E$76</f>
        <v>0.10660174062481348</v>
      </c>
      <c r="AP392" s="147">
        <f>$AL248*'Assumptions (NG Midstream)'!F$76</f>
        <v>9.8594098136564584E-2</v>
      </c>
      <c r="AQ392" s="147">
        <f>$AL248*'Assumptions (NG Midstream)'!G$76</f>
        <v>9.1207738255162582E-2</v>
      </c>
      <c r="AR392" s="147">
        <f>$AL248*'Assumptions (NG Midstream)'!H$76</f>
        <v>8.4356371729656515E-2</v>
      </c>
      <c r="AS392" s="147">
        <f>$AL248*'Assumptions (NG Midstream)'!I$76</f>
        <v>7.8039998560046397E-2</v>
      </c>
      <c r="AT392" s="147">
        <f>$AL248*'Assumptions (NG Midstream)'!J$76</f>
        <v>7.7004527548634891E-2</v>
      </c>
      <c r="AU392" s="147">
        <f>$AL248*'Assumptions (NG Midstream)'!K$76</f>
        <v>7.6987269698444702E-2</v>
      </c>
      <c r="AV392" s="147">
        <f>$AL248*'Assumptions (NG Midstream)'!L$76</f>
        <v>7.7004527548634891E-2</v>
      </c>
      <c r="AW392" s="147">
        <f>$AL248*'Assumptions (NG Midstream)'!M$76</f>
        <v>7.6987269698444702E-2</v>
      </c>
      <c r="AX392" s="147">
        <f>$AL248*'Assumptions (NG Midstream)'!N$76</f>
        <v>7.7004527548634891E-2</v>
      </c>
      <c r="AY392" s="147">
        <f>$AL248*'Assumptions (NG Midstream)'!O$76</f>
        <v>7.6987269698444702E-2</v>
      </c>
      <c r="AZ392" s="147">
        <f>$AL248*'Assumptions (NG Midstream)'!P$76</f>
        <v>7.7004527548634891E-2</v>
      </c>
      <c r="BA392" s="147">
        <f>$AL248*'Assumptions (NG Midstream)'!Q$76</f>
        <v>7.6987269698444702E-2</v>
      </c>
      <c r="BB392" s="147">
        <f>$AL248*'Assumptions (NG Midstream)'!R$76</f>
        <v>7.7004527548634891E-2</v>
      </c>
      <c r="BC392" s="147">
        <f>$AL248*'Assumptions (NG Midstream)'!S$76</f>
        <v>7.6987269698444702E-2</v>
      </c>
      <c r="BD392" s="147">
        <f>$AL248*'Assumptions (NG Midstream)'!T$76</f>
        <v>7.7004527548634891E-2</v>
      </c>
      <c r="BE392" s="147">
        <f>$AL248*'Assumptions (NG Midstream)'!U$76</f>
        <v>7.6987269698444702E-2</v>
      </c>
      <c r="BF392" s="147">
        <f>$AL248*'Assumptions (NG Midstream)'!V$76</f>
        <v>3.8502263774317445E-2</v>
      </c>
    </row>
    <row r="393" spans="1:66" ht="15.75" hidden="1" customHeight="1" outlineLevel="1">
      <c r="A393" s="378"/>
      <c r="B393" s="42"/>
      <c r="C393" s="42"/>
      <c r="D393" s="42"/>
      <c r="E393" s="42"/>
      <c r="F393" s="42"/>
      <c r="G393" s="42"/>
      <c r="H393" s="42"/>
      <c r="I393" s="42"/>
      <c r="J393" s="42"/>
      <c r="K393" s="42"/>
      <c r="L393" s="42"/>
      <c r="M393" s="42"/>
      <c r="N393" s="42"/>
      <c r="O393" s="42"/>
      <c r="P393" s="42"/>
      <c r="Q393" s="42"/>
      <c r="R393" s="42"/>
      <c r="S393" s="42"/>
      <c r="T393" s="42"/>
      <c r="U393" s="42"/>
      <c r="V393" s="42"/>
      <c r="W393" s="86"/>
      <c r="AM393" s="147">
        <f>$AM248*'Assumptions (NG Midstream)'!B$76</f>
        <v>5.9838854296233521E-2</v>
      </c>
      <c r="AN393" s="147">
        <f>$AM248*'Assumptions (NG Midstream)'!C$76</f>
        <v>0.11519378377720262</v>
      </c>
      <c r="AO393" s="147">
        <f>$AM248*'Assumptions (NG Midstream)'!D$76</f>
        <v>0.10654507470292032</v>
      </c>
      <c r="AP393" s="147">
        <f>$AM248*'Assumptions (NG Midstream)'!E$76</f>
        <v>9.8566560796755853E-2</v>
      </c>
      <c r="AQ393" s="147">
        <f>$AM248*'Assumptions (NG Midstream)'!F$76</f>
        <v>9.1162499891835225E-2</v>
      </c>
      <c r="AR393" s="147">
        <f>$AM248*'Assumptions (NG Midstream)'!G$76</f>
        <v>8.4332891988158437E-2</v>
      </c>
      <c r="AS393" s="147">
        <f>$AM248*'Assumptions (NG Midstream)'!H$76</f>
        <v>7.7997951946663854E-2</v>
      </c>
      <c r="AT393" s="147">
        <f>$AM248*'Assumptions (NG Midstream)'!I$76</f>
        <v>7.2157679767351462E-2</v>
      </c>
      <c r="AU393" s="147">
        <f>$AM248*'Assumptions (NG Midstream)'!J$76</f>
        <v>7.1200258098611718E-2</v>
      </c>
      <c r="AV393" s="147">
        <f>$AM248*'Assumptions (NG Midstream)'!K$76</f>
        <v>7.1184301070799386E-2</v>
      </c>
      <c r="AW393" s="147">
        <f>$AM248*'Assumptions (NG Midstream)'!L$76</f>
        <v>7.1200258098611718E-2</v>
      </c>
      <c r="AX393" s="147">
        <f>$AM248*'Assumptions (NG Midstream)'!M$76</f>
        <v>7.1184301070799386E-2</v>
      </c>
      <c r="AY393" s="147">
        <f>$AM248*'Assumptions (NG Midstream)'!N$76</f>
        <v>7.1200258098611718E-2</v>
      </c>
      <c r="AZ393" s="147">
        <f>$AM248*'Assumptions (NG Midstream)'!O$76</f>
        <v>7.1184301070799386E-2</v>
      </c>
      <c r="BA393" s="147">
        <f>$AM248*'Assumptions (NG Midstream)'!P$76</f>
        <v>7.1200258098611718E-2</v>
      </c>
      <c r="BB393" s="147">
        <f>$AM248*'Assumptions (NG Midstream)'!Q$76</f>
        <v>7.1184301070799386E-2</v>
      </c>
      <c r="BC393" s="147">
        <f>$AM248*'Assumptions (NG Midstream)'!R$76</f>
        <v>7.1200258098611718E-2</v>
      </c>
      <c r="BD393" s="147">
        <f>$AM248*'Assumptions (NG Midstream)'!S$76</f>
        <v>7.1184301070799386E-2</v>
      </c>
      <c r="BE393" s="147">
        <f>$AM248*'Assumptions (NG Midstream)'!T$76</f>
        <v>7.1200258098611718E-2</v>
      </c>
      <c r="BF393" s="147">
        <f>$AM248*'Assumptions (NG Midstream)'!U$76</f>
        <v>7.1184301070799386E-2</v>
      </c>
      <c r="BG393" s="147">
        <f>$AM248*'Assumptions (NG Midstream)'!V$76</f>
        <v>3.5600129049305859E-2</v>
      </c>
    </row>
    <row r="394" spans="1:66" ht="15.75" hidden="1" customHeight="1" outlineLevel="1">
      <c r="A394" s="378"/>
      <c r="B394" s="42"/>
      <c r="C394" s="42"/>
      <c r="D394" s="42"/>
      <c r="E394" s="42"/>
      <c r="F394" s="42"/>
      <c r="G394" s="42"/>
      <c r="H394" s="42"/>
      <c r="I394" s="42"/>
      <c r="J394" s="42"/>
      <c r="K394" s="42"/>
      <c r="L394" s="42"/>
      <c r="M394" s="42"/>
      <c r="N394" s="42"/>
      <c r="O394" s="42"/>
      <c r="P394" s="42"/>
      <c r="Q394" s="42"/>
      <c r="R394" s="42"/>
      <c r="S394" s="42"/>
      <c r="T394" s="42"/>
      <c r="U394" s="42"/>
      <c r="V394" s="42"/>
      <c r="W394" s="86"/>
      <c r="AN394" s="147">
        <f>$AN248*'Assumptions (NG Midstream)'!B$76</f>
        <v>6.2767596226930455E-2</v>
      </c>
      <c r="AO394" s="147">
        <f>$AN248*'Assumptions (NG Midstream)'!C$76</f>
        <v>0.12083180724325626</v>
      </c>
      <c r="AP394" s="147">
        <f>$AN248*'Assumptions (NG Midstream)'!D$76</f>
        <v>0.11175979733525723</v>
      </c>
      <c r="AQ394" s="147">
        <f>$AN248*'Assumptions (NG Midstream)'!E$76</f>
        <v>0.10339078450499985</v>
      </c>
      <c r="AR394" s="147">
        <f>$AN248*'Assumptions (NG Midstream)'!F$76</f>
        <v>9.5624340598520985E-2</v>
      </c>
      <c r="AS394" s="147">
        <f>$AN248*'Assumptions (NG Midstream)'!G$76</f>
        <v>8.846046561582066E-2</v>
      </c>
      <c r="AT394" s="147">
        <f>$AN248*'Assumptions (NG Midstream)'!H$76</f>
        <v>8.1815469428596285E-2</v>
      </c>
      <c r="AU394" s="147">
        <f>$AN248*'Assumptions (NG Midstream)'!I$76</f>
        <v>7.5689352036847873E-2</v>
      </c>
      <c r="AV394" s="147">
        <f>$AN248*'Assumptions (NG Midstream)'!J$76</f>
        <v>7.4685070497216982E-2</v>
      </c>
      <c r="AW394" s="147">
        <f>$AN248*'Assumptions (NG Midstream)'!K$76</f>
        <v>7.4668332471556464E-2</v>
      </c>
      <c r="AX394" s="147">
        <f>$AN248*'Assumptions (NG Midstream)'!L$76</f>
        <v>7.4685070497216982E-2</v>
      </c>
      <c r="AY394" s="147">
        <f>$AN248*'Assumptions (NG Midstream)'!M$76</f>
        <v>7.4668332471556464E-2</v>
      </c>
      <c r="AZ394" s="147">
        <f>$AN248*'Assumptions (NG Midstream)'!N$76</f>
        <v>7.4685070497216982E-2</v>
      </c>
      <c r="BA394" s="147">
        <f>$AN248*'Assumptions (NG Midstream)'!O$76</f>
        <v>7.4668332471556464E-2</v>
      </c>
      <c r="BB394" s="147">
        <f>$AN248*'Assumptions (NG Midstream)'!P$76</f>
        <v>7.4685070497216982E-2</v>
      </c>
      <c r="BC394" s="147">
        <f>$AN248*'Assumptions (NG Midstream)'!Q$76</f>
        <v>7.4668332471556464E-2</v>
      </c>
      <c r="BD394" s="147">
        <f>$AN248*'Assumptions (NG Midstream)'!R$76</f>
        <v>7.4685070497216982E-2</v>
      </c>
      <c r="BE394" s="147">
        <f>$AN248*'Assumptions (NG Midstream)'!S$76</f>
        <v>7.4668332471556464E-2</v>
      </c>
      <c r="BF394" s="147">
        <f>$AN248*'Assumptions (NG Midstream)'!T$76</f>
        <v>7.4685070497216982E-2</v>
      </c>
      <c r="BG394" s="147">
        <f>$AN248*'Assumptions (NG Midstream)'!U$76</f>
        <v>7.4668332471556464E-2</v>
      </c>
      <c r="BH394" s="147">
        <f>$AN248*'Assumptions (NG Midstream)'!V$76</f>
        <v>3.7342535248608491E-2</v>
      </c>
    </row>
    <row r="395" spans="1:66" ht="15.75" hidden="1" customHeight="1" outlineLevel="1">
      <c r="A395" s="378"/>
      <c r="B395" s="42"/>
      <c r="C395" s="42"/>
      <c r="D395" s="42"/>
      <c r="E395" s="42"/>
      <c r="F395" s="42"/>
      <c r="G395" s="42"/>
      <c r="H395" s="42"/>
      <c r="I395" s="42"/>
      <c r="J395" s="42"/>
      <c r="K395" s="42"/>
      <c r="L395" s="42"/>
      <c r="M395" s="42"/>
      <c r="N395" s="42"/>
      <c r="O395" s="42"/>
      <c r="P395" s="42"/>
      <c r="Q395" s="42"/>
      <c r="R395" s="42"/>
      <c r="S395" s="42"/>
      <c r="T395" s="42"/>
      <c r="U395" s="42"/>
      <c r="V395" s="42"/>
      <c r="W395" s="86"/>
      <c r="AO395" s="147">
        <f>$AO248*'Assumptions (NG Midstream)'!B$76</f>
        <v>5.9674870045335712E-2</v>
      </c>
      <c r="AP395" s="147">
        <f>$AO248*'Assumptions (NG Midstream)'!C$76</f>
        <v>0.11487810316194096</v>
      </c>
      <c r="AQ395" s="147">
        <f>$AO248*'Assumptions (NG Midstream)'!D$76</f>
        <v>0.10625309527805508</v>
      </c>
      <c r="AR395" s="147">
        <f>$AO248*'Assumptions (NG Midstream)'!E$76</f>
        <v>9.8296445938676993E-2</v>
      </c>
      <c r="AS395" s="147">
        <f>$AO248*'Assumptions (NG Midstream)'!F$76</f>
        <v>9.0912675351734126E-2</v>
      </c>
      <c r="AT395" s="147">
        <f>$AO248*'Assumptions (NG Midstream)'!G$76</f>
        <v>8.4101783517226469E-2</v>
      </c>
      <c r="AU395" s="147">
        <f>$AO248*'Assumptions (NG Midstream)'!H$76</f>
        <v>7.7784203941760263E-2</v>
      </c>
      <c r="AV395" s="147">
        <f>$AO248*'Assumptions (NG Midstream)'!I$76</f>
        <v>7.1959936625335508E-2</v>
      </c>
      <c r="AW395" s="147">
        <f>$AO248*'Assumptions (NG Midstream)'!J$76</f>
        <v>7.100513870461013E-2</v>
      </c>
      <c r="AX395" s="147">
        <f>$AO248*'Assumptions (NG Midstream)'!K$76</f>
        <v>7.0989225405931361E-2</v>
      </c>
      <c r="AY395" s="147">
        <f>$AO248*'Assumptions (NG Midstream)'!L$76</f>
        <v>7.100513870461013E-2</v>
      </c>
      <c r="AZ395" s="147">
        <f>$AO248*'Assumptions (NG Midstream)'!M$76</f>
        <v>7.0989225405931361E-2</v>
      </c>
      <c r="BA395" s="147">
        <f>$AO248*'Assumptions (NG Midstream)'!N$76</f>
        <v>7.100513870461013E-2</v>
      </c>
      <c r="BB395" s="147">
        <f>$AO248*'Assumptions (NG Midstream)'!O$76</f>
        <v>7.0989225405931361E-2</v>
      </c>
      <c r="BC395" s="147">
        <f>$AO248*'Assumptions (NG Midstream)'!P$76</f>
        <v>7.100513870461013E-2</v>
      </c>
      <c r="BD395" s="147">
        <f>$AO248*'Assumptions (NG Midstream)'!Q$76</f>
        <v>7.0989225405931361E-2</v>
      </c>
      <c r="BE395" s="147">
        <f>$AO248*'Assumptions (NG Midstream)'!R$76</f>
        <v>7.100513870461013E-2</v>
      </c>
      <c r="BF395" s="147">
        <f>$AO248*'Assumptions (NG Midstream)'!S$76</f>
        <v>7.0989225405931361E-2</v>
      </c>
      <c r="BG395" s="147">
        <f>$AO248*'Assumptions (NG Midstream)'!T$76</f>
        <v>7.100513870461013E-2</v>
      </c>
      <c r="BH395" s="147">
        <f>$AO248*'Assumptions (NG Midstream)'!U$76</f>
        <v>7.0989225405931361E-2</v>
      </c>
      <c r="BI395" s="147">
        <f>$AO248*'Assumptions (NG Midstream)'!V$76</f>
        <v>3.5502569352305065E-2</v>
      </c>
    </row>
    <row r="396" spans="1:66" ht="15.75" hidden="1" customHeight="1" outlineLevel="1">
      <c r="A396" s="378"/>
      <c r="B396" s="42"/>
      <c r="C396" s="42"/>
      <c r="D396" s="42"/>
      <c r="E396" s="42"/>
      <c r="F396" s="42"/>
      <c r="G396" s="42"/>
      <c r="H396" s="42"/>
      <c r="I396" s="42"/>
      <c r="J396" s="42"/>
      <c r="K396" s="42"/>
      <c r="L396" s="42"/>
      <c r="M396" s="42"/>
      <c r="N396" s="42"/>
      <c r="O396" s="42"/>
      <c r="P396" s="42"/>
      <c r="Q396" s="42"/>
      <c r="R396" s="42"/>
      <c r="S396" s="42"/>
      <c r="T396" s="42"/>
      <c r="U396" s="42"/>
      <c r="V396" s="42"/>
      <c r="W396" s="86"/>
      <c r="AP396" s="147">
        <f>$AP248*'Assumptions (NG Midstream)'!B$76</f>
        <v>6.2045998238714865E-2</v>
      </c>
      <c r="AQ396" s="147">
        <f>$AP248*'Assumptions (NG Midstream)'!C$76</f>
        <v>0.1194426830094087</v>
      </c>
      <c r="AR396" s="147">
        <f>$AP248*'Assumptions (NG Midstream)'!D$76</f>
        <v>0.1104749680639731</v>
      </c>
      <c r="AS396" s="147">
        <f>$AP248*'Assumptions (NG Midstream)'!E$76</f>
        <v>0.10220216829881112</v>
      </c>
      <c r="AT396" s="147">
        <f>$AP248*'Assumptions (NG Midstream)'!F$76</f>
        <v>9.4525010116740804E-2</v>
      </c>
      <c r="AU396" s="147">
        <f>$AP248*'Assumptions (NG Midstream)'!G$76</f>
        <v>8.744349351776215E-2</v>
      </c>
      <c r="AV396" s="147">
        <f>$AP248*'Assumptions (NG Midstream)'!H$76</f>
        <v>8.0874890504223543E-2</v>
      </c>
      <c r="AW396" s="147">
        <f>$AP248*'Assumptions (NG Midstream)'!I$76</f>
        <v>7.4819201076124969E-2</v>
      </c>
      <c r="AX396" s="147">
        <f>$AP248*'Assumptions (NG Midstream)'!J$76</f>
        <v>7.382646510430553E-2</v>
      </c>
      <c r="AY396" s="147">
        <f>$AP248*'Assumptions (NG Midstream)'!K$76</f>
        <v>7.3809919504775195E-2</v>
      </c>
      <c r="AZ396" s="147">
        <f>$AP248*'Assumptions (NG Midstream)'!L$76</f>
        <v>7.382646510430553E-2</v>
      </c>
      <c r="BA396" s="147">
        <f>$AP248*'Assumptions (NG Midstream)'!M$76</f>
        <v>7.3809919504775195E-2</v>
      </c>
      <c r="BB396" s="147">
        <f>$AP248*'Assumptions (NG Midstream)'!N$76</f>
        <v>7.382646510430553E-2</v>
      </c>
      <c r="BC396" s="147">
        <f>$AP248*'Assumptions (NG Midstream)'!O$76</f>
        <v>7.3809919504775195E-2</v>
      </c>
      <c r="BD396" s="147">
        <f>$AP248*'Assumptions (NG Midstream)'!P$76</f>
        <v>7.382646510430553E-2</v>
      </c>
      <c r="BE396" s="147">
        <f>$AP248*'Assumptions (NG Midstream)'!Q$76</f>
        <v>7.3809919504775195E-2</v>
      </c>
      <c r="BF396" s="147">
        <f>$AP248*'Assumptions (NG Midstream)'!R$76</f>
        <v>7.382646510430553E-2</v>
      </c>
      <c r="BG396" s="147">
        <f>$AP248*'Assumptions (NG Midstream)'!S$76</f>
        <v>7.3809919504775195E-2</v>
      </c>
      <c r="BH396" s="147">
        <f>$AP248*'Assumptions (NG Midstream)'!T$76</f>
        <v>7.382646510430553E-2</v>
      </c>
      <c r="BI396" s="147">
        <f>$AP248*'Assumptions (NG Midstream)'!U$76</f>
        <v>7.3809919504775195E-2</v>
      </c>
      <c r="BJ396" s="147">
        <f>$AP248*'Assumptions (NG Midstream)'!V$76</f>
        <v>3.6913232552152765E-2</v>
      </c>
    </row>
    <row r="397" spans="1:66" ht="15.75" hidden="1" customHeight="1" outlineLevel="1">
      <c r="A397" s="378"/>
      <c r="B397" s="42"/>
      <c r="C397" s="42"/>
      <c r="D397" s="42"/>
      <c r="E397" s="42"/>
      <c r="F397" s="42"/>
      <c r="G397" s="42"/>
      <c r="H397" s="42"/>
      <c r="I397" s="42"/>
      <c r="J397" s="42"/>
      <c r="K397" s="42"/>
      <c r="L397" s="42"/>
      <c r="M397" s="42"/>
      <c r="N397" s="42"/>
      <c r="O397" s="42"/>
      <c r="P397" s="42"/>
      <c r="Q397" s="42"/>
      <c r="R397" s="42"/>
      <c r="S397" s="42"/>
      <c r="T397" s="42"/>
      <c r="U397" s="42"/>
      <c r="V397" s="42"/>
      <c r="W397" s="86"/>
      <c r="AQ397" s="147">
        <f>$AQ248*'Assumptions (NG Midstream)'!B$76</f>
        <v>5.8632918997585548E-2</v>
      </c>
      <c r="AR397" s="147">
        <f>$AQ248*'Assumptions (NG Midstream)'!C$76</f>
        <v>0.11287227793161869</v>
      </c>
      <c r="AS397" s="147">
        <f>$AQ248*'Assumptions (NG Midstream)'!D$76</f>
        <v>0.10439786670583431</v>
      </c>
      <c r="AT397" s="147">
        <f>$AQ248*'Assumptions (NG Midstream)'!E$76</f>
        <v>9.6580144172822915E-2</v>
      </c>
      <c r="AU397" s="147">
        <f>$AQ248*'Assumptions (NG Midstream)'!F$76</f>
        <v>8.932529766218833E-2</v>
      </c>
      <c r="AV397" s="147">
        <f>$AQ248*'Assumptions (NG Midstream)'!G$76</f>
        <v>8.2633327173930571E-2</v>
      </c>
      <c r="AW397" s="147">
        <f>$AQ248*'Assumptions (NG Midstream)'!H$76</f>
        <v>7.642605548271951E-2</v>
      </c>
      <c r="AX397" s="147">
        <f>$AQ248*'Assumptions (NG Midstream)'!I$76</f>
        <v>7.0703482588555161E-2</v>
      </c>
      <c r="AY397" s="147">
        <f>$AQ248*'Assumptions (NG Midstream)'!J$76</f>
        <v>6.9765355884593788E-2</v>
      </c>
      <c r="AZ397" s="147">
        <f>$AQ248*'Assumptions (NG Midstream)'!K$76</f>
        <v>6.9749720439527763E-2</v>
      </c>
      <c r="BA397" s="147">
        <f>$AQ248*'Assumptions (NG Midstream)'!L$76</f>
        <v>6.9765355884593788E-2</v>
      </c>
      <c r="BB397" s="147">
        <f>$AQ248*'Assumptions (NG Midstream)'!M$76</f>
        <v>6.9749720439527763E-2</v>
      </c>
      <c r="BC397" s="147">
        <f>$AQ248*'Assumptions (NG Midstream)'!N$76</f>
        <v>6.9765355884593788E-2</v>
      </c>
      <c r="BD397" s="147">
        <f>$AQ248*'Assumptions (NG Midstream)'!O$76</f>
        <v>6.9749720439527763E-2</v>
      </c>
      <c r="BE397" s="147">
        <f>$AQ248*'Assumptions (NG Midstream)'!P$76</f>
        <v>6.9765355884593788E-2</v>
      </c>
      <c r="BF397" s="147">
        <f>$AQ248*'Assumptions (NG Midstream)'!Q$76</f>
        <v>6.9749720439527763E-2</v>
      </c>
      <c r="BG397" s="147">
        <f>$AQ248*'Assumptions (NG Midstream)'!R$76</f>
        <v>6.9765355884593788E-2</v>
      </c>
      <c r="BH397" s="147">
        <f>$AQ248*'Assumptions (NG Midstream)'!S$76</f>
        <v>6.9749720439527763E-2</v>
      </c>
      <c r="BI397" s="147">
        <f>$AQ248*'Assumptions (NG Midstream)'!T$76</f>
        <v>6.9765355884593788E-2</v>
      </c>
      <c r="BJ397" s="147">
        <f>$AQ248*'Assumptions (NG Midstream)'!U$76</f>
        <v>6.9749720439527763E-2</v>
      </c>
      <c r="BK397" s="147">
        <f>$AQ248*'Assumptions (NG Midstream)'!V$76</f>
        <v>3.4882677942296894E-2</v>
      </c>
    </row>
    <row r="398" spans="1:66" ht="15.75" hidden="1" customHeight="1" outlineLevel="1">
      <c r="A398" s="378"/>
      <c r="B398" s="42"/>
      <c r="C398" s="42"/>
      <c r="D398" s="42"/>
      <c r="E398" s="42"/>
      <c r="F398" s="42"/>
      <c r="G398" s="42"/>
      <c r="H398" s="42"/>
      <c r="I398" s="42"/>
      <c r="J398" s="42"/>
      <c r="K398" s="42"/>
      <c r="L398" s="42"/>
      <c r="M398" s="42"/>
      <c r="N398" s="42"/>
      <c r="O398" s="42"/>
      <c r="P398" s="42"/>
      <c r="Q398" s="42"/>
      <c r="R398" s="42"/>
      <c r="S398" s="42"/>
      <c r="T398" s="42"/>
      <c r="U398" s="42"/>
      <c r="V398" s="42"/>
      <c r="W398" s="86"/>
      <c r="AR398" s="147">
        <f>$AR248*'Assumptions (NG Midstream)'!B$76</f>
        <v>6.2678770267873066E-2</v>
      </c>
      <c r="AS398" s="147">
        <f>$AR248*'Assumptions (NG Midstream)'!C$76</f>
        <v>0.12066081135034019</v>
      </c>
      <c r="AT398" s="147">
        <f>$AR248*'Assumptions (NG Midstream)'!D$76</f>
        <v>0.11160163975429026</v>
      </c>
      <c r="AU398" s="147">
        <f>$AR248*'Assumptions (NG Midstream)'!E$76</f>
        <v>0.10324447038524052</v>
      </c>
      <c r="AV398" s="147">
        <f>$AR248*'Assumptions (NG Midstream)'!F$76</f>
        <v>9.5489017210762361E-2</v>
      </c>
      <c r="AW398" s="147">
        <f>$AR248*'Assumptions (NG Midstream)'!G$76</f>
        <v>8.8335280230855781E-2</v>
      </c>
      <c r="AX398" s="147">
        <f>$AR248*'Assumptions (NG Midstream)'!H$76</f>
        <v>8.1699687751830286E-2</v>
      </c>
      <c r="AY398" s="147">
        <f>$AR248*'Assumptions (NG Midstream)'!I$76</f>
        <v>7.5582239773685875E-2</v>
      </c>
      <c r="AZ398" s="147">
        <f>$AR248*'Assumptions (NG Midstream)'!J$76</f>
        <v>7.4579379449399907E-2</v>
      </c>
      <c r="BA398" s="147">
        <f>$AR248*'Assumptions (NG Midstream)'!K$76</f>
        <v>7.4562665110661799E-2</v>
      </c>
      <c r="BB398" s="147">
        <f>$AR248*'Assumptions (NG Midstream)'!L$76</f>
        <v>7.4579379449399907E-2</v>
      </c>
      <c r="BC398" s="147">
        <f>$AR248*'Assumptions (NG Midstream)'!M$76</f>
        <v>7.4562665110661799E-2</v>
      </c>
      <c r="BD398" s="147">
        <f>$AR248*'Assumptions (NG Midstream)'!N$76</f>
        <v>7.4579379449399907E-2</v>
      </c>
      <c r="BE398" s="147">
        <f>$AR248*'Assumptions (NG Midstream)'!O$76</f>
        <v>7.4562665110661799E-2</v>
      </c>
      <c r="BF398" s="147">
        <f>$AR248*'Assumptions (NG Midstream)'!P$76</f>
        <v>7.4579379449399907E-2</v>
      </c>
      <c r="BG398" s="147">
        <f>$AR248*'Assumptions (NG Midstream)'!Q$76</f>
        <v>7.4562665110661799E-2</v>
      </c>
      <c r="BH398" s="147">
        <f>$AR248*'Assumptions (NG Midstream)'!R$76</f>
        <v>7.4579379449399907E-2</v>
      </c>
      <c r="BI398" s="147">
        <f>$AR248*'Assumptions (NG Midstream)'!S$76</f>
        <v>7.4562665110661799E-2</v>
      </c>
      <c r="BJ398" s="147">
        <f>$AR248*'Assumptions (NG Midstream)'!T$76</f>
        <v>7.4579379449399907E-2</v>
      </c>
      <c r="BK398" s="147">
        <f>$AR248*'Assumptions (NG Midstream)'!U$76</f>
        <v>7.4562665110661799E-2</v>
      </c>
      <c r="BL398" s="147">
        <f>$AR248*'Assumptions (NG Midstream)'!V$76</f>
        <v>3.7289689724699954E-2</v>
      </c>
    </row>
    <row r="399" spans="1:66" ht="15.75" hidden="1" customHeight="1" outlineLevel="1">
      <c r="A399" s="378"/>
      <c r="B399" s="42"/>
      <c r="C399" s="42"/>
      <c r="D399" s="42"/>
      <c r="E399" s="42"/>
      <c r="F399" s="42"/>
      <c r="G399" s="42"/>
      <c r="H399" s="42"/>
      <c r="I399" s="42"/>
      <c r="J399" s="42"/>
      <c r="K399" s="42"/>
      <c r="L399" s="42"/>
      <c r="M399" s="42"/>
      <c r="N399" s="42"/>
      <c r="O399" s="42"/>
      <c r="P399" s="42"/>
      <c r="Q399" s="42"/>
      <c r="R399" s="42"/>
      <c r="S399" s="42"/>
      <c r="T399" s="42"/>
      <c r="U399" s="42"/>
      <c r="V399" s="42"/>
      <c r="W399" s="86"/>
      <c r="AS399" s="147">
        <f>$AS248*'Assumptions (NG Midstream)'!B$76</f>
        <v>6.0846783894919342E-2</v>
      </c>
      <c r="AT399" s="147">
        <f>$AS248*'Assumptions (NG Midstream)'!C$76</f>
        <v>0.1171341154499794</v>
      </c>
      <c r="AU399" s="147">
        <f>$AS248*'Assumptions (NG Midstream)'!D$76</f>
        <v>0.10833972695103371</v>
      </c>
      <c r="AV399" s="147">
        <f>$AS248*'Assumptions (NG Midstream)'!E$76</f>
        <v>0.10022682243171115</v>
      </c>
      <c r="AW399" s="147">
        <f>$AS248*'Assumptions (NG Midstream)'!F$76</f>
        <v>9.2698047037779785E-2</v>
      </c>
      <c r="AX399" s="147">
        <f>$AS248*'Assumptions (NG Midstream)'!G$76</f>
        <v>8.5753400769239665E-2</v>
      </c>
      <c r="AY399" s="147">
        <f>$AS248*'Assumptions (NG Midstream)'!H$76</f>
        <v>7.9311754580897537E-2</v>
      </c>
      <c r="AZ399" s="147">
        <f>$AS248*'Assumptions (NG Midstream)'!I$76</f>
        <v>7.3373108472753412E-2</v>
      </c>
      <c r="BA399" s="147">
        <f>$AS248*'Assumptions (NG Midstream)'!J$76</f>
        <v>7.239955993043469E-2</v>
      </c>
      <c r="BB399" s="147">
        <f>$AS248*'Assumptions (NG Midstream)'!K$76</f>
        <v>7.238333412139604E-2</v>
      </c>
      <c r="BC399" s="147">
        <f>$AS248*'Assumptions (NG Midstream)'!L$76</f>
        <v>7.239955993043469E-2</v>
      </c>
      <c r="BD399" s="147">
        <f>$AS248*'Assumptions (NG Midstream)'!M$76</f>
        <v>7.238333412139604E-2</v>
      </c>
      <c r="BE399" s="147">
        <f>$AS248*'Assumptions (NG Midstream)'!N$76</f>
        <v>7.239955993043469E-2</v>
      </c>
      <c r="BF399" s="147">
        <f>$AS248*'Assumptions (NG Midstream)'!O$76</f>
        <v>7.238333412139604E-2</v>
      </c>
      <c r="BG399" s="147">
        <f>$AS248*'Assumptions (NG Midstream)'!P$76</f>
        <v>7.239955993043469E-2</v>
      </c>
      <c r="BH399" s="147">
        <f>$AS248*'Assumptions (NG Midstream)'!Q$76</f>
        <v>7.238333412139604E-2</v>
      </c>
      <c r="BI399" s="147">
        <f>$AS248*'Assumptions (NG Midstream)'!R$76</f>
        <v>7.239955993043469E-2</v>
      </c>
      <c r="BJ399" s="147">
        <f>$AS248*'Assumptions (NG Midstream)'!S$76</f>
        <v>7.238333412139604E-2</v>
      </c>
      <c r="BK399" s="147">
        <f>$AS248*'Assumptions (NG Midstream)'!T$76</f>
        <v>7.239955993043469E-2</v>
      </c>
      <c r="BL399" s="147">
        <f>$AS248*'Assumptions (NG Midstream)'!U$76</f>
        <v>7.238333412139604E-2</v>
      </c>
      <c r="BM399" s="147">
        <f>$AS248*'Assumptions (NG Midstream)'!V$76</f>
        <v>3.6199779965217345E-2</v>
      </c>
    </row>
    <row r="400" spans="1:66" ht="15.75" hidden="1" customHeight="1" outlineLevel="1">
      <c r="A400" s="378"/>
      <c r="B400" s="42"/>
      <c r="C400" s="42"/>
      <c r="D400" s="42"/>
      <c r="E400" s="42"/>
      <c r="F400" s="42"/>
      <c r="G400" s="42"/>
      <c r="H400" s="42"/>
      <c r="I400" s="42"/>
      <c r="J400" s="42"/>
      <c r="K400" s="42"/>
      <c r="L400" s="42"/>
      <c r="M400" s="42"/>
      <c r="N400" s="42"/>
      <c r="O400" s="42"/>
      <c r="P400" s="42"/>
      <c r="Q400" s="42"/>
      <c r="R400" s="42"/>
      <c r="S400" s="42"/>
      <c r="T400" s="42"/>
      <c r="U400" s="42"/>
      <c r="V400" s="42"/>
      <c r="W400" s="86"/>
      <c r="AT400" s="147">
        <f>$AT248*'Assumptions (NG Midstream)'!B$76</f>
        <v>6.9184774921151992E-2</v>
      </c>
      <c r="AU400" s="147">
        <f>$AT248*'Assumptions (NG Midstream)'!C$76</f>
        <v>0.13318530404154569</v>
      </c>
      <c r="AV400" s="147">
        <f>$AT248*'Assumptions (NG Midstream)'!D$76</f>
        <v>0.12318579790627517</v>
      </c>
      <c r="AW400" s="147">
        <f>$AT248*'Assumptions (NG Midstream)'!E$76</f>
        <v>0.11396116125012157</v>
      </c>
      <c r="AX400" s="147">
        <f>$AT248*'Assumptions (NG Midstream)'!F$76</f>
        <v>0.10540069843321104</v>
      </c>
      <c r="AY400" s="147">
        <f>$AT248*'Assumptions (NG Midstream)'!G$76</f>
        <v>9.7504409455543548E-2</v>
      </c>
      <c r="AZ400" s="147">
        <f>$AT248*'Assumptions (NG Midstream)'!H$76</f>
        <v>9.018004795055759E-2</v>
      </c>
      <c r="BA400" s="147">
        <f>$AT248*'Assumptions (NG Midstream)'!I$76</f>
        <v>8.3427613918253166E-2</v>
      </c>
      <c r="BB400" s="147">
        <f>$AT248*'Assumptions (NG Midstream)'!J$76</f>
        <v>8.2320657519514728E-2</v>
      </c>
      <c r="BC400" s="147">
        <f>$AT248*'Assumptions (NG Midstream)'!K$76</f>
        <v>8.2302208246202407E-2</v>
      </c>
      <c r="BD400" s="147">
        <f>$AT248*'Assumptions (NG Midstream)'!L$76</f>
        <v>8.2320657519514728E-2</v>
      </c>
      <c r="BE400" s="147">
        <f>$AT248*'Assumptions (NG Midstream)'!M$76</f>
        <v>8.2302208246202407E-2</v>
      </c>
      <c r="BF400" s="147">
        <f>$AT248*'Assumptions (NG Midstream)'!N$76</f>
        <v>8.2320657519514728E-2</v>
      </c>
      <c r="BG400" s="147">
        <f>$AT248*'Assumptions (NG Midstream)'!O$76</f>
        <v>8.2302208246202407E-2</v>
      </c>
      <c r="BH400" s="147">
        <f>$AT248*'Assumptions (NG Midstream)'!P$76</f>
        <v>8.2320657519514728E-2</v>
      </c>
      <c r="BI400" s="147">
        <f>$AT248*'Assumptions (NG Midstream)'!Q$76</f>
        <v>8.2302208246202407E-2</v>
      </c>
      <c r="BJ400" s="147">
        <f>$AT248*'Assumptions (NG Midstream)'!R$76</f>
        <v>8.2320657519514728E-2</v>
      </c>
      <c r="BK400" s="147">
        <f>$AT248*'Assumptions (NG Midstream)'!S$76</f>
        <v>8.2302208246202407E-2</v>
      </c>
      <c r="BL400" s="147">
        <f>$AT248*'Assumptions (NG Midstream)'!T$76</f>
        <v>8.2320657519514728E-2</v>
      </c>
      <c r="BM400" s="147">
        <f>$AT248*'Assumptions (NG Midstream)'!U$76</f>
        <v>8.2302208246202407E-2</v>
      </c>
      <c r="BN400" s="147">
        <f>$AT248*'Assumptions (NG Midstream)'!V$76</f>
        <v>4.1160328759757364E-2</v>
      </c>
    </row>
    <row r="401" spans="1:73" ht="15.75" hidden="1" customHeight="1" outlineLevel="1">
      <c r="A401" s="378"/>
      <c r="B401" s="42"/>
      <c r="C401" s="42"/>
      <c r="D401" s="42"/>
      <c r="E401" s="42"/>
      <c r="F401" s="42"/>
      <c r="G401" s="42"/>
      <c r="H401" s="42"/>
      <c r="I401" s="42"/>
      <c r="J401" s="42"/>
      <c r="K401" s="42"/>
      <c r="L401" s="42"/>
      <c r="M401" s="42"/>
      <c r="N401" s="42"/>
      <c r="O401" s="42"/>
      <c r="P401" s="42"/>
      <c r="Q401" s="42"/>
      <c r="R401" s="42"/>
      <c r="S401" s="42"/>
      <c r="T401" s="42"/>
      <c r="U401" s="42"/>
      <c r="V401" s="42"/>
      <c r="W401" s="86"/>
      <c r="AU401" s="147">
        <f>$AU248*'Assumptions (NG Midstream)'!B$76</f>
        <v>6.3772808950790183E-2</v>
      </c>
      <c r="AV401" s="147">
        <f>$AU248*'Assumptions (NG Midstream)'!C$76</f>
        <v>0.12276690875086783</v>
      </c>
      <c r="AW401" s="147">
        <f>$AU248*'Assumptions (NG Midstream)'!D$76</f>
        <v>0.11354961209718029</v>
      </c>
      <c r="AX401" s="147">
        <f>$AU248*'Assumptions (NG Midstream)'!E$76</f>
        <v>0.1050465709037416</v>
      </c>
      <c r="AY401" s="147">
        <f>$AU248*'Assumptions (NG Midstream)'!F$76</f>
        <v>9.7155748676230488E-2</v>
      </c>
      <c r="AZ401" s="147">
        <f>$AU248*'Assumptions (NG Midstream)'!G$76</f>
        <v>8.9877145414646975E-2</v>
      </c>
      <c r="BA401" s="147">
        <f>$AU248*'Assumptions (NG Midstream)'!H$76</f>
        <v>8.3125730707056644E-2</v>
      </c>
      <c r="BB401" s="147">
        <f>$AU248*'Assumptions (NG Midstream)'!I$76</f>
        <v>7.6901504553459538E-2</v>
      </c>
      <c r="BC401" s="147">
        <f>$AU248*'Assumptions (NG Midstream)'!J$76</f>
        <v>7.5881139610246881E-2</v>
      </c>
      <c r="BD401" s="147">
        <f>$AU248*'Assumptions (NG Midstream)'!K$76</f>
        <v>7.5864133527860006E-2</v>
      </c>
      <c r="BE401" s="147">
        <f>$AU248*'Assumptions (NG Midstream)'!L$76</f>
        <v>7.5881139610246881E-2</v>
      </c>
      <c r="BF401" s="147">
        <f>$AU248*'Assumptions (NG Midstream)'!M$76</f>
        <v>7.5864133527860006E-2</v>
      </c>
      <c r="BG401" s="147">
        <f>$AU248*'Assumptions (NG Midstream)'!N$76</f>
        <v>7.5881139610246881E-2</v>
      </c>
      <c r="BH401" s="147">
        <f>$AU248*'Assumptions (NG Midstream)'!O$76</f>
        <v>7.5864133527860006E-2</v>
      </c>
      <c r="BI401" s="147">
        <f>$AU248*'Assumptions (NG Midstream)'!P$76</f>
        <v>7.5881139610246881E-2</v>
      </c>
      <c r="BJ401" s="147">
        <f>$AU248*'Assumptions (NG Midstream)'!Q$76</f>
        <v>7.5864133527860006E-2</v>
      </c>
      <c r="BK401" s="147">
        <f>$AU248*'Assumptions (NG Midstream)'!R$76</f>
        <v>7.5881139610246881E-2</v>
      </c>
      <c r="BL401" s="147">
        <f>$AU248*'Assumptions (NG Midstream)'!S$76</f>
        <v>7.5864133527860006E-2</v>
      </c>
      <c r="BM401" s="147">
        <f>$AU248*'Assumptions (NG Midstream)'!T$76</f>
        <v>7.5881139610246881E-2</v>
      </c>
      <c r="BN401" s="147">
        <f>$AU248*'Assumptions (NG Midstream)'!U$76</f>
        <v>7.5864133527860006E-2</v>
      </c>
      <c r="BO401" s="147">
        <f>$AU248*'Assumptions (NG Midstream)'!V$76</f>
        <v>3.7940569805123441E-2</v>
      </c>
    </row>
    <row r="402" spans="1:73" ht="15.75" hidden="1" customHeight="1" outlineLevel="1">
      <c r="A402" s="378"/>
      <c r="B402" s="42"/>
      <c r="C402" s="42"/>
      <c r="D402" s="42"/>
      <c r="E402" s="42"/>
      <c r="F402" s="42"/>
      <c r="G402" s="42"/>
      <c r="H402" s="42"/>
      <c r="I402" s="42"/>
      <c r="J402" s="42"/>
      <c r="K402" s="42"/>
      <c r="L402" s="42"/>
      <c r="M402" s="42"/>
      <c r="N402" s="42"/>
      <c r="O402" s="42"/>
      <c r="P402" s="42"/>
      <c r="Q402" s="42"/>
      <c r="R402" s="42"/>
      <c r="S402" s="42"/>
      <c r="T402" s="42"/>
      <c r="U402" s="42"/>
      <c r="V402" s="42"/>
      <c r="W402" s="86"/>
      <c r="AV402" s="147">
        <f>$AV248*'Assumptions (NG Midstream)'!B$76</f>
        <v>6.0324971181360147E-2</v>
      </c>
      <c r="AW402" s="147">
        <f>$AV248*'Assumptions (NG Midstream)'!C$76</f>
        <v>0.11612959118886372</v>
      </c>
      <c r="AX402" s="147">
        <f>$AV248*'Assumptions (NG Midstream)'!D$76</f>
        <v>0.10741062202078445</v>
      </c>
      <c r="AY402" s="147">
        <f>$AV248*'Assumptions (NG Midstream)'!E$76</f>
        <v>9.9367292529936438E-2</v>
      </c>
      <c r="AZ402" s="147">
        <f>$AV248*'Assumptions (NG Midstream)'!F$76</f>
        <v>9.1903082762429478E-2</v>
      </c>
      <c r="BA402" s="147">
        <f>$AV248*'Assumptions (NG Midstream)'!G$76</f>
        <v>8.5017992718263574E-2</v>
      </c>
      <c r="BB402" s="147">
        <f>$AV248*'Assumptions (NG Midstream)'!H$76</f>
        <v>7.863158910253025E-2</v>
      </c>
      <c r="BC402" s="147">
        <f>$AV248*'Assumptions (NG Midstream)'!I$76</f>
        <v>7.2743871915229505E-2</v>
      </c>
      <c r="BD402" s="147">
        <f>$AV248*'Assumptions (NG Midstream)'!J$76</f>
        <v>7.1778672376327735E-2</v>
      </c>
      <c r="BE402" s="147">
        <f>$AV248*'Assumptions (NG Midstream)'!K$76</f>
        <v>7.1762585717346034E-2</v>
      </c>
      <c r="BF402" s="147">
        <f>$AV248*'Assumptions (NG Midstream)'!L$76</f>
        <v>7.1778672376327735E-2</v>
      </c>
      <c r="BG402" s="147">
        <f>$AV248*'Assumptions (NG Midstream)'!M$76</f>
        <v>7.1762585717346034E-2</v>
      </c>
      <c r="BH402" s="147">
        <f>$AV248*'Assumptions (NG Midstream)'!N$76</f>
        <v>7.1778672376327735E-2</v>
      </c>
      <c r="BI402" s="147">
        <f>$AV248*'Assumptions (NG Midstream)'!O$76</f>
        <v>7.1762585717346034E-2</v>
      </c>
      <c r="BJ402" s="147">
        <f>$AV248*'Assumptions (NG Midstream)'!P$76</f>
        <v>7.1778672376327735E-2</v>
      </c>
      <c r="BK402" s="147">
        <f>$AV248*'Assumptions (NG Midstream)'!Q$76</f>
        <v>7.1762585717346034E-2</v>
      </c>
      <c r="BL402" s="147">
        <f>$AV248*'Assumptions (NG Midstream)'!R$76</f>
        <v>7.1778672376327735E-2</v>
      </c>
      <c r="BM402" s="147">
        <f>$AV248*'Assumptions (NG Midstream)'!S$76</f>
        <v>7.1762585717346034E-2</v>
      </c>
      <c r="BN402" s="147">
        <f>$AV248*'Assumptions (NG Midstream)'!T$76</f>
        <v>7.1778672376327735E-2</v>
      </c>
      <c r="BO402" s="147">
        <f>$AV248*'Assumptions (NG Midstream)'!U$76</f>
        <v>7.1762585717346034E-2</v>
      </c>
      <c r="BP402" s="147">
        <f>$AV248*'Assumptions (NG Midstream)'!V$76</f>
        <v>3.5889336188163867E-2</v>
      </c>
    </row>
    <row r="403" spans="1:73" ht="15.75" hidden="1" customHeight="1" outlineLevel="1">
      <c r="A403" s="378"/>
      <c r="B403" s="42"/>
      <c r="C403" s="42"/>
      <c r="D403" s="42"/>
      <c r="E403" s="42"/>
      <c r="F403" s="42"/>
      <c r="G403" s="42"/>
      <c r="H403" s="42"/>
      <c r="I403" s="42"/>
      <c r="J403" s="42"/>
      <c r="K403" s="42"/>
      <c r="L403" s="42"/>
      <c r="M403" s="42"/>
      <c r="N403" s="42"/>
      <c r="O403" s="42"/>
      <c r="P403" s="42"/>
      <c r="Q403" s="42"/>
      <c r="R403" s="42"/>
      <c r="S403" s="42"/>
      <c r="T403" s="42"/>
      <c r="U403" s="42"/>
      <c r="V403" s="42"/>
      <c r="W403" s="86"/>
      <c r="AW403" s="147">
        <f>$AW248*'Assumptions (NG Midstream)'!B$76</f>
        <v>6.5810125895798002E-2</v>
      </c>
      <c r="AX403" s="147">
        <f>$AW248*'Assumptions (NG Midstream)'!C$76</f>
        <v>0.12668887969113757</v>
      </c>
      <c r="AY403" s="147">
        <f>$AW248*'Assumptions (NG Midstream)'!D$76</f>
        <v>0.11717712282833154</v>
      </c>
      <c r="AZ403" s="147">
        <f>$AW248*'Assumptions (NG Midstream)'!E$76</f>
        <v>0.10840243937555848</v>
      </c>
      <c r="BA403" s="147">
        <f>$AW248*'Assumptions (NG Midstream)'!F$76</f>
        <v>0.10025953313138507</v>
      </c>
      <c r="BB403" s="147">
        <f>$AW248*'Assumptions (NG Midstream)'!G$76</f>
        <v>9.2748404095811324E-2</v>
      </c>
      <c r="BC403" s="147">
        <f>$AW248*'Assumptions (NG Midstream)'!H$76</f>
        <v>8.5781305434309507E-2</v>
      </c>
      <c r="BD403" s="147">
        <f>$AW248*'Assumptions (NG Midstream)'!I$76</f>
        <v>7.9358237146879632E-2</v>
      </c>
      <c r="BE403" s="147">
        <f>$AW248*'Assumptions (NG Midstream)'!J$76</f>
        <v>7.8305275132546856E-2</v>
      </c>
      <c r="BF403" s="147">
        <f>$AW248*'Assumptions (NG Midstream)'!K$76</f>
        <v>7.8287725765641303E-2</v>
      </c>
      <c r="BG403" s="147">
        <f>$AW248*'Assumptions (NG Midstream)'!L$76</f>
        <v>7.8305275132546856E-2</v>
      </c>
      <c r="BH403" s="147">
        <f>$AW248*'Assumptions (NG Midstream)'!M$76</f>
        <v>7.8287725765641303E-2</v>
      </c>
      <c r="BI403" s="147">
        <f>$AW248*'Assumptions (NG Midstream)'!N$76</f>
        <v>7.8305275132546856E-2</v>
      </c>
      <c r="BJ403" s="147">
        <f>$AW248*'Assumptions (NG Midstream)'!O$76</f>
        <v>7.8287725765641303E-2</v>
      </c>
      <c r="BK403" s="147">
        <f>$AW248*'Assumptions (NG Midstream)'!P$76</f>
        <v>7.8305275132546856E-2</v>
      </c>
      <c r="BL403" s="147">
        <f>$AW248*'Assumptions (NG Midstream)'!Q$76</f>
        <v>7.8287725765641303E-2</v>
      </c>
      <c r="BM403" s="147">
        <f>$AW248*'Assumptions (NG Midstream)'!R$76</f>
        <v>7.8305275132546856E-2</v>
      </c>
      <c r="BN403" s="147">
        <f>$AW248*'Assumptions (NG Midstream)'!S$76</f>
        <v>7.8287725765641303E-2</v>
      </c>
      <c r="BO403" s="147">
        <f>$AW248*'Assumptions (NG Midstream)'!T$76</f>
        <v>7.8305275132546856E-2</v>
      </c>
      <c r="BP403" s="147">
        <f>$AW248*'Assumptions (NG Midstream)'!U$76</f>
        <v>7.8287725765641303E-2</v>
      </c>
      <c r="BQ403" s="147">
        <f>$AW248*'Assumptions (NG Midstream)'!V$76</f>
        <v>3.9152637566273428E-2</v>
      </c>
    </row>
    <row r="404" spans="1:73" ht="15.75" hidden="1" customHeight="1" outlineLevel="1">
      <c r="A404" s="378"/>
      <c r="B404" s="42"/>
      <c r="C404" s="42"/>
      <c r="D404" s="42"/>
      <c r="E404" s="42"/>
      <c r="F404" s="42"/>
      <c r="G404" s="42"/>
      <c r="H404" s="42"/>
      <c r="I404" s="42"/>
      <c r="J404" s="42"/>
      <c r="K404" s="42"/>
      <c r="L404" s="42"/>
      <c r="M404" s="42"/>
      <c r="N404" s="42"/>
      <c r="O404" s="42"/>
      <c r="P404" s="42"/>
      <c r="Q404" s="42"/>
      <c r="R404" s="42"/>
      <c r="S404" s="42"/>
      <c r="T404" s="42"/>
      <c r="U404" s="42"/>
      <c r="V404" s="42"/>
      <c r="W404" s="86"/>
      <c r="AX404" s="147">
        <f>$AX248*'Assumptions (NG Midstream)'!B$76</f>
        <v>7.0027812278803059E-2</v>
      </c>
      <c r="AY404" s="147">
        <f>$AX248*'Assumptions (NG Midstream)'!C$76</f>
        <v>0.13480820715751449</v>
      </c>
      <c r="AZ404" s="147">
        <f>$AX248*'Assumptions (NG Midstream)'!D$76</f>
        <v>0.12468685402281812</v>
      </c>
      <c r="BA404" s="147">
        <f>$AX248*'Assumptions (NG Midstream)'!E$76</f>
        <v>0.11534981238564439</v>
      </c>
      <c r="BB404" s="147">
        <f>$AX248*'Assumptions (NG Midstream)'!F$76</f>
        <v>0.10668503774634716</v>
      </c>
      <c r="BC404" s="147">
        <f>$AX248*'Assumptions (NG Midstream)'!G$76</f>
        <v>9.8692530104926443E-2</v>
      </c>
      <c r="BD404" s="147">
        <f>$AX248*'Assumptions (NG Midstream)'!H$76</f>
        <v>9.1278919045010495E-2</v>
      </c>
      <c r="BE404" s="147">
        <f>$AX248*'Assumptions (NG Midstream)'!I$76</f>
        <v>8.4444204566599318E-2</v>
      </c>
      <c r="BF404" s="147">
        <f>$AX248*'Assumptions (NG Midstream)'!J$76</f>
        <v>8.3323759570138461E-2</v>
      </c>
      <c r="BG404" s="147">
        <f>$AX248*'Assumptions (NG Midstream)'!K$76</f>
        <v>8.3305085486864106E-2</v>
      </c>
      <c r="BH404" s="147">
        <f>$AX248*'Assumptions (NG Midstream)'!L$76</f>
        <v>8.3323759570138461E-2</v>
      </c>
      <c r="BI404" s="147">
        <f>$AX248*'Assumptions (NG Midstream)'!M$76</f>
        <v>8.3305085486864106E-2</v>
      </c>
      <c r="BJ404" s="147">
        <f>$AX248*'Assumptions (NG Midstream)'!N$76</f>
        <v>8.3323759570138461E-2</v>
      </c>
      <c r="BK404" s="147">
        <f>$AX248*'Assumptions (NG Midstream)'!O$76</f>
        <v>8.3305085486864106E-2</v>
      </c>
      <c r="BL404" s="147">
        <f>$AX248*'Assumptions (NG Midstream)'!P$76</f>
        <v>8.3323759570138461E-2</v>
      </c>
      <c r="BM404" s="147">
        <f>$AX248*'Assumptions (NG Midstream)'!Q$76</f>
        <v>8.3305085486864106E-2</v>
      </c>
      <c r="BN404" s="147">
        <f>$AX248*'Assumptions (NG Midstream)'!R$76</f>
        <v>8.3323759570138461E-2</v>
      </c>
      <c r="BO404" s="147">
        <f>$AX248*'Assumptions (NG Midstream)'!S$76</f>
        <v>8.3305085486864106E-2</v>
      </c>
      <c r="BP404" s="147">
        <f>$AX248*'Assumptions (NG Midstream)'!T$76</f>
        <v>8.3323759570138461E-2</v>
      </c>
      <c r="BQ404" s="147">
        <f>$AX248*'Assumptions (NG Midstream)'!U$76</f>
        <v>8.3305085486864106E-2</v>
      </c>
      <c r="BR404" s="147">
        <f>$AX248*'Assumptions (NG Midstream)'!V$76</f>
        <v>4.1661879785069231E-2</v>
      </c>
    </row>
    <row r="405" spans="1:73" ht="15.75" hidden="1" customHeight="1" outlineLevel="1">
      <c r="A405" s="378"/>
      <c r="B405" s="42"/>
      <c r="C405" s="42"/>
      <c r="D405" s="42"/>
      <c r="E405" s="42"/>
      <c r="F405" s="42"/>
      <c r="G405" s="42"/>
      <c r="H405" s="42"/>
      <c r="I405" s="42"/>
      <c r="J405" s="42"/>
      <c r="K405" s="42"/>
      <c r="L405" s="42"/>
      <c r="M405" s="42"/>
      <c r="N405" s="42"/>
      <c r="O405" s="42"/>
      <c r="P405" s="42"/>
      <c r="Q405" s="42"/>
      <c r="R405" s="42"/>
      <c r="S405" s="42"/>
      <c r="T405" s="42"/>
      <c r="U405" s="42"/>
      <c r="V405" s="42"/>
      <c r="W405" s="86"/>
      <c r="AY405" s="147">
        <f>$AY248*'Assumptions (NG Midstream)'!B$76</f>
        <v>6.2110957026634307E-2</v>
      </c>
      <c r="AZ405" s="147">
        <f>$AY248*'Assumptions (NG Midstream)'!C$76</f>
        <v>0.11956773300673949</v>
      </c>
      <c r="BA405" s="147">
        <f>$AY248*'Assumptions (NG Midstream)'!D$76</f>
        <v>0.1105906293511566</v>
      </c>
      <c r="BB405" s="147">
        <f>$AY248*'Assumptions (NG Midstream)'!E$76</f>
        <v>0.10230916841427204</v>
      </c>
      <c r="BC405" s="147">
        <f>$AY248*'Assumptions (NG Midstream)'!F$76</f>
        <v>9.4623972664843153E-2</v>
      </c>
      <c r="BD405" s="147">
        <f>$AY248*'Assumptions (NG Midstream)'!G$76</f>
        <v>8.7535042102869956E-2</v>
      </c>
      <c r="BE405" s="147">
        <f>$AY248*'Assumptions (NG Midstream)'!H$76</f>
        <v>8.09595621189836E-2</v>
      </c>
      <c r="BF405" s="147">
        <f>$AY248*'Assumptions (NG Midstream)'!I$76</f>
        <v>7.4897532713184098E-2</v>
      </c>
      <c r="BG405" s="147">
        <f>$AY248*'Assumptions (NG Midstream)'!J$76</f>
        <v>7.3903757400757941E-2</v>
      </c>
      <c r="BH405" s="147">
        <f>$AY248*'Assumptions (NG Midstream)'!K$76</f>
        <v>7.3887194478884172E-2</v>
      </c>
      <c r="BI405" s="147">
        <f>$AY248*'Assumptions (NG Midstream)'!L$76</f>
        <v>7.3903757400757941E-2</v>
      </c>
      <c r="BJ405" s="147">
        <f>$AY248*'Assumptions (NG Midstream)'!M$76</f>
        <v>7.3887194478884172E-2</v>
      </c>
      <c r="BK405" s="147">
        <f>$AY248*'Assumptions (NG Midstream)'!N$76</f>
        <v>7.3903757400757941E-2</v>
      </c>
      <c r="BL405" s="147">
        <f>$AY248*'Assumptions (NG Midstream)'!O$76</f>
        <v>7.3887194478884172E-2</v>
      </c>
      <c r="BM405" s="147">
        <f>$AY248*'Assumptions (NG Midstream)'!P$76</f>
        <v>7.3903757400757941E-2</v>
      </c>
      <c r="BN405" s="147">
        <f>$AY248*'Assumptions (NG Midstream)'!Q$76</f>
        <v>7.3887194478884172E-2</v>
      </c>
      <c r="BO405" s="147">
        <f>$AY248*'Assumptions (NG Midstream)'!R$76</f>
        <v>7.3903757400757941E-2</v>
      </c>
      <c r="BP405" s="147">
        <f>$AY248*'Assumptions (NG Midstream)'!S$76</f>
        <v>7.3887194478884172E-2</v>
      </c>
      <c r="BQ405" s="147">
        <f>$AY248*'Assumptions (NG Midstream)'!T$76</f>
        <v>7.3903757400757941E-2</v>
      </c>
      <c r="BR405" s="147">
        <f>$AY248*'Assumptions (NG Midstream)'!U$76</f>
        <v>7.3887194478884172E-2</v>
      </c>
      <c r="BS405" s="147">
        <f>$AY248*'Assumptions (NG Midstream)'!V$76</f>
        <v>3.6951878700378971E-2</v>
      </c>
    </row>
    <row r="406" spans="1:73" ht="15.75" hidden="1" customHeight="1" outlineLevel="1">
      <c r="A406" s="378"/>
      <c r="B406" s="42"/>
      <c r="C406" s="42"/>
      <c r="D406" s="42"/>
      <c r="E406" s="42"/>
      <c r="F406" s="42"/>
      <c r="G406" s="42"/>
      <c r="H406" s="42"/>
      <c r="I406" s="42"/>
      <c r="J406" s="42"/>
      <c r="K406" s="42"/>
      <c r="L406" s="42"/>
      <c r="M406" s="42"/>
      <c r="N406" s="42"/>
      <c r="O406" s="42"/>
      <c r="P406" s="42"/>
      <c r="Q406" s="42"/>
      <c r="R406" s="42"/>
      <c r="S406" s="42"/>
      <c r="T406" s="42"/>
      <c r="U406" s="42"/>
      <c r="V406" s="42"/>
      <c r="W406" s="86"/>
      <c r="AZ406" s="147">
        <f>$AZ248*'Assumptions (NG Midstream)'!B$76</f>
        <v>6.5668182402914957E-2</v>
      </c>
      <c r="BA406" s="147">
        <f>$AZ248*'Assumptions (NG Midstream)'!C$76</f>
        <v>0.12641562900443815</v>
      </c>
      <c r="BB406" s="147">
        <f>$AZ248*'Assumptions (NG Midstream)'!D$76</f>
        <v>0.1169243877078035</v>
      </c>
      <c r="BC406" s="147">
        <f>$AZ248*'Assumptions (NG Midstream)'!E$76</f>
        <v>0.1081686300540815</v>
      </c>
      <c r="BD406" s="147">
        <f>$AZ248*'Assumptions (NG Midstream)'!F$76</f>
        <v>0.1000432869514275</v>
      </c>
      <c r="BE406" s="147">
        <f>$AZ248*'Assumptions (NG Midstream)'!G$76</f>
        <v>9.2548358399841477E-2</v>
      </c>
      <c r="BF406" s="147">
        <f>$AZ248*'Assumptions (NG Midstream)'!H$76</f>
        <v>8.5596286822786208E-2</v>
      </c>
      <c r="BG406" s="147">
        <f>$AZ248*'Assumptions (NG Midstream)'!I$76</f>
        <v>7.9187072220261723E-2</v>
      </c>
      <c r="BH406" s="147">
        <f>$AZ248*'Assumptions (NG Midstream)'!J$76</f>
        <v>7.8136381301815078E-2</v>
      </c>
      <c r="BI406" s="147">
        <f>$AZ248*'Assumptions (NG Midstream)'!K$76</f>
        <v>7.811886978650763E-2</v>
      </c>
      <c r="BJ406" s="147">
        <f>$AZ248*'Assumptions (NG Midstream)'!L$76</f>
        <v>7.8136381301815078E-2</v>
      </c>
      <c r="BK406" s="147">
        <f>$AZ248*'Assumptions (NG Midstream)'!M$76</f>
        <v>7.811886978650763E-2</v>
      </c>
      <c r="BL406" s="147">
        <f>$AZ248*'Assumptions (NG Midstream)'!N$76</f>
        <v>7.8136381301815078E-2</v>
      </c>
      <c r="BM406" s="147">
        <f>$AZ248*'Assumptions (NG Midstream)'!O$76</f>
        <v>7.811886978650763E-2</v>
      </c>
      <c r="BN406" s="147">
        <f>$AZ248*'Assumptions (NG Midstream)'!P$76</f>
        <v>7.8136381301815078E-2</v>
      </c>
      <c r="BO406" s="147">
        <f>$AZ248*'Assumptions (NG Midstream)'!Q$76</f>
        <v>7.811886978650763E-2</v>
      </c>
      <c r="BP406" s="147">
        <f>$AZ248*'Assumptions (NG Midstream)'!R$76</f>
        <v>7.8136381301815078E-2</v>
      </c>
      <c r="BQ406" s="147">
        <f>$AZ248*'Assumptions (NG Midstream)'!S$76</f>
        <v>7.811886978650763E-2</v>
      </c>
      <c r="BR406" s="147">
        <f>$AZ248*'Assumptions (NG Midstream)'!T$76</f>
        <v>7.8136381301815078E-2</v>
      </c>
      <c r="BS406" s="147">
        <f>$AZ248*'Assumptions (NG Midstream)'!U$76</f>
        <v>7.811886978650763E-2</v>
      </c>
      <c r="BT406" s="147">
        <f>$AZ248*'Assumptions (NG Midstream)'!V$76</f>
        <v>3.9068190650907539E-2</v>
      </c>
    </row>
    <row r="407" spans="1:73" ht="15.75" hidden="1" customHeight="1" outlineLevel="1">
      <c r="A407" s="378"/>
      <c r="B407" s="42"/>
      <c r="C407" s="42"/>
      <c r="D407" s="42"/>
      <c r="E407" s="42"/>
      <c r="F407" s="42"/>
      <c r="G407" s="42"/>
      <c r="H407" s="42"/>
      <c r="I407" s="42"/>
      <c r="J407" s="42"/>
      <c r="K407" s="42"/>
      <c r="L407" s="42"/>
      <c r="M407" s="42"/>
      <c r="N407" s="42"/>
      <c r="O407" s="42"/>
      <c r="P407" s="42"/>
      <c r="Q407" s="42"/>
      <c r="R407" s="42"/>
      <c r="S407" s="42"/>
      <c r="T407" s="42"/>
      <c r="U407" s="42"/>
      <c r="V407" s="42"/>
      <c r="W407" s="86"/>
      <c r="BA407" s="147">
        <f>$BA248*'Assumptions (NG Midstream)'!B$76</f>
        <v>6.5673703920289789E-2</v>
      </c>
      <c r="BB407" s="147">
        <f>$BA248*'Assumptions (NG Midstream)'!C$76</f>
        <v>0.12642625829348589</v>
      </c>
      <c r="BC407" s="147">
        <f>$BA248*'Assumptions (NG Midstream)'!D$76</f>
        <v>0.11693421895353999</v>
      </c>
      <c r="BD407" s="147">
        <f>$BA248*'Assumptions (NG Midstream)'!E$76</f>
        <v>0.10817772509750136</v>
      </c>
      <c r="BE407" s="147">
        <f>$BA248*'Assumptions (NG Midstream)'!F$76</f>
        <v>0.10005169879909749</v>
      </c>
      <c r="BF407" s="147">
        <f>$BA248*'Assumptions (NG Midstream)'!G$76</f>
        <v>9.2556140058328421E-2</v>
      </c>
      <c r="BG407" s="147">
        <f>$BA248*'Assumptions (NG Midstream)'!H$76</f>
        <v>8.5603483936633737E-2</v>
      </c>
      <c r="BH407" s="147">
        <f>$BA248*'Assumptions (NG Midstream)'!I$76</f>
        <v>7.9193730434013468E-2</v>
      </c>
      <c r="BI407" s="147">
        <f>$BA248*'Assumptions (NG Midstream)'!J$76</f>
        <v>7.8142951171288819E-2</v>
      </c>
      <c r="BJ407" s="147">
        <f>$BA248*'Assumptions (NG Midstream)'!K$76</f>
        <v>7.8125438183576743E-2</v>
      </c>
      <c r="BK407" s="147">
        <f>$BA248*'Assumptions (NG Midstream)'!L$76</f>
        <v>7.8142951171288819E-2</v>
      </c>
      <c r="BL407" s="147">
        <f>$BA248*'Assumptions (NG Midstream)'!M$76</f>
        <v>7.8125438183576743E-2</v>
      </c>
      <c r="BM407" s="147">
        <f>$BA248*'Assumptions (NG Midstream)'!N$76</f>
        <v>7.8142951171288819E-2</v>
      </c>
      <c r="BN407" s="147">
        <f>$BA248*'Assumptions (NG Midstream)'!O$76</f>
        <v>7.8125438183576743E-2</v>
      </c>
      <c r="BO407" s="147">
        <f>$BA248*'Assumptions (NG Midstream)'!P$76</f>
        <v>7.8142951171288819E-2</v>
      </c>
      <c r="BP407" s="147">
        <f>$BA248*'Assumptions (NG Midstream)'!Q$76</f>
        <v>7.8125438183576743E-2</v>
      </c>
      <c r="BQ407" s="147">
        <f>$BA248*'Assumptions (NG Midstream)'!R$76</f>
        <v>7.8142951171288819E-2</v>
      </c>
      <c r="BR407" s="147">
        <f>$BA248*'Assumptions (NG Midstream)'!S$76</f>
        <v>7.8125438183576743E-2</v>
      </c>
      <c r="BS407" s="147">
        <f>$BA248*'Assumptions (NG Midstream)'!T$76</f>
        <v>7.8142951171288819E-2</v>
      </c>
      <c r="BT407" s="147">
        <f>$BA248*'Assumptions (NG Midstream)'!U$76</f>
        <v>7.8125438183576743E-2</v>
      </c>
      <c r="BU407" s="147">
        <f>$BA248*'Assumptions (NG Midstream)'!V$76</f>
        <v>3.9071475585644409E-2</v>
      </c>
    </row>
    <row r="408" spans="1:73" ht="15.75" customHeight="1" collapsed="1">
      <c r="A408" s="365" t="s">
        <v>839</v>
      </c>
      <c r="B408" s="99" t="s">
        <v>201</v>
      </c>
      <c r="C408" s="229">
        <f>(1+'Assumptions (NG Midstream)'!B67)*'Assumptions (NG Midstream)'!B64</f>
        <v>17.120355859620002</v>
      </c>
      <c r="D408" s="229">
        <f>(1+'Assumptions (NG Midstream)'!C67)*'Assumptions (NG Midstream)'!C64</f>
        <v>16.900738228000002</v>
      </c>
      <c r="E408" s="229">
        <f>(1+'Assumptions (NG Midstream)'!D67)*'Assumptions (NG Midstream)'!D64</f>
        <v>16.012670800079999</v>
      </c>
      <c r="F408" s="229">
        <f>(1+'Assumptions (NG Midstream)'!E67)*'Assumptions (NG Midstream)'!E64</f>
        <v>17.135194760880001</v>
      </c>
      <c r="G408" s="229">
        <f>(1+'Assumptions (NG Midstream)'!F67)*'Assumptions (NG Midstream)'!F64</f>
        <v>18.046382081699999</v>
      </c>
      <c r="H408" s="229">
        <f>(1+'Assumptions (NG Midstream)'!G67)*'Assumptions (NG Midstream)'!G64</f>
        <v>20.05461084557</v>
      </c>
      <c r="I408" s="229">
        <f>(1+'Assumptions (NG Midstream)'!H67)*'Assumptions (NG Midstream)'!H64</f>
        <v>20.105314728620002</v>
      </c>
      <c r="J408" s="229">
        <f>(1+'Assumptions (NG Midstream)'!I67)*'Assumptions (NG Midstream)'!I64</f>
        <v>26.194218507270001</v>
      </c>
      <c r="K408" s="229">
        <f>(1+'Assumptions (NG Midstream)'!J67)*'Assumptions (NG Midstream)'!J64</f>
        <v>23.262966116600001</v>
      </c>
      <c r="L408" s="229">
        <f>(1+'Assumptions (NG Midstream)'!K67)*'Assumptions (NG Midstream)'!K64</f>
        <v>21.81501250877</v>
      </c>
      <c r="M408" s="229">
        <f>(1+'Assumptions (NG Midstream)'!L67)*'Assumptions (NG Midstream)'!L64</f>
        <v>23.001472982700001</v>
      </c>
      <c r="N408" s="229">
        <f>(1+'Assumptions (NG Midstream)'!M67)*'Assumptions (NG Midstream)'!M64</f>
        <v>24.76618651147</v>
      </c>
      <c r="O408" s="229">
        <f>(1+'Assumptions (NG Midstream)'!N67)*'Assumptions (NG Midstream)'!N64</f>
        <v>25.985465051839999</v>
      </c>
      <c r="P408" s="229">
        <f>(1+'Assumptions (NG Midstream)'!O67)*'Assumptions (NG Midstream)'!O64</f>
        <v>25.587155607179998</v>
      </c>
      <c r="Q408" s="229">
        <f>(1+'Assumptions (NG Midstream)'!P67)*'Assumptions (NG Midstream)'!P64</f>
        <v>28.8595417306</v>
      </c>
      <c r="R408" s="229">
        <f>(1+'Assumptions (NG Midstream)'!Q67)*'Assumptions (NG Midstream)'!Q64</f>
        <v>28.005657497400001</v>
      </c>
      <c r="S408" s="229">
        <f>(1+'Assumptions (NG Midstream)'!R67)*'Assumptions (NG Midstream)'!R64</f>
        <v>26.064201094399998</v>
      </c>
      <c r="T408" s="229">
        <f>(1+'Assumptions (NG Midstream)'!S67)*'Assumptions (NG Midstream)'!S64</f>
        <v>27.812586210067845</v>
      </c>
      <c r="U408" s="229">
        <f>(1+'Assumptions (NG Midstream)'!T67)*'Assumptions (NG Midstream)'!T64</f>
        <v>28.526780769182366</v>
      </c>
      <c r="V408" s="229">
        <f>(1+'Assumptions (NG Midstream)'!U67)*'Assumptions (NG Midstream)'!U64</f>
        <v>28.492111990982242</v>
      </c>
      <c r="W408" s="229">
        <f>(1+'Assumptions (NG Midstream)'!V67)*'Assumptions (NG Midstream)'!V64</f>
        <v>28.72864025070508</v>
      </c>
      <c r="X408" s="229">
        <f>(1+'Assumptions (NG Midstream)'!W67)*'Assumptions (NG Midstream)'!W64</f>
        <v>28.847190783037526</v>
      </c>
      <c r="Y408" s="229">
        <f>(1+'Assumptions (NG Midstream)'!X67)*'Assumptions (NG Midstream)'!X64</f>
        <v>28.959316027351509</v>
      </c>
      <c r="Z408" s="229">
        <f>(1+'Assumptions (NG Midstream)'!Y67)*'Assumptions (NG Midstream)'!Y64</f>
        <v>29.040420349213491</v>
      </c>
      <c r="AA408" s="229">
        <f>(1+'Assumptions (NG Midstream)'!Z67)*'Assumptions (NG Midstream)'!Z64</f>
        <v>29.185876227634342</v>
      </c>
      <c r="AB408" s="229">
        <f>(1+'Assumptions (NG Midstream)'!AA67)*'Assumptions (NG Midstream)'!AA64</f>
        <v>29.287403745419827</v>
      </c>
      <c r="AC408" s="229">
        <f>(1+'Assumptions (NG Midstream)'!AB67)*'Assumptions (NG Midstream)'!AB64</f>
        <v>29.442420030950597</v>
      </c>
      <c r="AD408" s="229">
        <f>(1+'Assumptions (NG Midstream)'!AC67)*'Assumptions (NG Midstream)'!AC64</f>
        <v>29.554291008302087</v>
      </c>
      <c r="AE408" s="229">
        <f>(1+'Assumptions (NG Midstream)'!AD67)*'Assumptions (NG Midstream)'!AD64</f>
        <v>29.643585858139023</v>
      </c>
      <c r="AF408" s="229">
        <f>(1+'Assumptions (NG Midstream)'!AE67)*'Assumptions (NG Midstream)'!AE64</f>
        <v>29.66468968154761</v>
      </c>
      <c r="AG408" s="229">
        <f>(1+'Assumptions (NG Midstream)'!AF67)*'Assumptions (NG Midstream)'!AF64</f>
        <v>29.593443458878347</v>
      </c>
      <c r="AH408" s="229">
        <f>(1+'Assumptions (NG Midstream)'!AG67)*'Assumptions (NG Midstream)'!AG64</f>
        <v>29.595201997341203</v>
      </c>
      <c r="AI408" s="229">
        <f>(1+'Assumptions (NG Midstream)'!AH67)*'Assumptions (NG Midstream)'!AH64</f>
        <v>29.649393900626592</v>
      </c>
      <c r="AJ408" s="229">
        <f>(1+'Assumptions (NG Midstream)'!AI67)*'Assumptions (NG Midstream)'!AI64</f>
        <v>29.686284591827324</v>
      </c>
      <c r="AK408" s="229">
        <f>(1+'Assumptions (NG Midstream)'!AJ67)*'Assumptions (NG Midstream)'!AJ64</f>
        <v>29.745974072661081</v>
      </c>
      <c r="AL408" s="229">
        <f>(1+'Assumptions (NG Midstream)'!AK67)*'Assumptions (NG Midstream)'!AK64</f>
        <v>29.78108205776363</v>
      </c>
      <c r="AM408" s="229">
        <f>(1+'Assumptions (NG Midstream)'!AL67)*'Assumptions (NG Midstream)'!AL64</f>
        <v>29.816061260043472</v>
      </c>
      <c r="AN408" s="229">
        <f>(1+'Assumptions (NG Midstream)'!AM67)*'Assumptions (NG Midstream)'!AM64</f>
        <v>29.838300505280653</v>
      </c>
      <c r="AO408" s="229">
        <f>(1+'Assumptions (NG Midstream)'!AN67)*'Assumptions (NG Midstream)'!AN64</f>
        <v>29.866753237370748</v>
      </c>
      <c r="AP408" s="229">
        <f>(1+'Assumptions (NG Midstream)'!AO67)*'Assumptions (NG Midstream)'!AO64</f>
        <v>29.8848193048692</v>
      </c>
      <c r="AQ408" s="229">
        <f>(1+'Assumptions (NG Midstream)'!AP67)*'Assumptions (NG Midstream)'!AP64</f>
        <v>29.906112515442832</v>
      </c>
      <c r="AR408" s="229">
        <f>(1+'Assumptions (NG Midstream)'!AQ67)*'Assumptions (NG Midstream)'!AQ64</f>
        <v>29.920066229681922</v>
      </c>
      <c r="AS408" s="229">
        <f>(1+'Assumptions (NG Midstream)'!AR67)*'Assumptions (NG Midstream)'!AR64</f>
        <v>29.94454323509898</v>
      </c>
      <c r="AT408" s="229">
        <f>(1+'Assumptions (NG Midstream)'!AS67)*'Assumptions (NG Midstream)'!AS64</f>
        <v>29.966275346707601</v>
      </c>
      <c r="AU408" s="229">
        <f>(1+'Assumptions (NG Midstream)'!AT67)*'Assumptions (NG Midstream)'!AT64</f>
        <v>30.008472127765756</v>
      </c>
      <c r="AV408" s="229">
        <f>(1+'Assumptions (NG Midstream)'!AU67)*'Assumptions (NG Midstream)'!AU64</f>
        <v>30.033546045404961</v>
      </c>
      <c r="AW408" s="229">
        <f>(1+'Assumptions (NG Midstream)'!AV67)*'Assumptions (NG Midstream)'!AV64</f>
        <v>30.047089578820096</v>
      </c>
      <c r="AX408" s="229">
        <f>(1+'Assumptions (NG Midstream)'!AW67)*'Assumptions (NG Midstream)'!AW64</f>
        <v>30.075783138840809</v>
      </c>
      <c r="AY408" s="229">
        <f>(1+'Assumptions (NG Midstream)'!AX67)*'Assumptions (NG Midstream)'!AX64</f>
        <v>30.121141209191642</v>
      </c>
      <c r="AZ408" s="229">
        <f>(1+'Assumptions (NG Midstream)'!AY67)*'Assumptions (NG Midstream)'!AY64</f>
        <v>30.147374909004821</v>
      </c>
      <c r="BA408" s="229">
        <f>(1+'Assumptions (NG Midstream)'!AZ67)*'Assumptions (NG Midstream)'!AZ64</f>
        <v>30.183050704931375</v>
      </c>
    </row>
    <row r="409" spans="1:73" ht="15.75" customHeight="1">
      <c r="A409" s="365" t="s">
        <v>62</v>
      </c>
      <c r="B409" s="99" t="s">
        <v>201</v>
      </c>
      <c r="C409" s="147">
        <f t="shared" ref="C409:BA409" si="6">C408-C244-C250+C251</f>
        <v>2.7160336047553506</v>
      </c>
      <c r="D409" s="147">
        <f t="shared" si="6"/>
        <v>2.4963514225154171</v>
      </c>
      <c r="E409" s="147">
        <f t="shared" si="6"/>
        <v>2.1540603472368778</v>
      </c>
      <c r="F409" s="147">
        <f t="shared" si="6"/>
        <v>1.7894352711426196</v>
      </c>
      <c r="G409" s="147">
        <f t="shared" si="6"/>
        <v>3.3230122929477401</v>
      </c>
      <c r="H409" s="147">
        <f t="shared" si="6"/>
        <v>3.4776610358276061</v>
      </c>
      <c r="I409" s="147">
        <f t="shared" si="6"/>
        <v>2.8952049690083674</v>
      </c>
      <c r="J409" s="147">
        <f t="shared" si="6"/>
        <v>2.4826683112807539</v>
      </c>
      <c r="K409" s="147">
        <f t="shared" si="6"/>
        <v>-0.58105244685870927</v>
      </c>
      <c r="L409" s="147">
        <f t="shared" si="6"/>
        <v>-2.6359517566675073</v>
      </c>
      <c r="M409" s="147">
        <f t="shared" si="6"/>
        <v>2.1742182763065845</v>
      </c>
      <c r="N409" s="147">
        <f t="shared" si="6"/>
        <v>-2.3107325092741857</v>
      </c>
      <c r="O409" s="147">
        <f t="shared" si="6"/>
        <v>2.1639108470914223</v>
      </c>
      <c r="P409" s="147">
        <f t="shared" si="6"/>
        <v>0.98135730542078692</v>
      </c>
      <c r="Q409" s="147">
        <f t="shared" si="6"/>
        <v>2.3088456845892846</v>
      </c>
      <c r="R409" s="147">
        <f t="shared" si="6"/>
        <v>0.5249386836321257</v>
      </c>
      <c r="S409" s="147">
        <f t="shared" si="6"/>
        <v>0.99260060283466078</v>
      </c>
      <c r="T409" s="147">
        <f t="shared" si="6"/>
        <v>0.54357899109009811</v>
      </c>
      <c r="U409" s="147">
        <f t="shared" si="6"/>
        <v>3.581207480553358</v>
      </c>
      <c r="V409" s="147">
        <f t="shared" si="6"/>
        <v>2.4561490503640169</v>
      </c>
      <c r="W409" s="147">
        <f t="shared" si="6"/>
        <v>2.8538988149746505</v>
      </c>
      <c r="X409" s="147">
        <f t="shared" si="6"/>
        <v>2.8661063926351442</v>
      </c>
      <c r="Y409" s="147">
        <f t="shared" si="6"/>
        <v>2.7561280522619276</v>
      </c>
      <c r="Z409" s="147">
        <f t="shared" si="6"/>
        <v>3.2239260516302961</v>
      </c>
      <c r="AA409" s="147">
        <f t="shared" si="6"/>
        <v>4.0938492403354791</v>
      </c>
      <c r="AB409" s="147">
        <f t="shared" si="6"/>
        <v>4.2619768445630157</v>
      </c>
      <c r="AC409" s="147">
        <f t="shared" si="6"/>
        <v>5.3138242877342261</v>
      </c>
      <c r="AD409" s="147">
        <f t="shared" si="6"/>
        <v>5.5522198924589876</v>
      </c>
      <c r="AE409" s="147">
        <f t="shared" si="6"/>
        <v>5.9979815854254372</v>
      </c>
      <c r="AF409" s="147">
        <f t="shared" si="6"/>
        <v>6.2257455111072701</v>
      </c>
      <c r="AG409" s="147">
        <f t="shared" si="6"/>
        <v>6.4032328666756193</v>
      </c>
      <c r="AH409" s="147">
        <f t="shared" si="6"/>
        <v>6.6529751630103284</v>
      </c>
      <c r="AI409" s="147">
        <f t="shared" si="6"/>
        <v>7.1796295410179276</v>
      </c>
      <c r="AJ409" s="147">
        <f t="shared" si="6"/>
        <v>7.0287428921543658</v>
      </c>
      <c r="AK409" s="147">
        <f t="shared" si="6"/>
        <v>7.1923612039662057</v>
      </c>
      <c r="AL409" s="147">
        <f t="shared" si="6"/>
        <v>7.2072214307351716</v>
      </c>
      <c r="AM409" s="147">
        <f t="shared" si="6"/>
        <v>7.2732091156266865</v>
      </c>
      <c r="AN409" s="147">
        <f t="shared" si="6"/>
        <v>7.2873543528398255</v>
      </c>
      <c r="AO409" s="147">
        <f t="shared" si="6"/>
        <v>7.3858720975776269</v>
      </c>
      <c r="AP409" s="147">
        <f t="shared" si="6"/>
        <v>7.4260769589292179</v>
      </c>
      <c r="AQ409" s="147">
        <f t="shared" si="6"/>
        <v>7.5253252677232627</v>
      </c>
      <c r="AR409" s="147">
        <f t="shared" si="6"/>
        <v>7.5158969092360381</v>
      </c>
      <c r="AS409" s="147">
        <f t="shared" si="6"/>
        <v>7.5696952116931113</v>
      </c>
      <c r="AT409" s="147">
        <f t="shared" si="6"/>
        <v>7.4895894386995279</v>
      </c>
      <c r="AU409" s="147">
        <f t="shared" si="6"/>
        <v>7.5542234859260216</v>
      </c>
      <c r="AV409" s="147">
        <f t="shared" si="6"/>
        <v>7.6110415027979776</v>
      </c>
      <c r="AW409" s="147">
        <f t="shared" si="6"/>
        <v>7.5722969622500358</v>
      </c>
      <c r="AX409" s="147">
        <f t="shared" si="6"/>
        <v>7.528808762358997</v>
      </c>
      <c r="AY409" s="147">
        <f t="shared" si="6"/>
        <v>7.6410611379122217</v>
      </c>
      <c r="AZ409" s="147">
        <f t="shared" si="6"/>
        <v>7.6129078923024665</v>
      </c>
      <c r="BA409" s="147">
        <f t="shared" si="6"/>
        <v>7.6278472605328123</v>
      </c>
    </row>
    <row r="410" spans="1:73" ht="15.75" customHeight="1">
      <c r="A410" s="365" t="s">
        <v>840</v>
      </c>
      <c r="B410" s="99" t="s">
        <v>201</v>
      </c>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c r="AL410" s="147"/>
      <c r="AM410" s="147"/>
      <c r="AN410" s="147"/>
      <c r="AO410" s="147"/>
      <c r="AP410" s="147"/>
      <c r="AQ410" s="147"/>
      <c r="AR410" s="147"/>
      <c r="AS410" s="147"/>
      <c r="AT410" s="147"/>
      <c r="AU410" s="147"/>
      <c r="AV410" s="147"/>
      <c r="AW410" s="147"/>
      <c r="AX410" s="147"/>
      <c r="AY410" s="147"/>
      <c r="AZ410" s="147"/>
      <c r="BA410" s="147"/>
    </row>
    <row r="411" spans="1:73" ht="15.75" customHeight="1">
      <c r="A411" s="363" t="s">
        <v>841</v>
      </c>
      <c r="B411" s="42"/>
      <c r="C411" s="42"/>
      <c r="D411" s="42"/>
      <c r="E411" s="42"/>
      <c r="F411" s="42"/>
      <c r="G411" s="42"/>
      <c r="H411" s="42"/>
      <c r="I411" s="42"/>
      <c r="J411" s="42"/>
      <c r="K411" s="42"/>
      <c r="L411" s="42"/>
      <c r="M411" s="42"/>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row>
    <row r="412" spans="1:73" ht="15.75" customHeight="1">
      <c r="A412" s="379" t="s">
        <v>25</v>
      </c>
      <c r="B412" s="99" t="s">
        <v>152</v>
      </c>
      <c r="C412" s="20">
        <v>218656</v>
      </c>
      <c r="D412" s="20">
        <v>251826</v>
      </c>
      <c r="E412" s="20">
        <v>311566</v>
      </c>
      <c r="F412" s="20">
        <v>354606</v>
      </c>
      <c r="G412" s="20">
        <v>370208</v>
      </c>
      <c r="H412" s="20">
        <v>382257</v>
      </c>
      <c r="I412" s="20">
        <v>387489</v>
      </c>
      <c r="J412" s="20">
        <v>392046</v>
      </c>
      <c r="K412" s="20">
        <v>396624</v>
      </c>
      <c r="L412" s="20">
        <v>400440</v>
      </c>
      <c r="M412" s="20">
        <v>406187</v>
      </c>
      <c r="N412" s="20">
        <v>414353.8</v>
      </c>
      <c r="O412" s="20">
        <v>421510.8</v>
      </c>
      <c r="P412" s="20">
        <v>424294.49999999994</v>
      </c>
      <c r="Q412" s="20">
        <v>431047.3</v>
      </c>
      <c r="R412" s="20">
        <v>438178.10000000003</v>
      </c>
      <c r="S412" s="20">
        <v>445535.5</v>
      </c>
      <c r="T412" s="380">
        <v>456012</v>
      </c>
      <c r="U412" s="381">
        <f>T412+9307-3737+2295</f>
        <v>463877</v>
      </c>
      <c r="V412" s="381">
        <f>U412+16250</f>
        <v>480127</v>
      </c>
      <c r="W412" s="381">
        <f>V412+7308</f>
        <v>487435</v>
      </c>
      <c r="X412" s="101">
        <f t="shared" ref="X412:AZ412" si="7">W412+($BA$412-$W$412)/($BA$2-$W$2)</f>
        <v>471214.11791621731</v>
      </c>
      <c r="Y412" s="101">
        <f t="shared" si="7"/>
        <v>454993.23583243461</v>
      </c>
      <c r="Z412" s="101">
        <f t="shared" si="7"/>
        <v>438772.35374865192</v>
      </c>
      <c r="AA412" s="101">
        <f t="shared" si="7"/>
        <v>422551.47166486923</v>
      </c>
      <c r="AB412" s="101">
        <f t="shared" si="7"/>
        <v>406330.58958108653</v>
      </c>
      <c r="AC412" s="101">
        <f t="shared" si="7"/>
        <v>390109.70749730384</v>
      </c>
      <c r="AD412" s="101">
        <f t="shared" si="7"/>
        <v>373888.82541352115</v>
      </c>
      <c r="AE412" s="101">
        <f t="shared" si="7"/>
        <v>357667.94332973845</v>
      </c>
      <c r="AF412" s="101">
        <f t="shared" si="7"/>
        <v>341447.06124595576</v>
      </c>
      <c r="AG412" s="101">
        <f t="shared" si="7"/>
        <v>325226.17916217307</v>
      </c>
      <c r="AH412" s="101">
        <f t="shared" si="7"/>
        <v>309005.29707839037</v>
      </c>
      <c r="AI412" s="101">
        <f t="shared" si="7"/>
        <v>292784.41499460768</v>
      </c>
      <c r="AJ412" s="101">
        <f t="shared" si="7"/>
        <v>276563.53291082499</v>
      </c>
      <c r="AK412" s="101">
        <f t="shared" si="7"/>
        <v>260342.65082704232</v>
      </c>
      <c r="AL412" s="101">
        <f t="shared" si="7"/>
        <v>244121.76874325966</v>
      </c>
      <c r="AM412" s="101">
        <f t="shared" si="7"/>
        <v>227900.88665947699</v>
      </c>
      <c r="AN412" s="101">
        <f t="shared" si="7"/>
        <v>211680.00457569433</v>
      </c>
      <c r="AO412" s="101">
        <f t="shared" si="7"/>
        <v>195459.12249191166</v>
      </c>
      <c r="AP412" s="101">
        <f t="shared" si="7"/>
        <v>179238.240408129</v>
      </c>
      <c r="AQ412" s="101">
        <f t="shared" si="7"/>
        <v>163017.35832434634</v>
      </c>
      <c r="AR412" s="101">
        <f t="shared" si="7"/>
        <v>146796.47624056367</v>
      </c>
      <c r="AS412" s="101">
        <f t="shared" si="7"/>
        <v>130575.59415678099</v>
      </c>
      <c r="AT412" s="101">
        <f t="shared" si="7"/>
        <v>114354.71207299831</v>
      </c>
      <c r="AU412" s="101">
        <f t="shared" si="7"/>
        <v>98133.829989215636</v>
      </c>
      <c r="AV412" s="101">
        <f t="shared" si="7"/>
        <v>81912.947905432957</v>
      </c>
      <c r="AW412" s="101">
        <f t="shared" si="7"/>
        <v>65692.065821650278</v>
      </c>
      <c r="AX412" s="101">
        <f t="shared" si="7"/>
        <v>49471.183737867606</v>
      </c>
      <c r="AY412" s="101">
        <f t="shared" si="7"/>
        <v>33250.301654084935</v>
      </c>
      <c r="AZ412" s="101">
        <f t="shared" si="7"/>
        <v>17029.419570302263</v>
      </c>
      <c r="BA412" s="103">
        <f>Inputs!$H$5+Inputs!$H$6</f>
        <v>808.53748651979549</v>
      </c>
    </row>
    <row r="413" spans="1:73" ht="15.75" customHeight="1">
      <c r="A413" s="379" t="s">
        <v>28</v>
      </c>
      <c r="B413" s="99" t="s">
        <v>153</v>
      </c>
      <c r="C413" s="20">
        <v>597.06232499999999</v>
      </c>
      <c r="D413" s="20">
        <v>635.23355100000003</v>
      </c>
      <c r="E413" s="20">
        <v>687.22758399999998</v>
      </c>
      <c r="F413" s="20">
        <v>646.55305800000019</v>
      </c>
      <c r="G413" s="20">
        <v>706.47658299999989</v>
      </c>
      <c r="H413" s="20">
        <v>757.23663099999987</v>
      </c>
      <c r="I413" s="20">
        <v>812.38304099999993</v>
      </c>
      <c r="J413" s="20">
        <v>892.72225299999991</v>
      </c>
      <c r="K413" s="20">
        <v>878.9781280000002</v>
      </c>
      <c r="L413" s="20">
        <v>917.40127799999993</v>
      </c>
      <c r="M413" s="20">
        <v>983.94720900000004</v>
      </c>
      <c r="N413" s="20">
        <v>1009.7824966100003</v>
      </c>
      <c r="O413" s="20">
        <v>1222.2881389999998</v>
      </c>
      <c r="P413" s="20">
        <v>1121.4145544400001</v>
      </c>
      <c r="Q413" s="20">
        <v>1123.3209360300002</v>
      </c>
      <c r="R413" s="20">
        <v>1330.3923989999998</v>
      </c>
      <c r="S413" s="63">
        <v>1375.266445</v>
      </c>
      <c r="T413" s="63">
        <v>1293.8221699999999</v>
      </c>
      <c r="U413" s="63">
        <v>1465.0769740000001</v>
      </c>
      <c r="V413" s="382">
        <f>U413+140</f>
        <v>1605.0769740000001</v>
      </c>
      <c r="W413" s="383">
        <f>('Assumptions (NG)'!V15*'Assumptions (NG)'!V18+'Assumptions (NG)'!V16*'Assumptions (NG)'!V20)*W412*0.00876</f>
        <v>1432.0498737710525</v>
      </c>
      <c r="X413" s="101">
        <f t="shared" ref="X413:AZ413" si="8">W413+($BA$413-$W$413)/($BA$2-$W$2)</f>
        <v>1384.3149049299336</v>
      </c>
      <c r="Y413" s="101">
        <f t="shared" si="8"/>
        <v>1336.5799360888147</v>
      </c>
      <c r="Z413" s="101">
        <f t="shared" si="8"/>
        <v>1288.8449672476959</v>
      </c>
      <c r="AA413" s="101">
        <f t="shared" si="8"/>
        <v>1241.109998406577</v>
      </c>
      <c r="AB413" s="101">
        <f t="shared" si="8"/>
        <v>1193.3750295654581</v>
      </c>
      <c r="AC413" s="101">
        <f t="shared" si="8"/>
        <v>1145.6400607243393</v>
      </c>
      <c r="AD413" s="101">
        <f t="shared" si="8"/>
        <v>1097.9050918832204</v>
      </c>
      <c r="AE413" s="101">
        <f t="shared" si="8"/>
        <v>1050.1701230421015</v>
      </c>
      <c r="AF413" s="101">
        <f t="shared" si="8"/>
        <v>1002.4351542009827</v>
      </c>
      <c r="AG413" s="101">
        <f t="shared" si="8"/>
        <v>954.70018535986378</v>
      </c>
      <c r="AH413" s="101">
        <f t="shared" si="8"/>
        <v>906.96521651874491</v>
      </c>
      <c r="AI413" s="101">
        <f t="shared" si="8"/>
        <v>859.23024767762604</v>
      </c>
      <c r="AJ413" s="101">
        <f t="shared" si="8"/>
        <v>811.49527883650717</v>
      </c>
      <c r="AK413" s="101">
        <f t="shared" si="8"/>
        <v>763.7603099953883</v>
      </c>
      <c r="AL413" s="101">
        <f t="shared" si="8"/>
        <v>716.02534115426943</v>
      </c>
      <c r="AM413" s="101">
        <f t="shared" si="8"/>
        <v>668.29037231315056</v>
      </c>
      <c r="AN413" s="101">
        <f t="shared" si="8"/>
        <v>620.55540347203168</v>
      </c>
      <c r="AO413" s="101">
        <f t="shared" si="8"/>
        <v>572.82043463091281</v>
      </c>
      <c r="AP413" s="101">
        <f t="shared" si="8"/>
        <v>525.08546578979394</v>
      </c>
      <c r="AQ413" s="101">
        <f t="shared" si="8"/>
        <v>477.35049694867507</v>
      </c>
      <c r="AR413" s="101">
        <f t="shared" si="8"/>
        <v>429.6155281075562</v>
      </c>
      <c r="AS413" s="101">
        <f t="shared" si="8"/>
        <v>381.88055926643733</v>
      </c>
      <c r="AT413" s="101">
        <f t="shared" si="8"/>
        <v>334.14559042531846</v>
      </c>
      <c r="AU413" s="101">
        <f t="shared" si="8"/>
        <v>286.41062158419959</v>
      </c>
      <c r="AV413" s="101">
        <f t="shared" si="8"/>
        <v>238.67565274308072</v>
      </c>
      <c r="AW413" s="101">
        <f t="shared" si="8"/>
        <v>190.94068390196185</v>
      </c>
      <c r="AX413" s="101">
        <f t="shared" si="8"/>
        <v>143.20571506084298</v>
      </c>
      <c r="AY413" s="101">
        <f t="shared" si="8"/>
        <v>95.470746219724106</v>
      </c>
      <c r="AZ413" s="101">
        <f t="shared" si="8"/>
        <v>47.735777378605242</v>
      </c>
      <c r="BA413" s="104">
        <f>Inputs!$I$5+Inputs!$I$6</f>
        <v>8.0853748648056385E-4</v>
      </c>
    </row>
    <row r="414" spans="1:73" ht="15.75" customHeight="1">
      <c r="A414" s="384" t="s">
        <v>842</v>
      </c>
      <c r="B414" s="43" t="s">
        <v>843</v>
      </c>
      <c r="C414" s="102">
        <f t="shared" ref="C414:W414" si="9">C413/(C412*0.00876)</f>
        <v>0.31171246001726111</v>
      </c>
      <c r="D414" s="102">
        <f t="shared" si="9"/>
        <v>0.28795773886709553</v>
      </c>
      <c r="E414" s="102">
        <f t="shared" si="9"/>
        <v>0.25179460352837718</v>
      </c>
      <c r="F414" s="102">
        <f t="shared" si="9"/>
        <v>0.20813924951165175</v>
      </c>
      <c r="G414" s="102">
        <f t="shared" si="9"/>
        <v>0.21784513505378286</v>
      </c>
      <c r="H414" s="102">
        <f t="shared" si="9"/>
        <v>0.22613722648738444</v>
      </c>
      <c r="I414" s="102">
        <f t="shared" si="9"/>
        <v>0.23933012309637988</v>
      </c>
      <c r="J414" s="102">
        <f t="shared" si="9"/>
        <v>0.25994126452219274</v>
      </c>
      <c r="K414" s="102">
        <f t="shared" si="9"/>
        <v>0.25298511675988267</v>
      </c>
      <c r="L414" s="102">
        <f t="shared" si="9"/>
        <v>0.2615277526912177</v>
      </c>
      <c r="M414" s="102">
        <f t="shared" si="9"/>
        <v>0.27652962983410267</v>
      </c>
      <c r="N414" s="102">
        <f t="shared" si="9"/>
        <v>0.27819697683201766</v>
      </c>
      <c r="O414" s="102">
        <f t="shared" si="9"/>
        <v>0.33102499265709401</v>
      </c>
      <c r="P414" s="102">
        <f t="shared" si="9"/>
        <v>0.30171345632783464</v>
      </c>
      <c r="Q414" s="102">
        <f t="shared" si="9"/>
        <v>0.29749167565849155</v>
      </c>
      <c r="R414" s="102">
        <f t="shared" si="9"/>
        <v>0.34659714491586296</v>
      </c>
      <c r="S414" s="102">
        <f t="shared" si="9"/>
        <v>0.35237121714324698</v>
      </c>
      <c r="T414" s="102">
        <f t="shared" si="9"/>
        <v>0.32388751776018709</v>
      </c>
      <c r="U414" s="102">
        <f t="shared" si="9"/>
        <v>0.36054003520044275</v>
      </c>
      <c r="V414" s="102">
        <f t="shared" si="9"/>
        <v>0.38162395588769882</v>
      </c>
      <c r="W414" s="102">
        <f t="shared" si="9"/>
        <v>0.33538012860702054</v>
      </c>
      <c r="X414" s="102">
        <f t="shared" ref="X414:BA414" si="10">IF(X412&gt;0,X413/(X412*0.00876),0)</f>
        <v>0.33536095295720403</v>
      </c>
      <c r="Y414" s="102">
        <f t="shared" si="10"/>
        <v>0.33534041005209642</v>
      </c>
      <c r="Z414" s="102">
        <f t="shared" si="10"/>
        <v>0.33531834825438511</v>
      </c>
      <c r="AA414" s="102">
        <f t="shared" si="10"/>
        <v>0.3352945926425791</v>
      </c>
      <c r="AB414" s="102">
        <f t="shared" si="10"/>
        <v>0.33526894036343952</v>
      </c>
      <c r="AC414" s="102">
        <f t="shared" si="10"/>
        <v>0.33524115482492645</v>
      </c>
      <c r="AD414" s="102">
        <f t="shared" si="10"/>
        <v>0.33521095837753773</v>
      </c>
      <c r="AE414" s="102">
        <f t="shared" si="10"/>
        <v>0.33517802300416144</v>
      </c>
      <c r="AF414" s="102">
        <f t="shared" si="10"/>
        <v>0.33514195835618571</v>
      </c>
      <c r="AG414" s="102">
        <f t="shared" si="10"/>
        <v>0.33510229620936333</v>
      </c>
      <c r="AH414" s="102">
        <f t="shared" si="10"/>
        <v>0.33505847002384725</v>
      </c>
      <c r="AI414" s="102">
        <f t="shared" si="10"/>
        <v>0.3350097877097189</v>
      </c>
      <c r="AJ414" s="102">
        <f t="shared" si="10"/>
        <v>0.33495539480845182</v>
      </c>
      <c r="AK414" s="102">
        <f t="shared" si="10"/>
        <v>0.33489422391030377</v>
      </c>
      <c r="AL414" s="102">
        <f t="shared" si="10"/>
        <v>0.33482492390567797</v>
      </c>
      <c r="AM414" s="102">
        <f t="shared" si="10"/>
        <v>0.33474575902321063</v>
      </c>
      <c r="AN414" s="102">
        <f t="shared" si="10"/>
        <v>0.33465446144803807</v>
      </c>
      <c r="AO414" s="102">
        <f t="shared" si="10"/>
        <v>0.334548010554028</v>
      </c>
      <c r="AP414" s="102">
        <f t="shared" si="10"/>
        <v>0.33442229226043263</v>
      </c>
      <c r="AQ414" s="102">
        <f t="shared" si="10"/>
        <v>0.33427155501625255</v>
      </c>
      <c r="AR414" s="102">
        <f t="shared" si="10"/>
        <v>0.33408750510509166</v>
      </c>
      <c r="AS414" s="102">
        <f t="shared" si="10"/>
        <v>0.33385772763012767</v>
      </c>
      <c r="AT414" s="102">
        <f t="shared" si="10"/>
        <v>0.33356276362704712</v>
      </c>
      <c r="AU414" s="102">
        <f t="shared" si="10"/>
        <v>0.33317028837196605</v>
      </c>
      <c r="AV414" s="102">
        <f t="shared" si="10"/>
        <v>0.33262237261580996</v>
      </c>
      <c r="AW414" s="102">
        <f t="shared" si="10"/>
        <v>0.3318038708532226</v>
      </c>
      <c r="AX414" s="102">
        <f t="shared" si="10"/>
        <v>0.33044861942858345</v>
      </c>
      <c r="AY414" s="102">
        <f t="shared" si="10"/>
        <v>0.32777107181658022</v>
      </c>
      <c r="AZ414" s="102">
        <f t="shared" si="10"/>
        <v>0.31999268281550719</v>
      </c>
      <c r="BA414" s="385">
        <f t="shared" si="10"/>
        <v>1.141552511360135E-4</v>
      </c>
    </row>
    <row r="415" spans="1:73" ht="15.75" customHeight="1">
      <c r="A415" s="379" t="s">
        <v>31</v>
      </c>
      <c r="B415" s="99" t="s">
        <v>201</v>
      </c>
      <c r="C415" s="105">
        <f>C412*('Assumptions (NG)'!B15*'Assumptions (NG)'!B23+'Assumptions (NG)'!B16*'Assumptions (NG)'!B26)/10^9+C412*8760*('Assumptions (NG)'!B15*'Assumptions (NG)'!B18*'Assumptions (NG)'!B24+'Assumptions (NG)'!B16*'Assumptions (NG)'!B20*'Assumptions (NG)'!B27)/10^9</f>
        <v>2.5594184899286461</v>
      </c>
      <c r="D415" s="105">
        <f>D412*('Assumptions (NG)'!C15*'Assumptions (NG)'!C23+'Assumptions (NG)'!C16*'Assumptions (NG)'!C26)/10^9+D412*8760*('Assumptions (NG)'!C15*'Assumptions (NG)'!C18*'Assumptions (NG)'!C24+'Assumptions (NG)'!C16*'Assumptions (NG)'!C20*'Assumptions (NG)'!C27)/10^9</f>
        <v>3.0220878509119746</v>
      </c>
      <c r="E415" s="105">
        <f>E412*('Assumptions (NG)'!D15*'Assumptions (NG)'!D23+'Assumptions (NG)'!D16*'Assumptions (NG)'!D26)/10^9+E412*8760*('Assumptions (NG)'!D15*'Assumptions (NG)'!D18*'Assumptions (NG)'!D24+'Assumptions (NG)'!D16*'Assumptions (NG)'!D20*'Assumptions (NG)'!D27)/10^9</f>
        <v>3.8723435352074338</v>
      </c>
      <c r="F415" s="105">
        <f>F412*('Assumptions (NG)'!E15*'Assumptions (NG)'!E23+'Assumptions (NG)'!E16*'Assumptions (NG)'!E26)/10^9+F412*8760*('Assumptions (NG)'!E15*'Assumptions (NG)'!E18*'Assumptions (NG)'!E24+'Assumptions (NG)'!E16*'Assumptions (NG)'!E20*'Assumptions (NG)'!E27)/10^9</f>
        <v>4.5525561480727177</v>
      </c>
      <c r="G415" s="105">
        <f>G412*('Assumptions (NG)'!F15*'Assumptions (NG)'!F23+'Assumptions (NG)'!F16*'Assumptions (NG)'!F26)/10^9+G412*8760*('Assumptions (NG)'!F15*'Assumptions (NG)'!F18*'Assumptions (NG)'!F24+'Assumptions (NG)'!F16*'Assumptions (NG)'!F20*'Assumptions (NG)'!F27)/10^9</f>
        <v>4.8641784605444149</v>
      </c>
      <c r="H415" s="105">
        <f>H412*('Assumptions (NG)'!G15*'Assumptions (NG)'!G23+'Assumptions (NG)'!G16*'Assumptions (NG)'!G26)/10^9+H412*8760*('Assumptions (NG)'!G15*'Assumptions (NG)'!G18*'Assumptions (NG)'!G24+'Assumptions (NG)'!G16*'Assumptions (NG)'!G20*'Assumptions (NG)'!G27)/10^9</f>
        <v>5.1245166139597886</v>
      </c>
      <c r="I415" s="105">
        <f>I412*('Assumptions (NG)'!H15*'Assumptions (NG)'!H23+'Assumptions (NG)'!H16*'Assumptions (NG)'!H26)/10^9+I412*8760*('Assumptions (NG)'!H15*'Assumptions (NG)'!H18*'Assumptions (NG)'!H24+'Assumptions (NG)'!H16*'Assumptions (NG)'!H20*'Assumptions (NG)'!H27)/10^9</f>
        <v>5.2959862758979153</v>
      </c>
      <c r="J415" s="105">
        <f>J412*('Assumptions (NG)'!I15*'Assumptions (NG)'!I23+'Assumptions (NG)'!I16*'Assumptions (NG)'!I26)/10^9+J412*8760*('Assumptions (NG)'!I15*'Assumptions (NG)'!I18*'Assumptions (NG)'!I24+'Assumptions (NG)'!I16*'Assumptions (NG)'!I20*'Assumptions (NG)'!I27)/10^9</f>
        <v>5.4561939103924662</v>
      </c>
      <c r="K415" s="105">
        <f>K412*('Assumptions (NG)'!J15*'Assumptions (NG)'!J23+'Assumptions (NG)'!J16*'Assumptions (NG)'!J26)/10^9+K412*8760*('Assumptions (NG)'!J15*'Assumptions (NG)'!J18*'Assumptions (NG)'!J24+'Assumptions (NG)'!J16*'Assumptions (NG)'!J20*'Assumptions (NG)'!J27)/10^9</f>
        <v>5.6183727994985846</v>
      </c>
      <c r="L415" s="105">
        <f>L412*('Assumptions (NG)'!K15*'Assumptions (NG)'!K23+'Assumptions (NG)'!K16*'Assumptions (NG)'!K26)/10^9+L412*8760*('Assumptions (NG)'!K15*'Assumptions (NG)'!K18*'Assumptions (NG)'!K24+'Assumptions (NG)'!K16*'Assumptions (NG)'!K20*'Assumptions (NG)'!K27)/10^9</f>
        <v>5.777592302220075</v>
      </c>
      <c r="M415" s="105">
        <f>M412*('Assumptions (NG)'!L15*'Assumptions (NG)'!L23+'Assumptions (NG)'!L16*'Assumptions (NG)'!L26)/10^9+M412*8760*('Assumptions (NG)'!L15*'Assumptions (NG)'!L18*'Assumptions (NG)'!L24+'Assumptions (NG)'!L16*'Assumptions (NG)'!L20*'Assumptions (NG)'!L27)/10^9</f>
        <v>5.9663526251535419</v>
      </c>
      <c r="N415" s="105">
        <f>N412*('Assumptions (NG)'!M15*'Assumptions (NG)'!M23+'Assumptions (NG)'!M16*'Assumptions (NG)'!M26)/10^9+N412*8760*('Assumptions (NG)'!M15*'Assumptions (NG)'!M18*'Assumptions (NG)'!M24+'Assumptions (NG)'!M16*'Assumptions (NG)'!M20*'Assumptions (NG)'!M27)/10^9</f>
        <v>6.2026554046858511</v>
      </c>
      <c r="O415" s="105">
        <f>O412*('Assumptions (NG)'!N15*'Assumptions (NG)'!N23+'Assumptions (NG)'!N16*'Assumptions (NG)'!N26)/10^9+O412*8760*('Assumptions (NG)'!N15*'Assumptions (NG)'!N18*'Assumptions (NG)'!N24+'Assumptions (NG)'!N16*'Assumptions (NG)'!N20*'Assumptions (NG)'!N27)/10^9</f>
        <v>6.4264569476992417</v>
      </c>
      <c r="P415" s="105">
        <f>P412*('Assumptions (NG)'!O15*'Assumptions (NG)'!O23+'Assumptions (NG)'!O16*'Assumptions (NG)'!O26)/10^9+P412*8760*('Assumptions (NG)'!O15*'Assumptions (NG)'!O18*'Assumptions (NG)'!O24+'Assumptions (NG)'!O16*'Assumptions (NG)'!O20*'Assumptions (NG)'!O27)/10^9</f>
        <v>6.58054170370443</v>
      </c>
      <c r="Q415" s="105">
        <f>Q412*('Assumptions (NG)'!P15*'Assumptions (NG)'!P23+'Assumptions (NG)'!P16*'Assumptions (NG)'!P26)/10^9+Q412*8760*('Assumptions (NG)'!P15*'Assumptions (NG)'!P18*'Assumptions (NG)'!P24+'Assumptions (NG)'!P16*'Assumptions (NG)'!P20*'Assumptions (NG)'!P27)/10^9</f>
        <v>6.813882583234439</v>
      </c>
      <c r="R415" s="105">
        <f>R412*('Assumptions (NG)'!Q15*'Assumptions (NG)'!Q23+'Assumptions (NG)'!Q16*'Assumptions (NG)'!Q26)/10^9+R412*8760*('Assumptions (NG)'!Q15*'Assumptions (NG)'!Q18*'Assumptions (NG)'!Q24+'Assumptions (NG)'!Q16*'Assumptions (NG)'!Q20*'Assumptions (NG)'!Q27)/10^9</f>
        <v>7.052302660321029</v>
      </c>
      <c r="S415" s="105">
        <f>S412*('Assumptions (NG)'!R15*'Assumptions (NG)'!R23+'Assumptions (NG)'!R16*'Assumptions (NG)'!R26)/10^9+S412*8760*('Assumptions (NG)'!R15*'Assumptions (NG)'!R18*'Assumptions (NG)'!R24+'Assumptions (NG)'!R16*'Assumptions (NG)'!R20*'Assumptions (NG)'!R27)/10^9</f>
        <v>7.2968739206062754</v>
      </c>
      <c r="T415" s="105">
        <f>T412*('Assumptions (NG)'!S15*'Assumptions (NG)'!S23+'Assumptions (NG)'!S16*'Assumptions (NG)'!S26)/10^9+T412*8760*('Assumptions (NG)'!S15*'Assumptions (NG)'!S18*'Assumptions (NG)'!S24+'Assumptions (NG)'!S16*'Assumptions (NG)'!S20*'Assumptions (NG)'!S27)/10^9</f>
        <v>7.6103377716767699</v>
      </c>
      <c r="U415" s="105">
        <f>U412*('Assumptions (NG)'!T15*'Assumptions (NG)'!T23+'Assumptions (NG)'!T16*'Assumptions (NG)'!T26)/10^9+U412*8760*('Assumptions (NG)'!T15*'Assumptions (NG)'!T18*'Assumptions (NG)'!T24+'Assumptions (NG)'!T16*'Assumptions (NG)'!T20*'Assumptions (NG)'!T27)/10^9</f>
        <v>7.901269069507908</v>
      </c>
      <c r="V415" s="105">
        <f>V412*('Assumptions (NG)'!U15*'Assumptions (NG)'!U23+'Assumptions (NG)'!U16*'Assumptions (NG)'!U26)/10^9+V412*8760*('Assumptions (NG)'!U15*'Assumptions (NG)'!U18*'Assumptions (NG)'!U24+'Assumptions (NG)'!U16*'Assumptions (NG)'!U20*'Assumptions (NG)'!U27)/10^9</f>
        <v>8.3236391692682403</v>
      </c>
      <c r="W415" s="105">
        <f>W412*('Assumptions (NG)'!V15*'Assumptions (NG)'!V23+'Assumptions (NG)'!V16*'Assumptions (NG)'!V26)/10^9+W412*8760*('Assumptions (NG)'!V15*'Assumptions (NG)'!V18*'Assumptions (NG)'!V24+'Assumptions (NG)'!V16*'Assumptions (NG)'!V20*'Assumptions (NG)'!V27)/10^9</f>
        <v>8.5913508755113241</v>
      </c>
      <c r="X415" s="105">
        <f>X412*('Assumptions (NG)'!W15*'Assumptions (NG)'!W23+'Assumptions (NG)'!W16*'Assumptions (NG)'!W26)/10^9+X412*8760*('Assumptions (NG)'!W15*'Assumptions (NG)'!W18*'Assumptions (NG)'!W24+'Assumptions (NG)'!W16*'Assumptions (NG)'!W20*'Assumptions (NG)'!W27)/10^9</f>
        <v>8.3057100678496525</v>
      </c>
      <c r="Y415" s="105">
        <f>Y412*('Assumptions (NG)'!X15*'Assumptions (NG)'!X23+'Assumptions (NG)'!X16*'Assumptions (NG)'!X26)/10^9+Y412*8760*('Assumptions (NG)'!X15*'Assumptions (NG)'!X18*'Assumptions (NG)'!X24+'Assumptions (NG)'!X16*'Assumptions (NG)'!X20*'Assumptions (NG)'!X27)/10^9</f>
        <v>8.0157989566571164</v>
      </c>
      <c r="Z415" s="105">
        <f>Z412*('Assumptions (NG)'!Y15*'Assumptions (NG)'!Y23+'Assumptions (NG)'!Y16*'Assumptions (NG)'!Y26)/10^9+Z412*8760*('Assumptions (NG)'!Y15*'Assumptions (NG)'!Y18*'Assumptions (NG)'!Y24+'Assumptions (NG)'!Y16*'Assumptions (NG)'!Y20*'Assumptions (NG)'!Y27)/10^9</f>
        <v>7.7218982679586636</v>
      </c>
      <c r="AA415" s="105">
        <f>AA412*('Assumptions (NG)'!Z15*'Assumptions (NG)'!Z23+'Assumptions (NG)'!Z16*'Assumptions (NG)'!Z26)/10^9+AA412*8760*('Assumptions (NG)'!Z15*'Assumptions (NG)'!Z18*'Assumptions (NG)'!Z24+'Assumptions (NG)'!Z16*'Assumptions (NG)'!Z20*'Assumptions (NG)'!Z27)/10^9</f>
        <v>7.4243092960841608</v>
      </c>
      <c r="AB415" s="105">
        <f>AB412*('Assumptions (NG)'!AA15*'Assumptions (NG)'!AA23+'Assumptions (NG)'!AA16*'Assumptions (NG)'!AA26)/10^9+AB412*8760*('Assumptions (NG)'!AA15*'Assumptions (NG)'!AA18*'Assumptions (NG)'!AA24+'Assumptions (NG)'!AA16*'Assumptions (NG)'!AA20*'Assumptions (NG)'!AA27)/10^9</f>
        <v>7.1233547628610303</v>
      </c>
      <c r="AC415" s="105">
        <f>AC412*('Assumptions (NG)'!AB15*'Assumptions (NG)'!AB23+'Assumptions (NG)'!AB16*'Assumptions (NG)'!AB26)/10^9+AC412*8760*('Assumptions (NG)'!AB15*'Assumptions (NG)'!AB18*'Assumptions (NG)'!AB24+'Assumptions (NG)'!AB16*'Assumptions (NG)'!AB20*'Assumptions (NG)'!AB27)/10^9</f>
        <v>6.8193797055746597</v>
      </c>
      <c r="AD415" s="105">
        <f>AD412*('Assumptions (NG)'!AC15*'Assumptions (NG)'!AC23+'Assumptions (NG)'!AC16*'Assumptions (NG)'!AC26)/10^9+AD412*8760*('Assumptions (NG)'!AC15*'Assumptions (NG)'!AC18*'Assumptions (NG)'!AC24+'Assumptions (NG)'!AC16*'Assumptions (NG)'!AC20*'Assumptions (NG)'!AC27)/10^9</f>
        <v>6.5127523945462151</v>
      </c>
      <c r="AE415" s="105">
        <f>AE412*('Assumptions (NG)'!AD15*'Assumptions (NG)'!AD23+'Assumptions (NG)'!AD16*'Assumptions (NG)'!AD26)/10^9+AE412*8760*('Assumptions (NG)'!AD15*'Assumptions (NG)'!AD18*'Assumptions (NG)'!AD24+'Assumptions (NG)'!AD16*'Assumptions (NG)'!AD20*'Assumptions (NG)'!AD27)/10^9</f>
        <v>6.2038652812004909</v>
      </c>
      <c r="AF415" s="105">
        <f>AF412*('Assumptions (NG)'!AE15*'Assumptions (NG)'!AE23+'Assumptions (NG)'!AE16*'Assumptions (NG)'!AE26)/10^9+AF412*8760*('Assumptions (NG)'!AE15*'Assumptions (NG)'!AE18*'Assumptions (NG)'!AE24+'Assumptions (NG)'!AE16*'Assumptions (NG)'!AE20*'Assumptions (NG)'!AE27)/10^9</f>
        <v>5.8931359775202168</v>
      </c>
      <c r="AG415" s="105">
        <f>AG412*('Assumptions (NG)'!AF15*'Assumptions (NG)'!AF23+'Assumptions (NG)'!AF16*'Assumptions (NG)'!AF26)/10^9+AG412*8760*('Assumptions (NG)'!AF15*'Assumptions (NG)'!AF18*'Assumptions (NG)'!AF24+'Assumptions (NG)'!AF16*'Assumptions (NG)'!AF20*'Assumptions (NG)'!AF27)/10^9</f>
        <v>5.5810082678074595</v>
      </c>
      <c r="AH415" s="105">
        <f>AH412*('Assumptions (NG)'!AG15*'Assumptions (NG)'!AG23+'Assumptions (NG)'!AG16*'Assumptions (NG)'!AG26)/10^9+AH412*8760*('Assumptions (NG)'!AG15*'Assumptions (NG)'!AG18*'Assumptions (NG)'!AG24+'Assumptions (NG)'!AG16*'Assumptions (NG)'!AG20*'Assumptions (NG)'!AG27)/10^9</f>
        <v>5.267953153697734</v>
      </c>
      <c r="AI415" s="105">
        <f>AI412*('Assumptions (NG)'!AH15*'Assumptions (NG)'!AH23+'Assumptions (NG)'!AH16*'Assumptions (NG)'!AH26)/10^9+AI412*8760*('Assumptions (NG)'!AH15*'Assumptions (NG)'!AH18*'Assumptions (NG)'!AH24+'Assumptions (NG)'!AH16*'Assumptions (NG)'!AH20*'Assumptions (NG)'!AH27)/10^9</f>
        <v>4.9544699333979754</v>
      </c>
      <c r="AJ415" s="105">
        <f>AJ412*('Assumptions (NG)'!AI15*'Assumptions (NG)'!AI23+'Assumptions (NG)'!AI16*'Assumptions (NG)'!AI26)/10^9+AJ412*8760*('Assumptions (NG)'!AI15*'Assumptions (NG)'!AI18*'Assumptions (NG)'!AI24+'Assumptions (NG)'!AI16*'Assumptions (NG)'!AI20*'Assumptions (NG)'!AI27)/10^9</f>
        <v>4.641087316145704</v>
      </c>
      <c r="AK415" s="105">
        <f>AK412*('Assumptions (NG)'!AJ15*'Assumptions (NG)'!AJ23+'Assumptions (NG)'!AJ16*'Assumptions (NG)'!AJ26)/10^9+AK412*8760*('Assumptions (NG)'!AJ15*'Assumptions (NG)'!AJ18*'Assumptions (NG)'!AJ24+'Assumptions (NG)'!AJ16*'Assumptions (NG)'!AJ20*'Assumptions (NG)'!AJ27)/10^9</f>
        <v>4.3283645729136495</v>
      </c>
      <c r="AL415" s="105">
        <f>AL412*('Assumptions (NG)'!AK15*'Assumptions (NG)'!AK23+'Assumptions (NG)'!AK16*'Assumptions (NG)'!AK26)/10^9+AL412*8760*('Assumptions (NG)'!AK15*'Assumptions (NG)'!AK18*'Assumptions (NG)'!AK24+'Assumptions (NG)'!AK16*'Assumptions (NG)'!AK20*'Assumptions (NG)'!AK27)/10^9</f>
        <v>4.0168927244116119</v>
      </c>
      <c r="AM415" s="105">
        <f>AM412*('Assumptions (NG)'!AL15*'Assumptions (NG)'!AL23+'Assumptions (NG)'!AL16*'Assumptions (NG)'!AL26)/10^9+AM412*8760*('Assumptions (NG)'!AL15*'Assumptions (NG)'!AL18*'Assumptions (NG)'!AL24+'Assumptions (NG)'!AL16*'Assumptions (NG)'!AL20*'Assumptions (NG)'!AL27)/10^9</f>
        <v>3.7072957674656144</v>
      </c>
      <c r="AN415" s="105">
        <f>AN412*('Assumptions (NG)'!AM15*'Assumptions (NG)'!AM23+'Assumptions (NG)'!AM16*'Assumptions (NG)'!AM26)/10^9+AN412*8760*('Assumptions (NG)'!AM15*'Assumptions (NG)'!AM18*'Assumptions (NG)'!AM24+'Assumptions (NG)'!AM16*'Assumptions (NG)'!AM20*'Assumptions (NG)'!AM27)/10^9</f>
        <v>3.4002319408834025</v>
      </c>
      <c r="AO415" s="105">
        <f>AO412*('Assumptions (NG)'!AN15*'Assumptions (NG)'!AN23+'Assumptions (NG)'!AN16*'Assumptions (NG)'!AN26)/10^9+AO412*8760*('Assumptions (NG)'!AN15*'Assumptions (NG)'!AN18*'Assumptions (NG)'!AN24+'Assumptions (NG)'!AN16*'Assumptions (NG)'!AN20*'Assumptions (NG)'!AN27)/10^9</f>
        <v>3.0963950319450184</v>
      </c>
      <c r="AP415" s="105">
        <f>AP412*('Assumptions (NG)'!AO15*'Assumptions (NG)'!AO23+'Assumptions (NG)'!AO16*'Assumptions (NG)'!AO26)/10^9+AP412*8760*('Assumptions (NG)'!AO15*'Assumptions (NG)'!AO18*'Assumptions (NG)'!AO24+'Assumptions (NG)'!AO16*'Assumptions (NG)'!AO20*'Assumptions (NG)'!AO27)/10^9</f>
        <v>2.7965157246877004</v>
      </c>
      <c r="AQ415" s="105">
        <f>AQ412*('Assumptions (NG)'!AP15*'Assumptions (NG)'!AP23+'Assumptions (NG)'!AP16*'Assumptions (NG)'!AP26)/10^9+AQ412*8760*('Assumptions (NG)'!AP15*'Assumptions (NG)'!AP18*'Assumptions (NG)'!AP24+'Assumptions (NG)'!AP16*'Assumptions (NG)'!AP20*'Assumptions (NG)'!AP27)/10^9</f>
        <v>2.5013629911855433</v>
      </c>
      <c r="AR415" s="105">
        <f>AR412*('Assumptions (NG)'!AQ15*'Assumptions (NG)'!AQ23+'Assumptions (NG)'!AQ16*'Assumptions (NG)'!AQ26)/10^9+AR412*8760*('Assumptions (NG)'!AQ15*'Assumptions (NG)'!AQ18*'Assumptions (NG)'!AQ24+'Assumptions (NG)'!AQ16*'Assumptions (NG)'!AQ20*'Assumptions (NG)'!AQ27)/10^9</f>
        <v>2.2117455270564381</v>
      </c>
      <c r="AS415" s="105">
        <f>AS412*('Assumptions (NG)'!AR15*'Assumptions (NG)'!AR23+'Assumptions (NG)'!AR16*'Assumptions (NG)'!AR26)/10^9+AS412*8760*('Assumptions (NG)'!AR15*'Assumptions (NG)'!AR18*'Assumptions (NG)'!AR24+'Assumptions (NG)'!AR16*'Assumptions (NG)'!AR20*'Assumptions (NG)'!AR27)/10^9</f>
        <v>1.9285132324616181</v>
      </c>
      <c r="AT415" s="105">
        <f>AT412*('Assumptions (NG)'!AS15*'Assumptions (NG)'!AS23+'Assumptions (NG)'!AS16*'Assumptions (NG)'!AS26)/10^9+AT412*8760*('Assumptions (NG)'!AS15*'Assumptions (NG)'!AS18*'Assumptions (NG)'!AS24+'Assumptions (NG)'!AS16*'Assumptions (NG)'!AS20*'Assumptions (NG)'!AS27)/10^9</f>
        <v>1.6525587398968167</v>
      </c>
      <c r="AU415" s="105">
        <f>AU412*('Assumptions (NG)'!AT15*'Assumptions (NG)'!AT23+'Assumptions (NG)'!AT16*'Assumptions (NG)'!AT26)/10^9+AU412*8760*('Assumptions (NG)'!AT15*'Assumptions (NG)'!AT18*'Assumptions (NG)'!AT24+'Assumptions (NG)'!AT16*'Assumptions (NG)'!AT20*'Assumptions (NG)'!AT27)/10^9</f>
        <v>1.3848189901085726</v>
      </c>
      <c r="AV415" s="105">
        <f>AV412*('Assumptions (NG)'!AU15*'Assumptions (NG)'!AU23+'Assumptions (NG)'!AU16*'Assumptions (NG)'!AU26)/10^9+AV412*8760*('Assumptions (NG)'!AU15*'Assumptions (NG)'!AU18*'Assumptions (NG)'!AU24+'Assumptions (NG)'!AU16*'Assumptions (NG)'!AU20*'Assumptions (NG)'!AU27)/10^9</f>
        <v>1.1262768575045961</v>
      </c>
      <c r="AW415" s="105">
        <f>AW412*('Assumptions (NG)'!AV15*'Assumptions (NG)'!AV23+'Assumptions (NG)'!AV16*'Assumptions (NG)'!AV26)/10^9+AW412*8760*('Assumptions (NG)'!AV15*'Assumptions (NG)'!AV18*'Assumptions (NG)'!AV24+'Assumptions (NG)'!AV16*'Assumptions (NG)'!AV20*'Assumptions (NG)'!AV27)/10^9</f>
        <v>0.8779628264634044</v>
      </c>
      <c r="AX415" s="105">
        <f>AX412*('Assumptions (NG)'!AW15*'Assumptions (NG)'!AW23+'Assumptions (NG)'!AW16*'Assumptions (NG)'!AW26)/10^9+AX412*8760*('Assumptions (NG)'!AW15*'Assumptions (NG)'!AW18*'Assumptions (NG)'!AW24+'Assumptions (NG)'!AW16*'Assumptions (NG)'!AW20*'Assumptions (NG)'!AW27)/10^9</f>
        <v>0.64095671998561254</v>
      </c>
      <c r="AY415" s="105">
        <f>AY412*('Assumptions (NG)'!AX15*'Assumptions (NG)'!AX23+'Assumptions (NG)'!AX16*'Assumptions (NG)'!AX26)/10^9+AY412*8760*('Assumptions (NG)'!AX15*'Assumptions (NG)'!AX18*'Assumptions (NG)'!AX24+'Assumptions (NG)'!AX16*'Assumptions (NG)'!AX20*'Assumptions (NG)'!AX27)/10^9</f>
        <v>0.41638948216741506</v>
      </c>
      <c r="AZ415" s="105">
        <f>AZ412*('Assumptions (NG)'!AY15*'Assumptions (NG)'!AY23+'Assumptions (NG)'!AY16*'Assumptions (NG)'!AY26)/10^9+AZ412*8760*('Assumptions (NG)'!AY15*'Assumptions (NG)'!AY18*'Assumptions (NG)'!AY24+'Assumptions (NG)'!AY16*'Assumptions (NG)'!AY20*'Assumptions (NG)'!AY27)/10^9</f>
        <v>0.20544501601586376</v>
      </c>
      <c r="BA415" s="105">
        <f>BA412*('Assumptions (NG)'!AZ15*'Assumptions (NG)'!AZ23+'Assumptions (NG)'!AZ16*'Assumptions (NG)'!AZ26)/10^9+BA412*8760*('Assumptions (NG)'!AZ15*'Assumptions (NG)'!AZ18*'Assumptions (NG)'!AZ24+'Assumptions (NG)'!AZ16*'Assumptions (NG)'!AZ20*'Assumptions (NG)'!AZ27)/10^9</f>
        <v>9.3620781656262395E-3</v>
      </c>
    </row>
    <row r="416" spans="1:73" ht="15.75" customHeight="1">
      <c r="A416" s="384" t="s">
        <v>844</v>
      </c>
      <c r="B416" s="43" t="s">
        <v>845</v>
      </c>
      <c r="C416" s="109">
        <f t="shared" ref="C416:BA416" si="11">1000*C417/C413</f>
        <v>8.72605720014238</v>
      </c>
      <c r="D416" s="109">
        <f t="shared" si="11"/>
        <v>8.4063569872744335</v>
      </c>
      <c r="E416" s="109">
        <f t="shared" si="11"/>
        <v>8.2505419340094477</v>
      </c>
      <c r="F416" s="109">
        <f t="shared" si="11"/>
        <v>7.9343836310491911</v>
      </c>
      <c r="G416" s="109">
        <f t="shared" si="11"/>
        <v>7.7284939534931487</v>
      </c>
      <c r="H416" s="109">
        <f t="shared" si="11"/>
        <v>7.7518701020157081</v>
      </c>
      <c r="I416" s="109">
        <f t="shared" si="11"/>
        <v>7.6564867631204043</v>
      </c>
      <c r="J416" s="109">
        <f t="shared" si="11"/>
        <v>7.6619575428013897</v>
      </c>
      <c r="K416" s="109">
        <f t="shared" si="11"/>
        <v>7.5883571928879654</v>
      </c>
      <c r="L416" s="109">
        <f t="shared" si="11"/>
        <v>7.488544178810268</v>
      </c>
      <c r="M416" s="109">
        <f t="shared" si="11"/>
        <v>7.5105655388875645</v>
      </c>
      <c r="N416" s="109">
        <f t="shared" si="11"/>
        <v>7.4966639107071957</v>
      </c>
      <c r="O416" s="109">
        <f t="shared" si="11"/>
        <v>7.4532343964764607</v>
      </c>
      <c r="P416" s="109">
        <f t="shared" si="11"/>
        <v>7.3032759986692284</v>
      </c>
      <c r="Q416" s="109">
        <f t="shared" si="11"/>
        <v>7.2552729488007515</v>
      </c>
      <c r="R416" s="109">
        <f t="shared" si="11"/>
        <v>7.2234327309923252</v>
      </c>
      <c r="S416" s="109">
        <f t="shared" si="11"/>
        <v>7.2567756133975916</v>
      </c>
      <c r="T416" s="109">
        <f t="shared" si="11"/>
        <v>7.1493596372676169</v>
      </c>
      <c r="U416" s="109">
        <f t="shared" si="11"/>
        <v>7.255591473107132</v>
      </c>
      <c r="V416" s="109">
        <f t="shared" si="11"/>
        <v>6.8299447303795482</v>
      </c>
      <c r="W416" s="109">
        <f t="shared" si="11"/>
        <v>7.5821561608660746</v>
      </c>
      <c r="X416" s="109">
        <f t="shared" si="11"/>
        <v>7.1061850335556223</v>
      </c>
      <c r="Y416" s="109">
        <f t="shared" si="11"/>
        <v>6.6479132934453879</v>
      </c>
      <c r="Z416" s="109">
        <f t="shared" si="11"/>
        <v>6.2070949951293954</v>
      </c>
      <c r="AA416" s="109">
        <f t="shared" si="11"/>
        <v>5.7834841932626668</v>
      </c>
      <c r="AB416" s="109">
        <f t="shared" si="11"/>
        <v>5.3768349425734296</v>
      </c>
      <c r="AC416" s="109">
        <f t="shared" si="11"/>
        <v>4.9869012978783713</v>
      </c>
      <c r="AD416" s="109">
        <f t="shared" si="11"/>
        <v>4.6134373141018674</v>
      </c>
      <c r="AE416" s="109">
        <f t="shared" si="11"/>
        <v>4.3654491253907972</v>
      </c>
      <c r="AF416" s="109">
        <f t="shared" si="11"/>
        <v>4.1218114904555696</v>
      </c>
      <c r="AG416" s="109">
        <f t="shared" si="11"/>
        <v>3.8825244133798655</v>
      </c>
      <c r="AH416" s="109">
        <f t="shared" si="11"/>
        <v>3.6475878991070965</v>
      </c>
      <c r="AI416" s="109">
        <f t="shared" si="11"/>
        <v>3.4170019536791987</v>
      </c>
      <c r="AJ416" s="109">
        <f t="shared" si="11"/>
        <v>3.1907665845597468</v>
      </c>
      <c r="AK416" s="109">
        <f t="shared" si="11"/>
        <v>2.968881801078203</v>
      </c>
      <c r="AL416" s="109">
        <f t="shared" si="11"/>
        <v>2.751347615051885</v>
      </c>
      <c r="AM416" s="109">
        <f t="shared" si="11"/>
        <v>2.5381640416744813</v>
      </c>
      <c r="AN416" s="109">
        <f t="shared" si="11"/>
        <v>2.3293311008146556</v>
      </c>
      <c r="AO416" s="109">
        <f t="shared" si="11"/>
        <v>2.1248488189639527</v>
      </c>
      <c r="AP416" s="109">
        <f t="shared" si="11"/>
        <v>1.9247172322471893</v>
      </c>
      <c r="AQ416" s="109">
        <f t="shared" si="11"/>
        <v>1.728936391239084</v>
      </c>
      <c r="AR416" s="109">
        <f t="shared" si="11"/>
        <v>1.5375063689919659</v>
      </c>
      <c r="AS416" s="109">
        <f t="shared" si="11"/>
        <v>1.3504272750842541</v>
      </c>
      <c r="AT416" s="109">
        <f t="shared" si="11"/>
        <v>1.1676992817104515</v>
      </c>
      <c r="AU416" s="109">
        <f t="shared" si="11"/>
        <v>0.98932267586107669</v>
      </c>
      <c r="AV416" s="109">
        <f t="shared" si="11"/>
        <v>0.81529797411828031</v>
      </c>
      <c r="AW416" s="109">
        <f t="shared" si="11"/>
        <v>0.64562620964418083</v>
      </c>
      <c r="AX416" s="109">
        <f t="shared" si="11"/>
        <v>0.48030979314260719</v>
      </c>
      <c r="AY416" s="109">
        <f t="shared" si="11"/>
        <v>0.31935595668421529</v>
      </c>
      <c r="AZ416" s="109">
        <f t="shared" si="11"/>
        <v>0.16280086013230458</v>
      </c>
      <c r="BA416" s="109">
        <f t="shared" si="11"/>
        <v>8.5499999985186221</v>
      </c>
    </row>
    <row r="417" spans="1:53" ht="15.75" customHeight="1">
      <c r="A417" s="384" t="s">
        <v>846</v>
      </c>
      <c r="B417" s="43" t="s">
        <v>184</v>
      </c>
      <c r="C417" s="109">
        <v>5.21</v>
      </c>
      <c r="D417" s="109">
        <v>5.34</v>
      </c>
      <c r="E417" s="109">
        <v>5.67</v>
      </c>
      <c r="F417" s="109">
        <v>5.13</v>
      </c>
      <c r="G417" s="109">
        <v>5.46</v>
      </c>
      <c r="H417" s="109">
        <v>5.87</v>
      </c>
      <c r="I417" s="109">
        <v>6.22</v>
      </c>
      <c r="J417" s="109">
        <v>6.84</v>
      </c>
      <c r="K417" s="109">
        <v>6.67</v>
      </c>
      <c r="L417" s="109">
        <v>6.87</v>
      </c>
      <c r="M417" s="109">
        <v>7.39</v>
      </c>
      <c r="N417" s="109">
        <v>7.57</v>
      </c>
      <c r="O417" s="109">
        <v>9.11</v>
      </c>
      <c r="P417" s="109">
        <v>8.19</v>
      </c>
      <c r="Q417" s="109">
        <v>8.15</v>
      </c>
      <c r="R417" s="109">
        <v>9.61</v>
      </c>
      <c r="S417" s="109">
        <v>9.98</v>
      </c>
      <c r="T417" s="109">
        <v>9.25</v>
      </c>
      <c r="U417" s="109">
        <v>10.63</v>
      </c>
      <c r="V417" s="386">
        <f>V412*8760*('Assumptions (NG)'!U15*'Assumptions (NG)'!U18*'Assumptions (NG)'!U30+'Assumptions (NG)'!U16*'Assumptions (NG)'!U20*'Assumptions (NG)'!U31)/10^9</f>
        <v>10.962587020424852</v>
      </c>
      <c r="W417" s="386">
        <f>W412*8760*('Assumptions (NG)'!V15*'Assumptions (NG)'!V18*'Assumptions (NG)'!V30+'Assumptions (NG)'!V16*'Assumptions (NG)'!V20*'Assumptions (NG)'!V31)/10^9</f>
        <v>10.858025773080669</v>
      </c>
      <c r="X417" s="386">
        <f>X412*8760*('Assumptions (NG)'!W15*'Assumptions (NG)'!W18*'Assumptions (NG)'!W30+'Assumptions (NG)'!W16*'Assumptions (NG)'!W20*'Assumptions (NG)'!W31)/10^9</f>
        <v>9.8371978591410674</v>
      </c>
      <c r="Y417" s="386">
        <f>Y412*8760*('Assumptions (NG)'!X15*'Assumptions (NG)'!X18*'Assumptions (NG)'!X30+'Assumptions (NG)'!X16*'Assumptions (NG)'!X20*'Assumptions (NG)'!X31)/10^9</f>
        <v>8.8854675248772175</v>
      </c>
      <c r="Z417" s="386">
        <f>Z412*8760*('Assumptions (NG)'!Y15*'Assumptions (NG)'!Y18*'Assumptions (NG)'!Y30+'Assumptions (NG)'!Y16*'Assumptions (NG)'!Y20*'Assumptions (NG)'!Y31)/10^9</f>
        <v>7.9999831457008828</v>
      </c>
      <c r="AA417" s="386">
        <f>AA412*8760*('Assumptions (NG)'!Z15*'Assumptions (NG)'!Z18*'Assumptions (NG)'!Z30+'Assumptions (NG)'!Z16*'Assumptions (NG)'!Z20*'Assumptions (NG)'!Z31)/10^9</f>
        <v>7.1779400578846912</v>
      </c>
      <c r="AB417" s="386">
        <f>AB412*8760*('Assumptions (NG)'!AA15*'Assumptions (NG)'!AA18*'Assumptions (NG)'!AA30+'Assumptions (NG)'!AA16*'Assumptions (NG)'!AA20*'Assumptions (NG)'!AA31)/10^9</f>
        <v>6.4165805585621545</v>
      </c>
      <c r="AC417" s="386">
        <f>AC412*8760*('Assumptions (NG)'!AB15*'Assumptions (NG)'!AB18*'Assumptions (NG)'!AB30+'Assumptions (NG)'!AB16*'Assumptions (NG)'!AB20*'Assumptions (NG)'!AB31)/10^9</f>
        <v>5.7131939057276639</v>
      </c>
      <c r="AD417" s="386">
        <f>AD412*8760*('Assumptions (NG)'!AC15*'Assumptions (NG)'!AC18*'Assumptions (NG)'!AC30+'Assumptions (NG)'!AC16*'Assumptions (NG)'!AC20*'Assumptions (NG)'!AC31)/10^9</f>
        <v>5.0651163182364884</v>
      </c>
      <c r="AE417" s="386">
        <f>AE412*8760*('Assumptions (NG)'!AD15*'Assumptions (NG)'!AD18*'Assumptions (NG)'!AD30+'Assumptions (NG)'!AD16*'Assumptions (NG)'!AD20*'Assumptions (NG)'!AD31)/10^9</f>
        <v>4.5844642451456883</v>
      </c>
      <c r="AF417" s="386">
        <f>AF412*8760*('Assumptions (NG)'!AE15*'Assumptions (NG)'!AE18*'Assumptions (NG)'!AE30+'Assumptions (NG)'!AE16*'Assumptions (NG)'!AE20*'Assumptions (NG)'!AE31)/10^9</f>
        <v>4.131848737022211</v>
      </c>
      <c r="AG417" s="386">
        <f>AG412*8760*('Assumptions (NG)'!AF15*'Assumptions (NG)'!AF18*'Assumptions (NG)'!AF30+'Assumptions (NG)'!AF16*'Assumptions (NG)'!AF20*'Assumptions (NG)'!AF31)/10^9</f>
        <v>3.7066467771179541</v>
      </c>
      <c r="AH417" s="386">
        <f>AH412*8760*('Assumptions (NG)'!AG15*'Assumptions (NG)'!AG18*'Assumptions (NG)'!AG30+'Assumptions (NG)'!AG16*'Assumptions (NG)'!AG20*'Assumptions (NG)'!AG31)/10^9</f>
        <v>3.3082353486848213</v>
      </c>
      <c r="AI417" s="386">
        <f>AI412*8760*('Assumptions (NG)'!AH15*'Assumptions (NG)'!AH18*'Assumptions (NG)'!AH30+'Assumptions (NG)'!AH16*'Assumptions (NG)'!AH20*'Assumptions (NG)'!AH31)/10^9</f>
        <v>2.93599143497471</v>
      </c>
      <c r="AJ417" s="386">
        <f>AJ412*8760*('Assumptions (NG)'!AI15*'Assumptions (NG)'!AI18*'Assumptions (NG)'!AI30+'Assumptions (NG)'!AI16*'Assumptions (NG)'!AI20*'Assumptions (NG)'!AI31)/10^9</f>
        <v>2.5892920192395215</v>
      </c>
      <c r="AK417" s="386">
        <f>AK412*8760*('Assumptions (NG)'!AJ15*'Assumptions (NG)'!AJ18*'Assumptions (NG)'!AJ30+'Assumptions (NG)'!AJ16*'Assumptions (NG)'!AJ20*'Assumptions (NG)'!AJ31)/10^9</f>
        <v>2.2675140847311548</v>
      </c>
      <c r="AL417" s="386">
        <f>AL412*8760*('Assumptions (NG)'!AK15*'Assumptions (NG)'!AK18*'Assumptions (NG)'!AK30+'Assumptions (NG)'!AK16*'Assumptions (NG)'!AK20*'Assumptions (NG)'!AK31)/10^9</f>
        <v>1.9700346147015115</v>
      </c>
      <c r="AM417" s="386">
        <f>AM412*8760*('Assumptions (NG)'!AL15*'Assumptions (NG)'!AL18*'Assumptions (NG)'!AL30+'Assumptions (NG)'!AL16*'Assumptions (NG)'!AL20*'Assumptions (NG)'!AL31)/10^9</f>
        <v>1.6962305924024899</v>
      </c>
      <c r="AN417" s="386">
        <f>AN412*8760*('Assumptions (NG)'!AM15*'Assumptions (NG)'!AM18*'Assumptions (NG)'!AM30+'Assumptions (NG)'!AM16*'Assumptions (NG)'!AM20*'Assumptions (NG)'!AM31)/10^9</f>
        <v>1.4454790010859904</v>
      </c>
      <c r="AO417" s="386">
        <f>AO412*8760*('Assumptions (NG)'!AN15*'Assumptions (NG)'!AN18*'Assumptions (NG)'!AN30+'Assumptions (NG)'!AN16*'Assumptions (NG)'!AN20*'Assumptions (NG)'!AN31)/10^9</f>
        <v>1.2171568240039132</v>
      </c>
      <c r="AP417" s="386">
        <f>AP412*8760*('Assumptions (NG)'!AO15*'Assumptions (NG)'!AO18*'Assumptions (NG)'!AO30+'Assumptions (NG)'!AO16*'Assumptions (NG)'!AO20*'Assumptions (NG)'!AO31)/10^9</f>
        <v>1.0106410444081584</v>
      </c>
      <c r="AQ417" s="386">
        <f>AQ412*8760*('Assumptions (NG)'!AP15*'Assumptions (NG)'!AP18*'Assumptions (NG)'!AP30+'Assumptions (NG)'!AP16*'Assumptions (NG)'!AP20*'Assumptions (NG)'!AP31)/10^9</f>
        <v>0.82530864555062566</v>
      </c>
      <c r="AR417" s="386">
        <f>AR412*8760*('Assumptions (NG)'!AQ15*'Assumptions (NG)'!AQ18*'Assumptions (NG)'!AQ30+'Assumptions (NG)'!AQ16*'Assumptions (NG)'!AQ20*'Assumptions (NG)'!AQ31)/10^9</f>
        <v>0.66053661068321456</v>
      </c>
      <c r="AS417" s="386">
        <f>AS412*8760*('Assumptions (NG)'!AR15*'Assumptions (NG)'!AR18*'Assumptions (NG)'!AR30+'Assumptions (NG)'!AR16*'Assumptions (NG)'!AR20*'Assumptions (NG)'!AR31)/10^9</f>
        <v>0.51570192305782603</v>
      </c>
      <c r="AT417" s="386">
        <f>AT412*8760*('Assumptions (NG)'!AS15*'Assumptions (NG)'!AS18*'Assumptions (NG)'!AS30+'Assumptions (NG)'!AS16*'Assumptions (NG)'!AS20*'Assumptions (NG)'!AS31)/10^9</f>
        <v>0.39018156592635911</v>
      </c>
      <c r="AU417" s="386">
        <f>AU412*8760*('Assumptions (NG)'!AT15*'Assumptions (NG)'!AT18*'Assumptions (NG)'!AT30+'Assumptions (NG)'!AT16*'Assumptions (NG)'!AT20*'Assumptions (NG)'!AT31)/10^9</f>
        <v>0.28335252254071458</v>
      </c>
      <c r="AV417" s="386">
        <f>AV412*8760*('Assumptions (NG)'!AU15*'Assumptions (NG)'!AU18*'Assumptions (NG)'!AU30+'Assumptions (NG)'!AU16*'Assumptions (NG)'!AU20*'Assumptions (NG)'!AU31)/10^9</f>
        <v>0.19459177615279188</v>
      </c>
      <c r="AW417" s="386">
        <f>AW412*8760*('Assumptions (NG)'!AV15*'Assumptions (NG)'!AV18*'Assumptions (NG)'!AV30+'Assumptions (NG)'!AV16*'Assumptions (NG)'!AV20*'Assumptions (NG)'!AV31)/10^9</f>
        <v>0.12327631001449127</v>
      </c>
      <c r="AX417" s="386">
        <f>AX412*8760*('Assumptions (NG)'!AW15*'Assumptions (NG)'!AW18*'Assumptions (NG)'!AW30+'Assumptions (NG)'!AW16*'Assumptions (NG)'!AW20*'Assumptions (NG)'!AW31)/10^9</f>
        <v>6.8783107377712635E-2</v>
      </c>
      <c r="AY417" s="386">
        <f>AY412*8760*('Assumptions (NG)'!AX15*'Assumptions (NG)'!AX18*'Assumptions (NG)'!AX30+'Assumptions (NG)'!AX16*'Assumptions (NG)'!AX20*'Assumptions (NG)'!AX31)/10^9</f>
        <v>3.0489151494355923E-2</v>
      </c>
      <c r="AZ417" s="386">
        <f>AZ412*8760*('Assumptions (NG)'!AY15*'Assumptions (NG)'!AY18*'Assumptions (NG)'!AY30+'Assumptions (NG)'!AY16*'Assumptions (NG)'!AY20*'Assumptions (NG)'!AY31)/10^9</f>
        <v>7.771425616321141E-3</v>
      </c>
      <c r="BA417" s="386">
        <f>BA412*8760*('Assumptions (NG)'!AZ15*'Assumptions (NG)'!AZ18*'Assumptions (NG)'!AZ30+'Assumptions (NG)'!AZ16*'Assumptions (NG)'!AZ20*'Assumptions (NG)'!AZ31)/10^9</f>
        <v>6.9129955082110721E-6</v>
      </c>
    </row>
    <row r="418" spans="1:53" ht="15.75" customHeight="1">
      <c r="A418" s="379" t="s">
        <v>34</v>
      </c>
      <c r="B418" s="99" t="s">
        <v>201</v>
      </c>
      <c r="C418" s="387">
        <f>C417*'Assumptions (NG)'!B52</f>
        <v>22.819800000000001</v>
      </c>
      <c r="D418" s="387">
        <f>D417*'Assumptions (NG)'!C52</f>
        <v>24.6174</v>
      </c>
      <c r="E418" s="387">
        <f>E417*'Assumptions (NG)'!D52</f>
        <v>20.865600000000001</v>
      </c>
      <c r="F418" s="387">
        <f>F417*'Assumptions (NG)'!E52</f>
        <v>28.574100000000001</v>
      </c>
      <c r="G418" s="387">
        <f>G417*'Assumptions (NG)'!F52</f>
        <v>33.360599999999998</v>
      </c>
      <c r="H418" s="387">
        <f>H417*'Assumptions (NG)'!G52</f>
        <v>49.718900000000005</v>
      </c>
      <c r="I418" s="387">
        <f>I417*'Assumptions (NG)'!H52</f>
        <v>44.224200000000003</v>
      </c>
      <c r="J418" s="387">
        <f>J417*'Assumptions (NG)'!I52</f>
        <v>50.000399999999999</v>
      </c>
      <c r="K418" s="387">
        <f>K417*'Assumptions (NG)'!J52</f>
        <v>61.764199999999995</v>
      </c>
      <c r="L418" s="387">
        <f>L417*'Assumptions (NG)'!K52</f>
        <v>33.869099999999996</v>
      </c>
      <c r="M418" s="387">
        <f>M417*'Assumptions (NG)'!L52</f>
        <v>38.945299999999996</v>
      </c>
      <c r="N418" s="387">
        <f>N417*'Assumptions (NG)'!M52</f>
        <v>37.017299999999999</v>
      </c>
      <c r="O418" s="387">
        <f>O417*'Assumptions (NG)'!N52</f>
        <v>32.249400000000001</v>
      </c>
      <c r="P418" s="387">
        <f>P417*'Assumptions (NG)'!O52</f>
        <v>36.773099999999999</v>
      </c>
      <c r="Q418" s="387">
        <f>Q417*'Assumptions (NG)'!P52</f>
        <v>42.298500000000004</v>
      </c>
      <c r="R418" s="387">
        <f>R417*'Assumptions (NG)'!Q52</f>
        <v>32.4818</v>
      </c>
      <c r="S418" s="387">
        <f>S417*'Assumptions (NG)'!R52</f>
        <v>29.840200000000003</v>
      </c>
      <c r="T418" s="387">
        <f>T417*'Assumptions (NG)'!S52</f>
        <v>32.56</v>
      </c>
      <c r="U418" s="387">
        <f>U417*'Assumptions (NG)'!T52</f>
        <v>39.012100000000004</v>
      </c>
      <c r="V418" s="387">
        <f>V417*'Assumptions (NG)'!U52</f>
        <v>37.157754481252155</v>
      </c>
      <c r="W418" s="387">
        <f>W417*'Assumptions (NG)'!V52</f>
        <v>38.226070623058327</v>
      </c>
      <c r="X418" s="387">
        <f>X417*'Assumptions (NG)'!W52</f>
        <v>34.079850542438287</v>
      </c>
      <c r="Y418" s="387">
        <f>Y412*8760*('Assumptions (NG)'!X15*'Assumptions (NG)'!X18*'Assumptions (NG)'!X32+'Assumptions (NG)'!X16*'Assumptions (NG)'!X20*'Assumptions (NG)'!X33)/10^9</f>
        <v>31.295363001889651</v>
      </c>
      <c r="Z418" s="387">
        <f>Z412*8760*('Assumptions (NG)'!Y15*'Assumptions (NG)'!Y18*'Assumptions (NG)'!Y32+'Assumptions (NG)'!Y16*'Assumptions (NG)'!Y20*'Assumptions (NG)'!Y33)/10^9</f>
        <v>29.568201705954266</v>
      </c>
      <c r="AA418" s="387">
        <f>AA412*8760*('Assumptions (NG)'!Z15*'Assumptions (NG)'!Z18*'Assumptions (NG)'!Z32+'Assumptions (NG)'!Z16*'Assumptions (NG)'!Z20*'Assumptions (NG)'!Z33)/10^9</f>
        <v>28.190634605396269</v>
      </c>
      <c r="AB418" s="387">
        <f>AB412*8760*('Assumptions (NG)'!AA15*'Assumptions (NG)'!AA18*'Assumptions (NG)'!AA32+'Assumptions (NG)'!AA16*'Assumptions (NG)'!AA20*'Assumptions (NG)'!AA33)/10^9</f>
        <v>26.694970680172275</v>
      </c>
      <c r="AC418" s="387">
        <f>AC412*8760*('Assumptions (NG)'!AB15*'Assumptions (NG)'!AB18*'Assumptions (NG)'!AB32+'Assumptions (NG)'!AB16*'Assumptions (NG)'!AB20*'Assumptions (NG)'!AB33)/10^9</f>
        <v>24.163833647203134</v>
      </c>
      <c r="AD418" s="387">
        <f>AD412*8760*('Assumptions (NG)'!AC15*'Assumptions (NG)'!AC18*'Assumptions (NG)'!AC32+'Assumptions (NG)'!AC16*'Assumptions (NG)'!AC20*'Assumptions (NG)'!AC33)/10^9</f>
        <v>21.464615635745588</v>
      </c>
      <c r="AE418" s="387">
        <f>AE412*8760*('Assumptions (NG)'!AD15*'Assumptions (NG)'!AD18*'Assumptions (NG)'!AD32+'Assumptions (NG)'!AD16*'Assumptions (NG)'!AD20*'Assumptions (NG)'!AD33)/10^9</f>
        <v>19.795336100006732</v>
      </c>
      <c r="AF418" s="387">
        <f>AF412*8760*('Assumptions (NG)'!AE15*'Assumptions (NG)'!AE18*'Assumptions (NG)'!AE32+'Assumptions (NG)'!AE16*'Assumptions (NG)'!AE20*'Assumptions (NG)'!AE33)/10^9</f>
        <v>17.815069079586863</v>
      </c>
      <c r="AG418" s="387">
        <f>AG412*8760*('Assumptions (NG)'!AF15*'Assumptions (NG)'!AF18*'Assumptions (NG)'!AF32+'Assumptions (NG)'!AF16*'Assumptions (NG)'!AF20*'Assumptions (NG)'!AF33)/10^9</f>
        <v>16.127090076751092</v>
      </c>
      <c r="AH418" s="387">
        <f>AH412*8760*('Assumptions (NG)'!AG15*'Assumptions (NG)'!AG18*'Assumptions (NG)'!AG32+'Assumptions (NG)'!AG16*'Assumptions (NG)'!AG20*'Assumptions (NG)'!AG33)/10^9</f>
        <v>14.360695667458501</v>
      </c>
      <c r="AI418" s="387">
        <f>AI412*8760*('Assumptions (NG)'!AH15*'Assumptions (NG)'!AH18*'Assumptions (NG)'!AH32+'Assumptions (NG)'!AH16*'Assumptions (NG)'!AH20*'Assumptions (NG)'!AH33)/10^9</f>
        <v>13.204506975132793</v>
      </c>
      <c r="AJ418" s="387">
        <f>AJ412*8760*('Assumptions (NG)'!AI15*'Assumptions (NG)'!AI18*'Assumptions (NG)'!AI32+'Assumptions (NG)'!AI16*'Assumptions (NG)'!AI20*'Assumptions (NG)'!AI33)/10^9</f>
        <v>11.793210145164476</v>
      </c>
      <c r="AK418" s="387">
        <f>AK412*8760*('Assumptions (NG)'!AJ15*'Assumptions (NG)'!AJ18*'Assumptions (NG)'!AJ32+'Assumptions (NG)'!AJ16*'Assumptions (NG)'!AJ20*'Assumptions (NG)'!AJ33)/10^9</f>
        <v>10.423574043840087</v>
      </c>
      <c r="AL418" s="387">
        <f>AL412*8760*('Assumptions (NG)'!AK15*'Assumptions (NG)'!AK18*'Assumptions (NG)'!AK32+'Assumptions (NG)'!AK16*'Assumptions (NG)'!AK20*'Assumptions (NG)'!AK33)/10^9</f>
        <v>9.131669928972082</v>
      </c>
      <c r="AM418" s="387">
        <f>AM412*8760*('Assumptions (NG)'!AL15*'Assumptions (NG)'!AL18*'Assumptions (NG)'!AL32+'Assumptions (NG)'!AL16*'Assumptions (NG)'!AL20*'Assumptions (NG)'!AL33)/10^9</f>
        <v>7.9926470325534957</v>
      </c>
      <c r="AN418" s="387">
        <f>AN412*8760*('Assumptions (NG)'!AM15*'Assumptions (NG)'!AM18*'Assumptions (NG)'!AM32+'Assumptions (NG)'!AM16*'Assumptions (NG)'!AM20*'Assumptions (NG)'!AM33)/10^9</f>
        <v>6.8264480401087209</v>
      </c>
      <c r="AO418" s="387">
        <f>AO412*8760*('Assumptions (NG)'!AN15*'Assumptions (NG)'!AN18*'Assumptions (NG)'!AN32+'Assumptions (NG)'!AN16*'Assumptions (NG)'!AN20*'Assumptions (NG)'!AN33)/10^9</f>
        <v>5.7473999170645902</v>
      </c>
      <c r="AP418" s="387">
        <f>AP412*8760*('Assumptions (NG)'!AO15*'Assumptions (NG)'!AO18*'Assumptions (NG)'!AO32+'Assumptions (NG)'!AO16*'Assumptions (NG)'!AO20*'Assumptions (NG)'!AO33)/10^9</f>
        <v>4.7915532875666527</v>
      </c>
      <c r="AQ418" s="387">
        <f>AQ412*8760*('Assumptions (NG)'!AP15*'Assumptions (NG)'!AP18*'Assumptions (NG)'!AP32+'Assumptions (NG)'!AP16*'Assumptions (NG)'!AP20*'Assumptions (NG)'!AP33)/10^9</f>
        <v>3.9724143622706118</v>
      </c>
      <c r="AR418" s="387">
        <f>AR412*8760*('Assumptions (NG)'!AQ15*'Assumptions (NG)'!AQ18*'Assumptions (NG)'!AQ32+'Assumptions (NG)'!AQ16*'Assumptions (NG)'!AQ20*'Assumptions (NG)'!AQ33)/10^9</f>
        <v>3.1659255535402204</v>
      </c>
      <c r="AS418" s="387">
        <f>AS412*8760*('Assumptions (NG)'!AR15*'Assumptions (NG)'!AR18*'Assumptions (NG)'!AR32+'Assumptions (NG)'!AR16*'Assumptions (NG)'!AR20*'Assumptions (NG)'!AR33)/10^9</f>
        <v>2.4947632328980007</v>
      </c>
      <c r="AT418" s="387">
        <f>AT412*8760*('Assumptions (NG)'!AS15*'Assumptions (NG)'!AS18*'Assumptions (NG)'!AS32+'Assumptions (NG)'!AS16*'Assumptions (NG)'!AS20*'Assumptions (NG)'!AS33)/10^9</f>
        <v>1.9125674184191734</v>
      </c>
      <c r="AU418" s="387">
        <f>AU412*8760*('Assumptions (NG)'!AT15*'Assumptions (NG)'!AT18*'Assumptions (NG)'!AT32+'Assumptions (NG)'!AT16*'Assumptions (NG)'!AT20*'Assumptions (NG)'!AT33)/10^9</f>
        <v>1.4153328158748324</v>
      </c>
      <c r="AV418" s="387">
        <f>AV412*8760*('Assumptions (NG)'!AU15*'Assumptions (NG)'!AU18*'Assumptions (NG)'!AU32+'Assumptions (NG)'!AU16*'Assumptions (NG)'!AU20*'Assumptions (NG)'!AU33)/10^9</f>
        <v>0.98647425257665144</v>
      </c>
      <c r="AW418" s="387">
        <f>AW412*8760*('Assumptions (NG)'!AV15*'Assumptions (NG)'!AV18*'Assumptions (NG)'!AV32+'Assumptions (NG)'!AV16*'Assumptions (NG)'!AV20*'Assumptions (NG)'!AV33)/10^9</f>
        <v>0.63190968063450181</v>
      </c>
      <c r="AX418" s="387">
        <f>AX412*8760*('Assumptions (NG)'!AW15*'Assumptions (NG)'!AW18*'Assumptions (NG)'!AW32+'Assumptions (NG)'!AW16*'Assumptions (NG)'!AW20*'Assumptions (NG)'!AW33)/10^9</f>
        <v>0.35791014791563247</v>
      </c>
      <c r="AY418" s="387">
        <f>AY412*8760*('Assumptions (NG)'!AX15*'Assumptions (NG)'!AX18*'Assumptions (NG)'!AX32+'Assumptions (NG)'!AX16*'Assumptions (NG)'!AX20*'Assumptions (NG)'!AX33)/10^9</f>
        <v>0.16318842706590697</v>
      </c>
      <c r="AZ418" s="387">
        <f>AZ412*8760*('Assumptions (NG)'!AY15*'Assumptions (NG)'!AY18*'Assumptions (NG)'!AY32+'Assumptions (NG)'!AY16*'Assumptions (NG)'!AY20*'Assumptions (NG)'!AY33)/10^9</f>
        <v>4.2337102529763769E-2</v>
      </c>
      <c r="BA418" s="387">
        <f>BA412*8760*('Assumptions (NG)'!AZ15*'Assumptions (NG)'!AZ18*'Assumptions (NG)'!AZ32+'Assumptions (NG)'!AZ16*'Assumptions (NG)'!AZ20*'Assumptions (NG)'!AZ33)/10^9</f>
        <v>3.8292084504329822E-5</v>
      </c>
    </row>
    <row r="419" spans="1:53" ht="15.75" customHeight="1">
      <c r="A419" s="379" t="s">
        <v>36</v>
      </c>
      <c r="B419" s="99" t="s">
        <v>201</v>
      </c>
      <c r="C419" s="105">
        <f>C413*'Assumptions (NG)'!B47/10^3</f>
        <v>39.965322023595</v>
      </c>
      <c r="D419" s="105">
        <f>D413*'Assumptions (NG)'!C47/10^3</f>
        <v>43.553327387147704</v>
      </c>
      <c r="E419" s="105">
        <f>E413*'Assumptions (NG)'!D47/10^3</f>
        <v>42.599588585958401</v>
      </c>
      <c r="F419" s="105">
        <f>F413*'Assumptions (NG)'!E47/10^3</f>
        <v>48.717708264994215</v>
      </c>
      <c r="G419" s="105">
        <f>G413*'Assumptions (NG)'!F47/10^3</f>
        <v>55.930126179969093</v>
      </c>
      <c r="H419" s="105">
        <f>H413*'Assumptions (NG)'!G47/10^3</f>
        <v>72.583327067579887</v>
      </c>
      <c r="I419" s="105">
        <f>I413*'Assumptions (NG)'!H47/10^3</f>
        <v>70.0580449748457</v>
      </c>
      <c r="J419" s="105">
        <f>J413*'Assumptions (NG)'!I47/10^3</f>
        <v>78.248623103280096</v>
      </c>
      <c r="K419" s="105">
        <f>K413*'Assumptions (NG)'!J47/10^3</f>
        <v>89.161959143689614</v>
      </c>
      <c r="L419" s="105">
        <f>L413*'Assumptions (NG)'!K47/10^3</f>
        <v>64.975037254477783</v>
      </c>
      <c r="M419" s="105">
        <f>M413*'Assumptions (NG)'!L47/10^3</f>
        <v>72.0533717731401</v>
      </c>
      <c r="N419" s="105">
        <f>N413*'Assumptions (NG)'!M47/10^3</f>
        <v>71.232379810611619</v>
      </c>
      <c r="O419" s="105">
        <f>O413*'Assumptions (NG)'!N47/10^3</f>
        <v>74.556887445094176</v>
      </c>
      <c r="P419" s="105">
        <f>P413*'Assumptions (NG)'!O47/10^3</f>
        <v>75.93580156371651</v>
      </c>
      <c r="Q419" s="105">
        <f>Q413*'Assumptions (NG)'!P47/10^3</f>
        <v>81.624206171028703</v>
      </c>
      <c r="R419" s="105">
        <f>R413*'Assumptions (NG)'!Q47/10^3</f>
        <v>79.64606959397338</v>
      </c>
      <c r="S419" s="105">
        <f>S413*'Assumptions (NG)'!R47/10^3</f>
        <v>88.113321131149988</v>
      </c>
      <c r="T419" s="105">
        <f>T413*'Assumptions (NG)'!S47/10^3</f>
        <v>80.915638511799983</v>
      </c>
      <c r="U419" s="105">
        <f>U413*'Assumptions (NG)'!T47/10^3</f>
        <v>94.05794173080001</v>
      </c>
      <c r="V419" s="105">
        <f>V413*'Assumptions (NG)'!U47/10^3</f>
        <v>104.47446023766001</v>
      </c>
      <c r="W419" s="105">
        <f>W413*'Assumptions (NG)'!V47/10^3</f>
        <v>97.226563053902737</v>
      </c>
      <c r="X419" s="105">
        <f>X413*'Assumptions (NG)'!W47/10^3</f>
        <v>94.698532408875039</v>
      </c>
      <c r="Y419" s="105">
        <f>Y413*'Assumptions (NG)'!X47/10^3</f>
        <v>92.277264934781996</v>
      </c>
      <c r="Z419" s="105">
        <f>Z413*'Assumptions (NG)'!Y47/10^3</f>
        <v>90.433005752754127</v>
      </c>
      <c r="AA419" s="105">
        <f>AA413*'Assumptions (NG)'!Z47/10^3</f>
        <v>88.738793975470983</v>
      </c>
      <c r="AB419" s="105">
        <f>AB413*'Assumptions (NG)'!AA47/10^3</f>
        <v>87.732862764801652</v>
      </c>
      <c r="AC419" s="105">
        <f>AC413*'Assumptions (NG)'!AB47/10^3</f>
        <v>85.583459753127968</v>
      </c>
      <c r="AD419" s="105">
        <f>AD413*'Assumptions (NG)'!AC47/10^3</f>
        <v>83.629198475942829</v>
      </c>
      <c r="AE419" s="105">
        <f>AE413*'Assumptions (NG)'!AD47/10^3</f>
        <v>81.398140148529308</v>
      </c>
      <c r="AF419" s="105">
        <f>AF413*'Assumptions (NG)'!AE47/10^3</f>
        <v>79.129253840217601</v>
      </c>
      <c r="AG419" s="105">
        <f>AG413*'Assumptions (NG)'!AF47/10^3</f>
        <v>76.752892273961777</v>
      </c>
      <c r="AH419" s="105">
        <f>AH413*'Assumptions (NG)'!AG47/10^3</f>
        <v>74.370440321668212</v>
      </c>
      <c r="AI419" s="105">
        <f>AI413*'Assumptions (NG)'!AH47/10^3</f>
        <v>71.563697753111271</v>
      </c>
      <c r="AJ419" s="105">
        <f>AJ413*'Assumptions (NG)'!AI47/10^3</f>
        <v>68.613694885334553</v>
      </c>
      <c r="AK419" s="105">
        <f>AK413*'Assumptions (NG)'!AJ47/10^3</f>
        <v>65.563140236397714</v>
      </c>
      <c r="AL419" s="105">
        <f>AL413*'Assumptions (NG)'!AK47/10^3</f>
        <v>62.496481839297523</v>
      </c>
      <c r="AM419" s="105">
        <f>AM413*'Assumptions (NG)'!AL47/10^3</f>
        <v>59.539031802359389</v>
      </c>
      <c r="AN419" s="105">
        <f>AN413*'Assumptions (NG)'!AM47/10^3</f>
        <v>56.3744238895111</v>
      </c>
      <c r="AO419" s="105">
        <f>AO413*'Assumptions (NG)'!AN47/10^3</f>
        <v>53.206351604035838</v>
      </c>
      <c r="AP419" s="105">
        <f>AP413*'Assumptions (NG)'!AO47/10^3</f>
        <v>49.86231536387583</v>
      </c>
      <c r="AQ419" s="105">
        <f>AQ413*'Assumptions (NG)'!AP47/10^3</f>
        <v>46.254332320857557</v>
      </c>
      <c r="AR419" s="105">
        <f>AR413*'Assumptions (NG)'!AQ47/10^3</f>
        <v>42.442972499087546</v>
      </c>
      <c r="AS419" s="105">
        <f>AS413*'Assumptions (NG)'!AR47/10^3</f>
        <v>38.445794753703836</v>
      </c>
      <c r="AT419" s="105">
        <f>AT413*'Assumptions (NG)'!AS47/10^3</f>
        <v>34.306664281305267</v>
      </c>
      <c r="AU419" s="105">
        <f>AU413*'Assumptions (NG)'!AT47/10^3</f>
        <v>30.015300418267969</v>
      </c>
      <c r="AV419" s="105">
        <f>AV413*'Assumptions (NG)'!AU47/10^3</f>
        <v>25.533791033942371</v>
      </c>
      <c r="AW419" s="105">
        <f>AW413*'Assumptions (NG)'!AV47/10^3</f>
        <v>20.808597348411784</v>
      </c>
      <c r="AX419" s="105">
        <f>AX413*'Assumptions (NG)'!AW47/10^3</f>
        <v>15.949482096729662</v>
      </c>
      <c r="AY419" s="105">
        <f>AY413*'Assumptions (NG)'!AX47/10^3</f>
        <v>11.016303531479073</v>
      </c>
      <c r="AZ419" s="105">
        <f>AZ413*'Assumptions (NG)'!AY47/10^3</f>
        <v>5.6549233956017124</v>
      </c>
      <c r="BA419" s="105">
        <f>BA413*'Assumptions (NG)'!AZ47/10^3</f>
        <v>9.7735534328653547E-5</v>
      </c>
    </row>
    <row r="420" spans="1:53" ht="15.75" customHeight="1">
      <c r="A420" s="379" t="s">
        <v>38</v>
      </c>
      <c r="B420" s="99" t="s">
        <v>201</v>
      </c>
      <c r="C420" s="105">
        <f>C412*'Assumptions (NG)'!B49*'Assumptions (NG)'!B50*365/10^9</f>
        <v>0</v>
      </c>
      <c r="D420" s="105">
        <f>D412*'Assumptions (NG)'!C49*'Assumptions (NG)'!C50*365/10^9</f>
        <v>0</v>
      </c>
      <c r="E420" s="105">
        <f>E412*'Assumptions (NG)'!D49*'Assumptions (NG)'!D50*365/10^9</f>
        <v>0</v>
      </c>
      <c r="F420" s="105">
        <f>F412*'Assumptions (NG)'!E49*'Assumptions (NG)'!E50*365/10^9</f>
        <v>0</v>
      </c>
      <c r="G420" s="105">
        <f>G412*'Assumptions (NG)'!F49*'Assumptions (NG)'!F50*365/10^9</f>
        <v>0</v>
      </c>
      <c r="H420" s="105">
        <f>H412*'Assumptions (NG)'!G49*'Assumptions (NG)'!G50*365/10^9</f>
        <v>0</v>
      </c>
      <c r="I420" s="105">
        <f>I412*'Assumptions (NG)'!H49*'Assumptions (NG)'!H50*365/10^9</f>
        <v>0</v>
      </c>
      <c r="J420" s="105">
        <f>J412*'Assumptions (NG)'!I49*'Assumptions (NG)'!I50*365/10^9</f>
        <v>13.347054824206534</v>
      </c>
      <c r="K420" s="105">
        <f>K412*'Assumptions (NG)'!J49*'Assumptions (NG)'!J50*365/10^9</f>
        <v>13.724312105563326</v>
      </c>
      <c r="L420" s="105">
        <f>L412*'Assumptions (NG)'!K49*'Assumptions (NG)'!K50*365/10^9</f>
        <v>16.035785520269904</v>
      </c>
      <c r="M420" s="105">
        <f>M412*'Assumptions (NG)'!L49*'Assumptions (NG)'!L50*365/10^9</f>
        <v>11.357022028399372</v>
      </c>
      <c r="N420" s="105">
        <f>N412*'Assumptions (NG)'!M49*'Assumptions (NG)'!M50*365/10^9</f>
        <v>11.978573129788519</v>
      </c>
      <c r="O420" s="105">
        <f>O412*'Assumptions (NG)'!N49*'Assumptions (NG)'!N50*365/10^9</f>
        <v>11.738418101406676</v>
      </c>
      <c r="P420" s="105">
        <f>P412*'Assumptions (NG)'!O49*'Assumptions (NG)'!O50*365/10^9</f>
        <v>10.217221906817661</v>
      </c>
      <c r="Q420" s="105">
        <f>Q412*'Assumptions (NG)'!P49*'Assumptions (NG)'!P50*365/10^9</f>
        <v>11.522761541334729</v>
      </c>
      <c r="R420" s="105">
        <f>R412*'Assumptions (NG)'!Q49*'Assumptions (NG)'!Q50*365/10^9</f>
        <v>12.56947207236021</v>
      </c>
      <c r="S420" s="105">
        <f>S412*'Assumptions (NG)'!R49*'Assumptions (NG)'!R50*365/10^9</f>
        <v>10.529752423110352</v>
      </c>
      <c r="T420" s="105">
        <f>T412*'Assumptions (NG)'!S49*'Assumptions (NG)'!S50*365/10^9</f>
        <v>11.534061091298817</v>
      </c>
      <c r="U420" s="105">
        <f>U412*'Assumptions (NG)'!T49*'Assumptions (NG)'!T50*365/10^9</f>
        <v>11.452807702192043</v>
      </c>
      <c r="V420" s="105">
        <f>V412*'Assumptions (NG)'!U49*'Assumptions (NG)'!U50*365/10^9</f>
        <v>12.16865026526963</v>
      </c>
      <c r="W420" s="105">
        <f>W412*'Assumptions (NG)'!V49*'Assumptions (NG)'!V50*365/10^9</f>
        <v>12.52512976</v>
      </c>
      <c r="X420" s="105">
        <f>X412*'Assumptions (NG)'!W49*'Assumptions (NG)'!W50*365/10^9</f>
        <v>12.200155904631856</v>
      </c>
      <c r="Y420" s="105">
        <f>Y412*'Assumptions (NG)'!X49*'Assumptions (NG)'!X50*365/10^9</f>
        <v>11.88894860544511</v>
      </c>
      <c r="Z420" s="105">
        <f>Z412*'Assumptions (NG)'!Y49*'Assumptions (NG)'!Y50*365/10^9</f>
        <v>11.652101919024778</v>
      </c>
      <c r="AA420" s="105">
        <f>AA412*'Assumptions (NG)'!Z49*'Assumptions (NG)'!Z50*365/10^9</f>
        <v>11.434616392239127</v>
      </c>
      <c r="AB420" s="105">
        <f>AB412*'Assumptions (NG)'!AA49*'Assumptions (NG)'!AA50*365/10^9</f>
        <v>11.305860069817278</v>
      </c>
      <c r="AC420" s="105">
        <f>AC412*'Assumptions (NG)'!AB49*'Assumptions (NG)'!AB50*365/10^9</f>
        <v>11.029787313168361</v>
      </c>
      <c r="AD420" s="105">
        <f>AD412*'Assumptions (NG)'!AC49*'Assumptions (NG)'!AC50*365/10^9</f>
        <v>10.778897788097424</v>
      </c>
      <c r="AE420" s="105">
        <f>AE412*'Assumptions (NG)'!AD49*'Assumptions (NG)'!AD50*365/10^9</f>
        <v>10.492369440522637</v>
      </c>
      <c r="AF420" s="105">
        <f>AF412*'Assumptions (NG)'!AE49*'Assumptions (NG)'!AE50*365/10^9</f>
        <v>10.201003449808535</v>
      </c>
      <c r="AG420" s="105">
        <f>AG412*'Assumptions (NG)'!AF49*'Assumptions (NG)'!AF50*365/10^9</f>
        <v>9.8958242405970296</v>
      </c>
      <c r="AH420" s="105">
        <f>AH412*'Assumptions (NG)'!AG49*'Assumptions (NG)'!AG50*365/10^9</f>
        <v>9.5899066294848208</v>
      </c>
      <c r="AI420" s="105">
        <f>AI412*'Assumptions (NG)'!AH49*'Assumptions (NG)'!AH50*365/10^9</f>
        <v>9.2293242504390189</v>
      </c>
      <c r="AJ420" s="105">
        <f>AJ412*'Assumptions (NG)'!AI49*'Assumptions (NG)'!AI50*365/10^9</f>
        <v>8.8503094700331708</v>
      </c>
      <c r="AK420" s="105">
        <f>AK412*'Assumptions (NG)'!AJ49*'Assumptions (NG)'!AJ50*365/10^9</f>
        <v>8.458370731579242</v>
      </c>
      <c r="AL420" s="105">
        <f>AL412*'Assumptions (NG)'!AK49*'Assumptions (NG)'!AK50*365/10^9</f>
        <v>8.0644066330489697</v>
      </c>
      <c r="AM420" s="105">
        <f>AM412*'Assumptions (NG)'!AL49*'Assumptions (NG)'!AL50*365/10^9</f>
        <v>7.6846007974182617</v>
      </c>
      <c r="AN420" s="105">
        <f>AN412*'Assumptions (NG)'!AM49*'Assumptions (NG)'!AM50*365/10^9</f>
        <v>7.2781352948203395</v>
      </c>
      <c r="AO420" s="105">
        <f>AO412*'Assumptions (NG)'!AN49*'Assumptions (NG)'!AN50*365/10^9</f>
        <v>6.8713117914134205</v>
      </c>
      <c r="AP420" s="105">
        <f>AP412*'Assumptions (NG)'!AO49*'Assumptions (NG)'!AO50*365/10^9</f>
        <v>6.4418684052425261</v>
      </c>
      <c r="AQ420" s="105">
        <f>AQ412*'Assumptions (NG)'!AP49*'Assumptions (NG)'!AP50*365/10^9</f>
        <v>5.9784365121909797</v>
      </c>
      <c r="AR420" s="105">
        <f>AR412*'Assumptions (NG)'!AQ49*'Assumptions (NG)'!AQ50*365/10^9</f>
        <v>5.4888351292090247</v>
      </c>
      <c r="AS420" s="105">
        <f>AS412*'Assumptions (NG)'!AR49*'Assumptions (NG)'!AR50*365/10^9</f>
        <v>4.975331665949227</v>
      </c>
      <c r="AT420" s="105">
        <f>AT412*'Assumptions (NG)'!AS49*'Assumptions (NG)'!AS50*365/10^9</f>
        <v>4.4436061200024346</v>
      </c>
      <c r="AU420" s="105">
        <f>AU412*'Assumptions (NG)'!AT49*'Assumptions (NG)'!AT50*365/10^9</f>
        <v>3.8923425760987946</v>
      </c>
      <c r="AV420" s="105">
        <f>AV412*'Assumptions (NG)'!AU49*'Assumptions (NG)'!AU50*365/10^9</f>
        <v>3.3166410352384288</v>
      </c>
      <c r="AW420" s="105">
        <f>AW412*'Assumptions (NG)'!AV49*'Assumptions (NG)'!AV50*365/10^9</f>
        <v>2.709542611648208</v>
      </c>
      <c r="AX420" s="105">
        <f>AX412*'Assumptions (NG)'!AW49*'Assumptions (NG)'!AW50*365/10^9</f>
        <v>2.0853419058491376</v>
      </c>
      <c r="AY420" s="105">
        <f>AY412*'Assumptions (NG)'!AX49*'Assumptions (NG)'!AX50*365/10^9</f>
        <v>1.4521112806314116</v>
      </c>
      <c r="AZ420" s="105">
        <f>AZ412*'Assumptions (NG)'!AY49*'Assumptions (NG)'!AY50*365/10^9</f>
        <v>0.76352156105560653</v>
      </c>
      <c r="BA420" s="105">
        <f>BA412*'Assumptions (NG)'!AZ49*'Assumptions (NG)'!AZ50*365/10^9</f>
        <v>3.6990587142511584E-2</v>
      </c>
    </row>
    <row r="421" spans="1:53" ht="15.75" customHeight="1">
      <c r="A421" s="379" t="s">
        <v>46</v>
      </c>
      <c r="B421" s="99" t="s">
        <v>152</v>
      </c>
      <c r="C421" s="20">
        <v>24891.5</v>
      </c>
      <c r="D421" s="20">
        <v>35567.000000000015</v>
      </c>
      <c r="E421" s="20">
        <v>54881.200000000033</v>
      </c>
      <c r="F421" s="20">
        <v>45831.499999999985</v>
      </c>
      <c r="G421" s="20">
        <v>21870.800000000007</v>
      </c>
      <c r="H421" s="20">
        <v>15380.19999999999</v>
      </c>
      <c r="I421" s="20">
        <v>8877.5000000000018</v>
      </c>
      <c r="J421" s="20">
        <v>6601.2</v>
      </c>
      <c r="K421" s="20">
        <v>7638.9000000000042</v>
      </c>
      <c r="L421" s="20">
        <v>9357.5999999999949</v>
      </c>
      <c r="M421" s="20">
        <v>6497.6000000000013</v>
      </c>
      <c r="N421" s="20">
        <v>9790.7000000000007</v>
      </c>
      <c r="O421" s="20">
        <v>9457.0999999999913</v>
      </c>
      <c r="P421" s="20">
        <v>6710.9000000000005</v>
      </c>
      <c r="Q421" s="20">
        <v>8427.1</v>
      </c>
      <c r="R421" s="20">
        <v>5718.6999999999989</v>
      </c>
      <c r="S421" s="20">
        <v>8979.6000000000058</v>
      </c>
      <c r="T421" s="20">
        <v>9220.5000000000036</v>
      </c>
      <c r="U421" s="20">
        <v>20690.200000000004</v>
      </c>
      <c r="V421" s="20">
        <v>10531.199999999981</v>
      </c>
      <c r="W421" s="90">
        <f>IF(W412-V412+'Assumptions (NG)'!V56&gt;0,W412-V412+'Assumptions (NG)'!V56,0)</f>
        <v>7308</v>
      </c>
      <c r="X421" s="90">
        <f>IF(X412-W412+'Assumptions (NG)'!W56&gt;0,X412-W412+'Assumptions (NG)'!W56,0)</f>
        <v>45298.217916217312</v>
      </c>
      <c r="Y421" s="90">
        <f>IF(Y412-X412+'Assumptions (NG)'!X56&gt;0,Y412-X412+'Assumptions (NG)'!X56,0)</f>
        <v>0</v>
      </c>
      <c r="Z421" s="90">
        <f>IF(Z412-Y412+'Assumptions (NG)'!Y56&gt;0,Z412-Y412+'Assumptions (NG)'!Y56,0)</f>
        <v>0</v>
      </c>
      <c r="AA421" s="90">
        <f>IF(AA412-Z412+'Assumptions (NG)'!Z56&gt;0,AA412-Z412+'Assumptions (NG)'!Z56,0)</f>
        <v>0</v>
      </c>
      <c r="AB421" s="90">
        <f>IF(AB412-AA412+'Assumptions (NG)'!AA56&gt;0,AB412-AA412+'Assumptions (NG)'!AA56,0)</f>
        <v>0</v>
      </c>
      <c r="AC421" s="90">
        <f>IF(AC412-AB412+'Assumptions (NG)'!AB56&gt;0,AC412-AB412+'Assumptions (NG)'!AB56,0)</f>
        <v>0</v>
      </c>
      <c r="AD421" s="90">
        <f>IF(AD412-AC412+'Assumptions (NG)'!AC56&gt;0,AD412-AC412+'Assumptions (NG)'!AC56,0)</f>
        <v>0</v>
      </c>
      <c r="AE421" s="90">
        <f>IF(AE412-AD412+'Assumptions (NG)'!AD56&gt;0,AE412-AD412+'Assumptions (NG)'!AD56,0)</f>
        <v>0</v>
      </c>
      <c r="AF421" s="90">
        <f>IF(AF412-AE412+'Assumptions (NG)'!AE56&gt;0,AF412-AE412+'Assumptions (NG)'!AE56,0)</f>
        <v>0</v>
      </c>
      <c r="AG421" s="90">
        <f>IF(AG412-AF412+'Assumptions (NG)'!AF56&gt;0,AG412-AF412+'Assumptions (NG)'!AF56,0)</f>
        <v>0</v>
      </c>
      <c r="AH421" s="90">
        <f>IF(AH412-AG412+'Assumptions (NG)'!AG56&gt;0,AH412-AG412+'Assumptions (NG)'!AG56,0)</f>
        <v>0</v>
      </c>
      <c r="AI421" s="90">
        <f>IF(AI412-AH412+'Assumptions (NG)'!AH56&gt;0,AI412-AH412+'Assumptions (NG)'!AH56,0)</f>
        <v>0</v>
      </c>
      <c r="AJ421" s="90">
        <f>IF(AJ412-AI412+'Assumptions (NG)'!AI56&gt;0,AJ412-AI412+'Assumptions (NG)'!AI56,0)</f>
        <v>0</v>
      </c>
      <c r="AK421" s="90">
        <f>IF(AK412-AJ412+'Assumptions (NG)'!AJ56&gt;0,AK412-AJ412+'Assumptions (NG)'!AJ56,0)</f>
        <v>0</v>
      </c>
      <c r="AL421" s="90">
        <f>IF(AL412-AK412+'Assumptions (NG)'!AK56&gt;0,AL412-AK412+'Assumptions (NG)'!AK56,0)</f>
        <v>0</v>
      </c>
      <c r="AM421" s="90">
        <f>IF(AM412-AL412+'Assumptions (NG)'!AL56&gt;0,AM412-AL412+'Assumptions (NG)'!AL56,0)</f>
        <v>0</v>
      </c>
      <c r="AN421" s="90">
        <f>IF(AN412-AM412+'Assumptions (NG)'!AM56&gt;0,AN412-AM412+'Assumptions (NG)'!AM56,0)</f>
        <v>2819.1179162173394</v>
      </c>
      <c r="AO421" s="90">
        <f>IF(AO412-AN412+'Assumptions (NG)'!AN56&gt;0,AO412-AN412+'Assumptions (NG)'!AN56,0)</f>
        <v>24776.117916217314</v>
      </c>
      <c r="AP421" s="90">
        <f>IF(AP412-AO412+'Assumptions (NG)'!AO56&gt;0,AP412-AO412+'Assumptions (NG)'!AO56,0)</f>
        <v>25144.01791621733</v>
      </c>
      <c r="AQ421" s="90">
        <f>IF(AQ412-AP412+'Assumptions (NG)'!AP56&gt;0,AQ412-AP412+'Assumptions (NG)'!AP56,0)</f>
        <v>5096.8179162173255</v>
      </c>
      <c r="AR421" s="90">
        <f>IF(AR412-AQ412+'Assumptions (NG)'!AQ56&gt;0,AR412-AQ412+'Assumptions (NG)'!AQ56,0)</f>
        <v>0</v>
      </c>
      <c r="AS421" s="90">
        <f>IF(AS412-AR412+'Assumptions (NG)'!AR56&gt;0,AS412-AR412+'Assumptions (NG)'!AR56,0)</f>
        <v>0</v>
      </c>
      <c r="AT421" s="90">
        <f>IF(AT412-AS412+'Assumptions (NG)'!AS56&gt;0,AT412-AS412+'Assumptions (NG)'!AS56,0)</f>
        <v>0</v>
      </c>
      <c r="AU421" s="90">
        <f>IF(AU412-AT412+'Assumptions (NG)'!AT56&gt;0,AU412-AT412+'Assumptions (NG)'!AT56,0)</f>
        <v>0</v>
      </c>
      <c r="AV421" s="90">
        <f>IF(AV412-AU412+'Assumptions (NG)'!AU56&gt;0,AV412-AU412+'Assumptions (NG)'!AU56,0)</f>
        <v>0</v>
      </c>
      <c r="AW421" s="90">
        <f>IF(AW412-AV412+'Assumptions (NG)'!AV56&gt;0,AW412-AV412+'Assumptions (NG)'!AV56,0)</f>
        <v>0</v>
      </c>
      <c r="AX421" s="90">
        <f>IF(AX412-AW412+'Assumptions (NG)'!AW56&gt;0,AX412-AW412+'Assumptions (NG)'!AW56,0)</f>
        <v>0</v>
      </c>
      <c r="AY421" s="90">
        <f>IF(AY412-AX412+'Assumptions (NG)'!AX56&gt;0,AY412-AX412+'Assumptions (NG)'!AX56,0)</f>
        <v>0</v>
      </c>
      <c r="AZ421" s="90">
        <f>IF(AZ412-AY412+'Assumptions (NG)'!AY56&gt;0,AZ412-AY412+'Assumptions (NG)'!AY56,0)</f>
        <v>0</v>
      </c>
      <c r="BA421" s="90">
        <f>IF(BA412-AZ412+'Assumptions (NG)'!AZ56&gt;0,BA412-AZ412+'Assumptions (NG)'!AZ56,0)</f>
        <v>5817.1179162175285</v>
      </c>
    </row>
    <row r="422" spans="1:53" ht="15.75" customHeight="1">
      <c r="A422" s="379" t="s">
        <v>48</v>
      </c>
      <c r="B422" s="99" t="s">
        <v>153</v>
      </c>
      <c r="C422" s="99"/>
      <c r="D422" s="99"/>
      <c r="E422" s="99"/>
      <c r="F422" s="99"/>
      <c r="G422" s="99"/>
      <c r="H422" s="99"/>
      <c r="I422" s="99"/>
      <c r="J422" s="99"/>
      <c r="K422" s="99"/>
      <c r="L422" s="99"/>
      <c r="M422" s="99"/>
      <c r="N422" s="99"/>
      <c r="O422" s="99"/>
      <c r="P422" s="99"/>
      <c r="Q422" s="99"/>
      <c r="R422" s="99"/>
      <c r="S422" s="99"/>
      <c r="T422" s="99"/>
      <c r="U422" s="99"/>
      <c r="V422" s="99"/>
      <c r="W422" s="90"/>
      <c r="X422" s="90">
        <f>IF(W421='Assumptions (NG)'!$V$12,Model!X413-(Model!X412*0.00876*('Assumptions (NG)'!V15*'Assumptions (NG)'!V19+'Assumptions (NG)'!V16*'Assumptions (NG)'!V21)),0)</f>
        <v>0</v>
      </c>
      <c r="Y422" s="90">
        <f>IF(X421='Assumptions (NG)'!$V$12,Model!Y413-(Model!Y412*0.00876*('Assumptions (NG)'!W15*'Assumptions (NG)'!W19+'Assumptions (NG)'!W16*'Assumptions (NG)'!W21)),0)</f>
        <v>0</v>
      </c>
      <c r="Z422" s="90">
        <f>IF(Y421='Assumptions (NG)'!$V$12,Model!Z413-(Model!Z412*0.00876*('Assumptions (NG)'!X15*'Assumptions (NG)'!X19+'Assumptions (NG)'!X16*'Assumptions (NG)'!X21)),0)</f>
        <v>0</v>
      </c>
      <c r="AA422" s="90">
        <f>IF(Z421='Assumptions (NG)'!$V$12,Model!AA413-(Model!AA412*0.00876*('Assumptions (NG)'!Y15*'Assumptions (NG)'!Y19+'Assumptions (NG)'!Y16*'Assumptions (NG)'!Y21)),0)</f>
        <v>0</v>
      </c>
      <c r="AB422" s="90">
        <f>IF(AA421='Assumptions (NG)'!$V$12,Model!AB413-(Model!AB412*0.00876*('Assumptions (NG)'!Z15*'Assumptions (NG)'!Z19+'Assumptions (NG)'!Z16*'Assumptions (NG)'!Z21)),0)</f>
        <v>0</v>
      </c>
      <c r="AC422" s="90">
        <f>IF(AB421='Assumptions (NG)'!$V$12,Model!AC413-(Model!AC412*0.00876*('Assumptions (NG)'!AA15*'Assumptions (NG)'!AA19+'Assumptions (NG)'!AA16*'Assumptions (NG)'!AA21)),0)</f>
        <v>0</v>
      </c>
      <c r="AD422" s="90">
        <f>IF(AC421='Assumptions (NG)'!$V$12,Model!AD413-(Model!AD412*0.00876*('Assumptions (NG)'!AB15*'Assumptions (NG)'!AB19+'Assumptions (NG)'!AB16*'Assumptions (NG)'!AB21)),0)</f>
        <v>0</v>
      </c>
      <c r="AE422" s="90">
        <f>IF(AD421='Assumptions (NG)'!$V$12,Model!AE413-(Model!AE412*0.00876*('Assumptions (NG)'!AC15*'Assumptions (NG)'!AC19+'Assumptions (NG)'!AC16*'Assumptions (NG)'!AC21)),0)</f>
        <v>0</v>
      </c>
      <c r="AF422" s="90">
        <f>IF(AE421='Assumptions (NG)'!$V$12,Model!AF413-(Model!AF412*0.00876*('Assumptions (NG)'!AD15*'Assumptions (NG)'!AD19+'Assumptions (NG)'!AD16*'Assumptions (NG)'!AD21)),0)</f>
        <v>0</v>
      </c>
      <c r="AG422" s="90">
        <f>IF(AF421='Assumptions (NG)'!$V$12,Model!AG413-(Model!AG412*0.00876*('Assumptions (NG)'!AE15*'Assumptions (NG)'!AE19+'Assumptions (NG)'!AE16*'Assumptions (NG)'!AE21)),0)</f>
        <v>0</v>
      </c>
      <c r="AH422" s="90">
        <f>IF(AG421='Assumptions (NG)'!$V$12,Model!AH413-(Model!AH412*0.00876*('Assumptions (NG)'!AF15*'Assumptions (NG)'!AF19+'Assumptions (NG)'!AF16*'Assumptions (NG)'!AF21)),0)</f>
        <v>0</v>
      </c>
      <c r="AI422" s="90">
        <f>IF(AH421='Assumptions (NG)'!$V$12,Model!AI413-(Model!AI412*0.00876*('Assumptions (NG)'!AG15*'Assumptions (NG)'!AG19+'Assumptions (NG)'!AG16*'Assumptions (NG)'!AG21)),0)</f>
        <v>0</v>
      </c>
      <c r="AJ422" s="90">
        <f>IF(AI421='Assumptions (NG)'!$V$12,Model!AJ413-(Model!AJ412*0.00876*('Assumptions (NG)'!AH15*'Assumptions (NG)'!AH19+'Assumptions (NG)'!AH16*'Assumptions (NG)'!AH21)),0)</f>
        <v>0</v>
      </c>
      <c r="AK422" s="90">
        <f>IF(AJ421='Assumptions (NG)'!$V$12,Model!AK413-(Model!AK412*0.00876*('Assumptions (NG)'!AI15*'Assumptions (NG)'!AI19+'Assumptions (NG)'!AI16*'Assumptions (NG)'!AI21)),0)</f>
        <v>0</v>
      </c>
      <c r="AL422" s="90">
        <f>IF(AK421='Assumptions (NG)'!$V$12,Model!AL413-(Model!AL412*0.00876*('Assumptions (NG)'!AJ15*'Assumptions (NG)'!AJ19+'Assumptions (NG)'!AJ16*'Assumptions (NG)'!AJ21)),0)</f>
        <v>0</v>
      </c>
      <c r="AM422" s="90">
        <f>IF(AL421='Assumptions (NG)'!$V$12,Model!AM413-(Model!AM412*0.00876*('Assumptions (NG)'!AK15*'Assumptions (NG)'!AK19+'Assumptions (NG)'!AK16*'Assumptions (NG)'!AK21)),0)</f>
        <v>0</v>
      </c>
      <c r="AN422" s="90">
        <f>IF(AM421='Assumptions (NG)'!$V$12,Model!AN413-(Model!AN412*0.00876*('Assumptions (NG)'!AL15*'Assumptions (NG)'!AL19+'Assumptions (NG)'!AL16*'Assumptions (NG)'!AL21)),0)</f>
        <v>0</v>
      </c>
      <c r="AO422" s="90">
        <f>IF(AN421='Assumptions (NG)'!$V$12,Model!AO413-(Model!AO412*0.00876*('Assumptions (NG)'!AM15*'Assumptions (NG)'!AM19+'Assumptions (NG)'!AM16*'Assumptions (NG)'!AM21)),0)</f>
        <v>0</v>
      </c>
      <c r="AP422" s="90">
        <f>IF(AO421='Assumptions (NG)'!$V$12,Model!AP413-(Model!AP412*0.00876*('Assumptions (NG)'!AN15*'Assumptions (NG)'!AN19+'Assumptions (NG)'!AN16*'Assumptions (NG)'!AN21)),0)</f>
        <v>0</v>
      </c>
      <c r="AQ422" s="90">
        <f>IF(AP421='Assumptions (NG)'!$V$12,Model!AQ413-(Model!AQ412*0.00876*('Assumptions (NG)'!AO15*'Assumptions (NG)'!AO19+'Assumptions (NG)'!AO16*'Assumptions (NG)'!AO21)),0)</f>
        <v>0</v>
      </c>
      <c r="AR422" s="90">
        <f>IF(AQ421='Assumptions (NG)'!$V$12,Model!AR413-(Model!AR412*0.00876*('Assumptions (NG)'!AP15*'Assumptions (NG)'!AP19+'Assumptions (NG)'!AP16*'Assumptions (NG)'!AP21)),0)</f>
        <v>0</v>
      </c>
      <c r="AS422" s="90">
        <f>IF(AR421='Assumptions (NG)'!$V$12,Model!AS413-(Model!AS412*0.00876*('Assumptions (NG)'!AQ15*'Assumptions (NG)'!AQ19+'Assumptions (NG)'!AQ16*'Assumptions (NG)'!AQ21)),0)</f>
        <v>0</v>
      </c>
      <c r="AT422" s="90">
        <f>IF(AS421='Assumptions (NG)'!$V$12,Model!AT413-(Model!AT412*0.00876*('Assumptions (NG)'!AR15*'Assumptions (NG)'!AR19+'Assumptions (NG)'!AR16*'Assumptions (NG)'!AR21)),0)</f>
        <v>0</v>
      </c>
      <c r="AU422" s="90">
        <f>IF(AT421='Assumptions (NG)'!$V$12,Model!AU413-(Model!AU412*0.00876*('Assumptions (NG)'!AS15*'Assumptions (NG)'!AS19+'Assumptions (NG)'!AS16*'Assumptions (NG)'!AS21)),0)</f>
        <v>0</v>
      </c>
      <c r="AV422" s="90">
        <f>IF(AU421='Assumptions (NG)'!$V$12,Model!AV413-(Model!AV412*0.00876*('Assumptions (NG)'!AT15*'Assumptions (NG)'!AT19+'Assumptions (NG)'!AT16*'Assumptions (NG)'!AT21)),0)</f>
        <v>0</v>
      </c>
      <c r="AW422" s="90">
        <f>IF(AV421='Assumptions (NG)'!$V$12,Model!AW413-(Model!AW412*0.00876*('Assumptions (NG)'!AU15*'Assumptions (NG)'!AU19+'Assumptions (NG)'!AU16*'Assumptions (NG)'!AU21)),0)</f>
        <v>0</v>
      </c>
      <c r="AX422" s="90">
        <f>IF(AW421='Assumptions (NG)'!$V$12,Model!AX413-(Model!AX412*0.00876*('Assumptions (NG)'!AV15*'Assumptions (NG)'!AV19+'Assumptions (NG)'!AV16*'Assumptions (NG)'!AV21)),0)</f>
        <v>0</v>
      </c>
      <c r="AY422" s="90">
        <f>IF(AX421='Assumptions (NG)'!$V$12,Model!AY413-(Model!AY412*0.00876*('Assumptions (NG)'!AW15*'Assumptions (NG)'!AW19+'Assumptions (NG)'!AW16*'Assumptions (NG)'!AW21)),0)</f>
        <v>0</v>
      </c>
      <c r="AZ422" s="90">
        <f>IF(AY421='Assumptions (NG)'!$V$12,Model!AZ413-(Model!AZ412*0.00876*('Assumptions (NG)'!AX15*'Assumptions (NG)'!AX19+'Assumptions (NG)'!AX16*'Assumptions (NG)'!AX21)),0)</f>
        <v>0</v>
      </c>
      <c r="BA422" s="90">
        <f>IF(AZ421='Assumptions (NG)'!$V$12,Model!BA413-(Model!BA412*0.00876*('Assumptions (NG)'!AY15*'Assumptions (NG)'!AY19+'Assumptions (NG)'!AY16*'Assumptions (NG)'!AY21)),0)</f>
        <v>0</v>
      </c>
    </row>
    <row r="423" spans="1:53" ht="15.75" customHeight="1">
      <c r="A423" s="384" t="s">
        <v>290</v>
      </c>
      <c r="B423" s="99" t="s">
        <v>201</v>
      </c>
      <c r="C423" s="150">
        <f t="shared" ref="C423:BA423" si="12">SUM(C424:C474)</f>
        <v>63.280171565534665</v>
      </c>
      <c r="D423" s="150">
        <f t="shared" si="12"/>
        <v>24.441531919372405</v>
      </c>
      <c r="E423" s="150">
        <f t="shared" si="12"/>
        <v>17.21787322864747</v>
      </c>
      <c r="F423" s="150">
        <f t="shared" si="12"/>
        <v>9.8447112764921698</v>
      </c>
      <c r="G423" s="150">
        <f t="shared" si="12"/>
        <v>6.7472208785071928</v>
      </c>
      <c r="H423" s="150">
        <f t="shared" si="12"/>
        <v>5.1709275641425201</v>
      </c>
      <c r="I423" s="150">
        <f t="shared" si="12"/>
        <v>5.3932784326112797</v>
      </c>
      <c r="J423" s="150">
        <f t="shared" si="12"/>
        <v>5.4831042160247634</v>
      </c>
      <c r="K423" s="150">
        <f t="shared" si="12"/>
        <v>6.1196062452355786</v>
      </c>
      <c r="L423" s="150">
        <f t="shared" si="12"/>
        <v>6.2812275938040054</v>
      </c>
      <c r="M423" s="150">
        <f t="shared" si="12"/>
        <v>6.4679008514352656</v>
      </c>
      <c r="N423" s="150">
        <f t="shared" si="12"/>
        <v>6.262085836316988</v>
      </c>
      <c r="O423" s="150">
        <f t="shared" si="12"/>
        <v>5.423921674305082</v>
      </c>
      <c r="P423" s="150">
        <f t="shared" si="12"/>
        <v>6.1446598646061066</v>
      </c>
      <c r="Q423" s="150">
        <f t="shared" si="12"/>
        <v>6.4938963736886564</v>
      </c>
      <c r="R423" s="150">
        <f t="shared" si="12"/>
        <v>10.819854398163068</v>
      </c>
      <c r="S423" s="150">
        <f t="shared" si="12"/>
        <v>11.504164398169884</v>
      </c>
      <c r="T423" s="150">
        <f t="shared" si="12"/>
        <v>11.193481726954685</v>
      </c>
      <c r="U423" s="150">
        <f t="shared" si="12"/>
        <v>18.577560867170337</v>
      </c>
      <c r="V423" s="150">
        <f t="shared" si="12"/>
        <v>15.763946404501205</v>
      </c>
      <c r="W423" s="150">
        <f t="shared" si="12"/>
        <v>13.828458772591228</v>
      </c>
      <c r="X423" s="150">
        <f t="shared" si="12"/>
        <v>0</v>
      </c>
      <c r="Y423" s="150">
        <f t="shared" si="12"/>
        <v>0</v>
      </c>
      <c r="Z423" s="150">
        <f t="shared" si="12"/>
        <v>0</v>
      </c>
      <c r="AA423" s="150">
        <f t="shared" si="12"/>
        <v>0</v>
      </c>
      <c r="AB423" s="150">
        <f t="shared" si="12"/>
        <v>0</v>
      </c>
      <c r="AC423" s="150">
        <f t="shared" si="12"/>
        <v>0</v>
      </c>
      <c r="AD423" s="150">
        <f t="shared" si="12"/>
        <v>0</v>
      </c>
      <c r="AE423" s="150">
        <f t="shared" si="12"/>
        <v>0</v>
      </c>
      <c r="AF423" s="150">
        <f t="shared" si="12"/>
        <v>0</v>
      </c>
      <c r="AG423" s="150">
        <f t="shared" si="12"/>
        <v>0</v>
      </c>
      <c r="AH423" s="150">
        <f t="shared" si="12"/>
        <v>0</v>
      </c>
      <c r="AI423" s="150">
        <f t="shared" si="12"/>
        <v>0</v>
      </c>
      <c r="AJ423" s="150">
        <f t="shared" si="12"/>
        <v>0</v>
      </c>
      <c r="AK423" s="150">
        <f t="shared" si="12"/>
        <v>0.97422661203811478</v>
      </c>
      <c r="AL423" s="150">
        <f t="shared" si="12"/>
        <v>9.636659077071446</v>
      </c>
      <c r="AM423" s="150">
        <f t="shared" si="12"/>
        <v>18.682539836386979</v>
      </c>
      <c r="AN423" s="150">
        <f t="shared" si="12"/>
        <v>19.833456879783867</v>
      </c>
      <c r="AO423" s="150">
        <f t="shared" si="12"/>
        <v>11.058160527516605</v>
      </c>
      <c r="AP423" s="150">
        <f t="shared" si="12"/>
        <v>1.8842927033524337</v>
      </c>
      <c r="AQ423" s="150">
        <f t="shared" si="12"/>
        <v>0</v>
      </c>
      <c r="AR423" s="150">
        <f t="shared" si="12"/>
        <v>0</v>
      </c>
      <c r="AS423" s="150">
        <f t="shared" si="12"/>
        <v>0</v>
      </c>
      <c r="AT423" s="150">
        <f t="shared" si="12"/>
        <v>0</v>
      </c>
      <c r="AU423" s="150">
        <f t="shared" si="12"/>
        <v>0</v>
      </c>
      <c r="AV423" s="150">
        <f t="shared" si="12"/>
        <v>0</v>
      </c>
      <c r="AW423" s="150">
        <f t="shared" si="12"/>
        <v>0</v>
      </c>
      <c r="AX423" s="150">
        <f t="shared" si="12"/>
        <v>2.2506095782899846</v>
      </c>
      <c r="AY423" s="150">
        <f t="shared" si="12"/>
        <v>2.2956217698557846</v>
      </c>
      <c r="AZ423" s="150">
        <f t="shared" si="12"/>
        <v>2.3415342052529002</v>
      </c>
      <c r="BA423" s="150">
        <f t="shared" si="12"/>
        <v>0</v>
      </c>
    </row>
    <row r="424" spans="1:53" ht="15.75" hidden="1" customHeight="1" outlineLevel="1">
      <c r="A424" s="379"/>
      <c r="B424" s="99"/>
      <c r="C424" s="91">
        <f>IF($C$421&gt;0,3*'Assumptions (NG)'!$V$14*Model!$C$421*('Assumptions (NG)'!B$2*'Assumptions (NG)'!$B$15+'Assumptions (NG)'!B$3*'Assumptions (NG)'!$B$16)/10^9,0)</f>
        <v>13.527850320902489</v>
      </c>
      <c r="D424" s="150"/>
      <c r="E424" s="150"/>
      <c r="F424" s="150"/>
      <c r="G424" s="150"/>
      <c r="H424" s="150"/>
      <c r="I424" s="150"/>
      <c r="J424" s="150"/>
      <c r="K424" s="150"/>
      <c r="L424" s="150"/>
      <c r="M424" s="150"/>
      <c r="N424" s="150"/>
      <c r="O424" s="150"/>
      <c r="P424" s="150"/>
      <c r="Q424" s="150"/>
      <c r="R424" s="150"/>
      <c r="S424" s="150"/>
      <c r="T424" s="150"/>
      <c r="U424" s="150"/>
      <c r="V424" s="150"/>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row>
    <row r="425" spans="1:53" ht="15.75" hidden="1" customHeight="1" outlineLevel="1">
      <c r="A425" s="379"/>
      <c r="B425" s="99"/>
      <c r="C425" s="91">
        <f>IF($D$421&gt;0,3*'Assumptions (NG)'!$V$14*Model!$D$421*('Assumptions (NG)'!B$2*'Assumptions (NG)'!$C$15+'Assumptions (NG)'!B$3*'Assumptions (NG)'!$C$16)/10^9,0)</f>
        <v>19.659215122431927</v>
      </c>
      <c r="D425" s="91"/>
      <c r="E425" s="91"/>
      <c r="F425" s="91"/>
      <c r="G425" s="91"/>
      <c r="H425" s="91"/>
      <c r="I425" s="91"/>
      <c r="J425" s="91"/>
      <c r="K425" s="91"/>
      <c r="L425" s="91"/>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row>
    <row r="426" spans="1:53" ht="15.75" hidden="1" customHeight="1" outlineLevel="1">
      <c r="A426" s="379"/>
      <c r="B426" s="99"/>
      <c r="C426" s="91">
        <f>IF($E$421&gt;0,2*'Assumptions (NG)'!$V$14*Model!$E$421*('Assumptions (NG)'!B$2*'Assumptions (NG)'!$D$15+'Assumptions (NG)'!B$3*'Assumptions (NG)'!$D$16)/10^9,0)</f>
        <v>21.024390798751284</v>
      </c>
      <c r="D426" s="91">
        <f>IF($E$421&gt;0,'Assumptions (NG)'!$V$14*Model!$E$421*('Assumptions (NG)'!C$2*'Assumptions (NG)'!$D$15+'Assumptions (NG)'!C$3*'Assumptions (NG)'!$D$16)/10^9,0)</f>
        <v>10.722439307363155</v>
      </c>
      <c r="E426" s="91"/>
      <c r="F426" s="91"/>
      <c r="G426" s="91"/>
      <c r="H426" s="91"/>
      <c r="I426" s="91"/>
      <c r="J426" s="91"/>
      <c r="K426" s="91"/>
      <c r="L426" s="91"/>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row>
    <row r="427" spans="1:53" ht="15.75" hidden="1" customHeight="1" outlineLevel="1">
      <c r="A427" s="379"/>
      <c r="B427" s="99"/>
      <c r="C427" s="91">
        <f>IF($F$421&gt;0,'Assumptions (NG)'!$V$14*Model!$F$421*('Assumptions (NG)'!B$2*'Assumptions (NG)'!$E$15+'Assumptions (NG)'!B$3*'Assumptions (NG)'!$E$16)/10^9,0)</f>
        <v>9.0687153234489646</v>
      </c>
      <c r="D427" s="91">
        <f>IF($F$421&gt;0,'Assumptions (NG)'!$V$14*Model!$F$421*('Assumptions (NG)'!C$2*'Assumptions (NG)'!$E$15+'Assumptions (NG)'!C$3*'Assumptions (NG)'!$E$16)/10^9,0)</f>
        <v>9.2500896299179445</v>
      </c>
      <c r="E427" s="91">
        <f>IF($F$421&gt;0,'Assumptions (NG)'!$V$14*Model!$F$421*('Assumptions (NG)'!D$2*'Assumptions (NG)'!$E$15+'Assumptions (NG)'!D$3*'Assumptions (NG)'!$E$16)/10^9,0)</f>
        <v>9.4350914225163045</v>
      </c>
      <c r="F427" s="91"/>
      <c r="G427" s="91"/>
      <c r="H427" s="91"/>
      <c r="I427" s="91"/>
      <c r="J427" s="91"/>
      <c r="K427" s="91"/>
      <c r="L427" s="91"/>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row>
    <row r="428" spans="1:53" ht="15.75" hidden="1" customHeight="1" outlineLevel="1">
      <c r="A428" s="379"/>
      <c r="B428" s="99"/>
      <c r="C428" s="91"/>
      <c r="D428" s="91">
        <f>IF($G$421&gt;0,'Assumptions (NG)'!$V$14*Model!$G$421*('Assumptions (NG)'!C$2*'Assumptions (NG)'!$F$15+'Assumptions (NG)'!C$3*'Assumptions (NG)'!$F$16)/10^9,0)</f>
        <v>4.4690029820913084</v>
      </c>
      <c r="E428" s="91">
        <f>IF($G$421&gt;0,'Assumptions (NG)'!$V$14*Model!$G$421*('Assumptions (NG)'!D$2*'Assumptions (NG)'!$F$15+'Assumptions (NG)'!D$3*'Assumptions (NG)'!$F$16)/10^9,0)</f>
        <v>4.5583830417331344</v>
      </c>
      <c r="F428" s="91">
        <f>IF($G$421&gt;0,'Assumptions (NG)'!$V$14*Model!$G$421*('Assumptions (NG)'!E$2*'Assumptions (NG)'!$F$15+'Assumptions (NG)'!E$3*'Assumptions (NG)'!$F$16)/10^9,0)</f>
        <v>4.6495507025677965</v>
      </c>
      <c r="G428" s="91"/>
      <c r="H428" s="91"/>
      <c r="I428" s="91"/>
      <c r="J428" s="91"/>
      <c r="K428" s="91"/>
      <c r="L428" s="91"/>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row>
    <row r="429" spans="1:53" ht="15.75" hidden="1" customHeight="1" outlineLevel="1">
      <c r="A429" s="379"/>
      <c r="B429" s="99"/>
      <c r="C429" s="91"/>
      <c r="D429" s="91"/>
      <c r="E429" s="91">
        <f>IF($H$421&gt;0,'Assumptions (NG)'!$V$14*Model!$H$421*('Assumptions (NG)'!D$2*'Assumptions (NG)'!$G$15+'Assumptions (NG)'!D$3*'Assumptions (NG)'!$G$16)/10^9,0)</f>
        <v>3.2243987643980336</v>
      </c>
      <c r="F429" s="91">
        <f>IF($H$421&gt;0,'Assumptions (NG)'!$V$14*Model!$H$421*('Assumptions (NG)'!E$2*'Assumptions (NG)'!$G$15+'Assumptions (NG)'!E$3*'Assumptions (NG)'!$G$16)/10^9,0)</f>
        <v>3.288886739685994</v>
      </c>
      <c r="G429" s="91">
        <f>IF($H$421&gt;0,'Assumptions (NG)'!$V$14*Model!$H$421*('Assumptions (NG)'!F$2*'Assumptions (NG)'!$G$15+'Assumptions (NG)'!F$3*'Assumptions (NG)'!$G$16)/10^9,0)</f>
        <v>3.3546644744797147</v>
      </c>
      <c r="H429" s="91"/>
      <c r="I429" s="91"/>
      <c r="J429" s="91"/>
      <c r="K429" s="91"/>
      <c r="L429" s="91"/>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row>
    <row r="430" spans="1:53" ht="15.75" hidden="1" customHeight="1" outlineLevel="1">
      <c r="A430" s="379"/>
      <c r="B430" s="99"/>
      <c r="C430" s="91"/>
      <c r="D430" s="91"/>
      <c r="E430" s="91"/>
      <c r="F430" s="91">
        <f>IF($I$421&gt;0,'Assumptions (NG)'!$V$14*Model!$I$421*('Assumptions (NG)'!E$2*'Assumptions (NG)'!$H$15+'Assumptions (NG)'!E$3*'Assumptions (NG)'!$H$16)/10^9,0)</f>
        <v>1.9062738342383794</v>
      </c>
      <c r="G430" s="91">
        <f>IF($I$421&gt;0,'Assumptions (NG)'!$V$14*Model!$I$421*('Assumptions (NG)'!F$2*'Assumptions (NG)'!$H$15+'Assumptions (NG)'!F$3*'Assumptions (NG)'!$H$16)/10^9,0)</f>
        <v>1.9443993109231472</v>
      </c>
      <c r="H430" s="91">
        <f>IF($I$421&gt;0,'Assumptions (NG)'!$V$14*Model!$I$421*('Assumptions (NG)'!G$2*'Assumptions (NG)'!$H$15+'Assumptions (NG)'!G$3*'Assumptions (NG)'!$H$16)/10^9,0)</f>
        <v>1.98328729714161</v>
      </c>
      <c r="I430" s="91"/>
      <c r="J430" s="91"/>
      <c r="K430" s="91"/>
      <c r="L430" s="91"/>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row>
    <row r="431" spans="1:53" ht="15.75" hidden="1" customHeight="1" outlineLevel="1">
      <c r="A431" s="379"/>
      <c r="B431" s="99"/>
      <c r="C431" s="91"/>
      <c r="D431" s="91"/>
      <c r="E431" s="91"/>
      <c r="F431" s="91"/>
      <c r="G431" s="91">
        <f>IF($J$421&gt;0,'Assumptions (NG)'!$V$14*Model!$J$421*('Assumptions (NG)'!F$2*'Assumptions (NG)'!$I$15+'Assumptions (NG)'!F$3*'Assumptions (NG)'!$I$16)/10^9,0)</f>
        <v>1.4481570931043302</v>
      </c>
      <c r="H431" s="91">
        <f>IF($J$421&gt;0,'Assumptions (NG)'!$V$14*Model!$J$421*('Assumptions (NG)'!G$2*'Assumptions (NG)'!$I$15+'Assumptions (NG)'!G$3*'Assumptions (NG)'!$I$16)/10^9,0)</f>
        <v>1.4771202349664168</v>
      </c>
      <c r="I431" s="91">
        <f>IF($J$421&gt;0,'Assumptions (NG)'!$V$14*Model!$J$421*('Assumptions (NG)'!H$2*'Assumptions (NG)'!$I$15+'Assumptions (NG)'!H$3*'Assumptions (NG)'!$I$16)/10^9,0)</f>
        <v>1.506662639665745</v>
      </c>
      <c r="J431" s="91"/>
      <c r="K431" s="91"/>
      <c r="L431" s="91"/>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row>
    <row r="432" spans="1:53" ht="15.75" hidden="1" customHeight="1" outlineLevel="1">
      <c r="A432" s="379"/>
      <c r="B432" s="99"/>
      <c r="C432" s="91"/>
      <c r="D432" s="91"/>
      <c r="E432" s="91"/>
      <c r="F432" s="91"/>
      <c r="G432" s="91"/>
      <c r="H432" s="91">
        <f>IF($K$421&gt;0,'Assumptions (NG)'!$V$14*Model!$K$421*('Assumptions (NG)'!G$2*'Assumptions (NG)'!$J$15+'Assumptions (NG)'!G$3*'Assumptions (NG)'!$J$16)/10^9,0)</f>
        <v>1.7105200320344931</v>
      </c>
      <c r="I432" s="91">
        <f>IF($K$421&gt;0,'Assumptions (NG)'!$V$14*Model!$K$421*('Assumptions (NG)'!H$2*'Assumptions (NG)'!$J$15+'Assumptions (NG)'!H$3*'Assumptions (NG)'!$J$16)/10^9,0)</f>
        <v>1.7447304326751831</v>
      </c>
      <c r="J432" s="91">
        <f>IF($K$421&gt;0,'Assumptions (NG)'!$V$14*Model!$K$421*('Assumptions (NG)'!I$2*'Assumptions (NG)'!$J$15+'Assumptions (NG)'!I$3*'Assumptions (NG)'!$J$16)/10^9,0)</f>
        <v>1.7796250413286867</v>
      </c>
      <c r="K432" s="91"/>
      <c r="L432" s="91"/>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row>
    <row r="433" spans="1:53" ht="15.75" hidden="1" customHeight="1" outlineLevel="1">
      <c r="A433" s="379"/>
      <c r="B433" s="99"/>
      <c r="C433" s="91"/>
      <c r="D433" s="91"/>
      <c r="E433" s="91"/>
      <c r="F433" s="91"/>
      <c r="G433" s="91"/>
      <c r="H433" s="91"/>
      <c r="I433" s="91">
        <f>IF($L$421&gt;0,'Assumptions (NG)'!$V$14*Model!$L$421*('Assumptions (NG)'!H$2*'Assumptions (NG)'!$K$15+'Assumptions (NG)'!H$3*'Assumptions (NG)'!$K$16)/10^9,0)</f>
        <v>2.1418853602703516</v>
      </c>
      <c r="J433" s="91">
        <f>IF($L$421&gt;0,'Assumptions (NG)'!$V$14*Model!$L$421*('Assumptions (NG)'!I$2*'Assumptions (NG)'!$K$15+'Assumptions (NG)'!I$3*'Assumptions (NG)'!$K$16)/10^9,0)</f>
        <v>2.1847230674757587</v>
      </c>
      <c r="K433" s="91">
        <f>IF($L$421&gt;0,'Assumptions (NG)'!$V$14*Model!$L$421*('Assumptions (NG)'!J$2*'Assumptions (NG)'!$K$15+'Assumptions (NG)'!J$3*'Assumptions (NG)'!$K$16)/10^9,0)</f>
        <v>2.2284175288252737</v>
      </c>
      <c r="L433" s="91"/>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row>
    <row r="434" spans="1:53" ht="15.75" hidden="1" customHeight="1" outlineLevel="1">
      <c r="A434" s="379"/>
      <c r="B434" s="99"/>
      <c r="C434" s="91"/>
      <c r="D434" s="91"/>
      <c r="E434" s="91"/>
      <c r="F434" s="91"/>
      <c r="G434" s="91"/>
      <c r="H434" s="91"/>
      <c r="I434" s="91"/>
      <c r="J434" s="91">
        <f>IF($M$421&gt;0,'Assumptions (NG)'!$V$14*Model!$M$421*('Assumptions (NG)'!I$2*'Assumptions (NG)'!$L$15+'Assumptions (NG)'!I$3*'Assumptions (NG)'!$L$16)/10^9,0)</f>
        <v>1.5187561072203173</v>
      </c>
      <c r="K434" s="91">
        <f>IF($M$421&gt;0,'Assumptions (NG)'!$V$14*Model!$M$421*('Assumptions (NG)'!J$2*'Assumptions (NG)'!$L$15+'Assumptions (NG)'!J$3*'Assumptions (NG)'!$L$16)/10^9,0)</f>
        <v>1.5491312293647239</v>
      </c>
      <c r="L434" s="91">
        <f>IF($M$421&gt;0,'Assumptions (NG)'!$V$14*Model!$M$421*('Assumptions (NG)'!K$2*'Assumptions (NG)'!$L$15+'Assumptions (NG)'!K$3*'Assumptions (NG)'!$L$16)/10^9,0)</f>
        <v>1.5801138539520185</v>
      </c>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row>
    <row r="435" spans="1:53" ht="15.75" hidden="1" customHeight="1" outlineLevel="1">
      <c r="A435" s="379"/>
      <c r="B435" s="99"/>
      <c r="C435" s="105"/>
      <c r="D435" s="105"/>
      <c r="E435" s="105"/>
      <c r="F435" s="105"/>
      <c r="G435" s="105"/>
      <c r="H435" s="105"/>
      <c r="I435" s="105"/>
      <c r="J435" s="105"/>
      <c r="K435" s="105">
        <f>IF($N$421&gt;0,'Assumptions (NG)'!$V$14*Model!$N$421*('Assumptions (NG)'!J$2*'Assumptions (NG)'!$M$15+'Assumptions (NG)'!J$3*'Assumptions (NG)'!$M$16)/10^9,0)</f>
        <v>2.3420574870455808</v>
      </c>
      <c r="L435" s="105">
        <f>IF($N$421&gt;0,'Assumptions (NG)'!$V$14*Model!$N$421*('Assumptions (NG)'!K$2*'Assumptions (NG)'!$M$15+'Assumptions (NG)'!K$3*'Assumptions (NG)'!$M$16)/10^9,0)</f>
        <v>2.3888986367864917</v>
      </c>
      <c r="M435" s="105">
        <f>IF($N$421&gt;0,'Assumptions (NG)'!$V$14*Model!$N$421*('Assumptions (NG)'!L$2*'Assumptions (NG)'!$M$15+'Assumptions (NG)'!L$3*'Assumptions (NG)'!$M$16)/10^9,0)</f>
        <v>2.4366766095222219</v>
      </c>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row>
    <row r="436" spans="1:53" ht="15.75" hidden="1" customHeight="1" outlineLevel="1">
      <c r="A436" s="379"/>
      <c r="B436" s="99"/>
      <c r="C436" s="105"/>
      <c r="D436" s="105"/>
      <c r="E436" s="105"/>
      <c r="F436" s="105"/>
      <c r="G436" s="105"/>
      <c r="H436" s="105"/>
      <c r="I436" s="105"/>
      <c r="J436" s="105"/>
      <c r="K436" s="105"/>
      <c r="L436" s="105">
        <f>IF($O$421&gt;0,'Assumptions (NG)'!$V$14*Model!$O$421*('Assumptions (NG)'!K$2*'Assumptions (NG)'!$N$15+'Assumptions (NG)'!K$3*'Assumptions (NG)'!$N$16)/10^9,0)</f>
        <v>2.3122151030654949</v>
      </c>
      <c r="M436" s="105">
        <f>IF($O$421&gt;0,'Assumptions (NG)'!$V$14*Model!$O$421*('Assumptions (NG)'!L$2*'Assumptions (NG)'!$N$15+'Assumptions (NG)'!L$3*'Assumptions (NG)'!$N$16)/10^9,0)</f>
        <v>2.3584594051268049</v>
      </c>
      <c r="N436" s="105">
        <f>IF($O$421&gt;0,'Assumptions (NG)'!$V$14*Model!$O$421*('Assumptions (NG)'!M$2*'Assumptions (NG)'!$N$15+'Assumptions (NG)'!M$3*'Assumptions (NG)'!$N$16)/10^9,0)</f>
        <v>2.4056285932293409</v>
      </c>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row>
    <row r="437" spans="1:53" ht="15.75" hidden="1" customHeight="1" outlineLevel="1">
      <c r="A437" s="379"/>
      <c r="B437" s="99"/>
      <c r="C437" s="105"/>
      <c r="D437" s="105"/>
      <c r="E437" s="105"/>
      <c r="F437" s="105"/>
      <c r="G437" s="105"/>
      <c r="H437" s="105"/>
      <c r="I437" s="105"/>
      <c r="J437" s="91"/>
      <c r="K437" s="91"/>
      <c r="L437" s="91"/>
      <c r="M437" s="91">
        <f>IF($P$421&gt;0,'Assumptions (NG)'!$V$14*Model!$P$421*('Assumptions (NG)'!L$2*'Assumptions (NG)'!$O$15+'Assumptions (NG)'!L$3*'Assumptions (NG)'!$O$16)/10^9,0)</f>
        <v>1.6727648367862389</v>
      </c>
      <c r="N437" s="91">
        <f>IF($P$421&gt;0,'Assumptions (NG)'!$V$14*Model!$P$421*('Assumptions (NG)'!M$2*'Assumptions (NG)'!$O$15+'Assumptions (NG)'!M$3*'Assumptions (NG)'!$O$16)/10^9,0)</f>
        <v>1.7062201335219638</v>
      </c>
      <c r="O437" s="91">
        <f>IF($P$421&gt;0,'Assumptions (NG)'!$V$14*Model!$P$421*('Assumptions (NG)'!N$2*'Assumptions (NG)'!$O$15+'Assumptions (NG)'!N$3*'Assumptions (NG)'!$O$16)/10^9,0)</f>
        <v>1.7403445361924033</v>
      </c>
      <c r="P437" s="91"/>
      <c r="Q437" s="105"/>
      <c r="R437" s="91"/>
      <c r="S437" s="91"/>
      <c r="T437" s="91"/>
      <c r="U437" s="91"/>
      <c r="V437" s="91"/>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row>
    <row r="438" spans="1:53" ht="15.75" hidden="1" customHeight="1" outlineLevel="1">
      <c r="A438" s="379"/>
      <c r="B438" s="99"/>
      <c r="C438" s="105"/>
      <c r="D438" s="105"/>
      <c r="E438" s="105"/>
      <c r="F438" s="105"/>
      <c r="G438" s="105"/>
      <c r="H438" s="105"/>
      <c r="I438" s="105"/>
      <c r="J438" s="105"/>
      <c r="K438" s="91"/>
      <c r="L438" s="91"/>
      <c r="M438" s="91"/>
      <c r="N438" s="91">
        <f>IF($Q$421&gt;0,'Assumptions (NG)'!$V$14*Model!$Q$421*('Assumptions (NG)'!M$2*'Assumptions (NG)'!$P$15+'Assumptions (NG)'!M$3*'Assumptions (NG)'!$P$16)/10^9,0)</f>
        <v>2.1502371095656834</v>
      </c>
      <c r="O438" s="91">
        <f>IF($Q$421&gt;0,'Assumptions (NG)'!$V$14*Model!$Q$421*('Assumptions (NG)'!N$2*'Assumptions (NG)'!$P$15+'Assumptions (NG)'!N$3*'Assumptions (NG)'!$P$16)/10^9,0)</f>
        <v>2.1932418517569969</v>
      </c>
      <c r="P438" s="91">
        <f>IF($Q$421&gt;0,'Assumptions (NG)'!$V$14*Model!$Q$421*('Assumptions (NG)'!O$2*'Assumptions (NG)'!$P$15+'Assumptions (NG)'!O$3*'Assumptions (NG)'!$P$16)/10^9,0)</f>
        <v>2.2371066887921374</v>
      </c>
      <c r="Q438" s="105"/>
      <c r="R438" s="91"/>
      <c r="S438" s="91"/>
      <c r="T438" s="91"/>
      <c r="U438" s="91"/>
      <c r="V438" s="91"/>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row>
    <row r="439" spans="1:53" ht="15.75" hidden="1" customHeight="1" outlineLevel="1">
      <c r="A439" s="379"/>
      <c r="B439" s="99"/>
      <c r="C439" s="105"/>
      <c r="D439" s="105"/>
      <c r="E439" s="105"/>
      <c r="F439" s="105"/>
      <c r="G439" s="105"/>
      <c r="H439" s="105"/>
      <c r="I439" s="105"/>
      <c r="J439" s="105"/>
      <c r="K439" s="105"/>
      <c r="L439" s="167"/>
      <c r="M439" s="167"/>
      <c r="N439" s="167"/>
      <c r="O439" s="167">
        <f>IF($R$421&gt;0,'Assumptions (NG)'!$V$14*Model!$R$421*('Assumptions (NG)'!N$2*'Assumptions (NG)'!$Q$15+'Assumptions (NG)'!N$3*'Assumptions (NG)'!$Q$16)/10^9,0)</f>
        <v>1.4903352863556818</v>
      </c>
      <c r="P439" s="167">
        <f>IF($R$421&gt;0,'Assumptions (NG)'!$V$14*Model!$R$421*('Assumptions (NG)'!O$2*'Assumptions (NG)'!$Q$15+'Assumptions (NG)'!O$3*'Assumptions (NG)'!$Q$16)/10^9,0)</f>
        <v>1.5201419920827957</v>
      </c>
      <c r="Q439" s="167">
        <f>IF($R$421&gt;0,'Assumptions (NG)'!$V$14*Model!$R$421*('Assumptions (NG)'!P$2*'Assumptions (NG)'!$Q$15+'Assumptions (NG)'!P$3*'Assumptions (NG)'!$Q$16)/10^9,0)</f>
        <v>1.5505448319244513</v>
      </c>
      <c r="R439" s="91"/>
      <c r="S439" s="91"/>
      <c r="T439" s="91"/>
      <c r="U439" s="91"/>
      <c r="V439" s="91"/>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row>
    <row r="440" spans="1:53" ht="15.75" hidden="1" customHeight="1" outlineLevel="1">
      <c r="A440" s="379"/>
      <c r="B440" s="99"/>
      <c r="C440" s="105"/>
      <c r="D440" s="105"/>
      <c r="E440" s="105"/>
      <c r="F440" s="105"/>
      <c r="G440" s="105"/>
      <c r="H440" s="105"/>
      <c r="I440" s="105"/>
      <c r="J440" s="105"/>
      <c r="K440" s="105"/>
      <c r="L440" s="105"/>
      <c r="M440" s="105"/>
      <c r="N440" s="105"/>
      <c r="O440" s="105"/>
      <c r="P440" s="105">
        <f>IF($S$421&gt;0,'Assumptions (NG)'!$V$14*Model!$S$421*('Assumptions (NG)'!O$2*'Assumptions (NG)'!$R$15+'Assumptions (NG)'!O$3*'Assumptions (NG)'!$R$16)/10^9,0)</f>
        <v>2.3874111837311731</v>
      </c>
      <c r="Q440" s="105">
        <f>IF($S$421&gt;0,'Assumptions (NG)'!$V$14*Model!$S$421*('Assumptions (NG)'!P$2*'Assumptions (NG)'!$R$15+'Assumptions (NG)'!P$3*'Assumptions (NG)'!$R$16)/10^9,0)</f>
        <v>2.4351594074057972</v>
      </c>
      <c r="R440" s="105">
        <f>IF($S$421&gt;0,'Assumptions (NG)'!$V$14*Model!$S$421*('Assumptions (NG)'!Q$2*'Assumptions (NG)'!$R$15+'Assumptions (NG)'!Q$3*'Assumptions (NG)'!$R$16)/10^9,0)</f>
        <v>2.4838625955539126</v>
      </c>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row>
    <row r="441" spans="1:53" ht="15.75" hidden="1" customHeight="1" outlineLevel="1">
      <c r="A441" s="379"/>
      <c r="B441" s="99"/>
      <c r="C441" s="105"/>
      <c r="D441" s="105"/>
      <c r="E441" s="105"/>
      <c r="F441" s="105"/>
      <c r="G441" s="105"/>
      <c r="H441" s="105"/>
      <c r="I441" s="105"/>
      <c r="J441" s="105"/>
      <c r="K441" s="105"/>
      <c r="L441" s="105"/>
      <c r="M441" s="105"/>
      <c r="N441" s="105"/>
      <c r="O441" s="105"/>
      <c r="P441" s="105"/>
      <c r="Q441" s="105">
        <f>IF($T$421&gt;0,'Assumptions (NG)'!$V$14*Model!$T$421*('Assumptions (NG)'!P$2*'Assumptions (NG)'!$S$15+'Assumptions (NG)'!P$3*'Assumptions (NG)'!$S$16)/10^9,0)</f>
        <v>2.5081921343584077</v>
      </c>
      <c r="R441" s="105">
        <f>IF($T$421&gt;0,'Assumptions (NG)'!$V$14*Model!$T$421*('Assumptions (NG)'!Q$2*'Assumptions (NG)'!$S$15+'Assumptions (NG)'!Q$3*'Assumptions (NG)'!$S$16)/10^9,0)</f>
        <v>2.5583559770455757</v>
      </c>
      <c r="S441" s="105">
        <f>IF($T$421&gt;0,'Assumptions (NG)'!$V$14*Model!$T$421*('Assumptions (NG)'!R$2*'Assumptions (NG)'!$S$15+'Assumptions (NG)'!R$3*'Assumptions (NG)'!$S$16)/10^9,0)</f>
        <v>2.609523096586488</v>
      </c>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row>
    <row r="442" spans="1:53" ht="15.75" hidden="1" customHeight="1" outlineLevel="1">
      <c r="A442" s="379"/>
      <c r="B442" s="99"/>
      <c r="C442" s="105"/>
      <c r="D442" s="105"/>
      <c r="E442" s="105"/>
      <c r="F442" s="105"/>
      <c r="G442" s="105"/>
      <c r="H442" s="105"/>
      <c r="I442" s="105"/>
      <c r="J442" s="105"/>
      <c r="K442" s="105"/>
      <c r="L442" s="105"/>
      <c r="M442" s="105"/>
      <c r="N442" s="105"/>
      <c r="O442" s="91"/>
      <c r="P442" s="91"/>
      <c r="Q442" s="91"/>
      <c r="R442" s="91">
        <f>IF($U$421&gt;0,'Assumptions (NG)'!$V$14*Model!$U$421*('Assumptions (NG)'!Q$2*'Assumptions (NG)'!$T$15+'Assumptions (NG)'!Q$3*'Assumptions (NG)'!$T$16)/10^9,0)</f>
        <v>5.7776358255635802</v>
      </c>
      <c r="S442" s="91">
        <f>IF($U$421&gt;0,'Assumptions (NG)'!$V$14*Model!$U$421*('Assumptions (NG)'!R$2*'Assumptions (NG)'!$T$15+'Assumptions (NG)'!R$3*'Assumptions (NG)'!$T$16)/10^9,0)</f>
        <v>5.8931885420748529</v>
      </c>
      <c r="T442" s="91">
        <f>IF($U$421&gt;0,'Assumptions (NG)'!$V$14*Model!$U$421*('Assumptions (NG)'!S$2*'Assumptions (NG)'!$T$15+'Assumptions (NG)'!S$3*'Assumptions (NG)'!$T$16)/10^9,0)</f>
        <v>6.0110523129163491</v>
      </c>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c r="AT442" s="105"/>
      <c r="AU442" s="105"/>
      <c r="AV442" s="105"/>
      <c r="AW442" s="105"/>
      <c r="AX442" s="105"/>
      <c r="AY442" s="105"/>
      <c r="AZ442" s="105"/>
      <c r="BA442" s="105"/>
    </row>
    <row r="443" spans="1:53" ht="15.75" hidden="1" customHeight="1" outlineLevel="1">
      <c r="A443" s="379"/>
      <c r="B443" s="99"/>
      <c r="C443" s="105"/>
      <c r="D443" s="105"/>
      <c r="E443" s="105"/>
      <c r="F443" s="105"/>
      <c r="G443" s="105"/>
      <c r="H443" s="105"/>
      <c r="I443" s="105"/>
      <c r="J443" s="105"/>
      <c r="K443" s="105"/>
      <c r="L443" s="105"/>
      <c r="M443" s="105"/>
      <c r="N443" s="105"/>
      <c r="O443" s="105"/>
      <c r="P443" s="105"/>
      <c r="Q443" s="105"/>
      <c r="R443" s="105"/>
      <c r="S443" s="105">
        <f>IF($V$421&gt;0,'Assumptions (NG)'!$V$14*Model!$V$421*('Assumptions (NG)'!R$2*'Assumptions (NG)'!$U$15+'Assumptions (NG)'!R$3*'Assumptions (NG)'!$U$16)/10^9,0)</f>
        <v>3.0014527595085436</v>
      </c>
      <c r="T443" s="105">
        <f>IF($V$421&gt;0,'Assumptions (NG)'!$V$14*Model!$V$421*('Assumptions (NG)'!S$2*'Assumptions (NG)'!$U$15+'Assumptions (NG)'!S$3*'Assumptions (NG)'!$U$16)/10^9,0)</f>
        <v>3.0614818146987144</v>
      </c>
      <c r="U443" s="105">
        <f>IF($V$421&gt;0,'Assumptions (NG)'!$V$14*Model!$V$421*('Assumptions (NG)'!T$2*'Assumptions (NG)'!$U$15+'Assumptions (NG)'!T$3*'Assumptions (NG)'!$U$16)/10^9,0)</f>
        <v>3.1227114509926888</v>
      </c>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c r="AT443" s="105"/>
      <c r="AU443" s="105"/>
      <c r="AV443" s="105"/>
      <c r="AW443" s="105"/>
      <c r="AX443" s="105"/>
      <c r="AY443" s="105"/>
      <c r="AZ443" s="105"/>
      <c r="BA443" s="105"/>
    </row>
    <row r="444" spans="1:53" ht="15.75" hidden="1" customHeight="1" outlineLevel="1">
      <c r="A444" s="379"/>
      <c r="B444" s="99"/>
      <c r="C444" s="99"/>
      <c r="D444" s="99"/>
      <c r="E444" s="99"/>
      <c r="F444" s="99"/>
      <c r="G444" s="99"/>
      <c r="H444" s="99"/>
      <c r="I444" s="99"/>
      <c r="J444" s="99"/>
      <c r="K444" s="99"/>
      <c r="L444" s="99"/>
      <c r="M444" s="99"/>
      <c r="N444" s="99"/>
      <c r="O444" s="99"/>
      <c r="P444" s="99"/>
      <c r="Q444" s="99"/>
      <c r="R444" s="99"/>
      <c r="S444" s="99"/>
      <c r="T444" s="105">
        <f>IF($W$421&gt;0,'Assumptions (NG)'!$V$14*Model!$W$421*('Assumptions (NG)'!S$2*'Assumptions (NG)'!$V$15+'Assumptions (NG)'!S$3*'Assumptions (NG)'!$V$16)/10^9,0)</f>
        <v>2.1209475993396203</v>
      </c>
      <c r="U444" s="105">
        <f>IF($W$421&gt;0,'Assumptions (NG)'!$V$14*Model!$W$421*('Assumptions (NG)'!T$2*'Assumptions (NG)'!$V$15+'Assumptions (NG)'!T$3*'Assumptions (NG)'!$V$16)/10^9,0)</f>
        <v>2.1633665513264129</v>
      </c>
      <c r="V444" s="105">
        <f>IF($W$421&gt;0,'Assumptions (NG)'!$V$14*Model!$W$421*('Assumptions (NG)'!U$2*'Assumptions (NG)'!$V$15+'Assumptions (NG)'!U$3*'Assumptions (NG)'!$V$16)/10^9,0)</f>
        <v>2.206633882352941</v>
      </c>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c r="AT444" s="105"/>
      <c r="AU444" s="105"/>
      <c r="AV444" s="105"/>
      <c r="AW444" s="105"/>
      <c r="AX444" s="105"/>
      <c r="AY444" s="105"/>
      <c r="AZ444" s="105"/>
      <c r="BA444" s="105"/>
    </row>
    <row r="445" spans="1:53" ht="15.75" hidden="1" customHeight="1" outlineLevel="1">
      <c r="A445" s="379"/>
      <c r="B445" s="99"/>
      <c r="C445" s="99"/>
      <c r="D445" s="99"/>
      <c r="E445" s="99"/>
      <c r="F445" s="99"/>
      <c r="G445" s="99"/>
      <c r="H445" s="99"/>
      <c r="I445" s="99"/>
      <c r="J445" s="99"/>
      <c r="K445" s="99"/>
      <c r="L445" s="99"/>
      <c r="M445" s="99"/>
      <c r="N445" s="99"/>
      <c r="O445" s="99"/>
      <c r="P445" s="99"/>
      <c r="Q445" s="99"/>
      <c r="R445" s="99"/>
      <c r="S445" s="99"/>
      <c r="T445" s="99"/>
      <c r="U445" s="105">
        <f>IF($X$421&gt;0,'Assumptions (NG)'!$V$14*Model!$X$421*('Assumptions (NG)'!T$2*'Assumptions (NG)'!$W$15+'Assumptions (NG)'!T$3*'Assumptions (NG)'!$W$16)/10^9,0)</f>
        <v>13.291482864851236</v>
      </c>
      <c r="V445" s="105">
        <f>IF($X$421&gt;0,'Assumptions (NG)'!$V$14*Model!$X$421*('Assumptions (NG)'!U$2*'Assumptions (NG)'!$W$15+'Assumptions (NG)'!U$3*'Assumptions (NG)'!$W$16)/10^9,0)</f>
        <v>13.557312522148264</v>
      </c>
      <c r="W445" s="105">
        <f>IF($X$421&gt;0,'Assumptions (NG)'!$V$14*Model!$X$421*('Assumptions (NG)'!V$2*'Assumptions (NG)'!$W$15+'Assumptions (NG)'!V$3*'Assumptions (NG)'!$W$16)/10^9,0)</f>
        <v>13.828458772591228</v>
      </c>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c r="AT445" s="105"/>
      <c r="AU445" s="105"/>
      <c r="AV445" s="105"/>
      <c r="AW445" s="105"/>
      <c r="AX445" s="105"/>
      <c r="AY445" s="105"/>
      <c r="AZ445" s="105"/>
      <c r="BA445" s="105"/>
    </row>
    <row r="446" spans="1:53" ht="15.75" hidden="1" customHeight="1" outlineLevel="1">
      <c r="A446" s="379"/>
      <c r="B446" s="99"/>
      <c r="C446" s="99"/>
      <c r="D446" s="99"/>
      <c r="E446" s="99"/>
      <c r="F446" s="99"/>
      <c r="G446" s="99"/>
      <c r="H446" s="99"/>
      <c r="I446" s="99"/>
      <c r="J446" s="99"/>
      <c r="K446" s="99"/>
      <c r="L446" s="99"/>
      <c r="M446" s="99"/>
      <c r="N446" s="99"/>
      <c r="O446" s="99"/>
      <c r="P446" s="99"/>
      <c r="Q446" s="99"/>
      <c r="R446" s="99"/>
      <c r="S446" s="99"/>
      <c r="T446" s="99"/>
      <c r="U446" s="99"/>
      <c r="V446" s="105">
        <f>IF($Y$421&gt;0,'Assumptions (NG)'!$V$14*Model!$Y$421*('Assumptions (NG)'!U$2*'Assumptions (NG)'!$X$15+'Assumptions (NG)'!U$3*'Assumptions (NG)'!$X$16)/10^9,0)</f>
        <v>0</v>
      </c>
      <c r="W446" s="105">
        <f>IF($Y$421&gt;0,'Assumptions (NG)'!$V$14*Model!$Y$421*('Assumptions (NG)'!V$2*'Assumptions (NG)'!$X$15+'Assumptions (NG)'!V$3*'Assumptions (NG)'!$X$16)/10^9,0)</f>
        <v>0</v>
      </c>
      <c r="X446" s="105">
        <f>IF($Y$421&gt;0,'Assumptions (NG)'!$V$14*Model!$Y$421*('Assumptions (NG)'!W$2*'Assumptions (NG)'!$X$15+'Assumptions (NG)'!W$3*'Assumptions (NG)'!$X$16)/10^9,0)</f>
        <v>0</v>
      </c>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c r="AT446" s="105"/>
      <c r="AU446" s="105"/>
      <c r="AV446" s="105"/>
      <c r="AW446" s="105"/>
      <c r="AX446" s="105"/>
      <c r="AY446" s="105"/>
      <c r="AZ446" s="105"/>
      <c r="BA446" s="105"/>
    </row>
    <row r="447" spans="1:53" ht="15.75" hidden="1" customHeight="1" outlineLevel="1">
      <c r="A447" s="379"/>
      <c r="B447" s="99"/>
      <c r="C447" s="99"/>
      <c r="D447" s="99"/>
      <c r="E447" s="99"/>
      <c r="F447" s="99"/>
      <c r="G447" s="99"/>
      <c r="H447" s="99"/>
      <c r="I447" s="99"/>
      <c r="J447" s="99"/>
      <c r="K447" s="99"/>
      <c r="L447" s="99"/>
      <c r="M447" s="99"/>
      <c r="N447" s="99"/>
      <c r="O447" s="99"/>
      <c r="P447" s="99"/>
      <c r="Q447" s="99"/>
      <c r="R447" s="99"/>
      <c r="S447" s="99"/>
      <c r="T447" s="99"/>
      <c r="U447" s="99"/>
      <c r="V447" s="99"/>
      <c r="W447" s="105">
        <f>IF($Z$421&gt;0,'Assumptions (NG)'!$V$14*Model!$Z$421*('Assumptions (NG)'!$Y$15*'Assumptions (NG)'!V$2+'Assumptions (NG)'!$Y$16*'Assumptions (NG)'!V$3)/10^9,0)</f>
        <v>0</v>
      </c>
      <c r="X447" s="105">
        <f>IF($Z$421&gt;0,'Assumptions (NG)'!$V$14*Model!$Z$421*('Assumptions (NG)'!$Y$15*'Assumptions (NG)'!W$2+'Assumptions (NG)'!$Y$16*'Assumptions (NG)'!W$3)/10^9,0)</f>
        <v>0</v>
      </c>
      <c r="Y447" s="105">
        <f>IF($Z$421&gt;0,'Assumptions (NG)'!$V$14*Model!$Z$421*('Assumptions (NG)'!$Y$15*'Assumptions (NG)'!X$2+'Assumptions (NG)'!$Y$16*'Assumptions (NG)'!X$3)/10^9,0)</f>
        <v>0</v>
      </c>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row>
    <row r="448" spans="1:53" ht="15.75" hidden="1" customHeight="1" outlineLevel="1">
      <c r="A448" s="379"/>
      <c r="B448" s="99"/>
      <c r="C448" s="99"/>
      <c r="D448" s="99"/>
      <c r="E448" s="99"/>
      <c r="F448" s="99"/>
      <c r="G448" s="99"/>
      <c r="H448" s="99"/>
      <c r="I448" s="99"/>
      <c r="J448" s="99"/>
      <c r="K448" s="99"/>
      <c r="L448" s="99"/>
      <c r="M448" s="99"/>
      <c r="N448" s="99"/>
      <c r="O448" s="99"/>
      <c r="P448" s="99"/>
      <c r="Q448" s="99"/>
      <c r="R448" s="99"/>
      <c r="S448" s="99"/>
      <c r="T448" s="99"/>
      <c r="U448" s="99"/>
      <c r="V448" s="99"/>
      <c r="W448" s="105"/>
      <c r="X448" s="105">
        <f>IF($AA$421&gt;0,'Assumptions (NG)'!$V$14*Model!$AA$421*('Assumptions (NG)'!$Z$15*'Assumptions (NG)'!W$2+'Assumptions (NG)'!$Z$16*'Assumptions (NG)'!W$3)/10^9,0)</f>
        <v>0</v>
      </c>
      <c r="Y448" s="105">
        <f>IF($AA$421&gt;0,'Assumptions (NG)'!$V$14*Model!$AA$421*('Assumptions (NG)'!$Z$15*'Assumptions (NG)'!X$2+'Assumptions (NG)'!$Z$16*'Assumptions (NG)'!X$3)/10^9,0)</f>
        <v>0</v>
      </c>
      <c r="Z448" s="105">
        <f>IF($AA$421&gt;0,'Assumptions (NG)'!$V$14*Model!$AA$421*('Assumptions (NG)'!$Z$15*'Assumptions (NG)'!Y$2+'Assumptions (NG)'!$Z$16*'Assumptions (NG)'!Y$3)/10^9,0)</f>
        <v>0</v>
      </c>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row>
    <row r="449" spans="1:67" ht="15.75" hidden="1" customHeight="1" outlineLevel="1">
      <c r="A449" s="379"/>
      <c r="B449" s="99"/>
      <c r="C449" s="99"/>
      <c r="D449" s="99"/>
      <c r="E449" s="99"/>
      <c r="F449" s="99"/>
      <c r="G449" s="99"/>
      <c r="H449" s="99"/>
      <c r="I449" s="99"/>
      <c r="J449" s="99"/>
      <c r="K449" s="99"/>
      <c r="L449" s="99"/>
      <c r="M449" s="99"/>
      <c r="N449" s="99"/>
      <c r="O449" s="99"/>
      <c r="P449" s="99"/>
      <c r="Q449" s="99"/>
      <c r="R449" s="99"/>
      <c r="S449" s="99"/>
      <c r="T449" s="99"/>
      <c r="U449" s="99"/>
      <c r="V449" s="99"/>
      <c r="W449" s="105"/>
      <c r="X449" s="105"/>
      <c r="Y449" s="105">
        <f>IF($AB$421&gt;0,'Assumptions (NG)'!$V$14*Model!$AB$421*('Assumptions (NG)'!$AA$15*'Assumptions (NG)'!X$2+'Assumptions (NG)'!$AA$16*'Assumptions (NG)'!X$3)/10^9,0)</f>
        <v>0</v>
      </c>
      <c r="Z449" s="105">
        <f>IF($AB$421&gt;0,'Assumptions (NG)'!$V$14*Model!$AB$421*('Assumptions (NG)'!$AA$15*'Assumptions (NG)'!Y$2+'Assumptions (NG)'!$AA$16*'Assumptions (NG)'!Y$3)/10^9,0)</f>
        <v>0</v>
      </c>
      <c r="AA449" s="105">
        <f>IF($AB$421&gt;0,'Assumptions (NG)'!$V$14*Model!$AB$421*('Assumptions (NG)'!$AA$15*'Assumptions (NG)'!Z$2+'Assumptions (NG)'!$AA$16*'Assumptions (NG)'!Z$3)/10^9,0)</f>
        <v>0</v>
      </c>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row>
    <row r="450" spans="1:67" ht="15.75" hidden="1" customHeight="1" outlineLevel="1">
      <c r="A450" s="379"/>
      <c r="B450" s="99"/>
      <c r="C450" s="99"/>
      <c r="D450" s="99"/>
      <c r="E450" s="99"/>
      <c r="F450" s="99"/>
      <c r="G450" s="99"/>
      <c r="H450" s="99"/>
      <c r="I450" s="99"/>
      <c r="J450" s="99"/>
      <c r="K450" s="99"/>
      <c r="L450" s="99"/>
      <c r="M450" s="99"/>
      <c r="N450" s="99"/>
      <c r="O450" s="99"/>
      <c r="P450" s="99"/>
      <c r="Q450" s="99"/>
      <c r="R450" s="99"/>
      <c r="S450" s="99"/>
      <c r="T450" s="99"/>
      <c r="U450" s="99"/>
      <c r="V450" s="99"/>
      <c r="W450" s="105"/>
      <c r="X450" s="105"/>
      <c r="Y450" s="105"/>
      <c r="Z450" s="105">
        <f>IF($AC$421&gt;0,'Assumptions (NG)'!$V$14*Model!$AC$421*('Assumptions (NG)'!$AB$15*'Assumptions (NG)'!Y$2+'Assumptions (NG)'!$AB$16*'Assumptions (NG)'!Y$3)/10^9,0)</f>
        <v>0</v>
      </c>
      <c r="AA450" s="105">
        <f>IF($AC$421&gt;0,'Assumptions (NG)'!$V$14*Model!$AC$421*('Assumptions (NG)'!$AB$15*'Assumptions (NG)'!Z$2+'Assumptions (NG)'!$AB$16*'Assumptions (NG)'!Z$3)/10^9,0)</f>
        <v>0</v>
      </c>
      <c r="AB450" s="105">
        <f>IF($AC$421&gt;0,'Assumptions (NG)'!$V$14*Model!$AC$421*('Assumptions (NG)'!$AB$15*'Assumptions (NG)'!AA$2+'Assumptions (NG)'!$AB$16*'Assumptions (NG)'!AA$3)/10^9,0)</f>
        <v>0</v>
      </c>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row>
    <row r="451" spans="1:67" ht="15.75" hidden="1" customHeight="1" outlineLevel="1">
      <c r="A451" s="379"/>
      <c r="B451" s="99"/>
      <c r="C451" s="99"/>
      <c r="D451" s="99"/>
      <c r="E451" s="99"/>
      <c r="F451" s="99"/>
      <c r="G451" s="99"/>
      <c r="H451" s="99"/>
      <c r="I451" s="99"/>
      <c r="J451" s="99"/>
      <c r="K451" s="99"/>
      <c r="L451" s="99"/>
      <c r="M451" s="99"/>
      <c r="N451" s="99"/>
      <c r="O451" s="99"/>
      <c r="P451" s="99"/>
      <c r="Q451" s="99"/>
      <c r="R451" s="99"/>
      <c r="S451" s="99"/>
      <c r="T451" s="99"/>
      <c r="U451" s="99"/>
      <c r="V451" s="99"/>
      <c r="W451" s="105"/>
      <c r="X451" s="105"/>
      <c r="Y451" s="105"/>
      <c r="Z451" s="105"/>
      <c r="AA451" s="105">
        <f>IF($AD$421&gt;0,'Assumptions (NG)'!$V$14*Model!$AD$421*('Assumptions (NG)'!$AC$15*'Assumptions (NG)'!Z$2+'Assumptions (NG)'!$AC$16*'Assumptions (NG)'!Z$3)/10^9,0)</f>
        <v>0</v>
      </c>
      <c r="AB451" s="105">
        <f>IF($AD$421&gt;0,'Assumptions (NG)'!$V$14*Model!$AD$421*('Assumptions (NG)'!$AC$15*'Assumptions (NG)'!AA$2+'Assumptions (NG)'!$AC$16*'Assumptions (NG)'!AA$3)/10^9,0)</f>
        <v>0</v>
      </c>
      <c r="AC451" s="105">
        <f>IF($AD$421&gt;0,'Assumptions (NG)'!$V$14*Model!$AD$421*('Assumptions (NG)'!$AC$15*'Assumptions (NG)'!AB$2+'Assumptions (NG)'!$AC$16*'Assumptions (NG)'!AB$3)/10^9,0)</f>
        <v>0</v>
      </c>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row>
    <row r="452" spans="1:67" ht="15.75" hidden="1" customHeight="1" outlineLevel="1">
      <c r="A452" s="379"/>
      <c r="B452" s="99"/>
      <c r="C452" s="99"/>
      <c r="D452" s="99"/>
      <c r="E452" s="99"/>
      <c r="F452" s="99"/>
      <c r="G452" s="99"/>
      <c r="H452" s="99"/>
      <c r="I452" s="99"/>
      <c r="J452" s="99"/>
      <c r="K452" s="99"/>
      <c r="L452" s="99"/>
      <c r="M452" s="99"/>
      <c r="N452" s="99"/>
      <c r="O452" s="99"/>
      <c r="P452" s="99"/>
      <c r="Q452" s="99"/>
      <c r="R452" s="99"/>
      <c r="S452" s="99"/>
      <c r="T452" s="99"/>
      <c r="U452" s="99"/>
      <c r="V452" s="99"/>
      <c r="W452" s="105"/>
      <c r="X452" s="105"/>
      <c r="Y452" s="105"/>
      <c r="Z452" s="105"/>
      <c r="AA452" s="105"/>
      <c r="AB452" s="105">
        <f>IF($AE$421&gt;0,'Assumptions (NG)'!$V$14*Model!$AE$421*('Assumptions (NG)'!$AD$15*'Assumptions (NG)'!AA$2+'Assumptions (NG)'!$AD$16*'Assumptions (NG)'!AA$3)/10^9,0)</f>
        <v>0</v>
      </c>
      <c r="AC452" s="105">
        <f>IF($AE$421&gt;0,'Assumptions (NG)'!$V$14*Model!$AE$421*('Assumptions (NG)'!$AD$15*'Assumptions (NG)'!AB$2+'Assumptions (NG)'!$AD$16*'Assumptions (NG)'!AB$3)/10^9,0)</f>
        <v>0</v>
      </c>
      <c r="AD452" s="105">
        <f>IF($AE$421&gt;0,'Assumptions (NG)'!$V$14*Model!$AE$421*('Assumptions (NG)'!$AD$15*'Assumptions (NG)'!AC$2+'Assumptions (NG)'!$AD$16*'Assumptions (NG)'!AC$3)/10^9,0)</f>
        <v>0</v>
      </c>
      <c r="AE452" s="105"/>
      <c r="AF452" s="105"/>
      <c r="AG452" s="105"/>
      <c r="AH452" s="105"/>
      <c r="AI452" s="105"/>
      <c r="AJ452" s="105"/>
      <c r="AK452" s="105"/>
      <c r="AL452" s="105"/>
      <c r="AM452" s="105"/>
      <c r="AN452" s="105"/>
      <c r="AO452" s="105"/>
      <c r="AP452" s="105"/>
      <c r="AQ452" s="105"/>
      <c r="AR452" s="105"/>
      <c r="AS452" s="105"/>
      <c r="AT452" s="105"/>
      <c r="AU452" s="105"/>
      <c r="AV452" s="105"/>
      <c r="AW452" s="105"/>
      <c r="AX452" s="105"/>
      <c r="AY452" s="105"/>
      <c r="AZ452" s="105"/>
      <c r="BA452" s="105"/>
      <c r="BB452" s="105"/>
      <c r="BC452" s="105"/>
    </row>
    <row r="453" spans="1:67" ht="15.75" hidden="1" customHeight="1" outlineLevel="1">
      <c r="A453" s="379"/>
      <c r="B453" s="99"/>
      <c r="C453" s="99"/>
      <c r="D453" s="99"/>
      <c r="E453" s="99"/>
      <c r="F453" s="99"/>
      <c r="G453" s="99"/>
      <c r="H453" s="99"/>
      <c r="I453" s="99"/>
      <c r="J453" s="99"/>
      <c r="K453" s="99"/>
      <c r="L453" s="99"/>
      <c r="M453" s="99"/>
      <c r="N453" s="99"/>
      <c r="O453" s="99"/>
      <c r="P453" s="99"/>
      <c r="Q453" s="99"/>
      <c r="R453" s="99"/>
      <c r="S453" s="99"/>
      <c r="T453" s="99"/>
      <c r="U453" s="99"/>
      <c r="V453" s="99"/>
      <c r="W453" s="105"/>
      <c r="X453" s="105"/>
      <c r="Y453" s="105"/>
      <c r="Z453" s="105"/>
      <c r="AA453" s="105"/>
      <c r="AB453" s="105"/>
      <c r="AC453" s="105">
        <f>IF($AF$421&gt;0,'Assumptions (NG)'!$V$14*Model!$AF$421*('Assumptions (NG)'!$AE$15*'Assumptions (NG)'!AB$2+'Assumptions (NG)'!$AE$16*'Assumptions (NG)'!AB$3)/10^9,0)</f>
        <v>0</v>
      </c>
      <c r="AD453" s="105">
        <f>IF($AF$421&gt;0,'Assumptions (NG)'!$V$14*Model!$AF$421*('Assumptions (NG)'!$AE$15*'Assumptions (NG)'!AC$2+'Assumptions (NG)'!$AE$16*'Assumptions (NG)'!AC$3)/10^9,0)</f>
        <v>0</v>
      </c>
      <c r="AE453" s="105">
        <f>IF($AF$421&gt;0,'Assumptions (NG)'!$V$14*Model!$AF$421*('Assumptions (NG)'!$AE$15*'Assumptions (NG)'!AD$2+'Assumptions (NG)'!$AE$16*'Assumptions (NG)'!AD$3)/10^9,0)</f>
        <v>0</v>
      </c>
      <c r="AF453" s="105"/>
      <c r="AG453" s="105"/>
      <c r="AH453" s="105"/>
      <c r="AI453" s="105"/>
      <c r="AJ453" s="105"/>
      <c r="AK453" s="105"/>
      <c r="AL453" s="105"/>
      <c r="AM453" s="105"/>
      <c r="AN453" s="105"/>
      <c r="AO453" s="105"/>
      <c r="AP453" s="105"/>
      <c r="AQ453" s="105"/>
      <c r="AR453" s="105"/>
      <c r="AS453" s="105"/>
      <c r="AT453" s="105"/>
      <c r="AU453" s="105"/>
      <c r="AV453" s="105"/>
      <c r="AW453" s="105"/>
      <c r="AX453" s="105"/>
      <c r="AY453" s="105"/>
      <c r="AZ453" s="105"/>
      <c r="BA453" s="105"/>
      <c r="BB453" s="105"/>
      <c r="BC453" s="105"/>
      <c r="BD453" s="105"/>
    </row>
    <row r="454" spans="1:67" ht="15.75" hidden="1" customHeight="1" outlineLevel="1">
      <c r="A454" s="379"/>
      <c r="B454" s="99"/>
      <c r="C454" s="99"/>
      <c r="D454" s="99"/>
      <c r="E454" s="99"/>
      <c r="F454" s="99"/>
      <c r="G454" s="99"/>
      <c r="H454" s="99"/>
      <c r="I454" s="99"/>
      <c r="J454" s="99"/>
      <c r="K454" s="99"/>
      <c r="L454" s="99"/>
      <c r="M454" s="99"/>
      <c r="N454" s="99"/>
      <c r="O454" s="99"/>
      <c r="P454" s="99"/>
      <c r="Q454" s="99"/>
      <c r="R454" s="99"/>
      <c r="S454" s="99"/>
      <c r="T454" s="99"/>
      <c r="U454" s="99"/>
      <c r="V454" s="99"/>
      <c r="W454" s="105"/>
      <c r="X454" s="105"/>
      <c r="Y454" s="105"/>
      <c r="Z454" s="105"/>
      <c r="AA454" s="105"/>
      <c r="AB454" s="105"/>
      <c r="AC454" s="105"/>
      <c r="AD454" s="105">
        <f>IF($AG$421&gt;0,'Assumptions (NG)'!$V$14*Model!$AG$421*('Assumptions (NG)'!$AF$15*'Assumptions (NG)'!AC$2+'Assumptions (NG)'!$AF$16*'Assumptions (NG)'!AC$3)/10^9,0)</f>
        <v>0</v>
      </c>
      <c r="AE454" s="105">
        <f>IF($AG$421&gt;0,'Assumptions (NG)'!$V$14*Model!$AG$421*('Assumptions (NG)'!$AF$15*'Assumptions (NG)'!AD$2+'Assumptions (NG)'!$AF$16*'Assumptions (NG)'!AD$3)/10^9,0)</f>
        <v>0</v>
      </c>
      <c r="AF454" s="105">
        <f>IF($AG$421&gt;0,'Assumptions (NG)'!$V$14*Model!$AG$421*('Assumptions (NG)'!$AF$15*'Assumptions (NG)'!AE$2+'Assumptions (NG)'!$AF$16*'Assumptions (NG)'!AE$3)/10^9,0)</f>
        <v>0</v>
      </c>
      <c r="AG454" s="105"/>
      <c r="AH454" s="105"/>
      <c r="AI454" s="105"/>
      <c r="AJ454" s="105"/>
      <c r="AK454" s="105"/>
      <c r="AL454" s="105"/>
      <c r="AM454" s="105"/>
      <c r="AN454" s="105"/>
      <c r="AO454" s="105"/>
      <c r="AP454" s="105"/>
      <c r="AQ454" s="105"/>
      <c r="AR454" s="105"/>
      <c r="AS454" s="105"/>
      <c r="AT454" s="105"/>
      <c r="AU454" s="105"/>
      <c r="AV454" s="105"/>
      <c r="AW454" s="105"/>
      <c r="AX454" s="105"/>
      <c r="AY454" s="105"/>
      <c r="AZ454" s="105"/>
      <c r="BA454" s="105"/>
      <c r="BB454" s="105"/>
      <c r="BC454" s="105"/>
      <c r="BD454" s="105"/>
      <c r="BE454" s="105"/>
    </row>
    <row r="455" spans="1:67" ht="15.75" hidden="1" customHeight="1" outlineLevel="1">
      <c r="A455" s="379"/>
      <c r="B455" s="99"/>
      <c r="C455" s="99"/>
      <c r="D455" s="99"/>
      <c r="E455" s="99"/>
      <c r="F455" s="99"/>
      <c r="G455" s="99"/>
      <c r="H455" s="99"/>
      <c r="I455" s="99"/>
      <c r="J455" s="99"/>
      <c r="K455" s="99"/>
      <c r="L455" s="99"/>
      <c r="M455" s="99"/>
      <c r="N455" s="99"/>
      <c r="O455" s="99"/>
      <c r="P455" s="99"/>
      <c r="Q455" s="99"/>
      <c r="R455" s="99"/>
      <c r="S455" s="99"/>
      <c r="T455" s="99"/>
      <c r="U455" s="99"/>
      <c r="V455" s="99"/>
      <c r="W455" s="105"/>
      <c r="X455" s="105"/>
      <c r="Y455" s="105"/>
      <c r="Z455" s="105"/>
      <c r="AA455" s="105"/>
      <c r="AB455" s="105"/>
      <c r="AC455" s="105"/>
      <c r="AD455" s="105"/>
      <c r="AE455" s="105">
        <f>IF($AH$421&gt;0,'Assumptions (NG)'!$V$14*Model!$AH$421*('Assumptions (NG)'!$AG$15*'Assumptions (NG)'!AD$2+'Assumptions (NG)'!$AG$16*'Assumptions (NG)'!AD$3)/10^9,0)</f>
        <v>0</v>
      </c>
      <c r="AF455" s="105">
        <f>IF($AH$421&gt;0,'Assumptions (NG)'!$V$14*Model!$AH$421*('Assumptions (NG)'!$AG$15*'Assumptions (NG)'!AE$2+'Assumptions (NG)'!$AG$16*'Assumptions (NG)'!AE$3)/10^9,0)</f>
        <v>0</v>
      </c>
      <c r="AG455" s="105">
        <f>IF($AH$421&gt;0,'Assumptions (NG)'!$V$14*Model!$AH$421*('Assumptions (NG)'!$AG$15*'Assumptions (NG)'!AF$2+'Assumptions (NG)'!$AG$16*'Assumptions (NG)'!AF$3)/10^9,0)</f>
        <v>0</v>
      </c>
      <c r="AH455" s="105"/>
      <c r="AI455" s="105"/>
      <c r="AJ455" s="105"/>
      <c r="AK455" s="105"/>
      <c r="AL455" s="105"/>
      <c r="AM455" s="105"/>
      <c r="AN455" s="105"/>
      <c r="AO455" s="105"/>
      <c r="AP455" s="105"/>
      <c r="AQ455" s="105"/>
      <c r="AR455" s="105"/>
      <c r="AS455" s="105"/>
      <c r="AT455" s="105"/>
      <c r="AU455" s="105"/>
      <c r="AV455" s="105"/>
      <c r="AW455" s="105"/>
      <c r="AX455" s="105"/>
      <c r="AY455" s="105"/>
      <c r="AZ455" s="105"/>
      <c r="BA455" s="105"/>
      <c r="BB455" s="105"/>
      <c r="BC455" s="105"/>
      <c r="BD455" s="105"/>
      <c r="BE455" s="105"/>
      <c r="BF455" s="105"/>
    </row>
    <row r="456" spans="1:67" ht="15.75" hidden="1" customHeight="1" outlineLevel="1">
      <c r="A456" s="379"/>
      <c r="B456" s="99"/>
      <c r="C456" s="99"/>
      <c r="D456" s="99"/>
      <c r="E456" s="99"/>
      <c r="F456" s="99"/>
      <c r="G456" s="99"/>
      <c r="H456" s="99"/>
      <c r="I456" s="99"/>
      <c r="J456" s="99"/>
      <c r="K456" s="99"/>
      <c r="L456" s="99"/>
      <c r="M456" s="99"/>
      <c r="N456" s="99"/>
      <c r="O456" s="99"/>
      <c r="P456" s="99"/>
      <c r="Q456" s="99"/>
      <c r="R456" s="99"/>
      <c r="S456" s="99"/>
      <c r="T456" s="99"/>
      <c r="U456" s="99"/>
      <c r="V456" s="99"/>
      <c r="W456" s="105"/>
      <c r="X456" s="105"/>
      <c r="Y456" s="105"/>
      <c r="Z456" s="105"/>
      <c r="AA456" s="105"/>
      <c r="AB456" s="105"/>
      <c r="AC456" s="105"/>
      <c r="AD456" s="105"/>
      <c r="AE456" s="105"/>
      <c r="AF456" s="105">
        <f>IF($AI$421&gt;0,'Assumptions (NG)'!$V$14*Model!$AI$421*('Assumptions (NG)'!$AH$15*'Assumptions (NG)'!AE$2+'Assumptions (NG)'!$AH$16*'Assumptions (NG)'!AE$3)/10^9,0)</f>
        <v>0</v>
      </c>
      <c r="AG456" s="105">
        <f>IF($AI$421&gt;0,'Assumptions (NG)'!$V$14*Model!$AI$421*('Assumptions (NG)'!$AH$15*'Assumptions (NG)'!AF$2+'Assumptions (NG)'!$AH$16*'Assumptions (NG)'!AF$3)/10^9,0)</f>
        <v>0</v>
      </c>
      <c r="AH456" s="105">
        <f>IF($AI$421&gt;0,'Assumptions (NG)'!$V$14*Model!$AI$421*('Assumptions (NG)'!$AH$15*'Assumptions (NG)'!AG$2+'Assumptions (NG)'!$AH$16*'Assumptions (NG)'!AG$3)/10^9,0)</f>
        <v>0</v>
      </c>
      <c r="AI456" s="105"/>
      <c r="AJ456" s="105"/>
      <c r="AK456" s="105"/>
      <c r="AL456" s="105"/>
      <c r="AM456" s="105"/>
      <c r="AN456" s="105"/>
      <c r="AO456" s="105"/>
      <c r="AP456" s="105"/>
      <c r="AQ456" s="105"/>
      <c r="AR456" s="105"/>
      <c r="AS456" s="105"/>
      <c r="AT456" s="105"/>
      <c r="AU456" s="105"/>
      <c r="AV456" s="105"/>
      <c r="AW456" s="105"/>
      <c r="AX456" s="105"/>
      <c r="AY456" s="105"/>
      <c r="AZ456" s="105"/>
      <c r="BA456" s="105"/>
      <c r="BB456" s="105"/>
      <c r="BC456" s="105"/>
      <c r="BD456" s="105"/>
      <c r="BE456" s="105"/>
      <c r="BF456" s="105"/>
      <c r="BG456" s="105"/>
    </row>
    <row r="457" spans="1:67" ht="15.75" hidden="1" customHeight="1" outlineLevel="1">
      <c r="A457" s="379"/>
      <c r="B457" s="99"/>
      <c r="C457" s="99"/>
      <c r="D457" s="99"/>
      <c r="E457" s="99"/>
      <c r="F457" s="99"/>
      <c r="G457" s="99"/>
      <c r="H457" s="99"/>
      <c r="I457" s="99"/>
      <c r="J457" s="99"/>
      <c r="K457" s="99"/>
      <c r="L457" s="99"/>
      <c r="M457" s="99"/>
      <c r="N457" s="99"/>
      <c r="O457" s="99"/>
      <c r="P457" s="99"/>
      <c r="Q457" s="99"/>
      <c r="R457" s="99"/>
      <c r="S457" s="99"/>
      <c r="T457" s="99"/>
      <c r="U457" s="99"/>
      <c r="V457" s="99"/>
      <c r="W457" s="105"/>
      <c r="X457" s="105"/>
      <c r="Y457" s="105"/>
      <c r="Z457" s="105"/>
      <c r="AA457" s="105"/>
      <c r="AB457" s="105"/>
      <c r="AC457" s="105"/>
      <c r="AD457" s="105"/>
      <c r="AE457" s="105"/>
      <c r="AF457" s="105"/>
      <c r="AG457" s="105">
        <f>IF($AJ$421&gt;0,'Assumptions (NG)'!$V$14*Model!$AJ$421*('Assumptions (NG)'!AF$15*'Assumptions (NG)'!$AI$2+'Assumptions (NG)'!$AI$16*'Assumptions (NG)'!AF$3)/10^9,0)</f>
        <v>0</v>
      </c>
      <c r="AH457" s="105">
        <f>IF($AJ$421&gt;0,'Assumptions (NG)'!$V$14*Model!$AJ$421*('Assumptions (NG)'!AG$15*'Assumptions (NG)'!$AI$2+'Assumptions (NG)'!$AI$16*'Assumptions (NG)'!AG$3)/10^9,0)</f>
        <v>0</v>
      </c>
      <c r="AI457" s="105">
        <f>IF($AJ$421&gt;0,'Assumptions (NG)'!$V$14*Model!$AJ$421*('Assumptions (NG)'!AH$15*'Assumptions (NG)'!$AI$2+'Assumptions (NG)'!$AI$16*'Assumptions (NG)'!AH$3)/10^9,0)</f>
        <v>0</v>
      </c>
      <c r="AJ457" s="91"/>
      <c r="AK457" s="105"/>
      <c r="AL457" s="91"/>
      <c r="AM457" s="91"/>
      <c r="AN457" s="91"/>
      <c r="AO457" s="91"/>
      <c r="AP457" s="91"/>
      <c r="AQ457" s="91"/>
      <c r="AR457" s="91"/>
      <c r="AS457" s="91"/>
      <c r="AT457" s="91"/>
      <c r="AU457" s="91"/>
      <c r="AV457" s="91"/>
      <c r="AW457" s="91"/>
      <c r="AX457" s="91"/>
      <c r="AY457" s="91"/>
      <c r="AZ457" s="91"/>
      <c r="BA457" s="91"/>
      <c r="BB457" s="91"/>
      <c r="BC457" s="91"/>
      <c r="BD457" s="91"/>
      <c r="BE457" s="91"/>
      <c r="BF457" s="91"/>
      <c r="BG457" s="91"/>
      <c r="BH457" s="91"/>
    </row>
    <row r="458" spans="1:67" ht="15.75" hidden="1" customHeight="1" outlineLevel="1">
      <c r="A458" s="379"/>
      <c r="B458" s="99"/>
      <c r="C458" s="99"/>
      <c r="D458" s="99"/>
      <c r="E458" s="99"/>
      <c r="F458" s="99"/>
      <c r="G458" s="99"/>
      <c r="H458" s="99"/>
      <c r="I458" s="99"/>
      <c r="J458" s="99"/>
      <c r="K458" s="99"/>
      <c r="L458" s="99"/>
      <c r="M458" s="99"/>
      <c r="N458" s="99"/>
      <c r="O458" s="99"/>
      <c r="P458" s="99"/>
      <c r="Q458" s="99"/>
      <c r="R458" s="99"/>
      <c r="S458" s="99"/>
      <c r="T458" s="99"/>
      <c r="U458" s="99"/>
      <c r="V458" s="99"/>
      <c r="W458" s="105"/>
      <c r="X458" s="105"/>
      <c r="Y458" s="105"/>
      <c r="Z458" s="105"/>
      <c r="AA458" s="105"/>
      <c r="AB458" s="105"/>
      <c r="AC458" s="105"/>
      <c r="AD458" s="105"/>
      <c r="AE458" s="105"/>
      <c r="AF458" s="105"/>
      <c r="AG458" s="105"/>
      <c r="AH458" s="105">
        <f>IF($AK$421&gt;0,'Assumptions (NG)'!$V$14*Model!$AK$421*('Assumptions (NG)'!$AJ$15*'Assumptions (NG)'!AG$2+'Assumptions (NG)'!$AJ$16*'Assumptions (NG)'!AG$3)/10^9,0)</f>
        <v>0</v>
      </c>
      <c r="AI458" s="105">
        <f>IF($AK$421&gt;0,'Assumptions (NG)'!$V$14*Model!$AK$421*('Assumptions (NG)'!$AJ$15*'Assumptions (NG)'!AH$2+'Assumptions (NG)'!$AJ$16*'Assumptions (NG)'!AH$3)/10^9,0)</f>
        <v>0</v>
      </c>
      <c r="AJ458" s="105">
        <f>IF($AK$421&gt;0,'Assumptions (NG)'!$V$14*Model!$AK$421*('Assumptions (NG)'!$AJ$15*'Assumptions (NG)'!AI$2+'Assumptions (NG)'!$AJ$16*'Assumptions (NG)'!AI$3)/10^9,0)</f>
        <v>0</v>
      </c>
      <c r="AK458" s="105"/>
      <c r="AL458" s="91"/>
      <c r="AM458" s="91"/>
      <c r="AN458" s="91"/>
      <c r="AO458" s="91"/>
      <c r="AP458" s="91"/>
      <c r="AQ458" s="91"/>
      <c r="AR458" s="91"/>
      <c r="AS458" s="91"/>
      <c r="AT458" s="91"/>
      <c r="AU458" s="91"/>
      <c r="AV458" s="91"/>
      <c r="AW458" s="91"/>
      <c r="AX458" s="91"/>
      <c r="AY458" s="91"/>
      <c r="AZ458" s="91"/>
      <c r="BA458" s="91"/>
      <c r="BB458" s="91"/>
      <c r="BC458" s="91"/>
      <c r="BD458" s="91"/>
      <c r="BE458" s="91"/>
      <c r="BF458" s="91"/>
      <c r="BG458" s="91"/>
      <c r="BH458" s="91"/>
      <c r="BI458" s="91"/>
    </row>
    <row r="459" spans="1:67" ht="15.75" hidden="1" customHeight="1" outlineLevel="1">
      <c r="A459" s="379"/>
      <c r="B459" s="99"/>
      <c r="C459" s="99"/>
      <c r="D459" s="99"/>
      <c r="E459" s="99"/>
      <c r="F459" s="99"/>
      <c r="G459" s="99"/>
      <c r="H459" s="99"/>
      <c r="I459" s="99"/>
      <c r="J459" s="99"/>
      <c r="K459" s="99"/>
      <c r="L459" s="99"/>
      <c r="M459" s="99"/>
      <c r="N459" s="99"/>
      <c r="O459" s="99"/>
      <c r="P459" s="99"/>
      <c r="Q459" s="99"/>
      <c r="R459" s="99"/>
      <c r="S459" s="99"/>
      <c r="T459" s="99"/>
      <c r="U459" s="99"/>
      <c r="V459" s="99"/>
      <c r="W459" s="105"/>
      <c r="X459" s="105"/>
      <c r="Y459" s="105"/>
      <c r="Z459" s="105"/>
      <c r="AA459" s="105"/>
      <c r="AB459" s="105"/>
      <c r="AC459" s="105"/>
      <c r="AD459" s="105"/>
      <c r="AE459" s="105"/>
      <c r="AF459" s="105"/>
      <c r="AG459" s="105"/>
      <c r="AH459" s="105"/>
      <c r="AI459" s="105">
        <f>IF($AL$421&gt;0,'Assumptions (NG)'!$V$14*Model!$AL$421*('Assumptions (NG)'!$AK$15*'Assumptions (NG)'!AH$2+'Assumptions (NG)'!$AK$16*'Assumptions (NG)'!AH$3)/10^9,0)</f>
        <v>0</v>
      </c>
      <c r="AJ459" s="105">
        <f>IF($AL$421&gt;0,'Assumptions (NG)'!$V$14*Model!$AL$421*('Assumptions (NG)'!$AK$15*'Assumptions (NG)'!AI$2+'Assumptions (NG)'!$AK$16*'Assumptions (NG)'!AI$3)/10^9,0)</f>
        <v>0</v>
      </c>
      <c r="AK459" s="105">
        <f>IF($AL$421&gt;0,'Assumptions (NG)'!$V$14*Model!$AL$421*('Assumptions (NG)'!$AK$15*'Assumptions (NG)'!AJ$2+'Assumptions (NG)'!$AK$16*'Assumptions (NG)'!AJ$3)/10^9,0)</f>
        <v>0</v>
      </c>
      <c r="AL459" s="91"/>
      <c r="AM459" s="91"/>
      <c r="AN459" s="91"/>
      <c r="AO459" s="91"/>
      <c r="AP459" s="91"/>
      <c r="AQ459" s="91"/>
      <c r="AR459" s="91"/>
      <c r="AS459" s="91"/>
      <c r="AT459" s="91"/>
      <c r="AU459" s="91"/>
      <c r="AV459" s="91"/>
      <c r="AW459" s="91"/>
      <c r="AX459" s="91"/>
      <c r="AY459" s="91"/>
      <c r="AZ459" s="91"/>
      <c r="BA459" s="91"/>
      <c r="BB459" s="91"/>
      <c r="BC459" s="91"/>
      <c r="BD459" s="91"/>
      <c r="BE459" s="91"/>
      <c r="BF459" s="91"/>
      <c r="BG459" s="91"/>
      <c r="BH459" s="91"/>
      <c r="BI459" s="91"/>
      <c r="BJ459" s="91"/>
    </row>
    <row r="460" spans="1:67" ht="15.75" hidden="1" customHeight="1" outlineLevel="1">
      <c r="A460" s="379"/>
      <c r="B460" s="99"/>
      <c r="C460" s="99"/>
      <c r="D460" s="99"/>
      <c r="E460" s="99"/>
      <c r="F460" s="99"/>
      <c r="G460" s="99"/>
      <c r="H460" s="99"/>
      <c r="I460" s="99"/>
      <c r="J460" s="99"/>
      <c r="K460" s="99"/>
      <c r="L460" s="99"/>
      <c r="M460" s="99"/>
      <c r="N460" s="99"/>
      <c r="O460" s="99"/>
      <c r="P460" s="99"/>
      <c r="Q460" s="99"/>
      <c r="R460" s="99"/>
      <c r="S460" s="99"/>
      <c r="T460" s="99"/>
      <c r="U460" s="99"/>
      <c r="V460" s="99"/>
      <c r="W460" s="105"/>
      <c r="X460" s="105"/>
      <c r="Y460" s="105"/>
      <c r="Z460" s="105"/>
      <c r="AA460" s="105"/>
      <c r="AB460" s="105"/>
      <c r="AC460" s="105"/>
      <c r="AD460" s="105"/>
      <c r="AE460" s="105"/>
      <c r="AF460" s="105"/>
      <c r="AG460" s="105"/>
      <c r="AH460" s="105"/>
      <c r="AI460" s="105"/>
      <c r="AJ460" s="105">
        <f>IF($AM$421&gt;0,'Assumptions (NG)'!$V$14*Model!$AM$421*('Assumptions (NG)'!$AL$15*'Assumptions (NG)'!AI$2+'Assumptions (NG)'!$AL$16*'Assumptions (NG)'!AI$3)/10^9,0)</f>
        <v>0</v>
      </c>
      <c r="AK460" s="105">
        <f>IF($AM$421&gt;0,'Assumptions (NG)'!$V$14*Model!$AM$421*('Assumptions (NG)'!$AL$15*'Assumptions (NG)'!AJ$2+'Assumptions (NG)'!$AL$16*'Assumptions (NG)'!AJ$3)/10^9,0)</f>
        <v>0</v>
      </c>
      <c r="AL460" s="105">
        <f>IF($AM$421&gt;0,'Assumptions (NG)'!$V$14*Model!$AM$421*('Assumptions (NG)'!$AL$15*'Assumptions (NG)'!AK$2+'Assumptions (NG)'!$AL$16*'Assumptions (NG)'!AK$3)/10^9,0)</f>
        <v>0</v>
      </c>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row>
    <row r="461" spans="1:67" ht="15.75" hidden="1" customHeight="1" outlineLevel="1">
      <c r="A461" s="379"/>
      <c r="B461" s="99"/>
      <c r="C461" s="99"/>
      <c r="D461" s="99"/>
      <c r="E461" s="99"/>
      <c r="F461" s="99"/>
      <c r="G461" s="99"/>
      <c r="H461" s="99"/>
      <c r="I461" s="99"/>
      <c r="J461" s="99"/>
      <c r="K461" s="99"/>
      <c r="L461" s="99"/>
      <c r="M461" s="99"/>
      <c r="N461" s="99"/>
      <c r="O461" s="99"/>
      <c r="P461" s="99"/>
      <c r="Q461" s="99"/>
      <c r="R461" s="99"/>
      <c r="S461" s="99"/>
      <c r="T461" s="99"/>
      <c r="U461" s="99"/>
      <c r="V461" s="99"/>
      <c r="W461" s="105"/>
      <c r="X461" s="105"/>
      <c r="Y461" s="105"/>
      <c r="Z461" s="105"/>
      <c r="AA461" s="105"/>
      <c r="AB461" s="105"/>
      <c r="AC461" s="105"/>
      <c r="AD461" s="105"/>
      <c r="AE461" s="105"/>
      <c r="AF461" s="105"/>
      <c r="AG461" s="105"/>
      <c r="AH461" s="105"/>
      <c r="AI461" s="105"/>
      <c r="AJ461" s="105"/>
      <c r="AK461" s="105">
        <f>IF($AN$421&gt;0,'Assumptions (NG)'!$V$14*Model!$AN$421*('Assumptions (NG)'!$AM$15*'Assumptions (NG)'!AJ$2+'Assumptions (NG)'!$AM$16*'Assumptions (NG)'!AJ$3)/10^9,0)</f>
        <v>0.97422661203811478</v>
      </c>
      <c r="AL461" s="105">
        <f>IF($AN$421&gt;0,'Assumptions (NG)'!$V$14*Model!$AN$421*('Assumptions (NG)'!$AM$15*'Assumptions (NG)'!AK$2+'Assumptions (NG)'!$AM$16*'Assumptions (NG)'!AK$3)/10^9,0)</f>
        <v>0.99371114427887741</v>
      </c>
      <c r="AM461" s="105">
        <f>IF($AN$421&gt;0,'Assumptions (NG)'!$V$14*Model!$AN$421*('Assumptions (NG)'!$AM$15*'Assumptions (NG)'!AL$2+'Assumptions (NG)'!$AM$16*'Assumptions (NG)'!AL$3)/10^9,0)</f>
        <v>1.0135853671644546</v>
      </c>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row>
    <row r="462" spans="1:67" ht="15.75" hidden="1" customHeight="1" outlineLevel="1">
      <c r="A462" s="379"/>
      <c r="B462" s="99"/>
      <c r="C462" s="99"/>
      <c r="D462" s="99"/>
      <c r="E462" s="99"/>
      <c r="F462" s="99"/>
      <c r="G462" s="99"/>
      <c r="H462" s="99"/>
      <c r="I462" s="99"/>
      <c r="J462" s="99"/>
      <c r="K462" s="99"/>
      <c r="L462" s="99"/>
      <c r="M462" s="99"/>
      <c r="N462" s="99"/>
      <c r="O462" s="99"/>
      <c r="P462" s="99"/>
      <c r="Q462" s="99"/>
      <c r="R462" s="99"/>
      <c r="S462" s="99"/>
      <c r="T462" s="99"/>
      <c r="U462" s="99"/>
      <c r="V462" s="99"/>
      <c r="W462" s="105"/>
      <c r="X462" s="105"/>
      <c r="Y462" s="105"/>
      <c r="Z462" s="105"/>
      <c r="AA462" s="105"/>
      <c r="AB462" s="105"/>
      <c r="AC462" s="105"/>
      <c r="AD462" s="105"/>
      <c r="AE462" s="105"/>
      <c r="AF462" s="105"/>
      <c r="AG462" s="105"/>
      <c r="AH462" s="105"/>
      <c r="AI462" s="105"/>
      <c r="AJ462" s="105"/>
      <c r="AK462" s="105"/>
      <c r="AL462" s="105">
        <f>IF($AO$421&gt;0,'Assumptions (NG)'!$V$14*Model!$AO$421*('Assumptions (NG)'!$AN$15*'Assumptions (NG)'!AK$2+'Assumptions (NG)'!$AN$16*'Assumptions (NG)'!AK$3)/10^9,0)</f>
        <v>8.642947932792568</v>
      </c>
      <c r="AM462" s="105">
        <f>IF($AO$421&gt;0,'Assumptions (NG)'!$V$14*Model!$AO$421*('Assumptions (NG)'!$AN$15*'Assumptions (NG)'!AL$2+'Assumptions (NG)'!$AN$16*'Assumptions (NG)'!AL$3)/10^9,0)</f>
        <v>8.8158068914484193</v>
      </c>
      <c r="AN462" s="105">
        <f>IF($AO$421&gt;0,'Assumptions (NG)'!$V$14*Model!$AO$421*('Assumptions (NG)'!$AN$15*'Assumptions (NG)'!AM$2+'Assumptions (NG)'!$AN$16*'Assumptions (NG)'!AM$3)/10^9,0)</f>
        <v>8.9921230292773888</v>
      </c>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row>
    <row r="463" spans="1:67" ht="15.75" hidden="1" customHeight="1" outlineLevel="1">
      <c r="A463" s="379"/>
      <c r="B463" s="99"/>
      <c r="C463" s="99"/>
      <c r="D463" s="99"/>
      <c r="E463" s="99"/>
      <c r="F463" s="99"/>
      <c r="G463" s="99"/>
      <c r="H463" s="99"/>
      <c r="I463" s="99"/>
      <c r="J463" s="99"/>
      <c r="K463" s="99"/>
      <c r="L463" s="99"/>
      <c r="M463" s="99"/>
      <c r="N463" s="99"/>
      <c r="O463" s="99"/>
      <c r="P463" s="99"/>
      <c r="Q463" s="99"/>
      <c r="R463" s="99"/>
      <c r="S463" s="99"/>
      <c r="T463" s="99"/>
      <c r="U463" s="99"/>
      <c r="V463" s="99"/>
      <c r="W463" s="105"/>
      <c r="X463" s="105"/>
      <c r="Y463" s="105"/>
      <c r="Z463" s="105"/>
      <c r="AA463" s="105"/>
      <c r="AB463" s="105"/>
      <c r="AC463" s="105"/>
      <c r="AD463" s="105"/>
      <c r="AE463" s="105"/>
      <c r="AF463" s="105"/>
      <c r="AG463" s="105"/>
      <c r="AH463" s="105"/>
      <c r="AI463" s="105"/>
      <c r="AJ463" s="105"/>
      <c r="AK463" s="105"/>
      <c r="AL463" s="105"/>
      <c r="AM463" s="105">
        <f>IF($AP$421&gt;0,'Assumptions (NG)'!$V$14*Model!$AP$421*('Assumptions (NG)'!$AO$15*'Assumptions (NG)'!AL$2+'Assumptions (NG)'!$AO$16*'Assumptions (NG)'!AL$3)/10^9,0)</f>
        <v>8.8531475777741075</v>
      </c>
      <c r="AN463" s="105">
        <f>IF($AP$421&gt;0,'Assumptions (NG)'!$V$14*Model!$AP$421*('Assumptions (NG)'!$AO$15*'Assumptions (NG)'!AM$2+'Assumptions (NG)'!$AO$16*'Assumptions (NG)'!AM$3)/10^9,0)</f>
        <v>9.0302105293295902</v>
      </c>
      <c r="AO463" s="105">
        <f>IF($AP$421&gt;0,'Assumptions (NG)'!$V$14*Model!$AP$421*('Assumptions (NG)'!$AO$15*'Assumptions (NG)'!AN$2+'Assumptions (NG)'!$AO$16*'Assumptions (NG)'!AN$3)/10^9,0)</f>
        <v>9.2108147399161808</v>
      </c>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row>
    <row r="464" spans="1:67" ht="15.75" hidden="1" customHeight="1" outlineLevel="1">
      <c r="A464" s="379"/>
      <c r="B464" s="99"/>
      <c r="C464" s="99"/>
      <c r="D464" s="99"/>
      <c r="E464" s="99"/>
      <c r="F464" s="99"/>
      <c r="G464" s="99"/>
      <c r="H464" s="99"/>
      <c r="I464" s="99"/>
      <c r="J464" s="99"/>
      <c r="K464" s="99"/>
      <c r="L464" s="99"/>
      <c r="M464" s="99"/>
      <c r="N464" s="99"/>
      <c r="O464" s="99"/>
      <c r="P464" s="99"/>
      <c r="Q464" s="99"/>
      <c r="R464" s="99"/>
      <c r="S464" s="99"/>
      <c r="T464" s="99"/>
      <c r="U464" s="99"/>
      <c r="V464" s="99"/>
      <c r="W464" s="105"/>
      <c r="X464" s="105"/>
      <c r="Y464" s="105"/>
      <c r="Z464" s="105"/>
      <c r="AA464" s="105"/>
      <c r="AB464" s="105"/>
      <c r="AC464" s="105"/>
      <c r="AD464" s="105"/>
      <c r="AE464" s="105"/>
      <c r="AF464" s="105"/>
      <c r="AG464" s="105"/>
      <c r="AH464" s="105"/>
      <c r="AI464" s="105"/>
      <c r="AJ464" s="171"/>
      <c r="AK464" s="105"/>
      <c r="AL464" s="105"/>
      <c r="AM464" s="105"/>
      <c r="AN464" s="105">
        <f>IF($AQ$421&gt;0,'Assumptions (NG)'!$V$14*Model!$AQ$421*('Assumptions (NG)'!$AP$15*'Assumptions (NG)'!AM$2+'Assumptions (NG)'!$AP$16*'Assumptions (NG)'!AM$3)/10^9,0)</f>
        <v>1.8111233211768873</v>
      </c>
      <c r="AO464" s="105">
        <f>IF($AQ$421&gt;0,'Assumptions (NG)'!$V$14*Model!$AQ$421*('Assumptions (NG)'!$AP$15*'Assumptions (NG)'!AN$2+'Assumptions (NG)'!$AP$16*'Assumptions (NG)'!AN$3)/10^9,0)</f>
        <v>1.8473457876004247</v>
      </c>
      <c r="AP464" s="105">
        <f>IF($AQ$421&gt;0,'Assumptions (NG)'!$V$14*Model!$AQ$421*('Assumptions (NG)'!$AP$15*'Assumptions (NG)'!AO$2+'Assumptions (NG)'!$AP$16*'Assumptions (NG)'!AO$3)/10^9,0)</f>
        <v>1.8842927033524337</v>
      </c>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row>
    <row r="465" spans="1:77" ht="15.75" hidden="1" customHeight="1" outlineLevel="1">
      <c r="A465" s="379"/>
      <c r="B465" s="99"/>
      <c r="C465" s="99"/>
      <c r="D465" s="99"/>
      <c r="E465" s="99"/>
      <c r="F465" s="99"/>
      <c r="G465" s="99"/>
      <c r="H465" s="99"/>
      <c r="I465" s="99"/>
      <c r="J465" s="99"/>
      <c r="K465" s="99"/>
      <c r="L465" s="99"/>
      <c r="M465" s="99"/>
      <c r="N465" s="99"/>
      <c r="O465" s="99"/>
      <c r="P465" s="99"/>
      <c r="Q465" s="99"/>
      <c r="R465" s="99"/>
      <c r="S465" s="99"/>
      <c r="T465" s="99"/>
      <c r="U465" s="99"/>
      <c r="V465" s="99"/>
      <c r="W465" s="105"/>
      <c r="X465" s="105"/>
      <c r="Y465" s="105"/>
      <c r="Z465" s="105"/>
      <c r="AA465" s="105"/>
      <c r="AB465" s="105"/>
      <c r="AC465" s="105"/>
      <c r="AD465" s="105"/>
      <c r="AE465" s="105"/>
      <c r="AF465" s="105"/>
      <c r="AG465" s="105"/>
      <c r="AH465" s="105"/>
      <c r="AI465" s="105"/>
      <c r="AJ465" s="171"/>
      <c r="AK465" s="105"/>
      <c r="AL465" s="105"/>
      <c r="AM465" s="105"/>
      <c r="AN465" s="105"/>
      <c r="AO465" s="105">
        <f>IF($AR$421&gt;0,'Assumptions (NG)'!$V$14*Model!$AR$421*('Assumptions (NG)'!$AQ$15*'Assumptions (NG)'!AN$2+'Assumptions (NG)'!$AQ$16*'Assumptions (NG)'!AN$3)/10^9,0)</f>
        <v>0</v>
      </c>
      <c r="AP465" s="105">
        <f>IF($AR$421&gt;0,'Assumptions (NG)'!$V$14*Model!$AR$421*('Assumptions (NG)'!$AQ$15*'Assumptions (NG)'!AO$2+'Assumptions (NG)'!$AQ$16*'Assumptions (NG)'!AO$3)/10^9,0)</f>
        <v>0</v>
      </c>
      <c r="AQ465" s="105">
        <f>IF($AR$421&gt;0,'Assumptions (NG)'!$V$14*Model!$AR$421*('Assumptions (NG)'!$AQ$15*'Assumptions (NG)'!AP$2+'Assumptions (NG)'!$AQ$16*'Assumptions (NG)'!AP$3)/10^9,0)</f>
        <v>0</v>
      </c>
      <c r="AR465" s="105"/>
      <c r="AS465" s="105"/>
      <c r="AT465" s="105"/>
      <c r="AU465" s="105"/>
      <c r="AV465" s="105"/>
      <c r="AW465" s="105"/>
      <c r="AX465" s="105"/>
      <c r="AY465" s="105"/>
      <c r="AZ465" s="105"/>
      <c r="BA465" s="105"/>
      <c r="BB465" s="105"/>
      <c r="BC465" s="105"/>
      <c r="BD465" s="105"/>
      <c r="BE465" s="105"/>
      <c r="BF465" s="105"/>
      <c r="BG465" s="105"/>
      <c r="BH465" s="105"/>
      <c r="BI465" s="105"/>
      <c r="BJ465" s="105"/>
      <c r="BK465" s="105"/>
      <c r="BL465" s="105"/>
      <c r="BM465" s="105"/>
      <c r="BN465" s="105"/>
      <c r="BO465" s="105"/>
      <c r="BP465" s="105"/>
    </row>
    <row r="466" spans="1:77" ht="15.75" hidden="1" customHeight="1" outlineLevel="1">
      <c r="A466" s="379"/>
      <c r="B466" s="99"/>
      <c r="C466" s="99"/>
      <c r="D466" s="99"/>
      <c r="E466" s="99"/>
      <c r="F466" s="99"/>
      <c r="G466" s="99"/>
      <c r="H466" s="99"/>
      <c r="I466" s="99"/>
      <c r="J466" s="99"/>
      <c r="K466" s="99"/>
      <c r="L466" s="99"/>
      <c r="M466" s="99"/>
      <c r="N466" s="99"/>
      <c r="O466" s="99"/>
      <c r="P466" s="99"/>
      <c r="Q466" s="99"/>
      <c r="R466" s="99"/>
      <c r="S466" s="99"/>
      <c r="T466" s="99"/>
      <c r="U466" s="99"/>
      <c r="V466" s="99"/>
      <c r="W466" s="105"/>
      <c r="X466" s="105"/>
      <c r="Y466" s="105"/>
      <c r="Z466" s="105"/>
      <c r="AA466" s="105"/>
      <c r="AB466" s="105"/>
      <c r="AC466" s="105"/>
      <c r="AD466" s="105"/>
      <c r="AE466" s="105"/>
      <c r="AF466" s="105"/>
      <c r="AG466" s="105"/>
      <c r="AH466" s="105"/>
      <c r="AI466" s="105"/>
      <c r="AJ466" s="171"/>
      <c r="AK466" s="105"/>
      <c r="AL466" s="91"/>
      <c r="AM466" s="105"/>
      <c r="AN466" s="105"/>
      <c r="AO466" s="105"/>
      <c r="AP466" s="105">
        <f>IF($AS$421&gt;0,'Assumptions (NG)'!$V$14*Model!$AS$421*('Assumptions (NG)'!$AR$15*'Assumptions (NG)'!AO$2+'Assumptions (NG)'!$AR$16*'Assumptions (NG)'!AO$3)/10^9,0)</f>
        <v>0</v>
      </c>
      <c r="AQ466" s="105">
        <f>IF($AS$421&gt;0,'Assumptions (NG)'!$V$14*Model!$AS$421*('Assumptions (NG)'!$AR$15*'Assumptions (NG)'!AP$2+'Assumptions (NG)'!$AR$16*'Assumptions (NG)'!AP$3)/10^9,0)</f>
        <v>0</v>
      </c>
      <c r="AR466" s="105">
        <f>IF($AS$421&gt;0,'Assumptions (NG)'!$V$14*Model!$AS$421*('Assumptions (NG)'!$AR$15*'Assumptions (NG)'!AQ$2+'Assumptions (NG)'!$AR$16*'Assumptions (NG)'!AQ$3)/10^9,0)</f>
        <v>0</v>
      </c>
      <c r="AS466" s="105"/>
      <c r="AT466" s="105"/>
      <c r="AU466" s="105"/>
      <c r="AV466" s="105"/>
      <c r="AW466" s="105"/>
      <c r="AX466" s="105"/>
      <c r="AY466" s="105"/>
      <c r="AZ466" s="105"/>
      <c r="BA466" s="105"/>
      <c r="BB466" s="105"/>
      <c r="BC466" s="105"/>
      <c r="BD466" s="105"/>
      <c r="BE466" s="105"/>
      <c r="BF466" s="105"/>
      <c r="BG466" s="105"/>
      <c r="BH466" s="105"/>
      <c r="BI466" s="105"/>
      <c r="BJ466" s="105"/>
      <c r="BK466" s="105"/>
      <c r="BL466" s="105"/>
      <c r="BM466" s="105"/>
      <c r="BN466" s="105"/>
      <c r="BO466" s="105"/>
      <c r="BP466" s="105"/>
      <c r="BQ466" s="105"/>
      <c r="BR466" s="105"/>
    </row>
    <row r="467" spans="1:77" ht="15.75" hidden="1" customHeight="1" outlineLevel="1">
      <c r="A467" s="379"/>
      <c r="B467" s="99"/>
      <c r="C467" s="99"/>
      <c r="D467" s="99"/>
      <c r="E467" s="99"/>
      <c r="F467" s="99"/>
      <c r="G467" s="99"/>
      <c r="H467" s="99"/>
      <c r="I467" s="99"/>
      <c r="J467" s="99"/>
      <c r="K467" s="99"/>
      <c r="L467" s="99"/>
      <c r="M467" s="99"/>
      <c r="N467" s="99"/>
      <c r="O467" s="99"/>
      <c r="P467" s="99"/>
      <c r="Q467" s="99"/>
      <c r="R467" s="99"/>
      <c r="S467" s="99"/>
      <c r="T467" s="99"/>
      <c r="U467" s="99"/>
      <c r="V467" s="99"/>
      <c r="W467" s="105"/>
      <c r="X467" s="105"/>
      <c r="Y467" s="105"/>
      <c r="Z467" s="105"/>
      <c r="AA467" s="105"/>
      <c r="AB467" s="105"/>
      <c r="AC467" s="105"/>
      <c r="AD467" s="105"/>
      <c r="AE467" s="105"/>
      <c r="AF467" s="105"/>
      <c r="AG467" s="105"/>
      <c r="AH467" s="105"/>
      <c r="AI467" s="105"/>
      <c r="AJ467" s="171"/>
      <c r="AK467" s="105"/>
      <c r="AL467" s="91"/>
      <c r="AM467" s="91"/>
      <c r="AN467" s="105"/>
      <c r="AO467" s="105"/>
      <c r="AP467" s="105"/>
      <c r="AQ467" s="105">
        <f>IF($AT$421&gt;0,'Assumptions (NG)'!$V$14*Model!$AT$421*('Assumptions (NG)'!$AS$15*'Assumptions (NG)'!AP$2+'Assumptions (NG)'!$AS$16*'Assumptions (NG)'!AP$3)/10^9,0)</f>
        <v>0</v>
      </c>
      <c r="AR467" s="105">
        <f>IF($AT$421&gt;0,'Assumptions (NG)'!$V$14*Model!$AT$421*('Assumptions (NG)'!$AS$15*'Assumptions (NG)'!AQ$2+'Assumptions (NG)'!$AS$16*'Assumptions (NG)'!AQ$3)/10^9,0)</f>
        <v>0</v>
      </c>
      <c r="AS467" s="105">
        <f>IF($AT$421&gt;0,'Assumptions (NG)'!$V$14*Model!$AT$421*('Assumptions (NG)'!$AS$15*'Assumptions (NG)'!AR$2+'Assumptions (NG)'!$AS$16*'Assumptions (NG)'!AR$3)/10^9,0)</f>
        <v>0</v>
      </c>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row>
    <row r="468" spans="1:77" ht="15.75" hidden="1" customHeight="1" outlineLevel="1">
      <c r="A468" s="379"/>
      <c r="B468" s="99"/>
      <c r="C468" s="99"/>
      <c r="D468" s="99"/>
      <c r="E468" s="99"/>
      <c r="F468" s="99"/>
      <c r="G468" s="99"/>
      <c r="H468" s="99"/>
      <c r="I468" s="99"/>
      <c r="J468" s="99"/>
      <c r="K468" s="99"/>
      <c r="L468" s="99"/>
      <c r="M468" s="99"/>
      <c r="N468" s="99"/>
      <c r="O468" s="99"/>
      <c r="P468" s="99"/>
      <c r="Q468" s="99"/>
      <c r="R468" s="99"/>
      <c r="S468" s="99"/>
      <c r="T468" s="99"/>
      <c r="U468" s="99"/>
      <c r="V468" s="99"/>
      <c r="W468" s="105"/>
      <c r="X468" s="105"/>
      <c r="Y468" s="105"/>
      <c r="Z468" s="105"/>
      <c r="AA468" s="105"/>
      <c r="AB468" s="105"/>
      <c r="AC468" s="105"/>
      <c r="AD468" s="105"/>
      <c r="AE468" s="105"/>
      <c r="AF468" s="105"/>
      <c r="AG468" s="105"/>
      <c r="AH468" s="105"/>
      <c r="AI468" s="105"/>
      <c r="AJ468" s="171"/>
      <c r="AK468" s="105"/>
      <c r="AL468" s="91"/>
      <c r="AM468" s="91"/>
      <c r="AN468" s="91"/>
      <c r="AO468" s="105"/>
      <c r="AP468" s="105"/>
      <c r="AQ468" s="105"/>
      <c r="AR468" s="105">
        <f>IF($AU$421&gt;0,'Assumptions (NG)'!$V$14*Model!$AU$421*('Assumptions (NG)'!$AT$15*'Assumptions (NG)'!AQ$2+'Assumptions (NG)'!$AT$16*'Assumptions (NG)'!AQ$3)/10^9,0)</f>
        <v>0</v>
      </c>
      <c r="AS468" s="105">
        <f>IF($AU$421&gt;0,'Assumptions (NG)'!$V$14*Model!$AU$421*('Assumptions (NG)'!$AT$15*'Assumptions (NG)'!AR$2+'Assumptions (NG)'!$AT$16*'Assumptions (NG)'!AR$3)/10^9,0)</f>
        <v>0</v>
      </c>
      <c r="AT468" s="105">
        <f>IF($AU$421&gt;0,'Assumptions (NG)'!$V$14*Model!$AU$421*('Assumptions (NG)'!$AT$15*'Assumptions (NG)'!AS$2+'Assumptions (NG)'!$AT$16*'Assumptions (NG)'!AS$3)/10^9,0)</f>
        <v>0</v>
      </c>
      <c r="AU468" s="105"/>
      <c r="AV468" s="105"/>
      <c r="AW468" s="105"/>
      <c r="AX468" s="105"/>
      <c r="AY468" s="105"/>
      <c r="AZ468" s="105"/>
      <c r="BA468" s="105"/>
      <c r="BB468" s="105"/>
      <c r="BC468" s="105"/>
      <c r="BD468" s="105"/>
      <c r="BE468" s="105"/>
      <c r="BF468" s="105"/>
      <c r="BG468" s="105"/>
      <c r="BH468" s="105"/>
      <c r="BI468" s="105"/>
      <c r="BJ468" s="105"/>
      <c r="BK468" s="105"/>
      <c r="BL468" s="105"/>
      <c r="BM468" s="105"/>
      <c r="BN468" s="105"/>
      <c r="BO468" s="105"/>
      <c r="BP468" s="105"/>
      <c r="BQ468" s="105"/>
      <c r="BR468" s="105"/>
      <c r="BS468" s="105"/>
    </row>
    <row r="469" spans="1:77" ht="15.75" hidden="1" customHeight="1" outlineLevel="1">
      <c r="A469" s="379"/>
      <c r="B469" s="99"/>
      <c r="C469" s="99"/>
      <c r="D469" s="99"/>
      <c r="E469" s="99"/>
      <c r="F469" s="99"/>
      <c r="G469" s="99"/>
      <c r="H469" s="99"/>
      <c r="I469" s="99"/>
      <c r="J469" s="99"/>
      <c r="K469" s="99"/>
      <c r="L469" s="99"/>
      <c r="M469" s="99"/>
      <c r="N469" s="99"/>
      <c r="O469" s="99"/>
      <c r="P469" s="99"/>
      <c r="Q469" s="99"/>
      <c r="R469" s="99"/>
      <c r="S469" s="99"/>
      <c r="T469" s="99"/>
      <c r="U469" s="99"/>
      <c r="V469" s="99"/>
      <c r="W469" s="105"/>
      <c r="X469" s="105"/>
      <c r="Y469" s="105"/>
      <c r="Z469" s="105"/>
      <c r="AA469" s="105"/>
      <c r="AB469" s="105"/>
      <c r="AC469" s="105"/>
      <c r="AD469" s="105"/>
      <c r="AE469" s="105"/>
      <c r="AF469" s="105"/>
      <c r="AG469" s="105"/>
      <c r="AH469" s="105"/>
      <c r="AI469" s="105"/>
      <c r="AJ469" s="171"/>
      <c r="AK469" s="105"/>
      <c r="AL469" s="91"/>
      <c r="AM469" s="91"/>
      <c r="AN469" s="91"/>
      <c r="AO469" s="105"/>
      <c r="AP469" s="105"/>
      <c r="AQ469" s="105"/>
      <c r="AR469" s="105"/>
      <c r="AS469" s="105">
        <f>IF($AV$421&gt;0,'Assumptions (NG)'!$V$14*Model!$AV$421*('Assumptions (NG)'!$AU$15*'Assumptions (NG)'!AR$2+'Assumptions (NG)'!$AU$16*'Assumptions (NG)'!AR$3)/10^9,0)</f>
        <v>0</v>
      </c>
      <c r="AT469" s="105">
        <f>IF($AV$421&gt;0,'Assumptions (NG)'!$V$14*Model!$AV$421*('Assumptions (NG)'!$AU$15*'Assumptions (NG)'!AS$2+'Assumptions (NG)'!$AU$16*'Assumptions (NG)'!AS$3)/10^9,0)</f>
        <v>0</v>
      </c>
      <c r="AU469" s="105">
        <f>IF($AV$421&gt;0,'Assumptions (NG)'!$V$14*Model!$AV$421*('Assumptions (NG)'!$AU$15*'Assumptions (NG)'!AT$2+'Assumptions (NG)'!$AU$16*'Assumptions (NG)'!AT$3)/10^9,0)</f>
        <v>0</v>
      </c>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row>
    <row r="470" spans="1:77" ht="15.75" hidden="1" customHeight="1" outlineLevel="1">
      <c r="A470" s="379"/>
      <c r="B470" s="99"/>
      <c r="C470" s="99"/>
      <c r="D470" s="99"/>
      <c r="E470" s="99"/>
      <c r="F470" s="99"/>
      <c r="G470" s="99"/>
      <c r="H470" s="99"/>
      <c r="I470" s="99"/>
      <c r="J470" s="99"/>
      <c r="K470" s="99"/>
      <c r="L470" s="99"/>
      <c r="M470" s="99"/>
      <c r="N470" s="99"/>
      <c r="O470" s="99"/>
      <c r="P470" s="99"/>
      <c r="Q470" s="99"/>
      <c r="R470" s="99"/>
      <c r="S470" s="99"/>
      <c r="T470" s="99"/>
      <c r="U470" s="99"/>
      <c r="V470" s="99"/>
      <c r="W470" s="105"/>
      <c r="X470" s="105"/>
      <c r="Y470" s="105"/>
      <c r="Z470" s="105"/>
      <c r="AA470" s="105"/>
      <c r="AB470" s="105"/>
      <c r="AC470" s="105"/>
      <c r="AD470" s="105"/>
      <c r="AE470" s="105"/>
      <c r="AF470" s="105"/>
      <c r="AG470" s="105"/>
      <c r="AH470" s="105"/>
      <c r="AI470" s="105"/>
      <c r="AJ470" s="171"/>
      <c r="AK470" s="105"/>
      <c r="AL470" s="91"/>
      <c r="AM470" s="91"/>
      <c r="AN470" s="91"/>
      <c r="AO470" s="105"/>
      <c r="AP470" s="105"/>
      <c r="AQ470" s="105"/>
      <c r="AR470" s="105"/>
      <c r="AS470" s="105"/>
      <c r="AT470" s="105">
        <f>IF($AW$421&gt;0,'Assumptions (NG)'!$V$14*Model!$AW$421*('Assumptions (NG)'!$AV$15*'Assumptions (NG)'!AS$2+'Assumptions (NG)'!$AV$16*'Assumptions (NG)'!AS$3)/10^9,0)</f>
        <v>0</v>
      </c>
      <c r="AU470" s="105">
        <f>IF($AW$421&gt;0,'Assumptions (NG)'!$V$14*Model!$AW$421*('Assumptions (NG)'!$AV$15*'Assumptions (NG)'!AT$2+'Assumptions (NG)'!$AV$16*'Assumptions (NG)'!AT$3)/10^9,0)</f>
        <v>0</v>
      </c>
      <c r="AV470" s="105">
        <f>IF($AW$421&gt;0,'Assumptions (NG)'!$V$14*Model!$AW$421*('Assumptions (NG)'!$AV$15*'Assumptions (NG)'!AU$2+'Assumptions (NG)'!$AV$16*'Assumptions (NG)'!AU$3)/10^9,0)</f>
        <v>0</v>
      </c>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row>
    <row r="471" spans="1:77" ht="15.75" hidden="1" customHeight="1" outlineLevel="1">
      <c r="A471" s="379"/>
      <c r="B471" s="99"/>
      <c r="C471" s="99"/>
      <c r="D471" s="99"/>
      <c r="E471" s="99"/>
      <c r="F471" s="99"/>
      <c r="G471" s="99"/>
      <c r="H471" s="99"/>
      <c r="I471" s="99"/>
      <c r="J471" s="99"/>
      <c r="K471" s="99"/>
      <c r="L471" s="99"/>
      <c r="M471" s="99"/>
      <c r="N471" s="99"/>
      <c r="O471" s="99"/>
      <c r="P471" s="99"/>
      <c r="Q471" s="99"/>
      <c r="R471" s="99"/>
      <c r="S471" s="99"/>
      <c r="T471" s="99"/>
      <c r="U471" s="99"/>
      <c r="V471" s="99"/>
      <c r="W471" s="105"/>
      <c r="X471" s="105"/>
      <c r="Y471" s="105"/>
      <c r="Z471" s="105"/>
      <c r="AA471" s="105"/>
      <c r="AB471" s="105"/>
      <c r="AC471" s="105"/>
      <c r="AD471" s="105"/>
      <c r="AE471" s="105"/>
      <c r="AF471" s="105"/>
      <c r="AG471" s="105"/>
      <c r="AH471" s="105"/>
      <c r="AI471" s="105"/>
      <c r="AJ471" s="171"/>
      <c r="AK471" s="105"/>
      <c r="AL471" s="91"/>
      <c r="AM471" s="91"/>
      <c r="AN471" s="91"/>
      <c r="AO471" s="105"/>
      <c r="AP471" s="105"/>
      <c r="AQ471" s="105"/>
      <c r="AR471" s="105"/>
      <c r="AS471" s="105"/>
      <c r="AT471" s="105"/>
      <c r="AU471" s="105">
        <f>IF($AX$421&gt;0,'Assumptions (NG)'!$V$14*Model!$AX$421*('Assumptions (NG)'!$AW$15*'Assumptions (NG)'!AT$2+'Assumptions (NG)'!$AW$16*'Assumptions (NG)'!AT$3)/10^9,0)</f>
        <v>0</v>
      </c>
      <c r="AV471" s="105">
        <f>IF($AX$421&gt;0,'Assumptions (NG)'!$V$14*Model!$AX$421*('Assumptions (NG)'!$AW$15*'Assumptions (NG)'!AU$2+'Assumptions (NG)'!$AW$16*'Assumptions (NG)'!AU$3)/10^9,0)</f>
        <v>0</v>
      </c>
      <c r="AW471" s="105">
        <f>IF($AX$421&gt;0,'Assumptions (NG)'!$V$14*Model!$AX$421*('Assumptions (NG)'!$AW$15*'Assumptions (NG)'!AV$2+'Assumptions (NG)'!$AW$16*'Assumptions (NG)'!AV$3)/10^9,0)</f>
        <v>0</v>
      </c>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row>
    <row r="472" spans="1:77" ht="15.75" hidden="1" customHeight="1" outlineLevel="1">
      <c r="A472" s="379"/>
      <c r="B472" s="99"/>
      <c r="C472" s="99"/>
      <c r="D472" s="99"/>
      <c r="E472" s="99"/>
      <c r="F472" s="99"/>
      <c r="G472" s="99"/>
      <c r="H472" s="99"/>
      <c r="I472" s="99"/>
      <c r="J472" s="99"/>
      <c r="K472" s="99"/>
      <c r="L472" s="99"/>
      <c r="M472" s="99"/>
      <c r="N472" s="99"/>
      <c r="O472" s="99"/>
      <c r="P472" s="99"/>
      <c r="Q472" s="99"/>
      <c r="R472" s="99"/>
      <c r="S472" s="99"/>
      <c r="T472" s="99"/>
      <c r="U472" s="99"/>
      <c r="V472" s="99"/>
      <c r="W472" s="105"/>
      <c r="X472" s="105"/>
      <c r="Y472" s="105"/>
      <c r="Z472" s="105"/>
      <c r="AA472" s="105"/>
      <c r="AB472" s="105"/>
      <c r="AC472" s="105"/>
      <c r="AD472" s="105"/>
      <c r="AE472" s="105"/>
      <c r="AF472" s="105"/>
      <c r="AG472" s="105"/>
      <c r="AH472" s="105"/>
      <c r="AI472" s="105"/>
      <c r="AJ472" s="171"/>
      <c r="AK472" s="105"/>
      <c r="AL472" s="91"/>
      <c r="AM472" s="91"/>
      <c r="AN472" s="91"/>
      <c r="AO472" s="105"/>
      <c r="AP472" s="105"/>
      <c r="AQ472" s="105"/>
      <c r="AR472" s="105"/>
      <c r="AS472" s="105"/>
      <c r="AT472" s="105"/>
      <c r="AU472" s="105"/>
      <c r="AV472" s="105">
        <f>IF($AY$421&gt;0,'Assumptions (NG)'!$V$14*Model!$AY$421*('Assumptions (NG)'!$AX$15*'Assumptions (NG)'!AU$2+'Assumptions (NG)'!$AX$16*'Assumptions (NG)'!AU$3)/10^9,0)</f>
        <v>0</v>
      </c>
      <c r="AW472" s="105">
        <f>IF($AY$421&gt;0,'Assumptions (NG)'!$V$14*Model!$AY$421*('Assumptions (NG)'!$AX$15*'Assumptions (NG)'!AV$2+'Assumptions (NG)'!$AX$16*'Assumptions (NG)'!AV$3)/10^9,0)</f>
        <v>0</v>
      </c>
      <c r="AX472" s="105">
        <f>IF($AY$421&gt;0,'Assumptions (NG)'!$V$14*Model!$AY$421*('Assumptions (NG)'!$AX$15*'Assumptions (NG)'!AW$2+'Assumptions (NG)'!$AX$16*'Assumptions (NG)'!AW$3)/10^9,0)</f>
        <v>0</v>
      </c>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row>
    <row r="473" spans="1:77" ht="15.75" hidden="1" customHeight="1" outlineLevel="1">
      <c r="A473" s="379"/>
      <c r="B473" s="99"/>
      <c r="C473" s="99"/>
      <c r="D473" s="99"/>
      <c r="E473" s="99"/>
      <c r="F473" s="99"/>
      <c r="G473" s="99"/>
      <c r="H473" s="99"/>
      <c r="I473" s="99"/>
      <c r="J473" s="99"/>
      <c r="K473" s="99"/>
      <c r="L473" s="99"/>
      <c r="M473" s="99"/>
      <c r="N473" s="99"/>
      <c r="O473" s="99"/>
      <c r="P473" s="99"/>
      <c r="Q473" s="99"/>
      <c r="R473" s="99"/>
      <c r="S473" s="99"/>
      <c r="T473" s="99"/>
      <c r="U473" s="99"/>
      <c r="V473" s="99"/>
      <c r="W473" s="105"/>
      <c r="X473" s="105"/>
      <c r="Y473" s="105"/>
      <c r="Z473" s="105"/>
      <c r="AA473" s="105"/>
      <c r="AB473" s="105"/>
      <c r="AC473" s="105"/>
      <c r="AD473" s="105"/>
      <c r="AE473" s="105"/>
      <c r="AF473" s="105"/>
      <c r="AG473" s="105"/>
      <c r="AH473" s="105"/>
      <c r="AI473" s="105"/>
      <c r="AJ473" s="171"/>
      <c r="AK473" s="105"/>
      <c r="AL473" s="91"/>
      <c r="AM473" s="91"/>
      <c r="AN473" s="91"/>
      <c r="AO473" s="105"/>
      <c r="AP473" s="105"/>
      <c r="AQ473" s="105"/>
      <c r="AR473" s="105"/>
      <c r="AS473" s="105"/>
      <c r="AT473" s="105"/>
      <c r="AU473" s="105"/>
      <c r="AV473" s="105"/>
      <c r="AW473" s="105">
        <f>IF($AZ$421&gt;0,'Assumptions (NG)'!$V$14*Model!$AZ$421*('Assumptions (NG)'!$AY$15*'Assumptions (NG)'!AV$2+'Assumptions (NG)'!$AY$16*'Assumptions (NG)'!AV$3)/10^9,0)</f>
        <v>0</v>
      </c>
      <c r="AX473" s="105">
        <f>IF($AZ$421&gt;0,'Assumptions (NG)'!$V$14*Model!$AZ$421*('Assumptions (NG)'!$AY$15*'Assumptions (NG)'!AW$2+'Assumptions (NG)'!$AY$16*'Assumptions (NG)'!AW$3)/10^9,0)</f>
        <v>0</v>
      </c>
      <c r="AY473" s="105">
        <f>IF($AZ$421&gt;0,'Assumptions (NG)'!$V$14*Model!$AZ$421*('Assumptions (NG)'!$AY$15*'Assumptions (NG)'!AX$2+'Assumptions (NG)'!$AY$16*'Assumptions (NG)'!AX$3)/10^9,0)</f>
        <v>0</v>
      </c>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row>
    <row r="474" spans="1:77" ht="15.75" hidden="1" customHeight="1" outlineLevel="1">
      <c r="A474" s="379"/>
      <c r="B474" s="99"/>
      <c r="C474" s="99"/>
      <c r="D474" s="99"/>
      <c r="E474" s="99"/>
      <c r="F474" s="99"/>
      <c r="G474" s="99"/>
      <c r="H474" s="99"/>
      <c r="I474" s="99"/>
      <c r="J474" s="99"/>
      <c r="K474" s="99"/>
      <c r="L474" s="99"/>
      <c r="M474" s="99"/>
      <c r="N474" s="99"/>
      <c r="O474" s="99"/>
      <c r="P474" s="99"/>
      <c r="Q474" s="99"/>
      <c r="R474" s="99"/>
      <c r="S474" s="99"/>
      <c r="T474" s="99"/>
      <c r="U474" s="99"/>
      <c r="V474" s="99"/>
      <c r="W474" s="105"/>
      <c r="X474" s="105"/>
      <c r="Y474" s="105"/>
      <c r="Z474" s="105"/>
      <c r="AA474" s="105"/>
      <c r="AB474" s="105"/>
      <c r="AC474" s="105"/>
      <c r="AD474" s="105"/>
      <c r="AE474" s="105"/>
      <c r="AF474" s="105"/>
      <c r="AG474" s="105"/>
      <c r="AH474" s="105"/>
      <c r="AI474" s="105"/>
      <c r="AJ474" s="171"/>
      <c r="AK474" s="105"/>
      <c r="AL474" s="91"/>
      <c r="AM474" s="91"/>
      <c r="AN474" s="91"/>
      <c r="AO474" s="105"/>
      <c r="AP474" s="105"/>
      <c r="AQ474" s="105"/>
      <c r="AR474" s="105"/>
      <c r="AS474" s="105"/>
      <c r="AT474" s="105"/>
      <c r="AU474" s="105"/>
      <c r="AV474" s="105"/>
      <c r="AW474" s="105"/>
      <c r="AX474" s="105">
        <f>IF($BA$421&gt;0,'Assumptions (NG)'!$V$14*Model!$BA$421*('Assumptions (NG)'!$AZ$15*'Assumptions (NG)'!AW$2+'Assumptions (NG)'!$AZ$16*'Assumptions (NG)'!AW$3)/10^9,0)</f>
        <v>2.2506095782899846</v>
      </c>
      <c r="AY474" s="105">
        <f>IF($BA$421&gt;0,'Assumptions (NG)'!$V$14*Model!$BA$421*('Assumptions (NG)'!$AZ$15*'Assumptions (NG)'!AX$2+'Assumptions (NG)'!$AZ$16*'Assumptions (NG)'!AX$3)/10^9,0)</f>
        <v>2.2956217698557846</v>
      </c>
      <c r="AZ474" s="105">
        <f>IF($BA$421&gt;0,'Assumptions (NG)'!$V$14*Model!$BA$421*('Assumptions (NG)'!$AZ$15*'Assumptions (NG)'!AY$2+'Assumptions (NG)'!$AZ$16*'Assumptions (NG)'!AY$3)/10^9,0)</f>
        <v>2.3415342052529002</v>
      </c>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row>
    <row r="475" spans="1:77" ht="15.75" customHeight="1" collapsed="1">
      <c r="A475" s="384" t="s">
        <v>52</v>
      </c>
      <c r="B475" s="99" t="s">
        <v>201</v>
      </c>
      <c r="C475" s="150">
        <f>'Assumptions (NG)'!$V$5*Model!C423</f>
        <v>41.132111517597536</v>
      </c>
      <c r="D475" s="150">
        <f>'Assumptions (NG)'!$V$5*Model!D423</f>
        <v>15.886995747592064</v>
      </c>
      <c r="E475" s="150">
        <f>'Assumptions (NG)'!$V$5*Model!E423</f>
        <v>11.191617598620855</v>
      </c>
      <c r="F475" s="150">
        <f>'Assumptions (NG)'!$V$5*Model!F423</f>
        <v>6.3990623297199107</v>
      </c>
      <c r="G475" s="150">
        <f>'Assumptions (NG)'!$V$5*Model!G423</f>
        <v>4.3856935710296758</v>
      </c>
      <c r="H475" s="150">
        <f>'Assumptions (NG)'!$V$5*Model!H423</f>
        <v>3.3611029166926381</v>
      </c>
      <c r="I475" s="150">
        <f>'Assumptions (NG)'!$V$5*Model!I423</f>
        <v>3.5056309811973319</v>
      </c>
      <c r="J475" s="150">
        <f>'Assumptions (NG)'!$V$5*Model!J423</f>
        <v>3.5640177404160962</v>
      </c>
      <c r="K475" s="150">
        <f>'Assumptions (NG)'!$V$5*Model!K423</f>
        <v>3.9777440594031264</v>
      </c>
      <c r="L475" s="150">
        <f>'Assumptions (NG)'!$V$5*Model!L423</f>
        <v>4.0827979359726037</v>
      </c>
      <c r="M475" s="150">
        <f>'Assumptions (NG)'!$V$5*Model!M423</f>
        <v>4.2041355534329226</v>
      </c>
      <c r="N475" s="150">
        <f>'Assumptions (NG)'!$V$5*Model!N423</f>
        <v>4.0703557936060424</v>
      </c>
      <c r="O475" s="150">
        <f>'Assumptions (NG)'!$V$5*Model!O423</f>
        <v>3.5255490882983036</v>
      </c>
      <c r="P475" s="150">
        <f>'Assumptions (NG)'!$V$5*Model!P423</f>
        <v>3.9940289119939694</v>
      </c>
      <c r="Q475" s="150">
        <f>'Assumptions (NG)'!$V$5*Model!Q423</f>
        <v>4.2210326428976268</v>
      </c>
      <c r="R475" s="150">
        <f>'Assumptions (NG)'!$V$5*Model!R423</f>
        <v>7.0329053588059942</v>
      </c>
      <c r="S475" s="150">
        <f>'Assumptions (NG)'!$V$5*Model!S423</f>
        <v>7.477706858810425</v>
      </c>
      <c r="T475" s="150">
        <f>'Assumptions (NG)'!$V$5*Model!T423</f>
        <v>7.2757631225205452</v>
      </c>
      <c r="U475" s="150">
        <f>'Assumptions (NG)'!$V$5*Model!U423</f>
        <v>12.07541456366072</v>
      </c>
      <c r="V475" s="150">
        <f>'Assumptions (NG)'!$V$5*Model!V423</f>
        <v>10.246565162925783</v>
      </c>
      <c r="W475" s="150">
        <f>'Assumptions (NG)'!$V$5*Model!W423</f>
        <v>8.9884982021842976</v>
      </c>
      <c r="X475" s="150">
        <f>'Assumptions (NG)'!$V$5*Model!X423</f>
        <v>0</v>
      </c>
      <c r="Y475" s="150">
        <f>'Assumptions (NG)'!$V$5*Model!Y423</f>
        <v>0</v>
      </c>
      <c r="Z475" s="150">
        <f>'Assumptions (NG)'!$V$5*Model!Z423</f>
        <v>0</v>
      </c>
      <c r="AA475" s="150">
        <f>'Assumptions (NG)'!$V$5*Model!AA423</f>
        <v>0</v>
      </c>
      <c r="AB475" s="150">
        <f>'Assumptions (NG)'!$V$5*Model!AB423</f>
        <v>0</v>
      </c>
      <c r="AC475" s="150">
        <f>'Assumptions (NG)'!$V$5*Model!AC423</f>
        <v>0</v>
      </c>
      <c r="AD475" s="150">
        <f>'Assumptions (NG)'!$V$5*Model!AD423</f>
        <v>0</v>
      </c>
      <c r="AE475" s="150">
        <f>'Assumptions (NG)'!$V$5*Model!AE423</f>
        <v>0</v>
      </c>
      <c r="AF475" s="150">
        <f>'Assumptions (NG)'!$V$5*Model!AF423</f>
        <v>0</v>
      </c>
      <c r="AG475" s="150">
        <f>'Assumptions (NG)'!$V$5*Model!AG423</f>
        <v>0</v>
      </c>
      <c r="AH475" s="150">
        <f>'Assumptions (NG)'!$V$5*Model!AH423</f>
        <v>0</v>
      </c>
      <c r="AI475" s="150">
        <f>'Assumptions (NG)'!$V$5*Model!AI423</f>
        <v>0</v>
      </c>
      <c r="AJ475" s="150">
        <f>'Assumptions (NG)'!$V$5*Model!AJ423</f>
        <v>0</v>
      </c>
      <c r="AK475" s="150">
        <f>'Assumptions (NG)'!$V$5*Model!AK423</f>
        <v>0.63324729782477462</v>
      </c>
      <c r="AL475" s="150">
        <f>'Assumptions (NG)'!$V$5*Model!AL423</f>
        <v>6.2638284000964397</v>
      </c>
      <c r="AM475" s="150">
        <f>'Assumptions (NG)'!$V$5*Model!AM423</f>
        <v>12.143650893651538</v>
      </c>
      <c r="AN475" s="150">
        <f>'Assumptions (NG)'!$V$5*Model!AN423</f>
        <v>12.891746971859513</v>
      </c>
      <c r="AO475" s="150">
        <f>'Assumptions (NG)'!$V$5*Model!AO423</f>
        <v>7.1878043428857934</v>
      </c>
      <c r="AP475" s="150">
        <f>'Assumptions (NG)'!$V$5*Model!AP423</f>
        <v>1.2247902571790819</v>
      </c>
      <c r="AQ475" s="150">
        <f>'Assumptions (NG)'!$V$5*Model!AQ423</f>
        <v>0</v>
      </c>
      <c r="AR475" s="150">
        <f>'Assumptions (NG)'!$V$5*Model!AR423</f>
        <v>0</v>
      </c>
      <c r="AS475" s="150">
        <f>'Assumptions (NG)'!$V$5*Model!AS423</f>
        <v>0</v>
      </c>
      <c r="AT475" s="150">
        <f>'Assumptions (NG)'!$V$5*Model!AT423</f>
        <v>0</v>
      </c>
      <c r="AU475" s="150">
        <f>'Assumptions (NG)'!$V$5*Model!AU423</f>
        <v>0</v>
      </c>
      <c r="AV475" s="150">
        <f>'Assumptions (NG)'!$V$5*Model!AV423</f>
        <v>0</v>
      </c>
      <c r="AW475" s="150">
        <f>'Assumptions (NG)'!$V$5*Model!AW423</f>
        <v>0</v>
      </c>
      <c r="AX475" s="150">
        <f>'Assumptions (NG)'!$V$5*Model!AX423</f>
        <v>1.4628962258884901</v>
      </c>
      <c r="AY475" s="150">
        <f>'Assumptions (NG)'!$V$5*Model!AY423</f>
        <v>1.4921541504062601</v>
      </c>
      <c r="AZ475" s="150">
        <f>'Assumptions (NG)'!$V$5*Model!AZ423</f>
        <v>1.5219972334143852</v>
      </c>
      <c r="BA475" s="150">
        <f>'Assumptions (NG)'!$V$5*Model!BA423</f>
        <v>0</v>
      </c>
    </row>
    <row r="476" spans="1:77" ht="15.75" customHeight="1">
      <c r="A476" s="384" t="s">
        <v>54</v>
      </c>
      <c r="B476" s="99" t="s">
        <v>201</v>
      </c>
      <c r="C476" s="150">
        <f>'Assumptions (NG)'!$V$6*Model!C423</f>
        <v>22.148060047937133</v>
      </c>
      <c r="D476" s="150">
        <f>'Assumptions (NG)'!$V$6*Model!D423</f>
        <v>8.5545361717803416</v>
      </c>
      <c r="E476" s="150">
        <f>'Assumptions (NG)'!$V$6*Model!E423</f>
        <v>6.0262556300266139</v>
      </c>
      <c r="F476" s="150">
        <f>'Assumptions (NG)'!$V$6*Model!F423</f>
        <v>3.4456489467722591</v>
      </c>
      <c r="G476" s="150">
        <f>'Assumptions (NG)'!$V$6*Model!G423</f>
        <v>2.3615273074775174</v>
      </c>
      <c r="H476" s="150">
        <f>'Assumptions (NG)'!$V$6*Model!H423</f>
        <v>1.8098246474498818</v>
      </c>
      <c r="I476" s="150">
        <f>'Assumptions (NG)'!$V$6*Model!I423</f>
        <v>1.8876474514139479</v>
      </c>
      <c r="J476" s="150">
        <f>'Assumptions (NG)'!$V$6*Model!J423</f>
        <v>1.919086475608667</v>
      </c>
      <c r="K476" s="150">
        <f>'Assumptions (NG)'!$V$6*Model!K423</f>
        <v>2.1418621858324522</v>
      </c>
      <c r="L476" s="150">
        <f>'Assumptions (NG)'!$V$6*Model!L423</f>
        <v>2.1984296578314018</v>
      </c>
      <c r="M476" s="150">
        <f>'Assumptions (NG)'!$V$6*Model!M423</f>
        <v>2.2637652980023426</v>
      </c>
      <c r="N476" s="150">
        <f>'Assumptions (NG)'!$V$6*Model!N423</f>
        <v>2.1917300427109456</v>
      </c>
      <c r="O476" s="150">
        <f>'Assumptions (NG)'!$V$6*Model!O423</f>
        <v>1.8983725860067786</v>
      </c>
      <c r="P476" s="150">
        <f>'Assumptions (NG)'!$V$6*Model!P423</f>
        <v>2.1506309526121372</v>
      </c>
      <c r="Q476" s="150">
        <f>'Assumptions (NG)'!$V$6*Model!Q423</f>
        <v>2.2728637307910295</v>
      </c>
      <c r="R476" s="150">
        <f>'Assumptions (NG)'!$V$6*Model!R423</f>
        <v>3.7869490393570735</v>
      </c>
      <c r="S476" s="150">
        <f>'Assumptions (NG)'!$V$6*Model!S423</f>
        <v>4.026457539359459</v>
      </c>
      <c r="T476" s="150">
        <f>'Assumptions (NG)'!$V$6*Model!T423</f>
        <v>3.9177186044341394</v>
      </c>
      <c r="U476" s="150">
        <f>'Assumptions (NG)'!$V$6*Model!U423</f>
        <v>6.5021463035096181</v>
      </c>
      <c r="V476" s="150">
        <f>'Assumptions (NG)'!$V$6*Model!V423</f>
        <v>5.5173812415754213</v>
      </c>
      <c r="W476" s="150">
        <f>'Assumptions (NG)'!$V$6*Model!W423</f>
        <v>4.8399605704069293</v>
      </c>
      <c r="X476" s="150">
        <f>'Assumptions (NG)'!$V$6*Model!X423</f>
        <v>0</v>
      </c>
      <c r="Y476" s="150">
        <f>'Assumptions (NG)'!$V$6*Model!Y423</f>
        <v>0</v>
      </c>
      <c r="Z476" s="150">
        <f>'Assumptions (NG)'!$V$6*Model!Z423</f>
        <v>0</v>
      </c>
      <c r="AA476" s="150">
        <f>'Assumptions (NG)'!$V$6*Model!AA423</f>
        <v>0</v>
      </c>
      <c r="AB476" s="150">
        <f>'Assumptions (NG)'!$V$6*Model!AB423</f>
        <v>0</v>
      </c>
      <c r="AC476" s="150">
        <f>'Assumptions (NG)'!$V$6*Model!AC423</f>
        <v>0</v>
      </c>
      <c r="AD476" s="150">
        <f>'Assumptions (NG)'!$V$6*Model!AD423</f>
        <v>0</v>
      </c>
      <c r="AE476" s="150">
        <f>'Assumptions (NG)'!$V$6*Model!AE423</f>
        <v>0</v>
      </c>
      <c r="AF476" s="150">
        <f>'Assumptions (NG)'!$V$6*Model!AF423</f>
        <v>0</v>
      </c>
      <c r="AG476" s="150">
        <f>'Assumptions (NG)'!$V$6*Model!AG423</f>
        <v>0</v>
      </c>
      <c r="AH476" s="150">
        <f>'Assumptions (NG)'!$V$6*Model!AH423</f>
        <v>0</v>
      </c>
      <c r="AI476" s="150">
        <f>'Assumptions (NG)'!$V$6*Model!AI423</f>
        <v>0</v>
      </c>
      <c r="AJ476" s="150">
        <f>'Assumptions (NG)'!$V$6*Model!AJ423</f>
        <v>0</v>
      </c>
      <c r="AK476" s="150">
        <f>'Assumptions (NG)'!$V$6*Model!AK423</f>
        <v>0.34097931421334016</v>
      </c>
      <c r="AL476" s="150">
        <f>'Assumptions (NG)'!$V$6*Model!AL423</f>
        <v>3.3728306769750058</v>
      </c>
      <c r="AM476" s="150">
        <f>'Assumptions (NG)'!$V$6*Model!AM423</f>
        <v>6.5388889427354426</v>
      </c>
      <c r="AN476" s="150">
        <f>'Assumptions (NG)'!$V$6*Model!AN423</f>
        <v>6.9417099079243529</v>
      </c>
      <c r="AO476" s="150">
        <f>'Assumptions (NG)'!$V$6*Model!AO423</f>
        <v>3.8703561846308117</v>
      </c>
      <c r="AP476" s="150">
        <f>'Assumptions (NG)'!$V$6*Model!AP423</f>
        <v>0.65950244617335174</v>
      </c>
      <c r="AQ476" s="150">
        <f>'Assumptions (NG)'!$V$6*Model!AQ423</f>
        <v>0</v>
      </c>
      <c r="AR476" s="150">
        <f>'Assumptions (NG)'!$V$6*Model!AR423</f>
        <v>0</v>
      </c>
      <c r="AS476" s="150">
        <f>'Assumptions (NG)'!$V$6*Model!AS423</f>
        <v>0</v>
      </c>
      <c r="AT476" s="150">
        <f>'Assumptions (NG)'!$V$6*Model!AT423</f>
        <v>0</v>
      </c>
      <c r="AU476" s="150">
        <f>'Assumptions (NG)'!$V$6*Model!AU423</f>
        <v>0</v>
      </c>
      <c r="AV476" s="150">
        <f>'Assumptions (NG)'!$V$6*Model!AV423</f>
        <v>0</v>
      </c>
      <c r="AW476" s="150">
        <f>'Assumptions (NG)'!$V$6*Model!AW423</f>
        <v>0</v>
      </c>
      <c r="AX476" s="150">
        <f>'Assumptions (NG)'!$V$6*Model!AX423</f>
        <v>0.78771335240149454</v>
      </c>
      <c r="AY476" s="150">
        <f>'Assumptions (NG)'!$V$6*Model!AY423</f>
        <v>0.80346761944952461</v>
      </c>
      <c r="AZ476" s="150">
        <f>'Assumptions (NG)'!$V$6*Model!AZ423</f>
        <v>0.81953697183851504</v>
      </c>
      <c r="BA476" s="150">
        <f>'Assumptions (NG)'!$V$6*Model!BA423</f>
        <v>0</v>
      </c>
    </row>
    <row r="477" spans="1:77" ht="15.75" customHeight="1">
      <c r="A477" s="384" t="s">
        <v>336</v>
      </c>
      <c r="B477" s="99" t="s">
        <v>201</v>
      </c>
      <c r="C477" s="91">
        <f t="array" ref="C477">SUM(IF(ISERROR(C478:C528),"",C478:C528))</f>
        <v>-0.6215486199095932</v>
      </c>
      <c r="D477" s="91">
        <f t="array" ref="D477">SUM(IF(ISERROR(D478:D528),"",D478:D528))</f>
        <v>-1.5714241711119996</v>
      </c>
      <c r="E477" s="91">
        <f t="array" ref="E477">SUM(IF(ISERROR(E478:E528),"",E478:E528))</f>
        <v>-3.1527460855511373</v>
      </c>
      <c r="F477" s="91">
        <f t="array" ref="F477">SUM(IF(ISERROR(F478:F528),"",F478:F528))</f>
        <v>-4.6643784802290424</v>
      </c>
      <c r="G477" s="91">
        <f t="array" ref="G477">SUM(IF(ISERROR(G478:G528),"",G478:G528))</f>
        <v>-5.6426053882009501</v>
      </c>
      <c r="H477" s="91">
        <f t="array" ref="H477">SUM(IF(ISERROR(H478:H528),"",H478:H528))</f>
        <v>-6.5191921697351063</v>
      </c>
      <c r="I477" s="91">
        <f t="array" ref="I477">SUM(IF(ISERROR(I478:I528),"",I478:I528))</f>
        <v>-7.2761778703457187</v>
      </c>
      <c r="J477" s="91">
        <f t="array" ref="J477">SUM(IF(ISERROR(J478:J528),"",J478:J528))</f>
        <v>-8.0255204721172788</v>
      </c>
      <c r="K477" s="91">
        <f t="array" ref="K477">SUM(IF(ISERROR(K478:K528),"",K478:K528))</f>
        <v>-8.8679553270940712</v>
      </c>
      <c r="L477" s="91">
        <f t="array" ref="L477">SUM(IF(ISERROR(L478:L528),"",L478:L528))</f>
        <v>-9.8342282345037848</v>
      </c>
      <c r="M477" s="91">
        <f t="array" ref="M477">SUM(IF(ISERROR(M478:M528),"",M478:M528))</f>
        <v>-9.5043204076780228</v>
      </c>
      <c r="N477" s="91">
        <f t="array" ref="N477">SUM(IF(ISERROR(N478:N528),"",N478:N528))</f>
        <v>-8.684821295010666</v>
      </c>
      <c r="O477" s="91">
        <f t="array" ref="O477">SUM(IF(ISERROR(O478:O528),"",O478:O528))</f>
        <v>-6.6450619084574729</v>
      </c>
      <c r="P477" s="91">
        <f t="array" ref="P477">SUM(IF(ISERROR(P478:P528),"",P478:P528))</f>
        <v>-4.7504746250843954</v>
      </c>
      <c r="Q477" s="91">
        <f t="array" ref="Q477">SUM(IF(ISERROR(Q478:Q528),"",Q478:Q528))</f>
        <v>-4.1139616543948847</v>
      </c>
      <c r="R477" s="91">
        <f t="array" ref="R477">SUM(IF(ISERROR(R478:R528),"",R478:R528))</f>
        <v>-3.6976148902237678</v>
      </c>
      <c r="S477" s="91">
        <f t="array" ref="S477">SUM(IF(ISERROR(S478:S528),"",S478:S528))</f>
        <v>-3.75818445143365</v>
      </c>
      <c r="T477" s="91">
        <f t="array" ref="T477">SUM(IF(ISERROR(T478:T528),"",T478:T528))</f>
        <v>-3.9730455883801357</v>
      </c>
      <c r="U477" s="91">
        <f t="array" ref="U477">SUM(IF(ISERROR(U478:U528),"",U478:U528))</f>
        <v>-4.5877119106908486</v>
      </c>
      <c r="V477" s="91">
        <f t="array" ref="V477">SUM(IF(ISERROR(V478:V528),"",V478:V528))</f>
        <v>-4.7330988711267139</v>
      </c>
      <c r="W477" s="91">
        <f t="array" ref="W477">SUM(IF(ISERROR(W478:W528),"",W478:W528))</f>
        <v>-4.9461669928151553</v>
      </c>
      <c r="X477" s="91">
        <f t="array" ref="X477">SUM(IF(ISERROR(X478:X528),"",X478:X528))</f>
        <v>-6.5073355558629284</v>
      </c>
      <c r="Y477" s="91">
        <f t="array" ref="Y477">SUM(IF(ISERROR(Y478:Y528),"",Y478:Y528))</f>
        <v>-6.3252891655013261</v>
      </c>
      <c r="Z477" s="91">
        <f t="array" ref="Z477">SUM(IF(ISERROR(Z478:Z528),"",Z478:Z528))</f>
        <v>-6.3149065793935311</v>
      </c>
      <c r="AA477" s="91">
        <f t="array" ref="AA477">SUM(IF(ISERROR(AA478:AA528),"",AA478:AA528))</f>
        <v>-6.1653704026094394</v>
      </c>
      <c r="AB477" s="91">
        <f t="array" ref="AB477">SUM(IF(ISERROR(AB478:AB528),"",AB478:AB528))</f>
        <v>-6.1958633043016196</v>
      </c>
      <c r="AC477" s="91">
        <f t="array" ref="AC477">SUM(IF(ISERROR(AC478:AC528),"",AC478:AC528))</f>
        <v>-5.9686641303872019</v>
      </c>
      <c r="AD477" s="91">
        <f t="array" ref="AD477">SUM(IF(ISERROR(AD478:AD528),"",AD478:AD528))</f>
        <v>-5.689421830764962</v>
      </c>
      <c r="AE477" s="91">
        <f t="array" ref="AE477">SUM(IF(ISERROR(AE478:AE528),"",AE478:AE528))</f>
        <v>-4.4417280762257176</v>
      </c>
      <c r="AF477" s="91">
        <f t="array" ref="AF477">SUM(IF(ISERROR(AF478:AF528),"",AF478:AF528))</f>
        <v>-3.9050150978195837</v>
      </c>
      <c r="AG477" s="91">
        <f t="array" ref="AG477">SUM(IF(ISERROR(AG478:AG528),"",AG478:AG528))</f>
        <v>-3.5832253705137149</v>
      </c>
      <c r="AH477" s="91">
        <f t="array" ref="AH477">SUM(IF(ISERROR(AH478:AH528),"",AH478:AH528))</f>
        <v>0</v>
      </c>
      <c r="AI477" s="91">
        <f t="array" ref="AI477">SUM(IF(ISERROR(AI478:AI528),"",AI478:AI528))</f>
        <v>0</v>
      </c>
      <c r="AJ477" s="91">
        <f t="array" ref="AJ477">SUM(IF(ISERROR(AJ478:AJ528),"",AJ478:AJ528))</f>
        <v>0</v>
      </c>
      <c r="AK477" s="91">
        <f t="array" ref="AK477">SUM(IF(ISERROR(AK478:AK528),"",AK478:AK528))</f>
        <v>0</v>
      </c>
      <c r="AL477" s="91">
        <f t="array" ref="AL477">SUM(IF(ISERROR(AL478:AL528),"",AL478:AL528))</f>
        <v>0</v>
      </c>
      <c r="AM477" s="91">
        <f t="array" ref="AM477">SUM(IF(ISERROR(AM478:AM528),"",AM478:AM528))</f>
        <v>0</v>
      </c>
      <c r="AN477" s="91">
        <f t="array" ref="AN477">SUM(IF(ISERROR(AN478:AN528),"",AN478:AN528))</f>
        <v>-0.1369886226317148</v>
      </c>
      <c r="AO477" s="91">
        <f t="array" ref="AO477">SUM(IF(ISERROR(AO478:AO528),"",AO478:AO528))</f>
        <v>-1.3625709103312604</v>
      </c>
      <c r="AP477" s="91">
        <f t="array" ref="AP477">SUM(IF(ISERROR(AP478:AP528),"",AP478:AP528))</f>
        <v>-2.7096286067040243</v>
      </c>
      <c r="AQ477" s="91">
        <f t="array" ref="AQ477">SUM(IF(ISERROR(AQ478:AQ528),"",AQ478:AQ528))</f>
        <v>-3.1675176706819421</v>
      </c>
      <c r="AR477" s="91">
        <f t="array" ref="AR477">SUM(IF(ISERROR(AR478:AR528),"",AR478:AR528))</f>
        <v>-3.4050814959830871</v>
      </c>
      <c r="AS477" s="91">
        <f t="array" ref="AS477">SUM(IF(ISERROR(AS478:AS528),"",AS478:AS528))</f>
        <v>-3.660462608181819</v>
      </c>
      <c r="AT477" s="91">
        <f t="array" ref="AT477">SUM(IF(ISERROR(AT478:AT528),"",AT478:AT528))</f>
        <v>-3.9349973037954551</v>
      </c>
      <c r="AU477" s="91">
        <f t="array" ref="AU477">SUM(IF(ISERROR(AU478:AU528),"",AU478:AU528))</f>
        <v>-4.2301221015801138</v>
      </c>
      <c r="AV477" s="91">
        <f t="array" ref="AV477">SUM(IF(ISERROR(AV478:AV528),"",AV478:AV528))</f>
        <v>-4.5473812591986231</v>
      </c>
      <c r="AW477" s="91">
        <f t="array" ref="AW477">SUM(IF(ISERROR(AW478:AW528),"",AW478:AW528))</f>
        <v>-4.88843485363852</v>
      </c>
      <c r="AX477" s="91">
        <f t="array" ref="AX477">SUM(IF(ISERROR(AX478:AX528),"",AX478:AX528))</f>
        <v>-4.9727295927599728</v>
      </c>
      <c r="AY477" s="91">
        <f t="array" ref="AY477">SUM(IF(ISERROR(AY478:AY528),"",AY478:AY528))</f>
        <v>-2.8408958758557827</v>
      </c>
      <c r="AZ477" s="91">
        <f t="array" ref="AZ477">SUM(IF(ISERROR(AZ478:AZ528),"",AZ478:AZ528))</f>
        <v>-0.48825726215482856</v>
      </c>
      <c r="BA477" s="91">
        <f t="array" ref="BA477">SUM(IF(ISERROR(BA478:BA528),"",BA478:BA528))</f>
        <v>-0.31646426242319436</v>
      </c>
      <c r="BB477" s="91">
        <f t="array" ref="BB477">SUM(IF(ISERROR(BB478:BB528),"",BB478:BB528))</f>
        <v>-0.34019908210493394</v>
      </c>
      <c r="BC477" s="91">
        <f t="array" ref="BC477">SUM(IF(ISERROR(BC478:BC528),"",BC478:BC528))</f>
        <v>-0.36571401326280395</v>
      </c>
      <c r="BD477" s="91">
        <f t="array" ref="BD477">SUM(IF(ISERROR(BD478:BD528),"",BD478:BD528))</f>
        <v>-0.39314256425751432</v>
      </c>
      <c r="BE477" s="91">
        <f t="array" ref="BE477">SUM(IF(ISERROR(BE478:BE528),"",BE478:BE528))</f>
        <v>-0.42262825657682784</v>
      </c>
      <c r="BF477" s="91">
        <f t="array" ref="BF477">SUM(IF(ISERROR(BF478:BF528),"",BF478:BF528))</f>
        <v>-0.45432537582008992</v>
      </c>
      <c r="BG477" s="91">
        <f t="array" ref="BG477">SUM(IF(ISERROR(BG478:BG528),"",BG478:BG528))</f>
        <v>-0.48839977900659665</v>
      </c>
      <c r="BH477" s="91">
        <f t="array" ref="BH477">SUM(IF(ISERROR(BH478:BH528),"",BH478:BH528))</f>
        <v>-0.52502976243209143</v>
      </c>
      <c r="BI477" s="91">
        <f t="array" ref="BI477">SUM(IF(ISERROR(BI478:BI528),"",BI478:BI528))</f>
        <v>-0.56440699461449828</v>
      </c>
      <c r="BJ477" s="91">
        <f t="array" ref="BJ477">SUM(IF(ISERROR(BJ478:BJ528),"",BJ478:BJ528))</f>
        <v>-0.60673751921058561</v>
      </c>
      <c r="BK477" s="91"/>
      <c r="BL477" s="91"/>
      <c r="BM477" s="91"/>
      <c r="BN477" s="91"/>
      <c r="BO477" s="91"/>
      <c r="BP477" s="91"/>
      <c r="BQ477" s="91"/>
      <c r="BR477" s="91"/>
      <c r="BS477" s="91"/>
      <c r="BT477" s="91"/>
      <c r="BU477" s="91"/>
    </row>
    <row r="478" spans="1:77" ht="15.75" hidden="1" customHeight="1" outlineLevel="1">
      <c r="A478" s="379"/>
      <c r="B478" s="99"/>
      <c r="C478" s="91">
        <f>IF($C$421&gt;0,PPMT('Assumptions (NG)'!$V$7,Model!W$1,'Assumptions (NG)'!$V$10,'Assumptions (NG)'!$V$5*Model!$C$421*('Assumptions (NG)'!$B$2*'Assumptions (NG)'!$B$15+'Assumptions (NG)'!$B$3*'Assumptions (NG)'!$B$16)/10^9),0)</f>
        <v>-0.6215486199095932</v>
      </c>
      <c r="D478" s="91">
        <f>IF($C$421&gt;0,PPMT('Assumptions (NG)'!$V$7,Model!X$1,'Assumptions (NG)'!$V$10,'Assumptions (NG)'!$V$5*Model!$C$421*('Assumptions (NG)'!$B$2*'Assumptions (NG)'!$B$15+'Assumptions (NG)'!$B$3*'Assumptions (NG)'!$B$16)/10^9),0)</f>
        <v>-0.66816476640281253</v>
      </c>
      <c r="E478" s="91">
        <f>IF($C$421&gt;0,PPMT('Assumptions (NG)'!$V$7,Model!Y$1,'Assumptions (NG)'!$V$10,'Assumptions (NG)'!$V$5*Model!$C$421*('Assumptions (NG)'!$B$2*'Assumptions (NG)'!$B$15+'Assumptions (NG)'!$B$3*'Assumptions (NG)'!$B$16)/10^9),0)</f>
        <v>-0.71827712388302345</v>
      </c>
      <c r="F478" s="91">
        <f>IF($C$421&gt;0,PPMT('Assumptions (NG)'!$V$7,Model!Z$1,'Assumptions (NG)'!$V$10,'Assumptions (NG)'!$V$5*Model!$C$421*('Assumptions (NG)'!$B$2*'Assumptions (NG)'!$B$15+'Assumptions (NG)'!$B$3*'Assumptions (NG)'!$B$16)/10^9),0)</f>
        <v>-0.77214790817425027</v>
      </c>
      <c r="G478" s="91">
        <f>IF($C$421&gt;0,PPMT('Assumptions (NG)'!$V$7,Model!AA$1,'Assumptions (NG)'!$V$10,'Assumptions (NG)'!$V$5*Model!$C$421*('Assumptions (NG)'!$B$2*'Assumptions (NG)'!$B$15+'Assumptions (NG)'!$B$3*'Assumptions (NG)'!$B$16)/10^9),0)</f>
        <v>-0.83005900128731913</v>
      </c>
      <c r="H478" s="91">
        <f>IF($C$421&gt;0,PPMT('Assumptions (NG)'!$V$7,Model!AB$1,'Assumptions (NG)'!$V$10,'Assumptions (NG)'!$V$5*Model!$C$421*('Assumptions (NG)'!$B$2*'Assumptions (NG)'!$B$15+'Assumptions (NG)'!$B$3*'Assumptions (NG)'!$B$16)/10^9),0)</f>
        <v>-0.8923134263838679</v>
      </c>
      <c r="I478" s="91">
        <f>IF($C$421&gt;0,PPMT('Assumptions (NG)'!$V$7,Model!AC$1,'Assumptions (NG)'!$V$10,'Assumptions (NG)'!$V$5*Model!$C$421*('Assumptions (NG)'!$B$2*'Assumptions (NG)'!$B$15+'Assumptions (NG)'!$B$3*'Assumptions (NG)'!$B$16)/10^9),0)</f>
        <v>-0.95923693336265803</v>
      </c>
      <c r="J478" s="91">
        <f>IF($C$421&gt;0,PPMT('Assumptions (NG)'!$V$7,Model!AD$1,'Assumptions (NG)'!$V$10,'Assumptions (NG)'!$V$5*Model!$C$421*('Assumptions (NG)'!$B$2*'Assumptions (NG)'!$B$15+'Assumptions (NG)'!$B$3*'Assumptions (NG)'!$B$16)/10^9),0)</f>
        <v>-1.0311797033648575</v>
      </c>
      <c r="K478" s="91">
        <f>IF($C$421&gt;0,PPMT('Assumptions (NG)'!$V$7,Model!AE$1,'Assumptions (NG)'!$V$10,'Assumptions (NG)'!$V$5*Model!$C$421*('Assumptions (NG)'!$B$2*'Assumptions (NG)'!$B$15+'Assumptions (NG)'!$B$3*'Assumptions (NG)'!$B$16)/10^9),0)</f>
        <v>-1.1085181811172218</v>
      </c>
      <c r="L478" s="91">
        <f>IF($C$421&gt;0,PPMT('Assumptions (NG)'!$V$7,Model!AF$1,'Assumptions (NG)'!$V$10,'Assumptions (NG)'!$V$5*Model!$C$421*('Assumptions (NG)'!$B$2*'Assumptions (NG)'!$B$15+'Assumptions (NG)'!$B$3*'Assumptions (NG)'!$B$16)/10^9),0)</f>
        <v>-1.1916570447010133</v>
      </c>
      <c r="M478" s="91" t="e">
        <f>IF($C$421&gt;0,PPMT('Assumptions (NG)'!$V$7,Model!AG$1,'Assumptions (NG)'!$V$10,'Assumptions (NG)'!$V$5*Model!$C$421*('Assumptions (NG)'!$B$2*'Assumptions (NG)'!$B$15+'Assumptions (NG)'!$B$3*'Assumptions (NG)'!$B$16)/10^9),0)</f>
        <v>#NUM!</v>
      </c>
      <c r="N478" s="91" t="e">
        <f>IF($C$421&gt;0,PPMT('Assumptions (NG)'!$V$7,Model!AH$1,'Assumptions (NG)'!$V$10,'Assumptions (NG)'!$V$5*Model!$C$421*('Assumptions (NG)'!$B$2*'Assumptions (NG)'!$B$15+'Assumptions (NG)'!$B$3*'Assumptions (NG)'!$B$16)/10^9),0)</f>
        <v>#NUM!</v>
      </c>
      <c r="O478" s="91" t="e">
        <f>IF($C$421&gt;0,PPMT('Assumptions (NG)'!$V$7,Model!AI$1,'Assumptions (NG)'!$V$10,'Assumptions (NG)'!$V$5*Model!$C$421*('Assumptions (NG)'!$B$2*'Assumptions (NG)'!$B$15+'Assumptions (NG)'!$B$3*'Assumptions (NG)'!$B$16)/10^9),0)</f>
        <v>#NUM!</v>
      </c>
      <c r="P478" s="91" t="e">
        <f>IF($C$421&gt;0,PPMT('Assumptions (NG)'!$V$7,Model!AJ$1,'Assumptions (NG)'!$V$10,'Assumptions (NG)'!$V$5*Model!$C$421*('Assumptions (NG)'!$B$2*'Assumptions (NG)'!$B$15+'Assumptions (NG)'!$B$3*'Assumptions (NG)'!$B$16)/10^9),0)</f>
        <v>#NUM!</v>
      </c>
      <c r="Q478" s="91" t="e">
        <f>IF($C$421&gt;0,PPMT('Assumptions (NG)'!$V$7,Model!AK$1,'Assumptions (NG)'!$V$10,'Assumptions (NG)'!$V$5*Model!$C$421*('Assumptions (NG)'!$B$2*'Assumptions (NG)'!$B$15+'Assumptions (NG)'!$B$3*'Assumptions (NG)'!$B$16)/10^9),0)</f>
        <v>#NUM!</v>
      </c>
      <c r="R478" s="91"/>
      <c r="S478" s="91"/>
      <c r="T478" s="91"/>
      <c r="U478" s="91"/>
      <c r="V478" s="91"/>
      <c r="W478" s="91"/>
      <c r="X478" s="91"/>
      <c r="Y478" s="91"/>
      <c r="Z478" s="91"/>
      <c r="AA478" s="91"/>
      <c r="AB478" s="105"/>
      <c r="AC478" s="105"/>
      <c r="AD478" s="105"/>
      <c r="AE478" s="105"/>
      <c r="AF478" s="105"/>
      <c r="AG478" s="105"/>
      <c r="AU478" s="105"/>
      <c r="AV478" s="105"/>
      <c r="AW478" s="105"/>
      <c r="AX478" s="105"/>
      <c r="AY478" s="105"/>
      <c r="AZ478" s="105"/>
      <c r="BA478" s="105"/>
    </row>
    <row r="479" spans="1:77" ht="15.75" hidden="1" customHeight="1" outlineLevel="1">
      <c r="A479" s="379"/>
      <c r="B479" s="99"/>
      <c r="C479" s="105"/>
      <c r="D479" s="91">
        <f>IF($D$421&gt;0,PPMT('Assumptions (NG)'!$V$7,Model!W$1,'Assumptions (NG)'!$V$10,'Assumptions (NG)'!$V$5*Model!$D$421*('Assumptions (NG)'!$B$2*'Assumptions (NG)'!$C$15+'Assumptions (NG)'!$B$3*'Assumptions (NG)'!$C$16)/10^9),0)</f>
        <v>-0.90325940470918709</v>
      </c>
      <c r="E479" s="91">
        <f>IF($D$421&gt;0,PPMT('Assumptions (NG)'!$V$7,Model!X$1,'Assumptions (NG)'!$V$10,'Assumptions (NG)'!$V$5*Model!$D$421*('Assumptions (NG)'!$B$2*'Assumptions (NG)'!$C$15+'Assumptions (NG)'!$B$3*'Assumptions (NG)'!$C$16)/10^9),0)</f>
        <v>-0.97100386006237616</v>
      </c>
      <c r="F479" s="91">
        <f>IF($D$421&gt;0,PPMT('Assumptions (NG)'!$V$7,Model!Y$1,'Assumptions (NG)'!$V$10,'Assumptions (NG)'!$V$5*Model!$D$421*('Assumptions (NG)'!$B$2*'Assumptions (NG)'!$C$15+'Assumptions (NG)'!$B$3*'Assumptions (NG)'!$C$16)/10^9),0)</f>
        <v>-1.0438291495670542</v>
      </c>
      <c r="G479" s="91">
        <f>IF($D$421&gt;0,PPMT('Assumptions (NG)'!$V$7,Model!Z$1,'Assumptions (NG)'!$V$10,'Assumptions (NG)'!$V$5*Model!$D$421*('Assumptions (NG)'!$B$2*'Assumptions (NG)'!$C$15+'Assumptions (NG)'!$B$3*'Assumptions (NG)'!$C$16)/10^9),0)</f>
        <v>-1.1221163357845834</v>
      </c>
      <c r="H479" s="91">
        <f>IF($D$421&gt;0,PPMT('Assumptions (NG)'!$V$7,Model!AA$1,'Assumptions (NG)'!$V$10,'Assumptions (NG)'!$V$5*Model!$D$421*('Assumptions (NG)'!$B$2*'Assumptions (NG)'!$C$15+'Assumptions (NG)'!$B$3*'Assumptions (NG)'!$C$16)/10^9),0)</f>
        <v>-1.2062750609684272</v>
      </c>
      <c r="I479" s="91">
        <f>IF($D$421&gt;0,PPMT('Assumptions (NG)'!$V$7,Model!AB$1,'Assumptions (NG)'!$V$10,'Assumptions (NG)'!$V$5*Model!$D$421*('Assumptions (NG)'!$B$2*'Assumptions (NG)'!$C$15+'Assumptions (NG)'!$B$3*'Assumptions (NG)'!$C$16)/10^9),0)</f>
        <v>-1.296745690541059</v>
      </c>
      <c r="J479" s="91">
        <f>IF($D$421&gt;0,PPMT('Assumptions (NG)'!$V$7,Model!AC$1,'Assumptions (NG)'!$V$10,'Assumptions (NG)'!$V$5*Model!$D$421*('Assumptions (NG)'!$B$2*'Assumptions (NG)'!$C$15+'Assumptions (NG)'!$B$3*'Assumptions (NG)'!$C$16)/10^9),0)</f>
        <v>-1.3940016173316387</v>
      </c>
      <c r="K479" s="91">
        <f>IF($D$421&gt;0,PPMT('Assumptions (NG)'!$V$7,Model!AD$1,'Assumptions (NG)'!$V$10,'Assumptions (NG)'!$V$5*Model!$D$421*('Assumptions (NG)'!$B$2*'Assumptions (NG)'!$C$15+'Assumptions (NG)'!$B$3*'Assumptions (NG)'!$C$16)/10^9),0)</f>
        <v>-1.4985517386315117</v>
      </c>
      <c r="L479" s="91">
        <f>IF($D$421&gt;0,PPMT('Assumptions (NG)'!$V$7,Model!AE$1,'Assumptions (NG)'!$V$10,'Assumptions (NG)'!$V$5*Model!$D$421*('Assumptions (NG)'!$B$2*'Assumptions (NG)'!$C$15+'Assumptions (NG)'!$B$3*'Assumptions (NG)'!$C$16)/10^9),0)</f>
        <v>-1.610943119028875</v>
      </c>
      <c r="M479" s="91">
        <f>IF($D$421&gt;0,PPMT('Assumptions (NG)'!$V$7,Model!AF$1,'Assumptions (NG)'!$V$10,'Assumptions (NG)'!$V$5*Model!$D$421*('Assumptions (NG)'!$B$2*'Assumptions (NG)'!$C$15+'Assumptions (NG)'!$B$3*'Assumptions (NG)'!$C$16)/10^9),0)</f>
        <v>-1.7317638529560404</v>
      </c>
      <c r="N479" s="91" t="e">
        <f>IF($D$421&gt;0,PPMT('Assumptions (NG)'!$V$7,Model!AG$1,'Assumptions (NG)'!$V$10,'Assumptions (NG)'!$V$5*Model!$D$421*('Assumptions (NG)'!$B$2*'Assumptions (NG)'!$C$15+'Assumptions (NG)'!$B$3*'Assumptions (NG)'!$C$16)/10^9),0)</f>
        <v>#NUM!</v>
      </c>
      <c r="O479" s="91" t="e">
        <f>IF($D$421&gt;0,PPMT('Assumptions (NG)'!$V$7,Model!AH$1,'Assumptions (NG)'!$V$10,'Assumptions (NG)'!$V$5*Model!$D$421*('Assumptions (NG)'!$B$2*'Assumptions (NG)'!$C$15+'Assumptions (NG)'!$B$3*'Assumptions (NG)'!$C$16)/10^9),0)</f>
        <v>#NUM!</v>
      </c>
      <c r="P479" s="91" t="e">
        <f>IF($D$421&gt;0,PPMT('Assumptions (NG)'!$V$7,Model!AI$1,'Assumptions (NG)'!$V$10,'Assumptions (NG)'!$V$5*Model!$D$421*('Assumptions (NG)'!$B$2*'Assumptions (NG)'!$C$15+'Assumptions (NG)'!$B$3*'Assumptions (NG)'!$C$16)/10^9),0)</f>
        <v>#NUM!</v>
      </c>
      <c r="Q479" s="91" t="e">
        <f>IF($D$421&gt;0,PPMT('Assumptions (NG)'!$V$7,Model!AJ$1,'Assumptions (NG)'!$V$10,'Assumptions (NG)'!$V$5*Model!$D$421*('Assumptions (NG)'!$B$2*'Assumptions (NG)'!$C$15+'Assumptions (NG)'!$B$3*'Assumptions (NG)'!$C$16)/10^9),0)</f>
        <v>#NUM!</v>
      </c>
      <c r="R479" s="91" t="e">
        <f>IF($D$421&gt;0,PPMT('Assumptions (NG)'!$V$7,Model!AK$1,'Assumptions (NG)'!$V$10,'Assumptions (NG)'!$V$5*Model!$D$421*('Assumptions (NG)'!$B$2*'Assumptions (NG)'!$C$15+'Assumptions (NG)'!$B$3*'Assumptions (NG)'!$C$16)/10^9),0)</f>
        <v>#NUM!</v>
      </c>
      <c r="S479" s="91"/>
      <c r="T479" s="91"/>
      <c r="U479" s="91"/>
      <c r="V479" s="91"/>
      <c r="W479" s="91"/>
      <c r="X479" s="91"/>
      <c r="Y479" s="91"/>
      <c r="Z479" s="91"/>
      <c r="AA479" s="91"/>
      <c r="AB479" s="91"/>
      <c r="AC479" s="105"/>
      <c r="AD479" s="105"/>
      <c r="AE479" s="105"/>
      <c r="AF479" s="105"/>
      <c r="AG479" s="105"/>
      <c r="AU479" s="105"/>
      <c r="AV479" s="105"/>
      <c r="AW479" s="105"/>
      <c r="AX479" s="105"/>
      <c r="AY479" s="105"/>
      <c r="AZ479" s="105"/>
      <c r="BA479" s="105"/>
    </row>
    <row r="480" spans="1:77" ht="15.75" hidden="1" customHeight="1" outlineLevel="1">
      <c r="A480" s="379"/>
      <c r="B480" s="99"/>
      <c r="C480" s="105"/>
      <c r="D480" s="105"/>
      <c r="E480" s="105">
        <f>IF($E$421&gt;0,PPMT('Assumptions (NG)'!$V$7,Model!W$1,'Assumptions (NG)'!$V$10,'Assumptions (NG)'!$V$5*Model!$E$421*(AVERAGE('Assumptions (NG)'!$B$2:$C$2)*'Assumptions (NG)'!$D$15+AVERAGE('Assumptions (NG)'!$B$3:$C$3)*'Assumptions (NG)'!$D$16)/10^9),0)</f>
        <v>-1.4634651016057376</v>
      </c>
      <c r="F480" s="105">
        <f>IF($E$421&gt;0,PPMT('Assumptions (NG)'!$V$7,Model!X$1,'Assumptions (NG)'!$V$10,'Assumptions (NG)'!$V$5*Model!$E$421*(AVERAGE('Assumptions (NG)'!$B$2:$C$2)*'Assumptions (NG)'!$D$15+AVERAGE('Assumptions (NG)'!$B$3:$C$3)*'Assumptions (NG)'!$D$16)/10^9),0)</f>
        <v>-1.5732249842261681</v>
      </c>
      <c r="G480" s="105">
        <f>IF($E$421&gt;0,PPMT('Assumptions (NG)'!$V$7,Model!Y$1,'Assumptions (NG)'!$V$10,'Assumptions (NG)'!$V$5*Model!$E$421*(AVERAGE('Assumptions (NG)'!$B$2:$C$2)*'Assumptions (NG)'!$D$15+AVERAGE('Assumptions (NG)'!$B$3:$C$3)*'Assumptions (NG)'!$D$16)/10^9),0)</f>
        <v>-1.6912168580431304</v>
      </c>
      <c r="H480" s="105">
        <f>IF($E$421&gt;0,PPMT('Assumptions (NG)'!$V$7,Model!Z$1,'Assumptions (NG)'!$V$10,'Assumptions (NG)'!$V$5*Model!$E$421*(AVERAGE('Assumptions (NG)'!$B$2:$C$2)*'Assumptions (NG)'!$D$15+AVERAGE('Assumptions (NG)'!$B$3:$C$3)*'Assumptions (NG)'!$D$16)/10^9),0)</f>
        <v>-1.8180581223963654</v>
      </c>
      <c r="I480" s="105">
        <f>IF($E$421&gt;0,PPMT('Assumptions (NG)'!$V$7,Model!AA$1,'Assumptions (NG)'!$V$10,'Assumptions (NG)'!$V$5*Model!$E$421*(AVERAGE('Assumptions (NG)'!$B$2:$C$2)*'Assumptions (NG)'!$D$15+AVERAGE('Assumptions (NG)'!$B$3:$C$3)*'Assumptions (NG)'!$D$16)/10^9),0)</f>
        <v>-1.9544124815760928</v>
      </c>
      <c r="J480" s="105">
        <f>IF($E$421&gt;0,PPMT('Assumptions (NG)'!$V$7,Model!AB$1,'Assumptions (NG)'!$V$10,'Assumptions (NG)'!$V$5*Model!$E$421*(AVERAGE('Assumptions (NG)'!$B$2:$C$2)*'Assumptions (NG)'!$D$15+AVERAGE('Assumptions (NG)'!$B$3:$C$3)*'Assumptions (NG)'!$D$16)/10^9),0)</f>
        <v>-2.1009934176942995</v>
      </c>
      <c r="K480" s="105">
        <f>IF($E$421&gt;0,PPMT('Assumptions (NG)'!$V$7,Model!AC$1,'Assumptions (NG)'!$V$10,'Assumptions (NG)'!$V$5*Model!$E$421*(AVERAGE('Assumptions (NG)'!$B$2:$C$2)*'Assumptions (NG)'!$D$15+AVERAGE('Assumptions (NG)'!$B$3:$C$3)*'Assumptions (NG)'!$D$16)/10^9),0)</f>
        <v>-2.2585679240213721</v>
      </c>
      <c r="L480" s="105">
        <f>IF($E$421&gt;0,PPMT('Assumptions (NG)'!$V$7,Model!AD$1,'Assumptions (NG)'!$V$10,'Assumptions (NG)'!$V$5*Model!$E$421*(AVERAGE('Assumptions (NG)'!$B$2:$C$2)*'Assumptions (NG)'!$D$15+AVERAGE('Assumptions (NG)'!$B$3:$C$3)*'Assumptions (NG)'!$D$16)/10^9),0)</f>
        <v>-2.4279605183229753</v>
      </c>
      <c r="M480" s="105">
        <f>IF($E$421&gt;0,PPMT('Assumptions (NG)'!$V$7,Model!AE$1,'Assumptions (NG)'!$V$10,'Assumptions (NG)'!$V$5*Model!$E$421*(AVERAGE('Assumptions (NG)'!$B$2:$C$2)*'Assumptions (NG)'!$D$15+AVERAGE('Assumptions (NG)'!$B$3:$C$3)*'Assumptions (NG)'!$D$16)/10^9),0)</f>
        <v>-2.6100575571971985</v>
      </c>
      <c r="N480" s="105">
        <f>IF($E$421&gt;0,PPMT('Assumptions (NG)'!$V$7,Model!AF$1,'Assumptions (NG)'!$V$10,'Assumptions (NG)'!$V$5*Model!$E$421*(AVERAGE('Assumptions (NG)'!$B$2:$C$2)*'Assumptions (NG)'!$D$15+AVERAGE('Assumptions (NG)'!$B$3:$C$3)*'Assumptions (NG)'!$D$16)/10^9),0)</f>
        <v>-2.8058118739869879</v>
      </c>
      <c r="O480" s="105" t="e">
        <f>IF($E$421&gt;0,PPMT('Assumptions (NG)'!$V$7,Model!AG$1,'Assumptions (NG)'!$V$10,'Assumptions (NG)'!$V$5*Model!$E$421*(AVERAGE('Assumptions (NG)'!$B$2:$C$2)*'Assumptions (NG)'!$D$15+AVERAGE('Assumptions (NG)'!$B$3:$C$3)*'Assumptions (NG)'!$D$16)/10^9),0)</f>
        <v>#NUM!</v>
      </c>
      <c r="P480" s="105" t="e">
        <f>IF($E$421&gt;0,PPMT('Assumptions (NG)'!$V$7,Model!AH$1,'Assumptions (NG)'!$V$10,'Assumptions (NG)'!$V$5*Model!$E$421*(AVERAGE('Assumptions (NG)'!$B$2:$C$2)*'Assumptions (NG)'!$D$15+AVERAGE('Assumptions (NG)'!$B$3:$C$3)*'Assumptions (NG)'!$D$16)/10^9),0)</f>
        <v>#NUM!</v>
      </c>
      <c r="Q480" s="105" t="e">
        <f>IF($E$421&gt;0,PPMT('Assumptions (NG)'!$V$7,Model!AI$1,'Assumptions (NG)'!$V$10,'Assumptions (NG)'!$V$5*Model!$E$421*(AVERAGE('Assumptions (NG)'!$B$2:$C$2)*'Assumptions (NG)'!$D$15+AVERAGE('Assumptions (NG)'!$B$3:$C$3)*'Assumptions (NG)'!$D$16)/10^9),0)</f>
        <v>#NUM!</v>
      </c>
      <c r="R480" s="105" t="e">
        <f>IF($E$421&gt;0,PPMT('Assumptions (NG)'!$V$7,Model!AJ$1,'Assumptions (NG)'!$V$10,'Assumptions (NG)'!$V$5*Model!$E$421*(AVERAGE('Assumptions (NG)'!$B$2:$C$2)*'Assumptions (NG)'!$D$15+AVERAGE('Assumptions (NG)'!$B$3:$C$3)*'Assumptions (NG)'!$D$16)/10^9),0)</f>
        <v>#NUM!</v>
      </c>
      <c r="S480" s="105" t="e">
        <f>IF($E$421&gt;0,PPMT('Assumptions (NG)'!$V$7,Model!AK$1,'Assumptions (NG)'!$V$10,'Assumptions (NG)'!$V$5*Model!$E$421*(AVERAGE('Assumptions (NG)'!$B$2:$C$2)*'Assumptions (NG)'!$D$15+AVERAGE('Assumptions (NG)'!$B$3:$C$3)*'Assumptions (NG)'!$D$16)/10^9),0)</f>
        <v>#NUM!</v>
      </c>
      <c r="T480" s="105"/>
      <c r="U480" s="105"/>
      <c r="V480" s="105"/>
      <c r="W480" s="105"/>
      <c r="X480" s="105"/>
      <c r="Y480" s="105"/>
      <c r="Z480" s="105"/>
      <c r="AA480" s="105"/>
      <c r="AB480" s="105"/>
      <c r="AC480" s="105"/>
      <c r="AD480" s="105"/>
      <c r="AE480" s="105"/>
      <c r="AF480" s="105"/>
      <c r="AG480" s="105"/>
      <c r="AU480" s="105"/>
      <c r="AV480" s="105"/>
      <c r="AW480" s="105"/>
      <c r="AX480" s="105"/>
      <c r="AY480" s="105"/>
      <c r="AZ480" s="105"/>
      <c r="BA480" s="105"/>
    </row>
    <row r="481" spans="1:53" ht="15.75" hidden="1" customHeight="1" outlineLevel="1">
      <c r="A481" s="379"/>
      <c r="B481" s="99"/>
      <c r="C481" s="105"/>
      <c r="D481" s="105"/>
      <c r="E481" s="105"/>
      <c r="F481" s="105">
        <f>IF($F$421&gt;0,PPMT('Assumptions (NG)'!$V$7,Model!W$1,'Assumptions (NG)'!$V$10,'Assumptions (NG)'!$V$5*Model!$F$421*('Assumptions (NG)'!$E$15*AVERAGE('Assumptions (NG)'!$B$2:$D$2)+'Assumptions (NG)'!$E$16*AVERAGE('Assumptions (NG)'!$B$3:$D$3))/10^9),0)</f>
        <v>-1.27517643826157</v>
      </c>
      <c r="G481" s="105">
        <f>IF($F$421&gt;0,PPMT('Assumptions (NG)'!$V$7,Model!X$1,'Assumptions (NG)'!$V$10,'Assumptions (NG)'!$V$5*Model!$F$421*('Assumptions (NG)'!$E$15*AVERAGE('Assumptions (NG)'!$B$2:$D$2)+'Assumptions (NG)'!$E$16*AVERAGE('Assumptions (NG)'!$B$3:$D$3))/10^9),0)</f>
        <v>-1.3708146711311879</v>
      </c>
      <c r="H481" s="105">
        <f>IF($F$421&gt;0,PPMT('Assumptions (NG)'!$V$7,Model!Y$1,'Assumptions (NG)'!$V$10,'Assumptions (NG)'!$V$5*Model!$F$421*('Assumptions (NG)'!$E$15*AVERAGE('Assumptions (NG)'!$B$2:$D$2)+'Assumptions (NG)'!$E$16*AVERAGE('Assumptions (NG)'!$B$3:$D$3))/10^9),0)</f>
        <v>-1.4736257714660268</v>
      </c>
      <c r="I481" s="105">
        <f>IF($F$421&gt;0,PPMT('Assumptions (NG)'!$V$7,Model!Z$1,'Assumptions (NG)'!$V$10,'Assumptions (NG)'!$V$5*Model!$F$421*('Assumptions (NG)'!$E$15*AVERAGE('Assumptions (NG)'!$B$2:$D$2)+'Assumptions (NG)'!$E$16*AVERAGE('Assumptions (NG)'!$B$3:$D$3))/10^9),0)</f>
        <v>-1.5841477043259788</v>
      </c>
      <c r="J481" s="105">
        <f>IF($F$421&gt;0,PPMT('Assumptions (NG)'!$V$7,Model!AA$1,'Assumptions (NG)'!$V$10,'Assumptions (NG)'!$V$5*Model!$F$421*('Assumptions (NG)'!$E$15*AVERAGE('Assumptions (NG)'!$B$2:$D$2)+'Assumptions (NG)'!$E$16*AVERAGE('Assumptions (NG)'!$B$3:$D$3))/10^9),0)</f>
        <v>-1.7029587821504273</v>
      </c>
      <c r="K481" s="105">
        <f>IF($F$421&gt;0,PPMT('Assumptions (NG)'!$V$7,Model!AB$1,'Assumptions (NG)'!$V$10,'Assumptions (NG)'!$V$5*Model!$F$421*('Assumptions (NG)'!$E$15*AVERAGE('Assumptions (NG)'!$B$2:$D$2)+'Assumptions (NG)'!$E$16*AVERAGE('Assumptions (NG)'!$B$3:$D$3))/10^9),0)</f>
        <v>-1.8306806908117093</v>
      </c>
      <c r="L481" s="105">
        <f>IF($F$421&gt;0,PPMT('Assumptions (NG)'!$V$7,Model!AC$1,'Assumptions (NG)'!$V$10,'Assumptions (NG)'!$V$5*Model!$F$421*('Assumptions (NG)'!$E$15*AVERAGE('Assumptions (NG)'!$B$2:$D$2)+'Assumptions (NG)'!$E$16*AVERAGE('Assumptions (NG)'!$B$3:$D$3))/10^9),0)</f>
        <v>-1.9679817426225874</v>
      </c>
      <c r="M481" s="105">
        <f>IF($F$421&gt;0,PPMT('Assumptions (NG)'!$V$7,Model!AD$1,'Assumptions (NG)'!$V$10,'Assumptions (NG)'!$V$5*Model!$F$421*('Assumptions (NG)'!$E$15*AVERAGE('Assumptions (NG)'!$B$2:$D$2)+'Assumptions (NG)'!$E$16*AVERAGE('Assumptions (NG)'!$B$3:$D$3))/10^9),0)</f>
        <v>-2.1155803733192817</v>
      </c>
      <c r="N481" s="105">
        <f>IF($F$421&gt;0,PPMT('Assumptions (NG)'!$V$7,Model!AE$1,'Assumptions (NG)'!$V$10,'Assumptions (NG)'!$V$5*Model!$F$421*('Assumptions (NG)'!$E$15*AVERAGE('Assumptions (NG)'!$B$2:$D$2)+'Assumptions (NG)'!$E$16*AVERAGE('Assumptions (NG)'!$B$3:$D$3))/10^9),0)</f>
        <v>-2.2742489013182277</v>
      </c>
      <c r="O481" s="105">
        <f>IF($F$421&gt;0,PPMT('Assumptions (NG)'!$V$7,Model!AF$1,'Assumptions (NG)'!$V$10,'Assumptions (NG)'!$V$5*Model!$F$421*('Assumptions (NG)'!$E$15*AVERAGE('Assumptions (NG)'!$B$2:$D$2)+'Assumptions (NG)'!$E$16*AVERAGE('Assumptions (NG)'!$B$3:$D$3))/10^9),0)</f>
        <v>-2.4448175689170948</v>
      </c>
      <c r="P481" s="105" t="e">
        <f>IF($F$421&gt;0,PPMT('Assumptions (NG)'!$V$7,Model!AG$1,'Assumptions (NG)'!$V$10,'Assumptions (NG)'!$V$5*Model!$F$421*('Assumptions (NG)'!$E$15*AVERAGE('Assumptions (NG)'!$B$2:$D$2)+'Assumptions (NG)'!$E$16*AVERAGE('Assumptions (NG)'!$B$3:$D$3))/10^9),0)</f>
        <v>#NUM!</v>
      </c>
      <c r="Q481" s="105" t="e">
        <f>IF($F$421&gt;0,PPMT('Assumptions (NG)'!$V$7,Model!AH$1,'Assumptions (NG)'!$V$10,'Assumptions (NG)'!$V$5*Model!$F$421*('Assumptions (NG)'!$E$15*AVERAGE('Assumptions (NG)'!$B$2:$D$2)+'Assumptions (NG)'!$E$16*AVERAGE('Assumptions (NG)'!$B$3:$D$3))/10^9),0)</f>
        <v>#NUM!</v>
      </c>
      <c r="R481" s="105" t="e">
        <f>IF($F$421&gt;0,PPMT('Assumptions (NG)'!$V$7,Model!AI$1,'Assumptions (NG)'!$V$10,'Assumptions (NG)'!$V$5*Model!$F$421*('Assumptions (NG)'!$E$15*AVERAGE('Assumptions (NG)'!$B$2:$D$2)+'Assumptions (NG)'!$E$16*AVERAGE('Assumptions (NG)'!$B$3:$D$3))/10^9),0)</f>
        <v>#NUM!</v>
      </c>
      <c r="S481" s="105" t="e">
        <f>IF($F$421&gt;0,PPMT('Assumptions (NG)'!$V$7,Model!AJ$1,'Assumptions (NG)'!$V$10,'Assumptions (NG)'!$V$5*Model!$F$421*('Assumptions (NG)'!$E$15*AVERAGE('Assumptions (NG)'!$B$2:$D$2)+'Assumptions (NG)'!$E$16*AVERAGE('Assumptions (NG)'!$B$3:$D$3))/10^9),0)</f>
        <v>#NUM!</v>
      </c>
      <c r="T481" s="105" t="e">
        <f>IF($F$421&gt;0,PPMT('Assumptions (NG)'!$V$7,Model!AK$1,'Assumptions (NG)'!$V$10,'Assumptions (NG)'!$V$5*Model!$F$421*('Assumptions (NG)'!$E$15*AVERAGE('Assumptions (NG)'!$B$2:$D$2)+'Assumptions (NG)'!$E$16*AVERAGE('Assumptions (NG)'!$B$3:$D$3))/10^9),0)</f>
        <v>#NUM!</v>
      </c>
      <c r="U481" s="105"/>
      <c r="V481" s="105"/>
      <c r="W481" s="105"/>
      <c r="X481" s="105"/>
      <c r="Y481" s="105"/>
      <c r="Z481" s="105"/>
      <c r="AA481" s="105"/>
      <c r="AB481" s="105"/>
      <c r="AC481" s="105"/>
      <c r="AD481" s="105"/>
      <c r="AE481" s="105"/>
      <c r="AF481" s="105"/>
      <c r="AG481" s="105"/>
      <c r="AU481" s="105"/>
      <c r="AV481" s="105"/>
      <c r="AW481" s="105"/>
      <c r="AX481" s="105"/>
      <c r="AY481" s="105"/>
      <c r="AZ481" s="105"/>
      <c r="BA481" s="105"/>
    </row>
    <row r="482" spans="1:53" ht="15.75" hidden="1" customHeight="1" outlineLevel="1">
      <c r="A482" s="379"/>
      <c r="B482" s="99"/>
      <c r="C482" s="105"/>
      <c r="D482" s="105"/>
      <c r="E482" s="105"/>
      <c r="F482" s="105"/>
      <c r="G482" s="105">
        <f>IF($G$421&gt;0,PPMT('Assumptions (NG)'!$V$7,Model!W$1,'Assumptions (NG)'!$V$10,'Assumptions (NG)'!$V$5*Model!$G$421*('Assumptions (NG)'!$F$15*AVERAGE('Assumptions (NG)'!$C$2:$E$2)+'Assumptions (NG)'!$F$16*AVERAGE('Assumptions (NG)'!$C$3:$E$3))/10^9),0)</f>
        <v>-0.62839852195472867</v>
      </c>
      <c r="H482" s="105">
        <f>IF($G$421&gt;0,PPMT('Assumptions (NG)'!$V$7,Model!X$1,'Assumptions (NG)'!$V$10,'Assumptions (NG)'!$V$5*Model!$G$421*('Assumptions (NG)'!$F$15*AVERAGE('Assumptions (NG)'!$C$2:$E$2)+'Assumptions (NG)'!$F$16*AVERAGE('Assumptions (NG)'!$C$3:$E$3))/10^9),0)</f>
        <v>-0.67552841110133333</v>
      </c>
      <c r="I482" s="105">
        <f>IF($G$421&gt;0,PPMT('Assumptions (NG)'!$V$7,Model!Y$1,'Assumptions (NG)'!$V$10,'Assumptions (NG)'!$V$5*Model!$G$421*('Assumptions (NG)'!$F$15*AVERAGE('Assumptions (NG)'!$C$2:$E$2)+'Assumptions (NG)'!$F$16*AVERAGE('Assumptions (NG)'!$C$3:$E$3))/10^9),0)</f>
        <v>-0.7261930419339333</v>
      </c>
      <c r="J482" s="105">
        <f>IF($G$421&gt;0,PPMT('Assumptions (NG)'!$V$7,Model!Z$1,'Assumptions (NG)'!$V$10,'Assumptions (NG)'!$V$5*Model!$G$421*('Assumptions (NG)'!$F$15*AVERAGE('Assumptions (NG)'!$C$2:$E$2)+'Assumptions (NG)'!$F$16*AVERAGE('Assumptions (NG)'!$C$3:$E$3))/10^9),0)</f>
        <v>-0.78065752007897837</v>
      </c>
      <c r="K482" s="105">
        <f>IF($G$421&gt;0,PPMT('Assumptions (NG)'!$V$7,Model!AA$1,'Assumptions (NG)'!$V$10,'Assumptions (NG)'!$V$5*Model!$G$421*('Assumptions (NG)'!$F$15*AVERAGE('Assumptions (NG)'!$C$2:$E$2)+'Assumptions (NG)'!$F$16*AVERAGE('Assumptions (NG)'!$C$3:$E$3))/10^9),0)</f>
        <v>-0.83920683408490171</v>
      </c>
      <c r="L482" s="105">
        <f>IF($G$421&gt;0,PPMT('Assumptions (NG)'!$V$7,Model!AB$1,'Assumptions (NG)'!$V$10,'Assumptions (NG)'!$V$5*Model!$G$421*('Assumptions (NG)'!$F$15*AVERAGE('Assumptions (NG)'!$C$2:$E$2)+'Assumptions (NG)'!$F$16*AVERAGE('Assumptions (NG)'!$C$3:$E$3))/10^9),0)</f>
        <v>-0.90214734664126917</v>
      </c>
      <c r="M482" s="105">
        <f>IF($G$421&gt;0,PPMT('Assumptions (NG)'!$V$7,Model!AC$1,'Assumptions (NG)'!$V$10,'Assumptions (NG)'!$V$5*Model!$G$421*('Assumptions (NG)'!$F$15*AVERAGE('Assumptions (NG)'!$C$2:$E$2)+'Assumptions (NG)'!$F$16*AVERAGE('Assumptions (NG)'!$C$3:$E$3))/10^9),0)</f>
        <v>-0.96980839763936444</v>
      </c>
      <c r="N482" s="105">
        <f>IF($G$421&gt;0,PPMT('Assumptions (NG)'!$V$7,Model!AD$1,'Assumptions (NG)'!$V$10,'Assumptions (NG)'!$V$5*Model!$G$421*('Assumptions (NG)'!$F$15*AVERAGE('Assumptions (NG)'!$C$2:$E$2)+'Assumptions (NG)'!$F$16*AVERAGE('Assumptions (NG)'!$C$3:$E$3))/10^9),0)</f>
        <v>-1.0425440274623168</v>
      </c>
      <c r="O482" s="105">
        <f>IF($G$421&gt;0,PPMT('Assumptions (NG)'!$V$7,Model!AE$1,'Assumptions (NG)'!$V$10,'Assumptions (NG)'!$V$5*Model!$G$421*('Assumptions (NG)'!$F$15*AVERAGE('Assumptions (NG)'!$C$2:$E$2)+'Assumptions (NG)'!$F$16*AVERAGE('Assumptions (NG)'!$C$3:$E$3))/10^9),0)</f>
        <v>-1.1207348295219908</v>
      </c>
      <c r="P482" s="105">
        <f>IF($G$421&gt;0,PPMT('Assumptions (NG)'!$V$7,Model!AF$1,'Assumptions (NG)'!$V$10,'Assumptions (NG)'!$V$5*Model!$G$421*('Assumptions (NG)'!$F$15*AVERAGE('Assumptions (NG)'!$C$2:$E$2)+'Assumptions (NG)'!$F$16*AVERAGE('Assumptions (NG)'!$C$3:$E$3))/10^9),0)</f>
        <v>-1.2047899417361398</v>
      </c>
      <c r="Q482" s="105" t="e">
        <f>IF($G$421&gt;0,PPMT('Assumptions (NG)'!$V$7,Model!AG$1,'Assumptions (NG)'!$V$10,'Assumptions (NG)'!$V$5*Model!$G$421*('Assumptions (NG)'!$F$15*AVERAGE('Assumptions (NG)'!$C$2:$E$2)+'Assumptions (NG)'!$F$16*AVERAGE('Assumptions (NG)'!$C$3:$E$3))/10^9),0)</f>
        <v>#NUM!</v>
      </c>
      <c r="R482" s="105" t="e">
        <f>IF($G$421&gt;0,PPMT('Assumptions (NG)'!$V$7,Model!AH$1,'Assumptions (NG)'!$V$10,'Assumptions (NG)'!$V$5*Model!$G$421*('Assumptions (NG)'!$F$15*AVERAGE('Assumptions (NG)'!$C$2:$E$2)+'Assumptions (NG)'!$F$16*AVERAGE('Assumptions (NG)'!$C$3:$E$3))/10^9),0)</f>
        <v>#NUM!</v>
      </c>
      <c r="S482" s="105" t="e">
        <f>IF($G$421&gt;0,PPMT('Assumptions (NG)'!$V$7,Model!AI$1,'Assumptions (NG)'!$V$10,'Assumptions (NG)'!$V$5*Model!$G$421*('Assumptions (NG)'!$F$15*AVERAGE('Assumptions (NG)'!$C$2:$E$2)+'Assumptions (NG)'!$F$16*AVERAGE('Assumptions (NG)'!$C$3:$E$3))/10^9),0)</f>
        <v>#NUM!</v>
      </c>
      <c r="T482" s="105" t="e">
        <f>IF($G$421&gt;0,PPMT('Assumptions (NG)'!$V$7,Model!AJ$1,'Assumptions (NG)'!$V$10,'Assumptions (NG)'!$V$5*Model!$G$421*('Assumptions (NG)'!$F$15*AVERAGE('Assumptions (NG)'!$C$2:$E$2)+'Assumptions (NG)'!$F$16*AVERAGE('Assumptions (NG)'!$C$3:$E$3))/10^9),0)</f>
        <v>#NUM!</v>
      </c>
      <c r="U482" s="105" t="e">
        <f>IF($G$421&gt;0,PPMT('Assumptions (NG)'!$V$7,Model!AK$1,'Assumptions (NG)'!$V$10,'Assumptions (NG)'!$V$5*Model!$G$421*('Assumptions (NG)'!$F$15*AVERAGE('Assumptions (NG)'!$C$2:$E$2)+'Assumptions (NG)'!$F$16*AVERAGE('Assumptions (NG)'!$C$3:$E$3))/10^9),0)</f>
        <v>#NUM!</v>
      </c>
      <c r="V482" s="105"/>
      <c r="W482" s="105"/>
      <c r="X482" s="105"/>
      <c r="Y482" s="105"/>
      <c r="Z482" s="105"/>
      <c r="AA482" s="105"/>
      <c r="AB482" s="105"/>
      <c r="AC482" s="105"/>
      <c r="AD482" s="105"/>
      <c r="AE482" s="105"/>
      <c r="AF482" s="105"/>
      <c r="AG482" s="105"/>
      <c r="AU482" s="105"/>
      <c r="AV482" s="105"/>
      <c r="AW482" s="105"/>
      <c r="AX482" s="105"/>
      <c r="AY482" s="105"/>
      <c r="AZ482" s="105"/>
      <c r="BA482" s="105"/>
    </row>
    <row r="483" spans="1:53" ht="15.75" hidden="1" customHeight="1" outlineLevel="1">
      <c r="A483" s="379"/>
      <c r="B483" s="99"/>
      <c r="C483" s="105"/>
      <c r="D483" s="105"/>
      <c r="E483" s="105"/>
      <c r="F483" s="105"/>
      <c r="G483" s="105"/>
      <c r="H483" s="105">
        <f>IF($H$421&gt;0,PPMT('Assumptions (NG)'!$V$7,Model!W$1,'Assumptions (NG)'!$V$10,'Assumptions (NG)'!$V$5*Model!$H$421*('Assumptions (NG)'!$G$15*AVERAGE('Assumptions (NG)'!$D$2:$F$2)+'Assumptions (NG)'!$G$16*AVERAGE('Assumptions (NG)'!$D$3:$F$3))/10^9),0)</f>
        <v>-0.45339137741908531</v>
      </c>
      <c r="I483" s="105">
        <f>IF($H$421&gt;0,PPMT('Assumptions (NG)'!$V$7,Model!X$1,'Assumptions (NG)'!$V$10,'Assumptions (NG)'!$V$5*Model!$H$421*('Assumptions (NG)'!$G$15*AVERAGE('Assumptions (NG)'!$D$2:$F$2)+'Assumptions (NG)'!$G$16*AVERAGE('Assumptions (NG)'!$D$3:$F$3))/10^9),0)</f>
        <v>-0.48739573072551667</v>
      </c>
      <c r="J483" s="105">
        <f>IF($H$421&gt;0,PPMT('Assumptions (NG)'!$V$7,Model!Y$1,'Assumptions (NG)'!$V$10,'Assumptions (NG)'!$V$5*Model!$H$421*('Assumptions (NG)'!$G$15*AVERAGE('Assumptions (NG)'!$D$2:$F$2)+'Assumptions (NG)'!$G$16*AVERAGE('Assumptions (NG)'!$D$3:$F$3))/10^9),0)</f>
        <v>-0.52395041052993041</v>
      </c>
      <c r="K483" s="105">
        <f>IF($H$421&gt;0,PPMT('Assumptions (NG)'!$V$7,Model!Z$1,'Assumptions (NG)'!$V$10,'Assumptions (NG)'!$V$5*Model!$H$421*('Assumptions (NG)'!$G$15*AVERAGE('Assumptions (NG)'!$D$2:$F$2)+'Assumptions (NG)'!$G$16*AVERAGE('Assumptions (NG)'!$D$3:$F$3))/10^9),0)</f>
        <v>-0.5632466913196752</v>
      </c>
      <c r="L483" s="105">
        <f>IF($H$421&gt;0,PPMT('Assumptions (NG)'!$V$7,Model!AA$1,'Assumptions (NG)'!$V$10,'Assumptions (NG)'!$V$5*Model!$H$421*('Assumptions (NG)'!$G$15*AVERAGE('Assumptions (NG)'!$D$2:$F$2)+'Assumptions (NG)'!$G$16*AVERAGE('Assumptions (NG)'!$D$3:$F$3))/10^9),0)</f>
        <v>-0.60549019316865094</v>
      </c>
      <c r="M483" s="105">
        <f>IF($H$421&gt;0,PPMT('Assumptions (NG)'!$V$7,Model!AB$1,'Assumptions (NG)'!$V$10,'Assumptions (NG)'!$V$5*Model!$H$421*('Assumptions (NG)'!$G$15*AVERAGE('Assumptions (NG)'!$D$2:$F$2)+'Assumptions (NG)'!$G$16*AVERAGE('Assumptions (NG)'!$D$3:$F$3))/10^9),0)</f>
        <v>-0.65090195765629955</v>
      </c>
      <c r="N483" s="105">
        <f>IF($H$421&gt;0,PPMT('Assumptions (NG)'!$V$7,Model!AC$1,'Assumptions (NG)'!$V$10,'Assumptions (NG)'!$V$5*Model!$H$421*('Assumptions (NG)'!$G$15*AVERAGE('Assumptions (NG)'!$D$2:$F$2)+'Assumptions (NG)'!$G$16*AVERAGE('Assumptions (NG)'!$D$3:$F$3))/10^9),0)</f>
        <v>-0.69971960448052206</v>
      </c>
      <c r="O483" s="105">
        <f>IF($H$421&gt;0,PPMT('Assumptions (NG)'!$V$7,Model!AD$1,'Assumptions (NG)'!$V$10,'Assumptions (NG)'!$V$5*Model!$H$421*('Assumptions (NG)'!$G$15*AVERAGE('Assumptions (NG)'!$D$2:$F$2)+'Assumptions (NG)'!$G$16*AVERAGE('Assumptions (NG)'!$D$3:$F$3))/10^9),0)</f>
        <v>-0.75219857481656127</v>
      </c>
      <c r="P483" s="105">
        <f>IF($H$421&gt;0,PPMT('Assumptions (NG)'!$V$7,Model!AE$1,'Assumptions (NG)'!$V$10,'Assumptions (NG)'!$V$5*Model!$H$421*('Assumptions (NG)'!$G$15*AVERAGE('Assumptions (NG)'!$D$2:$F$2)+'Assumptions (NG)'!$G$16*AVERAGE('Assumptions (NG)'!$D$3:$F$3))/10^9),0)</f>
        <v>-0.80861346792780342</v>
      </c>
      <c r="Q483" s="105">
        <f>IF($H$421&gt;0,PPMT('Assumptions (NG)'!$V$7,Model!AF$1,'Assumptions (NG)'!$V$10,'Assumptions (NG)'!$V$5*Model!$H$421*('Assumptions (NG)'!$G$15*AVERAGE('Assumptions (NG)'!$D$2:$F$2)+'Assumptions (NG)'!$G$16*AVERAGE('Assumptions (NG)'!$D$3:$F$3))/10^9),0)</f>
        <v>-0.86925947802238868</v>
      </c>
      <c r="R483" s="105" t="e">
        <f>IF($H$421&gt;0,PPMT('Assumptions (NG)'!$V$7,Model!AG$1,'Assumptions (NG)'!$V$10,'Assumptions (NG)'!$V$5*Model!$H$421*('Assumptions (NG)'!$G$15*AVERAGE('Assumptions (NG)'!$D$2:$F$2)+'Assumptions (NG)'!$G$16*AVERAGE('Assumptions (NG)'!$D$3:$F$3))/10^9),0)</f>
        <v>#NUM!</v>
      </c>
      <c r="S483" s="105" t="e">
        <f>IF($H$421&gt;0,PPMT('Assumptions (NG)'!$V$7,Model!AH$1,'Assumptions (NG)'!$V$10,'Assumptions (NG)'!$V$5*Model!$H$421*('Assumptions (NG)'!$G$15*AVERAGE('Assumptions (NG)'!$D$2:$F$2)+'Assumptions (NG)'!$G$16*AVERAGE('Assumptions (NG)'!$D$3:$F$3))/10^9),0)</f>
        <v>#NUM!</v>
      </c>
      <c r="T483" s="105" t="e">
        <f>IF($H$421&gt;0,PPMT('Assumptions (NG)'!$V$7,Model!AI$1,'Assumptions (NG)'!$V$10,'Assumptions (NG)'!$V$5*Model!$H$421*('Assumptions (NG)'!$G$15*AVERAGE('Assumptions (NG)'!$D$2:$F$2)+'Assumptions (NG)'!$G$16*AVERAGE('Assumptions (NG)'!$D$3:$F$3))/10^9),0)</f>
        <v>#NUM!</v>
      </c>
      <c r="U483" s="105" t="e">
        <f>IF($H$421&gt;0,PPMT('Assumptions (NG)'!$V$7,Model!AJ$1,'Assumptions (NG)'!$V$10,'Assumptions (NG)'!$V$5*Model!$H$421*('Assumptions (NG)'!$G$15*AVERAGE('Assumptions (NG)'!$D$2:$F$2)+'Assumptions (NG)'!$G$16*AVERAGE('Assumptions (NG)'!$D$3:$F$3))/10^9),0)</f>
        <v>#NUM!</v>
      </c>
      <c r="V483" s="105" t="e">
        <f>IF($H$421&gt;0,PPMT('Assumptions (NG)'!$V$7,Model!AK$1,'Assumptions (NG)'!$V$10,'Assumptions (NG)'!$V$5*Model!$H$421*('Assumptions (NG)'!$G$15*AVERAGE('Assumptions (NG)'!$D$2:$F$2)+'Assumptions (NG)'!$G$16*AVERAGE('Assumptions (NG)'!$D$3:$F$3))/10^9),0)</f>
        <v>#NUM!</v>
      </c>
      <c r="W483" s="105"/>
      <c r="X483" s="105"/>
      <c r="Y483" s="105"/>
      <c r="Z483" s="105"/>
      <c r="AA483" s="105"/>
      <c r="AB483" s="105"/>
      <c r="AC483" s="105"/>
      <c r="AD483" s="105"/>
      <c r="AE483" s="105"/>
      <c r="AF483" s="105"/>
      <c r="AG483" s="105"/>
      <c r="AU483" s="105"/>
      <c r="AV483" s="105"/>
      <c r="AW483" s="105"/>
      <c r="AX483" s="105"/>
      <c r="AY483" s="105"/>
      <c r="AZ483" s="105"/>
      <c r="BA483" s="105"/>
    </row>
    <row r="484" spans="1:53" ht="15.75" hidden="1" customHeight="1" outlineLevel="1">
      <c r="A484" s="379"/>
      <c r="B484" s="99"/>
      <c r="C484" s="105"/>
      <c r="D484" s="105"/>
      <c r="E484" s="105"/>
      <c r="F484" s="105"/>
      <c r="G484" s="105"/>
      <c r="H484" s="105"/>
      <c r="I484" s="105">
        <f>IF($I$421&gt;0,PPMT('Assumptions (NG)'!$V$7,Model!W$1,'Assumptions (NG)'!$V$10,'Assumptions (NG)'!$V$5*Model!$I$421*('Assumptions (NG)'!$H$15*AVERAGE('Assumptions (NG)'!$E$2:$G$2)+'Assumptions (NG)'!$H$16*AVERAGE('Assumptions (NG)'!$E$3:$G$3))/10^9),0)</f>
        <v>-0.26804628788048018</v>
      </c>
      <c r="J484" s="105">
        <f>IF($I$421&gt;0,PPMT('Assumptions (NG)'!$V$7,Model!X$1,'Assumptions (NG)'!$V$10,'Assumptions (NG)'!$V$5*Model!$I$421*('Assumptions (NG)'!$H$15*AVERAGE('Assumptions (NG)'!$E$2:$G$2)+'Assumptions (NG)'!$H$16*AVERAGE('Assumptions (NG)'!$E$3:$G$3))/10^9),0)</f>
        <v>-0.28814975947151622</v>
      </c>
      <c r="K484" s="105">
        <f>IF($I$421&gt;0,PPMT('Assumptions (NG)'!$V$7,Model!Y$1,'Assumptions (NG)'!$V$10,'Assumptions (NG)'!$V$5*Model!$I$421*('Assumptions (NG)'!$H$15*AVERAGE('Assumptions (NG)'!$E$2:$G$2)+'Assumptions (NG)'!$H$16*AVERAGE('Assumptions (NG)'!$E$3:$G$3))/10^9),0)</f>
        <v>-0.30976099143187991</v>
      </c>
      <c r="L484" s="105">
        <f>IF($I$421&gt;0,PPMT('Assumptions (NG)'!$V$7,Model!Z$1,'Assumptions (NG)'!$V$10,'Assumptions (NG)'!$V$5*Model!$I$421*('Assumptions (NG)'!$H$15*AVERAGE('Assumptions (NG)'!$E$2:$G$2)+'Assumptions (NG)'!$H$16*AVERAGE('Assumptions (NG)'!$E$3:$G$3))/10^9),0)</f>
        <v>-0.33299306578927096</v>
      </c>
      <c r="M484" s="105">
        <f>IF($I$421&gt;0,PPMT('Assumptions (NG)'!$V$7,Model!AA$1,'Assumptions (NG)'!$V$10,'Assumptions (NG)'!$V$5*Model!$I$421*('Assumptions (NG)'!$H$15*AVERAGE('Assumptions (NG)'!$E$2:$G$2)+'Assumptions (NG)'!$H$16*AVERAGE('Assumptions (NG)'!$E$3:$G$3))/10^9),0)</f>
        <v>-0.35796754572346628</v>
      </c>
      <c r="N484" s="105">
        <f>IF($I$421&gt;0,PPMT('Assumptions (NG)'!$V$7,Model!AB$1,'Assumptions (NG)'!$V$10,'Assumptions (NG)'!$V$5*Model!$I$421*('Assumptions (NG)'!$H$15*AVERAGE('Assumptions (NG)'!$E$2:$G$2)+'Assumptions (NG)'!$H$16*AVERAGE('Assumptions (NG)'!$E$3:$G$3))/10^9),0)</f>
        <v>-0.38481511165272619</v>
      </c>
      <c r="O484" s="105">
        <f>IF($I$421&gt;0,PPMT('Assumptions (NG)'!$V$7,Model!AC$1,'Assumptions (NG)'!$V$10,'Assumptions (NG)'!$V$5*Model!$I$421*('Assumptions (NG)'!$H$15*AVERAGE('Assumptions (NG)'!$E$2:$G$2)+'Assumptions (NG)'!$H$16*AVERAGE('Assumptions (NG)'!$E$3:$G$3))/10^9),0)</f>
        <v>-0.41367624502668066</v>
      </c>
      <c r="P484" s="105">
        <f>IF($I$421&gt;0,PPMT('Assumptions (NG)'!$V$7,Model!AD$1,'Assumptions (NG)'!$V$10,'Assumptions (NG)'!$V$5*Model!$I$421*('Assumptions (NG)'!$H$15*AVERAGE('Assumptions (NG)'!$E$2:$G$2)+'Assumptions (NG)'!$H$16*AVERAGE('Assumptions (NG)'!$E$3:$G$3))/10^9),0)</f>
        <v>-0.44470196340368173</v>
      </c>
      <c r="Q484" s="105">
        <f>IF($I$421&gt;0,PPMT('Assumptions (NG)'!$V$7,Model!AE$1,'Assumptions (NG)'!$V$10,'Assumptions (NG)'!$V$5*Model!$I$421*('Assumptions (NG)'!$H$15*AVERAGE('Assumptions (NG)'!$E$2:$G$2)+'Assumptions (NG)'!$H$16*AVERAGE('Assumptions (NG)'!$E$3:$G$3))/10^9),0)</f>
        <v>-0.47805461065895793</v>
      </c>
      <c r="R484" s="105">
        <f>IF($I$421&gt;0,PPMT('Assumptions (NG)'!$V$7,Model!AF$1,'Assumptions (NG)'!$V$10,'Assumptions (NG)'!$V$5*Model!$I$421*('Assumptions (NG)'!$H$15*AVERAGE('Assumptions (NG)'!$E$2:$G$2)+'Assumptions (NG)'!$H$16*AVERAGE('Assumptions (NG)'!$E$3:$G$3))/10^9),0)</f>
        <v>-0.51390870645837972</v>
      </c>
      <c r="S484" s="105" t="e">
        <f>IF($I$421&gt;0,PPMT('Assumptions (NG)'!$V$7,Model!AG$1,'Assumptions (NG)'!$V$10,'Assumptions (NG)'!$V$5*Model!$I$421*('Assumptions (NG)'!$H$15*AVERAGE('Assumptions (NG)'!$E$2:$G$2)+'Assumptions (NG)'!$H$16*AVERAGE('Assumptions (NG)'!$E$3:$G$3))/10^9),0)</f>
        <v>#NUM!</v>
      </c>
      <c r="T484" s="105" t="e">
        <f>IF($I$421&gt;0,PPMT('Assumptions (NG)'!$V$7,Model!AH$1,'Assumptions (NG)'!$V$10,'Assumptions (NG)'!$V$5*Model!$I$421*('Assumptions (NG)'!$H$15*AVERAGE('Assumptions (NG)'!$E$2:$G$2)+'Assumptions (NG)'!$H$16*AVERAGE('Assumptions (NG)'!$E$3:$G$3))/10^9),0)</f>
        <v>#NUM!</v>
      </c>
      <c r="U484" s="105" t="e">
        <f>IF($I$421&gt;0,PPMT('Assumptions (NG)'!$V$7,Model!AI$1,'Assumptions (NG)'!$V$10,'Assumptions (NG)'!$V$5*Model!$I$421*('Assumptions (NG)'!$H$15*AVERAGE('Assumptions (NG)'!$E$2:$G$2)+'Assumptions (NG)'!$H$16*AVERAGE('Assumptions (NG)'!$E$3:$G$3))/10^9),0)</f>
        <v>#NUM!</v>
      </c>
      <c r="V484" s="105" t="e">
        <f>IF($I$421&gt;0,PPMT('Assumptions (NG)'!$V$7,Model!AJ$1,'Assumptions (NG)'!$V$10,'Assumptions (NG)'!$V$5*Model!$I$421*('Assumptions (NG)'!$H$15*AVERAGE('Assumptions (NG)'!$E$2:$G$2)+'Assumptions (NG)'!$H$16*AVERAGE('Assumptions (NG)'!$E$3:$G$3))/10^9),0)</f>
        <v>#NUM!</v>
      </c>
      <c r="W484" s="105" t="e">
        <f>IF($I$421&gt;0,PPMT('Assumptions (NG)'!$V$7,Model!AK$1,'Assumptions (NG)'!$V$10,'Assumptions (NG)'!$V$5*Model!$I$421*('Assumptions (NG)'!$H$15*AVERAGE('Assumptions (NG)'!$E$2:$G$2)+'Assumptions (NG)'!$H$16*AVERAGE('Assumptions (NG)'!$E$3:$G$3))/10^9),0)</f>
        <v>#NUM!</v>
      </c>
      <c r="X484" s="105"/>
      <c r="Y484" s="105"/>
      <c r="Z484" s="105"/>
      <c r="AA484" s="105"/>
      <c r="AB484" s="105"/>
      <c r="AC484" s="105"/>
      <c r="AD484" s="105"/>
      <c r="AE484" s="105"/>
      <c r="AF484" s="105"/>
      <c r="AG484" s="105"/>
      <c r="AU484" s="105"/>
      <c r="AV484" s="105"/>
      <c r="AW484" s="105"/>
      <c r="AX484" s="105"/>
      <c r="AY484" s="105"/>
      <c r="AZ484" s="105"/>
      <c r="BA484" s="105"/>
    </row>
    <row r="485" spans="1:53" ht="15.75" hidden="1" customHeight="1" outlineLevel="1">
      <c r="A485" s="379"/>
      <c r="B485" s="99"/>
      <c r="C485" s="105"/>
      <c r="D485" s="105"/>
      <c r="E485" s="105"/>
      <c r="F485" s="105"/>
      <c r="G485" s="105"/>
      <c r="H485" s="105"/>
      <c r="I485" s="105"/>
      <c r="J485" s="105">
        <f>IF($J$421&gt;0,PPMT('Assumptions (NG)'!$V$7,Model!W$1,'Assumptions (NG)'!$V$10,'Assumptions (NG)'!$V$5*Model!$J$421*('Assumptions (NG)'!$I$15*AVERAGE('Assumptions (NG)'!$F$2:$H$2)+'Assumptions (NG)'!$I$16*AVERAGE('Assumptions (NG)'!$F$3:$H$3))/10^9),0)</f>
        <v>-0.20362926149562918</v>
      </c>
      <c r="K485" s="105">
        <f>IF($J$421&gt;0,PPMT('Assumptions (NG)'!$V$7,Model!X$1,'Assumptions (NG)'!$V$10,'Assumptions (NG)'!$V$5*Model!$J$421*('Assumptions (NG)'!$I$15*AVERAGE('Assumptions (NG)'!$F$2:$H$2)+'Assumptions (NG)'!$I$16*AVERAGE('Assumptions (NG)'!$F$3:$H$3))/10^9),0)</f>
        <v>-0.21890145610780137</v>
      </c>
      <c r="L485" s="105">
        <f>IF($J$421&gt;0,PPMT('Assumptions (NG)'!$V$7,Model!Y$1,'Assumptions (NG)'!$V$10,'Assumptions (NG)'!$V$5*Model!$J$421*('Assumptions (NG)'!$I$15*AVERAGE('Assumptions (NG)'!$F$2:$H$2)+'Assumptions (NG)'!$I$16*AVERAGE('Assumptions (NG)'!$F$3:$H$3))/10^9),0)</f>
        <v>-0.23531906531588645</v>
      </c>
      <c r="M485" s="105">
        <f>IF($J$421&gt;0,PPMT('Assumptions (NG)'!$V$7,Model!Z$1,'Assumptions (NG)'!$V$10,'Assumptions (NG)'!$V$5*Model!$J$421*('Assumptions (NG)'!$I$15*AVERAGE('Assumptions (NG)'!$F$2:$H$2)+'Assumptions (NG)'!$I$16*AVERAGE('Assumptions (NG)'!$F$3:$H$3))/10^9),0)</f>
        <v>-0.25296799521457797</v>
      </c>
      <c r="N485" s="105">
        <f>IF($J$421&gt;0,PPMT('Assumptions (NG)'!$V$7,Model!AA$1,'Assumptions (NG)'!$V$10,'Assumptions (NG)'!$V$5*Model!$J$421*('Assumptions (NG)'!$I$15*AVERAGE('Assumptions (NG)'!$F$2:$H$2)+'Assumptions (NG)'!$I$16*AVERAGE('Assumptions (NG)'!$F$3:$H$3))/10^9),0)</f>
        <v>-0.27194059485567129</v>
      </c>
      <c r="O485" s="105">
        <f>IF($J$421&gt;0,PPMT('Assumptions (NG)'!$V$7,Model!AB$1,'Assumptions (NG)'!$V$10,'Assumptions (NG)'!$V$5*Model!$J$421*('Assumptions (NG)'!$I$15*AVERAGE('Assumptions (NG)'!$F$2:$H$2)+'Assumptions (NG)'!$I$16*AVERAGE('Assumptions (NG)'!$F$3:$H$3))/10^9),0)</f>
        <v>-0.2923361394698466</v>
      </c>
      <c r="P485" s="105">
        <f>IF($J$421&gt;0,PPMT('Assumptions (NG)'!$V$7,Model!AC$1,'Assumptions (NG)'!$V$10,'Assumptions (NG)'!$V$5*Model!$J$421*('Assumptions (NG)'!$I$15*AVERAGE('Assumptions (NG)'!$F$2:$H$2)+'Assumptions (NG)'!$I$16*AVERAGE('Assumptions (NG)'!$F$3:$H$3))/10^9),0)</f>
        <v>-0.31426134993008514</v>
      </c>
      <c r="Q485" s="105">
        <f>IF($J$421&gt;0,PPMT('Assumptions (NG)'!$V$7,Model!AD$1,'Assumptions (NG)'!$V$10,'Assumptions (NG)'!$V$5*Model!$J$421*('Assumptions (NG)'!$I$15*AVERAGE('Assumptions (NG)'!$F$2:$H$2)+'Assumptions (NG)'!$I$16*AVERAGE('Assumptions (NG)'!$F$3:$H$3))/10^9),0)</f>
        <v>-0.33783095117484152</v>
      </c>
      <c r="R485" s="105">
        <f>IF($J$421&gt;0,PPMT('Assumptions (NG)'!$V$7,Model!AE$1,'Assumptions (NG)'!$V$10,'Assumptions (NG)'!$V$5*Model!$J$421*('Assumptions (NG)'!$I$15*AVERAGE('Assumptions (NG)'!$F$2:$H$2)+'Assumptions (NG)'!$I$16*AVERAGE('Assumptions (NG)'!$F$3:$H$3))/10^9),0)</f>
        <v>-0.36316827251295469</v>
      </c>
      <c r="S485" s="105">
        <f>IF($J$421&gt;0,PPMT('Assumptions (NG)'!$V$7,Model!AF$1,'Assumptions (NG)'!$V$10,'Assumptions (NG)'!$V$5*Model!$J$421*('Assumptions (NG)'!$I$15*AVERAGE('Assumptions (NG)'!$F$2:$H$2)+'Assumptions (NG)'!$I$16*AVERAGE('Assumptions (NG)'!$F$3:$H$3))/10^9),0)</f>
        <v>-0.39040589295142625</v>
      </c>
      <c r="T485" s="105" t="e">
        <f>IF($J$421&gt;0,PPMT('Assumptions (NG)'!$V$7,Model!AG$1,'Assumptions (NG)'!$V$10,'Assumptions (NG)'!$V$5*Model!$J$421*('Assumptions (NG)'!$I$15*AVERAGE('Assumptions (NG)'!$F$2:$H$2)+'Assumptions (NG)'!$I$16*AVERAGE('Assumptions (NG)'!$F$3:$H$3))/10^9),0)</f>
        <v>#NUM!</v>
      </c>
      <c r="U485" s="105" t="e">
        <f>IF($J$421&gt;0,PPMT('Assumptions (NG)'!$V$7,Model!AH$1,'Assumptions (NG)'!$V$10,'Assumptions (NG)'!$V$5*Model!$J$421*('Assumptions (NG)'!$I$15*AVERAGE('Assumptions (NG)'!$F$2:$H$2)+'Assumptions (NG)'!$I$16*AVERAGE('Assumptions (NG)'!$F$3:$H$3))/10^9),0)</f>
        <v>#NUM!</v>
      </c>
      <c r="V485" s="105" t="e">
        <f>IF($J$421&gt;0,PPMT('Assumptions (NG)'!$V$7,Model!AI$1,'Assumptions (NG)'!$V$10,'Assumptions (NG)'!$V$5*Model!$J$421*('Assumptions (NG)'!$I$15*AVERAGE('Assumptions (NG)'!$F$2:$H$2)+'Assumptions (NG)'!$I$16*AVERAGE('Assumptions (NG)'!$F$3:$H$3))/10^9),0)</f>
        <v>#NUM!</v>
      </c>
      <c r="W485" s="105" t="e">
        <f>IF($J$421&gt;0,PPMT('Assumptions (NG)'!$V$7,Model!AJ$1,'Assumptions (NG)'!$V$10,'Assumptions (NG)'!$V$5*Model!$J$421*('Assumptions (NG)'!$I$15*AVERAGE('Assumptions (NG)'!$F$2:$H$2)+'Assumptions (NG)'!$I$16*AVERAGE('Assumptions (NG)'!$F$3:$H$3))/10^9),0)</f>
        <v>#NUM!</v>
      </c>
      <c r="X485" s="105" t="e">
        <f>IF($J$421&gt;0,PPMT('Assumptions (NG)'!$V$7,Model!AK$1,'Assumptions (NG)'!$V$10,'Assumptions (NG)'!$V$5*Model!$J$421*('Assumptions (NG)'!$I$15*AVERAGE('Assumptions (NG)'!$F$2:$H$2)+'Assumptions (NG)'!$I$16*AVERAGE('Assumptions (NG)'!$F$3:$H$3))/10^9),0)</f>
        <v>#NUM!</v>
      </c>
      <c r="Y485" s="105"/>
      <c r="Z485" s="105"/>
      <c r="AA485" s="105"/>
      <c r="AB485" s="105"/>
      <c r="AC485" s="105"/>
      <c r="AD485" s="105"/>
      <c r="AE485" s="105"/>
      <c r="AF485" s="105"/>
      <c r="AG485" s="105"/>
      <c r="AH485" s="105"/>
      <c r="AU485" s="105"/>
      <c r="AV485" s="105"/>
      <c r="AW485" s="105"/>
      <c r="AX485" s="105"/>
      <c r="AY485" s="105"/>
      <c r="AZ485" s="105"/>
      <c r="BA485" s="105"/>
    </row>
    <row r="486" spans="1:53" ht="15.75" hidden="1" customHeight="1" outlineLevel="1">
      <c r="A486" s="379"/>
      <c r="B486" s="99"/>
      <c r="C486" s="105"/>
      <c r="D486" s="105"/>
      <c r="E486" s="105"/>
      <c r="F486" s="105"/>
      <c r="G486" s="105"/>
      <c r="H486" s="105"/>
      <c r="I486" s="105"/>
      <c r="J486" s="105"/>
      <c r="K486" s="105">
        <f>IF($K$421&gt;0,PPMT('Assumptions (NG)'!$V$7,Model!W$1,'Assumptions (NG)'!$V$10,'Assumptions (NG)'!$V$5*Model!$K$421*('Assumptions (NG)'!$J$15*AVERAGE('Assumptions (NG)'!$G$2:$I$2)+'Assumptions (NG)'!$J$16*AVERAGE('Assumptions (NG)'!$G$3:$I$3))/10^9),0)</f>
        <v>-0.24052081956799848</v>
      </c>
      <c r="L486" s="105">
        <f>IF($K$421&gt;0,PPMT('Assumptions (NG)'!$V$7,Model!X$1,'Assumptions (NG)'!$V$10,'Assumptions (NG)'!$V$5*Model!$K$421*('Assumptions (NG)'!$J$15*AVERAGE('Assumptions (NG)'!$G$2:$I$2)+'Assumptions (NG)'!$J$16*AVERAGE('Assumptions (NG)'!$G$3:$I$3))/10^9),0)</f>
        <v>-0.25855988103559835</v>
      </c>
      <c r="M486" s="105">
        <f>IF($K$421&gt;0,PPMT('Assumptions (NG)'!$V$7,Model!Y$1,'Assumptions (NG)'!$V$10,'Assumptions (NG)'!$V$5*Model!$K$421*('Assumptions (NG)'!$J$15*AVERAGE('Assumptions (NG)'!$G$2:$I$2)+'Assumptions (NG)'!$J$16*AVERAGE('Assumptions (NG)'!$G$3:$I$3))/10^9),0)</f>
        <v>-0.27795187211326822</v>
      </c>
      <c r="N486" s="105">
        <f>IF($K$421&gt;0,PPMT('Assumptions (NG)'!$V$7,Model!Z$1,'Assumptions (NG)'!$V$10,'Assumptions (NG)'!$V$5*Model!$K$421*('Assumptions (NG)'!$J$15*AVERAGE('Assumptions (NG)'!$G$2:$I$2)+'Assumptions (NG)'!$J$16*AVERAGE('Assumptions (NG)'!$G$3:$I$3))/10^9),0)</f>
        <v>-0.29879826252176339</v>
      </c>
      <c r="O486" s="105">
        <f>IF($K$421&gt;0,PPMT('Assumptions (NG)'!$V$7,Model!AA$1,'Assumptions (NG)'!$V$10,'Assumptions (NG)'!$V$5*Model!$K$421*('Assumptions (NG)'!$J$15*AVERAGE('Assumptions (NG)'!$G$2:$I$2)+'Assumptions (NG)'!$J$16*AVERAGE('Assumptions (NG)'!$G$3:$I$3))/10^9),0)</f>
        <v>-0.32120813221089561</v>
      </c>
      <c r="P486" s="105">
        <f>IF($K$421&gt;0,PPMT('Assumptions (NG)'!$V$7,Model!AB$1,'Assumptions (NG)'!$V$10,'Assumptions (NG)'!$V$5*Model!$K$421*('Assumptions (NG)'!$J$15*AVERAGE('Assumptions (NG)'!$G$2:$I$2)+'Assumptions (NG)'!$J$16*AVERAGE('Assumptions (NG)'!$G$3:$I$3))/10^9),0)</f>
        <v>-0.34529874212671274</v>
      </c>
      <c r="Q486" s="105">
        <f>IF($K$421&gt;0,PPMT('Assumptions (NG)'!$V$7,Model!AC$1,'Assumptions (NG)'!$V$10,'Assumptions (NG)'!$V$5*Model!$K$421*('Assumptions (NG)'!$J$15*AVERAGE('Assumptions (NG)'!$G$2:$I$2)+'Assumptions (NG)'!$J$16*AVERAGE('Assumptions (NG)'!$G$3:$I$3))/10^9),0)</f>
        <v>-0.37119614778621624</v>
      </c>
      <c r="R486" s="105">
        <f>IF($K$421&gt;0,PPMT('Assumptions (NG)'!$V$7,Model!AD$1,'Assumptions (NG)'!$V$10,'Assumptions (NG)'!$V$5*Model!$K$421*('Assumptions (NG)'!$J$15*AVERAGE('Assumptions (NG)'!$G$2:$I$2)+'Assumptions (NG)'!$J$16*AVERAGE('Assumptions (NG)'!$G$3:$I$3))/10^9),0)</f>
        <v>-0.3990358588701825</v>
      </c>
      <c r="S486" s="105">
        <f>IF($K$421&gt;0,PPMT('Assumptions (NG)'!$V$7,Model!AE$1,'Assumptions (NG)'!$V$10,'Assumptions (NG)'!$V$5*Model!$K$421*('Assumptions (NG)'!$J$15*AVERAGE('Assumptions (NG)'!$G$2:$I$2)+'Assumptions (NG)'!$J$16*AVERAGE('Assumptions (NG)'!$G$3:$I$3))/10^9),0)</f>
        <v>-0.42896354828544619</v>
      </c>
      <c r="T486" s="105">
        <f>IF($K$421&gt;0,PPMT('Assumptions (NG)'!$V$7,Model!AF$1,'Assumptions (NG)'!$V$10,'Assumptions (NG)'!$V$5*Model!$K$421*('Assumptions (NG)'!$J$15*AVERAGE('Assumptions (NG)'!$G$2:$I$2)+'Assumptions (NG)'!$J$16*AVERAGE('Assumptions (NG)'!$G$3:$I$3))/10^9),0)</f>
        <v>-0.46113581440685458</v>
      </c>
      <c r="U486" s="105" t="e">
        <f>IF($K$421&gt;0,PPMT('Assumptions (NG)'!$V$7,Model!AG$1,'Assumptions (NG)'!$V$10,'Assumptions (NG)'!$V$5*Model!$K$421*('Assumptions (NG)'!$J$15*AVERAGE('Assumptions (NG)'!$G$2:$I$2)+'Assumptions (NG)'!$J$16*AVERAGE('Assumptions (NG)'!$G$3:$I$3))/10^9),0)</f>
        <v>#NUM!</v>
      </c>
      <c r="V486" s="105" t="e">
        <f>IF($K$421&gt;0,PPMT('Assumptions (NG)'!$V$7,Model!AH$1,'Assumptions (NG)'!$V$10,'Assumptions (NG)'!$V$5*Model!$K$421*('Assumptions (NG)'!$J$15*AVERAGE('Assumptions (NG)'!$G$2:$I$2)+'Assumptions (NG)'!$J$16*AVERAGE('Assumptions (NG)'!$G$3:$I$3))/10^9),0)</f>
        <v>#NUM!</v>
      </c>
      <c r="W486" s="105" t="e">
        <f>IF($K$421&gt;0,PPMT('Assumptions (NG)'!$V$7,Model!AI$1,'Assumptions (NG)'!$V$10,'Assumptions (NG)'!$V$5*Model!$K$421*('Assumptions (NG)'!$J$15*AVERAGE('Assumptions (NG)'!$G$2:$I$2)+'Assumptions (NG)'!$J$16*AVERAGE('Assumptions (NG)'!$G$3:$I$3))/10^9),0)</f>
        <v>#NUM!</v>
      </c>
      <c r="X486" s="105" t="e">
        <f>IF($K$421&gt;0,PPMT('Assumptions (NG)'!$V$7,Model!AJ$1,'Assumptions (NG)'!$V$10,'Assumptions (NG)'!$V$5*Model!$K$421*('Assumptions (NG)'!$J$15*AVERAGE('Assumptions (NG)'!$G$2:$I$2)+'Assumptions (NG)'!$J$16*AVERAGE('Assumptions (NG)'!$G$3:$I$3))/10^9),0)</f>
        <v>#NUM!</v>
      </c>
      <c r="Y486" s="105" t="e">
        <f>IF($K$421&gt;0,PPMT('Assumptions (NG)'!$V$7,Model!AK$1,'Assumptions (NG)'!$V$10,'Assumptions (NG)'!$V$5*Model!$K$421*('Assumptions (NG)'!$J$15*AVERAGE('Assumptions (NG)'!$G$2:$I$2)+'Assumptions (NG)'!$J$16*AVERAGE('Assumptions (NG)'!$G$3:$I$3))/10^9),0)</f>
        <v>#NUM!</v>
      </c>
      <c r="Z486" s="105"/>
      <c r="AA486" s="105"/>
      <c r="AB486" s="105"/>
      <c r="AC486" s="105"/>
      <c r="AD486" s="105"/>
      <c r="AE486" s="105"/>
      <c r="AF486" s="105"/>
      <c r="AG486" s="105"/>
      <c r="AH486" s="105"/>
      <c r="AI486" s="105"/>
      <c r="AU486" s="105"/>
      <c r="AV486" s="105"/>
      <c r="AW486" s="105"/>
      <c r="AX486" s="105"/>
      <c r="AY486" s="105"/>
      <c r="AZ486" s="105"/>
      <c r="BA486" s="105"/>
    </row>
    <row r="487" spans="1:53" ht="15.75" hidden="1" customHeight="1" outlineLevel="1">
      <c r="A487" s="379"/>
      <c r="B487" s="99"/>
      <c r="C487" s="105"/>
      <c r="D487" s="105"/>
      <c r="E487" s="105"/>
      <c r="F487" s="105"/>
      <c r="G487" s="105"/>
      <c r="H487" s="105"/>
      <c r="I487" s="105"/>
      <c r="J487" s="105"/>
      <c r="K487" s="105"/>
      <c r="L487" s="105">
        <f>IF($L$421&gt;0,PPMT('Assumptions (NG)'!$V$7,Model!W$1,'Assumptions (NG)'!$V$10,'Assumptions (NG)'!$V$5*Model!$L$421*('Assumptions (NG)'!$K$15*AVERAGE('Assumptions (NG)'!$H$2:$J$2)+'Assumptions (NG)'!$K$16*AVERAGE('Assumptions (NG)'!$H$3:$J$3))/10^9),0)</f>
        <v>-0.30117625787765928</v>
      </c>
      <c r="M487" s="105">
        <f>IF($L$421&gt;0,PPMT('Assumptions (NG)'!$V$7,Model!X$1,'Assumptions (NG)'!$V$10,'Assumptions (NG)'!$V$5*Model!$L$421*('Assumptions (NG)'!$K$15*AVERAGE('Assumptions (NG)'!$H$2:$J$2)+'Assumptions (NG)'!$K$16*AVERAGE('Assumptions (NG)'!$H$3:$J$3))/10^9),0)</f>
        <v>-0.32376447721848373</v>
      </c>
      <c r="N487" s="105">
        <f>IF($L$421&gt;0,PPMT('Assumptions (NG)'!$V$7,Model!Y$1,'Assumptions (NG)'!$V$10,'Assumptions (NG)'!$V$5*Model!$L$421*('Assumptions (NG)'!$K$15*AVERAGE('Assumptions (NG)'!$H$2:$J$2)+'Assumptions (NG)'!$K$16*AVERAGE('Assumptions (NG)'!$H$3:$J$3))/10^9),0)</f>
        <v>-0.34804681300986995</v>
      </c>
      <c r="O487" s="105">
        <f>IF($L$421&gt;0,PPMT('Assumptions (NG)'!$V$7,Model!Z$1,'Assumptions (NG)'!$V$10,'Assumptions (NG)'!$V$5*Model!$L$421*('Assumptions (NG)'!$K$15*AVERAGE('Assumptions (NG)'!$H$2:$J$2)+'Assumptions (NG)'!$K$16*AVERAGE('Assumptions (NG)'!$H$3:$J$3))/10^9),0)</f>
        <v>-0.37415032398561027</v>
      </c>
      <c r="P487" s="105">
        <f>IF($L$421&gt;0,PPMT('Assumptions (NG)'!$V$7,Model!AA$1,'Assumptions (NG)'!$V$10,'Assumptions (NG)'!$V$5*Model!$L$421*('Assumptions (NG)'!$K$15*AVERAGE('Assumptions (NG)'!$H$2:$J$2)+'Assumptions (NG)'!$K$16*AVERAGE('Assumptions (NG)'!$H$3:$J$3))/10^9),0)</f>
        <v>-0.40221159828453107</v>
      </c>
      <c r="Q487" s="105">
        <f>IF($L$421&gt;0,PPMT('Assumptions (NG)'!$V$7,Model!AB$1,'Assumptions (NG)'!$V$10,'Assumptions (NG)'!$V$5*Model!$L$421*('Assumptions (NG)'!$K$15*AVERAGE('Assumptions (NG)'!$H$2:$J$2)+'Assumptions (NG)'!$K$16*AVERAGE('Assumptions (NG)'!$H$3:$J$3))/10^9),0)</f>
        <v>-0.43237746815587086</v>
      </c>
      <c r="R487" s="105">
        <f>IF($L$421&gt;0,PPMT('Assumptions (NG)'!$V$7,Model!AC$1,'Assumptions (NG)'!$V$10,'Assumptions (NG)'!$V$5*Model!$L$421*('Assumptions (NG)'!$K$15*AVERAGE('Assumptions (NG)'!$H$2:$J$2)+'Assumptions (NG)'!$K$16*AVERAGE('Assumptions (NG)'!$H$3:$J$3))/10^9),0)</f>
        <v>-0.46480577826756109</v>
      </c>
      <c r="S487" s="105">
        <f>IF($L$421&gt;0,PPMT('Assumptions (NG)'!$V$7,Model!AD$1,'Assumptions (NG)'!$V$10,'Assumptions (NG)'!$V$5*Model!$L$421*('Assumptions (NG)'!$K$15*AVERAGE('Assumptions (NG)'!$H$2:$J$2)+'Assumptions (NG)'!$K$16*AVERAGE('Assumptions (NG)'!$H$3:$J$3))/10^9),0)</f>
        <v>-0.49966621163762825</v>
      </c>
      <c r="T487" s="105">
        <f>IF($L$421&gt;0,PPMT('Assumptions (NG)'!$V$7,Model!AE$1,'Assumptions (NG)'!$V$10,'Assumptions (NG)'!$V$5*Model!$L$421*('Assumptions (NG)'!$K$15*AVERAGE('Assumptions (NG)'!$H$2:$J$2)+'Assumptions (NG)'!$K$16*AVERAGE('Assumptions (NG)'!$H$3:$J$3))/10^9),0)</f>
        <v>-0.53714117751045043</v>
      </c>
      <c r="U487" s="105">
        <f>IF($L$421&gt;0,PPMT('Assumptions (NG)'!$V$7,Model!AF$1,'Assumptions (NG)'!$V$10,'Assumptions (NG)'!$V$5*Model!$L$421*('Assumptions (NG)'!$K$15*AVERAGE('Assumptions (NG)'!$H$2:$J$2)+'Assumptions (NG)'!$K$16*AVERAGE('Assumptions (NG)'!$H$3:$J$3))/10^9),0)</f>
        <v>-0.57742676582373409</v>
      </c>
      <c r="V487" s="105" t="e">
        <f>IF($L$421&gt;0,PPMT('Assumptions (NG)'!$V$7,Model!AG$1,'Assumptions (NG)'!$V$10,'Assumptions (NG)'!$V$5*Model!$L$421*('Assumptions (NG)'!$K$15*AVERAGE('Assumptions (NG)'!$H$2:$J$2)+'Assumptions (NG)'!$K$16*AVERAGE('Assumptions (NG)'!$H$3:$J$3))/10^9),0)</f>
        <v>#NUM!</v>
      </c>
      <c r="W487" s="105" t="e">
        <f>IF($L$421&gt;0,PPMT('Assumptions (NG)'!$V$7,Model!AH$1,'Assumptions (NG)'!$V$10,'Assumptions (NG)'!$V$5*Model!$L$421*('Assumptions (NG)'!$K$15*AVERAGE('Assumptions (NG)'!$H$2:$J$2)+'Assumptions (NG)'!$K$16*AVERAGE('Assumptions (NG)'!$H$3:$J$3))/10^9),0)</f>
        <v>#NUM!</v>
      </c>
      <c r="X487" s="105" t="e">
        <f>IF($L$421&gt;0,PPMT('Assumptions (NG)'!$V$7,Model!AI$1,'Assumptions (NG)'!$V$10,'Assumptions (NG)'!$V$5*Model!$L$421*('Assumptions (NG)'!$K$15*AVERAGE('Assumptions (NG)'!$H$2:$J$2)+'Assumptions (NG)'!$K$16*AVERAGE('Assumptions (NG)'!$H$3:$J$3))/10^9),0)</f>
        <v>#NUM!</v>
      </c>
      <c r="Y487" s="105" t="e">
        <f>IF($L$421&gt;0,PPMT('Assumptions (NG)'!$V$7,Model!AJ$1,'Assumptions (NG)'!$V$10,'Assumptions (NG)'!$V$5*Model!$L$421*('Assumptions (NG)'!$K$15*AVERAGE('Assumptions (NG)'!$H$2:$J$2)+'Assumptions (NG)'!$K$16*AVERAGE('Assumptions (NG)'!$H$3:$J$3))/10^9),0)</f>
        <v>#NUM!</v>
      </c>
      <c r="Z487" s="105" t="e">
        <f>IF($L$421&gt;0,PPMT('Assumptions (NG)'!$V$7,Model!AK$1,'Assumptions (NG)'!$V$10,'Assumptions (NG)'!$V$5*Model!$L$421*('Assumptions (NG)'!$K$15*AVERAGE('Assumptions (NG)'!$H$2:$J$2)+'Assumptions (NG)'!$K$16*AVERAGE('Assumptions (NG)'!$H$3:$J$3))/10^9),0)</f>
        <v>#NUM!</v>
      </c>
      <c r="AA487" s="105"/>
      <c r="AB487" s="105"/>
      <c r="AC487" s="105"/>
      <c r="AD487" s="105"/>
      <c r="AE487" s="105"/>
      <c r="AF487" s="105"/>
      <c r="AG487" s="105"/>
      <c r="AH487" s="105"/>
      <c r="AI487" s="105"/>
      <c r="AJ487" s="105"/>
      <c r="AU487" s="105"/>
      <c r="AV487" s="105"/>
      <c r="AW487" s="105"/>
      <c r="AX487" s="105"/>
      <c r="AY487" s="105"/>
      <c r="AZ487" s="105"/>
      <c r="BA487" s="105"/>
    </row>
    <row r="488" spans="1:53" ht="15.75" hidden="1" customHeight="1" outlineLevel="1">
      <c r="A488" s="379"/>
      <c r="B488" s="99"/>
      <c r="C488" s="105"/>
      <c r="D488" s="105"/>
      <c r="E488" s="105"/>
      <c r="F488" s="105"/>
      <c r="G488" s="105"/>
      <c r="H488" s="105"/>
      <c r="I488" s="105"/>
      <c r="J488" s="105"/>
      <c r="K488" s="105"/>
      <c r="L488" s="105"/>
      <c r="M488" s="105">
        <f>IF($M$421&gt;0,PPMT('Assumptions (NG)'!$V$7,Model!W$1,'Assumptions (NG)'!$V$10,'Assumptions (NG)'!$V$5*Model!$M$421*('Assumptions (NG)'!$L$15*AVERAGE('Assumptions (NG)'!$I$2:$K$2)+'Assumptions (NG)'!$L$16*AVERAGE('Assumptions (NG)'!$I$3:$K$3))/10^9),0)</f>
        <v>-0.21355637864004134</v>
      </c>
      <c r="N488" s="105">
        <f>IF($M$421&gt;0,PPMT('Assumptions (NG)'!$V$7,Model!X$1,'Assumptions (NG)'!$V$10,'Assumptions (NG)'!$V$5*Model!$M$421*('Assumptions (NG)'!$L$15*AVERAGE('Assumptions (NG)'!$I$2:$K$2)+'Assumptions (NG)'!$L$16*AVERAGE('Assumptions (NG)'!$I$3:$K$3))/10^9),0)</f>
        <v>-0.22957310703804443</v>
      </c>
      <c r="O488" s="105">
        <f>IF($M$421&gt;0,PPMT('Assumptions (NG)'!$V$7,Model!Y$1,'Assumptions (NG)'!$V$10,'Assumptions (NG)'!$V$5*Model!$M$421*('Assumptions (NG)'!$L$15*AVERAGE('Assumptions (NG)'!$I$2:$K$2)+'Assumptions (NG)'!$L$16*AVERAGE('Assumptions (NG)'!$I$3:$K$3))/10^9),0)</f>
        <v>-0.24679109006589772</v>
      </c>
      <c r="P488" s="105">
        <f>IF($M$421&gt;0,PPMT('Assumptions (NG)'!$V$7,Model!Z$1,'Assumptions (NG)'!$V$10,'Assumptions (NG)'!$V$5*Model!$M$421*('Assumptions (NG)'!$L$15*AVERAGE('Assumptions (NG)'!$I$2:$K$2)+'Assumptions (NG)'!$L$16*AVERAGE('Assumptions (NG)'!$I$3:$K$3))/10^9),0)</f>
        <v>-0.26530042182084013</v>
      </c>
      <c r="Q488" s="105">
        <f>IF($M$421&gt;0,PPMT('Assumptions (NG)'!$V$7,Model!AA$1,'Assumptions (NG)'!$V$10,'Assumptions (NG)'!$V$5*Model!$M$421*('Assumptions (NG)'!$L$15*AVERAGE('Assumptions (NG)'!$I$2:$K$2)+'Assumptions (NG)'!$L$16*AVERAGE('Assumptions (NG)'!$I$3:$K$3))/10^9),0)</f>
        <v>-0.28519795345740312</v>
      </c>
      <c r="R488" s="105">
        <f>IF($M$421&gt;0,PPMT('Assumptions (NG)'!$V$7,Model!AB$1,'Assumptions (NG)'!$V$10,'Assumptions (NG)'!$V$5*Model!$M$421*('Assumptions (NG)'!$L$15*AVERAGE('Assumptions (NG)'!$I$2:$K$2)+'Assumptions (NG)'!$L$16*AVERAGE('Assumptions (NG)'!$I$3:$K$3))/10^9),0)</f>
        <v>-0.30658779996670832</v>
      </c>
      <c r="S488" s="105">
        <f>IF($M$421&gt;0,PPMT('Assumptions (NG)'!$V$7,Model!AC$1,'Assumptions (NG)'!$V$10,'Assumptions (NG)'!$V$5*Model!$M$421*('Assumptions (NG)'!$L$15*AVERAGE('Assumptions (NG)'!$I$2:$K$2)+'Assumptions (NG)'!$L$16*AVERAGE('Assumptions (NG)'!$I$3:$K$3))/10^9),0)</f>
        <v>-0.32958188496421142</v>
      </c>
      <c r="T488" s="105">
        <f>IF($M$421&gt;0,PPMT('Assumptions (NG)'!$V$7,Model!AD$1,'Assumptions (NG)'!$V$10,'Assumptions (NG)'!$V$5*Model!$M$421*('Assumptions (NG)'!$L$15*AVERAGE('Assumptions (NG)'!$I$2:$K$2)+'Assumptions (NG)'!$L$16*AVERAGE('Assumptions (NG)'!$I$3:$K$3))/10^9),0)</f>
        <v>-0.35430052633652731</v>
      </c>
      <c r="U488" s="105">
        <f>IF($M$421&gt;0,PPMT('Assumptions (NG)'!$V$7,Model!AE$1,'Assumptions (NG)'!$V$10,'Assumptions (NG)'!$V$5*Model!$M$421*('Assumptions (NG)'!$L$15*AVERAGE('Assumptions (NG)'!$I$2:$K$2)+'Assumptions (NG)'!$L$16*AVERAGE('Assumptions (NG)'!$I$3:$K$3))/10^9),0)</f>
        <v>-0.38087306581176694</v>
      </c>
      <c r="V488" s="105">
        <f>IF($M$421&gt;0,PPMT('Assumptions (NG)'!$V$7,Model!AF$1,'Assumptions (NG)'!$V$10,'Assumptions (NG)'!$V$5*Model!$M$421*('Assumptions (NG)'!$L$15*AVERAGE('Assumptions (NG)'!$I$2:$K$2)+'Assumptions (NG)'!$L$16*AVERAGE('Assumptions (NG)'!$I$3:$K$3))/10^9),0)</f>
        <v>-0.40943854574764937</v>
      </c>
      <c r="W488" s="105" t="e">
        <f>IF($M$421&gt;0,PPMT('Assumptions (NG)'!$V$7,Model!AG$1,'Assumptions (NG)'!$V$10,'Assumptions (NG)'!$V$5*Model!$M$421*('Assumptions (NG)'!$L$15*AVERAGE('Assumptions (NG)'!$I$2:$K$2)+'Assumptions (NG)'!$L$16*AVERAGE('Assumptions (NG)'!$I$3:$K$3))/10^9),0)</f>
        <v>#NUM!</v>
      </c>
      <c r="X488" s="105" t="e">
        <f>IF($M$421&gt;0,PPMT('Assumptions (NG)'!$V$7,Model!AH$1,'Assumptions (NG)'!$V$10,'Assumptions (NG)'!$V$5*Model!$M$421*('Assumptions (NG)'!$L$15*AVERAGE('Assumptions (NG)'!$I$2:$K$2)+'Assumptions (NG)'!$L$16*AVERAGE('Assumptions (NG)'!$I$3:$K$3))/10^9),0)</f>
        <v>#NUM!</v>
      </c>
      <c r="Y488" s="105" t="e">
        <f>IF($M$421&gt;0,PPMT('Assumptions (NG)'!$V$7,Model!AI$1,'Assumptions (NG)'!$V$10,'Assumptions (NG)'!$V$5*Model!$M$421*('Assumptions (NG)'!$L$15*AVERAGE('Assumptions (NG)'!$I$2:$K$2)+'Assumptions (NG)'!$L$16*AVERAGE('Assumptions (NG)'!$I$3:$K$3))/10^9),0)</f>
        <v>#NUM!</v>
      </c>
      <c r="Z488" s="105" t="e">
        <f>IF($M$421&gt;0,PPMT('Assumptions (NG)'!$V$7,Model!AJ$1,'Assumptions (NG)'!$V$10,'Assumptions (NG)'!$V$5*Model!$M$421*('Assumptions (NG)'!$L$15*AVERAGE('Assumptions (NG)'!$I$2:$K$2)+'Assumptions (NG)'!$L$16*AVERAGE('Assumptions (NG)'!$I$3:$K$3))/10^9),0)</f>
        <v>#NUM!</v>
      </c>
      <c r="AA488" s="105" t="e">
        <f>IF($M$421&gt;0,PPMT('Assumptions (NG)'!$V$7,Model!AK$1,'Assumptions (NG)'!$V$10,'Assumptions (NG)'!$V$5*Model!$M$421*('Assumptions (NG)'!$L$15*AVERAGE('Assumptions (NG)'!$I$2:$K$2)+'Assumptions (NG)'!$L$16*AVERAGE('Assumptions (NG)'!$I$3:$K$3))/10^9),0)</f>
        <v>#NUM!</v>
      </c>
      <c r="AB488" s="105"/>
      <c r="AC488" s="105"/>
      <c r="AD488" s="105"/>
      <c r="AE488" s="105"/>
      <c r="AF488" s="105"/>
      <c r="AG488" s="105"/>
      <c r="AH488" s="105"/>
      <c r="AI488" s="105"/>
      <c r="AJ488" s="105"/>
      <c r="AK488" s="105"/>
      <c r="AU488" s="105"/>
      <c r="AV488" s="105"/>
      <c r="AW488" s="105"/>
      <c r="AX488" s="105"/>
      <c r="AY488" s="105"/>
      <c r="AZ488" s="105"/>
      <c r="BA488" s="105"/>
    </row>
    <row r="489" spans="1:53" ht="15.75" hidden="1" customHeight="1" outlineLevel="1">
      <c r="A489" s="379"/>
      <c r="B489" s="99"/>
      <c r="C489" s="105"/>
      <c r="D489" s="105"/>
      <c r="E489" s="105"/>
      <c r="F489" s="105"/>
      <c r="G489" s="105"/>
      <c r="H489" s="105"/>
      <c r="I489" s="105"/>
      <c r="J489" s="105"/>
      <c r="K489" s="105"/>
      <c r="L489" s="105"/>
      <c r="M489" s="105"/>
      <c r="N489" s="91">
        <f>IF($N$421&gt;0,PPMT('Assumptions (NG)'!$V$7,Model!W$1,'Assumptions (NG)'!$V$10,'Assumptions (NG)'!$V$5*Model!$N$421*('Assumptions (NG)'!$M$15*AVERAGE('Assumptions (NG)'!$J$2:$L$2)+'Assumptions (NG)'!$M$16*AVERAGE('Assumptions (NG)'!$J$3:$L$3))/10^9),0)</f>
        <v>-0.32932299868453724</v>
      </c>
      <c r="O489" s="91">
        <f>IF($N$421&gt;0,PPMT('Assumptions (NG)'!$V$7,Model!X$1,'Assumptions (NG)'!$V$10,'Assumptions (NG)'!$V$5*Model!$N$421*('Assumptions (NG)'!$M$15*AVERAGE('Assumptions (NG)'!$J$2:$L$2)+'Assumptions (NG)'!$M$16*AVERAGE('Assumptions (NG)'!$J$3:$L$3))/10^9),0)</f>
        <v>-0.35402222358587754</v>
      </c>
      <c r="P489" s="91">
        <f>IF($N$421&gt;0,PPMT('Assumptions (NG)'!$V$7,Model!Y$1,'Assumptions (NG)'!$V$10,'Assumptions (NG)'!$V$5*Model!$N$421*('Assumptions (NG)'!$M$15*AVERAGE('Assumptions (NG)'!$J$2:$L$2)+'Assumptions (NG)'!$M$16*AVERAGE('Assumptions (NG)'!$J$3:$L$3))/10^9),0)</f>
        <v>-0.38057389035481831</v>
      </c>
      <c r="Q489" s="91">
        <f>IF($N$421&gt;0,PPMT('Assumptions (NG)'!$V$7,Model!Z$1,'Assumptions (NG)'!$V$10,'Assumptions (NG)'!$V$5*Model!$N$421*('Assumptions (NG)'!$M$15*AVERAGE('Assumptions (NG)'!$J$2:$L$2)+'Assumptions (NG)'!$M$16*AVERAGE('Assumptions (NG)'!$J$3:$L$3))/10^9),0)</f>
        <v>-0.40911693213142969</v>
      </c>
      <c r="R489" s="91">
        <f>IF($N$421&gt;0,PPMT('Assumptions (NG)'!$V$7,Model!AA$1,'Assumptions (NG)'!$V$10,'Assumptions (NG)'!$V$5*Model!$N$421*('Assumptions (NG)'!$M$15*AVERAGE('Assumptions (NG)'!$J$2:$L$2)+'Assumptions (NG)'!$M$16*AVERAGE('Assumptions (NG)'!$J$3:$L$3))/10^9),0)</f>
        <v>-0.43980070204128696</v>
      </c>
      <c r="S489" s="91">
        <f>IF($N$421&gt;0,PPMT('Assumptions (NG)'!$V$7,Model!AB$1,'Assumptions (NG)'!$V$10,'Assumptions (NG)'!$V$5*Model!$N$421*('Assumptions (NG)'!$M$15*AVERAGE('Assumptions (NG)'!$J$2:$L$2)+'Assumptions (NG)'!$M$16*AVERAGE('Assumptions (NG)'!$J$3:$L$3))/10^9),0)</f>
        <v>-0.47278575469438344</v>
      </c>
      <c r="T489" s="91">
        <f>IF($N$421&gt;0,PPMT('Assumptions (NG)'!$V$7,Model!AC$1,'Assumptions (NG)'!$V$10,'Assumptions (NG)'!$V$5*Model!$N$421*('Assumptions (NG)'!$M$15*AVERAGE('Assumptions (NG)'!$J$2:$L$2)+'Assumptions (NG)'!$M$16*AVERAGE('Assumptions (NG)'!$J$3:$L$3))/10^9),0)</f>
        <v>-0.50824468629646213</v>
      </c>
      <c r="U489" s="91">
        <f>IF($N$421&gt;0,PPMT('Assumptions (NG)'!$V$7,Model!AD$1,'Assumptions (NG)'!$V$10,'Assumptions (NG)'!$V$5*Model!$N$421*('Assumptions (NG)'!$M$15*AVERAGE('Assumptions (NG)'!$J$2:$L$2)+'Assumptions (NG)'!$M$16*AVERAGE('Assumptions (NG)'!$J$3:$L$3))/10^9),0)</f>
        <v>-0.54636303776869688</v>
      </c>
      <c r="V489" s="91">
        <f>IF($N$421&gt;0,PPMT('Assumptions (NG)'!$V$7,Model!AE$1,'Assumptions (NG)'!$V$10,'Assumptions (NG)'!$V$5*Model!$N$421*('Assumptions (NG)'!$M$15*AVERAGE('Assumptions (NG)'!$J$2:$L$2)+'Assumptions (NG)'!$M$16*AVERAGE('Assumptions (NG)'!$J$3:$L$3))/10^9),0)</f>
        <v>-0.58734026560134911</v>
      </c>
      <c r="W489" s="91">
        <f>IF($N$421&gt;0,PPMT('Assumptions (NG)'!$V$7,Model!AF$1,'Assumptions (NG)'!$V$10,'Assumptions (NG)'!$V$5*Model!$N$421*('Assumptions (NG)'!$M$15*AVERAGE('Assumptions (NG)'!$J$2:$L$2)+'Assumptions (NG)'!$M$16*AVERAGE('Assumptions (NG)'!$J$3:$L$3))/10^9),0)</f>
        <v>-0.63139078552145034</v>
      </c>
      <c r="X489" s="91" t="e">
        <f>IF($N$421&gt;0,PPMT('Assumptions (NG)'!$V$7,Model!AG$1,'Assumptions (NG)'!$V$10,'Assumptions (NG)'!$V$5*Model!$N$421*('Assumptions (NG)'!$M$15*AVERAGE('Assumptions (NG)'!$J$2:$L$2)+'Assumptions (NG)'!$M$16*AVERAGE('Assumptions (NG)'!$J$3:$L$3))/10^9),0)</f>
        <v>#NUM!</v>
      </c>
      <c r="Y489" s="91" t="e">
        <f>IF($N$421&gt;0,PPMT('Assumptions (NG)'!$V$7,Model!AH$1,'Assumptions (NG)'!$V$10,'Assumptions (NG)'!$V$5*Model!$N$421*('Assumptions (NG)'!$M$15*AVERAGE('Assumptions (NG)'!$J$2:$L$2)+'Assumptions (NG)'!$M$16*AVERAGE('Assumptions (NG)'!$J$3:$L$3))/10^9),0)</f>
        <v>#NUM!</v>
      </c>
      <c r="Z489" s="91" t="e">
        <f>IF($N$421&gt;0,PPMT('Assumptions (NG)'!$V$7,Model!AI$1,'Assumptions (NG)'!$V$10,'Assumptions (NG)'!$V$5*Model!$N$421*('Assumptions (NG)'!$M$15*AVERAGE('Assumptions (NG)'!$J$2:$L$2)+'Assumptions (NG)'!$M$16*AVERAGE('Assumptions (NG)'!$J$3:$L$3))/10^9),0)</f>
        <v>#NUM!</v>
      </c>
      <c r="AA489" s="91" t="e">
        <f>IF($N$421&gt;0,PPMT('Assumptions (NG)'!$V$7,Model!AJ$1,'Assumptions (NG)'!$V$10,'Assumptions (NG)'!$V$5*Model!$N$421*('Assumptions (NG)'!$M$15*AVERAGE('Assumptions (NG)'!$J$2:$L$2)+'Assumptions (NG)'!$M$16*AVERAGE('Assumptions (NG)'!$J$3:$L$3))/10^9),0)</f>
        <v>#NUM!</v>
      </c>
      <c r="AB489" s="91" t="e">
        <f>IF($N$421&gt;0,PPMT('Assumptions (NG)'!$V$7,Model!AK$1,'Assumptions (NG)'!$V$10,'Assumptions (NG)'!$V$5*Model!$N$421*('Assumptions (NG)'!$M$15*AVERAGE('Assumptions (NG)'!$J$2:$L$2)+'Assumptions (NG)'!$M$16*AVERAGE('Assumptions (NG)'!$J$3:$L$3))/10^9),0)</f>
        <v>#NUM!</v>
      </c>
      <c r="AC489" s="91"/>
      <c r="AD489" s="91"/>
      <c r="AE489" s="91"/>
      <c r="AF489" s="91"/>
      <c r="AG489" s="91"/>
      <c r="AH489" s="91"/>
      <c r="AI489" s="91"/>
      <c r="AJ489" s="91"/>
      <c r="AK489" s="91"/>
      <c r="AL489" s="91"/>
      <c r="AU489" s="105"/>
      <c r="AV489" s="105"/>
      <c r="AW489" s="105"/>
      <c r="AX489" s="105"/>
      <c r="AY489" s="105"/>
      <c r="AZ489" s="105"/>
      <c r="BA489" s="105"/>
    </row>
    <row r="490" spans="1:53" ht="15.75" hidden="1" customHeight="1" outlineLevel="1">
      <c r="A490" s="379"/>
      <c r="B490" s="99"/>
      <c r="C490" s="105"/>
      <c r="D490" s="105"/>
      <c r="E490" s="105"/>
      <c r="F490" s="105"/>
      <c r="G490" s="105"/>
      <c r="H490" s="105"/>
      <c r="I490" s="105"/>
      <c r="J490" s="105"/>
      <c r="K490" s="105"/>
      <c r="L490" s="105"/>
      <c r="M490" s="105"/>
      <c r="N490" s="105"/>
      <c r="O490" s="105">
        <f>IF($O$421&gt;0,PPMT('Assumptions (NG)'!$V$7,Model!W$1,'Assumptions (NG)'!$V$10,'Assumptions (NG)'!$V$5*Model!$O$421*('Assumptions (NG)'!$N$15*AVERAGE('Assumptions (NG)'!$K$2:$M$2)+'Assumptions (NG)'!$N$16*AVERAGE('Assumptions (NG)'!$K$3:$M$3))/10^9),0)</f>
        <v>-0.32512678085701735</v>
      </c>
      <c r="P490" s="105">
        <f>IF($O$421&gt;0,PPMT('Assumptions (NG)'!$V$7,Model!X$1,'Assumptions (NG)'!$V$10,'Assumptions (NG)'!$V$5*Model!$O$421*('Assumptions (NG)'!$N$15*AVERAGE('Assumptions (NG)'!$K$2:$M$2)+'Assumptions (NG)'!$N$16*AVERAGE('Assumptions (NG)'!$K$3:$M$3))/10^9),0)</f>
        <v>-0.34951128942129361</v>
      </c>
      <c r="Q490" s="105">
        <f>IF($O$421&gt;0,PPMT('Assumptions (NG)'!$V$7,Model!Y$1,'Assumptions (NG)'!$V$10,'Assumptions (NG)'!$V$5*Model!$O$421*('Assumptions (NG)'!$N$15*AVERAGE('Assumptions (NG)'!$K$2:$M$2)+'Assumptions (NG)'!$N$16*AVERAGE('Assumptions (NG)'!$K$3:$M$3))/10^9),0)</f>
        <v>-0.37572463612789064</v>
      </c>
      <c r="R490" s="105">
        <f>IF($O$421&gt;0,PPMT('Assumptions (NG)'!$V$7,Model!Z$1,'Assumptions (NG)'!$V$10,'Assumptions (NG)'!$V$5*Model!$O$421*('Assumptions (NG)'!$N$15*AVERAGE('Assumptions (NG)'!$K$2:$M$2)+'Assumptions (NG)'!$N$16*AVERAGE('Assumptions (NG)'!$K$3:$M$3))/10^9),0)</f>
        <v>-0.40390398383748244</v>
      </c>
      <c r="S490" s="105">
        <f>IF($O$421&gt;0,PPMT('Assumptions (NG)'!$V$7,Model!AA$1,'Assumptions (NG)'!$V$10,'Assumptions (NG)'!$V$5*Model!$O$421*('Assumptions (NG)'!$N$15*AVERAGE('Assumptions (NG)'!$K$2:$M$2)+'Assumptions (NG)'!$N$16*AVERAGE('Assumptions (NG)'!$K$3:$M$3))/10^9),0)</f>
        <v>-0.43419678262529365</v>
      </c>
      <c r="T490" s="105">
        <f>IF($O$421&gt;0,PPMT('Assumptions (NG)'!$V$7,Model!AB$1,'Assumptions (NG)'!$V$10,'Assumptions (NG)'!$V$5*Model!$O$421*('Assumptions (NG)'!$N$15*AVERAGE('Assumptions (NG)'!$K$2:$M$2)+'Assumptions (NG)'!$N$16*AVERAGE('Assumptions (NG)'!$K$3:$M$3))/10^9),0)</f>
        <v>-0.46676154132219061</v>
      </c>
      <c r="U490" s="105">
        <f>IF($O$421&gt;0,PPMT('Assumptions (NG)'!$V$7,Model!AC$1,'Assumptions (NG)'!$V$10,'Assumptions (NG)'!$V$5*Model!$O$421*('Assumptions (NG)'!$N$15*AVERAGE('Assumptions (NG)'!$K$2:$M$2)+'Assumptions (NG)'!$N$16*AVERAGE('Assumptions (NG)'!$K$3:$M$3))/10^9),0)</f>
        <v>-0.50176865692135486</v>
      </c>
      <c r="V490" s="105">
        <f>IF($O$421&gt;0,PPMT('Assumptions (NG)'!$V$7,Model!AD$1,'Assumptions (NG)'!$V$10,'Assumptions (NG)'!$V$5*Model!$O$421*('Assumptions (NG)'!$N$15*AVERAGE('Assumptions (NG)'!$K$2:$M$2)+'Assumptions (NG)'!$N$16*AVERAGE('Assumptions (NG)'!$K$3:$M$3))/10^9),0)</f>
        <v>-0.53940130619045656</v>
      </c>
      <c r="W490" s="105">
        <f>IF($O$421&gt;0,PPMT('Assumptions (NG)'!$V$7,Model!AE$1,'Assumptions (NG)'!$V$10,'Assumptions (NG)'!$V$5*Model!$O$421*('Assumptions (NG)'!$N$15*AVERAGE('Assumptions (NG)'!$K$2:$M$2)+'Assumptions (NG)'!$N$16*AVERAGE('Assumptions (NG)'!$K$3:$M$3))/10^9),0)</f>
        <v>-0.57985640415474082</v>
      </c>
      <c r="X490" s="105">
        <f>IF($O$421&gt;0,PPMT('Assumptions (NG)'!$V$7,Model!AF$1,'Assumptions (NG)'!$V$10,'Assumptions (NG)'!$V$5*Model!$O$421*('Assumptions (NG)'!$N$15*AVERAGE('Assumptions (NG)'!$K$2:$M$2)+'Assumptions (NG)'!$N$16*AVERAGE('Assumptions (NG)'!$K$3:$M$3))/10^9),0)</f>
        <v>-0.62334563446634639</v>
      </c>
      <c r="Y490" s="105" t="e">
        <f>IF($O$421&gt;0,PPMT('Assumptions (NG)'!$V$7,Model!AG$1,'Assumptions (NG)'!$V$10,'Assumptions (NG)'!$V$5*Model!$O$421*('Assumptions (NG)'!$N$15*AVERAGE('Assumptions (NG)'!$K$2:$M$2)+'Assumptions (NG)'!$N$16*AVERAGE('Assumptions (NG)'!$K$3:$M$3))/10^9),0)</f>
        <v>#NUM!</v>
      </c>
      <c r="Z490" s="105" t="e">
        <f>IF($O$421&gt;0,PPMT('Assumptions (NG)'!$V$7,Model!AH$1,'Assumptions (NG)'!$V$10,'Assumptions (NG)'!$V$5*Model!$O$421*('Assumptions (NG)'!$N$15*AVERAGE('Assumptions (NG)'!$K$2:$M$2)+'Assumptions (NG)'!$N$16*AVERAGE('Assumptions (NG)'!$K$3:$M$3))/10^9),0)</f>
        <v>#NUM!</v>
      </c>
      <c r="AA490" s="105" t="e">
        <f>IF($O$421&gt;0,PPMT('Assumptions (NG)'!$V$7,Model!AI$1,'Assumptions (NG)'!$V$10,'Assumptions (NG)'!$V$5*Model!$O$421*('Assumptions (NG)'!$N$15*AVERAGE('Assumptions (NG)'!$K$2:$M$2)+'Assumptions (NG)'!$N$16*AVERAGE('Assumptions (NG)'!$K$3:$M$3))/10^9),0)</f>
        <v>#NUM!</v>
      </c>
      <c r="AB490" s="105" t="e">
        <f>IF($O$421&gt;0,PPMT('Assumptions (NG)'!$V$7,Model!AJ$1,'Assumptions (NG)'!$V$10,'Assumptions (NG)'!$V$5*Model!$O$421*('Assumptions (NG)'!$N$15*AVERAGE('Assumptions (NG)'!$K$2:$M$2)+'Assumptions (NG)'!$N$16*AVERAGE('Assumptions (NG)'!$K$3:$M$3))/10^9),0)</f>
        <v>#NUM!</v>
      </c>
      <c r="AC490" s="105" t="e">
        <f>IF($O$421&gt;0,PPMT('Assumptions (NG)'!$V$7,Model!AK$1,'Assumptions (NG)'!$V$10,'Assumptions (NG)'!$V$5*Model!$O$421*('Assumptions (NG)'!$N$15*AVERAGE('Assumptions (NG)'!$K$2:$M$2)+'Assumptions (NG)'!$N$16*AVERAGE('Assumptions (NG)'!$K$3:$M$3))/10^9),0)</f>
        <v>#NUM!</v>
      </c>
      <c r="AD490" s="105"/>
      <c r="AE490" s="105"/>
      <c r="AF490" s="105"/>
      <c r="AG490" s="105"/>
      <c r="AH490" s="105"/>
      <c r="AI490" s="105"/>
      <c r="AJ490" s="105"/>
      <c r="AK490" s="105"/>
      <c r="AL490" s="105"/>
      <c r="AM490" s="105"/>
      <c r="AU490" s="105"/>
      <c r="AV490" s="105"/>
      <c r="AW490" s="105"/>
      <c r="AX490" s="105"/>
      <c r="AY490" s="105"/>
      <c r="AZ490" s="105"/>
      <c r="BA490" s="105"/>
    </row>
    <row r="491" spans="1:53" ht="15.75" hidden="1" customHeight="1" outlineLevel="1">
      <c r="A491" s="379"/>
      <c r="B491" s="99"/>
      <c r="C491" s="105"/>
      <c r="D491" s="105"/>
      <c r="E491" s="105"/>
      <c r="F491" s="105"/>
      <c r="G491" s="105"/>
      <c r="H491" s="105"/>
      <c r="I491" s="105"/>
      <c r="J491" s="105"/>
      <c r="K491" s="105"/>
      <c r="L491" s="105"/>
      <c r="M491" s="105"/>
      <c r="N491" s="105"/>
      <c r="O491" s="105"/>
      <c r="P491" s="91">
        <f>IF($P$421&gt;0,PPMT('Assumptions (NG)'!$V$7,Model!W$1,'Assumptions (NG)'!$V$10,'Assumptions (NG)'!$V$5*Model!$P$421*('Assumptions (NG)'!$O$15*AVERAGE('Assumptions (NG)'!$L$2:$N$2)+'Assumptions (NG)'!$O$16*AVERAGE('Assumptions (NG)'!$L$3:$N$3))/10^9),0)</f>
        <v>-0.23521196007849049</v>
      </c>
      <c r="Q491" s="91">
        <f>IF($P$421&gt;0,PPMT('Assumptions (NG)'!$V$7,Model!X$1,'Assumptions (NG)'!$V$10,'Assumptions (NG)'!$V$5*Model!$P$421*('Assumptions (NG)'!$O$15*AVERAGE('Assumptions (NG)'!$L$2:$N$2)+'Assumptions (NG)'!$O$16*AVERAGE('Assumptions (NG)'!$L$3:$N$3))/10^9),0)</f>
        <v>-0.25285285708437727</v>
      </c>
      <c r="R491" s="91">
        <f>IF($P$421&gt;0,PPMT('Assumptions (NG)'!$V$7,Model!Y$1,'Assumptions (NG)'!$V$10,'Assumptions (NG)'!$V$5*Model!$P$421*('Assumptions (NG)'!$O$15*AVERAGE('Assumptions (NG)'!$L$2:$N$2)+'Assumptions (NG)'!$O$16*AVERAGE('Assumptions (NG)'!$L$3:$N$3))/10^9),0)</f>
        <v>-0.27181682136570556</v>
      </c>
      <c r="S491" s="91">
        <f>IF($P$421&gt;0,PPMT('Assumptions (NG)'!$V$7,Model!Z$1,'Assumptions (NG)'!$V$10,'Assumptions (NG)'!$V$5*Model!$P$421*('Assumptions (NG)'!$O$15*AVERAGE('Assumptions (NG)'!$L$2:$N$2)+'Assumptions (NG)'!$O$16*AVERAGE('Assumptions (NG)'!$L$3:$N$3))/10^9),0)</f>
        <v>-0.29220308296813352</v>
      </c>
      <c r="T491" s="91">
        <f>IF($P$421&gt;0,PPMT('Assumptions (NG)'!$V$7,Model!AA$1,'Assumptions (NG)'!$V$10,'Assumptions (NG)'!$V$5*Model!$P$421*('Assumptions (NG)'!$O$15*AVERAGE('Assumptions (NG)'!$L$2:$N$2)+'Assumptions (NG)'!$O$16*AVERAGE('Assumptions (NG)'!$L$3:$N$3))/10^9),0)</f>
        <v>-0.31411831419074349</v>
      </c>
      <c r="U491" s="91">
        <f>IF($P$421&gt;0,PPMT('Assumptions (NG)'!$V$7,Model!AB$1,'Assumptions (NG)'!$V$10,'Assumptions (NG)'!$V$5*Model!$P$421*('Assumptions (NG)'!$O$15*AVERAGE('Assumptions (NG)'!$L$2:$N$2)+'Assumptions (NG)'!$O$16*AVERAGE('Assumptions (NG)'!$L$3:$N$3))/10^9),0)</f>
        <v>-0.33767718775504924</v>
      </c>
      <c r="V491" s="91">
        <f>IF($P$421&gt;0,PPMT('Assumptions (NG)'!$V$7,Model!AC$1,'Assumptions (NG)'!$V$10,'Assumptions (NG)'!$V$5*Model!$P$421*('Assumptions (NG)'!$O$15*AVERAGE('Assumptions (NG)'!$L$2:$N$2)+'Assumptions (NG)'!$O$16*AVERAGE('Assumptions (NG)'!$L$3:$N$3))/10^9),0)</f>
        <v>-0.36300297683667793</v>
      </c>
      <c r="W491" s="91">
        <f>IF($P$421&gt;0,PPMT('Assumptions (NG)'!$V$7,Model!AD$1,'Assumptions (NG)'!$V$10,'Assumptions (NG)'!$V$5*Model!$P$421*('Assumptions (NG)'!$O$15*AVERAGE('Assumptions (NG)'!$L$2:$N$2)+'Assumptions (NG)'!$O$16*AVERAGE('Assumptions (NG)'!$L$3:$N$3))/10^9),0)</f>
        <v>-0.39022820009942877</v>
      </c>
      <c r="X491" s="91">
        <f>IF($P$421&gt;0,PPMT('Assumptions (NG)'!$V$7,Model!AE$1,'Assumptions (NG)'!$V$10,'Assumptions (NG)'!$V$5*Model!$P$421*('Assumptions (NG)'!$O$15*AVERAGE('Assumptions (NG)'!$L$2:$N$2)+'Assumptions (NG)'!$O$16*AVERAGE('Assumptions (NG)'!$L$3:$N$3))/10^9),0)</f>
        <v>-0.41949531510688598</v>
      </c>
      <c r="Y491" s="91">
        <f>IF($P$421&gt;0,PPMT('Assumptions (NG)'!$V$7,Model!AF$1,'Assumptions (NG)'!$V$10,'Assumptions (NG)'!$V$5*Model!$P$421*('Assumptions (NG)'!$O$15*AVERAGE('Assumptions (NG)'!$L$2:$N$2)+'Assumptions (NG)'!$O$16*AVERAGE('Assumptions (NG)'!$L$3:$N$3))/10^9),0)</f>
        <v>-0.45095746373990242</v>
      </c>
      <c r="Z491" s="91" t="e">
        <f>IF($P$421&gt;0,PPMT('Assumptions (NG)'!$V$7,Model!AG$1,'Assumptions (NG)'!$V$10,'Assumptions (NG)'!$V$5*Model!$P$421*('Assumptions (NG)'!$O$15*AVERAGE('Assumptions (NG)'!$L$2:$N$2)+'Assumptions (NG)'!$O$16*AVERAGE('Assumptions (NG)'!$L$3:$N$3))/10^9),0)</f>
        <v>#NUM!</v>
      </c>
      <c r="AA491" s="91" t="e">
        <f>IF($P$421&gt;0,PPMT('Assumptions (NG)'!$V$7,Model!AH$1,'Assumptions (NG)'!$V$10,'Assumptions (NG)'!$V$5*Model!$P$421*('Assumptions (NG)'!$O$15*AVERAGE('Assumptions (NG)'!$L$2:$N$2)+'Assumptions (NG)'!$O$16*AVERAGE('Assumptions (NG)'!$L$3:$N$3))/10^9),0)</f>
        <v>#NUM!</v>
      </c>
      <c r="AB491" s="91" t="e">
        <f>IF($P$421&gt;0,PPMT('Assumptions (NG)'!$V$7,Model!AI$1,'Assumptions (NG)'!$V$10,'Assumptions (NG)'!$V$5*Model!$P$421*('Assumptions (NG)'!$O$15*AVERAGE('Assumptions (NG)'!$L$2:$N$2)+'Assumptions (NG)'!$O$16*AVERAGE('Assumptions (NG)'!$L$3:$N$3))/10^9),0)</f>
        <v>#NUM!</v>
      </c>
      <c r="AC491" s="91" t="e">
        <f>IF($P$421&gt;0,PPMT('Assumptions (NG)'!$V$7,Model!AJ$1,'Assumptions (NG)'!$V$10,'Assumptions (NG)'!$V$5*Model!$P$421*('Assumptions (NG)'!$O$15*AVERAGE('Assumptions (NG)'!$L$2:$N$2)+'Assumptions (NG)'!$O$16*AVERAGE('Assumptions (NG)'!$L$3:$N$3))/10^9),0)</f>
        <v>#NUM!</v>
      </c>
      <c r="AD491" s="91" t="e">
        <f>IF($P$421&gt;0,PPMT('Assumptions (NG)'!$V$7,Model!AK$1,'Assumptions (NG)'!$V$10,'Assumptions (NG)'!$V$5*Model!$P$421*('Assumptions (NG)'!$O$15*AVERAGE('Assumptions (NG)'!$L$2:$N$2)+'Assumptions (NG)'!$O$16*AVERAGE('Assumptions (NG)'!$L$3:$N$3))/10^9),0)</f>
        <v>#NUM!</v>
      </c>
      <c r="AE491" s="91"/>
      <c r="AF491" s="91"/>
      <c r="AG491" s="91"/>
      <c r="AH491" s="91"/>
      <c r="AI491" s="91"/>
      <c r="AJ491" s="91"/>
      <c r="AK491" s="91"/>
      <c r="AL491" s="91"/>
      <c r="AM491" s="91"/>
      <c r="AN491" s="91"/>
      <c r="AU491" s="105"/>
      <c r="AV491" s="105"/>
      <c r="AW491" s="105"/>
      <c r="AX491" s="105"/>
      <c r="AY491" s="105"/>
      <c r="AZ491" s="105"/>
      <c r="BA491" s="105"/>
    </row>
    <row r="492" spans="1:53" ht="15.75" hidden="1" customHeight="1" outlineLevel="1">
      <c r="A492" s="379"/>
      <c r="B492" s="99"/>
      <c r="C492" s="105"/>
      <c r="D492" s="105"/>
      <c r="E492" s="105"/>
      <c r="F492" s="105"/>
      <c r="G492" s="105"/>
      <c r="H492" s="105"/>
      <c r="I492" s="105"/>
      <c r="J492" s="105"/>
      <c r="K492" s="105"/>
      <c r="L492" s="105"/>
      <c r="M492" s="105"/>
      <c r="N492" s="105"/>
      <c r="O492" s="105"/>
      <c r="P492" s="171"/>
      <c r="Q492" s="105">
        <f>IF($Q$421&gt;0,PPMT('Assumptions (NG)'!$V$7,Model!W$1,'Assumptions (NG)'!$V$10,'Assumptions (NG)'!$V$5*Model!$Q$421*('Assumptions (NG)'!$P$15*AVERAGE('Assumptions (NG)'!$M$2:$O$2)+'Assumptions (NG)'!$P$16*AVERAGE('Assumptions (NG)'!$M$3:$O$3))/10^9),0)</f>
        <v>-0.30235061979550865</v>
      </c>
      <c r="R492" s="105">
        <f>IF($Q$421&gt;0,PPMT('Assumptions (NG)'!$V$7,Model!X$1,'Assumptions (NG)'!$V$10,'Assumptions (NG)'!$V$5*Model!$Q$421*('Assumptions (NG)'!$P$15*AVERAGE('Assumptions (NG)'!$M$2:$O$2)+'Assumptions (NG)'!$P$16*AVERAGE('Assumptions (NG)'!$M$3:$O$3))/10^9),0)</f>
        <v>-0.32502691628017183</v>
      </c>
      <c r="S492" s="105">
        <f>IF($Q$421&gt;0,PPMT('Assumptions (NG)'!$V$7,Model!Y$1,'Assumptions (NG)'!$V$10,'Assumptions (NG)'!$V$5*Model!$Q$421*('Assumptions (NG)'!$P$15*AVERAGE('Assumptions (NG)'!$M$2:$O$2)+'Assumptions (NG)'!$P$16*AVERAGE('Assumptions (NG)'!$M$3:$O$3))/10^9),0)</f>
        <v>-0.34940393500118466</v>
      </c>
      <c r="T492" s="105">
        <f>IF($Q$421&gt;0,PPMT('Assumptions (NG)'!$V$7,Model!Z$1,'Assumptions (NG)'!$V$10,'Assumptions (NG)'!$V$5*Model!$Q$421*('Assumptions (NG)'!$P$15*AVERAGE('Assumptions (NG)'!$M$2:$O$2)+'Assumptions (NG)'!$P$16*AVERAGE('Assumptions (NG)'!$M$3:$O$3))/10^9),0)</f>
        <v>-0.37560923012627356</v>
      </c>
      <c r="U492" s="105">
        <f>IF($Q$421&gt;0,PPMT('Assumptions (NG)'!$V$7,Model!AA$1,'Assumptions (NG)'!$V$10,'Assumptions (NG)'!$V$5*Model!$Q$421*('Assumptions (NG)'!$P$15*AVERAGE('Assumptions (NG)'!$M$2:$O$2)+'Assumptions (NG)'!$P$16*AVERAGE('Assumptions (NG)'!$M$3:$O$3))/10^9),0)</f>
        <v>-0.40377992238574406</v>
      </c>
      <c r="V492" s="105">
        <f>IF($Q$421&gt;0,PPMT('Assumptions (NG)'!$V$7,Model!AB$1,'Assumptions (NG)'!$V$10,'Assumptions (NG)'!$V$5*Model!$Q$421*('Assumptions (NG)'!$P$15*AVERAGE('Assumptions (NG)'!$M$2:$O$2)+'Assumptions (NG)'!$P$16*AVERAGE('Assumptions (NG)'!$M$3:$O$3))/10^9),0)</f>
        <v>-0.43406341656467484</v>
      </c>
      <c r="W492" s="105">
        <f>IF($Q$421&gt;0,PPMT('Assumptions (NG)'!$V$7,Model!AC$1,'Assumptions (NG)'!$V$10,'Assumptions (NG)'!$V$5*Model!$Q$421*('Assumptions (NG)'!$P$15*AVERAGE('Assumptions (NG)'!$M$2:$O$2)+'Assumptions (NG)'!$P$16*AVERAGE('Assumptions (NG)'!$M$3:$O$3))/10^9),0)</f>
        <v>-0.4666181728070255</v>
      </c>
      <c r="X492" s="105">
        <f>IF($Q$421&gt;0,PPMT('Assumptions (NG)'!$V$7,Model!AD$1,'Assumptions (NG)'!$V$10,'Assumptions (NG)'!$V$5*Model!$Q$421*('Assumptions (NG)'!$P$15*AVERAGE('Assumptions (NG)'!$M$2:$O$2)+'Assumptions (NG)'!$P$16*AVERAGE('Assumptions (NG)'!$M$3:$O$3))/10^9),0)</f>
        <v>-0.50161453576755233</v>
      </c>
      <c r="Y492" s="105">
        <f>IF($Q$421&gt;0,PPMT('Assumptions (NG)'!$V$7,Model!AE$1,'Assumptions (NG)'!$V$10,'Assumptions (NG)'!$V$5*Model!$Q$421*('Assumptions (NG)'!$P$15*AVERAGE('Assumptions (NG)'!$M$2:$O$2)+'Assumptions (NG)'!$P$16*AVERAGE('Assumptions (NG)'!$M$3:$O$3))/10^9),0)</f>
        <v>-0.53923562595011887</v>
      </c>
      <c r="Z492" s="105">
        <f>IF($Q$421&gt;0,PPMT('Assumptions (NG)'!$V$7,Model!AF$1,'Assumptions (NG)'!$V$10,'Assumptions (NG)'!$V$5*Model!$Q$421*('Assumptions (NG)'!$P$15*AVERAGE('Assumptions (NG)'!$M$2:$O$2)+'Assumptions (NG)'!$P$16*AVERAGE('Assumptions (NG)'!$M$3:$O$3))/10^9),0)</f>
        <v>-0.5796782978963777</v>
      </c>
      <c r="AA492" s="105" t="e">
        <f>IF($Q$421&gt;0,PPMT('Assumptions (NG)'!$V$7,Model!AG$1,'Assumptions (NG)'!$V$10,'Assumptions (NG)'!$V$5*Model!$Q$421*('Assumptions (NG)'!$P$15*AVERAGE('Assumptions (NG)'!$M$2:$O$2)+'Assumptions (NG)'!$P$16*AVERAGE('Assumptions (NG)'!$M$3:$O$3))/10^9),0)</f>
        <v>#NUM!</v>
      </c>
      <c r="AB492" s="105" t="e">
        <f>IF($Q$421&gt;0,PPMT('Assumptions (NG)'!$V$7,Model!AH$1,'Assumptions (NG)'!$V$10,'Assumptions (NG)'!$V$5*Model!$Q$421*('Assumptions (NG)'!$P$15*AVERAGE('Assumptions (NG)'!$M$2:$O$2)+'Assumptions (NG)'!$P$16*AVERAGE('Assumptions (NG)'!$M$3:$O$3))/10^9),0)</f>
        <v>#NUM!</v>
      </c>
      <c r="AC492" s="105" t="e">
        <f>IF($Q$421&gt;0,PPMT('Assumptions (NG)'!$V$7,Model!AI$1,'Assumptions (NG)'!$V$10,'Assumptions (NG)'!$V$5*Model!$Q$421*('Assumptions (NG)'!$P$15*AVERAGE('Assumptions (NG)'!$M$2:$O$2)+'Assumptions (NG)'!$P$16*AVERAGE('Assumptions (NG)'!$M$3:$O$3))/10^9),0)</f>
        <v>#NUM!</v>
      </c>
      <c r="AD492" s="105" t="e">
        <f>IF($Q$421&gt;0,PPMT('Assumptions (NG)'!$V$7,Model!AJ$1,'Assumptions (NG)'!$V$10,'Assumptions (NG)'!$V$5*Model!$Q$421*('Assumptions (NG)'!$P$15*AVERAGE('Assumptions (NG)'!$M$2:$O$2)+'Assumptions (NG)'!$P$16*AVERAGE('Assumptions (NG)'!$M$3:$O$3))/10^9),0)</f>
        <v>#NUM!</v>
      </c>
      <c r="AE492" s="105" t="e">
        <f>IF($Q$421&gt;0,PPMT('Assumptions (NG)'!$V$7,Model!AK$1,'Assumptions (NG)'!$V$10,'Assumptions (NG)'!$V$5*Model!$Q$421*('Assumptions (NG)'!$P$15*AVERAGE('Assumptions (NG)'!$M$2:$O$2)+'Assumptions (NG)'!$P$16*AVERAGE('Assumptions (NG)'!$M$3:$O$3))/10^9),0)</f>
        <v>#NUM!</v>
      </c>
      <c r="AF492" s="105"/>
      <c r="AG492" s="105"/>
      <c r="AH492" s="105"/>
      <c r="AI492" s="105"/>
      <c r="AJ492" s="105"/>
      <c r="AK492" s="105"/>
      <c r="AL492" s="105"/>
      <c r="AM492" s="105"/>
      <c r="AN492" s="105"/>
      <c r="AO492" s="105"/>
      <c r="AU492" s="105"/>
      <c r="AV492" s="105"/>
      <c r="AW492" s="105"/>
      <c r="AX492" s="105"/>
      <c r="AY492" s="105"/>
      <c r="AZ492" s="105"/>
      <c r="BA492" s="105"/>
    </row>
    <row r="493" spans="1:53" ht="15.75" hidden="1" customHeight="1" outlineLevel="1">
      <c r="A493" s="379"/>
      <c r="B493" s="99"/>
      <c r="C493" s="105"/>
      <c r="D493" s="105"/>
      <c r="E493" s="105"/>
      <c r="F493" s="105"/>
      <c r="G493" s="105"/>
      <c r="H493" s="105"/>
      <c r="I493" s="105"/>
      <c r="J493" s="105"/>
      <c r="K493" s="105"/>
      <c r="L493" s="105"/>
      <c r="M493" s="105"/>
      <c r="N493" s="105"/>
      <c r="O493" s="105"/>
      <c r="P493" s="171"/>
      <c r="Q493" s="105"/>
      <c r="R493" s="91">
        <f>IF($R$421&gt;0,PPMT('Assumptions (NG)'!$V$7,Model!W$1,'Assumptions (NG)'!$V$10,'Assumptions (NG)'!$V$5*Model!$R$421*('Assumptions (NG)'!$Q$15*AVERAGE('Assumptions (NG)'!$N$2:$P$2)+'Assumptions (NG)'!$Q$16*AVERAGE('Assumptions (NG)'!$N$3:$P$3))/10^9),0)</f>
        <v>-0.20956005062333458</v>
      </c>
      <c r="S493" s="91">
        <f>IF($R$421&gt;0,PPMT('Assumptions (NG)'!$V$7,Model!X$1,'Assumptions (NG)'!$V$10,'Assumptions (NG)'!$V$5*Model!$R$421*('Assumptions (NG)'!$Q$15*AVERAGE('Assumptions (NG)'!$N$2:$P$2)+'Assumptions (NG)'!$Q$16*AVERAGE('Assumptions (NG)'!$N$3:$P$3))/10^9),0)</f>
        <v>-0.22527705442008467</v>
      </c>
      <c r="T493" s="91">
        <f>IF($R$421&gt;0,PPMT('Assumptions (NG)'!$V$7,Model!Y$1,'Assumptions (NG)'!$V$10,'Assumptions (NG)'!$V$5*Model!$R$421*('Assumptions (NG)'!$Q$15*AVERAGE('Assumptions (NG)'!$N$2:$P$2)+'Assumptions (NG)'!$Q$16*AVERAGE('Assumptions (NG)'!$N$3:$P$3))/10^9),0)</f>
        <v>-0.24217283350159099</v>
      </c>
      <c r="U493" s="91">
        <f>IF($R$421&gt;0,PPMT('Assumptions (NG)'!$V$7,Model!Z$1,'Assumptions (NG)'!$V$10,'Assumptions (NG)'!$V$5*Model!$R$421*('Assumptions (NG)'!$Q$15*AVERAGE('Assumptions (NG)'!$N$2:$P$2)+'Assumptions (NG)'!$Q$16*AVERAGE('Assumptions (NG)'!$N$3:$P$3))/10^9),0)</f>
        <v>-0.26033579601421036</v>
      </c>
      <c r="V493" s="91">
        <f>IF($R$421&gt;0,PPMT('Assumptions (NG)'!$V$7,Model!AA$1,'Assumptions (NG)'!$V$10,'Assumptions (NG)'!$V$5*Model!$R$421*('Assumptions (NG)'!$Q$15*AVERAGE('Assumptions (NG)'!$N$2:$P$2)+'Assumptions (NG)'!$Q$16*AVERAGE('Assumptions (NG)'!$N$3:$P$3))/10^9),0)</f>
        <v>-0.27986098071527615</v>
      </c>
      <c r="W493" s="91">
        <f>IF($R$421&gt;0,PPMT('Assumptions (NG)'!$V$7,Model!AB$1,'Assumptions (NG)'!$V$10,'Assumptions (NG)'!$V$5*Model!$R$421*('Assumptions (NG)'!$Q$15*AVERAGE('Assumptions (NG)'!$N$2:$P$2)+'Assumptions (NG)'!$Q$16*AVERAGE('Assumptions (NG)'!$N$3:$P$3))/10^9),0)</f>
        <v>-0.30085055426892177</v>
      </c>
      <c r="X493" s="91">
        <f>IF($R$421&gt;0,PPMT('Assumptions (NG)'!$V$7,Model!AC$1,'Assumptions (NG)'!$V$10,'Assumptions (NG)'!$V$5*Model!$R$421*('Assumptions (NG)'!$Q$15*AVERAGE('Assumptions (NG)'!$N$2:$P$2)+'Assumptions (NG)'!$Q$16*AVERAGE('Assumptions (NG)'!$N$3:$P$3))/10^9),0)</f>
        <v>-0.32341434583909096</v>
      </c>
      <c r="Y493" s="91">
        <f>IF($R$421&gt;0,PPMT('Assumptions (NG)'!$V$7,Model!AD$1,'Assumptions (NG)'!$V$10,'Assumptions (NG)'!$V$5*Model!$R$421*('Assumptions (NG)'!$Q$15*AVERAGE('Assumptions (NG)'!$N$2:$P$2)+'Assumptions (NG)'!$Q$16*AVERAGE('Assumptions (NG)'!$N$3:$P$3))/10^9),0)</f>
        <v>-0.34767042177702279</v>
      </c>
      <c r="Z493" s="91">
        <f>IF($R$421&gt;0,PPMT('Assumptions (NG)'!$V$7,Model!AE$1,'Assumptions (NG)'!$V$10,'Assumptions (NG)'!$V$5*Model!$R$421*('Assumptions (NG)'!$Q$15*AVERAGE('Assumptions (NG)'!$N$2:$P$2)+'Assumptions (NG)'!$Q$16*AVERAGE('Assumptions (NG)'!$N$3:$P$3))/10^9),0)</f>
        <v>-0.3737457034102995</v>
      </c>
      <c r="AA493" s="91">
        <f>IF($R$421&gt;0,PPMT('Assumptions (NG)'!$V$7,Model!AF$1,'Assumptions (NG)'!$V$10,'Assumptions (NG)'!$V$5*Model!$R$421*('Assumptions (NG)'!$Q$15*AVERAGE('Assumptions (NG)'!$N$2:$P$2)+'Assumptions (NG)'!$Q$16*AVERAGE('Assumptions (NG)'!$N$3:$P$3))/10^9),0)</f>
        <v>-0.40177663116607193</v>
      </c>
      <c r="AB493" s="91" t="e">
        <f>IF($R$421&gt;0,PPMT('Assumptions (NG)'!$V$7,Model!AG$1,'Assumptions (NG)'!$V$10,'Assumptions (NG)'!$V$5*Model!$R$421*('Assumptions (NG)'!$Q$15*AVERAGE('Assumptions (NG)'!$N$2:$P$2)+'Assumptions (NG)'!$Q$16*AVERAGE('Assumptions (NG)'!$N$3:$P$3))/10^9),0)</f>
        <v>#NUM!</v>
      </c>
      <c r="AC493" s="91" t="e">
        <f>IF($R$421&gt;0,PPMT('Assumptions (NG)'!$V$7,Model!AH$1,'Assumptions (NG)'!$V$10,'Assumptions (NG)'!$V$5*Model!$R$421*('Assumptions (NG)'!$Q$15*AVERAGE('Assumptions (NG)'!$N$2:$P$2)+'Assumptions (NG)'!$Q$16*AVERAGE('Assumptions (NG)'!$N$3:$P$3))/10^9),0)</f>
        <v>#NUM!</v>
      </c>
      <c r="AD493" s="91" t="e">
        <f>IF($R$421&gt;0,PPMT('Assumptions (NG)'!$V$7,Model!AI$1,'Assumptions (NG)'!$V$10,'Assumptions (NG)'!$V$5*Model!$R$421*('Assumptions (NG)'!$Q$15*AVERAGE('Assumptions (NG)'!$N$2:$P$2)+'Assumptions (NG)'!$Q$16*AVERAGE('Assumptions (NG)'!$N$3:$P$3))/10^9),0)</f>
        <v>#NUM!</v>
      </c>
      <c r="AE493" s="91" t="e">
        <f>IF($R$421&gt;0,PPMT('Assumptions (NG)'!$V$7,Model!AJ$1,'Assumptions (NG)'!$V$10,'Assumptions (NG)'!$V$5*Model!$R$421*('Assumptions (NG)'!$Q$15*AVERAGE('Assumptions (NG)'!$N$2:$P$2)+'Assumptions (NG)'!$Q$16*AVERAGE('Assumptions (NG)'!$N$3:$P$3))/10^9),0)</f>
        <v>#NUM!</v>
      </c>
      <c r="AF493" s="91" t="e">
        <f>IF($R$421&gt;0,PPMT('Assumptions (NG)'!$V$7,Model!AK$1,'Assumptions (NG)'!$V$10,'Assumptions (NG)'!$V$5*Model!$R$421*('Assumptions (NG)'!$Q$15*AVERAGE('Assumptions (NG)'!$N$2:$P$2)+'Assumptions (NG)'!$Q$16*AVERAGE('Assumptions (NG)'!$N$3:$P$3))/10^9),0)</f>
        <v>#NUM!</v>
      </c>
      <c r="AG493" s="91"/>
      <c r="AH493" s="91"/>
      <c r="AI493" s="91"/>
      <c r="AJ493" s="91"/>
      <c r="AK493" s="91"/>
      <c r="AL493" s="91"/>
      <c r="AM493" s="91"/>
      <c r="AN493" s="91"/>
      <c r="AO493" s="91"/>
      <c r="AP493" s="91"/>
      <c r="AU493" s="105"/>
      <c r="AV493" s="105"/>
      <c r="AW493" s="105"/>
      <c r="AX493" s="105"/>
      <c r="AY493" s="105"/>
      <c r="AZ493" s="105"/>
      <c r="BA493" s="105"/>
    </row>
    <row r="494" spans="1:53" ht="15.75" hidden="1" customHeight="1" outlineLevel="1">
      <c r="A494" s="379"/>
      <c r="B494" s="99"/>
      <c r="C494" s="105"/>
      <c r="D494" s="105"/>
      <c r="E494" s="105"/>
      <c r="F494" s="105"/>
      <c r="G494" s="105"/>
      <c r="H494" s="105"/>
      <c r="I494" s="105"/>
      <c r="J494" s="105"/>
      <c r="K494" s="105"/>
      <c r="L494" s="105"/>
      <c r="M494" s="105"/>
      <c r="N494" s="105"/>
      <c r="O494" s="105"/>
      <c r="P494" s="171"/>
      <c r="Q494" s="105"/>
      <c r="R494" s="91"/>
      <c r="S494" s="105">
        <f>IF($S$421&gt;0,PPMT('Assumptions (NG)'!$V$7,Model!W$1,'Assumptions (NG)'!$V$10,'Assumptions (NG)'!$V$5*Model!$S$421*('Assumptions (NG)'!$R$15*AVERAGE('Assumptions (NG)'!$O$2:$Q$2)+'Assumptions (NG)'!$R$16*AVERAGE('Assumptions (NG)'!$O$3:$Q$3))/10^9),0)</f>
        <v>-0.33570030388585831</v>
      </c>
      <c r="T494" s="105">
        <f>IF($S$421&gt;0,PPMT('Assumptions (NG)'!$V$7,Model!X$1,'Assumptions (NG)'!$V$10,'Assumptions (NG)'!$V$5*Model!$S$421*('Assumptions (NG)'!$R$15*AVERAGE('Assumptions (NG)'!$O$2:$Q$2)+'Assumptions (NG)'!$R$16*AVERAGE('Assumptions (NG)'!$O$3:$Q$3))/10^9),0)</f>
        <v>-0.36087782667729768</v>
      </c>
      <c r="U494" s="105">
        <f>IF($S$421&gt;0,PPMT('Assumptions (NG)'!$V$7,Model!Y$1,'Assumptions (NG)'!$V$10,'Assumptions (NG)'!$V$5*Model!$S$421*('Assumptions (NG)'!$R$15*AVERAGE('Assumptions (NG)'!$O$2:$Q$2)+'Assumptions (NG)'!$R$16*AVERAGE('Assumptions (NG)'!$O$3:$Q$3))/10^9),0)</f>
        <v>-0.38794366367809491</v>
      </c>
      <c r="V494" s="105">
        <f>IF($S$421&gt;0,PPMT('Assumptions (NG)'!$V$7,Model!Z$1,'Assumptions (NG)'!$V$10,'Assumptions (NG)'!$V$5*Model!$S$421*('Assumptions (NG)'!$R$15*AVERAGE('Assumptions (NG)'!$O$2:$Q$2)+'Assumptions (NG)'!$R$16*AVERAGE('Assumptions (NG)'!$O$3:$Q$3))/10^9),0)</f>
        <v>-0.41703943845395214</v>
      </c>
      <c r="W494" s="105">
        <f>IF($S$421&gt;0,PPMT('Assumptions (NG)'!$V$7,Model!AA$1,'Assumptions (NG)'!$V$10,'Assumptions (NG)'!$V$5*Model!$S$421*('Assumptions (NG)'!$R$15*AVERAGE('Assumptions (NG)'!$O$2:$Q$2)+'Assumptions (NG)'!$R$16*AVERAGE('Assumptions (NG)'!$O$3:$Q$3))/10^9),0)</f>
        <v>-0.4483173963379985</v>
      </c>
      <c r="X494" s="105">
        <f>IF($S$421&gt;0,PPMT('Assumptions (NG)'!$V$7,Model!AB$1,'Assumptions (NG)'!$V$10,'Assumptions (NG)'!$V$5*Model!$S$421*('Assumptions (NG)'!$R$15*AVERAGE('Assumptions (NG)'!$O$2:$Q$2)+'Assumptions (NG)'!$R$16*AVERAGE('Assumptions (NG)'!$O$3:$Q$3))/10^9),0)</f>
        <v>-0.48194120106334837</v>
      </c>
      <c r="Y494" s="105">
        <f>IF($S$421&gt;0,PPMT('Assumptions (NG)'!$V$7,Model!AC$1,'Assumptions (NG)'!$V$10,'Assumptions (NG)'!$V$5*Model!$S$421*('Assumptions (NG)'!$R$15*AVERAGE('Assumptions (NG)'!$O$2:$Q$2)+'Assumptions (NG)'!$R$16*AVERAGE('Assumptions (NG)'!$O$3:$Q$3))/10^9),0)</f>
        <v>-0.51808679114309952</v>
      </c>
      <c r="Z494" s="105">
        <f>IF($S$421&gt;0,PPMT('Assumptions (NG)'!$V$7,Model!AD$1,'Assumptions (NG)'!$V$10,'Assumptions (NG)'!$V$5*Model!$S$421*('Assumptions (NG)'!$R$15*AVERAGE('Assumptions (NG)'!$O$2:$Q$2)+'Assumptions (NG)'!$R$16*AVERAGE('Assumptions (NG)'!$O$3:$Q$3))/10^9),0)</f>
        <v>-0.556943300478832</v>
      </c>
      <c r="AA494" s="105">
        <f>IF($S$421&gt;0,PPMT('Assumptions (NG)'!$V$7,Model!AE$1,'Assumptions (NG)'!$V$10,'Assumptions (NG)'!$V$5*Model!$S$421*('Assumptions (NG)'!$R$15*AVERAGE('Assumptions (NG)'!$O$2:$Q$2)+'Assumptions (NG)'!$R$16*AVERAGE('Assumptions (NG)'!$O$3:$Q$3))/10^9),0)</f>
        <v>-0.59871404801474448</v>
      </c>
      <c r="AB494" s="105">
        <f>IF($S$421&gt;0,PPMT('Assumptions (NG)'!$V$7,Model!AF$1,'Assumptions (NG)'!$V$10,'Assumptions (NG)'!$V$5*Model!$S$421*('Assumptions (NG)'!$R$15*AVERAGE('Assumptions (NG)'!$O$2:$Q$2)+'Assumptions (NG)'!$R$16*AVERAGE('Assumptions (NG)'!$O$3:$Q$3))/10^9),0)</f>
        <v>-0.64361760161585013</v>
      </c>
      <c r="AC494" s="105" t="e">
        <f>IF($S$421&gt;0,PPMT('Assumptions (NG)'!$V$7,Model!AG$1,'Assumptions (NG)'!$V$10,'Assumptions (NG)'!$V$5*Model!$S$421*('Assumptions (NG)'!$R$15*AVERAGE('Assumptions (NG)'!$O$2:$Q$2)+'Assumptions (NG)'!$R$16*AVERAGE('Assumptions (NG)'!$O$3:$Q$3))/10^9),0)</f>
        <v>#NUM!</v>
      </c>
      <c r="AD494" s="105" t="e">
        <f>IF($S$421&gt;0,PPMT('Assumptions (NG)'!$V$7,Model!AH$1,'Assumptions (NG)'!$V$10,'Assumptions (NG)'!$V$5*Model!$S$421*('Assumptions (NG)'!$R$15*AVERAGE('Assumptions (NG)'!$O$2:$Q$2)+'Assumptions (NG)'!$R$16*AVERAGE('Assumptions (NG)'!$O$3:$Q$3))/10^9),0)</f>
        <v>#NUM!</v>
      </c>
      <c r="AE494" s="105" t="e">
        <f>IF($S$421&gt;0,PPMT('Assumptions (NG)'!$V$7,Model!AI$1,'Assumptions (NG)'!$V$10,'Assumptions (NG)'!$V$5*Model!$S$421*('Assumptions (NG)'!$R$15*AVERAGE('Assumptions (NG)'!$O$2:$Q$2)+'Assumptions (NG)'!$R$16*AVERAGE('Assumptions (NG)'!$O$3:$Q$3))/10^9),0)</f>
        <v>#NUM!</v>
      </c>
      <c r="AF494" s="105" t="e">
        <f>IF($S$421&gt;0,PPMT('Assumptions (NG)'!$V$7,Model!AJ$1,'Assumptions (NG)'!$V$10,'Assumptions (NG)'!$V$5*Model!$S$421*('Assumptions (NG)'!$R$15*AVERAGE('Assumptions (NG)'!$O$2:$Q$2)+'Assumptions (NG)'!$R$16*AVERAGE('Assumptions (NG)'!$O$3:$Q$3))/10^9),0)</f>
        <v>#NUM!</v>
      </c>
      <c r="AG494" s="105" t="e">
        <f>IF($S$421&gt;0,PPMT('Assumptions (NG)'!$V$7,Model!AK$1,'Assumptions (NG)'!$V$10,'Assumptions (NG)'!$V$5*Model!$S$421*('Assumptions (NG)'!$R$15*AVERAGE('Assumptions (NG)'!$O$2:$Q$2)+'Assumptions (NG)'!$R$16*AVERAGE('Assumptions (NG)'!$O$3:$Q$3))/10^9),0)</f>
        <v>#NUM!</v>
      </c>
      <c r="AH494" s="105"/>
      <c r="AI494" s="105"/>
      <c r="AJ494" s="105"/>
      <c r="AK494" s="105"/>
      <c r="AL494" s="105"/>
      <c r="AM494" s="105"/>
      <c r="AN494" s="105"/>
      <c r="AO494" s="105"/>
      <c r="AP494" s="105"/>
      <c r="AQ494" s="105"/>
      <c r="AU494" s="105"/>
      <c r="AV494" s="105"/>
      <c r="AW494" s="105"/>
      <c r="AX494" s="105"/>
      <c r="AY494" s="105"/>
      <c r="AZ494" s="105"/>
      <c r="BA494" s="105"/>
    </row>
    <row r="495" spans="1:53" ht="15.75" hidden="1" customHeight="1" outlineLevel="1">
      <c r="A495" s="379"/>
      <c r="B495" s="99"/>
      <c r="C495" s="105"/>
      <c r="D495" s="105"/>
      <c r="E495" s="105"/>
      <c r="F495" s="105"/>
      <c r="G495" s="105"/>
      <c r="H495" s="105"/>
      <c r="I495" s="105"/>
      <c r="J495" s="105"/>
      <c r="K495" s="105"/>
      <c r="L495" s="105"/>
      <c r="M495" s="105"/>
      <c r="N495" s="105"/>
      <c r="O495" s="105"/>
      <c r="P495" s="171"/>
      <c r="Q495" s="105"/>
      <c r="R495" s="91"/>
      <c r="S495" s="91"/>
      <c r="T495" s="105">
        <f>IF($T$421&gt;0,PPMT('Assumptions (NG)'!$V$7,Model!W$1,'Assumptions (NG)'!$V$10,'Assumptions (NG)'!$V$5*Model!$T$421*('Assumptions (NG)'!$S$15*AVERAGE('Assumptions (NG)'!$P$2:$R$2)+'Assumptions (NG)'!$S$16*AVERAGE('Assumptions (NG)'!$P$3:$R$3))/10^9),0)</f>
        <v>-0.35268363801174496</v>
      </c>
      <c r="U495" s="105">
        <f>IF($T$421&gt;0,PPMT('Assumptions (NG)'!$V$7,Model!X$1,'Assumptions (NG)'!$V$10,'Assumptions (NG)'!$V$5*Model!$T$421*('Assumptions (NG)'!$S$15*AVERAGE('Assumptions (NG)'!$P$2:$R$2)+'Assumptions (NG)'!$S$16*AVERAGE('Assumptions (NG)'!$P$3:$R$3))/10^9),0)</f>
        <v>-0.3791349108626258</v>
      </c>
      <c r="V495" s="105">
        <f>IF($T$421&gt;0,PPMT('Assumptions (NG)'!$V$7,Model!Y$1,'Assumptions (NG)'!$V$10,'Assumptions (NG)'!$V$5*Model!$T$421*('Assumptions (NG)'!$S$15*AVERAGE('Assumptions (NG)'!$P$2:$R$2)+'Assumptions (NG)'!$S$16*AVERAGE('Assumptions (NG)'!$P$3:$R$3))/10^9),0)</f>
        <v>-0.40757002917732277</v>
      </c>
      <c r="W495" s="105">
        <f>IF($T$421&gt;0,PPMT('Assumptions (NG)'!$V$7,Model!Z$1,'Assumptions (NG)'!$V$10,'Assumptions (NG)'!$V$5*Model!$T$421*('Assumptions (NG)'!$S$15*AVERAGE('Assumptions (NG)'!$P$2:$R$2)+'Assumptions (NG)'!$S$16*AVERAGE('Assumptions (NG)'!$P$3:$R$3))/10^9),0)</f>
        <v>-0.43813778136562204</v>
      </c>
      <c r="X495" s="105">
        <f>IF($T$421&gt;0,PPMT('Assumptions (NG)'!$V$7,Model!AA$1,'Assumptions (NG)'!$V$10,'Assumptions (NG)'!$V$5*Model!$T$421*('Assumptions (NG)'!$S$15*AVERAGE('Assumptions (NG)'!$P$2:$R$2)+'Assumptions (NG)'!$S$16*AVERAGE('Assumptions (NG)'!$P$3:$R$3))/10^9),0)</f>
        <v>-0.47099811496804367</v>
      </c>
      <c r="Y495" s="105">
        <f>IF($T$421&gt;0,PPMT('Assumptions (NG)'!$V$7,Model!AB$1,'Assumptions (NG)'!$V$10,'Assumptions (NG)'!$V$5*Model!$T$421*('Assumptions (NG)'!$S$15*AVERAGE('Assumptions (NG)'!$P$2:$R$2)+'Assumptions (NG)'!$S$16*AVERAGE('Assumptions (NG)'!$P$3:$R$3))/10^9),0)</f>
        <v>-0.50632297359064693</v>
      </c>
      <c r="Z495" s="105">
        <f>IF($T$421&gt;0,PPMT('Assumptions (NG)'!$V$7,Model!AC$1,'Assumptions (NG)'!$V$10,'Assumptions (NG)'!$V$5*Model!$T$421*('Assumptions (NG)'!$S$15*AVERAGE('Assumptions (NG)'!$P$2:$R$2)+'Assumptions (NG)'!$S$16*AVERAGE('Assumptions (NG)'!$P$3:$R$3))/10^9),0)</f>
        <v>-0.54429719660994547</v>
      </c>
      <c r="AA495" s="105">
        <f>IF($T$421&gt;0,PPMT('Assumptions (NG)'!$V$7,Model!AD$1,'Assumptions (NG)'!$V$10,'Assumptions (NG)'!$V$5*Model!$T$421*('Assumptions (NG)'!$S$15*AVERAGE('Assumptions (NG)'!$P$2:$R$2)+'Assumptions (NG)'!$S$16*AVERAGE('Assumptions (NG)'!$P$3:$R$3))/10^9),0)</f>
        <v>-0.58511948635569133</v>
      </c>
      <c r="AB495" s="105">
        <f>IF($T$421&gt;0,PPMT('Assumptions (NG)'!$V$7,Model!AE$1,'Assumptions (NG)'!$V$10,'Assumptions (NG)'!$V$5*Model!$T$421*('Assumptions (NG)'!$S$15*AVERAGE('Assumptions (NG)'!$P$2:$R$2)+'Assumptions (NG)'!$S$16*AVERAGE('Assumptions (NG)'!$P$3:$R$3))/10^9),0)</f>
        <v>-0.62900344783236828</v>
      </c>
      <c r="AC495" s="105">
        <f>IF($T$421&gt;0,PPMT('Assumptions (NG)'!$V$7,Model!AF$1,'Assumptions (NG)'!$V$10,'Assumptions (NG)'!$V$5*Model!$T$421*('Assumptions (NG)'!$S$15*AVERAGE('Assumptions (NG)'!$P$2:$R$2)+'Assumptions (NG)'!$S$16*AVERAGE('Assumptions (NG)'!$P$3:$R$3))/10^9),0)</f>
        <v>-0.67617870641979583</v>
      </c>
      <c r="AD495" s="105" t="e">
        <f>IF($T$421&gt;0,PPMT('Assumptions (NG)'!$V$7,Model!AG$1,'Assumptions (NG)'!$V$10,'Assumptions (NG)'!$V$5*Model!$T$421*('Assumptions (NG)'!$S$15*AVERAGE('Assumptions (NG)'!$P$2:$R$2)+'Assumptions (NG)'!$S$16*AVERAGE('Assumptions (NG)'!$P$3:$R$3))/10^9),0)</f>
        <v>#NUM!</v>
      </c>
      <c r="AE495" s="105" t="e">
        <f>IF($T$421&gt;0,PPMT('Assumptions (NG)'!$V$7,Model!AH$1,'Assumptions (NG)'!$V$10,'Assumptions (NG)'!$V$5*Model!$T$421*('Assumptions (NG)'!$S$15*AVERAGE('Assumptions (NG)'!$P$2:$R$2)+'Assumptions (NG)'!$S$16*AVERAGE('Assumptions (NG)'!$P$3:$R$3))/10^9),0)</f>
        <v>#NUM!</v>
      </c>
      <c r="AF495" s="105" t="e">
        <f>IF($T$421&gt;0,PPMT('Assumptions (NG)'!$V$7,Model!AI$1,'Assumptions (NG)'!$V$10,'Assumptions (NG)'!$V$5*Model!$T$421*('Assumptions (NG)'!$S$15*AVERAGE('Assumptions (NG)'!$P$2:$R$2)+'Assumptions (NG)'!$S$16*AVERAGE('Assumptions (NG)'!$P$3:$R$3))/10^9),0)</f>
        <v>#NUM!</v>
      </c>
      <c r="AG495" s="105" t="e">
        <f>IF($T$421&gt;0,PPMT('Assumptions (NG)'!$V$7,Model!AJ$1,'Assumptions (NG)'!$V$10,'Assumptions (NG)'!$V$5*Model!$T$421*('Assumptions (NG)'!$S$15*AVERAGE('Assumptions (NG)'!$P$2:$R$2)+'Assumptions (NG)'!$S$16*AVERAGE('Assumptions (NG)'!$P$3:$R$3))/10^9),0)</f>
        <v>#NUM!</v>
      </c>
      <c r="AH495" s="105" t="e">
        <f>IF($T$421&gt;0,PPMT('Assumptions (NG)'!$V$7,Model!AK$1,'Assumptions (NG)'!$V$10,'Assumptions (NG)'!$V$5*Model!$T$421*('Assumptions (NG)'!$S$15*AVERAGE('Assumptions (NG)'!$P$2:$R$2)+'Assumptions (NG)'!$S$16*AVERAGE('Assumptions (NG)'!$P$3:$R$3))/10^9),0)</f>
        <v>#NUM!</v>
      </c>
      <c r="AI495" s="105"/>
      <c r="AJ495" s="105"/>
      <c r="AK495" s="105"/>
      <c r="AL495" s="105"/>
      <c r="AM495" s="105"/>
      <c r="AN495" s="105"/>
      <c r="AO495" s="105"/>
      <c r="AP495" s="105"/>
      <c r="AQ495" s="105"/>
      <c r="AR495" s="105"/>
      <c r="AU495" s="105"/>
      <c r="AV495" s="105"/>
      <c r="AW495" s="105"/>
      <c r="AX495" s="105"/>
      <c r="AY495" s="105"/>
      <c r="AZ495" s="105"/>
      <c r="BA495" s="105"/>
    </row>
    <row r="496" spans="1:53" ht="15.75" hidden="1" customHeight="1" outlineLevel="1">
      <c r="A496" s="379"/>
      <c r="B496" s="99"/>
      <c r="C496" s="105"/>
      <c r="D496" s="105"/>
      <c r="E496" s="105"/>
      <c r="F496" s="105"/>
      <c r="G496" s="105"/>
      <c r="H496" s="105"/>
      <c r="I496" s="105"/>
      <c r="J496" s="105"/>
      <c r="K496" s="105"/>
      <c r="L496" s="105"/>
      <c r="M496" s="105"/>
      <c r="N496" s="105"/>
      <c r="O496" s="105"/>
      <c r="P496" s="171"/>
      <c r="Q496" s="105"/>
      <c r="R496" s="91"/>
      <c r="S496" s="91"/>
      <c r="T496" s="91"/>
      <c r="U496" s="105">
        <f>IF($U$421&gt;0,PPMT('Assumptions (NG)'!$V$7,Model!W$1,'Assumptions (NG)'!$V$10,'Assumptions (NG)'!$V$5*Model!$U$421*('Assumptions (NG)'!$T$15*AVERAGE('Assumptions (NG)'!$Q$2:$S$2)+'Assumptions (NG)'!$T$16*AVERAGE('Assumptions (NG)'!$Q$3:$S$3))/10^9),0)</f>
        <v>-0.81240890366957086</v>
      </c>
      <c r="V496" s="105">
        <f>IF($U$421&gt;0,PPMT('Assumptions (NG)'!$V$7,Model!X$1,'Assumptions (NG)'!$V$10,'Assumptions (NG)'!$V$5*Model!$U$421*('Assumptions (NG)'!$T$15*AVERAGE('Assumptions (NG)'!$Q$2:$S$2)+'Assumptions (NG)'!$T$16*AVERAGE('Assumptions (NG)'!$Q$3:$S$3))/10^9),0)</f>
        <v>-0.87333957144478869</v>
      </c>
      <c r="W496" s="105">
        <f>IF($U$421&gt;0,PPMT('Assumptions (NG)'!$V$7,Model!Y$1,'Assumptions (NG)'!$V$10,'Assumptions (NG)'!$V$5*Model!$U$421*('Assumptions (NG)'!$T$15*AVERAGE('Assumptions (NG)'!$Q$2:$S$2)+'Assumptions (NG)'!$T$16*AVERAGE('Assumptions (NG)'!$Q$3:$S$3))/10^9),0)</f>
        <v>-0.93884003930314763</v>
      </c>
      <c r="X496" s="105">
        <f>IF($U$421&gt;0,PPMT('Assumptions (NG)'!$V$7,Model!Z$1,'Assumptions (NG)'!$V$10,'Assumptions (NG)'!$V$5*Model!$U$421*('Assumptions (NG)'!$T$15*AVERAGE('Assumptions (NG)'!$Q$2:$S$2)+'Assumptions (NG)'!$T$16*AVERAGE('Assumptions (NG)'!$Q$3:$S$3))/10^9),0)</f>
        <v>-1.0092530422508839</v>
      </c>
      <c r="Y496" s="105">
        <f>IF($U$421&gt;0,PPMT('Assumptions (NG)'!$V$7,Model!AA$1,'Assumptions (NG)'!$V$10,'Assumptions (NG)'!$V$5*Model!$U$421*('Assumptions (NG)'!$T$15*AVERAGE('Assumptions (NG)'!$Q$2:$S$2)+'Assumptions (NG)'!$T$16*AVERAGE('Assumptions (NG)'!$Q$3:$S$3))/10^9),0)</f>
        <v>-1.0849470204197003</v>
      </c>
      <c r="Z496" s="105">
        <f>IF($U$421&gt;0,PPMT('Assumptions (NG)'!$V$7,Model!AB$1,'Assumptions (NG)'!$V$10,'Assumptions (NG)'!$V$5*Model!$U$421*('Assumptions (NG)'!$T$15*AVERAGE('Assumptions (NG)'!$Q$2:$S$2)+'Assumptions (NG)'!$T$16*AVERAGE('Assumptions (NG)'!$Q$3:$S$3))/10^9),0)</f>
        <v>-1.1663180469511776</v>
      </c>
      <c r="AA496" s="105">
        <f>IF($U$421&gt;0,PPMT('Assumptions (NG)'!$V$7,Model!AC$1,'Assumptions (NG)'!$V$10,'Assumptions (NG)'!$V$5*Model!$U$421*('Assumptions (NG)'!$T$15*AVERAGE('Assumptions (NG)'!$Q$2:$S$2)+'Assumptions (NG)'!$T$16*AVERAGE('Assumptions (NG)'!$Q$3:$S$3))/10^9),0)</f>
        <v>-1.253791900472516</v>
      </c>
      <c r="AB496" s="105">
        <f>IF($U$421&gt;0,PPMT('Assumptions (NG)'!$V$7,Model!AD$1,'Assumptions (NG)'!$V$10,'Assumptions (NG)'!$V$5*Model!$U$421*('Assumptions (NG)'!$T$15*AVERAGE('Assumptions (NG)'!$Q$2:$S$2)+'Assumptions (NG)'!$T$16*AVERAGE('Assumptions (NG)'!$Q$3:$S$3))/10^9),0)</f>
        <v>-1.3478262930079545</v>
      </c>
      <c r="AC496" s="105">
        <f>IF($U$421&gt;0,PPMT('Assumptions (NG)'!$V$7,Model!AE$1,'Assumptions (NG)'!$V$10,'Assumptions (NG)'!$V$5*Model!$U$421*('Assumptions (NG)'!$T$15*AVERAGE('Assumptions (NG)'!$Q$2:$S$2)+'Assumptions (NG)'!$T$16*AVERAGE('Assumptions (NG)'!$Q$3:$S$3))/10^9),0)</f>
        <v>-1.4489132649835514</v>
      </c>
      <c r="AD496" s="105">
        <f>IF($U$421&gt;0,PPMT('Assumptions (NG)'!$V$7,Model!AF$1,'Assumptions (NG)'!$V$10,'Assumptions (NG)'!$V$5*Model!$U$421*('Assumptions (NG)'!$T$15*AVERAGE('Assumptions (NG)'!$Q$2:$S$2)+'Assumptions (NG)'!$T$16*AVERAGE('Assumptions (NG)'!$Q$3:$S$3))/10^9),0)</f>
        <v>-1.5575817598573176</v>
      </c>
      <c r="AE496" s="105" t="e">
        <f>IF($U$421&gt;0,PPMT('Assumptions (NG)'!$V$7,Model!AG$1,'Assumptions (NG)'!$V$10,'Assumptions (NG)'!$V$5*Model!$U$421*('Assumptions (NG)'!$T$15*AVERAGE('Assumptions (NG)'!$Q$2:$S$2)+'Assumptions (NG)'!$T$16*AVERAGE('Assumptions (NG)'!$Q$3:$S$3))/10^9),0)</f>
        <v>#NUM!</v>
      </c>
      <c r="AF496" s="105" t="e">
        <f>IF($U$421&gt;0,PPMT('Assumptions (NG)'!$V$7,Model!AH$1,'Assumptions (NG)'!$V$10,'Assumptions (NG)'!$V$5*Model!$U$421*('Assumptions (NG)'!$T$15*AVERAGE('Assumptions (NG)'!$Q$2:$S$2)+'Assumptions (NG)'!$T$16*AVERAGE('Assumptions (NG)'!$Q$3:$S$3))/10^9),0)</f>
        <v>#NUM!</v>
      </c>
      <c r="AG496" s="105" t="e">
        <f>IF($U$421&gt;0,PPMT('Assumptions (NG)'!$V$7,Model!AI$1,'Assumptions (NG)'!$V$10,'Assumptions (NG)'!$V$5*Model!$U$421*('Assumptions (NG)'!$T$15*AVERAGE('Assumptions (NG)'!$Q$2:$S$2)+'Assumptions (NG)'!$T$16*AVERAGE('Assumptions (NG)'!$Q$3:$S$3))/10^9),0)</f>
        <v>#NUM!</v>
      </c>
      <c r="AH496" s="105" t="e">
        <f>IF($U$421&gt;0,PPMT('Assumptions (NG)'!$V$7,Model!AJ$1,'Assumptions (NG)'!$V$10,'Assumptions (NG)'!$V$5*Model!$U$421*('Assumptions (NG)'!$T$15*AVERAGE('Assumptions (NG)'!$Q$2:$S$2)+'Assumptions (NG)'!$T$16*AVERAGE('Assumptions (NG)'!$Q$3:$S$3))/10^9),0)</f>
        <v>#NUM!</v>
      </c>
      <c r="AI496" s="105" t="e">
        <f>IF($U$421&gt;0,PPMT('Assumptions (NG)'!$V$7,Model!AK$1,'Assumptions (NG)'!$V$10,'Assumptions (NG)'!$V$5*Model!$U$421*('Assumptions (NG)'!$T$15*AVERAGE('Assumptions (NG)'!$Q$2:$S$2)+'Assumptions (NG)'!$T$16*AVERAGE('Assumptions (NG)'!$Q$3:$S$3))/10^9),0)</f>
        <v>#NUM!</v>
      </c>
      <c r="AJ496" s="105"/>
      <c r="AK496" s="105"/>
      <c r="AL496" s="105"/>
      <c r="AM496" s="105"/>
      <c r="AN496" s="105"/>
      <c r="AO496" s="105"/>
      <c r="AP496" s="105"/>
      <c r="AQ496" s="105"/>
      <c r="AR496" s="105"/>
      <c r="AS496" s="105"/>
      <c r="AU496" s="105"/>
      <c r="AV496" s="105"/>
      <c r="AW496" s="105"/>
      <c r="AX496" s="105"/>
      <c r="AY496" s="105"/>
      <c r="AZ496" s="105"/>
      <c r="BA496" s="105"/>
    </row>
    <row r="497" spans="1:61" ht="15.75" hidden="1" customHeight="1" outlineLevel="1">
      <c r="A497" s="379"/>
      <c r="B497" s="99"/>
      <c r="C497" s="105"/>
      <c r="D497" s="105"/>
      <c r="E497" s="105"/>
      <c r="F497" s="105"/>
      <c r="G497" s="105"/>
      <c r="H497" s="105"/>
      <c r="I497" s="105"/>
      <c r="J497" s="105"/>
      <c r="K497" s="105"/>
      <c r="L497" s="105"/>
      <c r="M497" s="105"/>
      <c r="N497" s="105"/>
      <c r="O497" s="105"/>
      <c r="P497" s="171"/>
      <c r="Q497" s="105"/>
      <c r="R497" s="91"/>
      <c r="S497" s="91"/>
      <c r="T497" s="91"/>
      <c r="U497" s="105"/>
      <c r="V497" s="105">
        <f>IF($V$421&gt;0,PPMT('Assumptions (NG)'!$V$7,Model!W$1,'Assumptions (NG)'!$V$10,'Assumptions (NG)'!$V$5*Model!$V$421*('Assumptions (NG)'!$U$15*AVERAGE('Assumptions (NG)'!$R$2:$T$2)+'Assumptions (NG)'!$U$16*AVERAGE('Assumptions (NG)'!$R$3:$T$3))/10^9),0)</f>
        <v>-0.42204234039456595</v>
      </c>
      <c r="W497" s="105">
        <f>IF($V$421&gt;0,PPMT('Assumptions (NG)'!$V$7,Model!X$1,'Assumptions (NG)'!$V$10,'Assumptions (NG)'!$V$5*Model!$V$421*('Assumptions (NG)'!$U$15*AVERAGE('Assumptions (NG)'!$R$2:$T$2)+'Assumptions (NG)'!$U$16*AVERAGE('Assumptions (NG)'!$R$3:$T$3))/10^9),0)</f>
        <v>-0.45369551592415835</v>
      </c>
      <c r="X497" s="105">
        <f>IF($V$421&gt;0,PPMT('Assumptions (NG)'!$V$7,Model!Y$1,'Assumptions (NG)'!$V$10,'Assumptions (NG)'!$V$5*Model!$V$421*('Assumptions (NG)'!$U$15*AVERAGE('Assumptions (NG)'!$R$2:$T$2)+'Assumptions (NG)'!$U$16*AVERAGE('Assumptions (NG)'!$R$3:$T$3))/10^9),0)</f>
        <v>-0.48772267961847021</v>
      </c>
      <c r="Y497" s="105">
        <f>IF($V$421&gt;0,PPMT('Assumptions (NG)'!$V$7,Model!Z$1,'Assumptions (NG)'!$V$10,'Assumptions (NG)'!$V$5*Model!$V$421*('Assumptions (NG)'!$U$15*AVERAGE('Assumptions (NG)'!$R$2:$T$2)+'Assumptions (NG)'!$U$16*AVERAGE('Assumptions (NG)'!$R$3:$T$3))/10^9),0)</f>
        <v>-0.5243018805898555</v>
      </c>
      <c r="Z497" s="105">
        <f>IF($V$421&gt;0,PPMT('Assumptions (NG)'!$V$7,Model!AA$1,'Assumptions (NG)'!$V$10,'Assumptions (NG)'!$V$5*Model!$V$421*('Assumptions (NG)'!$U$15*AVERAGE('Assumptions (NG)'!$R$2:$T$2)+'Assumptions (NG)'!$U$16*AVERAGE('Assumptions (NG)'!$R$3:$T$3))/10^9),0)</f>
        <v>-0.56362452163409471</v>
      </c>
      <c r="AA497" s="105">
        <f>IF($V$421&gt;0,PPMT('Assumptions (NG)'!$V$7,Model!AB$1,'Assumptions (NG)'!$V$10,'Assumptions (NG)'!$V$5*Model!$V$421*('Assumptions (NG)'!$U$15*AVERAGE('Assumptions (NG)'!$R$2:$T$2)+'Assumptions (NG)'!$U$16*AVERAGE('Assumptions (NG)'!$R$3:$T$3))/10^9),0)</f>
        <v>-0.60589636075665176</v>
      </c>
      <c r="AB497" s="105">
        <f>IF($V$421&gt;0,PPMT('Assumptions (NG)'!$V$7,Model!AC$1,'Assumptions (NG)'!$V$10,'Assumptions (NG)'!$V$5*Model!$V$421*('Assumptions (NG)'!$U$15*AVERAGE('Assumptions (NG)'!$R$2:$T$2)+'Assumptions (NG)'!$U$16*AVERAGE('Assumptions (NG)'!$R$3:$T$3))/10^9),0)</f>
        <v>-0.6513385878134007</v>
      </c>
      <c r="AC497" s="105">
        <f>IF($V$421&gt;0,PPMT('Assumptions (NG)'!$V$7,Model!AD$1,'Assumptions (NG)'!$V$10,'Assumptions (NG)'!$V$5*Model!$V$421*('Assumptions (NG)'!$U$15*AVERAGE('Assumptions (NG)'!$R$2:$T$2)+'Assumptions (NG)'!$U$16*AVERAGE('Assumptions (NG)'!$R$3:$T$3))/10^9),0)</f>
        <v>-0.7001889818994057</v>
      </c>
      <c r="AD497" s="105">
        <f>IF($V$421&gt;0,PPMT('Assumptions (NG)'!$V$7,Model!AE$1,'Assumptions (NG)'!$V$10,'Assumptions (NG)'!$V$5*Model!$V$421*('Assumptions (NG)'!$U$15*AVERAGE('Assumptions (NG)'!$R$2:$T$2)+'Assumptions (NG)'!$U$16*AVERAGE('Assumptions (NG)'!$R$3:$T$3))/10^9),0)</f>
        <v>-0.75270315554186107</v>
      </c>
      <c r="AE497" s="105">
        <f>IF($V$421&gt;0,PPMT('Assumptions (NG)'!$V$7,Model!AF$1,'Assumptions (NG)'!$V$10,'Assumptions (NG)'!$V$5*Model!$V$421*('Assumptions (NG)'!$U$15*AVERAGE('Assumptions (NG)'!$R$2:$T$2)+'Assumptions (NG)'!$U$16*AVERAGE('Assumptions (NG)'!$R$3:$T$3))/10^9),0)</f>
        <v>-0.80915589220750062</v>
      </c>
      <c r="AF497" s="105" t="e">
        <f>IF($V$421&gt;0,PPMT('Assumptions (NG)'!$V$7,Model!AG$1,'Assumptions (NG)'!$V$10,'Assumptions (NG)'!$V$5*Model!$V$421*('Assumptions (NG)'!$U$15*AVERAGE('Assumptions (NG)'!$R$2:$T$2)+'Assumptions (NG)'!$U$16*AVERAGE('Assumptions (NG)'!$R$3:$T$3))/10^9),0)</f>
        <v>#NUM!</v>
      </c>
      <c r="AG497" s="105" t="e">
        <f>IF($V$421&gt;0,PPMT('Assumptions (NG)'!$V$7,Model!AH$1,'Assumptions (NG)'!$V$10,'Assumptions (NG)'!$V$5*Model!$V$421*('Assumptions (NG)'!$U$15*AVERAGE('Assumptions (NG)'!$R$2:$T$2)+'Assumptions (NG)'!$U$16*AVERAGE('Assumptions (NG)'!$R$3:$T$3))/10^9),0)</f>
        <v>#NUM!</v>
      </c>
      <c r="AH497" s="105" t="e">
        <f>IF($V$421&gt;0,PPMT('Assumptions (NG)'!$V$7,Model!AI$1,'Assumptions (NG)'!$V$10,'Assumptions (NG)'!$V$5*Model!$V$421*('Assumptions (NG)'!$U$15*AVERAGE('Assumptions (NG)'!$R$2:$T$2)+'Assumptions (NG)'!$U$16*AVERAGE('Assumptions (NG)'!$R$3:$T$3))/10^9),0)</f>
        <v>#NUM!</v>
      </c>
      <c r="AI497" s="105" t="e">
        <f>IF($V$421&gt;0,PPMT('Assumptions (NG)'!$V$7,Model!AJ$1,'Assumptions (NG)'!$V$10,'Assumptions (NG)'!$V$5*Model!$V$421*('Assumptions (NG)'!$U$15*AVERAGE('Assumptions (NG)'!$R$2:$T$2)+'Assumptions (NG)'!$U$16*AVERAGE('Assumptions (NG)'!$R$3:$T$3))/10^9),0)</f>
        <v>#NUM!</v>
      </c>
      <c r="AJ497" s="105" t="e">
        <f>IF($V$421&gt;0,PPMT('Assumptions (NG)'!$V$7,Model!AK$1,'Assumptions (NG)'!$V$10,'Assumptions (NG)'!$V$5*Model!$V$421*('Assumptions (NG)'!$U$15*AVERAGE('Assumptions (NG)'!$R$2:$T$2)+'Assumptions (NG)'!$U$16*AVERAGE('Assumptions (NG)'!$R$3:$T$3))/10^9),0)</f>
        <v>#NUM!</v>
      </c>
      <c r="AK497" s="105"/>
      <c r="AL497" s="105"/>
      <c r="AM497" s="105"/>
      <c r="AN497" s="105"/>
      <c r="AO497" s="105"/>
      <c r="AP497" s="105"/>
      <c r="AQ497" s="105"/>
      <c r="AR497" s="105"/>
      <c r="AS497" s="105"/>
      <c r="AT497" s="105"/>
      <c r="AU497" s="105"/>
      <c r="AV497" s="105"/>
      <c r="AW497" s="105"/>
      <c r="AX497" s="105"/>
      <c r="AY497" s="105"/>
      <c r="AZ497" s="105"/>
      <c r="BA497" s="105"/>
    </row>
    <row r="498" spans="1:61" ht="15.75" hidden="1" customHeight="1" outlineLevel="1">
      <c r="A498" s="379"/>
      <c r="B498" s="99"/>
      <c r="C498" s="99"/>
      <c r="D498" s="99"/>
      <c r="E498" s="99"/>
      <c r="F498" s="99"/>
      <c r="G498" s="99"/>
      <c r="H498" s="99"/>
      <c r="I498" s="99"/>
      <c r="J498" s="99"/>
      <c r="K498" s="99"/>
      <c r="L498" s="99"/>
      <c r="M498" s="99"/>
      <c r="N498" s="99"/>
      <c r="O498" s="99"/>
      <c r="P498" s="99"/>
      <c r="Q498" s="99"/>
      <c r="R498" s="99"/>
      <c r="S498" s="99"/>
      <c r="T498" s="99"/>
      <c r="U498" s="99"/>
      <c r="V498" s="99"/>
      <c r="W498" s="150">
        <f>IF($W$421&gt;0,PPMT('Assumptions (NG)'!$V$7,Model!W$1,'Assumptions (NG)'!$V$10,'Assumptions (NG)'!$V$5*Model!$W$421*('Assumptions (NG)'!$V$15*AVERAGE('Assumptions (NG)'!$S$2:$U$2)+'Assumptions (NG)'!$V$16*AVERAGE('Assumptions (NG)'!$S$3:$U$3))/10^9),0)</f>
        <v>-0.29823214303266193</v>
      </c>
      <c r="X498" s="150">
        <f>IF($W$421&gt;0,PPMT('Assumptions (NG)'!$V$7,Model!X$1,'Assumptions (NG)'!$V$10,'Assumptions (NG)'!$V$5*Model!$W$421*('Assumptions (NG)'!$V$15*AVERAGE('Assumptions (NG)'!$S$2:$U$2)+'Assumptions (NG)'!$V$16*AVERAGE('Assumptions (NG)'!$S$3:$U$3))/10^9),0)</f>
        <v>-0.32059955376011157</v>
      </c>
      <c r="Y498" s="150">
        <f>IF($W$421&gt;0,PPMT('Assumptions (NG)'!$V$7,Model!Y$1,'Assumptions (NG)'!$V$10,'Assumptions (NG)'!$V$5*Model!$W$421*('Assumptions (NG)'!$V$15*AVERAGE('Assumptions (NG)'!$S$2:$U$2)+'Assumptions (NG)'!$V$16*AVERAGE('Assumptions (NG)'!$S$3:$U$3))/10^9),0)</f>
        <v>-0.34464452029211989</v>
      </c>
      <c r="Z498" s="150">
        <f>IF($W$421&gt;0,PPMT('Assumptions (NG)'!$V$7,Model!Z$1,'Assumptions (NG)'!$V$10,'Assumptions (NG)'!$V$5*Model!$W$421*('Assumptions (NG)'!$V$15*AVERAGE('Assumptions (NG)'!$S$2:$U$2)+'Assumptions (NG)'!$V$16*AVERAGE('Assumptions (NG)'!$S$3:$U$3))/10^9),0)</f>
        <v>-0.37049285931402892</v>
      </c>
      <c r="AA498" s="150">
        <f>IF($W$421&gt;0,PPMT('Assumptions (NG)'!$V$7,Model!AA$1,'Assumptions (NG)'!$V$10,'Assumptions (NG)'!$V$5*Model!$W$421*('Assumptions (NG)'!$V$15*AVERAGE('Assumptions (NG)'!$S$2:$U$2)+'Assumptions (NG)'!$V$16*AVERAGE('Assumptions (NG)'!$S$3:$U$3))/10^9),0)</f>
        <v>-0.39827982376258109</v>
      </c>
      <c r="AB498" s="150">
        <f>IF($W$421&gt;0,PPMT('Assumptions (NG)'!$V$7,Model!AB$1,'Assumptions (NG)'!$V$10,'Assumptions (NG)'!$V$5*Model!$W$421*('Assumptions (NG)'!$V$15*AVERAGE('Assumptions (NG)'!$S$2:$U$2)+'Assumptions (NG)'!$V$16*AVERAGE('Assumptions (NG)'!$S$3:$U$3))/10^9),0)</f>
        <v>-0.42815081054477461</v>
      </c>
      <c r="AC498" s="150">
        <f>IF($W$421&gt;0,PPMT('Assumptions (NG)'!$V$7,Model!AC$1,'Assumptions (NG)'!$V$10,'Assumptions (NG)'!$V$5*Model!$W$421*('Assumptions (NG)'!$V$15*AVERAGE('Assumptions (NG)'!$S$2:$U$2)+'Assumptions (NG)'!$V$16*AVERAGE('Assumptions (NG)'!$S$3:$U$3))/10^9),0)</f>
        <v>-0.46026212133563266</v>
      </c>
      <c r="AD498" s="150">
        <f>IF($W$421&gt;0,PPMT('Assumptions (NG)'!$V$7,Model!AD$1,'Assumptions (NG)'!$V$10,'Assumptions (NG)'!$V$5*Model!$W$421*('Assumptions (NG)'!$V$15*AVERAGE('Assumptions (NG)'!$S$2:$U$2)+'Assumptions (NG)'!$V$16*AVERAGE('Assumptions (NG)'!$S$3:$U$3))/10^9),0)</f>
        <v>-0.49478178043580517</v>
      </c>
      <c r="AE498" s="150">
        <f>IF($W$421&gt;0,PPMT('Assumptions (NG)'!$V$7,Model!AE$1,'Assumptions (NG)'!$V$10,'Assumptions (NG)'!$V$5*Model!$W$421*('Assumptions (NG)'!$V$15*AVERAGE('Assumptions (NG)'!$S$2:$U$2)+'Assumptions (NG)'!$V$16*AVERAGE('Assumptions (NG)'!$S$3:$U$3))/10^9),0)</f>
        <v>-0.53189041396849057</v>
      </c>
      <c r="AF498" s="150">
        <f>IF($W$421&gt;0,PPMT('Assumptions (NG)'!$V$7,Model!AF$1,'Assumptions (NG)'!$V$10,'Assumptions (NG)'!$V$5*Model!$W$421*('Assumptions (NG)'!$V$15*AVERAGE('Assumptions (NG)'!$S$2:$U$2)+'Assumptions (NG)'!$V$16*AVERAGE('Assumptions (NG)'!$S$3:$U$3))/10^9),0)</f>
        <v>-0.57178219501612737</v>
      </c>
      <c r="AG498" s="150" t="e">
        <f>IF($W$421&gt;0,PPMT('Assumptions (NG)'!$V$7,Model!AG$1,'Assumptions (NG)'!$V$10,'Assumptions (NG)'!$V$5*Model!$W$421*('Assumptions (NG)'!$V$15*AVERAGE('Assumptions (NG)'!$S$2:$U$2)+'Assumptions (NG)'!$V$16*AVERAGE('Assumptions (NG)'!$S$3:$U$3))/10^9),0)</f>
        <v>#NUM!</v>
      </c>
      <c r="AH498" s="150" t="e">
        <f>IF($W$421&gt;0,PPMT('Assumptions (NG)'!$V$7,Model!AH$1,'Assumptions (NG)'!$V$10,'Assumptions (NG)'!$V$5*Model!$W$421*('Assumptions (NG)'!$V$15*AVERAGE('Assumptions (NG)'!$S$2:$U$2)+'Assumptions (NG)'!$V$16*AVERAGE('Assumptions (NG)'!$S$3:$U$3))/10^9),0)</f>
        <v>#NUM!</v>
      </c>
      <c r="AI498" s="150" t="e">
        <f>IF($W$421&gt;0,PPMT('Assumptions (NG)'!$V$7,Model!AI$1,'Assumptions (NG)'!$V$10,'Assumptions (NG)'!$V$5*Model!$W$421*('Assumptions (NG)'!$V$15*AVERAGE('Assumptions (NG)'!$S$2:$U$2)+'Assumptions (NG)'!$V$16*AVERAGE('Assumptions (NG)'!$S$3:$U$3))/10^9),0)</f>
        <v>#NUM!</v>
      </c>
      <c r="AJ498" s="150" t="e">
        <f>IF($W$421&gt;0,PPMT('Assumptions (NG)'!$V$7,Model!AJ$1,'Assumptions (NG)'!$V$10,'Assumptions (NG)'!$V$5*Model!$W$421*('Assumptions (NG)'!$V$15*AVERAGE('Assumptions (NG)'!$S$2:$U$2)+'Assumptions (NG)'!$V$16*AVERAGE('Assumptions (NG)'!$S$3:$U$3))/10^9),0)</f>
        <v>#NUM!</v>
      </c>
      <c r="AK498" s="150" t="e">
        <f>IF($W$421&gt;0,PPMT('Assumptions (NG)'!$V$7,Model!AK$1,'Assumptions (NG)'!$V$10,'Assumptions (NG)'!$V$5*Model!$W$421*('Assumptions (NG)'!$V$15*AVERAGE('Assumptions (NG)'!$S$2:$U$2)+'Assumptions (NG)'!$V$16*AVERAGE('Assumptions (NG)'!$S$3:$U$3))/10^9),0)</f>
        <v>#NUM!</v>
      </c>
      <c r="AL498" s="150"/>
      <c r="AM498" s="150"/>
      <c r="AN498" s="150"/>
      <c r="AO498" s="150"/>
      <c r="AP498" s="150"/>
      <c r="AQ498" s="150"/>
      <c r="AR498" s="150"/>
      <c r="AS498" s="150"/>
      <c r="AT498" s="150"/>
      <c r="AU498" s="150"/>
      <c r="AV498" s="105"/>
      <c r="AW498" s="105"/>
      <c r="AX498" s="105"/>
      <c r="AY498" s="105"/>
      <c r="AZ498" s="105"/>
      <c r="BA498" s="105"/>
    </row>
    <row r="499" spans="1:61" ht="15.75" hidden="1" customHeight="1" outlineLevel="1">
      <c r="A499" s="379"/>
      <c r="B499" s="99"/>
      <c r="C499" s="99"/>
      <c r="D499" s="99"/>
      <c r="E499" s="99"/>
      <c r="F499" s="99"/>
      <c r="G499" s="99"/>
      <c r="H499" s="99"/>
      <c r="I499" s="99"/>
      <c r="J499" s="99"/>
      <c r="K499" s="99"/>
      <c r="L499" s="99"/>
      <c r="M499" s="99"/>
      <c r="N499" s="99"/>
      <c r="O499" s="99"/>
      <c r="P499" s="99"/>
      <c r="Q499" s="99"/>
      <c r="R499" s="99"/>
      <c r="S499" s="99"/>
      <c r="T499" s="99"/>
      <c r="U499" s="99"/>
      <c r="V499" s="99"/>
      <c r="W499" s="105"/>
      <c r="X499" s="105">
        <f>IF($X$421&gt;0,PPMT('Assumptions (NG)'!$V$7,Model!W$1,'Assumptions (NG)'!$V$10,'Assumptions (NG)'!$V$5*Model!$X$421*('Assumptions (NG)'!$W$15*AVERAGE('Assumptions (NG)'!$T$2:$V$2)+'Assumptions (NG)'!$W$16*AVERAGE('Assumptions (NG)'!$T$3:$V$3))/10^9),0)</f>
        <v>-1.8689511330221955</v>
      </c>
      <c r="Y499" s="105">
        <f>IF($X$421&gt;0,PPMT('Assumptions (NG)'!$V$7,Model!X$1,'Assumptions (NG)'!$V$10,'Assumptions (NG)'!$V$5*Model!$X$421*('Assumptions (NG)'!$W$15*AVERAGE('Assumptions (NG)'!$T$2:$V$2)+'Assumptions (NG)'!$W$16*AVERAGE('Assumptions (NG)'!$T$3:$V$3))/10^9),0)</f>
        <v>-2.0091224679988602</v>
      </c>
      <c r="Z499" s="105">
        <f>IF($X$421&gt;0,PPMT('Assumptions (NG)'!$V$7,Model!Y$1,'Assumptions (NG)'!$V$10,'Assumptions (NG)'!$V$5*Model!$X$421*('Assumptions (NG)'!$W$15*AVERAGE('Assumptions (NG)'!$T$2:$V$2)+'Assumptions (NG)'!$W$16*AVERAGE('Assumptions (NG)'!$T$3:$V$3))/10^9),0)</f>
        <v>-2.1598066530987747</v>
      </c>
      <c r="AA499" s="105">
        <f>IF($X$421&gt;0,PPMT('Assumptions (NG)'!$V$7,Model!Z$1,'Assumptions (NG)'!$V$10,'Assumptions (NG)'!$V$5*Model!$X$421*('Assumptions (NG)'!$W$15*AVERAGE('Assumptions (NG)'!$T$2:$V$2)+'Assumptions (NG)'!$W$16*AVERAGE('Assumptions (NG)'!$T$3:$V$3))/10^9),0)</f>
        <v>-2.3217921520811826</v>
      </c>
      <c r="AB499" s="105">
        <f>IF($X$421&gt;0,PPMT('Assumptions (NG)'!$V$7,Model!AA$1,'Assumptions (NG)'!$V$10,'Assumptions (NG)'!$V$5*Model!$X$421*('Assumptions (NG)'!$W$15*AVERAGE('Assumptions (NG)'!$T$2:$V$2)+'Assumptions (NG)'!$W$16*AVERAGE('Assumptions (NG)'!$T$3:$V$3))/10^9),0)</f>
        <v>-2.4959265634872714</v>
      </c>
      <c r="AC499" s="105">
        <f>IF($X$421&gt;0,PPMT('Assumptions (NG)'!$V$7,Model!AB$1,'Assumptions (NG)'!$V$10,'Assumptions (NG)'!$V$5*Model!$X$421*('Assumptions (NG)'!$W$15*AVERAGE('Assumptions (NG)'!$T$2:$V$2)+'Assumptions (NG)'!$W$16*AVERAGE('Assumptions (NG)'!$T$3:$V$3))/10^9),0)</f>
        <v>-2.6831210557488165</v>
      </c>
      <c r="AD499" s="105">
        <f>IF($X$421&gt;0,PPMT('Assumptions (NG)'!$V$7,Model!AC$1,'Assumptions (NG)'!$V$10,'Assumptions (NG)'!$V$5*Model!$X$421*('Assumptions (NG)'!$W$15*AVERAGE('Assumptions (NG)'!$T$2:$V$2)+'Assumptions (NG)'!$W$16*AVERAGE('Assumptions (NG)'!$T$3:$V$3))/10^9),0)</f>
        <v>-2.8843551349299781</v>
      </c>
      <c r="AE499" s="105">
        <f>IF($X$421&gt;0,PPMT('Assumptions (NG)'!$V$7,Model!AD$1,'Assumptions (NG)'!$V$10,'Assumptions (NG)'!$V$5*Model!$X$421*('Assumptions (NG)'!$W$15*AVERAGE('Assumptions (NG)'!$T$2:$V$2)+'Assumptions (NG)'!$W$16*AVERAGE('Assumptions (NG)'!$T$3:$V$3))/10^9),0)</f>
        <v>-3.1006817700497264</v>
      </c>
      <c r="AF499" s="105">
        <f>IF($X$421&gt;0,PPMT('Assumptions (NG)'!$V$7,Model!AE$1,'Assumptions (NG)'!$V$10,'Assumptions (NG)'!$V$5*Model!$X$421*('Assumptions (NG)'!$W$15*AVERAGE('Assumptions (NG)'!$T$2:$V$2)+'Assumptions (NG)'!$W$16*AVERAGE('Assumptions (NG)'!$T$3:$V$3))/10^9),0)</f>
        <v>-3.3332329028034562</v>
      </c>
      <c r="AG499" s="105">
        <f>IF($X$421&gt;0,PPMT('Assumptions (NG)'!$V$7,Model!AF$1,'Assumptions (NG)'!$V$10,'Assumptions (NG)'!$V$5*Model!$X$421*('Assumptions (NG)'!$W$15*AVERAGE('Assumptions (NG)'!$T$2:$V$2)+'Assumptions (NG)'!$W$16*AVERAGE('Assumptions (NG)'!$T$3:$V$3))/10^9),0)</f>
        <v>-3.5832253705137149</v>
      </c>
      <c r="AH499" s="105" t="e">
        <f>IF($X$421&gt;0,PPMT('Assumptions (NG)'!$V$7,Model!AG$1,'Assumptions (NG)'!$V$10,'Assumptions (NG)'!$V$5*Model!$X$421*('Assumptions (NG)'!$W$15*AVERAGE('Assumptions (NG)'!$T$2:$V$2)+'Assumptions (NG)'!$W$16*AVERAGE('Assumptions (NG)'!$T$3:$V$3))/10^9),0)</f>
        <v>#NUM!</v>
      </c>
      <c r="AI499" s="105" t="e">
        <f>IF($X$421&gt;0,PPMT('Assumptions (NG)'!$V$7,Model!AH$1,'Assumptions (NG)'!$V$10,'Assumptions (NG)'!$V$5*Model!$X$421*('Assumptions (NG)'!$W$15*AVERAGE('Assumptions (NG)'!$T$2:$V$2)+'Assumptions (NG)'!$W$16*AVERAGE('Assumptions (NG)'!$T$3:$V$3))/10^9),0)</f>
        <v>#NUM!</v>
      </c>
      <c r="AJ499" s="105" t="e">
        <f>IF($X$421&gt;0,PPMT('Assumptions (NG)'!$V$7,Model!AI$1,'Assumptions (NG)'!$V$10,'Assumptions (NG)'!$V$5*Model!$X$421*('Assumptions (NG)'!$W$15*AVERAGE('Assumptions (NG)'!$T$2:$V$2)+'Assumptions (NG)'!$W$16*AVERAGE('Assumptions (NG)'!$T$3:$V$3))/10^9),0)</f>
        <v>#NUM!</v>
      </c>
      <c r="AK499" s="105" t="e">
        <f>IF($X$421&gt;0,PPMT('Assumptions (NG)'!$V$7,Model!AJ$1,'Assumptions (NG)'!$V$10,'Assumptions (NG)'!$V$5*Model!$X$421*('Assumptions (NG)'!$W$15*AVERAGE('Assumptions (NG)'!$T$2:$V$2)+'Assumptions (NG)'!$W$16*AVERAGE('Assumptions (NG)'!$T$3:$V$3))/10^9),0)</f>
        <v>#NUM!</v>
      </c>
      <c r="AL499" s="105" t="e">
        <f>IF($X$421&gt;0,PPMT('Assumptions (NG)'!$V$7,Model!AK$1,'Assumptions (NG)'!$V$10,'Assumptions (NG)'!$V$5*Model!$X$421*('Assumptions (NG)'!$W$15*AVERAGE('Assumptions (NG)'!$T$2:$V$2)+'Assumptions (NG)'!$W$16*AVERAGE('Assumptions (NG)'!$T$3:$V$3))/10^9),0)</f>
        <v>#NUM!</v>
      </c>
      <c r="AM499" s="105"/>
      <c r="AN499" s="105"/>
      <c r="AO499" s="105"/>
      <c r="AP499" s="105"/>
      <c r="AQ499" s="105"/>
      <c r="AR499" s="105"/>
      <c r="AS499" s="105"/>
      <c r="AT499" s="105"/>
      <c r="AU499" s="105"/>
      <c r="AV499" s="105"/>
      <c r="AW499" s="105"/>
      <c r="AX499" s="105"/>
      <c r="AY499" s="105"/>
      <c r="AZ499" s="105"/>
      <c r="BA499" s="105"/>
    </row>
    <row r="500" spans="1:61" ht="15.75" hidden="1" customHeight="1" outlineLevel="1">
      <c r="A500" s="379"/>
      <c r="B500" s="99"/>
      <c r="C500" s="99"/>
      <c r="D500" s="99"/>
      <c r="E500" s="99"/>
      <c r="F500" s="99"/>
      <c r="G500" s="99"/>
      <c r="H500" s="99"/>
      <c r="I500" s="99"/>
      <c r="J500" s="99"/>
      <c r="K500" s="99"/>
      <c r="L500" s="99"/>
      <c r="M500" s="99"/>
      <c r="N500" s="99"/>
      <c r="O500" s="99"/>
      <c r="P500" s="99"/>
      <c r="Q500" s="99"/>
      <c r="R500" s="99"/>
      <c r="S500" s="99"/>
      <c r="T500" s="99"/>
      <c r="U500" s="99"/>
      <c r="V500" s="99"/>
      <c r="W500" s="105"/>
      <c r="X500" s="105"/>
      <c r="Y500" s="105">
        <f>IF($Y$421&gt;0,PPMT('Assumptions (NG)'!$V$7,Model!W$1,'Assumptions (NG)'!$V$10,'Assumptions (NG)'!$V$5*Model!$Y$421*('Assumptions (NG)'!$X$15*AVERAGE('Assumptions (NG)'!$U$2:$W$2)+'Assumptions (NG)'!$X$16*AVERAGE('Assumptions (NG)'!$U$3:$W$3))/10^9),0)</f>
        <v>0</v>
      </c>
      <c r="Z500" s="105">
        <f>IF($Y$421&gt;0,PPMT('Assumptions (NG)'!$V$7,Model!X$1,'Assumptions (NG)'!$V$10,'Assumptions (NG)'!$V$5*Model!$Y$421*('Assumptions (NG)'!$X$15*AVERAGE('Assumptions (NG)'!$U$2:$W$2)+'Assumptions (NG)'!$X$16*AVERAGE('Assumptions (NG)'!$U$3:$W$3))/10^9),0)</f>
        <v>0</v>
      </c>
      <c r="AA500" s="105">
        <f>IF($Y$421&gt;0,PPMT('Assumptions (NG)'!$V$7,Model!Y$1,'Assumptions (NG)'!$V$10,'Assumptions (NG)'!$V$5*Model!$Y$421*('Assumptions (NG)'!$X$15*AVERAGE('Assumptions (NG)'!$U$2:$W$2)+'Assumptions (NG)'!$X$16*AVERAGE('Assumptions (NG)'!$U$3:$W$3))/10^9),0)</f>
        <v>0</v>
      </c>
      <c r="AB500" s="105">
        <f>IF($Y$421&gt;0,PPMT('Assumptions (NG)'!$V$7,Model!Z$1,'Assumptions (NG)'!$V$10,'Assumptions (NG)'!$V$5*Model!$Y$421*('Assumptions (NG)'!$X$15*AVERAGE('Assumptions (NG)'!$U$2:$W$2)+'Assumptions (NG)'!$X$16*AVERAGE('Assumptions (NG)'!$U$3:$W$3))/10^9),0)</f>
        <v>0</v>
      </c>
      <c r="AC500" s="105">
        <f>IF($Y$421&gt;0,PPMT('Assumptions (NG)'!$V$7,Model!AA$1,'Assumptions (NG)'!$V$10,'Assumptions (NG)'!$V$5*Model!$Y$421*('Assumptions (NG)'!$X$15*AVERAGE('Assumptions (NG)'!$U$2:$W$2)+'Assumptions (NG)'!$X$16*AVERAGE('Assumptions (NG)'!$U$3:$W$3))/10^9),0)</f>
        <v>0</v>
      </c>
      <c r="AD500" s="105">
        <f>IF($Y$421&gt;0,PPMT('Assumptions (NG)'!$V$7,Model!AB$1,'Assumptions (NG)'!$V$10,'Assumptions (NG)'!$V$5*Model!$Y$421*('Assumptions (NG)'!$X$15*AVERAGE('Assumptions (NG)'!$U$2:$W$2)+'Assumptions (NG)'!$X$16*AVERAGE('Assumptions (NG)'!$U$3:$W$3))/10^9),0)</f>
        <v>0</v>
      </c>
      <c r="AE500" s="105">
        <f>IF($Y$421&gt;0,PPMT('Assumptions (NG)'!$V$7,Model!AC$1,'Assumptions (NG)'!$V$10,'Assumptions (NG)'!$V$5*Model!$Y$421*('Assumptions (NG)'!$X$15*AVERAGE('Assumptions (NG)'!$U$2:$W$2)+'Assumptions (NG)'!$X$16*AVERAGE('Assumptions (NG)'!$U$3:$W$3))/10^9),0)</f>
        <v>0</v>
      </c>
      <c r="AF500" s="105">
        <f>IF($Y$421&gt;0,PPMT('Assumptions (NG)'!$V$7,Model!AD$1,'Assumptions (NG)'!$V$10,'Assumptions (NG)'!$V$5*Model!$Y$421*('Assumptions (NG)'!$X$15*AVERAGE('Assumptions (NG)'!$U$2:$W$2)+'Assumptions (NG)'!$X$16*AVERAGE('Assumptions (NG)'!$U$3:$W$3))/10^9),0)</f>
        <v>0</v>
      </c>
      <c r="AG500" s="105">
        <f>IF($Y$421&gt;0,PPMT('Assumptions (NG)'!$V$7,Model!AE$1,'Assumptions (NG)'!$V$10,'Assumptions (NG)'!$V$5*Model!$Y$421*('Assumptions (NG)'!$X$15*AVERAGE('Assumptions (NG)'!$U$2:$W$2)+'Assumptions (NG)'!$X$16*AVERAGE('Assumptions (NG)'!$U$3:$W$3))/10^9),0)</f>
        <v>0</v>
      </c>
      <c r="AH500" s="105">
        <f>IF($Y$421&gt;0,PPMT('Assumptions (NG)'!$V$7,Model!AF$1,'Assumptions (NG)'!$V$10,'Assumptions (NG)'!$V$5*Model!$Y$421*('Assumptions (NG)'!$X$15*AVERAGE('Assumptions (NG)'!$U$2:$W$2)+'Assumptions (NG)'!$X$16*AVERAGE('Assumptions (NG)'!$U$3:$W$3))/10^9),0)</f>
        <v>0</v>
      </c>
      <c r="AI500" s="105">
        <f>IF($Y$421&gt;0,PPMT('Assumptions (NG)'!$V$7,Model!AG$1,'Assumptions (NG)'!$V$10,'Assumptions (NG)'!$V$5*Model!$Y$421*('Assumptions (NG)'!$X$15*AVERAGE('Assumptions (NG)'!$U$2:$W$2)+'Assumptions (NG)'!$X$16*AVERAGE('Assumptions (NG)'!$U$3:$W$3))/10^9),0)</f>
        <v>0</v>
      </c>
      <c r="AJ500" s="105">
        <f>IF($Y$421&gt;0,PPMT('Assumptions (NG)'!$V$7,Model!AH$1,'Assumptions (NG)'!$V$10,'Assumptions (NG)'!$V$5*Model!$Y$421*('Assumptions (NG)'!$X$15*AVERAGE('Assumptions (NG)'!$U$2:$W$2)+'Assumptions (NG)'!$X$16*AVERAGE('Assumptions (NG)'!$U$3:$W$3))/10^9),0)</f>
        <v>0</v>
      </c>
      <c r="AK500" s="105">
        <f>IF($Y$421&gt;0,PPMT('Assumptions (NG)'!$V$7,Model!AI$1,'Assumptions (NG)'!$V$10,'Assumptions (NG)'!$V$5*Model!$Y$421*('Assumptions (NG)'!$X$15*AVERAGE('Assumptions (NG)'!$U$2:$W$2)+'Assumptions (NG)'!$X$16*AVERAGE('Assumptions (NG)'!$U$3:$W$3))/10^9),0)</f>
        <v>0</v>
      </c>
      <c r="AL500" s="105">
        <f>IF($Y$421&gt;0,PPMT('Assumptions (NG)'!$V$7,Model!AJ$1,'Assumptions (NG)'!$V$10,'Assumptions (NG)'!$V$5*Model!$Y$421*('Assumptions (NG)'!$X$15*AVERAGE('Assumptions (NG)'!$U$2:$W$2)+'Assumptions (NG)'!$X$16*AVERAGE('Assumptions (NG)'!$U$3:$W$3))/10^9),0)</f>
        <v>0</v>
      </c>
      <c r="AM500" s="105">
        <f>IF($Y$421&gt;0,PPMT('Assumptions (NG)'!$V$7,Model!AK$1,'Assumptions (NG)'!$V$10,'Assumptions (NG)'!$V$5*Model!$Y$421*('Assumptions (NG)'!$X$15*AVERAGE('Assumptions (NG)'!$U$2:$W$2)+'Assumptions (NG)'!$X$16*AVERAGE('Assumptions (NG)'!$U$3:$W$3))/10^9),0)</f>
        <v>0</v>
      </c>
      <c r="AN500" s="105"/>
      <c r="AO500" s="105"/>
      <c r="AP500" s="105"/>
      <c r="AQ500" s="105"/>
      <c r="AR500" s="105"/>
      <c r="AS500" s="105"/>
      <c r="AT500" s="105"/>
      <c r="AU500" s="105"/>
      <c r="AV500" s="105"/>
      <c r="AW500" s="105"/>
      <c r="AX500" s="105"/>
      <c r="AY500" s="105"/>
      <c r="AZ500" s="105"/>
      <c r="BA500" s="105"/>
    </row>
    <row r="501" spans="1:61" ht="15.75" hidden="1" customHeight="1" outlineLevel="1">
      <c r="A501" s="379"/>
      <c r="B501" s="99"/>
      <c r="C501" s="99"/>
      <c r="D501" s="99"/>
      <c r="E501" s="99"/>
      <c r="F501" s="99"/>
      <c r="G501" s="99"/>
      <c r="H501" s="99"/>
      <c r="I501" s="99"/>
      <c r="J501" s="99"/>
      <c r="K501" s="99"/>
      <c r="L501" s="99"/>
      <c r="M501" s="99"/>
      <c r="N501" s="99"/>
      <c r="O501" s="99"/>
      <c r="P501" s="99"/>
      <c r="Q501" s="99"/>
      <c r="R501" s="99"/>
      <c r="S501" s="99"/>
      <c r="T501" s="99"/>
      <c r="U501" s="99"/>
      <c r="V501" s="99"/>
      <c r="W501" s="105"/>
      <c r="X501" s="105"/>
      <c r="Y501" s="105"/>
      <c r="Z501" s="105">
        <f>IF($Z$421&gt;0,PPMT('Assumptions (NG)'!$V$7,Model!W$1,'Assumptions (NG)'!$V$10,'Assumptions (NG)'!$V$5*Model!$Z$421*('Assumptions (NG)'!$Y$15*AVERAGE('Assumptions (NG)'!$V$2:$X$2)+'Assumptions (NG)'!$Y$16*AVERAGE('Assumptions (NG)'!$V$3:$X$3))/10^9),0)</f>
        <v>0</v>
      </c>
      <c r="AA501" s="105">
        <f>IF($Z$421&gt;0,PPMT('Assumptions (NG)'!$V$7,Model!X$1,'Assumptions (NG)'!$V$10,'Assumptions (NG)'!$V$5*Model!$Z$421*('Assumptions (NG)'!$Y$15*AVERAGE('Assumptions (NG)'!$V$2:$X$2)+'Assumptions (NG)'!$Y$16*AVERAGE('Assumptions (NG)'!$V$3:$X$3))/10^9),0)</f>
        <v>0</v>
      </c>
      <c r="AB501" s="105">
        <f>IF($Z$421&gt;0,PPMT('Assumptions (NG)'!$V$7,Model!Y$1,'Assumptions (NG)'!$V$10,'Assumptions (NG)'!$V$5*Model!$Z$421*('Assumptions (NG)'!$Y$15*AVERAGE('Assumptions (NG)'!$V$2:$X$2)+'Assumptions (NG)'!$Y$16*AVERAGE('Assumptions (NG)'!$V$3:$X$3))/10^9),0)</f>
        <v>0</v>
      </c>
      <c r="AC501" s="105">
        <f>IF($Z$421&gt;0,PPMT('Assumptions (NG)'!$V$7,Model!Z$1,'Assumptions (NG)'!$V$10,'Assumptions (NG)'!$V$5*Model!$Z$421*('Assumptions (NG)'!$Y$15*AVERAGE('Assumptions (NG)'!$V$2:$X$2)+'Assumptions (NG)'!$Y$16*AVERAGE('Assumptions (NG)'!$V$3:$X$3))/10^9),0)</f>
        <v>0</v>
      </c>
      <c r="AD501" s="105">
        <f>IF($Z$421&gt;0,PPMT('Assumptions (NG)'!$V$7,Model!AA$1,'Assumptions (NG)'!$V$10,'Assumptions (NG)'!$V$5*Model!$Z$421*('Assumptions (NG)'!$Y$15*AVERAGE('Assumptions (NG)'!$V$2:$X$2)+'Assumptions (NG)'!$Y$16*AVERAGE('Assumptions (NG)'!$V$3:$X$3))/10^9),0)</f>
        <v>0</v>
      </c>
      <c r="AE501" s="105">
        <f>IF($Z$421&gt;0,PPMT('Assumptions (NG)'!$V$7,Model!AB$1,'Assumptions (NG)'!$V$10,'Assumptions (NG)'!$V$5*Model!$Z$421*('Assumptions (NG)'!$Y$15*AVERAGE('Assumptions (NG)'!$V$2:$X$2)+'Assumptions (NG)'!$Y$16*AVERAGE('Assumptions (NG)'!$V$3:$X$3))/10^9),0)</f>
        <v>0</v>
      </c>
      <c r="AF501" s="105">
        <f>IF($Z$421&gt;0,PPMT('Assumptions (NG)'!$V$7,Model!AC$1,'Assumptions (NG)'!$V$10,'Assumptions (NG)'!$V$5*Model!$Z$421*('Assumptions (NG)'!$Y$15*AVERAGE('Assumptions (NG)'!$V$2:$X$2)+'Assumptions (NG)'!$Y$16*AVERAGE('Assumptions (NG)'!$V$3:$X$3))/10^9),0)</f>
        <v>0</v>
      </c>
      <c r="AG501" s="105">
        <f>IF($Z$421&gt;0,PPMT('Assumptions (NG)'!$V$7,Model!AD$1,'Assumptions (NG)'!$V$10,'Assumptions (NG)'!$V$5*Model!$Z$421*('Assumptions (NG)'!$Y$15*AVERAGE('Assumptions (NG)'!$V$2:$X$2)+'Assumptions (NG)'!$Y$16*AVERAGE('Assumptions (NG)'!$V$3:$X$3))/10^9),0)</f>
        <v>0</v>
      </c>
      <c r="AH501" s="105">
        <f>IF($Z$421&gt;0,PPMT('Assumptions (NG)'!$V$7,Model!AE$1,'Assumptions (NG)'!$V$10,'Assumptions (NG)'!$V$5*Model!$Z$421*('Assumptions (NG)'!$Y$15*AVERAGE('Assumptions (NG)'!$V$2:$X$2)+'Assumptions (NG)'!$Y$16*AVERAGE('Assumptions (NG)'!$V$3:$X$3))/10^9),0)</f>
        <v>0</v>
      </c>
      <c r="AI501" s="105">
        <f>IF($Z$421&gt;0,PPMT('Assumptions (NG)'!$V$7,Model!AF$1,'Assumptions (NG)'!$V$10,'Assumptions (NG)'!$V$5*Model!$Z$421*('Assumptions (NG)'!$Y$15*AVERAGE('Assumptions (NG)'!$V$2:$X$2)+'Assumptions (NG)'!$Y$16*AVERAGE('Assumptions (NG)'!$V$3:$X$3))/10^9),0)</f>
        <v>0</v>
      </c>
      <c r="AJ501" s="105">
        <f>IF($Z$421&gt;0,PPMT('Assumptions (NG)'!$V$7,Model!AG$1,'Assumptions (NG)'!$V$10,'Assumptions (NG)'!$V$5*Model!$Z$421*('Assumptions (NG)'!$Y$15*AVERAGE('Assumptions (NG)'!$V$2:$X$2)+'Assumptions (NG)'!$Y$16*AVERAGE('Assumptions (NG)'!$V$3:$X$3))/10^9),0)</f>
        <v>0</v>
      </c>
      <c r="AK501" s="105">
        <f>IF($Z$421&gt;0,PPMT('Assumptions (NG)'!$V$7,Model!AH$1,'Assumptions (NG)'!$V$10,'Assumptions (NG)'!$V$5*Model!$Z$421*('Assumptions (NG)'!$Y$15*AVERAGE('Assumptions (NG)'!$V$2:$X$2)+'Assumptions (NG)'!$Y$16*AVERAGE('Assumptions (NG)'!$V$3:$X$3))/10^9),0)</f>
        <v>0</v>
      </c>
      <c r="AL501" s="105">
        <f>IF($Z$421&gt;0,PPMT('Assumptions (NG)'!$V$7,Model!AI$1,'Assumptions (NG)'!$V$10,'Assumptions (NG)'!$V$5*Model!$Z$421*('Assumptions (NG)'!$Y$15*AVERAGE('Assumptions (NG)'!$V$2:$X$2)+'Assumptions (NG)'!$Y$16*AVERAGE('Assumptions (NG)'!$V$3:$X$3))/10^9),0)</f>
        <v>0</v>
      </c>
      <c r="AM501" s="105">
        <f>IF($Z$421&gt;0,PPMT('Assumptions (NG)'!$V$7,Model!AJ$1,'Assumptions (NG)'!$V$10,'Assumptions (NG)'!$V$5*Model!$Z$421*('Assumptions (NG)'!$Y$15*AVERAGE('Assumptions (NG)'!$V$2:$X$2)+'Assumptions (NG)'!$Y$16*AVERAGE('Assumptions (NG)'!$V$3:$X$3))/10^9),0)</f>
        <v>0</v>
      </c>
      <c r="AN501" s="105">
        <f>IF($Z$421&gt;0,PPMT('Assumptions (NG)'!$V$7,Model!AK$1,'Assumptions (NG)'!$V$10,'Assumptions (NG)'!$V$5*Model!$Z$421*('Assumptions (NG)'!$Y$15*AVERAGE('Assumptions (NG)'!$V$2:$X$2)+'Assumptions (NG)'!$Y$16*AVERAGE('Assumptions (NG)'!$V$3:$X$3))/10^9),0)</f>
        <v>0</v>
      </c>
      <c r="AO501" s="105"/>
      <c r="AP501" s="105"/>
      <c r="AQ501" s="105"/>
      <c r="AR501" s="105"/>
      <c r="AS501" s="105"/>
      <c r="AT501" s="105"/>
      <c r="AU501" s="105"/>
      <c r="AV501" s="105"/>
      <c r="AW501" s="105"/>
      <c r="AX501" s="105"/>
      <c r="AY501" s="105"/>
      <c r="AZ501" s="105"/>
      <c r="BA501" s="105"/>
    </row>
    <row r="502" spans="1:61" ht="15.75" hidden="1" customHeight="1" outlineLevel="1">
      <c r="A502" s="379"/>
      <c r="B502" s="99"/>
      <c r="C502" s="99"/>
      <c r="D502" s="99"/>
      <c r="E502" s="99"/>
      <c r="F502" s="99"/>
      <c r="G502" s="99"/>
      <c r="H502" s="99"/>
      <c r="I502" s="99"/>
      <c r="J502" s="99"/>
      <c r="K502" s="99"/>
      <c r="L502" s="99"/>
      <c r="M502" s="99"/>
      <c r="N502" s="99"/>
      <c r="O502" s="99"/>
      <c r="P502" s="99"/>
      <c r="Q502" s="99"/>
      <c r="R502" s="99"/>
      <c r="S502" s="99"/>
      <c r="T502" s="99"/>
      <c r="U502" s="99"/>
      <c r="V502" s="99"/>
      <c r="W502" s="105"/>
      <c r="X502" s="105"/>
      <c r="Y502" s="105"/>
      <c r="Z502" s="105"/>
      <c r="AA502" s="105">
        <f>IF($AA$421&gt;0,PPMT('Assumptions (NG)'!$V$7,Model!W$1,'Assumptions (NG)'!$V$10,'Assumptions (NG)'!$V$5*Model!$AA$421*('Assumptions (NG)'!$Z$15*AVERAGE('Assumptions (NG)'!$W$2:$Y$2)+'Assumptions (NG)'!$Z$16*AVERAGE('Assumptions (NG)'!$W$3:$Y$3))/10^9),0)</f>
        <v>0</v>
      </c>
      <c r="AB502" s="105">
        <f>IF($AA$421&gt;0,PPMT('Assumptions (NG)'!$V$7,Model!X$1,'Assumptions (NG)'!$V$10,'Assumptions (NG)'!$V$5*Model!$AA$421*('Assumptions (NG)'!$Z$15*AVERAGE('Assumptions (NG)'!$W$2:$Y$2)+'Assumptions (NG)'!$Z$16*AVERAGE('Assumptions (NG)'!$W$3:$Y$3))/10^9),0)</f>
        <v>0</v>
      </c>
      <c r="AC502" s="105">
        <f>IF($AA$421&gt;0,PPMT('Assumptions (NG)'!$V$7,Model!Y$1,'Assumptions (NG)'!$V$10,'Assumptions (NG)'!$V$5*Model!$AA$421*('Assumptions (NG)'!$Z$15*AVERAGE('Assumptions (NG)'!$W$2:$Y$2)+'Assumptions (NG)'!$Z$16*AVERAGE('Assumptions (NG)'!$W$3:$Y$3))/10^9),0)</f>
        <v>0</v>
      </c>
      <c r="AD502" s="105">
        <f>IF($AA$421&gt;0,PPMT('Assumptions (NG)'!$V$7,Model!Z$1,'Assumptions (NG)'!$V$10,'Assumptions (NG)'!$V$5*Model!$AA$421*('Assumptions (NG)'!$Z$15*AVERAGE('Assumptions (NG)'!$W$2:$Y$2)+'Assumptions (NG)'!$Z$16*AVERAGE('Assumptions (NG)'!$W$3:$Y$3))/10^9),0)</f>
        <v>0</v>
      </c>
      <c r="AE502" s="105">
        <f>IF($AA$421&gt;0,PPMT('Assumptions (NG)'!$V$7,Model!AA$1,'Assumptions (NG)'!$V$10,'Assumptions (NG)'!$V$5*Model!$AA$421*('Assumptions (NG)'!$Z$15*AVERAGE('Assumptions (NG)'!$W$2:$Y$2)+'Assumptions (NG)'!$Z$16*AVERAGE('Assumptions (NG)'!$W$3:$Y$3))/10^9),0)</f>
        <v>0</v>
      </c>
      <c r="AF502" s="105">
        <f>IF($AA$421&gt;0,PPMT('Assumptions (NG)'!$V$7,Model!AB$1,'Assumptions (NG)'!$V$10,'Assumptions (NG)'!$V$5*Model!$AA$421*('Assumptions (NG)'!$Z$15*AVERAGE('Assumptions (NG)'!$W$2:$Y$2)+'Assumptions (NG)'!$Z$16*AVERAGE('Assumptions (NG)'!$W$3:$Y$3))/10^9),0)</f>
        <v>0</v>
      </c>
      <c r="AG502" s="105">
        <f>IF($AA$421&gt;0,PPMT('Assumptions (NG)'!$V$7,Model!AC$1,'Assumptions (NG)'!$V$10,'Assumptions (NG)'!$V$5*Model!$AA$421*('Assumptions (NG)'!$Z$15*AVERAGE('Assumptions (NG)'!$W$2:$Y$2)+'Assumptions (NG)'!$Z$16*AVERAGE('Assumptions (NG)'!$W$3:$Y$3))/10^9),0)</f>
        <v>0</v>
      </c>
      <c r="AH502" s="105">
        <f>IF($AA$421&gt;0,PPMT('Assumptions (NG)'!$V$7,Model!AD$1,'Assumptions (NG)'!$V$10,'Assumptions (NG)'!$V$5*Model!$AA$421*('Assumptions (NG)'!$Z$15*AVERAGE('Assumptions (NG)'!$W$2:$Y$2)+'Assumptions (NG)'!$Z$16*AVERAGE('Assumptions (NG)'!$W$3:$Y$3))/10^9),0)</f>
        <v>0</v>
      </c>
      <c r="AI502" s="105">
        <f>IF($AA$421&gt;0,PPMT('Assumptions (NG)'!$V$7,Model!AE$1,'Assumptions (NG)'!$V$10,'Assumptions (NG)'!$V$5*Model!$AA$421*('Assumptions (NG)'!$Z$15*AVERAGE('Assumptions (NG)'!$W$2:$Y$2)+'Assumptions (NG)'!$Z$16*AVERAGE('Assumptions (NG)'!$W$3:$Y$3))/10^9),0)</f>
        <v>0</v>
      </c>
      <c r="AJ502" s="105">
        <f>IF($AA$421&gt;0,PPMT('Assumptions (NG)'!$V$7,Model!AF$1,'Assumptions (NG)'!$V$10,'Assumptions (NG)'!$V$5*Model!$AA$421*('Assumptions (NG)'!$Z$15*AVERAGE('Assumptions (NG)'!$W$2:$Y$2)+'Assumptions (NG)'!$Z$16*AVERAGE('Assumptions (NG)'!$W$3:$Y$3))/10^9),0)</f>
        <v>0</v>
      </c>
      <c r="AK502" s="105">
        <f>IF($AA$421&gt;0,PPMT('Assumptions (NG)'!$V$7,Model!AG$1,'Assumptions (NG)'!$V$10,'Assumptions (NG)'!$V$5*Model!$AA$421*('Assumptions (NG)'!$Z$15*AVERAGE('Assumptions (NG)'!$W$2:$Y$2)+'Assumptions (NG)'!$Z$16*AVERAGE('Assumptions (NG)'!$W$3:$Y$3))/10^9),0)</f>
        <v>0</v>
      </c>
      <c r="AL502" s="105">
        <f>IF($AA$421&gt;0,PPMT('Assumptions (NG)'!$V$7,Model!AH$1,'Assumptions (NG)'!$V$10,'Assumptions (NG)'!$V$5*Model!$AA$421*('Assumptions (NG)'!$Z$15*AVERAGE('Assumptions (NG)'!$W$2:$Y$2)+'Assumptions (NG)'!$Z$16*AVERAGE('Assumptions (NG)'!$W$3:$Y$3))/10^9),0)</f>
        <v>0</v>
      </c>
      <c r="AM502" s="105">
        <f>IF($AA$421&gt;0,PPMT('Assumptions (NG)'!$V$7,Model!AI$1,'Assumptions (NG)'!$V$10,'Assumptions (NG)'!$V$5*Model!$AA$421*('Assumptions (NG)'!$Z$15*AVERAGE('Assumptions (NG)'!$W$2:$Y$2)+'Assumptions (NG)'!$Z$16*AVERAGE('Assumptions (NG)'!$W$3:$Y$3))/10^9),0)</f>
        <v>0</v>
      </c>
      <c r="AN502" s="105">
        <f>IF($AA$421&gt;0,PPMT('Assumptions (NG)'!$V$7,Model!AJ$1,'Assumptions (NG)'!$V$10,'Assumptions (NG)'!$V$5*Model!$AA$421*('Assumptions (NG)'!$Z$15*AVERAGE('Assumptions (NG)'!$W$2:$Y$2)+'Assumptions (NG)'!$Z$16*AVERAGE('Assumptions (NG)'!$W$3:$Y$3))/10^9),0)</f>
        <v>0</v>
      </c>
      <c r="AO502" s="105">
        <f>IF($AA$421&gt;0,PPMT('Assumptions (NG)'!$V$7,Model!AK$1,'Assumptions (NG)'!$V$10,'Assumptions (NG)'!$V$5*Model!$AA$421*('Assumptions (NG)'!$Z$15*AVERAGE('Assumptions (NG)'!$W$2:$Y$2)+'Assumptions (NG)'!$Z$16*AVERAGE('Assumptions (NG)'!$W$3:$Y$3))/10^9),0)</f>
        <v>0</v>
      </c>
      <c r="AP502" s="105"/>
      <c r="AQ502" s="105"/>
      <c r="AR502" s="105"/>
      <c r="AS502" s="105"/>
      <c r="AT502" s="105"/>
      <c r="AU502" s="105"/>
      <c r="AV502" s="105"/>
      <c r="AW502" s="105"/>
      <c r="AX502" s="105"/>
      <c r="AY502" s="105"/>
      <c r="AZ502" s="105"/>
      <c r="BA502" s="105"/>
    </row>
    <row r="503" spans="1:61" ht="15.75" hidden="1" customHeight="1" outlineLevel="1">
      <c r="A503" s="379"/>
      <c r="B503" s="99"/>
      <c r="C503" s="99"/>
      <c r="D503" s="99"/>
      <c r="E503" s="99"/>
      <c r="F503" s="99"/>
      <c r="G503" s="99"/>
      <c r="H503" s="99"/>
      <c r="I503" s="99"/>
      <c r="J503" s="99"/>
      <c r="K503" s="99"/>
      <c r="L503" s="99"/>
      <c r="M503" s="99"/>
      <c r="N503" s="99"/>
      <c r="O503" s="99"/>
      <c r="P503" s="99"/>
      <c r="Q503" s="99"/>
      <c r="R503" s="99"/>
      <c r="S503" s="99"/>
      <c r="T503" s="99"/>
      <c r="U503" s="99"/>
      <c r="V503" s="99"/>
      <c r="W503" s="105"/>
      <c r="X503" s="105"/>
      <c r="Y503" s="105"/>
      <c r="Z503" s="105"/>
      <c r="AA503" s="105"/>
      <c r="AB503" s="105">
        <f>IF($AB$421&gt;0,PPMT('Assumptions (NG)'!$V$7,Model!W$1,'Assumptions (NG)'!$V$10,'Assumptions (NG)'!$V$5*Model!$AB$421*('Assumptions (NG)'!$AA$15*AVERAGE('Assumptions (NG)'!$X$2:$Z$2)+'Assumptions (NG)'!$AA$16*AVERAGE('Assumptions (NG)'!$X$3:$Z$3))/10^9),0)</f>
        <v>0</v>
      </c>
      <c r="AC503" s="105">
        <f>IF($AB$421&gt;0,PPMT('Assumptions (NG)'!$V$7,Model!X$1,'Assumptions (NG)'!$V$10,'Assumptions (NG)'!$V$5*Model!$AB$421*('Assumptions (NG)'!$AA$15*AVERAGE('Assumptions (NG)'!$X$2:$Z$2)+'Assumptions (NG)'!$AA$16*AVERAGE('Assumptions (NG)'!$X$3:$Z$3))/10^9),0)</f>
        <v>0</v>
      </c>
      <c r="AD503" s="105">
        <f>IF($AB$421&gt;0,PPMT('Assumptions (NG)'!$V$7,Model!Y$1,'Assumptions (NG)'!$V$10,'Assumptions (NG)'!$V$5*Model!$AB$421*('Assumptions (NG)'!$AA$15*AVERAGE('Assumptions (NG)'!$X$2:$Z$2)+'Assumptions (NG)'!$AA$16*AVERAGE('Assumptions (NG)'!$X$3:$Z$3))/10^9),0)</f>
        <v>0</v>
      </c>
      <c r="AE503" s="105">
        <f>IF($AB$421&gt;0,PPMT('Assumptions (NG)'!$V$7,Model!Z$1,'Assumptions (NG)'!$V$10,'Assumptions (NG)'!$V$5*Model!$AB$421*('Assumptions (NG)'!$AA$15*AVERAGE('Assumptions (NG)'!$X$2:$Z$2)+'Assumptions (NG)'!$AA$16*AVERAGE('Assumptions (NG)'!$X$3:$Z$3))/10^9),0)</f>
        <v>0</v>
      </c>
      <c r="AF503" s="105">
        <f>IF($AB$421&gt;0,PPMT('Assumptions (NG)'!$V$7,Model!AA$1,'Assumptions (NG)'!$V$10,'Assumptions (NG)'!$V$5*Model!$AB$421*('Assumptions (NG)'!$AA$15*AVERAGE('Assumptions (NG)'!$X$2:$Z$2)+'Assumptions (NG)'!$AA$16*AVERAGE('Assumptions (NG)'!$X$3:$Z$3))/10^9),0)</f>
        <v>0</v>
      </c>
      <c r="AG503" s="105">
        <f>IF($AB$421&gt;0,PPMT('Assumptions (NG)'!$V$7,Model!AB$1,'Assumptions (NG)'!$V$10,'Assumptions (NG)'!$V$5*Model!$AB$421*('Assumptions (NG)'!$AA$15*AVERAGE('Assumptions (NG)'!$X$2:$Z$2)+'Assumptions (NG)'!$AA$16*AVERAGE('Assumptions (NG)'!$X$3:$Z$3))/10^9),0)</f>
        <v>0</v>
      </c>
      <c r="AH503" s="105">
        <f>IF($AB$421&gt;0,PPMT('Assumptions (NG)'!$V$7,Model!AC$1,'Assumptions (NG)'!$V$10,'Assumptions (NG)'!$V$5*Model!$AB$421*('Assumptions (NG)'!$AA$15*AVERAGE('Assumptions (NG)'!$X$2:$Z$2)+'Assumptions (NG)'!$AA$16*AVERAGE('Assumptions (NG)'!$X$3:$Z$3))/10^9),0)</f>
        <v>0</v>
      </c>
      <c r="AI503" s="105">
        <f>IF($AB$421&gt;0,PPMT('Assumptions (NG)'!$V$7,Model!AD$1,'Assumptions (NG)'!$V$10,'Assumptions (NG)'!$V$5*Model!$AB$421*('Assumptions (NG)'!$AA$15*AVERAGE('Assumptions (NG)'!$X$2:$Z$2)+'Assumptions (NG)'!$AA$16*AVERAGE('Assumptions (NG)'!$X$3:$Z$3))/10^9),0)</f>
        <v>0</v>
      </c>
      <c r="AJ503" s="105">
        <f>IF($AB$421&gt;0,PPMT('Assumptions (NG)'!$V$7,Model!AE$1,'Assumptions (NG)'!$V$10,'Assumptions (NG)'!$V$5*Model!$AB$421*('Assumptions (NG)'!$AA$15*AVERAGE('Assumptions (NG)'!$X$2:$Z$2)+'Assumptions (NG)'!$AA$16*AVERAGE('Assumptions (NG)'!$X$3:$Z$3))/10^9),0)</f>
        <v>0</v>
      </c>
      <c r="AK503" s="105">
        <f>IF($AB$421&gt;0,PPMT('Assumptions (NG)'!$V$7,Model!AF$1,'Assumptions (NG)'!$V$10,'Assumptions (NG)'!$V$5*Model!$AB$421*('Assumptions (NG)'!$AA$15*AVERAGE('Assumptions (NG)'!$X$2:$Z$2)+'Assumptions (NG)'!$AA$16*AVERAGE('Assumptions (NG)'!$X$3:$Z$3))/10^9),0)</f>
        <v>0</v>
      </c>
      <c r="AL503" s="105">
        <f>IF($AB$421&gt;0,PPMT('Assumptions (NG)'!$V$7,Model!AG$1,'Assumptions (NG)'!$V$10,'Assumptions (NG)'!$V$5*Model!$AB$421*('Assumptions (NG)'!$AA$15*AVERAGE('Assumptions (NG)'!$X$2:$Z$2)+'Assumptions (NG)'!$AA$16*AVERAGE('Assumptions (NG)'!$X$3:$Z$3))/10^9),0)</f>
        <v>0</v>
      </c>
      <c r="AM503" s="105">
        <f>IF($AB$421&gt;0,PPMT('Assumptions (NG)'!$V$7,Model!AH$1,'Assumptions (NG)'!$V$10,'Assumptions (NG)'!$V$5*Model!$AB$421*('Assumptions (NG)'!$AA$15*AVERAGE('Assumptions (NG)'!$X$2:$Z$2)+'Assumptions (NG)'!$AA$16*AVERAGE('Assumptions (NG)'!$X$3:$Z$3))/10^9),0)</f>
        <v>0</v>
      </c>
      <c r="AN503" s="105">
        <f>IF($AB$421&gt;0,PPMT('Assumptions (NG)'!$V$7,Model!AI$1,'Assumptions (NG)'!$V$10,'Assumptions (NG)'!$V$5*Model!$AB$421*('Assumptions (NG)'!$AA$15*AVERAGE('Assumptions (NG)'!$X$2:$Z$2)+'Assumptions (NG)'!$AA$16*AVERAGE('Assumptions (NG)'!$X$3:$Z$3))/10^9),0)</f>
        <v>0</v>
      </c>
      <c r="AO503" s="105">
        <f>IF($AB$421&gt;0,PPMT('Assumptions (NG)'!$V$7,Model!AJ$1,'Assumptions (NG)'!$V$10,'Assumptions (NG)'!$V$5*Model!$AB$421*('Assumptions (NG)'!$AA$15*AVERAGE('Assumptions (NG)'!$X$2:$Z$2)+'Assumptions (NG)'!$AA$16*AVERAGE('Assumptions (NG)'!$X$3:$Z$3))/10^9),0)</f>
        <v>0</v>
      </c>
      <c r="AP503" s="105">
        <f>IF($AB$421&gt;0,PPMT('Assumptions (NG)'!$V$7,Model!AK$1,'Assumptions (NG)'!$V$10,'Assumptions (NG)'!$V$5*Model!$AB$421*('Assumptions (NG)'!$AA$15*AVERAGE('Assumptions (NG)'!$X$2:$Z$2)+'Assumptions (NG)'!$AA$16*AVERAGE('Assumptions (NG)'!$X$3:$Z$3))/10^9),0)</f>
        <v>0</v>
      </c>
      <c r="AQ503" s="105"/>
      <c r="AR503" s="105"/>
      <c r="AS503" s="105"/>
      <c r="AT503" s="105"/>
      <c r="AU503" s="105"/>
      <c r="AV503" s="105"/>
      <c r="AW503" s="105"/>
      <c r="AX503" s="105"/>
      <c r="AY503" s="105"/>
      <c r="AZ503" s="105"/>
      <c r="BA503" s="105"/>
    </row>
    <row r="504" spans="1:61" ht="15.75" hidden="1" customHeight="1" outlineLevel="1">
      <c r="A504" s="379"/>
      <c r="B504" s="99"/>
      <c r="C504" s="99"/>
      <c r="D504" s="99"/>
      <c r="E504" s="99"/>
      <c r="F504" s="99"/>
      <c r="G504" s="99"/>
      <c r="H504" s="99"/>
      <c r="I504" s="99"/>
      <c r="J504" s="99"/>
      <c r="K504" s="99"/>
      <c r="L504" s="99"/>
      <c r="M504" s="99"/>
      <c r="N504" s="99"/>
      <c r="O504" s="99"/>
      <c r="P504" s="99"/>
      <c r="Q504" s="99"/>
      <c r="R504" s="99"/>
      <c r="S504" s="99"/>
      <c r="T504" s="99"/>
      <c r="U504" s="99"/>
      <c r="V504" s="99"/>
      <c r="W504" s="105"/>
      <c r="X504" s="105"/>
      <c r="Y504" s="105"/>
      <c r="Z504" s="105"/>
      <c r="AA504" s="105"/>
      <c r="AB504" s="105"/>
      <c r="AC504" s="105">
        <f>IF($AC$421&gt;0,PPMT('Assumptions (NG)'!$V$7,Model!W$1,'Assumptions (NG)'!$V$10,'Assumptions (NG)'!$V$5*Model!$AC$421*('Assumptions (NG)'!$AB$15*AVERAGE('Assumptions (NG)'!$Y$2:$AA$2)+'Assumptions (NG)'!$AB$16*AVERAGE('Assumptions (NG)'!$Y$3:$AA$3))/10^9),0)</f>
        <v>0</v>
      </c>
      <c r="AD504" s="105">
        <f>IF($AC$421&gt;0,PPMT('Assumptions (NG)'!$V$7,Model!X$1,'Assumptions (NG)'!$V$10,'Assumptions (NG)'!$V$5*Model!$AC$421*('Assumptions (NG)'!$AB$15*AVERAGE('Assumptions (NG)'!$Y$2:$AA$2)+'Assumptions (NG)'!$AB$16*AVERAGE('Assumptions (NG)'!$Y$3:$AA$3))/10^9),0)</f>
        <v>0</v>
      </c>
      <c r="AE504" s="105">
        <f>IF($AC$421&gt;0,PPMT('Assumptions (NG)'!$V$7,Model!Y$1,'Assumptions (NG)'!$V$10,'Assumptions (NG)'!$V$5*Model!$AC$421*('Assumptions (NG)'!$AB$15*AVERAGE('Assumptions (NG)'!$Y$2:$AA$2)+'Assumptions (NG)'!$AB$16*AVERAGE('Assumptions (NG)'!$Y$3:$AA$3))/10^9),0)</f>
        <v>0</v>
      </c>
      <c r="AF504" s="105">
        <f>IF($AC$421&gt;0,PPMT('Assumptions (NG)'!$V$7,Model!Z$1,'Assumptions (NG)'!$V$10,'Assumptions (NG)'!$V$5*Model!$AC$421*('Assumptions (NG)'!$AB$15*AVERAGE('Assumptions (NG)'!$Y$2:$AA$2)+'Assumptions (NG)'!$AB$16*AVERAGE('Assumptions (NG)'!$Y$3:$AA$3))/10^9),0)</f>
        <v>0</v>
      </c>
      <c r="AG504" s="105">
        <f>IF($AC$421&gt;0,PPMT('Assumptions (NG)'!$V$7,Model!AA$1,'Assumptions (NG)'!$V$10,'Assumptions (NG)'!$V$5*Model!$AC$421*('Assumptions (NG)'!$AB$15*AVERAGE('Assumptions (NG)'!$Y$2:$AA$2)+'Assumptions (NG)'!$AB$16*AVERAGE('Assumptions (NG)'!$Y$3:$AA$3))/10^9),0)</f>
        <v>0</v>
      </c>
      <c r="AH504" s="105">
        <f>IF($AC$421&gt;0,PPMT('Assumptions (NG)'!$V$7,Model!AB$1,'Assumptions (NG)'!$V$10,'Assumptions (NG)'!$V$5*Model!$AC$421*('Assumptions (NG)'!$AB$15*AVERAGE('Assumptions (NG)'!$Y$2:$AA$2)+'Assumptions (NG)'!$AB$16*AVERAGE('Assumptions (NG)'!$Y$3:$AA$3))/10^9),0)</f>
        <v>0</v>
      </c>
      <c r="AI504" s="105">
        <f>IF($AC$421&gt;0,PPMT('Assumptions (NG)'!$V$7,Model!AC$1,'Assumptions (NG)'!$V$10,'Assumptions (NG)'!$V$5*Model!$AC$421*('Assumptions (NG)'!$AB$15*AVERAGE('Assumptions (NG)'!$Y$2:$AA$2)+'Assumptions (NG)'!$AB$16*AVERAGE('Assumptions (NG)'!$Y$3:$AA$3))/10^9),0)</f>
        <v>0</v>
      </c>
      <c r="AJ504" s="105">
        <f>IF($AC$421&gt;0,PPMT('Assumptions (NG)'!$V$7,Model!AD$1,'Assumptions (NG)'!$V$10,'Assumptions (NG)'!$V$5*Model!$AC$421*('Assumptions (NG)'!$AB$15*AVERAGE('Assumptions (NG)'!$Y$2:$AA$2)+'Assumptions (NG)'!$AB$16*AVERAGE('Assumptions (NG)'!$Y$3:$AA$3))/10^9),0)</f>
        <v>0</v>
      </c>
      <c r="AK504" s="105">
        <f>IF($AC$421&gt;0,PPMT('Assumptions (NG)'!$V$7,Model!AE$1,'Assumptions (NG)'!$V$10,'Assumptions (NG)'!$V$5*Model!$AC$421*('Assumptions (NG)'!$AB$15*AVERAGE('Assumptions (NG)'!$Y$2:$AA$2)+'Assumptions (NG)'!$AB$16*AVERAGE('Assumptions (NG)'!$Y$3:$AA$3))/10^9),0)</f>
        <v>0</v>
      </c>
      <c r="AL504" s="105">
        <f>IF($AC$421&gt;0,PPMT('Assumptions (NG)'!$V$7,Model!AF$1,'Assumptions (NG)'!$V$10,'Assumptions (NG)'!$V$5*Model!$AC$421*('Assumptions (NG)'!$AB$15*AVERAGE('Assumptions (NG)'!$Y$2:$AA$2)+'Assumptions (NG)'!$AB$16*AVERAGE('Assumptions (NG)'!$Y$3:$AA$3))/10^9),0)</f>
        <v>0</v>
      </c>
      <c r="AM504" s="105">
        <f>IF($AC$421&gt;0,PPMT('Assumptions (NG)'!$V$7,Model!AG$1,'Assumptions (NG)'!$V$10,'Assumptions (NG)'!$V$5*Model!$AC$421*('Assumptions (NG)'!$AB$15*AVERAGE('Assumptions (NG)'!$Y$2:$AA$2)+'Assumptions (NG)'!$AB$16*AVERAGE('Assumptions (NG)'!$Y$3:$AA$3))/10^9),0)</f>
        <v>0</v>
      </c>
      <c r="AN504" s="105">
        <f>IF($AC$421&gt;0,PPMT('Assumptions (NG)'!$V$7,Model!AH$1,'Assumptions (NG)'!$V$10,'Assumptions (NG)'!$V$5*Model!$AC$421*('Assumptions (NG)'!$AB$15*AVERAGE('Assumptions (NG)'!$Y$2:$AA$2)+'Assumptions (NG)'!$AB$16*AVERAGE('Assumptions (NG)'!$Y$3:$AA$3))/10^9),0)</f>
        <v>0</v>
      </c>
      <c r="AO504" s="105">
        <f>IF($AC$421&gt;0,PPMT('Assumptions (NG)'!$V$7,Model!AI$1,'Assumptions (NG)'!$V$10,'Assumptions (NG)'!$V$5*Model!$AC$421*('Assumptions (NG)'!$AB$15*AVERAGE('Assumptions (NG)'!$Y$2:$AA$2)+'Assumptions (NG)'!$AB$16*AVERAGE('Assumptions (NG)'!$Y$3:$AA$3))/10^9),0)</f>
        <v>0</v>
      </c>
      <c r="AP504" s="105">
        <f>IF($AC$421&gt;0,PPMT('Assumptions (NG)'!$V$7,Model!AJ$1,'Assumptions (NG)'!$V$10,'Assumptions (NG)'!$V$5*Model!$AC$421*('Assumptions (NG)'!$AB$15*AVERAGE('Assumptions (NG)'!$Y$2:$AA$2)+'Assumptions (NG)'!$AB$16*AVERAGE('Assumptions (NG)'!$Y$3:$AA$3))/10^9),0)</f>
        <v>0</v>
      </c>
      <c r="AQ504" s="105">
        <f>IF($AC$421&gt;0,PPMT('Assumptions (NG)'!$V$7,Model!AK$1,'Assumptions (NG)'!$V$10,'Assumptions (NG)'!$V$5*Model!$AC$421*('Assumptions (NG)'!$AB$15*AVERAGE('Assumptions (NG)'!$Y$2:$AA$2)+'Assumptions (NG)'!$AB$16*AVERAGE('Assumptions (NG)'!$Y$3:$AA$3))/10^9),0)</f>
        <v>0</v>
      </c>
      <c r="AR504" s="105"/>
      <c r="AS504" s="105"/>
      <c r="AT504" s="105"/>
      <c r="AU504" s="105"/>
      <c r="AV504" s="105"/>
      <c r="AW504" s="105"/>
      <c r="AX504" s="105"/>
      <c r="AY504" s="105"/>
      <c r="AZ504" s="105"/>
      <c r="BA504" s="105"/>
    </row>
    <row r="505" spans="1:61" ht="15.75" hidden="1" customHeight="1" outlineLevel="1">
      <c r="A505" s="379"/>
      <c r="B505" s="99"/>
      <c r="C505" s="99"/>
      <c r="D505" s="99"/>
      <c r="E505" s="99"/>
      <c r="F505" s="99"/>
      <c r="G505" s="99"/>
      <c r="H505" s="99"/>
      <c r="I505" s="99"/>
      <c r="J505" s="99"/>
      <c r="K505" s="99"/>
      <c r="L505" s="99"/>
      <c r="M505" s="99"/>
      <c r="N505" s="99"/>
      <c r="O505" s="99"/>
      <c r="P505" s="99"/>
      <c r="Q505" s="99"/>
      <c r="R505" s="99"/>
      <c r="S505" s="99"/>
      <c r="T505" s="99"/>
      <c r="U505" s="99"/>
      <c r="V505" s="99"/>
      <c r="W505" s="105"/>
      <c r="X505" s="105"/>
      <c r="Y505" s="105"/>
      <c r="Z505" s="105"/>
      <c r="AA505" s="105"/>
      <c r="AB505" s="105"/>
      <c r="AC505" s="105"/>
      <c r="AD505" s="105">
        <f>IF($AD$421&gt;0,PPMT('Assumptions (NG)'!$V$7,Model!W$1,'Assumptions (NG)'!$V$10,'Assumptions (NG)'!$V$5*Model!$AD$421*('Assumptions (NG)'!$AC$15*AVERAGE('Assumptions (NG)'!$Z$2:$AB$2)+'Assumptions (NG)'!$AC$16*AVERAGE('Assumptions (NG)'!$Z$3:$AB$3))/10^9),0)</f>
        <v>0</v>
      </c>
      <c r="AE505" s="105">
        <f>IF($AD$421&gt;0,PPMT('Assumptions (NG)'!$V$7,Model!X$1,'Assumptions (NG)'!$V$10,'Assumptions (NG)'!$V$5*Model!$AD$421*('Assumptions (NG)'!$AC$15*AVERAGE('Assumptions (NG)'!$Z$2:$AB$2)+'Assumptions (NG)'!$AC$16*AVERAGE('Assumptions (NG)'!$Z$3:$AB$3))/10^9),0)</f>
        <v>0</v>
      </c>
      <c r="AF505" s="105">
        <f>IF($AD$421&gt;0,PPMT('Assumptions (NG)'!$V$7,Model!Y$1,'Assumptions (NG)'!$V$10,'Assumptions (NG)'!$V$5*Model!$AD$421*('Assumptions (NG)'!$AC$15*AVERAGE('Assumptions (NG)'!$Z$2:$AB$2)+'Assumptions (NG)'!$AC$16*AVERAGE('Assumptions (NG)'!$Z$3:$AB$3))/10^9),0)</f>
        <v>0</v>
      </c>
      <c r="AG505" s="105">
        <f>IF($AD$421&gt;0,PPMT('Assumptions (NG)'!$V$7,Model!Z$1,'Assumptions (NG)'!$V$10,'Assumptions (NG)'!$V$5*Model!$AD$421*('Assumptions (NG)'!$AC$15*AVERAGE('Assumptions (NG)'!$Z$2:$AB$2)+'Assumptions (NG)'!$AC$16*AVERAGE('Assumptions (NG)'!$Z$3:$AB$3))/10^9),0)</f>
        <v>0</v>
      </c>
      <c r="AH505" s="105">
        <f>IF($AD$421&gt;0,PPMT('Assumptions (NG)'!$V$7,Model!AA$1,'Assumptions (NG)'!$V$10,'Assumptions (NG)'!$V$5*Model!$AD$421*('Assumptions (NG)'!$AC$15*AVERAGE('Assumptions (NG)'!$Z$2:$AB$2)+'Assumptions (NG)'!$AC$16*AVERAGE('Assumptions (NG)'!$Z$3:$AB$3))/10^9),0)</f>
        <v>0</v>
      </c>
      <c r="AI505" s="105">
        <f>IF($AD$421&gt;0,PPMT('Assumptions (NG)'!$V$7,Model!AB$1,'Assumptions (NG)'!$V$10,'Assumptions (NG)'!$V$5*Model!$AD$421*('Assumptions (NG)'!$AC$15*AVERAGE('Assumptions (NG)'!$Z$2:$AB$2)+'Assumptions (NG)'!$AC$16*AVERAGE('Assumptions (NG)'!$Z$3:$AB$3))/10^9),0)</f>
        <v>0</v>
      </c>
      <c r="AJ505" s="105">
        <f>IF($AD$421&gt;0,PPMT('Assumptions (NG)'!$V$7,Model!AC$1,'Assumptions (NG)'!$V$10,'Assumptions (NG)'!$V$5*Model!$AD$421*('Assumptions (NG)'!$AC$15*AVERAGE('Assumptions (NG)'!$Z$2:$AB$2)+'Assumptions (NG)'!$AC$16*AVERAGE('Assumptions (NG)'!$Z$3:$AB$3))/10^9),0)</f>
        <v>0</v>
      </c>
      <c r="AK505" s="105">
        <f>IF($AD$421&gt;0,PPMT('Assumptions (NG)'!$V$7,Model!AD$1,'Assumptions (NG)'!$V$10,'Assumptions (NG)'!$V$5*Model!$AD$421*('Assumptions (NG)'!$AC$15*AVERAGE('Assumptions (NG)'!$Z$2:$AB$2)+'Assumptions (NG)'!$AC$16*AVERAGE('Assumptions (NG)'!$Z$3:$AB$3))/10^9),0)</f>
        <v>0</v>
      </c>
      <c r="AL505" s="105">
        <f>IF($AD$421&gt;0,PPMT('Assumptions (NG)'!$V$7,Model!AE$1,'Assumptions (NG)'!$V$10,'Assumptions (NG)'!$V$5*Model!$AD$421*('Assumptions (NG)'!$AC$15*AVERAGE('Assumptions (NG)'!$Z$2:$AB$2)+'Assumptions (NG)'!$AC$16*AVERAGE('Assumptions (NG)'!$Z$3:$AB$3))/10^9),0)</f>
        <v>0</v>
      </c>
      <c r="AM505" s="105">
        <f>IF($AD$421&gt;0,PPMT('Assumptions (NG)'!$V$7,Model!AF$1,'Assumptions (NG)'!$V$10,'Assumptions (NG)'!$V$5*Model!$AD$421*('Assumptions (NG)'!$AC$15*AVERAGE('Assumptions (NG)'!$Z$2:$AB$2)+'Assumptions (NG)'!$AC$16*AVERAGE('Assumptions (NG)'!$Z$3:$AB$3))/10^9),0)</f>
        <v>0</v>
      </c>
      <c r="AN505" s="105">
        <f>IF($AD$421&gt;0,PPMT('Assumptions (NG)'!$V$7,Model!AG$1,'Assumptions (NG)'!$V$10,'Assumptions (NG)'!$V$5*Model!$AD$421*('Assumptions (NG)'!$AC$15*AVERAGE('Assumptions (NG)'!$Z$2:$AB$2)+'Assumptions (NG)'!$AC$16*AVERAGE('Assumptions (NG)'!$Z$3:$AB$3))/10^9),0)</f>
        <v>0</v>
      </c>
      <c r="AO505" s="105">
        <f>IF($AD$421&gt;0,PPMT('Assumptions (NG)'!$V$7,Model!AH$1,'Assumptions (NG)'!$V$10,'Assumptions (NG)'!$V$5*Model!$AD$421*('Assumptions (NG)'!$AC$15*AVERAGE('Assumptions (NG)'!$Z$2:$AB$2)+'Assumptions (NG)'!$AC$16*AVERAGE('Assumptions (NG)'!$Z$3:$AB$3))/10^9),0)</f>
        <v>0</v>
      </c>
      <c r="AP505" s="105">
        <f>IF($AD$421&gt;0,PPMT('Assumptions (NG)'!$V$7,Model!AI$1,'Assumptions (NG)'!$V$10,'Assumptions (NG)'!$V$5*Model!$AD$421*('Assumptions (NG)'!$AC$15*AVERAGE('Assumptions (NG)'!$Z$2:$AB$2)+'Assumptions (NG)'!$AC$16*AVERAGE('Assumptions (NG)'!$Z$3:$AB$3))/10^9),0)</f>
        <v>0</v>
      </c>
      <c r="AQ505" s="105">
        <f>IF($AD$421&gt;0,PPMT('Assumptions (NG)'!$V$7,Model!AJ$1,'Assumptions (NG)'!$V$10,'Assumptions (NG)'!$V$5*Model!$AD$421*('Assumptions (NG)'!$AC$15*AVERAGE('Assumptions (NG)'!$Z$2:$AB$2)+'Assumptions (NG)'!$AC$16*AVERAGE('Assumptions (NG)'!$Z$3:$AB$3))/10^9),0)</f>
        <v>0</v>
      </c>
      <c r="AR505" s="105">
        <f>IF($AD$421&gt;0,PPMT('Assumptions (NG)'!$V$7,Model!AK$1,'Assumptions (NG)'!$V$10,'Assumptions (NG)'!$V$5*Model!$AD$421*('Assumptions (NG)'!$AC$15*AVERAGE('Assumptions (NG)'!$Z$2:$AB$2)+'Assumptions (NG)'!$AC$16*AVERAGE('Assumptions (NG)'!$Z$3:$AB$3))/10^9),0)</f>
        <v>0</v>
      </c>
      <c r="AS505" s="105"/>
      <c r="AT505" s="105"/>
      <c r="AU505" s="105"/>
      <c r="AV505" s="105"/>
      <c r="AW505" s="105"/>
      <c r="AX505" s="105"/>
      <c r="AY505" s="105"/>
      <c r="AZ505" s="105"/>
      <c r="BA505" s="105"/>
      <c r="BB505" s="105"/>
    </row>
    <row r="506" spans="1:61" ht="15.75" hidden="1" customHeight="1" outlineLevel="1">
      <c r="A506" s="379"/>
      <c r="B506" s="99"/>
      <c r="C506" s="99"/>
      <c r="D506" s="99"/>
      <c r="E506" s="99"/>
      <c r="F506" s="99"/>
      <c r="G506" s="99"/>
      <c r="H506" s="99"/>
      <c r="I506" s="99"/>
      <c r="J506" s="99"/>
      <c r="K506" s="99"/>
      <c r="L506" s="99"/>
      <c r="M506" s="99"/>
      <c r="N506" s="99"/>
      <c r="O506" s="99"/>
      <c r="P506" s="99"/>
      <c r="Q506" s="99"/>
      <c r="R506" s="99"/>
      <c r="S506" s="99"/>
      <c r="T506" s="99"/>
      <c r="U506" s="99"/>
      <c r="V506" s="99"/>
      <c r="W506" s="105"/>
      <c r="X506" s="105"/>
      <c r="Y506" s="105"/>
      <c r="Z506" s="105"/>
      <c r="AA506" s="105"/>
      <c r="AB506" s="105"/>
      <c r="AC506" s="105"/>
      <c r="AD506" s="105"/>
      <c r="AE506" s="105">
        <f>IF($AE$421&gt;0,PPMT('Assumptions (NG)'!$V$7,Model!W$1,'Assumptions (NG)'!$V$10,'Assumptions (NG)'!$V$5*Model!$AE$421*('Assumptions (NG)'!$AD$15*AVERAGE('Assumptions (NG)'!$AA$2:$AC$2)+'Assumptions (NG)'!$AD$16*AVERAGE('Assumptions (NG)'!$AA$3:$AC$3))/10^9),0)</f>
        <v>0</v>
      </c>
      <c r="AF506" s="105">
        <f>IF($AE$421&gt;0,PPMT('Assumptions (NG)'!$V$7,Model!X$1,'Assumptions (NG)'!$V$10,'Assumptions (NG)'!$V$5*Model!$AE$421*('Assumptions (NG)'!$AD$15*AVERAGE('Assumptions (NG)'!$AA$2:$AC$2)+'Assumptions (NG)'!$AD$16*AVERAGE('Assumptions (NG)'!$AA$3:$AC$3))/10^9),0)</f>
        <v>0</v>
      </c>
      <c r="AG506" s="105">
        <f>IF($AE$421&gt;0,PPMT('Assumptions (NG)'!$V$7,Model!Y$1,'Assumptions (NG)'!$V$10,'Assumptions (NG)'!$V$5*Model!$AE$421*('Assumptions (NG)'!$AD$15*AVERAGE('Assumptions (NG)'!$AA$2:$AC$2)+'Assumptions (NG)'!$AD$16*AVERAGE('Assumptions (NG)'!$AA$3:$AC$3))/10^9),0)</f>
        <v>0</v>
      </c>
      <c r="AH506" s="105">
        <f>IF($AE$421&gt;0,PPMT('Assumptions (NG)'!$V$7,Model!Z$1,'Assumptions (NG)'!$V$10,'Assumptions (NG)'!$V$5*Model!$AE$421*('Assumptions (NG)'!$AD$15*AVERAGE('Assumptions (NG)'!$AA$2:$AC$2)+'Assumptions (NG)'!$AD$16*AVERAGE('Assumptions (NG)'!$AA$3:$AC$3))/10^9),0)</f>
        <v>0</v>
      </c>
      <c r="AI506" s="105">
        <f>IF($AE$421&gt;0,PPMT('Assumptions (NG)'!$V$7,Model!AA$1,'Assumptions (NG)'!$V$10,'Assumptions (NG)'!$V$5*Model!$AE$421*('Assumptions (NG)'!$AD$15*AVERAGE('Assumptions (NG)'!$AA$2:$AC$2)+'Assumptions (NG)'!$AD$16*AVERAGE('Assumptions (NG)'!$AA$3:$AC$3))/10^9),0)</f>
        <v>0</v>
      </c>
      <c r="AJ506" s="105">
        <f>IF($AE$421&gt;0,PPMT('Assumptions (NG)'!$V$7,Model!AB$1,'Assumptions (NG)'!$V$10,'Assumptions (NG)'!$V$5*Model!$AE$421*('Assumptions (NG)'!$AD$15*AVERAGE('Assumptions (NG)'!$AA$2:$AC$2)+'Assumptions (NG)'!$AD$16*AVERAGE('Assumptions (NG)'!$AA$3:$AC$3))/10^9),0)</f>
        <v>0</v>
      </c>
      <c r="AK506" s="105">
        <f>IF($AE$421&gt;0,PPMT('Assumptions (NG)'!$V$7,Model!AC$1,'Assumptions (NG)'!$V$10,'Assumptions (NG)'!$V$5*Model!$AE$421*('Assumptions (NG)'!$AD$15*AVERAGE('Assumptions (NG)'!$AA$2:$AC$2)+'Assumptions (NG)'!$AD$16*AVERAGE('Assumptions (NG)'!$AA$3:$AC$3))/10^9),0)</f>
        <v>0</v>
      </c>
      <c r="AL506" s="105">
        <f>IF($AE$421&gt;0,PPMT('Assumptions (NG)'!$V$7,Model!AD$1,'Assumptions (NG)'!$V$10,'Assumptions (NG)'!$V$5*Model!$AE$421*('Assumptions (NG)'!$AD$15*AVERAGE('Assumptions (NG)'!$AA$2:$AC$2)+'Assumptions (NG)'!$AD$16*AVERAGE('Assumptions (NG)'!$AA$3:$AC$3))/10^9),0)</f>
        <v>0</v>
      </c>
      <c r="AM506" s="105">
        <f>IF($AE$421&gt;0,PPMT('Assumptions (NG)'!$V$7,Model!AE$1,'Assumptions (NG)'!$V$10,'Assumptions (NG)'!$V$5*Model!$AE$421*('Assumptions (NG)'!$AD$15*AVERAGE('Assumptions (NG)'!$AA$2:$AC$2)+'Assumptions (NG)'!$AD$16*AVERAGE('Assumptions (NG)'!$AA$3:$AC$3))/10^9),0)</f>
        <v>0</v>
      </c>
      <c r="AN506" s="105">
        <f>IF($AE$421&gt;0,PPMT('Assumptions (NG)'!$V$7,Model!AF$1,'Assumptions (NG)'!$V$10,'Assumptions (NG)'!$V$5*Model!$AE$421*('Assumptions (NG)'!$AD$15*AVERAGE('Assumptions (NG)'!$AA$2:$AC$2)+'Assumptions (NG)'!$AD$16*AVERAGE('Assumptions (NG)'!$AA$3:$AC$3))/10^9),0)</f>
        <v>0</v>
      </c>
      <c r="AO506" s="105">
        <f>IF($AE$421&gt;0,PPMT('Assumptions (NG)'!$V$7,Model!AG$1,'Assumptions (NG)'!$V$10,'Assumptions (NG)'!$V$5*Model!$AE$421*('Assumptions (NG)'!$AD$15*AVERAGE('Assumptions (NG)'!$AA$2:$AC$2)+'Assumptions (NG)'!$AD$16*AVERAGE('Assumptions (NG)'!$AA$3:$AC$3))/10^9),0)</f>
        <v>0</v>
      </c>
      <c r="AP506" s="105">
        <f>IF($AE$421&gt;0,PPMT('Assumptions (NG)'!$V$7,Model!AH$1,'Assumptions (NG)'!$V$10,'Assumptions (NG)'!$V$5*Model!$AE$421*('Assumptions (NG)'!$AD$15*AVERAGE('Assumptions (NG)'!$AA$2:$AC$2)+'Assumptions (NG)'!$AD$16*AVERAGE('Assumptions (NG)'!$AA$3:$AC$3))/10^9),0)</f>
        <v>0</v>
      </c>
      <c r="AQ506" s="105">
        <f>IF($AE$421&gt;0,PPMT('Assumptions (NG)'!$V$7,Model!AI$1,'Assumptions (NG)'!$V$10,'Assumptions (NG)'!$V$5*Model!$AE$421*('Assumptions (NG)'!$AD$15*AVERAGE('Assumptions (NG)'!$AA$2:$AC$2)+'Assumptions (NG)'!$AD$16*AVERAGE('Assumptions (NG)'!$AA$3:$AC$3))/10^9),0)</f>
        <v>0</v>
      </c>
      <c r="AR506" s="105">
        <f>IF($AE$421&gt;0,PPMT('Assumptions (NG)'!$V$7,Model!AJ$1,'Assumptions (NG)'!$V$10,'Assumptions (NG)'!$V$5*Model!$AE$421*('Assumptions (NG)'!$AD$15*AVERAGE('Assumptions (NG)'!$AA$2:$AC$2)+'Assumptions (NG)'!$AD$16*AVERAGE('Assumptions (NG)'!$AA$3:$AC$3))/10^9),0)</f>
        <v>0</v>
      </c>
      <c r="AS506" s="105">
        <f>IF($AE$421&gt;0,PPMT('Assumptions (NG)'!$V$7,Model!AK$1,'Assumptions (NG)'!$V$10,'Assumptions (NG)'!$V$5*Model!$AE$421*('Assumptions (NG)'!$AD$15*AVERAGE('Assumptions (NG)'!$AA$2:$AC$2)+'Assumptions (NG)'!$AD$16*AVERAGE('Assumptions (NG)'!$AA$3:$AC$3))/10^9),0)</f>
        <v>0</v>
      </c>
      <c r="AT506" s="105"/>
      <c r="AU506" s="105"/>
      <c r="AV506" s="105"/>
      <c r="AW506" s="105"/>
      <c r="AX506" s="105"/>
      <c r="AY506" s="105"/>
      <c r="AZ506" s="105"/>
      <c r="BA506" s="105"/>
      <c r="BB506" s="105"/>
      <c r="BC506" s="105"/>
    </row>
    <row r="507" spans="1:61" ht="15.75" hidden="1" customHeight="1" outlineLevel="1">
      <c r="A507" s="379"/>
      <c r="B507" s="99"/>
      <c r="C507" s="99"/>
      <c r="D507" s="99"/>
      <c r="E507" s="99"/>
      <c r="F507" s="99"/>
      <c r="G507" s="99"/>
      <c r="H507" s="99"/>
      <c r="I507" s="99"/>
      <c r="J507" s="99"/>
      <c r="K507" s="99"/>
      <c r="L507" s="99"/>
      <c r="M507" s="99"/>
      <c r="N507" s="99"/>
      <c r="O507" s="99"/>
      <c r="P507" s="99"/>
      <c r="Q507" s="99"/>
      <c r="R507" s="99"/>
      <c r="S507" s="99"/>
      <c r="T507" s="99"/>
      <c r="U507" s="99"/>
      <c r="V507" s="99"/>
      <c r="W507" s="105"/>
      <c r="X507" s="105"/>
      <c r="Y507" s="105"/>
      <c r="Z507" s="105"/>
      <c r="AA507" s="105"/>
      <c r="AB507" s="105"/>
      <c r="AC507" s="105"/>
      <c r="AD507" s="105"/>
      <c r="AE507" s="105"/>
      <c r="AF507" s="105">
        <f>IF($AF$421&gt;0,PPMT('Assumptions (NG)'!$V$7,Model!W$1,'Assumptions (NG)'!$V$10,'Assumptions (NG)'!$V$5*Model!$AF$421*('Assumptions (NG)'!$AE$15*AVERAGE('Assumptions (NG)'!$AB$2:$AD$2)+'Assumptions (NG)'!$AE$16*AVERAGE('Assumptions (NG)'!$AB$3:$AD$3))/10^9),0)</f>
        <v>0</v>
      </c>
      <c r="AG507" s="105">
        <f>IF($AF$421&gt;0,PPMT('Assumptions (NG)'!$V$7,Model!X$1,'Assumptions (NG)'!$V$10,'Assumptions (NG)'!$V$5*Model!$AF$421*('Assumptions (NG)'!$AE$15*AVERAGE('Assumptions (NG)'!$AB$2:$AD$2)+'Assumptions (NG)'!$AE$16*AVERAGE('Assumptions (NG)'!$AB$3:$AD$3))/10^9),0)</f>
        <v>0</v>
      </c>
      <c r="AH507" s="105">
        <f>IF($AF$421&gt;0,PPMT('Assumptions (NG)'!$V$7,Model!Y$1,'Assumptions (NG)'!$V$10,'Assumptions (NG)'!$V$5*Model!$AF$421*('Assumptions (NG)'!$AE$15*AVERAGE('Assumptions (NG)'!$AB$2:$AD$2)+'Assumptions (NG)'!$AE$16*AVERAGE('Assumptions (NG)'!$AB$3:$AD$3))/10^9),0)</f>
        <v>0</v>
      </c>
      <c r="AI507" s="105">
        <f>IF($AF$421&gt;0,PPMT('Assumptions (NG)'!$V$7,Model!Z$1,'Assumptions (NG)'!$V$10,'Assumptions (NG)'!$V$5*Model!$AF$421*('Assumptions (NG)'!$AE$15*AVERAGE('Assumptions (NG)'!$AB$2:$AD$2)+'Assumptions (NG)'!$AE$16*AVERAGE('Assumptions (NG)'!$AB$3:$AD$3))/10^9),0)</f>
        <v>0</v>
      </c>
      <c r="AJ507" s="105">
        <f>IF($AF$421&gt;0,PPMT('Assumptions (NG)'!$V$7,Model!AA$1,'Assumptions (NG)'!$V$10,'Assumptions (NG)'!$V$5*Model!$AF$421*('Assumptions (NG)'!$AE$15*AVERAGE('Assumptions (NG)'!$AB$2:$AD$2)+'Assumptions (NG)'!$AE$16*AVERAGE('Assumptions (NG)'!$AB$3:$AD$3))/10^9),0)</f>
        <v>0</v>
      </c>
      <c r="AK507" s="105">
        <f>IF($AF$421&gt;0,PPMT('Assumptions (NG)'!$V$7,Model!AB$1,'Assumptions (NG)'!$V$10,'Assumptions (NG)'!$V$5*Model!$AF$421*('Assumptions (NG)'!$AE$15*AVERAGE('Assumptions (NG)'!$AB$2:$AD$2)+'Assumptions (NG)'!$AE$16*AVERAGE('Assumptions (NG)'!$AB$3:$AD$3))/10^9),0)</f>
        <v>0</v>
      </c>
      <c r="AL507" s="105">
        <f>IF($AF$421&gt;0,PPMT('Assumptions (NG)'!$V$7,Model!AC$1,'Assumptions (NG)'!$V$10,'Assumptions (NG)'!$V$5*Model!$AF$421*('Assumptions (NG)'!$AE$15*AVERAGE('Assumptions (NG)'!$AB$2:$AD$2)+'Assumptions (NG)'!$AE$16*AVERAGE('Assumptions (NG)'!$AB$3:$AD$3))/10^9),0)</f>
        <v>0</v>
      </c>
      <c r="AM507" s="105">
        <f>IF($AF$421&gt;0,PPMT('Assumptions (NG)'!$V$7,Model!AD$1,'Assumptions (NG)'!$V$10,'Assumptions (NG)'!$V$5*Model!$AF$421*('Assumptions (NG)'!$AE$15*AVERAGE('Assumptions (NG)'!$AB$2:$AD$2)+'Assumptions (NG)'!$AE$16*AVERAGE('Assumptions (NG)'!$AB$3:$AD$3))/10^9),0)</f>
        <v>0</v>
      </c>
      <c r="AN507" s="105">
        <f>IF($AF$421&gt;0,PPMT('Assumptions (NG)'!$V$7,Model!AE$1,'Assumptions (NG)'!$V$10,'Assumptions (NG)'!$V$5*Model!$AF$421*('Assumptions (NG)'!$AE$15*AVERAGE('Assumptions (NG)'!$AB$2:$AD$2)+'Assumptions (NG)'!$AE$16*AVERAGE('Assumptions (NG)'!$AB$3:$AD$3))/10^9),0)</f>
        <v>0</v>
      </c>
      <c r="AO507" s="105">
        <f>IF($AF$421&gt;0,PPMT('Assumptions (NG)'!$V$7,Model!AF$1,'Assumptions (NG)'!$V$10,'Assumptions (NG)'!$V$5*Model!$AF$421*('Assumptions (NG)'!$AE$15*AVERAGE('Assumptions (NG)'!$AB$2:$AD$2)+'Assumptions (NG)'!$AE$16*AVERAGE('Assumptions (NG)'!$AB$3:$AD$3))/10^9),0)</f>
        <v>0</v>
      </c>
      <c r="AP507" s="105">
        <f>IF($AF$421&gt;0,PPMT('Assumptions (NG)'!$V$7,Model!AG$1,'Assumptions (NG)'!$V$10,'Assumptions (NG)'!$V$5*Model!$AF$421*('Assumptions (NG)'!$AE$15*AVERAGE('Assumptions (NG)'!$AB$2:$AD$2)+'Assumptions (NG)'!$AE$16*AVERAGE('Assumptions (NG)'!$AB$3:$AD$3))/10^9),0)</f>
        <v>0</v>
      </c>
      <c r="AQ507" s="105">
        <f>IF($AF$421&gt;0,PPMT('Assumptions (NG)'!$V$7,Model!AH$1,'Assumptions (NG)'!$V$10,'Assumptions (NG)'!$V$5*Model!$AF$421*('Assumptions (NG)'!$AE$15*AVERAGE('Assumptions (NG)'!$AB$2:$AD$2)+'Assumptions (NG)'!$AE$16*AVERAGE('Assumptions (NG)'!$AB$3:$AD$3))/10^9),0)</f>
        <v>0</v>
      </c>
      <c r="AR507" s="105">
        <f>IF($AF$421&gt;0,PPMT('Assumptions (NG)'!$V$7,Model!AI$1,'Assumptions (NG)'!$V$10,'Assumptions (NG)'!$V$5*Model!$AF$421*('Assumptions (NG)'!$AE$15*AVERAGE('Assumptions (NG)'!$AB$2:$AD$2)+'Assumptions (NG)'!$AE$16*AVERAGE('Assumptions (NG)'!$AB$3:$AD$3))/10^9),0)</f>
        <v>0</v>
      </c>
      <c r="AS507" s="105">
        <f>IF($AF$421&gt;0,PPMT('Assumptions (NG)'!$V$7,Model!AJ$1,'Assumptions (NG)'!$V$10,'Assumptions (NG)'!$V$5*Model!$AF$421*('Assumptions (NG)'!$AE$15*AVERAGE('Assumptions (NG)'!$AB$2:$AD$2)+'Assumptions (NG)'!$AE$16*AVERAGE('Assumptions (NG)'!$AB$3:$AD$3))/10^9),0)</f>
        <v>0</v>
      </c>
      <c r="AT507" s="105">
        <f>IF($AF$421&gt;0,PPMT('Assumptions (NG)'!$V$7,Model!AK$1,'Assumptions (NG)'!$V$10,'Assumptions (NG)'!$V$5*Model!$AF$421*('Assumptions (NG)'!$AE$15*AVERAGE('Assumptions (NG)'!$AB$2:$AD$2)+'Assumptions (NG)'!$AE$16*AVERAGE('Assumptions (NG)'!$AB$3:$AD$3))/10^9),0)</f>
        <v>0</v>
      </c>
      <c r="AU507" s="105"/>
      <c r="AV507" s="105"/>
      <c r="AW507" s="105"/>
      <c r="AX507" s="105"/>
      <c r="AY507" s="105"/>
      <c r="AZ507" s="105"/>
      <c r="BA507" s="105"/>
      <c r="BB507" s="105"/>
      <c r="BC507" s="105"/>
      <c r="BD507" s="105"/>
    </row>
    <row r="508" spans="1:61" ht="15.75" hidden="1" customHeight="1" outlineLevel="1">
      <c r="A508" s="379"/>
      <c r="B508" s="99"/>
      <c r="C508" s="99"/>
      <c r="D508" s="99"/>
      <c r="E508" s="99"/>
      <c r="F508" s="99"/>
      <c r="G508" s="99"/>
      <c r="H508" s="99"/>
      <c r="I508" s="99"/>
      <c r="J508" s="99"/>
      <c r="K508" s="99"/>
      <c r="L508" s="99"/>
      <c r="M508" s="99"/>
      <c r="N508" s="99"/>
      <c r="O508" s="99"/>
      <c r="P508" s="99"/>
      <c r="Q508" s="99"/>
      <c r="R508" s="99"/>
      <c r="S508" s="99"/>
      <c r="T508" s="99"/>
      <c r="U508" s="99"/>
      <c r="V508" s="99"/>
      <c r="W508" s="105"/>
      <c r="X508" s="105"/>
      <c r="Y508" s="105"/>
      <c r="Z508" s="105"/>
      <c r="AA508" s="105"/>
      <c r="AB508" s="105"/>
      <c r="AC508" s="105"/>
      <c r="AD508" s="105"/>
      <c r="AE508" s="105"/>
      <c r="AF508" s="105"/>
      <c r="AG508" s="105">
        <f>IF($AG$421&gt;0,PPMT('Assumptions (NG)'!$V$7,Model!W$1,'Assumptions (NG)'!$V$10,'Assumptions (NG)'!$V$5*Model!$AG$421*('Assumptions (NG)'!$AF$15*AVERAGE('Assumptions (NG)'!$AC$2:$AE$2)+'Assumptions (NG)'!$AF$16*AVERAGE('Assumptions (NG)'!$AC$3:$AE$3))/10^9),0)</f>
        <v>0</v>
      </c>
      <c r="AH508" s="105">
        <f>IF($AG$421&gt;0,PPMT('Assumptions (NG)'!$V$7,Model!X$1,'Assumptions (NG)'!$V$10,'Assumptions (NG)'!$V$5*Model!$AG$421*('Assumptions (NG)'!$AF$15*AVERAGE('Assumptions (NG)'!$AC$2:$AE$2)+'Assumptions (NG)'!$AF$16*AVERAGE('Assumptions (NG)'!$AC$3:$AE$3))/10^9),0)</f>
        <v>0</v>
      </c>
      <c r="AI508" s="105">
        <f>IF($AG$421&gt;0,PPMT('Assumptions (NG)'!$V$7,Model!Y$1,'Assumptions (NG)'!$V$10,'Assumptions (NG)'!$V$5*Model!$AG$421*('Assumptions (NG)'!$AF$15*AVERAGE('Assumptions (NG)'!$AC$2:$AE$2)+'Assumptions (NG)'!$AF$16*AVERAGE('Assumptions (NG)'!$AC$3:$AE$3))/10^9),0)</f>
        <v>0</v>
      </c>
      <c r="AJ508" s="105">
        <f>IF($AG$421&gt;0,PPMT('Assumptions (NG)'!$V$7,Model!Z$1,'Assumptions (NG)'!$V$10,'Assumptions (NG)'!$V$5*Model!$AG$421*('Assumptions (NG)'!$AF$15*AVERAGE('Assumptions (NG)'!$AC$2:$AE$2)+'Assumptions (NG)'!$AF$16*AVERAGE('Assumptions (NG)'!$AC$3:$AE$3))/10^9),0)</f>
        <v>0</v>
      </c>
      <c r="AK508" s="105">
        <f>IF($AG$421&gt;0,PPMT('Assumptions (NG)'!$V$7,Model!AA$1,'Assumptions (NG)'!$V$10,'Assumptions (NG)'!$V$5*Model!$AG$421*('Assumptions (NG)'!$AF$15*AVERAGE('Assumptions (NG)'!$AC$2:$AE$2)+'Assumptions (NG)'!$AF$16*AVERAGE('Assumptions (NG)'!$AC$3:$AE$3))/10^9),0)</f>
        <v>0</v>
      </c>
      <c r="AL508" s="105">
        <f>IF($AG$421&gt;0,PPMT('Assumptions (NG)'!$V$7,Model!AB$1,'Assumptions (NG)'!$V$10,'Assumptions (NG)'!$V$5*Model!$AG$421*('Assumptions (NG)'!$AF$15*AVERAGE('Assumptions (NG)'!$AC$2:$AE$2)+'Assumptions (NG)'!$AF$16*AVERAGE('Assumptions (NG)'!$AC$3:$AE$3))/10^9),0)</f>
        <v>0</v>
      </c>
      <c r="AM508" s="105">
        <f>IF($AG$421&gt;0,PPMT('Assumptions (NG)'!$V$7,Model!AC$1,'Assumptions (NG)'!$V$10,'Assumptions (NG)'!$V$5*Model!$AG$421*('Assumptions (NG)'!$AF$15*AVERAGE('Assumptions (NG)'!$AC$2:$AE$2)+'Assumptions (NG)'!$AF$16*AVERAGE('Assumptions (NG)'!$AC$3:$AE$3))/10^9),0)</f>
        <v>0</v>
      </c>
      <c r="AN508" s="105">
        <f>IF($AG$421&gt;0,PPMT('Assumptions (NG)'!$V$7,Model!AD$1,'Assumptions (NG)'!$V$10,'Assumptions (NG)'!$V$5*Model!$AG$421*('Assumptions (NG)'!$AF$15*AVERAGE('Assumptions (NG)'!$AC$2:$AE$2)+'Assumptions (NG)'!$AF$16*AVERAGE('Assumptions (NG)'!$AC$3:$AE$3))/10^9),0)</f>
        <v>0</v>
      </c>
      <c r="AO508" s="105">
        <f>IF($AG$421&gt;0,PPMT('Assumptions (NG)'!$V$7,Model!AE$1,'Assumptions (NG)'!$V$10,'Assumptions (NG)'!$V$5*Model!$AG$421*('Assumptions (NG)'!$AF$15*AVERAGE('Assumptions (NG)'!$AC$2:$AE$2)+'Assumptions (NG)'!$AF$16*AVERAGE('Assumptions (NG)'!$AC$3:$AE$3))/10^9),0)</f>
        <v>0</v>
      </c>
      <c r="AP508" s="105">
        <f>IF($AG$421&gt;0,PPMT('Assumptions (NG)'!$V$7,Model!AF$1,'Assumptions (NG)'!$V$10,'Assumptions (NG)'!$V$5*Model!$AG$421*('Assumptions (NG)'!$AF$15*AVERAGE('Assumptions (NG)'!$AC$2:$AE$2)+'Assumptions (NG)'!$AF$16*AVERAGE('Assumptions (NG)'!$AC$3:$AE$3))/10^9),0)</f>
        <v>0</v>
      </c>
      <c r="AQ508" s="105">
        <f>IF($AG$421&gt;0,PPMT('Assumptions (NG)'!$V$7,Model!AG$1,'Assumptions (NG)'!$V$10,'Assumptions (NG)'!$V$5*Model!$AG$421*('Assumptions (NG)'!$AF$15*AVERAGE('Assumptions (NG)'!$AC$2:$AE$2)+'Assumptions (NG)'!$AF$16*AVERAGE('Assumptions (NG)'!$AC$3:$AE$3))/10^9),0)</f>
        <v>0</v>
      </c>
      <c r="AR508" s="105">
        <f>IF($AG$421&gt;0,PPMT('Assumptions (NG)'!$V$7,Model!AH$1,'Assumptions (NG)'!$V$10,'Assumptions (NG)'!$V$5*Model!$AG$421*('Assumptions (NG)'!$AF$15*AVERAGE('Assumptions (NG)'!$AC$2:$AE$2)+'Assumptions (NG)'!$AF$16*AVERAGE('Assumptions (NG)'!$AC$3:$AE$3))/10^9),0)</f>
        <v>0</v>
      </c>
      <c r="AS508" s="105">
        <f>IF($AG$421&gt;0,PPMT('Assumptions (NG)'!$V$7,Model!AI$1,'Assumptions (NG)'!$V$10,'Assumptions (NG)'!$V$5*Model!$AG$421*('Assumptions (NG)'!$AF$15*AVERAGE('Assumptions (NG)'!$AC$2:$AE$2)+'Assumptions (NG)'!$AF$16*AVERAGE('Assumptions (NG)'!$AC$3:$AE$3))/10^9),0)</f>
        <v>0</v>
      </c>
      <c r="AT508" s="105">
        <f>IF($AG$421&gt;0,PPMT('Assumptions (NG)'!$V$7,Model!AJ$1,'Assumptions (NG)'!$V$10,'Assumptions (NG)'!$V$5*Model!$AG$421*('Assumptions (NG)'!$AF$15*AVERAGE('Assumptions (NG)'!$AC$2:$AE$2)+'Assumptions (NG)'!$AF$16*AVERAGE('Assumptions (NG)'!$AC$3:$AE$3))/10^9),0)</f>
        <v>0</v>
      </c>
      <c r="AU508" s="105">
        <f>IF($AG$421&gt;0,PPMT('Assumptions (NG)'!$V$7,Model!AK$1,'Assumptions (NG)'!$V$10,'Assumptions (NG)'!$V$5*Model!$AG$421*('Assumptions (NG)'!$AF$15*AVERAGE('Assumptions (NG)'!$AC$2:$AE$2)+'Assumptions (NG)'!$AF$16*AVERAGE('Assumptions (NG)'!$AC$3:$AE$3))/10^9),0)</f>
        <v>0</v>
      </c>
      <c r="AV508" s="105"/>
      <c r="AW508" s="105"/>
      <c r="AX508" s="105"/>
      <c r="AY508" s="105"/>
      <c r="AZ508" s="105"/>
      <c r="BA508" s="105"/>
      <c r="BB508" s="105"/>
      <c r="BC508" s="105"/>
      <c r="BD508" s="105"/>
      <c r="BE508" s="105"/>
    </row>
    <row r="509" spans="1:61" ht="15.75" hidden="1" customHeight="1" outlineLevel="1">
      <c r="A509" s="379"/>
      <c r="B509" s="99"/>
      <c r="C509" s="99"/>
      <c r="D509" s="99"/>
      <c r="E509" s="99"/>
      <c r="F509" s="99"/>
      <c r="G509" s="99"/>
      <c r="H509" s="99"/>
      <c r="I509" s="99"/>
      <c r="J509" s="99"/>
      <c r="K509" s="99"/>
      <c r="L509" s="99"/>
      <c r="M509" s="99"/>
      <c r="N509" s="99"/>
      <c r="O509" s="99"/>
      <c r="P509" s="99"/>
      <c r="Q509" s="99"/>
      <c r="R509" s="99"/>
      <c r="S509" s="99"/>
      <c r="T509" s="99"/>
      <c r="U509" s="99"/>
      <c r="V509" s="99"/>
      <c r="W509" s="105"/>
      <c r="X509" s="105"/>
      <c r="Y509" s="105"/>
      <c r="Z509" s="105"/>
      <c r="AA509" s="105"/>
      <c r="AB509" s="105"/>
      <c r="AC509" s="105"/>
      <c r="AD509" s="105"/>
      <c r="AE509" s="105"/>
      <c r="AF509" s="105"/>
      <c r="AG509" s="105"/>
      <c r="AH509" s="105">
        <f>IF($AH$421&gt;0,PPMT('Assumptions (NG)'!$V$7,Model!W$1,'Assumptions (NG)'!$V$10,'Assumptions (NG)'!$V$5*Model!$AH$421*('Assumptions (NG)'!$AG$15*AVERAGE('Assumptions (NG)'!$AD$2:$AF$2)+'Assumptions (NG)'!$AG$16*AVERAGE('Assumptions (NG)'!$AD$3:$AF$3))/10^9),0)</f>
        <v>0</v>
      </c>
      <c r="AI509" s="105">
        <f>IF($AH$421&gt;0,PPMT('Assumptions (NG)'!$V$7,Model!X$1,'Assumptions (NG)'!$V$10,'Assumptions (NG)'!$V$5*Model!$AH$421*('Assumptions (NG)'!$AG$15*AVERAGE('Assumptions (NG)'!$AD$2:$AF$2)+'Assumptions (NG)'!$AG$16*AVERAGE('Assumptions (NG)'!$AD$3:$AF$3))/10^9),0)</f>
        <v>0</v>
      </c>
      <c r="AJ509" s="105">
        <f>IF($AH$421&gt;0,PPMT('Assumptions (NG)'!$V$7,Model!Y$1,'Assumptions (NG)'!$V$10,'Assumptions (NG)'!$V$5*Model!$AH$421*('Assumptions (NG)'!$AG$15*AVERAGE('Assumptions (NG)'!$AD$2:$AF$2)+'Assumptions (NG)'!$AG$16*AVERAGE('Assumptions (NG)'!$AD$3:$AF$3))/10^9),0)</f>
        <v>0</v>
      </c>
      <c r="AK509" s="105">
        <f>IF($AH$421&gt;0,PPMT('Assumptions (NG)'!$V$7,Model!Z$1,'Assumptions (NG)'!$V$10,'Assumptions (NG)'!$V$5*Model!$AH$421*('Assumptions (NG)'!$AG$15*AVERAGE('Assumptions (NG)'!$AD$2:$AF$2)+'Assumptions (NG)'!$AG$16*AVERAGE('Assumptions (NG)'!$AD$3:$AF$3))/10^9),0)</f>
        <v>0</v>
      </c>
      <c r="AL509" s="105">
        <f>IF($AH$421&gt;0,PPMT('Assumptions (NG)'!$V$7,Model!AA$1,'Assumptions (NG)'!$V$10,'Assumptions (NG)'!$V$5*Model!$AH$421*('Assumptions (NG)'!$AG$15*AVERAGE('Assumptions (NG)'!$AD$2:$AF$2)+'Assumptions (NG)'!$AG$16*AVERAGE('Assumptions (NG)'!$AD$3:$AF$3))/10^9),0)</f>
        <v>0</v>
      </c>
      <c r="AM509" s="105">
        <f>IF($AH$421&gt;0,PPMT('Assumptions (NG)'!$V$7,Model!AB$1,'Assumptions (NG)'!$V$10,'Assumptions (NG)'!$V$5*Model!$AH$421*('Assumptions (NG)'!$AG$15*AVERAGE('Assumptions (NG)'!$AD$2:$AF$2)+'Assumptions (NG)'!$AG$16*AVERAGE('Assumptions (NG)'!$AD$3:$AF$3))/10^9),0)</f>
        <v>0</v>
      </c>
      <c r="AN509" s="105">
        <f>IF($AH$421&gt;0,PPMT('Assumptions (NG)'!$V$7,Model!AC$1,'Assumptions (NG)'!$V$10,'Assumptions (NG)'!$V$5*Model!$AH$421*('Assumptions (NG)'!$AG$15*AVERAGE('Assumptions (NG)'!$AD$2:$AF$2)+'Assumptions (NG)'!$AG$16*AVERAGE('Assumptions (NG)'!$AD$3:$AF$3))/10^9),0)</f>
        <v>0</v>
      </c>
      <c r="AO509" s="105">
        <f>IF($AH$421&gt;0,PPMT('Assumptions (NG)'!$V$7,Model!AD$1,'Assumptions (NG)'!$V$10,'Assumptions (NG)'!$V$5*Model!$AH$421*('Assumptions (NG)'!$AG$15*AVERAGE('Assumptions (NG)'!$AD$2:$AF$2)+'Assumptions (NG)'!$AG$16*AVERAGE('Assumptions (NG)'!$AD$3:$AF$3))/10^9),0)</f>
        <v>0</v>
      </c>
      <c r="AP509" s="105">
        <f>IF($AH$421&gt;0,PPMT('Assumptions (NG)'!$V$7,Model!AE$1,'Assumptions (NG)'!$V$10,'Assumptions (NG)'!$V$5*Model!$AH$421*('Assumptions (NG)'!$AG$15*AVERAGE('Assumptions (NG)'!$AD$2:$AF$2)+'Assumptions (NG)'!$AG$16*AVERAGE('Assumptions (NG)'!$AD$3:$AF$3))/10^9),0)</f>
        <v>0</v>
      </c>
      <c r="AQ509" s="105">
        <f>IF($AH$421&gt;0,PPMT('Assumptions (NG)'!$V$7,Model!AF$1,'Assumptions (NG)'!$V$10,'Assumptions (NG)'!$V$5*Model!$AH$421*('Assumptions (NG)'!$AG$15*AVERAGE('Assumptions (NG)'!$AD$2:$AF$2)+'Assumptions (NG)'!$AG$16*AVERAGE('Assumptions (NG)'!$AD$3:$AF$3))/10^9),0)</f>
        <v>0</v>
      </c>
      <c r="AR509" s="105">
        <f>IF($AH$421&gt;0,PPMT('Assumptions (NG)'!$V$7,Model!AG$1,'Assumptions (NG)'!$V$10,'Assumptions (NG)'!$V$5*Model!$AH$421*('Assumptions (NG)'!$AG$15*AVERAGE('Assumptions (NG)'!$AD$2:$AF$2)+'Assumptions (NG)'!$AG$16*AVERAGE('Assumptions (NG)'!$AD$3:$AF$3))/10^9),0)</f>
        <v>0</v>
      </c>
      <c r="AS509" s="105">
        <f>IF($AH$421&gt;0,PPMT('Assumptions (NG)'!$V$7,Model!AH$1,'Assumptions (NG)'!$V$10,'Assumptions (NG)'!$V$5*Model!$AH$421*('Assumptions (NG)'!$AG$15*AVERAGE('Assumptions (NG)'!$AD$2:$AF$2)+'Assumptions (NG)'!$AG$16*AVERAGE('Assumptions (NG)'!$AD$3:$AF$3))/10^9),0)</f>
        <v>0</v>
      </c>
      <c r="AT509" s="105">
        <f>IF($AH$421&gt;0,PPMT('Assumptions (NG)'!$V$7,Model!AI$1,'Assumptions (NG)'!$V$10,'Assumptions (NG)'!$V$5*Model!$AH$421*('Assumptions (NG)'!$AG$15*AVERAGE('Assumptions (NG)'!$AD$2:$AF$2)+'Assumptions (NG)'!$AG$16*AVERAGE('Assumptions (NG)'!$AD$3:$AF$3))/10^9),0)</f>
        <v>0</v>
      </c>
      <c r="AU509" s="105">
        <f>IF($AH$421&gt;0,PPMT('Assumptions (NG)'!$V$7,Model!AJ$1,'Assumptions (NG)'!$V$10,'Assumptions (NG)'!$V$5*Model!$AH$421*('Assumptions (NG)'!$AG$15*AVERAGE('Assumptions (NG)'!$AD$2:$AF$2)+'Assumptions (NG)'!$AG$16*AVERAGE('Assumptions (NG)'!$AD$3:$AF$3))/10^9),0)</f>
        <v>0</v>
      </c>
      <c r="AV509" s="105">
        <f>IF($AH$421&gt;0,PPMT('Assumptions (NG)'!$V$7,Model!AK$1,'Assumptions (NG)'!$V$10,'Assumptions (NG)'!$V$5*Model!$AH$421*('Assumptions (NG)'!$AG$15*AVERAGE('Assumptions (NG)'!$AD$2:$AF$2)+'Assumptions (NG)'!$AG$16*AVERAGE('Assumptions (NG)'!$AD$3:$AF$3))/10^9),0)</f>
        <v>0</v>
      </c>
      <c r="AW509" s="105"/>
      <c r="AX509" s="105"/>
      <c r="AY509" s="105"/>
      <c r="AZ509" s="105"/>
      <c r="BA509" s="105"/>
      <c r="BB509" s="105"/>
      <c r="BC509" s="105"/>
      <c r="BD509" s="105"/>
      <c r="BE509" s="105"/>
      <c r="BF509" s="105"/>
    </row>
    <row r="510" spans="1:61" ht="15.75" hidden="1" customHeight="1" outlineLevel="1">
      <c r="A510" s="379"/>
      <c r="B510" s="99"/>
      <c r="C510" s="99"/>
      <c r="D510" s="99"/>
      <c r="E510" s="99"/>
      <c r="F510" s="99"/>
      <c r="G510" s="99"/>
      <c r="H510" s="99"/>
      <c r="I510" s="99"/>
      <c r="J510" s="99"/>
      <c r="K510" s="99"/>
      <c r="L510" s="99"/>
      <c r="M510" s="99"/>
      <c r="N510" s="99"/>
      <c r="O510" s="99"/>
      <c r="P510" s="99"/>
      <c r="Q510" s="99"/>
      <c r="R510" s="99"/>
      <c r="S510" s="99"/>
      <c r="T510" s="99"/>
      <c r="U510" s="99"/>
      <c r="V510" s="99"/>
      <c r="W510" s="105"/>
      <c r="X510" s="105"/>
      <c r="Y510" s="105"/>
      <c r="Z510" s="105"/>
      <c r="AA510" s="105"/>
      <c r="AB510" s="105"/>
      <c r="AC510" s="105"/>
      <c r="AD510" s="105"/>
      <c r="AE510" s="105"/>
      <c r="AF510" s="105"/>
      <c r="AG510" s="105"/>
      <c r="AH510" s="105"/>
      <c r="AI510" s="105">
        <f>IF($AI$421&gt;0,PPMT('Assumptions (NG)'!$V$7,Model!W$1,'Assumptions (NG)'!$V$10,'Assumptions (NG)'!$V$5*Model!$AI$421*('Assumptions (NG)'!$AH$15*AVERAGE('Assumptions (NG)'!$AE$2:$AG$2)+'Assumptions (NG)'!$AH$16*AVERAGE('Assumptions (NG)'!$AE$3:$AG$3))/10^9),0)</f>
        <v>0</v>
      </c>
      <c r="AJ510" s="105">
        <f>IF($AI$421&gt;0,PPMT('Assumptions (NG)'!$V$7,Model!X$1,'Assumptions (NG)'!$V$10,'Assumptions (NG)'!$V$5*Model!$AI$421*('Assumptions (NG)'!$AH$15*AVERAGE('Assumptions (NG)'!$AE$2:$AG$2)+'Assumptions (NG)'!$AH$16*AVERAGE('Assumptions (NG)'!$AE$3:$AG$3))/10^9),0)</f>
        <v>0</v>
      </c>
      <c r="AK510" s="105">
        <f>IF($AI$421&gt;0,PPMT('Assumptions (NG)'!$V$7,Model!Y$1,'Assumptions (NG)'!$V$10,'Assumptions (NG)'!$V$5*Model!$AI$421*('Assumptions (NG)'!$AH$15*AVERAGE('Assumptions (NG)'!$AE$2:$AG$2)+'Assumptions (NG)'!$AH$16*AVERAGE('Assumptions (NG)'!$AE$3:$AG$3))/10^9),0)</f>
        <v>0</v>
      </c>
      <c r="AL510" s="105">
        <f>IF($AI$421&gt;0,PPMT('Assumptions (NG)'!$V$7,Model!Z$1,'Assumptions (NG)'!$V$10,'Assumptions (NG)'!$V$5*Model!$AI$421*('Assumptions (NG)'!$AH$15*AVERAGE('Assumptions (NG)'!$AE$2:$AG$2)+'Assumptions (NG)'!$AH$16*AVERAGE('Assumptions (NG)'!$AE$3:$AG$3))/10^9),0)</f>
        <v>0</v>
      </c>
      <c r="AM510" s="105">
        <f>IF($AI$421&gt;0,PPMT('Assumptions (NG)'!$V$7,Model!AA$1,'Assumptions (NG)'!$V$10,'Assumptions (NG)'!$V$5*Model!$AI$421*('Assumptions (NG)'!$AH$15*AVERAGE('Assumptions (NG)'!$AE$2:$AG$2)+'Assumptions (NG)'!$AH$16*AVERAGE('Assumptions (NG)'!$AE$3:$AG$3))/10^9),0)</f>
        <v>0</v>
      </c>
      <c r="AN510" s="105">
        <f>IF($AI$421&gt;0,PPMT('Assumptions (NG)'!$V$7,Model!AB$1,'Assumptions (NG)'!$V$10,'Assumptions (NG)'!$V$5*Model!$AI$421*('Assumptions (NG)'!$AH$15*AVERAGE('Assumptions (NG)'!$AE$2:$AG$2)+'Assumptions (NG)'!$AH$16*AVERAGE('Assumptions (NG)'!$AE$3:$AG$3))/10^9),0)</f>
        <v>0</v>
      </c>
      <c r="AO510" s="105">
        <f>IF($AI$421&gt;0,PPMT('Assumptions (NG)'!$V$7,Model!AC$1,'Assumptions (NG)'!$V$10,'Assumptions (NG)'!$V$5*Model!$AI$421*('Assumptions (NG)'!$AH$15*AVERAGE('Assumptions (NG)'!$AE$2:$AG$2)+'Assumptions (NG)'!$AH$16*AVERAGE('Assumptions (NG)'!$AE$3:$AG$3))/10^9),0)</f>
        <v>0</v>
      </c>
      <c r="AP510" s="105">
        <f>IF($AI$421&gt;0,PPMT('Assumptions (NG)'!$V$7,Model!AD$1,'Assumptions (NG)'!$V$10,'Assumptions (NG)'!$V$5*Model!$AI$421*('Assumptions (NG)'!$AH$15*AVERAGE('Assumptions (NG)'!$AE$2:$AG$2)+'Assumptions (NG)'!$AH$16*AVERAGE('Assumptions (NG)'!$AE$3:$AG$3))/10^9),0)</f>
        <v>0</v>
      </c>
      <c r="AQ510" s="105">
        <f>IF($AI$421&gt;0,PPMT('Assumptions (NG)'!$V$7,Model!AE$1,'Assumptions (NG)'!$V$10,'Assumptions (NG)'!$V$5*Model!$AI$421*('Assumptions (NG)'!$AH$15*AVERAGE('Assumptions (NG)'!$AE$2:$AG$2)+'Assumptions (NG)'!$AH$16*AVERAGE('Assumptions (NG)'!$AE$3:$AG$3))/10^9),0)</f>
        <v>0</v>
      </c>
      <c r="AR510" s="105">
        <f>IF($AI$421&gt;0,PPMT('Assumptions (NG)'!$V$7,Model!AF$1,'Assumptions (NG)'!$V$10,'Assumptions (NG)'!$V$5*Model!$AI$421*('Assumptions (NG)'!$AH$15*AVERAGE('Assumptions (NG)'!$AE$2:$AG$2)+'Assumptions (NG)'!$AH$16*AVERAGE('Assumptions (NG)'!$AE$3:$AG$3))/10^9),0)</f>
        <v>0</v>
      </c>
      <c r="AS510" s="105">
        <f>IF($AI$421&gt;0,PPMT('Assumptions (NG)'!$V$7,Model!AG$1,'Assumptions (NG)'!$V$10,'Assumptions (NG)'!$V$5*Model!$AI$421*('Assumptions (NG)'!$AH$15*AVERAGE('Assumptions (NG)'!$AE$2:$AG$2)+'Assumptions (NG)'!$AH$16*AVERAGE('Assumptions (NG)'!$AE$3:$AG$3))/10^9),0)</f>
        <v>0</v>
      </c>
      <c r="AT510" s="105">
        <f>IF($AI$421&gt;0,PPMT('Assumptions (NG)'!$V$7,Model!AH$1,'Assumptions (NG)'!$V$10,'Assumptions (NG)'!$V$5*Model!$AI$421*('Assumptions (NG)'!$AH$15*AVERAGE('Assumptions (NG)'!$AE$2:$AG$2)+'Assumptions (NG)'!$AH$16*AVERAGE('Assumptions (NG)'!$AE$3:$AG$3))/10^9),0)</f>
        <v>0</v>
      </c>
      <c r="AU510" s="105">
        <f>IF($AI$421&gt;0,PPMT('Assumptions (NG)'!$V$7,Model!AI$1,'Assumptions (NG)'!$V$10,'Assumptions (NG)'!$V$5*Model!$AI$421*('Assumptions (NG)'!$AH$15*AVERAGE('Assumptions (NG)'!$AE$2:$AG$2)+'Assumptions (NG)'!$AH$16*AVERAGE('Assumptions (NG)'!$AE$3:$AG$3))/10^9),0)</f>
        <v>0</v>
      </c>
      <c r="AV510" s="105">
        <f>IF($AI$421&gt;0,PPMT('Assumptions (NG)'!$V$7,Model!AJ$1,'Assumptions (NG)'!$V$10,'Assumptions (NG)'!$V$5*Model!$AI$421*('Assumptions (NG)'!$AH$15*AVERAGE('Assumptions (NG)'!$AE$2:$AG$2)+'Assumptions (NG)'!$AH$16*AVERAGE('Assumptions (NG)'!$AE$3:$AG$3))/10^9),0)</f>
        <v>0</v>
      </c>
      <c r="AW510" s="105">
        <f>IF($AI$421&gt;0,PPMT('Assumptions (NG)'!$V$7,Model!AK$1,'Assumptions (NG)'!$V$10,'Assumptions (NG)'!$V$5*Model!$AI$421*('Assumptions (NG)'!$AH$15*AVERAGE('Assumptions (NG)'!$AE$2:$AG$2)+'Assumptions (NG)'!$AH$16*AVERAGE('Assumptions (NG)'!$AE$3:$AG$3))/10^9),0)</f>
        <v>0</v>
      </c>
      <c r="AX510" s="105"/>
      <c r="AY510" s="105"/>
      <c r="AZ510" s="105"/>
      <c r="BA510" s="105"/>
      <c r="BB510" s="105"/>
      <c r="BC510" s="105"/>
      <c r="BD510" s="105"/>
      <c r="BE510" s="105"/>
      <c r="BF510" s="105"/>
      <c r="BG510" s="105"/>
    </row>
    <row r="511" spans="1:61" ht="15.75" hidden="1" customHeight="1" outlineLevel="1">
      <c r="A511" s="379"/>
      <c r="B511" s="99"/>
      <c r="C511" s="99"/>
      <c r="D511" s="99"/>
      <c r="E511" s="99"/>
      <c r="F511" s="99"/>
      <c r="G511" s="99"/>
      <c r="H511" s="99"/>
      <c r="I511" s="99"/>
      <c r="J511" s="99"/>
      <c r="K511" s="99"/>
      <c r="L511" s="99"/>
      <c r="M511" s="99"/>
      <c r="N511" s="99"/>
      <c r="O511" s="99"/>
      <c r="P511" s="99"/>
      <c r="Q511" s="99"/>
      <c r="R511" s="99"/>
      <c r="S511" s="99"/>
      <c r="T511" s="99"/>
      <c r="U511" s="99"/>
      <c r="V511" s="99"/>
      <c r="W511" s="105"/>
      <c r="X511" s="105"/>
      <c r="Y511" s="105"/>
      <c r="Z511" s="105"/>
      <c r="AA511" s="105"/>
      <c r="AB511" s="105"/>
      <c r="AC511" s="105"/>
      <c r="AD511" s="105"/>
      <c r="AE511" s="105"/>
      <c r="AF511" s="105"/>
      <c r="AG511" s="105"/>
      <c r="AH511" s="105"/>
      <c r="AI511" s="105"/>
      <c r="AJ511" s="105">
        <f>IF($AJ$421&gt;0,PPMT('Assumptions (NG)'!$V$7,Model!W$1,'Assumptions (NG)'!$V$10,'Assumptions (NG)'!$V$5*Model!$AJ$421*('Assumptions (NG)'!$AI$15*AVERAGE('Assumptions (NG)'!$AF$2:$AH$2)+'Assumptions (NG)'!$AI$16*AVERAGE('Assumptions (NG)'!$AF$3:$AH$3))/10^9),0)</f>
        <v>0</v>
      </c>
      <c r="AK511" s="105">
        <f>IF($AJ$421&gt;0,PPMT('Assumptions (NG)'!$V$7,Model!X$1,'Assumptions (NG)'!$V$10,'Assumptions (NG)'!$V$5*Model!$AJ$421*('Assumptions (NG)'!$AI$15*AVERAGE('Assumptions (NG)'!$AF$2:$AH$2)+'Assumptions (NG)'!$AI$16*AVERAGE('Assumptions (NG)'!$AF$3:$AH$3))/10^9),0)</f>
        <v>0</v>
      </c>
      <c r="AL511" s="105">
        <f>IF($AJ$421&gt;0,PPMT('Assumptions (NG)'!$V$7,Model!Y$1,'Assumptions (NG)'!$V$10,'Assumptions (NG)'!$V$5*Model!$AJ$421*('Assumptions (NG)'!$AI$15*AVERAGE('Assumptions (NG)'!$AF$2:$AH$2)+'Assumptions (NG)'!$AI$16*AVERAGE('Assumptions (NG)'!$AF$3:$AH$3))/10^9),0)</f>
        <v>0</v>
      </c>
      <c r="AM511" s="105">
        <f>IF($AJ$421&gt;0,PPMT('Assumptions (NG)'!$V$7,Model!Z$1,'Assumptions (NG)'!$V$10,'Assumptions (NG)'!$V$5*Model!$AJ$421*('Assumptions (NG)'!$AI$15*AVERAGE('Assumptions (NG)'!$AF$2:$AH$2)+'Assumptions (NG)'!$AI$16*AVERAGE('Assumptions (NG)'!$AF$3:$AH$3))/10^9),0)</f>
        <v>0</v>
      </c>
      <c r="AN511" s="105">
        <f>IF($AJ$421&gt;0,PPMT('Assumptions (NG)'!$V$7,Model!AA$1,'Assumptions (NG)'!$V$10,'Assumptions (NG)'!$V$5*Model!$AJ$421*('Assumptions (NG)'!$AI$15*AVERAGE('Assumptions (NG)'!$AF$2:$AH$2)+'Assumptions (NG)'!$AI$16*AVERAGE('Assumptions (NG)'!$AF$3:$AH$3))/10^9),0)</f>
        <v>0</v>
      </c>
      <c r="AO511" s="105">
        <f>IF($AJ$421&gt;0,PPMT('Assumptions (NG)'!$V$7,Model!AB$1,'Assumptions (NG)'!$V$10,'Assumptions (NG)'!$V$5*Model!$AJ$421*('Assumptions (NG)'!$AI$15*AVERAGE('Assumptions (NG)'!$AF$2:$AH$2)+'Assumptions (NG)'!$AI$16*AVERAGE('Assumptions (NG)'!$AF$3:$AH$3))/10^9),0)</f>
        <v>0</v>
      </c>
      <c r="AP511" s="105">
        <f>IF($AJ$421&gt;0,PPMT('Assumptions (NG)'!$V$7,Model!AC$1,'Assumptions (NG)'!$V$10,'Assumptions (NG)'!$V$5*Model!$AJ$421*('Assumptions (NG)'!$AI$15*AVERAGE('Assumptions (NG)'!$AF$2:$AH$2)+'Assumptions (NG)'!$AI$16*AVERAGE('Assumptions (NG)'!$AF$3:$AH$3))/10^9),0)</f>
        <v>0</v>
      </c>
      <c r="AQ511" s="105">
        <f>IF($AJ$421&gt;0,PPMT('Assumptions (NG)'!$V$7,Model!AD$1,'Assumptions (NG)'!$V$10,'Assumptions (NG)'!$V$5*Model!$AJ$421*('Assumptions (NG)'!$AI$15*AVERAGE('Assumptions (NG)'!$AF$2:$AH$2)+'Assumptions (NG)'!$AI$16*AVERAGE('Assumptions (NG)'!$AF$3:$AH$3))/10^9),0)</f>
        <v>0</v>
      </c>
      <c r="AR511" s="105">
        <f>IF($AJ$421&gt;0,PPMT('Assumptions (NG)'!$V$7,Model!AE$1,'Assumptions (NG)'!$V$10,'Assumptions (NG)'!$V$5*Model!$AJ$421*('Assumptions (NG)'!$AI$15*AVERAGE('Assumptions (NG)'!$AF$2:$AH$2)+'Assumptions (NG)'!$AI$16*AVERAGE('Assumptions (NG)'!$AF$3:$AH$3))/10^9),0)</f>
        <v>0</v>
      </c>
      <c r="AS511" s="105">
        <f>IF($AJ$421&gt;0,PPMT('Assumptions (NG)'!$V$7,Model!AF$1,'Assumptions (NG)'!$V$10,'Assumptions (NG)'!$V$5*Model!$AJ$421*('Assumptions (NG)'!$AI$15*AVERAGE('Assumptions (NG)'!$AF$2:$AH$2)+'Assumptions (NG)'!$AI$16*AVERAGE('Assumptions (NG)'!$AF$3:$AH$3))/10^9),0)</f>
        <v>0</v>
      </c>
      <c r="AT511" s="105">
        <f>IF($AJ$421&gt;0,PPMT('Assumptions (NG)'!$V$7,Model!AG$1,'Assumptions (NG)'!$V$10,'Assumptions (NG)'!$V$5*Model!$AJ$421*('Assumptions (NG)'!$AI$15*AVERAGE('Assumptions (NG)'!$AF$2:$AH$2)+'Assumptions (NG)'!$AI$16*AVERAGE('Assumptions (NG)'!$AF$3:$AH$3))/10^9),0)</f>
        <v>0</v>
      </c>
      <c r="AU511" s="105">
        <f>IF($AJ$421&gt;0,PPMT('Assumptions (NG)'!$V$7,Model!AH$1,'Assumptions (NG)'!$V$10,'Assumptions (NG)'!$V$5*Model!$AJ$421*('Assumptions (NG)'!$AI$15*AVERAGE('Assumptions (NG)'!$AF$2:$AH$2)+'Assumptions (NG)'!$AI$16*AVERAGE('Assumptions (NG)'!$AF$3:$AH$3))/10^9),0)</f>
        <v>0</v>
      </c>
      <c r="AV511" s="105">
        <f>IF($AJ$421&gt;0,PPMT('Assumptions (NG)'!$V$7,Model!AI$1,'Assumptions (NG)'!$V$10,'Assumptions (NG)'!$V$5*Model!$AJ$421*('Assumptions (NG)'!$AI$15*AVERAGE('Assumptions (NG)'!$AF$2:$AH$2)+'Assumptions (NG)'!$AI$16*AVERAGE('Assumptions (NG)'!$AF$3:$AH$3))/10^9),0)</f>
        <v>0</v>
      </c>
      <c r="AW511" s="105">
        <f>IF($AJ$421&gt;0,PPMT('Assumptions (NG)'!$V$7,Model!AJ$1,'Assumptions (NG)'!$V$10,'Assumptions (NG)'!$V$5*Model!$AJ$421*('Assumptions (NG)'!$AI$15*AVERAGE('Assumptions (NG)'!$AF$2:$AH$2)+'Assumptions (NG)'!$AI$16*AVERAGE('Assumptions (NG)'!$AF$3:$AH$3))/10^9),0)</f>
        <v>0</v>
      </c>
      <c r="AX511" s="105">
        <f>IF($AJ$421&gt;0,PPMT('Assumptions (NG)'!$V$7,Model!AK$1,'Assumptions (NG)'!$V$10,'Assumptions (NG)'!$V$5*Model!$AJ$421*('Assumptions (NG)'!$AI$15*AVERAGE('Assumptions (NG)'!$AF$2:$AH$2)+'Assumptions (NG)'!$AI$16*AVERAGE('Assumptions (NG)'!$AF$3:$AH$3))/10^9),0)</f>
        <v>0</v>
      </c>
      <c r="AY511" s="105"/>
      <c r="AZ511" s="105"/>
      <c r="BA511" s="105"/>
      <c r="BB511" s="105"/>
      <c r="BC511" s="105"/>
      <c r="BD511" s="105"/>
      <c r="BE511" s="105"/>
      <c r="BF511" s="105"/>
      <c r="BG511" s="105"/>
      <c r="BH511" s="105"/>
    </row>
    <row r="512" spans="1:61" ht="15.75" hidden="1" customHeight="1" outlineLevel="1">
      <c r="A512" s="379"/>
      <c r="B512" s="99"/>
      <c r="C512" s="99"/>
      <c r="D512" s="99"/>
      <c r="E512" s="99"/>
      <c r="F512" s="99"/>
      <c r="G512" s="99"/>
      <c r="H512" s="99"/>
      <c r="I512" s="99"/>
      <c r="J512" s="99"/>
      <c r="K512" s="99"/>
      <c r="L512" s="99"/>
      <c r="M512" s="99"/>
      <c r="N512" s="99"/>
      <c r="O512" s="99"/>
      <c r="P512" s="99"/>
      <c r="Q512" s="99"/>
      <c r="R512" s="99"/>
      <c r="S512" s="99"/>
      <c r="T512" s="99"/>
      <c r="U512" s="99"/>
      <c r="V512" s="99"/>
      <c r="W512" s="105"/>
      <c r="X512" s="105"/>
      <c r="Y512" s="105"/>
      <c r="Z512" s="105"/>
      <c r="AA512" s="105"/>
      <c r="AB512" s="105"/>
      <c r="AC512" s="105"/>
      <c r="AD512" s="105"/>
      <c r="AE512" s="105"/>
      <c r="AF512" s="105"/>
      <c r="AG512" s="105"/>
      <c r="AH512" s="105"/>
      <c r="AI512" s="105"/>
      <c r="AJ512" s="171"/>
      <c r="AK512" s="105">
        <f>IF($AK$421&gt;0,PPMT('Assumptions (NG)'!$V$7,Model!W$1,'Assumptions (NG)'!$V$10,'Assumptions (NG)'!$V$5*Model!$AK$421*('Assumptions (NG)'!$AJ$15*AVERAGE('Assumptions (NG)'!$AG$2:$AI$2)+'Assumptions (NG)'!$AJ$16*AVERAGE('Assumptions (NG)'!$AG$3:$AI$3))/10^9),0)</f>
        <v>0</v>
      </c>
      <c r="AL512" s="105">
        <f>IF($AK$421&gt;0,PPMT('Assumptions (NG)'!$V$7,Model!X$1,'Assumptions (NG)'!$V$10,'Assumptions (NG)'!$V$5*Model!$AK$421*('Assumptions (NG)'!$AJ$15*AVERAGE('Assumptions (NG)'!$AG$2:$AI$2)+'Assumptions (NG)'!$AJ$16*AVERAGE('Assumptions (NG)'!$AG$3:$AI$3))/10^9),0)</f>
        <v>0</v>
      </c>
      <c r="AM512" s="105">
        <f>IF($AK$421&gt;0,PPMT('Assumptions (NG)'!$V$7,Model!Y$1,'Assumptions (NG)'!$V$10,'Assumptions (NG)'!$V$5*Model!$AK$421*('Assumptions (NG)'!$AJ$15*AVERAGE('Assumptions (NG)'!$AG$2:$AI$2)+'Assumptions (NG)'!$AJ$16*AVERAGE('Assumptions (NG)'!$AG$3:$AI$3))/10^9),0)</f>
        <v>0</v>
      </c>
      <c r="AN512" s="105">
        <f>IF($AK$421&gt;0,PPMT('Assumptions (NG)'!$V$7,Model!Z$1,'Assumptions (NG)'!$V$10,'Assumptions (NG)'!$V$5*Model!$AK$421*('Assumptions (NG)'!$AJ$15*AVERAGE('Assumptions (NG)'!$AG$2:$AI$2)+'Assumptions (NG)'!$AJ$16*AVERAGE('Assumptions (NG)'!$AG$3:$AI$3))/10^9),0)</f>
        <v>0</v>
      </c>
      <c r="AO512" s="105">
        <f>IF($AK$421&gt;0,PPMT('Assumptions (NG)'!$V$7,Model!AA$1,'Assumptions (NG)'!$V$10,'Assumptions (NG)'!$V$5*Model!$AK$421*('Assumptions (NG)'!$AJ$15*AVERAGE('Assumptions (NG)'!$AG$2:$AI$2)+'Assumptions (NG)'!$AJ$16*AVERAGE('Assumptions (NG)'!$AG$3:$AI$3))/10^9),0)</f>
        <v>0</v>
      </c>
      <c r="AP512" s="105">
        <f>IF($AK$421&gt;0,PPMT('Assumptions (NG)'!$V$7,Model!AB$1,'Assumptions (NG)'!$V$10,'Assumptions (NG)'!$V$5*Model!$AK$421*('Assumptions (NG)'!$AJ$15*AVERAGE('Assumptions (NG)'!$AG$2:$AI$2)+'Assumptions (NG)'!$AJ$16*AVERAGE('Assumptions (NG)'!$AG$3:$AI$3))/10^9),0)</f>
        <v>0</v>
      </c>
      <c r="AQ512" s="105">
        <f>IF($AK$421&gt;0,PPMT('Assumptions (NG)'!$V$7,Model!AC$1,'Assumptions (NG)'!$V$10,'Assumptions (NG)'!$V$5*Model!$AK$421*('Assumptions (NG)'!$AJ$15*AVERAGE('Assumptions (NG)'!$AG$2:$AI$2)+'Assumptions (NG)'!$AJ$16*AVERAGE('Assumptions (NG)'!$AG$3:$AI$3))/10^9),0)</f>
        <v>0</v>
      </c>
      <c r="AR512" s="105">
        <f>IF($AK$421&gt;0,PPMT('Assumptions (NG)'!$V$7,Model!AD$1,'Assumptions (NG)'!$V$10,'Assumptions (NG)'!$V$5*Model!$AK$421*('Assumptions (NG)'!$AJ$15*AVERAGE('Assumptions (NG)'!$AG$2:$AI$2)+'Assumptions (NG)'!$AJ$16*AVERAGE('Assumptions (NG)'!$AG$3:$AI$3))/10^9),0)</f>
        <v>0</v>
      </c>
      <c r="AS512" s="105">
        <f>IF($AK$421&gt;0,PPMT('Assumptions (NG)'!$V$7,Model!AE$1,'Assumptions (NG)'!$V$10,'Assumptions (NG)'!$V$5*Model!$AK$421*('Assumptions (NG)'!$AJ$15*AVERAGE('Assumptions (NG)'!$AG$2:$AI$2)+'Assumptions (NG)'!$AJ$16*AVERAGE('Assumptions (NG)'!$AG$3:$AI$3))/10^9),0)</f>
        <v>0</v>
      </c>
      <c r="AT512" s="105">
        <f>IF($AK$421&gt;0,PPMT('Assumptions (NG)'!$V$7,Model!AF$1,'Assumptions (NG)'!$V$10,'Assumptions (NG)'!$V$5*Model!$AK$421*('Assumptions (NG)'!$AJ$15*AVERAGE('Assumptions (NG)'!$AG$2:$AI$2)+'Assumptions (NG)'!$AJ$16*AVERAGE('Assumptions (NG)'!$AG$3:$AI$3))/10^9),0)</f>
        <v>0</v>
      </c>
      <c r="AU512" s="105">
        <f>IF($AK$421&gt;0,PPMT('Assumptions (NG)'!$V$7,Model!AG$1,'Assumptions (NG)'!$V$10,'Assumptions (NG)'!$V$5*Model!$AK$421*('Assumptions (NG)'!$AJ$15*AVERAGE('Assumptions (NG)'!$AG$2:$AI$2)+'Assumptions (NG)'!$AJ$16*AVERAGE('Assumptions (NG)'!$AG$3:$AI$3))/10^9),0)</f>
        <v>0</v>
      </c>
      <c r="AV512" s="105">
        <f>IF($AK$421&gt;0,PPMT('Assumptions (NG)'!$V$7,Model!AH$1,'Assumptions (NG)'!$V$10,'Assumptions (NG)'!$V$5*Model!$AK$421*('Assumptions (NG)'!$AJ$15*AVERAGE('Assumptions (NG)'!$AG$2:$AI$2)+'Assumptions (NG)'!$AJ$16*AVERAGE('Assumptions (NG)'!$AG$3:$AI$3))/10^9),0)</f>
        <v>0</v>
      </c>
      <c r="AW512" s="105">
        <f>IF($AK$421&gt;0,PPMT('Assumptions (NG)'!$V$7,Model!AI$1,'Assumptions (NG)'!$V$10,'Assumptions (NG)'!$V$5*Model!$AK$421*('Assumptions (NG)'!$AJ$15*AVERAGE('Assumptions (NG)'!$AG$2:$AI$2)+'Assumptions (NG)'!$AJ$16*AVERAGE('Assumptions (NG)'!$AG$3:$AI$3))/10^9),0)</f>
        <v>0</v>
      </c>
      <c r="AX512" s="105">
        <f>IF($AK$421&gt;0,PPMT('Assumptions (NG)'!$V$7,Model!AJ$1,'Assumptions (NG)'!$V$10,'Assumptions (NG)'!$V$5*Model!$AK$421*('Assumptions (NG)'!$AJ$15*AVERAGE('Assumptions (NG)'!$AG$2:$AI$2)+'Assumptions (NG)'!$AJ$16*AVERAGE('Assumptions (NG)'!$AG$3:$AI$3))/10^9),0)</f>
        <v>0</v>
      </c>
      <c r="AY512" s="105">
        <f>IF($AK$421&gt;0,PPMT('Assumptions (NG)'!$V$7,Model!AK$1,'Assumptions (NG)'!$V$10,'Assumptions (NG)'!$V$5*Model!$AK$421*('Assumptions (NG)'!$AJ$15*AVERAGE('Assumptions (NG)'!$AG$2:$AI$2)+'Assumptions (NG)'!$AJ$16*AVERAGE('Assumptions (NG)'!$AG$3:$AI$3))/10^9),0)</f>
        <v>0</v>
      </c>
      <c r="AZ512" s="105"/>
      <c r="BA512" s="105"/>
      <c r="BB512" s="105"/>
      <c r="BC512" s="105"/>
      <c r="BD512" s="105"/>
      <c r="BE512" s="105"/>
      <c r="BF512" s="105"/>
      <c r="BG512" s="105"/>
      <c r="BH512" s="105"/>
      <c r="BI512" s="105"/>
    </row>
    <row r="513" spans="1:77" ht="15.75" hidden="1" customHeight="1" outlineLevel="1">
      <c r="A513" s="379"/>
      <c r="B513" s="99"/>
      <c r="C513" s="99"/>
      <c r="D513" s="99"/>
      <c r="E513" s="99"/>
      <c r="F513" s="99"/>
      <c r="G513" s="99"/>
      <c r="H513" s="99"/>
      <c r="I513" s="99"/>
      <c r="J513" s="99"/>
      <c r="K513" s="99"/>
      <c r="L513" s="99"/>
      <c r="M513" s="99"/>
      <c r="N513" s="99"/>
      <c r="O513" s="99"/>
      <c r="P513" s="99"/>
      <c r="Q513" s="99"/>
      <c r="R513" s="99"/>
      <c r="S513" s="99"/>
      <c r="T513" s="99"/>
      <c r="U513" s="99"/>
      <c r="V513" s="99"/>
      <c r="W513" s="105"/>
      <c r="X513" s="105"/>
      <c r="Y513" s="105"/>
      <c r="Z513" s="105"/>
      <c r="AA513" s="105"/>
      <c r="AB513" s="105"/>
      <c r="AC513" s="105"/>
      <c r="AD513" s="105"/>
      <c r="AE513" s="105"/>
      <c r="AF513" s="105"/>
      <c r="AG513" s="105"/>
      <c r="AH513" s="105"/>
      <c r="AI513" s="105"/>
      <c r="AJ513" s="171"/>
      <c r="AK513" s="105"/>
      <c r="AL513" s="105">
        <f>IF($AL$421&gt;0,PPMT('Assumptions (NG)'!$V$7,Model!W$1,'Assumptions (NG)'!$V$10,'Assumptions (NG)'!$V$5*Model!$AL$421*('Assumptions (NG)'!$AK$15*AVERAGE('Assumptions (NG)'!$AH$2:$AJ$2)+'Assumptions (NG)'!$AK$16*AVERAGE('Assumptions (NG)'!$AH$3:$AJ$3))/10^9),0)</f>
        <v>0</v>
      </c>
      <c r="AM513" s="105">
        <f>IF($AL$421&gt;0,PPMT('Assumptions (NG)'!$V$7,Model!X$1,'Assumptions (NG)'!$V$10,'Assumptions (NG)'!$V$5*Model!$AL$421*('Assumptions (NG)'!$AK$15*AVERAGE('Assumptions (NG)'!$AH$2:$AJ$2)+'Assumptions (NG)'!$AK$16*AVERAGE('Assumptions (NG)'!$AH$3:$AJ$3))/10^9),0)</f>
        <v>0</v>
      </c>
      <c r="AN513" s="105">
        <f>IF($AL$421&gt;0,PPMT('Assumptions (NG)'!$V$7,Model!Y$1,'Assumptions (NG)'!$V$10,'Assumptions (NG)'!$V$5*Model!$AL$421*('Assumptions (NG)'!$AK$15*AVERAGE('Assumptions (NG)'!$AH$2:$AJ$2)+'Assumptions (NG)'!$AK$16*AVERAGE('Assumptions (NG)'!$AH$3:$AJ$3))/10^9),0)</f>
        <v>0</v>
      </c>
      <c r="AO513" s="105">
        <f>IF($AL$421&gt;0,PPMT('Assumptions (NG)'!$V$7,Model!Z$1,'Assumptions (NG)'!$V$10,'Assumptions (NG)'!$V$5*Model!$AL$421*('Assumptions (NG)'!$AK$15*AVERAGE('Assumptions (NG)'!$AH$2:$AJ$2)+'Assumptions (NG)'!$AK$16*AVERAGE('Assumptions (NG)'!$AH$3:$AJ$3))/10^9),0)</f>
        <v>0</v>
      </c>
      <c r="AP513" s="105">
        <f>IF($AL$421&gt;0,PPMT('Assumptions (NG)'!$V$7,Model!AA$1,'Assumptions (NG)'!$V$10,'Assumptions (NG)'!$V$5*Model!$AL$421*('Assumptions (NG)'!$AK$15*AVERAGE('Assumptions (NG)'!$AH$2:$AJ$2)+'Assumptions (NG)'!$AK$16*AVERAGE('Assumptions (NG)'!$AH$3:$AJ$3))/10^9),0)</f>
        <v>0</v>
      </c>
      <c r="AQ513" s="105">
        <f>IF($AL$421&gt;0,PPMT('Assumptions (NG)'!$V$7,Model!AB$1,'Assumptions (NG)'!$V$10,'Assumptions (NG)'!$V$5*Model!$AL$421*('Assumptions (NG)'!$AK$15*AVERAGE('Assumptions (NG)'!$AH$2:$AJ$2)+'Assumptions (NG)'!$AK$16*AVERAGE('Assumptions (NG)'!$AH$3:$AJ$3))/10^9),0)</f>
        <v>0</v>
      </c>
      <c r="AR513" s="105">
        <f>IF($AL$421&gt;0,PPMT('Assumptions (NG)'!$V$7,Model!AC$1,'Assumptions (NG)'!$V$10,'Assumptions (NG)'!$V$5*Model!$AL$421*('Assumptions (NG)'!$AK$15*AVERAGE('Assumptions (NG)'!$AH$2:$AJ$2)+'Assumptions (NG)'!$AK$16*AVERAGE('Assumptions (NG)'!$AH$3:$AJ$3))/10^9),0)</f>
        <v>0</v>
      </c>
      <c r="AS513" s="105">
        <f>IF($AL$421&gt;0,PPMT('Assumptions (NG)'!$V$7,Model!AD$1,'Assumptions (NG)'!$V$10,'Assumptions (NG)'!$V$5*Model!$AL$421*('Assumptions (NG)'!$AK$15*AVERAGE('Assumptions (NG)'!$AH$2:$AJ$2)+'Assumptions (NG)'!$AK$16*AVERAGE('Assumptions (NG)'!$AH$3:$AJ$3))/10^9),0)</f>
        <v>0</v>
      </c>
      <c r="AT513" s="105">
        <f>IF($AL$421&gt;0,PPMT('Assumptions (NG)'!$V$7,Model!AE$1,'Assumptions (NG)'!$V$10,'Assumptions (NG)'!$V$5*Model!$AL$421*('Assumptions (NG)'!$AK$15*AVERAGE('Assumptions (NG)'!$AH$2:$AJ$2)+'Assumptions (NG)'!$AK$16*AVERAGE('Assumptions (NG)'!$AH$3:$AJ$3))/10^9),0)</f>
        <v>0</v>
      </c>
      <c r="AU513" s="105">
        <f>IF($AL$421&gt;0,PPMT('Assumptions (NG)'!$V$7,Model!AF$1,'Assumptions (NG)'!$V$10,'Assumptions (NG)'!$V$5*Model!$AL$421*('Assumptions (NG)'!$AK$15*AVERAGE('Assumptions (NG)'!$AH$2:$AJ$2)+'Assumptions (NG)'!$AK$16*AVERAGE('Assumptions (NG)'!$AH$3:$AJ$3))/10^9),0)</f>
        <v>0</v>
      </c>
      <c r="AV513" s="105">
        <f>IF($AL$421&gt;0,PPMT('Assumptions (NG)'!$V$7,Model!AG$1,'Assumptions (NG)'!$V$10,'Assumptions (NG)'!$V$5*Model!$AL$421*('Assumptions (NG)'!$AK$15*AVERAGE('Assumptions (NG)'!$AH$2:$AJ$2)+'Assumptions (NG)'!$AK$16*AVERAGE('Assumptions (NG)'!$AH$3:$AJ$3))/10^9),0)</f>
        <v>0</v>
      </c>
      <c r="AW513" s="105">
        <f>IF($AL$421&gt;0,PPMT('Assumptions (NG)'!$V$7,Model!AH$1,'Assumptions (NG)'!$V$10,'Assumptions (NG)'!$V$5*Model!$AL$421*('Assumptions (NG)'!$AK$15*AVERAGE('Assumptions (NG)'!$AH$2:$AJ$2)+'Assumptions (NG)'!$AK$16*AVERAGE('Assumptions (NG)'!$AH$3:$AJ$3))/10^9),0)</f>
        <v>0</v>
      </c>
      <c r="AX513" s="105">
        <f>IF($AL$421&gt;0,PPMT('Assumptions (NG)'!$V$7,Model!AI$1,'Assumptions (NG)'!$V$10,'Assumptions (NG)'!$V$5*Model!$AL$421*('Assumptions (NG)'!$AK$15*AVERAGE('Assumptions (NG)'!$AH$2:$AJ$2)+'Assumptions (NG)'!$AK$16*AVERAGE('Assumptions (NG)'!$AH$3:$AJ$3))/10^9),0)</f>
        <v>0</v>
      </c>
      <c r="AY513" s="105">
        <f>IF($AL$421&gt;0,PPMT('Assumptions (NG)'!$V$7,Model!AJ$1,'Assumptions (NG)'!$V$10,'Assumptions (NG)'!$V$5*Model!$AL$421*('Assumptions (NG)'!$AK$15*AVERAGE('Assumptions (NG)'!$AH$2:$AJ$2)+'Assumptions (NG)'!$AK$16*AVERAGE('Assumptions (NG)'!$AH$3:$AJ$3))/10^9),0)</f>
        <v>0</v>
      </c>
      <c r="AZ513" s="105">
        <f>IF($AL$421&gt;0,PPMT('Assumptions (NG)'!$V$7,Model!AK$1,'Assumptions (NG)'!$V$10,'Assumptions (NG)'!$V$5*Model!$AL$421*('Assumptions (NG)'!$AK$15*AVERAGE('Assumptions (NG)'!$AH$2:$AJ$2)+'Assumptions (NG)'!$AK$16*AVERAGE('Assumptions (NG)'!$AH$3:$AJ$3))/10^9),0)</f>
        <v>0</v>
      </c>
      <c r="BA513" s="105"/>
      <c r="BB513" s="105"/>
      <c r="BC513" s="105"/>
      <c r="BD513" s="105"/>
      <c r="BE513" s="105"/>
      <c r="BF513" s="105"/>
      <c r="BG513" s="105"/>
      <c r="BH513" s="105"/>
      <c r="BI513" s="105"/>
      <c r="BJ513" s="105"/>
    </row>
    <row r="514" spans="1:77" ht="15.75" hidden="1" customHeight="1" outlineLevel="1">
      <c r="A514" s="379"/>
      <c r="B514" s="99"/>
      <c r="C514" s="99"/>
      <c r="D514" s="99"/>
      <c r="E514" s="99"/>
      <c r="F514" s="99"/>
      <c r="G514" s="99"/>
      <c r="H514" s="99"/>
      <c r="I514" s="99"/>
      <c r="J514" s="99"/>
      <c r="K514" s="99"/>
      <c r="L514" s="99"/>
      <c r="M514" s="99"/>
      <c r="N514" s="99"/>
      <c r="O514" s="99"/>
      <c r="P514" s="99"/>
      <c r="Q514" s="99"/>
      <c r="R514" s="99"/>
      <c r="S514" s="99"/>
      <c r="T514" s="99"/>
      <c r="U514" s="99"/>
      <c r="V514" s="99"/>
      <c r="W514" s="105"/>
      <c r="X514" s="105"/>
      <c r="Y514" s="105"/>
      <c r="Z514" s="105"/>
      <c r="AA514" s="105"/>
      <c r="AB514" s="105"/>
      <c r="AC514" s="105"/>
      <c r="AD514" s="105"/>
      <c r="AE514" s="105"/>
      <c r="AF514" s="105"/>
      <c r="AG514" s="105"/>
      <c r="AH514" s="105"/>
      <c r="AI514" s="105"/>
      <c r="AJ514" s="171"/>
      <c r="AK514" s="105"/>
      <c r="AL514" s="91"/>
      <c r="AM514" s="105">
        <f>IF($AM$421&gt;0,PPMT('Assumptions (NG)'!$V$7,Model!W$1,'Assumptions (NG)'!$V$10,'Assumptions (NG)'!$V$5*Model!$AM$421*('Assumptions (NG)'!$AL$15*AVERAGE('Assumptions (NG)'!$AI$2:$AK$2)+'Assumptions (NG)'!$AL$16*AVERAGE('Assumptions (NG)'!$AI$3:$AK$3))/10^9),0)</f>
        <v>0</v>
      </c>
      <c r="AN514" s="105">
        <f>IF($AM$421&gt;0,PPMT('Assumptions (NG)'!$V$7,Model!X$1,'Assumptions (NG)'!$V$10,'Assumptions (NG)'!$V$5*Model!$AM$421*('Assumptions (NG)'!$AL$15*AVERAGE('Assumptions (NG)'!$AI$2:$AK$2)+'Assumptions (NG)'!$AL$16*AVERAGE('Assumptions (NG)'!$AI$3:$AK$3))/10^9),0)</f>
        <v>0</v>
      </c>
      <c r="AO514" s="105">
        <f>IF($AM$421&gt;0,PPMT('Assumptions (NG)'!$V$7,Model!Y$1,'Assumptions (NG)'!$V$10,'Assumptions (NG)'!$V$5*Model!$AM$421*('Assumptions (NG)'!$AL$15*AVERAGE('Assumptions (NG)'!$AI$2:$AK$2)+'Assumptions (NG)'!$AL$16*AVERAGE('Assumptions (NG)'!$AI$3:$AK$3))/10^9),0)</f>
        <v>0</v>
      </c>
      <c r="AP514" s="105">
        <f>IF($AM$421&gt;0,PPMT('Assumptions (NG)'!$V$7,Model!Z$1,'Assumptions (NG)'!$V$10,'Assumptions (NG)'!$V$5*Model!$AM$421*('Assumptions (NG)'!$AL$15*AVERAGE('Assumptions (NG)'!$AI$2:$AK$2)+'Assumptions (NG)'!$AL$16*AVERAGE('Assumptions (NG)'!$AI$3:$AK$3))/10^9),0)</f>
        <v>0</v>
      </c>
      <c r="AQ514" s="105">
        <f>IF($AM$421&gt;0,PPMT('Assumptions (NG)'!$V$7,Model!AA$1,'Assumptions (NG)'!$V$10,'Assumptions (NG)'!$V$5*Model!$AM$421*('Assumptions (NG)'!$AL$15*AVERAGE('Assumptions (NG)'!$AI$2:$AK$2)+'Assumptions (NG)'!$AL$16*AVERAGE('Assumptions (NG)'!$AI$3:$AK$3))/10^9),0)</f>
        <v>0</v>
      </c>
      <c r="AR514" s="105">
        <f>IF($AM$421&gt;0,PPMT('Assumptions (NG)'!$V$7,Model!AB$1,'Assumptions (NG)'!$V$10,'Assumptions (NG)'!$V$5*Model!$AM$421*('Assumptions (NG)'!$AL$15*AVERAGE('Assumptions (NG)'!$AI$2:$AK$2)+'Assumptions (NG)'!$AL$16*AVERAGE('Assumptions (NG)'!$AI$3:$AK$3))/10^9),0)</f>
        <v>0</v>
      </c>
      <c r="AS514" s="105">
        <f>IF($AM$421&gt;0,PPMT('Assumptions (NG)'!$V$7,Model!AC$1,'Assumptions (NG)'!$V$10,'Assumptions (NG)'!$V$5*Model!$AM$421*('Assumptions (NG)'!$AL$15*AVERAGE('Assumptions (NG)'!$AI$2:$AK$2)+'Assumptions (NG)'!$AL$16*AVERAGE('Assumptions (NG)'!$AI$3:$AK$3))/10^9),0)</f>
        <v>0</v>
      </c>
      <c r="AT514" s="105">
        <f>IF($AM$421&gt;0,PPMT('Assumptions (NG)'!$V$7,Model!AD$1,'Assumptions (NG)'!$V$10,'Assumptions (NG)'!$V$5*Model!$AM$421*('Assumptions (NG)'!$AL$15*AVERAGE('Assumptions (NG)'!$AI$2:$AK$2)+'Assumptions (NG)'!$AL$16*AVERAGE('Assumptions (NG)'!$AI$3:$AK$3))/10^9),0)</f>
        <v>0</v>
      </c>
      <c r="AU514" s="105">
        <f>IF($AM$421&gt;0,PPMT('Assumptions (NG)'!$V$7,Model!AE$1,'Assumptions (NG)'!$V$10,'Assumptions (NG)'!$V$5*Model!$AM$421*('Assumptions (NG)'!$AL$15*AVERAGE('Assumptions (NG)'!$AI$2:$AK$2)+'Assumptions (NG)'!$AL$16*AVERAGE('Assumptions (NG)'!$AI$3:$AK$3))/10^9),0)</f>
        <v>0</v>
      </c>
      <c r="AV514" s="105">
        <f>IF($AM$421&gt;0,PPMT('Assumptions (NG)'!$V$7,Model!AF$1,'Assumptions (NG)'!$V$10,'Assumptions (NG)'!$V$5*Model!$AM$421*('Assumptions (NG)'!$AL$15*AVERAGE('Assumptions (NG)'!$AI$2:$AK$2)+'Assumptions (NG)'!$AL$16*AVERAGE('Assumptions (NG)'!$AI$3:$AK$3))/10^9),0)</f>
        <v>0</v>
      </c>
      <c r="AW514" s="105">
        <f>IF($AM$421&gt;0,PPMT('Assumptions (NG)'!$V$7,Model!AG$1,'Assumptions (NG)'!$V$10,'Assumptions (NG)'!$V$5*Model!$AM$421*('Assumptions (NG)'!$AL$15*AVERAGE('Assumptions (NG)'!$AI$2:$AK$2)+'Assumptions (NG)'!$AL$16*AVERAGE('Assumptions (NG)'!$AI$3:$AK$3))/10^9),0)</f>
        <v>0</v>
      </c>
      <c r="AX514" s="105">
        <f>IF($AM$421&gt;0,PPMT('Assumptions (NG)'!$V$7,Model!AH$1,'Assumptions (NG)'!$V$10,'Assumptions (NG)'!$V$5*Model!$AM$421*('Assumptions (NG)'!$AL$15*AVERAGE('Assumptions (NG)'!$AI$2:$AK$2)+'Assumptions (NG)'!$AL$16*AVERAGE('Assumptions (NG)'!$AI$3:$AK$3))/10^9),0)</f>
        <v>0</v>
      </c>
      <c r="AY514" s="105">
        <f>IF($AM$421&gt;0,PPMT('Assumptions (NG)'!$V$7,Model!AI$1,'Assumptions (NG)'!$V$10,'Assumptions (NG)'!$V$5*Model!$AM$421*('Assumptions (NG)'!$AL$15*AVERAGE('Assumptions (NG)'!$AI$2:$AK$2)+'Assumptions (NG)'!$AL$16*AVERAGE('Assumptions (NG)'!$AI$3:$AK$3))/10^9),0)</f>
        <v>0</v>
      </c>
      <c r="AZ514" s="105">
        <f>IF($AM$421&gt;0,PPMT('Assumptions (NG)'!$V$7,Model!AJ$1,'Assumptions (NG)'!$V$10,'Assumptions (NG)'!$V$5*Model!$AM$421*('Assumptions (NG)'!$AL$15*AVERAGE('Assumptions (NG)'!$AI$2:$AK$2)+'Assumptions (NG)'!$AL$16*AVERAGE('Assumptions (NG)'!$AI$3:$AK$3))/10^9),0)</f>
        <v>0</v>
      </c>
      <c r="BA514" s="105">
        <f>IF($AM$421&gt;0,PPMT('Assumptions (NG)'!$V$7,Model!AK$1,'Assumptions (NG)'!$V$10,'Assumptions (NG)'!$V$5*Model!$AM$421*('Assumptions (NG)'!$AL$15*AVERAGE('Assumptions (NG)'!$AI$2:$AK$2)+'Assumptions (NG)'!$AL$16*AVERAGE('Assumptions (NG)'!$AI$3:$AK$3))/10^9),0)</f>
        <v>0</v>
      </c>
      <c r="BB514" s="105"/>
      <c r="BC514" s="105"/>
      <c r="BD514" s="105"/>
      <c r="BE514" s="105"/>
      <c r="BF514" s="105"/>
      <c r="BG514" s="105"/>
      <c r="BH514" s="105"/>
      <c r="BI514" s="105"/>
      <c r="BJ514" s="105"/>
      <c r="BK514" s="105"/>
    </row>
    <row r="515" spans="1:77" ht="15.75" hidden="1" customHeight="1" outlineLevel="1">
      <c r="A515" s="379"/>
      <c r="B515" s="99"/>
      <c r="C515" s="99"/>
      <c r="D515" s="99"/>
      <c r="E515" s="99"/>
      <c r="F515" s="99"/>
      <c r="G515" s="99"/>
      <c r="H515" s="99"/>
      <c r="I515" s="99"/>
      <c r="J515" s="99"/>
      <c r="K515" s="99"/>
      <c r="L515" s="99"/>
      <c r="M515" s="99"/>
      <c r="N515" s="99"/>
      <c r="O515" s="99"/>
      <c r="P515" s="99"/>
      <c r="Q515" s="99"/>
      <c r="R515" s="99"/>
      <c r="S515" s="99"/>
      <c r="T515" s="99"/>
      <c r="U515" s="99"/>
      <c r="V515" s="99"/>
      <c r="W515" s="105"/>
      <c r="X515" s="105"/>
      <c r="Y515" s="105"/>
      <c r="Z515" s="105"/>
      <c r="AA515" s="105"/>
      <c r="AB515" s="105"/>
      <c r="AC515" s="105"/>
      <c r="AD515" s="105"/>
      <c r="AE515" s="105"/>
      <c r="AF515" s="105"/>
      <c r="AG515" s="105"/>
      <c r="AH515" s="105"/>
      <c r="AI515" s="105"/>
      <c r="AJ515" s="171"/>
      <c r="AK515" s="105"/>
      <c r="AL515" s="91"/>
      <c r="AM515" s="91"/>
      <c r="AN515" s="105">
        <f>IF($AN$421&gt;0,PPMT('Assumptions (NG)'!$V$7,Model!W$1,'Assumptions (NG)'!$V$10,'Assumptions (NG)'!$V$5*Model!$AN$421*('Assumptions (NG)'!$AM$15*AVERAGE('Assumptions (NG)'!$AJ$2:$AL$2)+'Assumptions (NG)'!$AM$16*AVERAGE('Assumptions (NG)'!$AJ$3:$AL$3))/10^9),0)</f>
        <v>-0.1369886226317148</v>
      </c>
      <c r="AO515" s="105">
        <f>IF($AN$421&gt;0,PPMT('Assumptions (NG)'!$V$7,Model!X$1,'Assumptions (NG)'!$V$10,'Assumptions (NG)'!$V$5*Model!$AN$421*('Assumptions (NG)'!$AM$15*AVERAGE('Assumptions (NG)'!$AJ$2:$AL$2)+'Assumptions (NG)'!$AM$16*AVERAGE('Assumptions (NG)'!$AJ$3:$AL$3))/10^9),0)</f>
        <v>-0.14726276932909338</v>
      </c>
      <c r="AP515" s="105">
        <f>IF($AN$421&gt;0,PPMT('Assumptions (NG)'!$V$7,Model!Y$1,'Assumptions (NG)'!$V$10,'Assumptions (NG)'!$V$5*Model!$AN$421*('Assumptions (NG)'!$AM$15*AVERAGE('Assumptions (NG)'!$AJ$2:$AL$2)+'Assumptions (NG)'!$AM$16*AVERAGE('Assumptions (NG)'!$AJ$3:$AL$3))/10^9),0)</f>
        <v>-0.15830747702877537</v>
      </c>
      <c r="AQ515" s="105">
        <f>IF($AN$421&gt;0,PPMT('Assumptions (NG)'!$V$7,Model!Z$1,'Assumptions (NG)'!$V$10,'Assumptions (NG)'!$V$5*Model!$AN$421*('Assumptions (NG)'!$AM$15*AVERAGE('Assumptions (NG)'!$AJ$2:$AL$2)+'Assumptions (NG)'!$AM$16*AVERAGE('Assumptions (NG)'!$AJ$3:$AL$3))/10^9),0)</f>
        <v>-0.17018053780593356</v>
      </c>
      <c r="AR515" s="105">
        <f>IF($AN$421&gt;0,PPMT('Assumptions (NG)'!$V$7,Model!AA$1,'Assumptions (NG)'!$V$10,'Assumptions (NG)'!$V$5*Model!$AN$421*('Assumptions (NG)'!$AM$15*AVERAGE('Assumptions (NG)'!$AJ$2:$AL$2)+'Assumptions (NG)'!$AM$16*AVERAGE('Assumptions (NG)'!$AJ$3:$AL$3))/10^9),0)</f>
        <v>-0.18294407814137856</v>
      </c>
      <c r="AS515" s="105">
        <f>IF($AN$421&gt;0,PPMT('Assumptions (NG)'!$V$7,Model!AB$1,'Assumptions (NG)'!$V$10,'Assumptions (NG)'!$V$5*Model!$AN$421*('Assumptions (NG)'!$AM$15*AVERAGE('Assumptions (NG)'!$AJ$2:$AL$2)+'Assumptions (NG)'!$AM$16*AVERAGE('Assumptions (NG)'!$AJ$3:$AL$3))/10^9),0)</f>
        <v>-0.19666488400198195</v>
      </c>
      <c r="AT515" s="105">
        <f>IF($AN$421&gt;0,PPMT('Assumptions (NG)'!$V$7,Model!AC$1,'Assumptions (NG)'!$V$10,'Assumptions (NG)'!$V$5*Model!$AN$421*('Assumptions (NG)'!$AM$15*AVERAGE('Assumptions (NG)'!$AJ$2:$AL$2)+'Assumptions (NG)'!$AM$16*AVERAGE('Assumptions (NG)'!$AJ$3:$AL$3))/10^9),0)</f>
        <v>-0.21141475030213061</v>
      </c>
      <c r="AU515" s="105">
        <f>IF($AN$421&gt;0,PPMT('Assumptions (NG)'!$V$7,Model!AD$1,'Assumptions (NG)'!$V$10,'Assumptions (NG)'!$V$5*Model!$AN$421*('Assumptions (NG)'!$AM$15*AVERAGE('Assumptions (NG)'!$AJ$2:$AL$2)+'Assumptions (NG)'!$AM$16*AVERAGE('Assumptions (NG)'!$AJ$3:$AL$3))/10^9),0)</f>
        <v>-0.2272708565747904</v>
      </c>
      <c r="AV515" s="105">
        <f>IF($AN$421&gt;0,PPMT('Assumptions (NG)'!$V$7,Model!AE$1,'Assumptions (NG)'!$V$10,'Assumptions (NG)'!$V$5*Model!$AN$421*('Assumptions (NG)'!$AM$15*AVERAGE('Assumptions (NG)'!$AJ$2:$AL$2)+'Assumptions (NG)'!$AM$16*AVERAGE('Assumptions (NG)'!$AJ$3:$AL$3))/10^9),0)</f>
        <v>-0.24431617081789969</v>
      </c>
      <c r="AW515" s="105">
        <f>IF($AN$421&gt;0,PPMT('Assumptions (NG)'!$V$7,Model!AF$1,'Assumptions (NG)'!$V$10,'Assumptions (NG)'!$V$5*Model!$AN$421*('Assumptions (NG)'!$AM$15*AVERAGE('Assumptions (NG)'!$AJ$2:$AL$2)+'Assumptions (NG)'!$AM$16*AVERAGE('Assumptions (NG)'!$AJ$3:$AL$3))/10^9),0)</f>
        <v>-0.26263988362924212</v>
      </c>
      <c r="AX515" s="105" t="e">
        <f>IF($AN$421&gt;0,PPMT('Assumptions (NG)'!$V$7,Model!AG$1,'Assumptions (NG)'!$V$10,'Assumptions (NG)'!$V$5*Model!$AN$421*('Assumptions (NG)'!$AM$15*AVERAGE('Assumptions (NG)'!$AJ$2:$AL$2)+'Assumptions (NG)'!$AM$16*AVERAGE('Assumptions (NG)'!$AJ$3:$AL$3))/10^9),0)</f>
        <v>#NUM!</v>
      </c>
      <c r="AY515" s="105" t="e">
        <f>IF($AN$421&gt;0,PPMT('Assumptions (NG)'!$V$7,Model!AH$1,'Assumptions (NG)'!$V$10,'Assumptions (NG)'!$V$5*Model!$AN$421*('Assumptions (NG)'!$AM$15*AVERAGE('Assumptions (NG)'!$AJ$2:$AL$2)+'Assumptions (NG)'!$AM$16*AVERAGE('Assumptions (NG)'!$AJ$3:$AL$3))/10^9),0)</f>
        <v>#NUM!</v>
      </c>
      <c r="AZ515" s="105" t="e">
        <f>IF($AN$421&gt;0,PPMT('Assumptions (NG)'!$V$7,Model!AI$1,'Assumptions (NG)'!$V$10,'Assumptions (NG)'!$V$5*Model!$AN$421*('Assumptions (NG)'!$AM$15*AVERAGE('Assumptions (NG)'!$AJ$2:$AL$2)+'Assumptions (NG)'!$AM$16*AVERAGE('Assumptions (NG)'!$AJ$3:$AL$3))/10^9),0)</f>
        <v>#NUM!</v>
      </c>
      <c r="BA515" s="105" t="e">
        <f>IF($AN$421&gt;0,PPMT('Assumptions (NG)'!$V$7,Model!AJ$1,'Assumptions (NG)'!$V$10,'Assumptions (NG)'!$V$5*Model!$AN$421*('Assumptions (NG)'!$AM$15*AVERAGE('Assumptions (NG)'!$AJ$2:$AL$2)+'Assumptions (NG)'!$AM$16*AVERAGE('Assumptions (NG)'!$AJ$3:$AL$3))/10^9),0)</f>
        <v>#NUM!</v>
      </c>
      <c r="BB515" s="105" t="e">
        <f>IF($AN$421&gt;0,PPMT('Assumptions (NG)'!$V$7,Model!AK$1,'Assumptions (NG)'!$V$10,'Assumptions (NG)'!$V$5*Model!$AN$421*('Assumptions (NG)'!$AM$15*AVERAGE('Assumptions (NG)'!$AJ$2:$AL$2)+'Assumptions (NG)'!$AM$16*AVERAGE('Assumptions (NG)'!$AJ$3:$AL$3))/10^9),0)</f>
        <v>#NUM!</v>
      </c>
      <c r="BC515" s="105"/>
      <c r="BD515" s="105"/>
      <c r="BE515" s="105"/>
      <c r="BF515" s="105"/>
      <c r="BG515" s="105"/>
      <c r="BH515" s="105"/>
      <c r="BI515" s="105"/>
      <c r="BJ515" s="105"/>
      <c r="BK515" s="105"/>
      <c r="BL515" s="105"/>
    </row>
    <row r="516" spans="1:77" ht="15.75" hidden="1" customHeight="1" outlineLevel="1">
      <c r="A516" s="379"/>
      <c r="B516" s="99"/>
      <c r="C516" s="99"/>
      <c r="D516" s="99"/>
      <c r="E516" s="99"/>
      <c r="F516" s="99"/>
      <c r="G516" s="99"/>
      <c r="H516" s="99"/>
      <c r="I516" s="99"/>
      <c r="J516" s="99"/>
      <c r="K516" s="99"/>
      <c r="L516" s="99"/>
      <c r="M516" s="99"/>
      <c r="N516" s="99"/>
      <c r="O516" s="99"/>
      <c r="P516" s="99"/>
      <c r="Q516" s="99"/>
      <c r="R516" s="99"/>
      <c r="S516" s="99"/>
      <c r="T516" s="99"/>
      <c r="U516" s="99"/>
      <c r="V516" s="99"/>
      <c r="W516" s="105"/>
      <c r="X516" s="105"/>
      <c r="Y516" s="105"/>
      <c r="Z516" s="105"/>
      <c r="AA516" s="105"/>
      <c r="AB516" s="105"/>
      <c r="AC516" s="105"/>
      <c r="AD516" s="105"/>
      <c r="AE516" s="105"/>
      <c r="AF516" s="105"/>
      <c r="AG516" s="105"/>
      <c r="AH516" s="105"/>
      <c r="AI516" s="105"/>
      <c r="AJ516" s="171"/>
      <c r="AK516" s="105"/>
      <c r="AL516" s="91"/>
      <c r="AM516" s="91"/>
      <c r="AN516" s="91"/>
      <c r="AO516" s="105">
        <f>IF($AO$421&gt;0,PPMT('Assumptions (NG)'!$V$7,Model!W$1,'Assumptions (NG)'!$V$10,'Assumptions (NG)'!$V$5*Model!$AO$421*('Assumptions (NG)'!$AN$15*AVERAGE('Assumptions (NG)'!$AK$2:$AM$2)+'Assumptions (NG)'!$AN$16*AVERAGE('Assumptions (NG)'!$AK$3:$AM$3))/10^9),0)</f>
        <v>-1.2153081410021671</v>
      </c>
      <c r="AP516" s="105">
        <f>IF($AO$421&gt;0,PPMT('Assumptions (NG)'!$V$7,Model!X$1,'Assumptions (NG)'!$V$10,'Assumptions (NG)'!$V$5*Model!$AO$421*('Assumptions (NG)'!$AN$15*AVERAGE('Assumptions (NG)'!$AK$2:$AM$2)+'Assumptions (NG)'!$AN$16*AVERAGE('Assumptions (NG)'!$AK$3:$AM$3))/10^9),0)</f>
        <v>-1.3064562515773297</v>
      </c>
      <c r="AQ516" s="105">
        <f>IF($AO$421&gt;0,PPMT('Assumptions (NG)'!$V$7,Model!Y$1,'Assumptions (NG)'!$V$10,'Assumptions (NG)'!$V$5*Model!$AO$421*('Assumptions (NG)'!$AN$15*AVERAGE('Assumptions (NG)'!$AK$2:$AM$2)+'Assumptions (NG)'!$AN$16*AVERAGE('Assumptions (NG)'!$AK$3:$AM$3))/10^9),0)</f>
        <v>-1.4044404704456293</v>
      </c>
      <c r="AR516" s="105">
        <f>IF($AO$421&gt;0,PPMT('Assumptions (NG)'!$V$7,Model!Z$1,'Assumptions (NG)'!$V$10,'Assumptions (NG)'!$V$5*Model!$AO$421*('Assumptions (NG)'!$AN$15*AVERAGE('Assumptions (NG)'!$AK$2:$AM$2)+'Assumptions (NG)'!$AN$16*AVERAGE('Assumptions (NG)'!$AK$3:$AM$3))/10^9),0)</f>
        <v>-1.5097735057290516</v>
      </c>
      <c r="AS516" s="105">
        <f>IF($AO$421&gt;0,PPMT('Assumptions (NG)'!$V$7,Model!AA$1,'Assumptions (NG)'!$V$10,'Assumptions (NG)'!$V$5*Model!$AO$421*('Assumptions (NG)'!$AN$15*AVERAGE('Assumptions (NG)'!$AK$2:$AM$2)+'Assumptions (NG)'!$AN$16*AVERAGE('Assumptions (NG)'!$AK$3:$AM$3))/10^9),0)</f>
        <v>-1.6230065186587304</v>
      </c>
      <c r="AT516" s="105">
        <f>IF($AO$421&gt;0,PPMT('Assumptions (NG)'!$V$7,Model!AB$1,'Assumptions (NG)'!$V$10,'Assumptions (NG)'!$V$5*Model!$AO$421*('Assumptions (NG)'!$AN$15*AVERAGE('Assumptions (NG)'!$AK$2:$AM$2)+'Assumptions (NG)'!$AN$16*AVERAGE('Assumptions (NG)'!$AK$3:$AM$3))/10^9),0)</f>
        <v>-1.744732007558135</v>
      </c>
      <c r="AU516" s="105">
        <f>IF($AO$421&gt;0,PPMT('Assumptions (NG)'!$V$7,Model!AC$1,'Assumptions (NG)'!$V$10,'Assumptions (NG)'!$V$5*Model!$AO$421*('Assumptions (NG)'!$AN$15*AVERAGE('Assumptions (NG)'!$AK$2:$AM$2)+'Assumptions (NG)'!$AN$16*AVERAGE('Assumptions (NG)'!$AK$3:$AM$3))/10^9),0)</f>
        <v>-1.8755869081249952</v>
      </c>
      <c r="AV516" s="105">
        <f>IF($AO$421&gt;0,PPMT('Assumptions (NG)'!$V$7,Model!AD$1,'Assumptions (NG)'!$V$10,'Assumptions (NG)'!$V$5*Model!$AO$421*('Assumptions (NG)'!$AN$15*AVERAGE('Assumptions (NG)'!$AK$2:$AM$2)+'Assumptions (NG)'!$AN$16*AVERAGE('Assumptions (NG)'!$AK$3:$AM$3))/10^9),0)</f>
        <v>-2.0162559262343698</v>
      </c>
      <c r="AW516" s="105">
        <f>IF($AO$421&gt;0,PPMT('Assumptions (NG)'!$V$7,Model!AE$1,'Assumptions (NG)'!$V$10,'Assumptions (NG)'!$V$5*Model!$AO$421*('Assumptions (NG)'!$AN$15*AVERAGE('Assumptions (NG)'!$AK$2:$AM$2)+'Assumptions (NG)'!$AN$16*AVERAGE('Assumptions (NG)'!$AK$3:$AM$3))/10^9),0)</f>
        <v>-2.1674751207019476</v>
      </c>
      <c r="AX516" s="105">
        <f>IF($AO$421&gt;0,PPMT('Assumptions (NG)'!$V$7,Model!AF$1,'Assumptions (NG)'!$V$10,'Assumptions (NG)'!$V$5*Model!$AO$421*('Assumptions (NG)'!$AN$15*AVERAGE('Assumptions (NG)'!$AK$2:$AM$2)+'Assumptions (NG)'!$AN$16*AVERAGE('Assumptions (NG)'!$AK$3:$AM$3))/10^9),0)</f>
        <v>-2.3300357547545936</v>
      </c>
      <c r="AY516" s="105" t="e">
        <f>IF($AO$421&gt;0,PPMT('Assumptions (NG)'!$V$7,Model!AG$1,'Assumptions (NG)'!$V$10,'Assumptions (NG)'!$V$5*Model!$AO$421*('Assumptions (NG)'!$AN$15*AVERAGE('Assumptions (NG)'!$AK$2:$AM$2)+'Assumptions (NG)'!$AN$16*AVERAGE('Assumptions (NG)'!$AK$3:$AM$3))/10^9),0)</f>
        <v>#NUM!</v>
      </c>
      <c r="AZ516" s="105" t="e">
        <f>IF($AO$421&gt;0,PPMT('Assumptions (NG)'!$V$7,Model!AH$1,'Assumptions (NG)'!$V$10,'Assumptions (NG)'!$V$5*Model!$AO$421*('Assumptions (NG)'!$AN$15*AVERAGE('Assumptions (NG)'!$AK$2:$AM$2)+'Assumptions (NG)'!$AN$16*AVERAGE('Assumptions (NG)'!$AK$3:$AM$3))/10^9),0)</f>
        <v>#NUM!</v>
      </c>
      <c r="BA516" s="105" t="e">
        <f>IF($AO$421&gt;0,PPMT('Assumptions (NG)'!$V$7,Model!AI$1,'Assumptions (NG)'!$V$10,'Assumptions (NG)'!$V$5*Model!$AO$421*('Assumptions (NG)'!$AN$15*AVERAGE('Assumptions (NG)'!$AK$2:$AM$2)+'Assumptions (NG)'!$AN$16*AVERAGE('Assumptions (NG)'!$AK$3:$AM$3))/10^9),0)</f>
        <v>#NUM!</v>
      </c>
      <c r="BB516" s="105" t="e">
        <f>IF($AO$421&gt;0,PPMT('Assumptions (NG)'!$V$7,Model!AJ$1,'Assumptions (NG)'!$V$10,'Assumptions (NG)'!$V$5*Model!$AO$421*('Assumptions (NG)'!$AN$15*AVERAGE('Assumptions (NG)'!$AK$2:$AM$2)+'Assumptions (NG)'!$AN$16*AVERAGE('Assumptions (NG)'!$AK$3:$AM$3))/10^9),0)</f>
        <v>#NUM!</v>
      </c>
      <c r="BC516" s="105" t="e">
        <f>IF($AO$421&gt;0,PPMT('Assumptions (NG)'!$V$7,Model!AK$1,'Assumptions (NG)'!$V$10,'Assumptions (NG)'!$V$5*Model!$AO$421*('Assumptions (NG)'!$AN$15*AVERAGE('Assumptions (NG)'!$AK$2:$AM$2)+'Assumptions (NG)'!$AN$16*AVERAGE('Assumptions (NG)'!$AK$3:$AM$3))/10^9),0)</f>
        <v>#NUM!</v>
      </c>
      <c r="BD516" s="105"/>
      <c r="BE516" s="105"/>
      <c r="BF516" s="105"/>
      <c r="BG516" s="105"/>
      <c r="BH516" s="105"/>
      <c r="BI516" s="105"/>
      <c r="BJ516" s="105"/>
      <c r="BK516" s="105"/>
      <c r="BL516" s="105"/>
      <c r="BM516" s="105"/>
    </row>
    <row r="517" spans="1:77" ht="15.75" hidden="1" customHeight="1" outlineLevel="1">
      <c r="A517" s="379"/>
      <c r="B517" s="99"/>
      <c r="C517" s="99"/>
      <c r="D517" s="99"/>
      <c r="E517" s="99"/>
      <c r="F517" s="99"/>
      <c r="G517" s="99"/>
      <c r="H517" s="99"/>
      <c r="I517" s="99"/>
      <c r="J517" s="99"/>
      <c r="K517" s="99"/>
      <c r="L517" s="99"/>
      <c r="M517" s="99"/>
      <c r="N517" s="99"/>
      <c r="O517" s="99"/>
      <c r="P517" s="99"/>
      <c r="Q517" s="99"/>
      <c r="R517" s="99"/>
      <c r="S517" s="99"/>
      <c r="T517" s="99"/>
      <c r="U517" s="99"/>
      <c r="V517" s="99"/>
      <c r="W517" s="105"/>
      <c r="X517" s="105"/>
      <c r="Y517" s="105"/>
      <c r="Z517" s="105"/>
      <c r="AA517" s="105"/>
      <c r="AB517" s="105"/>
      <c r="AC517" s="105"/>
      <c r="AD517" s="105"/>
      <c r="AE517" s="105"/>
      <c r="AF517" s="105"/>
      <c r="AG517" s="105"/>
      <c r="AH517" s="105"/>
      <c r="AI517" s="105"/>
      <c r="AJ517" s="171"/>
      <c r="AK517" s="105"/>
      <c r="AL517" s="91"/>
      <c r="AM517" s="91"/>
      <c r="AN517" s="91"/>
      <c r="AO517" s="105"/>
      <c r="AP517" s="105">
        <f>IF($AP$421&gt;0,PPMT('Assumptions (NG)'!$V$7,Model!W$1,'Assumptions (NG)'!$V$10,'Assumptions (NG)'!$V$5*Model!$AP$421*('Assumptions (NG)'!$AO$15*AVERAGE('Assumptions (NG)'!$AL$2:$AN$2)+'Assumptions (NG)'!$AO$16*AVERAGE('Assumptions (NG)'!$AL$3:$AN$3))/10^9),0)</f>
        <v>-1.2448648780979192</v>
      </c>
      <c r="AQ517" s="105">
        <f>IF($AP$421&gt;0,PPMT('Assumptions (NG)'!$V$7,Model!X$1,'Assumptions (NG)'!$V$10,'Assumptions (NG)'!$V$5*Model!$AP$421*('Assumptions (NG)'!$AO$15*AVERAGE('Assumptions (NG)'!$AL$2:$AN$2)+'Assumptions (NG)'!$AO$16*AVERAGE('Assumptions (NG)'!$AL$3:$AN$3))/10^9),0)</f>
        <v>-1.3382297439552633</v>
      </c>
      <c r="AR517" s="105">
        <f>IF($AP$421&gt;0,PPMT('Assumptions (NG)'!$V$7,Model!Y$1,'Assumptions (NG)'!$V$10,'Assumptions (NG)'!$V$5*Model!$AP$421*('Assumptions (NG)'!$AO$15*AVERAGE('Assumptions (NG)'!$AL$2:$AN$2)+'Assumptions (NG)'!$AO$16*AVERAGE('Assumptions (NG)'!$AL$3:$AN$3))/10^9),0)</f>
        <v>-1.4385969747519078</v>
      </c>
      <c r="AS517" s="105">
        <f>IF($AP$421&gt;0,PPMT('Assumptions (NG)'!$V$7,Model!Z$1,'Assumptions (NG)'!$V$10,'Assumptions (NG)'!$V$5*Model!$AP$421*('Assumptions (NG)'!$AO$15*AVERAGE('Assumptions (NG)'!$AL$2:$AN$2)+'Assumptions (NG)'!$AO$16*AVERAGE('Assumptions (NG)'!$AL$3:$AN$3))/10^9),0)</f>
        <v>-1.5464917478583009</v>
      </c>
      <c r="AT517" s="105">
        <f>IF($AP$421&gt;0,PPMT('Assumptions (NG)'!$V$7,Model!AA$1,'Assumptions (NG)'!$V$10,'Assumptions (NG)'!$V$5*Model!$AP$421*('Assumptions (NG)'!$AO$15*AVERAGE('Assumptions (NG)'!$AL$2:$AN$2)+'Assumptions (NG)'!$AO$16*AVERAGE('Assumptions (NG)'!$AL$3:$AN$3))/10^9),0)</f>
        <v>-1.6624786289476736</v>
      </c>
      <c r="AU517" s="105">
        <f>IF($AP$421&gt;0,PPMT('Assumptions (NG)'!$V$7,Model!AB$1,'Assumptions (NG)'!$V$10,'Assumptions (NG)'!$V$5*Model!$AP$421*('Assumptions (NG)'!$AO$15*AVERAGE('Assumptions (NG)'!$AL$2:$AN$2)+'Assumptions (NG)'!$AO$16*AVERAGE('Assumptions (NG)'!$AL$3:$AN$3))/10^9),0)</f>
        <v>-1.787164526118749</v>
      </c>
      <c r="AV517" s="105">
        <f>IF($AP$421&gt;0,PPMT('Assumptions (NG)'!$V$7,Model!AC$1,'Assumptions (NG)'!$V$10,'Assumptions (NG)'!$V$5*Model!$AP$421*('Assumptions (NG)'!$AO$15*AVERAGE('Assumptions (NG)'!$AL$2:$AN$2)+'Assumptions (NG)'!$AO$16*AVERAGE('Assumptions (NG)'!$AL$3:$AN$3))/10^9),0)</f>
        <v>-1.9212018655776553</v>
      </c>
      <c r="AW517" s="105">
        <f>IF($AP$421&gt;0,PPMT('Assumptions (NG)'!$V$7,Model!AD$1,'Assumptions (NG)'!$V$10,'Assumptions (NG)'!$V$5*Model!$AP$421*('Assumptions (NG)'!$AO$15*AVERAGE('Assumptions (NG)'!$AL$2:$AN$2)+'Assumptions (NG)'!$AO$16*AVERAGE('Assumptions (NG)'!$AL$3:$AN$3))/10^9),0)</f>
        <v>-2.0652920054959796</v>
      </c>
      <c r="AX517" s="105">
        <f>IF($AP$421&gt;0,PPMT('Assumptions (NG)'!$V$7,Model!AE$1,'Assumptions (NG)'!$V$10,'Assumptions (NG)'!$V$5*Model!$AP$421*('Assumptions (NG)'!$AO$15*AVERAGE('Assumptions (NG)'!$AL$2:$AN$2)+'Assumptions (NG)'!$AO$16*AVERAGE('Assumptions (NG)'!$AL$3:$AN$3))/10^9),0)</f>
        <v>-2.2201889059081781</v>
      </c>
      <c r="AY517" s="105">
        <f>IF($AP$421&gt;0,PPMT('Assumptions (NG)'!$V$7,Model!AF$1,'Assumptions (NG)'!$V$10,'Assumptions (NG)'!$V$5*Model!$AP$421*('Assumptions (NG)'!$AO$15*AVERAGE('Assumptions (NG)'!$AL$2:$AN$2)+'Assumptions (NG)'!$AO$16*AVERAGE('Assumptions (NG)'!$AL$3:$AN$3))/10^9),0)</f>
        <v>-2.3867030738512911</v>
      </c>
      <c r="AZ517" s="105" t="e">
        <f>IF($AP$421&gt;0,PPMT('Assumptions (NG)'!$V$7,Model!AG$1,'Assumptions (NG)'!$V$10,'Assumptions (NG)'!$V$5*Model!$AP$421*('Assumptions (NG)'!$AO$15*AVERAGE('Assumptions (NG)'!$AL$2:$AN$2)+'Assumptions (NG)'!$AO$16*AVERAGE('Assumptions (NG)'!$AL$3:$AN$3))/10^9),0)</f>
        <v>#NUM!</v>
      </c>
      <c r="BA517" s="105" t="e">
        <f>IF($AP$421&gt;0,PPMT('Assumptions (NG)'!$V$7,Model!AH$1,'Assumptions (NG)'!$V$10,'Assumptions (NG)'!$V$5*Model!$AP$421*('Assumptions (NG)'!$AO$15*AVERAGE('Assumptions (NG)'!$AL$2:$AN$2)+'Assumptions (NG)'!$AO$16*AVERAGE('Assumptions (NG)'!$AL$3:$AN$3))/10^9),0)</f>
        <v>#NUM!</v>
      </c>
      <c r="BB517" s="105" t="e">
        <f>IF($AP$421&gt;0,PPMT('Assumptions (NG)'!$V$7,Model!AI$1,'Assumptions (NG)'!$V$10,'Assumptions (NG)'!$V$5*Model!$AP$421*('Assumptions (NG)'!$AO$15*AVERAGE('Assumptions (NG)'!$AL$2:$AN$2)+'Assumptions (NG)'!$AO$16*AVERAGE('Assumptions (NG)'!$AL$3:$AN$3))/10^9),0)</f>
        <v>#NUM!</v>
      </c>
      <c r="BC517" s="105" t="e">
        <f>IF($AP$421&gt;0,PPMT('Assumptions (NG)'!$V$7,Model!AJ$1,'Assumptions (NG)'!$V$10,'Assumptions (NG)'!$V$5*Model!$AP$421*('Assumptions (NG)'!$AO$15*AVERAGE('Assumptions (NG)'!$AL$2:$AN$2)+'Assumptions (NG)'!$AO$16*AVERAGE('Assumptions (NG)'!$AL$3:$AN$3))/10^9),0)</f>
        <v>#NUM!</v>
      </c>
      <c r="BD517" s="105" t="e">
        <f>IF($AP$421&gt;0,PPMT('Assumptions (NG)'!$V$7,Model!AK$1,'Assumptions (NG)'!$V$10,'Assumptions (NG)'!$V$5*Model!$AP$421*('Assumptions (NG)'!$AO$15*AVERAGE('Assumptions (NG)'!$AL$2:$AN$2)+'Assumptions (NG)'!$AO$16*AVERAGE('Assumptions (NG)'!$AL$3:$AN$3))/10^9),0)</f>
        <v>#NUM!</v>
      </c>
      <c r="BE517" s="105"/>
      <c r="BF517" s="105"/>
      <c r="BG517" s="105"/>
      <c r="BH517" s="105"/>
      <c r="BI517" s="105"/>
      <c r="BJ517" s="105"/>
      <c r="BK517" s="105"/>
      <c r="BL517" s="105"/>
      <c r="BM517" s="105"/>
      <c r="BN517" s="105"/>
    </row>
    <row r="518" spans="1:77" ht="15.75" hidden="1" customHeight="1" outlineLevel="1">
      <c r="A518" s="379"/>
      <c r="B518" s="99"/>
      <c r="C518" s="99"/>
      <c r="D518" s="99"/>
      <c r="E518" s="99"/>
      <c r="F518" s="99"/>
      <c r="G518" s="99"/>
      <c r="H518" s="99"/>
      <c r="I518" s="99"/>
      <c r="J518" s="99"/>
      <c r="K518" s="99"/>
      <c r="L518" s="99"/>
      <c r="M518" s="99"/>
      <c r="N518" s="99"/>
      <c r="O518" s="99"/>
      <c r="P518" s="99"/>
      <c r="Q518" s="99"/>
      <c r="R518" s="99"/>
      <c r="S518" s="99"/>
      <c r="T518" s="99"/>
      <c r="U518" s="99"/>
      <c r="V518" s="99"/>
      <c r="W518" s="105"/>
      <c r="X518" s="105"/>
      <c r="Y518" s="105"/>
      <c r="Z518" s="105"/>
      <c r="AA518" s="105"/>
      <c r="AB518" s="105"/>
      <c r="AC518" s="105"/>
      <c r="AD518" s="105"/>
      <c r="AE518" s="105"/>
      <c r="AF518" s="105"/>
      <c r="AG518" s="105"/>
      <c r="AH518" s="105"/>
      <c r="AI518" s="105"/>
      <c r="AJ518" s="171"/>
      <c r="AK518" s="105"/>
      <c r="AL518" s="91"/>
      <c r="AM518" s="91"/>
      <c r="AN518" s="91"/>
      <c r="AO518" s="105"/>
      <c r="AP518" s="105"/>
      <c r="AQ518" s="105">
        <f>IF($AQ$421&gt;0,PPMT('Assumptions (NG)'!$V$7,Model!W$1,'Assumptions (NG)'!$V$10,'Assumptions (NG)'!$V$5*Model!$AQ$421*('Assumptions (NG)'!$AP$15*AVERAGE('Assumptions (NG)'!$AM$2:$AO$2)+'Assumptions (NG)'!$AP$16*AVERAGE('Assumptions (NG)'!$AM$3:$AO$3))/10^9),0)</f>
        <v>-0.25466691847511558</v>
      </c>
      <c r="AR518" s="105">
        <f>IF($AQ$421&gt;0,PPMT('Assumptions (NG)'!$V$7,Model!X$1,'Assumptions (NG)'!$V$10,'Assumptions (NG)'!$V$5*Model!$AQ$421*('Assumptions (NG)'!$AP$15*AVERAGE('Assumptions (NG)'!$AM$2:$AO$2)+'Assumptions (NG)'!$AP$16*AVERAGE('Assumptions (NG)'!$AM$3:$AO$3))/10^9),0)</f>
        <v>-0.2737669373607492</v>
      </c>
      <c r="AS518" s="105">
        <f>IF($AQ$421&gt;0,PPMT('Assumptions (NG)'!$V$7,Model!Y$1,'Assumptions (NG)'!$V$10,'Assumptions (NG)'!$V$5*Model!$AQ$421*('Assumptions (NG)'!$AP$15*AVERAGE('Assumptions (NG)'!$AM$2:$AO$2)+'Assumptions (NG)'!$AP$16*AVERAGE('Assumptions (NG)'!$AM$3:$AO$3))/10^9),0)</f>
        <v>-0.29429945766280541</v>
      </c>
      <c r="AT518" s="105">
        <f>IF($AQ$421&gt;0,PPMT('Assumptions (NG)'!$V$7,Model!Z$1,'Assumptions (NG)'!$V$10,'Assumptions (NG)'!$V$5*Model!$AQ$421*('Assumptions (NG)'!$AP$15*AVERAGE('Assumptions (NG)'!$AM$2:$AO$2)+'Assumptions (NG)'!$AP$16*AVERAGE('Assumptions (NG)'!$AM$3:$AO$3))/10^9),0)</f>
        <v>-0.31637191698751582</v>
      </c>
      <c r="AU518" s="105">
        <f>IF($AQ$421&gt;0,PPMT('Assumptions (NG)'!$V$7,Model!AA$1,'Assumptions (NG)'!$V$10,'Assumptions (NG)'!$V$5*Model!$AQ$421*('Assumptions (NG)'!$AP$15*AVERAGE('Assumptions (NG)'!$AM$2:$AO$2)+'Assumptions (NG)'!$AP$16*AVERAGE('Assumptions (NG)'!$AM$3:$AO$3))/10^9),0)</f>
        <v>-0.34009981076157952</v>
      </c>
      <c r="AV518" s="105">
        <f>IF($AQ$421&gt;0,PPMT('Assumptions (NG)'!$V$7,Model!AB$1,'Assumptions (NG)'!$V$10,'Assumptions (NG)'!$V$5*Model!$AQ$421*('Assumptions (NG)'!$AP$15*AVERAGE('Assumptions (NG)'!$AM$2:$AO$2)+'Assumptions (NG)'!$AP$16*AVERAGE('Assumptions (NG)'!$AM$3:$AO$3))/10^9),0)</f>
        <v>-0.36560729656869795</v>
      </c>
      <c r="AW518" s="105">
        <f>IF($AQ$421&gt;0,PPMT('Assumptions (NG)'!$V$7,Model!AC$1,'Assumptions (NG)'!$V$10,'Assumptions (NG)'!$V$5*Model!$AQ$421*('Assumptions (NG)'!$AP$15*AVERAGE('Assumptions (NG)'!$AM$2:$AO$2)+'Assumptions (NG)'!$AP$16*AVERAGE('Assumptions (NG)'!$AM$3:$AO$3))/10^9),0)</f>
        <v>-0.39302784381135031</v>
      </c>
      <c r="AX518" s="105">
        <f>IF($AQ$421&gt;0,PPMT('Assumptions (NG)'!$V$7,Model!AD$1,'Assumptions (NG)'!$V$10,'Assumptions (NG)'!$V$5*Model!$AQ$421*('Assumptions (NG)'!$AP$15*AVERAGE('Assumptions (NG)'!$AM$2:$AO$2)+'Assumptions (NG)'!$AP$16*AVERAGE('Assumptions (NG)'!$AM$3:$AO$3))/10^9),0)</f>
        <v>-0.42250493209720158</v>
      </c>
      <c r="AY518" s="105">
        <f>IF($AQ$421&gt;0,PPMT('Assumptions (NG)'!$V$7,Model!AE$1,'Assumptions (NG)'!$V$10,'Assumptions (NG)'!$V$5*Model!$AQ$421*('Assumptions (NG)'!$AP$15*AVERAGE('Assumptions (NG)'!$AM$2:$AO$2)+'Assumptions (NG)'!$AP$16*AVERAGE('Assumptions (NG)'!$AM$3:$AO$3))/10^9),0)</f>
        <v>-0.45419280200449175</v>
      </c>
      <c r="AZ518" s="105">
        <f>IF($AQ$421&gt;0,PPMT('Assumptions (NG)'!$V$7,Model!AF$1,'Assumptions (NG)'!$V$10,'Assumptions (NG)'!$V$5*Model!$AQ$421*('Assumptions (NG)'!$AP$15*AVERAGE('Assumptions (NG)'!$AM$2:$AO$2)+'Assumptions (NG)'!$AP$16*AVERAGE('Assumptions (NG)'!$AM$3:$AO$3))/10^9),0)</f>
        <v>-0.48825726215482856</v>
      </c>
      <c r="BA518" s="105" t="e">
        <f>IF($AQ$421&gt;0,PPMT('Assumptions (NG)'!$V$7,Model!AG$1,'Assumptions (NG)'!$V$10,'Assumptions (NG)'!$V$5*Model!$AQ$421*('Assumptions (NG)'!$AP$15*AVERAGE('Assumptions (NG)'!$AM$2:$AO$2)+'Assumptions (NG)'!$AP$16*AVERAGE('Assumptions (NG)'!$AM$3:$AO$3))/10^9),0)</f>
        <v>#NUM!</v>
      </c>
      <c r="BB518" s="105" t="e">
        <f>IF($AQ$421&gt;0,PPMT('Assumptions (NG)'!$V$7,Model!AH$1,'Assumptions (NG)'!$V$10,'Assumptions (NG)'!$V$5*Model!$AQ$421*('Assumptions (NG)'!$AP$15*AVERAGE('Assumptions (NG)'!$AM$2:$AO$2)+'Assumptions (NG)'!$AP$16*AVERAGE('Assumptions (NG)'!$AM$3:$AO$3))/10^9),0)</f>
        <v>#NUM!</v>
      </c>
      <c r="BC518" s="105" t="e">
        <f>IF($AQ$421&gt;0,PPMT('Assumptions (NG)'!$V$7,Model!AI$1,'Assumptions (NG)'!$V$10,'Assumptions (NG)'!$V$5*Model!$AQ$421*('Assumptions (NG)'!$AP$15*AVERAGE('Assumptions (NG)'!$AM$2:$AO$2)+'Assumptions (NG)'!$AP$16*AVERAGE('Assumptions (NG)'!$AM$3:$AO$3))/10^9),0)</f>
        <v>#NUM!</v>
      </c>
      <c r="BD518" s="105" t="e">
        <f>IF($AQ$421&gt;0,PPMT('Assumptions (NG)'!$V$7,Model!AJ$1,'Assumptions (NG)'!$V$10,'Assumptions (NG)'!$V$5*Model!$AQ$421*('Assumptions (NG)'!$AP$15*AVERAGE('Assumptions (NG)'!$AM$2:$AO$2)+'Assumptions (NG)'!$AP$16*AVERAGE('Assumptions (NG)'!$AM$3:$AO$3))/10^9),0)</f>
        <v>#NUM!</v>
      </c>
      <c r="BE518" s="105" t="e">
        <f>IF($AQ$421&gt;0,PPMT('Assumptions (NG)'!$V$7,Model!AK$1,'Assumptions (NG)'!$V$10,'Assumptions (NG)'!$V$5*Model!$AQ$421*('Assumptions (NG)'!$AP$15*AVERAGE('Assumptions (NG)'!$AM$2:$AO$2)+'Assumptions (NG)'!$AP$16*AVERAGE('Assumptions (NG)'!$AM$3:$AO$3))/10^9),0)</f>
        <v>#NUM!</v>
      </c>
      <c r="BF518" s="105"/>
      <c r="BG518" s="105"/>
      <c r="BH518" s="105"/>
      <c r="BI518" s="105"/>
      <c r="BJ518" s="105"/>
      <c r="BK518" s="105"/>
      <c r="BL518" s="105"/>
      <c r="BM518" s="105"/>
      <c r="BN518" s="105"/>
      <c r="BO518" s="105"/>
    </row>
    <row r="519" spans="1:77" ht="15.75" hidden="1" customHeight="1" outlineLevel="1">
      <c r="A519" s="379"/>
      <c r="B519" s="99"/>
      <c r="C519" s="99"/>
      <c r="D519" s="99"/>
      <c r="E519" s="99"/>
      <c r="F519" s="99"/>
      <c r="G519" s="99"/>
      <c r="H519" s="99"/>
      <c r="I519" s="99"/>
      <c r="J519" s="99"/>
      <c r="K519" s="99"/>
      <c r="L519" s="99"/>
      <c r="M519" s="99"/>
      <c r="N519" s="99"/>
      <c r="O519" s="99"/>
      <c r="P519" s="99"/>
      <c r="Q519" s="99"/>
      <c r="R519" s="99"/>
      <c r="S519" s="99"/>
      <c r="T519" s="99"/>
      <c r="U519" s="99"/>
      <c r="V519" s="99"/>
      <c r="W519" s="105"/>
      <c r="X519" s="105"/>
      <c r="Y519" s="105"/>
      <c r="Z519" s="105"/>
      <c r="AA519" s="105"/>
      <c r="AB519" s="105"/>
      <c r="AC519" s="105"/>
      <c r="AD519" s="105"/>
      <c r="AE519" s="105"/>
      <c r="AF519" s="105"/>
      <c r="AG519" s="105"/>
      <c r="AH519" s="105"/>
      <c r="AI519" s="105"/>
      <c r="AJ519" s="171"/>
      <c r="AK519" s="105"/>
      <c r="AL519" s="91"/>
      <c r="AM519" s="91"/>
      <c r="AN519" s="91"/>
      <c r="AO519" s="105"/>
      <c r="AP519" s="105"/>
      <c r="AQ519" s="105"/>
      <c r="AR519" s="105">
        <f>IF($AR$421&gt;0,PPMT('Assumptions (NG)'!$V$7,Model!W$1,'Assumptions (NG)'!$V$10,'Assumptions (NG)'!$V$5*Model!$AR$421*('Assumptions (NG)'!$AQ$15*AVERAGE('Assumptions (NG)'!$AN$2:$AP$2)+'Assumptions (NG)'!$AQ$16*AVERAGE('Assumptions (NG)'!$AN$3:$AP$3))/10^9),0)</f>
        <v>0</v>
      </c>
      <c r="AS519" s="105">
        <f>IF($AR$421&gt;0,PPMT('Assumptions (NG)'!$V$7,Model!X$1,'Assumptions (NG)'!$V$10,'Assumptions (NG)'!$V$5*Model!$AR$421*('Assumptions (NG)'!$AQ$15*AVERAGE('Assumptions (NG)'!$AN$2:$AP$2)+'Assumptions (NG)'!$AQ$16*AVERAGE('Assumptions (NG)'!$AN$3:$AP$3))/10^9),0)</f>
        <v>0</v>
      </c>
      <c r="AT519" s="105">
        <f>IF($AR$421&gt;0,PPMT('Assumptions (NG)'!$V$7,Model!Y$1,'Assumptions (NG)'!$V$10,'Assumptions (NG)'!$V$5*Model!$AR$421*('Assumptions (NG)'!$AQ$15*AVERAGE('Assumptions (NG)'!$AN$2:$AP$2)+'Assumptions (NG)'!$AQ$16*AVERAGE('Assumptions (NG)'!$AN$3:$AP$3))/10^9),0)</f>
        <v>0</v>
      </c>
      <c r="AU519" s="105">
        <f>IF($AR$421&gt;0,PPMT('Assumptions (NG)'!$V$7,Model!Z$1,'Assumptions (NG)'!$V$10,'Assumptions (NG)'!$V$5*Model!$AR$421*('Assumptions (NG)'!$AQ$15*AVERAGE('Assumptions (NG)'!$AN$2:$AP$2)+'Assumptions (NG)'!$AQ$16*AVERAGE('Assumptions (NG)'!$AN$3:$AP$3))/10^9),0)</f>
        <v>0</v>
      </c>
      <c r="AV519" s="105">
        <f>IF($AR$421&gt;0,PPMT('Assumptions (NG)'!$V$7,Model!AA$1,'Assumptions (NG)'!$V$10,'Assumptions (NG)'!$V$5*Model!$AR$421*('Assumptions (NG)'!$AQ$15*AVERAGE('Assumptions (NG)'!$AN$2:$AP$2)+'Assumptions (NG)'!$AQ$16*AVERAGE('Assumptions (NG)'!$AN$3:$AP$3))/10^9),0)</f>
        <v>0</v>
      </c>
      <c r="AW519" s="105">
        <f>IF($AR$421&gt;0,PPMT('Assumptions (NG)'!$V$7,Model!AB$1,'Assumptions (NG)'!$V$10,'Assumptions (NG)'!$V$5*Model!$AR$421*('Assumptions (NG)'!$AQ$15*AVERAGE('Assumptions (NG)'!$AN$2:$AP$2)+'Assumptions (NG)'!$AQ$16*AVERAGE('Assumptions (NG)'!$AN$3:$AP$3))/10^9),0)</f>
        <v>0</v>
      </c>
      <c r="AX519" s="105">
        <f>IF($AR$421&gt;0,PPMT('Assumptions (NG)'!$V$7,Model!AC$1,'Assumptions (NG)'!$V$10,'Assumptions (NG)'!$V$5*Model!$AR$421*('Assumptions (NG)'!$AQ$15*AVERAGE('Assumptions (NG)'!$AN$2:$AP$2)+'Assumptions (NG)'!$AQ$16*AVERAGE('Assumptions (NG)'!$AN$3:$AP$3))/10^9),0)</f>
        <v>0</v>
      </c>
      <c r="AY519" s="105">
        <f>IF($AR$421&gt;0,PPMT('Assumptions (NG)'!$V$7,Model!AD$1,'Assumptions (NG)'!$V$10,'Assumptions (NG)'!$V$5*Model!$AR$421*('Assumptions (NG)'!$AQ$15*AVERAGE('Assumptions (NG)'!$AN$2:$AP$2)+'Assumptions (NG)'!$AQ$16*AVERAGE('Assumptions (NG)'!$AN$3:$AP$3))/10^9),0)</f>
        <v>0</v>
      </c>
      <c r="AZ519" s="105">
        <f>IF($AR$421&gt;0,PPMT('Assumptions (NG)'!$V$7,Model!AE$1,'Assumptions (NG)'!$V$10,'Assumptions (NG)'!$V$5*Model!$AR$421*('Assumptions (NG)'!$AQ$15*AVERAGE('Assumptions (NG)'!$AN$2:$AP$2)+'Assumptions (NG)'!$AQ$16*AVERAGE('Assumptions (NG)'!$AN$3:$AP$3))/10^9),0)</f>
        <v>0</v>
      </c>
      <c r="BA519" s="105">
        <f>IF($AR$421&gt;0,PPMT('Assumptions (NG)'!$V$7,Model!AF$1,'Assumptions (NG)'!$V$10,'Assumptions (NG)'!$V$5*Model!$AR$421*('Assumptions (NG)'!$AQ$15*AVERAGE('Assumptions (NG)'!$AN$2:$AP$2)+'Assumptions (NG)'!$AQ$16*AVERAGE('Assumptions (NG)'!$AN$3:$AP$3))/10^9),0)</f>
        <v>0</v>
      </c>
      <c r="BB519" s="105">
        <f>IF($AR$421&gt;0,PPMT('Assumptions (NG)'!$V$7,Model!AG$1,'Assumptions (NG)'!$V$10,'Assumptions (NG)'!$V$5*Model!$AR$421*('Assumptions (NG)'!$AQ$15*AVERAGE('Assumptions (NG)'!$AN$2:$AP$2)+'Assumptions (NG)'!$AQ$16*AVERAGE('Assumptions (NG)'!$AN$3:$AP$3))/10^9),0)</f>
        <v>0</v>
      </c>
      <c r="BC519" s="105">
        <f>IF($AR$421&gt;0,PPMT('Assumptions (NG)'!$V$7,Model!AH$1,'Assumptions (NG)'!$V$10,'Assumptions (NG)'!$V$5*Model!$AR$421*('Assumptions (NG)'!$AQ$15*AVERAGE('Assumptions (NG)'!$AN$2:$AP$2)+'Assumptions (NG)'!$AQ$16*AVERAGE('Assumptions (NG)'!$AN$3:$AP$3))/10^9),0)</f>
        <v>0</v>
      </c>
      <c r="BD519" s="105">
        <f>IF($AR$421&gt;0,PPMT('Assumptions (NG)'!$V$7,Model!AI$1,'Assumptions (NG)'!$V$10,'Assumptions (NG)'!$V$5*Model!$AR$421*('Assumptions (NG)'!$AQ$15*AVERAGE('Assumptions (NG)'!$AN$2:$AP$2)+'Assumptions (NG)'!$AQ$16*AVERAGE('Assumptions (NG)'!$AN$3:$AP$3))/10^9),0)</f>
        <v>0</v>
      </c>
      <c r="BE519" s="105">
        <f>IF($AR$421&gt;0,PPMT('Assumptions (NG)'!$V$7,Model!AJ$1,'Assumptions (NG)'!$V$10,'Assumptions (NG)'!$V$5*Model!$AR$421*('Assumptions (NG)'!$AQ$15*AVERAGE('Assumptions (NG)'!$AN$2:$AP$2)+'Assumptions (NG)'!$AQ$16*AVERAGE('Assumptions (NG)'!$AN$3:$AP$3))/10^9),0)</f>
        <v>0</v>
      </c>
      <c r="BF519" s="105">
        <f>IF($AR$421&gt;0,PPMT('Assumptions (NG)'!$V$7,Model!AK$1,'Assumptions (NG)'!$V$10,'Assumptions (NG)'!$V$5*Model!$AR$421*('Assumptions (NG)'!$AQ$15*AVERAGE('Assumptions (NG)'!$AN$2:$AP$2)+'Assumptions (NG)'!$AQ$16*AVERAGE('Assumptions (NG)'!$AN$3:$AP$3))/10^9),0)</f>
        <v>0</v>
      </c>
      <c r="BG519" s="105"/>
      <c r="BH519" s="105"/>
      <c r="BI519" s="105"/>
      <c r="BJ519" s="105"/>
      <c r="BK519" s="105"/>
      <c r="BL519" s="105"/>
      <c r="BM519" s="105"/>
      <c r="BN519" s="105"/>
      <c r="BO519" s="105"/>
      <c r="BP519" s="105"/>
    </row>
    <row r="520" spans="1:77" ht="15.75" hidden="1" customHeight="1" outlineLevel="1">
      <c r="A520" s="379"/>
      <c r="B520" s="99"/>
      <c r="C520" s="99"/>
      <c r="D520" s="99"/>
      <c r="E520" s="99"/>
      <c r="F520" s="99"/>
      <c r="G520" s="99"/>
      <c r="H520" s="99"/>
      <c r="I520" s="99"/>
      <c r="J520" s="99"/>
      <c r="K520" s="99"/>
      <c r="L520" s="99"/>
      <c r="M520" s="99"/>
      <c r="N520" s="99"/>
      <c r="O520" s="99"/>
      <c r="P520" s="99"/>
      <c r="Q520" s="99"/>
      <c r="R520" s="99"/>
      <c r="S520" s="99"/>
      <c r="T520" s="99"/>
      <c r="U520" s="99"/>
      <c r="V520" s="99"/>
      <c r="W520" s="105"/>
      <c r="X520" s="105"/>
      <c r="Y520" s="105"/>
      <c r="Z520" s="105"/>
      <c r="AA520" s="105"/>
      <c r="AB520" s="105"/>
      <c r="AC520" s="105"/>
      <c r="AD520" s="105"/>
      <c r="AE520" s="105"/>
      <c r="AF520" s="105"/>
      <c r="AG520" s="105"/>
      <c r="AH520" s="105"/>
      <c r="AI520" s="105"/>
      <c r="AJ520" s="171"/>
      <c r="AK520" s="105"/>
      <c r="AL520" s="91"/>
      <c r="AM520" s="91"/>
      <c r="AN520" s="91"/>
      <c r="AO520" s="105"/>
      <c r="AP520" s="105"/>
      <c r="AQ520" s="105"/>
      <c r="AR520" s="105"/>
      <c r="AS520" s="105">
        <f>IF($AS$421&gt;0,PPMT('Assumptions (NG)'!$V$7,Model!W$1,'Assumptions (NG)'!$V$10,'Assumptions (NG)'!$V$5*Model!$AS$421*('Assumptions (NG)'!$AR$15*AVERAGE('Assumptions (NG)'!$AO$2:$AQ$2)+'Assumptions (NG)'!$AR$16*AVERAGE('Assumptions (NG)'!$AO$3:$AQ$3))/10^9),0)</f>
        <v>0</v>
      </c>
      <c r="AT520" s="105">
        <f>IF($AS$421&gt;0,PPMT('Assumptions (NG)'!$V$7,Model!X$1,'Assumptions (NG)'!$V$10,'Assumptions (NG)'!$V$5*Model!$AS$421*('Assumptions (NG)'!$AR$15*AVERAGE('Assumptions (NG)'!$AO$2:$AQ$2)+'Assumptions (NG)'!$AR$16*AVERAGE('Assumptions (NG)'!$AO$3:$AQ$3))/10^9),0)</f>
        <v>0</v>
      </c>
      <c r="AU520" s="105">
        <f>IF($AS$421&gt;0,PPMT('Assumptions (NG)'!$V$7,Model!Y$1,'Assumptions (NG)'!$V$10,'Assumptions (NG)'!$V$5*Model!$AS$421*('Assumptions (NG)'!$AR$15*AVERAGE('Assumptions (NG)'!$AO$2:$AQ$2)+'Assumptions (NG)'!$AR$16*AVERAGE('Assumptions (NG)'!$AO$3:$AQ$3))/10^9),0)</f>
        <v>0</v>
      </c>
      <c r="AV520" s="105">
        <f>IF($AS$421&gt;0,PPMT('Assumptions (NG)'!$V$7,Model!Z$1,'Assumptions (NG)'!$V$10,'Assumptions (NG)'!$V$5*Model!$AS$421*('Assumptions (NG)'!$AR$15*AVERAGE('Assumptions (NG)'!$AO$2:$AQ$2)+'Assumptions (NG)'!$AR$16*AVERAGE('Assumptions (NG)'!$AO$3:$AQ$3))/10^9),0)</f>
        <v>0</v>
      </c>
      <c r="AW520" s="105">
        <f>IF($AS$421&gt;0,PPMT('Assumptions (NG)'!$V$7,Model!AA$1,'Assumptions (NG)'!$V$10,'Assumptions (NG)'!$V$5*Model!$AS$421*('Assumptions (NG)'!$AR$15*AVERAGE('Assumptions (NG)'!$AO$2:$AQ$2)+'Assumptions (NG)'!$AR$16*AVERAGE('Assumptions (NG)'!$AO$3:$AQ$3))/10^9),0)</f>
        <v>0</v>
      </c>
      <c r="AX520" s="105">
        <f>IF($AS$421&gt;0,PPMT('Assumptions (NG)'!$V$7,Model!AB$1,'Assumptions (NG)'!$V$10,'Assumptions (NG)'!$V$5*Model!$AS$421*('Assumptions (NG)'!$AR$15*AVERAGE('Assumptions (NG)'!$AO$2:$AQ$2)+'Assumptions (NG)'!$AR$16*AVERAGE('Assumptions (NG)'!$AO$3:$AQ$3))/10^9),0)</f>
        <v>0</v>
      </c>
      <c r="AY520" s="105">
        <f>IF($AS$421&gt;0,PPMT('Assumptions (NG)'!$V$7,Model!AC$1,'Assumptions (NG)'!$V$10,'Assumptions (NG)'!$V$5*Model!$AS$421*('Assumptions (NG)'!$AR$15*AVERAGE('Assumptions (NG)'!$AO$2:$AQ$2)+'Assumptions (NG)'!$AR$16*AVERAGE('Assumptions (NG)'!$AO$3:$AQ$3))/10^9),0)</f>
        <v>0</v>
      </c>
      <c r="AZ520" s="105">
        <f>IF($AS$421&gt;0,PPMT('Assumptions (NG)'!$V$7,Model!AD$1,'Assumptions (NG)'!$V$10,'Assumptions (NG)'!$V$5*Model!$AS$421*('Assumptions (NG)'!$AR$15*AVERAGE('Assumptions (NG)'!$AO$2:$AQ$2)+'Assumptions (NG)'!$AR$16*AVERAGE('Assumptions (NG)'!$AO$3:$AQ$3))/10^9),0)</f>
        <v>0</v>
      </c>
      <c r="BA520" s="105">
        <f>IF($AS$421&gt;0,PPMT('Assumptions (NG)'!$V$7,Model!AE$1,'Assumptions (NG)'!$V$10,'Assumptions (NG)'!$V$5*Model!$AS$421*('Assumptions (NG)'!$AR$15*AVERAGE('Assumptions (NG)'!$AO$2:$AQ$2)+'Assumptions (NG)'!$AR$16*AVERAGE('Assumptions (NG)'!$AO$3:$AQ$3))/10^9),0)</f>
        <v>0</v>
      </c>
      <c r="BB520" s="105">
        <f>IF($AS$421&gt;0,PPMT('Assumptions (NG)'!$V$7,Model!AF$1,'Assumptions (NG)'!$V$10,'Assumptions (NG)'!$V$5*Model!$AS$421*('Assumptions (NG)'!$AR$15*AVERAGE('Assumptions (NG)'!$AO$2:$AQ$2)+'Assumptions (NG)'!$AR$16*AVERAGE('Assumptions (NG)'!$AO$3:$AQ$3))/10^9),0)</f>
        <v>0</v>
      </c>
      <c r="BC520" s="105">
        <f>IF($AS$421&gt;0,PPMT('Assumptions (NG)'!$V$7,Model!AG$1,'Assumptions (NG)'!$V$10,'Assumptions (NG)'!$V$5*Model!$AS$421*('Assumptions (NG)'!$AR$15*AVERAGE('Assumptions (NG)'!$AO$2:$AQ$2)+'Assumptions (NG)'!$AR$16*AVERAGE('Assumptions (NG)'!$AO$3:$AQ$3))/10^9),0)</f>
        <v>0</v>
      </c>
      <c r="BD520" s="105">
        <f>IF($AS$421&gt;0,PPMT('Assumptions (NG)'!$V$7,Model!AH$1,'Assumptions (NG)'!$V$10,'Assumptions (NG)'!$V$5*Model!$AS$421*('Assumptions (NG)'!$AR$15*AVERAGE('Assumptions (NG)'!$AO$2:$AQ$2)+'Assumptions (NG)'!$AR$16*AVERAGE('Assumptions (NG)'!$AO$3:$AQ$3))/10^9),0)</f>
        <v>0</v>
      </c>
      <c r="BE520" s="105">
        <f>IF($AS$421&gt;0,PPMT('Assumptions (NG)'!$V$7,Model!AI$1,'Assumptions (NG)'!$V$10,'Assumptions (NG)'!$V$5*Model!$AS$421*('Assumptions (NG)'!$AR$15*AVERAGE('Assumptions (NG)'!$AO$2:$AQ$2)+'Assumptions (NG)'!$AR$16*AVERAGE('Assumptions (NG)'!$AO$3:$AQ$3))/10^9),0)</f>
        <v>0</v>
      </c>
      <c r="BF520" s="105">
        <f>IF($AS$421&gt;0,PPMT('Assumptions (NG)'!$V$7,Model!AJ$1,'Assumptions (NG)'!$V$10,'Assumptions (NG)'!$V$5*Model!$AS$421*('Assumptions (NG)'!$AR$15*AVERAGE('Assumptions (NG)'!$AO$2:$AQ$2)+'Assumptions (NG)'!$AR$16*AVERAGE('Assumptions (NG)'!$AO$3:$AQ$3))/10^9),0)</f>
        <v>0</v>
      </c>
      <c r="BG520" s="105">
        <f>IF($AS$421&gt;0,PPMT('Assumptions (NG)'!$V$7,Model!AK$1,'Assumptions (NG)'!$V$10,'Assumptions (NG)'!$V$5*Model!$AS$421*('Assumptions (NG)'!$AR$15*AVERAGE('Assumptions (NG)'!$AO$2:$AQ$2)+'Assumptions (NG)'!$AR$16*AVERAGE('Assumptions (NG)'!$AO$3:$AQ$3))/10^9),0)</f>
        <v>0</v>
      </c>
      <c r="BH520" s="105"/>
      <c r="BI520" s="105"/>
      <c r="BJ520" s="105"/>
      <c r="BK520" s="105"/>
      <c r="BL520" s="105"/>
      <c r="BM520" s="105"/>
      <c r="BN520" s="105"/>
      <c r="BO520" s="105"/>
      <c r="BP520" s="105"/>
      <c r="BQ520" s="105"/>
      <c r="BR520" s="105"/>
    </row>
    <row r="521" spans="1:77" ht="15.75" hidden="1" customHeight="1" outlineLevel="1">
      <c r="A521" s="379"/>
      <c r="B521" s="99"/>
      <c r="C521" s="99"/>
      <c r="D521" s="99"/>
      <c r="E521" s="99"/>
      <c r="F521" s="99"/>
      <c r="G521" s="99"/>
      <c r="H521" s="99"/>
      <c r="I521" s="99"/>
      <c r="J521" s="99"/>
      <c r="K521" s="99"/>
      <c r="L521" s="99"/>
      <c r="M521" s="99"/>
      <c r="N521" s="99"/>
      <c r="O521" s="99"/>
      <c r="P521" s="99"/>
      <c r="Q521" s="99"/>
      <c r="R521" s="99"/>
      <c r="S521" s="99"/>
      <c r="T521" s="99"/>
      <c r="U521" s="99"/>
      <c r="V521" s="99"/>
      <c r="W521" s="105"/>
      <c r="X521" s="105"/>
      <c r="Y521" s="105"/>
      <c r="Z521" s="105"/>
      <c r="AA521" s="105"/>
      <c r="AB521" s="105"/>
      <c r="AC521" s="105"/>
      <c r="AD521" s="105"/>
      <c r="AE521" s="105"/>
      <c r="AF521" s="105"/>
      <c r="AG521" s="105"/>
      <c r="AH521" s="105"/>
      <c r="AI521" s="105"/>
      <c r="AJ521" s="171"/>
      <c r="AK521" s="105"/>
      <c r="AL521" s="91"/>
      <c r="AM521" s="91"/>
      <c r="AN521" s="91"/>
      <c r="AO521" s="105"/>
      <c r="AP521" s="105"/>
      <c r="AQ521" s="105"/>
      <c r="AR521" s="105"/>
      <c r="AS521" s="105"/>
      <c r="AT521" s="105">
        <f>IF($AT$421&gt;0,PPMT('Assumptions (NG)'!$V$7,Model!W$1,'Assumptions (NG)'!$V$10,'Assumptions (NG)'!$V$5*Model!$AT$421*('Assumptions (NG)'!$AS$15*AVERAGE('Assumptions (NG)'!$AP$2:$AR$2)+'Assumptions (NG)'!$AS$16*AVERAGE('Assumptions (NG)'!$AP$3:$AR$3))/10^9),0)</f>
        <v>0</v>
      </c>
      <c r="AU521" s="105">
        <f>IF($AT$421&gt;0,PPMT('Assumptions (NG)'!$V$7,Model!X$1,'Assumptions (NG)'!$V$10,'Assumptions (NG)'!$V$5*Model!$AT$421*('Assumptions (NG)'!$AS$15*AVERAGE('Assumptions (NG)'!$AP$2:$AR$2)+'Assumptions (NG)'!$AS$16*AVERAGE('Assumptions (NG)'!$AP$3:$AR$3))/10^9),0)</f>
        <v>0</v>
      </c>
      <c r="AV521" s="105">
        <f>IF($AT$421&gt;0,PPMT('Assumptions (NG)'!$V$7,Model!Y$1,'Assumptions (NG)'!$V$10,'Assumptions (NG)'!$V$5*Model!$AT$421*('Assumptions (NG)'!$AS$15*AVERAGE('Assumptions (NG)'!$AP$2:$AR$2)+'Assumptions (NG)'!$AS$16*AVERAGE('Assumptions (NG)'!$AP$3:$AR$3))/10^9),0)</f>
        <v>0</v>
      </c>
      <c r="AW521" s="105">
        <f>IF($AT$421&gt;0,PPMT('Assumptions (NG)'!$V$7,Model!Z$1,'Assumptions (NG)'!$V$10,'Assumptions (NG)'!$V$5*Model!$AT$421*('Assumptions (NG)'!$AS$15*AVERAGE('Assumptions (NG)'!$AP$2:$AR$2)+'Assumptions (NG)'!$AS$16*AVERAGE('Assumptions (NG)'!$AP$3:$AR$3))/10^9),0)</f>
        <v>0</v>
      </c>
      <c r="AX521" s="105">
        <f>IF($AT$421&gt;0,PPMT('Assumptions (NG)'!$V$7,Model!AA$1,'Assumptions (NG)'!$V$10,'Assumptions (NG)'!$V$5*Model!$AT$421*('Assumptions (NG)'!$AS$15*AVERAGE('Assumptions (NG)'!$AP$2:$AR$2)+'Assumptions (NG)'!$AS$16*AVERAGE('Assumptions (NG)'!$AP$3:$AR$3))/10^9),0)</f>
        <v>0</v>
      </c>
      <c r="AY521" s="105">
        <f>IF($AT$421&gt;0,PPMT('Assumptions (NG)'!$V$7,Model!AB$1,'Assumptions (NG)'!$V$10,'Assumptions (NG)'!$V$5*Model!$AT$421*('Assumptions (NG)'!$AS$15*AVERAGE('Assumptions (NG)'!$AP$2:$AR$2)+'Assumptions (NG)'!$AS$16*AVERAGE('Assumptions (NG)'!$AP$3:$AR$3))/10^9),0)</f>
        <v>0</v>
      </c>
      <c r="AZ521" s="105">
        <f>IF($AT$421&gt;0,PPMT('Assumptions (NG)'!$V$7,Model!AC$1,'Assumptions (NG)'!$V$10,'Assumptions (NG)'!$V$5*Model!$AT$421*('Assumptions (NG)'!$AS$15*AVERAGE('Assumptions (NG)'!$AP$2:$AR$2)+'Assumptions (NG)'!$AS$16*AVERAGE('Assumptions (NG)'!$AP$3:$AR$3))/10^9),0)</f>
        <v>0</v>
      </c>
      <c r="BA521" s="105">
        <f>IF($AT$421&gt;0,PPMT('Assumptions (NG)'!$V$7,Model!AD$1,'Assumptions (NG)'!$V$10,'Assumptions (NG)'!$V$5*Model!$AT$421*('Assumptions (NG)'!$AS$15*AVERAGE('Assumptions (NG)'!$AP$2:$AR$2)+'Assumptions (NG)'!$AS$16*AVERAGE('Assumptions (NG)'!$AP$3:$AR$3))/10^9),0)</f>
        <v>0</v>
      </c>
      <c r="BB521" s="105">
        <f>IF($AT$421&gt;0,PPMT('Assumptions (NG)'!$V$7,Model!AE$1,'Assumptions (NG)'!$V$10,'Assumptions (NG)'!$V$5*Model!$AT$421*('Assumptions (NG)'!$AS$15*AVERAGE('Assumptions (NG)'!$AP$2:$AR$2)+'Assumptions (NG)'!$AS$16*AVERAGE('Assumptions (NG)'!$AP$3:$AR$3))/10^9),0)</f>
        <v>0</v>
      </c>
      <c r="BC521" s="105">
        <f>IF($AT$421&gt;0,PPMT('Assumptions (NG)'!$V$7,Model!AF$1,'Assumptions (NG)'!$V$10,'Assumptions (NG)'!$V$5*Model!$AT$421*('Assumptions (NG)'!$AS$15*AVERAGE('Assumptions (NG)'!$AP$2:$AR$2)+'Assumptions (NG)'!$AS$16*AVERAGE('Assumptions (NG)'!$AP$3:$AR$3))/10^9),0)</f>
        <v>0</v>
      </c>
      <c r="BD521" s="105">
        <f>IF($AT$421&gt;0,PPMT('Assumptions (NG)'!$V$7,Model!AG$1,'Assumptions (NG)'!$V$10,'Assumptions (NG)'!$V$5*Model!$AT$421*('Assumptions (NG)'!$AS$15*AVERAGE('Assumptions (NG)'!$AP$2:$AR$2)+'Assumptions (NG)'!$AS$16*AVERAGE('Assumptions (NG)'!$AP$3:$AR$3))/10^9),0)</f>
        <v>0</v>
      </c>
      <c r="BE521" s="105">
        <f>IF($AT$421&gt;0,PPMT('Assumptions (NG)'!$V$7,Model!AH$1,'Assumptions (NG)'!$V$10,'Assumptions (NG)'!$V$5*Model!$AT$421*('Assumptions (NG)'!$AS$15*AVERAGE('Assumptions (NG)'!$AP$2:$AR$2)+'Assumptions (NG)'!$AS$16*AVERAGE('Assumptions (NG)'!$AP$3:$AR$3))/10^9),0)</f>
        <v>0</v>
      </c>
      <c r="BF521" s="105">
        <f>IF($AT$421&gt;0,PPMT('Assumptions (NG)'!$V$7,Model!AI$1,'Assumptions (NG)'!$V$10,'Assumptions (NG)'!$V$5*Model!$AT$421*('Assumptions (NG)'!$AS$15*AVERAGE('Assumptions (NG)'!$AP$2:$AR$2)+'Assumptions (NG)'!$AS$16*AVERAGE('Assumptions (NG)'!$AP$3:$AR$3))/10^9),0)</f>
        <v>0</v>
      </c>
      <c r="BG521" s="105">
        <f>IF($AT$421&gt;0,PPMT('Assumptions (NG)'!$V$7,Model!AJ$1,'Assumptions (NG)'!$V$10,'Assumptions (NG)'!$V$5*Model!$AT$421*('Assumptions (NG)'!$AS$15*AVERAGE('Assumptions (NG)'!$AP$2:$AR$2)+'Assumptions (NG)'!$AS$16*AVERAGE('Assumptions (NG)'!$AP$3:$AR$3))/10^9),0)</f>
        <v>0</v>
      </c>
      <c r="BH521" s="105">
        <f>IF($AT$421&gt;0,PPMT('Assumptions (NG)'!$V$7,Model!AK$1,'Assumptions (NG)'!$V$10,'Assumptions (NG)'!$V$5*Model!$AT$421*('Assumptions (NG)'!$AS$15*AVERAGE('Assumptions (NG)'!$AP$2:$AR$2)+'Assumptions (NG)'!$AS$16*AVERAGE('Assumptions (NG)'!$AP$3:$AR$3))/10^9),0)</f>
        <v>0</v>
      </c>
      <c r="BI521" s="105"/>
      <c r="BJ521" s="105"/>
      <c r="BK521" s="105"/>
      <c r="BL521" s="105"/>
      <c r="BM521" s="105"/>
      <c r="BN521" s="105"/>
      <c r="BO521" s="105"/>
      <c r="BP521" s="105"/>
      <c r="BQ521" s="105"/>
      <c r="BR521" s="105"/>
    </row>
    <row r="522" spans="1:77" ht="15.75" hidden="1" customHeight="1" outlineLevel="1">
      <c r="A522" s="379"/>
      <c r="B522" s="99"/>
      <c r="C522" s="99"/>
      <c r="D522" s="99"/>
      <c r="E522" s="99"/>
      <c r="F522" s="99"/>
      <c r="G522" s="99"/>
      <c r="H522" s="99"/>
      <c r="I522" s="99"/>
      <c r="J522" s="99"/>
      <c r="K522" s="99"/>
      <c r="L522" s="99"/>
      <c r="M522" s="99"/>
      <c r="N522" s="99"/>
      <c r="O522" s="99"/>
      <c r="P522" s="99"/>
      <c r="Q522" s="99"/>
      <c r="R522" s="99"/>
      <c r="S522" s="99"/>
      <c r="T522" s="99"/>
      <c r="U522" s="99"/>
      <c r="V522" s="99"/>
      <c r="W522" s="105"/>
      <c r="X522" s="105"/>
      <c r="Y522" s="105"/>
      <c r="Z522" s="105"/>
      <c r="AA522" s="105"/>
      <c r="AB522" s="105"/>
      <c r="AC522" s="105"/>
      <c r="AD522" s="105"/>
      <c r="AE522" s="105"/>
      <c r="AF522" s="105"/>
      <c r="AG522" s="105"/>
      <c r="AH522" s="105"/>
      <c r="AI522" s="105"/>
      <c r="AJ522" s="171"/>
      <c r="AK522" s="105"/>
      <c r="AL522" s="91"/>
      <c r="AM522" s="91"/>
      <c r="AN522" s="91"/>
      <c r="AO522" s="105"/>
      <c r="AP522" s="105"/>
      <c r="AQ522" s="105"/>
      <c r="AR522" s="105"/>
      <c r="AS522" s="105"/>
      <c r="AT522" s="105"/>
      <c r="AU522" s="105">
        <f>IF($AU$421&gt;0,PPMT('Assumptions (NG)'!$V$7,Model!W$1,'Assumptions (NG)'!$V$10,'Assumptions (NG)'!$V$5*Model!$AU$421*('Assumptions (NG)'!$AT$15*AVERAGE('Assumptions (NG)'!$AQ$2:$AS$2)+'Assumptions (NG)'!$AT$16*AVERAGE('Assumptions (NG)'!$AQ$3:$AS$3))/10^9),0)</f>
        <v>0</v>
      </c>
      <c r="AV522" s="105">
        <f>IF($AU$421&gt;0,PPMT('Assumptions (NG)'!$V$7,Model!X$1,'Assumptions (NG)'!$V$10,'Assumptions (NG)'!$V$5*Model!$AU$421*('Assumptions (NG)'!$AT$15*AVERAGE('Assumptions (NG)'!$AQ$2:$AS$2)+'Assumptions (NG)'!$AT$16*AVERAGE('Assumptions (NG)'!$AQ$3:$AS$3))/10^9),0)</f>
        <v>0</v>
      </c>
      <c r="AW522" s="105">
        <f>IF($AU$421&gt;0,PPMT('Assumptions (NG)'!$V$7,Model!Y$1,'Assumptions (NG)'!$V$10,'Assumptions (NG)'!$V$5*Model!$AU$421*('Assumptions (NG)'!$AT$15*AVERAGE('Assumptions (NG)'!$AQ$2:$AS$2)+'Assumptions (NG)'!$AT$16*AVERAGE('Assumptions (NG)'!$AQ$3:$AS$3))/10^9),0)</f>
        <v>0</v>
      </c>
      <c r="AX522" s="105">
        <f>IF($AU$421&gt;0,PPMT('Assumptions (NG)'!$V$7,Model!Z$1,'Assumptions (NG)'!$V$10,'Assumptions (NG)'!$V$5*Model!$AU$421*('Assumptions (NG)'!$AT$15*AVERAGE('Assumptions (NG)'!$AQ$2:$AS$2)+'Assumptions (NG)'!$AT$16*AVERAGE('Assumptions (NG)'!$AQ$3:$AS$3))/10^9),0)</f>
        <v>0</v>
      </c>
      <c r="AY522" s="105">
        <f>IF($AU$421&gt;0,PPMT('Assumptions (NG)'!$V$7,Model!AA$1,'Assumptions (NG)'!$V$10,'Assumptions (NG)'!$V$5*Model!$AU$421*('Assumptions (NG)'!$AT$15*AVERAGE('Assumptions (NG)'!$AQ$2:$AS$2)+'Assumptions (NG)'!$AT$16*AVERAGE('Assumptions (NG)'!$AQ$3:$AS$3))/10^9),0)</f>
        <v>0</v>
      </c>
      <c r="AZ522" s="105">
        <f>IF($AU$421&gt;0,PPMT('Assumptions (NG)'!$V$7,Model!AB$1,'Assumptions (NG)'!$V$10,'Assumptions (NG)'!$V$5*Model!$AU$421*('Assumptions (NG)'!$AT$15*AVERAGE('Assumptions (NG)'!$AQ$2:$AS$2)+'Assumptions (NG)'!$AT$16*AVERAGE('Assumptions (NG)'!$AQ$3:$AS$3))/10^9),0)</f>
        <v>0</v>
      </c>
      <c r="BA522" s="105">
        <f>IF($AU$421&gt;0,PPMT('Assumptions (NG)'!$V$7,Model!AC$1,'Assumptions (NG)'!$V$10,'Assumptions (NG)'!$V$5*Model!$AU$421*('Assumptions (NG)'!$AT$15*AVERAGE('Assumptions (NG)'!$AQ$2:$AS$2)+'Assumptions (NG)'!$AT$16*AVERAGE('Assumptions (NG)'!$AQ$3:$AS$3))/10^9),0)</f>
        <v>0</v>
      </c>
      <c r="BB522" s="105">
        <f>IF($AU$421&gt;0,PPMT('Assumptions (NG)'!$V$7,Model!AD$1,'Assumptions (NG)'!$V$10,'Assumptions (NG)'!$V$5*Model!$AU$421*('Assumptions (NG)'!$AT$15*AVERAGE('Assumptions (NG)'!$AQ$2:$AS$2)+'Assumptions (NG)'!$AT$16*AVERAGE('Assumptions (NG)'!$AQ$3:$AS$3))/10^9),0)</f>
        <v>0</v>
      </c>
      <c r="BC522" s="105">
        <f>IF($AU$421&gt;0,PPMT('Assumptions (NG)'!$V$7,Model!AE$1,'Assumptions (NG)'!$V$10,'Assumptions (NG)'!$V$5*Model!$AU$421*('Assumptions (NG)'!$AT$15*AVERAGE('Assumptions (NG)'!$AQ$2:$AS$2)+'Assumptions (NG)'!$AT$16*AVERAGE('Assumptions (NG)'!$AQ$3:$AS$3))/10^9),0)</f>
        <v>0</v>
      </c>
      <c r="BD522" s="105">
        <f>IF($AU$421&gt;0,PPMT('Assumptions (NG)'!$V$7,Model!AF$1,'Assumptions (NG)'!$V$10,'Assumptions (NG)'!$V$5*Model!$AU$421*('Assumptions (NG)'!$AT$15*AVERAGE('Assumptions (NG)'!$AQ$2:$AS$2)+'Assumptions (NG)'!$AT$16*AVERAGE('Assumptions (NG)'!$AQ$3:$AS$3))/10^9),0)</f>
        <v>0</v>
      </c>
      <c r="BE522" s="105">
        <f>IF($AU$421&gt;0,PPMT('Assumptions (NG)'!$V$7,Model!AG$1,'Assumptions (NG)'!$V$10,'Assumptions (NG)'!$V$5*Model!$AU$421*('Assumptions (NG)'!$AT$15*AVERAGE('Assumptions (NG)'!$AQ$2:$AS$2)+'Assumptions (NG)'!$AT$16*AVERAGE('Assumptions (NG)'!$AQ$3:$AS$3))/10^9),0)</f>
        <v>0</v>
      </c>
      <c r="BF522" s="105">
        <f>IF($AU$421&gt;0,PPMT('Assumptions (NG)'!$V$7,Model!AH$1,'Assumptions (NG)'!$V$10,'Assumptions (NG)'!$V$5*Model!$AU$421*('Assumptions (NG)'!$AT$15*AVERAGE('Assumptions (NG)'!$AQ$2:$AS$2)+'Assumptions (NG)'!$AT$16*AVERAGE('Assumptions (NG)'!$AQ$3:$AS$3))/10^9),0)</f>
        <v>0</v>
      </c>
      <c r="BG522" s="105">
        <f>IF($AU$421&gt;0,PPMT('Assumptions (NG)'!$V$7,Model!AI$1,'Assumptions (NG)'!$V$10,'Assumptions (NG)'!$V$5*Model!$AU$421*('Assumptions (NG)'!$AT$15*AVERAGE('Assumptions (NG)'!$AQ$2:$AS$2)+'Assumptions (NG)'!$AT$16*AVERAGE('Assumptions (NG)'!$AQ$3:$AS$3))/10^9),0)</f>
        <v>0</v>
      </c>
      <c r="BH522" s="105">
        <f>IF($AU$421&gt;0,PPMT('Assumptions (NG)'!$V$7,Model!AJ$1,'Assumptions (NG)'!$V$10,'Assumptions (NG)'!$V$5*Model!$AU$421*('Assumptions (NG)'!$AT$15*AVERAGE('Assumptions (NG)'!$AQ$2:$AS$2)+'Assumptions (NG)'!$AT$16*AVERAGE('Assumptions (NG)'!$AQ$3:$AS$3))/10^9),0)</f>
        <v>0</v>
      </c>
      <c r="BI522" s="105">
        <f>IF($AU$421&gt;0,PPMT('Assumptions (NG)'!$V$7,Model!AK$1,'Assumptions (NG)'!$V$10,'Assumptions (NG)'!$V$5*Model!$AU$421*('Assumptions (NG)'!$AT$15*AVERAGE('Assumptions (NG)'!$AQ$2:$AS$2)+'Assumptions (NG)'!$AT$16*AVERAGE('Assumptions (NG)'!$AQ$3:$AS$3))/10^9),0)</f>
        <v>0</v>
      </c>
      <c r="BJ522" s="105"/>
      <c r="BK522" s="105"/>
      <c r="BL522" s="105"/>
      <c r="BM522" s="105"/>
      <c r="BN522" s="105"/>
      <c r="BO522" s="105"/>
      <c r="BP522" s="105"/>
      <c r="BQ522" s="105"/>
      <c r="BR522" s="105"/>
      <c r="BS522" s="105"/>
    </row>
    <row r="523" spans="1:77" ht="15.75" hidden="1" customHeight="1" outlineLevel="1">
      <c r="A523" s="379"/>
      <c r="B523" s="99"/>
      <c r="C523" s="99"/>
      <c r="D523" s="99"/>
      <c r="E523" s="99"/>
      <c r="F523" s="99"/>
      <c r="G523" s="99"/>
      <c r="H523" s="99"/>
      <c r="I523" s="99"/>
      <c r="J523" s="99"/>
      <c r="K523" s="99"/>
      <c r="L523" s="99"/>
      <c r="M523" s="99"/>
      <c r="N523" s="99"/>
      <c r="O523" s="99"/>
      <c r="P523" s="99"/>
      <c r="Q523" s="99"/>
      <c r="R523" s="99"/>
      <c r="S523" s="99"/>
      <c r="T523" s="99"/>
      <c r="U523" s="99"/>
      <c r="V523" s="99"/>
      <c r="W523" s="105"/>
      <c r="X523" s="105"/>
      <c r="Y523" s="105"/>
      <c r="Z523" s="105"/>
      <c r="AA523" s="105"/>
      <c r="AB523" s="105"/>
      <c r="AC523" s="105"/>
      <c r="AD523" s="105"/>
      <c r="AE523" s="105"/>
      <c r="AF523" s="105"/>
      <c r="AG523" s="105"/>
      <c r="AH523" s="105"/>
      <c r="AI523" s="105"/>
      <c r="AJ523" s="171"/>
      <c r="AK523" s="105"/>
      <c r="AL523" s="91"/>
      <c r="AM523" s="91"/>
      <c r="AN523" s="91"/>
      <c r="AO523" s="105"/>
      <c r="AP523" s="105"/>
      <c r="AQ523" s="105"/>
      <c r="AR523" s="105"/>
      <c r="AS523" s="105"/>
      <c r="AT523" s="105"/>
      <c r="AU523" s="105"/>
      <c r="AV523" s="105">
        <f>IF($AV$421&gt;0,PPMT('Assumptions (NG)'!$V$7,Model!W$1,'Assumptions (NG)'!$V$10,'Assumptions (NG)'!$V$5*Model!$AV$421*('Assumptions (NG)'!$AU$15*AVERAGE('Assumptions (NG)'!$AR$2:$AT$2)+'Assumptions (NG)'!$AU$16*AVERAGE('Assumptions (NG)'!$AR$3:$AT$3))/10^9),0)</f>
        <v>0</v>
      </c>
      <c r="AW523" s="105">
        <f>IF($AV$421&gt;0,PPMT('Assumptions (NG)'!$V$7,Model!X$1,'Assumptions (NG)'!$V$10,'Assumptions (NG)'!$V$5*Model!$AV$421*('Assumptions (NG)'!$AU$15*AVERAGE('Assumptions (NG)'!$AR$2:$AT$2)+'Assumptions (NG)'!$AU$16*AVERAGE('Assumptions (NG)'!$AR$3:$AT$3))/10^9),0)</f>
        <v>0</v>
      </c>
      <c r="AX523" s="105">
        <f>IF($AV$421&gt;0,PPMT('Assumptions (NG)'!$V$7,Model!Y$1,'Assumptions (NG)'!$V$10,'Assumptions (NG)'!$V$5*Model!$AV$421*('Assumptions (NG)'!$AU$15*AVERAGE('Assumptions (NG)'!$AR$2:$AT$2)+'Assumptions (NG)'!$AU$16*AVERAGE('Assumptions (NG)'!$AR$3:$AT$3))/10^9),0)</f>
        <v>0</v>
      </c>
      <c r="AY523" s="105">
        <f>IF($AV$421&gt;0,PPMT('Assumptions (NG)'!$V$7,Model!Z$1,'Assumptions (NG)'!$V$10,'Assumptions (NG)'!$V$5*Model!$AV$421*('Assumptions (NG)'!$AU$15*AVERAGE('Assumptions (NG)'!$AR$2:$AT$2)+'Assumptions (NG)'!$AU$16*AVERAGE('Assumptions (NG)'!$AR$3:$AT$3))/10^9),0)</f>
        <v>0</v>
      </c>
      <c r="AZ523" s="105">
        <f>IF($AV$421&gt;0,PPMT('Assumptions (NG)'!$V$7,Model!AA$1,'Assumptions (NG)'!$V$10,'Assumptions (NG)'!$V$5*Model!$AV$421*('Assumptions (NG)'!$AU$15*AVERAGE('Assumptions (NG)'!$AR$2:$AT$2)+'Assumptions (NG)'!$AU$16*AVERAGE('Assumptions (NG)'!$AR$3:$AT$3))/10^9),0)</f>
        <v>0</v>
      </c>
      <c r="BA523" s="105">
        <f>IF($AV$421&gt;0,PPMT('Assumptions (NG)'!$V$7,Model!AB$1,'Assumptions (NG)'!$V$10,'Assumptions (NG)'!$V$5*Model!$AV$421*('Assumptions (NG)'!$AU$15*AVERAGE('Assumptions (NG)'!$AR$2:$AT$2)+'Assumptions (NG)'!$AU$16*AVERAGE('Assumptions (NG)'!$AR$3:$AT$3))/10^9),0)</f>
        <v>0</v>
      </c>
      <c r="BB523" s="105">
        <f>IF($AV$421&gt;0,PPMT('Assumptions (NG)'!$V$7,Model!AC$1,'Assumptions (NG)'!$V$10,'Assumptions (NG)'!$V$5*Model!$AV$421*('Assumptions (NG)'!$AU$15*AVERAGE('Assumptions (NG)'!$AR$2:$AT$2)+'Assumptions (NG)'!$AU$16*AVERAGE('Assumptions (NG)'!$AR$3:$AT$3))/10^9),0)</f>
        <v>0</v>
      </c>
      <c r="BC523" s="105">
        <f>IF($AV$421&gt;0,PPMT('Assumptions (NG)'!$V$7,Model!AD$1,'Assumptions (NG)'!$V$10,'Assumptions (NG)'!$V$5*Model!$AV$421*('Assumptions (NG)'!$AU$15*AVERAGE('Assumptions (NG)'!$AR$2:$AT$2)+'Assumptions (NG)'!$AU$16*AVERAGE('Assumptions (NG)'!$AR$3:$AT$3))/10^9),0)</f>
        <v>0</v>
      </c>
      <c r="BD523" s="105">
        <f>IF($AV$421&gt;0,PPMT('Assumptions (NG)'!$V$7,Model!AE$1,'Assumptions (NG)'!$V$10,'Assumptions (NG)'!$V$5*Model!$AV$421*('Assumptions (NG)'!$AU$15*AVERAGE('Assumptions (NG)'!$AR$2:$AT$2)+'Assumptions (NG)'!$AU$16*AVERAGE('Assumptions (NG)'!$AR$3:$AT$3))/10^9),0)</f>
        <v>0</v>
      </c>
      <c r="BE523" s="105">
        <f>IF($AV$421&gt;0,PPMT('Assumptions (NG)'!$V$7,Model!AF$1,'Assumptions (NG)'!$V$10,'Assumptions (NG)'!$V$5*Model!$AV$421*('Assumptions (NG)'!$AU$15*AVERAGE('Assumptions (NG)'!$AR$2:$AT$2)+'Assumptions (NG)'!$AU$16*AVERAGE('Assumptions (NG)'!$AR$3:$AT$3))/10^9),0)</f>
        <v>0</v>
      </c>
      <c r="BF523" s="105">
        <f>IF($AV$421&gt;0,PPMT('Assumptions (NG)'!$V$7,Model!AG$1,'Assumptions (NG)'!$V$10,'Assumptions (NG)'!$V$5*Model!$AV$421*('Assumptions (NG)'!$AU$15*AVERAGE('Assumptions (NG)'!$AR$2:$AT$2)+'Assumptions (NG)'!$AU$16*AVERAGE('Assumptions (NG)'!$AR$3:$AT$3))/10^9),0)</f>
        <v>0</v>
      </c>
      <c r="BG523" s="105">
        <f>IF($AV$421&gt;0,PPMT('Assumptions (NG)'!$V$7,Model!AH$1,'Assumptions (NG)'!$V$10,'Assumptions (NG)'!$V$5*Model!$AV$421*('Assumptions (NG)'!$AU$15*AVERAGE('Assumptions (NG)'!$AR$2:$AT$2)+'Assumptions (NG)'!$AU$16*AVERAGE('Assumptions (NG)'!$AR$3:$AT$3))/10^9),0)</f>
        <v>0</v>
      </c>
      <c r="BH523" s="105">
        <f>IF($AV$421&gt;0,PPMT('Assumptions (NG)'!$V$7,Model!AI$1,'Assumptions (NG)'!$V$10,'Assumptions (NG)'!$V$5*Model!$AV$421*('Assumptions (NG)'!$AU$15*AVERAGE('Assumptions (NG)'!$AR$2:$AT$2)+'Assumptions (NG)'!$AU$16*AVERAGE('Assumptions (NG)'!$AR$3:$AT$3))/10^9),0)</f>
        <v>0</v>
      </c>
      <c r="BI523" s="105">
        <f>IF($AV$421&gt;0,PPMT('Assumptions (NG)'!$V$7,Model!AJ$1,'Assumptions (NG)'!$V$10,'Assumptions (NG)'!$V$5*Model!$AV$421*('Assumptions (NG)'!$AU$15*AVERAGE('Assumptions (NG)'!$AR$2:$AT$2)+'Assumptions (NG)'!$AU$16*AVERAGE('Assumptions (NG)'!$AR$3:$AT$3))/10^9),0)</f>
        <v>0</v>
      </c>
      <c r="BJ523" s="105">
        <f>IF($AV$421&gt;0,PPMT('Assumptions (NG)'!$V$7,Model!AK$1,'Assumptions (NG)'!$V$10,'Assumptions (NG)'!$V$5*Model!$AV$421*('Assumptions (NG)'!$AU$15*AVERAGE('Assumptions (NG)'!$AR$2:$AT$2)+'Assumptions (NG)'!$AU$16*AVERAGE('Assumptions (NG)'!$AR$3:$AT$3))/10^9),0)</f>
        <v>0</v>
      </c>
      <c r="BK523" s="105"/>
      <c r="BL523" s="105"/>
      <c r="BM523" s="105"/>
      <c r="BN523" s="105"/>
      <c r="BO523" s="105"/>
      <c r="BP523" s="105"/>
      <c r="BQ523" s="105"/>
      <c r="BR523" s="105"/>
      <c r="BS523" s="105"/>
      <c r="BT523" s="105"/>
    </row>
    <row r="524" spans="1:77" ht="15.75" hidden="1" customHeight="1" outlineLevel="1">
      <c r="A524" s="379"/>
      <c r="B524" s="99"/>
      <c r="C524" s="99"/>
      <c r="D524" s="99"/>
      <c r="E524" s="99"/>
      <c r="F524" s="99"/>
      <c r="G524" s="99"/>
      <c r="H524" s="99"/>
      <c r="I524" s="99"/>
      <c r="J524" s="99"/>
      <c r="K524" s="99"/>
      <c r="L524" s="99"/>
      <c r="M524" s="99"/>
      <c r="N524" s="99"/>
      <c r="O524" s="99"/>
      <c r="P524" s="99"/>
      <c r="Q524" s="99"/>
      <c r="R524" s="99"/>
      <c r="S524" s="99"/>
      <c r="T524" s="99"/>
      <c r="U524" s="99"/>
      <c r="V524" s="99"/>
      <c r="W524" s="105"/>
      <c r="X524" s="105"/>
      <c r="Y524" s="105"/>
      <c r="Z524" s="105"/>
      <c r="AA524" s="105"/>
      <c r="AB524" s="105"/>
      <c r="AC524" s="105"/>
      <c r="AD524" s="105"/>
      <c r="AE524" s="105"/>
      <c r="AF524" s="105"/>
      <c r="AG524" s="105"/>
      <c r="AH524" s="105"/>
      <c r="AI524" s="105"/>
      <c r="AJ524" s="171"/>
      <c r="AK524" s="105"/>
      <c r="AL524" s="91"/>
      <c r="AM524" s="91"/>
      <c r="AN524" s="91"/>
      <c r="AO524" s="105"/>
      <c r="AP524" s="105"/>
      <c r="AQ524" s="105"/>
      <c r="AR524" s="105"/>
      <c r="AS524" s="105"/>
      <c r="AT524" s="105"/>
      <c r="AU524" s="105"/>
      <c r="AV524" s="105"/>
      <c r="AW524" s="105">
        <f>IF($AW$421&gt;0,PPMT('Assumptions (NG)'!$V$7,Model!W$1,'Assumptions (NG)'!$V$10,'Assumptions (NG)'!$V$5*Model!$AW$421*('Assumptions (NG)'!$AV$15*AVERAGE('Assumptions (NG)'!$AS$2:$AU$2)+'Assumptions (NG)'!$AV$16*AVERAGE('Assumptions (NG)'!$AS$3:$AU$3))/10^9),0)</f>
        <v>0</v>
      </c>
      <c r="AX524" s="105">
        <f>IF($AW$421&gt;0,PPMT('Assumptions (NG)'!$V$7,Model!X$1,'Assumptions (NG)'!$V$10,'Assumptions (NG)'!$V$5*Model!$AW$421*('Assumptions (NG)'!$AV$15*AVERAGE('Assumptions (NG)'!$AS$2:$AU$2)+'Assumptions (NG)'!$AV$16*AVERAGE('Assumptions (NG)'!$AS$3:$AU$3))/10^9),0)</f>
        <v>0</v>
      </c>
      <c r="AY524" s="105">
        <f>IF($AW$421&gt;0,PPMT('Assumptions (NG)'!$V$7,Model!Y$1,'Assumptions (NG)'!$V$10,'Assumptions (NG)'!$V$5*Model!$AW$421*('Assumptions (NG)'!$AV$15*AVERAGE('Assumptions (NG)'!$AS$2:$AU$2)+'Assumptions (NG)'!$AV$16*AVERAGE('Assumptions (NG)'!$AS$3:$AU$3))/10^9),0)</f>
        <v>0</v>
      </c>
      <c r="AZ524" s="105">
        <f>IF($AW$421&gt;0,PPMT('Assumptions (NG)'!$V$7,Model!Z$1,'Assumptions (NG)'!$V$10,'Assumptions (NG)'!$V$5*Model!$AW$421*('Assumptions (NG)'!$AV$15*AVERAGE('Assumptions (NG)'!$AS$2:$AU$2)+'Assumptions (NG)'!$AV$16*AVERAGE('Assumptions (NG)'!$AS$3:$AU$3))/10^9),0)</f>
        <v>0</v>
      </c>
      <c r="BA524" s="105">
        <f>IF($AW$421&gt;0,PPMT('Assumptions (NG)'!$V$7,Model!AA$1,'Assumptions (NG)'!$V$10,'Assumptions (NG)'!$V$5*Model!$AW$421*('Assumptions (NG)'!$AV$15*AVERAGE('Assumptions (NG)'!$AS$2:$AU$2)+'Assumptions (NG)'!$AV$16*AVERAGE('Assumptions (NG)'!$AS$3:$AU$3))/10^9),0)</f>
        <v>0</v>
      </c>
      <c r="BB524" s="105">
        <f>IF($AW$421&gt;0,PPMT('Assumptions (NG)'!$V$7,Model!AB$1,'Assumptions (NG)'!$V$10,'Assumptions (NG)'!$V$5*Model!$AW$421*('Assumptions (NG)'!$AV$15*AVERAGE('Assumptions (NG)'!$AS$2:$AU$2)+'Assumptions (NG)'!$AV$16*AVERAGE('Assumptions (NG)'!$AS$3:$AU$3))/10^9),0)</f>
        <v>0</v>
      </c>
      <c r="BC524" s="105">
        <f>IF($AW$421&gt;0,PPMT('Assumptions (NG)'!$V$7,Model!AC$1,'Assumptions (NG)'!$V$10,'Assumptions (NG)'!$V$5*Model!$AW$421*('Assumptions (NG)'!$AV$15*AVERAGE('Assumptions (NG)'!$AS$2:$AU$2)+'Assumptions (NG)'!$AV$16*AVERAGE('Assumptions (NG)'!$AS$3:$AU$3))/10^9),0)</f>
        <v>0</v>
      </c>
      <c r="BD524" s="105">
        <f>IF($AW$421&gt;0,PPMT('Assumptions (NG)'!$V$7,Model!AD$1,'Assumptions (NG)'!$V$10,'Assumptions (NG)'!$V$5*Model!$AW$421*('Assumptions (NG)'!$AV$15*AVERAGE('Assumptions (NG)'!$AS$2:$AU$2)+'Assumptions (NG)'!$AV$16*AVERAGE('Assumptions (NG)'!$AS$3:$AU$3))/10^9),0)</f>
        <v>0</v>
      </c>
      <c r="BE524" s="105">
        <f>IF($AW$421&gt;0,PPMT('Assumptions (NG)'!$V$7,Model!AE$1,'Assumptions (NG)'!$V$10,'Assumptions (NG)'!$V$5*Model!$AW$421*('Assumptions (NG)'!$AV$15*AVERAGE('Assumptions (NG)'!$AS$2:$AU$2)+'Assumptions (NG)'!$AV$16*AVERAGE('Assumptions (NG)'!$AS$3:$AU$3))/10^9),0)</f>
        <v>0</v>
      </c>
      <c r="BF524" s="105">
        <f>IF($AW$421&gt;0,PPMT('Assumptions (NG)'!$V$7,Model!AF$1,'Assumptions (NG)'!$V$10,'Assumptions (NG)'!$V$5*Model!$AW$421*('Assumptions (NG)'!$AV$15*AVERAGE('Assumptions (NG)'!$AS$2:$AU$2)+'Assumptions (NG)'!$AV$16*AVERAGE('Assumptions (NG)'!$AS$3:$AU$3))/10^9),0)</f>
        <v>0</v>
      </c>
      <c r="BG524" s="105">
        <f>IF($AW$421&gt;0,PPMT('Assumptions (NG)'!$V$7,Model!AG$1,'Assumptions (NG)'!$V$10,'Assumptions (NG)'!$V$5*Model!$AW$421*('Assumptions (NG)'!$AV$15*AVERAGE('Assumptions (NG)'!$AS$2:$AU$2)+'Assumptions (NG)'!$AV$16*AVERAGE('Assumptions (NG)'!$AS$3:$AU$3))/10^9),0)</f>
        <v>0</v>
      </c>
      <c r="BH524" s="105">
        <f>IF($AW$421&gt;0,PPMT('Assumptions (NG)'!$V$7,Model!AH$1,'Assumptions (NG)'!$V$10,'Assumptions (NG)'!$V$5*Model!$AW$421*('Assumptions (NG)'!$AV$15*AVERAGE('Assumptions (NG)'!$AS$2:$AU$2)+'Assumptions (NG)'!$AV$16*AVERAGE('Assumptions (NG)'!$AS$3:$AU$3))/10^9),0)</f>
        <v>0</v>
      </c>
      <c r="BI524" s="105">
        <f>IF($AW$421&gt;0,PPMT('Assumptions (NG)'!$V$7,Model!AI$1,'Assumptions (NG)'!$V$10,'Assumptions (NG)'!$V$5*Model!$AW$421*('Assumptions (NG)'!$AV$15*AVERAGE('Assumptions (NG)'!$AS$2:$AU$2)+'Assumptions (NG)'!$AV$16*AVERAGE('Assumptions (NG)'!$AS$3:$AU$3))/10^9),0)</f>
        <v>0</v>
      </c>
      <c r="BJ524" s="105">
        <f>IF($AW$421&gt;0,PPMT('Assumptions (NG)'!$V$7,Model!AJ$1,'Assumptions (NG)'!$V$10,'Assumptions (NG)'!$V$5*Model!$AW$421*('Assumptions (NG)'!$AV$15*AVERAGE('Assumptions (NG)'!$AS$2:$AU$2)+'Assumptions (NG)'!$AV$16*AVERAGE('Assumptions (NG)'!$AS$3:$AU$3))/10^9),0)</f>
        <v>0</v>
      </c>
      <c r="BK524" s="105">
        <f>IF($AW$421&gt;0,PPMT('Assumptions (NG)'!$V$7,Model!AK$1,'Assumptions (NG)'!$V$10,'Assumptions (NG)'!$V$5*Model!$AW$421*('Assumptions (NG)'!$AV$15*AVERAGE('Assumptions (NG)'!$AS$2:$AU$2)+'Assumptions (NG)'!$AV$16*AVERAGE('Assumptions (NG)'!$AS$3:$AU$3))/10^9),0)</f>
        <v>0</v>
      </c>
      <c r="BL524" s="105"/>
      <c r="BM524" s="105"/>
      <c r="BN524" s="105"/>
      <c r="BO524" s="105"/>
      <c r="BP524" s="105"/>
      <c r="BQ524" s="105"/>
      <c r="BR524" s="105"/>
      <c r="BS524" s="105"/>
      <c r="BT524" s="105"/>
      <c r="BU524" s="105"/>
    </row>
    <row r="525" spans="1:77" ht="15.75" hidden="1" customHeight="1" outlineLevel="1">
      <c r="A525" s="379"/>
      <c r="B525" s="99"/>
      <c r="C525" s="99"/>
      <c r="D525" s="99"/>
      <c r="E525" s="99"/>
      <c r="F525" s="99"/>
      <c r="G525" s="99"/>
      <c r="H525" s="99"/>
      <c r="I525" s="99"/>
      <c r="J525" s="99"/>
      <c r="K525" s="99"/>
      <c r="L525" s="99"/>
      <c r="M525" s="99"/>
      <c r="N525" s="99"/>
      <c r="O525" s="99"/>
      <c r="P525" s="99"/>
      <c r="Q525" s="99"/>
      <c r="R525" s="99"/>
      <c r="S525" s="99"/>
      <c r="T525" s="99"/>
      <c r="U525" s="99"/>
      <c r="V525" s="99"/>
      <c r="W525" s="105"/>
      <c r="X525" s="105"/>
      <c r="Y525" s="105"/>
      <c r="Z525" s="105"/>
      <c r="AA525" s="105"/>
      <c r="AB525" s="105"/>
      <c r="AC525" s="105"/>
      <c r="AD525" s="105"/>
      <c r="AE525" s="105"/>
      <c r="AF525" s="105"/>
      <c r="AG525" s="105"/>
      <c r="AH525" s="105"/>
      <c r="AI525" s="105"/>
      <c r="AJ525" s="171"/>
      <c r="AK525" s="105"/>
      <c r="AL525" s="91"/>
      <c r="AM525" s="91"/>
      <c r="AN525" s="91"/>
      <c r="AO525" s="105"/>
      <c r="AP525" s="105"/>
      <c r="AQ525" s="105"/>
      <c r="AR525" s="105"/>
      <c r="AS525" s="105"/>
      <c r="AT525" s="105"/>
      <c r="AU525" s="105"/>
      <c r="AV525" s="105"/>
      <c r="AW525" s="105"/>
      <c r="AX525" s="105">
        <f>IF($AX$421&gt;0,PPMT('Assumptions (NG)'!$V$7,Model!W$1,'Assumptions (NG)'!$V$10,'Assumptions (NG)'!$V$5*Model!$AX$421*('Assumptions (NG)'!$AW$15*AVERAGE('Assumptions (NG)'!$AT$2:$AV$2)+'Assumptions (NG)'!$AW$16*AVERAGE('Assumptions (NG)'!$AT$3:$AV$3))/10^9),0)</f>
        <v>0</v>
      </c>
      <c r="AY525" s="105">
        <f>IF($AX$421&gt;0,PPMT('Assumptions (NG)'!$V$7,Model!X$1,'Assumptions (NG)'!$V$10,'Assumptions (NG)'!$V$5*Model!$AX$421*('Assumptions (NG)'!$AW$15*AVERAGE('Assumptions (NG)'!$AT$2:$AV$2)+'Assumptions (NG)'!$AW$16*AVERAGE('Assumptions (NG)'!$AT$3:$AV$3))/10^9),0)</f>
        <v>0</v>
      </c>
      <c r="AZ525" s="105">
        <f>IF($AX$421&gt;0,PPMT('Assumptions (NG)'!$V$7,Model!Y$1,'Assumptions (NG)'!$V$10,'Assumptions (NG)'!$V$5*Model!$AX$421*('Assumptions (NG)'!$AW$15*AVERAGE('Assumptions (NG)'!$AT$2:$AV$2)+'Assumptions (NG)'!$AW$16*AVERAGE('Assumptions (NG)'!$AT$3:$AV$3))/10^9),0)</f>
        <v>0</v>
      </c>
      <c r="BA525" s="105">
        <f>IF($AX$421&gt;0,PPMT('Assumptions (NG)'!$V$7,Model!Z$1,'Assumptions (NG)'!$V$10,'Assumptions (NG)'!$V$5*Model!$AX$421*('Assumptions (NG)'!$AW$15*AVERAGE('Assumptions (NG)'!$AT$2:$AV$2)+'Assumptions (NG)'!$AW$16*AVERAGE('Assumptions (NG)'!$AT$3:$AV$3))/10^9),0)</f>
        <v>0</v>
      </c>
      <c r="BB525" s="105">
        <f>IF($AX$421&gt;0,PPMT('Assumptions (NG)'!$V$7,Model!AA$1,'Assumptions (NG)'!$V$10,'Assumptions (NG)'!$V$5*Model!$AX$421*('Assumptions (NG)'!$AW$15*AVERAGE('Assumptions (NG)'!$AT$2:$AV$2)+'Assumptions (NG)'!$AW$16*AVERAGE('Assumptions (NG)'!$AT$3:$AV$3))/10^9),0)</f>
        <v>0</v>
      </c>
      <c r="BC525" s="105">
        <f>IF($AX$421&gt;0,PPMT('Assumptions (NG)'!$V$7,Model!AB$1,'Assumptions (NG)'!$V$10,'Assumptions (NG)'!$V$5*Model!$AX$421*('Assumptions (NG)'!$AW$15*AVERAGE('Assumptions (NG)'!$AT$2:$AV$2)+'Assumptions (NG)'!$AW$16*AVERAGE('Assumptions (NG)'!$AT$3:$AV$3))/10^9),0)</f>
        <v>0</v>
      </c>
      <c r="BD525" s="105">
        <f>IF($AX$421&gt;0,PPMT('Assumptions (NG)'!$V$7,Model!AC$1,'Assumptions (NG)'!$V$10,'Assumptions (NG)'!$V$5*Model!$AX$421*('Assumptions (NG)'!$AW$15*AVERAGE('Assumptions (NG)'!$AT$2:$AV$2)+'Assumptions (NG)'!$AW$16*AVERAGE('Assumptions (NG)'!$AT$3:$AV$3))/10^9),0)</f>
        <v>0</v>
      </c>
      <c r="BE525" s="105">
        <f>IF($AX$421&gt;0,PPMT('Assumptions (NG)'!$V$7,Model!AD$1,'Assumptions (NG)'!$V$10,'Assumptions (NG)'!$V$5*Model!$AX$421*('Assumptions (NG)'!$AW$15*AVERAGE('Assumptions (NG)'!$AT$2:$AV$2)+'Assumptions (NG)'!$AW$16*AVERAGE('Assumptions (NG)'!$AT$3:$AV$3))/10^9),0)</f>
        <v>0</v>
      </c>
      <c r="BF525" s="105">
        <f>IF($AX$421&gt;0,PPMT('Assumptions (NG)'!$V$7,Model!AE$1,'Assumptions (NG)'!$V$10,'Assumptions (NG)'!$V$5*Model!$AX$421*('Assumptions (NG)'!$AW$15*AVERAGE('Assumptions (NG)'!$AT$2:$AV$2)+'Assumptions (NG)'!$AW$16*AVERAGE('Assumptions (NG)'!$AT$3:$AV$3))/10^9),0)</f>
        <v>0</v>
      </c>
      <c r="BG525" s="105">
        <f>IF($AX$421&gt;0,PPMT('Assumptions (NG)'!$V$7,Model!AF$1,'Assumptions (NG)'!$V$10,'Assumptions (NG)'!$V$5*Model!$AX$421*('Assumptions (NG)'!$AW$15*AVERAGE('Assumptions (NG)'!$AT$2:$AV$2)+'Assumptions (NG)'!$AW$16*AVERAGE('Assumptions (NG)'!$AT$3:$AV$3))/10^9),0)</f>
        <v>0</v>
      </c>
      <c r="BH525" s="105">
        <f>IF($AX$421&gt;0,PPMT('Assumptions (NG)'!$V$7,Model!AG$1,'Assumptions (NG)'!$V$10,'Assumptions (NG)'!$V$5*Model!$AX$421*('Assumptions (NG)'!$AW$15*AVERAGE('Assumptions (NG)'!$AT$2:$AV$2)+'Assumptions (NG)'!$AW$16*AVERAGE('Assumptions (NG)'!$AT$3:$AV$3))/10^9),0)</f>
        <v>0</v>
      </c>
      <c r="BI525" s="105">
        <f>IF($AX$421&gt;0,PPMT('Assumptions (NG)'!$V$7,Model!AH$1,'Assumptions (NG)'!$V$10,'Assumptions (NG)'!$V$5*Model!$AX$421*('Assumptions (NG)'!$AW$15*AVERAGE('Assumptions (NG)'!$AT$2:$AV$2)+'Assumptions (NG)'!$AW$16*AVERAGE('Assumptions (NG)'!$AT$3:$AV$3))/10^9),0)</f>
        <v>0</v>
      </c>
      <c r="BJ525" s="105">
        <f>IF($AX$421&gt;0,PPMT('Assumptions (NG)'!$V$7,Model!AI$1,'Assumptions (NG)'!$V$10,'Assumptions (NG)'!$V$5*Model!$AX$421*('Assumptions (NG)'!$AW$15*AVERAGE('Assumptions (NG)'!$AT$2:$AV$2)+'Assumptions (NG)'!$AW$16*AVERAGE('Assumptions (NG)'!$AT$3:$AV$3))/10^9),0)</f>
        <v>0</v>
      </c>
      <c r="BK525" s="105">
        <f>IF($AX$421&gt;0,PPMT('Assumptions (NG)'!$V$7,Model!AJ$1,'Assumptions (NG)'!$V$10,'Assumptions (NG)'!$V$5*Model!$AX$421*('Assumptions (NG)'!$AW$15*AVERAGE('Assumptions (NG)'!$AT$2:$AV$2)+'Assumptions (NG)'!$AW$16*AVERAGE('Assumptions (NG)'!$AT$3:$AV$3))/10^9),0)</f>
        <v>0</v>
      </c>
      <c r="BL525" s="105">
        <f>IF($AX$421&gt;0,PPMT('Assumptions (NG)'!$V$7,Model!AK$1,'Assumptions (NG)'!$V$10,'Assumptions (NG)'!$V$5*Model!$AX$421*('Assumptions (NG)'!$AW$15*AVERAGE('Assumptions (NG)'!$AT$2:$AV$2)+'Assumptions (NG)'!$AW$16*AVERAGE('Assumptions (NG)'!$AT$3:$AV$3))/10^9),0)</f>
        <v>0</v>
      </c>
      <c r="BM525" s="105"/>
      <c r="BN525" s="105"/>
      <c r="BO525" s="105"/>
      <c r="BP525" s="105"/>
      <c r="BQ525" s="105"/>
      <c r="BR525" s="105"/>
      <c r="BS525" s="105"/>
      <c r="BT525" s="105"/>
      <c r="BU525" s="105"/>
      <c r="BV525" s="105"/>
    </row>
    <row r="526" spans="1:77" ht="15.75" hidden="1" customHeight="1" outlineLevel="1">
      <c r="A526" s="379"/>
      <c r="B526" s="99"/>
      <c r="C526" s="99"/>
      <c r="D526" s="99"/>
      <c r="E526" s="99"/>
      <c r="F526" s="99"/>
      <c r="G526" s="99"/>
      <c r="H526" s="99"/>
      <c r="I526" s="99"/>
      <c r="J526" s="99"/>
      <c r="K526" s="99"/>
      <c r="L526" s="99"/>
      <c r="M526" s="99"/>
      <c r="N526" s="99"/>
      <c r="O526" s="99"/>
      <c r="P526" s="99"/>
      <c r="Q526" s="99"/>
      <c r="R526" s="99"/>
      <c r="S526" s="99"/>
      <c r="T526" s="99"/>
      <c r="U526" s="99"/>
      <c r="V526" s="99"/>
      <c r="W526" s="105"/>
      <c r="X526" s="105"/>
      <c r="Y526" s="105"/>
      <c r="Z526" s="105"/>
      <c r="AA526" s="105"/>
      <c r="AB526" s="105"/>
      <c r="AC526" s="105"/>
      <c r="AD526" s="105"/>
      <c r="AE526" s="105"/>
      <c r="AF526" s="105"/>
      <c r="AG526" s="105"/>
      <c r="AH526" s="105"/>
      <c r="AI526" s="105"/>
      <c r="AJ526" s="171"/>
      <c r="AK526" s="105"/>
      <c r="AL526" s="91"/>
      <c r="AM526" s="91"/>
      <c r="AN526" s="91"/>
      <c r="AO526" s="105"/>
      <c r="AP526" s="105"/>
      <c r="AQ526" s="105"/>
      <c r="AR526" s="105"/>
      <c r="AS526" s="105"/>
      <c r="AT526" s="105"/>
      <c r="AU526" s="105"/>
      <c r="AV526" s="105"/>
      <c r="AW526" s="105"/>
      <c r="AX526" s="105"/>
      <c r="AY526" s="105">
        <f>IF($AY$421&gt;0,PPMT('Assumptions (NG)'!$V$7,Model!W$1,'Assumptions (NG)'!$V$10,'Assumptions (NG)'!$V$5*Model!$AY$421*('Assumptions (NG)'!$AX$15*AVERAGE('Assumptions (NG)'!$AU$2:$AW$2)+'Assumptions (NG)'!$AX$16*AVERAGE('Assumptions (NG)'!$AU$3:$AW$3))/10^9),0)</f>
        <v>0</v>
      </c>
      <c r="AZ526" s="105">
        <f>IF($AY$421&gt;0,PPMT('Assumptions (NG)'!$V$7,Model!X$1,'Assumptions (NG)'!$V$10,'Assumptions (NG)'!$V$5*Model!$AY$421*('Assumptions (NG)'!$AX$15*AVERAGE('Assumptions (NG)'!$AU$2:$AW$2)+'Assumptions (NG)'!$AX$16*AVERAGE('Assumptions (NG)'!$AU$3:$AW$3))/10^9),0)</f>
        <v>0</v>
      </c>
      <c r="BA526" s="105">
        <f>IF($AY$421&gt;0,PPMT('Assumptions (NG)'!$V$7,Model!Y$1,'Assumptions (NG)'!$V$10,'Assumptions (NG)'!$V$5*Model!$AY$421*('Assumptions (NG)'!$AX$15*AVERAGE('Assumptions (NG)'!$AU$2:$AW$2)+'Assumptions (NG)'!$AX$16*AVERAGE('Assumptions (NG)'!$AU$3:$AW$3))/10^9),0)</f>
        <v>0</v>
      </c>
      <c r="BB526" s="105">
        <f>IF($AY$421&gt;0,PPMT('Assumptions (NG)'!$V$7,Model!Z$1,'Assumptions (NG)'!$V$10,'Assumptions (NG)'!$V$5*Model!$AY$421*('Assumptions (NG)'!$AX$15*AVERAGE('Assumptions (NG)'!$AU$2:$AW$2)+'Assumptions (NG)'!$AX$16*AVERAGE('Assumptions (NG)'!$AU$3:$AW$3))/10^9),0)</f>
        <v>0</v>
      </c>
      <c r="BC526" s="105">
        <f>IF($AY$421&gt;0,PPMT('Assumptions (NG)'!$V$7,Model!AA$1,'Assumptions (NG)'!$V$10,'Assumptions (NG)'!$V$5*Model!$AY$421*('Assumptions (NG)'!$AX$15*AVERAGE('Assumptions (NG)'!$AU$2:$AW$2)+'Assumptions (NG)'!$AX$16*AVERAGE('Assumptions (NG)'!$AU$3:$AW$3))/10^9),0)</f>
        <v>0</v>
      </c>
      <c r="BD526" s="105">
        <f>IF($AY$421&gt;0,PPMT('Assumptions (NG)'!$V$7,Model!AB$1,'Assumptions (NG)'!$V$10,'Assumptions (NG)'!$V$5*Model!$AY$421*('Assumptions (NG)'!$AX$15*AVERAGE('Assumptions (NG)'!$AU$2:$AW$2)+'Assumptions (NG)'!$AX$16*AVERAGE('Assumptions (NG)'!$AU$3:$AW$3))/10^9),0)</f>
        <v>0</v>
      </c>
      <c r="BE526" s="105">
        <f>IF($AY$421&gt;0,PPMT('Assumptions (NG)'!$V$7,Model!AC$1,'Assumptions (NG)'!$V$10,'Assumptions (NG)'!$V$5*Model!$AY$421*('Assumptions (NG)'!$AX$15*AVERAGE('Assumptions (NG)'!$AU$2:$AW$2)+'Assumptions (NG)'!$AX$16*AVERAGE('Assumptions (NG)'!$AU$3:$AW$3))/10^9),0)</f>
        <v>0</v>
      </c>
      <c r="BF526" s="105">
        <f>IF($AY$421&gt;0,PPMT('Assumptions (NG)'!$V$7,Model!AD$1,'Assumptions (NG)'!$V$10,'Assumptions (NG)'!$V$5*Model!$AY$421*('Assumptions (NG)'!$AX$15*AVERAGE('Assumptions (NG)'!$AU$2:$AW$2)+'Assumptions (NG)'!$AX$16*AVERAGE('Assumptions (NG)'!$AU$3:$AW$3))/10^9),0)</f>
        <v>0</v>
      </c>
      <c r="BG526" s="105">
        <f>IF($AY$421&gt;0,PPMT('Assumptions (NG)'!$V$7,Model!AE$1,'Assumptions (NG)'!$V$10,'Assumptions (NG)'!$V$5*Model!$AY$421*('Assumptions (NG)'!$AX$15*AVERAGE('Assumptions (NG)'!$AU$2:$AW$2)+'Assumptions (NG)'!$AX$16*AVERAGE('Assumptions (NG)'!$AU$3:$AW$3))/10^9),0)</f>
        <v>0</v>
      </c>
      <c r="BH526" s="105">
        <f>IF($AY$421&gt;0,PPMT('Assumptions (NG)'!$V$7,Model!AF$1,'Assumptions (NG)'!$V$10,'Assumptions (NG)'!$V$5*Model!$AY$421*('Assumptions (NG)'!$AX$15*AVERAGE('Assumptions (NG)'!$AU$2:$AW$2)+'Assumptions (NG)'!$AX$16*AVERAGE('Assumptions (NG)'!$AU$3:$AW$3))/10^9),0)</f>
        <v>0</v>
      </c>
      <c r="BI526" s="105">
        <f>IF($AY$421&gt;0,PPMT('Assumptions (NG)'!$V$7,Model!AG$1,'Assumptions (NG)'!$V$10,'Assumptions (NG)'!$V$5*Model!$AY$421*('Assumptions (NG)'!$AX$15*AVERAGE('Assumptions (NG)'!$AU$2:$AW$2)+'Assumptions (NG)'!$AX$16*AVERAGE('Assumptions (NG)'!$AU$3:$AW$3))/10^9),0)</f>
        <v>0</v>
      </c>
      <c r="BJ526" s="105">
        <f>IF($AY$421&gt;0,PPMT('Assumptions (NG)'!$V$7,Model!AH$1,'Assumptions (NG)'!$V$10,'Assumptions (NG)'!$V$5*Model!$AY$421*('Assumptions (NG)'!$AX$15*AVERAGE('Assumptions (NG)'!$AU$2:$AW$2)+'Assumptions (NG)'!$AX$16*AVERAGE('Assumptions (NG)'!$AU$3:$AW$3))/10^9),0)</f>
        <v>0</v>
      </c>
      <c r="BK526" s="105">
        <f>IF($AY$421&gt;0,PPMT('Assumptions (NG)'!$V$7,Model!AI$1,'Assumptions (NG)'!$V$10,'Assumptions (NG)'!$V$5*Model!$AY$421*('Assumptions (NG)'!$AX$15*AVERAGE('Assumptions (NG)'!$AU$2:$AW$2)+'Assumptions (NG)'!$AX$16*AVERAGE('Assumptions (NG)'!$AU$3:$AW$3))/10^9),0)</f>
        <v>0</v>
      </c>
      <c r="BL526" s="105">
        <f>IF($AY$421&gt;0,PPMT('Assumptions (NG)'!$V$7,Model!AJ$1,'Assumptions (NG)'!$V$10,'Assumptions (NG)'!$V$5*Model!$AY$421*('Assumptions (NG)'!$AX$15*AVERAGE('Assumptions (NG)'!$AU$2:$AW$2)+'Assumptions (NG)'!$AX$16*AVERAGE('Assumptions (NG)'!$AU$3:$AW$3))/10^9),0)</f>
        <v>0</v>
      </c>
      <c r="BM526" s="105">
        <f>IF($AY$421&gt;0,PPMT('Assumptions (NG)'!$V$7,Model!AK$1,'Assumptions (NG)'!$V$10,'Assumptions (NG)'!$V$5*Model!$AY$421*('Assumptions (NG)'!$AX$15*AVERAGE('Assumptions (NG)'!$AU$2:$AW$2)+'Assumptions (NG)'!$AX$16*AVERAGE('Assumptions (NG)'!$AU$3:$AW$3))/10^9),0)</f>
        <v>0</v>
      </c>
      <c r="BN526" s="105"/>
      <c r="BO526" s="105"/>
      <c r="BP526" s="105"/>
      <c r="BQ526" s="105"/>
      <c r="BR526" s="105"/>
      <c r="BS526" s="105"/>
      <c r="BT526" s="105"/>
      <c r="BU526" s="105"/>
      <c r="BV526" s="105"/>
      <c r="BW526" s="105"/>
    </row>
    <row r="527" spans="1:77" ht="15.75" hidden="1" customHeight="1" outlineLevel="1">
      <c r="A527" s="379"/>
      <c r="B527" s="99"/>
      <c r="C527" s="99"/>
      <c r="D527" s="99"/>
      <c r="E527" s="99"/>
      <c r="F527" s="99"/>
      <c r="G527" s="99"/>
      <c r="H527" s="99"/>
      <c r="I527" s="99"/>
      <c r="J527" s="99"/>
      <c r="K527" s="99"/>
      <c r="L527" s="99"/>
      <c r="M527" s="99"/>
      <c r="N527" s="99"/>
      <c r="O527" s="99"/>
      <c r="P527" s="99"/>
      <c r="Q527" s="99"/>
      <c r="R527" s="99"/>
      <c r="S527" s="99"/>
      <c r="T527" s="99"/>
      <c r="U527" s="99"/>
      <c r="V527" s="99"/>
      <c r="W527" s="105"/>
      <c r="X527" s="105"/>
      <c r="Y527" s="105"/>
      <c r="Z527" s="105"/>
      <c r="AA527" s="105"/>
      <c r="AB527" s="105"/>
      <c r="AC527" s="105"/>
      <c r="AD527" s="105"/>
      <c r="AE527" s="105"/>
      <c r="AF527" s="105"/>
      <c r="AG527" s="105"/>
      <c r="AH527" s="105"/>
      <c r="AI527" s="105"/>
      <c r="AJ527" s="171"/>
      <c r="AK527" s="105"/>
      <c r="AL527" s="91"/>
      <c r="AM527" s="91"/>
      <c r="AN527" s="91"/>
      <c r="AO527" s="105"/>
      <c r="AP527" s="105"/>
      <c r="AQ527" s="105"/>
      <c r="AR527" s="105"/>
      <c r="AS527" s="105"/>
      <c r="AT527" s="105"/>
      <c r="AU527" s="105"/>
      <c r="AV527" s="105"/>
      <c r="AW527" s="105"/>
      <c r="AX527" s="105"/>
      <c r="AY527" s="105"/>
      <c r="AZ527" s="105">
        <f>IF($AZ$421&gt;0,PPMT('Assumptions (NG)'!$V$7,Model!W$1,'Assumptions (NG)'!$V$10,'Assumptions (NG)'!$V$5*Model!$AZ$421*('Assumptions (NG)'!$AY$15*AVERAGE('Assumptions (NG)'!$AV$2:$AX$2)+'Assumptions (NG)'!$AY$16*AVERAGE('Assumptions (NG)'!$AV$3:$AX$3))/10^9),0)</f>
        <v>0</v>
      </c>
      <c r="BA527" s="105">
        <f>IF($AZ$421&gt;0,PPMT('Assumptions (NG)'!$V$7,Model!X$1,'Assumptions (NG)'!$V$10,'Assumptions (NG)'!$V$5*Model!$AZ$421*('Assumptions (NG)'!$AY$15*AVERAGE('Assumptions (NG)'!$AV$2:$AX$2)+'Assumptions (NG)'!$AY$16*AVERAGE('Assumptions (NG)'!$AV$3:$AX$3))/10^9),0)</f>
        <v>0</v>
      </c>
      <c r="BB527" s="105">
        <f>IF($AZ$421&gt;0,PPMT('Assumptions (NG)'!$V$7,Model!Y$1,'Assumptions (NG)'!$V$10,'Assumptions (NG)'!$V$5*Model!$AZ$421*('Assumptions (NG)'!$AY$15*AVERAGE('Assumptions (NG)'!$AV$2:$AX$2)+'Assumptions (NG)'!$AY$16*AVERAGE('Assumptions (NG)'!$AV$3:$AX$3))/10^9),0)</f>
        <v>0</v>
      </c>
      <c r="BC527" s="105">
        <f>IF($AZ$421&gt;0,PPMT('Assumptions (NG)'!$V$7,Model!Z$1,'Assumptions (NG)'!$V$10,'Assumptions (NG)'!$V$5*Model!$AZ$421*('Assumptions (NG)'!$AY$15*AVERAGE('Assumptions (NG)'!$AV$2:$AX$2)+'Assumptions (NG)'!$AY$16*AVERAGE('Assumptions (NG)'!$AV$3:$AX$3))/10^9),0)</f>
        <v>0</v>
      </c>
      <c r="BD527" s="105">
        <f>IF($AZ$421&gt;0,PPMT('Assumptions (NG)'!$V$7,Model!AA$1,'Assumptions (NG)'!$V$10,'Assumptions (NG)'!$V$5*Model!$AZ$421*('Assumptions (NG)'!$AY$15*AVERAGE('Assumptions (NG)'!$AV$2:$AX$2)+'Assumptions (NG)'!$AY$16*AVERAGE('Assumptions (NG)'!$AV$3:$AX$3))/10^9),0)</f>
        <v>0</v>
      </c>
      <c r="BE527" s="105">
        <f>IF($AZ$421&gt;0,PPMT('Assumptions (NG)'!$V$7,Model!AB$1,'Assumptions (NG)'!$V$10,'Assumptions (NG)'!$V$5*Model!$AZ$421*('Assumptions (NG)'!$AY$15*AVERAGE('Assumptions (NG)'!$AV$2:$AX$2)+'Assumptions (NG)'!$AY$16*AVERAGE('Assumptions (NG)'!$AV$3:$AX$3))/10^9),0)</f>
        <v>0</v>
      </c>
      <c r="BF527" s="105">
        <f>IF($AZ$421&gt;0,PPMT('Assumptions (NG)'!$V$7,Model!AC$1,'Assumptions (NG)'!$V$10,'Assumptions (NG)'!$V$5*Model!$AZ$421*('Assumptions (NG)'!$AY$15*AVERAGE('Assumptions (NG)'!$AV$2:$AX$2)+'Assumptions (NG)'!$AY$16*AVERAGE('Assumptions (NG)'!$AV$3:$AX$3))/10^9),0)</f>
        <v>0</v>
      </c>
      <c r="BG527" s="105">
        <f>IF($AZ$421&gt;0,PPMT('Assumptions (NG)'!$V$7,Model!AD$1,'Assumptions (NG)'!$V$10,'Assumptions (NG)'!$V$5*Model!$AZ$421*('Assumptions (NG)'!$AY$15*AVERAGE('Assumptions (NG)'!$AV$2:$AX$2)+'Assumptions (NG)'!$AY$16*AVERAGE('Assumptions (NG)'!$AV$3:$AX$3))/10^9),0)</f>
        <v>0</v>
      </c>
      <c r="BH527" s="105">
        <f>IF($AZ$421&gt;0,PPMT('Assumptions (NG)'!$V$7,Model!AE$1,'Assumptions (NG)'!$V$10,'Assumptions (NG)'!$V$5*Model!$AZ$421*('Assumptions (NG)'!$AY$15*AVERAGE('Assumptions (NG)'!$AV$2:$AX$2)+'Assumptions (NG)'!$AY$16*AVERAGE('Assumptions (NG)'!$AV$3:$AX$3))/10^9),0)</f>
        <v>0</v>
      </c>
      <c r="BI527" s="105">
        <f>IF($AZ$421&gt;0,PPMT('Assumptions (NG)'!$V$7,Model!AF$1,'Assumptions (NG)'!$V$10,'Assumptions (NG)'!$V$5*Model!$AZ$421*('Assumptions (NG)'!$AY$15*AVERAGE('Assumptions (NG)'!$AV$2:$AX$2)+'Assumptions (NG)'!$AY$16*AVERAGE('Assumptions (NG)'!$AV$3:$AX$3))/10^9),0)</f>
        <v>0</v>
      </c>
      <c r="BJ527" s="105">
        <f>IF($AZ$421&gt;0,PPMT('Assumptions (NG)'!$V$7,Model!AG$1,'Assumptions (NG)'!$V$10,'Assumptions (NG)'!$V$5*Model!$AZ$421*('Assumptions (NG)'!$AY$15*AVERAGE('Assumptions (NG)'!$AV$2:$AX$2)+'Assumptions (NG)'!$AY$16*AVERAGE('Assumptions (NG)'!$AV$3:$AX$3))/10^9),0)</f>
        <v>0</v>
      </c>
      <c r="BK527" s="105">
        <f>IF($AZ$421&gt;0,PPMT('Assumptions (NG)'!$V$7,Model!AH$1,'Assumptions (NG)'!$V$10,'Assumptions (NG)'!$V$5*Model!$AZ$421*('Assumptions (NG)'!$AY$15*AVERAGE('Assumptions (NG)'!$AV$2:$AX$2)+'Assumptions (NG)'!$AY$16*AVERAGE('Assumptions (NG)'!$AV$3:$AX$3))/10^9),0)</f>
        <v>0</v>
      </c>
      <c r="BL527" s="105">
        <f>IF($AZ$421&gt;0,PPMT('Assumptions (NG)'!$V$7,Model!AI$1,'Assumptions (NG)'!$V$10,'Assumptions (NG)'!$V$5*Model!$AZ$421*('Assumptions (NG)'!$AY$15*AVERAGE('Assumptions (NG)'!$AV$2:$AX$2)+'Assumptions (NG)'!$AY$16*AVERAGE('Assumptions (NG)'!$AV$3:$AX$3))/10^9),0)</f>
        <v>0</v>
      </c>
      <c r="BM527" s="105">
        <f>IF($AZ$421&gt;0,PPMT('Assumptions (NG)'!$V$7,Model!AJ$1,'Assumptions (NG)'!$V$10,'Assumptions (NG)'!$V$5*Model!$AZ$421*('Assumptions (NG)'!$AY$15*AVERAGE('Assumptions (NG)'!$AV$2:$AX$2)+'Assumptions (NG)'!$AY$16*AVERAGE('Assumptions (NG)'!$AV$3:$AX$3))/10^9),0)</f>
        <v>0</v>
      </c>
      <c r="BN527" s="105">
        <f>IF($AZ$421&gt;0,PPMT('Assumptions (NG)'!$V$7,Model!AK$1,'Assumptions (NG)'!$V$10,'Assumptions (NG)'!$V$5*Model!$AZ$421*('Assumptions (NG)'!$AY$15*AVERAGE('Assumptions (NG)'!$AV$2:$AX$2)+'Assumptions (NG)'!$AY$16*AVERAGE('Assumptions (NG)'!$AV$3:$AX$3))/10^9),0)</f>
        <v>0</v>
      </c>
      <c r="BO527" s="105"/>
      <c r="BP527" s="105"/>
      <c r="BQ527" s="105"/>
      <c r="BR527" s="105"/>
      <c r="BS527" s="105"/>
      <c r="BT527" s="105"/>
      <c r="BU527" s="105"/>
      <c r="BV527" s="105"/>
      <c r="BW527" s="105"/>
      <c r="BX527" s="105"/>
    </row>
    <row r="528" spans="1:77" ht="15.75" hidden="1" customHeight="1" outlineLevel="1">
      <c r="A528" s="379"/>
      <c r="B528" s="99"/>
      <c r="C528" s="99"/>
      <c r="D528" s="99"/>
      <c r="E528" s="99"/>
      <c r="F528" s="99"/>
      <c r="G528" s="99"/>
      <c r="H528" s="99"/>
      <c r="I528" s="99"/>
      <c r="J528" s="99"/>
      <c r="K528" s="99"/>
      <c r="L528" s="99"/>
      <c r="M528" s="99"/>
      <c r="N528" s="99"/>
      <c r="O528" s="99"/>
      <c r="P528" s="99"/>
      <c r="Q528" s="99"/>
      <c r="R528" s="99"/>
      <c r="S528" s="99"/>
      <c r="T528" s="99"/>
      <c r="U528" s="99"/>
      <c r="V528" s="99"/>
      <c r="W528" s="105"/>
      <c r="X528" s="105"/>
      <c r="Y528" s="105"/>
      <c r="Z528" s="105"/>
      <c r="AA528" s="105"/>
      <c r="AB528" s="105"/>
      <c r="AC528" s="105"/>
      <c r="AD528" s="105"/>
      <c r="AE528" s="105"/>
      <c r="AF528" s="105"/>
      <c r="AG528" s="105"/>
      <c r="AH528" s="105"/>
      <c r="AI528" s="105"/>
      <c r="AJ528" s="171"/>
      <c r="AK528" s="105"/>
      <c r="AL528" s="91"/>
      <c r="AM528" s="91"/>
      <c r="AN528" s="91"/>
      <c r="AO528" s="105"/>
      <c r="AP528" s="105"/>
      <c r="AQ528" s="105"/>
      <c r="AR528" s="105"/>
      <c r="AS528" s="105"/>
      <c r="AT528" s="105"/>
      <c r="AU528" s="105"/>
      <c r="AV528" s="105"/>
      <c r="AW528" s="105"/>
      <c r="AX528" s="105"/>
      <c r="AY528" s="105"/>
      <c r="AZ528" s="105"/>
      <c r="BA528" s="105">
        <f>IF($BA$421&gt;0,PPMT('Assumptions (NG)'!$V$7,Model!W$1,'Assumptions (NG)'!$V$10,'Assumptions (NG)'!$V$5*Model!$BA$421*('Assumptions (NG)'!$AZ$15*AVERAGE('Assumptions (NG)'!$AW$2:$AY$2)+'Assumptions (NG)'!$AZ$16*AVERAGE('Assumptions (NG)'!$AW$3:$AY$3))/10^9),0)</f>
        <v>-0.31646426242319436</v>
      </c>
      <c r="BB528" s="105">
        <f>IF($BA$421&gt;0,PPMT('Assumptions (NG)'!$V$7,Model!X$1,'Assumptions (NG)'!$V$10,'Assumptions (NG)'!$V$5*Model!$BA$421*('Assumptions (NG)'!$AZ$15*AVERAGE('Assumptions (NG)'!$AW$2:$AY$2)+'Assumptions (NG)'!$AZ$16*AVERAGE('Assumptions (NG)'!$AW$3:$AY$3))/10^9),0)</f>
        <v>-0.34019908210493394</v>
      </c>
      <c r="BC528" s="105">
        <f>IF($BA$421&gt;0,PPMT('Assumptions (NG)'!$V$7,Model!Y$1,'Assumptions (NG)'!$V$10,'Assumptions (NG)'!$V$5*Model!$BA$421*('Assumptions (NG)'!$AZ$15*AVERAGE('Assumptions (NG)'!$AW$2:$AY$2)+'Assumptions (NG)'!$AZ$16*AVERAGE('Assumptions (NG)'!$AW$3:$AY$3))/10^9),0)</f>
        <v>-0.36571401326280395</v>
      </c>
      <c r="BD528" s="105">
        <f>IF($BA$421&gt;0,PPMT('Assumptions (NG)'!$V$7,Model!Z$1,'Assumptions (NG)'!$V$10,'Assumptions (NG)'!$V$5*Model!$BA$421*('Assumptions (NG)'!$AZ$15*AVERAGE('Assumptions (NG)'!$AW$2:$AY$2)+'Assumptions (NG)'!$AZ$16*AVERAGE('Assumptions (NG)'!$AW$3:$AY$3))/10^9),0)</f>
        <v>-0.39314256425751432</v>
      </c>
      <c r="BE528" s="105">
        <f>IF($BA$421&gt;0,PPMT('Assumptions (NG)'!$V$7,Model!AA$1,'Assumptions (NG)'!$V$10,'Assumptions (NG)'!$V$5*Model!$BA$421*('Assumptions (NG)'!$AZ$15*AVERAGE('Assumptions (NG)'!$AW$2:$AY$2)+'Assumptions (NG)'!$AZ$16*AVERAGE('Assumptions (NG)'!$AW$3:$AY$3))/10^9),0)</f>
        <v>-0.42262825657682784</v>
      </c>
      <c r="BF528" s="105">
        <f>IF($BA$421&gt;0,PPMT('Assumptions (NG)'!$V$7,Model!AB$1,'Assumptions (NG)'!$V$10,'Assumptions (NG)'!$V$5*Model!$BA$421*('Assumptions (NG)'!$AZ$15*AVERAGE('Assumptions (NG)'!$AW$2:$AY$2)+'Assumptions (NG)'!$AZ$16*AVERAGE('Assumptions (NG)'!$AW$3:$AY$3))/10^9),0)</f>
        <v>-0.45432537582008992</v>
      </c>
      <c r="BG528" s="105">
        <f>IF($BA$421&gt;0,PPMT('Assumptions (NG)'!$V$7,Model!AC$1,'Assumptions (NG)'!$V$10,'Assumptions (NG)'!$V$5*Model!$BA$421*('Assumptions (NG)'!$AZ$15*AVERAGE('Assumptions (NG)'!$AW$2:$AY$2)+'Assumptions (NG)'!$AZ$16*AVERAGE('Assumptions (NG)'!$AW$3:$AY$3))/10^9),0)</f>
        <v>-0.48839977900659665</v>
      </c>
      <c r="BH528" s="105">
        <f>IF($BA$421&gt;0,PPMT('Assumptions (NG)'!$V$7,Model!AD$1,'Assumptions (NG)'!$V$10,'Assumptions (NG)'!$V$5*Model!$BA$421*('Assumptions (NG)'!$AZ$15*AVERAGE('Assumptions (NG)'!$AW$2:$AY$2)+'Assumptions (NG)'!$AZ$16*AVERAGE('Assumptions (NG)'!$AW$3:$AY$3))/10^9),0)</f>
        <v>-0.52502976243209143</v>
      </c>
      <c r="BI528" s="105">
        <f>IF($BA$421&gt;0,PPMT('Assumptions (NG)'!$V$7,Model!AE$1,'Assumptions (NG)'!$V$10,'Assumptions (NG)'!$V$5*Model!$BA$421*('Assumptions (NG)'!$AZ$15*AVERAGE('Assumptions (NG)'!$AW$2:$AY$2)+'Assumptions (NG)'!$AZ$16*AVERAGE('Assumptions (NG)'!$AW$3:$AY$3))/10^9),0)</f>
        <v>-0.56440699461449828</v>
      </c>
      <c r="BJ528" s="105">
        <f>IF($BA$421&gt;0,PPMT('Assumptions (NG)'!$V$7,Model!AF$1,'Assumptions (NG)'!$V$10,'Assumptions (NG)'!$V$5*Model!$BA$421*('Assumptions (NG)'!$AZ$15*AVERAGE('Assumptions (NG)'!$AW$2:$AY$2)+'Assumptions (NG)'!$AZ$16*AVERAGE('Assumptions (NG)'!$AW$3:$AY$3))/10^9),0)</f>
        <v>-0.60673751921058561</v>
      </c>
      <c r="BK528" s="105" t="e">
        <f>IF($BA$421&gt;0,PPMT('Assumptions (NG)'!$V$7,Model!AG$1,'Assumptions (NG)'!$V$10,'Assumptions (NG)'!$V$5*Model!$BA$421*('Assumptions (NG)'!$AZ$15*AVERAGE('Assumptions (NG)'!$AW$2:$AY$2)+'Assumptions (NG)'!$AZ$16*AVERAGE('Assumptions (NG)'!$AW$3:$AY$3))/10^9),0)</f>
        <v>#NUM!</v>
      </c>
      <c r="BL528" s="105" t="e">
        <f>IF($BA$421&gt;0,PPMT('Assumptions (NG)'!$V$7,Model!AH$1,'Assumptions (NG)'!$V$10,'Assumptions (NG)'!$V$5*Model!$BA$421*('Assumptions (NG)'!$AZ$15*AVERAGE('Assumptions (NG)'!$AW$2:$AY$2)+'Assumptions (NG)'!$AZ$16*AVERAGE('Assumptions (NG)'!$AW$3:$AY$3))/10^9),0)</f>
        <v>#NUM!</v>
      </c>
      <c r="BM528" s="105" t="e">
        <f>IF($BA$421&gt;0,PPMT('Assumptions (NG)'!$V$7,Model!AI$1,'Assumptions (NG)'!$V$10,'Assumptions (NG)'!$V$5*Model!$BA$421*('Assumptions (NG)'!$AZ$15*AVERAGE('Assumptions (NG)'!$AW$2:$AY$2)+'Assumptions (NG)'!$AZ$16*AVERAGE('Assumptions (NG)'!$AW$3:$AY$3))/10^9),0)</f>
        <v>#NUM!</v>
      </c>
      <c r="BN528" s="105" t="e">
        <f>IF($BA$421&gt;0,PPMT('Assumptions (NG)'!$V$7,Model!AJ$1,'Assumptions (NG)'!$V$10,'Assumptions (NG)'!$V$5*Model!$BA$421*('Assumptions (NG)'!$AZ$15*AVERAGE('Assumptions (NG)'!$AW$2:$AY$2)+'Assumptions (NG)'!$AZ$16*AVERAGE('Assumptions (NG)'!$AW$3:$AY$3))/10^9),0)</f>
        <v>#NUM!</v>
      </c>
      <c r="BO528" s="105" t="e">
        <f>IF($BA$421&gt;0,PPMT('Assumptions (NG)'!$V$7,Model!AK$1,'Assumptions (NG)'!$V$10,'Assumptions (NG)'!$V$5*Model!$BA$421*('Assumptions (NG)'!$AZ$15*AVERAGE('Assumptions (NG)'!$AW$2:$AY$2)+'Assumptions (NG)'!$AZ$16*AVERAGE('Assumptions (NG)'!$AW$3:$AY$3))/10^9),0)</f>
        <v>#NUM!</v>
      </c>
      <c r="BP528" s="105"/>
      <c r="BQ528" s="105"/>
      <c r="BR528" s="105"/>
      <c r="BS528" s="105"/>
      <c r="BT528" s="105"/>
      <c r="BU528" s="105"/>
      <c r="BV528" s="105"/>
      <c r="BW528" s="105"/>
      <c r="BX528" s="105"/>
      <c r="BY528" s="105"/>
    </row>
    <row r="529" spans="1:62" ht="15.75" customHeight="1" collapsed="1">
      <c r="A529" s="384" t="s">
        <v>709</v>
      </c>
      <c r="B529" s="99" t="s">
        <v>201</v>
      </c>
      <c r="C529" s="91">
        <f t="array" ref="C529">SUM(IF(ISERROR(C530:C580),"",C530:C580))</f>
        <v>-0.65948270314399615</v>
      </c>
      <c r="D529" s="91">
        <f t="array" ref="D529">SUM(IF(ISERROR(D530:D580),"",D530:D580))</f>
        <v>-1.5712532938693333</v>
      </c>
      <c r="E529" s="91">
        <f t="array" ref="E529">SUM(IF(ISERROR(E530:E580),"",E530:E580))</f>
        <v>-3.0061791439662078</v>
      </c>
      <c r="F529" s="91">
        <f t="array" ref="F529">SUM(IF(ISERROR(F530:F580),"",F530:F580))</f>
        <v>-4.1227256358741791</v>
      </c>
      <c r="G529" s="91">
        <f t="array" ref="G529">SUM(IF(ISERROR(G530:G580),"",G530:G580))</f>
        <v>-4.4396479152686226</v>
      </c>
      <c r="H529" s="91">
        <f t="array" ref="H529">SUM(IF(ISERROR(H530:H580),"",H530:H580))</f>
        <v>-4.4975150726085342</v>
      </c>
      <c r="I529" s="91">
        <f t="array" ref="I529">SUM(IF(ISERROR(I530:I580),"",I530:I580))</f>
        <v>-4.2929812314406792</v>
      </c>
      <c r="J529" s="91">
        <f t="array" ref="J529">SUM(IF(ISERROR(J530:J580),"",J530:J580))</f>
        <v>-3.9633249645919038</v>
      </c>
      <c r="K529" s="91">
        <f t="array" ref="K529">SUM(IF(ISERROR(K530:K580),"",K530:K580))</f>
        <v>-3.6166111101024789</v>
      </c>
      <c r="L529" s="91">
        <f t="array" ref="L529">SUM(IF(ISERROR(L530:L580),"",L530:L580))</f>
        <v>-3.2710719759532783</v>
      </c>
      <c r="M529" s="91">
        <f t="array" ref="M529">SUM(IF(ISERROR(M530:M580),"",M530:M580))</f>
        <v>-2.7600949164041757</v>
      </c>
      <c r="N529" s="91">
        <f t="array" ref="N529">SUM(IF(ISERROR(N530:N580),"",N530:N580))</f>
        <v>-2.3966929815793465</v>
      </c>
      <c r="O529" s="91">
        <f t="array" ref="O529">SUM(IF(ISERROR(O530:O580),"",O530:O580))</f>
        <v>-2.0903011606478512</v>
      </c>
      <c r="P529" s="91">
        <f t="array" ref="P529">SUM(IF(ISERROR(P530:P580),"",P530:P580))</f>
        <v>-1.8414888309554454</v>
      </c>
      <c r="Q529" s="91">
        <f t="array" ref="Q529">SUM(IF(ISERROR(Q530:Q580),"",Q530:Q580))</f>
        <v>-1.8060067845172132</v>
      </c>
      <c r="R529" s="91">
        <f t="array" ref="R529">SUM(IF(ISERROR(R530:R580),"",R530:R580))</f>
        <v>-1.7198094883177897</v>
      </c>
      <c r="S529" s="91">
        <f t="array" ref="S529">SUM(IF(ISERROR(S530:S580),"",S530:S580))</f>
        <v>-1.7986769894021879</v>
      </c>
      <c r="T529" s="91">
        <f t="array" ref="T529">SUM(IF(ISERROR(T530:T580),"",T530:T580))</f>
        <v>-1.8910216269341995</v>
      </c>
      <c r="U529" s="91">
        <f t="array" ref="U529">SUM(IF(ISERROR(U530:U580),"",U530:U580))</f>
        <v>-2.4550346959827349</v>
      </c>
      <c r="V529" s="91">
        <f t="array" ref="V529">SUM(IF(ISERROR(V530:V580),"",V530:V580))</f>
        <v>-2.5587565464094189</v>
      </c>
      <c r="W529" s="150">
        <f>IF($N$421&gt;0,IPMT('Assumptions (NG)'!$V$7,AF$1,10,'Assumptions (NG)'!$V$5*Model!$N$421*('Assumptions (NG)'!$M$15*AVERAGE('Assumptions (NG)'!$J$2:$L$2)+'Assumptions (NG)'!$M$16*AVERAGE('Assumptions (NG)'!$J$3:$L$3))/10^9,0))+IF($O$421&gt;0,IPMT('Assumptions (NG)'!$V$7,AE$1,10,'Assumptions (NG)'!$V$5*Model!$O$421*('Assumptions (NG)'!$N$15*AVERAGE('Assumptions (NG)'!$K$2:$M$2)+'Assumptions (NG)'!$N$16*AVERAGE('Assumptions (NG)'!$K$3:$M$3))/10^9,0))+IF($P$421&gt;0,IPMT('Assumptions (NG)'!$V$7,AD$1,10,'Assumptions (NG)'!$V$5*Model!$P$421*('Assumptions (NG)'!$O$15*AVERAGE('Assumptions (NG)'!$L$2:$N$2)+'Assumptions (NG)'!$O$16*AVERAGE('Assumptions (NG)'!$L$3:$N$3))/10^9,0))+IF($Q$421&gt;0,IPMT('Assumptions (NG)'!$V$7,AC$1,10,'Assumptions (NG)'!$V$5*Model!$Q$421*('Assumptions (NG)'!$P$15*AVERAGE('Assumptions (NG)'!$M$2:$O$2)+'Assumptions (NG)'!$P$16*AVERAGE('Assumptions (NG)'!$M$3:$O$3))/10^9,0))+IF($R$421&gt;0,IPMT('Assumptions (NG)'!$V$7,AB$1,10,'Assumptions (NG)'!$V$5*Model!$R$421*('Assumptions (NG)'!$Q$15*AVERAGE('Assumptions (NG)'!$N$2:$P$2)+'Assumptions (NG)'!$Q$16*AVERAGE('Assumptions (NG)'!$N$3:$P$3))/10^9,0))+IF($S$421&gt;0,IPMT('Assumptions (NG)'!$V$7,AA$1,10,'Assumptions (NG)'!$V$5*Model!$S$421*('Assumptions (NG)'!$R$15*AVERAGE('Assumptions (NG)'!$O$2:$Q$2)+'Assumptions (NG)'!$R$16*AVERAGE('Assumptions (NG)'!$O$3:$Q$3))/10^9,0))+IF($T$421&gt;0,IPMT('Assumptions (NG)'!$V$7,Z$1,10,'Assumptions (NG)'!$V$5*Model!$T$421*('Assumptions (NG)'!$S$15*AVERAGE('Assumptions (NG)'!$P$2:$R$2)+'Assumptions (NG)'!$S$16*AVERAGE('Assumptions (NG)'!$P$3:$R$3))/10^9,0))+IF($U$421&gt;0,IPMT('Assumptions (NG)'!$V$7,Y$1,10,'Assumptions (NG)'!$V$5*Model!$U$421*('Assumptions (NG)'!$T$15*AVERAGE('Assumptions (NG)'!$Q$2:$S$2)+'Assumptions (NG)'!$T$16*AVERAGE('Assumptions (NG)'!$Q$3:$S$3))/10^9,0))+IF($V$421&gt;0,IPMT('Assumptions (NG)'!$V$7,X$1,10,'Assumptions (NG)'!$V$5*Model!$V$421*('Assumptions (NG)'!$U$15*AVERAGE('Assumptions (NG)'!$R$2:$T$2)+'Assumptions (NG)'!$U$16*AVERAGE('Assumptions (NG)'!$R$3:$T$3))/10^9,0))</f>
        <v>-2.203774131074915</v>
      </c>
      <c r="X529" s="150">
        <f>IF($O$421&gt;0,IPMT('Assumptions (NG)'!$V$7,AF$1,10,'Assumptions (NG)'!$V$5*Model!$O$421*('Assumptions (NG)'!$N$15*AVERAGE('Assumptions (NG)'!$K$2:$M$2)+'Assumptions (NG)'!$N$16*AVERAGE('Assumptions (NG)'!$K$3:$M$3))/10^9,0))+IF($P$421&gt;0,IPMT('Assumptions (NG)'!$V$7,AE$1,10,'Assumptions (NG)'!$V$5*Model!$P$421*('Assumptions (NG)'!$O$15*AVERAGE('Assumptions (NG)'!$L$2:$N$2)+'Assumptions (NG)'!$O$16*AVERAGE('Assumptions (NG)'!$L$3:$N$3))/10^9,0))+IF($Q$421&gt;0,IPMT('Assumptions (NG)'!$V$7,AD$1,10,'Assumptions (NG)'!$V$5*Model!$Q$421*('Assumptions (NG)'!$P$15*AVERAGE('Assumptions (NG)'!$M$2:$O$2)+'Assumptions (NG)'!$P$16*AVERAGE('Assumptions (NG)'!$M$3:$O$3))/10^9,0))+IF($R$421&gt;0,IPMT('Assumptions (NG)'!$V$7,AC$1,10,'Assumptions (NG)'!$V$5*Model!$R$421*('Assumptions (NG)'!$Q$15*AVERAGE('Assumptions (NG)'!$N$2:$P$2)+'Assumptions (NG)'!$Q$16*AVERAGE('Assumptions (NG)'!$N$3:$P$3))/10^9,0))+IF($S$421&gt;0,IPMT('Assumptions (NG)'!$V$7,AB$1,10,'Assumptions (NG)'!$V$5*Model!$S$421*('Assumptions (NG)'!$R$15*AVERAGE('Assumptions (NG)'!$O$2:$Q$2)+'Assumptions (NG)'!$R$16*AVERAGE('Assumptions (NG)'!$O$3:$Q$3))/10^9,0))+IF($T$421&gt;0,IPMT('Assumptions (NG)'!$V$7,AA$1,10,'Assumptions (NG)'!$V$5*Model!$T$421*('Assumptions (NG)'!$S$15*AVERAGE('Assumptions (NG)'!$P$2:$R$2)+'Assumptions (NG)'!$S$16*AVERAGE('Assumptions (NG)'!$P$3:$R$3))/10^9,0))+IF($U$421&gt;0,IPMT('Assumptions (NG)'!$V$7,Z$1,10,'Assumptions (NG)'!$V$5*Model!$U$421*('Assumptions (NG)'!$T$15*AVERAGE('Assumptions (NG)'!$Q$2:$S$2)+'Assumptions (NG)'!$T$16*AVERAGE('Assumptions (NG)'!$Q$3:$S$3))/10^9,0))+IF($V$421&gt;0,IPMT('Assumptions (NG)'!$V$7,Y$1,10,'Assumptions (NG)'!$V$5*Model!$V$421*('Assumptions (NG)'!$U$15*AVERAGE('Assumptions (NG)'!$R$2:$T$2)+'Assumptions (NG)'!$U$16*AVERAGE('Assumptions (NG)'!$R$3:$T$3))/10^9,0))</f>
        <v>-1.8551790173412281</v>
      </c>
      <c r="Y529" s="150">
        <f>IF($P$421&gt;0,IPMT('Assumptions (NG)'!$V$7,AF$1,10,'Assumptions (NG)'!$V$5*Model!$P$421*('Assumptions (NG)'!$O$15*AVERAGE('Assumptions (NG)'!$L$2:$N$2)+'Assumptions (NG)'!$O$16*AVERAGE('Assumptions (NG)'!$L$3:$N$3))/10^9,0))+IF($Q$421&gt;0,IPMT('Assumptions (NG)'!$V$7,AE$1,10,'Assumptions (NG)'!$V$5*Model!$Q$421*('Assumptions (NG)'!$P$15*AVERAGE('Assumptions (NG)'!$M$2:$O$2)+'Assumptions (NG)'!$P$16*AVERAGE('Assumptions (NG)'!$M$3:$O$3))/10^9,0))+IF($R$421&gt;0,IPMT('Assumptions (NG)'!$V$7,AD$1,10,'Assumptions (NG)'!$V$5*Model!$R$421*('Assumptions (NG)'!$Q$15*AVERAGE('Assumptions (NG)'!$N$2:$P$2)+'Assumptions (NG)'!$Q$16*AVERAGE('Assumptions (NG)'!$N$3:$P$3))/10^9,0))+IF($S$421&gt;0,IPMT('Assumptions (NG)'!$V$7,AC$1,10,'Assumptions (NG)'!$V$5*Model!$S$421*('Assumptions (NG)'!$R$15*AVERAGE('Assumptions (NG)'!$O$2:$Q$2)+'Assumptions (NG)'!$R$16*AVERAGE('Assumptions (NG)'!$O$3:$Q$3))/10^9,0))+IF($T$421&gt;0,IPMT('Assumptions (NG)'!$V$7,AB$1,10,'Assumptions (NG)'!$V$5*Model!$T$421*('Assumptions (NG)'!$S$15*AVERAGE('Assumptions (NG)'!$P$2:$R$2)+'Assumptions (NG)'!$S$16*AVERAGE('Assumptions (NG)'!$P$3:$R$3))/10^9,0))+IF($U$421&gt;0,IPMT('Assumptions (NG)'!$V$7,AA$1,10,'Assumptions (NG)'!$V$5*Model!$U$421*('Assumptions (NG)'!$T$15*AVERAGE('Assumptions (NG)'!$Q$2:$S$2)+'Assumptions (NG)'!$T$16*AVERAGE('Assumptions (NG)'!$Q$3:$S$3))/10^9,0))+IF($V$421&gt;0,IPMT('Assumptions (NG)'!$V$7,Z$1,10,'Assumptions (NG)'!$V$5*Model!$V$421*('Assumptions (NG)'!$U$15*AVERAGE('Assumptions (NG)'!$R$2:$T$2)+'Assumptions (NG)'!$U$16*AVERAGE('Assumptions (NG)'!$R$3:$T$3))/10^9,0))</f>
        <v>-1.5313451521601815</v>
      </c>
      <c r="Z529" s="150">
        <f>IF($Q$421&gt;0,IPMT('Assumptions (NG)'!$V$7,AF$1,10,'Assumptions (NG)'!$V$5*Model!$Q$421*('Assumptions (NG)'!$P$15*AVERAGE('Assumptions (NG)'!$M$2:$O$2)+'Assumptions (NG)'!$P$16*AVERAGE('Assumptions (NG)'!$M$3:$O$3))/10^9,0))+IF($R$421&gt;0,IPMT('Assumptions (NG)'!$V$7,AE$1,10,'Assumptions (NG)'!$V$5*Model!$R$421*('Assumptions (NG)'!$Q$15*AVERAGE('Assumptions (NG)'!$N$2:$P$2)+'Assumptions (NG)'!$Q$16*AVERAGE('Assumptions (NG)'!$N$3:$P$3))/10^9,0))+IF($S$421&gt;0,IPMT('Assumptions (NG)'!$V$7,AD$1,10,'Assumptions (NG)'!$V$5*Model!$S$421*('Assumptions (NG)'!$R$15*AVERAGE('Assumptions (NG)'!$O$2:$Q$2)+'Assumptions (NG)'!$R$16*AVERAGE('Assumptions (NG)'!$O$3:$Q$3))/10^9,0))+IF($T$421&gt;0,IPMT('Assumptions (NG)'!$V$7,AC$1,10,'Assumptions (NG)'!$V$5*Model!$T$421*('Assumptions (NG)'!$S$15*AVERAGE('Assumptions (NG)'!$P$2:$R$2)+'Assumptions (NG)'!$S$16*AVERAGE('Assumptions (NG)'!$P$3:$R$3))/10^9,0))+IF($U$421&gt;0,IPMT('Assumptions (NG)'!$V$7,AB$1,10,'Assumptions (NG)'!$V$5*Model!$U$421*('Assumptions (NG)'!$T$15*AVERAGE('Assumptions (NG)'!$Q$2:$S$2)+'Assumptions (NG)'!$T$16*AVERAGE('Assumptions (NG)'!$Q$3:$S$3))/10^9,0))+IF($V$421&gt;0,IPMT('Assumptions (NG)'!$V$7,AA$1,10,'Assumptions (NG)'!$V$5*Model!$V$421*('Assumptions (NG)'!$U$15*AVERAGE('Assumptions (NG)'!$R$2:$T$2)+'Assumptions (NG)'!$U$16*AVERAGE('Assumptions (NG)'!$R$3:$T$3))/10^9,0))</f>
        <v>-1.2334809888694056</v>
      </c>
      <c r="AA529" s="150">
        <f>IF($R$421&gt;0,IPMT('Assumptions (NG)'!$V$7,AF$1,10,'Assumptions (NG)'!$V$5*Model!$R$421*('Assumptions (NG)'!$Q$15*AVERAGE('Assumptions (NG)'!$N$2:$P$2)+'Assumptions (NG)'!$Q$16*AVERAGE('Assumptions (NG)'!$N$3:$P$3))/10^9,0))+IF($S$421&gt;0,IPMT('Assumptions (NG)'!$V$7,AE$1,10,'Assumptions (NG)'!$V$5*Model!$S$421*('Assumptions (NG)'!$R$15*AVERAGE('Assumptions (NG)'!$O$2:$Q$2)+'Assumptions (NG)'!$R$16*AVERAGE('Assumptions (NG)'!$O$3:$Q$3))/10^9,0))+IF($T$421&gt;0,IPMT('Assumptions (NG)'!$V$7,AD$1,10,'Assumptions (NG)'!$V$5*Model!$T$421*('Assumptions (NG)'!$S$15*AVERAGE('Assumptions (NG)'!$P$2:$R$2)+'Assumptions (NG)'!$S$16*AVERAGE('Assumptions (NG)'!$P$3:$R$3))/10^9,0))+IF($U$421&gt;0,IPMT('Assumptions (NG)'!$V$7,AC$1,10,'Assumptions (NG)'!$V$5*Model!$U$421*('Assumptions (NG)'!$T$15*AVERAGE('Assumptions (NG)'!$Q$2:$S$2)+'Assumptions (NG)'!$T$16*AVERAGE('Assumptions (NG)'!$Q$3:$S$3))/10^9,0))+IF($V$421&gt;0,IPMT('Assumptions (NG)'!$V$7,AB$1,10,'Assumptions (NG)'!$V$5*Model!$V$421*('Assumptions (NG)'!$U$15*AVERAGE('Assumptions (NG)'!$R$2:$T$2)+'Assumptions (NG)'!$U$16*AVERAGE('Assumptions (NG)'!$R$3:$T$3))/10^9,0))</f>
        <v>-0.9496354588458511</v>
      </c>
      <c r="AB529" s="150">
        <f>IF($S$421&gt;0,IPMT('Assumptions (NG)'!$V$7,AF$1,10,'Assumptions (NG)'!$V$5*Model!$S$421*('Assumptions (NG)'!$R$15*AVERAGE('Assumptions (NG)'!$O$2:$Q$2)+'Assumptions (NG)'!$R$16*AVERAGE('Assumptions (NG)'!$O$3:$Q$3))/10^9,0))+IF($T$421&gt;0,IPMT('Assumptions (NG)'!$V$7,AE$1,10,'Assumptions (NG)'!$V$5*Model!$T$421*('Assumptions (NG)'!$S$15*AVERAGE('Assumptions (NG)'!$P$2:$R$2)+'Assumptions (NG)'!$S$16*AVERAGE('Assumptions (NG)'!$P$3:$R$3))/10^9,0))+IF($U$421&gt;0,IPMT('Assumptions (NG)'!$V$7,AD$1,10,'Assumptions (NG)'!$V$5*Model!$U$421*('Assumptions (NG)'!$T$15*AVERAGE('Assumptions (NG)'!$Q$2:$S$2)+'Assumptions (NG)'!$T$16*AVERAGE('Assumptions (NG)'!$Q$3:$S$3))/10^9,0))+IF($V$421&gt;0,IPMT('Assumptions (NG)'!$V$7,AC$1,10,'Assumptions (NG)'!$V$5*Model!$V$421*('Assumptions (NG)'!$U$15*AVERAGE('Assumptions (NG)'!$R$2:$T$2)+'Assumptions (NG)'!$U$16*AVERAGE('Assumptions (NG)'!$R$3:$T$3))/10^9,0))</f>
        <v>-0.69123807683842542</v>
      </c>
      <c r="AC529" s="150">
        <f>IF($T$421&gt;0,IPMT('Assumptions (NG)'!$V$7,AF$1,10,'Assumptions (NG)'!$V$5*Model!$T$421*('Assumptions (NG)'!$S$15*AVERAGE('Assumptions (NG)'!$P$2:$R$2)+'Assumptions (NG)'!$S$16*AVERAGE('Assumptions (NG)'!$P$3:$R$3))/10^9,0))+IF($U$421&gt;0,IPMT('Assumptions (NG)'!$V$7,AE$1,10,'Assumptions (NG)'!$V$5*Model!$U$421*('Assumptions (NG)'!$T$15*AVERAGE('Assumptions (NG)'!$Q$2:$S$2)+'Assumptions (NG)'!$T$16*AVERAGE('Assumptions (NG)'!$Q$3:$S$3))/10^9,0))+IF($V$421&gt;0,IPMT('Assumptions (NG)'!$V$7,AD$1,10,'Assumptions (NG)'!$V$5*Model!$V$421*('Assumptions (NG)'!$U$15*AVERAGE('Assumptions (NG)'!$R$2:$T$2)+'Assumptions (NG)'!$U$16*AVERAGE('Assumptions (NG)'!$R$3:$T$3))/10^9,0))</f>
        <v>-0.44585413206820734</v>
      </c>
      <c r="AD529" s="150">
        <f>IF($U$421&gt;0,IPMT('Assumptions (NG)'!$V$7,AF$1,10,'Assumptions (NG)'!$V$5*Model!$U$421*('Assumptions (NG)'!$T$15*AVERAGE('Assumptions (NG)'!$Q$2:$S$2)+'Assumptions (NG)'!$T$16*AVERAGE('Assumptions (NG)'!$Q$3:$S$3))/10^9,0))+IF($V$421&gt;0,IPMT('Assumptions (NG)'!$V$7,AE$1,10,'Assumptions (NG)'!$V$5*Model!$V$421*('Assumptions (NG)'!$U$15*AVERAGE('Assumptions (NG)'!$R$2:$T$2)+'Assumptions (NG)'!$U$16*AVERAGE('Assumptions (NG)'!$R$3:$T$3))/10^9,0))</f>
        <v>-0.23395806057050095</v>
      </c>
      <c r="AE529" s="150">
        <f>IF($V$421&gt;0,IPMT('Assumptions (NG)'!$V$7,AF$1,10,'Assumptions (NG)'!$V$5*Model!$V$421*('Assumptions (NG)'!$U$15*AVERAGE('Assumptions (NG)'!$R$2:$T$2)+'Assumptions (NG)'!$U$16*AVERAGE('Assumptions (NG)'!$R$3:$T$3))/10^9,0))</f>
        <v>-6.068669191556255E-2</v>
      </c>
      <c r="AF529" s="91">
        <f t="array" ref="AF529">SUM(IF(ISERROR(AF530:AF580),"",AF530:AF580))</f>
        <v>-0.56161803512499731</v>
      </c>
      <c r="AG529" s="91">
        <f t="array" ref="AG529">SUM(IF(ISERROR(AG530:AG580),"",AG530:AG580))</f>
        <v>-0.26874190278852866</v>
      </c>
      <c r="AH529" s="91">
        <f t="array" ref="AH529">SUM(IF(ISERROR(AH530:AH580),"",AH530:AH580))</f>
        <v>0</v>
      </c>
      <c r="AI529" s="91">
        <f t="array" ref="AI529">SUM(IF(ISERROR(AI530:AI580),"",AI530:AI580))</f>
        <v>0</v>
      </c>
      <c r="AJ529" s="91">
        <f t="array" ref="AJ529">SUM(IF(ISERROR(AJ530:AJ580),"",AJ530:AJ580))</f>
        <v>0</v>
      </c>
      <c r="AK529" s="91">
        <f t="array" ref="AK529">SUM(IF(ISERROR(AK530:AK580),"",AK530:AK580))</f>
        <v>0</v>
      </c>
      <c r="AL529" s="91">
        <f t="array" ref="AL529">SUM(IF(ISERROR(AL530:AL580),"",AL530:AL580))</f>
        <v>0</v>
      </c>
      <c r="AM529" s="91">
        <f t="array" ref="AM529">SUM(IF(ISERROR(AM530:AM580),"",AM530:AM580))</f>
        <v>0</v>
      </c>
      <c r="AN529" s="91">
        <f t="array" ref="AN529">SUM(IF(ISERROR(AN530:AN580),"",AN530:AN580))</f>
        <v>-0.14534925226972054</v>
      </c>
      <c r="AO529" s="91">
        <f t="array" ref="AO529">SUM(IF(ISERROR(AO530:AO580),"",AO530:AO580))</f>
        <v>-1.424555400931363</v>
      </c>
      <c r="AP529" s="91">
        <f t="array" ref="AP529">SUM(IF(ISERROR(AP530:AP580),"",AP530:AP580))</f>
        <v>-2.6432035089487376</v>
      </c>
      <c r="AQ529" s="91">
        <f t="array" ref="AQ529">SUM(IF(ISERROR(AQ530:AQ580),"",AQ530:AQ580))</f>
        <v>-2.7101910017872606</v>
      </c>
      <c r="AR529" s="91">
        <f t="array" ref="AR529">SUM(IF(ISERROR(AR530:AR580),"",AR530:AR580))</f>
        <v>-2.4726271764861152</v>
      </c>
      <c r="AS529" s="91">
        <f t="array" ref="AS529">SUM(IF(ISERROR(AS530:AS580),"",AS530:AS580))</f>
        <v>-2.2172460642873832</v>
      </c>
      <c r="AT529" s="91">
        <f t="array" ref="AT529">SUM(IF(ISERROR(AT530:AT580),"",AT530:AT580))</f>
        <v>-1.9427113686737472</v>
      </c>
      <c r="AU529" s="91">
        <f t="array" ref="AU529">SUM(IF(ISERROR(AU530:AU580),"",AU530:AU580))</f>
        <v>-1.647586570889088</v>
      </c>
      <c r="AV529" s="91">
        <f t="array" ref="AV529">SUM(IF(ISERROR(AV530:AV580),"",AV530:AV580))</f>
        <v>-1.3303274132705794</v>
      </c>
      <c r="AW529" s="91">
        <f t="array" ref="AW529">SUM(IF(ISERROR(AW530:AW580),"",AW530:AW580))</f>
        <v>-0.98927381883068266</v>
      </c>
      <c r="AX529" s="91">
        <f t="array" ref="AX529">SUM(IF(ISERROR(AX530:AX580),"",AX530:AX580))</f>
        <v>-0.62264120480779372</v>
      </c>
      <c r="AY529" s="91">
        <f t="array" ref="AY529">SUM(IF(ISERROR(AY530:AY580),"",AY530:AY580))</f>
        <v>-0.24968648535079585</v>
      </c>
      <c r="AZ529" s="91">
        <f t="array" ref="AZ529">SUM(IF(ISERROR(AZ530:AZ580),"",AZ530:AZ580))</f>
        <v>-3.6619294661612144E-2</v>
      </c>
      <c r="BA529" s="91">
        <f t="array" ref="BA529">SUM(IF(ISERROR(BA530:BA580),"",BA530:BA580))</f>
        <v>-0.33577857072818523</v>
      </c>
      <c r="BB529" s="91">
        <f t="array" ref="BB529">SUM(IF(ISERROR(BB530:BB580),"",BB530:BB580))</f>
        <v>-0.31204375104644566</v>
      </c>
      <c r="BC529" s="91">
        <f t="array" ref="BC529">SUM(IF(ISERROR(BC530:BC580),"",BC530:BC580))</f>
        <v>-0.28652881988857559</v>
      </c>
      <c r="BD529" s="91">
        <f t="array" ref="BD529">SUM(IF(ISERROR(BD530:BD580),"",BD530:BD580))</f>
        <v>-0.25910026889386528</v>
      </c>
      <c r="BE529" s="91">
        <f t="array" ref="BE529">SUM(IF(ISERROR(BE530:BE580),"",BE530:BE580))</f>
        <v>-0.2296145765745517</v>
      </c>
      <c r="BF529" s="91">
        <f t="array" ref="BF529">SUM(IF(ISERROR(BF530:BF580),"",BF530:BF580))</f>
        <v>-0.19791745733128965</v>
      </c>
      <c r="BG529" s="91">
        <f t="array" ref="BG529">SUM(IF(ISERROR(BG530:BG580),"",BG530:BG580))</f>
        <v>-0.16384305414478292</v>
      </c>
      <c r="BH529" s="91">
        <f t="array" ref="BH529">SUM(IF(ISERROR(BH530:BH580),"",BH530:BH580))</f>
        <v>-0.12721307071928814</v>
      </c>
      <c r="BI529" s="91">
        <f t="array" ref="BI529">SUM(IF(ISERROR(BI530:BI580),"",BI530:BI580))</f>
        <v>-8.7835838536881303E-2</v>
      </c>
      <c r="BJ529" s="91">
        <f t="array" ref="BJ529">SUM(IF(ISERROR(BJ530:BJ580),"",BJ530:BJ580))</f>
        <v>-4.5505313940793927E-2</v>
      </c>
    </row>
    <row r="530" spans="1:62" ht="15.75" hidden="1" customHeight="1" outlineLevel="1">
      <c r="A530" s="379"/>
      <c r="B530" s="99"/>
      <c r="C530" s="91">
        <f>IF($C$421&gt;0,IPMT('Assumptions (NG)'!$V$7,Model!W$1,'Assumptions (NG)'!$V$10,'Assumptions (NG)'!$V$5*Model!$C$421*('Assumptions (NG)'!$B$2*'Assumptions (NG)'!$B$15+'Assumptions (NG)'!$B$3*'Assumptions (NG)'!$B$16)/10^9),0)</f>
        <v>-0.65948270314399615</v>
      </c>
      <c r="D530" s="91">
        <f>IF($C$421&gt;0,IPMT('Assumptions (NG)'!$V$7,Model!X$1,'Assumptions (NG)'!$V$10,'Assumptions (NG)'!$V$5*Model!$C$421*('Assumptions (NG)'!$B$2*'Assumptions (NG)'!$B$15+'Assumptions (NG)'!$B$3*'Assumptions (NG)'!$B$16)/10^9),0)</f>
        <v>-0.61286655665077683</v>
      </c>
      <c r="E530" s="91">
        <f>IF($C$421&gt;0,IPMT('Assumptions (NG)'!$V$7,Model!Y$1,'Assumptions (NG)'!$V$10,'Assumptions (NG)'!$V$5*Model!$C$421*('Assumptions (NG)'!$B$2*'Assumptions (NG)'!$B$15+'Assumptions (NG)'!$B$3*'Assumptions (NG)'!$B$16)/10^9),0)</f>
        <v>-0.56275419917056579</v>
      </c>
      <c r="F530" s="91">
        <f>IF($C$421&gt;0,IPMT('Assumptions (NG)'!$V$7,Model!Z$1,'Assumptions (NG)'!$V$10,'Assumptions (NG)'!$V$5*Model!$C$421*('Assumptions (NG)'!$B$2*'Assumptions (NG)'!$B$15+'Assumptions (NG)'!$B$3*'Assumptions (NG)'!$B$16)/10^9),0)</f>
        <v>-0.50888341487933908</v>
      </c>
      <c r="G530" s="91">
        <f>IF($C$421&gt;0,IPMT('Assumptions (NG)'!$V$7,Model!AA$1,'Assumptions (NG)'!$V$10,'Assumptions (NG)'!$V$5*Model!$C$421*('Assumptions (NG)'!$B$2*'Assumptions (NG)'!$B$15+'Assumptions (NG)'!$B$3*'Assumptions (NG)'!$B$16)/10^9),0)</f>
        <v>-0.45097232176627033</v>
      </c>
      <c r="H530" s="91">
        <f>IF($C$421&gt;0,IPMT('Assumptions (NG)'!$V$7,Model!AB$1,'Assumptions (NG)'!$V$10,'Assumptions (NG)'!$V$5*Model!$C$421*('Assumptions (NG)'!$B$2*'Assumptions (NG)'!$B$15+'Assumptions (NG)'!$B$3*'Assumptions (NG)'!$B$16)/10^9),0)</f>
        <v>-0.3887178966697214</v>
      </c>
      <c r="I530" s="91">
        <f>IF($C$421&gt;0,IPMT('Assumptions (NG)'!$V$7,Model!AC$1,'Assumptions (NG)'!$V$10,'Assumptions (NG)'!$V$5*Model!$C$421*('Assumptions (NG)'!$B$2*'Assumptions (NG)'!$B$15+'Assumptions (NG)'!$B$3*'Assumptions (NG)'!$B$16)/10^9),0)</f>
        <v>-0.32179438969093133</v>
      </c>
      <c r="J530" s="91">
        <f>IF($C$421&gt;0,IPMT('Assumptions (NG)'!$V$7,Model!AD$1,'Assumptions (NG)'!$V$10,'Assumptions (NG)'!$V$5*Model!$C$421*('Assumptions (NG)'!$B$2*'Assumptions (NG)'!$B$15+'Assumptions (NG)'!$B$3*'Assumptions (NG)'!$B$16)/10^9),0)</f>
        <v>-0.24985161968873187</v>
      </c>
      <c r="K530" s="91">
        <f>IF($C$421&gt;0,IPMT('Assumptions (NG)'!$V$7,Model!AE$1,'Assumptions (NG)'!$V$10,'Assumptions (NG)'!$V$5*Model!$C$421*('Assumptions (NG)'!$B$2*'Assumptions (NG)'!$B$15+'Assumptions (NG)'!$B$3*'Assumptions (NG)'!$B$16)/10^9),0)</f>
        <v>-0.17251314193636763</v>
      </c>
      <c r="L530" s="91">
        <f>IF($C$421&gt;0,IPMT('Assumptions (NG)'!$V$7,Model!AF$1,'Assumptions (NG)'!$V$10,'Assumptions (NG)'!$V$5*Model!$C$421*('Assumptions (NG)'!$B$2*'Assumptions (NG)'!$B$15+'Assumptions (NG)'!$B$3*'Assumptions (NG)'!$B$16)/10^9),0)</f>
        <v>-8.9374278352575998E-2</v>
      </c>
      <c r="M530" s="91" t="e">
        <f>IF($C$421&gt;0,IPMT('Assumptions (NG)'!$V$7,Model!AG$1,'Assumptions (NG)'!$V$10,'Assumptions (NG)'!$V$5*Model!$C$421*('Assumptions (NG)'!$B$2*'Assumptions (NG)'!$B$15+'Assumptions (NG)'!$B$3*'Assumptions (NG)'!$B$16)/10^9),0)</f>
        <v>#NUM!</v>
      </c>
      <c r="N530" s="91" t="e">
        <f>IF($C$421&gt;0,IPMT('Assumptions (NG)'!$V$7,Model!AH$1,'Assumptions (NG)'!$V$10,'Assumptions (NG)'!$V$5*Model!$C$421*('Assumptions (NG)'!$B$2*'Assumptions (NG)'!$B$15+'Assumptions (NG)'!$B$3*'Assumptions (NG)'!$B$16)/10^9),0)</f>
        <v>#NUM!</v>
      </c>
      <c r="O530" s="91" t="e">
        <f>IF($C$421&gt;0,IPMT('Assumptions (NG)'!$V$7,Model!AI$1,'Assumptions (NG)'!$V$10,'Assumptions (NG)'!$V$5*Model!$C$421*('Assumptions (NG)'!$B$2*'Assumptions (NG)'!$B$15+'Assumptions (NG)'!$B$3*'Assumptions (NG)'!$B$16)/10^9),0)</f>
        <v>#NUM!</v>
      </c>
      <c r="P530" s="91" t="e">
        <f>IF($C$421&gt;0,IPMT('Assumptions (NG)'!$V$7,Model!AJ$1,'Assumptions (NG)'!$V$10,'Assumptions (NG)'!$V$5*Model!$C$421*('Assumptions (NG)'!$B$2*'Assumptions (NG)'!$B$15+'Assumptions (NG)'!$B$3*'Assumptions (NG)'!$B$16)/10^9),0)</f>
        <v>#NUM!</v>
      </c>
      <c r="Q530" s="91" t="e">
        <f>IF($C$421&gt;0,IPMT('Assumptions (NG)'!$V$7,Model!AK$1,'Assumptions (NG)'!$V$10,'Assumptions (NG)'!$V$5*Model!$C$421*('Assumptions (NG)'!$B$2*'Assumptions (NG)'!$B$15+'Assumptions (NG)'!$B$3*'Assumptions (NG)'!$B$16)/10^9),0)</f>
        <v>#NUM!</v>
      </c>
      <c r="R530" s="91"/>
      <c r="S530" s="91"/>
      <c r="T530" s="91"/>
      <c r="U530" s="91"/>
      <c r="V530" s="91"/>
      <c r="W530" s="91"/>
      <c r="X530" s="91"/>
      <c r="Y530" s="91"/>
      <c r="Z530" s="91"/>
      <c r="AA530" s="91"/>
      <c r="AB530" s="105"/>
      <c r="AC530" s="105"/>
      <c r="AD530" s="105"/>
      <c r="AE530" s="105"/>
      <c r="AF530" s="105"/>
      <c r="AG530" s="105"/>
      <c r="AU530" s="105"/>
      <c r="AV530" s="105"/>
      <c r="AW530" s="105"/>
      <c r="AX530" s="105"/>
      <c r="AY530" s="105"/>
      <c r="AZ530" s="105"/>
      <c r="BA530" s="105"/>
    </row>
    <row r="531" spans="1:62" ht="15.75" hidden="1" customHeight="1" outlineLevel="1">
      <c r="A531" s="379"/>
      <c r="B531" s="99"/>
      <c r="C531" s="105"/>
      <c r="D531" s="91">
        <f>IF($D$421&gt;0,IPMT('Assumptions (NG)'!$V$7,Model!W$1,'Assumptions (NG)'!$V$10,'Assumptions (NG)'!$V$5*Model!$D$421*('Assumptions (NG)'!$B$2*'Assumptions (NG)'!$C$15+'Assumptions (NG)'!$B$3*'Assumptions (NG)'!$C$16)/10^9),0)</f>
        <v>-0.95838673721855638</v>
      </c>
      <c r="E531" s="91">
        <f>IF($D$421&gt;0,IPMT('Assumptions (NG)'!$V$7,Model!X$1,'Assumptions (NG)'!$V$10,'Assumptions (NG)'!$V$5*Model!$D$421*('Assumptions (NG)'!$B$2*'Assumptions (NG)'!$C$15+'Assumptions (NG)'!$B$3*'Assumptions (NG)'!$C$16)/10^9),0)</f>
        <v>-0.89064228186536742</v>
      </c>
      <c r="F531" s="91">
        <f>IF($D$421&gt;0,IPMT('Assumptions (NG)'!$V$7,Model!Y$1,'Assumptions (NG)'!$V$10,'Assumptions (NG)'!$V$5*Model!$D$421*('Assumptions (NG)'!$B$2*'Assumptions (NG)'!$C$15+'Assumptions (NG)'!$B$3*'Assumptions (NG)'!$C$16)/10^9),0)</f>
        <v>-0.81781699236068917</v>
      </c>
      <c r="G531" s="91">
        <f>IF($D$421&gt;0,IPMT('Assumptions (NG)'!$V$7,Model!Z$1,'Assumptions (NG)'!$V$10,'Assumptions (NG)'!$V$5*Model!$D$421*('Assumptions (NG)'!$B$2*'Assumptions (NG)'!$C$15+'Assumptions (NG)'!$B$3*'Assumptions (NG)'!$C$16)/10^9),0)</f>
        <v>-0.73952980614316011</v>
      </c>
      <c r="H531" s="91">
        <f>IF($D$421&gt;0,IPMT('Assumptions (NG)'!$V$7,Model!AA$1,'Assumptions (NG)'!$V$10,'Assumptions (NG)'!$V$5*Model!$D$421*('Assumptions (NG)'!$B$2*'Assumptions (NG)'!$C$15+'Assumptions (NG)'!$B$3*'Assumptions (NG)'!$C$16)/10^9),0)</f>
        <v>-0.6553710809593164</v>
      </c>
      <c r="I531" s="91">
        <f>IF($D$421&gt;0,IPMT('Assumptions (NG)'!$V$7,Model!AB$1,'Assumptions (NG)'!$V$10,'Assumptions (NG)'!$V$5*Model!$D$421*('Assumptions (NG)'!$B$2*'Assumptions (NG)'!$C$15+'Assumptions (NG)'!$B$3*'Assumptions (NG)'!$C$16)/10^9),0)</f>
        <v>-0.56490045138668432</v>
      </c>
      <c r="J531" s="91">
        <f>IF($D$421&gt;0,IPMT('Assumptions (NG)'!$V$7,Model!AC$1,'Assumptions (NG)'!$V$10,'Assumptions (NG)'!$V$5*Model!$D$421*('Assumptions (NG)'!$B$2*'Assumptions (NG)'!$C$15+'Assumptions (NG)'!$B$3*'Assumptions (NG)'!$C$16)/10^9),0)</f>
        <v>-0.46764452459610495</v>
      </c>
      <c r="K531" s="91">
        <f>IF($D$421&gt;0,IPMT('Assumptions (NG)'!$V$7,Model!AD$1,'Assumptions (NG)'!$V$10,'Assumptions (NG)'!$V$5*Model!$D$421*('Assumptions (NG)'!$B$2*'Assumptions (NG)'!$C$15+'Assumptions (NG)'!$B$3*'Assumptions (NG)'!$C$16)/10^9),0)</f>
        <v>-0.36309440329623194</v>
      </c>
      <c r="L531" s="91">
        <f>IF($D$421&gt;0,IPMT('Assumptions (NG)'!$V$7,Model!AE$1,'Assumptions (NG)'!$V$10,'Assumptions (NG)'!$V$5*Model!$D$421*('Assumptions (NG)'!$B$2*'Assumptions (NG)'!$C$15+'Assumptions (NG)'!$B$3*'Assumptions (NG)'!$C$16)/10^9),0)</f>
        <v>-0.25070302289886864</v>
      </c>
      <c r="M531" s="91">
        <f>IF($D$421&gt;0,IPMT('Assumptions (NG)'!$V$7,Model!AF$1,'Assumptions (NG)'!$V$10,'Assumptions (NG)'!$V$5*Model!$D$421*('Assumptions (NG)'!$B$2*'Assumptions (NG)'!$C$15+'Assumptions (NG)'!$B$3*'Assumptions (NG)'!$C$16)/10^9),0)</f>
        <v>-0.12988228897170304</v>
      </c>
      <c r="N531" s="91" t="e">
        <f>IF($D$421&gt;0,IPMT('Assumptions (NG)'!$V$7,Model!AG$1,'Assumptions (NG)'!$V$10,'Assumptions (NG)'!$V$5*Model!$D$421*('Assumptions (NG)'!$B$2*'Assumptions (NG)'!$C$15+'Assumptions (NG)'!$B$3*'Assumptions (NG)'!$C$16)/10^9),0)</f>
        <v>#NUM!</v>
      </c>
      <c r="O531" s="91" t="e">
        <f>IF($D$421&gt;0,IPMT('Assumptions (NG)'!$V$7,Model!AH$1,'Assumptions (NG)'!$V$10,'Assumptions (NG)'!$V$5*Model!$D$421*('Assumptions (NG)'!$B$2*'Assumptions (NG)'!$C$15+'Assumptions (NG)'!$B$3*'Assumptions (NG)'!$C$16)/10^9),0)</f>
        <v>#NUM!</v>
      </c>
      <c r="P531" s="91" t="e">
        <f>IF($D$421&gt;0,IPMT('Assumptions (NG)'!$V$7,Model!AI$1,'Assumptions (NG)'!$V$10,'Assumptions (NG)'!$V$5*Model!$D$421*('Assumptions (NG)'!$B$2*'Assumptions (NG)'!$C$15+'Assumptions (NG)'!$B$3*'Assumptions (NG)'!$C$16)/10^9),0)</f>
        <v>#NUM!</v>
      </c>
      <c r="Q531" s="91" t="e">
        <f>IF($D$421&gt;0,IPMT('Assumptions (NG)'!$V$7,Model!AJ$1,'Assumptions (NG)'!$V$10,'Assumptions (NG)'!$V$5*Model!$D$421*('Assumptions (NG)'!$B$2*'Assumptions (NG)'!$C$15+'Assumptions (NG)'!$B$3*'Assumptions (NG)'!$C$16)/10^9),0)</f>
        <v>#NUM!</v>
      </c>
      <c r="R531" s="91" t="e">
        <f>IF($D$421&gt;0,IPMT('Assumptions (NG)'!$V$7,Model!AK$1,'Assumptions (NG)'!$V$10,'Assumptions (NG)'!$V$5*Model!$D$421*('Assumptions (NG)'!$B$2*'Assumptions (NG)'!$C$15+'Assumptions (NG)'!$B$3*'Assumptions (NG)'!$C$16)/10^9),0)</f>
        <v>#NUM!</v>
      </c>
      <c r="S531" s="91"/>
      <c r="T531" s="91"/>
      <c r="U531" s="91"/>
      <c r="V531" s="91"/>
      <c r="W531" s="91"/>
      <c r="X531" s="91"/>
      <c r="Y531" s="91"/>
      <c r="Z531" s="91"/>
      <c r="AA531" s="91"/>
      <c r="AB531" s="91"/>
      <c r="AC531" s="105"/>
      <c r="AD531" s="105"/>
      <c r="AE531" s="105"/>
      <c r="AF531" s="105"/>
      <c r="AG531" s="105"/>
      <c r="AU531" s="105"/>
      <c r="AV531" s="105"/>
      <c r="AW531" s="105"/>
      <c r="AX531" s="105"/>
      <c r="AY531" s="105"/>
      <c r="AZ531" s="105"/>
      <c r="BA531" s="105"/>
    </row>
    <row r="532" spans="1:62" ht="15.75" hidden="1" customHeight="1" outlineLevel="1">
      <c r="A532" s="379"/>
      <c r="B532" s="99"/>
      <c r="C532" s="105"/>
      <c r="D532" s="105"/>
      <c r="E532" s="105">
        <f>IF($E$421&gt;0,IPMT('Assumptions (NG)'!$V$7,Model!W$1,'Assumptions (NG)'!$V$10,'Assumptions (NG)'!$V$5*Model!$E$421*(AVERAGE('Assumptions (NG)'!$B$2:$C$2)*'Assumptions (NG)'!$D$15+AVERAGE('Assumptions (NG)'!$B$3:$C$3)*'Assumptions (NG)'!$D$16)/10^9),0)</f>
        <v>-1.5527826629302746</v>
      </c>
      <c r="F532" s="105">
        <f>IF($E$421&gt;0,IPMT('Assumptions (NG)'!$V$7,Model!X$1,'Assumptions (NG)'!$V$10,'Assumptions (NG)'!$V$5*Model!$E$421*(AVERAGE('Assumptions (NG)'!$B$2:$C$2)*'Assumptions (NG)'!$D$15+AVERAGE('Assumptions (NG)'!$B$3:$C$3)*'Assumptions (NG)'!$D$16)/10^9),0)</f>
        <v>-1.4430227803098441</v>
      </c>
      <c r="G532" s="105">
        <f>IF($E$421&gt;0,IPMT('Assumptions (NG)'!$V$7,Model!Y$1,'Assumptions (NG)'!$V$10,'Assumptions (NG)'!$V$5*Model!$E$421*(AVERAGE('Assumptions (NG)'!$B$2:$C$2)*'Assumptions (NG)'!$D$15+AVERAGE('Assumptions (NG)'!$B$3:$C$3)*'Assumptions (NG)'!$D$16)/10^9),0)</f>
        <v>-1.3250309064928816</v>
      </c>
      <c r="H532" s="105">
        <f>IF($E$421&gt;0,IPMT('Assumptions (NG)'!$V$7,Model!Z$1,'Assumptions (NG)'!$V$10,'Assumptions (NG)'!$V$5*Model!$E$421*(AVERAGE('Assumptions (NG)'!$B$2:$C$2)*'Assumptions (NG)'!$D$15+AVERAGE('Assumptions (NG)'!$B$3:$C$3)*'Assumptions (NG)'!$D$16)/10^9),0)</f>
        <v>-1.1981896421396467</v>
      </c>
      <c r="I532" s="105">
        <f>IF($E$421&gt;0,IPMT('Assumptions (NG)'!$V$7,Model!AA$1,'Assumptions (NG)'!$V$10,'Assumptions (NG)'!$V$5*Model!$E$421*(AVERAGE('Assumptions (NG)'!$B$2:$C$2)*'Assumptions (NG)'!$D$15+AVERAGE('Assumptions (NG)'!$B$3:$C$3)*'Assumptions (NG)'!$D$16)/10^9),0)</f>
        <v>-1.0618352829599194</v>
      </c>
      <c r="J532" s="105">
        <f>IF($E$421&gt;0,IPMT('Assumptions (NG)'!$V$7,Model!AB$1,'Assumptions (NG)'!$V$10,'Assumptions (NG)'!$V$5*Model!$E$421*(AVERAGE('Assumptions (NG)'!$B$2:$C$2)*'Assumptions (NG)'!$D$15+AVERAGE('Assumptions (NG)'!$B$3:$C$3)*'Assumptions (NG)'!$D$16)/10^9),0)</f>
        <v>-0.91525434684171247</v>
      </c>
      <c r="K532" s="105">
        <f>IF($E$421&gt;0,IPMT('Assumptions (NG)'!$V$7,Model!AC$1,'Assumptions (NG)'!$V$10,'Assumptions (NG)'!$V$5*Model!$E$421*(AVERAGE('Assumptions (NG)'!$B$2:$C$2)*'Assumptions (NG)'!$D$15+AVERAGE('Assumptions (NG)'!$B$3:$C$3)*'Assumptions (NG)'!$D$16)/10^9),0)</f>
        <v>-0.7576798405146401</v>
      </c>
      <c r="L532" s="105">
        <f>IF($E$421&gt;0,IPMT('Assumptions (NG)'!$V$7,Model!AD$1,'Assumptions (NG)'!$V$10,'Assumptions (NG)'!$V$5*Model!$E$421*(AVERAGE('Assumptions (NG)'!$B$2:$C$2)*'Assumptions (NG)'!$D$15+AVERAGE('Assumptions (NG)'!$B$3:$C$3)*'Assumptions (NG)'!$D$16)/10^9),0)</f>
        <v>-0.58828724621303696</v>
      </c>
      <c r="M532" s="105">
        <f>IF($E$421&gt;0,IPMT('Assumptions (NG)'!$V$7,Model!AE$1,'Assumptions (NG)'!$V$10,'Assumptions (NG)'!$V$5*Model!$E$421*(AVERAGE('Assumptions (NG)'!$B$2:$C$2)*'Assumptions (NG)'!$D$15+AVERAGE('Assumptions (NG)'!$B$3:$C$3)*'Assumptions (NG)'!$D$16)/10^9),0)</f>
        <v>-0.406190207338814</v>
      </c>
      <c r="N532" s="105">
        <f>IF($E$421&gt;0,IPMT('Assumptions (NG)'!$V$7,Model!AF$1,'Assumptions (NG)'!$V$10,'Assumptions (NG)'!$V$5*Model!$E$421*(AVERAGE('Assumptions (NG)'!$B$2:$C$2)*'Assumptions (NG)'!$D$15+AVERAGE('Assumptions (NG)'!$B$3:$C$3)*'Assumptions (NG)'!$D$16)/10^9),0)</f>
        <v>-0.21043589054902412</v>
      </c>
      <c r="O532" s="105" t="e">
        <f>IF($E$421&gt;0,IPMT('Assumptions (NG)'!$V$7,Model!AG$1,'Assumptions (NG)'!$V$10,'Assumptions (NG)'!$V$5*Model!$E$421*(AVERAGE('Assumptions (NG)'!$B$2:$C$2)*'Assumptions (NG)'!$D$15+AVERAGE('Assumptions (NG)'!$B$3:$C$3)*'Assumptions (NG)'!$D$16)/10^9),0)</f>
        <v>#NUM!</v>
      </c>
      <c r="P532" s="105" t="e">
        <f>IF($E$421&gt;0,IPMT('Assumptions (NG)'!$V$7,Model!AH$1,'Assumptions (NG)'!$V$10,'Assumptions (NG)'!$V$5*Model!$E$421*(AVERAGE('Assumptions (NG)'!$B$2:$C$2)*'Assumptions (NG)'!$D$15+AVERAGE('Assumptions (NG)'!$B$3:$C$3)*'Assumptions (NG)'!$D$16)/10^9),0)</f>
        <v>#NUM!</v>
      </c>
      <c r="Q532" s="105" t="e">
        <f>IF($E$421&gt;0,IPMT('Assumptions (NG)'!$V$7,Model!AI$1,'Assumptions (NG)'!$V$10,'Assumptions (NG)'!$V$5*Model!$E$421*(AVERAGE('Assumptions (NG)'!$B$2:$C$2)*'Assumptions (NG)'!$D$15+AVERAGE('Assumptions (NG)'!$B$3:$C$3)*'Assumptions (NG)'!$D$16)/10^9),0)</f>
        <v>#NUM!</v>
      </c>
      <c r="R532" s="105" t="e">
        <f>IF($E$421&gt;0,IPMT('Assumptions (NG)'!$V$7,Model!AJ$1,'Assumptions (NG)'!$V$10,'Assumptions (NG)'!$V$5*Model!$E$421*(AVERAGE('Assumptions (NG)'!$B$2:$C$2)*'Assumptions (NG)'!$D$15+AVERAGE('Assumptions (NG)'!$B$3:$C$3)*'Assumptions (NG)'!$D$16)/10^9),0)</f>
        <v>#NUM!</v>
      </c>
      <c r="S532" s="105" t="e">
        <f>IF($E$421&gt;0,IPMT('Assumptions (NG)'!$V$7,Model!AK$1,'Assumptions (NG)'!$V$10,'Assumptions (NG)'!$V$5*Model!$E$421*(AVERAGE('Assumptions (NG)'!$B$2:$C$2)*'Assumptions (NG)'!$D$15+AVERAGE('Assumptions (NG)'!$B$3:$C$3)*'Assumptions (NG)'!$D$16)/10^9),0)</f>
        <v>#NUM!</v>
      </c>
      <c r="T532" s="105"/>
      <c r="U532" s="105"/>
      <c r="V532" s="105"/>
      <c r="W532" s="105"/>
      <c r="X532" s="105"/>
      <c r="Y532" s="105"/>
      <c r="Z532" s="105"/>
      <c r="AA532" s="105"/>
      <c r="AB532" s="105"/>
      <c r="AC532" s="105"/>
      <c r="AD532" s="105"/>
      <c r="AE532" s="105"/>
      <c r="AF532" s="105"/>
      <c r="AG532" s="105"/>
      <c r="AU532" s="105"/>
      <c r="AV532" s="105"/>
      <c r="AW532" s="105"/>
      <c r="AX532" s="105"/>
      <c r="AY532" s="105"/>
      <c r="AZ532" s="105"/>
      <c r="BA532" s="105"/>
    </row>
    <row r="533" spans="1:62" ht="15.75" hidden="1" customHeight="1" outlineLevel="1">
      <c r="A533" s="379"/>
      <c r="B533" s="99"/>
      <c r="C533" s="105"/>
      <c r="D533" s="105"/>
      <c r="E533" s="105"/>
      <c r="F533" s="105">
        <f>IF($F$421&gt;0,IPMT('Assumptions (NG)'!$V$7,Model!W$1,'Assumptions (NG)'!$V$10,'Assumptions (NG)'!$V$5*Model!$F$421*('Assumptions (NG)'!$E$15*AVERAGE('Assumptions (NG)'!$B$2:$D$2)+'Assumptions (NG)'!$E$16*AVERAGE('Assumptions (NG)'!$B$3:$D$3))/10^9),0)</f>
        <v>-1.3530024483243068</v>
      </c>
      <c r="G533" s="105">
        <f>IF($F$421&gt;0,IPMT('Assumptions (NG)'!$V$7,Model!X$1,'Assumptions (NG)'!$V$10,'Assumptions (NG)'!$V$5*Model!$F$421*('Assumptions (NG)'!$E$15*AVERAGE('Assumptions (NG)'!$B$2:$D$2)+'Assumptions (NG)'!$E$16*AVERAGE('Assumptions (NG)'!$B$3:$D$3))/10^9),0)</f>
        <v>-1.2573642154546891</v>
      </c>
      <c r="H533" s="105">
        <f>IF($F$421&gt;0,IPMT('Assumptions (NG)'!$V$7,Model!Y$1,'Assumptions (NG)'!$V$10,'Assumptions (NG)'!$V$5*Model!$F$421*('Assumptions (NG)'!$E$15*AVERAGE('Assumptions (NG)'!$B$2:$D$2)+'Assumptions (NG)'!$E$16*AVERAGE('Assumptions (NG)'!$B$3:$D$3))/10^9),0)</f>
        <v>-1.15455311511985</v>
      </c>
      <c r="I533" s="105">
        <f>IF($F$421&gt;0,IPMT('Assumptions (NG)'!$V$7,Model!Z$1,'Assumptions (NG)'!$V$10,'Assumptions (NG)'!$V$5*Model!$F$421*('Assumptions (NG)'!$E$15*AVERAGE('Assumptions (NG)'!$B$2:$D$2)+'Assumptions (NG)'!$E$16*AVERAGE('Assumptions (NG)'!$B$3:$D$3))/10^9),0)</f>
        <v>-1.044031182259898</v>
      </c>
      <c r="J533" s="105">
        <f>IF($F$421&gt;0,IPMT('Assumptions (NG)'!$V$7,Model!AA$1,'Assumptions (NG)'!$V$10,'Assumptions (NG)'!$V$5*Model!$F$421*('Assumptions (NG)'!$E$15*AVERAGE('Assumptions (NG)'!$B$2:$D$2)+'Assumptions (NG)'!$E$16*AVERAGE('Assumptions (NG)'!$B$3:$D$3))/10^9),0)</f>
        <v>-0.92522010443544955</v>
      </c>
      <c r="K533" s="105">
        <f>IF($F$421&gt;0,IPMT('Assumptions (NG)'!$V$7,Model!AB$1,'Assumptions (NG)'!$V$10,'Assumptions (NG)'!$V$5*Model!$F$421*('Assumptions (NG)'!$E$15*AVERAGE('Assumptions (NG)'!$B$2:$D$2)+'Assumptions (NG)'!$E$16*AVERAGE('Assumptions (NG)'!$B$3:$D$3))/10^9),0)</f>
        <v>-0.79749819577416758</v>
      </c>
      <c r="L533" s="105">
        <f>IF($F$421&gt;0,IPMT('Assumptions (NG)'!$V$7,Model!AC$1,'Assumptions (NG)'!$V$10,'Assumptions (NG)'!$V$5*Model!$F$421*('Assumptions (NG)'!$E$15*AVERAGE('Assumptions (NG)'!$B$2:$D$2)+'Assumptions (NG)'!$E$16*AVERAGE('Assumptions (NG)'!$B$3:$D$3))/10^9),0)</f>
        <v>-0.66019714396328943</v>
      </c>
      <c r="M533" s="105">
        <f>IF($F$421&gt;0,IPMT('Assumptions (NG)'!$V$7,Model!AD$1,'Assumptions (NG)'!$V$10,'Assumptions (NG)'!$V$5*Model!$F$421*('Assumptions (NG)'!$E$15*AVERAGE('Assumptions (NG)'!$B$2:$D$2)+'Assumptions (NG)'!$E$16*AVERAGE('Assumptions (NG)'!$B$3:$D$3))/10^9),0)</f>
        <v>-0.51259851326659522</v>
      </c>
      <c r="N533" s="105">
        <f>IF($F$421&gt;0,IPMT('Assumptions (NG)'!$V$7,Model!AE$1,'Assumptions (NG)'!$V$10,'Assumptions (NG)'!$V$5*Model!$F$421*('Assumptions (NG)'!$E$15*AVERAGE('Assumptions (NG)'!$B$2:$D$2)+'Assumptions (NG)'!$E$16*AVERAGE('Assumptions (NG)'!$B$3:$D$3))/10^9),0)</f>
        <v>-0.35392998526764918</v>
      </c>
      <c r="O533" s="105">
        <f>IF($F$421&gt;0,IPMT('Assumptions (NG)'!$V$7,Model!AF$1,'Assumptions (NG)'!$V$10,'Assumptions (NG)'!$V$5*Model!$F$421*('Assumptions (NG)'!$E$15*AVERAGE('Assumptions (NG)'!$B$2:$D$2)+'Assumptions (NG)'!$E$16*AVERAGE('Assumptions (NG)'!$B$3:$D$3))/10^9),0)</f>
        <v>-0.18336131766878211</v>
      </c>
      <c r="P533" s="105" t="e">
        <f>IF($F$421&gt;0,IPMT('Assumptions (NG)'!$V$7,Model!AG$1,'Assumptions (NG)'!$V$10,'Assumptions (NG)'!$V$5*Model!$F$421*('Assumptions (NG)'!$E$15*AVERAGE('Assumptions (NG)'!$B$2:$D$2)+'Assumptions (NG)'!$E$16*AVERAGE('Assumptions (NG)'!$B$3:$D$3))/10^9),0)</f>
        <v>#NUM!</v>
      </c>
      <c r="Q533" s="105" t="e">
        <f>IF($F$421&gt;0,IPMT('Assumptions (NG)'!$V$7,Model!AH$1,'Assumptions (NG)'!$V$10,'Assumptions (NG)'!$V$5*Model!$F$421*('Assumptions (NG)'!$E$15*AVERAGE('Assumptions (NG)'!$B$2:$D$2)+'Assumptions (NG)'!$E$16*AVERAGE('Assumptions (NG)'!$B$3:$D$3))/10^9),0)</f>
        <v>#NUM!</v>
      </c>
      <c r="R533" s="105" t="e">
        <f>IF($F$421&gt;0,IPMT('Assumptions (NG)'!$V$7,Model!AI$1,'Assumptions (NG)'!$V$10,'Assumptions (NG)'!$V$5*Model!$F$421*('Assumptions (NG)'!$E$15*AVERAGE('Assumptions (NG)'!$B$2:$D$2)+'Assumptions (NG)'!$E$16*AVERAGE('Assumptions (NG)'!$B$3:$D$3))/10^9),0)</f>
        <v>#NUM!</v>
      </c>
      <c r="S533" s="105" t="e">
        <f>IF($F$421&gt;0,IPMT('Assumptions (NG)'!$V$7,Model!AJ$1,'Assumptions (NG)'!$V$10,'Assumptions (NG)'!$V$5*Model!$F$421*('Assumptions (NG)'!$E$15*AVERAGE('Assumptions (NG)'!$B$2:$D$2)+'Assumptions (NG)'!$E$16*AVERAGE('Assumptions (NG)'!$B$3:$D$3))/10^9),0)</f>
        <v>#NUM!</v>
      </c>
      <c r="T533" s="105" t="e">
        <f>IF($F$421&gt;0,IPMT('Assumptions (NG)'!$V$7,Model!AK$1,'Assumptions (NG)'!$V$10,'Assumptions (NG)'!$V$5*Model!$F$421*('Assumptions (NG)'!$E$15*AVERAGE('Assumptions (NG)'!$B$2:$D$2)+'Assumptions (NG)'!$E$16*AVERAGE('Assumptions (NG)'!$B$3:$D$3))/10^9),0)</f>
        <v>#NUM!</v>
      </c>
      <c r="U533" s="105"/>
      <c r="V533" s="105"/>
      <c r="W533" s="105"/>
      <c r="X533" s="105"/>
      <c r="Y533" s="105"/>
      <c r="Z533" s="105"/>
      <c r="AA533" s="105"/>
      <c r="AB533" s="105"/>
      <c r="AC533" s="105"/>
      <c r="AD533" s="105"/>
      <c r="AE533" s="105"/>
      <c r="AF533" s="105"/>
      <c r="AG533" s="105"/>
      <c r="AU533" s="105"/>
      <c r="AV533" s="105"/>
      <c r="AW533" s="105"/>
      <c r="AX533" s="105"/>
      <c r="AY533" s="105"/>
      <c r="AZ533" s="105"/>
      <c r="BA533" s="105"/>
    </row>
    <row r="534" spans="1:62" ht="15.75" hidden="1" customHeight="1" outlineLevel="1">
      <c r="A534" s="379"/>
      <c r="B534" s="99"/>
      <c r="C534" s="105"/>
      <c r="D534" s="105"/>
      <c r="E534" s="105"/>
      <c r="F534" s="105"/>
      <c r="G534" s="105">
        <f>IF($G$421&gt;0,IPMT('Assumptions (NG)'!$V$7,Model!W$1,'Assumptions (NG)'!$V$10,'Assumptions (NG)'!$V$5*Model!$G$421*('Assumptions (NG)'!$F$15*AVERAGE('Assumptions (NG)'!$C$2:$E$2)+'Assumptions (NG)'!$F$16*AVERAGE('Assumptions (NG)'!$C$3:$E$3))/10^9),0)</f>
        <v>-0.66675066541162165</v>
      </c>
      <c r="H534" s="105">
        <f>IF($G$421&gt;0,IPMT('Assumptions (NG)'!$V$7,Model!X$1,'Assumptions (NG)'!$V$10,'Assumptions (NG)'!$V$5*Model!$G$421*('Assumptions (NG)'!$F$15*AVERAGE('Assumptions (NG)'!$C$2:$E$2)+'Assumptions (NG)'!$F$16*AVERAGE('Assumptions (NG)'!$C$3:$E$3))/10^9),0)</f>
        <v>-0.61962077626501699</v>
      </c>
      <c r="I534" s="105">
        <f>IF($G$421&gt;0,IPMT('Assumptions (NG)'!$V$7,Model!Y$1,'Assumptions (NG)'!$V$10,'Assumptions (NG)'!$V$5*Model!$G$421*('Assumptions (NG)'!$F$15*AVERAGE('Assumptions (NG)'!$C$2:$E$2)+'Assumptions (NG)'!$F$16*AVERAGE('Assumptions (NG)'!$C$3:$E$3))/10^9),0)</f>
        <v>-0.56895614543241713</v>
      </c>
      <c r="J534" s="105">
        <f>IF($G$421&gt;0,IPMT('Assumptions (NG)'!$V$7,Model!Z$1,'Assumptions (NG)'!$V$10,'Assumptions (NG)'!$V$5*Model!$G$421*('Assumptions (NG)'!$F$15*AVERAGE('Assumptions (NG)'!$C$2:$E$2)+'Assumptions (NG)'!$F$16*AVERAGE('Assumptions (NG)'!$C$3:$E$3))/10^9),0)</f>
        <v>-0.51449166728737206</v>
      </c>
      <c r="K534" s="105">
        <f>IF($G$421&gt;0,IPMT('Assumptions (NG)'!$V$7,Model!AA$1,'Assumptions (NG)'!$V$10,'Assumptions (NG)'!$V$5*Model!$G$421*('Assumptions (NG)'!$F$15*AVERAGE('Assumptions (NG)'!$C$2:$E$2)+'Assumptions (NG)'!$F$16*AVERAGE('Assumptions (NG)'!$C$3:$E$3))/10^9),0)</f>
        <v>-0.45594235328144861</v>
      </c>
      <c r="L534" s="105">
        <f>IF($G$421&gt;0,IPMT('Assumptions (NG)'!$V$7,Model!AB$1,'Assumptions (NG)'!$V$10,'Assumptions (NG)'!$V$5*Model!$G$421*('Assumptions (NG)'!$F$15*AVERAGE('Assumptions (NG)'!$C$2:$E$2)+'Assumptions (NG)'!$F$16*AVERAGE('Assumptions (NG)'!$C$3:$E$3))/10^9),0)</f>
        <v>-0.3930018407250811</v>
      </c>
      <c r="M534" s="105">
        <f>IF($G$421&gt;0,IPMT('Assumptions (NG)'!$V$7,Model!AC$1,'Assumptions (NG)'!$V$10,'Assumptions (NG)'!$V$5*Model!$G$421*('Assumptions (NG)'!$F$15*AVERAGE('Assumptions (NG)'!$C$2:$E$2)+'Assumptions (NG)'!$F$16*AVERAGE('Assumptions (NG)'!$C$3:$E$3))/10^9),0)</f>
        <v>-0.32534078972698594</v>
      </c>
      <c r="N534" s="105">
        <f>IF($G$421&gt;0,IPMT('Assumptions (NG)'!$V$7,Model!AD$1,'Assumptions (NG)'!$V$10,'Assumptions (NG)'!$V$5*Model!$G$421*('Assumptions (NG)'!$F$15*AVERAGE('Assumptions (NG)'!$C$2:$E$2)+'Assumptions (NG)'!$F$16*AVERAGE('Assumptions (NG)'!$C$3:$E$3))/10^9),0)</f>
        <v>-0.25260515990403348</v>
      </c>
      <c r="O534" s="105">
        <f>IF($G$421&gt;0,IPMT('Assumptions (NG)'!$V$7,Model!AE$1,'Assumptions (NG)'!$V$10,'Assumptions (NG)'!$V$5*Model!$G$421*('Assumptions (NG)'!$F$15*AVERAGE('Assumptions (NG)'!$C$2:$E$2)+'Assumptions (NG)'!$F$16*AVERAGE('Assumptions (NG)'!$C$3:$E$3))/10^9),0)</f>
        <v>-0.17441435784435977</v>
      </c>
      <c r="P534" s="91">
        <f>IF($G$421&gt;0,IPMT('Assumptions (NG)'!$V$7,Model!AF$1,'Assumptions (NG)'!$V$10,'Assumptions (NG)'!$V$5*Model!$G$421*('Assumptions (NG)'!$F$15*AVERAGE('Assumptions (NG)'!$C$2:$E$2)+'Assumptions (NG)'!$F$16*AVERAGE('Assumptions (NG)'!$C$3:$E$3))/10^9),0)</f>
        <v>-9.0359245630210486E-2</v>
      </c>
      <c r="Q534" s="105" t="e">
        <f>IF($G$421&gt;0,IPMT('Assumptions (NG)'!$V$7,Model!AG$1,'Assumptions (NG)'!$V$10,'Assumptions (NG)'!$V$5*Model!$G$421*('Assumptions (NG)'!$F$15*AVERAGE('Assumptions (NG)'!$C$2:$E$2)+'Assumptions (NG)'!$F$16*AVERAGE('Assumptions (NG)'!$C$3:$E$3))/10^9),0)</f>
        <v>#NUM!</v>
      </c>
      <c r="R534" s="105" t="e">
        <f>IF($G$421&gt;0,IPMT('Assumptions (NG)'!$V$7,Model!AH$1,'Assumptions (NG)'!$V$10,'Assumptions (NG)'!$V$5*Model!$G$421*('Assumptions (NG)'!$F$15*AVERAGE('Assumptions (NG)'!$C$2:$E$2)+'Assumptions (NG)'!$F$16*AVERAGE('Assumptions (NG)'!$C$3:$E$3))/10^9),0)</f>
        <v>#NUM!</v>
      </c>
      <c r="S534" s="105" t="e">
        <f>IF($G$421&gt;0,IPMT('Assumptions (NG)'!$V$7,Model!AI$1,'Assumptions (NG)'!$V$10,'Assumptions (NG)'!$V$5*Model!$G$421*('Assumptions (NG)'!$F$15*AVERAGE('Assumptions (NG)'!$C$2:$E$2)+'Assumptions (NG)'!$F$16*AVERAGE('Assumptions (NG)'!$C$3:$E$3))/10^9),0)</f>
        <v>#NUM!</v>
      </c>
      <c r="T534" s="105" t="e">
        <f>IF($G$421&gt;0,IPMT('Assumptions (NG)'!$V$7,Model!AJ$1,'Assumptions (NG)'!$V$10,'Assumptions (NG)'!$V$5*Model!$G$421*('Assumptions (NG)'!$F$15*AVERAGE('Assumptions (NG)'!$C$2:$E$2)+'Assumptions (NG)'!$F$16*AVERAGE('Assumptions (NG)'!$C$3:$E$3))/10^9),0)</f>
        <v>#NUM!</v>
      </c>
      <c r="U534" s="105" t="e">
        <f>IF($G$421&gt;0,IPMT('Assumptions (NG)'!$V$7,Model!AK$1,'Assumptions (NG)'!$V$10,'Assumptions (NG)'!$V$5*Model!$G$421*('Assumptions (NG)'!$F$15*AVERAGE('Assumptions (NG)'!$C$2:$E$2)+'Assumptions (NG)'!$F$16*AVERAGE('Assumptions (NG)'!$C$3:$E$3))/10^9),0)</f>
        <v>#NUM!</v>
      </c>
      <c r="V534" s="105"/>
      <c r="W534" s="105"/>
      <c r="X534" s="105"/>
      <c r="Y534" s="105"/>
      <c r="Z534" s="105"/>
      <c r="AA534" s="105"/>
      <c r="AB534" s="105"/>
      <c r="AC534" s="105"/>
      <c r="AD534" s="105"/>
      <c r="AE534" s="105"/>
      <c r="AF534" s="105"/>
      <c r="AG534" s="105"/>
      <c r="AU534" s="105"/>
      <c r="AV534" s="105"/>
      <c r="AW534" s="105"/>
      <c r="AX534" s="105"/>
      <c r="AY534" s="105"/>
      <c r="AZ534" s="105"/>
      <c r="BA534" s="105"/>
    </row>
    <row r="535" spans="1:62" ht="15.75" hidden="1" customHeight="1" outlineLevel="1">
      <c r="A535" s="379"/>
      <c r="B535" s="99"/>
      <c r="C535" s="105"/>
      <c r="D535" s="105"/>
      <c r="E535" s="105"/>
      <c r="F535" s="105"/>
      <c r="G535" s="105"/>
      <c r="H535" s="105">
        <f>IF($H$421&gt;0,IPMT('Assumptions (NG)'!$V$7,Model!W$1,'Assumptions (NG)'!$V$10,'Assumptions (NG)'!$V$5*Model!$H$421*('Assumptions (NG)'!$G$15*AVERAGE('Assumptions (NG)'!$D$2:$F$2)+'Assumptions (NG)'!$G$16*AVERAGE('Assumptions (NG)'!$D$3:$F$3))/10^9),0)</f>
        <v>-0.4810625614549825</v>
      </c>
      <c r="I535" s="105">
        <f>IF($H$421&gt;0,IPMT('Assumptions (NG)'!$V$7,Model!X$1,'Assumptions (NG)'!$V$10,'Assumptions (NG)'!$V$5*Model!$H$421*('Assumptions (NG)'!$G$15*AVERAGE('Assumptions (NG)'!$D$2:$F$2)+'Assumptions (NG)'!$G$16*AVERAGE('Assumptions (NG)'!$D$3:$F$3))/10^9),0)</f>
        <v>-0.44705820814855118</v>
      </c>
      <c r="J535" s="105">
        <f>IF($H$421&gt;0,IPMT('Assumptions (NG)'!$V$7,Model!Y$1,'Assumptions (NG)'!$V$10,'Assumptions (NG)'!$V$5*Model!$H$421*('Assumptions (NG)'!$G$15*AVERAGE('Assumptions (NG)'!$D$2:$F$2)+'Assumptions (NG)'!$G$16*AVERAGE('Assumptions (NG)'!$D$3:$F$3))/10^9),0)</f>
        <v>-0.41050352834413739</v>
      </c>
      <c r="K535" s="105">
        <f>IF($H$421&gt;0,IPMT('Assumptions (NG)'!$V$7,Model!Z$1,'Assumptions (NG)'!$V$10,'Assumptions (NG)'!$V$5*Model!$H$421*('Assumptions (NG)'!$G$15*AVERAGE('Assumptions (NG)'!$D$2:$F$2)+'Assumptions (NG)'!$G$16*AVERAGE('Assumptions (NG)'!$D$3:$F$3))/10^9),0)</f>
        <v>-0.37120724755439255</v>
      </c>
      <c r="L535" s="105">
        <f>IF($H$421&gt;0,IPMT('Assumptions (NG)'!$V$7,Model!AA$1,'Assumptions (NG)'!$V$10,'Assumptions (NG)'!$V$5*Model!$H$421*('Assumptions (NG)'!$G$15*AVERAGE('Assumptions (NG)'!$D$2:$F$2)+'Assumptions (NG)'!$G$16*AVERAGE('Assumptions (NG)'!$D$3:$F$3))/10^9),0)</f>
        <v>-0.32896374570541692</v>
      </c>
      <c r="M535" s="105">
        <f>IF($H$421&gt;0,IPMT('Assumptions (NG)'!$V$7,Model!AB$1,'Assumptions (NG)'!$V$10,'Assumptions (NG)'!$V$5*Model!$H$421*('Assumptions (NG)'!$G$15*AVERAGE('Assumptions (NG)'!$D$2:$F$2)+'Assumptions (NG)'!$G$16*AVERAGE('Assumptions (NG)'!$D$3:$F$3))/10^9),0)</f>
        <v>-0.28355198121776815</v>
      </c>
      <c r="N535" s="105">
        <f>IF($H$421&gt;0,IPMT('Assumptions (NG)'!$V$7,Model!AC$1,'Assumptions (NG)'!$V$10,'Assumptions (NG)'!$V$5*Model!$H$421*('Assumptions (NG)'!$G$15*AVERAGE('Assumptions (NG)'!$D$2:$F$2)+'Assumptions (NG)'!$G$16*AVERAGE('Assumptions (NG)'!$D$3:$F$3))/10^9),0)</f>
        <v>-0.23473433439354568</v>
      </c>
      <c r="O535" s="105">
        <f>IF($H$421&gt;0,IPMT('Assumptions (NG)'!$V$7,Model!AD$1,'Assumptions (NG)'!$V$10,'Assumptions (NG)'!$V$5*Model!$H$421*('Assumptions (NG)'!$G$15*AVERAGE('Assumptions (NG)'!$D$2:$F$2)+'Assumptions (NG)'!$G$16*AVERAGE('Assumptions (NG)'!$D$3:$F$3))/10^9),0)</f>
        <v>-0.18225536405750647</v>
      </c>
      <c r="P535" s="91">
        <f>IF($H$421&gt;0,IPMT('Assumptions (NG)'!$V$7,Model!AE$1,'Assumptions (NG)'!$V$10,'Assumptions (NG)'!$V$5*Model!$H$421*('Assumptions (NG)'!$G$15*AVERAGE('Assumptions (NG)'!$D$2:$F$2)+'Assumptions (NG)'!$G$16*AVERAGE('Assumptions (NG)'!$D$3:$F$3))/10^9),0)</f>
        <v>-0.12584047094626441</v>
      </c>
      <c r="Q535" s="105">
        <f>IF($H$421&gt;0,IPMT('Assumptions (NG)'!$V$7,Model!AF$1,'Assumptions (NG)'!$V$10,'Assumptions (NG)'!$V$5*Model!$H$421*('Assumptions (NG)'!$G$15*AVERAGE('Assumptions (NG)'!$D$2:$F$2)+'Assumptions (NG)'!$G$16*AVERAGE('Assumptions (NG)'!$D$3:$F$3))/10^9),0)</f>
        <v>-6.5194460851679154E-2</v>
      </c>
      <c r="R535" s="105" t="e">
        <f>IF($H$421&gt;0,IPMT('Assumptions (NG)'!$V$7,Model!AG$1,'Assumptions (NG)'!$V$10,'Assumptions (NG)'!$V$5*Model!$H$421*('Assumptions (NG)'!$G$15*AVERAGE('Assumptions (NG)'!$D$2:$F$2)+'Assumptions (NG)'!$G$16*AVERAGE('Assumptions (NG)'!$D$3:$F$3))/10^9),0)</f>
        <v>#NUM!</v>
      </c>
      <c r="S535" s="105" t="e">
        <f>IF($H$421&gt;0,IPMT('Assumptions (NG)'!$V$7,Model!AH$1,'Assumptions (NG)'!$V$10,'Assumptions (NG)'!$V$5*Model!$H$421*('Assumptions (NG)'!$G$15*AVERAGE('Assumptions (NG)'!$D$2:$F$2)+'Assumptions (NG)'!$G$16*AVERAGE('Assumptions (NG)'!$D$3:$F$3))/10^9),0)</f>
        <v>#NUM!</v>
      </c>
      <c r="T535" s="105" t="e">
        <f>IF($H$421&gt;0,IPMT('Assumptions (NG)'!$V$7,Model!AI$1,'Assumptions (NG)'!$V$10,'Assumptions (NG)'!$V$5*Model!$H$421*('Assumptions (NG)'!$G$15*AVERAGE('Assumptions (NG)'!$D$2:$F$2)+'Assumptions (NG)'!$G$16*AVERAGE('Assumptions (NG)'!$D$3:$F$3))/10^9),0)</f>
        <v>#NUM!</v>
      </c>
      <c r="U535" s="105" t="e">
        <f>IF($H$421&gt;0,IPMT('Assumptions (NG)'!$V$7,Model!AJ$1,'Assumptions (NG)'!$V$10,'Assumptions (NG)'!$V$5*Model!$H$421*('Assumptions (NG)'!$G$15*AVERAGE('Assumptions (NG)'!$D$2:$F$2)+'Assumptions (NG)'!$G$16*AVERAGE('Assumptions (NG)'!$D$3:$F$3))/10^9),0)</f>
        <v>#NUM!</v>
      </c>
      <c r="V535" s="105" t="e">
        <f>IF($H$421&gt;0,IPMT('Assumptions (NG)'!$V$7,Model!AK$1,'Assumptions (NG)'!$V$10,'Assumptions (NG)'!$V$5*Model!$H$421*('Assumptions (NG)'!$G$15*AVERAGE('Assumptions (NG)'!$D$2:$F$2)+'Assumptions (NG)'!$G$16*AVERAGE('Assumptions (NG)'!$D$3:$F$3))/10^9),0)</f>
        <v>#NUM!</v>
      </c>
      <c r="W535" s="105"/>
      <c r="X535" s="105"/>
      <c r="Y535" s="105"/>
      <c r="Z535" s="105"/>
      <c r="AA535" s="105"/>
      <c r="AB535" s="105"/>
      <c r="AC535" s="105"/>
      <c r="AD535" s="105"/>
      <c r="AE535" s="105"/>
      <c r="AF535" s="105"/>
      <c r="AG535" s="105"/>
      <c r="AU535" s="105"/>
      <c r="AV535" s="105"/>
      <c r="AW535" s="105"/>
      <c r="AX535" s="105"/>
      <c r="AY535" s="105"/>
      <c r="AZ535" s="105"/>
      <c r="BA535" s="105"/>
    </row>
    <row r="536" spans="1:62" ht="15.75" hidden="1" customHeight="1" outlineLevel="1">
      <c r="A536" s="379"/>
      <c r="B536" s="99"/>
      <c r="C536" s="105"/>
      <c r="D536" s="105"/>
      <c r="E536" s="105"/>
      <c r="F536" s="105"/>
      <c r="G536" s="105"/>
      <c r="H536" s="105"/>
      <c r="I536" s="105">
        <f>IF($I$421&gt;0,IPMT('Assumptions (NG)'!$V$7,Model!W$1,'Assumptions (NG)'!$V$10,'Assumptions (NG)'!$V$5*Model!$I$421*('Assumptions (NG)'!$H$15*AVERAGE('Assumptions (NG)'!$E$2:$G$2)+'Assumptions (NG)'!$H$16*AVERAGE('Assumptions (NG)'!$E$3:$G$3))/10^9),0)</f>
        <v>-0.28440557156227797</v>
      </c>
      <c r="J536" s="105">
        <f>IF($I$421&gt;0,IPMT('Assumptions (NG)'!$V$7,Model!X$1,'Assumptions (NG)'!$V$10,'Assumptions (NG)'!$V$5*Model!$I$421*('Assumptions (NG)'!$H$15*AVERAGE('Assumptions (NG)'!$E$2:$G$2)+'Assumptions (NG)'!$H$16*AVERAGE('Assumptions (NG)'!$E$3:$G$3))/10^9),0)</f>
        <v>-0.26430209997124193</v>
      </c>
      <c r="K536" s="105">
        <f>IF($I$421&gt;0,IPMT('Assumptions (NG)'!$V$7,Model!Y$1,'Assumptions (NG)'!$V$10,'Assumptions (NG)'!$V$5*Model!$I$421*('Assumptions (NG)'!$H$15*AVERAGE('Assumptions (NG)'!$E$2:$G$2)+'Assumptions (NG)'!$H$16*AVERAGE('Assumptions (NG)'!$E$3:$G$3))/10^9),0)</f>
        <v>-0.24269086801087825</v>
      </c>
      <c r="L536" s="105">
        <f>IF($I$421&gt;0,IPMT('Assumptions (NG)'!$V$7,Model!Z$1,'Assumptions (NG)'!$V$10,'Assumptions (NG)'!$V$5*Model!$I$421*('Assumptions (NG)'!$H$15*AVERAGE('Assumptions (NG)'!$E$2:$G$2)+'Assumptions (NG)'!$H$16*AVERAGE('Assumptions (NG)'!$E$3:$G$3))/10^9),0)</f>
        <v>-0.21945879365348725</v>
      </c>
      <c r="M536" s="105">
        <f>IF($I$421&gt;0,IPMT('Assumptions (NG)'!$V$7,Model!AA$1,'Assumptions (NG)'!$V$10,'Assumptions (NG)'!$V$5*Model!$I$421*('Assumptions (NG)'!$H$15*AVERAGE('Assumptions (NG)'!$E$2:$G$2)+'Assumptions (NG)'!$H$16*AVERAGE('Assumptions (NG)'!$E$3:$G$3))/10^9),0)</f>
        <v>-0.19448431371929192</v>
      </c>
      <c r="N536" s="105">
        <f>IF($I$421&gt;0,IPMT('Assumptions (NG)'!$V$7,Model!AB$1,'Assumptions (NG)'!$V$10,'Assumptions (NG)'!$V$5*Model!$I$421*('Assumptions (NG)'!$H$15*AVERAGE('Assumptions (NG)'!$E$2:$G$2)+'Assumptions (NG)'!$H$16*AVERAGE('Assumptions (NG)'!$E$3:$G$3))/10^9),0)</f>
        <v>-0.16763674779003196</v>
      </c>
      <c r="O536" s="105">
        <f>IF($I$421&gt;0,IPMT('Assumptions (NG)'!$V$7,Model!AC$1,'Assumptions (NG)'!$V$10,'Assumptions (NG)'!$V$5*Model!$I$421*('Assumptions (NG)'!$H$15*AVERAGE('Assumptions (NG)'!$E$2:$G$2)+'Assumptions (NG)'!$H$16*AVERAGE('Assumptions (NG)'!$E$3:$G$3))/10^9),0)</f>
        <v>-0.13877561441607753</v>
      </c>
      <c r="P536" s="91">
        <f>IF($I$421&gt;0,IPMT('Assumptions (NG)'!$V$7,Model!AD$1,'Assumptions (NG)'!$V$10,'Assumptions (NG)'!$V$5*Model!$I$421*('Assumptions (NG)'!$H$15*AVERAGE('Assumptions (NG)'!$E$2:$G$2)+'Assumptions (NG)'!$H$16*AVERAGE('Assumptions (NG)'!$E$3:$G$3))/10^9),0)</f>
        <v>-0.10774989603907643</v>
      </c>
      <c r="Q536" s="105">
        <f>IF($I$421&gt;0,IPMT('Assumptions (NG)'!$V$7,Model!AE$1,'Assumptions (NG)'!$V$10,'Assumptions (NG)'!$V$5*Model!$I$421*('Assumptions (NG)'!$H$15*AVERAGE('Assumptions (NG)'!$E$2:$G$2)+'Assumptions (NG)'!$H$16*AVERAGE('Assumptions (NG)'!$E$3:$G$3))/10^9),0)</f>
        <v>-7.4397248783800315E-2</v>
      </c>
      <c r="R536" s="105">
        <f>IF($I$421&gt;0,IPMT('Assumptions (NG)'!$V$7,Model!AF$1,'Assumptions (NG)'!$V$10,'Assumptions (NG)'!$V$5*Model!$I$421*('Assumptions (NG)'!$H$15*AVERAGE('Assumptions (NG)'!$E$2:$G$2)+'Assumptions (NG)'!$H$16*AVERAGE('Assumptions (NG)'!$E$3:$G$3))/10^9),0)</f>
        <v>-3.8543152984378479E-2</v>
      </c>
      <c r="S536" s="105" t="e">
        <f>IF($I$421&gt;0,IPMT('Assumptions (NG)'!$V$7,Model!AG$1,'Assumptions (NG)'!$V$10,'Assumptions (NG)'!$V$5*Model!$I$421*('Assumptions (NG)'!$H$15*AVERAGE('Assumptions (NG)'!$E$2:$G$2)+'Assumptions (NG)'!$H$16*AVERAGE('Assumptions (NG)'!$E$3:$G$3))/10^9),0)</f>
        <v>#NUM!</v>
      </c>
      <c r="T536" s="105" t="e">
        <f>IF($I$421&gt;0,IPMT('Assumptions (NG)'!$V$7,Model!AH$1,'Assumptions (NG)'!$V$10,'Assumptions (NG)'!$V$5*Model!$I$421*('Assumptions (NG)'!$H$15*AVERAGE('Assumptions (NG)'!$E$2:$G$2)+'Assumptions (NG)'!$H$16*AVERAGE('Assumptions (NG)'!$E$3:$G$3))/10^9),0)</f>
        <v>#NUM!</v>
      </c>
      <c r="U536" s="105" t="e">
        <f>IF($I$421&gt;0,IPMT('Assumptions (NG)'!$V$7,Model!AI$1,'Assumptions (NG)'!$V$10,'Assumptions (NG)'!$V$5*Model!$I$421*('Assumptions (NG)'!$H$15*AVERAGE('Assumptions (NG)'!$E$2:$G$2)+'Assumptions (NG)'!$H$16*AVERAGE('Assumptions (NG)'!$E$3:$G$3))/10^9),0)</f>
        <v>#NUM!</v>
      </c>
      <c r="V536" s="105" t="e">
        <f>IF($I$421&gt;0,IPMT('Assumptions (NG)'!$V$7,Model!AJ$1,'Assumptions (NG)'!$V$10,'Assumptions (NG)'!$V$5*Model!$I$421*('Assumptions (NG)'!$H$15*AVERAGE('Assumptions (NG)'!$E$2:$G$2)+'Assumptions (NG)'!$H$16*AVERAGE('Assumptions (NG)'!$E$3:$G$3))/10^9),0)</f>
        <v>#NUM!</v>
      </c>
      <c r="W536" s="105" t="e">
        <f>IF($I$421&gt;0,IPMT('Assumptions (NG)'!$V$7,Model!AK$1,'Assumptions (NG)'!$V$10,'Assumptions (NG)'!$V$5*Model!$I$421*('Assumptions (NG)'!$H$15*AVERAGE('Assumptions (NG)'!$E$2:$G$2)+'Assumptions (NG)'!$H$16*AVERAGE('Assumptions (NG)'!$E$3:$G$3))/10^9),0)</f>
        <v>#NUM!</v>
      </c>
      <c r="X536" s="105"/>
      <c r="Y536" s="105"/>
      <c r="Z536" s="105"/>
      <c r="AA536" s="105"/>
      <c r="AB536" s="105"/>
      <c r="AC536" s="105"/>
      <c r="AD536" s="105"/>
      <c r="AE536" s="105"/>
      <c r="AF536" s="105"/>
      <c r="AG536" s="105"/>
      <c r="AU536" s="105"/>
      <c r="AV536" s="105"/>
      <c r="AW536" s="105"/>
      <c r="AX536" s="105"/>
      <c r="AY536" s="105"/>
      <c r="AZ536" s="105"/>
      <c r="BA536" s="105"/>
    </row>
    <row r="537" spans="1:62" ht="15.75" hidden="1" customHeight="1" outlineLevel="1">
      <c r="A537" s="379"/>
      <c r="B537" s="99"/>
      <c r="C537" s="105"/>
      <c r="D537" s="105"/>
      <c r="E537" s="105"/>
      <c r="F537" s="105"/>
      <c r="G537" s="105"/>
      <c r="H537" s="105"/>
      <c r="I537" s="105"/>
      <c r="J537" s="105">
        <f>IF($J$421&gt;0,IPMT('Assumptions (NG)'!$V$7,Model!W$1,'Assumptions (NG)'!$V$10,'Assumptions (NG)'!$V$5*Model!$J$421*('Assumptions (NG)'!$I$15*AVERAGE('Assumptions (NG)'!$F$2:$H$2)+'Assumptions (NG)'!$I$16*AVERAGE('Assumptions (NG)'!$F$3:$H$3))/10^9),0)</f>
        <v>-0.21605707342715402</v>
      </c>
      <c r="K537" s="105">
        <f>IF($J$421&gt;0,IPMT('Assumptions (NG)'!$V$7,Model!X$1,'Assumptions (NG)'!$V$10,'Assumptions (NG)'!$V$5*Model!$J$421*('Assumptions (NG)'!$I$15*AVERAGE('Assumptions (NG)'!$F$2:$H$2)+'Assumptions (NG)'!$I$16*AVERAGE('Assumptions (NG)'!$F$3:$H$3))/10^9),0)</f>
        <v>-0.20078487881498183</v>
      </c>
      <c r="L537" s="105">
        <f>IF($J$421&gt;0,IPMT('Assumptions (NG)'!$V$7,Model!Y$1,'Assumptions (NG)'!$V$10,'Assumptions (NG)'!$V$5*Model!$J$421*('Assumptions (NG)'!$I$15*AVERAGE('Assumptions (NG)'!$F$2:$H$2)+'Assumptions (NG)'!$I$16*AVERAGE('Assumptions (NG)'!$F$3:$H$3))/10^9),0)</f>
        <v>-0.18436726960689673</v>
      </c>
      <c r="M537" s="105">
        <f>IF($J$421&gt;0,IPMT('Assumptions (NG)'!$V$7,Model!Z$1,'Assumptions (NG)'!$V$10,'Assumptions (NG)'!$V$5*Model!$J$421*('Assumptions (NG)'!$I$15*AVERAGE('Assumptions (NG)'!$F$2:$H$2)+'Assumptions (NG)'!$I$16*AVERAGE('Assumptions (NG)'!$F$3:$H$3))/10^9),0)</f>
        <v>-0.16671833970820524</v>
      </c>
      <c r="N537" s="105">
        <f>IF($J$421&gt;0,IPMT('Assumptions (NG)'!$V$7,Model!AA$1,'Assumptions (NG)'!$V$10,'Assumptions (NG)'!$V$5*Model!$J$421*('Assumptions (NG)'!$I$15*AVERAGE('Assumptions (NG)'!$F$2:$H$2)+'Assumptions (NG)'!$I$16*AVERAGE('Assumptions (NG)'!$F$3:$H$3))/10^9),0)</f>
        <v>-0.14774574006711191</v>
      </c>
      <c r="O537" s="105">
        <f>IF($J$421&gt;0,IPMT('Assumptions (NG)'!$V$7,Model!AB$1,'Assumptions (NG)'!$V$10,'Assumptions (NG)'!$V$5*Model!$J$421*('Assumptions (NG)'!$I$15*AVERAGE('Assumptions (NG)'!$F$2:$H$2)+'Assumptions (NG)'!$I$16*AVERAGE('Assumptions (NG)'!$F$3:$H$3))/10^9),0)</f>
        <v>-0.12735019545293655</v>
      </c>
      <c r="P537" s="91">
        <f>IF($J$421&gt;0,IPMT('Assumptions (NG)'!$V$7,Model!AC$1,'Assumptions (NG)'!$V$10,'Assumptions (NG)'!$V$5*Model!$J$421*('Assumptions (NG)'!$I$15*AVERAGE('Assumptions (NG)'!$F$2:$H$2)+'Assumptions (NG)'!$I$16*AVERAGE('Assumptions (NG)'!$F$3:$H$3))/10^9),0)</f>
        <v>-0.10542498499269808</v>
      </c>
      <c r="Q537" s="105">
        <f>IF($J$421&gt;0,IPMT('Assumptions (NG)'!$V$7,Model!AD$1,'Assumptions (NG)'!$V$10,'Assumptions (NG)'!$V$5*Model!$J$421*('Assumptions (NG)'!$I$15*AVERAGE('Assumptions (NG)'!$F$2:$H$2)+'Assumptions (NG)'!$I$16*AVERAGE('Assumptions (NG)'!$F$3:$H$3))/10^9),0)</f>
        <v>-8.1855383747941671E-2</v>
      </c>
      <c r="R537" s="105">
        <f>IF($J$421&gt;0,IPMT('Assumptions (NG)'!$V$7,Model!AE$1,'Assumptions (NG)'!$V$10,'Assumptions (NG)'!$V$5*Model!$J$421*('Assumptions (NG)'!$I$15*AVERAGE('Assumptions (NG)'!$F$2:$H$2)+'Assumptions (NG)'!$I$16*AVERAGE('Assumptions (NG)'!$F$3:$H$3))/10^9),0)</f>
        <v>-5.6518062409828568E-2</v>
      </c>
      <c r="S537" s="91">
        <f>IF($J$421&gt;0,IPMT('Assumptions (NG)'!$V$7,Model!AF$1,'Assumptions (NG)'!$V$10,'Assumptions (NG)'!$V$5*Model!$J$421*('Assumptions (NG)'!$I$15*AVERAGE('Assumptions (NG)'!$F$2:$H$2)+'Assumptions (NG)'!$I$16*AVERAGE('Assumptions (NG)'!$F$3:$H$3))/10^9),0)</f>
        <v>-2.9280441971356968E-2</v>
      </c>
      <c r="T537" s="105" t="e">
        <f>IF($J$421&gt;0,IPMT('Assumptions (NG)'!$V$7,Model!AG$1,'Assumptions (NG)'!$V$10,'Assumptions (NG)'!$V$5*Model!$J$421*('Assumptions (NG)'!$I$15*AVERAGE('Assumptions (NG)'!$F$2:$H$2)+'Assumptions (NG)'!$I$16*AVERAGE('Assumptions (NG)'!$F$3:$H$3))/10^9),0)</f>
        <v>#NUM!</v>
      </c>
      <c r="U537" s="105" t="e">
        <f>IF($J$421&gt;0,IPMT('Assumptions (NG)'!$V$7,Model!AH$1,'Assumptions (NG)'!$V$10,'Assumptions (NG)'!$V$5*Model!$J$421*('Assumptions (NG)'!$I$15*AVERAGE('Assumptions (NG)'!$F$2:$H$2)+'Assumptions (NG)'!$I$16*AVERAGE('Assumptions (NG)'!$F$3:$H$3))/10^9),0)</f>
        <v>#NUM!</v>
      </c>
      <c r="V537" s="105" t="e">
        <f>IF($J$421&gt;0,IPMT('Assumptions (NG)'!$V$7,Model!AI$1,'Assumptions (NG)'!$V$10,'Assumptions (NG)'!$V$5*Model!$J$421*('Assumptions (NG)'!$I$15*AVERAGE('Assumptions (NG)'!$F$2:$H$2)+'Assumptions (NG)'!$I$16*AVERAGE('Assumptions (NG)'!$F$3:$H$3))/10^9),0)</f>
        <v>#NUM!</v>
      </c>
      <c r="W537" s="105" t="e">
        <f>IF($J$421&gt;0,IPMT('Assumptions (NG)'!$V$7,Model!AJ$1,'Assumptions (NG)'!$V$10,'Assumptions (NG)'!$V$5*Model!$J$421*('Assumptions (NG)'!$I$15*AVERAGE('Assumptions (NG)'!$F$2:$H$2)+'Assumptions (NG)'!$I$16*AVERAGE('Assumptions (NG)'!$F$3:$H$3))/10^9),0)</f>
        <v>#NUM!</v>
      </c>
      <c r="X537" s="105" t="e">
        <f>IF($J$421&gt;0,IPMT('Assumptions (NG)'!$V$7,Model!AK$1,'Assumptions (NG)'!$V$10,'Assumptions (NG)'!$V$5*Model!$J$421*('Assumptions (NG)'!$I$15*AVERAGE('Assumptions (NG)'!$F$2:$H$2)+'Assumptions (NG)'!$I$16*AVERAGE('Assumptions (NG)'!$F$3:$H$3))/10^9),0)</f>
        <v>#NUM!</v>
      </c>
      <c r="Y537" s="105"/>
      <c r="Z537" s="105"/>
      <c r="AA537" s="105"/>
      <c r="AB537" s="105"/>
      <c r="AC537" s="105"/>
      <c r="AD537" s="105"/>
      <c r="AE537" s="105"/>
      <c r="AF537" s="105"/>
      <c r="AG537" s="105"/>
      <c r="AH537" s="105"/>
      <c r="AU537" s="105"/>
      <c r="AV537" s="105"/>
      <c r="AW537" s="105"/>
      <c r="AX537" s="105"/>
      <c r="AY537" s="105"/>
      <c r="AZ537" s="105"/>
      <c r="BA537" s="105"/>
    </row>
    <row r="538" spans="1:62" ht="15.75" hidden="1" customHeight="1" outlineLevel="1">
      <c r="A538" s="379"/>
      <c r="B538" s="99"/>
      <c r="C538" s="105"/>
      <c r="D538" s="105"/>
      <c r="E538" s="105"/>
      <c r="F538" s="105"/>
      <c r="G538" s="105"/>
      <c r="H538" s="105"/>
      <c r="I538" s="105"/>
      <c r="J538" s="105"/>
      <c r="K538" s="105">
        <f>IF($K$421&gt;0,IPMT('Assumptions (NG)'!$V$7,Model!W$1,'Assumptions (NG)'!$V$10,'Assumptions (NG)'!$V$5*Model!$K$421*('Assumptions (NG)'!$J$15*AVERAGE('Assumptions (NG)'!$G$2:$I$2)+'Assumptions (NG)'!$J$16*AVERAGE('Assumptions (NG)'!$G$3:$I$3))/10^9),0)</f>
        <v>-0.25520018091937019</v>
      </c>
      <c r="L538" s="105">
        <f>IF($K$421&gt;0,IPMT('Assumptions (NG)'!$V$7,Model!X$1,'Assumptions (NG)'!$V$10,'Assumptions (NG)'!$V$5*Model!$K$421*('Assumptions (NG)'!$J$15*AVERAGE('Assumptions (NG)'!$G$2:$I$2)+'Assumptions (NG)'!$J$16*AVERAGE('Assumptions (NG)'!$G$3:$I$3))/10^9),0)</f>
        <v>-0.23716111945177032</v>
      </c>
      <c r="M538" s="105">
        <f>IF($K$421&gt;0,IPMT('Assumptions (NG)'!$V$7,Model!Y$1,'Assumptions (NG)'!$V$10,'Assumptions (NG)'!$V$5*Model!$K$421*('Assumptions (NG)'!$J$15*AVERAGE('Assumptions (NG)'!$G$2:$I$2)+'Assumptions (NG)'!$J$16*AVERAGE('Assumptions (NG)'!$G$3:$I$3))/10^9),0)</f>
        <v>-0.21776912837410048</v>
      </c>
      <c r="N538" s="105">
        <f>IF($K$421&gt;0,IPMT('Assumptions (NG)'!$V$7,Model!Z$1,'Assumptions (NG)'!$V$10,'Assumptions (NG)'!$V$5*Model!$K$421*('Assumptions (NG)'!$J$15*AVERAGE('Assumptions (NG)'!$G$2:$I$2)+'Assumptions (NG)'!$J$16*AVERAGE('Assumptions (NG)'!$G$3:$I$3))/10^9),0)</f>
        <v>-0.19692273796560533</v>
      </c>
      <c r="O538" s="105">
        <f>IF($K$421&gt;0,IPMT('Assumptions (NG)'!$V$7,Model!AA$1,'Assumptions (NG)'!$V$10,'Assumptions (NG)'!$V$5*Model!$K$421*('Assumptions (NG)'!$J$15*AVERAGE('Assumptions (NG)'!$G$2:$I$2)+'Assumptions (NG)'!$J$16*AVERAGE('Assumptions (NG)'!$G$3:$I$3))/10^9),0)</f>
        <v>-0.17451286827647305</v>
      </c>
      <c r="P538" s="91">
        <f>IF($K$421&gt;0,IPMT('Assumptions (NG)'!$V$7,Model!AB$1,'Assumptions (NG)'!$V$10,'Assumptions (NG)'!$V$5*Model!$K$421*('Assumptions (NG)'!$J$15*AVERAGE('Assumptions (NG)'!$G$2:$I$2)+'Assumptions (NG)'!$J$16*AVERAGE('Assumptions (NG)'!$G$3:$I$3))/10^9),0)</f>
        <v>-0.1504222583606559</v>
      </c>
      <c r="Q538" s="105">
        <f>IF($K$421&gt;0,IPMT('Assumptions (NG)'!$V$7,Model!AC$1,'Assumptions (NG)'!$V$10,'Assumptions (NG)'!$V$5*Model!$K$421*('Assumptions (NG)'!$J$15*AVERAGE('Assumptions (NG)'!$G$2:$I$2)+'Assumptions (NG)'!$J$16*AVERAGE('Assumptions (NG)'!$G$3:$I$3))/10^9),0)</f>
        <v>-0.12452485270115246</v>
      </c>
      <c r="R538" s="105">
        <f>IF($K$421&gt;0,IPMT('Assumptions (NG)'!$V$7,Model!AD$1,'Assumptions (NG)'!$V$10,'Assumptions (NG)'!$V$5*Model!$K$421*('Assumptions (NG)'!$J$15*AVERAGE('Assumptions (NG)'!$G$2:$I$2)+'Assumptions (NG)'!$J$16*AVERAGE('Assumptions (NG)'!$G$3:$I$3))/10^9),0)</f>
        <v>-9.6685141617186221E-2</v>
      </c>
      <c r="S538" s="91">
        <f>IF($K$421&gt;0,IPMT('Assumptions (NG)'!$V$7,Model!AE$1,'Assumptions (NG)'!$V$10,'Assumptions (NG)'!$V$5*Model!$K$421*('Assumptions (NG)'!$J$15*AVERAGE('Assumptions (NG)'!$G$2:$I$2)+'Assumptions (NG)'!$J$16*AVERAGE('Assumptions (NG)'!$G$3:$I$3))/10^9),0)</f>
        <v>-6.6757452201922557E-2</v>
      </c>
      <c r="T538" s="105">
        <f>IF($K$421&gt;0,IPMT('Assumptions (NG)'!$V$7,Model!AF$1,'Assumptions (NG)'!$V$10,'Assumptions (NG)'!$V$5*Model!$K$421*('Assumptions (NG)'!$J$15*AVERAGE('Assumptions (NG)'!$G$2:$I$2)+'Assumptions (NG)'!$J$16*AVERAGE('Assumptions (NG)'!$G$3:$I$3))/10^9),0)</f>
        <v>-3.4585186080514092E-2</v>
      </c>
      <c r="U538" s="105" t="e">
        <f>IF($K$421&gt;0,IPMT('Assumptions (NG)'!$V$7,Model!AG$1,'Assumptions (NG)'!$V$10,'Assumptions (NG)'!$V$5*Model!$K$421*('Assumptions (NG)'!$J$15*AVERAGE('Assumptions (NG)'!$G$2:$I$2)+'Assumptions (NG)'!$J$16*AVERAGE('Assumptions (NG)'!$G$3:$I$3))/10^9),0)</f>
        <v>#NUM!</v>
      </c>
      <c r="V538" s="105" t="e">
        <f>IF($K$421&gt;0,IPMT('Assumptions (NG)'!$V$7,Model!AH$1,'Assumptions (NG)'!$V$10,'Assumptions (NG)'!$V$5*Model!$K$421*('Assumptions (NG)'!$J$15*AVERAGE('Assumptions (NG)'!$G$2:$I$2)+'Assumptions (NG)'!$J$16*AVERAGE('Assumptions (NG)'!$G$3:$I$3))/10^9),0)</f>
        <v>#NUM!</v>
      </c>
      <c r="W538" s="105" t="e">
        <f>IF($K$421&gt;0,IPMT('Assumptions (NG)'!$V$7,Model!AI$1,'Assumptions (NG)'!$V$10,'Assumptions (NG)'!$V$5*Model!$K$421*('Assumptions (NG)'!$J$15*AVERAGE('Assumptions (NG)'!$G$2:$I$2)+'Assumptions (NG)'!$J$16*AVERAGE('Assumptions (NG)'!$G$3:$I$3))/10^9),0)</f>
        <v>#NUM!</v>
      </c>
      <c r="X538" s="105" t="e">
        <f>IF($K$421&gt;0,IPMT('Assumptions (NG)'!$V$7,Model!AJ$1,'Assumptions (NG)'!$V$10,'Assumptions (NG)'!$V$5*Model!$K$421*('Assumptions (NG)'!$J$15*AVERAGE('Assumptions (NG)'!$G$2:$I$2)+'Assumptions (NG)'!$J$16*AVERAGE('Assumptions (NG)'!$G$3:$I$3))/10^9),0)</f>
        <v>#NUM!</v>
      </c>
      <c r="Y538" s="105" t="e">
        <f>IF($K$421&gt;0,IPMT('Assumptions (NG)'!$V$7,Model!AK$1,'Assumptions (NG)'!$V$10,'Assumptions (NG)'!$V$5*Model!$K$421*('Assumptions (NG)'!$J$15*AVERAGE('Assumptions (NG)'!$G$2:$I$2)+'Assumptions (NG)'!$J$16*AVERAGE('Assumptions (NG)'!$G$3:$I$3))/10^9),0)</f>
        <v>#NUM!</v>
      </c>
      <c r="Z538" s="105"/>
      <c r="AA538" s="105"/>
      <c r="AB538" s="105"/>
      <c r="AC538" s="105"/>
      <c r="AD538" s="105"/>
      <c r="AE538" s="105"/>
      <c r="AF538" s="105"/>
      <c r="AG538" s="105"/>
      <c r="AH538" s="105"/>
      <c r="AI538" s="105"/>
      <c r="AU538" s="105"/>
      <c r="AV538" s="105"/>
      <c r="AW538" s="105"/>
      <c r="AX538" s="105"/>
      <c r="AY538" s="105"/>
      <c r="AZ538" s="105"/>
      <c r="BA538" s="105"/>
    </row>
    <row r="539" spans="1:62" ht="15.75" hidden="1" customHeight="1" outlineLevel="1">
      <c r="A539" s="379"/>
      <c r="B539" s="99"/>
      <c r="C539" s="105"/>
      <c r="D539" s="105"/>
      <c r="E539" s="105"/>
      <c r="F539" s="105"/>
      <c r="G539" s="105"/>
      <c r="H539" s="105"/>
      <c r="I539" s="105"/>
      <c r="J539" s="105"/>
      <c r="K539" s="105"/>
      <c r="L539" s="105">
        <f>IF($L$421&gt;0,IPMT('Assumptions (NG)'!$V$7,Model!W$1,'Assumptions (NG)'!$V$10,'Assumptions (NG)'!$V$5*Model!$L$421*('Assumptions (NG)'!$K$15*AVERAGE('Assumptions (NG)'!$H$2:$J$2)+'Assumptions (NG)'!$K$16*AVERAGE('Assumptions (NG)'!$H$3:$J$3))/10^9),0)</f>
        <v>-0.31955751538285493</v>
      </c>
      <c r="M539" s="105">
        <f>IF($L$421&gt;0,IPMT('Assumptions (NG)'!$V$7,Model!X$1,'Assumptions (NG)'!$V$10,'Assumptions (NG)'!$V$5*Model!$L$421*('Assumptions (NG)'!$K$15*AVERAGE('Assumptions (NG)'!$H$2:$J$2)+'Assumptions (NG)'!$K$16*AVERAGE('Assumptions (NG)'!$H$3:$J$3))/10^9),0)</f>
        <v>-0.29696929604203048</v>
      </c>
      <c r="N539" s="105">
        <f>IF($L$421&gt;0,IPMT('Assumptions (NG)'!$V$7,Model!Y$1,'Assumptions (NG)'!$V$10,'Assumptions (NG)'!$V$5*Model!$L$421*('Assumptions (NG)'!$K$15*AVERAGE('Assumptions (NG)'!$H$2:$J$2)+'Assumptions (NG)'!$K$16*AVERAGE('Assumptions (NG)'!$H$3:$J$3))/10^9),0)</f>
        <v>-0.27268696025064421</v>
      </c>
      <c r="O539" s="105">
        <f>IF($L$421&gt;0,IPMT('Assumptions (NG)'!$V$7,Model!Z$1,'Assumptions (NG)'!$V$10,'Assumptions (NG)'!$V$5*Model!$L$421*('Assumptions (NG)'!$K$15*AVERAGE('Assumptions (NG)'!$H$2:$J$2)+'Assumptions (NG)'!$K$16*AVERAGE('Assumptions (NG)'!$H$3:$J$3))/10^9),0)</f>
        <v>-0.24658344927490394</v>
      </c>
      <c r="P539" s="91">
        <f>IF($L$421&gt;0,IPMT('Assumptions (NG)'!$V$7,Model!AA$1,'Assumptions (NG)'!$V$10,'Assumptions (NG)'!$V$5*Model!$L$421*('Assumptions (NG)'!$K$15*AVERAGE('Assumptions (NG)'!$H$2:$J$2)+'Assumptions (NG)'!$K$16*AVERAGE('Assumptions (NG)'!$H$3:$J$3))/10^9),0)</f>
        <v>-0.21852217497598317</v>
      </c>
      <c r="Q539" s="105">
        <f>IF($L$421&gt;0,IPMT('Assumptions (NG)'!$V$7,Model!AB$1,'Assumptions (NG)'!$V$10,'Assumptions (NG)'!$V$5*Model!$L$421*('Assumptions (NG)'!$K$15*AVERAGE('Assumptions (NG)'!$H$2:$J$2)+'Assumptions (NG)'!$K$16*AVERAGE('Assumptions (NG)'!$H$3:$J$3))/10^9),0)</f>
        <v>-0.18835630510464335</v>
      </c>
      <c r="R539" s="105">
        <f>IF($L$421&gt;0,IPMT('Assumptions (NG)'!$V$7,Model!AC$1,'Assumptions (NG)'!$V$10,'Assumptions (NG)'!$V$5*Model!$L$421*('Assumptions (NG)'!$K$15*AVERAGE('Assumptions (NG)'!$H$2:$J$2)+'Assumptions (NG)'!$K$16*AVERAGE('Assumptions (NG)'!$H$3:$J$3))/10^9),0)</f>
        <v>-0.15592799499295304</v>
      </c>
      <c r="S539" s="91">
        <f>IF($L$421&gt;0,IPMT('Assumptions (NG)'!$V$7,Model!AD$1,'Assumptions (NG)'!$V$10,'Assumptions (NG)'!$V$5*Model!$L$421*('Assumptions (NG)'!$K$15*AVERAGE('Assumptions (NG)'!$H$2:$J$2)+'Assumptions (NG)'!$K$16*AVERAGE('Assumptions (NG)'!$H$3:$J$3))/10^9),0)</f>
        <v>-0.12106756162288594</v>
      </c>
      <c r="T539" s="105">
        <f>IF($L$421&gt;0,IPMT('Assumptions (NG)'!$V$7,Model!AE$1,'Assumptions (NG)'!$V$10,'Assumptions (NG)'!$V$5*Model!$L$421*('Assumptions (NG)'!$K$15*AVERAGE('Assumptions (NG)'!$H$2:$J$2)+'Assumptions (NG)'!$K$16*AVERAGE('Assumptions (NG)'!$H$3:$J$3))/10^9),0)</f>
        <v>-8.359259575006385E-2</v>
      </c>
      <c r="U539" s="105">
        <f>IF($L$421&gt;0,IPMT('Assumptions (NG)'!$V$7,Model!AF$1,'Assumptions (NG)'!$V$10,'Assumptions (NG)'!$V$5*Model!$L$421*('Assumptions (NG)'!$K$15*AVERAGE('Assumptions (NG)'!$H$2:$J$2)+'Assumptions (NG)'!$K$16*AVERAGE('Assumptions (NG)'!$H$3:$J$3))/10^9),0)</f>
        <v>-4.3307007436780065E-2</v>
      </c>
      <c r="V539" s="105" t="e">
        <f>IF($L$421&gt;0,IPMT('Assumptions (NG)'!$V$7,Model!AG$1,'Assumptions (NG)'!$V$10,'Assumptions (NG)'!$V$5*Model!$L$421*('Assumptions (NG)'!$K$15*AVERAGE('Assumptions (NG)'!$H$2:$J$2)+'Assumptions (NG)'!$K$16*AVERAGE('Assumptions (NG)'!$H$3:$J$3))/10^9),0)</f>
        <v>#NUM!</v>
      </c>
      <c r="W539" s="105" t="e">
        <f>IF($L$421&gt;0,IPMT('Assumptions (NG)'!$V$7,Model!AH$1,'Assumptions (NG)'!$V$10,'Assumptions (NG)'!$V$5*Model!$L$421*('Assumptions (NG)'!$K$15*AVERAGE('Assumptions (NG)'!$H$2:$J$2)+'Assumptions (NG)'!$K$16*AVERAGE('Assumptions (NG)'!$H$3:$J$3))/10^9),0)</f>
        <v>#NUM!</v>
      </c>
      <c r="X539" s="105" t="e">
        <f>IF($L$421&gt;0,IPMT('Assumptions (NG)'!$V$7,Model!AI$1,'Assumptions (NG)'!$V$10,'Assumptions (NG)'!$V$5*Model!$L$421*('Assumptions (NG)'!$K$15*AVERAGE('Assumptions (NG)'!$H$2:$J$2)+'Assumptions (NG)'!$K$16*AVERAGE('Assumptions (NG)'!$H$3:$J$3))/10^9),0)</f>
        <v>#NUM!</v>
      </c>
      <c r="Y539" s="105" t="e">
        <f>IF($L$421&gt;0,IPMT('Assumptions (NG)'!$V$7,Model!AJ$1,'Assumptions (NG)'!$V$10,'Assumptions (NG)'!$V$5*Model!$L$421*('Assumptions (NG)'!$K$15*AVERAGE('Assumptions (NG)'!$H$2:$J$2)+'Assumptions (NG)'!$K$16*AVERAGE('Assumptions (NG)'!$H$3:$J$3))/10^9),0)</f>
        <v>#NUM!</v>
      </c>
      <c r="Z539" s="105" t="e">
        <f>IF($L$421&gt;0,IPMT('Assumptions (NG)'!$V$7,Model!AK$1,'Assumptions (NG)'!$V$10,'Assumptions (NG)'!$V$5*Model!$L$421*('Assumptions (NG)'!$K$15*AVERAGE('Assumptions (NG)'!$H$2:$J$2)+'Assumptions (NG)'!$K$16*AVERAGE('Assumptions (NG)'!$H$3:$J$3))/10^9),0)</f>
        <v>#NUM!</v>
      </c>
      <c r="AA539" s="105"/>
      <c r="AB539" s="105"/>
      <c r="AC539" s="105"/>
      <c r="AD539" s="105"/>
      <c r="AE539" s="105"/>
      <c r="AF539" s="105"/>
      <c r="AG539" s="105"/>
      <c r="AH539" s="105"/>
      <c r="AI539" s="105"/>
      <c r="AJ539" s="105"/>
      <c r="AU539" s="105"/>
      <c r="AV539" s="105"/>
      <c r="AW539" s="105"/>
      <c r="AX539" s="105"/>
      <c r="AY539" s="105"/>
      <c r="AZ539" s="105"/>
      <c r="BA539" s="105"/>
    </row>
    <row r="540" spans="1:62" ht="15.75" hidden="1" customHeight="1" outlineLevel="1">
      <c r="A540" s="379"/>
      <c r="B540" s="99"/>
      <c r="C540" s="105"/>
      <c r="D540" s="105"/>
      <c r="E540" s="105"/>
      <c r="F540" s="105"/>
      <c r="G540" s="105"/>
      <c r="H540" s="105"/>
      <c r="I540" s="105"/>
      <c r="J540" s="105"/>
      <c r="K540" s="105"/>
      <c r="L540" s="105"/>
      <c r="M540" s="105">
        <f>IF($M$421&gt;0,IPMT('Assumptions (NG)'!$V$7,Model!W$1,'Assumptions (NG)'!$V$10,'Assumptions (NG)'!$V$5*Model!$M$421*('Assumptions (NG)'!$L$15*AVERAGE('Assumptions (NG)'!$I$2:$K$2)+'Assumptions (NG)'!$L$16*AVERAGE('Assumptions (NG)'!$I$3:$K$3))/10^9),0)</f>
        <v>-0.22659005803868174</v>
      </c>
      <c r="N540" s="105">
        <f>IF($M$421&gt;0,IPMT('Assumptions (NG)'!$V$7,Model!X$1,'Assumptions (NG)'!$V$10,'Assumptions (NG)'!$V$5*Model!$M$421*('Assumptions (NG)'!$L$15*AVERAGE('Assumptions (NG)'!$I$2:$K$2)+'Assumptions (NG)'!$L$16*AVERAGE('Assumptions (NG)'!$I$3:$K$3))/10^9),0)</f>
        <v>-0.21057332964067865</v>
      </c>
      <c r="O540" s="105">
        <f>IF($M$421&gt;0,IPMT('Assumptions (NG)'!$V$7,Model!Y$1,'Assumptions (NG)'!$V$10,'Assumptions (NG)'!$V$5*Model!$M$421*('Assumptions (NG)'!$L$15*AVERAGE('Assumptions (NG)'!$I$2:$K$2)+'Assumptions (NG)'!$L$16*AVERAGE('Assumptions (NG)'!$I$3:$K$3))/10^9),0)</f>
        <v>-0.19335534661282533</v>
      </c>
      <c r="P540" s="91">
        <f>IF($M$421&gt;0,IPMT('Assumptions (NG)'!$V$7,Model!Z$1,'Assumptions (NG)'!$V$10,'Assumptions (NG)'!$V$5*Model!$M$421*('Assumptions (NG)'!$L$15*AVERAGE('Assumptions (NG)'!$I$2:$K$2)+'Assumptions (NG)'!$L$16*AVERAGE('Assumptions (NG)'!$I$3:$K$3))/10^9),0)</f>
        <v>-0.17484601485788298</v>
      </c>
      <c r="Q540" s="105">
        <f>IF($M$421&gt;0,IPMT('Assumptions (NG)'!$V$7,Model!AA$1,'Assumptions (NG)'!$V$10,'Assumptions (NG)'!$V$5*Model!$M$421*('Assumptions (NG)'!$L$15*AVERAGE('Assumptions (NG)'!$I$2:$K$2)+'Assumptions (NG)'!$L$16*AVERAGE('Assumptions (NG)'!$I$3:$K$3))/10^9),0)</f>
        <v>-0.15494848322131996</v>
      </c>
      <c r="R540" s="105">
        <f>IF($M$421&gt;0,IPMT('Assumptions (NG)'!$V$7,Model!AB$1,'Assumptions (NG)'!$V$10,'Assumptions (NG)'!$V$5*Model!$M$421*('Assumptions (NG)'!$L$15*AVERAGE('Assumptions (NG)'!$I$2:$K$2)+'Assumptions (NG)'!$L$16*AVERAGE('Assumptions (NG)'!$I$3:$K$3))/10^9),0)</f>
        <v>-0.13355863671201476</v>
      </c>
      <c r="S540" s="91">
        <f>IF($M$421&gt;0,IPMT('Assumptions (NG)'!$V$7,Model!AC$1,'Assumptions (NG)'!$V$10,'Assumptions (NG)'!$V$5*Model!$M$421*('Assumptions (NG)'!$L$15*AVERAGE('Assumptions (NG)'!$I$2:$K$2)+'Assumptions (NG)'!$L$16*AVERAGE('Assumptions (NG)'!$I$3:$K$3))/10^9),0)</f>
        <v>-0.11056455171451164</v>
      </c>
      <c r="T540" s="105">
        <f>IF($M$421&gt;0,IPMT('Assumptions (NG)'!$V$7,Model!AD$1,'Assumptions (NG)'!$V$10,'Assumptions (NG)'!$V$5*Model!$M$421*('Assumptions (NG)'!$L$15*AVERAGE('Assumptions (NG)'!$I$2:$K$2)+'Assumptions (NG)'!$L$16*AVERAGE('Assumptions (NG)'!$I$3:$K$3))/10^9),0)</f>
        <v>-8.5845910342195755E-2</v>
      </c>
      <c r="U540" s="105">
        <f>IF($M$421&gt;0,IPMT('Assumptions (NG)'!$V$7,Model!AE$1,'Assumptions (NG)'!$V$10,'Assumptions (NG)'!$V$5*Model!$M$421*('Assumptions (NG)'!$L$15*AVERAGE('Assumptions (NG)'!$I$2:$K$2)+'Assumptions (NG)'!$L$16*AVERAGE('Assumptions (NG)'!$I$3:$K$3))/10^9),0)</f>
        <v>-5.9273370866956221E-2</v>
      </c>
      <c r="V540" s="105">
        <f>IF($M$421&gt;0,IPMT('Assumptions (NG)'!$V$7,Model!AF$1,'Assumptions (NG)'!$V$10,'Assumptions (NG)'!$V$5*Model!$M$421*('Assumptions (NG)'!$L$15*AVERAGE('Assumptions (NG)'!$I$2:$K$2)+'Assumptions (NG)'!$L$16*AVERAGE('Assumptions (NG)'!$I$3:$K$3))/10^9),0)</f>
        <v>-3.0707890931073702E-2</v>
      </c>
      <c r="W540" s="105" t="e">
        <f>IF($M$421&gt;0,IPMT('Assumptions (NG)'!$V$7,Model!AG$1,'Assumptions (NG)'!$V$10,'Assumptions (NG)'!$V$5*Model!$M$421*('Assumptions (NG)'!$L$15*AVERAGE('Assumptions (NG)'!$I$2:$K$2)+'Assumptions (NG)'!$L$16*AVERAGE('Assumptions (NG)'!$I$3:$K$3))/10^9),0)</f>
        <v>#NUM!</v>
      </c>
      <c r="X540" s="105" t="e">
        <f>IF($M$421&gt;0,IPMT('Assumptions (NG)'!$V$7,Model!AH$1,'Assumptions (NG)'!$V$10,'Assumptions (NG)'!$V$5*Model!$M$421*('Assumptions (NG)'!$L$15*AVERAGE('Assumptions (NG)'!$I$2:$K$2)+'Assumptions (NG)'!$L$16*AVERAGE('Assumptions (NG)'!$I$3:$K$3))/10^9),0)</f>
        <v>#NUM!</v>
      </c>
      <c r="Y540" s="105" t="e">
        <f>IF($M$421&gt;0,IPMT('Assumptions (NG)'!$V$7,Model!AI$1,'Assumptions (NG)'!$V$10,'Assumptions (NG)'!$V$5*Model!$M$421*('Assumptions (NG)'!$L$15*AVERAGE('Assumptions (NG)'!$I$2:$K$2)+'Assumptions (NG)'!$L$16*AVERAGE('Assumptions (NG)'!$I$3:$K$3))/10^9),0)</f>
        <v>#NUM!</v>
      </c>
      <c r="Z540" s="105" t="e">
        <f>IF($M$421&gt;0,IPMT('Assumptions (NG)'!$V$7,Model!AJ$1,'Assumptions (NG)'!$V$10,'Assumptions (NG)'!$V$5*Model!$M$421*('Assumptions (NG)'!$L$15*AVERAGE('Assumptions (NG)'!$I$2:$K$2)+'Assumptions (NG)'!$L$16*AVERAGE('Assumptions (NG)'!$I$3:$K$3))/10^9),0)</f>
        <v>#NUM!</v>
      </c>
      <c r="AA540" s="105" t="e">
        <f>IF($M$421&gt;0,IPMT('Assumptions (NG)'!$V$7,Model!AK$1,'Assumptions (NG)'!$V$10,'Assumptions (NG)'!$V$5*Model!$M$421*('Assumptions (NG)'!$L$15*AVERAGE('Assumptions (NG)'!$I$2:$K$2)+'Assumptions (NG)'!$L$16*AVERAGE('Assumptions (NG)'!$I$3:$K$3))/10^9),0)</f>
        <v>#NUM!</v>
      </c>
      <c r="AB540" s="105"/>
      <c r="AC540" s="105"/>
      <c r="AD540" s="105"/>
      <c r="AE540" s="105"/>
      <c r="AF540" s="105"/>
      <c r="AG540" s="105"/>
      <c r="AH540" s="105"/>
      <c r="AI540" s="105"/>
      <c r="AJ540" s="105"/>
      <c r="AK540" s="105"/>
      <c r="AU540" s="105"/>
      <c r="AV540" s="105"/>
      <c r="AW540" s="105"/>
      <c r="AX540" s="105"/>
      <c r="AY540" s="105"/>
      <c r="AZ540" s="105"/>
      <c r="BA540" s="105"/>
    </row>
    <row r="541" spans="1:62" ht="15.75" hidden="1" customHeight="1" outlineLevel="1">
      <c r="A541" s="379"/>
      <c r="B541" s="99"/>
      <c r="C541" s="105"/>
      <c r="D541" s="105"/>
      <c r="E541" s="105"/>
      <c r="F541" s="105"/>
      <c r="G541" s="105"/>
      <c r="H541" s="105"/>
      <c r="I541" s="105"/>
      <c r="J541" s="105"/>
      <c r="K541" s="105"/>
      <c r="L541" s="105"/>
      <c r="M541" s="105"/>
      <c r="N541" s="91">
        <f>IF($N$421&gt;0,IPMT('Assumptions (NG)'!$V$7,Model!W$1,'Assumptions (NG)'!$V$10,'Assumptions (NG)'!$V$5*Model!$N$421*('Assumptions (NG)'!$M$15*AVERAGE('Assumptions (NG)'!$J$2:$L$2)+'Assumptions (NG)'!$M$16*AVERAGE('Assumptions (NG)'!$J$3:$L$3))/10^9),0)</f>
        <v>-0.34942209575102184</v>
      </c>
      <c r="O541" s="91">
        <f>IF($N$421&gt;0,IPMT('Assumptions (NG)'!$V$7,Model!X$1,'Assumptions (NG)'!$V$10,'Assumptions (NG)'!$V$5*Model!$N$421*('Assumptions (NG)'!$M$15*AVERAGE('Assumptions (NG)'!$J$2:$L$2)+'Assumptions (NG)'!$M$16*AVERAGE('Assumptions (NG)'!$J$3:$L$3))/10^9),0)</f>
        <v>-0.3247228708496816</v>
      </c>
      <c r="P541" s="91">
        <f>IF($N$421&gt;0,IPMT('Assumptions (NG)'!$V$7,Model!Y$1,'Assumptions (NG)'!$V$10,'Assumptions (NG)'!$V$5*Model!$N$421*('Assumptions (NG)'!$M$15*AVERAGE('Assumptions (NG)'!$J$2:$L$2)+'Assumptions (NG)'!$M$16*AVERAGE('Assumptions (NG)'!$J$3:$L$3))/10^9),0)</f>
        <v>-0.29817120408074077</v>
      </c>
      <c r="Q541" s="91">
        <f>IF($N$421&gt;0,IPMT('Assumptions (NG)'!$V$7,Model!Z$1,'Assumptions (NG)'!$V$10,'Assumptions (NG)'!$V$5*Model!$N$421*('Assumptions (NG)'!$M$15*AVERAGE('Assumptions (NG)'!$J$2:$L$2)+'Assumptions (NG)'!$M$16*AVERAGE('Assumptions (NG)'!$J$3:$L$3))/10^9),0)</f>
        <v>-0.26962816230412939</v>
      </c>
      <c r="R541" s="91">
        <f>IF($N$421&gt;0,IPMT('Assumptions (NG)'!$V$7,Model!AA$1,'Assumptions (NG)'!$V$10,'Assumptions (NG)'!$V$5*Model!$N$421*('Assumptions (NG)'!$M$15*AVERAGE('Assumptions (NG)'!$J$2:$L$2)+'Assumptions (NG)'!$M$16*AVERAGE('Assumptions (NG)'!$J$3:$L$3))/10^9),0)</f>
        <v>-0.23894439239427215</v>
      </c>
      <c r="S541" s="91">
        <f>IF($N$421&gt;0,IPMT('Assumptions (NG)'!$V$7,Model!AB$1,'Assumptions (NG)'!$V$10,'Assumptions (NG)'!$V$5*Model!$N$421*('Assumptions (NG)'!$M$15*AVERAGE('Assumptions (NG)'!$J$2:$L$2)+'Assumptions (NG)'!$M$16*AVERAGE('Assumptions (NG)'!$J$3:$L$3))/10^9),0)</f>
        <v>-0.20595933974117564</v>
      </c>
      <c r="T541" s="91">
        <f>IF($N$421&gt;0,IPMT('Assumptions (NG)'!$V$7,Model!AC$1,'Assumptions (NG)'!$V$10,'Assumptions (NG)'!$V$5*Model!$N$421*('Assumptions (NG)'!$M$15*AVERAGE('Assumptions (NG)'!$J$2:$L$2)+'Assumptions (NG)'!$M$16*AVERAGE('Assumptions (NG)'!$J$3:$L$3))/10^9),0)</f>
        <v>-0.17050040813909692</v>
      </c>
      <c r="U541" s="91">
        <f>IF($N$421&gt;0,IPMT('Assumptions (NG)'!$V$7,Model!AD$1,'Assumptions (NG)'!$V$10,'Assumptions (NG)'!$V$5*Model!$N$421*('Assumptions (NG)'!$M$15*AVERAGE('Assumptions (NG)'!$J$2:$L$2)+'Assumptions (NG)'!$M$16*AVERAGE('Assumptions (NG)'!$J$3:$L$3))/10^9),0)</f>
        <v>-0.1323820566668622</v>
      </c>
      <c r="V541" s="91">
        <f>IF($N$421&gt;0,IPMT('Assumptions (NG)'!$V$7,Model!AE$1,'Assumptions (NG)'!$V$10,'Assumptions (NG)'!$V$5*Model!$N$421*('Assumptions (NG)'!$M$15*AVERAGE('Assumptions (NG)'!$J$2:$L$2)+'Assumptions (NG)'!$M$16*AVERAGE('Assumptions (NG)'!$J$3:$L$3))/10^9),0)</f>
        <v>-9.1404828834209959E-2</v>
      </c>
      <c r="W541" s="91">
        <f>IF($N$421&gt;0,IPMT('Assumptions (NG)'!$V$7,Model!AF$1,'Assumptions (NG)'!$V$10,'Assumptions (NG)'!$V$5*Model!$N$421*('Assumptions (NG)'!$M$15*AVERAGE('Assumptions (NG)'!$J$2:$L$2)+'Assumptions (NG)'!$M$16*AVERAGE('Assumptions (NG)'!$J$3:$L$3))/10^9),0)</f>
        <v>-4.7354308914108773E-2</v>
      </c>
      <c r="X541" s="91" t="e">
        <f>IF($N$421&gt;0,IPMT('Assumptions (NG)'!$V$7,Model!AG$1,'Assumptions (NG)'!$V$10,'Assumptions (NG)'!$V$5*Model!$N$421*('Assumptions (NG)'!$M$15*AVERAGE('Assumptions (NG)'!$J$2:$L$2)+'Assumptions (NG)'!$M$16*AVERAGE('Assumptions (NG)'!$J$3:$L$3))/10^9),0)</f>
        <v>#NUM!</v>
      </c>
      <c r="Y541" s="91" t="e">
        <f>IF($N$421&gt;0,IPMT('Assumptions (NG)'!$V$7,Model!AH$1,'Assumptions (NG)'!$V$10,'Assumptions (NG)'!$V$5*Model!$N$421*('Assumptions (NG)'!$M$15*AVERAGE('Assumptions (NG)'!$J$2:$L$2)+'Assumptions (NG)'!$M$16*AVERAGE('Assumptions (NG)'!$J$3:$L$3))/10^9),0)</f>
        <v>#NUM!</v>
      </c>
      <c r="Z541" s="91" t="e">
        <f>IF($N$421&gt;0,IPMT('Assumptions (NG)'!$V$7,Model!AI$1,'Assumptions (NG)'!$V$10,'Assumptions (NG)'!$V$5*Model!$N$421*('Assumptions (NG)'!$M$15*AVERAGE('Assumptions (NG)'!$J$2:$L$2)+'Assumptions (NG)'!$M$16*AVERAGE('Assumptions (NG)'!$J$3:$L$3))/10^9),0)</f>
        <v>#NUM!</v>
      </c>
      <c r="AA541" s="91" t="e">
        <f>IF($N$421&gt;0,IPMT('Assumptions (NG)'!$V$7,Model!AJ$1,'Assumptions (NG)'!$V$10,'Assumptions (NG)'!$V$5*Model!$N$421*('Assumptions (NG)'!$M$15*AVERAGE('Assumptions (NG)'!$J$2:$L$2)+'Assumptions (NG)'!$M$16*AVERAGE('Assumptions (NG)'!$J$3:$L$3))/10^9),0)</f>
        <v>#NUM!</v>
      </c>
      <c r="AB541" s="91" t="e">
        <f>IF($N$421&gt;0,IPMT('Assumptions (NG)'!$V$7,Model!AK$1,'Assumptions (NG)'!$V$10,'Assumptions (NG)'!$V$5*Model!$N$421*('Assumptions (NG)'!$M$15*AVERAGE('Assumptions (NG)'!$J$2:$L$2)+'Assumptions (NG)'!$M$16*AVERAGE('Assumptions (NG)'!$J$3:$L$3))/10^9),0)</f>
        <v>#NUM!</v>
      </c>
      <c r="AC541" s="91"/>
      <c r="AD541" s="91"/>
      <c r="AE541" s="91"/>
      <c r="AF541" s="91"/>
      <c r="AG541" s="91"/>
      <c r="AH541" s="91"/>
      <c r="AI541" s="91"/>
      <c r="AJ541" s="91"/>
      <c r="AK541" s="91"/>
      <c r="AL541" s="91"/>
      <c r="AU541" s="105"/>
      <c r="AV541" s="105"/>
      <c r="AW541" s="105"/>
      <c r="AX541" s="105"/>
      <c r="AY541" s="105"/>
      <c r="AZ541" s="105"/>
      <c r="BA541" s="105"/>
    </row>
    <row r="542" spans="1:62" ht="15.75" hidden="1" customHeight="1" outlineLevel="1">
      <c r="A542" s="379"/>
      <c r="B542" s="99"/>
      <c r="C542" s="105"/>
      <c r="D542" s="105"/>
      <c r="E542" s="105"/>
      <c r="F542" s="105"/>
      <c r="G542" s="105"/>
      <c r="H542" s="105"/>
      <c r="I542" s="105"/>
      <c r="J542" s="105"/>
      <c r="K542" s="105"/>
      <c r="L542" s="105"/>
      <c r="M542" s="105"/>
      <c r="N542" s="105"/>
      <c r="O542" s="105">
        <f>IF($O$421&gt;0,IPMT('Assumptions (NG)'!$V$7,Model!W$1,'Assumptions (NG)'!$V$10,'Assumptions (NG)'!$V$5*Model!$O$421*('Assumptions (NG)'!$N$15*AVERAGE('Assumptions (NG)'!$K$2:$M$2)+'Assumptions (NG)'!$N$16*AVERAGE('Assumptions (NG)'!$K$3:$M$3))/10^9),0)</f>
        <v>-0.34496977619430497</v>
      </c>
      <c r="P542" s="91">
        <f>IF($O$421&gt;0,IPMT('Assumptions (NG)'!$V$7,Model!X$1,'Assumptions (NG)'!$V$10,'Assumptions (NG)'!$V$5*Model!$O$421*('Assumptions (NG)'!$N$15*AVERAGE('Assumptions (NG)'!$K$2:$M$2)+'Assumptions (NG)'!$N$16*AVERAGE('Assumptions (NG)'!$K$3:$M$3))/10^9),0)</f>
        <v>-0.32058526763002876</v>
      </c>
      <c r="Q542" s="105">
        <f>IF($O$421&gt;0,IPMT('Assumptions (NG)'!$V$7,Model!Y$1,'Assumptions (NG)'!$V$10,'Assumptions (NG)'!$V$5*Model!$O$421*('Assumptions (NG)'!$N$15*AVERAGE('Assumptions (NG)'!$K$2:$M$2)+'Assumptions (NG)'!$N$16*AVERAGE('Assumptions (NG)'!$K$3:$M$3))/10^9),0)</f>
        <v>-0.29437192092343167</v>
      </c>
      <c r="R542" s="105">
        <f>IF($O$421&gt;0,IPMT('Assumptions (NG)'!$V$7,Model!Z$1,'Assumptions (NG)'!$V$10,'Assumptions (NG)'!$V$5*Model!$O$421*('Assumptions (NG)'!$N$15*AVERAGE('Assumptions (NG)'!$K$2:$M$2)+'Assumptions (NG)'!$N$16*AVERAGE('Assumptions (NG)'!$K$3:$M$3))/10^9),0)</f>
        <v>-0.26619257321383988</v>
      </c>
      <c r="S542" s="91">
        <f>IF($O$421&gt;0,IPMT('Assumptions (NG)'!$V$7,Model!AA$1,'Assumptions (NG)'!$V$10,'Assumptions (NG)'!$V$5*Model!$O$421*('Assumptions (NG)'!$N$15*AVERAGE('Assumptions (NG)'!$K$2:$M$2)+'Assumptions (NG)'!$N$16*AVERAGE('Assumptions (NG)'!$K$3:$M$3))/10^9),0)</f>
        <v>-0.23589977442602872</v>
      </c>
      <c r="T542" s="105">
        <f>IF($O$421&gt;0,IPMT('Assumptions (NG)'!$V$7,Model!AB$1,'Assumptions (NG)'!$V$10,'Assumptions (NG)'!$V$5*Model!$O$421*('Assumptions (NG)'!$N$15*AVERAGE('Assumptions (NG)'!$K$2:$M$2)+'Assumptions (NG)'!$N$16*AVERAGE('Assumptions (NG)'!$K$3:$M$3))/10^9),0)</f>
        <v>-0.20333501572913171</v>
      </c>
      <c r="U542" s="105">
        <f>IF($O$421&gt;0,IPMT('Assumptions (NG)'!$V$7,Model!AC$1,'Assumptions (NG)'!$V$10,'Assumptions (NG)'!$V$5*Model!$O$421*('Assumptions (NG)'!$N$15*AVERAGE('Assumptions (NG)'!$K$2:$M$2)+'Assumptions (NG)'!$N$16*AVERAGE('Assumptions (NG)'!$K$3:$M$3))/10^9),0)</f>
        <v>-0.16832790012996743</v>
      </c>
      <c r="V542" s="105">
        <f>IF($O$421&gt;0,IPMT('Assumptions (NG)'!$V$7,Model!AD$1,'Assumptions (NG)'!$V$10,'Assumptions (NG)'!$V$5*Model!$O$421*('Assumptions (NG)'!$N$15*AVERAGE('Assumptions (NG)'!$K$2:$M$2)+'Assumptions (NG)'!$N$16*AVERAGE('Assumptions (NG)'!$K$3:$M$3))/10^9),0)</f>
        <v>-0.13069525086086578</v>
      </c>
      <c r="W542" s="105">
        <f>IF($O$421&gt;0,IPMT('Assumptions (NG)'!$V$7,Model!AE$1,'Assumptions (NG)'!$V$10,'Assumptions (NG)'!$V$5*Model!$O$421*('Assumptions (NG)'!$N$15*AVERAGE('Assumptions (NG)'!$K$2:$M$2)+'Assumptions (NG)'!$N$16*AVERAGE('Assumptions (NG)'!$K$3:$M$3))/10^9),0)</f>
        <v>-9.0240152896581549E-2</v>
      </c>
      <c r="X542" s="105">
        <f>IF($O$421&gt;0,IPMT('Assumptions (NG)'!$V$7,Model!AF$1,'Assumptions (NG)'!$V$10,'Assumptions (NG)'!$V$5*Model!$O$421*('Assumptions (NG)'!$N$15*AVERAGE('Assumptions (NG)'!$K$2:$M$2)+'Assumptions (NG)'!$N$16*AVERAGE('Assumptions (NG)'!$K$3:$M$3))/10^9),0)</f>
        <v>-4.6750922584975978E-2</v>
      </c>
      <c r="Y542" s="105" t="e">
        <f>IF($O$421&gt;0,IPMT('Assumptions (NG)'!$V$7,Model!AG$1,'Assumptions (NG)'!$V$10,'Assumptions (NG)'!$V$5*Model!$O$421*('Assumptions (NG)'!$N$15*AVERAGE('Assumptions (NG)'!$K$2:$M$2)+'Assumptions (NG)'!$N$16*AVERAGE('Assumptions (NG)'!$K$3:$M$3))/10^9),0)</f>
        <v>#NUM!</v>
      </c>
      <c r="Z542" s="105" t="e">
        <f>IF($O$421&gt;0,IPMT('Assumptions (NG)'!$V$7,Model!AH$1,'Assumptions (NG)'!$V$10,'Assumptions (NG)'!$V$5*Model!$O$421*('Assumptions (NG)'!$N$15*AVERAGE('Assumptions (NG)'!$K$2:$M$2)+'Assumptions (NG)'!$N$16*AVERAGE('Assumptions (NG)'!$K$3:$M$3))/10^9),0)</f>
        <v>#NUM!</v>
      </c>
      <c r="AA542" s="105" t="e">
        <f>IF($O$421&gt;0,IPMT('Assumptions (NG)'!$V$7,Model!AI$1,'Assumptions (NG)'!$V$10,'Assumptions (NG)'!$V$5*Model!$O$421*('Assumptions (NG)'!$N$15*AVERAGE('Assumptions (NG)'!$K$2:$M$2)+'Assumptions (NG)'!$N$16*AVERAGE('Assumptions (NG)'!$K$3:$M$3))/10^9),0)</f>
        <v>#NUM!</v>
      </c>
      <c r="AB542" s="105" t="e">
        <f>IF($O$421&gt;0,IPMT('Assumptions (NG)'!$V$7,Model!AJ$1,'Assumptions (NG)'!$V$10,'Assumptions (NG)'!$V$5*Model!$O$421*('Assumptions (NG)'!$N$15*AVERAGE('Assumptions (NG)'!$K$2:$M$2)+'Assumptions (NG)'!$N$16*AVERAGE('Assumptions (NG)'!$K$3:$M$3))/10^9),0)</f>
        <v>#NUM!</v>
      </c>
      <c r="AC542" s="105" t="e">
        <f>IF($O$421&gt;0,IPMT('Assumptions (NG)'!$V$7,Model!AK$1,'Assumptions (NG)'!$V$10,'Assumptions (NG)'!$V$5*Model!$O$421*('Assumptions (NG)'!$N$15*AVERAGE('Assumptions (NG)'!$K$2:$M$2)+'Assumptions (NG)'!$N$16*AVERAGE('Assumptions (NG)'!$K$3:$M$3))/10^9),0)</f>
        <v>#NUM!</v>
      </c>
      <c r="AD542" s="105"/>
      <c r="AE542" s="105"/>
      <c r="AF542" s="105"/>
      <c r="AG542" s="105"/>
      <c r="AH542" s="105"/>
      <c r="AI542" s="105"/>
      <c r="AJ542" s="105"/>
      <c r="AK542" s="105"/>
      <c r="AL542" s="105"/>
      <c r="AM542" s="105"/>
      <c r="AU542" s="105"/>
      <c r="AV542" s="105"/>
      <c r="AW542" s="105"/>
      <c r="AX542" s="105"/>
      <c r="AY542" s="105"/>
      <c r="AZ542" s="105"/>
      <c r="BA542" s="105"/>
    </row>
    <row r="543" spans="1:62" ht="15.75" hidden="1" customHeight="1" outlineLevel="1">
      <c r="A543" s="379"/>
      <c r="B543" s="99"/>
      <c r="C543" s="105"/>
      <c r="D543" s="105"/>
      <c r="E543" s="105"/>
      <c r="F543" s="105"/>
      <c r="G543" s="105"/>
      <c r="H543" s="105"/>
      <c r="I543" s="105"/>
      <c r="J543" s="105"/>
      <c r="K543" s="105"/>
      <c r="L543" s="105"/>
      <c r="M543" s="105"/>
      <c r="N543" s="105"/>
      <c r="O543" s="105"/>
      <c r="P543" s="91">
        <f>IF($P$421&gt;0,IPMT('Assumptions (NG)'!$V$7,Model!W$1,'Assumptions (NG)'!$V$10,'Assumptions (NG)'!$V$5*Model!$P$421*('Assumptions (NG)'!$O$15*AVERAGE('Assumptions (NG)'!$L$2:$N$2)+'Assumptions (NG)'!$O$16*AVERAGE('Assumptions (NG)'!$L$3:$N$3))/10^9),0)</f>
        <v>-0.24956731344190458</v>
      </c>
      <c r="Q543" s="91">
        <f>IF($P$421&gt;0,IPMT('Assumptions (NG)'!$V$7,Model!X$1,'Assumptions (NG)'!$V$10,'Assumptions (NG)'!$V$5*Model!$P$421*('Assumptions (NG)'!$O$15*AVERAGE('Assumptions (NG)'!$L$2:$N$2)+'Assumptions (NG)'!$O$16*AVERAGE('Assumptions (NG)'!$L$3:$N$3))/10^9),0)</f>
        <v>-0.2319264164360178</v>
      </c>
      <c r="R543" s="91">
        <f>IF($P$421&gt;0,IPMT('Assumptions (NG)'!$V$7,Model!Y$1,'Assumptions (NG)'!$V$10,'Assumptions (NG)'!$V$5*Model!$P$421*('Assumptions (NG)'!$O$15*AVERAGE('Assumptions (NG)'!$L$2:$N$2)+'Assumptions (NG)'!$O$16*AVERAGE('Assumptions (NG)'!$L$3:$N$3))/10^9),0)</f>
        <v>-0.21296245215468954</v>
      </c>
      <c r="S543" s="91">
        <f>IF($P$421&gt;0,IPMT('Assumptions (NG)'!$V$7,Model!Z$1,'Assumptions (NG)'!$V$10,'Assumptions (NG)'!$V$5*Model!$P$421*('Assumptions (NG)'!$O$15*AVERAGE('Assumptions (NG)'!$L$2:$N$2)+'Assumptions (NG)'!$O$16*AVERAGE('Assumptions (NG)'!$L$3:$N$3))/10^9),0)</f>
        <v>-0.19257619055226158</v>
      </c>
      <c r="T543" s="91">
        <f>IF($P$421&gt;0,IPMT('Assumptions (NG)'!$V$7,Model!AA$1,'Assumptions (NG)'!$V$10,'Assumptions (NG)'!$V$5*Model!$P$421*('Assumptions (NG)'!$O$15*AVERAGE('Assumptions (NG)'!$L$2:$N$2)+'Assumptions (NG)'!$O$16*AVERAGE('Assumptions (NG)'!$L$3:$N$3))/10^9),0)</f>
        <v>-0.17066095932965156</v>
      </c>
      <c r="U543" s="91">
        <f>IF($P$421&gt;0,IPMT('Assumptions (NG)'!$V$7,Model!AB$1,'Assumptions (NG)'!$V$10,'Assumptions (NG)'!$V$5*Model!$P$421*('Assumptions (NG)'!$O$15*AVERAGE('Assumptions (NG)'!$L$2:$N$2)+'Assumptions (NG)'!$O$16*AVERAGE('Assumptions (NG)'!$L$3:$N$3))/10^9),0)</f>
        <v>-0.14710208576534581</v>
      </c>
      <c r="V543" s="91">
        <f>IF($P$421&gt;0,IPMT('Assumptions (NG)'!$V$7,Model!AC$1,'Assumptions (NG)'!$V$10,'Assumptions (NG)'!$V$5*Model!$P$421*('Assumptions (NG)'!$O$15*AVERAGE('Assumptions (NG)'!$L$2:$N$2)+'Assumptions (NG)'!$O$16*AVERAGE('Assumptions (NG)'!$L$3:$N$3))/10^9),0)</f>
        <v>-0.12177629668371714</v>
      </c>
      <c r="W543" s="91">
        <f>IF($P$421&gt;0,IPMT('Assumptions (NG)'!$V$7,Model!AD$1,'Assumptions (NG)'!$V$10,'Assumptions (NG)'!$V$5*Model!$P$421*('Assumptions (NG)'!$O$15*AVERAGE('Assumptions (NG)'!$L$2:$N$2)+'Assumptions (NG)'!$O$16*AVERAGE('Assumptions (NG)'!$L$3:$N$3))/10^9),0)</f>
        <v>-9.4551073420966275E-2</v>
      </c>
      <c r="X543" s="91">
        <f>IF($P$421&gt;0,IPMT('Assumptions (NG)'!$V$7,Model!AE$1,'Assumptions (NG)'!$V$10,'Assumptions (NG)'!$V$5*Model!$P$421*('Assumptions (NG)'!$O$15*AVERAGE('Assumptions (NG)'!$L$2:$N$2)+'Assumptions (NG)'!$O$16*AVERAGE('Assumptions (NG)'!$L$3:$N$3))/10^9),0)</f>
        <v>-6.5283958413509133E-2</v>
      </c>
      <c r="Y543" s="91">
        <f>IF($P$421&gt;0,IPMT('Assumptions (NG)'!$V$7,Model!AF$1,'Assumptions (NG)'!$V$10,'Assumptions (NG)'!$V$5*Model!$P$421*('Assumptions (NG)'!$O$15*AVERAGE('Assumptions (NG)'!$L$2:$N$2)+'Assumptions (NG)'!$O$16*AVERAGE('Assumptions (NG)'!$L$3:$N$3))/10^9),0)</f>
        <v>-3.3821809780492679E-2</v>
      </c>
      <c r="Z543" s="91" t="e">
        <f>IF($P$421&gt;0,IPMT('Assumptions (NG)'!$V$7,Model!AG$1,'Assumptions (NG)'!$V$10,'Assumptions (NG)'!$V$5*Model!$P$421*('Assumptions (NG)'!$O$15*AVERAGE('Assumptions (NG)'!$L$2:$N$2)+'Assumptions (NG)'!$O$16*AVERAGE('Assumptions (NG)'!$L$3:$N$3))/10^9),0)</f>
        <v>#NUM!</v>
      </c>
      <c r="AA543" s="91" t="e">
        <f>IF($P$421&gt;0,IPMT('Assumptions (NG)'!$V$7,Model!AH$1,'Assumptions (NG)'!$V$10,'Assumptions (NG)'!$V$5*Model!$P$421*('Assumptions (NG)'!$O$15*AVERAGE('Assumptions (NG)'!$L$2:$N$2)+'Assumptions (NG)'!$O$16*AVERAGE('Assumptions (NG)'!$L$3:$N$3))/10^9),0)</f>
        <v>#NUM!</v>
      </c>
      <c r="AB543" s="91" t="e">
        <f>IF($P$421&gt;0,IPMT('Assumptions (NG)'!$V$7,Model!AI$1,'Assumptions (NG)'!$V$10,'Assumptions (NG)'!$V$5*Model!$P$421*('Assumptions (NG)'!$O$15*AVERAGE('Assumptions (NG)'!$L$2:$N$2)+'Assumptions (NG)'!$O$16*AVERAGE('Assumptions (NG)'!$L$3:$N$3))/10^9),0)</f>
        <v>#NUM!</v>
      </c>
      <c r="AC543" s="91" t="e">
        <f>IF($P$421&gt;0,IPMT('Assumptions (NG)'!$V$7,Model!AJ$1,'Assumptions (NG)'!$V$10,'Assumptions (NG)'!$V$5*Model!$P$421*('Assumptions (NG)'!$O$15*AVERAGE('Assumptions (NG)'!$L$2:$N$2)+'Assumptions (NG)'!$O$16*AVERAGE('Assumptions (NG)'!$L$3:$N$3))/10^9),0)</f>
        <v>#NUM!</v>
      </c>
      <c r="AD543" s="91" t="e">
        <f>IF($P$421&gt;0,IPMT('Assumptions (NG)'!$V$7,Model!AK$1,'Assumptions (NG)'!$V$10,'Assumptions (NG)'!$V$5*Model!$P$421*('Assumptions (NG)'!$O$15*AVERAGE('Assumptions (NG)'!$L$2:$N$2)+'Assumptions (NG)'!$O$16*AVERAGE('Assumptions (NG)'!$L$3:$N$3))/10^9),0)</f>
        <v>#NUM!</v>
      </c>
      <c r="AE543" s="91"/>
      <c r="AF543" s="91"/>
      <c r="AG543" s="91"/>
      <c r="AH543" s="91"/>
      <c r="AI543" s="91"/>
      <c r="AJ543" s="91"/>
      <c r="AK543" s="91"/>
      <c r="AL543" s="91"/>
      <c r="AM543" s="91"/>
      <c r="AN543" s="91"/>
      <c r="AU543" s="105"/>
      <c r="AV543" s="105"/>
      <c r="AW543" s="105"/>
      <c r="AX543" s="105"/>
      <c r="AY543" s="105"/>
      <c r="AZ543" s="105"/>
      <c r="BA543" s="105"/>
    </row>
    <row r="544" spans="1:62" ht="15.75" hidden="1" customHeight="1" outlineLevel="1">
      <c r="A544" s="379"/>
      <c r="B544" s="99"/>
      <c r="C544" s="105"/>
      <c r="D544" s="105"/>
      <c r="E544" s="105"/>
      <c r="F544" s="105"/>
      <c r="G544" s="105"/>
      <c r="H544" s="105"/>
      <c r="I544" s="105"/>
      <c r="J544" s="105"/>
      <c r="K544" s="105"/>
      <c r="L544" s="105"/>
      <c r="M544" s="105"/>
      <c r="N544" s="105"/>
      <c r="O544" s="105"/>
      <c r="P544" s="171"/>
      <c r="Q544" s="105">
        <f>IF($Q$421&gt;0,IPMT('Assumptions (NG)'!$V$7,Model!W$1,'Assumptions (NG)'!$V$10,'Assumptions (NG)'!$V$5*Model!$Q$421*('Assumptions (NG)'!$P$15*AVERAGE('Assumptions (NG)'!$M$2:$O$2)+'Assumptions (NG)'!$P$16*AVERAGE('Assumptions (NG)'!$M$3:$O$3))/10^9),0)</f>
        <v>-0.32080355044309744</v>
      </c>
      <c r="R544" s="105">
        <f>IF($Q$421&gt;0,IPMT('Assumptions (NG)'!$V$7,Model!X$1,'Assumptions (NG)'!$V$10,'Assumptions (NG)'!$V$5*Model!$Q$421*('Assumptions (NG)'!$P$15*AVERAGE('Assumptions (NG)'!$M$2:$O$2)+'Assumptions (NG)'!$P$16*AVERAGE('Assumptions (NG)'!$M$3:$O$3))/10^9),0)</f>
        <v>-0.29812725395843426</v>
      </c>
      <c r="S544" s="91">
        <f>IF($Q$421&gt;0,IPMT('Assumptions (NG)'!$V$7,Model!Y$1,'Assumptions (NG)'!$V$10,'Assumptions (NG)'!$V$5*Model!$Q$421*('Assumptions (NG)'!$P$15*AVERAGE('Assumptions (NG)'!$M$2:$O$2)+'Assumptions (NG)'!$P$16*AVERAGE('Assumptions (NG)'!$M$3:$O$3))/10^9),0)</f>
        <v>-0.27375023523742137</v>
      </c>
      <c r="T544" s="105">
        <f>IF($Q$421&gt;0,IPMT('Assumptions (NG)'!$V$7,Model!Z$1,'Assumptions (NG)'!$V$10,'Assumptions (NG)'!$V$5*Model!$Q$421*('Assumptions (NG)'!$P$15*AVERAGE('Assumptions (NG)'!$M$2:$O$2)+'Assumptions (NG)'!$P$16*AVERAGE('Assumptions (NG)'!$M$3:$O$3))/10^9),0)</f>
        <v>-0.24754494011233252</v>
      </c>
      <c r="U544" s="105">
        <f>IF($Q$421&gt;0,IPMT('Assumptions (NG)'!$V$7,Model!AA$1,'Assumptions (NG)'!$V$10,'Assumptions (NG)'!$V$5*Model!$Q$421*('Assumptions (NG)'!$P$15*AVERAGE('Assumptions (NG)'!$M$2:$O$2)+'Assumptions (NG)'!$P$16*AVERAGE('Assumptions (NG)'!$M$3:$O$3))/10^9),0)</f>
        <v>-0.21937424785286197</v>
      </c>
      <c r="V544" s="105">
        <f>IF($Q$421&gt;0,IPMT('Assumptions (NG)'!$V$7,Model!AB$1,'Assumptions (NG)'!$V$10,'Assumptions (NG)'!$V$5*Model!$Q$421*('Assumptions (NG)'!$P$15*AVERAGE('Assumptions (NG)'!$M$2:$O$2)+'Assumptions (NG)'!$P$16*AVERAGE('Assumptions (NG)'!$M$3:$O$3))/10^9),0)</f>
        <v>-0.18909075367393119</v>
      </c>
      <c r="W544" s="105">
        <f>IF($Q$421&gt;0,IPMT('Assumptions (NG)'!$V$7,Model!AC$1,'Assumptions (NG)'!$V$10,'Assumptions (NG)'!$V$5*Model!$Q$421*('Assumptions (NG)'!$P$15*AVERAGE('Assumptions (NG)'!$M$2:$O$2)+'Assumptions (NG)'!$P$16*AVERAGE('Assumptions (NG)'!$M$3:$O$3))/10^9),0)</f>
        <v>-0.15653599743158061</v>
      </c>
      <c r="X544" s="105">
        <f>IF($Q$421&gt;0,IPMT('Assumptions (NG)'!$V$7,Model!AD$1,'Assumptions (NG)'!$V$10,'Assumptions (NG)'!$V$5*Model!$Q$421*('Assumptions (NG)'!$P$15*AVERAGE('Assumptions (NG)'!$M$2:$O$2)+'Assumptions (NG)'!$P$16*AVERAGE('Assumptions (NG)'!$M$3:$O$3))/10^9),0)</f>
        <v>-0.12153963447105365</v>
      </c>
      <c r="Y544" s="105">
        <f>IF($Q$421&gt;0,IPMT('Assumptions (NG)'!$V$7,Model!AE$1,'Assumptions (NG)'!$V$10,'Assumptions (NG)'!$V$5*Model!$Q$421*('Assumptions (NG)'!$P$15*AVERAGE('Assumptions (NG)'!$M$2:$O$2)+'Assumptions (NG)'!$P$16*AVERAGE('Assumptions (NG)'!$M$3:$O$3))/10^9),0)</f>
        <v>-8.3918544288487246E-2</v>
      </c>
      <c r="Z544" s="105">
        <f>IF($Q$421&gt;0,IPMT('Assumptions (NG)'!$V$7,Model!AF$1,'Assumptions (NG)'!$V$10,'Assumptions (NG)'!$V$5*Model!$Q$421*('Assumptions (NG)'!$P$15*AVERAGE('Assumptions (NG)'!$M$2:$O$2)+'Assumptions (NG)'!$P$16*AVERAGE('Assumptions (NG)'!$M$3:$O$3))/10^9),0)</f>
        <v>-4.3475872342228328E-2</v>
      </c>
      <c r="AA544" s="105" t="e">
        <f>IF($Q$421&gt;0,IPMT('Assumptions (NG)'!$V$7,Model!AG$1,'Assumptions (NG)'!$V$10,'Assumptions (NG)'!$V$5*Model!$Q$421*('Assumptions (NG)'!$P$15*AVERAGE('Assumptions (NG)'!$M$2:$O$2)+'Assumptions (NG)'!$P$16*AVERAGE('Assumptions (NG)'!$M$3:$O$3))/10^9),0)</f>
        <v>#NUM!</v>
      </c>
      <c r="AB544" s="105" t="e">
        <f>IF($Q$421&gt;0,IPMT('Assumptions (NG)'!$V$7,Model!AH$1,'Assumptions (NG)'!$V$10,'Assumptions (NG)'!$V$5*Model!$Q$421*('Assumptions (NG)'!$P$15*AVERAGE('Assumptions (NG)'!$M$2:$O$2)+'Assumptions (NG)'!$P$16*AVERAGE('Assumptions (NG)'!$M$3:$O$3))/10^9),0)</f>
        <v>#NUM!</v>
      </c>
      <c r="AC544" s="105" t="e">
        <f>IF($Q$421&gt;0,IPMT('Assumptions (NG)'!$V$7,Model!AI$1,'Assumptions (NG)'!$V$10,'Assumptions (NG)'!$V$5*Model!$Q$421*('Assumptions (NG)'!$P$15*AVERAGE('Assumptions (NG)'!$M$2:$O$2)+'Assumptions (NG)'!$P$16*AVERAGE('Assumptions (NG)'!$M$3:$O$3))/10^9),0)</f>
        <v>#NUM!</v>
      </c>
      <c r="AD544" s="105" t="e">
        <f>IF($Q$421&gt;0,IPMT('Assumptions (NG)'!$V$7,Model!AJ$1,'Assumptions (NG)'!$V$10,'Assumptions (NG)'!$V$5*Model!$Q$421*('Assumptions (NG)'!$P$15*AVERAGE('Assumptions (NG)'!$M$2:$O$2)+'Assumptions (NG)'!$P$16*AVERAGE('Assumptions (NG)'!$M$3:$O$3))/10^9),0)</f>
        <v>#NUM!</v>
      </c>
      <c r="AE544" s="105" t="e">
        <f>IF($Q$421&gt;0,IPMT('Assumptions (NG)'!$V$7,Model!AK$1,'Assumptions (NG)'!$V$10,'Assumptions (NG)'!$V$5*Model!$Q$421*('Assumptions (NG)'!$P$15*AVERAGE('Assumptions (NG)'!$M$2:$O$2)+'Assumptions (NG)'!$P$16*AVERAGE('Assumptions (NG)'!$M$3:$O$3))/10^9),0)</f>
        <v>#NUM!</v>
      </c>
      <c r="AF544" s="105"/>
      <c r="AG544" s="105"/>
      <c r="AH544" s="105"/>
      <c r="AI544" s="105"/>
      <c r="AJ544" s="105"/>
      <c r="AK544" s="105"/>
      <c r="AL544" s="105"/>
      <c r="AM544" s="105"/>
      <c r="AN544" s="105"/>
      <c r="AO544" s="105"/>
      <c r="AU544" s="105"/>
      <c r="AV544" s="105"/>
      <c r="AW544" s="105"/>
      <c r="AX544" s="105"/>
      <c r="AY544" s="105"/>
      <c r="AZ544" s="105"/>
      <c r="BA544" s="105"/>
    </row>
    <row r="545" spans="1:57" ht="15.75" hidden="1" customHeight="1" outlineLevel="1">
      <c r="A545" s="379"/>
      <c r="B545" s="99"/>
      <c r="C545" s="105"/>
      <c r="D545" s="105"/>
      <c r="E545" s="105"/>
      <c r="F545" s="105"/>
      <c r="G545" s="105"/>
      <c r="H545" s="105"/>
      <c r="I545" s="105"/>
      <c r="J545" s="105"/>
      <c r="K545" s="105"/>
      <c r="L545" s="105"/>
      <c r="M545" s="105"/>
      <c r="N545" s="105"/>
      <c r="O545" s="105"/>
      <c r="P545" s="171"/>
      <c r="Q545" s="105"/>
      <c r="R545" s="91">
        <f>IF($R$421&gt;0,IPMT('Assumptions (NG)'!$V$7,Model!W$1,'Assumptions (NG)'!$V$10,'Assumptions (NG)'!$V$5*Model!$R$421*('Assumptions (NG)'!$Q$15*AVERAGE('Assumptions (NG)'!$N$2:$P$2)+'Assumptions (NG)'!$Q$16*AVERAGE('Assumptions (NG)'!$N$3:$P$3))/10^9),0)</f>
        <v>-0.22234982788019278</v>
      </c>
      <c r="S545" s="91">
        <f>IF($R$421&gt;0,IPMT('Assumptions (NG)'!$V$7,Model!X$1,'Assumptions (NG)'!$V$10,'Assumptions (NG)'!$V$5*Model!$R$421*('Assumptions (NG)'!$Q$15*AVERAGE('Assumptions (NG)'!$N$2:$P$2)+'Assumptions (NG)'!$Q$16*AVERAGE('Assumptions (NG)'!$N$3:$P$3))/10^9),0)</f>
        <v>-0.20663282408344269</v>
      </c>
      <c r="T545" s="91">
        <f>IF($R$421&gt;0,IPMT('Assumptions (NG)'!$V$7,Model!Y$1,'Assumptions (NG)'!$V$10,'Assumptions (NG)'!$V$5*Model!$R$421*('Assumptions (NG)'!$Q$15*AVERAGE('Assumptions (NG)'!$N$2:$P$2)+'Assumptions (NG)'!$Q$16*AVERAGE('Assumptions (NG)'!$N$3:$P$3))/10^9),0)</f>
        <v>-0.18973704500193633</v>
      </c>
      <c r="U545" s="91">
        <f>IF($R$421&gt;0,IPMT('Assumptions (NG)'!$V$7,Model!Z$1,'Assumptions (NG)'!$V$10,'Assumptions (NG)'!$V$5*Model!$R$421*('Assumptions (NG)'!$Q$15*AVERAGE('Assumptions (NG)'!$N$2:$P$2)+'Assumptions (NG)'!$Q$16*AVERAGE('Assumptions (NG)'!$N$3:$P$3))/10^9),0)</f>
        <v>-0.17157408248931702</v>
      </c>
      <c r="V545" s="91">
        <f>IF($R$421&gt;0,IPMT('Assumptions (NG)'!$V$7,Model!AA$1,'Assumptions (NG)'!$V$10,'Assumptions (NG)'!$V$5*Model!$R$421*('Assumptions (NG)'!$Q$15*AVERAGE('Assumptions (NG)'!$N$2:$P$2)+'Assumptions (NG)'!$Q$16*AVERAGE('Assumptions (NG)'!$N$3:$P$3))/10^9),0)</f>
        <v>-0.15204889778825123</v>
      </c>
      <c r="W545" s="91">
        <f>IF($R$421&gt;0,IPMT('Assumptions (NG)'!$V$7,Model!AB$1,'Assumptions (NG)'!$V$10,'Assumptions (NG)'!$V$5*Model!$R$421*('Assumptions (NG)'!$Q$15*AVERAGE('Assumptions (NG)'!$N$2:$P$2)+'Assumptions (NG)'!$Q$16*AVERAGE('Assumptions (NG)'!$N$3:$P$3))/10^9),0)</f>
        <v>-0.13105932423460553</v>
      </c>
      <c r="X545" s="91">
        <f>IF($R$421&gt;0,IPMT('Assumptions (NG)'!$V$7,Model!AC$1,'Assumptions (NG)'!$V$10,'Assumptions (NG)'!$V$5*Model!$R$421*('Assumptions (NG)'!$Q$15*AVERAGE('Assumptions (NG)'!$N$2:$P$2)+'Assumptions (NG)'!$Q$16*AVERAGE('Assumptions (NG)'!$N$3:$P$3))/10^9),0)</f>
        <v>-0.1084955326644364</v>
      </c>
      <c r="Y545" s="91">
        <f>IF($R$421&gt;0,IPMT('Assumptions (NG)'!$V$7,Model!AD$1,'Assumptions (NG)'!$V$10,'Assumptions (NG)'!$V$5*Model!$R$421*('Assumptions (NG)'!$Q$15*AVERAGE('Assumptions (NG)'!$N$2:$P$2)+'Assumptions (NG)'!$Q$16*AVERAGE('Assumptions (NG)'!$N$3:$P$3))/10^9),0)</f>
        <v>-8.4239456726504555E-2</v>
      </c>
      <c r="Z545" s="91">
        <f>IF($R$421&gt;0,IPMT('Assumptions (NG)'!$V$7,Model!AE$1,'Assumptions (NG)'!$V$10,'Assumptions (NG)'!$V$5*Model!$R$421*('Assumptions (NG)'!$Q$15*AVERAGE('Assumptions (NG)'!$N$2:$P$2)+'Assumptions (NG)'!$Q$16*AVERAGE('Assumptions (NG)'!$N$3:$P$3))/10^9),0)</f>
        <v>-5.8164175093227855E-2</v>
      </c>
      <c r="AA545" s="91">
        <f>IF($R$421&gt;0,IPMT('Assumptions (NG)'!$V$7,Model!AF$1,'Assumptions (NG)'!$V$10,'Assumptions (NG)'!$V$5*Model!$R$421*('Assumptions (NG)'!$Q$15*AVERAGE('Assumptions (NG)'!$N$2:$P$2)+'Assumptions (NG)'!$Q$16*AVERAGE('Assumptions (NG)'!$N$3:$P$3))/10^9),0)</f>
        <v>-3.0133247337455399E-2</v>
      </c>
      <c r="AB545" s="91" t="e">
        <f>IF($R$421&gt;0,IPMT('Assumptions (NG)'!$V$7,Model!AG$1,'Assumptions (NG)'!$V$10,'Assumptions (NG)'!$V$5*Model!$R$421*('Assumptions (NG)'!$Q$15*AVERAGE('Assumptions (NG)'!$N$2:$P$2)+'Assumptions (NG)'!$Q$16*AVERAGE('Assumptions (NG)'!$N$3:$P$3))/10^9),0)</f>
        <v>#NUM!</v>
      </c>
      <c r="AC545" s="91" t="e">
        <f>IF($R$421&gt;0,IPMT('Assumptions (NG)'!$V$7,Model!AH$1,'Assumptions (NG)'!$V$10,'Assumptions (NG)'!$V$5*Model!$R$421*('Assumptions (NG)'!$Q$15*AVERAGE('Assumptions (NG)'!$N$2:$P$2)+'Assumptions (NG)'!$Q$16*AVERAGE('Assumptions (NG)'!$N$3:$P$3))/10^9),0)</f>
        <v>#NUM!</v>
      </c>
      <c r="AD545" s="91" t="e">
        <f>IF($R$421&gt;0,IPMT('Assumptions (NG)'!$V$7,Model!AI$1,'Assumptions (NG)'!$V$10,'Assumptions (NG)'!$V$5*Model!$R$421*('Assumptions (NG)'!$Q$15*AVERAGE('Assumptions (NG)'!$N$2:$P$2)+'Assumptions (NG)'!$Q$16*AVERAGE('Assumptions (NG)'!$N$3:$P$3))/10^9),0)</f>
        <v>#NUM!</v>
      </c>
      <c r="AE545" s="91" t="e">
        <f>IF($R$421&gt;0,IPMT('Assumptions (NG)'!$V$7,Model!AJ$1,'Assumptions (NG)'!$V$10,'Assumptions (NG)'!$V$5*Model!$R$421*('Assumptions (NG)'!$Q$15*AVERAGE('Assumptions (NG)'!$N$2:$P$2)+'Assumptions (NG)'!$Q$16*AVERAGE('Assumptions (NG)'!$N$3:$P$3))/10^9),0)</f>
        <v>#NUM!</v>
      </c>
      <c r="AF545" s="91" t="e">
        <f>IF($R$421&gt;0,IPMT('Assumptions (NG)'!$V$7,Model!AK$1,'Assumptions (NG)'!$V$10,'Assumptions (NG)'!$V$5*Model!$R$421*('Assumptions (NG)'!$Q$15*AVERAGE('Assumptions (NG)'!$N$2:$P$2)+'Assumptions (NG)'!$Q$16*AVERAGE('Assumptions (NG)'!$N$3:$P$3))/10^9),0)</f>
        <v>#NUM!</v>
      </c>
      <c r="AG545" s="91"/>
      <c r="AH545" s="91"/>
      <c r="AI545" s="91"/>
      <c r="AJ545" s="91"/>
      <c r="AK545" s="91"/>
      <c r="AL545" s="91"/>
      <c r="AM545" s="91"/>
      <c r="AN545" s="91"/>
      <c r="AO545" s="91"/>
      <c r="AP545" s="91"/>
      <c r="AU545" s="105"/>
      <c r="AV545" s="105"/>
      <c r="AW545" s="105"/>
      <c r="AX545" s="105"/>
      <c r="AY545" s="105"/>
      <c r="AZ545" s="105"/>
      <c r="BA545" s="105"/>
    </row>
    <row r="546" spans="1:57" ht="15.75" hidden="1" customHeight="1" outlineLevel="1">
      <c r="A546" s="379"/>
      <c r="B546" s="99"/>
      <c r="C546" s="105"/>
      <c r="D546" s="105"/>
      <c r="E546" s="105"/>
      <c r="F546" s="105"/>
      <c r="G546" s="105"/>
      <c r="H546" s="105"/>
      <c r="I546" s="105"/>
      <c r="J546" s="105"/>
      <c r="K546" s="105"/>
      <c r="L546" s="105"/>
      <c r="M546" s="105"/>
      <c r="N546" s="105"/>
      <c r="O546" s="105"/>
      <c r="P546" s="171"/>
      <c r="Q546" s="105"/>
      <c r="R546" s="91"/>
      <c r="S546" s="91">
        <f>IF($S$421&gt;0,IPMT('Assumptions (NG)'!$V$7,Model!W$1,'Assumptions (NG)'!$V$10,'Assumptions (NG)'!$V$5*Model!$S$421*('Assumptions (NG)'!$R$15*AVERAGE('Assumptions (NG)'!$O$2:$Q$2)+'Assumptions (NG)'!$R$16*AVERAGE('Assumptions (NG)'!$O$3:$Q$3))/10^9),0)</f>
        <v>-0.35618861785118067</v>
      </c>
      <c r="T546" s="105">
        <f>IF($S$421&gt;0,IPMT('Assumptions (NG)'!$V$7,Model!X$1,'Assumptions (NG)'!$V$10,'Assumptions (NG)'!$V$5*Model!$S$421*('Assumptions (NG)'!$R$15*AVERAGE('Assumptions (NG)'!$O$2:$Q$2)+'Assumptions (NG)'!$R$16*AVERAGE('Assumptions (NG)'!$O$3:$Q$3))/10^9),0)</f>
        <v>-0.3310110950597413</v>
      </c>
      <c r="U546" s="105">
        <f>IF($S$421&gt;0,IPMT('Assumptions (NG)'!$V$7,Model!Y$1,'Assumptions (NG)'!$V$10,'Assumptions (NG)'!$V$5*Model!$S$421*('Assumptions (NG)'!$R$15*AVERAGE('Assumptions (NG)'!$O$2:$Q$2)+'Assumptions (NG)'!$R$16*AVERAGE('Assumptions (NG)'!$O$3:$Q$3))/10^9),0)</f>
        <v>-0.30394525805894401</v>
      </c>
      <c r="V546" s="105">
        <f>IF($S$421&gt;0,IPMT('Assumptions (NG)'!$V$7,Model!Z$1,'Assumptions (NG)'!$V$10,'Assumptions (NG)'!$V$5*Model!$S$421*('Assumptions (NG)'!$R$15*AVERAGE('Assumptions (NG)'!$O$2:$Q$2)+'Assumptions (NG)'!$R$16*AVERAGE('Assumptions (NG)'!$O$3:$Q$3))/10^9),0)</f>
        <v>-0.27484948328308689</v>
      </c>
      <c r="W546" s="105">
        <f>IF($S$421&gt;0,IPMT('Assumptions (NG)'!$V$7,Model!AA$1,'Assumptions (NG)'!$V$10,'Assumptions (NG)'!$V$5*Model!$S$421*('Assumptions (NG)'!$R$15*AVERAGE('Assumptions (NG)'!$O$2:$Q$2)+'Assumptions (NG)'!$R$16*AVERAGE('Assumptions (NG)'!$O$3:$Q$3))/10^9),0)</f>
        <v>-0.24357152539904045</v>
      </c>
      <c r="X546" s="105">
        <f>IF($S$421&gt;0,IPMT('Assumptions (NG)'!$V$7,Model!AB$1,'Assumptions (NG)'!$V$10,'Assumptions (NG)'!$V$5*Model!$S$421*('Assumptions (NG)'!$R$15*AVERAGE('Assumptions (NG)'!$O$2:$Q$2)+'Assumptions (NG)'!$R$16*AVERAGE('Assumptions (NG)'!$O$3:$Q$3))/10^9),0)</f>
        <v>-0.20994772067369058</v>
      </c>
      <c r="Y546" s="105">
        <f>IF($S$421&gt;0,IPMT('Assumptions (NG)'!$V$7,Model!AC$1,'Assumptions (NG)'!$V$10,'Assumptions (NG)'!$V$5*Model!$S$421*('Assumptions (NG)'!$R$15*AVERAGE('Assumptions (NG)'!$O$2:$Q$2)+'Assumptions (NG)'!$R$16*AVERAGE('Assumptions (NG)'!$O$3:$Q$3))/10^9),0)</f>
        <v>-0.17380213059393948</v>
      </c>
      <c r="Z546" s="105">
        <f>IF($S$421&gt;0,IPMT('Assumptions (NG)'!$V$7,Model!AD$1,'Assumptions (NG)'!$V$10,'Assumptions (NG)'!$V$5*Model!$S$421*('Assumptions (NG)'!$R$15*AVERAGE('Assumptions (NG)'!$O$2:$Q$2)+'Assumptions (NG)'!$R$16*AVERAGE('Assumptions (NG)'!$O$3:$Q$3))/10^9),0)</f>
        <v>-0.13494562125820697</v>
      </c>
      <c r="AA546" s="105">
        <f>IF($S$421&gt;0,IPMT('Assumptions (NG)'!$V$7,Model!AE$1,'Assumptions (NG)'!$V$10,'Assumptions (NG)'!$V$5*Model!$S$421*('Assumptions (NG)'!$R$15*AVERAGE('Assumptions (NG)'!$O$2:$Q$2)+'Assumptions (NG)'!$R$16*AVERAGE('Assumptions (NG)'!$O$3:$Q$3))/10^9),0)</f>
        <v>-9.3174873722294604E-2</v>
      </c>
      <c r="AB546" s="105">
        <f>IF($S$421&gt;0,IPMT('Assumptions (NG)'!$V$7,Model!AF$1,'Assumptions (NG)'!$V$10,'Assumptions (NG)'!$V$5*Model!$S$421*('Assumptions (NG)'!$R$15*AVERAGE('Assumptions (NG)'!$O$2:$Q$2)+'Assumptions (NG)'!$R$16*AVERAGE('Assumptions (NG)'!$O$3:$Q$3))/10^9),0)</f>
        <v>-4.8271320121188767E-2</v>
      </c>
      <c r="AC546" s="105" t="e">
        <f>IF($S$421&gt;0,IPMT('Assumptions (NG)'!$V$7,Model!AG$1,'Assumptions (NG)'!$V$10,'Assumptions (NG)'!$V$5*Model!$S$421*('Assumptions (NG)'!$R$15*AVERAGE('Assumptions (NG)'!$O$2:$Q$2)+'Assumptions (NG)'!$R$16*AVERAGE('Assumptions (NG)'!$O$3:$Q$3))/10^9),0)</f>
        <v>#NUM!</v>
      </c>
      <c r="AD546" s="105" t="e">
        <f>IF($S$421&gt;0,IPMT('Assumptions (NG)'!$V$7,Model!AH$1,'Assumptions (NG)'!$V$10,'Assumptions (NG)'!$V$5*Model!$S$421*('Assumptions (NG)'!$R$15*AVERAGE('Assumptions (NG)'!$O$2:$Q$2)+'Assumptions (NG)'!$R$16*AVERAGE('Assumptions (NG)'!$O$3:$Q$3))/10^9),0)</f>
        <v>#NUM!</v>
      </c>
      <c r="AE546" s="105" t="e">
        <f>IF($S$421&gt;0,IPMT('Assumptions (NG)'!$V$7,Model!AI$1,'Assumptions (NG)'!$V$10,'Assumptions (NG)'!$V$5*Model!$S$421*('Assumptions (NG)'!$R$15*AVERAGE('Assumptions (NG)'!$O$2:$Q$2)+'Assumptions (NG)'!$R$16*AVERAGE('Assumptions (NG)'!$O$3:$Q$3))/10^9),0)</f>
        <v>#NUM!</v>
      </c>
      <c r="AF546" s="105" t="e">
        <f>IF($S$421&gt;0,IPMT('Assumptions (NG)'!$V$7,Model!AJ$1,'Assumptions (NG)'!$V$10,'Assumptions (NG)'!$V$5*Model!$S$421*('Assumptions (NG)'!$R$15*AVERAGE('Assumptions (NG)'!$O$2:$Q$2)+'Assumptions (NG)'!$R$16*AVERAGE('Assumptions (NG)'!$O$3:$Q$3))/10^9),0)</f>
        <v>#NUM!</v>
      </c>
      <c r="AG546" s="105" t="e">
        <f>IF($S$421&gt;0,IPMT('Assumptions (NG)'!$V$7,Model!AK$1,'Assumptions (NG)'!$V$10,'Assumptions (NG)'!$V$5*Model!$S$421*('Assumptions (NG)'!$R$15*AVERAGE('Assumptions (NG)'!$O$2:$Q$2)+'Assumptions (NG)'!$R$16*AVERAGE('Assumptions (NG)'!$O$3:$Q$3))/10^9),0)</f>
        <v>#NUM!</v>
      </c>
      <c r="AH546" s="105"/>
      <c r="AI546" s="105"/>
      <c r="AJ546" s="105"/>
      <c r="AK546" s="105"/>
      <c r="AL546" s="105"/>
      <c r="AM546" s="105"/>
      <c r="AN546" s="105"/>
      <c r="AO546" s="105"/>
      <c r="AP546" s="105"/>
      <c r="AQ546" s="105"/>
      <c r="AU546" s="105"/>
      <c r="AV546" s="105"/>
      <c r="AW546" s="105"/>
      <c r="AX546" s="105"/>
      <c r="AY546" s="105"/>
      <c r="AZ546" s="105"/>
      <c r="BA546" s="105"/>
    </row>
    <row r="547" spans="1:57" ht="15.75" hidden="1" customHeight="1" outlineLevel="1">
      <c r="A547" s="379"/>
      <c r="B547" s="99"/>
      <c r="C547" s="105"/>
      <c r="D547" s="105"/>
      <c r="E547" s="105"/>
      <c r="F547" s="105"/>
      <c r="G547" s="105"/>
      <c r="H547" s="105"/>
      <c r="I547" s="105"/>
      <c r="J547" s="105"/>
      <c r="K547" s="105"/>
      <c r="L547" s="105"/>
      <c r="M547" s="105"/>
      <c r="N547" s="105"/>
      <c r="O547" s="105"/>
      <c r="P547" s="171"/>
      <c r="Q547" s="105"/>
      <c r="R547" s="91"/>
      <c r="S547" s="91"/>
      <c r="T547" s="105">
        <f>IF($T$421&gt;0,IPMT('Assumptions (NG)'!$V$7,Model!W$1,'Assumptions (NG)'!$V$10,'Assumptions (NG)'!$V$5*Model!$T$421*('Assumptions (NG)'!$S$15*AVERAGE('Assumptions (NG)'!$P$2:$R$2)+'Assumptions (NG)'!$S$16*AVERAGE('Assumptions (NG)'!$P$3:$R$3))/10^9),0)</f>
        <v>-0.37420847138953556</v>
      </c>
      <c r="U547" s="105">
        <f>IF($T$421&gt;0,IPMT('Assumptions (NG)'!$V$7,Model!X$1,'Assumptions (NG)'!$V$10,'Assumptions (NG)'!$V$5*Model!$T$421*('Assumptions (NG)'!$S$15*AVERAGE('Assumptions (NG)'!$P$2:$R$2)+'Assumptions (NG)'!$S$16*AVERAGE('Assumptions (NG)'!$P$3:$R$3))/10^9),0)</f>
        <v>-0.34775719853865467</v>
      </c>
      <c r="V547" s="105">
        <f>IF($T$421&gt;0,IPMT('Assumptions (NG)'!$V$7,Model!Y$1,'Assumptions (NG)'!$V$10,'Assumptions (NG)'!$V$5*Model!$T$421*('Assumptions (NG)'!$S$15*AVERAGE('Assumptions (NG)'!$P$2:$R$2)+'Assumptions (NG)'!$S$16*AVERAGE('Assumptions (NG)'!$P$3:$R$3))/10^9),0)</f>
        <v>-0.31932208022395769</v>
      </c>
      <c r="W547" s="105">
        <f>IF($T$421&gt;0,IPMT('Assumptions (NG)'!$V$7,Model!Z$1,'Assumptions (NG)'!$V$10,'Assumptions (NG)'!$V$5*Model!$T$421*('Assumptions (NG)'!$S$15*AVERAGE('Assumptions (NG)'!$P$2:$R$2)+'Assumptions (NG)'!$S$16*AVERAGE('Assumptions (NG)'!$P$3:$R$3))/10^9),0)</f>
        <v>-0.28875432803565848</v>
      </c>
      <c r="X547" s="105">
        <f>IF($T$421&gt;0,IPMT('Assumptions (NG)'!$V$7,Model!AA$1,'Assumptions (NG)'!$V$10,'Assumptions (NG)'!$V$5*Model!$T$421*('Assumptions (NG)'!$S$15*AVERAGE('Assumptions (NG)'!$P$2:$R$2)+'Assumptions (NG)'!$S$16*AVERAGE('Assumptions (NG)'!$P$3:$R$3))/10^9),0)</f>
        <v>-0.25589399443323685</v>
      </c>
      <c r="Y547" s="105">
        <f>IF($T$421&gt;0,IPMT('Assumptions (NG)'!$V$7,Model!AB$1,'Assumptions (NG)'!$V$10,'Assumptions (NG)'!$V$5*Model!$T$421*('Assumptions (NG)'!$S$15*AVERAGE('Assumptions (NG)'!$P$2:$R$2)+'Assumptions (NG)'!$S$16*AVERAGE('Assumptions (NG)'!$P$3:$R$3))/10^9),0)</f>
        <v>-0.22056913581063359</v>
      </c>
      <c r="Z547" s="105">
        <f>IF($T$421&gt;0,IPMT('Assumptions (NG)'!$V$7,Model!AC$1,'Assumptions (NG)'!$V$10,'Assumptions (NG)'!$V$5*Model!$T$421*('Assumptions (NG)'!$S$15*AVERAGE('Assumptions (NG)'!$P$2:$R$2)+'Assumptions (NG)'!$S$16*AVERAGE('Assumptions (NG)'!$P$3:$R$3))/10^9),0)</f>
        <v>-0.18259491279133508</v>
      </c>
      <c r="AA547" s="105">
        <f>IF($T$421&gt;0,IPMT('Assumptions (NG)'!$V$7,Model!AD$1,'Assumptions (NG)'!$V$10,'Assumptions (NG)'!$V$5*Model!$T$421*('Assumptions (NG)'!$S$15*AVERAGE('Assumptions (NG)'!$P$2:$R$2)+'Assumptions (NG)'!$S$16*AVERAGE('Assumptions (NG)'!$P$3:$R$3))/10^9),0)</f>
        <v>-0.14177262304558913</v>
      </c>
      <c r="AB547" s="105">
        <f>IF($T$421&gt;0,IPMT('Assumptions (NG)'!$V$7,Model!AE$1,'Assumptions (NG)'!$V$10,'Assumptions (NG)'!$V$5*Model!$T$421*('Assumptions (NG)'!$S$15*AVERAGE('Assumptions (NG)'!$P$2:$R$2)+'Assumptions (NG)'!$S$16*AVERAGE('Assumptions (NG)'!$P$3:$R$3))/10^9),0)</f>
        <v>-9.7888661568912294E-2</v>
      </c>
      <c r="AC547" s="105">
        <f>IF($T$421&gt;0,IPMT('Assumptions (NG)'!$V$7,Model!AF$1,'Assumptions (NG)'!$V$10,'Assumptions (NG)'!$V$5*Model!$T$421*('Assumptions (NG)'!$S$15*AVERAGE('Assumptions (NG)'!$P$2:$R$2)+'Assumptions (NG)'!$S$16*AVERAGE('Assumptions (NG)'!$P$3:$R$3))/10^9),0)</f>
        <v>-5.0713402981484683E-2</v>
      </c>
      <c r="AD547" s="105" t="e">
        <f>IF($T$421&gt;0,IPMT('Assumptions (NG)'!$V$7,Model!AG$1,'Assumptions (NG)'!$V$10,'Assumptions (NG)'!$V$5*Model!$T$421*('Assumptions (NG)'!$S$15*AVERAGE('Assumptions (NG)'!$P$2:$R$2)+'Assumptions (NG)'!$S$16*AVERAGE('Assumptions (NG)'!$P$3:$R$3))/10^9),0)</f>
        <v>#NUM!</v>
      </c>
      <c r="AE547" s="105" t="e">
        <f>IF($T$421&gt;0,IPMT('Assumptions (NG)'!$V$7,Model!AH$1,'Assumptions (NG)'!$V$10,'Assumptions (NG)'!$V$5*Model!$T$421*('Assumptions (NG)'!$S$15*AVERAGE('Assumptions (NG)'!$P$2:$R$2)+'Assumptions (NG)'!$S$16*AVERAGE('Assumptions (NG)'!$P$3:$R$3))/10^9),0)</f>
        <v>#NUM!</v>
      </c>
      <c r="AF547" s="105" t="e">
        <f>IF($T$421&gt;0,IPMT('Assumptions (NG)'!$V$7,Model!AI$1,'Assumptions (NG)'!$V$10,'Assumptions (NG)'!$V$5*Model!$T$421*('Assumptions (NG)'!$S$15*AVERAGE('Assumptions (NG)'!$P$2:$R$2)+'Assumptions (NG)'!$S$16*AVERAGE('Assumptions (NG)'!$P$3:$R$3))/10^9),0)</f>
        <v>#NUM!</v>
      </c>
      <c r="AG547" s="105" t="e">
        <f>IF($T$421&gt;0,IPMT('Assumptions (NG)'!$V$7,Model!AJ$1,'Assumptions (NG)'!$V$10,'Assumptions (NG)'!$V$5*Model!$T$421*('Assumptions (NG)'!$S$15*AVERAGE('Assumptions (NG)'!$P$2:$R$2)+'Assumptions (NG)'!$S$16*AVERAGE('Assumptions (NG)'!$P$3:$R$3))/10^9),0)</f>
        <v>#NUM!</v>
      </c>
      <c r="AH547" s="105" t="e">
        <f>IF($T$421&gt;0,IPMT('Assumptions (NG)'!$V$7,Model!AK$1,'Assumptions (NG)'!$V$10,'Assumptions (NG)'!$V$5*Model!$T$421*('Assumptions (NG)'!$S$15*AVERAGE('Assumptions (NG)'!$P$2:$R$2)+'Assumptions (NG)'!$S$16*AVERAGE('Assumptions (NG)'!$P$3:$R$3))/10^9),0)</f>
        <v>#NUM!</v>
      </c>
      <c r="AI547" s="105"/>
      <c r="AJ547" s="105"/>
      <c r="AK547" s="105"/>
      <c r="AL547" s="105"/>
      <c r="AM547" s="105"/>
      <c r="AN547" s="105"/>
      <c r="AO547" s="105"/>
      <c r="AP547" s="105"/>
      <c r="AQ547" s="105"/>
      <c r="AR547" s="105"/>
      <c r="AU547" s="105"/>
      <c r="AV547" s="105"/>
      <c r="AW547" s="105"/>
      <c r="AX547" s="105"/>
      <c r="AY547" s="105"/>
      <c r="AZ547" s="105"/>
      <c r="BA547" s="105"/>
    </row>
    <row r="548" spans="1:57" ht="15.75" hidden="1" customHeight="1" outlineLevel="1">
      <c r="A548" s="379"/>
      <c r="B548" s="99"/>
      <c r="C548" s="105"/>
      <c r="D548" s="105"/>
      <c r="E548" s="105"/>
      <c r="F548" s="105"/>
      <c r="G548" s="105"/>
      <c r="H548" s="105"/>
      <c r="I548" s="105"/>
      <c r="J548" s="105"/>
      <c r="K548" s="105"/>
      <c r="L548" s="105"/>
      <c r="M548" s="105"/>
      <c r="N548" s="105"/>
      <c r="O548" s="105"/>
      <c r="P548" s="171"/>
      <c r="Q548" s="105"/>
      <c r="R548" s="91"/>
      <c r="S548" s="91"/>
      <c r="T548" s="91"/>
      <c r="U548" s="105">
        <f>IF($U$421&gt;0,IPMT('Assumptions (NG)'!$V$7,Model!W$1,'Assumptions (NG)'!$V$10,'Assumptions (NG)'!$V$5*Model!$U$421*('Assumptions (NG)'!$T$15*AVERAGE('Assumptions (NG)'!$Q$2:$S$2)+'Assumptions (NG)'!$T$16*AVERAGE('Assumptions (NG)'!$Q$3:$S$3))/10^9),0)</f>
        <v>-0.86199148817704552</v>
      </c>
      <c r="V548" s="105">
        <f>IF($U$421&gt;0,IPMT('Assumptions (NG)'!$V$7,Model!X$1,'Assumptions (NG)'!$V$10,'Assumptions (NG)'!$V$5*Model!$U$421*('Assumptions (NG)'!$T$15*AVERAGE('Assumptions (NG)'!$Q$2:$S$2)+'Assumptions (NG)'!$T$16*AVERAGE('Assumptions (NG)'!$Q$3:$S$3))/10^9),0)</f>
        <v>-0.8010608204018278</v>
      </c>
      <c r="W548" s="105">
        <f>IF($U$421&gt;0,IPMT('Assumptions (NG)'!$V$7,Model!Y$1,'Assumptions (NG)'!$V$10,'Assumptions (NG)'!$V$5*Model!$U$421*('Assumptions (NG)'!$T$15*AVERAGE('Assumptions (NG)'!$Q$2:$S$2)+'Assumptions (NG)'!$T$16*AVERAGE('Assumptions (NG)'!$Q$3:$S$3))/10^9),0)</f>
        <v>-0.73556035254346863</v>
      </c>
      <c r="X548" s="105">
        <f>IF($U$421&gt;0,IPMT('Assumptions (NG)'!$V$7,Model!Z$1,'Assumptions (NG)'!$V$10,'Assumptions (NG)'!$V$5*Model!$U$421*('Assumptions (NG)'!$T$15*AVERAGE('Assumptions (NG)'!$Q$2:$S$2)+'Assumptions (NG)'!$T$16*AVERAGE('Assumptions (NG)'!$Q$3:$S$3))/10^9),0)</f>
        <v>-0.66514734959573252</v>
      </c>
      <c r="Y548" s="105">
        <f>IF($U$421&gt;0,IPMT('Assumptions (NG)'!$V$7,Model!AA$1,'Assumptions (NG)'!$V$10,'Assumptions (NG)'!$V$5*Model!$U$421*('Assumptions (NG)'!$T$15*AVERAGE('Assumptions (NG)'!$Q$2:$S$2)+'Assumptions (NG)'!$T$16*AVERAGE('Assumptions (NG)'!$Q$3:$S$3))/10^9),0)</f>
        <v>-0.58945337142691623</v>
      </c>
      <c r="Z548" s="105">
        <f>IF($U$421&gt;0,IPMT('Assumptions (NG)'!$V$7,Model!AB$1,'Assumptions (NG)'!$V$10,'Assumptions (NG)'!$V$5*Model!$U$421*('Assumptions (NG)'!$T$15*AVERAGE('Assumptions (NG)'!$Q$2:$S$2)+'Assumptions (NG)'!$T$16*AVERAGE('Assumptions (NG)'!$Q$3:$S$3))/10^9),0)</f>
        <v>-0.5080823448954388</v>
      </c>
      <c r="AA548" s="105">
        <f>IF($U$421&gt;0,IPMT('Assumptions (NG)'!$V$7,Model!AC$1,'Assumptions (NG)'!$V$10,'Assumptions (NG)'!$V$5*Model!$U$421*('Assumptions (NG)'!$T$15*AVERAGE('Assumptions (NG)'!$Q$2:$S$2)+'Assumptions (NG)'!$T$16*AVERAGE('Assumptions (NG)'!$Q$3:$S$3))/10^9),0)</f>
        <v>-0.4206084913741005</v>
      </c>
      <c r="AB548" s="105">
        <f>IF($U$421&gt;0,IPMT('Assumptions (NG)'!$V$7,Model!AD$1,'Assumptions (NG)'!$V$10,'Assumptions (NG)'!$V$5*Model!$U$421*('Assumptions (NG)'!$T$15*AVERAGE('Assumptions (NG)'!$Q$2:$S$2)+'Assumptions (NG)'!$T$16*AVERAGE('Assumptions (NG)'!$Q$3:$S$3))/10^9),0)</f>
        <v>-0.32657409883866173</v>
      </c>
      <c r="AC548" s="105">
        <f>IF($U$421&gt;0,IPMT('Assumptions (NG)'!$V$7,Model!AE$1,'Assumptions (NG)'!$V$10,'Assumptions (NG)'!$V$5*Model!$U$421*('Assumptions (NG)'!$T$15*AVERAGE('Assumptions (NG)'!$Q$2:$S$2)+'Assumptions (NG)'!$T$16*AVERAGE('Assumptions (NG)'!$Q$3:$S$3))/10^9),0)</f>
        <v>-0.22548712686306516</v>
      </c>
      <c r="AD548" s="105">
        <f>IF($U$421&gt;0,IPMT('Assumptions (NG)'!$V$7,Model!AF$1,'Assumptions (NG)'!$V$10,'Assumptions (NG)'!$V$5*Model!$U$421*('Assumptions (NG)'!$T$15*AVERAGE('Assumptions (NG)'!$Q$2:$S$2)+'Assumptions (NG)'!$T$16*AVERAGE('Assumptions (NG)'!$Q$3:$S$3))/10^9),0)</f>
        <v>-0.11681863198929882</v>
      </c>
      <c r="AE548" s="105" t="e">
        <f>IF($U$421&gt;0,IPMT('Assumptions (NG)'!$V$7,Model!AG$1,'Assumptions (NG)'!$V$10,'Assumptions (NG)'!$V$5*Model!$U$421*('Assumptions (NG)'!$T$15*AVERAGE('Assumptions (NG)'!$Q$2:$S$2)+'Assumptions (NG)'!$T$16*AVERAGE('Assumptions (NG)'!$Q$3:$S$3))/10^9),0)</f>
        <v>#NUM!</v>
      </c>
      <c r="AF548" s="105" t="e">
        <f>IF($U$421&gt;0,IPMT('Assumptions (NG)'!$V$7,Model!AH$1,'Assumptions (NG)'!$V$10,'Assumptions (NG)'!$V$5*Model!$U$421*('Assumptions (NG)'!$T$15*AVERAGE('Assumptions (NG)'!$Q$2:$S$2)+'Assumptions (NG)'!$T$16*AVERAGE('Assumptions (NG)'!$Q$3:$S$3))/10^9),0)</f>
        <v>#NUM!</v>
      </c>
      <c r="AG548" s="105" t="e">
        <f>IF($U$421&gt;0,IPMT('Assumptions (NG)'!$V$7,Model!AI$1,'Assumptions (NG)'!$V$10,'Assumptions (NG)'!$V$5*Model!$U$421*('Assumptions (NG)'!$T$15*AVERAGE('Assumptions (NG)'!$Q$2:$S$2)+'Assumptions (NG)'!$T$16*AVERAGE('Assumptions (NG)'!$Q$3:$S$3))/10^9),0)</f>
        <v>#NUM!</v>
      </c>
      <c r="AH548" s="105" t="e">
        <f>IF($U$421&gt;0,IPMT('Assumptions (NG)'!$V$7,Model!AJ$1,'Assumptions (NG)'!$V$10,'Assumptions (NG)'!$V$5*Model!$U$421*('Assumptions (NG)'!$T$15*AVERAGE('Assumptions (NG)'!$Q$2:$S$2)+'Assumptions (NG)'!$T$16*AVERAGE('Assumptions (NG)'!$Q$3:$S$3))/10^9),0)</f>
        <v>#NUM!</v>
      </c>
      <c r="AI548" s="105" t="e">
        <f>IF($U$421&gt;0,IPMT('Assumptions (NG)'!$V$7,Model!AK$1,'Assumptions (NG)'!$V$10,'Assumptions (NG)'!$V$5*Model!$U$421*('Assumptions (NG)'!$T$15*AVERAGE('Assumptions (NG)'!$Q$2:$S$2)+'Assumptions (NG)'!$T$16*AVERAGE('Assumptions (NG)'!$Q$3:$S$3))/10^9),0)</f>
        <v>#NUM!</v>
      </c>
      <c r="AJ548" s="105"/>
      <c r="AK548" s="105"/>
      <c r="AL548" s="105"/>
      <c r="AM548" s="105"/>
      <c r="AN548" s="105"/>
      <c r="AO548" s="105"/>
      <c r="AP548" s="105"/>
      <c r="AQ548" s="105"/>
      <c r="AR548" s="105"/>
      <c r="AS548" s="105"/>
      <c r="AU548" s="105"/>
      <c r="AV548" s="105"/>
      <c r="AW548" s="105"/>
      <c r="AX548" s="105"/>
      <c r="AY548" s="105"/>
      <c r="AZ548" s="105"/>
      <c r="BA548" s="105"/>
    </row>
    <row r="549" spans="1:57" ht="15.75" hidden="1" customHeight="1" outlineLevel="1">
      <c r="A549" s="379"/>
      <c r="B549" s="99"/>
      <c r="C549" s="105"/>
      <c r="D549" s="105"/>
      <c r="E549" s="105"/>
      <c r="F549" s="105"/>
      <c r="G549" s="105"/>
      <c r="H549" s="105"/>
      <c r="I549" s="105"/>
      <c r="J549" s="105"/>
      <c r="K549" s="105"/>
      <c r="L549" s="105"/>
      <c r="M549" s="105"/>
      <c r="N549" s="105"/>
      <c r="O549" s="105"/>
      <c r="P549" s="171"/>
      <c r="Q549" s="105"/>
      <c r="R549" s="91"/>
      <c r="S549" s="91"/>
      <c r="T549" s="91"/>
      <c r="U549" s="105"/>
      <c r="V549" s="105">
        <f>IF($V$421&gt;0,IPMT('Assumptions (NG)'!$V$7,Model!W$1,'Assumptions (NG)'!$V$10,'Assumptions (NG)'!$V$5*Model!$V$421*('Assumptions (NG)'!$U$15*AVERAGE('Assumptions (NG)'!$R$2:$T$2)+'Assumptions (NG)'!$U$16*AVERAGE('Assumptions (NG)'!$R$3:$T$3))/10^9),0)</f>
        <v>-0.4478002437284973</v>
      </c>
      <c r="W549" s="105">
        <f>IF($V$421&gt;0,IPMT('Assumptions (NG)'!$V$7,Model!X$1,'Assumptions (NG)'!$V$10,'Assumptions (NG)'!$V$5*Model!$V$421*('Assumptions (NG)'!$U$15*AVERAGE('Assumptions (NG)'!$R$2:$T$2)+'Assumptions (NG)'!$U$16*AVERAGE('Assumptions (NG)'!$R$3:$T$3))/10^9),0)</f>
        <v>-0.4161470681989049</v>
      </c>
      <c r="X549" s="105">
        <f>IF($V$421&gt;0,IPMT('Assumptions (NG)'!$V$7,Model!Y$1,'Assumptions (NG)'!$V$10,'Assumptions (NG)'!$V$5*Model!$V$421*('Assumptions (NG)'!$U$15*AVERAGE('Assumptions (NG)'!$R$2:$T$2)+'Assumptions (NG)'!$U$16*AVERAGE('Assumptions (NG)'!$R$3:$T$3))/10^9),0)</f>
        <v>-0.38211990450459304</v>
      </c>
      <c r="Y549" s="105">
        <f>IF($V$421&gt;0,IPMT('Assumptions (NG)'!$V$7,Model!Z$1,'Assumptions (NG)'!$V$10,'Assumptions (NG)'!$V$5*Model!$V$421*('Assumptions (NG)'!$U$15*AVERAGE('Assumptions (NG)'!$R$2:$T$2)+'Assumptions (NG)'!$U$16*AVERAGE('Assumptions (NG)'!$R$3:$T$3))/10^9),0)</f>
        <v>-0.3455407035332077</v>
      </c>
      <c r="Z549" s="105">
        <f>IF($V$421&gt;0,IPMT('Assumptions (NG)'!$V$7,Model!AA$1,'Assumptions (NG)'!$V$10,'Assumptions (NG)'!$V$5*Model!$V$421*('Assumptions (NG)'!$U$15*AVERAGE('Assumptions (NG)'!$R$2:$T$2)+'Assumptions (NG)'!$U$16*AVERAGE('Assumptions (NG)'!$R$3:$T$3))/10^9),0)</f>
        <v>-0.30621806248896855</v>
      </c>
      <c r="AA549" s="105">
        <f>IF($V$421&gt;0,IPMT('Assumptions (NG)'!$V$7,Model!AB$1,'Assumptions (NG)'!$V$10,'Assumptions (NG)'!$V$5*Model!$V$421*('Assumptions (NG)'!$U$15*AVERAGE('Assumptions (NG)'!$R$2:$T$2)+'Assumptions (NG)'!$U$16*AVERAGE('Assumptions (NG)'!$R$3:$T$3))/10^9),0)</f>
        <v>-0.26394622336641149</v>
      </c>
      <c r="AB549" s="105">
        <f>IF($V$421&gt;0,IPMT('Assumptions (NG)'!$V$7,Model!AC$1,'Assumptions (NG)'!$V$10,'Assumptions (NG)'!$V$5*Model!$V$421*('Assumptions (NG)'!$U$15*AVERAGE('Assumptions (NG)'!$R$2:$T$2)+'Assumptions (NG)'!$U$16*AVERAGE('Assumptions (NG)'!$R$3:$T$3))/10^9),0)</f>
        <v>-0.21850399630966263</v>
      </c>
      <c r="AC549" s="105">
        <f>IF($V$421&gt;0,IPMT('Assumptions (NG)'!$V$7,Model!AD$1,'Assumptions (NG)'!$V$10,'Assumptions (NG)'!$V$5*Model!$V$421*('Assumptions (NG)'!$U$15*AVERAGE('Assumptions (NG)'!$R$2:$T$2)+'Assumptions (NG)'!$U$16*AVERAGE('Assumptions (NG)'!$R$3:$T$3))/10^9),0)</f>
        <v>-0.16965360222365752</v>
      </c>
      <c r="AD549" s="105">
        <f>IF($V$421&gt;0,IPMT('Assumptions (NG)'!$V$7,Model!AE$1,'Assumptions (NG)'!$V$10,'Assumptions (NG)'!$V$5*Model!$V$421*('Assumptions (NG)'!$U$15*AVERAGE('Assumptions (NG)'!$R$2:$T$2)+'Assumptions (NG)'!$U$16*AVERAGE('Assumptions (NG)'!$R$3:$T$3))/10^9),0)</f>
        <v>-0.11713942858120213</v>
      </c>
      <c r="AE549" s="105">
        <f>IF($V$421&gt;0,IPMT('Assumptions (NG)'!$V$7,Model!AF$1,'Assumptions (NG)'!$V$10,'Assumptions (NG)'!$V$5*Model!$V$421*('Assumptions (NG)'!$U$15*AVERAGE('Assumptions (NG)'!$R$2:$T$2)+'Assumptions (NG)'!$U$16*AVERAGE('Assumptions (NG)'!$R$3:$T$3))/10^9),0)</f>
        <v>-6.068669191556255E-2</v>
      </c>
      <c r="AF549" s="105" t="e">
        <f>IF($V$421&gt;0,IPMT('Assumptions (NG)'!$V$7,Model!AG$1,'Assumptions (NG)'!$V$10,'Assumptions (NG)'!$V$5*Model!$V$421*('Assumptions (NG)'!$U$15*AVERAGE('Assumptions (NG)'!$R$2:$T$2)+'Assumptions (NG)'!$U$16*AVERAGE('Assumptions (NG)'!$R$3:$T$3))/10^9),0)</f>
        <v>#NUM!</v>
      </c>
      <c r="AG549" s="105" t="e">
        <f>IF($V$421&gt;0,IPMT('Assumptions (NG)'!$V$7,Model!AH$1,'Assumptions (NG)'!$V$10,'Assumptions (NG)'!$V$5*Model!$V$421*('Assumptions (NG)'!$U$15*AVERAGE('Assumptions (NG)'!$R$2:$T$2)+'Assumptions (NG)'!$U$16*AVERAGE('Assumptions (NG)'!$R$3:$T$3))/10^9),0)</f>
        <v>#NUM!</v>
      </c>
      <c r="AH549" s="105" t="e">
        <f>IF($V$421&gt;0,IPMT('Assumptions (NG)'!$V$7,Model!AI$1,'Assumptions (NG)'!$V$10,'Assumptions (NG)'!$V$5*Model!$V$421*('Assumptions (NG)'!$U$15*AVERAGE('Assumptions (NG)'!$R$2:$T$2)+'Assumptions (NG)'!$U$16*AVERAGE('Assumptions (NG)'!$R$3:$T$3))/10^9),0)</f>
        <v>#NUM!</v>
      </c>
      <c r="AI549" s="105" t="e">
        <f>IF($V$421&gt;0,IPMT('Assumptions (NG)'!$V$7,Model!AJ$1,'Assumptions (NG)'!$V$10,'Assumptions (NG)'!$V$5*Model!$V$421*('Assumptions (NG)'!$U$15*AVERAGE('Assumptions (NG)'!$R$2:$T$2)+'Assumptions (NG)'!$U$16*AVERAGE('Assumptions (NG)'!$R$3:$T$3))/10^9),0)</f>
        <v>#NUM!</v>
      </c>
      <c r="AJ549" s="105" t="e">
        <f>IF($V$421&gt;0,IPMT('Assumptions (NG)'!$V$7,Model!AK$1,'Assumptions (NG)'!$V$10,'Assumptions (NG)'!$V$5*Model!$V$421*('Assumptions (NG)'!$U$15*AVERAGE('Assumptions (NG)'!$R$2:$T$2)+'Assumptions (NG)'!$U$16*AVERAGE('Assumptions (NG)'!$R$3:$T$3))/10^9),0)</f>
        <v>#NUM!</v>
      </c>
      <c r="AK549" s="105"/>
      <c r="AL549" s="105"/>
      <c r="AM549" s="105"/>
      <c r="AN549" s="105"/>
      <c r="AO549" s="105"/>
      <c r="AP549" s="105"/>
      <c r="AQ549" s="105"/>
      <c r="AR549" s="105"/>
      <c r="AS549" s="105"/>
      <c r="AT549" s="105"/>
      <c r="AU549" s="105"/>
      <c r="AV549" s="105"/>
      <c r="AW549" s="105"/>
      <c r="AX549" s="105"/>
      <c r="AY549" s="105"/>
      <c r="AZ549" s="105"/>
      <c r="BA549" s="105"/>
    </row>
    <row r="550" spans="1:57" ht="15.75" hidden="1" customHeight="1" outlineLevel="1">
      <c r="A550" s="379"/>
      <c r="B550" s="99"/>
      <c r="C550" s="99"/>
      <c r="D550" s="99"/>
      <c r="E550" s="99"/>
      <c r="F550" s="99"/>
      <c r="G550" s="99"/>
      <c r="H550" s="99"/>
      <c r="I550" s="99"/>
      <c r="J550" s="99"/>
      <c r="K550" s="99"/>
      <c r="L550" s="99"/>
      <c r="M550" s="99"/>
      <c r="N550" s="99"/>
      <c r="O550" s="99"/>
      <c r="P550" s="99"/>
      <c r="Q550" s="99"/>
      <c r="R550" s="99"/>
      <c r="S550" s="99"/>
      <c r="T550" s="99"/>
      <c r="U550" s="99"/>
      <c r="V550" s="99"/>
      <c r="W550" s="150">
        <f>IF($W$421&gt;0,IPMT('Assumptions (NG)'!$V$7,Model!W$1,'Assumptions (NG)'!$V$10,'Assumptions (NG)'!$V$5*Model!$W$421*('Assumptions (NG)'!$V$15*AVERAGE('Assumptions (NG)'!$S$2:$U$2)+'Assumptions (NG)'!$V$16*AVERAGE('Assumptions (NG)'!$S$3:$U$3))/10^9),0)</f>
        <v>-0.31643371660967501</v>
      </c>
      <c r="X550" s="150">
        <f>IF($W$421&gt;0,IPMT('Assumptions (NG)'!$V$7,Model!X$1,'Assumptions (NG)'!$V$10,'Assumptions (NG)'!$V$5*Model!$W$421*('Assumptions (NG)'!$V$15*AVERAGE('Assumptions (NG)'!$S$2:$U$2)+'Assumptions (NG)'!$V$16*AVERAGE('Assumptions (NG)'!$S$3:$U$3))/10^9),0)</f>
        <v>-0.29406630588222538</v>
      </c>
      <c r="Y550" s="150">
        <f>IF($W$421&gt;0,IPMT('Assumptions (NG)'!$V$7,Model!Y$1,'Assumptions (NG)'!$V$10,'Assumptions (NG)'!$V$5*Model!$W$421*('Assumptions (NG)'!$V$15*AVERAGE('Assumptions (NG)'!$S$2:$U$2)+'Assumptions (NG)'!$V$16*AVERAGE('Assumptions (NG)'!$S$3:$U$3))/10^9),0)</f>
        <v>-0.27002133935021705</v>
      </c>
      <c r="Z550" s="150">
        <f>IF($W$421&gt;0,IPMT('Assumptions (NG)'!$V$7,Model!Z$1,'Assumptions (NG)'!$V$10,'Assumptions (NG)'!$V$5*Model!$W$421*('Assumptions (NG)'!$V$15*AVERAGE('Assumptions (NG)'!$S$2:$U$2)+'Assumptions (NG)'!$V$16*AVERAGE('Assumptions (NG)'!$S$3:$U$3))/10^9),0)</f>
        <v>-0.24417300032830802</v>
      </c>
      <c r="AA550" s="150">
        <f>IF($W$421&gt;0,IPMT('Assumptions (NG)'!$V$7,Model!AA$1,'Assumptions (NG)'!$V$10,'Assumptions (NG)'!$V$5*Model!$W$421*('Assumptions (NG)'!$V$15*AVERAGE('Assumptions (NG)'!$S$2:$U$2)+'Assumptions (NG)'!$V$16*AVERAGE('Assumptions (NG)'!$S$3:$U$3))/10^9),0)</f>
        <v>-0.21638603587975586</v>
      </c>
      <c r="AB550" s="150">
        <f>IF($W$421&gt;0,IPMT('Assumptions (NG)'!$V$7,Model!AB$1,'Assumptions (NG)'!$V$10,'Assumptions (NG)'!$V$5*Model!$W$421*('Assumptions (NG)'!$V$15*AVERAGE('Assumptions (NG)'!$S$2:$U$2)+'Assumptions (NG)'!$V$16*AVERAGE('Assumptions (NG)'!$S$3:$U$3))/10^9),0)</f>
        <v>-0.18651504909756228</v>
      </c>
      <c r="AC550" s="150">
        <f>IF($W$421&gt;0,IPMT('Assumptions (NG)'!$V$7,Model!AC$1,'Assumptions (NG)'!$V$10,'Assumptions (NG)'!$V$5*Model!$W$421*('Assumptions (NG)'!$V$15*AVERAGE('Assumptions (NG)'!$S$2:$U$2)+'Assumptions (NG)'!$V$16*AVERAGE('Assumptions (NG)'!$S$3:$U$3))/10^9),0)</f>
        <v>-0.1544037383067042</v>
      </c>
      <c r="AD550" s="150">
        <f>IF($W$421&gt;0,IPMT('Assumptions (NG)'!$V$7,Model!AD$1,'Assumptions (NG)'!$V$10,'Assumptions (NG)'!$V$5*Model!$W$421*('Assumptions (NG)'!$V$15*AVERAGE('Assumptions (NG)'!$S$2:$U$2)+'Assumptions (NG)'!$V$16*AVERAGE('Assumptions (NG)'!$S$3:$U$3))/10^9),0)</f>
        <v>-0.11988407920653171</v>
      </c>
      <c r="AE550" s="150">
        <f>IF($W$421&gt;0,IPMT('Assumptions (NG)'!$V$7,Model!AE$1,'Assumptions (NG)'!$V$10,'Assumptions (NG)'!$V$5*Model!$W$421*('Assumptions (NG)'!$V$15*AVERAGE('Assumptions (NG)'!$S$2:$U$2)+'Assumptions (NG)'!$V$16*AVERAGE('Assumptions (NG)'!$S$3:$U$3))/10^9),0)</f>
        <v>-8.2775445673846357E-2</v>
      </c>
      <c r="AF550" s="150">
        <f>IF($W$421&gt;0,IPMT('Assumptions (NG)'!$V$7,Model!AF$1,'Assumptions (NG)'!$V$10,'Assumptions (NG)'!$V$5*Model!$W$421*('Assumptions (NG)'!$V$15*AVERAGE('Assumptions (NG)'!$S$2:$U$2)+'Assumptions (NG)'!$V$16*AVERAGE('Assumptions (NG)'!$S$3:$U$3))/10^9),0)</f>
        <v>-4.2883664626209551E-2</v>
      </c>
      <c r="AG550" s="150" t="e">
        <f>IF($W$421&gt;0,IPMT('Assumptions (NG)'!$V$7,Model!AG$1,'Assumptions (NG)'!$V$10,'Assumptions (NG)'!$V$5*Model!$W$421*('Assumptions (NG)'!$V$15*AVERAGE('Assumptions (NG)'!$S$2:$U$2)+'Assumptions (NG)'!$V$16*AVERAGE('Assumptions (NG)'!$S$3:$U$3))/10^9),0)</f>
        <v>#NUM!</v>
      </c>
      <c r="AH550" s="150" t="e">
        <f>IF($W$421&gt;0,IPMT('Assumptions (NG)'!$V$7,Model!AH$1,'Assumptions (NG)'!$V$10,'Assumptions (NG)'!$V$5*Model!$W$421*('Assumptions (NG)'!$V$15*AVERAGE('Assumptions (NG)'!$S$2:$U$2)+'Assumptions (NG)'!$V$16*AVERAGE('Assumptions (NG)'!$S$3:$U$3))/10^9),0)</f>
        <v>#NUM!</v>
      </c>
      <c r="AI550" s="150" t="e">
        <f>IF($W$421&gt;0,IPMT('Assumptions (NG)'!$V$7,Model!AI$1,'Assumptions (NG)'!$V$10,'Assumptions (NG)'!$V$5*Model!$W$421*('Assumptions (NG)'!$V$15*AVERAGE('Assumptions (NG)'!$S$2:$U$2)+'Assumptions (NG)'!$V$16*AVERAGE('Assumptions (NG)'!$S$3:$U$3))/10^9),0)</f>
        <v>#NUM!</v>
      </c>
      <c r="AJ550" s="150" t="e">
        <f>IF($W$421&gt;0,IPMT('Assumptions (NG)'!$V$7,Model!AJ$1,'Assumptions (NG)'!$V$10,'Assumptions (NG)'!$V$5*Model!$W$421*('Assumptions (NG)'!$V$15*AVERAGE('Assumptions (NG)'!$S$2:$U$2)+'Assumptions (NG)'!$V$16*AVERAGE('Assumptions (NG)'!$S$3:$U$3))/10^9),0)</f>
        <v>#NUM!</v>
      </c>
      <c r="AK550" s="150" t="e">
        <f>IF($W$421&gt;0,IPMT('Assumptions (NG)'!$V$7,Model!AK$1,'Assumptions (NG)'!$V$10,'Assumptions (NG)'!$V$5*Model!$W$421*('Assumptions (NG)'!$V$15*AVERAGE('Assumptions (NG)'!$S$2:$U$2)+'Assumptions (NG)'!$V$16*AVERAGE('Assumptions (NG)'!$S$3:$U$3))/10^9),0)</f>
        <v>#NUM!</v>
      </c>
      <c r="AL550" s="150"/>
      <c r="AM550" s="150"/>
      <c r="AN550" s="150"/>
      <c r="AO550" s="150"/>
      <c r="AP550" s="150"/>
      <c r="AQ550" s="150"/>
      <c r="AR550" s="150"/>
      <c r="AS550" s="150"/>
      <c r="AT550" s="150"/>
      <c r="AU550" s="150"/>
      <c r="AV550" s="105"/>
      <c r="AW550" s="105"/>
      <c r="AX550" s="105"/>
      <c r="AY550" s="105"/>
      <c r="AZ550" s="105"/>
      <c r="BA550" s="105"/>
    </row>
    <row r="551" spans="1:57" ht="15.75" hidden="1" customHeight="1" outlineLevel="1">
      <c r="A551" s="379"/>
      <c r="B551" s="99"/>
      <c r="C551" s="99"/>
      <c r="D551" s="99"/>
      <c r="E551" s="99"/>
      <c r="F551" s="99"/>
      <c r="G551" s="99"/>
      <c r="H551" s="99"/>
      <c r="I551" s="99"/>
      <c r="J551" s="99"/>
      <c r="K551" s="99"/>
      <c r="L551" s="99"/>
      <c r="M551" s="99"/>
      <c r="N551" s="99"/>
      <c r="O551" s="99"/>
      <c r="P551" s="99"/>
      <c r="Q551" s="99"/>
      <c r="R551" s="99"/>
      <c r="S551" s="99"/>
      <c r="T551" s="99"/>
      <c r="U551" s="99"/>
      <c r="V551" s="99"/>
      <c r="W551" s="105"/>
      <c r="X551" s="105">
        <f>IF($X$421&gt;0,IPMT('Assumptions (NG)'!$V$7,Model!W$1,'Assumptions (NG)'!$V$10,'Assumptions (NG)'!$V$5*Model!$X$421*('Assumptions (NG)'!$W$15*AVERAGE('Assumptions (NG)'!$T$2:$V$2)+'Assumptions (NG)'!$W$16*AVERAGE('Assumptions (NG)'!$T$3:$V$3))/10^9),0)</f>
        <v>-1.9830161402800481</v>
      </c>
      <c r="Y551" s="105">
        <f>IF($X$421&gt;0,IPMT('Assumptions (NG)'!$V$7,Model!X$1,'Assumptions (NG)'!$V$10,'Assumptions (NG)'!$V$5*Model!$X$421*('Assumptions (NG)'!$W$15*AVERAGE('Assumptions (NG)'!$T$2:$V$2)+'Assumptions (NG)'!$W$16*AVERAGE('Assumptions (NG)'!$T$3:$V$3))/10^9),0)</f>
        <v>-1.8428448053033837</v>
      </c>
      <c r="Z551" s="105">
        <f>IF($X$421&gt;0,IPMT('Assumptions (NG)'!$V$7,Model!Y$1,'Assumptions (NG)'!$V$10,'Assumptions (NG)'!$V$5*Model!$X$421*('Assumptions (NG)'!$W$15*AVERAGE('Assumptions (NG)'!$T$2:$V$2)+'Assumptions (NG)'!$W$16*AVERAGE('Assumptions (NG)'!$T$3:$V$3))/10^9),0)</f>
        <v>-1.6921606202034689</v>
      </c>
      <c r="AA551" s="105">
        <f>IF($X$421&gt;0,IPMT('Assumptions (NG)'!$V$7,Model!Z$1,'Assumptions (NG)'!$V$10,'Assumptions (NG)'!$V$5*Model!$X$421*('Assumptions (NG)'!$W$15*AVERAGE('Assumptions (NG)'!$T$2:$V$2)+'Assumptions (NG)'!$W$16*AVERAGE('Assumptions (NG)'!$T$3:$V$3))/10^9),0)</f>
        <v>-1.530175121221061</v>
      </c>
      <c r="AB551" s="105">
        <f>IF($X$421&gt;0,IPMT('Assumptions (NG)'!$V$7,Model!AA$1,'Assumptions (NG)'!$V$10,'Assumptions (NG)'!$V$5*Model!$X$421*('Assumptions (NG)'!$W$15*AVERAGE('Assumptions (NG)'!$T$2:$V$2)+'Assumptions (NG)'!$W$16*AVERAGE('Assumptions (NG)'!$T$3:$V$3))/10^9),0)</f>
        <v>-1.3560407098149723</v>
      </c>
      <c r="AC551" s="105">
        <f>IF($X$421&gt;0,IPMT('Assumptions (NG)'!$V$7,Model!AB$1,'Assumptions (NG)'!$V$10,'Assumptions (NG)'!$V$5*Model!$X$421*('Assumptions (NG)'!$W$15*AVERAGE('Assumptions (NG)'!$T$2:$V$2)+'Assumptions (NG)'!$W$16*AVERAGE('Assumptions (NG)'!$T$3:$V$3))/10^9),0)</f>
        <v>-1.1688462175534269</v>
      </c>
      <c r="AD551" s="105">
        <f>IF($X$421&gt;0,IPMT('Assumptions (NG)'!$V$7,Model!AC$1,'Assumptions (NG)'!$V$10,'Assumptions (NG)'!$V$5*Model!$X$421*('Assumptions (NG)'!$W$15*AVERAGE('Assumptions (NG)'!$T$2:$V$2)+'Assumptions (NG)'!$W$16*AVERAGE('Assumptions (NG)'!$T$3:$V$3))/10^9),0)</f>
        <v>-0.96761213837226578</v>
      </c>
      <c r="AE551" s="105">
        <f>IF($X$421&gt;0,IPMT('Assumptions (NG)'!$V$7,Model!AD$1,'Assumptions (NG)'!$V$10,'Assumptions (NG)'!$V$5*Model!$X$421*('Assumptions (NG)'!$W$15*AVERAGE('Assumptions (NG)'!$T$2:$V$2)+'Assumptions (NG)'!$W$16*AVERAGE('Assumptions (NG)'!$T$3:$V$3))/10^9),0)</f>
        <v>-0.75128550325251731</v>
      </c>
      <c r="AF551" s="105">
        <f>IF($X$421&gt;0,IPMT('Assumptions (NG)'!$V$7,Model!AE$1,'Assumptions (NG)'!$V$10,'Assumptions (NG)'!$V$5*Model!$X$421*('Assumptions (NG)'!$W$15*AVERAGE('Assumptions (NG)'!$T$2:$V$2)+'Assumptions (NG)'!$W$16*AVERAGE('Assumptions (NG)'!$T$3:$V$3))/10^9),0)</f>
        <v>-0.51873437049878779</v>
      </c>
      <c r="AG551" s="105">
        <f>IF($X$421&gt;0,IPMT('Assumptions (NG)'!$V$7,Model!AF$1,'Assumptions (NG)'!$V$10,'Assumptions (NG)'!$V$5*Model!$X$421*('Assumptions (NG)'!$W$15*AVERAGE('Assumptions (NG)'!$T$2:$V$2)+'Assumptions (NG)'!$W$16*AVERAGE('Assumptions (NG)'!$T$3:$V$3))/10^9),0)</f>
        <v>-0.26874190278852866</v>
      </c>
      <c r="AH551" s="105" t="e">
        <f>IF($X$421&gt;0,IPMT('Assumptions (NG)'!$V$7,Model!AG$1,'Assumptions (NG)'!$V$10,'Assumptions (NG)'!$V$5*Model!$X$421*('Assumptions (NG)'!$W$15*AVERAGE('Assumptions (NG)'!$T$2:$V$2)+'Assumptions (NG)'!$W$16*AVERAGE('Assumptions (NG)'!$T$3:$V$3))/10^9),0)</f>
        <v>#NUM!</v>
      </c>
      <c r="AI551" s="105" t="e">
        <f>IF($X$421&gt;0,IPMT('Assumptions (NG)'!$V$7,Model!AH$1,'Assumptions (NG)'!$V$10,'Assumptions (NG)'!$V$5*Model!$X$421*('Assumptions (NG)'!$W$15*AVERAGE('Assumptions (NG)'!$T$2:$V$2)+'Assumptions (NG)'!$W$16*AVERAGE('Assumptions (NG)'!$T$3:$V$3))/10^9),0)</f>
        <v>#NUM!</v>
      </c>
      <c r="AJ551" s="105" t="e">
        <f>IF($X$421&gt;0,IPMT('Assumptions (NG)'!$V$7,Model!AI$1,'Assumptions (NG)'!$V$10,'Assumptions (NG)'!$V$5*Model!$X$421*('Assumptions (NG)'!$W$15*AVERAGE('Assumptions (NG)'!$T$2:$V$2)+'Assumptions (NG)'!$W$16*AVERAGE('Assumptions (NG)'!$T$3:$V$3))/10^9),0)</f>
        <v>#NUM!</v>
      </c>
      <c r="AK551" s="105" t="e">
        <f>IF($X$421&gt;0,IPMT('Assumptions (NG)'!$V$7,Model!AJ$1,'Assumptions (NG)'!$V$10,'Assumptions (NG)'!$V$5*Model!$X$421*('Assumptions (NG)'!$W$15*AVERAGE('Assumptions (NG)'!$T$2:$V$2)+'Assumptions (NG)'!$W$16*AVERAGE('Assumptions (NG)'!$T$3:$V$3))/10^9),0)</f>
        <v>#NUM!</v>
      </c>
      <c r="AL551" s="105" t="e">
        <f>IF($X$421&gt;0,IPMT('Assumptions (NG)'!$V$7,Model!AK$1,'Assumptions (NG)'!$V$10,'Assumptions (NG)'!$V$5*Model!$X$421*('Assumptions (NG)'!$W$15*AVERAGE('Assumptions (NG)'!$T$2:$V$2)+'Assumptions (NG)'!$W$16*AVERAGE('Assumptions (NG)'!$T$3:$V$3))/10^9),0)</f>
        <v>#NUM!</v>
      </c>
      <c r="AM551" s="105"/>
      <c r="AN551" s="105"/>
      <c r="AO551" s="105"/>
      <c r="AP551" s="105"/>
      <c r="AQ551" s="105"/>
      <c r="AR551" s="105"/>
      <c r="AS551" s="105"/>
      <c r="AT551" s="105"/>
      <c r="AU551" s="105"/>
      <c r="AV551" s="105"/>
      <c r="AW551" s="105"/>
      <c r="AX551" s="105"/>
      <c r="AY551" s="105"/>
      <c r="AZ551" s="105"/>
      <c r="BA551" s="105"/>
    </row>
    <row r="552" spans="1:57" ht="15.75" hidden="1" customHeight="1" outlineLevel="1">
      <c r="A552" s="379"/>
      <c r="B552" s="99"/>
      <c r="C552" s="99"/>
      <c r="D552" s="99"/>
      <c r="E552" s="99"/>
      <c r="F552" s="99"/>
      <c r="G552" s="99"/>
      <c r="H552" s="99"/>
      <c r="I552" s="99"/>
      <c r="J552" s="99"/>
      <c r="K552" s="99"/>
      <c r="L552" s="99"/>
      <c r="M552" s="99"/>
      <c r="N552" s="99"/>
      <c r="O552" s="99"/>
      <c r="P552" s="99"/>
      <c r="Q552" s="99"/>
      <c r="R552" s="99"/>
      <c r="S552" s="99"/>
      <c r="T552" s="99"/>
      <c r="U552" s="99"/>
      <c r="V552" s="99"/>
      <c r="W552" s="105"/>
      <c r="X552" s="105"/>
      <c r="Y552" s="105">
        <f>IF($Y$421&gt;0,IPMT('Assumptions (NG)'!$V$7,Model!W$1,'Assumptions (NG)'!$V$10,'Assumptions (NG)'!$V$5*Model!$Y$421*('Assumptions (NG)'!$X$15*AVERAGE('Assumptions (NG)'!$U$2:$W$2)+'Assumptions (NG)'!$X$16*AVERAGE('Assumptions (NG)'!$U$3:$W$3))/10^9),0)</f>
        <v>0</v>
      </c>
      <c r="Z552" s="105">
        <f>IF($Y$421&gt;0,IPMT('Assumptions (NG)'!$V$7,Model!X$1,'Assumptions (NG)'!$V$10,'Assumptions (NG)'!$V$5*Model!$Y$421*('Assumptions (NG)'!$X$15*AVERAGE('Assumptions (NG)'!$U$2:$W$2)+'Assumptions (NG)'!$X$16*AVERAGE('Assumptions (NG)'!$U$3:$W$3))/10^9),0)</f>
        <v>0</v>
      </c>
      <c r="AA552" s="105">
        <f>IF($Y$421&gt;0,IPMT('Assumptions (NG)'!$V$7,Model!Y$1,'Assumptions (NG)'!$V$10,'Assumptions (NG)'!$V$5*Model!$Y$421*('Assumptions (NG)'!$X$15*AVERAGE('Assumptions (NG)'!$U$2:$W$2)+'Assumptions (NG)'!$X$16*AVERAGE('Assumptions (NG)'!$U$3:$W$3))/10^9),0)</f>
        <v>0</v>
      </c>
      <c r="AB552" s="105">
        <f>IF($Y$421&gt;0,IPMT('Assumptions (NG)'!$V$7,Model!Z$1,'Assumptions (NG)'!$V$10,'Assumptions (NG)'!$V$5*Model!$Y$421*('Assumptions (NG)'!$X$15*AVERAGE('Assumptions (NG)'!$U$2:$W$2)+'Assumptions (NG)'!$X$16*AVERAGE('Assumptions (NG)'!$U$3:$W$3))/10^9),0)</f>
        <v>0</v>
      </c>
      <c r="AC552" s="105">
        <f>IF($Y$421&gt;0,IPMT('Assumptions (NG)'!$V$7,Model!AA$1,'Assumptions (NG)'!$V$10,'Assumptions (NG)'!$V$5*Model!$Y$421*('Assumptions (NG)'!$X$15*AVERAGE('Assumptions (NG)'!$U$2:$W$2)+'Assumptions (NG)'!$X$16*AVERAGE('Assumptions (NG)'!$U$3:$W$3))/10^9),0)</f>
        <v>0</v>
      </c>
      <c r="AD552" s="105">
        <f>IF($Y$421&gt;0,IPMT('Assumptions (NG)'!$V$7,Model!AB$1,'Assumptions (NG)'!$V$10,'Assumptions (NG)'!$V$5*Model!$Y$421*('Assumptions (NG)'!$X$15*AVERAGE('Assumptions (NG)'!$U$2:$W$2)+'Assumptions (NG)'!$X$16*AVERAGE('Assumptions (NG)'!$U$3:$W$3))/10^9),0)</f>
        <v>0</v>
      </c>
      <c r="AE552" s="105">
        <f>IF($Y$421&gt;0,IPMT('Assumptions (NG)'!$V$7,Model!AC$1,'Assumptions (NG)'!$V$10,'Assumptions (NG)'!$V$5*Model!$Y$421*('Assumptions (NG)'!$X$15*AVERAGE('Assumptions (NG)'!$U$2:$W$2)+'Assumptions (NG)'!$X$16*AVERAGE('Assumptions (NG)'!$U$3:$W$3))/10^9),0)</f>
        <v>0</v>
      </c>
      <c r="AF552" s="105">
        <f>IF($Y$421&gt;0,IPMT('Assumptions (NG)'!$V$7,Model!AD$1,'Assumptions (NG)'!$V$10,'Assumptions (NG)'!$V$5*Model!$Y$421*('Assumptions (NG)'!$X$15*AVERAGE('Assumptions (NG)'!$U$2:$W$2)+'Assumptions (NG)'!$X$16*AVERAGE('Assumptions (NG)'!$U$3:$W$3))/10^9),0)</f>
        <v>0</v>
      </c>
      <c r="AG552" s="105">
        <f>IF($Y$421&gt;0,IPMT('Assumptions (NG)'!$V$7,Model!AE$1,'Assumptions (NG)'!$V$10,'Assumptions (NG)'!$V$5*Model!$Y$421*('Assumptions (NG)'!$X$15*AVERAGE('Assumptions (NG)'!$U$2:$W$2)+'Assumptions (NG)'!$X$16*AVERAGE('Assumptions (NG)'!$U$3:$W$3))/10^9),0)</f>
        <v>0</v>
      </c>
      <c r="AH552" s="105">
        <f>IF($Y$421&gt;0,IPMT('Assumptions (NG)'!$V$7,Model!AF$1,'Assumptions (NG)'!$V$10,'Assumptions (NG)'!$V$5*Model!$Y$421*('Assumptions (NG)'!$X$15*AVERAGE('Assumptions (NG)'!$U$2:$W$2)+'Assumptions (NG)'!$X$16*AVERAGE('Assumptions (NG)'!$U$3:$W$3))/10^9),0)</f>
        <v>0</v>
      </c>
      <c r="AI552" s="105">
        <f>IF($Y$421&gt;0,IPMT('Assumptions (NG)'!$V$7,Model!AG$1,'Assumptions (NG)'!$V$10,'Assumptions (NG)'!$V$5*Model!$Y$421*('Assumptions (NG)'!$X$15*AVERAGE('Assumptions (NG)'!$U$2:$W$2)+'Assumptions (NG)'!$X$16*AVERAGE('Assumptions (NG)'!$U$3:$W$3))/10^9),0)</f>
        <v>0</v>
      </c>
      <c r="AJ552" s="105">
        <f>IF($Y$421&gt;0,IPMT('Assumptions (NG)'!$V$7,Model!AH$1,'Assumptions (NG)'!$V$10,'Assumptions (NG)'!$V$5*Model!$Y$421*('Assumptions (NG)'!$X$15*AVERAGE('Assumptions (NG)'!$U$2:$W$2)+'Assumptions (NG)'!$X$16*AVERAGE('Assumptions (NG)'!$U$3:$W$3))/10^9),0)</f>
        <v>0</v>
      </c>
      <c r="AK552" s="105">
        <f>IF($Y$421&gt;0,IPMT('Assumptions (NG)'!$V$7,Model!AI$1,'Assumptions (NG)'!$V$10,'Assumptions (NG)'!$V$5*Model!$Y$421*('Assumptions (NG)'!$X$15*AVERAGE('Assumptions (NG)'!$U$2:$W$2)+'Assumptions (NG)'!$X$16*AVERAGE('Assumptions (NG)'!$U$3:$W$3))/10^9),0)</f>
        <v>0</v>
      </c>
      <c r="AL552" s="105">
        <f>IF($Y$421&gt;0,IPMT('Assumptions (NG)'!$V$7,Model!AJ$1,'Assumptions (NG)'!$V$10,'Assumptions (NG)'!$V$5*Model!$Y$421*('Assumptions (NG)'!$X$15*AVERAGE('Assumptions (NG)'!$U$2:$W$2)+'Assumptions (NG)'!$X$16*AVERAGE('Assumptions (NG)'!$U$3:$W$3))/10^9),0)</f>
        <v>0</v>
      </c>
      <c r="AM552" s="105">
        <f>IF($Y$421&gt;0,IPMT('Assumptions (NG)'!$V$7,Model!AK$1,'Assumptions (NG)'!$V$10,'Assumptions (NG)'!$V$5*Model!$Y$421*('Assumptions (NG)'!$X$15*AVERAGE('Assumptions (NG)'!$U$2:$W$2)+'Assumptions (NG)'!$X$16*AVERAGE('Assumptions (NG)'!$U$3:$W$3))/10^9),0)</f>
        <v>0</v>
      </c>
      <c r="AN552" s="105"/>
      <c r="AO552" s="105"/>
      <c r="AP552" s="105"/>
      <c r="AQ552" s="105"/>
      <c r="AR552" s="105"/>
      <c r="AS552" s="105"/>
      <c r="AT552" s="105"/>
      <c r="AU552" s="105"/>
      <c r="AV552" s="105"/>
      <c r="AW552" s="105"/>
      <c r="AX552" s="105"/>
      <c r="AY552" s="105"/>
      <c r="AZ552" s="105"/>
      <c r="BA552" s="105"/>
    </row>
    <row r="553" spans="1:57" ht="15.75" hidden="1" customHeight="1" outlineLevel="1">
      <c r="A553" s="379"/>
      <c r="B553" s="99"/>
      <c r="C553" s="99"/>
      <c r="D553" s="99"/>
      <c r="E553" s="99"/>
      <c r="F553" s="99"/>
      <c r="G553" s="99"/>
      <c r="H553" s="99"/>
      <c r="I553" s="99"/>
      <c r="J553" s="99"/>
      <c r="K553" s="99"/>
      <c r="L553" s="99"/>
      <c r="M553" s="99"/>
      <c r="N553" s="99"/>
      <c r="O553" s="99"/>
      <c r="P553" s="99"/>
      <c r="Q553" s="99"/>
      <c r="R553" s="99"/>
      <c r="S553" s="99"/>
      <c r="T553" s="99"/>
      <c r="U553" s="99"/>
      <c r="V553" s="99"/>
      <c r="W553" s="105"/>
      <c r="X553" s="105"/>
      <c r="Y553" s="105"/>
      <c r="Z553" s="105">
        <f>IF($Z$421&gt;0,IPMT('Assumptions (NG)'!$V$7,Model!W$1,'Assumptions (NG)'!$V$10,'Assumptions (NG)'!$V$5*Model!$Z$421*('Assumptions (NG)'!$Y$15*AVERAGE('Assumptions (NG)'!$V$2:$X$2)+'Assumptions (NG)'!$Y$16*AVERAGE('Assumptions (NG)'!$V$3:$X$3))/10^9),0)</f>
        <v>0</v>
      </c>
      <c r="AA553" s="105">
        <f>IF($Z$421&gt;0,IPMT('Assumptions (NG)'!$V$7,Model!X$1,'Assumptions (NG)'!$V$10,'Assumptions (NG)'!$V$5*Model!$Z$421*('Assumptions (NG)'!$Y$15*AVERAGE('Assumptions (NG)'!$V$2:$X$2)+'Assumptions (NG)'!$Y$16*AVERAGE('Assumptions (NG)'!$V$3:$X$3))/10^9),0)</f>
        <v>0</v>
      </c>
      <c r="AB553" s="105">
        <f>IF($Z$421&gt;0,IPMT('Assumptions (NG)'!$V$7,Model!Y$1,'Assumptions (NG)'!$V$10,'Assumptions (NG)'!$V$5*Model!$Z$421*('Assumptions (NG)'!$Y$15*AVERAGE('Assumptions (NG)'!$V$2:$X$2)+'Assumptions (NG)'!$Y$16*AVERAGE('Assumptions (NG)'!$V$3:$X$3))/10^9),0)</f>
        <v>0</v>
      </c>
      <c r="AC553" s="105">
        <f>IF($Z$421&gt;0,IPMT('Assumptions (NG)'!$V$7,Model!Z$1,'Assumptions (NG)'!$V$10,'Assumptions (NG)'!$V$5*Model!$Z$421*('Assumptions (NG)'!$Y$15*AVERAGE('Assumptions (NG)'!$V$2:$X$2)+'Assumptions (NG)'!$Y$16*AVERAGE('Assumptions (NG)'!$V$3:$X$3))/10^9),0)</f>
        <v>0</v>
      </c>
      <c r="AD553" s="105">
        <f>IF($Z$421&gt;0,IPMT('Assumptions (NG)'!$V$7,Model!AA$1,'Assumptions (NG)'!$V$10,'Assumptions (NG)'!$V$5*Model!$Z$421*('Assumptions (NG)'!$Y$15*AVERAGE('Assumptions (NG)'!$V$2:$X$2)+'Assumptions (NG)'!$Y$16*AVERAGE('Assumptions (NG)'!$V$3:$X$3))/10^9),0)</f>
        <v>0</v>
      </c>
      <c r="AE553" s="105">
        <f>IF($Z$421&gt;0,IPMT('Assumptions (NG)'!$V$7,Model!AB$1,'Assumptions (NG)'!$V$10,'Assumptions (NG)'!$V$5*Model!$Z$421*('Assumptions (NG)'!$Y$15*AVERAGE('Assumptions (NG)'!$V$2:$X$2)+'Assumptions (NG)'!$Y$16*AVERAGE('Assumptions (NG)'!$V$3:$X$3))/10^9),0)</f>
        <v>0</v>
      </c>
      <c r="AF553" s="105">
        <f>IF($Z$421&gt;0,IPMT('Assumptions (NG)'!$V$7,Model!AC$1,'Assumptions (NG)'!$V$10,'Assumptions (NG)'!$V$5*Model!$Z$421*('Assumptions (NG)'!$Y$15*AVERAGE('Assumptions (NG)'!$V$2:$X$2)+'Assumptions (NG)'!$Y$16*AVERAGE('Assumptions (NG)'!$V$3:$X$3))/10^9),0)</f>
        <v>0</v>
      </c>
      <c r="AG553" s="105">
        <f>IF($Z$421&gt;0,IPMT('Assumptions (NG)'!$V$7,Model!AD$1,'Assumptions (NG)'!$V$10,'Assumptions (NG)'!$V$5*Model!$Z$421*('Assumptions (NG)'!$Y$15*AVERAGE('Assumptions (NG)'!$V$2:$X$2)+'Assumptions (NG)'!$Y$16*AVERAGE('Assumptions (NG)'!$V$3:$X$3))/10^9),0)</f>
        <v>0</v>
      </c>
      <c r="AH553" s="105">
        <f>IF($Z$421&gt;0,IPMT('Assumptions (NG)'!$V$7,Model!AE$1,'Assumptions (NG)'!$V$10,'Assumptions (NG)'!$V$5*Model!$Z$421*('Assumptions (NG)'!$Y$15*AVERAGE('Assumptions (NG)'!$V$2:$X$2)+'Assumptions (NG)'!$Y$16*AVERAGE('Assumptions (NG)'!$V$3:$X$3))/10^9),0)</f>
        <v>0</v>
      </c>
      <c r="AI553" s="105">
        <f>IF($Z$421&gt;0,IPMT('Assumptions (NG)'!$V$7,Model!AF$1,'Assumptions (NG)'!$V$10,'Assumptions (NG)'!$V$5*Model!$Z$421*('Assumptions (NG)'!$Y$15*AVERAGE('Assumptions (NG)'!$V$2:$X$2)+'Assumptions (NG)'!$Y$16*AVERAGE('Assumptions (NG)'!$V$3:$X$3))/10^9),0)</f>
        <v>0</v>
      </c>
      <c r="AJ553" s="105">
        <f>IF($Z$421&gt;0,IPMT('Assumptions (NG)'!$V$7,Model!AG$1,'Assumptions (NG)'!$V$10,'Assumptions (NG)'!$V$5*Model!$Z$421*('Assumptions (NG)'!$Y$15*AVERAGE('Assumptions (NG)'!$V$2:$X$2)+'Assumptions (NG)'!$Y$16*AVERAGE('Assumptions (NG)'!$V$3:$X$3))/10^9),0)</f>
        <v>0</v>
      </c>
      <c r="AK553" s="105">
        <f>IF($Z$421&gt;0,IPMT('Assumptions (NG)'!$V$7,Model!AH$1,'Assumptions (NG)'!$V$10,'Assumptions (NG)'!$V$5*Model!$Z$421*('Assumptions (NG)'!$Y$15*AVERAGE('Assumptions (NG)'!$V$2:$X$2)+'Assumptions (NG)'!$Y$16*AVERAGE('Assumptions (NG)'!$V$3:$X$3))/10^9),0)</f>
        <v>0</v>
      </c>
      <c r="AL553" s="105">
        <f>IF($Z$421&gt;0,IPMT('Assumptions (NG)'!$V$7,Model!AI$1,'Assumptions (NG)'!$V$10,'Assumptions (NG)'!$V$5*Model!$Z$421*('Assumptions (NG)'!$Y$15*AVERAGE('Assumptions (NG)'!$V$2:$X$2)+'Assumptions (NG)'!$Y$16*AVERAGE('Assumptions (NG)'!$V$3:$X$3))/10^9),0)</f>
        <v>0</v>
      </c>
      <c r="AM553" s="105">
        <f>IF($Z$421&gt;0,IPMT('Assumptions (NG)'!$V$7,Model!AJ$1,'Assumptions (NG)'!$V$10,'Assumptions (NG)'!$V$5*Model!$Z$421*('Assumptions (NG)'!$Y$15*AVERAGE('Assumptions (NG)'!$V$2:$X$2)+'Assumptions (NG)'!$Y$16*AVERAGE('Assumptions (NG)'!$V$3:$X$3))/10^9),0)</f>
        <v>0</v>
      </c>
      <c r="AN553" s="105">
        <f>IF($Z$421&gt;0,IPMT('Assumptions (NG)'!$V$7,Model!AK$1,'Assumptions (NG)'!$V$10,'Assumptions (NG)'!$V$5*Model!$Z$421*('Assumptions (NG)'!$Y$15*AVERAGE('Assumptions (NG)'!$V$2:$X$2)+'Assumptions (NG)'!$Y$16*AVERAGE('Assumptions (NG)'!$V$3:$X$3))/10^9),0)</f>
        <v>0</v>
      </c>
      <c r="AO553" s="105"/>
      <c r="AP553" s="105"/>
      <c r="AQ553" s="105"/>
      <c r="AR553" s="105"/>
      <c r="AS553" s="105"/>
      <c r="AT553" s="105"/>
      <c r="AU553" s="105"/>
      <c r="AV553" s="105"/>
      <c r="AW553" s="105"/>
      <c r="AX553" s="105"/>
      <c r="AY553" s="105"/>
      <c r="AZ553" s="105"/>
      <c r="BA553" s="105"/>
    </row>
    <row r="554" spans="1:57" ht="15.75" hidden="1" customHeight="1" outlineLevel="1">
      <c r="A554" s="379"/>
      <c r="B554" s="99"/>
      <c r="C554" s="99"/>
      <c r="D554" s="99"/>
      <c r="E554" s="99"/>
      <c r="F554" s="99"/>
      <c r="G554" s="99"/>
      <c r="H554" s="99"/>
      <c r="I554" s="99"/>
      <c r="J554" s="99"/>
      <c r="K554" s="99"/>
      <c r="L554" s="99"/>
      <c r="M554" s="99"/>
      <c r="N554" s="99"/>
      <c r="O554" s="99"/>
      <c r="P554" s="99"/>
      <c r="Q554" s="99"/>
      <c r="R554" s="99"/>
      <c r="S554" s="99"/>
      <c r="T554" s="99"/>
      <c r="U554" s="99"/>
      <c r="V554" s="99"/>
      <c r="W554" s="105"/>
      <c r="X554" s="105"/>
      <c r="Y554" s="105"/>
      <c r="Z554" s="105"/>
      <c r="AA554" s="105">
        <f>IF($AA$421&gt;0,IPMT('Assumptions (NG)'!$V$7,Model!W$1,'Assumptions (NG)'!$V$10,'Assumptions (NG)'!$V$5*Model!$AA$421*('Assumptions (NG)'!$Z$15*AVERAGE('Assumptions (NG)'!$W$2:$Y$2)+'Assumptions (NG)'!$Z$16*AVERAGE('Assumptions (NG)'!$W$3:$Y$3))/10^9),0)</f>
        <v>0</v>
      </c>
      <c r="AB554" s="105">
        <f>IF($AA$421&gt;0,IPMT('Assumptions (NG)'!$V$7,Model!X$1,'Assumptions (NG)'!$V$10,'Assumptions (NG)'!$V$5*Model!$AA$421*('Assumptions (NG)'!$Z$15*AVERAGE('Assumptions (NG)'!$W$2:$Y$2)+'Assumptions (NG)'!$Z$16*AVERAGE('Assumptions (NG)'!$W$3:$Y$3))/10^9),0)</f>
        <v>0</v>
      </c>
      <c r="AC554" s="105">
        <f>IF($AA$421&gt;0,IPMT('Assumptions (NG)'!$V$7,Model!Y$1,'Assumptions (NG)'!$V$10,'Assumptions (NG)'!$V$5*Model!$AA$421*('Assumptions (NG)'!$Z$15*AVERAGE('Assumptions (NG)'!$W$2:$Y$2)+'Assumptions (NG)'!$Z$16*AVERAGE('Assumptions (NG)'!$W$3:$Y$3))/10^9),0)</f>
        <v>0</v>
      </c>
      <c r="AD554" s="105">
        <f>IF($AA$421&gt;0,IPMT('Assumptions (NG)'!$V$7,Model!Z$1,'Assumptions (NG)'!$V$10,'Assumptions (NG)'!$V$5*Model!$AA$421*('Assumptions (NG)'!$Z$15*AVERAGE('Assumptions (NG)'!$W$2:$Y$2)+'Assumptions (NG)'!$Z$16*AVERAGE('Assumptions (NG)'!$W$3:$Y$3))/10^9),0)</f>
        <v>0</v>
      </c>
      <c r="AE554" s="105">
        <f>IF($AA$421&gt;0,IPMT('Assumptions (NG)'!$V$7,Model!AA$1,'Assumptions (NG)'!$V$10,'Assumptions (NG)'!$V$5*Model!$AA$421*('Assumptions (NG)'!$Z$15*AVERAGE('Assumptions (NG)'!$W$2:$Y$2)+'Assumptions (NG)'!$Z$16*AVERAGE('Assumptions (NG)'!$W$3:$Y$3))/10^9),0)</f>
        <v>0</v>
      </c>
      <c r="AF554" s="105">
        <f>IF($AA$421&gt;0,IPMT('Assumptions (NG)'!$V$7,Model!AB$1,'Assumptions (NG)'!$V$10,'Assumptions (NG)'!$V$5*Model!$AA$421*('Assumptions (NG)'!$Z$15*AVERAGE('Assumptions (NG)'!$W$2:$Y$2)+'Assumptions (NG)'!$Z$16*AVERAGE('Assumptions (NG)'!$W$3:$Y$3))/10^9),0)</f>
        <v>0</v>
      </c>
      <c r="AG554" s="105">
        <f>IF($AA$421&gt;0,IPMT('Assumptions (NG)'!$V$7,Model!AC$1,'Assumptions (NG)'!$V$10,'Assumptions (NG)'!$V$5*Model!$AA$421*('Assumptions (NG)'!$Z$15*AVERAGE('Assumptions (NG)'!$W$2:$Y$2)+'Assumptions (NG)'!$Z$16*AVERAGE('Assumptions (NG)'!$W$3:$Y$3))/10^9),0)</f>
        <v>0</v>
      </c>
      <c r="AH554" s="105">
        <f>IF($AA$421&gt;0,IPMT('Assumptions (NG)'!$V$7,Model!AD$1,'Assumptions (NG)'!$V$10,'Assumptions (NG)'!$V$5*Model!$AA$421*('Assumptions (NG)'!$Z$15*AVERAGE('Assumptions (NG)'!$W$2:$Y$2)+'Assumptions (NG)'!$Z$16*AVERAGE('Assumptions (NG)'!$W$3:$Y$3))/10^9),0)</f>
        <v>0</v>
      </c>
      <c r="AI554" s="105">
        <f>IF($AA$421&gt;0,IPMT('Assumptions (NG)'!$V$7,Model!AE$1,'Assumptions (NG)'!$V$10,'Assumptions (NG)'!$V$5*Model!$AA$421*('Assumptions (NG)'!$Z$15*AVERAGE('Assumptions (NG)'!$W$2:$Y$2)+'Assumptions (NG)'!$Z$16*AVERAGE('Assumptions (NG)'!$W$3:$Y$3))/10^9),0)</f>
        <v>0</v>
      </c>
      <c r="AJ554" s="105">
        <f>IF($AA$421&gt;0,IPMT('Assumptions (NG)'!$V$7,Model!AF$1,'Assumptions (NG)'!$V$10,'Assumptions (NG)'!$V$5*Model!$AA$421*('Assumptions (NG)'!$Z$15*AVERAGE('Assumptions (NG)'!$W$2:$Y$2)+'Assumptions (NG)'!$Z$16*AVERAGE('Assumptions (NG)'!$W$3:$Y$3))/10^9),0)</f>
        <v>0</v>
      </c>
      <c r="AK554" s="105">
        <f>IF($AA$421&gt;0,IPMT('Assumptions (NG)'!$V$7,Model!AG$1,'Assumptions (NG)'!$V$10,'Assumptions (NG)'!$V$5*Model!$AA$421*('Assumptions (NG)'!$Z$15*AVERAGE('Assumptions (NG)'!$W$2:$Y$2)+'Assumptions (NG)'!$Z$16*AVERAGE('Assumptions (NG)'!$W$3:$Y$3))/10^9),0)</f>
        <v>0</v>
      </c>
      <c r="AL554" s="105">
        <f>IF($AA$421&gt;0,IPMT('Assumptions (NG)'!$V$7,Model!AH$1,'Assumptions (NG)'!$V$10,'Assumptions (NG)'!$V$5*Model!$AA$421*('Assumptions (NG)'!$Z$15*AVERAGE('Assumptions (NG)'!$W$2:$Y$2)+'Assumptions (NG)'!$Z$16*AVERAGE('Assumptions (NG)'!$W$3:$Y$3))/10^9),0)</f>
        <v>0</v>
      </c>
      <c r="AM554" s="105">
        <f>IF($AA$421&gt;0,IPMT('Assumptions (NG)'!$V$7,Model!AI$1,'Assumptions (NG)'!$V$10,'Assumptions (NG)'!$V$5*Model!$AA$421*('Assumptions (NG)'!$Z$15*AVERAGE('Assumptions (NG)'!$W$2:$Y$2)+'Assumptions (NG)'!$Z$16*AVERAGE('Assumptions (NG)'!$W$3:$Y$3))/10^9),0)</f>
        <v>0</v>
      </c>
      <c r="AN554" s="105">
        <f>IF($AA$421&gt;0,IPMT('Assumptions (NG)'!$V$7,Model!AJ$1,'Assumptions (NG)'!$V$10,'Assumptions (NG)'!$V$5*Model!$AA$421*('Assumptions (NG)'!$Z$15*AVERAGE('Assumptions (NG)'!$W$2:$Y$2)+'Assumptions (NG)'!$Z$16*AVERAGE('Assumptions (NG)'!$W$3:$Y$3))/10^9),0)</f>
        <v>0</v>
      </c>
      <c r="AO554" s="105">
        <f>IF($AA$421&gt;0,IPMT('Assumptions (NG)'!$V$7,Model!AK$1,'Assumptions (NG)'!$V$10,'Assumptions (NG)'!$V$5*Model!$AA$421*('Assumptions (NG)'!$Z$15*AVERAGE('Assumptions (NG)'!$W$2:$Y$2)+'Assumptions (NG)'!$Z$16*AVERAGE('Assumptions (NG)'!$W$3:$Y$3))/10^9),0)</f>
        <v>0</v>
      </c>
      <c r="AP554" s="105"/>
      <c r="AQ554" s="105"/>
      <c r="AR554" s="105"/>
      <c r="AS554" s="105"/>
      <c r="AT554" s="105"/>
      <c r="AU554" s="105"/>
      <c r="AV554" s="105"/>
      <c r="AW554" s="105"/>
      <c r="AX554" s="105"/>
      <c r="AY554" s="105"/>
      <c r="AZ554" s="105"/>
      <c r="BA554" s="105"/>
    </row>
    <row r="555" spans="1:57" ht="15.75" hidden="1" customHeight="1" outlineLevel="1">
      <c r="A555" s="379"/>
      <c r="B555" s="99"/>
      <c r="C555" s="99"/>
      <c r="D555" s="99"/>
      <c r="E555" s="99"/>
      <c r="F555" s="99"/>
      <c r="G555" s="99"/>
      <c r="H555" s="99"/>
      <c r="I555" s="99"/>
      <c r="J555" s="99"/>
      <c r="K555" s="99"/>
      <c r="L555" s="99"/>
      <c r="M555" s="99"/>
      <c r="N555" s="99"/>
      <c r="O555" s="99"/>
      <c r="P555" s="99"/>
      <c r="Q555" s="99"/>
      <c r="R555" s="99"/>
      <c r="S555" s="99"/>
      <c r="T555" s="99"/>
      <c r="U555" s="99"/>
      <c r="V555" s="99"/>
      <c r="W555" s="105"/>
      <c r="X555" s="105"/>
      <c r="Y555" s="105"/>
      <c r="Z555" s="105"/>
      <c r="AA555" s="105"/>
      <c r="AB555" s="105">
        <f>IF($AB$421&gt;0,IPMT('Assumptions (NG)'!$V$7,Model!W$1,'Assumptions (NG)'!$V$10,'Assumptions (NG)'!$V$5*Model!$AB$421*('Assumptions (NG)'!$AA$15*AVERAGE('Assumptions (NG)'!$X$2:$Z$2)+'Assumptions (NG)'!$AA$16*AVERAGE('Assumptions (NG)'!$X$3:$Z$3))/10^9),0)</f>
        <v>0</v>
      </c>
      <c r="AC555" s="105">
        <f>IF($AB$421&gt;0,IPMT('Assumptions (NG)'!$V$7,Model!X$1,'Assumptions (NG)'!$V$10,'Assumptions (NG)'!$V$5*Model!$AB$421*('Assumptions (NG)'!$AA$15*AVERAGE('Assumptions (NG)'!$X$2:$Z$2)+'Assumptions (NG)'!$AA$16*AVERAGE('Assumptions (NG)'!$X$3:$Z$3))/10^9),0)</f>
        <v>0</v>
      </c>
      <c r="AD555" s="105">
        <f>IF($AB$421&gt;0,IPMT('Assumptions (NG)'!$V$7,Model!Y$1,'Assumptions (NG)'!$V$10,'Assumptions (NG)'!$V$5*Model!$AB$421*('Assumptions (NG)'!$AA$15*AVERAGE('Assumptions (NG)'!$X$2:$Z$2)+'Assumptions (NG)'!$AA$16*AVERAGE('Assumptions (NG)'!$X$3:$Z$3))/10^9),0)</f>
        <v>0</v>
      </c>
      <c r="AE555" s="105">
        <f>IF($AB$421&gt;0,IPMT('Assumptions (NG)'!$V$7,Model!Z$1,'Assumptions (NG)'!$V$10,'Assumptions (NG)'!$V$5*Model!$AB$421*('Assumptions (NG)'!$AA$15*AVERAGE('Assumptions (NG)'!$X$2:$Z$2)+'Assumptions (NG)'!$AA$16*AVERAGE('Assumptions (NG)'!$X$3:$Z$3))/10^9),0)</f>
        <v>0</v>
      </c>
      <c r="AF555" s="105">
        <f>IF($AB$421&gt;0,IPMT('Assumptions (NG)'!$V$7,Model!AA$1,'Assumptions (NG)'!$V$10,'Assumptions (NG)'!$V$5*Model!$AB$421*('Assumptions (NG)'!$AA$15*AVERAGE('Assumptions (NG)'!$X$2:$Z$2)+'Assumptions (NG)'!$AA$16*AVERAGE('Assumptions (NG)'!$X$3:$Z$3))/10^9),0)</f>
        <v>0</v>
      </c>
      <c r="AG555" s="105">
        <f>IF($AB$421&gt;0,IPMT('Assumptions (NG)'!$V$7,Model!AB$1,'Assumptions (NG)'!$V$10,'Assumptions (NG)'!$V$5*Model!$AB$421*('Assumptions (NG)'!$AA$15*AVERAGE('Assumptions (NG)'!$X$2:$Z$2)+'Assumptions (NG)'!$AA$16*AVERAGE('Assumptions (NG)'!$X$3:$Z$3))/10^9),0)</f>
        <v>0</v>
      </c>
      <c r="AH555" s="105">
        <f>IF($AB$421&gt;0,IPMT('Assumptions (NG)'!$V$7,Model!AC$1,'Assumptions (NG)'!$V$10,'Assumptions (NG)'!$V$5*Model!$AB$421*('Assumptions (NG)'!$AA$15*AVERAGE('Assumptions (NG)'!$X$2:$Z$2)+'Assumptions (NG)'!$AA$16*AVERAGE('Assumptions (NG)'!$X$3:$Z$3))/10^9),0)</f>
        <v>0</v>
      </c>
      <c r="AI555" s="105">
        <f>IF($AB$421&gt;0,IPMT('Assumptions (NG)'!$V$7,Model!AD$1,'Assumptions (NG)'!$V$10,'Assumptions (NG)'!$V$5*Model!$AB$421*('Assumptions (NG)'!$AA$15*AVERAGE('Assumptions (NG)'!$X$2:$Z$2)+'Assumptions (NG)'!$AA$16*AVERAGE('Assumptions (NG)'!$X$3:$Z$3))/10^9),0)</f>
        <v>0</v>
      </c>
      <c r="AJ555" s="105">
        <f>IF($AB$421&gt;0,IPMT('Assumptions (NG)'!$V$7,Model!AE$1,'Assumptions (NG)'!$V$10,'Assumptions (NG)'!$V$5*Model!$AB$421*('Assumptions (NG)'!$AA$15*AVERAGE('Assumptions (NG)'!$X$2:$Z$2)+'Assumptions (NG)'!$AA$16*AVERAGE('Assumptions (NG)'!$X$3:$Z$3))/10^9),0)</f>
        <v>0</v>
      </c>
      <c r="AK555" s="105">
        <f>IF($AB$421&gt;0,IPMT('Assumptions (NG)'!$V$7,Model!AF$1,'Assumptions (NG)'!$V$10,'Assumptions (NG)'!$V$5*Model!$AB$421*('Assumptions (NG)'!$AA$15*AVERAGE('Assumptions (NG)'!$X$2:$Z$2)+'Assumptions (NG)'!$AA$16*AVERAGE('Assumptions (NG)'!$X$3:$Z$3))/10^9),0)</f>
        <v>0</v>
      </c>
      <c r="AL555" s="105">
        <f>IF($AB$421&gt;0,IPMT('Assumptions (NG)'!$V$7,Model!AG$1,'Assumptions (NG)'!$V$10,'Assumptions (NG)'!$V$5*Model!$AB$421*('Assumptions (NG)'!$AA$15*AVERAGE('Assumptions (NG)'!$X$2:$Z$2)+'Assumptions (NG)'!$AA$16*AVERAGE('Assumptions (NG)'!$X$3:$Z$3))/10^9),0)</f>
        <v>0</v>
      </c>
      <c r="AM555" s="105">
        <f>IF($AB$421&gt;0,IPMT('Assumptions (NG)'!$V$7,Model!AH$1,'Assumptions (NG)'!$V$10,'Assumptions (NG)'!$V$5*Model!$AB$421*('Assumptions (NG)'!$AA$15*AVERAGE('Assumptions (NG)'!$X$2:$Z$2)+'Assumptions (NG)'!$AA$16*AVERAGE('Assumptions (NG)'!$X$3:$Z$3))/10^9),0)</f>
        <v>0</v>
      </c>
      <c r="AN555" s="105">
        <f>IF($AB$421&gt;0,IPMT('Assumptions (NG)'!$V$7,Model!AI$1,'Assumptions (NG)'!$V$10,'Assumptions (NG)'!$V$5*Model!$AB$421*('Assumptions (NG)'!$AA$15*AVERAGE('Assumptions (NG)'!$X$2:$Z$2)+'Assumptions (NG)'!$AA$16*AVERAGE('Assumptions (NG)'!$X$3:$Z$3))/10^9),0)</f>
        <v>0</v>
      </c>
      <c r="AO555" s="105">
        <f>IF($AB$421&gt;0,IPMT('Assumptions (NG)'!$V$7,Model!AJ$1,'Assumptions (NG)'!$V$10,'Assumptions (NG)'!$V$5*Model!$AB$421*('Assumptions (NG)'!$AA$15*AVERAGE('Assumptions (NG)'!$X$2:$Z$2)+'Assumptions (NG)'!$AA$16*AVERAGE('Assumptions (NG)'!$X$3:$Z$3))/10^9),0)</f>
        <v>0</v>
      </c>
      <c r="AP555" s="105">
        <f>IF($AB$421&gt;0,IPMT('Assumptions (NG)'!$V$7,Model!AK$1,'Assumptions (NG)'!$V$10,'Assumptions (NG)'!$V$5*Model!$AB$421*('Assumptions (NG)'!$AA$15*AVERAGE('Assumptions (NG)'!$X$2:$Z$2)+'Assumptions (NG)'!$AA$16*AVERAGE('Assumptions (NG)'!$X$3:$Z$3))/10^9),0)</f>
        <v>0</v>
      </c>
      <c r="AQ555" s="105"/>
      <c r="AR555" s="105"/>
      <c r="AS555" s="105"/>
      <c r="AT555" s="105"/>
      <c r="AU555" s="105"/>
      <c r="AV555" s="105"/>
      <c r="AW555" s="105"/>
      <c r="AX555" s="105"/>
      <c r="AY555" s="105"/>
      <c r="AZ555" s="105"/>
      <c r="BA555" s="105"/>
    </row>
    <row r="556" spans="1:57" ht="15.75" hidden="1" customHeight="1" outlineLevel="1">
      <c r="A556" s="379"/>
      <c r="B556" s="99"/>
      <c r="C556" s="99"/>
      <c r="D556" s="99"/>
      <c r="E556" s="99"/>
      <c r="F556" s="99"/>
      <c r="G556" s="99"/>
      <c r="H556" s="99"/>
      <c r="I556" s="99"/>
      <c r="J556" s="99"/>
      <c r="K556" s="99"/>
      <c r="L556" s="99"/>
      <c r="M556" s="99"/>
      <c r="N556" s="99"/>
      <c r="O556" s="99"/>
      <c r="P556" s="99"/>
      <c r="Q556" s="99"/>
      <c r="R556" s="99"/>
      <c r="S556" s="99"/>
      <c r="T556" s="99"/>
      <c r="U556" s="99"/>
      <c r="V556" s="99"/>
      <c r="W556" s="105"/>
      <c r="X556" s="105"/>
      <c r="Y556" s="105"/>
      <c r="Z556" s="105"/>
      <c r="AA556" s="105"/>
      <c r="AB556" s="105"/>
      <c r="AC556" s="105">
        <f>IF($AC$421&gt;0,IPMT('Assumptions (NG)'!$V$7,Model!W$1,'Assumptions (NG)'!$V$10,'Assumptions (NG)'!$V$5*Model!$AC$421*('Assumptions (NG)'!$AB$15*AVERAGE('Assumptions (NG)'!$Y$2:$AA$2)+'Assumptions (NG)'!$AB$16*AVERAGE('Assumptions (NG)'!$Y$3:$AA$3))/10^9),0)</f>
        <v>0</v>
      </c>
      <c r="AD556" s="105">
        <f>IF($AC$421&gt;0,IPMT('Assumptions (NG)'!$V$7,Model!X$1,'Assumptions (NG)'!$V$10,'Assumptions (NG)'!$V$5*Model!$AC$421*('Assumptions (NG)'!$AB$15*AVERAGE('Assumptions (NG)'!$Y$2:$AA$2)+'Assumptions (NG)'!$AB$16*AVERAGE('Assumptions (NG)'!$Y$3:$AA$3))/10^9),0)</f>
        <v>0</v>
      </c>
      <c r="AE556" s="105">
        <f>IF($AC$421&gt;0,IPMT('Assumptions (NG)'!$V$7,Model!Y$1,'Assumptions (NG)'!$V$10,'Assumptions (NG)'!$V$5*Model!$AC$421*('Assumptions (NG)'!$AB$15*AVERAGE('Assumptions (NG)'!$Y$2:$AA$2)+'Assumptions (NG)'!$AB$16*AVERAGE('Assumptions (NG)'!$Y$3:$AA$3))/10^9),0)</f>
        <v>0</v>
      </c>
      <c r="AF556" s="105">
        <f>IF($AC$421&gt;0,IPMT('Assumptions (NG)'!$V$7,Model!Z$1,'Assumptions (NG)'!$V$10,'Assumptions (NG)'!$V$5*Model!$AC$421*('Assumptions (NG)'!$AB$15*AVERAGE('Assumptions (NG)'!$Y$2:$AA$2)+'Assumptions (NG)'!$AB$16*AVERAGE('Assumptions (NG)'!$Y$3:$AA$3))/10^9),0)</f>
        <v>0</v>
      </c>
      <c r="AG556" s="105">
        <f>IF($AC$421&gt;0,IPMT('Assumptions (NG)'!$V$7,Model!AA$1,'Assumptions (NG)'!$V$10,'Assumptions (NG)'!$V$5*Model!$AC$421*('Assumptions (NG)'!$AB$15*AVERAGE('Assumptions (NG)'!$Y$2:$AA$2)+'Assumptions (NG)'!$AB$16*AVERAGE('Assumptions (NG)'!$Y$3:$AA$3))/10^9),0)</f>
        <v>0</v>
      </c>
      <c r="AH556" s="105">
        <f>IF($AC$421&gt;0,IPMT('Assumptions (NG)'!$V$7,Model!AB$1,'Assumptions (NG)'!$V$10,'Assumptions (NG)'!$V$5*Model!$AC$421*('Assumptions (NG)'!$AB$15*AVERAGE('Assumptions (NG)'!$Y$2:$AA$2)+'Assumptions (NG)'!$AB$16*AVERAGE('Assumptions (NG)'!$Y$3:$AA$3))/10^9),0)</f>
        <v>0</v>
      </c>
      <c r="AI556" s="105">
        <f>IF($AC$421&gt;0,IPMT('Assumptions (NG)'!$V$7,Model!AC$1,'Assumptions (NG)'!$V$10,'Assumptions (NG)'!$V$5*Model!$AC$421*('Assumptions (NG)'!$AB$15*AVERAGE('Assumptions (NG)'!$Y$2:$AA$2)+'Assumptions (NG)'!$AB$16*AVERAGE('Assumptions (NG)'!$Y$3:$AA$3))/10^9),0)</f>
        <v>0</v>
      </c>
      <c r="AJ556" s="105">
        <f>IF($AC$421&gt;0,IPMT('Assumptions (NG)'!$V$7,Model!AD$1,'Assumptions (NG)'!$V$10,'Assumptions (NG)'!$V$5*Model!$AC$421*('Assumptions (NG)'!$AB$15*AVERAGE('Assumptions (NG)'!$Y$2:$AA$2)+'Assumptions (NG)'!$AB$16*AVERAGE('Assumptions (NG)'!$Y$3:$AA$3))/10^9),0)</f>
        <v>0</v>
      </c>
      <c r="AK556" s="105">
        <f>IF($AC$421&gt;0,IPMT('Assumptions (NG)'!$V$7,Model!AE$1,'Assumptions (NG)'!$V$10,'Assumptions (NG)'!$V$5*Model!$AC$421*('Assumptions (NG)'!$AB$15*AVERAGE('Assumptions (NG)'!$Y$2:$AA$2)+'Assumptions (NG)'!$AB$16*AVERAGE('Assumptions (NG)'!$Y$3:$AA$3))/10^9),0)</f>
        <v>0</v>
      </c>
      <c r="AL556" s="105">
        <f>IF($AC$421&gt;0,IPMT('Assumptions (NG)'!$V$7,Model!AF$1,'Assumptions (NG)'!$V$10,'Assumptions (NG)'!$V$5*Model!$AC$421*('Assumptions (NG)'!$AB$15*AVERAGE('Assumptions (NG)'!$Y$2:$AA$2)+'Assumptions (NG)'!$AB$16*AVERAGE('Assumptions (NG)'!$Y$3:$AA$3))/10^9),0)</f>
        <v>0</v>
      </c>
      <c r="AM556" s="105">
        <f>IF($AC$421&gt;0,IPMT('Assumptions (NG)'!$V$7,Model!AG$1,'Assumptions (NG)'!$V$10,'Assumptions (NG)'!$V$5*Model!$AC$421*('Assumptions (NG)'!$AB$15*AVERAGE('Assumptions (NG)'!$Y$2:$AA$2)+'Assumptions (NG)'!$AB$16*AVERAGE('Assumptions (NG)'!$Y$3:$AA$3))/10^9),0)</f>
        <v>0</v>
      </c>
      <c r="AN556" s="105">
        <f>IF($AC$421&gt;0,IPMT('Assumptions (NG)'!$V$7,Model!AH$1,'Assumptions (NG)'!$V$10,'Assumptions (NG)'!$V$5*Model!$AC$421*('Assumptions (NG)'!$AB$15*AVERAGE('Assumptions (NG)'!$Y$2:$AA$2)+'Assumptions (NG)'!$AB$16*AVERAGE('Assumptions (NG)'!$Y$3:$AA$3))/10^9),0)</f>
        <v>0</v>
      </c>
      <c r="AO556" s="105">
        <f>IF($AC$421&gt;0,IPMT('Assumptions (NG)'!$V$7,Model!AI$1,'Assumptions (NG)'!$V$10,'Assumptions (NG)'!$V$5*Model!$AC$421*('Assumptions (NG)'!$AB$15*AVERAGE('Assumptions (NG)'!$Y$2:$AA$2)+'Assumptions (NG)'!$AB$16*AVERAGE('Assumptions (NG)'!$Y$3:$AA$3))/10^9),0)</f>
        <v>0</v>
      </c>
      <c r="AP556" s="105">
        <f>IF($AC$421&gt;0,IPMT('Assumptions (NG)'!$V$7,Model!AJ$1,'Assumptions (NG)'!$V$10,'Assumptions (NG)'!$V$5*Model!$AC$421*('Assumptions (NG)'!$AB$15*AVERAGE('Assumptions (NG)'!$Y$2:$AA$2)+'Assumptions (NG)'!$AB$16*AVERAGE('Assumptions (NG)'!$Y$3:$AA$3))/10^9),0)</f>
        <v>0</v>
      </c>
      <c r="AQ556" s="105">
        <f>IF($AC$421&gt;0,IPMT('Assumptions (NG)'!$V$7,Model!AK$1,'Assumptions (NG)'!$V$10,'Assumptions (NG)'!$V$5*Model!$AC$421*('Assumptions (NG)'!$AB$15*AVERAGE('Assumptions (NG)'!$Y$2:$AA$2)+'Assumptions (NG)'!$AB$16*AVERAGE('Assumptions (NG)'!$Y$3:$AA$3))/10^9),0)</f>
        <v>0</v>
      </c>
      <c r="AR556" s="105"/>
      <c r="AS556" s="105"/>
      <c r="AT556" s="105"/>
      <c r="AU556" s="105"/>
      <c r="AV556" s="105"/>
      <c r="AW556" s="105"/>
      <c r="AX556" s="105"/>
      <c r="AY556" s="105"/>
      <c r="AZ556" s="105"/>
      <c r="BA556" s="105"/>
    </row>
    <row r="557" spans="1:57" ht="15.75" hidden="1" customHeight="1" outlineLevel="1">
      <c r="A557" s="379"/>
      <c r="B557" s="99"/>
      <c r="C557" s="99"/>
      <c r="D557" s="99"/>
      <c r="E557" s="99"/>
      <c r="F557" s="99"/>
      <c r="G557" s="99"/>
      <c r="H557" s="99"/>
      <c r="I557" s="99"/>
      <c r="J557" s="99"/>
      <c r="K557" s="99"/>
      <c r="L557" s="99"/>
      <c r="M557" s="99"/>
      <c r="N557" s="99"/>
      <c r="O557" s="99"/>
      <c r="P557" s="99"/>
      <c r="Q557" s="99"/>
      <c r="R557" s="99"/>
      <c r="S557" s="99"/>
      <c r="T557" s="99"/>
      <c r="U557" s="99"/>
      <c r="V557" s="99"/>
      <c r="W557" s="105"/>
      <c r="X557" s="105"/>
      <c r="Y557" s="105"/>
      <c r="Z557" s="105"/>
      <c r="AA557" s="105"/>
      <c r="AB557" s="105"/>
      <c r="AC557" s="105"/>
      <c r="AD557" s="105">
        <f>IF($AD$421&gt;0,IPMT('Assumptions (NG)'!$V$7,Model!W$1,'Assumptions (NG)'!$V$10,'Assumptions (NG)'!$V$5*Model!$AD$421*('Assumptions (NG)'!$AC$15*AVERAGE('Assumptions (NG)'!$Z$2:$AB$2)+'Assumptions (NG)'!$AC$16*AVERAGE('Assumptions (NG)'!$Z$3:$AB$3))/10^9),0)</f>
        <v>0</v>
      </c>
      <c r="AE557" s="105">
        <f>IF($AD$421&gt;0,IPMT('Assumptions (NG)'!$V$7,Model!X$1,'Assumptions (NG)'!$V$10,'Assumptions (NG)'!$V$5*Model!$AD$421*('Assumptions (NG)'!$AC$15*AVERAGE('Assumptions (NG)'!$Z$2:$AB$2)+'Assumptions (NG)'!$AC$16*AVERAGE('Assumptions (NG)'!$Z$3:$AB$3))/10^9),0)</f>
        <v>0</v>
      </c>
      <c r="AF557" s="105">
        <f>IF($AD$421&gt;0,IPMT('Assumptions (NG)'!$V$7,Model!Y$1,'Assumptions (NG)'!$V$10,'Assumptions (NG)'!$V$5*Model!$AD$421*('Assumptions (NG)'!$AC$15*AVERAGE('Assumptions (NG)'!$Z$2:$AB$2)+'Assumptions (NG)'!$AC$16*AVERAGE('Assumptions (NG)'!$Z$3:$AB$3))/10^9),0)</f>
        <v>0</v>
      </c>
      <c r="AG557" s="105">
        <f>IF($AD$421&gt;0,IPMT('Assumptions (NG)'!$V$7,Model!Z$1,'Assumptions (NG)'!$V$10,'Assumptions (NG)'!$V$5*Model!$AD$421*('Assumptions (NG)'!$AC$15*AVERAGE('Assumptions (NG)'!$Z$2:$AB$2)+'Assumptions (NG)'!$AC$16*AVERAGE('Assumptions (NG)'!$Z$3:$AB$3))/10^9),0)</f>
        <v>0</v>
      </c>
      <c r="AH557" s="105">
        <f>IF($AD$421&gt;0,IPMT('Assumptions (NG)'!$V$7,Model!AA$1,'Assumptions (NG)'!$V$10,'Assumptions (NG)'!$V$5*Model!$AD$421*('Assumptions (NG)'!$AC$15*AVERAGE('Assumptions (NG)'!$Z$2:$AB$2)+'Assumptions (NG)'!$AC$16*AVERAGE('Assumptions (NG)'!$Z$3:$AB$3))/10^9),0)</f>
        <v>0</v>
      </c>
      <c r="AI557" s="105">
        <f>IF($AD$421&gt;0,IPMT('Assumptions (NG)'!$V$7,Model!AB$1,'Assumptions (NG)'!$V$10,'Assumptions (NG)'!$V$5*Model!$AD$421*('Assumptions (NG)'!$AC$15*AVERAGE('Assumptions (NG)'!$Z$2:$AB$2)+'Assumptions (NG)'!$AC$16*AVERAGE('Assumptions (NG)'!$Z$3:$AB$3))/10^9),0)</f>
        <v>0</v>
      </c>
      <c r="AJ557" s="105">
        <f>IF($AD$421&gt;0,IPMT('Assumptions (NG)'!$V$7,Model!AC$1,'Assumptions (NG)'!$V$10,'Assumptions (NG)'!$V$5*Model!$AD$421*('Assumptions (NG)'!$AC$15*AVERAGE('Assumptions (NG)'!$Z$2:$AB$2)+'Assumptions (NG)'!$AC$16*AVERAGE('Assumptions (NG)'!$Z$3:$AB$3))/10^9),0)</f>
        <v>0</v>
      </c>
      <c r="AK557" s="105">
        <f>IF($AD$421&gt;0,IPMT('Assumptions (NG)'!$V$7,Model!AD$1,'Assumptions (NG)'!$V$10,'Assumptions (NG)'!$V$5*Model!$AD$421*('Assumptions (NG)'!$AC$15*AVERAGE('Assumptions (NG)'!$Z$2:$AB$2)+'Assumptions (NG)'!$AC$16*AVERAGE('Assumptions (NG)'!$Z$3:$AB$3))/10^9),0)</f>
        <v>0</v>
      </c>
      <c r="AL557" s="105">
        <f>IF($AD$421&gt;0,IPMT('Assumptions (NG)'!$V$7,Model!AE$1,'Assumptions (NG)'!$V$10,'Assumptions (NG)'!$V$5*Model!$AD$421*('Assumptions (NG)'!$AC$15*AVERAGE('Assumptions (NG)'!$Z$2:$AB$2)+'Assumptions (NG)'!$AC$16*AVERAGE('Assumptions (NG)'!$Z$3:$AB$3))/10^9),0)</f>
        <v>0</v>
      </c>
      <c r="AM557" s="105">
        <f>IF($AD$421&gt;0,IPMT('Assumptions (NG)'!$V$7,Model!AF$1,'Assumptions (NG)'!$V$10,'Assumptions (NG)'!$V$5*Model!$AD$421*('Assumptions (NG)'!$AC$15*AVERAGE('Assumptions (NG)'!$Z$2:$AB$2)+'Assumptions (NG)'!$AC$16*AVERAGE('Assumptions (NG)'!$Z$3:$AB$3))/10^9),0)</f>
        <v>0</v>
      </c>
      <c r="AN557" s="105">
        <f>IF($AD$421&gt;0,IPMT('Assumptions (NG)'!$V$7,Model!AG$1,'Assumptions (NG)'!$V$10,'Assumptions (NG)'!$V$5*Model!$AD$421*('Assumptions (NG)'!$AC$15*AVERAGE('Assumptions (NG)'!$Z$2:$AB$2)+'Assumptions (NG)'!$AC$16*AVERAGE('Assumptions (NG)'!$Z$3:$AB$3))/10^9),0)</f>
        <v>0</v>
      </c>
      <c r="AO557" s="105">
        <f>IF($AD$421&gt;0,IPMT('Assumptions (NG)'!$V$7,Model!AH$1,'Assumptions (NG)'!$V$10,'Assumptions (NG)'!$V$5*Model!$AD$421*('Assumptions (NG)'!$AC$15*AVERAGE('Assumptions (NG)'!$Z$2:$AB$2)+'Assumptions (NG)'!$AC$16*AVERAGE('Assumptions (NG)'!$Z$3:$AB$3))/10^9),0)</f>
        <v>0</v>
      </c>
      <c r="AP557" s="105">
        <f>IF($AD$421&gt;0,IPMT('Assumptions (NG)'!$V$7,Model!AI$1,'Assumptions (NG)'!$V$10,'Assumptions (NG)'!$V$5*Model!$AD$421*('Assumptions (NG)'!$AC$15*AVERAGE('Assumptions (NG)'!$Z$2:$AB$2)+'Assumptions (NG)'!$AC$16*AVERAGE('Assumptions (NG)'!$Z$3:$AB$3))/10^9),0)</f>
        <v>0</v>
      </c>
      <c r="AQ557" s="105">
        <f>IF($AD$421&gt;0,IPMT('Assumptions (NG)'!$V$7,Model!AJ$1,'Assumptions (NG)'!$V$10,'Assumptions (NG)'!$V$5*Model!$AD$421*('Assumptions (NG)'!$AC$15*AVERAGE('Assumptions (NG)'!$Z$2:$AB$2)+'Assumptions (NG)'!$AC$16*AVERAGE('Assumptions (NG)'!$Z$3:$AB$3))/10^9),0)</f>
        <v>0</v>
      </c>
      <c r="AR557" s="105">
        <f>IF($AD$421&gt;0,IPMT('Assumptions (NG)'!$V$7,Model!AK$1,'Assumptions (NG)'!$V$10,'Assumptions (NG)'!$V$5*Model!$AD$421*('Assumptions (NG)'!$AC$15*AVERAGE('Assumptions (NG)'!$Z$2:$AB$2)+'Assumptions (NG)'!$AC$16*AVERAGE('Assumptions (NG)'!$Z$3:$AB$3))/10^9),0)</f>
        <v>0</v>
      </c>
      <c r="AS557" s="105"/>
      <c r="AT557" s="105"/>
      <c r="AU557" s="105"/>
      <c r="AV557" s="105"/>
      <c r="AW557" s="105"/>
      <c r="AX557" s="105"/>
      <c r="AY557" s="105"/>
      <c r="AZ557" s="105"/>
      <c r="BA557" s="105"/>
      <c r="BB557" s="105"/>
    </row>
    <row r="558" spans="1:57" ht="15.75" hidden="1" customHeight="1" outlineLevel="1">
      <c r="A558" s="379"/>
      <c r="B558" s="99"/>
      <c r="C558" s="99"/>
      <c r="D558" s="99"/>
      <c r="E558" s="99"/>
      <c r="F558" s="99"/>
      <c r="G558" s="99"/>
      <c r="H558" s="99"/>
      <c r="I558" s="99"/>
      <c r="J558" s="99"/>
      <c r="K558" s="99"/>
      <c r="L558" s="99"/>
      <c r="M558" s="99"/>
      <c r="N558" s="99"/>
      <c r="O558" s="99"/>
      <c r="P558" s="99"/>
      <c r="Q558" s="99"/>
      <c r="R558" s="99"/>
      <c r="S558" s="99"/>
      <c r="T558" s="99"/>
      <c r="U558" s="99"/>
      <c r="V558" s="99"/>
      <c r="W558" s="105"/>
      <c r="X558" s="105"/>
      <c r="Y558" s="105"/>
      <c r="Z558" s="105"/>
      <c r="AA558" s="105"/>
      <c r="AB558" s="105"/>
      <c r="AC558" s="105"/>
      <c r="AD558" s="105"/>
      <c r="AE558" s="105">
        <f>IF($AE$421&gt;0,IPMT('Assumptions (NG)'!$V$7,Model!W$1,'Assumptions (NG)'!$V$10,'Assumptions (NG)'!$V$5*Model!$AE$421*('Assumptions (NG)'!$AD$15*AVERAGE('Assumptions (NG)'!$AA$2:$AC$2)+'Assumptions (NG)'!$AD$16*AVERAGE('Assumptions (NG)'!$AA$3:$AC$3))/10^9),0)</f>
        <v>0</v>
      </c>
      <c r="AF558" s="105">
        <f>IF($AE$421&gt;0,IPMT('Assumptions (NG)'!$V$7,Model!X$1,'Assumptions (NG)'!$V$10,'Assumptions (NG)'!$V$5*Model!$AE$421*('Assumptions (NG)'!$AD$15*AVERAGE('Assumptions (NG)'!$AA$2:$AC$2)+'Assumptions (NG)'!$AD$16*AVERAGE('Assumptions (NG)'!$AA$3:$AC$3))/10^9),0)</f>
        <v>0</v>
      </c>
      <c r="AG558" s="105">
        <f>IF($AE$421&gt;0,IPMT('Assumptions (NG)'!$V$7,Model!Y$1,'Assumptions (NG)'!$V$10,'Assumptions (NG)'!$V$5*Model!$AE$421*('Assumptions (NG)'!$AD$15*AVERAGE('Assumptions (NG)'!$AA$2:$AC$2)+'Assumptions (NG)'!$AD$16*AVERAGE('Assumptions (NG)'!$AA$3:$AC$3))/10^9),0)</f>
        <v>0</v>
      </c>
      <c r="AH558" s="105">
        <f>IF($AE$421&gt;0,IPMT('Assumptions (NG)'!$V$7,Model!Z$1,'Assumptions (NG)'!$V$10,'Assumptions (NG)'!$V$5*Model!$AE$421*('Assumptions (NG)'!$AD$15*AVERAGE('Assumptions (NG)'!$AA$2:$AC$2)+'Assumptions (NG)'!$AD$16*AVERAGE('Assumptions (NG)'!$AA$3:$AC$3))/10^9),0)</f>
        <v>0</v>
      </c>
      <c r="AI558" s="105">
        <f>IF($AE$421&gt;0,IPMT('Assumptions (NG)'!$V$7,Model!AA$1,'Assumptions (NG)'!$V$10,'Assumptions (NG)'!$V$5*Model!$AE$421*('Assumptions (NG)'!$AD$15*AVERAGE('Assumptions (NG)'!$AA$2:$AC$2)+'Assumptions (NG)'!$AD$16*AVERAGE('Assumptions (NG)'!$AA$3:$AC$3))/10^9),0)</f>
        <v>0</v>
      </c>
      <c r="AJ558" s="105">
        <f>IF($AE$421&gt;0,IPMT('Assumptions (NG)'!$V$7,Model!AB$1,'Assumptions (NG)'!$V$10,'Assumptions (NG)'!$V$5*Model!$AE$421*('Assumptions (NG)'!$AD$15*AVERAGE('Assumptions (NG)'!$AA$2:$AC$2)+'Assumptions (NG)'!$AD$16*AVERAGE('Assumptions (NG)'!$AA$3:$AC$3))/10^9),0)</f>
        <v>0</v>
      </c>
      <c r="AK558" s="105">
        <f>IF($AE$421&gt;0,IPMT('Assumptions (NG)'!$V$7,Model!AC$1,'Assumptions (NG)'!$V$10,'Assumptions (NG)'!$V$5*Model!$AE$421*('Assumptions (NG)'!$AD$15*AVERAGE('Assumptions (NG)'!$AA$2:$AC$2)+'Assumptions (NG)'!$AD$16*AVERAGE('Assumptions (NG)'!$AA$3:$AC$3))/10^9),0)</f>
        <v>0</v>
      </c>
      <c r="AL558" s="105">
        <f>IF($AE$421&gt;0,IPMT('Assumptions (NG)'!$V$7,Model!AD$1,'Assumptions (NG)'!$V$10,'Assumptions (NG)'!$V$5*Model!$AE$421*('Assumptions (NG)'!$AD$15*AVERAGE('Assumptions (NG)'!$AA$2:$AC$2)+'Assumptions (NG)'!$AD$16*AVERAGE('Assumptions (NG)'!$AA$3:$AC$3))/10^9),0)</f>
        <v>0</v>
      </c>
      <c r="AM558" s="105">
        <f>IF($AE$421&gt;0,IPMT('Assumptions (NG)'!$V$7,Model!AE$1,'Assumptions (NG)'!$V$10,'Assumptions (NG)'!$V$5*Model!$AE$421*('Assumptions (NG)'!$AD$15*AVERAGE('Assumptions (NG)'!$AA$2:$AC$2)+'Assumptions (NG)'!$AD$16*AVERAGE('Assumptions (NG)'!$AA$3:$AC$3))/10^9),0)</f>
        <v>0</v>
      </c>
      <c r="AN558" s="105">
        <f>IF($AE$421&gt;0,IPMT('Assumptions (NG)'!$V$7,Model!AF$1,'Assumptions (NG)'!$V$10,'Assumptions (NG)'!$V$5*Model!$AE$421*('Assumptions (NG)'!$AD$15*AVERAGE('Assumptions (NG)'!$AA$2:$AC$2)+'Assumptions (NG)'!$AD$16*AVERAGE('Assumptions (NG)'!$AA$3:$AC$3))/10^9),0)</f>
        <v>0</v>
      </c>
      <c r="AO558" s="105">
        <f>IF($AE$421&gt;0,IPMT('Assumptions (NG)'!$V$7,Model!AG$1,'Assumptions (NG)'!$V$10,'Assumptions (NG)'!$V$5*Model!$AE$421*('Assumptions (NG)'!$AD$15*AVERAGE('Assumptions (NG)'!$AA$2:$AC$2)+'Assumptions (NG)'!$AD$16*AVERAGE('Assumptions (NG)'!$AA$3:$AC$3))/10^9),0)</f>
        <v>0</v>
      </c>
      <c r="AP558" s="105">
        <f>IF($AE$421&gt;0,IPMT('Assumptions (NG)'!$V$7,Model!AH$1,'Assumptions (NG)'!$V$10,'Assumptions (NG)'!$V$5*Model!$AE$421*('Assumptions (NG)'!$AD$15*AVERAGE('Assumptions (NG)'!$AA$2:$AC$2)+'Assumptions (NG)'!$AD$16*AVERAGE('Assumptions (NG)'!$AA$3:$AC$3))/10^9),0)</f>
        <v>0</v>
      </c>
      <c r="AQ558" s="105">
        <f>IF($AE$421&gt;0,IPMT('Assumptions (NG)'!$V$7,Model!AI$1,'Assumptions (NG)'!$V$10,'Assumptions (NG)'!$V$5*Model!$AE$421*('Assumptions (NG)'!$AD$15*AVERAGE('Assumptions (NG)'!$AA$2:$AC$2)+'Assumptions (NG)'!$AD$16*AVERAGE('Assumptions (NG)'!$AA$3:$AC$3))/10^9),0)</f>
        <v>0</v>
      </c>
      <c r="AR558" s="105">
        <f>IF($AE$421&gt;0,IPMT('Assumptions (NG)'!$V$7,Model!AJ$1,'Assumptions (NG)'!$V$10,'Assumptions (NG)'!$V$5*Model!$AE$421*('Assumptions (NG)'!$AD$15*AVERAGE('Assumptions (NG)'!$AA$2:$AC$2)+'Assumptions (NG)'!$AD$16*AVERAGE('Assumptions (NG)'!$AA$3:$AC$3))/10^9),0)</f>
        <v>0</v>
      </c>
      <c r="AS558" s="105">
        <f>IF($AE$421&gt;0,IPMT('Assumptions (NG)'!$V$7,Model!AK$1,'Assumptions (NG)'!$V$10,'Assumptions (NG)'!$V$5*Model!$AE$421*('Assumptions (NG)'!$AD$15*AVERAGE('Assumptions (NG)'!$AA$2:$AC$2)+'Assumptions (NG)'!$AD$16*AVERAGE('Assumptions (NG)'!$AA$3:$AC$3))/10^9),0)</f>
        <v>0</v>
      </c>
      <c r="AT558" s="105"/>
      <c r="AU558" s="105"/>
      <c r="AV558" s="105"/>
      <c r="AW558" s="105"/>
      <c r="AX558" s="105"/>
      <c r="AY558" s="105"/>
      <c r="AZ558" s="105"/>
      <c r="BA558" s="105"/>
      <c r="BB558" s="105"/>
      <c r="BC558" s="105"/>
    </row>
    <row r="559" spans="1:57" ht="15.75" hidden="1" customHeight="1" outlineLevel="1">
      <c r="A559" s="379"/>
      <c r="B559" s="99"/>
      <c r="C559" s="99"/>
      <c r="D559" s="99"/>
      <c r="E559" s="99"/>
      <c r="F559" s="99"/>
      <c r="G559" s="99"/>
      <c r="H559" s="99"/>
      <c r="I559" s="99"/>
      <c r="J559" s="99"/>
      <c r="K559" s="99"/>
      <c r="L559" s="99"/>
      <c r="M559" s="99"/>
      <c r="N559" s="99"/>
      <c r="O559" s="99"/>
      <c r="P559" s="99"/>
      <c r="Q559" s="99"/>
      <c r="R559" s="99"/>
      <c r="S559" s="99"/>
      <c r="T559" s="99"/>
      <c r="U559" s="99"/>
      <c r="V559" s="99"/>
      <c r="W559" s="105"/>
      <c r="X559" s="105"/>
      <c r="Y559" s="105"/>
      <c r="Z559" s="105"/>
      <c r="AA559" s="105"/>
      <c r="AB559" s="105"/>
      <c r="AC559" s="105"/>
      <c r="AD559" s="105"/>
      <c r="AE559" s="105"/>
      <c r="AF559" s="105">
        <f>IF($AF$421&gt;0,IPMT('Assumptions (NG)'!$V$7,Model!W$1,'Assumptions (NG)'!$V$10,'Assumptions (NG)'!$V$5*Model!$AF$421*('Assumptions (NG)'!$AE$15*AVERAGE('Assumptions (NG)'!$AB$2:$AD$2)+'Assumptions (NG)'!$AE$16*AVERAGE('Assumptions (NG)'!$AB$3:$AD$3))/10^9),0)</f>
        <v>0</v>
      </c>
      <c r="AG559" s="105">
        <f>IF($AF$421&gt;0,IPMT('Assumptions (NG)'!$V$7,Model!X$1,'Assumptions (NG)'!$V$10,'Assumptions (NG)'!$V$5*Model!$AF$421*('Assumptions (NG)'!$AE$15*AVERAGE('Assumptions (NG)'!$AB$2:$AD$2)+'Assumptions (NG)'!$AE$16*AVERAGE('Assumptions (NG)'!$AB$3:$AD$3))/10^9),0)</f>
        <v>0</v>
      </c>
      <c r="AH559" s="105">
        <f>IF($AF$421&gt;0,IPMT('Assumptions (NG)'!$V$7,Model!Y$1,'Assumptions (NG)'!$V$10,'Assumptions (NG)'!$V$5*Model!$AF$421*('Assumptions (NG)'!$AE$15*AVERAGE('Assumptions (NG)'!$AB$2:$AD$2)+'Assumptions (NG)'!$AE$16*AVERAGE('Assumptions (NG)'!$AB$3:$AD$3))/10^9),0)</f>
        <v>0</v>
      </c>
      <c r="AI559" s="105">
        <f>IF($AF$421&gt;0,IPMT('Assumptions (NG)'!$V$7,Model!Z$1,'Assumptions (NG)'!$V$10,'Assumptions (NG)'!$V$5*Model!$AF$421*('Assumptions (NG)'!$AE$15*AVERAGE('Assumptions (NG)'!$AB$2:$AD$2)+'Assumptions (NG)'!$AE$16*AVERAGE('Assumptions (NG)'!$AB$3:$AD$3))/10^9),0)</f>
        <v>0</v>
      </c>
      <c r="AJ559" s="105">
        <f>IF($AF$421&gt;0,IPMT('Assumptions (NG)'!$V$7,Model!AA$1,'Assumptions (NG)'!$V$10,'Assumptions (NG)'!$V$5*Model!$AF$421*('Assumptions (NG)'!$AE$15*AVERAGE('Assumptions (NG)'!$AB$2:$AD$2)+'Assumptions (NG)'!$AE$16*AVERAGE('Assumptions (NG)'!$AB$3:$AD$3))/10^9),0)</f>
        <v>0</v>
      </c>
      <c r="AK559" s="105">
        <f>IF($AF$421&gt;0,IPMT('Assumptions (NG)'!$V$7,Model!AB$1,'Assumptions (NG)'!$V$10,'Assumptions (NG)'!$V$5*Model!$AF$421*('Assumptions (NG)'!$AE$15*AVERAGE('Assumptions (NG)'!$AB$2:$AD$2)+'Assumptions (NG)'!$AE$16*AVERAGE('Assumptions (NG)'!$AB$3:$AD$3))/10^9),0)</f>
        <v>0</v>
      </c>
      <c r="AL559" s="105">
        <f>IF($AF$421&gt;0,IPMT('Assumptions (NG)'!$V$7,Model!AC$1,'Assumptions (NG)'!$V$10,'Assumptions (NG)'!$V$5*Model!$AF$421*('Assumptions (NG)'!$AE$15*AVERAGE('Assumptions (NG)'!$AB$2:$AD$2)+'Assumptions (NG)'!$AE$16*AVERAGE('Assumptions (NG)'!$AB$3:$AD$3))/10^9),0)</f>
        <v>0</v>
      </c>
      <c r="AM559" s="105">
        <f>IF($AF$421&gt;0,IPMT('Assumptions (NG)'!$V$7,Model!AD$1,'Assumptions (NG)'!$V$10,'Assumptions (NG)'!$V$5*Model!$AF$421*('Assumptions (NG)'!$AE$15*AVERAGE('Assumptions (NG)'!$AB$2:$AD$2)+'Assumptions (NG)'!$AE$16*AVERAGE('Assumptions (NG)'!$AB$3:$AD$3))/10^9),0)</f>
        <v>0</v>
      </c>
      <c r="AN559" s="105">
        <f>IF($AF$421&gt;0,IPMT('Assumptions (NG)'!$V$7,Model!AE$1,'Assumptions (NG)'!$V$10,'Assumptions (NG)'!$V$5*Model!$AF$421*('Assumptions (NG)'!$AE$15*AVERAGE('Assumptions (NG)'!$AB$2:$AD$2)+'Assumptions (NG)'!$AE$16*AVERAGE('Assumptions (NG)'!$AB$3:$AD$3))/10^9),0)</f>
        <v>0</v>
      </c>
      <c r="AO559" s="105">
        <f>IF($AF$421&gt;0,IPMT('Assumptions (NG)'!$V$7,Model!AF$1,'Assumptions (NG)'!$V$10,'Assumptions (NG)'!$V$5*Model!$AF$421*('Assumptions (NG)'!$AE$15*AVERAGE('Assumptions (NG)'!$AB$2:$AD$2)+'Assumptions (NG)'!$AE$16*AVERAGE('Assumptions (NG)'!$AB$3:$AD$3))/10^9),0)</f>
        <v>0</v>
      </c>
      <c r="AP559" s="105">
        <f>IF($AF$421&gt;0,IPMT('Assumptions (NG)'!$V$7,Model!AG$1,'Assumptions (NG)'!$V$10,'Assumptions (NG)'!$V$5*Model!$AF$421*('Assumptions (NG)'!$AE$15*AVERAGE('Assumptions (NG)'!$AB$2:$AD$2)+'Assumptions (NG)'!$AE$16*AVERAGE('Assumptions (NG)'!$AB$3:$AD$3))/10^9),0)</f>
        <v>0</v>
      </c>
      <c r="AQ559" s="105">
        <f>IF($AF$421&gt;0,IPMT('Assumptions (NG)'!$V$7,Model!AH$1,'Assumptions (NG)'!$V$10,'Assumptions (NG)'!$V$5*Model!$AF$421*('Assumptions (NG)'!$AE$15*AVERAGE('Assumptions (NG)'!$AB$2:$AD$2)+'Assumptions (NG)'!$AE$16*AVERAGE('Assumptions (NG)'!$AB$3:$AD$3))/10^9),0)</f>
        <v>0</v>
      </c>
      <c r="AR559" s="105">
        <f>IF($AF$421&gt;0,IPMT('Assumptions (NG)'!$V$7,Model!AI$1,'Assumptions (NG)'!$V$10,'Assumptions (NG)'!$V$5*Model!$AF$421*('Assumptions (NG)'!$AE$15*AVERAGE('Assumptions (NG)'!$AB$2:$AD$2)+'Assumptions (NG)'!$AE$16*AVERAGE('Assumptions (NG)'!$AB$3:$AD$3))/10^9),0)</f>
        <v>0</v>
      </c>
      <c r="AS559" s="105">
        <f>IF($AF$421&gt;0,IPMT('Assumptions (NG)'!$V$7,Model!AJ$1,'Assumptions (NG)'!$V$10,'Assumptions (NG)'!$V$5*Model!$AF$421*('Assumptions (NG)'!$AE$15*AVERAGE('Assumptions (NG)'!$AB$2:$AD$2)+'Assumptions (NG)'!$AE$16*AVERAGE('Assumptions (NG)'!$AB$3:$AD$3))/10^9),0)</f>
        <v>0</v>
      </c>
      <c r="AT559" s="105">
        <f>IF($AF$421&gt;0,IPMT('Assumptions (NG)'!$V$7,Model!AK$1,'Assumptions (NG)'!$V$10,'Assumptions (NG)'!$V$5*Model!$AF$421*('Assumptions (NG)'!$AE$15*AVERAGE('Assumptions (NG)'!$AB$2:$AD$2)+'Assumptions (NG)'!$AE$16*AVERAGE('Assumptions (NG)'!$AB$3:$AD$3))/10^9),0)</f>
        <v>0</v>
      </c>
      <c r="AU559" s="105"/>
      <c r="AV559" s="105"/>
      <c r="AW559" s="105"/>
      <c r="AX559" s="105"/>
      <c r="AY559" s="105"/>
      <c r="AZ559" s="105"/>
      <c r="BA559" s="105"/>
      <c r="BB559" s="105"/>
      <c r="BC559" s="105"/>
      <c r="BD559" s="105"/>
    </row>
    <row r="560" spans="1:57" ht="15.75" hidden="1" customHeight="1" outlineLevel="1">
      <c r="A560" s="379"/>
      <c r="B560" s="99"/>
      <c r="C560" s="99"/>
      <c r="D560" s="99"/>
      <c r="E560" s="99"/>
      <c r="F560" s="99"/>
      <c r="G560" s="99"/>
      <c r="H560" s="99"/>
      <c r="I560" s="99"/>
      <c r="J560" s="99"/>
      <c r="K560" s="99"/>
      <c r="L560" s="99"/>
      <c r="M560" s="99"/>
      <c r="N560" s="99"/>
      <c r="O560" s="99"/>
      <c r="P560" s="99"/>
      <c r="Q560" s="99"/>
      <c r="R560" s="99"/>
      <c r="S560" s="99"/>
      <c r="T560" s="99"/>
      <c r="U560" s="99"/>
      <c r="V560" s="99"/>
      <c r="W560" s="105"/>
      <c r="X560" s="105"/>
      <c r="Y560" s="105"/>
      <c r="Z560" s="105"/>
      <c r="AA560" s="105"/>
      <c r="AB560" s="105"/>
      <c r="AC560" s="105"/>
      <c r="AD560" s="105"/>
      <c r="AE560" s="105"/>
      <c r="AF560" s="105"/>
      <c r="AG560" s="105">
        <f>IF($AG$421&gt;0,IPMT('Assumptions (NG)'!$V$7,Model!W$1,'Assumptions (NG)'!$V$10,'Assumptions (NG)'!$V$5*Model!$AG$421*('Assumptions (NG)'!$AF$15*AVERAGE('Assumptions (NG)'!$AC$2:$AE$2)+'Assumptions (NG)'!$AF$16*AVERAGE('Assumptions (NG)'!$AC$3:$AE$3))/10^9),0)</f>
        <v>0</v>
      </c>
      <c r="AH560" s="105">
        <f>IF($AG$421&gt;0,IPMT('Assumptions (NG)'!$V$7,Model!X$1,'Assumptions (NG)'!$V$10,'Assumptions (NG)'!$V$5*Model!$AG$421*('Assumptions (NG)'!$AF$15*AVERAGE('Assumptions (NG)'!$AC$2:$AE$2)+'Assumptions (NG)'!$AF$16*AVERAGE('Assumptions (NG)'!$AC$3:$AE$3))/10^9),0)</f>
        <v>0</v>
      </c>
      <c r="AI560" s="105">
        <f>IF($AG$421&gt;0,IPMT('Assumptions (NG)'!$V$7,Model!Y$1,'Assumptions (NG)'!$V$10,'Assumptions (NG)'!$V$5*Model!$AG$421*('Assumptions (NG)'!$AF$15*AVERAGE('Assumptions (NG)'!$AC$2:$AE$2)+'Assumptions (NG)'!$AF$16*AVERAGE('Assumptions (NG)'!$AC$3:$AE$3))/10^9),0)</f>
        <v>0</v>
      </c>
      <c r="AJ560" s="105">
        <f>IF($AG$421&gt;0,IPMT('Assumptions (NG)'!$V$7,Model!Z$1,'Assumptions (NG)'!$V$10,'Assumptions (NG)'!$V$5*Model!$AG$421*('Assumptions (NG)'!$AF$15*AVERAGE('Assumptions (NG)'!$AC$2:$AE$2)+'Assumptions (NG)'!$AF$16*AVERAGE('Assumptions (NG)'!$AC$3:$AE$3))/10^9),0)</f>
        <v>0</v>
      </c>
      <c r="AK560" s="105">
        <f>IF($AG$421&gt;0,IPMT('Assumptions (NG)'!$V$7,Model!AA$1,'Assumptions (NG)'!$V$10,'Assumptions (NG)'!$V$5*Model!$AG$421*('Assumptions (NG)'!$AF$15*AVERAGE('Assumptions (NG)'!$AC$2:$AE$2)+'Assumptions (NG)'!$AF$16*AVERAGE('Assumptions (NG)'!$AC$3:$AE$3))/10^9),0)</f>
        <v>0</v>
      </c>
      <c r="AL560" s="105">
        <f>IF($AG$421&gt;0,IPMT('Assumptions (NG)'!$V$7,Model!AB$1,'Assumptions (NG)'!$V$10,'Assumptions (NG)'!$V$5*Model!$AG$421*('Assumptions (NG)'!$AF$15*AVERAGE('Assumptions (NG)'!$AC$2:$AE$2)+'Assumptions (NG)'!$AF$16*AVERAGE('Assumptions (NG)'!$AC$3:$AE$3))/10^9),0)</f>
        <v>0</v>
      </c>
      <c r="AM560" s="105">
        <f>IF($AG$421&gt;0,IPMT('Assumptions (NG)'!$V$7,Model!AC$1,'Assumptions (NG)'!$V$10,'Assumptions (NG)'!$V$5*Model!$AG$421*('Assumptions (NG)'!$AF$15*AVERAGE('Assumptions (NG)'!$AC$2:$AE$2)+'Assumptions (NG)'!$AF$16*AVERAGE('Assumptions (NG)'!$AC$3:$AE$3))/10^9),0)</f>
        <v>0</v>
      </c>
      <c r="AN560" s="105">
        <f>IF($AG$421&gt;0,IPMT('Assumptions (NG)'!$V$7,Model!AD$1,'Assumptions (NG)'!$V$10,'Assumptions (NG)'!$V$5*Model!$AG$421*('Assumptions (NG)'!$AF$15*AVERAGE('Assumptions (NG)'!$AC$2:$AE$2)+'Assumptions (NG)'!$AF$16*AVERAGE('Assumptions (NG)'!$AC$3:$AE$3))/10^9),0)</f>
        <v>0</v>
      </c>
      <c r="AO560" s="105">
        <f>IF($AG$421&gt;0,IPMT('Assumptions (NG)'!$V$7,Model!AE$1,'Assumptions (NG)'!$V$10,'Assumptions (NG)'!$V$5*Model!$AG$421*('Assumptions (NG)'!$AF$15*AVERAGE('Assumptions (NG)'!$AC$2:$AE$2)+'Assumptions (NG)'!$AF$16*AVERAGE('Assumptions (NG)'!$AC$3:$AE$3))/10^9),0)</f>
        <v>0</v>
      </c>
      <c r="AP560" s="105">
        <f>IF($AG$421&gt;0,IPMT('Assumptions (NG)'!$V$7,Model!AF$1,'Assumptions (NG)'!$V$10,'Assumptions (NG)'!$V$5*Model!$AG$421*('Assumptions (NG)'!$AF$15*AVERAGE('Assumptions (NG)'!$AC$2:$AE$2)+'Assumptions (NG)'!$AF$16*AVERAGE('Assumptions (NG)'!$AC$3:$AE$3))/10^9),0)</f>
        <v>0</v>
      </c>
      <c r="AQ560" s="105">
        <f>IF($AG$421&gt;0,IPMT('Assumptions (NG)'!$V$7,Model!AG$1,'Assumptions (NG)'!$V$10,'Assumptions (NG)'!$V$5*Model!$AG$421*('Assumptions (NG)'!$AF$15*AVERAGE('Assumptions (NG)'!$AC$2:$AE$2)+'Assumptions (NG)'!$AF$16*AVERAGE('Assumptions (NG)'!$AC$3:$AE$3))/10^9),0)</f>
        <v>0</v>
      </c>
      <c r="AR560" s="105">
        <f>IF($AG$421&gt;0,IPMT('Assumptions (NG)'!$V$7,Model!AH$1,'Assumptions (NG)'!$V$10,'Assumptions (NG)'!$V$5*Model!$AG$421*('Assumptions (NG)'!$AF$15*AVERAGE('Assumptions (NG)'!$AC$2:$AE$2)+'Assumptions (NG)'!$AF$16*AVERAGE('Assumptions (NG)'!$AC$3:$AE$3))/10^9),0)</f>
        <v>0</v>
      </c>
      <c r="AS560" s="105">
        <f>IF($AG$421&gt;0,IPMT('Assumptions (NG)'!$V$7,Model!AI$1,'Assumptions (NG)'!$V$10,'Assumptions (NG)'!$V$5*Model!$AG$421*('Assumptions (NG)'!$AF$15*AVERAGE('Assumptions (NG)'!$AC$2:$AE$2)+'Assumptions (NG)'!$AF$16*AVERAGE('Assumptions (NG)'!$AC$3:$AE$3))/10^9),0)</f>
        <v>0</v>
      </c>
      <c r="AT560" s="105">
        <f>IF($AG$421&gt;0,IPMT('Assumptions (NG)'!$V$7,Model!AJ$1,'Assumptions (NG)'!$V$10,'Assumptions (NG)'!$V$5*Model!$AG$421*('Assumptions (NG)'!$AF$15*AVERAGE('Assumptions (NG)'!$AC$2:$AE$2)+'Assumptions (NG)'!$AF$16*AVERAGE('Assumptions (NG)'!$AC$3:$AE$3))/10^9),0)</f>
        <v>0</v>
      </c>
      <c r="AU560" s="105">
        <f>IF($AG$421&gt;0,IPMT('Assumptions (NG)'!$V$7,Model!AK$1,'Assumptions (NG)'!$V$10,'Assumptions (NG)'!$V$5*Model!$AG$421*('Assumptions (NG)'!$AF$15*AVERAGE('Assumptions (NG)'!$AC$2:$AE$2)+'Assumptions (NG)'!$AF$16*AVERAGE('Assumptions (NG)'!$AC$3:$AE$3))/10^9),0)</f>
        <v>0</v>
      </c>
      <c r="AV560" s="105"/>
      <c r="AW560" s="105"/>
      <c r="AX560" s="105"/>
      <c r="AY560" s="105"/>
      <c r="AZ560" s="105"/>
      <c r="BA560" s="105"/>
      <c r="BB560" s="105"/>
      <c r="BC560" s="105"/>
      <c r="BD560" s="105"/>
      <c r="BE560" s="105"/>
    </row>
    <row r="561" spans="1:73" ht="15.75" hidden="1" customHeight="1" outlineLevel="1">
      <c r="A561" s="379"/>
      <c r="B561" s="99"/>
      <c r="C561" s="99"/>
      <c r="D561" s="99"/>
      <c r="E561" s="99"/>
      <c r="F561" s="99"/>
      <c r="G561" s="99"/>
      <c r="H561" s="99"/>
      <c r="I561" s="99"/>
      <c r="J561" s="99"/>
      <c r="K561" s="99"/>
      <c r="L561" s="99"/>
      <c r="M561" s="99"/>
      <c r="N561" s="99"/>
      <c r="O561" s="99"/>
      <c r="P561" s="99"/>
      <c r="Q561" s="99"/>
      <c r="R561" s="99"/>
      <c r="S561" s="99"/>
      <c r="T561" s="99"/>
      <c r="U561" s="99"/>
      <c r="V561" s="99"/>
      <c r="W561" s="105"/>
      <c r="X561" s="105"/>
      <c r="Y561" s="105"/>
      <c r="Z561" s="105"/>
      <c r="AA561" s="105"/>
      <c r="AB561" s="105"/>
      <c r="AC561" s="105"/>
      <c r="AD561" s="105"/>
      <c r="AE561" s="105"/>
      <c r="AF561" s="105"/>
      <c r="AG561" s="105"/>
      <c r="AH561" s="105">
        <f>IF($AH$421&gt;0,IPMT('Assumptions (NG)'!$V$7,Model!W$1,'Assumptions (NG)'!$V$10,'Assumptions (NG)'!$V$5*Model!$AH$421*('Assumptions (NG)'!$AG$15*AVERAGE('Assumptions (NG)'!$AD$2:$AF$2)+'Assumptions (NG)'!$AG$16*AVERAGE('Assumptions (NG)'!$AD$3:$AF$3))/10^9),0)</f>
        <v>0</v>
      </c>
      <c r="AI561" s="105">
        <f>IF($AH$421&gt;0,IPMT('Assumptions (NG)'!$V$7,Model!X$1,'Assumptions (NG)'!$V$10,'Assumptions (NG)'!$V$5*Model!$AH$421*('Assumptions (NG)'!$AG$15*AVERAGE('Assumptions (NG)'!$AD$2:$AF$2)+'Assumptions (NG)'!$AG$16*AVERAGE('Assumptions (NG)'!$AD$3:$AF$3))/10^9),0)</f>
        <v>0</v>
      </c>
      <c r="AJ561" s="105">
        <f>IF($AH$421&gt;0,IPMT('Assumptions (NG)'!$V$7,Model!Y$1,'Assumptions (NG)'!$V$10,'Assumptions (NG)'!$V$5*Model!$AH$421*('Assumptions (NG)'!$AG$15*AVERAGE('Assumptions (NG)'!$AD$2:$AF$2)+'Assumptions (NG)'!$AG$16*AVERAGE('Assumptions (NG)'!$AD$3:$AF$3))/10^9),0)</f>
        <v>0</v>
      </c>
      <c r="AK561" s="105">
        <f>IF($AH$421&gt;0,IPMT('Assumptions (NG)'!$V$7,Model!Z$1,'Assumptions (NG)'!$V$10,'Assumptions (NG)'!$V$5*Model!$AH$421*('Assumptions (NG)'!$AG$15*AVERAGE('Assumptions (NG)'!$AD$2:$AF$2)+'Assumptions (NG)'!$AG$16*AVERAGE('Assumptions (NG)'!$AD$3:$AF$3))/10^9),0)</f>
        <v>0</v>
      </c>
      <c r="AL561" s="105">
        <f>IF($AH$421&gt;0,IPMT('Assumptions (NG)'!$V$7,Model!AA$1,'Assumptions (NG)'!$V$10,'Assumptions (NG)'!$V$5*Model!$AH$421*('Assumptions (NG)'!$AG$15*AVERAGE('Assumptions (NG)'!$AD$2:$AF$2)+'Assumptions (NG)'!$AG$16*AVERAGE('Assumptions (NG)'!$AD$3:$AF$3))/10^9),0)</f>
        <v>0</v>
      </c>
      <c r="AM561" s="105">
        <f>IF($AH$421&gt;0,IPMT('Assumptions (NG)'!$V$7,Model!AB$1,'Assumptions (NG)'!$V$10,'Assumptions (NG)'!$V$5*Model!$AH$421*('Assumptions (NG)'!$AG$15*AVERAGE('Assumptions (NG)'!$AD$2:$AF$2)+'Assumptions (NG)'!$AG$16*AVERAGE('Assumptions (NG)'!$AD$3:$AF$3))/10^9),0)</f>
        <v>0</v>
      </c>
      <c r="AN561" s="105">
        <f>IF($AH$421&gt;0,IPMT('Assumptions (NG)'!$V$7,Model!AC$1,'Assumptions (NG)'!$V$10,'Assumptions (NG)'!$V$5*Model!$AH$421*('Assumptions (NG)'!$AG$15*AVERAGE('Assumptions (NG)'!$AD$2:$AF$2)+'Assumptions (NG)'!$AG$16*AVERAGE('Assumptions (NG)'!$AD$3:$AF$3))/10^9),0)</f>
        <v>0</v>
      </c>
      <c r="AO561" s="105">
        <f>IF($AH$421&gt;0,IPMT('Assumptions (NG)'!$V$7,Model!AD$1,'Assumptions (NG)'!$V$10,'Assumptions (NG)'!$V$5*Model!$AH$421*('Assumptions (NG)'!$AG$15*AVERAGE('Assumptions (NG)'!$AD$2:$AF$2)+'Assumptions (NG)'!$AG$16*AVERAGE('Assumptions (NG)'!$AD$3:$AF$3))/10^9),0)</f>
        <v>0</v>
      </c>
      <c r="AP561" s="105">
        <f>IF($AH$421&gt;0,IPMT('Assumptions (NG)'!$V$7,Model!AE$1,'Assumptions (NG)'!$V$10,'Assumptions (NG)'!$V$5*Model!$AH$421*('Assumptions (NG)'!$AG$15*AVERAGE('Assumptions (NG)'!$AD$2:$AF$2)+'Assumptions (NG)'!$AG$16*AVERAGE('Assumptions (NG)'!$AD$3:$AF$3))/10^9),0)</f>
        <v>0</v>
      </c>
      <c r="AQ561" s="105">
        <f>IF($AH$421&gt;0,IPMT('Assumptions (NG)'!$V$7,Model!AF$1,'Assumptions (NG)'!$V$10,'Assumptions (NG)'!$V$5*Model!$AH$421*('Assumptions (NG)'!$AG$15*AVERAGE('Assumptions (NG)'!$AD$2:$AF$2)+'Assumptions (NG)'!$AG$16*AVERAGE('Assumptions (NG)'!$AD$3:$AF$3))/10^9),0)</f>
        <v>0</v>
      </c>
      <c r="AR561" s="105">
        <f>IF($AH$421&gt;0,IPMT('Assumptions (NG)'!$V$7,Model!AG$1,'Assumptions (NG)'!$V$10,'Assumptions (NG)'!$V$5*Model!$AH$421*('Assumptions (NG)'!$AG$15*AVERAGE('Assumptions (NG)'!$AD$2:$AF$2)+'Assumptions (NG)'!$AG$16*AVERAGE('Assumptions (NG)'!$AD$3:$AF$3))/10^9),0)</f>
        <v>0</v>
      </c>
      <c r="AS561" s="105">
        <f>IF($AH$421&gt;0,IPMT('Assumptions (NG)'!$V$7,Model!AH$1,'Assumptions (NG)'!$V$10,'Assumptions (NG)'!$V$5*Model!$AH$421*('Assumptions (NG)'!$AG$15*AVERAGE('Assumptions (NG)'!$AD$2:$AF$2)+'Assumptions (NG)'!$AG$16*AVERAGE('Assumptions (NG)'!$AD$3:$AF$3))/10^9),0)</f>
        <v>0</v>
      </c>
      <c r="AT561" s="105">
        <f>IF($AH$421&gt;0,IPMT('Assumptions (NG)'!$V$7,Model!AI$1,'Assumptions (NG)'!$V$10,'Assumptions (NG)'!$V$5*Model!$AH$421*('Assumptions (NG)'!$AG$15*AVERAGE('Assumptions (NG)'!$AD$2:$AF$2)+'Assumptions (NG)'!$AG$16*AVERAGE('Assumptions (NG)'!$AD$3:$AF$3))/10^9),0)</f>
        <v>0</v>
      </c>
      <c r="AU561" s="105">
        <f>IF($AH$421&gt;0,IPMT('Assumptions (NG)'!$V$7,Model!AJ$1,'Assumptions (NG)'!$V$10,'Assumptions (NG)'!$V$5*Model!$AH$421*('Assumptions (NG)'!$AG$15*AVERAGE('Assumptions (NG)'!$AD$2:$AF$2)+'Assumptions (NG)'!$AG$16*AVERAGE('Assumptions (NG)'!$AD$3:$AF$3))/10^9),0)</f>
        <v>0</v>
      </c>
      <c r="AV561" s="105">
        <f>IF($AH$421&gt;0,IPMT('Assumptions (NG)'!$V$7,Model!AK$1,'Assumptions (NG)'!$V$10,'Assumptions (NG)'!$V$5*Model!$AH$421*('Assumptions (NG)'!$AG$15*AVERAGE('Assumptions (NG)'!$AD$2:$AF$2)+'Assumptions (NG)'!$AG$16*AVERAGE('Assumptions (NG)'!$AD$3:$AF$3))/10^9),0)</f>
        <v>0</v>
      </c>
      <c r="AW561" s="105"/>
      <c r="AX561" s="105"/>
      <c r="AY561" s="105"/>
      <c r="AZ561" s="105"/>
      <c r="BA561" s="105"/>
      <c r="BB561" s="105"/>
      <c r="BC561" s="105"/>
      <c r="BD561" s="105"/>
      <c r="BE561" s="105"/>
      <c r="BF561" s="105"/>
    </row>
    <row r="562" spans="1:73" ht="15.75" hidden="1" customHeight="1" outlineLevel="1">
      <c r="A562" s="379"/>
      <c r="B562" s="99"/>
      <c r="C562" s="99"/>
      <c r="D562" s="99"/>
      <c r="E562" s="99"/>
      <c r="F562" s="99"/>
      <c r="G562" s="99"/>
      <c r="H562" s="99"/>
      <c r="I562" s="99"/>
      <c r="J562" s="99"/>
      <c r="K562" s="99"/>
      <c r="L562" s="99"/>
      <c r="M562" s="99"/>
      <c r="N562" s="99"/>
      <c r="O562" s="99"/>
      <c r="P562" s="99"/>
      <c r="Q562" s="99"/>
      <c r="R562" s="99"/>
      <c r="S562" s="99"/>
      <c r="T562" s="99"/>
      <c r="U562" s="99"/>
      <c r="V562" s="99"/>
      <c r="W562" s="105"/>
      <c r="X562" s="105"/>
      <c r="Y562" s="105"/>
      <c r="Z562" s="105"/>
      <c r="AA562" s="105"/>
      <c r="AB562" s="105"/>
      <c r="AC562" s="105"/>
      <c r="AD562" s="105"/>
      <c r="AE562" s="105"/>
      <c r="AF562" s="105"/>
      <c r="AG562" s="105"/>
      <c r="AH562" s="105"/>
      <c r="AI562" s="105">
        <f>IF($AI$421&gt;0,IPMT('Assumptions (NG)'!$V$7,Model!W$1,'Assumptions (NG)'!$V$10,'Assumptions (NG)'!$V$5*Model!$AI$421*('Assumptions (NG)'!$AH$15*AVERAGE('Assumptions (NG)'!$AE$2:$AG$2)+'Assumptions (NG)'!$AH$16*AVERAGE('Assumptions (NG)'!$AE$3:$AG$3))/10^9),0)</f>
        <v>0</v>
      </c>
      <c r="AJ562" s="105">
        <f>IF($AI$421&gt;0,IPMT('Assumptions (NG)'!$V$7,Model!X$1,'Assumptions (NG)'!$V$10,'Assumptions (NG)'!$V$5*Model!$AI$421*('Assumptions (NG)'!$AH$15*AVERAGE('Assumptions (NG)'!$AE$2:$AG$2)+'Assumptions (NG)'!$AH$16*AVERAGE('Assumptions (NG)'!$AE$3:$AG$3))/10^9),0)</f>
        <v>0</v>
      </c>
      <c r="AK562" s="105">
        <f>IF($AI$421&gt;0,IPMT('Assumptions (NG)'!$V$7,Model!Y$1,'Assumptions (NG)'!$V$10,'Assumptions (NG)'!$V$5*Model!$AI$421*('Assumptions (NG)'!$AH$15*AVERAGE('Assumptions (NG)'!$AE$2:$AG$2)+'Assumptions (NG)'!$AH$16*AVERAGE('Assumptions (NG)'!$AE$3:$AG$3))/10^9),0)</f>
        <v>0</v>
      </c>
      <c r="AL562" s="105">
        <f>IF($AI$421&gt;0,IPMT('Assumptions (NG)'!$V$7,Model!Z$1,'Assumptions (NG)'!$V$10,'Assumptions (NG)'!$V$5*Model!$AI$421*('Assumptions (NG)'!$AH$15*AVERAGE('Assumptions (NG)'!$AE$2:$AG$2)+'Assumptions (NG)'!$AH$16*AVERAGE('Assumptions (NG)'!$AE$3:$AG$3))/10^9),0)</f>
        <v>0</v>
      </c>
      <c r="AM562" s="105">
        <f>IF($AI$421&gt;0,IPMT('Assumptions (NG)'!$V$7,Model!AA$1,'Assumptions (NG)'!$V$10,'Assumptions (NG)'!$V$5*Model!$AI$421*('Assumptions (NG)'!$AH$15*AVERAGE('Assumptions (NG)'!$AE$2:$AG$2)+'Assumptions (NG)'!$AH$16*AVERAGE('Assumptions (NG)'!$AE$3:$AG$3))/10^9),0)</f>
        <v>0</v>
      </c>
      <c r="AN562" s="105">
        <f>IF($AI$421&gt;0,IPMT('Assumptions (NG)'!$V$7,Model!AB$1,'Assumptions (NG)'!$V$10,'Assumptions (NG)'!$V$5*Model!$AI$421*('Assumptions (NG)'!$AH$15*AVERAGE('Assumptions (NG)'!$AE$2:$AG$2)+'Assumptions (NG)'!$AH$16*AVERAGE('Assumptions (NG)'!$AE$3:$AG$3))/10^9),0)</f>
        <v>0</v>
      </c>
      <c r="AO562" s="105">
        <f>IF($AI$421&gt;0,IPMT('Assumptions (NG)'!$V$7,Model!AC$1,'Assumptions (NG)'!$V$10,'Assumptions (NG)'!$V$5*Model!$AI$421*('Assumptions (NG)'!$AH$15*AVERAGE('Assumptions (NG)'!$AE$2:$AG$2)+'Assumptions (NG)'!$AH$16*AVERAGE('Assumptions (NG)'!$AE$3:$AG$3))/10^9),0)</f>
        <v>0</v>
      </c>
      <c r="AP562" s="105">
        <f>IF($AI$421&gt;0,IPMT('Assumptions (NG)'!$V$7,Model!AD$1,'Assumptions (NG)'!$V$10,'Assumptions (NG)'!$V$5*Model!$AI$421*('Assumptions (NG)'!$AH$15*AVERAGE('Assumptions (NG)'!$AE$2:$AG$2)+'Assumptions (NG)'!$AH$16*AVERAGE('Assumptions (NG)'!$AE$3:$AG$3))/10^9),0)</f>
        <v>0</v>
      </c>
      <c r="AQ562" s="105">
        <f>IF($AI$421&gt;0,IPMT('Assumptions (NG)'!$V$7,Model!AE$1,'Assumptions (NG)'!$V$10,'Assumptions (NG)'!$V$5*Model!$AI$421*('Assumptions (NG)'!$AH$15*AVERAGE('Assumptions (NG)'!$AE$2:$AG$2)+'Assumptions (NG)'!$AH$16*AVERAGE('Assumptions (NG)'!$AE$3:$AG$3))/10^9),0)</f>
        <v>0</v>
      </c>
      <c r="AR562" s="105">
        <f>IF($AI$421&gt;0,IPMT('Assumptions (NG)'!$V$7,Model!AF$1,'Assumptions (NG)'!$V$10,'Assumptions (NG)'!$V$5*Model!$AI$421*('Assumptions (NG)'!$AH$15*AVERAGE('Assumptions (NG)'!$AE$2:$AG$2)+'Assumptions (NG)'!$AH$16*AVERAGE('Assumptions (NG)'!$AE$3:$AG$3))/10^9),0)</f>
        <v>0</v>
      </c>
      <c r="AS562" s="105">
        <f>IF($AI$421&gt;0,IPMT('Assumptions (NG)'!$V$7,Model!AG$1,'Assumptions (NG)'!$V$10,'Assumptions (NG)'!$V$5*Model!$AI$421*('Assumptions (NG)'!$AH$15*AVERAGE('Assumptions (NG)'!$AE$2:$AG$2)+'Assumptions (NG)'!$AH$16*AVERAGE('Assumptions (NG)'!$AE$3:$AG$3))/10^9),0)</f>
        <v>0</v>
      </c>
      <c r="AT562" s="105">
        <f>IF($AI$421&gt;0,IPMT('Assumptions (NG)'!$V$7,Model!AH$1,'Assumptions (NG)'!$V$10,'Assumptions (NG)'!$V$5*Model!$AI$421*('Assumptions (NG)'!$AH$15*AVERAGE('Assumptions (NG)'!$AE$2:$AG$2)+'Assumptions (NG)'!$AH$16*AVERAGE('Assumptions (NG)'!$AE$3:$AG$3))/10^9),0)</f>
        <v>0</v>
      </c>
      <c r="AU562" s="105">
        <f>IF($AI$421&gt;0,IPMT('Assumptions (NG)'!$V$7,Model!AI$1,'Assumptions (NG)'!$V$10,'Assumptions (NG)'!$V$5*Model!$AI$421*('Assumptions (NG)'!$AH$15*AVERAGE('Assumptions (NG)'!$AE$2:$AG$2)+'Assumptions (NG)'!$AH$16*AVERAGE('Assumptions (NG)'!$AE$3:$AG$3))/10^9),0)</f>
        <v>0</v>
      </c>
      <c r="AV562" s="105">
        <f>IF($AI$421&gt;0,IPMT('Assumptions (NG)'!$V$7,Model!AJ$1,'Assumptions (NG)'!$V$10,'Assumptions (NG)'!$V$5*Model!$AI$421*('Assumptions (NG)'!$AH$15*AVERAGE('Assumptions (NG)'!$AE$2:$AG$2)+'Assumptions (NG)'!$AH$16*AVERAGE('Assumptions (NG)'!$AE$3:$AG$3))/10^9),0)</f>
        <v>0</v>
      </c>
      <c r="AW562" s="105">
        <f>IF($AI$421&gt;0,IPMT('Assumptions (NG)'!$V$7,Model!AK$1,'Assumptions (NG)'!$V$10,'Assumptions (NG)'!$V$5*Model!$AI$421*('Assumptions (NG)'!$AH$15*AVERAGE('Assumptions (NG)'!$AE$2:$AG$2)+'Assumptions (NG)'!$AH$16*AVERAGE('Assumptions (NG)'!$AE$3:$AG$3))/10^9),0)</f>
        <v>0</v>
      </c>
      <c r="AX562" s="105"/>
      <c r="AY562" s="105"/>
      <c r="AZ562" s="105"/>
      <c r="BA562" s="105"/>
      <c r="BB562" s="105"/>
      <c r="BC562" s="105"/>
      <c r="BD562" s="105"/>
      <c r="BE562" s="105"/>
      <c r="BF562" s="105"/>
      <c r="BG562" s="105"/>
    </row>
    <row r="563" spans="1:73" ht="15.75" hidden="1" customHeight="1" outlineLevel="1">
      <c r="A563" s="379"/>
      <c r="B563" s="99"/>
      <c r="C563" s="99"/>
      <c r="D563" s="99"/>
      <c r="E563" s="99"/>
      <c r="F563" s="99"/>
      <c r="G563" s="99"/>
      <c r="H563" s="99"/>
      <c r="I563" s="99"/>
      <c r="J563" s="99"/>
      <c r="K563" s="99"/>
      <c r="L563" s="99"/>
      <c r="M563" s="99"/>
      <c r="N563" s="99"/>
      <c r="O563" s="99"/>
      <c r="P563" s="99"/>
      <c r="Q563" s="99"/>
      <c r="R563" s="99"/>
      <c r="S563" s="99"/>
      <c r="T563" s="99"/>
      <c r="U563" s="99"/>
      <c r="V563" s="99"/>
      <c r="W563" s="105"/>
      <c r="X563" s="105"/>
      <c r="Y563" s="105"/>
      <c r="Z563" s="105"/>
      <c r="AA563" s="105"/>
      <c r="AB563" s="105"/>
      <c r="AC563" s="105"/>
      <c r="AD563" s="105"/>
      <c r="AE563" s="105"/>
      <c r="AF563" s="105"/>
      <c r="AG563" s="105"/>
      <c r="AH563" s="105"/>
      <c r="AI563" s="105"/>
      <c r="AJ563" s="105">
        <f>IF($AJ$421&gt;0,IPMT('Assumptions (NG)'!$V$7,Model!W$1,'Assumptions (NG)'!$V$10,'Assumptions (NG)'!$V$5*Model!$AJ$421*('Assumptions (NG)'!$AI$15*AVERAGE('Assumptions (NG)'!$AF$2:$AH$2)+'Assumptions (NG)'!$AI$16*AVERAGE('Assumptions (NG)'!$AF$3:$AH$3))/10^9),0)</f>
        <v>0</v>
      </c>
      <c r="AK563" s="105">
        <f>IF($AJ$421&gt;0,IPMT('Assumptions (NG)'!$V$7,Model!X$1,'Assumptions (NG)'!$V$10,'Assumptions (NG)'!$V$5*Model!$AJ$421*('Assumptions (NG)'!$AI$15*AVERAGE('Assumptions (NG)'!$AF$2:$AH$2)+'Assumptions (NG)'!$AI$16*AVERAGE('Assumptions (NG)'!$AF$3:$AH$3))/10^9),0)</f>
        <v>0</v>
      </c>
      <c r="AL563" s="105">
        <f>IF($AJ$421&gt;0,IPMT('Assumptions (NG)'!$V$7,Model!Y$1,'Assumptions (NG)'!$V$10,'Assumptions (NG)'!$V$5*Model!$AJ$421*('Assumptions (NG)'!$AI$15*AVERAGE('Assumptions (NG)'!$AF$2:$AH$2)+'Assumptions (NG)'!$AI$16*AVERAGE('Assumptions (NG)'!$AF$3:$AH$3))/10^9),0)</f>
        <v>0</v>
      </c>
      <c r="AM563" s="105">
        <f>IF($AJ$421&gt;0,IPMT('Assumptions (NG)'!$V$7,Model!Z$1,'Assumptions (NG)'!$V$10,'Assumptions (NG)'!$V$5*Model!$AJ$421*('Assumptions (NG)'!$AI$15*AVERAGE('Assumptions (NG)'!$AF$2:$AH$2)+'Assumptions (NG)'!$AI$16*AVERAGE('Assumptions (NG)'!$AF$3:$AH$3))/10^9),0)</f>
        <v>0</v>
      </c>
      <c r="AN563" s="105">
        <f>IF($AJ$421&gt;0,IPMT('Assumptions (NG)'!$V$7,Model!AA$1,'Assumptions (NG)'!$V$10,'Assumptions (NG)'!$V$5*Model!$AJ$421*('Assumptions (NG)'!$AI$15*AVERAGE('Assumptions (NG)'!$AF$2:$AH$2)+'Assumptions (NG)'!$AI$16*AVERAGE('Assumptions (NG)'!$AF$3:$AH$3))/10^9),0)</f>
        <v>0</v>
      </c>
      <c r="AO563" s="105">
        <f>IF($AJ$421&gt;0,IPMT('Assumptions (NG)'!$V$7,Model!AB$1,'Assumptions (NG)'!$V$10,'Assumptions (NG)'!$V$5*Model!$AJ$421*('Assumptions (NG)'!$AI$15*AVERAGE('Assumptions (NG)'!$AF$2:$AH$2)+'Assumptions (NG)'!$AI$16*AVERAGE('Assumptions (NG)'!$AF$3:$AH$3))/10^9),0)</f>
        <v>0</v>
      </c>
      <c r="AP563" s="105">
        <f>IF($AJ$421&gt;0,IPMT('Assumptions (NG)'!$V$7,Model!AC$1,'Assumptions (NG)'!$V$10,'Assumptions (NG)'!$V$5*Model!$AJ$421*('Assumptions (NG)'!$AI$15*AVERAGE('Assumptions (NG)'!$AF$2:$AH$2)+'Assumptions (NG)'!$AI$16*AVERAGE('Assumptions (NG)'!$AF$3:$AH$3))/10^9),0)</f>
        <v>0</v>
      </c>
      <c r="AQ563" s="105">
        <f>IF($AJ$421&gt;0,IPMT('Assumptions (NG)'!$V$7,Model!AD$1,'Assumptions (NG)'!$V$10,'Assumptions (NG)'!$V$5*Model!$AJ$421*('Assumptions (NG)'!$AI$15*AVERAGE('Assumptions (NG)'!$AF$2:$AH$2)+'Assumptions (NG)'!$AI$16*AVERAGE('Assumptions (NG)'!$AF$3:$AH$3))/10^9),0)</f>
        <v>0</v>
      </c>
      <c r="AR563" s="105">
        <f>IF($AJ$421&gt;0,IPMT('Assumptions (NG)'!$V$7,Model!AE$1,'Assumptions (NG)'!$V$10,'Assumptions (NG)'!$V$5*Model!$AJ$421*('Assumptions (NG)'!$AI$15*AVERAGE('Assumptions (NG)'!$AF$2:$AH$2)+'Assumptions (NG)'!$AI$16*AVERAGE('Assumptions (NG)'!$AF$3:$AH$3))/10^9),0)</f>
        <v>0</v>
      </c>
      <c r="AS563" s="105">
        <f>IF($AJ$421&gt;0,IPMT('Assumptions (NG)'!$V$7,Model!AF$1,'Assumptions (NG)'!$V$10,'Assumptions (NG)'!$V$5*Model!$AJ$421*('Assumptions (NG)'!$AI$15*AVERAGE('Assumptions (NG)'!$AF$2:$AH$2)+'Assumptions (NG)'!$AI$16*AVERAGE('Assumptions (NG)'!$AF$3:$AH$3))/10^9),0)</f>
        <v>0</v>
      </c>
      <c r="AT563" s="105">
        <f>IF($AJ$421&gt;0,IPMT('Assumptions (NG)'!$V$7,Model!AG$1,'Assumptions (NG)'!$V$10,'Assumptions (NG)'!$V$5*Model!$AJ$421*('Assumptions (NG)'!$AI$15*AVERAGE('Assumptions (NG)'!$AF$2:$AH$2)+'Assumptions (NG)'!$AI$16*AVERAGE('Assumptions (NG)'!$AF$3:$AH$3))/10^9),0)</f>
        <v>0</v>
      </c>
      <c r="AU563" s="105">
        <f>IF($AJ$421&gt;0,IPMT('Assumptions (NG)'!$V$7,Model!AH$1,'Assumptions (NG)'!$V$10,'Assumptions (NG)'!$V$5*Model!$AJ$421*('Assumptions (NG)'!$AI$15*AVERAGE('Assumptions (NG)'!$AF$2:$AH$2)+'Assumptions (NG)'!$AI$16*AVERAGE('Assumptions (NG)'!$AF$3:$AH$3))/10^9),0)</f>
        <v>0</v>
      </c>
      <c r="AV563" s="105">
        <f>IF($AJ$421&gt;0,IPMT('Assumptions (NG)'!$V$7,Model!AI$1,'Assumptions (NG)'!$V$10,'Assumptions (NG)'!$V$5*Model!$AJ$421*('Assumptions (NG)'!$AI$15*AVERAGE('Assumptions (NG)'!$AF$2:$AH$2)+'Assumptions (NG)'!$AI$16*AVERAGE('Assumptions (NG)'!$AF$3:$AH$3))/10^9),0)</f>
        <v>0</v>
      </c>
      <c r="AW563" s="105">
        <f>IF($AJ$421&gt;0,IPMT('Assumptions (NG)'!$V$7,Model!AJ$1,'Assumptions (NG)'!$V$10,'Assumptions (NG)'!$V$5*Model!$AJ$421*('Assumptions (NG)'!$AI$15*AVERAGE('Assumptions (NG)'!$AF$2:$AH$2)+'Assumptions (NG)'!$AI$16*AVERAGE('Assumptions (NG)'!$AF$3:$AH$3))/10^9),0)</f>
        <v>0</v>
      </c>
      <c r="AX563" s="105">
        <f>IF($AJ$421&gt;0,IPMT('Assumptions (NG)'!$V$7,Model!AK$1,'Assumptions (NG)'!$V$10,'Assumptions (NG)'!$V$5*Model!$AJ$421*('Assumptions (NG)'!$AI$15*AVERAGE('Assumptions (NG)'!$AF$2:$AH$2)+'Assumptions (NG)'!$AI$16*AVERAGE('Assumptions (NG)'!$AF$3:$AH$3))/10^9),0)</f>
        <v>0</v>
      </c>
      <c r="AY563" s="105"/>
      <c r="AZ563" s="105"/>
      <c r="BA563" s="105"/>
      <c r="BB563" s="105"/>
      <c r="BC563" s="105"/>
      <c r="BD563" s="105"/>
      <c r="BE563" s="105"/>
      <c r="BF563" s="105"/>
      <c r="BG563" s="105"/>
      <c r="BH563" s="105"/>
    </row>
    <row r="564" spans="1:73" ht="15.75" hidden="1" customHeight="1" outlineLevel="1">
      <c r="A564" s="379"/>
      <c r="B564" s="99"/>
      <c r="C564" s="99"/>
      <c r="D564" s="99"/>
      <c r="E564" s="99"/>
      <c r="F564" s="99"/>
      <c r="G564" s="99"/>
      <c r="H564" s="99"/>
      <c r="I564" s="99"/>
      <c r="J564" s="99"/>
      <c r="K564" s="99"/>
      <c r="L564" s="99"/>
      <c r="M564" s="99"/>
      <c r="N564" s="99"/>
      <c r="O564" s="99"/>
      <c r="P564" s="99"/>
      <c r="Q564" s="99"/>
      <c r="R564" s="99"/>
      <c r="S564" s="99"/>
      <c r="T564" s="99"/>
      <c r="U564" s="99"/>
      <c r="V564" s="99"/>
      <c r="W564" s="105"/>
      <c r="X564" s="105"/>
      <c r="Y564" s="105"/>
      <c r="Z564" s="105"/>
      <c r="AA564" s="105"/>
      <c r="AB564" s="105"/>
      <c r="AC564" s="105"/>
      <c r="AD564" s="105"/>
      <c r="AE564" s="105"/>
      <c r="AF564" s="105"/>
      <c r="AG564" s="105"/>
      <c r="AH564" s="105"/>
      <c r="AI564" s="105"/>
      <c r="AJ564" s="171"/>
      <c r="AK564" s="105">
        <f>IF($AK$421&gt;0,IPMT('Assumptions (NG)'!$V$7,Model!W$1,'Assumptions (NG)'!$V$10,'Assumptions (NG)'!$V$5*Model!$AK$421*('Assumptions (NG)'!$AJ$15*AVERAGE('Assumptions (NG)'!$AG$2:$AI$2)+'Assumptions (NG)'!$AJ$16*AVERAGE('Assumptions (NG)'!$AG$3:$AI$3))/10^9),0)</f>
        <v>0</v>
      </c>
      <c r="AL564" s="105">
        <f>IF($AK$421&gt;0,IPMT('Assumptions (NG)'!$V$7,Model!X$1,'Assumptions (NG)'!$V$10,'Assumptions (NG)'!$V$5*Model!$AK$421*('Assumptions (NG)'!$AJ$15*AVERAGE('Assumptions (NG)'!$AG$2:$AI$2)+'Assumptions (NG)'!$AJ$16*AVERAGE('Assumptions (NG)'!$AG$3:$AI$3))/10^9),0)</f>
        <v>0</v>
      </c>
      <c r="AM564" s="105">
        <f>IF($AK$421&gt;0,IPMT('Assumptions (NG)'!$V$7,Model!Y$1,'Assumptions (NG)'!$V$10,'Assumptions (NG)'!$V$5*Model!$AK$421*('Assumptions (NG)'!$AJ$15*AVERAGE('Assumptions (NG)'!$AG$2:$AI$2)+'Assumptions (NG)'!$AJ$16*AVERAGE('Assumptions (NG)'!$AG$3:$AI$3))/10^9),0)</f>
        <v>0</v>
      </c>
      <c r="AN564" s="105">
        <f>IF($AK$421&gt;0,IPMT('Assumptions (NG)'!$V$7,Model!Z$1,'Assumptions (NG)'!$V$10,'Assumptions (NG)'!$V$5*Model!$AK$421*('Assumptions (NG)'!$AJ$15*AVERAGE('Assumptions (NG)'!$AG$2:$AI$2)+'Assumptions (NG)'!$AJ$16*AVERAGE('Assumptions (NG)'!$AG$3:$AI$3))/10^9),0)</f>
        <v>0</v>
      </c>
      <c r="AO564" s="105">
        <f>IF($AK$421&gt;0,IPMT('Assumptions (NG)'!$V$7,Model!AA$1,'Assumptions (NG)'!$V$10,'Assumptions (NG)'!$V$5*Model!$AK$421*('Assumptions (NG)'!$AJ$15*AVERAGE('Assumptions (NG)'!$AG$2:$AI$2)+'Assumptions (NG)'!$AJ$16*AVERAGE('Assumptions (NG)'!$AG$3:$AI$3))/10^9),0)</f>
        <v>0</v>
      </c>
      <c r="AP564" s="105">
        <f>IF($AK$421&gt;0,IPMT('Assumptions (NG)'!$V$7,Model!AB$1,'Assumptions (NG)'!$V$10,'Assumptions (NG)'!$V$5*Model!$AK$421*('Assumptions (NG)'!$AJ$15*AVERAGE('Assumptions (NG)'!$AG$2:$AI$2)+'Assumptions (NG)'!$AJ$16*AVERAGE('Assumptions (NG)'!$AG$3:$AI$3))/10^9),0)</f>
        <v>0</v>
      </c>
      <c r="AQ564" s="105">
        <f>IF($AK$421&gt;0,IPMT('Assumptions (NG)'!$V$7,Model!AC$1,'Assumptions (NG)'!$V$10,'Assumptions (NG)'!$V$5*Model!$AK$421*('Assumptions (NG)'!$AJ$15*AVERAGE('Assumptions (NG)'!$AG$2:$AI$2)+'Assumptions (NG)'!$AJ$16*AVERAGE('Assumptions (NG)'!$AG$3:$AI$3))/10^9),0)</f>
        <v>0</v>
      </c>
      <c r="AR564" s="105">
        <f>IF($AK$421&gt;0,IPMT('Assumptions (NG)'!$V$7,Model!AD$1,'Assumptions (NG)'!$V$10,'Assumptions (NG)'!$V$5*Model!$AK$421*('Assumptions (NG)'!$AJ$15*AVERAGE('Assumptions (NG)'!$AG$2:$AI$2)+'Assumptions (NG)'!$AJ$16*AVERAGE('Assumptions (NG)'!$AG$3:$AI$3))/10^9),0)</f>
        <v>0</v>
      </c>
      <c r="AS564" s="105">
        <f>IF($AK$421&gt;0,IPMT('Assumptions (NG)'!$V$7,Model!AE$1,'Assumptions (NG)'!$V$10,'Assumptions (NG)'!$V$5*Model!$AK$421*('Assumptions (NG)'!$AJ$15*AVERAGE('Assumptions (NG)'!$AG$2:$AI$2)+'Assumptions (NG)'!$AJ$16*AVERAGE('Assumptions (NG)'!$AG$3:$AI$3))/10^9),0)</f>
        <v>0</v>
      </c>
      <c r="AT564" s="105">
        <f>IF($AK$421&gt;0,IPMT('Assumptions (NG)'!$V$7,Model!AF$1,'Assumptions (NG)'!$V$10,'Assumptions (NG)'!$V$5*Model!$AK$421*('Assumptions (NG)'!$AJ$15*AVERAGE('Assumptions (NG)'!$AG$2:$AI$2)+'Assumptions (NG)'!$AJ$16*AVERAGE('Assumptions (NG)'!$AG$3:$AI$3))/10^9),0)</f>
        <v>0</v>
      </c>
      <c r="AU564" s="105">
        <f>IF($AK$421&gt;0,IPMT('Assumptions (NG)'!$V$7,Model!AG$1,'Assumptions (NG)'!$V$10,'Assumptions (NG)'!$V$5*Model!$AK$421*('Assumptions (NG)'!$AJ$15*AVERAGE('Assumptions (NG)'!$AG$2:$AI$2)+'Assumptions (NG)'!$AJ$16*AVERAGE('Assumptions (NG)'!$AG$3:$AI$3))/10^9),0)</f>
        <v>0</v>
      </c>
      <c r="AV564" s="105">
        <f>IF($AK$421&gt;0,IPMT('Assumptions (NG)'!$V$7,Model!AH$1,'Assumptions (NG)'!$V$10,'Assumptions (NG)'!$V$5*Model!$AK$421*('Assumptions (NG)'!$AJ$15*AVERAGE('Assumptions (NG)'!$AG$2:$AI$2)+'Assumptions (NG)'!$AJ$16*AVERAGE('Assumptions (NG)'!$AG$3:$AI$3))/10^9),0)</f>
        <v>0</v>
      </c>
      <c r="AW564" s="105">
        <f>IF($AK$421&gt;0,IPMT('Assumptions (NG)'!$V$7,Model!AI$1,'Assumptions (NG)'!$V$10,'Assumptions (NG)'!$V$5*Model!$AK$421*('Assumptions (NG)'!$AJ$15*AVERAGE('Assumptions (NG)'!$AG$2:$AI$2)+'Assumptions (NG)'!$AJ$16*AVERAGE('Assumptions (NG)'!$AG$3:$AI$3))/10^9),0)</f>
        <v>0</v>
      </c>
      <c r="AX564" s="105">
        <f>IF($AK$421&gt;0,IPMT('Assumptions (NG)'!$V$7,Model!AJ$1,'Assumptions (NG)'!$V$10,'Assumptions (NG)'!$V$5*Model!$AK$421*('Assumptions (NG)'!$AJ$15*AVERAGE('Assumptions (NG)'!$AG$2:$AI$2)+'Assumptions (NG)'!$AJ$16*AVERAGE('Assumptions (NG)'!$AG$3:$AI$3))/10^9),0)</f>
        <v>0</v>
      </c>
      <c r="AY564" s="105">
        <f>IF($AK$421&gt;0,IPMT('Assumptions (NG)'!$V$7,Model!AK$1,'Assumptions (NG)'!$V$10,'Assumptions (NG)'!$V$5*Model!$AK$421*('Assumptions (NG)'!$AJ$15*AVERAGE('Assumptions (NG)'!$AG$2:$AI$2)+'Assumptions (NG)'!$AJ$16*AVERAGE('Assumptions (NG)'!$AG$3:$AI$3))/10^9),0)</f>
        <v>0</v>
      </c>
      <c r="AZ564" s="105"/>
      <c r="BA564" s="105"/>
      <c r="BB564" s="105"/>
      <c r="BC564" s="105"/>
      <c r="BD564" s="105"/>
      <c r="BE564" s="105"/>
      <c r="BF564" s="105"/>
      <c r="BG564" s="105"/>
      <c r="BH564" s="105"/>
      <c r="BI564" s="105"/>
    </row>
    <row r="565" spans="1:73" ht="15.75" hidden="1" customHeight="1" outlineLevel="1">
      <c r="A565" s="379"/>
      <c r="B565" s="99"/>
      <c r="C565" s="99"/>
      <c r="D565" s="99"/>
      <c r="E565" s="99"/>
      <c r="F565" s="99"/>
      <c r="G565" s="99"/>
      <c r="H565" s="99"/>
      <c r="I565" s="99"/>
      <c r="J565" s="99"/>
      <c r="K565" s="99"/>
      <c r="L565" s="99"/>
      <c r="M565" s="99"/>
      <c r="N565" s="99"/>
      <c r="O565" s="99"/>
      <c r="P565" s="99"/>
      <c r="Q565" s="99"/>
      <c r="R565" s="99"/>
      <c r="S565" s="99"/>
      <c r="T565" s="99"/>
      <c r="U565" s="99"/>
      <c r="V565" s="99"/>
      <c r="W565" s="105"/>
      <c r="X565" s="105"/>
      <c r="Y565" s="105"/>
      <c r="Z565" s="105"/>
      <c r="AA565" s="105"/>
      <c r="AB565" s="105"/>
      <c r="AC565" s="105"/>
      <c r="AD565" s="105"/>
      <c r="AE565" s="105"/>
      <c r="AF565" s="105"/>
      <c r="AG565" s="105"/>
      <c r="AH565" s="105"/>
      <c r="AI565" s="105"/>
      <c r="AJ565" s="171"/>
      <c r="AK565" s="105"/>
      <c r="AL565" s="105">
        <f>IF($AL$421&gt;0,IPMT('Assumptions (NG)'!$V$7,Model!W$1,'Assumptions (NG)'!$V$10,'Assumptions (NG)'!$V$5*Model!$AL$421*('Assumptions (NG)'!$AK$15*AVERAGE('Assumptions (NG)'!$AH$2:$AJ$2)+'Assumptions (NG)'!$AK$16*AVERAGE('Assumptions (NG)'!$AH$3:$AJ$3))/10^9),0)</f>
        <v>0</v>
      </c>
      <c r="AM565" s="105">
        <f>IF($AL$421&gt;0,IPMT('Assumptions (NG)'!$V$7,Model!X$1,'Assumptions (NG)'!$V$10,'Assumptions (NG)'!$V$5*Model!$AL$421*('Assumptions (NG)'!$AK$15*AVERAGE('Assumptions (NG)'!$AH$2:$AJ$2)+'Assumptions (NG)'!$AK$16*AVERAGE('Assumptions (NG)'!$AH$3:$AJ$3))/10^9),0)</f>
        <v>0</v>
      </c>
      <c r="AN565" s="105">
        <f>IF($AL$421&gt;0,IPMT('Assumptions (NG)'!$V$7,Model!Y$1,'Assumptions (NG)'!$V$10,'Assumptions (NG)'!$V$5*Model!$AL$421*('Assumptions (NG)'!$AK$15*AVERAGE('Assumptions (NG)'!$AH$2:$AJ$2)+'Assumptions (NG)'!$AK$16*AVERAGE('Assumptions (NG)'!$AH$3:$AJ$3))/10^9),0)</f>
        <v>0</v>
      </c>
      <c r="AO565" s="105">
        <f>IF($AL$421&gt;0,IPMT('Assumptions (NG)'!$V$7,Model!Z$1,'Assumptions (NG)'!$V$10,'Assumptions (NG)'!$V$5*Model!$AL$421*('Assumptions (NG)'!$AK$15*AVERAGE('Assumptions (NG)'!$AH$2:$AJ$2)+'Assumptions (NG)'!$AK$16*AVERAGE('Assumptions (NG)'!$AH$3:$AJ$3))/10^9),0)</f>
        <v>0</v>
      </c>
      <c r="AP565" s="105">
        <f>IF($AL$421&gt;0,IPMT('Assumptions (NG)'!$V$7,Model!AA$1,'Assumptions (NG)'!$V$10,'Assumptions (NG)'!$V$5*Model!$AL$421*('Assumptions (NG)'!$AK$15*AVERAGE('Assumptions (NG)'!$AH$2:$AJ$2)+'Assumptions (NG)'!$AK$16*AVERAGE('Assumptions (NG)'!$AH$3:$AJ$3))/10^9),0)</f>
        <v>0</v>
      </c>
      <c r="AQ565" s="105">
        <f>IF($AL$421&gt;0,IPMT('Assumptions (NG)'!$V$7,Model!AB$1,'Assumptions (NG)'!$V$10,'Assumptions (NG)'!$V$5*Model!$AL$421*('Assumptions (NG)'!$AK$15*AVERAGE('Assumptions (NG)'!$AH$2:$AJ$2)+'Assumptions (NG)'!$AK$16*AVERAGE('Assumptions (NG)'!$AH$3:$AJ$3))/10^9),0)</f>
        <v>0</v>
      </c>
      <c r="AR565" s="105">
        <f>IF($AL$421&gt;0,IPMT('Assumptions (NG)'!$V$7,Model!AC$1,'Assumptions (NG)'!$V$10,'Assumptions (NG)'!$V$5*Model!$AL$421*('Assumptions (NG)'!$AK$15*AVERAGE('Assumptions (NG)'!$AH$2:$AJ$2)+'Assumptions (NG)'!$AK$16*AVERAGE('Assumptions (NG)'!$AH$3:$AJ$3))/10^9),0)</f>
        <v>0</v>
      </c>
      <c r="AS565" s="105">
        <f>IF($AL$421&gt;0,IPMT('Assumptions (NG)'!$V$7,Model!AD$1,'Assumptions (NG)'!$V$10,'Assumptions (NG)'!$V$5*Model!$AL$421*('Assumptions (NG)'!$AK$15*AVERAGE('Assumptions (NG)'!$AH$2:$AJ$2)+'Assumptions (NG)'!$AK$16*AVERAGE('Assumptions (NG)'!$AH$3:$AJ$3))/10^9),0)</f>
        <v>0</v>
      </c>
      <c r="AT565" s="105">
        <f>IF($AL$421&gt;0,IPMT('Assumptions (NG)'!$V$7,Model!AE$1,'Assumptions (NG)'!$V$10,'Assumptions (NG)'!$V$5*Model!$AL$421*('Assumptions (NG)'!$AK$15*AVERAGE('Assumptions (NG)'!$AH$2:$AJ$2)+'Assumptions (NG)'!$AK$16*AVERAGE('Assumptions (NG)'!$AH$3:$AJ$3))/10^9),0)</f>
        <v>0</v>
      </c>
      <c r="AU565" s="105">
        <f>IF($AL$421&gt;0,IPMT('Assumptions (NG)'!$V$7,Model!AF$1,'Assumptions (NG)'!$V$10,'Assumptions (NG)'!$V$5*Model!$AL$421*('Assumptions (NG)'!$AK$15*AVERAGE('Assumptions (NG)'!$AH$2:$AJ$2)+'Assumptions (NG)'!$AK$16*AVERAGE('Assumptions (NG)'!$AH$3:$AJ$3))/10^9),0)</f>
        <v>0</v>
      </c>
      <c r="AV565" s="105">
        <f>IF($AL$421&gt;0,IPMT('Assumptions (NG)'!$V$7,Model!AG$1,'Assumptions (NG)'!$V$10,'Assumptions (NG)'!$V$5*Model!$AL$421*('Assumptions (NG)'!$AK$15*AVERAGE('Assumptions (NG)'!$AH$2:$AJ$2)+'Assumptions (NG)'!$AK$16*AVERAGE('Assumptions (NG)'!$AH$3:$AJ$3))/10^9),0)</f>
        <v>0</v>
      </c>
      <c r="AW565" s="105">
        <f>IF($AL$421&gt;0,IPMT('Assumptions (NG)'!$V$7,Model!AH$1,'Assumptions (NG)'!$V$10,'Assumptions (NG)'!$V$5*Model!$AL$421*('Assumptions (NG)'!$AK$15*AVERAGE('Assumptions (NG)'!$AH$2:$AJ$2)+'Assumptions (NG)'!$AK$16*AVERAGE('Assumptions (NG)'!$AH$3:$AJ$3))/10^9),0)</f>
        <v>0</v>
      </c>
      <c r="AX565" s="105">
        <f>IF($AL$421&gt;0,IPMT('Assumptions (NG)'!$V$7,Model!AI$1,'Assumptions (NG)'!$V$10,'Assumptions (NG)'!$V$5*Model!$AL$421*('Assumptions (NG)'!$AK$15*AVERAGE('Assumptions (NG)'!$AH$2:$AJ$2)+'Assumptions (NG)'!$AK$16*AVERAGE('Assumptions (NG)'!$AH$3:$AJ$3))/10^9),0)</f>
        <v>0</v>
      </c>
      <c r="AY565" s="105">
        <f>IF($AL$421&gt;0,IPMT('Assumptions (NG)'!$V$7,Model!AJ$1,'Assumptions (NG)'!$V$10,'Assumptions (NG)'!$V$5*Model!$AL$421*('Assumptions (NG)'!$AK$15*AVERAGE('Assumptions (NG)'!$AH$2:$AJ$2)+'Assumptions (NG)'!$AK$16*AVERAGE('Assumptions (NG)'!$AH$3:$AJ$3))/10^9),0)</f>
        <v>0</v>
      </c>
      <c r="AZ565" s="105">
        <f>IF($AL$421&gt;0,IPMT('Assumptions (NG)'!$V$7,Model!AK$1,'Assumptions (NG)'!$V$10,'Assumptions (NG)'!$V$5*Model!$AL$421*('Assumptions (NG)'!$AK$15*AVERAGE('Assumptions (NG)'!$AH$2:$AJ$2)+'Assumptions (NG)'!$AK$16*AVERAGE('Assumptions (NG)'!$AH$3:$AJ$3))/10^9),0)</f>
        <v>0</v>
      </c>
      <c r="BA565" s="105"/>
      <c r="BB565" s="105"/>
      <c r="BC565" s="105"/>
      <c r="BD565" s="105"/>
      <c r="BE565" s="105"/>
      <c r="BF565" s="105"/>
      <c r="BG565" s="105"/>
      <c r="BH565" s="105"/>
      <c r="BI565" s="105"/>
      <c r="BJ565" s="105"/>
    </row>
    <row r="566" spans="1:73" ht="15.75" hidden="1" customHeight="1" outlineLevel="1">
      <c r="A566" s="379"/>
      <c r="B566" s="99"/>
      <c r="C566" s="99"/>
      <c r="D566" s="99"/>
      <c r="E566" s="99"/>
      <c r="F566" s="99"/>
      <c r="G566" s="99"/>
      <c r="H566" s="99"/>
      <c r="I566" s="99"/>
      <c r="J566" s="99"/>
      <c r="K566" s="99"/>
      <c r="L566" s="99"/>
      <c r="M566" s="99"/>
      <c r="N566" s="99"/>
      <c r="O566" s="99"/>
      <c r="P566" s="99"/>
      <c r="Q566" s="99"/>
      <c r="R566" s="99"/>
      <c r="S566" s="99"/>
      <c r="T566" s="99"/>
      <c r="U566" s="99"/>
      <c r="V566" s="99"/>
      <c r="W566" s="105"/>
      <c r="X566" s="105"/>
      <c r="Y566" s="105"/>
      <c r="Z566" s="105"/>
      <c r="AA566" s="105"/>
      <c r="AB566" s="105"/>
      <c r="AC566" s="105"/>
      <c r="AD566" s="105"/>
      <c r="AE566" s="105"/>
      <c r="AF566" s="105"/>
      <c r="AG566" s="105"/>
      <c r="AH566" s="105"/>
      <c r="AI566" s="105"/>
      <c r="AJ566" s="171"/>
      <c r="AK566" s="105"/>
      <c r="AL566" s="91"/>
      <c r="AM566" s="105">
        <f>IF($AM$421&gt;0,IPMT('Assumptions (NG)'!$V$7,Model!W$1,'Assumptions (NG)'!$V$10,'Assumptions (NG)'!$V$5*Model!$AM$421*('Assumptions (NG)'!$AL$15*AVERAGE('Assumptions (NG)'!$AI$2:$AK$2)+'Assumptions (NG)'!$AL$16*AVERAGE('Assumptions (NG)'!$AI$3:$AK$3))/10^9),0)</f>
        <v>0</v>
      </c>
      <c r="AN566" s="105">
        <f>IF($AM$421&gt;0,IPMT('Assumptions (NG)'!$V$7,Model!X$1,'Assumptions (NG)'!$V$10,'Assumptions (NG)'!$V$5*Model!$AM$421*('Assumptions (NG)'!$AL$15*AVERAGE('Assumptions (NG)'!$AI$2:$AK$2)+'Assumptions (NG)'!$AL$16*AVERAGE('Assumptions (NG)'!$AI$3:$AK$3))/10^9),0)</f>
        <v>0</v>
      </c>
      <c r="AO566" s="105">
        <f>IF($AM$421&gt;0,IPMT('Assumptions (NG)'!$V$7,Model!Y$1,'Assumptions (NG)'!$V$10,'Assumptions (NG)'!$V$5*Model!$AM$421*('Assumptions (NG)'!$AL$15*AVERAGE('Assumptions (NG)'!$AI$2:$AK$2)+'Assumptions (NG)'!$AL$16*AVERAGE('Assumptions (NG)'!$AI$3:$AK$3))/10^9),0)</f>
        <v>0</v>
      </c>
      <c r="AP566" s="105">
        <f>IF($AM$421&gt;0,IPMT('Assumptions (NG)'!$V$7,Model!Z$1,'Assumptions (NG)'!$V$10,'Assumptions (NG)'!$V$5*Model!$AM$421*('Assumptions (NG)'!$AL$15*AVERAGE('Assumptions (NG)'!$AI$2:$AK$2)+'Assumptions (NG)'!$AL$16*AVERAGE('Assumptions (NG)'!$AI$3:$AK$3))/10^9),0)</f>
        <v>0</v>
      </c>
      <c r="AQ566" s="105">
        <f>IF($AM$421&gt;0,IPMT('Assumptions (NG)'!$V$7,Model!AA$1,'Assumptions (NG)'!$V$10,'Assumptions (NG)'!$V$5*Model!$AM$421*('Assumptions (NG)'!$AL$15*AVERAGE('Assumptions (NG)'!$AI$2:$AK$2)+'Assumptions (NG)'!$AL$16*AVERAGE('Assumptions (NG)'!$AI$3:$AK$3))/10^9),0)</f>
        <v>0</v>
      </c>
      <c r="AR566" s="105">
        <f>IF($AM$421&gt;0,IPMT('Assumptions (NG)'!$V$7,Model!AB$1,'Assumptions (NG)'!$V$10,'Assumptions (NG)'!$V$5*Model!$AM$421*('Assumptions (NG)'!$AL$15*AVERAGE('Assumptions (NG)'!$AI$2:$AK$2)+'Assumptions (NG)'!$AL$16*AVERAGE('Assumptions (NG)'!$AI$3:$AK$3))/10^9),0)</f>
        <v>0</v>
      </c>
      <c r="AS566" s="105">
        <f>IF($AM$421&gt;0,IPMT('Assumptions (NG)'!$V$7,Model!AC$1,'Assumptions (NG)'!$V$10,'Assumptions (NG)'!$V$5*Model!$AM$421*('Assumptions (NG)'!$AL$15*AVERAGE('Assumptions (NG)'!$AI$2:$AK$2)+'Assumptions (NG)'!$AL$16*AVERAGE('Assumptions (NG)'!$AI$3:$AK$3))/10^9),0)</f>
        <v>0</v>
      </c>
      <c r="AT566" s="105">
        <f>IF($AM$421&gt;0,IPMT('Assumptions (NG)'!$V$7,Model!AD$1,'Assumptions (NG)'!$V$10,'Assumptions (NG)'!$V$5*Model!$AM$421*('Assumptions (NG)'!$AL$15*AVERAGE('Assumptions (NG)'!$AI$2:$AK$2)+'Assumptions (NG)'!$AL$16*AVERAGE('Assumptions (NG)'!$AI$3:$AK$3))/10^9),0)</f>
        <v>0</v>
      </c>
      <c r="AU566" s="105">
        <f>IF($AM$421&gt;0,IPMT('Assumptions (NG)'!$V$7,Model!AE$1,'Assumptions (NG)'!$V$10,'Assumptions (NG)'!$V$5*Model!$AM$421*('Assumptions (NG)'!$AL$15*AVERAGE('Assumptions (NG)'!$AI$2:$AK$2)+'Assumptions (NG)'!$AL$16*AVERAGE('Assumptions (NG)'!$AI$3:$AK$3))/10^9),0)</f>
        <v>0</v>
      </c>
      <c r="AV566" s="105">
        <f>IF($AM$421&gt;0,IPMT('Assumptions (NG)'!$V$7,Model!AF$1,'Assumptions (NG)'!$V$10,'Assumptions (NG)'!$V$5*Model!$AM$421*('Assumptions (NG)'!$AL$15*AVERAGE('Assumptions (NG)'!$AI$2:$AK$2)+'Assumptions (NG)'!$AL$16*AVERAGE('Assumptions (NG)'!$AI$3:$AK$3))/10^9),0)</f>
        <v>0</v>
      </c>
      <c r="AW566" s="105">
        <f>IF($AM$421&gt;0,IPMT('Assumptions (NG)'!$V$7,Model!AG$1,'Assumptions (NG)'!$V$10,'Assumptions (NG)'!$V$5*Model!$AM$421*('Assumptions (NG)'!$AL$15*AVERAGE('Assumptions (NG)'!$AI$2:$AK$2)+'Assumptions (NG)'!$AL$16*AVERAGE('Assumptions (NG)'!$AI$3:$AK$3))/10^9),0)</f>
        <v>0</v>
      </c>
      <c r="AX566" s="105">
        <f>IF($AM$421&gt;0,IPMT('Assumptions (NG)'!$V$7,Model!AH$1,'Assumptions (NG)'!$V$10,'Assumptions (NG)'!$V$5*Model!$AM$421*('Assumptions (NG)'!$AL$15*AVERAGE('Assumptions (NG)'!$AI$2:$AK$2)+'Assumptions (NG)'!$AL$16*AVERAGE('Assumptions (NG)'!$AI$3:$AK$3))/10^9),0)</f>
        <v>0</v>
      </c>
      <c r="AY566" s="105">
        <f>IF($AM$421&gt;0,IPMT('Assumptions (NG)'!$V$7,Model!AI$1,'Assumptions (NG)'!$V$10,'Assumptions (NG)'!$V$5*Model!$AM$421*('Assumptions (NG)'!$AL$15*AVERAGE('Assumptions (NG)'!$AI$2:$AK$2)+'Assumptions (NG)'!$AL$16*AVERAGE('Assumptions (NG)'!$AI$3:$AK$3))/10^9),0)</f>
        <v>0</v>
      </c>
      <c r="AZ566" s="105">
        <f>IF($AM$421&gt;0,IPMT('Assumptions (NG)'!$V$7,Model!AJ$1,'Assumptions (NG)'!$V$10,'Assumptions (NG)'!$V$5*Model!$AM$421*('Assumptions (NG)'!$AL$15*AVERAGE('Assumptions (NG)'!$AI$2:$AK$2)+'Assumptions (NG)'!$AL$16*AVERAGE('Assumptions (NG)'!$AI$3:$AK$3))/10^9),0)</f>
        <v>0</v>
      </c>
      <c r="BA566" s="105">
        <f>IF($AM$421&gt;0,IPMT('Assumptions (NG)'!$V$7,Model!AK$1,'Assumptions (NG)'!$V$10,'Assumptions (NG)'!$V$5*Model!$AM$421*('Assumptions (NG)'!$AL$15*AVERAGE('Assumptions (NG)'!$AI$2:$AK$2)+'Assumptions (NG)'!$AL$16*AVERAGE('Assumptions (NG)'!$AI$3:$AK$3))/10^9),0)</f>
        <v>0</v>
      </c>
      <c r="BB566" s="105"/>
      <c r="BC566" s="105"/>
      <c r="BD566" s="105"/>
      <c r="BE566" s="105"/>
      <c r="BF566" s="105"/>
      <c r="BG566" s="105"/>
      <c r="BH566" s="105"/>
      <c r="BI566" s="105"/>
      <c r="BJ566" s="105"/>
      <c r="BK566" s="105"/>
    </row>
    <row r="567" spans="1:73" ht="15.75" hidden="1" customHeight="1" outlineLevel="1">
      <c r="A567" s="379"/>
      <c r="B567" s="99"/>
      <c r="C567" s="99"/>
      <c r="D567" s="99"/>
      <c r="E567" s="99"/>
      <c r="F567" s="99"/>
      <c r="G567" s="99"/>
      <c r="H567" s="99"/>
      <c r="I567" s="99"/>
      <c r="J567" s="99"/>
      <c r="K567" s="99"/>
      <c r="L567" s="99"/>
      <c r="M567" s="99"/>
      <c r="N567" s="99"/>
      <c r="O567" s="99"/>
      <c r="P567" s="99"/>
      <c r="Q567" s="99"/>
      <c r="R567" s="99"/>
      <c r="S567" s="99"/>
      <c r="T567" s="99"/>
      <c r="U567" s="99"/>
      <c r="V567" s="99"/>
      <c r="W567" s="105"/>
      <c r="X567" s="105"/>
      <c r="Y567" s="105"/>
      <c r="Z567" s="105"/>
      <c r="AA567" s="105"/>
      <c r="AB567" s="105"/>
      <c r="AC567" s="105"/>
      <c r="AD567" s="105"/>
      <c r="AE567" s="105"/>
      <c r="AF567" s="105"/>
      <c r="AG567" s="105"/>
      <c r="AH567" s="105"/>
      <c r="AI567" s="105"/>
      <c r="AJ567" s="171"/>
      <c r="AK567" s="105"/>
      <c r="AL567" s="91"/>
      <c r="AM567" s="91"/>
      <c r="AN567" s="105">
        <f>IF($AN$421&gt;0,IPMT('Assumptions (NG)'!$V$7,Model!W$1,'Assumptions (NG)'!$V$10,'Assumptions (NG)'!$V$5*Model!$AN$421*('Assumptions (NG)'!$AM$15*AVERAGE('Assumptions (NG)'!$AJ$2:$AL$2)+'Assumptions (NG)'!$AM$16*AVERAGE('Assumptions (NG)'!$AJ$3:$AL$3))/10^9),0)</f>
        <v>-0.14534925226972054</v>
      </c>
      <c r="AO567" s="105">
        <f>IF($AN$421&gt;0,IPMT('Assumptions (NG)'!$V$7,Model!X$1,'Assumptions (NG)'!$V$10,'Assumptions (NG)'!$V$5*Model!$AN$421*('Assumptions (NG)'!$AM$15*AVERAGE('Assumptions (NG)'!$AJ$2:$AL$2)+'Assumptions (NG)'!$AM$16*AVERAGE('Assumptions (NG)'!$AJ$3:$AL$3))/10^9),0)</f>
        <v>-0.13507510557234192</v>
      </c>
      <c r="AP567" s="105">
        <f>IF($AN$421&gt;0,IPMT('Assumptions (NG)'!$V$7,Model!Y$1,'Assumptions (NG)'!$V$10,'Assumptions (NG)'!$V$5*Model!$AN$421*('Assumptions (NG)'!$AM$15*AVERAGE('Assumptions (NG)'!$AJ$2:$AL$2)+'Assumptions (NG)'!$AM$16*AVERAGE('Assumptions (NG)'!$AJ$3:$AL$3))/10^9),0)</f>
        <v>-0.12403039787265993</v>
      </c>
      <c r="AQ567" s="105">
        <f>IF($AN$421&gt;0,IPMT('Assumptions (NG)'!$V$7,Model!Z$1,'Assumptions (NG)'!$V$10,'Assumptions (NG)'!$V$5*Model!$AN$421*('Assumptions (NG)'!$AM$15*AVERAGE('Assumptions (NG)'!$AJ$2:$AL$2)+'Assumptions (NG)'!$AM$16*AVERAGE('Assumptions (NG)'!$AJ$3:$AL$3))/10^9),0)</f>
        <v>-0.11215733709550176</v>
      </c>
      <c r="AR567" s="105">
        <f>IF($AN$421&gt;0,IPMT('Assumptions (NG)'!$V$7,Model!AA$1,'Assumptions (NG)'!$V$10,'Assumptions (NG)'!$V$5*Model!$AN$421*('Assumptions (NG)'!$AM$15*AVERAGE('Assumptions (NG)'!$AJ$2:$AL$2)+'Assumptions (NG)'!$AM$16*AVERAGE('Assumptions (NG)'!$AJ$3:$AL$3))/10^9),0)</f>
        <v>-9.9393796760056746E-2</v>
      </c>
      <c r="AS567" s="105">
        <f>IF($AN$421&gt;0,IPMT('Assumptions (NG)'!$V$7,Model!AB$1,'Assumptions (NG)'!$V$10,'Assumptions (NG)'!$V$5*Model!$AN$421*('Assumptions (NG)'!$AM$15*AVERAGE('Assumptions (NG)'!$AJ$2:$AL$2)+'Assumptions (NG)'!$AM$16*AVERAGE('Assumptions (NG)'!$AJ$3:$AL$3))/10^9),0)</f>
        <v>-8.5672990899453363E-2</v>
      </c>
      <c r="AT567" s="105">
        <f>IF($AN$421&gt;0,IPMT('Assumptions (NG)'!$V$7,Model!AC$1,'Assumptions (NG)'!$V$10,'Assumptions (NG)'!$V$5*Model!$AN$421*('Assumptions (NG)'!$AM$15*AVERAGE('Assumptions (NG)'!$AJ$2:$AL$2)+'Assumptions (NG)'!$AM$16*AVERAGE('Assumptions (NG)'!$AJ$3:$AL$3))/10^9),0)</f>
        <v>-7.0923124599304721E-2</v>
      </c>
      <c r="AU567" s="105">
        <f>IF($AN$421&gt;0,IPMT('Assumptions (NG)'!$V$7,Model!AD$1,'Assumptions (NG)'!$V$10,'Assumptions (NG)'!$V$5*Model!$AN$421*('Assumptions (NG)'!$AM$15*AVERAGE('Assumptions (NG)'!$AJ$2:$AL$2)+'Assumptions (NG)'!$AM$16*AVERAGE('Assumptions (NG)'!$AJ$3:$AL$3))/10^9),0)</f>
        <v>-5.5067018326644908E-2</v>
      </c>
      <c r="AV567" s="105">
        <f>IF($AN$421&gt;0,IPMT('Assumptions (NG)'!$V$7,Model!AE$1,'Assumptions (NG)'!$V$10,'Assumptions (NG)'!$V$5*Model!$AN$421*('Assumptions (NG)'!$AM$15*AVERAGE('Assumptions (NG)'!$AJ$2:$AL$2)+'Assumptions (NG)'!$AM$16*AVERAGE('Assumptions (NG)'!$AJ$3:$AL$3))/10^9),0)</f>
        <v>-3.802170408353564E-2</v>
      </c>
      <c r="AW567" s="105">
        <f>IF($AN$421&gt;0,IPMT('Assumptions (NG)'!$V$7,Model!AF$1,'Assumptions (NG)'!$V$10,'Assumptions (NG)'!$V$5*Model!$AN$421*('Assumptions (NG)'!$AM$15*AVERAGE('Assumptions (NG)'!$AJ$2:$AL$2)+'Assumptions (NG)'!$AM$16*AVERAGE('Assumptions (NG)'!$AJ$3:$AL$3))/10^9),0)</f>
        <v>-1.9697991272193162E-2</v>
      </c>
      <c r="AX567" s="105" t="e">
        <f>IF($AN$421&gt;0,IPMT('Assumptions (NG)'!$V$7,Model!AG$1,'Assumptions (NG)'!$V$10,'Assumptions (NG)'!$V$5*Model!$AN$421*('Assumptions (NG)'!$AM$15*AVERAGE('Assumptions (NG)'!$AJ$2:$AL$2)+'Assumptions (NG)'!$AM$16*AVERAGE('Assumptions (NG)'!$AJ$3:$AL$3))/10^9),0)</f>
        <v>#NUM!</v>
      </c>
      <c r="AY567" s="105" t="e">
        <f>IF($AN$421&gt;0,IPMT('Assumptions (NG)'!$V$7,Model!AH$1,'Assumptions (NG)'!$V$10,'Assumptions (NG)'!$V$5*Model!$AN$421*('Assumptions (NG)'!$AM$15*AVERAGE('Assumptions (NG)'!$AJ$2:$AL$2)+'Assumptions (NG)'!$AM$16*AVERAGE('Assumptions (NG)'!$AJ$3:$AL$3))/10^9),0)</f>
        <v>#NUM!</v>
      </c>
      <c r="AZ567" s="105" t="e">
        <f>IF($AN$421&gt;0,IPMT('Assumptions (NG)'!$V$7,Model!AI$1,'Assumptions (NG)'!$V$10,'Assumptions (NG)'!$V$5*Model!$AN$421*('Assumptions (NG)'!$AM$15*AVERAGE('Assumptions (NG)'!$AJ$2:$AL$2)+'Assumptions (NG)'!$AM$16*AVERAGE('Assumptions (NG)'!$AJ$3:$AL$3))/10^9),0)</f>
        <v>#NUM!</v>
      </c>
      <c r="BA567" s="105" t="e">
        <f>IF($AN$421&gt;0,IPMT('Assumptions (NG)'!$V$7,Model!AJ$1,'Assumptions (NG)'!$V$10,'Assumptions (NG)'!$V$5*Model!$AN$421*('Assumptions (NG)'!$AM$15*AVERAGE('Assumptions (NG)'!$AJ$2:$AL$2)+'Assumptions (NG)'!$AM$16*AVERAGE('Assumptions (NG)'!$AJ$3:$AL$3))/10^9),0)</f>
        <v>#NUM!</v>
      </c>
      <c r="BB567" s="105" t="e">
        <f>IF($AN$421&gt;0,IPMT('Assumptions (NG)'!$V$7,Model!AK$1,'Assumptions (NG)'!$V$10,'Assumptions (NG)'!$V$5*Model!$AN$421*('Assumptions (NG)'!$AM$15*AVERAGE('Assumptions (NG)'!$AJ$2:$AL$2)+'Assumptions (NG)'!$AM$16*AVERAGE('Assumptions (NG)'!$AJ$3:$AL$3))/10^9),0)</f>
        <v>#NUM!</v>
      </c>
      <c r="BC567" s="105"/>
      <c r="BD567" s="105"/>
      <c r="BE567" s="105"/>
      <c r="BF567" s="105"/>
      <c r="BG567" s="105"/>
      <c r="BH567" s="105"/>
      <c r="BI567" s="105"/>
      <c r="BJ567" s="105"/>
      <c r="BK567" s="105"/>
      <c r="BL567" s="105"/>
    </row>
    <row r="568" spans="1:73" ht="15.75" hidden="1" customHeight="1" outlineLevel="1">
      <c r="A568" s="379"/>
      <c r="B568" s="99"/>
      <c r="C568" s="99"/>
      <c r="D568" s="99"/>
      <c r="E568" s="99"/>
      <c r="F568" s="99"/>
      <c r="G568" s="99"/>
      <c r="H568" s="99"/>
      <c r="I568" s="99"/>
      <c r="J568" s="99"/>
      <c r="K568" s="99"/>
      <c r="L568" s="99"/>
      <c r="M568" s="99"/>
      <c r="N568" s="99"/>
      <c r="O568" s="99"/>
      <c r="P568" s="99"/>
      <c r="Q568" s="99"/>
      <c r="R568" s="99"/>
      <c r="S568" s="99"/>
      <c r="T568" s="99"/>
      <c r="U568" s="99"/>
      <c r="V568" s="99"/>
      <c r="W568" s="105"/>
      <c r="X568" s="105"/>
      <c r="Y568" s="105"/>
      <c r="Z568" s="105"/>
      <c r="AA568" s="105"/>
      <c r="AB568" s="105"/>
      <c r="AC568" s="105"/>
      <c r="AD568" s="105"/>
      <c r="AE568" s="105"/>
      <c r="AF568" s="105"/>
      <c r="AG568" s="105"/>
      <c r="AH568" s="105"/>
      <c r="AI568" s="105"/>
      <c r="AJ568" s="171"/>
      <c r="AK568" s="105"/>
      <c r="AL568" s="91"/>
      <c r="AM568" s="91"/>
      <c r="AN568" s="91"/>
      <c r="AO568" s="105">
        <f>IF($AO$421&gt;0,IPMT('Assumptions (NG)'!$V$7,Model!W$1,'Assumptions (NG)'!$V$10,'Assumptions (NG)'!$V$5*Model!$AO$421*('Assumptions (NG)'!$AN$15*AVERAGE('Assumptions (NG)'!$AK$2:$AM$2)+'Assumptions (NG)'!$AN$16*AVERAGE('Assumptions (NG)'!$AK$3:$AM$3))/10^9),0)</f>
        <v>-1.2894802953590212</v>
      </c>
      <c r="AP568" s="105">
        <f>IF($AO$421&gt;0,IPMT('Assumptions (NG)'!$V$7,Model!X$1,'Assumptions (NG)'!$V$10,'Assumptions (NG)'!$V$5*Model!$AO$421*('Assumptions (NG)'!$AN$15*AVERAGE('Assumptions (NG)'!$AK$2:$AM$2)+'Assumptions (NG)'!$AN$16*AVERAGE('Assumptions (NG)'!$AK$3:$AM$3))/10^9),0)</f>
        <v>-1.1983321847838586</v>
      </c>
      <c r="AQ568" s="105">
        <f>IF($AO$421&gt;0,IPMT('Assumptions (NG)'!$V$7,Model!Y$1,'Assumptions (NG)'!$V$10,'Assumptions (NG)'!$V$5*Model!$AO$421*('Assumptions (NG)'!$AN$15*AVERAGE('Assumptions (NG)'!$AK$2:$AM$2)+'Assumptions (NG)'!$AN$16*AVERAGE('Assumptions (NG)'!$AK$3:$AM$3))/10^9),0)</f>
        <v>-1.1003479659155588</v>
      </c>
      <c r="AR568" s="105">
        <f>IF($AO$421&gt;0,IPMT('Assumptions (NG)'!$V$7,Model!Z$1,'Assumptions (NG)'!$V$10,'Assumptions (NG)'!$V$5*Model!$AO$421*('Assumptions (NG)'!$AN$15*AVERAGE('Assumptions (NG)'!$AK$2:$AM$2)+'Assumptions (NG)'!$AN$16*AVERAGE('Assumptions (NG)'!$AK$3:$AM$3))/10^9),0)</f>
        <v>-0.99501493063213664</v>
      </c>
      <c r="AS568" s="105">
        <f>IF($AO$421&gt;0,IPMT('Assumptions (NG)'!$V$7,Model!AA$1,'Assumptions (NG)'!$V$10,'Assumptions (NG)'!$V$5*Model!$AO$421*('Assumptions (NG)'!$AN$15*AVERAGE('Assumptions (NG)'!$AK$2:$AM$2)+'Assumptions (NG)'!$AN$16*AVERAGE('Assumptions (NG)'!$AK$3:$AM$3))/10^9),0)</f>
        <v>-0.88178191770245784</v>
      </c>
      <c r="AT568" s="105">
        <f>IF($AO$421&gt;0,IPMT('Assumptions (NG)'!$V$7,Model!AB$1,'Assumptions (NG)'!$V$10,'Assumptions (NG)'!$V$5*Model!$AO$421*('Assumptions (NG)'!$AN$15*AVERAGE('Assumptions (NG)'!$AK$2:$AM$2)+'Assumptions (NG)'!$AN$16*AVERAGE('Assumptions (NG)'!$AK$3:$AM$3))/10^9),0)</f>
        <v>-0.76005642880305313</v>
      </c>
      <c r="AU568" s="105">
        <f>IF($AO$421&gt;0,IPMT('Assumptions (NG)'!$V$7,Model!AC$1,'Assumptions (NG)'!$V$10,'Assumptions (NG)'!$V$5*Model!$AO$421*('Assumptions (NG)'!$AN$15*AVERAGE('Assumptions (NG)'!$AK$2:$AM$2)+'Assumptions (NG)'!$AN$16*AVERAGE('Assumptions (NG)'!$AK$3:$AM$3))/10^9),0)</f>
        <v>-0.62920152823619302</v>
      </c>
      <c r="AV568" s="105">
        <f>IF($AO$421&gt;0,IPMT('Assumptions (NG)'!$V$7,Model!AD$1,'Assumptions (NG)'!$V$10,'Assumptions (NG)'!$V$5*Model!$AO$421*('Assumptions (NG)'!$AN$15*AVERAGE('Assumptions (NG)'!$AK$2:$AM$2)+'Assumptions (NG)'!$AN$16*AVERAGE('Assumptions (NG)'!$AK$3:$AM$3))/10^9),0)</f>
        <v>-0.48853251012681825</v>
      </c>
      <c r="AW568" s="105">
        <f>IF($AO$421&gt;0,IPMT('Assumptions (NG)'!$V$7,Model!AE$1,'Assumptions (NG)'!$V$10,'Assumptions (NG)'!$V$5*Model!$AO$421*('Assumptions (NG)'!$AN$15*AVERAGE('Assumptions (NG)'!$AK$2:$AM$2)+'Assumptions (NG)'!$AN$16*AVERAGE('Assumptions (NG)'!$AK$3:$AM$3))/10^9),0)</f>
        <v>-0.33731331565924055</v>
      </c>
      <c r="AX568" s="105">
        <f>IF($AO$421&gt;0,IPMT('Assumptions (NG)'!$V$7,Model!AF$1,'Assumptions (NG)'!$V$10,'Assumptions (NG)'!$V$5*Model!$AO$421*('Assumptions (NG)'!$AN$15*AVERAGE('Assumptions (NG)'!$AK$2:$AM$2)+'Assumptions (NG)'!$AN$16*AVERAGE('Assumptions (NG)'!$AK$3:$AM$3))/10^9),0)</f>
        <v>-0.17475268160659452</v>
      </c>
      <c r="AY568" s="105" t="e">
        <f>IF($AO$421&gt;0,IPMT('Assumptions (NG)'!$V$7,Model!AG$1,'Assumptions (NG)'!$V$10,'Assumptions (NG)'!$V$5*Model!$AO$421*('Assumptions (NG)'!$AN$15*AVERAGE('Assumptions (NG)'!$AK$2:$AM$2)+'Assumptions (NG)'!$AN$16*AVERAGE('Assumptions (NG)'!$AK$3:$AM$3))/10^9),0)</f>
        <v>#NUM!</v>
      </c>
      <c r="AZ568" s="105" t="e">
        <f>IF($AO$421&gt;0,IPMT('Assumptions (NG)'!$V$7,Model!AH$1,'Assumptions (NG)'!$V$10,'Assumptions (NG)'!$V$5*Model!$AO$421*('Assumptions (NG)'!$AN$15*AVERAGE('Assumptions (NG)'!$AK$2:$AM$2)+'Assumptions (NG)'!$AN$16*AVERAGE('Assumptions (NG)'!$AK$3:$AM$3))/10^9),0)</f>
        <v>#NUM!</v>
      </c>
      <c r="BA568" s="105" t="e">
        <f>IF($AO$421&gt;0,IPMT('Assumptions (NG)'!$V$7,Model!AI$1,'Assumptions (NG)'!$V$10,'Assumptions (NG)'!$V$5*Model!$AO$421*('Assumptions (NG)'!$AN$15*AVERAGE('Assumptions (NG)'!$AK$2:$AM$2)+'Assumptions (NG)'!$AN$16*AVERAGE('Assumptions (NG)'!$AK$3:$AM$3))/10^9),0)</f>
        <v>#NUM!</v>
      </c>
      <c r="BB568" s="105" t="e">
        <f>IF($AO$421&gt;0,IPMT('Assumptions (NG)'!$V$7,Model!AJ$1,'Assumptions (NG)'!$V$10,'Assumptions (NG)'!$V$5*Model!$AO$421*('Assumptions (NG)'!$AN$15*AVERAGE('Assumptions (NG)'!$AK$2:$AM$2)+'Assumptions (NG)'!$AN$16*AVERAGE('Assumptions (NG)'!$AK$3:$AM$3))/10^9),0)</f>
        <v>#NUM!</v>
      </c>
      <c r="BC568" s="105" t="e">
        <f>IF($AO$421&gt;0,IPMT('Assumptions (NG)'!$V$7,Model!AK$1,'Assumptions (NG)'!$V$10,'Assumptions (NG)'!$V$5*Model!$AO$421*('Assumptions (NG)'!$AN$15*AVERAGE('Assumptions (NG)'!$AK$2:$AM$2)+'Assumptions (NG)'!$AN$16*AVERAGE('Assumptions (NG)'!$AK$3:$AM$3))/10^9),0)</f>
        <v>#NUM!</v>
      </c>
      <c r="BD568" s="105"/>
      <c r="BE568" s="105"/>
      <c r="BF568" s="105"/>
      <c r="BG568" s="105"/>
      <c r="BH568" s="105"/>
      <c r="BI568" s="105"/>
      <c r="BJ568" s="105"/>
      <c r="BK568" s="105"/>
      <c r="BL568" s="105"/>
      <c r="BM568" s="105"/>
    </row>
    <row r="569" spans="1:73" ht="15.75" hidden="1" customHeight="1" outlineLevel="1">
      <c r="A569" s="379"/>
      <c r="B569" s="99"/>
      <c r="C569" s="99"/>
      <c r="D569" s="99"/>
      <c r="E569" s="99"/>
      <c r="F569" s="99"/>
      <c r="G569" s="99"/>
      <c r="H569" s="99"/>
      <c r="I569" s="99"/>
      <c r="J569" s="99"/>
      <c r="K569" s="99"/>
      <c r="L569" s="99"/>
      <c r="M569" s="99"/>
      <c r="N569" s="99"/>
      <c r="O569" s="99"/>
      <c r="P569" s="99"/>
      <c r="Q569" s="99"/>
      <c r="R569" s="99"/>
      <c r="S569" s="99"/>
      <c r="T569" s="99"/>
      <c r="U569" s="99"/>
      <c r="V569" s="99"/>
      <c r="W569" s="105"/>
      <c r="X569" s="105"/>
      <c r="Y569" s="105"/>
      <c r="Z569" s="105"/>
      <c r="AA569" s="105"/>
      <c r="AB569" s="105"/>
      <c r="AC569" s="105"/>
      <c r="AD569" s="105"/>
      <c r="AE569" s="105"/>
      <c r="AF569" s="105"/>
      <c r="AG569" s="105"/>
      <c r="AH569" s="105"/>
      <c r="AI569" s="105"/>
      <c r="AJ569" s="171"/>
      <c r="AK569" s="105"/>
      <c r="AL569" s="91"/>
      <c r="AM569" s="91"/>
      <c r="AN569" s="91"/>
      <c r="AO569" s="105"/>
      <c r="AP569" s="105">
        <f>IF($AP$421&gt;0,IPMT('Assumptions (NG)'!$V$7,Model!W$1,'Assumptions (NG)'!$V$10,'Assumptions (NG)'!$V$5*Model!$AP$421*('Assumptions (NG)'!$AO$15*AVERAGE('Assumptions (NG)'!$AL$2:$AN$2)+'Assumptions (NG)'!$AO$16*AVERAGE('Assumptions (NG)'!$AL$3:$AN$3))/10^9),0)</f>
        <v>-1.3208409262922189</v>
      </c>
      <c r="AQ569" s="105">
        <f>IF($AP$421&gt;0,IPMT('Assumptions (NG)'!$V$7,Model!X$1,'Assumptions (NG)'!$V$10,'Assumptions (NG)'!$V$5*Model!$AP$421*('Assumptions (NG)'!$AO$15*AVERAGE('Assumptions (NG)'!$AL$2:$AN$2)+'Assumptions (NG)'!$AO$16*AVERAGE('Assumptions (NG)'!$AL$3:$AN$3))/10^9),0)</f>
        <v>-1.2274760604348749</v>
      </c>
      <c r="AR569" s="105">
        <f>IF($AP$421&gt;0,IPMT('Assumptions (NG)'!$V$7,Model!Y$1,'Assumptions (NG)'!$V$10,'Assumptions (NG)'!$V$5*Model!$AP$421*('Assumptions (NG)'!$AO$15*AVERAGE('Assumptions (NG)'!$AL$2:$AN$2)+'Assumptions (NG)'!$AO$16*AVERAGE('Assumptions (NG)'!$AL$3:$AN$3))/10^9),0)</f>
        <v>-1.1271088296382301</v>
      </c>
      <c r="AS569" s="105">
        <f>IF($AP$421&gt;0,IPMT('Assumptions (NG)'!$V$7,Model!Z$1,'Assumptions (NG)'!$V$10,'Assumptions (NG)'!$V$5*Model!$AP$421*('Assumptions (NG)'!$AO$15*AVERAGE('Assumptions (NG)'!$AL$2:$AN$2)+'Assumptions (NG)'!$AO$16*AVERAGE('Assumptions (NG)'!$AL$3:$AN$3))/10^9),0)</f>
        <v>-1.0192140565318368</v>
      </c>
      <c r="AT569" s="105">
        <f>IF($AP$421&gt;0,IPMT('Assumptions (NG)'!$V$7,Model!AA$1,'Assumptions (NG)'!$V$10,'Assumptions (NG)'!$V$5*Model!$AP$421*('Assumptions (NG)'!$AO$15*AVERAGE('Assumptions (NG)'!$AL$2:$AN$2)+'Assumptions (NG)'!$AO$16*AVERAGE('Assumptions (NG)'!$AL$3:$AN$3))/10^9),0)</f>
        <v>-0.90322717544246434</v>
      </c>
      <c r="AU569" s="105">
        <f>IF($AP$421&gt;0,IPMT('Assumptions (NG)'!$V$7,Model!AB$1,'Assumptions (NG)'!$V$10,'Assumptions (NG)'!$V$5*Model!$AP$421*('Assumptions (NG)'!$AO$15*AVERAGE('Assumptions (NG)'!$AL$2:$AN$2)+'Assumptions (NG)'!$AO$16*AVERAGE('Assumptions (NG)'!$AL$3:$AN$3))/10^9),0)</f>
        <v>-0.77854127827138886</v>
      </c>
      <c r="AV569" s="105">
        <f>IF($AP$421&gt;0,IPMT('Assumptions (NG)'!$V$7,Model!AC$1,'Assumptions (NG)'!$V$10,'Assumptions (NG)'!$V$5*Model!$AP$421*('Assumptions (NG)'!$AO$15*AVERAGE('Assumptions (NG)'!$AL$2:$AN$2)+'Assumptions (NG)'!$AO$16*AVERAGE('Assumptions (NG)'!$AL$3:$AN$3))/10^9),0)</f>
        <v>-0.6445039388124828</v>
      </c>
      <c r="AW569" s="105">
        <f>IF($AP$421&gt;0,IPMT('Assumptions (NG)'!$V$7,Model!AD$1,'Assumptions (NG)'!$V$10,'Assumptions (NG)'!$V$5*Model!$AP$421*('Assumptions (NG)'!$AO$15*AVERAGE('Assumptions (NG)'!$AL$2:$AN$2)+'Assumptions (NG)'!$AO$16*AVERAGE('Assumptions (NG)'!$AL$3:$AN$3))/10^9),0)</f>
        <v>-0.50041379889415849</v>
      </c>
      <c r="AX569" s="105">
        <f>IF($AP$421&gt;0,IPMT('Assumptions (NG)'!$V$7,Model!AE$1,'Assumptions (NG)'!$V$10,'Assumptions (NG)'!$V$5*Model!$AP$421*('Assumptions (NG)'!$AO$15*AVERAGE('Assumptions (NG)'!$AL$2:$AN$2)+'Assumptions (NG)'!$AO$16*AVERAGE('Assumptions (NG)'!$AL$3:$AN$3))/10^9),0)</f>
        <v>-0.34551689848196016</v>
      </c>
      <c r="AY569" s="105">
        <f>IF($AP$421&gt;0,IPMT('Assumptions (NG)'!$V$7,Model!AF$1,'Assumptions (NG)'!$V$10,'Assumptions (NG)'!$V$5*Model!$AP$421*('Assumptions (NG)'!$AO$15*AVERAGE('Assumptions (NG)'!$AL$2:$AN$2)+'Assumptions (NG)'!$AO$16*AVERAGE('Assumptions (NG)'!$AL$3:$AN$3))/10^9),0)</f>
        <v>-0.17900273053884683</v>
      </c>
      <c r="AZ569" s="105" t="e">
        <f>IF($AP$421&gt;0,IPMT('Assumptions (NG)'!$V$7,Model!AG$1,'Assumptions (NG)'!$V$10,'Assumptions (NG)'!$V$5*Model!$AP$421*('Assumptions (NG)'!$AO$15*AVERAGE('Assumptions (NG)'!$AL$2:$AN$2)+'Assumptions (NG)'!$AO$16*AVERAGE('Assumptions (NG)'!$AL$3:$AN$3))/10^9),0)</f>
        <v>#NUM!</v>
      </c>
      <c r="BA569" s="105" t="e">
        <f>IF($AP$421&gt;0,IPMT('Assumptions (NG)'!$V$7,Model!AH$1,'Assumptions (NG)'!$V$10,'Assumptions (NG)'!$V$5*Model!$AP$421*('Assumptions (NG)'!$AO$15*AVERAGE('Assumptions (NG)'!$AL$2:$AN$2)+'Assumptions (NG)'!$AO$16*AVERAGE('Assumptions (NG)'!$AL$3:$AN$3))/10^9),0)</f>
        <v>#NUM!</v>
      </c>
      <c r="BB569" s="105" t="e">
        <f>IF($AP$421&gt;0,IPMT('Assumptions (NG)'!$V$7,Model!AI$1,'Assumptions (NG)'!$V$10,'Assumptions (NG)'!$V$5*Model!$AP$421*('Assumptions (NG)'!$AO$15*AVERAGE('Assumptions (NG)'!$AL$2:$AN$2)+'Assumptions (NG)'!$AO$16*AVERAGE('Assumptions (NG)'!$AL$3:$AN$3))/10^9),0)</f>
        <v>#NUM!</v>
      </c>
      <c r="BC569" s="105" t="e">
        <f>IF($AP$421&gt;0,IPMT('Assumptions (NG)'!$V$7,Model!AJ$1,'Assumptions (NG)'!$V$10,'Assumptions (NG)'!$V$5*Model!$AP$421*('Assumptions (NG)'!$AO$15*AVERAGE('Assumptions (NG)'!$AL$2:$AN$2)+'Assumptions (NG)'!$AO$16*AVERAGE('Assumptions (NG)'!$AL$3:$AN$3))/10^9),0)</f>
        <v>#NUM!</v>
      </c>
      <c r="BD569" s="105" t="e">
        <f>IF($AP$421&gt;0,IPMT('Assumptions (NG)'!$V$7,Model!AK$1,'Assumptions (NG)'!$V$10,'Assumptions (NG)'!$V$5*Model!$AP$421*('Assumptions (NG)'!$AO$15*AVERAGE('Assumptions (NG)'!$AL$2:$AN$2)+'Assumptions (NG)'!$AO$16*AVERAGE('Assumptions (NG)'!$AL$3:$AN$3))/10^9),0)</f>
        <v>#NUM!</v>
      </c>
      <c r="BE569" s="105"/>
      <c r="BF569" s="105"/>
      <c r="BG569" s="105"/>
      <c r="BH569" s="105"/>
      <c r="BI569" s="105"/>
      <c r="BJ569" s="105"/>
      <c r="BK569" s="105"/>
      <c r="BL569" s="105"/>
      <c r="BM569" s="105"/>
      <c r="BN569" s="105"/>
    </row>
    <row r="570" spans="1:73" ht="15.75" hidden="1" customHeight="1" outlineLevel="1">
      <c r="A570" s="379"/>
      <c r="B570" s="99"/>
      <c r="C570" s="99"/>
      <c r="D570" s="99"/>
      <c r="E570" s="99"/>
      <c r="F570" s="99"/>
      <c r="G570" s="99"/>
      <c r="H570" s="99"/>
      <c r="I570" s="99"/>
      <c r="J570" s="99"/>
      <c r="K570" s="99"/>
      <c r="L570" s="99"/>
      <c r="M570" s="99"/>
      <c r="N570" s="99"/>
      <c r="O570" s="99"/>
      <c r="P570" s="99"/>
      <c r="Q570" s="99"/>
      <c r="R570" s="99"/>
      <c r="S570" s="99"/>
      <c r="T570" s="99"/>
      <c r="U570" s="99"/>
      <c r="V570" s="99"/>
      <c r="W570" s="105"/>
      <c r="X570" s="105"/>
      <c r="Y570" s="105"/>
      <c r="Z570" s="105"/>
      <c r="AA570" s="105"/>
      <c r="AB570" s="105"/>
      <c r="AC570" s="105"/>
      <c r="AD570" s="105"/>
      <c r="AE570" s="105"/>
      <c r="AF570" s="105"/>
      <c r="AG570" s="105"/>
      <c r="AH570" s="105"/>
      <c r="AI570" s="105"/>
      <c r="AJ570" s="171"/>
      <c r="AK570" s="105"/>
      <c r="AL570" s="91"/>
      <c r="AM570" s="91"/>
      <c r="AN570" s="91"/>
      <c r="AO570" s="105"/>
      <c r="AP570" s="105"/>
      <c r="AQ570" s="105">
        <f>IF($AQ$421&gt;0,IPMT('Assumptions (NG)'!$V$7,Model!W$1,'Assumptions (NG)'!$V$10,'Assumptions (NG)'!$V$5*Model!$AQ$421*('Assumptions (NG)'!$AP$15*AVERAGE('Assumptions (NG)'!$AM$2:$AO$2)+'Assumptions (NG)'!$AP$16*AVERAGE('Assumptions (NG)'!$AM$3:$AO$3))/10^9),0)</f>
        <v>-0.27020963834132516</v>
      </c>
      <c r="AR570" s="105">
        <f>IF($AQ$421&gt;0,IPMT('Assumptions (NG)'!$V$7,Model!X$1,'Assumptions (NG)'!$V$10,'Assumptions (NG)'!$V$5*Model!$AQ$421*('Assumptions (NG)'!$AP$15*AVERAGE('Assumptions (NG)'!$AM$2:$AO$2)+'Assumptions (NG)'!$AP$16*AVERAGE('Assumptions (NG)'!$AM$3:$AO$3))/10^9),0)</f>
        <v>-0.25110961945569149</v>
      </c>
      <c r="AS570" s="105">
        <f>IF($AQ$421&gt;0,IPMT('Assumptions (NG)'!$V$7,Model!Y$1,'Assumptions (NG)'!$V$10,'Assumptions (NG)'!$V$5*Model!$AQ$421*('Assumptions (NG)'!$AP$15*AVERAGE('Assumptions (NG)'!$AM$2:$AO$2)+'Assumptions (NG)'!$AP$16*AVERAGE('Assumptions (NG)'!$AM$3:$AO$3))/10^9),0)</f>
        <v>-0.23057709915363528</v>
      </c>
      <c r="AT570" s="105">
        <f>IF($AQ$421&gt;0,IPMT('Assumptions (NG)'!$V$7,Model!Z$1,'Assumptions (NG)'!$V$10,'Assumptions (NG)'!$V$5*Model!$AQ$421*('Assumptions (NG)'!$AP$15*AVERAGE('Assumptions (NG)'!$AM$2:$AO$2)+'Assumptions (NG)'!$AP$16*AVERAGE('Assumptions (NG)'!$AM$3:$AO$3))/10^9),0)</f>
        <v>-0.20850463982892489</v>
      </c>
      <c r="AU570" s="105">
        <f>IF($AQ$421&gt;0,IPMT('Assumptions (NG)'!$V$7,Model!AA$1,'Assumptions (NG)'!$V$10,'Assumptions (NG)'!$V$5*Model!$AQ$421*('Assumptions (NG)'!$AP$15*AVERAGE('Assumptions (NG)'!$AM$2:$AO$2)+'Assumptions (NG)'!$AP$16*AVERAGE('Assumptions (NG)'!$AM$3:$AO$3))/10^9),0)</f>
        <v>-0.18477674605486122</v>
      </c>
      <c r="AV570" s="105">
        <f>IF($AQ$421&gt;0,IPMT('Assumptions (NG)'!$V$7,Model!AB$1,'Assumptions (NG)'!$V$10,'Assumptions (NG)'!$V$5*Model!$AQ$421*('Assumptions (NG)'!$AP$15*AVERAGE('Assumptions (NG)'!$AM$2:$AO$2)+'Assumptions (NG)'!$AP$16*AVERAGE('Assumptions (NG)'!$AM$3:$AO$3))/10^9),0)</f>
        <v>-0.15926926024774277</v>
      </c>
      <c r="AW570" s="105">
        <f>IF($AQ$421&gt;0,IPMT('Assumptions (NG)'!$V$7,Model!AC$1,'Assumptions (NG)'!$V$10,'Assumptions (NG)'!$V$5*Model!$AQ$421*('Assumptions (NG)'!$AP$15*AVERAGE('Assumptions (NG)'!$AM$2:$AO$2)+'Assumptions (NG)'!$AP$16*AVERAGE('Assumptions (NG)'!$AM$3:$AO$3))/10^9),0)</f>
        <v>-0.13184871300509043</v>
      </c>
      <c r="AX570" s="105">
        <f>IF($AQ$421&gt;0,IPMT('Assumptions (NG)'!$V$7,Model!AD$1,'Assumptions (NG)'!$V$10,'Assumptions (NG)'!$V$5*Model!$AQ$421*('Assumptions (NG)'!$AP$15*AVERAGE('Assumptions (NG)'!$AM$2:$AO$2)+'Assumptions (NG)'!$AP$16*AVERAGE('Assumptions (NG)'!$AM$3:$AO$3))/10^9),0)</f>
        <v>-0.10237162471923912</v>
      </c>
      <c r="AY570" s="105">
        <f>IF($AQ$421&gt;0,IPMT('Assumptions (NG)'!$V$7,Model!AE$1,'Assumptions (NG)'!$V$10,'Assumptions (NG)'!$V$5*Model!$AQ$421*('Assumptions (NG)'!$AP$15*AVERAGE('Assumptions (NG)'!$AM$2:$AO$2)+'Assumptions (NG)'!$AP$16*AVERAGE('Assumptions (NG)'!$AM$3:$AO$3))/10^9),0)</f>
        <v>-7.0683754811949023E-2</v>
      </c>
      <c r="AZ570" s="105">
        <f>IF($AQ$421&gt;0,IPMT('Assumptions (NG)'!$V$7,Model!AF$1,'Assumptions (NG)'!$V$10,'Assumptions (NG)'!$V$5*Model!$AQ$421*('Assumptions (NG)'!$AP$15*AVERAGE('Assumptions (NG)'!$AM$2:$AO$2)+'Assumptions (NG)'!$AP$16*AVERAGE('Assumptions (NG)'!$AM$3:$AO$3))/10^9),0)</f>
        <v>-3.6619294661612144E-2</v>
      </c>
      <c r="BA570" s="105" t="e">
        <f>IF($AQ$421&gt;0,IPMT('Assumptions (NG)'!$V$7,Model!AG$1,'Assumptions (NG)'!$V$10,'Assumptions (NG)'!$V$5*Model!$AQ$421*('Assumptions (NG)'!$AP$15*AVERAGE('Assumptions (NG)'!$AM$2:$AO$2)+'Assumptions (NG)'!$AP$16*AVERAGE('Assumptions (NG)'!$AM$3:$AO$3))/10^9),0)</f>
        <v>#NUM!</v>
      </c>
      <c r="BB570" s="105" t="e">
        <f>IF($AQ$421&gt;0,IPMT('Assumptions (NG)'!$V$7,Model!AH$1,'Assumptions (NG)'!$V$10,'Assumptions (NG)'!$V$5*Model!$AQ$421*('Assumptions (NG)'!$AP$15*AVERAGE('Assumptions (NG)'!$AM$2:$AO$2)+'Assumptions (NG)'!$AP$16*AVERAGE('Assumptions (NG)'!$AM$3:$AO$3))/10^9),0)</f>
        <v>#NUM!</v>
      </c>
      <c r="BC570" s="105" t="e">
        <f>IF($AQ$421&gt;0,IPMT('Assumptions (NG)'!$V$7,Model!AI$1,'Assumptions (NG)'!$V$10,'Assumptions (NG)'!$V$5*Model!$AQ$421*('Assumptions (NG)'!$AP$15*AVERAGE('Assumptions (NG)'!$AM$2:$AO$2)+'Assumptions (NG)'!$AP$16*AVERAGE('Assumptions (NG)'!$AM$3:$AO$3))/10^9),0)</f>
        <v>#NUM!</v>
      </c>
      <c r="BD570" s="105" t="e">
        <f>IF($AQ$421&gt;0,IPMT('Assumptions (NG)'!$V$7,Model!AJ$1,'Assumptions (NG)'!$V$10,'Assumptions (NG)'!$V$5*Model!$AQ$421*('Assumptions (NG)'!$AP$15*AVERAGE('Assumptions (NG)'!$AM$2:$AO$2)+'Assumptions (NG)'!$AP$16*AVERAGE('Assumptions (NG)'!$AM$3:$AO$3))/10^9),0)</f>
        <v>#NUM!</v>
      </c>
      <c r="BE570" s="105" t="e">
        <f>IF($AQ$421&gt;0,IPMT('Assumptions (NG)'!$V$7,Model!AK$1,'Assumptions (NG)'!$V$10,'Assumptions (NG)'!$V$5*Model!$AQ$421*('Assumptions (NG)'!$AP$15*AVERAGE('Assumptions (NG)'!$AM$2:$AO$2)+'Assumptions (NG)'!$AP$16*AVERAGE('Assumptions (NG)'!$AM$3:$AO$3))/10^9),0)</f>
        <v>#NUM!</v>
      </c>
      <c r="BF570" s="105"/>
      <c r="BG570" s="105"/>
      <c r="BH570" s="105"/>
      <c r="BI570" s="105"/>
      <c r="BJ570" s="105"/>
      <c r="BK570" s="105"/>
      <c r="BL570" s="105"/>
      <c r="BM570" s="105"/>
      <c r="BN570" s="105"/>
      <c r="BO570" s="105"/>
    </row>
    <row r="571" spans="1:73" ht="15.75" hidden="1" customHeight="1" outlineLevel="1">
      <c r="A571" s="379"/>
      <c r="B571" s="99"/>
      <c r="C571" s="99"/>
      <c r="D571" s="99"/>
      <c r="E571" s="99"/>
      <c r="F571" s="99"/>
      <c r="G571" s="99"/>
      <c r="H571" s="99"/>
      <c r="I571" s="99"/>
      <c r="J571" s="99"/>
      <c r="K571" s="99"/>
      <c r="L571" s="99"/>
      <c r="M571" s="99"/>
      <c r="N571" s="99"/>
      <c r="O571" s="99"/>
      <c r="P571" s="99"/>
      <c r="Q571" s="99"/>
      <c r="R571" s="99"/>
      <c r="S571" s="99"/>
      <c r="T571" s="99"/>
      <c r="U571" s="99"/>
      <c r="V571" s="99"/>
      <c r="W571" s="105"/>
      <c r="X571" s="105"/>
      <c r="Y571" s="105"/>
      <c r="Z571" s="105"/>
      <c r="AA571" s="105"/>
      <c r="AB571" s="105"/>
      <c r="AC571" s="105"/>
      <c r="AD571" s="105"/>
      <c r="AE571" s="105"/>
      <c r="AF571" s="105"/>
      <c r="AG571" s="105"/>
      <c r="AH571" s="105"/>
      <c r="AI571" s="105"/>
      <c r="AJ571" s="171"/>
      <c r="AK571" s="105"/>
      <c r="AL571" s="91"/>
      <c r="AM571" s="91"/>
      <c r="AN571" s="91"/>
      <c r="AO571" s="105"/>
      <c r="AP571" s="105"/>
      <c r="AQ571" s="105"/>
      <c r="AR571" s="105">
        <f>IF($AR$421&gt;0,IPMT('Assumptions (NG)'!$V$7,Model!W$1,'Assumptions (NG)'!$V$10,'Assumptions (NG)'!$V$5*Model!$AR$421*('Assumptions (NG)'!$AQ$15*AVERAGE('Assumptions (NG)'!$AN$2:$AP$2)+'Assumptions (NG)'!$AQ$16*AVERAGE('Assumptions (NG)'!$AN$3:$AP$3))/10^9),0)</f>
        <v>0</v>
      </c>
      <c r="AS571" s="105">
        <f>IF($AR$421&gt;0,IPMT('Assumptions (NG)'!$V$7,Model!X$1,'Assumptions (NG)'!$V$10,'Assumptions (NG)'!$V$5*Model!$AR$421*('Assumptions (NG)'!$AQ$15*AVERAGE('Assumptions (NG)'!$AN$2:$AP$2)+'Assumptions (NG)'!$AQ$16*AVERAGE('Assumptions (NG)'!$AN$3:$AP$3))/10^9),0)</f>
        <v>0</v>
      </c>
      <c r="AT571" s="105">
        <f>IF($AR$421&gt;0,IPMT('Assumptions (NG)'!$V$7,Model!Y$1,'Assumptions (NG)'!$V$10,'Assumptions (NG)'!$V$5*Model!$AR$421*('Assumptions (NG)'!$AQ$15*AVERAGE('Assumptions (NG)'!$AN$2:$AP$2)+'Assumptions (NG)'!$AQ$16*AVERAGE('Assumptions (NG)'!$AN$3:$AP$3))/10^9),0)</f>
        <v>0</v>
      </c>
      <c r="AU571" s="105">
        <f>IF($AR$421&gt;0,IPMT('Assumptions (NG)'!$V$7,Model!Z$1,'Assumptions (NG)'!$V$10,'Assumptions (NG)'!$V$5*Model!$AR$421*('Assumptions (NG)'!$AQ$15*AVERAGE('Assumptions (NG)'!$AN$2:$AP$2)+'Assumptions (NG)'!$AQ$16*AVERAGE('Assumptions (NG)'!$AN$3:$AP$3))/10^9),0)</f>
        <v>0</v>
      </c>
      <c r="AV571" s="105">
        <f>IF($AR$421&gt;0,IPMT('Assumptions (NG)'!$V$7,Model!AA$1,'Assumptions (NG)'!$V$10,'Assumptions (NG)'!$V$5*Model!$AR$421*('Assumptions (NG)'!$AQ$15*AVERAGE('Assumptions (NG)'!$AN$2:$AP$2)+'Assumptions (NG)'!$AQ$16*AVERAGE('Assumptions (NG)'!$AN$3:$AP$3))/10^9),0)</f>
        <v>0</v>
      </c>
      <c r="AW571" s="105">
        <f>IF($AR$421&gt;0,IPMT('Assumptions (NG)'!$V$7,Model!AB$1,'Assumptions (NG)'!$V$10,'Assumptions (NG)'!$V$5*Model!$AR$421*('Assumptions (NG)'!$AQ$15*AVERAGE('Assumptions (NG)'!$AN$2:$AP$2)+'Assumptions (NG)'!$AQ$16*AVERAGE('Assumptions (NG)'!$AN$3:$AP$3))/10^9),0)</f>
        <v>0</v>
      </c>
      <c r="AX571" s="105">
        <f>IF($AR$421&gt;0,IPMT('Assumptions (NG)'!$V$7,Model!AC$1,'Assumptions (NG)'!$V$10,'Assumptions (NG)'!$V$5*Model!$AR$421*('Assumptions (NG)'!$AQ$15*AVERAGE('Assumptions (NG)'!$AN$2:$AP$2)+'Assumptions (NG)'!$AQ$16*AVERAGE('Assumptions (NG)'!$AN$3:$AP$3))/10^9),0)</f>
        <v>0</v>
      </c>
      <c r="AY571" s="105">
        <f>IF($AR$421&gt;0,IPMT('Assumptions (NG)'!$V$7,Model!AD$1,'Assumptions (NG)'!$V$10,'Assumptions (NG)'!$V$5*Model!$AR$421*('Assumptions (NG)'!$AQ$15*AVERAGE('Assumptions (NG)'!$AN$2:$AP$2)+'Assumptions (NG)'!$AQ$16*AVERAGE('Assumptions (NG)'!$AN$3:$AP$3))/10^9),0)</f>
        <v>0</v>
      </c>
      <c r="AZ571" s="105">
        <f>IF($AR$421&gt;0,IPMT('Assumptions (NG)'!$V$7,Model!AE$1,'Assumptions (NG)'!$V$10,'Assumptions (NG)'!$V$5*Model!$AR$421*('Assumptions (NG)'!$AQ$15*AVERAGE('Assumptions (NG)'!$AN$2:$AP$2)+'Assumptions (NG)'!$AQ$16*AVERAGE('Assumptions (NG)'!$AN$3:$AP$3))/10^9),0)</f>
        <v>0</v>
      </c>
      <c r="BA571" s="105">
        <f>IF($AR$421&gt;0,IPMT('Assumptions (NG)'!$V$7,Model!AF$1,'Assumptions (NG)'!$V$10,'Assumptions (NG)'!$V$5*Model!$AR$421*('Assumptions (NG)'!$AQ$15*AVERAGE('Assumptions (NG)'!$AN$2:$AP$2)+'Assumptions (NG)'!$AQ$16*AVERAGE('Assumptions (NG)'!$AN$3:$AP$3))/10^9),0)</f>
        <v>0</v>
      </c>
      <c r="BB571" s="105">
        <f>IF($AR$421&gt;0,IPMT('Assumptions (NG)'!$V$7,Model!AG$1,'Assumptions (NG)'!$V$10,'Assumptions (NG)'!$V$5*Model!$AR$421*('Assumptions (NG)'!$AQ$15*AVERAGE('Assumptions (NG)'!$AN$2:$AP$2)+'Assumptions (NG)'!$AQ$16*AVERAGE('Assumptions (NG)'!$AN$3:$AP$3))/10^9),0)</f>
        <v>0</v>
      </c>
      <c r="BC571" s="105">
        <f>IF($AR$421&gt;0,IPMT('Assumptions (NG)'!$V$7,Model!AH$1,'Assumptions (NG)'!$V$10,'Assumptions (NG)'!$V$5*Model!$AR$421*('Assumptions (NG)'!$AQ$15*AVERAGE('Assumptions (NG)'!$AN$2:$AP$2)+'Assumptions (NG)'!$AQ$16*AVERAGE('Assumptions (NG)'!$AN$3:$AP$3))/10^9),0)</f>
        <v>0</v>
      </c>
      <c r="BD571" s="105">
        <f>IF($AR$421&gt;0,IPMT('Assumptions (NG)'!$V$7,Model!AI$1,'Assumptions (NG)'!$V$10,'Assumptions (NG)'!$V$5*Model!$AR$421*('Assumptions (NG)'!$AQ$15*AVERAGE('Assumptions (NG)'!$AN$2:$AP$2)+'Assumptions (NG)'!$AQ$16*AVERAGE('Assumptions (NG)'!$AN$3:$AP$3))/10^9),0)</f>
        <v>0</v>
      </c>
      <c r="BE571" s="105">
        <f>IF($AR$421&gt;0,IPMT('Assumptions (NG)'!$V$7,Model!AJ$1,'Assumptions (NG)'!$V$10,'Assumptions (NG)'!$V$5*Model!$AR$421*('Assumptions (NG)'!$AQ$15*AVERAGE('Assumptions (NG)'!$AN$2:$AP$2)+'Assumptions (NG)'!$AQ$16*AVERAGE('Assumptions (NG)'!$AN$3:$AP$3))/10^9),0)</f>
        <v>0</v>
      </c>
      <c r="BF571" s="105">
        <f>IF($AR$421&gt;0,IPMT('Assumptions (NG)'!$V$7,Model!AK$1,'Assumptions (NG)'!$V$10,'Assumptions (NG)'!$V$5*Model!$AR$421*('Assumptions (NG)'!$AQ$15*AVERAGE('Assumptions (NG)'!$AN$2:$AP$2)+'Assumptions (NG)'!$AQ$16*AVERAGE('Assumptions (NG)'!$AN$3:$AP$3))/10^9),0)</f>
        <v>0</v>
      </c>
      <c r="BG571" s="105"/>
      <c r="BH571" s="105"/>
      <c r="BI571" s="105"/>
      <c r="BJ571" s="105"/>
      <c r="BK571" s="105"/>
      <c r="BL571" s="105"/>
      <c r="BM571" s="105"/>
      <c r="BN571" s="105"/>
      <c r="BO571" s="105"/>
      <c r="BP571" s="105"/>
    </row>
    <row r="572" spans="1:73" ht="15.75" hidden="1" customHeight="1" outlineLevel="1">
      <c r="A572" s="379"/>
      <c r="B572" s="99"/>
      <c r="C572" s="99"/>
      <c r="D572" s="99"/>
      <c r="E572" s="99"/>
      <c r="F572" s="99"/>
      <c r="G572" s="99"/>
      <c r="H572" s="99"/>
      <c r="I572" s="99"/>
      <c r="J572" s="99"/>
      <c r="K572" s="99"/>
      <c r="L572" s="99"/>
      <c r="M572" s="99"/>
      <c r="N572" s="99"/>
      <c r="O572" s="99"/>
      <c r="P572" s="99"/>
      <c r="Q572" s="99"/>
      <c r="R572" s="99"/>
      <c r="S572" s="99"/>
      <c r="T572" s="99"/>
      <c r="U572" s="99"/>
      <c r="V572" s="99"/>
      <c r="W572" s="105"/>
      <c r="X572" s="105"/>
      <c r="Y572" s="105"/>
      <c r="Z572" s="105"/>
      <c r="AA572" s="105"/>
      <c r="AB572" s="105"/>
      <c r="AC572" s="105"/>
      <c r="AD572" s="105"/>
      <c r="AE572" s="105"/>
      <c r="AF572" s="105"/>
      <c r="AG572" s="105"/>
      <c r="AH572" s="105"/>
      <c r="AI572" s="105"/>
      <c r="AJ572" s="171"/>
      <c r="AK572" s="105"/>
      <c r="AL572" s="91"/>
      <c r="AM572" s="91"/>
      <c r="AN572" s="91"/>
      <c r="AO572" s="105"/>
      <c r="AP572" s="105"/>
      <c r="AQ572" s="105"/>
      <c r="AR572" s="105"/>
      <c r="AS572" s="105">
        <f>IF($AS$421&gt;0,IPMT('Assumptions (NG)'!$V$7,Model!W$1,'Assumptions (NG)'!$V$10,'Assumptions (NG)'!$V$5*Model!$AS$421*('Assumptions (NG)'!$AR$15*AVERAGE('Assumptions (NG)'!$AO$2:$AQ$2)+'Assumptions (NG)'!$AR$16*AVERAGE('Assumptions (NG)'!$AO$3:$AQ$3))/10^9),0)</f>
        <v>0</v>
      </c>
      <c r="AT572" s="105">
        <f>IF($AS$421&gt;0,IPMT('Assumptions (NG)'!$V$7,Model!X$1,'Assumptions (NG)'!$V$10,'Assumptions (NG)'!$V$5*Model!$AS$421*('Assumptions (NG)'!$AR$15*AVERAGE('Assumptions (NG)'!$AO$2:$AQ$2)+'Assumptions (NG)'!$AR$16*AVERAGE('Assumptions (NG)'!$AO$3:$AQ$3))/10^9),0)</f>
        <v>0</v>
      </c>
      <c r="AU572" s="105">
        <f>IF($AS$421&gt;0,IPMT('Assumptions (NG)'!$V$7,Model!Y$1,'Assumptions (NG)'!$V$10,'Assumptions (NG)'!$V$5*Model!$AS$421*('Assumptions (NG)'!$AR$15*AVERAGE('Assumptions (NG)'!$AO$2:$AQ$2)+'Assumptions (NG)'!$AR$16*AVERAGE('Assumptions (NG)'!$AO$3:$AQ$3))/10^9),0)</f>
        <v>0</v>
      </c>
      <c r="AV572" s="105">
        <f>IF($AS$421&gt;0,IPMT('Assumptions (NG)'!$V$7,Model!Z$1,'Assumptions (NG)'!$V$10,'Assumptions (NG)'!$V$5*Model!$AS$421*('Assumptions (NG)'!$AR$15*AVERAGE('Assumptions (NG)'!$AO$2:$AQ$2)+'Assumptions (NG)'!$AR$16*AVERAGE('Assumptions (NG)'!$AO$3:$AQ$3))/10^9),0)</f>
        <v>0</v>
      </c>
      <c r="AW572" s="105">
        <f>IF($AS$421&gt;0,IPMT('Assumptions (NG)'!$V$7,Model!AA$1,'Assumptions (NG)'!$V$10,'Assumptions (NG)'!$V$5*Model!$AS$421*('Assumptions (NG)'!$AR$15*AVERAGE('Assumptions (NG)'!$AO$2:$AQ$2)+'Assumptions (NG)'!$AR$16*AVERAGE('Assumptions (NG)'!$AO$3:$AQ$3))/10^9),0)</f>
        <v>0</v>
      </c>
      <c r="AX572" s="105">
        <f>IF($AS$421&gt;0,IPMT('Assumptions (NG)'!$V$7,Model!AB$1,'Assumptions (NG)'!$V$10,'Assumptions (NG)'!$V$5*Model!$AS$421*('Assumptions (NG)'!$AR$15*AVERAGE('Assumptions (NG)'!$AO$2:$AQ$2)+'Assumptions (NG)'!$AR$16*AVERAGE('Assumptions (NG)'!$AO$3:$AQ$3))/10^9),0)</f>
        <v>0</v>
      </c>
      <c r="AY572" s="105">
        <f>IF($AS$421&gt;0,IPMT('Assumptions (NG)'!$V$7,Model!AC$1,'Assumptions (NG)'!$V$10,'Assumptions (NG)'!$V$5*Model!$AS$421*('Assumptions (NG)'!$AR$15*AVERAGE('Assumptions (NG)'!$AO$2:$AQ$2)+'Assumptions (NG)'!$AR$16*AVERAGE('Assumptions (NG)'!$AO$3:$AQ$3))/10^9),0)</f>
        <v>0</v>
      </c>
      <c r="AZ572" s="105">
        <f>IF($AS$421&gt;0,IPMT('Assumptions (NG)'!$V$7,Model!AD$1,'Assumptions (NG)'!$V$10,'Assumptions (NG)'!$V$5*Model!$AS$421*('Assumptions (NG)'!$AR$15*AVERAGE('Assumptions (NG)'!$AO$2:$AQ$2)+'Assumptions (NG)'!$AR$16*AVERAGE('Assumptions (NG)'!$AO$3:$AQ$3))/10^9),0)</f>
        <v>0</v>
      </c>
      <c r="BA572" s="105">
        <f>IF($AS$421&gt;0,IPMT('Assumptions (NG)'!$V$7,Model!AE$1,'Assumptions (NG)'!$V$10,'Assumptions (NG)'!$V$5*Model!$AS$421*('Assumptions (NG)'!$AR$15*AVERAGE('Assumptions (NG)'!$AO$2:$AQ$2)+'Assumptions (NG)'!$AR$16*AVERAGE('Assumptions (NG)'!$AO$3:$AQ$3))/10^9),0)</f>
        <v>0</v>
      </c>
      <c r="BB572" s="105">
        <f>IF($AS$421&gt;0,IPMT('Assumptions (NG)'!$V$7,Model!AF$1,'Assumptions (NG)'!$V$10,'Assumptions (NG)'!$V$5*Model!$AS$421*('Assumptions (NG)'!$AR$15*AVERAGE('Assumptions (NG)'!$AO$2:$AQ$2)+'Assumptions (NG)'!$AR$16*AVERAGE('Assumptions (NG)'!$AO$3:$AQ$3))/10^9),0)</f>
        <v>0</v>
      </c>
      <c r="BC572" s="105">
        <f>IF($AS$421&gt;0,IPMT('Assumptions (NG)'!$V$7,Model!AG$1,'Assumptions (NG)'!$V$10,'Assumptions (NG)'!$V$5*Model!$AS$421*('Assumptions (NG)'!$AR$15*AVERAGE('Assumptions (NG)'!$AO$2:$AQ$2)+'Assumptions (NG)'!$AR$16*AVERAGE('Assumptions (NG)'!$AO$3:$AQ$3))/10^9),0)</f>
        <v>0</v>
      </c>
      <c r="BD572" s="105">
        <f>IF($AS$421&gt;0,IPMT('Assumptions (NG)'!$V$7,Model!AH$1,'Assumptions (NG)'!$V$10,'Assumptions (NG)'!$V$5*Model!$AS$421*('Assumptions (NG)'!$AR$15*AVERAGE('Assumptions (NG)'!$AO$2:$AQ$2)+'Assumptions (NG)'!$AR$16*AVERAGE('Assumptions (NG)'!$AO$3:$AQ$3))/10^9),0)</f>
        <v>0</v>
      </c>
      <c r="BE572" s="105">
        <f>IF($AS$421&gt;0,IPMT('Assumptions (NG)'!$V$7,Model!AI$1,'Assumptions (NG)'!$V$10,'Assumptions (NG)'!$V$5*Model!$AS$421*('Assumptions (NG)'!$AR$15*AVERAGE('Assumptions (NG)'!$AO$2:$AQ$2)+'Assumptions (NG)'!$AR$16*AVERAGE('Assumptions (NG)'!$AO$3:$AQ$3))/10^9),0)</f>
        <v>0</v>
      </c>
      <c r="BF572" s="105">
        <f>IF($AS$421&gt;0,IPMT('Assumptions (NG)'!$V$7,Model!AJ$1,'Assumptions (NG)'!$V$10,'Assumptions (NG)'!$V$5*Model!$AS$421*('Assumptions (NG)'!$AR$15*AVERAGE('Assumptions (NG)'!$AO$2:$AQ$2)+'Assumptions (NG)'!$AR$16*AVERAGE('Assumptions (NG)'!$AO$3:$AQ$3))/10^9),0)</f>
        <v>0</v>
      </c>
      <c r="BG572" s="105">
        <f>IF($AS$421&gt;0,IPMT('Assumptions (NG)'!$V$7,Model!AK$1,'Assumptions (NG)'!$V$10,'Assumptions (NG)'!$V$5*Model!$AS$421*('Assumptions (NG)'!$AR$15*AVERAGE('Assumptions (NG)'!$AO$2:$AQ$2)+'Assumptions (NG)'!$AR$16*AVERAGE('Assumptions (NG)'!$AO$3:$AQ$3))/10^9),0)</f>
        <v>0</v>
      </c>
      <c r="BH572" s="105"/>
      <c r="BI572" s="105"/>
      <c r="BJ572" s="105"/>
      <c r="BK572" s="105"/>
      <c r="BL572" s="105"/>
      <c r="BM572" s="105"/>
      <c r="BN572" s="105"/>
      <c r="BO572" s="105"/>
      <c r="BP572" s="105"/>
      <c r="BQ572" s="105"/>
      <c r="BR572" s="105"/>
    </row>
    <row r="573" spans="1:73" ht="15.75" hidden="1" customHeight="1" outlineLevel="1">
      <c r="A573" s="379"/>
      <c r="B573" s="99"/>
      <c r="C573" s="99"/>
      <c r="D573" s="99"/>
      <c r="E573" s="99"/>
      <c r="F573" s="99"/>
      <c r="G573" s="99"/>
      <c r="H573" s="99"/>
      <c r="I573" s="99"/>
      <c r="J573" s="99"/>
      <c r="K573" s="99"/>
      <c r="L573" s="99"/>
      <c r="M573" s="99"/>
      <c r="N573" s="99"/>
      <c r="O573" s="99"/>
      <c r="P573" s="99"/>
      <c r="Q573" s="99"/>
      <c r="R573" s="99"/>
      <c r="S573" s="99"/>
      <c r="T573" s="99"/>
      <c r="U573" s="99"/>
      <c r="V573" s="99"/>
      <c r="W573" s="105"/>
      <c r="X573" s="105"/>
      <c r="Y573" s="105"/>
      <c r="Z573" s="105"/>
      <c r="AA573" s="105"/>
      <c r="AB573" s="105"/>
      <c r="AC573" s="105"/>
      <c r="AD573" s="105"/>
      <c r="AE573" s="105"/>
      <c r="AF573" s="105"/>
      <c r="AG573" s="105"/>
      <c r="AH573" s="105"/>
      <c r="AI573" s="105"/>
      <c r="AJ573" s="171"/>
      <c r="AK573" s="105"/>
      <c r="AL573" s="91"/>
      <c r="AM573" s="91"/>
      <c r="AN573" s="91"/>
      <c r="AO573" s="105"/>
      <c r="AP573" s="105"/>
      <c r="AQ573" s="105"/>
      <c r="AR573" s="105"/>
      <c r="AS573" s="105"/>
      <c r="AT573" s="105">
        <f>IF($AT$421&gt;0,IPMT('Assumptions (NG)'!$V$7,Model!W$1,'Assumptions (NG)'!$V$10,'Assumptions (NG)'!$V$5*Model!$AT$421*('Assumptions (NG)'!$AS$15*AVERAGE('Assumptions (NG)'!$AP$2:$AR$2)+'Assumptions (NG)'!$AS$16*AVERAGE('Assumptions (NG)'!$AP$3:$AR$3))/10^9),0)</f>
        <v>0</v>
      </c>
      <c r="AU573" s="105">
        <f>IF($AT$421&gt;0,IPMT('Assumptions (NG)'!$V$7,Model!X$1,'Assumptions (NG)'!$V$10,'Assumptions (NG)'!$V$5*Model!$AT$421*('Assumptions (NG)'!$AS$15*AVERAGE('Assumptions (NG)'!$AP$2:$AR$2)+'Assumptions (NG)'!$AS$16*AVERAGE('Assumptions (NG)'!$AP$3:$AR$3))/10^9),0)</f>
        <v>0</v>
      </c>
      <c r="AV573" s="105">
        <f>IF($AT$421&gt;0,IPMT('Assumptions (NG)'!$V$7,Model!Y$1,'Assumptions (NG)'!$V$10,'Assumptions (NG)'!$V$5*Model!$AT$421*('Assumptions (NG)'!$AS$15*AVERAGE('Assumptions (NG)'!$AP$2:$AR$2)+'Assumptions (NG)'!$AS$16*AVERAGE('Assumptions (NG)'!$AP$3:$AR$3))/10^9),0)</f>
        <v>0</v>
      </c>
      <c r="AW573" s="105">
        <f>IF($AT$421&gt;0,IPMT('Assumptions (NG)'!$V$7,Model!Z$1,'Assumptions (NG)'!$V$10,'Assumptions (NG)'!$V$5*Model!$AT$421*('Assumptions (NG)'!$AS$15*AVERAGE('Assumptions (NG)'!$AP$2:$AR$2)+'Assumptions (NG)'!$AS$16*AVERAGE('Assumptions (NG)'!$AP$3:$AR$3))/10^9),0)</f>
        <v>0</v>
      </c>
      <c r="AX573" s="105">
        <f>IF($AT$421&gt;0,IPMT('Assumptions (NG)'!$V$7,Model!AA$1,'Assumptions (NG)'!$V$10,'Assumptions (NG)'!$V$5*Model!$AT$421*('Assumptions (NG)'!$AS$15*AVERAGE('Assumptions (NG)'!$AP$2:$AR$2)+'Assumptions (NG)'!$AS$16*AVERAGE('Assumptions (NG)'!$AP$3:$AR$3))/10^9),0)</f>
        <v>0</v>
      </c>
      <c r="AY573" s="105">
        <f>IF($AT$421&gt;0,IPMT('Assumptions (NG)'!$V$7,Model!AB$1,'Assumptions (NG)'!$V$10,'Assumptions (NG)'!$V$5*Model!$AT$421*('Assumptions (NG)'!$AS$15*AVERAGE('Assumptions (NG)'!$AP$2:$AR$2)+'Assumptions (NG)'!$AS$16*AVERAGE('Assumptions (NG)'!$AP$3:$AR$3))/10^9),0)</f>
        <v>0</v>
      </c>
      <c r="AZ573" s="105">
        <f>IF($AT$421&gt;0,IPMT('Assumptions (NG)'!$V$7,Model!AC$1,'Assumptions (NG)'!$V$10,'Assumptions (NG)'!$V$5*Model!$AT$421*('Assumptions (NG)'!$AS$15*AVERAGE('Assumptions (NG)'!$AP$2:$AR$2)+'Assumptions (NG)'!$AS$16*AVERAGE('Assumptions (NG)'!$AP$3:$AR$3))/10^9),0)</f>
        <v>0</v>
      </c>
      <c r="BA573" s="105">
        <f>IF($AT$421&gt;0,IPMT('Assumptions (NG)'!$V$7,Model!AD$1,'Assumptions (NG)'!$V$10,'Assumptions (NG)'!$V$5*Model!$AT$421*('Assumptions (NG)'!$AS$15*AVERAGE('Assumptions (NG)'!$AP$2:$AR$2)+'Assumptions (NG)'!$AS$16*AVERAGE('Assumptions (NG)'!$AP$3:$AR$3))/10^9),0)</f>
        <v>0</v>
      </c>
      <c r="BB573" s="105">
        <f>IF($AT$421&gt;0,IPMT('Assumptions (NG)'!$V$7,Model!AE$1,'Assumptions (NG)'!$V$10,'Assumptions (NG)'!$V$5*Model!$AT$421*('Assumptions (NG)'!$AS$15*AVERAGE('Assumptions (NG)'!$AP$2:$AR$2)+'Assumptions (NG)'!$AS$16*AVERAGE('Assumptions (NG)'!$AP$3:$AR$3))/10^9),0)</f>
        <v>0</v>
      </c>
      <c r="BC573" s="105">
        <f>IF($AT$421&gt;0,IPMT('Assumptions (NG)'!$V$7,Model!AF$1,'Assumptions (NG)'!$V$10,'Assumptions (NG)'!$V$5*Model!$AT$421*('Assumptions (NG)'!$AS$15*AVERAGE('Assumptions (NG)'!$AP$2:$AR$2)+'Assumptions (NG)'!$AS$16*AVERAGE('Assumptions (NG)'!$AP$3:$AR$3))/10^9),0)</f>
        <v>0</v>
      </c>
      <c r="BD573" s="105">
        <f>IF($AT$421&gt;0,IPMT('Assumptions (NG)'!$V$7,Model!AG$1,'Assumptions (NG)'!$V$10,'Assumptions (NG)'!$V$5*Model!$AT$421*('Assumptions (NG)'!$AS$15*AVERAGE('Assumptions (NG)'!$AP$2:$AR$2)+'Assumptions (NG)'!$AS$16*AVERAGE('Assumptions (NG)'!$AP$3:$AR$3))/10^9),0)</f>
        <v>0</v>
      </c>
      <c r="BE573" s="105">
        <f>IF($AT$421&gt;0,IPMT('Assumptions (NG)'!$V$7,Model!AH$1,'Assumptions (NG)'!$V$10,'Assumptions (NG)'!$V$5*Model!$AT$421*('Assumptions (NG)'!$AS$15*AVERAGE('Assumptions (NG)'!$AP$2:$AR$2)+'Assumptions (NG)'!$AS$16*AVERAGE('Assumptions (NG)'!$AP$3:$AR$3))/10^9),0)</f>
        <v>0</v>
      </c>
      <c r="BF573" s="105">
        <f>IF($AT$421&gt;0,IPMT('Assumptions (NG)'!$V$7,Model!AI$1,'Assumptions (NG)'!$V$10,'Assumptions (NG)'!$V$5*Model!$AT$421*('Assumptions (NG)'!$AS$15*AVERAGE('Assumptions (NG)'!$AP$2:$AR$2)+'Assumptions (NG)'!$AS$16*AVERAGE('Assumptions (NG)'!$AP$3:$AR$3))/10^9),0)</f>
        <v>0</v>
      </c>
      <c r="BG573" s="105">
        <f>IF($AT$421&gt;0,IPMT('Assumptions (NG)'!$V$7,Model!AJ$1,'Assumptions (NG)'!$V$10,'Assumptions (NG)'!$V$5*Model!$AT$421*('Assumptions (NG)'!$AS$15*AVERAGE('Assumptions (NG)'!$AP$2:$AR$2)+'Assumptions (NG)'!$AS$16*AVERAGE('Assumptions (NG)'!$AP$3:$AR$3))/10^9),0)</f>
        <v>0</v>
      </c>
      <c r="BH573" s="105">
        <f>IF($AT$421&gt;0,IPMT('Assumptions (NG)'!$V$7,Model!AK$1,'Assumptions (NG)'!$V$10,'Assumptions (NG)'!$V$5*Model!$AT$421*('Assumptions (NG)'!$AS$15*AVERAGE('Assumptions (NG)'!$AP$2:$AR$2)+'Assumptions (NG)'!$AS$16*AVERAGE('Assumptions (NG)'!$AP$3:$AR$3))/10^9),0)</f>
        <v>0</v>
      </c>
      <c r="BI573" s="105"/>
      <c r="BJ573" s="105"/>
      <c r="BK573" s="105"/>
      <c r="BL573" s="105"/>
      <c r="BM573" s="105"/>
      <c r="BN573" s="105"/>
      <c r="BO573" s="105"/>
      <c r="BP573" s="105"/>
      <c r="BQ573" s="105"/>
      <c r="BR573" s="105"/>
    </row>
    <row r="574" spans="1:73" ht="15.75" hidden="1" customHeight="1" outlineLevel="1">
      <c r="A574" s="379"/>
      <c r="B574" s="99"/>
      <c r="C574" s="99"/>
      <c r="D574" s="99"/>
      <c r="E574" s="99"/>
      <c r="F574" s="99"/>
      <c r="G574" s="99"/>
      <c r="H574" s="99"/>
      <c r="I574" s="99"/>
      <c r="J574" s="99"/>
      <c r="K574" s="99"/>
      <c r="L574" s="99"/>
      <c r="M574" s="99"/>
      <c r="N574" s="99"/>
      <c r="O574" s="99"/>
      <c r="P574" s="99"/>
      <c r="Q574" s="99"/>
      <c r="R574" s="99"/>
      <c r="S574" s="99"/>
      <c r="T574" s="99"/>
      <c r="U574" s="99"/>
      <c r="V574" s="99"/>
      <c r="W574" s="105"/>
      <c r="X574" s="105"/>
      <c r="Y574" s="105"/>
      <c r="Z574" s="105"/>
      <c r="AA574" s="105"/>
      <c r="AB574" s="105"/>
      <c r="AC574" s="105"/>
      <c r="AD574" s="105"/>
      <c r="AE574" s="105"/>
      <c r="AF574" s="105"/>
      <c r="AG574" s="105"/>
      <c r="AH574" s="105"/>
      <c r="AI574" s="105"/>
      <c r="AJ574" s="171"/>
      <c r="AK574" s="105"/>
      <c r="AL574" s="91"/>
      <c r="AM574" s="91"/>
      <c r="AN574" s="91"/>
      <c r="AO574" s="105"/>
      <c r="AP574" s="105"/>
      <c r="AQ574" s="105"/>
      <c r="AR574" s="105"/>
      <c r="AS574" s="105"/>
      <c r="AT574" s="105"/>
      <c r="AU574" s="105">
        <f>IF($AU$421&gt;0,IPMT('Assumptions (NG)'!$V$7,Model!W$1,'Assumptions (NG)'!$V$10,'Assumptions (NG)'!$V$5*Model!$AU$421*('Assumptions (NG)'!$AT$15*AVERAGE('Assumptions (NG)'!$AQ$2:$AS$2)+'Assumptions (NG)'!$AT$16*AVERAGE('Assumptions (NG)'!$AQ$3:$AS$3))/10^9),0)</f>
        <v>0</v>
      </c>
      <c r="AV574" s="105">
        <f>IF($AU$421&gt;0,IPMT('Assumptions (NG)'!$V$7,Model!X$1,'Assumptions (NG)'!$V$10,'Assumptions (NG)'!$V$5*Model!$AU$421*('Assumptions (NG)'!$AT$15*AVERAGE('Assumptions (NG)'!$AQ$2:$AS$2)+'Assumptions (NG)'!$AT$16*AVERAGE('Assumptions (NG)'!$AQ$3:$AS$3))/10^9),0)</f>
        <v>0</v>
      </c>
      <c r="AW574" s="105">
        <f>IF($AU$421&gt;0,IPMT('Assumptions (NG)'!$V$7,Model!Y$1,'Assumptions (NG)'!$V$10,'Assumptions (NG)'!$V$5*Model!$AU$421*('Assumptions (NG)'!$AT$15*AVERAGE('Assumptions (NG)'!$AQ$2:$AS$2)+'Assumptions (NG)'!$AT$16*AVERAGE('Assumptions (NG)'!$AQ$3:$AS$3))/10^9),0)</f>
        <v>0</v>
      </c>
      <c r="AX574" s="105">
        <f>IF($AU$421&gt;0,IPMT('Assumptions (NG)'!$V$7,Model!Z$1,'Assumptions (NG)'!$V$10,'Assumptions (NG)'!$V$5*Model!$AU$421*('Assumptions (NG)'!$AT$15*AVERAGE('Assumptions (NG)'!$AQ$2:$AS$2)+'Assumptions (NG)'!$AT$16*AVERAGE('Assumptions (NG)'!$AQ$3:$AS$3))/10^9),0)</f>
        <v>0</v>
      </c>
      <c r="AY574" s="105">
        <f>IF($AU$421&gt;0,IPMT('Assumptions (NG)'!$V$7,Model!AA$1,'Assumptions (NG)'!$V$10,'Assumptions (NG)'!$V$5*Model!$AU$421*('Assumptions (NG)'!$AT$15*AVERAGE('Assumptions (NG)'!$AQ$2:$AS$2)+'Assumptions (NG)'!$AT$16*AVERAGE('Assumptions (NG)'!$AQ$3:$AS$3))/10^9),0)</f>
        <v>0</v>
      </c>
      <c r="AZ574" s="105">
        <f>IF($AU$421&gt;0,IPMT('Assumptions (NG)'!$V$7,Model!AB$1,'Assumptions (NG)'!$V$10,'Assumptions (NG)'!$V$5*Model!$AU$421*('Assumptions (NG)'!$AT$15*AVERAGE('Assumptions (NG)'!$AQ$2:$AS$2)+'Assumptions (NG)'!$AT$16*AVERAGE('Assumptions (NG)'!$AQ$3:$AS$3))/10^9),0)</f>
        <v>0</v>
      </c>
      <c r="BA574" s="105">
        <f>IF($AU$421&gt;0,IPMT('Assumptions (NG)'!$V$7,Model!AC$1,'Assumptions (NG)'!$V$10,'Assumptions (NG)'!$V$5*Model!$AU$421*('Assumptions (NG)'!$AT$15*AVERAGE('Assumptions (NG)'!$AQ$2:$AS$2)+'Assumptions (NG)'!$AT$16*AVERAGE('Assumptions (NG)'!$AQ$3:$AS$3))/10^9),0)</f>
        <v>0</v>
      </c>
      <c r="BB574" s="105">
        <f>IF($AU$421&gt;0,IPMT('Assumptions (NG)'!$V$7,Model!AD$1,'Assumptions (NG)'!$V$10,'Assumptions (NG)'!$V$5*Model!$AU$421*('Assumptions (NG)'!$AT$15*AVERAGE('Assumptions (NG)'!$AQ$2:$AS$2)+'Assumptions (NG)'!$AT$16*AVERAGE('Assumptions (NG)'!$AQ$3:$AS$3))/10^9),0)</f>
        <v>0</v>
      </c>
      <c r="BC574" s="105">
        <f>IF($AU$421&gt;0,IPMT('Assumptions (NG)'!$V$7,Model!AE$1,'Assumptions (NG)'!$V$10,'Assumptions (NG)'!$V$5*Model!$AU$421*('Assumptions (NG)'!$AT$15*AVERAGE('Assumptions (NG)'!$AQ$2:$AS$2)+'Assumptions (NG)'!$AT$16*AVERAGE('Assumptions (NG)'!$AQ$3:$AS$3))/10^9),0)</f>
        <v>0</v>
      </c>
      <c r="BD574" s="105">
        <f>IF($AU$421&gt;0,IPMT('Assumptions (NG)'!$V$7,Model!AF$1,'Assumptions (NG)'!$V$10,'Assumptions (NG)'!$V$5*Model!$AU$421*('Assumptions (NG)'!$AT$15*AVERAGE('Assumptions (NG)'!$AQ$2:$AS$2)+'Assumptions (NG)'!$AT$16*AVERAGE('Assumptions (NG)'!$AQ$3:$AS$3))/10^9),0)</f>
        <v>0</v>
      </c>
      <c r="BE574" s="105">
        <f>IF($AU$421&gt;0,IPMT('Assumptions (NG)'!$V$7,Model!AG$1,'Assumptions (NG)'!$V$10,'Assumptions (NG)'!$V$5*Model!$AU$421*('Assumptions (NG)'!$AT$15*AVERAGE('Assumptions (NG)'!$AQ$2:$AS$2)+'Assumptions (NG)'!$AT$16*AVERAGE('Assumptions (NG)'!$AQ$3:$AS$3))/10^9),0)</f>
        <v>0</v>
      </c>
      <c r="BF574" s="105">
        <f>IF($AU$421&gt;0,IPMT('Assumptions (NG)'!$V$7,Model!AH$1,'Assumptions (NG)'!$V$10,'Assumptions (NG)'!$V$5*Model!$AU$421*('Assumptions (NG)'!$AT$15*AVERAGE('Assumptions (NG)'!$AQ$2:$AS$2)+'Assumptions (NG)'!$AT$16*AVERAGE('Assumptions (NG)'!$AQ$3:$AS$3))/10^9),0)</f>
        <v>0</v>
      </c>
      <c r="BG574" s="105">
        <f>IF($AU$421&gt;0,IPMT('Assumptions (NG)'!$V$7,Model!AI$1,'Assumptions (NG)'!$V$10,'Assumptions (NG)'!$V$5*Model!$AU$421*('Assumptions (NG)'!$AT$15*AVERAGE('Assumptions (NG)'!$AQ$2:$AS$2)+'Assumptions (NG)'!$AT$16*AVERAGE('Assumptions (NG)'!$AQ$3:$AS$3))/10^9),0)</f>
        <v>0</v>
      </c>
      <c r="BH574" s="105">
        <f>IF($AU$421&gt;0,IPMT('Assumptions (NG)'!$V$7,Model!AJ$1,'Assumptions (NG)'!$V$10,'Assumptions (NG)'!$V$5*Model!$AU$421*('Assumptions (NG)'!$AT$15*AVERAGE('Assumptions (NG)'!$AQ$2:$AS$2)+'Assumptions (NG)'!$AT$16*AVERAGE('Assumptions (NG)'!$AQ$3:$AS$3))/10^9),0)</f>
        <v>0</v>
      </c>
      <c r="BI574" s="105">
        <f>IF($AU$421&gt;0,IPMT('Assumptions (NG)'!$V$7,Model!AK$1,'Assumptions (NG)'!$V$10,'Assumptions (NG)'!$V$5*Model!$AU$421*('Assumptions (NG)'!$AT$15*AVERAGE('Assumptions (NG)'!$AQ$2:$AS$2)+'Assumptions (NG)'!$AT$16*AVERAGE('Assumptions (NG)'!$AQ$3:$AS$3))/10^9),0)</f>
        <v>0</v>
      </c>
      <c r="BJ574" s="105"/>
      <c r="BK574" s="105"/>
      <c r="BL574" s="105"/>
      <c r="BM574" s="105"/>
      <c r="BN574" s="105"/>
      <c r="BO574" s="105"/>
      <c r="BP574" s="105"/>
      <c r="BQ574" s="105"/>
      <c r="BR574" s="105"/>
      <c r="BS574" s="105"/>
    </row>
    <row r="575" spans="1:73" ht="15.75" hidden="1" customHeight="1" outlineLevel="1">
      <c r="A575" s="379"/>
      <c r="B575" s="99"/>
      <c r="C575" s="99"/>
      <c r="D575" s="99"/>
      <c r="E575" s="99"/>
      <c r="F575" s="99"/>
      <c r="G575" s="99"/>
      <c r="H575" s="99"/>
      <c r="I575" s="99"/>
      <c r="J575" s="99"/>
      <c r="K575" s="99"/>
      <c r="L575" s="99"/>
      <c r="M575" s="99"/>
      <c r="N575" s="99"/>
      <c r="O575" s="99"/>
      <c r="P575" s="99"/>
      <c r="Q575" s="99"/>
      <c r="R575" s="99"/>
      <c r="S575" s="99"/>
      <c r="T575" s="99"/>
      <c r="U575" s="99"/>
      <c r="V575" s="99"/>
      <c r="W575" s="105"/>
      <c r="X575" s="105"/>
      <c r="Y575" s="105"/>
      <c r="Z575" s="105"/>
      <c r="AA575" s="105"/>
      <c r="AB575" s="105"/>
      <c r="AC575" s="105"/>
      <c r="AD575" s="105"/>
      <c r="AE575" s="105"/>
      <c r="AF575" s="105"/>
      <c r="AG575" s="105"/>
      <c r="AH575" s="105"/>
      <c r="AI575" s="105"/>
      <c r="AJ575" s="171"/>
      <c r="AK575" s="105"/>
      <c r="AL575" s="91"/>
      <c r="AM575" s="91"/>
      <c r="AN575" s="91"/>
      <c r="AO575" s="105"/>
      <c r="AP575" s="105"/>
      <c r="AQ575" s="105"/>
      <c r="AR575" s="105"/>
      <c r="AS575" s="105"/>
      <c r="AT575" s="105"/>
      <c r="AU575" s="105"/>
      <c r="AV575" s="105">
        <f>IF($AV$421&gt;0,IPMT('Assumptions (NG)'!$V$7,Model!W$1,'Assumptions (NG)'!$V$10,'Assumptions (NG)'!$V$5*Model!$AV$421*('Assumptions (NG)'!$AU$15*AVERAGE('Assumptions (NG)'!$AR$2:$AT$2)+'Assumptions (NG)'!$AU$16*AVERAGE('Assumptions (NG)'!$AR$3:$AT$3))/10^9),0)</f>
        <v>0</v>
      </c>
      <c r="AW575" s="105">
        <f>IF($AV$421&gt;0,IPMT('Assumptions (NG)'!$V$7,Model!X$1,'Assumptions (NG)'!$V$10,'Assumptions (NG)'!$V$5*Model!$AV$421*('Assumptions (NG)'!$AU$15*AVERAGE('Assumptions (NG)'!$AR$2:$AT$2)+'Assumptions (NG)'!$AU$16*AVERAGE('Assumptions (NG)'!$AR$3:$AT$3))/10^9),0)</f>
        <v>0</v>
      </c>
      <c r="AX575" s="105">
        <f>IF($AV$421&gt;0,IPMT('Assumptions (NG)'!$V$7,Model!Y$1,'Assumptions (NG)'!$V$10,'Assumptions (NG)'!$V$5*Model!$AV$421*('Assumptions (NG)'!$AU$15*AVERAGE('Assumptions (NG)'!$AR$2:$AT$2)+'Assumptions (NG)'!$AU$16*AVERAGE('Assumptions (NG)'!$AR$3:$AT$3))/10^9),0)</f>
        <v>0</v>
      </c>
      <c r="AY575" s="105">
        <f>IF($AV$421&gt;0,IPMT('Assumptions (NG)'!$V$7,Model!Z$1,'Assumptions (NG)'!$V$10,'Assumptions (NG)'!$V$5*Model!$AV$421*('Assumptions (NG)'!$AU$15*AVERAGE('Assumptions (NG)'!$AR$2:$AT$2)+'Assumptions (NG)'!$AU$16*AVERAGE('Assumptions (NG)'!$AR$3:$AT$3))/10^9),0)</f>
        <v>0</v>
      </c>
      <c r="AZ575" s="105">
        <f>IF($AV$421&gt;0,IPMT('Assumptions (NG)'!$V$7,Model!AA$1,'Assumptions (NG)'!$V$10,'Assumptions (NG)'!$V$5*Model!$AV$421*('Assumptions (NG)'!$AU$15*AVERAGE('Assumptions (NG)'!$AR$2:$AT$2)+'Assumptions (NG)'!$AU$16*AVERAGE('Assumptions (NG)'!$AR$3:$AT$3))/10^9),0)</f>
        <v>0</v>
      </c>
      <c r="BA575" s="105">
        <f>IF($AV$421&gt;0,IPMT('Assumptions (NG)'!$V$7,Model!AB$1,'Assumptions (NG)'!$V$10,'Assumptions (NG)'!$V$5*Model!$AV$421*('Assumptions (NG)'!$AU$15*AVERAGE('Assumptions (NG)'!$AR$2:$AT$2)+'Assumptions (NG)'!$AU$16*AVERAGE('Assumptions (NG)'!$AR$3:$AT$3))/10^9),0)</f>
        <v>0</v>
      </c>
      <c r="BB575" s="105">
        <f>IF($AV$421&gt;0,IPMT('Assumptions (NG)'!$V$7,Model!AC$1,'Assumptions (NG)'!$V$10,'Assumptions (NG)'!$V$5*Model!$AV$421*('Assumptions (NG)'!$AU$15*AVERAGE('Assumptions (NG)'!$AR$2:$AT$2)+'Assumptions (NG)'!$AU$16*AVERAGE('Assumptions (NG)'!$AR$3:$AT$3))/10^9),0)</f>
        <v>0</v>
      </c>
      <c r="BC575" s="105">
        <f>IF($AV$421&gt;0,IPMT('Assumptions (NG)'!$V$7,Model!AD$1,'Assumptions (NG)'!$V$10,'Assumptions (NG)'!$V$5*Model!$AV$421*('Assumptions (NG)'!$AU$15*AVERAGE('Assumptions (NG)'!$AR$2:$AT$2)+'Assumptions (NG)'!$AU$16*AVERAGE('Assumptions (NG)'!$AR$3:$AT$3))/10^9),0)</f>
        <v>0</v>
      </c>
      <c r="BD575" s="105">
        <f>IF($AV$421&gt;0,IPMT('Assumptions (NG)'!$V$7,Model!AE$1,'Assumptions (NG)'!$V$10,'Assumptions (NG)'!$V$5*Model!$AV$421*('Assumptions (NG)'!$AU$15*AVERAGE('Assumptions (NG)'!$AR$2:$AT$2)+'Assumptions (NG)'!$AU$16*AVERAGE('Assumptions (NG)'!$AR$3:$AT$3))/10^9),0)</f>
        <v>0</v>
      </c>
      <c r="BE575" s="105">
        <f>IF($AV$421&gt;0,IPMT('Assumptions (NG)'!$V$7,Model!AF$1,'Assumptions (NG)'!$V$10,'Assumptions (NG)'!$V$5*Model!$AV$421*('Assumptions (NG)'!$AU$15*AVERAGE('Assumptions (NG)'!$AR$2:$AT$2)+'Assumptions (NG)'!$AU$16*AVERAGE('Assumptions (NG)'!$AR$3:$AT$3))/10^9),0)</f>
        <v>0</v>
      </c>
      <c r="BF575" s="105">
        <f>IF($AV$421&gt;0,IPMT('Assumptions (NG)'!$V$7,Model!AG$1,'Assumptions (NG)'!$V$10,'Assumptions (NG)'!$V$5*Model!$AV$421*('Assumptions (NG)'!$AU$15*AVERAGE('Assumptions (NG)'!$AR$2:$AT$2)+'Assumptions (NG)'!$AU$16*AVERAGE('Assumptions (NG)'!$AR$3:$AT$3))/10^9),0)</f>
        <v>0</v>
      </c>
      <c r="BG575" s="105">
        <f>IF($AV$421&gt;0,IPMT('Assumptions (NG)'!$V$7,Model!AH$1,'Assumptions (NG)'!$V$10,'Assumptions (NG)'!$V$5*Model!$AV$421*('Assumptions (NG)'!$AU$15*AVERAGE('Assumptions (NG)'!$AR$2:$AT$2)+'Assumptions (NG)'!$AU$16*AVERAGE('Assumptions (NG)'!$AR$3:$AT$3))/10^9),0)</f>
        <v>0</v>
      </c>
      <c r="BH575" s="105">
        <f>IF($AV$421&gt;0,IPMT('Assumptions (NG)'!$V$7,Model!AI$1,'Assumptions (NG)'!$V$10,'Assumptions (NG)'!$V$5*Model!$AV$421*('Assumptions (NG)'!$AU$15*AVERAGE('Assumptions (NG)'!$AR$2:$AT$2)+'Assumptions (NG)'!$AU$16*AVERAGE('Assumptions (NG)'!$AR$3:$AT$3))/10^9),0)</f>
        <v>0</v>
      </c>
      <c r="BI575" s="105">
        <f>IF($AV$421&gt;0,IPMT('Assumptions (NG)'!$V$7,Model!AJ$1,'Assumptions (NG)'!$V$10,'Assumptions (NG)'!$V$5*Model!$AV$421*('Assumptions (NG)'!$AU$15*AVERAGE('Assumptions (NG)'!$AR$2:$AT$2)+'Assumptions (NG)'!$AU$16*AVERAGE('Assumptions (NG)'!$AR$3:$AT$3))/10^9),0)</f>
        <v>0</v>
      </c>
      <c r="BJ575" s="105">
        <f>IF($AV$421&gt;0,IPMT('Assumptions (NG)'!$V$7,Model!AK$1,'Assumptions (NG)'!$V$10,'Assumptions (NG)'!$V$5*Model!$AV$421*('Assumptions (NG)'!$AU$15*AVERAGE('Assumptions (NG)'!$AR$2:$AT$2)+'Assumptions (NG)'!$AU$16*AVERAGE('Assumptions (NG)'!$AR$3:$AT$3))/10^9),0)</f>
        <v>0</v>
      </c>
      <c r="BK575" s="105"/>
      <c r="BL575" s="105"/>
      <c r="BM575" s="105"/>
      <c r="BN575" s="105"/>
      <c r="BO575" s="105"/>
      <c r="BP575" s="105"/>
      <c r="BQ575" s="105"/>
      <c r="BR575" s="105"/>
      <c r="BS575" s="105"/>
      <c r="BT575" s="105"/>
    </row>
    <row r="576" spans="1:73" ht="15.75" hidden="1" customHeight="1" outlineLevel="1">
      <c r="A576" s="379"/>
      <c r="B576" s="99"/>
      <c r="C576" s="99"/>
      <c r="D576" s="99"/>
      <c r="E576" s="99"/>
      <c r="F576" s="99"/>
      <c r="G576" s="99"/>
      <c r="H576" s="99"/>
      <c r="I576" s="99"/>
      <c r="J576" s="99"/>
      <c r="K576" s="99"/>
      <c r="L576" s="99"/>
      <c r="M576" s="99"/>
      <c r="N576" s="99"/>
      <c r="O576" s="99"/>
      <c r="P576" s="99"/>
      <c r="Q576" s="99"/>
      <c r="R576" s="99"/>
      <c r="S576" s="99"/>
      <c r="T576" s="99"/>
      <c r="U576" s="99"/>
      <c r="V576" s="99"/>
      <c r="W576" s="105"/>
      <c r="X576" s="105"/>
      <c r="Y576" s="105"/>
      <c r="Z576" s="105"/>
      <c r="AA576" s="105"/>
      <c r="AB576" s="105"/>
      <c r="AC576" s="105"/>
      <c r="AD576" s="105"/>
      <c r="AE576" s="105"/>
      <c r="AF576" s="105"/>
      <c r="AG576" s="105"/>
      <c r="AH576" s="105"/>
      <c r="AI576" s="105"/>
      <c r="AJ576" s="171"/>
      <c r="AK576" s="105"/>
      <c r="AL576" s="91"/>
      <c r="AM576" s="91"/>
      <c r="AN576" s="91"/>
      <c r="AO576" s="105"/>
      <c r="AP576" s="105"/>
      <c r="AQ576" s="105"/>
      <c r="AR576" s="105"/>
      <c r="AS576" s="105"/>
      <c r="AT576" s="105"/>
      <c r="AU576" s="105"/>
      <c r="AV576" s="105"/>
      <c r="AW576" s="105">
        <f>IF($AW$421&gt;0,IPMT('Assumptions (NG)'!$V$7,Model!W$1,'Assumptions (NG)'!$V$10,'Assumptions (NG)'!$V$5*Model!$AW$421*('Assumptions (NG)'!$AV$15*AVERAGE('Assumptions (NG)'!$AS$2:$AU$2)+'Assumptions (NG)'!$AV$16*AVERAGE('Assumptions (NG)'!$AS$3:$AU$3))/10^9),0)</f>
        <v>0</v>
      </c>
      <c r="AX576" s="105">
        <f>IF($AW$421&gt;0,IPMT('Assumptions (NG)'!$V$7,Model!X$1,'Assumptions (NG)'!$V$10,'Assumptions (NG)'!$V$5*Model!$AW$421*('Assumptions (NG)'!$AV$15*AVERAGE('Assumptions (NG)'!$AS$2:$AU$2)+'Assumptions (NG)'!$AV$16*AVERAGE('Assumptions (NG)'!$AS$3:$AU$3))/10^9),0)</f>
        <v>0</v>
      </c>
      <c r="AY576" s="105">
        <f>IF($AW$421&gt;0,IPMT('Assumptions (NG)'!$V$7,Model!Y$1,'Assumptions (NG)'!$V$10,'Assumptions (NG)'!$V$5*Model!$AW$421*('Assumptions (NG)'!$AV$15*AVERAGE('Assumptions (NG)'!$AS$2:$AU$2)+'Assumptions (NG)'!$AV$16*AVERAGE('Assumptions (NG)'!$AS$3:$AU$3))/10^9),0)</f>
        <v>0</v>
      </c>
      <c r="AZ576" s="105">
        <f>IF($AW$421&gt;0,IPMT('Assumptions (NG)'!$V$7,Model!Z$1,'Assumptions (NG)'!$V$10,'Assumptions (NG)'!$V$5*Model!$AW$421*('Assumptions (NG)'!$AV$15*AVERAGE('Assumptions (NG)'!$AS$2:$AU$2)+'Assumptions (NG)'!$AV$16*AVERAGE('Assumptions (NG)'!$AS$3:$AU$3))/10^9),0)</f>
        <v>0</v>
      </c>
      <c r="BA576" s="105">
        <f>IF($AW$421&gt;0,IPMT('Assumptions (NG)'!$V$7,Model!AA$1,'Assumptions (NG)'!$V$10,'Assumptions (NG)'!$V$5*Model!$AW$421*('Assumptions (NG)'!$AV$15*AVERAGE('Assumptions (NG)'!$AS$2:$AU$2)+'Assumptions (NG)'!$AV$16*AVERAGE('Assumptions (NG)'!$AS$3:$AU$3))/10^9),0)</f>
        <v>0</v>
      </c>
      <c r="BB576" s="105">
        <f>IF($AW$421&gt;0,IPMT('Assumptions (NG)'!$V$7,Model!AB$1,'Assumptions (NG)'!$V$10,'Assumptions (NG)'!$V$5*Model!$AW$421*('Assumptions (NG)'!$AV$15*AVERAGE('Assumptions (NG)'!$AS$2:$AU$2)+'Assumptions (NG)'!$AV$16*AVERAGE('Assumptions (NG)'!$AS$3:$AU$3))/10^9),0)</f>
        <v>0</v>
      </c>
      <c r="BC576" s="105">
        <f>IF($AW$421&gt;0,IPMT('Assumptions (NG)'!$V$7,Model!AC$1,'Assumptions (NG)'!$V$10,'Assumptions (NG)'!$V$5*Model!$AW$421*('Assumptions (NG)'!$AV$15*AVERAGE('Assumptions (NG)'!$AS$2:$AU$2)+'Assumptions (NG)'!$AV$16*AVERAGE('Assumptions (NG)'!$AS$3:$AU$3))/10^9),0)</f>
        <v>0</v>
      </c>
      <c r="BD576" s="105">
        <f>IF($AW$421&gt;0,IPMT('Assumptions (NG)'!$V$7,Model!AD$1,'Assumptions (NG)'!$V$10,'Assumptions (NG)'!$V$5*Model!$AW$421*('Assumptions (NG)'!$AV$15*AVERAGE('Assumptions (NG)'!$AS$2:$AU$2)+'Assumptions (NG)'!$AV$16*AVERAGE('Assumptions (NG)'!$AS$3:$AU$3))/10^9),0)</f>
        <v>0</v>
      </c>
      <c r="BE576" s="105">
        <f>IF($AW$421&gt;0,IPMT('Assumptions (NG)'!$V$7,Model!AE$1,'Assumptions (NG)'!$V$10,'Assumptions (NG)'!$V$5*Model!$AW$421*('Assumptions (NG)'!$AV$15*AVERAGE('Assumptions (NG)'!$AS$2:$AU$2)+'Assumptions (NG)'!$AV$16*AVERAGE('Assumptions (NG)'!$AS$3:$AU$3))/10^9),0)</f>
        <v>0</v>
      </c>
      <c r="BF576" s="105">
        <f>IF($AW$421&gt;0,IPMT('Assumptions (NG)'!$V$7,Model!AF$1,'Assumptions (NG)'!$V$10,'Assumptions (NG)'!$V$5*Model!$AW$421*('Assumptions (NG)'!$AV$15*AVERAGE('Assumptions (NG)'!$AS$2:$AU$2)+'Assumptions (NG)'!$AV$16*AVERAGE('Assumptions (NG)'!$AS$3:$AU$3))/10^9),0)</f>
        <v>0</v>
      </c>
      <c r="BG576" s="105">
        <f>IF($AW$421&gt;0,IPMT('Assumptions (NG)'!$V$7,Model!AG$1,'Assumptions (NG)'!$V$10,'Assumptions (NG)'!$V$5*Model!$AW$421*('Assumptions (NG)'!$AV$15*AVERAGE('Assumptions (NG)'!$AS$2:$AU$2)+'Assumptions (NG)'!$AV$16*AVERAGE('Assumptions (NG)'!$AS$3:$AU$3))/10^9),0)</f>
        <v>0</v>
      </c>
      <c r="BH576" s="105">
        <f>IF($AW$421&gt;0,IPMT('Assumptions (NG)'!$V$7,Model!AH$1,'Assumptions (NG)'!$V$10,'Assumptions (NG)'!$V$5*Model!$AW$421*('Assumptions (NG)'!$AV$15*AVERAGE('Assumptions (NG)'!$AS$2:$AU$2)+'Assumptions (NG)'!$AV$16*AVERAGE('Assumptions (NG)'!$AS$3:$AU$3))/10^9),0)</f>
        <v>0</v>
      </c>
      <c r="BI576" s="105">
        <f>IF($AW$421&gt;0,IPMT('Assumptions (NG)'!$V$7,Model!AI$1,'Assumptions (NG)'!$V$10,'Assumptions (NG)'!$V$5*Model!$AW$421*('Assumptions (NG)'!$AV$15*AVERAGE('Assumptions (NG)'!$AS$2:$AU$2)+'Assumptions (NG)'!$AV$16*AVERAGE('Assumptions (NG)'!$AS$3:$AU$3))/10^9),0)</f>
        <v>0</v>
      </c>
      <c r="BJ576" s="105">
        <f>IF($AW$421&gt;0,IPMT('Assumptions (NG)'!$V$7,Model!AJ$1,'Assumptions (NG)'!$V$10,'Assumptions (NG)'!$V$5*Model!$AW$421*('Assumptions (NG)'!$AV$15*AVERAGE('Assumptions (NG)'!$AS$2:$AU$2)+'Assumptions (NG)'!$AV$16*AVERAGE('Assumptions (NG)'!$AS$3:$AU$3))/10^9),0)</f>
        <v>0</v>
      </c>
      <c r="BK576" s="105">
        <f>IF($AW$421&gt;0,IPMT('Assumptions (NG)'!$V$7,Model!AK$1,'Assumptions (NG)'!$V$10,'Assumptions (NG)'!$V$5*Model!$AW$421*('Assumptions (NG)'!$AV$15*AVERAGE('Assumptions (NG)'!$AS$2:$AU$2)+'Assumptions (NG)'!$AV$16*AVERAGE('Assumptions (NG)'!$AS$3:$AU$3))/10^9),0)</f>
        <v>0</v>
      </c>
      <c r="BL576" s="105"/>
      <c r="BM576" s="105"/>
      <c r="BN576" s="105"/>
      <c r="BO576" s="105"/>
      <c r="BP576" s="105"/>
      <c r="BQ576" s="105"/>
      <c r="BR576" s="105"/>
      <c r="BS576" s="105"/>
      <c r="BT576" s="105"/>
      <c r="BU576" s="105"/>
    </row>
    <row r="577" spans="1:77" ht="15.75" hidden="1" customHeight="1" outlineLevel="1">
      <c r="A577" s="379"/>
      <c r="B577" s="99"/>
      <c r="C577" s="99"/>
      <c r="D577" s="99"/>
      <c r="E577" s="99"/>
      <c r="F577" s="99"/>
      <c r="G577" s="99"/>
      <c r="H577" s="99"/>
      <c r="I577" s="99"/>
      <c r="J577" s="99"/>
      <c r="K577" s="99"/>
      <c r="L577" s="99"/>
      <c r="M577" s="99"/>
      <c r="N577" s="99"/>
      <c r="O577" s="99"/>
      <c r="P577" s="99"/>
      <c r="Q577" s="99"/>
      <c r="R577" s="99"/>
      <c r="S577" s="99"/>
      <c r="T577" s="99"/>
      <c r="U577" s="99"/>
      <c r="V577" s="99"/>
      <c r="W577" s="105"/>
      <c r="X577" s="105"/>
      <c r="Y577" s="105"/>
      <c r="Z577" s="105"/>
      <c r="AA577" s="105"/>
      <c r="AB577" s="105"/>
      <c r="AC577" s="105"/>
      <c r="AD577" s="105"/>
      <c r="AE577" s="105"/>
      <c r="AF577" s="105"/>
      <c r="AG577" s="105"/>
      <c r="AH577" s="105"/>
      <c r="AI577" s="105"/>
      <c r="AJ577" s="171"/>
      <c r="AK577" s="105"/>
      <c r="AL577" s="91"/>
      <c r="AM577" s="91"/>
      <c r="AN577" s="91"/>
      <c r="AO577" s="105"/>
      <c r="AP577" s="105"/>
      <c r="AQ577" s="105"/>
      <c r="AR577" s="105"/>
      <c r="AS577" s="105"/>
      <c r="AT577" s="105"/>
      <c r="AU577" s="105"/>
      <c r="AV577" s="105"/>
      <c r="AW577" s="105"/>
      <c r="AX577" s="105">
        <f>IF($AX$421&gt;0,IPMT('Assumptions (NG)'!$V$7,Model!W$1,'Assumptions (NG)'!$V$10,'Assumptions (NG)'!$V$5*Model!$AX$421*('Assumptions (NG)'!$AW$15*AVERAGE('Assumptions (NG)'!$AT$2:$AV$2)+'Assumptions (NG)'!$AW$16*AVERAGE('Assumptions (NG)'!$AT$3:$AV$3))/10^9),0)</f>
        <v>0</v>
      </c>
      <c r="AY577" s="105">
        <f>IF($AX$421&gt;0,IPMT('Assumptions (NG)'!$V$7,Model!X$1,'Assumptions (NG)'!$V$10,'Assumptions (NG)'!$V$5*Model!$AX$421*('Assumptions (NG)'!$AW$15*AVERAGE('Assumptions (NG)'!$AT$2:$AV$2)+'Assumptions (NG)'!$AW$16*AVERAGE('Assumptions (NG)'!$AT$3:$AV$3))/10^9),0)</f>
        <v>0</v>
      </c>
      <c r="AZ577" s="105">
        <f>IF($AX$421&gt;0,IPMT('Assumptions (NG)'!$V$7,Model!Y$1,'Assumptions (NG)'!$V$10,'Assumptions (NG)'!$V$5*Model!$AX$421*('Assumptions (NG)'!$AW$15*AVERAGE('Assumptions (NG)'!$AT$2:$AV$2)+'Assumptions (NG)'!$AW$16*AVERAGE('Assumptions (NG)'!$AT$3:$AV$3))/10^9),0)</f>
        <v>0</v>
      </c>
      <c r="BA577" s="105">
        <f>IF($AX$421&gt;0,IPMT('Assumptions (NG)'!$V$7,Model!Z$1,'Assumptions (NG)'!$V$10,'Assumptions (NG)'!$V$5*Model!$AX$421*('Assumptions (NG)'!$AW$15*AVERAGE('Assumptions (NG)'!$AT$2:$AV$2)+'Assumptions (NG)'!$AW$16*AVERAGE('Assumptions (NG)'!$AT$3:$AV$3))/10^9),0)</f>
        <v>0</v>
      </c>
      <c r="BB577" s="105">
        <f>IF($AX$421&gt;0,IPMT('Assumptions (NG)'!$V$7,Model!AA$1,'Assumptions (NG)'!$V$10,'Assumptions (NG)'!$V$5*Model!$AX$421*('Assumptions (NG)'!$AW$15*AVERAGE('Assumptions (NG)'!$AT$2:$AV$2)+'Assumptions (NG)'!$AW$16*AVERAGE('Assumptions (NG)'!$AT$3:$AV$3))/10^9),0)</f>
        <v>0</v>
      </c>
      <c r="BC577" s="105">
        <f>IF($AX$421&gt;0,IPMT('Assumptions (NG)'!$V$7,Model!AB$1,'Assumptions (NG)'!$V$10,'Assumptions (NG)'!$V$5*Model!$AX$421*('Assumptions (NG)'!$AW$15*AVERAGE('Assumptions (NG)'!$AT$2:$AV$2)+'Assumptions (NG)'!$AW$16*AVERAGE('Assumptions (NG)'!$AT$3:$AV$3))/10^9),0)</f>
        <v>0</v>
      </c>
      <c r="BD577" s="105">
        <f>IF($AX$421&gt;0,IPMT('Assumptions (NG)'!$V$7,Model!AC$1,'Assumptions (NG)'!$V$10,'Assumptions (NG)'!$V$5*Model!$AX$421*('Assumptions (NG)'!$AW$15*AVERAGE('Assumptions (NG)'!$AT$2:$AV$2)+'Assumptions (NG)'!$AW$16*AVERAGE('Assumptions (NG)'!$AT$3:$AV$3))/10^9),0)</f>
        <v>0</v>
      </c>
      <c r="BE577" s="105">
        <f>IF($AX$421&gt;0,IPMT('Assumptions (NG)'!$V$7,Model!AD$1,'Assumptions (NG)'!$V$10,'Assumptions (NG)'!$V$5*Model!$AX$421*('Assumptions (NG)'!$AW$15*AVERAGE('Assumptions (NG)'!$AT$2:$AV$2)+'Assumptions (NG)'!$AW$16*AVERAGE('Assumptions (NG)'!$AT$3:$AV$3))/10^9),0)</f>
        <v>0</v>
      </c>
      <c r="BF577" s="105">
        <f>IF($AX$421&gt;0,IPMT('Assumptions (NG)'!$V$7,Model!AE$1,'Assumptions (NG)'!$V$10,'Assumptions (NG)'!$V$5*Model!$AX$421*('Assumptions (NG)'!$AW$15*AVERAGE('Assumptions (NG)'!$AT$2:$AV$2)+'Assumptions (NG)'!$AW$16*AVERAGE('Assumptions (NG)'!$AT$3:$AV$3))/10^9),0)</f>
        <v>0</v>
      </c>
      <c r="BG577" s="105">
        <f>IF($AX$421&gt;0,IPMT('Assumptions (NG)'!$V$7,Model!AF$1,'Assumptions (NG)'!$V$10,'Assumptions (NG)'!$V$5*Model!$AX$421*('Assumptions (NG)'!$AW$15*AVERAGE('Assumptions (NG)'!$AT$2:$AV$2)+'Assumptions (NG)'!$AW$16*AVERAGE('Assumptions (NG)'!$AT$3:$AV$3))/10^9),0)</f>
        <v>0</v>
      </c>
      <c r="BH577" s="105">
        <f>IF($AX$421&gt;0,IPMT('Assumptions (NG)'!$V$7,Model!AG$1,'Assumptions (NG)'!$V$10,'Assumptions (NG)'!$V$5*Model!$AX$421*('Assumptions (NG)'!$AW$15*AVERAGE('Assumptions (NG)'!$AT$2:$AV$2)+'Assumptions (NG)'!$AW$16*AVERAGE('Assumptions (NG)'!$AT$3:$AV$3))/10^9),0)</f>
        <v>0</v>
      </c>
      <c r="BI577" s="105">
        <f>IF($AX$421&gt;0,IPMT('Assumptions (NG)'!$V$7,Model!AH$1,'Assumptions (NG)'!$V$10,'Assumptions (NG)'!$V$5*Model!$AX$421*('Assumptions (NG)'!$AW$15*AVERAGE('Assumptions (NG)'!$AT$2:$AV$2)+'Assumptions (NG)'!$AW$16*AVERAGE('Assumptions (NG)'!$AT$3:$AV$3))/10^9),0)</f>
        <v>0</v>
      </c>
      <c r="BJ577" s="105">
        <f>IF($AX$421&gt;0,IPMT('Assumptions (NG)'!$V$7,Model!AI$1,'Assumptions (NG)'!$V$10,'Assumptions (NG)'!$V$5*Model!$AX$421*('Assumptions (NG)'!$AW$15*AVERAGE('Assumptions (NG)'!$AT$2:$AV$2)+'Assumptions (NG)'!$AW$16*AVERAGE('Assumptions (NG)'!$AT$3:$AV$3))/10^9),0)</f>
        <v>0</v>
      </c>
      <c r="BK577" s="105">
        <f>IF($AX$421&gt;0,IPMT('Assumptions (NG)'!$V$7,Model!AJ$1,'Assumptions (NG)'!$V$10,'Assumptions (NG)'!$V$5*Model!$AX$421*('Assumptions (NG)'!$AW$15*AVERAGE('Assumptions (NG)'!$AT$2:$AV$2)+'Assumptions (NG)'!$AW$16*AVERAGE('Assumptions (NG)'!$AT$3:$AV$3))/10^9),0)</f>
        <v>0</v>
      </c>
      <c r="BL577" s="105">
        <f>IF($AX$421&gt;0,IPMT('Assumptions (NG)'!$V$7,Model!AK$1,'Assumptions (NG)'!$V$10,'Assumptions (NG)'!$V$5*Model!$AX$421*('Assumptions (NG)'!$AW$15*AVERAGE('Assumptions (NG)'!$AT$2:$AV$2)+'Assumptions (NG)'!$AW$16*AVERAGE('Assumptions (NG)'!$AT$3:$AV$3))/10^9),0)</f>
        <v>0</v>
      </c>
      <c r="BM577" s="105"/>
      <c r="BN577" s="105"/>
      <c r="BO577" s="105"/>
      <c r="BP577" s="105"/>
      <c r="BQ577" s="105"/>
      <c r="BR577" s="105"/>
      <c r="BS577" s="105"/>
      <c r="BT577" s="105"/>
      <c r="BU577" s="105"/>
      <c r="BV577" s="105"/>
    </row>
    <row r="578" spans="1:77" ht="15.75" hidden="1" customHeight="1" outlineLevel="1">
      <c r="A578" s="379"/>
      <c r="B578" s="99"/>
      <c r="C578" s="99"/>
      <c r="D578" s="99"/>
      <c r="E578" s="99"/>
      <c r="F578" s="99"/>
      <c r="G578" s="99"/>
      <c r="H578" s="99"/>
      <c r="I578" s="99"/>
      <c r="J578" s="99"/>
      <c r="K578" s="99"/>
      <c r="L578" s="99"/>
      <c r="M578" s="99"/>
      <c r="N578" s="99"/>
      <c r="O578" s="99"/>
      <c r="P578" s="99"/>
      <c r="Q578" s="99"/>
      <c r="R578" s="99"/>
      <c r="S578" s="99"/>
      <c r="T578" s="99"/>
      <c r="U578" s="99"/>
      <c r="V578" s="99"/>
      <c r="W578" s="105"/>
      <c r="X578" s="105"/>
      <c r="Y578" s="105"/>
      <c r="Z578" s="105"/>
      <c r="AA578" s="105"/>
      <c r="AB578" s="105"/>
      <c r="AC578" s="105"/>
      <c r="AD578" s="105"/>
      <c r="AE578" s="105"/>
      <c r="AF578" s="105"/>
      <c r="AG578" s="105"/>
      <c r="AH578" s="105"/>
      <c r="AI578" s="105"/>
      <c r="AJ578" s="171"/>
      <c r="AK578" s="105"/>
      <c r="AL578" s="91"/>
      <c r="AM578" s="91"/>
      <c r="AN578" s="91"/>
      <c r="AO578" s="105"/>
      <c r="AP578" s="105"/>
      <c r="AQ578" s="105"/>
      <c r="AR578" s="105"/>
      <c r="AS578" s="105"/>
      <c r="AT578" s="105"/>
      <c r="AU578" s="105"/>
      <c r="AV578" s="105"/>
      <c r="AW578" s="105"/>
      <c r="AX578" s="105"/>
      <c r="AY578" s="105">
        <f>IF($AY$421&gt;0,IPMT('Assumptions (NG)'!$V$7,Model!W$1,'Assumptions (NG)'!$V$10,'Assumptions (NG)'!$V$5*Model!$AY$421*('Assumptions (NG)'!$AX$15*AVERAGE('Assumptions (NG)'!$AU$2:$AW$2)+'Assumptions (NG)'!$AX$16*AVERAGE('Assumptions (NG)'!$AU$3:$AW$3))/10^9),0)</f>
        <v>0</v>
      </c>
      <c r="AZ578" s="105">
        <f>IF($AY$421&gt;0,IPMT('Assumptions (NG)'!$V$7,Model!X$1,'Assumptions (NG)'!$V$10,'Assumptions (NG)'!$V$5*Model!$AY$421*('Assumptions (NG)'!$AX$15*AVERAGE('Assumptions (NG)'!$AU$2:$AW$2)+'Assumptions (NG)'!$AX$16*AVERAGE('Assumptions (NG)'!$AU$3:$AW$3))/10^9),0)</f>
        <v>0</v>
      </c>
      <c r="BA578" s="105">
        <f>IF($AY$421&gt;0,IPMT('Assumptions (NG)'!$V$7,Model!Y$1,'Assumptions (NG)'!$V$10,'Assumptions (NG)'!$V$5*Model!$AY$421*('Assumptions (NG)'!$AX$15*AVERAGE('Assumptions (NG)'!$AU$2:$AW$2)+'Assumptions (NG)'!$AX$16*AVERAGE('Assumptions (NG)'!$AU$3:$AW$3))/10^9),0)</f>
        <v>0</v>
      </c>
      <c r="BB578" s="105">
        <f>IF($AY$421&gt;0,IPMT('Assumptions (NG)'!$V$7,Model!Z$1,'Assumptions (NG)'!$V$10,'Assumptions (NG)'!$V$5*Model!$AY$421*('Assumptions (NG)'!$AX$15*AVERAGE('Assumptions (NG)'!$AU$2:$AW$2)+'Assumptions (NG)'!$AX$16*AVERAGE('Assumptions (NG)'!$AU$3:$AW$3))/10^9),0)</f>
        <v>0</v>
      </c>
      <c r="BC578" s="105">
        <f>IF($AY$421&gt;0,IPMT('Assumptions (NG)'!$V$7,Model!AA$1,'Assumptions (NG)'!$V$10,'Assumptions (NG)'!$V$5*Model!$AY$421*('Assumptions (NG)'!$AX$15*AVERAGE('Assumptions (NG)'!$AU$2:$AW$2)+'Assumptions (NG)'!$AX$16*AVERAGE('Assumptions (NG)'!$AU$3:$AW$3))/10^9),0)</f>
        <v>0</v>
      </c>
      <c r="BD578" s="105">
        <f>IF($AY$421&gt;0,IPMT('Assumptions (NG)'!$V$7,Model!AB$1,'Assumptions (NG)'!$V$10,'Assumptions (NG)'!$V$5*Model!$AY$421*('Assumptions (NG)'!$AX$15*AVERAGE('Assumptions (NG)'!$AU$2:$AW$2)+'Assumptions (NG)'!$AX$16*AVERAGE('Assumptions (NG)'!$AU$3:$AW$3))/10^9),0)</f>
        <v>0</v>
      </c>
      <c r="BE578" s="105">
        <f>IF($AY$421&gt;0,IPMT('Assumptions (NG)'!$V$7,Model!AC$1,'Assumptions (NG)'!$V$10,'Assumptions (NG)'!$V$5*Model!$AY$421*('Assumptions (NG)'!$AX$15*AVERAGE('Assumptions (NG)'!$AU$2:$AW$2)+'Assumptions (NG)'!$AX$16*AVERAGE('Assumptions (NG)'!$AU$3:$AW$3))/10^9),0)</f>
        <v>0</v>
      </c>
      <c r="BF578" s="105">
        <f>IF($AY$421&gt;0,IPMT('Assumptions (NG)'!$V$7,Model!AD$1,'Assumptions (NG)'!$V$10,'Assumptions (NG)'!$V$5*Model!$AY$421*('Assumptions (NG)'!$AX$15*AVERAGE('Assumptions (NG)'!$AU$2:$AW$2)+'Assumptions (NG)'!$AX$16*AVERAGE('Assumptions (NG)'!$AU$3:$AW$3))/10^9),0)</f>
        <v>0</v>
      </c>
      <c r="BG578" s="105">
        <f>IF($AY$421&gt;0,IPMT('Assumptions (NG)'!$V$7,Model!AE$1,'Assumptions (NG)'!$V$10,'Assumptions (NG)'!$V$5*Model!$AY$421*('Assumptions (NG)'!$AX$15*AVERAGE('Assumptions (NG)'!$AU$2:$AW$2)+'Assumptions (NG)'!$AX$16*AVERAGE('Assumptions (NG)'!$AU$3:$AW$3))/10^9),0)</f>
        <v>0</v>
      </c>
      <c r="BH578" s="105">
        <f>IF($AY$421&gt;0,IPMT('Assumptions (NG)'!$V$7,Model!AF$1,'Assumptions (NG)'!$V$10,'Assumptions (NG)'!$V$5*Model!$AY$421*('Assumptions (NG)'!$AX$15*AVERAGE('Assumptions (NG)'!$AU$2:$AW$2)+'Assumptions (NG)'!$AX$16*AVERAGE('Assumptions (NG)'!$AU$3:$AW$3))/10^9),0)</f>
        <v>0</v>
      </c>
      <c r="BI578" s="105">
        <f>IF($AY$421&gt;0,IPMT('Assumptions (NG)'!$V$7,Model!AG$1,'Assumptions (NG)'!$V$10,'Assumptions (NG)'!$V$5*Model!$AY$421*('Assumptions (NG)'!$AX$15*AVERAGE('Assumptions (NG)'!$AU$2:$AW$2)+'Assumptions (NG)'!$AX$16*AVERAGE('Assumptions (NG)'!$AU$3:$AW$3))/10^9),0)</f>
        <v>0</v>
      </c>
      <c r="BJ578" s="105">
        <f>IF($AY$421&gt;0,IPMT('Assumptions (NG)'!$V$7,Model!AH$1,'Assumptions (NG)'!$V$10,'Assumptions (NG)'!$V$5*Model!$AY$421*('Assumptions (NG)'!$AX$15*AVERAGE('Assumptions (NG)'!$AU$2:$AW$2)+'Assumptions (NG)'!$AX$16*AVERAGE('Assumptions (NG)'!$AU$3:$AW$3))/10^9),0)</f>
        <v>0</v>
      </c>
      <c r="BK578" s="105">
        <f>IF($AY$421&gt;0,IPMT('Assumptions (NG)'!$V$7,Model!AI$1,'Assumptions (NG)'!$V$10,'Assumptions (NG)'!$V$5*Model!$AY$421*('Assumptions (NG)'!$AX$15*AVERAGE('Assumptions (NG)'!$AU$2:$AW$2)+'Assumptions (NG)'!$AX$16*AVERAGE('Assumptions (NG)'!$AU$3:$AW$3))/10^9),0)</f>
        <v>0</v>
      </c>
      <c r="BL578" s="105">
        <f>IF($AY$421&gt;0,IPMT('Assumptions (NG)'!$V$7,Model!AJ$1,'Assumptions (NG)'!$V$10,'Assumptions (NG)'!$V$5*Model!$AY$421*('Assumptions (NG)'!$AX$15*AVERAGE('Assumptions (NG)'!$AU$2:$AW$2)+'Assumptions (NG)'!$AX$16*AVERAGE('Assumptions (NG)'!$AU$3:$AW$3))/10^9),0)</f>
        <v>0</v>
      </c>
      <c r="BM578" s="105">
        <f>IF($AY$421&gt;0,IPMT('Assumptions (NG)'!$V$7,Model!AK$1,'Assumptions (NG)'!$V$10,'Assumptions (NG)'!$V$5*Model!$AY$421*('Assumptions (NG)'!$AX$15*AVERAGE('Assumptions (NG)'!$AU$2:$AW$2)+'Assumptions (NG)'!$AX$16*AVERAGE('Assumptions (NG)'!$AU$3:$AW$3))/10^9),0)</f>
        <v>0</v>
      </c>
      <c r="BN578" s="105"/>
      <c r="BO578" s="105"/>
      <c r="BP578" s="105"/>
      <c r="BQ578" s="105"/>
      <c r="BR578" s="105"/>
      <c r="BS578" s="105"/>
      <c r="BT578" s="105"/>
      <c r="BU578" s="105"/>
      <c r="BV578" s="105"/>
      <c r="BW578" s="105"/>
    </row>
    <row r="579" spans="1:77" ht="15.75" hidden="1" customHeight="1" outlineLevel="1">
      <c r="A579" s="379"/>
      <c r="B579" s="99"/>
      <c r="C579" s="99"/>
      <c r="D579" s="99"/>
      <c r="E579" s="99"/>
      <c r="F579" s="99"/>
      <c r="G579" s="99"/>
      <c r="H579" s="99"/>
      <c r="I579" s="99"/>
      <c r="J579" s="99"/>
      <c r="K579" s="99"/>
      <c r="L579" s="99"/>
      <c r="M579" s="99"/>
      <c r="N579" s="99"/>
      <c r="O579" s="99"/>
      <c r="P579" s="99"/>
      <c r="Q579" s="99"/>
      <c r="R579" s="99"/>
      <c r="S579" s="99"/>
      <c r="T579" s="99"/>
      <c r="U579" s="99"/>
      <c r="V579" s="99"/>
      <c r="W579" s="105"/>
      <c r="X579" s="105"/>
      <c r="Y579" s="105"/>
      <c r="Z579" s="105"/>
      <c r="AA579" s="105"/>
      <c r="AB579" s="105"/>
      <c r="AC579" s="105"/>
      <c r="AD579" s="105"/>
      <c r="AE579" s="105"/>
      <c r="AF579" s="105"/>
      <c r="AG579" s="105"/>
      <c r="AH579" s="105"/>
      <c r="AI579" s="105"/>
      <c r="AJ579" s="171"/>
      <c r="AK579" s="105"/>
      <c r="AL579" s="91"/>
      <c r="AM579" s="91"/>
      <c r="AN579" s="91"/>
      <c r="AO579" s="105"/>
      <c r="AP579" s="105"/>
      <c r="AQ579" s="105"/>
      <c r="AR579" s="105"/>
      <c r="AS579" s="105"/>
      <c r="AT579" s="105"/>
      <c r="AU579" s="105"/>
      <c r="AV579" s="105"/>
      <c r="AW579" s="105"/>
      <c r="AX579" s="105"/>
      <c r="AY579" s="105"/>
      <c r="AZ579" s="105">
        <f>IF($AZ$421&gt;0,IPMT('Assumptions (NG)'!$V$7,Model!W$1,'Assumptions (NG)'!$V$10,'Assumptions (NG)'!$V$5*Model!$AZ$421*('Assumptions (NG)'!$AY$15*AVERAGE('Assumptions (NG)'!$AV$2:$AX$2)+'Assumptions (NG)'!$AY$16*AVERAGE('Assumptions (NG)'!$AV$3:$AX$3))/10^9),0)</f>
        <v>0</v>
      </c>
      <c r="BA579" s="105">
        <f>IF($AZ$421&gt;0,IPMT('Assumptions (NG)'!$V$7,Model!X$1,'Assumptions (NG)'!$V$10,'Assumptions (NG)'!$V$5*Model!$AZ$421*('Assumptions (NG)'!$AY$15*AVERAGE('Assumptions (NG)'!$AV$2:$AX$2)+'Assumptions (NG)'!$AY$16*AVERAGE('Assumptions (NG)'!$AV$3:$AX$3))/10^9),0)</f>
        <v>0</v>
      </c>
      <c r="BB579" s="105">
        <f>IF($AZ$421&gt;0,IPMT('Assumptions (NG)'!$V$7,Model!Y$1,'Assumptions (NG)'!$V$10,'Assumptions (NG)'!$V$5*Model!$AZ$421*('Assumptions (NG)'!$AY$15*AVERAGE('Assumptions (NG)'!$AV$2:$AX$2)+'Assumptions (NG)'!$AY$16*AVERAGE('Assumptions (NG)'!$AV$3:$AX$3))/10^9),0)</f>
        <v>0</v>
      </c>
      <c r="BC579" s="105">
        <f>IF($AZ$421&gt;0,IPMT('Assumptions (NG)'!$V$7,Model!Z$1,'Assumptions (NG)'!$V$10,'Assumptions (NG)'!$V$5*Model!$AZ$421*('Assumptions (NG)'!$AY$15*AVERAGE('Assumptions (NG)'!$AV$2:$AX$2)+'Assumptions (NG)'!$AY$16*AVERAGE('Assumptions (NG)'!$AV$3:$AX$3))/10^9),0)</f>
        <v>0</v>
      </c>
      <c r="BD579" s="105">
        <f>IF($AZ$421&gt;0,IPMT('Assumptions (NG)'!$V$7,Model!AA$1,'Assumptions (NG)'!$V$10,'Assumptions (NG)'!$V$5*Model!$AZ$421*('Assumptions (NG)'!$AY$15*AVERAGE('Assumptions (NG)'!$AV$2:$AX$2)+'Assumptions (NG)'!$AY$16*AVERAGE('Assumptions (NG)'!$AV$3:$AX$3))/10^9),0)</f>
        <v>0</v>
      </c>
      <c r="BE579" s="105">
        <f>IF($AZ$421&gt;0,IPMT('Assumptions (NG)'!$V$7,Model!AB$1,'Assumptions (NG)'!$V$10,'Assumptions (NG)'!$V$5*Model!$AZ$421*('Assumptions (NG)'!$AY$15*AVERAGE('Assumptions (NG)'!$AV$2:$AX$2)+'Assumptions (NG)'!$AY$16*AVERAGE('Assumptions (NG)'!$AV$3:$AX$3))/10^9),0)</f>
        <v>0</v>
      </c>
      <c r="BF579" s="105">
        <f>IF($AZ$421&gt;0,IPMT('Assumptions (NG)'!$V$7,Model!AC$1,'Assumptions (NG)'!$V$10,'Assumptions (NG)'!$V$5*Model!$AZ$421*('Assumptions (NG)'!$AY$15*AVERAGE('Assumptions (NG)'!$AV$2:$AX$2)+'Assumptions (NG)'!$AY$16*AVERAGE('Assumptions (NG)'!$AV$3:$AX$3))/10^9),0)</f>
        <v>0</v>
      </c>
      <c r="BG579" s="105">
        <f>IF($AZ$421&gt;0,IPMT('Assumptions (NG)'!$V$7,Model!AD$1,'Assumptions (NG)'!$V$10,'Assumptions (NG)'!$V$5*Model!$AZ$421*('Assumptions (NG)'!$AY$15*AVERAGE('Assumptions (NG)'!$AV$2:$AX$2)+'Assumptions (NG)'!$AY$16*AVERAGE('Assumptions (NG)'!$AV$3:$AX$3))/10^9),0)</f>
        <v>0</v>
      </c>
      <c r="BH579" s="105">
        <f>IF($AZ$421&gt;0,IPMT('Assumptions (NG)'!$V$7,Model!AE$1,'Assumptions (NG)'!$V$10,'Assumptions (NG)'!$V$5*Model!$AZ$421*('Assumptions (NG)'!$AY$15*AVERAGE('Assumptions (NG)'!$AV$2:$AX$2)+'Assumptions (NG)'!$AY$16*AVERAGE('Assumptions (NG)'!$AV$3:$AX$3))/10^9),0)</f>
        <v>0</v>
      </c>
      <c r="BI579" s="105">
        <f>IF($AZ$421&gt;0,IPMT('Assumptions (NG)'!$V$7,Model!AF$1,'Assumptions (NG)'!$V$10,'Assumptions (NG)'!$V$5*Model!$AZ$421*('Assumptions (NG)'!$AY$15*AVERAGE('Assumptions (NG)'!$AV$2:$AX$2)+'Assumptions (NG)'!$AY$16*AVERAGE('Assumptions (NG)'!$AV$3:$AX$3))/10^9),0)</f>
        <v>0</v>
      </c>
      <c r="BJ579" s="105">
        <f>IF($AZ$421&gt;0,IPMT('Assumptions (NG)'!$V$7,Model!AG$1,'Assumptions (NG)'!$V$10,'Assumptions (NG)'!$V$5*Model!$AZ$421*('Assumptions (NG)'!$AY$15*AVERAGE('Assumptions (NG)'!$AV$2:$AX$2)+'Assumptions (NG)'!$AY$16*AVERAGE('Assumptions (NG)'!$AV$3:$AX$3))/10^9),0)</f>
        <v>0</v>
      </c>
      <c r="BK579" s="105">
        <f>IF($AZ$421&gt;0,IPMT('Assumptions (NG)'!$V$7,Model!AH$1,'Assumptions (NG)'!$V$10,'Assumptions (NG)'!$V$5*Model!$AZ$421*('Assumptions (NG)'!$AY$15*AVERAGE('Assumptions (NG)'!$AV$2:$AX$2)+'Assumptions (NG)'!$AY$16*AVERAGE('Assumptions (NG)'!$AV$3:$AX$3))/10^9),0)</f>
        <v>0</v>
      </c>
      <c r="BL579" s="105">
        <f>IF($AZ$421&gt;0,IPMT('Assumptions (NG)'!$V$7,Model!AI$1,'Assumptions (NG)'!$V$10,'Assumptions (NG)'!$V$5*Model!$AZ$421*('Assumptions (NG)'!$AY$15*AVERAGE('Assumptions (NG)'!$AV$2:$AX$2)+'Assumptions (NG)'!$AY$16*AVERAGE('Assumptions (NG)'!$AV$3:$AX$3))/10^9),0)</f>
        <v>0</v>
      </c>
      <c r="BM579" s="105">
        <f>IF($AZ$421&gt;0,IPMT('Assumptions (NG)'!$V$7,Model!AJ$1,'Assumptions (NG)'!$V$10,'Assumptions (NG)'!$V$5*Model!$AZ$421*('Assumptions (NG)'!$AY$15*AVERAGE('Assumptions (NG)'!$AV$2:$AX$2)+'Assumptions (NG)'!$AY$16*AVERAGE('Assumptions (NG)'!$AV$3:$AX$3))/10^9),0)</f>
        <v>0</v>
      </c>
      <c r="BN579" s="105">
        <f>IF($AZ$421&gt;0,IPMT('Assumptions (NG)'!$V$7,Model!AK$1,'Assumptions (NG)'!$V$10,'Assumptions (NG)'!$V$5*Model!$AZ$421*('Assumptions (NG)'!$AY$15*AVERAGE('Assumptions (NG)'!$AV$2:$AX$2)+'Assumptions (NG)'!$AY$16*AVERAGE('Assumptions (NG)'!$AV$3:$AX$3))/10^9),0)</f>
        <v>0</v>
      </c>
      <c r="BO579" s="105"/>
      <c r="BP579" s="105"/>
      <c r="BQ579" s="105"/>
      <c r="BR579" s="105"/>
      <c r="BS579" s="105"/>
      <c r="BT579" s="105"/>
      <c r="BU579" s="105"/>
      <c r="BV579" s="105"/>
      <c r="BW579" s="105"/>
      <c r="BX579" s="105"/>
    </row>
    <row r="580" spans="1:77" ht="15.75" hidden="1" customHeight="1" outlineLevel="1">
      <c r="A580" s="379"/>
      <c r="B580" s="99"/>
      <c r="C580" s="99"/>
      <c r="D580" s="99"/>
      <c r="E580" s="99"/>
      <c r="F580" s="99"/>
      <c r="G580" s="99"/>
      <c r="H580" s="99"/>
      <c r="I580" s="99"/>
      <c r="J580" s="99"/>
      <c r="K580" s="99"/>
      <c r="L580" s="99"/>
      <c r="M580" s="99"/>
      <c r="N580" s="99"/>
      <c r="O580" s="99"/>
      <c r="P580" s="99"/>
      <c r="Q580" s="99"/>
      <c r="R580" s="99"/>
      <c r="S580" s="99"/>
      <c r="T580" s="99"/>
      <c r="U580" s="99"/>
      <c r="V580" s="99"/>
      <c r="W580" s="105"/>
      <c r="X580" s="105"/>
      <c r="Y580" s="105"/>
      <c r="Z580" s="105"/>
      <c r="AA580" s="105"/>
      <c r="AB580" s="105"/>
      <c r="AC580" s="105"/>
      <c r="AD580" s="105"/>
      <c r="AE580" s="105"/>
      <c r="AF580" s="105"/>
      <c r="AG580" s="105"/>
      <c r="AH580" s="105"/>
      <c r="AI580" s="105"/>
      <c r="AJ580" s="171"/>
      <c r="AK580" s="105"/>
      <c r="AL580" s="91"/>
      <c r="AM580" s="91"/>
      <c r="AN580" s="91"/>
      <c r="AO580" s="105"/>
      <c r="AP580" s="105"/>
      <c r="AQ580" s="105"/>
      <c r="AR580" s="105"/>
      <c r="AS580" s="105"/>
      <c r="AT580" s="105"/>
      <c r="AU580" s="105"/>
      <c r="AV580" s="105"/>
      <c r="AW580" s="105"/>
      <c r="AX580" s="105"/>
      <c r="AY580" s="105"/>
      <c r="AZ580" s="105"/>
      <c r="BA580" s="105">
        <f>IF($BA$421&gt;0,IPMT('Assumptions (NG)'!$V$7,Model!W$1,'Assumptions (NG)'!$V$10,'Assumptions (NG)'!$V$5*Model!$BA$421*('Assumptions (NG)'!$AZ$15*AVERAGE('Assumptions (NG)'!$AW$2:$AY$2)+'Assumptions (NG)'!$AZ$16*AVERAGE('Assumptions (NG)'!$AW$3:$AY$3))/10^9),0)</f>
        <v>-0.33577857072818523</v>
      </c>
      <c r="BB580" s="105">
        <f>IF($BA$421&gt;0,IPMT('Assumptions (NG)'!$V$7,Model!X$1,'Assumptions (NG)'!$V$10,'Assumptions (NG)'!$V$5*Model!$BA$421*('Assumptions (NG)'!$AZ$15*AVERAGE('Assumptions (NG)'!$AW$2:$AY$2)+'Assumptions (NG)'!$AZ$16*AVERAGE('Assumptions (NG)'!$AW$3:$AY$3))/10^9),0)</f>
        <v>-0.31204375104644566</v>
      </c>
      <c r="BC580" s="105">
        <f>IF($BA$421&gt;0,IPMT('Assumptions (NG)'!$V$7,Model!Y$1,'Assumptions (NG)'!$V$10,'Assumptions (NG)'!$V$5*Model!$BA$421*('Assumptions (NG)'!$AZ$15*AVERAGE('Assumptions (NG)'!$AW$2:$AY$2)+'Assumptions (NG)'!$AZ$16*AVERAGE('Assumptions (NG)'!$AW$3:$AY$3))/10^9),0)</f>
        <v>-0.28652881988857559</v>
      </c>
      <c r="BD580" s="105">
        <f>IF($BA$421&gt;0,IPMT('Assumptions (NG)'!$V$7,Model!Z$1,'Assumptions (NG)'!$V$10,'Assumptions (NG)'!$V$5*Model!$BA$421*('Assumptions (NG)'!$AZ$15*AVERAGE('Assumptions (NG)'!$AW$2:$AY$2)+'Assumptions (NG)'!$AZ$16*AVERAGE('Assumptions (NG)'!$AW$3:$AY$3))/10^9),0)</f>
        <v>-0.25910026889386528</v>
      </c>
      <c r="BE580" s="105">
        <f>IF($BA$421&gt;0,IPMT('Assumptions (NG)'!$V$7,Model!AA$1,'Assumptions (NG)'!$V$10,'Assumptions (NG)'!$V$5*Model!$BA$421*('Assumptions (NG)'!$AZ$15*AVERAGE('Assumptions (NG)'!$AW$2:$AY$2)+'Assumptions (NG)'!$AZ$16*AVERAGE('Assumptions (NG)'!$AW$3:$AY$3))/10^9),0)</f>
        <v>-0.2296145765745517</v>
      </c>
      <c r="BF580" s="105">
        <f>IF($BA$421&gt;0,IPMT('Assumptions (NG)'!$V$7,Model!AB$1,'Assumptions (NG)'!$V$10,'Assumptions (NG)'!$V$5*Model!$BA$421*('Assumptions (NG)'!$AZ$15*AVERAGE('Assumptions (NG)'!$AW$2:$AY$2)+'Assumptions (NG)'!$AZ$16*AVERAGE('Assumptions (NG)'!$AW$3:$AY$3))/10^9),0)</f>
        <v>-0.19791745733128965</v>
      </c>
      <c r="BG580" s="105">
        <f>IF($BA$421&gt;0,IPMT('Assumptions (NG)'!$V$7,Model!AC$1,'Assumptions (NG)'!$V$10,'Assumptions (NG)'!$V$5*Model!$BA$421*('Assumptions (NG)'!$AZ$15*AVERAGE('Assumptions (NG)'!$AW$2:$AY$2)+'Assumptions (NG)'!$AZ$16*AVERAGE('Assumptions (NG)'!$AW$3:$AY$3))/10^9),0)</f>
        <v>-0.16384305414478292</v>
      </c>
      <c r="BH580" s="105">
        <f>IF($BA$421&gt;0,IPMT('Assumptions (NG)'!$V$7,Model!AD$1,'Assumptions (NG)'!$V$10,'Assumptions (NG)'!$V$5*Model!$BA$421*('Assumptions (NG)'!$AZ$15*AVERAGE('Assumptions (NG)'!$AW$2:$AY$2)+'Assumptions (NG)'!$AZ$16*AVERAGE('Assumptions (NG)'!$AW$3:$AY$3))/10^9),0)</f>
        <v>-0.12721307071928814</v>
      </c>
      <c r="BI580" s="105">
        <f>IF($BA$421&gt;0,IPMT('Assumptions (NG)'!$V$7,Model!AE$1,'Assumptions (NG)'!$V$10,'Assumptions (NG)'!$V$5*Model!$BA$421*('Assumptions (NG)'!$AZ$15*AVERAGE('Assumptions (NG)'!$AW$2:$AY$2)+'Assumptions (NG)'!$AZ$16*AVERAGE('Assumptions (NG)'!$AW$3:$AY$3))/10^9),0)</f>
        <v>-8.7835838536881303E-2</v>
      </c>
      <c r="BJ580" s="105">
        <f>IF($BA$421&gt;0,IPMT('Assumptions (NG)'!$V$7,Model!AF$1,'Assumptions (NG)'!$V$10,'Assumptions (NG)'!$V$5*Model!$BA$421*('Assumptions (NG)'!$AZ$15*AVERAGE('Assumptions (NG)'!$AW$2:$AY$2)+'Assumptions (NG)'!$AZ$16*AVERAGE('Assumptions (NG)'!$AW$3:$AY$3))/10^9),0)</f>
        <v>-4.5505313940793927E-2</v>
      </c>
      <c r="BK580" s="105" t="e">
        <f>IF($BA$421&gt;0,IPMT('Assumptions (NG)'!$V$7,Model!AG$1,'Assumptions (NG)'!$V$10,'Assumptions (NG)'!$V$5*Model!$BA$421*('Assumptions (NG)'!$AZ$15*AVERAGE('Assumptions (NG)'!$AW$2:$AY$2)+'Assumptions (NG)'!$AZ$16*AVERAGE('Assumptions (NG)'!$AW$3:$AY$3))/10^9),0)</f>
        <v>#NUM!</v>
      </c>
      <c r="BL580" s="105" t="e">
        <f>IF($BA$421&gt;0,IPMT('Assumptions (NG)'!$V$7,Model!AH$1,'Assumptions (NG)'!$V$10,'Assumptions (NG)'!$V$5*Model!$BA$421*('Assumptions (NG)'!$AZ$15*AVERAGE('Assumptions (NG)'!$AW$2:$AY$2)+'Assumptions (NG)'!$AZ$16*AVERAGE('Assumptions (NG)'!$AW$3:$AY$3))/10^9),0)</f>
        <v>#NUM!</v>
      </c>
      <c r="BM580" s="105" t="e">
        <f>IF($BA$421&gt;0,IPMT('Assumptions (NG)'!$V$7,Model!AI$1,'Assumptions (NG)'!$V$10,'Assumptions (NG)'!$V$5*Model!$BA$421*('Assumptions (NG)'!$AZ$15*AVERAGE('Assumptions (NG)'!$AW$2:$AY$2)+'Assumptions (NG)'!$AZ$16*AVERAGE('Assumptions (NG)'!$AW$3:$AY$3))/10^9),0)</f>
        <v>#NUM!</v>
      </c>
      <c r="BN580" s="105" t="e">
        <f>IF($BA$421&gt;0,IPMT('Assumptions (NG)'!$V$7,Model!AJ$1,'Assumptions (NG)'!$V$10,'Assumptions (NG)'!$V$5*Model!$BA$421*('Assumptions (NG)'!$AZ$15*AVERAGE('Assumptions (NG)'!$AW$2:$AY$2)+'Assumptions (NG)'!$AZ$16*AVERAGE('Assumptions (NG)'!$AW$3:$AY$3))/10^9),0)</f>
        <v>#NUM!</v>
      </c>
      <c r="BO580" s="105" t="e">
        <f>IF($BA$421&gt;0,IPMT('Assumptions (NG)'!$V$7,Model!AK$1,'Assumptions (NG)'!$V$10,'Assumptions (NG)'!$V$5*Model!$BA$421*('Assumptions (NG)'!$AZ$15*AVERAGE('Assumptions (NG)'!$AW$2:$AY$2)+'Assumptions (NG)'!$AZ$16*AVERAGE('Assumptions (NG)'!$AW$3:$AY$3))/10^9),0)</f>
        <v>#NUM!</v>
      </c>
      <c r="BP580" s="105"/>
      <c r="BQ580" s="105"/>
      <c r="BR580" s="105"/>
      <c r="BS580" s="105"/>
      <c r="BT580" s="105"/>
      <c r="BU580" s="105"/>
      <c r="BV580" s="105"/>
      <c r="BW580" s="105"/>
      <c r="BX580" s="105"/>
      <c r="BY580" s="105"/>
    </row>
    <row r="581" spans="1:77" ht="15.75" customHeight="1" collapsed="1">
      <c r="A581" s="384" t="s">
        <v>806</v>
      </c>
      <c r="B581" s="99" t="s">
        <v>201</v>
      </c>
      <c r="C581" s="105">
        <f t="shared" ref="C581:BP581" si="13">SUM(C582:C632)</f>
        <v>0.6763925160451244</v>
      </c>
      <c r="D581" s="105">
        <f t="shared" si="13"/>
        <v>2.2681065366073327</v>
      </c>
      <c r="E581" s="105">
        <f t="shared" si="13"/>
        <v>4.6168542420736056</v>
      </c>
      <c r="F581" s="105">
        <f t="shared" si="13"/>
        <v>7.1361376321818613</v>
      </c>
      <c r="G581" s="105">
        <f t="shared" si="13"/>
        <v>8.4950484848335694</v>
      </c>
      <c r="H581" s="105">
        <f t="shared" si="13"/>
        <v>8.8234336196785552</v>
      </c>
      <c r="I581" s="105">
        <f t="shared" si="13"/>
        <v>8.7658339299545105</v>
      </c>
      <c r="J581" s="105">
        <f t="shared" si="13"/>
        <v>8.538415584855203</v>
      </c>
      <c r="K581" s="105">
        <f t="shared" si="13"/>
        <v>8.4569481154949226</v>
      </c>
      <c r="L581" s="105">
        <f t="shared" si="13"/>
        <v>8.6658802241621977</v>
      </c>
      <c r="M581" s="105">
        <f t="shared" si="13"/>
        <v>8.9492946669747191</v>
      </c>
      <c r="N581" s="105">
        <f t="shared" si="13"/>
        <v>9.3027426039626278</v>
      </c>
      <c r="O581" s="105">
        <f t="shared" si="13"/>
        <v>9.7898076722243506</v>
      </c>
      <c r="P581" s="105">
        <f t="shared" si="13"/>
        <v>10.154686467962472</v>
      </c>
      <c r="Q581" s="105">
        <f t="shared" si="13"/>
        <v>10.487746904337945</v>
      </c>
      <c r="R581" s="105">
        <f t="shared" si="13"/>
        <v>10.394394437123013</v>
      </c>
      <c r="S581" s="105">
        <f t="shared" si="13"/>
        <v>9.7594029017500024</v>
      </c>
      <c r="T581" s="105">
        <f t="shared" si="13"/>
        <v>8.7397467974155738</v>
      </c>
      <c r="U581" s="105">
        <f t="shared" si="13"/>
        <v>7.9909323836020603</v>
      </c>
      <c r="V581" s="105">
        <f t="shared" si="13"/>
        <v>7.7904473207121585</v>
      </c>
      <c r="W581" s="105">
        <f t="shared" si="13"/>
        <v>7.4901246381726834</v>
      </c>
      <c r="X581" s="105">
        <f t="shared" si="13"/>
        <v>8.9900599864182116</v>
      </c>
      <c r="Y581" s="105">
        <f t="shared" si="13"/>
        <v>10.163982769291854</v>
      </c>
      <c r="Z581" s="105">
        <f t="shared" si="13"/>
        <v>9.2173574183602991</v>
      </c>
      <c r="AA581" s="105">
        <f t="shared" si="13"/>
        <v>8.3513894810625118</v>
      </c>
      <c r="AB581" s="105">
        <f t="shared" si="13"/>
        <v>7.6318273283226166</v>
      </c>
      <c r="AC581" s="105">
        <f t="shared" si="13"/>
        <v>6.9785173342477806</v>
      </c>
      <c r="AD581" s="105">
        <f t="shared" si="13"/>
        <v>6.4228759754183677</v>
      </c>
      <c r="AE581" s="105">
        <f t="shared" si="13"/>
        <v>6.0642565909546935</v>
      </c>
      <c r="AF581" s="105">
        <f t="shared" si="13"/>
        <v>5.7215131088298161</v>
      </c>
      <c r="AG581" s="105">
        <f t="shared" si="13"/>
        <v>5.3897736063354333</v>
      </c>
      <c r="AH581" s="105">
        <f t="shared" si="13"/>
        <v>5.0422896464215992</v>
      </c>
      <c r="AI581" s="105">
        <f t="shared" si="13"/>
        <v>4.596969152110578</v>
      </c>
      <c r="AJ581" s="105">
        <f t="shared" si="13"/>
        <v>3.8514786969456143</v>
      </c>
      <c r="AK581" s="105">
        <f t="shared" si="13"/>
        <v>3.0545495819106727</v>
      </c>
      <c r="AL581" s="105">
        <f t="shared" si="13"/>
        <v>2.595508687805872</v>
      </c>
      <c r="AM581" s="105">
        <f t="shared" si="13"/>
        <v>1.1999789977079265</v>
      </c>
      <c r="AN581" s="105">
        <f t="shared" si="13"/>
        <v>0.14907615617407236</v>
      </c>
      <c r="AO581" s="105">
        <f t="shared" si="13"/>
        <v>1.6057885894066564</v>
      </c>
      <c r="AP581" s="105">
        <f t="shared" si="13"/>
        <v>4.1224622654929037</v>
      </c>
      <c r="AQ581" s="105">
        <f t="shared" si="13"/>
        <v>5.3422118480572687</v>
      </c>
      <c r="AR581" s="105">
        <f t="shared" si="13"/>
        <v>5.0864512977507053</v>
      </c>
      <c r="AS581" s="105">
        <f t="shared" si="13"/>
        <v>4.5789521699993418</v>
      </c>
      <c r="AT581" s="105">
        <f t="shared" si="13"/>
        <v>4.1282183923920686</v>
      </c>
      <c r="AU581" s="105">
        <f t="shared" si="13"/>
        <v>3.8085920195929193</v>
      </c>
      <c r="AV581" s="105">
        <f t="shared" si="13"/>
        <v>3.6806800688251937</v>
      </c>
      <c r="AW581" s="105">
        <f t="shared" si="13"/>
        <v>3.6647358903181693</v>
      </c>
      <c r="AX581" s="105">
        <f t="shared" si="13"/>
        <v>3.6650983721298673</v>
      </c>
      <c r="AY581" s="105">
        <f t="shared" si="13"/>
        <v>3.665290166499382</v>
      </c>
      <c r="AZ581" s="105">
        <f t="shared" si="13"/>
        <v>3.6650983721298673</v>
      </c>
      <c r="BA581" s="105">
        <f t="shared" si="13"/>
        <v>4.0096784441693156</v>
      </c>
      <c r="BB581" s="105">
        <f t="shared" si="13"/>
        <v>4.3194360997027408</v>
      </c>
      <c r="BC581" s="105">
        <f t="shared" si="13"/>
        <v>4.1662391891722663</v>
      </c>
      <c r="BD581" s="105">
        <f t="shared" si="13"/>
        <v>3.2389474064650194</v>
      </c>
      <c r="BE581" s="105">
        <f t="shared" si="13"/>
        <v>1.6041774749344822</v>
      </c>
      <c r="BF581" s="105">
        <f t="shared" si="13"/>
        <v>0.59261926743456472</v>
      </c>
      <c r="BG581" s="105">
        <f t="shared" si="13"/>
        <v>0.40637816765052159</v>
      </c>
      <c r="BH581" s="105">
        <f t="shared" si="13"/>
        <v>0.40637816765052159</v>
      </c>
      <c r="BI581" s="105">
        <f t="shared" si="13"/>
        <v>0.40706694420586137</v>
      </c>
      <c r="BJ581" s="105">
        <f t="shared" si="13"/>
        <v>0.40637816765052159</v>
      </c>
      <c r="BK581" s="105">
        <f t="shared" si="13"/>
        <v>0.40706694420586137</v>
      </c>
      <c r="BL581" s="105">
        <f t="shared" si="13"/>
        <v>0.40637816765052159</v>
      </c>
      <c r="BM581" s="105">
        <f t="shared" si="13"/>
        <v>0.40706694420586137</v>
      </c>
      <c r="BN581" s="105">
        <f t="shared" si="13"/>
        <v>0.40637816765052159</v>
      </c>
      <c r="BO581" s="105">
        <f t="shared" si="13"/>
        <v>0.40706694420586137</v>
      </c>
      <c r="BP581" s="105">
        <f t="shared" si="13"/>
        <v>0.2031890838252608</v>
      </c>
      <c r="BQ581" s="105"/>
      <c r="BR581" s="105"/>
    </row>
    <row r="582" spans="1:77" ht="15.75" hidden="1" customHeight="1" outlineLevel="1">
      <c r="A582" s="379"/>
      <c r="B582" s="99"/>
      <c r="C582" s="91">
        <f>IF($C$421&gt;0,'Assumptions (NG)'!V$11*Model!$C$421*('Assumptions (NG)'!$B$2*'Assumptions (NG)'!$B$15+'Assumptions (NG)'!$B$3*'Assumptions (NG)'!$B$16)/10^9,0)</f>
        <v>0.6763925160451244</v>
      </c>
      <c r="D582" s="91">
        <f>IF($C$421&gt;0,'Assumptions (NG)'!W$11*Model!$C$421*('Assumptions (NG)'!$B$2*'Assumptions (NG)'!$B$15+'Assumptions (NG)'!$B$3*'Assumptions (NG)'!$B$16)/10^9,0)</f>
        <v>1.2851457804857365</v>
      </c>
      <c r="E582" s="91">
        <f>IF($C$421&gt;0,'Assumptions (NG)'!X$11*Model!$C$421*('Assumptions (NG)'!$B$2*'Assumptions (NG)'!$B$15+'Assumptions (NG)'!$B$3*'Assumptions (NG)'!$B$16)/10^9,0)</f>
        <v>1.1566312024371626</v>
      </c>
      <c r="F582" s="91">
        <f>IF($C$421&gt;0,'Assumptions (NG)'!Y$11*Model!$C$421*('Assumptions (NG)'!$B$2*'Assumptions (NG)'!$B$15+'Assumptions (NG)'!$B$3*'Assumptions (NG)'!$B$16)/10^9,0)</f>
        <v>1.0416444747094915</v>
      </c>
      <c r="G582" s="91">
        <f>IF($C$421&gt;0,'Assumptions (NG)'!Z$11*Model!$C$421*('Assumptions (NG)'!$B$2*'Assumptions (NG)'!$B$15+'Assumptions (NG)'!$B$3*'Assumptions (NG)'!$B$16)/10^9,0)</f>
        <v>0.9374800272385424</v>
      </c>
      <c r="H582" s="91">
        <f>IF($C$421&gt;0,'Assumptions (NG)'!AA$11*Model!$C$421*('Assumptions (NG)'!$B$2*'Assumptions (NG)'!$B$15+'Assumptions (NG)'!$B$3*'Assumptions (NG)'!$B$16)/10^9,0)</f>
        <v>0.8427850749922251</v>
      </c>
      <c r="I582" s="91">
        <f>IF($C$421&gt;0,'Assumptions (NG)'!AB$11*Model!$C$421*('Assumptions (NG)'!$B$2*'Assumptions (NG)'!$B$15+'Assumptions (NG)'!$B$3*'Assumptions (NG)'!$B$16)/10^9,0)</f>
        <v>0.79814316893324677</v>
      </c>
      <c r="J582" s="91">
        <f>IF($C$421&gt;0,'Assumptions (NG)'!AC$11*Model!$C$421*('Assumptions (NG)'!$B$2*'Assumptions (NG)'!$B$15+'Assumptions (NG)'!$B$3*'Assumptions (NG)'!$B$16)/10^9,0)</f>
        <v>0.79814316893324677</v>
      </c>
      <c r="K582" s="91">
        <f>IF($C$421&gt;0,'Assumptions (NG)'!AD$11*Model!$C$421*('Assumptions (NG)'!$B$2*'Assumptions (NG)'!$B$15+'Assumptions (NG)'!$B$3*'Assumptions (NG)'!$B$16)/10^9,0)</f>
        <v>0.79949595396533701</v>
      </c>
      <c r="L582" s="91">
        <f>IF($C$421&gt;0,'Assumptions (NG)'!AE$11*Model!$C$421*('Assumptions (NG)'!$B$2*'Assumptions (NG)'!$B$15+'Assumptions (NG)'!$B$3*'Assumptions (NG)'!$B$16)/10^9,0)</f>
        <v>0.79814316893324677</v>
      </c>
      <c r="M582" s="91">
        <f>IF($C$421&gt;0,'Assumptions (NG)'!AF$11*Model!$C$421*('Assumptions (NG)'!$B$2*'Assumptions (NG)'!$B$15+'Assumptions (NG)'!$B$3*'Assumptions (NG)'!$B$16)/10^9,0)</f>
        <v>0.79949595396533701</v>
      </c>
      <c r="N582" s="91">
        <f>IF($C$421&gt;0,'Assumptions (NG)'!AG$11*Model!$C$421*('Assumptions (NG)'!$B$2*'Assumptions (NG)'!$B$15+'Assumptions (NG)'!$B$3*'Assumptions (NG)'!$B$16)/10^9,0)</f>
        <v>0.79814316893324677</v>
      </c>
      <c r="O582" s="91">
        <f>IF($C$421&gt;0,'Assumptions (NG)'!AH$11*Model!$C$421*('Assumptions (NG)'!$B$2*'Assumptions (NG)'!$B$15+'Assumptions (NG)'!$B$3*'Assumptions (NG)'!$B$16)/10^9,0)</f>
        <v>0.79949595396533701</v>
      </c>
      <c r="P582" s="91">
        <f>IF($C$421&gt;0,'Assumptions (NG)'!AI$11*Model!$C$421*('Assumptions (NG)'!$B$2*'Assumptions (NG)'!$B$15+'Assumptions (NG)'!$B$3*'Assumptions (NG)'!$B$16)/10^9,0)</f>
        <v>0.79814316893324677</v>
      </c>
      <c r="Q582" s="91">
        <f>IF($C$421&gt;0,'Assumptions (NG)'!AJ$11*Model!$C$421*('Assumptions (NG)'!$B$2*'Assumptions (NG)'!$B$15+'Assumptions (NG)'!$B$3*'Assumptions (NG)'!$B$16)/10^9,0)</f>
        <v>0.79949595396533701</v>
      </c>
      <c r="R582" s="91">
        <f>IF($C$421&gt;0,'Assumptions (NG)'!AK$11*Model!$C$421*('Assumptions (NG)'!$B$2*'Assumptions (NG)'!$B$15+'Assumptions (NG)'!$B$3*'Assumptions (NG)'!$B$16)/10^9,0)</f>
        <v>0.39907158446662339</v>
      </c>
      <c r="S582" s="91"/>
      <c r="T582" s="91"/>
      <c r="U582" s="91"/>
      <c r="V582" s="91"/>
      <c r="W582" s="91"/>
      <c r="X582" s="91"/>
      <c r="Y582" s="91"/>
      <c r="Z582" s="91"/>
      <c r="AA582" s="91"/>
      <c r="AB582" s="105"/>
      <c r="AC582" s="105"/>
      <c r="AD582" s="105"/>
      <c r="AE582" s="105"/>
      <c r="AF582" s="105"/>
      <c r="AG582" s="105"/>
      <c r="AO582" s="105"/>
      <c r="AP582" s="105"/>
      <c r="AQ582" s="105"/>
      <c r="AR582" s="105"/>
      <c r="AS582" s="105"/>
      <c r="AT582" s="105"/>
      <c r="AU582" s="105"/>
      <c r="AV582" s="105"/>
      <c r="AW582" s="105"/>
      <c r="AX582" s="105"/>
      <c r="AY582" s="105"/>
      <c r="AZ582" s="105"/>
      <c r="BA582" s="105"/>
    </row>
    <row r="583" spans="1:77" ht="15.75" hidden="1" customHeight="1" outlineLevel="1">
      <c r="A583" s="379"/>
      <c r="B583" s="99"/>
      <c r="C583" s="105"/>
      <c r="D583" s="91">
        <f>IF($D$421&gt;0,'Assumptions (NG)'!V$11*Model!$D$421*('Assumptions (NG)'!$B$2*'Assumptions (NG)'!$C$15+'Assumptions (NG)'!$B$3*'Assumptions (NG)'!$C$16)/10^9,0)</f>
        <v>0.98296075612159639</v>
      </c>
      <c r="E583" s="91">
        <f>IF($D$421&gt;0,'Assumptions (NG)'!W$11*Model!$D$421*('Assumptions (NG)'!$B$2*'Assumptions (NG)'!$C$15+'Assumptions (NG)'!$B$3*'Assumptions (NG)'!$C$16)/10^9,0)</f>
        <v>1.8676254366310332</v>
      </c>
      <c r="F583" s="91">
        <f>IF($D$421&gt;0,'Assumptions (NG)'!X$11*Model!$D$421*('Assumptions (NG)'!$B$2*'Assumptions (NG)'!$C$15+'Assumptions (NG)'!$B$3*'Assumptions (NG)'!$C$16)/10^9,0)</f>
        <v>1.6808628929679299</v>
      </c>
      <c r="G583" s="91">
        <f>IF($D$421&gt;0,'Assumptions (NG)'!Y$11*Model!$D$421*('Assumptions (NG)'!$B$2*'Assumptions (NG)'!$C$15+'Assumptions (NG)'!$B$3*'Assumptions (NG)'!$C$16)/10^9,0)</f>
        <v>1.5137595644272583</v>
      </c>
      <c r="H583" s="91">
        <f>IF($D$421&gt;0,'Assumptions (NG)'!Z$11*Model!$D$421*('Assumptions (NG)'!$B$2*'Assumptions (NG)'!$C$15+'Assumptions (NG)'!$B$3*'Assumptions (NG)'!$C$16)/10^9,0)</f>
        <v>1.3623836079845326</v>
      </c>
      <c r="I583" s="91">
        <f>IF($D$421&gt;0,'Assumptions (NG)'!AA$11*Model!$D$421*('Assumptions (NG)'!$B$2*'Assumptions (NG)'!$C$15+'Assumptions (NG)'!$B$3*'Assumptions (NG)'!$C$16)/10^9,0)</f>
        <v>1.2247691021275089</v>
      </c>
      <c r="J583" s="91">
        <f>IF($D$421&gt;0,'Assumptions (NG)'!AB$11*Model!$D$421*('Assumptions (NG)'!$B$2*'Assumptions (NG)'!$C$15+'Assumptions (NG)'!$B$3*'Assumptions (NG)'!$C$16)/10^9,0)</f>
        <v>1.1598936922234837</v>
      </c>
      <c r="K583" s="91">
        <f>IF($D$421&gt;0,'Assumptions (NG)'!AC$11*Model!$D$421*('Assumptions (NG)'!$B$2*'Assumptions (NG)'!$C$15+'Assumptions (NG)'!$B$3*'Assumptions (NG)'!$C$16)/10^9,0)</f>
        <v>1.1598936922234837</v>
      </c>
      <c r="L583" s="91">
        <f>IF($D$421&gt;0,'Assumptions (NG)'!AD$11*Model!$D$421*('Assumptions (NG)'!$B$2*'Assumptions (NG)'!$C$15+'Assumptions (NG)'!$B$3*'Assumptions (NG)'!$C$16)/10^9,0)</f>
        <v>1.1618596137357269</v>
      </c>
      <c r="M583" s="91">
        <f>IF($D$421&gt;0,'Assumptions (NG)'!AE$11*Model!$D$421*('Assumptions (NG)'!$B$2*'Assumptions (NG)'!$C$15+'Assumptions (NG)'!$B$3*'Assumptions (NG)'!$C$16)/10^9,0)</f>
        <v>1.1598936922234837</v>
      </c>
      <c r="N583" s="91">
        <f>IF($D$421&gt;0,'Assumptions (NG)'!AF$11*Model!$D$421*('Assumptions (NG)'!$B$2*'Assumptions (NG)'!$C$15+'Assumptions (NG)'!$B$3*'Assumptions (NG)'!$C$16)/10^9,0)</f>
        <v>1.1618596137357269</v>
      </c>
      <c r="O583" s="91">
        <f>IF($D$421&gt;0,'Assumptions (NG)'!AG$11*Model!$D$421*('Assumptions (NG)'!$B$2*'Assumptions (NG)'!$C$15+'Assumptions (NG)'!$B$3*'Assumptions (NG)'!$C$16)/10^9,0)</f>
        <v>1.1598936922234837</v>
      </c>
      <c r="P583" s="91">
        <f>IF($D$421&gt;0,'Assumptions (NG)'!AH$11*Model!$D$421*('Assumptions (NG)'!$B$2*'Assumptions (NG)'!$C$15+'Assumptions (NG)'!$B$3*'Assumptions (NG)'!$C$16)/10^9,0)</f>
        <v>1.1618596137357269</v>
      </c>
      <c r="Q583" s="91">
        <f>IF($D$421&gt;0,'Assumptions (NG)'!AI$11*Model!$D$421*('Assumptions (NG)'!$B$2*'Assumptions (NG)'!$C$15+'Assumptions (NG)'!$B$3*'Assumptions (NG)'!$C$16)/10^9,0)</f>
        <v>1.1598936922234837</v>
      </c>
      <c r="R583" s="91">
        <f>IF($D$421&gt;0,'Assumptions (NG)'!AJ$11*Model!$D$421*('Assumptions (NG)'!$B$2*'Assumptions (NG)'!$C$15+'Assumptions (NG)'!$B$3*'Assumptions (NG)'!$C$16)/10^9,0)</f>
        <v>1.1618596137357269</v>
      </c>
      <c r="S583" s="91">
        <f>IF($D$421&gt;0,'Assumptions (NG)'!AK$11*Model!$D$421*('Assumptions (NG)'!$B$2*'Assumptions (NG)'!$C$15+'Assumptions (NG)'!$B$3*'Assumptions (NG)'!$C$16)/10^9,0)</f>
        <v>0.57994684611174185</v>
      </c>
      <c r="T583" s="91"/>
      <c r="U583" s="91"/>
      <c r="V583" s="91"/>
      <c r="W583" s="91"/>
      <c r="X583" s="91"/>
      <c r="Y583" s="91"/>
      <c r="Z583" s="91"/>
      <c r="AA583" s="91"/>
      <c r="AB583" s="91"/>
      <c r="AC583" s="105"/>
      <c r="AD583" s="105"/>
      <c r="AE583" s="105"/>
      <c r="AF583" s="105"/>
      <c r="AG583" s="105"/>
      <c r="AO583" s="105"/>
      <c r="AP583" s="105"/>
      <c r="AQ583" s="105"/>
      <c r="AR583" s="105"/>
      <c r="AS583" s="105"/>
      <c r="AT583" s="105"/>
      <c r="AU583" s="105"/>
      <c r="AV583" s="105"/>
      <c r="AW583" s="105"/>
      <c r="AX583" s="105"/>
      <c r="AY583" s="105"/>
      <c r="AZ583" s="105"/>
      <c r="BA583" s="105"/>
    </row>
    <row r="584" spans="1:77" ht="15.75" hidden="1" customHeight="1" outlineLevel="1">
      <c r="A584" s="379"/>
      <c r="B584" s="99"/>
      <c r="C584" s="105"/>
      <c r="D584" s="105"/>
      <c r="E584" s="105">
        <f>IF($E$421&gt;0,'Assumptions (NG)'!V$11*Model!$E$421*(AVERAGE('Assumptions (NG)'!$B$2:$C$2)*'Assumptions (NG)'!$D$15+AVERAGE('Assumptions (NG)'!$B$3:$C$3)*'Assumptions (NG)'!$D$16)/10^9,0)</f>
        <v>1.5925976030054099</v>
      </c>
      <c r="F584" s="105">
        <f>IF($E$421&gt;0,'Assumptions (NG)'!W$11*Model!$E$421*(AVERAGE('Assumptions (NG)'!$B$2:$C$2)*'Assumptions (NG)'!$D$15+AVERAGE('Assumptions (NG)'!$B$3:$C$3)*'Assumptions (NG)'!$D$16)/10^9,0)</f>
        <v>3.0259354457102789</v>
      </c>
      <c r="G584" s="105">
        <f>IF($E$421&gt;0,'Assumptions (NG)'!X$11*Model!$E$421*(AVERAGE('Assumptions (NG)'!$B$2:$C$2)*'Assumptions (NG)'!$D$15+AVERAGE('Assumptions (NG)'!$B$3:$C$3)*'Assumptions (NG)'!$D$16)/10^9,0)</f>
        <v>2.7233419011392512</v>
      </c>
      <c r="H584" s="105">
        <f>IF($E$421&gt;0,'Assumptions (NG)'!Y$11*Model!$E$421*(AVERAGE('Assumptions (NG)'!$B$2:$C$2)*'Assumptions (NG)'!$D$15+AVERAGE('Assumptions (NG)'!$B$3:$C$3)*'Assumptions (NG)'!$D$16)/10^9,0)</f>
        <v>2.4526003086283312</v>
      </c>
      <c r="I584" s="105">
        <f>IF($E$421&gt;0,'Assumptions (NG)'!Z$11*Model!$E$421*(AVERAGE('Assumptions (NG)'!$B$2:$C$2)*'Assumptions (NG)'!$D$15+AVERAGE('Assumptions (NG)'!$B$3:$C$3)*'Assumptions (NG)'!$D$16)/10^9,0)</f>
        <v>2.207340277765498</v>
      </c>
      <c r="J584" s="105">
        <f>IF($E$421&gt;0,'Assumptions (NG)'!AA$11*Model!$E$421*(AVERAGE('Assumptions (NG)'!$B$2:$C$2)*'Assumptions (NG)'!$D$15+AVERAGE('Assumptions (NG)'!$B$3:$C$3)*'Assumptions (NG)'!$D$16)/10^9,0)</f>
        <v>1.9843766133447407</v>
      </c>
      <c r="K584" s="105">
        <f>IF($E$421&gt;0,'Assumptions (NG)'!AB$11*Model!$E$421*(AVERAGE('Assumptions (NG)'!$B$2:$C$2)*'Assumptions (NG)'!$D$15+AVERAGE('Assumptions (NG)'!$B$3:$C$3)*'Assumptions (NG)'!$D$16)/10^9,0)</f>
        <v>1.8792651715463837</v>
      </c>
      <c r="L584" s="105">
        <f>IF($E$421&gt;0,'Assumptions (NG)'!AC$11*Model!$E$421*(AVERAGE('Assumptions (NG)'!$B$2:$C$2)*'Assumptions (NG)'!$D$15+AVERAGE('Assumptions (NG)'!$B$3:$C$3)*'Assumptions (NG)'!$D$16)/10^9,0)</f>
        <v>1.8792651715463837</v>
      </c>
      <c r="M584" s="105">
        <f>IF($E$421&gt;0,'Assumptions (NG)'!AD$11*Model!$E$421*(AVERAGE('Assumptions (NG)'!$B$2:$C$2)*'Assumptions (NG)'!$D$15+AVERAGE('Assumptions (NG)'!$B$3:$C$3)*'Assumptions (NG)'!$D$16)/10^9,0)</f>
        <v>1.8824503667523944</v>
      </c>
      <c r="N584" s="105">
        <f>IF($E$421&gt;0,'Assumptions (NG)'!AE$11*Model!$E$421*(AVERAGE('Assumptions (NG)'!$B$2:$C$2)*'Assumptions (NG)'!$D$15+AVERAGE('Assumptions (NG)'!$B$3:$C$3)*'Assumptions (NG)'!$D$16)/10^9,0)</f>
        <v>1.8792651715463837</v>
      </c>
      <c r="O584" s="105">
        <f>IF($E$421&gt;0,'Assumptions (NG)'!AF$11*Model!$E$421*(AVERAGE('Assumptions (NG)'!$B$2:$C$2)*'Assumptions (NG)'!$D$15+AVERAGE('Assumptions (NG)'!$B$3:$C$3)*'Assumptions (NG)'!$D$16)/10^9,0)</f>
        <v>1.8824503667523944</v>
      </c>
      <c r="P584" s="105">
        <f>IF($E$421&gt;0,'Assumptions (NG)'!AG$11*Model!$E$421*(AVERAGE('Assumptions (NG)'!$B$2:$C$2)*'Assumptions (NG)'!$D$15+AVERAGE('Assumptions (NG)'!$B$3:$C$3)*'Assumptions (NG)'!$D$16)/10^9,0)</f>
        <v>1.8792651715463837</v>
      </c>
      <c r="Q584" s="105">
        <f>IF($E$421&gt;0,'Assumptions (NG)'!AH$11*Model!$E$421*(AVERAGE('Assumptions (NG)'!$B$2:$C$2)*'Assumptions (NG)'!$D$15+AVERAGE('Assumptions (NG)'!$B$3:$C$3)*'Assumptions (NG)'!$D$16)/10^9,0)</f>
        <v>1.8824503667523944</v>
      </c>
      <c r="R584" s="105">
        <f>IF($E$421&gt;0,'Assumptions (NG)'!AI$11*Model!$E$421*(AVERAGE('Assumptions (NG)'!$B$2:$C$2)*'Assumptions (NG)'!$D$15+AVERAGE('Assumptions (NG)'!$B$3:$C$3)*'Assumptions (NG)'!$D$16)/10^9,0)</f>
        <v>1.8792651715463837</v>
      </c>
      <c r="S584" s="105">
        <f>IF($E$421&gt;0,'Assumptions (NG)'!AJ$11*Model!$E$421*(AVERAGE('Assumptions (NG)'!$B$2:$C$2)*'Assumptions (NG)'!$D$15+AVERAGE('Assumptions (NG)'!$B$3:$C$3)*'Assumptions (NG)'!$D$16)/10^9,0)</f>
        <v>1.8824503667523944</v>
      </c>
      <c r="T584" s="105">
        <f>IF($E$421&gt;0,'Assumptions (NG)'!AK$11*Model!$E$421*(AVERAGE('Assumptions (NG)'!$B$2:$C$2)*'Assumptions (NG)'!$D$15+AVERAGE('Assumptions (NG)'!$B$3:$C$3)*'Assumptions (NG)'!$D$16)/10^9,0)</f>
        <v>0.93963258577319186</v>
      </c>
      <c r="U584" s="105"/>
      <c r="V584" s="105"/>
      <c r="W584" s="105"/>
      <c r="X584" s="105"/>
      <c r="Y584" s="105"/>
      <c r="Z584" s="105"/>
      <c r="AA584" s="105"/>
      <c r="AB584" s="105"/>
      <c r="AC584" s="105"/>
      <c r="AD584" s="105"/>
      <c r="AE584" s="105"/>
      <c r="AF584" s="105"/>
      <c r="AG584" s="105"/>
      <c r="AO584" s="105"/>
      <c r="AP584" s="105"/>
      <c r="AQ584" s="105"/>
      <c r="AR584" s="105"/>
      <c r="AS584" s="105"/>
      <c r="AT584" s="105"/>
      <c r="AU584" s="105"/>
      <c r="AV584" s="105"/>
      <c r="AW584" s="105"/>
      <c r="AX584" s="105"/>
      <c r="AY584" s="105"/>
      <c r="AZ584" s="105"/>
      <c r="BA584" s="105"/>
    </row>
    <row r="585" spans="1:77" ht="15.75" hidden="1" customHeight="1" outlineLevel="1">
      <c r="A585" s="379"/>
      <c r="B585" s="99"/>
      <c r="C585" s="105"/>
      <c r="D585" s="105"/>
      <c r="E585" s="105"/>
      <c r="F585" s="105">
        <f>IF($F$421&gt;0,'Assumptions (NG)'!V$11*Model!$F$421*('Assumptions (NG)'!$E$15*AVERAGE('Assumptions (NG)'!$B$2:$D$2)+'Assumptions (NG)'!$E$16*AVERAGE('Assumptions (NG)'!$B$3:$D$3))/10^9,0)</f>
        <v>1.3876948187941609</v>
      </c>
      <c r="G585" s="105">
        <f>IF($F$421&gt;0,'Assumptions (NG)'!W$11*Model!$F$421*('Assumptions (NG)'!$E$15*AVERAGE('Assumptions (NG)'!$B$2:$D$2)+'Assumptions (NG)'!$E$16*AVERAGE('Assumptions (NG)'!$B$3:$D$3))/10^9,0)</f>
        <v>2.6366201557089055</v>
      </c>
      <c r="H585" s="105">
        <f>IF($F$421&gt;0,'Assumptions (NG)'!X$11*Model!$F$421*('Assumptions (NG)'!$E$15*AVERAGE('Assumptions (NG)'!$B$2:$D$2)+'Assumptions (NG)'!$E$16*AVERAGE('Assumptions (NG)'!$B$3:$D$3))/10^9,0)</f>
        <v>2.3729581401380151</v>
      </c>
      <c r="I585" s="105">
        <f>IF($F$421&gt;0,'Assumptions (NG)'!Y$11*Model!$F$421*('Assumptions (NG)'!$E$15*AVERAGE('Assumptions (NG)'!$B$2:$D$2)+'Assumptions (NG)'!$E$16*AVERAGE('Assumptions (NG)'!$B$3:$D$3))/10^9,0)</f>
        <v>2.1370500209430077</v>
      </c>
      <c r="J585" s="105">
        <f>IF($F$421&gt;0,'Assumptions (NG)'!Z$11*Model!$F$421*('Assumptions (NG)'!$E$15*AVERAGE('Assumptions (NG)'!$B$2:$D$2)+'Assumptions (NG)'!$E$16*AVERAGE('Assumptions (NG)'!$B$3:$D$3))/10^9,0)</f>
        <v>1.9233450188487069</v>
      </c>
      <c r="K585" s="105">
        <f>IF($F$421&gt;0,'Assumptions (NG)'!AA$11*Model!$F$421*('Assumptions (NG)'!$E$15*AVERAGE('Assumptions (NG)'!$B$2:$D$2)+'Assumptions (NG)'!$E$16*AVERAGE('Assumptions (NG)'!$B$3:$D$3))/10^9,0)</f>
        <v>1.7290677442175246</v>
      </c>
      <c r="L585" s="105">
        <f>IF($F$421&gt;0,'Assumptions (NG)'!AB$11*Model!$F$421*('Assumptions (NG)'!$E$15*AVERAGE('Assumptions (NG)'!$B$2:$D$2)+'Assumptions (NG)'!$E$16*AVERAGE('Assumptions (NG)'!$B$3:$D$3))/10^9,0)</f>
        <v>1.6374798861771098</v>
      </c>
      <c r="M585" s="105">
        <f>IF($F$421&gt;0,'Assumptions (NG)'!AC$11*Model!$F$421*('Assumptions (NG)'!$E$15*AVERAGE('Assumptions (NG)'!$B$2:$D$2)+'Assumptions (NG)'!$E$16*AVERAGE('Assumptions (NG)'!$B$3:$D$3))/10^9,0)</f>
        <v>1.6374798861771098</v>
      </c>
      <c r="N585" s="105">
        <f>IF($F$421&gt;0,'Assumptions (NG)'!AD$11*Model!$F$421*('Assumptions (NG)'!$E$15*AVERAGE('Assumptions (NG)'!$B$2:$D$2)+'Assumptions (NG)'!$E$16*AVERAGE('Assumptions (NG)'!$B$3:$D$3))/10^9,0)</f>
        <v>1.6402552758146982</v>
      </c>
      <c r="O585" s="105">
        <f>IF($F$421&gt;0,'Assumptions (NG)'!AE$11*Model!$F$421*('Assumptions (NG)'!$E$15*AVERAGE('Assumptions (NG)'!$B$2:$D$2)+'Assumptions (NG)'!$E$16*AVERAGE('Assumptions (NG)'!$B$3:$D$3))/10^9,0)</f>
        <v>1.6374798861771098</v>
      </c>
      <c r="P585" s="105">
        <f>IF($F$421&gt;0,'Assumptions (NG)'!AF$11*Model!$F$421*('Assumptions (NG)'!$E$15*AVERAGE('Assumptions (NG)'!$B$2:$D$2)+'Assumptions (NG)'!$E$16*AVERAGE('Assumptions (NG)'!$B$3:$D$3))/10^9,0)</f>
        <v>1.6402552758146982</v>
      </c>
      <c r="Q585" s="105">
        <f>IF($F$421&gt;0,'Assumptions (NG)'!AG$11*Model!$F$421*('Assumptions (NG)'!$E$15*AVERAGE('Assumptions (NG)'!$B$2:$D$2)+'Assumptions (NG)'!$E$16*AVERAGE('Assumptions (NG)'!$B$3:$D$3))/10^9,0)</f>
        <v>1.6374798861771098</v>
      </c>
      <c r="R585" s="105">
        <f>IF($F$421&gt;0,'Assumptions (NG)'!AH$11*Model!$F$421*('Assumptions (NG)'!$E$15*AVERAGE('Assumptions (NG)'!$B$2:$D$2)+'Assumptions (NG)'!$E$16*AVERAGE('Assumptions (NG)'!$B$3:$D$3))/10^9,0)</f>
        <v>1.6402552758146982</v>
      </c>
      <c r="S585" s="105">
        <f>IF($F$421&gt;0,'Assumptions (NG)'!AI$11*Model!$F$421*('Assumptions (NG)'!$E$15*AVERAGE('Assumptions (NG)'!$B$2:$D$2)+'Assumptions (NG)'!$E$16*AVERAGE('Assumptions (NG)'!$B$3:$D$3))/10^9,0)</f>
        <v>1.6374798861771098</v>
      </c>
      <c r="T585" s="105">
        <f>IF($F$421&gt;0,'Assumptions (NG)'!AJ$11*Model!$F$421*('Assumptions (NG)'!$E$15*AVERAGE('Assumptions (NG)'!$B$2:$D$2)+'Assumptions (NG)'!$E$16*AVERAGE('Assumptions (NG)'!$B$3:$D$3))/10^9,0)</f>
        <v>1.6402552758146982</v>
      </c>
      <c r="U585" s="105">
        <f>IF($F$421&gt;0,'Assumptions (NG)'!AK$11*Model!$F$421*('Assumptions (NG)'!$E$15*AVERAGE('Assumptions (NG)'!$B$2:$D$2)+'Assumptions (NG)'!$E$16*AVERAGE('Assumptions (NG)'!$B$3:$D$3))/10^9,0)</f>
        <v>0.81873994308855491</v>
      </c>
      <c r="V585" s="105"/>
      <c r="W585" s="105"/>
      <c r="X585" s="105"/>
      <c r="Y585" s="105"/>
      <c r="Z585" s="105"/>
      <c r="AA585" s="105"/>
      <c r="AB585" s="105"/>
      <c r="AC585" s="105"/>
      <c r="AD585" s="105"/>
      <c r="AE585" s="105"/>
      <c r="AF585" s="105"/>
      <c r="AG585" s="105"/>
      <c r="AO585" s="105"/>
      <c r="AP585" s="105"/>
      <c r="AQ585" s="105"/>
      <c r="AR585" s="105"/>
      <c r="AS585" s="105"/>
      <c r="AT585" s="105"/>
      <c r="AU585" s="105"/>
      <c r="AV585" s="105"/>
      <c r="AW585" s="105"/>
      <c r="AX585" s="105"/>
      <c r="AY585" s="105"/>
      <c r="AZ585" s="105"/>
      <c r="BA585" s="105"/>
    </row>
    <row r="586" spans="1:77" ht="15.75" hidden="1" customHeight="1" outlineLevel="1">
      <c r="A586" s="379"/>
      <c r="B586" s="99"/>
      <c r="C586" s="105"/>
      <c r="D586" s="105"/>
      <c r="E586" s="105"/>
      <c r="F586" s="105"/>
      <c r="G586" s="105">
        <f>IF($G$421&gt;0,'Assumptions (NG)'!V$11*Model!$G$421*('Assumptions (NG)'!$F$15*AVERAGE('Assumptions (NG)'!$C$2:$E$2)+'Assumptions (NG)'!$F$16*AVERAGE('Assumptions (NG)'!$C$3:$E$3))/10^9,0)</f>
        <v>0.68384683631961218</v>
      </c>
      <c r="H586" s="105">
        <f>IF($G$421&gt;0,'Assumptions (NG)'!W$11*Model!$G$421*('Assumptions (NG)'!$F$15*AVERAGE('Assumptions (NG)'!$C$2:$E$2)+'Assumptions (NG)'!$F$16*AVERAGE('Assumptions (NG)'!$C$3:$E$3))/10^9,0)</f>
        <v>1.2993089890072629</v>
      </c>
      <c r="I586" s="105">
        <f>IF($G$421&gt;0,'Assumptions (NG)'!X$11*Model!$G$421*('Assumptions (NG)'!$F$15*AVERAGE('Assumptions (NG)'!$C$2:$E$2)+'Assumptions (NG)'!$F$16*AVERAGE('Assumptions (NG)'!$C$3:$E$3))/10^9,0)</f>
        <v>1.1693780901065369</v>
      </c>
      <c r="J586" s="105">
        <f>IF($G$421&gt;0,'Assumptions (NG)'!Y$11*Model!$G$421*('Assumptions (NG)'!$F$15*AVERAGE('Assumptions (NG)'!$C$2:$E$2)+'Assumptions (NG)'!$F$16*AVERAGE('Assumptions (NG)'!$C$3:$E$3))/10^9,0)</f>
        <v>1.0531241279322026</v>
      </c>
      <c r="K586" s="105">
        <f>IF($G$421&gt;0,'Assumptions (NG)'!Z$11*Model!$G$421*('Assumptions (NG)'!$F$15*AVERAGE('Assumptions (NG)'!$C$2:$E$2)+'Assumptions (NG)'!$F$16*AVERAGE('Assumptions (NG)'!$C$3:$E$3))/10^9,0)</f>
        <v>0.94781171513898244</v>
      </c>
      <c r="L586" s="105">
        <f>IF($G$421&gt;0,'Assumptions (NG)'!AA$11*Model!$G$421*('Assumptions (NG)'!$F$15*AVERAGE('Assumptions (NG)'!$C$2:$E$2)+'Assumptions (NG)'!$F$16*AVERAGE('Assumptions (NG)'!$C$3:$E$3))/10^9,0)</f>
        <v>0.85207315805423667</v>
      </c>
      <c r="M586" s="105">
        <f>IF($G$421&gt;0,'Assumptions (NG)'!AB$11*Model!$G$421*('Assumptions (NG)'!$F$15*AVERAGE('Assumptions (NG)'!$C$2:$E$2)+'Assumptions (NG)'!$F$16*AVERAGE('Assumptions (NG)'!$C$3:$E$3))/10^9,0)</f>
        <v>0.80693926685714223</v>
      </c>
      <c r="N586" s="105">
        <f>IF($G$421&gt;0,'Assumptions (NG)'!AC$11*Model!$G$421*('Assumptions (NG)'!$F$15*AVERAGE('Assumptions (NG)'!$C$2:$E$2)+'Assumptions (NG)'!$F$16*AVERAGE('Assumptions (NG)'!$C$3:$E$3))/10^9,0)</f>
        <v>0.80693926685714223</v>
      </c>
      <c r="O586" s="105">
        <f>IF($G$421&gt;0,'Assumptions (NG)'!AD$11*Model!$G$421*('Assumptions (NG)'!$F$15*AVERAGE('Assumptions (NG)'!$C$2:$E$2)+'Assumptions (NG)'!$F$16*AVERAGE('Assumptions (NG)'!$C$3:$E$3))/10^9,0)</f>
        <v>0.80830696052978146</v>
      </c>
      <c r="P586" s="105">
        <f>IF($G$421&gt;0,'Assumptions (NG)'!AE$11*Model!$G$421*('Assumptions (NG)'!$F$15*AVERAGE('Assumptions (NG)'!$C$2:$E$2)+'Assumptions (NG)'!$F$16*AVERAGE('Assumptions (NG)'!$C$3:$E$3))/10^9,0)</f>
        <v>0.80693926685714223</v>
      </c>
      <c r="Q586" s="105">
        <f>IF($G$421&gt;0,'Assumptions (NG)'!AF$11*Model!$G$421*('Assumptions (NG)'!$F$15*AVERAGE('Assumptions (NG)'!$C$2:$E$2)+'Assumptions (NG)'!$F$16*AVERAGE('Assumptions (NG)'!$C$3:$E$3))/10^9,0)</f>
        <v>0.80830696052978146</v>
      </c>
      <c r="R586" s="105">
        <f>IF($G$421&gt;0,'Assumptions (NG)'!AG$11*Model!$G$421*('Assumptions (NG)'!$F$15*AVERAGE('Assumptions (NG)'!$C$2:$E$2)+'Assumptions (NG)'!$F$16*AVERAGE('Assumptions (NG)'!$C$3:$E$3))/10^9,0)</f>
        <v>0.80693926685714223</v>
      </c>
      <c r="S586" s="105">
        <f>IF($G$421&gt;0,'Assumptions (NG)'!AH$11*Model!$G$421*('Assumptions (NG)'!$F$15*AVERAGE('Assumptions (NG)'!$C$2:$E$2)+'Assumptions (NG)'!$F$16*AVERAGE('Assumptions (NG)'!$C$3:$E$3))/10^9,0)</f>
        <v>0.80830696052978146</v>
      </c>
      <c r="T586" s="105">
        <f>IF($G$421&gt;0,'Assumptions (NG)'!AI$11*Model!$G$421*('Assumptions (NG)'!$F$15*AVERAGE('Assumptions (NG)'!$C$2:$E$2)+'Assumptions (NG)'!$F$16*AVERAGE('Assumptions (NG)'!$C$3:$E$3))/10^9,0)</f>
        <v>0.80693926685714223</v>
      </c>
      <c r="U586" s="105">
        <f>IF($G$421&gt;0,'Assumptions (NG)'!AJ$11*Model!$G$421*('Assumptions (NG)'!$F$15*AVERAGE('Assumptions (NG)'!$C$2:$E$2)+'Assumptions (NG)'!$F$16*AVERAGE('Assumptions (NG)'!$C$3:$E$3))/10^9,0)</f>
        <v>0.80830696052978146</v>
      </c>
      <c r="V586" s="105">
        <f>IF($G$421&gt;0,'Assumptions (NG)'!AK$11*Model!$G$421*('Assumptions (NG)'!$F$15*AVERAGE('Assumptions (NG)'!$C$2:$E$2)+'Assumptions (NG)'!$F$16*AVERAGE('Assumptions (NG)'!$C$3:$E$3))/10^9,0)</f>
        <v>0.40346963342857112</v>
      </c>
      <c r="W586" s="105"/>
      <c r="X586" s="105"/>
      <c r="Y586" s="105"/>
      <c r="Z586" s="105"/>
      <c r="AA586" s="105"/>
      <c r="AB586" s="105"/>
      <c r="AC586" s="105"/>
      <c r="AD586" s="105"/>
      <c r="AE586" s="105"/>
      <c r="AF586" s="105"/>
      <c r="AG586" s="105"/>
      <c r="AO586" s="105"/>
      <c r="AP586" s="105"/>
      <c r="AQ586" s="105"/>
      <c r="AR586" s="105"/>
      <c r="AS586" s="105"/>
      <c r="AT586" s="105"/>
      <c r="AU586" s="105"/>
      <c r="AV586" s="105"/>
      <c r="AW586" s="105"/>
      <c r="AX586" s="105"/>
      <c r="AY586" s="105"/>
      <c r="AZ586" s="105"/>
      <c r="BA586" s="105"/>
    </row>
    <row r="587" spans="1:77" ht="15.75" hidden="1" customHeight="1" outlineLevel="1">
      <c r="A587" s="379"/>
      <c r="B587" s="99"/>
      <c r="C587" s="105"/>
      <c r="D587" s="105"/>
      <c r="E587" s="105"/>
      <c r="F587" s="105"/>
      <c r="G587" s="105"/>
      <c r="H587" s="105">
        <f>IF($H$421&gt;0,'Assumptions (NG)'!V$11*Model!$H$421*('Assumptions (NG)'!$G$15*AVERAGE('Assumptions (NG)'!$D$2:$F$2)+'Assumptions (NG)'!$G$16*AVERAGE('Assumptions (NG)'!$D$3:$F$3))/10^9,0)</f>
        <v>0.49339749892818718</v>
      </c>
      <c r="I587" s="105">
        <f>IF($H$421&gt;0,'Assumptions (NG)'!W$11*Model!$H$421*('Assumptions (NG)'!$G$15*AVERAGE('Assumptions (NG)'!$D$2:$F$2)+'Assumptions (NG)'!$G$16*AVERAGE('Assumptions (NG)'!$D$3:$F$3))/10^9,0)</f>
        <v>0.93745524796355562</v>
      </c>
      <c r="J587" s="105">
        <f>IF($H$421&gt;0,'Assumptions (NG)'!X$11*Model!$H$421*('Assumptions (NG)'!$G$15*AVERAGE('Assumptions (NG)'!$D$2:$F$2)+'Assumptions (NG)'!$G$16*AVERAGE('Assumptions (NG)'!$D$3:$F$3))/10^9,0)</f>
        <v>0.84370972316720005</v>
      </c>
      <c r="K587" s="105">
        <f>IF($H$421&gt;0,'Assumptions (NG)'!Y$11*Model!$H$421*('Assumptions (NG)'!$G$15*AVERAGE('Assumptions (NG)'!$D$2:$F$2)+'Assumptions (NG)'!$G$16*AVERAGE('Assumptions (NG)'!$D$3:$F$3))/10^9,0)</f>
        <v>0.75983214834940827</v>
      </c>
      <c r="L587" s="105">
        <f>IF($H$421&gt;0,'Assumptions (NG)'!Z$11*Model!$H$421*('Assumptions (NG)'!$G$15*AVERAGE('Assumptions (NG)'!$D$2:$F$2)+'Assumptions (NG)'!$G$16*AVERAGE('Assumptions (NG)'!$D$3:$F$3))/10^9,0)</f>
        <v>0.68384893351446752</v>
      </c>
      <c r="M587" s="105">
        <f>IF($H$421&gt;0,'Assumptions (NG)'!AA$11*Model!$H$421*('Assumptions (NG)'!$G$15*AVERAGE('Assumptions (NG)'!$D$2:$F$2)+'Assumptions (NG)'!$G$16*AVERAGE('Assumptions (NG)'!$D$3:$F$3))/10^9,0)</f>
        <v>0.61477328366452122</v>
      </c>
      <c r="N587" s="105">
        <f>IF($H$421&gt;0,'Assumptions (NG)'!AB$11*Model!$H$421*('Assumptions (NG)'!$G$15*AVERAGE('Assumptions (NG)'!$D$2:$F$2)+'Assumptions (NG)'!$G$16*AVERAGE('Assumptions (NG)'!$D$3:$F$3))/10^9,0)</f>
        <v>0.5822090487352608</v>
      </c>
      <c r="O587" s="105">
        <f>IF($H$421&gt;0,'Assumptions (NG)'!AC$11*Model!$H$421*('Assumptions (NG)'!$G$15*AVERAGE('Assumptions (NG)'!$D$2:$F$2)+'Assumptions (NG)'!$G$16*AVERAGE('Assumptions (NG)'!$D$3:$F$3))/10^9,0)</f>
        <v>0.5822090487352608</v>
      </c>
      <c r="P587" s="105">
        <f>IF($H$421&gt;0,'Assumptions (NG)'!AD$11*Model!$H$421*('Assumptions (NG)'!$G$15*AVERAGE('Assumptions (NG)'!$D$2:$F$2)+'Assumptions (NG)'!$G$16*AVERAGE('Assumptions (NG)'!$D$3:$F$3))/10^9,0)</f>
        <v>0.58319584373311717</v>
      </c>
      <c r="Q587" s="105">
        <f>IF($H$421&gt;0,'Assumptions (NG)'!AE$11*Model!$H$421*('Assumptions (NG)'!$G$15*AVERAGE('Assumptions (NG)'!$D$2:$F$2)+'Assumptions (NG)'!$G$16*AVERAGE('Assumptions (NG)'!$D$3:$F$3))/10^9,0)</f>
        <v>0.5822090487352608</v>
      </c>
      <c r="R587" s="105">
        <f>IF($H$421&gt;0,'Assumptions (NG)'!AF$11*Model!$H$421*('Assumptions (NG)'!$G$15*AVERAGE('Assumptions (NG)'!$D$2:$F$2)+'Assumptions (NG)'!$G$16*AVERAGE('Assumptions (NG)'!$D$3:$F$3))/10^9,0)</f>
        <v>0.58319584373311717</v>
      </c>
      <c r="S587" s="105">
        <f>IF($H$421&gt;0,'Assumptions (NG)'!AG$11*Model!$H$421*('Assumptions (NG)'!$G$15*AVERAGE('Assumptions (NG)'!$D$2:$F$2)+'Assumptions (NG)'!$G$16*AVERAGE('Assumptions (NG)'!$D$3:$F$3))/10^9,0)</f>
        <v>0.5822090487352608</v>
      </c>
      <c r="T587" s="105">
        <f>IF($H$421&gt;0,'Assumptions (NG)'!AH$11*Model!$H$421*('Assumptions (NG)'!$G$15*AVERAGE('Assumptions (NG)'!$D$2:$F$2)+'Assumptions (NG)'!$G$16*AVERAGE('Assumptions (NG)'!$D$3:$F$3))/10^9,0)</f>
        <v>0.58319584373311717</v>
      </c>
      <c r="U587" s="105">
        <f>IF($H$421&gt;0,'Assumptions (NG)'!AI$11*Model!$H$421*('Assumptions (NG)'!$G$15*AVERAGE('Assumptions (NG)'!$D$2:$F$2)+'Assumptions (NG)'!$G$16*AVERAGE('Assumptions (NG)'!$D$3:$F$3))/10^9,0)</f>
        <v>0.5822090487352608</v>
      </c>
      <c r="V587" s="105">
        <f>IF($H$421&gt;0,'Assumptions (NG)'!AJ$11*Model!$H$421*('Assumptions (NG)'!$G$15*AVERAGE('Assumptions (NG)'!$D$2:$F$2)+'Assumptions (NG)'!$G$16*AVERAGE('Assumptions (NG)'!$D$3:$F$3))/10^9,0)</f>
        <v>0.58319584373311717</v>
      </c>
      <c r="W587" s="105">
        <f>IF($H$421&gt;0,'Assumptions (NG)'!AK$11*Model!$H$421*('Assumptions (NG)'!$G$15*AVERAGE('Assumptions (NG)'!$D$2:$F$2)+'Assumptions (NG)'!$G$16*AVERAGE('Assumptions (NG)'!$D$3:$F$3))/10^9,0)</f>
        <v>0.2911045243676304</v>
      </c>
      <c r="X587" s="105"/>
      <c r="Y587" s="105"/>
      <c r="Z587" s="105"/>
      <c r="AA587" s="105"/>
      <c r="AB587" s="105"/>
      <c r="AC587" s="105"/>
      <c r="AD587" s="105"/>
      <c r="AE587" s="105"/>
      <c r="AF587" s="105"/>
      <c r="AG587" s="105"/>
      <c r="AO587" s="105"/>
      <c r="AP587" s="105"/>
      <c r="AQ587" s="105"/>
      <c r="AR587" s="105"/>
      <c r="AS587" s="105"/>
      <c r="AT587" s="105"/>
      <c r="AU587" s="105"/>
      <c r="AV587" s="105"/>
      <c r="AW587" s="105"/>
      <c r="AX587" s="105"/>
      <c r="AY587" s="105"/>
      <c r="AZ587" s="105"/>
      <c r="BA587" s="105"/>
    </row>
    <row r="588" spans="1:77" ht="15.75" hidden="1" customHeight="1" outlineLevel="1">
      <c r="A588" s="379"/>
      <c r="B588" s="99"/>
      <c r="C588" s="105"/>
      <c r="D588" s="105"/>
      <c r="E588" s="105"/>
      <c r="F588" s="105"/>
      <c r="G588" s="105"/>
      <c r="H588" s="105"/>
      <c r="I588" s="105">
        <f>IF($I$421&gt;0,'Assumptions (NG)'!V$11*Model!$I$421*('Assumptions (NG)'!$H$15*AVERAGE('Assumptions (NG)'!$E$2:$G$2)+'Assumptions (NG)'!$H$16*AVERAGE('Assumptions (NG)'!$E$3:$G$3))/10^9,0)</f>
        <v>0.29169802211515689</v>
      </c>
      <c r="J588" s="105">
        <f>IF($I$421&gt;0,'Assumptions (NG)'!W$11*Model!$I$421*('Assumptions (NG)'!$H$15*AVERAGE('Assumptions (NG)'!$E$2:$G$2)+'Assumptions (NG)'!$H$16*AVERAGE('Assumptions (NG)'!$E$3:$G$3))/10^9,0)</f>
        <v>0.55422624201879811</v>
      </c>
      <c r="K588" s="105">
        <f>IF($I$421&gt;0,'Assumptions (NG)'!X$11*Model!$I$421*('Assumptions (NG)'!$H$15*AVERAGE('Assumptions (NG)'!$E$2:$G$2)+'Assumptions (NG)'!$H$16*AVERAGE('Assumptions (NG)'!$E$3:$G$3))/10^9,0)</f>
        <v>0.49880361781691829</v>
      </c>
      <c r="L588" s="105">
        <f>IF($I$421&gt;0,'Assumptions (NG)'!Y$11*Model!$I$421*('Assumptions (NG)'!$H$15*AVERAGE('Assumptions (NG)'!$E$2:$G$2)+'Assumptions (NG)'!$H$16*AVERAGE('Assumptions (NG)'!$E$3:$G$3))/10^9,0)</f>
        <v>0.44921495405734158</v>
      </c>
      <c r="M588" s="105">
        <f>IF($I$421&gt;0,'Assumptions (NG)'!Z$11*Model!$I$421*('Assumptions (NG)'!$H$15*AVERAGE('Assumptions (NG)'!$E$2:$G$2)+'Assumptions (NG)'!$H$16*AVERAGE('Assumptions (NG)'!$E$3:$G$3))/10^9,0)</f>
        <v>0.40429345865160737</v>
      </c>
      <c r="N588" s="105">
        <f>IF($I$421&gt;0,'Assumptions (NG)'!AA$11*Model!$I$421*('Assumptions (NG)'!$H$15*AVERAGE('Assumptions (NG)'!$E$2:$G$2)+'Assumptions (NG)'!$H$16*AVERAGE('Assumptions (NG)'!$E$3:$G$3))/10^9,0)</f>
        <v>0.36345573555548549</v>
      </c>
      <c r="O588" s="105">
        <f>IF($I$421&gt;0,'Assumptions (NG)'!AB$11*Model!$I$421*('Assumptions (NG)'!$H$15*AVERAGE('Assumptions (NG)'!$E$2:$G$2)+'Assumptions (NG)'!$H$16*AVERAGE('Assumptions (NG)'!$E$3:$G$3))/10^9,0)</f>
        <v>0.34420366609588504</v>
      </c>
      <c r="P588" s="105">
        <f>IF($I$421&gt;0,'Assumptions (NG)'!AC$11*Model!$I$421*('Assumptions (NG)'!$H$15*AVERAGE('Assumptions (NG)'!$E$2:$G$2)+'Assumptions (NG)'!$H$16*AVERAGE('Assumptions (NG)'!$E$3:$G$3))/10^9,0)</f>
        <v>0.34420366609588504</v>
      </c>
      <c r="Q588" s="105">
        <f>IF($I$421&gt;0,'Assumptions (NG)'!AD$11*Model!$I$421*('Assumptions (NG)'!$H$15*AVERAGE('Assumptions (NG)'!$E$2:$G$2)+'Assumptions (NG)'!$H$16*AVERAGE('Assumptions (NG)'!$E$3:$G$3))/10^9,0)</f>
        <v>0.34478706214011545</v>
      </c>
      <c r="R588" s="105">
        <f>IF($I$421&gt;0,'Assumptions (NG)'!AE$11*Model!$I$421*('Assumptions (NG)'!$H$15*AVERAGE('Assumptions (NG)'!$E$2:$G$2)+'Assumptions (NG)'!$H$16*AVERAGE('Assumptions (NG)'!$E$3:$G$3))/10^9,0)</f>
        <v>0.34420366609588504</v>
      </c>
      <c r="S588" s="105">
        <f>IF($I$421&gt;0,'Assumptions (NG)'!AF$11*Model!$I$421*('Assumptions (NG)'!$H$15*AVERAGE('Assumptions (NG)'!$E$2:$G$2)+'Assumptions (NG)'!$H$16*AVERAGE('Assumptions (NG)'!$E$3:$G$3))/10^9,0)</f>
        <v>0.34478706214011545</v>
      </c>
      <c r="T588" s="105">
        <f>IF($I$421&gt;0,'Assumptions (NG)'!AG$11*Model!$I$421*('Assumptions (NG)'!$H$15*AVERAGE('Assumptions (NG)'!$E$2:$G$2)+'Assumptions (NG)'!$H$16*AVERAGE('Assumptions (NG)'!$E$3:$G$3))/10^9,0)</f>
        <v>0.34420366609588504</v>
      </c>
      <c r="U588" s="105">
        <f>IF($I$421&gt;0,'Assumptions (NG)'!AH$11*Model!$I$421*('Assumptions (NG)'!$H$15*AVERAGE('Assumptions (NG)'!$E$2:$G$2)+'Assumptions (NG)'!$H$16*AVERAGE('Assumptions (NG)'!$E$3:$G$3))/10^9,0)</f>
        <v>0.34478706214011545</v>
      </c>
      <c r="V588" s="105">
        <f>IF($I$421&gt;0,'Assumptions (NG)'!AI$11*Model!$I$421*('Assumptions (NG)'!$H$15*AVERAGE('Assumptions (NG)'!$E$2:$G$2)+'Assumptions (NG)'!$H$16*AVERAGE('Assumptions (NG)'!$E$3:$G$3))/10^9,0)</f>
        <v>0.34420366609588504</v>
      </c>
      <c r="W588" s="105">
        <f>IF($I$421&gt;0,'Assumptions (NG)'!AJ$11*Model!$I$421*('Assumptions (NG)'!$H$15*AVERAGE('Assumptions (NG)'!$E$2:$G$2)+'Assumptions (NG)'!$H$16*AVERAGE('Assumptions (NG)'!$E$3:$G$3))/10^9,0)</f>
        <v>0.34478706214011545</v>
      </c>
      <c r="X588" s="105">
        <f>IF($I$421&gt;0,'Assumptions (NG)'!AK$11*Model!$I$421*('Assumptions (NG)'!$H$15*AVERAGE('Assumptions (NG)'!$E$2:$G$2)+'Assumptions (NG)'!$H$16*AVERAGE('Assumptions (NG)'!$E$3:$G$3))/10^9,0)</f>
        <v>0.17210183304794252</v>
      </c>
      <c r="Y588" s="105"/>
      <c r="Z588" s="105"/>
      <c r="AA588" s="105"/>
      <c r="AB588" s="105"/>
      <c r="AC588" s="105"/>
      <c r="AD588" s="105"/>
      <c r="AE588" s="105"/>
      <c r="AF588" s="105"/>
      <c r="AG588" s="105"/>
      <c r="AO588" s="105"/>
      <c r="AP588" s="105"/>
      <c r="AQ588" s="105"/>
      <c r="AR588" s="105"/>
      <c r="AS588" s="105"/>
      <c r="AT588" s="105"/>
      <c r="AU588" s="105"/>
      <c r="AV588" s="105"/>
      <c r="AW588" s="105"/>
      <c r="AX588" s="105"/>
      <c r="AY588" s="105"/>
      <c r="AZ588" s="105"/>
      <c r="BA588" s="105"/>
    </row>
    <row r="589" spans="1:77" ht="15.75" hidden="1" customHeight="1" outlineLevel="1">
      <c r="A589" s="379"/>
      <c r="B589" s="99"/>
      <c r="C589" s="105"/>
      <c r="D589" s="105"/>
      <c r="E589" s="105"/>
      <c r="F589" s="105"/>
      <c r="G589" s="105"/>
      <c r="H589" s="105"/>
      <c r="I589" s="105"/>
      <c r="J589" s="105">
        <f>IF($J$421&gt;0,'Assumptions (NG)'!V$11*Model!$J$421*('Assumptions (NG)'!$I$15*AVERAGE('Assumptions (NG)'!$F$2:$H$2)+'Assumptions (NG)'!$I$16*AVERAGE('Assumptions (NG)'!$F$3:$H$3))/10^9,0)</f>
        <v>0.22159699838682465</v>
      </c>
      <c r="K589" s="105">
        <f>IF($J$421&gt;0,'Assumptions (NG)'!W$11*Model!$J$421*('Assumptions (NG)'!$I$15*AVERAGE('Assumptions (NG)'!$F$2:$H$2)+'Assumptions (NG)'!$I$16*AVERAGE('Assumptions (NG)'!$F$3:$H$3))/10^9,0)</f>
        <v>0.42103429693496686</v>
      </c>
      <c r="L589" s="105">
        <f>IF($J$421&gt;0,'Assumptions (NG)'!X$11*Model!$J$421*('Assumptions (NG)'!$I$15*AVERAGE('Assumptions (NG)'!$F$2:$H$2)+'Assumptions (NG)'!$I$16*AVERAGE('Assumptions (NG)'!$F$3:$H$3))/10^9,0)</f>
        <v>0.37893086724147018</v>
      </c>
      <c r="M589" s="105">
        <f>IF($J$421&gt;0,'Assumptions (NG)'!Y$11*Model!$J$421*('Assumptions (NG)'!$I$15*AVERAGE('Assumptions (NG)'!$F$2:$H$2)+'Assumptions (NG)'!$I$16*AVERAGE('Assumptions (NG)'!$F$3:$H$3))/10^9,0)</f>
        <v>0.34125937751570995</v>
      </c>
      <c r="N589" s="105">
        <f>IF($J$421&gt;0,'Assumptions (NG)'!Z$11*Model!$J$421*('Assumptions (NG)'!$I$15*AVERAGE('Assumptions (NG)'!$F$2:$H$2)+'Assumptions (NG)'!$I$16*AVERAGE('Assumptions (NG)'!$F$3:$H$3))/10^9,0)</f>
        <v>0.30713343976413893</v>
      </c>
      <c r="O589" s="105">
        <f>IF($J$421&gt;0,'Assumptions (NG)'!AA$11*Model!$J$421*('Assumptions (NG)'!$I$15*AVERAGE('Assumptions (NG)'!$F$2:$H$2)+'Assumptions (NG)'!$I$16*AVERAGE('Assumptions (NG)'!$F$3:$H$3))/10^9,0)</f>
        <v>0.2761098599899835</v>
      </c>
      <c r="P589" s="105">
        <f>IF($J$421&gt;0,'Assumptions (NG)'!AB$11*Model!$J$421*('Assumptions (NG)'!$I$15*AVERAGE('Assumptions (NG)'!$F$2:$H$2)+'Assumptions (NG)'!$I$16*AVERAGE('Assumptions (NG)'!$F$3:$H$3))/10^9,0)</f>
        <v>0.26148445809645304</v>
      </c>
      <c r="Q589" s="105">
        <f>IF($J$421&gt;0,'Assumptions (NG)'!AC$11*Model!$J$421*('Assumptions (NG)'!$I$15*AVERAGE('Assumptions (NG)'!$F$2:$H$2)+'Assumptions (NG)'!$I$16*AVERAGE('Assumptions (NG)'!$F$3:$H$3))/10^9,0)</f>
        <v>0.26148445809645304</v>
      </c>
      <c r="R589" s="105">
        <f>IF($J$421&gt;0,'Assumptions (NG)'!AD$11*Model!$J$421*('Assumptions (NG)'!$I$15*AVERAGE('Assumptions (NG)'!$F$2:$H$2)+'Assumptions (NG)'!$I$16*AVERAGE('Assumptions (NG)'!$F$3:$H$3))/10^9,0)</f>
        <v>0.26192765209322671</v>
      </c>
      <c r="S589" s="105">
        <f>IF($J$421&gt;0,'Assumptions (NG)'!AE$11*Model!$J$421*('Assumptions (NG)'!$I$15*AVERAGE('Assumptions (NG)'!$F$2:$H$2)+'Assumptions (NG)'!$I$16*AVERAGE('Assumptions (NG)'!$F$3:$H$3))/10^9,0)</f>
        <v>0.26148445809645304</v>
      </c>
      <c r="T589" s="105">
        <f>IF($J$421&gt;0,'Assumptions (NG)'!AF$11*Model!$J$421*('Assumptions (NG)'!$I$15*AVERAGE('Assumptions (NG)'!$F$2:$H$2)+'Assumptions (NG)'!$I$16*AVERAGE('Assumptions (NG)'!$F$3:$H$3))/10^9,0)</f>
        <v>0.26192765209322671</v>
      </c>
      <c r="U589" s="105">
        <f>IF($J$421&gt;0,'Assumptions (NG)'!AG$11*Model!$J$421*('Assumptions (NG)'!$I$15*AVERAGE('Assumptions (NG)'!$F$2:$H$2)+'Assumptions (NG)'!$I$16*AVERAGE('Assumptions (NG)'!$F$3:$H$3))/10^9,0)</f>
        <v>0.26148445809645304</v>
      </c>
      <c r="V589" s="105">
        <f>IF($J$421&gt;0,'Assumptions (NG)'!AH$11*Model!$J$421*('Assumptions (NG)'!$I$15*AVERAGE('Assumptions (NG)'!$F$2:$H$2)+'Assumptions (NG)'!$I$16*AVERAGE('Assumptions (NG)'!$F$3:$H$3))/10^9,0)</f>
        <v>0.26192765209322671</v>
      </c>
      <c r="W589" s="105">
        <f>IF($J$421&gt;0,'Assumptions (NG)'!AI$11*Model!$J$421*('Assumptions (NG)'!$I$15*AVERAGE('Assumptions (NG)'!$F$2:$H$2)+'Assumptions (NG)'!$I$16*AVERAGE('Assumptions (NG)'!$F$3:$H$3))/10^9,0)</f>
        <v>0.26148445809645304</v>
      </c>
      <c r="X589" s="105">
        <f>IF($J$421&gt;0,'Assumptions (NG)'!AJ$11*Model!$J$421*('Assumptions (NG)'!$I$15*AVERAGE('Assumptions (NG)'!$F$2:$H$2)+'Assumptions (NG)'!$I$16*AVERAGE('Assumptions (NG)'!$F$3:$H$3))/10^9,0)</f>
        <v>0.26192765209322671</v>
      </c>
      <c r="Y589" s="105">
        <f>IF($J$421&gt;0,'Assumptions (NG)'!AK$11*Model!$J$421*('Assumptions (NG)'!$I$15*AVERAGE('Assumptions (NG)'!$F$2:$H$2)+'Assumptions (NG)'!$I$16*AVERAGE('Assumptions (NG)'!$F$3:$H$3))/10^9,0)</f>
        <v>0.13074222904822652</v>
      </c>
      <c r="Z589" s="105"/>
      <c r="AA589" s="105"/>
      <c r="AB589" s="105"/>
      <c r="AC589" s="105"/>
      <c r="AD589" s="105"/>
      <c r="AE589" s="105"/>
      <c r="AF589" s="105"/>
      <c r="AG589" s="105"/>
      <c r="AH589" s="105"/>
      <c r="AO589" s="105"/>
      <c r="AP589" s="105"/>
      <c r="AQ589" s="105"/>
      <c r="AR589" s="105"/>
      <c r="AS589" s="105"/>
      <c r="AT589" s="105"/>
      <c r="AU589" s="105"/>
      <c r="AV589" s="105"/>
      <c r="AW589" s="105"/>
      <c r="AX589" s="105"/>
      <c r="AY589" s="105"/>
      <c r="AZ589" s="105"/>
      <c r="BA589" s="105"/>
    </row>
    <row r="590" spans="1:77" ht="15.75" hidden="1" customHeight="1" outlineLevel="1">
      <c r="A590" s="379"/>
      <c r="B590" s="99"/>
      <c r="C590" s="105"/>
      <c r="D590" s="105"/>
      <c r="E590" s="105"/>
      <c r="F590" s="105"/>
      <c r="G590" s="105"/>
      <c r="H590" s="105"/>
      <c r="I590" s="105"/>
      <c r="J590" s="105"/>
      <c r="K590" s="105">
        <f>IF($K$421&gt;0,'Assumptions (NG)'!V$11*Model!$K$421*('Assumptions (NG)'!$J$15*AVERAGE('Assumptions (NG)'!$G$2:$I$2)+'Assumptions (NG)'!$J$16*AVERAGE('Assumptions (NG)'!$G$3:$I$3))/10^9,0)</f>
        <v>0.26174377530191817</v>
      </c>
      <c r="L590" s="105">
        <f>IF($K$421&gt;0,'Assumptions (NG)'!W$11*Model!$K$421*('Assumptions (NG)'!$J$15*AVERAGE('Assumptions (NG)'!$G$2:$I$2)+'Assumptions (NG)'!$J$16*AVERAGE('Assumptions (NG)'!$G$3:$I$3))/10^9,0)</f>
        <v>0.49731317307364453</v>
      </c>
      <c r="M590" s="105">
        <f>IF($K$421&gt;0,'Assumptions (NG)'!X$11*Model!$K$421*('Assumptions (NG)'!$J$15*AVERAGE('Assumptions (NG)'!$G$2:$I$2)+'Assumptions (NG)'!$J$16*AVERAGE('Assumptions (NG)'!$G$3:$I$3))/10^9,0)</f>
        <v>0.44758185576628018</v>
      </c>
      <c r="N590" s="105">
        <f>IF($K$421&gt;0,'Assumptions (NG)'!Y$11*Model!$K$421*('Assumptions (NG)'!$J$15*AVERAGE('Assumptions (NG)'!$G$2:$I$2)+'Assumptions (NG)'!$J$16*AVERAGE('Assumptions (NG)'!$G$3:$I$3))/10^9,0)</f>
        <v>0.40308541396495401</v>
      </c>
      <c r="O590" s="105">
        <f>IF($K$421&gt;0,'Assumptions (NG)'!Z$11*Model!$K$421*('Assumptions (NG)'!$J$15*AVERAGE('Assumptions (NG)'!$G$2:$I$2)+'Assumptions (NG)'!$J$16*AVERAGE('Assumptions (NG)'!$G$3:$I$3))/10^9,0)</f>
        <v>0.36277687256845864</v>
      </c>
      <c r="P590" s="105">
        <f>IF($K$421&gt;0,'Assumptions (NG)'!AA$11*Model!$K$421*('Assumptions (NG)'!$J$15*AVERAGE('Assumptions (NG)'!$G$2:$I$2)+'Assumptions (NG)'!$J$16*AVERAGE('Assumptions (NG)'!$G$3:$I$3))/10^9,0)</f>
        <v>0.32613274402619002</v>
      </c>
      <c r="Q590" s="105">
        <f>IF($K$421&gt;0,'Assumptions (NG)'!AB$11*Model!$K$421*('Assumptions (NG)'!$J$15*AVERAGE('Assumptions (NG)'!$G$2:$I$2)+'Assumptions (NG)'!$J$16*AVERAGE('Assumptions (NG)'!$G$3:$I$3))/10^9,0)</f>
        <v>0.30885765485626338</v>
      </c>
      <c r="R590" s="105">
        <f>IF($K$421&gt;0,'Assumptions (NG)'!AC$11*Model!$K$421*('Assumptions (NG)'!$J$15*AVERAGE('Assumptions (NG)'!$G$2:$I$2)+'Assumptions (NG)'!$J$16*AVERAGE('Assumptions (NG)'!$G$3:$I$3))/10^9,0)</f>
        <v>0.30885765485626338</v>
      </c>
      <c r="S590" s="105">
        <f>IF($K$421&gt;0,'Assumptions (NG)'!AD$11*Model!$K$421*('Assumptions (NG)'!$J$15*AVERAGE('Assumptions (NG)'!$G$2:$I$2)+'Assumptions (NG)'!$J$16*AVERAGE('Assumptions (NG)'!$G$3:$I$3))/10^9,0)</f>
        <v>0.30938114240686732</v>
      </c>
      <c r="T590" s="105">
        <f>IF($K$421&gt;0,'Assumptions (NG)'!AE$11*Model!$K$421*('Assumptions (NG)'!$J$15*AVERAGE('Assumptions (NG)'!$G$2:$I$2)+'Assumptions (NG)'!$J$16*AVERAGE('Assumptions (NG)'!$G$3:$I$3))/10^9,0)</f>
        <v>0.30885765485626338</v>
      </c>
      <c r="U590" s="105">
        <f>IF($K$421&gt;0,'Assumptions (NG)'!AF$11*Model!$K$421*('Assumptions (NG)'!$J$15*AVERAGE('Assumptions (NG)'!$G$2:$I$2)+'Assumptions (NG)'!$J$16*AVERAGE('Assumptions (NG)'!$G$3:$I$3))/10^9,0)</f>
        <v>0.30938114240686732</v>
      </c>
      <c r="V590" s="105">
        <f>IF($K$421&gt;0,'Assumptions (NG)'!AG$11*Model!$K$421*('Assumptions (NG)'!$J$15*AVERAGE('Assumptions (NG)'!$G$2:$I$2)+'Assumptions (NG)'!$J$16*AVERAGE('Assumptions (NG)'!$G$3:$I$3))/10^9,0)</f>
        <v>0.30885765485626338</v>
      </c>
      <c r="W590" s="105">
        <f>IF($K$421&gt;0,'Assumptions (NG)'!AH$11*Model!$K$421*('Assumptions (NG)'!$J$15*AVERAGE('Assumptions (NG)'!$G$2:$I$2)+'Assumptions (NG)'!$J$16*AVERAGE('Assumptions (NG)'!$G$3:$I$3))/10^9,0)</f>
        <v>0.30938114240686732</v>
      </c>
      <c r="X590" s="105">
        <f>IF($K$421&gt;0,'Assumptions (NG)'!AI$11*Model!$K$421*('Assumptions (NG)'!$J$15*AVERAGE('Assumptions (NG)'!$G$2:$I$2)+'Assumptions (NG)'!$J$16*AVERAGE('Assumptions (NG)'!$G$3:$I$3))/10^9,0)</f>
        <v>0.30885765485626338</v>
      </c>
      <c r="Y590" s="105">
        <f>IF($K$421&gt;0,'Assumptions (NG)'!AJ$11*Model!$K$421*('Assumptions (NG)'!$J$15*AVERAGE('Assumptions (NG)'!$G$2:$I$2)+'Assumptions (NG)'!$J$16*AVERAGE('Assumptions (NG)'!$G$3:$I$3))/10^9,0)</f>
        <v>0.30938114240686732</v>
      </c>
      <c r="Z590" s="105">
        <f>IF($K$421&gt;0,'Assumptions (NG)'!AK$11*Model!$K$421*('Assumptions (NG)'!$J$15*AVERAGE('Assumptions (NG)'!$G$2:$I$2)+'Assumptions (NG)'!$J$16*AVERAGE('Assumptions (NG)'!$G$3:$I$3))/10^9,0)</f>
        <v>0.15442882742813169</v>
      </c>
      <c r="AA590" s="105"/>
      <c r="AB590" s="105"/>
      <c r="AC590" s="105"/>
      <c r="AD590" s="105"/>
      <c r="AE590" s="105"/>
      <c r="AF590" s="105"/>
      <c r="AG590" s="105"/>
      <c r="AH590" s="105"/>
      <c r="AI590" s="105"/>
      <c r="AO590" s="105"/>
      <c r="AP590" s="105"/>
      <c r="AQ590" s="105"/>
      <c r="AR590" s="105"/>
      <c r="AS590" s="105"/>
      <c r="AT590" s="105"/>
      <c r="AU590" s="105"/>
      <c r="AV590" s="105"/>
      <c r="AW590" s="105"/>
      <c r="AX590" s="105"/>
      <c r="AY590" s="105"/>
      <c r="AZ590" s="105"/>
      <c r="BA590" s="105"/>
    </row>
    <row r="591" spans="1:77" ht="15.75" hidden="1" customHeight="1" outlineLevel="1">
      <c r="A591" s="379"/>
      <c r="B591" s="99"/>
      <c r="C591" s="105"/>
      <c r="D591" s="105"/>
      <c r="E591" s="105"/>
      <c r="F591" s="105"/>
      <c r="G591" s="105"/>
      <c r="H591" s="105"/>
      <c r="I591" s="105"/>
      <c r="J591" s="105"/>
      <c r="K591" s="105"/>
      <c r="L591" s="105">
        <f>IF($L$421&gt;0,'Assumptions (NG)'!V$11*Model!$L$421*('Assumptions (NG)'!$K$15*AVERAGE('Assumptions (NG)'!$H$2:$J$2)+'Assumptions (NG)'!$K$16*AVERAGE('Assumptions (NG)'!$H$3:$J$3))/10^9,0)</f>
        <v>0.3277512978285691</v>
      </c>
      <c r="M591" s="105">
        <f>IF($L$421&gt;0,'Assumptions (NG)'!W$11*Model!$L$421*('Assumptions (NG)'!$K$15*AVERAGE('Assumptions (NG)'!$H$2:$J$2)+'Assumptions (NG)'!$K$16*AVERAGE('Assumptions (NG)'!$H$3:$J$3))/10^9,0)</f>
        <v>0.62272746587428141</v>
      </c>
      <c r="N591" s="105">
        <f>IF($L$421&gt;0,'Assumptions (NG)'!X$11*Model!$L$421*('Assumptions (NG)'!$K$15*AVERAGE('Assumptions (NG)'!$H$2:$J$2)+'Assumptions (NG)'!$K$16*AVERAGE('Assumptions (NG)'!$H$3:$J$3))/10^9,0)</f>
        <v>0.56045471928685331</v>
      </c>
      <c r="O591" s="105">
        <f>IF($L$421&gt;0,'Assumptions (NG)'!Y$11*Model!$L$421*('Assumptions (NG)'!$K$15*AVERAGE('Assumptions (NG)'!$H$2:$J$2)+'Assumptions (NG)'!$K$16*AVERAGE('Assumptions (NG)'!$H$3:$J$3))/10^9,0)</f>
        <v>0.50473699865599642</v>
      </c>
      <c r="P591" s="105">
        <f>IF($L$421&gt;0,'Assumptions (NG)'!Z$11*Model!$L$421*('Assumptions (NG)'!$K$15*AVERAGE('Assumptions (NG)'!$H$2:$J$2)+'Assumptions (NG)'!$K$16*AVERAGE('Assumptions (NG)'!$H$3:$J$3))/10^9,0)</f>
        <v>0.45426329879039679</v>
      </c>
      <c r="Q591" s="105">
        <f>IF($L$421&gt;0,'Assumptions (NG)'!AA$11*Model!$L$421*('Assumptions (NG)'!$K$15*AVERAGE('Assumptions (NG)'!$H$2:$J$2)+'Assumptions (NG)'!$K$16*AVERAGE('Assumptions (NG)'!$H$3:$J$3))/10^9,0)</f>
        <v>0.40837811709439714</v>
      </c>
      <c r="R591" s="105">
        <f>IF($L$421&gt;0,'Assumptions (NG)'!AB$11*Model!$L$421*('Assumptions (NG)'!$K$15*AVERAGE('Assumptions (NG)'!$H$2:$J$2)+'Assumptions (NG)'!$K$16*AVERAGE('Assumptions (NG)'!$H$3:$J$3))/10^9,0)</f>
        <v>0.38674653143771154</v>
      </c>
      <c r="S591" s="105">
        <f>IF($L$421&gt;0,'Assumptions (NG)'!AC$11*Model!$L$421*('Assumptions (NG)'!$K$15*AVERAGE('Assumptions (NG)'!$H$2:$J$2)+'Assumptions (NG)'!$K$16*AVERAGE('Assumptions (NG)'!$H$3:$J$3))/10^9,0)</f>
        <v>0.38674653143771154</v>
      </c>
      <c r="T591" s="105">
        <f>IF($L$421&gt;0,'Assumptions (NG)'!AD$11*Model!$L$421*('Assumptions (NG)'!$K$15*AVERAGE('Assumptions (NG)'!$H$2:$J$2)+'Assumptions (NG)'!$K$16*AVERAGE('Assumptions (NG)'!$H$3:$J$3))/10^9,0)</f>
        <v>0.3874020340333687</v>
      </c>
      <c r="U591" s="105">
        <f>IF($L$421&gt;0,'Assumptions (NG)'!AE$11*Model!$L$421*('Assumptions (NG)'!$K$15*AVERAGE('Assumptions (NG)'!$H$2:$J$2)+'Assumptions (NG)'!$K$16*AVERAGE('Assumptions (NG)'!$H$3:$J$3))/10^9,0)</f>
        <v>0.38674653143771154</v>
      </c>
      <c r="V591" s="105">
        <f>IF($L$421&gt;0,'Assumptions (NG)'!AF$11*Model!$L$421*('Assumptions (NG)'!$K$15*AVERAGE('Assumptions (NG)'!$H$2:$J$2)+'Assumptions (NG)'!$K$16*AVERAGE('Assumptions (NG)'!$H$3:$J$3))/10^9,0)</f>
        <v>0.3874020340333687</v>
      </c>
      <c r="W591" s="105">
        <f>IF($L$421&gt;0,'Assumptions (NG)'!AG$11*Model!$L$421*('Assumptions (NG)'!$K$15*AVERAGE('Assumptions (NG)'!$H$2:$J$2)+'Assumptions (NG)'!$K$16*AVERAGE('Assumptions (NG)'!$H$3:$J$3))/10^9,0)</f>
        <v>0.38674653143771154</v>
      </c>
      <c r="X591" s="105">
        <f>IF($L$421&gt;0,'Assumptions (NG)'!AH$11*Model!$L$421*('Assumptions (NG)'!$K$15*AVERAGE('Assumptions (NG)'!$H$2:$J$2)+'Assumptions (NG)'!$K$16*AVERAGE('Assumptions (NG)'!$H$3:$J$3))/10^9,0)</f>
        <v>0.3874020340333687</v>
      </c>
      <c r="Y591" s="105">
        <f>IF($L$421&gt;0,'Assumptions (NG)'!AI$11*Model!$L$421*('Assumptions (NG)'!$K$15*AVERAGE('Assumptions (NG)'!$H$2:$J$2)+'Assumptions (NG)'!$K$16*AVERAGE('Assumptions (NG)'!$H$3:$J$3))/10^9,0)</f>
        <v>0.38674653143771154</v>
      </c>
      <c r="Z591" s="105">
        <f>IF($L$421&gt;0,'Assumptions (NG)'!AJ$11*Model!$L$421*('Assumptions (NG)'!$K$15*AVERAGE('Assumptions (NG)'!$H$2:$J$2)+'Assumptions (NG)'!$K$16*AVERAGE('Assumptions (NG)'!$H$3:$J$3))/10^9,0)</f>
        <v>0.3874020340333687</v>
      </c>
      <c r="AA591" s="105">
        <f>IF($L$421&gt;0,'Assumptions (NG)'!AK$11*Model!$L$421*('Assumptions (NG)'!$K$15*AVERAGE('Assumptions (NG)'!$H$2:$J$2)+'Assumptions (NG)'!$K$16*AVERAGE('Assumptions (NG)'!$H$3:$J$3))/10^9,0)</f>
        <v>0.19337326571885577</v>
      </c>
      <c r="AB591" s="105"/>
      <c r="AC591" s="105"/>
      <c r="AD591" s="105"/>
      <c r="AE591" s="105"/>
      <c r="AF591" s="105"/>
      <c r="AG591" s="105"/>
      <c r="AH591" s="105"/>
      <c r="AI591" s="105"/>
      <c r="AJ591" s="105"/>
      <c r="AO591" s="105"/>
      <c r="AP591" s="105"/>
      <c r="AQ591" s="105"/>
      <c r="AR591" s="105"/>
      <c r="AS591" s="105"/>
      <c r="AT591" s="105"/>
      <c r="AU591" s="105"/>
      <c r="AV591" s="105"/>
      <c r="AW591" s="105"/>
      <c r="AX591" s="105"/>
      <c r="AY591" s="105"/>
      <c r="AZ591" s="105"/>
      <c r="BA591" s="105"/>
    </row>
    <row r="592" spans="1:77" ht="15.75" hidden="1" customHeight="1" outlineLevel="1">
      <c r="A592" s="379"/>
      <c r="B592" s="99"/>
      <c r="C592" s="105"/>
      <c r="D592" s="105"/>
      <c r="E592" s="105"/>
      <c r="F592" s="105"/>
      <c r="G592" s="105"/>
      <c r="H592" s="105"/>
      <c r="I592" s="105"/>
      <c r="J592" s="105"/>
      <c r="K592" s="105"/>
      <c r="L592" s="105"/>
      <c r="M592" s="105">
        <f>IF($M$421&gt;0,'Assumptions (NG)'!V$11*Model!$M$421*('Assumptions (NG)'!$L$15*AVERAGE('Assumptions (NG)'!$I$2:$K$2)+'Assumptions (NG)'!$L$16*AVERAGE('Assumptions (NG)'!$I$3:$K$3))/10^9,0)</f>
        <v>0.23240005952685308</v>
      </c>
      <c r="N592" s="105">
        <f>IF($M$421&gt;0,'Assumptions (NG)'!W$11*Model!$M$421*('Assumptions (NG)'!$L$15*AVERAGE('Assumptions (NG)'!$I$2:$K$2)+'Assumptions (NG)'!$L$16*AVERAGE('Assumptions (NG)'!$I$3:$K$3))/10^9,0)</f>
        <v>0.44156011310102083</v>
      </c>
      <c r="O592" s="105">
        <f>IF($M$421&gt;0,'Assumptions (NG)'!X$11*Model!$M$421*('Assumptions (NG)'!$L$15*AVERAGE('Assumptions (NG)'!$I$2:$K$2)+'Assumptions (NG)'!$L$16*AVERAGE('Assumptions (NG)'!$I$3:$K$3))/10^9,0)</f>
        <v>0.39740410179091873</v>
      </c>
      <c r="P592" s="105">
        <f>IF($M$421&gt;0,'Assumptions (NG)'!Y$11*Model!$M$421*('Assumptions (NG)'!$L$15*AVERAGE('Assumptions (NG)'!$I$2:$K$2)+'Assumptions (NG)'!$L$16*AVERAGE('Assumptions (NG)'!$I$3:$K$3))/10^9,0)</f>
        <v>0.35789609167135372</v>
      </c>
      <c r="Q592" s="105">
        <f>IF($M$421&gt;0,'Assumptions (NG)'!Z$11*Model!$M$421*('Assumptions (NG)'!$L$15*AVERAGE('Assumptions (NG)'!$I$2:$K$2)+'Assumptions (NG)'!$L$16*AVERAGE('Assumptions (NG)'!$I$3:$K$3))/10^9,0)</f>
        <v>0.32210648250421836</v>
      </c>
      <c r="R592" s="105">
        <f>IF($M$421&gt;0,'Assumptions (NG)'!AA$11*Model!$M$421*('Assumptions (NG)'!$L$15*AVERAGE('Assumptions (NG)'!$I$2:$K$2)+'Assumptions (NG)'!$L$16*AVERAGE('Assumptions (NG)'!$I$3:$K$3))/10^9,0)</f>
        <v>0.28957047417045889</v>
      </c>
      <c r="S592" s="105">
        <f>IF($M$421&gt;0,'Assumptions (NG)'!AB$11*Model!$M$421*('Assumptions (NG)'!$L$15*AVERAGE('Assumptions (NG)'!$I$2:$K$2)+'Assumptions (NG)'!$L$16*AVERAGE('Assumptions (NG)'!$I$3:$K$3))/10^9,0)</f>
        <v>0.27423207024168661</v>
      </c>
      <c r="T592" s="105">
        <f>IF($M$421&gt;0,'Assumptions (NG)'!AC$11*Model!$M$421*('Assumptions (NG)'!$L$15*AVERAGE('Assumptions (NG)'!$I$2:$K$2)+'Assumptions (NG)'!$L$16*AVERAGE('Assumptions (NG)'!$I$3:$K$3))/10^9,0)</f>
        <v>0.27423207024168661</v>
      </c>
      <c r="U592" s="105">
        <f>IF($M$421&gt;0,'Assumptions (NG)'!AD$11*Model!$M$421*('Assumptions (NG)'!$L$15*AVERAGE('Assumptions (NG)'!$I$2:$K$2)+'Assumptions (NG)'!$L$16*AVERAGE('Assumptions (NG)'!$I$3:$K$3))/10^9,0)</f>
        <v>0.27469687036074031</v>
      </c>
      <c r="V592" s="105">
        <f>IF($M$421&gt;0,'Assumptions (NG)'!AE$11*Model!$M$421*('Assumptions (NG)'!$L$15*AVERAGE('Assumptions (NG)'!$I$2:$K$2)+'Assumptions (NG)'!$L$16*AVERAGE('Assumptions (NG)'!$I$3:$K$3))/10^9,0)</f>
        <v>0.27423207024168661</v>
      </c>
      <c r="W592" s="105">
        <f>IF($M$421&gt;0,'Assumptions (NG)'!AF$11*Model!$M$421*('Assumptions (NG)'!$L$15*AVERAGE('Assumptions (NG)'!$I$2:$K$2)+'Assumptions (NG)'!$L$16*AVERAGE('Assumptions (NG)'!$I$3:$K$3))/10^9,0)</f>
        <v>0.27469687036074031</v>
      </c>
      <c r="X592" s="105">
        <f>IF($M$421&gt;0,'Assumptions (NG)'!AG$11*Model!$M$421*('Assumptions (NG)'!$L$15*AVERAGE('Assumptions (NG)'!$I$2:$K$2)+'Assumptions (NG)'!$L$16*AVERAGE('Assumptions (NG)'!$I$3:$K$3))/10^9,0)</f>
        <v>0.27423207024168661</v>
      </c>
      <c r="Y592" s="105">
        <f>IF($M$421&gt;0,'Assumptions (NG)'!AH$11*Model!$M$421*('Assumptions (NG)'!$L$15*AVERAGE('Assumptions (NG)'!$I$2:$K$2)+'Assumptions (NG)'!$L$16*AVERAGE('Assumptions (NG)'!$I$3:$K$3))/10^9,0)</f>
        <v>0.27469687036074031</v>
      </c>
      <c r="Z592" s="105">
        <f>IF($M$421&gt;0,'Assumptions (NG)'!AI$11*Model!$M$421*('Assumptions (NG)'!$L$15*AVERAGE('Assumptions (NG)'!$I$2:$K$2)+'Assumptions (NG)'!$L$16*AVERAGE('Assumptions (NG)'!$I$3:$K$3))/10^9,0)</f>
        <v>0.27423207024168661</v>
      </c>
      <c r="AA592" s="105">
        <f>IF($M$421&gt;0,'Assumptions (NG)'!AJ$11*Model!$M$421*('Assumptions (NG)'!$L$15*AVERAGE('Assumptions (NG)'!$I$2:$K$2)+'Assumptions (NG)'!$L$16*AVERAGE('Assumptions (NG)'!$I$3:$K$3))/10^9,0)</f>
        <v>0.27469687036074031</v>
      </c>
      <c r="AB592" s="105">
        <f>IF($M$421&gt;0,'Assumptions (NG)'!AK$11*Model!$M$421*('Assumptions (NG)'!$L$15*AVERAGE('Assumptions (NG)'!$I$2:$K$2)+'Assumptions (NG)'!$L$16*AVERAGE('Assumptions (NG)'!$I$3:$K$3))/10^9,0)</f>
        <v>0.1371160351208433</v>
      </c>
      <c r="AC592" s="105"/>
      <c r="AD592" s="105"/>
      <c r="AE592" s="105"/>
      <c r="AF592" s="105"/>
      <c r="AG592" s="105"/>
      <c r="AH592" s="105"/>
      <c r="AI592" s="105"/>
      <c r="AJ592" s="105"/>
      <c r="AK592" s="105"/>
      <c r="AO592" s="105"/>
      <c r="AP592" s="105"/>
      <c r="AQ592" s="105"/>
      <c r="AR592" s="105"/>
      <c r="AS592" s="105"/>
      <c r="AT592" s="105"/>
      <c r="AU592" s="105"/>
      <c r="AV592" s="105"/>
      <c r="AW592" s="105"/>
      <c r="AX592" s="105"/>
      <c r="AY592" s="105"/>
      <c r="AZ592" s="105"/>
      <c r="BA592" s="105"/>
    </row>
    <row r="593" spans="1:53" ht="15.75" hidden="1" customHeight="1" outlineLevel="1">
      <c r="A593" s="379"/>
      <c r="B593" s="99"/>
      <c r="C593" s="105"/>
      <c r="D593" s="105"/>
      <c r="E593" s="105"/>
      <c r="F593" s="105"/>
      <c r="G593" s="105"/>
      <c r="H593" s="105"/>
      <c r="I593" s="105"/>
      <c r="J593" s="105"/>
      <c r="K593" s="105"/>
      <c r="L593" s="105"/>
      <c r="M593" s="105"/>
      <c r="N593" s="91">
        <f>IF($N$421&gt;0,'Assumptions (NG)'!V$11*Model!$N$421*('Assumptions (NG)'!$M$15*AVERAGE('Assumptions (NG)'!$J$2:$L$2)+'Assumptions (NG)'!$M$16*AVERAGE('Assumptions (NG)'!$J$3:$L$3))/10^9,0)</f>
        <v>0.35838163666771478</v>
      </c>
      <c r="O593" s="91">
        <f>IF($N$421&gt;0,'Assumptions (NG)'!W$11*Model!$N$421*('Assumptions (NG)'!$M$15*AVERAGE('Assumptions (NG)'!$J$2:$L$2)+'Assumptions (NG)'!$M$16*AVERAGE('Assumptions (NG)'!$J$3:$L$3))/10^9,0)</f>
        <v>0.68092510966865805</v>
      </c>
      <c r="P593" s="91">
        <f>IF($N$421&gt;0,'Assumptions (NG)'!X$11*Model!$N$421*('Assumptions (NG)'!$M$15*AVERAGE('Assumptions (NG)'!$J$2:$L$2)+'Assumptions (NG)'!$M$16*AVERAGE('Assumptions (NG)'!$J$3:$L$3))/10^9,0)</f>
        <v>0.61283259870179219</v>
      </c>
      <c r="Q593" s="91">
        <f>IF($N$421&gt;0,'Assumptions (NG)'!Y$11*Model!$N$421*('Assumptions (NG)'!$M$15*AVERAGE('Assumptions (NG)'!$J$2:$L$2)+'Assumptions (NG)'!$M$16*AVERAGE('Assumptions (NG)'!$J$3:$L$3))/10^9,0)</f>
        <v>0.55190772046828063</v>
      </c>
      <c r="R593" s="91">
        <f>IF($N$421&gt;0,'Assumptions (NG)'!Z$11*Model!$N$421*('Assumptions (NG)'!$M$15*AVERAGE('Assumptions (NG)'!$J$2:$L$2)+'Assumptions (NG)'!$M$16*AVERAGE('Assumptions (NG)'!$J$3:$L$3))/10^9,0)</f>
        <v>0.49671694842145264</v>
      </c>
      <c r="S593" s="91">
        <f>IF($N$421&gt;0,'Assumptions (NG)'!AA$11*Model!$N$421*('Assumptions (NG)'!$M$15*AVERAGE('Assumptions (NG)'!$J$2:$L$2)+'Assumptions (NG)'!$M$16*AVERAGE('Assumptions (NG)'!$J$3:$L$3))/10^9,0)</f>
        <v>0.44654351928797259</v>
      </c>
      <c r="T593" s="91">
        <f>IF($N$421&gt;0,'Assumptions (NG)'!AB$11*Model!$N$421*('Assumptions (NG)'!$M$15*AVERAGE('Assumptions (NG)'!$J$2:$L$2)+'Assumptions (NG)'!$M$16*AVERAGE('Assumptions (NG)'!$J$3:$L$3))/10^9,0)</f>
        <v>0.42289033126790332</v>
      </c>
      <c r="U593" s="91">
        <f>IF($N$421&gt;0,'Assumptions (NG)'!AC$11*Model!$N$421*('Assumptions (NG)'!$M$15*AVERAGE('Assumptions (NG)'!$J$2:$L$2)+'Assumptions (NG)'!$M$16*AVERAGE('Assumptions (NG)'!$J$3:$L$3))/10^9,0)</f>
        <v>0.42289033126790332</v>
      </c>
      <c r="V593" s="91">
        <f>IF($N$421&gt;0,'Assumptions (NG)'!AD$11*Model!$N$421*('Assumptions (NG)'!$M$15*AVERAGE('Assumptions (NG)'!$J$2:$L$2)+'Assumptions (NG)'!$M$16*AVERAGE('Assumptions (NG)'!$J$3:$L$3))/10^9,0)</f>
        <v>0.42360709454123885</v>
      </c>
      <c r="W593" s="91">
        <f>IF($N$421&gt;0,'Assumptions (NG)'!AE$11*Model!$N$421*('Assumptions (NG)'!$M$15*AVERAGE('Assumptions (NG)'!$J$2:$L$2)+'Assumptions (NG)'!$M$16*AVERAGE('Assumptions (NG)'!$J$3:$L$3))/10^9,0)</f>
        <v>0.42289033126790332</v>
      </c>
      <c r="X593" s="91">
        <f>IF($N$421&gt;0,'Assumptions (NG)'!AF$11*Model!$N$421*('Assumptions (NG)'!$M$15*AVERAGE('Assumptions (NG)'!$J$2:$L$2)+'Assumptions (NG)'!$M$16*AVERAGE('Assumptions (NG)'!$J$3:$L$3))/10^9,0)</f>
        <v>0.42360709454123885</v>
      </c>
      <c r="Y593" s="91">
        <f>IF($N$421&gt;0,'Assumptions (NG)'!AG$11*Model!$N$421*('Assumptions (NG)'!$M$15*AVERAGE('Assumptions (NG)'!$J$2:$L$2)+'Assumptions (NG)'!$M$16*AVERAGE('Assumptions (NG)'!$J$3:$L$3))/10^9,0)</f>
        <v>0.42289033126790332</v>
      </c>
      <c r="Z593" s="91">
        <f>IF($N$421&gt;0,'Assumptions (NG)'!AH$11*Model!$N$421*('Assumptions (NG)'!$M$15*AVERAGE('Assumptions (NG)'!$J$2:$L$2)+'Assumptions (NG)'!$M$16*AVERAGE('Assumptions (NG)'!$J$3:$L$3))/10^9,0)</f>
        <v>0.42360709454123885</v>
      </c>
      <c r="AA593" s="91">
        <f>IF($N$421&gt;0,'Assumptions (NG)'!AI$11*Model!$N$421*('Assumptions (NG)'!$M$15*AVERAGE('Assumptions (NG)'!$J$2:$L$2)+'Assumptions (NG)'!$M$16*AVERAGE('Assumptions (NG)'!$J$3:$L$3))/10^9,0)</f>
        <v>0.42289033126790332</v>
      </c>
      <c r="AB593" s="91">
        <f>IF($N$421&gt;0,'Assumptions (NG)'!AJ$11*Model!$N$421*('Assumptions (NG)'!$M$15*AVERAGE('Assumptions (NG)'!$J$2:$L$2)+'Assumptions (NG)'!$M$16*AVERAGE('Assumptions (NG)'!$J$3:$L$3))/10^9,0)</f>
        <v>0.42360709454123885</v>
      </c>
      <c r="AC593" s="91">
        <f>IF($N$421&gt;0,'Assumptions (NG)'!AK$11*Model!$N$421*('Assumptions (NG)'!$M$15*AVERAGE('Assumptions (NG)'!$J$2:$L$2)+'Assumptions (NG)'!$M$16*AVERAGE('Assumptions (NG)'!$J$3:$L$3))/10^9,0)</f>
        <v>0.21144516563395166</v>
      </c>
      <c r="AD593" s="91"/>
      <c r="AE593" s="91"/>
      <c r="AF593" s="91"/>
      <c r="AG593" s="91"/>
      <c r="AH593" s="91"/>
      <c r="AI593" s="91"/>
      <c r="AJ593" s="91"/>
      <c r="AK593" s="91"/>
      <c r="AL593" s="91"/>
      <c r="AO593" s="105"/>
      <c r="AP593" s="105"/>
      <c r="AQ593" s="105"/>
      <c r="AR593" s="105"/>
      <c r="AS593" s="105"/>
      <c r="AT593" s="105"/>
      <c r="AU593" s="105"/>
      <c r="AV593" s="105"/>
      <c r="AW593" s="105"/>
      <c r="AX593" s="105"/>
      <c r="AY593" s="105"/>
      <c r="AZ593" s="105"/>
      <c r="BA593" s="105"/>
    </row>
    <row r="594" spans="1:53" ht="15.75" hidden="1" customHeight="1" outlineLevel="1">
      <c r="A594" s="379"/>
      <c r="B594" s="99"/>
      <c r="C594" s="105"/>
      <c r="D594" s="105"/>
      <c r="E594" s="105"/>
      <c r="F594" s="105"/>
      <c r="G594" s="105"/>
      <c r="H594" s="105"/>
      <c r="I594" s="105"/>
      <c r="J594" s="105"/>
      <c r="K594" s="105"/>
      <c r="L594" s="105"/>
      <c r="M594" s="105"/>
      <c r="N594" s="105"/>
      <c r="O594" s="105">
        <f>IF($O$421&gt;0,'Assumptions (NG)'!V$11*Model!$O$421*('Assumptions (NG)'!$N$15*AVERAGE('Assumptions (NG)'!$K$2:$M$2)+'Assumptions (NG)'!$N$16*AVERAGE('Assumptions (NG)'!$K$3:$M$3))/10^9,0)</f>
        <v>0.35381515507108208</v>
      </c>
      <c r="P594" s="105">
        <f>IF($O$421&gt;0,'Assumptions (NG)'!W$11*Model!$O$421*('Assumptions (NG)'!$N$15*AVERAGE('Assumptions (NG)'!$K$2:$M$2)+'Assumptions (NG)'!$N$16*AVERAGE('Assumptions (NG)'!$K$3:$M$3))/10^9,0)</f>
        <v>0.67224879463505594</v>
      </c>
      <c r="Q594" s="105">
        <f>IF($O$421&gt;0,'Assumptions (NG)'!X$11*Model!$O$421*('Assumptions (NG)'!$N$15*AVERAGE('Assumptions (NG)'!$K$2:$M$2)+'Assumptions (NG)'!$N$16*AVERAGE('Assumptions (NG)'!$K$3:$M$3))/10^9,0)</f>
        <v>0.60502391517155041</v>
      </c>
      <c r="R594" s="105">
        <f>IF($O$421&gt;0,'Assumptions (NG)'!Y$11*Model!$O$421*('Assumptions (NG)'!$N$15*AVERAGE('Assumptions (NG)'!$K$2:$M$2)+'Assumptions (NG)'!$N$16*AVERAGE('Assumptions (NG)'!$K$3:$M$3))/10^9,0)</f>
        <v>0.54487533880946637</v>
      </c>
      <c r="S594" s="105">
        <f>IF($O$421&gt;0,'Assumptions (NG)'!Z$11*Model!$O$421*('Assumptions (NG)'!$N$15*AVERAGE('Assumptions (NG)'!$K$2:$M$2)+'Assumptions (NG)'!$N$16*AVERAGE('Assumptions (NG)'!$K$3:$M$3))/10^9,0)</f>
        <v>0.49038780492851974</v>
      </c>
      <c r="T594" s="105">
        <f>IF($O$421&gt;0,'Assumptions (NG)'!AA$11*Model!$O$421*('Assumptions (NG)'!$N$15*AVERAGE('Assumptions (NG)'!$K$2:$M$2)+'Assumptions (NG)'!$N$16*AVERAGE('Assumptions (NG)'!$K$3:$M$3))/10^9,0)</f>
        <v>0.44085368321856822</v>
      </c>
      <c r="U594" s="105">
        <f>IF($O$421&gt;0,'Assumptions (NG)'!AB$11*Model!$O$421*('Assumptions (NG)'!$N$15*AVERAGE('Assumptions (NG)'!$K$2:$M$2)+'Assumptions (NG)'!$N$16*AVERAGE('Assumptions (NG)'!$K$3:$M$3))/10^9,0)</f>
        <v>0.4175018829838768</v>
      </c>
      <c r="V594" s="105">
        <f>IF($O$421&gt;0,'Assumptions (NG)'!AC$11*Model!$O$421*('Assumptions (NG)'!$N$15*AVERAGE('Assumptions (NG)'!$K$2:$M$2)+'Assumptions (NG)'!$N$16*AVERAGE('Assumptions (NG)'!$K$3:$M$3))/10^9,0)</f>
        <v>0.4175018829838768</v>
      </c>
      <c r="W594" s="105">
        <f>IF($O$421&gt;0,'Assumptions (NG)'!AD$11*Model!$O$421*('Assumptions (NG)'!$N$15*AVERAGE('Assumptions (NG)'!$K$2:$M$2)+'Assumptions (NG)'!$N$16*AVERAGE('Assumptions (NG)'!$K$3:$M$3))/10^9,0)</f>
        <v>0.41820951329401901</v>
      </c>
      <c r="X594" s="105">
        <f>IF($O$421&gt;0,'Assumptions (NG)'!AE$11*Model!$O$421*('Assumptions (NG)'!$N$15*AVERAGE('Assumptions (NG)'!$K$2:$M$2)+'Assumptions (NG)'!$N$16*AVERAGE('Assumptions (NG)'!$K$3:$M$3))/10^9,0)</f>
        <v>0.4175018829838768</v>
      </c>
      <c r="Y594" s="105">
        <f>IF($O$421&gt;0,'Assumptions (NG)'!AF$11*Model!$O$421*('Assumptions (NG)'!$N$15*AVERAGE('Assumptions (NG)'!$K$2:$M$2)+'Assumptions (NG)'!$N$16*AVERAGE('Assumptions (NG)'!$K$3:$M$3))/10^9,0)</f>
        <v>0.41820951329401901</v>
      </c>
      <c r="Z594" s="105">
        <f>IF($O$421&gt;0,'Assumptions (NG)'!AG$11*Model!$O$421*('Assumptions (NG)'!$N$15*AVERAGE('Assumptions (NG)'!$K$2:$M$2)+'Assumptions (NG)'!$N$16*AVERAGE('Assumptions (NG)'!$K$3:$M$3))/10^9,0)</f>
        <v>0.4175018829838768</v>
      </c>
      <c r="AA594" s="105">
        <f>IF($O$421&gt;0,'Assumptions (NG)'!AH$11*Model!$O$421*('Assumptions (NG)'!$N$15*AVERAGE('Assumptions (NG)'!$K$2:$M$2)+'Assumptions (NG)'!$N$16*AVERAGE('Assumptions (NG)'!$K$3:$M$3))/10^9,0)</f>
        <v>0.41820951329401901</v>
      </c>
      <c r="AB594" s="105">
        <f>IF($O$421&gt;0,'Assumptions (NG)'!AI$11*Model!$O$421*('Assumptions (NG)'!$N$15*AVERAGE('Assumptions (NG)'!$K$2:$M$2)+'Assumptions (NG)'!$N$16*AVERAGE('Assumptions (NG)'!$K$3:$M$3))/10^9,0)</f>
        <v>0.4175018829838768</v>
      </c>
      <c r="AC594" s="105">
        <f>IF($O$421&gt;0,'Assumptions (NG)'!AJ$11*Model!$O$421*('Assumptions (NG)'!$N$15*AVERAGE('Assumptions (NG)'!$K$2:$M$2)+'Assumptions (NG)'!$N$16*AVERAGE('Assumptions (NG)'!$K$3:$M$3))/10^9,0)</f>
        <v>0.41820951329401901</v>
      </c>
      <c r="AD594" s="105">
        <f>IF($O$421&gt;0,'Assumptions (NG)'!AK$11*Model!$O$421*('Assumptions (NG)'!$N$15*AVERAGE('Assumptions (NG)'!$K$2:$M$2)+'Assumptions (NG)'!$N$16*AVERAGE('Assumptions (NG)'!$K$3:$M$3))/10^9,0)</f>
        <v>0.2087509414919384</v>
      </c>
      <c r="AE594" s="105"/>
      <c r="AF594" s="105"/>
      <c r="AG594" s="105"/>
      <c r="AH594" s="105"/>
      <c r="AI594" s="105"/>
      <c r="AJ594" s="105"/>
      <c r="AK594" s="105"/>
      <c r="AL594" s="105"/>
      <c r="AM594" s="105"/>
      <c r="AO594" s="105"/>
      <c r="AP594" s="105"/>
      <c r="AQ594" s="105"/>
      <c r="AR594" s="105"/>
      <c r="AS594" s="105"/>
      <c r="AT594" s="105"/>
      <c r="AU594" s="105"/>
      <c r="AV594" s="105"/>
      <c r="AW594" s="105"/>
      <c r="AX594" s="105"/>
      <c r="AY594" s="105"/>
      <c r="AZ594" s="105"/>
      <c r="BA594" s="105"/>
    </row>
    <row r="595" spans="1:53" ht="15.75" hidden="1" customHeight="1" outlineLevel="1">
      <c r="A595" s="379"/>
      <c r="B595" s="99"/>
      <c r="C595" s="105"/>
      <c r="D595" s="105"/>
      <c r="E595" s="105"/>
      <c r="F595" s="105"/>
      <c r="G595" s="105"/>
      <c r="H595" s="105"/>
      <c r="I595" s="105"/>
      <c r="J595" s="105"/>
      <c r="K595" s="105"/>
      <c r="L595" s="105"/>
      <c r="M595" s="105"/>
      <c r="N595" s="105"/>
      <c r="O595" s="105"/>
      <c r="P595" s="91">
        <f>IF($P$421&gt;0,'Assumptions (NG)'!V$11*Model!$P$421*('Assumptions (NG)'!$O$15*AVERAGE('Assumptions (NG)'!$L$2:$N$2)+'Assumptions (NG)'!$O$16*AVERAGE('Assumptions (NG)'!$L$3:$N$3))/10^9,0)</f>
        <v>0.25596647532503036</v>
      </c>
      <c r="Q595" s="91">
        <f>IF($P$421&gt;0,'Assumptions (NG)'!W$11*Model!$P$421*('Assumptions (NG)'!$O$15*AVERAGE('Assumptions (NG)'!$L$2:$N$2)+'Assumptions (NG)'!$O$16*AVERAGE('Assumptions (NG)'!$L$3:$N$3))/10^9,0)</f>
        <v>0.48633630311755766</v>
      </c>
      <c r="R595" s="91">
        <f>IF($P$421&gt;0,'Assumptions (NG)'!X$11*Model!$P$421*('Assumptions (NG)'!$O$15*AVERAGE('Assumptions (NG)'!$L$2:$N$2)+'Assumptions (NG)'!$O$16*AVERAGE('Assumptions (NG)'!$L$3:$N$3))/10^9,0)</f>
        <v>0.43770267280580188</v>
      </c>
      <c r="S595" s="91">
        <f>IF($P$421&gt;0,'Assumptions (NG)'!Y$11*Model!$P$421*('Assumptions (NG)'!$O$15*AVERAGE('Assumptions (NG)'!$L$2:$N$2)+'Assumptions (NG)'!$O$16*AVERAGE('Assumptions (NG)'!$L$3:$N$3))/10^9,0)</f>
        <v>0.39418837200054674</v>
      </c>
      <c r="T595" s="91">
        <f>IF($P$421&gt;0,'Assumptions (NG)'!Z$11*Model!$P$421*('Assumptions (NG)'!$O$15*AVERAGE('Assumptions (NG)'!$L$2:$N$2)+'Assumptions (NG)'!$O$16*AVERAGE('Assumptions (NG)'!$L$3:$N$3))/10^9,0)</f>
        <v>0.35476953480049206</v>
      </c>
      <c r="U595" s="91">
        <f>IF($P$421&gt;0,'Assumptions (NG)'!AA$11*Model!$P$421*('Assumptions (NG)'!$O$15*AVERAGE('Assumptions (NG)'!$L$2:$N$2)+'Assumptions (NG)'!$O$16*AVERAGE('Assumptions (NG)'!$L$3:$N$3))/10^9,0)</f>
        <v>0.31893422825498785</v>
      </c>
      <c r="V595" s="91">
        <f>IF($P$421&gt;0,'Assumptions (NG)'!AB$11*Model!$P$421*('Assumptions (NG)'!$O$15*AVERAGE('Assumptions (NG)'!$L$2:$N$2)+'Assumptions (NG)'!$O$16*AVERAGE('Assumptions (NG)'!$L$3:$N$3))/10^9,0)</f>
        <v>0.30204044088353582</v>
      </c>
      <c r="W595" s="91">
        <f>IF($P$421&gt;0,'Assumptions (NG)'!AC$11*Model!$P$421*('Assumptions (NG)'!$O$15*AVERAGE('Assumptions (NG)'!$L$2:$N$2)+'Assumptions (NG)'!$O$16*AVERAGE('Assumptions (NG)'!$L$3:$N$3))/10^9,0)</f>
        <v>0.30204044088353582</v>
      </c>
      <c r="X595" s="91">
        <f>IF($P$421&gt;0,'Assumptions (NG)'!AD$11*Model!$P$421*('Assumptions (NG)'!$O$15*AVERAGE('Assumptions (NG)'!$L$2:$N$2)+'Assumptions (NG)'!$O$16*AVERAGE('Assumptions (NG)'!$L$3:$N$3))/10^9,0)</f>
        <v>0.30255237383418582</v>
      </c>
      <c r="Y595" s="91">
        <f>IF($P$421&gt;0,'Assumptions (NG)'!AE$11*Model!$P$421*('Assumptions (NG)'!$O$15*AVERAGE('Assumptions (NG)'!$L$2:$N$2)+'Assumptions (NG)'!$O$16*AVERAGE('Assumptions (NG)'!$L$3:$N$3))/10^9,0)</f>
        <v>0.30204044088353582</v>
      </c>
      <c r="Z595" s="91">
        <f>IF($P$421&gt;0,'Assumptions (NG)'!AF$11*Model!$P$421*('Assumptions (NG)'!$O$15*AVERAGE('Assumptions (NG)'!$L$2:$N$2)+'Assumptions (NG)'!$O$16*AVERAGE('Assumptions (NG)'!$L$3:$N$3))/10^9,0)</f>
        <v>0.30255237383418582</v>
      </c>
      <c r="AA595" s="91">
        <f>IF($P$421&gt;0,'Assumptions (NG)'!AG$11*Model!$P$421*('Assumptions (NG)'!$O$15*AVERAGE('Assumptions (NG)'!$L$2:$N$2)+'Assumptions (NG)'!$O$16*AVERAGE('Assumptions (NG)'!$L$3:$N$3))/10^9,0)</f>
        <v>0.30204044088353582</v>
      </c>
      <c r="AB595" s="91">
        <f>IF($P$421&gt;0,'Assumptions (NG)'!AH$11*Model!$P$421*('Assumptions (NG)'!$O$15*AVERAGE('Assumptions (NG)'!$L$2:$N$2)+'Assumptions (NG)'!$O$16*AVERAGE('Assumptions (NG)'!$L$3:$N$3))/10^9,0)</f>
        <v>0.30255237383418582</v>
      </c>
      <c r="AC595" s="91">
        <f>IF($P$421&gt;0,'Assumptions (NG)'!AI$11*Model!$P$421*('Assumptions (NG)'!$O$15*AVERAGE('Assumptions (NG)'!$L$2:$N$2)+'Assumptions (NG)'!$O$16*AVERAGE('Assumptions (NG)'!$L$3:$N$3))/10^9,0)</f>
        <v>0.30204044088353582</v>
      </c>
      <c r="AD595" s="91">
        <f>IF($P$421&gt;0,'Assumptions (NG)'!AJ$11*Model!$P$421*('Assumptions (NG)'!$O$15*AVERAGE('Assumptions (NG)'!$L$2:$N$2)+'Assumptions (NG)'!$O$16*AVERAGE('Assumptions (NG)'!$L$3:$N$3))/10^9,0)</f>
        <v>0.30255237383418582</v>
      </c>
      <c r="AE595" s="91">
        <f>IF($P$421&gt;0,'Assumptions (NG)'!AK$11*Model!$P$421*('Assumptions (NG)'!$O$15*AVERAGE('Assumptions (NG)'!$L$2:$N$2)+'Assumptions (NG)'!$O$16*AVERAGE('Assumptions (NG)'!$L$3:$N$3))/10^9,0)</f>
        <v>0.15102022044176791</v>
      </c>
      <c r="AF595" s="91"/>
      <c r="AG595" s="91"/>
      <c r="AH595" s="91"/>
      <c r="AI595" s="91"/>
      <c r="AJ595" s="91"/>
      <c r="AK595" s="91"/>
      <c r="AL595" s="91"/>
      <c r="AM595" s="91"/>
      <c r="AN595" s="91"/>
      <c r="AO595" s="105"/>
      <c r="AP595" s="105"/>
      <c r="AQ595" s="105"/>
      <c r="AR595" s="105"/>
      <c r="AS595" s="105"/>
      <c r="AT595" s="105"/>
      <c r="AU595" s="105"/>
      <c r="AV595" s="105"/>
      <c r="AW595" s="105"/>
      <c r="AX595" s="105"/>
      <c r="AY595" s="105"/>
      <c r="AZ595" s="105"/>
      <c r="BA595" s="105"/>
    </row>
    <row r="596" spans="1:53" ht="15.75" hidden="1" customHeight="1" outlineLevel="1">
      <c r="A596" s="379"/>
      <c r="B596" s="99"/>
      <c r="C596" s="105"/>
      <c r="D596" s="105"/>
      <c r="E596" s="105"/>
      <c r="F596" s="105"/>
      <c r="G596" s="105"/>
      <c r="H596" s="105"/>
      <c r="I596" s="105"/>
      <c r="J596" s="105"/>
      <c r="K596" s="105"/>
      <c r="L596" s="105"/>
      <c r="M596" s="105"/>
      <c r="N596" s="105"/>
      <c r="O596" s="105"/>
      <c r="P596" s="171"/>
      <c r="Q596" s="105">
        <f>IF($Q$421&gt;0,'Assumptions (NG)'!V$11*Model!$Q$421*('Assumptions (NG)'!$P$15*AVERAGE('Assumptions (NG)'!$M$2:$O$2)+'Assumptions (NG)'!$P$16*AVERAGE('Assumptions (NG)'!$M$3:$O$3))/10^9,0)</f>
        <v>0.32902928250574093</v>
      </c>
      <c r="R596" s="105">
        <f>IF($Q$421&gt;0,'Assumptions (NG)'!W$11*Model!$Q$421*('Assumptions (NG)'!$P$15*AVERAGE('Assumptions (NG)'!$M$2:$O$2)+'Assumptions (NG)'!$P$16*AVERAGE('Assumptions (NG)'!$M$3:$O$3))/10^9,0)</f>
        <v>0.6251556367609078</v>
      </c>
      <c r="S596" s="105">
        <f>IF($Q$421&gt;0,'Assumptions (NG)'!X$11*Model!$Q$421*('Assumptions (NG)'!$P$15*AVERAGE('Assumptions (NG)'!$M$2:$O$2)+'Assumptions (NG)'!$P$16*AVERAGE('Assumptions (NG)'!$M$3:$O$3))/10^9,0)</f>
        <v>0.56264007308481689</v>
      </c>
      <c r="T596" s="105">
        <f>IF($Q$421&gt;0,'Assumptions (NG)'!Y$11*Model!$Q$421*('Assumptions (NG)'!$P$15*AVERAGE('Assumptions (NG)'!$M$2:$O$2)+'Assumptions (NG)'!$P$16*AVERAGE('Assumptions (NG)'!$M$3:$O$3))/10^9,0)</f>
        <v>0.50670509505884098</v>
      </c>
      <c r="U596" s="105">
        <f>IF($Q$421&gt;0,'Assumptions (NG)'!Z$11*Model!$Q$421*('Assumptions (NG)'!$P$15*AVERAGE('Assumptions (NG)'!$M$2:$O$2)+'Assumptions (NG)'!$P$16*AVERAGE('Assumptions (NG)'!$M$3:$O$3))/10^9,0)</f>
        <v>0.45603458555295695</v>
      </c>
      <c r="V596" s="105">
        <f>IF($Q$421&gt;0,'Assumptions (NG)'!AA$11*Model!$Q$421*('Assumptions (NG)'!$P$15*AVERAGE('Assumptions (NG)'!$M$2:$O$2)+'Assumptions (NG)'!$P$16*AVERAGE('Assumptions (NG)'!$M$3:$O$3))/10^9,0)</f>
        <v>0.40997048600215313</v>
      </c>
      <c r="W596" s="105">
        <f>IF($Q$421&gt;0,'Assumptions (NG)'!AB$11*Model!$Q$421*('Assumptions (NG)'!$P$15*AVERAGE('Assumptions (NG)'!$M$2:$O$2)+'Assumptions (NG)'!$P$16*AVERAGE('Assumptions (NG)'!$M$3:$O$3))/10^9,0)</f>
        <v>0.38825455335677428</v>
      </c>
      <c r="X596" s="105">
        <f>IF($Q$421&gt;0,'Assumptions (NG)'!AC$11*Model!$Q$421*('Assumptions (NG)'!$P$15*AVERAGE('Assumptions (NG)'!$M$2:$O$2)+'Assumptions (NG)'!$P$16*AVERAGE('Assumptions (NG)'!$M$3:$O$3))/10^9,0)</f>
        <v>0.38825455335677428</v>
      </c>
      <c r="Y596" s="105">
        <f>IF($Q$421&gt;0,'Assumptions (NG)'!AD$11*Model!$Q$421*('Assumptions (NG)'!$P$15*AVERAGE('Assumptions (NG)'!$M$2:$O$2)+'Assumptions (NG)'!$P$16*AVERAGE('Assumptions (NG)'!$M$3:$O$3))/10^9,0)</f>
        <v>0.38891261192178572</v>
      </c>
      <c r="Z596" s="105">
        <f>IF($Q$421&gt;0,'Assumptions (NG)'!AE$11*Model!$Q$421*('Assumptions (NG)'!$P$15*AVERAGE('Assumptions (NG)'!$M$2:$O$2)+'Assumptions (NG)'!$P$16*AVERAGE('Assumptions (NG)'!$M$3:$O$3))/10^9,0)</f>
        <v>0.38825455335677428</v>
      </c>
      <c r="AA596" s="105">
        <f>IF($Q$421&gt;0,'Assumptions (NG)'!AF$11*Model!$Q$421*('Assumptions (NG)'!$P$15*AVERAGE('Assumptions (NG)'!$M$2:$O$2)+'Assumptions (NG)'!$P$16*AVERAGE('Assumptions (NG)'!$M$3:$O$3))/10^9,0)</f>
        <v>0.38891261192178572</v>
      </c>
      <c r="AB596" s="105">
        <f>IF($Q$421&gt;0,'Assumptions (NG)'!AG$11*Model!$Q$421*('Assumptions (NG)'!$P$15*AVERAGE('Assumptions (NG)'!$M$2:$O$2)+'Assumptions (NG)'!$P$16*AVERAGE('Assumptions (NG)'!$M$3:$O$3))/10^9,0)</f>
        <v>0.38825455335677428</v>
      </c>
      <c r="AC596" s="105">
        <f>IF($Q$421&gt;0,'Assumptions (NG)'!AH$11*Model!$Q$421*('Assumptions (NG)'!$P$15*AVERAGE('Assumptions (NG)'!$M$2:$O$2)+'Assumptions (NG)'!$P$16*AVERAGE('Assumptions (NG)'!$M$3:$O$3))/10^9,0)</f>
        <v>0.38891261192178572</v>
      </c>
      <c r="AD596" s="105">
        <f>IF($Q$421&gt;0,'Assumptions (NG)'!AI$11*Model!$Q$421*('Assumptions (NG)'!$P$15*AVERAGE('Assumptions (NG)'!$M$2:$O$2)+'Assumptions (NG)'!$P$16*AVERAGE('Assumptions (NG)'!$M$3:$O$3))/10^9,0)</f>
        <v>0.38825455335677428</v>
      </c>
      <c r="AE596" s="105">
        <f>IF($Q$421&gt;0,'Assumptions (NG)'!AJ$11*Model!$Q$421*('Assumptions (NG)'!$P$15*AVERAGE('Assumptions (NG)'!$M$2:$O$2)+'Assumptions (NG)'!$P$16*AVERAGE('Assumptions (NG)'!$M$3:$O$3))/10^9,0)</f>
        <v>0.38891261192178572</v>
      </c>
      <c r="AF596" s="105">
        <f>IF($Q$421&gt;0,'Assumptions (NG)'!AK$11*Model!$Q$421*('Assumptions (NG)'!$P$15*AVERAGE('Assumptions (NG)'!$M$2:$O$2)+'Assumptions (NG)'!$P$16*AVERAGE('Assumptions (NG)'!$M$3:$O$3))/10^9,0)</f>
        <v>0.19412727667838714</v>
      </c>
      <c r="AG596" s="105"/>
      <c r="AH596" s="105"/>
      <c r="AI596" s="105"/>
      <c r="AJ596" s="105"/>
      <c r="AK596" s="105"/>
      <c r="AL596" s="105"/>
      <c r="AM596" s="105"/>
      <c r="AN596" s="105"/>
      <c r="AO596" s="105"/>
      <c r="AP596" s="105"/>
      <c r="AQ596" s="105"/>
      <c r="AR596" s="105"/>
      <c r="AS596" s="105"/>
      <c r="AT596" s="105"/>
      <c r="AU596" s="105"/>
      <c r="AV596" s="105"/>
      <c r="AW596" s="105"/>
      <c r="AX596" s="105"/>
      <c r="AY596" s="105"/>
      <c r="AZ596" s="105"/>
      <c r="BA596" s="105"/>
    </row>
    <row r="597" spans="1:53" ht="15.75" hidden="1" customHeight="1" outlineLevel="1">
      <c r="A597" s="379"/>
      <c r="B597" s="99"/>
      <c r="C597" s="105"/>
      <c r="D597" s="105"/>
      <c r="E597" s="105"/>
      <c r="F597" s="105"/>
      <c r="G597" s="105"/>
      <c r="H597" s="105"/>
      <c r="I597" s="105"/>
      <c r="J597" s="105"/>
      <c r="K597" s="105"/>
      <c r="L597" s="105"/>
      <c r="M597" s="105"/>
      <c r="N597" s="105"/>
      <c r="O597" s="105"/>
      <c r="P597" s="171"/>
      <c r="Q597" s="105"/>
      <c r="R597" s="91">
        <f>IF($R$421&gt;0,'Assumptions (NG)'!V$11*Model!$R$421*('Assumptions (NG)'!$Q$15*AVERAGE('Assumptions (NG)'!$N$2:$P$2)+'Assumptions (NG)'!$Q$16*AVERAGE('Assumptions (NG)'!$N$3:$P$3))/10^9,0)</f>
        <v>0.22805110551814645</v>
      </c>
      <c r="S597" s="91">
        <f>IF($R$421&gt;0,'Assumptions (NG)'!W$11*Model!$R$421*('Assumptions (NG)'!$Q$15*AVERAGE('Assumptions (NG)'!$N$2:$P$2)+'Assumptions (NG)'!$Q$16*AVERAGE('Assumptions (NG)'!$N$3:$P$3))/10^9,0)</f>
        <v>0.43329710048447828</v>
      </c>
      <c r="T597" s="91">
        <f>IF($R$421&gt;0,'Assumptions (NG)'!X$11*Model!$R$421*('Assumptions (NG)'!$Q$15*AVERAGE('Assumptions (NG)'!$N$2:$P$2)+'Assumptions (NG)'!$Q$16*AVERAGE('Assumptions (NG)'!$N$3:$P$3))/10^9,0)</f>
        <v>0.38996739043603046</v>
      </c>
      <c r="U597" s="91">
        <f>IF($R$421&gt;0,'Assumptions (NG)'!Y$11*Model!$R$421*('Assumptions (NG)'!$Q$15*AVERAGE('Assumptions (NG)'!$N$2:$P$2)+'Assumptions (NG)'!$Q$16*AVERAGE('Assumptions (NG)'!$N$3:$P$3))/10^9,0)</f>
        <v>0.35119870249794549</v>
      </c>
      <c r="V597" s="91">
        <f>IF($R$421&gt;0,'Assumptions (NG)'!Z$11*Model!$R$421*('Assumptions (NG)'!$Q$15*AVERAGE('Assumptions (NG)'!$N$2:$P$2)+'Assumptions (NG)'!$Q$16*AVERAGE('Assumptions (NG)'!$N$3:$P$3))/10^9,0)</f>
        <v>0.31607883224815092</v>
      </c>
      <c r="W597" s="91">
        <f>IF($R$421&gt;0,'Assumptions (NG)'!AA$11*Model!$R$421*('Assumptions (NG)'!$Q$15*AVERAGE('Assumptions (NG)'!$N$2:$P$2)+'Assumptions (NG)'!$Q$16*AVERAGE('Assumptions (NG)'!$N$3:$P$3))/10^9,0)</f>
        <v>0.28415167747561049</v>
      </c>
      <c r="X597" s="91">
        <f>IF($R$421&gt;0,'Assumptions (NG)'!AB$11*Model!$R$421*('Assumptions (NG)'!$Q$15*AVERAGE('Assumptions (NG)'!$N$2:$P$2)+'Assumptions (NG)'!$Q$16*AVERAGE('Assumptions (NG)'!$N$3:$P$3))/10^9,0)</f>
        <v>0.26910030451141281</v>
      </c>
      <c r="Y597" s="91">
        <f>IF($R$421&gt;0,'Assumptions (NG)'!AC$11*Model!$R$421*('Assumptions (NG)'!$Q$15*AVERAGE('Assumptions (NG)'!$N$2:$P$2)+'Assumptions (NG)'!$Q$16*AVERAGE('Assumptions (NG)'!$N$3:$P$3))/10^9,0)</f>
        <v>0.26910030451141281</v>
      </c>
      <c r="Z597" s="91">
        <f>IF($R$421&gt;0,'Assumptions (NG)'!AD$11*Model!$R$421*('Assumptions (NG)'!$Q$15*AVERAGE('Assumptions (NG)'!$N$2:$P$2)+'Assumptions (NG)'!$Q$16*AVERAGE('Assumptions (NG)'!$N$3:$P$3))/10^9,0)</f>
        <v>0.26955640672244913</v>
      </c>
      <c r="AA597" s="91">
        <f>IF($R$421&gt;0,'Assumptions (NG)'!AE$11*Model!$R$421*('Assumptions (NG)'!$Q$15*AVERAGE('Assumptions (NG)'!$N$2:$P$2)+'Assumptions (NG)'!$Q$16*AVERAGE('Assumptions (NG)'!$N$3:$P$3))/10^9,0)</f>
        <v>0.26910030451141281</v>
      </c>
      <c r="AB597" s="91">
        <f>IF($R$421&gt;0,'Assumptions (NG)'!AF$11*Model!$R$421*('Assumptions (NG)'!$Q$15*AVERAGE('Assumptions (NG)'!$N$2:$P$2)+'Assumptions (NG)'!$Q$16*AVERAGE('Assumptions (NG)'!$N$3:$P$3))/10^9,0)</f>
        <v>0.26955640672244913</v>
      </c>
      <c r="AC597" s="91">
        <f>IF($R$421&gt;0,'Assumptions (NG)'!AG$11*Model!$R$421*('Assumptions (NG)'!$Q$15*AVERAGE('Assumptions (NG)'!$N$2:$P$2)+'Assumptions (NG)'!$Q$16*AVERAGE('Assumptions (NG)'!$N$3:$P$3))/10^9,0)</f>
        <v>0.26910030451141281</v>
      </c>
      <c r="AD597" s="91">
        <f>IF($R$421&gt;0,'Assumptions (NG)'!AH$11*Model!$R$421*('Assumptions (NG)'!$Q$15*AVERAGE('Assumptions (NG)'!$N$2:$P$2)+'Assumptions (NG)'!$Q$16*AVERAGE('Assumptions (NG)'!$N$3:$P$3))/10^9,0)</f>
        <v>0.26955640672244913</v>
      </c>
      <c r="AE597" s="91">
        <f>IF($R$421&gt;0,'Assumptions (NG)'!AI$11*Model!$R$421*('Assumptions (NG)'!$Q$15*AVERAGE('Assumptions (NG)'!$N$2:$P$2)+'Assumptions (NG)'!$Q$16*AVERAGE('Assumptions (NG)'!$N$3:$P$3))/10^9,0)</f>
        <v>0.26910030451141281</v>
      </c>
      <c r="AF597" s="91">
        <f>IF($R$421&gt;0,'Assumptions (NG)'!AJ$11*Model!$R$421*('Assumptions (NG)'!$Q$15*AVERAGE('Assumptions (NG)'!$N$2:$P$2)+'Assumptions (NG)'!$Q$16*AVERAGE('Assumptions (NG)'!$N$3:$P$3))/10^9,0)</f>
        <v>0.26955640672244913</v>
      </c>
      <c r="AG597" s="91">
        <f>IF($R$421&gt;0,'Assumptions (NG)'!AK$11*Model!$R$421*('Assumptions (NG)'!$Q$15*AVERAGE('Assumptions (NG)'!$N$2:$P$2)+'Assumptions (NG)'!$Q$16*AVERAGE('Assumptions (NG)'!$N$3:$P$3))/10^9,0)</f>
        <v>0.13455015225570641</v>
      </c>
      <c r="AH597" s="91"/>
      <c r="AI597" s="91"/>
      <c r="AJ597" s="91"/>
      <c r="AK597" s="91"/>
      <c r="AL597" s="91"/>
      <c r="AM597" s="91"/>
      <c r="AN597" s="91"/>
      <c r="AO597" s="105"/>
      <c r="AP597" s="105"/>
      <c r="AQ597" s="105"/>
      <c r="AR597" s="105"/>
      <c r="AS597" s="105"/>
      <c r="AT597" s="105"/>
      <c r="AU597" s="105"/>
      <c r="AV597" s="105"/>
      <c r="AW597" s="105"/>
      <c r="AX597" s="105"/>
      <c r="AY597" s="105"/>
      <c r="AZ597" s="105"/>
      <c r="BA597" s="105"/>
    </row>
    <row r="598" spans="1:53" ht="15.75" hidden="1" customHeight="1" outlineLevel="1">
      <c r="A598" s="379"/>
      <c r="B598" s="99"/>
      <c r="C598" s="105"/>
      <c r="D598" s="105"/>
      <c r="E598" s="105"/>
      <c r="F598" s="105"/>
      <c r="G598" s="105"/>
      <c r="H598" s="105"/>
      <c r="I598" s="105"/>
      <c r="J598" s="105"/>
      <c r="K598" s="105"/>
      <c r="L598" s="105"/>
      <c r="M598" s="105"/>
      <c r="N598" s="105"/>
      <c r="O598" s="105"/>
      <c r="P598" s="171"/>
      <c r="Q598" s="105"/>
      <c r="R598" s="91"/>
      <c r="S598" s="91">
        <f>IF($S$421&gt;0,'Assumptions (NG)'!V$11*Model!$S$421*('Assumptions (NG)'!$R$15*AVERAGE('Assumptions (NG)'!$O$2:$Q$2)+'Assumptions (NG)'!$R$16*AVERAGE('Assumptions (NG)'!$O$3:$Q$3))/10^9,0)</f>
        <v>0.36532165933454419</v>
      </c>
      <c r="T598" s="91">
        <f>IF($S$421&gt;0,'Assumptions (NG)'!W$11*Model!$S$421*('Assumptions (NG)'!$R$15*AVERAGE('Assumptions (NG)'!$O$2:$Q$2)+'Assumptions (NG)'!$R$16*AVERAGE('Assumptions (NG)'!$O$3:$Q$3))/10^9,0)</f>
        <v>0.69411115273563395</v>
      </c>
      <c r="U598" s="91">
        <f>IF($S$421&gt;0,'Assumptions (NG)'!X$11*Model!$S$421*('Assumptions (NG)'!$R$15*AVERAGE('Assumptions (NG)'!$O$2:$Q$2)+'Assumptions (NG)'!$R$16*AVERAGE('Assumptions (NG)'!$O$3:$Q$3))/10^9,0)</f>
        <v>0.62470003746207059</v>
      </c>
      <c r="V598" s="91">
        <f>IF($S$421&gt;0,'Assumptions (NG)'!Y$11*Model!$S$421*('Assumptions (NG)'!$R$15*AVERAGE('Assumptions (NG)'!$O$2:$Q$2)+'Assumptions (NG)'!$R$16*AVERAGE('Assumptions (NG)'!$O$3:$Q$3))/10^9,0)</f>
        <v>0.56259535537519811</v>
      </c>
      <c r="W598" s="91">
        <f>IF($S$421&gt;0,'Assumptions (NG)'!Z$11*Model!$S$421*('Assumptions (NG)'!$R$15*AVERAGE('Assumptions (NG)'!$O$2:$Q$2)+'Assumptions (NG)'!$R$16*AVERAGE('Assumptions (NG)'!$O$3:$Q$3))/10^9,0)</f>
        <v>0.50633581983767817</v>
      </c>
      <c r="X598" s="91">
        <f>IF($S$421&gt;0,'Assumptions (NG)'!AA$11*Model!$S$421*('Assumptions (NG)'!$R$15*AVERAGE('Assumptions (NG)'!$O$2:$Q$2)+'Assumptions (NG)'!$R$16*AVERAGE('Assumptions (NG)'!$O$3:$Q$3))/10^9,0)</f>
        <v>0.45519078753084208</v>
      </c>
      <c r="Y598" s="91">
        <f>IF($S$421&gt;0,'Assumptions (NG)'!AB$11*Model!$S$421*('Assumptions (NG)'!$R$15*AVERAGE('Assumptions (NG)'!$O$2:$Q$2)+'Assumptions (NG)'!$R$16*AVERAGE('Assumptions (NG)'!$O$3:$Q$3))/10^9,0)</f>
        <v>0.43107955801476211</v>
      </c>
      <c r="Z598" s="91">
        <f>IF($S$421&gt;0,'Assumptions (NG)'!AC$11*Model!$S$421*('Assumptions (NG)'!$R$15*AVERAGE('Assumptions (NG)'!$O$2:$Q$2)+'Assumptions (NG)'!$R$16*AVERAGE('Assumptions (NG)'!$O$3:$Q$3))/10^9,0)</f>
        <v>0.43107955801476211</v>
      </c>
      <c r="AA598" s="91">
        <f>IF($S$421&gt;0,'Assumptions (NG)'!AD$11*Model!$S$421*('Assumptions (NG)'!$R$15*AVERAGE('Assumptions (NG)'!$O$2:$Q$2)+'Assumptions (NG)'!$R$16*AVERAGE('Assumptions (NG)'!$O$3:$Q$3))/10^9,0)</f>
        <v>0.43181020133343118</v>
      </c>
      <c r="AB598" s="91">
        <f>IF($S$421&gt;0,'Assumptions (NG)'!AE$11*Model!$S$421*('Assumptions (NG)'!$R$15*AVERAGE('Assumptions (NG)'!$O$2:$Q$2)+'Assumptions (NG)'!$R$16*AVERAGE('Assumptions (NG)'!$O$3:$Q$3))/10^9,0)</f>
        <v>0.43107955801476211</v>
      </c>
      <c r="AC598" s="91">
        <f>IF($S$421&gt;0,'Assumptions (NG)'!AF$11*Model!$S$421*('Assumptions (NG)'!$R$15*AVERAGE('Assumptions (NG)'!$O$2:$Q$2)+'Assumptions (NG)'!$R$16*AVERAGE('Assumptions (NG)'!$O$3:$Q$3))/10^9,0)</f>
        <v>0.43181020133343118</v>
      </c>
      <c r="AD598" s="91">
        <f>IF($S$421&gt;0,'Assumptions (NG)'!AG$11*Model!$S$421*('Assumptions (NG)'!$R$15*AVERAGE('Assumptions (NG)'!$O$2:$Q$2)+'Assumptions (NG)'!$R$16*AVERAGE('Assumptions (NG)'!$O$3:$Q$3))/10^9,0)</f>
        <v>0.43107955801476211</v>
      </c>
      <c r="AE598" s="91">
        <f>IF($S$421&gt;0,'Assumptions (NG)'!AH$11*Model!$S$421*('Assumptions (NG)'!$R$15*AVERAGE('Assumptions (NG)'!$O$2:$Q$2)+'Assumptions (NG)'!$R$16*AVERAGE('Assumptions (NG)'!$O$3:$Q$3))/10^9,0)</f>
        <v>0.43181020133343118</v>
      </c>
      <c r="AF598" s="91">
        <f>IF($S$421&gt;0,'Assumptions (NG)'!AI$11*Model!$S$421*('Assumptions (NG)'!$R$15*AVERAGE('Assumptions (NG)'!$O$2:$Q$2)+'Assumptions (NG)'!$R$16*AVERAGE('Assumptions (NG)'!$O$3:$Q$3))/10^9,0)</f>
        <v>0.43107955801476211</v>
      </c>
      <c r="AG598" s="91">
        <f>IF($S$421&gt;0,'Assumptions (NG)'!AJ$11*Model!$S$421*('Assumptions (NG)'!$R$15*AVERAGE('Assumptions (NG)'!$O$2:$Q$2)+'Assumptions (NG)'!$R$16*AVERAGE('Assumptions (NG)'!$O$3:$Q$3))/10^9,0)</f>
        <v>0.43181020133343118</v>
      </c>
      <c r="AH598" s="91">
        <f>IF($S$421&gt;0,'Assumptions (NG)'!AK$11*Model!$S$421*('Assumptions (NG)'!$R$15*AVERAGE('Assumptions (NG)'!$O$2:$Q$2)+'Assumptions (NG)'!$R$16*AVERAGE('Assumptions (NG)'!$O$3:$Q$3))/10^9,0)</f>
        <v>0.21553977900738105</v>
      </c>
      <c r="AI598" s="91"/>
      <c r="AJ598" s="91"/>
      <c r="AK598" s="91"/>
      <c r="AL598" s="91"/>
      <c r="AM598" s="91"/>
      <c r="AN598" s="91"/>
      <c r="AO598" s="105"/>
      <c r="AP598" s="105"/>
      <c r="AQ598" s="105"/>
      <c r="AR598" s="105"/>
      <c r="AS598" s="105"/>
      <c r="AT598" s="105"/>
      <c r="AU598" s="105"/>
      <c r="AV598" s="105"/>
      <c r="AW598" s="105"/>
      <c r="AX598" s="105"/>
      <c r="AY598" s="105"/>
      <c r="AZ598" s="105"/>
      <c r="BA598" s="105"/>
    </row>
    <row r="599" spans="1:53" ht="15.75" hidden="1" customHeight="1" outlineLevel="1">
      <c r="A599" s="379"/>
      <c r="B599" s="99"/>
      <c r="C599" s="105"/>
      <c r="D599" s="105"/>
      <c r="E599" s="105"/>
      <c r="F599" s="105"/>
      <c r="G599" s="105"/>
      <c r="H599" s="105"/>
      <c r="I599" s="105"/>
      <c r="J599" s="105"/>
      <c r="K599" s="105"/>
      <c r="L599" s="105"/>
      <c r="M599" s="105"/>
      <c r="N599" s="105"/>
      <c r="O599" s="105"/>
      <c r="P599" s="171"/>
      <c r="Q599" s="105"/>
      <c r="R599" s="91"/>
      <c r="S599" s="91"/>
      <c r="T599" s="105">
        <f>IF($T$421&gt;0,'Assumptions (NG)'!V$11*Model!$T$421*('Assumptions (NG)'!$S$15*AVERAGE('Assumptions (NG)'!$P$2:$R$2)+'Assumptions (NG)'!$S$16*AVERAGE('Assumptions (NG)'!$P$3:$R$3))/10^9,0)</f>
        <v>0.38380356039952362</v>
      </c>
      <c r="U599" s="105">
        <f>IF($T$421&gt;0,'Assumptions (NG)'!W$11*Model!$T$421*('Assumptions (NG)'!$S$15*AVERAGE('Assumptions (NG)'!$P$2:$R$2)+'Assumptions (NG)'!$S$16*AVERAGE('Assumptions (NG)'!$P$3:$R$3))/10^9,0)</f>
        <v>0.72922676475909487</v>
      </c>
      <c r="V599" s="105">
        <f>IF($T$421&gt;0,'Assumptions (NG)'!X$11*Model!$T$421*('Assumptions (NG)'!$S$15*AVERAGE('Assumptions (NG)'!$P$2:$R$2)+'Assumptions (NG)'!$S$16*AVERAGE('Assumptions (NG)'!$P$3:$R$3))/10^9,0)</f>
        <v>0.65630408828318543</v>
      </c>
      <c r="W599" s="105">
        <f>IF($T$421&gt;0,'Assumptions (NG)'!Y$11*Model!$T$421*('Assumptions (NG)'!$S$15*AVERAGE('Assumptions (NG)'!$P$2:$R$2)+'Assumptions (NG)'!$S$16*AVERAGE('Assumptions (NG)'!$P$3:$R$3))/10^9,0)</f>
        <v>0.59105748301526639</v>
      </c>
      <c r="X599" s="105">
        <f>IF($T$421&gt;0,'Assumptions (NG)'!Z$11*Model!$T$421*('Assumptions (NG)'!$S$15*AVERAGE('Assumptions (NG)'!$P$2:$R$2)+'Assumptions (NG)'!$S$16*AVERAGE('Assumptions (NG)'!$P$3:$R$3))/10^9,0)</f>
        <v>0.5319517347137398</v>
      </c>
      <c r="Y599" s="105">
        <f>IF($T$421&gt;0,'Assumptions (NG)'!AA$11*Model!$T$421*('Assumptions (NG)'!$S$15*AVERAGE('Assumptions (NG)'!$P$2:$R$2)+'Assumptions (NG)'!$S$16*AVERAGE('Assumptions (NG)'!$P$3:$R$3))/10^9,0)</f>
        <v>0.47821923625780643</v>
      </c>
      <c r="Z599" s="105">
        <f>IF($T$421&gt;0,'Assumptions (NG)'!AB$11*Model!$T$421*('Assumptions (NG)'!$S$15*AVERAGE('Assumptions (NG)'!$P$2:$R$2)+'Assumptions (NG)'!$S$16*AVERAGE('Assumptions (NG)'!$P$3:$R$3))/10^9,0)</f>
        <v>0.45288820127143786</v>
      </c>
      <c r="AA599" s="105">
        <f>IF($T$421&gt;0,'Assumptions (NG)'!AC$11*Model!$T$421*('Assumptions (NG)'!$S$15*AVERAGE('Assumptions (NG)'!$P$2:$R$2)+'Assumptions (NG)'!$S$16*AVERAGE('Assumptions (NG)'!$P$3:$R$3))/10^9,0)</f>
        <v>0.45288820127143786</v>
      </c>
      <c r="AB599" s="105">
        <f>IF($T$421&gt;0,'Assumptions (NG)'!AD$11*Model!$T$421*('Assumptions (NG)'!$S$15*AVERAGE('Assumptions (NG)'!$P$2:$R$2)+'Assumptions (NG)'!$S$16*AVERAGE('Assumptions (NG)'!$P$3:$R$3))/10^9,0)</f>
        <v>0.45365580839223696</v>
      </c>
      <c r="AC599" s="105">
        <f>IF($T$421&gt;0,'Assumptions (NG)'!AE$11*Model!$T$421*('Assumptions (NG)'!$S$15*AVERAGE('Assumptions (NG)'!$P$2:$R$2)+'Assumptions (NG)'!$S$16*AVERAGE('Assumptions (NG)'!$P$3:$R$3))/10^9,0)</f>
        <v>0.45288820127143786</v>
      </c>
      <c r="AD599" s="105">
        <f>IF($T$421&gt;0,'Assumptions (NG)'!AF$11*Model!$T$421*('Assumptions (NG)'!$S$15*AVERAGE('Assumptions (NG)'!$P$2:$R$2)+'Assumptions (NG)'!$S$16*AVERAGE('Assumptions (NG)'!$P$3:$R$3))/10^9,0)</f>
        <v>0.45365580839223696</v>
      </c>
      <c r="AE599" s="105">
        <f>IF($T$421&gt;0,'Assumptions (NG)'!AG$11*Model!$T$421*('Assumptions (NG)'!$S$15*AVERAGE('Assumptions (NG)'!$P$2:$R$2)+'Assumptions (NG)'!$S$16*AVERAGE('Assumptions (NG)'!$P$3:$R$3))/10^9,0)</f>
        <v>0.45288820127143786</v>
      </c>
      <c r="AF599" s="105">
        <f>IF($T$421&gt;0,'Assumptions (NG)'!AH$11*Model!$T$421*('Assumptions (NG)'!$S$15*AVERAGE('Assumptions (NG)'!$P$2:$R$2)+'Assumptions (NG)'!$S$16*AVERAGE('Assumptions (NG)'!$P$3:$R$3))/10^9,0)</f>
        <v>0.45365580839223696</v>
      </c>
      <c r="AG599" s="105">
        <f>IF($T$421&gt;0,'Assumptions (NG)'!AI$11*Model!$T$421*('Assumptions (NG)'!$S$15*AVERAGE('Assumptions (NG)'!$P$2:$R$2)+'Assumptions (NG)'!$S$16*AVERAGE('Assumptions (NG)'!$P$3:$R$3))/10^9,0)</f>
        <v>0.45288820127143786</v>
      </c>
      <c r="AH599" s="105">
        <f>IF($T$421&gt;0,'Assumptions (NG)'!AJ$11*Model!$T$421*('Assumptions (NG)'!$S$15*AVERAGE('Assumptions (NG)'!$P$2:$R$2)+'Assumptions (NG)'!$S$16*AVERAGE('Assumptions (NG)'!$P$3:$R$3))/10^9,0)</f>
        <v>0.45365580839223696</v>
      </c>
      <c r="AI599" s="105">
        <f>IF($T$421&gt;0,'Assumptions (NG)'!AK$11*Model!$T$421*('Assumptions (NG)'!$S$15*AVERAGE('Assumptions (NG)'!$P$2:$R$2)+'Assumptions (NG)'!$S$16*AVERAGE('Assumptions (NG)'!$P$3:$R$3))/10^9,0)</f>
        <v>0.22644410063571893</v>
      </c>
      <c r="AJ599" s="105"/>
      <c r="AK599" s="105"/>
      <c r="AL599" s="105"/>
      <c r="AM599" s="105"/>
      <c r="AN599" s="105"/>
      <c r="AO599" s="105"/>
      <c r="AP599" s="105"/>
      <c r="AQ599" s="105"/>
      <c r="AR599" s="105"/>
      <c r="AS599" s="105"/>
      <c r="AT599" s="105"/>
      <c r="AU599" s="105"/>
      <c r="AV599" s="105"/>
      <c r="AW599" s="105"/>
      <c r="AX599" s="105"/>
      <c r="AY599" s="105"/>
      <c r="AZ599" s="105"/>
      <c r="BA599" s="105"/>
    </row>
    <row r="600" spans="1:53" ht="15.75" hidden="1" customHeight="1" outlineLevel="1">
      <c r="A600" s="379"/>
      <c r="B600" s="99"/>
      <c r="C600" s="105"/>
      <c r="D600" s="105"/>
      <c r="E600" s="105"/>
      <c r="F600" s="105"/>
      <c r="G600" s="105"/>
      <c r="H600" s="105"/>
      <c r="I600" s="105"/>
      <c r="J600" s="105"/>
      <c r="K600" s="105"/>
      <c r="L600" s="105"/>
      <c r="M600" s="105"/>
      <c r="N600" s="105"/>
      <c r="O600" s="105"/>
      <c r="P600" s="171"/>
      <c r="Q600" s="105"/>
      <c r="R600" s="91"/>
      <c r="S600" s="91"/>
      <c r="T600" s="91"/>
      <c r="U600" s="105">
        <f>IF($U$421&gt;0,'Assumptions (NG)'!V$11*Model!$U$421*('Assumptions (NG)'!$T$15*AVERAGE('Assumptions (NG)'!$Q$2:$S$2)+'Assumptions (NG)'!$T$16*AVERAGE('Assumptions (NG)'!$Q$3:$S$3))/10^9,0)</f>
        <v>0.884093834027739</v>
      </c>
      <c r="V600" s="105">
        <f>IF($U$421&gt;0,'Assumptions (NG)'!W$11*Model!$U$421*('Assumptions (NG)'!$T$15*AVERAGE('Assumptions (NG)'!$Q$2:$S$2)+'Assumptions (NG)'!$T$16*AVERAGE('Assumptions (NG)'!$Q$3:$S$3))/10^9,0)</f>
        <v>1.6797782846527043</v>
      </c>
      <c r="W600" s="105">
        <f>IF($U$421&gt;0,'Assumptions (NG)'!X$11*Model!$U$421*('Assumptions (NG)'!$T$15*AVERAGE('Assumptions (NG)'!$Q$2:$S$2)+'Assumptions (NG)'!$T$16*AVERAGE('Assumptions (NG)'!$Q$3:$S$3))/10^9,0)</f>
        <v>1.5118004561874339</v>
      </c>
      <c r="X600" s="105">
        <f>IF($U$421&gt;0,'Assumptions (NG)'!Y$11*Model!$U$421*('Assumptions (NG)'!$T$15*AVERAGE('Assumptions (NG)'!$Q$2:$S$2)+'Assumptions (NG)'!$T$16*AVERAGE('Assumptions (NG)'!$Q$3:$S$3))/10^9,0)</f>
        <v>1.3615045044027181</v>
      </c>
      <c r="Y600" s="105">
        <f>IF($U$421&gt;0,'Assumptions (NG)'!Z$11*Model!$U$421*('Assumptions (NG)'!$T$15*AVERAGE('Assumptions (NG)'!$Q$2:$S$2)+'Assumptions (NG)'!$T$16*AVERAGE('Assumptions (NG)'!$Q$3:$S$3))/10^9,0)</f>
        <v>1.2253540539624461</v>
      </c>
      <c r="Z600" s="105">
        <f>IF($U$421&gt;0,'Assumptions (NG)'!AA$11*Model!$U$421*('Assumptions (NG)'!$T$15*AVERAGE('Assumptions (NG)'!$Q$2:$S$2)+'Assumptions (NG)'!$T$16*AVERAGE('Assumptions (NG)'!$Q$3:$S$3))/10^9,0)</f>
        <v>1.1015809171985629</v>
      </c>
      <c r="AA600" s="105">
        <f>IF($U$421&gt;0,'Assumptions (NG)'!AB$11*Model!$U$421*('Assumptions (NG)'!$T$15*AVERAGE('Assumptions (NG)'!$Q$2:$S$2)+'Assumptions (NG)'!$T$16*AVERAGE('Assumptions (NG)'!$Q$3:$S$3))/10^9,0)</f>
        <v>1.0432307241527321</v>
      </c>
      <c r="AB600" s="105">
        <f>IF($U$421&gt;0,'Assumptions (NG)'!AC$11*Model!$U$421*('Assumptions (NG)'!$T$15*AVERAGE('Assumptions (NG)'!$Q$2:$S$2)+'Assumptions (NG)'!$T$16*AVERAGE('Assumptions (NG)'!$Q$3:$S$3))/10^9,0)</f>
        <v>1.0432307241527321</v>
      </c>
      <c r="AC600" s="105">
        <f>IF($U$421&gt;0,'Assumptions (NG)'!AD$11*Model!$U$421*('Assumptions (NG)'!$T$15*AVERAGE('Assumptions (NG)'!$Q$2:$S$2)+'Assumptions (NG)'!$T$16*AVERAGE('Assumptions (NG)'!$Q$3:$S$3))/10^9,0)</f>
        <v>1.0449989118207874</v>
      </c>
      <c r="AD600" s="105">
        <f>IF($U$421&gt;0,'Assumptions (NG)'!AE$11*Model!$U$421*('Assumptions (NG)'!$T$15*AVERAGE('Assumptions (NG)'!$Q$2:$S$2)+'Assumptions (NG)'!$T$16*AVERAGE('Assumptions (NG)'!$Q$3:$S$3))/10^9,0)</f>
        <v>1.0432307241527321</v>
      </c>
      <c r="AE600" s="105">
        <f>IF($U$421&gt;0,'Assumptions (NG)'!AF$11*Model!$U$421*('Assumptions (NG)'!$T$15*AVERAGE('Assumptions (NG)'!$Q$2:$S$2)+'Assumptions (NG)'!$T$16*AVERAGE('Assumptions (NG)'!$Q$3:$S$3))/10^9,0)</f>
        <v>1.0449989118207874</v>
      </c>
      <c r="AF600" s="105">
        <f>IF($U$421&gt;0,'Assumptions (NG)'!AG$11*Model!$U$421*('Assumptions (NG)'!$T$15*AVERAGE('Assumptions (NG)'!$Q$2:$S$2)+'Assumptions (NG)'!$T$16*AVERAGE('Assumptions (NG)'!$Q$3:$S$3))/10^9,0)</f>
        <v>1.0432307241527321</v>
      </c>
      <c r="AG600" s="105">
        <f>IF($U$421&gt;0,'Assumptions (NG)'!AH$11*Model!$U$421*('Assumptions (NG)'!$T$15*AVERAGE('Assumptions (NG)'!$Q$2:$S$2)+'Assumptions (NG)'!$T$16*AVERAGE('Assumptions (NG)'!$Q$3:$S$3))/10^9,0)</f>
        <v>1.0449989118207874</v>
      </c>
      <c r="AH600" s="105">
        <f>IF($U$421&gt;0,'Assumptions (NG)'!AI$11*Model!$U$421*('Assumptions (NG)'!$T$15*AVERAGE('Assumptions (NG)'!$Q$2:$S$2)+'Assumptions (NG)'!$T$16*AVERAGE('Assumptions (NG)'!$Q$3:$S$3))/10^9,0)</f>
        <v>1.0432307241527321</v>
      </c>
      <c r="AI600" s="105">
        <f>IF($U$421&gt;0,'Assumptions (NG)'!AJ$11*Model!$U$421*('Assumptions (NG)'!$T$15*AVERAGE('Assumptions (NG)'!$Q$2:$S$2)+'Assumptions (NG)'!$T$16*AVERAGE('Assumptions (NG)'!$Q$3:$S$3))/10^9,0)</f>
        <v>1.0449989118207874</v>
      </c>
      <c r="AJ600" s="105">
        <f>IF($U$421&gt;0,'Assumptions (NG)'!AK$11*Model!$U$421*('Assumptions (NG)'!$T$15*AVERAGE('Assumptions (NG)'!$Q$2:$S$2)+'Assumptions (NG)'!$T$16*AVERAGE('Assumptions (NG)'!$Q$3:$S$3))/10^9,0)</f>
        <v>0.52161536207636605</v>
      </c>
      <c r="AK600" s="105"/>
      <c r="AL600" s="105"/>
      <c r="AM600" s="105"/>
      <c r="AN600" s="105"/>
      <c r="AO600" s="105"/>
      <c r="AP600" s="105"/>
      <c r="AQ600" s="105"/>
      <c r="AR600" s="105"/>
      <c r="AS600" s="105"/>
      <c r="AT600" s="105"/>
      <c r="AU600" s="105"/>
      <c r="AV600" s="105"/>
      <c r="AW600" s="105"/>
      <c r="AX600" s="105"/>
      <c r="AY600" s="105"/>
      <c r="AZ600" s="105"/>
      <c r="BA600" s="105"/>
    </row>
    <row r="601" spans="1:53" ht="15.75" hidden="1" customHeight="1" outlineLevel="1">
      <c r="A601" s="379"/>
      <c r="B601" s="99"/>
      <c r="C601" s="105"/>
      <c r="D601" s="105"/>
      <c r="E601" s="105"/>
      <c r="F601" s="105"/>
      <c r="G601" s="105"/>
      <c r="H601" s="105"/>
      <c r="I601" s="105"/>
      <c r="J601" s="105"/>
      <c r="K601" s="105"/>
      <c r="L601" s="105"/>
      <c r="M601" s="105"/>
      <c r="N601" s="105"/>
      <c r="O601" s="105"/>
      <c r="P601" s="171"/>
      <c r="Q601" s="105"/>
      <c r="R601" s="91"/>
      <c r="S601" s="91"/>
      <c r="T601" s="91"/>
      <c r="U601" s="105"/>
      <c r="V601" s="105">
        <f>IF($V$421&gt;0,'Assumptions (NG)'!V$11*Model!$V$421*('Assumptions (NG)'!$U$15*AVERAGE('Assumptions (NG)'!$R$2:$T$2)+'Assumptions (NG)'!$U$16*AVERAGE('Assumptions (NG)'!$R$3:$T$3))/10^9,0)</f>
        <v>0.45928230125999725</v>
      </c>
      <c r="W601" s="105">
        <f>IF($V$421&gt;0,'Assumptions (NG)'!W$11*Model!$V$421*('Assumptions (NG)'!$U$15*AVERAGE('Assumptions (NG)'!$R$2:$T$2)+'Assumptions (NG)'!$U$16*AVERAGE('Assumptions (NG)'!$R$3:$T$3))/10^9,0)</f>
        <v>0.87263637239399494</v>
      </c>
      <c r="X601" s="105">
        <f>IF($V$421&gt;0,'Assumptions (NG)'!X$11*Model!$V$421*('Assumptions (NG)'!$U$15*AVERAGE('Assumptions (NG)'!$R$2:$T$2)+'Assumptions (NG)'!$U$16*AVERAGE('Assumptions (NG)'!$R$3:$T$3))/10^9,0)</f>
        <v>0.78537273515459538</v>
      </c>
      <c r="Y601" s="105">
        <f>IF($V$421&gt;0,'Assumptions (NG)'!Y$11*Model!$V$421*('Assumptions (NG)'!$U$15*AVERAGE('Assumptions (NG)'!$R$2:$T$2)+'Assumptions (NG)'!$U$16*AVERAGE('Assumptions (NG)'!$R$3:$T$3))/10^9,0)</f>
        <v>0.70729474394039571</v>
      </c>
      <c r="Z601" s="105">
        <f>IF($V$421&gt;0,'Assumptions (NG)'!Z$11*Model!$V$421*('Assumptions (NG)'!$U$15*AVERAGE('Assumptions (NG)'!$R$2:$T$2)+'Assumptions (NG)'!$U$16*AVERAGE('Assumptions (NG)'!$R$3:$T$3))/10^9,0)</f>
        <v>0.63656526954635617</v>
      </c>
      <c r="AA601" s="105">
        <f>IF($V$421&gt;0,'Assumptions (NG)'!AA$11*Model!$V$421*('Assumptions (NG)'!$U$15*AVERAGE('Assumptions (NG)'!$R$2:$T$2)+'Assumptions (NG)'!$U$16*AVERAGE('Assumptions (NG)'!$R$3:$T$3))/10^9,0)</f>
        <v>0.57226574736995661</v>
      </c>
      <c r="AB601" s="105">
        <f>IF($V$421&gt;0,'Assumptions (NG)'!AB$11*Model!$V$421*('Assumptions (NG)'!$U$15*AVERAGE('Assumptions (NG)'!$R$2:$T$2)+'Assumptions (NG)'!$U$16*AVERAGE('Assumptions (NG)'!$R$3:$T$3))/10^9,0)</f>
        <v>0.5419531154867967</v>
      </c>
      <c r="AC601" s="105">
        <f>IF($V$421&gt;0,'Assumptions (NG)'!AC$11*Model!$V$421*('Assumptions (NG)'!$U$15*AVERAGE('Assumptions (NG)'!$R$2:$T$2)+'Assumptions (NG)'!$U$16*AVERAGE('Assumptions (NG)'!$R$3:$T$3))/10^9,0)</f>
        <v>0.5419531154867967</v>
      </c>
      <c r="AD601" s="105">
        <f>IF($V$421&gt;0,'Assumptions (NG)'!AD$11*Model!$V$421*('Assumptions (NG)'!$U$15*AVERAGE('Assumptions (NG)'!$R$2:$T$2)+'Assumptions (NG)'!$U$16*AVERAGE('Assumptions (NG)'!$R$3:$T$3))/10^9,0)</f>
        <v>0.54287168008931674</v>
      </c>
      <c r="AE601" s="105">
        <f>IF($V$421&gt;0,'Assumptions (NG)'!AE$11*Model!$V$421*('Assumptions (NG)'!$U$15*AVERAGE('Assumptions (NG)'!$R$2:$T$2)+'Assumptions (NG)'!$U$16*AVERAGE('Assumptions (NG)'!$R$3:$T$3))/10^9,0)</f>
        <v>0.5419531154867967</v>
      </c>
      <c r="AF601" s="105">
        <f>IF($V$421&gt;0,'Assumptions (NG)'!AF$11*Model!$V$421*('Assumptions (NG)'!$U$15*AVERAGE('Assumptions (NG)'!$R$2:$T$2)+'Assumptions (NG)'!$U$16*AVERAGE('Assumptions (NG)'!$R$3:$T$3))/10^9,0)</f>
        <v>0.54287168008931674</v>
      </c>
      <c r="AG601" s="105">
        <f>IF($V$421&gt;0,'Assumptions (NG)'!AG$11*Model!$V$421*('Assumptions (NG)'!$U$15*AVERAGE('Assumptions (NG)'!$R$2:$T$2)+'Assumptions (NG)'!$U$16*AVERAGE('Assumptions (NG)'!$R$3:$T$3))/10^9,0)</f>
        <v>0.5419531154867967</v>
      </c>
      <c r="AH601" s="105">
        <f>IF($V$421&gt;0,'Assumptions (NG)'!AH$11*Model!$V$421*('Assumptions (NG)'!$U$15*AVERAGE('Assumptions (NG)'!$R$2:$T$2)+'Assumptions (NG)'!$U$16*AVERAGE('Assumptions (NG)'!$R$3:$T$3))/10^9,0)</f>
        <v>0.54287168008931674</v>
      </c>
      <c r="AI601" s="105">
        <f>IF($V$421&gt;0,'Assumptions (NG)'!AI$11*Model!$V$421*('Assumptions (NG)'!$U$15*AVERAGE('Assumptions (NG)'!$R$2:$T$2)+'Assumptions (NG)'!$U$16*AVERAGE('Assumptions (NG)'!$R$3:$T$3))/10^9,0)</f>
        <v>0.5419531154867967</v>
      </c>
      <c r="AJ601" s="105">
        <f>IF($V$421&gt;0,'Assumptions (NG)'!AJ$11*Model!$V$421*('Assumptions (NG)'!$U$15*AVERAGE('Assumptions (NG)'!$R$2:$T$2)+'Assumptions (NG)'!$U$16*AVERAGE('Assumptions (NG)'!$R$3:$T$3))/10^9,0)</f>
        <v>0.54287168008931674</v>
      </c>
      <c r="AK601" s="105">
        <f>IF($V$421&gt;0,'Assumptions (NG)'!AK$11*Model!$V$421*('Assumptions (NG)'!$U$15*AVERAGE('Assumptions (NG)'!$R$2:$T$2)+'Assumptions (NG)'!$U$16*AVERAGE('Assumptions (NG)'!$R$3:$T$3))/10^9,0)</f>
        <v>0.27097655774339835</v>
      </c>
      <c r="AL601" s="105"/>
      <c r="AM601" s="105"/>
      <c r="AN601" s="105"/>
      <c r="AO601" s="105"/>
      <c r="AP601" s="105"/>
      <c r="AQ601" s="105"/>
      <c r="AR601" s="105"/>
      <c r="AS601" s="105"/>
      <c r="AT601" s="105"/>
      <c r="AU601" s="105"/>
      <c r="AV601" s="105"/>
      <c r="AW601" s="105"/>
      <c r="AX601" s="105"/>
      <c r="AY601" s="105"/>
      <c r="AZ601" s="105"/>
      <c r="BA601" s="105"/>
    </row>
    <row r="602" spans="1:53" ht="15.75" hidden="1" customHeight="1" outlineLevel="1">
      <c r="A602" s="379"/>
      <c r="B602" s="99"/>
      <c r="C602" s="99"/>
      <c r="D602" s="99"/>
      <c r="E602" s="99"/>
      <c r="F602" s="99"/>
      <c r="G602" s="99"/>
      <c r="H602" s="99"/>
      <c r="I602" s="99"/>
      <c r="J602" s="99"/>
      <c r="K602" s="99"/>
      <c r="L602" s="99"/>
      <c r="M602" s="99"/>
      <c r="N602" s="99"/>
      <c r="O602" s="99"/>
      <c r="P602" s="99"/>
      <c r="Q602" s="99"/>
      <c r="R602" s="99"/>
      <c r="S602" s="99"/>
      <c r="T602" s="99"/>
      <c r="U602" s="99"/>
      <c r="V602" s="99"/>
      <c r="W602" s="105">
        <f>IF($W$421&gt;0,'Assumptions (NG)'!V11*Model!$W$421*('Assumptions (NG)'!$V$15*AVERAGE('Assumptions (NG)'!$S$2:$U$2)+'Assumptions (NG)'!$V$16*AVERAGE('Assumptions (NG)'!$S$3:$U$3))/10^9,0)</f>
        <v>0.32454740165094875</v>
      </c>
      <c r="X602" s="105">
        <f>IF($W$421&gt;0,'Assumptions (NG)'!W11*Model!$W$421*('Assumptions (NG)'!$V$15*AVERAGE('Assumptions (NG)'!$S$2:$U$2)+'Assumptions (NG)'!$V$16*AVERAGE('Assumptions (NG)'!$S$3:$U$3))/10^9,0)</f>
        <v>0.61664006313680253</v>
      </c>
      <c r="Y602" s="105">
        <f>IF($W$421&gt;0,'Assumptions (NG)'!X11*Model!$W$421*('Assumptions (NG)'!$V$15*AVERAGE('Assumptions (NG)'!$S$2:$U$2)+'Assumptions (NG)'!$V$16*AVERAGE('Assumptions (NG)'!$S$3:$U$3))/10^9,0)</f>
        <v>0.55497605682312234</v>
      </c>
      <c r="Z602" s="105">
        <f>IF($W$421&gt;0,'Assumptions (NG)'!Y11*Model!$W$421*('Assumptions (NG)'!$V$15*AVERAGE('Assumptions (NG)'!$S$2:$U$2)+'Assumptions (NG)'!$V$16*AVERAGE('Assumptions (NG)'!$S$3:$U$3))/10^9,0)</f>
        <v>0.49980299854246102</v>
      </c>
      <c r="AA602" s="105">
        <f>IF($W$421&gt;0,'Assumptions (NG)'!Z11*Model!$W$421*('Assumptions (NG)'!$V$15*AVERAGE('Assumptions (NG)'!$S$2:$U$2)+'Assumptions (NG)'!$V$16*AVERAGE('Assumptions (NG)'!$S$3:$U$3))/10^9,0)</f>
        <v>0.44982269868821495</v>
      </c>
      <c r="AB602" s="105">
        <f>IF($W$421&gt;0,'Assumptions (NG)'!AA11*Model!$W$421*('Assumptions (NG)'!$V$15*AVERAGE('Assumptions (NG)'!$S$2:$U$2)+'Assumptions (NG)'!$V$16*AVERAGE('Assumptions (NG)'!$S$3:$U$3))/10^9,0)</f>
        <v>0.40438606245708208</v>
      </c>
      <c r="AC602" s="105">
        <f>IF($W$421&gt;0,'Assumptions (NG)'!AB11*Model!$W$421*('Assumptions (NG)'!$V$15*AVERAGE('Assumptions (NG)'!$S$2:$U$2)+'Assumptions (NG)'!$V$16*AVERAGE('Assumptions (NG)'!$S$3:$U$3))/10^9,0)</f>
        <v>0.38296593394811945</v>
      </c>
      <c r="AD602" s="105">
        <f>IF($W$421&gt;0,'Assumptions (NG)'!AC11*Model!$W$421*('Assumptions (NG)'!$V$15*AVERAGE('Assumptions (NG)'!$S$2:$U$2)+'Assumptions (NG)'!$V$16*AVERAGE('Assumptions (NG)'!$S$3:$U$3))/10^9,0)</f>
        <v>0.38296593394811945</v>
      </c>
      <c r="AE602" s="105">
        <f>IF($W$421&gt;0,'Assumptions (NG)'!AD11*Model!$W$421*('Assumptions (NG)'!$V$15*AVERAGE('Assumptions (NG)'!$S$2:$U$2)+'Assumptions (NG)'!$V$16*AVERAGE('Assumptions (NG)'!$S$3:$U$3))/10^9,0)</f>
        <v>0.38361502875142139</v>
      </c>
      <c r="AF602" s="105">
        <f>IF($W$421&gt;0,'Assumptions (NG)'!AE11*Model!$W$421*('Assumptions (NG)'!$V$15*AVERAGE('Assumptions (NG)'!$S$2:$U$2)+'Assumptions (NG)'!$V$16*AVERAGE('Assumptions (NG)'!$S$3:$U$3))/10^9,0)</f>
        <v>0.38296593394811945</v>
      </c>
      <c r="AG602" s="105">
        <f>IF($W$421&gt;0,'Assumptions (NG)'!AF11*Model!$W$421*('Assumptions (NG)'!$V$15*AVERAGE('Assumptions (NG)'!$S$2:$U$2)+'Assumptions (NG)'!$V$16*AVERAGE('Assumptions (NG)'!$S$3:$U$3))/10^9,0)</f>
        <v>0.38361502875142139</v>
      </c>
      <c r="AH602" s="105">
        <f>IF($W$421&gt;0,'Assumptions (NG)'!AG11*Model!$W$421*('Assumptions (NG)'!$V$15*AVERAGE('Assumptions (NG)'!$S$2:$U$2)+'Assumptions (NG)'!$V$16*AVERAGE('Assumptions (NG)'!$S$3:$U$3))/10^9,0)</f>
        <v>0.38296593394811945</v>
      </c>
      <c r="AI602" s="105">
        <f>IF($W$421&gt;0,'Assumptions (NG)'!AH11*Model!$W$421*('Assumptions (NG)'!$V$15*AVERAGE('Assumptions (NG)'!$S$2:$U$2)+'Assumptions (NG)'!$V$16*AVERAGE('Assumptions (NG)'!$S$3:$U$3))/10^9,0)</f>
        <v>0.38361502875142139</v>
      </c>
      <c r="AJ602" s="105">
        <f>IF($W$421&gt;0,'Assumptions (NG)'!AI11*Model!$W$421*('Assumptions (NG)'!$V$15*AVERAGE('Assumptions (NG)'!$S$2:$U$2)+'Assumptions (NG)'!$V$16*AVERAGE('Assumptions (NG)'!$S$3:$U$3))/10^9,0)</f>
        <v>0.38296593394811945</v>
      </c>
      <c r="AK602" s="105">
        <f>IF($W$421&gt;0,'Assumptions (NG)'!AJ11*Model!$W$421*('Assumptions (NG)'!$V$15*AVERAGE('Assumptions (NG)'!$S$2:$U$2)+'Assumptions (NG)'!$V$16*AVERAGE('Assumptions (NG)'!$S$3:$U$3))/10^9,0)</f>
        <v>0.38361502875142139</v>
      </c>
      <c r="AL602" s="105">
        <f>IF($W$421&gt;0,'Assumptions (NG)'!AK11*Model!$W$421*('Assumptions (NG)'!$V$15*AVERAGE('Assumptions (NG)'!$S$2:$U$2)+'Assumptions (NG)'!$V$16*AVERAGE('Assumptions (NG)'!$S$3:$U$3))/10^9,0)</f>
        <v>0.19148296697405973</v>
      </c>
      <c r="AM602" s="105"/>
      <c r="AN602" s="105"/>
      <c r="AO602" s="105"/>
      <c r="AP602" s="105"/>
      <c r="AQ602" s="105"/>
      <c r="AR602" s="105"/>
      <c r="AS602" s="105"/>
      <c r="AT602" s="105"/>
      <c r="AU602" s="105"/>
      <c r="AV602" s="105"/>
      <c r="AW602" s="105"/>
      <c r="AX602" s="105"/>
      <c r="AY602" s="105"/>
      <c r="AZ602" s="105"/>
      <c r="BA602" s="105"/>
    </row>
    <row r="603" spans="1:53" ht="15.75" hidden="1" customHeight="1" outlineLevel="1">
      <c r="A603" s="379"/>
      <c r="B603" s="99"/>
      <c r="C603" s="99"/>
      <c r="D603" s="99"/>
      <c r="E603" s="99"/>
      <c r="F603" s="99"/>
      <c r="G603" s="99"/>
      <c r="H603" s="99"/>
      <c r="I603" s="99"/>
      <c r="J603" s="99"/>
      <c r="K603" s="99"/>
      <c r="L603" s="99"/>
      <c r="M603" s="99"/>
      <c r="N603" s="99"/>
      <c r="O603" s="99"/>
      <c r="P603" s="99"/>
      <c r="Q603" s="99"/>
      <c r="R603" s="99"/>
      <c r="S603" s="99"/>
      <c r="T603" s="99"/>
      <c r="U603" s="99"/>
      <c r="V603" s="99"/>
      <c r="W603" s="105"/>
      <c r="X603" s="150">
        <f>IF($X$421&gt;0,'Assumptions (NG)'!V11*Model!$X$421*('Assumptions (NG)'!$W$15*AVERAGE('Assumptions (NG)'!$T$2:$V$2)+'Assumptions (NG)'!$W$16*AVERAGE('Assumptions (NG)'!$T$3:$V$3))/10^9,0)</f>
        <v>2.0338627079795368</v>
      </c>
      <c r="Y603" s="150">
        <f>IF($X$421&gt;0,'Assumptions (NG)'!W11*Model!$X$421*('Assumptions (NG)'!$W$15*AVERAGE('Assumptions (NG)'!$T$2:$V$2)+'Assumptions (NG)'!$W$16*AVERAGE('Assumptions (NG)'!$T$3:$V$3))/10^9,0)</f>
        <v>3.8643391451611193</v>
      </c>
      <c r="Z603" s="150">
        <f>IF($X$421&gt;0,'Assumptions (NG)'!X11*Model!$X$421*('Assumptions (NG)'!$W$15*AVERAGE('Assumptions (NG)'!$T$2:$V$2)+'Assumptions (NG)'!$W$16*AVERAGE('Assumptions (NG)'!$T$3:$V$3))/10^9,0)</f>
        <v>3.4779052306450082</v>
      </c>
      <c r="AA603" s="150">
        <f>IF($X$421&gt;0,'Assumptions (NG)'!Y11*Model!$X$421*('Assumptions (NG)'!$W$15*AVERAGE('Assumptions (NG)'!$T$2:$V$2)+'Assumptions (NG)'!$W$16*AVERAGE('Assumptions (NG)'!$T$3:$V$3))/10^9,0)</f>
        <v>3.1321485702884866</v>
      </c>
      <c r="AB603" s="150">
        <f>IF($X$421&gt;0,'Assumptions (NG)'!Z11*Model!$X$421*('Assumptions (NG)'!$W$15*AVERAGE('Assumptions (NG)'!$T$2:$V$2)+'Assumptions (NG)'!$W$16*AVERAGE('Assumptions (NG)'!$T$3:$V$3))/10^9,0)</f>
        <v>2.8189337132596379</v>
      </c>
      <c r="AC603" s="150">
        <f>IF($X$421&gt;0,'Assumptions (NG)'!AA11*Model!$X$421*('Assumptions (NG)'!$W$15*AVERAGE('Assumptions (NG)'!$T$2:$V$2)+'Assumptions (NG)'!$W$16*AVERAGE('Assumptions (NG)'!$T$3:$V$3))/10^9,0)</f>
        <v>2.5341929341425029</v>
      </c>
      <c r="AD603" s="150">
        <f>IF($X$421&gt;0,'Assumptions (NG)'!AB11*Model!$X$421*('Assumptions (NG)'!$W$15*AVERAGE('Assumptions (NG)'!$T$2:$V$2)+'Assumptions (NG)'!$W$16*AVERAGE('Assumptions (NG)'!$T$3:$V$3))/10^9,0)</f>
        <v>2.399957995415853</v>
      </c>
      <c r="AE603" s="150">
        <f>IF($X$421&gt;0,'Assumptions (NG)'!AC11*Model!$X$421*('Assumptions (NG)'!$W$15*AVERAGE('Assumptions (NG)'!$T$2:$V$2)+'Assumptions (NG)'!$W$16*AVERAGE('Assumptions (NG)'!$T$3:$V$3))/10^9,0)</f>
        <v>2.399957995415853</v>
      </c>
      <c r="AF603" s="150">
        <f>IF($X$421&gt;0,'Assumptions (NG)'!AD11*Model!$X$421*('Assumptions (NG)'!$W$15*AVERAGE('Assumptions (NG)'!$T$2:$V$2)+'Assumptions (NG)'!$W$16*AVERAGE('Assumptions (NG)'!$T$3:$V$3))/10^9,0)</f>
        <v>2.4040257208318123</v>
      </c>
      <c r="AG603" s="150">
        <f>IF($X$421&gt;0,'Assumptions (NG)'!AE11*Model!$X$421*('Assumptions (NG)'!$W$15*AVERAGE('Assumptions (NG)'!$T$2:$V$2)+'Assumptions (NG)'!$W$16*AVERAGE('Assumptions (NG)'!$T$3:$V$3))/10^9,0)</f>
        <v>2.399957995415853</v>
      </c>
      <c r="AH603" s="150">
        <f>IF($X$421&gt;0,'Assumptions (NG)'!AF11*Model!$X$421*('Assumptions (NG)'!$W$15*AVERAGE('Assumptions (NG)'!$T$2:$V$2)+'Assumptions (NG)'!$W$16*AVERAGE('Assumptions (NG)'!$T$3:$V$3))/10^9,0)</f>
        <v>2.4040257208318123</v>
      </c>
      <c r="AI603" s="150">
        <f>IF($X$421&gt;0,'Assumptions (NG)'!AG11*Model!$X$421*('Assumptions (NG)'!$W$15*AVERAGE('Assumptions (NG)'!$T$2:$V$2)+'Assumptions (NG)'!$W$16*AVERAGE('Assumptions (NG)'!$T$3:$V$3))/10^9,0)</f>
        <v>2.399957995415853</v>
      </c>
      <c r="AJ603" s="150">
        <f>IF($X$421&gt;0,'Assumptions (NG)'!AH11*Model!$X$421*('Assumptions (NG)'!$W$15*AVERAGE('Assumptions (NG)'!$T$2:$V$2)+'Assumptions (NG)'!$W$16*AVERAGE('Assumptions (NG)'!$T$3:$V$3))/10^9,0)</f>
        <v>2.4040257208318123</v>
      </c>
      <c r="AK603" s="150">
        <f>IF($X$421&gt;0,'Assumptions (NG)'!AI11*Model!$X$421*('Assumptions (NG)'!$W$15*AVERAGE('Assumptions (NG)'!$T$2:$V$2)+'Assumptions (NG)'!$W$16*AVERAGE('Assumptions (NG)'!$T$3:$V$3))/10^9,0)</f>
        <v>2.399957995415853</v>
      </c>
      <c r="AL603" s="150">
        <f>IF($X$421&gt;0,'Assumptions (NG)'!AJ11*Model!$X$421*('Assumptions (NG)'!$W$15*AVERAGE('Assumptions (NG)'!$T$2:$V$2)+'Assumptions (NG)'!$W$16*AVERAGE('Assumptions (NG)'!$T$3:$V$3))/10^9,0)</f>
        <v>2.4040257208318123</v>
      </c>
      <c r="AM603" s="150">
        <f>IF($X$421&gt;0,'Assumptions (NG)'!AK11*Model!$X$421*('Assumptions (NG)'!$W$15*AVERAGE('Assumptions (NG)'!$T$2:$V$2)+'Assumptions (NG)'!$W$16*AVERAGE('Assumptions (NG)'!$T$3:$V$3))/10^9,0)</f>
        <v>1.1999789977079265</v>
      </c>
      <c r="AN603" s="105"/>
      <c r="AO603" s="105"/>
      <c r="AP603" s="105"/>
      <c r="AQ603" s="105"/>
      <c r="AR603" s="105"/>
      <c r="AS603" s="105"/>
      <c r="AT603" s="105"/>
      <c r="AU603" s="105"/>
      <c r="AV603" s="105"/>
      <c r="AW603" s="105"/>
      <c r="AX603" s="105"/>
      <c r="AY603" s="105"/>
      <c r="AZ603" s="105"/>
      <c r="BA603" s="105"/>
    </row>
    <row r="604" spans="1:53" ht="15.75" hidden="1" customHeight="1" outlineLevel="1">
      <c r="A604" s="379"/>
      <c r="B604" s="99"/>
      <c r="C604" s="99"/>
      <c r="D604" s="99"/>
      <c r="E604" s="99"/>
      <c r="F604" s="99"/>
      <c r="G604" s="99"/>
      <c r="H604" s="99"/>
      <c r="I604" s="99"/>
      <c r="J604" s="99"/>
      <c r="K604" s="99"/>
      <c r="L604" s="99"/>
      <c r="M604" s="99"/>
      <c r="N604" s="99"/>
      <c r="O604" s="99"/>
      <c r="P604" s="99"/>
      <c r="Q604" s="99"/>
      <c r="R604" s="99"/>
      <c r="S604" s="99"/>
      <c r="T604" s="99"/>
      <c r="U604" s="99"/>
      <c r="V604" s="99"/>
      <c r="W604" s="105"/>
      <c r="X604" s="105"/>
      <c r="Y604" s="150">
        <f>IF($Y$421&gt;0,'Assumptions (NG)'!V11*Model!$Y$421*('Assumptions (NG)'!$X$15*AVERAGE('Assumptions (NG)'!$V$2:$W$2)+'Assumptions (NG)'!$X$16*AVERAGE('Assumptions (NG)'!$V$3:$W$3))/10^9,0)</f>
        <v>0</v>
      </c>
      <c r="Z604" s="150">
        <f>IF($Y$421&gt;0,'Assumptions (NG)'!W11*Model!$Y$421*('Assumptions (NG)'!$X$15*AVERAGE('Assumptions (NG)'!$V$2:$W$2)+'Assumptions (NG)'!$X$16*AVERAGE('Assumptions (NG)'!$V$3:$W$3))/10^9,0)</f>
        <v>0</v>
      </c>
      <c r="AA604" s="150">
        <f>IF($Y$421&gt;0,'Assumptions (NG)'!X11*Model!$Y$421*('Assumptions (NG)'!$X$15*AVERAGE('Assumptions (NG)'!$V$2:$W$2)+'Assumptions (NG)'!$X$16*AVERAGE('Assumptions (NG)'!$V$3:$W$3))/10^9,0)</f>
        <v>0</v>
      </c>
      <c r="AB604" s="150">
        <f>IF($Y$421&gt;0,'Assumptions (NG)'!Y11*Model!$Y$421*('Assumptions (NG)'!$X$15*AVERAGE('Assumptions (NG)'!$V$2:$W$2)+'Assumptions (NG)'!$X$16*AVERAGE('Assumptions (NG)'!$V$3:$W$3))/10^9,0)</f>
        <v>0</v>
      </c>
      <c r="AC604" s="150">
        <f>IF($Y$421&gt;0,'Assumptions (NG)'!Z11*Model!$Y$421*('Assumptions (NG)'!$X$15*AVERAGE('Assumptions (NG)'!$V$2:$W$2)+'Assumptions (NG)'!$X$16*AVERAGE('Assumptions (NG)'!$V$3:$W$3))/10^9,0)</f>
        <v>0</v>
      </c>
      <c r="AD604" s="150">
        <f>IF($Y$421&gt;0,'Assumptions (NG)'!AA11*Model!$Y$421*('Assumptions (NG)'!$X$15*AVERAGE('Assumptions (NG)'!$V$2:$W$2)+'Assumptions (NG)'!$X$16*AVERAGE('Assumptions (NG)'!$V$3:$W$3))/10^9,0)</f>
        <v>0</v>
      </c>
      <c r="AE604" s="150">
        <f>IF($Y$421&gt;0,'Assumptions (NG)'!AB11*Model!$Y$421*('Assumptions (NG)'!$X$15*AVERAGE('Assumptions (NG)'!$V$2:$W$2)+'Assumptions (NG)'!$X$16*AVERAGE('Assumptions (NG)'!$V$3:$W$3))/10^9,0)</f>
        <v>0</v>
      </c>
      <c r="AF604" s="150">
        <f>IF($Y$421&gt;0,'Assumptions (NG)'!AC11*Model!$Y$421*('Assumptions (NG)'!$X$15*AVERAGE('Assumptions (NG)'!$V$2:$W$2)+'Assumptions (NG)'!$X$16*AVERAGE('Assumptions (NG)'!$V$3:$W$3))/10^9,0)</f>
        <v>0</v>
      </c>
      <c r="AG604" s="150">
        <f>IF($Y$421&gt;0,'Assumptions (NG)'!AD11*Model!$Y$421*('Assumptions (NG)'!$X$15*AVERAGE('Assumptions (NG)'!$V$2:$W$2)+'Assumptions (NG)'!$X$16*AVERAGE('Assumptions (NG)'!$V$3:$W$3))/10^9,0)</f>
        <v>0</v>
      </c>
      <c r="AH604" s="150">
        <f>IF($Y$421&gt;0,'Assumptions (NG)'!AE11*Model!$Y$421*('Assumptions (NG)'!$X$15*AVERAGE('Assumptions (NG)'!$V$2:$W$2)+'Assumptions (NG)'!$X$16*AVERAGE('Assumptions (NG)'!$V$3:$W$3))/10^9,0)</f>
        <v>0</v>
      </c>
      <c r="AI604" s="150">
        <f>IF($Y$421&gt;0,'Assumptions (NG)'!AF11*Model!$Y$421*('Assumptions (NG)'!$X$15*AVERAGE('Assumptions (NG)'!$V$2:$W$2)+'Assumptions (NG)'!$X$16*AVERAGE('Assumptions (NG)'!$V$3:$W$3))/10^9,0)</f>
        <v>0</v>
      </c>
      <c r="AJ604" s="150">
        <f>IF($Y$421&gt;0,'Assumptions (NG)'!AG11*Model!$Y$421*('Assumptions (NG)'!$X$15*AVERAGE('Assumptions (NG)'!$V$2:$W$2)+'Assumptions (NG)'!$X$16*AVERAGE('Assumptions (NG)'!$V$3:$W$3))/10^9,0)</f>
        <v>0</v>
      </c>
      <c r="AK604" s="150">
        <f>IF($Y$421&gt;0,'Assumptions (NG)'!AH11*Model!$Y$421*('Assumptions (NG)'!$X$15*AVERAGE('Assumptions (NG)'!$V$2:$W$2)+'Assumptions (NG)'!$X$16*AVERAGE('Assumptions (NG)'!$V$3:$W$3))/10^9,0)</f>
        <v>0</v>
      </c>
      <c r="AL604" s="150">
        <f>IF($Y$421&gt;0,'Assumptions (NG)'!AI11*Model!$Y$421*('Assumptions (NG)'!$X$15*AVERAGE('Assumptions (NG)'!$V$2:$W$2)+'Assumptions (NG)'!$X$16*AVERAGE('Assumptions (NG)'!$V$3:$W$3))/10^9,0)</f>
        <v>0</v>
      </c>
      <c r="AM604" s="150">
        <f>IF($Y$421&gt;0,'Assumptions (NG)'!AJ11*Model!$Y$421*('Assumptions (NG)'!$X$15*AVERAGE('Assumptions (NG)'!$V$2:$W$2)+'Assumptions (NG)'!$X$16*AVERAGE('Assumptions (NG)'!$V$3:$W$3))/10^9,0)</f>
        <v>0</v>
      </c>
      <c r="AN604" s="150">
        <f>IF($Y$421&gt;0,'Assumptions (NG)'!AK11*Model!$Y$421*('Assumptions (NG)'!$X$15*AVERAGE('Assumptions (NG)'!$V$2:$W$2)+'Assumptions (NG)'!$X$16*AVERAGE('Assumptions (NG)'!$V$3:$W$3))/10^9,0)</f>
        <v>0</v>
      </c>
      <c r="AO604" s="105"/>
      <c r="AP604" s="105"/>
      <c r="AQ604" s="105"/>
      <c r="AR604" s="105"/>
      <c r="AS604" s="105"/>
      <c r="AT604" s="105"/>
      <c r="AU604" s="105"/>
      <c r="AV604" s="105"/>
      <c r="AW604" s="105"/>
      <c r="AX604" s="105"/>
      <c r="AY604" s="105"/>
      <c r="AZ604" s="105"/>
      <c r="BA604" s="105"/>
    </row>
    <row r="605" spans="1:53" ht="15.75" hidden="1" customHeight="1" outlineLevel="1">
      <c r="A605" s="379"/>
      <c r="B605" s="99"/>
      <c r="C605" s="99"/>
      <c r="D605" s="99"/>
      <c r="E605" s="99"/>
      <c r="F605" s="99"/>
      <c r="G605" s="99"/>
      <c r="H605" s="99"/>
      <c r="I605" s="99"/>
      <c r="J605" s="99"/>
      <c r="K605" s="99"/>
      <c r="L605" s="99"/>
      <c r="M605" s="99"/>
      <c r="N605" s="99"/>
      <c r="O605" s="99"/>
      <c r="P605" s="99"/>
      <c r="Q605" s="99"/>
      <c r="R605" s="99"/>
      <c r="S605" s="99"/>
      <c r="T605" s="99"/>
      <c r="U605" s="99"/>
      <c r="V605" s="99"/>
      <c r="W605" s="105"/>
      <c r="X605" s="105"/>
      <c r="Y605" s="105"/>
      <c r="Z605" s="150">
        <f>IF($Z$421&gt;0,'Assumptions (NG)'!V11*Model!$Z$421*('Assumptions (NG)'!$Y$15*AVERAGE('Assumptions (NG)'!$V$2:$X$2)+'Assumptions (NG)'!$Y$16*AVERAGE('Assumptions (NG)'!$V$3:$X$3))/10^9,0)</f>
        <v>0</v>
      </c>
      <c r="AA605" s="150">
        <f>IF($Z$421&gt;0,'Assumptions (NG)'!W11*Model!$Z$421*('Assumptions (NG)'!$Y$15*AVERAGE('Assumptions (NG)'!$V$2:$X$2)+'Assumptions (NG)'!$Y$16*AVERAGE('Assumptions (NG)'!$V$3:$X$3))/10^9,0)</f>
        <v>0</v>
      </c>
      <c r="AB605" s="150">
        <f>IF($Z$421&gt;0,'Assumptions (NG)'!X11*Model!$Z$421*('Assumptions (NG)'!$Y$15*AVERAGE('Assumptions (NG)'!$V$2:$X$2)+'Assumptions (NG)'!$Y$16*AVERAGE('Assumptions (NG)'!$V$3:$X$3))/10^9,0)</f>
        <v>0</v>
      </c>
      <c r="AC605" s="150">
        <f>IF($Z$421&gt;0,'Assumptions (NG)'!Y11*Model!$Z$421*('Assumptions (NG)'!$Y$15*AVERAGE('Assumptions (NG)'!$V$2:$X$2)+'Assumptions (NG)'!$Y$16*AVERAGE('Assumptions (NG)'!$V$3:$X$3))/10^9,0)</f>
        <v>0</v>
      </c>
      <c r="AD605" s="150">
        <f>IF($Z$421&gt;0,'Assumptions (NG)'!Z11*Model!$Z$421*('Assumptions (NG)'!$Y$15*AVERAGE('Assumptions (NG)'!$V$2:$X$2)+'Assumptions (NG)'!$Y$16*AVERAGE('Assumptions (NG)'!$V$3:$X$3))/10^9,0)</f>
        <v>0</v>
      </c>
      <c r="AE605" s="150">
        <f>IF($Z$421&gt;0,'Assumptions (NG)'!AA11*Model!$Z$421*('Assumptions (NG)'!$Y$15*AVERAGE('Assumptions (NG)'!$V$2:$X$2)+'Assumptions (NG)'!$Y$16*AVERAGE('Assumptions (NG)'!$V$3:$X$3))/10^9,0)</f>
        <v>0</v>
      </c>
      <c r="AF605" s="150">
        <f>IF($Z$421&gt;0,'Assumptions (NG)'!AB11*Model!$Z$421*('Assumptions (NG)'!$Y$15*AVERAGE('Assumptions (NG)'!$V$2:$X$2)+'Assumptions (NG)'!$Y$16*AVERAGE('Assumptions (NG)'!$V$3:$X$3))/10^9,0)</f>
        <v>0</v>
      </c>
      <c r="AG605" s="150">
        <f>IF($Z$421&gt;0,'Assumptions (NG)'!AC11*Model!$Z$421*('Assumptions (NG)'!$Y$15*AVERAGE('Assumptions (NG)'!$V$2:$X$2)+'Assumptions (NG)'!$Y$16*AVERAGE('Assumptions (NG)'!$V$3:$X$3))/10^9,0)</f>
        <v>0</v>
      </c>
      <c r="AH605" s="150">
        <f>IF($Z$421&gt;0,'Assumptions (NG)'!AD11*Model!$Z$421*('Assumptions (NG)'!$Y$15*AVERAGE('Assumptions (NG)'!$V$2:$X$2)+'Assumptions (NG)'!$Y$16*AVERAGE('Assumptions (NG)'!$V$3:$X$3))/10^9,0)</f>
        <v>0</v>
      </c>
      <c r="AI605" s="150">
        <f>IF($Z$421&gt;0,'Assumptions (NG)'!AE11*Model!$Z$421*('Assumptions (NG)'!$Y$15*AVERAGE('Assumptions (NG)'!$V$2:$X$2)+'Assumptions (NG)'!$Y$16*AVERAGE('Assumptions (NG)'!$V$3:$X$3))/10^9,0)</f>
        <v>0</v>
      </c>
      <c r="AJ605" s="150">
        <f>IF($Z$421&gt;0,'Assumptions (NG)'!AF11*Model!$Z$421*('Assumptions (NG)'!$Y$15*AVERAGE('Assumptions (NG)'!$V$2:$X$2)+'Assumptions (NG)'!$Y$16*AVERAGE('Assumptions (NG)'!$V$3:$X$3))/10^9,0)</f>
        <v>0</v>
      </c>
      <c r="AK605" s="150">
        <f>IF($Z$421&gt;0,'Assumptions (NG)'!AG11*Model!$Z$421*('Assumptions (NG)'!$Y$15*AVERAGE('Assumptions (NG)'!$V$2:$X$2)+'Assumptions (NG)'!$Y$16*AVERAGE('Assumptions (NG)'!$V$3:$X$3))/10^9,0)</f>
        <v>0</v>
      </c>
      <c r="AL605" s="150">
        <f>IF($Z$421&gt;0,'Assumptions (NG)'!AH11*Model!$Z$421*('Assumptions (NG)'!$Y$15*AVERAGE('Assumptions (NG)'!$V$2:$X$2)+'Assumptions (NG)'!$Y$16*AVERAGE('Assumptions (NG)'!$V$3:$X$3))/10^9,0)</f>
        <v>0</v>
      </c>
      <c r="AM605" s="150">
        <f>IF($Z$421&gt;0,'Assumptions (NG)'!AI11*Model!$Z$421*('Assumptions (NG)'!$Y$15*AVERAGE('Assumptions (NG)'!$V$2:$X$2)+'Assumptions (NG)'!$Y$16*AVERAGE('Assumptions (NG)'!$V$3:$X$3))/10^9,0)</f>
        <v>0</v>
      </c>
      <c r="AN605" s="150">
        <f>IF($Z$421&gt;0,'Assumptions (NG)'!AJ11*Model!$Z$421*('Assumptions (NG)'!$Y$15*AVERAGE('Assumptions (NG)'!$V$2:$X$2)+'Assumptions (NG)'!$Y$16*AVERAGE('Assumptions (NG)'!$V$3:$X$3))/10^9,0)</f>
        <v>0</v>
      </c>
      <c r="AO605" s="150">
        <f>IF($Z$421&gt;0,'Assumptions (NG)'!AK11*Model!$Z$421*('Assumptions (NG)'!$Y$15*AVERAGE('Assumptions (NG)'!$V$2:$X$2)+'Assumptions (NG)'!$Y$16*AVERAGE('Assumptions (NG)'!$V$3:$X$3))/10^9,0)</f>
        <v>0</v>
      </c>
      <c r="AP605" s="105"/>
      <c r="AQ605" s="105"/>
      <c r="AR605" s="105"/>
      <c r="AS605" s="105"/>
      <c r="AT605" s="105"/>
      <c r="AU605" s="105"/>
      <c r="AV605" s="105"/>
      <c r="AW605" s="105"/>
      <c r="AX605" s="105"/>
      <c r="AY605" s="105"/>
      <c r="AZ605" s="105"/>
      <c r="BA605" s="105"/>
    </row>
    <row r="606" spans="1:53" ht="15.75" hidden="1" customHeight="1" outlineLevel="1">
      <c r="A606" s="379"/>
      <c r="B606" s="99"/>
      <c r="C606" s="99"/>
      <c r="D606" s="99"/>
      <c r="E606" s="99"/>
      <c r="F606" s="99"/>
      <c r="G606" s="99"/>
      <c r="H606" s="99"/>
      <c r="I606" s="99"/>
      <c r="J606" s="99"/>
      <c r="K606" s="99"/>
      <c r="L606" s="99"/>
      <c r="M606" s="99"/>
      <c r="N606" s="99"/>
      <c r="O606" s="99"/>
      <c r="P606" s="99"/>
      <c r="Q606" s="99"/>
      <c r="R606" s="99"/>
      <c r="S606" s="99"/>
      <c r="T606" s="99"/>
      <c r="U606" s="99"/>
      <c r="V606" s="99"/>
      <c r="W606" s="105"/>
      <c r="X606" s="105"/>
      <c r="Y606" s="105"/>
      <c r="Z606" s="105"/>
      <c r="AA606" s="105">
        <f>IF($AA$421&gt;0,'Assumptions (NG)'!V11*Model!$AA$421*('Assumptions (NG)'!$Z$15*AVERAGE('Assumptions (NG)'!$W$2:$Y$2)+'Assumptions (NG)'!$Z$16*AVERAGE('Assumptions (NG)'!$W$3:$Y$3))/10^9,0)</f>
        <v>0</v>
      </c>
      <c r="AB606" s="105">
        <f>IF($AA$421&gt;0,'Assumptions (NG)'!W11*Model!$AA$421*('Assumptions (NG)'!$Z$15*AVERAGE('Assumptions (NG)'!$W$2:$Y$2)+'Assumptions (NG)'!$Z$16*AVERAGE('Assumptions (NG)'!$W$3:$Y$3))/10^9,0)</f>
        <v>0</v>
      </c>
      <c r="AC606" s="105">
        <f>IF($AA$421&gt;0,'Assumptions (NG)'!X11*Model!$AA$421*('Assumptions (NG)'!$Z$15*AVERAGE('Assumptions (NG)'!$W$2:$Y$2)+'Assumptions (NG)'!$Z$16*AVERAGE('Assumptions (NG)'!$W$3:$Y$3))/10^9,0)</f>
        <v>0</v>
      </c>
      <c r="AD606" s="105">
        <f>IF($AA$421&gt;0,'Assumptions (NG)'!Y11*Model!$AA$421*('Assumptions (NG)'!$Z$15*AVERAGE('Assumptions (NG)'!$W$2:$Y$2)+'Assumptions (NG)'!$Z$16*AVERAGE('Assumptions (NG)'!$W$3:$Y$3))/10^9,0)</f>
        <v>0</v>
      </c>
      <c r="AE606" s="105">
        <f>IF($AA$421&gt;0,'Assumptions (NG)'!Z11*Model!$AA$421*('Assumptions (NG)'!$Z$15*AVERAGE('Assumptions (NG)'!$W$2:$Y$2)+'Assumptions (NG)'!$Z$16*AVERAGE('Assumptions (NG)'!$W$3:$Y$3))/10^9,0)</f>
        <v>0</v>
      </c>
      <c r="AF606" s="105">
        <f>IF($AA$421&gt;0,'Assumptions (NG)'!AA11*Model!$AA$421*('Assumptions (NG)'!$Z$15*AVERAGE('Assumptions (NG)'!$W$2:$Y$2)+'Assumptions (NG)'!$Z$16*AVERAGE('Assumptions (NG)'!$W$3:$Y$3))/10^9,0)</f>
        <v>0</v>
      </c>
      <c r="AG606" s="105">
        <f>IF($AA$421&gt;0,'Assumptions (NG)'!AB11*Model!$AA$421*('Assumptions (NG)'!$Z$15*AVERAGE('Assumptions (NG)'!$W$2:$Y$2)+'Assumptions (NG)'!$Z$16*AVERAGE('Assumptions (NG)'!$W$3:$Y$3))/10^9,0)</f>
        <v>0</v>
      </c>
      <c r="AH606" s="105">
        <f>IF($AA$421&gt;0,'Assumptions (NG)'!AC11*Model!$AA$421*('Assumptions (NG)'!$Z$15*AVERAGE('Assumptions (NG)'!$W$2:$Y$2)+'Assumptions (NG)'!$Z$16*AVERAGE('Assumptions (NG)'!$W$3:$Y$3))/10^9,0)</f>
        <v>0</v>
      </c>
      <c r="AI606" s="105">
        <f>IF($AA$421&gt;0,'Assumptions (NG)'!AD11*Model!$AA$421*('Assumptions (NG)'!$Z$15*AVERAGE('Assumptions (NG)'!$W$2:$Y$2)+'Assumptions (NG)'!$Z$16*AVERAGE('Assumptions (NG)'!$W$3:$Y$3))/10^9,0)</f>
        <v>0</v>
      </c>
      <c r="AJ606" s="105">
        <f>IF($AA$421&gt;0,'Assumptions (NG)'!AE11*Model!$AA$421*('Assumptions (NG)'!$Z$15*AVERAGE('Assumptions (NG)'!$W$2:$Y$2)+'Assumptions (NG)'!$Z$16*AVERAGE('Assumptions (NG)'!$W$3:$Y$3))/10^9,0)</f>
        <v>0</v>
      </c>
      <c r="AK606" s="105">
        <f>IF($AA$421&gt;0,'Assumptions (NG)'!AF11*Model!$AA$421*('Assumptions (NG)'!$Z$15*AVERAGE('Assumptions (NG)'!$W$2:$Y$2)+'Assumptions (NG)'!$Z$16*AVERAGE('Assumptions (NG)'!$W$3:$Y$3))/10^9,0)</f>
        <v>0</v>
      </c>
      <c r="AL606" s="105">
        <f>IF($AA$421&gt;0,'Assumptions (NG)'!AG11*Model!$AA$421*('Assumptions (NG)'!$Z$15*AVERAGE('Assumptions (NG)'!$W$2:$Y$2)+'Assumptions (NG)'!$Z$16*AVERAGE('Assumptions (NG)'!$W$3:$Y$3))/10^9,0)</f>
        <v>0</v>
      </c>
      <c r="AM606" s="105">
        <f>IF($AA$421&gt;0,'Assumptions (NG)'!AH11*Model!$AA$421*('Assumptions (NG)'!$Z$15*AVERAGE('Assumptions (NG)'!$W$2:$Y$2)+'Assumptions (NG)'!$Z$16*AVERAGE('Assumptions (NG)'!$W$3:$Y$3))/10^9,0)</f>
        <v>0</v>
      </c>
      <c r="AN606" s="105">
        <f>IF($AA$421&gt;0,'Assumptions (NG)'!AI11*Model!$AA$421*('Assumptions (NG)'!$Z$15*AVERAGE('Assumptions (NG)'!$W$2:$Y$2)+'Assumptions (NG)'!$Z$16*AVERAGE('Assumptions (NG)'!$W$3:$Y$3))/10^9,0)</f>
        <v>0</v>
      </c>
      <c r="AO606" s="105">
        <f>IF($AA$421&gt;0,'Assumptions (NG)'!AJ11*Model!$AA$421*('Assumptions (NG)'!$Z$15*AVERAGE('Assumptions (NG)'!$W$2:$Y$2)+'Assumptions (NG)'!$Z$16*AVERAGE('Assumptions (NG)'!$W$3:$Y$3))/10^9,0)</f>
        <v>0</v>
      </c>
      <c r="AP606" s="105">
        <f>IF($AA$421&gt;0,'Assumptions (NG)'!AK11*Model!$AA$421*('Assumptions (NG)'!$Z$15*AVERAGE('Assumptions (NG)'!$W$2:$Y$2)+'Assumptions (NG)'!$Z$16*AVERAGE('Assumptions (NG)'!$W$3:$Y$3))/10^9,0)</f>
        <v>0</v>
      </c>
      <c r="AQ606" s="105"/>
      <c r="AR606" s="105"/>
      <c r="AS606" s="105"/>
      <c r="AT606" s="105"/>
      <c r="AU606" s="105"/>
      <c r="AV606" s="105"/>
      <c r="AW606" s="105"/>
      <c r="AX606" s="105"/>
      <c r="AY606" s="105"/>
      <c r="AZ606" s="105"/>
      <c r="BA606" s="105"/>
    </row>
    <row r="607" spans="1:53" ht="15.75" hidden="1" customHeight="1" outlineLevel="1">
      <c r="A607" s="379"/>
      <c r="B607" s="99"/>
      <c r="C607" s="99"/>
      <c r="D607" s="99"/>
      <c r="E607" s="99"/>
      <c r="F607" s="99"/>
      <c r="G607" s="99"/>
      <c r="H607" s="99"/>
      <c r="I607" s="99"/>
      <c r="J607" s="99"/>
      <c r="K607" s="99"/>
      <c r="L607" s="99"/>
      <c r="M607" s="99"/>
      <c r="N607" s="99"/>
      <c r="O607" s="99"/>
      <c r="P607" s="99"/>
      <c r="Q607" s="99"/>
      <c r="R607" s="99"/>
      <c r="S607" s="99"/>
      <c r="T607" s="99"/>
      <c r="U607" s="99"/>
      <c r="V607" s="99"/>
      <c r="W607" s="105"/>
      <c r="X607" s="105"/>
      <c r="Y607" s="105"/>
      <c r="Z607" s="105"/>
      <c r="AA607" s="105"/>
      <c r="AB607" s="105">
        <f>IF($AB$421&gt;0,'Assumptions (NG)'!V11*Model!$AB$421*('Assumptions (NG)'!$AA$15*AVERAGE('Assumptions (NG)'!$X$2:$Z$2)+'Assumptions (NG)'!$AA$16*AVERAGE('Assumptions (NG)'!$X$3:$Z$3))/10^9,0)</f>
        <v>0</v>
      </c>
      <c r="AC607" s="105">
        <f>IF($AB$421&gt;0,'Assumptions (NG)'!W11*Model!$AB$421*('Assumptions (NG)'!$AA$15*AVERAGE('Assumptions (NG)'!$X$2:$Z$2)+'Assumptions (NG)'!$AA$16*AVERAGE('Assumptions (NG)'!$X$3:$Z$3))/10^9,0)</f>
        <v>0</v>
      </c>
      <c r="AD607" s="105">
        <f>IF($AB$421&gt;0,'Assumptions (NG)'!X11*Model!$AB$421*('Assumptions (NG)'!$AA$15*AVERAGE('Assumptions (NG)'!$X$2:$Z$2)+'Assumptions (NG)'!$AA$16*AVERAGE('Assumptions (NG)'!$X$3:$Z$3))/10^9,0)</f>
        <v>0</v>
      </c>
      <c r="AE607" s="105">
        <f>IF($AB$421&gt;0,'Assumptions (NG)'!Y11*Model!$AB$421*('Assumptions (NG)'!$AA$15*AVERAGE('Assumptions (NG)'!$X$2:$Z$2)+'Assumptions (NG)'!$AA$16*AVERAGE('Assumptions (NG)'!$X$3:$Z$3))/10^9,0)</f>
        <v>0</v>
      </c>
      <c r="AF607" s="105">
        <f>IF($AB$421&gt;0,'Assumptions (NG)'!Z11*Model!$AB$421*('Assumptions (NG)'!$AA$15*AVERAGE('Assumptions (NG)'!$X$2:$Z$2)+'Assumptions (NG)'!$AA$16*AVERAGE('Assumptions (NG)'!$X$3:$Z$3))/10^9,0)</f>
        <v>0</v>
      </c>
      <c r="AG607" s="105">
        <f>IF($AB$421&gt;0,'Assumptions (NG)'!AA11*Model!$AB$421*('Assumptions (NG)'!$AA$15*AVERAGE('Assumptions (NG)'!$X$2:$Z$2)+'Assumptions (NG)'!$AA$16*AVERAGE('Assumptions (NG)'!$X$3:$Z$3))/10^9,0)</f>
        <v>0</v>
      </c>
      <c r="AH607" s="105">
        <f>IF($AB$421&gt;0,'Assumptions (NG)'!AB11*Model!$AB$421*('Assumptions (NG)'!$AA$15*AVERAGE('Assumptions (NG)'!$X$2:$Z$2)+'Assumptions (NG)'!$AA$16*AVERAGE('Assumptions (NG)'!$X$3:$Z$3))/10^9,0)</f>
        <v>0</v>
      </c>
      <c r="AI607" s="105">
        <f>IF($AB$421&gt;0,'Assumptions (NG)'!AC11*Model!$AB$421*('Assumptions (NG)'!$AA$15*AVERAGE('Assumptions (NG)'!$X$2:$Z$2)+'Assumptions (NG)'!$AA$16*AVERAGE('Assumptions (NG)'!$X$3:$Z$3))/10^9,0)</f>
        <v>0</v>
      </c>
      <c r="AJ607" s="105">
        <f>IF($AB$421&gt;0,'Assumptions (NG)'!AD11*Model!$AB$421*('Assumptions (NG)'!$AA$15*AVERAGE('Assumptions (NG)'!$X$2:$Z$2)+'Assumptions (NG)'!$AA$16*AVERAGE('Assumptions (NG)'!$X$3:$Z$3))/10^9,0)</f>
        <v>0</v>
      </c>
      <c r="AK607" s="105">
        <f>IF($AB$421&gt;0,'Assumptions (NG)'!AE11*Model!$AB$421*('Assumptions (NG)'!$AA$15*AVERAGE('Assumptions (NG)'!$X$2:$Z$2)+'Assumptions (NG)'!$AA$16*AVERAGE('Assumptions (NG)'!$X$3:$Z$3))/10^9,0)</f>
        <v>0</v>
      </c>
      <c r="AL607" s="105">
        <f>IF($AB$421&gt;0,'Assumptions (NG)'!AF11*Model!$AB$421*('Assumptions (NG)'!$AA$15*AVERAGE('Assumptions (NG)'!$X$2:$Z$2)+'Assumptions (NG)'!$AA$16*AVERAGE('Assumptions (NG)'!$X$3:$Z$3))/10^9,0)</f>
        <v>0</v>
      </c>
      <c r="AM607" s="105">
        <f>IF($AB$421&gt;0,'Assumptions (NG)'!AG11*Model!$AB$421*('Assumptions (NG)'!$AA$15*AVERAGE('Assumptions (NG)'!$X$2:$Z$2)+'Assumptions (NG)'!$AA$16*AVERAGE('Assumptions (NG)'!$X$3:$Z$3))/10^9,0)</f>
        <v>0</v>
      </c>
      <c r="AN607" s="105">
        <f>IF($AB$421&gt;0,'Assumptions (NG)'!AH11*Model!$AB$421*('Assumptions (NG)'!$AA$15*AVERAGE('Assumptions (NG)'!$X$2:$Z$2)+'Assumptions (NG)'!$AA$16*AVERAGE('Assumptions (NG)'!$X$3:$Z$3))/10^9,0)</f>
        <v>0</v>
      </c>
      <c r="AO607" s="105">
        <f>IF($AB$421&gt;0,'Assumptions (NG)'!AI11*Model!$AB$421*('Assumptions (NG)'!$AA$15*AVERAGE('Assumptions (NG)'!$X$2:$Z$2)+'Assumptions (NG)'!$AA$16*AVERAGE('Assumptions (NG)'!$X$3:$Z$3))/10^9,0)</f>
        <v>0</v>
      </c>
      <c r="AP607" s="105">
        <f>IF($AB$421&gt;0,'Assumptions (NG)'!AJ11*Model!$AB$421*('Assumptions (NG)'!$AA$15*AVERAGE('Assumptions (NG)'!$X$2:$Z$2)+'Assumptions (NG)'!$AA$16*AVERAGE('Assumptions (NG)'!$X$3:$Z$3))/10^9,0)</f>
        <v>0</v>
      </c>
      <c r="AQ607" s="105">
        <f>IF($AB$421&gt;0,'Assumptions (NG)'!AK11*Model!$AB$421*('Assumptions (NG)'!$AA$15*AVERAGE('Assumptions (NG)'!$X$2:$Z$2)+'Assumptions (NG)'!$AA$16*AVERAGE('Assumptions (NG)'!$X$3:$Z$3))/10^9,0)</f>
        <v>0</v>
      </c>
      <c r="AR607" s="105"/>
      <c r="AS607" s="105"/>
      <c r="AT607" s="105"/>
      <c r="AU607" s="105"/>
      <c r="AV607" s="105"/>
      <c r="AW607" s="105"/>
      <c r="AX607" s="105"/>
      <c r="AY607" s="105"/>
      <c r="AZ607" s="105"/>
      <c r="BA607" s="105"/>
    </row>
    <row r="608" spans="1:53" ht="15.75" hidden="1" customHeight="1" outlineLevel="1">
      <c r="A608" s="379"/>
      <c r="B608" s="99"/>
      <c r="C608" s="99"/>
      <c r="D608" s="99"/>
      <c r="E608" s="99"/>
      <c r="F608" s="99"/>
      <c r="G608" s="99"/>
      <c r="H608" s="99"/>
      <c r="I608" s="99"/>
      <c r="J608" s="99"/>
      <c r="K608" s="99"/>
      <c r="L608" s="99"/>
      <c r="M608" s="99"/>
      <c r="N608" s="99"/>
      <c r="O608" s="99"/>
      <c r="P608" s="99"/>
      <c r="Q608" s="99"/>
      <c r="R608" s="99"/>
      <c r="S608" s="99"/>
      <c r="T608" s="99"/>
      <c r="U608" s="99"/>
      <c r="V608" s="99"/>
      <c r="W608" s="105"/>
      <c r="X608" s="105"/>
      <c r="Y608" s="105"/>
      <c r="Z608" s="105"/>
      <c r="AA608" s="105"/>
      <c r="AB608" s="105"/>
      <c r="AC608" s="105">
        <f>IF($AC$421&gt;0,'Assumptions (NG)'!V11*Model!$AC$421*('Assumptions (NG)'!$AB$15*AVERAGE('Assumptions (NG)'!$Y$2:$AA$2)+'Assumptions (NG)'!$AB$16*AVERAGE('Assumptions (NG)'!$Y$3:$AA$3))/10^9,0)</f>
        <v>0</v>
      </c>
      <c r="AD608" s="105">
        <f>IF($AC$421&gt;0,'Assumptions (NG)'!W11*Model!$AC$421*('Assumptions (NG)'!$AB$15*AVERAGE('Assumptions (NG)'!$Y$2:$AA$2)+'Assumptions (NG)'!$AB$16*AVERAGE('Assumptions (NG)'!$Y$3:$AA$3))/10^9,0)</f>
        <v>0</v>
      </c>
      <c r="AE608" s="105">
        <f>IF($AC$421&gt;0,'Assumptions (NG)'!X11*Model!$AC$421*('Assumptions (NG)'!$AB$15*AVERAGE('Assumptions (NG)'!$Y$2:$AA$2)+'Assumptions (NG)'!$AB$16*AVERAGE('Assumptions (NG)'!$Y$3:$AA$3))/10^9,0)</f>
        <v>0</v>
      </c>
      <c r="AF608" s="105">
        <f>IF($AC$421&gt;0,'Assumptions (NG)'!Y11*Model!$AC$421*('Assumptions (NG)'!$AB$15*AVERAGE('Assumptions (NG)'!$Y$2:$AA$2)+'Assumptions (NG)'!$AB$16*AVERAGE('Assumptions (NG)'!$Y$3:$AA$3))/10^9,0)</f>
        <v>0</v>
      </c>
      <c r="AG608" s="105">
        <f>IF($AC$421&gt;0,'Assumptions (NG)'!Z11*Model!$AC$421*('Assumptions (NG)'!$AB$15*AVERAGE('Assumptions (NG)'!$Y$2:$AA$2)+'Assumptions (NG)'!$AB$16*AVERAGE('Assumptions (NG)'!$Y$3:$AA$3))/10^9,0)</f>
        <v>0</v>
      </c>
      <c r="AH608" s="105">
        <f>IF($AC$421&gt;0,'Assumptions (NG)'!AA11*Model!$AC$421*('Assumptions (NG)'!$AB$15*AVERAGE('Assumptions (NG)'!$Y$2:$AA$2)+'Assumptions (NG)'!$AB$16*AVERAGE('Assumptions (NG)'!$Y$3:$AA$3))/10^9,0)</f>
        <v>0</v>
      </c>
      <c r="AI608" s="105">
        <f>IF($AC$421&gt;0,'Assumptions (NG)'!AB11*Model!$AC$421*('Assumptions (NG)'!$AB$15*AVERAGE('Assumptions (NG)'!$Y$2:$AA$2)+'Assumptions (NG)'!$AB$16*AVERAGE('Assumptions (NG)'!$Y$3:$AA$3))/10^9,0)</f>
        <v>0</v>
      </c>
      <c r="AJ608" s="105">
        <f>IF($AC$421&gt;0,'Assumptions (NG)'!AC11*Model!$AC$421*('Assumptions (NG)'!$AB$15*AVERAGE('Assumptions (NG)'!$Y$2:$AA$2)+'Assumptions (NG)'!$AB$16*AVERAGE('Assumptions (NG)'!$Y$3:$AA$3))/10^9,0)</f>
        <v>0</v>
      </c>
      <c r="AK608" s="105">
        <f>IF($AC$421&gt;0,'Assumptions (NG)'!AD11*Model!$AC$421*('Assumptions (NG)'!$AB$15*AVERAGE('Assumptions (NG)'!$Y$2:$AA$2)+'Assumptions (NG)'!$AB$16*AVERAGE('Assumptions (NG)'!$Y$3:$AA$3))/10^9,0)</f>
        <v>0</v>
      </c>
      <c r="AL608" s="105">
        <f>IF($AC$421&gt;0,'Assumptions (NG)'!AE11*Model!$AC$421*('Assumptions (NG)'!$AB$15*AVERAGE('Assumptions (NG)'!$Y$2:$AA$2)+'Assumptions (NG)'!$AB$16*AVERAGE('Assumptions (NG)'!$Y$3:$AA$3))/10^9,0)</f>
        <v>0</v>
      </c>
      <c r="AM608" s="105">
        <f>IF($AC$421&gt;0,'Assumptions (NG)'!AF11*Model!$AC$421*('Assumptions (NG)'!$AB$15*AVERAGE('Assumptions (NG)'!$Y$2:$AA$2)+'Assumptions (NG)'!$AB$16*AVERAGE('Assumptions (NG)'!$Y$3:$AA$3))/10^9,0)</f>
        <v>0</v>
      </c>
      <c r="AN608" s="105">
        <f>IF($AC$421&gt;0,'Assumptions (NG)'!AG11*Model!$AC$421*('Assumptions (NG)'!$AB$15*AVERAGE('Assumptions (NG)'!$Y$2:$AA$2)+'Assumptions (NG)'!$AB$16*AVERAGE('Assumptions (NG)'!$Y$3:$AA$3))/10^9,0)</f>
        <v>0</v>
      </c>
      <c r="AO608" s="105">
        <f>IF($AC$421&gt;0,'Assumptions (NG)'!AH11*Model!$AC$421*('Assumptions (NG)'!$AB$15*AVERAGE('Assumptions (NG)'!$Y$2:$AA$2)+'Assumptions (NG)'!$AB$16*AVERAGE('Assumptions (NG)'!$Y$3:$AA$3))/10^9,0)</f>
        <v>0</v>
      </c>
      <c r="AP608" s="105">
        <f>IF($AC$421&gt;0,'Assumptions (NG)'!AI11*Model!$AC$421*('Assumptions (NG)'!$AB$15*AVERAGE('Assumptions (NG)'!$Y$2:$AA$2)+'Assumptions (NG)'!$AB$16*AVERAGE('Assumptions (NG)'!$Y$3:$AA$3))/10^9,0)</f>
        <v>0</v>
      </c>
      <c r="AQ608" s="105">
        <f>IF($AC$421&gt;0,'Assumptions (NG)'!AJ11*Model!$AC$421*('Assumptions (NG)'!$AB$15*AVERAGE('Assumptions (NG)'!$Y$2:$AA$2)+'Assumptions (NG)'!$AB$16*AVERAGE('Assumptions (NG)'!$Y$3:$AA$3))/10^9,0)</f>
        <v>0</v>
      </c>
      <c r="AR608" s="105">
        <f>IF($AC$421&gt;0,'Assumptions (NG)'!AK11*Model!$AC$421*('Assumptions (NG)'!$AB$15*AVERAGE('Assumptions (NG)'!$Y$2:$AA$2)+'Assumptions (NG)'!$AB$16*AVERAGE('Assumptions (NG)'!$Y$3:$AA$3))/10^9,0)</f>
        <v>0</v>
      </c>
      <c r="AS608" s="105"/>
      <c r="AT608" s="105"/>
      <c r="AU608" s="105"/>
      <c r="AV608" s="105"/>
      <c r="AW608" s="105"/>
      <c r="AX608" s="105"/>
      <c r="AY608" s="105"/>
      <c r="AZ608" s="105"/>
      <c r="BA608" s="105"/>
    </row>
    <row r="609" spans="1:70" ht="15.75" hidden="1" customHeight="1" outlineLevel="1">
      <c r="A609" s="379"/>
      <c r="B609" s="99"/>
      <c r="C609" s="99"/>
      <c r="D609" s="99"/>
      <c r="E609" s="99"/>
      <c r="F609" s="99"/>
      <c r="G609" s="99"/>
      <c r="H609" s="99"/>
      <c r="I609" s="99"/>
      <c r="J609" s="99"/>
      <c r="K609" s="99"/>
      <c r="L609" s="99"/>
      <c r="M609" s="99"/>
      <c r="N609" s="99"/>
      <c r="O609" s="99"/>
      <c r="P609" s="99"/>
      <c r="Q609" s="99"/>
      <c r="R609" s="99"/>
      <c r="S609" s="99"/>
      <c r="T609" s="99"/>
      <c r="U609" s="99"/>
      <c r="V609" s="99"/>
      <c r="W609" s="105"/>
      <c r="X609" s="105"/>
      <c r="Y609" s="105"/>
      <c r="Z609" s="105"/>
      <c r="AA609" s="105"/>
      <c r="AB609" s="105"/>
      <c r="AC609" s="105"/>
      <c r="AD609" s="105">
        <f>IF($AD$421&gt;0,'Assumptions (NG)'!V11*Model!$AD$421*('Assumptions (NG)'!$AC$15*AVERAGE('Assumptions (NG)'!$Z$2:$AB$2)+'Assumptions (NG)'!$AC$16*AVERAGE('Assumptions (NG)'!$Z$3:$AB$3))/10^9,0)</f>
        <v>0</v>
      </c>
      <c r="AE609" s="105">
        <f>IF($AD$421&gt;0,'Assumptions (NG)'!W11*Model!$AD$421*('Assumptions (NG)'!$AC$15*AVERAGE('Assumptions (NG)'!$Z$2:$AB$2)+'Assumptions (NG)'!$AC$16*AVERAGE('Assumptions (NG)'!$Z$3:$AB$3))/10^9,0)</f>
        <v>0</v>
      </c>
      <c r="AF609" s="105">
        <f>IF($AD$421&gt;0,'Assumptions (NG)'!X11*Model!$AD$421*('Assumptions (NG)'!$AC$15*AVERAGE('Assumptions (NG)'!$Z$2:$AB$2)+'Assumptions (NG)'!$AC$16*AVERAGE('Assumptions (NG)'!$Z$3:$AB$3))/10^9,0)</f>
        <v>0</v>
      </c>
      <c r="AG609" s="105">
        <f>IF($AD$421&gt;0,'Assumptions (NG)'!Y11*Model!$AD$421*('Assumptions (NG)'!$AC$15*AVERAGE('Assumptions (NG)'!$Z$2:$AB$2)+'Assumptions (NG)'!$AC$16*AVERAGE('Assumptions (NG)'!$Z$3:$AB$3))/10^9,0)</f>
        <v>0</v>
      </c>
      <c r="AH609" s="105">
        <f>IF($AD$421&gt;0,'Assumptions (NG)'!Z11*Model!$AD$421*('Assumptions (NG)'!$AC$15*AVERAGE('Assumptions (NG)'!$Z$2:$AB$2)+'Assumptions (NG)'!$AC$16*AVERAGE('Assumptions (NG)'!$Z$3:$AB$3))/10^9,0)</f>
        <v>0</v>
      </c>
      <c r="AI609" s="105">
        <f>IF($AD$421&gt;0,'Assumptions (NG)'!AA11*Model!$AD$421*('Assumptions (NG)'!$AC$15*AVERAGE('Assumptions (NG)'!$Z$2:$AB$2)+'Assumptions (NG)'!$AC$16*AVERAGE('Assumptions (NG)'!$Z$3:$AB$3))/10^9,0)</f>
        <v>0</v>
      </c>
      <c r="AJ609" s="105">
        <f>IF($AD$421&gt;0,'Assumptions (NG)'!AB11*Model!$AD$421*('Assumptions (NG)'!$AC$15*AVERAGE('Assumptions (NG)'!$Z$2:$AB$2)+'Assumptions (NG)'!$AC$16*AVERAGE('Assumptions (NG)'!$Z$3:$AB$3))/10^9,0)</f>
        <v>0</v>
      </c>
      <c r="AK609" s="105">
        <f>IF($AD$421&gt;0,'Assumptions (NG)'!AC11*Model!$AD$421*('Assumptions (NG)'!$AC$15*AVERAGE('Assumptions (NG)'!$Z$2:$AB$2)+'Assumptions (NG)'!$AC$16*AVERAGE('Assumptions (NG)'!$Z$3:$AB$3))/10^9,0)</f>
        <v>0</v>
      </c>
      <c r="AL609" s="105">
        <f>IF($AD$421&gt;0,'Assumptions (NG)'!AD11*Model!$AD$421*('Assumptions (NG)'!$AC$15*AVERAGE('Assumptions (NG)'!$Z$2:$AB$2)+'Assumptions (NG)'!$AC$16*AVERAGE('Assumptions (NG)'!$Z$3:$AB$3))/10^9,0)</f>
        <v>0</v>
      </c>
      <c r="AM609" s="105">
        <f>IF($AD$421&gt;0,'Assumptions (NG)'!AE11*Model!$AD$421*('Assumptions (NG)'!$AC$15*AVERAGE('Assumptions (NG)'!$Z$2:$AB$2)+'Assumptions (NG)'!$AC$16*AVERAGE('Assumptions (NG)'!$Z$3:$AB$3))/10^9,0)</f>
        <v>0</v>
      </c>
      <c r="AN609" s="105">
        <f>IF($AD$421&gt;0,'Assumptions (NG)'!AF11*Model!$AD$421*('Assumptions (NG)'!$AC$15*AVERAGE('Assumptions (NG)'!$Z$2:$AB$2)+'Assumptions (NG)'!$AC$16*AVERAGE('Assumptions (NG)'!$Z$3:$AB$3))/10^9,0)</f>
        <v>0</v>
      </c>
      <c r="AO609" s="105">
        <f>IF($AD$421&gt;0,'Assumptions (NG)'!AG11*Model!$AD$421*('Assumptions (NG)'!$AC$15*AVERAGE('Assumptions (NG)'!$Z$2:$AB$2)+'Assumptions (NG)'!$AC$16*AVERAGE('Assumptions (NG)'!$Z$3:$AB$3))/10^9,0)</f>
        <v>0</v>
      </c>
      <c r="AP609" s="105">
        <f>IF($AD$421&gt;0,'Assumptions (NG)'!AH11*Model!$AD$421*('Assumptions (NG)'!$AC$15*AVERAGE('Assumptions (NG)'!$Z$2:$AB$2)+'Assumptions (NG)'!$AC$16*AVERAGE('Assumptions (NG)'!$Z$3:$AB$3))/10^9,0)</f>
        <v>0</v>
      </c>
      <c r="AQ609" s="105">
        <f>IF($AD$421&gt;0,'Assumptions (NG)'!AI11*Model!$AD$421*('Assumptions (NG)'!$AC$15*AVERAGE('Assumptions (NG)'!$Z$2:$AB$2)+'Assumptions (NG)'!$AC$16*AVERAGE('Assumptions (NG)'!$Z$3:$AB$3))/10^9,0)</f>
        <v>0</v>
      </c>
      <c r="AR609" s="105">
        <f>IF($AD$421&gt;0,'Assumptions (NG)'!AJ11*Model!$AD$421*('Assumptions (NG)'!$AC$15*AVERAGE('Assumptions (NG)'!$Z$2:$AB$2)+'Assumptions (NG)'!$AC$16*AVERAGE('Assumptions (NG)'!$Z$3:$AB$3))/10^9,0)</f>
        <v>0</v>
      </c>
      <c r="AS609" s="105">
        <f>IF($AD$421&gt;0,'Assumptions (NG)'!AK11*Model!$AD$421*('Assumptions (NG)'!$AC$15*AVERAGE('Assumptions (NG)'!$Z$2:$AB$2)+'Assumptions (NG)'!$AC$16*AVERAGE('Assumptions (NG)'!$Z$3:$AB$3))/10^9,0)</f>
        <v>0</v>
      </c>
      <c r="AT609" s="105"/>
      <c r="AU609" s="105"/>
      <c r="AV609" s="105"/>
      <c r="AW609" s="105"/>
      <c r="AX609" s="105"/>
      <c r="AY609" s="105"/>
      <c r="AZ609" s="105"/>
      <c r="BA609" s="105"/>
      <c r="BB609" s="105"/>
    </row>
    <row r="610" spans="1:70" ht="15.75" hidden="1" customHeight="1" outlineLevel="1">
      <c r="A610" s="379"/>
      <c r="B610" s="99"/>
      <c r="C610" s="99"/>
      <c r="D610" s="99"/>
      <c r="E610" s="99"/>
      <c r="F610" s="99"/>
      <c r="G610" s="99"/>
      <c r="H610" s="99"/>
      <c r="I610" s="99"/>
      <c r="J610" s="99"/>
      <c r="K610" s="99"/>
      <c r="L610" s="99"/>
      <c r="M610" s="99"/>
      <c r="N610" s="99"/>
      <c r="O610" s="99"/>
      <c r="P610" s="99"/>
      <c r="Q610" s="99"/>
      <c r="R610" s="99"/>
      <c r="S610" s="99"/>
      <c r="T610" s="99"/>
      <c r="U610" s="99"/>
      <c r="V610" s="99"/>
      <c r="W610" s="105"/>
      <c r="X610" s="105"/>
      <c r="Y610" s="105"/>
      <c r="Z610" s="105"/>
      <c r="AA610" s="105"/>
      <c r="AB610" s="105"/>
      <c r="AC610" s="105"/>
      <c r="AD610" s="105"/>
      <c r="AE610" s="105">
        <f>IF($AE$421&gt;0,'Assumptions (NG)'!V11*Model!$AE$421*('Assumptions (NG)'!$AD$15*AVERAGE('Assumptions (NG)'!$AA$2:$AC$2)+'Assumptions (NG)'!$AD$16*AVERAGE('Assumptions (NG)'!$AA$3:$AC$3))/10^9,0)</f>
        <v>0</v>
      </c>
      <c r="AF610" s="105">
        <f>IF($AE$421&gt;0,'Assumptions (NG)'!W11*Model!$AE$421*('Assumptions (NG)'!$AD$15*AVERAGE('Assumptions (NG)'!$AA$2:$AC$2)+'Assumptions (NG)'!$AD$16*AVERAGE('Assumptions (NG)'!$AA$3:$AC$3))/10^9,0)</f>
        <v>0</v>
      </c>
      <c r="AG610" s="105">
        <f>IF($AE$421&gt;0,'Assumptions (NG)'!X11*Model!$AE$421*('Assumptions (NG)'!$AD$15*AVERAGE('Assumptions (NG)'!$AA$2:$AC$2)+'Assumptions (NG)'!$AD$16*AVERAGE('Assumptions (NG)'!$AA$3:$AC$3))/10^9,0)</f>
        <v>0</v>
      </c>
      <c r="AH610" s="105">
        <f>IF($AE$421&gt;0,'Assumptions (NG)'!Y11*Model!$AE$421*('Assumptions (NG)'!$AD$15*AVERAGE('Assumptions (NG)'!$AA$2:$AC$2)+'Assumptions (NG)'!$AD$16*AVERAGE('Assumptions (NG)'!$AA$3:$AC$3))/10^9,0)</f>
        <v>0</v>
      </c>
      <c r="AI610" s="105">
        <f>IF($AE$421&gt;0,'Assumptions (NG)'!Z11*Model!$AE$421*('Assumptions (NG)'!$AD$15*AVERAGE('Assumptions (NG)'!$AA$2:$AC$2)+'Assumptions (NG)'!$AD$16*AVERAGE('Assumptions (NG)'!$AA$3:$AC$3))/10^9,0)</f>
        <v>0</v>
      </c>
      <c r="AJ610" s="105">
        <f>IF($AE$421&gt;0,'Assumptions (NG)'!AA11*Model!$AE$421*('Assumptions (NG)'!$AD$15*AVERAGE('Assumptions (NG)'!$AA$2:$AC$2)+'Assumptions (NG)'!$AD$16*AVERAGE('Assumptions (NG)'!$AA$3:$AC$3))/10^9,0)</f>
        <v>0</v>
      </c>
      <c r="AK610" s="105">
        <f>IF($AE$421&gt;0,'Assumptions (NG)'!AB11*Model!$AE$421*('Assumptions (NG)'!$AD$15*AVERAGE('Assumptions (NG)'!$AA$2:$AC$2)+'Assumptions (NG)'!$AD$16*AVERAGE('Assumptions (NG)'!$AA$3:$AC$3))/10^9,0)</f>
        <v>0</v>
      </c>
      <c r="AL610" s="105">
        <f>IF($AE$421&gt;0,'Assumptions (NG)'!AC11*Model!$AE$421*('Assumptions (NG)'!$AD$15*AVERAGE('Assumptions (NG)'!$AA$2:$AC$2)+'Assumptions (NG)'!$AD$16*AVERAGE('Assumptions (NG)'!$AA$3:$AC$3))/10^9,0)</f>
        <v>0</v>
      </c>
      <c r="AM610" s="105">
        <f>IF($AE$421&gt;0,'Assumptions (NG)'!AD11*Model!$AE$421*('Assumptions (NG)'!$AD$15*AVERAGE('Assumptions (NG)'!$AA$2:$AC$2)+'Assumptions (NG)'!$AD$16*AVERAGE('Assumptions (NG)'!$AA$3:$AC$3))/10^9,0)</f>
        <v>0</v>
      </c>
      <c r="AN610" s="105">
        <f>IF($AE$421&gt;0,'Assumptions (NG)'!AE11*Model!$AE$421*('Assumptions (NG)'!$AD$15*AVERAGE('Assumptions (NG)'!$AA$2:$AC$2)+'Assumptions (NG)'!$AD$16*AVERAGE('Assumptions (NG)'!$AA$3:$AC$3))/10^9,0)</f>
        <v>0</v>
      </c>
      <c r="AO610" s="105">
        <f>IF($AE$421&gt;0,'Assumptions (NG)'!AF11*Model!$AE$421*('Assumptions (NG)'!$AD$15*AVERAGE('Assumptions (NG)'!$AA$2:$AC$2)+'Assumptions (NG)'!$AD$16*AVERAGE('Assumptions (NG)'!$AA$3:$AC$3))/10^9,0)</f>
        <v>0</v>
      </c>
      <c r="AP610" s="105">
        <f>IF($AE$421&gt;0,'Assumptions (NG)'!AG11*Model!$AE$421*('Assumptions (NG)'!$AD$15*AVERAGE('Assumptions (NG)'!$AA$2:$AC$2)+'Assumptions (NG)'!$AD$16*AVERAGE('Assumptions (NG)'!$AA$3:$AC$3))/10^9,0)</f>
        <v>0</v>
      </c>
      <c r="AQ610" s="105">
        <f>IF($AE$421&gt;0,'Assumptions (NG)'!AH11*Model!$AE$421*('Assumptions (NG)'!$AD$15*AVERAGE('Assumptions (NG)'!$AA$2:$AC$2)+'Assumptions (NG)'!$AD$16*AVERAGE('Assumptions (NG)'!$AA$3:$AC$3))/10^9,0)</f>
        <v>0</v>
      </c>
      <c r="AR610" s="105">
        <f>IF($AE$421&gt;0,'Assumptions (NG)'!AI11*Model!$AE$421*('Assumptions (NG)'!$AD$15*AVERAGE('Assumptions (NG)'!$AA$2:$AC$2)+'Assumptions (NG)'!$AD$16*AVERAGE('Assumptions (NG)'!$AA$3:$AC$3))/10^9,0)</f>
        <v>0</v>
      </c>
      <c r="AS610" s="105">
        <f>IF($AE$421&gt;0,'Assumptions (NG)'!AJ11*Model!$AE$421*('Assumptions (NG)'!$AD$15*AVERAGE('Assumptions (NG)'!$AA$2:$AC$2)+'Assumptions (NG)'!$AD$16*AVERAGE('Assumptions (NG)'!$AA$3:$AC$3))/10^9,0)</f>
        <v>0</v>
      </c>
      <c r="AT610" s="105">
        <f>IF($AE$421&gt;0,'Assumptions (NG)'!AK11*Model!$AE$421*('Assumptions (NG)'!$AD$15*AVERAGE('Assumptions (NG)'!$AA$2:$AC$2)+'Assumptions (NG)'!$AD$16*AVERAGE('Assumptions (NG)'!$AA$3:$AC$3))/10^9,0)</f>
        <v>0</v>
      </c>
      <c r="AU610" s="105"/>
      <c r="AV610" s="105"/>
      <c r="AW610" s="105"/>
      <c r="AX610" s="105"/>
      <c r="AY610" s="105"/>
      <c r="AZ610" s="105"/>
      <c r="BA610" s="105"/>
      <c r="BB610" s="105"/>
      <c r="BC610" s="105"/>
    </row>
    <row r="611" spans="1:70" ht="15.75" hidden="1" customHeight="1" outlineLevel="1">
      <c r="A611" s="379"/>
      <c r="B611" s="99"/>
      <c r="C611" s="99"/>
      <c r="D611" s="99"/>
      <c r="E611" s="99"/>
      <c r="F611" s="99"/>
      <c r="G611" s="99"/>
      <c r="H611" s="99"/>
      <c r="I611" s="99"/>
      <c r="J611" s="99"/>
      <c r="K611" s="99"/>
      <c r="L611" s="99"/>
      <c r="M611" s="99"/>
      <c r="N611" s="99"/>
      <c r="O611" s="99"/>
      <c r="P611" s="99"/>
      <c r="Q611" s="99"/>
      <c r="R611" s="99"/>
      <c r="S611" s="99"/>
      <c r="T611" s="99"/>
      <c r="U611" s="99"/>
      <c r="V611" s="99"/>
      <c r="W611" s="105"/>
      <c r="X611" s="105"/>
      <c r="Y611" s="105"/>
      <c r="Z611" s="105"/>
      <c r="AA611" s="105"/>
      <c r="AB611" s="105"/>
      <c r="AC611" s="105"/>
      <c r="AD611" s="105"/>
      <c r="AE611" s="105"/>
      <c r="AF611" s="105">
        <f>IF($AF$421&gt;0,'Assumptions (NG)'!V11*Model!$AF$421*('Assumptions (NG)'!$AE$15*AVERAGE('Assumptions (NG)'!$AB$2:$AD$2)+'Assumptions (NG)'!$AE$16*AVERAGE('Assumptions (NG)'!$AB$3:$AD$3))/10^9,0)</f>
        <v>0</v>
      </c>
      <c r="AG611" s="105">
        <f>IF($AF$421&gt;0,'Assumptions (NG)'!W11*Model!$AF$421*('Assumptions (NG)'!$AE$15*AVERAGE('Assumptions (NG)'!$AB$2:$AD$2)+'Assumptions (NG)'!$AE$16*AVERAGE('Assumptions (NG)'!$AB$3:$AD$3))/10^9,0)</f>
        <v>0</v>
      </c>
      <c r="AH611" s="105">
        <f>IF($AF$421&gt;0,'Assumptions (NG)'!X11*Model!$AF$421*('Assumptions (NG)'!$AE$15*AVERAGE('Assumptions (NG)'!$AB$2:$AD$2)+'Assumptions (NG)'!$AE$16*AVERAGE('Assumptions (NG)'!$AB$3:$AD$3))/10^9,0)</f>
        <v>0</v>
      </c>
      <c r="AI611" s="105">
        <f>IF($AF$421&gt;0,'Assumptions (NG)'!Y11*Model!$AF$421*('Assumptions (NG)'!$AE$15*AVERAGE('Assumptions (NG)'!$AB$2:$AD$2)+'Assumptions (NG)'!$AE$16*AVERAGE('Assumptions (NG)'!$AB$3:$AD$3))/10^9,0)</f>
        <v>0</v>
      </c>
      <c r="AJ611" s="105">
        <f>IF($AF$421&gt;0,'Assumptions (NG)'!Z11*Model!$AF$421*('Assumptions (NG)'!$AE$15*AVERAGE('Assumptions (NG)'!$AB$2:$AD$2)+'Assumptions (NG)'!$AE$16*AVERAGE('Assumptions (NG)'!$AB$3:$AD$3))/10^9,0)</f>
        <v>0</v>
      </c>
      <c r="AK611" s="105">
        <f>IF($AF$421&gt;0,'Assumptions (NG)'!AA11*Model!$AF$421*('Assumptions (NG)'!$AE$15*AVERAGE('Assumptions (NG)'!$AB$2:$AD$2)+'Assumptions (NG)'!$AE$16*AVERAGE('Assumptions (NG)'!$AB$3:$AD$3))/10^9,0)</f>
        <v>0</v>
      </c>
      <c r="AL611" s="105">
        <f>IF($AF$421&gt;0,'Assumptions (NG)'!AB11*Model!$AF$421*('Assumptions (NG)'!$AE$15*AVERAGE('Assumptions (NG)'!$AB$2:$AD$2)+'Assumptions (NG)'!$AE$16*AVERAGE('Assumptions (NG)'!$AB$3:$AD$3))/10^9,0)</f>
        <v>0</v>
      </c>
      <c r="AM611" s="105">
        <f>IF($AF$421&gt;0,'Assumptions (NG)'!AC11*Model!$AF$421*('Assumptions (NG)'!$AE$15*AVERAGE('Assumptions (NG)'!$AB$2:$AD$2)+'Assumptions (NG)'!$AE$16*AVERAGE('Assumptions (NG)'!$AB$3:$AD$3))/10^9,0)</f>
        <v>0</v>
      </c>
      <c r="AN611" s="105">
        <f>IF($AF$421&gt;0,'Assumptions (NG)'!AD11*Model!$AF$421*('Assumptions (NG)'!$AE$15*AVERAGE('Assumptions (NG)'!$AB$2:$AD$2)+'Assumptions (NG)'!$AE$16*AVERAGE('Assumptions (NG)'!$AB$3:$AD$3))/10^9,0)</f>
        <v>0</v>
      </c>
      <c r="AO611" s="105">
        <f>IF($AF$421&gt;0,'Assumptions (NG)'!AE11*Model!$AF$421*('Assumptions (NG)'!$AE$15*AVERAGE('Assumptions (NG)'!$AB$2:$AD$2)+'Assumptions (NG)'!$AE$16*AVERAGE('Assumptions (NG)'!$AB$3:$AD$3))/10^9,0)</f>
        <v>0</v>
      </c>
      <c r="AP611" s="105">
        <f>IF($AF$421&gt;0,'Assumptions (NG)'!AF11*Model!$AF$421*('Assumptions (NG)'!$AE$15*AVERAGE('Assumptions (NG)'!$AB$2:$AD$2)+'Assumptions (NG)'!$AE$16*AVERAGE('Assumptions (NG)'!$AB$3:$AD$3))/10^9,0)</f>
        <v>0</v>
      </c>
      <c r="AQ611" s="105">
        <f>IF($AF$421&gt;0,'Assumptions (NG)'!AG11*Model!$AF$421*('Assumptions (NG)'!$AE$15*AVERAGE('Assumptions (NG)'!$AB$2:$AD$2)+'Assumptions (NG)'!$AE$16*AVERAGE('Assumptions (NG)'!$AB$3:$AD$3))/10^9,0)</f>
        <v>0</v>
      </c>
      <c r="AR611" s="105">
        <f>IF($AF$421&gt;0,'Assumptions (NG)'!AH11*Model!$AF$421*('Assumptions (NG)'!$AE$15*AVERAGE('Assumptions (NG)'!$AB$2:$AD$2)+'Assumptions (NG)'!$AE$16*AVERAGE('Assumptions (NG)'!$AB$3:$AD$3))/10^9,0)</f>
        <v>0</v>
      </c>
      <c r="AS611" s="105">
        <f>IF($AF$421&gt;0,'Assumptions (NG)'!AI11*Model!$AF$421*('Assumptions (NG)'!$AE$15*AVERAGE('Assumptions (NG)'!$AB$2:$AD$2)+'Assumptions (NG)'!$AE$16*AVERAGE('Assumptions (NG)'!$AB$3:$AD$3))/10^9,0)</f>
        <v>0</v>
      </c>
      <c r="AT611" s="105">
        <f>IF($AF$421&gt;0,'Assumptions (NG)'!AJ11*Model!$AF$421*('Assumptions (NG)'!$AE$15*AVERAGE('Assumptions (NG)'!$AB$2:$AD$2)+'Assumptions (NG)'!$AE$16*AVERAGE('Assumptions (NG)'!$AB$3:$AD$3))/10^9,0)</f>
        <v>0</v>
      </c>
      <c r="AU611" s="105">
        <f>IF($AF$421&gt;0,'Assumptions (NG)'!AK11*Model!$AF$421*('Assumptions (NG)'!$AE$15*AVERAGE('Assumptions (NG)'!$AB$2:$AD$2)+'Assumptions (NG)'!$AE$16*AVERAGE('Assumptions (NG)'!$AB$3:$AD$3))/10^9,0)</f>
        <v>0</v>
      </c>
      <c r="AV611" s="105"/>
      <c r="AW611" s="105"/>
      <c r="AX611" s="105"/>
      <c r="AY611" s="105"/>
      <c r="AZ611" s="105"/>
      <c r="BA611" s="105"/>
      <c r="BB611" s="105"/>
      <c r="BC611" s="105"/>
      <c r="BD611" s="105"/>
    </row>
    <row r="612" spans="1:70" ht="15.75" hidden="1" customHeight="1" outlineLevel="1">
      <c r="A612" s="379"/>
      <c r="B612" s="99"/>
      <c r="C612" s="99"/>
      <c r="D612" s="99"/>
      <c r="E612" s="99"/>
      <c r="F612" s="99"/>
      <c r="G612" s="99"/>
      <c r="H612" s="99"/>
      <c r="I612" s="99"/>
      <c r="J612" s="99"/>
      <c r="K612" s="99"/>
      <c r="L612" s="99"/>
      <c r="M612" s="99"/>
      <c r="N612" s="99"/>
      <c r="O612" s="99"/>
      <c r="P612" s="99"/>
      <c r="Q612" s="99"/>
      <c r="R612" s="99"/>
      <c r="S612" s="99"/>
      <c r="T612" s="99"/>
      <c r="U612" s="99"/>
      <c r="V612" s="99"/>
      <c r="W612" s="105"/>
      <c r="X612" s="105"/>
      <c r="Y612" s="105"/>
      <c r="Z612" s="105"/>
      <c r="AA612" s="105"/>
      <c r="AB612" s="105"/>
      <c r="AC612" s="105"/>
      <c r="AD612" s="105"/>
      <c r="AE612" s="105"/>
      <c r="AF612" s="105"/>
      <c r="AG612" s="105">
        <f>IF($AG$421&gt;0,'Assumptions (NG)'!V11*Model!$AG$421*('Assumptions (NG)'!$AF$15*AVERAGE('Assumptions (NG)'!$AC$2:$AE$2)+'Assumptions (NG)'!$AF$16*AVERAGE('Assumptions (NG)'!$AC$3:$AE$3))/10^9,0)</f>
        <v>0</v>
      </c>
      <c r="AH612" s="105">
        <f>IF($AG$421&gt;0,'Assumptions (NG)'!W11*Model!$AG$421*('Assumptions (NG)'!$AF$15*AVERAGE('Assumptions (NG)'!$AC$2:$AE$2)+'Assumptions (NG)'!$AF$16*AVERAGE('Assumptions (NG)'!$AC$3:$AE$3))/10^9,0)</f>
        <v>0</v>
      </c>
      <c r="AI612" s="105">
        <f>IF($AG$421&gt;0,'Assumptions (NG)'!X11*Model!$AG$421*('Assumptions (NG)'!$AF$15*AVERAGE('Assumptions (NG)'!$AC$2:$AE$2)+'Assumptions (NG)'!$AF$16*AVERAGE('Assumptions (NG)'!$AC$3:$AE$3))/10^9,0)</f>
        <v>0</v>
      </c>
      <c r="AJ612" s="105">
        <f>IF($AG$421&gt;0,'Assumptions (NG)'!Y11*Model!$AG$421*('Assumptions (NG)'!$AF$15*AVERAGE('Assumptions (NG)'!$AC$2:$AE$2)+'Assumptions (NG)'!$AF$16*AVERAGE('Assumptions (NG)'!$AC$3:$AE$3))/10^9,0)</f>
        <v>0</v>
      </c>
      <c r="AK612" s="105">
        <f>IF($AG$421&gt;0,'Assumptions (NG)'!Z11*Model!$AG$421*('Assumptions (NG)'!$AF$15*AVERAGE('Assumptions (NG)'!$AC$2:$AE$2)+'Assumptions (NG)'!$AF$16*AVERAGE('Assumptions (NG)'!$AC$3:$AE$3))/10^9,0)</f>
        <v>0</v>
      </c>
      <c r="AL612" s="105">
        <f>IF($AG$421&gt;0,'Assumptions (NG)'!AA11*Model!$AG$421*('Assumptions (NG)'!$AF$15*AVERAGE('Assumptions (NG)'!$AC$2:$AE$2)+'Assumptions (NG)'!$AF$16*AVERAGE('Assumptions (NG)'!$AC$3:$AE$3))/10^9,0)</f>
        <v>0</v>
      </c>
      <c r="AM612" s="105">
        <f>IF($AG$421&gt;0,'Assumptions (NG)'!AB11*Model!$AG$421*('Assumptions (NG)'!$AF$15*AVERAGE('Assumptions (NG)'!$AC$2:$AE$2)+'Assumptions (NG)'!$AF$16*AVERAGE('Assumptions (NG)'!$AC$3:$AE$3))/10^9,0)</f>
        <v>0</v>
      </c>
      <c r="AN612" s="105">
        <f>IF($AG$421&gt;0,'Assumptions (NG)'!AC11*Model!$AG$421*('Assumptions (NG)'!$AF$15*AVERAGE('Assumptions (NG)'!$AC$2:$AE$2)+'Assumptions (NG)'!$AF$16*AVERAGE('Assumptions (NG)'!$AC$3:$AE$3))/10^9,0)</f>
        <v>0</v>
      </c>
      <c r="AO612" s="105">
        <f>IF($AG$421&gt;0,'Assumptions (NG)'!AD11*Model!$AG$421*('Assumptions (NG)'!$AF$15*AVERAGE('Assumptions (NG)'!$AC$2:$AE$2)+'Assumptions (NG)'!$AF$16*AVERAGE('Assumptions (NG)'!$AC$3:$AE$3))/10^9,0)</f>
        <v>0</v>
      </c>
      <c r="AP612" s="105">
        <f>IF($AG$421&gt;0,'Assumptions (NG)'!AE11*Model!$AG$421*('Assumptions (NG)'!$AF$15*AVERAGE('Assumptions (NG)'!$AC$2:$AE$2)+'Assumptions (NG)'!$AF$16*AVERAGE('Assumptions (NG)'!$AC$3:$AE$3))/10^9,0)</f>
        <v>0</v>
      </c>
      <c r="AQ612" s="105">
        <f>IF($AG$421&gt;0,'Assumptions (NG)'!AF11*Model!$AG$421*('Assumptions (NG)'!$AF$15*AVERAGE('Assumptions (NG)'!$AC$2:$AE$2)+'Assumptions (NG)'!$AF$16*AVERAGE('Assumptions (NG)'!$AC$3:$AE$3))/10^9,0)</f>
        <v>0</v>
      </c>
      <c r="AR612" s="105">
        <f>IF($AG$421&gt;0,'Assumptions (NG)'!AG11*Model!$AG$421*('Assumptions (NG)'!$AF$15*AVERAGE('Assumptions (NG)'!$AC$2:$AE$2)+'Assumptions (NG)'!$AF$16*AVERAGE('Assumptions (NG)'!$AC$3:$AE$3))/10^9,0)</f>
        <v>0</v>
      </c>
      <c r="AS612" s="105">
        <f>IF($AG$421&gt;0,'Assumptions (NG)'!AH11*Model!$AG$421*('Assumptions (NG)'!$AF$15*AVERAGE('Assumptions (NG)'!$AC$2:$AE$2)+'Assumptions (NG)'!$AF$16*AVERAGE('Assumptions (NG)'!$AC$3:$AE$3))/10^9,0)</f>
        <v>0</v>
      </c>
      <c r="AT612" s="105">
        <f>IF($AG$421&gt;0,'Assumptions (NG)'!AI11*Model!$AG$421*('Assumptions (NG)'!$AF$15*AVERAGE('Assumptions (NG)'!$AC$2:$AE$2)+'Assumptions (NG)'!$AF$16*AVERAGE('Assumptions (NG)'!$AC$3:$AE$3))/10^9,0)</f>
        <v>0</v>
      </c>
      <c r="AU612" s="105">
        <f>IF($AG$421&gt;0,'Assumptions (NG)'!AJ11*Model!$AG$421*('Assumptions (NG)'!$AF$15*AVERAGE('Assumptions (NG)'!$AC$2:$AE$2)+'Assumptions (NG)'!$AF$16*AVERAGE('Assumptions (NG)'!$AC$3:$AE$3))/10^9,0)</f>
        <v>0</v>
      </c>
      <c r="AV612" s="105">
        <f>IF($AG$421&gt;0,'Assumptions (NG)'!AK11*Model!$AG$421*('Assumptions (NG)'!$AF$15*AVERAGE('Assumptions (NG)'!$AC$2:$AE$2)+'Assumptions (NG)'!$AF$16*AVERAGE('Assumptions (NG)'!$AC$3:$AE$3))/10^9,0)</f>
        <v>0</v>
      </c>
      <c r="AW612" s="105"/>
      <c r="AX612" s="105"/>
      <c r="AY612" s="105"/>
      <c r="AZ612" s="105"/>
      <c r="BA612" s="105"/>
      <c r="BB612" s="105"/>
      <c r="BC612" s="105"/>
      <c r="BD612" s="105"/>
      <c r="BE612" s="105"/>
    </row>
    <row r="613" spans="1:70" ht="15.75" hidden="1" customHeight="1" outlineLevel="1">
      <c r="A613" s="379"/>
      <c r="B613" s="99"/>
      <c r="C613" s="99"/>
      <c r="D613" s="99"/>
      <c r="E613" s="99"/>
      <c r="F613" s="99"/>
      <c r="G613" s="99"/>
      <c r="H613" s="99"/>
      <c r="I613" s="99"/>
      <c r="J613" s="99"/>
      <c r="K613" s="99"/>
      <c r="L613" s="99"/>
      <c r="M613" s="99"/>
      <c r="N613" s="99"/>
      <c r="O613" s="99"/>
      <c r="P613" s="99"/>
      <c r="Q613" s="99"/>
      <c r="R613" s="99"/>
      <c r="S613" s="99"/>
      <c r="T613" s="99"/>
      <c r="U613" s="99"/>
      <c r="V613" s="99"/>
      <c r="W613" s="105"/>
      <c r="X613" s="105"/>
      <c r="Y613" s="105"/>
      <c r="Z613" s="105"/>
      <c r="AA613" s="105"/>
      <c r="AB613" s="105"/>
      <c r="AC613" s="105"/>
      <c r="AD613" s="105"/>
      <c r="AE613" s="105"/>
      <c r="AF613" s="105"/>
      <c r="AG613" s="105"/>
      <c r="AH613" s="105">
        <f>IF($AH$421&gt;0,'Assumptions (NG)'!V11*Model!$AH$421*('Assumptions (NG)'!$AG$15*AVERAGE('Assumptions (NG)'!$AD$2:$AF$2)+'Assumptions (NG)'!$AG$16*AVERAGE('Assumptions (NG)'!$AD$3:$AF$3))/10^9,0)</f>
        <v>0</v>
      </c>
      <c r="AI613" s="105">
        <f>IF($AH$421&gt;0,'Assumptions (NG)'!W11*Model!$AH$421*('Assumptions (NG)'!$AG$15*AVERAGE('Assumptions (NG)'!$AD$2:$AF$2)+'Assumptions (NG)'!$AG$16*AVERAGE('Assumptions (NG)'!$AD$3:$AF$3))/10^9,0)</f>
        <v>0</v>
      </c>
      <c r="AJ613" s="105">
        <f>IF($AH$421&gt;0,'Assumptions (NG)'!X11*Model!$AH$421*('Assumptions (NG)'!$AG$15*AVERAGE('Assumptions (NG)'!$AD$2:$AF$2)+'Assumptions (NG)'!$AG$16*AVERAGE('Assumptions (NG)'!$AD$3:$AF$3))/10^9,0)</f>
        <v>0</v>
      </c>
      <c r="AK613" s="105">
        <f>IF($AH$421&gt;0,'Assumptions (NG)'!Y11*Model!$AH$421*('Assumptions (NG)'!$AG$15*AVERAGE('Assumptions (NG)'!$AD$2:$AF$2)+'Assumptions (NG)'!$AG$16*AVERAGE('Assumptions (NG)'!$AD$3:$AF$3))/10^9,0)</f>
        <v>0</v>
      </c>
      <c r="AL613" s="105">
        <f>IF($AH$421&gt;0,'Assumptions (NG)'!Z11*Model!$AH$421*('Assumptions (NG)'!$AG$15*AVERAGE('Assumptions (NG)'!$AD$2:$AF$2)+'Assumptions (NG)'!$AG$16*AVERAGE('Assumptions (NG)'!$AD$3:$AF$3))/10^9,0)</f>
        <v>0</v>
      </c>
      <c r="AM613" s="105">
        <f>IF($AH$421&gt;0,'Assumptions (NG)'!AA11*Model!$AH$421*('Assumptions (NG)'!$AG$15*AVERAGE('Assumptions (NG)'!$AD$2:$AF$2)+'Assumptions (NG)'!$AG$16*AVERAGE('Assumptions (NG)'!$AD$3:$AF$3))/10^9,0)</f>
        <v>0</v>
      </c>
      <c r="AN613" s="105">
        <f>IF($AH$421&gt;0,'Assumptions (NG)'!AB11*Model!$AH$421*('Assumptions (NG)'!$AG$15*AVERAGE('Assumptions (NG)'!$AD$2:$AF$2)+'Assumptions (NG)'!$AG$16*AVERAGE('Assumptions (NG)'!$AD$3:$AF$3))/10^9,0)</f>
        <v>0</v>
      </c>
      <c r="AO613" s="105">
        <f>IF($AH$421&gt;0,'Assumptions (NG)'!AC11*Model!$AH$421*('Assumptions (NG)'!$AG$15*AVERAGE('Assumptions (NG)'!$AD$2:$AF$2)+'Assumptions (NG)'!$AG$16*AVERAGE('Assumptions (NG)'!$AD$3:$AF$3))/10^9,0)</f>
        <v>0</v>
      </c>
      <c r="AP613" s="105">
        <f>IF($AH$421&gt;0,'Assumptions (NG)'!AD11*Model!$AH$421*('Assumptions (NG)'!$AG$15*AVERAGE('Assumptions (NG)'!$AD$2:$AF$2)+'Assumptions (NG)'!$AG$16*AVERAGE('Assumptions (NG)'!$AD$3:$AF$3))/10^9,0)</f>
        <v>0</v>
      </c>
      <c r="AQ613" s="105">
        <f>IF($AH$421&gt;0,'Assumptions (NG)'!AE11*Model!$AH$421*('Assumptions (NG)'!$AG$15*AVERAGE('Assumptions (NG)'!$AD$2:$AF$2)+'Assumptions (NG)'!$AG$16*AVERAGE('Assumptions (NG)'!$AD$3:$AF$3))/10^9,0)</f>
        <v>0</v>
      </c>
      <c r="AR613" s="105">
        <f>IF($AH$421&gt;0,'Assumptions (NG)'!AF11*Model!$AH$421*('Assumptions (NG)'!$AG$15*AVERAGE('Assumptions (NG)'!$AD$2:$AF$2)+'Assumptions (NG)'!$AG$16*AVERAGE('Assumptions (NG)'!$AD$3:$AF$3))/10^9,0)</f>
        <v>0</v>
      </c>
      <c r="AS613" s="105">
        <f>IF($AH$421&gt;0,'Assumptions (NG)'!AG11*Model!$AH$421*('Assumptions (NG)'!$AG$15*AVERAGE('Assumptions (NG)'!$AD$2:$AF$2)+'Assumptions (NG)'!$AG$16*AVERAGE('Assumptions (NG)'!$AD$3:$AF$3))/10^9,0)</f>
        <v>0</v>
      </c>
      <c r="AT613" s="105">
        <f>IF($AH$421&gt;0,'Assumptions (NG)'!AH11*Model!$AH$421*('Assumptions (NG)'!$AG$15*AVERAGE('Assumptions (NG)'!$AD$2:$AF$2)+'Assumptions (NG)'!$AG$16*AVERAGE('Assumptions (NG)'!$AD$3:$AF$3))/10^9,0)</f>
        <v>0</v>
      </c>
      <c r="AU613" s="105">
        <f>IF($AH$421&gt;0,'Assumptions (NG)'!AI11*Model!$AH$421*('Assumptions (NG)'!$AG$15*AVERAGE('Assumptions (NG)'!$AD$2:$AF$2)+'Assumptions (NG)'!$AG$16*AVERAGE('Assumptions (NG)'!$AD$3:$AF$3))/10^9,0)</f>
        <v>0</v>
      </c>
      <c r="AV613" s="105">
        <f>IF($AH$421&gt;0,'Assumptions (NG)'!AJ11*Model!$AH$421*('Assumptions (NG)'!$AG$15*AVERAGE('Assumptions (NG)'!$AD$2:$AF$2)+'Assumptions (NG)'!$AG$16*AVERAGE('Assumptions (NG)'!$AD$3:$AF$3))/10^9,0)</f>
        <v>0</v>
      </c>
      <c r="AW613" s="105">
        <f>IF($AH$421&gt;0,'Assumptions (NG)'!AK11*Model!$AH$421*('Assumptions (NG)'!$AG$15*AVERAGE('Assumptions (NG)'!$AD$2:$AF$2)+'Assumptions (NG)'!$AG$16*AVERAGE('Assumptions (NG)'!$AD$3:$AF$3))/10^9,0)</f>
        <v>0</v>
      </c>
      <c r="AX613" s="105"/>
      <c r="AY613" s="105"/>
      <c r="AZ613" s="105"/>
      <c r="BA613" s="105"/>
      <c r="BB613" s="105"/>
      <c r="BC613" s="105"/>
      <c r="BD613" s="105"/>
      <c r="BE613" s="105"/>
      <c r="BF613" s="105"/>
    </row>
    <row r="614" spans="1:70" ht="15.75" hidden="1" customHeight="1" outlineLevel="1">
      <c r="A614" s="379"/>
      <c r="B614" s="99"/>
      <c r="C614" s="99"/>
      <c r="D614" s="99"/>
      <c r="E614" s="99"/>
      <c r="F614" s="99"/>
      <c r="G614" s="99"/>
      <c r="H614" s="99"/>
      <c r="I614" s="99"/>
      <c r="J614" s="99"/>
      <c r="K614" s="99"/>
      <c r="L614" s="99"/>
      <c r="M614" s="99"/>
      <c r="N614" s="99"/>
      <c r="O614" s="99"/>
      <c r="P614" s="99"/>
      <c r="Q614" s="99"/>
      <c r="R614" s="99"/>
      <c r="S614" s="99"/>
      <c r="T614" s="99"/>
      <c r="U614" s="99"/>
      <c r="V614" s="99"/>
      <c r="W614" s="105"/>
      <c r="X614" s="105"/>
      <c r="Y614" s="105"/>
      <c r="Z614" s="105"/>
      <c r="AA614" s="105"/>
      <c r="AB614" s="105"/>
      <c r="AC614" s="105"/>
      <c r="AD614" s="105"/>
      <c r="AE614" s="105"/>
      <c r="AF614" s="105"/>
      <c r="AG614" s="105"/>
      <c r="AH614" s="105"/>
      <c r="AI614" s="105">
        <f>IF($AI$421&gt;0,'Assumptions (NG)'!V11*Model!$AI$421*('Assumptions (NG)'!$AH$15*AVERAGE('Assumptions (NG)'!$AE$2:$AG$2)+'Assumptions (NG)'!$AH$16*AVERAGE('Assumptions (NG)'!$AE$3:$AG$3))/10^9,0)</f>
        <v>0</v>
      </c>
      <c r="AJ614" s="105">
        <f>IF($AI$421&gt;0,'Assumptions (NG)'!W11*Model!$AI$421*('Assumptions (NG)'!$AH$15*AVERAGE('Assumptions (NG)'!$AE$2:$AG$2)+'Assumptions (NG)'!$AH$16*AVERAGE('Assumptions (NG)'!$AE$3:$AG$3))/10^9,0)</f>
        <v>0</v>
      </c>
      <c r="AK614" s="105">
        <f>IF($AI$421&gt;0,'Assumptions (NG)'!X11*Model!$AI$421*('Assumptions (NG)'!$AH$15*AVERAGE('Assumptions (NG)'!$AE$2:$AG$2)+'Assumptions (NG)'!$AH$16*AVERAGE('Assumptions (NG)'!$AE$3:$AG$3))/10^9,0)</f>
        <v>0</v>
      </c>
      <c r="AL614" s="105">
        <f>IF($AI$421&gt;0,'Assumptions (NG)'!Y11*Model!$AI$421*('Assumptions (NG)'!$AH$15*AVERAGE('Assumptions (NG)'!$AE$2:$AG$2)+'Assumptions (NG)'!$AH$16*AVERAGE('Assumptions (NG)'!$AE$3:$AG$3))/10^9,0)</f>
        <v>0</v>
      </c>
      <c r="AM614" s="105">
        <f>IF($AI$421&gt;0,'Assumptions (NG)'!Z11*Model!$AI$421*('Assumptions (NG)'!$AH$15*AVERAGE('Assumptions (NG)'!$AE$2:$AG$2)+'Assumptions (NG)'!$AH$16*AVERAGE('Assumptions (NG)'!$AE$3:$AG$3))/10^9,0)</f>
        <v>0</v>
      </c>
      <c r="AN614" s="105">
        <f>IF($AI$421&gt;0,'Assumptions (NG)'!AA11*Model!$AI$421*('Assumptions (NG)'!$AH$15*AVERAGE('Assumptions (NG)'!$AE$2:$AG$2)+'Assumptions (NG)'!$AH$16*AVERAGE('Assumptions (NG)'!$AE$3:$AG$3))/10^9,0)</f>
        <v>0</v>
      </c>
      <c r="AO614" s="105">
        <f>IF($AI$421&gt;0,'Assumptions (NG)'!AB11*Model!$AI$421*('Assumptions (NG)'!$AH$15*AVERAGE('Assumptions (NG)'!$AE$2:$AG$2)+'Assumptions (NG)'!$AH$16*AVERAGE('Assumptions (NG)'!$AE$3:$AG$3))/10^9,0)</f>
        <v>0</v>
      </c>
      <c r="AP614" s="105">
        <f>IF($AI$421&gt;0,'Assumptions (NG)'!AC11*Model!$AI$421*('Assumptions (NG)'!$AH$15*AVERAGE('Assumptions (NG)'!$AE$2:$AG$2)+'Assumptions (NG)'!$AH$16*AVERAGE('Assumptions (NG)'!$AE$3:$AG$3))/10^9,0)</f>
        <v>0</v>
      </c>
      <c r="AQ614" s="105">
        <f>IF($AI$421&gt;0,'Assumptions (NG)'!AD11*Model!$AI$421*('Assumptions (NG)'!$AH$15*AVERAGE('Assumptions (NG)'!$AE$2:$AG$2)+'Assumptions (NG)'!$AH$16*AVERAGE('Assumptions (NG)'!$AE$3:$AG$3))/10^9,0)</f>
        <v>0</v>
      </c>
      <c r="AR614" s="105">
        <f>IF($AI$421&gt;0,'Assumptions (NG)'!AE11*Model!$AI$421*('Assumptions (NG)'!$AH$15*AVERAGE('Assumptions (NG)'!$AE$2:$AG$2)+'Assumptions (NG)'!$AH$16*AVERAGE('Assumptions (NG)'!$AE$3:$AG$3))/10^9,0)</f>
        <v>0</v>
      </c>
      <c r="AS614" s="105">
        <f>IF($AI$421&gt;0,'Assumptions (NG)'!AF11*Model!$AI$421*('Assumptions (NG)'!$AH$15*AVERAGE('Assumptions (NG)'!$AE$2:$AG$2)+'Assumptions (NG)'!$AH$16*AVERAGE('Assumptions (NG)'!$AE$3:$AG$3))/10^9,0)</f>
        <v>0</v>
      </c>
      <c r="AT614" s="105">
        <f>IF($AI$421&gt;0,'Assumptions (NG)'!AG11*Model!$AI$421*('Assumptions (NG)'!$AH$15*AVERAGE('Assumptions (NG)'!$AE$2:$AG$2)+'Assumptions (NG)'!$AH$16*AVERAGE('Assumptions (NG)'!$AE$3:$AG$3))/10^9,0)</f>
        <v>0</v>
      </c>
      <c r="AU614" s="105">
        <f>IF($AI$421&gt;0,'Assumptions (NG)'!AH11*Model!$AI$421*('Assumptions (NG)'!$AH$15*AVERAGE('Assumptions (NG)'!$AE$2:$AG$2)+'Assumptions (NG)'!$AH$16*AVERAGE('Assumptions (NG)'!$AE$3:$AG$3))/10^9,0)</f>
        <v>0</v>
      </c>
      <c r="AV614" s="105">
        <f>IF($AI$421&gt;0,'Assumptions (NG)'!AI11*Model!$AI$421*('Assumptions (NG)'!$AH$15*AVERAGE('Assumptions (NG)'!$AE$2:$AG$2)+'Assumptions (NG)'!$AH$16*AVERAGE('Assumptions (NG)'!$AE$3:$AG$3))/10^9,0)</f>
        <v>0</v>
      </c>
      <c r="AW614" s="105">
        <f>IF($AI$421&gt;0,'Assumptions (NG)'!AJ11*Model!$AI$421*('Assumptions (NG)'!$AH$15*AVERAGE('Assumptions (NG)'!$AE$2:$AG$2)+'Assumptions (NG)'!$AH$16*AVERAGE('Assumptions (NG)'!$AE$3:$AG$3))/10^9,0)</f>
        <v>0</v>
      </c>
      <c r="AX614" s="105">
        <f>IF($AI$421&gt;0,'Assumptions (NG)'!AK11*Model!$AI$421*('Assumptions (NG)'!$AH$15*AVERAGE('Assumptions (NG)'!$AE$2:$AG$2)+'Assumptions (NG)'!$AH$16*AVERAGE('Assumptions (NG)'!$AE$3:$AG$3))/10^9,0)</f>
        <v>0</v>
      </c>
      <c r="AY614" s="105"/>
      <c r="AZ614" s="105"/>
      <c r="BA614" s="105"/>
      <c r="BB614" s="105"/>
      <c r="BC614" s="105"/>
      <c r="BD614" s="105"/>
      <c r="BE614" s="105"/>
      <c r="BF614" s="105"/>
      <c r="BG614" s="105"/>
    </row>
    <row r="615" spans="1:70" ht="15.75" hidden="1" customHeight="1" outlineLevel="1">
      <c r="A615" s="379"/>
      <c r="B615" s="99"/>
      <c r="C615" s="99"/>
      <c r="D615" s="99"/>
      <c r="E615" s="99"/>
      <c r="F615" s="99"/>
      <c r="G615" s="99"/>
      <c r="H615" s="99"/>
      <c r="I615" s="99"/>
      <c r="J615" s="99"/>
      <c r="K615" s="99"/>
      <c r="L615" s="99"/>
      <c r="M615" s="99"/>
      <c r="N615" s="99"/>
      <c r="O615" s="99"/>
      <c r="P615" s="99"/>
      <c r="Q615" s="99"/>
      <c r="R615" s="99"/>
      <c r="S615" s="99"/>
      <c r="T615" s="99"/>
      <c r="U615" s="99"/>
      <c r="V615" s="99"/>
      <c r="W615" s="105"/>
      <c r="X615" s="105"/>
      <c r="Y615" s="105"/>
      <c r="Z615" s="105"/>
      <c r="AA615" s="105"/>
      <c r="AB615" s="91"/>
      <c r="AC615" s="105"/>
      <c r="AD615" s="105"/>
      <c r="AE615" s="105"/>
      <c r="AF615" s="105"/>
      <c r="AG615" s="105"/>
      <c r="AH615" s="105"/>
      <c r="AI615" s="105"/>
      <c r="AJ615" s="91">
        <f>IF($AJ$421&gt;0,'Assumptions (NG)'!V11*Model!$AJ$421*('Assumptions (NG)'!$AI$15*AVERAGE('Assumptions (NG)'!$AF$2:$AH$2)+'Assumptions (NG)'!$AI$16*AVERAGE('Assumptions (NG)'!$AF$3:$AH$3))/10^9,0)</f>
        <v>0</v>
      </c>
      <c r="AK615" s="91">
        <f>IF($AJ$421&gt;0,'Assumptions (NG)'!W11*Model!$AJ$421*('Assumptions (NG)'!$AI$15*AVERAGE('Assumptions (NG)'!$AF$2:$AH$2)+'Assumptions (NG)'!$AI$16*AVERAGE('Assumptions (NG)'!$AF$3:$AH$3))/10^9,0)</f>
        <v>0</v>
      </c>
      <c r="AL615" s="91">
        <f>IF($AJ$421&gt;0,'Assumptions (NG)'!X11*Model!$AJ$421*('Assumptions (NG)'!$AI$15*AVERAGE('Assumptions (NG)'!$AF$2:$AH$2)+'Assumptions (NG)'!$AI$16*AVERAGE('Assumptions (NG)'!$AF$3:$AH$3))/10^9,0)</f>
        <v>0</v>
      </c>
      <c r="AM615" s="91">
        <f>IF($AJ$421&gt;0,'Assumptions (NG)'!Y11*Model!$AJ$421*('Assumptions (NG)'!$AI$15*AVERAGE('Assumptions (NG)'!$AF$2:$AH$2)+'Assumptions (NG)'!$AI$16*AVERAGE('Assumptions (NG)'!$AF$3:$AH$3))/10^9,0)</f>
        <v>0</v>
      </c>
      <c r="AN615" s="91">
        <f>IF($AJ$421&gt;0,'Assumptions (NG)'!Z11*Model!$AJ$421*('Assumptions (NG)'!$AI$15*AVERAGE('Assumptions (NG)'!$AF$2:$AH$2)+'Assumptions (NG)'!$AI$16*AVERAGE('Assumptions (NG)'!$AF$3:$AH$3))/10^9,0)</f>
        <v>0</v>
      </c>
      <c r="AO615" s="91">
        <f>IF($AJ$421&gt;0,'Assumptions (NG)'!AA11*Model!$AJ$421*('Assumptions (NG)'!$AI$15*AVERAGE('Assumptions (NG)'!$AF$2:$AH$2)+'Assumptions (NG)'!$AI$16*AVERAGE('Assumptions (NG)'!$AF$3:$AH$3))/10^9,0)</f>
        <v>0</v>
      </c>
      <c r="AP615" s="91">
        <f>IF($AJ$421&gt;0,'Assumptions (NG)'!AB11*Model!$AJ$421*('Assumptions (NG)'!$AI$15*AVERAGE('Assumptions (NG)'!$AF$2:$AH$2)+'Assumptions (NG)'!$AI$16*AVERAGE('Assumptions (NG)'!$AF$3:$AH$3))/10^9,0)</f>
        <v>0</v>
      </c>
      <c r="AQ615" s="91">
        <f>IF($AJ$421&gt;0,'Assumptions (NG)'!AC11*Model!$AJ$421*('Assumptions (NG)'!$AI$15*AVERAGE('Assumptions (NG)'!$AF$2:$AH$2)+'Assumptions (NG)'!$AI$16*AVERAGE('Assumptions (NG)'!$AF$3:$AH$3))/10^9,0)</f>
        <v>0</v>
      </c>
      <c r="AR615" s="91">
        <f>IF($AJ$421&gt;0,'Assumptions (NG)'!AD11*Model!$AJ$421*('Assumptions (NG)'!$AI$15*AVERAGE('Assumptions (NG)'!$AF$2:$AH$2)+'Assumptions (NG)'!$AI$16*AVERAGE('Assumptions (NG)'!$AF$3:$AH$3))/10^9,0)</f>
        <v>0</v>
      </c>
      <c r="AS615" s="91">
        <f>IF($AJ$421&gt;0,'Assumptions (NG)'!AE11*Model!$AJ$421*('Assumptions (NG)'!$AI$15*AVERAGE('Assumptions (NG)'!$AF$2:$AH$2)+'Assumptions (NG)'!$AI$16*AVERAGE('Assumptions (NG)'!$AF$3:$AH$3))/10^9,0)</f>
        <v>0</v>
      </c>
      <c r="AT615" s="91">
        <f>IF($AJ$421&gt;0,'Assumptions (NG)'!AF11*Model!$AJ$421*('Assumptions (NG)'!$AI$15*AVERAGE('Assumptions (NG)'!$AF$2:$AH$2)+'Assumptions (NG)'!$AI$16*AVERAGE('Assumptions (NG)'!$AF$3:$AH$3))/10^9,0)</f>
        <v>0</v>
      </c>
      <c r="AU615" s="91">
        <f>IF($AJ$421&gt;0,'Assumptions (NG)'!AG11*Model!$AJ$421*('Assumptions (NG)'!$AI$15*AVERAGE('Assumptions (NG)'!$AF$2:$AH$2)+'Assumptions (NG)'!$AI$16*AVERAGE('Assumptions (NG)'!$AF$3:$AH$3))/10^9,0)</f>
        <v>0</v>
      </c>
      <c r="AV615" s="91">
        <f>IF($AJ$421&gt;0,'Assumptions (NG)'!AH11*Model!$AJ$421*('Assumptions (NG)'!$AI$15*AVERAGE('Assumptions (NG)'!$AF$2:$AH$2)+'Assumptions (NG)'!$AI$16*AVERAGE('Assumptions (NG)'!$AF$3:$AH$3))/10^9,0)</f>
        <v>0</v>
      </c>
      <c r="AW615" s="91">
        <f>IF($AJ$421&gt;0,'Assumptions (NG)'!AI11*Model!$AJ$421*('Assumptions (NG)'!$AI$15*AVERAGE('Assumptions (NG)'!$AF$2:$AH$2)+'Assumptions (NG)'!$AI$16*AVERAGE('Assumptions (NG)'!$AF$3:$AH$3))/10^9,0)</f>
        <v>0</v>
      </c>
      <c r="AX615" s="91">
        <f>IF($AJ$421&gt;0,'Assumptions (NG)'!AJ11*Model!$AJ$421*('Assumptions (NG)'!$AI$15*AVERAGE('Assumptions (NG)'!$AF$2:$AH$2)+'Assumptions (NG)'!$AI$16*AVERAGE('Assumptions (NG)'!$AF$3:$AH$3))/10^9,0)</f>
        <v>0</v>
      </c>
      <c r="AY615" s="91">
        <f>IF($AJ$421&gt;0,'Assumptions (NG)'!AK11*Model!$AJ$421*('Assumptions (NG)'!$AI$15*AVERAGE('Assumptions (NG)'!$AF$2:$AH$2)+'Assumptions (NG)'!$AI$16*AVERAGE('Assumptions (NG)'!$AF$3:$AH$3))/10^9,0)</f>
        <v>0</v>
      </c>
      <c r="AZ615" s="91"/>
      <c r="BA615" s="91"/>
      <c r="BB615" s="91"/>
      <c r="BC615" s="91"/>
      <c r="BD615" s="91"/>
      <c r="BE615" s="91"/>
      <c r="BF615" s="91"/>
      <c r="BG615" s="91"/>
      <c r="BH615" s="91"/>
    </row>
    <row r="616" spans="1:70" ht="15.75" hidden="1" customHeight="1" outlineLevel="1">
      <c r="A616" s="379"/>
      <c r="B616" s="99"/>
      <c r="C616" s="99"/>
      <c r="D616" s="99"/>
      <c r="E616" s="99"/>
      <c r="F616" s="99"/>
      <c r="G616" s="99"/>
      <c r="H616" s="99"/>
      <c r="I616" s="99"/>
      <c r="J616" s="99"/>
      <c r="K616" s="99"/>
      <c r="L616" s="99"/>
      <c r="M616" s="99"/>
      <c r="N616" s="99"/>
      <c r="O616" s="99"/>
      <c r="P616" s="99"/>
      <c r="Q616" s="99"/>
      <c r="R616" s="99"/>
      <c r="S616" s="99"/>
      <c r="T616" s="99"/>
      <c r="U616" s="99"/>
      <c r="V616" s="99"/>
      <c r="W616" s="105"/>
      <c r="X616" s="105"/>
      <c r="Y616" s="105"/>
      <c r="Z616" s="105"/>
      <c r="AA616" s="105"/>
      <c r="AB616" s="105"/>
      <c r="AC616" s="105"/>
      <c r="AD616" s="105"/>
      <c r="AE616" s="105"/>
      <c r="AF616" s="105"/>
      <c r="AG616" s="105"/>
      <c r="AH616" s="105"/>
      <c r="AI616" s="105"/>
      <c r="AJ616" s="171"/>
      <c r="AK616" s="105">
        <f>IF($AK$421&gt;0,'Assumptions (NG)'!V11*Model!$AK$421*('Assumptions (NG)'!$AJ$15*AVERAGE('Assumptions (NG)'!$AG$2:$AI$2)+'Assumptions (NG)'!$AJ$16*AVERAGE('Assumptions (NG)'!$AG$3:$AI$3))/10^9,0)</f>
        <v>0</v>
      </c>
      <c r="AL616" s="105">
        <f>IF($AK$421&gt;0,'Assumptions (NG)'!W11*Model!$AK$421*('Assumptions (NG)'!$AJ$15*AVERAGE('Assumptions (NG)'!$AG$2:$AI$2)+'Assumptions (NG)'!$AJ$16*AVERAGE('Assumptions (NG)'!$AG$3:$AI$3))/10^9,0)</f>
        <v>0</v>
      </c>
      <c r="AM616" s="105">
        <f>IF($AK$421&gt;0,'Assumptions (NG)'!X11*Model!$AK$421*('Assumptions (NG)'!$AJ$15*AVERAGE('Assumptions (NG)'!$AG$2:$AI$2)+'Assumptions (NG)'!$AJ$16*AVERAGE('Assumptions (NG)'!$AG$3:$AI$3))/10^9,0)</f>
        <v>0</v>
      </c>
      <c r="AN616" s="105">
        <f>IF($AK$421&gt;0,'Assumptions (NG)'!Y11*Model!$AK$421*('Assumptions (NG)'!$AJ$15*AVERAGE('Assumptions (NG)'!$AG$2:$AI$2)+'Assumptions (NG)'!$AJ$16*AVERAGE('Assumptions (NG)'!$AG$3:$AI$3))/10^9,0)</f>
        <v>0</v>
      </c>
      <c r="AO616" s="105">
        <f>IF($AK$421&gt;0,'Assumptions (NG)'!Z11*Model!$AK$421*('Assumptions (NG)'!$AJ$15*AVERAGE('Assumptions (NG)'!$AG$2:$AI$2)+'Assumptions (NG)'!$AJ$16*AVERAGE('Assumptions (NG)'!$AG$3:$AI$3))/10^9,0)</f>
        <v>0</v>
      </c>
      <c r="AP616" s="105">
        <f>IF($AK$421&gt;0,'Assumptions (NG)'!AA11*Model!$AK$421*('Assumptions (NG)'!$AJ$15*AVERAGE('Assumptions (NG)'!$AG$2:$AI$2)+'Assumptions (NG)'!$AJ$16*AVERAGE('Assumptions (NG)'!$AG$3:$AI$3))/10^9,0)</f>
        <v>0</v>
      </c>
      <c r="AQ616" s="105">
        <f>IF($AK$421&gt;0,'Assumptions (NG)'!AB11*Model!$AK$421*('Assumptions (NG)'!$AJ$15*AVERAGE('Assumptions (NG)'!$AG$2:$AI$2)+'Assumptions (NG)'!$AJ$16*AVERAGE('Assumptions (NG)'!$AG$3:$AI$3))/10^9,0)</f>
        <v>0</v>
      </c>
      <c r="AR616" s="105">
        <f>IF($AK$421&gt;0,'Assumptions (NG)'!AC11*Model!$AK$421*('Assumptions (NG)'!$AJ$15*AVERAGE('Assumptions (NG)'!$AG$2:$AI$2)+'Assumptions (NG)'!$AJ$16*AVERAGE('Assumptions (NG)'!$AG$3:$AI$3))/10^9,0)</f>
        <v>0</v>
      </c>
      <c r="AS616" s="105">
        <f>IF($AK$421&gt;0,'Assumptions (NG)'!AD11*Model!$AK$421*('Assumptions (NG)'!$AJ$15*AVERAGE('Assumptions (NG)'!$AG$2:$AI$2)+'Assumptions (NG)'!$AJ$16*AVERAGE('Assumptions (NG)'!$AG$3:$AI$3))/10^9,0)</f>
        <v>0</v>
      </c>
      <c r="AT616" s="105">
        <f>IF($AK$421&gt;0,'Assumptions (NG)'!AE11*Model!$AK$421*('Assumptions (NG)'!$AJ$15*AVERAGE('Assumptions (NG)'!$AG$2:$AI$2)+'Assumptions (NG)'!$AJ$16*AVERAGE('Assumptions (NG)'!$AG$3:$AI$3))/10^9,0)</f>
        <v>0</v>
      </c>
      <c r="AU616" s="105">
        <f>IF($AK$421&gt;0,'Assumptions (NG)'!AF11*Model!$AK$421*('Assumptions (NG)'!$AJ$15*AVERAGE('Assumptions (NG)'!$AG$2:$AI$2)+'Assumptions (NG)'!$AJ$16*AVERAGE('Assumptions (NG)'!$AG$3:$AI$3))/10^9,0)</f>
        <v>0</v>
      </c>
      <c r="AV616" s="105">
        <f>IF($AK$421&gt;0,'Assumptions (NG)'!AG11*Model!$AK$421*('Assumptions (NG)'!$AJ$15*AVERAGE('Assumptions (NG)'!$AG$2:$AI$2)+'Assumptions (NG)'!$AJ$16*AVERAGE('Assumptions (NG)'!$AG$3:$AI$3))/10^9,0)</f>
        <v>0</v>
      </c>
      <c r="AW616" s="105">
        <f>IF($AK$421&gt;0,'Assumptions (NG)'!AH11*Model!$AK$421*('Assumptions (NG)'!$AJ$15*AVERAGE('Assumptions (NG)'!$AG$2:$AI$2)+'Assumptions (NG)'!$AJ$16*AVERAGE('Assumptions (NG)'!$AG$3:$AI$3))/10^9,0)</f>
        <v>0</v>
      </c>
      <c r="AX616" s="105">
        <f>IF($AK$421&gt;0,'Assumptions (NG)'!AI11*Model!$AK$421*('Assumptions (NG)'!$AJ$15*AVERAGE('Assumptions (NG)'!$AG$2:$AI$2)+'Assumptions (NG)'!$AJ$16*AVERAGE('Assumptions (NG)'!$AG$3:$AI$3))/10^9,0)</f>
        <v>0</v>
      </c>
      <c r="AY616" s="105">
        <f>IF($AK$421&gt;0,'Assumptions (NG)'!AJ11*Model!$AK$421*('Assumptions (NG)'!$AJ$15*AVERAGE('Assumptions (NG)'!$AG$2:$AI$2)+'Assumptions (NG)'!$AJ$16*AVERAGE('Assumptions (NG)'!$AG$3:$AI$3))/10^9,0)</f>
        <v>0</v>
      </c>
      <c r="AZ616" s="105">
        <f>IF($AK$421&gt;0,'Assumptions (NG)'!AK11*Model!$AK$421*('Assumptions (NG)'!$AJ$15*AVERAGE('Assumptions (NG)'!$AG$2:$AI$2)+'Assumptions (NG)'!$AJ$16*AVERAGE('Assumptions (NG)'!$AG$3:$AI$3))/10^9,0)</f>
        <v>0</v>
      </c>
      <c r="BA616" s="91"/>
      <c r="BB616" s="91"/>
      <c r="BC616" s="91"/>
      <c r="BD616" s="91"/>
      <c r="BE616" s="91"/>
      <c r="BF616" s="91"/>
      <c r="BG616" s="91"/>
      <c r="BH616" s="91"/>
      <c r="BI616" s="91"/>
    </row>
    <row r="617" spans="1:70" ht="15.75" hidden="1" customHeight="1" outlineLevel="1">
      <c r="A617" s="379"/>
      <c r="B617" s="99"/>
      <c r="C617" s="99"/>
      <c r="D617" s="99"/>
      <c r="E617" s="99"/>
      <c r="F617" s="99"/>
      <c r="G617" s="99"/>
      <c r="H617" s="99"/>
      <c r="I617" s="99"/>
      <c r="J617" s="99"/>
      <c r="K617" s="99"/>
      <c r="L617" s="99"/>
      <c r="M617" s="99"/>
      <c r="N617" s="99"/>
      <c r="O617" s="99"/>
      <c r="P617" s="99"/>
      <c r="Q617" s="99"/>
      <c r="R617" s="99"/>
      <c r="S617" s="99"/>
      <c r="T617" s="99"/>
      <c r="U617" s="99"/>
      <c r="V617" s="99"/>
      <c r="W617" s="105"/>
      <c r="X617" s="105"/>
      <c r="Y617" s="105"/>
      <c r="Z617" s="105"/>
      <c r="AA617" s="105"/>
      <c r="AB617" s="105"/>
      <c r="AC617" s="105"/>
      <c r="AD617" s="105"/>
      <c r="AE617" s="105"/>
      <c r="AF617" s="105"/>
      <c r="AG617" s="105"/>
      <c r="AH617" s="105"/>
      <c r="AI617" s="105"/>
      <c r="AJ617" s="171"/>
      <c r="AK617" s="105"/>
      <c r="AL617" s="91">
        <f>IF($AL$421&gt;0,'Assumptions (NG)'!V11*Model!$AL$421*('Assumptions (NG)'!$AK$15*AVERAGE('Assumptions (NG)'!$AH$2:$AJ$2)+'Assumptions (NG)'!$AK$16*AVERAGE('Assumptions (NG)'!$AH$3:$AJ$3))/10^9,0)</f>
        <v>0</v>
      </c>
      <c r="AM617" s="91">
        <f>IF($AL$421&gt;0,'Assumptions (NG)'!W11*Model!$AL$421*('Assumptions (NG)'!$AK$15*AVERAGE('Assumptions (NG)'!$AH$2:$AJ$2)+'Assumptions (NG)'!$AK$16*AVERAGE('Assumptions (NG)'!$AH$3:$AJ$3))/10^9,0)</f>
        <v>0</v>
      </c>
      <c r="AN617" s="91">
        <f>IF($AL$421&gt;0,'Assumptions (NG)'!X11*Model!$AL$421*('Assumptions (NG)'!$AK$15*AVERAGE('Assumptions (NG)'!$AH$2:$AJ$2)+'Assumptions (NG)'!$AK$16*AVERAGE('Assumptions (NG)'!$AH$3:$AJ$3))/10^9,0)</f>
        <v>0</v>
      </c>
      <c r="AO617" s="91">
        <f>IF($AL$421&gt;0,'Assumptions (NG)'!Y11*Model!$AL$421*('Assumptions (NG)'!$AK$15*AVERAGE('Assumptions (NG)'!$AH$2:$AJ$2)+'Assumptions (NG)'!$AK$16*AVERAGE('Assumptions (NG)'!$AH$3:$AJ$3))/10^9,0)</f>
        <v>0</v>
      </c>
      <c r="AP617" s="91">
        <f>IF($AL$421&gt;0,'Assumptions (NG)'!Z11*Model!$AL$421*('Assumptions (NG)'!$AK$15*AVERAGE('Assumptions (NG)'!$AH$2:$AJ$2)+'Assumptions (NG)'!$AK$16*AVERAGE('Assumptions (NG)'!$AH$3:$AJ$3))/10^9,0)</f>
        <v>0</v>
      </c>
      <c r="AQ617" s="91">
        <f>IF($AL$421&gt;0,'Assumptions (NG)'!AA11*Model!$AL$421*('Assumptions (NG)'!$AK$15*AVERAGE('Assumptions (NG)'!$AH$2:$AJ$2)+'Assumptions (NG)'!$AK$16*AVERAGE('Assumptions (NG)'!$AH$3:$AJ$3))/10^9,0)</f>
        <v>0</v>
      </c>
      <c r="AR617" s="91">
        <f>IF($AL$421&gt;0,'Assumptions (NG)'!AB11*Model!$AL$421*('Assumptions (NG)'!$AK$15*AVERAGE('Assumptions (NG)'!$AH$2:$AJ$2)+'Assumptions (NG)'!$AK$16*AVERAGE('Assumptions (NG)'!$AH$3:$AJ$3))/10^9,0)</f>
        <v>0</v>
      </c>
      <c r="AS617" s="91">
        <f>IF($AL$421&gt;0,'Assumptions (NG)'!AC11*Model!$AL$421*('Assumptions (NG)'!$AK$15*AVERAGE('Assumptions (NG)'!$AH$2:$AJ$2)+'Assumptions (NG)'!$AK$16*AVERAGE('Assumptions (NG)'!$AH$3:$AJ$3))/10^9,0)</f>
        <v>0</v>
      </c>
      <c r="AT617" s="91">
        <f>IF($AL$421&gt;0,'Assumptions (NG)'!AD11*Model!$AL$421*('Assumptions (NG)'!$AK$15*AVERAGE('Assumptions (NG)'!$AH$2:$AJ$2)+'Assumptions (NG)'!$AK$16*AVERAGE('Assumptions (NG)'!$AH$3:$AJ$3))/10^9,0)</f>
        <v>0</v>
      </c>
      <c r="AU617" s="91">
        <f>IF($AL$421&gt;0,'Assumptions (NG)'!AE11*Model!$AL$421*('Assumptions (NG)'!$AK$15*AVERAGE('Assumptions (NG)'!$AH$2:$AJ$2)+'Assumptions (NG)'!$AK$16*AVERAGE('Assumptions (NG)'!$AH$3:$AJ$3))/10^9,0)</f>
        <v>0</v>
      </c>
      <c r="AV617" s="91">
        <f>IF($AL$421&gt;0,'Assumptions (NG)'!AF11*Model!$AL$421*('Assumptions (NG)'!$AK$15*AVERAGE('Assumptions (NG)'!$AH$2:$AJ$2)+'Assumptions (NG)'!$AK$16*AVERAGE('Assumptions (NG)'!$AH$3:$AJ$3))/10^9,0)</f>
        <v>0</v>
      </c>
      <c r="AW617" s="91">
        <f>IF($AL$421&gt;0,'Assumptions (NG)'!AG11*Model!$AL$421*('Assumptions (NG)'!$AK$15*AVERAGE('Assumptions (NG)'!$AH$2:$AJ$2)+'Assumptions (NG)'!$AK$16*AVERAGE('Assumptions (NG)'!$AH$3:$AJ$3))/10^9,0)</f>
        <v>0</v>
      </c>
      <c r="AX617" s="91">
        <f>IF($AL$421&gt;0,'Assumptions (NG)'!AH11*Model!$AL$421*('Assumptions (NG)'!$AK$15*AVERAGE('Assumptions (NG)'!$AH$2:$AJ$2)+'Assumptions (NG)'!$AK$16*AVERAGE('Assumptions (NG)'!$AH$3:$AJ$3))/10^9,0)</f>
        <v>0</v>
      </c>
      <c r="AY617" s="91">
        <f>IF($AL$421&gt;0,'Assumptions (NG)'!AI11*Model!$AL$421*('Assumptions (NG)'!$AK$15*AVERAGE('Assumptions (NG)'!$AH$2:$AJ$2)+'Assumptions (NG)'!$AK$16*AVERAGE('Assumptions (NG)'!$AH$3:$AJ$3))/10^9,0)</f>
        <v>0</v>
      </c>
      <c r="AZ617" s="91">
        <f>IF($AL$421&gt;0,'Assumptions (NG)'!AJ11*Model!$AL$421*('Assumptions (NG)'!$AK$15*AVERAGE('Assumptions (NG)'!$AH$2:$AJ$2)+'Assumptions (NG)'!$AK$16*AVERAGE('Assumptions (NG)'!$AH$3:$AJ$3))/10^9,0)</f>
        <v>0</v>
      </c>
      <c r="BA617" s="91">
        <f>IF($AL$421&gt;0,'Assumptions (NG)'!AK11*Model!$AL$421*('Assumptions (NG)'!$AK$15*AVERAGE('Assumptions (NG)'!$AH$2:$AJ$2)+'Assumptions (NG)'!$AK$16*AVERAGE('Assumptions (NG)'!$AH$3:$AJ$3))/10^9,0)</f>
        <v>0</v>
      </c>
      <c r="BB617" s="91"/>
      <c r="BC617" s="91"/>
      <c r="BD617" s="91"/>
      <c r="BE617" s="91"/>
      <c r="BF617" s="91"/>
      <c r="BG617" s="91"/>
      <c r="BH617" s="91"/>
      <c r="BI617" s="91"/>
      <c r="BJ617" s="91"/>
    </row>
    <row r="618" spans="1:70" ht="15.75" hidden="1" customHeight="1" outlineLevel="1">
      <c r="A618" s="379"/>
      <c r="B618" s="99"/>
      <c r="C618" s="99"/>
      <c r="D618" s="99"/>
      <c r="E618" s="99"/>
      <c r="F618" s="99"/>
      <c r="G618" s="99"/>
      <c r="H618" s="99"/>
      <c r="I618" s="99"/>
      <c r="J618" s="99"/>
      <c r="K618" s="99"/>
      <c r="L618" s="99"/>
      <c r="M618" s="99"/>
      <c r="N618" s="99"/>
      <c r="O618" s="99"/>
      <c r="P618" s="99"/>
      <c r="Q618" s="99"/>
      <c r="R618" s="99"/>
      <c r="S618" s="99"/>
      <c r="T618" s="99"/>
      <c r="U618" s="99"/>
      <c r="V618" s="99"/>
      <c r="W618" s="105"/>
      <c r="X618" s="105"/>
      <c r="Y618" s="105"/>
      <c r="Z618" s="105"/>
      <c r="AA618" s="105"/>
      <c r="AB618" s="105"/>
      <c r="AC618" s="105"/>
      <c r="AD618" s="105"/>
      <c r="AE618" s="105"/>
      <c r="AF618" s="105"/>
      <c r="AG618" s="105"/>
      <c r="AH618" s="105"/>
      <c r="AI618" s="105"/>
      <c r="AJ618" s="171"/>
      <c r="AK618" s="105"/>
      <c r="AL618" s="91"/>
      <c r="AM618" s="105">
        <f>IF($AM$421&gt;0,'Assumptions (NG)'!V11*Model!$AM$421*('Assumptions (NG)'!$AL$15*AVERAGE('Assumptions (NG)'!$AI$2:$AK$2)+'Assumptions (NG)'!$AL$16*AVERAGE('Assumptions (NG)'!$AI$3:$AK$3))/10^9,0)</f>
        <v>0</v>
      </c>
      <c r="AN618" s="105">
        <f>IF($AM$421&gt;0,'Assumptions (NG)'!W11*Model!$AM$421*('Assumptions (NG)'!$AL$15*AVERAGE('Assumptions (NG)'!$AI$2:$AK$2)+'Assumptions (NG)'!$AL$16*AVERAGE('Assumptions (NG)'!$AI$3:$AK$3))/10^9,0)</f>
        <v>0</v>
      </c>
      <c r="AO618" s="105">
        <f>IF($AM$421&gt;0,'Assumptions (NG)'!X11*Model!$AM$421*('Assumptions (NG)'!$AL$15*AVERAGE('Assumptions (NG)'!$AI$2:$AK$2)+'Assumptions (NG)'!$AL$16*AVERAGE('Assumptions (NG)'!$AI$3:$AK$3))/10^9,0)</f>
        <v>0</v>
      </c>
      <c r="AP618" s="105">
        <f>IF($AM$421&gt;0,'Assumptions (NG)'!Y11*Model!$AM$421*('Assumptions (NG)'!$AL$15*AVERAGE('Assumptions (NG)'!$AI$2:$AK$2)+'Assumptions (NG)'!$AL$16*AVERAGE('Assumptions (NG)'!$AI$3:$AK$3))/10^9,0)</f>
        <v>0</v>
      </c>
      <c r="AQ618" s="105">
        <f>IF($AM$421&gt;0,'Assumptions (NG)'!Z11*Model!$AM$421*('Assumptions (NG)'!$AL$15*AVERAGE('Assumptions (NG)'!$AI$2:$AK$2)+'Assumptions (NG)'!$AL$16*AVERAGE('Assumptions (NG)'!$AI$3:$AK$3))/10^9,0)</f>
        <v>0</v>
      </c>
      <c r="AR618" s="105">
        <f>IF($AM$421&gt;0,'Assumptions (NG)'!AA11*Model!$AM$421*('Assumptions (NG)'!$AL$15*AVERAGE('Assumptions (NG)'!$AI$2:$AK$2)+'Assumptions (NG)'!$AL$16*AVERAGE('Assumptions (NG)'!$AI$3:$AK$3))/10^9,0)</f>
        <v>0</v>
      </c>
      <c r="AS618" s="105">
        <f>IF($AM$421&gt;0,'Assumptions (NG)'!AB11*Model!$AM$421*('Assumptions (NG)'!$AL$15*AVERAGE('Assumptions (NG)'!$AI$2:$AK$2)+'Assumptions (NG)'!$AL$16*AVERAGE('Assumptions (NG)'!$AI$3:$AK$3))/10^9,0)</f>
        <v>0</v>
      </c>
      <c r="AT618" s="105">
        <f>IF($AM$421&gt;0,'Assumptions (NG)'!AC11*Model!$AM$421*('Assumptions (NG)'!$AL$15*AVERAGE('Assumptions (NG)'!$AI$2:$AK$2)+'Assumptions (NG)'!$AL$16*AVERAGE('Assumptions (NG)'!$AI$3:$AK$3))/10^9,0)</f>
        <v>0</v>
      </c>
      <c r="AU618" s="105">
        <f>IF($AM$421&gt;0,'Assumptions (NG)'!AD11*Model!$AM$421*('Assumptions (NG)'!$AL$15*AVERAGE('Assumptions (NG)'!$AI$2:$AK$2)+'Assumptions (NG)'!$AL$16*AVERAGE('Assumptions (NG)'!$AI$3:$AK$3))/10^9,0)</f>
        <v>0</v>
      </c>
      <c r="AV618" s="105">
        <f>IF($AM$421&gt;0,'Assumptions (NG)'!AE11*Model!$AM$421*('Assumptions (NG)'!$AL$15*AVERAGE('Assumptions (NG)'!$AI$2:$AK$2)+'Assumptions (NG)'!$AL$16*AVERAGE('Assumptions (NG)'!$AI$3:$AK$3))/10^9,0)</f>
        <v>0</v>
      </c>
      <c r="AW618" s="105">
        <f>IF($AM$421&gt;0,'Assumptions (NG)'!AF11*Model!$AM$421*('Assumptions (NG)'!$AL$15*AVERAGE('Assumptions (NG)'!$AI$2:$AK$2)+'Assumptions (NG)'!$AL$16*AVERAGE('Assumptions (NG)'!$AI$3:$AK$3))/10^9,0)</f>
        <v>0</v>
      </c>
      <c r="AX618" s="105">
        <f>IF($AM$421&gt;0,'Assumptions (NG)'!AG11*Model!$AM$421*('Assumptions (NG)'!$AL$15*AVERAGE('Assumptions (NG)'!$AI$2:$AK$2)+'Assumptions (NG)'!$AL$16*AVERAGE('Assumptions (NG)'!$AI$3:$AK$3))/10^9,0)</f>
        <v>0</v>
      </c>
      <c r="AY618" s="105">
        <f>IF($AM$421&gt;0,'Assumptions (NG)'!AH11*Model!$AM$421*('Assumptions (NG)'!$AL$15*AVERAGE('Assumptions (NG)'!$AI$2:$AK$2)+'Assumptions (NG)'!$AL$16*AVERAGE('Assumptions (NG)'!$AI$3:$AK$3))/10^9,0)</f>
        <v>0</v>
      </c>
      <c r="AZ618" s="105">
        <f>IF($AM$421&gt;0,'Assumptions (NG)'!AI11*Model!$AM$421*('Assumptions (NG)'!$AL$15*AVERAGE('Assumptions (NG)'!$AI$2:$AK$2)+'Assumptions (NG)'!$AL$16*AVERAGE('Assumptions (NG)'!$AI$3:$AK$3))/10^9,0)</f>
        <v>0</v>
      </c>
      <c r="BA618" s="105">
        <f>IF($AM$421&gt;0,'Assumptions (NG)'!AJ11*Model!$AM$421*('Assumptions (NG)'!$AL$15*AVERAGE('Assumptions (NG)'!$AI$2:$AK$2)+'Assumptions (NG)'!$AL$16*AVERAGE('Assumptions (NG)'!$AI$3:$AK$3))/10^9,0)</f>
        <v>0</v>
      </c>
      <c r="BB618" s="105">
        <f>IF($AM$421&gt;0,'Assumptions (NG)'!AK11*Model!$AM$421*('Assumptions (NG)'!$AL$15*AVERAGE('Assumptions (NG)'!$AI$2:$AK$2)+'Assumptions (NG)'!$AL$16*AVERAGE('Assumptions (NG)'!$AI$3:$AK$3))/10^9,0)</f>
        <v>0</v>
      </c>
      <c r="BC618" s="105"/>
      <c r="BD618" s="105"/>
      <c r="BE618" s="105"/>
      <c r="BF618" s="105"/>
      <c r="BG618" s="105"/>
      <c r="BH618" s="105"/>
      <c r="BI618" s="105"/>
      <c r="BJ618" s="105"/>
      <c r="BK618" s="105"/>
    </row>
    <row r="619" spans="1:70" ht="15.75" hidden="1" customHeight="1" outlineLevel="1">
      <c r="A619" s="379"/>
      <c r="B619" s="99"/>
      <c r="C619" s="99"/>
      <c r="D619" s="99"/>
      <c r="E619" s="99"/>
      <c r="F619" s="99"/>
      <c r="G619" s="99"/>
      <c r="H619" s="99"/>
      <c r="I619" s="99"/>
      <c r="J619" s="99"/>
      <c r="K619" s="99"/>
      <c r="L619" s="99"/>
      <c r="M619" s="99"/>
      <c r="N619" s="99"/>
      <c r="O619" s="99"/>
      <c r="P619" s="99"/>
      <c r="Q619" s="99"/>
      <c r="R619" s="99"/>
      <c r="S619" s="99"/>
      <c r="T619" s="99"/>
      <c r="U619" s="99"/>
      <c r="V619" s="99"/>
      <c r="W619" s="105"/>
      <c r="X619" s="105"/>
      <c r="Y619" s="105"/>
      <c r="Z619" s="105"/>
      <c r="AA619" s="105"/>
      <c r="AB619" s="105"/>
      <c r="AC619" s="105"/>
      <c r="AD619" s="105"/>
      <c r="AE619" s="105"/>
      <c r="AF619" s="105"/>
      <c r="AG619" s="105"/>
      <c r="AH619" s="105"/>
      <c r="AI619" s="105"/>
      <c r="AJ619" s="171"/>
      <c r="AK619" s="105"/>
      <c r="AL619" s="91"/>
      <c r="AM619" s="91"/>
      <c r="AN619" s="105">
        <f>IF($AN$421&gt;0,'Assumptions (NG)'!V11*Model!$AN$421*('Assumptions (NG)'!$AM$15*AVERAGE('Assumptions (NG)'!$AJ$2:$AL$2)+'Assumptions (NG)'!$AM$16*AVERAGE('Assumptions (NG)'!$AJ$3:$AL$3))/10^9,0)</f>
        <v>0.14907615617407236</v>
      </c>
      <c r="AO619" s="105">
        <f>IF($AN$421&gt;0,'Assumptions (NG)'!W11*Model!$AN$421*('Assumptions (NG)'!$AM$15*AVERAGE('Assumptions (NG)'!$AJ$2:$AL$2)+'Assumptions (NG)'!$AM$16*AVERAGE('Assumptions (NG)'!$AJ$3:$AL$3))/10^9,0)</f>
        <v>0.28324469673073743</v>
      </c>
      <c r="AP619" s="105">
        <f>IF($AN$421&gt;0,'Assumptions (NG)'!X11*Model!$AN$421*('Assumptions (NG)'!$AM$15*AVERAGE('Assumptions (NG)'!$AJ$2:$AL$2)+'Assumptions (NG)'!$AM$16*AVERAGE('Assumptions (NG)'!$AJ$3:$AL$3))/10^9,0)</f>
        <v>0.25492022705766376</v>
      </c>
      <c r="AQ619" s="105">
        <f>IF($AN$421&gt;0,'Assumptions (NG)'!Y11*Model!$AN$421*('Assumptions (NG)'!$AM$15*AVERAGE('Assumptions (NG)'!$AJ$2:$AL$2)+'Assumptions (NG)'!$AM$16*AVERAGE('Assumptions (NG)'!$AJ$3:$AL$3))/10^9,0)</f>
        <v>0.22957728050807141</v>
      </c>
      <c r="AR619" s="105">
        <f>IF($AN$421&gt;0,'Assumptions (NG)'!Z11*Model!$AN$421*('Assumptions (NG)'!$AM$15*AVERAGE('Assumptions (NG)'!$AJ$2:$AL$2)+'Assumptions (NG)'!$AM$16*AVERAGE('Assumptions (NG)'!$AJ$3:$AL$3))/10^9,0)</f>
        <v>0.20661955245726427</v>
      </c>
      <c r="AS619" s="105">
        <f>IF($AN$421&gt;0,'Assumptions (NG)'!AA11*Model!$AN$421*('Assumptions (NG)'!$AM$15*AVERAGE('Assumptions (NG)'!$AJ$2:$AL$2)+'Assumptions (NG)'!$AM$16*AVERAGE('Assumptions (NG)'!$AJ$3:$AL$3))/10^9,0)</f>
        <v>0.18574889059289415</v>
      </c>
      <c r="AT619" s="105">
        <f>IF($AN$421&gt;0,'Assumptions (NG)'!AB11*Model!$AN$421*('Assumptions (NG)'!$AM$15*AVERAGE('Assumptions (NG)'!$AJ$2:$AL$2)+'Assumptions (NG)'!$AM$16*AVERAGE('Assumptions (NG)'!$AJ$3:$AL$3))/10^9,0)</f>
        <v>0.17590986428540537</v>
      </c>
      <c r="AU619" s="105">
        <f>IF($AN$421&gt;0,'Assumptions (NG)'!AC11*Model!$AN$421*('Assumptions (NG)'!$AM$15*AVERAGE('Assumptions (NG)'!$AJ$2:$AL$2)+'Assumptions (NG)'!$AM$16*AVERAGE('Assumptions (NG)'!$AJ$3:$AL$3))/10^9,0)</f>
        <v>0.17590986428540537</v>
      </c>
      <c r="AV619" s="105">
        <f>IF($AN$421&gt;0,'Assumptions (NG)'!AD11*Model!$AN$421*('Assumptions (NG)'!$AM$15*AVERAGE('Assumptions (NG)'!$AJ$2:$AL$2)+'Assumptions (NG)'!$AM$16*AVERAGE('Assumptions (NG)'!$AJ$3:$AL$3))/10^9,0)</f>
        <v>0.17620801659775354</v>
      </c>
      <c r="AW619" s="105">
        <f>IF($AN$421&gt;0,'Assumptions (NG)'!AE11*Model!$AN$421*('Assumptions (NG)'!$AM$15*AVERAGE('Assumptions (NG)'!$AJ$2:$AL$2)+'Assumptions (NG)'!$AM$16*AVERAGE('Assumptions (NG)'!$AJ$3:$AL$3))/10^9,0)</f>
        <v>0.17590986428540537</v>
      </c>
      <c r="AX619" s="105">
        <f>IF($AN$421&gt;0,'Assumptions (NG)'!AF11*Model!$AN$421*('Assumptions (NG)'!$AM$15*AVERAGE('Assumptions (NG)'!$AJ$2:$AL$2)+'Assumptions (NG)'!$AM$16*AVERAGE('Assumptions (NG)'!$AJ$3:$AL$3))/10^9,0)</f>
        <v>0.17620801659775354</v>
      </c>
      <c r="AY619" s="105">
        <f>IF($AN$421&gt;0,'Assumptions (NG)'!AG11*Model!$AN$421*('Assumptions (NG)'!$AM$15*AVERAGE('Assumptions (NG)'!$AJ$2:$AL$2)+'Assumptions (NG)'!$AM$16*AVERAGE('Assumptions (NG)'!$AJ$3:$AL$3))/10^9,0)</f>
        <v>0.17590986428540537</v>
      </c>
      <c r="AZ619" s="105">
        <f>IF($AN$421&gt;0,'Assumptions (NG)'!AH11*Model!$AN$421*('Assumptions (NG)'!$AM$15*AVERAGE('Assumptions (NG)'!$AJ$2:$AL$2)+'Assumptions (NG)'!$AM$16*AVERAGE('Assumptions (NG)'!$AJ$3:$AL$3))/10^9,0)</f>
        <v>0.17620801659775354</v>
      </c>
      <c r="BA619" s="105">
        <f>IF($AN$421&gt;0,'Assumptions (NG)'!AI11*Model!$AN$421*('Assumptions (NG)'!$AM$15*AVERAGE('Assumptions (NG)'!$AJ$2:$AL$2)+'Assumptions (NG)'!$AM$16*AVERAGE('Assumptions (NG)'!$AJ$3:$AL$3))/10^9,0)</f>
        <v>0.17590986428540537</v>
      </c>
      <c r="BB619" s="105">
        <f>IF($AN$421&gt;0,'Assumptions (NG)'!AJ11*Model!$AN$421*('Assumptions (NG)'!$AM$15*AVERAGE('Assumptions (NG)'!$AJ$2:$AL$2)+'Assumptions (NG)'!$AM$16*AVERAGE('Assumptions (NG)'!$AJ$3:$AL$3))/10^9,0)</f>
        <v>0.17620801659775354</v>
      </c>
      <c r="BC619" s="105">
        <f>IF($AN$421&gt;0,'Assumptions (NG)'!AK11*Model!$AN$421*('Assumptions (NG)'!$AM$15*AVERAGE('Assumptions (NG)'!$AJ$2:$AL$2)+'Assumptions (NG)'!$AM$16*AVERAGE('Assumptions (NG)'!$AJ$3:$AL$3))/10^9,0)</f>
        <v>8.7954932142702683E-2</v>
      </c>
      <c r="BD619" s="105"/>
      <c r="BE619" s="105"/>
      <c r="BF619" s="105"/>
      <c r="BG619" s="105"/>
      <c r="BH619" s="105"/>
      <c r="BI619" s="105"/>
      <c r="BJ619" s="105"/>
      <c r="BK619" s="105"/>
      <c r="BL619" s="105"/>
    </row>
    <row r="620" spans="1:70" ht="15.75" hidden="1" customHeight="1" outlineLevel="1">
      <c r="A620" s="379"/>
      <c r="B620" s="99"/>
      <c r="C620" s="99"/>
      <c r="D620" s="99"/>
      <c r="E620" s="99"/>
      <c r="F620" s="99"/>
      <c r="G620" s="99"/>
      <c r="H620" s="99"/>
      <c r="I620" s="99"/>
      <c r="J620" s="99"/>
      <c r="K620" s="99"/>
      <c r="L620" s="99"/>
      <c r="M620" s="99"/>
      <c r="N620" s="99"/>
      <c r="O620" s="99"/>
      <c r="P620" s="99"/>
      <c r="Q620" s="99"/>
      <c r="R620" s="99"/>
      <c r="S620" s="99"/>
      <c r="T620" s="99"/>
      <c r="U620" s="99"/>
      <c r="V620" s="99"/>
      <c r="W620" s="105"/>
      <c r="X620" s="105"/>
      <c r="Y620" s="105"/>
      <c r="Z620" s="105"/>
      <c r="AA620" s="105"/>
      <c r="AB620" s="105"/>
      <c r="AC620" s="105"/>
      <c r="AD620" s="105"/>
      <c r="AE620" s="105"/>
      <c r="AF620" s="105"/>
      <c r="AG620" s="105"/>
      <c r="AH620" s="105"/>
      <c r="AI620" s="105"/>
      <c r="AJ620" s="171"/>
      <c r="AK620" s="105"/>
      <c r="AL620" s="91"/>
      <c r="AM620" s="91"/>
      <c r="AN620" s="91"/>
      <c r="AO620" s="105">
        <f>IF($AO$421&gt;0,'Assumptions (NG)'!V11*Model!$AO$421*('Assumptions (NG)'!$AN$15*AVERAGE('Assumptions (NG)'!$AK$2:$AM$2)+'Assumptions (NG)'!$AN$16*AVERAGE('Assumptions (NG)'!$AK$3:$AM$3))/10^9,0)</f>
        <v>1.322543892675919</v>
      </c>
      <c r="AP620" s="105">
        <f>IF($AO$421&gt;0,'Assumptions (NG)'!W11*Model!$AO$421*('Assumptions (NG)'!$AN$15*AVERAGE('Assumptions (NG)'!$AK$2:$AM$2)+'Assumptions (NG)'!$AN$16*AVERAGE('Assumptions (NG)'!$AK$3:$AM$3))/10^9,0)</f>
        <v>2.5128333960842459</v>
      </c>
      <c r="AQ620" s="105">
        <f>IF($AO$421&gt;0,'Assumptions (NG)'!X11*Model!$AO$421*('Assumptions (NG)'!$AN$15*AVERAGE('Assumptions (NG)'!$AK$2:$AM$2)+'Assumptions (NG)'!$AN$16*AVERAGE('Assumptions (NG)'!$AK$3:$AM$3))/10^9,0)</f>
        <v>2.2615500564758215</v>
      </c>
      <c r="AR620" s="105">
        <f>IF($AO$421&gt;0,'Assumptions (NG)'!Y11*Model!$AO$421*('Assumptions (NG)'!$AN$15*AVERAGE('Assumptions (NG)'!$AK$2:$AM$2)+'Assumptions (NG)'!$AN$16*AVERAGE('Assumptions (NG)'!$AK$3:$AM$3))/10^9,0)</f>
        <v>2.0367175947209151</v>
      </c>
      <c r="AS620" s="105">
        <f>IF($AO$421&gt;0,'Assumptions (NG)'!Z11*Model!$AO$421*('Assumptions (NG)'!$AN$15*AVERAGE('Assumptions (NG)'!$AK$2:$AM$2)+'Assumptions (NG)'!$AN$16*AVERAGE('Assumptions (NG)'!$AK$3:$AM$3))/10^9,0)</f>
        <v>1.8330458352488237</v>
      </c>
      <c r="AT620" s="105">
        <f>IF($AO$421&gt;0,'Assumptions (NG)'!AA11*Model!$AO$421*('Assumptions (NG)'!$AN$15*AVERAGE('Assumptions (NG)'!$AK$2:$AM$2)+'Assumptions (NG)'!$AN$16*AVERAGE('Assumptions (NG)'!$AK$3:$AM$3))/10^9,0)</f>
        <v>1.6478896902741949</v>
      </c>
      <c r="AU620" s="105">
        <f>IF($AO$421&gt;0,'Assumptions (NG)'!AB11*Model!$AO$421*('Assumptions (NG)'!$AN$15*AVERAGE('Assumptions (NG)'!$AK$2:$AM$2)+'Assumptions (NG)'!$AN$16*AVERAGE('Assumptions (NG)'!$AK$3:$AM$3))/10^9,0)</f>
        <v>1.5606017933575842</v>
      </c>
      <c r="AV620" s="105">
        <f>IF($AO$421&gt;0,'Assumptions (NG)'!AC11*Model!$AO$421*('Assumptions (NG)'!$AN$15*AVERAGE('Assumptions (NG)'!$AK$2:$AM$2)+'Assumptions (NG)'!$AN$16*AVERAGE('Assumptions (NG)'!$AK$3:$AM$3))/10^9,0)</f>
        <v>1.5606017933575842</v>
      </c>
      <c r="AW620" s="105">
        <f>IF($AO$421&gt;0,'Assumptions (NG)'!AD11*Model!$AO$421*('Assumptions (NG)'!$AN$15*AVERAGE('Assumptions (NG)'!$AK$2:$AM$2)+'Assumptions (NG)'!$AN$16*AVERAGE('Assumptions (NG)'!$AK$3:$AM$3))/10^9,0)</f>
        <v>1.5632468811429363</v>
      </c>
      <c r="AX620" s="105">
        <f>IF($AO$421&gt;0,'Assumptions (NG)'!AE11*Model!$AO$421*('Assumptions (NG)'!$AN$15*AVERAGE('Assumptions (NG)'!$AK$2:$AM$2)+'Assumptions (NG)'!$AN$16*AVERAGE('Assumptions (NG)'!$AK$3:$AM$3))/10^9,0)</f>
        <v>1.5606017933575842</v>
      </c>
      <c r="AY620" s="105">
        <f>IF($AO$421&gt;0,'Assumptions (NG)'!AF11*Model!$AO$421*('Assumptions (NG)'!$AN$15*AVERAGE('Assumptions (NG)'!$AK$2:$AM$2)+'Assumptions (NG)'!$AN$16*AVERAGE('Assumptions (NG)'!$AK$3:$AM$3))/10^9,0)</f>
        <v>1.5632468811429363</v>
      </c>
      <c r="AZ620" s="105">
        <f>IF($AO$421&gt;0,'Assumptions (NG)'!AG11*Model!$AO$421*('Assumptions (NG)'!$AN$15*AVERAGE('Assumptions (NG)'!$AK$2:$AM$2)+'Assumptions (NG)'!$AN$16*AVERAGE('Assumptions (NG)'!$AK$3:$AM$3))/10^9,0)</f>
        <v>1.5606017933575842</v>
      </c>
      <c r="BA620" s="105">
        <f>IF($AO$421&gt;0,'Assumptions (NG)'!AH11*Model!$AO$421*('Assumptions (NG)'!$AN$15*AVERAGE('Assumptions (NG)'!$AK$2:$AM$2)+'Assumptions (NG)'!$AN$16*AVERAGE('Assumptions (NG)'!$AK$3:$AM$3))/10^9,0)</f>
        <v>1.5632468811429363</v>
      </c>
      <c r="BB620" s="105">
        <f>IF($AO$421&gt;0,'Assumptions (NG)'!AI11*Model!$AO$421*('Assumptions (NG)'!$AN$15*AVERAGE('Assumptions (NG)'!$AK$2:$AM$2)+'Assumptions (NG)'!$AN$16*AVERAGE('Assumptions (NG)'!$AK$3:$AM$3))/10^9,0)</f>
        <v>1.5606017933575842</v>
      </c>
      <c r="BC620" s="105">
        <f>IF($AO$421&gt;0,'Assumptions (NG)'!AJ11*Model!$AO$421*('Assumptions (NG)'!$AN$15*AVERAGE('Assumptions (NG)'!$AK$2:$AM$2)+'Assumptions (NG)'!$AN$16*AVERAGE('Assumptions (NG)'!$AK$3:$AM$3))/10^9,0)</f>
        <v>1.5632468811429363</v>
      </c>
      <c r="BD620" s="105">
        <f>IF($AO$421&gt;0,'Assumptions (NG)'!AK11*Model!$AO$421*('Assumptions (NG)'!$AN$15*AVERAGE('Assumptions (NG)'!$AK$2:$AM$2)+'Assumptions (NG)'!$AN$16*AVERAGE('Assumptions (NG)'!$AK$3:$AM$3))/10^9,0)</f>
        <v>0.7803008966787921</v>
      </c>
      <c r="BE620" s="105"/>
      <c r="BF620" s="105"/>
      <c r="BG620" s="105"/>
      <c r="BH620" s="105"/>
      <c r="BI620" s="105"/>
      <c r="BJ620" s="105"/>
      <c r="BK620" s="105"/>
      <c r="BL620" s="105"/>
      <c r="BM620" s="105"/>
    </row>
    <row r="621" spans="1:70" ht="15.75" hidden="1" customHeight="1" outlineLevel="1">
      <c r="A621" s="379"/>
      <c r="B621" s="99"/>
      <c r="C621" s="99"/>
      <c r="D621" s="99"/>
      <c r="E621" s="99"/>
      <c r="F621" s="99"/>
      <c r="G621" s="99"/>
      <c r="H621" s="99"/>
      <c r="I621" s="99"/>
      <c r="J621" s="99"/>
      <c r="K621" s="99"/>
      <c r="L621" s="99"/>
      <c r="M621" s="99"/>
      <c r="N621" s="99"/>
      <c r="O621" s="99"/>
      <c r="P621" s="99"/>
      <c r="Q621" s="99"/>
      <c r="R621" s="99"/>
      <c r="S621" s="99"/>
      <c r="T621" s="99"/>
      <c r="U621" s="99"/>
      <c r="V621" s="99"/>
      <c r="W621" s="105"/>
      <c r="X621" s="105"/>
      <c r="Y621" s="105"/>
      <c r="Z621" s="105"/>
      <c r="AA621" s="105"/>
      <c r="AB621" s="105"/>
      <c r="AC621" s="105"/>
      <c r="AD621" s="105"/>
      <c r="AE621" s="105"/>
      <c r="AF621" s="105"/>
      <c r="AG621" s="105"/>
      <c r="AH621" s="105"/>
      <c r="AI621" s="105"/>
      <c r="AJ621" s="171"/>
      <c r="AK621" s="105"/>
      <c r="AL621" s="91"/>
      <c r="AM621" s="91"/>
      <c r="AN621" s="91"/>
      <c r="AO621" s="105"/>
      <c r="AP621" s="105">
        <f>IF($AP$421&gt;0,'Assumptions (NG)'!V11*Model!$AP$421*('Assumptions (NG)'!$AO$15*AVERAGE('Assumptions (NG)'!$AL$2:$AN$2)+'Assumptions (NG)'!$AO$16*AVERAGE('Assumptions (NG)'!$AL$3:$AN$3))/10^9,0)</f>
        <v>1.354708642350994</v>
      </c>
      <c r="AQ621" s="105">
        <f>IF($AP$421&gt;0,'Assumptions (NG)'!W11*Model!$AP$421*('Assumptions (NG)'!$AO$15*AVERAGE('Assumptions (NG)'!$AL$2:$AN$2)+'Assumptions (NG)'!$AO$16*AVERAGE('Assumptions (NG)'!$AL$3:$AN$3))/10^9,0)</f>
        <v>2.5739464204668883</v>
      </c>
      <c r="AR621" s="105">
        <f>IF($AP$421&gt;0,'Assumptions (NG)'!X11*Model!$AP$421*('Assumptions (NG)'!$AO$15*AVERAGE('Assumptions (NG)'!$AL$2:$AN$2)+'Assumptions (NG)'!$AO$16*AVERAGE('Assumptions (NG)'!$AL$3:$AN$3))/10^9,0)</f>
        <v>2.3165517784201994</v>
      </c>
      <c r="AS621" s="105">
        <f>IF($AP$421&gt;0,'Assumptions (NG)'!Y11*Model!$AP$421*('Assumptions (NG)'!$AO$15*AVERAGE('Assumptions (NG)'!$AL$2:$AN$2)+'Assumptions (NG)'!$AO$16*AVERAGE('Assumptions (NG)'!$AL$3:$AN$3))/10^9,0)</f>
        <v>2.0862513092205304</v>
      </c>
      <c r="AT621" s="105">
        <f>IF($AP$421&gt;0,'Assumptions (NG)'!Z11*Model!$AP$421*('Assumptions (NG)'!$AO$15*AVERAGE('Assumptions (NG)'!$AL$2:$AN$2)+'Assumptions (NG)'!$AO$16*AVERAGE('Assumptions (NG)'!$AL$3:$AN$3))/10^9,0)</f>
        <v>1.8776261782984776</v>
      </c>
      <c r="AU621" s="105">
        <f>IF($AP$421&gt;0,'Assumptions (NG)'!AA11*Model!$AP$421*('Assumptions (NG)'!$AO$15*AVERAGE('Assumptions (NG)'!$AL$2:$AN$2)+'Assumptions (NG)'!$AO$16*AVERAGE('Assumptions (NG)'!$AL$3:$AN$3))/10^9,0)</f>
        <v>1.6879669683693386</v>
      </c>
      <c r="AV621" s="105">
        <f>IF($AP$421&gt;0,'Assumptions (NG)'!AB11*Model!$AP$421*('Assumptions (NG)'!$AO$15*AVERAGE('Assumptions (NG)'!$AL$2:$AN$2)+'Assumptions (NG)'!$AO$16*AVERAGE('Assumptions (NG)'!$AL$3:$AN$3))/10^9,0)</f>
        <v>1.5985561979741727</v>
      </c>
      <c r="AW621" s="105">
        <f>IF($AP$421&gt;0,'Assumptions (NG)'!AC11*Model!$AP$421*('Assumptions (NG)'!$AO$15*AVERAGE('Assumptions (NG)'!$AL$2:$AN$2)+'Assumptions (NG)'!$AO$16*AVERAGE('Assumptions (NG)'!$AL$3:$AN$3))/10^9,0)</f>
        <v>1.5985561979741727</v>
      </c>
      <c r="AX621" s="105">
        <f>IF($AP$421&gt;0,'Assumptions (NG)'!AD11*Model!$AP$421*('Assumptions (NG)'!$AO$15*AVERAGE('Assumptions (NG)'!$AL$2:$AN$2)+'Assumptions (NG)'!$AO$16*AVERAGE('Assumptions (NG)'!$AL$3:$AN$3))/10^9,0)</f>
        <v>1.6012656152588747</v>
      </c>
      <c r="AY621" s="105">
        <f>IF($AP$421&gt;0,'Assumptions (NG)'!AE11*Model!$AP$421*('Assumptions (NG)'!$AO$15*AVERAGE('Assumptions (NG)'!$AL$2:$AN$2)+'Assumptions (NG)'!$AO$16*AVERAGE('Assumptions (NG)'!$AL$3:$AN$3))/10^9,0)</f>
        <v>1.5985561979741727</v>
      </c>
      <c r="AZ621" s="105">
        <f>IF($AP$421&gt;0,'Assumptions (NG)'!AF11*Model!$AP$421*('Assumptions (NG)'!$AO$15*AVERAGE('Assumptions (NG)'!$AL$2:$AN$2)+'Assumptions (NG)'!$AO$16*AVERAGE('Assumptions (NG)'!$AL$3:$AN$3))/10^9,0)</f>
        <v>1.6012656152588747</v>
      </c>
      <c r="BA621" s="105">
        <f>IF($AP$421&gt;0,'Assumptions (NG)'!AG11*Model!$AP$421*('Assumptions (NG)'!$AO$15*AVERAGE('Assumptions (NG)'!$AL$2:$AN$2)+'Assumptions (NG)'!$AO$16*AVERAGE('Assumptions (NG)'!$AL$3:$AN$3))/10^9,0)</f>
        <v>1.5985561979741727</v>
      </c>
      <c r="BB621" s="105">
        <f>IF($AP$421&gt;0,'Assumptions (NG)'!AH11*Model!$AP$421*('Assumptions (NG)'!$AO$15*AVERAGE('Assumptions (NG)'!$AL$2:$AN$2)+'Assumptions (NG)'!$AO$16*AVERAGE('Assumptions (NG)'!$AL$3:$AN$3))/10^9,0)</f>
        <v>1.6012656152588747</v>
      </c>
      <c r="BC621" s="105">
        <f>IF($AP$421&gt;0,'Assumptions (NG)'!AI11*Model!$AP$421*('Assumptions (NG)'!$AO$15*AVERAGE('Assumptions (NG)'!$AL$2:$AN$2)+'Assumptions (NG)'!$AO$16*AVERAGE('Assumptions (NG)'!$AL$3:$AN$3))/10^9,0)</f>
        <v>1.5985561979741727</v>
      </c>
      <c r="BD621" s="105">
        <f>IF($AP$421&gt;0,'Assumptions (NG)'!AJ11*Model!$AP$421*('Assumptions (NG)'!$AO$15*AVERAGE('Assumptions (NG)'!$AL$2:$AN$2)+'Assumptions (NG)'!$AO$16*AVERAGE('Assumptions (NG)'!$AL$3:$AN$3))/10^9,0)</f>
        <v>1.6012656152588747</v>
      </c>
      <c r="BE621" s="105">
        <f>IF($AP$421&gt;0,'Assumptions (NG)'!AK11*Model!$AP$421*('Assumptions (NG)'!$AO$15*AVERAGE('Assumptions (NG)'!$AL$2:$AN$2)+'Assumptions (NG)'!$AO$16*AVERAGE('Assumptions (NG)'!$AL$3:$AN$3))/10^9,0)</f>
        <v>0.79927809898708635</v>
      </c>
      <c r="BF621" s="105"/>
      <c r="BG621" s="105"/>
      <c r="BH621" s="105"/>
      <c r="BI621" s="105"/>
      <c r="BJ621" s="105"/>
      <c r="BK621" s="105"/>
      <c r="BL621" s="105"/>
      <c r="BM621" s="105"/>
      <c r="BN621" s="105"/>
    </row>
    <row r="622" spans="1:70" ht="15.75" hidden="1" customHeight="1" outlineLevel="1">
      <c r="A622" s="379"/>
      <c r="B622" s="99"/>
      <c r="C622" s="99"/>
      <c r="D622" s="99"/>
      <c r="E622" s="99"/>
      <c r="F622" s="99"/>
      <c r="G622" s="99"/>
      <c r="H622" s="99"/>
      <c r="I622" s="99"/>
      <c r="J622" s="99"/>
      <c r="K622" s="99"/>
      <c r="L622" s="99"/>
      <c r="M622" s="99"/>
      <c r="N622" s="99"/>
      <c r="O622" s="99"/>
      <c r="P622" s="99"/>
      <c r="Q622" s="99"/>
      <c r="R622" s="99"/>
      <c r="S622" s="99"/>
      <c r="T622" s="99"/>
      <c r="U622" s="99"/>
      <c r="V622" s="99"/>
      <c r="W622" s="105"/>
      <c r="X622" s="105"/>
      <c r="Y622" s="105"/>
      <c r="Z622" s="105"/>
      <c r="AA622" s="105"/>
      <c r="AB622" s="105"/>
      <c r="AC622" s="105"/>
      <c r="AD622" s="105"/>
      <c r="AE622" s="105"/>
      <c r="AF622" s="105"/>
      <c r="AG622" s="105"/>
      <c r="AH622" s="105"/>
      <c r="AI622" s="105"/>
      <c r="AJ622" s="171"/>
      <c r="AK622" s="105"/>
      <c r="AL622" s="91"/>
      <c r="AM622" s="91"/>
      <c r="AN622" s="91"/>
      <c r="AO622" s="105"/>
      <c r="AP622" s="105"/>
      <c r="AQ622" s="105">
        <f>IF($AQ$421&gt;0,'Assumptions (NG)'!V11*Model!$AQ$421*('Assumptions (NG)'!$AP$15*AVERAGE('Assumptions (NG)'!$AM$2:$AO$2)+'Assumptions (NG)'!$AP$16*AVERAGE('Assumptions (NG)'!$AM$3:$AO$3))/10^9,0)</f>
        <v>0.27713809060648742</v>
      </c>
      <c r="AR622" s="105">
        <f>IF($AQ$421&gt;0,'Assumptions (NG)'!W11*Model!$AQ$421*('Assumptions (NG)'!$AP$15*AVERAGE('Assumptions (NG)'!$AM$2:$AO$2)+'Assumptions (NG)'!$AP$16*AVERAGE('Assumptions (NG)'!$AM$3:$AO$3))/10^9,0)</f>
        <v>0.52656237215232593</v>
      </c>
      <c r="AS622" s="105">
        <f>IF($AQ$421&gt;0,'Assumptions (NG)'!X11*Model!$AQ$421*('Assumptions (NG)'!$AP$15*AVERAGE('Assumptions (NG)'!$AM$2:$AO$2)+'Assumptions (NG)'!$AP$16*AVERAGE('Assumptions (NG)'!$AM$3:$AO$3))/10^9,0)</f>
        <v>0.47390613493709344</v>
      </c>
      <c r="AT622" s="105">
        <f>IF($AQ$421&gt;0,'Assumptions (NG)'!Y11*Model!$AQ$421*('Assumptions (NG)'!$AP$15*AVERAGE('Assumptions (NG)'!$AM$2:$AO$2)+'Assumptions (NG)'!$AP$16*AVERAGE('Assumptions (NG)'!$AM$3:$AO$3))/10^9,0)</f>
        <v>0.42679265953399048</v>
      </c>
      <c r="AU622" s="105">
        <f>IF($AQ$421&gt;0,'Assumptions (NG)'!Z11*Model!$AQ$421*('Assumptions (NG)'!$AP$15*AVERAGE('Assumptions (NG)'!$AM$2:$AO$2)+'Assumptions (NG)'!$AP$16*AVERAGE('Assumptions (NG)'!$AM$3:$AO$3))/10^9,0)</f>
        <v>0.38411339358059149</v>
      </c>
      <c r="AV622" s="105">
        <f>IF($AQ$421&gt;0,'Assumptions (NG)'!AA11*Model!$AQ$421*('Assumptions (NG)'!$AP$15*AVERAGE('Assumptions (NG)'!$AM$2:$AO$2)+'Assumptions (NG)'!$AP$16*AVERAGE('Assumptions (NG)'!$AM$3:$AO$3))/10^9,0)</f>
        <v>0.34531406089568328</v>
      </c>
      <c r="AW622" s="105">
        <f>IF($AQ$421&gt;0,'Assumptions (NG)'!AB11*Model!$AQ$421*('Assumptions (NG)'!$AP$15*AVERAGE('Assumptions (NG)'!$AM$2:$AO$2)+'Assumptions (NG)'!$AP$16*AVERAGE('Assumptions (NG)'!$AM$3:$AO$3))/10^9,0)</f>
        <v>0.32702294691565503</v>
      </c>
      <c r="AX622" s="105">
        <f>IF($AQ$421&gt;0,'Assumptions (NG)'!AC11*Model!$AQ$421*('Assumptions (NG)'!$AP$15*AVERAGE('Assumptions (NG)'!$AM$2:$AO$2)+'Assumptions (NG)'!$AP$16*AVERAGE('Assumptions (NG)'!$AM$3:$AO$3))/10^9,0)</f>
        <v>0.32702294691565503</v>
      </c>
      <c r="AY622" s="105">
        <f>IF($AQ$421&gt;0,'Assumptions (NG)'!AD11*Model!$AQ$421*('Assumptions (NG)'!$AP$15*AVERAGE('Assumptions (NG)'!$AM$2:$AO$2)+'Assumptions (NG)'!$AP$16*AVERAGE('Assumptions (NG)'!$AM$3:$AO$3))/10^9,0)</f>
        <v>0.32757722309686804</v>
      </c>
      <c r="AZ622" s="105">
        <f>IF($AQ$421&gt;0,'Assumptions (NG)'!AE11*Model!$AQ$421*('Assumptions (NG)'!$AP$15*AVERAGE('Assumptions (NG)'!$AM$2:$AO$2)+'Assumptions (NG)'!$AP$16*AVERAGE('Assumptions (NG)'!$AM$3:$AO$3))/10^9,0)</f>
        <v>0.32702294691565503</v>
      </c>
      <c r="BA622" s="105">
        <f>IF($AQ$421&gt;0,'Assumptions (NG)'!AF11*Model!$AQ$421*('Assumptions (NG)'!$AP$15*AVERAGE('Assumptions (NG)'!$AM$2:$AO$2)+'Assumptions (NG)'!$AP$16*AVERAGE('Assumptions (NG)'!$AM$3:$AO$3))/10^9,0)</f>
        <v>0.32757722309686804</v>
      </c>
      <c r="BB622" s="105">
        <f>IF($AQ$421&gt;0,'Assumptions (NG)'!AG11*Model!$AQ$421*('Assumptions (NG)'!$AP$15*AVERAGE('Assumptions (NG)'!$AM$2:$AO$2)+'Assumptions (NG)'!$AP$16*AVERAGE('Assumptions (NG)'!$AM$3:$AO$3))/10^9,0)</f>
        <v>0.32702294691565503</v>
      </c>
      <c r="BC622" s="105">
        <f>IF($AQ$421&gt;0,'Assumptions (NG)'!AH11*Model!$AQ$421*('Assumptions (NG)'!$AP$15*AVERAGE('Assumptions (NG)'!$AM$2:$AO$2)+'Assumptions (NG)'!$AP$16*AVERAGE('Assumptions (NG)'!$AM$3:$AO$3))/10^9,0)</f>
        <v>0.32757722309686804</v>
      </c>
      <c r="BD622" s="105">
        <f>IF($AQ$421&gt;0,'Assumptions (NG)'!AI11*Model!$AQ$421*('Assumptions (NG)'!$AP$15*AVERAGE('Assumptions (NG)'!$AM$2:$AO$2)+'Assumptions (NG)'!$AP$16*AVERAGE('Assumptions (NG)'!$AM$3:$AO$3))/10^9,0)</f>
        <v>0.32702294691565503</v>
      </c>
      <c r="BE622" s="105">
        <f>IF($AQ$421&gt;0,'Assumptions (NG)'!AJ11*Model!$AQ$421*('Assumptions (NG)'!$AP$15*AVERAGE('Assumptions (NG)'!$AM$2:$AO$2)+'Assumptions (NG)'!$AP$16*AVERAGE('Assumptions (NG)'!$AM$3:$AO$3))/10^9,0)</f>
        <v>0.32757722309686804</v>
      </c>
      <c r="BF622" s="105">
        <f>IF($AQ$421&gt;0,'Assumptions (NG)'!AK11*Model!$AQ$421*('Assumptions (NG)'!$AP$15*AVERAGE('Assumptions (NG)'!$AM$2:$AO$2)+'Assumptions (NG)'!$AP$16*AVERAGE('Assumptions (NG)'!$AM$3:$AO$3))/10^9,0)</f>
        <v>0.16351147345782752</v>
      </c>
      <c r="BG622" s="105"/>
      <c r="BH622" s="105"/>
      <c r="BI622" s="105"/>
      <c r="BJ622" s="105"/>
      <c r="BK622" s="105"/>
      <c r="BL622" s="105"/>
      <c r="BM622" s="105"/>
      <c r="BN622" s="105"/>
      <c r="BO622" s="105"/>
    </row>
    <row r="623" spans="1:70" ht="15.75" hidden="1" customHeight="1" outlineLevel="1">
      <c r="A623" s="379"/>
      <c r="B623" s="99"/>
      <c r="C623" s="99"/>
      <c r="D623" s="99"/>
      <c r="E623" s="99"/>
      <c r="F623" s="99"/>
      <c r="G623" s="99"/>
      <c r="H623" s="99"/>
      <c r="I623" s="99"/>
      <c r="J623" s="99"/>
      <c r="K623" s="99"/>
      <c r="L623" s="99"/>
      <c r="M623" s="99"/>
      <c r="N623" s="99"/>
      <c r="O623" s="99"/>
      <c r="P623" s="99"/>
      <c r="Q623" s="99"/>
      <c r="R623" s="99"/>
      <c r="S623" s="99"/>
      <c r="T623" s="99"/>
      <c r="U623" s="99"/>
      <c r="V623" s="99"/>
      <c r="W623" s="105"/>
      <c r="X623" s="105"/>
      <c r="Y623" s="105"/>
      <c r="Z623" s="105"/>
      <c r="AA623" s="105"/>
      <c r="AB623" s="105"/>
      <c r="AC623" s="105"/>
      <c r="AD623" s="105"/>
      <c r="AE623" s="105"/>
      <c r="AF623" s="105"/>
      <c r="AG623" s="105"/>
      <c r="AH623" s="105"/>
      <c r="AI623" s="105"/>
      <c r="AJ623" s="171"/>
      <c r="AK623" s="105"/>
      <c r="AL623" s="91"/>
      <c r="AM623" s="91"/>
      <c r="AN623" s="91"/>
      <c r="AO623" s="105"/>
      <c r="AP623" s="105"/>
      <c r="AQ623" s="105"/>
      <c r="AR623" s="105">
        <f>IF($AR$421&gt;0,'Assumptions (NG)'!V11*Model!$AR$421*('Assumptions (NG)'!$AQ$15*AVERAGE('Assumptions (NG)'!$AN$2:$AP$2)+'Assumptions (NG)'!$AQ$16*AVERAGE('Assumptions (NG)'!$AN$3:$AP$3))/10^9,0)</f>
        <v>0</v>
      </c>
      <c r="AS623" s="105">
        <f>IF($AR$421&gt;0,'Assumptions (NG)'!W11*Model!$AR$421*('Assumptions (NG)'!$AQ$15*AVERAGE('Assumptions (NG)'!$AN$2:$AP$2)+'Assumptions (NG)'!$AQ$16*AVERAGE('Assumptions (NG)'!$AN$3:$AP$3))/10^9,0)</f>
        <v>0</v>
      </c>
      <c r="AT623" s="105">
        <f>IF($AR$421&gt;0,'Assumptions (NG)'!X11*Model!$AR$421*('Assumptions (NG)'!$AQ$15*AVERAGE('Assumptions (NG)'!$AN$2:$AP$2)+'Assumptions (NG)'!$AQ$16*AVERAGE('Assumptions (NG)'!$AN$3:$AP$3))/10^9,0)</f>
        <v>0</v>
      </c>
      <c r="AU623" s="105">
        <f>IF($AR$421&gt;0,'Assumptions (NG)'!Y11*Model!$AR$421*('Assumptions (NG)'!$AQ$15*AVERAGE('Assumptions (NG)'!$AN$2:$AP$2)+'Assumptions (NG)'!$AQ$16*AVERAGE('Assumptions (NG)'!$AN$3:$AP$3))/10^9,0)</f>
        <v>0</v>
      </c>
      <c r="AV623" s="105">
        <f>IF($AR$421&gt;0,'Assumptions (NG)'!Z11*Model!$AR$421*('Assumptions (NG)'!$AQ$15*AVERAGE('Assumptions (NG)'!$AN$2:$AP$2)+'Assumptions (NG)'!$AQ$16*AVERAGE('Assumptions (NG)'!$AN$3:$AP$3))/10^9,0)</f>
        <v>0</v>
      </c>
      <c r="AW623" s="105">
        <f>IF($AR$421&gt;0,'Assumptions (NG)'!AA11*Model!$AR$421*('Assumptions (NG)'!$AQ$15*AVERAGE('Assumptions (NG)'!$AN$2:$AP$2)+'Assumptions (NG)'!$AQ$16*AVERAGE('Assumptions (NG)'!$AN$3:$AP$3))/10^9,0)</f>
        <v>0</v>
      </c>
      <c r="AX623" s="105">
        <f>IF($AR$421&gt;0,'Assumptions (NG)'!AB11*Model!$AR$421*('Assumptions (NG)'!$AQ$15*AVERAGE('Assumptions (NG)'!$AN$2:$AP$2)+'Assumptions (NG)'!$AQ$16*AVERAGE('Assumptions (NG)'!$AN$3:$AP$3))/10^9,0)</f>
        <v>0</v>
      </c>
      <c r="AY623" s="105">
        <f>IF($AR$421&gt;0,'Assumptions (NG)'!AC11*Model!$AR$421*('Assumptions (NG)'!$AQ$15*AVERAGE('Assumptions (NG)'!$AN$2:$AP$2)+'Assumptions (NG)'!$AQ$16*AVERAGE('Assumptions (NG)'!$AN$3:$AP$3))/10^9,0)</f>
        <v>0</v>
      </c>
      <c r="AZ623" s="105">
        <f>IF($AR$421&gt;0,'Assumptions (NG)'!AD11*Model!$AR$421*('Assumptions (NG)'!$AQ$15*AVERAGE('Assumptions (NG)'!$AN$2:$AP$2)+'Assumptions (NG)'!$AQ$16*AVERAGE('Assumptions (NG)'!$AN$3:$AP$3))/10^9,0)</f>
        <v>0</v>
      </c>
      <c r="BA623" s="105">
        <f>IF($AR$421&gt;0,'Assumptions (NG)'!AE11*Model!$AR$421*('Assumptions (NG)'!$AQ$15*AVERAGE('Assumptions (NG)'!$AN$2:$AP$2)+'Assumptions (NG)'!$AQ$16*AVERAGE('Assumptions (NG)'!$AN$3:$AP$3))/10^9,0)</f>
        <v>0</v>
      </c>
      <c r="BB623" s="105">
        <f>IF($AR$421&gt;0,'Assumptions (NG)'!AF11*Model!$AR$421*('Assumptions (NG)'!$AQ$15*AVERAGE('Assumptions (NG)'!$AN$2:$AP$2)+'Assumptions (NG)'!$AQ$16*AVERAGE('Assumptions (NG)'!$AN$3:$AP$3))/10^9,0)</f>
        <v>0</v>
      </c>
      <c r="BC623" s="105">
        <f>IF($AR$421&gt;0,'Assumptions (NG)'!AG11*Model!$AR$421*('Assumptions (NG)'!$AQ$15*AVERAGE('Assumptions (NG)'!$AN$2:$AP$2)+'Assumptions (NG)'!$AQ$16*AVERAGE('Assumptions (NG)'!$AN$3:$AP$3))/10^9,0)</f>
        <v>0</v>
      </c>
      <c r="BD623" s="105">
        <f>IF($AR$421&gt;0,'Assumptions (NG)'!AH11*Model!$AR$421*('Assumptions (NG)'!$AQ$15*AVERAGE('Assumptions (NG)'!$AN$2:$AP$2)+'Assumptions (NG)'!$AQ$16*AVERAGE('Assumptions (NG)'!$AN$3:$AP$3))/10^9,0)</f>
        <v>0</v>
      </c>
      <c r="BE623" s="105">
        <f>IF($AR$421&gt;0,'Assumptions (NG)'!AI11*Model!$AR$421*('Assumptions (NG)'!$AQ$15*AVERAGE('Assumptions (NG)'!$AN$2:$AP$2)+'Assumptions (NG)'!$AQ$16*AVERAGE('Assumptions (NG)'!$AN$3:$AP$3))/10^9,0)</f>
        <v>0</v>
      </c>
      <c r="BF623" s="105">
        <f>IF($AR$421&gt;0,'Assumptions (NG)'!AJ11*Model!$AR$421*('Assumptions (NG)'!$AQ$15*AVERAGE('Assumptions (NG)'!$AN$2:$AP$2)+'Assumptions (NG)'!$AQ$16*AVERAGE('Assumptions (NG)'!$AN$3:$AP$3))/10^9,0)</f>
        <v>0</v>
      </c>
      <c r="BG623" s="105">
        <f>IF($AR$421&gt;0,'Assumptions (NG)'!AK11*Model!$AR$421*('Assumptions (NG)'!$AQ$15*AVERAGE('Assumptions (NG)'!$AN$2:$AP$2)+'Assumptions (NG)'!$AQ$16*AVERAGE('Assumptions (NG)'!$AN$3:$AP$3))/10^9,0)</f>
        <v>0</v>
      </c>
      <c r="BH623" s="105"/>
      <c r="BI623" s="105"/>
      <c r="BJ623" s="105"/>
      <c r="BK623" s="105"/>
      <c r="BL623" s="105"/>
      <c r="BM623" s="105"/>
      <c r="BN623" s="105"/>
      <c r="BO623" s="105"/>
      <c r="BP623" s="105"/>
    </row>
    <row r="624" spans="1:70" ht="15.75" hidden="1" customHeight="1" outlineLevel="1">
      <c r="A624" s="379"/>
      <c r="B624" s="99"/>
      <c r="C624" s="99"/>
      <c r="D624" s="99"/>
      <c r="E624" s="99"/>
      <c r="F624" s="99"/>
      <c r="G624" s="99"/>
      <c r="H624" s="99"/>
      <c r="I624" s="99"/>
      <c r="J624" s="99"/>
      <c r="K624" s="99"/>
      <c r="L624" s="99"/>
      <c r="M624" s="99"/>
      <c r="N624" s="99"/>
      <c r="O624" s="99"/>
      <c r="P624" s="99"/>
      <c r="Q624" s="99"/>
      <c r="R624" s="99"/>
      <c r="S624" s="99"/>
      <c r="T624" s="99"/>
      <c r="U624" s="99"/>
      <c r="V624" s="99"/>
      <c r="W624" s="105"/>
      <c r="X624" s="105"/>
      <c r="Y624" s="105"/>
      <c r="Z624" s="105"/>
      <c r="AA624" s="105"/>
      <c r="AB624" s="105"/>
      <c r="AC624" s="105"/>
      <c r="AD624" s="105"/>
      <c r="AE624" s="105"/>
      <c r="AF624" s="105"/>
      <c r="AG624" s="105"/>
      <c r="AH624" s="105"/>
      <c r="AI624" s="105"/>
      <c r="AJ624" s="171"/>
      <c r="AK624" s="105"/>
      <c r="AL624" s="91"/>
      <c r="AM624" s="91"/>
      <c r="AN624" s="91"/>
      <c r="AO624" s="105"/>
      <c r="AP624" s="105"/>
      <c r="AQ624" s="105"/>
      <c r="AR624" s="105"/>
      <c r="AS624" s="105">
        <f>IF($AS$421&gt;0,'Assumptions (NG)'!V11*Model!$AS$421*('Assumptions (NG)'!$AR$15*AVERAGE('Assumptions (NG)'!$AO$2:$AQ$2)+'Assumptions (NG)'!$AR$16*AVERAGE('Assumptions (NG)'!$AO$3:$AQ$3))/10^9,0)</f>
        <v>0</v>
      </c>
      <c r="AT624" s="105">
        <f>IF($AS$421&gt;0,'Assumptions (NG)'!W11*Model!$AS$421*('Assumptions (NG)'!$AR$15*AVERAGE('Assumptions (NG)'!$AO$2:$AQ$2)+'Assumptions (NG)'!$AR$16*AVERAGE('Assumptions (NG)'!$AO$3:$AQ$3))/10^9,0)</f>
        <v>0</v>
      </c>
      <c r="AU624" s="105">
        <f>IF($AS$421&gt;0,'Assumptions (NG)'!X11*Model!$AS$421*('Assumptions (NG)'!$AR$15*AVERAGE('Assumptions (NG)'!$AO$2:$AQ$2)+'Assumptions (NG)'!$AR$16*AVERAGE('Assumptions (NG)'!$AO$3:$AQ$3))/10^9,0)</f>
        <v>0</v>
      </c>
      <c r="AV624" s="105">
        <f>IF($AS$421&gt;0,'Assumptions (NG)'!Y11*Model!$AS$421*('Assumptions (NG)'!$AR$15*AVERAGE('Assumptions (NG)'!$AO$2:$AQ$2)+'Assumptions (NG)'!$AR$16*AVERAGE('Assumptions (NG)'!$AO$3:$AQ$3))/10^9,0)</f>
        <v>0</v>
      </c>
      <c r="AW624" s="105">
        <f>IF($AS$421&gt;0,'Assumptions (NG)'!Z11*Model!$AS$421*('Assumptions (NG)'!$AR$15*AVERAGE('Assumptions (NG)'!$AO$2:$AQ$2)+'Assumptions (NG)'!$AR$16*AVERAGE('Assumptions (NG)'!$AO$3:$AQ$3))/10^9,0)</f>
        <v>0</v>
      </c>
      <c r="AX624" s="105">
        <f>IF($AS$421&gt;0,'Assumptions (NG)'!AA11*Model!$AS$421*('Assumptions (NG)'!$AR$15*AVERAGE('Assumptions (NG)'!$AO$2:$AQ$2)+'Assumptions (NG)'!$AR$16*AVERAGE('Assumptions (NG)'!$AO$3:$AQ$3))/10^9,0)</f>
        <v>0</v>
      </c>
      <c r="AY624" s="105">
        <f>IF($AS$421&gt;0,'Assumptions (NG)'!AB11*Model!$AS$421*('Assumptions (NG)'!$AR$15*AVERAGE('Assumptions (NG)'!$AO$2:$AQ$2)+'Assumptions (NG)'!$AR$16*AVERAGE('Assumptions (NG)'!$AO$3:$AQ$3))/10^9,0)</f>
        <v>0</v>
      </c>
      <c r="AZ624" s="105">
        <f>IF($AS$421&gt;0,'Assumptions (NG)'!AC11*Model!$AS$421*('Assumptions (NG)'!$AR$15*AVERAGE('Assumptions (NG)'!$AO$2:$AQ$2)+'Assumptions (NG)'!$AR$16*AVERAGE('Assumptions (NG)'!$AO$3:$AQ$3))/10^9,0)</f>
        <v>0</v>
      </c>
      <c r="BA624" s="105">
        <f>IF($AS$421&gt;0,'Assumptions (NG)'!AD11*Model!$AS$421*('Assumptions (NG)'!$AR$15*AVERAGE('Assumptions (NG)'!$AO$2:$AQ$2)+'Assumptions (NG)'!$AR$16*AVERAGE('Assumptions (NG)'!$AO$3:$AQ$3))/10^9,0)</f>
        <v>0</v>
      </c>
      <c r="BB624" s="105">
        <f>IF($AS$421&gt;0,'Assumptions (NG)'!AE11*Model!$AS$421*('Assumptions (NG)'!$AR$15*AVERAGE('Assumptions (NG)'!$AO$2:$AQ$2)+'Assumptions (NG)'!$AR$16*AVERAGE('Assumptions (NG)'!$AO$3:$AQ$3))/10^9,0)</f>
        <v>0</v>
      </c>
      <c r="BC624" s="105">
        <f>IF($AS$421&gt;0,'Assumptions (NG)'!AF11*Model!$AS$421*('Assumptions (NG)'!$AR$15*AVERAGE('Assumptions (NG)'!$AO$2:$AQ$2)+'Assumptions (NG)'!$AR$16*AVERAGE('Assumptions (NG)'!$AO$3:$AQ$3))/10^9,0)</f>
        <v>0</v>
      </c>
      <c r="BD624" s="105">
        <f>IF($AS$421&gt;0,'Assumptions (NG)'!AG11*Model!$AS$421*('Assumptions (NG)'!$AR$15*AVERAGE('Assumptions (NG)'!$AO$2:$AQ$2)+'Assumptions (NG)'!$AR$16*AVERAGE('Assumptions (NG)'!$AO$3:$AQ$3))/10^9,0)</f>
        <v>0</v>
      </c>
      <c r="BE624" s="105">
        <f>IF($AS$421&gt;0,'Assumptions (NG)'!AH11*Model!$AS$421*('Assumptions (NG)'!$AR$15*AVERAGE('Assumptions (NG)'!$AO$2:$AQ$2)+'Assumptions (NG)'!$AR$16*AVERAGE('Assumptions (NG)'!$AO$3:$AQ$3))/10^9,0)</f>
        <v>0</v>
      </c>
      <c r="BF624" s="105">
        <f>IF($AS$421&gt;0,'Assumptions (NG)'!AI11*Model!$AS$421*('Assumptions (NG)'!$AR$15*AVERAGE('Assumptions (NG)'!$AO$2:$AQ$2)+'Assumptions (NG)'!$AR$16*AVERAGE('Assumptions (NG)'!$AO$3:$AQ$3))/10^9,0)</f>
        <v>0</v>
      </c>
      <c r="BG624" s="105">
        <f>IF($AS$421&gt;0,'Assumptions (NG)'!AJ11*Model!$AS$421*('Assumptions (NG)'!$AR$15*AVERAGE('Assumptions (NG)'!$AO$2:$AQ$2)+'Assumptions (NG)'!$AR$16*AVERAGE('Assumptions (NG)'!$AO$3:$AQ$3))/10^9,0)</f>
        <v>0</v>
      </c>
      <c r="BH624" s="105">
        <f>IF($AS$421&gt;0,'Assumptions (NG)'!AK11*Model!$AS$421*('Assumptions (NG)'!$AR$15*AVERAGE('Assumptions (NG)'!$AO$2:$AQ$2)+'Assumptions (NG)'!$AR$16*AVERAGE('Assumptions (NG)'!$AO$3:$AQ$3))/10^9,0)</f>
        <v>0</v>
      </c>
      <c r="BI624" s="105"/>
      <c r="BJ624" s="105"/>
      <c r="BK624" s="105"/>
      <c r="BL624" s="105"/>
      <c r="BM624" s="105"/>
      <c r="BN624" s="105"/>
      <c r="BO624" s="105"/>
      <c r="BP624" s="105"/>
      <c r="BQ624" s="105"/>
      <c r="BR624" s="105"/>
    </row>
    <row r="625" spans="1:77" ht="15.75" hidden="1" customHeight="1" outlineLevel="1">
      <c r="A625" s="379"/>
      <c r="B625" s="99"/>
      <c r="C625" s="99"/>
      <c r="D625" s="99"/>
      <c r="E625" s="99"/>
      <c r="F625" s="99"/>
      <c r="G625" s="99"/>
      <c r="H625" s="99"/>
      <c r="I625" s="99"/>
      <c r="J625" s="99"/>
      <c r="K625" s="99"/>
      <c r="L625" s="99"/>
      <c r="M625" s="99"/>
      <c r="N625" s="99"/>
      <c r="O625" s="99"/>
      <c r="P625" s="99"/>
      <c r="Q625" s="99"/>
      <c r="R625" s="99"/>
      <c r="S625" s="99"/>
      <c r="T625" s="99"/>
      <c r="U625" s="99"/>
      <c r="V625" s="99"/>
      <c r="W625" s="105"/>
      <c r="X625" s="105"/>
      <c r="Y625" s="105"/>
      <c r="Z625" s="105"/>
      <c r="AA625" s="105"/>
      <c r="AB625" s="105"/>
      <c r="AC625" s="105"/>
      <c r="AD625" s="105"/>
      <c r="AE625" s="105"/>
      <c r="AF625" s="105"/>
      <c r="AG625" s="105"/>
      <c r="AH625" s="105"/>
      <c r="AI625" s="105"/>
      <c r="AJ625" s="171"/>
      <c r="AK625" s="105"/>
      <c r="AL625" s="91"/>
      <c r="AM625" s="91"/>
      <c r="AN625" s="91"/>
      <c r="AO625" s="105"/>
      <c r="AP625" s="105"/>
      <c r="AQ625" s="105"/>
      <c r="AR625" s="105"/>
      <c r="AS625" s="105"/>
      <c r="AT625" s="105">
        <f>IF($AT$421&gt;0,'Assumptions (NG)'!V11*Model!$AT$421*('Assumptions (NG)'!$AS$15*AVERAGE('Assumptions (NG)'!$AP$2:$AR$2)+'Assumptions (NG)'!$AS$16*AVERAGE('Assumptions (NG)'!$AP$3:$AR$3))/10^9,0)</f>
        <v>0</v>
      </c>
      <c r="AU625" s="105">
        <f>IF($AT$421&gt;0,'Assumptions (NG)'!W11*Model!$AT$421*('Assumptions (NG)'!$AS$15*AVERAGE('Assumptions (NG)'!$AP$2:$AR$2)+'Assumptions (NG)'!$AS$16*AVERAGE('Assumptions (NG)'!$AP$3:$AR$3))/10^9,0)</f>
        <v>0</v>
      </c>
      <c r="AV625" s="105">
        <f>IF($AT$421&gt;0,'Assumptions (NG)'!X11*Model!$AT$421*('Assumptions (NG)'!$AS$15*AVERAGE('Assumptions (NG)'!$AP$2:$AR$2)+'Assumptions (NG)'!$AS$16*AVERAGE('Assumptions (NG)'!$AP$3:$AR$3))/10^9,0)</f>
        <v>0</v>
      </c>
      <c r="AW625" s="105">
        <f>IF($AT$421&gt;0,'Assumptions (NG)'!Y11*Model!$AT$421*('Assumptions (NG)'!$AS$15*AVERAGE('Assumptions (NG)'!$AP$2:$AR$2)+'Assumptions (NG)'!$AS$16*AVERAGE('Assumptions (NG)'!$AP$3:$AR$3))/10^9,0)</f>
        <v>0</v>
      </c>
      <c r="AX625" s="105">
        <f>IF($AT$421&gt;0,'Assumptions (NG)'!Z11*Model!$AT$421*('Assumptions (NG)'!$AS$15*AVERAGE('Assumptions (NG)'!$AP$2:$AR$2)+'Assumptions (NG)'!$AS$16*AVERAGE('Assumptions (NG)'!$AP$3:$AR$3))/10^9,0)</f>
        <v>0</v>
      </c>
      <c r="AY625" s="105">
        <f>IF($AT$421&gt;0,'Assumptions (NG)'!AA11*Model!$AT$421*('Assumptions (NG)'!$AS$15*AVERAGE('Assumptions (NG)'!$AP$2:$AR$2)+'Assumptions (NG)'!$AS$16*AVERAGE('Assumptions (NG)'!$AP$3:$AR$3))/10^9,0)</f>
        <v>0</v>
      </c>
      <c r="AZ625" s="105">
        <f>IF($AT$421&gt;0,'Assumptions (NG)'!AB11*Model!$AT$421*('Assumptions (NG)'!$AS$15*AVERAGE('Assumptions (NG)'!$AP$2:$AR$2)+'Assumptions (NG)'!$AS$16*AVERAGE('Assumptions (NG)'!$AP$3:$AR$3))/10^9,0)</f>
        <v>0</v>
      </c>
      <c r="BA625" s="105">
        <f>IF($AT$421&gt;0,'Assumptions (NG)'!AC11*Model!$AT$421*('Assumptions (NG)'!$AS$15*AVERAGE('Assumptions (NG)'!$AP$2:$AR$2)+'Assumptions (NG)'!$AS$16*AVERAGE('Assumptions (NG)'!$AP$3:$AR$3))/10^9,0)</f>
        <v>0</v>
      </c>
      <c r="BB625" s="105">
        <f>IF($AT$421&gt;0,'Assumptions (NG)'!AD11*Model!$AT$421*('Assumptions (NG)'!$AS$15*AVERAGE('Assumptions (NG)'!$AP$2:$AR$2)+'Assumptions (NG)'!$AS$16*AVERAGE('Assumptions (NG)'!$AP$3:$AR$3))/10^9,0)</f>
        <v>0</v>
      </c>
      <c r="BC625" s="105">
        <f>IF($AT$421&gt;0,'Assumptions (NG)'!AE11*Model!$AT$421*('Assumptions (NG)'!$AS$15*AVERAGE('Assumptions (NG)'!$AP$2:$AR$2)+'Assumptions (NG)'!$AS$16*AVERAGE('Assumptions (NG)'!$AP$3:$AR$3))/10^9,0)</f>
        <v>0</v>
      </c>
      <c r="BD625" s="105">
        <f>IF($AT$421&gt;0,'Assumptions (NG)'!AF11*Model!$AT$421*('Assumptions (NG)'!$AS$15*AVERAGE('Assumptions (NG)'!$AP$2:$AR$2)+'Assumptions (NG)'!$AS$16*AVERAGE('Assumptions (NG)'!$AP$3:$AR$3))/10^9,0)</f>
        <v>0</v>
      </c>
      <c r="BE625" s="105">
        <f>IF($AT$421&gt;0,'Assumptions (NG)'!AG11*Model!$AT$421*('Assumptions (NG)'!$AS$15*AVERAGE('Assumptions (NG)'!$AP$2:$AR$2)+'Assumptions (NG)'!$AS$16*AVERAGE('Assumptions (NG)'!$AP$3:$AR$3))/10^9,0)</f>
        <v>0</v>
      </c>
      <c r="BF625" s="105">
        <f>IF($AT$421&gt;0,'Assumptions (NG)'!AH11*Model!$AT$421*('Assumptions (NG)'!$AS$15*AVERAGE('Assumptions (NG)'!$AP$2:$AR$2)+'Assumptions (NG)'!$AS$16*AVERAGE('Assumptions (NG)'!$AP$3:$AR$3))/10^9,0)</f>
        <v>0</v>
      </c>
      <c r="BG625" s="105">
        <f>IF($AT$421&gt;0,'Assumptions (NG)'!AI11*Model!$AT$421*('Assumptions (NG)'!$AS$15*AVERAGE('Assumptions (NG)'!$AP$2:$AR$2)+'Assumptions (NG)'!$AS$16*AVERAGE('Assumptions (NG)'!$AP$3:$AR$3))/10^9,0)</f>
        <v>0</v>
      </c>
      <c r="BH625" s="105">
        <f>IF($AT$421&gt;0,'Assumptions (NG)'!AJ11*Model!$AT$421*('Assumptions (NG)'!$AS$15*AVERAGE('Assumptions (NG)'!$AP$2:$AR$2)+'Assumptions (NG)'!$AS$16*AVERAGE('Assumptions (NG)'!$AP$3:$AR$3))/10^9,0)</f>
        <v>0</v>
      </c>
      <c r="BI625" s="105">
        <f>IF($AT$421&gt;0,'Assumptions (NG)'!AK11*Model!$AT$421*('Assumptions (NG)'!$AS$15*AVERAGE('Assumptions (NG)'!$AP$2:$AR$2)+'Assumptions (NG)'!$AS$16*AVERAGE('Assumptions (NG)'!$AP$3:$AR$3))/10^9,0)</f>
        <v>0</v>
      </c>
      <c r="BJ625" s="105"/>
      <c r="BK625" s="105"/>
      <c r="BL625" s="105"/>
      <c r="BM625" s="105"/>
      <c r="BN625" s="105"/>
      <c r="BO625" s="105"/>
      <c r="BP625" s="105"/>
      <c r="BQ625" s="105"/>
      <c r="BR625" s="105"/>
    </row>
    <row r="626" spans="1:77" ht="15.75" hidden="1" customHeight="1" outlineLevel="1">
      <c r="A626" s="379"/>
      <c r="B626" s="99"/>
      <c r="C626" s="99"/>
      <c r="D626" s="99"/>
      <c r="E626" s="99"/>
      <c r="F626" s="99"/>
      <c r="G626" s="99"/>
      <c r="H626" s="99"/>
      <c r="I626" s="99"/>
      <c r="J626" s="99"/>
      <c r="K626" s="99"/>
      <c r="L626" s="99"/>
      <c r="M626" s="99"/>
      <c r="N626" s="99"/>
      <c r="O626" s="99"/>
      <c r="P626" s="99"/>
      <c r="Q626" s="99"/>
      <c r="R626" s="99"/>
      <c r="S626" s="99"/>
      <c r="T626" s="99"/>
      <c r="U626" s="99"/>
      <c r="V626" s="99"/>
      <c r="W626" s="105"/>
      <c r="X626" s="105"/>
      <c r="Y626" s="105"/>
      <c r="Z626" s="105"/>
      <c r="AA626" s="105"/>
      <c r="AB626" s="105"/>
      <c r="AC626" s="105"/>
      <c r="AD626" s="105"/>
      <c r="AE626" s="105"/>
      <c r="AF626" s="105"/>
      <c r="AG626" s="105"/>
      <c r="AH626" s="105"/>
      <c r="AI626" s="105"/>
      <c r="AJ626" s="171"/>
      <c r="AK626" s="105"/>
      <c r="AL626" s="91"/>
      <c r="AM626" s="91"/>
      <c r="AN626" s="91"/>
      <c r="AO626" s="105"/>
      <c r="AP626" s="105"/>
      <c r="AQ626" s="105"/>
      <c r="AR626" s="105"/>
      <c r="AS626" s="105"/>
      <c r="AT626" s="105"/>
      <c r="AU626" s="105">
        <f>IF($AU$421&gt;0,'Assumptions (NG)'!V11*Model!$AU$421*('Assumptions (NG)'!$AT$15*AVERAGE('Assumptions (NG)'!$AQ$2:$AS$2)+'Assumptions (NG)'!$AT$16*AVERAGE('Assumptions (NG)'!$AQ$3:$AS$3))/10^9,0)</f>
        <v>0</v>
      </c>
      <c r="AV626" s="105">
        <f>IF($AU$421&gt;0,'Assumptions (NG)'!W11*Model!$AU$421*('Assumptions (NG)'!$AT$15*AVERAGE('Assumptions (NG)'!$AQ$2:$AS$2)+'Assumptions (NG)'!$AT$16*AVERAGE('Assumptions (NG)'!$AQ$3:$AS$3))/10^9,0)</f>
        <v>0</v>
      </c>
      <c r="AW626" s="105">
        <f>IF($AU$421&gt;0,'Assumptions (NG)'!X11*Model!$AU$421*('Assumptions (NG)'!$AT$15*AVERAGE('Assumptions (NG)'!$AQ$2:$AS$2)+'Assumptions (NG)'!$AT$16*AVERAGE('Assumptions (NG)'!$AQ$3:$AS$3))/10^9,0)</f>
        <v>0</v>
      </c>
      <c r="AX626" s="105">
        <f>IF($AU$421&gt;0,'Assumptions (NG)'!Y11*Model!$AU$421*('Assumptions (NG)'!$AT$15*AVERAGE('Assumptions (NG)'!$AQ$2:$AS$2)+'Assumptions (NG)'!$AT$16*AVERAGE('Assumptions (NG)'!$AQ$3:$AS$3))/10^9,0)</f>
        <v>0</v>
      </c>
      <c r="AY626" s="105">
        <f>IF($AU$421&gt;0,'Assumptions (NG)'!Z11*Model!$AU$421*('Assumptions (NG)'!$AT$15*AVERAGE('Assumptions (NG)'!$AQ$2:$AS$2)+'Assumptions (NG)'!$AT$16*AVERAGE('Assumptions (NG)'!$AQ$3:$AS$3))/10^9,0)</f>
        <v>0</v>
      </c>
      <c r="AZ626" s="105">
        <f>IF($AU$421&gt;0,'Assumptions (NG)'!AA11*Model!$AU$421*('Assumptions (NG)'!$AT$15*AVERAGE('Assumptions (NG)'!$AQ$2:$AS$2)+'Assumptions (NG)'!$AT$16*AVERAGE('Assumptions (NG)'!$AQ$3:$AS$3))/10^9,0)</f>
        <v>0</v>
      </c>
      <c r="BA626" s="105">
        <f>IF($AU$421&gt;0,'Assumptions (NG)'!AB11*Model!$AU$421*('Assumptions (NG)'!$AT$15*AVERAGE('Assumptions (NG)'!$AQ$2:$AS$2)+'Assumptions (NG)'!$AT$16*AVERAGE('Assumptions (NG)'!$AQ$3:$AS$3))/10^9,0)</f>
        <v>0</v>
      </c>
      <c r="BB626" s="105">
        <f>IF($AU$421&gt;0,'Assumptions (NG)'!AC11*Model!$AU$421*('Assumptions (NG)'!$AT$15*AVERAGE('Assumptions (NG)'!$AQ$2:$AS$2)+'Assumptions (NG)'!$AT$16*AVERAGE('Assumptions (NG)'!$AQ$3:$AS$3))/10^9,0)</f>
        <v>0</v>
      </c>
      <c r="BC626" s="105">
        <f>IF($AU$421&gt;0,'Assumptions (NG)'!AD11*Model!$AU$421*('Assumptions (NG)'!$AT$15*AVERAGE('Assumptions (NG)'!$AQ$2:$AS$2)+'Assumptions (NG)'!$AT$16*AVERAGE('Assumptions (NG)'!$AQ$3:$AS$3))/10^9,0)</f>
        <v>0</v>
      </c>
      <c r="BD626" s="105">
        <f>IF($AU$421&gt;0,'Assumptions (NG)'!AE11*Model!$AU$421*('Assumptions (NG)'!$AT$15*AVERAGE('Assumptions (NG)'!$AQ$2:$AS$2)+'Assumptions (NG)'!$AT$16*AVERAGE('Assumptions (NG)'!$AQ$3:$AS$3))/10^9,0)</f>
        <v>0</v>
      </c>
      <c r="BE626" s="105">
        <f>IF($AU$421&gt;0,'Assumptions (NG)'!AF11*Model!$AU$421*('Assumptions (NG)'!$AT$15*AVERAGE('Assumptions (NG)'!$AQ$2:$AS$2)+'Assumptions (NG)'!$AT$16*AVERAGE('Assumptions (NG)'!$AQ$3:$AS$3))/10^9,0)</f>
        <v>0</v>
      </c>
      <c r="BF626" s="105">
        <f>IF($AU$421&gt;0,'Assumptions (NG)'!AG11*Model!$AU$421*('Assumptions (NG)'!$AT$15*AVERAGE('Assumptions (NG)'!$AQ$2:$AS$2)+'Assumptions (NG)'!$AT$16*AVERAGE('Assumptions (NG)'!$AQ$3:$AS$3))/10^9,0)</f>
        <v>0</v>
      </c>
      <c r="BG626" s="105">
        <f>IF($AU$421&gt;0,'Assumptions (NG)'!AH11*Model!$AU$421*('Assumptions (NG)'!$AT$15*AVERAGE('Assumptions (NG)'!$AQ$2:$AS$2)+'Assumptions (NG)'!$AT$16*AVERAGE('Assumptions (NG)'!$AQ$3:$AS$3))/10^9,0)</f>
        <v>0</v>
      </c>
      <c r="BH626" s="105">
        <f>IF($AU$421&gt;0,'Assumptions (NG)'!AI11*Model!$AU$421*('Assumptions (NG)'!$AT$15*AVERAGE('Assumptions (NG)'!$AQ$2:$AS$2)+'Assumptions (NG)'!$AT$16*AVERAGE('Assumptions (NG)'!$AQ$3:$AS$3))/10^9,0)</f>
        <v>0</v>
      </c>
      <c r="BI626" s="105">
        <f>IF($AU$421&gt;0,'Assumptions (NG)'!AJ11*Model!$AU$421*('Assumptions (NG)'!$AT$15*AVERAGE('Assumptions (NG)'!$AQ$2:$AS$2)+'Assumptions (NG)'!$AT$16*AVERAGE('Assumptions (NG)'!$AQ$3:$AS$3))/10^9,0)</f>
        <v>0</v>
      </c>
      <c r="BJ626" s="105">
        <f>IF($AU$421&gt;0,'Assumptions (NG)'!AK11*Model!$AU$421*('Assumptions (NG)'!$AT$15*AVERAGE('Assumptions (NG)'!$AQ$2:$AS$2)+'Assumptions (NG)'!$AT$16*AVERAGE('Assumptions (NG)'!$AQ$3:$AS$3))/10^9,0)</f>
        <v>0</v>
      </c>
      <c r="BK626" s="105"/>
      <c r="BL626" s="105"/>
      <c r="BM626" s="105"/>
      <c r="BN626" s="105"/>
      <c r="BO626" s="105"/>
      <c r="BP626" s="105"/>
      <c r="BQ626" s="105"/>
      <c r="BR626" s="105"/>
      <c r="BS626" s="105"/>
    </row>
    <row r="627" spans="1:77" ht="15.75" hidden="1" customHeight="1" outlineLevel="1">
      <c r="A627" s="379"/>
      <c r="B627" s="99"/>
      <c r="C627" s="99"/>
      <c r="D627" s="99"/>
      <c r="E627" s="99"/>
      <c r="F627" s="99"/>
      <c r="G627" s="99"/>
      <c r="H627" s="99"/>
      <c r="I627" s="99"/>
      <c r="J627" s="99"/>
      <c r="K627" s="99"/>
      <c r="L627" s="99"/>
      <c r="M627" s="99"/>
      <c r="N627" s="99"/>
      <c r="O627" s="99"/>
      <c r="P627" s="99"/>
      <c r="Q627" s="99"/>
      <c r="R627" s="99"/>
      <c r="S627" s="99"/>
      <c r="T627" s="99"/>
      <c r="U627" s="99"/>
      <c r="V627" s="99"/>
      <c r="W627" s="105"/>
      <c r="X627" s="105"/>
      <c r="Y627" s="105"/>
      <c r="Z627" s="105"/>
      <c r="AA627" s="105"/>
      <c r="AB627" s="105"/>
      <c r="AC627" s="105"/>
      <c r="AD627" s="105"/>
      <c r="AE627" s="105"/>
      <c r="AF627" s="105"/>
      <c r="AG627" s="105"/>
      <c r="AH627" s="105"/>
      <c r="AI627" s="105"/>
      <c r="AJ627" s="171"/>
      <c r="AK627" s="105"/>
      <c r="AL627" s="91"/>
      <c r="AM627" s="91"/>
      <c r="AN627" s="91"/>
      <c r="AO627" s="105"/>
      <c r="AP627" s="105"/>
      <c r="AQ627" s="105"/>
      <c r="AR627" s="105"/>
      <c r="AS627" s="105"/>
      <c r="AT627" s="105"/>
      <c r="AU627" s="105"/>
      <c r="AV627" s="105">
        <f>IF($AV$421&gt;0,'Assumptions (NG)'!V11*Model!$AV$421*('Assumptions (NG)'!$AU$15*AVERAGE('Assumptions (NG)'!$AR$2:$AT$2)+'Assumptions (NG)'!$AU$16*AVERAGE('Assumptions (NG)'!$AR$3:$AT$3))/10^9,0)</f>
        <v>0</v>
      </c>
      <c r="AW627" s="105">
        <f>IF($AV$421&gt;0,'Assumptions (NG)'!W11*Model!$AV$421*('Assumptions (NG)'!$AU$15*AVERAGE('Assumptions (NG)'!$AR$2:$AT$2)+'Assumptions (NG)'!$AU$16*AVERAGE('Assumptions (NG)'!$AR$3:$AT$3))/10^9,0)</f>
        <v>0</v>
      </c>
      <c r="AX627" s="105">
        <f>IF($AV$421&gt;0,'Assumptions (NG)'!X11*Model!$AV$421*('Assumptions (NG)'!$AU$15*AVERAGE('Assumptions (NG)'!$AR$2:$AT$2)+'Assumptions (NG)'!$AU$16*AVERAGE('Assumptions (NG)'!$AR$3:$AT$3))/10^9,0)</f>
        <v>0</v>
      </c>
      <c r="AY627" s="105">
        <f>IF($AV$421&gt;0,'Assumptions (NG)'!Y11*Model!$AV$421*('Assumptions (NG)'!$AU$15*AVERAGE('Assumptions (NG)'!$AR$2:$AT$2)+'Assumptions (NG)'!$AU$16*AVERAGE('Assumptions (NG)'!$AR$3:$AT$3))/10^9,0)</f>
        <v>0</v>
      </c>
      <c r="AZ627" s="105">
        <f>IF($AV$421&gt;0,'Assumptions (NG)'!Z11*Model!$AV$421*('Assumptions (NG)'!$AU$15*AVERAGE('Assumptions (NG)'!$AR$2:$AT$2)+'Assumptions (NG)'!$AU$16*AVERAGE('Assumptions (NG)'!$AR$3:$AT$3))/10^9,0)</f>
        <v>0</v>
      </c>
      <c r="BA627" s="105">
        <f>IF($AV$421&gt;0,'Assumptions (NG)'!AA11*Model!$AV$421*('Assumptions (NG)'!$AU$15*AVERAGE('Assumptions (NG)'!$AR$2:$AT$2)+'Assumptions (NG)'!$AU$16*AVERAGE('Assumptions (NG)'!$AR$3:$AT$3))/10^9,0)</f>
        <v>0</v>
      </c>
      <c r="BB627" s="105">
        <f>IF($AV$421&gt;0,'Assumptions (NG)'!AB11*Model!$AV$421*('Assumptions (NG)'!$AU$15*AVERAGE('Assumptions (NG)'!$AR$2:$AT$2)+'Assumptions (NG)'!$AU$16*AVERAGE('Assumptions (NG)'!$AR$3:$AT$3))/10^9,0)</f>
        <v>0</v>
      </c>
      <c r="BC627" s="105">
        <f>IF($AV$421&gt;0,'Assumptions (NG)'!AC11*Model!$AV$421*('Assumptions (NG)'!$AU$15*AVERAGE('Assumptions (NG)'!$AR$2:$AT$2)+'Assumptions (NG)'!$AU$16*AVERAGE('Assumptions (NG)'!$AR$3:$AT$3))/10^9,0)</f>
        <v>0</v>
      </c>
      <c r="BD627" s="105">
        <f>IF($AV$421&gt;0,'Assumptions (NG)'!AD11*Model!$AV$421*('Assumptions (NG)'!$AU$15*AVERAGE('Assumptions (NG)'!$AR$2:$AT$2)+'Assumptions (NG)'!$AU$16*AVERAGE('Assumptions (NG)'!$AR$3:$AT$3))/10^9,0)</f>
        <v>0</v>
      </c>
      <c r="BE627" s="105">
        <f>IF($AV$421&gt;0,'Assumptions (NG)'!AE11*Model!$AV$421*('Assumptions (NG)'!$AU$15*AVERAGE('Assumptions (NG)'!$AR$2:$AT$2)+'Assumptions (NG)'!$AU$16*AVERAGE('Assumptions (NG)'!$AR$3:$AT$3))/10^9,0)</f>
        <v>0</v>
      </c>
      <c r="BF627" s="105">
        <f>IF($AV$421&gt;0,'Assumptions (NG)'!AF11*Model!$AV$421*('Assumptions (NG)'!$AU$15*AVERAGE('Assumptions (NG)'!$AR$2:$AT$2)+'Assumptions (NG)'!$AU$16*AVERAGE('Assumptions (NG)'!$AR$3:$AT$3))/10^9,0)</f>
        <v>0</v>
      </c>
      <c r="BG627" s="105">
        <f>IF($AV$421&gt;0,'Assumptions (NG)'!AG11*Model!$AV$421*('Assumptions (NG)'!$AU$15*AVERAGE('Assumptions (NG)'!$AR$2:$AT$2)+'Assumptions (NG)'!$AU$16*AVERAGE('Assumptions (NG)'!$AR$3:$AT$3))/10^9,0)</f>
        <v>0</v>
      </c>
      <c r="BH627" s="105">
        <f>IF($AV$421&gt;0,'Assumptions (NG)'!AH11*Model!$AV$421*('Assumptions (NG)'!$AU$15*AVERAGE('Assumptions (NG)'!$AR$2:$AT$2)+'Assumptions (NG)'!$AU$16*AVERAGE('Assumptions (NG)'!$AR$3:$AT$3))/10^9,0)</f>
        <v>0</v>
      </c>
      <c r="BI627" s="105">
        <f>IF($AV$421&gt;0,'Assumptions (NG)'!AI11*Model!$AV$421*('Assumptions (NG)'!$AU$15*AVERAGE('Assumptions (NG)'!$AR$2:$AT$2)+'Assumptions (NG)'!$AU$16*AVERAGE('Assumptions (NG)'!$AR$3:$AT$3))/10^9,0)</f>
        <v>0</v>
      </c>
      <c r="BJ627" s="105">
        <f>IF($AV$421&gt;0,'Assumptions (NG)'!AJ11*Model!$AV$421*('Assumptions (NG)'!$AU$15*AVERAGE('Assumptions (NG)'!$AR$2:$AT$2)+'Assumptions (NG)'!$AU$16*AVERAGE('Assumptions (NG)'!$AR$3:$AT$3))/10^9,0)</f>
        <v>0</v>
      </c>
      <c r="BK627" s="105">
        <f>IF($AV$421&gt;0,'Assumptions (NG)'!AK11*Model!$AV$421*('Assumptions (NG)'!$AU$15*AVERAGE('Assumptions (NG)'!$AR$2:$AT$2)+'Assumptions (NG)'!$AU$16*AVERAGE('Assumptions (NG)'!$AR$3:$AT$3))/10^9,0)</f>
        <v>0</v>
      </c>
      <c r="BL627" s="105"/>
      <c r="BM627" s="105"/>
      <c r="BN627" s="105"/>
      <c r="BO627" s="105"/>
      <c r="BP627" s="105"/>
      <c r="BQ627" s="105"/>
      <c r="BR627" s="105"/>
      <c r="BS627" s="105"/>
      <c r="BT627" s="105"/>
    </row>
    <row r="628" spans="1:77" ht="15.75" hidden="1" customHeight="1" outlineLevel="1">
      <c r="A628" s="379"/>
      <c r="B628" s="99"/>
      <c r="C628" s="99"/>
      <c r="D628" s="99"/>
      <c r="E628" s="99"/>
      <c r="F628" s="99"/>
      <c r="G628" s="99"/>
      <c r="H628" s="99"/>
      <c r="I628" s="99"/>
      <c r="J628" s="99"/>
      <c r="K628" s="99"/>
      <c r="L628" s="99"/>
      <c r="M628" s="99"/>
      <c r="N628" s="99"/>
      <c r="O628" s="99"/>
      <c r="P628" s="99"/>
      <c r="Q628" s="99"/>
      <c r="R628" s="99"/>
      <c r="S628" s="99"/>
      <c r="T628" s="99"/>
      <c r="U628" s="99"/>
      <c r="V628" s="99"/>
      <c r="W628" s="105"/>
      <c r="X628" s="105"/>
      <c r="Y628" s="105"/>
      <c r="Z628" s="105"/>
      <c r="AA628" s="105"/>
      <c r="AB628" s="105"/>
      <c r="AC628" s="105"/>
      <c r="AD628" s="105"/>
      <c r="AE628" s="105"/>
      <c r="AF628" s="105"/>
      <c r="AG628" s="105"/>
      <c r="AH628" s="105"/>
      <c r="AI628" s="105"/>
      <c r="AJ628" s="171"/>
      <c r="AK628" s="105"/>
      <c r="AL628" s="91"/>
      <c r="AM628" s="91"/>
      <c r="AN628" s="91"/>
      <c r="AO628" s="105"/>
      <c r="AP628" s="105"/>
      <c r="AQ628" s="105"/>
      <c r="AR628" s="105"/>
      <c r="AS628" s="105"/>
      <c r="AT628" s="105"/>
      <c r="AU628" s="105"/>
      <c r="AV628" s="105"/>
      <c r="AW628" s="105">
        <f>IF($AW$421&gt;0,'Assumptions (NG)'!V11*Model!$AW$421*('Assumptions (NG)'!$AV$15*AVERAGE('Assumptions (NG)'!$AS$2:$AU$2)+'Assumptions (NG)'!$AV$16*AVERAGE('Assumptions (NG)'!$AS$3:$AU$3))/10^9,0)</f>
        <v>0</v>
      </c>
      <c r="AX628" s="105">
        <f>IF($AW$421&gt;0,'Assumptions (NG)'!W11*Model!$AW$421*('Assumptions (NG)'!$AV$15*AVERAGE('Assumptions (NG)'!$AS$2:$AU$2)+'Assumptions (NG)'!$AV$16*AVERAGE('Assumptions (NG)'!$AS$3:$AU$3))/10^9,0)</f>
        <v>0</v>
      </c>
      <c r="AY628" s="105">
        <f>IF($AW$421&gt;0,'Assumptions (NG)'!X11*Model!$AW$421*('Assumptions (NG)'!$AV$15*AVERAGE('Assumptions (NG)'!$AS$2:$AU$2)+'Assumptions (NG)'!$AV$16*AVERAGE('Assumptions (NG)'!$AS$3:$AU$3))/10^9,0)</f>
        <v>0</v>
      </c>
      <c r="AZ628" s="105">
        <f>IF($AW$421&gt;0,'Assumptions (NG)'!Y11*Model!$AW$421*('Assumptions (NG)'!$AV$15*AVERAGE('Assumptions (NG)'!$AS$2:$AU$2)+'Assumptions (NG)'!$AV$16*AVERAGE('Assumptions (NG)'!$AS$3:$AU$3))/10^9,0)</f>
        <v>0</v>
      </c>
      <c r="BA628" s="105">
        <f>IF($AW$421&gt;0,'Assumptions (NG)'!Z11*Model!$AW$421*('Assumptions (NG)'!$AV$15*AVERAGE('Assumptions (NG)'!$AS$2:$AU$2)+'Assumptions (NG)'!$AV$16*AVERAGE('Assumptions (NG)'!$AS$3:$AU$3))/10^9,0)</f>
        <v>0</v>
      </c>
      <c r="BB628" s="105">
        <f>IF($AW$421&gt;0,'Assumptions (NG)'!AA11*Model!$AW$421*('Assumptions (NG)'!$AV$15*AVERAGE('Assumptions (NG)'!$AS$2:$AU$2)+'Assumptions (NG)'!$AV$16*AVERAGE('Assumptions (NG)'!$AS$3:$AU$3))/10^9,0)</f>
        <v>0</v>
      </c>
      <c r="BC628" s="105">
        <f>IF($AW$421&gt;0,'Assumptions (NG)'!AB11*Model!$AW$421*('Assumptions (NG)'!$AV$15*AVERAGE('Assumptions (NG)'!$AS$2:$AU$2)+'Assumptions (NG)'!$AV$16*AVERAGE('Assumptions (NG)'!$AS$3:$AU$3))/10^9,0)</f>
        <v>0</v>
      </c>
      <c r="BD628" s="105">
        <f>IF($AW$421&gt;0,'Assumptions (NG)'!AC11*Model!$AW$421*('Assumptions (NG)'!$AV$15*AVERAGE('Assumptions (NG)'!$AS$2:$AU$2)+'Assumptions (NG)'!$AV$16*AVERAGE('Assumptions (NG)'!$AS$3:$AU$3))/10^9,0)</f>
        <v>0</v>
      </c>
      <c r="BE628" s="105">
        <f>IF($AW$421&gt;0,'Assumptions (NG)'!AD11*Model!$AW$421*('Assumptions (NG)'!$AV$15*AVERAGE('Assumptions (NG)'!$AS$2:$AU$2)+'Assumptions (NG)'!$AV$16*AVERAGE('Assumptions (NG)'!$AS$3:$AU$3))/10^9,0)</f>
        <v>0</v>
      </c>
      <c r="BF628" s="105">
        <f>IF($AW$421&gt;0,'Assumptions (NG)'!AE11*Model!$AW$421*('Assumptions (NG)'!$AV$15*AVERAGE('Assumptions (NG)'!$AS$2:$AU$2)+'Assumptions (NG)'!$AV$16*AVERAGE('Assumptions (NG)'!$AS$3:$AU$3))/10^9,0)</f>
        <v>0</v>
      </c>
      <c r="BG628" s="105">
        <f>IF($AW$421&gt;0,'Assumptions (NG)'!AF11*Model!$AW$421*('Assumptions (NG)'!$AV$15*AVERAGE('Assumptions (NG)'!$AS$2:$AU$2)+'Assumptions (NG)'!$AV$16*AVERAGE('Assumptions (NG)'!$AS$3:$AU$3))/10^9,0)</f>
        <v>0</v>
      </c>
      <c r="BH628" s="105">
        <f>IF($AW$421&gt;0,'Assumptions (NG)'!AG11*Model!$AW$421*('Assumptions (NG)'!$AV$15*AVERAGE('Assumptions (NG)'!$AS$2:$AU$2)+'Assumptions (NG)'!$AV$16*AVERAGE('Assumptions (NG)'!$AS$3:$AU$3))/10^9,0)</f>
        <v>0</v>
      </c>
      <c r="BI628" s="105">
        <f>IF($AW$421&gt;0,'Assumptions (NG)'!AH11*Model!$AW$421*('Assumptions (NG)'!$AV$15*AVERAGE('Assumptions (NG)'!$AS$2:$AU$2)+'Assumptions (NG)'!$AV$16*AVERAGE('Assumptions (NG)'!$AS$3:$AU$3))/10^9,0)</f>
        <v>0</v>
      </c>
      <c r="BJ628" s="105">
        <f>IF($AW$421&gt;0,'Assumptions (NG)'!AI11*Model!$AW$421*('Assumptions (NG)'!$AV$15*AVERAGE('Assumptions (NG)'!$AS$2:$AU$2)+'Assumptions (NG)'!$AV$16*AVERAGE('Assumptions (NG)'!$AS$3:$AU$3))/10^9,0)</f>
        <v>0</v>
      </c>
      <c r="BK628" s="105">
        <f>IF($AW$421&gt;0,'Assumptions (NG)'!AJ11*Model!$AW$421*('Assumptions (NG)'!$AV$15*AVERAGE('Assumptions (NG)'!$AS$2:$AU$2)+'Assumptions (NG)'!$AV$16*AVERAGE('Assumptions (NG)'!$AS$3:$AU$3))/10^9,0)</f>
        <v>0</v>
      </c>
      <c r="BL628" s="105">
        <f>IF($AW$421&gt;0,'Assumptions (NG)'!AK11*Model!$AW$421*('Assumptions (NG)'!$AV$15*AVERAGE('Assumptions (NG)'!$AS$2:$AU$2)+'Assumptions (NG)'!$AV$16*AVERAGE('Assumptions (NG)'!$AS$3:$AU$3))/10^9,0)</f>
        <v>0</v>
      </c>
      <c r="BM628" s="105"/>
      <c r="BN628" s="105"/>
      <c r="BO628" s="105"/>
      <c r="BP628" s="105"/>
      <c r="BQ628" s="105"/>
      <c r="BR628" s="105"/>
      <c r="BS628" s="105"/>
      <c r="BT628" s="105"/>
      <c r="BU628" s="105"/>
    </row>
    <row r="629" spans="1:77" ht="15.75" hidden="1" customHeight="1" outlineLevel="1">
      <c r="A629" s="379"/>
      <c r="B629" s="99"/>
      <c r="C629" s="99"/>
      <c r="D629" s="99"/>
      <c r="E629" s="99"/>
      <c r="F629" s="99"/>
      <c r="G629" s="99"/>
      <c r="H629" s="99"/>
      <c r="I629" s="99"/>
      <c r="J629" s="99"/>
      <c r="K629" s="99"/>
      <c r="L629" s="99"/>
      <c r="M629" s="99"/>
      <c r="N629" s="99"/>
      <c r="O629" s="99"/>
      <c r="P629" s="99"/>
      <c r="Q629" s="99"/>
      <c r="R629" s="99"/>
      <c r="S629" s="99"/>
      <c r="T629" s="99"/>
      <c r="U629" s="99"/>
      <c r="V629" s="99"/>
      <c r="W629" s="105"/>
      <c r="X629" s="105"/>
      <c r="Y629" s="105"/>
      <c r="Z629" s="105"/>
      <c r="AA629" s="105"/>
      <c r="AB629" s="105"/>
      <c r="AC629" s="105"/>
      <c r="AD629" s="105"/>
      <c r="AE629" s="105"/>
      <c r="AF629" s="105"/>
      <c r="AG629" s="105"/>
      <c r="AH629" s="105"/>
      <c r="AI629" s="105"/>
      <c r="AJ629" s="171"/>
      <c r="AK629" s="105"/>
      <c r="AL629" s="91"/>
      <c r="AM629" s="91"/>
      <c r="AN629" s="91"/>
      <c r="AO629" s="105"/>
      <c r="AP629" s="105"/>
      <c r="AQ629" s="105"/>
      <c r="AR629" s="105"/>
      <c r="AS629" s="105"/>
      <c r="AT629" s="105"/>
      <c r="AU629" s="105"/>
      <c r="AV629" s="105"/>
      <c r="AW629" s="105"/>
      <c r="AX629" s="105">
        <f>IF($AX$421&gt;0,'Assumptions (NG)'!V11*Model!$AX$421*('Assumptions (NG)'!$AW$15*AVERAGE('Assumptions (NG)'!$AT$2:$AV$2)+'Assumptions (NG)'!$AW$16*AVERAGE('Assumptions (NG)'!$AT$3:$AV$3))/10^9,0)</f>
        <v>0</v>
      </c>
      <c r="AY629" s="105">
        <f>IF($AX$421&gt;0,'Assumptions (NG)'!W11*Model!$AX$421*('Assumptions (NG)'!$AW$15*AVERAGE('Assumptions (NG)'!$AT$2:$AV$2)+'Assumptions (NG)'!$AW$16*AVERAGE('Assumptions (NG)'!$AT$3:$AV$3))/10^9,0)</f>
        <v>0</v>
      </c>
      <c r="AZ629" s="105">
        <f>IF($AX$421&gt;0,'Assumptions (NG)'!X11*Model!$AX$421*('Assumptions (NG)'!$AW$15*AVERAGE('Assumptions (NG)'!$AT$2:$AV$2)+'Assumptions (NG)'!$AW$16*AVERAGE('Assumptions (NG)'!$AT$3:$AV$3))/10^9,0)</f>
        <v>0</v>
      </c>
      <c r="BA629" s="105">
        <f>IF($AX$421&gt;0,'Assumptions (NG)'!Y11*Model!$AX$421*('Assumptions (NG)'!$AW$15*AVERAGE('Assumptions (NG)'!$AT$2:$AV$2)+'Assumptions (NG)'!$AW$16*AVERAGE('Assumptions (NG)'!$AT$3:$AV$3))/10^9,0)</f>
        <v>0</v>
      </c>
      <c r="BB629" s="105">
        <f>IF($AX$421&gt;0,'Assumptions (NG)'!Z11*Model!$AX$421*('Assumptions (NG)'!$AW$15*AVERAGE('Assumptions (NG)'!$AT$2:$AV$2)+'Assumptions (NG)'!$AW$16*AVERAGE('Assumptions (NG)'!$AT$3:$AV$3))/10^9,0)</f>
        <v>0</v>
      </c>
      <c r="BC629" s="105">
        <f>IF($AX$421&gt;0,'Assumptions (NG)'!AA11*Model!$AX$421*('Assumptions (NG)'!$AW$15*AVERAGE('Assumptions (NG)'!$AT$2:$AV$2)+'Assumptions (NG)'!$AW$16*AVERAGE('Assumptions (NG)'!$AT$3:$AV$3))/10^9,0)</f>
        <v>0</v>
      </c>
      <c r="BD629" s="105">
        <f>IF($AX$421&gt;0,'Assumptions (NG)'!AB11*Model!$AX$421*('Assumptions (NG)'!$AW$15*AVERAGE('Assumptions (NG)'!$AT$2:$AV$2)+'Assumptions (NG)'!$AW$16*AVERAGE('Assumptions (NG)'!$AT$3:$AV$3))/10^9,0)</f>
        <v>0</v>
      </c>
      <c r="BE629" s="105">
        <f>IF($AX$421&gt;0,'Assumptions (NG)'!AC11*Model!$AX$421*('Assumptions (NG)'!$AW$15*AVERAGE('Assumptions (NG)'!$AT$2:$AV$2)+'Assumptions (NG)'!$AW$16*AVERAGE('Assumptions (NG)'!$AT$3:$AV$3))/10^9,0)</f>
        <v>0</v>
      </c>
      <c r="BF629" s="105">
        <f>IF($AX$421&gt;0,'Assumptions (NG)'!AD11*Model!$AX$421*('Assumptions (NG)'!$AW$15*AVERAGE('Assumptions (NG)'!$AT$2:$AV$2)+'Assumptions (NG)'!$AW$16*AVERAGE('Assumptions (NG)'!$AT$3:$AV$3))/10^9,0)</f>
        <v>0</v>
      </c>
      <c r="BG629" s="105">
        <f>IF($AX$421&gt;0,'Assumptions (NG)'!AE11*Model!$AX$421*('Assumptions (NG)'!$AW$15*AVERAGE('Assumptions (NG)'!$AT$2:$AV$2)+'Assumptions (NG)'!$AW$16*AVERAGE('Assumptions (NG)'!$AT$3:$AV$3))/10^9,0)</f>
        <v>0</v>
      </c>
      <c r="BH629" s="105">
        <f>IF($AX$421&gt;0,'Assumptions (NG)'!AF11*Model!$AX$421*('Assumptions (NG)'!$AW$15*AVERAGE('Assumptions (NG)'!$AT$2:$AV$2)+'Assumptions (NG)'!$AW$16*AVERAGE('Assumptions (NG)'!$AT$3:$AV$3))/10^9,0)</f>
        <v>0</v>
      </c>
      <c r="BI629" s="105">
        <f>IF($AX$421&gt;0,'Assumptions (NG)'!AG11*Model!$AX$421*('Assumptions (NG)'!$AW$15*AVERAGE('Assumptions (NG)'!$AT$2:$AV$2)+'Assumptions (NG)'!$AW$16*AVERAGE('Assumptions (NG)'!$AT$3:$AV$3))/10^9,0)</f>
        <v>0</v>
      </c>
      <c r="BJ629" s="105">
        <f>IF($AX$421&gt;0,'Assumptions (NG)'!AH11*Model!$AX$421*('Assumptions (NG)'!$AW$15*AVERAGE('Assumptions (NG)'!$AT$2:$AV$2)+'Assumptions (NG)'!$AW$16*AVERAGE('Assumptions (NG)'!$AT$3:$AV$3))/10^9,0)</f>
        <v>0</v>
      </c>
      <c r="BK629" s="105">
        <f>IF($AX$421&gt;0,'Assumptions (NG)'!AI11*Model!$AX$421*('Assumptions (NG)'!$AW$15*AVERAGE('Assumptions (NG)'!$AT$2:$AV$2)+'Assumptions (NG)'!$AW$16*AVERAGE('Assumptions (NG)'!$AT$3:$AV$3))/10^9,0)</f>
        <v>0</v>
      </c>
      <c r="BL629" s="105">
        <f>IF($AX$421&gt;0,'Assumptions (NG)'!AJ11*Model!$AX$421*('Assumptions (NG)'!$AW$15*AVERAGE('Assumptions (NG)'!$AT$2:$AV$2)+'Assumptions (NG)'!$AW$16*AVERAGE('Assumptions (NG)'!$AT$3:$AV$3))/10^9,0)</f>
        <v>0</v>
      </c>
      <c r="BM629" s="105">
        <f>IF($AX$421&gt;0,'Assumptions (NG)'!AK11*Model!$AX$421*('Assumptions (NG)'!$AW$15*AVERAGE('Assumptions (NG)'!$AT$2:$AV$2)+'Assumptions (NG)'!$AW$16*AVERAGE('Assumptions (NG)'!$AT$3:$AV$3))/10^9,0)</f>
        <v>0</v>
      </c>
      <c r="BN629" s="105"/>
      <c r="BO629" s="105"/>
      <c r="BP629" s="105"/>
      <c r="BQ629" s="105"/>
      <c r="BR629" s="105"/>
      <c r="BS629" s="105"/>
      <c r="BT629" s="105"/>
      <c r="BU629" s="105"/>
      <c r="BV629" s="105"/>
    </row>
    <row r="630" spans="1:77" ht="15.75" hidden="1" customHeight="1" outlineLevel="1">
      <c r="A630" s="379"/>
      <c r="B630" s="99"/>
      <c r="C630" s="99"/>
      <c r="D630" s="99"/>
      <c r="E630" s="99"/>
      <c r="F630" s="99"/>
      <c r="G630" s="99"/>
      <c r="H630" s="99"/>
      <c r="I630" s="99"/>
      <c r="J630" s="99"/>
      <c r="K630" s="99"/>
      <c r="L630" s="99"/>
      <c r="M630" s="99"/>
      <c r="N630" s="99"/>
      <c r="O630" s="99"/>
      <c r="P630" s="99"/>
      <c r="Q630" s="99"/>
      <c r="R630" s="99"/>
      <c r="S630" s="99"/>
      <c r="T630" s="99"/>
      <c r="U630" s="99"/>
      <c r="V630" s="99"/>
      <c r="W630" s="105"/>
      <c r="X630" s="105"/>
      <c r="Y630" s="105"/>
      <c r="Z630" s="105"/>
      <c r="AA630" s="105"/>
      <c r="AB630" s="105"/>
      <c r="AC630" s="105"/>
      <c r="AD630" s="105"/>
      <c r="AE630" s="105"/>
      <c r="AF630" s="105"/>
      <c r="AG630" s="105"/>
      <c r="AH630" s="105"/>
      <c r="AI630" s="105"/>
      <c r="AJ630" s="171"/>
      <c r="AK630" s="105"/>
      <c r="AL630" s="91"/>
      <c r="AM630" s="91"/>
      <c r="AN630" s="91"/>
      <c r="AO630" s="105"/>
      <c r="AP630" s="105"/>
      <c r="AQ630" s="105"/>
      <c r="AR630" s="105"/>
      <c r="AS630" s="105"/>
      <c r="AT630" s="105"/>
      <c r="AU630" s="105"/>
      <c r="AV630" s="105"/>
      <c r="AW630" s="105"/>
      <c r="AX630" s="105"/>
      <c r="AY630" s="105">
        <f>IF($AY$421&gt;0,'Assumptions (NG)'!V11*Model!$AY$421*('Assumptions (NG)'!$AX$15*AVERAGE('Assumptions (NG)'!$AU$2:$AW$2)+'Assumptions (NG)'!$AX$16*AVERAGE('Assumptions (NG)'!$AU$3:$AW$3))/10^9,0)</f>
        <v>0</v>
      </c>
      <c r="AZ630" s="105">
        <f>IF($AY$421&gt;0,'Assumptions (NG)'!W11*Model!$AY$421*('Assumptions (NG)'!$AX$15*AVERAGE('Assumptions (NG)'!$AU$2:$AW$2)+'Assumptions (NG)'!$AX$16*AVERAGE('Assumptions (NG)'!$AU$3:$AW$3))/10^9,0)</f>
        <v>0</v>
      </c>
      <c r="BA630" s="105">
        <f>IF($AY$421&gt;0,'Assumptions (NG)'!X11*Model!$AY$421*('Assumptions (NG)'!$AX$15*AVERAGE('Assumptions (NG)'!$AU$2:$AW$2)+'Assumptions (NG)'!$AX$16*AVERAGE('Assumptions (NG)'!$AU$3:$AW$3))/10^9,0)</f>
        <v>0</v>
      </c>
      <c r="BB630" s="105">
        <f>IF($AY$421&gt;0,'Assumptions (NG)'!Y11*Model!$AY$421*('Assumptions (NG)'!$AX$15*AVERAGE('Assumptions (NG)'!$AU$2:$AW$2)+'Assumptions (NG)'!$AX$16*AVERAGE('Assumptions (NG)'!$AU$3:$AW$3))/10^9,0)</f>
        <v>0</v>
      </c>
      <c r="BC630" s="105">
        <f>IF($AY$421&gt;0,'Assumptions (NG)'!Z11*Model!$AY$421*('Assumptions (NG)'!$AX$15*AVERAGE('Assumptions (NG)'!$AU$2:$AW$2)+'Assumptions (NG)'!$AX$16*AVERAGE('Assumptions (NG)'!$AU$3:$AW$3))/10^9,0)</f>
        <v>0</v>
      </c>
      <c r="BD630" s="105">
        <f>IF($AY$421&gt;0,'Assumptions (NG)'!AA11*Model!$AY$421*('Assumptions (NG)'!$AX$15*AVERAGE('Assumptions (NG)'!$AU$2:$AW$2)+'Assumptions (NG)'!$AX$16*AVERAGE('Assumptions (NG)'!$AU$3:$AW$3))/10^9,0)</f>
        <v>0</v>
      </c>
      <c r="BE630" s="105">
        <f>IF($AY$421&gt;0,'Assumptions (NG)'!AB11*Model!$AY$421*('Assumptions (NG)'!$AX$15*AVERAGE('Assumptions (NG)'!$AU$2:$AW$2)+'Assumptions (NG)'!$AX$16*AVERAGE('Assumptions (NG)'!$AU$3:$AW$3))/10^9,0)</f>
        <v>0</v>
      </c>
      <c r="BF630" s="105">
        <f>IF($AY$421&gt;0,'Assumptions (NG)'!AC11*Model!$AY$421*('Assumptions (NG)'!$AX$15*AVERAGE('Assumptions (NG)'!$AU$2:$AW$2)+'Assumptions (NG)'!$AX$16*AVERAGE('Assumptions (NG)'!$AU$3:$AW$3))/10^9,0)</f>
        <v>0</v>
      </c>
      <c r="BG630" s="105">
        <f>IF($AY$421&gt;0,'Assumptions (NG)'!AD11*Model!$AY$421*('Assumptions (NG)'!$AX$15*AVERAGE('Assumptions (NG)'!$AU$2:$AW$2)+'Assumptions (NG)'!$AX$16*AVERAGE('Assumptions (NG)'!$AU$3:$AW$3))/10^9,0)</f>
        <v>0</v>
      </c>
      <c r="BH630" s="105">
        <f>IF($AY$421&gt;0,'Assumptions (NG)'!AE11*Model!$AY$421*('Assumptions (NG)'!$AX$15*AVERAGE('Assumptions (NG)'!$AU$2:$AW$2)+'Assumptions (NG)'!$AX$16*AVERAGE('Assumptions (NG)'!$AU$3:$AW$3))/10^9,0)</f>
        <v>0</v>
      </c>
      <c r="BI630" s="105">
        <f>IF($AY$421&gt;0,'Assumptions (NG)'!AF11*Model!$AY$421*('Assumptions (NG)'!$AX$15*AVERAGE('Assumptions (NG)'!$AU$2:$AW$2)+'Assumptions (NG)'!$AX$16*AVERAGE('Assumptions (NG)'!$AU$3:$AW$3))/10^9,0)</f>
        <v>0</v>
      </c>
      <c r="BJ630" s="105">
        <f>IF($AY$421&gt;0,'Assumptions (NG)'!AG11*Model!$AY$421*('Assumptions (NG)'!$AX$15*AVERAGE('Assumptions (NG)'!$AU$2:$AW$2)+'Assumptions (NG)'!$AX$16*AVERAGE('Assumptions (NG)'!$AU$3:$AW$3))/10^9,0)</f>
        <v>0</v>
      </c>
      <c r="BK630" s="105">
        <f>IF($AY$421&gt;0,'Assumptions (NG)'!AH11*Model!$AY$421*('Assumptions (NG)'!$AX$15*AVERAGE('Assumptions (NG)'!$AU$2:$AW$2)+'Assumptions (NG)'!$AX$16*AVERAGE('Assumptions (NG)'!$AU$3:$AW$3))/10^9,0)</f>
        <v>0</v>
      </c>
      <c r="BL630" s="105">
        <f>IF($AY$421&gt;0,'Assumptions (NG)'!AI11*Model!$AY$421*('Assumptions (NG)'!$AX$15*AVERAGE('Assumptions (NG)'!$AU$2:$AW$2)+'Assumptions (NG)'!$AX$16*AVERAGE('Assumptions (NG)'!$AU$3:$AW$3))/10^9,0)</f>
        <v>0</v>
      </c>
      <c r="BM630" s="105">
        <f>IF($AY$421&gt;0,'Assumptions (NG)'!AJ11*Model!$AY$421*('Assumptions (NG)'!$AX$15*AVERAGE('Assumptions (NG)'!$AU$2:$AW$2)+'Assumptions (NG)'!$AX$16*AVERAGE('Assumptions (NG)'!$AU$3:$AW$3))/10^9,0)</f>
        <v>0</v>
      </c>
      <c r="BN630" s="105">
        <f>IF($AY$421&gt;0,'Assumptions (NG)'!AK11*Model!$AY$421*('Assumptions (NG)'!$AX$15*AVERAGE('Assumptions (NG)'!$AU$2:$AW$2)+'Assumptions (NG)'!$AX$16*AVERAGE('Assumptions (NG)'!$AU$3:$AW$3))/10^9,0)</f>
        <v>0</v>
      </c>
      <c r="BO630" s="105"/>
      <c r="BP630" s="105"/>
      <c r="BQ630" s="105"/>
      <c r="BR630" s="105"/>
      <c r="BS630" s="105"/>
      <c r="BT630" s="105"/>
      <c r="BU630" s="105"/>
      <c r="BV630" s="105"/>
      <c r="BW630" s="105"/>
    </row>
    <row r="631" spans="1:77" ht="15.75" hidden="1" customHeight="1" outlineLevel="1">
      <c r="A631" s="379"/>
      <c r="B631" s="99"/>
      <c r="C631" s="99"/>
      <c r="D631" s="99"/>
      <c r="E631" s="99"/>
      <c r="F631" s="99"/>
      <c r="G631" s="99"/>
      <c r="H631" s="99"/>
      <c r="I631" s="99"/>
      <c r="J631" s="99"/>
      <c r="K631" s="99"/>
      <c r="L631" s="99"/>
      <c r="M631" s="99"/>
      <c r="N631" s="99"/>
      <c r="O631" s="99"/>
      <c r="P631" s="99"/>
      <c r="Q631" s="99"/>
      <c r="R631" s="99"/>
      <c r="S631" s="99"/>
      <c r="T631" s="99"/>
      <c r="U631" s="99"/>
      <c r="V631" s="99"/>
      <c r="W631" s="105"/>
      <c r="X631" s="105"/>
      <c r="Y631" s="105"/>
      <c r="Z631" s="105"/>
      <c r="AA631" s="105"/>
      <c r="AB631" s="105"/>
      <c r="AC631" s="105"/>
      <c r="AD631" s="105"/>
      <c r="AE631" s="105"/>
      <c r="AF631" s="105"/>
      <c r="AG631" s="105"/>
      <c r="AH631" s="105"/>
      <c r="AI631" s="105"/>
      <c r="AJ631" s="171"/>
      <c r="AK631" s="105"/>
      <c r="AL631" s="91"/>
      <c r="AM631" s="91"/>
      <c r="AN631" s="91"/>
      <c r="AO631" s="105"/>
      <c r="AP631" s="105"/>
      <c r="AQ631" s="105"/>
      <c r="AR631" s="105"/>
      <c r="AS631" s="105"/>
      <c r="AT631" s="105"/>
      <c r="AU631" s="105"/>
      <c r="AV631" s="105"/>
      <c r="AW631" s="105"/>
      <c r="AX631" s="105"/>
      <c r="AY631" s="105"/>
      <c r="AZ631" s="105">
        <f>IF($AZ$421&gt;0,'Assumptions (NG)'!V11*Model!$AZ$421*('Assumptions (NG)'!$AY$15*AVERAGE('Assumptions (NG)'!$AV$2:$AX$2)+'Assumptions (NG)'!$AY$16*AVERAGE('Assumptions (NG)'!$AV$3:$AX$3))/10^9,0)</f>
        <v>0</v>
      </c>
      <c r="BA631" s="105">
        <f>IF($AZ$421&gt;0,'Assumptions (NG)'!W11*Model!$AZ$421*('Assumptions (NG)'!$AY$15*AVERAGE('Assumptions (NG)'!$AV$2:$AX$2)+'Assumptions (NG)'!$AY$16*AVERAGE('Assumptions (NG)'!$AV$3:$AX$3))/10^9,0)</f>
        <v>0</v>
      </c>
      <c r="BB631" s="105">
        <f>IF($AZ$421&gt;0,'Assumptions (NG)'!X11*Model!$AZ$421*('Assumptions (NG)'!$AY$15*AVERAGE('Assumptions (NG)'!$AV$2:$AX$2)+'Assumptions (NG)'!$AY$16*AVERAGE('Assumptions (NG)'!$AV$3:$AX$3))/10^9,0)</f>
        <v>0</v>
      </c>
      <c r="BC631" s="105">
        <f>IF($AZ$421&gt;0,'Assumptions (NG)'!Y11*Model!$AZ$421*('Assumptions (NG)'!$AY$15*AVERAGE('Assumptions (NG)'!$AV$2:$AX$2)+'Assumptions (NG)'!$AY$16*AVERAGE('Assumptions (NG)'!$AV$3:$AX$3))/10^9,0)</f>
        <v>0</v>
      </c>
      <c r="BD631" s="105">
        <f>IF($AZ$421&gt;0,'Assumptions (NG)'!Z11*Model!$AZ$421*('Assumptions (NG)'!$AY$15*AVERAGE('Assumptions (NG)'!$AV$2:$AX$2)+'Assumptions (NG)'!$AY$16*AVERAGE('Assumptions (NG)'!$AV$3:$AX$3))/10^9,0)</f>
        <v>0</v>
      </c>
      <c r="BE631" s="105">
        <f>IF($AZ$421&gt;0,'Assumptions (NG)'!AA11*Model!$AZ$421*('Assumptions (NG)'!$AY$15*AVERAGE('Assumptions (NG)'!$AV$2:$AX$2)+'Assumptions (NG)'!$AY$16*AVERAGE('Assumptions (NG)'!$AV$3:$AX$3))/10^9,0)</f>
        <v>0</v>
      </c>
      <c r="BF631" s="105">
        <f>IF($AZ$421&gt;0,'Assumptions (NG)'!AB11*Model!$AZ$421*('Assumptions (NG)'!$AY$15*AVERAGE('Assumptions (NG)'!$AV$2:$AX$2)+'Assumptions (NG)'!$AY$16*AVERAGE('Assumptions (NG)'!$AV$3:$AX$3))/10^9,0)</f>
        <v>0</v>
      </c>
      <c r="BG631" s="105">
        <f>IF($AZ$421&gt;0,'Assumptions (NG)'!AC11*Model!$AZ$421*('Assumptions (NG)'!$AY$15*AVERAGE('Assumptions (NG)'!$AV$2:$AX$2)+'Assumptions (NG)'!$AY$16*AVERAGE('Assumptions (NG)'!$AV$3:$AX$3))/10^9,0)</f>
        <v>0</v>
      </c>
      <c r="BH631" s="105">
        <f>IF($AZ$421&gt;0,'Assumptions (NG)'!AD11*Model!$AZ$421*('Assumptions (NG)'!$AY$15*AVERAGE('Assumptions (NG)'!$AV$2:$AX$2)+'Assumptions (NG)'!$AY$16*AVERAGE('Assumptions (NG)'!$AV$3:$AX$3))/10^9,0)</f>
        <v>0</v>
      </c>
      <c r="BI631" s="105">
        <f>IF($AZ$421&gt;0,'Assumptions (NG)'!AE11*Model!$AZ$421*('Assumptions (NG)'!$AY$15*AVERAGE('Assumptions (NG)'!$AV$2:$AX$2)+'Assumptions (NG)'!$AY$16*AVERAGE('Assumptions (NG)'!$AV$3:$AX$3))/10^9,0)</f>
        <v>0</v>
      </c>
      <c r="BJ631" s="105">
        <f>IF($AZ$421&gt;0,'Assumptions (NG)'!AF11*Model!$AZ$421*('Assumptions (NG)'!$AY$15*AVERAGE('Assumptions (NG)'!$AV$2:$AX$2)+'Assumptions (NG)'!$AY$16*AVERAGE('Assumptions (NG)'!$AV$3:$AX$3))/10^9,0)</f>
        <v>0</v>
      </c>
      <c r="BK631" s="105">
        <f>IF($AZ$421&gt;0,'Assumptions (NG)'!AG11*Model!$AZ$421*('Assumptions (NG)'!$AY$15*AVERAGE('Assumptions (NG)'!$AV$2:$AX$2)+'Assumptions (NG)'!$AY$16*AVERAGE('Assumptions (NG)'!$AV$3:$AX$3))/10^9,0)</f>
        <v>0</v>
      </c>
      <c r="BL631" s="105">
        <f>IF($AZ$421&gt;0,'Assumptions (NG)'!AH11*Model!$AZ$421*('Assumptions (NG)'!$AY$15*AVERAGE('Assumptions (NG)'!$AV$2:$AX$2)+'Assumptions (NG)'!$AY$16*AVERAGE('Assumptions (NG)'!$AV$3:$AX$3))/10^9,0)</f>
        <v>0</v>
      </c>
      <c r="BM631" s="105">
        <f>IF($AZ$421&gt;0,'Assumptions (NG)'!AI11*Model!$AZ$421*('Assumptions (NG)'!$AY$15*AVERAGE('Assumptions (NG)'!$AV$2:$AX$2)+'Assumptions (NG)'!$AY$16*AVERAGE('Assumptions (NG)'!$AV$3:$AX$3))/10^9,0)</f>
        <v>0</v>
      </c>
      <c r="BN631" s="105">
        <f>IF($AZ$421&gt;0,'Assumptions (NG)'!AJ11*Model!$AZ$421*('Assumptions (NG)'!$AY$15*AVERAGE('Assumptions (NG)'!$AV$2:$AX$2)+'Assumptions (NG)'!$AY$16*AVERAGE('Assumptions (NG)'!$AV$3:$AX$3))/10^9,0)</f>
        <v>0</v>
      </c>
      <c r="BO631" s="105">
        <f>IF($AZ$421&gt;0,'Assumptions (NG)'!AK11*Model!$AZ$421*('Assumptions (NG)'!$AY$15*AVERAGE('Assumptions (NG)'!$AV$2:$AX$2)+'Assumptions (NG)'!$AY$16*AVERAGE('Assumptions (NG)'!$AV$3:$AX$3))/10^9,0)</f>
        <v>0</v>
      </c>
      <c r="BP631" s="105"/>
      <c r="BQ631" s="105"/>
      <c r="BR631" s="105"/>
      <c r="BS631" s="105"/>
      <c r="BT631" s="105"/>
      <c r="BU631" s="105"/>
      <c r="BV631" s="105"/>
      <c r="BW631" s="105"/>
      <c r="BX631" s="105"/>
    </row>
    <row r="632" spans="1:77" ht="15.75" hidden="1" customHeight="1" outlineLevel="1">
      <c r="A632" s="379"/>
      <c r="B632" s="99"/>
      <c r="C632" s="99"/>
      <c r="D632" s="99"/>
      <c r="E632" s="99"/>
      <c r="F632" s="99"/>
      <c r="G632" s="99"/>
      <c r="H632" s="99"/>
      <c r="I632" s="99"/>
      <c r="J632" s="99"/>
      <c r="K632" s="99"/>
      <c r="L632" s="99"/>
      <c r="M632" s="99"/>
      <c r="N632" s="99"/>
      <c r="O632" s="99"/>
      <c r="P632" s="99"/>
      <c r="Q632" s="99"/>
      <c r="R632" s="99"/>
      <c r="S632" s="99"/>
      <c r="T632" s="99"/>
      <c r="U632" s="99"/>
      <c r="V632" s="99"/>
      <c r="W632" s="105"/>
      <c r="X632" s="105"/>
      <c r="Y632" s="105"/>
      <c r="Z632" s="105"/>
      <c r="AA632" s="105"/>
      <c r="AB632" s="105"/>
      <c r="AC632" s="105"/>
      <c r="AD632" s="105"/>
      <c r="AE632" s="105"/>
      <c r="AF632" s="105"/>
      <c r="AG632" s="105"/>
      <c r="AH632" s="105"/>
      <c r="AI632" s="105"/>
      <c r="AJ632" s="171"/>
      <c r="AK632" s="105"/>
      <c r="AL632" s="91"/>
      <c r="AM632" s="91"/>
      <c r="AN632" s="91"/>
      <c r="AO632" s="105"/>
      <c r="AP632" s="105"/>
      <c r="AQ632" s="105"/>
      <c r="AR632" s="105"/>
      <c r="AS632" s="105"/>
      <c r="AT632" s="105"/>
      <c r="AU632" s="105"/>
      <c r="AV632" s="105"/>
      <c r="AW632" s="105"/>
      <c r="AX632" s="105"/>
      <c r="AY632" s="105"/>
      <c r="AZ632" s="105"/>
      <c r="BA632" s="105">
        <f>IF($BA$421&gt;0,'Assumptions (NG)'!V11*Model!$BA$421*('Assumptions (NG)'!$AZ$15*AVERAGE('Assumptions (NG)'!$AW$2:$AY$2)+'Assumptions (NG)'!$AZ$16*AVERAGE('Assumptions (NG)'!$AW$3:$AY$3))/10^9,0)</f>
        <v>0.34438827766993357</v>
      </c>
      <c r="BB632" s="105">
        <f>IF($BA$421&gt;0,'Assumptions (NG)'!W11*Model!$BA$421*('Assumptions (NG)'!$AZ$15*AVERAGE('Assumptions (NG)'!$AW$2:$AY$2)+'Assumptions (NG)'!$AZ$16*AVERAGE('Assumptions (NG)'!$AW$3:$AY$3))/10^9,0)</f>
        <v>0.65433772757287367</v>
      </c>
      <c r="BC632" s="105">
        <f>IF($BA$421&gt;0,'Assumptions (NG)'!X11*Model!$BA$421*('Assumptions (NG)'!$AZ$15*AVERAGE('Assumptions (NG)'!$AW$2:$AY$2)+'Assumptions (NG)'!$AZ$16*AVERAGE('Assumptions (NG)'!$AW$3:$AY$3))/10^9,0)</f>
        <v>0.58890395481558633</v>
      </c>
      <c r="BD632" s="105">
        <f>IF($BA$421&gt;0,'Assumptions (NG)'!Y11*Model!$BA$421*('Assumptions (NG)'!$AZ$15*AVERAGE('Assumptions (NG)'!$AW$2:$AY$2)+'Assumptions (NG)'!$AZ$16*AVERAGE('Assumptions (NG)'!$AW$3:$AY$3))/10^9,0)</f>
        <v>0.53035794761169763</v>
      </c>
      <c r="BE632" s="105">
        <f>IF($BA$421&gt;0,'Assumptions (NG)'!Z11*Model!$BA$421*('Assumptions (NG)'!$AZ$15*AVERAGE('Assumptions (NG)'!$AW$2:$AY$2)+'Assumptions (NG)'!$AZ$16*AVERAGE('Assumptions (NG)'!$AW$3:$AY$3))/10^9,0)</f>
        <v>0.47732215285052787</v>
      </c>
      <c r="BF632" s="105">
        <f>IF($BA$421&gt;0,'Assumptions (NG)'!AA11*Model!$BA$421*('Assumptions (NG)'!$AZ$15*AVERAGE('Assumptions (NG)'!$AW$2:$AY$2)+'Assumptions (NG)'!$AZ$16*AVERAGE('Assumptions (NG)'!$AW$3:$AY$3))/10^9,0)</f>
        <v>0.42910779397673715</v>
      </c>
      <c r="BG632" s="105">
        <f>IF($BA$421&gt;0,'Assumptions (NG)'!AB11*Model!$BA$421*('Assumptions (NG)'!$AZ$15*AVERAGE('Assumptions (NG)'!$AW$2:$AY$2)+'Assumptions (NG)'!$AZ$16*AVERAGE('Assumptions (NG)'!$AW$3:$AY$3))/10^9,0)</f>
        <v>0.40637816765052159</v>
      </c>
      <c r="BH632" s="105">
        <f>IF($BA$421&gt;0,'Assumptions (NG)'!AC11*Model!$BA$421*('Assumptions (NG)'!$AZ$15*AVERAGE('Assumptions (NG)'!$AW$2:$AY$2)+'Assumptions (NG)'!$AZ$16*AVERAGE('Assumptions (NG)'!$AW$3:$AY$3))/10^9,0)</f>
        <v>0.40637816765052159</v>
      </c>
      <c r="BI632" s="105">
        <f>IF($BA$421&gt;0,'Assumptions (NG)'!AD11*Model!$BA$421*('Assumptions (NG)'!$AZ$15*AVERAGE('Assumptions (NG)'!$AW$2:$AY$2)+'Assumptions (NG)'!$AZ$16*AVERAGE('Assumptions (NG)'!$AW$3:$AY$3))/10^9,0)</f>
        <v>0.40706694420586137</v>
      </c>
      <c r="BJ632" s="105">
        <f>IF($BA$421&gt;0,'Assumptions (NG)'!AE11*Model!$BA$421*('Assumptions (NG)'!$AZ$15*AVERAGE('Assumptions (NG)'!$AW$2:$AY$2)+'Assumptions (NG)'!$AZ$16*AVERAGE('Assumptions (NG)'!$AW$3:$AY$3))/10^9,0)</f>
        <v>0.40637816765052159</v>
      </c>
      <c r="BK632" s="105">
        <f>IF($BA$421&gt;0,'Assumptions (NG)'!AF11*Model!$BA$421*('Assumptions (NG)'!$AZ$15*AVERAGE('Assumptions (NG)'!$AW$2:$AY$2)+'Assumptions (NG)'!$AZ$16*AVERAGE('Assumptions (NG)'!$AW$3:$AY$3))/10^9,0)</f>
        <v>0.40706694420586137</v>
      </c>
      <c r="BL632" s="105">
        <f>IF($BA$421&gt;0,'Assumptions (NG)'!AG11*Model!$BA$421*('Assumptions (NG)'!$AZ$15*AVERAGE('Assumptions (NG)'!$AW$2:$AY$2)+'Assumptions (NG)'!$AZ$16*AVERAGE('Assumptions (NG)'!$AW$3:$AY$3))/10^9,0)</f>
        <v>0.40637816765052159</v>
      </c>
      <c r="BM632" s="105">
        <f>IF($BA$421&gt;0,'Assumptions (NG)'!AH11*Model!$BA$421*('Assumptions (NG)'!$AZ$15*AVERAGE('Assumptions (NG)'!$AW$2:$AY$2)+'Assumptions (NG)'!$AZ$16*AVERAGE('Assumptions (NG)'!$AW$3:$AY$3))/10^9,0)</f>
        <v>0.40706694420586137</v>
      </c>
      <c r="BN632" s="105">
        <f>IF($BA$421&gt;0,'Assumptions (NG)'!AI11*Model!$BA$421*('Assumptions (NG)'!$AZ$15*AVERAGE('Assumptions (NG)'!$AW$2:$AY$2)+'Assumptions (NG)'!$AZ$16*AVERAGE('Assumptions (NG)'!$AW$3:$AY$3))/10^9,0)</f>
        <v>0.40637816765052159</v>
      </c>
      <c r="BO632" s="105">
        <f>IF($BA$421&gt;0,'Assumptions (NG)'!AJ11*Model!$BA$421*('Assumptions (NG)'!$AZ$15*AVERAGE('Assumptions (NG)'!$AW$2:$AY$2)+'Assumptions (NG)'!$AZ$16*AVERAGE('Assumptions (NG)'!$AW$3:$AY$3))/10^9,0)</f>
        <v>0.40706694420586137</v>
      </c>
      <c r="BP632" s="105">
        <f>IF($BA$421&gt;0,'Assumptions (NG)'!AK11*Model!$BA$421*('Assumptions (NG)'!$AZ$15*AVERAGE('Assumptions (NG)'!$AW$2:$AY$2)+'Assumptions (NG)'!$AZ$16*AVERAGE('Assumptions (NG)'!$AW$3:$AY$3))/10^9,0)</f>
        <v>0.2031890838252608</v>
      </c>
      <c r="BQ632" s="105"/>
      <c r="BR632" s="105"/>
      <c r="BS632" s="105"/>
      <c r="BT632" s="105"/>
      <c r="BU632" s="105"/>
      <c r="BV632" s="105"/>
      <c r="BW632" s="105"/>
      <c r="BX632" s="105"/>
      <c r="BY632" s="105"/>
    </row>
    <row r="633" spans="1:77" ht="15.75" customHeight="1" collapsed="1">
      <c r="A633" s="379" t="s">
        <v>62</v>
      </c>
      <c r="B633" s="99" t="s">
        <v>201</v>
      </c>
      <c r="C633" s="105">
        <f>IF(Model!C419+Model!C420-Model!C415-Model!C418-C581+C529&gt;0,(1-'Assumptions (NG)'!B35)*(Model!C419+Model!C420-Model!C415-Model!C418-C581-C529)+C581+C477,Model!C419+Model!C420-Model!C415-Model!C418+C529+C477)</f>
        <v>9.524819814632929</v>
      </c>
      <c r="D633" s="105">
        <f>IF(Model!D419+Model!D420-Model!D415-Model!D418-D581+D529&gt;0,(1-'Assumptions (NG)'!C35)*(Model!D419+Model!D420-Model!D415-Model!D418-D581-D529)+D581+D477,Model!D419+Model!D420-Model!D415-Model!D418+D529+D477)</f>
        <v>10.587723456268858</v>
      </c>
      <c r="E633" s="105">
        <f>IF(Model!E419+Model!E420-Model!E415-Model!E418-E581+E529&gt;0,(1-'Assumptions (NG)'!D35)*(Model!E419+Model!E420-Model!E415-Model!E418-E581-E529)+E581+E477,Model!E419+Model!E420-Model!E415-Model!E418+E529+E477)</f>
        <v>12.02723862574079</v>
      </c>
      <c r="F633" s="105">
        <f>IF(Model!F419+Model!F420-Model!F415-Model!F418-F581+F529&gt;0,(1-'Assumptions (NG)'!E35)*(Model!F419+Model!F420-Model!F415-Model!F418-F581-F529)+F581+F477,Model!F419+Model!F420-Model!F415-Model!F418+F529+F477)</f>
        <v>10.647225230351797</v>
      </c>
      <c r="G633" s="105">
        <f>IF(Model!G419+Model!G420-Model!G415-Model!G418-G581+G529&gt;0,(1-'Assumptions (NG)'!F35)*(Model!G419+Model!G420-Model!G415-Model!G418-G581-G529)+G581+G477,Model!G419+Model!G420-Model!G415-Model!G418+G529+G477)</f>
        <v>11.724908744041448</v>
      </c>
      <c r="H633" s="105">
        <f>IF(Model!H419+Model!H420-Model!H415-Model!H418-H581+H529&gt;0,(1-'Assumptions (NG)'!G35)*(Model!H419+Model!H420-Model!H415-Model!H418-H581-H529)+H581+H477,Model!H419+Model!H420-Model!H415-Model!H418+H529+H477)</f>
        <v>11.023336189200997</v>
      </c>
      <c r="I633" s="105">
        <f>IF(Model!I419+Model!I420-Model!I415-Model!I418-I581+I529&gt;0,(1-'Assumptions (NG)'!H35)*(Model!I419+Model!I420-Model!I415-Model!I418-I581-I529)+I581+I477,Model!I419+Model!I420-Model!I415-Model!I418+I529+I477)</f>
        <v>11.931909959890856</v>
      </c>
      <c r="J633" s="105">
        <f>IF(Model!J419+Model!J420-Model!J415-Model!J418-J581+J529&gt;0,(1-'Assumptions (NG)'!I35)*(Model!J419+Model!J420-Model!J415-Model!J418-J581-J529)+J581+J477,Model!J419+Model!J420-Model!J415-Model!J418+J529+J477)</f>
        <v>21.029490820677985</v>
      </c>
      <c r="K633" s="105">
        <f>IF(Model!K419+Model!K420-Model!K415-Model!K418-K581+K529&gt;0,(1-'Assumptions (NG)'!J35)*(Model!K419+Model!K420-Model!K415-Model!K418-K581-K529)+K581+K477,Model!K419+Model!K420-Model!K415-Model!K418+K529+K477)</f>
        <v>19.520177727236096</v>
      </c>
      <c r="L633" s="105">
        <f>IF(Model!L419+Model!L420-Model!L415-Model!L418-L581+L529&gt;0,(1-'Assumptions (NG)'!K35)*(Model!L419+Model!L420-Model!L415-Model!L418-L581-L529)+L581+L477,Model!L419+Model!L420-Model!L415-Model!L418+L529+L477)</f>
        <v>22.21171143546556</v>
      </c>
      <c r="M633" s="105">
        <f>IF(Model!M419+Model!M420-Model!M415-Model!M418-M581+M529&gt;0,(1-'Assumptions (NG)'!L35)*(Model!M419+Model!M420-Model!M415-Model!M418-M581-M529)+M581+M477,Model!M419+Model!M420-Model!M415-Model!M418+M529+M477)</f>
        <v>20.446176186076695</v>
      </c>
      <c r="N633" s="105">
        <f>IF(Model!N419+Model!N420-Model!N415-Model!N418-N581+N529&gt;0,(1-'Assumptions (NG)'!M35)*(Model!N419+Model!N420-Model!N415-Model!N418-N581-N529)+N581+N477,Model!N419+Model!N420-Model!N415-Model!N418+N529+N477)</f>
        <v>22.123137452617115</v>
      </c>
      <c r="O633" s="105">
        <f>IF(Model!O419+Model!O420-Model!O415-Model!O418-O581+O529&gt;0,(1-'Assumptions (NG)'!N35)*(Model!O419+Model!O420-Model!O415-Model!O418-O581-O529)+O581+O477,Model!O419+Model!O420-Model!O415-Model!O418+O529+O477)</f>
        <v>29.092708120463207</v>
      </c>
      <c r="P633" s="105">
        <f>IF(Model!P419+Model!P420-Model!P415-Model!P418-P581+P529&gt;0,(1-'Assumptions (NG)'!O35)*(Model!P419+Model!P420-Model!P415-Model!P418-P581-P529)+P581+P477,Model!P419+Model!P420-Model!P415-Model!P418+P529+P477)</f>
        <v>27.820231527262848</v>
      </c>
      <c r="Q633" s="105">
        <f>IF(Model!Q419+Model!Q420-Model!Q415-Model!Q418-Q581+Q529&gt;0,(1-'Assumptions (NG)'!P35)*(Model!Q419+Model!Q420-Model!Q415-Model!Q418-Q581-Q529)+Q581+Q477,Model!Q419+Model!Q420-Model!Q415-Model!Q418+Q529+Q477)</f>
        <v>29.353134505993424</v>
      </c>
      <c r="R633" s="105">
        <f>IF(Model!R419+Model!R420-Model!R415-Model!R418-R581+R529&gt;0,(1-'Assumptions (NG)'!Q35)*(Model!R419+Model!R420-Model!R415-Model!R418-R581-R529)+R581+R477,Model!R419+Model!R420-Model!R415-Model!R418+R529+R477)</f>
        <v>35.301234684084015</v>
      </c>
      <c r="S633" s="105">
        <f>IF(Model!S419+Model!S420-Model!S415-Model!S418-S581+S529&gt;0,(1-'Assumptions (NG)'!R35)*(Model!S419+Model!S420-Model!S415-Model!S418-S581-S529)+S581+S477,Model!S419+Model!S420-Model!S415-Model!S418+S529+S477)</f>
        <v>40.805646369165416</v>
      </c>
      <c r="T633" s="105">
        <f>IF(Model!T419+Model!T420-Model!T415-Model!T418-T581+T529&gt;0,(1-'Assumptions (NG)'!S35)*(Model!T419+Model!T420-Model!T415-Model!T418-T581-T529)+T581+T477,Model!T419+Model!T420-Model!T415-Model!T418+T529+T477)</f>
        <v>34.296615038646856</v>
      </c>
      <c r="U633" s="105">
        <f>IF(Model!U419+Model!U420-Model!U415-Model!U418-U581+U529&gt;0,(1-'Assumptions (NG)'!T35)*(Model!U419+Model!U420-Model!U415-Model!U418-U581-U529)+U581+U477,Model!U419+Model!U420-Model!U415-Model!U418+U529+U477)</f>
        <v>45.321791786844422</v>
      </c>
      <c r="V633" s="105">
        <f>IF(Model!V419+Model!V420-Model!V415-Model!V418-V581+V529&gt;0,(1-'Assumptions (NG)'!U35)*(Model!V419+Model!V420-Model!V415-Model!V418-V581-V529)+V581+V477,Model!V419+Model!V420-Model!V415-Model!V418+V529+V477)</f>
        <v>55.142069051289582</v>
      </c>
      <c r="W633" s="105">
        <f>IF(Model!W419+Model!W420-Model!W415-Model!W418-W581+W529&gt;0,(1-'Assumptions (NG)'!V35)*(Model!W419+Model!W420-Model!W415-Model!W418-W581-W529)+W581+W477,Model!W419+Model!W420-Model!W415-Model!W418+W529+W477)</f>
        <v>48.08581508386343</v>
      </c>
      <c r="X633" s="105">
        <f>IF(Model!X419+Model!X420-Model!X415-Model!X418-X581+X529&gt;0,(1-'Assumptions (NG)'!W35)*(Model!X419+Model!X420-Model!X415-Model!X418-X581-X529)+X581+X477,Model!X419+Model!X420-Model!X415-Model!X418+X529+X477)</f>
        <v>47.811539350527433</v>
      </c>
      <c r="Y633" s="105">
        <f>IF(Model!Y419+Model!Y420-Model!Y415-Model!Y418-Y581+Y529&gt;0,(1-'Assumptions (NG)'!X35)*(Model!Y419+Model!Y420-Model!Y415-Model!Y418-Y581-Y529)+Y581+Y477,Model!Y419+Model!Y420-Model!Y415-Model!Y418+Y529+Y477)</f>
        <v>48.254400635783973</v>
      </c>
      <c r="Z633" s="105">
        <f>IF(Model!Z419+Model!Z420-Model!Z415-Model!Z418-Z581+Z529&gt;0,(1-'Assumptions (NG)'!Y35)*(Model!Z419+Model!Z420-Model!Z415-Model!Z418-Z581-Z529)+Z581+Z477,Model!Z419+Model!Z420-Model!Z415-Model!Z418+Z529+Z477)</f>
        <v>47.783244540983077</v>
      </c>
      <c r="AA633" s="105">
        <f>IF(Model!AA419+Model!AA420-Model!AA415-Model!AA418-AA581+AA529&gt;0,(1-'Assumptions (NG)'!Z35)*(Model!AA419+Model!AA420-Model!AA415-Model!AA418-AA581-AA529)+AA581+AA477,Model!AA419+Model!AA420-Model!AA415-Model!AA418+AA529+AA477)</f>
        <v>47.33982190922336</v>
      </c>
      <c r="AB633" s="105">
        <f>IF(Model!AB419+Model!AB420-Model!AB415-Model!AB418-AB581+AB529&gt;0,(1-'Assumptions (NG)'!AA35)*(Model!AB419+Model!AB420-Model!AB415-Model!AB418-AB581-AB529)+AB581+AB477,Model!AB419+Model!AB420-Model!AB415-Model!AB418+AB529+AB477)</f>
        <v>47.477012454701139</v>
      </c>
      <c r="AC633" s="105">
        <f>IF(Model!AC419+Model!AC420-Model!AC415-Model!AC418-AC581+AC529&gt;0,(1-'Assumptions (NG)'!AB35)*(Model!AC419+Model!AC420-Model!AC415-Model!AC418-AC581-AC529)+AC581+AC477,Model!AC419+Model!AC420-Model!AC415-Model!AC418+AC529+AC477)</f>
        <v>47.696775907818356</v>
      </c>
      <c r="AD633" s="105">
        <f>IF(Model!AD419+Model!AD420-Model!AD415-Model!AD418-AD581+AD529&gt;0,(1-'Assumptions (NG)'!AC35)*(Model!AD419+Model!AD420-Model!AD415-Model!AD418-AD581-AD529)+AD581+AD477,Model!AD419+Model!AD420-Model!AD415-Model!AD418+AD529+AD477)</f>
        <v>48.324484296584878</v>
      </c>
      <c r="AE633" s="105">
        <f>IF(Model!AE419+Model!AE420-Model!AE415-Model!AE418-AE581+AE529&gt;0,(1-'Assumptions (NG)'!AD35)*(Model!AE419+Model!AE420-Model!AE415-Model!AE418-AE581-AE529)+AE581+AE477,Model!AE419+Model!AE420-Model!AE415-Model!AE418+AE529+AE477)</f>
        <v>48.933841778685391</v>
      </c>
      <c r="AF633" s="105">
        <f>IF(Model!AF419+Model!AF420-Model!AF415-Model!AF418-AF581+AF529&gt;0,(1-'Assumptions (NG)'!AE35)*(Model!AF419+Model!AF420-Model!AF415-Model!AF418-AF581-AF529)+AF581+AF477,Model!AF419+Model!AF420-Model!AF415-Model!AF418+AF529+AF477)</f>
        <v>49.581602166789487</v>
      </c>
      <c r="AG633" s="105">
        <f>IF(Model!AG419+Model!AG420-Model!AG415-Model!AG418-AG581+AG529&gt;0,(1-'Assumptions (NG)'!AF35)*(Model!AG419+Model!AG420-Model!AG415-Model!AG418-AG581-AG529)+AG581+AG477,Model!AG419+Model!AG420-Model!AG415-Model!AG418+AG529+AG477)</f>
        <v>49.064021544319857</v>
      </c>
      <c r="AH633" s="105">
        <f>IF(Model!AH419+Model!AH420-Model!AH415-Model!AH418-AH581+AH529&gt;0,(1-'Assumptions (NG)'!AG35)*(Model!AH419+Model!AH420-Model!AH415-Model!AH418-AH581-AH529)+AH581+AH477,Model!AH419+Model!AH420-Model!AH415-Model!AH418+AH529+AH477)</f>
        <v>51.880922348446006</v>
      </c>
      <c r="AI633" s="105">
        <f>IF(Model!AI419+Model!AI420-Model!AI415-Model!AI418-AI581+AI529&gt;0,(1-'Assumptions (NG)'!AH35)*(Model!AI419+Model!AI420-Model!AI415-Model!AI418-AI581-AI529)+AI581+AI477,Model!AI419+Model!AI420-Model!AI415-Model!AI418+AI529+AI477)</f>
        <v>50.446259147008647</v>
      </c>
      <c r="AJ633" s="105">
        <f>IF(Model!AJ419+Model!AJ420-Model!AJ415-Model!AJ418-AJ581+AJ529&gt;0,(1-'Assumptions (NG)'!AI35)*(Model!AJ419+Model!AJ420-Model!AJ415-Model!AJ418-AJ581-AJ529)+AJ581+AJ477,Model!AJ419+Model!AJ420-Model!AJ415-Model!AJ418+AJ529+AJ477)</f>
        <v>49.02227897266404</v>
      </c>
      <c r="AK633" s="105">
        <f>IF(Model!AK419+Model!AK420-Model!AK415-Model!AK418-AK581+AK529&gt;0,(1-'Assumptions (NG)'!AJ35)*(Model!AK419+Model!AK420-Model!AK415-Model!AK418-AK581-AK529)+AK581+AK477,Model!AK419+Model!AK420-Model!AK415-Model!AK418+AK529+AK477)</f>
        <v>47.464417569667582</v>
      </c>
      <c r="AL633" s="105">
        <f>IF(Model!AL419+Model!AL420-Model!AL415-Model!AL418-AL581+AL529&gt;0,(1-'Assumptions (NG)'!AK35)*(Model!AL419+Model!AL420-Model!AL415-Model!AL418-AL581-AL529)+AL581+AL477,Model!AL419+Model!AL420-Model!AL415-Model!AL418+AL529+AL477)</f>
        <v>45.900794221419844</v>
      </c>
      <c r="AM633" s="105">
        <f>IF(Model!AM419+Model!AM420-Model!AM415-Model!AM418-AM581+AM529&gt;0,(1-'Assumptions (NG)'!AL35)*(Model!AM419+Model!AM420-Model!AM415-Model!AM418-AM581-AM529)+AM581+AM477,Model!AM419+Model!AM420-Model!AM415-Model!AM418+AM529+AM477)</f>
        <v>44.115710531327906</v>
      </c>
      <c r="AN633" s="105">
        <f>IF(Model!AN419+Model!AN420-Model!AN415-Model!AN418-AN581+AN529&gt;0,(1-'Assumptions (NG)'!AM35)*(Model!AN419+Model!AN420-Model!AN415-Model!AN418-AN581-AN529)+AN581+AN477,Model!AN419+Model!AN420-Model!AN415-Model!AN418+AN529+AN477)</f>
        <v>42.215587850095979</v>
      </c>
      <c r="AO633" s="105">
        <f>IF(Model!AO419+Model!AO420-Model!AO415-Model!AO418-AO581+AO529&gt;0,(1-'Assumptions (NG)'!AN35)*(Model!AO419+Model!AO420-Model!AO415-Model!AO418-AO581-AO529)+AO581+AO477,Model!AO419+Model!AO420-Model!AO415-Model!AO418+AO529+AO477)</f>
        <v>40.574799532867239</v>
      </c>
      <c r="AP633" s="105">
        <f>IF(Model!AP419+Model!AP420-Model!AP415-Model!AP418-AP581+AP529&gt;0,(1-'Assumptions (NG)'!AO35)*(Model!AP419+Model!AP420-Model!AP415-Model!AP418-AP581-AP529)+AP581+AP477,Model!AP419+Model!AP420-Model!AP415-Model!AP418+AP529+AP477)</f>
        <v>38.72994989904155</v>
      </c>
      <c r="AQ633" s="105">
        <f>IF(Model!AQ419+Model!AQ420-Model!AQ415-Model!AQ418-AQ581+AQ529&gt;0,(1-'Assumptions (NG)'!AP35)*(Model!AQ419+Model!AQ420-Model!AQ415-Model!AQ418-AQ581-AQ529)+AQ581+AQ477,Model!AQ419+Model!AQ420-Model!AQ415-Model!AQ418+AQ529+AQ477)</f>
        <v>36.245000977700002</v>
      </c>
      <c r="AR633" s="105">
        <f>IF(Model!AR419+Model!AR420-Model!AR415-Model!AR418-AR581+AR529&gt;0,(1-'Assumptions (NG)'!AQ35)*(Model!AR419+Model!AR420-Model!AR415-Model!AR418-AR581-AR529)+AR581+AR477,Model!AR419+Model!AR420-Model!AR415-Model!AR418+AR529+AR477)</f>
        <v>33.234216618651516</v>
      </c>
      <c r="AS633" s="105">
        <f>IF(Model!AS419+Model!AS420-Model!AS415-Model!AS418-AS581+AS529&gt;0,(1-'Assumptions (NG)'!AR35)*(Model!AS419+Model!AS420-Model!AS415-Model!AS418-AS581-AS529)+AS581+AS477,Model!AS419+Model!AS420-Model!AS415-Model!AS418+AS529+AS477)</f>
        <v>29.861043202196893</v>
      </c>
      <c r="AT633" s="105">
        <f>IF(Model!AT419+Model!AT420-Model!AT415-Model!AT418-AT581+AT529&gt;0,(1-'Assumptions (NG)'!AS35)*(Model!AT419+Model!AT420-Model!AT415-Model!AT418-AT581-AT529)+AT581+AT477,Model!AT419+Model!AT420-Model!AT415-Model!AT418+AT529+AT477)</f>
        <v>26.262934491822591</v>
      </c>
      <c r="AU633" s="105">
        <f>IF(Model!AU419+Model!AU420-Model!AU415-Model!AU418-AU581+AU529&gt;0,(1-'Assumptions (NG)'!AT35)*(Model!AU419+Model!AU420-Model!AU415-Model!AU418-AU581-AU529)+AU581+AU477,Model!AU419+Model!AU420-Model!AU415-Model!AU418+AU529+AU477)</f>
        <v>22.446193652359636</v>
      </c>
      <c r="AV633" s="105">
        <f>IF(Model!AV419+Model!AV420-Model!AV415-Model!AV418-AV581+AV529&gt;0,(1-'Assumptions (NG)'!AU35)*(Model!AV419+Model!AV420-Model!AV415-Model!AV418-AV581-AV529)+AV581+AV477,Model!AV419+Model!AV420-Model!AV415-Model!AV418+AV529+AV477)</f>
        <v>18.399288169427074</v>
      </c>
      <c r="AW633" s="105">
        <f>IF(Model!AW419+Model!AW420-Model!AW415-Model!AW418-AW581+AW529&gt;0,(1-'Assumptions (NG)'!AV35)*(Model!AW419+Model!AW420-Model!AW415-Model!AW418-AW581-AW529)+AW581+AW477,Model!AW419+Model!AW420-Model!AW415-Model!AW418+AW529+AW477)</f>
        <v>14.049217288044582</v>
      </c>
      <c r="AX633" s="105">
        <f>IF(Model!AX419+Model!AX420-Model!AX415-Model!AX418-AX581+AX529&gt;0,(1-'Assumptions (NG)'!AW35)*(Model!AX419+Model!AX420-Model!AX415-Model!AX418-AX581-AX529)+AX581+AX477,Model!AX419+Model!AX420-Model!AX415-Model!AX418+AX529+AX477)</f>
        <v>9.7472337535807263</v>
      </c>
      <c r="AY633" s="105">
        <f>IF(Model!AY419+Model!AY420-Model!AY415-Model!AY418-AY581+AY529&gt;0,(1-'Assumptions (NG)'!AX35)*(Model!AY419+Model!AY420-Model!AY415-Model!AY418-AY581-AY529)+AY581+AY477,Model!AY419+Model!AY420-Model!AY415-Model!AY418+AY529+AY477)</f>
        <v>7.5182485358091764</v>
      </c>
      <c r="AZ633" s="105">
        <f>IF(Model!AZ419+Model!AZ420-Model!AZ415-Model!AZ418-AZ581+AZ529&gt;0,(1-'Assumptions (NG)'!AY35)*(Model!AZ419+Model!AZ420-Model!AZ415-Model!AZ418-AZ581-AZ529)+AZ581+AZ477,Model!AZ419+Model!AZ420-Model!AZ415-Model!AZ418+AZ529+AZ477)</f>
        <v>5.1851662808833527</v>
      </c>
      <c r="BA633" s="105">
        <f>IF(Model!BA419+Model!BA420-Model!BA415-Model!BA418-BA581+BA529&gt;0,(1-'Assumptions (NG)'!AZ35)*(Model!BA419+Model!BA420-Model!BA415-Model!BA418-BA581-BA529)+BA581+BA477,Model!BA419+Model!BA420-Model!BA415-Model!BA418+BA529+BA477)</f>
        <v>-0.62455488072466991</v>
      </c>
      <c r="BB633" s="105"/>
      <c r="BC633" s="105"/>
      <c r="BD633" s="105"/>
      <c r="BE633" s="105"/>
      <c r="BF633" s="105"/>
      <c r="BG633" s="105"/>
      <c r="BH633" s="105"/>
      <c r="BI633" s="105"/>
      <c r="BJ633" s="105"/>
      <c r="BK633" s="105"/>
      <c r="BL633" s="105"/>
      <c r="BM633" s="105"/>
      <c r="BN633" s="105"/>
      <c r="BO633" s="105"/>
      <c r="BP633" s="105"/>
      <c r="BQ633" s="105"/>
      <c r="BR633" s="105"/>
      <c r="BS633" s="105"/>
      <c r="BT633" s="105"/>
      <c r="BU633" s="105"/>
      <c r="BV633" s="105"/>
      <c r="BW633" s="105"/>
      <c r="BX633" s="105"/>
      <c r="BY633" s="105"/>
    </row>
    <row r="634" spans="1:77" ht="15.75" customHeight="1">
      <c r="A634" s="379" t="s">
        <v>64</v>
      </c>
      <c r="B634" s="99" t="s">
        <v>201</v>
      </c>
      <c r="C634" s="105">
        <f>IF(Model!C419+Model!C420-Model!C415-Model!C418-C581+C529&gt;0,'Assumptions (NG)'!B35*(Model!C419+Model!C420-Model!C415-Model!C418-C581+C529)-'Assumptions (NG)'!B36*Model!C413/10^3,-'Assumptions (NG)'!B36*Model!C413/10^3)</f>
        <v>4.1061944408170312</v>
      </c>
      <c r="D634" s="105">
        <f>IF(Model!D419+Model!D420-Model!D415-Model!D418-D581+D529&gt;0,'Assumptions (NG)'!C35*(Model!D419+Model!D420-Model!D415-Model!D418-D581+D529)-'Assumptions (NG)'!C36*Model!D413/10^3,-'Assumptions (NG)'!C36*Model!D413/10^3)</f>
        <v>3.6607100366256731</v>
      </c>
      <c r="E634" s="105">
        <f>IF(Model!E419+Model!E420-Model!E415-Model!E418-E581+E529&gt;0,'Assumptions (NG)'!D35*(Model!E419+Model!E420-Model!E415-Model!E418-E581+E529)-'Assumptions (NG)'!D36*Model!E413/10^3,-'Assumptions (NG)'!D36*Model!E413/10^3)</f>
        <v>2.971881532888903</v>
      </c>
      <c r="F634" s="105">
        <f>IF(Model!F419+Model!F420-Model!F415-Model!F418-F581+F529&gt;0,'Assumptions (NG)'!E35*(Model!F419+Model!F420-Model!F415-Model!F418-F581+F529)-'Assumptions (NG)'!E36*Model!F413/10^3,-'Assumptions (NG)'!E36*Model!F413/10^3)</f>
        <v>0.94083387548290942</v>
      </c>
      <c r="G634" s="105">
        <f>IF(Model!G419+Model!G420-Model!G415-Model!G418-G581+G529&gt;0,'Assumptions (NG)'!F35*(Model!G419+Model!G420-Model!G415-Model!G418-G581+G529)-'Assumptions (NG)'!F36*Model!G413/10^3,-'Assumptions (NG)'!F36*Model!G413/10^3)</f>
        <v>1.0409638028928707</v>
      </c>
      <c r="H634" s="105">
        <f>IF(Model!H419+Model!H420-Model!H415-Model!H418-H581+H529&gt;0,'Assumptions (NG)'!G35*(Model!H419+Model!H420-Model!H415-Model!H418-H581+H529)-'Assumptions (NG)'!G36*Model!H413/10^3,-'Assumptions (NG)'!G36*Model!H413/10^3)</f>
        <v>0.87269601487655291</v>
      </c>
      <c r="I634" s="105">
        <f>IF(Model!I419+Model!I420-Model!I415-Model!I418-I581+I529&gt;0,'Assumptions (NG)'!H35*(Model!I419+Model!I420-Model!I415-Model!I418-I581+I529)-'Assumptions (NG)'!H36*Model!I413/10^3,-'Assumptions (NG)'!H36*Model!I413/10^3)</f>
        <v>1.8946443316534065</v>
      </c>
      <c r="J634" s="105">
        <f>IF(Model!J419+Model!J420-Model!J415-Model!J418-J581+J529&gt;0,'Assumptions (NG)'!I35*(Model!J419+Model!J420-Model!J415-Model!J418-J581+J529)-'Assumptions (NG)'!I36*Model!J413/10^3,-'Assumptions (NG)'!I36*Model!J413/10^3)</f>
        <v>7.4785474085064694</v>
      </c>
      <c r="K634" s="105">
        <f>IF(Model!K419+Model!K420-Model!K415-Model!K418-K581+K529&gt;0,'Assumptions (NG)'!J35*(Model!K419+Model!K420-Model!K415-Model!K418-K581+K529)-'Assumptions (NG)'!J36*Model!K413/10^3,-'Assumptions (NG)'!J36*Model!K413/10^3)</f>
        <v>7.4182581945349346</v>
      </c>
      <c r="L634" s="105">
        <f>IF(Model!L419+Model!L420-Model!L415-Model!L418-L581+L529&gt;0,'Assumptions (NG)'!K35*(Model!L419+Model!L420-Model!L415-Model!L418-L581+L529)-'Assumptions (NG)'!K36*Model!L413/10^3,-'Assumptions (NG)'!K36*Model!L413/10^3)</f>
        <v>9.4830252579242469</v>
      </c>
      <c r="M634" s="105">
        <f>IF(Model!M419+Model!M420-Model!M415-Model!M418-M581+M529&gt;0,'Assumptions (NG)'!L35*(Model!M419+Model!M420-Model!M415-Model!M418-M581+M529)-'Assumptions (NG)'!L36*Model!M413/10^3,-'Assumptions (NG)'!L36*Model!M413/10^3)</f>
        <v>8.500560041542462</v>
      </c>
      <c r="N634" s="105">
        <f>IF(Model!N419+Model!N420-Model!N415-Model!N418-N581+N529&gt;0,'Assumptions (NG)'!M35*(Model!N419+Model!N420-Model!N415-Model!N418-N581+N529)-'Assumptions (NG)'!M36*Model!N413/10^3,-'Assumptions (NG)'!M36*Model!N413/10^3)</f>
        <v>9.0033402605774047</v>
      </c>
      <c r="O634" s="105">
        <f>IF(Model!O419+Model!O420-Model!O415-Model!O418-O581+O529&gt;0,'Assumptions (NG)'!N35*(Model!O419+Model!O420-Model!O415-Model!O418-O581+O529)-'Assumptions (NG)'!N36*Model!O413/10^3,-'Assumptions (NG)'!N36*Model!O413/10^3)</f>
        <v>11.420932474365294</v>
      </c>
      <c r="P634" s="105">
        <f>IF(Model!P419+Model!P420-Model!P415-Model!P418-P581+P529&gt;0,'Assumptions (NG)'!O35*(Model!P419+Model!P420-Model!P415-Model!P418-P581+P529)-'Assumptions (NG)'!O36*Model!P413/10^3,-'Assumptions (NG)'!O36*Model!P413/10^3)</f>
        <v>9.7830633103175373</v>
      </c>
      <c r="Q634" s="105">
        <f>IF(Model!Q419+Model!Q420-Model!Q415-Model!Q418-Q581+Q529&gt;0,'Assumptions (NG)'!P35*(Model!Q419+Model!Q420-Model!Q415-Model!Q418-Q581+Q529)-'Assumptions (NG)'!P36*Model!Q413/10^3,-'Assumptions (NG)'!P36*Model!Q413/10^3)</f>
        <v>10.109535371029139</v>
      </c>
      <c r="R634" s="105">
        <f>IF(Model!R419+Model!R420-Model!R415-Model!R418-R581+R529&gt;0,'Assumptions (NG)'!Q35*(Model!R419+Model!R420-Model!R415-Model!R418-R581+R529)-'Assumptions (NG)'!Q36*Model!R413/10^3,-'Assumptions (NG)'!Q36*Model!R413/10^3)</f>
        <v>13.014483043090113</v>
      </c>
      <c r="S634" s="105">
        <f>IF(Model!S419+Model!S420-Model!S415-Model!S418-S581+S529&gt;0,'Assumptions (NG)'!R35*(Model!S419+Model!S420-Model!S415-Model!S418-S581+S529)-'Assumptions (NG)'!R36*Model!S413/10^3,-'Assumptions (NG)'!R36*Model!S413/10^3)</f>
        <v>16.257784773825655</v>
      </c>
      <c r="T634" s="105">
        <f>IF(Model!T419+Model!T420-Model!T415-Model!T418-T581+T529&gt;0,'Assumptions (NG)'!S35*(Model!T419+Model!T420-Model!T415-Model!T418-T581+T529)-'Assumptions (NG)'!S36*Model!T413/10^3,-'Assumptions (NG)'!S36*Model!T413/10^3)</f>
        <v>13.425505961175286</v>
      </c>
      <c r="U634" s="105">
        <f>IF(Model!U419+Model!U420-Model!U415-Model!U418-U581+U529&gt;0,'Assumptions (NG)'!T35*(Model!U419+Model!U420-Model!U415-Model!U418-U581+U529)-'Assumptions (NG)'!T36*Model!U413/10^3,-'Assumptions (NG)'!T36*Model!U413/10^3)</f>
        <v>8.807878282758864</v>
      </c>
      <c r="V634" s="105">
        <f>IF(Model!V419+Model!V420-Model!V415-Model!V418-V581+V529&gt;0,'Assumptions (NG)'!U35*(Model!V419+Model!V420-Model!V415-Model!V418-V581+V529)-'Assumptions (NG)'!U36*Model!V413/10^3,-'Assumptions (NG)'!U36*Model!V413/10^3)</f>
        <v>11.342109220050409</v>
      </c>
      <c r="W634" s="105">
        <f>IF(Model!W419+Model!W420-Model!W415-Model!W418-W581+W529&gt;0,'Assumptions (NG)'!V35*(Model!W419+Model!W420-Model!W415-Model!W418-W581+W529)-'Assumptions (NG)'!V36*Model!W413/10^3,-'Assumptions (NG)'!V36*Model!W413/10^3)</f>
        <v>9.9059538470217152</v>
      </c>
      <c r="X634" s="105">
        <f>IF(Model!X419+Model!X420-Model!X415-Model!X418-X581+X529&gt;0,'Assumptions (NG)'!W35*(Model!X419+Model!X420-Model!X415-Model!X418-X581+X529)-'Assumptions (NG)'!W36*Model!X413/10^3,-'Assumptions (NG)'!W36*Model!X413/10^3)</f>
        <v>10.0135755561911</v>
      </c>
      <c r="Y634" s="105">
        <f>IF(Model!Y419+Model!Y420-Model!Y415-Model!Y418-Y581+Y529&gt;0,'Assumptions (NG)'!X35*(Model!Y419+Model!Y420-Model!Y415-Model!Y418-Y581+Y529)-'Assumptions (NG)'!X36*Model!Y413/10^3,-'Assumptions (NG)'!X36*Model!Y413/10^3)</f>
        <v>9.9259277573468836</v>
      </c>
      <c r="Z634" s="105">
        <f>IF(Model!Z419+Model!Z420-Model!Z415-Model!Z418-Z581+Z529&gt;0,'Assumptions (NG)'!Y35*(Model!Z419+Model!Z420-Model!Z415-Model!Z418-Z581+Z529)-'Assumptions (NG)'!Y36*Model!Z413/10^3,-'Assumptions (NG)'!Y36*Model!Z413/10^3)</f>
        <v>10.194993545930952</v>
      </c>
      <c r="AA634" s="105">
        <f>IF(Model!AA419+Model!AA420-Model!AA415-Model!AA418-AA581+AA529&gt;0,'Assumptions (NG)'!Z35*(Model!AA419+Model!AA420-Model!AA415-Model!AA418-AA581+AA529)-'Assumptions (NG)'!Z36*Model!AA413/10^3,-'Assumptions (NG)'!Z36*Model!AA413/10^3)</f>
        <v>10.408421255555659</v>
      </c>
      <c r="AB634" s="105">
        <f>IF(Model!AB419+Model!AB420-Model!AB415-Model!AB418-AB581+AB529&gt;0,'Assumptions (NG)'!AA35*(Model!AB419+Model!AB420-Model!AB415-Model!AB418-AB581+AB529)-'Assumptions (NG)'!AA36*Model!AB413/10^3,-'Assumptions (NG)'!AA36*Model!AB413/10^3)</f>
        <v>10.775791326715471</v>
      </c>
      <c r="AC634" s="105">
        <f>IF(Model!AC419+Model!AC420-Model!AC415-Model!AC418-AC581+AC529&gt;0,'Assumptions (NG)'!AB35*(Model!AC419+Model!AC420-Model!AC415-Model!AC418-AC581+AC529)-'Assumptions (NG)'!AB36*Model!AC413/10^3,-'Assumptions (NG)'!AB36*Model!AC413/10^3)</f>
        <v>11.074931735584473</v>
      </c>
      <c r="AD634" s="105">
        <f>IF(Model!AD419+Model!AD420-Model!AD415-Model!AD418-AD581+AD529&gt;0,'Assumptions (NG)'!AC35*(Model!AD419+Model!AD420-Model!AD415-Model!AD418-AD581+AD529)-'Assumptions (NG)'!AC36*Model!AD413/10^3,-'Assumptions (NG)'!AC36*Model!AD413/10^3)</f>
        <v>11.430096200827489</v>
      </c>
      <c r="AE634" s="105">
        <f>IF(Model!AE419+Model!AE420-Model!AE415-Model!AE418-AE581+AE529&gt;0,'Assumptions (NG)'!AD35*(Model!AE419+Model!AE420-Model!AE415-Model!AE418-AE581+AE529)-'Assumptions (NG)'!AD36*Model!AE413/10^3,-'Assumptions (NG)'!AD36*Model!AE413/10^3)</f>
        <v>11.455843542328218</v>
      </c>
      <c r="AF634" s="105">
        <f>IF(Model!AF419+Model!AF420-Model!AF415-Model!AF418-AF581+AF529&gt;0,'Assumptions (NG)'!AE35*(Model!AF419+Model!AF420-Model!AF415-Model!AF418-AF581+AF529)-'Assumptions (NG)'!AE36*Model!AF413/10^3,-'Assumptions (NG)'!AE36*Model!AF413/10^3)</f>
        <v>11.394950933735386</v>
      </c>
      <c r="AG634" s="105">
        <f>IF(Model!AG419+Model!AG420-Model!AG415-Model!AG418-AG581+AG529&gt;0,'Assumptions (NG)'!AF35*(Model!AG419+Model!AG420-Model!AG415-Model!AG418-AG581+AG529)-'Assumptions (NG)'!AF36*Model!AG413/10^3,-'Assumptions (NG)'!AF36*Model!AG413/10^3)</f>
        <v>11.413482521921766</v>
      </c>
      <c r="AH634" s="105">
        <f>IF(Model!AH419+Model!AH420-Model!AH415-Model!AH418-AH581+AH529&gt;0,'Assumptions (NG)'!AG35*(Model!AH419+Model!AH420-Model!AH415-Model!AH418-AH581+AH529)-'Assumptions (NG)'!AG36*Model!AH413/10^3,-'Assumptions (NG)'!AG36*Model!AH413/10^3)</f>
        <v>11.447125230094759</v>
      </c>
      <c r="AI634" s="105">
        <f>IF(Model!AI419+Model!AI420-Model!AI415-Model!AI418-AI581+AI529&gt;0,'Assumptions (NG)'!AH35*(Model!AI419+Model!AI420-Model!AI415-Model!AI418-AI581+AI529)-'Assumptions (NG)'!AH36*Model!AI413/10^3,-'Assumptions (NG)'!AH36*Model!AI413/10^3)</f>
        <v>11.217942524992065</v>
      </c>
      <c r="AJ634" s="105">
        <f>IF(Model!AJ419+Model!AJ420-Model!AJ415-Model!AJ418-AJ581+AJ529&gt;0,'Assumptions (NG)'!AI35*(Model!AJ419+Model!AJ420-Model!AJ415-Model!AJ418-AJ581+AJ529)-'Assumptions (NG)'!AI36*Model!AJ413/10^3,-'Assumptions (NG)'!AI36*Model!AJ413/10^3)</f>
        <v>11.07314537216998</v>
      </c>
      <c r="AK634" s="105">
        <f>IF(Model!AK419+Model!AK420-Model!AK415-Model!AK418-AK581+AK529&gt;0,'Assumptions (NG)'!AJ35*(Model!AK419+Model!AK420-Model!AK415-Model!AK418-AK581+AK529)-'Assumptions (NG)'!AJ36*Model!AK413/10^3,-'Assumptions (NG)'!AJ36*Model!AK413/10^3)</f>
        <v>10.908243478448419</v>
      </c>
      <c r="AL634" s="105">
        <f>IF(Model!AL419+Model!AL420-Model!AL415-Model!AL418-AL581+AL529&gt;0,'Assumptions (NG)'!AK35*(Model!AL419+Model!AL420-Model!AL415-Model!AL418-AL581+AL529)-'Assumptions (NG)'!AK36*Model!AL413/10^3,-'Assumptions (NG)'!AK36*Model!AL413/10^3)</f>
        <v>10.653860103416386</v>
      </c>
      <c r="AM634" s="105">
        <f>IF(Model!AM419+Model!AM420-Model!AM415-Model!AM418-AM581+AM529&gt;0,'Assumptions (NG)'!AL35*(Model!AM419+Model!AM420-Model!AM415-Model!AM418-AM581+AM529)-'Assumptions (NG)'!AL36*Model!AM413/10^3,-'Assumptions (NG)'!AL36*Model!AM413/10^3)</f>
        <v>10.591475940165179</v>
      </c>
      <c r="AN634" s="105">
        <f>IF(Model!AN419+Model!AN420-Model!AN415-Model!AN418-AN581+AN529&gt;0,'Assumptions (NG)'!AM35*(Model!AN419+Model!AN420-Model!AN415-Model!AN418-AN581+AN529)-'Assumptions (NG)'!AM36*Model!AN413/10^3,-'Assumptions (NG)'!AM36*Model!AN413/10^3)</f>
        <v>10.384259929755826</v>
      </c>
      <c r="AO634" s="105">
        <f>IF(Model!AO419+Model!AO420-Model!AO415-Model!AO418-AO581+AO529&gt;0,'Assumptions (NG)'!AN35*(Model!AO419+Model!AO420-Model!AO415-Model!AO418-AO581+AO529)-'Assumptions (NG)'!AN36*Model!AO413/10^3,-'Assumptions (NG)'!AN36*Model!AO413/10^3)</f>
        <v>9.3946056494773575</v>
      </c>
      <c r="AP634" s="105">
        <f>IF(Model!AP419+Model!AP420-Model!AP415-Model!AP418-AP581+AP529&gt;0,'Assumptions (NG)'!AO35*(Model!AP419+Model!AP420-Model!AP415-Model!AP418-AP581+AP529)-'Assumptions (NG)'!AO36*Model!AP413/10^3,-'Assumptions (NG)'!AO36*Model!AP413/10^3)</f>
        <v>8.1287884542545576</v>
      </c>
      <c r="AQ634" s="105">
        <f>IF(Model!AQ419+Model!AQ420-Model!AQ415-Model!AQ418-AQ581+AQ529&gt;0,'Assumptions (NG)'!AP35*(Model!AQ419+Model!AQ420-Model!AQ415-Model!AQ418-AQ581+AQ529)-'Assumptions (NG)'!AP36*Model!AQ413/10^3,-'Assumptions (NG)'!AP36*Model!AQ413/10^3)</f>
        <v>7.2870908344072758</v>
      </c>
      <c r="AR634" s="105">
        <f>IF(Model!AR419+Model!AR420-Model!AR415-Model!AR418-AR581+AR529&gt;0,'Assumptions (NG)'!AQ35*(Model!AR419+Model!AR420-Model!AR415-Model!AR418-AR581+AR529)-'Assumptions (NG)'!AQ36*Model!AR413/10^3,-'Assumptions (NG)'!AQ36*Model!AR413/10^3)</f>
        <v>6.7694353163032348</v>
      </c>
      <c r="AS634" s="105">
        <f>IF(Model!AS419+Model!AS420-Model!AS415-Model!AS418-AS581+AS529&gt;0,'Assumptions (NG)'!AR35*(Model!AS419+Model!AS420-Model!AS415-Model!AS418-AS581+AS529)-'Assumptions (NG)'!AR36*Model!AS413/10^3,-'Assumptions (NG)'!AR36*Model!AS413/10^3)</f>
        <v>6.2369090338529238</v>
      </c>
      <c r="AT634" s="105">
        <f>IF(Model!AT419+Model!AT420-Model!AT415-Model!AT418-AT581+AT529&gt;0,'Assumptions (NG)'!AS35*(Model!AT419+Model!AT420-Model!AT415-Model!AT418-AT581+AT529)-'Assumptions (NG)'!AS36*Model!AT413/10^3,-'Assumptions (NG)'!AS36*Model!AT413/10^3)</f>
        <v>5.6450316384541459</v>
      </c>
      <c r="AU634" s="105">
        <f>IF(Model!AU419+Model!AU420-Model!AU415-Model!AU418-AU581+AU529&gt;0,'Assumptions (NG)'!AT35*(Model!AU419+Model!AU420-Model!AU415-Model!AU418-AU581+AU529)-'Assumptions (NG)'!AT36*Model!AU413/10^3,-'Assumptions (NG)'!AT36*Model!AU413/10^3)</f>
        <v>4.9767762195220566</v>
      </c>
      <c r="AV634" s="105">
        <f>IF(Model!AV419+Model!AV420-Model!AV415-Model!AV418-AV581+AV529&gt;0,'Assumptions (NG)'!AU35*(Model!AV419+Model!AV420-Model!AV415-Model!AV418-AV581+AV529)-'Assumptions (NG)'!AU36*Model!AV413/10^3,-'Assumptions (NG)'!AU36*Model!AV413/10^3)</f>
        <v>4.2141017212762515</v>
      </c>
      <c r="AW634" s="105">
        <f>IF(Model!AW419+Model!AW420-Model!AW415-Model!AW418-AW581+AW529&gt;0,'Assumptions (NG)'!AV35*(Model!AW419+Model!AW420-Model!AW415-Model!AW418-AW581+AW529)-'Assumptions (NG)'!AV36*Model!AW413/10^3,-'Assumptions (NG)'!AV36*Model!AW413/10^3)</f>
        <v>3.3600181229050463</v>
      </c>
      <c r="AX634" s="105">
        <f>IF(Model!AX419+Model!AX420-Model!AX415-Model!AX418-AX581+AX529&gt;0,'Assumptions (NG)'!AW35*(Model!AX419+Model!AX420-Model!AX415-Model!AX418-AX581+AX529)-'Assumptions (NG)'!AW36*Model!AX413/10^3,-'Assumptions (NG)'!AW36*Model!AX413/10^3)</f>
        <v>2.4595777375359638</v>
      </c>
      <c r="AY634" s="105">
        <f>IF(Model!AY419+Model!AY420-Model!AY415-Model!AY418-AY581+AY529&gt;0,'Assumptions (NG)'!AX35*(Model!AY419+Model!AY420-Model!AY415-Model!AY418-AY581+AY529)-'Assumptions (NG)'!AX36*Model!AY413/10^3,-'Assumptions (NG)'!AX36*Model!AY413/10^3)</f>
        <v>1.526577629382142</v>
      </c>
      <c r="AZ634" s="105">
        <f>IF(Model!AZ419+Model!AZ420-Model!AZ415-Model!AZ418-AZ581+AZ529&gt;0,'Assumptions (NG)'!AY35*(Model!AZ419+Model!AZ420-Model!AZ415-Model!AZ418-AZ581+AZ529)-'Assumptions (NG)'!AY36*Model!AZ413/10^3,-'Assumptions (NG)'!AY36*Model!AZ413/10^3)</f>
        <v>0.44303200512968094</v>
      </c>
      <c r="BA634" s="105">
        <f>IF(Model!BA419+Model!BA420-Model!BA415-Model!BA418-BA581+BA529&gt;0,'Assumptions (NG)'!AZ35*(Model!BA419+Model!BA420-Model!BA415-Model!BA418-BA581+BA529)-'Assumptions (NG)'!AZ36*Model!BA413/10^3,-'Assumptions (NG)'!AZ36*Model!BA413/10^3)</f>
        <v>-1.3034528306633571E-6</v>
      </c>
    </row>
    <row r="635" spans="1:77" ht="15.75" customHeight="1">
      <c r="A635" s="379" t="s">
        <v>66</v>
      </c>
      <c r="B635" s="99" t="s">
        <v>816</v>
      </c>
      <c r="C635" s="99"/>
      <c r="D635" s="99"/>
      <c r="E635" s="99"/>
      <c r="F635" s="99"/>
      <c r="G635" s="99"/>
      <c r="H635" s="99"/>
      <c r="I635" s="99"/>
      <c r="J635" s="99"/>
      <c r="K635" s="99"/>
      <c r="L635" s="99"/>
      <c r="M635" s="99"/>
      <c r="N635" s="99"/>
      <c r="O635" s="99"/>
      <c r="P635" s="99"/>
      <c r="Q635" s="99"/>
      <c r="R635" s="99"/>
      <c r="S635" s="99"/>
      <c r="T635" s="99"/>
      <c r="U635" s="99"/>
      <c r="V635" s="99"/>
      <c r="W635" s="90">
        <f>W413*'Assumptions (NG)'!V34</f>
        <v>287.84202462798157</v>
      </c>
      <c r="X635" s="90">
        <f>X413*'Assumptions (NG)'!W34</f>
        <v>278.24729589091669</v>
      </c>
      <c r="Y635" s="90">
        <f>Y413*'Assumptions (NG)'!X34</f>
        <v>268.65256715385181</v>
      </c>
      <c r="Z635" s="90">
        <f>Z413*'Assumptions (NG)'!Y34</f>
        <v>259.05783841678686</v>
      </c>
      <c r="AA635" s="90">
        <f>AA413*'Assumptions (NG)'!Z34</f>
        <v>249.46310967972198</v>
      </c>
      <c r="AB635" s="90">
        <f>AB413*'Assumptions (NG)'!AA34</f>
        <v>239.8683809426571</v>
      </c>
      <c r="AC635" s="90">
        <f>AC413*'Assumptions (NG)'!AB34</f>
        <v>230.27365220559221</v>
      </c>
      <c r="AD635" s="90">
        <f>AD413*'Assumptions (NG)'!AC34</f>
        <v>220.6789234685273</v>
      </c>
      <c r="AE635" s="90">
        <f>AE413*'Assumptions (NG)'!AD34</f>
        <v>211.08419473146242</v>
      </c>
      <c r="AF635" s="90">
        <f>AF413*'Assumptions (NG)'!AE34</f>
        <v>201.48946599439753</v>
      </c>
      <c r="AG635" s="90">
        <f>AG413*'Assumptions (NG)'!AF34</f>
        <v>191.89473725733262</v>
      </c>
      <c r="AH635" s="90">
        <f>AH413*'Assumptions (NG)'!AG34</f>
        <v>182.30000852026774</v>
      </c>
      <c r="AI635" s="90">
        <f>AI413*'Assumptions (NG)'!AH34</f>
        <v>172.70527978320285</v>
      </c>
      <c r="AJ635" s="90">
        <f>AJ413*'Assumptions (NG)'!AI34</f>
        <v>163.11055104613794</v>
      </c>
      <c r="AK635" s="90">
        <f>AK413*'Assumptions (NG)'!AJ34</f>
        <v>153.51582230907306</v>
      </c>
      <c r="AL635" s="90">
        <f>AL413*'Assumptions (NG)'!AK34</f>
        <v>143.92109357200817</v>
      </c>
      <c r="AM635" s="90">
        <f>AM413*'Assumptions (NG)'!AL34</f>
        <v>134.32636483494326</v>
      </c>
      <c r="AN635" s="90">
        <f>AN413*'Assumptions (NG)'!AM34</f>
        <v>124.73163609787838</v>
      </c>
      <c r="AO635" s="90">
        <f>AO413*'Assumptions (NG)'!AN34</f>
        <v>115.13690736081348</v>
      </c>
      <c r="AP635" s="90">
        <f>AP413*'Assumptions (NG)'!AO34</f>
        <v>105.54217862374858</v>
      </c>
      <c r="AQ635" s="90">
        <f>AQ413*'Assumptions (NG)'!AP34</f>
        <v>95.9474498866837</v>
      </c>
      <c r="AR635" s="90">
        <f>AR413*'Assumptions (NG)'!AQ34</f>
        <v>86.352721149618802</v>
      </c>
      <c r="AS635" s="90">
        <f>AS413*'Assumptions (NG)'!AR34</f>
        <v>76.757992412553904</v>
      </c>
      <c r="AT635" s="90">
        <f>AT413*'Assumptions (NG)'!AS34</f>
        <v>67.16326367548902</v>
      </c>
      <c r="AU635" s="90">
        <f>AU413*'Assumptions (NG)'!AT34</f>
        <v>57.568534938424122</v>
      </c>
      <c r="AV635" s="90">
        <f>AV413*'Assumptions (NG)'!AU34</f>
        <v>47.973806201359224</v>
      </c>
      <c r="AW635" s="90">
        <f>AW413*'Assumptions (NG)'!AV34</f>
        <v>38.379077464294333</v>
      </c>
      <c r="AX635" s="90">
        <f>AX413*'Assumptions (NG)'!AW34</f>
        <v>28.784348727229439</v>
      </c>
      <c r="AY635" s="90">
        <f>AY413*'Assumptions (NG)'!AX34</f>
        <v>19.189619990164548</v>
      </c>
      <c r="AZ635" s="90">
        <f>AZ413*'Assumptions (NG)'!AY34</f>
        <v>9.5948912530996537</v>
      </c>
      <c r="BA635" s="90">
        <f>BA413*'Assumptions (NG)'!AZ34</f>
        <v>1.6251603478259334E-4</v>
      </c>
    </row>
    <row r="636" spans="1:77" ht="15.75" customHeight="1">
      <c r="A636" s="388" t="s">
        <v>847</v>
      </c>
      <c r="B636" s="42"/>
      <c r="C636" s="42"/>
      <c r="D636" s="42"/>
      <c r="E636" s="42"/>
      <c r="F636" s="42"/>
      <c r="G636" s="42"/>
      <c r="H636" s="42"/>
      <c r="I636" s="42"/>
      <c r="J636" s="42"/>
      <c r="K636" s="42"/>
      <c r="L636" s="42"/>
      <c r="M636" s="42"/>
      <c r="N636" s="42"/>
      <c r="O636" s="42"/>
      <c r="P636" s="42"/>
      <c r="Q636" s="42"/>
      <c r="R636" s="42"/>
      <c r="S636" s="42"/>
      <c r="T636" s="42"/>
      <c r="U636" s="42"/>
      <c r="V636" s="42"/>
      <c r="W636" s="86"/>
    </row>
    <row r="637" spans="1:77" ht="15.75" customHeight="1">
      <c r="A637" s="364" t="s">
        <v>848</v>
      </c>
      <c r="B637" s="43" t="s">
        <v>184</v>
      </c>
      <c r="C637" s="389">
        <f>SUM('Assumptions (NG Heating)'!B2:B3)+'Assumptions (NG Heating)'!B20*'Assumptions (NG Heating)'!B5</f>
        <v>12.882847999999999</v>
      </c>
      <c r="D637" s="389">
        <f>SUM('Assumptions (NG Heating)'!C2:C3)+'Assumptions (NG Heating)'!C20*'Assumptions (NG Heating)'!C5</f>
        <v>11.867052000000001</v>
      </c>
      <c r="E637" s="389">
        <f>SUM('Assumptions (NG Heating)'!D2:D3)+'Assumptions (NG Heating)'!D20*'Assumptions (NG Heating)'!D5</f>
        <v>12.238388</v>
      </c>
      <c r="F637" s="389">
        <f>SUM('Assumptions (NG Heating)'!E2:E3)+'Assumptions (NG Heating)'!E20*'Assumptions (NG Heating)'!E5</f>
        <v>12.171044</v>
      </c>
      <c r="G637" s="389">
        <f>SUM('Assumptions (NG Heating)'!F2:F3)+'Assumptions (NG Heating)'!F20*'Assumptions (NG Heating)'!F5</f>
        <v>12.003169</v>
      </c>
      <c r="H637" s="389">
        <f>SUM('Assumptions (NG Heating)'!G2:G3)+'Assumptions (NG Heating)'!G20*'Assumptions (NG Heating)'!G5</f>
        <v>11.670095</v>
      </c>
      <c r="I637" s="389">
        <f>SUM('Assumptions (NG Heating)'!H2:H3)+'Assumptions (NG Heating)'!H20*'Assumptions (NG Heating)'!H5</f>
        <v>10.995296</v>
      </c>
      <c r="J637" s="389">
        <f>SUM('Assumptions (NG Heating)'!I2:I3)+'Assumptions (NG Heating)'!I20*'Assumptions (NG Heating)'!I5</f>
        <v>11.669962</v>
      </c>
      <c r="K637" s="389">
        <f>SUM('Assumptions (NG Heating)'!J2:J3)+'Assumptions (NG Heating)'!J20*'Assumptions (NG Heating)'!J5</f>
        <v>11.979206</v>
      </c>
      <c r="L637" s="389">
        <f>SUM('Assumptions (NG Heating)'!K2:K3)+'Assumptions (NG Heating)'!K20*'Assumptions (NG Heating)'!K5</f>
        <v>11.410799000000001</v>
      </c>
      <c r="M637" s="389">
        <f>SUM('Assumptions (NG Heating)'!L2:L3)+'Assumptions (NG Heating)'!L20*'Assumptions (NG Heating)'!L5</f>
        <v>11.625904999999999</v>
      </c>
      <c r="N637" s="389">
        <f>SUM('Assumptions (NG Heating)'!M2:M3)+'Assumptions (NG Heating)'!M20*'Assumptions (NG Heating)'!M5</f>
        <v>11.636996</v>
      </c>
      <c r="O637" s="389">
        <f>SUM('Assumptions (NG Heating)'!N2:N3)+'Assumptions (NG Heating)'!N20*'Assumptions (NG Heating)'!N5</f>
        <v>10.877745000000001</v>
      </c>
      <c r="P637" s="389">
        <f>SUM('Assumptions (NG Heating)'!O2:O3)+'Assumptions (NG Heating)'!O20*'Assumptions (NG Heating)'!O5</f>
        <v>12.198573</v>
      </c>
      <c r="Q637" s="389">
        <f>SUM('Assumptions (NG Heating)'!P2:P3)+'Assumptions (NG Heating)'!P20*'Assumptions (NG Heating)'!P5</f>
        <v>12.690778999999999</v>
      </c>
      <c r="R637" s="389">
        <f>SUM('Assumptions (NG Heating)'!Q2:Q3)+'Assumptions (NG Heating)'!Q20*'Assumptions (NG Heating)'!Q5</f>
        <v>11.871622</v>
      </c>
      <c r="S637" s="389">
        <f>SUM('Assumptions (NG Heating)'!R2:R3)+'Assumptions (NG Heating)'!R20*'Assumptions (NG Heating)'!R5</f>
        <v>11.614972</v>
      </c>
      <c r="T637" s="389">
        <f>SUM('Assumptions (NG Heating)'!S2:S3)+'Assumptions (NG Heating)'!S20*'Assumptions (NG Heating)'!S5</f>
        <v>11.686859999999999</v>
      </c>
      <c r="U637" s="389">
        <f>SUM('Assumptions (NG Heating)'!T2:T3)+'Assumptions (NG Heating)'!T20*'Assumptions (NG Heating)'!T5</f>
        <v>12.593182000000001</v>
      </c>
      <c r="V637" s="389">
        <f>SUM('Assumptions (NG Heating)'!U2:U3)+'Assumptions (NG Heating)'!U20*'Assumptions (NG Heating)'!U5</f>
        <v>12.187280000000001</v>
      </c>
      <c r="W637" s="389">
        <f>SUM('Assumptions (NG Heating)'!V2:V3)+'Assumptions (NG Heating)'!V20*'Assumptions (NG Heating)'!V5</f>
        <v>12.109127000000001</v>
      </c>
      <c r="X637" s="389">
        <f>SUM('Assumptions (NG Heating)'!W2:W3)+'Assumptions (NG Heating)'!W20*'Assumptions (NG Heating)'!W5</f>
        <v>12.190545499999999</v>
      </c>
      <c r="Y637" s="389">
        <f>SUM('Assumptions (NG Heating)'!X2:X3)+'Assumptions (NG Heating)'!X20*'Assumptions (NG Heating)'!X5</f>
        <v>12.2597085</v>
      </c>
      <c r="Z637" s="389">
        <f>SUM('Assumptions (NG Heating)'!Y2:Y3)+'Assumptions (NG Heating)'!Y20*'Assumptions (NG Heating)'!Y5</f>
        <v>12.302116</v>
      </c>
      <c r="AA637" s="389">
        <f>SUM('Assumptions (NG Heating)'!Z2:Z3)+'Assumptions (NG Heating)'!Z20*'Assumptions (NG Heating)'!Z5</f>
        <v>12.330429500000001</v>
      </c>
      <c r="AB637" s="389">
        <f>SUM('Assumptions (NG Heating)'!AA2:AA3)+'Assumptions (NG Heating)'!AA20*'Assumptions (NG Heating)'!AA5</f>
        <v>12.3266095</v>
      </c>
      <c r="AC637" s="389">
        <f>SUM('Assumptions (NG Heating)'!AB2:AB3)+'Assumptions (NG Heating)'!AB20*'Assumptions (NG Heating)'!AB5</f>
        <v>12.3558965</v>
      </c>
      <c r="AD637" s="389">
        <f>SUM('Assumptions (NG Heating)'!AC2:AC3)+'Assumptions (NG Heating)'!AC20*'Assumptions (NG Heating)'!AC5</f>
        <v>12.380485</v>
      </c>
      <c r="AE637" s="389">
        <f>SUM('Assumptions (NG Heating)'!AD2:AD3)+'Assumptions (NG Heating)'!AD20*'Assumptions (NG Heating)'!AD5</f>
        <v>12.436441500000001</v>
      </c>
      <c r="AF637" s="389">
        <f>SUM('Assumptions (NG Heating)'!AE2:AE3)+'Assumptions (NG Heating)'!AE20*'Assumptions (NG Heating)'!AE5</f>
        <v>12.443743000000001</v>
      </c>
      <c r="AG637" s="389">
        <f>SUM('Assumptions (NG Heating)'!AF2:AF3)+'Assumptions (NG Heating)'!AF20*'Assumptions (NG Heating)'!AF5</f>
        <v>12.467099000000001</v>
      </c>
      <c r="AH637" s="389">
        <f>SUM('Assumptions (NG Heating)'!AG2:AG3)+'Assumptions (NG Heating)'!AG20*'Assumptions (NG Heating)'!AG5</f>
        <v>12.495150000000001</v>
      </c>
      <c r="AI637" s="389">
        <f>SUM('Assumptions (NG Heating)'!AH2:AH3)+'Assumptions (NG Heating)'!AH20*'Assumptions (NG Heating)'!AH5</f>
        <v>12.518876500000001</v>
      </c>
      <c r="AJ637" s="389">
        <f>SUM('Assumptions (NG Heating)'!AI2:AI3)+'Assumptions (NG Heating)'!AI20*'Assumptions (NG Heating)'!AI5</f>
        <v>12.534018</v>
      </c>
      <c r="AK637" s="389">
        <f>SUM('Assumptions (NG Heating)'!AJ2:AJ3)+'Assumptions (NG Heating)'!AJ20*'Assumptions (NG Heating)'!AJ5</f>
        <v>12.561441</v>
      </c>
      <c r="AL637" s="389">
        <f>SUM('Assumptions (NG Heating)'!AK2:AK3)+'Assumptions (NG Heating)'!AK20*'Assumptions (NG Heating)'!AK5</f>
        <v>12.607051500000001</v>
      </c>
      <c r="AM637" s="389">
        <f>SUM('Assumptions (NG Heating)'!AL2:AL3)+'Assumptions (NG Heating)'!AL20*'Assumptions (NG Heating)'!AL5</f>
        <v>12.6553185</v>
      </c>
      <c r="AN637" s="389">
        <f>SUM('Assumptions (NG Heating)'!AM2:AM3)+'Assumptions (NG Heating)'!AM20*'Assumptions (NG Heating)'!AM5</f>
        <v>12.69688</v>
      </c>
      <c r="AO637" s="389">
        <f>SUM('Assumptions (NG Heating)'!AN2:AN3)+'Assumptions (NG Heating)'!AN20*'Assumptions (NG Heating)'!AN5</f>
        <v>12.766260500000001</v>
      </c>
      <c r="AP637" s="389">
        <f>SUM('Assumptions (NG Heating)'!AO2:AO3)+'Assumptions (NG Heating)'!AO20*'Assumptions (NG Heating)'!AO5</f>
        <v>12.8193375</v>
      </c>
      <c r="AQ637" s="389">
        <f>SUM('Assumptions (NG Heating)'!AP2:AP3)+'Assumptions (NG Heating)'!AP20*'Assumptions (NG Heating)'!AP5</f>
        <v>12.870919499999999</v>
      </c>
      <c r="AR637" s="389">
        <f>SUM('Assumptions (NG Heating)'!AQ2:AQ3)+'Assumptions (NG Heating)'!AQ20*'Assumptions (NG Heating)'!AQ5</f>
        <v>12.931020499999999</v>
      </c>
      <c r="AS637" s="389">
        <f>SUM('Assumptions (NG Heating)'!AR2:AR3)+'Assumptions (NG Heating)'!AR20*'Assumptions (NG Heating)'!AR5</f>
        <v>12.9812435</v>
      </c>
      <c r="AT637" s="389">
        <f>SUM('Assumptions (NG Heating)'!AS2:AS3)+'Assumptions (NG Heating)'!AS20*'Assumptions (NG Heating)'!AS5</f>
        <v>13.038620999999999</v>
      </c>
      <c r="AU637" s="389">
        <f>SUM('Assumptions (NG Heating)'!AT2:AT3)+'Assumptions (NG Heating)'!AT20*'Assumptions (NG Heating)'!AT5</f>
        <v>13.089959</v>
      </c>
      <c r="AV637" s="389">
        <f>SUM('Assumptions (NG Heating)'!AU2:AU3)+'Assumptions (NG Heating)'!AU20*'Assumptions (NG Heating)'!AU5</f>
        <v>13.180462500000001</v>
      </c>
      <c r="AW637" s="389">
        <f>SUM('Assumptions (NG Heating)'!AV2:AV3)+'Assumptions (NG Heating)'!AV20*'Assumptions (NG Heating)'!AV5</f>
        <v>13.230728000000001</v>
      </c>
      <c r="AX637" s="389">
        <f>SUM('Assumptions (NG Heating)'!AW2:AW3)+'Assumptions (NG Heating)'!AW20*'Assumptions (NG Heating)'!AW5</f>
        <v>13.2991055</v>
      </c>
      <c r="AY637" s="389">
        <f>SUM('Assumptions (NG Heating)'!AX2:AX3)+'Assumptions (NG Heating)'!AX20*'Assumptions (NG Heating)'!AX5</f>
        <v>13.369053999999998</v>
      </c>
      <c r="AZ637" s="389">
        <f>SUM('Assumptions (NG Heating)'!AY2:AY3)+'Assumptions (NG Heating)'!AY20*'Assumptions (NG Heating)'!AY5</f>
        <v>13.434491999999999</v>
      </c>
      <c r="BA637" s="389">
        <f>SUM('Assumptions (NG Heating)'!AZ2:AZ3)+'Assumptions (NG Heating)'!AZ20*'Assumptions (NG Heating)'!AZ5</f>
        <v>13.4982215</v>
      </c>
    </row>
    <row r="638" spans="1:77" ht="15.75" customHeight="1">
      <c r="A638" s="364" t="s">
        <v>849</v>
      </c>
      <c r="B638" s="43" t="s">
        <v>184</v>
      </c>
      <c r="C638" s="389">
        <f>SUM('Assumptions (NG Heating)'!B2:B3)</f>
        <v>8.178647999999999</v>
      </c>
      <c r="D638" s="389">
        <f>SUM('Assumptions (NG Heating)'!C2:C3)</f>
        <v>7.7940520000000006</v>
      </c>
      <c r="E638" s="389">
        <f>SUM('Assumptions (NG Heating)'!D2:D3)</f>
        <v>8.0329879999999996</v>
      </c>
      <c r="F638" s="389">
        <f>SUM('Assumptions (NG Heating)'!E2:E3)</f>
        <v>8.2588439999999999</v>
      </c>
      <c r="G638" s="389">
        <f>SUM('Assumptions (NG Heating)'!F2:F3)</f>
        <v>7.9977689999999999</v>
      </c>
      <c r="H638" s="389">
        <f>SUM('Assumptions (NG Heating)'!G2:G3)</f>
        <v>7.8256949999999996</v>
      </c>
      <c r="I638" s="389">
        <f>SUM('Assumptions (NG Heating)'!H2:H3)</f>
        <v>7.2004959999999993</v>
      </c>
      <c r="J638" s="389">
        <f>SUM('Assumptions (NG Heating)'!I2:I3)</f>
        <v>7.7352619999999996</v>
      </c>
      <c r="K638" s="389">
        <f>SUM('Assumptions (NG Heating)'!J2:J3)</f>
        <v>8.0448059999999995</v>
      </c>
      <c r="L638" s="389">
        <f>SUM('Assumptions (NG Heating)'!K2:K3)</f>
        <v>7.8974989999999998</v>
      </c>
      <c r="M638" s="389">
        <f>SUM('Assumptions (NG Heating)'!L2:L3)</f>
        <v>7.8850049999999996</v>
      </c>
      <c r="N638" s="389">
        <f>SUM('Assumptions (NG Heating)'!M2:M3)</f>
        <v>7.8690960000000008</v>
      </c>
      <c r="O638" s="389">
        <f>SUM('Assumptions (NG Heating)'!N2:N3)</f>
        <v>7.0444449999999996</v>
      </c>
      <c r="P638" s="389">
        <f>SUM('Assumptions (NG Heating)'!O2:O3)</f>
        <v>8.1926729999999992</v>
      </c>
      <c r="Q638" s="389">
        <f>SUM('Assumptions (NG Heating)'!P2:P3)</f>
        <v>8.5537790000000005</v>
      </c>
      <c r="R638" s="389">
        <f>SUM('Assumptions (NG Heating)'!Q2:Q3)</f>
        <v>7.814622</v>
      </c>
      <c r="S638" s="389">
        <f>SUM('Assumptions (NG Heating)'!R2:R3)</f>
        <v>7.4561719999999996</v>
      </c>
      <c r="T638" s="389">
        <f>SUM('Assumptions (NG Heating)'!S2:S3)</f>
        <v>7.5763600000000002</v>
      </c>
      <c r="U638" s="389">
        <f>SUM('Assumptions (NG Heating)'!T2:T3)</f>
        <v>8.4502640000000007</v>
      </c>
      <c r="V638" s="389">
        <f>SUM('Assumptions (NG Heating)'!U2:U3)</f>
        <v>8.0894410000000008</v>
      </c>
      <c r="W638" s="94">
        <f t="shared" ref="W638:AZ638" si="14">V638+($BA$638-$V$638)/($BA$2-$V$2)</f>
        <v>8.0976951290322585</v>
      </c>
      <c r="X638" s="94">
        <f t="shared" si="14"/>
        <v>8.1059492580645163</v>
      </c>
      <c r="Y638" s="94">
        <f t="shared" si="14"/>
        <v>8.114203387096774</v>
      </c>
      <c r="Z638" s="94">
        <f t="shared" si="14"/>
        <v>8.1224575161290318</v>
      </c>
      <c r="AA638" s="94">
        <f t="shared" si="14"/>
        <v>8.1307116451612895</v>
      </c>
      <c r="AB638" s="94">
        <f t="shared" si="14"/>
        <v>8.1389657741935473</v>
      </c>
      <c r="AC638" s="94">
        <f t="shared" si="14"/>
        <v>8.147219903225805</v>
      </c>
      <c r="AD638" s="94">
        <f t="shared" si="14"/>
        <v>8.1554740322580628</v>
      </c>
      <c r="AE638" s="94">
        <f t="shared" si="14"/>
        <v>8.1637281612903205</v>
      </c>
      <c r="AF638" s="94">
        <f t="shared" si="14"/>
        <v>8.1719822903225783</v>
      </c>
      <c r="AG638" s="94">
        <f t="shared" si="14"/>
        <v>8.180236419354836</v>
      </c>
      <c r="AH638" s="94">
        <f t="shared" si="14"/>
        <v>8.1884905483870938</v>
      </c>
      <c r="AI638" s="94">
        <f t="shared" si="14"/>
        <v>8.1967446774193515</v>
      </c>
      <c r="AJ638" s="94">
        <f t="shared" si="14"/>
        <v>8.2049988064516093</v>
      </c>
      <c r="AK638" s="94">
        <f t="shared" si="14"/>
        <v>8.213252935483867</v>
      </c>
      <c r="AL638" s="94">
        <f t="shared" si="14"/>
        <v>8.2215070645161248</v>
      </c>
      <c r="AM638" s="94">
        <f t="shared" si="14"/>
        <v>8.2297611935483825</v>
      </c>
      <c r="AN638" s="94">
        <f t="shared" si="14"/>
        <v>8.2380153225806403</v>
      </c>
      <c r="AO638" s="94">
        <f t="shared" si="14"/>
        <v>8.246269451612898</v>
      </c>
      <c r="AP638" s="94">
        <f t="shared" si="14"/>
        <v>8.2545235806451558</v>
      </c>
      <c r="AQ638" s="94">
        <f t="shared" si="14"/>
        <v>8.2627777096774135</v>
      </c>
      <c r="AR638" s="94">
        <f t="shared" si="14"/>
        <v>8.2710318387096713</v>
      </c>
      <c r="AS638" s="94">
        <f t="shared" si="14"/>
        <v>8.279285967741929</v>
      </c>
      <c r="AT638" s="94">
        <f t="shared" si="14"/>
        <v>8.2875400967741868</v>
      </c>
      <c r="AU638" s="94">
        <f t="shared" si="14"/>
        <v>8.2957942258064445</v>
      </c>
      <c r="AV638" s="94">
        <f t="shared" si="14"/>
        <v>8.3040483548387023</v>
      </c>
      <c r="AW638" s="94">
        <f t="shared" si="14"/>
        <v>8.31230248387096</v>
      </c>
      <c r="AX638" s="94">
        <f t="shared" si="14"/>
        <v>8.3205566129032178</v>
      </c>
      <c r="AY638" s="94">
        <f t="shared" si="14"/>
        <v>8.3288107419354755</v>
      </c>
      <c r="AZ638" s="94">
        <f t="shared" si="14"/>
        <v>8.3370648709677333</v>
      </c>
      <c r="BA638" s="390">
        <f>Inputs!B18</f>
        <v>8.3453189999999999</v>
      </c>
    </row>
    <row r="639" spans="1:77" ht="15.75" customHeight="1">
      <c r="A639" s="384" t="s">
        <v>850</v>
      </c>
      <c r="B639" s="99" t="s">
        <v>201</v>
      </c>
      <c r="C639" s="391">
        <f>'Assumptions (NG Heating)'!B39</f>
        <v>34.700000000000003</v>
      </c>
      <c r="D639" s="391">
        <f>'Assumptions (NG Heating)'!C39</f>
        <v>39.205040756256089</v>
      </c>
      <c r="E639" s="391">
        <f>'Assumptions (NG Heating)'!D39</f>
        <v>36.972047503878471</v>
      </c>
      <c r="F639" s="391">
        <f>'Assumptions (NG Heating)'!E39</f>
        <v>43.759828491717847</v>
      </c>
      <c r="G639" s="391">
        <f>'Assumptions (NG Heating)'!F39</f>
        <v>44.802909567055281</v>
      </c>
      <c r="H639" s="391">
        <f>'Assumptions (NG Heating)'!G39</f>
        <v>51.02</v>
      </c>
      <c r="I639" s="391">
        <f>'Assumptions (NG Heating)'!H39</f>
        <v>46.682709525558579</v>
      </c>
      <c r="J639" s="391">
        <f>'Assumptions (NG Heating)'!I39</f>
        <v>47.176774669291298</v>
      </c>
      <c r="K639" s="391">
        <f>'Assumptions (NG Heating)'!J39</f>
        <v>50.559809381099555</v>
      </c>
      <c r="L639" s="391">
        <f>'Assumptions (NG Heating)'!K39</f>
        <v>39.13364819866878</v>
      </c>
      <c r="M639" s="391">
        <f>'Assumptions (NG Heating)'!L39</f>
        <v>44.62</v>
      </c>
      <c r="N639" s="391">
        <f>'Assumptions (NG Heating)'!M39</f>
        <v>39.346750491790459</v>
      </c>
      <c r="O639" s="391">
        <f>'Assumptions (NG Heating)'!N39</f>
        <v>34.063572854666567</v>
      </c>
      <c r="P639" s="391">
        <f>'Assumptions (NG Heating)'!O39</f>
        <v>38.361356094545712</v>
      </c>
      <c r="Q639" s="391">
        <f>'Assumptions (NG Heating)'!P39</f>
        <v>40.594158428415732</v>
      </c>
      <c r="R639" s="391">
        <f>'Assumptions (NG Heating)'!Q39</f>
        <v>33.11</v>
      </c>
      <c r="S639" s="391">
        <f>'Assumptions (NG Heating)'!R39</f>
        <v>33.130000000000003</v>
      </c>
      <c r="T639" s="391">
        <f>'Assumptions (NG Heating)'!S39</f>
        <v>36.799999999999997</v>
      </c>
      <c r="U639" s="391">
        <f>'Assumptions (NG Heating)'!T39</f>
        <v>36.167615389237568</v>
      </c>
      <c r="V639" s="391">
        <f>'Assumptions (NG Heating)'!U39</f>
        <v>35.856926385095861</v>
      </c>
      <c r="W639" s="391">
        <f>'Assumptions (NG Heating)'!V39</f>
        <v>36.507633701274671</v>
      </c>
      <c r="X639" s="391">
        <f>'Assumptions (NG Heating)'!W39</f>
        <v>36.48909432731849</v>
      </c>
      <c r="Y639" s="391">
        <f>'Assumptions (NG Heating)'!X39</f>
        <v>36.856399671166592</v>
      </c>
      <c r="Z639" s="391">
        <f>'Assumptions (NG Heating)'!Y39</f>
        <v>37.78715350514004</v>
      </c>
      <c r="AA639" s="391">
        <f>'Assumptions (NG Heating)'!Z39</f>
        <v>38.88354016710845</v>
      </c>
      <c r="AB639" s="391">
        <f>'Assumptions (NG Heating)'!AA39</f>
        <v>40.145068273234244</v>
      </c>
      <c r="AC639" s="391">
        <f>'Assumptions (NG Heating)'!AB39</f>
        <v>40.745753160278362</v>
      </c>
      <c r="AD639" s="391">
        <f>'Assumptions (NG Heating)'!AC39</f>
        <v>41.155228194350684</v>
      </c>
      <c r="AE639" s="391">
        <f>'Assumptions (NG Heating)'!AD39</f>
        <v>41.772238813313066</v>
      </c>
      <c r="AF639" s="391">
        <f>'Assumptions (NG Heating)'!AE39</f>
        <v>42.147024681726144</v>
      </c>
      <c r="AG639" s="391">
        <f>'Assumptions (NG Heating)'!AF39</f>
        <v>42.588324885429813</v>
      </c>
      <c r="AH639" s="391">
        <f>'Assumptions (NG Heating)'!AG39</f>
        <v>42.83324140849713</v>
      </c>
      <c r="AI639" s="391">
        <f>'Assumptions (NG Heating)'!AH39</f>
        <v>43.62875723737703</v>
      </c>
      <c r="AJ639" s="391">
        <f>'Assumptions (NG Heating)'!AI39</f>
        <v>44.145147291740059</v>
      </c>
      <c r="AK639" s="391">
        <f>'Assumptions (NG Heating)'!AJ39</f>
        <v>44.601912730637039</v>
      </c>
      <c r="AL639" s="391">
        <f>'Assumptions (NG Heating)'!AK39</f>
        <v>45.055595123261568</v>
      </c>
      <c r="AM639" s="391">
        <f>'Assumptions (NG Heating)'!AL39</f>
        <v>45.632934125125615</v>
      </c>
      <c r="AN639" s="391">
        <f>'Assumptions (NG Heating)'!AM39</f>
        <v>46.013133865309563</v>
      </c>
      <c r="AO639" s="391">
        <f>'Assumptions (NG Heating)'!AN39</f>
        <v>46.358870895127723</v>
      </c>
      <c r="AP639" s="391">
        <f>'Assumptions (NG Heating)'!AO39</f>
        <v>46.745132126945379</v>
      </c>
      <c r="AQ639" s="391">
        <f>'Assumptions (NG Heating)'!AP39</f>
        <v>47.259502214775836</v>
      </c>
      <c r="AR639" s="391">
        <f>'Assumptions (NG Heating)'!AQ39</f>
        <v>47.53512794408563</v>
      </c>
      <c r="AS639" s="391">
        <f>'Assumptions (NG Heating)'!AR39</f>
        <v>47.993278140307893</v>
      </c>
      <c r="AT639" s="391">
        <f>'Assumptions (NG Heating)'!AS39</f>
        <v>48.516012498537513</v>
      </c>
      <c r="AU639" s="391">
        <f>'Assumptions (NG Heating)'!AT39</f>
        <v>49.098851527014261</v>
      </c>
      <c r="AV639" s="391">
        <f>'Assumptions (NG Heating)'!AU39</f>
        <v>49.658132975440978</v>
      </c>
      <c r="AW639" s="391">
        <f>'Assumptions (NG Heating)'!AV39</f>
        <v>50.146840049038254</v>
      </c>
      <c r="AX639" s="391">
        <f>'Assumptions (NG Heating)'!AW39</f>
        <v>50.690501539196859</v>
      </c>
      <c r="AY639" s="391">
        <f>'Assumptions (NG Heating)'!AX39</f>
        <v>51.411630957294065</v>
      </c>
      <c r="AZ639" s="391">
        <f>'Assumptions (NG Heating)'!AY39</f>
        <v>52.034890863856454</v>
      </c>
      <c r="BA639" s="391">
        <f>'Assumptions (NG Heating)'!AZ39</f>
        <v>52.612937634876729</v>
      </c>
    </row>
    <row r="640" spans="1:77" ht="15.75" customHeight="1">
      <c r="A640" s="384" t="s">
        <v>851</v>
      </c>
      <c r="B640" s="99" t="s">
        <v>201</v>
      </c>
      <c r="C640" s="391">
        <f>'Assumptions (NG Heating)'!B40</f>
        <v>27.09</v>
      </c>
      <c r="D640" s="391">
        <f>'Assumptions (NG Heating)'!C40</f>
        <v>28.376148429528616</v>
      </c>
      <c r="E640" s="391">
        <f>'Assumptions (NG Heating)'!D40</f>
        <v>25.683887061413763</v>
      </c>
      <c r="F640" s="391">
        <f>'Assumptions (NG Heating)'!E40</f>
        <v>33.867736479376127</v>
      </c>
      <c r="G640" s="391">
        <f>'Assumptions (NG Heating)'!F40</f>
        <v>35.125351960279417</v>
      </c>
      <c r="H640" s="391">
        <f>'Assumptions (NG Heating)'!G40</f>
        <v>42</v>
      </c>
      <c r="I640" s="391">
        <f>'Assumptions (NG Heating)'!H40</f>
        <v>37.39177744216282</v>
      </c>
      <c r="J640" s="391">
        <f>'Assumptions (NG Heating)'!I40</f>
        <v>37.987458821131355</v>
      </c>
      <c r="K640" s="391">
        <f>'Assumptions (NG Heating)'!J40</f>
        <v>42.066294998488829</v>
      </c>
      <c r="L640" s="391">
        <f>'Assumptions (NG Heating)'!K40</f>
        <v>28.290072296267322</v>
      </c>
      <c r="M640" s="391">
        <f>'Assumptions (NG Heating)'!L40</f>
        <v>32.22</v>
      </c>
      <c r="N640" s="391">
        <f>'Assumptions (NG Heating)'!M40</f>
        <v>28.54700413903814</v>
      </c>
      <c r="O640" s="391">
        <f>'Assumptions (NG Heating)'!N40</f>
        <v>22.177215498534157</v>
      </c>
      <c r="P640" s="391">
        <f>'Assumptions (NG Heating)'!O40</f>
        <v>27.358939972147311</v>
      </c>
      <c r="Q640" s="391">
        <f>'Assumptions (NG Heating)'!P40</f>
        <v>30.050971154827479</v>
      </c>
      <c r="R640" s="391">
        <f>'Assumptions (NG Heating)'!Q40</f>
        <v>21.83</v>
      </c>
      <c r="S640" s="391">
        <f>'Assumptions (NG Heating)'!R40</f>
        <v>20.84</v>
      </c>
      <c r="T640" s="391">
        <f>'Assumptions (NG Heating)'!S40</f>
        <v>23.32</v>
      </c>
      <c r="U640" s="391">
        <f>'Assumptions (NG Heating)'!T40</f>
        <v>24.593436994116217</v>
      </c>
      <c r="V640" s="391">
        <f>'Assumptions (NG Heating)'!U40</f>
        <v>24.218847414654583</v>
      </c>
      <c r="W640" s="391">
        <f>'Assumptions (NG Heating)'!V40</f>
        <v>25.003388150473008</v>
      </c>
      <c r="X640" s="391">
        <f>'Assumptions (NG Heating)'!W40</f>
        <v>24.981035713788252</v>
      </c>
      <c r="Y640" s="391">
        <f>'Assumptions (NG Heating)'!X40</f>
        <v>25.423886128356887</v>
      </c>
      <c r="Z640" s="391">
        <f>'Assumptions (NG Heating)'!Y40</f>
        <v>26.54607160194189</v>
      </c>
      <c r="AA640" s="391">
        <f>'Assumptions (NG Heating)'!Z40</f>
        <v>27.867956229847074</v>
      </c>
      <c r="AB640" s="391">
        <f>'Assumptions (NG Heating)'!AA40</f>
        <v>29.388947563473916</v>
      </c>
      <c r="AC640" s="391">
        <f>'Assumptions (NG Heating)'!AB40</f>
        <v>30.113177569129945</v>
      </c>
      <c r="AD640" s="391">
        <f>'Assumptions (NG Heating)'!AC40</f>
        <v>30.606870872621393</v>
      </c>
      <c r="AE640" s="391">
        <f>'Assumptions (NG Heating)'!AD40</f>
        <v>31.350784384845543</v>
      </c>
      <c r="AF640" s="391">
        <f>'Assumptions (NG Heating)'!AE40</f>
        <v>31.802653871584717</v>
      </c>
      <c r="AG640" s="391">
        <f>'Assumptions (NG Heating)'!AF40</f>
        <v>32.33471794697212</v>
      </c>
      <c r="AH640" s="391">
        <f>'Assumptions (NG Heating)'!AG40</f>
        <v>32.630007371946903</v>
      </c>
      <c r="AI640" s="391">
        <f>'Assumptions (NG Heating)'!AH40</f>
        <v>33.58913993158933</v>
      </c>
      <c r="AJ640" s="391">
        <f>'Assumptions (NG Heating)'!AI40</f>
        <v>34.211737869473836</v>
      </c>
      <c r="AK640" s="391">
        <f>'Assumptions (NG Heating)'!AJ40</f>
        <v>34.762447973108493</v>
      </c>
      <c r="AL640" s="391">
        <f>'Assumptions (NG Heating)'!AK40</f>
        <v>35.309440928755087</v>
      </c>
      <c r="AM640" s="391">
        <f>'Assumptions (NG Heating)'!AL40</f>
        <v>36.005523413272016</v>
      </c>
      <c r="AN640" s="391">
        <f>'Assumptions (NG Heating)'!AM40</f>
        <v>36.463920263139187</v>
      </c>
      <c r="AO640" s="391">
        <f>'Assumptions (NG Heating)'!AN40</f>
        <v>36.880766327458957</v>
      </c>
      <c r="AP640" s="391">
        <f>'Assumptions (NG Heating)'!AO40</f>
        <v>37.346471358728479</v>
      </c>
      <c r="AQ640" s="391">
        <f>'Assumptions (NG Heating)'!AP40</f>
        <v>37.966633875970871</v>
      </c>
      <c r="AR640" s="391">
        <f>'Assumptions (NG Heating)'!AQ40</f>
        <v>38.298948585067791</v>
      </c>
      <c r="AS640" s="391">
        <f>'Assumptions (NG Heating)'!AR40</f>
        <v>38.851328254271934</v>
      </c>
      <c r="AT640" s="391">
        <f>'Assumptions (NG Heating)'!AS40</f>
        <v>39.481575352846647</v>
      </c>
      <c r="AU640" s="391">
        <f>'Assumptions (NG Heating)'!AT40</f>
        <v>40.184289075123587</v>
      </c>
      <c r="AV640" s="391">
        <f>'Assumptions (NG Heating)'!AU40</f>
        <v>40.858600041311817</v>
      </c>
      <c r="AW640" s="391">
        <f>'Assumptions (NG Heating)'!AV40</f>
        <v>41.44782133571988</v>
      </c>
      <c r="AX640" s="391">
        <f>'Assumptions (NG Heating)'!AW40</f>
        <v>42.10329972810969</v>
      </c>
      <c r="AY640" s="391">
        <f>'Assumptions (NG Heating)'!AX40</f>
        <v>42.972746544255259</v>
      </c>
      <c r="AZ640" s="391">
        <f>'Assumptions (NG Heating)'!AY40</f>
        <v>43.724194658550331</v>
      </c>
      <c r="BA640" s="391">
        <f>'Assumptions (NG Heating)'!AZ40</f>
        <v>44.421130481766269</v>
      </c>
    </row>
    <row r="641" spans="1:53" ht="15.75" customHeight="1">
      <c r="A641" s="384" t="s">
        <v>290</v>
      </c>
      <c r="B641" s="99" t="s">
        <v>201</v>
      </c>
      <c r="C641" s="391">
        <f>'Assumptions (NG Heating)'!B44</f>
        <v>5.44</v>
      </c>
      <c r="D641" s="391">
        <f>'Assumptions (NG Heating)'!C44</f>
        <v>4.55</v>
      </c>
      <c r="E641" s="391">
        <f>'Assumptions (NG Heating)'!D44</f>
        <v>4.8899999999999997</v>
      </c>
      <c r="F641" s="391">
        <f>'Assumptions (NG Heating)'!E44</f>
        <v>3.93</v>
      </c>
      <c r="G641" s="391">
        <f>'Assumptions (NG Heating)'!F44</f>
        <v>5.55</v>
      </c>
      <c r="H641" s="391">
        <f>'Assumptions (NG Heating)'!G44</f>
        <v>5.0199999999999996</v>
      </c>
      <c r="I641" s="391">
        <f>'Assumptions (NG Heating)'!H44</f>
        <v>5.16</v>
      </c>
      <c r="J641" s="391">
        <f>'Assumptions (NG Heating)'!I44</f>
        <v>4.8499999999999996</v>
      </c>
      <c r="K641" s="391">
        <f>'Assumptions (NG Heating)'!J44</f>
        <v>5.43</v>
      </c>
      <c r="L641" s="391">
        <f>'Assumptions (NG Heating)'!K44</f>
        <v>4.95</v>
      </c>
      <c r="M641" s="391">
        <f>'Assumptions (NG Heating)'!L44</f>
        <v>5.67</v>
      </c>
      <c r="N641" s="391">
        <f>'Assumptions (NG Heating)'!M44</f>
        <v>6.99</v>
      </c>
      <c r="O641" s="391">
        <f>'Assumptions (NG Heating)'!N44</f>
        <v>7.36</v>
      </c>
      <c r="P641" s="391">
        <f>'Assumptions (NG Heating)'!O44</f>
        <v>8</v>
      </c>
      <c r="Q641" s="391">
        <f>'Assumptions (NG Heating)'!P44</f>
        <v>9.67</v>
      </c>
      <c r="R641" s="391">
        <f>'Assumptions (NG Heating)'!Q44</f>
        <v>11.61</v>
      </c>
      <c r="S641" s="391">
        <f>'Assumptions (NG Heating)'!R44</f>
        <v>13.43</v>
      </c>
      <c r="T641" s="391">
        <f>'Assumptions (NG Heating)'!S44</f>
        <v>14.88</v>
      </c>
      <c r="U641" s="391">
        <f>'Assumptions (NG Heating)'!T44</f>
        <v>13.876557365808907</v>
      </c>
      <c r="V641" s="391">
        <f>'Assumptions (NG Heating)'!U44</f>
        <v>14.5110666816717</v>
      </c>
      <c r="W641" s="391">
        <f>'Assumptions (NG Heating)'!V44</f>
        <v>15.046960617135724</v>
      </c>
      <c r="X641" s="391">
        <f>'Assumptions (NG Heating)'!W44</f>
        <v>15.667403270443138</v>
      </c>
      <c r="Y641" s="391">
        <f>'Assumptions (NG Heating)'!X44</f>
        <v>16.252130669252068</v>
      </c>
      <c r="Z641" s="391">
        <f>'Assumptions (NG Heating)'!Y44</f>
        <v>16.77532627137748</v>
      </c>
      <c r="AA641" s="391">
        <f>'Assumptions (NG Heating)'!Z44</f>
        <v>17.277603965551457</v>
      </c>
      <c r="AB641" s="391">
        <f>'Assumptions (NG Heating)'!AA44</f>
        <v>17.753091072202544</v>
      </c>
      <c r="AC641" s="391">
        <f>'Assumptions (NG Heating)'!AB44</f>
        <v>18.326308844255244</v>
      </c>
      <c r="AD641" s="391">
        <f>'Assumptions (NG Heating)'!AC44</f>
        <v>18.935736467948054</v>
      </c>
      <c r="AE641" s="391">
        <f>'Assumptions (NG Heating)'!AD44</f>
        <v>19.51819606367156</v>
      </c>
      <c r="AF641" s="391">
        <f>'Assumptions (NG Heating)'!AE44</f>
        <v>20.147538186826061</v>
      </c>
      <c r="AG641" s="391">
        <f>'Assumptions (NG Heating)'!AF44</f>
        <v>20.772869828698013</v>
      </c>
      <c r="AH641" s="391">
        <f>'Assumptions (NG Heating)'!AG44</f>
        <v>21.440914417356694</v>
      </c>
      <c r="AI641" s="391">
        <f>'Assumptions (NG Heating)'!AH44</f>
        <v>22.014680818569801</v>
      </c>
      <c r="AJ641" s="391">
        <f>'Assumptions (NG Heating)'!AI44</f>
        <v>22.645242836738809</v>
      </c>
      <c r="AK641" s="391">
        <f>'Assumptions (NG Heating)'!AJ44</f>
        <v>23.293874215853691</v>
      </c>
      <c r="AL641" s="391">
        <f>'Assumptions (NG Heating)'!AK44</f>
        <v>23.949762640467256</v>
      </c>
      <c r="AM641" s="391">
        <f>'Assumptions (NG Heating)'!AL44</f>
        <v>24.585154236688922</v>
      </c>
      <c r="AN641" s="391">
        <f>'Assumptions (NG Heating)'!AM44</f>
        <v>25.269909073197969</v>
      </c>
      <c r="AO641" s="391">
        <f>'Assumptions (NG Heating)'!AN44</f>
        <v>25.970076162276651</v>
      </c>
      <c r="AP641" s="391">
        <f>'Assumptions (NG Heating)'!AO44</f>
        <v>26.668422960862411</v>
      </c>
      <c r="AQ641" s="391">
        <f>'Assumptions (NG Heating)'!AP44</f>
        <v>27.342580871620019</v>
      </c>
      <c r="AR641" s="391">
        <f>'Assumptions (NG Heating)'!AQ44</f>
        <v>28.082566744033144</v>
      </c>
      <c r="AS641" s="391">
        <f>'Assumptions (NG Heating)'!AR44</f>
        <v>28.78392387551574</v>
      </c>
      <c r="AT641" s="391">
        <f>'Assumptions (NG Heating)'!AS44</f>
        <v>29.473945012542682</v>
      </c>
      <c r="AU641" s="391">
        <f>'Assumptions (NG Heating)'!AT44</f>
        <v>30.151830351800527</v>
      </c>
      <c r="AV641" s="391">
        <f>'Assumptions (NG Heating)'!AU44</f>
        <v>30.839841041357694</v>
      </c>
      <c r="AW641" s="391">
        <f>'Assumptions (NG Heating)'!AV44</f>
        <v>31.552836181854129</v>
      </c>
      <c r="AX641" s="391">
        <f>'Assumptions (NG Heating)'!AW44</f>
        <v>32.253511827711307</v>
      </c>
      <c r="AY641" s="391">
        <f>'Assumptions (NG Heating)'!AX44</f>
        <v>32.899266488361178</v>
      </c>
      <c r="AZ641" s="391">
        <f>'Assumptions (NG Heating)'!AY44</f>
        <v>33.576977129495781</v>
      </c>
      <c r="BA641" s="391">
        <f>'Assumptions (NG Heating)'!AZ44</f>
        <v>34.271691174335615</v>
      </c>
    </row>
    <row r="642" spans="1:53" ht="15.75" customHeight="1">
      <c r="A642" s="384" t="s">
        <v>852</v>
      </c>
      <c r="B642" s="99" t="s">
        <v>201</v>
      </c>
      <c r="C642" s="391">
        <f>'Assumptions (NG Heating)'!B41</f>
        <v>2.09</v>
      </c>
      <c r="D642" s="391">
        <f>'Assumptions (NG Heating)'!C41</f>
        <v>1.8246239300146319</v>
      </c>
      <c r="E642" s="391">
        <f>'Assumptions (NG Heating)'!D41</f>
        <v>1.9514584541367337</v>
      </c>
      <c r="F642" s="391">
        <f>'Assumptions (NG Heating)'!E41</f>
        <v>1.5668053895508587</v>
      </c>
      <c r="G642" s="391">
        <f>'Assumptions (NG Heating)'!F41</f>
        <v>2.1742843528546838</v>
      </c>
      <c r="H642" s="391">
        <f>'Assumptions (NG Heating)'!G41</f>
        <v>1.58</v>
      </c>
      <c r="I642" s="391">
        <f>'Assumptions (NG Heating)'!H41</f>
        <v>2.0460483799085094</v>
      </c>
      <c r="J642" s="391">
        <f>'Assumptions (NG Heating)'!I41</f>
        <v>1.9370025207109296</v>
      </c>
      <c r="K642" s="391">
        <f>'Assumptions (NG Heating)'!J41</f>
        <v>2.1358128757446853</v>
      </c>
      <c r="L642" s="391">
        <f>'Assumptions (NG Heating)'!K41</f>
        <v>1.9729221347818542</v>
      </c>
      <c r="M642" s="391">
        <f>'Assumptions (NG Heating)'!L41</f>
        <v>2.81</v>
      </c>
      <c r="N642" s="391">
        <f>'Assumptions (NG Heating)'!M41</f>
        <v>2.5802857789924656</v>
      </c>
      <c r="O642" s="391">
        <f>'Assumptions (NG Heating)'!N41</f>
        <v>2.6710654816237813</v>
      </c>
      <c r="P642" s="391">
        <f>'Assumptions (NG Heating)'!O41</f>
        <v>2.8178171133565106</v>
      </c>
      <c r="Q642" s="391">
        <f>'Assumptions (NG Heating)'!P41</f>
        <v>3.151489824658757</v>
      </c>
      <c r="R642" s="391">
        <f>'Assumptions (NG Heating)'!Q41</f>
        <v>3.26</v>
      </c>
      <c r="S642" s="391">
        <f>'Assumptions (NG Heating)'!R41</f>
        <v>3.75</v>
      </c>
      <c r="T642" s="391">
        <f>'Assumptions (NG Heating)'!S41</f>
        <v>4.0199999999999996</v>
      </c>
      <c r="U642" s="391">
        <f>'Assumptions (NG Heating)'!T41</f>
        <v>3.787153576809684</v>
      </c>
      <c r="V642" s="391">
        <f>'Assumptions (NG Heating)'!U41</f>
        <v>3.8658443768370527</v>
      </c>
      <c r="W642" s="391">
        <f>'Assumptions (NG Heating)'!V41</f>
        <v>3.9296697924719601</v>
      </c>
      <c r="X642" s="391">
        <f>'Assumptions (NG Heating)'!W41</f>
        <v>4.0007848993902408</v>
      </c>
      <c r="Y642" s="391">
        <f>'Assumptions (NG Heating)'!X41</f>
        <v>4.0652742721874757</v>
      </c>
      <c r="Z642" s="391">
        <f>'Assumptions (NG Heating)'!Y41</f>
        <v>4.1210400732478147</v>
      </c>
      <c r="AA642" s="391">
        <f>'Assumptions (NG Heating)'!Z41</f>
        <v>4.1729635260750939</v>
      </c>
      <c r="AB642" s="391">
        <f>'Assumptions (NG Heating)'!AA41</f>
        <v>4.2207449763840916</v>
      </c>
      <c r="AC642" s="391">
        <f>'Assumptions (NG Heating)'!AB41</f>
        <v>4.2766742977786549</v>
      </c>
      <c r="AD642" s="391">
        <f>'Assumptions (NG Heating)'!AC41</f>
        <v>4.3342496810262912</v>
      </c>
      <c r="AE642" s="391">
        <f>'Assumptions (NG Heating)'!AD41</f>
        <v>4.3875710050205861</v>
      </c>
      <c r="AF642" s="391">
        <f>'Assumptions (NG Heating)'!AE41</f>
        <v>4.4434245075768128</v>
      </c>
      <c r="AG642" s="391">
        <f>'Assumptions (NG Heating)'!AF41</f>
        <v>4.4972201282868998</v>
      </c>
      <c r="AH642" s="391">
        <f>'Assumptions (NG Heating)'!AG41</f>
        <v>4.5529297342272494</v>
      </c>
      <c r="AI642" s="391">
        <f>'Assumptions (NG Heating)'!AH41</f>
        <v>4.5994087917042199</v>
      </c>
      <c r="AJ642" s="391">
        <f>'Assumptions (NG Heating)'!AI41</f>
        <v>4.6491116490326796</v>
      </c>
      <c r="AK642" s="391">
        <f>'Assumptions (NG Heating)'!AJ41</f>
        <v>4.6988151335928983</v>
      </c>
      <c r="AL642" s="391">
        <f>'Assumptions (NG Heating)'!AK41</f>
        <v>4.7476868071970495</v>
      </c>
      <c r="AM642" s="391">
        <f>'Assumptions (NG Heating)'!AL41</f>
        <v>4.7937712830385086</v>
      </c>
      <c r="AN642" s="391">
        <f>'Assumptions (NG Heating)'!AM41</f>
        <v>4.8421212088007266</v>
      </c>
      <c r="AO642" s="391">
        <f>'Assumptions (NG Heating)'!AN41</f>
        <v>4.8902231267357354</v>
      </c>
      <c r="AP642" s="391">
        <f>'Assumptions (NG Heating)'!AO41</f>
        <v>4.936925160570091</v>
      </c>
      <c r="AQ642" s="391">
        <f>'Assumptions (NG Heating)'!AP41</f>
        <v>4.980863597669809</v>
      </c>
      <c r="AR642" s="391">
        <f>'Assumptions (NG Heating)'!AQ41</f>
        <v>5.0278622105084168</v>
      </c>
      <c r="AS642" s="391">
        <f>'Assumptions (NG Heating)'!AR41</f>
        <v>5.0712779772425112</v>
      </c>
      <c r="AT642" s="391">
        <f>'Assumptions (NG Heating)'!AS41</f>
        <v>5.1129717095676668</v>
      </c>
      <c r="AU642" s="391">
        <f>'Assumptions (NG Heating)'!AT41</f>
        <v>5.152992307948657</v>
      </c>
      <c r="AV642" s="391">
        <f>'Assumptions (NG Heating)'!AU41</f>
        <v>5.1927010141103187</v>
      </c>
      <c r="AW642" s="391">
        <f>'Assumptions (NG Heating)'!AV41</f>
        <v>5.232927724405581</v>
      </c>
      <c r="AX642" s="391">
        <f>'Assumptions (NG Heating)'!AW41</f>
        <v>5.2715833989045979</v>
      </c>
      <c r="AY642" s="391">
        <f>'Assumptions (NG Heating)'!AX41</f>
        <v>5.3064726377117024</v>
      </c>
      <c r="AZ642" s="391">
        <f>'Assumptions (NG Heating)'!AY41</f>
        <v>5.3423595046287762</v>
      </c>
      <c r="BA642" s="391">
        <f>'Assumptions (NG Heating)'!AZ41</f>
        <v>5.378402642441011</v>
      </c>
    </row>
    <row r="643" spans="1:53" ht="15.75" customHeight="1">
      <c r="A643" s="384" t="s">
        <v>709</v>
      </c>
      <c r="B643" s="99" t="s">
        <v>201</v>
      </c>
      <c r="C643" s="391">
        <f>'Assumptions (NG Heating)'!B43</f>
        <v>1.38</v>
      </c>
      <c r="D643" s="391">
        <f>'Assumptions (NG Heating)'!C43</f>
        <v>1.41</v>
      </c>
      <c r="E643" s="391">
        <f>'Assumptions (NG Heating)'!D43</f>
        <v>1.44</v>
      </c>
      <c r="F643" s="391">
        <f>'Assumptions (NG Heating)'!E43</f>
        <v>1.47</v>
      </c>
      <c r="G643" s="391">
        <f>'Assumptions (NG Heating)'!F43</f>
        <v>1.5</v>
      </c>
      <c r="H643" s="391">
        <f>'Assumptions (NG Heating)'!G43</f>
        <v>1.53</v>
      </c>
      <c r="I643" s="391">
        <f>'Assumptions (NG Heating)'!H43</f>
        <v>1.518</v>
      </c>
      <c r="J643" s="391">
        <f>'Assumptions (NG Heating)'!I43</f>
        <v>1.506</v>
      </c>
      <c r="K643" s="391">
        <f>'Assumptions (NG Heating)'!J43</f>
        <v>1.494</v>
      </c>
      <c r="L643" s="391">
        <f>'Assumptions (NG Heating)'!K43</f>
        <v>1.482</v>
      </c>
      <c r="M643" s="391">
        <f>'Assumptions (NG Heating)'!L43</f>
        <v>1.47</v>
      </c>
      <c r="N643" s="391">
        <f>'Assumptions (NG Heating)'!M43</f>
        <v>1.454</v>
      </c>
      <c r="O643" s="391">
        <f>'Assumptions (NG Heating)'!N43</f>
        <v>1.4379999999999999</v>
      </c>
      <c r="P643" s="391">
        <f>'Assumptions (NG Heating)'!O43</f>
        <v>1.4219999999999999</v>
      </c>
      <c r="Q643" s="391">
        <f>'Assumptions (NG Heating)'!P43</f>
        <v>1.4059999999999999</v>
      </c>
      <c r="R643" s="391">
        <f>'Assumptions (NG Heating)'!Q43</f>
        <v>1.39</v>
      </c>
      <c r="S643" s="391">
        <f>'Assumptions (NG Heating)'!R43</f>
        <v>1.52</v>
      </c>
      <c r="T643" s="391">
        <f>'Assumptions (NG Heating)'!S43</f>
        <v>1.71</v>
      </c>
      <c r="U643" s="391">
        <f>'Assumptions (NG Heating)'!T43</f>
        <v>1.586311009053055</v>
      </c>
      <c r="V643" s="391">
        <f>'Assumptions (NG Heating)'!U43</f>
        <v>1.6282887674578836</v>
      </c>
      <c r="W643" s="391">
        <f>'Assumptions (NG Heating)'!V43</f>
        <v>1.6672986385188355</v>
      </c>
      <c r="X643" s="391">
        <f>'Assumptions (NG Heating)'!W43</f>
        <v>1.7165310380653762</v>
      </c>
      <c r="Y643" s="391">
        <f>'Assumptions (NG Heating)'!X43</f>
        <v>1.7669250423717195</v>
      </c>
      <c r="Z643" s="391">
        <f>'Assumptions (NG Heating)'!Y43</f>
        <v>1.8153026799417347</v>
      </c>
      <c r="AA643" s="391">
        <f>'Assumptions (NG Heating)'!Z43</f>
        <v>1.8646665892075134</v>
      </c>
      <c r="AB643" s="391">
        <f>'Assumptions (NG Heating)'!AA43</f>
        <v>1.9140335819987921</v>
      </c>
      <c r="AC643" s="391">
        <f>'Assumptions (NG Heating)'!AB43</f>
        <v>1.9769558100626117</v>
      </c>
      <c r="AD643" s="391">
        <f>'Assumptions (NG Heating)'!AC43</f>
        <v>2.0479393781974107</v>
      </c>
      <c r="AE643" s="391">
        <f>'Assumptions (NG Heating)'!AD43</f>
        <v>2.1197180860421048</v>
      </c>
      <c r="AF643" s="391">
        <f>'Assumptions (NG Heating)'!AE43</f>
        <v>2.2015984624800029</v>
      </c>
      <c r="AG643" s="391">
        <f>'Assumptions (NG Heating)'!AF43</f>
        <v>2.2874056658560109</v>
      </c>
      <c r="AH643" s="391">
        <f>'Assumptions (NG Heating)'!AG43</f>
        <v>2.3839729519017738</v>
      </c>
      <c r="AI643" s="391">
        <f>'Assumptions (NG Heating)'!AH43</f>
        <v>2.470952051051257</v>
      </c>
      <c r="AJ643" s="391">
        <f>'Assumptions (NG Heating)'!AI43</f>
        <v>2.5708468002518763</v>
      </c>
      <c r="AK643" s="391">
        <f>'Assumptions (NG Heating)'!AJ43</f>
        <v>2.6783086701664263</v>
      </c>
      <c r="AL643" s="391">
        <f>'Assumptions (NG Heating)'!AK43</f>
        <v>2.7918242118155727</v>
      </c>
      <c r="AM643" s="391">
        <f>'Assumptions (NG Heating)'!AL43</f>
        <v>2.9064443944948013</v>
      </c>
      <c r="AN643" s="391">
        <f>'Assumptions (NG Heating)'!AM43</f>
        <v>3.0350949067596522</v>
      </c>
      <c r="AO643" s="391">
        <f>'Assumptions (NG Heating)'!AN43</f>
        <v>3.1721391126243046</v>
      </c>
      <c r="AP643" s="391">
        <f>'Assumptions (NG Heating)'!AO43</f>
        <v>3.3143646241645448</v>
      </c>
      <c r="AQ643" s="391">
        <f>'Assumptions (NG Heating)'!AP43</f>
        <v>3.4569101852189505</v>
      </c>
      <c r="AR643" s="391">
        <f>'Assumptions (NG Heating)'!AQ43</f>
        <v>3.6193079191362001</v>
      </c>
      <c r="AS643" s="391">
        <f>'Assumptions (NG Heating)'!AR43</f>
        <v>3.7789599483184286</v>
      </c>
      <c r="AT643" s="391">
        <f>'Assumptions (NG Heating)'!AS43</f>
        <v>3.9414751870065028</v>
      </c>
      <c r="AU643" s="391">
        <f>'Assumptions (NG Heating)'!AT43</f>
        <v>4.106389875755827</v>
      </c>
      <c r="AV643" s="391">
        <f>'Assumptions (NG Heating)'!AU43</f>
        <v>4.2790962295160035</v>
      </c>
      <c r="AW643" s="391">
        <f>'Assumptions (NG Heating)'!AV43</f>
        <v>4.4637380712045225</v>
      </c>
      <c r="AX643" s="391">
        <f>'Assumptions (NG Heating)'!AW43</f>
        <v>4.6508058517321427</v>
      </c>
      <c r="AY643" s="391">
        <f>'Assumptions (NG Heating)'!AX43</f>
        <v>4.8281405770307622</v>
      </c>
      <c r="AZ643" s="391">
        <f>'Assumptions (NG Heating)'!AY43</f>
        <v>5.019336507310852</v>
      </c>
      <c r="BA643" s="391">
        <f>'Assumptions (NG Heating)'!AZ43</f>
        <v>5.2207354631040053</v>
      </c>
    </row>
    <row r="644" spans="1:53" ht="15.75" customHeight="1">
      <c r="A644" s="384" t="s">
        <v>853</v>
      </c>
      <c r="B644" s="99" t="s">
        <v>201</v>
      </c>
      <c r="C644" s="391">
        <f>'Assumptions (NG Heating)'!B42</f>
        <v>2.92</v>
      </c>
      <c r="D644" s="391">
        <f>'Assumptions (NG Heating)'!C42</f>
        <v>3.0514974983639984</v>
      </c>
      <c r="E644" s="391">
        <f>'Assumptions (NG Heating)'!D42</f>
        <v>3.1038888046348894</v>
      </c>
      <c r="F644" s="391">
        <f>'Assumptions (NG Heating)'!E42</f>
        <v>2.9450008626156103</v>
      </c>
      <c r="G644" s="391">
        <f>'Assumptions (NG Heating)'!F42</f>
        <v>3.1959310934803153</v>
      </c>
      <c r="H644" s="391">
        <f>'Assumptions (NG Heating)'!G42</f>
        <v>3.23</v>
      </c>
      <c r="I644" s="391">
        <f>'Assumptions (NG Heating)'!H42</f>
        <v>3.1429608932917539</v>
      </c>
      <c r="J644" s="391">
        <f>'Assumptions (NG Heating)'!I42</f>
        <v>3.0979175184982077</v>
      </c>
      <c r="K644" s="391">
        <f>'Assumptions (NG Heating)'!J42</f>
        <v>3.1800397503786284</v>
      </c>
      <c r="L644" s="391">
        <f>'Assumptions (NG Heating)'!K42</f>
        <v>3.1127547681740952</v>
      </c>
      <c r="M644" s="391">
        <f>'Assumptions (NG Heating)'!L42</f>
        <v>3.36</v>
      </c>
      <c r="N644" s="391">
        <f>'Assumptions (NG Heating)'!M42</f>
        <v>3.3636373643906374</v>
      </c>
      <c r="O644" s="391">
        <f>'Assumptions (NG Heating)'!N42</f>
        <v>3.4011355711025506</v>
      </c>
      <c r="P644" s="391">
        <f>'Assumptions (NG Heating)'!O42</f>
        <v>3.4617540008012404</v>
      </c>
      <c r="Q644" s="391">
        <f>'Assumptions (NG Heating)'!P42</f>
        <v>3.5995835809812027</v>
      </c>
      <c r="R644" s="391">
        <f>'Assumptions (NG Heating)'!Q42</f>
        <v>3.74</v>
      </c>
      <c r="S644" s="391">
        <f>'Assumptions (NG Heating)'!R42</f>
        <v>3.75</v>
      </c>
      <c r="T644" s="391">
        <f>'Assumptions (NG Heating)'!S42</f>
        <v>3.98</v>
      </c>
      <c r="U644" s="391">
        <f>'Assumptions (NG Heating)'!T42</f>
        <v>3.8621560513299089</v>
      </c>
      <c r="V644" s="391">
        <f>'Assumptions (NG Heating)'!U42</f>
        <v>3.8946607170230325</v>
      </c>
      <c r="W644" s="391">
        <f>'Assumptions (NG Heating)'!V42</f>
        <v>3.9210249654131335</v>
      </c>
      <c r="X644" s="391">
        <f>'Assumptions (NG Heating)'!W42</f>
        <v>3.950400353327673</v>
      </c>
      <c r="Y644" s="391">
        <f>'Assumptions (NG Heating)'!X42</f>
        <v>3.9770388612956218</v>
      </c>
      <c r="Z644" s="391">
        <f>'Assumptions (NG Heating)'!Y42</f>
        <v>4.0000739393472511</v>
      </c>
      <c r="AA644" s="391">
        <f>'Assumptions (NG Heating)'!Z42</f>
        <v>4.0215218656003371</v>
      </c>
      <c r="AB644" s="391">
        <f>'Assumptions (NG Heating)'!AA42</f>
        <v>4.0412588624041099</v>
      </c>
      <c r="AC644" s="391">
        <f>'Assumptions (NG Heating)'!AB42</f>
        <v>4.0643614855028876</v>
      </c>
      <c r="AD644" s="391">
        <f>'Assumptions (NG Heating)'!AC42</f>
        <v>4.0881440443784731</v>
      </c>
      <c r="AE644" s="391">
        <f>'Assumptions (NG Heating)'!AD42</f>
        <v>4.1101693867329345</v>
      </c>
      <c r="AF644" s="391">
        <f>'Assumptions (NG Heating)'!AE42</f>
        <v>4.1332406914820128</v>
      </c>
      <c r="AG644" s="391">
        <f>'Assumptions (NG Heating)'!AF42</f>
        <v>4.1554619507185091</v>
      </c>
      <c r="AH644" s="391">
        <f>'Assumptions (NG Heating)'!AG42</f>
        <v>4.1784738163540966</v>
      </c>
      <c r="AI644" s="391">
        <f>'Assumptions (NG Heating)'!AH42</f>
        <v>4.1976728361187314</v>
      </c>
      <c r="AJ644" s="391">
        <f>'Assumptions (NG Heating)'!AI42</f>
        <v>4.2182035050265672</v>
      </c>
      <c r="AK644" s="391">
        <f>'Assumptions (NG Heating)'!AJ42</f>
        <v>4.2387344330238843</v>
      </c>
      <c r="AL644" s="391">
        <f>'Assumptions (NG Heating)'!AK42</f>
        <v>4.2589217663819632</v>
      </c>
      <c r="AM644" s="391">
        <f>'Assumptions (NG Heating)'!AL42</f>
        <v>4.2779577970278382</v>
      </c>
      <c r="AN644" s="391">
        <f>'Assumptions (NG Heating)'!AM42</f>
        <v>4.2979296129534816</v>
      </c>
      <c r="AO644" s="391">
        <f>'Assumptions (NG Heating)'!AN42</f>
        <v>4.3177989847368634</v>
      </c>
      <c r="AP644" s="391">
        <f>'Assumptions (NG Heating)'!AO42</f>
        <v>4.337090108940032</v>
      </c>
      <c r="AQ644" s="391">
        <f>'Assumptions (NG Heating)'!AP42</f>
        <v>4.355239679264745</v>
      </c>
      <c r="AR644" s="391">
        <f>'Assumptions (NG Heating)'!AQ42</f>
        <v>4.3746533108179655</v>
      </c>
      <c r="AS644" s="391">
        <f>'Assumptions (NG Heating)'!AR42</f>
        <v>4.3925869826450601</v>
      </c>
      <c r="AT644" s="391">
        <f>'Assumptions (NG Heating)'!AS42</f>
        <v>4.4098093368498255</v>
      </c>
      <c r="AU644" s="391">
        <f>'Assumptions (NG Heating)'!AT42</f>
        <v>4.4263405726583374</v>
      </c>
      <c r="AV644" s="391">
        <f>'Assumptions (NG Heating)'!AU42</f>
        <v>4.4427429757148866</v>
      </c>
      <c r="AW644" s="391">
        <f>'Assumptions (NG Heating)'!AV42</f>
        <v>4.4593593497970776</v>
      </c>
      <c r="AX644" s="391">
        <f>'Assumptions (NG Heating)'!AW42</f>
        <v>4.4753267789793423</v>
      </c>
      <c r="AY644" s="391">
        <f>'Assumptions (NG Heating)'!AX42</f>
        <v>4.4897384134184133</v>
      </c>
      <c r="AZ644" s="391">
        <f>'Assumptions (NG Heating)'!AY42</f>
        <v>4.5045621362870003</v>
      </c>
      <c r="BA644" s="391">
        <f>'Assumptions (NG Heating)'!AZ42</f>
        <v>4.5194504096901218</v>
      </c>
    </row>
    <row r="645" spans="1:53" ht="15.75" customHeight="1">
      <c r="A645" s="384" t="s">
        <v>62</v>
      </c>
      <c r="B645" s="99" t="s">
        <v>201</v>
      </c>
      <c r="C645" s="391">
        <f t="shared" ref="C645:BA645" si="15">C639-C640-C643-C644</f>
        <v>3.3100000000000032</v>
      </c>
      <c r="D645" s="391">
        <f t="shared" si="15"/>
        <v>6.3673948283634747</v>
      </c>
      <c r="E645" s="391">
        <f t="shared" si="15"/>
        <v>6.7442716378298186</v>
      </c>
      <c r="F645" s="391">
        <f t="shared" si="15"/>
        <v>5.4770911497261094</v>
      </c>
      <c r="G645" s="391">
        <f t="shared" si="15"/>
        <v>4.9816265132955486</v>
      </c>
      <c r="H645" s="391">
        <f t="shared" si="15"/>
        <v>4.2600000000000033</v>
      </c>
      <c r="I645" s="391">
        <f t="shared" si="15"/>
        <v>4.6299711901040057</v>
      </c>
      <c r="J645" s="391">
        <f t="shared" si="15"/>
        <v>4.5853983296617349</v>
      </c>
      <c r="K645" s="391">
        <f t="shared" si="15"/>
        <v>3.8194746322320983</v>
      </c>
      <c r="L645" s="391">
        <f t="shared" si="15"/>
        <v>6.248821134227363</v>
      </c>
      <c r="M645" s="391">
        <f t="shared" si="15"/>
        <v>7.5699999999999985</v>
      </c>
      <c r="N645" s="391">
        <f t="shared" si="15"/>
        <v>5.9821089883616807</v>
      </c>
      <c r="O645" s="391">
        <f t="shared" si="15"/>
        <v>7.0472217850298602</v>
      </c>
      <c r="P645" s="391">
        <f t="shared" si="15"/>
        <v>6.1186621215971595</v>
      </c>
      <c r="Q645" s="391">
        <f t="shared" si="15"/>
        <v>5.5376036926070489</v>
      </c>
      <c r="R645" s="391">
        <f t="shared" si="15"/>
        <v>6.15</v>
      </c>
      <c r="S645" s="391">
        <f t="shared" si="15"/>
        <v>7.0200000000000031</v>
      </c>
      <c r="T645" s="391">
        <f t="shared" si="15"/>
        <v>7.7899999999999956</v>
      </c>
      <c r="U645" s="391">
        <f t="shared" si="15"/>
        <v>6.1257113347383862</v>
      </c>
      <c r="V645" s="391">
        <f t="shared" si="15"/>
        <v>6.1151294859603613</v>
      </c>
      <c r="W645" s="391">
        <f t="shared" si="15"/>
        <v>5.9159219468696946</v>
      </c>
      <c r="X645" s="391">
        <f t="shared" si="15"/>
        <v>5.8411272221371888</v>
      </c>
      <c r="Y645" s="391">
        <f t="shared" si="15"/>
        <v>5.688549639142364</v>
      </c>
      <c r="Z645" s="391">
        <f t="shared" si="15"/>
        <v>5.4257052839091653</v>
      </c>
      <c r="AA645" s="391">
        <f t="shared" si="15"/>
        <v>5.1293954824535257</v>
      </c>
      <c r="AB645" s="391">
        <f t="shared" si="15"/>
        <v>4.8008282653574259</v>
      </c>
      <c r="AC645" s="391">
        <f t="shared" si="15"/>
        <v>4.591258295582918</v>
      </c>
      <c r="AD645" s="391">
        <f t="shared" si="15"/>
        <v>4.4122738991534076</v>
      </c>
      <c r="AE645" s="391">
        <f t="shared" si="15"/>
        <v>4.1915669556924833</v>
      </c>
      <c r="AF645" s="391">
        <f t="shared" si="15"/>
        <v>4.0095316561794112</v>
      </c>
      <c r="AG645" s="391">
        <f t="shared" si="15"/>
        <v>3.8107393218831733</v>
      </c>
      <c r="AH645" s="391">
        <f t="shared" si="15"/>
        <v>3.6407872682943578</v>
      </c>
      <c r="AI645" s="391">
        <f t="shared" si="15"/>
        <v>3.3709924186177123</v>
      </c>
      <c r="AJ645" s="391">
        <f t="shared" si="15"/>
        <v>3.1443591169877791</v>
      </c>
      <c r="AK645" s="391">
        <f t="shared" si="15"/>
        <v>2.9224216543382351</v>
      </c>
      <c r="AL645" s="391">
        <f t="shared" si="15"/>
        <v>2.6954082163089446</v>
      </c>
      <c r="AM645" s="391">
        <f t="shared" si="15"/>
        <v>2.4430085203309595</v>
      </c>
      <c r="AN645" s="391">
        <f t="shared" si="15"/>
        <v>2.2161890824572419</v>
      </c>
      <c r="AO645" s="391">
        <f t="shared" si="15"/>
        <v>1.9881664703075979</v>
      </c>
      <c r="AP645" s="391">
        <f t="shared" si="15"/>
        <v>1.7472060351123222</v>
      </c>
      <c r="AQ645" s="391">
        <f t="shared" si="15"/>
        <v>1.4807184743212698</v>
      </c>
      <c r="AR645" s="391">
        <f t="shared" si="15"/>
        <v>1.2422181290636738</v>
      </c>
      <c r="AS645" s="391">
        <f t="shared" si="15"/>
        <v>0.97040295507247087</v>
      </c>
      <c r="AT645" s="391">
        <f t="shared" si="15"/>
        <v>0.6831526218345374</v>
      </c>
      <c r="AU645" s="391">
        <f t="shared" si="15"/>
        <v>0.38183200347650992</v>
      </c>
      <c r="AV645" s="391">
        <f t="shared" si="15"/>
        <v>7.7693728898270642E-2</v>
      </c>
      <c r="AW645" s="391">
        <f t="shared" si="15"/>
        <v>-0.22407870768322624</v>
      </c>
      <c r="AX645" s="391">
        <f t="shared" si="15"/>
        <v>-0.53893081962431566</v>
      </c>
      <c r="AY645" s="391">
        <f t="shared" si="15"/>
        <v>-0.8789945774103689</v>
      </c>
      <c r="AZ645" s="391">
        <f t="shared" si="15"/>
        <v>-1.2132024382917299</v>
      </c>
      <c r="BA645" s="391">
        <f t="shared" si="15"/>
        <v>-1.5483787196836669</v>
      </c>
    </row>
    <row r="646" spans="1:53" ht="15.75" customHeight="1">
      <c r="A646" s="379" t="s">
        <v>64</v>
      </c>
      <c r="B646" s="99" t="s">
        <v>201</v>
      </c>
      <c r="C646" s="86"/>
      <c r="D646" s="42"/>
      <c r="E646" s="42"/>
      <c r="F646" s="42"/>
      <c r="G646" s="42"/>
      <c r="H646" s="42"/>
      <c r="I646" s="42"/>
      <c r="J646" s="42"/>
      <c r="K646" s="42"/>
      <c r="L646" s="42"/>
      <c r="M646" s="42"/>
      <c r="N646" s="42"/>
      <c r="O646" s="42"/>
      <c r="P646" s="42"/>
      <c r="Q646" s="42"/>
      <c r="R646" s="42"/>
      <c r="S646" s="42"/>
      <c r="T646" s="42"/>
      <c r="U646" s="42"/>
      <c r="V646" s="42"/>
      <c r="W646" s="86"/>
    </row>
    <row r="647" spans="1:53" ht="15.75" customHeight="1">
      <c r="A647" s="379" t="s">
        <v>66</v>
      </c>
      <c r="B647" s="99" t="s">
        <v>816</v>
      </c>
      <c r="C647" s="86"/>
      <c r="D647" s="42"/>
      <c r="E647" s="42"/>
      <c r="F647" s="42"/>
      <c r="G647" s="42"/>
      <c r="H647" s="42"/>
      <c r="I647" s="42"/>
      <c r="J647" s="42"/>
      <c r="K647" s="42"/>
      <c r="L647" s="42"/>
      <c r="M647" s="42"/>
      <c r="N647" s="42"/>
      <c r="O647" s="42"/>
      <c r="P647" s="42"/>
      <c r="Q647" s="42"/>
      <c r="R647" s="42"/>
      <c r="S647" s="42"/>
      <c r="T647" s="42"/>
      <c r="U647" s="42"/>
      <c r="V647" s="42"/>
      <c r="W647" s="86"/>
    </row>
    <row r="648" spans="1:53" ht="15.75" customHeight="1">
      <c r="A648" s="392" t="s">
        <v>854</v>
      </c>
      <c r="B648" s="42"/>
      <c r="C648" s="42"/>
      <c r="D648" s="42"/>
      <c r="E648" s="42"/>
      <c r="F648" s="42"/>
      <c r="G648" s="42"/>
      <c r="H648" s="42"/>
      <c r="I648" s="42"/>
      <c r="J648" s="42"/>
      <c r="K648" s="42"/>
      <c r="L648" s="42"/>
      <c r="M648" s="42"/>
      <c r="N648" s="42"/>
      <c r="O648" s="42"/>
      <c r="P648" s="42"/>
      <c r="Q648" s="42"/>
      <c r="R648" s="42"/>
      <c r="S648" s="42"/>
      <c r="T648" s="42"/>
      <c r="U648" s="42"/>
      <c r="V648" s="42"/>
      <c r="W648" s="86"/>
    </row>
    <row r="649" spans="1:53" ht="15.75" customHeight="1">
      <c r="A649" s="393"/>
      <c r="B649" s="42"/>
      <c r="C649" s="42"/>
      <c r="D649" s="42"/>
      <c r="E649" s="42"/>
      <c r="F649" s="42"/>
      <c r="G649" s="42"/>
      <c r="H649" s="42"/>
      <c r="I649" s="42"/>
      <c r="J649" s="42"/>
      <c r="K649" s="42"/>
      <c r="L649" s="42"/>
      <c r="M649" s="42"/>
      <c r="N649" s="42"/>
      <c r="O649" s="42"/>
      <c r="P649" s="42"/>
      <c r="Q649" s="42"/>
      <c r="R649" s="42"/>
      <c r="S649" s="42"/>
      <c r="T649" s="42"/>
      <c r="U649" s="42"/>
      <c r="V649" s="42"/>
      <c r="W649" s="86"/>
    </row>
    <row r="650" spans="1:53" ht="15.75" customHeight="1">
      <c r="A650" s="392" t="s">
        <v>855</v>
      </c>
      <c r="B650" s="42"/>
      <c r="C650" s="42"/>
      <c r="D650" s="42"/>
      <c r="E650" s="42"/>
      <c r="F650" s="42"/>
      <c r="G650" s="42"/>
      <c r="H650" s="42"/>
      <c r="I650" s="42"/>
      <c r="J650" s="42"/>
      <c r="K650" s="42"/>
      <c r="L650" s="42"/>
      <c r="M650" s="42"/>
      <c r="N650" s="42"/>
      <c r="O650" s="42"/>
      <c r="P650" s="42"/>
      <c r="Q650" s="42"/>
      <c r="R650" s="42"/>
      <c r="S650" s="42"/>
      <c r="T650" s="42"/>
      <c r="U650" s="42"/>
      <c r="V650" s="42"/>
      <c r="W650" s="86"/>
    </row>
    <row r="651" spans="1:53" ht="15.75" customHeight="1">
      <c r="A651" s="393"/>
      <c r="B651" s="42"/>
      <c r="C651" s="42"/>
      <c r="D651" s="42"/>
      <c r="E651" s="42"/>
      <c r="F651" s="42"/>
      <c r="G651" s="42"/>
      <c r="H651" s="42"/>
      <c r="I651" s="42"/>
      <c r="J651" s="42"/>
      <c r="K651" s="42"/>
      <c r="L651" s="42"/>
      <c r="M651" s="42"/>
      <c r="N651" s="42"/>
      <c r="O651" s="42"/>
      <c r="P651" s="42"/>
      <c r="Q651" s="42"/>
      <c r="R651" s="42"/>
      <c r="S651" s="42"/>
      <c r="T651" s="42"/>
      <c r="U651" s="42"/>
      <c r="V651" s="42"/>
      <c r="W651" s="86"/>
    </row>
    <row r="652" spans="1:53" ht="15.75" customHeight="1">
      <c r="A652" s="394" t="s">
        <v>856</v>
      </c>
      <c r="B652" s="42"/>
      <c r="C652" s="42"/>
      <c r="D652" s="42"/>
      <c r="E652" s="42"/>
      <c r="F652" s="42"/>
      <c r="G652" s="42"/>
      <c r="H652" s="42"/>
      <c r="I652" s="42"/>
      <c r="J652" s="42"/>
      <c r="K652" s="42"/>
      <c r="L652" s="42"/>
      <c r="M652" s="42"/>
      <c r="N652" s="42"/>
      <c r="O652" s="42"/>
      <c r="P652" s="42"/>
      <c r="Q652" s="42"/>
      <c r="R652" s="42"/>
      <c r="S652" s="42"/>
      <c r="T652" s="42"/>
      <c r="U652" s="42"/>
      <c r="V652" s="42"/>
      <c r="W652" s="86"/>
      <c r="X652" s="94">
        <f t="shared" ref="X652:BA652" si="16">X654/(X653*0.00876)</f>
        <v>0.22253988391968699</v>
      </c>
      <c r="Y652" s="94">
        <f t="shared" si="16"/>
        <v>0.16804366015113806</v>
      </c>
      <c r="Z652" s="94">
        <f t="shared" si="16"/>
        <v>0.13481597969475678</v>
      </c>
      <c r="AA652" s="94">
        <f t="shared" si="16"/>
        <v>0.11243889013810525</v>
      </c>
      <c r="AB652" s="94">
        <f t="shared" si="16"/>
        <v>9.6343455191819818E-2</v>
      </c>
      <c r="AC652" s="94">
        <f t="shared" si="16"/>
        <v>8.4210176078379786E-2</v>
      </c>
      <c r="AD652" s="94">
        <f t="shared" si="16"/>
        <v>7.4736366906735546E-2</v>
      </c>
      <c r="AE652" s="94">
        <f t="shared" si="16"/>
        <v>6.7134004245394535E-2</v>
      </c>
      <c r="AF652" s="94">
        <f t="shared" si="16"/>
        <v>6.0898409512649652E-2</v>
      </c>
      <c r="AG652" s="94">
        <f t="shared" si="16"/>
        <v>5.5691401735492654E-2</v>
      </c>
      <c r="AH652" s="94">
        <f t="shared" si="16"/>
        <v>5.1277867881187614E-2</v>
      </c>
      <c r="AI652" s="94">
        <f t="shared" si="16"/>
        <v>4.7489277557394079E-2</v>
      </c>
      <c r="AJ652" s="94">
        <f t="shared" si="16"/>
        <v>4.4201671617286754E-2</v>
      </c>
      <c r="AK652" s="94">
        <f t="shared" si="16"/>
        <v>4.1321841262187062E-2</v>
      </c>
      <c r="AL652" s="94">
        <f t="shared" si="16"/>
        <v>3.8778349619886736E-2</v>
      </c>
      <c r="AM652" s="94">
        <f t="shared" si="16"/>
        <v>3.6515525558281962E-2</v>
      </c>
      <c r="AN652" s="94">
        <f t="shared" si="16"/>
        <v>3.4489341833706715E-2</v>
      </c>
      <c r="AO652" s="94">
        <f t="shared" si="16"/>
        <v>3.2664522139668653E-2</v>
      </c>
      <c r="AP652" s="94">
        <f t="shared" si="16"/>
        <v>3.1012469838377316E-2</v>
      </c>
      <c r="AQ652" s="94">
        <f t="shared" si="16"/>
        <v>2.9509758402745431E-2</v>
      </c>
      <c r="AR652" s="94">
        <f t="shared" si="16"/>
        <v>2.8137013534529971E-2</v>
      </c>
      <c r="AS652" s="94">
        <f t="shared" si="16"/>
        <v>2.6878073309692774E-2</v>
      </c>
      <c r="AT652" s="94">
        <f t="shared" si="16"/>
        <v>2.571934888937984E-2</v>
      </c>
      <c r="AU652" s="94">
        <f t="shared" si="16"/>
        <v>2.4649332055594594E-2</v>
      </c>
      <c r="AV652" s="94">
        <f t="shared" si="16"/>
        <v>2.3658211680741052E-2</v>
      </c>
      <c r="AW652" s="94">
        <f t="shared" si="16"/>
        <v>2.2737572018206535E-2</v>
      </c>
      <c r="AX652" s="94">
        <f t="shared" si="16"/>
        <v>2.1880153148560823E-2</v>
      </c>
      <c r="AY652" s="94">
        <f t="shared" si="16"/>
        <v>2.1079659138373719E-2</v>
      </c>
      <c r="AZ652" s="94">
        <f t="shared" si="16"/>
        <v>2.0330603180959039E-2</v>
      </c>
      <c r="BA652" s="94">
        <f t="shared" si="16"/>
        <v>1.9628181660622222E-2</v>
      </c>
    </row>
    <row r="653" spans="1:53" ht="15.75" customHeight="1">
      <c r="A653" s="395" t="s">
        <v>25</v>
      </c>
      <c r="B653" s="99" t="s">
        <v>152</v>
      </c>
      <c r="C653" s="20">
        <v>2365</v>
      </c>
      <c r="D653" s="20">
        <v>3853</v>
      </c>
      <c r="E653" s="20">
        <v>4405</v>
      </c>
      <c r="F653" s="20">
        <v>5983</v>
      </c>
      <c r="G653" s="20">
        <v>6442</v>
      </c>
      <c r="H653" s="20">
        <v>8685</v>
      </c>
      <c r="I653" s="20">
        <v>11283</v>
      </c>
      <c r="J653" s="20">
        <v>16449</v>
      </c>
      <c r="K653" s="20">
        <v>24589</v>
      </c>
      <c r="L653" s="20">
        <v>34230</v>
      </c>
      <c r="M653" s="20">
        <v>39068</v>
      </c>
      <c r="N653" s="20">
        <v>45576.9</v>
      </c>
      <c r="O653" s="20">
        <v>58836.500000000007</v>
      </c>
      <c r="P653" s="20">
        <v>59707.8</v>
      </c>
      <c r="Q653" s="20">
        <v>63965.899999999987</v>
      </c>
      <c r="R653" s="20">
        <v>72307.199999999997</v>
      </c>
      <c r="S653" s="20">
        <v>81020.400000000023</v>
      </c>
      <c r="T653" s="20">
        <v>91500</v>
      </c>
      <c r="U653" s="20">
        <v>100000</v>
      </c>
      <c r="V653" s="20">
        <v>107100</v>
      </c>
      <c r="W653" s="86">
        <v>122000</v>
      </c>
      <c r="X653" s="90">
        <f t="shared" ref="X653:AZ653" si="17">W653+($BA$653-$W$653)/($BA$2-$W$2)</f>
        <v>179422.99240941199</v>
      </c>
      <c r="Y653" s="90">
        <f t="shared" si="17"/>
        <v>236845.98481882398</v>
      </c>
      <c r="Z653" s="90">
        <f t="shared" si="17"/>
        <v>294268.97722823598</v>
      </c>
      <c r="AA653" s="90">
        <f t="shared" si="17"/>
        <v>351691.96963764797</v>
      </c>
      <c r="AB653" s="90">
        <f t="shared" si="17"/>
        <v>409114.96204705996</v>
      </c>
      <c r="AC653" s="90">
        <f t="shared" si="17"/>
        <v>466537.95445647195</v>
      </c>
      <c r="AD653" s="90">
        <f t="shared" si="17"/>
        <v>523960.94686588395</v>
      </c>
      <c r="AE653" s="90">
        <f t="shared" si="17"/>
        <v>581383.93927529594</v>
      </c>
      <c r="AF653" s="90">
        <f t="shared" si="17"/>
        <v>638806.93168470799</v>
      </c>
      <c r="AG653" s="90">
        <f t="shared" si="17"/>
        <v>696229.92409412004</v>
      </c>
      <c r="AH653" s="90">
        <f t="shared" si="17"/>
        <v>753652.91650353209</v>
      </c>
      <c r="AI653" s="90">
        <f t="shared" si="17"/>
        <v>811075.90891294414</v>
      </c>
      <c r="AJ653" s="90">
        <f t="shared" si="17"/>
        <v>868498.90132235619</v>
      </c>
      <c r="AK653" s="90">
        <f t="shared" si="17"/>
        <v>925921.89373176824</v>
      </c>
      <c r="AL653" s="90">
        <f t="shared" si="17"/>
        <v>983344.88614118029</v>
      </c>
      <c r="AM653" s="90">
        <f t="shared" si="17"/>
        <v>1040767.8785505923</v>
      </c>
      <c r="AN653" s="90">
        <f t="shared" si="17"/>
        <v>1098190.8709600044</v>
      </c>
      <c r="AO653" s="90">
        <f t="shared" si="17"/>
        <v>1155613.8633694164</v>
      </c>
      <c r="AP653" s="90">
        <f t="shared" si="17"/>
        <v>1213036.8557788285</v>
      </c>
      <c r="AQ653" s="90">
        <f t="shared" si="17"/>
        <v>1270459.8481882405</v>
      </c>
      <c r="AR653" s="90">
        <f t="shared" si="17"/>
        <v>1327882.8405976526</v>
      </c>
      <c r="AS653" s="90">
        <f t="shared" si="17"/>
        <v>1385305.8330070646</v>
      </c>
      <c r="AT653" s="90">
        <f t="shared" si="17"/>
        <v>1442728.8254164767</v>
      </c>
      <c r="AU653" s="90">
        <f t="shared" si="17"/>
        <v>1500151.8178258887</v>
      </c>
      <c r="AV653" s="90">
        <f t="shared" si="17"/>
        <v>1557574.8102353008</v>
      </c>
      <c r="AW653" s="90">
        <f t="shared" si="17"/>
        <v>1614997.8026447129</v>
      </c>
      <c r="AX653" s="90">
        <f t="shared" si="17"/>
        <v>1672420.7950541249</v>
      </c>
      <c r="AY653" s="90">
        <f t="shared" si="17"/>
        <v>1729843.787463537</v>
      </c>
      <c r="AZ653" s="90">
        <f t="shared" si="17"/>
        <v>1787266.779872949</v>
      </c>
      <c r="BA653" s="103">
        <f>Inputs!H9</f>
        <v>1844689.7722823599</v>
      </c>
    </row>
    <row r="654" spans="1:53" ht="15.75" customHeight="1">
      <c r="A654" s="395" t="s">
        <v>28</v>
      </c>
      <c r="B654" s="99" t="s">
        <v>153</v>
      </c>
      <c r="C654" s="20">
        <v>5.5762579999999993</v>
      </c>
      <c r="D654" s="20">
        <v>6.7342599999999999</v>
      </c>
      <c r="E654" s="20">
        <v>10.352665</v>
      </c>
      <c r="F654" s="20">
        <v>11.185894000000001</v>
      </c>
      <c r="G654" s="20">
        <v>14.136246</v>
      </c>
      <c r="H654" s="20">
        <v>17.803328</v>
      </c>
      <c r="I654" s="20">
        <v>26.508674999999993</v>
      </c>
      <c r="J654" s="20">
        <v>34.210731000000003</v>
      </c>
      <c r="K654" s="20">
        <v>55.123010000000008</v>
      </c>
      <c r="L654" s="20">
        <v>73.627680000000012</v>
      </c>
      <c r="M654" s="20">
        <v>94.378521000000006</v>
      </c>
      <c r="N654" s="20">
        <v>119.82334062999998</v>
      </c>
      <c r="O654" s="20">
        <v>140.40608799999998</v>
      </c>
      <c r="P654" s="20">
        <v>167.19114643999995</v>
      </c>
      <c r="Q654" s="20">
        <v>180.92470780000005</v>
      </c>
      <c r="R654" s="20">
        <v>189.94608199999996</v>
      </c>
      <c r="S654" s="20">
        <v>230.84788499999999</v>
      </c>
      <c r="T654" s="20">
        <v>249.86064099999999</v>
      </c>
      <c r="U654" s="20">
        <v>261.242096</v>
      </c>
      <c r="V654" s="20">
        <v>289.65145899999999</v>
      </c>
      <c r="W654" s="86">
        <f>'Assumptions (Wind)'!V18*Model!W653*0.00876</f>
        <v>350.90000000000003</v>
      </c>
      <c r="X654" s="101">
        <f t="shared" ref="X654:AZ654" si="18">W654+($BA$654-$W$654)/($BA$2-$W$2)</f>
        <v>349.77604187302558</v>
      </c>
      <c r="Y654" s="101">
        <f t="shared" si="18"/>
        <v>348.65208374605112</v>
      </c>
      <c r="Z654" s="101">
        <f t="shared" si="18"/>
        <v>347.52812561907666</v>
      </c>
      <c r="AA654" s="101">
        <f t="shared" si="18"/>
        <v>346.4041674921022</v>
      </c>
      <c r="AB654" s="101">
        <f t="shared" si="18"/>
        <v>345.28020936512775</v>
      </c>
      <c r="AC654" s="101">
        <f t="shared" si="18"/>
        <v>344.15625123815329</v>
      </c>
      <c r="AD654" s="101">
        <f t="shared" si="18"/>
        <v>343.03229311117883</v>
      </c>
      <c r="AE654" s="101">
        <f t="shared" si="18"/>
        <v>341.90833498420437</v>
      </c>
      <c r="AF654" s="101">
        <f t="shared" si="18"/>
        <v>340.78437685722992</v>
      </c>
      <c r="AG654" s="101">
        <f t="shared" si="18"/>
        <v>339.66041873025546</v>
      </c>
      <c r="AH654" s="101">
        <f t="shared" si="18"/>
        <v>338.536460603281</v>
      </c>
      <c r="AI654" s="101">
        <f t="shared" si="18"/>
        <v>337.41250247630654</v>
      </c>
      <c r="AJ654" s="101">
        <f t="shared" si="18"/>
        <v>336.28854434933208</v>
      </c>
      <c r="AK654" s="101">
        <f t="shared" si="18"/>
        <v>335.16458622235763</v>
      </c>
      <c r="AL654" s="101">
        <f t="shared" si="18"/>
        <v>334.04062809538317</v>
      </c>
      <c r="AM654" s="101">
        <f t="shared" si="18"/>
        <v>332.91666996840871</v>
      </c>
      <c r="AN654" s="101">
        <f t="shared" si="18"/>
        <v>331.79271184143425</v>
      </c>
      <c r="AO654" s="101">
        <f t="shared" si="18"/>
        <v>330.6687537144598</v>
      </c>
      <c r="AP654" s="101">
        <f t="shared" si="18"/>
        <v>329.54479558748534</v>
      </c>
      <c r="AQ654" s="101">
        <f t="shared" si="18"/>
        <v>328.42083746051088</v>
      </c>
      <c r="AR654" s="101">
        <f t="shared" si="18"/>
        <v>327.29687933353642</v>
      </c>
      <c r="AS654" s="101">
        <f t="shared" si="18"/>
        <v>326.17292120656197</v>
      </c>
      <c r="AT654" s="101">
        <f t="shared" si="18"/>
        <v>325.04896307958751</v>
      </c>
      <c r="AU654" s="101">
        <f t="shared" si="18"/>
        <v>323.92500495261305</v>
      </c>
      <c r="AV654" s="101">
        <f t="shared" si="18"/>
        <v>322.80104682563859</v>
      </c>
      <c r="AW654" s="101">
        <f t="shared" si="18"/>
        <v>321.67708869866414</v>
      </c>
      <c r="AX654" s="101">
        <f t="shared" si="18"/>
        <v>320.55313057168968</v>
      </c>
      <c r="AY654" s="101">
        <f t="shared" si="18"/>
        <v>319.42917244471522</v>
      </c>
      <c r="AZ654" s="101">
        <f t="shared" si="18"/>
        <v>318.30521431774076</v>
      </c>
      <c r="BA654" s="104">
        <f>Inputs!$I$9</f>
        <v>317.18125619076602</v>
      </c>
    </row>
    <row r="655" spans="1:53" ht="15.75" customHeight="1">
      <c r="A655" s="395" t="s">
        <v>857</v>
      </c>
      <c r="B655" s="99" t="s">
        <v>201</v>
      </c>
      <c r="C655" s="387">
        <f>C653*'Assumptions (Wind)'!B21/10^9</f>
        <v>7.9737233962483139E-2</v>
      </c>
      <c r="D655" s="387">
        <f>D653*'Assumptions (Wind)'!C21/10^9</f>
        <v>0.13217930012704138</v>
      </c>
      <c r="E655" s="387">
        <f>E653*'Assumptions (Wind)'!D21/10^9</f>
        <v>0.1537604954212719</v>
      </c>
      <c r="F655" s="387">
        <f>F653*'Assumptions (Wind)'!E21/10^9</f>
        <v>0.21249674287793768</v>
      </c>
      <c r="G655" s="387">
        <f>G653*'Assumptions (Wind)'!F21/10^9</f>
        <v>0.23280291457931118</v>
      </c>
      <c r="H655" s="387">
        <f>H653*'Assumptions (Wind)'!G21/10^9</f>
        <v>0.31935368613799142</v>
      </c>
      <c r="I655" s="387">
        <f>I653*'Assumptions (Wind)'!H21/10^9</f>
        <v>0.42214448179702013</v>
      </c>
      <c r="J655" s="387">
        <f>J653*'Assumptions (Wind)'!I21/10^9</f>
        <v>0.626196227621029</v>
      </c>
      <c r="K655" s="387">
        <f>K653*'Assumptions (Wind)'!J21/10^9</f>
        <v>0.95245887131074969</v>
      </c>
      <c r="L655" s="387">
        <f>L653*'Assumptions (Wind)'!K21/10^9</f>
        <v>1.349107887281056</v>
      </c>
      <c r="M655" s="387">
        <f>M653*'Assumptions (Wind)'!L21/10^9</f>
        <v>1.5667343999927399</v>
      </c>
      <c r="N655" s="387">
        <f>N653*'Assumptions (Wind)'!M21/10^9</f>
        <v>1.8597450029139477</v>
      </c>
      <c r="O655" s="387">
        <f>O653*'Assumptions (Wind)'!N21/10^9</f>
        <v>2.4428109938162881</v>
      </c>
      <c r="P655" s="387">
        <f>P653*'Assumptions (Wind)'!O21/10^9</f>
        <v>2.5223684360231218</v>
      </c>
      <c r="Q655" s="387">
        <f>Q653*'Assumptions (Wind)'!P21/10^9</f>
        <v>2.7495421798624817</v>
      </c>
      <c r="R655" s="387">
        <f>R653*'Assumptions (Wind)'!Q21/10^9</f>
        <v>3.1624803370723797</v>
      </c>
      <c r="S655" s="387">
        <f>S653*'Assumptions (Wind)'!R21/10^9</f>
        <v>3.6055796211859894</v>
      </c>
      <c r="T655" s="387">
        <f>T653*'Assumptions (Wind)'!S21/10^9</f>
        <v>4.1432030662270503</v>
      </c>
      <c r="U655" s="387">
        <f>U653*'Assumptions (Wind)'!T21/10^9</f>
        <v>4.6073323714601342</v>
      </c>
      <c r="V655" s="387">
        <f>V653*'Assumptions (Wind)'!U21/10^9</f>
        <v>5.0208058968058964</v>
      </c>
      <c r="W655" s="387">
        <f>W653*'Assumptions (Wind)'!V21/10^9</f>
        <v>5.8193999999999999</v>
      </c>
      <c r="X655" s="387">
        <f>X653*'Assumptions (Wind)'!W21/10^9</f>
        <v>8.7082500808427081</v>
      </c>
      <c r="Y655" s="387">
        <f>Y653*'Assumptions (Wind)'!X21/10^9</f>
        <v>11.696427723264913</v>
      </c>
      <c r="Z655" s="387">
        <f>Z653*'Assumptions (Wind)'!Y21/10^9</f>
        <v>14.786524681584636</v>
      </c>
      <c r="AA655" s="387">
        <f>AA653*'Assumptions (Wind)'!Z21/10^9</f>
        <v>17.981193002455299</v>
      </c>
      <c r="AB655" s="387">
        <f>AB653*'Assumptions (Wind)'!AA21/10^9</f>
        <v>21.283146341372703</v>
      </c>
      <c r="AC655" s="387">
        <f>AC653*'Assumptions (Wind)'!AB21/10^9</f>
        <v>24.695161306795217</v>
      </c>
      <c r="AD655" s="387">
        <f>AD653*'Assumptions (Wind)'!AC21/10^9</f>
        <v>28.220078832440471</v>
      </c>
      <c r="AE655" s="387">
        <f>AE653*'Assumptions (Wind)'!AD21/10^9</f>
        <v>31.8608055783331</v>
      </c>
      <c r="AF655" s="387">
        <f>AF653*'Assumptions (Wind)'!AE21/10^9</f>
        <v>35.620315361189547</v>
      </c>
      <c r="AG655" s="387">
        <f>AG653*'Assumptions (Wind)'!AF21/10^9</f>
        <v>39.501650614737592</v>
      </c>
      <c r="AH655" s="387">
        <f>AH653*'Assumptions (Wind)'!AG21/10^9</f>
        <v>43.507923880580471</v>
      </c>
      <c r="AI655" s="387">
        <f>AI653*'Assumptions (Wind)'!AH21/10^9</f>
        <v>47.642319330227082</v>
      </c>
      <c r="AJ655" s="387">
        <f>AJ653*'Assumptions (Wind)'!AI21/10^9</f>
        <v>51.908094318922892</v>
      </c>
      <c r="AK655" s="387">
        <f>AK653*'Assumptions (Wind)'!AJ21/10^9</f>
        <v>56.30858097192818</v>
      </c>
      <c r="AL655" s="387">
        <f>AL653*'Assumptions (Wind)'!AK21/10^9</f>
        <v>60.847187803903481</v>
      </c>
      <c r="AM655" s="387">
        <f>AM653*'Assumptions (Wind)'!AL21/10^9</f>
        <v>65.527401372075261</v>
      </c>
      <c r="AN655" s="387">
        <f>AN653*'Assumptions (Wind)'!AM21/10^9</f>
        <v>70.352787963868124</v>
      </c>
      <c r="AO655" s="387">
        <f>AO653*'Assumptions (Wind)'!AN21/10^9</f>
        <v>75.326995319703499</v>
      </c>
      <c r="AP655" s="387">
        <f>AP653*'Assumptions (Wind)'!AO21/10^9</f>
        <v>80.453754391679226</v>
      </c>
      <c r="AQ655" s="387">
        <f>AQ653*'Assumptions (Wind)'!AP21/10^9</f>
        <v>85.736881138857441</v>
      </c>
      <c r="AR655" s="387">
        <f>AR653*'Assumptions (Wind)'!AQ21/10^9</f>
        <v>91.18027835990442</v>
      </c>
      <c r="AS655" s="387">
        <f>AS653*'Assumptions (Wind)'!AR21/10^9</f>
        <v>96.787937563839279</v>
      </c>
      <c r="AT655" s="387">
        <f>AT653*'Assumptions (Wind)'!AS21/10^9</f>
        <v>102.56394087966414</v>
      </c>
      <c r="AU655" s="387">
        <f>AU653*'Assumptions (Wind)'!AT21/10^9</f>
        <v>108.51246300566393</v>
      </c>
      <c r="AV655" s="387">
        <f>AV653*'Assumptions (Wind)'!AU21/10^9</f>
        <v>114.63777319917934</v>
      </c>
      <c r="AW655" s="387">
        <f>AW653*'Assumptions (Wind)'!AV21/10^9</f>
        <v>120.94423730767228</v>
      </c>
      <c r="AX655" s="387">
        <f>AX653*'Assumptions (Wind)'!AW21/10^9</f>
        <v>127.43631984192025</v>
      </c>
      <c r="AY655" s="387">
        <f>AY653*'Assumptions (Wind)'!AX21/10^9</f>
        <v>134.11858609219144</v>
      </c>
      <c r="AZ655" s="387">
        <f>AZ653*'Assumptions (Wind)'!AY21/10^9</f>
        <v>140.99570428827047</v>
      </c>
      <c r="BA655" s="387">
        <f>BA653*'Assumptions (Wind)'!AZ21/10^9</f>
        <v>148.0724478042215</v>
      </c>
    </row>
    <row r="656" spans="1:53" ht="15.75" customHeight="1">
      <c r="A656" s="395" t="s">
        <v>36</v>
      </c>
      <c r="B656" s="99" t="s">
        <v>201</v>
      </c>
      <c r="C656" s="387">
        <f>C654*'Assumptions (Wind)'!B32/10^3</f>
        <v>0.37325575124279992</v>
      </c>
      <c r="D656" s="387">
        <f>D654*'Assumptions (Wind)'!C32/10^3</f>
        <v>0.46171904810200004</v>
      </c>
      <c r="E656" s="387">
        <f>E654*'Assumptions (Wind)'!D32/10^3</f>
        <v>0.64173685695400007</v>
      </c>
      <c r="F656" s="387">
        <f>F654*'Assumptions (Wind)'!E32/10^3</f>
        <v>0.84285599431060021</v>
      </c>
      <c r="G656" s="387">
        <f>G654*'Assumptions (Wind)'!F32/10^3</f>
        <v>1.1191340824541998</v>
      </c>
      <c r="H656" s="387">
        <f>H654*'Assumptions (Wind)'!G32/10^3</f>
        <v>1.7065006184512002</v>
      </c>
      <c r="I656" s="387">
        <f>I654*'Assumptions (Wind)'!H32/10^3</f>
        <v>2.2860471620474994</v>
      </c>
      <c r="J656" s="387">
        <f>J654*'Assumptions (Wind)'!I32/10^3</f>
        <v>2.9986287303927006</v>
      </c>
      <c r="K656" s="387">
        <f>K654*'Assumptions (Wind)'!J32/10^3</f>
        <v>5.5915789129820004</v>
      </c>
      <c r="L656" s="387">
        <f>L654*'Assumptions (Wind)'!K32/10^3</f>
        <v>5.2146877987679998</v>
      </c>
      <c r="M656" s="387">
        <f>M654*'Assumptions (Wind)'!L32/10^3</f>
        <v>6.9112352764569005</v>
      </c>
      <c r="N656" s="387">
        <f>N654*'Assumptions (Wind)'!M32/10^3</f>
        <v>8.4526140417236473</v>
      </c>
      <c r="O656" s="387">
        <f>O654*'Assumptions (Wind)'!N32/10^3</f>
        <v>8.5644624746063975</v>
      </c>
      <c r="P656" s="387">
        <f>P654*'Assumptions (Wind)'!O32/10^3</f>
        <v>11.32123144738209</v>
      </c>
      <c r="Q656" s="387">
        <f>Q654*'Assumptions (Wind)'!P32/10^3</f>
        <v>13.146586320283742</v>
      </c>
      <c r="R656" s="387">
        <f>R654*'Assumptions (Wind)'!Q32/10^3</f>
        <v>11.371426112661199</v>
      </c>
      <c r="S656" s="387">
        <f>S654*'Assumptions (Wind)'!R32/10^3</f>
        <v>14.790423991949998</v>
      </c>
      <c r="T656" s="387">
        <f>T654*'Assumptions (Wind)'!S32/10^3</f>
        <v>15.62628448814</v>
      </c>
      <c r="U656" s="387">
        <f>U654*'Assumptions (Wind)'!T32/10^3</f>
        <v>16.7717425632</v>
      </c>
      <c r="V656" s="387">
        <f>V654*'Assumptions (Wind)'!U32/10^3</f>
        <v>18.853413466310002</v>
      </c>
      <c r="W656" s="387">
        <f>W654*'Assumptions (Wind)'!V32/10^3</f>
        <v>23.823751952000002</v>
      </c>
      <c r="X656" s="387">
        <f>X654*'Assumptions (Wind)'!W32/10^3</f>
        <v>23.927559920939565</v>
      </c>
      <c r="Y656" s="387">
        <f>Y654*'Assumptions (Wind)'!X32/10^3</f>
        <v>24.070884077493972</v>
      </c>
      <c r="Z656" s="387">
        <f>Z654*'Assumptions (Wind)'!Y32/10^3</f>
        <v>24.38463413521934</v>
      </c>
      <c r="AA656" s="387">
        <f>AA654*'Assumptions (Wind)'!Z32/10^3</f>
        <v>24.76773862976826</v>
      </c>
      <c r="AB656" s="387">
        <f>AB654*'Assumptions (Wind)'!AA32/10^3</f>
        <v>25.383823587010255</v>
      </c>
      <c r="AC656" s="387">
        <f>AC654*'Assumptions (Wind)'!AB32/10^3</f>
        <v>25.709717813119532</v>
      </c>
      <c r="AD656" s="387">
        <f>AD654*'Assumptions (Wind)'!AC32/10^3</f>
        <v>26.129322048270403</v>
      </c>
      <c r="AE656" s="387">
        <f>AE654*'Assumptions (Wind)'!AD32/10^3</f>
        <v>26.501137252291485</v>
      </c>
      <c r="AF656" s="387">
        <f>AF654*'Assumptions (Wind)'!AE32/10^3</f>
        <v>26.900506579510466</v>
      </c>
      <c r="AG656" s="387">
        <f>AG654*'Assumptions (Wind)'!AF32/10^3</f>
        <v>27.306917845318392</v>
      </c>
      <c r="AH656" s="387">
        <f>AH654*'Assumptions (Wind)'!AG32/10^3</f>
        <v>27.759725711029777</v>
      </c>
      <c r="AI656" s="387">
        <f>AI654*'Assumptions (Wind)'!AH32/10^3</f>
        <v>28.102463118121992</v>
      </c>
      <c r="AJ656" s="387">
        <f>AJ654*'Assumptions (Wind)'!AI32/10^3</f>
        <v>28.433929533762711</v>
      </c>
      <c r="AK656" s="387">
        <f>AK654*'Assumptions (Wind)'!AJ32/10^3</f>
        <v>28.771386102667904</v>
      </c>
      <c r="AL656" s="387">
        <f>AL654*'Assumptions (Wind)'!AK32/10^3</f>
        <v>29.155901121735283</v>
      </c>
      <c r="AM656" s="387">
        <f>AM654*'Assumptions (Wind)'!AL32/10^3</f>
        <v>29.660065477490679</v>
      </c>
      <c r="AN656" s="387">
        <f>AN654*'Assumptions (Wind)'!AM32/10^3</f>
        <v>30.141745404433394</v>
      </c>
      <c r="AO656" s="387">
        <f>AO654*'Assumptions (Wind)'!AN32/10^3</f>
        <v>30.71412420182962</v>
      </c>
      <c r="AP656" s="387">
        <f>AP654*'Assumptions (Wind)'!AO32/10^3</f>
        <v>31.293699016009931</v>
      </c>
      <c r="AQ656" s="387">
        <f>AQ654*'Assumptions (Wind)'!AP32/10^3</f>
        <v>31.823338729290455</v>
      </c>
      <c r="AR656" s="387">
        <f>AR654*'Assumptions (Wind)'!AQ32/10^3</f>
        <v>32.334614416247717</v>
      </c>
      <c r="AS656" s="387">
        <f>AS654*'Assumptions (Wind)'!AR32/10^3</f>
        <v>32.837432748636928</v>
      </c>
      <c r="AT656" s="387">
        <f>AT654*'Assumptions (Wind)'!AS32/10^3</f>
        <v>33.372715280078268</v>
      </c>
      <c r="AU656" s="387">
        <f>AU654*'Assumptions (Wind)'!AT32/10^3</f>
        <v>33.946738018524627</v>
      </c>
      <c r="AV656" s="387">
        <f>AV654*'Assumptions (Wind)'!AU32/10^3</f>
        <v>34.533620754589727</v>
      </c>
      <c r="AW656" s="387">
        <f>AW654*'Assumptions (Wind)'!AV32/10^3</f>
        <v>35.056169686585427</v>
      </c>
      <c r="AX656" s="387">
        <f>AX654*'Assumptions (Wind)'!AW32/10^3</f>
        <v>35.70148310723232</v>
      </c>
      <c r="AY656" s="387">
        <f>AY654*'Assumptions (Wind)'!AX32/10^3</f>
        <v>36.858711802266697</v>
      </c>
      <c r="AZ656" s="387">
        <f>AZ654*'Assumptions (Wind)'!AY32/10^3</f>
        <v>37.707390603722523</v>
      </c>
      <c r="BA656" s="387">
        <f>BA654*'Assumptions (Wind)'!AZ32/10^3</f>
        <v>38.340683111398647</v>
      </c>
    </row>
    <row r="657" spans="1:53" ht="15.75" customHeight="1">
      <c r="A657" s="395" t="s">
        <v>38</v>
      </c>
      <c r="B657" s="99" t="s">
        <v>201</v>
      </c>
      <c r="C657" s="105">
        <f>C653*'Assumptions (Wind)'!B34*'Assumptions (Wind)'!B35*365/10^9</f>
        <v>0</v>
      </c>
      <c r="D657" s="105">
        <f>D653*'Assumptions (Wind)'!C34*'Assumptions (Wind)'!C35*365/10^9</f>
        <v>0</v>
      </c>
      <c r="E657" s="105">
        <f>E653*'Assumptions (Wind)'!D34*'Assumptions (Wind)'!D35*365/10^9</f>
        <v>0</v>
      </c>
      <c r="F657" s="105">
        <f>F653*'Assumptions (Wind)'!E34*'Assumptions (Wind)'!E35*365/10^9</f>
        <v>0</v>
      </c>
      <c r="G657" s="105">
        <f>G653*'Assumptions (Wind)'!F34*'Assumptions (Wind)'!F35*365/10^9</f>
        <v>0</v>
      </c>
      <c r="H657" s="105">
        <f>H653*'Assumptions (Wind)'!G34*'Assumptions (Wind)'!G35*365/10^9</f>
        <v>0</v>
      </c>
      <c r="I657" s="105">
        <f>I653*'Assumptions (Wind)'!H34*'Assumptions (Wind)'!H35*365/10^9</f>
        <v>0</v>
      </c>
      <c r="J657" s="105">
        <f>J653*'Assumptions (Wind)'!I34*'Assumptions (Wind)'!I35*365/10^9</f>
        <v>0.48363624204396366</v>
      </c>
      <c r="K657" s="105">
        <f>K653*'Assumptions (Wind)'!J34*'Assumptions (Wind)'!J35*365/10^9</f>
        <v>0.7348240853840774</v>
      </c>
      <c r="L657" s="105">
        <f>L653*'Assumptions (Wind)'!K34*'Assumptions (Wind)'!K35*365/10^9</f>
        <v>1.1838334455755415</v>
      </c>
      <c r="M657" s="105">
        <f>M653*'Assumptions (Wind)'!L34*'Assumptions (Wind)'!L35*365/10^9</f>
        <v>0.94338843433562136</v>
      </c>
      <c r="N657" s="105">
        <f>N653*'Assumptions (Wind)'!M34*'Assumptions (Wind)'!M35*365/10^9</f>
        <v>1.1379140641186469</v>
      </c>
      <c r="O657" s="105">
        <f>O653*'Assumptions (Wind)'!N34*'Assumptions (Wind)'!N35*365/10^9</f>
        <v>1.4150722608299033</v>
      </c>
      <c r="P657" s="105">
        <f>P653*'Assumptions (Wind)'!O34*'Assumptions (Wind)'!O35*365/10^9</f>
        <v>1.2417306848287799</v>
      </c>
      <c r="Q657" s="105">
        <f>Q653*'Assumptions (Wind)'!P34*'Assumptions (Wind)'!P35*365/10^9</f>
        <v>1.476763943946459</v>
      </c>
      <c r="R657" s="105">
        <f>R653*'Assumptions (Wind)'!Q34*'Assumptions (Wind)'!Q35*365/10^9</f>
        <v>1.7913433424757401</v>
      </c>
      <c r="S657" s="105">
        <f>S653*'Assumptions (Wind)'!R34*'Assumptions (Wind)'!R35*365/10^9</f>
        <v>1.6537168409706393</v>
      </c>
      <c r="T657" s="105">
        <f>T653*'Assumptions (Wind)'!S34*'Assumptions (Wind)'!S35*365/10^9</f>
        <v>1.9987477609463817</v>
      </c>
      <c r="U657" s="105">
        <f>U653*'Assumptions (Wind)'!T34*'Assumptions (Wind)'!T35*365/10^9</f>
        <v>2.1322594561376556</v>
      </c>
      <c r="V657" s="105">
        <f>V653*'Assumptions (Wind)'!U34*'Assumptions (Wind)'!U35*365/10^9</f>
        <v>2.3442648247042559</v>
      </c>
      <c r="W657" s="105">
        <f>W653*'Assumptions (Wind)'!V34*'Assumptions (Wind)'!V35*365/10^9</f>
        <v>2.7074240000000001</v>
      </c>
      <c r="X657" s="105">
        <f>X653*'Assumptions (Wind)'!W34*'Assumptions (Wind)'!W35*365/10^9</f>
        <v>4.0119554556274029</v>
      </c>
      <c r="Y657" s="105">
        <f>Y653*'Assumptions (Wind)'!X34*'Assumptions (Wind)'!X35*365/10^9</f>
        <v>5.3448491961484743</v>
      </c>
      <c r="Z657" s="105">
        <f>Z653*'Assumptions (Wind)'!Y34*'Assumptions (Wind)'!Y35*365/10^9</f>
        <v>6.7490153974282974</v>
      </c>
      <c r="AA657" s="105">
        <f>AA653*'Assumptions (Wind)'!Z34*'Assumptions (Wind)'!Z35*365/10^9</f>
        <v>8.2193098553352897</v>
      </c>
      <c r="AB657" s="105">
        <f>AB653*'Assumptions (Wind)'!AA34*'Assumptions (Wind)'!AA35*365/10^9</f>
        <v>9.8310605394091759</v>
      </c>
      <c r="AC657" s="105">
        <f>AC653*'Assumptions (Wind)'!AB34*'Assumptions (Wind)'!AB35*365/10^9</f>
        <v>11.391955546366225</v>
      </c>
      <c r="AD657" s="105">
        <f>AD653*'Assumptions (Wind)'!AC34*'Assumptions (Wind)'!AC35*365/10^9</f>
        <v>13.045529365889447</v>
      </c>
      <c r="AE657" s="105">
        <f>AE653*'Assumptions (Wind)'!AD34*'Assumptions (Wind)'!AD35*365/10^9</f>
        <v>14.729483111244026</v>
      </c>
      <c r="AF657" s="105">
        <f>AF653*'Assumptions (Wind)'!AE34*'Assumptions (Wind)'!AE35*365/10^9</f>
        <v>16.482385041405543</v>
      </c>
      <c r="AG657" s="105">
        <f>AG653*'Assumptions (Wind)'!AF34*'Assumptions (Wind)'!AF35*365/10^9</f>
        <v>18.295744291353774</v>
      </c>
      <c r="AH657" s="105">
        <f>AH653*'Assumptions (Wind)'!AG34*'Assumptions (Wind)'!AG35*365/10^9</f>
        <v>20.19997159275108</v>
      </c>
      <c r="AI657" s="105">
        <f>AI653*'Assumptions (Wind)'!AH34*'Assumptions (Wind)'!AH35*365/10^9</f>
        <v>22.080777972154085</v>
      </c>
      <c r="AJ657" s="105">
        <f>AJ653*'Assumptions (Wind)'!AI34*'Assumptions (Wind)'!AI35*365/10^9</f>
        <v>24.002901124241287</v>
      </c>
      <c r="AK657" s="105">
        <f>AK653*'Assumptions (Wind)'!AJ34*'Assumptions (Wind)'!AJ35*365/10^9</f>
        <v>25.98044988978992</v>
      </c>
      <c r="AL657" s="105">
        <f>AL653*'Assumptions (Wind)'!AK34*'Assumptions (Wind)'!AK35*365/10^9</f>
        <v>28.054510404362734</v>
      </c>
      <c r="AM657" s="105">
        <f>AM653*'Assumptions (Wind)'!AL34*'Assumptions (Wind)'!AL35*365/10^9</f>
        <v>30.308196679606429</v>
      </c>
      <c r="AN657" s="105">
        <f>AN653*'Assumptions (Wind)'!AM34*'Assumptions (Wind)'!AM35*365/10^9</f>
        <v>32.609867756348592</v>
      </c>
      <c r="AO657" s="105">
        <f>AO653*'Assumptions (Wind)'!AN34*'Assumptions (Wind)'!AN35*365/10^9</f>
        <v>35.085476098222841</v>
      </c>
      <c r="AP657" s="105">
        <f>AP653*'Assumptions (Wind)'!AO34*'Assumptions (Wind)'!AO35*365/10^9</f>
        <v>37.651830369107245</v>
      </c>
      <c r="AQ657" s="105">
        <f>AQ653*'Assumptions (Wind)'!AP34*'Assumptions (Wind)'!AP35*365/10^9</f>
        <v>40.238856884858237</v>
      </c>
      <c r="AR657" s="105">
        <f>AR653*'Assumptions (Wind)'!AQ34*'Assumptions (Wind)'!AQ35*365/10^9</f>
        <v>42.880045161376614</v>
      </c>
      <c r="AS657" s="105">
        <f>AS653*'Assumptions (Wind)'!AR34*'Assumptions (Wind)'!AR35*365/10^9</f>
        <v>45.586537761157288</v>
      </c>
      <c r="AT657" s="105">
        <f>AT653*'Assumptions (Wind)'!AS34*'Assumptions (Wind)'!AS35*365/10^9</f>
        <v>48.416915751264789</v>
      </c>
      <c r="AU657" s="105">
        <f>AU653*'Assumptions (Wind)'!AT34*'Assumptions (Wind)'!AT35*365/10^9</f>
        <v>51.38761250082969</v>
      </c>
      <c r="AV657" s="105">
        <f>AV653*'Assumptions (Wind)'!AU34*'Assumptions (Wind)'!AU35*365/10^9</f>
        <v>54.466033537233855</v>
      </c>
      <c r="AW657" s="105">
        <f>AW653*'Assumptions (Wind)'!AV34*'Assumptions (Wind)'!AV35*365/10^9</f>
        <v>57.528880373899682</v>
      </c>
      <c r="AX657" s="105">
        <f>AX653*'Assumptions (Wind)'!AW34*'Assumptions (Wind)'!AW35*365/10^9</f>
        <v>60.883757507446056</v>
      </c>
      <c r="AY657" s="105">
        <f>AY653*'Assumptions (Wind)'!AX34*'Assumptions (Wind)'!AX35*365/10^9</f>
        <v>65.244230876911303</v>
      </c>
      <c r="AZ657" s="105">
        <f>AZ653*'Assumptions (Wind)'!AY34*'Assumptions (Wind)'!AY35*365/10^9</f>
        <v>69.205683640596334</v>
      </c>
      <c r="BA657" s="105">
        <f>BA653*'Assumptions (Wind)'!AZ34*'Assumptions (Wind)'!AZ35*365/10^9</f>
        <v>72.886202742221684</v>
      </c>
    </row>
    <row r="658" spans="1:53" ht="15.75" customHeight="1">
      <c r="A658" s="395" t="s">
        <v>46</v>
      </c>
      <c r="B658" s="99" t="s">
        <v>152</v>
      </c>
      <c r="C658" s="20">
        <v>39.400000000000013</v>
      </c>
      <c r="D658" s="20">
        <v>1504.8000000000013</v>
      </c>
      <c r="E658" s="20">
        <v>620.89999999999986</v>
      </c>
      <c r="F658" s="20">
        <v>1609.8</v>
      </c>
      <c r="G658" s="20">
        <v>377.20000000000005</v>
      </c>
      <c r="H658" s="20">
        <v>2136.7000000000003</v>
      </c>
      <c r="I658" s="20">
        <v>2577.2999999999997</v>
      </c>
      <c r="J658" s="20">
        <v>5254</v>
      </c>
      <c r="K658" s="20">
        <v>8328.3000000000029</v>
      </c>
      <c r="L658" s="20">
        <v>9826.9</v>
      </c>
      <c r="M658" s="20">
        <v>4651.8999999999996</v>
      </c>
      <c r="N658" s="20">
        <v>6706.9</v>
      </c>
      <c r="O658" s="20">
        <v>13008.400000000003</v>
      </c>
      <c r="P658" s="20">
        <v>835.8</v>
      </c>
      <c r="Q658" s="20">
        <v>4866.7999999999993</v>
      </c>
      <c r="R658" s="20">
        <v>8230.0999999999985</v>
      </c>
      <c r="S658" s="20">
        <v>8754.2000000000007</v>
      </c>
      <c r="T658" s="20">
        <v>6317.9</v>
      </c>
      <c r="U658" s="20">
        <v>6695.1999999999989</v>
      </c>
      <c r="V658" s="86">
        <v>9249.3999999999978</v>
      </c>
      <c r="W658" s="90">
        <f>IF(W653-V653+'Assumptions (Wind)'!V38&gt;0,W653-V653+'Assumptions (Wind)'!V38,0)</f>
        <v>14900</v>
      </c>
      <c r="X658" s="90">
        <f>IF(X653-W653+'Assumptions (Wind)'!W38&gt;0,X653-W653+'Assumptions (Wind)'!W38,0)</f>
        <v>57966.892409411994</v>
      </c>
      <c r="Y658" s="90">
        <f>IF(Y653-X653+'Assumptions (Wind)'!X38&gt;0,Y653-X653+'Assumptions (Wind)'!X38,0)</f>
        <v>57535.492409411992</v>
      </c>
      <c r="Z658" s="90">
        <f>IF(Z653-Y653+'Assumptions (Wind)'!Y38&gt;0,Z653-Y653+'Assumptions (Wind)'!Y38,0)</f>
        <v>57499.892409411994</v>
      </c>
      <c r="AA658" s="90">
        <f>IF(AA653-Z653+'Assumptions (Wind)'!Z38&gt;0,AA653-Z653+'Assumptions (Wind)'!Z38,0)</f>
        <v>57429.492409411992</v>
      </c>
      <c r="AB658" s="90">
        <f>IF(AB653-AA653+'Assumptions (Wind)'!AA38&gt;0,AB653-AA653+'Assumptions (Wind)'!AA38,0)</f>
        <v>57427.19240941199</v>
      </c>
      <c r="AC658" s="90">
        <f>IF(AC653-AB653+'Assumptions (Wind)'!AB38&gt;0,AC653-AB653+'Assumptions (Wind)'!AB38,0)</f>
        <v>57490.992409411992</v>
      </c>
      <c r="AD658" s="90">
        <f>IF(AD653-AC653+'Assumptions (Wind)'!AC38&gt;0,AD653-AC653+'Assumptions (Wind)'!AC38,0)</f>
        <v>57422.992409411992</v>
      </c>
      <c r="AE658" s="90">
        <f>IF(AE653-AD653+'Assumptions (Wind)'!AD38&gt;0,AE653-AD653+'Assumptions (Wind)'!AD38,0)</f>
        <v>57422.992409411992</v>
      </c>
      <c r="AF658" s="90">
        <f>IF(AF653-AE653+'Assumptions (Wind)'!AE38&gt;0,AF653-AE653+'Assumptions (Wind)'!AE38,0)</f>
        <v>57441.792409412054</v>
      </c>
      <c r="AG658" s="90">
        <f>IF(AG653-AF653+'Assumptions (Wind)'!AF38&gt;0,AG653-AF653+'Assumptions (Wind)'!AF38,0)</f>
        <v>57593.592409412049</v>
      </c>
      <c r="AH658" s="90">
        <f>IF(AH653-AG653+'Assumptions (Wind)'!AG38&gt;0,AH653-AG653+'Assumptions (Wind)'!AG38,0)</f>
        <v>58049.792409412054</v>
      </c>
      <c r="AI658" s="90">
        <f>IF(AI653-AH653+'Assumptions (Wind)'!AH38&gt;0,AI653-AH653+'Assumptions (Wind)'!AH38,0)</f>
        <v>57462.392409412052</v>
      </c>
      <c r="AJ658" s="90">
        <f>IF(AJ653-AI653+'Assumptions (Wind)'!AI38&gt;0,AJ653-AI653+'Assumptions (Wind)'!AI38,0)</f>
        <v>58927.792409412054</v>
      </c>
      <c r="AK658" s="90">
        <f>IF(AK653-AJ653+'Assumptions (Wind)'!AJ38&gt;0,AK653-AJ653+'Assumptions (Wind)'!AJ38,0)</f>
        <v>58043.892409412052</v>
      </c>
      <c r="AL658" s="90">
        <f>IF(AL653-AK653+'Assumptions (Wind)'!AK38&gt;0,AL653-AK653+'Assumptions (Wind)'!AK38,0)</f>
        <v>59032.792409412054</v>
      </c>
      <c r="AM658" s="90">
        <f>IF(AM653-AL653+'Assumptions (Wind)'!AL38&gt;0,AM653-AL653+'Assumptions (Wind)'!AL38,0)</f>
        <v>57800.192409412048</v>
      </c>
      <c r="AN658" s="90">
        <f>IF(AN653-AM653+'Assumptions (Wind)'!AM38&gt;0,AN653-AM653+'Assumptions (Wind)'!AM38,0)</f>
        <v>59559.692409412048</v>
      </c>
      <c r="AO658" s="90">
        <f>IF(AO653-AN653+'Assumptions (Wind)'!AN38&gt;0,AO653-AN653+'Assumptions (Wind)'!AN38,0)</f>
        <v>60000.292409412054</v>
      </c>
      <c r="AP658" s="90">
        <f>IF(AP653-AO653+'Assumptions (Wind)'!AO38&gt;0,AP653-AO653+'Assumptions (Wind)'!AO38,0)</f>
        <v>62676.992409412051</v>
      </c>
      <c r="AQ658" s="90">
        <f>IF(AQ653-AP653+'Assumptions (Wind)'!AP38&gt;0,AQ653-AP653+'Assumptions (Wind)'!AP38,0)</f>
        <v>65751.292409412054</v>
      </c>
      <c r="AR658" s="90">
        <f>IF(AR653-AQ653+'Assumptions (Wind)'!AQ38&gt;0,AR653-AQ653+'Assumptions (Wind)'!AQ38,0)</f>
        <v>67249.892409412045</v>
      </c>
      <c r="AS658" s="90">
        <f>IF(AS653-AR653+'Assumptions (Wind)'!AR38&gt;0,AS653-AR653+'Assumptions (Wind)'!AR38,0)</f>
        <v>62074.892409412052</v>
      </c>
      <c r="AT658" s="90">
        <f>IF(AT653-AS653+'Assumptions (Wind)'!AS38&gt;0,AT653-AS653+'Assumptions (Wind)'!AS38,0)</f>
        <v>64129.892409412052</v>
      </c>
      <c r="AU658" s="90">
        <f>IF(AU653-AT653+'Assumptions (Wind)'!AT38&gt;0,AU653-AT653+'Assumptions (Wind)'!AT38,0)</f>
        <v>70431.392409412059</v>
      </c>
      <c r="AV658" s="90">
        <f>IF(AV653-AU653+'Assumptions (Wind)'!AU38&gt;0,AV653-AU653+'Assumptions (Wind)'!AU38,0)</f>
        <v>58258.792409412054</v>
      </c>
      <c r="AW658" s="90">
        <f>IF(AW653-AV653+'Assumptions (Wind)'!AV38&gt;0,AW653-AV653+'Assumptions (Wind)'!AV38,0)</f>
        <v>62289.792409412054</v>
      </c>
      <c r="AX658" s="90">
        <f>IF(AX653-AW653+'Assumptions (Wind)'!AW38&gt;0,AX653-AW653+'Assumptions (Wind)'!AW38,0)</f>
        <v>65653.092409412056</v>
      </c>
      <c r="AY658" s="90">
        <f>IF(AY653-AX653+'Assumptions (Wind)'!AX38&gt;0,AY653-AX653+'Assumptions (Wind)'!AX38,0)</f>
        <v>66177.192409412048</v>
      </c>
      <c r="AZ658" s="90">
        <f>IF(AZ653-AY653+'Assumptions (Wind)'!AY38&gt;0,AZ653-AY653+'Assumptions (Wind)'!AY38,0)</f>
        <v>63740.892409412052</v>
      </c>
      <c r="BA658" s="90">
        <f>IF(BA653-AZ653+'Assumptions (Wind)'!AZ38&gt;0,BA653-AZ653+'Assumptions (Wind)'!AZ38,0)</f>
        <v>58618.592409410885</v>
      </c>
    </row>
    <row r="659" spans="1:53" ht="15.75" customHeight="1">
      <c r="A659" s="395" t="s">
        <v>48</v>
      </c>
      <c r="B659" s="99" t="s">
        <v>153</v>
      </c>
      <c r="C659" s="99"/>
      <c r="D659" s="99"/>
      <c r="E659" s="99"/>
      <c r="F659" s="99"/>
      <c r="G659" s="99"/>
      <c r="H659" s="99"/>
      <c r="I659" s="99"/>
      <c r="J659" s="99"/>
      <c r="K659" s="99"/>
      <c r="L659" s="99"/>
      <c r="M659" s="99"/>
      <c r="N659" s="99"/>
      <c r="O659" s="99"/>
      <c r="P659" s="99"/>
      <c r="Q659" s="99"/>
      <c r="R659" s="99"/>
      <c r="S659" s="99"/>
      <c r="T659" s="99"/>
      <c r="U659" s="99"/>
      <c r="V659" s="99"/>
      <c r="W659" s="90"/>
      <c r="X659" s="90">
        <f>IF(W658='Assumptions (Wind)'!$V$13,Model!X654-Model!X653*'Assumptions (Wind)'!V19*0.00876,0)</f>
        <v>0</v>
      </c>
      <c r="Y659" s="90">
        <f>IF(X658='Assumptions (Wind)'!$V$13,Model!Y654-Model!Y653*'Assumptions (Wind)'!W19*0.00876,0)</f>
        <v>0</v>
      </c>
      <c r="Z659" s="90">
        <f>IF(Y658='Assumptions (Wind)'!$V$13,Model!Z654-Model!Z653*'Assumptions (Wind)'!X19*0.00876,0)</f>
        <v>0</v>
      </c>
      <c r="AA659" s="90">
        <f>IF(Z658='Assumptions (Wind)'!$V$13,Model!AA654-Model!AA653*'Assumptions (Wind)'!Y19*0.00876,0)</f>
        <v>0</v>
      </c>
      <c r="AB659" s="90">
        <f>IF(AA658='Assumptions (Wind)'!$V$13,Model!AB654-Model!AB653*'Assumptions (Wind)'!Z19*0.00876,0)</f>
        <v>0</v>
      </c>
      <c r="AC659" s="90">
        <f>IF(AB658='Assumptions (Wind)'!$V$13,Model!AC654-Model!AC653*'Assumptions (Wind)'!AA19*0.00876,0)</f>
        <v>0</v>
      </c>
      <c r="AD659" s="90">
        <f>IF(AC658='Assumptions (Wind)'!$V$13,Model!AD654-Model!AD653*'Assumptions (Wind)'!AB19*0.00876,0)</f>
        <v>0</v>
      </c>
      <c r="AE659" s="90">
        <f>IF(AD658='Assumptions (Wind)'!$V$13,Model!AE654-Model!AE653*'Assumptions (Wind)'!AC19*0.00876,0)</f>
        <v>0</v>
      </c>
      <c r="AF659" s="90">
        <f>IF(AE658='Assumptions (Wind)'!$V$13,Model!AF654-Model!AF653*'Assumptions (Wind)'!AD19*0.00876,0)</f>
        <v>0</v>
      </c>
      <c r="AG659" s="90">
        <f>IF(AF658='Assumptions (Wind)'!$V$13,Model!AG654-Model!AG653*'Assumptions (Wind)'!AE19*0.00876,0)</f>
        <v>0</v>
      </c>
      <c r="AH659" s="90">
        <f>IF(AG658='Assumptions (Wind)'!$V$13,Model!AH654-Model!AH653*'Assumptions (Wind)'!AF19*0.00876,0)</f>
        <v>0</v>
      </c>
      <c r="AI659" s="90">
        <f>IF(AH658='Assumptions (Wind)'!$V$13,Model!AI654-Model!AI653*'Assumptions (Wind)'!AG19*0.00876,0)</f>
        <v>0</v>
      </c>
      <c r="AJ659" s="90">
        <f>IF(AI658='Assumptions (Wind)'!$V$13,Model!AJ654-Model!AJ653*'Assumptions (Wind)'!AH19*0.00876,0)</f>
        <v>0</v>
      </c>
      <c r="AK659" s="90">
        <f>IF(AJ658='Assumptions (Wind)'!$V$13,Model!AK654-Model!AK653*'Assumptions (Wind)'!AI19*0.00876,0)</f>
        <v>0</v>
      </c>
      <c r="AL659" s="90">
        <f>IF(AK658='Assumptions (Wind)'!$V$13,Model!AL654-Model!AL653*'Assumptions (Wind)'!AJ19*0.00876,0)</f>
        <v>0</v>
      </c>
      <c r="AM659" s="90">
        <f>IF(AL658='Assumptions (Wind)'!$V$13,Model!AM654-Model!AM653*'Assumptions (Wind)'!AK19*0.00876,0)</f>
        <v>0</v>
      </c>
      <c r="AN659" s="90">
        <f>IF(AM658='Assumptions (Wind)'!$V$13,Model!AN654-Model!AN653*'Assumptions (Wind)'!AL19*0.00876,0)</f>
        <v>0</v>
      </c>
      <c r="AO659" s="90">
        <f>IF(AN658='Assumptions (Wind)'!$V$13,Model!AO654-Model!AO653*'Assumptions (Wind)'!AM19*0.00876,0)</f>
        <v>0</v>
      </c>
      <c r="AP659" s="90">
        <f>IF(AO658='Assumptions (Wind)'!$V$13,Model!AP654-Model!AP653*'Assumptions (Wind)'!AN19*0.00876,0)</f>
        <v>0</v>
      </c>
      <c r="AQ659" s="90">
        <f>IF(AP658='Assumptions (Wind)'!$V$13,Model!AQ654-Model!AQ653*'Assumptions (Wind)'!AO19*0.00876,0)</f>
        <v>0</v>
      </c>
      <c r="AR659" s="90">
        <f>IF(AQ658='Assumptions (Wind)'!$V$13,Model!AR654-Model!AR653*'Assumptions (Wind)'!AP19*0.00876,0)</f>
        <v>0</v>
      </c>
      <c r="AS659" s="90">
        <f>IF(AR658='Assumptions (Wind)'!$V$13,Model!AS654-Model!AS653*'Assumptions (Wind)'!AQ19*0.00876,0)</f>
        <v>0</v>
      </c>
      <c r="AT659" s="90">
        <f>IF(AS658='Assumptions (Wind)'!$V$13,Model!AT654-Model!AT653*'Assumptions (Wind)'!AR19*0.00876,0)</f>
        <v>0</v>
      </c>
      <c r="AU659" s="90">
        <f>IF(AT658='Assumptions (Wind)'!$V$13,Model!AU654-Model!AU653*'Assumptions (Wind)'!AS19*0.00876,0)</f>
        <v>0</v>
      </c>
      <c r="AV659" s="90">
        <f>IF(AU658='Assumptions (Wind)'!$V$13,Model!AV654-Model!AV653*'Assumptions (Wind)'!AT19*0.00876,0)</f>
        <v>0</v>
      </c>
      <c r="AW659" s="90">
        <f>IF(AV658='Assumptions (Wind)'!$V$13,Model!AW654-Model!AW653*'Assumptions (Wind)'!AU19*0.00876,0)</f>
        <v>0</v>
      </c>
      <c r="AX659" s="90">
        <f>IF(AW658='Assumptions (Wind)'!$V$13,Model!AX654-Model!AX653*'Assumptions (Wind)'!AV19*0.00876,0)</f>
        <v>0</v>
      </c>
      <c r="AY659" s="90">
        <f>IF(AX658='Assumptions (Wind)'!$V$13,Model!AY654-Model!AY653*'Assumptions (Wind)'!AW19*0.00876,0)</f>
        <v>0</v>
      </c>
      <c r="AZ659" s="90">
        <f>IF(AY658='Assumptions (Wind)'!$V$13,Model!AZ654-Model!AZ653*'Assumptions (Wind)'!AX19*0.00876,0)</f>
        <v>0</v>
      </c>
      <c r="BA659" s="90">
        <f>IF(AZ658='Assumptions (Wind)'!$V$13,Model!BA654-Model!BA653*'Assumptions (Wind)'!AY19*0.00876,0)</f>
        <v>0</v>
      </c>
    </row>
    <row r="660" spans="1:53" ht="15.75" customHeight="1">
      <c r="A660" s="396" t="s">
        <v>290</v>
      </c>
      <c r="B660" s="99" t="s">
        <v>201</v>
      </c>
      <c r="C660" s="150">
        <f t="shared" ref="C660:BA660" si="19">SUM(C661:C711)</f>
        <v>3.3972136262085613</v>
      </c>
      <c r="D660" s="150">
        <f t="shared" si="19"/>
        <v>2.0328023114343718</v>
      </c>
      <c r="E660" s="150">
        <f t="shared" si="19"/>
        <v>1.8016686698596835</v>
      </c>
      <c r="F660" s="150">
        <f t="shared" si="19"/>
        <v>2.2680265701129634</v>
      </c>
      <c r="G660" s="150">
        <f t="shared" si="19"/>
        <v>4.2316798063785139</v>
      </c>
      <c r="H660" s="150">
        <f t="shared" si="19"/>
        <v>6.9948782981233757</v>
      </c>
      <c r="I660" s="150">
        <f t="shared" si="19"/>
        <v>12.07098474468583</v>
      </c>
      <c r="J660" s="150">
        <f t="shared" si="19"/>
        <v>16.054378604914973</v>
      </c>
      <c r="K660" s="150">
        <f t="shared" si="19"/>
        <v>12.739374738924308</v>
      </c>
      <c r="L660" s="150">
        <f t="shared" si="19"/>
        <v>9.9442280945638437</v>
      </c>
      <c r="M660" s="150">
        <f t="shared" si="19"/>
        <v>17.173748367080218</v>
      </c>
      <c r="N660" s="150">
        <f t="shared" si="19"/>
        <v>11.999209908437322</v>
      </c>
      <c r="O660" s="150">
        <f t="shared" si="19"/>
        <v>4.9179122630224477</v>
      </c>
      <c r="P660" s="150">
        <f t="shared" si="19"/>
        <v>11.238269928101356</v>
      </c>
      <c r="Q660" s="150">
        <f t="shared" si="19"/>
        <v>14.501124479850397</v>
      </c>
      <c r="R660" s="150">
        <f t="shared" si="19"/>
        <v>12.804153617245891</v>
      </c>
      <c r="S660" s="150">
        <f t="shared" si="19"/>
        <v>10.99970294646397</v>
      </c>
      <c r="T660" s="150">
        <f t="shared" si="19"/>
        <v>13.410250769008801</v>
      </c>
      <c r="U660" s="150">
        <f t="shared" si="19"/>
        <v>20.2093663291331</v>
      </c>
      <c r="V660" s="150">
        <f t="shared" si="19"/>
        <v>60.673588302711394</v>
      </c>
      <c r="W660" s="150">
        <f t="shared" si="19"/>
        <v>95.693725822395677</v>
      </c>
      <c r="X660" s="150">
        <f t="shared" si="19"/>
        <v>97.212952648843583</v>
      </c>
      <c r="Y660" s="150">
        <f t="shared" si="19"/>
        <v>99.065842733420467</v>
      </c>
      <c r="Z660" s="150">
        <f t="shared" si="19"/>
        <v>100.98324096089328</v>
      </c>
      <c r="AA660" s="150">
        <f t="shared" si="19"/>
        <v>103.05805867535157</v>
      </c>
      <c r="AB660" s="150">
        <f t="shared" si="19"/>
        <v>105.11537797888772</v>
      </c>
      <c r="AC660" s="150">
        <f t="shared" si="19"/>
        <v>107.15423980008899</v>
      </c>
      <c r="AD660" s="150">
        <f t="shared" si="19"/>
        <v>109.31521629431299</v>
      </c>
      <c r="AE660" s="150">
        <f t="shared" si="19"/>
        <v>111.66712541759489</v>
      </c>
      <c r="AF660" s="150">
        <f t="shared" si="19"/>
        <v>114.50246951535375</v>
      </c>
      <c r="AG660" s="150">
        <f t="shared" si="19"/>
        <v>116.66001518740293</v>
      </c>
      <c r="AH660" s="150">
        <f t="shared" si="19"/>
        <v>119.89767456068637</v>
      </c>
      <c r="AI660" s="150">
        <f t="shared" si="19"/>
        <v>122.90663238893143</v>
      </c>
      <c r="AJ660" s="150">
        <f t="shared" si="19"/>
        <v>125.47729911150981</v>
      </c>
      <c r="AK660" s="150">
        <f t="shared" si="19"/>
        <v>127.72043514031836</v>
      </c>
      <c r="AL660" s="150">
        <f t="shared" si="19"/>
        <v>130.8623646988778</v>
      </c>
      <c r="AM660" s="150">
        <f t="shared" si="19"/>
        <v>135.98190223281972</v>
      </c>
      <c r="AN660" s="150">
        <f t="shared" si="19"/>
        <v>142.31792005673233</v>
      </c>
      <c r="AO660" s="150">
        <f t="shared" si="19"/>
        <v>151.9694483525555</v>
      </c>
      <c r="AP660" s="150">
        <f t="shared" si="19"/>
        <v>160.52818154489782</v>
      </c>
      <c r="AQ660" s="150">
        <f t="shared" si="19"/>
        <v>159.21270186584852</v>
      </c>
      <c r="AR660" s="150">
        <f t="shared" si="19"/>
        <v>158.4790796574969</v>
      </c>
      <c r="AS660" s="150">
        <f t="shared" si="19"/>
        <v>172.35203545060466</v>
      </c>
      <c r="AT660" s="150">
        <f t="shared" si="19"/>
        <v>168.12871274542664</v>
      </c>
      <c r="AU660" s="150">
        <f t="shared" si="19"/>
        <v>160.64187012982882</v>
      </c>
      <c r="AV660" s="150">
        <f t="shared" si="19"/>
        <v>173.90535114411068</v>
      </c>
      <c r="AW660" s="150">
        <f t="shared" si="19"/>
        <v>182.77305412815031</v>
      </c>
      <c r="AX660" s="150">
        <f t="shared" si="19"/>
        <v>183.72436716706881</v>
      </c>
      <c r="AY660" s="150">
        <f t="shared" si="19"/>
        <v>176.49603844998308</v>
      </c>
      <c r="AZ660" s="150">
        <f t="shared" si="19"/>
        <v>86.24479207473253</v>
      </c>
      <c r="BA660" s="150">
        <f t="shared" si="19"/>
        <v>0</v>
      </c>
    </row>
    <row r="661" spans="1:53" ht="15.75" hidden="1" customHeight="1" outlineLevel="1">
      <c r="A661" s="395"/>
      <c r="B661" s="99"/>
      <c r="C661" s="91">
        <f>IF($C$658&gt;0,2*'Assumptions (Wind)'!$V$16*Model!$C$658*'Assumptions (Wind)'!B$2/10^9,0)</f>
        <v>7.2170068138256424E-2</v>
      </c>
      <c r="D661" s="105"/>
      <c r="E661" s="105"/>
      <c r="F661" s="105"/>
      <c r="G661" s="105"/>
      <c r="H661" s="105"/>
      <c r="I661" s="105"/>
      <c r="J661" s="105"/>
      <c r="K661" s="105"/>
      <c r="L661" s="105"/>
      <c r="M661" s="105"/>
      <c r="N661" s="105"/>
      <c r="O661" s="105"/>
      <c r="P661" s="105"/>
      <c r="Q661" s="105"/>
      <c r="R661" s="105"/>
      <c r="S661" s="105"/>
      <c r="T661" s="105"/>
      <c r="U661" s="105"/>
      <c r="V661" s="99"/>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c r="AT661" s="105"/>
      <c r="AU661" s="105"/>
      <c r="AV661" s="105"/>
      <c r="AW661" s="105"/>
      <c r="AX661" s="105"/>
      <c r="AY661" s="105"/>
      <c r="AZ661" s="105"/>
      <c r="BA661" s="105"/>
    </row>
    <row r="662" spans="1:53" ht="15.75" hidden="1" customHeight="1" outlineLevel="1">
      <c r="A662" s="395"/>
      <c r="B662" s="99"/>
      <c r="C662" s="91">
        <f>IF($D$658&gt;0,2*'Assumptions (Wind)'!$V$16*Model!$D$658*'Assumptions (Wind)'!B$2/10^9,0)</f>
        <v>2.7563837191484346</v>
      </c>
      <c r="D662" s="91"/>
      <c r="E662" s="91"/>
      <c r="F662" s="91"/>
      <c r="G662" s="91"/>
      <c r="H662" s="91"/>
      <c r="I662" s="91"/>
      <c r="J662" s="91"/>
      <c r="K662" s="91"/>
      <c r="L662" s="91"/>
      <c r="M662" s="105"/>
      <c r="N662" s="105"/>
      <c r="O662" s="105"/>
      <c r="P662" s="105"/>
      <c r="Q662" s="105"/>
      <c r="R662" s="105"/>
      <c r="S662" s="105"/>
      <c r="T662" s="105"/>
      <c r="U662" s="105"/>
      <c r="V662" s="99"/>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c r="AT662" s="105"/>
      <c r="AU662" s="105"/>
      <c r="AV662" s="105"/>
      <c r="AW662" s="105"/>
      <c r="AX662" s="105"/>
      <c r="AY662" s="105"/>
      <c r="AZ662" s="105"/>
      <c r="BA662" s="105"/>
    </row>
    <row r="663" spans="1:53" ht="15.75" hidden="1" customHeight="1" outlineLevel="1">
      <c r="A663" s="395"/>
      <c r="B663" s="99"/>
      <c r="C663" s="91">
        <f>IF($E$658&gt;0,'Assumptions (Wind)'!$V$16*Model!$E$658*'Assumptions (Wind)'!B$2/10^9,0)</f>
        <v>0.56865983892187044</v>
      </c>
      <c r="D663" s="91">
        <f>IF($E$658&gt;0,'Assumptions (Wind)'!$V$16*Model!$E$658*'Assumptions (Wind)'!C$2/10^9,0)</f>
        <v>0.56581653972726109</v>
      </c>
      <c r="E663" s="91"/>
      <c r="F663" s="91"/>
      <c r="G663" s="91"/>
      <c r="H663" s="91"/>
      <c r="I663" s="91"/>
      <c r="J663" s="91"/>
      <c r="K663" s="91"/>
      <c r="L663" s="91"/>
      <c r="M663" s="105"/>
      <c r="N663" s="105"/>
      <c r="O663" s="105"/>
      <c r="P663" s="105"/>
      <c r="Q663" s="105"/>
      <c r="R663" s="105"/>
      <c r="S663" s="105"/>
      <c r="T663" s="105"/>
      <c r="U663" s="105"/>
      <c r="V663" s="99"/>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c r="AT663" s="105"/>
      <c r="AU663" s="105"/>
      <c r="AV663" s="105"/>
      <c r="AW663" s="105"/>
      <c r="AX663" s="105"/>
      <c r="AY663" s="105"/>
      <c r="AZ663" s="105"/>
      <c r="BA663" s="105"/>
    </row>
    <row r="664" spans="1:53" ht="15.75" hidden="1" customHeight="1" outlineLevel="1">
      <c r="A664" s="395"/>
      <c r="B664" s="99"/>
      <c r="C664" s="91"/>
      <c r="D664" s="91">
        <f>IF($F$658&gt;0,'Assumptions (Wind)'!$V$16*Model!$F$658*'Assumptions (Wind)'!C$2/10^9,0)</f>
        <v>1.4669857717071109</v>
      </c>
      <c r="E664" s="91">
        <f>IF($F$658&gt;0,'Assumptions (Wind)'!$V$16*Model!$F$658*'Assumptions (Wind)'!D$2/10^9,0)</f>
        <v>1.459650842848575</v>
      </c>
      <c r="F664" s="91"/>
      <c r="G664" s="91"/>
      <c r="H664" s="91"/>
      <c r="I664" s="91"/>
      <c r="J664" s="91"/>
      <c r="K664" s="91"/>
      <c r="L664" s="91"/>
      <c r="M664" s="105"/>
      <c r="N664" s="105"/>
      <c r="O664" s="105"/>
      <c r="P664" s="105"/>
      <c r="Q664" s="105"/>
      <c r="R664" s="105"/>
      <c r="S664" s="105"/>
      <c r="T664" s="105"/>
      <c r="U664" s="105"/>
      <c r="V664" s="99"/>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c r="AT664" s="105"/>
      <c r="AU664" s="105"/>
      <c r="AV664" s="105"/>
      <c r="AW664" s="105"/>
      <c r="AX664" s="105"/>
      <c r="AY664" s="105"/>
      <c r="AZ664" s="105"/>
      <c r="BA664" s="105"/>
    </row>
    <row r="665" spans="1:53" ht="15.75" hidden="1" customHeight="1" outlineLevel="1">
      <c r="A665" s="395"/>
      <c r="B665" s="99"/>
      <c r="C665" s="91"/>
      <c r="D665" s="91"/>
      <c r="E665" s="91">
        <f>IF($G$658&gt;0,'Assumptions (Wind)'!$V$16*Model!$G$658*'Assumptions (Wind)'!D$2/10^9,0)</f>
        <v>0.34201782701110861</v>
      </c>
      <c r="F665" s="91">
        <f>IF($G$658&gt;0,'Assumptions (Wind)'!$V$16*Model!$G$658*'Assumptions (Wind)'!E$2/10^9,0)</f>
        <v>0.34030773787605312</v>
      </c>
      <c r="G665" s="91"/>
      <c r="H665" s="91"/>
      <c r="I665" s="91"/>
      <c r="J665" s="91"/>
      <c r="K665" s="91"/>
      <c r="L665" s="91"/>
      <c r="M665" s="105"/>
      <c r="N665" s="105"/>
      <c r="O665" s="105"/>
      <c r="P665" s="105"/>
      <c r="Q665" s="105"/>
      <c r="R665" s="105"/>
      <c r="S665" s="105"/>
      <c r="T665" s="105"/>
      <c r="U665" s="105"/>
      <c r="V665" s="99"/>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c r="AT665" s="105"/>
      <c r="AU665" s="105"/>
      <c r="AV665" s="105"/>
      <c r="AW665" s="105"/>
      <c r="AX665" s="105"/>
      <c r="AY665" s="105"/>
      <c r="AZ665" s="105"/>
      <c r="BA665" s="105"/>
    </row>
    <row r="666" spans="1:53" ht="15.75" hidden="1" customHeight="1" outlineLevel="1">
      <c r="A666" s="395"/>
      <c r="B666" s="99"/>
      <c r="C666" s="91"/>
      <c r="D666" s="91"/>
      <c r="E666" s="91"/>
      <c r="F666" s="91">
        <f>IF($H$658&gt;0,'Assumptions (Wind)'!$V$16*Model!$H$658*'Assumptions (Wind)'!E$2/10^9,0)</f>
        <v>1.9277188322369103</v>
      </c>
      <c r="G666" s="91">
        <f>IF($H$658&gt;0,'Assumptions (Wind)'!$V$16*Model!$H$658*'Assumptions (Wind)'!F$2/10^9,0)</f>
        <v>1.918080238075726</v>
      </c>
      <c r="H666" s="91"/>
      <c r="I666" s="91"/>
      <c r="J666" s="91"/>
      <c r="K666" s="91"/>
      <c r="L666" s="91"/>
      <c r="M666" s="105"/>
      <c r="N666" s="105"/>
      <c r="O666" s="105"/>
      <c r="P666" s="105"/>
      <c r="Q666" s="105"/>
      <c r="R666" s="105"/>
      <c r="S666" s="105"/>
      <c r="T666" s="105"/>
      <c r="U666" s="105"/>
      <c r="V666" s="99"/>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c r="AT666" s="105"/>
      <c r="AU666" s="105"/>
      <c r="AV666" s="105"/>
      <c r="AW666" s="105"/>
      <c r="AX666" s="105"/>
      <c r="AY666" s="105"/>
      <c r="AZ666" s="105"/>
      <c r="BA666" s="105"/>
    </row>
    <row r="667" spans="1:53" ht="15.75" hidden="1" customHeight="1" outlineLevel="1">
      <c r="A667" s="395"/>
      <c r="B667" s="99"/>
      <c r="C667" s="91"/>
      <c r="D667" s="91"/>
      <c r="E667" s="91"/>
      <c r="F667" s="91"/>
      <c r="G667" s="91">
        <f>IF($I$658&gt;0,'Assumptions (Wind)'!$V$16*Model!$I$658*'Assumptions (Wind)'!F$2/10^9,0)</f>
        <v>2.3135995683027883</v>
      </c>
      <c r="H667" s="91">
        <f>IF($I$658&gt;0,'Assumptions (Wind)'!$V$16*Model!$I$658*'Assumptions (Wind)'!G$2/10^9,0)</f>
        <v>2.3020315704612742</v>
      </c>
      <c r="I667" s="91"/>
      <c r="J667" s="91"/>
      <c r="K667" s="91"/>
      <c r="L667" s="91"/>
      <c r="M667" s="105"/>
      <c r="N667" s="105"/>
      <c r="O667" s="105"/>
      <c r="P667" s="105"/>
      <c r="Q667" s="105"/>
      <c r="R667" s="105"/>
      <c r="S667" s="105"/>
      <c r="T667" s="105"/>
      <c r="U667" s="105"/>
      <c r="V667" s="99"/>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c r="AT667" s="105"/>
      <c r="AU667" s="105"/>
      <c r="AV667" s="105"/>
      <c r="AW667" s="105"/>
      <c r="AX667" s="105"/>
      <c r="AY667" s="105"/>
      <c r="AZ667" s="105"/>
      <c r="BA667" s="105"/>
    </row>
    <row r="668" spans="1:53" ht="15.75" hidden="1" customHeight="1" outlineLevel="1">
      <c r="A668" s="395"/>
      <c r="B668" s="99"/>
      <c r="C668" s="91"/>
      <c r="D668" s="91"/>
      <c r="E668" s="91"/>
      <c r="F668" s="91"/>
      <c r="G668" s="91"/>
      <c r="H668" s="91">
        <f>IF($J$658&gt;0,'Assumptions (Wind)'!$V$16*Model!$J$658*'Assumptions (Wind)'!G$2/10^9,0)</f>
        <v>4.6928467276621015</v>
      </c>
      <c r="I668" s="91">
        <f>IF($J$658&gt;0,'Assumptions (Wind)'!$V$16*Model!$J$658*'Assumptions (Wind)'!H$2/10^9,0)</f>
        <v>4.6693824940237914</v>
      </c>
      <c r="J668" s="91"/>
      <c r="K668" s="91"/>
      <c r="L668" s="91"/>
      <c r="M668" s="105"/>
      <c r="N668" s="105"/>
      <c r="O668" s="105"/>
      <c r="P668" s="105"/>
      <c r="Q668" s="105"/>
      <c r="R668" s="105"/>
      <c r="S668" s="105"/>
      <c r="T668" s="105"/>
      <c r="U668" s="105"/>
      <c r="V668" s="99"/>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c r="AT668" s="105"/>
      <c r="AU668" s="105"/>
      <c r="AV668" s="105"/>
      <c r="AW668" s="105"/>
      <c r="AX668" s="105"/>
      <c r="AY668" s="105"/>
      <c r="AZ668" s="105"/>
      <c r="BA668" s="105"/>
    </row>
    <row r="669" spans="1:53" ht="15.75" hidden="1" customHeight="1" outlineLevel="1">
      <c r="A669" s="395"/>
      <c r="B669" s="99"/>
      <c r="C669" s="91"/>
      <c r="D669" s="91"/>
      <c r="E669" s="91"/>
      <c r="F669" s="91"/>
      <c r="G669" s="91"/>
      <c r="H669" s="91"/>
      <c r="I669" s="91">
        <f>IF($K$658&gt;0,'Assumptions (Wind)'!$V$16*Model!$K$658*'Assumptions (Wind)'!H$2/10^9,0)</f>
        <v>7.40160225066204</v>
      </c>
      <c r="J669" s="91">
        <f>IF($K$658&gt;0,'Assumptions (Wind)'!$V$16*Model!$K$658*'Assumptions (Wind)'!I$2/10^9,0)</f>
        <v>7.3645942394087296</v>
      </c>
      <c r="K669" s="91"/>
      <c r="L669" s="91"/>
      <c r="M669" s="105"/>
      <c r="N669" s="105"/>
      <c r="O669" s="105"/>
      <c r="P669" s="105"/>
      <c r="Q669" s="105"/>
      <c r="R669" s="105"/>
      <c r="S669" s="105"/>
      <c r="T669" s="105"/>
      <c r="U669" s="105"/>
      <c r="V669" s="99"/>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c r="AT669" s="105"/>
      <c r="AU669" s="105"/>
      <c r="AV669" s="105"/>
      <c r="AW669" s="105"/>
      <c r="AX669" s="105"/>
      <c r="AY669" s="105"/>
      <c r="AZ669" s="105"/>
      <c r="BA669" s="105"/>
    </row>
    <row r="670" spans="1:53" ht="15.75" hidden="1" customHeight="1" outlineLevel="1">
      <c r="A670" s="395"/>
      <c r="B670" s="99"/>
      <c r="C670" s="91"/>
      <c r="D670" s="91"/>
      <c r="E670" s="91"/>
      <c r="F670" s="91"/>
      <c r="G670" s="91"/>
      <c r="H670" s="91"/>
      <c r="I670" s="91"/>
      <c r="J670" s="91">
        <f>IF($L$658&gt;0,'Assumptions (Wind)'!$V$16*Model!$L$658*'Assumptions (Wind)'!I$2/10^9,0)</f>
        <v>8.6897843655062417</v>
      </c>
      <c r="K670" s="91">
        <f>IF($L$658&gt;0,'Assumptions (Wind)'!$V$16*Model!$L$658*'Assumptions (Wind)'!J$2/10^9,0)</f>
        <v>8.6463354436787085</v>
      </c>
      <c r="L670" s="91"/>
      <c r="M670" s="105"/>
      <c r="N670" s="105"/>
      <c r="O670" s="105"/>
      <c r="P670" s="105"/>
      <c r="Q670" s="105"/>
      <c r="R670" s="105"/>
      <c r="S670" s="105"/>
      <c r="T670" s="105"/>
      <c r="U670" s="105"/>
      <c r="V670" s="99"/>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c r="AT670" s="105"/>
      <c r="AU670" s="105"/>
      <c r="AV670" s="105"/>
      <c r="AW670" s="105"/>
      <c r="AX670" s="105"/>
      <c r="AY670" s="105"/>
      <c r="AZ670" s="105"/>
      <c r="BA670" s="105"/>
    </row>
    <row r="671" spans="1:53" ht="15.75" hidden="1" customHeight="1" outlineLevel="1">
      <c r="A671" s="395"/>
      <c r="B671" s="99"/>
      <c r="C671" s="91"/>
      <c r="D671" s="91"/>
      <c r="E671" s="91"/>
      <c r="F671" s="91"/>
      <c r="G671" s="91"/>
      <c r="H671" s="91"/>
      <c r="I671" s="91"/>
      <c r="J671" s="91"/>
      <c r="K671" s="91">
        <f>IF($M$658&gt;0,'Assumptions (Wind)'!$V$16*Model!$M$658*'Assumptions (Wind)'!J$2/10^9,0)</f>
        <v>4.0930392952455996</v>
      </c>
      <c r="L671" s="91">
        <f>IF($M$658&gt;0,'Assumptions (Wind)'!$V$16*Model!$M$658*'Assumptions (Wind)'!K$2/10^9,0)</f>
        <v>4.0725740987693717</v>
      </c>
      <c r="M671" s="105"/>
      <c r="N671" s="105"/>
      <c r="O671" s="105"/>
      <c r="P671" s="105"/>
      <c r="Q671" s="105"/>
      <c r="R671" s="105"/>
      <c r="S671" s="105"/>
      <c r="T671" s="105"/>
      <c r="U671" s="105"/>
      <c r="V671" s="99"/>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c r="AT671" s="105"/>
      <c r="AU671" s="105"/>
      <c r="AV671" s="105"/>
      <c r="AW671" s="105"/>
      <c r="AX671" s="105"/>
      <c r="AY671" s="105"/>
      <c r="AZ671" s="105"/>
      <c r="BA671" s="105"/>
    </row>
    <row r="672" spans="1:53" ht="15.75" hidden="1" customHeight="1" outlineLevel="1">
      <c r="A672" s="395"/>
      <c r="B672" s="99"/>
      <c r="C672" s="105"/>
      <c r="D672" s="105"/>
      <c r="E672" s="105"/>
      <c r="F672" s="105"/>
      <c r="G672" s="105"/>
      <c r="H672" s="105"/>
      <c r="I672" s="105"/>
      <c r="J672" s="105"/>
      <c r="K672" s="105"/>
      <c r="L672" s="105">
        <f>IF($N$658&gt;0,'Assumptions (Wind)'!$V$16*Model!$N$658*'Assumptions (Wind)'!K$2/10^9,0)</f>
        <v>5.8716539957944711</v>
      </c>
      <c r="M672" s="105">
        <f>IF($N$658&gt;0,'Assumptions (Wind)'!$V$16*Model!$N$658*'Assumptions (Wind)'!L$2/10^9,0)</f>
        <v>5.8422957258154984</v>
      </c>
      <c r="N672" s="105"/>
      <c r="O672" s="105"/>
      <c r="P672" s="105"/>
      <c r="Q672" s="105"/>
      <c r="R672" s="105"/>
      <c r="S672" s="105"/>
      <c r="T672" s="105"/>
      <c r="U672" s="105"/>
      <c r="V672" s="99"/>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c r="AT672" s="105"/>
      <c r="AU672" s="105"/>
      <c r="AV672" s="105"/>
      <c r="AW672" s="105"/>
      <c r="AX672" s="105"/>
      <c r="AY672" s="105"/>
      <c r="AZ672" s="105"/>
      <c r="BA672" s="105"/>
    </row>
    <row r="673" spans="1:53" ht="15.75" hidden="1" customHeight="1" outlineLevel="1">
      <c r="A673" s="395"/>
      <c r="B673" s="99"/>
      <c r="C673" s="105"/>
      <c r="D673" s="105"/>
      <c r="E673" s="105"/>
      <c r="F673" s="105"/>
      <c r="G673" s="105"/>
      <c r="H673" s="105"/>
      <c r="I673" s="105"/>
      <c r="J673" s="105"/>
      <c r="K673" s="105"/>
      <c r="L673" s="105"/>
      <c r="M673" s="105">
        <f>IF($O$658&gt;0,'Assumptions (Wind)'!$V$16*Model!$O$658*'Assumptions (Wind)'!L$2/10^9,0)</f>
        <v>11.33145264126472</v>
      </c>
      <c r="N673" s="105">
        <f>IF($O$658&gt;0,'Assumptions (Wind)'!$V$16*Model!$O$658*'Assumptions (Wind)'!M$2/10^9,0)</f>
        <v>11.274795378058398</v>
      </c>
      <c r="O673" s="105"/>
      <c r="P673" s="105"/>
      <c r="Q673" s="105"/>
      <c r="R673" s="105"/>
      <c r="S673" s="105"/>
      <c r="T673" s="105"/>
      <c r="U673" s="105"/>
      <c r="V673" s="99"/>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c r="AT673" s="105"/>
      <c r="AU673" s="105"/>
      <c r="AV673" s="105"/>
      <c r="AW673" s="105"/>
      <c r="AX673" s="105"/>
      <c r="AY673" s="105"/>
      <c r="AZ673" s="105"/>
      <c r="BA673" s="105"/>
    </row>
    <row r="674" spans="1:53" ht="15.75" hidden="1" customHeight="1" outlineLevel="1">
      <c r="A674" s="395"/>
      <c r="B674" s="99"/>
      <c r="C674" s="105"/>
      <c r="D674" s="105"/>
      <c r="E674" s="105"/>
      <c r="F674" s="105"/>
      <c r="G674" s="105"/>
      <c r="H674" s="105"/>
      <c r="I674" s="105"/>
      <c r="J674" s="91"/>
      <c r="K674" s="91"/>
      <c r="L674" s="91"/>
      <c r="M674" s="91"/>
      <c r="N674" s="91">
        <f>IF($P$658&gt;0,'Assumptions (Wind)'!$V$16*Model!$P$658*'Assumptions (Wind)'!M$2/10^9,0)</f>
        <v>0.72441453037892489</v>
      </c>
      <c r="O674" s="91">
        <f>IF($P$658&gt;0,'Assumptions (Wind)'!$V$16*Model!$P$658*'Assumptions (Wind)'!N$2/10^9,0)</f>
        <v>0.72079245772703016</v>
      </c>
      <c r="P674" s="91"/>
      <c r="Q674" s="105"/>
      <c r="R674" s="91"/>
      <c r="S674" s="91"/>
      <c r="T674" s="91"/>
      <c r="U674" s="91"/>
      <c r="V674" s="99"/>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c r="AT674" s="105"/>
      <c r="AU674" s="105"/>
      <c r="AV674" s="105"/>
      <c r="AW674" s="105"/>
      <c r="AX674" s="105"/>
      <c r="AY674" s="105"/>
      <c r="AZ674" s="105"/>
      <c r="BA674" s="105"/>
    </row>
    <row r="675" spans="1:53" ht="15.75" hidden="1" customHeight="1" outlineLevel="1">
      <c r="A675" s="395"/>
      <c r="B675" s="99"/>
      <c r="C675" s="105"/>
      <c r="D675" s="105"/>
      <c r="E675" s="105"/>
      <c r="F675" s="105"/>
      <c r="G675" s="105"/>
      <c r="H675" s="105"/>
      <c r="I675" s="105"/>
      <c r="J675" s="105"/>
      <c r="K675" s="91"/>
      <c r="L675" s="91"/>
      <c r="M675" s="91"/>
      <c r="N675" s="91"/>
      <c r="O675" s="91">
        <f>IF($Q$658&gt;0,'Assumptions (Wind)'!$V$16*Model!$Q$658*'Assumptions (Wind)'!N$2/10^9,0)</f>
        <v>4.1971198052954177</v>
      </c>
      <c r="P675" s="91">
        <f>IF($Q$658&gt;0,'Assumptions (Wind)'!$V$16*Model!$Q$658*'Assumptions (Wind)'!O$2/10^9,0)</f>
        <v>4.1761342062689408</v>
      </c>
      <c r="Q675" s="105"/>
      <c r="R675" s="91"/>
      <c r="S675" s="91"/>
      <c r="T675" s="91"/>
      <c r="U675" s="91"/>
      <c r="V675" s="99"/>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c r="AT675" s="105"/>
      <c r="AU675" s="105"/>
      <c r="AV675" s="105"/>
      <c r="AW675" s="105"/>
      <c r="AX675" s="105"/>
      <c r="AY675" s="105"/>
      <c r="AZ675" s="105"/>
      <c r="BA675" s="105"/>
    </row>
    <row r="676" spans="1:53" ht="15.75" hidden="1" customHeight="1" outlineLevel="1">
      <c r="A676" s="395"/>
      <c r="B676" s="99"/>
      <c r="C676" s="105"/>
      <c r="D676" s="105"/>
      <c r="E676" s="105"/>
      <c r="F676" s="105"/>
      <c r="G676" s="105"/>
      <c r="H676" s="105"/>
      <c r="I676" s="105"/>
      <c r="J676" s="105"/>
      <c r="K676" s="105"/>
      <c r="L676" s="167"/>
      <c r="M676" s="167"/>
      <c r="N676" s="167"/>
      <c r="O676" s="167"/>
      <c r="P676" s="167">
        <f>IF($R$658&gt;0,'Assumptions (Wind)'!$V$16*Model!$R$658*'Assumptions (Wind)'!O$2/10^9,0)</f>
        <v>7.0621357218324166</v>
      </c>
      <c r="Q676" s="167">
        <f>IF($R$658&gt;0,'Assumptions (Wind)'!$V$16*Model!$R$658*'Assumptions (Wind)'!P$2/10^9,0)</f>
        <v>7.0268250432232549</v>
      </c>
      <c r="R676" s="91"/>
      <c r="S676" s="91"/>
      <c r="T676" s="91"/>
      <c r="U676" s="91"/>
      <c r="V676" s="99"/>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c r="AT676" s="105"/>
      <c r="AU676" s="105"/>
      <c r="AV676" s="105"/>
      <c r="AW676" s="105"/>
      <c r="AX676" s="105"/>
      <c r="AY676" s="105"/>
      <c r="AZ676" s="105"/>
      <c r="BA676" s="105"/>
    </row>
    <row r="677" spans="1:53" ht="15.75" hidden="1" customHeight="1" outlineLevel="1">
      <c r="A677" s="395"/>
      <c r="B677" s="99"/>
      <c r="C677" s="105"/>
      <c r="D677" s="105"/>
      <c r="E677" s="105"/>
      <c r="F677" s="105"/>
      <c r="G677" s="105"/>
      <c r="H677" s="105"/>
      <c r="I677" s="105"/>
      <c r="J677" s="105"/>
      <c r="K677" s="105"/>
      <c r="L677" s="105"/>
      <c r="M677" s="105"/>
      <c r="N677" s="105"/>
      <c r="O677" s="105"/>
      <c r="P677" s="105"/>
      <c r="Q677" s="105">
        <f>IF($S$658&gt;0,'Assumptions (Wind)'!$V$16*Model!$S$658*'Assumptions (Wind)'!P$2/10^9,0)</f>
        <v>7.4742994366271409</v>
      </c>
      <c r="R677" s="105">
        <f>IF($S$658&gt;0,'Assumptions (Wind)'!$V$16*Model!$S$658*'Assumptions (Wind)'!Q$2/10^9,0)</f>
        <v>7.4369279394440051</v>
      </c>
      <c r="S677" s="105"/>
      <c r="T677" s="105"/>
      <c r="U677" s="105"/>
      <c r="V677" s="99"/>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c r="AT677" s="105"/>
      <c r="AU677" s="105"/>
      <c r="AV677" s="105"/>
      <c r="AW677" s="105"/>
      <c r="AX677" s="105"/>
      <c r="AY677" s="105"/>
      <c r="AZ677" s="105"/>
      <c r="BA677" s="105"/>
    </row>
    <row r="678" spans="1:53" ht="15.75" hidden="1" customHeight="1" outlineLevel="1">
      <c r="A678" s="395"/>
      <c r="B678" s="99"/>
      <c r="C678" s="105"/>
      <c r="D678" s="105"/>
      <c r="E678" s="105"/>
      <c r="F678" s="105"/>
      <c r="G678" s="105"/>
      <c r="H678" s="105"/>
      <c r="I678" s="105"/>
      <c r="J678" s="105"/>
      <c r="K678" s="105"/>
      <c r="L678" s="105"/>
      <c r="M678" s="105"/>
      <c r="N678" s="105"/>
      <c r="O678" s="105"/>
      <c r="P678" s="105"/>
      <c r="Q678" s="105"/>
      <c r="R678" s="105">
        <f>IF($T$658&gt;0,'Assumptions (Wind)'!$V$16*Model!$T$658*'Assumptions (Wind)'!Q$2/10^9,0)</f>
        <v>5.367225677801887</v>
      </c>
      <c r="S678" s="105">
        <f>IF($T$658&gt;0,'Assumptions (Wind)'!$V$16*Model!$T$658*'Assumptions (Wind)'!R$2/10^9,0)</f>
        <v>5.340389549412877</v>
      </c>
      <c r="T678" s="105"/>
      <c r="U678" s="105"/>
      <c r="V678" s="99"/>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c r="AT678" s="105"/>
      <c r="AU678" s="105"/>
      <c r="AV678" s="105"/>
      <c r="AW678" s="105"/>
      <c r="AX678" s="105"/>
      <c r="AY678" s="105"/>
      <c r="AZ678" s="105"/>
      <c r="BA678" s="105"/>
    </row>
    <row r="679" spans="1:53" ht="15.75" hidden="1" customHeight="1" outlineLevel="1">
      <c r="A679" s="395"/>
      <c r="B679" s="99"/>
      <c r="C679" s="105"/>
      <c r="D679" s="105"/>
      <c r="E679" s="105"/>
      <c r="F679" s="105"/>
      <c r="G679" s="105"/>
      <c r="H679" s="105"/>
      <c r="I679" s="105"/>
      <c r="J679" s="105"/>
      <c r="K679" s="105"/>
      <c r="L679" s="105"/>
      <c r="M679" s="105"/>
      <c r="N679" s="105"/>
      <c r="O679" s="91"/>
      <c r="P679" s="91"/>
      <c r="Q679" s="91"/>
      <c r="R679" s="91"/>
      <c r="S679" s="91">
        <f>IF($U$658&gt;0,'Assumptions (Wind)'!$V$16*Model!$U$658*'Assumptions (Wind)'!R$2/10^9,0)</f>
        <v>5.6593133970510916</v>
      </c>
      <c r="T679" s="91">
        <f>IF($U$658&gt;0,'Assumptions (Wind)'!$V$16*Model!$U$658*'Assumptions (Wind)'!S$2/10^9,0)</f>
        <v>5.6310168300658363</v>
      </c>
      <c r="U679" s="105"/>
      <c r="V679" s="99"/>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c r="AT679" s="105"/>
      <c r="AU679" s="105"/>
      <c r="AV679" s="105"/>
      <c r="AW679" s="105"/>
      <c r="AX679" s="105"/>
      <c r="AY679" s="105"/>
      <c r="AZ679" s="105"/>
      <c r="BA679" s="105"/>
    </row>
    <row r="680" spans="1:53" ht="15.75" hidden="1" customHeight="1" outlineLevel="1">
      <c r="A680" s="395"/>
      <c r="B680" s="99"/>
      <c r="C680" s="105"/>
      <c r="D680" s="105"/>
      <c r="E680" s="105"/>
      <c r="F680" s="105"/>
      <c r="G680" s="105"/>
      <c r="H680" s="105"/>
      <c r="I680" s="105"/>
      <c r="J680" s="105"/>
      <c r="K680" s="105"/>
      <c r="L680" s="105"/>
      <c r="M680" s="105"/>
      <c r="N680" s="105"/>
      <c r="O680" s="105"/>
      <c r="P680" s="105"/>
      <c r="Q680" s="105"/>
      <c r="R680" s="105"/>
      <c r="S680" s="105"/>
      <c r="T680" s="105">
        <f>IF($V$658&gt;0,'Assumptions (Wind)'!$V$16*Model!$V$658*'Assumptions (Wind)'!S$2/10^9,0)</f>
        <v>7.7792339389429648</v>
      </c>
      <c r="U680" s="105">
        <f>IF($V$658&gt;0,'Assumptions (Wind)'!$V$16*Model!$V$658*'Assumptions (Wind)'!T$2/10^9,0)</f>
        <v>7.7403377692482502</v>
      </c>
      <c r="V680" s="99"/>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c r="AT680" s="105"/>
      <c r="AU680" s="105"/>
      <c r="AV680" s="105"/>
      <c r="AW680" s="105"/>
      <c r="AX680" s="105"/>
      <c r="AY680" s="105"/>
      <c r="AZ680" s="105"/>
      <c r="BA680" s="105"/>
    </row>
    <row r="681" spans="1:53" ht="15.75" hidden="1" customHeight="1" outlineLevel="1">
      <c r="A681" s="395"/>
      <c r="B681" s="99"/>
      <c r="C681" s="99"/>
      <c r="D681" s="99"/>
      <c r="E681" s="99"/>
      <c r="F681" s="99"/>
      <c r="G681" s="99"/>
      <c r="H681" s="99"/>
      <c r="I681" s="99"/>
      <c r="J681" s="99"/>
      <c r="K681" s="99"/>
      <c r="L681" s="99"/>
      <c r="M681" s="99"/>
      <c r="N681" s="99"/>
      <c r="O681" s="99"/>
      <c r="P681" s="99"/>
      <c r="Q681" s="99"/>
      <c r="R681" s="99"/>
      <c r="S681" s="99"/>
      <c r="T681" s="99"/>
      <c r="U681" s="105">
        <f>IF($W$658&gt;0,'Assumptions (Wind)'!$V$16*Model!$W$658*'Assumptions (Wind)'!T$2/10^9,0)</f>
        <v>12.469028559884851</v>
      </c>
      <c r="V681" s="105">
        <f>IF($W$658&gt;0,'Assumptions (Wind)'!$V$16*Model!$W$658*'Assumptions (Wind)'!U$2/10^9,0)</f>
        <v>12.406683417085427</v>
      </c>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c r="AT681" s="105"/>
      <c r="AU681" s="105"/>
      <c r="AV681" s="105"/>
      <c r="AW681" s="105"/>
      <c r="AX681" s="105"/>
      <c r="AY681" s="105"/>
      <c r="AZ681" s="105"/>
    </row>
    <row r="682" spans="1:53" ht="15.75" hidden="1" customHeight="1" outlineLevel="1">
      <c r="A682" s="395"/>
      <c r="B682" s="99"/>
      <c r="C682" s="99"/>
      <c r="D682" s="99"/>
      <c r="E682" s="99"/>
      <c r="F682" s="99"/>
      <c r="G682" s="99"/>
      <c r="H682" s="99"/>
      <c r="I682" s="99"/>
      <c r="J682" s="99"/>
      <c r="K682" s="99"/>
      <c r="L682" s="99"/>
      <c r="M682" s="99"/>
      <c r="N682" s="99"/>
      <c r="O682" s="99"/>
      <c r="P682" s="99"/>
      <c r="Q682" s="99"/>
      <c r="R682" s="99"/>
      <c r="S682" s="99"/>
      <c r="T682" s="99"/>
      <c r="U682" s="99"/>
      <c r="V682" s="105">
        <f>IF($X$658&gt;0,'Assumptions (Wind)'!$V$16*Model!$X$658*'Assumptions (Wind)'!U$2/10^9,0)</f>
        <v>48.266904885625969</v>
      </c>
      <c r="W682" s="105">
        <f>IF($X$658&gt;0,'Assumptions (Wind)'!$V$16*Model!$X$658*'Assumptions (Wind)'!V$2/10^9,0)</f>
        <v>48.025570361197836</v>
      </c>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c r="AT682" s="105"/>
      <c r="AU682" s="105"/>
      <c r="AV682" s="105"/>
      <c r="AW682" s="105"/>
      <c r="AX682" s="105"/>
      <c r="AY682" s="105"/>
      <c r="AZ682" s="105"/>
    </row>
    <row r="683" spans="1:53" ht="15.75" hidden="1" customHeight="1" outlineLevel="1">
      <c r="A683" s="395"/>
      <c r="B683" s="99"/>
      <c r="C683" s="99"/>
      <c r="D683" s="99"/>
      <c r="E683" s="99"/>
      <c r="F683" s="99"/>
      <c r="G683" s="99"/>
      <c r="H683" s="99"/>
      <c r="I683" s="99"/>
      <c r="J683" s="99"/>
      <c r="K683" s="99"/>
      <c r="L683" s="99"/>
      <c r="M683" s="99"/>
      <c r="N683" s="99"/>
      <c r="O683" s="99"/>
      <c r="P683" s="99"/>
      <c r="Q683" s="99"/>
      <c r="R683" s="99"/>
      <c r="S683" s="99"/>
      <c r="T683" s="99"/>
      <c r="U683" s="99"/>
      <c r="V683" s="99"/>
      <c r="W683" s="105">
        <f>IF($Y$658&gt;0,'Assumptions (Wind)'!$V$16*Model!$Y$658*'Assumptions (Wind)'!V$2/10^9,0)</f>
        <v>47.668155461197841</v>
      </c>
      <c r="X683" s="105">
        <f>IF($Y$658&gt;0,'Assumptions (Wind)'!$V$16*Model!$Y$658*'Assumptions (Wind)'!W$2/10^9,0)</f>
        <v>48.621518570421792</v>
      </c>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c r="AT683" s="105"/>
      <c r="AU683" s="105"/>
      <c r="AV683" s="105"/>
      <c r="AW683" s="105"/>
      <c r="AX683" s="105"/>
      <c r="AY683" s="105"/>
      <c r="AZ683" s="105"/>
    </row>
    <row r="684" spans="1:53" ht="15.75" hidden="1" customHeight="1" outlineLevel="1">
      <c r="A684" s="395"/>
      <c r="B684" s="99"/>
      <c r="C684" s="99"/>
      <c r="D684" s="99"/>
      <c r="E684" s="99"/>
      <c r="F684" s="99"/>
      <c r="G684" s="99"/>
      <c r="H684" s="99"/>
      <c r="I684" s="99"/>
      <c r="J684" s="99"/>
      <c r="K684" s="99"/>
      <c r="L684" s="99"/>
      <c r="M684" s="99"/>
      <c r="N684" s="99"/>
      <c r="O684" s="99"/>
      <c r="P684" s="99"/>
      <c r="Q684" s="99"/>
      <c r="R684" s="99"/>
      <c r="S684" s="99"/>
      <c r="T684" s="99"/>
      <c r="U684" s="99"/>
      <c r="V684" s="99"/>
      <c r="W684" s="105"/>
      <c r="X684" s="105">
        <f>IF($Z$658&gt;0,'Assumptions (Wind)'!$V$16*Model!$Z$658*'Assumptions (Wind)'!W$2/10^9,0)</f>
        <v>48.591434078421791</v>
      </c>
      <c r="Y684" s="105">
        <f>IF($Z$658&gt;0,'Assumptions (Wind)'!$V$16*Model!$Z$658*'Assumptions (Wind)'!X$2/10^9,0)</f>
        <v>49.563262759990238</v>
      </c>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c r="AT684" s="105"/>
      <c r="AU684" s="105"/>
      <c r="AV684" s="105"/>
      <c r="AW684" s="105"/>
      <c r="AX684" s="105"/>
      <c r="AY684" s="105"/>
      <c r="AZ684" s="105"/>
    </row>
    <row r="685" spans="1:53" ht="15.75" hidden="1" customHeight="1" outlineLevel="1">
      <c r="A685" s="395"/>
      <c r="B685" s="99"/>
      <c r="C685" s="99"/>
      <c r="D685" s="99"/>
      <c r="E685" s="99"/>
      <c r="F685" s="99"/>
      <c r="G685" s="99"/>
      <c r="H685" s="99"/>
      <c r="I685" s="99"/>
      <c r="J685" s="99"/>
      <c r="K685" s="99"/>
      <c r="L685" s="99"/>
      <c r="M685" s="99"/>
      <c r="N685" s="99"/>
      <c r="O685" s="99"/>
      <c r="P685" s="99"/>
      <c r="Q685" s="99"/>
      <c r="R685" s="99"/>
      <c r="S685" s="99"/>
      <c r="T685" s="99"/>
      <c r="U685" s="99"/>
      <c r="V685" s="99"/>
      <c r="W685" s="105"/>
      <c r="X685" s="105"/>
      <c r="Y685" s="105">
        <f>IF($AA$658&gt;0,'Assumptions (Wind)'!$V$16*Model!$AA$658*'Assumptions (Wind)'!X$2/10^9,0)</f>
        <v>49.50257997343023</v>
      </c>
      <c r="Z685" s="105">
        <f>IF($AA$658&gt;0,'Assumptions (Wind)'!$V$16*Model!$AA$658*'Assumptions (Wind)'!Y$2/10^9,0)</f>
        <v>50.492631572898844</v>
      </c>
      <c r="AA685" s="105"/>
      <c r="AB685" s="105"/>
      <c r="AC685" s="105"/>
      <c r="AD685" s="105"/>
      <c r="AE685" s="105"/>
      <c r="AF685" s="105"/>
      <c r="AG685" s="105"/>
      <c r="AH685" s="105"/>
      <c r="AI685" s="105"/>
      <c r="AJ685" s="105"/>
      <c r="AK685" s="105"/>
      <c r="AL685" s="105"/>
      <c r="AM685" s="105"/>
      <c r="AN685" s="105"/>
      <c r="AO685" s="105"/>
      <c r="AP685" s="105"/>
      <c r="AQ685" s="105"/>
      <c r="AR685" s="105"/>
      <c r="AS685" s="105"/>
      <c r="AT685" s="105"/>
      <c r="AU685" s="105"/>
      <c r="AV685" s="105"/>
      <c r="AW685" s="105"/>
      <c r="AX685" s="105"/>
      <c r="AY685" s="105"/>
      <c r="AZ685" s="105"/>
    </row>
    <row r="686" spans="1:53" ht="15.75" hidden="1" customHeight="1" outlineLevel="1">
      <c r="A686" s="395"/>
      <c r="B686" s="99"/>
      <c r="C686" s="99"/>
      <c r="D686" s="99"/>
      <c r="E686" s="99"/>
      <c r="F686" s="99"/>
      <c r="G686" s="99"/>
      <c r="H686" s="99"/>
      <c r="I686" s="99"/>
      <c r="J686" s="99"/>
      <c r="K686" s="99"/>
      <c r="L686" s="99"/>
      <c r="M686" s="99"/>
      <c r="N686" s="99"/>
      <c r="O686" s="99"/>
      <c r="P686" s="99"/>
      <c r="Q686" s="99"/>
      <c r="R686" s="99"/>
      <c r="S686" s="99"/>
      <c r="T686" s="99"/>
      <c r="U686" s="99"/>
      <c r="V686" s="99"/>
      <c r="W686" s="105"/>
      <c r="X686" s="105"/>
      <c r="Y686" s="105"/>
      <c r="Z686" s="105">
        <f>IF($AB$658&gt;0,'Assumptions (Wind)'!$V$16*Model!$AB$658*'Assumptions (Wind)'!Y$2/10^9,0)</f>
        <v>50.490609387994439</v>
      </c>
      <c r="AA686" s="105">
        <f>IF($AB$658&gt;0,'Assumptions (Wind)'!$V$16*Model!$AB$658*'Assumptions (Wind)'!Z$2/10^9,0)</f>
        <v>51.500421575754324</v>
      </c>
      <c r="AB686" s="105"/>
      <c r="AC686" s="105"/>
      <c r="AD686" s="105"/>
      <c r="AE686" s="105"/>
      <c r="AF686" s="105"/>
      <c r="AG686" s="105"/>
      <c r="AH686" s="105"/>
      <c r="AI686" s="105"/>
      <c r="AJ686" s="105"/>
      <c r="AK686" s="105"/>
      <c r="AL686" s="105"/>
      <c r="AM686" s="105"/>
      <c r="AN686" s="105"/>
      <c r="AO686" s="105"/>
      <c r="AP686" s="105"/>
      <c r="AQ686" s="105"/>
      <c r="AR686" s="105"/>
      <c r="AS686" s="105"/>
      <c r="AT686" s="105"/>
      <c r="AU686" s="105"/>
      <c r="AV686" s="105"/>
      <c r="AW686" s="105"/>
      <c r="AX686" s="105"/>
      <c r="AY686" s="105"/>
      <c r="AZ686" s="105"/>
    </row>
    <row r="687" spans="1:53" ht="15.75" hidden="1" customHeight="1" outlineLevel="1">
      <c r="A687" s="395"/>
      <c r="B687" s="99"/>
      <c r="C687" s="99"/>
      <c r="D687" s="99"/>
      <c r="E687" s="99"/>
      <c r="F687" s="99"/>
      <c r="G687" s="99"/>
      <c r="H687" s="99"/>
      <c r="I687" s="99"/>
      <c r="J687" s="99"/>
      <c r="K687" s="99"/>
      <c r="L687" s="99"/>
      <c r="M687" s="99"/>
      <c r="N687" s="99"/>
      <c r="O687" s="99"/>
      <c r="P687" s="99"/>
      <c r="Q687" s="99"/>
      <c r="R687" s="99"/>
      <c r="S687" s="99"/>
      <c r="T687" s="99"/>
      <c r="U687" s="99"/>
      <c r="V687" s="99"/>
      <c r="W687" s="105"/>
      <c r="X687" s="105"/>
      <c r="Y687" s="105"/>
      <c r="Z687" s="105"/>
      <c r="AA687" s="105">
        <f>IF($AC$658&gt;0,'Assumptions (Wind)'!$V$16*Model!$AC$658*'Assumptions (Wind)'!Z$2/10^9,0)</f>
        <v>51.557637099597251</v>
      </c>
      <c r="AB687" s="105">
        <f>IF($AC$658&gt;0,'Assumptions (Wind)'!$V$16*Model!$AC$658*'Assumptions (Wind)'!AA$2/10^9,0)</f>
        <v>52.588789841589204</v>
      </c>
      <c r="AC687" s="105"/>
      <c r="AD687" s="105"/>
      <c r="AE687" s="105"/>
      <c r="AF687" s="105"/>
      <c r="AG687" s="105"/>
      <c r="AH687" s="105"/>
      <c r="AI687" s="105"/>
      <c r="AJ687" s="105"/>
      <c r="AK687" s="105"/>
      <c r="AL687" s="105"/>
      <c r="AM687" s="105"/>
      <c r="AN687" s="105"/>
      <c r="AO687" s="105"/>
      <c r="AP687" s="105"/>
      <c r="AQ687" s="105"/>
      <c r="AR687" s="105"/>
      <c r="AS687" s="105"/>
      <c r="AT687" s="105"/>
      <c r="AU687" s="105"/>
      <c r="AV687" s="105"/>
      <c r="AW687" s="105"/>
      <c r="AX687" s="105"/>
      <c r="AY687" s="105"/>
      <c r="AZ687" s="105"/>
    </row>
    <row r="688" spans="1:53" ht="15.75" hidden="1" customHeight="1" outlineLevel="1">
      <c r="A688" s="395"/>
      <c r="B688" s="99"/>
      <c r="C688" s="99"/>
      <c r="D688" s="99"/>
      <c r="E688" s="99"/>
      <c r="F688" s="99"/>
      <c r="G688" s="99"/>
      <c r="H688" s="99"/>
      <c r="I688" s="99"/>
      <c r="J688" s="99"/>
      <c r="K688" s="99"/>
      <c r="L688" s="99"/>
      <c r="M688" s="99"/>
      <c r="N688" s="99"/>
      <c r="O688" s="99"/>
      <c r="P688" s="99"/>
      <c r="Q688" s="99"/>
      <c r="R688" s="99"/>
      <c r="S688" s="99"/>
      <c r="T688" s="99"/>
      <c r="U688" s="99"/>
      <c r="V688" s="99"/>
      <c r="W688" s="105"/>
      <c r="X688" s="105"/>
      <c r="Y688" s="105"/>
      <c r="Z688" s="105"/>
      <c r="AA688" s="105"/>
      <c r="AB688" s="105">
        <f>IF($AD$658&gt;0,'Assumptions (Wind)'!$V$16*Model!$AD$658*'Assumptions (Wind)'!AA$2/10^9,0)</f>
        <v>52.526588137298525</v>
      </c>
      <c r="AC688" s="105">
        <f>IF($AD$658&gt;0,'Assumptions (Wind)'!$V$16*Model!$AD$658*'Assumptions (Wind)'!AB$2/10^9,0)</f>
        <v>53.577119900044494</v>
      </c>
      <c r="AD688" s="105"/>
      <c r="AE688" s="105"/>
      <c r="AF688" s="105"/>
      <c r="AG688" s="105"/>
      <c r="AH688" s="105"/>
      <c r="AI688" s="105"/>
      <c r="AJ688" s="105"/>
      <c r="AK688" s="105"/>
      <c r="AL688" s="105"/>
      <c r="AM688" s="105"/>
      <c r="AN688" s="105"/>
      <c r="AO688" s="105"/>
      <c r="AP688" s="105"/>
      <c r="AQ688" s="105"/>
      <c r="AR688" s="105"/>
      <c r="AS688" s="105"/>
      <c r="AT688" s="105"/>
      <c r="AU688" s="105"/>
      <c r="AV688" s="105"/>
      <c r="AW688" s="105"/>
      <c r="AX688" s="105"/>
      <c r="AY688" s="105"/>
      <c r="AZ688" s="105"/>
    </row>
    <row r="689" spans="1:52" ht="15.75" hidden="1" customHeight="1" outlineLevel="1">
      <c r="A689" s="395"/>
      <c r="B689" s="99"/>
      <c r="C689" s="99"/>
      <c r="D689" s="99"/>
      <c r="E689" s="99"/>
      <c r="F689" s="99"/>
      <c r="G689" s="99"/>
      <c r="H689" s="99"/>
      <c r="I689" s="99"/>
      <c r="J689" s="99"/>
      <c r="K689" s="99"/>
      <c r="L689" s="99"/>
      <c r="M689" s="99"/>
      <c r="N689" s="99"/>
      <c r="O689" s="99"/>
      <c r="P689" s="99"/>
      <c r="Q689" s="99"/>
      <c r="R689" s="99"/>
      <c r="S689" s="99"/>
      <c r="T689" s="99"/>
      <c r="U689" s="99"/>
      <c r="V689" s="99"/>
      <c r="W689" s="105"/>
      <c r="X689" s="105"/>
      <c r="Y689" s="105"/>
      <c r="Z689" s="105"/>
      <c r="AA689" s="105"/>
      <c r="AB689" s="105"/>
      <c r="AC689" s="105">
        <f>IF($AE$658&gt;0,'Assumptions (Wind)'!$V$16*Model!$AE$658*'Assumptions (Wind)'!AB$2/10^9,0)</f>
        <v>53.577119900044494</v>
      </c>
      <c r="AD689" s="105">
        <f>IF($AE$658&gt;0,'Assumptions (Wind)'!$V$16*Model!$AE$658*'Assumptions (Wind)'!AC$2/10^9,0)</f>
        <v>54.64866229804538</v>
      </c>
      <c r="AE689" s="105"/>
      <c r="AF689" s="105"/>
      <c r="AG689" s="105"/>
      <c r="AH689" s="105"/>
      <c r="AI689" s="105"/>
      <c r="AJ689" s="105"/>
      <c r="AK689" s="105"/>
      <c r="AL689" s="105"/>
      <c r="AM689" s="105"/>
      <c r="AN689" s="105"/>
      <c r="AO689" s="105"/>
      <c r="AP689" s="105"/>
      <c r="AQ689" s="105"/>
      <c r="AR689" s="105"/>
      <c r="AS689" s="105"/>
      <c r="AT689" s="105"/>
      <c r="AU689" s="105"/>
      <c r="AV689" s="105"/>
      <c r="AW689" s="105"/>
      <c r="AX689" s="105"/>
      <c r="AY689" s="105"/>
      <c r="AZ689" s="105"/>
    </row>
    <row r="690" spans="1:52" ht="15.75" hidden="1" customHeight="1" outlineLevel="1">
      <c r="A690" s="395"/>
      <c r="B690" s="99"/>
      <c r="C690" s="99"/>
      <c r="D690" s="99"/>
      <c r="E690" s="99"/>
      <c r="F690" s="99"/>
      <c r="G690" s="99"/>
      <c r="H690" s="99"/>
      <c r="I690" s="99"/>
      <c r="J690" s="99"/>
      <c r="K690" s="99"/>
      <c r="L690" s="99"/>
      <c r="M690" s="99"/>
      <c r="N690" s="99"/>
      <c r="O690" s="99"/>
      <c r="P690" s="99"/>
      <c r="Q690" s="99"/>
      <c r="R690" s="99"/>
      <c r="S690" s="99"/>
      <c r="T690" s="99"/>
      <c r="U690" s="99"/>
      <c r="V690" s="99"/>
      <c r="W690" s="105"/>
      <c r="X690" s="105"/>
      <c r="Y690" s="105"/>
      <c r="Z690" s="105"/>
      <c r="AA690" s="105"/>
      <c r="AB690" s="105"/>
      <c r="AC690" s="105"/>
      <c r="AD690" s="105">
        <f>IF($AF$658&gt;0,'Assumptions (Wind)'!$V$16*Model!$AF$658*'Assumptions (Wind)'!AC$2/10^9,0)</f>
        <v>54.666553996267609</v>
      </c>
      <c r="AE690" s="105">
        <f>IF($AF$658&gt;0,'Assumptions (Wind)'!$V$16*Model!$AF$658*'Assumptions (Wind)'!AD$2/10^9,0)</f>
        <v>55.759885076192973</v>
      </c>
      <c r="AF690" s="105"/>
      <c r="AG690" s="105"/>
      <c r="AH690" s="105"/>
      <c r="AI690" s="105"/>
      <c r="AJ690" s="105"/>
      <c r="AK690" s="105"/>
      <c r="AL690" s="105"/>
      <c r="AM690" s="105"/>
      <c r="AN690" s="105"/>
      <c r="AO690" s="105"/>
      <c r="AP690" s="105"/>
      <c r="AQ690" s="105"/>
      <c r="AR690" s="105"/>
      <c r="AS690" s="105"/>
      <c r="AT690" s="105"/>
      <c r="AU690" s="105"/>
      <c r="AV690" s="105"/>
      <c r="AW690" s="105"/>
      <c r="AX690" s="105"/>
      <c r="AY690" s="105"/>
      <c r="AZ690" s="105"/>
    </row>
    <row r="691" spans="1:52" ht="15.75" hidden="1" customHeight="1" outlineLevel="1">
      <c r="A691" s="395"/>
      <c r="B691" s="99"/>
      <c r="C691" s="99"/>
      <c r="D691" s="99"/>
      <c r="E691" s="99"/>
      <c r="F691" s="99"/>
      <c r="G691" s="99"/>
      <c r="H691" s="99"/>
      <c r="I691" s="99"/>
      <c r="J691" s="99"/>
      <c r="K691" s="99"/>
      <c r="L691" s="99"/>
      <c r="M691" s="99"/>
      <c r="N691" s="99"/>
      <c r="O691" s="99"/>
      <c r="P691" s="99"/>
      <c r="Q691" s="99"/>
      <c r="R691" s="99"/>
      <c r="S691" s="99"/>
      <c r="T691" s="99"/>
      <c r="U691" s="99"/>
      <c r="V691" s="99"/>
      <c r="W691" s="105"/>
      <c r="X691" s="105"/>
      <c r="Y691" s="105"/>
      <c r="Z691" s="105"/>
      <c r="AA691" s="105"/>
      <c r="AB691" s="105"/>
      <c r="AC691" s="105"/>
      <c r="AD691" s="105"/>
      <c r="AE691" s="105">
        <f>IF($AG$658&gt;0,'Assumptions (Wind)'!$V$16*Model!$AG$658*'Assumptions (Wind)'!AD$2/10^9,0)</f>
        <v>55.907240341401909</v>
      </c>
      <c r="AF691" s="105">
        <f>IF($AG$658&gt;0,'Assumptions (Wind)'!$V$16*Model!$AG$658*'Assumptions (Wind)'!AE$2/10^9,0)</f>
        <v>57.025385148229951</v>
      </c>
      <c r="AG691" s="105"/>
      <c r="AH691" s="105"/>
      <c r="AI691" s="105"/>
      <c r="AJ691" s="105"/>
      <c r="AK691" s="105"/>
      <c r="AL691" s="105"/>
      <c r="AM691" s="105"/>
      <c r="AN691" s="105"/>
      <c r="AO691" s="105"/>
      <c r="AP691" s="105"/>
      <c r="AQ691" s="105"/>
      <c r="AR691" s="105"/>
      <c r="AS691" s="105"/>
      <c r="AT691" s="105"/>
      <c r="AU691" s="105"/>
      <c r="AV691" s="105"/>
      <c r="AW691" s="105"/>
      <c r="AX691" s="105"/>
      <c r="AY691" s="105"/>
      <c r="AZ691" s="105"/>
    </row>
    <row r="692" spans="1:52" ht="15.75" hidden="1" customHeight="1" outlineLevel="1">
      <c r="A692" s="395"/>
      <c r="B692" s="99"/>
      <c r="C692" s="99"/>
      <c r="D692" s="99"/>
      <c r="E692" s="99"/>
      <c r="F692" s="99"/>
      <c r="G692" s="99"/>
      <c r="H692" s="99"/>
      <c r="I692" s="99"/>
      <c r="J692" s="99"/>
      <c r="K692" s="99"/>
      <c r="L692" s="99"/>
      <c r="M692" s="99"/>
      <c r="N692" s="99"/>
      <c r="O692" s="99"/>
      <c r="P692" s="99"/>
      <c r="Q692" s="99"/>
      <c r="R692" s="99"/>
      <c r="S692" s="99"/>
      <c r="T692" s="99"/>
      <c r="U692" s="99"/>
      <c r="V692" s="99"/>
      <c r="W692" s="105"/>
      <c r="X692" s="105"/>
      <c r="Y692" s="105"/>
      <c r="Z692" s="105"/>
      <c r="AA692" s="105"/>
      <c r="AB692" s="105"/>
      <c r="AC692" s="105"/>
      <c r="AD692" s="105"/>
      <c r="AE692" s="105"/>
      <c r="AF692" s="105">
        <f>IF($AH$658&gt;0,'Assumptions (Wind)'!$V$16*Model!$AH$658*'Assumptions (Wind)'!AE$2/10^9,0)</f>
        <v>57.477084367123801</v>
      </c>
      <c r="AG692" s="105">
        <f>IF($AH$658&gt;0,'Assumptions (Wind)'!$V$16*Model!$AH$658*'Assumptions (Wind)'!AF$2/10^9,0)</f>
        <v>58.626626054466286</v>
      </c>
      <c r="AH692" s="105"/>
      <c r="AI692" s="105"/>
      <c r="AJ692" s="105"/>
      <c r="AK692" s="105"/>
      <c r="AL692" s="105"/>
      <c r="AM692" s="105"/>
      <c r="AN692" s="105"/>
      <c r="AO692" s="105"/>
      <c r="AP692" s="105"/>
      <c r="AQ692" s="105"/>
      <c r="AR692" s="105"/>
      <c r="AS692" s="105"/>
      <c r="AT692" s="105"/>
      <c r="AU692" s="105"/>
      <c r="AV692" s="105"/>
      <c r="AW692" s="105"/>
      <c r="AX692" s="105"/>
      <c r="AY692" s="105"/>
      <c r="AZ692" s="105"/>
    </row>
    <row r="693" spans="1:52" ht="15.75" hidden="1" customHeight="1" outlineLevel="1">
      <c r="A693" s="395"/>
      <c r="B693" s="99"/>
      <c r="C693" s="99"/>
      <c r="D693" s="99"/>
      <c r="E693" s="99"/>
      <c r="F693" s="99"/>
      <c r="G693" s="99"/>
      <c r="H693" s="99"/>
      <c r="I693" s="99"/>
      <c r="J693" s="99"/>
      <c r="K693" s="99"/>
      <c r="L693" s="99"/>
      <c r="M693" s="99"/>
      <c r="N693" s="99"/>
      <c r="O693" s="99"/>
      <c r="P693" s="99"/>
      <c r="Q693" s="99"/>
      <c r="R693" s="99"/>
      <c r="S693" s="99"/>
      <c r="T693" s="99"/>
      <c r="U693" s="99"/>
      <c r="V693" s="99"/>
      <c r="W693" s="105"/>
      <c r="X693" s="105"/>
      <c r="Y693" s="105"/>
      <c r="Z693" s="105"/>
      <c r="AA693" s="105"/>
      <c r="AB693" s="105"/>
      <c r="AC693" s="105"/>
      <c r="AD693" s="105"/>
      <c r="AE693" s="105"/>
      <c r="AF693" s="105"/>
      <c r="AG693" s="105">
        <f>IF($AI$658&gt;0,'Assumptions (Wind)'!$V$16*Model!$AI$658*'Assumptions (Wind)'!AF$2/10^9,0)</f>
        <v>58.033389132936655</v>
      </c>
      <c r="AH693" s="105">
        <f>IF($AI$658&gt;0,'Assumptions (Wind)'!$V$16*Model!$AI$658*'Assumptions (Wind)'!AG$2/10^9,0)</f>
        <v>59.19405691559539</v>
      </c>
      <c r="AI693" s="105"/>
      <c r="AJ693" s="105"/>
      <c r="AK693" s="105"/>
      <c r="AL693" s="105"/>
      <c r="AM693" s="105"/>
      <c r="AN693" s="105"/>
      <c r="AO693" s="105"/>
      <c r="AP693" s="105"/>
      <c r="AQ693" s="105"/>
      <c r="AR693" s="105"/>
      <c r="AS693" s="105"/>
      <c r="AT693" s="105"/>
      <c r="AU693" s="105"/>
      <c r="AV693" s="105"/>
      <c r="AW693" s="105"/>
      <c r="AX693" s="105"/>
      <c r="AY693" s="105"/>
      <c r="AZ693" s="105"/>
    </row>
    <row r="694" spans="1:52" ht="15.75" hidden="1" customHeight="1" outlineLevel="1">
      <c r="A694" s="395"/>
      <c r="B694" s="99"/>
      <c r="C694" s="99"/>
      <c r="D694" s="99"/>
      <c r="E694" s="99"/>
      <c r="F694" s="99"/>
      <c r="G694" s="99"/>
      <c r="H694" s="99"/>
      <c r="I694" s="99"/>
      <c r="J694" s="99"/>
      <c r="K694" s="99"/>
      <c r="L694" s="99"/>
      <c r="M694" s="99"/>
      <c r="N694" s="99"/>
      <c r="O694" s="99"/>
      <c r="P694" s="99"/>
      <c r="Q694" s="99"/>
      <c r="R694" s="99"/>
      <c r="S694" s="99"/>
      <c r="T694" s="99"/>
      <c r="U694" s="99"/>
      <c r="V694" s="99"/>
      <c r="W694" s="105"/>
      <c r="X694" s="105"/>
      <c r="Y694" s="105"/>
      <c r="Z694" s="105"/>
      <c r="AA694" s="105"/>
      <c r="AB694" s="105"/>
      <c r="AC694" s="105"/>
      <c r="AD694" s="105"/>
      <c r="AE694" s="105"/>
      <c r="AF694" s="105"/>
      <c r="AG694" s="105"/>
      <c r="AH694" s="105">
        <f>IF($AJ$658&gt;0,'Assumptions (Wind)'!$V$16*Model!$AJ$658*'Assumptions (Wind)'!AG$2/10^9,0)</f>
        <v>60.703617645090972</v>
      </c>
      <c r="AI694" s="105">
        <f>IF($AJ$658&gt;0,'Assumptions (Wind)'!$V$16*Model!$AJ$658*'Assumptions (Wind)'!AH$2/10^9,0)</f>
        <v>61.917689997992788</v>
      </c>
      <c r="AJ694" s="91"/>
      <c r="AK694" s="105"/>
      <c r="AL694" s="91"/>
      <c r="AM694" s="91"/>
      <c r="AN694" s="91"/>
      <c r="AO694" s="91"/>
      <c r="AP694" s="91"/>
      <c r="AQ694" s="91"/>
      <c r="AR694" s="91"/>
      <c r="AS694" s="91"/>
      <c r="AT694" s="91"/>
      <c r="AU694" s="91"/>
      <c r="AV694" s="91"/>
      <c r="AW694" s="91"/>
      <c r="AX694" s="91"/>
      <c r="AY694" s="91"/>
      <c r="AZ694" s="91"/>
    </row>
    <row r="695" spans="1:52" ht="15.75" hidden="1" customHeight="1" outlineLevel="1">
      <c r="A695" s="395"/>
      <c r="B695" s="99"/>
      <c r="C695" s="99"/>
      <c r="D695" s="99"/>
      <c r="E695" s="99"/>
      <c r="F695" s="99"/>
      <c r="G695" s="99"/>
      <c r="H695" s="99"/>
      <c r="I695" s="99"/>
      <c r="J695" s="99"/>
      <c r="K695" s="99"/>
      <c r="L695" s="99"/>
      <c r="M695" s="99"/>
      <c r="N695" s="99"/>
      <c r="O695" s="99"/>
      <c r="P695" s="99"/>
      <c r="Q695" s="99"/>
      <c r="R695" s="99"/>
      <c r="S695" s="99"/>
      <c r="T695" s="99"/>
      <c r="U695" s="99"/>
      <c r="V695" s="99"/>
      <c r="W695" s="105"/>
      <c r="X695" s="105"/>
      <c r="Y695" s="105"/>
      <c r="Z695" s="105"/>
      <c r="AA695" s="105"/>
      <c r="AB695" s="105"/>
      <c r="AC695" s="105"/>
      <c r="AD695" s="105"/>
      <c r="AE695" s="105"/>
      <c r="AF695" s="105"/>
      <c r="AG695" s="105"/>
      <c r="AH695" s="105"/>
      <c r="AI695" s="105">
        <f>IF($AK$658&gt;0,'Assumptions (Wind)'!$V$16*Model!$AK$658*'Assumptions (Wind)'!AH$2/10^9,0)</f>
        <v>60.988942390938632</v>
      </c>
      <c r="AJ695" s="105">
        <f>IF($AK$658&gt;0,'Assumptions (Wind)'!$V$16*Model!$AK$658*'Assumptions (Wind)'!AI$2/10^9,0)</f>
        <v>62.208721238757406</v>
      </c>
      <c r="AK695" s="105"/>
      <c r="AL695" s="91"/>
      <c r="AM695" s="91"/>
      <c r="AN695" s="91"/>
      <c r="AO695" s="91"/>
      <c r="AP695" s="91"/>
      <c r="AQ695" s="91"/>
      <c r="AR695" s="91"/>
      <c r="AS695" s="91"/>
      <c r="AT695" s="91"/>
      <c r="AU695" s="91"/>
      <c r="AV695" s="91"/>
      <c r="AW695" s="91"/>
      <c r="AX695" s="91"/>
      <c r="AY695" s="91"/>
      <c r="AZ695" s="91"/>
    </row>
    <row r="696" spans="1:52" ht="15.75" hidden="1" customHeight="1" outlineLevel="1">
      <c r="A696" s="395"/>
      <c r="B696" s="99"/>
      <c r="C696" s="99"/>
      <c r="D696" s="99"/>
      <c r="E696" s="99"/>
      <c r="F696" s="99"/>
      <c r="G696" s="99"/>
      <c r="H696" s="99"/>
      <c r="I696" s="99"/>
      <c r="J696" s="99"/>
      <c r="K696" s="99"/>
      <c r="L696" s="99"/>
      <c r="M696" s="99"/>
      <c r="N696" s="99"/>
      <c r="O696" s="99"/>
      <c r="P696" s="99"/>
      <c r="Q696" s="99"/>
      <c r="R696" s="99"/>
      <c r="S696" s="99"/>
      <c r="T696" s="99"/>
      <c r="U696" s="99"/>
      <c r="V696" s="99"/>
      <c r="W696" s="105"/>
      <c r="X696" s="105"/>
      <c r="Y696" s="105"/>
      <c r="Z696" s="105"/>
      <c r="AA696" s="105"/>
      <c r="AB696" s="105"/>
      <c r="AC696" s="105"/>
      <c r="AD696" s="105"/>
      <c r="AE696" s="105"/>
      <c r="AF696" s="105"/>
      <c r="AG696" s="105"/>
      <c r="AH696" s="105"/>
      <c r="AI696" s="105"/>
      <c r="AJ696" s="105">
        <f>IF($AL$658&gt;0,'Assumptions (Wind)'!$V$16*Model!$AL$658*'Assumptions (Wind)'!AI$2/10^9,0)</f>
        <v>63.268577872752402</v>
      </c>
      <c r="AK696" s="105">
        <f>IF($AL$658&gt;0,'Assumptions (Wind)'!$V$16*Model!$AL$658*'Assumptions (Wind)'!AJ$2/10^9,0)</f>
        <v>64.533949430207457</v>
      </c>
      <c r="AL696" s="91"/>
      <c r="AM696" s="91"/>
      <c r="AN696" s="91"/>
      <c r="AO696" s="91"/>
      <c r="AP696" s="91"/>
      <c r="AQ696" s="91"/>
      <c r="AR696" s="91"/>
      <c r="AS696" s="91"/>
      <c r="AT696" s="91"/>
      <c r="AU696" s="91"/>
      <c r="AV696" s="91"/>
      <c r="AW696" s="91"/>
      <c r="AX696" s="91"/>
      <c r="AY696" s="91"/>
      <c r="AZ696" s="91"/>
    </row>
    <row r="697" spans="1:52" ht="15.75" hidden="1" customHeight="1" outlineLevel="1">
      <c r="A697" s="395"/>
      <c r="B697" s="99"/>
      <c r="C697" s="99"/>
      <c r="D697" s="99"/>
      <c r="E697" s="99"/>
      <c r="F697" s="99"/>
      <c r="G697" s="99"/>
      <c r="H697" s="99"/>
      <c r="I697" s="99"/>
      <c r="J697" s="99"/>
      <c r="K697" s="99"/>
      <c r="L697" s="99"/>
      <c r="M697" s="99"/>
      <c r="N697" s="99"/>
      <c r="O697" s="99"/>
      <c r="P697" s="99"/>
      <c r="Q697" s="99"/>
      <c r="R697" s="99"/>
      <c r="S697" s="99"/>
      <c r="T697" s="99"/>
      <c r="U697" s="99"/>
      <c r="V697" s="99"/>
      <c r="W697" s="105"/>
      <c r="X697" s="105"/>
      <c r="Y697" s="105"/>
      <c r="Z697" s="105"/>
      <c r="AA697" s="105"/>
      <c r="AB697" s="105"/>
      <c r="AC697" s="105"/>
      <c r="AD697" s="105"/>
      <c r="AE697" s="105"/>
      <c r="AF697" s="105"/>
      <c r="AG697" s="105"/>
      <c r="AH697" s="105"/>
      <c r="AI697" s="105"/>
      <c r="AJ697" s="105"/>
      <c r="AK697" s="105">
        <f>IF($AM$658&gt;0,'Assumptions (Wind)'!$V$16*Model!$AM$658*'Assumptions (Wind)'!AJ$2/10^9,0)</f>
        <v>63.186485710110894</v>
      </c>
      <c r="AL697" s="105">
        <f>IF($AM$658&gt;0,'Assumptions (Wind)'!$V$16*Model!$AM$658*'Assumptions (Wind)'!AK$2/10^9,0)</f>
        <v>64.450215424313114</v>
      </c>
      <c r="AM697" s="105"/>
      <c r="AN697" s="105"/>
      <c r="AO697" s="105"/>
      <c r="AP697" s="105"/>
      <c r="AQ697" s="105"/>
      <c r="AR697" s="105"/>
      <c r="AS697" s="105"/>
      <c r="AT697" s="105"/>
      <c r="AU697" s="105"/>
      <c r="AV697" s="105"/>
      <c r="AW697" s="105"/>
      <c r="AX697" s="105"/>
      <c r="AY697" s="105"/>
      <c r="AZ697" s="105"/>
    </row>
    <row r="698" spans="1:52" ht="15.75" hidden="1" customHeight="1" outlineLevel="1">
      <c r="A698" s="395"/>
      <c r="B698" s="99"/>
      <c r="C698" s="99"/>
      <c r="D698" s="99"/>
      <c r="E698" s="99"/>
      <c r="F698" s="99"/>
      <c r="G698" s="99"/>
      <c r="H698" s="99"/>
      <c r="I698" s="99"/>
      <c r="J698" s="99"/>
      <c r="K698" s="99"/>
      <c r="L698" s="99"/>
      <c r="M698" s="99"/>
      <c r="N698" s="99"/>
      <c r="O698" s="99"/>
      <c r="P698" s="99"/>
      <c r="Q698" s="99"/>
      <c r="R698" s="99"/>
      <c r="S698" s="99"/>
      <c r="T698" s="99"/>
      <c r="U698" s="99"/>
      <c r="V698" s="99"/>
      <c r="W698" s="105"/>
      <c r="X698" s="105"/>
      <c r="Y698" s="105"/>
      <c r="Z698" s="105"/>
      <c r="AA698" s="105"/>
      <c r="AB698" s="105"/>
      <c r="AC698" s="105"/>
      <c r="AD698" s="105"/>
      <c r="AE698" s="105"/>
      <c r="AF698" s="105"/>
      <c r="AG698" s="105"/>
      <c r="AH698" s="105"/>
      <c r="AI698" s="105"/>
      <c r="AJ698" s="105"/>
      <c r="AK698" s="105"/>
      <c r="AL698" s="105">
        <f>IF($AN$658&gt;0,'Assumptions (Wind)'!$V$16*Model!$AN$658*'Assumptions (Wind)'!AK$2/10^9,0)</f>
        <v>66.412149274564683</v>
      </c>
      <c r="AM698" s="105">
        <f>IF($AN$658&gt;0,'Assumptions (Wind)'!$V$16*Model!$AN$658*'Assumptions (Wind)'!AL$2/10^9,0)</f>
        <v>67.740392260055984</v>
      </c>
      <c r="AN698" s="105"/>
      <c r="AO698" s="105"/>
      <c r="AP698" s="105"/>
      <c r="AQ698" s="105"/>
      <c r="AR698" s="105"/>
      <c r="AS698" s="105"/>
      <c r="AT698" s="105"/>
      <c r="AU698" s="105"/>
      <c r="AV698" s="105"/>
      <c r="AW698" s="105"/>
      <c r="AX698" s="105"/>
      <c r="AY698" s="105"/>
      <c r="AZ698" s="105"/>
    </row>
    <row r="699" spans="1:52" ht="15.75" hidden="1" customHeight="1" outlineLevel="1">
      <c r="A699" s="395"/>
      <c r="B699" s="99"/>
      <c r="C699" s="99"/>
      <c r="D699" s="99"/>
      <c r="E699" s="99"/>
      <c r="F699" s="99"/>
      <c r="G699" s="99"/>
      <c r="H699" s="99"/>
      <c r="I699" s="99"/>
      <c r="J699" s="99"/>
      <c r="K699" s="99"/>
      <c r="L699" s="99"/>
      <c r="M699" s="99"/>
      <c r="N699" s="99"/>
      <c r="O699" s="99"/>
      <c r="P699" s="99"/>
      <c r="Q699" s="99"/>
      <c r="R699" s="99"/>
      <c r="S699" s="99"/>
      <c r="T699" s="99"/>
      <c r="U699" s="99"/>
      <c r="V699" s="99"/>
      <c r="W699" s="105"/>
      <c r="X699" s="105"/>
      <c r="Y699" s="105"/>
      <c r="Z699" s="105"/>
      <c r="AA699" s="105"/>
      <c r="AB699" s="105"/>
      <c r="AC699" s="105"/>
      <c r="AD699" s="105"/>
      <c r="AE699" s="105"/>
      <c r="AF699" s="105"/>
      <c r="AG699" s="105"/>
      <c r="AH699" s="105"/>
      <c r="AI699" s="105"/>
      <c r="AJ699" s="105"/>
      <c r="AK699" s="105"/>
      <c r="AL699" s="105"/>
      <c r="AM699" s="105">
        <f>IF($AO$658&gt;0,'Assumptions (Wind)'!$V$16*Model!$AO$658*'Assumptions (Wind)'!AL$2/10^9,0)</f>
        <v>68.241509972763723</v>
      </c>
      <c r="AN699" s="105">
        <f>IF($AO$658&gt;0,'Assumptions (Wind)'!$V$16*Model!$AO$658*'Assumptions (Wind)'!AM$2/10^9,0)</f>
        <v>69.606340172218992</v>
      </c>
      <c r="AO699" s="105"/>
      <c r="AP699" s="105"/>
      <c r="AQ699" s="105"/>
      <c r="AR699" s="105"/>
      <c r="AS699" s="105"/>
      <c r="AT699" s="105"/>
      <c r="AU699" s="105"/>
      <c r="AV699" s="105"/>
      <c r="AW699" s="105"/>
      <c r="AX699" s="105"/>
      <c r="AY699" s="105"/>
      <c r="AZ699" s="105"/>
    </row>
    <row r="700" spans="1:52" ht="15.75" hidden="1" customHeight="1" outlineLevel="1">
      <c r="A700" s="395"/>
      <c r="B700" s="99"/>
      <c r="C700" s="99"/>
      <c r="D700" s="99"/>
      <c r="E700" s="99"/>
      <c r="F700" s="99"/>
      <c r="G700" s="99"/>
      <c r="H700" s="99"/>
      <c r="I700" s="99"/>
      <c r="J700" s="99"/>
      <c r="K700" s="99"/>
      <c r="L700" s="99"/>
      <c r="M700" s="99"/>
      <c r="N700" s="99"/>
      <c r="O700" s="99"/>
      <c r="P700" s="99"/>
      <c r="Q700" s="99"/>
      <c r="R700" s="99"/>
      <c r="S700" s="99"/>
      <c r="T700" s="99"/>
      <c r="U700" s="99"/>
      <c r="V700" s="99"/>
      <c r="W700" s="105"/>
      <c r="X700" s="105"/>
      <c r="Y700" s="105"/>
      <c r="Z700" s="105"/>
      <c r="AA700" s="105"/>
      <c r="AB700" s="105"/>
      <c r="AC700" s="105"/>
      <c r="AD700" s="105"/>
      <c r="AE700" s="105"/>
      <c r="AF700" s="105"/>
      <c r="AG700" s="105"/>
      <c r="AH700" s="105"/>
      <c r="AI700" s="105"/>
      <c r="AJ700" s="105"/>
      <c r="AK700" s="105"/>
      <c r="AL700" s="105"/>
      <c r="AM700" s="105"/>
      <c r="AN700" s="105">
        <f>IF($AP$658&gt;0,'Assumptions (Wind)'!$V$16*Model!$AP$658*'Assumptions (Wind)'!AM$2/10^9,0)</f>
        <v>72.711579884513341</v>
      </c>
      <c r="AO700" s="105">
        <f>IF($AP$658&gt;0,'Assumptions (Wind)'!$V$16*Model!$AP$658*'Assumptions (Wind)'!AN$2/10^9,0)</f>
        <v>74.165811482203594</v>
      </c>
      <c r="AP700" s="105"/>
      <c r="AQ700" s="105"/>
      <c r="AR700" s="105"/>
      <c r="AS700" s="105"/>
      <c r="AT700" s="105"/>
      <c r="AU700" s="105"/>
      <c r="AV700" s="105"/>
      <c r="AW700" s="105"/>
      <c r="AX700" s="105"/>
      <c r="AY700" s="105"/>
      <c r="AZ700" s="105"/>
    </row>
    <row r="701" spans="1:52" ht="15.75" hidden="1" customHeight="1" outlineLevel="1">
      <c r="A701" s="395"/>
      <c r="B701" s="99"/>
      <c r="C701" s="99"/>
      <c r="D701" s="99"/>
      <c r="E701" s="99"/>
      <c r="F701" s="99"/>
      <c r="G701" s="99"/>
      <c r="H701" s="99"/>
      <c r="I701" s="99"/>
      <c r="J701" s="99"/>
      <c r="K701" s="99"/>
      <c r="L701" s="99"/>
      <c r="M701" s="99"/>
      <c r="N701" s="99"/>
      <c r="O701" s="99"/>
      <c r="P701" s="99"/>
      <c r="Q701" s="99"/>
      <c r="R701" s="99"/>
      <c r="S701" s="99"/>
      <c r="T701" s="99"/>
      <c r="U701" s="99"/>
      <c r="V701" s="99"/>
      <c r="W701" s="105"/>
      <c r="X701" s="105"/>
      <c r="Y701" s="105"/>
      <c r="Z701" s="105"/>
      <c r="AA701" s="105"/>
      <c r="AB701" s="105"/>
      <c r="AC701" s="105"/>
      <c r="AD701" s="105"/>
      <c r="AE701" s="105"/>
      <c r="AF701" s="105"/>
      <c r="AG701" s="105"/>
      <c r="AH701" s="105"/>
      <c r="AI701" s="105"/>
      <c r="AJ701" s="171"/>
      <c r="AK701" s="105"/>
      <c r="AL701" s="105"/>
      <c r="AM701" s="105"/>
      <c r="AN701" s="105"/>
      <c r="AO701" s="105">
        <f>IF($AQ$658&gt;0,'Assumptions (Wind)'!$V$16*Model!$AQ$658*'Assumptions (Wind)'!AN$2/10^9,0)</f>
        <v>77.803636870351909</v>
      </c>
      <c r="AP701" s="105">
        <f>IF($AQ$658&gt;0,'Assumptions (Wind)'!$V$16*Model!$AQ$658*'Assumptions (Wind)'!AO$2/10^9,0)</f>
        <v>79.359709607758958</v>
      </c>
      <c r="AQ701" s="105"/>
      <c r="AR701" s="105"/>
      <c r="AS701" s="105"/>
      <c r="AT701" s="105"/>
      <c r="AU701" s="105"/>
      <c r="AV701" s="105"/>
      <c r="AW701" s="105"/>
      <c r="AX701" s="105"/>
      <c r="AY701" s="105"/>
      <c r="AZ701" s="105"/>
    </row>
    <row r="702" spans="1:52" ht="15.75" hidden="1" customHeight="1" outlineLevel="1">
      <c r="A702" s="395"/>
      <c r="B702" s="99"/>
      <c r="C702" s="99"/>
      <c r="D702" s="99"/>
      <c r="E702" s="99"/>
      <c r="F702" s="99"/>
      <c r="G702" s="99"/>
      <c r="H702" s="99"/>
      <c r="I702" s="99"/>
      <c r="J702" s="99"/>
      <c r="K702" s="99"/>
      <c r="L702" s="99"/>
      <c r="M702" s="99"/>
      <c r="N702" s="99"/>
      <c r="O702" s="99"/>
      <c r="P702" s="99"/>
      <c r="Q702" s="99"/>
      <c r="R702" s="99"/>
      <c r="S702" s="99"/>
      <c r="T702" s="99"/>
      <c r="U702" s="99"/>
      <c r="V702" s="99"/>
      <c r="W702" s="105"/>
      <c r="X702" s="105"/>
      <c r="Y702" s="105"/>
      <c r="Z702" s="105"/>
      <c r="AA702" s="105"/>
      <c r="AB702" s="105"/>
      <c r="AC702" s="105"/>
      <c r="AD702" s="105"/>
      <c r="AE702" s="105"/>
      <c r="AF702" s="105"/>
      <c r="AG702" s="105"/>
      <c r="AH702" s="105"/>
      <c r="AI702" s="105"/>
      <c r="AJ702" s="171"/>
      <c r="AK702" s="105"/>
      <c r="AL702" s="105"/>
      <c r="AM702" s="105"/>
      <c r="AN702" s="105"/>
      <c r="AO702" s="105"/>
      <c r="AP702" s="105">
        <f>IF($AR$658&gt;0,'Assumptions (Wind)'!$V$16*Model!$AR$658*'Assumptions (Wind)'!AO$2/10^9,0)</f>
        <v>81.168471937138861</v>
      </c>
      <c r="AQ702" s="105">
        <f>IF($AR$658&gt;0,'Assumptions (Wind)'!$V$16*Model!$AR$658*'Assumptions (Wind)'!AP$2/10^9,0)</f>
        <v>82.791841375881631</v>
      </c>
      <c r="AR702" s="105"/>
      <c r="AS702" s="105"/>
      <c r="AT702" s="105"/>
      <c r="AU702" s="105"/>
      <c r="AV702" s="105"/>
      <c r="AW702" s="105"/>
      <c r="AX702" s="105"/>
      <c r="AY702" s="105"/>
      <c r="AZ702" s="105"/>
    </row>
    <row r="703" spans="1:52" ht="15.75" hidden="1" customHeight="1" outlineLevel="1">
      <c r="A703" s="395"/>
      <c r="B703" s="99"/>
      <c r="C703" s="99"/>
      <c r="D703" s="99"/>
      <c r="E703" s="99"/>
      <c r="F703" s="99"/>
      <c r="G703" s="99"/>
      <c r="H703" s="99"/>
      <c r="I703" s="99"/>
      <c r="J703" s="99"/>
      <c r="K703" s="99"/>
      <c r="L703" s="99"/>
      <c r="M703" s="99"/>
      <c r="N703" s="99"/>
      <c r="O703" s="99"/>
      <c r="P703" s="99"/>
      <c r="Q703" s="99"/>
      <c r="R703" s="99"/>
      <c r="S703" s="99"/>
      <c r="T703" s="99"/>
      <c r="U703" s="99"/>
      <c r="V703" s="99"/>
      <c r="W703" s="105"/>
      <c r="X703" s="105"/>
      <c r="Y703" s="105"/>
      <c r="Z703" s="105"/>
      <c r="AA703" s="105"/>
      <c r="AB703" s="105"/>
      <c r="AC703" s="105"/>
      <c r="AD703" s="105"/>
      <c r="AE703" s="105"/>
      <c r="AF703" s="105"/>
      <c r="AG703" s="105"/>
      <c r="AH703" s="105"/>
      <c r="AI703" s="105"/>
      <c r="AJ703" s="171"/>
      <c r="AK703" s="105"/>
      <c r="AL703" s="91"/>
      <c r="AM703" s="105"/>
      <c r="AN703" s="105"/>
      <c r="AO703" s="105"/>
      <c r="AP703" s="105"/>
      <c r="AQ703" s="105">
        <f>IF($AS$658&gt;0,'Assumptions (Wind)'!$V$16*Model!$AS$658*'Assumptions (Wind)'!AP$2/10^9,0)</f>
        <v>76.420860489966884</v>
      </c>
      <c r="AR703" s="105">
        <f>IF($AS$658&gt;0,'Assumptions (Wind)'!$V$16*Model!$AS$658*'Assumptions (Wind)'!AQ$2/10^9,0)</f>
        <v>77.949277699766242</v>
      </c>
      <c r="AS703" s="105"/>
      <c r="AT703" s="105"/>
      <c r="AU703" s="105"/>
      <c r="AV703" s="105"/>
      <c r="AW703" s="105"/>
      <c r="AX703" s="105"/>
      <c r="AY703" s="105"/>
      <c r="AZ703" s="105"/>
    </row>
    <row r="704" spans="1:52" ht="15.75" hidden="1" customHeight="1" outlineLevel="1">
      <c r="A704" s="395"/>
      <c r="B704" s="99"/>
      <c r="C704" s="99"/>
      <c r="D704" s="99"/>
      <c r="E704" s="99"/>
      <c r="F704" s="99"/>
      <c r="G704" s="99"/>
      <c r="H704" s="99"/>
      <c r="I704" s="99"/>
      <c r="J704" s="99"/>
      <c r="K704" s="99"/>
      <c r="L704" s="99"/>
      <c r="M704" s="99"/>
      <c r="N704" s="99"/>
      <c r="O704" s="99"/>
      <c r="P704" s="99"/>
      <c r="Q704" s="99"/>
      <c r="R704" s="99"/>
      <c r="S704" s="99"/>
      <c r="T704" s="99"/>
      <c r="U704" s="99"/>
      <c r="V704" s="99"/>
      <c r="W704" s="105"/>
      <c r="X704" s="105"/>
      <c r="Y704" s="105"/>
      <c r="Z704" s="105"/>
      <c r="AA704" s="105"/>
      <c r="AB704" s="105"/>
      <c r="AC704" s="105"/>
      <c r="AD704" s="105"/>
      <c r="AE704" s="105"/>
      <c r="AF704" s="105"/>
      <c r="AG704" s="105"/>
      <c r="AH704" s="105"/>
      <c r="AI704" s="105"/>
      <c r="AJ704" s="171"/>
      <c r="AK704" s="105"/>
      <c r="AL704" s="91"/>
      <c r="AM704" s="91"/>
      <c r="AN704" s="105"/>
      <c r="AO704" s="105"/>
      <c r="AP704" s="105"/>
      <c r="AQ704" s="105"/>
      <c r="AR704" s="105">
        <f>IF($AT$658&gt;0,'Assumptions (Wind)'!$V$16*Model!$AT$658*'Assumptions (Wind)'!AQ$2/10^9,0)</f>
        <v>80.529801957730655</v>
      </c>
      <c r="AS704" s="105">
        <f>IF($AT$658&gt;0,'Assumptions (Wind)'!$V$16*Model!$AT$658*'Assumptions (Wind)'!AR$2/10^9,0)</f>
        <v>82.14039799688527</v>
      </c>
      <c r="AT704" s="105"/>
      <c r="AU704" s="105"/>
      <c r="AV704" s="105"/>
      <c r="AW704" s="105"/>
      <c r="AX704" s="105"/>
      <c r="AY704" s="105"/>
      <c r="AZ704" s="105"/>
    </row>
    <row r="705" spans="1:68" ht="15.75" hidden="1" customHeight="1" outlineLevel="1">
      <c r="A705" s="395"/>
      <c r="B705" s="99"/>
      <c r="C705" s="99"/>
      <c r="D705" s="99"/>
      <c r="E705" s="99"/>
      <c r="F705" s="99"/>
      <c r="G705" s="99"/>
      <c r="H705" s="99"/>
      <c r="I705" s="99"/>
      <c r="J705" s="99"/>
      <c r="K705" s="99"/>
      <c r="L705" s="99"/>
      <c r="M705" s="99"/>
      <c r="N705" s="99"/>
      <c r="O705" s="99"/>
      <c r="P705" s="99"/>
      <c r="Q705" s="99"/>
      <c r="R705" s="99"/>
      <c r="S705" s="99"/>
      <c r="T705" s="99"/>
      <c r="U705" s="99"/>
      <c r="V705" s="99"/>
      <c r="W705" s="105"/>
      <c r="X705" s="105"/>
      <c r="Y705" s="105"/>
      <c r="Z705" s="105"/>
      <c r="AA705" s="105"/>
      <c r="AB705" s="105"/>
      <c r="AC705" s="105"/>
      <c r="AD705" s="105"/>
      <c r="AE705" s="105"/>
      <c r="AF705" s="105"/>
      <c r="AG705" s="105"/>
      <c r="AH705" s="105"/>
      <c r="AI705" s="105"/>
      <c r="AJ705" s="171"/>
      <c r="AK705" s="105"/>
      <c r="AL705" s="91"/>
      <c r="AM705" s="91"/>
      <c r="AN705" s="91"/>
      <c r="AO705" s="105"/>
      <c r="AP705" s="105"/>
      <c r="AQ705" s="105"/>
      <c r="AR705" s="105"/>
      <c r="AS705" s="105">
        <f>IF($AU$658&gt;0,'Assumptions (Wind)'!$V$16*Model!$AU$658*'Assumptions (Wind)'!AR$2/10^9,0)</f>
        <v>90.211637453719391</v>
      </c>
      <c r="AT705" s="105">
        <f>IF($AU$658&gt;0,'Assumptions (Wind)'!$V$16*Model!$AU$658*'Assumptions (Wind)'!AS$2/10^9,0)</f>
        <v>92.015870202793778</v>
      </c>
      <c r="AU705" s="105"/>
      <c r="AV705" s="105"/>
      <c r="AW705" s="105"/>
      <c r="AX705" s="105"/>
      <c r="AY705" s="105"/>
      <c r="AZ705" s="105"/>
    </row>
    <row r="706" spans="1:68" ht="15.75" hidden="1" customHeight="1" outlineLevel="1">
      <c r="A706" s="395"/>
      <c r="B706" s="99"/>
      <c r="C706" s="99"/>
      <c r="D706" s="99"/>
      <c r="E706" s="99"/>
      <c r="F706" s="99"/>
      <c r="G706" s="99"/>
      <c r="H706" s="99"/>
      <c r="I706" s="99"/>
      <c r="J706" s="99"/>
      <c r="K706" s="99"/>
      <c r="L706" s="99"/>
      <c r="M706" s="99"/>
      <c r="N706" s="99"/>
      <c r="O706" s="99"/>
      <c r="P706" s="99"/>
      <c r="Q706" s="99"/>
      <c r="R706" s="99"/>
      <c r="S706" s="99"/>
      <c r="T706" s="99"/>
      <c r="U706" s="99"/>
      <c r="V706" s="99"/>
      <c r="W706" s="105"/>
      <c r="X706" s="105"/>
      <c r="Y706" s="105"/>
      <c r="Z706" s="105"/>
      <c r="AA706" s="105"/>
      <c r="AB706" s="105"/>
      <c r="AC706" s="105"/>
      <c r="AD706" s="105"/>
      <c r="AE706" s="105"/>
      <c r="AF706" s="105"/>
      <c r="AG706" s="105"/>
      <c r="AH706" s="105"/>
      <c r="AI706" s="105"/>
      <c r="AJ706" s="171"/>
      <c r="AK706" s="105"/>
      <c r="AL706" s="91"/>
      <c r="AM706" s="91"/>
      <c r="AN706" s="91"/>
      <c r="AO706" s="105"/>
      <c r="AP706" s="105"/>
      <c r="AQ706" s="105"/>
      <c r="AR706" s="105"/>
      <c r="AS706" s="105"/>
      <c r="AT706" s="105">
        <f>IF($AV$658&gt;0,'Assumptions (Wind)'!$V$16*Model!$AV$658*'Assumptions (Wind)'!AS$2/10^9,0)</f>
        <v>76.112842542632862</v>
      </c>
      <c r="AU706" s="105">
        <f>IF($AV$658&gt;0,'Assumptions (Wind)'!$V$16*Model!$AV$658*'Assumptions (Wind)'!AT$2/10^9,0)</f>
        <v>77.635099393485518</v>
      </c>
      <c r="AV706" s="105"/>
      <c r="AW706" s="105"/>
      <c r="AX706" s="105"/>
      <c r="AY706" s="105"/>
      <c r="AZ706" s="105"/>
    </row>
    <row r="707" spans="1:68" ht="15.75" hidden="1" customHeight="1" outlineLevel="1">
      <c r="A707" s="395"/>
      <c r="B707" s="99"/>
      <c r="C707" s="99"/>
      <c r="D707" s="99"/>
      <c r="E707" s="99"/>
      <c r="F707" s="99"/>
      <c r="G707" s="99"/>
      <c r="H707" s="99"/>
      <c r="I707" s="99"/>
      <c r="J707" s="99"/>
      <c r="K707" s="99"/>
      <c r="L707" s="99"/>
      <c r="M707" s="99"/>
      <c r="N707" s="99"/>
      <c r="O707" s="99"/>
      <c r="P707" s="99"/>
      <c r="Q707" s="99"/>
      <c r="R707" s="99"/>
      <c r="S707" s="99"/>
      <c r="T707" s="99"/>
      <c r="U707" s="99"/>
      <c r="V707" s="99"/>
      <c r="W707" s="105"/>
      <c r="X707" s="105"/>
      <c r="Y707" s="105"/>
      <c r="Z707" s="105"/>
      <c r="AA707" s="105"/>
      <c r="AB707" s="105"/>
      <c r="AC707" s="105"/>
      <c r="AD707" s="105"/>
      <c r="AE707" s="105"/>
      <c r="AF707" s="105"/>
      <c r="AG707" s="105"/>
      <c r="AH707" s="105"/>
      <c r="AI707" s="105"/>
      <c r="AJ707" s="171"/>
      <c r="AK707" s="105"/>
      <c r="AL707" s="91"/>
      <c r="AM707" s="91"/>
      <c r="AN707" s="91"/>
      <c r="AO707" s="105"/>
      <c r="AP707" s="105"/>
      <c r="AQ707" s="105"/>
      <c r="AR707" s="105"/>
      <c r="AS707" s="105"/>
      <c r="AT707" s="105"/>
      <c r="AU707" s="105">
        <f>IF($AW$658&gt;0,'Assumptions (Wind)'!$V$16*Model!$AW$658*'Assumptions (Wind)'!AT$2/10^9,0)</f>
        <v>83.006770736343313</v>
      </c>
      <c r="AV707" s="105">
        <f>IF($AW$658&gt;0,'Assumptions (Wind)'!$V$16*Model!$AW$658*'Assumptions (Wind)'!AU$2/10^9,0)</f>
        <v>84.666906151070179</v>
      </c>
      <c r="AW707" s="105"/>
      <c r="AX707" s="105"/>
      <c r="AY707" s="105"/>
      <c r="AZ707" s="105"/>
    </row>
    <row r="708" spans="1:68" ht="15.75" hidden="1" customHeight="1" outlineLevel="1">
      <c r="A708" s="395"/>
      <c r="B708" s="99"/>
      <c r="C708" s="99"/>
      <c r="D708" s="99"/>
      <c r="E708" s="99"/>
      <c r="F708" s="99"/>
      <c r="G708" s="99"/>
      <c r="H708" s="99"/>
      <c r="I708" s="99"/>
      <c r="J708" s="99"/>
      <c r="K708" s="99"/>
      <c r="L708" s="99"/>
      <c r="M708" s="99"/>
      <c r="N708" s="99"/>
      <c r="O708" s="99"/>
      <c r="P708" s="99"/>
      <c r="Q708" s="99"/>
      <c r="R708" s="99"/>
      <c r="S708" s="99"/>
      <c r="T708" s="99"/>
      <c r="U708" s="99"/>
      <c r="V708" s="99"/>
      <c r="W708" s="105"/>
      <c r="X708" s="105"/>
      <c r="Y708" s="105"/>
      <c r="Z708" s="105"/>
      <c r="AA708" s="105"/>
      <c r="AB708" s="105"/>
      <c r="AC708" s="105"/>
      <c r="AD708" s="105"/>
      <c r="AE708" s="105"/>
      <c r="AF708" s="105"/>
      <c r="AG708" s="105"/>
      <c r="AH708" s="105"/>
      <c r="AI708" s="105"/>
      <c r="AJ708" s="171"/>
      <c r="AK708" s="105"/>
      <c r="AL708" s="91"/>
      <c r="AM708" s="91"/>
      <c r="AN708" s="91"/>
      <c r="AO708" s="105"/>
      <c r="AP708" s="105"/>
      <c r="AQ708" s="105"/>
      <c r="AR708" s="105"/>
      <c r="AS708" s="105"/>
      <c r="AT708" s="105"/>
      <c r="AU708" s="105"/>
      <c r="AV708" s="105">
        <f>IF($AX$658&gt;0,'Assumptions (Wind)'!$V$16*Model!$AX$658*'Assumptions (Wind)'!AU$2/10^9,0)</f>
        <v>89.238444993040488</v>
      </c>
      <c r="AW708" s="105">
        <f>IF($AX$658&gt;0,'Assumptions (Wind)'!$V$16*Model!$AX$658*'Assumptions (Wind)'!AV$2/10^9,0)</f>
        <v>91.023213892901296</v>
      </c>
      <c r="AX708" s="105"/>
      <c r="AY708" s="105"/>
      <c r="AZ708" s="105"/>
    </row>
    <row r="709" spans="1:68" ht="15.75" hidden="1" customHeight="1" outlineLevel="1">
      <c r="A709" s="395"/>
      <c r="B709" s="99"/>
      <c r="C709" s="99"/>
      <c r="D709" s="99"/>
      <c r="E709" s="99"/>
      <c r="F709" s="99"/>
      <c r="G709" s="99"/>
      <c r="H709" s="99"/>
      <c r="I709" s="99"/>
      <c r="J709" s="99"/>
      <c r="K709" s="99"/>
      <c r="L709" s="99"/>
      <c r="M709" s="99"/>
      <c r="N709" s="99"/>
      <c r="O709" s="99"/>
      <c r="P709" s="99"/>
      <c r="Q709" s="99"/>
      <c r="R709" s="99"/>
      <c r="S709" s="99"/>
      <c r="T709" s="99"/>
      <c r="U709" s="99"/>
      <c r="V709" s="99"/>
      <c r="W709" s="105"/>
      <c r="X709" s="105"/>
      <c r="Y709" s="105"/>
      <c r="Z709" s="105"/>
      <c r="AA709" s="105"/>
      <c r="AB709" s="105"/>
      <c r="AC709" s="105"/>
      <c r="AD709" s="105"/>
      <c r="AE709" s="105"/>
      <c r="AF709" s="105"/>
      <c r="AG709" s="105"/>
      <c r="AH709" s="105"/>
      <c r="AI709" s="105"/>
      <c r="AJ709" s="171"/>
      <c r="AK709" s="105"/>
      <c r="AL709" s="91"/>
      <c r="AM709" s="91"/>
      <c r="AN709" s="91"/>
      <c r="AO709" s="105"/>
      <c r="AP709" s="105"/>
      <c r="AQ709" s="105"/>
      <c r="AR709" s="105"/>
      <c r="AS709" s="105"/>
      <c r="AT709" s="105"/>
      <c r="AU709" s="105"/>
      <c r="AV709" s="105"/>
      <c r="AW709" s="105">
        <f>IF($AY$658&gt;0,'Assumptions (Wind)'!$V$16*Model!$AY$658*'Assumptions (Wind)'!AV$2/10^9,0)</f>
        <v>91.749840235249025</v>
      </c>
      <c r="AX709" s="105">
        <f>IF($AY$658&gt;0,'Assumptions (Wind)'!$V$16*Model!$AY$658*'Assumptions (Wind)'!AW$2/10^9,0)</f>
        <v>93.58483703995401</v>
      </c>
      <c r="AY709" s="105"/>
      <c r="AZ709" s="105"/>
    </row>
    <row r="710" spans="1:68" ht="15.75" hidden="1" customHeight="1" outlineLevel="1">
      <c r="A710" s="395"/>
      <c r="B710" s="99"/>
      <c r="C710" s="99"/>
      <c r="D710" s="99"/>
      <c r="E710" s="99"/>
      <c r="F710" s="99"/>
      <c r="G710" s="99"/>
      <c r="H710" s="99"/>
      <c r="I710" s="99"/>
      <c r="J710" s="99"/>
      <c r="K710" s="99"/>
      <c r="L710" s="99"/>
      <c r="M710" s="99"/>
      <c r="N710" s="99"/>
      <c r="O710" s="99"/>
      <c r="P710" s="99"/>
      <c r="Q710" s="99"/>
      <c r="R710" s="99"/>
      <c r="S710" s="99"/>
      <c r="T710" s="99"/>
      <c r="U710" s="99"/>
      <c r="V710" s="99"/>
      <c r="W710" s="105"/>
      <c r="X710" s="105"/>
      <c r="Y710" s="105"/>
      <c r="Z710" s="105"/>
      <c r="AA710" s="105"/>
      <c r="AB710" s="105"/>
      <c r="AC710" s="105"/>
      <c r="AD710" s="105"/>
      <c r="AE710" s="105"/>
      <c r="AF710" s="105"/>
      <c r="AG710" s="105"/>
      <c r="AH710" s="105"/>
      <c r="AI710" s="105"/>
      <c r="AJ710" s="171"/>
      <c r="AK710" s="105"/>
      <c r="AL710" s="91"/>
      <c r="AM710" s="91"/>
      <c r="AN710" s="91"/>
      <c r="AO710" s="105"/>
      <c r="AP710" s="105"/>
      <c r="AQ710" s="105"/>
      <c r="AR710" s="105"/>
      <c r="AS710" s="105"/>
      <c r="AT710" s="105"/>
      <c r="AU710" s="105"/>
      <c r="AV710" s="105"/>
      <c r="AW710" s="105"/>
      <c r="AX710" s="105">
        <f>IF($AZ$658&gt;0,'Assumptions (Wind)'!$V$16*Model!$AZ$658*'Assumptions (Wind)'!AW$2/10^9,0)</f>
        <v>90.139530127114782</v>
      </c>
      <c r="AY710" s="105">
        <f>IF($AZ$658&gt;0,'Assumptions (Wind)'!$V$16*Model!$AZ$658*'Assumptions (Wind)'!AX$2/10^9,0)</f>
        <v>91.942320729657069</v>
      </c>
      <c r="AZ710" s="105"/>
    </row>
    <row r="711" spans="1:68" ht="15.75" hidden="1" customHeight="1" outlineLevel="1">
      <c r="A711" s="395"/>
      <c r="B711" s="99"/>
      <c r="C711" s="99"/>
      <c r="D711" s="99"/>
      <c r="E711" s="99"/>
      <c r="F711" s="99"/>
      <c r="G711" s="99"/>
      <c r="H711" s="99"/>
      <c r="I711" s="99"/>
      <c r="J711" s="99"/>
      <c r="K711" s="99"/>
      <c r="L711" s="99"/>
      <c r="M711" s="99"/>
      <c r="N711" s="99"/>
      <c r="O711" s="99"/>
      <c r="P711" s="99"/>
      <c r="Q711" s="99"/>
      <c r="R711" s="99"/>
      <c r="S711" s="99"/>
      <c r="T711" s="99"/>
      <c r="U711" s="99"/>
      <c r="V711" s="99"/>
      <c r="W711" s="105"/>
      <c r="X711" s="105"/>
      <c r="Y711" s="105"/>
      <c r="Z711" s="105"/>
      <c r="AA711" s="105"/>
      <c r="AB711" s="105"/>
      <c r="AC711" s="105"/>
      <c r="AD711" s="105"/>
      <c r="AE711" s="105"/>
      <c r="AF711" s="105"/>
      <c r="AG711" s="105"/>
      <c r="AH711" s="105"/>
      <c r="AI711" s="105"/>
      <c r="AJ711" s="171"/>
      <c r="AK711" s="105"/>
      <c r="AL711" s="91"/>
      <c r="AM711" s="91"/>
      <c r="AN711" s="91"/>
      <c r="AO711" s="105"/>
      <c r="AP711" s="105"/>
      <c r="AQ711" s="105"/>
      <c r="AR711" s="105"/>
      <c r="AS711" s="105"/>
      <c r="AT711" s="105"/>
      <c r="AU711" s="105"/>
      <c r="AV711" s="105"/>
      <c r="AW711" s="105"/>
      <c r="AX711" s="105"/>
      <c r="AY711" s="105">
        <f>IF($BA$658&gt;0,'Assumptions (Wind)'!$V$16*Model!$BA$658*'Assumptions (Wind)'!AX$2/10^9,0)</f>
        <v>84.553717720326006</v>
      </c>
      <c r="AZ711" s="105">
        <f>IF($BA$658&gt;0,'Assumptions (Wind)'!$V$16*Model!$BA$658*'Assumptions (Wind)'!AY$2/10^9,0)</f>
        <v>86.24479207473253</v>
      </c>
    </row>
    <row r="712" spans="1:68" ht="15.75" customHeight="1" collapsed="1">
      <c r="A712" s="396" t="s">
        <v>52</v>
      </c>
      <c r="B712" s="99" t="s">
        <v>201</v>
      </c>
      <c r="C712" s="397">
        <f>C660*'Assumptions (Wind)'!$V$6</f>
        <v>2.0383281757251366</v>
      </c>
      <c r="D712" s="397">
        <f>D660*'Assumptions (Wind)'!$V$6</f>
        <v>1.2196813868606231</v>
      </c>
      <c r="E712" s="397">
        <f>E660*'Assumptions (Wind)'!$V$6</f>
        <v>1.0810012019158102</v>
      </c>
      <c r="F712" s="397">
        <f>F660*'Assumptions (Wind)'!$V$6</f>
        <v>1.3608159420677779</v>
      </c>
      <c r="G712" s="397">
        <f>G660*'Assumptions (Wind)'!$V$6</f>
        <v>2.5390078838271082</v>
      </c>
      <c r="H712" s="397">
        <f>H660*'Assumptions (Wind)'!$V$6</f>
        <v>4.1969269788740249</v>
      </c>
      <c r="I712" s="397">
        <f>I660*'Assumptions (Wind)'!$V$6</f>
        <v>7.2425908468114981</v>
      </c>
      <c r="J712" s="397">
        <f>J660*'Assumptions (Wind)'!$V$6</f>
        <v>9.6326271629489835</v>
      </c>
      <c r="K712" s="397">
        <f>K660*'Assumptions (Wind)'!$V$6</f>
        <v>7.6436248433545844</v>
      </c>
      <c r="L712" s="397">
        <f>L660*'Assumptions (Wind)'!$V$6</f>
        <v>5.9665368567383057</v>
      </c>
      <c r="M712" s="397">
        <f>M660*'Assumptions (Wind)'!$V$6</f>
        <v>10.304249020248131</v>
      </c>
      <c r="N712" s="397">
        <f>N660*'Assumptions (Wind)'!$V$6</f>
        <v>7.1995259450623932</v>
      </c>
      <c r="O712" s="397">
        <f>O660*'Assumptions (Wind)'!$V$6</f>
        <v>2.9507473578134684</v>
      </c>
      <c r="P712" s="397">
        <f>P660*'Assumptions (Wind)'!$V$6</f>
        <v>6.7429619568608139</v>
      </c>
      <c r="Q712" s="397">
        <f>Q660*'Assumptions (Wind)'!$V$6</f>
        <v>8.7006746879102383</v>
      </c>
      <c r="R712" s="397">
        <f>R660*'Assumptions (Wind)'!$V$6</f>
        <v>7.6824921703475342</v>
      </c>
      <c r="S712" s="397">
        <f>S660*'Assumptions (Wind)'!$V$6</f>
        <v>6.5998217678783817</v>
      </c>
      <c r="T712" s="397">
        <f>T660*'Assumptions (Wind)'!$V$6</f>
        <v>8.046150461405281</v>
      </c>
      <c r="U712" s="397">
        <f>U660*'Assumptions (Wind)'!$V$6</f>
        <v>12.12561979747986</v>
      </c>
      <c r="V712" s="397">
        <f>V660*'Assumptions (Wind)'!$V$6</f>
        <v>36.404152981626837</v>
      </c>
      <c r="W712" s="397">
        <f>W660*'Assumptions (Wind)'!$V$6</f>
        <v>57.416235493437405</v>
      </c>
      <c r="X712" s="397">
        <f>X660*'Assumptions (Wind)'!$V$6</f>
        <v>58.327771589306145</v>
      </c>
      <c r="Y712" s="397">
        <f>Y660*'Assumptions (Wind)'!$V$6</f>
        <v>59.439505640052275</v>
      </c>
      <c r="Z712" s="397">
        <f>Z660*'Assumptions (Wind)'!$V$6</f>
        <v>60.58994457653597</v>
      </c>
      <c r="AA712" s="397">
        <f>AA660*'Assumptions (Wind)'!$V$6</f>
        <v>61.834835205210943</v>
      </c>
      <c r="AB712" s="397">
        <f>AB660*'Assumptions (Wind)'!$V$6</f>
        <v>63.069226787332632</v>
      </c>
      <c r="AC712" s="397">
        <f>AC660*'Assumptions (Wind)'!$V$6</f>
        <v>64.292543880053387</v>
      </c>
      <c r="AD712" s="397">
        <f>AD660*'Assumptions (Wind)'!$V$6</f>
        <v>65.589129776587797</v>
      </c>
      <c r="AE712" s="397">
        <f>AE660*'Assumptions (Wind)'!$V$6</f>
        <v>67.000275250556925</v>
      </c>
      <c r="AF712" s="397">
        <f>AF660*'Assumptions (Wind)'!$V$6</f>
        <v>68.701481709212246</v>
      </c>
      <c r="AG712" s="397">
        <f>AG660*'Assumptions (Wind)'!$V$6</f>
        <v>69.996009112441754</v>
      </c>
      <c r="AH712" s="397">
        <f>AH660*'Assumptions (Wind)'!$V$6</f>
        <v>71.938604736411818</v>
      </c>
      <c r="AI712" s="397">
        <f>AI660*'Assumptions (Wind)'!$V$6</f>
        <v>73.743979433358859</v>
      </c>
      <c r="AJ712" s="397">
        <f>AJ660*'Assumptions (Wind)'!$V$6</f>
        <v>75.286379466905885</v>
      </c>
      <c r="AK712" s="397">
        <f>AK660*'Assumptions (Wind)'!$V$6</f>
        <v>76.632261084191015</v>
      </c>
      <c r="AL712" s="397">
        <f>AL660*'Assumptions (Wind)'!$V$6</f>
        <v>78.517418819326679</v>
      </c>
      <c r="AM712" s="397">
        <f>AM660*'Assumptions (Wind)'!$V$6</f>
        <v>81.589141339691835</v>
      </c>
      <c r="AN712" s="397">
        <f>AN660*'Assumptions (Wind)'!$V$6</f>
        <v>85.390752034039394</v>
      </c>
      <c r="AO712" s="397">
        <f>AO660*'Assumptions (Wind)'!$V$6</f>
        <v>91.181669011533302</v>
      </c>
      <c r="AP712" s="397">
        <f>AP660*'Assumptions (Wind)'!$V$6</f>
        <v>96.316908926938694</v>
      </c>
      <c r="AQ712" s="397">
        <f>AQ660*'Assumptions (Wind)'!$V$6</f>
        <v>95.527621119509107</v>
      </c>
      <c r="AR712" s="397">
        <f>AR660*'Assumptions (Wind)'!$V$6</f>
        <v>95.087447794498132</v>
      </c>
      <c r="AS712" s="397">
        <f>AS660*'Assumptions (Wind)'!$V$6</f>
        <v>103.41122127036279</v>
      </c>
      <c r="AT712" s="397">
        <f>AT660*'Assumptions (Wind)'!$V$6</f>
        <v>100.87722764725598</v>
      </c>
      <c r="AU712" s="397">
        <f>AU660*'Assumptions (Wind)'!$V$6</f>
        <v>96.385122077897293</v>
      </c>
      <c r="AV712" s="397">
        <f>AV660*'Assumptions (Wind)'!$V$6</f>
        <v>104.34321068646641</v>
      </c>
      <c r="AW712" s="397">
        <f>AW660*'Assumptions (Wind)'!$V$6</f>
        <v>109.66383247689018</v>
      </c>
      <c r="AX712" s="397">
        <f>AX660*'Assumptions (Wind)'!$V$6</f>
        <v>110.23462030024128</v>
      </c>
      <c r="AY712" s="397">
        <f>AY660*'Assumptions (Wind)'!$V$6</f>
        <v>105.89762306998985</v>
      </c>
      <c r="AZ712" s="397">
        <f>AZ660*'Assumptions (Wind)'!$V$6</f>
        <v>51.746875244839515</v>
      </c>
      <c r="BA712" s="397">
        <f>BA660*'Assumptions (Wind)'!$V$6</f>
        <v>0</v>
      </c>
    </row>
    <row r="713" spans="1:68" ht="15.75" customHeight="1">
      <c r="A713" s="396" t="s">
        <v>54</v>
      </c>
      <c r="B713" s="99" t="s">
        <v>201</v>
      </c>
      <c r="C713" s="397">
        <f>C660*'Assumptions (Wind)'!$V$7</f>
        <v>1.3588854504834247</v>
      </c>
      <c r="D713" s="397">
        <f>D660*'Assumptions (Wind)'!$V$7</f>
        <v>0.81312092457374874</v>
      </c>
      <c r="E713" s="397">
        <f>E660*'Assumptions (Wind)'!$V$7</f>
        <v>0.72066746794387349</v>
      </c>
      <c r="F713" s="397">
        <f>F660*'Assumptions (Wind)'!$V$7</f>
        <v>0.90721062804518537</v>
      </c>
      <c r="G713" s="397">
        <f>G660*'Assumptions (Wind)'!$V$7</f>
        <v>1.6926719225514057</v>
      </c>
      <c r="H713" s="397">
        <f>H660*'Assumptions (Wind)'!$V$7</f>
        <v>2.7979513192493504</v>
      </c>
      <c r="I713" s="397">
        <f>I660*'Assumptions (Wind)'!$V$7</f>
        <v>4.8283938978743324</v>
      </c>
      <c r="J713" s="397">
        <f>J660*'Assumptions (Wind)'!$V$7</f>
        <v>6.4217514419659896</v>
      </c>
      <c r="K713" s="397">
        <f>K660*'Assumptions (Wind)'!$V$7</f>
        <v>5.0957498955697238</v>
      </c>
      <c r="L713" s="397">
        <f>L660*'Assumptions (Wind)'!$V$7</f>
        <v>3.9776912378255376</v>
      </c>
      <c r="M713" s="397">
        <f>M660*'Assumptions (Wind)'!$V$7</f>
        <v>6.8694993468320877</v>
      </c>
      <c r="N713" s="397">
        <f>N660*'Assumptions (Wind)'!$V$7</f>
        <v>4.7996839633749291</v>
      </c>
      <c r="O713" s="397">
        <f>O660*'Assumptions (Wind)'!$V$7</f>
        <v>1.9671649052089792</v>
      </c>
      <c r="P713" s="397">
        <f>P660*'Assumptions (Wind)'!$V$7</f>
        <v>4.4953079712405426</v>
      </c>
      <c r="Q713" s="397">
        <f>Q660*'Assumptions (Wind)'!$V$7</f>
        <v>5.8004497919401592</v>
      </c>
      <c r="R713" s="397">
        <f>R660*'Assumptions (Wind)'!$V$7</f>
        <v>5.121661446898357</v>
      </c>
      <c r="S713" s="397">
        <f>S660*'Assumptions (Wind)'!$V$7</f>
        <v>4.3998811785855878</v>
      </c>
      <c r="T713" s="397">
        <f>T660*'Assumptions (Wind)'!$V$7</f>
        <v>5.364100307603521</v>
      </c>
      <c r="U713" s="397">
        <f>U660*'Assumptions (Wind)'!$V$7</f>
        <v>8.0837465316532402</v>
      </c>
      <c r="V713" s="397">
        <f>V660*'Assumptions (Wind)'!$V$7</f>
        <v>24.269435321084558</v>
      </c>
      <c r="W713" s="397">
        <f>W660*'Assumptions (Wind)'!$V$7</f>
        <v>38.277490328958272</v>
      </c>
      <c r="X713" s="397">
        <f>X660*'Assumptions (Wind)'!$V$7</f>
        <v>38.885181059537437</v>
      </c>
      <c r="Y713" s="397">
        <f>Y660*'Assumptions (Wind)'!$V$7</f>
        <v>39.626337093368193</v>
      </c>
      <c r="Z713" s="397">
        <f>Z660*'Assumptions (Wind)'!$V$7</f>
        <v>40.393296384357313</v>
      </c>
      <c r="AA713" s="397">
        <f>AA660*'Assumptions (Wind)'!$V$7</f>
        <v>41.223223470140631</v>
      </c>
      <c r="AB713" s="397">
        <f>AB660*'Assumptions (Wind)'!$V$7</f>
        <v>42.04615119155509</v>
      </c>
      <c r="AC713" s="397">
        <f>AC660*'Assumptions (Wind)'!$V$7</f>
        <v>42.861695920035601</v>
      </c>
      <c r="AD713" s="397">
        <f>AD660*'Assumptions (Wind)'!$V$7</f>
        <v>43.7260865177252</v>
      </c>
      <c r="AE713" s="397">
        <f>AE660*'Assumptions (Wind)'!$V$7</f>
        <v>44.666850167037957</v>
      </c>
      <c r="AF713" s="397">
        <f>AF660*'Assumptions (Wind)'!$V$7</f>
        <v>45.800987806141507</v>
      </c>
      <c r="AG713" s="397">
        <f>AG660*'Assumptions (Wind)'!$V$7</f>
        <v>46.664006074961179</v>
      </c>
      <c r="AH713" s="397">
        <f>AH660*'Assumptions (Wind)'!$V$7</f>
        <v>47.95906982427455</v>
      </c>
      <c r="AI713" s="397">
        <f>AI660*'Assumptions (Wind)'!$V$7</f>
        <v>49.162652955572575</v>
      </c>
      <c r="AJ713" s="397">
        <f>AJ660*'Assumptions (Wind)'!$V$7</f>
        <v>50.190919644603923</v>
      </c>
      <c r="AK713" s="397">
        <f>AK660*'Assumptions (Wind)'!$V$7</f>
        <v>51.088174056127343</v>
      </c>
      <c r="AL713" s="397">
        <f>AL660*'Assumptions (Wind)'!$V$7</f>
        <v>52.344945879551119</v>
      </c>
      <c r="AM713" s="397">
        <f>AM660*'Assumptions (Wind)'!$V$7</f>
        <v>54.392760893127893</v>
      </c>
      <c r="AN713" s="397">
        <f>AN660*'Assumptions (Wind)'!$V$7</f>
        <v>56.927168022692939</v>
      </c>
      <c r="AO713" s="397">
        <f>AO660*'Assumptions (Wind)'!$V$7</f>
        <v>60.787779341022201</v>
      </c>
      <c r="AP713" s="397">
        <f>AP660*'Assumptions (Wind)'!$V$7</f>
        <v>64.211272617959125</v>
      </c>
      <c r="AQ713" s="397">
        <f>AQ660*'Assumptions (Wind)'!$V$7</f>
        <v>63.685080746339409</v>
      </c>
      <c r="AR713" s="397">
        <f>AR660*'Assumptions (Wind)'!$V$7</f>
        <v>63.391631862998764</v>
      </c>
      <c r="AS713" s="397">
        <f>AS660*'Assumptions (Wind)'!$V$7</f>
        <v>68.940814180241873</v>
      </c>
      <c r="AT713" s="397">
        <f>AT660*'Assumptions (Wind)'!$V$7</f>
        <v>67.251485098170662</v>
      </c>
      <c r="AU713" s="397">
        <f>AU660*'Assumptions (Wind)'!$V$7</f>
        <v>64.256748051931524</v>
      </c>
      <c r="AV713" s="397">
        <f>AV660*'Assumptions (Wind)'!$V$7</f>
        <v>69.562140457644276</v>
      </c>
      <c r="AW713" s="397">
        <f>AW660*'Assumptions (Wind)'!$V$7</f>
        <v>73.109221651260128</v>
      </c>
      <c r="AX713" s="397">
        <f>AX660*'Assumptions (Wind)'!$V$7</f>
        <v>73.489746866827531</v>
      </c>
      <c r="AY713" s="397">
        <f>AY660*'Assumptions (Wind)'!$V$7</f>
        <v>70.598415379993227</v>
      </c>
      <c r="AZ713" s="397">
        <f>AZ660*'Assumptions (Wind)'!$V$7</f>
        <v>34.497916829893015</v>
      </c>
      <c r="BA713" s="397">
        <f>BA660*'Assumptions (Wind)'!$V$7</f>
        <v>0</v>
      </c>
    </row>
    <row r="714" spans="1:68" ht="15.75" customHeight="1">
      <c r="A714" s="396" t="s">
        <v>336</v>
      </c>
      <c r="B714" s="99" t="s">
        <v>201</v>
      </c>
      <c r="C714" s="91">
        <f t="array" ref="C714">SUM(IF(ISERROR(C715:C765),"",C715:C765))</f>
        <v>-2.989117741690161E-3</v>
      </c>
      <c r="D714" s="91">
        <f t="array" ref="D714">SUM(IF(ISERROR(D715:D765),"",D715:D765))</f>
        <v>-0.11739130243248114</v>
      </c>
      <c r="E714" s="91">
        <f t="array" ref="E714">SUM(IF(ISERROR(E715:E765),"",E715:E765))</f>
        <v>-0.1737700012413152</v>
      </c>
      <c r="F714" s="91">
        <f t="array" ref="F714">SUM(IF(ISERROR(F715:F765),"",F715:F765))</f>
        <v>-0.30888613880357163</v>
      </c>
      <c r="G714" s="91">
        <f t="array" ref="G714">SUM(IF(ISERROR(G715:G765),"",G715:G765))</f>
        <v>-0.36185738082931979</v>
      </c>
      <c r="H714" s="91">
        <f t="array" ref="H714">SUM(IF(ISERROR(H715:H765),"",H715:H765))</f>
        <v>-0.55009009736888692</v>
      </c>
      <c r="I714" s="91">
        <f t="array" ref="I714">SUM(IF(ISERROR(I715:I765),"",I715:I765))</f>
        <v>-0.78526609967230776</v>
      </c>
      <c r="J714" s="91">
        <f t="array" ref="J714">SUM(IF(ISERROR(J715:J765),"",J715:J765))</f>
        <v>-1.2358493253887697</v>
      </c>
      <c r="K714" s="91">
        <f t="array" ref="K714">SUM(IF(ISERROR(K715:K765),"",K715:K765))</f>
        <v>-1.9462990676459524</v>
      </c>
      <c r="L714" s="91">
        <f t="array" ref="L714">SUM(IF(ISERROR(L715:L765),"",L715:L765))</f>
        <v>-2.820025084909195</v>
      </c>
      <c r="M714" s="91">
        <f t="array" ref="M714">SUM(IF(ISERROR(M715:M765),"",M715:M765))</f>
        <v>-3.3773746811817107</v>
      </c>
      <c r="N714" s="91">
        <f t="array" ref="N714">SUM(IF(ISERROR(N715:N765),"",N715:N765))</f>
        <v>-3.8862599578292576</v>
      </c>
      <c r="O714" s="91">
        <f t="array" ref="O714">SUM(IF(ISERROR(O715:O765),"",O715:O765))</f>
        <v>-5.0320171389460944</v>
      </c>
      <c r="P714" s="91">
        <f t="array" ref="P714">SUM(IF(ISERROR(P715:P765),"",P715:P765))</f>
        <v>-5.2327425547703941</v>
      </c>
      <c r="Q714" s="91">
        <f t="array" ref="Q714">SUM(IF(ISERROR(Q715:Q765),"",Q715:Q765))</f>
        <v>-5.9371508470053929</v>
      </c>
      <c r="R714" s="91">
        <f t="array" ref="R714">SUM(IF(ISERROR(R715:R765),"",R715:R765))</f>
        <v>-6.6517726880485668</v>
      </c>
      <c r="S714" s="91">
        <f t="array" ref="S714">SUM(IF(ISERROR(S715:S765),"",S715:S765))</f>
        <v>-7.3887840548874815</v>
      </c>
      <c r="T714" s="91">
        <f t="array" ref="T714">SUM(IF(ISERROR(T715:T765),"",T715:T765))</f>
        <v>-7.5862225614746732</v>
      </c>
      <c r="U714" s="91">
        <f t="array" ref="U714">SUM(IF(ISERROR(U715:U765),"",U715:U765))</f>
        <v>-7.3403805723225801</v>
      </c>
      <c r="V714" s="91">
        <f t="array" ref="V714">SUM(IF(ISERROR(V715:V765),"",V715:V765))</f>
        <v>-7.0202400353043632</v>
      </c>
      <c r="W714" s="91">
        <f t="array" ref="W714">SUM(IF(ISERROR(W715:W765),"",W715:W765))</f>
        <v>-7.8742827778971094</v>
      </c>
      <c r="X714" s="91">
        <f t="array" ref="X714">SUM(IF(ISERROR(X715:X765),"",X715:X765))</f>
        <v>-11.435007717250697</v>
      </c>
      <c r="Y714" s="91">
        <f t="array" ref="Y714">SUM(IF(ISERROR(Y715:Y765),"",Y715:Y765))</f>
        <v>-14.316505963549814</v>
      </c>
      <c r="Z714" s="91">
        <f t="array" ref="Z714">SUM(IF(ISERROR(Z715:Z765),"",Z715:Z765))</f>
        <v>-19.39794048711769</v>
      </c>
      <c r="AA714" s="91">
        <f t="array" ref="AA714">SUM(IF(ISERROR(AA715:AA765),"",AA715:AA765))</f>
        <v>-24.342629662761993</v>
      </c>
      <c r="AB714" s="91">
        <f t="array" ref="AB714">SUM(IF(ISERROR(AB715:AB765),"",AB715:AB765))</f>
        <v>-29.254470895798413</v>
      </c>
      <c r="AC714" s="91">
        <f t="array" ref="AC714">SUM(IF(ISERROR(AC715:AC765),"",AC715:AC765))</f>
        <v>-34.575005773267705</v>
      </c>
      <c r="AD714" s="91">
        <f t="array" ref="AD714">SUM(IF(ISERROR(AD715:AD765),"",AD715:AD765))</f>
        <v>-40.778126810451958</v>
      </c>
      <c r="AE714" s="91">
        <f t="array" ref="AE714">SUM(IF(ISERROR(AE715:AE765),"",AE715:AE765))</f>
        <v>-47.513283916092206</v>
      </c>
      <c r="AF714" s="91">
        <f t="array" ref="AF714">SUM(IF(ISERROR(AF715:AF765),"",AF715:AF765))</f>
        <v>-54.500230704184403</v>
      </c>
      <c r="AG714" s="91">
        <f t="array" ref="AG714">SUM(IF(ISERROR(AG715:AG765),"",AG715:AG765))</f>
        <v>-61.329997744206494</v>
      </c>
      <c r="AH714" s="91">
        <f t="array" ref="AH714">SUM(IF(ISERROR(AH715:AH765),"",AH715:AH765))</f>
        <v>-62.456473989106726</v>
      </c>
      <c r="AI714" s="91">
        <f t="array" ref="AI714">SUM(IF(ISERROR(AI715:AI765),"",AI715:AI765))</f>
        <v>-63.698281772787567</v>
      </c>
      <c r="AJ714" s="91">
        <f t="array" ref="AJ714">SUM(IF(ISERROR(AJ715:AJ765),"",AJ715:AJ765))</f>
        <v>-65.096069446764901</v>
      </c>
      <c r="AK714" s="91">
        <f t="array" ref="AK714">SUM(IF(ISERROR(AK715:AK765),"",AK715:AK765))</f>
        <v>-66.464976890582221</v>
      </c>
      <c r="AL714" s="91">
        <f t="array" ref="AL714">SUM(IF(ISERROR(AL715:AL765),"",AL715:AL765))</f>
        <v>-67.955658192450159</v>
      </c>
      <c r="AM714" s="91">
        <f t="array" ref="AM714">SUM(IF(ISERROR(AM715:AM765),"",AM715:AM765))</f>
        <v>-69.365995324817206</v>
      </c>
      <c r="AN714" s="91">
        <f t="array" ref="AN714">SUM(IF(ISERROR(AN715:AN765),"",AN715:AN765))</f>
        <v>-70.984014945930014</v>
      </c>
      <c r="AO714" s="91">
        <f t="array" ref="AO714">SUM(IF(ISERROR(AO715:AO765),"",AO715:AO765))</f>
        <v>-72.694776318810526</v>
      </c>
      <c r="AP714" s="91">
        <f t="array" ref="AP714">SUM(IF(ISERROR(AP715:AP765),"",AP715:AP765))</f>
        <v>-74.719603708473656</v>
      </c>
      <c r="AQ714" s="91">
        <f t="array" ref="AQ714">SUM(IF(ISERROR(AQ715:AQ765),"",AQ715:AQ765))</f>
        <v>-77.108340414371852</v>
      </c>
      <c r="AR714" s="91">
        <f t="array" ref="AR714">SUM(IF(ISERROR(AR715:AR765),"",AR715:AR765))</f>
        <v>-79.686139644309947</v>
      </c>
      <c r="AS714" s="91">
        <f t="array" ref="AS714">SUM(IF(ISERROR(AS715:AS765),"",AS715:AS765))</f>
        <v>-81.972478033929193</v>
      </c>
      <c r="AT714" s="91">
        <f t="array" ref="AT714">SUM(IF(ISERROR(AT715:AT765),"",AT715:AT765))</f>
        <v>-84.303186245265081</v>
      </c>
      <c r="AU714" s="91">
        <f t="array" ref="AU714">SUM(IF(ISERROR(AU715:AU765),"",AU715:AU765))</f>
        <v>-87.578833261284473</v>
      </c>
      <c r="AV714" s="91">
        <f t="array" ref="AV714">SUM(IF(ISERROR(AV715:AV765),"",AV715:AV765))</f>
        <v>-89.525217835341451</v>
      </c>
      <c r="AW714" s="91">
        <f t="array" ref="AW714">SUM(IF(ISERROR(AW715:AW765),"",AW715:AW765))</f>
        <v>-92.218912786840079</v>
      </c>
      <c r="AX714" s="91">
        <f t="array" ref="AX714">SUM(IF(ISERROR(AX715:AX765),"",AX715:AX765))</f>
        <v>-95.066837093146574</v>
      </c>
      <c r="AY714" s="91">
        <f t="array" ref="AY714">SUM(IF(ISERROR(AY715:AY765),"",AY715:AY765))</f>
        <v>-98.022282091626437</v>
      </c>
      <c r="AZ714" s="91">
        <f t="array" ref="AZ714">SUM(IF(ISERROR(AZ715:AZ765),"",AZ715:AZ765))</f>
        <v>-100.27203737642736</v>
      </c>
      <c r="BA714" s="91">
        <f t="array" ref="BA714">SUM(IF(ISERROR(BA715:BA765),"",BA715:BA765))</f>
        <v>-101.31469674683426</v>
      </c>
      <c r="BB714" s="91">
        <f t="array" ref="BB714">SUM(IF(ISERROR(BB715:BB765),"",BB715:BB765))</f>
        <v>-94.75891949078995</v>
      </c>
      <c r="BC714" s="91">
        <f t="array" ref="BC714">SUM(IF(ISERROR(BC715:BC765),"",BC715:BC765))</f>
        <v>-88.536211391345461</v>
      </c>
      <c r="BD714" s="91">
        <f t="array" ref="BD714">SUM(IF(ISERROR(BD715:BD765),"",BD715:BD765))</f>
        <v>-81.073514267360636</v>
      </c>
      <c r="BE714" s="91">
        <f t="array" ref="BE714">SUM(IF(ISERROR(BE715:BE765),"",BE715:BE765))</f>
        <v>-71.265032033193961</v>
      </c>
      <c r="BF714" s="91">
        <f t="array" ref="BF714">SUM(IF(ISERROR(BF715:BF765),"",BF715:BF765))</f>
        <v>-63.218448290869063</v>
      </c>
      <c r="BG714" s="91">
        <f t="array" ref="BG714">SUM(IF(ISERROR(BG715:BG765),"",BG715:BG765))</f>
        <v>-53.282930753444667</v>
      </c>
      <c r="BH714" s="91">
        <f t="array" ref="BH714">SUM(IF(ISERROR(BH715:BH765),"",BH715:BH765))</f>
        <v>-41.426983500445132</v>
      </c>
      <c r="BI714" s="91">
        <f t="array" ref="BI714">SUM(IF(ISERROR(BI715:BI765),"",BI715:BI765))</f>
        <v>-28.16894286518415</v>
      </c>
      <c r="BJ714" s="91">
        <f t="array" ref="BJ714">SUM(IF(ISERROR(BJ715:BJ765),"",BJ715:BJ765))</f>
        <v>-14.141119213877777</v>
      </c>
      <c r="BK714" s="91"/>
      <c r="BL714" s="91"/>
      <c r="BM714" s="91"/>
      <c r="BN714" s="91"/>
      <c r="BO714" s="91"/>
      <c r="BP714" s="91"/>
    </row>
    <row r="715" spans="1:68" ht="15.75" hidden="1" customHeight="1" outlineLevel="1">
      <c r="A715" s="395"/>
      <c r="B715" s="99"/>
      <c r="C715" s="91">
        <f>IF($C$658&gt;0,PPMT('Assumptions (Wind)'!$V$8,Model!W$1,'Assumptions (Wind)'!$V$11,'Assumptions (Wind)'!$V$6*Model!$C$658*'Assumptions (Wind)'!$B$2/10^9),0)</f>
        <v>-2.989117741690161E-3</v>
      </c>
      <c r="D715" s="91">
        <f>IF($C$658&gt;0,PPMT('Assumptions (Wind)'!$V$8,Model!X$1,'Assumptions (Wind)'!$V$11,'Assumptions (Wind)'!$V$6*Model!$C$658*'Assumptions (Wind)'!$B$2/10^9),0)</f>
        <v>-3.2282471610253745E-3</v>
      </c>
      <c r="E715" s="91">
        <f>IF($C$658&gt;0,PPMT('Assumptions (Wind)'!$V$8,Model!Y$1,'Assumptions (Wind)'!$V$11,'Assumptions (Wind)'!$V$6*Model!$C$658*'Assumptions (Wind)'!$B$2/10^9),0)</f>
        <v>-3.486506933907404E-3</v>
      </c>
      <c r="F715" s="91">
        <f>IF($C$658&gt;0,PPMT('Assumptions (Wind)'!$V$8,Model!Z$1,'Assumptions (Wind)'!$V$11,'Assumptions (Wind)'!$V$6*Model!$C$658*'Assumptions (Wind)'!$B$2/10^9),0)</f>
        <v>-3.7654274886199965E-3</v>
      </c>
      <c r="G715" s="91">
        <f>IF($C$658&gt;0,PPMT('Assumptions (Wind)'!$V$8,Model!AA$1,'Assumptions (Wind)'!$V$11,'Assumptions (Wind)'!$V$6*Model!$C$658*'Assumptions (Wind)'!$B$2/10^9),0)</f>
        <v>-4.0666616877095959E-3</v>
      </c>
      <c r="H715" s="91">
        <f>IF($C$658&gt;0,PPMT('Assumptions (Wind)'!$V$8,Model!AB$1,'Assumptions (Wind)'!$V$11,'Assumptions (Wind)'!$V$6*Model!$C$658*'Assumptions (Wind)'!$B$2/10^9),0)</f>
        <v>-4.3919946227263633E-3</v>
      </c>
      <c r="I715" s="91">
        <f>IF($C$658&gt;0,PPMT('Assumptions (Wind)'!$V$8,Model!AC$1,'Assumptions (Wind)'!$V$11,'Assumptions (Wind)'!$V$6*Model!$C$658*'Assumptions (Wind)'!$B$2/10^9),0)</f>
        <v>-4.7433541925444725E-3</v>
      </c>
      <c r="J715" s="91">
        <f>IF($C$658&gt;0,PPMT('Assumptions (Wind)'!$V$8,Model!AD$1,'Assumptions (Wind)'!$V$11,'Assumptions (Wind)'!$V$6*Model!$C$658*'Assumptions (Wind)'!$B$2/10^9),0)</f>
        <v>-5.1228225279480307E-3</v>
      </c>
      <c r="K715" s="91">
        <f>IF($C$658&gt;0,PPMT('Assumptions (Wind)'!$V$8,Model!AE$1,'Assumptions (Wind)'!$V$11,'Assumptions (Wind)'!$V$6*Model!$C$658*'Assumptions (Wind)'!$B$2/10^9),0)</f>
        <v>-5.5326483301838727E-3</v>
      </c>
      <c r="L715" s="91">
        <f>IF($C$658&gt;0,PPMT('Assumptions (Wind)'!$V$8,Model!AF$1,'Assumptions (Wind)'!$V$11,'Assumptions (Wind)'!$V$6*Model!$C$658*'Assumptions (Wind)'!$B$2/10^9),0)</f>
        <v>-5.9752601965985834E-3</v>
      </c>
      <c r="M715" s="91" t="e">
        <f>IF($C$658&gt;0,PPMT('Assumptions (Wind)'!$V$8,Model!AG$1,'Assumptions (Wind)'!$V$11,'Assumptions (Wind)'!$V$6*Model!$C$658*'Assumptions (Wind)'!$B$2/10^9),0)</f>
        <v>#NUM!</v>
      </c>
      <c r="N715" s="91" t="e">
        <f>IF($C$658&gt;0,PPMT('Assumptions (Wind)'!$V$8,Model!AH$1,'Assumptions (Wind)'!$V$11,'Assumptions (Wind)'!$V$6*Model!$C$658*'Assumptions (Wind)'!$B$2/10^9),0)</f>
        <v>#NUM!</v>
      </c>
      <c r="O715" s="91" t="e">
        <f>IF($C$658&gt;0,PPMT('Assumptions (Wind)'!$V$8,Model!AI$1,'Assumptions (Wind)'!$V$11,'Assumptions (Wind)'!$V$6*Model!$C$658*'Assumptions (Wind)'!$B$2/10^9),0)</f>
        <v>#NUM!</v>
      </c>
      <c r="P715" s="91" t="e">
        <f>IF($C$658&gt;0,PPMT('Assumptions (Wind)'!$V$8,Model!AJ$1,'Assumptions (Wind)'!$V$11,'Assumptions (Wind)'!$V$6*Model!$C$658*'Assumptions (Wind)'!$B$2/10^9),0)</f>
        <v>#NUM!</v>
      </c>
      <c r="Q715" s="91" t="e">
        <f>IF($C$658&gt;0,PPMT('Assumptions (Wind)'!$V$8,Model!AK$1,'Assumptions (Wind)'!$V$11,'Assumptions (Wind)'!$V$6*Model!$C$658*'Assumptions (Wind)'!$B$2/10^9),0)</f>
        <v>#NUM!</v>
      </c>
      <c r="R715" s="91"/>
      <c r="S715" s="91"/>
      <c r="T715" s="91"/>
      <c r="U715" s="91"/>
      <c r="V715" s="91"/>
      <c r="W715" s="91"/>
      <c r="X715" s="91"/>
      <c r="Y715" s="91"/>
      <c r="Z715" s="91"/>
      <c r="AA715" s="91"/>
      <c r="AB715" s="105"/>
      <c r="AC715" s="105"/>
      <c r="AD715" s="105"/>
      <c r="AE715" s="105"/>
      <c r="AF715" s="105"/>
      <c r="AG715" s="105"/>
      <c r="AU715" s="105"/>
      <c r="AV715" s="105"/>
      <c r="AW715" s="105"/>
      <c r="AX715" s="105"/>
      <c r="AY715" s="105"/>
      <c r="AZ715" s="105"/>
      <c r="BA715" s="105"/>
    </row>
    <row r="716" spans="1:68" ht="15.75" hidden="1" customHeight="1" outlineLevel="1">
      <c r="A716" s="395"/>
      <c r="B716" s="99"/>
      <c r="C716" s="105"/>
      <c r="D716" s="91">
        <f>IF($D$658&gt;0,PPMT('Assumptions (Wind)'!$V$8,Model!W$1,'Assumptions (Wind)'!$V$11,'Assumptions (Wind)'!$V$6*Model!$D$658*'Assumptions (Wind)'!$B$2/10^9),0)</f>
        <v>-0.11416305527145576</v>
      </c>
      <c r="E716" s="91">
        <f>IF($D$658&gt;0,PPMT('Assumptions (Wind)'!$V$8,Model!X$1,'Assumptions (Wind)'!$V$11,'Assumptions (Wind)'!$V$6*Model!$D$658*'Assumptions (Wind)'!$B$2/10^9),0)</f>
        <v>-0.12329609969317223</v>
      </c>
      <c r="F716" s="91">
        <f>IF($D$658&gt;0,PPMT('Assumptions (Wind)'!$V$8,Model!Y$1,'Assumptions (Wind)'!$V$11,'Assumptions (Wind)'!$V$6*Model!$D$658*'Assumptions (Wind)'!$B$2/10^9),0)</f>
        <v>-0.13315978766862599</v>
      </c>
      <c r="G716" s="91">
        <f>IF($D$658&gt;0,PPMT('Assumptions (Wind)'!$V$8,Model!Z$1,'Assumptions (Wind)'!$V$11,'Assumptions (Wind)'!$V$6*Model!$D$658*'Assumptions (Wind)'!$B$2/10^9),0)</f>
        <v>-0.14381257068211609</v>
      </c>
      <c r="H716" s="91">
        <f>IF($D$658&gt;0,PPMT('Assumptions (Wind)'!$V$8,Model!AA$1,'Assumptions (Wind)'!$V$11,'Assumptions (Wind)'!$V$6*Model!$D$658*'Assumptions (Wind)'!$B$2/10^9),0)</f>
        <v>-0.15531757633668539</v>
      </c>
      <c r="I716" s="91">
        <f>IF($D$658&gt;0,PPMT('Assumptions (Wind)'!$V$8,Model!AB$1,'Assumptions (Wind)'!$V$11,'Assumptions (Wind)'!$V$6*Model!$D$658*'Assumptions (Wind)'!$B$2/10^9),0)</f>
        <v>-0.16774298244362018</v>
      </c>
      <c r="J716" s="91">
        <f>IF($D$658&gt;0,PPMT('Assumptions (Wind)'!$V$8,Model!AC$1,'Assumptions (Wind)'!$V$11,'Assumptions (Wind)'!$V$6*Model!$D$658*'Assumptions (Wind)'!$B$2/10^9),0)</f>
        <v>-0.18116242103910982</v>
      </c>
      <c r="K716" s="91">
        <f>IF($D$658&gt;0,PPMT('Assumptions (Wind)'!$V$8,Model!AD$1,'Assumptions (Wind)'!$V$11,'Assumptions (Wind)'!$V$6*Model!$D$658*'Assumptions (Wind)'!$B$2/10^9),0)</f>
        <v>-0.1956554147222386</v>
      </c>
      <c r="L716" s="91">
        <f>IF($D$658&gt;0,PPMT('Assumptions (Wind)'!$V$8,Model!AE$1,'Assumptions (Wind)'!$V$11,'Assumptions (Wind)'!$V$6*Model!$D$658*'Assumptions (Wind)'!$B$2/10^9),0)</f>
        <v>-0.21130784790001766</v>
      </c>
      <c r="M716" s="91">
        <f>IF($D$658&gt;0,PPMT('Assumptions (Wind)'!$V$8,Model!AF$1,'Assumptions (Wind)'!$V$11,'Assumptions (Wind)'!$V$6*Model!$D$658*'Assumptions (Wind)'!$B$2/10^9),0)</f>
        <v>-0.22821247573201908</v>
      </c>
      <c r="N716" s="91" t="e">
        <f>IF($D$658&gt;0,PPMT('Assumptions (Wind)'!$V$8,Model!AG$1,'Assumptions (Wind)'!$V$11,'Assumptions (Wind)'!$V$6*Model!$D$658*'Assumptions (Wind)'!$B$2/10^9),0)</f>
        <v>#NUM!</v>
      </c>
      <c r="O716" s="91" t="e">
        <f>IF($D$658&gt;0,PPMT('Assumptions (Wind)'!$V$8,Model!AH$1,'Assumptions (Wind)'!$V$11,'Assumptions (Wind)'!$V$6*Model!$D$658*'Assumptions (Wind)'!$B$2/10^9),0)</f>
        <v>#NUM!</v>
      </c>
      <c r="P716" s="91" t="e">
        <f>IF($D$658&gt;0,PPMT('Assumptions (Wind)'!$V$8,Model!AI$1,'Assumptions (Wind)'!$V$11,'Assumptions (Wind)'!$V$6*Model!$D$658*'Assumptions (Wind)'!$B$2/10^9),0)</f>
        <v>#NUM!</v>
      </c>
      <c r="Q716" s="91" t="e">
        <f>IF($D$658&gt;0,PPMT('Assumptions (Wind)'!$V$8,Model!AJ$1,'Assumptions (Wind)'!$V$11,'Assumptions (Wind)'!$V$6*Model!$D$658*'Assumptions (Wind)'!$B$2/10^9),0)</f>
        <v>#NUM!</v>
      </c>
      <c r="R716" s="91" t="e">
        <f>IF($D$658&gt;0,PPMT('Assumptions (Wind)'!$V$8,Model!AK$1,'Assumptions (Wind)'!$V$11,'Assumptions (Wind)'!$V$6*Model!$D$658*'Assumptions (Wind)'!$B$2/10^9),0)</f>
        <v>#NUM!</v>
      </c>
      <c r="S716" s="91"/>
      <c r="T716" s="91"/>
      <c r="U716" s="91"/>
      <c r="V716" s="91"/>
      <c r="W716" s="91"/>
      <c r="X716" s="91"/>
      <c r="Y716" s="91"/>
      <c r="Z716" s="91"/>
      <c r="AA716" s="91"/>
      <c r="AB716" s="91"/>
      <c r="AC716" s="105"/>
      <c r="AD716" s="105"/>
      <c r="AE716" s="105"/>
      <c r="AF716" s="105"/>
      <c r="AG716" s="105"/>
      <c r="AU716" s="105"/>
      <c r="AV716" s="105"/>
      <c r="AW716" s="105"/>
      <c r="AX716" s="105"/>
      <c r="AY716" s="105"/>
      <c r="AZ716" s="105"/>
      <c r="BA716" s="105"/>
    </row>
    <row r="717" spans="1:68" ht="15.75" hidden="1" customHeight="1" outlineLevel="1">
      <c r="A717" s="395"/>
      <c r="B717" s="99"/>
      <c r="C717" s="105"/>
      <c r="D717" s="105"/>
      <c r="E717" s="105">
        <f>IF($E$658&gt;0,PPMT('Assumptions (Wind)'!$V$8,Model!W$1,'Assumptions (Wind)'!$V$11,'Assumptions (Wind)'!$V$6*Model!$E$658*AVERAGE('Assumptions (Wind)'!$B$2:$C$2)/10^9),0)</f>
        <v>-4.698739461423556E-2</v>
      </c>
      <c r="F717" s="105">
        <f>IF($E$658&gt;0,PPMT('Assumptions (Wind)'!$V$8,Model!X$1,'Assumptions (Wind)'!$V$11,'Assumptions (Wind)'!$V$6*Model!$E$658*AVERAGE('Assumptions (Wind)'!$B$2:$C$2)/10^9),0)</f>
        <v>-5.074638618337441E-2</v>
      </c>
      <c r="G717" s="105">
        <f>IF($E$658&gt;0,PPMT('Assumptions (Wind)'!$V$8,Model!Y$1,'Assumptions (Wind)'!$V$11,'Assumptions (Wind)'!$V$6*Model!$E$658*AVERAGE('Assumptions (Wind)'!$B$2:$C$2)/10^9),0)</f>
        <v>-5.4806097078044361E-2</v>
      </c>
      <c r="H717" s="105">
        <f>IF($E$658&gt;0,PPMT('Assumptions (Wind)'!$V$8,Model!Z$1,'Assumptions (Wind)'!$V$11,'Assumptions (Wind)'!$V$6*Model!$E$658*AVERAGE('Assumptions (Wind)'!$B$2:$C$2)/10^9),0)</f>
        <v>-5.9190584844287908E-2</v>
      </c>
      <c r="I717" s="105">
        <f>IF($E$658&gt;0,PPMT('Assumptions (Wind)'!$V$8,Model!AA$1,'Assumptions (Wind)'!$V$11,'Assumptions (Wind)'!$V$6*Model!$E$658*AVERAGE('Assumptions (Wind)'!$B$2:$C$2)/10^9),0)</f>
        <v>-6.3925831631830951E-2</v>
      </c>
      <c r="J717" s="105">
        <f>IF($E$658&gt;0,PPMT('Assumptions (Wind)'!$V$8,Model!AB$1,'Assumptions (Wind)'!$V$11,'Assumptions (Wind)'!$V$6*Model!$E$658*AVERAGE('Assumptions (Wind)'!$B$2:$C$2)/10^9),0)</f>
        <v>-6.9039898162377419E-2</v>
      </c>
      <c r="K717" s="105">
        <f>IF($E$658&gt;0,PPMT('Assumptions (Wind)'!$V$8,Model!AC$1,'Assumptions (Wind)'!$V$11,'Assumptions (Wind)'!$V$6*Model!$E$658*AVERAGE('Assumptions (Wind)'!$B$2:$C$2)/10^9),0)</f>
        <v>-7.4563090015367608E-2</v>
      </c>
      <c r="L717" s="105">
        <f>IF($E$658&gt;0,PPMT('Assumptions (Wind)'!$V$8,Model!AD$1,'Assumptions (Wind)'!$V$11,'Assumptions (Wind)'!$V$6*Model!$E$658*AVERAGE('Assumptions (Wind)'!$B$2:$C$2)/10^9),0)</f>
        <v>-8.0528137216597018E-2</v>
      </c>
      <c r="M717" s="105">
        <f>IF($E$658&gt;0,PPMT('Assumptions (Wind)'!$V$8,Model!AE$1,'Assumptions (Wind)'!$V$11,'Assumptions (Wind)'!$V$6*Model!$E$658*AVERAGE('Assumptions (Wind)'!$B$2:$C$2)/10^9),0)</f>
        <v>-8.6970388193924761E-2</v>
      </c>
      <c r="N717" s="91">
        <f>IF($E$658&gt;0,PPMT('Assumptions (Wind)'!$V$8,Model!AF$1,'Assumptions (Wind)'!$V$11,'Assumptions (Wind)'!$V$6*Model!$E$658*AVERAGE('Assumptions (Wind)'!$B$2:$C$2)/10^9),0)</f>
        <v>-9.3928019249438763E-2</v>
      </c>
      <c r="O717" s="105" t="e">
        <f>IF($E$658&gt;0,PPMT('Assumptions (Wind)'!$V$8,Model!AG$1,'Assumptions (Wind)'!$V$11,'Assumptions (Wind)'!$V$6*Model!$E$658*AVERAGE('Assumptions (Wind)'!$B$2:$C$2)/10^9),0)</f>
        <v>#NUM!</v>
      </c>
      <c r="P717" s="105" t="e">
        <f>IF($E$658&gt;0,PPMT('Assumptions (Wind)'!$V$8,Model!AH$1,'Assumptions (Wind)'!$V$11,'Assumptions (Wind)'!$V$6*Model!$E$658*AVERAGE('Assumptions (Wind)'!$B$2:$C$2)/10^9),0)</f>
        <v>#NUM!</v>
      </c>
      <c r="Q717" s="105" t="e">
        <f>IF($E$658&gt;0,PPMT('Assumptions (Wind)'!$V$8,Model!AI$1,'Assumptions (Wind)'!$V$11,'Assumptions (Wind)'!$V$6*Model!$E$658*AVERAGE('Assumptions (Wind)'!$B$2:$C$2)/10^9),0)</f>
        <v>#NUM!</v>
      </c>
      <c r="R717" s="105" t="e">
        <f>IF($E$658&gt;0,PPMT('Assumptions (Wind)'!$V$8,Model!AJ$1,'Assumptions (Wind)'!$V$11,'Assumptions (Wind)'!$V$6*Model!$E$658*AVERAGE('Assumptions (Wind)'!$B$2:$C$2)/10^9),0)</f>
        <v>#NUM!</v>
      </c>
      <c r="S717" s="105" t="e">
        <f>IF($E$658&gt;0,PPMT('Assumptions (Wind)'!$V$8,Model!AK$1,'Assumptions (Wind)'!$V$11,'Assumptions (Wind)'!$V$6*Model!$E$658*AVERAGE('Assumptions (Wind)'!$B$2:$C$2)/10^9),0)</f>
        <v>#NUM!</v>
      </c>
      <c r="T717" s="105"/>
      <c r="U717" s="105"/>
      <c r="V717" s="105"/>
      <c r="W717" s="105"/>
      <c r="X717" s="105"/>
      <c r="Y717" s="105"/>
      <c r="Z717" s="105"/>
      <c r="AA717" s="105"/>
      <c r="AB717" s="105"/>
      <c r="AC717" s="105"/>
      <c r="AD717" s="105"/>
      <c r="AE717" s="105"/>
      <c r="AF717" s="105"/>
      <c r="AG717" s="105"/>
      <c r="AU717" s="105"/>
      <c r="AV717" s="105"/>
      <c r="AW717" s="105"/>
      <c r="AX717" s="105"/>
      <c r="AY717" s="105"/>
      <c r="AZ717" s="105"/>
      <c r="BA717" s="105"/>
    </row>
    <row r="718" spans="1:68" ht="15.75" hidden="1" customHeight="1" outlineLevel="1">
      <c r="A718" s="395"/>
      <c r="B718" s="99"/>
      <c r="C718" s="105"/>
      <c r="D718" s="105"/>
      <c r="E718" s="105"/>
      <c r="F718" s="105">
        <f>IF($F$658&gt;0,PPMT('Assumptions (Wind)'!$V$8,Model!W$1,'Assumptions (Wind)'!$V$11,'Assumptions (Wind)'!$V$6*Model!$F$658*AVERAGE('Assumptions (Wind)'!$C$2:$D$2)/10^9),0)</f>
        <v>-0.12121453746295126</v>
      </c>
      <c r="G718" s="105">
        <f>IF($F$658&gt;0,PPMT('Assumptions (Wind)'!$V$8,Model!X$1,'Assumptions (Wind)'!$V$11,'Assumptions (Wind)'!$V$6*Model!$F$658*AVERAGE('Assumptions (Wind)'!$C$2:$D$2)/10^9),0)</f>
        <v>-0.13091170045998737</v>
      </c>
      <c r="H718" s="105">
        <f>IF($F$658&gt;0,PPMT('Assumptions (Wind)'!$V$8,Model!Y$1,'Assumptions (Wind)'!$V$11,'Assumptions (Wind)'!$V$6*Model!$F$658*AVERAGE('Assumptions (Wind)'!$C$2:$D$2)/10^9),0)</f>
        <v>-0.14138463649678637</v>
      </c>
      <c r="I718" s="105">
        <f>IF($F$658&gt;0,PPMT('Assumptions (Wind)'!$V$8,Model!Z$1,'Assumptions (Wind)'!$V$11,'Assumptions (Wind)'!$V$6*Model!$F$658*AVERAGE('Assumptions (Wind)'!$C$2:$D$2)/10^9),0)</f>
        <v>-0.15269540741652926</v>
      </c>
      <c r="J718" s="105">
        <f>IF($F$658&gt;0,PPMT('Assumptions (Wind)'!$V$8,Model!AA$1,'Assumptions (Wind)'!$V$11,'Assumptions (Wind)'!$V$6*Model!$F$658*AVERAGE('Assumptions (Wind)'!$C$2:$D$2)/10^9),0)</f>
        <v>-0.16491104000985166</v>
      </c>
      <c r="K718" s="105">
        <f>IF($F$658&gt;0,PPMT('Assumptions (Wind)'!$V$8,Model!AB$1,'Assumptions (Wind)'!$V$11,'Assumptions (Wind)'!$V$6*Model!$F$658*AVERAGE('Assumptions (Wind)'!$C$2:$D$2)/10^9),0)</f>
        <v>-0.17810392321063973</v>
      </c>
      <c r="L718" s="105">
        <f>IF($F$658&gt;0,PPMT('Assumptions (Wind)'!$V$8,Model!AC$1,'Assumptions (Wind)'!$V$11,'Assumptions (Wind)'!$V$6*Model!$F$658*AVERAGE('Assumptions (Wind)'!$C$2:$D$2)/10^9),0)</f>
        <v>-0.19235223706749088</v>
      </c>
      <c r="M718" s="105">
        <f>IF($F$658&gt;0,PPMT('Assumptions (Wind)'!$V$8,Model!AD$1,'Assumptions (Wind)'!$V$11,'Assumptions (Wind)'!$V$6*Model!$F$658*AVERAGE('Assumptions (Wind)'!$C$2:$D$2)/10^9),0)</f>
        <v>-0.20774041603289017</v>
      </c>
      <c r="N718" s="105">
        <f>IF($F$658&gt;0,PPMT('Assumptions (Wind)'!$V$8,Model!AE$1,'Assumptions (Wind)'!$V$11,'Assumptions (Wind)'!$V$6*Model!$F$658*AVERAGE('Assumptions (Wind)'!$C$2:$D$2)/10^9),0)</f>
        <v>-0.22435964931552138</v>
      </c>
      <c r="O718" s="105">
        <f>IF($F$658&gt;0,PPMT('Assumptions (Wind)'!$V$8,Model!AF$1,'Assumptions (Wind)'!$V$11,'Assumptions (Wind)'!$V$6*Model!$F$658*AVERAGE('Assumptions (Wind)'!$C$2:$D$2)/10^9),0)</f>
        <v>-0.24230842126076313</v>
      </c>
      <c r="P718" s="105" t="e">
        <f>IF($F$658&gt;0,PPMT('Assumptions (Wind)'!$V$8,Model!AG$1,'Assumptions (Wind)'!$V$11,'Assumptions (Wind)'!$V$6*Model!$F$658*AVERAGE('Assumptions (Wind)'!$C$2:$D$2)/10^9),0)</f>
        <v>#NUM!</v>
      </c>
      <c r="Q718" s="105" t="e">
        <f>IF($F$658&gt;0,PPMT('Assumptions (Wind)'!$V$8,Model!AH$1,'Assumptions (Wind)'!$V$11,'Assumptions (Wind)'!$V$6*Model!$F$658*AVERAGE('Assumptions (Wind)'!$C$2:$D$2)/10^9),0)</f>
        <v>#NUM!</v>
      </c>
      <c r="R718" s="105" t="e">
        <f>IF($F$658&gt;0,PPMT('Assumptions (Wind)'!$V$8,Model!AI$1,'Assumptions (Wind)'!$V$11,'Assumptions (Wind)'!$V$6*Model!$F$658*AVERAGE('Assumptions (Wind)'!$C$2:$D$2)/10^9),0)</f>
        <v>#NUM!</v>
      </c>
      <c r="S718" s="105" t="e">
        <f>IF($F$658&gt;0,PPMT('Assumptions (Wind)'!$V$8,Model!AJ$1,'Assumptions (Wind)'!$V$11,'Assumptions (Wind)'!$V$6*Model!$F$658*AVERAGE('Assumptions (Wind)'!$C$2:$D$2)/10^9),0)</f>
        <v>#NUM!</v>
      </c>
      <c r="T718" s="105" t="e">
        <f>IF($F$658&gt;0,PPMT('Assumptions (Wind)'!$V$8,Model!AK$1,'Assumptions (Wind)'!$V$11,'Assumptions (Wind)'!$V$6*Model!$F$658*AVERAGE('Assumptions (Wind)'!$C$2:$D$2)/10^9),0)</f>
        <v>#NUM!</v>
      </c>
      <c r="U718" s="105"/>
      <c r="V718" s="105"/>
      <c r="W718" s="105"/>
      <c r="X718" s="105"/>
      <c r="Y718" s="105"/>
      <c r="Z718" s="105"/>
      <c r="AA718" s="105"/>
      <c r="AB718" s="105"/>
      <c r="AC718" s="105"/>
      <c r="AD718" s="105"/>
      <c r="AE718" s="105"/>
      <c r="AF718" s="105"/>
      <c r="AG718" s="105"/>
      <c r="AU718" s="105"/>
      <c r="AV718" s="105"/>
      <c r="AW718" s="105"/>
      <c r="AX718" s="105"/>
      <c r="AY718" s="105"/>
      <c r="AZ718" s="105"/>
      <c r="BA718" s="105"/>
    </row>
    <row r="719" spans="1:68" ht="15.75" hidden="1" customHeight="1" outlineLevel="1">
      <c r="A719" s="395"/>
      <c r="B719" s="99"/>
      <c r="C719" s="105"/>
      <c r="D719" s="105"/>
      <c r="E719" s="105"/>
      <c r="F719" s="105"/>
      <c r="G719" s="105">
        <f>IF($G$658&gt;0,PPMT('Assumptions (Wind)'!$V$8,Model!W$1,'Assumptions (Wind)'!$V$11,'Assumptions (Wind)'!$V$6*Model!$G$658*AVERAGE('Assumptions (Wind)'!$D$2:$E$2)/10^9),0)</f>
        <v>-2.8260350921462358E-2</v>
      </c>
      <c r="H719" s="105">
        <f>IF($G$658&gt;0,PPMT('Assumptions (Wind)'!$V$8,Model!X$1,'Assumptions (Wind)'!$V$11,'Assumptions (Wind)'!$V$6*Model!$G$658*AVERAGE('Assumptions (Wind)'!$D$2:$E$2)/10^9),0)</f>
        <v>-3.0521178995179348E-2</v>
      </c>
      <c r="I719" s="105">
        <f>IF($G$658&gt;0,PPMT('Assumptions (Wind)'!$V$8,Model!Y$1,'Assumptions (Wind)'!$V$11,'Assumptions (Wind)'!$V$6*Model!$G$658*AVERAGE('Assumptions (Wind)'!$D$2:$E$2)/10^9),0)</f>
        <v>-3.2962873314793695E-2</v>
      </c>
      <c r="J719" s="105">
        <f>IF($G$658&gt;0,PPMT('Assumptions (Wind)'!$V$8,Model!Z$1,'Assumptions (Wind)'!$V$11,'Assumptions (Wind)'!$V$6*Model!$G$658*AVERAGE('Assumptions (Wind)'!$D$2:$E$2)/10^9),0)</f>
        <v>-3.5599903179977188E-2</v>
      </c>
      <c r="K719" s="105">
        <f>IF($G$658&gt;0,PPMT('Assumptions (Wind)'!$V$8,Model!AA$1,'Assumptions (Wind)'!$V$11,'Assumptions (Wind)'!$V$6*Model!$G$658*AVERAGE('Assumptions (Wind)'!$D$2:$E$2)/10^9),0)</f>
        <v>-3.8447895434375372E-2</v>
      </c>
      <c r="L719" s="105">
        <f>IF($G$658&gt;0,PPMT('Assumptions (Wind)'!$V$8,Model!AB$1,'Assumptions (Wind)'!$V$11,'Assumptions (Wind)'!$V$6*Model!$G$658*AVERAGE('Assumptions (Wind)'!$D$2:$E$2)/10^9),0)</f>
        <v>-4.1523727069125389E-2</v>
      </c>
      <c r="M719" s="105">
        <f>IF($G$658&gt;0,PPMT('Assumptions (Wind)'!$V$8,Model!AC$1,'Assumptions (Wind)'!$V$11,'Assumptions (Wind)'!$V$6*Model!$G$658*AVERAGE('Assumptions (Wind)'!$D$2:$E$2)/10^9),0)</f>
        <v>-4.4845625234655427E-2</v>
      </c>
      <c r="N719" s="105">
        <f>IF($G$658&gt;0,PPMT('Assumptions (Wind)'!$V$8,Model!AD$1,'Assumptions (Wind)'!$V$11,'Assumptions (Wind)'!$V$6*Model!$G$658*AVERAGE('Assumptions (Wind)'!$D$2:$E$2)/10^9),0)</f>
        <v>-4.843327525342786E-2</v>
      </c>
      <c r="O719" s="105">
        <f>IF($G$658&gt;0,PPMT('Assumptions (Wind)'!$V$8,Model!AE$1,'Assumptions (Wind)'!$V$11,'Assumptions (Wind)'!$V$6*Model!$G$658*AVERAGE('Assumptions (Wind)'!$D$2:$E$2)/10^9),0)</f>
        <v>-5.2307937273702081E-2</v>
      </c>
      <c r="P719" s="105">
        <f>IF($G$658&gt;0,PPMT('Assumptions (Wind)'!$V$8,Model!AF$1,'Assumptions (Wind)'!$V$11,'Assumptions (Wind)'!$V$6*Model!$G$658*AVERAGE('Assumptions (Wind)'!$D$2:$E$2)/10^9),0)</f>
        <v>-5.6492572255598256E-2</v>
      </c>
      <c r="Q719" s="105" t="e">
        <f>IF($G$658&gt;0,PPMT('Assumptions (Wind)'!$V$8,Model!AG$1,'Assumptions (Wind)'!$V$11,'Assumptions (Wind)'!$V$6*Model!$G$658*AVERAGE('Assumptions (Wind)'!$D$2:$E$2)/10^9),0)</f>
        <v>#NUM!</v>
      </c>
      <c r="R719" s="105" t="e">
        <f>IF($G$658&gt;0,PPMT('Assumptions (Wind)'!$V$8,Model!AH$1,'Assumptions (Wind)'!$V$11,'Assumptions (Wind)'!$V$6*Model!$G$658*AVERAGE('Assumptions (Wind)'!$D$2:$E$2)/10^9),0)</f>
        <v>#NUM!</v>
      </c>
      <c r="S719" s="105" t="e">
        <f>IF($G$658&gt;0,PPMT('Assumptions (Wind)'!$V$8,Model!AI$1,'Assumptions (Wind)'!$V$11,'Assumptions (Wind)'!$V$6*Model!$G$658*AVERAGE('Assumptions (Wind)'!$D$2:$E$2)/10^9),0)</f>
        <v>#NUM!</v>
      </c>
      <c r="T719" s="105" t="e">
        <f>IF($G$658&gt;0,PPMT('Assumptions (Wind)'!$V$8,Model!AJ$1,'Assumptions (Wind)'!$V$11,'Assumptions (Wind)'!$V$6*Model!$G$658*AVERAGE('Assumptions (Wind)'!$D$2:$E$2)/10^9),0)</f>
        <v>#NUM!</v>
      </c>
      <c r="U719" s="105" t="e">
        <f>IF($G$658&gt;0,PPMT('Assumptions (Wind)'!$V$8,Model!AK$1,'Assumptions (Wind)'!$V$11,'Assumptions (Wind)'!$V$6*Model!$G$658*AVERAGE('Assumptions (Wind)'!$D$2:$E$2)/10^9),0)</f>
        <v>#NUM!</v>
      </c>
      <c r="V719" s="105"/>
      <c r="W719" s="105"/>
      <c r="X719" s="105"/>
      <c r="Y719" s="105"/>
      <c r="Z719" s="105"/>
      <c r="AA719" s="105"/>
      <c r="AB719" s="105"/>
      <c r="AC719" s="105"/>
      <c r="AD719" s="105"/>
      <c r="AE719" s="105"/>
      <c r="AF719" s="105"/>
      <c r="AG719" s="105"/>
      <c r="AU719" s="105"/>
      <c r="AV719" s="105"/>
      <c r="AW719" s="105"/>
      <c r="AX719" s="105"/>
      <c r="AY719" s="105"/>
      <c r="AZ719" s="105"/>
      <c r="BA719" s="105"/>
    </row>
    <row r="720" spans="1:68" ht="15.75" hidden="1" customHeight="1" outlineLevel="1">
      <c r="A720" s="395"/>
      <c r="B720" s="99"/>
      <c r="C720" s="105"/>
      <c r="D720" s="105"/>
      <c r="E720" s="105"/>
      <c r="F720" s="105"/>
      <c r="G720" s="105"/>
      <c r="H720" s="105">
        <f>IF($H$658&gt;0,PPMT('Assumptions (Wind)'!$V$8,Model!W$1,'Assumptions (Wind)'!$V$11,'Assumptions (Wind)'!$V$6*Model!$H$658*AVERAGE('Assumptions (Wind)'!$E$2:$F$2)/10^9),0)</f>
        <v>-0.15928412607322154</v>
      </c>
      <c r="I720" s="105">
        <f>IF($H$658&gt;0,PPMT('Assumptions (Wind)'!$V$8,Model!X$1,'Assumptions (Wind)'!$V$11,'Assumptions (Wind)'!$V$6*Model!$H$658*AVERAGE('Assumptions (Wind)'!$E$2:$F$2)/10^9),0)</f>
        <v>-0.17202685615907928</v>
      </c>
      <c r="J720" s="105">
        <f>IF($H$658&gt;0,PPMT('Assumptions (Wind)'!$V$8,Model!Y$1,'Assumptions (Wind)'!$V$11,'Assumptions (Wind)'!$V$6*Model!$H$658*AVERAGE('Assumptions (Wind)'!$E$2:$F$2)/10^9),0)</f>
        <v>-0.18578900465180559</v>
      </c>
      <c r="K720" s="105">
        <f>IF($H$658&gt;0,PPMT('Assumptions (Wind)'!$V$8,Model!Z$1,'Assumptions (Wind)'!$V$11,'Assumptions (Wind)'!$V$6*Model!$H$658*AVERAGE('Assumptions (Wind)'!$E$2:$F$2)/10^9),0)</f>
        <v>-0.20065212502395008</v>
      </c>
      <c r="L720" s="105">
        <f>IF($H$658&gt;0,PPMT('Assumptions (Wind)'!$V$8,Model!AA$1,'Assumptions (Wind)'!$V$11,'Assumptions (Wind)'!$V$6*Model!$H$658*AVERAGE('Assumptions (Wind)'!$E$2:$F$2)/10^9),0)</f>
        <v>-0.21670429502586608</v>
      </c>
      <c r="M720" s="105">
        <f>IF($H$658&gt;0,PPMT('Assumptions (Wind)'!$V$8,Model!AB$1,'Assumptions (Wind)'!$V$11,'Assumptions (Wind)'!$V$6*Model!$H$658*AVERAGE('Assumptions (Wind)'!$E$2:$F$2)/10^9),0)</f>
        <v>-0.23404063862793537</v>
      </c>
      <c r="N720" s="105">
        <f>IF($H$658&gt;0,PPMT('Assumptions (Wind)'!$V$8,Model!AC$1,'Assumptions (Wind)'!$V$11,'Assumptions (Wind)'!$V$6*Model!$H$658*AVERAGE('Assumptions (Wind)'!$E$2:$F$2)/10^9),0)</f>
        <v>-0.25276388971817015</v>
      </c>
      <c r="O720" s="105">
        <f>IF($H$658&gt;0,PPMT('Assumptions (Wind)'!$V$8,Model!AD$1,'Assumptions (Wind)'!$V$11,'Assumptions (Wind)'!$V$6*Model!$H$658*AVERAGE('Assumptions (Wind)'!$E$2:$F$2)/10^9),0)</f>
        <v>-0.27298500089562378</v>
      </c>
      <c r="P720" s="105">
        <f>IF($H$658&gt;0,PPMT('Assumptions (Wind)'!$V$8,Model!AE$1,'Assumptions (Wind)'!$V$11,'Assumptions (Wind)'!$V$6*Model!$H$658*AVERAGE('Assumptions (Wind)'!$E$2:$F$2)/10^9),0)</f>
        <v>-0.29482380096727367</v>
      </c>
      <c r="Q720" s="105">
        <f>IF($H$658&gt;0,PPMT('Assumptions (Wind)'!$V$8,Model!AF$1,'Assumptions (Wind)'!$V$11,'Assumptions (Wind)'!$V$6*Model!$H$658*AVERAGE('Assumptions (Wind)'!$E$2:$F$2)/10^9),0)</f>
        <v>-0.3184097050446556</v>
      </c>
      <c r="R720" s="105" t="e">
        <f>IF($H$658&gt;0,PPMT('Assumptions (Wind)'!$V$8,Model!AG$1,'Assumptions (Wind)'!$V$11,'Assumptions (Wind)'!$V$6*Model!$H$658*AVERAGE('Assumptions (Wind)'!$E$2:$F$2)/10^9),0)</f>
        <v>#NUM!</v>
      </c>
      <c r="S720" s="105" t="e">
        <f>IF($H$658&gt;0,PPMT('Assumptions (Wind)'!$V$8,Model!AH$1,'Assumptions (Wind)'!$V$11,'Assumptions (Wind)'!$V$6*Model!$H$658*AVERAGE('Assumptions (Wind)'!$E$2:$F$2)/10^9),0)</f>
        <v>#NUM!</v>
      </c>
      <c r="T720" s="105" t="e">
        <f>IF($H$658&gt;0,PPMT('Assumptions (Wind)'!$V$8,Model!AI$1,'Assumptions (Wind)'!$V$11,'Assumptions (Wind)'!$V$6*Model!$H$658*AVERAGE('Assumptions (Wind)'!$E$2:$F$2)/10^9),0)</f>
        <v>#NUM!</v>
      </c>
      <c r="U720" s="105" t="e">
        <f>IF($H$658&gt;0,PPMT('Assumptions (Wind)'!$V$8,Model!AJ$1,'Assumptions (Wind)'!$V$11,'Assumptions (Wind)'!$V$6*Model!$H$658*AVERAGE('Assumptions (Wind)'!$E$2:$F$2)/10^9),0)</f>
        <v>#NUM!</v>
      </c>
      <c r="V720" s="105" t="e">
        <f>IF($H$658&gt;0,PPMT('Assumptions (Wind)'!$V$8,Model!AK$1,'Assumptions (Wind)'!$V$11,'Assumptions (Wind)'!$V$6*Model!$H$658*AVERAGE('Assumptions (Wind)'!$E$2:$F$2)/10^9),0)</f>
        <v>#NUM!</v>
      </c>
      <c r="W720" s="105"/>
      <c r="X720" s="105"/>
      <c r="Y720" s="105"/>
      <c r="Z720" s="105"/>
      <c r="AA720" s="105"/>
      <c r="AB720" s="105"/>
      <c r="AC720" s="105"/>
      <c r="AD720" s="105"/>
      <c r="AE720" s="105"/>
      <c r="AF720" s="105"/>
      <c r="AG720" s="105"/>
      <c r="AU720" s="105"/>
      <c r="AV720" s="105"/>
      <c r="AW720" s="105"/>
      <c r="AX720" s="105"/>
      <c r="AY720" s="105"/>
      <c r="AZ720" s="105"/>
      <c r="BA720" s="105"/>
    </row>
    <row r="721" spans="1:53" ht="15.75" hidden="1" customHeight="1" outlineLevel="1">
      <c r="A721" s="395"/>
      <c r="B721" s="99"/>
      <c r="C721" s="105"/>
      <c r="D721" s="105"/>
      <c r="E721" s="105"/>
      <c r="F721" s="105"/>
      <c r="G721" s="105"/>
      <c r="H721" s="105"/>
      <c r="I721" s="105">
        <f>IF($I$658&gt;0,PPMT('Assumptions (Wind)'!$V$8,Model!W$1,'Assumptions (Wind)'!$V$11,'Assumptions (Wind)'!$V$6*Model!$I$658*AVERAGE('Assumptions (Wind)'!$F$2:$G$2)/10^9),0)</f>
        <v>-0.19116879451390995</v>
      </c>
      <c r="J721" s="105">
        <f>IF($I$658&gt;0,PPMT('Assumptions (Wind)'!$V$8,Model!X$1,'Assumptions (Wind)'!$V$11,'Assumptions (Wind)'!$V$6*Model!$I$658*AVERAGE('Assumptions (Wind)'!$F$2:$G$2)/10^9),0)</f>
        <v>-0.20646229807502273</v>
      </c>
      <c r="K721" s="105">
        <f>IF($I$658&gt;0,PPMT('Assumptions (Wind)'!$V$8,Model!Y$1,'Assumptions (Wind)'!$V$11,'Assumptions (Wind)'!$V$6*Model!$I$658*AVERAGE('Assumptions (Wind)'!$F$2:$G$2)/10^9),0)</f>
        <v>-0.22297928192102454</v>
      </c>
      <c r="L721" s="105">
        <f>IF($I$658&gt;0,PPMT('Assumptions (Wind)'!$V$8,Model!Z$1,'Assumptions (Wind)'!$V$11,'Assumptions (Wind)'!$V$6*Model!$I$658*AVERAGE('Assumptions (Wind)'!$F$2:$G$2)/10^9),0)</f>
        <v>-0.24081762447470653</v>
      </c>
      <c r="M721" s="105">
        <f>IF($I$658&gt;0,PPMT('Assumptions (Wind)'!$V$8,Model!AA$1,'Assumptions (Wind)'!$V$11,'Assumptions (Wind)'!$V$6*Model!$I$658*AVERAGE('Assumptions (Wind)'!$F$2:$G$2)/10^9),0)</f>
        <v>-0.26008303443268305</v>
      </c>
      <c r="N721" s="105">
        <f>IF($I$658&gt;0,PPMT('Assumptions (Wind)'!$V$8,Model!AB$1,'Assumptions (Wind)'!$V$11,'Assumptions (Wind)'!$V$6*Model!$I$658*AVERAGE('Assumptions (Wind)'!$F$2:$G$2)/10^9),0)</f>
        <v>-0.28088967718729768</v>
      </c>
      <c r="O721" s="105">
        <f>IF($I$658&gt;0,PPMT('Assumptions (Wind)'!$V$8,Model!AC$1,'Assumptions (Wind)'!$V$11,'Assumptions (Wind)'!$V$6*Model!$I$658*AVERAGE('Assumptions (Wind)'!$F$2:$G$2)/10^9),0)</f>
        <v>-0.30336085136228147</v>
      </c>
      <c r="P721" s="105">
        <f>IF($I$658&gt;0,PPMT('Assumptions (Wind)'!$V$8,Model!AD$1,'Assumptions (Wind)'!$V$11,'Assumptions (Wind)'!$V$6*Model!$I$658*AVERAGE('Assumptions (Wind)'!$F$2:$G$2)/10^9),0)</f>
        <v>-0.32762971947126396</v>
      </c>
      <c r="Q721" s="105">
        <f>IF($I$658&gt;0,PPMT('Assumptions (Wind)'!$V$8,Model!AE$1,'Assumptions (Wind)'!$V$11,'Assumptions (Wind)'!$V$6*Model!$I$658*AVERAGE('Assumptions (Wind)'!$F$2:$G$2)/10^9),0)</f>
        <v>-0.35384009702896507</v>
      </c>
      <c r="R721" s="105">
        <f>IF($I$658&gt;0,PPMT('Assumptions (Wind)'!$V$8,Model!AF$1,'Assumptions (Wind)'!$V$11,'Assumptions (Wind)'!$V$6*Model!$I$658*AVERAGE('Assumptions (Wind)'!$F$2:$G$2)/10^9),0)</f>
        <v>-0.38214730479128228</v>
      </c>
      <c r="S721" s="105" t="e">
        <f>IF($I$658&gt;0,PPMT('Assumptions (Wind)'!$V$8,Model!AG$1,'Assumptions (Wind)'!$V$11,'Assumptions (Wind)'!$V$6*Model!$I$658*AVERAGE('Assumptions (Wind)'!$F$2:$G$2)/10^9),0)</f>
        <v>#NUM!</v>
      </c>
      <c r="T721" s="105" t="e">
        <f>IF($I$658&gt;0,PPMT('Assumptions (Wind)'!$V$8,Model!AH$1,'Assumptions (Wind)'!$V$11,'Assumptions (Wind)'!$V$6*Model!$I$658*AVERAGE('Assumptions (Wind)'!$F$2:$G$2)/10^9),0)</f>
        <v>#NUM!</v>
      </c>
      <c r="U721" s="105" t="e">
        <f>IF($I$658&gt;0,PPMT('Assumptions (Wind)'!$V$8,Model!AI$1,'Assumptions (Wind)'!$V$11,'Assumptions (Wind)'!$V$6*Model!$I$658*AVERAGE('Assumptions (Wind)'!$F$2:$G$2)/10^9),0)</f>
        <v>#NUM!</v>
      </c>
      <c r="V721" s="105" t="e">
        <f>IF($I$658&gt;0,PPMT('Assumptions (Wind)'!$V$8,Model!AJ$1,'Assumptions (Wind)'!$V$11,'Assumptions (Wind)'!$V$6*Model!$I$658*AVERAGE('Assumptions (Wind)'!$F$2:$G$2)/10^9),0)</f>
        <v>#NUM!</v>
      </c>
      <c r="W721" s="105" t="e">
        <f>IF($I$658&gt;0,PPMT('Assumptions (Wind)'!$V$8,Model!AK$1,'Assumptions (Wind)'!$V$11,'Assumptions (Wind)'!$V$6*Model!$I$658*AVERAGE('Assumptions (Wind)'!$F$2:$G$2)/10^9),0)</f>
        <v>#NUM!</v>
      </c>
      <c r="X721" s="105"/>
      <c r="Y721" s="105"/>
      <c r="Z721" s="105"/>
      <c r="AA721" s="105"/>
      <c r="AB721" s="105"/>
      <c r="AC721" s="105"/>
      <c r="AD721" s="105"/>
      <c r="AE721" s="105"/>
      <c r="AF721" s="105"/>
      <c r="AG721" s="105"/>
      <c r="AU721" s="105"/>
      <c r="AV721" s="105"/>
      <c r="AW721" s="105"/>
      <c r="AX721" s="105"/>
      <c r="AY721" s="105"/>
      <c r="AZ721" s="105"/>
      <c r="BA721" s="105"/>
    </row>
    <row r="722" spans="1:53" ht="15.75" hidden="1" customHeight="1" outlineLevel="1">
      <c r="A722" s="395"/>
      <c r="B722" s="99"/>
      <c r="C722" s="105"/>
      <c r="D722" s="105"/>
      <c r="E722" s="105"/>
      <c r="F722" s="105"/>
      <c r="G722" s="105"/>
      <c r="H722" s="105"/>
      <c r="I722" s="105"/>
      <c r="J722" s="105">
        <f>IF($J$658&gt;0,PPMT('Assumptions (Wind)'!$V$8,Model!W$1,'Assumptions (Wind)'!$V$11,'Assumptions (Wind)'!$V$6*Model!$J$658*AVERAGE('Assumptions (Wind)'!$G$2:$H$2)/10^9),0)</f>
        <v>-0.38776193774267731</v>
      </c>
      <c r="K722" s="105">
        <f>IF($J$658&gt;0,PPMT('Assumptions (Wind)'!$V$8,Model!X$1,'Assumptions (Wind)'!$V$11,'Assumptions (Wind)'!$V$6*Model!$J$658*AVERAGE('Assumptions (Wind)'!$G$2:$H$2)/10^9),0)</f>
        <v>-0.41878289276209152</v>
      </c>
      <c r="L722" s="105">
        <f>IF($J$658&gt;0,PPMT('Assumptions (Wind)'!$V$8,Model!Y$1,'Assumptions (Wind)'!$V$11,'Assumptions (Wind)'!$V$6*Model!$J$658*AVERAGE('Assumptions (Wind)'!$G$2:$H$2)/10^9),0)</f>
        <v>-0.45228552418305884</v>
      </c>
      <c r="M722" s="105">
        <f>IF($J$658&gt;0,PPMT('Assumptions (Wind)'!$V$8,Model!Z$1,'Assumptions (Wind)'!$V$11,'Assumptions (Wind)'!$V$6*Model!$J$658*AVERAGE('Assumptions (Wind)'!$G$2:$H$2)/10^9),0)</f>
        <v>-0.48846836611770356</v>
      </c>
      <c r="N722" s="105">
        <f>IF($J$658&gt;0,PPMT('Assumptions (Wind)'!$V$8,Model!AA$1,'Assumptions (Wind)'!$V$11,'Assumptions (Wind)'!$V$6*Model!$J$658*AVERAGE('Assumptions (Wind)'!$G$2:$H$2)/10^9),0)</f>
        <v>-0.52754583540711997</v>
      </c>
      <c r="O722" s="105">
        <f>IF($J$658&gt;0,PPMT('Assumptions (Wind)'!$V$8,Model!AB$1,'Assumptions (Wind)'!$V$11,'Assumptions (Wind)'!$V$6*Model!$J$658*AVERAGE('Assumptions (Wind)'!$G$2:$H$2)/10^9),0)</f>
        <v>-0.56974950223968945</v>
      </c>
      <c r="P722" s="105">
        <f>IF($J$658&gt;0,PPMT('Assumptions (Wind)'!$V$8,Model!AC$1,'Assumptions (Wind)'!$V$11,'Assumptions (Wind)'!$V$6*Model!$J$658*AVERAGE('Assumptions (Wind)'!$G$2:$H$2)/10^9),0)</f>
        <v>-0.61532946241886455</v>
      </c>
      <c r="Q722" s="105">
        <f>IF($J$658&gt;0,PPMT('Assumptions (Wind)'!$V$8,Model!AD$1,'Assumptions (Wind)'!$V$11,'Assumptions (Wind)'!$V$6*Model!$J$658*AVERAGE('Assumptions (Wind)'!$G$2:$H$2)/10^9),0)</f>
        <v>-0.66455581941237374</v>
      </c>
      <c r="R722" s="105">
        <f>IF($J$658&gt;0,PPMT('Assumptions (Wind)'!$V$8,Model!AE$1,'Assumptions (Wind)'!$V$11,'Assumptions (Wind)'!$V$6*Model!$J$658*AVERAGE('Assumptions (Wind)'!$G$2:$H$2)/10^9),0)</f>
        <v>-0.71772028496536366</v>
      </c>
      <c r="S722" s="105">
        <f>IF($J$658&gt;0,PPMT('Assumptions (Wind)'!$V$8,Model!AF$1,'Assumptions (Wind)'!$V$11,'Assumptions (Wind)'!$V$6*Model!$J$658*AVERAGE('Assumptions (Wind)'!$G$2:$H$2)/10^9),0)</f>
        <v>-0.77513790776259273</v>
      </c>
      <c r="T722" s="105" t="e">
        <f>IF($J$658&gt;0,PPMT('Assumptions (Wind)'!$V$8,Model!AG$1,'Assumptions (Wind)'!$V$11,'Assumptions (Wind)'!$V$6*Model!$J$658*AVERAGE('Assumptions (Wind)'!$G$2:$H$2)/10^9),0)</f>
        <v>#NUM!</v>
      </c>
      <c r="U722" s="105" t="e">
        <f>IF($J$658&gt;0,PPMT('Assumptions (Wind)'!$V$8,Model!AH$1,'Assumptions (Wind)'!$V$11,'Assumptions (Wind)'!$V$6*Model!$J$658*AVERAGE('Assumptions (Wind)'!$G$2:$H$2)/10^9),0)</f>
        <v>#NUM!</v>
      </c>
      <c r="V722" s="105" t="e">
        <f>IF($J$658&gt;0,PPMT('Assumptions (Wind)'!$V$8,Model!AI$1,'Assumptions (Wind)'!$V$11,'Assumptions (Wind)'!$V$6*Model!$J$658*AVERAGE('Assumptions (Wind)'!$G$2:$H$2)/10^9),0)</f>
        <v>#NUM!</v>
      </c>
      <c r="W722" s="105" t="e">
        <f>IF($J$658&gt;0,PPMT('Assumptions (Wind)'!$V$8,Model!AJ$1,'Assumptions (Wind)'!$V$11,'Assumptions (Wind)'!$V$6*Model!$J$658*AVERAGE('Assumptions (Wind)'!$G$2:$H$2)/10^9),0)</f>
        <v>#NUM!</v>
      </c>
      <c r="X722" s="105" t="e">
        <f>IF($J$658&gt;0,PPMT('Assumptions (Wind)'!$V$8,Model!AK$1,'Assumptions (Wind)'!$V$11,'Assumptions (Wind)'!$V$6*Model!$J$658*AVERAGE('Assumptions (Wind)'!$G$2:$H$2)/10^9),0)</f>
        <v>#NUM!</v>
      </c>
      <c r="Y722" s="105"/>
      <c r="Z722" s="105"/>
      <c r="AA722" s="105"/>
      <c r="AB722" s="105"/>
      <c r="AC722" s="105"/>
      <c r="AD722" s="105"/>
      <c r="AE722" s="105"/>
      <c r="AF722" s="105"/>
      <c r="AG722" s="105"/>
      <c r="AH722" s="105"/>
      <c r="AU722" s="105"/>
      <c r="AV722" s="105"/>
      <c r="AW722" s="105"/>
      <c r="AX722" s="105"/>
      <c r="AY722" s="105"/>
      <c r="AZ722" s="105"/>
      <c r="BA722" s="105"/>
    </row>
    <row r="723" spans="1:53" ht="15.75" hidden="1" customHeight="1" outlineLevel="1">
      <c r="A723" s="395"/>
      <c r="B723" s="99"/>
      <c r="C723" s="105"/>
      <c r="D723" s="105"/>
      <c r="E723" s="105"/>
      <c r="F723" s="105"/>
      <c r="G723" s="105"/>
      <c r="H723" s="105"/>
      <c r="I723" s="105"/>
      <c r="J723" s="105"/>
      <c r="K723" s="105">
        <f>IF($K$658&gt;0,PPMT('Assumptions (Wind)'!$V$8,Model!W$1,'Assumptions (Wind)'!$V$11,'Assumptions (Wind)'!$V$6*Model!$K$658*AVERAGE('Assumptions (Wind)'!$H$2:$I$2)/10^9),0)</f>
        <v>-0.611581796226081</v>
      </c>
      <c r="L723" s="105">
        <f>IF($K$658&gt;0,PPMT('Assumptions (Wind)'!$V$8,Model!X$1,'Assumptions (Wind)'!$V$11,'Assumptions (Wind)'!$V$6*Model!$K$658*AVERAGE('Assumptions (Wind)'!$H$2:$I$2)/10^9),0)</f>
        <v>-0.66050833992416746</v>
      </c>
      <c r="M723" s="105">
        <f>IF($K$658&gt;0,PPMT('Assumptions (Wind)'!$V$8,Model!Y$1,'Assumptions (Wind)'!$V$11,'Assumptions (Wind)'!$V$6*Model!$K$658*AVERAGE('Assumptions (Wind)'!$H$2:$I$2)/10^9),0)</f>
        <v>-0.71334900711810079</v>
      </c>
      <c r="N723" s="105">
        <f>IF($K$658&gt;0,PPMT('Assumptions (Wind)'!$V$8,Model!Z$1,'Assumptions (Wind)'!$V$11,'Assumptions (Wind)'!$V$6*Model!$K$658*AVERAGE('Assumptions (Wind)'!$H$2:$I$2)/10^9),0)</f>
        <v>-0.77041692768754888</v>
      </c>
      <c r="O723" s="105">
        <f>IF($K$658&gt;0,PPMT('Assumptions (Wind)'!$V$8,Model!AA$1,'Assumptions (Wind)'!$V$11,'Assumptions (Wind)'!$V$6*Model!$K$658*AVERAGE('Assumptions (Wind)'!$H$2:$I$2)/10^9),0)</f>
        <v>-0.83205028190255292</v>
      </c>
      <c r="P723" s="105">
        <f>IF($K$658&gt;0,PPMT('Assumptions (Wind)'!$V$8,Model!AB$1,'Assumptions (Wind)'!$V$11,'Assumptions (Wind)'!$V$6*Model!$K$658*AVERAGE('Assumptions (Wind)'!$H$2:$I$2)/10^9),0)</f>
        <v>-0.89861430445475687</v>
      </c>
      <c r="Q723" s="105">
        <f>IF($K$658&gt;0,PPMT('Assumptions (Wind)'!$V$8,Model!AC$1,'Assumptions (Wind)'!$V$11,'Assumptions (Wind)'!$V$6*Model!$K$658*AVERAGE('Assumptions (Wind)'!$H$2:$I$2)/10^9),0)</f>
        <v>-0.97050344881113759</v>
      </c>
      <c r="R723" s="105">
        <f>IF($K$658&gt;0,PPMT('Assumptions (Wind)'!$V$8,Model!AD$1,'Assumptions (Wind)'!$V$11,'Assumptions (Wind)'!$V$6*Model!$K$658*AVERAGE('Assumptions (Wind)'!$H$2:$I$2)/10^9),0)</f>
        <v>-1.0481437247160286</v>
      </c>
      <c r="S723" s="105">
        <f>IF($K$658&gt;0,PPMT('Assumptions (Wind)'!$V$8,Model!AE$1,'Assumptions (Wind)'!$V$11,'Assumptions (Wind)'!$V$6*Model!$K$658*AVERAGE('Assumptions (Wind)'!$H$2:$I$2)/10^9),0)</f>
        <v>-1.1319952226933108</v>
      </c>
      <c r="T723" s="105">
        <f>IF($K$658&gt;0,PPMT('Assumptions (Wind)'!$V$8,Model!AF$1,'Assumptions (Wind)'!$V$11,'Assumptions (Wind)'!$V$6*Model!$K$658*AVERAGE('Assumptions (Wind)'!$H$2:$I$2)/10^9),0)</f>
        <v>-1.2225548405087758</v>
      </c>
      <c r="U723" s="105" t="e">
        <f>IF($K$658&gt;0,PPMT('Assumptions (Wind)'!$V$8,Model!AG$1,'Assumptions (Wind)'!$V$11,'Assumptions (Wind)'!$V$6*Model!$K$658*AVERAGE('Assumptions (Wind)'!$H$2:$I$2)/10^9),0)</f>
        <v>#NUM!</v>
      </c>
      <c r="V723" s="105" t="e">
        <f>IF($K$658&gt;0,PPMT('Assumptions (Wind)'!$V$8,Model!AH$1,'Assumptions (Wind)'!$V$11,'Assumptions (Wind)'!$V$6*Model!$K$658*AVERAGE('Assumptions (Wind)'!$H$2:$I$2)/10^9),0)</f>
        <v>#NUM!</v>
      </c>
      <c r="W723" s="105" t="e">
        <f>IF($K$658&gt;0,PPMT('Assumptions (Wind)'!$V$8,Model!AI$1,'Assumptions (Wind)'!$V$11,'Assumptions (Wind)'!$V$6*Model!$K$658*AVERAGE('Assumptions (Wind)'!$H$2:$I$2)/10^9),0)</f>
        <v>#NUM!</v>
      </c>
      <c r="X723" s="105" t="e">
        <f>IF($K$658&gt;0,PPMT('Assumptions (Wind)'!$V$8,Model!AJ$1,'Assumptions (Wind)'!$V$11,'Assumptions (Wind)'!$V$6*Model!$K$658*AVERAGE('Assumptions (Wind)'!$H$2:$I$2)/10^9),0)</f>
        <v>#NUM!</v>
      </c>
      <c r="Y723" s="105" t="e">
        <f>IF($K$658&gt;0,PPMT('Assumptions (Wind)'!$V$8,Model!AK$1,'Assumptions (Wind)'!$V$11,'Assumptions (Wind)'!$V$6*Model!$K$658*AVERAGE('Assumptions (Wind)'!$H$2:$I$2)/10^9),0)</f>
        <v>#NUM!</v>
      </c>
      <c r="Z723" s="105"/>
      <c r="AA723" s="105"/>
      <c r="AB723" s="105"/>
      <c r="AC723" s="105"/>
      <c r="AD723" s="105"/>
      <c r="AE723" s="105"/>
      <c r="AF723" s="105"/>
      <c r="AG723" s="105"/>
      <c r="AH723" s="105"/>
      <c r="AI723" s="105"/>
      <c r="AU723" s="105"/>
      <c r="AV723" s="105"/>
      <c r="AW723" s="105"/>
      <c r="AX723" s="105"/>
      <c r="AY723" s="105"/>
      <c r="AZ723" s="105"/>
      <c r="BA723" s="105"/>
    </row>
    <row r="724" spans="1:53" ht="15.75" hidden="1" customHeight="1" outlineLevel="1">
      <c r="A724" s="395"/>
      <c r="B724" s="99"/>
      <c r="C724" s="105"/>
      <c r="D724" s="105"/>
      <c r="E724" s="105"/>
      <c r="F724" s="105"/>
      <c r="G724" s="105"/>
      <c r="H724" s="105"/>
      <c r="I724" s="105"/>
      <c r="J724" s="105"/>
      <c r="K724" s="105"/>
      <c r="L724" s="105">
        <f>IF($L$658&gt;0,PPMT('Assumptions (Wind)'!$V$8,Model!W$1,'Assumptions (Wind)'!$V$11,'Assumptions (Wind)'!$V$6*Model!$L$658*AVERAGE('Assumptions (Wind)'!$I$2:$J$2)/10^9),0)</f>
        <v>-0.71802209185156673</v>
      </c>
      <c r="M724" s="105">
        <f>IF($L$658&gt;0,PPMT('Assumptions (Wind)'!$V$8,Model!X$1,'Assumptions (Wind)'!$V$11,'Assumptions (Wind)'!$V$6*Model!$L$658*AVERAGE('Assumptions (Wind)'!$I$2:$J$2)/10^9),0)</f>
        <v>-0.77546385919969207</v>
      </c>
      <c r="N724" s="105">
        <f>IF($L$658&gt;0,PPMT('Assumptions (Wind)'!$V$8,Model!Y$1,'Assumptions (Wind)'!$V$11,'Assumptions (Wind)'!$V$6*Model!$L$658*AVERAGE('Assumptions (Wind)'!$I$2:$J$2)/10^9),0)</f>
        <v>-0.83750096793566731</v>
      </c>
      <c r="O724" s="105">
        <f>IF($L$658&gt;0,PPMT('Assumptions (Wind)'!$V$8,Model!Z$1,'Assumptions (Wind)'!$V$11,'Assumptions (Wind)'!$V$6*Model!$L$658*AVERAGE('Assumptions (Wind)'!$I$2:$J$2)/10^9),0)</f>
        <v>-0.9045010453705209</v>
      </c>
      <c r="P724" s="105">
        <f>IF($L$658&gt;0,PPMT('Assumptions (Wind)'!$V$8,Model!AA$1,'Assumptions (Wind)'!$V$11,'Assumptions (Wind)'!$V$6*Model!$L$658*AVERAGE('Assumptions (Wind)'!$I$2:$J$2)/10^9),0)</f>
        <v>-0.97686112900016253</v>
      </c>
      <c r="Q724" s="105">
        <f>IF($L$658&gt;0,PPMT('Assumptions (Wind)'!$V$8,Model!AB$1,'Assumptions (Wind)'!$V$11,'Assumptions (Wind)'!$V$6*Model!$L$658*AVERAGE('Assumptions (Wind)'!$I$2:$J$2)/10^9),0)</f>
        <v>-1.0550100193201752</v>
      </c>
      <c r="R724" s="105">
        <f>IF($L$658&gt;0,PPMT('Assumptions (Wind)'!$V$8,Model!AC$1,'Assumptions (Wind)'!$V$11,'Assumptions (Wind)'!$V$6*Model!$L$658*AVERAGE('Assumptions (Wind)'!$I$2:$J$2)/10^9),0)</f>
        <v>-1.1394108208657894</v>
      </c>
      <c r="S724" s="105">
        <f>IF($L$658&gt;0,PPMT('Assumptions (Wind)'!$V$8,Model!AD$1,'Assumptions (Wind)'!$V$11,'Assumptions (Wind)'!$V$6*Model!$L$658*AVERAGE('Assumptions (Wind)'!$I$2:$J$2)/10^9),0)</f>
        <v>-1.2305636865350527</v>
      </c>
      <c r="T724" s="105">
        <f>IF($L$658&gt;0,PPMT('Assumptions (Wind)'!$V$8,Model!AE$1,'Assumptions (Wind)'!$V$11,'Assumptions (Wind)'!$V$6*Model!$L$658*AVERAGE('Assumptions (Wind)'!$I$2:$J$2)/10^9),0)</f>
        <v>-1.3290087814578566</v>
      </c>
      <c r="U724" s="105">
        <f>IF($L$658&gt;0,PPMT('Assumptions (Wind)'!$V$8,Model!AF$1,'Assumptions (Wind)'!$V$11,'Assumptions (Wind)'!$V$6*Model!$L$658*AVERAGE('Assumptions (Wind)'!$I$2:$J$2)/10^9),0)</f>
        <v>-1.4353294839744855</v>
      </c>
      <c r="V724" s="105" t="e">
        <f>IF($L$658&gt;0,PPMT('Assumptions (Wind)'!$V$8,Model!AG$1,'Assumptions (Wind)'!$V$11,'Assumptions (Wind)'!$V$6*Model!$L$658*AVERAGE('Assumptions (Wind)'!$I$2:$J$2)/10^9),0)</f>
        <v>#NUM!</v>
      </c>
      <c r="W724" s="105" t="e">
        <f>IF($L$658&gt;0,PPMT('Assumptions (Wind)'!$V$8,Model!AH$1,'Assumptions (Wind)'!$V$11,'Assumptions (Wind)'!$V$6*Model!$L$658*AVERAGE('Assumptions (Wind)'!$I$2:$J$2)/10^9),0)</f>
        <v>#NUM!</v>
      </c>
      <c r="X724" s="105" t="e">
        <f>IF($L$658&gt;0,PPMT('Assumptions (Wind)'!$V$8,Model!AI$1,'Assumptions (Wind)'!$V$11,'Assumptions (Wind)'!$V$6*Model!$L$658*AVERAGE('Assumptions (Wind)'!$I$2:$J$2)/10^9),0)</f>
        <v>#NUM!</v>
      </c>
      <c r="Y724" s="105" t="e">
        <f>IF($L$658&gt;0,PPMT('Assumptions (Wind)'!$V$8,Model!AJ$1,'Assumptions (Wind)'!$V$11,'Assumptions (Wind)'!$V$6*Model!$L$658*AVERAGE('Assumptions (Wind)'!$I$2:$J$2)/10^9),0)</f>
        <v>#NUM!</v>
      </c>
      <c r="Z724" s="105" t="e">
        <f>IF($L$658&gt;0,PPMT('Assumptions (Wind)'!$V$8,Model!AK$1,'Assumptions (Wind)'!$V$11,'Assumptions (Wind)'!$V$6*Model!$L$658*AVERAGE('Assumptions (Wind)'!$I$2:$J$2)/10^9),0)</f>
        <v>#NUM!</v>
      </c>
      <c r="AA724" s="105"/>
      <c r="AB724" s="105"/>
      <c r="AC724" s="105"/>
      <c r="AD724" s="105"/>
      <c r="AE724" s="105"/>
      <c r="AF724" s="105"/>
      <c r="AG724" s="105"/>
      <c r="AH724" s="105"/>
      <c r="AI724" s="105"/>
      <c r="AJ724" s="105"/>
      <c r="AU724" s="105"/>
      <c r="AV724" s="105"/>
      <c r="AW724" s="105"/>
      <c r="AX724" s="105"/>
      <c r="AY724" s="105"/>
      <c r="AZ724" s="105"/>
      <c r="BA724" s="105"/>
    </row>
    <row r="725" spans="1:53" ht="15.75" hidden="1" customHeight="1" outlineLevel="1">
      <c r="A725" s="395"/>
      <c r="B725" s="99"/>
      <c r="C725" s="105"/>
      <c r="D725" s="105"/>
      <c r="E725" s="105"/>
      <c r="F725" s="105"/>
      <c r="G725" s="105"/>
      <c r="H725" s="105"/>
      <c r="I725" s="105"/>
      <c r="J725" s="105"/>
      <c r="K725" s="105"/>
      <c r="L725" s="105"/>
      <c r="M725" s="105">
        <f>IF($M$658&gt;0,PPMT('Assumptions (Wind)'!$V$8,Model!W$1,'Assumptions (Wind)'!$V$11,'Assumptions (Wind)'!$V$6*Model!$M$658*AVERAGE('Assumptions (Wind)'!$J$2:$K$2)/10^9),0)</f>
        <v>-0.33820087049210651</v>
      </c>
      <c r="N725" s="105">
        <f>IF($M$658&gt;0,PPMT('Assumptions (Wind)'!$V$8,Model!X$1,'Assumptions (Wind)'!$V$11,'Assumptions (Wind)'!$V$6*Model!$M$658*AVERAGE('Assumptions (Wind)'!$J$2:$K$2)/10^9),0)</f>
        <v>-0.36525694013147503</v>
      </c>
      <c r="O725" s="105">
        <f>IF($M$658&gt;0,PPMT('Assumptions (Wind)'!$V$8,Model!Y$1,'Assumptions (Wind)'!$V$11,'Assumptions (Wind)'!$V$6*Model!$M$658*AVERAGE('Assumptions (Wind)'!$J$2:$K$2)/10^9),0)</f>
        <v>-0.39447749534199295</v>
      </c>
      <c r="P725" s="105">
        <f>IF($M$658&gt;0,PPMT('Assumptions (Wind)'!$V$8,Model!Z$1,'Assumptions (Wind)'!$V$11,'Assumptions (Wind)'!$V$6*Model!$M$658*AVERAGE('Assumptions (Wind)'!$J$2:$K$2)/10^9),0)</f>
        <v>-0.42603569496935245</v>
      </c>
      <c r="Q725" s="105">
        <f>IF($M$658&gt;0,PPMT('Assumptions (Wind)'!$V$8,Model!AA$1,'Assumptions (Wind)'!$V$11,'Assumptions (Wind)'!$V$6*Model!$M$658*AVERAGE('Assumptions (Wind)'!$J$2:$K$2)/10^9),0)</f>
        <v>-0.46011855056690065</v>
      </c>
      <c r="R725" s="105">
        <f>IF($M$658&gt;0,PPMT('Assumptions (Wind)'!$V$8,Model!AB$1,'Assumptions (Wind)'!$V$11,'Assumptions (Wind)'!$V$6*Model!$M$658*AVERAGE('Assumptions (Wind)'!$J$2:$K$2)/10^9),0)</f>
        <v>-0.49692803461225271</v>
      </c>
      <c r="S725" s="105">
        <f>IF($M$658&gt;0,PPMT('Assumptions (Wind)'!$V$8,Model!AC$1,'Assumptions (Wind)'!$V$11,'Assumptions (Wind)'!$V$6*Model!$M$658*AVERAGE('Assumptions (Wind)'!$J$2:$K$2)/10^9),0)</f>
        <v>-0.53668227738123297</v>
      </c>
      <c r="T725" s="105">
        <f>IF($M$658&gt;0,PPMT('Assumptions (Wind)'!$V$8,Model!AD$1,'Assumptions (Wind)'!$V$11,'Assumptions (Wind)'!$V$6*Model!$M$658*AVERAGE('Assumptions (Wind)'!$J$2:$K$2)/10^9),0)</f>
        <v>-0.57961685957173159</v>
      </c>
      <c r="U725" s="105">
        <f>IF($M$658&gt;0,PPMT('Assumptions (Wind)'!$V$8,Model!AE$1,'Assumptions (Wind)'!$V$11,'Assumptions (Wind)'!$V$6*Model!$M$658*AVERAGE('Assumptions (Wind)'!$J$2:$K$2)/10^9),0)</f>
        <v>-0.6259862083374701</v>
      </c>
      <c r="V725" s="105">
        <f>IF($M$658&gt;0,PPMT('Assumptions (Wind)'!$V$8,Model!AF$1,'Assumptions (Wind)'!$V$11,'Assumptions (Wind)'!$V$6*Model!$M$658*AVERAGE('Assumptions (Wind)'!$J$2:$K$2)/10^9),0)</f>
        <v>-0.6760651050044677</v>
      </c>
      <c r="W725" s="105" t="e">
        <f>IF($M$658&gt;0,PPMT('Assumptions (Wind)'!$V$8,Model!AG$1,'Assumptions (Wind)'!$V$11,'Assumptions (Wind)'!$V$6*Model!$M$658*AVERAGE('Assumptions (Wind)'!$J$2:$K$2)/10^9),0)</f>
        <v>#NUM!</v>
      </c>
      <c r="X725" s="105" t="e">
        <f>IF($M$658&gt;0,PPMT('Assumptions (Wind)'!$V$8,Model!AH$1,'Assumptions (Wind)'!$V$11,'Assumptions (Wind)'!$V$6*Model!$M$658*AVERAGE('Assumptions (Wind)'!$J$2:$K$2)/10^9),0)</f>
        <v>#NUM!</v>
      </c>
      <c r="Y725" s="105" t="e">
        <f>IF($M$658&gt;0,PPMT('Assumptions (Wind)'!$V$8,Model!AI$1,'Assumptions (Wind)'!$V$11,'Assumptions (Wind)'!$V$6*Model!$M$658*AVERAGE('Assumptions (Wind)'!$J$2:$K$2)/10^9),0)</f>
        <v>#NUM!</v>
      </c>
      <c r="Z725" s="105" t="e">
        <f>IF($M$658&gt;0,PPMT('Assumptions (Wind)'!$V$8,Model!AJ$1,'Assumptions (Wind)'!$V$11,'Assumptions (Wind)'!$V$6*Model!$M$658*AVERAGE('Assumptions (Wind)'!$J$2:$K$2)/10^9),0)</f>
        <v>#NUM!</v>
      </c>
      <c r="AA725" s="105" t="e">
        <f>IF($M$658&gt;0,PPMT('Assumptions (Wind)'!$V$8,Model!AK$1,'Assumptions (Wind)'!$V$11,'Assumptions (Wind)'!$V$6*Model!$M$658*AVERAGE('Assumptions (Wind)'!$J$2:$K$2)/10^9),0)</f>
        <v>#NUM!</v>
      </c>
      <c r="AB725" s="105"/>
      <c r="AC725" s="105"/>
      <c r="AD725" s="105"/>
      <c r="AE725" s="105"/>
      <c r="AF725" s="105"/>
      <c r="AG725" s="105"/>
      <c r="AH725" s="105"/>
      <c r="AI725" s="105"/>
      <c r="AJ725" s="105"/>
      <c r="AK725" s="105"/>
      <c r="AU725" s="105"/>
      <c r="AV725" s="105"/>
      <c r="AW725" s="105"/>
      <c r="AX725" s="105"/>
      <c r="AY725" s="105"/>
      <c r="AZ725" s="105"/>
      <c r="BA725" s="105"/>
    </row>
    <row r="726" spans="1:53" ht="15.75" hidden="1" customHeight="1" outlineLevel="1">
      <c r="A726" s="395"/>
      <c r="B726" s="99"/>
      <c r="C726" s="105"/>
      <c r="D726" s="105"/>
      <c r="E726" s="105"/>
      <c r="F726" s="105"/>
      <c r="G726" s="105"/>
      <c r="H726" s="105"/>
      <c r="I726" s="105"/>
      <c r="J726" s="105"/>
      <c r="K726" s="105"/>
      <c r="L726" s="105"/>
      <c r="M726" s="105"/>
      <c r="N726" s="91">
        <f>IF($N$658&gt;0,PPMT('Assumptions (Wind)'!$V$8,Model!W$1,'Assumptions (Wind)'!$V$11,'Assumptions (Wind)'!$V$6*Model!$N$658*AVERAGE('Assumptions (Wind)'!$K$2:$L$2)/10^9),0)</f>
        <v>-0.48516477594359103</v>
      </c>
      <c r="O726" s="91">
        <f>IF($N$658&gt;0,PPMT('Assumptions (Wind)'!$V$8,Model!X$1,'Assumptions (Wind)'!$V$11,'Assumptions (Wind)'!$V$6*Model!$N$658*AVERAGE('Assumptions (Wind)'!$K$2:$L$2)/10^9),0)</f>
        <v>-0.52397795801907832</v>
      </c>
      <c r="P726" s="91">
        <f>IF($N$658&gt;0,PPMT('Assumptions (Wind)'!$V$8,Model!Y$1,'Assumptions (Wind)'!$V$11,'Assumptions (Wind)'!$V$6*Model!$N$658*AVERAGE('Assumptions (Wind)'!$K$2:$L$2)/10^9),0)</f>
        <v>-0.56589619466060459</v>
      </c>
      <c r="Q726" s="91">
        <f>IF($N$658&gt;0,PPMT('Assumptions (Wind)'!$V$8,Model!Z$1,'Assumptions (Wind)'!$V$11,'Assumptions (Wind)'!$V$6*Model!$N$658*AVERAGE('Assumptions (Wind)'!$K$2:$L$2)/10^9),0)</f>
        <v>-0.61116789023345297</v>
      </c>
      <c r="R726" s="91">
        <f>IF($N$658&gt;0,PPMT('Assumptions (Wind)'!$V$8,Model!AA$1,'Assumptions (Wind)'!$V$11,'Assumptions (Wind)'!$V$6*Model!$N$658*AVERAGE('Assumptions (Wind)'!$K$2:$L$2)/10^9),0)</f>
        <v>-0.66006132145212937</v>
      </c>
      <c r="S726" s="91">
        <f>IF($N$658&gt;0,PPMT('Assumptions (Wind)'!$V$8,Model!AB$1,'Assumptions (Wind)'!$V$11,'Assumptions (Wind)'!$V$6*Model!$N$658*AVERAGE('Assumptions (Wind)'!$K$2:$L$2)/10^9),0)</f>
        <v>-0.7128662271682995</v>
      </c>
      <c r="T726" s="91">
        <f>IF($N$658&gt;0,PPMT('Assumptions (Wind)'!$V$8,Model!AC$1,'Assumptions (Wind)'!$V$11,'Assumptions (Wind)'!$V$6*Model!$N$658*AVERAGE('Assumptions (Wind)'!$K$2:$L$2)/10^9),0)</f>
        <v>-0.76989552534176342</v>
      </c>
      <c r="U726" s="91">
        <f>IF($N$658&gt;0,PPMT('Assumptions (Wind)'!$V$8,Model!AD$1,'Assumptions (Wind)'!$V$11,'Assumptions (Wind)'!$V$6*Model!$N$658*AVERAGE('Assumptions (Wind)'!$K$2:$L$2)/10^9),0)</f>
        <v>-0.83148716736910455</v>
      </c>
      <c r="V726" s="91">
        <f>IF($N$658&gt;0,PPMT('Assumptions (Wind)'!$V$8,Model!AE$1,'Assumptions (Wind)'!$V$11,'Assumptions (Wind)'!$V$6*Model!$N$658*AVERAGE('Assumptions (Wind)'!$K$2:$L$2)/10^9),0)</f>
        <v>-0.89800614075863294</v>
      </c>
      <c r="W726" s="91">
        <f>IF($N$658&gt;0,PPMT('Assumptions (Wind)'!$V$8,Model!AF$1,'Assumptions (Wind)'!$V$11,'Assumptions (Wind)'!$V$6*Model!$N$658*AVERAGE('Assumptions (Wind)'!$K$2:$L$2)/10^9),0)</f>
        <v>-0.96984663201932364</v>
      </c>
      <c r="X726" s="91" t="e">
        <f>IF($N$658&gt;0,PPMT('Assumptions (Wind)'!$V$8,Model!AG$1,'Assumptions (Wind)'!$V$11,'Assumptions (Wind)'!$V$6*Model!$N$658*AVERAGE('Assumptions (Wind)'!$K$2:$L$2)/10^9),0)</f>
        <v>#NUM!</v>
      </c>
      <c r="Y726" s="91" t="e">
        <f>IF($N$658&gt;0,PPMT('Assumptions (Wind)'!$V$8,Model!AH$1,'Assumptions (Wind)'!$V$11,'Assumptions (Wind)'!$V$6*Model!$N$658*AVERAGE('Assumptions (Wind)'!$K$2:$L$2)/10^9),0)</f>
        <v>#NUM!</v>
      </c>
      <c r="Z726" s="91" t="e">
        <f>IF($N$658&gt;0,PPMT('Assumptions (Wind)'!$V$8,Model!AI$1,'Assumptions (Wind)'!$V$11,'Assumptions (Wind)'!$V$6*Model!$N$658*AVERAGE('Assumptions (Wind)'!$K$2:$L$2)/10^9),0)</f>
        <v>#NUM!</v>
      </c>
      <c r="AA726" s="91" t="e">
        <f>IF($N$658&gt;0,PPMT('Assumptions (Wind)'!$V$8,Model!AJ$1,'Assumptions (Wind)'!$V$11,'Assumptions (Wind)'!$V$6*Model!$N$658*AVERAGE('Assumptions (Wind)'!$K$2:$L$2)/10^9),0)</f>
        <v>#NUM!</v>
      </c>
      <c r="AB726" s="91" t="e">
        <f>IF($N$658&gt;0,PPMT('Assumptions (Wind)'!$V$8,Model!AK$1,'Assumptions (Wind)'!$V$11,'Assumptions (Wind)'!$V$6*Model!$N$658*AVERAGE('Assumptions (Wind)'!$K$2:$L$2)/10^9),0)</f>
        <v>#NUM!</v>
      </c>
      <c r="AC726" s="91"/>
      <c r="AD726" s="91"/>
      <c r="AE726" s="91"/>
      <c r="AF726" s="91"/>
      <c r="AG726" s="91"/>
      <c r="AH726" s="91"/>
      <c r="AI726" s="91"/>
      <c r="AJ726" s="91"/>
      <c r="AK726" s="91"/>
      <c r="AL726" s="91"/>
      <c r="AU726" s="105"/>
      <c r="AV726" s="105"/>
      <c r="AW726" s="105"/>
      <c r="AX726" s="105"/>
      <c r="AY726" s="105"/>
      <c r="AZ726" s="105"/>
      <c r="BA726" s="105"/>
    </row>
    <row r="727" spans="1:53" ht="15.75" hidden="1" customHeight="1" outlineLevel="1">
      <c r="A727" s="395"/>
      <c r="B727" s="99"/>
      <c r="C727" s="105"/>
      <c r="D727" s="105"/>
      <c r="E727" s="105"/>
      <c r="F727" s="105"/>
      <c r="G727" s="105"/>
      <c r="H727" s="105"/>
      <c r="I727" s="105"/>
      <c r="J727" s="105"/>
      <c r="K727" s="105"/>
      <c r="L727" s="105"/>
      <c r="M727" s="105"/>
      <c r="N727" s="105"/>
      <c r="O727" s="105">
        <f>IF($O$658&gt;0,PPMT('Assumptions (Wind)'!$V$8,Model!W$1,'Assumptions (Wind)'!$V$11,'Assumptions (Wind)'!$V$6*Model!$O$658*AVERAGE('Assumptions (Wind)'!$L$2:$M$2)/10^9),0)</f>
        <v>-0.93629864527988915</v>
      </c>
      <c r="P727" s="105">
        <f>IF($O$658&gt;0,PPMT('Assumptions (Wind)'!$V$8,Model!X$1,'Assumptions (Wind)'!$V$11,'Assumptions (Wind)'!$V$6*Model!$O$658*AVERAGE('Assumptions (Wind)'!$L$2:$M$2)/10^9),0)</f>
        <v>-1.0112025369022803</v>
      </c>
      <c r="Q727" s="105">
        <f>IF($O$658&gt;0,PPMT('Assumptions (Wind)'!$V$8,Model!Y$1,'Assumptions (Wind)'!$V$11,'Assumptions (Wind)'!$V$6*Model!$O$658*AVERAGE('Assumptions (Wind)'!$L$2:$M$2)/10^9),0)</f>
        <v>-1.0920987398544628</v>
      </c>
      <c r="R727" s="105">
        <f>IF($O$658&gt;0,PPMT('Assumptions (Wind)'!$V$8,Model!Z$1,'Assumptions (Wind)'!$V$11,'Assumptions (Wind)'!$V$6*Model!$O$658*AVERAGE('Assumptions (Wind)'!$L$2:$M$2)/10^9),0)</f>
        <v>-1.1794666390428199</v>
      </c>
      <c r="S727" s="105">
        <f>IF($O$658&gt;0,PPMT('Assumptions (Wind)'!$V$8,Model!AA$1,'Assumptions (Wind)'!$V$11,'Assumptions (Wind)'!$V$6*Model!$O$658*AVERAGE('Assumptions (Wind)'!$L$2:$M$2)/10^9),0)</f>
        <v>-1.2738239701662455</v>
      </c>
      <c r="T727" s="105">
        <f>IF($O$658&gt;0,PPMT('Assumptions (Wind)'!$V$8,Model!AB$1,'Assumptions (Wind)'!$V$11,'Assumptions (Wind)'!$V$6*Model!$O$658*AVERAGE('Assumptions (Wind)'!$L$2:$M$2)/10^9),0)</f>
        <v>-1.375729887779545</v>
      </c>
      <c r="U727" s="105">
        <f>IF($O$658&gt;0,PPMT('Assumptions (Wind)'!$V$8,Model!AC$1,'Assumptions (Wind)'!$V$11,'Assumptions (Wind)'!$V$6*Model!$O$658*AVERAGE('Assumptions (Wind)'!$L$2:$M$2)/10^9),0)</f>
        <v>-1.4857882788019086</v>
      </c>
      <c r="V727" s="105">
        <f>IF($O$658&gt;0,PPMT('Assumptions (Wind)'!$V$8,Model!AD$1,'Assumptions (Wind)'!$V$11,'Assumptions (Wind)'!$V$6*Model!$O$658*AVERAGE('Assumptions (Wind)'!$L$2:$M$2)/10^9),0)</f>
        <v>-1.6046513411060612</v>
      </c>
      <c r="W727" s="105">
        <f>IF($O$658&gt;0,PPMT('Assumptions (Wind)'!$V$8,Model!AE$1,'Assumptions (Wind)'!$V$11,'Assumptions (Wind)'!$V$6*Model!$O$658*AVERAGE('Assumptions (Wind)'!$L$2:$M$2)/10^9),0)</f>
        <v>-1.7330234483945461</v>
      </c>
      <c r="X727" s="105">
        <f>IF($O$658&gt;0,PPMT('Assumptions (Wind)'!$V$8,Model!AF$1,'Assumptions (Wind)'!$V$11,'Assumptions (Wind)'!$V$6*Model!$O$658*AVERAGE('Assumptions (Wind)'!$L$2:$M$2)/10^9),0)</f>
        <v>-1.8716653242661099</v>
      </c>
      <c r="Y727" s="105" t="e">
        <f>IF($O$658&gt;0,PPMT('Assumptions (Wind)'!$V$8,Model!AG$1,'Assumptions (Wind)'!$V$11,'Assumptions (Wind)'!$V$6*Model!$O$658*AVERAGE('Assumptions (Wind)'!$L$2:$M$2)/10^9),0)</f>
        <v>#NUM!</v>
      </c>
      <c r="Z727" s="105" t="e">
        <f>IF($O$658&gt;0,PPMT('Assumptions (Wind)'!$V$8,Model!AH$1,'Assumptions (Wind)'!$V$11,'Assumptions (Wind)'!$V$6*Model!$O$658*AVERAGE('Assumptions (Wind)'!$L$2:$M$2)/10^9),0)</f>
        <v>#NUM!</v>
      </c>
      <c r="AA727" s="105" t="e">
        <f>IF($O$658&gt;0,PPMT('Assumptions (Wind)'!$V$8,Model!AI$1,'Assumptions (Wind)'!$V$11,'Assumptions (Wind)'!$V$6*Model!$O$658*AVERAGE('Assumptions (Wind)'!$L$2:$M$2)/10^9),0)</f>
        <v>#NUM!</v>
      </c>
      <c r="AB727" s="105" t="e">
        <f>IF($O$658&gt;0,PPMT('Assumptions (Wind)'!$V$8,Model!AJ$1,'Assumptions (Wind)'!$V$11,'Assumptions (Wind)'!$V$6*Model!$O$658*AVERAGE('Assumptions (Wind)'!$L$2:$M$2)/10^9),0)</f>
        <v>#NUM!</v>
      </c>
      <c r="AC727" s="105" t="e">
        <f>IF($O$658&gt;0,PPMT('Assumptions (Wind)'!$V$8,Model!AK$1,'Assumptions (Wind)'!$V$11,'Assumptions (Wind)'!$V$6*Model!$O$658*AVERAGE('Assumptions (Wind)'!$L$2:$M$2)/10^9),0)</f>
        <v>#NUM!</v>
      </c>
      <c r="AD727" s="105"/>
      <c r="AE727" s="105"/>
      <c r="AF727" s="105"/>
      <c r="AG727" s="105"/>
      <c r="AH727" s="105"/>
      <c r="AI727" s="105"/>
      <c r="AJ727" s="105"/>
      <c r="AK727" s="105"/>
      <c r="AL727" s="105"/>
      <c r="AM727" s="105"/>
      <c r="AU727" s="105"/>
      <c r="AV727" s="105"/>
      <c r="AW727" s="105"/>
      <c r="AX727" s="105"/>
      <c r="AY727" s="105"/>
      <c r="AZ727" s="105"/>
      <c r="BA727" s="105"/>
    </row>
    <row r="728" spans="1:53" ht="15.75" hidden="1" customHeight="1" outlineLevel="1">
      <c r="A728" s="395"/>
      <c r="B728" s="99"/>
      <c r="C728" s="105"/>
      <c r="D728" s="105"/>
      <c r="E728" s="105"/>
      <c r="F728" s="105"/>
      <c r="G728" s="105"/>
      <c r="H728" s="105"/>
      <c r="I728" s="105"/>
      <c r="J728" s="105"/>
      <c r="K728" s="105"/>
      <c r="L728" s="105"/>
      <c r="M728" s="105"/>
      <c r="N728" s="105"/>
      <c r="O728" s="105"/>
      <c r="P728" s="91">
        <f>IF($P$658&gt;0,PPMT('Assumptions (Wind)'!$V$8,Model!W$1,'Assumptions (Wind)'!$V$11,'Assumptions (Wind)'!$V$6*Model!$P$658*AVERAGE('Assumptions (Wind)'!$M$2:$N$2)/10^9),0)</f>
        <v>-5.9857139670236655E-2</v>
      </c>
      <c r="Q728" s="91">
        <f>IF($P$658&gt;0,PPMT('Assumptions (Wind)'!$V$8,Model!X$1,'Assumptions (Wind)'!$V$11,'Assumptions (Wind)'!$V$6*Model!$P$658*AVERAGE('Assumptions (Wind)'!$M$2:$N$2)/10^9),0)</f>
        <v>-6.4645710843855592E-2</v>
      </c>
      <c r="R728" s="91">
        <f>IF($P$658&gt;0,PPMT('Assumptions (Wind)'!$V$8,Model!Y$1,'Assumptions (Wind)'!$V$11,'Assumptions (Wind)'!$V$6*Model!$P$658*AVERAGE('Assumptions (Wind)'!$M$2:$N$2)/10^9),0)</f>
        <v>-6.9817367711364028E-2</v>
      </c>
      <c r="S728" s="91">
        <f>IF($P$658&gt;0,PPMT('Assumptions (Wind)'!$V$8,Model!Z$1,'Assumptions (Wind)'!$V$11,'Assumptions (Wind)'!$V$6*Model!$P$658*AVERAGE('Assumptions (Wind)'!$M$2:$N$2)/10^9),0)</f>
        <v>-7.5402757128273171E-2</v>
      </c>
      <c r="T728" s="91">
        <f>IF($P$658&gt;0,PPMT('Assumptions (Wind)'!$V$8,Model!AA$1,'Assumptions (Wind)'!$V$11,'Assumptions (Wind)'!$V$6*Model!$P$658*AVERAGE('Assumptions (Wind)'!$M$2:$N$2)/10^9),0)</f>
        <v>-8.1434977698535013E-2</v>
      </c>
      <c r="U728" s="91">
        <f>IF($P$658&gt;0,PPMT('Assumptions (Wind)'!$V$8,Model!AB$1,'Assumptions (Wind)'!$V$11,'Assumptions (Wind)'!$V$6*Model!$P$658*AVERAGE('Assumptions (Wind)'!$M$2:$N$2)/10^9),0)</f>
        <v>-8.7949775914417799E-2</v>
      </c>
      <c r="V728" s="91">
        <f>IF($P$658&gt;0,PPMT('Assumptions (Wind)'!$V$8,Model!AC$1,'Assumptions (Wind)'!$V$11,'Assumptions (Wind)'!$V$6*Model!$P$658*AVERAGE('Assumptions (Wind)'!$M$2:$N$2)/10^9),0)</f>
        <v>-9.4985757987571237E-2</v>
      </c>
      <c r="W728" s="91">
        <f>IF($P$658&gt;0,PPMT('Assumptions (Wind)'!$V$8,Model!AD$1,'Assumptions (Wind)'!$V$11,'Assumptions (Wind)'!$V$6*Model!$P$658*AVERAGE('Assumptions (Wind)'!$M$2:$N$2)/10^9),0)</f>
        <v>-0.10258461862657693</v>
      </c>
      <c r="X728" s="91">
        <f>IF($P$658&gt;0,PPMT('Assumptions (Wind)'!$V$8,Model!AE$1,'Assumptions (Wind)'!$V$11,'Assumptions (Wind)'!$V$6*Model!$P$658*AVERAGE('Assumptions (Wind)'!$M$2:$N$2)/10^9),0)</f>
        <v>-0.11079138811670308</v>
      </c>
      <c r="Y728" s="91">
        <f>IF($P$658&gt;0,PPMT('Assumptions (Wind)'!$V$8,Model!AF$1,'Assumptions (Wind)'!$V$11,'Assumptions (Wind)'!$V$6*Model!$P$658*AVERAGE('Assumptions (Wind)'!$M$2:$N$2)/10^9),0)</f>
        <v>-0.11965469916603932</v>
      </c>
      <c r="Z728" s="91" t="e">
        <f>IF($P$658&gt;0,PPMT('Assumptions (Wind)'!$V$8,Model!AG$1,'Assumptions (Wind)'!$V$11,'Assumptions (Wind)'!$V$6*Model!$P$658*AVERAGE('Assumptions (Wind)'!$M$2:$N$2)/10^9),0)</f>
        <v>#NUM!</v>
      </c>
      <c r="AA728" s="91" t="e">
        <f>IF($P$658&gt;0,PPMT('Assumptions (Wind)'!$V$8,Model!AH$1,'Assumptions (Wind)'!$V$11,'Assumptions (Wind)'!$V$6*Model!$P$658*AVERAGE('Assumptions (Wind)'!$M$2:$N$2)/10^9),0)</f>
        <v>#NUM!</v>
      </c>
      <c r="AB728" s="91" t="e">
        <f>IF($P$658&gt;0,PPMT('Assumptions (Wind)'!$V$8,Model!AI$1,'Assumptions (Wind)'!$V$11,'Assumptions (Wind)'!$V$6*Model!$P$658*AVERAGE('Assumptions (Wind)'!$M$2:$N$2)/10^9),0)</f>
        <v>#NUM!</v>
      </c>
      <c r="AC728" s="91" t="e">
        <f>IF($P$658&gt;0,PPMT('Assumptions (Wind)'!$V$8,Model!AJ$1,'Assumptions (Wind)'!$V$11,'Assumptions (Wind)'!$V$6*Model!$P$658*AVERAGE('Assumptions (Wind)'!$M$2:$N$2)/10^9),0)</f>
        <v>#NUM!</v>
      </c>
      <c r="AD728" s="91" t="e">
        <f>IF($P$658&gt;0,PPMT('Assumptions (Wind)'!$V$8,Model!AK$1,'Assumptions (Wind)'!$V$11,'Assumptions (Wind)'!$V$6*Model!$P$658*AVERAGE('Assumptions (Wind)'!$M$2:$N$2)/10^9),0)</f>
        <v>#NUM!</v>
      </c>
      <c r="AE728" s="91"/>
      <c r="AF728" s="91"/>
      <c r="AG728" s="91"/>
      <c r="AH728" s="91"/>
      <c r="AI728" s="91"/>
      <c r="AJ728" s="91"/>
      <c r="AK728" s="91"/>
      <c r="AL728" s="91"/>
      <c r="AM728" s="91"/>
      <c r="AN728" s="91"/>
      <c r="AU728" s="105"/>
      <c r="AV728" s="105"/>
      <c r="AW728" s="105"/>
      <c r="AX728" s="105"/>
      <c r="AY728" s="105"/>
      <c r="AZ728" s="105"/>
      <c r="BA728" s="105"/>
    </row>
    <row r="729" spans="1:53" ht="15.75" hidden="1" customHeight="1" outlineLevel="1">
      <c r="A729" s="395"/>
      <c r="B729" s="99"/>
      <c r="C729" s="105"/>
      <c r="D729" s="105"/>
      <c r="E729" s="105"/>
      <c r="F729" s="105"/>
      <c r="G729" s="105"/>
      <c r="H729" s="105"/>
      <c r="I729" s="105"/>
      <c r="J729" s="105"/>
      <c r="K729" s="105"/>
      <c r="L729" s="105"/>
      <c r="M729" s="105"/>
      <c r="N729" s="105"/>
      <c r="O729" s="105"/>
      <c r="P729" s="171"/>
      <c r="Q729" s="105">
        <f>IF($Q$658&gt;0,PPMT('Assumptions (Wind)'!$V$8,Model!W$1,'Assumptions (Wind)'!$V$11,'Assumptions (Wind)'!$V$6*Model!$Q$658*AVERAGE('Assumptions (Wind)'!$N$2:$O$2)/10^9),0)</f>
        <v>-0.34680086588941395</v>
      </c>
      <c r="R729" s="105">
        <f>IF($Q$658&gt;0,PPMT('Assumptions (Wind)'!$V$8,Model!X$1,'Assumptions (Wind)'!$V$11,'Assumptions (Wind)'!$V$6*Model!$Q$658*AVERAGE('Assumptions (Wind)'!$N$2:$O$2)/10^9),0)</f>
        <v>-0.37454493516056708</v>
      </c>
      <c r="S729" s="105">
        <f>IF($Q$658&gt;0,PPMT('Assumptions (Wind)'!$V$8,Model!Y$1,'Assumptions (Wind)'!$V$11,'Assumptions (Wind)'!$V$6*Model!$Q$658*AVERAGE('Assumptions (Wind)'!$N$2:$O$2)/10^9),0)</f>
        <v>-0.40450852997341247</v>
      </c>
      <c r="T729" s="105">
        <f>IF($Q$658&gt;0,PPMT('Assumptions (Wind)'!$V$8,Model!Z$1,'Assumptions (Wind)'!$V$11,'Assumptions (Wind)'!$V$6*Model!$Q$658*AVERAGE('Assumptions (Wind)'!$N$2:$O$2)/10^9),0)</f>
        <v>-0.43686921237128545</v>
      </c>
      <c r="U729" s="105">
        <f>IF($Q$658&gt;0,PPMT('Assumptions (Wind)'!$V$8,Model!AA$1,'Assumptions (Wind)'!$V$11,'Assumptions (Wind)'!$V$6*Model!$Q$658*AVERAGE('Assumptions (Wind)'!$N$2:$O$2)/10^9),0)</f>
        <v>-0.47181874936098828</v>
      </c>
      <c r="V729" s="105">
        <f>IF($Q$658&gt;0,PPMT('Assumptions (Wind)'!$V$8,Model!AB$1,'Assumptions (Wind)'!$V$11,'Assumptions (Wind)'!$V$6*Model!$Q$658*AVERAGE('Assumptions (Wind)'!$N$2:$O$2)/10^9),0)</f>
        <v>-0.50956424930986732</v>
      </c>
      <c r="W729" s="105">
        <f>IF($Q$658&gt;0,PPMT('Assumptions (Wind)'!$V$8,Model!AC$1,'Assumptions (Wind)'!$V$11,'Assumptions (Wind)'!$V$6*Model!$Q$658*AVERAGE('Assumptions (Wind)'!$N$2:$O$2)/10^9),0)</f>
        <v>-0.55032938925465669</v>
      </c>
      <c r="X729" s="105">
        <f>IF($Q$658&gt;0,PPMT('Assumptions (Wind)'!$V$8,Model!AD$1,'Assumptions (Wind)'!$V$11,'Assumptions (Wind)'!$V$6*Model!$Q$658*AVERAGE('Assumptions (Wind)'!$N$2:$O$2)/10^9),0)</f>
        <v>-0.59435574039502925</v>
      </c>
      <c r="Y729" s="105">
        <f>IF($Q$658&gt;0,PPMT('Assumptions (Wind)'!$V$8,Model!AE$1,'Assumptions (Wind)'!$V$11,'Assumptions (Wind)'!$V$6*Model!$Q$658*AVERAGE('Assumptions (Wind)'!$N$2:$O$2)/10^9),0)</f>
        <v>-0.64190419962663159</v>
      </c>
      <c r="Z729" s="105">
        <f>IF($Q$658&gt;0,PPMT('Assumptions (Wind)'!$V$8,Model!AF$1,'Assumptions (Wind)'!$V$11,'Assumptions (Wind)'!$V$6*Model!$Q$658*AVERAGE('Assumptions (Wind)'!$N$2:$O$2)/10^9),0)</f>
        <v>-0.69325653559676215</v>
      </c>
      <c r="AA729" s="105" t="e">
        <f>IF($Q$658&gt;0,PPMT('Assumptions (Wind)'!$V$8,Model!AG$1,'Assumptions (Wind)'!$V$11,'Assumptions (Wind)'!$V$6*Model!$Q$658*AVERAGE('Assumptions (Wind)'!$N$2:$O$2)/10^9),0)</f>
        <v>#NUM!</v>
      </c>
      <c r="AB729" s="105" t="e">
        <f>IF($Q$658&gt;0,PPMT('Assumptions (Wind)'!$V$8,Model!AH$1,'Assumptions (Wind)'!$V$11,'Assumptions (Wind)'!$V$6*Model!$Q$658*AVERAGE('Assumptions (Wind)'!$N$2:$O$2)/10^9),0)</f>
        <v>#NUM!</v>
      </c>
      <c r="AC729" s="105" t="e">
        <f>IF($Q$658&gt;0,PPMT('Assumptions (Wind)'!$V$8,Model!AI$1,'Assumptions (Wind)'!$V$11,'Assumptions (Wind)'!$V$6*Model!$Q$658*AVERAGE('Assumptions (Wind)'!$N$2:$O$2)/10^9),0)</f>
        <v>#NUM!</v>
      </c>
      <c r="AD729" s="105" t="e">
        <f>IF($Q$658&gt;0,PPMT('Assumptions (Wind)'!$V$8,Model!AJ$1,'Assumptions (Wind)'!$V$11,'Assumptions (Wind)'!$V$6*Model!$Q$658*AVERAGE('Assumptions (Wind)'!$N$2:$O$2)/10^9),0)</f>
        <v>#NUM!</v>
      </c>
      <c r="AE729" s="105" t="e">
        <f>IF($Q$658&gt;0,PPMT('Assumptions (Wind)'!$V$8,Model!AK$1,'Assumptions (Wind)'!$V$11,'Assumptions (Wind)'!$V$6*Model!$Q$658*AVERAGE('Assumptions (Wind)'!$N$2:$O$2)/10^9),0)</f>
        <v>#NUM!</v>
      </c>
      <c r="AF729" s="105"/>
      <c r="AG729" s="105"/>
      <c r="AH729" s="105"/>
      <c r="AI729" s="105"/>
      <c r="AJ729" s="105"/>
      <c r="AK729" s="105"/>
      <c r="AL729" s="105"/>
      <c r="AM729" s="105"/>
      <c r="AN729" s="105"/>
      <c r="AO729" s="105"/>
      <c r="AU729" s="105"/>
      <c r="AV729" s="105"/>
      <c r="AW729" s="105"/>
      <c r="AX729" s="105"/>
      <c r="AY729" s="105"/>
      <c r="AZ729" s="105"/>
      <c r="BA729" s="105"/>
    </row>
    <row r="730" spans="1:53" ht="15.75" hidden="1" customHeight="1" outlineLevel="1">
      <c r="A730" s="395"/>
      <c r="B730" s="99"/>
      <c r="C730" s="105"/>
      <c r="D730" s="105"/>
      <c r="E730" s="105"/>
      <c r="F730" s="105"/>
      <c r="G730" s="105"/>
      <c r="H730" s="105"/>
      <c r="I730" s="105"/>
      <c r="J730" s="105"/>
      <c r="K730" s="105"/>
      <c r="L730" s="105"/>
      <c r="M730" s="105"/>
      <c r="N730" s="105"/>
      <c r="O730" s="105"/>
      <c r="P730" s="171"/>
      <c r="Q730" s="105"/>
      <c r="R730" s="91">
        <f>IF($R$658&gt;0,PPMT('Assumptions (Wind)'!$V$8,Model!W$1,'Assumptions (Wind)'!$V$11,'Assumptions (Wind)'!$V$6*Model!$R$658*AVERAGE('Assumptions (Wind)'!$O$2:$P$2)/10^9),0)</f>
        <v>-0.58353225473096959</v>
      </c>
      <c r="S730" s="91">
        <f>IF($R$658&gt;0,PPMT('Assumptions (Wind)'!$V$8,Model!X$1,'Assumptions (Wind)'!$V$11,'Assumptions (Wind)'!$V$6*Model!$R$658*AVERAGE('Assumptions (Wind)'!$O$2:$P$2)/10^9),0)</f>
        <v>-0.63021483510944731</v>
      </c>
      <c r="T730" s="91">
        <f>IF($R$658&gt;0,PPMT('Assumptions (Wind)'!$V$8,Model!Y$1,'Assumptions (Wind)'!$V$11,'Assumptions (Wind)'!$V$6*Model!$R$658*AVERAGE('Assumptions (Wind)'!$O$2:$P$2)/10^9),0)</f>
        <v>-0.68063202191820293</v>
      </c>
      <c r="U730" s="91">
        <f>IF($R$658&gt;0,PPMT('Assumptions (Wind)'!$V$8,Model!Z$1,'Assumptions (Wind)'!$V$11,'Assumptions (Wind)'!$V$6*Model!$R$658*AVERAGE('Assumptions (Wind)'!$O$2:$P$2)/10^9),0)</f>
        <v>-0.73508258367165924</v>
      </c>
      <c r="V730" s="91">
        <f>IF($R$658&gt;0,PPMT('Assumptions (Wind)'!$V$8,Model!AA$1,'Assumptions (Wind)'!$V$11,'Assumptions (Wind)'!$V$6*Model!$R$658*AVERAGE('Assumptions (Wind)'!$O$2:$P$2)/10^9),0)</f>
        <v>-0.79388919036539207</v>
      </c>
      <c r="W730" s="91">
        <f>IF($R$658&gt;0,PPMT('Assumptions (Wind)'!$V$8,Model!AB$1,'Assumptions (Wind)'!$V$11,'Assumptions (Wind)'!$V$6*Model!$R$658*AVERAGE('Assumptions (Wind)'!$O$2:$P$2)/10^9),0)</f>
        <v>-0.85740032559462342</v>
      </c>
      <c r="X730" s="91">
        <f>IF($R$658&gt;0,PPMT('Assumptions (Wind)'!$V$8,Model!AC$1,'Assumptions (Wind)'!$V$11,'Assumptions (Wind)'!$V$6*Model!$R$658*AVERAGE('Assumptions (Wind)'!$O$2:$P$2)/10^9),0)</f>
        <v>-0.92599235164219329</v>
      </c>
      <c r="Y730" s="91">
        <f>IF($R$658&gt;0,PPMT('Assumptions (Wind)'!$V$8,Model!AD$1,'Assumptions (Wind)'!$V$11,'Assumptions (Wind)'!$V$6*Model!$R$658*AVERAGE('Assumptions (Wind)'!$O$2:$P$2)/10^9),0)</f>
        <v>-1.0000717397735688</v>
      </c>
      <c r="Z730" s="91">
        <f>IF($R$658&gt;0,PPMT('Assumptions (Wind)'!$V$8,Model!AE$1,'Assumptions (Wind)'!$V$11,'Assumptions (Wind)'!$V$6*Model!$R$658*AVERAGE('Assumptions (Wind)'!$O$2:$P$2)/10^9),0)</f>
        <v>-1.0800774789554541</v>
      </c>
      <c r="AA730" s="91">
        <f>IF($R$658&gt;0,PPMT('Assumptions (Wind)'!$V$8,Model!AF$1,'Assumptions (Wind)'!$V$11,'Assumptions (Wind)'!$V$6*Model!$R$658*AVERAGE('Assumptions (Wind)'!$O$2:$P$2)/10^9),0)</f>
        <v>-1.1664836772718905</v>
      </c>
      <c r="AB730" s="91" t="e">
        <f>IF($R$658&gt;0,PPMT('Assumptions (Wind)'!$V$8,Model!AG$1,'Assumptions (Wind)'!$V$11,'Assumptions (Wind)'!$V$6*Model!$R$658*AVERAGE('Assumptions (Wind)'!$O$2:$P$2)/10^9),0)</f>
        <v>#NUM!</v>
      </c>
      <c r="AC730" s="91" t="e">
        <f>IF($R$658&gt;0,PPMT('Assumptions (Wind)'!$V$8,Model!AH$1,'Assumptions (Wind)'!$V$11,'Assumptions (Wind)'!$V$6*Model!$R$658*AVERAGE('Assumptions (Wind)'!$O$2:$P$2)/10^9),0)</f>
        <v>#NUM!</v>
      </c>
      <c r="AD730" s="91" t="e">
        <f>IF($R$658&gt;0,PPMT('Assumptions (Wind)'!$V$8,Model!AI$1,'Assumptions (Wind)'!$V$11,'Assumptions (Wind)'!$V$6*Model!$R$658*AVERAGE('Assumptions (Wind)'!$O$2:$P$2)/10^9),0)</f>
        <v>#NUM!</v>
      </c>
      <c r="AE730" s="91" t="e">
        <f>IF($R$658&gt;0,PPMT('Assumptions (Wind)'!$V$8,Model!AJ$1,'Assumptions (Wind)'!$V$11,'Assumptions (Wind)'!$V$6*Model!$R$658*AVERAGE('Assumptions (Wind)'!$O$2:$P$2)/10^9),0)</f>
        <v>#NUM!</v>
      </c>
      <c r="AF730" s="91" t="e">
        <f>IF($R$658&gt;0,PPMT('Assumptions (Wind)'!$V$8,Model!AK$1,'Assumptions (Wind)'!$V$11,'Assumptions (Wind)'!$V$6*Model!$R$658*AVERAGE('Assumptions (Wind)'!$O$2:$P$2)/10^9),0)</f>
        <v>#NUM!</v>
      </c>
      <c r="AG730" s="91"/>
      <c r="AH730" s="91"/>
      <c r="AI730" s="91"/>
      <c r="AJ730" s="91"/>
      <c r="AK730" s="91"/>
      <c r="AL730" s="91"/>
      <c r="AM730" s="91"/>
      <c r="AN730" s="91"/>
      <c r="AO730" s="91"/>
      <c r="AP730" s="91"/>
      <c r="AU730" s="105"/>
      <c r="AV730" s="105"/>
      <c r="AW730" s="105"/>
      <c r="AX730" s="105"/>
      <c r="AY730" s="105"/>
      <c r="AZ730" s="105"/>
      <c r="BA730" s="105"/>
    </row>
    <row r="731" spans="1:53" ht="15.75" hidden="1" customHeight="1" outlineLevel="1">
      <c r="A731" s="395"/>
      <c r="B731" s="99"/>
      <c r="C731" s="105"/>
      <c r="D731" s="105"/>
      <c r="E731" s="105"/>
      <c r="F731" s="105"/>
      <c r="G731" s="105"/>
      <c r="H731" s="105"/>
      <c r="I731" s="105"/>
      <c r="J731" s="105"/>
      <c r="K731" s="105"/>
      <c r="L731" s="105"/>
      <c r="M731" s="105"/>
      <c r="N731" s="105"/>
      <c r="O731" s="105"/>
      <c r="P731" s="171"/>
      <c r="Q731" s="105"/>
      <c r="R731" s="91"/>
      <c r="S731" s="105">
        <f>IF($S$658&gt;0,PPMT('Assumptions (Wind)'!$V$8,Model!W$1,'Assumptions (Wind)'!$V$11,'Assumptions (Wind)'!$V$6*Model!$S$658*AVERAGE('Assumptions (Wind)'!$P$2:$Q$2)/10^9),0)</f>
        <v>-0.61758864096961497</v>
      </c>
      <c r="T731" s="105">
        <f>IF($S$658&gt;0,PPMT('Assumptions (Wind)'!$V$8,Model!X$1,'Assumptions (Wind)'!$V$11,'Assumptions (Wind)'!$V$6*Model!$S$658*AVERAGE('Assumptions (Wind)'!$P$2:$Q$2)/10^9),0)</f>
        <v>-0.66699573224718423</v>
      </c>
      <c r="U731" s="105">
        <f>IF($S$658&gt;0,PPMT('Assumptions (Wind)'!$V$8,Model!Y$1,'Assumptions (Wind)'!$V$11,'Assumptions (Wind)'!$V$6*Model!$S$658*AVERAGE('Assumptions (Wind)'!$P$2:$Q$2)/10^9),0)</f>
        <v>-0.72035539082695887</v>
      </c>
      <c r="V731" s="105">
        <f>IF($S$658&gt;0,PPMT('Assumptions (Wind)'!$V$8,Model!Z$1,'Assumptions (Wind)'!$V$11,'Assumptions (Wind)'!$V$6*Model!$S$658*AVERAGE('Assumptions (Wind)'!$P$2:$Q$2)/10^9),0)</f>
        <v>-0.77798382209311556</v>
      </c>
      <c r="W731" s="105">
        <f>IF($S$658&gt;0,PPMT('Assumptions (Wind)'!$V$8,Model!AA$1,'Assumptions (Wind)'!$V$11,'Assumptions (Wind)'!$V$6*Model!$S$658*AVERAGE('Assumptions (Wind)'!$P$2:$Q$2)/10^9),0)</f>
        <v>-0.84022252786056495</v>
      </c>
      <c r="X731" s="105">
        <f>IF($S$658&gt;0,PPMT('Assumptions (Wind)'!$V$8,Model!AB$1,'Assumptions (Wind)'!$V$11,'Assumptions (Wind)'!$V$6*Model!$S$658*AVERAGE('Assumptions (Wind)'!$P$2:$Q$2)/10^9),0)</f>
        <v>-0.90744033008941005</v>
      </c>
      <c r="Y731" s="105">
        <f>IF($S$658&gt;0,PPMT('Assumptions (Wind)'!$V$8,Model!AC$1,'Assumptions (Wind)'!$V$11,'Assumptions (Wind)'!$V$6*Model!$S$658*AVERAGE('Assumptions (Wind)'!$P$2:$Q$2)/10^9),0)</f>
        <v>-0.98003555649656282</v>
      </c>
      <c r="Z731" s="105">
        <f>IF($S$658&gt;0,PPMT('Assumptions (Wind)'!$V$8,Model!AD$1,'Assumptions (Wind)'!$V$11,'Assumptions (Wind)'!$V$6*Model!$S$658*AVERAGE('Assumptions (Wind)'!$P$2:$Q$2)/10^9),0)</f>
        <v>-1.0584384010162879</v>
      </c>
      <c r="AA731" s="105">
        <f>IF($S$658&gt;0,PPMT('Assumptions (Wind)'!$V$8,Model!AE$1,'Assumptions (Wind)'!$V$11,'Assumptions (Wind)'!$V$6*Model!$S$658*AVERAGE('Assumptions (Wind)'!$P$2:$Q$2)/10^9),0)</f>
        <v>-1.1431134730975909</v>
      </c>
      <c r="AB731" s="105">
        <f>IF($S$658&gt;0,PPMT('Assumptions (Wind)'!$V$8,Model!AF$1,'Assumptions (Wind)'!$V$11,'Assumptions (Wind)'!$V$6*Model!$S$658*AVERAGE('Assumptions (Wind)'!$P$2:$Q$2)/10^9),0)</f>
        <v>-1.2345625509453981</v>
      </c>
      <c r="AC731" s="105" t="e">
        <f>IF($S$658&gt;0,PPMT('Assumptions (Wind)'!$V$8,Model!AG$1,'Assumptions (Wind)'!$V$11,'Assumptions (Wind)'!$V$6*Model!$S$658*AVERAGE('Assumptions (Wind)'!$P$2:$Q$2)/10^9),0)</f>
        <v>#NUM!</v>
      </c>
      <c r="AD731" s="105" t="e">
        <f>IF($S$658&gt;0,PPMT('Assumptions (Wind)'!$V$8,Model!AH$1,'Assumptions (Wind)'!$V$11,'Assumptions (Wind)'!$V$6*Model!$S$658*AVERAGE('Assumptions (Wind)'!$P$2:$Q$2)/10^9),0)</f>
        <v>#NUM!</v>
      </c>
      <c r="AE731" s="105" t="e">
        <f>IF($S$658&gt;0,PPMT('Assumptions (Wind)'!$V$8,Model!AI$1,'Assumptions (Wind)'!$V$11,'Assumptions (Wind)'!$V$6*Model!$S$658*AVERAGE('Assumptions (Wind)'!$P$2:$Q$2)/10^9),0)</f>
        <v>#NUM!</v>
      </c>
      <c r="AF731" s="105" t="e">
        <f>IF($S$658&gt;0,PPMT('Assumptions (Wind)'!$V$8,Model!AJ$1,'Assumptions (Wind)'!$V$11,'Assumptions (Wind)'!$V$6*Model!$S$658*AVERAGE('Assumptions (Wind)'!$P$2:$Q$2)/10^9),0)</f>
        <v>#NUM!</v>
      </c>
      <c r="AG731" s="105" t="e">
        <f>IF($S$658&gt;0,PPMT('Assumptions (Wind)'!$V$8,Model!AK$1,'Assumptions (Wind)'!$V$11,'Assumptions (Wind)'!$V$6*Model!$S$658*AVERAGE('Assumptions (Wind)'!$P$2:$Q$2)/10^9),0)</f>
        <v>#NUM!</v>
      </c>
      <c r="AH731" s="105"/>
      <c r="AI731" s="105"/>
      <c r="AJ731" s="105"/>
      <c r="AK731" s="105"/>
      <c r="AL731" s="105"/>
      <c r="AM731" s="105"/>
      <c r="AN731" s="105"/>
      <c r="AO731" s="105"/>
      <c r="AP731" s="105"/>
      <c r="AQ731" s="105"/>
      <c r="AU731" s="105"/>
      <c r="AV731" s="105"/>
      <c r="AW731" s="105"/>
      <c r="AX731" s="105"/>
      <c r="AY731" s="105"/>
      <c r="AZ731" s="105"/>
      <c r="BA731" s="105"/>
    </row>
    <row r="732" spans="1:53" ht="15.75" hidden="1" customHeight="1" outlineLevel="1">
      <c r="A732" s="395"/>
      <c r="B732" s="99"/>
      <c r="C732" s="105"/>
      <c r="D732" s="105"/>
      <c r="E732" s="105"/>
      <c r="F732" s="105"/>
      <c r="G732" s="105"/>
      <c r="H732" s="105"/>
      <c r="I732" s="105"/>
      <c r="J732" s="105"/>
      <c r="K732" s="105"/>
      <c r="L732" s="105"/>
      <c r="M732" s="105"/>
      <c r="N732" s="105"/>
      <c r="O732" s="105"/>
      <c r="P732" s="171"/>
      <c r="Q732" s="105"/>
      <c r="R732" s="91"/>
      <c r="S732" s="91"/>
      <c r="T732" s="105">
        <f>IF($T$658&gt;0,PPMT('Assumptions (Wind)'!$V$8,Model!W$1,'Assumptions (Wind)'!$V$11,'Assumptions (Wind)'!$V$6*Model!$T$658*AVERAGE('Assumptions (Wind)'!$Q$2:$R$2)/10^9),0)</f>
        <v>-0.44348472257979249</v>
      </c>
      <c r="U732" s="105">
        <f>IF($T$658&gt;0,PPMT('Assumptions (Wind)'!$V$8,Model!X$1,'Assumptions (Wind)'!$V$11,'Assumptions (Wind)'!$V$6*Model!$T$658*AVERAGE('Assumptions (Wind)'!$Q$2:$R$2)/10^9),0)</f>
        <v>-0.47896350038617591</v>
      </c>
      <c r="V732" s="105">
        <f>IF($T$658&gt;0,PPMT('Assumptions (Wind)'!$V$8,Model!Y$1,'Assumptions (Wind)'!$V$11,'Assumptions (Wind)'!$V$6*Model!$T$658*AVERAGE('Assumptions (Wind)'!$Q$2:$R$2)/10^9),0)</f>
        <v>-0.51728058041706992</v>
      </c>
      <c r="W732" s="105">
        <f>IF($T$658&gt;0,PPMT('Assumptions (Wind)'!$V$8,Model!Z$1,'Assumptions (Wind)'!$V$11,'Assumptions (Wind)'!$V$6*Model!$T$658*AVERAGE('Assumptions (Wind)'!$Q$2:$R$2)/10^9),0)</f>
        <v>-0.55866302685043556</v>
      </c>
      <c r="X732" s="105">
        <f>IF($T$658&gt;0,PPMT('Assumptions (Wind)'!$V$8,Model!AA$1,'Assumptions (Wind)'!$V$11,'Assumptions (Wind)'!$V$6*Model!$T$658*AVERAGE('Assumptions (Wind)'!$Q$2:$R$2)/10^9),0)</f>
        <v>-0.6033560689984705</v>
      </c>
      <c r="Y732" s="105">
        <f>IF($T$658&gt;0,PPMT('Assumptions (Wind)'!$V$8,Model!AB$1,'Assumptions (Wind)'!$V$11,'Assumptions (Wind)'!$V$6*Model!$T$658*AVERAGE('Assumptions (Wind)'!$Q$2:$R$2)/10^9),0)</f>
        <v>-0.651624554518348</v>
      </c>
      <c r="Z732" s="105">
        <f>IF($T$658&gt;0,PPMT('Assumptions (Wind)'!$V$8,Model!AC$1,'Assumptions (Wind)'!$V$11,'Assumptions (Wind)'!$V$6*Model!$T$658*AVERAGE('Assumptions (Wind)'!$Q$2:$R$2)/10^9),0)</f>
        <v>-0.70375451887981588</v>
      </c>
      <c r="AA732" s="105">
        <f>IF($T$658&gt;0,PPMT('Assumptions (Wind)'!$V$8,Model!AD$1,'Assumptions (Wind)'!$V$11,'Assumptions (Wind)'!$V$6*Model!$T$658*AVERAGE('Assumptions (Wind)'!$Q$2:$R$2)/10^9),0)</f>
        <v>-0.76005488039020108</v>
      </c>
      <c r="AB732" s="105">
        <f>IF($T$658&gt;0,PPMT('Assumptions (Wind)'!$V$8,Model!AE$1,'Assumptions (Wind)'!$V$11,'Assumptions (Wind)'!$V$6*Model!$T$658*AVERAGE('Assumptions (Wind)'!$Q$2:$R$2)/10^9),0)</f>
        <v>-0.82085927082141708</v>
      </c>
      <c r="AC732" s="105">
        <f>IF($T$658&gt;0,PPMT('Assumptions (Wind)'!$V$8,Model!AF$1,'Assumptions (Wind)'!$V$11,'Assumptions (Wind)'!$V$6*Model!$T$658*AVERAGE('Assumptions (Wind)'!$Q$2:$R$2)/10^9),0)</f>
        <v>-0.88652801248713065</v>
      </c>
      <c r="AD732" s="105" t="e">
        <f>IF($T$658&gt;0,PPMT('Assumptions (Wind)'!$V$8,Model!AG$1,'Assumptions (Wind)'!$V$11,'Assumptions (Wind)'!$V$6*Model!$T$658*AVERAGE('Assumptions (Wind)'!$Q$2:$R$2)/10^9),0)</f>
        <v>#NUM!</v>
      </c>
      <c r="AE732" s="105" t="e">
        <f>IF($T$658&gt;0,PPMT('Assumptions (Wind)'!$V$8,Model!AH$1,'Assumptions (Wind)'!$V$11,'Assumptions (Wind)'!$V$6*Model!$T$658*AVERAGE('Assumptions (Wind)'!$Q$2:$R$2)/10^9),0)</f>
        <v>#NUM!</v>
      </c>
      <c r="AF732" s="105" t="e">
        <f>IF($T$658&gt;0,PPMT('Assumptions (Wind)'!$V$8,Model!AI$1,'Assumptions (Wind)'!$V$11,'Assumptions (Wind)'!$V$6*Model!$T$658*AVERAGE('Assumptions (Wind)'!$Q$2:$R$2)/10^9),0)</f>
        <v>#NUM!</v>
      </c>
      <c r="AG732" s="105" t="e">
        <f>IF($T$658&gt;0,PPMT('Assumptions (Wind)'!$V$8,Model!AJ$1,'Assumptions (Wind)'!$V$11,'Assumptions (Wind)'!$V$6*Model!$T$658*AVERAGE('Assumptions (Wind)'!$Q$2:$R$2)/10^9),0)</f>
        <v>#NUM!</v>
      </c>
      <c r="AH732" s="105" t="e">
        <f>IF($T$658&gt;0,PPMT('Assumptions (Wind)'!$V$8,Model!AK$1,'Assumptions (Wind)'!$V$11,'Assumptions (Wind)'!$V$6*Model!$T$658*AVERAGE('Assumptions (Wind)'!$Q$2:$R$2)/10^9),0)</f>
        <v>#NUM!</v>
      </c>
      <c r="AI732" s="105"/>
      <c r="AJ732" s="105"/>
      <c r="AK732" s="105"/>
      <c r="AL732" s="105"/>
      <c r="AM732" s="105"/>
      <c r="AN732" s="105"/>
      <c r="AO732" s="105"/>
      <c r="AP732" s="105"/>
      <c r="AQ732" s="105"/>
      <c r="AR732" s="105"/>
      <c r="AU732" s="105"/>
      <c r="AV732" s="105"/>
      <c r="AW732" s="105"/>
      <c r="AX732" s="105"/>
      <c r="AY732" s="105"/>
      <c r="AZ732" s="105"/>
      <c r="BA732" s="105"/>
    </row>
    <row r="733" spans="1:53" ht="15.75" hidden="1" customHeight="1" outlineLevel="1">
      <c r="A733" s="395"/>
      <c r="B733" s="99"/>
      <c r="C733" s="105"/>
      <c r="D733" s="105"/>
      <c r="E733" s="105"/>
      <c r="F733" s="105"/>
      <c r="G733" s="105"/>
      <c r="H733" s="105"/>
      <c r="I733" s="105"/>
      <c r="J733" s="105"/>
      <c r="K733" s="105"/>
      <c r="L733" s="105"/>
      <c r="M733" s="105"/>
      <c r="N733" s="105"/>
      <c r="O733" s="105"/>
      <c r="P733" s="171"/>
      <c r="Q733" s="105"/>
      <c r="R733" s="91"/>
      <c r="S733" s="91"/>
      <c r="T733" s="91"/>
      <c r="U733" s="105">
        <f>IF($U$658&gt;0,PPMT('Assumptions (Wind)'!$V$8,Model!W$1,'Assumptions (Wind)'!$V$11,'Assumptions (Wind)'!$V$6*Model!$U$658*AVERAGE('Assumptions (Wind)'!$R$2:$S$2)/10^9),0)</f>
        <v>-0.46761943367941</v>
      </c>
      <c r="V733" s="105">
        <f>IF($U$658&gt;0,PPMT('Assumptions (Wind)'!$V$8,Model!X$1,'Assumptions (Wind)'!$V$11,'Assumptions (Wind)'!$V$6*Model!$U$658*AVERAGE('Assumptions (Wind)'!$R$2:$S$2)/10^9),0)</f>
        <v>-0.50502898837376287</v>
      </c>
      <c r="W733" s="105">
        <f>IF($U$658&gt;0,PPMT('Assumptions (Wind)'!$V$8,Model!Y$1,'Assumptions (Wind)'!$V$11,'Assumptions (Wind)'!$V$6*Model!$U$658*AVERAGE('Assumptions (Wind)'!$R$2:$S$2)/10^9),0)</f>
        <v>-0.54543130744366386</v>
      </c>
      <c r="X733" s="105">
        <f>IF($U$658&gt;0,PPMT('Assumptions (Wind)'!$V$8,Model!Z$1,'Assumptions (Wind)'!$V$11,'Assumptions (Wind)'!$V$6*Model!$U$658*AVERAGE('Assumptions (Wind)'!$R$2:$S$2)/10^9),0)</f>
        <v>-0.58906581203915698</v>
      </c>
      <c r="Y733" s="105">
        <f>IF($U$658&gt;0,PPMT('Assumptions (Wind)'!$V$8,Model!AA$1,'Assumptions (Wind)'!$V$11,'Assumptions (Wind)'!$V$6*Model!$U$658*AVERAGE('Assumptions (Wind)'!$R$2:$S$2)/10^9),0)</f>
        <v>-0.63619107700228961</v>
      </c>
      <c r="Z733" s="105">
        <f>IF($U$658&gt;0,PPMT('Assumptions (Wind)'!$V$8,Model!AB$1,'Assumptions (Wind)'!$V$11,'Assumptions (Wind)'!$V$6*Model!$U$658*AVERAGE('Assumptions (Wind)'!$R$2:$S$2)/10^9),0)</f>
        <v>-0.68708636316247262</v>
      </c>
      <c r="AA733" s="105">
        <f>IF($U$658&gt;0,PPMT('Assumptions (Wind)'!$V$8,Model!AC$1,'Assumptions (Wind)'!$V$11,'Assumptions (Wind)'!$V$6*Model!$U$658*AVERAGE('Assumptions (Wind)'!$R$2:$S$2)/10^9),0)</f>
        <v>-0.74205327221547057</v>
      </c>
      <c r="AB733" s="105">
        <f>IF($U$658&gt;0,PPMT('Assumptions (Wind)'!$V$8,Model!AD$1,'Assumptions (Wind)'!$V$11,'Assumptions (Wind)'!$V$6*Model!$U$658*AVERAGE('Assumptions (Wind)'!$R$2:$S$2)/10^9),0)</f>
        <v>-0.8014175339927081</v>
      </c>
      <c r="AC733" s="105">
        <f>IF($U$658&gt;0,PPMT('Assumptions (Wind)'!$V$8,Model!AE$1,'Assumptions (Wind)'!$V$11,'Assumptions (Wind)'!$V$6*Model!$U$658*AVERAGE('Assumptions (Wind)'!$R$2:$S$2)/10^9),0)</f>
        <v>-0.86553093671212478</v>
      </c>
      <c r="AD733" s="105">
        <f>IF($U$658&gt;0,PPMT('Assumptions (Wind)'!$V$8,Model!AF$1,'Assumptions (Wind)'!$V$11,'Assumptions (Wind)'!$V$6*Model!$U$658*AVERAGE('Assumptions (Wind)'!$R$2:$S$2)/10^9),0)</f>
        <v>-0.93477341164909478</v>
      </c>
      <c r="AE733" s="105" t="e">
        <f>IF($U$658&gt;0,PPMT('Assumptions (Wind)'!$V$8,Model!AG$1,'Assumptions (Wind)'!$V$11,'Assumptions (Wind)'!$V$6*Model!$U$658*AVERAGE('Assumptions (Wind)'!$R$2:$S$2)/10^9),0)</f>
        <v>#NUM!</v>
      </c>
      <c r="AF733" s="105" t="e">
        <f>IF($U$658&gt;0,PPMT('Assumptions (Wind)'!$V$8,Model!AH$1,'Assumptions (Wind)'!$V$11,'Assumptions (Wind)'!$V$6*Model!$U$658*AVERAGE('Assumptions (Wind)'!$R$2:$S$2)/10^9),0)</f>
        <v>#NUM!</v>
      </c>
      <c r="AG733" s="105" t="e">
        <f>IF($U$658&gt;0,PPMT('Assumptions (Wind)'!$V$8,Model!AI$1,'Assumptions (Wind)'!$V$11,'Assumptions (Wind)'!$V$6*Model!$U$658*AVERAGE('Assumptions (Wind)'!$R$2:$S$2)/10^9),0)</f>
        <v>#NUM!</v>
      </c>
      <c r="AH733" s="105" t="e">
        <f>IF($U$658&gt;0,PPMT('Assumptions (Wind)'!$V$8,Model!AJ$1,'Assumptions (Wind)'!$V$11,'Assumptions (Wind)'!$V$6*Model!$U$658*AVERAGE('Assumptions (Wind)'!$R$2:$S$2)/10^9),0)</f>
        <v>#NUM!</v>
      </c>
      <c r="AI733" s="105" t="e">
        <f>IF($U$658&gt;0,PPMT('Assumptions (Wind)'!$V$8,Model!AK$1,'Assumptions (Wind)'!$V$11,'Assumptions (Wind)'!$V$6*Model!$U$658*AVERAGE('Assumptions (Wind)'!$R$2:$S$2)/10^9),0)</f>
        <v>#NUM!</v>
      </c>
      <c r="AJ733" s="105"/>
      <c r="AK733" s="105"/>
      <c r="AL733" s="105"/>
      <c r="AM733" s="105"/>
      <c r="AN733" s="105"/>
      <c r="AO733" s="105"/>
      <c r="AP733" s="105"/>
      <c r="AQ733" s="105"/>
      <c r="AR733" s="105"/>
      <c r="AS733" s="105"/>
      <c r="AU733" s="105"/>
      <c r="AV733" s="105"/>
      <c r="AW733" s="105"/>
      <c r="AX733" s="105"/>
      <c r="AY733" s="105"/>
      <c r="AZ733" s="105"/>
      <c r="BA733" s="105"/>
    </row>
    <row r="734" spans="1:53" ht="15.75" hidden="1" customHeight="1" outlineLevel="1">
      <c r="A734" s="395"/>
      <c r="B734" s="99"/>
      <c r="C734" s="105"/>
      <c r="D734" s="105"/>
      <c r="E734" s="105"/>
      <c r="F734" s="105"/>
      <c r="G734" s="105"/>
      <c r="H734" s="105"/>
      <c r="I734" s="105"/>
      <c r="J734" s="105"/>
      <c r="K734" s="105"/>
      <c r="L734" s="105"/>
      <c r="M734" s="105"/>
      <c r="N734" s="105"/>
      <c r="O734" s="105"/>
      <c r="P734" s="171"/>
      <c r="Q734" s="105"/>
      <c r="R734" s="91"/>
      <c r="S734" s="91"/>
      <c r="T734" s="91"/>
      <c r="U734" s="105"/>
      <c r="V734" s="105">
        <f>IF($V$658&gt;0,PPMT('Assumptions (Wind)'!$V$8,Model!W$1,'Assumptions (Wind)'!$V$11,'Assumptions (Wind)'!$V$6*Model!$V$658*AVERAGE('Assumptions (Wind)'!$S$2:$T$2)/10^9),0)</f>
        <v>-0.64278485988842204</v>
      </c>
      <c r="W734" s="105">
        <f>IF($V$658&gt;0,PPMT('Assumptions (Wind)'!$V$8,Model!X$1,'Assumptions (Wind)'!$V$11,'Assumptions (Wind)'!$V$6*Model!$V$658*AVERAGE('Assumptions (Wind)'!$S$2:$T$2)/10^9),0)</f>
        <v>-0.69420764867949603</v>
      </c>
      <c r="X734" s="105">
        <f>IF($V$658&gt;0,PPMT('Assumptions (Wind)'!$V$8,Model!Y$1,'Assumptions (Wind)'!$V$11,'Assumptions (Wind)'!$V$6*Model!$V$658*AVERAGE('Assumptions (Wind)'!$S$2:$T$2)/10^9),0)</f>
        <v>-0.74974426057385557</v>
      </c>
      <c r="Y734" s="105">
        <f>IF($V$658&gt;0,PPMT('Assumptions (Wind)'!$V$8,Model!Z$1,'Assumptions (Wind)'!$V$11,'Assumptions (Wind)'!$V$6*Model!$V$658*AVERAGE('Assumptions (Wind)'!$S$2:$T$2)/10^9),0)</f>
        <v>-0.80972380141976408</v>
      </c>
      <c r="Z734" s="105">
        <f>IF($V$658&gt;0,PPMT('Assumptions (Wind)'!$V$8,Model!AA$1,'Assumptions (Wind)'!$V$11,'Assumptions (Wind)'!$V$6*Model!$V$658*AVERAGE('Assumptions (Wind)'!$S$2:$T$2)/10^9),0)</f>
        <v>-0.87450170553334516</v>
      </c>
      <c r="AA734" s="105">
        <f>IF($V$658&gt;0,PPMT('Assumptions (Wind)'!$V$8,Model!AB$1,'Assumptions (Wind)'!$V$11,'Assumptions (Wind)'!$V$6*Model!$V$658*AVERAGE('Assumptions (Wind)'!$S$2:$T$2)/10^9),0)</f>
        <v>-0.94446184197601268</v>
      </c>
      <c r="AB734" s="105">
        <f>IF($V$658&gt;0,PPMT('Assumptions (Wind)'!$V$8,Model!AC$1,'Assumptions (Wind)'!$V$11,'Assumptions (Wind)'!$V$6*Model!$V$658*AVERAGE('Assumptions (Wind)'!$S$2:$T$2)/10^9),0)</f>
        <v>-1.0200187893340937</v>
      </c>
      <c r="AC734" s="105">
        <f>IF($V$658&gt;0,PPMT('Assumptions (Wind)'!$V$8,Model!AD$1,'Assumptions (Wind)'!$V$11,'Assumptions (Wind)'!$V$6*Model!$V$658*AVERAGE('Assumptions (Wind)'!$S$2:$T$2)/10^9),0)</f>
        <v>-1.1016202924808212</v>
      </c>
      <c r="AD734" s="105">
        <f>IF($V$658&gt;0,PPMT('Assumptions (Wind)'!$V$8,Model!AE$1,'Assumptions (Wind)'!$V$11,'Assumptions (Wind)'!$V$6*Model!$V$658*AVERAGE('Assumptions (Wind)'!$S$2:$T$2)/10^9),0)</f>
        <v>-1.1897499158792868</v>
      </c>
      <c r="AE734" s="105">
        <f>IF($V$658&gt;0,PPMT('Assumptions (Wind)'!$V$8,Model!AF$1,'Assumptions (Wind)'!$V$11,'Assumptions (Wind)'!$V$6*Model!$V$658*AVERAGE('Assumptions (Wind)'!$S$2:$T$2)/10^9),0)</f>
        <v>-1.28492990914963</v>
      </c>
      <c r="AF734" s="105" t="e">
        <f>IF($V$658&gt;0,PPMT('Assumptions (Wind)'!$V$8,Model!AG$1,'Assumptions (Wind)'!$V$11,'Assumptions (Wind)'!$V$6*Model!$V$658*AVERAGE('Assumptions (Wind)'!$S$2:$T$2)/10^9),0)</f>
        <v>#NUM!</v>
      </c>
      <c r="AG734" s="105" t="e">
        <f>IF($V$658&gt;0,PPMT('Assumptions (Wind)'!$V$8,Model!AH$1,'Assumptions (Wind)'!$V$11,'Assumptions (Wind)'!$V$6*Model!$V$658*AVERAGE('Assumptions (Wind)'!$S$2:$T$2)/10^9),0)</f>
        <v>#NUM!</v>
      </c>
      <c r="AH734" s="105" t="e">
        <f>IF($V$658&gt;0,PPMT('Assumptions (Wind)'!$V$8,Model!AI$1,'Assumptions (Wind)'!$V$11,'Assumptions (Wind)'!$V$6*Model!$V$658*AVERAGE('Assumptions (Wind)'!$S$2:$T$2)/10^9),0)</f>
        <v>#NUM!</v>
      </c>
      <c r="AI734" s="105" t="e">
        <f>IF($V$658&gt;0,PPMT('Assumptions (Wind)'!$V$8,Model!AJ$1,'Assumptions (Wind)'!$V$11,'Assumptions (Wind)'!$V$6*Model!$V$658*AVERAGE('Assumptions (Wind)'!$S$2:$T$2)/10^9),0)</f>
        <v>#NUM!</v>
      </c>
      <c r="AJ734" s="105" t="e">
        <f>IF($V$658&gt;0,PPMT('Assumptions (Wind)'!$V$8,Model!AK$1,'Assumptions (Wind)'!$V$11,'Assumptions (Wind)'!$V$6*Model!$V$658*AVERAGE('Assumptions (Wind)'!$S$2:$T$2)/10^9),0)</f>
        <v>#NUM!</v>
      </c>
      <c r="AK734" s="105"/>
      <c r="AL734" s="105"/>
      <c r="AM734" s="105"/>
      <c r="AN734" s="105"/>
      <c r="AO734" s="105"/>
      <c r="AP734" s="105"/>
      <c r="AQ734" s="105"/>
      <c r="AR734" s="105"/>
      <c r="AS734" s="105"/>
      <c r="AT734" s="105"/>
      <c r="AU734" s="105"/>
      <c r="AV734" s="105"/>
      <c r="AW734" s="105"/>
      <c r="AX734" s="105"/>
      <c r="AY734" s="105"/>
      <c r="AZ734" s="105"/>
      <c r="BA734" s="105"/>
    </row>
    <row r="735" spans="1:53" ht="15.75" hidden="1" customHeight="1" outlineLevel="1">
      <c r="A735" s="395"/>
      <c r="B735" s="99"/>
      <c r="C735" s="99"/>
      <c r="D735" s="99"/>
      <c r="E735" s="99"/>
      <c r="F735" s="99"/>
      <c r="G735" s="99"/>
      <c r="H735" s="99"/>
      <c r="I735" s="99"/>
      <c r="J735" s="99"/>
      <c r="K735" s="99"/>
      <c r="L735" s="99"/>
      <c r="M735" s="99"/>
      <c r="N735" s="99"/>
      <c r="O735" s="99"/>
      <c r="P735" s="99"/>
      <c r="Q735" s="99"/>
      <c r="R735" s="99"/>
      <c r="S735" s="99"/>
      <c r="T735" s="99"/>
      <c r="U735" s="99"/>
      <c r="V735" s="99"/>
      <c r="W735" s="105">
        <f>IF($W$658&gt;0,PPMT('Assumptions (Wind)'!$V$8,Model!W1,'Assumptions (Wind)'!$V$11,'Assumptions (Wind)'!$V$6*Model!$W$658*'Assumptions (Wind)'!$V$2/10^9),0)</f>
        <v>-1.0225738531732225</v>
      </c>
      <c r="X735" s="105">
        <f>IF($W$658&gt;0,PPMT('Assumptions (Wind)'!$V$8,Model!X1,'Assumptions (Wind)'!$V$11,'Assumptions (Wind)'!$V$6*Model!$W$658*'Assumptions (Wind)'!$V$2/10^9),0)</f>
        <v>-1.1043797614270805</v>
      </c>
      <c r="Y735" s="105">
        <f>IF($W$658&gt;0,PPMT('Assumptions (Wind)'!$V$8,Model!Y1,'Assumptions (Wind)'!$V$11,'Assumptions (Wind)'!$V$6*Model!$W$658*'Assumptions (Wind)'!$V$2/10^9),0)</f>
        <v>-1.1927301423412469</v>
      </c>
      <c r="Z735" s="105">
        <f>IF($W$658&gt;0,PPMT('Assumptions (Wind)'!$V$8,Model!Z1,'Assumptions (Wind)'!$V$11,'Assumptions (Wind)'!$V$6*Model!$W$658*'Assumptions (Wind)'!$V$2/10^9),0)</f>
        <v>-1.2881485537285466</v>
      </c>
      <c r="AA735" s="105">
        <f>IF($W$658&gt;0,PPMT('Assumptions (Wind)'!$V$8,Model!AA1,'Assumptions (Wind)'!$V$11,'Assumptions (Wind)'!$V$6*Model!$W$658*'Assumptions (Wind)'!$V$2/10^9),0)</f>
        <v>-1.3912004380268304</v>
      </c>
      <c r="AB735" s="105">
        <f>IF($W$658&gt;0,PPMT('Assumptions (Wind)'!$V$8,Model!AB1,'Assumptions (Wind)'!$V$11,'Assumptions (Wind)'!$V$6*Model!$W$658*'Assumptions (Wind)'!$V$2/10^9),0)</f>
        <v>-1.5024964730689767</v>
      </c>
      <c r="AC735" s="105">
        <f>IF($W$658&gt;0,PPMT('Assumptions (Wind)'!$V$8,Model!AC1,'Assumptions (Wind)'!$V$11,'Assumptions (Wind)'!$V$6*Model!$W$658*'Assumptions (Wind)'!$V$2/10^9),0)</f>
        <v>-1.6226961909144948</v>
      </c>
      <c r="AD735" s="105">
        <f>IF($W$658&gt;0,PPMT('Assumptions (Wind)'!$V$8,Model!AD1,'Assumptions (Wind)'!$V$11,'Assumptions (Wind)'!$V$6*Model!$W$658*'Assumptions (Wind)'!$V$2/10^9),0)</f>
        <v>-1.7525118861876545</v>
      </c>
      <c r="AE735" s="105">
        <f>IF($W$658&gt;0,PPMT('Assumptions (Wind)'!$V$8,Model!AE1,'Assumptions (Wind)'!$V$11,'Assumptions (Wind)'!$V$6*Model!$W$658*'Assumptions (Wind)'!$V$2/10^9),0)</f>
        <v>-1.8927128370826665</v>
      </c>
      <c r="AF735" s="105">
        <f>IF($W$658&gt;0,PPMT('Assumptions (Wind)'!$V$8,Model!AF1,'Assumptions (Wind)'!$V$11,'Assumptions (Wind)'!$V$6*Model!$W$658*'Assumptions (Wind)'!$V$2/10^9),0)</f>
        <v>-2.04412986404928</v>
      </c>
      <c r="AG735" s="105" t="e">
        <f>IF($W$658&gt;0,PPMT('Assumptions (Wind)'!$V$8,Model!AG1,'Assumptions (Wind)'!$V$11,'Assumptions (Wind)'!$V$6*Model!$W$658*'Assumptions (Wind)'!$V$2/10^9),0)</f>
        <v>#NUM!</v>
      </c>
      <c r="AH735" s="105" t="e">
        <f>IF($W$658&gt;0,PPMT('Assumptions (Wind)'!$V$8,Model!AH1,'Assumptions (Wind)'!$V$11,'Assumptions (Wind)'!$V$6*Model!$W$658*'Assumptions (Wind)'!$V$2/10^9),0)</f>
        <v>#NUM!</v>
      </c>
      <c r="AI735" s="105" t="e">
        <f>IF($W$658&gt;0,PPMT('Assumptions (Wind)'!$V$8,Model!AI1,'Assumptions (Wind)'!$V$11,'Assumptions (Wind)'!$V$6*Model!$W$658*'Assumptions (Wind)'!$V$2/10^9),0)</f>
        <v>#NUM!</v>
      </c>
      <c r="AJ735" s="105" t="e">
        <f>IF($W$658&gt;0,PPMT('Assumptions (Wind)'!$V$8,Model!AJ1,'Assumptions (Wind)'!$V$11,'Assumptions (Wind)'!$V$6*Model!$W$658*'Assumptions (Wind)'!$V$2/10^9),0)</f>
        <v>#NUM!</v>
      </c>
      <c r="AK735" s="105" t="e">
        <f>IF($W$658&gt;0,PPMT('Assumptions (Wind)'!$V$8,Model!AK1,'Assumptions (Wind)'!$V$11,'Assumptions (Wind)'!$V$6*Model!$W$658*'Assumptions (Wind)'!$V$2/10^9),0)</f>
        <v>#NUM!</v>
      </c>
      <c r="AL735" s="105"/>
      <c r="AM735" s="105"/>
      <c r="AN735" s="105"/>
      <c r="AO735" s="105"/>
      <c r="AP735" s="105"/>
      <c r="AQ735" s="105"/>
      <c r="AR735" s="105"/>
      <c r="AS735" s="105"/>
      <c r="AT735" s="105"/>
      <c r="AU735" s="105"/>
      <c r="AV735" s="105"/>
      <c r="AW735" s="105"/>
      <c r="AX735" s="105"/>
      <c r="AY735" s="105"/>
      <c r="AZ735" s="105"/>
      <c r="BA735" s="105"/>
    </row>
    <row r="736" spans="1:53" ht="15.75" hidden="1" customHeight="1" outlineLevel="1">
      <c r="A736" s="395"/>
      <c r="B736" s="99"/>
      <c r="C736" s="99"/>
      <c r="D736" s="99"/>
      <c r="E736" s="99"/>
      <c r="F736" s="99"/>
      <c r="G736" s="99"/>
      <c r="H736" s="99"/>
      <c r="I736" s="99"/>
      <c r="J736" s="99"/>
      <c r="K736" s="99"/>
      <c r="L736" s="99"/>
      <c r="M736" s="99"/>
      <c r="N736" s="99"/>
      <c r="O736" s="99"/>
      <c r="P736" s="99"/>
      <c r="Q736" s="99"/>
      <c r="R736" s="99"/>
      <c r="S736" s="99"/>
      <c r="T736" s="99"/>
      <c r="U736" s="99"/>
      <c r="V736" s="99"/>
      <c r="W736" s="105"/>
      <c r="X736" s="105">
        <f>IF($X$658&gt;0,PPMT('Assumptions (Wind)'!$V$8,Model!W1,'Assumptions (Wind)'!$V$11,'Assumptions (Wind)'!$V$6*Model!$X$658*'Assumptions (Wind)'!$V$2/10^9),0)</f>
        <v>-3.9782166797026872</v>
      </c>
      <c r="Y736" s="105">
        <f>IF($X$658&gt;0,PPMT('Assumptions (Wind)'!$V$8,Model!X1,'Assumptions (Wind)'!$V$11,'Assumptions (Wind)'!$V$6*Model!$X$658*'Assumptions (Wind)'!$V$2/10^9),0)</f>
        <v>-4.2964740140789033</v>
      </c>
      <c r="Z736" s="105">
        <f>IF($X$658&gt;0,PPMT('Assumptions (Wind)'!$V$8,Model!Y1,'Assumptions (Wind)'!$V$11,'Assumptions (Wind)'!$V$6*Model!$X$658*'Assumptions (Wind)'!$V$2/10^9),0)</f>
        <v>-4.6401919352052152</v>
      </c>
      <c r="AA736" s="105">
        <f>IF($X$658&gt;0,PPMT('Assumptions (Wind)'!$V$8,Model!Z1,'Assumptions (Wind)'!$V$11,'Assumptions (Wind)'!$V$6*Model!$X$658*'Assumptions (Wind)'!$V$2/10^9),0)</f>
        <v>-5.0114072900216318</v>
      </c>
      <c r="AB736" s="105">
        <f>IF($X$658&gt;0,PPMT('Assumptions (Wind)'!$V$8,Model!AA1,'Assumptions (Wind)'!$V$11,'Assumptions (Wind)'!$V$6*Model!$X$658*'Assumptions (Wind)'!$V$2/10^9),0)</f>
        <v>-5.4123198732233631</v>
      </c>
      <c r="AC736" s="105">
        <f>IF($X$658&gt;0,PPMT('Assumptions (Wind)'!$V$8,Model!AB1,'Assumptions (Wind)'!$V$11,'Assumptions (Wind)'!$V$6*Model!$X$658*'Assumptions (Wind)'!$V$2/10^9),0)</f>
        <v>-5.8453054630812309</v>
      </c>
      <c r="AD736" s="105">
        <f>IF($X$658&gt;0,PPMT('Assumptions (Wind)'!$V$8,Model!AC1,'Assumptions (Wind)'!$V$11,'Assumptions (Wind)'!$V$6*Model!$X$658*'Assumptions (Wind)'!$V$2/10^9),0)</f>
        <v>-6.3129299001277301</v>
      </c>
      <c r="AE736" s="105">
        <f>IF($X$658&gt;0,PPMT('Assumptions (Wind)'!$V$8,Model!AD1,'Assumptions (Wind)'!$V$11,'Assumptions (Wind)'!$V$6*Model!$X$658*'Assumptions (Wind)'!$V$2/10^9),0)</f>
        <v>-6.8179642921379484</v>
      </c>
      <c r="AF736" s="105">
        <f>IF($X$658&gt;0,PPMT('Assumptions (Wind)'!$V$8,Model!AE1,'Assumptions (Wind)'!$V$11,'Assumptions (Wind)'!$V$6*Model!$X$658*'Assumptions (Wind)'!$V$2/10^9),0)</f>
        <v>-7.3634014355089832</v>
      </c>
      <c r="AG736" s="105">
        <f>IF($X$658&gt;0,PPMT('Assumptions (Wind)'!$V$8,Model!AF1,'Assumptions (Wind)'!$V$11,'Assumptions (Wind)'!$V$6*Model!$X$658*'Assumptions (Wind)'!$V$2/10^9),0)</f>
        <v>-7.952473550349703</v>
      </c>
      <c r="AH736" s="105" t="e">
        <f>IF($X$658&gt;0,PPMT('Assumptions (Wind)'!$V$8,Model!AG1,'Assumptions (Wind)'!$V$11,'Assumptions (Wind)'!$V$6*Model!$X$658*'Assumptions (Wind)'!$V$2/10^9),0)</f>
        <v>#NUM!</v>
      </c>
      <c r="AI736" s="105" t="e">
        <f>IF($X$658&gt;0,PPMT('Assumptions (Wind)'!$V$8,Model!AH1,'Assumptions (Wind)'!$V$11,'Assumptions (Wind)'!$V$6*Model!$X$658*'Assumptions (Wind)'!$V$2/10^9),0)</f>
        <v>#NUM!</v>
      </c>
      <c r="AJ736" s="105" t="e">
        <f>IF($X$658&gt;0,PPMT('Assumptions (Wind)'!$V$8,Model!AI1,'Assumptions (Wind)'!$V$11,'Assumptions (Wind)'!$V$6*Model!$X$658*'Assumptions (Wind)'!$V$2/10^9),0)</f>
        <v>#NUM!</v>
      </c>
      <c r="AK736" s="105" t="e">
        <f>IF($X$658&gt;0,PPMT('Assumptions (Wind)'!$V$8,Model!AJ1,'Assumptions (Wind)'!$V$11,'Assumptions (Wind)'!$V$6*Model!$X$658*'Assumptions (Wind)'!$V$2/10^9),0)</f>
        <v>#NUM!</v>
      </c>
      <c r="AL736" s="105" t="e">
        <f>IF($X$658&gt;0,PPMT('Assumptions (Wind)'!$V$8,Model!AK1,'Assumptions (Wind)'!$V$11,'Assumptions (Wind)'!$V$6*Model!$X$658*'Assumptions (Wind)'!$V$2/10^9),0)</f>
        <v>#NUM!</v>
      </c>
      <c r="AM736" s="105"/>
      <c r="AN736" s="105"/>
      <c r="AO736" s="105"/>
      <c r="AP736" s="105"/>
      <c r="AQ736" s="105"/>
      <c r="AR736" s="105"/>
      <c r="AS736" s="105"/>
      <c r="AT736" s="105"/>
      <c r="AU736" s="105"/>
      <c r="AV736" s="105"/>
      <c r="AW736" s="105"/>
      <c r="AX736" s="105"/>
      <c r="AY736" s="105"/>
      <c r="AZ736" s="105"/>
      <c r="BA736" s="105"/>
    </row>
    <row r="737" spans="1:64" ht="15.75" hidden="1" customHeight="1" outlineLevel="1">
      <c r="A737" s="395"/>
      <c r="B737" s="99"/>
      <c r="C737" s="99"/>
      <c r="D737" s="99"/>
      <c r="E737" s="99"/>
      <c r="F737" s="99"/>
      <c r="G737" s="99"/>
      <c r="H737" s="99"/>
      <c r="I737" s="99"/>
      <c r="J737" s="99"/>
      <c r="K737" s="99"/>
      <c r="L737" s="99"/>
      <c r="M737" s="99"/>
      <c r="N737" s="99"/>
      <c r="O737" s="99"/>
      <c r="P737" s="99"/>
      <c r="Q737" s="99"/>
      <c r="R737" s="99"/>
      <c r="S737" s="99"/>
      <c r="T737" s="99"/>
      <c r="U737" s="99"/>
      <c r="V737" s="99"/>
      <c r="W737" s="105"/>
      <c r="X737" s="105"/>
      <c r="Y737" s="105">
        <f>IF($Y$658&gt;0,PPMT('Assumptions (Wind)'!$V$8,Model!W1,'Assumptions (Wind)'!$V$11,'Assumptions (Wind)'!$V$6*Model!$Y$658*AVERAGE('Assumptions (Wind)'!$V$2:$W$2)/10^9),0)</f>
        <v>-3.9880961791264578</v>
      </c>
      <c r="Z737" s="105">
        <f>IF($Y$658&gt;0,PPMT('Assumptions (Wind)'!$V$8,Model!X1,'Assumptions (Wind)'!$V$11,'Assumptions (Wind)'!$V$6*Model!$Y$658*AVERAGE('Assumptions (Wind)'!$V$2:$W$2)/10^9),0)</f>
        <v>-4.3071438734565746</v>
      </c>
      <c r="AA737" s="105">
        <f>IF($Y$658&gt;0,PPMT('Assumptions (Wind)'!$V$8,Model!Y1,'Assumptions (Wind)'!$V$11,'Assumptions (Wind)'!$V$6*Model!$Y$658*AVERAGE('Assumptions (Wind)'!$V$2:$W$2)/10^9),0)</f>
        <v>-4.6517153833331006</v>
      </c>
      <c r="AB737" s="105">
        <f>IF($Y$658&gt;0,PPMT('Assumptions (Wind)'!$V$8,Model!Z1,'Assumptions (Wind)'!$V$11,'Assumptions (Wind)'!$V$6*Model!$Y$658*AVERAGE('Assumptions (Wind)'!$V$2:$W$2)/10^9),0)</f>
        <v>-5.0238526139997486</v>
      </c>
      <c r="AC737" s="105">
        <f>IF($Y$658&gt;0,PPMT('Assumptions (Wind)'!$V$8,Model!AA1,'Assumptions (Wind)'!$V$11,'Assumptions (Wind)'!$V$6*Model!$Y$658*AVERAGE('Assumptions (Wind)'!$V$2:$W$2)/10^9),0)</f>
        <v>-5.4257608231197292</v>
      </c>
      <c r="AD737" s="105">
        <f>IF($Y$658&gt;0,PPMT('Assumptions (Wind)'!$V$8,Model!AB1,'Assumptions (Wind)'!$V$11,'Assumptions (Wind)'!$V$6*Model!$Y$658*AVERAGE('Assumptions (Wind)'!$V$2:$W$2)/10^9),0)</f>
        <v>-5.8598216889693058</v>
      </c>
      <c r="AE737" s="105">
        <f>IF($Y$658&gt;0,PPMT('Assumptions (Wind)'!$V$8,Model!AC1,'Assumptions (Wind)'!$V$11,'Assumptions (Wind)'!$V$6*Model!$Y$658*AVERAGE('Assumptions (Wind)'!$V$2:$W$2)/10^9),0)</f>
        <v>-6.3286074240868508</v>
      </c>
      <c r="AF737" s="105">
        <f>IF($Y$658&gt;0,PPMT('Assumptions (Wind)'!$V$8,Model!AD1,'Assumptions (Wind)'!$V$11,'Assumptions (Wind)'!$V$6*Model!$Y$658*AVERAGE('Assumptions (Wind)'!$V$2:$W$2)/10^9),0)</f>
        <v>-6.834896018013799</v>
      </c>
      <c r="AG737" s="105">
        <f>IF($Y$658&gt;0,PPMT('Assumptions (Wind)'!$V$8,Model!AE1,'Assumptions (Wind)'!$V$11,'Assumptions (Wind)'!$V$6*Model!$Y$658*AVERAGE('Assumptions (Wind)'!$V$2:$W$2)/10^9),0)</f>
        <v>-7.3816876994549023</v>
      </c>
      <c r="AH737" s="105">
        <f>IF($Y$658&gt;0,PPMT('Assumptions (Wind)'!$V$8,Model!AF1,'Assumptions (Wind)'!$V$11,'Assumptions (Wind)'!$V$6*Model!$Y$658*AVERAGE('Assumptions (Wind)'!$V$2:$W$2)/10^9),0)</f>
        <v>-7.9722227154112959</v>
      </c>
      <c r="AI737" s="105" t="e">
        <f>IF($Y$658&gt;0,PPMT('Assumptions (Wind)'!$V$8,Model!AG1,'Assumptions (Wind)'!$V$11,'Assumptions (Wind)'!$V$6*Model!$Y$658*AVERAGE('Assumptions (Wind)'!$V$2:$W$2)/10^9),0)</f>
        <v>#NUM!</v>
      </c>
      <c r="AJ737" s="105" t="e">
        <f>IF($Y$658&gt;0,PPMT('Assumptions (Wind)'!$V$8,Model!AH1,'Assumptions (Wind)'!$V$11,'Assumptions (Wind)'!$V$6*Model!$Y$658*AVERAGE('Assumptions (Wind)'!$V$2:$W$2)/10^9),0)</f>
        <v>#NUM!</v>
      </c>
      <c r="AK737" s="105" t="e">
        <f>IF($Y$658&gt;0,PPMT('Assumptions (Wind)'!$V$8,Model!AI1,'Assumptions (Wind)'!$V$11,'Assumptions (Wind)'!$V$6*Model!$Y$658*AVERAGE('Assumptions (Wind)'!$V$2:$W$2)/10^9),0)</f>
        <v>#NUM!</v>
      </c>
      <c r="AL737" s="105" t="e">
        <f>IF($Y$658&gt;0,PPMT('Assumptions (Wind)'!$V$8,Model!AJ1,'Assumptions (Wind)'!$V$11,'Assumptions (Wind)'!$V$6*Model!$Y$658*AVERAGE('Assumptions (Wind)'!$V$2:$W$2)/10^9),0)</f>
        <v>#NUM!</v>
      </c>
      <c r="AM737" s="105" t="e">
        <f>IF($Y$658&gt;0,PPMT('Assumptions (Wind)'!$V$8,Model!AK1,'Assumptions (Wind)'!$V$11,'Assumptions (Wind)'!$V$6*Model!$Y$658*AVERAGE('Assumptions (Wind)'!$V$2:$W$2)/10^9),0)</f>
        <v>#NUM!</v>
      </c>
      <c r="AN737" s="105"/>
      <c r="AO737" s="105"/>
      <c r="AP737" s="105"/>
      <c r="AQ737" s="105"/>
      <c r="AR737" s="105"/>
      <c r="AS737" s="105"/>
      <c r="AT737" s="105"/>
      <c r="AU737" s="105"/>
      <c r="AV737" s="105"/>
      <c r="AW737" s="105"/>
      <c r="AX737" s="105"/>
      <c r="AY737" s="105"/>
      <c r="AZ737" s="105"/>
      <c r="BA737" s="105"/>
    </row>
    <row r="738" spans="1:64" ht="15.75" hidden="1" customHeight="1" outlineLevel="1">
      <c r="A738" s="395"/>
      <c r="B738" s="99"/>
      <c r="C738" s="99"/>
      <c r="D738" s="99"/>
      <c r="E738" s="99"/>
      <c r="F738" s="99"/>
      <c r="G738" s="99"/>
      <c r="H738" s="99"/>
      <c r="I738" s="99"/>
      <c r="J738" s="99"/>
      <c r="K738" s="99"/>
      <c r="L738" s="99"/>
      <c r="M738" s="99"/>
      <c r="N738" s="99"/>
      <c r="O738" s="99"/>
      <c r="P738" s="99"/>
      <c r="Q738" s="99"/>
      <c r="R738" s="99"/>
      <c r="S738" s="99"/>
      <c r="T738" s="99"/>
      <c r="U738" s="99"/>
      <c r="V738" s="99"/>
      <c r="W738" s="105"/>
      <c r="X738" s="105"/>
      <c r="Y738" s="105"/>
      <c r="Z738" s="105">
        <f>IF($Z$658&gt;0,PPMT('Assumptions (Wind)'!$V$8,Model!W1,'Assumptions (Wind)'!$V$11,'Assumptions (Wind)'!$V$6*Model!$Z$658*AVERAGE('Assumptions (Wind)'!$W$2:$X$2)/10^9),0)</f>
        <v>-4.0653411215832156</v>
      </c>
      <c r="AA738" s="105">
        <f>IF($Z$658&gt;0,PPMT('Assumptions (Wind)'!$V$8,Model!X1,'Assumptions (Wind)'!$V$11,'Assumptions (Wind)'!$V$6*Model!$Z$658*AVERAGE('Assumptions (Wind)'!$W$2:$X$2)/10^9),0)</f>
        <v>-4.3905684113098733</v>
      </c>
      <c r="AB738" s="105">
        <f>IF($Z$658&gt;0,PPMT('Assumptions (Wind)'!$V$8,Model!Y1,'Assumptions (Wind)'!$V$11,'Assumptions (Wind)'!$V$6*Model!$Z$658*AVERAGE('Assumptions (Wind)'!$W$2:$X$2)/10^9),0)</f>
        <v>-4.7418138842146629</v>
      </c>
      <c r="AC738" s="105">
        <f>IF($Z$658&gt;0,PPMT('Assumptions (Wind)'!$V$8,Model!Z1,'Assumptions (Wind)'!$V$11,'Assumptions (Wind)'!$V$6*Model!$Z$658*AVERAGE('Assumptions (Wind)'!$W$2:$X$2)/10^9),0)</f>
        <v>-5.1211589949518359</v>
      </c>
      <c r="AD738" s="105">
        <f>IF($Z$658&gt;0,PPMT('Assumptions (Wind)'!$V$8,Model!AA1,'Assumptions (Wind)'!$V$11,'Assumptions (Wind)'!$V$6*Model!$Z$658*AVERAGE('Assumptions (Wind)'!$W$2:$X$2)/10^9),0)</f>
        <v>-5.5308517145479836</v>
      </c>
      <c r="AE738" s="105">
        <f>IF($Z$658&gt;0,PPMT('Assumptions (Wind)'!$V$8,Model!AB1,'Assumptions (Wind)'!$V$11,'Assumptions (Wind)'!$V$6*Model!$Z$658*AVERAGE('Assumptions (Wind)'!$W$2:$X$2)/10^9),0)</f>
        <v>-5.9733198517118211</v>
      </c>
      <c r="AF738" s="105">
        <f>IF($Z$658&gt;0,PPMT('Assumptions (Wind)'!$V$8,Model!AC1,'Assumptions (Wind)'!$V$11,'Assumptions (Wind)'!$V$6*Model!$Z$658*AVERAGE('Assumptions (Wind)'!$W$2:$X$2)/10^9),0)</f>
        <v>-6.451185439848766</v>
      </c>
      <c r="AG738" s="105">
        <f>IF($Z$658&gt;0,PPMT('Assumptions (Wind)'!$V$8,Model!AD1,'Assumptions (Wind)'!$V$11,'Assumptions (Wind)'!$V$6*Model!$Z$658*AVERAGE('Assumptions (Wind)'!$W$2:$X$2)/10^9),0)</f>
        <v>-6.9672802750366678</v>
      </c>
      <c r="AH738" s="105">
        <f>IF($Z$658&gt;0,PPMT('Assumptions (Wind)'!$V$8,Model!AE1,'Assumptions (Wind)'!$V$11,'Assumptions (Wind)'!$V$6*Model!$Z$658*AVERAGE('Assumptions (Wind)'!$W$2:$X$2)/10^9),0)</f>
        <v>-7.5246626970396004</v>
      </c>
      <c r="AI738" s="105">
        <f>IF($Z$658&gt;0,PPMT('Assumptions (Wind)'!$V$8,Model!AF1,'Assumptions (Wind)'!$V$11,'Assumptions (Wind)'!$V$6*Model!$Z$658*AVERAGE('Assumptions (Wind)'!$W$2:$X$2)/10^9),0)</f>
        <v>-8.12663571280277</v>
      </c>
      <c r="AJ738" s="105" t="e">
        <f>IF($Z$658&gt;0,PPMT('Assumptions (Wind)'!$V$8,Model!AG1,'Assumptions (Wind)'!$V$11,'Assumptions (Wind)'!$V$6*Model!$Z$658*AVERAGE('Assumptions (Wind)'!$W$2:$X$2)/10^9),0)</f>
        <v>#NUM!</v>
      </c>
      <c r="AK738" s="105" t="e">
        <f>IF($Z$658&gt;0,PPMT('Assumptions (Wind)'!$V$8,Model!AH1,'Assumptions (Wind)'!$V$11,'Assumptions (Wind)'!$V$6*Model!$Z$658*AVERAGE('Assumptions (Wind)'!$W$2:$X$2)/10^9),0)</f>
        <v>#NUM!</v>
      </c>
      <c r="AL738" s="105" t="e">
        <f>IF($Z$658&gt;0,PPMT('Assumptions (Wind)'!$V$8,Model!AI1,'Assumptions (Wind)'!$V$11,'Assumptions (Wind)'!$V$6*Model!$Z$658*AVERAGE('Assumptions (Wind)'!$W$2:$X$2)/10^9),0)</f>
        <v>#NUM!</v>
      </c>
      <c r="AM738" s="105" t="e">
        <f>IF($Z$658&gt;0,PPMT('Assumptions (Wind)'!$V$8,Model!AJ1,'Assumptions (Wind)'!$V$11,'Assumptions (Wind)'!$V$6*Model!$Z$658*AVERAGE('Assumptions (Wind)'!$W$2:$X$2)/10^9),0)</f>
        <v>#NUM!</v>
      </c>
      <c r="AN738" s="105" t="e">
        <f>IF($Z$658&gt;0,PPMT('Assumptions (Wind)'!$V$8,Model!AK1,'Assumptions (Wind)'!$V$11,'Assumptions (Wind)'!$V$6*Model!$Z$658*AVERAGE('Assumptions (Wind)'!$W$2:$X$2)/10^9),0)</f>
        <v>#NUM!</v>
      </c>
      <c r="AO738" s="105"/>
      <c r="AP738" s="105"/>
      <c r="AQ738" s="105"/>
      <c r="AR738" s="105"/>
      <c r="AS738" s="105"/>
      <c r="AT738" s="105"/>
      <c r="AU738" s="105"/>
      <c r="AV738" s="105"/>
      <c r="AW738" s="105"/>
      <c r="AX738" s="105"/>
      <c r="AY738" s="105"/>
      <c r="AZ738" s="105"/>
      <c r="BA738" s="105"/>
    </row>
    <row r="739" spans="1:64" ht="15.75" hidden="1" customHeight="1" outlineLevel="1">
      <c r="A739" s="395"/>
      <c r="B739" s="99"/>
      <c r="C739" s="99"/>
      <c r="D739" s="99"/>
      <c r="E739" s="99"/>
      <c r="F739" s="99"/>
      <c r="G739" s="99"/>
      <c r="H739" s="99"/>
      <c r="I739" s="99"/>
      <c r="J739" s="99"/>
      <c r="K739" s="99"/>
      <c r="L739" s="99"/>
      <c r="M739" s="99"/>
      <c r="N739" s="99"/>
      <c r="O739" s="99"/>
      <c r="P739" s="99"/>
      <c r="Q739" s="99"/>
      <c r="R739" s="99"/>
      <c r="S739" s="99"/>
      <c r="T739" s="99"/>
      <c r="U739" s="99"/>
      <c r="V739" s="99"/>
      <c r="W739" s="105"/>
      <c r="X739" s="105"/>
      <c r="Y739" s="105"/>
      <c r="Z739" s="105"/>
      <c r="AA739" s="105">
        <f>IF($AA$658&gt;0,PPMT('Assumptions (Wind)'!$V$8,Model!W1,'Assumptions (Wind)'!$V$11,'Assumptions (Wind)'!$V$6*Model!$AA$658*AVERAGE('Assumptions (Wind)'!$X$2:$Y$2)/10^9),0)</f>
        <v>-4.1415709951193929</v>
      </c>
      <c r="AB739" s="105">
        <f>IF($AA$658&gt;0,PPMT('Assumptions (Wind)'!$V$8,Model!X1,'Assumptions (Wind)'!$V$11,'Assumptions (Wind)'!$V$6*Model!$AA$658*AVERAGE('Assumptions (Wind)'!$X$2:$Y$2)/10^9),0)</f>
        <v>-4.4728966747289443</v>
      </c>
      <c r="AC739" s="105">
        <f>IF($AA$658&gt;0,PPMT('Assumptions (Wind)'!$V$8,Model!Y1,'Assumptions (Wind)'!$V$11,'Assumptions (Wind)'!$V$6*Model!$AA$658*AVERAGE('Assumptions (Wind)'!$X$2:$Y$2)/10^9),0)</f>
        <v>-4.8307284087072597</v>
      </c>
      <c r="AD739" s="105">
        <f>IF($AA$658&gt;0,PPMT('Assumptions (Wind)'!$V$8,Model!Z1,'Assumptions (Wind)'!$V$11,'Assumptions (Wind)'!$V$6*Model!$AA$658*AVERAGE('Assumptions (Wind)'!$X$2:$Y$2)/10^9),0)</f>
        <v>-5.2171866814038417</v>
      </c>
      <c r="AE739" s="105">
        <f>IF($AA$658&gt;0,PPMT('Assumptions (Wind)'!$V$8,Model!AA1,'Assumptions (Wind)'!$V$11,'Assumptions (Wind)'!$V$6*Model!$AA$658*AVERAGE('Assumptions (Wind)'!$X$2:$Y$2)/10^9),0)</f>
        <v>-5.6345616159161489</v>
      </c>
      <c r="AF739" s="105">
        <f>IF($AA$658&gt;0,PPMT('Assumptions (Wind)'!$V$8,Model!AB1,'Assumptions (Wind)'!$V$11,'Assumptions (Wind)'!$V$6*Model!$AA$658*AVERAGE('Assumptions (Wind)'!$X$2:$Y$2)/10^9),0)</f>
        <v>-6.0853265451894387</v>
      </c>
      <c r="AG739" s="105">
        <f>IF($AA$658&gt;0,PPMT('Assumptions (Wind)'!$V$8,Model!AC1,'Assumptions (Wind)'!$V$11,'Assumptions (Wind)'!$V$6*Model!$AA$658*AVERAGE('Assumptions (Wind)'!$X$2:$Y$2)/10^9),0)</f>
        <v>-6.5721526688045948</v>
      </c>
      <c r="AH739" s="105">
        <f>IF($AA$658&gt;0,PPMT('Assumptions (Wind)'!$V$8,Model!AD1,'Assumptions (Wind)'!$V$11,'Assumptions (Wind)'!$V$6*Model!$AA$658*AVERAGE('Assumptions (Wind)'!$X$2:$Y$2)/10^9),0)</f>
        <v>-7.0979248823089618</v>
      </c>
      <c r="AI739" s="105">
        <f>IF($AA$658&gt;0,PPMT('Assumptions (Wind)'!$V$8,Model!AE1,'Assumptions (Wind)'!$V$11,'Assumptions (Wind)'!$V$6*Model!$AA$658*AVERAGE('Assumptions (Wind)'!$X$2:$Y$2)/10^9),0)</f>
        <v>-7.6657588728936785</v>
      </c>
      <c r="AJ739" s="105">
        <f>IF($AA$658&gt;0,PPMT('Assumptions (Wind)'!$V$8,Model!AF1,'Assumptions (Wind)'!$V$11,'Assumptions (Wind)'!$V$6*Model!$AA$658*AVERAGE('Assumptions (Wind)'!$X$2:$Y$2)/10^9),0)</f>
        <v>-8.2790195827251747</v>
      </c>
      <c r="AK739" s="105" t="e">
        <f>IF($AA$658&gt;0,PPMT('Assumptions (Wind)'!$V$8,Model!AG1,'Assumptions (Wind)'!$V$11,'Assumptions (Wind)'!$V$6*Model!$AA$658*AVERAGE('Assumptions (Wind)'!$X$2:$Y$2)/10^9),0)</f>
        <v>#NUM!</v>
      </c>
      <c r="AL739" s="105" t="e">
        <f>IF($AA$658&gt;0,PPMT('Assumptions (Wind)'!$V$8,Model!AH1,'Assumptions (Wind)'!$V$11,'Assumptions (Wind)'!$V$6*Model!$AA$658*AVERAGE('Assumptions (Wind)'!$X$2:$Y$2)/10^9),0)</f>
        <v>#NUM!</v>
      </c>
      <c r="AM739" s="105" t="e">
        <f>IF($AA$658&gt;0,PPMT('Assumptions (Wind)'!$V$8,Model!AI1,'Assumptions (Wind)'!$V$11,'Assumptions (Wind)'!$V$6*Model!$AA$658*AVERAGE('Assumptions (Wind)'!$X$2:$Y$2)/10^9),0)</f>
        <v>#NUM!</v>
      </c>
      <c r="AN739" s="105" t="e">
        <f>IF($AA$658&gt;0,PPMT('Assumptions (Wind)'!$V$8,Model!AJ1,'Assumptions (Wind)'!$V$11,'Assumptions (Wind)'!$V$6*Model!$AA$658*AVERAGE('Assumptions (Wind)'!$X$2:$Y$2)/10^9),0)</f>
        <v>#NUM!</v>
      </c>
      <c r="AO739" s="105" t="e">
        <f>IF($AA$658&gt;0,PPMT('Assumptions (Wind)'!$V$8,Model!AK1,'Assumptions (Wind)'!$V$11,'Assumptions (Wind)'!$V$6*Model!$AA$658*AVERAGE('Assumptions (Wind)'!$X$2:$Y$2)/10^9),0)</f>
        <v>#NUM!</v>
      </c>
      <c r="AP739" s="105"/>
      <c r="AQ739" s="105"/>
      <c r="AR739" s="105"/>
      <c r="AS739" s="105"/>
      <c r="AT739" s="105"/>
      <c r="AU739" s="105"/>
      <c r="AV739" s="105"/>
      <c r="AW739" s="105"/>
      <c r="AX739" s="105"/>
      <c r="AY739" s="105"/>
      <c r="AZ739" s="105"/>
      <c r="BA739" s="105"/>
    </row>
    <row r="740" spans="1:64" ht="15.75" hidden="1" customHeight="1" outlineLevel="1">
      <c r="A740" s="395"/>
      <c r="B740" s="99"/>
      <c r="C740" s="99"/>
      <c r="D740" s="99"/>
      <c r="E740" s="99"/>
      <c r="F740" s="99"/>
      <c r="G740" s="99"/>
      <c r="H740" s="99"/>
      <c r="I740" s="99"/>
      <c r="J740" s="99"/>
      <c r="K740" s="99"/>
      <c r="L740" s="99"/>
      <c r="M740" s="99"/>
      <c r="N740" s="99"/>
      <c r="O740" s="99"/>
      <c r="P740" s="99"/>
      <c r="Q740" s="99"/>
      <c r="R740" s="99"/>
      <c r="S740" s="99"/>
      <c r="T740" s="99"/>
      <c r="U740" s="99"/>
      <c r="V740" s="99"/>
      <c r="W740" s="105"/>
      <c r="X740" s="105"/>
      <c r="Y740" s="105"/>
      <c r="Z740" s="105"/>
      <c r="AA740" s="105"/>
      <c r="AB740" s="105">
        <f>IF($AB$658&gt;0,PPMT('Assumptions (Wind)'!$V$8,Model!W1,'Assumptions (Wind)'!$V$11,'Assumptions (Wind)'!$V$6*Model!$AB$658*AVERAGE('Assumptions (Wind)'!$Y$2:$Z$2)/10^9),0)</f>
        <v>-4.224233231469098</v>
      </c>
      <c r="AC740" s="105">
        <f>IF($AB$658&gt;0,PPMT('Assumptions (Wind)'!$V$8,Model!X1,'Assumptions (Wind)'!$V$11,'Assumptions (Wind)'!$V$6*Model!$AB$658*AVERAGE('Assumptions (Wind)'!$Y$2:$Z$2)/10^9),0)</f>
        <v>-4.5621718899866259</v>
      </c>
      <c r="AD740" s="105">
        <f>IF($AB$658&gt;0,PPMT('Assumptions (Wind)'!$V$8,Model!Y1,'Assumptions (Wind)'!$V$11,'Assumptions (Wind)'!$V$6*Model!$AB$658*AVERAGE('Assumptions (Wind)'!$Y$2:$Z$2)/10^9),0)</f>
        <v>-4.9271456411855556</v>
      </c>
      <c r="AE740" s="105">
        <f>IF($AB$658&gt;0,PPMT('Assumptions (Wind)'!$V$8,Model!Z1,'Assumptions (Wind)'!$V$11,'Assumptions (Wind)'!$V$6*Model!$AB$658*AVERAGE('Assumptions (Wind)'!$Y$2:$Z$2)/10^9),0)</f>
        <v>-5.3213172924804004</v>
      </c>
      <c r="AF740" s="105">
        <f>IF($AB$658&gt;0,PPMT('Assumptions (Wind)'!$V$8,Model!AA1,'Assumptions (Wind)'!$V$11,'Assumptions (Wind)'!$V$6*Model!$AB$658*AVERAGE('Assumptions (Wind)'!$Y$2:$Z$2)/10^9),0)</f>
        <v>-5.7470226758788332</v>
      </c>
      <c r="AG740" s="105">
        <f>IF($AB$658&gt;0,PPMT('Assumptions (Wind)'!$V$8,Model!AB1,'Assumptions (Wind)'!$V$11,'Assumptions (Wind)'!$V$6*Model!$AB$658*AVERAGE('Assumptions (Wind)'!$Y$2:$Z$2)/10^9),0)</f>
        <v>-6.2067844899491389</v>
      </c>
      <c r="AH740" s="105">
        <f>IF($AB$658&gt;0,PPMT('Assumptions (Wind)'!$V$8,Model!AC1,'Assumptions (Wind)'!$V$11,'Assumptions (Wind)'!$V$6*Model!$AB$658*AVERAGE('Assumptions (Wind)'!$Y$2:$Z$2)/10^9),0)</f>
        <v>-6.7033272491450706</v>
      </c>
      <c r="AI740" s="105">
        <f>IF($AB$658&gt;0,PPMT('Assumptions (Wind)'!$V$8,Model!AD1,'Assumptions (Wind)'!$V$11,'Assumptions (Wind)'!$V$6*Model!$AB$658*AVERAGE('Assumptions (Wind)'!$Y$2:$Z$2)/10^9),0)</f>
        <v>-7.2395934290766766</v>
      </c>
      <c r="AJ740" s="105">
        <f>IF($AB$658&gt;0,PPMT('Assumptions (Wind)'!$V$8,Model!AE1,'Assumptions (Wind)'!$V$11,'Assumptions (Wind)'!$V$6*Model!$AB$658*AVERAGE('Assumptions (Wind)'!$Y$2:$Z$2)/10^9),0)</f>
        <v>-7.8187609034028096</v>
      </c>
      <c r="AK740" s="105">
        <f>IF($AB$658&gt;0,PPMT('Assumptions (Wind)'!$V$8,Model!AF1,'Assumptions (Wind)'!$V$11,'Assumptions (Wind)'!$V$6*Model!$AB$658*AVERAGE('Assumptions (Wind)'!$Y$2:$Z$2)/10^9),0)</f>
        <v>-8.4442617756750344</v>
      </c>
      <c r="AL740" s="105" t="e">
        <f>IF($AB$658&gt;0,PPMT('Assumptions (Wind)'!$V$8,Model!AG1,'Assumptions (Wind)'!$V$11,'Assumptions (Wind)'!$V$6*Model!$AB$658*AVERAGE('Assumptions (Wind)'!$Y$2:$Z$2)/10^9),0)</f>
        <v>#NUM!</v>
      </c>
      <c r="AM740" s="105" t="e">
        <f>IF($AB$658&gt;0,PPMT('Assumptions (Wind)'!$V$8,Model!AH1,'Assumptions (Wind)'!$V$11,'Assumptions (Wind)'!$V$6*Model!$AB$658*AVERAGE('Assumptions (Wind)'!$Y$2:$Z$2)/10^9),0)</f>
        <v>#NUM!</v>
      </c>
      <c r="AN740" s="105" t="e">
        <f>IF($AB$658&gt;0,PPMT('Assumptions (Wind)'!$V$8,Model!AI1,'Assumptions (Wind)'!$V$11,'Assumptions (Wind)'!$V$6*Model!$AB$658*AVERAGE('Assumptions (Wind)'!$Y$2:$Z$2)/10^9),0)</f>
        <v>#NUM!</v>
      </c>
      <c r="AO740" s="105" t="e">
        <f>IF($AB$658&gt;0,PPMT('Assumptions (Wind)'!$V$8,Model!AJ1,'Assumptions (Wind)'!$V$11,'Assumptions (Wind)'!$V$6*Model!$AB$658*AVERAGE('Assumptions (Wind)'!$Y$2:$Z$2)/10^9),0)</f>
        <v>#NUM!</v>
      </c>
      <c r="AP740" s="105" t="e">
        <f>IF($AB$658&gt;0,PPMT('Assumptions (Wind)'!$V$8,Model!AK1,'Assumptions (Wind)'!$V$11,'Assumptions (Wind)'!$V$6*Model!$AB$658*AVERAGE('Assumptions (Wind)'!$Y$2:$Z$2)/10^9),0)</f>
        <v>#NUM!</v>
      </c>
      <c r="AQ740" s="105"/>
      <c r="AR740" s="105"/>
      <c r="AS740" s="105"/>
      <c r="AT740" s="105"/>
      <c r="AU740" s="105"/>
      <c r="AV740" s="105"/>
      <c r="AW740" s="105"/>
      <c r="AX740" s="105"/>
      <c r="AY740" s="105"/>
      <c r="AZ740" s="105"/>
      <c r="BA740" s="105"/>
    </row>
    <row r="741" spans="1:64" ht="15.75" hidden="1" customHeight="1" outlineLevel="1">
      <c r="A741" s="395"/>
      <c r="B741" s="99"/>
      <c r="C741" s="99"/>
      <c r="D741" s="99"/>
      <c r="E741" s="99"/>
      <c r="F741" s="99"/>
      <c r="G741" s="99"/>
      <c r="H741" s="99"/>
      <c r="I741" s="99"/>
      <c r="J741" s="99"/>
      <c r="K741" s="99"/>
      <c r="L741" s="99"/>
      <c r="M741" s="99"/>
      <c r="N741" s="99"/>
      <c r="O741" s="99"/>
      <c r="P741" s="99"/>
      <c r="Q741" s="99"/>
      <c r="R741" s="99"/>
      <c r="S741" s="99"/>
      <c r="T741" s="99"/>
      <c r="U741" s="99"/>
      <c r="V741" s="99"/>
      <c r="W741" s="105"/>
      <c r="X741" s="105"/>
      <c r="Y741" s="105"/>
      <c r="Z741" s="105"/>
      <c r="AA741" s="105"/>
      <c r="AB741" s="105"/>
      <c r="AC741" s="105">
        <f>IF($AC$658&gt;0,PPMT('Assumptions (Wind)'!$V$8,Model!W1,'Assumptions (Wind)'!$V$11,'Assumptions (Wind)'!$V$6*Model!$AC$658*AVERAGE('Assumptions (Wind)'!$Z$2:$AA$2)/10^9),0)</f>
        <v>-4.3135047608264534</v>
      </c>
      <c r="AD741" s="105">
        <f>IF($AC$658&gt;0,PPMT('Assumptions (Wind)'!$V$8,Model!X1,'Assumptions (Wind)'!$V$11,'Assumptions (Wind)'!$V$6*Model!$AC$658*AVERAGE('Assumptions (Wind)'!$Z$2:$AA$2)/10^9),0)</f>
        <v>-4.6585851416925701</v>
      </c>
      <c r="AE741" s="105">
        <f>IF($AC$658&gt;0,PPMT('Assumptions (Wind)'!$V$8,Model!Y1,'Assumptions (Wind)'!$V$11,'Assumptions (Wind)'!$V$6*Model!$AC$658*AVERAGE('Assumptions (Wind)'!$Z$2:$AA$2)/10^9),0)</f>
        <v>-5.031271953027975</v>
      </c>
      <c r="AF741" s="105">
        <f>IF($AC$658&gt;0,PPMT('Assumptions (Wind)'!$V$8,Model!Z1,'Assumptions (Wind)'!$V$11,'Assumptions (Wind)'!$V$6*Model!$AC$658*AVERAGE('Assumptions (Wind)'!$Z$2:$AA$2)/10^9),0)</f>
        <v>-5.4337737092702127</v>
      </c>
      <c r="AG741" s="105">
        <f>IF($AC$658&gt;0,PPMT('Assumptions (Wind)'!$V$8,Model!AA1,'Assumptions (Wind)'!$V$11,'Assumptions (Wind)'!$V$6*Model!$AC$658*AVERAGE('Assumptions (Wind)'!$Z$2:$AA$2)/10^9),0)</f>
        <v>-5.868475606011831</v>
      </c>
      <c r="AH741" s="105">
        <f>IF($AC$658&gt;0,PPMT('Assumptions (Wind)'!$V$8,Model!AB1,'Assumptions (Wind)'!$V$11,'Assumptions (Wind)'!$V$6*Model!$AC$658*AVERAGE('Assumptions (Wind)'!$Z$2:$AA$2)/10^9),0)</f>
        <v>-6.3379536544927761</v>
      </c>
      <c r="AI741" s="105">
        <f>IF($AC$658&gt;0,PPMT('Assumptions (Wind)'!$V$8,Model!AC1,'Assumptions (Wind)'!$V$11,'Assumptions (Wind)'!$V$6*Model!$AC$658*AVERAGE('Assumptions (Wind)'!$Z$2:$AA$2)/10^9),0)</f>
        <v>-6.8449899468521984</v>
      </c>
      <c r="AJ741" s="105">
        <f>IF($AC$658&gt;0,PPMT('Assumptions (Wind)'!$V$8,Model!AD1,'Assumptions (Wind)'!$V$11,'Assumptions (Wind)'!$V$6*Model!$AC$658*AVERAGE('Assumptions (Wind)'!$Z$2:$AA$2)/10^9),0)</f>
        <v>-7.3925891426003743</v>
      </c>
      <c r="AK741" s="105">
        <f>IF($AC$658&gt;0,PPMT('Assumptions (Wind)'!$V$8,Model!AE1,'Assumptions (Wind)'!$V$11,'Assumptions (Wind)'!$V$6*Model!$AC$658*AVERAGE('Assumptions (Wind)'!$Z$2:$AA$2)/10^9),0)</f>
        <v>-7.9839962740084038</v>
      </c>
      <c r="AL741" s="105">
        <f>IF($AC$658&gt;0,PPMT('Assumptions (Wind)'!$V$8,Model!AF1,'Assumptions (Wind)'!$V$11,'Assumptions (Wind)'!$V$6*Model!$AC$658*AVERAGE('Assumptions (Wind)'!$Z$2:$AA$2)/10^9),0)</f>
        <v>-8.6227159759290757</v>
      </c>
      <c r="AM741" s="105" t="e">
        <f>IF($AC$658&gt;0,PPMT('Assumptions (Wind)'!$V$8,Model!AG1,'Assumptions (Wind)'!$V$11,'Assumptions (Wind)'!$V$6*Model!$AC$658*AVERAGE('Assumptions (Wind)'!$Z$2:$AA$2)/10^9),0)</f>
        <v>#NUM!</v>
      </c>
      <c r="AN741" s="105" t="e">
        <f>IF($AC$658&gt;0,PPMT('Assumptions (Wind)'!$V$8,Model!AH1,'Assumptions (Wind)'!$V$11,'Assumptions (Wind)'!$V$6*Model!$AC$658*AVERAGE('Assumptions (Wind)'!$Z$2:$AA$2)/10^9),0)</f>
        <v>#NUM!</v>
      </c>
      <c r="AO741" s="105" t="e">
        <f>IF($AC$658&gt;0,PPMT('Assumptions (Wind)'!$V$8,Model!AI1,'Assumptions (Wind)'!$V$11,'Assumptions (Wind)'!$V$6*Model!$AC$658*AVERAGE('Assumptions (Wind)'!$Z$2:$AA$2)/10^9),0)</f>
        <v>#NUM!</v>
      </c>
      <c r="AP741" s="105" t="e">
        <f>IF($AC$658&gt;0,PPMT('Assumptions (Wind)'!$V$8,Model!AJ1,'Assumptions (Wind)'!$V$11,'Assumptions (Wind)'!$V$6*Model!$AC$658*AVERAGE('Assumptions (Wind)'!$Z$2:$AA$2)/10^9),0)</f>
        <v>#NUM!</v>
      </c>
      <c r="AQ741" s="105" t="e">
        <f>IF($AC$658&gt;0,PPMT('Assumptions (Wind)'!$V$8,Model!AK1,'Assumptions (Wind)'!$V$11,'Assumptions (Wind)'!$V$6*Model!$AC$658*AVERAGE('Assumptions (Wind)'!$Z$2:$AA$2)/10^9),0)</f>
        <v>#NUM!</v>
      </c>
      <c r="AR741" s="105"/>
      <c r="AS741" s="105"/>
      <c r="AT741" s="105"/>
      <c r="AU741" s="105"/>
      <c r="AV741" s="105"/>
      <c r="AW741" s="105"/>
      <c r="AX741" s="105"/>
      <c r="AY741" s="105"/>
      <c r="AZ741" s="105"/>
      <c r="BA741" s="105"/>
    </row>
    <row r="742" spans="1:64" ht="15.75" hidden="1" customHeight="1" outlineLevel="1">
      <c r="A742" s="395"/>
      <c r="B742" s="99"/>
      <c r="C742" s="99"/>
      <c r="D742" s="99"/>
      <c r="E742" s="99"/>
      <c r="F742" s="99"/>
      <c r="G742" s="99"/>
      <c r="H742" s="99"/>
      <c r="I742" s="99"/>
      <c r="J742" s="99"/>
      <c r="K742" s="99"/>
      <c r="L742" s="99"/>
      <c r="M742" s="99"/>
      <c r="N742" s="99"/>
      <c r="O742" s="99"/>
      <c r="P742" s="99"/>
      <c r="Q742" s="99"/>
      <c r="R742" s="99"/>
      <c r="S742" s="99"/>
      <c r="T742" s="99"/>
      <c r="U742" s="99"/>
      <c r="V742" s="99"/>
      <c r="W742" s="105"/>
      <c r="X742" s="105"/>
      <c r="Y742" s="105"/>
      <c r="Z742" s="105"/>
      <c r="AA742" s="105"/>
      <c r="AB742" s="105"/>
      <c r="AC742" s="105"/>
      <c r="AD742" s="105">
        <f>IF($AD$658&gt;0,PPMT('Assumptions (Wind)'!$V$8,Model!W1,'Assumptions (Wind)'!$V$11,'Assumptions (Wind)'!$V$6*Model!$AD$658*AVERAGE('Assumptions (Wind)'!$AA$2:$AB$2)/10^9),0)</f>
        <v>-4.3945708288089351</v>
      </c>
      <c r="AE742" s="105">
        <f>IF($AD$658&gt;0,PPMT('Assumptions (Wind)'!$V$8,Model!X1,'Assumptions (Wind)'!$V$11,'Assumptions (Wind)'!$V$6*Model!$AD$658*AVERAGE('Assumptions (Wind)'!$AA$2:$AB$2)/10^9),0)</f>
        <v>-4.7461364951136504</v>
      </c>
      <c r="AF742" s="105">
        <f>IF($AD$658&gt;0,PPMT('Assumptions (Wind)'!$V$8,Model!Y1,'Assumptions (Wind)'!$V$11,'Assumptions (Wind)'!$V$6*Model!$AD$658*AVERAGE('Assumptions (Wind)'!$AA$2:$AB$2)/10^9),0)</f>
        <v>-5.1258274147227416</v>
      </c>
      <c r="AG742" s="105">
        <f>IF($AD$658&gt;0,PPMT('Assumptions (Wind)'!$V$8,Model!Z1,'Assumptions (Wind)'!$V$11,'Assumptions (Wind)'!$V$6*Model!$AD$658*AVERAGE('Assumptions (Wind)'!$AA$2:$AB$2)/10^9),0)</f>
        <v>-5.5358936079005616</v>
      </c>
      <c r="AH742" s="105">
        <f>IF($AD$658&gt;0,PPMT('Assumptions (Wind)'!$V$8,Model!AA1,'Assumptions (Wind)'!$V$11,'Assumptions (Wind)'!$V$6*Model!$AD$658*AVERAGE('Assumptions (Wind)'!$AA$2:$AB$2)/10^9),0)</f>
        <v>-5.9787650965326069</v>
      </c>
      <c r="AI742" s="105">
        <f>IF($AD$658&gt;0,PPMT('Assumptions (Wind)'!$V$8,Model!AB1,'Assumptions (Wind)'!$V$11,'Assumptions (Wind)'!$V$6*Model!$AD$658*AVERAGE('Assumptions (Wind)'!$AA$2:$AB$2)/10^9),0)</f>
        <v>-6.4570663042552141</v>
      </c>
      <c r="AJ742" s="105">
        <f>IF($AD$658&gt;0,PPMT('Assumptions (Wind)'!$V$8,Model!AC1,'Assumptions (Wind)'!$V$11,'Assumptions (Wind)'!$V$6*Model!$AD$658*AVERAGE('Assumptions (Wind)'!$AA$2:$AB$2)/10^9),0)</f>
        <v>-6.9736316085956309</v>
      </c>
      <c r="AK742" s="105">
        <f>IF($AD$658&gt;0,PPMT('Assumptions (Wind)'!$V$8,Model!AD1,'Assumptions (Wind)'!$V$11,'Assumptions (Wind)'!$V$6*Model!$AD$658*AVERAGE('Assumptions (Wind)'!$AA$2:$AB$2)/10^9),0)</f>
        <v>-7.5315221372832823</v>
      </c>
      <c r="AL742" s="105">
        <f>IF($AD$658&gt;0,PPMT('Assumptions (Wind)'!$V$8,Model!AE1,'Assumptions (Wind)'!$V$11,'Assumptions (Wind)'!$V$6*Model!$AD$658*AVERAGE('Assumptions (Wind)'!$AA$2:$AB$2)/10^9),0)</f>
        <v>-8.1340439082659444</v>
      </c>
      <c r="AM742" s="105">
        <f>IF($AD$658&gt;0,PPMT('Assumptions (Wind)'!$V$8,Model!AF1,'Assumptions (Wind)'!$V$11,'Assumptions (Wind)'!$V$6*Model!$AD$658*AVERAGE('Assumptions (Wind)'!$AA$2:$AB$2)/10^9),0)</f>
        <v>-8.7847674209272206</v>
      </c>
      <c r="AN742" s="105" t="e">
        <f>IF($AD$658&gt;0,PPMT('Assumptions (Wind)'!$V$8,Model!AG1,'Assumptions (Wind)'!$V$11,'Assumptions (Wind)'!$V$6*Model!$AD$658*AVERAGE('Assumptions (Wind)'!$AA$2:$AB$2)/10^9),0)</f>
        <v>#NUM!</v>
      </c>
      <c r="AO742" s="105" t="e">
        <f>IF($AD$658&gt;0,PPMT('Assumptions (Wind)'!$V$8,Model!AH1,'Assumptions (Wind)'!$V$11,'Assumptions (Wind)'!$V$6*Model!$AD$658*AVERAGE('Assumptions (Wind)'!$AA$2:$AB$2)/10^9),0)</f>
        <v>#NUM!</v>
      </c>
      <c r="AP742" s="105" t="e">
        <f>IF($AD$658&gt;0,PPMT('Assumptions (Wind)'!$V$8,Model!AI1,'Assumptions (Wind)'!$V$11,'Assumptions (Wind)'!$V$6*Model!$AD$658*AVERAGE('Assumptions (Wind)'!$AA$2:$AB$2)/10^9),0)</f>
        <v>#NUM!</v>
      </c>
      <c r="AQ742" s="105" t="e">
        <f>IF($AD$658&gt;0,PPMT('Assumptions (Wind)'!$V$8,Model!AJ1,'Assumptions (Wind)'!$V$11,'Assumptions (Wind)'!$V$6*Model!$AD$658*AVERAGE('Assumptions (Wind)'!$AA$2:$AB$2)/10^9),0)</f>
        <v>#NUM!</v>
      </c>
      <c r="AR742" s="105" t="e">
        <f>IF($AD$658&gt;0,PPMT('Assumptions (Wind)'!$V$8,Model!AK1,'Assumptions (Wind)'!$V$11,'Assumptions (Wind)'!$V$6*Model!$AD$658*AVERAGE('Assumptions (Wind)'!$AA$2:$AB$2)/10^9),0)</f>
        <v>#NUM!</v>
      </c>
      <c r="AS742" s="105"/>
      <c r="AT742" s="105"/>
      <c r="AU742" s="105"/>
      <c r="AV742" s="105"/>
      <c r="AW742" s="105"/>
      <c r="AX742" s="105"/>
      <c r="AY742" s="105"/>
      <c r="AZ742" s="105"/>
      <c r="BA742" s="105"/>
      <c r="BB742" s="105"/>
    </row>
    <row r="743" spans="1:64" ht="15.75" hidden="1" customHeight="1" outlineLevel="1">
      <c r="A743" s="395"/>
      <c r="B743" s="99"/>
      <c r="C743" s="99"/>
      <c r="D743" s="99"/>
      <c r="E743" s="99"/>
      <c r="F743" s="99"/>
      <c r="G743" s="99"/>
      <c r="H743" s="99"/>
      <c r="I743" s="99"/>
      <c r="J743" s="99"/>
      <c r="K743" s="99"/>
      <c r="L743" s="99"/>
      <c r="M743" s="99"/>
      <c r="N743" s="99"/>
      <c r="O743" s="99"/>
      <c r="P743" s="99"/>
      <c r="Q743" s="99"/>
      <c r="R743" s="99"/>
      <c r="S743" s="99"/>
      <c r="T743" s="99"/>
      <c r="U743" s="99"/>
      <c r="V743" s="99"/>
      <c r="W743" s="105"/>
      <c r="X743" s="105"/>
      <c r="Y743" s="105"/>
      <c r="Z743" s="105"/>
      <c r="AA743" s="105"/>
      <c r="AB743" s="105"/>
      <c r="AC743" s="105"/>
      <c r="AD743" s="105"/>
      <c r="AE743" s="105">
        <f>IF($AE$658&gt;0,PPMT('Assumptions (Wind)'!$V$8,Model!W1,'Assumptions (Wind)'!$V$11,'Assumptions (Wind)'!$V$6*Model!$AE$658*AVERAGE('Assumptions (Wind)'!$AB$2:$AC$2)/10^9),0)</f>
        <v>-4.482462245385114</v>
      </c>
      <c r="AF743" s="105">
        <f>IF($AE$658&gt;0,PPMT('Assumptions (Wind)'!$V$8,Model!X1,'Assumptions (Wind)'!$V$11,'Assumptions (Wind)'!$V$6*Model!$AE$658*AVERAGE('Assumptions (Wind)'!$AB$2:$AC$2)/10^9),0)</f>
        <v>-4.8410592250159237</v>
      </c>
      <c r="AG743" s="105">
        <f>IF($AE$658&gt;0,PPMT('Assumptions (Wind)'!$V$8,Model!Y1,'Assumptions (Wind)'!$V$11,'Assumptions (Wind)'!$V$6*Model!$AE$658*AVERAGE('Assumptions (Wind)'!$AB$2:$AC$2)/10^9),0)</f>
        <v>-5.2283439630171973</v>
      </c>
      <c r="AH743" s="105">
        <f>IF($AE$658&gt;0,PPMT('Assumptions (Wind)'!$V$8,Model!Z1,'Assumptions (Wind)'!$V$11,'Assumptions (Wind)'!$V$6*Model!$AE$658*AVERAGE('Assumptions (Wind)'!$AB$2:$AC$2)/10^9),0)</f>
        <v>-5.6466114800585734</v>
      </c>
      <c r="AI743" s="105">
        <f>IF($AE$658&gt;0,PPMT('Assumptions (Wind)'!$V$8,Model!AA1,'Assumptions (Wind)'!$V$11,'Assumptions (Wind)'!$V$6*Model!$AE$658*AVERAGE('Assumptions (Wind)'!$AB$2:$AC$2)/10^9),0)</f>
        <v>-6.0983403984632591</v>
      </c>
      <c r="AJ743" s="105">
        <f>IF($AE$658&gt;0,PPMT('Assumptions (Wind)'!$V$8,Model!AB1,'Assumptions (Wind)'!$V$11,'Assumptions (Wind)'!$V$6*Model!$AE$658*AVERAGE('Assumptions (Wind)'!$AB$2:$AC$2)/10^9),0)</f>
        <v>-6.5862076303403194</v>
      </c>
      <c r="AK743" s="105">
        <f>IF($AE$658&gt;0,PPMT('Assumptions (Wind)'!$V$8,Model!AC1,'Assumptions (Wind)'!$V$11,'Assumptions (Wind)'!$V$6*Model!$AE$658*AVERAGE('Assumptions (Wind)'!$AB$2:$AC$2)/10^9),0)</f>
        <v>-7.1131042407675444</v>
      </c>
      <c r="AL743" s="105">
        <f>IF($AE$658&gt;0,PPMT('Assumptions (Wind)'!$V$8,Model!AD1,'Assumptions (Wind)'!$V$11,'Assumptions (Wind)'!$V$6*Model!$AE$658*AVERAGE('Assumptions (Wind)'!$AB$2:$AC$2)/10^9),0)</f>
        <v>-7.6821525800289487</v>
      </c>
      <c r="AM743" s="105">
        <f>IF($AE$658&gt;0,PPMT('Assumptions (Wind)'!$V$8,Model!AE1,'Assumptions (Wind)'!$V$11,'Assumptions (Wind)'!$V$6*Model!$AE$658*AVERAGE('Assumptions (Wind)'!$AB$2:$AC$2)/10^9),0)</f>
        <v>-8.2967247864312643</v>
      </c>
      <c r="AN743" s="105">
        <f>IF($AE$658&gt;0,PPMT('Assumptions (Wind)'!$V$8,Model!AF1,'Assumptions (Wind)'!$V$11,'Assumptions (Wind)'!$V$6*Model!$AE$658*AVERAGE('Assumptions (Wind)'!$AB$2:$AC$2)/10^9),0)</f>
        <v>-8.9604627693457655</v>
      </c>
      <c r="AO743" s="105" t="e">
        <f>IF($AE$658&gt;0,PPMT('Assumptions (Wind)'!$V$8,Model!AG1,'Assumptions (Wind)'!$V$11,'Assumptions (Wind)'!$V$6*Model!$AE$658*AVERAGE('Assumptions (Wind)'!$AB$2:$AC$2)/10^9),0)</f>
        <v>#NUM!</v>
      </c>
      <c r="AP743" s="105" t="e">
        <f>IF($AE$658&gt;0,PPMT('Assumptions (Wind)'!$V$8,Model!AH1,'Assumptions (Wind)'!$V$11,'Assumptions (Wind)'!$V$6*Model!$AE$658*AVERAGE('Assumptions (Wind)'!$AB$2:$AC$2)/10^9),0)</f>
        <v>#NUM!</v>
      </c>
      <c r="AQ743" s="105" t="e">
        <f>IF($AE$658&gt;0,PPMT('Assumptions (Wind)'!$V$8,Model!AI1,'Assumptions (Wind)'!$V$11,'Assumptions (Wind)'!$V$6*Model!$AE$658*AVERAGE('Assumptions (Wind)'!$AB$2:$AC$2)/10^9),0)</f>
        <v>#NUM!</v>
      </c>
      <c r="AR743" s="105" t="e">
        <f>IF($AE$658&gt;0,PPMT('Assumptions (Wind)'!$V$8,Model!AJ1,'Assumptions (Wind)'!$V$11,'Assumptions (Wind)'!$V$6*Model!$AE$658*AVERAGE('Assumptions (Wind)'!$AB$2:$AC$2)/10^9),0)</f>
        <v>#NUM!</v>
      </c>
      <c r="AS743" s="105" t="e">
        <f>IF($AE$658&gt;0,PPMT('Assumptions (Wind)'!$V$8,Model!AK1,'Assumptions (Wind)'!$V$11,'Assumptions (Wind)'!$V$6*Model!$AE$658*AVERAGE('Assumptions (Wind)'!$AB$2:$AC$2)/10^9),0)</f>
        <v>#NUM!</v>
      </c>
      <c r="AT743" s="105"/>
      <c r="AU743" s="105"/>
      <c r="AV743" s="105"/>
      <c r="AW743" s="105"/>
      <c r="AX743" s="105"/>
      <c r="AY743" s="105"/>
      <c r="AZ743" s="105"/>
      <c r="BA743" s="105"/>
      <c r="BB743" s="105"/>
      <c r="BC743" s="105"/>
    </row>
    <row r="744" spans="1:64" ht="15.75" hidden="1" customHeight="1" outlineLevel="1">
      <c r="A744" s="395"/>
      <c r="B744" s="99"/>
      <c r="C744" s="99"/>
      <c r="D744" s="99"/>
      <c r="E744" s="99"/>
      <c r="F744" s="99"/>
      <c r="G744" s="99"/>
      <c r="H744" s="99"/>
      <c r="I744" s="99"/>
      <c r="J744" s="99"/>
      <c r="K744" s="99"/>
      <c r="L744" s="99"/>
      <c r="M744" s="99"/>
      <c r="N744" s="99"/>
      <c r="O744" s="99"/>
      <c r="P744" s="99"/>
      <c r="Q744" s="99"/>
      <c r="R744" s="99"/>
      <c r="S744" s="99"/>
      <c r="T744" s="99"/>
      <c r="U744" s="99"/>
      <c r="V744" s="99"/>
      <c r="W744" s="105"/>
      <c r="X744" s="105"/>
      <c r="Y744" s="105"/>
      <c r="Z744" s="105"/>
      <c r="AA744" s="105"/>
      <c r="AB744" s="105"/>
      <c r="AC744" s="105"/>
      <c r="AD744" s="105"/>
      <c r="AE744" s="105"/>
      <c r="AF744" s="105">
        <f>IF($AF$658&gt;0,PPMT('Assumptions (Wind)'!$V$8,Model!W1,'Assumptions (Wind)'!$V$11,'Assumptions (Wind)'!$V$6*Model!$AF$658*AVERAGE('Assumptions (Wind)'!$AC$2:$AD$2)/10^9),0)</f>
        <v>-4.5736083766864217</v>
      </c>
      <c r="AG744" s="105">
        <f>IF($AF$658&gt;0,PPMT('Assumptions (Wind)'!$V$8,Model!X1,'Assumptions (Wind)'!$V$11,'Assumptions (Wind)'!$V$6*Model!$AF$658*AVERAGE('Assumptions (Wind)'!$AC$2:$AD$2)/10^9),0)</f>
        <v>-4.9394970468213364</v>
      </c>
      <c r="AH744" s="105">
        <f>IF($AF$658&gt;0,PPMT('Assumptions (Wind)'!$V$8,Model!Y1,'Assumptions (Wind)'!$V$11,'Assumptions (Wind)'!$V$6*Model!$AF$658*AVERAGE('Assumptions (Wind)'!$AC$2:$AD$2)/10^9),0)</f>
        <v>-5.3346568105670427</v>
      </c>
      <c r="AI744" s="105">
        <f>IF($AF$658&gt;0,PPMT('Assumptions (Wind)'!$V$8,Model!Z1,'Assumptions (Wind)'!$V$11,'Assumptions (Wind)'!$V$6*Model!$AF$658*AVERAGE('Assumptions (Wind)'!$AC$2:$AD$2)/10^9),0)</f>
        <v>-5.7614293554124076</v>
      </c>
      <c r="AJ744" s="105">
        <f>IF($AF$658&gt;0,PPMT('Assumptions (Wind)'!$V$8,Model!AA1,'Assumptions (Wind)'!$V$11,'Assumptions (Wind)'!$V$6*Model!$AF$658*AVERAGE('Assumptions (Wind)'!$AC$2:$AD$2)/10^9),0)</f>
        <v>-6.2223437038453993</v>
      </c>
      <c r="AK744" s="105">
        <f>IF($AF$658&gt;0,PPMT('Assumptions (Wind)'!$V$8,Model!AB1,'Assumptions (Wind)'!$V$11,'Assumptions (Wind)'!$V$6*Model!$AF$658*AVERAGE('Assumptions (Wind)'!$AC$2:$AD$2)/10^9),0)</f>
        <v>-6.7201312001530313</v>
      </c>
      <c r="AL744" s="105">
        <f>IF($AF$658&gt;0,PPMT('Assumptions (Wind)'!$V$8,Model!AC1,'Assumptions (Wind)'!$V$11,'Assumptions (Wind)'!$V$6*Model!$AF$658*AVERAGE('Assumptions (Wind)'!$AC$2:$AD$2)/10^9),0)</f>
        <v>-7.2577416961652732</v>
      </c>
      <c r="AM744" s="105">
        <f>IF($AF$658&gt;0,PPMT('Assumptions (Wind)'!$V$8,Model!AD1,'Assumptions (Wind)'!$V$11,'Assumptions (Wind)'!$V$6*Model!$AF$658*AVERAGE('Assumptions (Wind)'!$AC$2:$AD$2)/10^9),0)</f>
        <v>-7.8383610318584953</v>
      </c>
      <c r="AN744" s="105">
        <f>IF($AF$658&gt;0,PPMT('Assumptions (Wind)'!$V$8,Model!AE1,'Assumptions (Wind)'!$V$11,'Assumptions (Wind)'!$V$6*Model!$AF$658*AVERAGE('Assumptions (Wind)'!$AC$2:$AD$2)/10^9),0)</f>
        <v>-8.4654299144071743</v>
      </c>
      <c r="AO744" s="105">
        <f>IF($AF$658&gt;0,PPMT('Assumptions (Wind)'!$V$8,Model!AF1,'Assumptions (Wind)'!$V$11,'Assumptions (Wind)'!$V$6*Model!$AF$658*AVERAGE('Assumptions (Wind)'!$AC$2:$AD$2)/10^9),0)</f>
        <v>-9.1426643075597482</v>
      </c>
      <c r="AP744" s="105" t="e">
        <f>IF($AF$658&gt;0,PPMT('Assumptions (Wind)'!$V$8,Model!AG1,'Assumptions (Wind)'!$V$11,'Assumptions (Wind)'!$V$6*Model!$AF$658*AVERAGE('Assumptions (Wind)'!$AC$2:$AD$2)/10^9),0)</f>
        <v>#NUM!</v>
      </c>
      <c r="AQ744" s="105" t="e">
        <f>IF($AF$658&gt;0,PPMT('Assumptions (Wind)'!$V$8,Model!AH1,'Assumptions (Wind)'!$V$11,'Assumptions (Wind)'!$V$6*Model!$AF$658*AVERAGE('Assumptions (Wind)'!$AC$2:$AD$2)/10^9),0)</f>
        <v>#NUM!</v>
      </c>
      <c r="AR744" s="105" t="e">
        <f>IF($AF$658&gt;0,PPMT('Assumptions (Wind)'!$V$8,Model!AI1,'Assumptions (Wind)'!$V$11,'Assumptions (Wind)'!$V$6*Model!$AF$658*AVERAGE('Assumptions (Wind)'!$AC$2:$AD$2)/10^9),0)</f>
        <v>#NUM!</v>
      </c>
      <c r="AS744" s="105" t="e">
        <f>IF($AF$658&gt;0,PPMT('Assumptions (Wind)'!$V$8,Model!AJ1,'Assumptions (Wind)'!$V$11,'Assumptions (Wind)'!$V$6*Model!$AF$658*AVERAGE('Assumptions (Wind)'!$AC$2:$AD$2)/10^9),0)</f>
        <v>#NUM!</v>
      </c>
      <c r="AT744" s="105" t="e">
        <f>IF($AF$658&gt;0,PPMT('Assumptions (Wind)'!$V$8,Model!AK1,'Assumptions (Wind)'!$V$11,'Assumptions (Wind)'!$V$6*Model!$AF$658*AVERAGE('Assumptions (Wind)'!$AC$2:$AD$2)/10^9),0)</f>
        <v>#NUM!</v>
      </c>
      <c r="AU744" s="105"/>
      <c r="AV744" s="105"/>
      <c r="AW744" s="105"/>
      <c r="AX744" s="105"/>
      <c r="AY744" s="105"/>
      <c r="AZ744" s="105"/>
      <c r="BA744" s="105"/>
      <c r="BB744" s="105"/>
      <c r="BC744" s="105"/>
      <c r="BD744" s="105"/>
    </row>
    <row r="745" spans="1:64" ht="15.75" hidden="1" customHeight="1" outlineLevel="1">
      <c r="A745" s="395"/>
      <c r="B745" s="99"/>
      <c r="C745" s="99"/>
      <c r="D745" s="99"/>
      <c r="E745" s="99"/>
      <c r="F745" s="99"/>
      <c r="G745" s="99"/>
      <c r="H745" s="99"/>
      <c r="I745" s="99"/>
      <c r="J745" s="99"/>
      <c r="K745" s="99"/>
      <c r="L745" s="99"/>
      <c r="M745" s="99"/>
      <c r="N745" s="99"/>
      <c r="O745" s="99"/>
      <c r="P745" s="99"/>
      <c r="Q745" s="99"/>
      <c r="R745" s="99"/>
      <c r="S745" s="99"/>
      <c r="T745" s="99"/>
      <c r="U745" s="99"/>
      <c r="V745" s="99"/>
      <c r="W745" s="105"/>
      <c r="X745" s="105"/>
      <c r="Y745" s="105"/>
      <c r="Z745" s="105"/>
      <c r="AA745" s="105"/>
      <c r="AB745" s="105"/>
      <c r="AC745" s="105"/>
      <c r="AD745" s="105"/>
      <c r="AE745" s="105"/>
      <c r="AF745" s="105"/>
      <c r="AG745" s="105">
        <f>IF($AG$658&gt;0,PPMT('Assumptions (Wind)'!$V$8,Model!W1,'Assumptions (Wind)'!$V$11,'Assumptions (Wind)'!$V$6*Model!$AG$658*AVERAGE('Assumptions (Wind)'!$AD$2:$AE$2)/10^9),0)</f>
        <v>-4.6774088368605558</v>
      </c>
      <c r="AH745" s="105">
        <f>IF($AG$658&gt;0,PPMT('Assumptions (Wind)'!$V$8,Model!X1,'Assumptions (Wind)'!$V$11,'Assumptions (Wind)'!$V$6*Model!$AG$658*AVERAGE('Assumptions (Wind)'!$AD$2:$AE$2)/10^9),0)</f>
        <v>-5.0516015438094009</v>
      </c>
      <c r="AI745" s="105">
        <f>IF($AG$658&gt;0,PPMT('Assumptions (Wind)'!$V$8,Model!Y1,'Assumptions (Wind)'!$V$11,'Assumptions (Wind)'!$V$6*Model!$AG$658*AVERAGE('Assumptions (Wind)'!$AD$2:$AE$2)/10^9),0)</f>
        <v>-5.4557296673141522</v>
      </c>
      <c r="AJ745" s="105">
        <f>IF($AG$658&gt;0,PPMT('Assumptions (Wind)'!$V$8,Model!Z1,'Assumptions (Wind)'!$V$11,'Assumptions (Wind)'!$V$6*Model!$AG$658*AVERAGE('Assumptions (Wind)'!$AD$2:$AE$2)/10^9),0)</f>
        <v>-5.8921880406992857</v>
      </c>
      <c r="AK745" s="105">
        <f>IF($AG$658&gt;0,PPMT('Assumptions (Wind)'!$V$8,Model!AA1,'Assumptions (Wind)'!$V$11,'Assumptions (Wind)'!$V$6*Model!$AG$658*AVERAGE('Assumptions (Wind)'!$AD$2:$AE$2)/10^9),0)</f>
        <v>-6.3635630839552277</v>
      </c>
      <c r="AL745" s="105">
        <f>IF($AG$658&gt;0,PPMT('Assumptions (Wind)'!$V$8,Model!AB1,'Assumptions (Wind)'!$V$11,'Assumptions (Wind)'!$V$6*Model!$AG$658*AVERAGE('Assumptions (Wind)'!$AD$2:$AE$2)/10^9),0)</f>
        <v>-6.8726481306716449</v>
      </c>
      <c r="AM745" s="105">
        <f>IF($AG$658&gt;0,PPMT('Assumptions (Wind)'!$V$8,Model!AC1,'Assumptions (Wind)'!$V$11,'Assumptions (Wind)'!$V$6*Model!$AG$658*AVERAGE('Assumptions (Wind)'!$AD$2:$AE$2)/10^9),0)</f>
        <v>-7.4224599811253773</v>
      </c>
      <c r="AN745" s="105">
        <f>IF($AG$658&gt;0,PPMT('Assumptions (Wind)'!$V$8,Model!AD1,'Assumptions (Wind)'!$V$11,'Assumptions (Wind)'!$V$6*Model!$AG$658*AVERAGE('Assumptions (Wind)'!$AD$2:$AE$2)/10^9),0)</f>
        <v>-8.0162567796154072</v>
      </c>
      <c r="AO745" s="105">
        <f>IF($AG$658&gt;0,PPMT('Assumptions (Wind)'!$V$8,Model!AE1,'Assumptions (Wind)'!$V$11,'Assumptions (Wind)'!$V$6*Model!$AG$658*AVERAGE('Assumptions (Wind)'!$AD$2:$AE$2)/10^9),0)</f>
        <v>-8.6575573219846405</v>
      </c>
      <c r="AP745" s="105">
        <f>IF($AG$658&gt;0,PPMT('Assumptions (Wind)'!$V$8,Model!AF1,'Assumptions (Wind)'!$V$11,'Assumptions (Wind)'!$V$6*Model!$AG$658*AVERAGE('Assumptions (Wind)'!$AD$2:$AE$2)/10^9),0)</f>
        <v>-9.350161907743411</v>
      </c>
      <c r="AQ745" s="105" t="e">
        <f>IF($AG$658&gt;0,PPMT('Assumptions (Wind)'!$V$8,Model!AG1,'Assumptions (Wind)'!$V$11,'Assumptions (Wind)'!$V$6*Model!$AG$658*AVERAGE('Assumptions (Wind)'!$AD$2:$AE$2)/10^9),0)</f>
        <v>#NUM!</v>
      </c>
      <c r="AR745" s="105" t="e">
        <f>IF($AG$658&gt;0,PPMT('Assumptions (Wind)'!$V$8,Model!AH1,'Assumptions (Wind)'!$V$11,'Assumptions (Wind)'!$V$6*Model!$AG$658*AVERAGE('Assumptions (Wind)'!$AD$2:$AE$2)/10^9),0)</f>
        <v>#NUM!</v>
      </c>
      <c r="AS745" s="105" t="e">
        <f>IF($AG$658&gt;0,PPMT('Assumptions (Wind)'!$V$8,Model!AI1,'Assumptions (Wind)'!$V$11,'Assumptions (Wind)'!$V$6*Model!$AG$658*AVERAGE('Assumptions (Wind)'!$AD$2:$AE$2)/10^9),0)</f>
        <v>#NUM!</v>
      </c>
      <c r="AT745" s="105" t="e">
        <f>IF($AG$658&gt;0,PPMT('Assumptions (Wind)'!$V$8,Model!AJ1,'Assumptions (Wind)'!$V$11,'Assumptions (Wind)'!$V$6*Model!$AG$658*AVERAGE('Assumptions (Wind)'!$AD$2:$AE$2)/10^9),0)</f>
        <v>#NUM!</v>
      </c>
      <c r="AU745" s="105" t="e">
        <f>IF($AG$658&gt;0,PPMT('Assumptions (Wind)'!$V$8,Model!AK1,'Assumptions (Wind)'!$V$11,'Assumptions (Wind)'!$V$6*Model!$AG$658*AVERAGE('Assumptions (Wind)'!$AD$2:$AE$2)/10^9),0)</f>
        <v>#NUM!</v>
      </c>
      <c r="AV745" s="105"/>
      <c r="AW745" s="105"/>
      <c r="AX745" s="105"/>
      <c r="AY745" s="105"/>
      <c r="AZ745" s="105"/>
      <c r="BA745" s="105"/>
      <c r="BB745" s="105"/>
      <c r="BC745" s="105"/>
      <c r="BD745" s="105"/>
      <c r="BE745" s="105"/>
    </row>
    <row r="746" spans="1:64" ht="15.75" hidden="1" customHeight="1" outlineLevel="1">
      <c r="A746" s="395"/>
      <c r="B746" s="99"/>
      <c r="C746" s="99"/>
      <c r="D746" s="99"/>
      <c r="E746" s="99"/>
      <c r="F746" s="99"/>
      <c r="G746" s="99"/>
      <c r="H746" s="99"/>
      <c r="I746" s="99"/>
      <c r="J746" s="99"/>
      <c r="K746" s="99"/>
      <c r="L746" s="99"/>
      <c r="M746" s="99"/>
      <c r="N746" s="99"/>
      <c r="O746" s="99"/>
      <c r="P746" s="99"/>
      <c r="Q746" s="99"/>
      <c r="R746" s="99"/>
      <c r="S746" s="99"/>
      <c r="T746" s="99"/>
      <c r="U746" s="99"/>
      <c r="V746" s="99"/>
      <c r="W746" s="105"/>
      <c r="X746" s="105"/>
      <c r="Y746" s="105"/>
      <c r="Z746" s="105"/>
      <c r="AA746" s="105"/>
      <c r="AB746" s="105"/>
      <c r="AC746" s="105"/>
      <c r="AD746" s="105"/>
      <c r="AE746" s="105"/>
      <c r="AF746" s="105"/>
      <c r="AG746" s="105"/>
      <c r="AH746" s="105">
        <f>IF($AH$658&gt;0,PPMT('Assumptions (Wind)'!$V$8,Model!W1,'Assumptions (Wind)'!$V$11,'Assumptions (Wind)'!$V$6*Model!$AH$658*AVERAGE('Assumptions (Wind)'!$AE$2:$AF$2)/10^9),0)</f>
        <v>-4.808747859741402</v>
      </c>
      <c r="AI746" s="105">
        <f>IF($AH$658&gt;0,PPMT('Assumptions (Wind)'!$V$8,Model!X1,'Assumptions (Wind)'!$V$11,'Assumptions (Wind)'!$V$6*Model!$AH$658*AVERAGE('Assumptions (Wind)'!$AE$2:$AF$2)/10^9),0)</f>
        <v>-5.1934476885207141</v>
      </c>
      <c r="AJ746" s="105">
        <f>IF($AH$658&gt;0,PPMT('Assumptions (Wind)'!$V$8,Model!Y1,'Assumptions (Wind)'!$V$11,'Assumptions (Wind)'!$V$6*Model!$AH$658*AVERAGE('Assumptions (Wind)'!$AE$2:$AF$2)/10^9),0)</f>
        <v>-5.6089235036023721</v>
      </c>
      <c r="AK746" s="105">
        <f>IF($AH$658&gt;0,PPMT('Assumptions (Wind)'!$V$8,Model!Z1,'Assumptions (Wind)'!$V$11,'Assumptions (Wind)'!$V$6*Model!$AH$658*AVERAGE('Assumptions (Wind)'!$AE$2:$AF$2)/10^9),0)</f>
        <v>-6.0576373838905617</v>
      </c>
      <c r="AL746" s="105">
        <f>IF($AH$658&gt;0,PPMT('Assumptions (Wind)'!$V$8,Model!AA1,'Assumptions (Wind)'!$V$11,'Assumptions (Wind)'!$V$6*Model!$AH$658*AVERAGE('Assumptions (Wind)'!$AE$2:$AF$2)/10^9),0)</f>
        <v>-6.5422483746018063</v>
      </c>
      <c r="AM746" s="105">
        <f>IF($AH$658&gt;0,PPMT('Assumptions (Wind)'!$V$8,Model!AB1,'Assumptions (Wind)'!$V$11,'Assumptions (Wind)'!$V$6*Model!$AH$658*AVERAGE('Assumptions (Wind)'!$AE$2:$AF$2)/10^9),0)</f>
        <v>-7.0656282445699503</v>
      </c>
      <c r="AN746" s="105">
        <f>IF($AH$658&gt;0,PPMT('Assumptions (Wind)'!$V$8,Model!AC1,'Assumptions (Wind)'!$V$11,'Assumptions (Wind)'!$V$6*Model!$AH$658*AVERAGE('Assumptions (Wind)'!$AE$2:$AF$2)/10^9),0)</f>
        <v>-7.6308785041355467</v>
      </c>
      <c r="AO746" s="105">
        <f>IF($AH$658&gt;0,PPMT('Assumptions (Wind)'!$V$8,Model!AD1,'Assumptions (Wind)'!$V$11,'Assumptions (Wind)'!$V$6*Model!$AH$658*AVERAGE('Assumptions (Wind)'!$AE$2:$AF$2)/10^9),0)</f>
        <v>-8.2413487844663909</v>
      </c>
      <c r="AP746" s="105">
        <f>IF($AH$658&gt;0,PPMT('Assumptions (Wind)'!$V$8,Model!AE1,'Assumptions (Wind)'!$V$11,'Assumptions (Wind)'!$V$6*Model!$AH$658*AVERAGE('Assumptions (Wind)'!$AE$2:$AF$2)/10^9),0)</f>
        <v>-8.9006566872237016</v>
      </c>
      <c r="AQ746" s="105">
        <f>IF($AH$658&gt;0,PPMT('Assumptions (Wind)'!$V$8,Model!AF1,'Assumptions (Wind)'!$V$11,'Assumptions (Wind)'!$V$6*Model!$AH$658*AVERAGE('Assumptions (Wind)'!$AE$2:$AF$2)/10^9),0)</f>
        <v>-9.6127092222015982</v>
      </c>
      <c r="AR746" s="105" t="e">
        <f>IF($AH$658&gt;0,PPMT('Assumptions (Wind)'!$V$8,Model!AG1,'Assumptions (Wind)'!$V$11,'Assumptions (Wind)'!$V$6*Model!$AH$658*AVERAGE('Assumptions (Wind)'!$AE$2:$AF$2)/10^9),0)</f>
        <v>#NUM!</v>
      </c>
      <c r="AS746" s="105" t="e">
        <f>IF($AH$658&gt;0,PPMT('Assumptions (Wind)'!$V$8,Model!AH1,'Assumptions (Wind)'!$V$11,'Assumptions (Wind)'!$V$6*Model!$AH$658*AVERAGE('Assumptions (Wind)'!$AE$2:$AF$2)/10^9),0)</f>
        <v>#NUM!</v>
      </c>
      <c r="AT746" s="105" t="e">
        <f>IF($AH$658&gt;0,PPMT('Assumptions (Wind)'!$V$8,Model!AI1,'Assumptions (Wind)'!$V$11,'Assumptions (Wind)'!$V$6*Model!$AH$658*AVERAGE('Assumptions (Wind)'!$AE$2:$AF$2)/10^9),0)</f>
        <v>#NUM!</v>
      </c>
      <c r="AU746" s="105" t="e">
        <f>IF($AH$658&gt;0,PPMT('Assumptions (Wind)'!$V$8,Model!AJ1,'Assumptions (Wind)'!$V$11,'Assumptions (Wind)'!$V$6*Model!$AH$658*AVERAGE('Assumptions (Wind)'!$AE$2:$AF$2)/10^9),0)</f>
        <v>#NUM!</v>
      </c>
      <c r="AV746" s="105" t="e">
        <f>IF($AH$658&gt;0,PPMT('Assumptions (Wind)'!$V$8,Model!AK1,'Assumptions (Wind)'!$V$11,'Assumptions (Wind)'!$V$6*Model!$AH$658*AVERAGE('Assumptions (Wind)'!$AE$2:$AF$2)/10^9),0)</f>
        <v>#NUM!</v>
      </c>
      <c r="AW746" s="105"/>
      <c r="AX746" s="105"/>
      <c r="AY746" s="105"/>
      <c r="AZ746" s="105"/>
      <c r="BA746" s="105"/>
      <c r="BB746" s="105"/>
      <c r="BC746" s="105"/>
      <c r="BD746" s="105"/>
      <c r="BE746" s="105"/>
      <c r="BF746" s="105"/>
    </row>
    <row r="747" spans="1:64" ht="15.75" hidden="1" customHeight="1" outlineLevel="1">
      <c r="A747" s="395"/>
      <c r="B747" s="99"/>
      <c r="C747" s="99"/>
      <c r="D747" s="99"/>
      <c r="E747" s="99"/>
      <c r="F747" s="99"/>
      <c r="G747" s="99"/>
      <c r="H747" s="99"/>
      <c r="I747" s="99"/>
      <c r="J747" s="99"/>
      <c r="K747" s="99"/>
      <c r="L747" s="99"/>
      <c r="M747" s="99"/>
      <c r="N747" s="99"/>
      <c r="O747" s="99"/>
      <c r="P747" s="99"/>
      <c r="Q747" s="99"/>
      <c r="R747" s="99"/>
      <c r="S747" s="99"/>
      <c r="T747" s="99"/>
      <c r="U747" s="99"/>
      <c r="V747" s="99"/>
      <c r="W747" s="105"/>
      <c r="X747" s="105"/>
      <c r="Y747" s="105"/>
      <c r="Z747" s="105"/>
      <c r="AA747" s="105"/>
      <c r="AB747" s="105"/>
      <c r="AC747" s="105"/>
      <c r="AD747" s="105"/>
      <c r="AE747" s="105"/>
      <c r="AF747" s="105"/>
      <c r="AG747" s="105"/>
      <c r="AH747" s="105"/>
      <c r="AI747" s="91">
        <f>IF($AI$658&gt;0,PPMT('Assumptions (Wind)'!$V$8,Model!W1,'Assumptions (Wind)'!$V$11,'Assumptions (Wind)'!$V$6*Model!$AI$658*AVERAGE('Assumptions (Wind)'!$AF$2:$AG$2)/10^9),0)</f>
        <v>-4.8552903971964954</v>
      </c>
      <c r="AJ747" s="91">
        <f>IF($AI$658&gt;0,PPMT('Assumptions (Wind)'!$V$8,Model!X1,'Assumptions (Wind)'!$V$11,'Assumptions (Wind)'!$V$6*Model!$AI$658*AVERAGE('Assumptions (Wind)'!$AF$2:$AG$2)/10^9),0)</f>
        <v>-5.2437136289722153</v>
      </c>
      <c r="AK747" s="91">
        <f>IF($AI$658&gt;0,PPMT('Assumptions (Wind)'!$V$8,Model!Y1,'Assumptions (Wind)'!$V$11,'Assumptions (Wind)'!$V$6*Model!$AI$658*AVERAGE('Assumptions (Wind)'!$AF$2:$AG$2)/10^9),0)</f>
        <v>-5.6632107192899923</v>
      </c>
      <c r="AL747" s="91">
        <f>IF($AI$658&gt;0,PPMT('Assumptions (Wind)'!$V$8,Model!Z1,'Assumptions (Wind)'!$V$11,'Assumptions (Wind)'!$V$6*Model!$AI$658*AVERAGE('Assumptions (Wind)'!$AF$2:$AG$2)/10^9),0)</f>
        <v>-6.1162675768331916</v>
      </c>
      <c r="AM747" s="91">
        <f>IF($AI$658&gt;0,PPMT('Assumptions (Wind)'!$V$8,Model!AA1,'Assumptions (Wind)'!$V$11,'Assumptions (Wind)'!$V$6*Model!$AI$658*AVERAGE('Assumptions (Wind)'!$AF$2:$AG$2)/10^9),0)</f>
        <v>-6.6055689829798476</v>
      </c>
      <c r="AN747" s="91">
        <f>IF($AI$658&gt;0,PPMT('Assumptions (Wind)'!$V$8,Model!AB1,'Assumptions (Wind)'!$V$11,'Assumptions (Wind)'!$V$6*Model!$AI$658*AVERAGE('Assumptions (Wind)'!$AF$2:$AG$2)/10^9),0)</f>
        <v>-7.1340145016182337</v>
      </c>
      <c r="AO747" s="91">
        <f>IF($AI$658&gt;0,PPMT('Assumptions (Wind)'!$V$8,Model!AC1,'Assumptions (Wind)'!$V$11,'Assumptions (Wind)'!$V$6*Model!$AI$658*AVERAGE('Assumptions (Wind)'!$AF$2:$AG$2)/10^9),0)</f>
        <v>-7.7047356617476934</v>
      </c>
      <c r="AP747" s="91">
        <f>IF($AI$658&gt;0,PPMT('Assumptions (Wind)'!$V$8,Model!AD1,'Assumptions (Wind)'!$V$11,'Assumptions (Wind)'!$V$6*Model!$AI$658*AVERAGE('Assumptions (Wind)'!$AF$2:$AG$2)/10^9),0)</f>
        <v>-8.3211145146875083</v>
      </c>
      <c r="AQ747" s="91">
        <f>IF($AI$658&gt;0,PPMT('Assumptions (Wind)'!$V$8,Model!AE1,'Assumptions (Wind)'!$V$11,'Assumptions (Wind)'!$V$6*Model!$AI$658*AVERAGE('Assumptions (Wind)'!$AF$2:$AG$2)/10^9),0)</f>
        <v>-8.9868036758625092</v>
      </c>
      <c r="AR747" s="91">
        <f>IF($AI$658&gt;0,PPMT('Assumptions (Wind)'!$V$8,Model!AF1,'Assumptions (Wind)'!$V$11,'Assumptions (Wind)'!$V$6*Model!$AI$658*AVERAGE('Assumptions (Wind)'!$AF$2:$AG$2)/10^9),0)</f>
        <v>-9.7057479699315099</v>
      </c>
      <c r="AS747" s="105" t="e">
        <f>IF($AI$658&gt;0,PPMT('Assumptions (Wind)'!$V$8,Model!AG1,'Assumptions (Wind)'!$V$11,'Assumptions (Wind)'!$V$6*Model!$AI$658*AVERAGE('Assumptions (Wind)'!$AF$2:$AG$2)/10^9),0)</f>
        <v>#NUM!</v>
      </c>
      <c r="AT747" s="105" t="e">
        <f>IF($AI$658&gt;0,PPMT('Assumptions (Wind)'!$V$8,Model!AH1,'Assumptions (Wind)'!$V$11,'Assumptions (Wind)'!$V$6*Model!$AI$658*AVERAGE('Assumptions (Wind)'!$AF$2:$AG$2)/10^9),0)</f>
        <v>#NUM!</v>
      </c>
      <c r="AU747" s="105" t="e">
        <f>IF($AI$658&gt;0,PPMT('Assumptions (Wind)'!$V$8,Model!AI1,'Assumptions (Wind)'!$V$11,'Assumptions (Wind)'!$V$6*Model!$AI$658*AVERAGE('Assumptions (Wind)'!$AF$2:$AG$2)/10^9),0)</f>
        <v>#NUM!</v>
      </c>
      <c r="AV747" s="105" t="e">
        <f>IF($AI$658&gt;0,PPMT('Assumptions (Wind)'!$V$8,Model!AJ1,'Assumptions (Wind)'!$V$11,'Assumptions (Wind)'!$V$6*Model!$AI$658*AVERAGE('Assumptions (Wind)'!$AF$2:$AG$2)/10^9),0)</f>
        <v>#NUM!</v>
      </c>
      <c r="AW747" s="105" t="e">
        <f>IF($AI$658&gt;0,PPMT('Assumptions (Wind)'!$V$8,Model!AK1,'Assumptions (Wind)'!$V$11,'Assumptions (Wind)'!$V$6*Model!$AI$658*AVERAGE('Assumptions (Wind)'!$AF$2:$AG$2)/10^9),0)</f>
        <v>#NUM!</v>
      </c>
      <c r="AX747" s="105"/>
      <c r="AY747" s="105"/>
      <c r="AZ747" s="105"/>
      <c r="BA747" s="105"/>
      <c r="BB747" s="105"/>
      <c r="BC747" s="105"/>
      <c r="BD747" s="105"/>
      <c r="BE747" s="105"/>
      <c r="BF747" s="105"/>
      <c r="BG747" s="105"/>
    </row>
    <row r="748" spans="1:64" ht="15.75" hidden="1" customHeight="1" outlineLevel="1">
      <c r="A748" s="395"/>
      <c r="B748" s="99"/>
      <c r="C748" s="99"/>
      <c r="D748" s="99"/>
      <c r="E748" s="99"/>
      <c r="F748" s="99"/>
      <c r="G748" s="99"/>
      <c r="H748" s="99"/>
      <c r="I748" s="99"/>
      <c r="J748" s="99"/>
      <c r="K748" s="99"/>
      <c r="L748" s="99"/>
      <c r="M748" s="99"/>
      <c r="N748" s="99"/>
      <c r="O748" s="99"/>
      <c r="P748" s="99"/>
      <c r="Q748" s="99"/>
      <c r="R748" s="99"/>
      <c r="S748" s="99"/>
      <c r="T748" s="99"/>
      <c r="U748" s="99"/>
      <c r="V748" s="99"/>
      <c r="W748" s="105"/>
      <c r="X748" s="105"/>
      <c r="Y748" s="105"/>
      <c r="Z748" s="105"/>
      <c r="AA748" s="105"/>
      <c r="AB748" s="105"/>
      <c r="AC748" s="105"/>
      <c r="AD748" s="105"/>
      <c r="AE748" s="105"/>
      <c r="AF748" s="105"/>
      <c r="AG748" s="105"/>
      <c r="AH748" s="105"/>
      <c r="AI748" s="105"/>
      <c r="AJ748" s="91">
        <f>IF($AJ$658&gt;0,PPMT('Assumptions (Wind)'!$V$8,Model!W1,'Assumptions (Wind)'!$V$11,'Assumptions (Wind)'!$V$6*Model!$AJ$658*AVERAGE('Assumptions (Wind)'!$AG$2:$AH$2)/10^9),0)</f>
        <v>-5.0786917019813158</v>
      </c>
      <c r="AK748" s="91">
        <f>IF($AJ$658&gt;0,PPMT('Assumptions (Wind)'!$V$8,Model!X1,'Assumptions (Wind)'!$V$11,'Assumptions (Wind)'!$V$6*Model!$AJ$658*AVERAGE('Assumptions (Wind)'!$AG$2:$AH$2)/10^9),0)</f>
        <v>-5.4849870381398214</v>
      </c>
      <c r="AL748" s="91">
        <f>IF($AJ$658&gt;0,PPMT('Assumptions (Wind)'!$V$8,Model!Y1,'Assumptions (Wind)'!$V$11,'Assumptions (Wind)'!$V$6*Model!$AJ$658*AVERAGE('Assumptions (Wind)'!$AG$2:$AH$2)/10^9),0)</f>
        <v>-5.9237860011910062</v>
      </c>
      <c r="AM748" s="91">
        <f>IF($AJ$658&gt;0,PPMT('Assumptions (Wind)'!$V$8,Model!Z1,'Assumptions (Wind)'!$V$11,'Assumptions (Wind)'!$V$6*Model!$AJ$658*AVERAGE('Assumptions (Wind)'!$AG$2:$AH$2)/10^9),0)</f>
        <v>-6.397688881286288</v>
      </c>
      <c r="AN748" s="91">
        <f>IF($AJ$658&gt;0,PPMT('Assumptions (Wind)'!$V$8,Model!AA1,'Assumptions (Wind)'!$V$11,'Assumptions (Wind)'!$V$6*Model!$AJ$658*AVERAGE('Assumptions (Wind)'!$AG$2:$AH$2)/10^9),0)</f>
        <v>-6.9095039917891903</v>
      </c>
      <c r="AO748" s="91">
        <f>IF($AJ$658&gt;0,PPMT('Assumptions (Wind)'!$V$8,Model!AB1,'Assumptions (Wind)'!$V$11,'Assumptions (Wind)'!$V$6*Model!$AJ$658*AVERAGE('Assumptions (Wind)'!$AG$2:$AH$2)/10^9),0)</f>
        <v>-7.4622643111323246</v>
      </c>
      <c r="AP748" s="91">
        <f>IF($AJ$658&gt;0,PPMT('Assumptions (Wind)'!$V$8,Model!AC1,'Assumptions (Wind)'!$V$11,'Assumptions (Wind)'!$V$6*Model!$AJ$658*AVERAGE('Assumptions (Wind)'!$AG$2:$AH$2)/10^9),0)</f>
        <v>-8.0592454560229108</v>
      </c>
      <c r="AQ748" s="91">
        <f>IF($AJ$658&gt;0,PPMT('Assumptions (Wind)'!$V$8,Model!AD1,'Assumptions (Wind)'!$V$11,'Assumptions (Wind)'!$V$6*Model!$AJ$658*AVERAGE('Assumptions (Wind)'!$AG$2:$AH$2)/10^9),0)</f>
        <v>-8.7039850925047446</v>
      </c>
      <c r="AR748" s="91">
        <f>IF($AJ$658&gt;0,PPMT('Assumptions (Wind)'!$V$8,Model!AE1,'Assumptions (Wind)'!$V$11,'Assumptions (Wind)'!$V$6*Model!$AJ$658*AVERAGE('Assumptions (Wind)'!$AG$2:$AH$2)/10^9),0)</f>
        <v>-9.4003038999051238</v>
      </c>
      <c r="AS748" s="91">
        <f>IF($AJ$658&gt;0,PPMT('Assumptions (Wind)'!$V$8,Model!AF1,'Assumptions (Wind)'!$V$11,'Assumptions (Wind)'!$V$6*Model!$AJ$658*AVERAGE('Assumptions (Wind)'!$AG$2:$AH$2)/10^9),0)</f>
        <v>-10.152328211897535</v>
      </c>
      <c r="AT748" s="91" t="e">
        <f>IF($AJ$658&gt;0,PPMT('Assumptions (Wind)'!$V$8,Model!AG1,'Assumptions (Wind)'!$V$11,'Assumptions (Wind)'!$V$6*Model!$AJ$658*AVERAGE('Assumptions (Wind)'!$AG$2:$AH$2)/10^9),0)</f>
        <v>#NUM!</v>
      </c>
      <c r="AU748" s="91" t="e">
        <f>IF($AJ$658&gt;0,PPMT('Assumptions (Wind)'!$V$8,Model!AH1,'Assumptions (Wind)'!$V$11,'Assumptions (Wind)'!$V$6*Model!$AJ$658*AVERAGE('Assumptions (Wind)'!$AG$2:$AH$2)/10^9),0)</f>
        <v>#NUM!</v>
      </c>
      <c r="AV748" s="91" t="e">
        <f>IF($AJ$658&gt;0,PPMT('Assumptions (Wind)'!$V$8,Model!AI1,'Assumptions (Wind)'!$V$11,'Assumptions (Wind)'!$V$6*Model!$AJ$658*AVERAGE('Assumptions (Wind)'!$AG$2:$AH$2)/10^9),0)</f>
        <v>#NUM!</v>
      </c>
      <c r="AW748" s="91" t="e">
        <f>IF($AJ$658&gt;0,PPMT('Assumptions (Wind)'!$V$8,Model!AJ1,'Assumptions (Wind)'!$V$11,'Assumptions (Wind)'!$V$6*Model!$AJ$658*AVERAGE('Assumptions (Wind)'!$AG$2:$AH$2)/10^9),0)</f>
        <v>#NUM!</v>
      </c>
      <c r="AX748" s="91" t="e">
        <f>IF($AJ$658&gt;0,PPMT('Assumptions (Wind)'!$V$8,Model!AK1,'Assumptions (Wind)'!$V$11,'Assumptions (Wind)'!$V$6*Model!$AJ$658*AVERAGE('Assumptions (Wind)'!$AG$2:$AH$2)/10^9),0)</f>
        <v>#NUM!</v>
      </c>
      <c r="AY748" s="91"/>
      <c r="AZ748" s="91"/>
      <c r="BA748" s="91"/>
      <c r="BB748" s="91"/>
      <c r="BC748" s="91"/>
      <c r="BD748" s="91"/>
      <c r="BE748" s="91"/>
      <c r="BF748" s="91"/>
      <c r="BG748" s="91"/>
      <c r="BH748" s="91"/>
    </row>
    <row r="749" spans="1:64" ht="15.75" hidden="1" customHeight="1" outlineLevel="1">
      <c r="A749" s="395"/>
      <c r="B749" s="99"/>
      <c r="C749" s="99"/>
      <c r="D749" s="99"/>
      <c r="E749" s="99"/>
      <c r="F749" s="99"/>
      <c r="G749" s="99"/>
      <c r="H749" s="99"/>
      <c r="I749" s="99"/>
      <c r="J749" s="99"/>
      <c r="K749" s="99"/>
      <c r="L749" s="99"/>
      <c r="M749" s="99"/>
      <c r="N749" s="99"/>
      <c r="O749" s="99"/>
      <c r="P749" s="99"/>
      <c r="Q749" s="99"/>
      <c r="R749" s="99"/>
      <c r="S749" s="99"/>
      <c r="T749" s="99"/>
      <c r="U749" s="99"/>
      <c r="V749" s="99"/>
      <c r="W749" s="105"/>
      <c r="X749" s="105"/>
      <c r="Y749" s="105"/>
      <c r="Z749" s="105"/>
      <c r="AA749" s="105"/>
      <c r="AB749" s="105"/>
      <c r="AC749" s="105"/>
      <c r="AD749" s="105"/>
      <c r="AE749" s="105"/>
      <c r="AF749" s="105"/>
      <c r="AG749" s="105"/>
      <c r="AH749" s="105"/>
      <c r="AI749" s="105"/>
      <c r="AJ749" s="171"/>
      <c r="AK749" s="105">
        <f>IF($AK$658&gt;0,PPMT('Assumptions (Wind)'!$V$8,Model!W1,'Assumptions (Wind)'!$V$11,'Assumptions (Wind)'!$V$6*Model!$AK$658*AVERAGE('Assumptions (Wind)'!$AH$2:$AI$2)/10^9),0)</f>
        <v>-5.1025630374193209</v>
      </c>
      <c r="AL749" s="105">
        <f>IF($AK$658&gt;0,PPMT('Assumptions (Wind)'!$V$8,Model!X1,'Assumptions (Wind)'!$V$11,'Assumptions (Wind)'!$V$6*Model!$AK$658*AVERAGE('Assumptions (Wind)'!$AH$2:$AI$2)/10^9),0)</f>
        <v>-5.5107680804128663</v>
      </c>
      <c r="AM749" s="105">
        <f>IF($AK$658&gt;0,PPMT('Assumptions (Wind)'!$V$8,Model!Y1,'Assumptions (Wind)'!$V$11,'Assumptions (Wind)'!$V$6*Model!$AK$658*AVERAGE('Assumptions (Wind)'!$AH$2:$AI$2)/10^9),0)</f>
        <v>-5.9516295268458954</v>
      </c>
      <c r="AN749" s="105">
        <f>IF($AK$658&gt;0,PPMT('Assumptions (Wind)'!$V$8,Model!Z1,'Assumptions (Wind)'!$V$11,'Assumptions (Wind)'!$V$6*Model!$AK$658*AVERAGE('Assumptions (Wind)'!$AH$2:$AI$2)/10^9),0)</f>
        <v>-6.4277598889935676</v>
      </c>
      <c r="AO749" s="105">
        <f>IF($AK$658&gt;0,PPMT('Assumptions (Wind)'!$V$8,Model!AA1,'Assumptions (Wind)'!$V$11,'Assumptions (Wind)'!$V$6*Model!$AK$658*AVERAGE('Assumptions (Wind)'!$AH$2:$AI$2)/10^9),0)</f>
        <v>-6.9419806801130539</v>
      </c>
      <c r="AP749" s="105">
        <f>IF($AK$658&gt;0,PPMT('Assumptions (Wind)'!$V$8,Model!AB1,'Assumptions (Wind)'!$V$11,'Assumptions (Wind)'!$V$6*Model!$AK$658*AVERAGE('Assumptions (Wind)'!$AH$2:$AI$2)/10^9),0)</f>
        <v>-7.4973391345220968</v>
      </c>
      <c r="AQ749" s="105">
        <f>IF($AK$658&gt;0,PPMT('Assumptions (Wind)'!$V$8,Model!AC1,'Assumptions (Wind)'!$V$11,'Assumptions (Wind)'!$V$6*Model!$AK$658*AVERAGE('Assumptions (Wind)'!$AH$2:$AI$2)/10^9),0)</f>
        <v>-8.0971262652838636</v>
      </c>
      <c r="AR749" s="105">
        <f>IF($AK$658&gt;0,PPMT('Assumptions (Wind)'!$V$8,Model!AD1,'Assumptions (Wind)'!$V$11,'Assumptions (Wind)'!$V$6*Model!$AK$658*AVERAGE('Assumptions (Wind)'!$AH$2:$AI$2)/10^9),0)</f>
        <v>-8.7448963665065751</v>
      </c>
      <c r="AS749" s="105">
        <f>IF($AK$658&gt;0,PPMT('Assumptions (Wind)'!$V$8,Model!AE1,'Assumptions (Wind)'!$V$11,'Assumptions (Wind)'!$V$6*Model!$AK$658*AVERAGE('Assumptions (Wind)'!$AH$2:$AI$2)/10^9),0)</f>
        <v>-9.444488075827099</v>
      </c>
      <c r="AT749" s="105">
        <f>IF($AK$658&gt;0,PPMT('Assumptions (Wind)'!$V$8,Model!AF1,'Assumptions (Wind)'!$V$11,'Assumptions (Wind)'!$V$6*Model!$AK$658*AVERAGE('Assumptions (Wind)'!$AH$2:$AI$2)/10^9),0)</f>
        <v>-10.200047121893268</v>
      </c>
      <c r="AU749" s="105" t="e">
        <f>IF($AK$658&gt;0,PPMT('Assumptions (Wind)'!$V$8,Model!AG1,'Assumptions (Wind)'!$V$11,'Assumptions (Wind)'!$V$6*Model!$AK$658*AVERAGE('Assumptions (Wind)'!$AH$2:$AI$2)/10^9),0)</f>
        <v>#NUM!</v>
      </c>
      <c r="AV749" s="105" t="e">
        <f>IF($AK$658&gt;0,PPMT('Assumptions (Wind)'!$V$8,Model!AH1,'Assumptions (Wind)'!$V$11,'Assumptions (Wind)'!$V$6*Model!$AK$658*AVERAGE('Assumptions (Wind)'!$AH$2:$AI$2)/10^9),0)</f>
        <v>#NUM!</v>
      </c>
      <c r="AW749" s="105" t="e">
        <f>IF($AK$658&gt;0,PPMT('Assumptions (Wind)'!$V$8,Model!AI1,'Assumptions (Wind)'!$V$11,'Assumptions (Wind)'!$V$6*Model!$AK$658*AVERAGE('Assumptions (Wind)'!$AH$2:$AI$2)/10^9),0)</f>
        <v>#NUM!</v>
      </c>
      <c r="AX749" s="105" t="e">
        <f>IF($AK$658&gt;0,PPMT('Assumptions (Wind)'!$V$8,Model!AJ1,'Assumptions (Wind)'!$V$11,'Assumptions (Wind)'!$V$6*Model!$AK$658*AVERAGE('Assumptions (Wind)'!$AH$2:$AI$2)/10^9),0)</f>
        <v>#NUM!</v>
      </c>
      <c r="AY749" s="105" t="e">
        <f>IF($AK$658&gt;0,PPMT('Assumptions (Wind)'!$V$8,Model!AK1,'Assumptions (Wind)'!$V$11,'Assumptions (Wind)'!$V$6*Model!$AK$658*AVERAGE('Assumptions (Wind)'!$AH$2:$AI$2)/10^9),0)</f>
        <v>#NUM!</v>
      </c>
      <c r="AZ749" s="105"/>
      <c r="BA749" s="105"/>
      <c r="BB749" s="105"/>
      <c r="BC749" s="105"/>
      <c r="BD749" s="105"/>
      <c r="BE749" s="105"/>
      <c r="BF749" s="105"/>
      <c r="BG749" s="105"/>
      <c r="BH749" s="105"/>
      <c r="BI749" s="105"/>
    </row>
    <row r="750" spans="1:64" ht="15.75" hidden="1" customHeight="1" outlineLevel="1">
      <c r="A750" s="395"/>
      <c r="B750" s="99"/>
      <c r="C750" s="99"/>
      <c r="D750" s="99"/>
      <c r="E750" s="99"/>
      <c r="F750" s="99"/>
      <c r="G750" s="99"/>
      <c r="H750" s="99"/>
      <c r="I750" s="99"/>
      <c r="J750" s="99"/>
      <c r="K750" s="99"/>
      <c r="L750" s="99"/>
      <c r="M750" s="99"/>
      <c r="N750" s="99"/>
      <c r="O750" s="99"/>
      <c r="P750" s="99"/>
      <c r="Q750" s="99"/>
      <c r="R750" s="99"/>
      <c r="S750" s="99"/>
      <c r="T750" s="99"/>
      <c r="U750" s="99"/>
      <c r="V750" s="99"/>
      <c r="W750" s="105"/>
      <c r="X750" s="105"/>
      <c r="Y750" s="105"/>
      <c r="Z750" s="105"/>
      <c r="AA750" s="105"/>
      <c r="AB750" s="105"/>
      <c r="AC750" s="105"/>
      <c r="AD750" s="105"/>
      <c r="AE750" s="105"/>
      <c r="AF750" s="105"/>
      <c r="AG750" s="105"/>
      <c r="AH750" s="105"/>
      <c r="AI750" s="105"/>
      <c r="AJ750" s="171"/>
      <c r="AK750" s="105"/>
      <c r="AL750" s="91">
        <f>IF($AL$658&gt;0,PPMT('Assumptions (Wind)'!$V$8,Model!W1,'Assumptions (Wind)'!$V$11,'Assumptions (Wind)'!$V$6*Model!$AL$658*AVERAGE('Assumptions (Wind)'!$AI$2:$AJ$2)/10^9),0)</f>
        <v>-5.2932858683504049</v>
      </c>
      <c r="AM750" s="91">
        <f>IF($AL$658&gt;0,PPMT('Assumptions (Wind)'!$V$8,Model!X1,'Assumptions (Wind)'!$V$11,'Assumptions (Wind)'!$V$6*Model!$AL$658*AVERAGE('Assumptions (Wind)'!$AI$2:$AJ$2)/10^9),0)</f>
        <v>-5.7167487378184374</v>
      </c>
      <c r="AN750" s="91">
        <f>IF($AL$658&gt;0,PPMT('Assumptions (Wind)'!$V$8,Model!Y1,'Assumptions (Wind)'!$V$11,'Assumptions (Wind)'!$V$6*Model!$AL$658*AVERAGE('Assumptions (Wind)'!$AI$2:$AJ$2)/10^9),0)</f>
        <v>-6.1740886368439121</v>
      </c>
      <c r="AO750" s="91">
        <f>IF($AL$658&gt;0,PPMT('Assumptions (Wind)'!$V$8,Model!Z1,'Assumptions (Wind)'!$V$11,'Assumptions (Wind)'!$V$6*Model!$AL$658*AVERAGE('Assumptions (Wind)'!$AI$2:$AJ$2)/10^9),0)</f>
        <v>-6.6680157277914258</v>
      </c>
      <c r="AP750" s="91">
        <f>IF($AL$658&gt;0,PPMT('Assumptions (Wind)'!$V$8,Model!AA1,'Assumptions (Wind)'!$V$11,'Assumptions (Wind)'!$V$6*Model!$AL$658*AVERAGE('Assumptions (Wind)'!$AI$2:$AJ$2)/10^9),0)</f>
        <v>-7.2014569860147404</v>
      </c>
      <c r="AQ750" s="91">
        <f>IF($AL$658&gt;0,PPMT('Assumptions (Wind)'!$V$8,Model!AB1,'Assumptions (Wind)'!$V$11,'Assumptions (Wind)'!$V$6*Model!$AL$658*AVERAGE('Assumptions (Wind)'!$AI$2:$AJ$2)/10^9),0)</f>
        <v>-7.7775735448959189</v>
      </c>
      <c r="AR750" s="91">
        <f>IF($AL$658&gt;0,PPMT('Assumptions (Wind)'!$V$8,Model!AC1,'Assumptions (Wind)'!$V$11,'Assumptions (Wind)'!$V$6*Model!$AL$658*AVERAGE('Assumptions (Wind)'!$AI$2:$AJ$2)/10^9),0)</f>
        <v>-8.3997794284875926</v>
      </c>
      <c r="AS750" s="91">
        <f>IF($AL$658&gt;0,PPMT('Assumptions (Wind)'!$V$8,Model!AD1,'Assumptions (Wind)'!$V$11,'Assumptions (Wind)'!$V$6*Model!$AL$658*AVERAGE('Assumptions (Wind)'!$AI$2:$AJ$2)/10^9),0)</f>
        <v>-9.0717617827665986</v>
      </c>
      <c r="AT750" s="91">
        <f>IF($AL$658&gt;0,PPMT('Assumptions (Wind)'!$V$8,Model!AE1,'Assumptions (Wind)'!$V$11,'Assumptions (Wind)'!$V$6*Model!$AL$658*AVERAGE('Assumptions (Wind)'!$AI$2:$AJ$2)/10^9),0)</f>
        <v>-9.7975027253879272</v>
      </c>
      <c r="AU750" s="91">
        <f>IF($AL$658&gt;0,PPMT('Assumptions (Wind)'!$V$8,Model!AF1,'Assumptions (Wind)'!$V$11,'Assumptions (Wind)'!$V$6*Model!$AL$658*AVERAGE('Assumptions (Wind)'!$AI$2:$AJ$2)/10^9),0)</f>
        <v>-10.581302943418962</v>
      </c>
      <c r="AV750" s="91" t="e">
        <f>IF($AL$658&gt;0,PPMT('Assumptions (Wind)'!$V$8,Model!AG1,'Assumptions (Wind)'!$V$11,'Assumptions (Wind)'!$V$6*Model!$AL$658*AVERAGE('Assumptions (Wind)'!$AI$2:$AJ$2)/10^9),0)</f>
        <v>#NUM!</v>
      </c>
      <c r="AW750" s="91" t="e">
        <f>IF($AL$658&gt;0,PPMT('Assumptions (Wind)'!$V$8,Model!AH1,'Assumptions (Wind)'!$V$11,'Assumptions (Wind)'!$V$6*Model!$AL$658*AVERAGE('Assumptions (Wind)'!$AI$2:$AJ$2)/10^9),0)</f>
        <v>#NUM!</v>
      </c>
      <c r="AX750" s="91" t="e">
        <f>IF($AL$658&gt;0,PPMT('Assumptions (Wind)'!$V$8,Model!AI1,'Assumptions (Wind)'!$V$11,'Assumptions (Wind)'!$V$6*Model!$AL$658*AVERAGE('Assumptions (Wind)'!$AI$2:$AJ$2)/10^9),0)</f>
        <v>#NUM!</v>
      </c>
      <c r="AY750" s="91" t="e">
        <f>IF($AL$658&gt;0,PPMT('Assumptions (Wind)'!$V$8,Model!AJ1,'Assumptions (Wind)'!$V$11,'Assumptions (Wind)'!$V$6*Model!$AL$658*AVERAGE('Assumptions (Wind)'!$AI$2:$AJ$2)/10^9),0)</f>
        <v>#NUM!</v>
      </c>
      <c r="AZ750" s="91" t="e">
        <f>IF($AL$658&gt;0,PPMT('Assumptions (Wind)'!$V$8,Model!AK1,'Assumptions (Wind)'!$V$11,'Assumptions (Wind)'!$V$6*Model!$AL$658*AVERAGE('Assumptions (Wind)'!$AI$2:$AJ$2)/10^9),0)</f>
        <v>#NUM!</v>
      </c>
      <c r="BA750" s="91"/>
      <c r="BB750" s="91"/>
      <c r="BC750" s="91"/>
      <c r="BD750" s="91"/>
      <c r="BE750" s="91"/>
      <c r="BF750" s="91"/>
      <c r="BG750" s="91"/>
      <c r="BH750" s="91"/>
      <c r="BI750" s="91"/>
      <c r="BJ750" s="91"/>
    </row>
    <row r="751" spans="1:64" ht="15.75" hidden="1" customHeight="1" outlineLevel="1">
      <c r="A751" s="395"/>
      <c r="B751" s="99"/>
      <c r="C751" s="99"/>
      <c r="D751" s="99"/>
      <c r="E751" s="99"/>
      <c r="F751" s="99"/>
      <c r="G751" s="99"/>
      <c r="H751" s="99"/>
      <c r="I751" s="99"/>
      <c r="J751" s="99"/>
      <c r="K751" s="99"/>
      <c r="L751" s="99"/>
      <c r="M751" s="99"/>
      <c r="N751" s="99"/>
      <c r="O751" s="99"/>
      <c r="P751" s="99"/>
      <c r="Q751" s="99"/>
      <c r="R751" s="99"/>
      <c r="S751" s="99"/>
      <c r="T751" s="99"/>
      <c r="U751" s="99"/>
      <c r="V751" s="99"/>
      <c r="W751" s="105"/>
      <c r="X751" s="105"/>
      <c r="Y751" s="105"/>
      <c r="Z751" s="105"/>
      <c r="AA751" s="105"/>
      <c r="AB751" s="105"/>
      <c r="AC751" s="105"/>
      <c r="AD751" s="105"/>
      <c r="AE751" s="105"/>
      <c r="AF751" s="105"/>
      <c r="AG751" s="105"/>
      <c r="AH751" s="105"/>
      <c r="AI751" s="105"/>
      <c r="AJ751" s="171"/>
      <c r="AK751" s="105"/>
      <c r="AL751" s="91"/>
      <c r="AM751" s="105">
        <f>IF($AM$658&gt;0,PPMT('Assumptions (Wind)'!$V$8,Model!W1,'Assumptions (Wind)'!$V$11,'Assumptions (Wind)'!$V$6*Model!$AM$658*AVERAGE('Assumptions (Wind)'!$AJ$2:$AK$2)/10^9),0)</f>
        <v>-5.2864177309744314</v>
      </c>
      <c r="AN751" s="105">
        <f>IF($AM$658&gt;0,PPMT('Assumptions (Wind)'!$V$8,Model!X1,'Assumptions (Wind)'!$V$11,'Assumptions (Wind)'!$V$6*Model!$AM$658*AVERAGE('Assumptions (Wind)'!$AJ$2:$AK$2)/10^9),0)</f>
        <v>-5.7093311494523862</v>
      </c>
      <c r="AO751" s="105">
        <f>IF($AM$658&gt;0,PPMT('Assumptions (Wind)'!$V$8,Model!Y1,'Assumptions (Wind)'!$V$11,'Assumptions (Wind)'!$V$6*Model!$AM$658*AVERAGE('Assumptions (Wind)'!$AJ$2:$AK$2)/10^9),0)</f>
        <v>-6.1660776414085756</v>
      </c>
      <c r="AP751" s="105">
        <f>IF($AM$658&gt;0,PPMT('Assumptions (Wind)'!$V$8,Model!Z1,'Assumptions (Wind)'!$V$11,'Assumptions (Wind)'!$V$6*Model!$AM$658*AVERAGE('Assumptions (Wind)'!$AJ$2:$AK$2)/10^9),0)</f>
        <v>-6.6593638527212624</v>
      </c>
      <c r="AQ751" s="105">
        <f>IF($AM$658&gt;0,PPMT('Assumptions (Wind)'!$V$8,Model!AA1,'Assumptions (Wind)'!$V$11,'Assumptions (Wind)'!$V$6*Model!$AM$658*AVERAGE('Assumptions (Wind)'!$AJ$2:$AK$2)/10^9),0)</f>
        <v>-7.1921129609389638</v>
      </c>
      <c r="AR751" s="105">
        <f>IF($AM$658&gt;0,PPMT('Assumptions (Wind)'!$V$8,Model!AB1,'Assumptions (Wind)'!$V$11,'Assumptions (Wind)'!$V$6*Model!$AM$658*AVERAGE('Assumptions (Wind)'!$AJ$2:$AK$2)/10^9),0)</f>
        <v>-7.7674819978140794</v>
      </c>
      <c r="AS751" s="105">
        <f>IF($AM$658&gt;0,PPMT('Assumptions (Wind)'!$V$8,Model!AC1,'Assumptions (Wind)'!$V$11,'Assumptions (Wind)'!$V$6*Model!$AM$658*AVERAGE('Assumptions (Wind)'!$AJ$2:$AK$2)/10^9),0)</f>
        <v>-8.3888805576392063</v>
      </c>
      <c r="AT751" s="105">
        <f>IF($AM$658&gt;0,PPMT('Assumptions (Wind)'!$V$8,Model!AD1,'Assumptions (Wind)'!$V$11,'Assumptions (Wind)'!$V$6*Model!$AM$658*AVERAGE('Assumptions (Wind)'!$AJ$2:$AK$2)/10^9),0)</f>
        <v>-9.0599910022503423</v>
      </c>
      <c r="AU751" s="105">
        <f>IF($AM$658&gt;0,PPMT('Assumptions (Wind)'!$V$8,Model!AE1,'Assumptions (Wind)'!$V$11,'Assumptions (Wind)'!$V$6*Model!$AM$658*AVERAGE('Assumptions (Wind)'!$AJ$2:$AK$2)/10^9),0)</f>
        <v>-9.7847902824303699</v>
      </c>
      <c r="AV751" s="105">
        <f>IF($AM$658&gt;0,PPMT('Assumptions (Wind)'!$V$8,Model!AF1,'Assumptions (Wind)'!$V$11,'Assumptions (Wind)'!$V$6*Model!$AM$658*AVERAGE('Assumptions (Wind)'!$AJ$2:$AK$2)/10^9),0)</f>
        <v>-10.5675735050248</v>
      </c>
      <c r="AW751" s="105" t="e">
        <f>IF($AM$658&gt;0,PPMT('Assumptions (Wind)'!$V$8,Model!AG1,'Assumptions (Wind)'!$V$11,'Assumptions (Wind)'!$V$6*Model!$AM$658*AVERAGE('Assumptions (Wind)'!$AJ$2:$AK$2)/10^9),0)</f>
        <v>#NUM!</v>
      </c>
      <c r="AX751" s="105" t="e">
        <f>IF($AM$658&gt;0,PPMT('Assumptions (Wind)'!$V$8,Model!AH1,'Assumptions (Wind)'!$V$11,'Assumptions (Wind)'!$V$6*Model!$AM$658*AVERAGE('Assumptions (Wind)'!$AJ$2:$AK$2)/10^9),0)</f>
        <v>#NUM!</v>
      </c>
      <c r="AY751" s="105" t="e">
        <f>IF($AM$658&gt;0,PPMT('Assumptions (Wind)'!$V$8,Model!AI1,'Assumptions (Wind)'!$V$11,'Assumptions (Wind)'!$V$6*Model!$AM$658*AVERAGE('Assumptions (Wind)'!$AJ$2:$AK$2)/10^9),0)</f>
        <v>#NUM!</v>
      </c>
      <c r="AZ751" s="105" t="e">
        <f>IF($AM$658&gt;0,PPMT('Assumptions (Wind)'!$V$8,Model!AJ1,'Assumptions (Wind)'!$V$11,'Assumptions (Wind)'!$V$6*Model!$AM$658*AVERAGE('Assumptions (Wind)'!$AJ$2:$AK$2)/10^9),0)</f>
        <v>#NUM!</v>
      </c>
      <c r="BA751" s="105" t="e">
        <f>IF($AM$658&gt;0,PPMT('Assumptions (Wind)'!$V$8,Model!AK1,'Assumptions (Wind)'!$V$11,'Assumptions (Wind)'!$V$6*Model!$AM$658*AVERAGE('Assumptions (Wind)'!$AJ$2:$AK$2)/10^9),0)</f>
        <v>#NUM!</v>
      </c>
      <c r="BB751" s="105"/>
      <c r="BC751" s="105"/>
      <c r="BD751" s="105"/>
      <c r="BE751" s="105"/>
      <c r="BF751" s="105"/>
      <c r="BG751" s="105"/>
      <c r="BH751" s="105"/>
      <c r="BI751" s="105"/>
      <c r="BJ751" s="105"/>
      <c r="BK751" s="105"/>
    </row>
    <row r="752" spans="1:64" ht="15.75" hidden="1" customHeight="1" outlineLevel="1">
      <c r="A752" s="395"/>
      <c r="B752" s="99"/>
      <c r="C752" s="99"/>
      <c r="D752" s="99"/>
      <c r="E752" s="99"/>
      <c r="F752" s="99"/>
      <c r="G752" s="99"/>
      <c r="H752" s="99"/>
      <c r="I752" s="99"/>
      <c r="J752" s="99"/>
      <c r="K752" s="99"/>
      <c r="L752" s="99"/>
      <c r="M752" s="99"/>
      <c r="N752" s="99"/>
      <c r="O752" s="99"/>
      <c r="P752" s="99"/>
      <c r="Q752" s="99"/>
      <c r="R752" s="99"/>
      <c r="S752" s="99"/>
      <c r="T752" s="99"/>
      <c r="U752" s="99"/>
      <c r="V752" s="99"/>
      <c r="W752" s="105"/>
      <c r="X752" s="105"/>
      <c r="Y752" s="105"/>
      <c r="Z752" s="105"/>
      <c r="AA752" s="105"/>
      <c r="AB752" s="105"/>
      <c r="AC752" s="105"/>
      <c r="AD752" s="105"/>
      <c r="AE752" s="105"/>
      <c r="AF752" s="105"/>
      <c r="AG752" s="105"/>
      <c r="AH752" s="105"/>
      <c r="AI752" s="105"/>
      <c r="AJ752" s="171"/>
      <c r="AK752" s="105"/>
      <c r="AL752" s="91"/>
      <c r="AM752" s="91"/>
      <c r="AN752" s="105">
        <f>IF($AN$658&gt;0,PPMT('Assumptions (Wind)'!$V$8,Model!W1,'Assumptions (Wind)'!$V$11,'Assumptions (Wind)'!$V$6*Model!$AN$658*AVERAGE('Assumptions (Wind)'!$AK$2:$AL$2)/10^9),0)</f>
        <v>-5.5562888097288212</v>
      </c>
      <c r="AO752" s="105">
        <f>IF($AN$658&gt;0,PPMT('Assumptions (Wind)'!$V$8,Model!X1,'Assumptions (Wind)'!$V$11,'Assumptions (Wind)'!$V$6*Model!$AN$658*AVERAGE('Assumptions (Wind)'!$AK$2:$AL$2)/10^9),0)</f>
        <v>-6.0007919145071273</v>
      </c>
      <c r="AP752" s="105">
        <f>IF($AN$658&gt;0,PPMT('Assumptions (Wind)'!$V$8,Model!Y1,'Assumptions (Wind)'!$V$11,'Assumptions (Wind)'!$V$6*Model!$AN$658*AVERAGE('Assumptions (Wind)'!$AK$2:$AL$2)/10^9),0)</f>
        <v>-6.4808552676676969</v>
      </c>
      <c r="AQ752" s="105">
        <f>IF($AN$658&gt;0,PPMT('Assumptions (Wind)'!$V$8,Model!Z1,'Assumptions (Wind)'!$V$11,'Assumptions (Wind)'!$V$6*Model!$AN$658*AVERAGE('Assumptions (Wind)'!$AK$2:$AL$2)/10^9),0)</f>
        <v>-6.9993236890811135</v>
      </c>
      <c r="AR752" s="105">
        <f>IF($AN$658&gt;0,PPMT('Assumptions (Wind)'!$V$8,Model!AA1,'Assumptions (Wind)'!$V$11,'Assumptions (Wind)'!$V$6*Model!$AN$658*AVERAGE('Assumptions (Wind)'!$AK$2:$AL$2)/10^9),0)</f>
        <v>-7.5592695842076036</v>
      </c>
      <c r="AS752" s="105">
        <f>IF($AN$658&gt;0,PPMT('Assumptions (Wind)'!$V$8,Model!AB1,'Assumptions (Wind)'!$V$11,'Assumptions (Wind)'!$V$6*Model!$AN$658*AVERAGE('Assumptions (Wind)'!$AK$2:$AL$2)/10^9),0)</f>
        <v>-8.1640111509442104</v>
      </c>
      <c r="AT752" s="105">
        <f>IF($AN$658&gt;0,PPMT('Assumptions (Wind)'!$V$8,Model!AC1,'Assumptions (Wind)'!$V$11,'Assumptions (Wind)'!$V$6*Model!$AN$658*AVERAGE('Assumptions (Wind)'!$AK$2:$AL$2)/10^9),0)</f>
        <v>-8.8171320430197486</v>
      </c>
      <c r="AU752" s="105">
        <f>IF($AN$658&gt;0,PPMT('Assumptions (Wind)'!$V$8,Model!AD1,'Assumptions (Wind)'!$V$11,'Assumptions (Wind)'!$V$6*Model!$AN$658*AVERAGE('Assumptions (Wind)'!$AK$2:$AL$2)/10^9),0)</f>
        <v>-9.5225026064613267</v>
      </c>
      <c r="AV752" s="105">
        <f>IF($AN$658&gt;0,PPMT('Assumptions (Wind)'!$V$8,Model!AE1,'Assumptions (Wind)'!$V$11,'Assumptions (Wind)'!$V$6*Model!$AN$658*AVERAGE('Assumptions (Wind)'!$AK$2:$AL$2)/10^9),0)</f>
        <v>-10.284302814978233</v>
      </c>
      <c r="AW752" s="105">
        <f>IF($AN$658&gt;0,PPMT('Assumptions (Wind)'!$V$8,Model!AF1,'Assumptions (Wind)'!$V$11,'Assumptions (Wind)'!$V$6*Model!$AN$658*AVERAGE('Assumptions (Wind)'!$AK$2:$AL$2)/10^9),0)</f>
        <v>-11.107047040176493</v>
      </c>
      <c r="AX752" s="105" t="e">
        <f>IF($AN$658&gt;0,PPMT('Assumptions (Wind)'!$V$8,Model!AG1,'Assumptions (Wind)'!$V$11,'Assumptions (Wind)'!$V$6*Model!$AN$658*AVERAGE('Assumptions (Wind)'!$AK$2:$AL$2)/10^9),0)</f>
        <v>#NUM!</v>
      </c>
      <c r="AY752" s="105" t="e">
        <f>IF($AN$658&gt;0,PPMT('Assumptions (Wind)'!$V$8,Model!AH1,'Assumptions (Wind)'!$V$11,'Assumptions (Wind)'!$V$6*Model!$AN$658*AVERAGE('Assumptions (Wind)'!$AK$2:$AL$2)/10^9),0)</f>
        <v>#NUM!</v>
      </c>
      <c r="AZ752" s="105" t="e">
        <f>IF($AN$658&gt;0,PPMT('Assumptions (Wind)'!$V$8,Model!AI1,'Assumptions (Wind)'!$V$11,'Assumptions (Wind)'!$V$6*Model!$AN$658*AVERAGE('Assumptions (Wind)'!$AK$2:$AL$2)/10^9),0)</f>
        <v>#NUM!</v>
      </c>
      <c r="BA752" s="105" t="e">
        <f>IF($AN$658&gt;0,PPMT('Assumptions (Wind)'!$V$8,Model!AJ1,'Assumptions (Wind)'!$V$11,'Assumptions (Wind)'!$V$6*Model!$AN$658*AVERAGE('Assumptions (Wind)'!$AK$2:$AL$2)/10^9),0)</f>
        <v>#NUM!</v>
      </c>
      <c r="BB752" s="105" t="e">
        <f>IF($AN$658&gt;0,PPMT('Assumptions (Wind)'!$V$8,Model!AK1,'Assumptions (Wind)'!$V$11,'Assumptions (Wind)'!$V$6*Model!$AN$658*AVERAGE('Assumptions (Wind)'!$AK$2:$AL$2)/10^9),0)</f>
        <v>#NUM!</v>
      </c>
      <c r="BC752" s="105"/>
      <c r="BD752" s="105"/>
      <c r="BE752" s="105"/>
      <c r="BF752" s="105"/>
      <c r="BG752" s="105"/>
      <c r="BH752" s="105"/>
      <c r="BI752" s="105"/>
      <c r="BJ752" s="105"/>
      <c r="BK752" s="105"/>
      <c r="BL752" s="105"/>
    </row>
    <row r="753" spans="1:77" ht="15.75" hidden="1" customHeight="1" outlineLevel="1">
      <c r="A753" s="395"/>
      <c r="B753" s="99"/>
      <c r="C753" s="99"/>
      <c r="D753" s="99"/>
      <c r="E753" s="99"/>
      <c r="F753" s="99"/>
      <c r="G753" s="99"/>
      <c r="H753" s="99"/>
      <c r="I753" s="99"/>
      <c r="J753" s="99"/>
      <c r="K753" s="99"/>
      <c r="L753" s="99"/>
      <c r="M753" s="99"/>
      <c r="N753" s="99"/>
      <c r="O753" s="99"/>
      <c r="P753" s="99"/>
      <c r="Q753" s="99"/>
      <c r="R753" s="99"/>
      <c r="S753" s="99"/>
      <c r="T753" s="99"/>
      <c r="U753" s="99"/>
      <c r="V753" s="99"/>
      <c r="W753" s="105"/>
      <c r="X753" s="105"/>
      <c r="Y753" s="105"/>
      <c r="Z753" s="105"/>
      <c r="AA753" s="105"/>
      <c r="AB753" s="105"/>
      <c r="AC753" s="105"/>
      <c r="AD753" s="105"/>
      <c r="AE753" s="105"/>
      <c r="AF753" s="105"/>
      <c r="AG753" s="105"/>
      <c r="AH753" s="105"/>
      <c r="AI753" s="105"/>
      <c r="AJ753" s="171"/>
      <c r="AK753" s="105"/>
      <c r="AL753" s="91"/>
      <c r="AM753" s="91"/>
      <c r="AN753" s="91"/>
      <c r="AO753" s="105">
        <f>IF($AO$658&gt;0,PPMT('Assumptions (Wind)'!$V$8,Model!W1,'Assumptions (Wind)'!$V$11,'Assumptions (Wind)'!$V$6*Model!$AO$658*AVERAGE('Assumptions (Wind)'!$AL$2:$AM$2)/10^9),0)</f>
        <v>-5.7093399680995391</v>
      </c>
      <c r="AP753" s="105">
        <f>IF($AO$658&gt;0,PPMT('Assumptions (Wind)'!$V$8,Model!X1,'Assumptions (Wind)'!$V$11,'Assumptions (Wind)'!$V$6*Model!$AO$658*AVERAGE('Assumptions (Wind)'!$AL$2:$AM$2)/10^9),0)</f>
        <v>-6.1660871655475038</v>
      </c>
      <c r="AQ753" s="105">
        <f>IF($AO$658&gt;0,PPMT('Assumptions (Wind)'!$V$8,Model!Y1,'Assumptions (Wind)'!$V$11,'Assumptions (Wind)'!$V$6*Model!$AO$658*AVERAGE('Assumptions (Wind)'!$AL$2:$AM$2)/10^9),0)</f>
        <v>-6.6593741387913035</v>
      </c>
      <c r="AR753" s="105">
        <f>IF($AO$658&gt;0,PPMT('Assumptions (Wind)'!$V$8,Model!Z1,'Assumptions (Wind)'!$V$11,'Assumptions (Wind)'!$V$6*Model!$AO$658*AVERAGE('Assumptions (Wind)'!$AL$2:$AM$2)/10^9),0)</f>
        <v>-7.1921240698946081</v>
      </c>
      <c r="AS753" s="105">
        <f>IF($AO$658&gt;0,PPMT('Assumptions (Wind)'!$V$8,Model!AA1,'Assumptions (Wind)'!$V$11,'Assumptions (Wind)'!$V$6*Model!$AO$658*AVERAGE('Assumptions (Wind)'!$AL$2:$AM$2)/10^9),0)</f>
        <v>-7.7674939954861761</v>
      </c>
      <c r="AT753" s="105">
        <f>IF($AO$658&gt;0,PPMT('Assumptions (Wind)'!$V$8,Model!AB1,'Assumptions (Wind)'!$V$11,'Assumptions (Wind)'!$V$6*Model!$AO$658*AVERAGE('Assumptions (Wind)'!$AL$2:$AM$2)/10^9),0)</f>
        <v>-8.3888935151250692</v>
      </c>
      <c r="AU753" s="105">
        <f>IF($AO$658&gt;0,PPMT('Assumptions (Wind)'!$V$8,Model!AC1,'Assumptions (Wind)'!$V$11,'Assumptions (Wind)'!$V$6*Model!$AO$658*AVERAGE('Assumptions (Wind)'!$AL$2:$AM$2)/10^9),0)</f>
        <v>-9.0600049963350759</v>
      </c>
      <c r="AV753" s="105">
        <f>IF($AO$658&gt;0,PPMT('Assumptions (Wind)'!$V$8,Model!AD1,'Assumptions (Wind)'!$V$11,'Assumptions (Wind)'!$V$6*Model!$AO$658*AVERAGE('Assumptions (Wind)'!$AL$2:$AM$2)/10^9),0)</f>
        <v>-9.7848053960418824</v>
      </c>
      <c r="AW753" s="105">
        <f>IF($AO$658&gt;0,PPMT('Assumptions (Wind)'!$V$8,Model!AE1,'Assumptions (Wind)'!$V$11,'Assumptions (Wind)'!$V$6*Model!$AO$658*AVERAGE('Assumptions (Wind)'!$AL$2:$AM$2)/10^9),0)</f>
        <v>-10.56758982772523</v>
      </c>
      <c r="AX753" s="105">
        <f>IF($AO$658&gt;0,PPMT('Assumptions (Wind)'!$V$8,Model!AF1,'Assumptions (Wind)'!$V$11,'Assumptions (Wind)'!$V$6*Model!$AO$658*AVERAGE('Assumptions (Wind)'!$AL$2:$AM$2)/10^9),0)</f>
        <v>-11.412997013943251</v>
      </c>
      <c r="AY753" s="105" t="e">
        <f>IF($AO$658&gt;0,PPMT('Assumptions (Wind)'!$V$8,Model!AG1,'Assumptions (Wind)'!$V$11,'Assumptions (Wind)'!$V$6*Model!$AO$658*AVERAGE('Assumptions (Wind)'!$AL$2:$AM$2)/10^9),0)</f>
        <v>#NUM!</v>
      </c>
      <c r="AZ753" s="105" t="e">
        <f>IF($AO$658&gt;0,PPMT('Assumptions (Wind)'!$V$8,Model!AH1,'Assumptions (Wind)'!$V$11,'Assumptions (Wind)'!$V$6*Model!$AO$658*AVERAGE('Assumptions (Wind)'!$AL$2:$AM$2)/10^9),0)</f>
        <v>#NUM!</v>
      </c>
      <c r="BA753" s="105" t="e">
        <f>IF($AO$658&gt;0,PPMT('Assumptions (Wind)'!$V$8,Model!AI1,'Assumptions (Wind)'!$V$11,'Assumptions (Wind)'!$V$6*Model!$AO$658*AVERAGE('Assumptions (Wind)'!$AL$2:$AM$2)/10^9),0)</f>
        <v>#NUM!</v>
      </c>
      <c r="BB753" s="105" t="e">
        <f>IF($AO$658&gt;0,PPMT('Assumptions (Wind)'!$V$8,Model!AJ1,'Assumptions (Wind)'!$V$11,'Assumptions (Wind)'!$V$6*Model!$AO$658*AVERAGE('Assumptions (Wind)'!$AL$2:$AM$2)/10^9),0)</f>
        <v>#NUM!</v>
      </c>
      <c r="BC753" s="105" t="e">
        <f>IF($AO$658&gt;0,PPMT('Assumptions (Wind)'!$V$8,Model!AK1,'Assumptions (Wind)'!$V$11,'Assumptions (Wind)'!$V$6*Model!$AO$658*AVERAGE('Assumptions (Wind)'!$AL$2:$AM$2)/10^9),0)</f>
        <v>#NUM!</v>
      </c>
      <c r="BD753" s="105"/>
      <c r="BE753" s="105"/>
      <c r="BF753" s="105"/>
      <c r="BG753" s="105"/>
      <c r="BH753" s="105"/>
      <c r="BI753" s="105"/>
      <c r="BJ753" s="105"/>
      <c r="BK753" s="105"/>
      <c r="BL753" s="105"/>
      <c r="BM753" s="105"/>
    </row>
    <row r="754" spans="1:77" ht="15.75" hidden="1" customHeight="1" outlineLevel="1">
      <c r="A754" s="395"/>
      <c r="B754" s="99"/>
      <c r="C754" s="99"/>
      <c r="D754" s="99"/>
      <c r="E754" s="99"/>
      <c r="F754" s="99"/>
      <c r="G754" s="99"/>
      <c r="H754" s="99"/>
      <c r="I754" s="99"/>
      <c r="J754" s="99"/>
      <c r="K754" s="99"/>
      <c r="L754" s="99"/>
      <c r="M754" s="99"/>
      <c r="N754" s="99"/>
      <c r="O754" s="99"/>
      <c r="P754" s="99"/>
      <c r="Q754" s="99"/>
      <c r="R754" s="99"/>
      <c r="S754" s="99"/>
      <c r="T754" s="99"/>
      <c r="U754" s="99"/>
      <c r="V754" s="99"/>
      <c r="W754" s="105"/>
      <c r="X754" s="105"/>
      <c r="Y754" s="105"/>
      <c r="Z754" s="105"/>
      <c r="AA754" s="105"/>
      <c r="AB754" s="105"/>
      <c r="AC754" s="105"/>
      <c r="AD754" s="105"/>
      <c r="AE754" s="105"/>
      <c r="AF754" s="105"/>
      <c r="AG754" s="105"/>
      <c r="AH754" s="105"/>
      <c r="AI754" s="105"/>
      <c r="AJ754" s="171"/>
      <c r="AK754" s="105"/>
      <c r="AL754" s="91"/>
      <c r="AM754" s="91"/>
      <c r="AN754" s="91"/>
      <c r="AO754" s="105"/>
      <c r="AP754" s="105">
        <f>IF($AP$658&gt;0,PPMT('Assumptions (Wind)'!$V$8,Model!W1,'Assumptions (Wind)'!$V$11,'Assumptions (Wind)'!$V$6*Model!$AP$658*AVERAGE('Assumptions (Wind)'!$AM$2:$AN$2)/10^9),0)</f>
        <v>-6.0833227363228266</v>
      </c>
      <c r="AQ754" s="105">
        <f>IF($AP$658&gt;0,PPMT('Assumptions (Wind)'!$V$8,Model!X1,'Assumptions (Wind)'!$V$11,'Assumptions (Wind)'!$V$6*Model!$AP$658*AVERAGE('Assumptions (Wind)'!$AM$2:$AN$2)/10^9),0)</f>
        <v>-6.5699885552286528</v>
      </c>
      <c r="AR754" s="105">
        <f>IF($AP$658&gt;0,PPMT('Assumptions (Wind)'!$V$8,Model!Y1,'Assumptions (Wind)'!$V$11,'Assumptions (Wind)'!$V$6*Model!$AP$658*AVERAGE('Assumptions (Wind)'!$AM$2:$AN$2)/10^9),0)</f>
        <v>-7.0955876396469444</v>
      </c>
      <c r="AS754" s="105">
        <f>IF($AP$658&gt;0,PPMT('Assumptions (Wind)'!$V$8,Model!Z1,'Assumptions (Wind)'!$V$11,'Assumptions (Wind)'!$V$6*Model!$AP$658*AVERAGE('Assumptions (Wind)'!$AM$2:$AN$2)/10^9),0)</f>
        <v>-7.6632346508187004</v>
      </c>
      <c r="AT754" s="105">
        <f>IF($AP$658&gt;0,PPMT('Assumptions (Wind)'!$V$8,Model!AA1,'Assumptions (Wind)'!$V$11,'Assumptions (Wind)'!$V$6*Model!$AP$658*AVERAGE('Assumptions (Wind)'!$AM$2:$AN$2)/10^9),0)</f>
        <v>-8.2762934228841978</v>
      </c>
      <c r="AU754" s="105">
        <f>IF($AP$658&gt;0,PPMT('Assumptions (Wind)'!$V$8,Model!AB1,'Assumptions (Wind)'!$V$11,'Assumptions (Wind)'!$V$6*Model!$AP$658*AVERAGE('Assumptions (Wind)'!$AM$2:$AN$2)/10^9),0)</f>
        <v>-8.9383968967149325</v>
      </c>
      <c r="AV754" s="105">
        <f>IF($AP$658&gt;0,PPMT('Assumptions (Wind)'!$V$8,Model!AC1,'Assumptions (Wind)'!$V$11,'Assumptions (Wind)'!$V$6*Model!$AP$658*AVERAGE('Assumptions (Wind)'!$AM$2:$AN$2)/10^9),0)</f>
        <v>-9.6534686484521259</v>
      </c>
      <c r="AW754" s="105">
        <f>IF($AP$658&gt;0,PPMT('Assumptions (Wind)'!$V$8,Model!AD1,'Assumptions (Wind)'!$V$11,'Assumptions (Wind)'!$V$6*Model!$AP$658*AVERAGE('Assumptions (Wind)'!$AM$2:$AN$2)/10^9),0)</f>
        <v>-10.425746140328297</v>
      </c>
      <c r="AX754" s="105">
        <f>IF($AP$658&gt;0,PPMT('Assumptions (Wind)'!$V$8,Model!AE1,'Assumptions (Wind)'!$V$11,'Assumptions (Wind)'!$V$6*Model!$AP$658*AVERAGE('Assumptions (Wind)'!$AM$2:$AN$2)/10^9),0)</f>
        <v>-11.259805831554559</v>
      </c>
      <c r="AY754" s="105">
        <f>IF($AP$658&gt;0,PPMT('Assumptions (Wind)'!$V$8,Model!AF1,'Assumptions (Wind)'!$V$11,'Assumptions (Wind)'!$V$6*Model!$AP$658*AVERAGE('Assumptions (Wind)'!$AM$2:$AN$2)/10^9),0)</f>
        <v>-12.160590298078926</v>
      </c>
      <c r="AZ754" s="105" t="e">
        <f>IF($AP$658&gt;0,PPMT('Assumptions (Wind)'!$V$8,Model!AG1,'Assumptions (Wind)'!$V$11,'Assumptions (Wind)'!$V$6*Model!$AP$658*AVERAGE('Assumptions (Wind)'!$AM$2:$AN$2)/10^9),0)</f>
        <v>#NUM!</v>
      </c>
      <c r="BA754" s="105" t="e">
        <f>IF($AP$658&gt;0,PPMT('Assumptions (Wind)'!$V$8,Model!AH1,'Assumptions (Wind)'!$V$11,'Assumptions (Wind)'!$V$6*Model!$AP$658*AVERAGE('Assumptions (Wind)'!$AM$2:$AN$2)/10^9),0)</f>
        <v>#NUM!</v>
      </c>
      <c r="BB754" s="105" t="e">
        <f>IF($AP$658&gt;0,PPMT('Assumptions (Wind)'!$V$8,Model!AI1,'Assumptions (Wind)'!$V$11,'Assumptions (Wind)'!$V$6*Model!$AP$658*AVERAGE('Assumptions (Wind)'!$AM$2:$AN$2)/10^9),0)</f>
        <v>#NUM!</v>
      </c>
      <c r="BC754" s="105" t="e">
        <f>IF($AP$658&gt;0,PPMT('Assumptions (Wind)'!$V$8,Model!AJ1,'Assumptions (Wind)'!$V$11,'Assumptions (Wind)'!$V$6*Model!$AP$658*AVERAGE('Assumptions (Wind)'!$AM$2:$AN$2)/10^9),0)</f>
        <v>#NUM!</v>
      </c>
      <c r="BD754" s="105" t="e">
        <f>IF($AP$658&gt;0,PPMT('Assumptions (Wind)'!$V$8,Model!AK1,'Assumptions (Wind)'!$V$11,'Assumptions (Wind)'!$V$6*Model!$AP$658*AVERAGE('Assumptions (Wind)'!$AM$2:$AN$2)/10^9),0)</f>
        <v>#NUM!</v>
      </c>
      <c r="BE754" s="105"/>
      <c r="BF754" s="105"/>
      <c r="BG754" s="105"/>
      <c r="BH754" s="105"/>
      <c r="BI754" s="105"/>
      <c r="BJ754" s="105"/>
      <c r="BK754" s="105"/>
      <c r="BL754" s="105"/>
      <c r="BM754" s="105"/>
      <c r="BN754" s="105"/>
    </row>
    <row r="755" spans="1:77" ht="15.75" hidden="1" customHeight="1" outlineLevel="1">
      <c r="A755" s="395"/>
      <c r="B755" s="99"/>
      <c r="C755" s="99"/>
      <c r="D755" s="99"/>
      <c r="E755" s="99"/>
      <c r="F755" s="99"/>
      <c r="G755" s="99"/>
      <c r="H755" s="99"/>
      <c r="I755" s="99"/>
      <c r="J755" s="99"/>
      <c r="K755" s="99"/>
      <c r="L755" s="99"/>
      <c r="M755" s="99"/>
      <c r="N755" s="99"/>
      <c r="O755" s="99"/>
      <c r="P755" s="99"/>
      <c r="Q755" s="99"/>
      <c r="R755" s="99"/>
      <c r="S755" s="99"/>
      <c r="T755" s="99"/>
      <c r="U755" s="99"/>
      <c r="V755" s="99"/>
      <c r="W755" s="105"/>
      <c r="X755" s="105"/>
      <c r="Y755" s="105"/>
      <c r="Z755" s="105"/>
      <c r="AA755" s="105"/>
      <c r="AB755" s="105"/>
      <c r="AC755" s="105"/>
      <c r="AD755" s="105"/>
      <c r="AE755" s="105"/>
      <c r="AF755" s="105"/>
      <c r="AG755" s="105"/>
      <c r="AH755" s="105"/>
      <c r="AI755" s="105"/>
      <c r="AJ755" s="171"/>
      <c r="AK755" s="105"/>
      <c r="AL755" s="91"/>
      <c r="AM755" s="91"/>
      <c r="AN755" s="91"/>
      <c r="AO755" s="105"/>
      <c r="AP755" s="105"/>
      <c r="AQ755" s="105">
        <f>IF($AQ$658&gt;0,PPMT('Assumptions (Wind)'!$V$8,Model!W1,'Assumptions (Wind)'!$V$11,'Assumptions (Wind)'!$V$6*Model!$AQ$658*AVERAGE('Assumptions (Wind)'!$AN$2:$AO$2)/10^9),0)</f>
        <v>-6.5093432695831819</v>
      </c>
      <c r="AR755" s="105">
        <f>IF($AQ$658&gt;0,PPMT('Assumptions (Wind)'!$V$8,Model!X1,'Assumptions (Wind)'!$V$11,'Assumptions (Wind)'!$V$6*Model!$AQ$658*AVERAGE('Assumptions (Wind)'!$AN$2:$AO$2)/10^9),0)</f>
        <v>-7.0300907311498371</v>
      </c>
      <c r="AS755" s="105">
        <f>IF($AQ$658&gt;0,PPMT('Assumptions (Wind)'!$V$8,Model!Y1,'Assumptions (Wind)'!$V$11,'Assumptions (Wind)'!$V$6*Model!$AQ$658*AVERAGE('Assumptions (Wind)'!$AN$2:$AO$2)/10^9),0)</f>
        <v>-7.5924979896418234</v>
      </c>
      <c r="AT755" s="105">
        <f>IF($AQ$658&gt;0,PPMT('Assumptions (Wind)'!$V$8,Model!Z1,'Assumptions (Wind)'!$V$11,'Assumptions (Wind)'!$V$6*Model!$AQ$658*AVERAGE('Assumptions (Wind)'!$AN$2:$AO$2)/10^9),0)</f>
        <v>-8.1998978288131692</v>
      </c>
      <c r="AU755" s="105">
        <f>IF($AQ$658&gt;0,PPMT('Assumptions (Wind)'!$V$8,Model!AA1,'Assumptions (Wind)'!$V$11,'Assumptions (Wind)'!$V$6*Model!$AQ$658*AVERAGE('Assumptions (Wind)'!$AN$2:$AO$2)/10^9),0)</f>
        <v>-8.855889655118224</v>
      </c>
      <c r="AV755" s="105">
        <f>IF($AQ$658&gt;0,PPMT('Assumptions (Wind)'!$V$8,Model!AB1,'Assumptions (Wind)'!$V$11,'Assumptions (Wind)'!$V$6*Model!$AQ$658*AVERAGE('Assumptions (Wind)'!$AN$2:$AO$2)/10^9),0)</f>
        <v>-9.5643608275276808</v>
      </c>
      <c r="AW755" s="105">
        <f>IF($AQ$658&gt;0,PPMT('Assumptions (Wind)'!$V$8,Model!AC1,'Assumptions (Wind)'!$V$11,'Assumptions (Wind)'!$V$6*Model!$AQ$658*AVERAGE('Assumptions (Wind)'!$AN$2:$AO$2)/10^9),0)</f>
        <v>-10.329509693729895</v>
      </c>
      <c r="AX755" s="105">
        <f>IF($AQ$658&gt;0,PPMT('Assumptions (Wind)'!$V$8,Model!AD1,'Assumptions (Wind)'!$V$11,'Assumptions (Wind)'!$V$6*Model!$AQ$658*AVERAGE('Assumptions (Wind)'!$AN$2:$AO$2)/10^9),0)</f>
        <v>-11.155870469228287</v>
      </c>
      <c r="AY755" s="105">
        <f>IF($AQ$658&gt;0,PPMT('Assumptions (Wind)'!$V$8,Model!AE1,'Assumptions (Wind)'!$V$11,'Assumptions (Wind)'!$V$6*Model!$AQ$658*AVERAGE('Assumptions (Wind)'!$AN$2:$AO$2)/10^9),0)</f>
        <v>-12.048340106766551</v>
      </c>
      <c r="AZ755" s="105">
        <f>IF($AQ$658&gt;0,PPMT('Assumptions (Wind)'!$V$8,Model!AF1,'Assumptions (Wind)'!$V$11,'Assumptions (Wind)'!$V$6*Model!$AQ$658*AVERAGE('Assumptions (Wind)'!$AN$2:$AO$2)/10^9),0)</f>
        <v>-13.012207315307874</v>
      </c>
      <c r="BA755" s="105" t="e">
        <f>IF($AQ$658&gt;0,PPMT('Assumptions (Wind)'!$V$8,Model!AG1,'Assumptions (Wind)'!$V$11,'Assumptions (Wind)'!$V$6*Model!$AQ$658*AVERAGE('Assumptions (Wind)'!$AN$2:$AO$2)/10^9),0)</f>
        <v>#NUM!</v>
      </c>
      <c r="BB755" s="105" t="e">
        <f>IF($AQ$658&gt;0,PPMT('Assumptions (Wind)'!$V$8,Model!AH1,'Assumptions (Wind)'!$V$11,'Assumptions (Wind)'!$V$6*Model!$AQ$658*AVERAGE('Assumptions (Wind)'!$AN$2:$AO$2)/10^9),0)</f>
        <v>#NUM!</v>
      </c>
      <c r="BC755" s="105" t="e">
        <f>IF($AQ$658&gt;0,PPMT('Assumptions (Wind)'!$V$8,Model!AI1,'Assumptions (Wind)'!$V$11,'Assumptions (Wind)'!$V$6*Model!$AQ$658*AVERAGE('Assumptions (Wind)'!$AN$2:$AO$2)/10^9),0)</f>
        <v>#NUM!</v>
      </c>
      <c r="BD755" s="105" t="e">
        <f>IF($AQ$658&gt;0,PPMT('Assumptions (Wind)'!$V$8,Model!AJ1,'Assumptions (Wind)'!$V$11,'Assumptions (Wind)'!$V$6*Model!$AQ$658*AVERAGE('Assumptions (Wind)'!$AN$2:$AO$2)/10^9),0)</f>
        <v>#NUM!</v>
      </c>
      <c r="BE755" s="105" t="e">
        <f>IF($AQ$658&gt;0,PPMT('Assumptions (Wind)'!$V$8,Model!AK1,'Assumptions (Wind)'!$V$11,'Assumptions (Wind)'!$V$6*Model!$AQ$658*AVERAGE('Assumptions (Wind)'!$AN$2:$AO$2)/10^9),0)</f>
        <v>#NUM!</v>
      </c>
      <c r="BF755" s="105"/>
      <c r="BG755" s="105"/>
      <c r="BH755" s="105"/>
      <c r="BI755" s="105"/>
      <c r="BJ755" s="105"/>
      <c r="BK755" s="105"/>
      <c r="BL755" s="105"/>
      <c r="BM755" s="105"/>
      <c r="BN755" s="105"/>
      <c r="BO755" s="105"/>
    </row>
    <row r="756" spans="1:77" ht="15.75" hidden="1" customHeight="1" outlineLevel="1">
      <c r="A756" s="395"/>
      <c r="B756" s="99"/>
      <c r="C756" s="99"/>
      <c r="D756" s="99"/>
      <c r="E756" s="99"/>
      <c r="F756" s="99"/>
      <c r="G756" s="99"/>
      <c r="H756" s="99"/>
      <c r="I756" s="99"/>
      <c r="J756" s="99"/>
      <c r="K756" s="99"/>
      <c r="L756" s="99"/>
      <c r="M756" s="99"/>
      <c r="N756" s="99"/>
      <c r="O756" s="99"/>
      <c r="P756" s="99"/>
      <c r="Q756" s="99"/>
      <c r="R756" s="99"/>
      <c r="S756" s="99"/>
      <c r="T756" s="99"/>
      <c r="U756" s="99"/>
      <c r="V756" s="99"/>
      <c r="W756" s="105"/>
      <c r="X756" s="105"/>
      <c r="Y756" s="105"/>
      <c r="Z756" s="105"/>
      <c r="AA756" s="105"/>
      <c r="AB756" s="105"/>
      <c r="AC756" s="105"/>
      <c r="AD756" s="105"/>
      <c r="AE756" s="105"/>
      <c r="AF756" s="105"/>
      <c r="AG756" s="105"/>
      <c r="AH756" s="105"/>
      <c r="AI756" s="105"/>
      <c r="AJ756" s="171"/>
      <c r="AK756" s="105"/>
      <c r="AL756" s="91"/>
      <c r="AM756" s="91"/>
      <c r="AN756" s="91"/>
      <c r="AO756" s="105"/>
      <c r="AP756" s="105"/>
      <c r="AQ756" s="105"/>
      <c r="AR756" s="105">
        <f>IF($AR$658&gt;0,PPMT('Assumptions (Wind)'!$V$8,Model!W1,'Assumptions (Wind)'!$V$11,'Assumptions (Wind)'!$V$6*Model!$AR$658*AVERAGE('Assumptions (Wind)'!$AO$2:$AP$2)/10^9),0)</f>
        <v>-6.7908579567660556</v>
      </c>
      <c r="AS756" s="105">
        <f>IF($AR$658&gt;0,PPMT('Assumptions (Wind)'!$V$8,Model!X1,'Assumptions (Wind)'!$V$11,'Assumptions (Wind)'!$V$6*Model!$AR$658*AVERAGE('Assumptions (Wind)'!$AO$2:$AP$2)/10^9),0)</f>
        <v>-7.3341265933073423</v>
      </c>
      <c r="AT756" s="105">
        <f>IF($AR$658&gt;0,PPMT('Assumptions (Wind)'!$V$8,Model!Y1,'Assumptions (Wind)'!$V$11,'Assumptions (Wind)'!$V$6*Model!$AR$658*AVERAGE('Assumptions (Wind)'!$AO$2:$AP$2)/10^9),0)</f>
        <v>-7.9208567207719289</v>
      </c>
      <c r="AU756" s="105">
        <f>IF($AR$658&gt;0,PPMT('Assumptions (Wind)'!$V$8,Model!Z1,'Assumptions (Wind)'!$V$11,'Assumptions (Wind)'!$V$6*Model!$AR$658*AVERAGE('Assumptions (Wind)'!$AO$2:$AP$2)/10^9),0)</f>
        <v>-8.5545252584336833</v>
      </c>
      <c r="AV756" s="105">
        <f>IF($AR$658&gt;0,PPMT('Assumptions (Wind)'!$V$8,Model!AA1,'Assumptions (Wind)'!$V$11,'Assumptions (Wind)'!$V$6*Model!$AR$658*AVERAGE('Assumptions (Wind)'!$AO$2:$AP$2)/10^9),0)</f>
        <v>-9.2388872791083791</v>
      </c>
      <c r="AW756" s="105">
        <f>IF($AR$658&gt;0,PPMT('Assumptions (Wind)'!$V$8,Model!AB1,'Assumptions (Wind)'!$V$11,'Assumptions (Wind)'!$V$6*Model!$AR$658*AVERAGE('Assumptions (Wind)'!$AO$2:$AP$2)/10^9),0)</f>
        <v>-9.9779982614370475</v>
      </c>
      <c r="AX756" s="105">
        <f>IF($AR$658&gt;0,PPMT('Assumptions (Wind)'!$V$8,Model!AC1,'Assumptions (Wind)'!$V$11,'Assumptions (Wind)'!$V$6*Model!$AR$658*AVERAGE('Assumptions (Wind)'!$AO$2:$AP$2)/10^9),0)</f>
        <v>-10.776238122352011</v>
      </c>
      <c r="AY756" s="105">
        <f>IF($AR$658&gt;0,PPMT('Assumptions (Wind)'!$V$8,Model!AD1,'Assumptions (Wind)'!$V$11,'Assumptions (Wind)'!$V$6*Model!$AR$658*AVERAGE('Assumptions (Wind)'!$AO$2:$AP$2)/10^9),0)</f>
        <v>-11.638337172140172</v>
      </c>
      <c r="AZ756" s="105">
        <f>IF($AR$658&gt;0,PPMT('Assumptions (Wind)'!$V$8,Model!AE1,'Assumptions (Wind)'!$V$11,'Assumptions (Wind)'!$V$6*Model!$AR$658*AVERAGE('Assumptions (Wind)'!$AO$2:$AP$2)/10^9),0)</f>
        <v>-12.569404145911385</v>
      </c>
      <c r="BA756" s="105">
        <f>IF($AR$658&gt;0,PPMT('Assumptions (Wind)'!$V$8,Model!AF1,'Assumptions (Wind)'!$V$11,'Assumptions (Wind)'!$V$6*Model!$AR$658*AVERAGE('Assumptions (Wind)'!$AO$2:$AP$2)/10^9),0)</f>
        <v>-13.574956477584296</v>
      </c>
      <c r="BB756" s="105" t="e">
        <f>IF($AR$658&gt;0,PPMT('Assumptions (Wind)'!$V$8,Model!AG1,'Assumptions (Wind)'!$V$11,'Assumptions (Wind)'!$V$6*Model!$AR$658*AVERAGE('Assumptions (Wind)'!$AO$2:$AP$2)/10^9),0)</f>
        <v>#NUM!</v>
      </c>
      <c r="BC756" s="105" t="e">
        <f>IF($AR$658&gt;0,PPMT('Assumptions (Wind)'!$V$8,Model!AH1,'Assumptions (Wind)'!$V$11,'Assumptions (Wind)'!$V$6*Model!$AR$658*AVERAGE('Assumptions (Wind)'!$AO$2:$AP$2)/10^9),0)</f>
        <v>#NUM!</v>
      </c>
      <c r="BD756" s="105" t="e">
        <f>IF($AR$658&gt;0,PPMT('Assumptions (Wind)'!$V$8,Model!AI1,'Assumptions (Wind)'!$V$11,'Assumptions (Wind)'!$V$6*Model!$AR$658*AVERAGE('Assumptions (Wind)'!$AO$2:$AP$2)/10^9),0)</f>
        <v>#NUM!</v>
      </c>
      <c r="BE756" s="105" t="e">
        <f>IF($AR$658&gt;0,PPMT('Assumptions (Wind)'!$V$8,Model!AJ1,'Assumptions (Wind)'!$V$11,'Assumptions (Wind)'!$V$6*Model!$AR$658*AVERAGE('Assumptions (Wind)'!$AO$2:$AP$2)/10^9),0)</f>
        <v>#NUM!</v>
      </c>
      <c r="BF756" s="105" t="e">
        <f>IF($AR$658&gt;0,PPMT('Assumptions (Wind)'!$V$8,Model!AK1,'Assumptions (Wind)'!$V$11,'Assumptions (Wind)'!$V$6*Model!$AR$658*AVERAGE('Assumptions (Wind)'!$AO$2:$AP$2)/10^9),0)</f>
        <v>#NUM!</v>
      </c>
      <c r="BG756" s="105"/>
      <c r="BH756" s="105"/>
      <c r="BI756" s="105"/>
      <c r="BJ756" s="105"/>
      <c r="BK756" s="105"/>
      <c r="BL756" s="105"/>
      <c r="BM756" s="105"/>
      <c r="BN756" s="105"/>
      <c r="BO756" s="105"/>
      <c r="BP756" s="105"/>
    </row>
    <row r="757" spans="1:77" ht="15.75" hidden="1" customHeight="1" outlineLevel="1">
      <c r="A757" s="395"/>
      <c r="B757" s="99"/>
      <c r="C757" s="99"/>
      <c r="D757" s="99"/>
      <c r="E757" s="99"/>
      <c r="F757" s="99"/>
      <c r="G757" s="99"/>
      <c r="H757" s="99"/>
      <c r="I757" s="99"/>
      <c r="J757" s="99"/>
      <c r="K757" s="99"/>
      <c r="L757" s="99"/>
      <c r="M757" s="99"/>
      <c r="N757" s="99"/>
      <c r="O757" s="99"/>
      <c r="P757" s="99"/>
      <c r="Q757" s="99"/>
      <c r="R757" s="99"/>
      <c r="S757" s="99"/>
      <c r="T757" s="99"/>
      <c r="U757" s="99"/>
      <c r="V757" s="99"/>
      <c r="W757" s="105"/>
      <c r="X757" s="105"/>
      <c r="Y757" s="105"/>
      <c r="Z757" s="105"/>
      <c r="AA757" s="105"/>
      <c r="AB757" s="105"/>
      <c r="AC757" s="105"/>
      <c r="AD757" s="105"/>
      <c r="AE757" s="105"/>
      <c r="AF757" s="105"/>
      <c r="AG757" s="105"/>
      <c r="AH757" s="105"/>
      <c r="AI757" s="105"/>
      <c r="AJ757" s="171"/>
      <c r="AK757" s="105"/>
      <c r="AL757" s="91"/>
      <c r="AM757" s="91"/>
      <c r="AN757" s="91"/>
      <c r="AO757" s="105"/>
      <c r="AP757" s="105"/>
      <c r="AQ757" s="105"/>
      <c r="AR757" s="105"/>
      <c r="AS757" s="105">
        <f>IF($AS$658&gt;0,PPMT('Assumptions (Wind)'!$V$8,Model!W1,'Assumptions (Wind)'!$V$11,'Assumptions (Wind)'!$V$6*Model!$AS$658*AVERAGE('Assumptions (Wind)'!$AP$2:$AQ$2)/10^9),0)</f>
        <v>-6.3936550256004923</v>
      </c>
      <c r="AT757" s="105">
        <f>IF($AS$658&gt;0,PPMT('Assumptions (Wind)'!$V$8,Model!X1,'Assumptions (Wind)'!$V$11,'Assumptions (Wind)'!$V$6*Model!$AS$658*AVERAGE('Assumptions (Wind)'!$AP$2:$AQ$2)/10^9),0)</f>
        <v>-6.905147427648533</v>
      </c>
      <c r="AU757" s="105">
        <f>IF($AS$658&gt;0,PPMT('Assumptions (Wind)'!$V$8,Model!Y1,'Assumptions (Wind)'!$V$11,'Assumptions (Wind)'!$V$6*Model!$AS$658*AVERAGE('Assumptions (Wind)'!$AP$2:$AQ$2)/10^9),0)</f>
        <v>-7.4575592218604143</v>
      </c>
      <c r="AV757" s="105">
        <f>IF($AS$658&gt;0,PPMT('Assumptions (Wind)'!$V$8,Model!Z1,'Assumptions (Wind)'!$V$11,'Assumptions (Wind)'!$V$6*Model!$AS$658*AVERAGE('Assumptions (Wind)'!$AP$2:$AQ$2)/10^9),0)</f>
        <v>-8.054163959609248</v>
      </c>
      <c r="AW757" s="105">
        <f>IF($AS$658&gt;0,PPMT('Assumptions (Wind)'!$V$8,Model!AA1,'Assumptions (Wind)'!$V$11,'Assumptions (Wind)'!$V$6*Model!$AS$658*AVERAGE('Assumptions (Wind)'!$AP$2:$AQ$2)/10^9),0)</f>
        <v>-8.6984970763779881</v>
      </c>
      <c r="AX757" s="105">
        <f>IF($AS$658&gt;0,PPMT('Assumptions (Wind)'!$V$8,Model!AB1,'Assumptions (Wind)'!$V$11,'Assumptions (Wind)'!$V$6*Model!$AS$658*AVERAGE('Assumptions (Wind)'!$AP$2:$AQ$2)/10^9),0)</f>
        <v>-9.3943768424882261</v>
      </c>
      <c r="AY757" s="105">
        <f>IF($AS$658&gt;0,PPMT('Assumptions (Wind)'!$V$8,Model!AC1,'Assumptions (Wind)'!$V$11,'Assumptions (Wind)'!$V$6*Model!$AS$658*AVERAGE('Assumptions (Wind)'!$AP$2:$AQ$2)/10^9),0)</f>
        <v>-10.145926989887284</v>
      </c>
      <c r="AZ757" s="105">
        <f>IF($AS$658&gt;0,PPMT('Assumptions (Wind)'!$V$8,Model!AD1,'Assumptions (Wind)'!$V$11,'Assumptions (Wind)'!$V$6*Model!$AS$658*AVERAGE('Assumptions (Wind)'!$AP$2:$AQ$2)/10^9),0)</f>
        <v>-10.957601149078267</v>
      </c>
      <c r="BA757" s="105">
        <f>IF($AS$658&gt;0,PPMT('Assumptions (Wind)'!$V$8,Model!AE1,'Assumptions (Wind)'!$V$11,'Assumptions (Wind)'!$V$6*Model!$AS$658*AVERAGE('Assumptions (Wind)'!$AP$2:$AQ$2)/10^9),0)</f>
        <v>-11.834209241004528</v>
      </c>
      <c r="BB757" s="105">
        <f>IF($AS$658&gt;0,PPMT('Assumptions (Wind)'!$V$8,Model!AF1,'Assumptions (Wind)'!$V$11,'Assumptions (Wind)'!$V$6*Model!$AS$658*AVERAGE('Assumptions (Wind)'!$AP$2:$AQ$2)/10^9),0)</f>
        <v>-12.780945980284892</v>
      </c>
      <c r="BC757" s="105" t="e">
        <f>IF($AS$658&gt;0,PPMT('Assumptions (Wind)'!$V$8,Model!AG1,'Assumptions (Wind)'!$V$11,'Assumptions (Wind)'!$V$6*Model!$AS$658*AVERAGE('Assumptions (Wind)'!$AP$2:$AQ$2)/10^9),0)</f>
        <v>#NUM!</v>
      </c>
      <c r="BD757" s="105" t="e">
        <f>IF($AS$658&gt;0,PPMT('Assumptions (Wind)'!$V$8,Model!AH1,'Assumptions (Wind)'!$V$11,'Assumptions (Wind)'!$V$6*Model!$AS$658*AVERAGE('Assumptions (Wind)'!$AP$2:$AQ$2)/10^9),0)</f>
        <v>#NUM!</v>
      </c>
      <c r="BE757" s="105" t="e">
        <f>IF($AS$658&gt;0,PPMT('Assumptions (Wind)'!$V$8,Model!AI1,'Assumptions (Wind)'!$V$11,'Assumptions (Wind)'!$V$6*Model!$AS$658*AVERAGE('Assumptions (Wind)'!$AP$2:$AQ$2)/10^9),0)</f>
        <v>#NUM!</v>
      </c>
      <c r="BF757" s="105" t="e">
        <f>IF($AS$658&gt;0,PPMT('Assumptions (Wind)'!$V$8,Model!AJ1,'Assumptions (Wind)'!$V$11,'Assumptions (Wind)'!$V$6*Model!$AS$658*AVERAGE('Assumptions (Wind)'!$AP$2:$AQ$2)/10^9),0)</f>
        <v>#NUM!</v>
      </c>
      <c r="BG757" s="105" t="e">
        <f>IF($AS$658&gt;0,PPMT('Assumptions (Wind)'!$V$8,Model!AK1,'Assumptions (Wind)'!$V$11,'Assumptions (Wind)'!$V$6*Model!$AS$658*AVERAGE('Assumptions (Wind)'!$AP$2:$AQ$2)/10^9),0)</f>
        <v>#NUM!</v>
      </c>
      <c r="BH757" s="105"/>
      <c r="BI757" s="105"/>
      <c r="BJ757" s="105"/>
      <c r="BK757" s="105"/>
      <c r="BL757" s="105"/>
      <c r="BM757" s="105"/>
      <c r="BN757" s="105"/>
      <c r="BO757" s="105"/>
      <c r="BP757" s="105"/>
      <c r="BQ757" s="105"/>
      <c r="BR757" s="105"/>
    </row>
    <row r="758" spans="1:77" ht="15.75" hidden="1" customHeight="1" outlineLevel="1">
      <c r="A758" s="395"/>
      <c r="B758" s="99"/>
      <c r="C758" s="99"/>
      <c r="D758" s="99"/>
      <c r="E758" s="99"/>
      <c r="F758" s="99"/>
      <c r="G758" s="99"/>
      <c r="H758" s="99"/>
      <c r="I758" s="99"/>
      <c r="J758" s="99"/>
      <c r="K758" s="99"/>
      <c r="L758" s="99"/>
      <c r="M758" s="99"/>
      <c r="N758" s="99"/>
      <c r="O758" s="99"/>
      <c r="P758" s="99"/>
      <c r="Q758" s="99"/>
      <c r="R758" s="99"/>
      <c r="S758" s="99"/>
      <c r="T758" s="99"/>
      <c r="U758" s="99"/>
      <c r="V758" s="99"/>
      <c r="W758" s="105"/>
      <c r="X758" s="105"/>
      <c r="Y758" s="105"/>
      <c r="Z758" s="105"/>
      <c r="AA758" s="105"/>
      <c r="AB758" s="105"/>
      <c r="AC758" s="105"/>
      <c r="AD758" s="105"/>
      <c r="AE758" s="105"/>
      <c r="AF758" s="105"/>
      <c r="AG758" s="105"/>
      <c r="AH758" s="105"/>
      <c r="AI758" s="105"/>
      <c r="AJ758" s="171"/>
      <c r="AK758" s="105"/>
      <c r="AL758" s="91"/>
      <c r="AM758" s="91"/>
      <c r="AN758" s="91"/>
      <c r="AO758" s="105"/>
      <c r="AP758" s="105"/>
      <c r="AQ758" s="105"/>
      <c r="AR758" s="105"/>
      <c r="AS758" s="105"/>
      <c r="AT758" s="105">
        <f>IF($AT$658&gt;0,PPMT('Assumptions (Wind)'!$V$8,Model!W1,'Assumptions (Wind)'!$V$11,'Assumptions (Wind)'!$V$6*Model!$AT$658*AVERAGE('Assumptions (Wind)'!$AQ$2:$AR$2)/10^9),0)</f>
        <v>-6.737424437470894</v>
      </c>
      <c r="AU758" s="105">
        <f>IF($AT$658&gt;0,PPMT('Assumptions (Wind)'!$V$8,Model!X1,'Assumptions (Wind)'!$V$11,'Assumptions (Wind)'!$V$6*Model!$AT$658*AVERAGE('Assumptions (Wind)'!$AQ$2:$AR$2)/10^9),0)</f>
        <v>-7.2764183924685666</v>
      </c>
      <c r="AV758" s="105">
        <f>IF($AT$658&gt;0,PPMT('Assumptions (Wind)'!$V$8,Model!Y1,'Assumptions (Wind)'!$V$11,'Assumptions (Wind)'!$V$6*Model!$AT$658*AVERAGE('Assumptions (Wind)'!$AQ$2:$AR$2)/10^9),0)</f>
        <v>-7.8585318638660508</v>
      </c>
      <c r="AW758" s="105">
        <f>IF($AT$658&gt;0,PPMT('Assumptions (Wind)'!$V$8,Model!Z1,'Assumptions (Wind)'!$V$11,'Assumptions (Wind)'!$V$6*Model!$AT$658*AVERAGE('Assumptions (Wind)'!$AQ$2:$AR$2)/10^9),0)</f>
        <v>-8.4872144129753355</v>
      </c>
      <c r="AX758" s="105">
        <f>IF($AT$658&gt;0,PPMT('Assumptions (Wind)'!$V$8,Model!AA1,'Assumptions (Wind)'!$V$11,'Assumptions (Wind)'!$V$6*Model!$AT$658*AVERAGE('Assumptions (Wind)'!$AQ$2:$AR$2)/10^9),0)</f>
        <v>-9.1661915660133637</v>
      </c>
      <c r="AY758" s="105">
        <f>IF($AT$658&gt;0,PPMT('Assumptions (Wind)'!$V$8,Model!AB1,'Assumptions (Wind)'!$V$11,'Assumptions (Wind)'!$V$6*Model!$AT$658*AVERAGE('Assumptions (Wind)'!$AQ$2:$AR$2)/10^9),0)</f>
        <v>-9.8994868912944298</v>
      </c>
      <c r="AZ758" s="105">
        <f>IF($AT$658&gt;0,PPMT('Assumptions (Wind)'!$V$8,Model!AC1,'Assumptions (Wind)'!$V$11,'Assumptions (Wind)'!$V$6*Model!$AT$658*AVERAGE('Assumptions (Wind)'!$AQ$2:$AR$2)/10^9),0)</f>
        <v>-10.691445842597984</v>
      </c>
      <c r="BA758" s="105">
        <f>IF($AT$658&gt;0,PPMT('Assumptions (Wind)'!$V$8,Model!AD1,'Assumptions (Wind)'!$V$11,'Assumptions (Wind)'!$V$6*Model!$AT$658*AVERAGE('Assumptions (Wind)'!$AQ$2:$AR$2)/10^9),0)</f>
        <v>-11.546761510005824</v>
      </c>
      <c r="BB758" s="105">
        <f>IF($AT$658&gt;0,PPMT('Assumptions (Wind)'!$V$8,Model!AE1,'Assumptions (Wind)'!$V$11,'Assumptions (Wind)'!$V$6*Model!$AT$658*AVERAGE('Assumptions (Wind)'!$AQ$2:$AR$2)/10^9),0)</f>
        <v>-12.47050243080629</v>
      </c>
      <c r="BC758" s="105">
        <f>IF($AT$658&gt;0,PPMT('Assumptions (Wind)'!$V$8,Model!AF1,'Assumptions (Wind)'!$V$11,'Assumptions (Wind)'!$V$6*Model!$AT$658*AVERAGE('Assumptions (Wind)'!$AQ$2:$AR$2)/10^9),0)</f>
        <v>-13.468142625270794</v>
      </c>
      <c r="BD758" s="105" t="e">
        <f>IF($AT$658&gt;0,PPMT('Assumptions (Wind)'!$V$8,Model!AG1,'Assumptions (Wind)'!$V$11,'Assumptions (Wind)'!$V$6*Model!$AT$658*AVERAGE('Assumptions (Wind)'!$AQ$2:$AR$2)/10^9),0)</f>
        <v>#NUM!</v>
      </c>
      <c r="BE758" s="105" t="e">
        <f>IF($AT$658&gt;0,PPMT('Assumptions (Wind)'!$V$8,Model!AH1,'Assumptions (Wind)'!$V$11,'Assumptions (Wind)'!$V$6*Model!$AT$658*AVERAGE('Assumptions (Wind)'!$AQ$2:$AR$2)/10^9),0)</f>
        <v>#NUM!</v>
      </c>
      <c r="BF758" s="105" t="e">
        <f>IF($AT$658&gt;0,PPMT('Assumptions (Wind)'!$V$8,Model!AI1,'Assumptions (Wind)'!$V$11,'Assumptions (Wind)'!$V$6*Model!$AT$658*AVERAGE('Assumptions (Wind)'!$AQ$2:$AR$2)/10^9),0)</f>
        <v>#NUM!</v>
      </c>
      <c r="BG758" s="105" t="e">
        <f>IF($AT$658&gt;0,PPMT('Assumptions (Wind)'!$V$8,Model!AJ1,'Assumptions (Wind)'!$V$11,'Assumptions (Wind)'!$V$6*Model!$AT$658*AVERAGE('Assumptions (Wind)'!$AQ$2:$AR$2)/10^9),0)</f>
        <v>#NUM!</v>
      </c>
      <c r="BH758" s="105" t="e">
        <f>IF($AT$658&gt;0,PPMT('Assumptions (Wind)'!$V$8,Model!AK1,'Assumptions (Wind)'!$V$11,'Assumptions (Wind)'!$V$6*Model!$AT$658*AVERAGE('Assumptions (Wind)'!$AQ$2:$AR$2)/10^9),0)</f>
        <v>#NUM!</v>
      </c>
      <c r="BI758" s="105"/>
      <c r="BJ758" s="105"/>
      <c r="BK758" s="105"/>
      <c r="BL758" s="105"/>
      <c r="BM758" s="105"/>
      <c r="BN758" s="105"/>
      <c r="BO758" s="105"/>
      <c r="BP758" s="105"/>
      <c r="BQ758" s="105"/>
      <c r="BR758" s="105"/>
    </row>
    <row r="759" spans="1:77" ht="15.75" hidden="1" customHeight="1" outlineLevel="1">
      <c r="A759" s="395"/>
      <c r="B759" s="99"/>
      <c r="C759" s="99"/>
      <c r="D759" s="99"/>
      <c r="E759" s="99"/>
      <c r="F759" s="99"/>
      <c r="G759" s="99"/>
      <c r="H759" s="99"/>
      <c r="I759" s="99"/>
      <c r="J759" s="99"/>
      <c r="K759" s="99"/>
      <c r="L759" s="99"/>
      <c r="M759" s="99"/>
      <c r="N759" s="99"/>
      <c r="O759" s="99"/>
      <c r="P759" s="99"/>
      <c r="Q759" s="99"/>
      <c r="R759" s="99"/>
      <c r="S759" s="99"/>
      <c r="T759" s="99"/>
      <c r="U759" s="99"/>
      <c r="V759" s="99"/>
      <c r="W759" s="105"/>
      <c r="X759" s="105"/>
      <c r="Y759" s="105"/>
      <c r="Z759" s="105"/>
      <c r="AA759" s="105"/>
      <c r="AB759" s="105"/>
      <c r="AC759" s="105"/>
      <c r="AD759" s="105"/>
      <c r="AE759" s="105"/>
      <c r="AF759" s="105"/>
      <c r="AG759" s="105"/>
      <c r="AH759" s="105"/>
      <c r="AI759" s="105"/>
      <c r="AJ759" s="171"/>
      <c r="AK759" s="105"/>
      <c r="AL759" s="91"/>
      <c r="AM759" s="91"/>
      <c r="AN759" s="91"/>
      <c r="AO759" s="105"/>
      <c r="AP759" s="105"/>
      <c r="AQ759" s="105"/>
      <c r="AR759" s="105"/>
      <c r="AS759" s="105"/>
      <c r="AT759" s="105"/>
      <c r="AU759" s="105">
        <f>IF($AU$658&gt;0,PPMT('Assumptions (Wind)'!$V$8,Model!W1,'Assumptions (Wind)'!$V$11,'Assumptions (Wind)'!$V$6*Model!$AU$658*AVERAGE('Assumptions (Wind)'!$AR$2:$AS$2)/10^9),0)</f>
        <v>-7.5474430080429</v>
      </c>
      <c r="AV759" s="105">
        <f>IF($AU$658&gt;0,PPMT('Assumptions (Wind)'!$V$8,Model!X1,'Assumptions (Wind)'!$V$11,'Assumptions (Wind)'!$V$6*Model!$AU$658*AVERAGE('Assumptions (Wind)'!$AR$2:$AS$2)/10^9),0)</f>
        <v>-8.1512384486863319</v>
      </c>
      <c r="AW759" s="105">
        <f>IF($AU$658&gt;0,PPMT('Assumptions (Wind)'!$V$8,Model!Y1,'Assumptions (Wind)'!$V$11,'Assumptions (Wind)'!$V$6*Model!$AU$658*AVERAGE('Assumptions (Wind)'!$AR$2:$AS$2)/10^9),0)</f>
        <v>-8.803337524581238</v>
      </c>
      <c r="AX759" s="105">
        <f>IF($AU$658&gt;0,PPMT('Assumptions (Wind)'!$V$8,Model!Z1,'Assumptions (Wind)'!$V$11,'Assumptions (Wind)'!$V$6*Model!$AU$658*AVERAGE('Assumptions (Wind)'!$AR$2:$AS$2)/10^9),0)</f>
        <v>-9.5076045265477394</v>
      </c>
      <c r="AY759" s="105">
        <f>IF($AU$658&gt;0,PPMT('Assumptions (Wind)'!$V$8,Model!AA1,'Assumptions (Wind)'!$V$11,'Assumptions (Wind)'!$V$6*Model!$AU$658*AVERAGE('Assumptions (Wind)'!$AR$2:$AS$2)/10^9),0)</f>
        <v>-10.268212888671558</v>
      </c>
      <c r="AZ759" s="105">
        <f>IF($AU$658&gt;0,PPMT('Assumptions (Wind)'!$V$8,Model!AB1,'Assumptions (Wind)'!$V$11,'Assumptions (Wind)'!$V$6*Model!$AU$658*AVERAGE('Assumptions (Wind)'!$AR$2:$AS$2)/10^9),0)</f>
        <v>-11.089669919765281</v>
      </c>
      <c r="BA759" s="105">
        <f>IF($AU$658&gt;0,PPMT('Assumptions (Wind)'!$V$8,Model!AC1,'Assumptions (Wind)'!$V$11,'Assumptions (Wind)'!$V$6*Model!$AU$658*AVERAGE('Assumptions (Wind)'!$AR$2:$AS$2)/10^9),0)</f>
        <v>-11.976843513346504</v>
      </c>
      <c r="BB759" s="105">
        <f>IF($AU$658&gt;0,PPMT('Assumptions (Wind)'!$V$8,Model!AD1,'Assumptions (Wind)'!$V$11,'Assumptions (Wind)'!$V$6*Model!$AU$658*AVERAGE('Assumptions (Wind)'!$AR$2:$AS$2)/10^9),0)</f>
        <v>-12.934990994414225</v>
      </c>
      <c r="BC759" s="105">
        <f>IF($AU$658&gt;0,PPMT('Assumptions (Wind)'!$V$8,Model!AE1,'Assumptions (Wind)'!$V$11,'Assumptions (Wind)'!$V$6*Model!$AU$658*AVERAGE('Assumptions (Wind)'!$AR$2:$AS$2)/10^9),0)</f>
        <v>-13.969790273967362</v>
      </c>
      <c r="BD759" s="105">
        <f>IF($AU$658&gt;0,PPMT('Assumptions (Wind)'!$V$8,Model!AF1,'Assumptions (Wind)'!$V$11,'Assumptions (Wind)'!$V$6*Model!$AU$658*AVERAGE('Assumptions (Wind)'!$AR$2:$AS$2)/10^9),0)</f>
        <v>-15.087373495884751</v>
      </c>
      <c r="BE759" s="105" t="e">
        <f>IF($AU$658&gt;0,PPMT('Assumptions (Wind)'!$V$8,Model!AG1,'Assumptions (Wind)'!$V$11,'Assumptions (Wind)'!$V$6*Model!$AU$658*AVERAGE('Assumptions (Wind)'!$AR$2:$AS$2)/10^9),0)</f>
        <v>#NUM!</v>
      </c>
      <c r="BF759" s="105" t="e">
        <f>IF($AU$658&gt;0,PPMT('Assumptions (Wind)'!$V$8,Model!AH1,'Assumptions (Wind)'!$V$11,'Assumptions (Wind)'!$V$6*Model!$AU$658*AVERAGE('Assumptions (Wind)'!$AR$2:$AS$2)/10^9),0)</f>
        <v>#NUM!</v>
      </c>
      <c r="BG759" s="105" t="e">
        <f>IF($AU$658&gt;0,PPMT('Assumptions (Wind)'!$V$8,Model!AI1,'Assumptions (Wind)'!$V$11,'Assumptions (Wind)'!$V$6*Model!$AU$658*AVERAGE('Assumptions (Wind)'!$AR$2:$AS$2)/10^9),0)</f>
        <v>#NUM!</v>
      </c>
      <c r="BH759" s="105" t="e">
        <f>IF($AU$658&gt;0,PPMT('Assumptions (Wind)'!$V$8,Model!AJ1,'Assumptions (Wind)'!$V$11,'Assumptions (Wind)'!$V$6*Model!$AU$658*AVERAGE('Assumptions (Wind)'!$AR$2:$AS$2)/10^9),0)</f>
        <v>#NUM!</v>
      </c>
      <c r="BI759" s="105" t="e">
        <f>IF($AU$658&gt;0,PPMT('Assumptions (Wind)'!$V$8,Model!AK1,'Assumptions (Wind)'!$V$11,'Assumptions (Wind)'!$V$6*Model!$AU$658*AVERAGE('Assumptions (Wind)'!$AR$2:$AS$2)/10^9),0)</f>
        <v>#NUM!</v>
      </c>
      <c r="BJ759" s="105"/>
      <c r="BK759" s="105"/>
      <c r="BL759" s="105"/>
      <c r="BM759" s="105"/>
      <c r="BN759" s="105"/>
      <c r="BO759" s="105"/>
      <c r="BP759" s="105"/>
      <c r="BQ759" s="105"/>
      <c r="BR759" s="105"/>
      <c r="BS759" s="105"/>
    </row>
    <row r="760" spans="1:77" ht="15.75" hidden="1" customHeight="1" outlineLevel="1">
      <c r="A760" s="395"/>
      <c r="B760" s="99"/>
      <c r="C760" s="99"/>
      <c r="D760" s="99"/>
      <c r="E760" s="99"/>
      <c r="F760" s="99"/>
      <c r="G760" s="99"/>
      <c r="H760" s="99"/>
      <c r="I760" s="99"/>
      <c r="J760" s="99"/>
      <c r="K760" s="99"/>
      <c r="L760" s="99"/>
      <c r="M760" s="99"/>
      <c r="N760" s="99"/>
      <c r="O760" s="99"/>
      <c r="P760" s="99"/>
      <c r="Q760" s="99"/>
      <c r="R760" s="99"/>
      <c r="S760" s="99"/>
      <c r="T760" s="99"/>
      <c r="U760" s="99"/>
      <c r="V760" s="99"/>
      <c r="W760" s="105"/>
      <c r="X760" s="105"/>
      <c r="Y760" s="105"/>
      <c r="Z760" s="105"/>
      <c r="AA760" s="105"/>
      <c r="AB760" s="105"/>
      <c r="AC760" s="105"/>
      <c r="AD760" s="105"/>
      <c r="AE760" s="105"/>
      <c r="AF760" s="105"/>
      <c r="AG760" s="105"/>
      <c r="AH760" s="105"/>
      <c r="AI760" s="105"/>
      <c r="AJ760" s="171"/>
      <c r="AK760" s="105"/>
      <c r="AL760" s="91"/>
      <c r="AM760" s="91"/>
      <c r="AN760" s="91"/>
      <c r="AO760" s="105"/>
      <c r="AP760" s="105"/>
      <c r="AQ760" s="105"/>
      <c r="AR760" s="105"/>
      <c r="AS760" s="105"/>
      <c r="AT760" s="105"/>
      <c r="AU760" s="105"/>
      <c r="AV760" s="105">
        <f>IF($AV$658&gt;0,PPMT('Assumptions (Wind)'!$V$8,Model!W1,'Assumptions (Wind)'!$V$11,'Assumptions (Wind)'!$V$6*Model!$AV$658*AVERAGE('Assumptions (Wind)'!$AS$2:$AT$2)/10^9),0)</f>
        <v>-6.367885092046734</v>
      </c>
      <c r="AW760" s="105">
        <f>IF($AV$658&gt;0,PPMT('Assumptions (Wind)'!$V$8,Model!X1,'Assumptions (Wind)'!$V$11,'Assumptions (Wind)'!$V$6*Model!$AV$658*AVERAGE('Assumptions (Wind)'!$AS$2:$AT$2)/10^9),0)</f>
        <v>-6.8773158994104735</v>
      </c>
      <c r="AX760" s="105">
        <f>IF($AV$658&gt;0,PPMT('Assumptions (Wind)'!$V$8,Model!Y1,'Assumptions (Wind)'!$V$11,'Assumptions (Wind)'!$V$6*Model!$AV$658*AVERAGE('Assumptions (Wind)'!$AS$2:$AT$2)/10^9),0)</f>
        <v>-7.4275011713633106</v>
      </c>
      <c r="AY760" s="105">
        <f>IF($AV$658&gt;0,PPMT('Assumptions (Wind)'!$V$8,Model!Z1,'Assumptions (Wind)'!$V$11,'Assumptions (Wind)'!$V$6*Model!$AV$658*AVERAGE('Assumptions (Wind)'!$AS$2:$AT$2)/10^9),0)</f>
        <v>-8.0217012650723767</v>
      </c>
      <c r="AZ760" s="105">
        <f>IF($AV$658&gt;0,PPMT('Assumptions (Wind)'!$V$8,Model!AA1,'Assumptions (Wind)'!$V$11,'Assumptions (Wind)'!$V$6*Model!$AV$658*AVERAGE('Assumptions (Wind)'!$AS$2:$AT$2)/10^9),0)</f>
        <v>-8.663437366278167</v>
      </c>
      <c r="BA760" s="105">
        <f>IF($AV$658&gt;0,PPMT('Assumptions (Wind)'!$V$8,Model!AB1,'Assumptions (Wind)'!$V$11,'Assumptions (Wind)'!$V$6*Model!$AV$658*AVERAGE('Assumptions (Wind)'!$AS$2:$AT$2)/10^9),0)</f>
        <v>-9.3565123555804188</v>
      </c>
      <c r="BB760" s="105">
        <f>IF($AV$658&gt;0,PPMT('Assumptions (Wind)'!$V$8,Model!AC1,'Assumptions (Wind)'!$V$11,'Assumptions (Wind)'!$V$6*Model!$AV$658*AVERAGE('Assumptions (Wind)'!$AS$2:$AT$2)/10^9),0)</f>
        <v>-10.105033344026852</v>
      </c>
      <c r="BC760" s="105">
        <f>IF($AV$658&gt;0,PPMT('Assumptions (Wind)'!$V$8,Model!AD1,'Assumptions (Wind)'!$V$11,'Assumptions (Wind)'!$V$6*Model!$AV$658*AVERAGE('Assumptions (Wind)'!$AS$2:$AT$2)/10^9),0)</f>
        <v>-10.913436011548999</v>
      </c>
      <c r="BD760" s="105">
        <f>IF($AV$658&gt;0,PPMT('Assumptions (Wind)'!$V$8,Model!AE1,'Assumptions (Wind)'!$V$11,'Assumptions (Wind)'!$V$6*Model!$AV$658*AVERAGE('Assumptions (Wind)'!$AS$2:$AT$2)/10^9),0)</f>
        <v>-11.786510892472918</v>
      </c>
      <c r="BE760" s="105">
        <f>IF($AV$658&gt;0,PPMT('Assumptions (Wind)'!$V$8,Model!AF1,'Assumptions (Wind)'!$V$11,'Assumptions (Wind)'!$V$6*Model!$AV$658*AVERAGE('Assumptions (Wind)'!$AS$2:$AT$2)/10^9),0)</f>
        <v>-12.729431763870753</v>
      </c>
      <c r="BF760" s="105" t="e">
        <f>IF($AV$658&gt;0,PPMT('Assumptions (Wind)'!$V$8,Model!AG1,'Assumptions (Wind)'!$V$11,'Assumptions (Wind)'!$V$6*Model!$AV$658*AVERAGE('Assumptions (Wind)'!$AS$2:$AT$2)/10^9),0)</f>
        <v>#NUM!</v>
      </c>
      <c r="BG760" s="105" t="e">
        <f>IF($AV$658&gt;0,PPMT('Assumptions (Wind)'!$V$8,Model!AH1,'Assumptions (Wind)'!$V$11,'Assumptions (Wind)'!$V$6*Model!$AV$658*AVERAGE('Assumptions (Wind)'!$AS$2:$AT$2)/10^9),0)</f>
        <v>#NUM!</v>
      </c>
      <c r="BH760" s="105" t="e">
        <f>IF($AV$658&gt;0,PPMT('Assumptions (Wind)'!$V$8,Model!AI1,'Assumptions (Wind)'!$V$11,'Assumptions (Wind)'!$V$6*Model!$AV$658*AVERAGE('Assumptions (Wind)'!$AS$2:$AT$2)/10^9),0)</f>
        <v>#NUM!</v>
      </c>
      <c r="BI760" s="105" t="e">
        <f>IF($AV$658&gt;0,PPMT('Assumptions (Wind)'!$V$8,Model!AJ1,'Assumptions (Wind)'!$V$11,'Assumptions (Wind)'!$V$6*Model!$AV$658*AVERAGE('Assumptions (Wind)'!$AS$2:$AT$2)/10^9),0)</f>
        <v>#NUM!</v>
      </c>
      <c r="BJ760" s="105" t="e">
        <f>IF($AV$658&gt;0,PPMT('Assumptions (Wind)'!$V$8,Model!AK1,'Assumptions (Wind)'!$V$11,'Assumptions (Wind)'!$V$6*Model!$AV$658*AVERAGE('Assumptions (Wind)'!$AS$2:$AT$2)/10^9),0)</f>
        <v>#NUM!</v>
      </c>
      <c r="BK760" s="105"/>
      <c r="BL760" s="105"/>
      <c r="BM760" s="105"/>
      <c r="BN760" s="105"/>
      <c r="BO760" s="105"/>
      <c r="BP760" s="105"/>
      <c r="BQ760" s="105"/>
      <c r="BR760" s="105"/>
      <c r="BS760" s="105"/>
      <c r="BT760" s="105"/>
    </row>
    <row r="761" spans="1:77" ht="15.75" hidden="1" customHeight="1" outlineLevel="1">
      <c r="A761" s="395"/>
      <c r="B761" s="99"/>
      <c r="C761" s="99"/>
      <c r="D761" s="99"/>
      <c r="E761" s="99"/>
      <c r="F761" s="99"/>
      <c r="G761" s="99"/>
      <c r="H761" s="99"/>
      <c r="I761" s="99"/>
      <c r="J761" s="99"/>
      <c r="K761" s="99"/>
      <c r="L761" s="99"/>
      <c r="M761" s="99"/>
      <c r="N761" s="99"/>
      <c r="O761" s="99"/>
      <c r="P761" s="99"/>
      <c r="Q761" s="99"/>
      <c r="R761" s="99"/>
      <c r="S761" s="99"/>
      <c r="T761" s="99"/>
      <c r="U761" s="99"/>
      <c r="V761" s="99"/>
      <c r="W761" s="105"/>
      <c r="X761" s="105"/>
      <c r="Y761" s="105"/>
      <c r="Z761" s="105"/>
      <c r="AA761" s="105"/>
      <c r="AB761" s="105"/>
      <c r="AC761" s="105"/>
      <c r="AD761" s="105"/>
      <c r="AE761" s="105"/>
      <c r="AF761" s="105"/>
      <c r="AG761" s="105"/>
      <c r="AH761" s="105"/>
      <c r="AI761" s="105"/>
      <c r="AJ761" s="171"/>
      <c r="AK761" s="105"/>
      <c r="AL761" s="91"/>
      <c r="AM761" s="91"/>
      <c r="AN761" s="91"/>
      <c r="AO761" s="105"/>
      <c r="AP761" s="105"/>
      <c r="AQ761" s="105"/>
      <c r="AR761" s="105"/>
      <c r="AS761" s="105"/>
      <c r="AT761" s="105"/>
      <c r="AU761" s="105"/>
      <c r="AV761" s="105"/>
      <c r="AW761" s="105">
        <f>IF($AW$658&gt;0,PPMT('Assumptions (Wind)'!$V$8,Model!W1,'Assumptions (Wind)'!$V$11,'Assumptions (Wind)'!$V$6*Model!$AW$658*AVERAGE('Assumptions (Wind)'!$AT$2:$AU$2)/10^9),0)</f>
        <v>-6.94465691009807</v>
      </c>
      <c r="AX761" s="105">
        <f>IF($AW$658&gt;0,PPMT('Assumptions (Wind)'!$V$8,Model!X1,'Assumptions (Wind)'!$V$11,'Assumptions (Wind)'!$V$6*Model!$AW$658*AVERAGE('Assumptions (Wind)'!$AT$2:$AU$2)/10^9),0)</f>
        <v>-7.5002294629059172</v>
      </c>
      <c r="AY761" s="105">
        <f>IF($AW$658&gt;0,PPMT('Assumptions (Wind)'!$V$8,Model!Y1,'Assumptions (Wind)'!$V$11,'Assumptions (Wind)'!$V$6*Model!$AW$658*AVERAGE('Assumptions (Wind)'!$AT$2:$AU$2)/10^9),0)</f>
        <v>-8.1002478199383887</v>
      </c>
      <c r="AZ761" s="105">
        <f>IF($AW$658&gt;0,PPMT('Assumptions (Wind)'!$V$8,Model!Z1,'Assumptions (Wind)'!$V$11,'Assumptions (Wind)'!$V$6*Model!$AW$658*AVERAGE('Assumptions (Wind)'!$AT$2:$AU$2)/10^9),0)</f>
        <v>-8.7482676455334598</v>
      </c>
      <c r="BA761" s="105">
        <f>IF($AW$658&gt;0,PPMT('Assumptions (Wind)'!$V$8,Model!AA1,'Assumptions (Wind)'!$V$11,'Assumptions (Wind)'!$V$6*Model!$AW$658*AVERAGE('Assumptions (Wind)'!$AT$2:$AU$2)/10^9),0)</f>
        <v>-9.4481290571761392</v>
      </c>
      <c r="BB761" s="105">
        <f>IF($AW$658&gt;0,PPMT('Assumptions (Wind)'!$V$8,Model!AB1,'Assumptions (Wind)'!$V$11,'Assumptions (Wind)'!$V$6*Model!$AW$658*AVERAGE('Assumptions (Wind)'!$AT$2:$AU$2)/10^9),0)</f>
        <v>-10.203979381750228</v>
      </c>
      <c r="BC761" s="105">
        <f>IF($AW$658&gt;0,PPMT('Assumptions (Wind)'!$V$8,Model!AC1,'Assumptions (Wind)'!$V$11,'Assumptions (Wind)'!$V$6*Model!$AW$658*AVERAGE('Assumptions (Wind)'!$AT$2:$AU$2)/10^9),0)</f>
        <v>-11.020297732290246</v>
      </c>
      <c r="BD761" s="105">
        <f>IF($AW$658&gt;0,PPMT('Assumptions (Wind)'!$V$8,Model!AD1,'Assumptions (Wind)'!$V$11,'Assumptions (Wind)'!$V$6*Model!$AW$658*AVERAGE('Assumptions (Wind)'!$AT$2:$AU$2)/10^9),0)</f>
        <v>-11.901921550873466</v>
      </c>
      <c r="BE761" s="105">
        <f>IF($AW$658&gt;0,PPMT('Assumptions (Wind)'!$V$8,Model!AE1,'Assumptions (Wind)'!$V$11,'Assumptions (Wind)'!$V$6*Model!$AW$658*AVERAGE('Assumptions (Wind)'!$AT$2:$AU$2)/10^9),0)</f>
        <v>-12.854075274943343</v>
      </c>
      <c r="BF761" s="105">
        <f>IF($AW$658&gt;0,PPMT('Assumptions (Wind)'!$V$8,Model!AF1,'Assumptions (Wind)'!$V$11,'Assumptions (Wind)'!$V$6*Model!$AW$658*AVERAGE('Assumptions (Wind)'!$AT$2:$AU$2)/10^9),0)</f>
        <v>-13.882401296938811</v>
      </c>
      <c r="BG761" s="105" t="e">
        <f>IF($AW$658&gt;0,PPMT('Assumptions (Wind)'!$V$8,Model!AG1,'Assumptions (Wind)'!$V$11,'Assumptions (Wind)'!$V$6*Model!$AW$658*AVERAGE('Assumptions (Wind)'!$AT$2:$AU$2)/10^9),0)</f>
        <v>#NUM!</v>
      </c>
      <c r="BH761" s="105" t="e">
        <f>IF($AW$658&gt;0,PPMT('Assumptions (Wind)'!$V$8,Model!AH1,'Assumptions (Wind)'!$V$11,'Assumptions (Wind)'!$V$6*Model!$AW$658*AVERAGE('Assumptions (Wind)'!$AT$2:$AU$2)/10^9),0)</f>
        <v>#NUM!</v>
      </c>
      <c r="BI761" s="105" t="e">
        <f>IF($AW$658&gt;0,PPMT('Assumptions (Wind)'!$V$8,Model!AI1,'Assumptions (Wind)'!$V$11,'Assumptions (Wind)'!$V$6*Model!$AW$658*AVERAGE('Assumptions (Wind)'!$AT$2:$AU$2)/10^9),0)</f>
        <v>#NUM!</v>
      </c>
      <c r="BJ761" s="105" t="e">
        <f>IF($AW$658&gt;0,PPMT('Assumptions (Wind)'!$V$8,Model!AJ1,'Assumptions (Wind)'!$V$11,'Assumptions (Wind)'!$V$6*Model!$AW$658*AVERAGE('Assumptions (Wind)'!$AT$2:$AU$2)/10^9),0)</f>
        <v>#NUM!</v>
      </c>
      <c r="BK761" s="105" t="e">
        <f>IF($AW$658&gt;0,PPMT('Assumptions (Wind)'!$V$8,Model!AK1,'Assumptions (Wind)'!$V$11,'Assumptions (Wind)'!$V$6*Model!$AW$658*AVERAGE('Assumptions (Wind)'!$AT$2:$AU$2)/10^9),0)</f>
        <v>#NUM!</v>
      </c>
      <c r="BL761" s="105"/>
      <c r="BM761" s="105"/>
      <c r="BN761" s="105"/>
      <c r="BO761" s="105"/>
      <c r="BP761" s="105"/>
      <c r="BQ761" s="105"/>
      <c r="BR761" s="105"/>
      <c r="BS761" s="105"/>
      <c r="BT761" s="105"/>
      <c r="BU761" s="105"/>
    </row>
    <row r="762" spans="1:77" ht="15.75" hidden="1" customHeight="1" outlineLevel="1">
      <c r="A762" s="395"/>
      <c r="B762" s="99"/>
      <c r="C762" s="99"/>
      <c r="D762" s="99"/>
      <c r="E762" s="99"/>
      <c r="F762" s="99"/>
      <c r="G762" s="99"/>
      <c r="H762" s="99"/>
      <c r="I762" s="99"/>
      <c r="J762" s="99"/>
      <c r="K762" s="99"/>
      <c r="L762" s="99"/>
      <c r="M762" s="99"/>
      <c r="N762" s="99"/>
      <c r="O762" s="99"/>
      <c r="P762" s="99"/>
      <c r="Q762" s="99"/>
      <c r="R762" s="99"/>
      <c r="S762" s="99"/>
      <c r="T762" s="99"/>
      <c r="U762" s="99"/>
      <c r="V762" s="99"/>
      <c r="W762" s="105"/>
      <c r="X762" s="105"/>
      <c r="Y762" s="105"/>
      <c r="Z762" s="105"/>
      <c r="AA762" s="105"/>
      <c r="AB762" s="105"/>
      <c r="AC762" s="105"/>
      <c r="AD762" s="105"/>
      <c r="AE762" s="105"/>
      <c r="AF762" s="105"/>
      <c r="AG762" s="105"/>
      <c r="AH762" s="105"/>
      <c r="AI762" s="105"/>
      <c r="AJ762" s="171"/>
      <c r="AK762" s="105"/>
      <c r="AL762" s="91"/>
      <c r="AM762" s="91"/>
      <c r="AN762" s="91"/>
      <c r="AO762" s="105"/>
      <c r="AP762" s="105"/>
      <c r="AQ762" s="105"/>
      <c r="AR762" s="105"/>
      <c r="AS762" s="105"/>
      <c r="AT762" s="105"/>
      <c r="AU762" s="105"/>
      <c r="AV762" s="105"/>
      <c r="AW762" s="105"/>
      <c r="AX762" s="105">
        <f>IF($AX$658&gt;0,PPMT('Assumptions (Wind)'!$V$8,Model!W1,'Assumptions (Wind)'!$V$11,'Assumptions (Wind)'!$V$6*Model!$AX$658*AVERAGE('Assumptions (Wind)'!$AU$2:$AV$2)/10^9),0)</f>
        <v>-7.4660220867499083</v>
      </c>
      <c r="AY762" s="105">
        <f>IF($AX$658&gt;0,PPMT('Assumptions (Wind)'!$V$8,Model!X1,'Assumptions (Wind)'!$V$11,'Assumptions (Wind)'!$V$6*Model!$AX$658*AVERAGE('Assumptions (Wind)'!$AU$2:$AV$2)/10^9),0)</f>
        <v>-8.0633038536899022</v>
      </c>
      <c r="AZ762" s="105">
        <f>IF($AX$658&gt;0,PPMT('Assumptions (Wind)'!$V$8,Model!Y1,'Assumptions (Wind)'!$V$11,'Assumptions (Wind)'!$V$6*Model!$AX$658*AVERAGE('Assumptions (Wind)'!$AU$2:$AV$2)/10^9),0)</f>
        <v>-8.7083681619850921</v>
      </c>
      <c r="BA762" s="105">
        <f>IF($AX$658&gt;0,PPMT('Assumptions (Wind)'!$V$8,Model!Z1,'Assumptions (Wind)'!$V$11,'Assumptions (Wind)'!$V$6*Model!$AX$658*AVERAGE('Assumptions (Wind)'!$AU$2:$AV$2)/10^9),0)</f>
        <v>-9.4050376149439021</v>
      </c>
      <c r="BB762" s="105">
        <f>IF($AX$658&gt;0,PPMT('Assumptions (Wind)'!$V$8,Model!AA1,'Assumptions (Wind)'!$V$11,'Assumptions (Wind)'!$V$6*Model!$AX$658*AVERAGE('Assumptions (Wind)'!$AU$2:$AV$2)/10^9),0)</f>
        <v>-10.157440624139413</v>
      </c>
      <c r="BC762" s="105">
        <f>IF($AX$658&gt;0,PPMT('Assumptions (Wind)'!$V$8,Model!AB1,'Assumptions (Wind)'!$V$11,'Assumptions (Wind)'!$V$6*Model!$AX$658*AVERAGE('Assumptions (Wind)'!$AU$2:$AV$2)/10^9),0)</f>
        <v>-10.970035874070566</v>
      </c>
      <c r="BD762" s="105">
        <f>IF($AX$658&gt;0,PPMT('Assumptions (Wind)'!$V$8,Model!AC1,'Assumptions (Wind)'!$V$11,'Assumptions (Wind)'!$V$6*Model!$AX$658*AVERAGE('Assumptions (Wind)'!$AU$2:$AV$2)/10^9),0)</f>
        <v>-11.84763874399621</v>
      </c>
      <c r="BE762" s="105">
        <f>IF($AX$658&gt;0,PPMT('Assumptions (Wind)'!$V$8,Model!AD1,'Assumptions (Wind)'!$V$11,'Assumptions (Wind)'!$V$6*Model!$AX$658*AVERAGE('Assumptions (Wind)'!$AU$2:$AV$2)/10^9),0)</f>
        <v>-12.795449843515907</v>
      </c>
      <c r="BF762" s="105">
        <f>IF($AX$658&gt;0,PPMT('Assumptions (Wind)'!$V$8,Model!AE1,'Assumptions (Wind)'!$V$11,'Assumptions (Wind)'!$V$6*Model!$AX$658*AVERAGE('Assumptions (Wind)'!$AU$2:$AV$2)/10^9),0)</f>
        <v>-13.819085830997182</v>
      </c>
      <c r="BG762" s="105">
        <f>IF($AX$658&gt;0,PPMT('Assumptions (Wind)'!$V$8,Model!AF1,'Assumptions (Wind)'!$V$11,'Assumptions (Wind)'!$V$6*Model!$AX$658*AVERAGE('Assumptions (Wind)'!$AU$2:$AV$2)/10^9),0)</f>
        <v>-14.924612697476956</v>
      </c>
      <c r="BH762" s="105" t="e">
        <f>IF($AX$658&gt;0,PPMT('Assumptions (Wind)'!$V$8,Model!AG1,'Assumptions (Wind)'!$V$11,'Assumptions (Wind)'!$V$6*Model!$AX$658*AVERAGE('Assumptions (Wind)'!$AU$2:$AV$2)/10^9),0)</f>
        <v>#NUM!</v>
      </c>
      <c r="BI762" s="105" t="e">
        <f>IF($AX$658&gt;0,PPMT('Assumptions (Wind)'!$V$8,Model!AH1,'Assumptions (Wind)'!$V$11,'Assumptions (Wind)'!$V$6*Model!$AX$658*AVERAGE('Assumptions (Wind)'!$AU$2:$AV$2)/10^9),0)</f>
        <v>#NUM!</v>
      </c>
      <c r="BJ762" s="105" t="e">
        <f>IF($AX$658&gt;0,PPMT('Assumptions (Wind)'!$V$8,Model!AI1,'Assumptions (Wind)'!$V$11,'Assumptions (Wind)'!$V$6*Model!$AX$658*AVERAGE('Assumptions (Wind)'!$AU$2:$AV$2)/10^9),0)</f>
        <v>#NUM!</v>
      </c>
      <c r="BK762" s="105" t="e">
        <f>IF($AX$658&gt;0,PPMT('Assumptions (Wind)'!$V$8,Model!AJ1,'Assumptions (Wind)'!$V$11,'Assumptions (Wind)'!$V$6*Model!$AX$658*AVERAGE('Assumptions (Wind)'!$AU$2:$AV$2)/10^9),0)</f>
        <v>#NUM!</v>
      </c>
      <c r="BL762" s="105" t="e">
        <f>IF($AX$658&gt;0,PPMT('Assumptions (Wind)'!$V$8,Model!AK1,'Assumptions (Wind)'!$V$11,'Assumptions (Wind)'!$V$6*Model!$AX$658*AVERAGE('Assumptions (Wind)'!$AU$2:$AV$2)/10^9),0)</f>
        <v>#NUM!</v>
      </c>
      <c r="BM762" s="105"/>
      <c r="BN762" s="105"/>
      <c r="BO762" s="105"/>
      <c r="BP762" s="105"/>
      <c r="BQ762" s="105"/>
      <c r="BR762" s="105"/>
      <c r="BS762" s="105"/>
      <c r="BT762" s="105"/>
      <c r="BU762" s="105"/>
      <c r="BV762" s="105"/>
    </row>
    <row r="763" spans="1:77" ht="15.75" hidden="1" customHeight="1" outlineLevel="1">
      <c r="A763" s="395"/>
      <c r="B763" s="99"/>
      <c r="C763" s="99"/>
      <c r="D763" s="99"/>
      <c r="E763" s="99"/>
      <c r="F763" s="99"/>
      <c r="G763" s="99"/>
      <c r="H763" s="99"/>
      <c r="I763" s="99"/>
      <c r="J763" s="99"/>
      <c r="K763" s="99"/>
      <c r="L763" s="99"/>
      <c r="M763" s="99"/>
      <c r="N763" s="99"/>
      <c r="O763" s="99"/>
      <c r="P763" s="99"/>
      <c r="Q763" s="99"/>
      <c r="R763" s="99"/>
      <c r="S763" s="99"/>
      <c r="T763" s="99"/>
      <c r="U763" s="99"/>
      <c r="V763" s="99"/>
      <c r="W763" s="105"/>
      <c r="X763" s="105"/>
      <c r="Y763" s="105"/>
      <c r="Z763" s="105"/>
      <c r="AA763" s="105"/>
      <c r="AB763" s="105"/>
      <c r="AC763" s="105"/>
      <c r="AD763" s="105"/>
      <c r="AE763" s="105"/>
      <c r="AF763" s="105"/>
      <c r="AG763" s="105"/>
      <c r="AH763" s="105"/>
      <c r="AI763" s="105"/>
      <c r="AJ763" s="171"/>
      <c r="AK763" s="105"/>
      <c r="AL763" s="91"/>
      <c r="AM763" s="91"/>
      <c r="AN763" s="91"/>
      <c r="AO763" s="105"/>
      <c r="AP763" s="105"/>
      <c r="AQ763" s="105"/>
      <c r="AR763" s="105"/>
      <c r="AS763" s="105"/>
      <c r="AT763" s="105"/>
      <c r="AU763" s="105"/>
      <c r="AV763" s="105"/>
      <c r="AW763" s="105"/>
      <c r="AX763" s="105"/>
      <c r="AY763" s="105">
        <f>IF($AY$658&gt;0,PPMT('Assumptions (Wind)'!$V$8,Model!W1,'Assumptions (Wind)'!$V$11,'Assumptions (Wind)'!$V$6*Model!$AY$658*AVERAGE('Assumptions (Wind)'!$AV$2:$AW$2)/10^9),0)</f>
        <v>-7.6761348060868482</v>
      </c>
      <c r="AZ763" s="105">
        <f>IF($AY$658&gt;0,PPMT('Assumptions (Wind)'!$V$8,Model!X1,'Assumptions (Wind)'!$V$11,'Assumptions (Wind)'!$V$6*Model!$AY$658*AVERAGE('Assumptions (Wind)'!$AV$2:$AW$2)/10^9),0)</f>
        <v>-8.2902255905737974</v>
      </c>
      <c r="BA763" s="105">
        <f>IF($AY$658&gt;0,PPMT('Assumptions (Wind)'!$V$8,Model!Y1,'Assumptions (Wind)'!$V$11,'Assumptions (Wind)'!$V$6*Model!$AY$658*AVERAGE('Assumptions (Wind)'!$AV$2:$AW$2)/10^9),0)</f>
        <v>-8.9534436378196993</v>
      </c>
      <c r="BB763" s="105">
        <f>IF($AY$658&gt;0,PPMT('Assumptions (Wind)'!$V$8,Model!Z1,'Assumptions (Wind)'!$V$11,'Assumptions (Wind)'!$V$6*Model!$AY$658*AVERAGE('Assumptions (Wind)'!$AV$2:$AW$2)/10^9),0)</f>
        <v>-9.6697191288452764</v>
      </c>
      <c r="BC763" s="105">
        <f>IF($AY$658&gt;0,PPMT('Assumptions (Wind)'!$V$8,Model!AA1,'Assumptions (Wind)'!$V$11,'Assumptions (Wind)'!$V$6*Model!$AY$658*AVERAGE('Assumptions (Wind)'!$AV$2:$AW$2)/10^9),0)</f>
        <v>-10.443296659152898</v>
      </c>
      <c r="BD763" s="105">
        <f>IF($AY$658&gt;0,PPMT('Assumptions (Wind)'!$V$8,Model!AB1,'Assumptions (Wind)'!$V$11,'Assumptions (Wind)'!$V$6*Model!$AY$658*AVERAGE('Assumptions (Wind)'!$AV$2:$AW$2)/10^9),0)</f>
        <v>-11.278760391885127</v>
      </c>
      <c r="BE763" s="105">
        <f>IF($AY$658&gt;0,PPMT('Assumptions (Wind)'!$V$8,Model!AC1,'Assumptions (Wind)'!$V$11,'Assumptions (Wind)'!$V$6*Model!$AY$658*AVERAGE('Assumptions (Wind)'!$AV$2:$AW$2)/10^9),0)</f>
        <v>-12.181061223235938</v>
      </c>
      <c r="BF763" s="105">
        <f>IF($AY$658&gt;0,PPMT('Assumptions (Wind)'!$V$8,Model!AD1,'Assumptions (Wind)'!$V$11,'Assumptions (Wind)'!$V$6*Model!$AY$658*AVERAGE('Assumptions (Wind)'!$AV$2:$AW$2)/10^9),0)</f>
        <v>-13.155546121094815</v>
      </c>
      <c r="BG763" s="105">
        <f>IF($AY$658&gt;0,PPMT('Assumptions (Wind)'!$V$8,Model!AE1,'Assumptions (Wind)'!$V$11,'Assumptions (Wind)'!$V$6*Model!$AY$658*AVERAGE('Assumptions (Wind)'!$AV$2:$AW$2)/10^9),0)</f>
        <v>-14.207989810782399</v>
      </c>
      <c r="BH763" s="105">
        <f>IF($AY$658&gt;0,PPMT('Assumptions (Wind)'!$V$8,Model!AF1,'Assumptions (Wind)'!$V$11,'Assumptions (Wind)'!$V$6*Model!$AY$658*AVERAGE('Assumptions (Wind)'!$AV$2:$AW$2)/10^9),0)</f>
        <v>-15.344628995644992</v>
      </c>
      <c r="BI763" s="105" t="e">
        <f>IF($AY$658&gt;0,PPMT('Assumptions (Wind)'!$V$8,Model!AG1,'Assumptions (Wind)'!$V$11,'Assumptions (Wind)'!$V$6*Model!$AY$658*AVERAGE('Assumptions (Wind)'!$AV$2:$AW$2)/10^9),0)</f>
        <v>#NUM!</v>
      </c>
      <c r="BJ763" s="105" t="e">
        <f>IF($AY$658&gt;0,PPMT('Assumptions (Wind)'!$V$8,Model!AH1,'Assumptions (Wind)'!$V$11,'Assumptions (Wind)'!$V$6*Model!$AY$658*AVERAGE('Assumptions (Wind)'!$AV$2:$AW$2)/10^9),0)</f>
        <v>#NUM!</v>
      </c>
      <c r="BK763" s="105" t="e">
        <f>IF($AY$658&gt;0,PPMT('Assumptions (Wind)'!$V$8,Model!AI1,'Assumptions (Wind)'!$V$11,'Assumptions (Wind)'!$V$6*Model!$AY$658*AVERAGE('Assumptions (Wind)'!$AV$2:$AW$2)/10^9),0)</f>
        <v>#NUM!</v>
      </c>
      <c r="BL763" s="105" t="e">
        <f>IF($AY$658&gt;0,PPMT('Assumptions (Wind)'!$V$8,Model!AJ1,'Assumptions (Wind)'!$V$11,'Assumptions (Wind)'!$V$6*Model!$AY$658*AVERAGE('Assumptions (Wind)'!$AV$2:$AW$2)/10^9),0)</f>
        <v>#NUM!</v>
      </c>
      <c r="BM763" s="105" t="e">
        <f>IF($AY$658&gt;0,PPMT('Assumptions (Wind)'!$V$8,Model!AK1,'Assumptions (Wind)'!$V$11,'Assumptions (Wind)'!$V$6*Model!$AY$658*AVERAGE('Assumptions (Wind)'!$AV$2:$AW$2)/10^9),0)</f>
        <v>#NUM!</v>
      </c>
      <c r="BN763" s="105"/>
      <c r="BO763" s="105"/>
      <c r="BP763" s="105"/>
      <c r="BQ763" s="105"/>
      <c r="BR763" s="105"/>
      <c r="BS763" s="105"/>
      <c r="BT763" s="105"/>
      <c r="BU763" s="105"/>
      <c r="BV763" s="105"/>
      <c r="BW763" s="105"/>
    </row>
    <row r="764" spans="1:77" ht="15.75" hidden="1" customHeight="1" outlineLevel="1">
      <c r="A764" s="395"/>
      <c r="B764" s="99"/>
      <c r="C764" s="99"/>
      <c r="D764" s="99"/>
      <c r="E764" s="99"/>
      <c r="F764" s="99"/>
      <c r="G764" s="99"/>
      <c r="H764" s="99"/>
      <c r="I764" s="99"/>
      <c r="J764" s="99"/>
      <c r="K764" s="99"/>
      <c r="L764" s="99"/>
      <c r="M764" s="99"/>
      <c r="N764" s="99"/>
      <c r="O764" s="99"/>
      <c r="P764" s="99"/>
      <c r="Q764" s="99"/>
      <c r="R764" s="99"/>
      <c r="S764" s="99"/>
      <c r="T764" s="99"/>
      <c r="U764" s="99"/>
      <c r="V764" s="99"/>
      <c r="W764" s="105"/>
      <c r="X764" s="105"/>
      <c r="Y764" s="105"/>
      <c r="Z764" s="105"/>
      <c r="AA764" s="105"/>
      <c r="AB764" s="105"/>
      <c r="AC764" s="105"/>
      <c r="AD764" s="105"/>
      <c r="AE764" s="105"/>
      <c r="AF764" s="105"/>
      <c r="AG764" s="105"/>
      <c r="AH764" s="105"/>
      <c r="AI764" s="105"/>
      <c r="AJ764" s="171"/>
      <c r="AK764" s="105"/>
      <c r="AL764" s="91"/>
      <c r="AM764" s="91"/>
      <c r="AN764" s="91"/>
      <c r="AO764" s="105"/>
      <c r="AP764" s="105"/>
      <c r="AQ764" s="105"/>
      <c r="AR764" s="105"/>
      <c r="AS764" s="105"/>
      <c r="AT764" s="105"/>
      <c r="AU764" s="105"/>
      <c r="AV764" s="105"/>
      <c r="AW764" s="105"/>
      <c r="AX764" s="105"/>
      <c r="AY764" s="105"/>
      <c r="AZ764" s="105">
        <f>IF($AZ$658&gt;0,PPMT('Assumptions (Wind)'!$V$8,Model!W1,'Assumptions (Wind)'!$V$11,'Assumptions (Wind)'!$V$6*Model!$AZ$658*AVERAGE('Assumptions (Wind)'!$AW$2:$AX$2)/10^9),0)</f>
        <v>-7.5414102393960603</v>
      </c>
      <c r="BA764" s="105">
        <f>IF($AZ$658&gt;0,PPMT('Assumptions (Wind)'!$V$8,Model!X1,'Assumptions (Wind)'!$V$11,'Assumptions (Wind)'!$V$6*Model!$AZ$658*AVERAGE('Assumptions (Wind)'!$AW$2:$AX$2)/10^9),0)</f>
        <v>-8.144723058547747</v>
      </c>
      <c r="BB764" s="105">
        <f>IF($AZ$658&gt;0,PPMT('Assumptions (Wind)'!$V$8,Model!Y1,'Assumptions (Wind)'!$V$11,'Assumptions (Wind)'!$V$6*Model!$AZ$658*AVERAGE('Assumptions (Wind)'!$AW$2:$AX$2)/10^9),0)</f>
        <v>-8.7963009032315664</v>
      </c>
      <c r="BC764" s="105">
        <f>IF($AZ$658&gt;0,PPMT('Assumptions (Wind)'!$V$8,Model!Z1,'Assumptions (Wind)'!$V$11,'Assumptions (Wind)'!$V$6*Model!$AZ$658*AVERAGE('Assumptions (Wind)'!$AW$2:$AX$2)/10^9),0)</f>
        <v>-9.500004975490091</v>
      </c>
      <c r="BD764" s="105">
        <f>IF($AZ$658&gt;0,PPMT('Assumptions (Wind)'!$V$8,Model!AA1,'Assumptions (Wind)'!$V$11,'Assumptions (Wind)'!$V$6*Model!$AZ$658*AVERAGE('Assumptions (Wind)'!$AW$2:$AX$2)/10^9),0)</f>
        <v>-10.2600053735293</v>
      </c>
      <c r="BE764" s="105">
        <f>IF($AZ$658&gt;0,PPMT('Assumptions (Wind)'!$V$8,Model!AB1,'Assumptions (Wind)'!$V$11,'Assumptions (Wind)'!$V$6*Model!$AZ$658*AVERAGE('Assumptions (Wind)'!$AW$2:$AX$2)/10^9),0)</f>
        <v>-11.080805803411643</v>
      </c>
      <c r="BF764" s="105">
        <f>IF($AZ$658&gt;0,PPMT('Assumptions (Wind)'!$V$8,Model!AC1,'Assumptions (Wind)'!$V$11,'Assumptions (Wind)'!$V$6*Model!$AZ$658*AVERAGE('Assumptions (Wind)'!$AW$2:$AX$2)/10^9),0)</f>
        <v>-11.967270267684574</v>
      </c>
      <c r="BG764" s="105">
        <f>IF($AZ$658&gt;0,PPMT('Assumptions (Wind)'!$V$8,Model!AD1,'Assumptions (Wind)'!$V$11,'Assumptions (Wind)'!$V$6*Model!$AZ$658*AVERAGE('Assumptions (Wind)'!$AW$2:$AX$2)/10^9),0)</f>
        <v>-12.924651889099339</v>
      </c>
      <c r="BH764" s="105">
        <f>IF($AZ$658&gt;0,PPMT('Assumptions (Wind)'!$V$8,Model!AE1,'Assumptions (Wind)'!$V$11,'Assumptions (Wind)'!$V$6*Model!$AZ$658*AVERAGE('Assumptions (Wind)'!$AW$2:$AX$2)/10^9),0)</f>
        <v>-13.958624040227285</v>
      </c>
      <c r="BI764" s="105">
        <f>IF($AZ$658&gt;0,PPMT('Assumptions (Wind)'!$V$8,Model!AF1,'Assumptions (Wind)'!$V$11,'Assumptions (Wind)'!$V$6*Model!$AZ$658*AVERAGE('Assumptions (Wind)'!$AW$2:$AX$2)/10^9),0)</f>
        <v>-15.075313963445469</v>
      </c>
      <c r="BJ764" s="105" t="e">
        <f>IF($AZ$658&gt;0,PPMT('Assumptions (Wind)'!$V$8,Model!AG1,'Assumptions (Wind)'!$V$11,'Assumptions (Wind)'!$V$6*Model!$AZ$658*AVERAGE('Assumptions (Wind)'!$AW$2:$AX$2)/10^9),0)</f>
        <v>#NUM!</v>
      </c>
      <c r="BK764" s="105" t="e">
        <f>IF($AZ$658&gt;0,PPMT('Assumptions (Wind)'!$V$8,Model!AH1,'Assumptions (Wind)'!$V$11,'Assumptions (Wind)'!$V$6*Model!$AZ$658*AVERAGE('Assumptions (Wind)'!$AW$2:$AX$2)/10^9),0)</f>
        <v>#NUM!</v>
      </c>
      <c r="BL764" s="105" t="e">
        <f>IF($AZ$658&gt;0,PPMT('Assumptions (Wind)'!$V$8,Model!AI1,'Assumptions (Wind)'!$V$11,'Assumptions (Wind)'!$V$6*Model!$AZ$658*AVERAGE('Assumptions (Wind)'!$AW$2:$AX$2)/10^9),0)</f>
        <v>#NUM!</v>
      </c>
      <c r="BM764" s="105" t="e">
        <f>IF($AZ$658&gt;0,PPMT('Assumptions (Wind)'!$V$8,Model!AJ1,'Assumptions (Wind)'!$V$11,'Assumptions (Wind)'!$V$6*Model!$AZ$658*AVERAGE('Assumptions (Wind)'!$AW$2:$AX$2)/10^9),0)</f>
        <v>#NUM!</v>
      </c>
      <c r="BN764" s="105" t="e">
        <f>IF($AZ$658&gt;0,PPMT('Assumptions (Wind)'!$V$8,Model!AK1,'Assumptions (Wind)'!$V$11,'Assumptions (Wind)'!$V$6*Model!$AZ$658*AVERAGE('Assumptions (Wind)'!$AW$2:$AX$2)/10^9),0)</f>
        <v>#NUM!</v>
      </c>
      <c r="BO764" s="105"/>
      <c r="BP764" s="105"/>
      <c r="BQ764" s="105"/>
      <c r="BR764" s="105"/>
      <c r="BS764" s="105"/>
      <c r="BT764" s="105"/>
      <c r="BU764" s="105"/>
      <c r="BV764" s="105"/>
      <c r="BW764" s="105"/>
      <c r="BX764" s="105"/>
    </row>
    <row r="765" spans="1:77" ht="15.75" hidden="1" customHeight="1" outlineLevel="1">
      <c r="A765" s="395"/>
      <c r="B765" s="99"/>
      <c r="C765" s="99"/>
      <c r="D765" s="99"/>
      <c r="E765" s="99"/>
      <c r="F765" s="99"/>
      <c r="G765" s="99"/>
      <c r="H765" s="99"/>
      <c r="I765" s="99"/>
      <c r="J765" s="99"/>
      <c r="K765" s="99"/>
      <c r="L765" s="99"/>
      <c r="M765" s="99"/>
      <c r="N765" s="99"/>
      <c r="O765" s="99"/>
      <c r="P765" s="99"/>
      <c r="Q765" s="99"/>
      <c r="R765" s="99"/>
      <c r="S765" s="99"/>
      <c r="T765" s="99"/>
      <c r="U765" s="99"/>
      <c r="V765" s="99"/>
      <c r="W765" s="105"/>
      <c r="X765" s="105"/>
      <c r="Y765" s="105"/>
      <c r="Z765" s="105"/>
      <c r="AA765" s="105"/>
      <c r="AB765" s="105"/>
      <c r="AC765" s="105"/>
      <c r="AD765" s="105"/>
      <c r="AE765" s="105"/>
      <c r="AF765" s="105"/>
      <c r="AG765" s="105"/>
      <c r="AH765" s="105"/>
      <c r="AI765" s="105"/>
      <c r="AJ765" s="171"/>
      <c r="AK765" s="105"/>
      <c r="AL765" s="91"/>
      <c r="AM765" s="91"/>
      <c r="AN765" s="91"/>
      <c r="AO765" s="105"/>
      <c r="AP765" s="105"/>
      <c r="AQ765" s="105"/>
      <c r="AR765" s="105"/>
      <c r="AS765" s="105"/>
      <c r="AT765" s="105"/>
      <c r="AU765" s="105"/>
      <c r="AV765" s="105"/>
      <c r="AW765" s="105"/>
      <c r="AX765" s="105"/>
      <c r="AY765" s="105"/>
      <c r="AZ765" s="105"/>
      <c r="BA765" s="105">
        <f>IF($BA$658&gt;0,PPMT('Assumptions (Wind)'!$V$8,Model!W1,'Assumptions (Wind)'!$V$11,'Assumptions (Wind)'!$V$6*Model!$BA$658*AVERAGE('Assumptions (Wind)'!$AX$2:$AY$2)/10^9),0)</f>
        <v>-7.074080280825191</v>
      </c>
      <c r="BB765" s="105">
        <f>IF($BA$658&gt;0,PPMT('Assumptions (Wind)'!$V$8,Model!X1,'Assumptions (Wind)'!$V$11,'Assumptions (Wind)'!$V$6*Model!$BA$658*AVERAGE('Assumptions (Wind)'!$AX$2:$AY$2)/10^9),0)</f>
        <v>-7.6400067032912071</v>
      </c>
      <c r="BC765" s="105">
        <f>IF($BA$658&gt;0,PPMT('Assumptions (Wind)'!$V$8,Model!Y1,'Assumptions (Wind)'!$V$11,'Assumptions (Wind)'!$V$6*Model!$BA$658*AVERAGE('Assumptions (Wind)'!$AX$2:$AY$2)/10^9),0)</f>
        <v>-8.2512072395545015</v>
      </c>
      <c r="BD765" s="105">
        <f>IF($BA$658&gt;0,PPMT('Assumptions (Wind)'!$V$8,Model!Z1,'Assumptions (Wind)'!$V$11,'Assumptions (Wind)'!$V$6*Model!$BA$658*AVERAGE('Assumptions (Wind)'!$AX$2:$AY$2)/10^9),0)</f>
        <v>-8.9113038187188636</v>
      </c>
      <c r="BE765" s="105">
        <f>IF($BA$658&gt;0,PPMT('Assumptions (Wind)'!$V$8,Model!AA1,'Assumptions (Wind)'!$V$11,'Assumptions (Wind)'!$V$6*Model!$BA$658*AVERAGE('Assumptions (Wind)'!$AX$2:$AY$2)/10^9),0)</f>
        <v>-9.6242081242163735</v>
      </c>
      <c r="BF765" s="105">
        <f>IF($BA$658&gt;0,PPMT('Assumptions (Wind)'!$V$8,Model!AB1,'Assumptions (Wind)'!$V$11,'Assumptions (Wind)'!$V$6*Model!$BA$658*AVERAGE('Assumptions (Wind)'!$AX$2:$AY$2)/10^9),0)</f>
        <v>-10.394144774153681</v>
      </c>
      <c r="BG765" s="105">
        <f>IF($BA$658&gt;0,PPMT('Assumptions (Wind)'!$V$8,Model!AC1,'Assumptions (Wind)'!$V$11,'Assumptions (Wind)'!$V$6*Model!$BA$658*AVERAGE('Assumptions (Wind)'!$AX$2:$AY$2)/10^9),0)</f>
        <v>-11.225676356085977</v>
      </c>
      <c r="BH765" s="105">
        <f>IF($BA$658&gt;0,PPMT('Assumptions (Wind)'!$V$8,Model!AD1,'Assumptions (Wind)'!$V$11,'Assumptions (Wind)'!$V$6*Model!$BA$658*AVERAGE('Assumptions (Wind)'!$AX$2:$AY$2)/10^9),0)</f>
        <v>-12.123730464572855</v>
      </c>
      <c r="BI765" s="105">
        <f>IF($BA$658&gt;0,PPMT('Assumptions (Wind)'!$V$8,Model!AE1,'Assumptions (Wind)'!$V$11,'Assumptions (Wind)'!$V$6*Model!$BA$658*AVERAGE('Assumptions (Wind)'!$AX$2:$AY$2)/10^9),0)</f>
        <v>-13.093628901738683</v>
      </c>
      <c r="BJ765" s="105">
        <f>IF($BA$658&gt;0,PPMT('Assumptions (Wind)'!$V$8,Model!AF1,'Assumptions (Wind)'!$V$11,'Assumptions (Wind)'!$V$6*Model!$BA$658*AVERAGE('Assumptions (Wind)'!$AX$2:$AY$2)/10^9),0)</f>
        <v>-14.141119213877777</v>
      </c>
      <c r="BK765" s="105" t="e">
        <f>IF($BA$658&gt;0,PPMT('Assumptions (Wind)'!$V$8,Model!AG1,'Assumptions (Wind)'!$V$11,'Assumptions (Wind)'!$V$6*Model!$BA$658*AVERAGE('Assumptions (Wind)'!$AX$2:$AY$2)/10^9),0)</f>
        <v>#NUM!</v>
      </c>
      <c r="BL765" s="105" t="e">
        <f>IF($BA$658&gt;0,PPMT('Assumptions (Wind)'!$V$8,Model!AH1,'Assumptions (Wind)'!$V$11,'Assumptions (Wind)'!$V$6*Model!$BA$658*AVERAGE('Assumptions (Wind)'!$AX$2:$AY$2)/10^9),0)</f>
        <v>#NUM!</v>
      </c>
      <c r="BM765" s="105" t="e">
        <f>IF($BA$658&gt;0,PPMT('Assumptions (Wind)'!$V$8,Model!AI1,'Assumptions (Wind)'!$V$11,'Assumptions (Wind)'!$V$6*Model!$BA$658*AVERAGE('Assumptions (Wind)'!$AX$2:$AY$2)/10^9),0)</f>
        <v>#NUM!</v>
      </c>
      <c r="BN765" s="105" t="e">
        <f>IF($BA$658&gt;0,PPMT('Assumptions (Wind)'!$V$8,Model!AJ1,'Assumptions (Wind)'!$V$11,'Assumptions (Wind)'!$V$6*Model!$BA$658*AVERAGE('Assumptions (Wind)'!$AX$2:$AY$2)/10^9),0)</f>
        <v>#NUM!</v>
      </c>
      <c r="BO765" s="105" t="e">
        <f>IF($BA$658&gt;0,PPMT('Assumptions (Wind)'!$V$8,Model!AK1,'Assumptions (Wind)'!$V$11,'Assumptions (Wind)'!$V$6*Model!$BA$658*AVERAGE('Assumptions (Wind)'!$AX$2:$AY$2)/10^9),0)</f>
        <v>#NUM!</v>
      </c>
      <c r="BP765" s="105"/>
      <c r="BQ765" s="105"/>
      <c r="BR765" s="105"/>
      <c r="BS765" s="105"/>
      <c r="BT765" s="105"/>
      <c r="BU765" s="105"/>
      <c r="BV765" s="105"/>
      <c r="BW765" s="105"/>
      <c r="BX765" s="105"/>
      <c r="BY765" s="105"/>
    </row>
    <row r="766" spans="1:77" ht="15.75" customHeight="1" collapsed="1">
      <c r="A766" s="396" t="s">
        <v>709</v>
      </c>
      <c r="B766" s="99" t="s">
        <v>201</v>
      </c>
      <c r="C766" s="91">
        <f t="array" ref="C766">SUM(IF(ISERROR(C767:C817),"",C767:C817))</f>
        <v>-3.4641632706363091E-3</v>
      </c>
      <c r="D766" s="91">
        <f t="array" ref="D766">SUM(IF(ISERROR(D767:D817),"",D767:D817))</f>
        <v>-0.13553145237042599</v>
      </c>
      <c r="E766" s="91">
        <f t="array" ref="E766">SUM(IF(ISERROR(E767:E817),"",E767:E817))</f>
        <v>-0.18059501435098582</v>
      </c>
      <c r="F766" s="91">
        <f t="array" ref="F766">SUM(IF(ISERROR(F767:F817),"",F767:F817))</f>
        <v>-0.30717197175035349</v>
      </c>
      <c r="G766" s="91">
        <f t="array" ref="G766">SUM(IF(ISERROR(G767:G817),"",G767:G817))</f>
        <v>-0.31521270776065147</v>
      </c>
      <c r="H766" s="91">
        <f t="array" ref="H766">SUM(IF(ISERROR(H767:H817),"",H767:H817))</f>
        <v>-0.47086247266931242</v>
      </c>
      <c r="I766" s="91">
        <f t="array" ref="I766">SUM(IF(ISERROR(I767:I817),"",I767:I817))</f>
        <v>-0.64840555954047652</v>
      </c>
      <c r="J766" s="91">
        <f t="array" ref="J766">SUM(IF(ISERROR(J767:J817),"",J767:J817))</f>
        <v>-1.0349712742076147</v>
      </c>
      <c r="K766" s="91">
        <f t="array" ref="K766">SUM(IF(ISERROR(K767:K817),"",K767:K817))</f>
        <v>-1.6448807596999098</v>
      </c>
      <c r="L766" s="91">
        <f t="array" ref="L766">SUM(IF(ISERROR(L767:L817),"",L767:L817))</f>
        <v>-2.3213105851291114</v>
      </c>
      <c r="M766" s="91">
        <f t="array" ref="M766">SUM(IF(ISERROR(M767:M817),"",M767:M817))</f>
        <v>-2.4876580212490946</v>
      </c>
      <c r="N766" s="91">
        <f t="array" ref="N766">SUM(IF(ISERROR(N767:N817),"",N767:N817))</f>
        <v>-2.7797376333918362</v>
      </c>
      <c r="O766" s="91">
        <f t="array" ref="O766">SUM(IF(ISERROR(O767:O817),"",O767:O817))</f>
        <v>-3.553936741693005</v>
      </c>
      <c r="P766" s="91">
        <f t="array" ref="P766">SUM(IF(ISERROR(P767:P817),"",P767:P817))</f>
        <v>-3.2207453060064033</v>
      </c>
      <c r="Q766" s="91">
        <f t="array" ref="Q766">SUM(IF(ISERROR(Q767:Q817),"",Q767:Q817))</f>
        <v>-3.2040420941798606</v>
      </c>
      <c r="R766" s="91">
        <f t="array" ref="R766">SUM(IF(ISERROR(R767:R817),"",R767:R817))</f>
        <v>-3.4053401431421011</v>
      </c>
      <c r="S766" s="91">
        <f t="array" ref="S766">SUM(IF(ISERROR(S767:S817),"",S767:S817))</f>
        <v>-3.5889372421496311</v>
      </c>
      <c r="T766" s="91">
        <f t="array" ref="T766">SUM(IF(ISERROR(T767:T817),"",T767:T817))</f>
        <v>-3.511800048664941</v>
      </c>
      <c r="U766" s="91">
        <f t="array" ref="U766">SUM(IF(ISERROR(U767:U817),"",U767:U817))</f>
        <v>-3.4468380946485797</v>
      </c>
      <c r="V766" s="91">
        <f t="array" ref="V766">SUM(IF(ISERROR(V767:V817),"",V767:V817))</f>
        <v>-3.6045470908559523</v>
      </c>
      <c r="W766" s="91">
        <f t="array" ref="W766">SUM(IF(ISERROR(W767:W817),"",W767:W817))</f>
        <v>-4.228014288031603</v>
      </c>
      <c r="X766" s="91">
        <f t="array" ref="X766">SUM(IF(ISERROR(X767:X817),"",X767:X817))</f>
        <v>-8.2085264204748256</v>
      </c>
      <c r="Y766" s="91">
        <f t="array" ref="Y766">SUM(IF(ISERROR(Y767:Y817),"",Y767:Y817))</f>
        <v>-11.915630156612512</v>
      </c>
      <c r="Z766" s="91">
        <f t="array" ref="Z766">SUM(IF(ISERROR(Z767:Z817),"",Z767:Z817))</f>
        <v>-15.481735127772303</v>
      </c>
      <c r="AA766" s="91">
        <f t="array" ref="AA766">SUM(IF(ISERROR(AA767:AA817),"",AA767:AA817))</f>
        <v>-18.72967004302668</v>
      </c>
      <c r="AB766" s="91">
        <f t="array" ref="AB766">SUM(IF(ISERROR(AB767:AB817),"",AB767:AB817))</f>
        <v>-21.677829156265663</v>
      </c>
      <c r="AC766" s="91">
        <f t="array" ref="AC766">SUM(IF(ISERROR(AC767:AC817),"",AC767:AC817))</f>
        <v>-24.336499977778743</v>
      </c>
      <c r="AD766" s="91">
        <f t="array" ref="AD766">SUM(IF(ISERROR(AD767:AD817),"",AD767:AD817))</f>
        <v>-26.663477501709785</v>
      </c>
      <c r="AE766" s="91">
        <f t="array" ref="AE766">SUM(IF(ISERROR(AE767:AE817),"",AE767:AE817))</f>
        <v>-28.596064902381947</v>
      </c>
      <c r="AF766" s="91">
        <f t="array" ref="AF766">SUM(IF(ISERROR(AF767:AF817),"",AF767:AF817))</f>
        <v>-30.095471264572673</v>
      </c>
      <c r="AG766" s="91">
        <f t="array" ref="AG766">SUM(IF(ISERROR(AG767:AG817),"",AG767:AG817))</f>
        <v>-31.156218831740247</v>
      </c>
      <c r="AH766" s="91">
        <f t="array" ref="AH766">SUM(IF(ISERROR(AH767:AH817),"",AH767:AH817))</f>
        <v>-31.822797112440057</v>
      </c>
      <c r="AI766" s="91">
        <f t="array" ref="AI766">SUM(IF(ISERROR(AI767:AI817),"",AI767:AI817))</f>
        <v>-32.453196603641054</v>
      </c>
      <c r="AJ766" s="91">
        <f t="array" ref="AJ766">SUM(IF(ISERROR(AJ767:AJ817),"",AJ767:AJ817))</f>
        <v>-33.243156828686061</v>
      </c>
      <c r="AK766" s="91">
        <f t="array" ref="AK766">SUM(IF(ISERROR(AK767:AK817),"",AK767:AK817))</f>
        <v>-33.948959127170284</v>
      </c>
      <c r="AL766" s="91">
        <f t="array" ref="AL766">SUM(IF(ISERROR(AL767:AL817),"",AL767:AL817))</f>
        <v>-34.766282286465781</v>
      </c>
      <c r="AM766" s="91">
        <f t="array" ref="AM766">SUM(IF(ISERROR(AM767:AM817),"",AM767:AM817))</f>
        <v>-35.456391285522116</v>
      </c>
      <c r="AN766" s="91">
        <f t="array" ref="AN766">SUM(IF(ISERROR(AN767:AN817),"",AN767:AN817))</f>
        <v>-36.346433653198531</v>
      </c>
      <c r="AO766" s="91">
        <f t="array" ref="AO766">SUM(IF(ISERROR(AO767:AO817),"",AO767:AO817))</f>
        <v>-37.284409264483301</v>
      </c>
      <c r="AP766" s="91">
        <f t="array" ref="AP766">SUM(IF(ISERROR(AP767:AP817),"",AP767:AP817))</f>
        <v>-38.518941944580874</v>
      </c>
      <c r="AQ766" s="91">
        <f t="array" ref="AQ766">SUM(IF(ISERROR(AQ767:AQ817),"",AQ767:AQ817))</f>
        <v>-40.085214278852305</v>
      </c>
      <c r="AR766" s="91">
        <f t="array" ref="AR766">SUM(IF(ISERROR(AR767:AR817),"",AR767:AR817))</f>
        <v>-41.786642084727539</v>
      </c>
      <c r="AS766" s="91">
        <f t="array" ref="AS766">SUM(IF(ISERROR(AS767:AS817),"",AS767:AS817))</f>
        <v>-42.821517546289932</v>
      </c>
      <c r="AT766" s="91">
        <f t="array" ref="AT766">SUM(IF(ISERROR(AT767:AT817),"",AT767:AT817))</f>
        <v>-44.071888901397166</v>
      </c>
      <c r="AU766" s="91">
        <f t="array" ref="AU766">SUM(IF(ISERROR(AU767:AU817),"",AU767:AU817))</f>
        <v>-46.074554369288592</v>
      </c>
      <c r="AV766" s="91">
        <f t="array" ref="AV766">SUM(IF(ISERROR(AV767:AV817),"",AV767:AV817))</f>
        <v>-46.448148921319508</v>
      </c>
      <c r="AW766" s="91">
        <f t="array" ref="AW766">SUM(IF(ISERROR(AW767:AW817),"",AW767:AW817))</f>
        <v>-47.33446798508804</v>
      </c>
      <c r="AX766" s="91">
        <f t="array" ref="AX766">SUM(IF(ISERROR(AX767:AX817),"",AX767:AX817))</f>
        <v>-48.60951458866603</v>
      </c>
      <c r="AY766" s="91">
        <f t="array" ref="AY766">SUM(IF(ISERROR(AY767:AY817),"",AY767:AY817))</f>
        <v>-49.900232130424051</v>
      </c>
      <c r="AZ766" s="91">
        <f t="array" ref="AZ766">SUM(IF(ISERROR(AZ767:AZ817),"",AZ767:AZ817))</f>
        <v>-50.798378404218987</v>
      </c>
      <c r="BA766" s="91">
        <f t="array" ref="BA766">SUM(IF(ISERROR(BA767:BA817),"",BA767:BA817))</f>
        <v>-50.974943884267603</v>
      </c>
      <c r="BB766" s="91">
        <f t="array" ref="BB766">SUM(IF(ISERROR(BB767:BB817),"",BB767:BB817))</f>
        <v>-42.869768144520862</v>
      </c>
      <c r="BC766" s="91">
        <f t="array" ref="BC766">SUM(IF(ISERROR(BC767:BC817),"",BC767:BC817))</f>
        <v>-35.289054585257666</v>
      </c>
      <c r="BD766" s="91">
        <f t="array" ref="BD766">SUM(IF(ISERROR(BD767:BD817),"",BD767:BD817))</f>
        <v>-28.206157673950031</v>
      </c>
      <c r="BE766" s="91">
        <f t="array" ref="BE766">SUM(IF(ISERROR(BE767:BE817),"",BE767:BE817))</f>
        <v>-21.720276532561179</v>
      </c>
      <c r="BF766" s="91">
        <f t="array" ref="BF766">SUM(IF(ISERROR(BF767:BF817),"",BF767:BF817))</f>
        <v>-16.019073969905662</v>
      </c>
      <c r="BG766" s="91">
        <f t="array" ref="BG766">SUM(IF(ISERROR(BG767:BG817),"",BG767:BG817))</f>
        <v>-10.961598106636139</v>
      </c>
      <c r="BH766" s="91">
        <f t="array" ref="BH766">SUM(IF(ISERROR(BH767:BH817),"",BH767:BH817))</f>
        <v>-6.6989636463605651</v>
      </c>
      <c r="BI766" s="91">
        <f t="array" ref="BI766">SUM(IF(ISERROR(BI767:BI817),"",BI767:BI817))</f>
        <v>-3.3848049663249542</v>
      </c>
      <c r="BJ766" s="91">
        <f t="array" ref="BJ766">SUM(IF(ISERROR(BJ767:BJ817),"",BJ767:BJ817))</f>
        <v>-1.1312895371102223</v>
      </c>
    </row>
    <row r="767" spans="1:77" ht="15.75" hidden="1" customHeight="1" outlineLevel="1">
      <c r="A767" s="395"/>
      <c r="B767" s="99"/>
      <c r="C767" s="91">
        <f>IF($C$658&gt;0,IPMT('Assumptions (Wind)'!$V$8,Model!W$1,'Assumptions (Wind)'!$V$11,'Assumptions (Wind)'!$V$6*Model!$C$658*'Assumptions (Wind)'!$B$2/10^9),0)</f>
        <v>-3.4641632706363091E-3</v>
      </c>
      <c r="D767" s="91">
        <f>IF($C$658&gt;0,IPMT('Assumptions (Wind)'!$V$8,Model!X$1,'Assumptions (Wind)'!$V$11,'Assumptions (Wind)'!$V$6*Model!$C$658*'Assumptions (Wind)'!$B$2/10^9),0)</f>
        <v>-3.2250338513010956E-3</v>
      </c>
      <c r="E767" s="91">
        <f>IF($C$658&gt;0,IPMT('Assumptions (Wind)'!$V$8,Model!Y$1,'Assumptions (Wind)'!$V$11,'Assumptions (Wind)'!$V$6*Model!$C$658*'Assumptions (Wind)'!$B$2/10^9),0)</f>
        <v>-2.9667740784190657E-3</v>
      </c>
      <c r="F767" s="91">
        <f>IF($C$658&gt;0,IPMT('Assumptions (Wind)'!$V$8,Model!Z$1,'Assumptions (Wind)'!$V$11,'Assumptions (Wind)'!$V$6*Model!$C$658*'Assumptions (Wind)'!$B$2/10^9),0)</f>
        <v>-2.6878535237064732E-3</v>
      </c>
      <c r="G767" s="91">
        <f>IF($C$658&gt;0,IPMT('Assumptions (Wind)'!$V$8,Model!AA$1,'Assumptions (Wind)'!$V$11,'Assumptions (Wind)'!$V$6*Model!$C$658*'Assumptions (Wind)'!$B$2/10^9),0)</f>
        <v>-2.3866193246168737E-3</v>
      </c>
      <c r="H767" s="91">
        <f>IF($C$658&gt;0,IPMT('Assumptions (Wind)'!$V$8,Model!AB$1,'Assumptions (Wind)'!$V$11,'Assumptions (Wind)'!$V$6*Model!$C$658*'Assumptions (Wind)'!$B$2/10^9),0)</f>
        <v>-2.0612863896001059E-3</v>
      </c>
      <c r="I767" s="91">
        <f>IF($C$658&gt;0,IPMT('Assumptions (Wind)'!$V$8,Model!AC$1,'Assumptions (Wind)'!$V$11,'Assumptions (Wind)'!$V$6*Model!$C$658*'Assumptions (Wind)'!$B$2/10^9),0)</f>
        <v>-1.7099268197819967E-3</v>
      </c>
      <c r="J767" s="91">
        <f>IF($C$658&gt;0,IPMT('Assumptions (Wind)'!$V$8,Model!AD$1,'Assumptions (Wind)'!$V$11,'Assumptions (Wind)'!$V$6*Model!$C$658*'Assumptions (Wind)'!$B$2/10^9),0)</f>
        <v>-1.3304584843784389E-3</v>
      </c>
      <c r="K767" s="91">
        <f>IF($C$658&gt;0,IPMT('Assumptions (Wind)'!$V$8,Model!AE$1,'Assumptions (Wind)'!$V$11,'Assumptions (Wind)'!$V$6*Model!$C$658*'Assumptions (Wind)'!$B$2/10^9),0)</f>
        <v>-9.2063268214259643E-4</v>
      </c>
      <c r="L767" s="91">
        <f>IF($C$658&gt;0,IPMT('Assumptions (Wind)'!$V$8,Model!AF$1,'Assumptions (Wind)'!$V$11,'Assumptions (Wind)'!$V$6*Model!$C$658*'Assumptions (Wind)'!$B$2/10^9),0)</f>
        <v>-4.7802081572788661E-4</v>
      </c>
      <c r="M767" s="91" t="e">
        <f>IF($C$658&gt;0,IPMT('Assumptions (Wind)'!$V$8,Model!AG$1,'Assumptions (Wind)'!$V$11,'Assumptions (Wind)'!$V$6*Model!$C$658*'Assumptions (Wind)'!$B$2/10^9),0)</f>
        <v>#NUM!</v>
      </c>
      <c r="N767" s="91" t="e">
        <f>IF($C$658&gt;0,IPMT('Assumptions (Wind)'!$V$8,Model!AH$1,'Assumptions (Wind)'!$V$11,'Assumptions (Wind)'!$V$6*Model!$C$658*'Assumptions (Wind)'!$B$2/10^9),0)</f>
        <v>#NUM!</v>
      </c>
      <c r="O767" s="91" t="e">
        <f>IF($C$658&gt;0,IPMT('Assumptions (Wind)'!$V$8,Model!AI$1,'Assumptions (Wind)'!$V$11,'Assumptions (Wind)'!$V$6*Model!$C$658*'Assumptions (Wind)'!$B$2/10^9),0)</f>
        <v>#NUM!</v>
      </c>
      <c r="P767" s="91" t="e">
        <f>IF($C$658&gt;0,IPMT('Assumptions (Wind)'!$V$8,Model!AJ$1,'Assumptions (Wind)'!$V$11,'Assumptions (Wind)'!$V$6*Model!$C$658*'Assumptions (Wind)'!$B$2/10^9),0)</f>
        <v>#NUM!</v>
      </c>
      <c r="Q767" s="91" t="e">
        <f>IF($C$658&gt;0,IPMT('Assumptions (Wind)'!$V$8,Model!AK$1,'Assumptions (Wind)'!$V$11,'Assumptions (Wind)'!$V$6*Model!$C$658*'Assumptions (Wind)'!$B$2/10^9),0)</f>
        <v>#NUM!</v>
      </c>
      <c r="R767" s="91"/>
      <c r="S767" s="91"/>
      <c r="T767" s="91"/>
      <c r="U767" s="91"/>
      <c r="V767" s="91"/>
      <c r="W767" s="91"/>
      <c r="X767" s="91"/>
      <c r="Y767" s="91"/>
      <c r="Z767" s="91"/>
      <c r="AA767" s="91"/>
      <c r="AB767" s="105"/>
      <c r="AC767" s="105"/>
      <c r="AD767" s="105"/>
      <c r="AE767" s="105"/>
      <c r="AF767" s="105"/>
      <c r="AG767" s="105"/>
      <c r="AU767" s="105"/>
      <c r="AV767" s="105"/>
      <c r="AW767" s="105"/>
      <c r="AX767" s="105"/>
      <c r="AY767" s="105"/>
      <c r="AZ767" s="105"/>
      <c r="BA767" s="105"/>
    </row>
    <row r="768" spans="1:77" ht="15.75" hidden="1" customHeight="1" outlineLevel="1">
      <c r="A768" s="395"/>
      <c r="B768" s="99"/>
      <c r="C768" s="105"/>
      <c r="D768" s="91">
        <f>IF($D$658&gt;0,IPMT('Assumptions (Wind)'!$V$8,Model!W$1,'Assumptions (Wind)'!$V$11,'Assumptions (Wind)'!$V$6*Model!$D$658*'Assumptions (Wind)'!$B$2/10^9),0)</f>
        <v>-0.13230641851912489</v>
      </c>
      <c r="E768" s="91">
        <f>IF($D$658&gt;0,IPMT('Assumptions (Wind)'!$V$8,Model!X$1,'Assumptions (Wind)'!$V$11,'Assumptions (Wind)'!$V$6*Model!$D$658*'Assumptions (Wind)'!$B$2/10^9),0)</f>
        <v>-0.12317337409740843</v>
      </c>
      <c r="F768" s="91">
        <f>IF($D$658&gt;0,IPMT('Assumptions (Wind)'!$V$8,Model!Y$1,'Assumptions (Wind)'!$V$11,'Assumptions (Wind)'!$V$6*Model!$D$658*'Assumptions (Wind)'!$B$2/10^9),0)</f>
        <v>-0.11330968612195463</v>
      </c>
      <c r="G768" s="91">
        <f>IF($D$658&gt;0,IPMT('Assumptions (Wind)'!$V$8,Model!Z$1,'Assumptions (Wind)'!$V$11,'Assumptions (Wind)'!$V$6*Model!$D$658*'Assumptions (Wind)'!$B$2/10^9),0)</f>
        <v>-0.10265690310846454</v>
      </c>
      <c r="H768" s="91">
        <f>IF($D$658&gt;0,IPMT('Assumptions (Wind)'!$V$8,Model!AA$1,'Assumptions (Wind)'!$V$11,'Assumptions (Wind)'!$V$6*Model!$D$658*'Assumptions (Wind)'!$B$2/10^9),0)</f>
        <v>-9.115189745389525E-2</v>
      </c>
      <c r="I768" s="91">
        <f>IF($D$658&gt;0,IPMT('Assumptions (Wind)'!$V$8,Model!AB$1,'Assumptions (Wind)'!$V$11,'Assumptions (Wind)'!$V$6*Model!$D$658*'Assumptions (Wind)'!$B$2/10^9),0)</f>
        <v>-7.8726491346960442E-2</v>
      </c>
      <c r="J768" s="91">
        <f>IF($D$658&gt;0,IPMT('Assumptions (Wind)'!$V$8,Model!AC$1,'Assumptions (Wind)'!$V$11,'Assumptions (Wind)'!$V$6*Model!$D$658*'Assumptions (Wind)'!$B$2/10^9),0)</f>
        <v>-6.5307052751470807E-2</v>
      </c>
      <c r="K768" s="91">
        <f>IF($D$658&gt;0,IPMT('Assumptions (Wind)'!$V$8,Model!AD$1,'Assumptions (Wind)'!$V$11,'Assumptions (Wind)'!$V$6*Model!$D$658*'Assumptions (Wind)'!$B$2/10^9),0)</f>
        <v>-5.0814059068342028E-2</v>
      </c>
      <c r="L768" s="91">
        <f>IF($D$658&gt;0,IPMT('Assumptions (Wind)'!$V$8,Model!AE$1,'Assumptions (Wind)'!$V$11,'Assumptions (Wind)'!$V$6*Model!$D$658*'Assumptions (Wind)'!$B$2/10^9),0)</f>
        <v>-3.5161625890562938E-2</v>
      </c>
      <c r="M768" s="91">
        <f>IF($D$658&gt;0,IPMT('Assumptions (Wind)'!$V$8,Model!AF$1,'Assumptions (Wind)'!$V$11,'Assumptions (Wind)'!$V$6*Model!$D$658*'Assumptions (Wind)'!$B$2/10^9),0)</f>
        <v>-1.8256998058561527E-2</v>
      </c>
      <c r="N768" s="91" t="e">
        <f>IF($D$658&gt;0,IPMT('Assumptions (Wind)'!$V$8,Model!AG$1,'Assumptions (Wind)'!$V$11,'Assumptions (Wind)'!$V$6*Model!$D$658*'Assumptions (Wind)'!$B$2/10^9),0)</f>
        <v>#NUM!</v>
      </c>
      <c r="O768" s="91" t="e">
        <f>IF($D$658&gt;0,IPMT('Assumptions (Wind)'!$V$8,Model!AH$1,'Assumptions (Wind)'!$V$11,'Assumptions (Wind)'!$V$6*Model!$D$658*'Assumptions (Wind)'!$B$2/10^9),0)</f>
        <v>#NUM!</v>
      </c>
      <c r="P768" s="91" t="e">
        <f>IF($D$658&gt;0,IPMT('Assumptions (Wind)'!$V$8,Model!AI$1,'Assumptions (Wind)'!$V$11,'Assumptions (Wind)'!$V$6*Model!$D$658*'Assumptions (Wind)'!$B$2/10^9),0)</f>
        <v>#NUM!</v>
      </c>
      <c r="Q768" s="91" t="e">
        <f>IF($D$658&gt;0,IPMT('Assumptions (Wind)'!$V$8,Model!AJ$1,'Assumptions (Wind)'!$V$11,'Assumptions (Wind)'!$V$6*Model!$D$658*'Assumptions (Wind)'!$B$2/10^9),0)</f>
        <v>#NUM!</v>
      </c>
      <c r="R768" s="91" t="e">
        <f>IF($D$658&gt;0,IPMT('Assumptions (Wind)'!$V$8,Model!AK$1,'Assumptions (Wind)'!$V$11,'Assumptions (Wind)'!$V$6*Model!$D$658*'Assumptions (Wind)'!$B$2/10^9),0)</f>
        <v>#NUM!</v>
      </c>
      <c r="S768" s="91"/>
      <c r="T768" s="91"/>
      <c r="U768" s="91"/>
      <c r="V768" s="91"/>
      <c r="W768" s="91"/>
      <c r="X768" s="91"/>
      <c r="Y768" s="91"/>
      <c r="Z768" s="91"/>
      <c r="AA768" s="91"/>
      <c r="AB768" s="91"/>
      <c r="AC768" s="105"/>
      <c r="AD768" s="105"/>
      <c r="AE768" s="105"/>
      <c r="AF768" s="105"/>
      <c r="AG768" s="105"/>
      <c r="AU768" s="105"/>
      <c r="AV768" s="105"/>
      <c r="AW768" s="105"/>
      <c r="AX768" s="105"/>
      <c r="AY768" s="105"/>
      <c r="AZ768" s="105"/>
      <c r="BA768" s="105"/>
    </row>
    <row r="769" spans="1:53" ht="15.75" hidden="1" customHeight="1" outlineLevel="1">
      <c r="A769" s="395"/>
      <c r="B769" s="99"/>
      <c r="C769" s="105"/>
      <c r="D769" s="105"/>
      <c r="E769" s="105">
        <f>IF($E$658&gt;0,IPMT('Assumptions (Wind)'!$V$8,Model!W$1,'Assumptions (Wind)'!$V$11,'Assumptions (Wind)'!$V$6*Model!$E$658*AVERAGE('Assumptions (Wind)'!$B$2:$C$2)/10^9),0)</f>
        <v>-5.4454866175158316E-2</v>
      </c>
      <c r="F769" s="105">
        <f>IF($E$658&gt;0,IPMT('Assumptions (Wind)'!$V$8,Model!X$1,'Assumptions (Wind)'!$V$11,'Assumptions (Wind)'!$V$6*Model!$E$658*AVERAGE('Assumptions (Wind)'!$B$2:$C$2)/10^9),0)</f>
        <v>-5.0695874606019466E-2</v>
      </c>
      <c r="G769" s="105">
        <f>IF($E$658&gt;0,IPMT('Assumptions (Wind)'!$V$8,Model!Y$1,'Assumptions (Wind)'!$V$11,'Assumptions (Wind)'!$V$6*Model!$E$658*AVERAGE('Assumptions (Wind)'!$B$2:$C$2)/10^9),0)</f>
        <v>-4.6636163711349508E-2</v>
      </c>
      <c r="H769" s="105">
        <f>IF($E$658&gt;0,IPMT('Assumptions (Wind)'!$V$8,Model!Z$1,'Assumptions (Wind)'!$V$11,'Assumptions (Wind)'!$V$6*Model!$E$658*AVERAGE('Assumptions (Wind)'!$B$2:$C$2)/10^9),0)</f>
        <v>-4.2251675945105954E-2</v>
      </c>
      <c r="I769" s="105">
        <f>IF($E$658&gt;0,IPMT('Assumptions (Wind)'!$V$8,Model!AA$1,'Assumptions (Wind)'!$V$11,'Assumptions (Wind)'!$V$6*Model!$E$658*AVERAGE('Assumptions (Wind)'!$B$2:$C$2)/10^9),0)</f>
        <v>-3.7516429157562918E-2</v>
      </c>
      <c r="J769" s="105">
        <f>IF($E$658&gt;0,IPMT('Assumptions (Wind)'!$V$8,Model!AB$1,'Assumptions (Wind)'!$V$11,'Assumptions (Wind)'!$V$6*Model!$E$658*AVERAGE('Assumptions (Wind)'!$B$2:$C$2)/10^9),0)</f>
        <v>-3.240236262701645E-2</v>
      </c>
      <c r="K769" s="105">
        <f>IF($E$658&gt;0,IPMT('Assumptions (Wind)'!$V$8,Model!AC$1,'Assumptions (Wind)'!$V$11,'Assumptions (Wind)'!$V$6*Model!$E$658*AVERAGE('Assumptions (Wind)'!$B$2:$C$2)/10^9),0)</f>
        <v>-2.6879170774026254E-2</v>
      </c>
      <c r="L769" s="105">
        <f>IF($E$658&gt;0,IPMT('Assumptions (Wind)'!$V$8,Model!AD$1,'Assumptions (Wind)'!$V$11,'Assumptions (Wind)'!$V$6*Model!$E$658*AVERAGE('Assumptions (Wind)'!$B$2:$C$2)/10^9),0)</f>
        <v>-2.0914123572796844E-2</v>
      </c>
      <c r="M769" s="105">
        <f>IF($E$658&gt;0,IPMT('Assumptions (Wind)'!$V$8,Model!AE$1,'Assumptions (Wind)'!$V$11,'Assumptions (Wind)'!$V$6*Model!$E$658*AVERAGE('Assumptions (Wind)'!$B$2:$C$2)/10^9),0)</f>
        <v>-1.4471872595469084E-2</v>
      </c>
      <c r="N769" s="91">
        <f>IF($E$658&gt;0,IPMT('Assumptions (Wind)'!$V$8,Model!AF$1,'Assumptions (Wind)'!$V$11,'Assumptions (Wind)'!$V$6*Model!$E$658*AVERAGE('Assumptions (Wind)'!$B$2:$C$2)/10^9),0)</f>
        <v>-7.5142415399551011E-3</v>
      </c>
      <c r="O769" s="105" t="e">
        <f>IF($E$658&gt;0,IPMT('Assumptions (Wind)'!$V$8,Model!AG$1,'Assumptions (Wind)'!$V$11,'Assumptions (Wind)'!$V$6*Model!$E$658*AVERAGE('Assumptions (Wind)'!$B$2:$C$2)/10^9),0)</f>
        <v>#NUM!</v>
      </c>
      <c r="P769" s="105" t="e">
        <f>IF($E$658&gt;0,IPMT('Assumptions (Wind)'!$V$8,Model!AH$1,'Assumptions (Wind)'!$V$11,'Assumptions (Wind)'!$V$6*Model!$E$658*AVERAGE('Assumptions (Wind)'!$B$2:$C$2)/10^9),0)</f>
        <v>#NUM!</v>
      </c>
      <c r="Q769" s="105" t="e">
        <f>IF($E$658&gt;0,IPMT('Assumptions (Wind)'!$V$8,Model!AI$1,'Assumptions (Wind)'!$V$11,'Assumptions (Wind)'!$V$6*Model!$E$658*AVERAGE('Assumptions (Wind)'!$B$2:$C$2)/10^9),0)</f>
        <v>#NUM!</v>
      </c>
      <c r="R769" s="105" t="e">
        <f>IF($E$658&gt;0,IPMT('Assumptions (Wind)'!$V$8,Model!AJ$1,'Assumptions (Wind)'!$V$11,'Assumptions (Wind)'!$V$6*Model!$E$658*AVERAGE('Assumptions (Wind)'!$B$2:$C$2)/10^9),0)</f>
        <v>#NUM!</v>
      </c>
      <c r="S769" s="105" t="e">
        <f>IF($E$658&gt;0,IPMT('Assumptions (Wind)'!$V$8,Model!AK$1,'Assumptions (Wind)'!$V$11,'Assumptions (Wind)'!$V$6*Model!$E$658*AVERAGE('Assumptions (Wind)'!$B$2:$C$2)/10^9),0)</f>
        <v>#NUM!</v>
      </c>
      <c r="T769" s="105"/>
      <c r="U769" s="105"/>
      <c r="V769" s="105"/>
      <c r="W769" s="105"/>
      <c r="X769" s="105"/>
      <c r="Y769" s="105"/>
      <c r="Z769" s="105"/>
      <c r="AA769" s="105"/>
      <c r="AB769" s="105"/>
      <c r="AC769" s="105"/>
      <c r="AD769" s="105"/>
      <c r="AE769" s="105"/>
      <c r="AF769" s="105"/>
      <c r="AG769" s="105"/>
      <c r="AU769" s="105"/>
      <c r="AV769" s="105"/>
      <c r="AW769" s="105"/>
      <c r="AX769" s="105"/>
      <c r="AY769" s="105"/>
      <c r="AZ769" s="105"/>
      <c r="BA769" s="105"/>
    </row>
    <row r="770" spans="1:53" ht="15.75" hidden="1" customHeight="1" outlineLevel="1">
      <c r="A770" s="395"/>
      <c r="B770" s="99"/>
      <c r="C770" s="105"/>
      <c r="D770" s="105"/>
      <c r="E770" s="105"/>
      <c r="F770" s="105">
        <f>IF($F$658&gt;0,IPMT('Assumptions (Wind)'!$V$8,Model!W$1,'Assumptions (Wind)'!$V$11,'Assumptions (Wind)'!$V$6*Model!$F$658*AVERAGE('Assumptions (Wind)'!$C$2:$D$2)/10^9),0)</f>
        <v>-0.14047855749867291</v>
      </c>
      <c r="G770" s="105">
        <f>IF($F$658&gt;0,IPMT('Assumptions (Wind)'!$V$8,Model!X$1,'Assumptions (Wind)'!$V$11,'Assumptions (Wind)'!$V$6*Model!$F$658*AVERAGE('Assumptions (Wind)'!$C$2:$D$2)/10^9),0)</f>
        <v>-0.13078139450163681</v>
      </c>
      <c r="H770" s="105">
        <f>IF($F$658&gt;0,IPMT('Assumptions (Wind)'!$V$8,Model!Y$1,'Assumptions (Wind)'!$V$11,'Assumptions (Wind)'!$V$6*Model!$F$658*AVERAGE('Assumptions (Wind)'!$C$2:$D$2)/10^9),0)</f>
        <v>-0.1203084584648378</v>
      </c>
      <c r="I770" s="105">
        <f>IF($F$658&gt;0,IPMT('Assumptions (Wind)'!$V$8,Model!Z$1,'Assumptions (Wind)'!$V$11,'Assumptions (Wind)'!$V$6*Model!$F$658*AVERAGE('Assumptions (Wind)'!$C$2:$D$2)/10^9),0)</f>
        <v>-0.1089976875450949</v>
      </c>
      <c r="J770" s="105">
        <f>IF($F$658&gt;0,IPMT('Assumptions (Wind)'!$V$8,Model!AA$1,'Assumptions (Wind)'!$V$11,'Assumptions (Wind)'!$V$6*Model!$F$658*AVERAGE('Assumptions (Wind)'!$C$2:$D$2)/10^9),0)</f>
        <v>-9.6782054951772556E-2</v>
      </c>
      <c r="K770" s="105">
        <f>IF($F$658&gt;0,IPMT('Assumptions (Wind)'!$V$8,Model!AB$1,'Assumptions (Wind)'!$V$11,'Assumptions (Wind)'!$V$6*Model!$F$658*AVERAGE('Assumptions (Wind)'!$C$2:$D$2)/10^9),0)</f>
        <v>-8.3589171750984445E-2</v>
      </c>
      <c r="L770" s="105">
        <f>IF($F$658&gt;0,IPMT('Assumptions (Wind)'!$V$8,Model!AC$1,'Assumptions (Wind)'!$V$11,'Assumptions (Wind)'!$V$6*Model!$F$658*AVERAGE('Assumptions (Wind)'!$C$2:$D$2)/10^9),0)</f>
        <v>-6.9340857894133245E-2</v>
      </c>
      <c r="M770" s="105">
        <f>IF($F$658&gt;0,IPMT('Assumptions (Wind)'!$V$8,Model!AD$1,'Assumptions (Wind)'!$V$11,'Assumptions (Wind)'!$V$6*Model!$F$658*AVERAGE('Assumptions (Wind)'!$C$2:$D$2)/10^9),0)</f>
        <v>-5.3952678928733983E-2</v>
      </c>
      <c r="N770" s="105">
        <f>IF($F$658&gt;0,IPMT('Assumptions (Wind)'!$V$8,Model!AE$1,'Assumptions (Wind)'!$V$11,'Assumptions (Wind)'!$V$6*Model!$F$658*AVERAGE('Assumptions (Wind)'!$C$2:$D$2)/10^9),0)</f>
        <v>-3.7333445646102761E-2</v>
      </c>
      <c r="O770" s="105">
        <f>IF($F$658&gt;0,IPMT('Assumptions (Wind)'!$V$8,Model!AF$1,'Assumptions (Wind)'!$V$11,'Assumptions (Wind)'!$V$6*Model!$F$658*AVERAGE('Assumptions (Wind)'!$C$2:$D$2)/10^9),0)</f>
        <v>-1.9384673700861048E-2</v>
      </c>
      <c r="P770" s="105" t="e">
        <f>IF($F$658&gt;0,IPMT('Assumptions (Wind)'!$V$8,Model!AG$1,'Assumptions (Wind)'!$V$11,'Assumptions (Wind)'!$V$6*Model!$F$658*AVERAGE('Assumptions (Wind)'!$C$2:$D$2)/10^9),0)</f>
        <v>#NUM!</v>
      </c>
      <c r="Q770" s="105" t="e">
        <f>IF($F$658&gt;0,IPMT('Assumptions (Wind)'!$V$8,Model!AH$1,'Assumptions (Wind)'!$V$11,'Assumptions (Wind)'!$V$6*Model!$F$658*AVERAGE('Assumptions (Wind)'!$C$2:$D$2)/10^9),0)</f>
        <v>#NUM!</v>
      </c>
      <c r="R770" s="105" t="e">
        <f>IF($F$658&gt;0,IPMT('Assumptions (Wind)'!$V$8,Model!AI$1,'Assumptions (Wind)'!$V$11,'Assumptions (Wind)'!$V$6*Model!$F$658*AVERAGE('Assumptions (Wind)'!$C$2:$D$2)/10^9),0)</f>
        <v>#NUM!</v>
      </c>
      <c r="S770" s="105" t="e">
        <f>IF($F$658&gt;0,IPMT('Assumptions (Wind)'!$V$8,Model!AJ$1,'Assumptions (Wind)'!$V$11,'Assumptions (Wind)'!$V$6*Model!$F$658*AVERAGE('Assumptions (Wind)'!$C$2:$D$2)/10^9),0)</f>
        <v>#NUM!</v>
      </c>
      <c r="T770" s="105" t="e">
        <f>IF($F$658&gt;0,IPMT('Assumptions (Wind)'!$V$8,Model!AK$1,'Assumptions (Wind)'!$V$11,'Assumptions (Wind)'!$V$6*Model!$F$658*AVERAGE('Assumptions (Wind)'!$C$2:$D$2)/10^9),0)</f>
        <v>#NUM!</v>
      </c>
      <c r="U770" s="105"/>
      <c r="V770" s="105"/>
      <c r="W770" s="105"/>
      <c r="X770" s="105"/>
      <c r="Y770" s="105"/>
      <c r="Z770" s="105"/>
      <c r="AA770" s="105"/>
      <c r="AB770" s="105"/>
      <c r="AC770" s="105"/>
      <c r="AD770" s="105"/>
      <c r="AE770" s="105"/>
      <c r="AF770" s="105"/>
      <c r="AG770" s="105"/>
      <c r="AU770" s="105"/>
      <c r="AV770" s="105"/>
      <c r="AW770" s="105"/>
      <c r="AX770" s="105"/>
      <c r="AY770" s="105"/>
      <c r="AZ770" s="105"/>
      <c r="BA770" s="105"/>
    </row>
    <row r="771" spans="1:53" ht="15.75" hidden="1" customHeight="1" outlineLevel="1">
      <c r="A771" s="395"/>
      <c r="B771" s="99"/>
      <c r="C771" s="105"/>
      <c r="D771" s="105"/>
      <c r="E771" s="105"/>
      <c r="F771" s="105"/>
      <c r="G771" s="105">
        <f>IF($G$658&gt;0,IPMT('Assumptions (Wind)'!$V$8,Model!W$1,'Assumptions (Wind)'!$V$11,'Assumptions (Wind)'!$V$6*Model!$G$658*AVERAGE('Assumptions (Wind)'!$D$2:$E$2)/10^9),0)</f>
        <v>-3.2751627114583765E-2</v>
      </c>
      <c r="H771" s="105">
        <f>IF($G$658&gt;0,IPMT('Assumptions (Wind)'!$V$8,Model!X$1,'Assumptions (Wind)'!$V$11,'Assumptions (Wind)'!$V$6*Model!$G$658*AVERAGE('Assumptions (Wind)'!$D$2:$E$2)/10^9),0)</f>
        <v>-3.0490799040866774E-2</v>
      </c>
      <c r="I771" s="105">
        <f>IF($G$658&gt;0,IPMT('Assumptions (Wind)'!$V$8,Model!Y$1,'Assumptions (Wind)'!$V$11,'Assumptions (Wind)'!$V$6*Model!$G$658*AVERAGE('Assumptions (Wind)'!$D$2:$E$2)/10^9),0)</f>
        <v>-2.8049104721252421E-2</v>
      </c>
      <c r="J771" s="105">
        <f>IF($G$658&gt;0,IPMT('Assumptions (Wind)'!$V$8,Model!Z$1,'Assumptions (Wind)'!$V$11,'Assumptions (Wind)'!$V$6*Model!$G$658*AVERAGE('Assumptions (Wind)'!$D$2:$E$2)/10^9),0)</f>
        <v>-2.5412074856068924E-2</v>
      </c>
      <c r="K771" s="105">
        <f>IF($G$658&gt;0,IPMT('Assumptions (Wind)'!$V$8,Model!AA$1,'Assumptions (Wind)'!$V$11,'Assumptions (Wind)'!$V$6*Model!$G$658*AVERAGE('Assumptions (Wind)'!$D$2:$E$2)/10^9),0)</f>
        <v>-2.2564082601670751E-2</v>
      </c>
      <c r="L771" s="105">
        <f>IF($G$658&gt;0,IPMT('Assumptions (Wind)'!$V$8,Model!AB$1,'Assumptions (Wind)'!$V$11,'Assumptions (Wind)'!$V$6*Model!$G$658*AVERAGE('Assumptions (Wind)'!$D$2:$E$2)/10^9),0)</f>
        <v>-1.9488250966920723E-2</v>
      </c>
      <c r="M771" s="105">
        <f>IF($G$658&gt;0,IPMT('Assumptions (Wind)'!$V$8,Model!AC$1,'Assumptions (Wind)'!$V$11,'Assumptions (Wind)'!$V$6*Model!$G$658*AVERAGE('Assumptions (Wind)'!$D$2:$E$2)/10^9),0)</f>
        <v>-1.6166352801390688E-2</v>
      </c>
      <c r="N771" s="105">
        <f>IF($G$658&gt;0,IPMT('Assumptions (Wind)'!$V$8,Model!AD$1,'Assumptions (Wind)'!$V$11,'Assumptions (Wind)'!$V$6*Model!$G$658*AVERAGE('Assumptions (Wind)'!$D$2:$E$2)/10^9),0)</f>
        <v>-1.2578702782618257E-2</v>
      </c>
      <c r="O771" s="105">
        <f>IF($G$658&gt;0,IPMT('Assumptions (Wind)'!$V$8,Model!AE$1,'Assumptions (Wind)'!$V$11,'Assumptions (Wind)'!$V$6*Model!$G$658*AVERAGE('Assumptions (Wind)'!$D$2:$E$2)/10^9),0)</f>
        <v>-8.7040407623440279E-3</v>
      </c>
      <c r="P771" s="105">
        <f>IF($G$658&gt;0,IPMT('Assumptions (Wind)'!$V$8,Model!AF$1,'Assumptions (Wind)'!$V$11,'Assumptions (Wind)'!$V$6*Model!$G$658*AVERAGE('Assumptions (Wind)'!$D$2:$E$2)/10^9),0)</f>
        <v>-4.5194057804478598E-3</v>
      </c>
      <c r="Q771" s="105" t="e">
        <f>IF($G$658&gt;0,IPMT('Assumptions (Wind)'!$V$8,Model!AG$1,'Assumptions (Wind)'!$V$11,'Assumptions (Wind)'!$V$6*Model!$G$658*AVERAGE('Assumptions (Wind)'!$D$2:$E$2)/10^9),0)</f>
        <v>#NUM!</v>
      </c>
      <c r="R771" s="105" t="e">
        <f>IF($G$658&gt;0,IPMT('Assumptions (Wind)'!$V$8,Model!AH$1,'Assumptions (Wind)'!$V$11,'Assumptions (Wind)'!$V$6*Model!$G$658*AVERAGE('Assumptions (Wind)'!$D$2:$E$2)/10^9),0)</f>
        <v>#NUM!</v>
      </c>
      <c r="S771" s="105" t="e">
        <f>IF($G$658&gt;0,IPMT('Assumptions (Wind)'!$V$8,Model!AI$1,'Assumptions (Wind)'!$V$11,'Assumptions (Wind)'!$V$6*Model!$G$658*AVERAGE('Assumptions (Wind)'!$D$2:$E$2)/10^9),0)</f>
        <v>#NUM!</v>
      </c>
      <c r="T771" s="105" t="e">
        <f>IF($G$658&gt;0,IPMT('Assumptions (Wind)'!$V$8,Model!AJ$1,'Assumptions (Wind)'!$V$11,'Assumptions (Wind)'!$V$6*Model!$G$658*AVERAGE('Assumptions (Wind)'!$D$2:$E$2)/10^9),0)</f>
        <v>#NUM!</v>
      </c>
      <c r="U771" s="105" t="e">
        <f>IF($G$658&gt;0,IPMT('Assumptions (Wind)'!$V$8,Model!AK$1,'Assumptions (Wind)'!$V$11,'Assumptions (Wind)'!$V$6*Model!$G$658*AVERAGE('Assumptions (Wind)'!$D$2:$E$2)/10^9),0)</f>
        <v>#NUM!</v>
      </c>
      <c r="V771" s="105"/>
      <c r="W771" s="105"/>
      <c r="X771" s="105"/>
      <c r="Y771" s="105"/>
      <c r="Z771" s="105"/>
      <c r="AA771" s="105"/>
      <c r="AB771" s="105"/>
      <c r="AC771" s="105"/>
      <c r="AD771" s="105"/>
      <c r="AE771" s="105"/>
      <c r="AF771" s="105"/>
      <c r="AG771" s="105"/>
      <c r="AU771" s="105"/>
      <c r="AV771" s="105"/>
      <c r="AW771" s="105"/>
      <c r="AX771" s="105"/>
      <c r="AY771" s="105"/>
      <c r="AZ771" s="105"/>
      <c r="BA771" s="105"/>
    </row>
    <row r="772" spans="1:53" ht="15.75" hidden="1" customHeight="1" outlineLevel="1">
      <c r="A772" s="395"/>
      <c r="B772" s="99"/>
      <c r="C772" s="105"/>
      <c r="D772" s="105"/>
      <c r="E772" s="105"/>
      <c r="F772" s="105"/>
      <c r="G772" s="105"/>
      <c r="H772" s="105">
        <f>IF($H$658&gt;0,IPMT('Assumptions (Wind)'!$V$8,Model!W$1,'Assumptions (Wind)'!$V$11,'Assumptions (Wind)'!$V$6*Model!$H$658*AVERAGE('Assumptions (Wind)'!$E$2:$F$2)/10^9),0)</f>
        <v>-0.18459835537500652</v>
      </c>
      <c r="I772" s="105">
        <f>IF($H$658&gt;0,IPMT('Assumptions (Wind)'!$V$8,Model!X$1,'Assumptions (Wind)'!$V$11,'Assumptions (Wind)'!$V$6*Model!$H$658*AVERAGE('Assumptions (Wind)'!$E$2:$F$2)/10^9),0)</f>
        <v>-0.1718556252891488</v>
      </c>
      <c r="J772" s="105">
        <f>IF($H$658&gt;0,IPMT('Assumptions (Wind)'!$V$8,Model!Y$1,'Assumptions (Wind)'!$V$11,'Assumptions (Wind)'!$V$6*Model!$H$658*AVERAGE('Assumptions (Wind)'!$E$2:$F$2)/10^9),0)</f>
        <v>-0.15809347679642244</v>
      </c>
      <c r="K772" s="105">
        <f>IF($H$658&gt;0,IPMT('Assumptions (Wind)'!$V$8,Model!Z$1,'Assumptions (Wind)'!$V$11,'Assumptions (Wind)'!$V$6*Model!$H$658*AVERAGE('Assumptions (Wind)'!$E$2:$F$2)/10^9),0)</f>
        <v>-0.14323035642427798</v>
      </c>
      <c r="L772" s="105">
        <f>IF($H$658&gt;0,IPMT('Assumptions (Wind)'!$V$8,Model!AA$1,'Assumptions (Wind)'!$V$11,'Assumptions (Wind)'!$V$6*Model!$H$658*AVERAGE('Assumptions (Wind)'!$E$2:$F$2)/10^9),0)</f>
        <v>-0.12717818642236195</v>
      </c>
      <c r="M772" s="105">
        <f>IF($H$658&gt;0,IPMT('Assumptions (Wind)'!$V$8,Model!AB$1,'Assumptions (Wind)'!$V$11,'Assumptions (Wind)'!$V$6*Model!$H$658*AVERAGE('Assumptions (Wind)'!$E$2:$F$2)/10^9),0)</f>
        <v>-0.1098418428202927</v>
      </c>
      <c r="N772" s="105">
        <f>IF($H$658&gt;0,IPMT('Assumptions (Wind)'!$V$8,Model!AC$1,'Assumptions (Wind)'!$V$11,'Assumptions (Wind)'!$V$6*Model!$H$658*AVERAGE('Assumptions (Wind)'!$E$2:$F$2)/10^9),0)</f>
        <v>-9.1118591730057846E-2</v>
      </c>
      <c r="O772" s="105">
        <f>IF($H$658&gt;0,IPMT('Assumptions (Wind)'!$V$8,Model!AD$1,'Assumptions (Wind)'!$V$11,'Assumptions (Wind)'!$V$6*Model!$H$658*AVERAGE('Assumptions (Wind)'!$E$2:$F$2)/10^9),0)</f>
        <v>-7.0897480552604253E-2</v>
      </c>
      <c r="P772" s="105">
        <f>IF($H$658&gt;0,IPMT('Assumptions (Wind)'!$V$8,Model!AE$1,'Assumptions (Wind)'!$V$11,'Assumptions (Wind)'!$V$6*Model!$H$658*AVERAGE('Assumptions (Wind)'!$E$2:$F$2)/10^9),0)</f>
        <v>-4.9058680480954346E-2</v>
      </c>
      <c r="Q772" s="105">
        <f>IF($H$658&gt;0,IPMT('Assumptions (Wind)'!$V$8,Model!AF$1,'Assumptions (Wind)'!$V$11,'Assumptions (Wind)'!$V$6*Model!$H$658*AVERAGE('Assumptions (Wind)'!$E$2:$F$2)/10^9),0)</f>
        <v>-2.5472776403572445E-2</v>
      </c>
      <c r="R772" s="105" t="e">
        <f>IF($H$658&gt;0,IPMT('Assumptions (Wind)'!$V$8,Model!AG$1,'Assumptions (Wind)'!$V$11,'Assumptions (Wind)'!$V$6*Model!$H$658*AVERAGE('Assumptions (Wind)'!$E$2:$F$2)/10^9),0)</f>
        <v>#NUM!</v>
      </c>
      <c r="S772" s="105" t="e">
        <f>IF($H$658&gt;0,IPMT('Assumptions (Wind)'!$V$8,Model!AH$1,'Assumptions (Wind)'!$V$11,'Assumptions (Wind)'!$V$6*Model!$H$658*AVERAGE('Assumptions (Wind)'!$E$2:$F$2)/10^9),0)</f>
        <v>#NUM!</v>
      </c>
      <c r="T772" s="105" t="e">
        <f>IF($H$658&gt;0,IPMT('Assumptions (Wind)'!$V$8,Model!AI$1,'Assumptions (Wind)'!$V$11,'Assumptions (Wind)'!$V$6*Model!$H$658*AVERAGE('Assumptions (Wind)'!$E$2:$F$2)/10^9),0)</f>
        <v>#NUM!</v>
      </c>
      <c r="U772" s="105" t="e">
        <f>IF($H$658&gt;0,IPMT('Assumptions (Wind)'!$V$8,Model!AJ$1,'Assumptions (Wind)'!$V$11,'Assumptions (Wind)'!$V$6*Model!$H$658*AVERAGE('Assumptions (Wind)'!$E$2:$F$2)/10^9),0)</f>
        <v>#NUM!</v>
      </c>
      <c r="V772" s="105" t="e">
        <f>IF($H$658&gt;0,IPMT('Assumptions (Wind)'!$V$8,Model!AK$1,'Assumptions (Wind)'!$V$11,'Assumptions (Wind)'!$V$6*Model!$H$658*AVERAGE('Assumptions (Wind)'!$E$2:$F$2)/10^9),0)</f>
        <v>#NUM!</v>
      </c>
      <c r="W772" s="105"/>
      <c r="X772" s="105"/>
      <c r="Y772" s="105"/>
      <c r="Z772" s="105"/>
      <c r="AA772" s="105"/>
      <c r="AB772" s="105"/>
      <c r="AC772" s="105"/>
      <c r="AD772" s="105"/>
      <c r="AE772" s="105"/>
      <c r="AF772" s="105"/>
      <c r="AG772" s="105"/>
      <c r="AU772" s="105"/>
      <c r="AV772" s="105"/>
      <c r="AW772" s="105"/>
      <c r="AX772" s="105"/>
      <c r="AY772" s="105"/>
      <c r="AZ772" s="105"/>
      <c r="BA772" s="105"/>
    </row>
    <row r="773" spans="1:53" ht="15.75" hidden="1" customHeight="1" outlineLevel="1">
      <c r="A773" s="395"/>
      <c r="B773" s="99"/>
      <c r="C773" s="105"/>
      <c r="D773" s="105"/>
      <c r="E773" s="105"/>
      <c r="F773" s="105"/>
      <c r="G773" s="105"/>
      <c r="H773" s="105"/>
      <c r="I773" s="105">
        <f>IF($I$658&gt;0,IPMT('Assumptions (Wind)'!$V$8,Model!W$1,'Assumptions (Wind)'!$V$11,'Assumptions (Wind)'!$V$6*Model!$I$658*AVERAGE('Assumptions (Wind)'!$F$2:$G$2)/10^9),0)</f>
        <v>-0.221550294660675</v>
      </c>
      <c r="J773" s="105">
        <f>IF($I$658&gt;0,IPMT('Assumptions (Wind)'!$V$8,Model!X$1,'Assumptions (Wind)'!$V$11,'Assumptions (Wind)'!$V$6*Model!$I$658*AVERAGE('Assumptions (Wind)'!$F$2:$G$2)/10^9),0)</f>
        <v>-0.20625679109956221</v>
      </c>
      <c r="K773" s="105">
        <f>IF($I$658&gt;0,IPMT('Assumptions (Wind)'!$V$8,Model!Y$1,'Assumptions (Wind)'!$V$11,'Assumptions (Wind)'!$V$6*Model!$I$658*AVERAGE('Assumptions (Wind)'!$F$2:$G$2)/10^9),0)</f>
        <v>-0.18973980725356035</v>
      </c>
      <c r="L773" s="105">
        <f>IF($I$658&gt;0,IPMT('Assumptions (Wind)'!$V$8,Model!Z$1,'Assumptions (Wind)'!$V$11,'Assumptions (Wind)'!$V$6*Model!$I$658*AVERAGE('Assumptions (Wind)'!$F$2:$G$2)/10^9),0)</f>
        <v>-0.17190146469987838</v>
      </c>
      <c r="M773" s="105">
        <f>IF($I$658&gt;0,IPMT('Assumptions (Wind)'!$V$8,Model!AA$1,'Assumptions (Wind)'!$V$11,'Assumptions (Wind)'!$V$6*Model!$I$658*AVERAGE('Assumptions (Wind)'!$F$2:$G$2)/10^9),0)</f>
        <v>-0.15263605474190187</v>
      </c>
      <c r="N773" s="105">
        <f>IF($I$658&gt;0,IPMT('Assumptions (Wind)'!$V$8,Model!AB$1,'Assumptions (Wind)'!$V$11,'Assumptions (Wind)'!$V$6*Model!$I$658*AVERAGE('Assumptions (Wind)'!$F$2:$G$2)/10^9),0)</f>
        <v>-0.13182941198728726</v>
      </c>
      <c r="O773" s="105">
        <f>IF($I$658&gt;0,IPMT('Assumptions (Wind)'!$V$8,Model!AC$1,'Assumptions (Wind)'!$V$11,'Assumptions (Wind)'!$V$6*Model!$I$658*AVERAGE('Assumptions (Wind)'!$F$2:$G$2)/10^9),0)</f>
        <v>-0.10935823781230342</v>
      </c>
      <c r="P773" s="105">
        <f>IF($I$658&gt;0,IPMT('Assumptions (Wind)'!$V$8,Model!AD$1,'Assumptions (Wind)'!$V$11,'Assumptions (Wind)'!$V$6*Model!$I$658*AVERAGE('Assumptions (Wind)'!$F$2:$G$2)/10^9),0)</f>
        <v>-8.5089369703320913E-2</v>
      </c>
      <c r="Q773" s="105">
        <f>IF($I$658&gt;0,IPMT('Assumptions (Wind)'!$V$8,Model!AE$1,'Assumptions (Wind)'!$V$11,'Assumptions (Wind)'!$V$6*Model!$I$658*AVERAGE('Assumptions (Wind)'!$F$2:$G$2)/10^9),0)</f>
        <v>-5.8878992145619792E-2</v>
      </c>
      <c r="R773" s="105">
        <f>IF($I$658&gt;0,IPMT('Assumptions (Wind)'!$V$8,Model!AF$1,'Assumptions (Wind)'!$V$11,'Assumptions (Wind)'!$V$6*Model!$I$658*AVERAGE('Assumptions (Wind)'!$F$2:$G$2)/10^9),0)</f>
        <v>-3.0571784383302582E-2</v>
      </c>
      <c r="S773" s="105" t="e">
        <f>IF($I$658&gt;0,IPMT('Assumptions (Wind)'!$V$8,Model!AG$1,'Assumptions (Wind)'!$V$11,'Assumptions (Wind)'!$V$6*Model!$I$658*AVERAGE('Assumptions (Wind)'!$F$2:$G$2)/10^9),0)</f>
        <v>#NUM!</v>
      </c>
      <c r="T773" s="105" t="e">
        <f>IF($I$658&gt;0,IPMT('Assumptions (Wind)'!$V$8,Model!AH$1,'Assumptions (Wind)'!$V$11,'Assumptions (Wind)'!$V$6*Model!$I$658*AVERAGE('Assumptions (Wind)'!$F$2:$G$2)/10^9),0)</f>
        <v>#NUM!</v>
      </c>
      <c r="U773" s="105" t="e">
        <f>IF($I$658&gt;0,IPMT('Assumptions (Wind)'!$V$8,Model!AI$1,'Assumptions (Wind)'!$V$11,'Assumptions (Wind)'!$V$6*Model!$I$658*AVERAGE('Assumptions (Wind)'!$F$2:$G$2)/10^9),0)</f>
        <v>#NUM!</v>
      </c>
      <c r="V773" s="105" t="e">
        <f>IF($I$658&gt;0,IPMT('Assumptions (Wind)'!$V$8,Model!AJ$1,'Assumptions (Wind)'!$V$11,'Assumptions (Wind)'!$V$6*Model!$I$658*AVERAGE('Assumptions (Wind)'!$F$2:$G$2)/10^9),0)</f>
        <v>#NUM!</v>
      </c>
      <c r="W773" s="105" t="e">
        <f>IF($I$658&gt;0,IPMT('Assumptions (Wind)'!$V$8,Model!AK$1,'Assumptions (Wind)'!$V$11,'Assumptions (Wind)'!$V$6*Model!$I$658*AVERAGE('Assumptions (Wind)'!$F$2:$G$2)/10^9),0)</f>
        <v>#NUM!</v>
      </c>
      <c r="X773" s="105"/>
      <c r="Y773" s="105"/>
      <c r="Z773" s="105"/>
      <c r="AA773" s="105"/>
      <c r="AB773" s="105"/>
      <c r="AC773" s="105"/>
      <c r="AD773" s="105"/>
      <c r="AE773" s="105"/>
      <c r="AF773" s="105"/>
      <c r="AG773" s="105"/>
      <c r="AU773" s="105"/>
      <c r="AV773" s="105"/>
      <c r="AW773" s="105"/>
      <c r="AX773" s="105"/>
      <c r="AY773" s="105"/>
      <c r="AZ773" s="105"/>
      <c r="BA773" s="105"/>
    </row>
    <row r="774" spans="1:53" ht="15.75" hidden="1" customHeight="1" outlineLevel="1">
      <c r="A774" s="395"/>
      <c r="B774" s="99"/>
      <c r="C774" s="105"/>
      <c r="D774" s="105"/>
      <c r="E774" s="105"/>
      <c r="F774" s="105"/>
      <c r="G774" s="105"/>
      <c r="H774" s="105"/>
      <c r="I774" s="105"/>
      <c r="J774" s="105">
        <f>IF($J$658&gt;0,IPMT('Assumptions (Wind)'!$V$8,Model!W$1,'Assumptions (Wind)'!$V$11,'Assumptions (Wind)'!$V$6*Model!$J$658*AVERAGE('Assumptions (Wind)'!$G$2:$H$2)/10^9),0)</f>
        <v>-0.44938700264092291</v>
      </c>
      <c r="K774" s="105">
        <f>IF($J$658&gt;0,IPMT('Assumptions (Wind)'!$V$8,Model!X$1,'Assumptions (Wind)'!$V$11,'Assumptions (Wind)'!$V$6*Model!$J$658*AVERAGE('Assumptions (Wind)'!$G$2:$H$2)/10^9),0)</f>
        <v>-0.4183660476215087</v>
      </c>
      <c r="L774" s="105">
        <f>IF($J$658&gt;0,IPMT('Assumptions (Wind)'!$V$8,Model!Y$1,'Assumptions (Wind)'!$V$11,'Assumptions (Wind)'!$V$6*Model!$J$658*AVERAGE('Assumptions (Wind)'!$G$2:$H$2)/10^9),0)</f>
        <v>-0.38486341620054132</v>
      </c>
      <c r="M774" s="105">
        <f>IF($J$658&gt;0,IPMT('Assumptions (Wind)'!$V$8,Model!Z$1,'Assumptions (Wind)'!$V$11,'Assumptions (Wind)'!$V$6*Model!$J$658*AVERAGE('Assumptions (Wind)'!$G$2:$H$2)/10^9),0)</f>
        <v>-0.3486805742658966</v>
      </c>
      <c r="N774" s="105">
        <f>IF($J$658&gt;0,IPMT('Assumptions (Wind)'!$V$8,Model!AA$1,'Assumptions (Wind)'!$V$11,'Assumptions (Wind)'!$V$6*Model!$J$658*AVERAGE('Assumptions (Wind)'!$G$2:$H$2)/10^9),0)</f>
        <v>-0.3096031049764803</v>
      </c>
      <c r="O774" s="105">
        <f>IF($J$658&gt;0,IPMT('Assumptions (Wind)'!$V$8,Model!AB$1,'Assumptions (Wind)'!$V$11,'Assumptions (Wind)'!$V$6*Model!$J$658*AVERAGE('Assumptions (Wind)'!$G$2:$H$2)/10^9),0)</f>
        <v>-0.26739943814391076</v>
      </c>
      <c r="P774" s="105">
        <f>IF($J$658&gt;0,IPMT('Assumptions (Wind)'!$V$8,Model!AC$1,'Assumptions (Wind)'!$V$11,'Assumptions (Wind)'!$V$6*Model!$J$658*AVERAGE('Assumptions (Wind)'!$G$2:$H$2)/10^9),0)</f>
        <v>-0.22181947796473556</v>
      </c>
      <c r="Q774" s="105">
        <f>IF($J$658&gt;0,IPMT('Assumptions (Wind)'!$V$8,Model!AD$1,'Assumptions (Wind)'!$V$11,'Assumptions (Wind)'!$V$6*Model!$J$658*AVERAGE('Assumptions (Wind)'!$G$2:$H$2)/10^9),0)</f>
        <v>-0.17259312097122642</v>
      </c>
      <c r="R774" s="105">
        <f>IF($J$658&gt;0,IPMT('Assumptions (Wind)'!$V$8,Model!AE$1,'Assumptions (Wind)'!$V$11,'Assumptions (Wind)'!$V$6*Model!$J$658*AVERAGE('Assumptions (Wind)'!$G$2:$H$2)/10^9),0)</f>
        <v>-0.11942865541823651</v>
      </c>
      <c r="S774" s="105">
        <f>IF($J$658&gt;0,IPMT('Assumptions (Wind)'!$V$8,Model!AF$1,'Assumptions (Wind)'!$V$11,'Assumptions (Wind)'!$V$6*Model!$J$658*AVERAGE('Assumptions (Wind)'!$G$2:$H$2)/10^9),0)</f>
        <v>-6.201103262100742E-2</v>
      </c>
      <c r="T774" s="105" t="e">
        <f>IF($J$658&gt;0,IPMT('Assumptions (Wind)'!$V$8,Model!AG$1,'Assumptions (Wind)'!$V$11,'Assumptions (Wind)'!$V$6*Model!$J$658*AVERAGE('Assumptions (Wind)'!$G$2:$H$2)/10^9),0)</f>
        <v>#NUM!</v>
      </c>
      <c r="U774" s="105" t="e">
        <f>IF($J$658&gt;0,IPMT('Assumptions (Wind)'!$V$8,Model!AH$1,'Assumptions (Wind)'!$V$11,'Assumptions (Wind)'!$V$6*Model!$J$658*AVERAGE('Assumptions (Wind)'!$G$2:$H$2)/10^9),0)</f>
        <v>#NUM!</v>
      </c>
      <c r="V774" s="105" t="e">
        <f>IF($J$658&gt;0,IPMT('Assumptions (Wind)'!$V$8,Model!AI$1,'Assumptions (Wind)'!$V$11,'Assumptions (Wind)'!$V$6*Model!$J$658*AVERAGE('Assumptions (Wind)'!$G$2:$H$2)/10^9),0)</f>
        <v>#NUM!</v>
      </c>
      <c r="W774" s="105" t="e">
        <f>IF($J$658&gt;0,IPMT('Assumptions (Wind)'!$V$8,Model!AJ$1,'Assumptions (Wind)'!$V$11,'Assumptions (Wind)'!$V$6*Model!$J$658*AVERAGE('Assumptions (Wind)'!$G$2:$H$2)/10^9),0)</f>
        <v>#NUM!</v>
      </c>
      <c r="X774" s="105" t="e">
        <f>IF($J$658&gt;0,IPMT('Assumptions (Wind)'!$V$8,Model!AK$1,'Assumptions (Wind)'!$V$11,'Assumptions (Wind)'!$V$6*Model!$J$658*AVERAGE('Assumptions (Wind)'!$G$2:$H$2)/10^9),0)</f>
        <v>#NUM!</v>
      </c>
      <c r="Y774" s="105"/>
      <c r="Z774" s="105"/>
      <c r="AA774" s="105"/>
      <c r="AB774" s="105"/>
      <c r="AC774" s="105"/>
      <c r="AD774" s="105"/>
      <c r="AE774" s="105"/>
      <c r="AF774" s="105"/>
      <c r="AG774" s="105"/>
      <c r="AH774" s="105"/>
      <c r="AU774" s="105"/>
      <c r="AV774" s="105"/>
      <c r="AW774" s="105"/>
      <c r="AX774" s="105"/>
      <c r="AY774" s="105"/>
      <c r="AZ774" s="105"/>
      <c r="BA774" s="105"/>
    </row>
    <row r="775" spans="1:53" ht="15.75" hidden="1" customHeight="1" outlineLevel="1">
      <c r="A775" s="395"/>
      <c r="B775" s="99"/>
      <c r="C775" s="105"/>
      <c r="D775" s="105"/>
      <c r="E775" s="105"/>
      <c r="F775" s="105"/>
      <c r="G775" s="105"/>
      <c r="H775" s="105"/>
      <c r="I775" s="105"/>
      <c r="J775" s="105"/>
      <c r="K775" s="105">
        <f>IF($K$658&gt;0,IPMT('Assumptions (Wind)'!$V$8,Model!W$1,'Assumptions (Wind)'!$V$11,'Assumptions (Wind)'!$V$6*Model!$K$658*AVERAGE('Assumptions (Wind)'!$H$2:$I$2)/10^9),0)</f>
        <v>-0.70877743152339689</v>
      </c>
      <c r="L775" s="105">
        <f>IF($K$658&gt;0,IPMT('Assumptions (Wind)'!$V$8,Model!X$1,'Assumptions (Wind)'!$V$11,'Assumptions (Wind)'!$V$6*Model!$K$658*AVERAGE('Assumptions (Wind)'!$H$2:$I$2)/10^9),0)</f>
        <v>-0.65985088782531054</v>
      </c>
      <c r="M775" s="105">
        <f>IF($K$658&gt;0,IPMT('Assumptions (Wind)'!$V$8,Model!Y$1,'Assumptions (Wind)'!$V$11,'Assumptions (Wind)'!$V$6*Model!$K$658*AVERAGE('Assumptions (Wind)'!$H$2:$I$2)/10^9),0)</f>
        <v>-0.607010220631377</v>
      </c>
      <c r="N775" s="105">
        <f>IF($K$658&gt;0,IPMT('Assumptions (Wind)'!$V$8,Model!Z$1,'Assumptions (Wind)'!$V$11,'Assumptions (Wind)'!$V$6*Model!$K$658*AVERAGE('Assumptions (Wind)'!$H$2:$I$2)/10^9),0)</f>
        <v>-0.5499423000619289</v>
      </c>
      <c r="O775" s="105">
        <f>IF($K$658&gt;0,IPMT('Assumptions (Wind)'!$V$8,Model!AA$1,'Assumptions (Wind)'!$V$11,'Assumptions (Wind)'!$V$6*Model!$K$658*AVERAGE('Assumptions (Wind)'!$H$2:$I$2)/10^9),0)</f>
        <v>-0.48830894584692502</v>
      </c>
      <c r="P775" s="105">
        <f>IF($K$658&gt;0,IPMT('Assumptions (Wind)'!$V$8,Model!AB$1,'Assumptions (Wind)'!$V$11,'Assumptions (Wind)'!$V$6*Model!$K$658*AVERAGE('Assumptions (Wind)'!$H$2:$I$2)/10^9),0)</f>
        <v>-0.4217449232947208</v>
      </c>
      <c r="Q775" s="105">
        <f>IF($K$658&gt;0,IPMT('Assumptions (Wind)'!$V$8,Model!AC$1,'Assumptions (Wind)'!$V$11,'Assumptions (Wind)'!$V$6*Model!$K$658*AVERAGE('Assumptions (Wind)'!$H$2:$I$2)/10^9),0)</f>
        <v>-0.34985577893834019</v>
      </c>
      <c r="R775" s="105">
        <f>IF($K$658&gt;0,IPMT('Assumptions (Wind)'!$V$8,Model!AD$1,'Assumptions (Wind)'!$V$11,'Assumptions (Wind)'!$V$6*Model!$K$658*AVERAGE('Assumptions (Wind)'!$H$2:$I$2)/10^9),0)</f>
        <v>-0.27221550303344921</v>
      </c>
      <c r="S775" s="105">
        <f>IF($K$658&gt;0,IPMT('Assumptions (Wind)'!$V$8,Model!AE$1,'Assumptions (Wind)'!$V$11,'Assumptions (Wind)'!$V$6*Model!$K$658*AVERAGE('Assumptions (Wind)'!$H$2:$I$2)/10^9),0)</f>
        <v>-0.18836400505616691</v>
      </c>
      <c r="T775" s="105">
        <f>IF($K$658&gt;0,IPMT('Assumptions (Wind)'!$V$8,Model!AF$1,'Assumptions (Wind)'!$V$11,'Assumptions (Wind)'!$V$6*Model!$K$658*AVERAGE('Assumptions (Wind)'!$H$2:$I$2)/10^9),0)</f>
        <v>-9.7804387240702048E-2</v>
      </c>
      <c r="U775" s="105" t="e">
        <f>IF($K$658&gt;0,IPMT('Assumptions (Wind)'!$V$8,Model!AG$1,'Assumptions (Wind)'!$V$11,'Assumptions (Wind)'!$V$6*Model!$K$658*AVERAGE('Assumptions (Wind)'!$H$2:$I$2)/10^9),0)</f>
        <v>#NUM!</v>
      </c>
      <c r="V775" s="105" t="e">
        <f>IF($K$658&gt;0,IPMT('Assumptions (Wind)'!$V$8,Model!AH$1,'Assumptions (Wind)'!$V$11,'Assumptions (Wind)'!$V$6*Model!$K$658*AVERAGE('Assumptions (Wind)'!$H$2:$I$2)/10^9),0)</f>
        <v>#NUM!</v>
      </c>
      <c r="W775" s="105" t="e">
        <f>IF($K$658&gt;0,IPMT('Assumptions (Wind)'!$V$8,Model!AI$1,'Assumptions (Wind)'!$V$11,'Assumptions (Wind)'!$V$6*Model!$K$658*AVERAGE('Assumptions (Wind)'!$H$2:$I$2)/10^9),0)</f>
        <v>#NUM!</v>
      </c>
      <c r="X775" s="105" t="e">
        <f>IF($K$658&gt;0,IPMT('Assumptions (Wind)'!$V$8,Model!AJ$1,'Assumptions (Wind)'!$V$11,'Assumptions (Wind)'!$V$6*Model!$K$658*AVERAGE('Assumptions (Wind)'!$H$2:$I$2)/10^9),0)</f>
        <v>#NUM!</v>
      </c>
      <c r="Y775" s="105" t="e">
        <f>IF($K$658&gt;0,IPMT('Assumptions (Wind)'!$V$8,Model!AK$1,'Assumptions (Wind)'!$V$11,'Assumptions (Wind)'!$V$6*Model!$K$658*AVERAGE('Assumptions (Wind)'!$H$2:$I$2)/10^9),0)</f>
        <v>#NUM!</v>
      </c>
      <c r="Z775" s="105"/>
      <c r="AA775" s="105"/>
      <c r="AB775" s="105"/>
      <c r="AC775" s="105"/>
      <c r="AD775" s="105"/>
      <c r="AE775" s="105"/>
      <c r="AF775" s="105"/>
      <c r="AG775" s="105"/>
      <c r="AH775" s="105"/>
      <c r="AI775" s="105"/>
      <c r="AU775" s="105"/>
      <c r="AV775" s="105"/>
      <c r="AW775" s="105"/>
      <c r="AX775" s="105"/>
      <c r="AY775" s="105"/>
      <c r="AZ775" s="105"/>
      <c r="BA775" s="105"/>
    </row>
    <row r="776" spans="1:53" ht="15.75" hidden="1" customHeight="1" outlineLevel="1">
      <c r="A776" s="395"/>
      <c r="B776" s="99"/>
      <c r="C776" s="105"/>
      <c r="D776" s="105"/>
      <c r="E776" s="105"/>
      <c r="F776" s="105"/>
      <c r="G776" s="105"/>
      <c r="H776" s="105"/>
      <c r="I776" s="105"/>
      <c r="J776" s="105"/>
      <c r="K776" s="105"/>
      <c r="L776" s="105">
        <f>IF($L$658&gt;0,IPMT('Assumptions (Wind)'!$V$8,Model!W$1,'Assumptions (Wind)'!$V$11,'Assumptions (Wind)'!$V$6*Model!$L$658*AVERAGE('Assumptions (Wind)'!$I$2:$J$2)/10^9),0)</f>
        <v>-0.8321337508408776</v>
      </c>
      <c r="M776" s="105">
        <f>IF($L$658&gt;0,IPMT('Assumptions (Wind)'!$V$8,Model!X$1,'Assumptions (Wind)'!$V$11,'Assumptions (Wind)'!$V$6*Model!$L$658*AVERAGE('Assumptions (Wind)'!$I$2:$J$2)/10^9),0)</f>
        <v>-0.77469198349275237</v>
      </c>
      <c r="N776" s="105">
        <f>IF($L$658&gt;0,IPMT('Assumptions (Wind)'!$V$8,Model!Y$1,'Assumptions (Wind)'!$V$11,'Assumptions (Wind)'!$V$6*Model!$L$658*AVERAGE('Assumptions (Wind)'!$I$2:$J$2)/10^9),0)</f>
        <v>-0.71265487475677691</v>
      </c>
      <c r="O776" s="105">
        <f>IF($L$658&gt;0,IPMT('Assumptions (Wind)'!$V$8,Model!Z$1,'Assumptions (Wind)'!$V$11,'Assumptions (Wind)'!$V$6*Model!$L$658*AVERAGE('Assumptions (Wind)'!$I$2:$J$2)/10^9),0)</f>
        <v>-0.64565479732192332</v>
      </c>
      <c r="P776" s="105">
        <f>IF($L$658&gt;0,IPMT('Assumptions (Wind)'!$V$8,Model!AA$1,'Assumptions (Wind)'!$V$11,'Assumptions (Wind)'!$V$6*Model!$L$658*AVERAGE('Assumptions (Wind)'!$I$2:$J$2)/10^9),0)</f>
        <v>-0.5732947136922818</v>
      </c>
      <c r="Q776" s="105">
        <f>IF($L$658&gt;0,IPMT('Assumptions (Wind)'!$V$8,Model!AB$1,'Assumptions (Wind)'!$V$11,'Assumptions (Wind)'!$V$6*Model!$L$658*AVERAGE('Assumptions (Wind)'!$I$2:$J$2)/10^9),0)</f>
        <v>-0.49514582337226876</v>
      </c>
      <c r="R776" s="105">
        <f>IF($L$658&gt;0,IPMT('Assumptions (Wind)'!$V$8,Model!AC$1,'Assumptions (Wind)'!$V$11,'Assumptions (Wind)'!$V$6*Model!$L$658*AVERAGE('Assumptions (Wind)'!$I$2:$J$2)/10^9),0)</f>
        <v>-0.41074502182665468</v>
      </c>
      <c r="S776" s="105">
        <f>IF($L$658&gt;0,IPMT('Assumptions (Wind)'!$V$8,Model!AD$1,'Assumptions (Wind)'!$V$11,'Assumptions (Wind)'!$V$6*Model!$L$658*AVERAGE('Assumptions (Wind)'!$I$2:$J$2)/10^9),0)</f>
        <v>-0.31959215615739156</v>
      </c>
      <c r="T776" s="105">
        <f>IF($L$658&gt;0,IPMT('Assumptions (Wind)'!$V$8,Model!AE$1,'Assumptions (Wind)'!$V$11,'Assumptions (Wind)'!$V$6*Model!$L$658*AVERAGE('Assumptions (Wind)'!$I$2:$J$2)/10^9),0)</f>
        <v>-0.22114706123458736</v>
      </c>
      <c r="U776" s="105">
        <f>IF($L$658&gt;0,IPMT('Assumptions (Wind)'!$V$8,Model!AF$1,'Assumptions (Wind)'!$V$11,'Assumptions (Wind)'!$V$6*Model!$L$658*AVERAGE('Assumptions (Wind)'!$I$2:$J$2)/10^9),0)</f>
        <v>-0.11482635871795882</v>
      </c>
      <c r="V776" s="105" t="e">
        <f>IF($L$658&gt;0,IPMT('Assumptions (Wind)'!$V$8,Model!AG$1,'Assumptions (Wind)'!$V$11,'Assumptions (Wind)'!$V$6*Model!$L$658*AVERAGE('Assumptions (Wind)'!$I$2:$J$2)/10^9),0)</f>
        <v>#NUM!</v>
      </c>
      <c r="W776" s="105" t="e">
        <f>IF($L$658&gt;0,IPMT('Assumptions (Wind)'!$V$8,Model!AH$1,'Assumptions (Wind)'!$V$11,'Assumptions (Wind)'!$V$6*Model!$L$658*AVERAGE('Assumptions (Wind)'!$I$2:$J$2)/10^9),0)</f>
        <v>#NUM!</v>
      </c>
      <c r="X776" s="105" t="e">
        <f>IF($L$658&gt;0,IPMT('Assumptions (Wind)'!$V$8,Model!AI$1,'Assumptions (Wind)'!$V$11,'Assumptions (Wind)'!$V$6*Model!$L$658*AVERAGE('Assumptions (Wind)'!$I$2:$J$2)/10^9),0)</f>
        <v>#NUM!</v>
      </c>
      <c r="Y776" s="105" t="e">
        <f>IF($L$658&gt;0,IPMT('Assumptions (Wind)'!$V$8,Model!AJ$1,'Assumptions (Wind)'!$V$11,'Assumptions (Wind)'!$V$6*Model!$L$658*AVERAGE('Assumptions (Wind)'!$I$2:$J$2)/10^9),0)</f>
        <v>#NUM!</v>
      </c>
      <c r="Z776" s="105" t="e">
        <f>IF($L$658&gt;0,IPMT('Assumptions (Wind)'!$V$8,Model!AK$1,'Assumptions (Wind)'!$V$11,'Assumptions (Wind)'!$V$6*Model!$L$658*AVERAGE('Assumptions (Wind)'!$I$2:$J$2)/10^9),0)</f>
        <v>#NUM!</v>
      </c>
      <c r="AA776" s="105"/>
      <c r="AB776" s="105"/>
      <c r="AC776" s="105"/>
      <c r="AD776" s="105"/>
      <c r="AE776" s="105"/>
      <c r="AF776" s="105"/>
      <c r="AG776" s="105"/>
      <c r="AH776" s="105"/>
      <c r="AI776" s="105"/>
      <c r="AJ776" s="105"/>
      <c r="AU776" s="105"/>
      <c r="AV776" s="105"/>
      <c r="AW776" s="105"/>
      <c r="AX776" s="105"/>
      <c r="AY776" s="105"/>
      <c r="AZ776" s="105"/>
      <c r="BA776" s="105"/>
    </row>
    <row r="777" spans="1:53" ht="15.75" hidden="1" customHeight="1" outlineLevel="1">
      <c r="A777" s="395"/>
      <c r="B777" s="99"/>
      <c r="C777" s="105"/>
      <c r="D777" s="105"/>
      <c r="E777" s="105"/>
      <c r="F777" s="105"/>
      <c r="G777" s="105"/>
      <c r="H777" s="105"/>
      <c r="I777" s="105"/>
      <c r="J777" s="105"/>
      <c r="K777" s="105"/>
      <c r="L777" s="105"/>
      <c r="M777" s="105">
        <f>IF($M$658&gt;0,IPMT('Assumptions (Wind)'!$V$8,Model!W$1,'Assumptions (Wind)'!$V$11,'Assumptions (Wind)'!$V$6*Model!$M$658*AVERAGE('Assumptions (Wind)'!$J$2:$K$2)/10^9),0)</f>
        <v>-0.39194944291271866</v>
      </c>
      <c r="N777" s="105">
        <f>IF($M$658&gt;0,IPMT('Assumptions (Wind)'!$V$8,Model!X$1,'Assumptions (Wind)'!$V$11,'Assumptions (Wind)'!$V$6*Model!$M$658*AVERAGE('Assumptions (Wind)'!$J$2:$K$2)/10^9),0)</f>
        <v>-0.36489337327335014</v>
      </c>
      <c r="O777" s="105">
        <f>IF($M$658&gt;0,IPMT('Assumptions (Wind)'!$V$8,Model!Y$1,'Assumptions (Wind)'!$V$11,'Assumptions (Wind)'!$V$6*Model!$M$658*AVERAGE('Assumptions (Wind)'!$J$2:$K$2)/10^9),0)</f>
        <v>-0.33567281806283211</v>
      </c>
      <c r="P777" s="105">
        <f>IF($M$658&gt;0,IPMT('Assumptions (Wind)'!$V$8,Model!Z$1,'Assumptions (Wind)'!$V$11,'Assumptions (Wind)'!$V$6*Model!$M$658*AVERAGE('Assumptions (Wind)'!$J$2:$K$2)/10^9),0)</f>
        <v>-0.30411461843547261</v>
      </c>
      <c r="Q777" s="105">
        <f>IF($M$658&gt;0,IPMT('Assumptions (Wind)'!$V$8,Model!AA$1,'Assumptions (Wind)'!$V$11,'Assumptions (Wind)'!$V$6*Model!$M$658*AVERAGE('Assumptions (Wind)'!$J$2:$K$2)/10^9),0)</f>
        <v>-0.27003176283792441</v>
      </c>
      <c r="R777" s="105">
        <f>IF($M$658&gt;0,IPMT('Assumptions (Wind)'!$V$8,Model!AB$1,'Assumptions (Wind)'!$V$11,'Assumptions (Wind)'!$V$6*Model!$M$658*AVERAGE('Assumptions (Wind)'!$J$2:$K$2)/10^9),0)</f>
        <v>-0.2332222787925724</v>
      </c>
      <c r="S777" s="105">
        <f>IF($M$658&gt;0,IPMT('Assumptions (Wind)'!$V$8,Model!AC$1,'Assumptions (Wind)'!$V$11,'Assumptions (Wind)'!$V$6*Model!$M$658*AVERAGE('Assumptions (Wind)'!$J$2:$K$2)/10^9),0)</f>
        <v>-0.19346803602359217</v>
      </c>
      <c r="T777" s="105">
        <f>IF($M$658&gt;0,IPMT('Assumptions (Wind)'!$V$8,Model!AD$1,'Assumptions (Wind)'!$V$11,'Assumptions (Wind)'!$V$6*Model!$M$658*AVERAGE('Assumptions (Wind)'!$J$2:$K$2)/10^9),0)</f>
        <v>-0.15053345383309355</v>
      </c>
      <c r="U777" s="105">
        <f>IF($M$658&gt;0,IPMT('Assumptions (Wind)'!$V$8,Model!AE$1,'Assumptions (Wind)'!$V$11,'Assumptions (Wind)'!$V$6*Model!$M$658*AVERAGE('Assumptions (Wind)'!$J$2:$K$2)/10^9),0)</f>
        <v>-0.10416410506735503</v>
      </c>
      <c r="V777" s="105">
        <f>IF($M$658&gt;0,IPMT('Assumptions (Wind)'!$V$8,Model!AF$1,'Assumptions (Wind)'!$V$11,'Assumptions (Wind)'!$V$6*Model!$M$658*AVERAGE('Assumptions (Wind)'!$J$2:$K$2)/10^9),0)</f>
        <v>-5.408520840035741E-2</v>
      </c>
      <c r="W777" s="105" t="e">
        <f>IF($M$658&gt;0,IPMT('Assumptions (Wind)'!$V$8,Model!AG$1,'Assumptions (Wind)'!$V$11,'Assumptions (Wind)'!$V$6*Model!$M$658*AVERAGE('Assumptions (Wind)'!$J$2:$K$2)/10^9),0)</f>
        <v>#NUM!</v>
      </c>
      <c r="X777" s="105" t="e">
        <f>IF($M$658&gt;0,IPMT('Assumptions (Wind)'!$V$8,Model!AH$1,'Assumptions (Wind)'!$V$11,'Assumptions (Wind)'!$V$6*Model!$M$658*AVERAGE('Assumptions (Wind)'!$J$2:$K$2)/10^9),0)</f>
        <v>#NUM!</v>
      </c>
      <c r="Y777" s="105" t="e">
        <f>IF($M$658&gt;0,IPMT('Assumptions (Wind)'!$V$8,Model!AI$1,'Assumptions (Wind)'!$V$11,'Assumptions (Wind)'!$V$6*Model!$M$658*AVERAGE('Assumptions (Wind)'!$J$2:$K$2)/10^9),0)</f>
        <v>#NUM!</v>
      </c>
      <c r="Z777" s="105" t="e">
        <f>IF($M$658&gt;0,IPMT('Assumptions (Wind)'!$V$8,Model!AJ$1,'Assumptions (Wind)'!$V$11,'Assumptions (Wind)'!$V$6*Model!$M$658*AVERAGE('Assumptions (Wind)'!$J$2:$K$2)/10^9),0)</f>
        <v>#NUM!</v>
      </c>
      <c r="AA777" s="105" t="e">
        <f>IF($M$658&gt;0,IPMT('Assumptions (Wind)'!$V$8,Model!AK$1,'Assumptions (Wind)'!$V$11,'Assumptions (Wind)'!$V$6*Model!$M$658*AVERAGE('Assumptions (Wind)'!$J$2:$K$2)/10^9),0)</f>
        <v>#NUM!</v>
      </c>
      <c r="AB777" s="105"/>
      <c r="AC777" s="105"/>
      <c r="AD777" s="105"/>
      <c r="AE777" s="105"/>
      <c r="AF777" s="105"/>
      <c r="AG777" s="105"/>
      <c r="AH777" s="105"/>
      <c r="AI777" s="105"/>
      <c r="AJ777" s="105"/>
      <c r="AK777" s="105"/>
      <c r="AU777" s="105"/>
      <c r="AV777" s="105"/>
      <c r="AW777" s="105"/>
      <c r="AX777" s="105"/>
      <c r="AY777" s="105"/>
      <c r="AZ777" s="105"/>
      <c r="BA777" s="105"/>
    </row>
    <row r="778" spans="1:53" ht="15.75" hidden="1" customHeight="1" outlineLevel="1">
      <c r="A778" s="395"/>
      <c r="B778" s="99"/>
      <c r="C778" s="105"/>
      <c r="D778" s="105"/>
      <c r="E778" s="105"/>
      <c r="F778" s="105"/>
      <c r="G778" s="105"/>
      <c r="H778" s="105"/>
      <c r="I778" s="105"/>
      <c r="J778" s="105"/>
      <c r="K778" s="105"/>
      <c r="L778" s="105"/>
      <c r="M778" s="105"/>
      <c r="N778" s="91">
        <f>IF($N$658&gt;0,IPMT('Assumptions (Wind)'!$V$8,Model!W$1,'Assumptions (Wind)'!$V$11,'Assumptions (Wind)'!$V$6*Model!$N$658*AVERAGE('Assumptions (Wind)'!$K$2:$L$2)/10^9),0)</f>
        <v>-0.56226958663727855</v>
      </c>
      <c r="O778" s="91">
        <f>IF($N$658&gt;0,IPMT('Assumptions (Wind)'!$V$8,Model!X$1,'Assumptions (Wind)'!$V$11,'Assumptions (Wind)'!$V$6*Model!$N$658*AVERAGE('Assumptions (Wind)'!$K$2:$L$2)/10^9),0)</f>
        <v>-0.52345640456179121</v>
      </c>
      <c r="P778" s="91">
        <f>IF($N$658&gt;0,IPMT('Assumptions (Wind)'!$V$8,Model!Y$1,'Assumptions (Wind)'!$V$11,'Assumptions (Wind)'!$V$6*Model!$N$658*AVERAGE('Assumptions (Wind)'!$K$2:$L$2)/10^9),0)</f>
        <v>-0.48153816792026488</v>
      </c>
      <c r="Q778" s="91">
        <f>IF($N$658&gt;0,IPMT('Assumptions (Wind)'!$V$8,Model!Z$1,'Assumptions (Wind)'!$V$11,'Assumptions (Wind)'!$V$6*Model!$N$658*AVERAGE('Assumptions (Wind)'!$K$2:$L$2)/10^9),0)</f>
        <v>-0.4362664723474165</v>
      </c>
      <c r="R778" s="91">
        <f>IF($N$658&gt;0,IPMT('Assumptions (Wind)'!$V$8,Model!AA$1,'Assumptions (Wind)'!$V$11,'Assumptions (Wind)'!$V$6*Model!$N$658*AVERAGE('Assumptions (Wind)'!$K$2:$L$2)/10^9),0)</f>
        <v>-0.38737304112874021</v>
      </c>
      <c r="S778" s="91">
        <f>IF($N$658&gt;0,IPMT('Assumptions (Wind)'!$V$8,Model!AB$1,'Assumptions (Wind)'!$V$11,'Assumptions (Wind)'!$V$6*Model!$N$658*AVERAGE('Assumptions (Wind)'!$K$2:$L$2)/10^9),0)</f>
        <v>-0.33456813541256991</v>
      </c>
      <c r="T778" s="91">
        <f>IF($N$658&gt;0,IPMT('Assumptions (Wind)'!$V$8,Model!AC$1,'Assumptions (Wind)'!$V$11,'Assumptions (Wind)'!$V$6*Model!$N$658*AVERAGE('Assumptions (Wind)'!$K$2:$L$2)/10^9),0)</f>
        <v>-0.27753883723910594</v>
      </c>
      <c r="U778" s="91">
        <f>IF($N$658&gt;0,IPMT('Assumptions (Wind)'!$V$8,Model!AD$1,'Assumptions (Wind)'!$V$11,'Assumptions (Wind)'!$V$6*Model!$N$658*AVERAGE('Assumptions (Wind)'!$K$2:$L$2)/10^9),0)</f>
        <v>-0.21594719521176486</v>
      </c>
      <c r="V778" s="91">
        <f>IF($N$658&gt;0,IPMT('Assumptions (Wind)'!$V$8,Model!AE$1,'Assumptions (Wind)'!$V$11,'Assumptions (Wind)'!$V$6*Model!$N$658*AVERAGE('Assumptions (Wind)'!$K$2:$L$2)/10^9),0)</f>
        <v>-0.1494282218222365</v>
      </c>
      <c r="W778" s="91">
        <f>IF($N$658&gt;0,IPMT('Assumptions (Wind)'!$V$8,Model!AF$1,'Assumptions (Wind)'!$V$11,'Assumptions (Wind)'!$V$6*Model!$N$658*AVERAGE('Assumptions (Wind)'!$K$2:$L$2)/10^9),0)</f>
        <v>-7.7587730561545887E-2</v>
      </c>
      <c r="X778" s="91" t="e">
        <f>IF($N$658&gt;0,IPMT('Assumptions (Wind)'!$V$8,Model!AG$1,'Assumptions (Wind)'!$V$11,'Assumptions (Wind)'!$V$6*Model!$N$658*AVERAGE('Assumptions (Wind)'!$K$2:$L$2)/10^9),0)</f>
        <v>#NUM!</v>
      </c>
      <c r="Y778" s="91" t="e">
        <f>IF($N$658&gt;0,IPMT('Assumptions (Wind)'!$V$8,Model!AH$1,'Assumptions (Wind)'!$V$11,'Assumptions (Wind)'!$V$6*Model!$N$658*AVERAGE('Assumptions (Wind)'!$K$2:$L$2)/10^9),0)</f>
        <v>#NUM!</v>
      </c>
      <c r="Z778" s="91" t="e">
        <f>IF($N$658&gt;0,IPMT('Assumptions (Wind)'!$V$8,Model!AI$1,'Assumptions (Wind)'!$V$11,'Assumptions (Wind)'!$V$6*Model!$N$658*AVERAGE('Assumptions (Wind)'!$K$2:$L$2)/10^9),0)</f>
        <v>#NUM!</v>
      </c>
      <c r="AA778" s="91" t="e">
        <f>IF($N$658&gt;0,IPMT('Assumptions (Wind)'!$V$8,Model!AJ$1,'Assumptions (Wind)'!$V$11,'Assumptions (Wind)'!$V$6*Model!$N$658*AVERAGE('Assumptions (Wind)'!$K$2:$L$2)/10^9),0)</f>
        <v>#NUM!</v>
      </c>
      <c r="AB778" s="91" t="e">
        <f>IF($N$658&gt;0,IPMT('Assumptions (Wind)'!$V$8,Model!AK$1,'Assumptions (Wind)'!$V$11,'Assumptions (Wind)'!$V$6*Model!$N$658*AVERAGE('Assumptions (Wind)'!$K$2:$L$2)/10^9),0)</f>
        <v>#NUM!</v>
      </c>
      <c r="AC778" s="91"/>
      <c r="AD778" s="91"/>
      <c r="AE778" s="91"/>
      <c r="AF778" s="91"/>
      <c r="AG778" s="91"/>
      <c r="AH778" s="91"/>
      <c r="AI778" s="91"/>
      <c r="AJ778" s="91"/>
      <c r="AK778" s="91"/>
      <c r="AL778" s="91"/>
      <c r="AU778" s="105"/>
      <c r="AV778" s="105"/>
      <c r="AW778" s="105"/>
      <c r="AX778" s="105"/>
      <c r="AY778" s="105"/>
      <c r="AZ778" s="105"/>
      <c r="BA778" s="105"/>
    </row>
    <row r="779" spans="1:53" ht="15.75" hidden="1" customHeight="1" outlineLevel="1">
      <c r="A779" s="395"/>
      <c r="B779" s="99"/>
      <c r="C779" s="105"/>
      <c r="D779" s="105"/>
      <c r="E779" s="105"/>
      <c r="F779" s="105"/>
      <c r="G779" s="105"/>
      <c r="H779" s="105"/>
      <c r="I779" s="105"/>
      <c r="J779" s="105"/>
      <c r="K779" s="105"/>
      <c r="L779" s="105"/>
      <c r="M779" s="105"/>
      <c r="N779" s="105"/>
      <c r="O779" s="105">
        <f>IF($O$658&gt;0,IPMT('Assumptions (Wind)'!$V$8,Model!W$1,'Assumptions (Wind)'!$V$11,'Assumptions (Wind)'!$V$6*Model!$O$658*AVERAGE('Assumptions (Wind)'!$L$2:$M$2)/10^9),0)</f>
        <v>-1.0850999049275096</v>
      </c>
      <c r="P779" s="105">
        <f>IF($O$658&gt;0,IPMT('Assumptions (Wind)'!$V$8,Model!X$1,'Assumptions (Wind)'!$V$11,'Assumptions (Wind)'!$V$6*Model!$O$658*AVERAGE('Assumptions (Wind)'!$L$2:$M$2)/10^9),0)</f>
        <v>-1.0101960133051184</v>
      </c>
      <c r="Q779" s="105">
        <f>IF($O$658&gt;0,IPMT('Assumptions (Wind)'!$V$8,Model!Y$1,'Assumptions (Wind)'!$V$11,'Assumptions (Wind)'!$V$6*Model!$O$658*AVERAGE('Assumptions (Wind)'!$L$2:$M$2)/10^9),0)</f>
        <v>-0.92929981035293596</v>
      </c>
      <c r="R779" s="105">
        <f>IF($O$658&gt;0,IPMT('Assumptions (Wind)'!$V$8,Model!Z$1,'Assumptions (Wind)'!$V$11,'Assumptions (Wind)'!$V$6*Model!$O$658*AVERAGE('Assumptions (Wind)'!$L$2:$M$2)/10^9),0)</f>
        <v>-0.84193191116457888</v>
      </c>
      <c r="S779" s="105">
        <f>IF($O$658&gt;0,IPMT('Assumptions (Wind)'!$V$8,Model!AA$1,'Assumptions (Wind)'!$V$11,'Assumptions (Wind)'!$V$6*Model!$O$658*AVERAGE('Assumptions (Wind)'!$L$2:$M$2)/10^9),0)</f>
        <v>-0.7475745800411534</v>
      </c>
      <c r="T779" s="105">
        <f>IF($O$658&gt;0,IPMT('Assumptions (Wind)'!$V$8,Model!AB$1,'Assumptions (Wind)'!$V$11,'Assumptions (Wind)'!$V$6*Model!$O$658*AVERAGE('Assumptions (Wind)'!$L$2:$M$2)/10^9),0)</f>
        <v>-0.64566866242785381</v>
      </c>
      <c r="U779" s="105">
        <f>IF($O$658&gt;0,IPMT('Assumptions (Wind)'!$V$8,Model!AC$1,'Assumptions (Wind)'!$V$11,'Assumptions (Wind)'!$V$6*Model!$O$658*AVERAGE('Assumptions (Wind)'!$L$2:$M$2)/10^9),0)</f>
        <v>-0.53561027140549</v>
      </c>
      <c r="V779" s="105">
        <f>IF($O$658&gt;0,IPMT('Assumptions (Wind)'!$V$8,Model!AD$1,'Assumptions (Wind)'!$V$11,'Assumptions (Wind)'!$V$6*Model!$O$658*AVERAGE('Assumptions (Wind)'!$L$2:$M$2)/10^9),0)</f>
        <v>-0.41674720910133739</v>
      </c>
      <c r="W779" s="105">
        <f>IF($O$658&gt;0,IPMT('Assumptions (Wind)'!$V$8,Model!AE$1,'Assumptions (Wind)'!$V$11,'Assumptions (Wind)'!$V$6*Model!$O$658*AVERAGE('Assumptions (Wind)'!$L$2:$M$2)/10^9),0)</f>
        <v>-0.28837510181285253</v>
      </c>
      <c r="X779" s="105">
        <f>IF($O$658&gt;0,IPMT('Assumptions (Wind)'!$V$8,Model!AF$1,'Assumptions (Wind)'!$V$11,'Assumptions (Wind)'!$V$6*Model!$O$658*AVERAGE('Assumptions (Wind)'!$L$2:$M$2)/10^9),0)</f>
        <v>-0.14973322594128879</v>
      </c>
      <c r="Y779" s="105" t="e">
        <f>IF($O$658&gt;0,IPMT('Assumptions (Wind)'!$V$8,Model!AG$1,'Assumptions (Wind)'!$V$11,'Assumptions (Wind)'!$V$6*Model!$O$658*AVERAGE('Assumptions (Wind)'!$L$2:$M$2)/10^9),0)</f>
        <v>#NUM!</v>
      </c>
      <c r="Z779" s="105" t="e">
        <f>IF($O$658&gt;0,IPMT('Assumptions (Wind)'!$V$8,Model!AH$1,'Assumptions (Wind)'!$V$11,'Assumptions (Wind)'!$V$6*Model!$O$658*AVERAGE('Assumptions (Wind)'!$L$2:$M$2)/10^9),0)</f>
        <v>#NUM!</v>
      </c>
      <c r="AA779" s="105" t="e">
        <f>IF($O$658&gt;0,IPMT('Assumptions (Wind)'!$V$8,Model!AI$1,'Assumptions (Wind)'!$V$11,'Assumptions (Wind)'!$V$6*Model!$O$658*AVERAGE('Assumptions (Wind)'!$L$2:$M$2)/10^9),0)</f>
        <v>#NUM!</v>
      </c>
      <c r="AB779" s="105" t="e">
        <f>IF($O$658&gt;0,IPMT('Assumptions (Wind)'!$V$8,Model!AJ$1,'Assumptions (Wind)'!$V$11,'Assumptions (Wind)'!$V$6*Model!$O$658*AVERAGE('Assumptions (Wind)'!$L$2:$M$2)/10^9),0)</f>
        <v>#NUM!</v>
      </c>
      <c r="AC779" s="105" t="e">
        <f>IF($O$658&gt;0,IPMT('Assumptions (Wind)'!$V$8,Model!AK$1,'Assumptions (Wind)'!$V$11,'Assumptions (Wind)'!$V$6*Model!$O$658*AVERAGE('Assumptions (Wind)'!$L$2:$M$2)/10^9),0)</f>
        <v>#NUM!</v>
      </c>
      <c r="AD779" s="105"/>
      <c r="AE779" s="105"/>
      <c r="AF779" s="105"/>
      <c r="AG779" s="105"/>
      <c r="AH779" s="105"/>
      <c r="AI779" s="105"/>
      <c r="AJ779" s="105"/>
      <c r="AK779" s="105"/>
      <c r="AL779" s="105"/>
      <c r="AM779" s="105"/>
      <c r="AU779" s="105"/>
      <c r="AV779" s="105"/>
      <c r="AW779" s="105"/>
      <c r="AX779" s="105"/>
      <c r="AY779" s="105"/>
      <c r="AZ779" s="105"/>
      <c r="BA779" s="105"/>
    </row>
    <row r="780" spans="1:53" ht="15.75" hidden="1" customHeight="1" outlineLevel="1">
      <c r="A780" s="395"/>
      <c r="B780" s="99"/>
      <c r="C780" s="105"/>
      <c r="D780" s="105"/>
      <c r="E780" s="105"/>
      <c r="F780" s="105"/>
      <c r="G780" s="105"/>
      <c r="H780" s="105"/>
      <c r="I780" s="105"/>
      <c r="J780" s="105"/>
      <c r="K780" s="105"/>
      <c r="L780" s="105"/>
      <c r="M780" s="105"/>
      <c r="N780" s="105"/>
      <c r="O780" s="105"/>
      <c r="P780" s="91">
        <f>IF($P$658&gt;0,IPMT('Assumptions (Wind)'!$V$8,Model!W$1,'Assumptions (Wind)'!$V$11,'Assumptions (Wind)'!$V$6*Model!$P$658*AVERAGE('Assumptions (Wind)'!$M$2:$N$2)/10^9),0)</f>
        <v>-6.9369935429085844E-2</v>
      </c>
      <c r="Q780" s="91">
        <f>IF($P$658&gt;0,IPMT('Assumptions (Wind)'!$V$8,Model!X$1,'Assumptions (Wind)'!$V$11,'Assumptions (Wind)'!$V$6*Model!$P$658*AVERAGE('Assumptions (Wind)'!$M$2:$N$2)/10^9),0)</f>
        <v>-6.4581364255466914E-2</v>
      </c>
      <c r="R780" s="91">
        <f>IF($P$658&gt;0,IPMT('Assumptions (Wind)'!$V$8,Model!Y$1,'Assumptions (Wind)'!$V$11,'Assumptions (Wind)'!$V$6*Model!$P$658*AVERAGE('Assumptions (Wind)'!$M$2:$N$2)/10^9),0)</f>
        <v>-5.9409707387958449E-2</v>
      </c>
      <c r="S780" s="91">
        <f>IF($P$658&gt;0,IPMT('Assumptions (Wind)'!$V$8,Model!Z$1,'Assumptions (Wind)'!$V$11,'Assumptions (Wind)'!$V$6*Model!$P$658*AVERAGE('Assumptions (Wind)'!$M$2:$N$2)/10^9),0)</f>
        <v>-5.3824317971049321E-2</v>
      </c>
      <c r="T780" s="91">
        <f>IF($P$658&gt;0,IPMT('Assumptions (Wind)'!$V$8,Model!AA$1,'Assumptions (Wind)'!$V$11,'Assumptions (Wind)'!$V$6*Model!$P$658*AVERAGE('Assumptions (Wind)'!$M$2:$N$2)/10^9),0)</f>
        <v>-4.7792097400787478E-2</v>
      </c>
      <c r="U780" s="91">
        <f>IF($P$658&gt;0,IPMT('Assumptions (Wind)'!$V$8,Model!AB$1,'Assumptions (Wind)'!$V$11,'Assumptions (Wind)'!$V$6*Model!$P$658*AVERAGE('Assumptions (Wind)'!$M$2:$N$2)/10^9),0)</f>
        <v>-4.1277299184904671E-2</v>
      </c>
      <c r="V780" s="91">
        <f>IF($P$658&gt;0,IPMT('Assumptions (Wind)'!$V$8,Model!AC$1,'Assumptions (Wind)'!$V$11,'Assumptions (Wind)'!$V$6*Model!$P$658*AVERAGE('Assumptions (Wind)'!$M$2:$N$2)/10^9),0)</f>
        <v>-3.4241317111751247E-2</v>
      </c>
      <c r="W780" s="91">
        <f>IF($P$658&gt;0,IPMT('Assumptions (Wind)'!$V$8,Model!AD$1,'Assumptions (Wind)'!$V$11,'Assumptions (Wind)'!$V$6*Model!$P$658*AVERAGE('Assumptions (Wind)'!$M$2:$N$2)/10^9),0)</f>
        <v>-2.6642456472745549E-2</v>
      </c>
      <c r="X780" s="91">
        <f>IF($P$658&gt;0,IPMT('Assumptions (Wind)'!$V$8,Model!AE$1,'Assumptions (Wind)'!$V$11,'Assumptions (Wind)'!$V$6*Model!$P$658*AVERAGE('Assumptions (Wind)'!$M$2:$N$2)/10^9),0)</f>
        <v>-1.8435686982619395E-2</v>
      </c>
      <c r="Y780" s="91">
        <f>IF($P$658&gt;0,IPMT('Assumptions (Wind)'!$V$8,Model!AF$1,'Assumptions (Wind)'!$V$11,'Assumptions (Wind)'!$V$6*Model!$P$658*AVERAGE('Assumptions (Wind)'!$M$2:$N$2)/10^9),0)</f>
        <v>-9.5723759332831462E-3</v>
      </c>
      <c r="Z780" s="91" t="e">
        <f>IF($P$658&gt;0,IPMT('Assumptions (Wind)'!$V$8,Model!AG$1,'Assumptions (Wind)'!$V$11,'Assumptions (Wind)'!$V$6*Model!$P$658*AVERAGE('Assumptions (Wind)'!$M$2:$N$2)/10^9),0)</f>
        <v>#NUM!</v>
      </c>
      <c r="AA780" s="91" t="e">
        <f>IF($P$658&gt;0,IPMT('Assumptions (Wind)'!$V$8,Model!AH$1,'Assumptions (Wind)'!$V$11,'Assumptions (Wind)'!$V$6*Model!$P$658*AVERAGE('Assumptions (Wind)'!$M$2:$N$2)/10^9),0)</f>
        <v>#NUM!</v>
      </c>
      <c r="AB780" s="91" t="e">
        <f>IF($P$658&gt;0,IPMT('Assumptions (Wind)'!$V$8,Model!AI$1,'Assumptions (Wind)'!$V$11,'Assumptions (Wind)'!$V$6*Model!$P$658*AVERAGE('Assumptions (Wind)'!$M$2:$N$2)/10^9),0)</f>
        <v>#NUM!</v>
      </c>
      <c r="AC780" s="91" t="e">
        <f>IF($P$658&gt;0,IPMT('Assumptions (Wind)'!$V$8,Model!AJ$1,'Assumptions (Wind)'!$V$11,'Assumptions (Wind)'!$V$6*Model!$P$658*AVERAGE('Assumptions (Wind)'!$M$2:$N$2)/10^9),0)</f>
        <v>#NUM!</v>
      </c>
      <c r="AD780" s="91" t="e">
        <f>IF($P$658&gt;0,IPMT('Assumptions (Wind)'!$V$8,Model!AK$1,'Assumptions (Wind)'!$V$11,'Assumptions (Wind)'!$V$6*Model!$P$658*AVERAGE('Assumptions (Wind)'!$M$2:$N$2)/10^9),0)</f>
        <v>#NUM!</v>
      </c>
      <c r="AE780" s="91"/>
      <c r="AF780" s="91"/>
      <c r="AG780" s="91"/>
      <c r="AH780" s="91"/>
      <c r="AI780" s="91"/>
      <c r="AJ780" s="91"/>
      <c r="AK780" s="91"/>
      <c r="AL780" s="91"/>
      <c r="AM780" s="91"/>
      <c r="AN780" s="91"/>
      <c r="AU780" s="105"/>
      <c r="AV780" s="105"/>
      <c r="AW780" s="105"/>
      <c r="AX780" s="105"/>
      <c r="AY780" s="105"/>
      <c r="AZ780" s="105"/>
      <c r="BA780" s="105"/>
    </row>
    <row r="781" spans="1:53" ht="15.75" hidden="1" customHeight="1" outlineLevel="1">
      <c r="A781" s="395"/>
      <c r="B781" s="99"/>
      <c r="C781" s="105"/>
      <c r="D781" s="105"/>
      <c r="E781" s="105"/>
      <c r="F781" s="105"/>
      <c r="G781" s="105"/>
      <c r="H781" s="105"/>
      <c r="I781" s="105"/>
      <c r="J781" s="105"/>
      <c r="K781" s="105"/>
      <c r="L781" s="105"/>
      <c r="M781" s="105"/>
      <c r="N781" s="105"/>
      <c r="O781" s="105"/>
      <c r="P781" s="171"/>
      <c r="Q781" s="105">
        <f>IF($Q$658&gt;0,IPMT('Assumptions (Wind)'!$V$8,Model!W$1,'Assumptions (Wind)'!$V$11,'Assumptions (Wind)'!$V$6*Model!$Q$658*AVERAGE('Assumptions (Wind)'!$N$2:$O$2)/10^9),0)</f>
        <v>-0.4019161925550892</v>
      </c>
      <c r="R781" s="105">
        <f>IF($Q$658&gt;0,IPMT('Assumptions (Wind)'!$V$8,Model!X$1,'Assumptions (Wind)'!$V$11,'Assumptions (Wind)'!$V$6*Model!$Q$658*AVERAGE('Assumptions (Wind)'!$N$2:$O$2)/10^9),0)</f>
        <v>-0.37417212328393606</v>
      </c>
      <c r="S781" s="105">
        <f>IF($Q$658&gt;0,IPMT('Assumptions (Wind)'!$V$8,Model!Y$1,'Assumptions (Wind)'!$V$11,'Assumptions (Wind)'!$V$6*Model!$Q$658*AVERAGE('Assumptions (Wind)'!$N$2:$O$2)/10^9),0)</f>
        <v>-0.34420852847109062</v>
      </c>
      <c r="T781" s="105">
        <f>IF($Q$658&gt;0,IPMT('Assumptions (Wind)'!$V$8,Model!Z$1,'Assumptions (Wind)'!$V$11,'Assumptions (Wind)'!$V$6*Model!$Q$658*AVERAGE('Assumptions (Wind)'!$N$2:$O$2)/10^9),0)</f>
        <v>-0.31184784607321758</v>
      </c>
      <c r="U781" s="105">
        <f>IF($Q$658&gt;0,IPMT('Assumptions (Wind)'!$V$8,Model!AA$1,'Assumptions (Wind)'!$V$11,'Assumptions (Wind)'!$V$6*Model!$Q$658*AVERAGE('Assumptions (Wind)'!$N$2:$O$2)/10^9),0)</f>
        <v>-0.27689830908351482</v>
      </c>
      <c r="V781" s="105">
        <f>IF($Q$658&gt;0,IPMT('Assumptions (Wind)'!$V$8,Model!AB$1,'Assumptions (Wind)'!$V$11,'Assumptions (Wind)'!$V$6*Model!$Q$658*AVERAGE('Assumptions (Wind)'!$N$2:$O$2)/10^9),0)</f>
        <v>-0.23915280913463577</v>
      </c>
      <c r="W781" s="105">
        <f>IF($Q$658&gt;0,IPMT('Assumptions (Wind)'!$V$8,Model!AC$1,'Assumptions (Wind)'!$V$11,'Assumptions (Wind)'!$V$6*Model!$Q$658*AVERAGE('Assumptions (Wind)'!$N$2:$O$2)/10^9),0)</f>
        <v>-0.19838766918984635</v>
      </c>
      <c r="X781" s="105">
        <f>IF($Q$658&gt;0,IPMT('Assumptions (Wind)'!$V$8,Model!AD$1,'Assumptions (Wind)'!$V$11,'Assumptions (Wind)'!$V$6*Model!$Q$658*AVERAGE('Assumptions (Wind)'!$N$2:$O$2)/10^9),0)</f>
        <v>-0.15436131804947384</v>
      </c>
      <c r="Y781" s="105">
        <f>IF($Q$658&gt;0,IPMT('Assumptions (Wind)'!$V$8,Model!AE$1,'Assumptions (Wind)'!$V$11,'Assumptions (Wind)'!$V$6*Model!$Q$658*AVERAGE('Assumptions (Wind)'!$N$2:$O$2)/10^9),0)</f>
        <v>-0.10681285881787149</v>
      </c>
      <c r="Z781" s="105">
        <f>IF($Q$658&gt;0,IPMT('Assumptions (Wind)'!$V$8,Model!AF$1,'Assumptions (Wind)'!$V$11,'Assumptions (Wind)'!$V$6*Model!$Q$658*AVERAGE('Assumptions (Wind)'!$N$2:$O$2)/10^9),0)</f>
        <v>-5.5460522847740966E-2</v>
      </c>
      <c r="AA781" s="105" t="e">
        <f>IF($Q$658&gt;0,IPMT('Assumptions (Wind)'!$V$8,Model!AG$1,'Assumptions (Wind)'!$V$11,'Assumptions (Wind)'!$V$6*Model!$Q$658*AVERAGE('Assumptions (Wind)'!$N$2:$O$2)/10^9),0)</f>
        <v>#NUM!</v>
      </c>
      <c r="AB781" s="105" t="e">
        <f>IF($Q$658&gt;0,IPMT('Assumptions (Wind)'!$V$8,Model!AH$1,'Assumptions (Wind)'!$V$11,'Assumptions (Wind)'!$V$6*Model!$Q$658*AVERAGE('Assumptions (Wind)'!$N$2:$O$2)/10^9),0)</f>
        <v>#NUM!</v>
      </c>
      <c r="AC781" s="105" t="e">
        <f>IF($Q$658&gt;0,IPMT('Assumptions (Wind)'!$V$8,Model!AI$1,'Assumptions (Wind)'!$V$11,'Assumptions (Wind)'!$V$6*Model!$Q$658*AVERAGE('Assumptions (Wind)'!$N$2:$O$2)/10^9),0)</f>
        <v>#NUM!</v>
      </c>
      <c r="AD781" s="105" t="e">
        <f>IF($Q$658&gt;0,IPMT('Assumptions (Wind)'!$V$8,Model!AJ$1,'Assumptions (Wind)'!$V$11,'Assumptions (Wind)'!$V$6*Model!$Q$658*AVERAGE('Assumptions (Wind)'!$N$2:$O$2)/10^9),0)</f>
        <v>#NUM!</v>
      </c>
      <c r="AE781" s="105" t="e">
        <f>IF($Q$658&gt;0,IPMT('Assumptions (Wind)'!$V$8,Model!AK$1,'Assumptions (Wind)'!$V$11,'Assumptions (Wind)'!$V$6*Model!$Q$658*AVERAGE('Assumptions (Wind)'!$N$2:$O$2)/10^9),0)</f>
        <v>#NUM!</v>
      </c>
      <c r="AF781" s="105"/>
      <c r="AG781" s="105"/>
      <c r="AH781" s="105"/>
      <c r="AI781" s="105"/>
      <c r="AJ781" s="105"/>
      <c r="AK781" s="105"/>
      <c r="AL781" s="105"/>
      <c r="AM781" s="105"/>
      <c r="AN781" s="105"/>
      <c r="AO781" s="105"/>
      <c r="AU781" s="105"/>
      <c r="AV781" s="105"/>
      <c r="AW781" s="105"/>
      <c r="AX781" s="105"/>
      <c r="AY781" s="105"/>
      <c r="AZ781" s="105"/>
      <c r="BA781" s="105"/>
    </row>
    <row r="782" spans="1:53" ht="15.75" hidden="1" customHeight="1" outlineLevel="1">
      <c r="A782" s="395"/>
      <c r="B782" s="99"/>
      <c r="C782" s="105"/>
      <c r="D782" s="105"/>
      <c r="E782" s="105"/>
      <c r="F782" s="105"/>
      <c r="G782" s="105"/>
      <c r="H782" s="105"/>
      <c r="I782" s="105"/>
      <c r="J782" s="105"/>
      <c r="K782" s="105"/>
      <c r="L782" s="105"/>
      <c r="M782" s="105"/>
      <c r="N782" s="105"/>
      <c r="O782" s="105"/>
      <c r="P782" s="171"/>
      <c r="Q782" s="105"/>
      <c r="R782" s="91">
        <f>IF($R$658&gt;0,IPMT('Assumptions (Wind)'!$V$8,Model!W$1,'Assumptions (Wind)'!$V$11,'Assumptions (Wind)'!$V$6*Model!$R$658*AVERAGE('Assumptions (Wind)'!$O$2:$P$2)/10^9),0)</f>
        <v>-0.67627011672267212</v>
      </c>
      <c r="S782" s="91">
        <f>IF($R$658&gt;0,IPMT('Assumptions (Wind)'!$V$8,Model!X$1,'Assumptions (Wind)'!$V$11,'Assumptions (Wind)'!$V$6*Model!$R$658*AVERAGE('Assumptions (Wind)'!$O$2:$P$2)/10^9),0)</f>
        <v>-0.62958753634419462</v>
      </c>
      <c r="T782" s="91">
        <f>IF($R$658&gt;0,IPMT('Assumptions (Wind)'!$V$8,Model!Y$1,'Assumptions (Wind)'!$V$11,'Assumptions (Wind)'!$V$6*Model!$R$658*AVERAGE('Assumptions (Wind)'!$O$2:$P$2)/10^9),0)</f>
        <v>-0.57917034953543878</v>
      </c>
      <c r="U782" s="91">
        <f>IF($R$658&gt;0,IPMT('Assumptions (Wind)'!$V$8,Model!Z$1,'Assumptions (Wind)'!$V$11,'Assumptions (Wind)'!$V$6*Model!$R$658*AVERAGE('Assumptions (Wind)'!$O$2:$P$2)/10^9),0)</f>
        <v>-0.52471978778198247</v>
      </c>
      <c r="V782" s="91">
        <f>IF($R$658&gt;0,IPMT('Assumptions (Wind)'!$V$8,Model!AA$1,'Assumptions (Wind)'!$V$11,'Assumptions (Wind)'!$V$6*Model!$R$658*AVERAGE('Assumptions (Wind)'!$O$2:$P$2)/10^9),0)</f>
        <v>-0.46591318108824975</v>
      </c>
      <c r="W782" s="91">
        <f>IF($R$658&gt;0,IPMT('Assumptions (Wind)'!$V$8,Model!AB$1,'Assumptions (Wind)'!$V$11,'Assumptions (Wind)'!$V$6*Model!$R$658*AVERAGE('Assumptions (Wind)'!$O$2:$P$2)/10^9),0)</f>
        <v>-0.40240204585901845</v>
      </c>
      <c r="X782" s="91">
        <f>IF($R$658&gt;0,IPMT('Assumptions (Wind)'!$V$8,Model!AC$1,'Assumptions (Wind)'!$V$11,'Assumptions (Wind)'!$V$6*Model!$R$658*AVERAGE('Assumptions (Wind)'!$O$2:$P$2)/10^9),0)</f>
        <v>-0.33381001981144848</v>
      </c>
      <c r="Y782" s="91">
        <f>IF($R$658&gt;0,IPMT('Assumptions (Wind)'!$V$8,Model!AD$1,'Assumptions (Wind)'!$V$11,'Assumptions (Wind)'!$V$6*Model!$R$658*AVERAGE('Assumptions (Wind)'!$O$2:$P$2)/10^9),0)</f>
        <v>-0.2597306316800731</v>
      </c>
      <c r="Z782" s="91">
        <f>IF($R$658&gt;0,IPMT('Assumptions (Wind)'!$V$8,Model!AE$1,'Assumptions (Wind)'!$V$11,'Assumptions (Wind)'!$V$6*Model!$R$658*AVERAGE('Assumptions (Wind)'!$O$2:$P$2)/10^9),0)</f>
        <v>-0.17972489249818757</v>
      </c>
      <c r="AA782" s="91">
        <f>IF($R$658&gt;0,IPMT('Assumptions (Wind)'!$V$8,Model!AF$1,'Assumptions (Wind)'!$V$11,'Assumptions (Wind)'!$V$6*Model!$R$658*AVERAGE('Assumptions (Wind)'!$O$2:$P$2)/10^9),0)</f>
        <v>-9.3318694181751247E-2</v>
      </c>
      <c r="AB782" s="91" t="e">
        <f>IF($R$658&gt;0,IPMT('Assumptions (Wind)'!$V$8,Model!AG$1,'Assumptions (Wind)'!$V$11,'Assumptions (Wind)'!$V$6*Model!$R$658*AVERAGE('Assumptions (Wind)'!$O$2:$P$2)/10^9),0)</f>
        <v>#NUM!</v>
      </c>
      <c r="AC782" s="91" t="e">
        <f>IF($R$658&gt;0,IPMT('Assumptions (Wind)'!$V$8,Model!AH$1,'Assumptions (Wind)'!$V$11,'Assumptions (Wind)'!$V$6*Model!$R$658*AVERAGE('Assumptions (Wind)'!$O$2:$P$2)/10^9),0)</f>
        <v>#NUM!</v>
      </c>
      <c r="AD782" s="91" t="e">
        <f>IF($R$658&gt;0,IPMT('Assumptions (Wind)'!$V$8,Model!AI$1,'Assumptions (Wind)'!$V$11,'Assumptions (Wind)'!$V$6*Model!$R$658*AVERAGE('Assumptions (Wind)'!$O$2:$P$2)/10^9),0)</f>
        <v>#NUM!</v>
      </c>
      <c r="AE782" s="91" t="e">
        <f>IF($R$658&gt;0,IPMT('Assumptions (Wind)'!$V$8,Model!AJ$1,'Assumptions (Wind)'!$V$11,'Assumptions (Wind)'!$V$6*Model!$R$658*AVERAGE('Assumptions (Wind)'!$O$2:$P$2)/10^9),0)</f>
        <v>#NUM!</v>
      </c>
      <c r="AF782" s="91" t="e">
        <f>IF($R$658&gt;0,IPMT('Assumptions (Wind)'!$V$8,Model!AK$1,'Assumptions (Wind)'!$V$11,'Assumptions (Wind)'!$V$6*Model!$R$658*AVERAGE('Assumptions (Wind)'!$O$2:$P$2)/10^9),0)</f>
        <v>#NUM!</v>
      </c>
      <c r="AG782" s="91"/>
      <c r="AH782" s="91"/>
      <c r="AI782" s="91"/>
      <c r="AJ782" s="91"/>
      <c r="AK782" s="91"/>
      <c r="AL782" s="91"/>
      <c r="AM782" s="91"/>
      <c r="AN782" s="91"/>
      <c r="AO782" s="91"/>
      <c r="AP782" s="91"/>
      <c r="AU782" s="105"/>
      <c r="AV782" s="105"/>
      <c r="AW782" s="105"/>
      <c r="AX782" s="105"/>
      <c r="AY782" s="105"/>
      <c r="AZ782" s="105"/>
      <c r="BA782" s="105"/>
    </row>
    <row r="783" spans="1:53" ht="15.75" hidden="1" customHeight="1" outlineLevel="1">
      <c r="A783" s="395"/>
      <c r="B783" s="99"/>
      <c r="C783" s="105"/>
      <c r="D783" s="105"/>
      <c r="E783" s="105"/>
      <c r="F783" s="105"/>
      <c r="G783" s="105"/>
      <c r="H783" s="105"/>
      <c r="I783" s="105"/>
      <c r="J783" s="105"/>
      <c r="K783" s="105"/>
      <c r="L783" s="105"/>
      <c r="M783" s="105"/>
      <c r="N783" s="105"/>
      <c r="O783" s="105"/>
      <c r="P783" s="171"/>
      <c r="Q783" s="105"/>
      <c r="R783" s="91"/>
      <c r="S783" s="105">
        <f>IF($S$658&gt;0,IPMT('Assumptions (Wind)'!$V$8,Model!W$1,'Assumptions (Wind)'!$V$11,'Assumptions (Wind)'!$V$6*Model!$S$658*AVERAGE('Assumptions (Wind)'!$P$2:$Q$2)/10^9),0)</f>
        <v>-0.7157389140514151</v>
      </c>
      <c r="T783" s="105">
        <f>IF($S$658&gt;0,IPMT('Assumptions (Wind)'!$V$8,Model!X$1,'Assumptions (Wind)'!$V$11,'Assumptions (Wind)'!$V$6*Model!$S$658*AVERAGE('Assumptions (Wind)'!$P$2:$Q$2)/10^9),0)</f>
        <v>-0.66633182277384595</v>
      </c>
      <c r="U783" s="105">
        <f>IF($S$658&gt;0,IPMT('Assumptions (Wind)'!$V$8,Model!Y$1,'Assumptions (Wind)'!$V$11,'Assumptions (Wind)'!$V$6*Model!$S$658*AVERAGE('Assumptions (Wind)'!$P$2:$Q$2)/10^9),0)</f>
        <v>-0.61297216419407119</v>
      </c>
      <c r="V783" s="105">
        <f>IF($S$658&gt;0,IPMT('Assumptions (Wind)'!$V$8,Model!Z$1,'Assumptions (Wind)'!$V$11,'Assumptions (Wind)'!$V$6*Model!$S$658*AVERAGE('Assumptions (Wind)'!$P$2:$Q$2)/10^9),0)</f>
        <v>-0.55534373292791439</v>
      </c>
      <c r="W783" s="105">
        <f>IF($S$658&gt;0,IPMT('Assumptions (Wind)'!$V$8,Model!AA$1,'Assumptions (Wind)'!$V$11,'Assumptions (Wind)'!$V$6*Model!$S$658*AVERAGE('Assumptions (Wind)'!$P$2:$Q$2)/10^9),0)</f>
        <v>-0.49310502716046517</v>
      </c>
      <c r="X783" s="105">
        <f>IF($S$658&gt;0,IPMT('Assumptions (Wind)'!$V$8,Model!AB$1,'Assumptions (Wind)'!$V$11,'Assumptions (Wind)'!$V$6*Model!$S$658*AVERAGE('Assumptions (Wind)'!$P$2:$Q$2)/10^9),0)</f>
        <v>-0.42588722493162001</v>
      </c>
      <c r="Y783" s="105">
        <f>IF($S$658&gt;0,IPMT('Assumptions (Wind)'!$V$8,Model!AC$1,'Assumptions (Wind)'!$V$11,'Assumptions (Wind)'!$V$6*Model!$S$658*AVERAGE('Assumptions (Wind)'!$P$2:$Q$2)/10^9),0)</f>
        <v>-0.35329199852446713</v>
      </c>
      <c r="Z783" s="105">
        <f>IF($S$658&gt;0,IPMT('Assumptions (Wind)'!$V$8,Model!AD$1,'Assumptions (Wind)'!$V$11,'Assumptions (Wind)'!$V$6*Model!$S$658*AVERAGE('Assumptions (Wind)'!$P$2:$Q$2)/10^9),0)</f>
        <v>-0.27488915400474212</v>
      </c>
      <c r="AA783" s="105">
        <f>IF($S$658&gt;0,IPMT('Assumptions (Wind)'!$V$8,Model!AE$1,'Assumptions (Wind)'!$V$11,'Assumptions (Wind)'!$V$6*Model!$S$658*AVERAGE('Assumptions (Wind)'!$P$2:$Q$2)/10^9),0)</f>
        <v>-0.19021408192343914</v>
      </c>
      <c r="AB783" s="105">
        <f>IF($S$658&gt;0,IPMT('Assumptions (Wind)'!$V$8,Model!AF$1,'Assumptions (Wind)'!$V$11,'Assumptions (Wind)'!$V$6*Model!$S$658*AVERAGE('Assumptions (Wind)'!$P$2:$Q$2)/10^9),0)</f>
        <v>-9.8765004075631851E-2</v>
      </c>
      <c r="AC783" s="105" t="e">
        <f>IF($S$658&gt;0,IPMT('Assumptions (Wind)'!$V$8,Model!AG$1,'Assumptions (Wind)'!$V$11,'Assumptions (Wind)'!$V$6*Model!$S$658*AVERAGE('Assumptions (Wind)'!$P$2:$Q$2)/10^9),0)</f>
        <v>#NUM!</v>
      </c>
      <c r="AD783" s="105" t="e">
        <f>IF($S$658&gt;0,IPMT('Assumptions (Wind)'!$V$8,Model!AH$1,'Assumptions (Wind)'!$V$11,'Assumptions (Wind)'!$V$6*Model!$S$658*AVERAGE('Assumptions (Wind)'!$P$2:$Q$2)/10^9),0)</f>
        <v>#NUM!</v>
      </c>
      <c r="AE783" s="105" t="e">
        <f>IF($S$658&gt;0,IPMT('Assumptions (Wind)'!$V$8,Model!AI$1,'Assumptions (Wind)'!$V$11,'Assumptions (Wind)'!$V$6*Model!$S$658*AVERAGE('Assumptions (Wind)'!$P$2:$Q$2)/10^9),0)</f>
        <v>#NUM!</v>
      </c>
      <c r="AF783" s="105" t="e">
        <f>IF($S$658&gt;0,IPMT('Assumptions (Wind)'!$V$8,Model!AJ$1,'Assumptions (Wind)'!$V$11,'Assumptions (Wind)'!$V$6*Model!$S$658*AVERAGE('Assumptions (Wind)'!$P$2:$Q$2)/10^9),0)</f>
        <v>#NUM!</v>
      </c>
      <c r="AG783" s="105" t="e">
        <f>IF($S$658&gt;0,IPMT('Assumptions (Wind)'!$V$8,Model!AK$1,'Assumptions (Wind)'!$V$11,'Assumptions (Wind)'!$V$6*Model!$S$658*AVERAGE('Assumptions (Wind)'!$P$2:$Q$2)/10^9),0)</f>
        <v>#NUM!</v>
      </c>
      <c r="AH783" s="105"/>
      <c r="AI783" s="105"/>
      <c r="AJ783" s="105"/>
      <c r="AK783" s="105"/>
      <c r="AL783" s="105"/>
      <c r="AM783" s="105"/>
      <c r="AN783" s="105"/>
      <c r="AO783" s="105"/>
      <c r="AP783" s="105"/>
      <c r="AQ783" s="105"/>
      <c r="AU783" s="105"/>
      <c r="AV783" s="105"/>
      <c r="AW783" s="105"/>
      <c r="AX783" s="105"/>
      <c r="AY783" s="105"/>
      <c r="AZ783" s="105"/>
      <c r="BA783" s="105"/>
    </row>
    <row r="784" spans="1:53" ht="15.75" hidden="1" customHeight="1" outlineLevel="1">
      <c r="A784" s="395"/>
      <c r="B784" s="99"/>
      <c r="C784" s="105"/>
      <c r="D784" s="105"/>
      <c r="E784" s="105"/>
      <c r="F784" s="105"/>
      <c r="G784" s="105"/>
      <c r="H784" s="105"/>
      <c r="I784" s="105"/>
      <c r="J784" s="105"/>
      <c r="K784" s="105"/>
      <c r="L784" s="105"/>
      <c r="M784" s="105"/>
      <c r="N784" s="105"/>
      <c r="O784" s="105"/>
      <c r="P784" s="171"/>
      <c r="Q784" s="105"/>
      <c r="R784" s="91"/>
      <c r="S784" s="91"/>
      <c r="T784" s="105">
        <f>IF($T$658&gt;0,IPMT('Assumptions (Wind)'!$V$8,Model!W$1,'Assumptions (Wind)'!$V$11,'Assumptions (Wind)'!$V$6*Model!$T$658*AVERAGE('Assumptions (Wind)'!$Q$2:$R$2)/10^9),0)</f>
        <v>-0.51396553090630859</v>
      </c>
      <c r="U784" s="105">
        <f>IF($T$658&gt;0,IPMT('Assumptions (Wind)'!$V$8,Model!X$1,'Assumptions (Wind)'!$V$11,'Assumptions (Wind)'!$V$6*Model!$T$658*AVERAGE('Assumptions (Wind)'!$Q$2:$R$2)/10^9),0)</f>
        <v>-0.47848675309992522</v>
      </c>
      <c r="V784" s="105">
        <f>IF($T$658&gt;0,IPMT('Assumptions (Wind)'!$V$8,Model!Y$1,'Assumptions (Wind)'!$V$11,'Assumptions (Wind)'!$V$6*Model!$T$658*AVERAGE('Assumptions (Wind)'!$Q$2:$R$2)/10^9),0)</f>
        <v>-0.44016967306903104</v>
      </c>
      <c r="W784" s="105">
        <f>IF($T$658&gt;0,IPMT('Assumptions (Wind)'!$V$8,Model!Z$1,'Assumptions (Wind)'!$V$11,'Assumptions (Wind)'!$V$6*Model!$T$658*AVERAGE('Assumptions (Wind)'!$Q$2:$R$2)/10^9),0)</f>
        <v>-0.3987872266356654</v>
      </c>
      <c r="X784" s="105">
        <f>IF($T$658&gt;0,IPMT('Assumptions (Wind)'!$V$8,Model!AA$1,'Assumptions (Wind)'!$V$11,'Assumptions (Wind)'!$V$6*Model!$T$658*AVERAGE('Assumptions (Wind)'!$Q$2:$R$2)/10^9),0)</f>
        <v>-0.35409418448763064</v>
      </c>
      <c r="Y784" s="105">
        <f>IF($T$658&gt;0,IPMT('Assumptions (Wind)'!$V$8,Model!AB$1,'Assumptions (Wind)'!$V$11,'Assumptions (Wind)'!$V$6*Model!$T$658*AVERAGE('Assumptions (Wind)'!$Q$2:$R$2)/10^9),0)</f>
        <v>-0.30582569896775302</v>
      </c>
      <c r="Z784" s="105">
        <f>IF($T$658&gt;0,IPMT('Assumptions (Wind)'!$V$8,Model!AC$1,'Assumptions (Wind)'!$V$11,'Assumptions (Wind)'!$V$6*Model!$T$658*AVERAGE('Assumptions (Wind)'!$Q$2:$R$2)/10^9),0)</f>
        <v>-0.25369573460628514</v>
      </c>
      <c r="AA784" s="105">
        <f>IF($T$658&gt;0,IPMT('Assumptions (Wind)'!$V$8,Model!AD$1,'Assumptions (Wind)'!$V$11,'Assumptions (Wind)'!$V$6*Model!$T$658*AVERAGE('Assumptions (Wind)'!$Q$2:$R$2)/10^9),0)</f>
        <v>-0.19739537309589991</v>
      </c>
      <c r="AB784" s="105">
        <f>IF($T$658&gt;0,IPMT('Assumptions (Wind)'!$V$8,Model!AE$1,'Assumptions (Wind)'!$V$11,'Assumptions (Wind)'!$V$6*Model!$T$658*AVERAGE('Assumptions (Wind)'!$Q$2:$R$2)/10^9),0)</f>
        <v>-0.13659098266468381</v>
      </c>
      <c r="AC784" s="105">
        <f>IF($T$658&gt;0,IPMT('Assumptions (Wind)'!$V$8,Model!AF$1,'Assumptions (Wind)'!$V$11,'Assumptions (Wind)'!$V$6*Model!$T$658*AVERAGE('Assumptions (Wind)'!$Q$2:$R$2)/10^9),0)</f>
        <v>-7.0922240998970446E-2</v>
      </c>
      <c r="AD784" s="105" t="e">
        <f>IF($T$658&gt;0,IPMT('Assumptions (Wind)'!$V$8,Model!AG$1,'Assumptions (Wind)'!$V$11,'Assumptions (Wind)'!$V$6*Model!$T$658*AVERAGE('Assumptions (Wind)'!$Q$2:$R$2)/10^9),0)</f>
        <v>#NUM!</v>
      </c>
      <c r="AE784" s="105" t="e">
        <f>IF($T$658&gt;0,IPMT('Assumptions (Wind)'!$V$8,Model!AH$1,'Assumptions (Wind)'!$V$11,'Assumptions (Wind)'!$V$6*Model!$T$658*AVERAGE('Assumptions (Wind)'!$Q$2:$R$2)/10^9),0)</f>
        <v>#NUM!</v>
      </c>
      <c r="AF784" s="105" t="e">
        <f>IF($T$658&gt;0,IPMT('Assumptions (Wind)'!$V$8,Model!AI$1,'Assumptions (Wind)'!$V$11,'Assumptions (Wind)'!$V$6*Model!$T$658*AVERAGE('Assumptions (Wind)'!$Q$2:$R$2)/10^9),0)</f>
        <v>#NUM!</v>
      </c>
      <c r="AG784" s="105" t="e">
        <f>IF($T$658&gt;0,IPMT('Assumptions (Wind)'!$V$8,Model!AJ$1,'Assumptions (Wind)'!$V$11,'Assumptions (Wind)'!$V$6*Model!$T$658*AVERAGE('Assumptions (Wind)'!$Q$2:$R$2)/10^9),0)</f>
        <v>#NUM!</v>
      </c>
      <c r="AH784" s="105" t="e">
        <f>IF($T$658&gt;0,IPMT('Assumptions (Wind)'!$V$8,Model!AK$1,'Assumptions (Wind)'!$V$11,'Assumptions (Wind)'!$V$6*Model!$T$658*AVERAGE('Assumptions (Wind)'!$Q$2:$R$2)/10^9),0)</f>
        <v>#NUM!</v>
      </c>
      <c r="AI784" s="105"/>
      <c r="AJ784" s="105"/>
      <c r="AK784" s="105"/>
      <c r="AL784" s="105"/>
      <c r="AM784" s="105"/>
      <c r="AN784" s="105"/>
      <c r="AO784" s="105"/>
      <c r="AP784" s="105"/>
      <c r="AQ784" s="105"/>
      <c r="AR784" s="105"/>
      <c r="AU784" s="105"/>
      <c r="AV784" s="105"/>
      <c r="AW784" s="105"/>
      <c r="AX784" s="105"/>
      <c r="AY784" s="105"/>
      <c r="AZ784" s="105"/>
      <c r="BA784" s="105"/>
    </row>
    <row r="785" spans="1:60" ht="15.75" hidden="1" customHeight="1" outlineLevel="1">
      <c r="A785" s="395"/>
      <c r="B785" s="99"/>
      <c r="C785" s="105"/>
      <c r="D785" s="105"/>
      <c r="E785" s="105"/>
      <c r="F785" s="105"/>
      <c r="G785" s="105"/>
      <c r="H785" s="105"/>
      <c r="I785" s="105"/>
      <c r="J785" s="105"/>
      <c r="K785" s="105"/>
      <c r="L785" s="105"/>
      <c r="M785" s="105"/>
      <c r="N785" s="105"/>
      <c r="O785" s="105"/>
      <c r="P785" s="171"/>
      <c r="Q785" s="105"/>
      <c r="R785" s="91"/>
      <c r="S785" s="91"/>
      <c r="T785" s="91"/>
      <c r="U785" s="105">
        <f>IF($U$658&gt;0,IPMT('Assumptions (Wind)'!$V$8,Model!W$1,'Assumptions (Wind)'!$V$11,'Assumptions (Wind)'!$V$6*Model!$U$658*AVERAGE('Assumptions (Wind)'!$R$2:$S$2)/10^9),0)</f>
        <v>-0.54193585090161245</v>
      </c>
      <c r="V785" s="105">
        <f>IF($U$658&gt;0,IPMT('Assumptions (Wind)'!$V$8,Model!X$1,'Assumptions (Wind)'!$V$11,'Assumptions (Wind)'!$V$6*Model!$U$658*AVERAGE('Assumptions (Wind)'!$R$2:$S$2)/10^9),0)</f>
        <v>-0.50452629620725964</v>
      </c>
      <c r="W785" s="105">
        <f>IF($U$658&gt;0,IPMT('Assumptions (Wind)'!$V$8,Model!Y$1,'Assumptions (Wind)'!$V$11,'Assumptions (Wind)'!$V$6*Model!$U$658*AVERAGE('Assumptions (Wind)'!$R$2:$S$2)/10^9),0)</f>
        <v>-0.46412397713735848</v>
      </c>
      <c r="X785" s="105">
        <f>IF($U$658&gt;0,IPMT('Assumptions (Wind)'!$V$8,Model!Z$1,'Assumptions (Wind)'!$V$11,'Assumptions (Wind)'!$V$6*Model!$U$658*AVERAGE('Assumptions (Wind)'!$R$2:$S$2)/10^9),0)</f>
        <v>-0.42048947254186536</v>
      </c>
      <c r="Y785" s="105">
        <f>IF($U$658&gt;0,IPMT('Assumptions (Wind)'!$V$8,Model!AA$1,'Assumptions (Wind)'!$V$11,'Assumptions (Wind)'!$V$6*Model!$U$658*AVERAGE('Assumptions (Wind)'!$R$2:$S$2)/10^9),0)</f>
        <v>-0.37336420757873284</v>
      </c>
      <c r="Z785" s="105">
        <f>IF($U$658&gt;0,IPMT('Assumptions (Wind)'!$V$8,Model!AB$1,'Assumptions (Wind)'!$V$11,'Assumptions (Wind)'!$V$6*Model!$U$658*AVERAGE('Assumptions (Wind)'!$R$2:$S$2)/10^9),0)</f>
        <v>-0.32246892141854971</v>
      </c>
      <c r="AA785" s="105">
        <f>IF($U$658&gt;0,IPMT('Assumptions (Wind)'!$V$8,Model!AC$1,'Assumptions (Wind)'!$V$11,'Assumptions (Wind)'!$V$6*Model!$U$658*AVERAGE('Assumptions (Wind)'!$R$2:$S$2)/10^9),0)</f>
        <v>-0.26750201236555188</v>
      </c>
      <c r="AB785" s="105">
        <f>IF($U$658&gt;0,IPMT('Assumptions (Wind)'!$V$8,Model!AD$1,'Assumptions (Wind)'!$V$11,'Assumptions (Wind)'!$V$6*Model!$U$658*AVERAGE('Assumptions (Wind)'!$R$2:$S$2)/10^9),0)</f>
        <v>-0.20813775058831421</v>
      </c>
      <c r="AC785" s="105">
        <f>IF($U$658&gt;0,IPMT('Assumptions (Wind)'!$V$8,Model!AE$1,'Assumptions (Wind)'!$V$11,'Assumptions (Wind)'!$V$6*Model!$U$658*AVERAGE('Assumptions (Wind)'!$R$2:$S$2)/10^9),0)</f>
        <v>-0.14402434786889756</v>
      </c>
      <c r="AD785" s="105">
        <f>IF($U$658&gt;0,IPMT('Assumptions (Wind)'!$V$8,Model!AF$1,'Assumptions (Wind)'!$V$11,'Assumptions (Wind)'!$V$6*Model!$U$658*AVERAGE('Assumptions (Wind)'!$R$2:$S$2)/10^9),0)</f>
        <v>-7.478187293192759E-2</v>
      </c>
      <c r="AE785" s="105" t="e">
        <f>IF($U$658&gt;0,IPMT('Assumptions (Wind)'!$V$8,Model!AG$1,'Assumptions (Wind)'!$V$11,'Assumptions (Wind)'!$V$6*Model!$U$658*AVERAGE('Assumptions (Wind)'!$R$2:$S$2)/10^9),0)</f>
        <v>#NUM!</v>
      </c>
      <c r="AF785" s="105" t="e">
        <f>IF($U$658&gt;0,IPMT('Assumptions (Wind)'!$V$8,Model!AH$1,'Assumptions (Wind)'!$V$11,'Assumptions (Wind)'!$V$6*Model!$U$658*AVERAGE('Assumptions (Wind)'!$R$2:$S$2)/10^9),0)</f>
        <v>#NUM!</v>
      </c>
      <c r="AG785" s="105" t="e">
        <f>IF($U$658&gt;0,IPMT('Assumptions (Wind)'!$V$8,Model!AI$1,'Assumptions (Wind)'!$V$11,'Assumptions (Wind)'!$V$6*Model!$U$658*AVERAGE('Assumptions (Wind)'!$R$2:$S$2)/10^9),0)</f>
        <v>#NUM!</v>
      </c>
      <c r="AH785" s="105" t="e">
        <f>IF($U$658&gt;0,IPMT('Assumptions (Wind)'!$V$8,Model!AJ$1,'Assumptions (Wind)'!$V$11,'Assumptions (Wind)'!$V$6*Model!$U$658*AVERAGE('Assumptions (Wind)'!$R$2:$S$2)/10^9),0)</f>
        <v>#NUM!</v>
      </c>
      <c r="AI785" s="105" t="e">
        <f>IF($U$658&gt;0,IPMT('Assumptions (Wind)'!$V$8,Model!AK$1,'Assumptions (Wind)'!$V$11,'Assumptions (Wind)'!$V$6*Model!$U$658*AVERAGE('Assumptions (Wind)'!$R$2:$S$2)/10^9),0)</f>
        <v>#NUM!</v>
      </c>
      <c r="AJ785" s="105"/>
      <c r="AK785" s="105"/>
      <c r="AL785" s="105"/>
      <c r="AM785" s="105"/>
      <c r="AN785" s="105"/>
      <c r="AO785" s="105"/>
      <c r="AP785" s="105"/>
      <c r="AQ785" s="105"/>
      <c r="AR785" s="105"/>
      <c r="AS785" s="105"/>
      <c r="AU785" s="105"/>
      <c r="AV785" s="105"/>
      <c r="AW785" s="105"/>
      <c r="AX785" s="105"/>
      <c r="AY785" s="105"/>
      <c r="AZ785" s="105"/>
      <c r="BA785" s="105"/>
    </row>
    <row r="786" spans="1:60" ht="15.75" hidden="1" customHeight="1" outlineLevel="1">
      <c r="A786" s="395"/>
      <c r="B786" s="99"/>
      <c r="C786" s="105"/>
      <c r="D786" s="105"/>
      <c r="E786" s="105"/>
      <c r="F786" s="105"/>
      <c r="G786" s="105"/>
      <c r="H786" s="105"/>
      <c r="I786" s="105"/>
      <c r="J786" s="105"/>
      <c r="K786" s="105"/>
      <c r="L786" s="105"/>
      <c r="M786" s="105"/>
      <c r="N786" s="105"/>
      <c r="O786" s="105"/>
      <c r="P786" s="171"/>
      <c r="Q786" s="105"/>
      <c r="R786" s="91"/>
      <c r="S786" s="91"/>
      <c r="T786" s="91"/>
      <c r="U786" s="105"/>
      <c r="V786" s="105">
        <f>IF($V$658&gt;0,IPMT('Assumptions (Wind)'!$V$8,Model!W$1,'Assumptions (Wind)'!$V$11,'Assumptions (Wind)'!$V$6*Model!$V$658*AVERAGE('Assumptions (Wind)'!$S$2:$T$2)/10^9),0)</f>
        <v>-0.7449394419931783</v>
      </c>
      <c r="W786" s="105">
        <f>IF($V$658&gt;0,IPMT('Assumptions (Wind)'!$V$8,Model!X$1,'Assumptions (Wind)'!$V$11,'Assumptions (Wind)'!$V$6*Model!$V$658*AVERAGE('Assumptions (Wind)'!$S$2:$T$2)/10^9),0)</f>
        <v>-0.69351665320210454</v>
      </c>
      <c r="X786" s="105">
        <f>IF($V$658&gt;0,IPMT('Assumptions (Wind)'!$V$8,Model!Y$1,'Assumptions (Wind)'!$V$11,'Assumptions (Wind)'!$V$6*Model!$V$658*AVERAGE('Assumptions (Wind)'!$S$2:$T$2)/10^9),0)</f>
        <v>-0.63798004130774477</v>
      </c>
      <c r="Y786" s="105">
        <f>IF($V$658&gt;0,IPMT('Assumptions (Wind)'!$V$8,Model!Z$1,'Assumptions (Wind)'!$V$11,'Assumptions (Wind)'!$V$6*Model!$V$658*AVERAGE('Assumptions (Wind)'!$S$2:$T$2)/10^9),0)</f>
        <v>-0.57800050046183626</v>
      </c>
      <c r="Z786" s="105">
        <f>IF($V$658&gt;0,IPMT('Assumptions (Wind)'!$V$8,Model!AA$1,'Assumptions (Wind)'!$V$11,'Assumptions (Wind)'!$V$6*Model!$V$658*AVERAGE('Assumptions (Wind)'!$S$2:$T$2)/10^9),0)</f>
        <v>-0.51322259634825518</v>
      </c>
      <c r="AA786" s="105">
        <f>IF($V$658&gt;0,IPMT('Assumptions (Wind)'!$V$8,Model!AB$1,'Assumptions (Wind)'!$V$11,'Assumptions (Wind)'!$V$6*Model!$V$658*AVERAGE('Assumptions (Wind)'!$S$2:$T$2)/10^9),0)</f>
        <v>-0.4432624599055876</v>
      </c>
      <c r="AB786" s="105">
        <f>IF($V$658&gt;0,IPMT('Assumptions (Wind)'!$V$8,Model!AC$1,'Assumptions (Wind)'!$V$11,'Assumptions (Wind)'!$V$6*Model!$V$658*AVERAGE('Assumptions (Wind)'!$S$2:$T$2)/10^9),0)</f>
        <v>-0.3677055125475065</v>
      </c>
      <c r="AC786" s="105">
        <f>IF($V$658&gt;0,IPMT('Assumptions (Wind)'!$V$8,Model!AD$1,'Assumptions (Wind)'!$V$11,'Assumptions (Wind)'!$V$6*Model!$V$658*AVERAGE('Assumptions (Wind)'!$S$2:$T$2)/10^9),0)</f>
        <v>-0.28610400940077907</v>
      </c>
      <c r="AD786" s="105">
        <f>IF($V$658&gt;0,IPMT('Assumptions (Wind)'!$V$8,Model!AE$1,'Assumptions (Wind)'!$V$11,'Assumptions (Wind)'!$V$6*Model!$V$658*AVERAGE('Assumptions (Wind)'!$S$2:$T$2)/10^9),0)</f>
        <v>-0.19797438600231335</v>
      </c>
      <c r="AE786" s="105">
        <f>IF($V$658&gt;0,IPMT('Assumptions (Wind)'!$V$8,Model!AF$1,'Assumptions (Wind)'!$V$11,'Assumptions (Wind)'!$V$6*Model!$V$658*AVERAGE('Assumptions (Wind)'!$S$2:$T$2)/10^9),0)</f>
        <v>-0.10279439273197039</v>
      </c>
      <c r="AF786" s="105" t="e">
        <f>IF($V$658&gt;0,IPMT('Assumptions (Wind)'!$V$8,Model!AG$1,'Assumptions (Wind)'!$V$11,'Assumptions (Wind)'!$V$6*Model!$V$658*AVERAGE('Assumptions (Wind)'!$S$2:$T$2)/10^9),0)</f>
        <v>#NUM!</v>
      </c>
      <c r="AG786" s="105" t="e">
        <f>IF($V$658&gt;0,IPMT('Assumptions (Wind)'!$V$8,Model!AH$1,'Assumptions (Wind)'!$V$11,'Assumptions (Wind)'!$V$6*Model!$V$658*AVERAGE('Assumptions (Wind)'!$S$2:$T$2)/10^9),0)</f>
        <v>#NUM!</v>
      </c>
      <c r="AH786" s="105" t="e">
        <f>IF($V$658&gt;0,IPMT('Assumptions (Wind)'!$V$8,Model!AI$1,'Assumptions (Wind)'!$V$11,'Assumptions (Wind)'!$V$6*Model!$V$658*AVERAGE('Assumptions (Wind)'!$S$2:$T$2)/10^9),0)</f>
        <v>#NUM!</v>
      </c>
      <c r="AI786" s="105" t="e">
        <f>IF($V$658&gt;0,IPMT('Assumptions (Wind)'!$V$8,Model!AJ$1,'Assumptions (Wind)'!$V$11,'Assumptions (Wind)'!$V$6*Model!$V$658*AVERAGE('Assumptions (Wind)'!$S$2:$T$2)/10^9),0)</f>
        <v>#NUM!</v>
      </c>
      <c r="AJ786" s="105" t="e">
        <f>IF($V$658&gt;0,IPMT('Assumptions (Wind)'!$V$8,Model!AK$1,'Assumptions (Wind)'!$V$11,'Assumptions (Wind)'!$V$6*Model!$V$658*AVERAGE('Assumptions (Wind)'!$S$2:$T$2)/10^9),0)</f>
        <v>#NUM!</v>
      </c>
      <c r="AK786" s="105"/>
      <c r="AL786" s="105"/>
      <c r="AM786" s="105"/>
      <c r="AN786" s="105"/>
      <c r="AO786" s="105"/>
      <c r="AP786" s="105"/>
      <c r="AQ786" s="105"/>
      <c r="AR786" s="105"/>
      <c r="AS786" s="105"/>
      <c r="AT786" s="105"/>
      <c r="AU786" s="105"/>
      <c r="AV786" s="105"/>
      <c r="AW786" s="105"/>
      <c r="AX786" s="105"/>
      <c r="AY786" s="105"/>
      <c r="AZ786" s="105"/>
      <c r="BA786" s="105"/>
    </row>
    <row r="787" spans="1:60" ht="15.75" hidden="1" customHeight="1" outlineLevel="1">
      <c r="A787" s="395"/>
      <c r="B787" s="99"/>
      <c r="C787" s="99"/>
      <c r="D787" s="99"/>
      <c r="E787" s="99"/>
      <c r="F787" s="99"/>
      <c r="G787" s="99"/>
      <c r="H787" s="99"/>
      <c r="I787" s="99"/>
      <c r="J787" s="99"/>
      <c r="K787" s="99"/>
      <c r="L787" s="99"/>
      <c r="M787" s="99"/>
      <c r="N787" s="99"/>
      <c r="O787" s="99"/>
      <c r="P787" s="99"/>
      <c r="Q787" s="99"/>
      <c r="R787" s="99"/>
      <c r="S787" s="99"/>
      <c r="T787" s="99"/>
      <c r="U787" s="99"/>
      <c r="V787" s="99"/>
      <c r="W787" s="105">
        <f>IF($W$658&gt;0,IPMT('Assumptions (Wind)'!$V$8,Model!W1,'Assumptions (Wind)'!$V$11,'Assumptions (Wind)'!$V$6*Model!$W$658*'Assumptions (Wind)'!$V$2/10^9),0)</f>
        <v>-1.1850864000000001</v>
      </c>
      <c r="X787" s="105">
        <f>IF($W$658&gt;0,IPMT('Assumptions (Wind)'!$V$8,Model!X1,'Assumptions (Wind)'!$V$11,'Assumptions (Wind)'!$V$6*Model!$W$658*'Assumptions (Wind)'!$V$2/10^9),0)</f>
        <v>-1.1032804917461423</v>
      </c>
      <c r="Y787" s="105">
        <f>IF($W$658&gt;0,IPMT('Assumptions (Wind)'!$V$8,Model!Y1,'Assumptions (Wind)'!$V$11,'Assumptions (Wind)'!$V$6*Model!$W$658*'Assumptions (Wind)'!$V$2/10^9),0)</f>
        <v>-1.0149301108319757</v>
      </c>
      <c r="Z787" s="105">
        <f>IF($W$658&gt;0,IPMT('Assumptions (Wind)'!$V$8,Model!Z1,'Assumptions (Wind)'!$V$11,'Assumptions (Wind)'!$V$6*Model!$W$658*'Assumptions (Wind)'!$V$2/10^9),0)</f>
        <v>-0.91951169944467581</v>
      </c>
      <c r="AA787" s="105">
        <f>IF($W$658&gt;0,IPMT('Assumptions (Wind)'!$V$8,Model!AA1,'Assumptions (Wind)'!$V$11,'Assumptions (Wind)'!$V$6*Model!$W$658*'Assumptions (Wind)'!$V$2/10^9),0)</f>
        <v>-0.81645981514639221</v>
      </c>
      <c r="AB787" s="105">
        <f>IF($W$658&gt;0,IPMT('Assumptions (Wind)'!$V$8,Model!AB1,'Assumptions (Wind)'!$V$11,'Assumptions (Wind)'!$V$6*Model!$W$658*'Assumptions (Wind)'!$V$2/10^9),0)</f>
        <v>-0.70516378010424574</v>
      </c>
      <c r="AC787" s="105">
        <f>IF($W$658&gt;0,IPMT('Assumptions (Wind)'!$V$8,Model!AC1,'Assumptions (Wind)'!$V$11,'Assumptions (Wind)'!$V$6*Model!$W$658*'Assumptions (Wind)'!$V$2/10^9),0)</f>
        <v>-0.58496406225872766</v>
      </c>
      <c r="AD787" s="105">
        <f>IF($W$658&gt;0,IPMT('Assumptions (Wind)'!$V$8,Model!AD1,'Assumptions (Wind)'!$V$11,'Assumptions (Wind)'!$V$6*Model!$W$658*'Assumptions (Wind)'!$V$2/10^9),0)</f>
        <v>-0.45514836698556804</v>
      </c>
      <c r="AE787" s="105">
        <f>IF($W$658&gt;0,IPMT('Assumptions (Wind)'!$V$8,Model!AE1,'Assumptions (Wind)'!$V$11,'Assumptions (Wind)'!$V$6*Model!$W$658*'Assumptions (Wind)'!$V$2/10^9),0)</f>
        <v>-0.31494741609055577</v>
      </c>
      <c r="AF787" s="105">
        <f>IF($W$658&gt;0,IPMT('Assumptions (Wind)'!$V$8,Model!AF1,'Assumptions (Wind)'!$V$11,'Assumptions (Wind)'!$V$6*Model!$W$658*'Assumptions (Wind)'!$V$2/10^9),0)</f>
        <v>-0.16353038912394241</v>
      </c>
      <c r="AG787" s="105" t="e">
        <f>IF($W$658&gt;0,IPMT('Assumptions (Wind)'!$V$8,Model!AG1,'Assumptions (Wind)'!$V$11,'Assumptions (Wind)'!$V$6*Model!$W$658*'Assumptions (Wind)'!$V$2/10^9),0)</f>
        <v>#NUM!</v>
      </c>
      <c r="AH787" s="105" t="e">
        <f>IF($W$658&gt;0,IPMT('Assumptions (Wind)'!$V$8,Model!AH1,'Assumptions (Wind)'!$V$11,'Assumptions (Wind)'!$V$6*Model!$W$658*'Assumptions (Wind)'!$V$2/10^9),0)</f>
        <v>#NUM!</v>
      </c>
      <c r="AI787" s="105" t="e">
        <f>IF($W$658&gt;0,IPMT('Assumptions (Wind)'!$V$8,Model!AI1,'Assumptions (Wind)'!$V$11,'Assumptions (Wind)'!$V$6*Model!$W$658*'Assumptions (Wind)'!$V$2/10^9),0)</f>
        <v>#NUM!</v>
      </c>
      <c r="AJ787" s="105" t="e">
        <f>IF($W$658&gt;0,IPMT('Assumptions (Wind)'!$V$8,Model!AJ1,'Assumptions (Wind)'!$V$11,'Assumptions (Wind)'!$V$6*Model!$W$658*'Assumptions (Wind)'!$V$2/10^9),0)</f>
        <v>#NUM!</v>
      </c>
      <c r="AK787" s="105" t="e">
        <f>IF($W$658&gt;0,IPMT('Assumptions (Wind)'!$V$8,Model!AK1,'Assumptions (Wind)'!$V$11,'Assumptions (Wind)'!$V$6*Model!$W$658*'Assumptions (Wind)'!$V$2/10^9),0)</f>
        <v>#NUM!</v>
      </c>
      <c r="AL787" s="105"/>
      <c r="AM787" s="105"/>
      <c r="AN787" s="105"/>
      <c r="AO787" s="105"/>
      <c r="AP787" s="105"/>
      <c r="AQ787" s="105"/>
      <c r="AR787" s="105"/>
      <c r="AS787" s="105"/>
      <c r="AT787" s="105"/>
      <c r="AU787" s="105"/>
      <c r="AV787" s="105"/>
      <c r="AW787" s="105"/>
      <c r="AX787" s="105"/>
      <c r="AY787" s="105"/>
      <c r="AZ787" s="105"/>
      <c r="BA787" s="105"/>
    </row>
    <row r="788" spans="1:60" ht="15.75" hidden="1" customHeight="1" outlineLevel="1">
      <c r="A788" s="395"/>
      <c r="B788" s="99"/>
      <c r="C788" s="99"/>
      <c r="D788" s="99"/>
      <c r="E788" s="99"/>
      <c r="F788" s="99"/>
      <c r="G788" s="99"/>
      <c r="H788" s="99"/>
      <c r="I788" s="99"/>
      <c r="J788" s="99"/>
      <c r="K788" s="99"/>
      <c r="L788" s="99"/>
      <c r="M788" s="99"/>
      <c r="N788" s="99"/>
      <c r="O788" s="99"/>
      <c r="P788" s="99"/>
      <c r="Q788" s="99"/>
      <c r="R788" s="99"/>
      <c r="S788" s="99"/>
      <c r="T788" s="99"/>
      <c r="U788" s="99"/>
      <c r="V788" s="99"/>
      <c r="W788" s="105"/>
      <c r="X788" s="105">
        <f>IF($X$658&gt;0,IPMT('Assumptions (Wind)'!$V$8,Model!W1,'Assumptions (Wind)'!$V$11,'Assumptions (Wind)'!$V$6*Model!$X$658*'Assumptions (Wind)'!$V$2/10^9),0)</f>
        <v>-4.6104547546749926</v>
      </c>
      <c r="Y788" s="105">
        <f>IF($X$658&gt;0,IPMT('Assumptions (Wind)'!$V$8,Model!X1,'Assumptions (Wind)'!$V$11,'Assumptions (Wind)'!$V$6*Model!$X$658*'Assumptions (Wind)'!$V$2/10^9),0)</f>
        <v>-4.2921974202987778</v>
      </c>
      <c r="Z788" s="105">
        <f>IF($X$658&gt;0,IPMT('Assumptions (Wind)'!$V$8,Model!Y1,'Assumptions (Wind)'!$V$11,'Assumptions (Wind)'!$V$6*Model!$X$658*'Assumptions (Wind)'!$V$2/10^9),0)</f>
        <v>-3.9484794991724645</v>
      </c>
      <c r="AA788" s="105">
        <f>IF($X$658&gt;0,IPMT('Assumptions (Wind)'!$V$8,Model!Z1,'Assumptions (Wind)'!$V$11,'Assumptions (Wind)'!$V$6*Model!$X$658*'Assumptions (Wind)'!$V$2/10^9),0)</f>
        <v>-3.5772641443560476</v>
      </c>
      <c r="AB788" s="105">
        <f>IF($X$658&gt;0,IPMT('Assumptions (Wind)'!$V$8,Model!AA1,'Assumptions (Wind)'!$V$11,'Assumptions (Wind)'!$V$6*Model!$X$658*'Assumptions (Wind)'!$V$2/10^9),0)</f>
        <v>-3.1763515611543163</v>
      </c>
      <c r="AC788" s="105">
        <f>IF($X$658&gt;0,IPMT('Assumptions (Wind)'!$V$8,Model!AB1,'Assumptions (Wind)'!$V$11,'Assumptions (Wind)'!$V$6*Model!$X$658*'Assumptions (Wind)'!$V$2/10^9),0)</f>
        <v>-2.743365971296448</v>
      </c>
      <c r="AD788" s="105">
        <f>IF($X$658&gt;0,IPMT('Assumptions (Wind)'!$V$8,Model!AC1,'Assumptions (Wind)'!$V$11,'Assumptions (Wind)'!$V$6*Model!$X$658*'Assumptions (Wind)'!$V$2/10^9),0)</f>
        <v>-2.2757415342499492</v>
      </c>
      <c r="AE788" s="105">
        <f>IF($X$658&gt;0,IPMT('Assumptions (Wind)'!$V$8,Model!AD1,'Assumptions (Wind)'!$V$11,'Assumptions (Wind)'!$V$6*Model!$X$658*'Assumptions (Wind)'!$V$2/10^9),0)</f>
        <v>-1.7707071422397309</v>
      </c>
      <c r="AF788" s="105">
        <f>IF($X$658&gt;0,IPMT('Assumptions (Wind)'!$V$8,Model!AE1,'Assumptions (Wind)'!$V$11,'Assumptions (Wind)'!$V$6*Model!$X$658*'Assumptions (Wind)'!$V$2/10^9),0)</f>
        <v>-1.225269998868695</v>
      </c>
      <c r="AG788" s="105">
        <f>IF($X$658&gt;0,IPMT('Assumptions (Wind)'!$V$8,Model!AF1,'Assumptions (Wind)'!$V$11,'Assumptions (Wind)'!$V$6*Model!$X$658*'Assumptions (Wind)'!$V$2/10^9),0)</f>
        <v>-0.63619788402797628</v>
      </c>
      <c r="AH788" s="105" t="e">
        <f>IF($X$658&gt;0,IPMT('Assumptions (Wind)'!$V$8,Model!AG1,'Assumptions (Wind)'!$V$11,'Assumptions (Wind)'!$V$6*Model!$X$658*'Assumptions (Wind)'!$V$2/10^9),0)</f>
        <v>#NUM!</v>
      </c>
      <c r="AI788" s="105" t="e">
        <f>IF($X$658&gt;0,IPMT('Assumptions (Wind)'!$V$8,Model!AH1,'Assumptions (Wind)'!$V$11,'Assumptions (Wind)'!$V$6*Model!$X$658*'Assumptions (Wind)'!$V$2/10^9),0)</f>
        <v>#NUM!</v>
      </c>
      <c r="AJ788" s="105" t="e">
        <f>IF($X$658&gt;0,IPMT('Assumptions (Wind)'!$V$8,Model!AI1,'Assumptions (Wind)'!$V$11,'Assumptions (Wind)'!$V$6*Model!$X$658*'Assumptions (Wind)'!$V$2/10^9),0)</f>
        <v>#NUM!</v>
      </c>
      <c r="AK788" s="105" t="e">
        <f>IF($X$658&gt;0,IPMT('Assumptions (Wind)'!$V$8,Model!AJ1,'Assumptions (Wind)'!$V$11,'Assumptions (Wind)'!$V$6*Model!$X$658*'Assumptions (Wind)'!$V$2/10^9),0)</f>
        <v>#NUM!</v>
      </c>
      <c r="AL788" s="105" t="e">
        <f>IF($X$658&gt;0,IPMT('Assumptions (Wind)'!$V$8,Model!AK1,'Assumptions (Wind)'!$V$11,'Assumptions (Wind)'!$V$6*Model!$X$658*'Assumptions (Wind)'!$V$2/10^9),0)</f>
        <v>#NUM!</v>
      </c>
      <c r="AM788" s="105"/>
      <c r="AN788" s="105"/>
      <c r="AO788" s="105"/>
      <c r="AP788" s="105"/>
      <c r="AQ788" s="105"/>
      <c r="AR788" s="105"/>
      <c r="AS788" s="105"/>
      <c r="AT788" s="105"/>
      <c r="AU788" s="105"/>
      <c r="AV788" s="105"/>
      <c r="AW788" s="105"/>
      <c r="AX788" s="105"/>
      <c r="AY788" s="105"/>
      <c r="AZ788" s="105"/>
      <c r="BA788" s="105"/>
    </row>
    <row r="789" spans="1:60" ht="15.75" hidden="1" customHeight="1" outlineLevel="1">
      <c r="A789" s="395"/>
      <c r="B789" s="99"/>
      <c r="C789" s="99"/>
      <c r="D789" s="99"/>
      <c r="E789" s="99"/>
      <c r="F789" s="99"/>
      <c r="G789" s="99"/>
      <c r="H789" s="99"/>
      <c r="I789" s="99"/>
      <c r="J789" s="99"/>
      <c r="K789" s="99"/>
      <c r="L789" s="99"/>
      <c r="M789" s="99"/>
      <c r="N789" s="99"/>
      <c r="O789" s="99"/>
      <c r="P789" s="99"/>
      <c r="Q789" s="99"/>
      <c r="R789" s="99"/>
      <c r="S789" s="99"/>
      <c r="T789" s="99"/>
      <c r="U789" s="99"/>
      <c r="V789" s="99"/>
      <c r="W789" s="105"/>
      <c r="X789" s="105"/>
      <c r="Y789" s="105">
        <f>IF($Y$658&gt;0,IPMT('Assumptions (Wind)'!$V$8,Model!W1,'Assumptions (Wind)'!$V$11,'Assumptions (Wind)'!$V$6*Model!$Y$658*AVERAGE('Assumptions (Wind)'!$V$2:$W$2)/10^9),0)</f>
        <v>-4.621904353517742</v>
      </c>
      <c r="Z789" s="105">
        <f>IF($Y$658&gt;0,IPMT('Assumptions (Wind)'!$V$8,Model!X1,'Assumptions (Wind)'!$V$11,'Assumptions (Wind)'!$V$6*Model!$Y$658*AVERAGE('Assumptions (Wind)'!$V$2:$W$2)/10^9),0)</f>
        <v>-4.3028566591876247</v>
      </c>
      <c r="AA789" s="105">
        <f>IF($Y$658&gt;0,IPMT('Assumptions (Wind)'!$V$8,Model!Y1,'Assumptions (Wind)'!$V$11,'Assumptions (Wind)'!$V$6*Model!$Y$658*AVERAGE('Assumptions (Wind)'!$V$2:$W$2)/10^9),0)</f>
        <v>-3.9582851493110986</v>
      </c>
      <c r="AB789" s="105">
        <f>IF($Y$658&gt;0,IPMT('Assumptions (Wind)'!$V$8,Model!Z1,'Assumptions (Wind)'!$V$11,'Assumptions (Wind)'!$V$6*Model!$Y$658*AVERAGE('Assumptions (Wind)'!$V$2:$W$2)/10^9),0)</f>
        <v>-3.5861479186444503</v>
      </c>
      <c r="AC789" s="105">
        <f>IF($Y$658&gt;0,IPMT('Assumptions (Wind)'!$V$8,Model!AA1,'Assumptions (Wind)'!$V$11,'Assumptions (Wind)'!$V$6*Model!$Y$658*AVERAGE('Assumptions (Wind)'!$V$2:$W$2)/10^9),0)</f>
        <v>-3.1842397095244706</v>
      </c>
      <c r="AD789" s="105">
        <f>IF($Y$658&gt;0,IPMT('Assumptions (Wind)'!$V$8,Model!AB1,'Assumptions (Wind)'!$V$11,'Assumptions (Wind)'!$V$6*Model!$Y$658*AVERAGE('Assumptions (Wind)'!$V$2:$W$2)/10^9),0)</f>
        <v>-2.7501788436748926</v>
      </c>
      <c r="AE789" s="105">
        <f>IF($Y$658&gt;0,IPMT('Assumptions (Wind)'!$V$8,Model!AC1,'Assumptions (Wind)'!$V$11,'Assumptions (Wind)'!$V$6*Model!$Y$658*AVERAGE('Assumptions (Wind)'!$V$2:$W$2)/10^9),0)</f>
        <v>-2.2813931085573476</v>
      </c>
      <c r="AF789" s="105">
        <f>IF($Y$658&gt;0,IPMT('Assumptions (Wind)'!$V$8,Model!AD1,'Assumptions (Wind)'!$V$11,'Assumptions (Wind)'!$V$6*Model!$Y$658*AVERAGE('Assumptions (Wind)'!$V$2:$W$2)/10^9),0)</f>
        <v>-1.7751045146303996</v>
      </c>
      <c r="AG789" s="105">
        <f>IF($Y$658&gt;0,IPMT('Assumptions (Wind)'!$V$8,Model!AE1,'Assumptions (Wind)'!$V$11,'Assumptions (Wind)'!$V$6*Model!$Y$658*AVERAGE('Assumptions (Wind)'!$V$2:$W$2)/10^9),0)</f>
        <v>-1.2283128331892958</v>
      </c>
      <c r="AH789" s="105">
        <f>IF($Y$658&gt;0,IPMT('Assumptions (Wind)'!$V$8,Model!AF1,'Assumptions (Wind)'!$V$11,'Assumptions (Wind)'!$V$6*Model!$Y$658*AVERAGE('Assumptions (Wind)'!$V$2:$W$2)/10^9),0)</f>
        <v>-0.63777781723290361</v>
      </c>
      <c r="AI789" s="105" t="e">
        <f>IF($Y$658&gt;0,IPMT('Assumptions (Wind)'!$V$8,Model!AG1,'Assumptions (Wind)'!$V$11,'Assumptions (Wind)'!$V$6*Model!$Y$658*AVERAGE('Assumptions (Wind)'!$V$2:$W$2)/10^9),0)</f>
        <v>#NUM!</v>
      </c>
      <c r="AJ789" s="105" t="e">
        <f>IF($Y$658&gt;0,IPMT('Assumptions (Wind)'!$V$8,Model!AH1,'Assumptions (Wind)'!$V$11,'Assumptions (Wind)'!$V$6*Model!$Y$658*AVERAGE('Assumptions (Wind)'!$V$2:$W$2)/10^9),0)</f>
        <v>#NUM!</v>
      </c>
      <c r="AK789" s="105" t="e">
        <f>IF($Y$658&gt;0,IPMT('Assumptions (Wind)'!$V$8,Model!AI1,'Assumptions (Wind)'!$V$11,'Assumptions (Wind)'!$V$6*Model!$Y$658*AVERAGE('Assumptions (Wind)'!$V$2:$W$2)/10^9),0)</f>
        <v>#NUM!</v>
      </c>
      <c r="AL789" s="105" t="e">
        <f>IF($Y$658&gt;0,IPMT('Assumptions (Wind)'!$V$8,Model!AJ1,'Assumptions (Wind)'!$V$11,'Assumptions (Wind)'!$V$6*Model!$Y$658*AVERAGE('Assumptions (Wind)'!$V$2:$W$2)/10^9),0)</f>
        <v>#NUM!</v>
      </c>
      <c r="AM789" s="105" t="e">
        <f>IF($Y$658&gt;0,IPMT('Assumptions (Wind)'!$V$8,Model!AK1,'Assumptions (Wind)'!$V$11,'Assumptions (Wind)'!$V$6*Model!$Y$658*AVERAGE('Assumptions (Wind)'!$V$2:$W$2)/10^9),0)</f>
        <v>#NUM!</v>
      </c>
      <c r="AN789" s="105"/>
      <c r="AO789" s="105"/>
      <c r="AP789" s="105"/>
      <c r="AQ789" s="105"/>
      <c r="AR789" s="105"/>
      <c r="AS789" s="105"/>
      <c r="AT789" s="105"/>
      <c r="AU789" s="105"/>
      <c r="AV789" s="105"/>
      <c r="AW789" s="105"/>
      <c r="AX789" s="105"/>
      <c r="AY789" s="105"/>
      <c r="AZ789" s="105"/>
      <c r="BA789" s="105"/>
    </row>
    <row r="790" spans="1:60" ht="15.75" hidden="1" customHeight="1" outlineLevel="1">
      <c r="A790" s="395"/>
      <c r="B790" s="99"/>
      <c r="C790" s="99"/>
      <c r="D790" s="99"/>
      <c r="E790" s="99"/>
      <c r="F790" s="99"/>
      <c r="G790" s="99"/>
      <c r="H790" s="99"/>
      <c r="I790" s="99"/>
      <c r="J790" s="99"/>
      <c r="K790" s="99"/>
      <c r="L790" s="99"/>
      <c r="M790" s="99"/>
      <c r="N790" s="99"/>
      <c r="O790" s="99"/>
      <c r="P790" s="99"/>
      <c r="Q790" s="99"/>
      <c r="R790" s="99"/>
      <c r="S790" s="99"/>
      <c r="T790" s="99"/>
      <c r="U790" s="99"/>
      <c r="V790" s="99"/>
      <c r="W790" s="105"/>
      <c r="X790" s="105"/>
      <c r="Y790" s="105"/>
      <c r="Z790" s="105">
        <f>IF($Z$658&gt;0,IPMT('Assumptions (Wind)'!$V$8,Model!W1,'Assumptions (Wind)'!$V$11,'Assumptions (Wind)'!$V$6*Model!$Z$658*AVERAGE('Assumptions (Wind)'!$W$2:$X$2)/10^9),0)</f>
        <v>-4.7114254482437765</v>
      </c>
      <c r="AA790" s="105">
        <f>IF($Z$658&gt;0,IPMT('Assumptions (Wind)'!$V$8,Model!X1,'Assumptions (Wind)'!$V$11,'Assumptions (Wind)'!$V$6*Model!$Z$658*AVERAGE('Assumptions (Wind)'!$W$2:$X$2)/10^9),0)</f>
        <v>-4.3861981585171188</v>
      </c>
      <c r="AB790" s="105">
        <f>IF($Z$658&gt;0,IPMT('Assumptions (Wind)'!$V$8,Model!Y1,'Assumptions (Wind)'!$V$11,'Assumptions (Wind)'!$V$6*Model!$Z$658*AVERAGE('Assumptions (Wind)'!$W$2:$X$2)/10^9),0)</f>
        <v>-4.0349526856123292</v>
      </c>
      <c r="AC790" s="105">
        <f>IF($Z$658&gt;0,IPMT('Assumptions (Wind)'!$V$8,Model!Z1,'Assumptions (Wind)'!$V$11,'Assumptions (Wind)'!$V$6*Model!$Z$658*AVERAGE('Assumptions (Wind)'!$W$2:$X$2)/10^9),0)</f>
        <v>-3.6556075748751553</v>
      </c>
      <c r="AD790" s="105">
        <f>IF($Z$658&gt;0,IPMT('Assumptions (Wind)'!$V$8,Model!AA1,'Assumptions (Wind)'!$V$11,'Assumptions (Wind)'!$V$6*Model!$Z$658*AVERAGE('Assumptions (Wind)'!$W$2:$X$2)/10^9),0)</f>
        <v>-3.2459148552790089</v>
      </c>
      <c r="AE790" s="105">
        <f>IF($Z$658&gt;0,IPMT('Assumptions (Wind)'!$V$8,Model!AB1,'Assumptions (Wind)'!$V$11,'Assumptions (Wind)'!$V$6*Model!$Z$658*AVERAGE('Assumptions (Wind)'!$W$2:$X$2)/10^9),0)</f>
        <v>-2.8034467181151705</v>
      </c>
      <c r="AF790" s="105">
        <f>IF($Z$658&gt;0,IPMT('Assumptions (Wind)'!$V$8,Model!AC1,'Assumptions (Wind)'!$V$11,'Assumptions (Wind)'!$V$6*Model!$Z$658*AVERAGE('Assumptions (Wind)'!$W$2:$X$2)/10^9),0)</f>
        <v>-2.3255811299782243</v>
      </c>
      <c r="AG790" s="105">
        <f>IF($Z$658&gt;0,IPMT('Assumptions (Wind)'!$V$8,Model!AD1,'Assumptions (Wind)'!$V$11,'Assumptions (Wind)'!$V$6*Model!$Z$658*AVERAGE('Assumptions (Wind)'!$W$2:$X$2)/10^9),0)</f>
        <v>-1.8094862947903232</v>
      </c>
      <c r="AH790" s="105">
        <f>IF($Z$658&gt;0,IPMT('Assumptions (Wind)'!$V$8,Model!AE1,'Assumptions (Wind)'!$V$11,'Assumptions (Wind)'!$V$6*Model!$Z$658*AVERAGE('Assumptions (Wind)'!$W$2:$X$2)/10^9),0)</f>
        <v>-1.2521038727873897</v>
      </c>
      <c r="AI790" s="105">
        <f>IF($Z$658&gt;0,IPMT('Assumptions (Wind)'!$V$8,Model!AF1,'Assumptions (Wind)'!$V$11,'Assumptions (Wind)'!$V$6*Model!$Z$658*AVERAGE('Assumptions (Wind)'!$W$2:$X$2)/10^9),0)</f>
        <v>-0.65013085702422158</v>
      </c>
      <c r="AJ790" s="105" t="e">
        <f>IF($Z$658&gt;0,IPMT('Assumptions (Wind)'!$V$8,Model!AG1,'Assumptions (Wind)'!$V$11,'Assumptions (Wind)'!$V$6*Model!$Z$658*AVERAGE('Assumptions (Wind)'!$W$2:$X$2)/10^9),0)</f>
        <v>#NUM!</v>
      </c>
      <c r="AK790" s="105" t="e">
        <f>IF($Z$658&gt;0,IPMT('Assumptions (Wind)'!$V$8,Model!AH1,'Assumptions (Wind)'!$V$11,'Assumptions (Wind)'!$V$6*Model!$Z$658*AVERAGE('Assumptions (Wind)'!$W$2:$X$2)/10^9),0)</f>
        <v>#NUM!</v>
      </c>
      <c r="AL790" s="105" t="e">
        <f>IF($Z$658&gt;0,IPMT('Assumptions (Wind)'!$V$8,Model!AI1,'Assumptions (Wind)'!$V$11,'Assumptions (Wind)'!$V$6*Model!$Z$658*AVERAGE('Assumptions (Wind)'!$W$2:$X$2)/10^9),0)</f>
        <v>#NUM!</v>
      </c>
      <c r="AM790" s="105" t="e">
        <f>IF($Z$658&gt;0,IPMT('Assumptions (Wind)'!$V$8,Model!AJ1,'Assumptions (Wind)'!$V$11,'Assumptions (Wind)'!$V$6*Model!$Z$658*AVERAGE('Assumptions (Wind)'!$W$2:$X$2)/10^9),0)</f>
        <v>#NUM!</v>
      </c>
      <c r="AN790" s="105" t="e">
        <f>IF($Z$658&gt;0,IPMT('Assumptions (Wind)'!$V$8,Model!AK1,'Assumptions (Wind)'!$V$11,'Assumptions (Wind)'!$V$6*Model!$Z$658*AVERAGE('Assumptions (Wind)'!$W$2:$X$2)/10^9),0)</f>
        <v>#NUM!</v>
      </c>
      <c r="AO790" s="105"/>
      <c r="AP790" s="105"/>
      <c r="AQ790" s="105"/>
      <c r="AR790" s="105"/>
      <c r="AS790" s="105"/>
      <c r="AT790" s="105"/>
      <c r="AU790" s="105"/>
      <c r="AV790" s="105"/>
      <c r="AW790" s="105"/>
      <c r="AX790" s="105"/>
      <c r="AY790" s="105"/>
      <c r="AZ790" s="105"/>
      <c r="BA790" s="105"/>
    </row>
    <row r="791" spans="1:60" ht="15.75" hidden="1" customHeight="1" outlineLevel="1">
      <c r="A791" s="395"/>
      <c r="B791" s="99"/>
      <c r="C791" s="99"/>
      <c r="D791" s="99"/>
      <c r="E791" s="99"/>
      <c r="F791" s="99"/>
      <c r="G791" s="99"/>
      <c r="H791" s="99"/>
      <c r="I791" s="99"/>
      <c r="J791" s="99"/>
      <c r="K791" s="99"/>
      <c r="L791" s="99"/>
      <c r="M791" s="99"/>
      <c r="N791" s="99"/>
      <c r="O791" s="99"/>
      <c r="P791" s="99"/>
      <c r="Q791" s="99"/>
      <c r="R791" s="99"/>
      <c r="S791" s="99"/>
      <c r="T791" s="99"/>
      <c r="U791" s="99"/>
      <c r="V791" s="99"/>
      <c r="W791" s="105"/>
      <c r="X791" s="105"/>
      <c r="Y791" s="105"/>
      <c r="Z791" s="105"/>
      <c r="AA791" s="105">
        <f>IF($AA$658&gt;0,IPMT('Assumptions (Wind)'!$V$8,Model!W1,'Assumptions (Wind)'!$V$11,'Assumptions (Wind)'!$V$6*Model!$AA$658*AVERAGE('Assumptions (Wind)'!$X$2:$Y$2)/10^9),0)</f>
        <v>-4.7997701542237952</v>
      </c>
      <c r="AB791" s="105">
        <f>IF($AA$658&gt;0,IPMT('Assumptions (Wind)'!$V$8,Model!X1,'Assumptions (Wind)'!$V$11,'Assumptions (Wind)'!$V$6*Model!$AA$658*AVERAGE('Assumptions (Wind)'!$X$2:$Y$2)/10^9),0)</f>
        <v>-4.4684444746142438</v>
      </c>
      <c r="AC791" s="105">
        <f>IF($AA$658&gt;0,IPMT('Assumptions (Wind)'!$V$8,Model!Y1,'Assumptions (Wind)'!$V$11,'Assumptions (Wind)'!$V$6*Model!$AA$658*AVERAGE('Assumptions (Wind)'!$X$2:$Y$2)/10^9),0)</f>
        <v>-4.1106127406359283</v>
      </c>
      <c r="AD791" s="105">
        <f>IF($AA$658&gt;0,IPMT('Assumptions (Wind)'!$V$8,Model!Z1,'Assumptions (Wind)'!$V$11,'Assumptions (Wind)'!$V$6*Model!$AA$658*AVERAGE('Assumptions (Wind)'!$X$2:$Y$2)/10^9),0)</f>
        <v>-3.7241544679393468</v>
      </c>
      <c r="AE791" s="105">
        <f>IF($AA$658&gt;0,IPMT('Assumptions (Wind)'!$V$8,Model!AA1,'Assumptions (Wind)'!$V$11,'Assumptions (Wind)'!$V$6*Model!$AA$658*AVERAGE('Assumptions (Wind)'!$X$2:$Y$2)/10^9),0)</f>
        <v>-3.30677953342704</v>
      </c>
      <c r="AF791" s="105">
        <f>IF($AA$658&gt;0,IPMT('Assumptions (Wind)'!$V$8,Model!AB1,'Assumptions (Wind)'!$V$11,'Assumptions (Wind)'!$V$6*Model!$AA$658*AVERAGE('Assumptions (Wind)'!$X$2:$Y$2)/10^9),0)</f>
        <v>-2.856014604153748</v>
      </c>
      <c r="AG791" s="105">
        <f>IF($AA$658&gt;0,IPMT('Assumptions (Wind)'!$V$8,Model!AC1,'Assumptions (Wind)'!$V$11,'Assumptions (Wind)'!$V$6*Model!$AA$658*AVERAGE('Assumptions (Wind)'!$X$2:$Y$2)/10^9),0)</f>
        <v>-2.3691884805385928</v>
      </c>
      <c r="AH791" s="105">
        <f>IF($AA$658&gt;0,IPMT('Assumptions (Wind)'!$V$8,Model!AD1,'Assumptions (Wind)'!$V$11,'Assumptions (Wind)'!$V$6*Model!$AA$658*AVERAGE('Assumptions (Wind)'!$X$2:$Y$2)/10^9),0)</f>
        <v>-1.8434162670342253</v>
      </c>
      <c r="AI791" s="105">
        <f>IF($AA$658&gt;0,IPMT('Assumptions (Wind)'!$V$8,Model!AE1,'Assumptions (Wind)'!$V$11,'Assumptions (Wind)'!$V$6*Model!$AA$658*AVERAGE('Assumptions (Wind)'!$X$2:$Y$2)/10^9),0)</f>
        <v>-1.2755822764495082</v>
      </c>
      <c r="AJ791" s="105">
        <f>IF($AA$658&gt;0,IPMT('Assumptions (Wind)'!$V$8,Model!AF1,'Assumptions (Wind)'!$V$11,'Assumptions (Wind)'!$V$6*Model!$AA$658*AVERAGE('Assumptions (Wind)'!$X$2:$Y$2)/10^9),0)</f>
        <v>-0.66232156661801389</v>
      </c>
      <c r="AK791" s="105" t="e">
        <f>IF($AA$658&gt;0,IPMT('Assumptions (Wind)'!$V$8,Model!AG1,'Assumptions (Wind)'!$V$11,'Assumptions (Wind)'!$V$6*Model!$AA$658*AVERAGE('Assumptions (Wind)'!$X$2:$Y$2)/10^9),0)</f>
        <v>#NUM!</v>
      </c>
      <c r="AL791" s="105" t="e">
        <f>IF($AA$658&gt;0,IPMT('Assumptions (Wind)'!$V$8,Model!AH1,'Assumptions (Wind)'!$V$11,'Assumptions (Wind)'!$V$6*Model!$AA$658*AVERAGE('Assumptions (Wind)'!$X$2:$Y$2)/10^9),0)</f>
        <v>#NUM!</v>
      </c>
      <c r="AM791" s="105" t="e">
        <f>IF($AA$658&gt;0,IPMT('Assumptions (Wind)'!$V$8,Model!AI1,'Assumptions (Wind)'!$V$11,'Assumptions (Wind)'!$V$6*Model!$AA$658*AVERAGE('Assumptions (Wind)'!$X$2:$Y$2)/10^9),0)</f>
        <v>#NUM!</v>
      </c>
      <c r="AN791" s="105" t="e">
        <f>IF($AA$658&gt;0,IPMT('Assumptions (Wind)'!$V$8,Model!AJ1,'Assumptions (Wind)'!$V$11,'Assumptions (Wind)'!$V$6*Model!$AA$658*AVERAGE('Assumptions (Wind)'!$X$2:$Y$2)/10^9),0)</f>
        <v>#NUM!</v>
      </c>
      <c r="AO791" s="105" t="e">
        <f>IF($AA$658&gt;0,IPMT('Assumptions (Wind)'!$V$8,Model!AK1,'Assumptions (Wind)'!$V$11,'Assumptions (Wind)'!$V$6*Model!$AA$658*AVERAGE('Assumptions (Wind)'!$X$2:$Y$2)/10^9),0)</f>
        <v>#NUM!</v>
      </c>
      <c r="AP791" s="105"/>
      <c r="AQ791" s="105"/>
      <c r="AR791" s="105"/>
      <c r="AS791" s="105"/>
      <c r="AT791" s="105"/>
      <c r="AU791" s="105"/>
      <c r="AV791" s="105"/>
      <c r="AW791" s="105"/>
      <c r="AX791" s="105"/>
      <c r="AY791" s="105"/>
      <c r="AZ791" s="105"/>
      <c r="BA791" s="105"/>
    </row>
    <row r="792" spans="1:60" ht="15.75" hidden="1" customHeight="1" outlineLevel="1">
      <c r="A792" s="395"/>
      <c r="B792" s="99"/>
      <c r="C792" s="99"/>
      <c r="D792" s="99"/>
      <c r="E792" s="99"/>
      <c r="F792" s="99"/>
      <c r="G792" s="99"/>
      <c r="H792" s="99"/>
      <c r="I792" s="99"/>
      <c r="J792" s="99"/>
      <c r="K792" s="99"/>
      <c r="L792" s="99"/>
      <c r="M792" s="99"/>
      <c r="N792" s="99"/>
      <c r="O792" s="99"/>
      <c r="P792" s="99"/>
      <c r="Q792" s="99"/>
      <c r="R792" s="99"/>
      <c r="S792" s="99"/>
      <c r="T792" s="99"/>
      <c r="U792" s="99"/>
      <c r="V792" s="99"/>
      <c r="W792" s="105"/>
      <c r="X792" s="105"/>
      <c r="Y792" s="105"/>
      <c r="Z792" s="105"/>
      <c r="AA792" s="105"/>
      <c r="AB792" s="105">
        <f>IF($AB$658&gt;0,IPMT('Assumptions (Wind)'!$V$8,Model!W1,'Assumptions (Wind)'!$V$11,'Assumptions (Wind)'!$V$6*Model!$AB$658*AVERAGE('Assumptions (Wind)'!$Y$2:$Z$2)/10^9),0)</f>
        <v>-4.8955694862599399</v>
      </c>
      <c r="AC792" s="105">
        <f>IF($AB$658&gt;0,IPMT('Assumptions (Wind)'!$V$8,Model!X1,'Assumptions (Wind)'!$V$11,'Assumptions (Wind)'!$V$6*Model!$AB$658*AVERAGE('Assumptions (Wind)'!$Y$2:$Z$2)/10^9),0)</f>
        <v>-4.5576308277424129</v>
      </c>
      <c r="AD792" s="105">
        <f>IF($AB$658&gt;0,IPMT('Assumptions (Wind)'!$V$8,Model!Y1,'Assumptions (Wind)'!$V$11,'Assumptions (Wind)'!$V$6*Model!$AB$658*AVERAGE('Assumptions (Wind)'!$Y$2:$Z$2)/10^9),0)</f>
        <v>-4.1926570765434814</v>
      </c>
      <c r="AE792" s="105">
        <f>IF($AB$658&gt;0,IPMT('Assumptions (Wind)'!$V$8,Model!Z1,'Assumptions (Wind)'!$V$11,'Assumptions (Wind)'!$V$6*Model!$AB$658*AVERAGE('Assumptions (Wind)'!$Y$2:$Z$2)/10^9),0)</f>
        <v>-3.7984854252486366</v>
      </c>
      <c r="AF792" s="105">
        <f>IF($AB$658&gt;0,IPMT('Assumptions (Wind)'!$V$8,Model!AA1,'Assumptions (Wind)'!$V$11,'Assumptions (Wind)'!$V$6*Model!$AB$658*AVERAGE('Assumptions (Wind)'!$Y$2:$Z$2)/10^9),0)</f>
        <v>-3.3727800418502052</v>
      </c>
      <c r="AG792" s="105">
        <f>IF($AB$658&gt;0,IPMT('Assumptions (Wind)'!$V$8,Model!AB1,'Assumptions (Wind)'!$V$11,'Assumptions (Wind)'!$V$6*Model!$AB$658*AVERAGE('Assumptions (Wind)'!$Y$2:$Z$2)/10^9),0)</f>
        <v>-2.9130182277798986</v>
      </c>
      <c r="AH792" s="105">
        <f>IF($AB$658&gt;0,IPMT('Assumptions (Wind)'!$V$8,Model!AC1,'Assumptions (Wind)'!$V$11,'Assumptions (Wind)'!$V$6*Model!$AB$658*AVERAGE('Assumptions (Wind)'!$Y$2:$Z$2)/10^9),0)</f>
        <v>-2.4164754685839673</v>
      </c>
      <c r="AI792" s="105">
        <f>IF($AB$658&gt;0,IPMT('Assumptions (Wind)'!$V$8,Model!AD1,'Assumptions (Wind)'!$V$11,'Assumptions (Wind)'!$V$6*Model!$AB$658*AVERAGE('Assumptions (Wind)'!$Y$2:$Z$2)/10^9),0)</f>
        <v>-1.8802092886523616</v>
      </c>
      <c r="AJ792" s="105">
        <f>IF($AB$658&gt;0,IPMT('Assumptions (Wind)'!$V$8,Model!AE1,'Assumptions (Wind)'!$V$11,'Assumptions (Wind)'!$V$6*Model!$AB$658*AVERAGE('Assumptions (Wind)'!$Y$2:$Z$2)/10^9),0)</f>
        <v>-1.3010418143262277</v>
      </c>
      <c r="AK792" s="105">
        <f>IF($AB$658&gt;0,IPMT('Assumptions (Wind)'!$V$8,Model!AF1,'Assumptions (Wind)'!$V$11,'Assumptions (Wind)'!$V$6*Model!$AB$658*AVERAGE('Assumptions (Wind)'!$Y$2:$Z$2)/10^9),0)</f>
        <v>-0.67554094205400272</v>
      </c>
      <c r="AL792" s="105" t="e">
        <f>IF($AB$658&gt;0,IPMT('Assumptions (Wind)'!$V$8,Model!AG1,'Assumptions (Wind)'!$V$11,'Assumptions (Wind)'!$V$6*Model!$AB$658*AVERAGE('Assumptions (Wind)'!$Y$2:$Z$2)/10^9),0)</f>
        <v>#NUM!</v>
      </c>
      <c r="AM792" s="105" t="e">
        <f>IF($AB$658&gt;0,IPMT('Assumptions (Wind)'!$V$8,Model!AH1,'Assumptions (Wind)'!$V$11,'Assumptions (Wind)'!$V$6*Model!$AB$658*AVERAGE('Assumptions (Wind)'!$Y$2:$Z$2)/10^9),0)</f>
        <v>#NUM!</v>
      </c>
      <c r="AN792" s="105" t="e">
        <f>IF($AB$658&gt;0,IPMT('Assumptions (Wind)'!$V$8,Model!AI1,'Assumptions (Wind)'!$V$11,'Assumptions (Wind)'!$V$6*Model!$AB$658*AVERAGE('Assumptions (Wind)'!$Y$2:$Z$2)/10^9),0)</f>
        <v>#NUM!</v>
      </c>
      <c r="AO792" s="105" t="e">
        <f>IF($AB$658&gt;0,IPMT('Assumptions (Wind)'!$V$8,Model!AJ1,'Assumptions (Wind)'!$V$11,'Assumptions (Wind)'!$V$6*Model!$AB$658*AVERAGE('Assumptions (Wind)'!$Y$2:$Z$2)/10^9),0)</f>
        <v>#NUM!</v>
      </c>
      <c r="AP792" s="105" t="e">
        <f>IF($AB$658&gt;0,IPMT('Assumptions (Wind)'!$V$8,Model!AK1,'Assumptions (Wind)'!$V$11,'Assumptions (Wind)'!$V$6*Model!$AB$658*AVERAGE('Assumptions (Wind)'!$Y$2:$Z$2)/10^9),0)</f>
        <v>#NUM!</v>
      </c>
      <c r="AQ792" s="105"/>
      <c r="AR792" s="105"/>
      <c r="AS792" s="105"/>
      <c r="AT792" s="105"/>
      <c r="AU792" s="105"/>
      <c r="AV792" s="105"/>
      <c r="AW792" s="105"/>
      <c r="AX792" s="105"/>
      <c r="AY792" s="105"/>
      <c r="AZ792" s="105"/>
      <c r="BA792" s="105"/>
    </row>
    <row r="793" spans="1:60" ht="15.75" hidden="1" customHeight="1" outlineLevel="1">
      <c r="A793" s="395"/>
      <c r="B793" s="99"/>
      <c r="C793" s="99"/>
      <c r="D793" s="99"/>
      <c r="E793" s="99"/>
      <c r="F793" s="99"/>
      <c r="G793" s="99"/>
      <c r="H793" s="99"/>
      <c r="I793" s="99"/>
      <c r="J793" s="99"/>
      <c r="K793" s="99"/>
      <c r="L793" s="99"/>
      <c r="M793" s="99"/>
      <c r="N793" s="99"/>
      <c r="O793" s="99"/>
      <c r="P793" s="99"/>
      <c r="Q793" s="99"/>
      <c r="R793" s="99"/>
      <c r="S793" s="99"/>
      <c r="T793" s="99"/>
      <c r="U793" s="99"/>
      <c r="V793" s="99"/>
      <c r="W793" s="105"/>
      <c r="X793" s="105"/>
      <c r="Y793" s="105"/>
      <c r="Z793" s="105"/>
      <c r="AA793" s="105"/>
      <c r="AB793" s="105"/>
      <c r="AC793" s="105">
        <f>IF($AC$658&gt;0,IPMT('Assumptions (Wind)'!$V$8,Model!W1,'Assumptions (Wind)'!$V$11,'Assumptions (Wind)'!$V$6*Model!$AC$658*AVERAGE('Assumptions (Wind)'!$Z$2:$AA$2)/10^9),0)</f>
        <v>-4.99902849317695</v>
      </c>
      <c r="AD793" s="105">
        <f>IF($AC$658&gt;0,IPMT('Assumptions (Wind)'!$V$8,Model!X1,'Assumptions (Wind)'!$V$11,'Assumptions (Wind)'!$V$6*Model!$AC$658*AVERAGE('Assumptions (Wind)'!$Z$2:$AA$2)/10^9),0)</f>
        <v>-4.6539481123108342</v>
      </c>
      <c r="AE793" s="105">
        <f>IF($AC$658&gt;0,IPMT('Assumptions (Wind)'!$V$8,Model!Y1,'Assumptions (Wind)'!$V$11,'Assumptions (Wind)'!$V$6*Model!$AC$658*AVERAGE('Assumptions (Wind)'!$Z$2:$AA$2)/10^9),0)</f>
        <v>-4.2812613009754283</v>
      </c>
      <c r="AF793" s="105">
        <f>IF($AC$658&gt;0,IPMT('Assumptions (Wind)'!$V$8,Model!Z1,'Assumptions (Wind)'!$V$11,'Assumptions (Wind)'!$V$6*Model!$AC$658*AVERAGE('Assumptions (Wind)'!$Z$2:$AA$2)/10^9),0)</f>
        <v>-3.8787595447331893</v>
      </c>
      <c r="AG793" s="105">
        <f>IF($AC$658&gt;0,IPMT('Assumptions (Wind)'!$V$8,Model!AA1,'Assumptions (Wind)'!$V$11,'Assumptions (Wind)'!$V$6*Model!$AC$658*AVERAGE('Assumptions (Wind)'!$Z$2:$AA$2)/10^9),0)</f>
        <v>-3.4440576479915728</v>
      </c>
      <c r="AH793" s="105">
        <f>IF($AC$658&gt;0,IPMT('Assumptions (Wind)'!$V$8,Model!AB1,'Assumptions (Wind)'!$V$11,'Assumptions (Wind)'!$V$6*Model!$AC$658*AVERAGE('Assumptions (Wind)'!$Z$2:$AA$2)/10^9),0)</f>
        <v>-2.9745795995106268</v>
      </c>
      <c r="AI793" s="105">
        <f>IF($AC$658&gt;0,IPMT('Assumptions (Wind)'!$V$8,Model!AC1,'Assumptions (Wind)'!$V$11,'Assumptions (Wind)'!$V$6*Model!$AC$658*AVERAGE('Assumptions (Wind)'!$Z$2:$AA$2)/10^9),0)</f>
        <v>-2.4675433071512041</v>
      </c>
      <c r="AJ793" s="105">
        <f>IF($AC$658&gt;0,IPMT('Assumptions (Wind)'!$V$8,Model!AD1,'Assumptions (Wind)'!$V$11,'Assumptions (Wind)'!$V$6*Model!$AC$658*AVERAGE('Assumptions (Wind)'!$Z$2:$AA$2)/10^9),0)</f>
        <v>-1.9199441114030285</v>
      </c>
      <c r="AK793" s="105">
        <f>IF($AC$658&gt;0,IPMT('Assumptions (Wind)'!$V$8,Model!AE1,'Assumptions (Wind)'!$V$11,'Assumptions (Wind)'!$V$6*Model!$AC$658*AVERAGE('Assumptions (Wind)'!$Z$2:$AA$2)/10^9),0)</f>
        <v>-1.3285369799949984</v>
      </c>
      <c r="AL793" s="105">
        <f>IF($AC$658&gt;0,IPMT('Assumptions (Wind)'!$V$8,Model!AF1,'Assumptions (Wind)'!$V$11,'Assumptions (Wind)'!$V$6*Model!$AC$658*AVERAGE('Assumptions (Wind)'!$Z$2:$AA$2)/10^9),0)</f>
        <v>-0.68981727807432602</v>
      </c>
      <c r="AM793" s="105" t="e">
        <f>IF($AC$658&gt;0,IPMT('Assumptions (Wind)'!$V$8,Model!AG1,'Assumptions (Wind)'!$V$11,'Assumptions (Wind)'!$V$6*Model!$AC$658*AVERAGE('Assumptions (Wind)'!$Z$2:$AA$2)/10^9),0)</f>
        <v>#NUM!</v>
      </c>
      <c r="AN793" s="105" t="e">
        <f>IF($AC$658&gt;0,IPMT('Assumptions (Wind)'!$V$8,Model!AH1,'Assumptions (Wind)'!$V$11,'Assumptions (Wind)'!$V$6*Model!$AC$658*AVERAGE('Assumptions (Wind)'!$Z$2:$AA$2)/10^9),0)</f>
        <v>#NUM!</v>
      </c>
      <c r="AO793" s="105" t="e">
        <f>IF($AC$658&gt;0,IPMT('Assumptions (Wind)'!$V$8,Model!AI1,'Assumptions (Wind)'!$V$11,'Assumptions (Wind)'!$V$6*Model!$AC$658*AVERAGE('Assumptions (Wind)'!$Z$2:$AA$2)/10^9),0)</f>
        <v>#NUM!</v>
      </c>
      <c r="AP793" s="105" t="e">
        <f>IF($AC$658&gt;0,IPMT('Assumptions (Wind)'!$V$8,Model!AJ1,'Assumptions (Wind)'!$V$11,'Assumptions (Wind)'!$V$6*Model!$AC$658*AVERAGE('Assumptions (Wind)'!$Z$2:$AA$2)/10^9),0)</f>
        <v>#NUM!</v>
      </c>
      <c r="AQ793" s="105" t="e">
        <f>IF($AC$658&gt;0,IPMT('Assumptions (Wind)'!$V$8,Model!AK1,'Assumptions (Wind)'!$V$11,'Assumptions (Wind)'!$V$6*Model!$AC$658*AVERAGE('Assumptions (Wind)'!$Z$2:$AA$2)/10^9),0)</f>
        <v>#NUM!</v>
      </c>
      <c r="AR793" s="105"/>
      <c r="AS793" s="105"/>
      <c r="AT793" s="105"/>
      <c r="AU793" s="105"/>
      <c r="AV793" s="105"/>
      <c r="AW793" s="105"/>
      <c r="AX793" s="105"/>
      <c r="AY793" s="105"/>
      <c r="AZ793" s="105"/>
      <c r="BA793" s="105"/>
    </row>
    <row r="794" spans="1:60" ht="15.75" hidden="1" customHeight="1" outlineLevel="1">
      <c r="A794" s="395"/>
      <c r="B794" s="99"/>
      <c r="C794" s="99"/>
      <c r="D794" s="99"/>
      <c r="E794" s="99"/>
      <c r="F794" s="99"/>
      <c r="G794" s="99"/>
      <c r="H794" s="99"/>
      <c r="I794" s="99"/>
      <c r="J794" s="99"/>
      <c r="K794" s="99"/>
      <c r="L794" s="99"/>
      <c r="M794" s="99"/>
      <c r="N794" s="99"/>
      <c r="O794" s="99"/>
      <c r="P794" s="99"/>
      <c r="Q794" s="99"/>
      <c r="R794" s="99"/>
      <c r="S794" s="99"/>
      <c r="T794" s="99"/>
      <c r="U794" s="99"/>
      <c r="V794" s="99"/>
      <c r="W794" s="105"/>
      <c r="X794" s="105"/>
      <c r="Y794" s="105"/>
      <c r="Z794" s="105"/>
      <c r="AA794" s="105"/>
      <c r="AB794" s="105"/>
      <c r="AC794" s="105"/>
      <c r="AD794" s="105">
        <f>IF($AD$658&gt;0,IPMT('Assumptions (Wind)'!$V$8,Model!W1,'Assumptions (Wind)'!$V$11,'Assumptions (Wind)'!$V$6*Model!$AD$658*AVERAGE('Assumptions (Wind)'!$AA$2:$AB$2)/10^9),0)</f>
        <v>-5.092977985792464</v>
      </c>
      <c r="AE794" s="105">
        <f>IF($AD$658&gt;0,IPMT('Assumptions (Wind)'!$V$8,Model!X1,'Assumptions (Wind)'!$V$11,'Assumptions (Wind)'!$V$6*Model!$AD$658*AVERAGE('Assumptions (Wind)'!$AA$2:$AB$2)/10^9),0)</f>
        <v>-4.7414123194877487</v>
      </c>
      <c r="AF794" s="105">
        <f>IF($AD$658&gt;0,IPMT('Assumptions (Wind)'!$V$8,Model!Y1,'Assumptions (Wind)'!$V$11,'Assumptions (Wind)'!$V$6*Model!$AD$658*AVERAGE('Assumptions (Wind)'!$AA$2:$AB$2)/10^9),0)</f>
        <v>-4.3617213998786566</v>
      </c>
      <c r="AG794" s="105">
        <f>IF($AD$658&gt;0,IPMT('Assumptions (Wind)'!$V$8,Model!Z1,'Assumptions (Wind)'!$V$11,'Assumptions (Wind)'!$V$6*Model!$AD$658*AVERAGE('Assumptions (Wind)'!$AA$2:$AB$2)/10^9),0)</f>
        <v>-3.9516552067008366</v>
      </c>
      <c r="AH794" s="105">
        <f>IF($AD$658&gt;0,IPMT('Assumptions (Wind)'!$V$8,Model!AA1,'Assumptions (Wind)'!$V$11,'Assumptions (Wind)'!$V$6*Model!$AD$658*AVERAGE('Assumptions (Wind)'!$AA$2:$AB$2)/10^9),0)</f>
        <v>-3.5087837180687922</v>
      </c>
      <c r="AI794" s="105">
        <f>IF($AD$658&gt;0,IPMT('Assumptions (Wind)'!$V$8,Model!AB1,'Assumptions (Wind)'!$V$11,'Assumptions (Wind)'!$V$6*Model!$AD$658*AVERAGE('Assumptions (Wind)'!$AA$2:$AB$2)/10^9),0)</f>
        <v>-3.0304825103461837</v>
      </c>
      <c r="AJ794" s="105">
        <f>IF($AD$658&gt;0,IPMT('Assumptions (Wind)'!$V$8,Model!AC1,'Assumptions (Wind)'!$V$11,'Assumptions (Wind)'!$V$6*Model!$AD$658*AVERAGE('Assumptions (Wind)'!$AA$2:$AB$2)/10^9),0)</f>
        <v>-2.513917206005766</v>
      </c>
      <c r="AK794" s="105">
        <f>IF($AD$658&gt;0,IPMT('Assumptions (Wind)'!$V$8,Model!AD1,'Assumptions (Wind)'!$V$11,'Assumptions (Wind)'!$V$6*Model!$AD$658*AVERAGE('Assumptions (Wind)'!$AA$2:$AB$2)/10^9),0)</f>
        <v>-1.9560266773181159</v>
      </c>
      <c r="AL794" s="105">
        <f>IF($AD$658&gt;0,IPMT('Assumptions (Wind)'!$V$8,Model!AE1,'Assumptions (Wind)'!$V$11,'Assumptions (Wind)'!$V$6*Model!$AD$658*AVERAGE('Assumptions (Wind)'!$AA$2:$AB$2)/10^9),0)</f>
        <v>-1.3535049063354532</v>
      </c>
      <c r="AM794" s="105">
        <f>IF($AD$658&gt;0,IPMT('Assumptions (Wind)'!$V$8,Model!AF1,'Assumptions (Wind)'!$V$11,'Assumptions (Wind)'!$V$6*Model!$AD$658*AVERAGE('Assumptions (Wind)'!$AA$2:$AB$2)/10^9),0)</f>
        <v>-0.70278139367417769</v>
      </c>
      <c r="AN794" s="105" t="e">
        <f>IF($AD$658&gt;0,IPMT('Assumptions (Wind)'!$V$8,Model!AG1,'Assumptions (Wind)'!$V$11,'Assumptions (Wind)'!$V$6*Model!$AD$658*AVERAGE('Assumptions (Wind)'!$AA$2:$AB$2)/10^9),0)</f>
        <v>#NUM!</v>
      </c>
      <c r="AO794" s="105" t="e">
        <f>IF($AD$658&gt;0,IPMT('Assumptions (Wind)'!$V$8,Model!AH1,'Assumptions (Wind)'!$V$11,'Assumptions (Wind)'!$V$6*Model!$AD$658*AVERAGE('Assumptions (Wind)'!$AA$2:$AB$2)/10^9),0)</f>
        <v>#NUM!</v>
      </c>
      <c r="AP794" s="105" t="e">
        <f>IF($AD$658&gt;0,IPMT('Assumptions (Wind)'!$V$8,Model!AI1,'Assumptions (Wind)'!$V$11,'Assumptions (Wind)'!$V$6*Model!$AD$658*AVERAGE('Assumptions (Wind)'!$AA$2:$AB$2)/10^9),0)</f>
        <v>#NUM!</v>
      </c>
      <c r="AQ794" s="105" t="e">
        <f>IF($AD$658&gt;0,IPMT('Assumptions (Wind)'!$V$8,Model!AJ1,'Assumptions (Wind)'!$V$11,'Assumptions (Wind)'!$V$6*Model!$AD$658*AVERAGE('Assumptions (Wind)'!$AA$2:$AB$2)/10^9),0)</f>
        <v>#NUM!</v>
      </c>
      <c r="AR794" s="105" t="e">
        <f>IF($AD$658&gt;0,IPMT('Assumptions (Wind)'!$V$8,Model!AK1,'Assumptions (Wind)'!$V$11,'Assumptions (Wind)'!$V$6*Model!$AD$658*AVERAGE('Assumptions (Wind)'!$AA$2:$AB$2)/10^9),0)</f>
        <v>#NUM!</v>
      </c>
      <c r="AS794" s="105"/>
      <c r="AT794" s="105"/>
      <c r="AU794" s="105"/>
      <c r="AV794" s="105"/>
      <c r="AW794" s="105"/>
      <c r="AX794" s="105"/>
      <c r="AY794" s="105"/>
      <c r="AZ794" s="105"/>
      <c r="BA794" s="105"/>
      <c r="BB794" s="105"/>
    </row>
    <row r="795" spans="1:60" ht="15.75" hidden="1" customHeight="1" outlineLevel="1">
      <c r="A795" s="395"/>
      <c r="B795" s="99"/>
      <c r="C795" s="99"/>
      <c r="D795" s="99"/>
      <c r="E795" s="99"/>
      <c r="F795" s="99"/>
      <c r="G795" s="99"/>
      <c r="H795" s="99"/>
      <c r="I795" s="99"/>
      <c r="J795" s="99"/>
      <c r="K795" s="99"/>
      <c r="L795" s="99"/>
      <c r="M795" s="99"/>
      <c r="N795" s="99"/>
      <c r="O795" s="99"/>
      <c r="P795" s="99"/>
      <c r="Q795" s="99"/>
      <c r="R795" s="99"/>
      <c r="S795" s="99"/>
      <c r="T795" s="99"/>
      <c r="U795" s="99"/>
      <c r="V795" s="99"/>
      <c r="W795" s="105"/>
      <c r="X795" s="105"/>
      <c r="Y795" s="105"/>
      <c r="Z795" s="105"/>
      <c r="AA795" s="105"/>
      <c r="AB795" s="105"/>
      <c r="AC795" s="105"/>
      <c r="AD795" s="105"/>
      <c r="AE795" s="105">
        <f>IF($AE$658&gt;0,IPMT('Assumptions (Wind)'!$V$8,Model!W1,'Assumptions (Wind)'!$V$11,'Assumptions (Wind)'!$V$6*Model!$AE$658*AVERAGE('Assumptions (Wind)'!$AB$2:$AC$2)/10^9),0)</f>
        <v>-5.1948375455083138</v>
      </c>
      <c r="AF795" s="105">
        <f>IF($AE$658&gt;0,IPMT('Assumptions (Wind)'!$V$8,Model!X1,'Assumptions (Wind)'!$V$11,'Assumptions (Wind)'!$V$6*Model!$AE$658*AVERAGE('Assumptions (Wind)'!$AB$2:$AC$2)/10^9),0)</f>
        <v>-4.8362405658775041</v>
      </c>
      <c r="AG795" s="105">
        <f>IF($AE$658&gt;0,IPMT('Assumptions (Wind)'!$V$8,Model!Y1,'Assumptions (Wind)'!$V$11,'Assumptions (Wind)'!$V$6*Model!$AE$658*AVERAGE('Assumptions (Wind)'!$AB$2:$AC$2)/10^9),0)</f>
        <v>-4.4489558278762296</v>
      </c>
      <c r="AH795" s="105">
        <f>IF($AE$658&gt;0,IPMT('Assumptions (Wind)'!$V$8,Model!Z1,'Assumptions (Wind)'!$V$11,'Assumptions (Wind)'!$V$6*Model!$AE$658*AVERAGE('Assumptions (Wind)'!$AB$2:$AC$2)/10^9),0)</f>
        <v>-4.0306883108348535</v>
      </c>
      <c r="AI795" s="105">
        <f>IF($AE$658&gt;0,IPMT('Assumptions (Wind)'!$V$8,Model!AA1,'Assumptions (Wind)'!$V$11,'Assumptions (Wind)'!$V$6*Model!$AE$658*AVERAGE('Assumptions (Wind)'!$AB$2:$AC$2)/10^9),0)</f>
        <v>-3.5789593924301681</v>
      </c>
      <c r="AJ795" s="105">
        <f>IF($AE$658&gt;0,IPMT('Assumptions (Wind)'!$V$8,Model!AB1,'Assumptions (Wind)'!$V$11,'Assumptions (Wind)'!$V$6*Model!$AE$658*AVERAGE('Assumptions (Wind)'!$AB$2:$AC$2)/10^9),0)</f>
        <v>-3.0910921605531074</v>
      </c>
      <c r="AK795" s="105">
        <f>IF($AE$658&gt;0,IPMT('Assumptions (Wind)'!$V$8,Model!AC1,'Assumptions (Wind)'!$V$11,'Assumptions (Wind)'!$V$6*Model!$AE$658*AVERAGE('Assumptions (Wind)'!$AB$2:$AC$2)/10^9),0)</f>
        <v>-2.5641955501258815</v>
      </c>
      <c r="AL795" s="105">
        <f>IF($AE$658&gt;0,IPMT('Assumptions (Wind)'!$V$8,Model!AD1,'Assumptions (Wind)'!$V$11,'Assumptions (Wind)'!$V$6*Model!$AE$658*AVERAGE('Assumptions (Wind)'!$AB$2:$AC$2)/10^9),0)</f>
        <v>-1.9951472108644783</v>
      </c>
      <c r="AM795" s="105">
        <f>IF($AE$658&gt;0,IPMT('Assumptions (Wind)'!$V$8,Model!AE1,'Assumptions (Wind)'!$V$11,'Assumptions (Wind)'!$V$6*Model!$AE$658*AVERAGE('Assumptions (Wind)'!$AB$2:$AC$2)/10^9),0)</f>
        <v>-1.3805750044621623</v>
      </c>
      <c r="AN795" s="105">
        <f>IF($AE$658&gt;0,IPMT('Assumptions (Wind)'!$V$8,Model!AF1,'Assumptions (Wind)'!$V$11,'Assumptions (Wind)'!$V$6*Model!$AE$658*AVERAGE('Assumptions (Wind)'!$AB$2:$AC$2)/10^9),0)</f>
        <v>-0.71683702154766127</v>
      </c>
      <c r="AO795" s="105" t="e">
        <f>IF($AE$658&gt;0,IPMT('Assumptions (Wind)'!$V$8,Model!AG1,'Assumptions (Wind)'!$V$11,'Assumptions (Wind)'!$V$6*Model!$AE$658*AVERAGE('Assumptions (Wind)'!$AB$2:$AC$2)/10^9),0)</f>
        <v>#NUM!</v>
      </c>
      <c r="AP795" s="105" t="e">
        <f>IF($AE$658&gt;0,IPMT('Assumptions (Wind)'!$V$8,Model!AH1,'Assumptions (Wind)'!$V$11,'Assumptions (Wind)'!$V$6*Model!$AE$658*AVERAGE('Assumptions (Wind)'!$AB$2:$AC$2)/10^9),0)</f>
        <v>#NUM!</v>
      </c>
      <c r="AQ795" s="105" t="e">
        <f>IF($AE$658&gt;0,IPMT('Assumptions (Wind)'!$V$8,Model!AI1,'Assumptions (Wind)'!$V$11,'Assumptions (Wind)'!$V$6*Model!$AE$658*AVERAGE('Assumptions (Wind)'!$AB$2:$AC$2)/10^9),0)</f>
        <v>#NUM!</v>
      </c>
      <c r="AR795" s="105" t="e">
        <f>IF($AE$658&gt;0,IPMT('Assumptions (Wind)'!$V$8,Model!AJ1,'Assumptions (Wind)'!$V$11,'Assumptions (Wind)'!$V$6*Model!$AE$658*AVERAGE('Assumptions (Wind)'!$AB$2:$AC$2)/10^9),0)</f>
        <v>#NUM!</v>
      </c>
      <c r="AS795" s="105" t="e">
        <f>IF($AE$658&gt;0,IPMT('Assumptions (Wind)'!$V$8,Model!AK1,'Assumptions (Wind)'!$V$11,'Assumptions (Wind)'!$V$6*Model!$AE$658*AVERAGE('Assumptions (Wind)'!$AB$2:$AC$2)/10^9),0)</f>
        <v>#NUM!</v>
      </c>
      <c r="AT795" s="105"/>
      <c r="AU795" s="105"/>
      <c r="AV795" s="105"/>
      <c r="AW795" s="105"/>
      <c r="AX795" s="105"/>
      <c r="AY795" s="105"/>
      <c r="AZ795" s="105"/>
      <c r="BA795" s="105"/>
      <c r="BB795" s="105"/>
      <c r="BC795" s="105"/>
    </row>
    <row r="796" spans="1:60" ht="15.75" hidden="1" customHeight="1" outlineLevel="1">
      <c r="A796" s="395"/>
      <c r="B796" s="99"/>
      <c r="C796" s="99"/>
      <c r="D796" s="99"/>
      <c r="E796" s="99"/>
      <c r="F796" s="99"/>
      <c r="G796" s="99"/>
      <c r="H796" s="99"/>
      <c r="I796" s="99"/>
      <c r="J796" s="99"/>
      <c r="K796" s="99"/>
      <c r="L796" s="99"/>
      <c r="M796" s="99"/>
      <c r="N796" s="99"/>
      <c r="O796" s="99"/>
      <c r="P796" s="99"/>
      <c r="Q796" s="99"/>
      <c r="R796" s="99"/>
      <c r="S796" s="99"/>
      <c r="T796" s="99"/>
      <c r="U796" s="99"/>
      <c r="V796" s="99"/>
      <c r="W796" s="105"/>
      <c r="X796" s="105"/>
      <c r="Y796" s="105"/>
      <c r="Z796" s="105"/>
      <c r="AA796" s="105"/>
      <c r="AB796" s="105"/>
      <c r="AC796" s="105"/>
      <c r="AD796" s="105"/>
      <c r="AE796" s="105"/>
      <c r="AF796" s="105">
        <f>IF($AF$658&gt;0,IPMT('Assumptions (Wind)'!$V$8,Model!W1,'Assumptions (Wind)'!$V$11,'Assumptions (Wind)'!$V$6*Model!$AF$658*AVERAGE('Assumptions (Wind)'!$AC$2:$AD$2)/10^9),0)</f>
        <v>-5.3004690754781079</v>
      </c>
      <c r="AG796" s="105">
        <f>IF($AF$658&gt;0,IPMT('Assumptions (Wind)'!$V$8,Model!X1,'Assumptions (Wind)'!$V$11,'Assumptions (Wind)'!$V$6*Model!$AF$658*AVERAGE('Assumptions (Wind)'!$AC$2:$AD$2)/10^9),0)</f>
        <v>-4.9345804053431941</v>
      </c>
      <c r="AH796" s="105">
        <f>IF($AF$658&gt;0,IPMT('Assumptions (Wind)'!$V$8,Model!Y1,'Assumptions (Wind)'!$V$11,'Assumptions (Wind)'!$V$6*Model!$AF$658*AVERAGE('Assumptions (Wind)'!$AC$2:$AD$2)/10^9),0)</f>
        <v>-4.539420641597486</v>
      </c>
      <c r="AI796" s="105">
        <f>IF($AF$658&gt;0,IPMT('Assumptions (Wind)'!$V$8,Model!Z1,'Assumptions (Wind)'!$V$11,'Assumptions (Wind)'!$V$6*Model!$AF$658*AVERAGE('Assumptions (Wind)'!$AC$2:$AD$2)/10^9),0)</f>
        <v>-4.1126480967521228</v>
      </c>
      <c r="AJ796" s="105">
        <f>IF($AF$658&gt;0,IPMT('Assumptions (Wind)'!$V$8,Model!AA1,'Assumptions (Wind)'!$V$11,'Assumptions (Wind)'!$V$6*Model!$AF$658*AVERAGE('Assumptions (Wind)'!$AC$2:$AD$2)/10^9),0)</f>
        <v>-3.6517337483191294</v>
      </c>
      <c r="AK796" s="105">
        <f>IF($AF$658&gt;0,IPMT('Assumptions (Wind)'!$V$8,Model!AB1,'Assumptions (Wind)'!$V$11,'Assumptions (Wind)'!$V$6*Model!$AF$658*AVERAGE('Assumptions (Wind)'!$AC$2:$AD$2)/10^9),0)</f>
        <v>-3.1539462520114983</v>
      </c>
      <c r="AL796" s="105">
        <f>IF($AF$658&gt;0,IPMT('Assumptions (Wind)'!$V$8,Model!AC1,'Assumptions (Wind)'!$V$11,'Assumptions (Wind)'!$V$6*Model!$AF$658*AVERAGE('Assumptions (Wind)'!$AC$2:$AD$2)/10^9),0)</f>
        <v>-2.6163357559992551</v>
      </c>
      <c r="AM796" s="105">
        <f>IF($AF$658&gt;0,IPMT('Assumptions (Wind)'!$V$8,Model!AD1,'Assumptions (Wind)'!$V$11,'Assumptions (Wind)'!$V$6*Model!$AF$658*AVERAGE('Assumptions (Wind)'!$AC$2:$AD$2)/10^9),0)</f>
        <v>-2.0357164203060334</v>
      </c>
      <c r="AN796" s="105">
        <f>IF($AF$658&gt;0,IPMT('Assumptions (Wind)'!$V$8,Model!AE1,'Assumptions (Wind)'!$V$11,'Assumptions (Wind)'!$V$6*Model!$AF$658*AVERAGE('Assumptions (Wind)'!$AC$2:$AD$2)/10^9),0)</f>
        <v>-1.4086475377573537</v>
      </c>
      <c r="AO796" s="105">
        <f>IF($AF$658&gt;0,IPMT('Assumptions (Wind)'!$V$8,Model!AF1,'Assumptions (Wind)'!$V$11,'Assumptions (Wind)'!$V$6*Model!$AF$658*AVERAGE('Assumptions (Wind)'!$AC$2:$AD$2)/10^9),0)</f>
        <v>-0.73141314460477991</v>
      </c>
      <c r="AP796" s="105" t="e">
        <f>IF($AF$658&gt;0,IPMT('Assumptions (Wind)'!$V$8,Model!AG1,'Assumptions (Wind)'!$V$11,'Assumptions (Wind)'!$V$6*Model!$AF$658*AVERAGE('Assumptions (Wind)'!$AC$2:$AD$2)/10^9),0)</f>
        <v>#NUM!</v>
      </c>
      <c r="AQ796" s="105" t="e">
        <f>IF($AF$658&gt;0,IPMT('Assumptions (Wind)'!$V$8,Model!AH1,'Assumptions (Wind)'!$V$11,'Assumptions (Wind)'!$V$6*Model!$AF$658*AVERAGE('Assumptions (Wind)'!$AC$2:$AD$2)/10^9),0)</f>
        <v>#NUM!</v>
      </c>
      <c r="AR796" s="105" t="e">
        <f>IF($AF$658&gt;0,IPMT('Assumptions (Wind)'!$V$8,Model!AI1,'Assumptions (Wind)'!$V$11,'Assumptions (Wind)'!$V$6*Model!$AF$658*AVERAGE('Assumptions (Wind)'!$AC$2:$AD$2)/10^9),0)</f>
        <v>#NUM!</v>
      </c>
      <c r="AS796" s="105" t="e">
        <f>IF($AF$658&gt;0,IPMT('Assumptions (Wind)'!$V$8,Model!AJ1,'Assumptions (Wind)'!$V$11,'Assumptions (Wind)'!$V$6*Model!$AF$658*AVERAGE('Assumptions (Wind)'!$AC$2:$AD$2)/10^9),0)</f>
        <v>#NUM!</v>
      </c>
      <c r="AT796" s="105" t="e">
        <f>IF($AF$658&gt;0,IPMT('Assumptions (Wind)'!$V$8,Model!AK1,'Assumptions (Wind)'!$V$11,'Assumptions (Wind)'!$V$6*Model!$AF$658*AVERAGE('Assumptions (Wind)'!$AC$2:$AD$2)/10^9),0)</f>
        <v>#NUM!</v>
      </c>
      <c r="AU796" s="105"/>
      <c r="AV796" s="105"/>
      <c r="AW796" s="105"/>
      <c r="AX796" s="105"/>
      <c r="AY796" s="105"/>
      <c r="AZ796" s="105"/>
      <c r="BA796" s="105"/>
      <c r="BB796" s="105"/>
      <c r="BC796" s="105"/>
      <c r="BD796" s="105"/>
    </row>
    <row r="797" spans="1:60" ht="15.75" hidden="1" customHeight="1" outlineLevel="1">
      <c r="A797" s="395"/>
      <c r="B797" s="99"/>
      <c r="C797" s="99"/>
      <c r="D797" s="99"/>
      <c r="E797" s="99"/>
      <c r="F797" s="99"/>
      <c r="G797" s="99"/>
      <c r="H797" s="99"/>
      <c r="I797" s="99"/>
      <c r="J797" s="99"/>
      <c r="K797" s="99"/>
      <c r="L797" s="99"/>
      <c r="M797" s="99"/>
      <c r="N797" s="99"/>
      <c r="O797" s="99"/>
      <c r="P797" s="99"/>
      <c r="Q797" s="99"/>
      <c r="R797" s="99"/>
      <c r="S797" s="99"/>
      <c r="T797" s="99"/>
      <c r="U797" s="99"/>
      <c r="V797" s="99"/>
      <c r="W797" s="105"/>
      <c r="X797" s="105"/>
      <c r="Y797" s="105"/>
      <c r="Z797" s="105"/>
      <c r="AA797" s="105"/>
      <c r="AB797" s="105"/>
      <c r="AC797" s="105"/>
      <c r="AD797" s="105"/>
      <c r="AE797" s="105"/>
      <c r="AF797" s="105"/>
      <c r="AG797" s="105">
        <f>IF($AG$658&gt;0,IPMT('Assumptions (Wind)'!$V$8,Model!W1,'Assumptions (Wind)'!$V$11,'Assumptions (Wind)'!$V$6*Model!$AG$658*AVERAGE('Assumptions (Wind)'!$AD$2:$AE$2)/10^9),0)</f>
        <v>-5.4207660235023285</v>
      </c>
      <c r="AH797" s="105">
        <f>IF($AG$658&gt;0,IPMT('Assumptions (Wind)'!$V$8,Model!X1,'Assumptions (Wind)'!$V$11,'Assumptions (Wind)'!$V$6*Model!$AG$658*AVERAGE('Assumptions (Wind)'!$AD$2:$AE$2)/10^9),0)</f>
        <v>-5.0465733165534843</v>
      </c>
      <c r="AI797" s="105">
        <f>IF($AG$658&gt;0,IPMT('Assumptions (Wind)'!$V$8,Model!Y1,'Assumptions (Wind)'!$V$11,'Assumptions (Wind)'!$V$6*Model!$AG$658*AVERAGE('Assumptions (Wind)'!$AD$2:$AE$2)/10^9),0)</f>
        <v>-4.642445193048732</v>
      </c>
      <c r="AJ797" s="105">
        <f>IF($AG$658&gt;0,IPMT('Assumptions (Wind)'!$V$8,Model!Z1,'Assumptions (Wind)'!$V$11,'Assumptions (Wind)'!$V$6*Model!$AG$658*AVERAGE('Assumptions (Wind)'!$AD$2:$AE$2)/10^9),0)</f>
        <v>-4.2059868196635986</v>
      </c>
      <c r="AK797" s="105">
        <f>IF($AG$658&gt;0,IPMT('Assumptions (Wind)'!$V$8,Model!AA1,'Assumptions (Wind)'!$V$11,'Assumptions (Wind)'!$V$6*Model!$AG$658*AVERAGE('Assumptions (Wind)'!$AD$2:$AE$2)/10^9),0)</f>
        <v>-3.7346117764076565</v>
      </c>
      <c r="AL797" s="105">
        <f>IF($AG$658&gt;0,IPMT('Assumptions (Wind)'!$V$8,Model!AB1,'Assumptions (Wind)'!$V$11,'Assumptions (Wind)'!$V$6*Model!$AG$658*AVERAGE('Assumptions (Wind)'!$AD$2:$AE$2)/10^9),0)</f>
        <v>-3.2255267296912389</v>
      </c>
      <c r="AM797" s="105">
        <f>IF($AG$658&gt;0,IPMT('Assumptions (Wind)'!$V$8,Model!AC1,'Assumptions (Wind)'!$V$11,'Assumptions (Wind)'!$V$6*Model!$AG$658*AVERAGE('Assumptions (Wind)'!$AD$2:$AE$2)/10^9),0)</f>
        <v>-2.6757148792375069</v>
      </c>
      <c r="AN797" s="105">
        <f>IF($AG$658&gt;0,IPMT('Assumptions (Wind)'!$V$8,Model!AD1,'Assumptions (Wind)'!$V$11,'Assumptions (Wind)'!$V$6*Model!$AG$658*AVERAGE('Assumptions (Wind)'!$AD$2:$AE$2)/10^9),0)</f>
        <v>-2.0819180807474766</v>
      </c>
      <c r="AO797" s="105">
        <f>IF($AG$658&gt;0,IPMT('Assumptions (Wind)'!$V$8,Model!AE1,'Assumptions (Wind)'!$V$11,'Assumptions (Wind)'!$V$6*Model!$AG$658*AVERAGE('Assumptions (Wind)'!$AD$2:$AE$2)/10^9),0)</f>
        <v>-1.440617538378244</v>
      </c>
      <c r="AP797" s="105">
        <f>IF($AG$658&gt;0,IPMT('Assumptions (Wind)'!$V$8,Model!AF1,'Assumptions (Wind)'!$V$11,'Assumptions (Wind)'!$V$6*Model!$AG$658*AVERAGE('Assumptions (Wind)'!$AD$2:$AE$2)/10^9),0)</f>
        <v>-0.74801295261947287</v>
      </c>
      <c r="AQ797" s="105" t="e">
        <f>IF($AG$658&gt;0,IPMT('Assumptions (Wind)'!$V$8,Model!AG1,'Assumptions (Wind)'!$V$11,'Assumptions (Wind)'!$V$6*Model!$AG$658*AVERAGE('Assumptions (Wind)'!$AD$2:$AE$2)/10^9),0)</f>
        <v>#NUM!</v>
      </c>
      <c r="AR797" s="105" t="e">
        <f>IF($AG$658&gt;0,IPMT('Assumptions (Wind)'!$V$8,Model!AH1,'Assumptions (Wind)'!$V$11,'Assumptions (Wind)'!$V$6*Model!$AG$658*AVERAGE('Assumptions (Wind)'!$AD$2:$AE$2)/10^9),0)</f>
        <v>#NUM!</v>
      </c>
      <c r="AS797" s="105" t="e">
        <f>IF($AG$658&gt;0,IPMT('Assumptions (Wind)'!$V$8,Model!AI1,'Assumptions (Wind)'!$V$11,'Assumptions (Wind)'!$V$6*Model!$AG$658*AVERAGE('Assumptions (Wind)'!$AD$2:$AE$2)/10^9),0)</f>
        <v>#NUM!</v>
      </c>
      <c r="AT797" s="105" t="e">
        <f>IF($AG$658&gt;0,IPMT('Assumptions (Wind)'!$V$8,Model!AJ1,'Assumptions (Wind)'!$V$11,'Assumptions (Wind)'!$V$6*Model!$AG$658*AVERAGE('Assumptions (Wind)'!$AD$2:$AE$2)/10^9),0)</f>
        <v>#NUM!</v>
      </c>
      <c r="AU797" s="105" t="e">
        <f>IF($AG$658&gt;0,IPMT('Assumptions (Wind)'!$V$8,Model!AK1,'Assumptions (Wind)'!$V$11,'Assumptions (Wind)'!$V$6*Model!$AG$658*AVERAGE('Assumptions (Wind)'!$AD$2:$AE$2)/10^9),0)</f>
        <v>#NUM!</v>
      </c>
      <c r="AV797" s="105"/>
      <c r="AW797" s="105"/>
      <c r="AX797" s="105"/>
      <c r="AY797" s="105"/>
      <c r="AZ797" s="105"/>
      <c r="BA797" s="105"/>
      <c r="BB797" s="105"/>
      <c r="BC797" s="105"/>
      <c r="BD797" s="105"/>
      <c r="BE797" s="105"/>
    </row>
    <row r="798" spans="1:60" ht="15.75" hidden="1" customHeight="1" outlineLevel="1">
      <c r="A798" s="395"/>
      <c r="B798" s="99"/>
      <c r="C798" s="99"/>
      <c r="D798" s="99"/>
      <c r="E798" s="99"/>
      <c r="F798" s="99"/>
      <c r="G798" s="99"/>
      <c r="H798" s="99"/>
      <c r="I798" s="99"/>
      <c r="J798" s="99"/>
      <c r="K798" s="99"/>
      <c r="L798" s="99"/>
      <c r="M798" s="99"/>
      <c r="N798" s="99"/>
      <c r="O798" s="99"/>
      <c r="P798" s="99"/>
      <c r="Q798" s="99"/>
      <c r="R798" s="99"/>
      <c r="S798" s="99"/>
      <c r="T798" s="99"/>
      <c r="U798" s="99"/>
      <c r="V798" s="99"/>
      <c r="W798" s="105"/>
      <c r="X798" s="105"/>
      <c r="Y798" s="105"/>
      <c r="Z798" s="105"/>
      <c r="AA798" s="105"/>
      <c r="AB798" s="105"/>
      <c r="AC798" s="105"/>
      <c r="AD798" s="105"/>
      <c r="AE798" s="105"/>
      <c r="AF798" s="105"/>
      <c r="AG798" s="105"/>
      <c r="AH798" s="105">
        <f>IF($AH$658&gt;0,IPMT('Assumptions (Wind)'!$V$8,Model!W1,'Assumptions (Wind)'!$V$11,'Assumptions (Wind)'!$V$6*Model!$AH$658*AVERAGE('Assumptions (Wind)'!$AE$2:$AF$2)/10^9),0)</f>
        <v>-5.572978100236325</v>
      </c>
      <c r="AI798" s="105">
        <f>IF($AH$658&gt;0,IPMT('Assumptions (Wind)'!$V$8,Model!X1,'Assumptions (Wind)'!$V$11,'Assumptions (Wind)'!$V$6*Model!$AH$658*AVERAGE('Assumptions (Wind)'!$AE$2:$AF$2)/10^9),0)</f>
        <v>-5.1882782714570128</v>
      </c>
      <c r="AJ798" s="105">
        <f>IF($AH$658&gt;0,IPMT('Assumptions (Wind)'!$V$8,Model!Y1,'Assumptions (Wind)'!$V$11,'Assumptions (Wind)'!$V$6*Model!$AH$658*AVERAGE('Assumptions (Wind)'!$AE$2:$AF$2)/10^9),0)</f>
        <v>-4.7728024563753539</v>
      </c>
      <c r="AK798" s="105">
        <f>IF($AH$658&gt;0,IPMT('Assumptions (Wind)'!$V$8,Model!Z1,'Assumptions (Wind)'!$V$11,'Assumptions (Wind)'!$V$6*Model!$AH$658*AVERAGE('Assumptions (Wind)'!$AE$2:$AF$2)/10^9),0)</f>
        <v>-4.3240885760871643</v>
      </c>
      <c r="AL798" s="105">
        <f>IF($AH$658&gt;0,IPMT('Assumptions (Wind)'!$V$8,Model!AA1,'Assumptions (Wind)'!$V$11,'Assumptions (Wind)'!$V$6*Model!$AH$658*AVERAGE('Assumptions (Wind)'!$AE$2:$AF$2)/10^9),0)</f>
        <v>-3.8394775853759193</v>
      </c>
      <c r="AM798" s="105">
        <f>IF($AH$658&gt;0,IPMT('Assumptions (Wind)'!$V$8,Model!AB1,'Assumptions (Wind)'!$V$11,'Assumptions (Wind)'!$V$6*Model!$AH$658*AVERAGE('Assumptions (Wind)'!$AE$2:$AF$2)/10^9),0)</f>
        <v>-3.3160977154077749</v>
      </c>
      <c r="AN798" s="105">
        <f>IF($AH$658&gt;0,IPMT('Assumptions (Wind)'!$V$8,Model!AC1,'Assumptions (Wind)'!$V$11,'Assumptions (Wind)'!$V$6*Model!$AH$658*AVERAGE('Assumptions (Wind)'!$AE$2:$AF$2)/10^9),0)</f>
        <v>-2.7508474558421785</v>
      </c>
      <c r="AO798" s="105">
        <f>IF($AH$658&gt;0,IPMT('Assumptions (Wind)'!$V$8,Model!AD1,'Assumptions (Wind)'!$V$11,'Assumptions (Wind)'!$V$6*Model!$AH$658*AVERAGE('Assumptions (Wind)'!$AE$2:$AF$2)/10^9),0)</f>
        <v>-2.1403771755113352</v>
      </c>
      <c r="AP798" s="105">
        <f>IF($AH$658&gt;0,IPMT('Assumptions (Wind)'!$V$8,Model!AE1,'Assumptions (Wind)'!$V$11,'Assumptions (Wind)'!$V$6*Model!$AH$658*AVERAGE('Assumptions (Wind)'!$AE$2:$AF$2)/10^9),0)</f>
        <v>-1.481069272754024</v>
      </c>
      <c r="AQ798" s="105">
        <f>IF($AH$658&gt;0,IPMT('Assumptions (Wind)'!$V$8,Model!AF1,'Assumptions (Wind)'!$V$11,'Assumptions (Wind)'!$V$6*Model!$AH$658*AVERAGE('Assumptions (Wind)'!$AE$2:$AF$2)/10^9),0)</f>
        <v>-0.76901673777612778</v>
      </c>
      <c r="AR798" s="105" t="e">
        <f>IF($AH$658&gt;0,IPMT('Assumptions (Wind)'!$V$8,Model!AG1,'Assumptions (Wind)'!$V$11,'Assumptions (Wind)'!$V$6*Model!$AH$658*AVERAGE('Assumptions (Wind)'!$AE$2:$AF$2)/10^9),0)</f>
        <v>#NUM!</v>
      </c>
      <c r="AS798" s="105" t="e">
        <f>IF($AH$658&gt;0,IPMT('Assumptions (Wind)'!$V$8,Model!AH1,'Assumptions (Wind)'!$V$11,'Assumptions (Wind)'!$V$6*Model!$AH$658*AVERAGE('Assumptions (Wind)'!$AE$2:$AF$2)/10^9),0)</f>
        <v>#NUM!</v>
      </c>
      <c r="AT798" s="105" t="e">
        <f>IF($AH$658&gt;0,IPMT('Assumptions (Wind)'!$V$8,Model!AI1,'Assumptions (Wind)'!$V$11,'Assumptions (Wind)'!$V$6*Model!$AH$658*AVERAGE('Assumptions (Wind)'!$AE$2:$AF$2)/10^9),0)</f>
        <v>#NUM!</v>
      </c>
      <c r="AU798" s="105" t="e">
        <f>IF($AH$658&gt;0,IPMT('Assumptions (Wind)'!$V$8,Model!AJ1,'Assumptions (Wind)'!$V$11,'Assumptions (Wind)'!$V$6*Model!$AH$658*AVERAGE('Assumptions (Wind)'!$AE$2:$AF$2)/10^9),0)</f>
        <v>#NUM!</v>
      </c>
      <c r="AV798" s="105" t="e">
        <f>IF($AH$658&gt;0,IPMT('Assumptions (Wind)'!$V$8,Model!AK1,'Assumptions (Wind)'!$V$11,'Assumptions (Wind)'!$V$6*Model!$AH$658*AVERAGE('Assumptions (Wind)'!$AE$2:$AF$2)/10^9),0)</f>
        <v>#NUM!</v>
      </c>
      <c r="AW798" s="105"/>
      <c r="AX798" s="105"/>
      <c r="AY798" s="105"/>
      <c r="AZ798" s="105"/>
      <c r="BA798" s="105"/>
      <c r="BB798" s="105"/>
      <c r="BC798" s="105"/>
      <c r="BD798" s="105"/>
      <c r="BE798" s="105"/>
      <c r="BF798" s="105"/>
    </row>
    <row r="799" spans="1:60" ht="15.75" hidden="1" customHeight="1" outlineLevel="1">
      <c r="A799" s="395"/>
      <c r="B799" s="99"/>
      <c r="C799" s="99"/>
      <c r="D799" s="99"/>
      <c r="E799" s="99"/>
      <c r="F799" s="99"/>
      <c r="G799" s="99"/>
      <c r="H799" s="99"/>
      <c r="I799" s="99"/>
      <c r="J799" s="99"/>
      <c r="K799" s="99"/>
      <c r="L799" s="99"/>
      <c r="M799" s="99"/>
      <c r="N799" s="99"/>
      <c r="O799" s="99"/>
      <c r="P799" s="99"/>
      <c r="Q799" s="99"/>
      <c r="R799" s="99"/>
      <c r="S799" s="99"/>
      <c r="T799" s="99"/>
      <c r="U799" s="99"/>
      <c r="V799" s="99"/>
      <c r="W799" s="105"/>
      <c r="X799" s="105"/>
      <c r="Y799" s="105"/>
      <c r="Z799" s="105"/>
      <c r="AA799" s="105"/>
      <c r="AB799" s="105"/>
      <c r="AC799" s="105"/>
      <c r="AD799" s="105"/>
      <c r="AE799" s="105"/>
      <c r="AF799" s="105"/>
      <c r="AG799" s="105"/>
      <c r="AH799" s="105"/>
      <c r="AI799" s="105">
        <f>IF($AI$658&gt;0,IPMT('Assumptions (Wind)'!$V$8,Model!W1,'Assumptions (Wind)'!$V$11,'Assumptions (Wind)'!$V$6*Model!$AI$658*AVERAGE('Assumptions (Wind)'!$AF$2:$AG$2)/10^9),0)</f>
        <v>-5.6269174103295372</v>
      </c>
      <c r="AJ799" s="105">
        <f>IF($AI$658&gt;0,IPMT('Assumptions (Wind)'!$V$8,Model!X1,'Assumptions (Wind)'!$V$11,'Assumptions (Wind)'!$V$6*Model!$AI$658*AVERAGE('Assumptions (Wind)'!$AF$2:$AG$2)/10^9),0)</f>
        <v>-5.2384941785538173</v>
      </c>
      <c r="AK799" s="105">
        <f>IF($AI$658&gt;0,IPMT('Assumptions (Wind)'!$V$8,Model!Y1,'Assumptions (Wind)'!$V$11,'Assumptions (Wind)'!$V$6*Model!$AI$658*AVERAGE('Assumptions (Wind)'!$AF$2:$AG$2)/10^9),0)</f>
        <v>-4.8189970882360393</v>
      </c>
      <c r="AL799" s="105">
        <f>IF($AI$658&gt;0,IPMT('Assumptions (Wind)'!$V$8,Model!Z1,'Assumptions (Wind)'!$V$11,'Assumptions (Wind)'!$V$6*Model!$AI$658*AVERAGE('Assumptions (Wind)'!$AF$2:$AG$2)/10^9),0)</f>
        <v>-4.3659402306928392</v>
      </c>
      <c r="AM799" s="105">
        <f>IF($AI$658&gt;0,IPMT('Assumptions (Wind)'!$V$8,Model!AA1,'Assumptions (Wind)'!$V$11,'Assumptions (Wind)'!$V$6*Model!$AI$658*AVERAGE('Assumptions (Wind)'!$AF$2:$AG$2)/10^9),0)</f>
        <v>-3.8766388245461845</v>
      </c>
      <c r="AN799" s="105">
        <f>IF($AI$658&gt;0,IPMT('Assumptions (Wind)'!$V$8,Model!AB1,'Assumptions (Wind)'!$V$11,'Assumptions (Wind)'!$V$6*Model!$AI$658*AVERAGE('Assumptions (Wind)'!$AF$2:$AG$2)/10^9),0)</f>
        <v>-3.3481933059077966</v>
      </c>
      <c r="AO799" s="105">
        <f>IF($AI$658&gt;0,IPMT('Assumptions (Wind)'!$V$8,Model!AC1,'Assumptions (Wind)'!$V$11,'Assumptions (Wind)'!$V$6*Model!$AI$658*AVERAGE('Assumptions (Wind)'!$AF$2:$AG$2)/10^9),0)</f>
        <v>-2.7774721457783373</v>
      </c>
      <c r="AP799" s="105">
        <f>IF($AI$658&gt;0,IPMT('Assumptions (Wind)'!$V$8,Model!AD1,'Assumptions (Wind)'!$V$11,'Assumptions (Wind)'!$V$6*Model!$AI$658*AVERAGE('Assumptions (Wind)'!$AF$2:$AG$2)/10^9),0)</f>
        <v>-2.161093292838522</v>
      </c>
      <c r="AQ799" s="105">
        <f>IF($AI$658&gt;0,IPMT('Assumptions (Wind)'!$V$8,Model!AE1,'Assumptions (Wind)'!$V$11,'Assumptions (Wind)'!$V$6*Model!$AI$658*AVERAGE('Assumptions (Wind)'!$AF$2:$AG$2)/10^9),0)</f>
        <v>-1.4954041316635216</v>
      </c>
      <c r="AR799" s="105">
        <f>IF($AI$658&gt;0,IPMT('Assumptions (Wind)'!$V$8,Model!AF1,'Assumptions (Wind)'!$V$11,'Assumptions (Wind)'!$V$6*Model!$AI$658*AVERAGE('Assumptions (Wind)'!$AF$2:$AG$2)/10^9),0)</f>
        <v>-0.77645983759452086</v>
      </c>
      <c r="AS799" s="105" t="e">
        <f>IF($AI$658&gt;0,IPMT('Assumptions (Wind)'!$V$8,Model!AG1,'Assumptions (Wind)'!$V$11,'Assumptions (Wind)'!$V$6*Model!$AI$658*AVERAGE('Assumptions (Wind)'!$AF$2:$AG$2)/10^9),0)</f>
        <v>#NUM!</v>
      </c>
      <c r="AT799" s="105" t="e">
        <f>IF($AI$658&gt;0,IPMT('Assumptions (Wind)'!$V$8,Model!AH1,'Assumptions (Wind)'!$V$11,'Assumptions (Wind)'!$V$6*Model!$AI$658*AVERAGE('Assumptions (Wind)'!$AF$2:$AG$2)/10^9),0)</f>
        <v>#NUM!</v>
      </c>
      <c r="AU799" s="105" t="e">
        <f>IF($AI$658&gt;0,IPMT('Assumptions (Wind)'!$V$8,Model!AI1,'Assumptions (Wind)'!$V$11,'Assumptions (Wind)'!$V$6*Model!$AI$658*AVERAGE('Assumptions (Wind)'!$AF$2:$AG$2)/10^9),0)</f>
        <v>#NUM!</v>
      </c>
      <c r="AV799" s="105" t="e">
        <f>IF($AI$658&gt;0,IPMT('Assumptions (Wind)'!$V$8,Model!AJ1,'Assumptions (Wind)'!$V$11,'Assumptions (Wind)'!$V$6*Model!$AI$658*AVERAGE('Assumptions (Wind)'!$AF$2:$AG$2)/10^9),0)</f>
        <v>#NUM!</v>
      </c>
      <c r="AW799" s="105" t="e">
        <f>IF($AI$658&gt;0,IPMT('Assumptions (Wind)'!$V$8,Model!AK1,'Assumptions (Wind)'!$V$11,'Assumptions (Wind)'!$V$6*Model!$AI$658*AVERAGE('Assumptions (Wind)'!$AF$2:$AG$2)/10^9),0)</f>
        <v>#NUM!</v>
      </c>
      <c r="AX799" s="105"/>
      <c r="AY799" s="105"/>
      <c r="AZ799" s="105"/>
      <c r="BA799" s="105"/>
      <c r="BB799" s="105"/>
      <c r="BC799" s="105"/>
      <c r="BD799" s="105"/>
      <c r="BE799" s="105"/>
      <c r="BF799" s="105"/>
      <c r="BG799" s="105"/>
    </row>
    <row r="800" spans="1:60" ht="15.75" hidden="1" customHeight="1" outlineLevel="1">
      <c r="A800" s="395"/>
      <c r="B800" s="99"/>
      <c r="C800" s="99"/>
      <c r="D800" s="99"/>
      <c r="E800" s="99"/>
      <c r="F800" s="99"/>
      <c r="G800" s="99"/>
      <c r="H800" s="99"/>
      <c r="I800" s="99"/>
      <c r="J800" s="99"/>
      <c r="K800" s="99"/>
      <c r="L800" s="99"/>
      <c r="M800" s="99"/>
      <c r="N800" s="99"/>
      <c r="O800" s="99"/>
      <c r="P800" s="99"/>
      <c r="Q800" s="99"/>
      <c r="R800" s="99"/>
      <c r="S800" s="99"/>
      <c r="T800" s="99"/>
      <c r="U800" s="99"/>
      <c r="V800" s="99"/>
      <c r="W800" s="105"/>
      <c r="X800" s="105"/>
      <c r="Y800" s="105"/>
      <c r="Z800" s="105"/>
      <c r="AA800" s="105"/>
      <c r="AB800" s="105"/>
      <c r="AC800" s="105"/>
      <c r="AD800" s="105"/>
      <c r="AE800" s="105"/>
      <c r="AF800" s="105"/>
      <c r="AG800" s="105"/>
      <c r="AH800" s="105"/>
      <c r="AI800" s="105"/>
      <c r="AJ800" s="91">
        <f>IF($AJ$658&gt;0,IPMT('Assumptions (Wind)'!$V$8,Model!W1,'Assumptions (Wind)'!$V$11,'Assumptions (Wind)'!$V$6*Model!$AJ$658*AVERAGE('Assumptions (Wind)'!$AG$2:$AH$2)/10^9),0)</f>
        <v>-5.8858227668680216</v>
      </c>
      <c r="AK800" s="91">
        <f>IF($AJ$658&gt;0,IPMT('Assumptions (Wind)'!$V$8,Model!X1,'Assumptions (Wind)'!$V$11,'Assumptions (Wind)'!$V$6*Model!$AJ$658*AVERAGE('Assumptions (Wind)'!$AG$2:$AH$2)/10^9),0)</f>
        <v>-5.4795274307095161</v>
      </c>
      <c r="AL800" s="91">
        <f>IF($AJ$658&gt;0,IPMT('Assumptions (Wind)'!$V$8,Model!Y1,'Assumptions (Wind)'!$V$11,'Assumptions (Wind)'!$V$6*Model!$AJ$658*AVERAGE('Assumptions (Wind)'!$AG$2:$AH$2)/10^9),0)</f>
        <v>-5.0407284676583304</v>
      </c>
      <c r="AM800" s="91">
        <f>IF($AJ$658&gt;0,IPMT('Assumptions (Wind)'!$V$8,Model!Z1,'Assumptions (Wind)'!$V$11,'Assumptions (Wind)'!$V$6*Model!$AJ$658*AVERAGE('Assumptions (Wind)'!$AG$2:$AH$2)/10^9),0)</f>
        <v>-4.5668255875630495</v>
      </c>
      <c r="AN800" s="91">
        <f>IF($AJ$658&gt;0,IPMT('Assumptions (Wind)'!$V$8,Model!AA1,'Assumptions (Wind)'!$V$11,'Assumptions (Wind)'!$V$6*Model!$AJ$658*AVERAGE('Assumptions (Wind)'!$AG$2:$AH$2)/10^9),0)</f>
        <v>-4.0550104770601463</v>
      </c>
      <c r="AO800" s="91">
        <f>IF($AJ$658&gt;0,IPMT('Assumptions (Wind)'!$V$8,Model!AB1,'Assumptions (Wind)'!$V$11,'Assumptions (Wind)'!$V$6*Model!$AJ$658*AVERAGE('Assumptions (Wind)'!$AG$2:$AH$2)/10^9),0)</f>
        <v>-3.5022501577170111</v>
      </c>
      <c r="AP800" s="91">
        <f>IF($AJ$658&gt;0,IPMT('Assumptions (Wind)'!$V$8,Model!AC1,'Assumptions (Wind)'!$V$11,'Assumptions (Wind)'!$V$6*Model!$AJ$658*AVERAGE('Assumptions (Wind)'!$AG$2:$AH$2)/10^9),0)</f>
        <v>-2.9052690128264249</v>
      </c>
      <c r="AQ800" s="91">
        <f>IF($AJ$658&gt;0,IPMT('Assumptions (Wind)'!$V$8,Model!AD1,'Assumptions (Wind)'!$V$11,'Assumptions (Wind)'!$V$6*Model!$AJ$658*AVERAGE('Assumptions (Wind)'!$AG$2:$AH$2)/10^9),0)</f>
        <v>-2.2605293763445919</v>
      </c>
      <c r="AR800" s="91">
        <f>IF($AJ$658&gt;0,IPMT('Assumptions (Wind)'!$V$8,Model!AE1,'Assumptions (Wind)'!$V$11,'Assumptions (Wind)'!$V$6*Model!$AJ$658*AVERAGE('Assumptions (Wind)'!$AG$2:$AH$2)/10^9),0)</f>
        <v>-1.5642105689442125</v>
      </c>
      <c r="AS800" s="91">
        <f>IF($AJ$658&gt;0,IPMT('Assumptions (Wind)'!$V$8,Model!AF1,'Assumptions (Wind)'!$V$11,'Assumptions (Wind)'!$V$6*Model!$AJ$658*AVERAGE('Assumptions (Wind)'!$AG$2:$AH$2)/10^9),0)</f>
        <v>-0.81218625695180269</v>
      </c>
      <c r="AT800" s="91" t="e">
        <f>IF($AJ$658&gt;0,IPMT('Assumptions (Wind)'!$V$8,Model!AG1,'Assumptions (Wind)'!$V$11,'Assumptions (Wind)'!$V$6*Model!$AJ$658*AVERAGE('Assumptions (Wind)'!$AG$2:$AH$2)/10^9),0)</f>
        <v>#NUM!</v>
      </c>
      <c r="AU800" s="91" t="e">
        <f>IF($AJ$658&gt;0,IPMT('Assumptions (Wind)'!$V$8,Model!AH1,'Assumptions (Wind)'!$V$11,'Assumptions (Wind)'!$V$6*Model!$AJ$658*AVERAGE('Assumptions (Wind)'!$AG$2:$AH$2)/10^9),0)</f>
        <v>#NUM!</v>
      </c>
      <c r="AV800" s="91" t="e">
        <f>IF($AJ$658&gt;0,IPMT('Assumptions (Wind)'!$V$8,Model!AI1,'Assumptions (Wind)'!$V$11,'Assumptions (Wind)'!$V$6*Model!$AJ$658*AVERAGE('Assumptions (Wind)'!$AG$2:$AH$2)/10^9),0)</f>
        <v>#NUM!</v>
      </c>
      <c r="AW800" s="91" t="e">
        <f>IF($AJ$658&gt;0,IPMT('Assumptions (Wind)'!$V$8,Model!AJ1,'Assumptions (Wind)'!$V$11,'Assumptions (Wind)'!$V$6*Model!$AJ$658*AVERAGE('Assumptions (Wind)'!$AG$2:$AH$2)/10^9),0)</f>
        <v>#NUM!</v>
      </c>
      <c r="AX800" s="91" t="e">
        <f>IF($AJ$658&gt;0,IPMT('Assumptions (Wind)'!$V$8,Model!AK1,'Assumptions (Wind)'!$V$11,'Assumptions (Wind)'!$V$6*Model!$AJ$658*AVERAGE('Assumptions (Wind)'!$AG$2:$AH$2)/10^9),0)</f>
        <v>#NUM!</v>
      </c>
      <c r="AY800" s="91"/>
      <c r="AZ800" s="91"/>
      <c r="BA800" s="91"/>
      <c r="BB800" s="91"/>
      <c r="BC800" s="91"/>
      <c r="BD800" s="91"/>
      <c r="BE800" s="91"/>
      <c r="BF800" s="91"/>
      <c r="BG800" s="91"/>
      <c r="BH800" s="91"/>
    </row>
    <row r="801" spans="1:76" ht="15.75" hidden="1" customHeight="1" outlineLevel="1">
      <c r="A801" s="395"/>
      <c r="B801" s="99"/>
      <c r="C801" s="99"/>
      <c r="D801" s="99"/>
      <c r="E801" s="99"/>
      <c r="F801" s="99"/>
      <c r="G801" s="99"/>
      <c r="H801" s="99"/>
      <c r="I801" s="99"/>
      <c r="J801" s="99"/>
      <c r="K801" s="99"/>
      <c r="L801" s="99"/>
      <c r="M801" s="99"/>
      <c r="N801" s="99"/>
      <c r="O801" s="99"/>
      <c r="P801" s="99"/>
      <c r="Q801" s="99"/>
      <c r="R801" s="99"/>
      <c r="S801" s="99"/>
      <c r="T801" s="99"/>
      <c r="U801" s="99"/>
      <c r="V801" s="99"/>
      <c r="W801" s="105"/>
      <c r="X801" s="105"/>
      <c r="Y801" s="105"/>
      <c r="Z801" s="105"/>
      <c r="AA801" s="105"/>
      <c r="AB801" s="105"/>
      <c r="AC801" s="105"/>
      <c r="AD801" s="105"/>
      <c r="AE801" s="105"/>
      <c r="AF801" s="105"/>
      <c r="AG801" s="105"/>
      <c r="AH801" s="105"/>
      <c r="AI801" s="105"/>
      <c r="AJ801" s="171"/>
      <c r="AK801" s="105">
        <f>IF($AK$658&gt;0,IPMT('Assumptions (Wind)'!$V$8,Model!W1,'Assumptions (Wind)'!$V$11,'Assumptions (Wind)'!$V$6*Model!$AK$658*AVERAGE('Assumptions (Wind)'!$AH$2:$AI$2)/10^9),0)</f>
        <v>-5.9134878542254095</v>
      </c>
      <c r="AL801" s="105">
        <f>IF($AK$658&gt;0,IPMT('Assumptions (Wind)'!$V$8,Model!X1,'Assumptions (Wind)'!$V$11,'Assumptions (Wind)'!$V$6*Model!$AK$658*AVERAGE('Assumptions (Wind)'!$AH$2:$AI$2)/10^9),0)</f>
        <v>-5.5052828112318641</v>
      </c>
      <c r="AM801" s="105">
        <f>IF($AK$658&gt;0,IPMT('Assumptions (Wind)'!$V$8,Model!Y1,'Assumptions (Wind)'!$V$11,'Assumptions (Wind)'!$V$6*Model!$AK$658*AVERAGE('Assumptions (Wind)'!$AH$2:$AI$2)/10^9),0)</f>
        <v>-5.0644213647988332</v>
      </c>
      <c r="AN801" s="105">
        <f>IF($AK$658&gt;0,IPMT('Assumptions (Wind)'!$V$8,Model!Z1,'Assumptions (Wind)'!$V$11,'Assumptions (Wind)'!$V$6*Model!$AK$658*AVERAGE('Assumptions (Wind)'!$AH$2:$AI$2)/10^9),0)</f>
        <v>-4.5882910026511619</v>
      </c>
      <c r="AO801" s="105">
        <f>IF($AK$658&gt;0,IPMT('Assumptions (Wind)'!$V$8,Model!AA1,'Assumptions (Wind)'!$V$11,'Assumptions (Wind)'!$V$6*Model!$AK$658*AVERAGE('Assumptions (Wind)'!$AH$2:$AI$2)/10^9),0)</f>
        <v>-4.0740702115316765</v>
      </c>
      <c r="AP801" s="105">
        <f>IF($AK$658&gt;0,IPMT('Assumptions (Wind)'!$V$8,Model!AB1,'Assumptions (Wind)'!$V$11,'Assumptions (Wind)'!$V$6*Model!$AK$658*AVERAGE('Assumptions (Wind)'!$AH$2:$AI$2)/10^9),0)</f>
        <v>-3.5187117571226327</v>
      </c>
      <c r="AQ801" s="105">
        <f>IF($AK$658&gt;0,IPMT('Assumptions (Wind)'!$V$8,Model!AC1,'Assumptions (Wind)'!$V$11,'Assumptions (Wind)'!$V$6*Model!$AK$658*AVERAGE('Assumptions (Wind)'!$AH$2:$AI$2)/10^9),0)</f>
        <v>-2.9189246263608641</v>
      </c>
      <c r="AR801" s="105">
        <f>IF($AK$658&gt;0,IPMT('Assumptions (Wind)'!$V$8,Model!AD1,'Assumptions (Wind)'!$V$11,'Assumptions (Wind)'!$V$6*Model!$AK$658*AVERAGE('Assumptions (Wind)'!$AH$2:$AI$2)/10^9),0)</f>
        <v>-2.2711545251381553</v>
      </c>
      <c r="AS801" s="105">
        <f>IF($AK$658&gt;0,IPMT('Assumptions (Wind)'!$V$8,Model!AE1,'Assumptions (Wind)'!$V$11,'Assumptions (Wind)'!$V$6*Model!$AK$658*AVERAGE('Assumptions (Wind)'!$AH$2:$AI$2)/10^9),0)</f>
        <v>-1.5715628158176294</v>
      </c>
      <c r="AT801" s="105">
        <f>IF($AK$658&gt;0,IPMT('Assumptions (Wind)'!$V$8,Model!AF1,'Assumptions (Wind)'!$V$11,'Assumptions (Wind)'!$V$6*Model!$AK$658*AVERAGE('Assumptions (Wind)'!$AH$2:$AI$2)/10^9),0)</f>
        <v>-0.81600376975146138</v>
      </c>
      <c r="AU801" s="105" t="e">
        <f>IF($AK$658&gt;0,IPMT('Assumptions (Wind)'!$V$8,Model!AG1,'Assumptions (Wind)'!$V$11,'Assumptions (Wind)'!$V$6*Model!$AK$658*AVERAGE('Assumptions (Wind)'!$AH$2:$AI$2)/10^9),0)</f>
        <v>#NUM!</v>
      </c>
      <c r="AV801" s="105" t="e">
        <f>IF($AK$658&gt;0,IPMT('Assumptions (Wind)'!$V$8,Model!AH1,'Assumptions (Wind)'!$V$11,'Assumptions (Wind)'!$V$6*Model!$AK$658*AVERAGE('Assumptions (Wind)'!$AH$2:$AI$2)/10^9),0)</f>
        <v>#NUM!</v>
      </c>
      <c r="AW801" s="105" t="e">
        <f>IF($AK$658&gt;0,IPMT('Assumptions (Wind)'!$V$8,Model!AI1,'Assumptions (Wind)'!$V$11,'Assumptions (Wind)'!$V$6*Model!$AK$658*AVERAGE('Assumptions (Wind)'!$AH$2:$AI$2)/10^9),0)</f>
        <v>#NUM!</v>
      </c>
      <c r="AX801" s="105" t="e">
        <f>IF($AK$658&gt;0,IPMT('Assumptions (Wind)'!$V$8,Model!AJ1,'Assumptions (Wind)'!$V$11,'Assumptions (Wind)'!$V$6*Model!$AK$658*AVERAGE('Assumptions (Wind)'!$AH$2:$AI$2)/10^9),0)</f>
        <v>#NUM!</v>
      </c>
      <c r="AY801" s="105" t="e">
        <f>IF($AK$658&gt;0,IPMT('Assumptions (Wind)'!$V$8,Model!AK1,'Assumptions (Wind)'!$V$11,'Assumptions (Wind)'!$V$6*Model!$AK$658*AVERAGE('Assumptions (Wind)'!$AH$2:$AI$2)/10^9),0)</f>
        <v>#NUM!</v>
      </c>
      <c r="AZ801" s="105"/>
      <c r="BA801" s="105"/>
      <c r="BB801" s="105"/>
      <c r="BC801" s="105"/>
      <c r="BD801" s="105"/>
      <c r="BE801" s="105"/>
      <c r="BF801" s="105"/>
      <c r="BG801" s="105"/>
      <c r="BH801" s="105"/>
      <c r="BI801" s="105"/>
    </row>
    <row r="802" spans="1:76" ht="15.75" hidden="1" customHeight="1" outlineLevel="1">
      <c r="A802" s="395"/>
      <c r="B802" s="99"/>
      <c r="C802" s="99"/>
      <c r="D802" s="99"/>
      <c r="E802" s="99"/>
      <c r="F802" s="99"/>
      <c r="G802" s="99"/>
      <c r="H802" s="99"/>
      <c r="I802" s="99"/>
      <c r="J802" s="99"/>
      <c r="K802" s="99"/>
      <c r="L802" s="99"/>
      <c r="M802" s="99"/>
      <c r="N802" s="99"/>
      <c r="O802" s="99"/>
      <c r="P802" s="99"/>
      <c r="Q802" s="99"/>
      <c r="R802" s="99"/>
      <c r="S802" s="99"/>
      <c r="T802" s="99"/>
      <c r="U802" s="99"/>
      <c r="V802" s="99"/>
      <c r="W802" s="105"/>
      <c r="X802" s="105"/>
      <c r="Y802" s="105"/>
      <c r="Z802" s="105"/>
      <c r="AA802" s="105"/>
      <c r="AB802" s="105"/>
      <c r="AC802" s="105"/>
      <c r="AD802" s="105"/>
      <c r="AE802" s="105"/>
      <c r="AF802" s="105"/>
      <c r="AG802" s="105"/>
      <c r="AH802" s="105"/>
      <c r="AI802" s="105"/>
      <c r="AJ802" s="171"/>
      <c r="AK802" s="105"/>
      <c r="AL802" s="91">
        <f>IF($AL$658&gt;0,IPMT('Assumptions (Wind)'!$V$8,Model!W1,'Assumptions (Wind)'!$V$11,'Assumptions (Wind)'!$V$6*Model!$AL$658*AVERAGE('Assumptions (Wind)'!$AI$2:$AJ$2)/10^9),0)</f>
        <v>-6.1345213105420751</v>
      </c>
      <c r="AM802" s="91">
        <f>IF($AL$658&gt;0,IPMT('Assumptions (Wind)'!$V$8,Model!X1,'Assumptions (Wind)'!$V$11,'Assumptions (Wind)'!$V$6*Model!$AL$658*AVERAGE('Assumptions (Wind)'!$AI$2:$AJ$2)/10^9),0)</f>
        <v>-5.7110584410740426</v>
      </c>
      <c r="AN802" s="91">
        <f>IF($AL$658&gt;0,IPMT('Assumptions (Wind)'!$V$8,Model!Y1,'Assumptions (Wind)'!$V$11,'Assumptions (Wind)'!$V$6*Model!$AL$658*AVERAGE('Assumptions (Wind)'!$AI$2:$AJ$2)/10^9),0)</f>
        <v>-5.2537185420485661</v>
      </c>
      <c r="AO802" s="91">
        <f>IF($AL$658&gt;0,IPMT('Assumptions (Wind)'!$V$8,Model!Z1,'Assumptions (Wind)'!$V$11,'Assumptions (Wind)'!$V$6*Model!$AL$658*AVERAGE('Assumptions (Wind)'!$AI$2:$AJ$2)/10^9),0)</f>
        <v>-4.7597914511010524</v>
      </c>
      <c r="AP802" s="91">
        <f>IF($AL$658&gt;0,IPMT('Assumptions (Wind)'!$V$8,Model!AA1,'Assumptions (Wind)'!$V$11,'Assumptions (Wind)'!$V$6*Model!$AL$658*AVERAGE('Assumptions (Wind)'!$AI$2:$AJ$2)/10^9),0)</f>
        <v>-4.2263501928777387</v>
      </c>
      <c r="AQ802" s="91">
        <f>IF($AL$658&gt;0,IPMT('Assumptions (Wind)'!$V$8,Model!AB1,'Assumptions (Wind)'!$V$11,'Assumptions (Wind)'!$V$6*Model!$AL$658*AVERAGE('Assumptions (Wind)'!$AI$2:$AJ$2)/10^9),0)</f>
        <v>-3.6502336339965602</v>
      </c>
      <c r="AR802" s="91">
        <f>IF($AL$658&gt;0,IPMT('Assumptions (Wind)'!$V$8,Model!AC1,'Assumptions (Wind)'!$V$11,'Assumptions (Wind)'!$V$6*Model!$AL$658*AVERAGE('Assumptions (Wind)'!$AI$2:$AJ$2)/10^9),0)</f>
        <v>-3.028027750404886</v>
      </c>
      <c r="AS802" s="91">
        <f>IF($AL$658&gt;0,IPMT('Assumptions (Wind)'!$V$8,Model!AD1,'Assumptions (Wind)'!$V$11,'Assumptions (Wind)'!$V$6*Model!$AL$658*AVERAGE('Assumptions (Wind)'!$AI$2:$AJ$2)/10^9),0)</f>
        <v>-2.3560453961258792</v>
      </c>
      <c r="AT802" s="91">
        <f>IF($AL$658&gt;0,IPMT('Assumptions (Wind)'!$V$8,Model!AE1,'Assumptions (Wind)'!$V$11,'Assumptions (Wind)'!$V$6*Model!$AL$658*AVERAGE('Assumptions (Wind)'!$AI$2:$AJ$2)/10^9),0)</f>
        <v>-1.630304453504551</v>
      </c>
      <c r="AU802" s="91">
        <f>IF($AL$658&gt;0,IPMT('Assumptions (Wind)'!$V$8,Model!AF1,'Assumptions (Wind)'!$V$11,'Assumptions (Wind)'!$V$6*Model!$AL$658*AVERAGE('Assumptions (Wind)'!$AI$2:$AJ$2)/10^9),0)</f>
        <v>-0.84650423547351694</v>
      </c>
      <c r="AV802" s="91" t="e">
        <f>IF($AL$658&gt;0,IPMT('Assumptions (Wind)'!$V$8,Model!AG1,'Assumptions (Wind)'!$V$11,'Assumptions (Wind)'!$V$6*Model!$AL$658*AVERAGE('Assumptions (Wind)'!$AI$2:$AJ$2)/10^9),0)</f>
        <v>#NUM!</v>
      </c>
      <c r="AW802" s="91" t="e">
        <f>IF($AL$658&gt;0,IPMT('Assumptions (Wind)'!$V$8,Model!AH1,'Assumptions (Wind)'!$V$11,'Assumptions (Wind)'!$V$6*Model!$AL$658*AVERAGE('Assumptions (Wind)'!$AI$2:$AJ$2)/10^9),0)</f>
        <v>#NUM!</v>
      </c>
      <c r="AX802" s="91" t="e">
        <f>IF($AL$658&gt;0,IPMT('Assumptions (Wind)'!$V$8,Model!AI1,'Assumptions (Wind)'!$V$11,'Assumptions (Wind)'!$V$6*Model!$AL$658*AVERAGE('Assumptions (Wind)'!$AI$2:$AJ$2)/10^9),0)</f>
        <v>#NUM!</v>
      </c>
      <c r="AY802" s="91" t="e">
        <f>IF($AL$658&gt;0,IPMT('Assumptions (Wind)'!$V$8,Model!AJ1,'Assumptions (Wind)'!$V$11,'Assumptions (Wind)'!$V$6*Model!$AL$658*AVERAGE('Assumptions (Wind)'!$AI$2:$AJ$2)/10^9),0)</f>
        <v>#NUM!</v>
      </c>
      <c r="AZ802" s="91" t="e">
        <f>IF($AL$658&gt;0,IPMT('Assumptions (Wind)'!$V$8,Model!AK1,'Assumptions (Wind)'!$V$11,'Assumptions (Wind)'!$V$6*Model!$AL$658*AVERAGE('Assumptions (Wind)'!$AI$2:$AJ$2)/10^9),0)</f>
        <v>#NUM!</v>
      </c>
      <c r="BA802" s="91"/>
      <c r="BB802" s="91"/>
      <c r="BC802" s="91"/>
      <c r="BD802" s="91"/>
      <c r="BE802" s="91"/>
      <c r="BF802" s="91"/>
      <c r="BG802" s="91"/>
      <c r="BH802" s="91"/>
      <c r="BI802" s="91"/>
      <c r="BJ802" s="91"/>
    </row>
    <row r="803" spans="1:76" ht="15.75" hidden="1" customHeight="1" outlineLevel="1">
      <c r="A803" s="395"/>
      <c r="B803" s="99"/>
      <c r="C803" s="99"/>
      <c r="D803" s="99"/>
      <c r="E803" s="99"/>
      <c r="F803" s="99"/>
      <c r="G803" s="99"/>
      <c r="H803" s="99"/>
      <c r="I803" s="99"/>
      <c r="J803" s="99"/>
      <c r="K803" s="99"/>
      <c r="L803" s="99"/>
      <c r="M803" s="99"/>
      <c r="N803" s="99"/>
      <c r="O803" s="99"/>
      <c r="P803" s="99"/>
      <c r="Q803" s="99"/>
      <c r="R803" s="99"/>
      <c r="S803" s="99"/>
      <c r="T803" s="99"/>
      <c r="U803" s="99"/>
      <c r="V803" s="99"/>
      <c r="W803" s="105"/>
      <c r="X803" s="105"/>
      <c r="Y803" s="105"/>
      <c r="Z803" s="105"/>
      <c r="AA803" s="105"/>
      <c r="AB803" s="105"/>
      <c r="AC803" s="105"/>
      <c r="AD803" s="105"/>
      <c r="AE803" s="105"/>
      <c r="AF803" s="105"/>
      <c r="AG803" s="105"/>
      <c r="AH803" s="105"/>
      <c r="AI803" s="105"/>
      <c r="AJ803" s="171"/>
      <c r="AK803" s="105"/>
      <c r="AL803" s="91"/>
      <c r="AM803" s="105">
        <f>IF($AM$658&gt;0,IPMT('Assumptions (Wind)'!$V$8,Model!W1,'Assumptions (Wind)'!$V$11,'Assumptions (Wind)'!$V$6*Model!$AM$658*AVERAGE('Assumptions (Wind)'!$AJ$2:$AK$2)/10^9),0)</f>
        <v>-6.1265616544523542</v>
      </c>
      <c r="AN803" s="105">
        <f>IF($AM$658&gt;0,IPMT('Assumptions (Wind)'!$V$8,Model!X1,'Assumptions (Wind)'!$V$11,'Assumptions (Wind)'!$V$6*Model!$AM$658*AVERAGE('Assumptions (Wind)'!$AJ$2:$AK$2)/10^9),0)</f>
        <v>-5.7036482359743994</v>
      </c>
      <c r="AO803" s="105">
        <f>IF($AM$658&gt;0,IPMT('Assumptions (Wind)'!$V$8,Model!Y1,'Assumptions (Wind)'!$V$11,'Assumptions (Wind)'!$V$6*Model!$AM$658*AVERAGE('Assumptions (Wind)'!$AJ$2:$AK$2)/10^9),0)</f>
        <v>-5.2469017440182091</v>
      </c>
      <c r="AP803" s="105">
        <f>IF($AM$658&gt;0,IPMT('Assumptions (Wind)'!$V$8,Model!Z1,'Assumptions (Wind)'!$V$11,'Assumptions (Wind)'!$V$6*Model!$AM$658*AVERAGE('Assumptions (Wind)'!$AJ$2:$AK$2)/10^9),0)</f>
        <v>-4.7536155327055214</v>
      </c>
      <c r="AQ803" s="105">
        <f>IF($AM$658&gt;0,IPMT('Assumptions (Wind)'!$V$8,Model!AA1,'Assumptions (Wind)'!$V$11,'Assumptions (Wind)'!$V$6*Model!$AM$658*AVERAGE('Assumptions (Wind)'!$AJ$2:$AK$2)/10^9),0)</f>
        <v>-4.2208664244878209</v>
      </c>
      <c r="AR803" s="105">
        <f>IF($AM$658&gt;0,IPMT('Assumptions (Wind)'!$V$8,Model!AB1,'Assumptions (Wind)'!$V$11,'Assumptions (Wind)'!$V$6*Model!$AM$658*AVERAGE('Assumptions (Wind)'!$AJ$2:$AK$2)/10^9),0)</f>
        <v>-3.6454973876127044</v>
      </c>
      <c r="AS803" s="105">
        <f>IF($AM$658&gt;0,IPMT('Assumptions (Wind)'!$V$8,Model!AC1,'Assumptions (Wind)'!$V$11,'Assumptions (Wind)'!$V$6*Model!$AM$658*AVERAGE('Assumptions (Wind)'!$AJ$2:$AK$2)/10^9),0)</f>
        <v>-3.0240988277875771</v>
      </c>
      <c r="AT803" s="105">
        <f>IF($AM$658&gt;0,IPMT('Assumptions (Wind)'!$V$8,Model!AD1,'Assumptions (Wind)'!$V$11,'Assumptions (Wind)'!$V$6*Model!$AM$658*AVERAGE('Assumptions (Wind)'!$AJ$2:$AK$2)/10^9),0)</f>
        <v>-2.3529883831764411</v>
      </c>
      <c r="AU803" s="105">
        <f>IF($AM$658&gt;0,IPMT('Assumptions (Wind)'!$V$8,Model!AE1,'Assumptions (Wind)'!$V$11,'Assumptions (Wind)'!$V$6*Model!$AM$658*AVERAGE('Assumptions (Wind)'!$AJ$2:$AK$2)/10^9),0)</f>
        <v>-1.6281891029964135</v>
      </c>
      <c r="AV803" s="105">
        <f>IF($AM$658&gt;0,IPMT('Assumptions (Wind)'!$V$8,Model!AF1,'Assumptions (Wind)'!$V$11,'Assumptions (Wind)'!$V$6*Model!$AM$658*AVERAGE('Assumptions (Wind)'!$AJ$2:$AK$2)/10^9),0)</f>
        <v>-0.84540588040198383</v>
      </c>
      <c r="AW803" s="105" t="e">
        <f>IF($AM$658&gt;0,IPMT('Assumptions (Wind)'!$V$8,Model!AG1,'Assumptions (Wind)'!$V$11,'Assumptions (Wind)'!$V$6*Model!$AM$658*AVERAGE('Assumptions (Wind)'!$AJ$2:$AK$2)/10^9),0)</f>
        <v>#NUM!</v>
      </c>
      <c r="AX803" s="105" t="e">
        <f>IF($AM$658&gt;0,IPMT('Assumptions (Wind)'!$V$8,Model!AH1,'Assumptions (Wind)'!$V$11,'Assumptions (Wind)'!$V$6*Model!$AM$658*AVERAGE('Assumptions (Wind)'!$AJ$2:$AK$2)/10^9),0)</f>
        <v>#NUM!</v>
      </c>
      <c r="AY803" s="105" t="e">
        <f>IF($AM$658&gt;0,IPMT('Assumptions (Wind)'!$V$8,Model!AI1,'Assumptions (Wind)'!$V$11,'Assumptions (Wind)'!$V$6*Model!$AM$658*AVERAGE('Assumptions (Wind)'!$AJ$2:$AK$2)/10^9),0)</f>
        <v>#NUM!</v>
      </c>
      <c r="AZ803" s="105" t="e">
        <f>IF($AM$658&gt;0,IPMT('Assumptions (Wind)'!$V$8,Model!AJ1,'Assumptions (Wind)'!$V$11,'Assumptions (Wind)'!$V$6*Model!$AM$658*AVERAGE('Assumptions (Wind)'!$AJ$2:$AK$2)/10^9),0)</f>
        <v>#NUM!</v>
      </c>
      <c r="BA803" s="105" t="e">
        <f>IF($AM$658&gt;0,IPMT('Assumptions (Wind)'!$V$8,Model!AK1,'Assumptions (Wind)'!$V$11,'Assumptions (Wind)'!$V$6*Model!$AM$658*AVERAGE('Assumptions (Wind)'!$AJ$2:$AK$2)/10^9),0)</f>
        <v>#NUM!</v>
      </c>
      <c r="BB803" s="105"/>
      <c r="BC803" s="105"/>
      <c r="BD803" s="105"/>
      <c r="BE803" s="105"/>
      <c r="BF803" s="105"/>
      <c r="BG803" s="105"/>
      <c r="BH803" s="105"/>
      <c r="BI803" s="105"/>
      <c r="BJ803" s="105"/>
      <c r="BK803" s="105"/>
    </row>
    <row r="804" spans="1:76" ht="15.75" hidden="1" customHeight="1" outlineLevel="1">
      <c r="A804" s="395"/>
      <c r="B804" s="99"/>
      <c r="C804" s="99"/>
      <c r="D804" s="99"/>
      <c r="E804" s="99"/>
      <c r="F804" s="99"/>
      <c r="G804" s="99"/>
      <c r="H804" s="99"/>
      <c r="I804" s="99"/>
      <c r="J804" s="99"/>
      <c r="K804" s="99"/>
      <c r="L804" s="99"/>
      <c r="M804" s="99"/>
      <c r="N804" s="99"/>
      <c r="O804" s="99"/>
      <c r="P804" s="99"/>
      <c r="Q804" s="99"/>
      <c r="R804" s="99"/>
      <c r="S804" s="99"/>
      <c r="T804" s="99"/>
      <c r="U804" s="99"/>
      <c r="V804" s="99"/>
      <c r="W804" s="105"/>
      <c r="X804" s="105"/>
      <c r="Y804" s="105"/>
      <c r="Z804" s="105"/>
      <c r="AA804" s="105"/>
      <c r="AB804" s="105"/>
      <c r="AC804" s="105"/>
      <c r="AD804" s="105"/>
      <c r="AE804" s="105"/>
      <c r="AF804" s="105"/>
      <c r="AG804" s="105"/>
      <c r="AH804" s="105"/>
      <c r="AI804" s="105"/>
      <c r="AJ804" s="171"/>
      <c r="AK804" s="105"/>
      <c r="AL804" s="91"/>
      <c r="AM804" s="91"/>
      <c r="AN804" s="105">
        <f>IF($AN$658&gt;0,IPMT('Assumptions (Wind)'!$V$8,Model!W1,'Assumptions (Wind)'!$V$11,'Assumptions (Wind)'!$V$6*Model!$AN$658*AVERAGE('Assumptions (Wind)'!$AK$2:$AL$2)/10^9),0)</f>
        <v>-6.4393219936617907</v>
      </c>
      <c r="AO804" s="105">
        <f>IF($AN$658&gt;0,IPMT('Assumptions (Wind)'!$V$8,Model!X1,'Assumptions (Wind)'!$V$11,'Assumptions (Wind)'!$V$6*Model!$AN$658*AVERAGE('Assumptions (Wind)'!$AK$2:$AL$2)/10^9),0)</f>
        <v>-5.9948188888834855</v>
      </c>
      <c r="AP804" s="105">
        <f>IF($AN$658&gt;0,IPMT('Assumptions (Wind)'!$V$8,Model!Y1,'Assumptions (Wind)'!$V$11,'Assumptions (Wind)'!$V$6*Model!$AN$658*AVERAGE('Assumptions (Wind)'!$AK$2:$AL$2)/10^9),0)</f>
        <v>-5.514755535722915</v>
      </c>
      <c r="AQ804" s="105">
        <f>IF($AN$658&gt;0,IPMT('Assumptions (Wind)'!$V$8,Model!Z1,'Assumptions (Wind)'!$V$11,'Assumptions (Wind)'!$V$6*Model!$AN$658*AVERAGE('Assumptions (Wind)'!$AK$2:$AL$2)/10^9),0)</f>
        <v>-4.9962871143094985</v>
      </c>
      <c r="AR804" s="105">
        <f>IF($AN$658&gt;0,IPMT('Assumptions (Wind)'!$V$8,Model!AA1,'Assumptions (Wind)'!$V$11,'Assumptions (Wind)'!$V$6*Model!$AN$658*AVERAGE('Assumptions (Wind)'!$AK$2:$AL$2)/10^9),0)</f>
        <v>-4.4363412191830092</v>
      </c>
      <c r="AS804" s="105">
        <f>IF($AN$658&gt;0,IPMT('Assumptions (Wind)'!$V$8,Model!AB1,'Assumptions (Wind)'!$V$11,'Assumptions (Wind)'!$V$6*Model!$AN$658*AVERAGE('Assumptions (Wind)'!$AK$2:$AL$2)/10^9),0)</f>
        <v>-3.8315996524464015</v>
      </c>
      <c r="AT804" s="105">
        <f>IF($AN$658&gt;0,IPMT('Assumptions (Wind)'!$V$8,Model!AC1,'Assumptions (Wind)'!$V$11,'Assumptions (Wind)'!$V$6*Model!$AN$658*AVERAGE('Assumptions (Wind)'!$AK$2:$AL$2)/10^9),0)</f>
        <v>-3.1784787603708642</v>
      </c>
      <c r="AU804" s="105">
        <f>IF($AN$658&gt;0,IPMT('Assumptions (Wind)'!$V$8,Model!AD1,'Assumptions (Wind)'!$V$11,'Assumptions (Wind)'!$V$6*Model!$AN$658*AVERAGE('Assumptions (Wind)'!$AK$2:$AL$2)/10^9),0)</f>
        <v>-2.4731081969292843</v>
      </c>
      <c r="AV804" s="105">
        <f>IF($AN$658&gt;0,IPMT('Assumptions (Wind)'!$V$8,Model!AE1,'Assumptions (Wind)'!$V$11,'Assumptions (Wind)'!$V$6*Model!$AN$658*AVERAGE('Assumptions (Wind)'!$AK$2:$AL$2)/10^9),0)</f>
        <v>-1.7113079884123781</v>
      </c>
      <c r="AW804" s="105">
        <f>IF($AN$658&gt;0,IPMT('Assumptions (Wind)'!$V$8,Model!AF1,'Assumptions (Wind)'!$V$11,'Assumptions (Wind)'!$V$6*Model!$AN$658*AVERAGE('Assumptions (Wind)'!$AK$2:$AL$2)/10^9),0)</f>
        <v>-0.88856376321411934</v>
      </c>
      <c r="AX804" s="105" t="e">
        <f>IF($AN$658&gt;0,IPMT('Assumptions (Wind)'!$V$8,Model!AG1,'Assumptions (Wind)'!$V$11,'Assumptions (Wind)'!$V$6*Model!$AN$658*AVERAGE('Assumptions (Wind)'!$AK$2:$AL$2)/10^9),0)</f>
        <v>#NUM!</v>
      </c>
      <c r="AY804" s="105" t="e">
        <f>IF($AN$658&gt;0,IPMT('Assumptions (Wind)'!$V$8,Model!AH1,'Assumptions (Wind)'!$V$11,'Assumptions (Wind)'!$V$6*Model!$AN$658*AVERAGE('Assumptions (Wind)'!$AK$2:$AL$2)/10^9),0)</f>
        <v>#NUM!</v>
      </c>
      <c r="AZ804" s="105" t="e">
        <f>IF($AN$658&gt;0,IPMT('Assumptions (Wind)'!$V$8,Model!AI1,'Assumptions (Wind)'!$V$11,'Assumptions (Wind)'!$V$6*Model!$AN$658*AVERAGE('Assumptions (Wind)'!$AK$2:$AL$2)/10^9),0)</f>
        <v>#NUM!</v>
      </c>
      <c r="BA804" s="105" t="e">
        <f>IF($AN$658&gt;0,IPMT('Assumptions (Wind)'!$V$8,Model!AJ1,'Assumptions (Wind)'!$V$11,'Assumptions (Wind)'!$V$6*Model!$AN$658*AVERAGE('Assumptions (Wind)'!$AK$2:$AL$2)/10^9),0)</f>
        <v>#NUM!</v>
      </c>
      <c r="BB804" s="105" t="e">
        <f>IF($AN$658&gt;0,IPMT('Assumptions (Wind)'!$V$8,Model!AK1,'Assumptions (Wind)'!$V$11,'Assumptions (Wind)'!$V$6*Model!$AN$658*AVERAGE('Assumptions (Wind)'!$AK$2:$AL$2)/10^9),0)</f>
        <v>#NUM!</v>
      </c>
      <c r="BC804" s="105"/>
      <c r="BD804" s="105"/>
      <c r="BE804" s="105"/>
      <c r="BF804" s="105"/>
      <c r="BG804" s="105"/>
      <c r="BH804" s="105"/>
      <c r="BI804" s="105"/>
      <c r="BJ804" s="105"/>
      <c r="BK804" s="105"/>
      <c r="BL804" s="105"/>
    </row>
    <row r="805" spans="1:76" ht="15.75" hidden="1" customHeight="1" outlineLevel="1">
      <c r="A805" s="395"/>
      <c r="B805" s="99"/>
      <c r="C805" s="99"/>
      <c r="D805" s="99"/>
      <c r="E805" s="99"/>
      <c r="F805" s="99"/>
      <c r="G805" s="99"/>
      <c r="H805" s="99"/>
      <c r="I805" s="99"/>
      <c r="J805" s="99"/>
      <c r="K805" s="99"/>
      <c r="L805" s="99"/>
      <c r="M805" s="99"/>
      <c r="N805" s="99"/>
      <c r="O805" s="99"/>
      <c r="P805" s="99"/>
      <c r="Q805" s="99"/>
      <c r="R805" s="99"/>
      <c r="S805" s="99"/>
      <c r="T805" s="99"/>
      <c r="U805" s="99"/>
      <c r="V805" s="99"/>
      <c r="W805" s="105"/>
      <c r="X805" s="105"/>
      <c r="Y805" s="105"/>
      <c r="Z805" s="105"/>
      <c r="AA805" s="105"/>
      <c r="AB805" s="105"/>
      <c r="AC805" s="105"/>
      <c r="AD805" s="105"/>
      <c r="AE805" s="105"/>
      <c r="AF805" s="105"/>
      <c r="AG805" s="105"/>
      <c r="AH805" s="105"/>
      <c r="AI805" s="105"/>
      <c r="AJ805" s="171"/>
      <c r="AK805" s="105"/>
      <c r="AL805" s="91"/>
      <c r="AM805" s="91"/>
      <c r="AN805" s="91"/>
      <c r="AO805" s="105">
        <f>IF($AO$658&gt;0,IPMT('Assumptions (Wind)'!$V$8,Model!W1,'Assumptions (Wind)'!$V$11,'Assumptions (Wind)'!$V$6*Model!$AO$658*AVERAGE('Assumptions (Wind)'!$AL$2:$AM$2)/10^9),0)</f>
        <v>-6.6166968069591716</v>
      </c>
      <c r="AP805" s="105">
        <f>IF($AO$658&gt;0,IPMT('Assumptions (Wind)'!$V$8,Model!X1,'Assumptions (Wind)'!$V$11,'Assumptions (Wind)'!$V$6*Model!$AO$658*AVERAGE('Assumptions (Wind)'!$AL$2:$AM$2)/10^9),0)</f>
        <v>-6.1599496095112087</v>
      </c>
      <c r="AQ805" s="105">
        <f>IF($AO$658&gt;0,IPMT('Assumptions (Wind)'!$V$8,Model!Y1,'Assumptions (Wind)'!$V$11,'Assumptions (Wind)'!$V$6*Model!$AO$658*AVERAGE('Assumptions (Wind)'!$AL$2:$AM$2)/10^9),0)</f>
        <v>-5.6666626362674073</v>
      </c>
      <c r="AR805" s="105">
        <f>IF($AO$658&gt;0,IPMT('Assumptions (Wind)'!$V$8,Model!Z1,'Assumptions (Wind)'!$V$11,'Assumptions (Wind)'!$V$6*Model!$AO$658*AVERAGE('Assumptions (Wind)'!$AL$2:$AM$2)/10^9),0)</f>
        <v>-5.1339127051641027</v>
      </c>
      <c r="AS805" s="105">
        <f>IF($AO$658&gt;0,IPMT('Assumptions (Wind)'!$V$8,Model!AA1,'Assumptions (Wind)'!$V$11,'Assumptions (Wind)'!$V$6*Model!$AO$658*AVERAGE('Assumptions (Wind)'!$AL$2:$AM$2)/10^9),0)</f>
        <v>-4.5585427795725346</v>
      </c>
      <c r="AT805" s="105">
        <f>IF($AO$658&gt;0,IPMT('Assumptions (Wind)'!$V$8,Model!AB1,'Assumptions (Wind)'!$V$11,'Assumptions (Wind)'!$V$6*Model!$AO$658*AVERAGE('Assumptions (Wind)'!$AL$2:$AM$2)/10^9),0)</f>
        <v>-3.9371432599336407</v>
      </c>
      <c r="AU805" s="105">
        <f>IF($AO$658&gt;0,IPMT('Assumptions (Wind)'!$V$8,Model!AC1,'Assumptions (Wind)'!$V$11,'Assumptions (Wind)'!$V$6*Model!$AO$658*AVERAGE('Assumptions (Wind)'!$AL$2:$AM$2)/10^9),0)</f>
        <v>-3.2660317787236348</v>
      </c>
      <c r="AV805" s="105">
        <f>IF($AO$658&gt;0,IPMT('Assumptions (Wind)'!$V$8,Model!AD1,'Assumptions (Wind)'!$V$11,'Assumptions (Wind)'!$V$6*Model!$AO$658*AVERAGE('Assumptions (Wind)'!$AL$2:$AM$2)/10^9),0)</f>
        <v>-2.5412313790168288</v>
      </c>
      <c r="AW805" s="105">
        <f>IF($AO$658&gt;0,IPMT('Assumptions (Wind)'!$V$8,Model!AE1,'Assumptions (Wind)'!$V$11,'Assumptions (Wind)'!$V$6*Model!$AO$658*AVERAGE('Assumptions (Wind)'!$AL$2:$AM$2)/10^9),0)</f>
        <v>-1.7584469473334787</v>
      </c>
      <c r="AX805" s="105">
        <f>IF($AO$658&gt;0,IPMT('Assumptions (Wind)'!$V$8,Model!AF1,'Assumptions (Wind)'!$V$11,'Assumptions (Wind)'!$V$6*Model!$AO$658*AVERAGE('Assumptions (Wind)'!$AL$2:$AM$2)/10^9),0)</f>
        <v>-0.91303976111545992</v>
      </c>
      <c r="AY805" s="105" t="e">
        <f>IF($AO$658&gt;0,IPMT('Assumptions (Wind)'!$V$8,Model!AG1,'Assumptions (Wind)'!$V$11,'Assumptions (Wind)'!$V$6*Model!$AO$658*AVERAGE('Assumptions (Wind)'!$AL$2:$AM$2)/10^9),0)</f>
        <v>#NUM!</v>
      </c>
      <c r="AZ805" s="105" t="e">
        <f>IF($AO$658&gt;0,IPMT('Assumptions (Wind)'!$V$8,Model!AH1,'Assumptions (Wind)'!$V$11,'Assumptions (Wind)'!$V$6*Model!$AO$658*AVERAGE('Assumptions (Wind)'!$AL$2:$AM$2)/10^9),0)</f>
        <v>#NUM!</v>
      </c>
      <c r="BA805" s="105" t="e">
        <f>IF($AO$658&gt;0,IPMT('Assumptions (Wind)'!$V$8,Model!AI1,'Assumptions (Wind)'!$V$11,'Assumptions (Wind)'!$V$6*Model!$AO$658*AVERAGE('Assumptions (Wind)'!$AL$2:$AM$2)/10^9),0)</f>
        <v>#NUM!</v>
      </c>
      <c r="BB805" s="105" t="e">
        <f>IF($AO$658&gt;0,IPMT('Assumptions (Wind)'!$V$8,Model!AJ1,'Assumptions (Wind)'!$V$11,'Assumptions (Wind)'!$V$6*Model!$AO$658*AVERAGE('Assumptions (Wind)'!$AL$2:$AM$2)/10^9),0)</f>
        <v>#NUM!</v>
      </c>
      <c r="BC805" s="105" t="e">
        <f>IF($AO$658&gt;0,IPMT('Assumptions (Wind)'!$V$8,Model!AK1,'Assumptions (Wind)'!$V$11,'Assumptions (Wind)'!$V$6*Model!$AO$658*AVERAGE('Assumptions (Wind)'!$AL$2:$AM$2)/10^9),0)</f>
        <v>#NUM!</v>
      </c>
      <c r="BD805" s="105"/>
      <c r="BE805" s="105"/>
      <c r="BF805" s="105"/>
      <c r="BG805" s="105"/>
      <c r="BH805" s="105"/>
      <c r="BI805" s="105"/>
      <c r="BJ805" s="105"/>
      <c r="BK805" s="105"/>
      <c r="BL805" s="105"/>
      <c r="BM805" s="105"/>
    </row>
    <row r="806" spans="1:76" ht="15.75" hidden="1" customHeight="1" outlineLevel="1">
      <c r="A806" s="395"/>
      <c r="B806" s="99"/>
      <c r="C806" s="99"/>
      <c r="D806" s="99"/>
      <c r="E806" s="99"/>
      <c r="F806" s="99"/>
      <c r="G806" s="99"/>
      <c r="H806" s="99"/>
      <c r="I806" s="99"/>
      <c r="J806" s="99"/>
      <c r="K806" s="99"/>
      <c r="L806" s="99"/>
      <c r="M806" s="99"/>
      <c r="N806" s="99"/>
      <c r="O806" s="99"/>
      <c r="P806" s="99"/>
      <c r="Q806" s="99"/>
      <c r="R806" s="99"/>
      <c r="S806" s="99"/>
      <c r="T806" s="99"/>
      <c r="U806" s="99"/>
      <c r="V806" s="99"/>
      <c r="W806" s="105"/>
      <c r="X806" s="105"/>
      <c r="Y806" s="105"/>
      <c r="Z806" s="105"/>
      <c r="AA806" s="105"/>
      <c r="AB806" s="105"/>
      <c r="AC806" s="105"/>
      <c r="AD806" s="105"/>
      <c r="AE806" s="105"/>
      <c r="AF806" s="105"/>
      <c r="AG806" s="105"/>
      <c r="AH806" s="105"/>
      <c r="AI806" s="105"/>
      <c r="AJ806" s="171"/>
      <c r="AK806" s="105"/>
      <c r="AL806" s="91"/>
      <c r="AM806" s="91"/>
      <c r="AN806" s="91"/>
      <c r="AO806" s="105"/>
      <c r="AP806" s="105">
        <f>IF($AP$658&gt;0,IPMT('Assumptions (Wind)'!$V$8,Model!W1,'Assumptions (Wind)'!$V$11,'Assumptions (Wind)'!$V$6*Model!$AP$658*AVERAGE('Assumptions (Wind)'!$AM$2:$AN$2)/10^9),0)</f>
        <v>-7.050114785602414</v>
      </c>
      <c r="AQ806" s="105">
        <f>IF($AP$658&gt;0,IPMT('Assumptions (Wind)'!$V$8,Model!X1,'Assumptions (Wind)'!$V$11,'Assumptions (Wind)'!$V$6*Model!$AP$658*AVERAGE('Assumptions (Wind)'!$AM$2:$AN$2)/10^9),0)</f>
        <v>-6.5634489666965878</v>
      </c>
      <c r="AR806" s="105">
        <f>IF($AP$658&gt;0,IPMT('Assumptions (Wind)'!$V$8,Model!Y1,'Assumptions (Wind)'!$V$11,'Assumptions (Wind)'!$V$6*Model!$AP$658*AVERAGE('Assumptions (Wind)'!$AM$2:$AN$2)/10^9),0)</f>
        <v>-6.0378498822782944</v>
      </c>
      <c r="AS806" s="105">
        <f>IF($AP$658&gt;0,IPMT('Assumptions (Wind)'!$V$8,Model!Z1,'Assumptions (Wind)'!$V$11,'Assumptions (Wind)'!$V$6*Model!$AP$658*AVERAGE('Assumptions (Wind)'!$AM$2:$AN$2)/10^9),0)</f>
        <v>-5.4702028711065385</v>
      </c>
      <c r="AT806" s="105">
        <f>IF($AP$658&gt;0,IPMT('Assumptions (Wind)'!$V$8,Model!AA1,'Assumptions (Wind)'!$V$11,'Assumptions (Wind)'!$V$6*Model!$AP$658*AVERAGE('Assumptions (Wind)'!$AM$2:$AN$2)/10^9),0)</f>
        <v>-4.8571440990410428</v>
      </c>
      <c r="AU806" s="105">
        <f>IF($AP$658&gt;0,IPMT('Assumptions (Wind)'!$V$8,Model!AB1,'Assumptions (Wind)'!$V$11,'Assumptions (Wind)'!$V$6*Model!$AP$658*AVERAGE('Assumptions (Wind)'!$AM$2:$AN$2)/10^9),0)</f>
        <v>-4.1950406252103072</v>
      </c>
      <c r="AV806" s="105">
        <f>IF($AP$658&gt;0,IPMT('Assumptions (Wind)'!$V$8,Model!AC1,'Assumptions (Wind)'!$V$11,'Assumptions (Wind)'!$V$6*Model!$AP$658*AVERAGE('Assumptions (Wind)'!$AM$2:$AN$2)/10^9),0)</f>
        <v>-3.479968873473112</v>
      </c>
      <c r="AW806" s="105">
        <f>IF($AP$658&gt;0,IPMT('Assumptions (Wind)'!$V$8,Model!AD1,'Assumptions (Wind)'!$V$11,'Assumptions (Wind)'!$V$6*Model!$AP$658*AVERAGE('Assumptions (Wind)'!$AM$2:$AN$2)/10^9),0)</f>
        <v>-2.7076913815969426</v>
      </c>
      <c r="AX806" s="105">
        <f>IF($AP$658&gt;0,IPMT('Assumptions (Wind)'!$V$8,Model!AE1,'Assumptions (Wind)'!$V$11,'Assumptions (Wind)'!$V$6*Model!$AP$658*AVERAGE('Assumptions (Wind)'!$AM$2:$AN$2)/10^9),0)</f>
        <v>-1.8736316903706789</v>
      </c>
      <c r="AY806" s="105">
        <f>IF($AP$658&gt;0,IPMT('Assumptions (Wind)'!$V$8,Model!AF1,'Assumptions (Wind)'!$V$11,'Assumptions (Wind)'!$V$6*Model!$AP$658*AVERAGE('Assumptions (Wind)'!$AM$2:$AN$2)/10^9),0)</f>
        <v>-0.97284722384631395</v>
      </c>
      <c r="AZ806" s="105" t="e">
        <f>IF($AP$658&gt;0,IPMT('Assumptions (Wind)'!$V$8,Model!AG1,'Assumptions (Wind)'!$V$11,'Assumptions (Wind)'!$V$6*Model!$AP$658*AVERAGE('Assumptions (Wind)'!$AM$2:$AN$2)/10^9),0)</f>
        <v>#NUM!</v>
      </c>
      <c r="BA806" s="105" t="e">
        <f>IF($AP$658&gt;0,IPMT('Assumptions (Wind)'!$V$8,Model!AH1,'Assumptions (Wind)'!$V$11,'Assumptions (Wind)'!$V$6*Model!$AP$658*AVERAGE('Assumptions (Wind)'!$AM$2:$AN$2)/10^9),0)</f>
        <v>#NUM!</v>
      </c>
      <c r="BB806" s="105" t="e">
        <f>IF($AP$658&gt;0,IPMT('Assumptions (Wind)'!$V$8,Model!AI1,'Assumptions (Wind)'!$V$11,'Assumptions (Wind)'!$V$6*Model!$AP$658*AVERAGE('Assumptions (Wind)'!$AM$2:$AN$2)/10^9),0)</f>
        <v>#NUM!</v>
      </c>
      <c r="BC806" s="105" t="e">
        <f>IF($AP$658&gt;0,IPMT('Assumptions (Wind)'!$V$8,Model!AJ1,'Assumptions (Wind)'!$V$11,'Assumptions (Wind)'!$V$6*Model!$AP$658*AVERAGE('Assumptions (Wind)'!$AM$2:$AN$2)/10^9),0)</f>
        <v>#NUM!</v>
      </c>
      <c r="BD806" s="105" t="e">
        <f>IF($AP$658&gt;0,IPMT('Assumptions (Wind)'!$V$8,Model!AK1,'Assumptions (Wind)'!$V$11,'Assumptions (Wind)'!$V$6*Model!$AP$658*AVERAGE('Assumptions (Wind)'!$AM$2:$AN$2)/10^9),0)</f>
        <v>#NUM!</v>
      </c>
      <c r="BE806" s="105"/>
      <c r="BF806" s="105"/>
      <c r="BG806" s="105"/>
      <c r="BH806" s="105"/>
      <c r="BI806" s="105"/>
      <c r="BJ806" s="105"/>
      <c r="BK806" s="105"/>
      <c r="BL806" s="105"/>
      <c r="BM806" s="105"/>
      <c r="BN806" s="105"/>
    </row>
    <row r="807" spans="1:76" ht="15.75" hidden="1" customHeight="1" outlineLevel="1">
      <c r="A807" s="395"/>
      <c r="B807" s="99"/>
      <c r="C807" s="99"/>
      <c r="D807" s="99"/>
      <c r="E807" s="99"/>
      <c r="F807" s="99"/>
      <c r="G807" s="99"/>
      <c r="H807" s="99"/>
      <c r="I807" s="99"/>
      <c r="J807" s="99"/>
      <c r="K807" s="99"/>
      <c r="L807" s="99"/>
      <c r="M807" s="99"/>
      <c r="N807" s="99"/>
      <c r="O807" s="99"/>
      <c r="P807" s="99"/>
      <c r="Q807" s="99"/>
      <c r="R807" s="99"/>
      <c r="S807" s="99"/>
      <c r="T807" s="99"/>
      <c r="U807" s="99"/>
      <c r="V807" s="99"/>
      <c r="W807" s="105"/>
      <c r="X807" s="105"/>
      <c r="Y807" s="105"/>
      <c r="Z807" s="105"/>
      <c r="AA807" s="105"/>
      <c r="AB807" s="105"/>
      <c r="AC807" s="105"/>
      <c r="AD807" s="105"/>
      <c r="AE807" s="105"/>
      <c r="AF807" s="105"/>
      <c r="AG807" s="105"/>
      <c r="AH807" s="105"/>
      <c r="AI807" s="105"/>
      <c r="AJ807" s="171"/>
      <c r="AK807" s="105"/>
      <c r="AL807" s="91"/>
      <c r="AM807" s="91"/>
      <c r="AN807" s="91"/>
      <c r="AO807" s="105"/>
      <c r="AP807" s="105"/>
      <c r="AQ807" s="105">
        <f>IF($AQ$658&gt;0,IPMT('Assumptions (Wind)'!$V$8,Model!W1,'Assumptions (Wind)'!$V$11,'Assumptions (Wind)'!$V$6*Model!$AQ$658*AVERAGE('Assumptions (Wind)'!$AN$2:$AO$2)/10^9),0)</f>
        <v>-7.5438406309493224</v>
      </c>
      <c r="AR807" s="105">
        <f>IF($AQ$658&gt;0,IPMT('Assumptions (Wind)'!$V$8,Model!X1,'Assumptions (Wind)'!$V$11,'Assumptions (Wind)'!$V$6*Model!$AQ$658*AVERAGE('Assumptions (Wind)'!$AN$2:$AO$2)/10^9),0)</f>
        <v>-7.0230931693826681</v>
      </c>
      <c r="AS807" s="105">
        <f>IF($AQ$658&gt;0,IPMT('Assumptions (Wind)'!$V$8,Model!Y1,'Assumptions (Wind)'!$V$11,'Assumptions (Wind)'!$V$6*Model!$AQ$658*AVERAGE('Assumptions (Wind)'!$AN$2:$AO$2)/10^9),0)</f>
        <v>-6.4606859108906809</v>
      </c>
      <c r="AT807" s="105">
        <f>IF($AQ$658&gt;0,IPMT('Assumptions (Wind)'!$V$8,Model!Z1,'Assumptions (Wind)'!$V$11,'Assumptions (Wind)'!$V$6*Model!$AQ$658*AVERAGE('Assumptions (Wind)'!$AN$2:$AO$2)/10^9),0)</f>
        <v>-5.8532860717193342</v>
      </c>
      <c r="AU807" s="105">
        <f>IF($AQ$658&gt;0,IPMT('Assumptions (Wind)'!$V$8,Model!AA1,'Assumptions (Wind)'!$V$11,'Assumptions (Wind)'!$V$6*Model!$AQ$658*AVERAGE('Assumptions (Wind)'!$AN$2:$AO$2)/10^9),0)</f>
        <v>-5.1972942454142812</v>
      </c>
      <c r="AV807" s="105">
        <f>IF($AQ$658&gt;0,IPMT('Assumptions (Wind)'!$V$8,Model!AB1,'Assumptions (Wind)'!$V$11,'Assumptions (Wind)'!$V$6*Model!$AQ$658*AVERAGE('Assumptions (Wind)'!$AN$2:$AO$2)/10^9),0)</f>
        <v>-4.4888230730048226</v>
      </c>
      <c r="AW807" s="105">
        <f>IF($AQ$658&gt;0,IPMT('Assumptions (Wind)'!$V$8,Model!AC1,'Assumptions (Wind)'!$V$11,'Assumptions (Wind)'!$V$6*Model!$AQ$658*AVERAGE('Assumptions (Wind)'!$AN$2:$AO$2)/10^9),0)</f>
        <v>-3.7236742068026083</v>
      </c>
      <c r="AX807" s="105">
        <f>IF($AQ$658&gt;0,IPMT('Assumptions (Wind)'!$V$8,Model!AD1,'Assumptions (Wind)'!$V$11,'Assumptions (Wind)'!$V$6*Model!$AQ$658*AVERAGE('Assumptions (Wind)'!$AN$2:$AO$2)/10^9),0)</f>
        <v>-2.8973134313042168</v>
      </c>
      <c r="AY807" s="105">
        <f>IF($AQ$658&gt;0,IPMT('Assumptions (Wind)'!$V$8,Model!AE1,'Assumptions (Wind)'!$V$11,'Assumptions (Wind)'!$V$6*Model!$AQ$658*AVERAGE('Assumptions (Wind)'!$AN$2:$AO$2)/10^9),0)</f>
        <v>-2.004843793765954</v>
      </c>
      <c r="AZ807" s="105">
        <f>IF($AQ$658&gt;0,IPMT('Assumptions (Wind)'!$V$8,Model!AF1,'Assumptions (Wind)'!$V$11,'Assumptions (Wind)'!$V$6*Model!$AQ$658*AVERAGE('Assumptions (Wind)'!$AN$2:$AO$2)/10^9),0)</f>
        <v>-1.0409765852246298</v>
      </c>
      <c r="BA807" s="105" t="e">
        <f>IF($AQ$658&gt;0,IPMT('Assumptions (Wind)'!$V$8,Model!AG1,'Assumptions (Wind)'!$V$11,'Assumptions (Wind)'!$V$6*Model!$AQ$658*AVERAGE('Assumptions (Wind)'!$AN$2:$AO$2)/10^9),0)</f>
        <v>#NUM!</v>
      </c>
      <c r="BB807" s="105" t="e">
        <f>IF($AQ$658&gt;0,IPMT('Assumptions (Wind)'!$V$8,Model!AH1,'Assumptions (Wind)'!$V$11,'Assumptions (Wind)'!$V$6*Model!$AQ$658*AVERAGE('Assumptions (Wind)'!$AN$2:$AO$2)/10^9),0)</f>
        <v>#NUM!</v>
      </c>
      <c r="BC807" s="105" t="e">
        <f>IF($AQ$658&gt;0,IPMT('Assumptions (Wind)'!$V$8,Model!AI1,'Assumptions (Wind)'!$V$11,'Assumptions (Wind)'!$V$6*Model!$AQ$658*AVERAGE('Assumptions (Wind)'!$AN$2:$AO$2)/10^9),0)</f>
        <v>#NUM!</v>
      </c>
      <c r="BD807" s="105" t="e">
        <f>IF($AQ$658&gt;0,IPMT('Assumptions (Wind)'!$V$8,Model!AJ1,'Assumptions (Wind)'!$V$11,'Assumptions (Wind)'!$V$6*Model!$AQ$658*AVERAGE('Assumptions (Wind)'!$AN$2:$AO$2)/10^9),0)</f>
        <v>#NUM!</v>
      </c>
      <c r="BE807" s="105" t="e">
        <f>IF($AQ$658&gt;0,IPMT('Assumptions (Wind)'!$V$8,Model!AK1,'Assumptions (Wind)'!$V$11,'Assumptions (Wind)'!$V$6*Model!$AQ$658*AVERAGE('Assumptions (Wind)'!$AN$2:$AO$2)/10^9),0)</f>
        <v>#NUM!</v>
      </c>
      <c r="BF807" s="105"/>
      <c r="BG807" s="105"/>
      <c r="BH807" s="105"/>
      <c r="BI807" s="105"/>
      <c r="BJ807" s="105"/>
      <c r="BK807" s="105"/>
      <c r="BL807" s="105"/>
      <c r="BM807" s="105"/>
      <c r="BN807" s="105"/>
      <c r="BO807" s="105"/>
    </row>
    <row r="808" spans="1:76" ht="15.75" hidden="1" customHeight="1" outlineLevel="1">
      <c r="A808" s="395"/>
      <c r="B808" s="99"/>
      <c r="C808" s="99"/>
      <c r="D808" s="99"/>
      <c r="E808" s="99"/>
      <c r="F808" s="99"/>
      <c r="G808" s="99"/>
      <c r="H808" s="99"/>
      <c r="I808" s="99"/>
      <c r="J808" s="99"/>
      <c r="K808" s="99"/>
      <c r="L808" s="99"/>
      <c r="M808" s="99"/>
      <c r="N808" s="99"/>
      <c r="O808" s="99"/>
      <c r="P808" s="99"/>
      <c r="Q808" s="99"/>
      <c r="R808" s="99"/>
      <c r="S808" s="99"/>
      <c r="T808" s="99"/>
      <c r="U808" s="99"/>
      <c r="V808" s="99"/>
      <c r="W808" s="105"/>
      <c r="X808" s="105"/>
      <c r="Y808" s="105"/>
      <c r="Z808" s="105"/>
      <c r="AA808" s="105"/>
      <c r="AB808" s="105"/>
      <c r="AC808" s="105"/>
      <c r="AD808" s="105"/>
      <c r="AE808" s="105"/>
      <c r="AF808" s="105"/>
      <c r="AG808" s="105"/>
      <c r="AH808" s="105"/>
      <c r="AI808" s="105"/>
      <c r="AJ808" s="171"/>
      <c r="AK808" s="105"/>
      <c r="AL808" s="91"/>
      <c r="AM808" s="91"/>
      <c r="AN808" s="91"/>
      <c r="AO808" s="105"/>
      <c r="AP808" s="105"/>
      <c r="AQ808" s="105"/>
      <c r="AR808" s="105">
        <f>IF($AR$658&gt;0,IPMT('Assumptions (Wind)'!$V$8,Model!W1,'Assumptions (Wind)'!$V$11,'Assumptions (Wind)'!$V$6*Model!$AR$658*AVERAGE('Assumptions (Wind)'!$AO$2:$AP$2)/10^9),0)</f>
        <v>-7.8700950390249842</v>
      </c>
      <c r="AS808" s="105">
        <f>IF($AR$658&gt;0,IPMT('Assumptions (Wind)'!$V$8,Model!X1,'Assumptions (Wind)'!$V$11,'Assumptions (Wind)'!$V$6*Model!$AR$658*AVERAGE('Assumptions (Wind)'!$AO$2:$AP$2)/10^9),0)</f>
        <v>-7.3268264024837002</v>
      </c>
      <c r="AT808" s="105">
        <f>IF($AR$658&gt;0,IPMT('Assumptions (Wind)'!$V$8,Model!Y1,'Assumptions (Wind)'!$V$11,'Assumptions (Wind)'!$V$6*Model!$AR$658*AVERAGE('Assumptions (Wind)'!$AO$2:$AP$2)/10^9),0)</f>
        <v>-6.7400962750191118</v>
      </c>
      <c r="AU808" s="105">
        <f>IF($AR$658&gt;0,IPMT('Assumptions (Wind)'!$V$8,Model!Z1,'Assumptions (Wind)'!$V$11,'Assumptions (Wind)'!$V$6*Model!$AR$658*AVERAGE('Assumptions (Wind)'!$AO$2:$AP$2)/10^9),0)</f>
        <v>-6.1064277373573574</v>
      </c>
      <c r="AV808" s="105">
        <f>IF($AR$658&gt;0,IPMT('Assumptions (Wind)'!$V$8,Model!AA1,'Assumptions (Wind)'!$V$11,'Assumptions (Wind)'!$V$6*Model!$AR$658*AVERAGE('Assumptions (Wind)'!$AO$2:$AP$2)/10^9),0)</f>
        <v>-5.4220657166826633</v>
      </c>
      <c r="AW808" s="105">
        <f>IF($AR$658&gt;0,IPMT('Assumptions (Wind)'!$V$8,Model!AB1,'Assumptions (Wind)'!$V$11,'Assumptions (Wind)'!$V$6*Model!$AR$658*AVERAGE('Assumptions (Wind)'!$AO$2:$AP$2)/10^9),0)</f>
        <v>-4.6829547343539932</v>
      </c>
      <c r="AX808" s="105">
        <f>IF($AR$658&gt;0,IPMT('Assumptions (Wind)'!$V$8,Model!AC1,'Assumptions (Wind)'!$V$11,'Assumptions (Wind)'!$V$6*Model!$AR$658*AVERAGE('Assumptions (Wind)'!$AO$2:$AP$2)/10^9),0)</f>
        <v>-3.8847148734390289</v>
      </c>
      <c r="AY808" s="105">
        <f>IF($AR$658&gt;0,IPMT('Assumptions (Wind)'!$V$8,Model!AD1,'Assumptions (Wind)'!$V$11,'Assumptions (Wind)'!$V$6*Model!$AR$658*AVERAGE('Assumptions (Wind)'!$AO$2:$AP$2)/10^9),0)</f>
        <v>-3.0226158236508684</v>
      </c>
      <c r="AZ808" s="105">
        <f>IF($AR$658&gt;0,IPMT('Assumptions (Wind)'!$V$8,Model!AE1,'Assumptions (Wind)'!$V$11,'Assumptions (Wind)'!$V$6*Model!$AR$658*AVERAGE('Assumptions (Wind)'!$AO$2:$AP$2)/10^9),0)</f>
        <v>-2.0915488498796546</v>
      </c>
      <c r="BA808" s="105">
        <f>IF($AR$658&gt;0,IPMT('Assumptions (Wind)'!$V$8,Model!AF1,'Assumptions (Wind)'!$V$11,'Assumptions (Wind)'!$V$6*Model!$AR$658*AVERAGE('Assumptions (Wind)'!$AO$2:$AP$2)/10^9),0)</f>
        <v>-1.0859965182067437</v>
      </c>
      <c r="BB808" s="105" t="e">
        <f>IF($AR$658&gt;0,IPMT('Assumptions (Wind)'!$V$8,Model!AG1,'Assumptions (Wind)'!$V$11,'Assumptions (Wind)'!$V$6*Model!$AR$658*AVERAGE('Assumptions (Wind)'!$AO$2:$AP$2)/10^9),0)</f>
        <v>#NUM!</v>
      </c>
      <c r="BC808" s="105" t="e">
        <f>IF($AR$658&gt;0,IPMT('Assumptions (Wind)'!$V$8,Model!AH1,'Assumptions (Wind)'!$V$11,'Assumptions (Wind)'!$V$6*Model!$AR$658*AVERAGE('Assumptions (Wind)'!$AO$2:$AP$2)/10^9),0)</f>
        <v>#NUM!</v>
      </c>
      <c r="BD808" s="105" t="e">
        <f>IF($AR$658&gt;0,IPMT('Assumptions (Wind)'!$V$8,Model!AI1,'Assumptions (Wind)'!$V$11,'Assumptions (Wind)'!$V$6*Model!$AR$658*AVERAGE('Assumptions (Wind)'!$AO$2:$AP$2)/10^9),0)</f>
        <v>#NUM!</v>
      </c>
      <c r="BE808" s="105" t="e">
        <f>IF($AR$658&gt;0,IPMT('Assumptions (Wind)'!$V$8,Model!AJ1,'Assumptions (Wind)'!$V$11,'Assumptions (Wind)'!$V$6*Model!$AR$658*AVERAGE('Assumptions (Wind)'!$AO$2:$AP$2)/10^9),0)</f>
        <v>#NUM!</v>
      </c>
      <c r="BF808" s="105" t="e">
        <f>IF($AR$658&gt;0,IPMT('Assumptions (Wind)'!$V$8,Model!AK1,'Assumptions (Wind)'!$V$11,'Assumptions (Wind)'!$V$6*Model!$AR$658*AVERAGE('Assumptions (Wind)'!$AO$2:$AP$2)/10^9),0)</f>
        <v>#NUM!</v>
      </c>
      <c r="BG808" s="105"/>
      <c r="BH808" s="105"/>
      <c r="BI808" s="105"/>
      <c r="BJ808" s="105"/>
      <c r="BK808" s="105"/>
      <c r="BL808" s="105"/>
      <c r="BM808" s="105"/>
      <c r="BN808" s="105"/>
      <c r="BO808" s="105"/>
      <c r="BP808" s="105"/>
    </row>
    <row r="809" spans="1:76" ht="15.75" hidden="1" customHeight="1" outlineLevel="1">
      <c r="A809" s="395"/>
      <c r="B809" s="99"/>
      <c r="C809" s="99"/>
      <c r="D809" s="99"/>
      <c r="E809" s="99"/>
      <c r="F809" s="99"/>
      <c r="G809" s="99"/>
      <c r="H809" s="99"/>
      <c r="I809" s="99"/>
      <c r="J809" s="99"/>
      <c r="K809" s="99"/>
      <c r="L809" s="99"/>
      <c r="M809" s="99"/>
      <c r="N809" s="99"/>
      <c r="O809" s="99"/>
      <c r="P809" s="99"/>
      <c r="Q809" s="99"/>
      <c r="R809" s="99"/>
      <c r="S809" s="99"/>
      <c r="T809" s="99"/>
      <c r="U809" s="99"/>
      <c r="V809" s="99"/>
      <c r="W809" s="105"/>
      <c r="X809" s="105"/>
      <c r="Y809" s="105"/>
      <c r="Z809" s="105"/>
      <c r="AA809" s="105"/>
      <c r="AB809" s="105"/>
      <c r="AC809" s="105"/>
      <c r="AD809" s="105"/>
      <c r="AE809" s="105"/>
      <c r="AF809" s="105"/>
      <c r="AG809" s="105"/>
      <c r="AH809" s="105"/>
      <c r="AI809" s="105"/>
      <c r="AJ809" s="171"/>
      <c r="AK809" s="105"/>
      <c r="AL809" s="91"/>
      <c r="AM809" s="91"/>
      <c r="AN809" s="91"/>
      <c r="AO809" s="105"/>
      <c r="AP809" s="105"/>
      <c r="AQ809" s="105"/>
      <c r="AR809" s="105"/>
      <c r="AS809" s="105">
        <f>IF($AS$658&gt;0,IPMT('Assumptions (Wind)'!$V$8,Model!W1,'Assumptions (Wind)'!$V$11,'Assumptions (Wind)'!$V$6*Model!$AS$658*AVERAGE('Assumptions (Wind)'!$AP$2:$AQ$2)/10^9),0)</f>
        <v>-7.4097666331071901</v>
      </c>
      <c r="AT809" s="105">
        <f>IF($AS$658&gt;0,IPMT('Assumptions (Wind)'!$V$8,Model!X1,'Assumptions (Wind)'!$V$11,'Assumptions (Wind)'!$V$6*Model!$AS$658*AVERAGE('Assumptions (Wind)'!$AP$2:$AQ$2)/10^9),0)</f>
        <v>-6.8982742310591521</v>
      </c>
      <c r="AU809" s="105">
        <f>IF($AS$658&gt;0,IPMT('Assumptions (Wind)'!$V$8,Model!Y1,'Assumptions (Wind)'!$V$11,'Assumptions (Wind)'!$V$6*Model!$AS$658*AVERAGE('Assumptions (Wind)'!$AP$2:$AQ$2)/10^9),0)</f>
        <v>-6.345862436847268</v>
      </c>
      <c r="AV809" s="105">
        <f>IF($AS$658&gt;0,IPMT('Assumptions (Wind)'!$V$8,Model!Z1,'Assumptions (Wind)'!$V$11,'Assumptions (Wind)'!$V$6*Model!$AS$658*AVERAGE('Assumptions (Wind)'!$AP$2:$AQ$2)/10^9),0)</f>
        <v>-5.7492576990984343</v>
      </c>
      <c r="AW809" s="105">
        <f>IF($AS$658&gt;0,IPMT('Assumptions (Wind)'!$V$8,Model!AA1,'Assumptions (Wind)'!$V$11,'Assumptions (Wind)'!$V$6*Model!$AS$658*AVERAGE('Assumptions (Wind)'!$AP$2:$AQ$2)/10^9),0)</f>
        <v>-5.1049245823296943</v>
      </c>
      <c r="AX809" s="105">
        <f>IF($AS$658&gt;0,IPMT('Assumptions (Wind)'!$V$8,Model!AB1,'Assumptions (Wind)'!$V$11,'Assumptions (Wind)'!$V$6*Model!$AS$658*AVERAGE('Assumptions (Wind)'!$AP$2:$AQ$2)/10^9),0)</f>
        <v>-4.4090448162194562</v>
      </c>
      <c r="AY809" s="105">
        <f>IF($AS$658&gt;0,IPMT('Assumptions (Wind)'!$V$8,Model!AC1,'Assumptions (Wind)'!$V$11,'Assumptions (Wind)'!$V$6*Model!$AS$658*AVERAGE('Assumptions (Wind)'!$AP$2:$AQ$2)/10^9),0)</f>
        <v>-3.6574946688203971</v>
      </c>
      <c r="AZ809" s="105">
        <f>IF($AS$658&gt;0,IPMT('Assumptions (Wind)'!$V$8,Model!AD1,'Assumptions (Wind)'!$V$11,'Assumptions (Wind)'!$V$6*Model!$AS$658*AVERAGE('Assumptions (Wind)'!$AP$2:$AQ$2)/10^9),0)</f>
        <v>-2.8458205096294149</v>
      </c>
      <c r="BA809" s="105">
        <f>IF($AS$658&gt;0,IPMT('Assumptions (Wind)'!$V$8,Model!AE1,'Assumptions (Wind)'!$V$11,'Assumptions (Wind)'!$V$6*Model!$AS$658*AVERAGE('Assumptions (Wind)'!$AP$2:$AQ$2)/10^9),0)</f>
        <v>-1.9692124177031536</v>
      </c>
      <c r="BB809" s="105">
        <f>IF($AS$658&gt;0,IPMT('Assumptions (Wind)'!$V$8,Model!AF1,'Assumptions (Wind)'!$V$11,'Assumptions (Wind)'!$V$6*Model!$AS$658*AVERAGE('Assumptions (Wind)'!$AP$2:$AQ$2)/10^9),0)</f>
        <v>-1.0224756784227913</v>
      </c>
      <c r="BC809" s="105" t="e">
        <f>IF($AS$658&gt;0,IPMT('Assumptions (Wind)'!$V$8,Model!AG1,'Assumptions (Wind)'!$V$11,'Assumptions (Wind)'!$V$6*Model!$AS$658*AVERAGE('Assumptions (Wind)'!$AP$2:$AQ$2)/10^9),0)</f>
        <v>#NUM!</v>
      </c>
      <c r="BD809" s="105" t="e">
        <f>IF($AS$658&gt;0,IPMT('Assumptions (Wind)'!$V$8,Model!AH1,'Assumptions (Wind)'!$V$11,'Assumptions (Wind)'!$V$6*Model!$AS$658*AVERAGE('Assumptions (Wind)'!$AP$2:$AQ$2)/10^9),0)</f>
        <v>#NUM!</v>
      </c>
      <c r="BE809" s="105" t="e">
        <f>IF($AS$658&gt;0,IPMT('Assumptions (Wind)'!$V$8,Model!AI1,'Assumptions (Wind)'!$V$11,'Assumptions (Wind)'!$V$6*Model!$AS$658*AVERAGE('Assumptions (Wind)'!$AP$2:$AQ$2)/10^9),0)</f>
        <v>#NUM!</v>
      </c>
      <c r="BF809" s="105" t="e">
        <f>IF($AS$658&gt;0,IPMT('Assumptions (Wind)'!$V$8,Model!AJ1,'Assumptions (Wind)'!$V$11,'Assumptions (Wind)'!$V$6*Model!$AS$658*AVERAGE('Assumptions (Wind)'!$AP$2:$AQ$2)/10^9),0)</f>
        <v>#NUM!</v>
      </c>
      <c r="BG809" s="105" t="e">
        <f>IF($AS$658&gt;0,IPMT('Assumptions (Wind)'!$V$8,Model!AK1,'Assumptions (Wind)'!$V$11,'Assumptions (Wind)'!$V$6*Model!$AS$658*AVERAGE('Assumptions (Wind)'!$AP$2:$AQ$2)/10^9),0)</f>
        <v>#NUM!</v>
      </c>
      <c r="BH809" s="105"/>
      <c r="BI809" s="105"/>
      <c r="BJ809" s="105"/>
      <c r="BK809" s="105"/>
      <c r="BL809" s="105"/>
      <c r="BM809" s="105"/>
      <c r="BN809" s="105"/>
      <c r="BO809" s="105"/>
      <c r="BP809" s="105"/>
      <c r="BQ809" s="105"/>
      <c r="BR809" s="105"/>
    </row>
    <row r="810" spans="1:76" ht="15.75" hidden="1" customHeight="1" outlineLevel="1">
      <c r="A810" s="395"/>
      <c r="B810" s="99"/>
      <c r="C810" s="99"/>
      <c r="D810" s="99"/>
      <c r="E810" s="99"/>
      <c r="F810" s="99"/>
      <c r="G810" s="99"/>
      <c r="H810" s="99"/>
      <c r="I810" s="99"/>
      <c r="J810" s="99"/>
      <c r="K810" s="99"/>
      <c r="L810" s="99"/>
      <c r="M810" s="99"/>
      <c r="N810" s="99"/>
      <c r="O810" s="99"/>
      <c r="P810" s="99"/>
      <c r="Q810" s="99"/>
      <c r="R810" s="99"/>
      <c r="S810" s="99"/>
      <c r="T810" s="99"/>
      <c r="U810" s="99"/>
      <c r="V810" s="99"/>
      <c r="W810" s="105"/>
      <c r="X810" s="105"/>
      <c r="Y810" s="105"/>
      <c r="Z810" s="105"/>
      <c r="AA810" s="105"/>
      <c r="AB810" s="105"/>
      <c r="AC810" s="105"/>
      <c r="AD810" s="105"/>
      <c r="AE810" s="105"/>
      <c r="AF810" s="105"/>
      <c r="AG810" s="105"/>
      <c r="AH810" s="105"/>
      <c r="AI810" s="105"/>
      <c r="AJ810" s="171"/>
      <c r="AK810" s="105"/>
      <c r="AL810" s="91"/>
      <c r="AM810" s="91"/>
      <c r="AN810" s="91"/>
      <c r="AO810" s="105"/>
      <c r="AP810" s="105"/>
      <c r="AQ810" s="105"/>
      <c r="AR810" s="105"/>
      <c r="AS810" s="105"/>
      <c r="AT810" s="105">
        <f>IF($AT$658&gt;0,IPMT('Assumptions (Wind)'!$V$8,Model!W1,'Assumptions (Wind)'!$V$11,'Assumptions (Wind)'!$V$6*Model!$AT$658*AVERAGE('Assumptions (Wind)'!$AQ$2:$AR$2)/10^9),0)</f>
        <v>-7.8081695978215633</v>
      </c>
      <c r="AU810" s="105">
        <f>IF($AT$658&gt;0,IPMT('Assumptions (Wind)'!$V$8,Model!X1,'Assumptions (Wind)'!$V$11,'Assumptions (Wind)'!$V$6*Model!$AT$658*AVERAGE('Assumptions (Wind)'!$AQ$2:$AR$2)/10^9),0)</f>
        <v>-7.2691756428238925</v>
      </c>
      <c r="AV810" s="105">
        <f>IF($AT$658&gt;0,IPMT('Assumptions (Wind)'!$V$8,Model!Y1,'Assumptions (Wind)'!$V$11,'Assumptions (Wind)'!$V$6*Model!$AT$658*AVERAGE('Assumptions (Wind)'!$AQ$2:$AR$2)/10^9),0)</f>
        <v>-6.6870621714264056</v>
      </c>
      <c r="AW810" s="105">
        <f>IF($AT$658&gt;0,IPMT('Assumptions (Wind)'!$V$8,Model!Z1,'Assumptions (Wind)'!$V$11,'Assumptions (Wind)'!$V$6*Model!$AT$658*AVERAGE('Assumptions (Wind)'!$AQ$2:$AR$2)/10^9),0)</f>
        <v>-6.0583796223171218</v>
      </c>
      <c r="AX810" s="105">
        <f>IF($AT$658&gt;0,IPMT('Assumptions (Wind)'!$V$8,Model!AA1,'Assumptions (Wind)'!$V$11,'Assumptions (Wind)'!$V$6*Model!$AT$658*AVERAGE('Assumptions (Wind)'!$AQ$2:$AR$2)/10^9),0)</f>
        <v>-5.3794024692790945</v>
      </c>
      <c r="AY810" s="105">
        <f>IF($AT$658&gt;0,IPMT('Assumptions (Wind)'!$V$8,Model!AB1,'Assumptions (Wind)'!$V$11,'Assumptions (Wind)'!$V$6*Model!$AT$658*AVERAGE('Assumptions (Wind)'!$AQ$2:$AR$2)/10^9),0)</f>
        <v>-4.6461071439980257</v>
      </c>
      <c r="AZ810" s="105">
        <f>IF($AT$658&gt;0,IPMT('Assumptions (Wind)'!$V$8,Model!AC1,'Assumptions (Wind)'!$V$11,'Assumptions (Wind)'!$V$6*Model!$AT$658*AVERAGE('Assumptions (Wind)'!$AQ$2:$AR$2)/10^9),0)</f>
        <v>-3.854148192694471</v>
      </c>
      <c r="BA810" s="105">
        <f>IF($AT$658&gt;0,IPMT('Assumptions (Wind)'!$V$8,Model!AD1,'Assumptions (Wind)'!$V$11,'Assumptions (Wind)'!$V$6*Model!$AT$658*AVERAGE('Assumptions (Wind)'!$AQ$2:$AR$2)/10^9),0)</f>
        <v>-2.9988325252866326</v>
      </c>
      <c r="BB810" s="105">
        <f>IF($AT$658&gt;0,IPMT('Assumptions (Wind)'!$V$8,Model!AE1,'Assumptions (Wind)'!$V$11,'Assumptions (Wind)'!$V$6*Model!$AT$658*AVERAGE('Assumptions (Wind)'!$AQ$2:$AR$2)/10^9),0)</f>
        <v>-2.0750916044861665</v>
      </c>
      <c r="BC810" s="105">
        <f>IF($AT$658&gt;0,IPMT('Assumptions (Wind)'!$V$8,Model!AF1,'Assumptions (Wind)'!$V$11,'Assumptions (Wind)'!$V$6*Model!$AT$658*AVERAGE('Assumptions (Wind)'!$AQ$2:$AR$2)/10^9),0)</f>
        <v>-1.0774514100216634</v>
      </c>
      <c r="BD810" s="105" t="e">
        <f>IF($AT$658&gt;0,IPMT('Assumptions (Wind)'!$V$8,Model!AG1,'Assumptions (Wind)'!$V$11,'Assumptions (Wind)'!$V$6*Model!$AT$658*AVERAGE('Assumptions (Wind)'!$AQ$2:$AR$2)/10^9),0)</f>
        <v>#NUM!</v>
      </c>
      <c r="BE810" s="105" t="e">
        <f>IF($AT$658&gt;0,IPMT('Assumptions (Wind)'!$V$8,Model!AH1,'Assumptions (Wind)'!$V$11,'Assumptions (Wind)'!$V$6*Model!$AT$658*AVERAGE('Assumptions (Wind)'!$AQ$2:$AR$2)/10^9),0)</f>
        <v>#NUM!</v>
      </c>
      <c r="BF810" s="105" t="e">
        <f>IF($AT$658&gt;0,IPMT('Assumptions (Wind)'!$V$8,Model!AI1,'Assumptions (Wind)'!$V$11,'Assumptions (Wind)'!$V$6*Model!$AT$658*AVERAGE('Assumptions (Wind)'!$AQ$2:$AR$2)/10^9),0)</f>
        <v>#NUM!</v>
      </c>
      <c r="BG810" s="105" t="e">
        <f>IF($AT$658&gt;0,IPMT('Assumptions (Wind)'!$V$8,Model!AJ1,'Assumptions (Wind)'!$V$11,'Assumptions (Wind)'!$V$6*Model!$AT$658*AVERAGE('Assumptions (Wind)'!$AQ$2:$AR$2)/10^9),0)</f>
        <v>#NUM!</v>
      </c>
      <c r="BH810" s="105" t="e">
        <f>IF($AT$658&gt;0,IPMT('Assumptions (Wind)'!$V$8,Model!AK1,'Assumptions (Wind)'!$V$11,'Assumptions (Wind)'!$V$6*Model!$AT$658*AVERAGE('Assumptions (Wind)'!$AQ$2:$AR$2)/10^9),0)</f>
        <v>#NUM!</v>
      </c>
      <c r="BI810" s="105"/>
      <c r="BJ810" s="105"/>
      <c r="BK810" s="105"/>
      <c r="BL810" s="105"/>
      <c r="BM810" s="105"/>
      <c r="BN810" s="105"/>
      <c r="BO810" s="105"/>
      <c r="BP810" s="105"/>
      <c r="BQ810" s="105"/>
      <c r="BR810" s="105"/>
    </row>
    <row r="811" spans="1:76" ht="15.75" hidden="1" customHeight="1" outlineLevel="1">
      <c r="A811" s="395"/>
      <c r="B811" s="99"/>
      <c r="C811" s="99"/>
      <c r="D811" s="99"/>
      <c r="E811" s="99"/>
      <c r="F811" s="99"/>
      <c r="G811" s="99"/>
      <c r="H811" s="99"/>
      <c r="I811" s="99"/>
      <c r="J811" s="99"/>
      <c r="K811" s="99"/>
      <c r="L811" s="99"/>
      <c r="M811" s="99"/>
      <c r="N811" s="99"/>
      <c r="O811" s="99"/>
      <c r="P811" s="99"/>
      <c r="Q811" s="99"/>
      <c r="R811" s="99"/>
      <c r="S811" s="99"/>
      <c r="T811" s="99"/>
      <c r="U811" s="99"/>
      <c r="V811" s="99"/>
      <c r="W811" s="105"/>
      <c r="X811" s="105"/>
      <c r="Y811" s="105"/>
      <c r="Z811" s="105"/>
      <c r="AA811" s="105"/>
      <c r="AB811" s="105"/>
      <c r="AC811" s="105"/>
      <c r="AD811" s="105"/>
      <c r="AE811" s="105"/>
      <c r="AF811" s="105"/>
      <c r="AG811" s="105"/>
      <c r="AH811" s="105"/>
      <c r="AI811" s="105"/>
      <c r="AJ811" s="171"/>
      <c r="AK811" s="105"/>
      <c r="AL811" s="91"/>
      <c r="AM811" s="91"/>
      <c r="AN811" s="91"/>
      <c r="AO811" s="105"/>
      <c r="AP811" s="105"/>
      <c r="AQ811" s="105"/>
      <c r="AR811" s="105"/>
      <c r="AS811" s="105"/>
      <c r="AT811" s="105"/>
      <c r="AU811" s="105">
        <f>IF($AU$658&gt;0,IPMT('Assumptions (Wind)'!$V$8,Model!W1,'Assumptions (Wind)'!$V$11,'Assumptions (Wind)'!$V$6*Model!$AU$658*AVERAGE('Assumptions (Wind)'!$AR$2:$AS$2)/10^9),0)</f>
        <v>-8.746920367512633</v>
      </c>
      <c r="AV811" s="105">
        <f>IF($AU$658&gt;0,IPMT('Assumptions (Wind)'!$V$8,Model!X1,'Assumptions (Wind)'!$V$11,'Assumptions (Wind)'!$V$6*Model!$AU$658*AVERAGE('Assumptions (Wind)'!$AR$2:$AS$2)/10^9),0)</f>
        <v>-8.1431249268692003</v>
      </c>
      <c r="AW811" s="105">
        <f>IF($AU$658&gt;0,IPMT('Assumptions (Wind)'!$V$8,Model!Y1,'Assumptions (Wind)'!$V$11,'Assumptions (Wind)'!$V$6*Model!$AU$658*AVERAGE('Assumptions (Wind)'!$AR$2:$AS$2)/10^9),0)</f>
        <v>-7.4910258509742924</v>
      </c>
      <c r="AX811" s="105">
        <f>IF($AU$658&gt;0,IPMT('Assumptions (Wind)'!$V$8,Model!Z1,'Assumptions (Wind)'!$V$11,'Assumptions (Wind)'!$V$6*Model!$AU$658*AVERAGE('Assumptions (Wind)'!$AR$2:$AS$2)/10^9),0)</f>
        <v>-6.7867588490077928</v>
      </c>
      <c r="AY811" s="105">
        <f>IF($AU$658&gt;0,IPMT('Assumptions (Wind)'!$V$8,Model!AA1,'Assumptions (Wind)'!$V$11,'Assumptions (Wind)'!$V$6*Model!$AU$658*AVERAGE('Assumptions (Wind)'!$AR$2:$AS$2)/10^9),0)</f>
        <v>-6.0261504868839744</v>
      </c>
      <c r="AZ811" s="105">
        <f>IF($AU$658&gt;0,IPMT('Assumptions (Wind)'!$V$8,Model!AB1,'Assumptions (Wind)'!$V$11,'Assumptions (Wind)'!$V$6*Model!$AU$658*AVERAGE('Assumptions (Wind)'!$AR$2:$AS$2)/10^9),0)</f>
        <v>-5.2046934557902498</v>
      </c>
      <c r="BA811" s="105">
        <f>IF($AU$658&gt;0,IPMT('Assumptions (Wind)'!$V$8,Model!AC1,'Assumptions (Wind)'!$V$11,'Assumptions (Wind)'!$V$6*Model!$AU$658*AVERAGE('Assumptions (Wind)'!$AR$2:$AS$2)/10^9),0)</f>
        <v>-4.3175198622090267</v>
      </c>
      <c r="BB811" s="105">
        <f>IF($AU$658&gt;0,IPMT('Assumptions (Wind)'!$V$8,Model!AD1,'Assumptions (Wind)'!$V$11,'Assumptions (Wind)'!$V$6*Model!$AU$658*AVERAGE('Assumptions (Wind)'!$AR$2:$AS$2)/10^9),0)</f>
        <v>-3.359372381141307</v>
      </c>
      <c r="BC811" s="105">
        <f>IF($AU$658&gt;0,IPMT('Assumptions (Wind)'!$V$8,Model!AE1,'Assumptions (Wind)'!$V$11,'Assumptions (Wind)'!$V$6*Model!$AU$658*AVERAGE('Assumptions (Wind)'!$AR$2:$AS$2)/10^9),0)</f>
        <v>-2.324573101588169</v>
      </c>
      <c r="BD811" s="105">
        <f>IF($AU$658&gt;0,IPMT('Assumptions (Wind)'!$V$8,Model!AF1,'Assumptions (Wind)'!$V$11,'Assumptions (Wind)'!$V$6*Model!$AU$658*AVERAGE('Assumptions (Wind)'!$AR$2:$AS$2)/10^9),0)</f>
        <v>-1.2069898796707801</v>
      </c>
      <c r="BE811" s="105" t="e">
        <f>IF($AU$658&gt;0,IPMT('Assumptions (Wind)'!$V$8,Model!AG1,'Assumptions (Wind)'!$V$11,'Assumptions (Wind)'!$V$6*Model!$AU$658*AVERAGE('Assumptions (Wind)'!$AR$2:$AS$2)/10^9),0)</f>
        <v>#NUM!</v>
      </c>
      <c r="BF811" s="105" t="e">
        <f>IF($AU$658&gt;0,IPMT('Assumptions (Wind)'!$V$8,Model!AH1,'Assumptions (Wind)'!$V$11,'Assumptions (Wind)'!$V$6*Model!$AU$658*AVERAGE('Assumptions (Wind)'!$AR$2:$AS$2)/10^9),0)</f>
        <v>#NUM!</v>
      </c>
      <c r="BG811" s="105" t="e">
        <f>IF($AU$658&gt;0,IPMT('Assumptions (Wind)'!$V$8,Model!AI1,'Assumptions (Wind)'!$V$11,'Assumptions (Wind)'!$V$6*Model!$AU$658*AVERAGE('Assumptions (Wind)'!$AR$2:$AS$2)/10^9),0)</f>
        <v>#NUM!</v>
      </c>
      <c r="BH811" s="105" t="e">
        <f>IF($AU$658&gt;0,IPMT('Assumptions (Wind)'!$V$8,Model!AJ1,'Assumptions (Wind)'!$V$11,'Assumptions (Wind)'!$V$6*Model!$AU$658*AVERAGE('Assumptions (Wind)'!$AR$2:$AS$2)/10^9),0)</f>
        <v>#NUM!</v>
      </c>
      <c r="BI811" s="105" t="e">
        <f>IF($AU$658&gt;0,IPMT('Assumptions (Wind)'!$V$8,Model!AK1,'Assumptions (Wind)'!$V$11,'Assumptions (Wind)'!$V$6*Model!$AU$658*AVERAGE('Assumptions (Wind)'!$AR$2:$AS$2)/10^9),0)</f>
        <v>#NUM!</v>
      </c>
      <c r="BJ811" s="105"/>
      <c r="BK811" s="105"/>
      <c r="BL811" s="105"/>
      <c r="BM811" s="105"/>
      <c r="BN811" s="105"/>
      <c r="BO811" s="105"/>
      <c r="BP811" s="105"/>
      <c r="BQ811" s="105"/>
      <c r="BR811" s="105"/>
      <c r="BS811" s="105"/>
    </row>
    <row r="812" spans="1:76" ht="15.75" hidden="1" customHeight="1" outlineLevel="1">
      <c r="A812" s="395"/>
      <c r="B812" s="99"/>
      <c r="C812" s="99"/>
      <c r="D812" s="99"/>
      <c r="E812" s="99"/>
      <c r="F812" s="99"/>
      <c r="G812" s="99"/>
      <c r="H812" s="99"/>
      <c r="I812" s="99"/>
      <c r="J812" s="99"/>
      <c r="K812" s="99"/>
      <c r="L812" s="99"/>
      <c r="M812" s="99"/>
      <c r="N812" s="99"/>
      <c r="O812" s="99"/>
      <c r="P812" s="99"/>
      <c r="Q812" s="99"/>
      <c r="R812" s="99"/>
      <c r="S812" s="99"/>
      <c r="T812" s="99"/>
      <c r="U812" s="99"/>
      <c r="V812" s="99"/>
      <c r="W812" s="105"/>
      <c r="X812" s="105"/>
      <c r="Y812" s="105"/>
      <c r="Z812" s="105"/>
      <c r="AA812" s="105"/>
      <c r="AB812" s="105"/>
      <c r="AC812" s="105"/>
      <c r="AD812" s="105"/>
      <c r="AE812" s="105"/>
      <c r="AF812" s="105"/>
      <c r="AG812" s="105"/>
      <c r="AH812" s="105"/>
      <c r="AI812" s="105"/>
      <c r="AJ812" s="171"/>
      <c r="AK812" s="105"/>
      <c r="AL812" s="91"/>
      <c r="AM812" s="91"/>
      <c r="AN812" s="91"/>
      <c r="AO812" s="105"/>
      <c r="AP812" s="105"/>
      <c r="AQ812" s="105"/>
      <c r="AR812" s="105"/>
      <c r="AS812" s="105"/>
      <c r="AT812" s="105"/>
      <c r="AU812" s="105"/>
      <c r="AV812" s="105">
        <f>IF($AV$658&gt;0,IPMT('Assumptions (Wind)'!$V$8,Model!W1,'Assumptions (Wind)'!$V$11,'Assumptions (Wind)'!$V$6*Model!$AV$658*AVERAGE('Assumptions (Wind)'!$AS$2:$AT$2)/10^9),0)</f>
        <v>-7.3799012129336816</v>
      </c>
      <c r="AW812" s="105">
        <f>IF($AV$658&gt;0,IPMT('Assumptions (Wind)'!$V$8,Model!X1,'Assumptions (Wind)'!$V$11,'Assumptions (Wind)'!$V$6*Model!$AV$658*AVERAGE('Assumptions (Wind)'!$AS$2:$AT$2)/10^9),0)</f>
        <v>-6.870470405569943</v>
      </c>
      <c r="AX812" s="105">
        <f>IF($AV$658&gt;0,IPMT('Assumptions (Wind)'!$V$8,Model!Y1,'Assumptions (Wind)'!$V$11,'Assumptions (Wind)'!$V$6*Model!$AV$658*AVERAGE('Assumptions (Wind)'!$AS$2:$AT$2)/10^9),0)</f>
        <v>-6.3202851336171033</v>
      </c>
      <c r="AY812" s="105">
        <f>IF($AV$658&gt;0,IPMT('Assumptions (Wind)'!$V$8,Model!Z1,'Assumptions (Wind)'!$V$11,'Assumptions (Wind)'!$V$6*Model!$AV$658*AVERAGE('Assumptions (Wind)'!$AS$2:$AT$2)/10^9),0)</f>
        <v>-5.7260850399080381</v>
      </c>
      <c r="AZ812" s="105">
        <f>IF($AV$658&gt;0,IPMT('Assumptions (Wind)'!$V$8,Model!AA1,'Assumptions (Wind)'!$V$11,'Assumptions (Wind)'!$V$6*Model!$AV$658*AVERAGE('Assumptions (Wind)'!$AS$2:$AT$2)/10^9),0)</f>
        <v>-5.0843489387022487</v>
      </c>
      <c r="BA812" s="105">
        <f>IF($AV$658&gt;0,IPMT('Assumptions (Wind)'!$V$8,Model!AB1,'Assumptions (Wind)'!$V$11,'Assumptions (Wind)'!$V$6*Model!$AV$658*AVERAGE('Assumptions (Wind)'!$AS$2:$AT$2)/10^9),0)</f>
        <v>-4.3912739493999959</v>
      </c>
      <c r="BB812" s="105">
        <f>IF($AV$658&gt;0,IPMT('Assumptions (Wind)'!$V$8,Model!AC1,'Assumptions (Wind)'!$V$11,'Assumptions (Wind)'!$V$6*Model!$AV$658*AVERAGE('Assumptions (Wind)'!$AS$2:$AT$2)/10^9),0)</f>
        <v>-3.6427529609535618</v>
      </c>
      <c r="BC812" s="105">
        <f>IF($AV$658&gt;0,IPMT('Assumptions (Wind)'!$V$8,Model!AD1,'Assumptions (Wind)'!$V$11,'Assumptions (Wind)'!$V$6*Model!$AV$658*AVERAGE('Assumptions (Wind)'!$AS$2:$AT$2)/10^9),0)</f>
        <v>-2.8343502934314135</v>
      </c>
      <c r="BD812" s="105">
        <f>IF($AV$658&gt;0,IPMT('Assumptions (Wind)'!$V$8,Model!AE1,'Assumptions (Wind)'!$V$11,'Assumptions (Wind)'!$V$6*Model!$AV$658*AVERAGE('Assumptions (Wind)'!$AS$2:$AT$2)/10^9),0)</f>
        <v>-1.9612754125074938</v>
      </c>
      <c r="BE812" s="105">
        <f>IF($AV$658&gt;0,IPMT('Assumptions (Wind)'!$V$8,Model!AF1,'Assumptions (Wind)'!$V$11,'Assumptions (Wind)'!$V$6*Model!$AV$658*AVERAGE('Assumptions (Wind)'!$AS$2:$AT$2)/10^9),0)</f>
        <v>-1.0183545411096602</v>
      </c>
      <c r="BF812" s="105" t="e">
        <f>IF($AV$658&gt;0,IPMT('Assumptions (Wind)'!$V$8,Model!AG1,'Assumptions (Wind)'!$V$11,'Assumptions (Wind)'!$V$6*Model!$AV$658*AVERAGE('Assumptions (Wind)'!$AS$2:$AT$2)/10^9),0)</f>
        <v>#NUM!</v>
      </c>
      <c r="BG812" s="105" t="e">
        <f>IF($AV$658&gt;0,IPMT('Assumptions (Wind)'!$V$8,Model!AH1,'Assumptions (Wind)'!$V$11,'Assumptions (Wind)'!$V$6*Model!$AV$658*AVERAGE('Assumptions (Wind)'!$AS$2:$AT$2)/10^9),0)</f>
        <v>#NUM!</v>
      </c>
      <c r="BH812" s="105" t="e">
        <f>IF($AV$658&gt;0,IPMT('Assumptions (Wind)'!$V$8,Model!AI1,'Assumptions (Wind)'!$V$11,'Assumptions (Wind)'!$V$6*Model!$AV$658*AVERAGE('Assumptions (Wind)'!$AS$2:$AT$2)/10^9),0)</f>
        <v>#NUM!</v>
      </c>
      <c r="BI812" s="105" t="e">
        <f>IF($AV$658&gt;0,IPMT('Assumptions (Wind)'!$V$8,Model!AJ1,'Assumptions (Wind)'!$V$11,'Assumptions (Wind)'!$V$6*Model!$AV$658*AVERAGE('Assumptions (Wind)'!$AS$2:$AT$2)/10^9),0)</f>
        <v>#NUM!</v>
      </c>
      <c r="BJ812" s="105" t="e">
        <f>IF($AV$658&gt;0,IPMT('Assumptions (Wind)'!$V$8,Model!AK1,'Assumptions (Wind)'!$V$11,'Assumptions (Wind)'!$V$6*Model!$AV$658*AVERAGE('Assumptions (Wind)'!$AS$2:$AT$2)/10^9),0)</f>
        <v>#NUM!</v>
      </c>
      <c r="BK812" s="105"/>
      <c r="BL812" s="105"/>
      <c r="BM812" s="105"/>
      <c r="BN812" s="105"/>
      <c r="BO812" s="105"/>
      <c r="BP812" s="105"/>
      <c r="BQ812" s="105"/>
      <c r="BR812" s="105"/>
      <c r="BS812" s="105"/>
      <c r="BT812" s="105"/>
    </row>
    <row r="813" spans="1:76" ht="15.75" hidden="1" customHeight="1" outlineLevel="1">
      <c r="A813" s="395"/>
      <c r="B813" s="99"/>
      <c r="C813" s="99"/>
      <c r="D813" s="99"/>
      <c r="E813" s="99"/>
      <c r="F813" s="99"/>
      <c r="G813" s="99"/>
      <c r="H813" s="99"/>
      <c r="I813" s="99"/>
      <c r="J813" s="99"/>
      <c r="K813" s="99"/>
      <c r="L813" s="99"/>
      <c r="M813" s="99"/>
      <c r="N813" s="99"/>
      <c r="O813" s="99"/>
      <c r="P813" s="99"/>
      <c r="Q813" s="99"/>
      <c r="R813" s="99"/>
      <c r="S813" s="99"/>
      <c r="T813" s="99"/>
      <c r="U813" s="99"/>
      <c r="V813" s="99"/>
      <c r="W813" s="105"/>
      <c r="X813" s="105"/>
      <c r="Y813" s="105"/>
      <c r="Z813" s="105"/>
      <c r="AA813" s="105"/>
      <c r="AB813" s="105"/>
      <c r="AC813" s="105"/>
      <c r="AD813" s="105"/>
      <c r="AE813" s="105"/>
      <c r="AF813" s="105"/>
      <c r="AG813" s="105"/>
      <c r="AH813" s="105"/>
      <c r="AI813" s="105"/>
      <c r="AJ813" s="171"/>
      <c r="AK813" s="105"/>
      <c r="AL813" s="91"/>
      <c r="AM813" s="91"/>
      <c r="AN813" s="91"/>
      <c r="AO813" s="105"/>
      <c r="AP813" s="105"/>
      <c r="AQ813" s="105"/>
      <c r="AR813" s="105"/>
      <c r="AS813" s="105"/>
      <c r="AT813" s="105"/>
      <c r="AU813" s="105"/>
      <c r="AV813" s="105"/>
      <c r="AW813" s="105">
        <f>IF($AW$658&gt;0,IPMT('Assumptions (Wind)'!$V$8,Model!W1,'Assumptions (Wind)'!$V$11,'Assumptions (Wind)'!$V$6*Model!$AW$658*AVERAGE('Assumptions (Wind)'!$AT$2:$AU$2)/10^9),0)</f>
        <v>-8.0483364905958457</v>
      </c>
      <c r="AX813" s="105">
        <f>IF($AW$658&gt;0,IPMT('Assumptions (Wind)'!$V$8,Model!X1,'Assumptions (Wind)'!$V$11,'Assumptions (Wind)'!$V$6*Model!$AW$658*AVERAGE('Assumptions (Wind)'!$AT$2:$AU$2)/10^9),0)</f>
        <v>-7.4927639377880011</v>
      </c>
      <c r="AY813" s="105">
        <f>IF($AW$658&gt;0,IPMT('Assumptions (Wind)'!$V$8,Model!Y1,'Assumptions (Wind)'!$V$11,'Assumptions (Wind)'!$V$6*Model!$AW$658*AVERAGE('Assumptions (Wind)'!$AT$2:$AU$2)/10^9),0)</f>
        <v>-6.892745580755526</v>
      </c>
      <c r="AZ813" s="105">
        <f>IF($AW$658&gt;0,IPMT('Assumptions (Wind)'!$V$8,Model!Z1,'Assumptions (Wind)'!$V$11,'Assumptions (Wind)'!$V$6*Model!$AW$658*AVERAGE('Assumptions (Wind)'!$AT$2:$AU$2)/10^9),0)</f>
        <v>-6.2447257551604549</v>
      </c>
      <c r="BA813" s="105">
        <f>IF($AW$658&gt;0,IPMT('Assumptions (Wind)'!$V$8,Model!AA1,'Assumptions (Wind)'!$V$11,'Assumptions (Wind)'!$V$6*Model!$AW$658*AVERAGE('Assumptions (Wind)'!$AT$2:$AU$2)/10^9),0)</f>
        <v>-5.5448643435177782</v>
      </c>
      <c r="BB813" s="105">
        <f>IF($AW$658&gt;0,IPMT('Assumptions (Wind)'!$V$8,Model!AB1,'Assumptions (Wind)'!$V$11,'Assumptions (Wind)'!$V$6*Model!$AW$658*AVERAGE('Assumptions (Wind)'!$AT$2:$AU$2)/10^9),0)</f>
        <v>-4.7890140189436883</v>
      </c>
      <c r="BC813" s="105">
        <f>IF($AW$658&gt;0,IPMT('Assumptions (Wind)'!$V$8,Model!AC1,'Assumptions (Wind)'!$V$11,'Assumptions (Wind)'!$V$6*Model!$AW$658*AVERAGE('Assumptions (Wind)'!$AT$2:$AU$2)/10^9),0)</f>
        <v>-3.9726956684036692</v>
      </c>
      <c r="BD813" s="105">
        <f>IF($AW$658&gt;0,IPMT('Assumptions (Wind)'!$V$8,Model!AD1,'Assumptions (Wind)'!$V$11,'Assumptions (Wind)'!$V$6*Model!$AW$658*AVERAGE('Assumptions (Wind)'!$AT$2:$AU$2)/10^9),0)</f>
        <v>-3.0910718498204495</v>
      </c>
      <c r="BE813" s="105">
        <f>IF($AW$658&gt;0,IPMT('Assumptions (Wind)'!$V$8,Model!AE1,'Assumptions (Wind)'!$V$11,'Assumptions (Wind)'!$V$6*Model!$AW$658*AVERAGE('Assumptions (Wind)'!$AT$2:$AU$2)/10^9),0)</f>
        <v>-2.1389181257505725</v>
      </c>
      <c r="BF813" s="105">
        <f>IF($AW$658&gt;0,IPMT('Assumptions (Wind)'!$V$8,Model!AF1,'Assumptions (Wind)'!$V$11,'Assumptions (Wind)'!$V$6*Model!$AW$658*AVERAGE('Assumptions (Wind)'!$AT$2:$AU$2)/10^9),0)</f>
        <v>-1.1105921037551048</v>
      </c>
      <c r="BG813" s="105" t="e">
        <f>IF($AW$658&gt;0,IPMT('Assumptions (Wind)'!$V$8,Model!AG1,'Assumptions (Wind)'!$V$11,'Assumptions (Wind)'!$V$6*Model!$AW$658*AVERAGE('Assumptions (Wind)'!$AT$2:$AU$2)/10^9),0)</f>
        <v>#NUM!</v>
      </c>
      <c r="BH813" s="105" t="e">
        <f>IF($AW$658&gt;0,IPMT('Assumptions (Wind)'!$V$8,Model!AH1,'Assumptions (Wind)'!$V$11,'Assumptions (Wind)'!$V$6*Model!$AW$658*AVERAGE('Assumptions (Wind)'!$AT$2:$AU$2)/10^9),0)</f>
        <v>#NUM!</v>
      </c>
      <c r="BI813" s="105" t="e">
        <f>IF($AW$658&gt;0,IPMT('Assumptions (Wind)'!$V$8,Model!AI1,'Assumptions (Wind)'!$V$11,'Assumptions (Wind)'!$V$6*Model!$AW$658*AVERAGE('Assumptions (Wind)'!$AT$2:$AU$2)/10^9),0)</f>
        <v>#NUM!</v>
      </c>
      <c r="BJ813" s="105" t="e">
        <f>IF($AW$658&gt;0,IPMT('Assumptions (Wind)'!$V$8,Model!AJ1,'Assumptions (Wind)'!$V$11,'Assumptions (Wind)'!$V$6*Model!$AW$658*AVERAGE('Assumptions (Wind)'!$AT$2:$AU$2)/10^9),0)</f>
        <v>#NUM!</v>
      </c>
      <c r="BK813" s="105" t="e">
        <f>IF($AW$658&gt;0,IPMT('Assumptions (Wind)'!$V$8,Model!AK1,'Assumptions (Wind)'!$V$11,'Assumptions (Wind)'!$V$6*Model!$AW$658*AVERAGE('Assumptions (Wind)'!$AT$2:$AU$2)/10^9),0)</f>
        <v>#NUM!</v>
      </c>
      <c r="BL813" s="105"/>
      <c r="BM813" s="105"/>
      <c r="BN813" s="105"/>
      <c r="BO813" s="105"/>
      <c r="BP813" s="105"/>
      <c r="BQ813" s="105"/>
      <c r="BR813" s="105"/>
      <c r="BS813" s="105"/>
      <c r="BT813" s="105"/>
      <c r="BU813" s="105"/>
    </row>
    <row r="814" spans="1:76" ht="15.75" hidden="1" customHeight="1" outlineLevel="1">
      <c r="A814" s="395"/>
      <c r="B814" s="99"/>
      <c r="C814" s="99"/>
      <c r="D814" s="99"/>
      <c r="E814" s="99"/>
      <c r="F814" s="99"/>
      <c r="G814" s="99"/>
      <c r="H814" s="99"/>
      <c r="I814" s="99"/>
      <c r="J814" s="99"/>
      <c r="K814" s="99"/>
      <c r="L814" s="99"/>
      <c r="M814" s="99"/>
      <c r="N814" s="99"/>
      <c r="O814" s="99"/>
      <c r="P814" s="99"/>
      <c r="Q814" s="99"/>
      <c r="R814" s="99"/>
      <c r="S814" s="99"/>
      <c r="T814" s="99"/>
      <c r="U814" s="99"/>
      <c r="V814" s="99"/>
      <c r="W814" s="105"/>
      <c r="X814" s="105"/>
      <c r="Y814" s="105"/>
      <c r="Z814" s="105"/>
      <c r="AA814" s="105"/>
      <c r="AB814" s="105"/>
      <c r="AC814" s="105"/>
      <c r="AD814" s="105"/>
      <c r="AE814" s="105"/>
      <c r="AF814" s="105"/>
      <c r="AG814" s="105"/>
      <c r="AH814" s="105"/>
      <c r="AI814" s="105"/>
      <c r="AJ814" s="171"/>
      <c r="AK814" s="105"/>
      <c r="AL814" s="91"/>
      <c r="AM814" s="91"/>
      <c r="AN814" s="91"/>
      <c r="AO814" s="105"/>
      <c r="AP814" s="105"/>
      <c r="AQ814" s="105"/>
      <c r="AR814" s="105"/>
      <c r="AS814" s="105"/>
      <c r="AT814" s="105"/>
      <c r="AU814" s="105"/>
      <c r="AV814" s="105"/>
      <c r="AW814" s="105"/>
      <c r="AX814" s="105">
        <f>IF($AX$658&gt;0,IPMT('Assumptions (Wind)'!$V$8,Model!W1,'Assumptions (Wind)'!$V$11,'Assumptions (Wind)'!$V$6*Model!$AX$658*AVERAGE('Assumptions (Wind)'!$AU$2:$AV$2)/10^9),0)</f>
        <v>-8.6525596265252052</v>
      </c>
      <c r="AY814" s="105">
        <f>IF($AX$658&gt;0,IPMT('Assumptions (Wind)'!$V$8,Model!X1,'Assumptions (Wind)'!$V$11,'Assumptions (Wind)'!$V$6*Model!$AX$658*AVERAGE('Assumptions (Wind)'!$AU$2:$AV$2)/10^9),0)</f>
        <v>-8.0552778595852121</v>
      </c>
      <c r="AZ814" s="105">
        <f>IF($AX$658&gt;0,IPMT('Assumptions (Wind)'!$V$8,Model!Y1,'Assumptions (Wind)'!$V$11,'Assumptions (Wind)'!$V$6*Model!$AX$658*AVERAGE('Assumptions (Wind)'!$AU$2:$AV$2)/10^9),0)</f>
        <v>-7.4102135512900196</v>
      </c>
      <c r="BA814" s="105">
        <f>IF($AX$658&gt;0,IPMT('Assumptions (Wind)'!$V$8,Model!Z1,'Assumptions (Wind)'!$V$11,'Assumptions (Wind)'!$V$6*Model!$AX$658*AVERAGE('Assumptions (Wind)'!$AU$2:$AV$2)/10^9),0)</f>
        <v>-6.7135440983312105</v>
      </c>
      <c r="BB814" s="105">
        <f>IF($AX$658&gt;0,IPMT('Assumptions (Wind)'!$V$8,Model!AA1,'Assumptions (Wind)'!$V$11,'Assumptions (Wind)'!$V$6*Model!$AX$658*AVERAGE('Assumptions (Wind)'!$AU$2:$AV$2)/10^9),0)</f>
        <v>-5.9611410891356993</v>
      </c>
      <c r="BC814" s="105">
        <f>IF($AX$658&gt;0,IPMT('Assumptions (Wind)'!$V$8,Model!AB1,'Assumptions (Wind)'!$V$11,'Assumptions (Wind)'!$V$6*Model!$AX$658*AVERAGE('Assumptions (Wind)'!$AU$2:$AV$2)/10^9),0)</f>
        <v>-5.1485458392045462</v>
      </c>
      <c r="BD814" s="105">
        <f>IF($AX$658&gt;0,IPMT('Assumptions (Wind)'!$V$8,Model!AC1,'Assumptions (Wind)'!$V$11,'Assumptions (Wind)'!$V$6*Model!$AX$658*AVERAGE('Assumptions (Wind)'!$AU$2:$AV$2)/10^9),0)</f>
        <v>-4.2709429692789005</v>
      </c>
      <c r="BE814" s="105">
        <f>IF($AX$658&gt;0,IPMT('Assumptions (Wind)'!$V$8,Model!AD1,'Assumptions (Wind)'!$V$11,'Assumptions (Wind)'!$V$6*Model!$AX$658*AVERAGE('Assumptions (Wind)'!$AU$2:$AV$2)/10^9),0)</f>
        <v>-3.3231318697592038</v>
      </c>
      <c r="BF814" s="105">
        <f>IF($AX$658&gt;0,IPMT('Assumptions (Wind)'!$V$8,Model!AE1,'Assumptions (Wind)'!$V$11,'Assumptions (Wind)'!$V$6*Model!$AX$658*AVERAGE('Assumptions (Wind)'!$AU$2:$AV$2)/10^9),0)</f>
        <v>-2.299495882277931</v>
      </c>
      <c r="BG814" s="105">
        <f>IF($AX$658&gt;0,IPMT('Assumptions (Wind)'!$V$8,Model!AF1,'Assumptions (Wind)'!$V$11,'Assumptions (Wind)'!$V$6*Model!$AX$658*AVERAGE('Assumptions (Wind)'!$AU$2:$AV$2)/10^9),0)</f>
        <v>-1.1939690157981564</v>
      </c>
      <c r="BH814" s="105" t="e">
        <f>IF($AX$658&gt;0,IPMT('Assumptions (Wind)'!$V$8,Model!AG1,'Assumptions (Wind)'!$V$11,'Assumptions (Wind)'!$V$6*Model!$AX$658*AVERAGE('Assumptions (Wind)'!$AU$2:$AV$2)/10^9),0)</f>
        <v>#NUM!</v>
      </c>
      <c r="BI814" s="105" t="e">
        <f>IF($AX$658&gt;0,IPMT('Assumptions (Wind)'!$V$8,Model!AH1,'Assumptions (Wind)'!$V$11,'Assumptions (Wind)'!$V$6*Model!$AX$658*AVERAGE('Assumptions (Wind)'!$AU$2:$AV$2)/10^9),0)</f>
        <v>#NUM!</v>
      </c>
      <c r="BJ814" s="105" t="e">
        <f>IF($AX$658&gt;0,IPMT('Assumptions (Wind)'!$V$8,Model!AI1,'Assumptions (Wind)'!$V$11,'Assumptions (Wind)'!$V$6*Model!$AX$658*AVERAGE('Assumptions (Wind)'!$AU$2:$AV$2)/10^9),0)</f>
        <v>#NUM!</v>
      </c>
      <c r="BK814" s="105" t="e">
        <f>IF($AX$658&gt;0,IPMT('Assumptions (Wind)'!$V$8,Model!AJ1,'Assumptions (Wind)'!$V$11,'Assumptions (Wind)'!$V$6*Model!$AX$658*AVERAGE('Assumptions (Wind)'!$AU$2:$AV$2)/10^9),0)</f>
        <v>#NUM!</v>
      </c>
      <c r="BL814" s="105" t="e">
        <f>IF($AX$658&gt;0,IPMT('Assumptions (Wind)'!$V$8,Model!AK1,'Assumptions (Wind)'!$V$11,'Assumptions (Wind)'!$V$6*Model!$AX$658*AVERAGE('Assumptions (Wind)'!$AU$2:$AV$2)/10^9),0)</f>
        <v>#NUM!</v>
      </c>
      <c r="BM814" s="105"/>
      <c r="BN814" s="105"/>
      <c r="BO814" s="105"/>
      <c r="BP814" s="105"/>
      <c r="BQ814" s="105"/>
      <c r="BR814" s="105"/>
      <c r="BS814" s="105"/>
      <c r="BT814" s="105"/>
      <c r="BU814" s="105"/>
      <c r="BV814" s="105"/>
    </row>
    <row r="815" spans="1:76" ht="15.75" hidden="1" customHeight="1" outlineLevel="1">
      <c r="A815" s="395"/>
      <c r="B815" s="99"/>
      <c r="C815" s="99"/>
      <c r="D815" s="99"/>
      <c r="E815" s="99"/>
      <c r="F815" s="99"/>
      <c r="G815" s="99"/>
      <c r="H815" s="99"/>
      <c r="I815" s="99"/>
      <c r="J815" s="99"/>
      <c r="K815" s="99"/>
      <c r="L815" s="99"/>
      <c r="M815" s="99"/>
      <c r="N815" s="99"/>
      <c r="O815" s="99"/>
      <c r="P815" s="99"/>
      <c r="Q815" s="99"/>
      <c r="R815" s="99"/>
      <c r="S815" s="99"/>
      <c r="T815" s="99"/>
      <c r="U815" s="99"/>
      <c r="V815" s="99"/>
      <c r="W815" s="105"/>
      <c r="X815" s="105"/>
      <c r="Y815" s="105"/>
      <c r="Z815" s="105"/>
      <c r="AA815" s="105"/>
      <c r="AB815" s="105"/>
      <c r="AC815" s="105"/>
      <c r="AD815" s="105"/>
      <c r="AE815" s="105"/>
      <c r="AF815" s="105"/>
      <c r="AG815" s="105"/>
      <c r="AH815" s="105"/>
      <c r="AI815" s="105"/>
      <c r="AJ815" s="171"/>
      <c r="AK815" s="105"/>
      <c r="AL815" s="91"/>
      <c r="AM815" s="91"/>
      <c r="AN815" s="91"/>
      <c r="AO815" s="105"/>
      <c r="AP815" s="105"/>
      <c r="AQ815" s="105"/>
      <c r="AR815" s="105"/>
      <c r="AS815" s="105"/>
      <c r="AT815" s="105"/>
      <c r="AU815" s="105"/>
      <c r="AV815" s="105"/>
      <c r="AW815" s="105"/>
      <c r="AX815" s="105"/>
      <c r="AY815" s="105">
        <f>IF($AY$658&gt;0,IPMT('Assumptions (Wind)'!$V$8,Model!W1,'Assumptions (Wind)'!$V$11,'Assumptions (Wind)'!$V$6*Model!$AY$658*AVERAGE('Assumptions (Wind)'!$AV$2:$AW$2)/10^9),0)</f>
        <v>-8.8960645092097455</v>
      </c>
      <c r="AZ815" s="105">
        <f>IF($AY$658&gt;0,IPMT('Assumptions (Wind)'!$V$8,Model!X1,'Assumptions (Wind)'!$V$11,'Assumptions (Wind)'!$V$6*Model!$AY$658*AVERAGE('Assumptions (Wind)'!$AV$2:$AW$2)/10^9),0)</f>
        <v>-8.2819737247227962</v>
      </c>
      <c r="BA815" s="105">
        <f>IF($AY$658&gt;0,IPMT('Assumptions (Wind)'!$V$8,Model!Y1,'Assumptions (Wind)'!$V$11,'Assumptions (Wind)'!$V$6*Model!$AY$658*AVERAGE('Assumptions (Wind)'!$AV$2:$AW$2)/10^9),0)</f>
        <v>-7.6187556774768916</v>
      </c>
      <c r="BB815" s="105">
        <f>IF($AY$658&gt;0,IPMT('Assumptions (Wind)'!$V$8,Model!Z1,'Assumptions (Wind)'!$V$11,'Assumptions (Wind)'!$V$6*Model!$AY$658*AVERAGE('Assumptions (Wind)'!$AV$2:$AW$2)/10^9),0)</f>
        <v>-6.9024801864513154</v>
      </c>
      <c r="BC815" s="105">
        <f>IF($AY$658&gt;0,IPMT('Assumptions (Wind)'!$V$8,Model!AA1,'Assumptions (Wind)'!$V$11,'Assumptions (Wind)'!$V$6*Model!$AY$658*AVERAGE('Assumptions (Wind)'!$AV$2:$AW$2)/10^9),0)</f>
        <v>-6.1289026561436941</v>
      </c>
      <c r="BD815" s="105">
        <f>IF($AY$658&gt;0,IPMT('Assumptions (Wind)'!$V$8,Model!AB1,'Assumptions (Wind)'!$V$11,'Assumptions (Wind)'!$V$6*Model!$AY$658*AVERAGE('Assumptions (Wind)'!$AV$2:$AW$2)/10^9),0)</f>
        <v>-5.293438923411462</v>
      </c>
      <c r="BE815" s="105">
        <f>IF($AY$658&gt;0,IPMT('Assumptions (Wind)'!$V$8,Model!AC1,'Assumptions (Wind)'!$V$11,'Assumptions (Wind)'!$V$6*Model!$AY$658*AVERAGE('Assumptions (Wind)'!$AV$2:$AW$2)/10^9),0)</f>
        <v>-4.3911380920606513</v>
      </c>
      <c r="BF815" s="105">
        <f>IF($AY$658&gt;0,IPMT('Assumptions (Wind)'!$V$8,Model!AD1,'Assumptions (Wind)'!$V$11,'Assumptions (Wind)'!$V$6*Model!$AY$658*AVERAGE('Assumptions (Wind)'!$AV$2:$AW$2)/10^9),0)</f>
        <v>-3.4166531942017766</v>
      </c>
      <c r="BG815" s="105">
        <f>IF($AY$658&gt;0,IPMT('Assumptions (Wind)'!$V$8,Model!AE1,'Assumptions (Wind)'!$V$11,'Assumptions (Wind)'!$V$6*Model!$AY$658*AVERAGE('Assumptions (Wind)'!$AV$2:$AW$2)/10^9),0)</f>
        <v>-2.3642095045141911</v>
      </c>
      <c r="BH815" s="105">
        <f>IF($AY$658&gt;0,IPMT('Assumptions (Wind)'!$V$8,Model!AF1,'Assumptions (Wind)'!$V$11,'Assumptions (Wind)'!$V$6*Model!$AY$658*AVERAGE('Assumptions (Wind)'!$AV$2:$AW$2)/10^9),0)</f>
        <v>-1.2275703196515992</v>
      </c>
      <c r="BI815" s="105" t="e">
        <f>IF($AY$658&gt;0,IPMT('Assumptions (Wind)'!$V$8,Model!AG1,'Assumptions (Wind)'!$V$11,'Assumptions (Wind)'!$V$6*Model!$AY$658*AVERAGE('Assumptions (Wind)'!$AV$2:$AW$2)/10^9),0)</f>
        <v>#NUM!</v>
      </c>
      <c r="BJ815" s="105" t="e">
        <f>IF($AY$658&gt;0,IPMT('Assumptions (Wind)'!$V$8,Model!AH1,'Assumptions (Wind)'!$V$11,'Assumptions (Wind)'!$V$6*Model!$AY$658*AVERAGE('Assumptions (Wind)'!$AV$2:$AW$2)/10^9),0)</f>
        <v>#NUM!</v>
      </c>
      <c r="BK815" s="105" t="e">
        <f>IF($AY$658&gt;0,IPMT('Assumptions (Wind)'!$V$8,Model!AI1,'Assumptions (Wind)'!$V$11,'Assumptions (Wind)'!$V$6*Model!$AY$658*AVERAGE('Assumptions (Wind)'!$AV$2:$AW$2)/10^9),0)</f>
        <v>#NUM!</v>
      </c>
      <c r="BL815" s="105" t="e">
        <f>IF($AY$658&gt;0,IPMT('Assumptions (Wind)'!$V$8,Model!AJ1,'Assumptions (Wind)'!$V$11,'Assumptions (Wind)'!$V$6*Model!$AY$658*AVERAGE('Assumptions (Wind)'!$AV$2:$AW$2)/10^9),0)</f>
        <v>#NUM!</v>
      </c>
      <c r="BM815" s="105" t="e">
        <f>IF($AY$658&gt;0,IPMT('Assumptions (Wind)'!$V$8,Model!AK1,'Assumptions (Wind)'!$V$11,'Assumptions (Wind)'!$V$6*Model!$AY$658*AVERAGE('Assumptions (Wind)'!$AV$2:$AW$2)/10^9),0)</f>
        <v>#NUM!</v>
      </c>
      <c r="BN815" s="105"/>
      <c r="BO815" s="105"/>
      <c r="BP815" s="105"/>
      <c r="BQ815" s="105"/>
      <c r="BR815" s="105"/>
      <c r="BS815" s="105"/>
      <c r="BT815" s="105"/>
      <c r="BU815" s="105"/>
      <c r="BV815" s="105"/>
      <c r="BW815" s="105"/>
    </row>
    <row r="816" spans="1:76" ht="15.75" hidden="1" customHeight="1" outlineLevel="1">
      <c r="A816" s="395"/>
      <c r="B816" s="99"/>
      <c r="C816" s="99"/>
      <c r="D816" s="99"/>
      <c r="E816" s="99"/>
      <c r="F816" s="99"/>
      <c r="G816" s="99"/>
      <c r="H816" s="99"/>
      <c r="I816" s="99"/>
      <c r="J816" s="99"/>
      <c r="K816" s="99"/>
      <c r="L816" s="99"/>
      <c r="M816" s="99"/>
      <c r="N816" s="99"/>
      <c r="O816" s="99"/>
      <c r="P816" s="99"/>
      <c r="Q816" s="99"/>
      <c r="R816" s="99"/>
      <c r="S816" s="99"/>
      <c r="T816" s="99"/>
      <c r="U816" s="99"/>
      <c r="V816" s="99"/>
      <c r="W816" s="105"/>
      <c r="X816" s="105"/>
      <c r="Y816" s="105"/>
      <c r="Z816" s="105"/>
      <c r="AA816" s="105"/>
      <c r="AB816" s="105"/>
      <c r="AC816" s="105"/>
      <c r="AD816" s="105"/>
      <c r="AE816" s="105"/>
      <c r="AF816" s="105"/>
      <c r="AG816" s="105"/>
      <c r="AH816" s="105"/>
      <c r="AI816" s="105"/>
      <c r="AJ816" s="171"/>
      <c r="AK816" s="105"/>
      <c r="AL816" s="91"/>
      <c r="AM816" s="91"/>
      <c r="AN816" s="91"/>
      <c r="AO816" s="105"/>
      <c r="AP816" s="105"/>
      <c r="AQ816" s="105"/>
      <c r="AR816" s="105"/>
      <c r="AS816" s="105"/>
      <c r="AT816" s="105"/>
      <c r="AU816" s="105"/>
      <c r="AV816" s="105"/>
      <c r="AW816" s="105"/>
      <c r="AX816" s="105"/>
      <c r="AY816" s="105"/>
      <c r="AZ816" s="105">
        <f>IF($AZ$658&gt;0,IPMT('Assumptions (Wind)'!$V$8,Model!W1,'Assumptions (Wind)'!$V$11,'Assumptions (Wind)'!$V$6*Model!$AZ$658*AVERAGE('Assumptions (Wind)'!$AW$2:$AX$2)/10^9),0)</f>
        <v>-8.7399288411250478</v>
      </c>
      <c r="BA816" s="105">
        <f>IF($AZ$658&gt;0,IPMT('Assumptions (Wind)'!$V$8,Model!X1,'Assumptions (Wind)'!$V$11,'Assumptions (Wind)'!$V$6*Model!$AZ$658*AVERAGE('Assumptions (Wind)'!$AW$2:$AX$2)/10^9),0)</f>
        <v>-8.1366160219733619</v>
      </c>
      <c r="BB816" s="105">
        <f>IF($AZ$658&gt;0,IPMT('Assumptions (Wind)'!$V$8,Model!Y1,'Assumptions (Wind)'!$V$11,'Assumptions (Wind)'!$V$6*Model!$AZ$658*AVERAGE('Assumptions (Wind)'!$AW$2:$AX$2)/10^9),0)</f>
        <v>-7.4850381772895416</v>
      </c>
      <c r="BC816" s="105">
        <f>IF($AZ$658&gt;0,IPMT('Assumptions (Wind)'!$V$8,Model!Z1,'Assumptions (Wind)'!$V$11,'Assumptions (Wind)'!$V$6*Model!$AZ$658*AVERAGE('Assumptions (Wind)'!$AW$2:$AX$2)/10^9),0)</f>
        <v>-6.7813341050310161</v>
      </c>
      <c r="BD816" s="105">
        <f>IF($AZ$658&gt;0,IPMT('Assumptions (Wind)'!$V$8,Model!AA1,'Assumptions (Wind)'!$V$11,'Assumptions (Wind)'!$V$6*Model!$AZ$658*AVERAGE('Assumptions (Wind)'!$AW$2:$AX$2)/10^9),0)</f>
        <v>-6.0213337069918094</v>
      </c>
      <c r="BE816" s="105">
        <f>IF($AZ$658&gt;0,IPMT('Assumptions (Wind)'!$V$8,Model!AB1,'Assumptions (Wind)'!$V$11,'Assumptions (Wind)'!$V$6*Model!$AZ$658*AVERAGE('Assumptions (Wind)'!$AW$2:$AX$2)/10^9),0)</f>
        <v>-5.2005332771094652</v>
      </c>
      <c r="BF816" s="105">
        <f>IF($AZ$658&gt;0,IPMT('Assumptions (Wind)'!$V$8,Model!AC1,'Assumptions (Wind)'!$V$11,'Assumptions (Wind)'!$V$6*Model!$AZ$658*AVERAGE('Assumptions (Wind)'!$AW$2:$AX$2)/10^9),0)</f>
        <v>-4.314068812836533</v>
      </c>
      <c r="BG816" s="105">
        <f>IF($AZ$658&gt;0,IPMT('Assumptions (Wind)'!$V$8,Model!AD1,'Assumptions (Wind)'!$V$11,'Assumptions (Wind)'!$V$6*Model!$AZ$658*AVERAGE('Assumptions (Wind)'!$AW$2:$AX$2)/10^9),0)</f>
        <v>-3.3566871914217677</v>
      </c>
      <c r="BH816" s="105">
        <f>IF($AZ$658&gt;0,IPMT('Assumptions (Wind)'!$V$8,Model!AE1,'Assumptions (Wind)'!$V$11,'Assumptions (Wind)'!$V$6*Model!$AZ$658*AVERAGE('Assumptions (Wind)'!$AW$2:$AX$2)/10^9),0)</f>
        <v>-2.3227150402938204</v>
      </c>
      <c r="BI816" s="105">
        <f>IF($AZ$658&gt;0,IPMT('Assumptions (Wind)'!$V$8,Model!AF1,'Assumptions (Wind)'!$V$11,'Assumptions (Wind)'!$V$6*Model!$AZ$658*AVERAGE('Assumptions (Wind)'!$AW$2:$AX$2)/10^9),0)</f>
        <v>-1.2060251170756375</v>
      </c>
      <c r="BJ816" s="105" t="e">
        <f>IF($AZ$658&gt;0,IPMT('Assumptions (Wind)'!$V$8,Model!AG1,'Assumptions (Wind)'!$V$11,'Assumptions (Wind)'!$V$6*Model!$AZ$658*AVERAGE('Assumptions (Wind)'!$AW$2:$AX$2)/10^9),0)</f>
        <v>#NUM!</v>
      </c>
      <c r="BK816" s="105" t="e">
        <f>IF($AZ$658&gt;0,IPMT('Assumptions (Wind)'!$V$8,Model!AH1,'Assumptions (Wind)'!$V$11,'Assumptions (Wind)'!$V$6*Model!$AZ$658*AVERAGE('Assumptions (Wind)'!$AW$2:$AX$2)/10^9),0)</f>
        <v>#NUM!</v>
      </c>
      <c r="BL816" s="105" t="e">
        <f>IF($AZ$658&gt;0,IPMT('Assumptions (Wind)'!$V$8,Model!AI1,'Assumptions (Wind)'!$V$11,'Assumptions (Wind)'!$V$6*Model!$AZ$658*AVERAGE('Assumptions (Wind)'!$AW$2:$AX$2)/10^9),0)</f>
        <v>#NUM!</v>
      </c>
      <c r="BM816" s="105" t="e">
        <f>IF($AZ$658&gt;0,IPMT('Assumptions (Wind)'!$V$8,Model!AJ1,'Assumptions (Wind)'!$V$11,'Assumptions (Wind)'!$V$6*Model!$AZ$658*AVERAGE('Assumptions (Wind)'!$AW$2:$AX$2)/10^9),0)</f>
        <v>#NUM!</v>
      </c>
      <c r="BN816" s="105" t="e">
        <f>IF($AZ$658&gt;0,IPMT('Assumptions (Wind)'!$V$8,Model!AK1,'Assumptions (Wind)'!$V$11,'Assumptions (Wind)'!$V$6*Model!$AZ$658*AVERAGE('Assumptions (Wind)'!$AW$2:$AX$2)/10^9),0)</f>
        <v>#NUM!</v>
      </c>
      <c r="BO816" s="105"/>
      <c r="BP816" s="105"/>
      <c r="BQ816" s="105"/>
      <c r="BR816" s="105"/>
      <c r="BS816" s="105"/>
      <c r="BT816" s="105"/>
      <c r="BU816" s="105"/>
      <c r="BV816" s="105"/>
      <c r="BW816" s="105"/>
      <c r="BX816" s="105"/>
    </row>
    <row r="817" spans="1:77" ht="15.75" hidden="1" customHeight="1" outlineLevel="1">
      <c r="A817" s="395"/>
      <c r="B817" s="99"/>
      <c r="C817" s="99"/>
      <c r="D817" s="99"/>
      <c r="E817" s="99"/>
      <c r="F817" s="99"/>
      <c r="G817" s="99"/>
      <c r="H817" s="99"/>
      <c r="I817" s="99"/>
      <c r="J817" s="99"/>
      <c r="K817" s="99"/>
      <c r="L817" s="99"/>
      <c r="M817" s="99"/>
      <c r="N817" s="99"/>
      <c r="O817" s="99"/>
      <c r="P817" s="99"/>
      <c r="Q817" s="99"/>
      <c r="R817" s="99"/>
      <c r="S817" s="99"/>
      <c r="T817" s="99"/>
      <c r="U817" s="99"/>
      <c r="V817" s="99"/>
      <c r="W817" s="105"/>
      <c r="X817" s="105"/>
      <c r="Y817" s="105"/>
      <c r="Z817" s="105"/>
      <c r="AA817" s="105"/>
      <c r="AB817" s="105"/>
      <c r="AC817" s="105"/>
      <c r="AD817" s="105"/>
      <c r="AE817" s="105"/>
      <c r="AF817" s="105"/>
      <c r="AG817" s="105"/>
      <c r="AH817" s="105"/>
      <c r="AI817" s="105"/>
      <c r="AJ817" s="171"/>
      <c r="AK817" s="105"/>
      <c r="AL817" s="91"/>
      <c r="AM817" s="91"/>
      <c r="AN817" s="91"/>
      <c r="AO817" s="105"/>
      <c r="AP817" s="105"/>
      <c r="AQ817" s="105"/>
      <c r="AR817" s="105"/>
      <c r="AS817" s="105"/>
      <c r="AT817" s="105"/>
      <c r="AU817" s="105"/>
      <c r="AV817" s="105"/>
      <c r="AW817" s="105"/>
      <c r="AX817" s="105"/>
      <c r="AY817" s="105"/>
      <c r="AZ817" s="105"/>
      <c r="BA817" s="105">
        <f>IF($BA$658&gt;0,IPMT('Assumptions (Wind)'!$V$8,Model!W1,'Assumptions (Wind)'!$V$11,'Assumptions (Wind)'!$V$6*Model!$BA$658*AVERAGE('Assumptions (Wind)'!$AX$2:$AY$2)/10^9),0)</f>
        <v>-8.1983284701628101</v>
      </c>
      <c r="BB817" s="105">
        <f>IF($BA$658&gt;0,IPMT('Assumptions (Wind)'!$V$8,Model!X1,'Assumptions (Wind)'!$V$11,'Assumptions (Wind)'!$V$6*Model!$BA$658*AVERAGE('Assumptions (Wind)'!$AX$2:$AY$2)/10^9),0)</f>
        <v>-7.632402047696794</v>
      </c>
      <c r="BC817" s="105">
        <f>IF($BA$658&gt;0,IPMT('Assumptions (Wind)'!$V$8,Model!Y1,'Assumptions (Wind)'!$V$11,'Assumptions (Wind)'!$V$6*Model!$BA$658*AVERAGE('Assumptions (Wind)'!$AX$2:$AY$2)/10^9),0)</f>
        <v>-7.0212015114334978</v>
      </c>
      <c r="BD817" s="105">
        <f>IF($BA$658&gt;0,IPMT('Assumptions (Wind)'!$V$8,Model!Z1,'Assumptions (Wind)'!$V$11,'Assumptions (Wind)'!$V$6*Model!$BA$658*AVERAGE('Assumptions (Wind)'!$AX$2:$AY$2)/10^9),0)</f>
        <v>-6.3611049322691358</v>
      </c>
      <c r="BE817" s="105">
        <f>IF($BA$658&gt;0,IPMT('Assumptions (Wind)'!$V$8,Model!AA1,'Assumptions (Wind)'!$V$11,'Assumptions (Wind)'!$V$6*Model!$BA$658*AVERAGE('Assumptions (Wind)'!$AX$2:$AY$2)/10^9),0)</f>
        <v>-5.6482006267716267</v>
      </c>
      <c r="BF817" s="105">
        <f>IF($BA$658&gt;0,IPMT('Assumptions (Wind)'!$V$8,Model!AB1,'Assumptions (Wind)'!$V$11,'Assumptions (Wind)'!$V$6*Model!$BA$658*AVERAGE('Assumptions (Wind)'!$AX$2:$AY$2)/10^9),0)</f>
        <v>-4.8782639768343179</v>
      </c>
      <c r="BG817" s="105">
        <f>IF($BA$658&gt;0,IPMT('Assumptions (Wind)'!$V$8,Model!AC1,'Assumptions (Wind)'!$V$11,'Assumptions (Wind)'!$V$6*Model!$BA$658*AVERAGE('Assumptions (Wind)'!$AX$2:$AY$2)/10^9),0)</f>
        <v>-4.0467323949020226</v>
      </c>
      <c r="BH817" s="105">
        <f>IF($BA$658&gt;0,IPMT('Assumptions (Wind)'!$V$8,Model!AD1,'Assumptions (Wind)'!$V$11,'Assumptions (Wind)'!$V$6*Model!$BA$658*AVERAGE('Assumptions (Wind)'!$AX$2:$AY$2)/10^9),0)</f>
        <v>-3.1486782864151452</v>
      </c>
      <c r="BI817" s="105">
        <f>IF($BA$658&gt;0,IPMT('Assumptions (Wind)'!$V$8,Model!AE1,'Assumptions (Wind)'!$V$11,'Assumptions (Wind)'!$V$6*Model!$BA$658*AVERAGE('Assumptions (Wind)'!$AX$2:$AY$2)/10^9),0)</f>
        <v>-2.1787798492493167</v>
      </c>
      <c r="BJ817" s="105">
        <f>IF($BA$658&gt;0,IPMT('Assumptions (Wind)'!$V$8,Model!AF1,'Assumptions (Wind)'!$V$11,'Assumptions (Wind)'!$V$6*Model!$BA$658*AVERAGE('Assumptions (Wind)'!$AX$2:$AY$2)/10^9),0)</f>
        <v>-1.1312895371102223</v>
      </c>
      <c r="BK817" s="105" t="e">
        <f>IF($BA$658&gt;0,IPMT('Assumptions (Wind)'!$V$8,Model!AG1,'Assumptions (Wind)'!$V$11,'Assumptions (Wind)'!$V$6*Model!$BA$658*AVERAGE('Assumptions (Wind)'!$AX$2:$AY$2)/10^9),0)</f>
        <v>#NUM!</v>
      </c>
      <c r="BL817" s="105" t="e">
        <f>IF($BA$658&gt;0,IPMT('Assumptions (Wind)'!$V$8,Model!AH1,'Assumptions (Wind)'!$V$11,'Assumptions (Wind)'!$V$6*Model!$BA$658*AVERAGE('Assumptions (Wind)'!$AX$2:$AY$2)/10^9),0)</f>
        <v>#NUM!</v>
      </c>
      <c r="BM817" s="105" t="e">
        <f>IF($BA$658&gt;0,IPMT('Assumptions (Wind)'!$V$8,Model!AI1,'Assumptions (Wind)'!$V$11,'Assumptions (Wind)'!$V$6*Model!$BA$658*AVERAGE('Assumptions (Wind)'!$AX$2:$AY$2)/10^9),0)</f>
        <v>#NUM!</v>
      </c>
      <c r="BN817" s="105" t="e">
        <f>IF($BA$658&gt;0,IPMT('Assumptions (Wind)'!$V$8,Model!AJ1,'Assumptions (Wind)'!$V$11,'Assumptions (Wind)'!$V$6*Model!$BA$658*AVERAGE('Assumptions (Wind)'!$AX$2:$AY$2)/10^9),0)</f>
        <v>#NUM!</v>
      </c>
      <c r="BO817" s="105" t="e">
        <f>IF($BA$658&gt;0,IPMT('Assumptions (Wind)'!$V$8,Model!AK1,'Assumptions (Wind)'!$V$11,'Assumptions (Wind)'!$V$6*Model!$BA$658*AVERAGE('Assumptions (Wind)'!$AX$2:$AY$2)/10^9),0)</f>
        <v>#NUM!</v>
      </c>
      <c r="BP817" s="105"/>
      <c r="BQ817" s="105"/>
      <c r="BR817" s="105"/>
      <c r="BS817" s="105"/>
      <c r="BT817" s="105"/>
      <c r="BU817" s="105"/>
      <c r="BV817" s="105"/>
      <c r="BW817" s="105"/>
      <c r="BX817" s="105"/>
      <c r="BY817" s="105"/>
    </row>
    <row r="818" spans="1:77" ht="15.75" customHeight="1" collapsed="1">
      <c r="A818" s="396" t="s">
        <v>806</v>
      </c>
      <c r="B818" s="99" t="s">
        <v>201</v>
      </c>
      <c r="C818" s="150">
        <f t="shared" ref="C818:BF818" si="20">SUM(C819:C869)</f>
        <v>1.4434013627651286E-2</v>
      </c>
      <c r="D818" s="150">
        <f t="shared" si="20"/>
        <v>0.57437116563392909</v>
      </c>
      <c r="E818" s="150">
        <f t="shared" si="20"/>
        <v>1.1227947189398708</v>
      </c>
      <c r="F818" s="150">
        <f t="shared" si="20"/>
        <v>1.485899430004886</v>
      </c>
      <c r="G818" s="150">
        <f t="shared" si="20"/>
        <v>1.6166576906313119</v>
      </c>
      <c r="H818" s="150">
        <f t="shared" si="20"/>
        <v>2.0018023040121538</v>
      </c>
      <c r="I818" s="150">
        <f t="shared" si="20"/>
        <v>2.911396357751336</v>
      </c>
      <c r="J818" s="150">
        <f t="shared" si="20"/>
        <v>4.5689395127237109</v>
      </c>
      <c r="K818" s="150">
        <f t="shared" si="20"/>
        <v>7.5255680545697636</v>
      </c>
      <c r="L818" s="150">
        <f t="shared" si="20"/>
        <v>11.004013561846463</v>
      </c>
      <c r="M818" s="150">
        <f t="shared" si="20"/>
        <v>11.847558283809608</v>
      </c>
      <c r="N818" s="150">
        <f t="shared" si="20"/>
        <v>11.329776229357472</v>
      </c>
      <c r="O818" s="150">
        <f t="shared" si="20"/>
        <v>14.074962527274057</v>
      </c>
      <c r="P818" s="150">
        <f t="shared" si="20"/>
        <v>13.560451693190409</v>
      </c>
      <c r="Q818" s="150">
        <f t="shared" si="20"/>
        <v>9.766202830145863</v>
      </c>
      <c r="R818" s="150">
        <f t="shared" si="20"/>
        <v>10.198739289678826</v>
      </c>
      <c r="S818" s="150">
        <f t="shared" si="20"/>
        <v>12.543828811072965</v>
      </c>
      <c r="T818" s="150">
        <f t="shared" si="20"/>
        <v>12.051402865751442</v>
      </c>
      <c r="U818" s="150">
        <f t="shared" si="20"/>
        <v>11.2183496391193</v>
      </c>
      <c r="V818" s="150">
        <f t="shared" si="20"/>
        <v>12.595803242864809</v>
      </c>
      <c r="W818" s="150">
        <f t="shared" si="20"/>
        <v>15.83468115819338</v>
      </c>
      <c r="X818" s="150">
        <f t="shared" si="20"/>
        <v>33.483611925652554</v>
      </c>
      <c r="Y818" s="150">
        <f t="shared" si="20"/>
        <v>58.439904777525612</v>
      </c>
      <c r="Z818" s="150">
        <f t="shared" si="20"/>
        <v>74.167839118366217</v>
      </c>
      <c r="AA818" s="150">
        <f t="shared" si="20"/>
        <v>84.699388813240418</v>
      </c>
      <c r="AB818" s="150">
        <f t="shared" si="20"/>
        <v>94.822141220212714</v>
      </c>
      <c r="AC818" s="150">
        <f t="shared" si="20"/>
        <v>100.59803314336972</v>
      </c>
      <c r="AD818" s="150">
        <f t="shared" si="20"/>
        <v>102.50303084383148</v>
      </c>
      <c r="AE818" s="150">
        <f t="shared" si="20"/>
        <v>104.51698265932905</v>
      </c>
      <c r="AF818" s="150">
        <f t="shared" si="20"/>
        <v>106.59620939676782</v>
      </c>
      <c r="AG818" s="150">
        <f t="shared" si="20"/>
        <v>108.79783471618552</v>
      </c>
      <c r="AH818" s="150">
        <f t="shared" si="20"/>
        <v>111.25065000984686</v>
      </c>
      <c r="AI818" s="150">
        <f t="shared" si="20"/>
        <v>113.58205011194292</v>
      </c>
      <c r="AJ818" s="150">
        <f t="shared" si="20"/>
        <v>116.29372595725533</v>
      </c>
      <c r="AK818" s="150">
        <f t="shared" si="20"/>
        <v>119.13156960059067</v>
      </c>
      <c r="AL818" s="150">
        <f t="shared" si="20"/>
        <v>121.91171734312766</v>
      </c>
      <c r="AM818" s="150">
        <f t="shared" si="20"/>
        <v>124.39625052629134</v>
      </c>
      <c r="AN818" s="150">
        <f t="shared" si="20"/>
        <v>127.28298429512779</v>
      </c>
      <c r="AO818" s="150">
        <f t="shared" si="20"/>
        <v>130.98283925356816</v>
      </c>
      <c r="AP818" s="150">
        <f t="shared" si="20"/>
        <v>135.76686283544214</v>
      </c>
      <c r="AQ818" s="150">
        <f t="shared" si="20"/>
        <v>142.4197680889327</v>
      </c>
      <c r="AR818" s="150">
        <f t="shared" si="20"/>
        <v>149.97111178484238</v>
      </c>
      <c r="AS818" s="150">
        <f t="shared" si="20"/>
        <v>154.04422463645244</v>
      </c>
      <c r="AT818" s="150">
        <f t="shared" si="20"/>
        <v>156.3783935358129</v>
      </c>
      <c r="AU818" s="150">
        <f t="shared" si="20"/>
        <v>163.59261539986971</v>
      </c>
      <c r="AV818" s="150">
        <f t="shared" si="20"/>
        <v>166.01934599885053</v>
      </c>
      <c r="AW818" s="150">
        <f t="shared" si="20"/>
        <v>163.6889192681501</v>
      </c>
      <c r="AX818" s="150">
        <f t="shared" si="20"/>
        <v>167.85144910942608</v>
      </c>
      <c r="AY818" s="150">
        <f t="shared" si="20"/>
        <v>175.01818757138238</v>
      </c>
      <c r="AZ818" s="150">
        <f t="shared" si="20"/>
        <v>177.8577803350062</v>
      </c>
      <c r="BA818" s="150">
        <f t="shared" si="20"/>
        <v>176.9481844066286</v>
      </c>
      <c r="BB818" s="150">
        <f t="shared" si="20"/>
        <v>141.38994021339784</v>
      </c>
      <c r="BC818" s="150">
        <f t="shared" si="20"/>
        <v>85.502769473284999</v>
      </c>
      <c r="BD818" s="150">
        <f t="shared" si="20"/>
        <v>51.327094958142553</v>
      </c>
      <c r="BE818" s="150">
        <f t="shared" si="20"/>
        <v>30.163902937740801</v>
      </c>
      <c r="BF818" s="150">
        <f t="shared" si="20"/>
        <v>9.8379941641953721</v>
      </c>
      <c r="BG818" s="150"/>
      <c r="BH818" s="150"/>
      <c r="BI818" s="150"/>
      <c r="BJ818" s="150"/>
    </row>
    <row r="819" spans="1:77" ht="15.75" hidden="1" customHeight="1" outlineLevel="1">
      <c r="A819" s="395"/>
      <c r="B819" s="99"/>
      <c r="C819" s="91">
        <f>IF($C$658&gt;0,'Assumptions (Wind)'!V$12*Model!$C$658*'Assumptions (Wind)'!$B$2/10^9,0)</f>
        <v>1.4434013627651286E-2</v>
      </c>
      <c r="D819" s="91">
        <f>IF($C$658&gt;0,'Assumptions (Wind)'!W$12*Model!$C$658*'Assumptions (Wind)'!$B$2/10^9,0)</f>
        <v>2.3094421804242055E-2</v>
      </c>
      <c r="E819" s="91">
        <f>IF($C$658&gt;0,'Assumptions (Wind)'!X$12*Model!$C$658*'Assumptions (Wind)'!$B$2/10^9,0)</f>
        <v>1.3856653082545235E-2</v>
      </c>
      <c r="F819" s="91">
        <f>IF($C$658&gt;0,'Assumptions (Wind)'!Y$12*Model!$C$658*'Assumptions (Wind)'!$B$2/10^9,0)</f>
        <v>8.3139918495271411E-3</v>
      </c>
      <c r="G819" s="91">
        <f>IF($C$658&gt;0,'Assumptions (Wind)'!Z$12*Model!$C$658*'Assumptions (Wind)'!$B$2/10^9,0)</f>
        <v>8.3139918495271411E-3</v>
      </c>
      <c r="H819" s="91">
        <f>IF($C$658&gt;0,'Assumptions (Wind)'!AA$12*Model!$C$658*'Assumptions (Wind)'!$B$2/10^9,0)</f>
        <v>4.1569959247635705E-3</v>
      </c>
      <c r="I819" s="91"/>
      <c r="J819" s="91"/>
      <c r="K819" s="91"/>
      <c r="L819" s="91"/>
      <c r="M819" s="91"/>
      <c r="N819" s="91"/>
      <c r="O819" s="91"/>
      <c r="P819" s="91"/>
      <c r="Q819" s="91"/>
      <c r="R819" s="91"/>
      <c r="S819" s="91"/>
      <c r="T819" s="91"/>
      <c r="U819" s="91"/>
      <c r="V819" s="91"/>
      <c r="W819" s="91"/>
      <c r="X819" s="91"/>
      <c r="Y819" s="91"/>
      <c r="Z819" s="91"/>
      <c r="AA819" s="91"/>
      <c r="AB819" s="150"/>
      <c r="AC819" s="150"/>
      <c r="AD819" s="150"/>
      <c r="AE819" s="150"/>
      <c r="AF819" s="150"/>
      <c r="AG819" s="150"/>
      <c r="AH819" s="150"/>
      <c r="AI819" s="150"/>
      <c r="AJ819" s="150"/>
      <c r="AK819" s="105"/>
      <c r="AL819" s="105"/>
      <c r="AM819" s="105"/>
      <c r="AN819" s="105"/>
      <c r="AO819" s="105"/>
      <c r="AP819" s="105"/>
      <c r="AQ819" s="105"/>
      <c r="AR819" s="105"/>
      <c r="AS819" s="105"/>
      <c r="AT819" s="105"/>
      <c r="AU819" s="105"/>
      <c r="AV819" s="105"/>
      <c r="AW819" s="105"/>
      <c r="AX819" s="105"/>
      <c r="AY819" s="105"/>
      <c r="AZ819" s="105"/>
      <c r="BA819" s="105"/>
    </row>
    <row r="820" spans="1:77" ht="15.75" hidden="1" customHeight="1" outlineLevel="1">
      <c r="A820" s="395"/>
      <c r="B820" s="99"/>
      <c r="C820" s="105"/>
      <c r="D820" s="91">
        <f>IF($D$658&gt;0,'Assumptions (Wind)'!V$12*Model!$D$658*'Assumptions (Wind)'!$B$2/10^9,0)</f>
        <v>0.55127674382968705</v>
      </c>
      <c r="E820" s="91">
        <f>IF($D$658&gt;0,'Assumptions (Wind)'!W$12*Model!$D$658*'Assumptions (Wind)'!$B$2/10^9,0)</f>
        <v>0.8820427901274992</v>
      </c>
      <c r="F820" s="91">
        <f>IF($D$658&gt;0,'Assumptions (Wind)'!X$12*Model!$D$658*'Assumptions (Wind)'!$B$2/10^9,0)</f>
        <v>0.52922567407649945</v>
      </c>
      <c r="G820" s="91">
        <f>IF($D$658&gt;0,'Assumptions (Wind)'!Y$12*Model!$D$658*'Assumptions (Wind)'!$B$2/10^9,0)</f>
        <v>0.31753540444589967</v>
      </c>
      <c r="H820" s="91">
        <f>IF($D$658&gt;0,'Assumptions (Wind)'!Z$12*Model!$D$658*'Assumptions (Wind)'!$B$2/10^9,0)</f>
        <v>0.31753540444589967</v>
      </c>
      <c r="I820" s="91">
        <f>IF($D$658&gt;0,'Assumptions (Wind)'!AA$12*Model!$D$658*'Assumptions (Wind)'!$B$2/10^9,0)</f>
        <v>0.15876770222294984</v>
      </c>
      <c r="J820" s="91"/>
      <c r="K820" s="91"/>
      <c r="L820" s="91"/>
      <c r="M820" s="91"/>
      <c r="N820" s="91"/>
      <c r="O820" s="91"/>
      <c r="P820" s="91"/>
      <c r="Q820" s="91"/>
      <c r="R820" s="91"/>
      <c r="S820" s="91"/>
      <c r="T820" s="91"/>
      <c r="U820" s="91"/>
      <c r="V820" s="91"/>
      <c r="W820" s="91"/>
      <c r="X820" s="91"/>
      <c r="Y820" s="91"/>
      <c r="Z820" s="91"/>
      <c r="AA820" s="91"/>
      <c r="AB820" s="150"/>
      <c r="AC820" s="150"/>
      <c r="AD820" s="150"/>
      <c r="AE820" s="150"/>
      <c r="AF820" s="150"/>
      <c r="AG820" s="150"/>
      <c r="AH820" s="150"/>
      <c r="AI820" s="150"/>
      <c r="AJ820" s="150"/>
      <c r="AK820" s="105"/>
      <c r="AL820" s="105"/>
      <c r="AM820" s="105"/>
      <c r="AN820" s="105"/>
      <c r="AO820" s="105"/>
      <c r="AP820" s="105"/>
      <c r="AQ820" s="105"/>
      <c r="AR820" s="105"/>
      <c r="AS820" s="105"/>
      <c r="AT820" s="105"/>
      <c r="AU820" s="105"/>
      <c r="AV820" s="105"/>
      <c r="AW820" s="105"/>
      <c r="AX820" s="105"/>
      <c r="AY820" s="105"/>
      <c r="AZ820" s="105"/>
      <c r="BA820" s="105"/>
    </row>
    <row r="821" spans="1:77" ht="15.75" hidden="1" customHeight="1" outlineLevel="1">
      <c r="A821" s="395"/>
      <c r="B821" s="99"/>
      <c r="C821" s="105"/>
      <c r="D821" s="105"/>
      <c r="E821" s="105">
        <f>IF($E$658&gt;0,'Assumptions (Wind)'!V$12*Model!$E$658*AVERAGE('Assumptions (Wind)'!$B$2:$C$2)/10^9,0)</f>
        <v>0.22689527572982629</v>
      </c>
      <c r="F821" s="105">
        <f>IF($E$658&gt;0,'Assumptions (Wind)'!W$12*Model!$E$658*AVERAGE('Assumptions (Wind)'!$B$2:$C$2)/10^9,0)</f>
        <v>0.3630324411677221</v>
      </c>
      <c r="G821" s="105">
        <f>IF($E$658&gt;0,'Assumptions (Wind)'!X$12*Model!$E$658*AVERAGE('Assumptions (Wind)'!$B$2:$C$2)/10^9,0)</f>
        <v>0.21781946470063326</v>
      </c>
      <c r="H821" s="105">
        <f>IF($E$658&gt;0,'Assumptions (Wind)'!Y$12*Model!$E$658*AVERAGE('Assumptions (Wind)'!$B$2:$C$2)/10^9,0)</f>
        <v>0.13069167882037994</v>
      </c>
      <c r="I821" s="105">
        <f>IF($E$658&gt;0,'Assumptions (Wind)'!Z$12*Model!$E$658*AVERAGE('Assumptions (Wind)'!$B$2:$C$2)/10^9,0)</f>
        <v>0.13069167882037994</v>
      </c>
      <c r="J821" s="105">
        <f>IF($E$658&gt;0,'Assumptions (Wind)'!AA$12*Model!$E$658*AVERAGE('Assumptions (Wind)'!$B$2:$C$2)/10^9,0)</f>
        <v>6.5345839410189968E-2</v>
      </c>
      <c r="K821" s="105"/>
      <c r="L821" s="105"/>
      <c r="M821" s="105"/>
      <c r="N821" s="105"/>
      <c r="O821" s="105"/>
      <c r="P821" s="105"/>
      <c r="Q821" s="105"/>
      <c r="R821" s="105"/>
      <c r="S821" s="105"/>
      <c r="T821" s="105"/>
      <c r="U821" s="105"/>
      <c r="V821" s="105"/>
      <c r="W821" s="105"/>
      <c r="X821" s="105"/>
      <c r="Y821" s="105"/>
      <c r="Z821" s="105"/>
      <c r="AA821" s="105"/>
      <c r="AB821" s="150"/>
      <c r="AC821" s="150"/>
      <c r="AD821" s="150"/>
      <c r="AE821" s="150"/>
      <c r="AF821" s="150"/>
      <c r="AG821" s="150"/>
      <c r="AH821" s="150"/>
      <c r="AI821" s="150"/>
      <c r="AJ821" s="150"/>
      <c r="AK821" s="105"/>
      <c r="AL821" s="105"/>
      <c r="AM821" s="105"/>
      <c r="AN821" s="105"/>
      <c r="AO821" s="105"/>
      <c r="AP821" s="105"/>
      <c r="AQ821" s="105"/>
      <c r="AR821" s="105"/>
      <c r="AS821" s="105"/>
      <c r="AT821" s="105"/>
      <c r="AU821" s="105"/>
      <c r="AV821" s="105"/>
      <c r="AW821" s="105"/>
      <c r="AX821" s="105"/>
      <c r="AY821" s="105"/>
      <c r="AZ821" s="105"/>
      <c r="BA821" s="105"/>
    </row>
    <row r="822" spans="1:77" ht="15.75" hidden="1" customHeight="1" outlineLevel="1">
      <c r="A822" s="395"/>
      <c r="B822" s="99"/>
      <c r="C822" s="105"/>
      <c r="D822" s="105"/>
      <c r="E822" s="105"/>
      <c r="F822" s="105">
        <f>IF($F$658&gt;0,'Assumptions (Wind)'!V$12*Model!$F$658*AVERAGE('Assumptions (Wind)'!$C$2:$D$2)/10^9,0)</f>
        <v>0.58532732291113732</v>
      </c>
      <c r="G822" s="105">
        <f>IF($F$658&gt;0,'Assumptions (Wind)'!W$12*Model!$F$658*AVERAGE('Assumptions (Wind)'!$C$2:$D$2)/10^9,0)</f>
        <v>0.93652371665781953</v>
      </c>
      <c r="H822" s="105">
        <f>IF($F$658&gt;0,'Assumptions (Wind)'!X$12*Model!$F$658*AVERAGE('Assumptions (Wind)'!$C$2:$D$2)/10^9,0)</f>
        <v>0.56191422999469176</v>
      </c>
      <c r="I822" s="105">
        <f>IF($F$658&gt;0,'Assumptions (Wind)'!Y$12*Model!$F$658*AVERAGE('Assumptions (Wind)'!$C$2:$D$2)/10^9,0)</f>
        <v>0.3371485379968151</v>
      </c>
      <c r="J822" s="105">
        <f>IF($F$658&gt;0,'Assumptions (Wind)'!Z$12*Model!$F$658*AVERAGE('Assumptions (Wind)'!$C$2:$D$2)/10^9,0)</f>
        <v>0.3371485379968151</v>
      </c>
      <c r="K822" s="105">
        <f>IF($F$658&gt;0,'Assumptions (Wind)'!AA$12*Model!$F$658*AVERAGE('Assumptions (Wind)'!$C$2:$D$2)/10^9,0)</f>
        <v>0.16857426899840755</v>
      </c>
      <c r="L822" s="105"/>
      <c r="M822" s="105"/>
      <c r="N822" s="105"/>
      <c r="O822" s="105"/>
      <c r="P822" s="105"/>
      <c r="Q822" s="105"/>
      <c r="R822" s="105"/>
      <c r="S822" s="105"/>
      <c r="T822" s="105"/>
      <c r="U822" s="105"/>
      <c r="V822" s="105"/>
      <c r="W822" s="105"/>
      <c r="X822" s="105"/>
      <c r="Y822" s="105"/>
      <c r="Z822" s="105"/>
      <c r="AA822" s="105"/>
      <c r="AB822" s="150"/>
      <c r="AC822" s="150"/>
      <c r="AD822" s="150"/>
      <c r="AE822" s="150"/>
      <c r="AF822" s="150"/>
      <c r="AG822" s="150"/>
      <c r="AH822" s="150"/>
      <c r="AI822" s="150"/>
      <c r="AJ822" s="150"/>
      <c r="AK822" s="105"/>
      <c r="AL822" s="105"/>
      <c r="AM822" s="105"/>
      <c r="AN822" s="105"/>
      <c r="AO822" s="105"/>
      <c r="AP822" s="105"/>
      <c r="AQ822" s="105"/>
      <c r="AR822" s="105"/>
      <c r="AS822" s="105"/>
      <c r="AT822" s="105"/>
      <c r="AU822" s="105"/>
      <c r="AV822" s="105"/>
      <c r="AW822" s="105"/>
      <c r="AX822" s="105"/>
      <c r="AY822" s="105"/>
      <c r="AZ822" s="105"/>
      <c r="BA822" s="105"/>
    </row>
    <row r="823" spans="1:77" ht="15.75" hidden="1" customHeight="1" outlineLevel="1">
      <c r="A823" s="395"/>
      <c r="B823" s="99"/>
      <c r="C823" s="105"/>
      <c r="D823" s="105"/>
      <c r="E823" s="105"/>
      <c r="F823" s="105"/>
      <c r="G823" s="105">
        <f>IF($G$658&gt;0,'Assumptions (Wind)'!V$12*Model!$G$658*AVERAGE('Assumptions (Wind)'!$D$2:$E$2)/10^9,0)</f>
        <v>0.13646511297743233</v>
      </c>
      <c r="H823" s="105">
        <f>IF($G$658&gt;0,'Assumptions (Wind)'!W$12*Model!$G$658*AVERAGE('Assumptions (Wind)'!$D$2:$E$2)/10^9,0)</f>
        <v>0.21834418076389173</v>
      </c>
      <c r="I823" s="105">
        <f>IF($G$658&gt;0,'Assumptions (Wind)'!X$12*Model!$G$658*AVERAGE('Assumptions (Wind)'!$D$2:$E$2)/10^9,0)</f>
        <v>0.13100650845833503</v>
      </c>
      <c r="J823" s="105">
        <f>IF($G$658&gt;0,'Assumptions (Wind)'!Y$12*Model!$G$658*AVERAGE('Assumptions (Wind)'!$D$2:$E$2)/10^9,0)</f>
        <v>7.8603905075001021E-2</v>
      </c>
      <c r="K823" s="105">
        <f>IF($G$658&gt;0,'Assumptions (Wind)'!Z$12*Model!$G$658*AVERAGE('Assumptions (Wind)'!$D$2:$E$2)/10^9,0)</f>
        <v>7.8603905075001021E-2</v>
      </c>
      <c r="L823" s="105">
        <f>IF($G$658&gt;0,'Assumptions (Wind)'!AA$12*Model!$G$658*AVERAGE('Assumptions (Wind)'!$D$2:$E$2)/10^9,0)</f>
        <v>3.930195253750051E-2</v>
      </c>
      <c r="M823" s="105"/>
      <c r="N823" s="105"/>
      <c r="O823" s="105"/>
      <c r="P823" s="105"/>
      <c r="Q823" s="105"/>
      <c r="R823" s="105"/>
      <c r="S823" s="105"/>
      <c r="T823" s="105"/>
      <c r="U823" s="105"/>
      <c r="V823" s="105"/>
      <c r="W823" s="105"/>
      <c r="X823" s="105"/>
      <c r="Y823" s="105"/>
      <c r="Z823" s="105"/>
      <c r="AA823" s="105"/>
      <c r="AB823" s="150"/>
      <c r="AC823" s="150"/>
      <c r="AD823" s="150"/>
      <c r="AE823" s="150"/>
      <c r="AF823" s="150"/>
      <c r="AG823" s="150"/>
      <c r="AH823" s="150"/>
      <c r="AI823" s="150"/>
      <c r="AJ823" s="150"/>
      <c r="AK823" s="105"/>
      <c r="AL823" s="105"/>
      <c r="AM823" s="105"/>
      <c r="AN823" s="105"/>
      <c r="AO823" s="105"/>
      <c r="AP823" s="105"/>
      <c r="AQ823" s="105"/>
      <c r="AR823" s="105"/>
      <c r="AS823" s="105"/>
      <c r="AT823" s="105"/>
      <c r="AU823" s="105"/>
      <c r="AV823" s="105"/>
      <c r="AW823" s="105"/>
      <c r="AX823" s="105"/>
      <c r="AY823" s="105"/>
      <c r="AZ823" s="105"/>
      <c r="BA823" s="105"/>
    </row>
    <row r="824" spans="1:77" ht="15.75" hidden="1" customHeight="1" outlineLevel="1">
      <c r="A824" s="395"/>
      <c r="B824" s="99"/>
      <c r="C824" s="105"/>
      <c r="D824" s="105"/>
      <c r="E824" s="105"/>
      <c r="F824" s="105"/>
      <c r="G824" s="105"/>
      <c r="H824" s="105">
        <f>IF($H$658&gt;0,'Assumptions (Wind)'!V$12*Model!$H$658*AVERAGE('Assumptions (Wind)'!$E$2:$F$2)/10^9,0)</f>
        <v>0.76915981406252731</v>
      </c>
      <c r="I824" s="105">
        <f>IF($H$658&gt;0,'Assumptions (Wind)'!W$12*Model!$H$658*AVERAGE('Assumptions (Wind)'!$E$2:$F$2)/10^9,0)</f>
        <v>1.2306557025000435</v>
      </c>
      <c r="J824" s="105">
        <f>IF($H$658&gt;0,'Assumptions (Wind)'!X$12*Model!$H$658*AVERAGE('Assumptions (Wind)'!$E$2:$F$2)/10^9,0)</f>
        <v>0.73839342150002607</v>
      </c>
      <c r="K824" s="105">
        <f>IF($H$658&gt;0,'Assumptions (Wind)'!Y$12*Model!$H$658*AVERAGE('Assumptions (Wind)'!$E$2:$F$2)/10^9,0)</f>
        <v>0.44303605290001563</v>
      </c>
      <c r="L824" s="105">
        <f>IF($H$658&gt;0,'Assumptions (Wind)'!Z$12*Model!$H$658*AVERAGE('Assumptions (Wind)'!$E$2:$F$2)/10^9,0)</f>
        <v>0.44303605290001563</v>
      </c>
      <c r="M824" s="105">
        <f>IF($H$658&gt;0,'Assumptions (Wind)'!AA$12*Model!$H$658*AVERAGE('Assumptions (Wind)'!$E$2:$F$2)/10^9,0)</f>
        <v>0.22151802645000782</v>
      </c>
      <c r="N824" s="105"/>
      <c r="O824" s="105"/>
      <c r="P824" s="105"/>
      <c r="Q824" s="105"/>
      <c r="R824" s="105"/>
      <c r="S824" s="105"/>
      <c r="T824" s="105"/>
      <c r="U824" s="105"/>
      <c r="V824" s="105"/>
      <c r="W824" s="105"/>
      <c r="X824" s="105"/>
      <c r="Y824" s="105"/>
      <c r="Z824" s="105"/>
      <c r="AA824" s="105"/>
      <c r="AB824" s="150"/>
      <c r="AC824" s="150"/>
      <c r="AD824" s="150"/>
      <c r="AE824" s="150"/>
      <c r="AF824" s="150"/>
      <c r="AG824" s="150"/>
      <c r="AH824" s="150"/>
      <c r="AI824" s="150"/>
      <c r="AJ824" s="150"/>
      <c r="AK824" s="105"/>
      <c r="AL824" s="105"/>
      <c r="AM824" s="105"/>
      <c r="AN824" s="105"/>
      <c r="AO824" s="105"/>
      <c r="AP824" s="105"/>
      <c r="AQ824" s="105"/>
      <c r="AR824" s="105"/>
      <c r="AS824" s="105"/>
      <c r="AT824" s="105"/>
      <c r="AU824" s="105"/>
      <c r="AV824" s="105"/>
      <c r="AW824" s="105"/>
      <c r="AX824" s="105"/>
      <c r="AY824" s="105"/>
      <c r="AZ824" s="105"/>
      <c r="BA824" s="105"/>
    </row>
    <row r="825" spans="1:77" ht="15.75" hidden="1" customHeight="1" outlineLevel="1">
      <c r="A825" s="395"/>
      <c r="B825" s="99"/>
      <c r="C825" s="105"/>
      <c r="D825" s="105"/>
      <c r="E825" s="105"/>
      <c r="F825" s="105"/>
      <c r="G825" s="105"/>
      <c r="H825" s="105"/>
      <c r="I825" s="105">
        <f>IF($I$658&gt;0,'Assumptions (Wind)'!V$12*Model!$I$658*AVERAGE('Assumptions (Wind)'!$F$2:$G$2)/10^9,0)</f>
        <v>0.9231262277528125</v>
      </c>
      <c r="J825" s="105">
        <f>IF($I$658&gt;0,'Assumptions (Wind)'!W$12*Model!$I$658*AVERAGE('Assumptions (Wind)'!$F$2:$G$2)/10^9,0)</f>
        <v>1.4770019644045</v>
      </c>
      <c r="K825" s="105">
        <f>IF($I$658&gt;0,'Assumptions (Wind)'!X$12*Model!$I$658*AVERAGE('Assumptions (Wind)'!$F$2:$G$2)/10^9,0)</f>
        <v>0.88620117864270009</v>
      </c>
      <c r="L825" s="105">
        <f>IF($I$658&gt;0,'Assumptions (Wind)'!Y$12*Model!$I$658*AVERAGE('Assumptions (Wind)'!$F$2:$G$2)/10^9,0)</f>
        <v>0.53172070718562003</v>
      </c>
      <c r="M825" s="105">
        <f>IF($I$658&gt;0,'Assumptions (Wind)'!Z$12*Model!$I$658*AVERAGE('Assumptions (Wind)'!$F$2:$G$2)/10^9,0)</f>
        <v>0.53172070718562003</v>
      </c>
      <c r="N825" s="105">
        <f>IF($I$658&gt;0,'Assumptions (Wind)'!AA$12*Model!$I$658*AVERAGE('Assumptions (Wind)'!$F$2:$G$2)/10^9,0)</f>
        <v>0.26586035359281002</v>
      </c>
      <c r="O825" s="105"/>
      <c r="P825" s="105"/>
      <c r="Q825" s="105"/>
      <c r="R825" s="105"/>
      <c r="S825" s="105"/>
      <c r="T825" s="105"/>
      <c r="U825" s="105"/>
      <c r="V825" s="105"/>
      <c r="W825" s="105"/>
      <c r="X825" s="105"/>
      <c r="Y825" s="105"/>
      <c r="Z825" s="105"/>
      <c r="AA825" s="105"/>
      <c r="AB825" s="150"/>
      <c r="AC825" s="150"/>
      <c r="AD825" s="150"/>
      <c r="AE825" s="150"/>
      <c r="AF825" s="150"/>
      <c r="AG825" s="150"/>
      <c r="AH825" s="150"/>
      <c r="AI825" s="150"/>
      <c r="AJ825" s="150"/>
      <c r="AK825" s="105"/>
      <c r="AL825" s="105"/>
      <c r="AM825" s="105"/>
      <c r="AN825" s="105"/>
      <c r="AO825" s="105"/>
      <c r="AP825" s="105"/>
      <c r="AQ825" s="105"/>
      <c r="AR825" s="105"/>
      <c r="AS825" s="105"/>
      <c r="AT825" s="105"/>
      <c r="AU825" s="105"/>
      <c r="AV825" s="105"/>
      <c r="AW825" s="105"/>
      <c r="AX825" s="105"/>
      <c r="AY825" s="105"/>
      <c r="AZ825" s="105"/>
      <c r="BA825" s="105"/>
    </row>
    <row r="826" spans="1:77" ht="15.75" hidden="1" customHeight="1" outlineLevel="1">
      <c r="A826" s="395"/>
      <c r="B826" s="99"/>
      <c r="C826" s="105"/>
      <c r="D826" s="105"/>
      <c r="E826" s="105"/>
      <c r="F826" s="105"/>
      <c r="G826" s="105"/>
      <c r="H826" s="105"/>
      <c r="I826" s="105"/>
      <c r="J826" s="105">
        <f>IF($J$658&gt;0,'Assumptions (Wind)'!V$12*Model!$J$658*AVERAGE('Assumptions (Wind)'!$G$2:$H$2)/10^9,0)</f>
        <v>1.8724458443371788</v>
      </c>
      <c r="K826" s="105">
        <f>IF($J$658&gt;0,'Assumptions (Wind)'!W$12*Model!$J$658*AVERAGE('Assumptions (Wind)'!$G$2:$H$2)/10^9,0)</f>
        <v>2.9959133509394862</v>
      </c>
      <c r="L826" s="105">
        <f>IF($J$658&gt;0,'Assumptions (Wind)'!X$12*Model!$J$658*AVERAGE('Assumptions (Wind)'!$G$2:$H$2)/10^9,0)</f>
        <v>1.7975480105636916</v>
      </c>
      <c r="M826" s="105">
        <f>IF($J$658&gt;0,'Assumptions (Wind)'!Y$12*Model!$J$658*AVERAGE('Assumptions (Wind)'!$G$2:$H$2)/10^9,0)</f>
        <v>1.0785288063382148</v>
      </c>
      <c r="N826" s="105">
        <f>IF($J$658&gt;0,'Assumptions (Wind)'!Z$12*Model!$J$658*AVERAGE('Assumptions (Wind)'!$G$2:$H$2)/10^9,0)</f>
        <v>1.0785288063382148</v>
      </c>
      <c r="O826" s="105">
        <f>IF($J$658&gt;0,'Assumptions (Wind)'!AA$12*Model!$J$658*AVERAGE('Assumptions (Wind)'!$G$2:$H$2)/10^9,0)</f>
        <v>0.5392644031691074</v>
      </c>
      <c r="P826" s="105"/>
      <c r="Q826" s="105"/>
      <c r="R826" s="105"/>
      <c r="S826" s="105"/>
      <c r="T826" s="105"/>
      <c r="U826" s="105"/>
      <c r="V826" s="105"/>
      <c r="W826" s="105"/>
      <c r="X826" s="105"/>
      <c r="Y826" s="105"/>
      <c r="Z826" s="105"/>
      <c r="AA826" s="105"/>
      <c r="AB826" s="150"/>
      <c r="AC826" s="150"/>
      <c r="AD826" s="150"/>
      <c r="AE826" s="150"/>
      <c r="AF826" s="150"/>
      <c r="AG826" s="150"/>
      <c r="AH826" s="150"/>
      <c r="AI826" s="150"/>
      <c r="AJ826" s="150"/>
      <c r="AK826" s="105"/>
      <c r="AL826" s="105"/>
      <c r="AM826" s="105"/>
      <c r="AN826" s="105"/>
      <c r="AO826" s="105"/>
      <c r="AP826" s="105"/>
      <c r="AQ826" s="105"/>
      <c r="AR826" s="105"/>
      <c r="AS826" s="105"/>
      <c r="AT826" s="105"/>
      <c r="AU826" s="105"/>
      <c r="AV826" s="105"/>
      <c r="AW826" s="105"/>
      <c r="AX826" s="105"/>
      <c r="AY826" s="105"/>
      <c r="AZ826" s="105"/>
      <c r="BA826" s="105"/>
    </row>
    <row r="827" spans="1:77" ht="15.75" hidden="1" customHeight="1" outlineLevel="1">
      <c r="A827" s="395"/>
      <c r="B827" s="99"/>
      <c r="C827" s="105"/>
      <c r="D827" s="105"/>
      <c r="E827" s="105"/>
      <c r="F827" s="105"/>
      <c r="G827" s="105"/>
      <c r="H827" s="105"/>
      <c r="I827" s="105"/>
      <c r="J827" s="105"/>
      <c r="K827" s="105">
        <f>IF($K$658&gt;0,'Assumptions (Wind)'!V$12*Model!$K$658*AVERAGE('Assumptions (Wind)'!$H$2:$I$2)/10^9,0)</f>
        <v>2.9532392980141537</v>
      </c>
      <c r="L827" s="105">
        <f>IF($K$658&gt;0,'Assumptions (Wind)'!W$12*Model!$K$658*AVERAGE('Assumptions (Wind)'!$H$2:$I$2)/10^9,0)</f>
        <v>4.7251828768226458</v>
      </c>
      <c r="M827" s="105">
        <f>IF($K$658&gt;0,'Assumptions (Wind)'!X$12*Model!$K$658*AVERAGE('Assumptions (Wind)'!$H$2:$I$2)/10^9,0)</f>
        <v>2.835109726093588</v>
      </c>
      <c r="N827" s="105">
        <f>IF($K$658&gt;0,'Assumptions (Wind)'!Y$12*Model!$K$658*AVERAGE('Assumptions (Wind)'!$H$2:$I$2)/10^9,0)</f>
        <v>1.7010658356561525</v>
      </c>
      <c r="O827" s="105">
        <f>IF($K$658&gt;0,'Assumptions (Wind)'!Z$12*Model!$K$658*AVERAGE('Assumptions (Wind)'!$H$2:$I$2)/10^9,0)</f>
        <v>1.7010658356561525</v>
      </c>
      <c r="P827" s="105">
        <f>IF($K$658&gt;0,'Assumptions (Wind)'!AA$12*Model!$K$658*AVERAGE('Assumptions (Wind)'!$H$2:$I$2)/10^9,0)</f>
        <v>0.85053291782807627</v>
      </c>
      <c r="Q827" s="105"/>
      <c r="R827" s="105"/>
      <c r="S827" s="105"/>
      <c r="T827" s="105"/>
      <c r="U827" s="105"/>
      <c r="V827" s="105"/>
      <c r="W827" s="105"/>
      <c r="X827" s="105"/>
      <c r="Y827" s="105"/>
      <c r="Z827" s="105"/>
      <c r="AA827" s="105"/>
      <c r="AB827" s="150"/>
      <c r="AC827" s="150"/>
      <c r="AD827" s="150"/>
      <c r="AE827" s="150"/>
      <c r="AF827" s="150"/>
      <c r="AG827" s="150"/>
      <c r="AH827" s="150"/>
      <c r="AI827" s="150"/>
      <c r="AJ827" s="150"/>
      <c r="AK827" s="105"/>
      <c r="AL827" s="105"/>
      <c r="AM827" s="105"/>
      <c r="AN827" s="105"/>
      <c r="AO827" s="105"/>
      <c r="AP827" s="105"/>
      <c r="AQ827" s="105"/>
      <c r="AR827" s="105"/>
      <c r="AS827" s="105"/>
      <c r="AT827" s="105"/>
      <c r="AU827" s="105"/>
      <c r="AV827" s="105"/>
      <c r="AW827" s="105"/>
      <c r="AX827" s="105"/>
      <c r="AY827" s="105"/>
      <c r="AZ827" s="105"/>
      <c r="BA827" s="105"/>
    </row>
    <row r="828" spans="1:77" ht="15.75" hidden="1" customHeight="1" outlineLevel="1">
      <c r="A828" s="395"/>
      <c r="B828" s="99"/>
      <c r="C828" s="105"/>
      <c r="D828" s="105"/>
      <c r="E828" s="105"/>
      <c r="F828" s="105"/>
      <c r="G828" s="105"/>
      <c r="H828" s="105"/>
      <c r="I828" s="105"/>
      <c r="J828" s="105"/>
      <c r="K828" s="105"/>
      <c r="L828" s="105">
        <f>IF($L$658&gt;0,'Assumptions (Wind)'!V$12*Model!$L$658*AVERAGE('Assumptions (Wind)'!$I$2:$J$2)/10^9,0)</f>
        <v>3.4672239618369898</v>
      </c>
      <c r="M828" s="105">
        <f>IF($L$658&gt;0,'Assumptions (Wind)'!W$12*Model!$L$658*AVERAGE('Assumptions (Wind)'!$I$2:$J$2)/10^9,0)</f>
        <v>5.5475583389391838</v>
      </c>
      <c r="N828" s="105">
        <f>IF($L$658&gt;0,'Assumptions (Wind)'!X$12*Model!$L$658*AVERAGE('Assumptions (Wind)'!$I$2:$J$2)/10^9,0)</f>
        <v>3.3285350033635099</v>
      </c>
      <c r="O828" s="105">
        <f>IF($L$658&gt;0,'Assumptions (Wind)'!Y$12*Model!$L$658*AVERAGE('Assumptions (Wind)'!$I$2:$J$2)/10^9,0)</f>
        <v>1.9971210020181058</v>
      </c>
      <c r="P828" s="105">
        <f>IF($L$658&gt;0,'Assumptions (Wind)'!Z$12*Model!$L$658*AVERAGE('Assumptions (Wind)'!$I$2:$J$2)/10^9,0)</f>
        <v>1.9971210020181058</v>
      </c>
      <c r="Q828" s="105">
        <f>IF($L$658&gt;0,'Assumptions (Wind)'!AA$12*Model!$L$658*AVERAGE('Assumptions (Wind)'!$I$2:$J$2)/10^9,0)</f>
        <v>0.99856050100905291</v>
      </c>
      <c r="R828" s="105"/>
      <c r="S828" s="105"/>
      <c r="T828" s="105"/>
      <c r="U828" s="105"/>
      <c r="V828" s="105"/>
      <c r="W828" s="105"/>
      <c r="X828" s="105"/>
      <c r="Y828" s="105"/>
      <c r="Z828" s="105"/>
      <c r="AA828" s="105"/>
      <c r="AB828" s="150"/>
      <c r="AC828" s="150"/>
      <c r="AD828" s="150"/>
      <c r="AE828" s="150"/>
      <c r="AF828" s="150"/>
      <c r="AG828" s="150"/>
      <c r="AH828" s="150"/>
      <c r="AI828" s="150"/>
      <c r="AJ828" s="150"/>
      <c r="AK828" s="105"/>
      <c r="AL828" s="105"/>
      <c r="AM828" s="105"/>
      <c r="AN828" s="105"/>
      <c r="AO828" s="105"/>
      <c r="AP828" s="105"/>
      <c r="AQ828" s="105"/>
      <c r="AR828" s="105"/>
      <c r="AS828" s="105"/>
      <c r="AT828" s="105"/>
      <c r="AU828" s="105"/>
      <c r="AV828" s="105"/>
      <c r="AW828" s="105"/>
      <c r="AX828" s="105"/>
      <c r="AY828" s="105"/>
      <c r="AZ828" s="105"/>
      <c r="BA828" s="105"/>
    </row>
    <row r="829" spans="1:77" ht="15.75" hidden="1" customHeight="1" outlineLevel="1">
      <c r="A829" s="395"/>
      <c r="B829" s="99"/>
      <c r="C829" s="105"/>
      <c r="D829" s="105"/>
      <c r="E829" s="105"/>
      <c r="F829" s="105"/>
      <c r="G829" s="105"/>
      <c r="H829" s="105"/>
      <c r="I829" s="105"/>
      <c r="J829" s="105"/>
      <c r="K829" s="105"/>
      <c r="L829" s="105"/>
      <c r="M829" s="105">
        <f>IF($M$658&gt;0,'Assumptions (Wind)'!V$12*Model!$M$658*AVERAGE('Assumptions (Wind)'!$J$2:$K$2)/10^9,0)</f>
        <v>1.6331226788029944</v>
      </c>
      <c r="N829" s="105">
        <f>IF($M$658&gt;0,'Assumptions (Wind)'!W$12*Model!$M$658*AVERAGE('Assumptions (Wind)'!$J$2:$K$2)/10^9,0)</f>
        <v>2.6129962860847913</v>
      </c>
      <c r="O829" s="105">
        <f>IF($M$658&gt;0,'Assumptions (Wind)'!X$12*Model!$M$658*AVERAGE('Assumptions (Wind)'!$J$2:$K$2)/10^9,0)</f>
        <v>1.5677977716508744</v>
      </c>
      <c r="P829" s="105">
        <f>IF($M$658&gt;0,'Assumptions (Wind)'!Y$12*Model!$M$658*AVERAGE('Assumptions (Wind)'!$J$2:$K$2)/10^9,0)</f>
        <v>0.94067866299052472</v>
      </c>
      <c r="Q829" s="105">
        <f>IF($M$658&gt;0,'Assumptions (Wind)'!Z$12*Model!$M$658*AVERAGE('Assumptions (Wind)'!$J$2:$K$2)/10^9,0)</f>
        <v>0.94067866299052472</v>
      </c>
      <c r="R829" s="105">
        <f>IF($M$658&gt;0,'Assumptions (Wind)'!AA$12*Model!$M$658*AVERAGE('Assumptions (Wind)'!$J$2:$K$2)/10^9,0)</f>
        <v>0.47033933149526236</v>
      </c>
      <c r="S829" s="105"/>
      <c r="T829" s="105"/>
      <c r="U829" s="105"/>
      <c r="V829" s="105"/>
      <c r="W829" s="105"/>
      <c r="X829" s="105"/>
      <c r="Y829" s="105"/>
      <c r="Z829" s="105"/>
      <c r="AA829" s="105"/>
      <c r="AB829" s="150"/>
      <c r="AC829" s="150"/>
      <c r="AD829" s="150"/>
      <c r="AE829" s="150"/>
      <c r="AF829" s="150"/>
      <c r="AG829" s="150"/>
      <c r="AH829" s="150"/>
      <c r="AI829" s="150"/>
      <c r="AJ829" s="150"/>
      <c r="AK829" s="105"/>
      <c r="AL829" s="105"/>
      <c r="AM829" s="105"/>
      <c r="AN829" s="105"/>
      <c r="AO829" s="105"/>
      <c r="AP829" s="105"/>
      <c r="AQ829" s="105"/>
      <c r="AR829" s="105"/>
      <c r="AS829" s="105"/>
      <c r="AT829" s="105"/>
      <c r="AU829" s="105"/>
      <c r="AV829" s="105"/>
      <c r="AW829" s="105"/>
      <c r="AX829" s="105"/>
      <c r="AY829" s="105"/>
      <c r="AZ829" s="105"/>
      <c r="BA829" s="105"/>
    </row>
    <row r="830" spans="1:77" ht="15.75" hidden="1" customHeight="1" outlineLevel="1">
      <c r="A830" s="395"/>
      <c r="B830" s="99"/>
      <c r="C830" s="105"/>
      <c r="D830" s="105"/>
      <c r="E830" s="105"/>
      <c r="F830" s="105"/>
      <c r="G830" s="105"/>
      <c r="H830" s="105"/>
      <c r="I830" s="105"/>
      <c r="J830" s="105"/>
      <c r="K830" s="105"/>
      <c r="L830" s="105"/>
      <c r="M830" s="105"/>
      <c r="N830" s="91">
        <f>IF($N$658&gt;0,'Assumptions (Wind)'!V$12*Model!$N$658*AVERAGE('Assumptions (Wind)'!$K$2:$L$2)/10^9,0)</f>
        <v>2.3427899443219942</v>
      </c>
      <c r="O830" s="91">
        <f>IF($N$658&gt;0,'Assumptions (Wind)'!W$12*Model!$N$658*AVERAGE('Assumptions (Wind)'!$K$2:$L$2)/10^9,0)</f>
        <v>3.7484639109151905</v>
      </c>
      <c r="P830" s="91">
        <f>IF($N$658&gt;0,'Assumptions (Wind)'!X$12*Model!$N$658*AVERAGE('Assumptions (Wind)'!$K$2:$L$2)/10^9,0)</f>
        <v>2.2490783465491142</v>
      </c>
      <c r="Q830" s="91">
        <f>IF($N$658&gt;0,'Assumptions (Wind)'!Y$12*Model!$N$658*AVERAGE('Assumptions (Wind)'!$K$2:$L$2)/10^9,0)</f>
        <v>1.3494470079294687</v>
      </c>
      <c r="R830" s="91">
        <f>IF($N$658&gt;0,'Assumptions (Wind)'!Z$12*Model!$N$658*AVERAGE('Assumptions (Wind)'!$K$2:$L$2)/10^9,0)</f>
        <v>1.3494470079294687</v>
      </c>
      <c r="S830" s="91">
        <f>IF($N$658&gt;0,'Assumptions (Wind)'!AA$12*Model!$N$658*AVERAGE('Assumptions (Wind)'!$K$2:$L$2)/10^9,0)</f>
        <v>0.67472350396473435</v>
      </c>
      <c r="T830" s="91"/>
      <c r="U830" s="91"/>
      <c r="V830" s="91"/>
      <c r="W830" s="91"/>
      <c r="X830" s="91"/>
      <c r="Y830" s="91"/>
      <c r="Z830" s="91"/>
      <c r="AA830" s="91"/>
      <c r="AB830" s="150"/>
      <c r="AC830" s="150"/>
      <c r="AD830" s="150"/>
      <c r="AE830" s="150"/>
      <c r="AF830" s="150"/>
      <c r="AG830" s="150"/>
      <c r="AH830" s="150"/>
      <c r="AI830" s="150"/>
      <c r="AJ830" s="150"/>
      <c r="AK830" s="105"/>
      <c r="AL830" s="105"/>
      <c r="AM830" s="105"/>
      <c r="AN830" s="105"/>
      <c r="AO830" s="105"/>
      <c r="AP830" s="105"/>
      <c r="AQ830" s="105"/>
      <c r="AR830" s="105"/>
      <c r="AS830" s="105"/>
      <c r="AT830" s="105"/>
      <c r="AU830" s="105"/>
      <c r="AV830" s="105"/>
      <c r="AW830" s="105"/>
      <c r="AX830" s="105"/>
      <c r="AY830" s="105"/>
      <c r="AZ830" s="105"/>
      <c r="BA830" s="105"/>
    </row>
    <row r="831" spans="1:77" ht="15.75" hidden="1" customHeight="1" outlineLevel="1">
      <c r="A831" s="395"/>
      <c r="B831" s="99"/>
      <c r="C831" s="105"/>
      <c r="D831" s="105"/>
      <c r="E831" s="105"/>
      <c r="F831" s="105"/>
      <c r="G831" s="105"/>
      <c r="H831" s="105"/>
      <c r="I831" s="105"/>
      <c r="J831" s="105"/>
      <c r="K831" s="105"/>
      <c r="L831" s="105"/>
      <c r="M831" s="105"/>
      <c r="N831" s="105"/>
      <c r="O831" s="105">
        <f>IF($O$658&gt;0,'Assumptions (Wind)'!V$12*Model!$O$658*AVERAGE('Assumptions (Wind)'!$L$2:$M$2)/10^9,0)</f>
        <v>4.5212496038646242</v>
      </c>
      <c r="P831" s="105">
        <f>IF($O$658&gt;0,'Assumptions (Wind)'!W$12*Model!$O$658*AVERAGE('Assumptions (Wind)'!$L$2:$M$2)/10^9,0)</f>
        <v>7.2339993661833972</v>
      </c>
      <c r="Q831" s="105">
        <f>IF($O$658&gt;0,'Assumptions (Wind)'!X$12*Model!$O$658*AVERAGE('Assumptions (Wind)'!$L$2:$M$2)/10^9,0)</f>
        <v>4.3403996197100394</v>
      </c>
      <c r="R831" s="105">
        <f>IF($O$658&gt;0,'Assumptions (Wind)'!Y$12*Model!$O$658*AVERAGE('Assumptions (Wind)'!$L$2:$M$2)/10^9,0)</f>
        <v>2.6042397718260233</v>
      </c>
      <c r="S831" s="105">
        <f>IF($O$658&gt;0,'Assumptions (Wind)'!Z$12*Model!$O$658*AVERAGE('Assumptions (Wind)'!$L$2:$M$2)/10^9,0)</f>
        <v>2.6042397718260233</v>
      </c>
      <c r="T831" s="105">
        <f>IF($O$658&gt;0,'Assumptions (Wind)'!AA$12*Model!$O$658*AVERAGE('Assumptions (Wind)'!$L$2:$M$2)/10^9,0)</f>
        <v>1.3021198859130116</v>
      </c>
      <c r="U831" s="105"/>
      <c r="V831" s="105"/>
      <c r="W831" s="105"/>
      <c r="X831" s="105"/>
      <c r="Y831" s="105"/>
      <c r="Z831" s="105"/>
      <c r="AA831" s="105"/>
      <c r="AB831" s="150"/>
      <c r="AC831" s="150"/>
      <c r="AD831" s="150"/>
      <c r="AE831" s="150"/>
      <c r="AF831" s="150"/>
      <c r="AG831" s="150"/>
      <c r="AH831" s="150"/>
      <c r="AI831" s="150"/>
      <c r="AJ831" s="150"/>
      <c r="AK831" s="105"/>
      <c r="AL831" s="105"/>
      <c r="AM831" s="105"/>
      <c r="AN831" s="105"/>
      <c r="AO831" s="105"/>
      <c r="AP831" s="105"/>
      <c r="AQ831" s="105"/>
      <c r="AR831" s="105"/>
      <c r="AS831" s="105"/>
      <c r="AT831" s="105"/>
      <c r="AU831" s="105"/>
      <c r="AV831" s="105"/>
      <c r="AW831" s="105"/>
      <c r="AX831" s="105"/>
      <c r="AY831" s="105"/>
      <c r="AZ831" s="105"/>
      <c r="BA831" s="105"/>
    </row>
    <row r="832" spans="1:77" ht="15.75" hidden="1" customHeight="1" outlineLevel="1">
      <c r="A832" s="395"/>
      <c r="B832" s="99"/>
      <c r="C832" s="105"/>
      <c r="D832" s="105"/>
      <c r="E832" s="105"/>
      <c r="F832" s="105"/>
      <c r="G832" s="105"/>
      <c r="H832" s="105"/>
      <c r="I832" s="105"/>
      <c r="J832" s="105"/>
      <c r="K832" s="105"/>
      <c r="L832" s="105"/>
      <c r="M832" s="105"/>
      <c r="N832" s="105"/>
      <c r="O832" s="105"/>
      <c r="P832" s="91">
        <f>IF($P$658&gt;0,'Assumptions (Wind)'!V$12*Model!$P$658*AVERAGE('Assumptions (Wind)'!$M$2:$N$2)/10^9,0)</f>
        <v>0.28904139762119102</v>
      </c>
      <c r="Q832" s="91">
        <f>IF($P$658&gt;0,'Assumptions (Wind)'!W$12*Model!$P$658*AVERAGE('Assumptions (Wind)'!$M$2:$N$2)/10^9,0)</f>
        <v>0.46246623619390564</v>
      </c>
      <c r="R832" s="91">
        <f>IF($P$658&gt;0,'Assumptions (Wind)'!X$12*Model!$P$658*AVERAGE('Assumptions (Wind)'!$M$2:$N$2)/10^9,0)</f>
        <v>0.27747974171634338</v>
      </c>
      <c r="S832" s="91">
        <f>IF($P$658&gt;0,'Assumptions (Wind)'!Y$12*Model!$P$658*AVERAGE('Assumptions (Wind)'!$M$2:$N$2)/10^9,0)</f>
        <v>0.16648784502980599</v>
      </c>
      <c r="T832" s="91">
        <f>IF($P$658&gt;0,'Assumptions (Wind)'!Z$12*Model!$P$658*AVERAGE('Assumptions (Wind)'!$M$2:$N$2)/10^9,0)</f>
        <v>0.16648784502980599</v>
      </c>
      <c r="U832" s="91">
        <f>IF($P$658&gt;0,'Assumptions (Wind)'!AA$12*Model!$P$658*AVERAGE('Assumptions (Wind)'!$M$2:$N$2)/10^9,0)</f>
        <v>8.3243922514902993E-2</v>
      </c>
      <c r="V832" s="91"/>
      <c r="W832" s="91"/>
      <c r="X832" s="91"/>
      <c r="Y832" s="91"/>
      <c r="Z832" s="91"/>
      <c r="AA832" s="91"/>
      <c r="AB832" s="150"/>
      <c r="AC832" s="150"/>
      <c r="AD832" s="150"/>
      <c r="AE832" s="150"/>
      <c r="AF832" s="150"/>
      <c r="AG832" s="150"/>
      <c r="AH832" s="150"/>
      <c r="AI832" s="150"/>
      <c r="AJ832" s="150"/>
      <c r="AK832" s="105"/>
      <c r="AL832" s="105"/>
      <c r="AM832" s="105"/>
      <c r="AN832" s="105"/>
      <c r="AO832" s="105"/>
      <c r="AP832" s="105"/>
      <c r="AQ832" s="105"/>
      <c r="AR832" s="105"/>
      <c r="AS832" s="105"/>
      <c r="AT832" s="105"/>
      <c r="AU832" s="105"/>
      <c r="AV832" s="105"/>
      <c r="AW832" s="105"/>
      <c r="AX832" s="105"/>
      <c r="AY832" s="105"/>
      <c r="AZ832" s="105"/>
      <c r="BA832" s="105"/>
    </row>
    <row r="833" spans="1:73" ht="15.75" hidden="1" customHeight="1" outlineLevel="1">
      <c r="A833" s="395"/>
      <c r="B833" s="99"/>
      <c r="C833" s="105"/>
      <c r="D833" s="105"/>
      <c r="E833" s="105"/>
      <c r="F833" s="105"/>
      <c r="G833" s="105"/>
      <c r="H833" s="105"/>
      <c r="I833" s="105"/>
      <c r="J833" s="105"/>
      <c r="K833" s="105"/>
      <c r="L833" s="105"/>
      <c r="M833" s="105"/>
      <c r="N833" s="105"/>
      <c r="O833" s="105"/>
      <c r="P833" s="171"/>
      <c r="Q833" s="105">
        <f>IF($Q$658&gt;0,'Assumptions (Wind)'!V$12*Model!$Q$658*AVERAGE('Assumptions (Wind)'!$N$2:$O$2)/10^9,0)</f>
        <v>1.6746508023128717</v>
      </c>
      <c r="R833" s="105">
        <f>IF($Q$658&gt;0,'Assumptions (Wind)'!W$12*Model!$Q$658*AVERAGE('Assumptions (Wind)'!$N$2:$O$2)/10^9,0)</f>
        <v>2.6794412837005943</v>
      </c>
      <c r="S833" s="105">
        <f>IF($Q$658&gt;0,'Assumptions (Wind)'!X$12*Model!$Q$658*AVERAGE('Assumptions (Wind)'!$N$2:$O$2)/10^9,0)</f>
        <v>1.6076647702203568</v>
      </c>
      <c r="T833" s="105">
        <f>IF($Q$658&gt;0,'Assumptions (Wind)'!Y$12*Model!$Q$658*AVERAGE('Assumptions (Wind)'!$N$2:$O$2)/10^9,0)</f>
        <v>0.96459886213221391</v>
      </c>
      <c r="U833" s="105">
        <f>IF($Q$658&gt;0,'Assumptions (Wind)'!Z$12*Model!$Q$658*AVERAGE('Assumptions (Wind)'!$N$2:$O$2)/10^9,0)</f>
        <v>0.96459886213221391</v>
      </c>
      <c r="V833" s="105">
        <f>IF($Q$658&gt;0,'Assumptions (Wind)'!AA$12*Model!$Q$658*AVERAGE('Assumptions (Wind)'!$N$2:$O$2)/10^9,0)</f>
        <v>0.48229943106610695</v>
      </c>
      <c r="W833" s="105"/>
      <c r="X833" s="105"/>
      <c r="Y833" s="105"/>
      <c r="Z833" s="105"/>
      <c r="AA833" s="105"/>
      <c r="AB833" s="150"/>
      <c r="AC833" s="150"/>
      <c r="AD833" s="150"/>
      <c r="AE833" s="150"/>
      <c r="AF833" s="150"/>
      <c r="AG833" s="150"/>
      <c r="AH833" s="150"/>
      <c r="AI833" s="150"/>
      <c r="AJ833" s="150"/>
      <c r="AK833" s="105"/>
      <c r="AL833" s="105"/>
      <c r="AM833" s="105"/>
      <c r="AN833" s="105"/>
      <c r="AO833" s="105"/>
      <c r="AP833" s="105"/>
      <c r="AQ833" s="105"/>
      <c r="AR833" s="105"/>
      <c r="AS833" s="105"/>
      <c r="AT833" s="105"/>
      <c r="AU833" s="105"/>
      <c r="AV833" s="105"/>
      <c r="AW833" s="105"/>
      <c r="AX833" s="105"/>
      <c r="AY833" s="105"/>
      <c r="AZ833" s="105"/>
      <c r="BA833" s="105"/>
    </row>
    <row r="834" spans="1:73" ht="15.75" hidden="1" customHeight="1" outlineLevel="1">
      <c r="A834" s="395"/>
      <c r="B834" s="99"/>
      <c r="C834" s="105"/>
      <c r="D834" s="105"/>
      <c r="E834" s="105"/>
      <c r="F834" s="105"/>
      <c r="G834" s="105"/>
      <c r="H834" s="105"/>
      <c r="I834" s="105"/>
      <c r="J834" s="105"/>
      <c r="K834" s="105"/>
      <c r="L834" s="105"/>
      <c r="M834" s="105"/>
      <c r="N834" s="105"/>
      <c r="O834" s="105"/>
      <c r="P834" s="171"/>
      <c r="Q834" s="105"/>
      <c r="R834" s="91">
        <f>IF($R$658&gt;0,'Assumptions (Wind)'!V$12*Model!$R$658*AVERAGE('Assumptions (Wind)'!$O$2:$P$2)/10^9,0)</f>
        <v>2.8177921530111347</v>
      </c>
      <c r="S834" s="91">
        <f>IF($R$658&gt;0,'Assumptions (Wind)'!W$12*Model!$R$658*AVERAGE('Assumptions (Wind)'!$O$2:$P$2)/10^9,0)</f>
        <v>4.508467444817815</v>
      </c>
      <c r="T834" s="91">
        <f>IF($R$658&gt;0,'Assumptions (Wind)'!X$12*Model!$R$658*AVERAGE('Assumptions (Wind)'!$O$2:$P$2)/10^9,0)</f>
        <v>2.7050804668906894</v>
      </c>
      <c r="U834" s="91">
        <f>IF($R$658&gt;0,'Assumptions (Wind)'!Y$12*Model!$R$658*AVERAGE('Assumptions (Wind)'!$O$2:$P$2)/10^9,0)</f>
        <v>1.6230482801344133</v>
      </c>
      <c r="V834" s="91">
        <f>IF($R$658&gt;0,'Assumptions (Wind)'!Z$12*Model!$R$658*AVERAGE('Assumptions (Wind)'!$O$2:$P$2)/10^9,0)</f>
        <v>1.6230482801344133</v>
      </c>
      <c r="W834" s="91">
        <f>IF($R$658&gt;0,'Assumptions (Wind)'!AA$12*Model!$R$658*AVERAGE('Assumptions (Wind)'!$O$2:$P$2)/10^9,0)</f>
        <v>0.81152414006720663</v>
      </c>
      <c r="X834" s="91"/>
      <c r="Y834" s="91"/>
      <c r="Z834" s="91"/>
      <c r="AA834" s="91"/>
      <c r="AB834" s="150"/>
      <c r="AC834" s="150"/>
      <c r="AD834" s="150"/>
      <c r="AE834" s="150"/>
      <c r="AF834" s="150"/>
      <c r="AG834" s="150"/>
      <c r="AH834" s="150"/>
      <c r="AI834" s="150"/>
      <c r="AJ834" s="150"/>
      <c r="AK834" s="105"/>
      <c r="AL834" s="105"/>
      <c r="AM834" s="105"/>
      <c r="AN834" s="105"/>
      <c r="AO834" s="105"/>
      <c r="AP834" s="105"/>
      <c r="AQ834" s="105"/>
      <c r="AR834" s="105"/>
      <c r="AS834" s="105"/>
      <c r="AT834" s="105"/>
      <c r="AU834" s="105"/>
      <c r="AV834" s="105"/>
      <c r="AW834" s="105"/>
      <c r="AX834" s="105"/>
      <c r="AY834" s="105"/>
      <c r="AZ834" s="105"/>
      <c r="BA834" s="105"/>
    </row>
    <row r="835" spans="1:73" ht="15.75" hidden="1" customHeight="1" outlineLevel="1">
      <c r="A835" s="395"/>
      <c r="B835" s="99"/>
      <c r="C835" s="105"/>
      <c r="D835" s="105"/>
      <c r="E835" s="105"/>
      <c r="F835" s="105"/>
      <c r="G835" s="105"/>
      <c r="H835" s="105"/>
      <c r="I835" s="105"/>
      <c r="J835" s="105"/>
      <c r="K835" s="105"/>
      <c r="L835" s="105"/>
      <c r="M835" s="105"/>
      <c r="N835" s="105"/>
      <c r="O835" s="105"/>
      <c r="P835" s="171"/>
      <c r="Q835" s="105"/>
      <c r="R835" s="91"/>
      <c r="S835" s="105">
        <f>IF($S$658&gt;0,'Assumptions (Wind)'!V$12*Model!$S$658*AVERAGE('Assumptions (Wind)'!$P$2:$Q$2)/10^9,0)</f>
        <v>2.9822454752142296</v>
      </c>
      <c r="T835" s="105">
        <f>IF($S$658&gt;0,'Assumptions (Wind)'!W$12*Model!$S$658*AVERAGE('Assumptions (Wind)'!$P$2:$Q$2)/10^9,0)</f>
        <v>4.7715927603427675</v>
      </c>
      <c r="U835" s="105">
        <f>IF($S$658&gt;0,'Assumptions (Wind)'!X$12*Model!$S$658*AVERAGE('Assumptions (Wind)'!$P$2:$Q$2)/10^9,0)</f>
        <v>2.8629556562056604</v>
      </c>
      <c r="V835" s="105">
        <f>IF($S$658&gt;0,'Assumptions (Wind)'!Y$12*Model!$S$658*AVERAGE('Assumptions (Wind)'!$P$2:$Q$2)/10^9,0)</f>
        <v>1.7177733937233961</v>
      </c>
      <c r="W835" s="105">
        <f>IF($S$658&gt;0,'Assumptions (Wind)'!Z$12*Model!$S$658*AVERAGE('Assumptions (Wind)'!$P$2:$Q$2)/10^9,0)</f>
        <v>1.7177733937233961</v>
      </c>
      <c r="X835" s="105">
        <f>IF($S$658&gt;0,'Assumptions (Wind)'!AA$12*Model!$S$658*AVERAGE('Assumptions (Wind)'!$P$2:$Q$2)/10^9,0)</f>
        <v>0.85888669686169805</v>
      </c>
      <c r="Y835" s="105"/>
      <c r="Z835" s="105"/>
      <c r="AA835" s="105"/>
      <c r="AB835" s="150"/>
      <c r="AC835" s="150"/>
      <c r="AD835" s="150"/>
      <c r="AE835" s="150"/>
      <c r="AF835" s="150"/>
      <c r="AG835" s="150"/>
      <c r="AH835" s="150"/>
      <c r="AI835" s="150"/>
      <c r="AJ835" s="150"/>
      <c r="AK835" s="105"/>
      <c r="AL835" s="105"/>
      <c r="AM835" s="105"/>
      <c r="AN835" s="105"/>
      <c r="AO835" s="105"/>
      <c r="AP835" s="105"/>
      <c r="AQ835" s="105"/>
      <c r="AR835" s="105"/>
      <c r="AS835" s="105"/>
      <c r="AT835" s="105"/>
      <c r="AU835" s="105"/>
      <c r="AV835" s="105"/>
      <c r="AW835" s="105"/>
      <c r="AX835" s="105"/>
      <c r="AY835" s="105"/>
      <c r="AZ835" s="105"/>
      <c r="BA835" s="105"/>
    </row>
    <row r="836" spans="1:73" ht="15.75" hidden="1" customHeight="1" outlineLevel="1">
      <c r="A836" s="395"/>
      <c r="B836" s="99"/>
      <c r="C836" s="105"/>
      <c r="D836" s="105"/>
      <c r="E836" s="105"/>
      <c r="F836" s="105"/>
      <c r="G836" s="105"/>
      <c r="H836" s="105"/>
      <c r="I836" s="105"/>
      <c r="J836" s="105"/>
      <c r="K836" s="105"/>
      <c r="L836" s="105"/>
      <c r="M836" s="105"/>
      <c r="N836" s="105"/>
      <c r="O836" s="105"/>
      <c r="P836" s="171"/>
      <c r="Q836" s="105"/>
      <c r="R836" s="91"/>
      <c r="S836" s="91"/>
      <c r="T836" s="105">
        <f>IF($T$658&gt;0,'Assumptions (Wind)'!V$12*Model!$T$658*AVERAGE('Assumptions (Wind)'!$Q$2:$R$2)/10^9,0)</f>
        <v>2.1415230454429528</v>
      </c>
      <c r="U836" s="105">
        <f>IF($T$658&gt;0,'Assumptions (Wind)'!W$12*Model!$T$658*AVERAGE('Assumptions (Wind)'!$Q$2:$R$2)/10^9,0)</f>
        <v>3.4264368727087242</v>
      </c>
      <c r="V836" s="105">
        <f>IF($T$658&gt;0,'Assumptions (Wind)'!X$12*Model!$T$658*AVERAGE('Assumptions (Wind)'!$Q$2:$R$2)/10^9,0)</f>
        <v>2.0558621236252344</v>
      </c>
      <c r="W836" s="105">
        <f>IF($T$658&gt;0,'Assumptions (Wind)'!Y$12*Model!$T$658*AVERAGE('Assumptions (Wind)'!$Q$2:$R$2)/10^9,0)</f>
        <v>1.2335172741751406</v>
      </c>
      <c r="X836" s="105">
        <f>IF($T$658&gt;0,'Assumptions (Wind)'!Z$12*Model!$T$658*AVERAGE('Assumptions (Wind)'!$Q$2:$R$2)/10^9,0)</f>
        <v>1.2335172741751406</v>
      </c>
      <c r="Y836" s="105">
        <f>IF($T$658&gt;0,'Assumptions (Wind)'!AA$12*Model!$T$658*AVERAGE('Assumptions (Wind)'!$Q$2:$R$2)/10^9,0)</f>
        <v>0.61675863708757028</v>
      </c>
      <c r="Z836" s="105"/>
      <c r="AA836" s="105"/>
      <c r="AB836" s="150"/>
      <c r="AC836" s="150"/>
      <c r="AD836" s="150"/>
      <c r="AE836" s="150"/>
      <c r="AF836" s="150"/>
      <c r="AG836" s="150"/>
      <c r="AH836" s="150"/>
      <c r="AI836" s="150"/>
      <c r="AJ836" s="150"/>
      <c r="AK836" s="105"/>
      <c r="AL836" s="105"/>
      <c r="AM836" s="105"/>
      <c r="AN836" s="105"/>
      <c r="AO836" s="105"/>
      <c r="AP836" s="105"/>
      <c r="AQ836" s="105"/>
      <c r="AR836" s="105"/>
      <c r="AS836" s="105"/>
      <c r="AT836" s="105"/>
      <c r="AU836" s="105"/>
      <c r="AV836" s="105"/>
      <c r="AW836" s="105"/>
      <c r="AX836" s="105"/>
      <c r="AY836" s="105"/>
      <c r="AZ836" s="105"/>
      <c r="BA836" s="105"/>
    </row>
    <row r="837" spans="1:73" ht="15.75" hidden="1" customHeight="1" outlineLevel="1">
      <c r="A837" s="395"/>
      <c r="B837" s="99"/>
      <c r="C837" s="105"/>
      <c r="D837" s="105"/>
      <c r="E837" s="105"/>
      <c r="F837" s="105"/>
      <c r="G837" s="105"/>
      <c r="H837" s="105"/>
      <c r="I837" s="105"/>
      <c r="J837" s="105"/>
      <c r="K837" s="105"/>
      <c r="L837" s="105"/>
      <c r="M837" s="105"/>
      <c r="N837" s="105"/>
      <c r="O837" s="105"/>
      <c r="P837" s="171"/>
      <c r="Q837" s="105"/>
      <c r="R837" s="91"/>
      <c r="S837" s="91"/>
      <c r="T837" s="91"/>
      <c r="U837" s="105">
        <f>IF($U$658&gt;0,'Assumptions (Wind)'!V$12*Model!$U$658*AVERAGE('Assumptions (Wind)'!$R$2:$S$2)/10^9,0)</f>
        <v>2.2580660454233854</v>
      </c>
      <c r="V837" s="105">
        <f>IF($U$658&gt;0,'Assumptions (Wind)'!W$12*Model!$U$658*AVERAGE('Assumptions (Wind)'!$R$2:$S$2)/10^9,0)</f>
        <v>3.6129056726774165</v>
      </c>
      <c r="W837" s="105">
        <f>IF($U$658&gt;0,'Assumptions (Wind)'!X$12*Model!$U$658*AVERAGE('Assumptions (Wind)'!$R$2:$S$2)/10^9,0)</f>
        <v>2.1677434036064498</v>
      </c>
      <c r="X837" s="105">
        <f>IF($U$658&gt;0,'Assumptions (Wind)'!Y$12*Model!$U$658*AVERAGE('Assumptions (Wind)'!$R$2:$S$2)/10^9,0)</f>
        <v>1.3006460421638699</v>
      </c>
      <c r="Y837" s="105">
        <f>IF($U$658&gt;0,'Assumptions (Wind)'!Z$12*Model!$U$658*AVERAGE('Assumptions (Wind)'!$R$2:$S$2)/10^9,0)</f>
        <v>1.3006460421638699</v>
      </c>
      <c r="Z837" s="105">
        <f>IF($U$658&gt;0,'Assumptions (Wind)'!AA$12*Model!$U$658*AVERAGE('Assumptions (Wind)'!$R$2:$S$2)/10^9,0)</f>
        <v>0.65032302108193496</v>
      </c>
      <c r="AA837" s="105"/>
      <c r="AB837" s="150"/>
      <c r="AC837" s="150"/>
      <c r="AD837" s="150"/>
      <c r="AE837" s="150"/>
      <c r="AF837" s="150"/>
      <c r="AG837" s="150"/>
      <c r="AH837" s="150"/>
      <c r="AI837" s="150"/>
      <c r="AJ837" s="150"/>
      <c r="AK837" s="105"/>
      <c r="AL837" s="105"/>
      <c r="AM837" s="105"/>
      <c r="AN837" s="105"/>
      <c r="AO837" s="105"/>
      <c r="AP837" s="105"/>
      <c r="AQ837" s="105"/>
      <c r="AR837" s="105"/>
      <c r="AS837" s="105"/>
      <c r="AT837" s="105"/>
      <c r="AU837" s="105"/>
      <c r="AV837" s="105"/>
      <c r="AW837" s="105"/>
      <c r="AX837" s="105"/>
      <c r="AY837" s="105"/>
      <c r="AZ837" s="105"/>
      <c r="BA837" s="105"/>
    </row>
    <row r="838" spans="1:73" ht="15.75" hidden="1" customHeight="1" outlineLevel="1">
      <c r="A838" s="395"/>
      <c r="B838" s="99"/>
      <c r="C838" s="105"/>
      <c r="D838" s="105"/>
      <c r="E838" s="105"/>
      <c r="F838" s="105"/>
      <c r="G838" s="105"/>
      <c r="H838" s="105"/>
      <c r="I838" s="105"/>
      <c r="J838" s="105"/>
      <c r="K838" s="105"/>
      <c r="L838" s="105"/>
      <c r="M838" s="105"/>
      <c r="N838" s="105"/>
      <c r="O838" s="105"/>
      <c r="P838" s="171"/>
      <c r="Q838" s="105"/>
      <c r="R838" s="91"/>
      <c r="S838" s="91"/>
      <c r="T838" s="91"/>
      <c r="U838" s="105"/>
      <c r="V838" s="105">
        <f>IF($V$658&gt;0,'Assumptions (Wind)'!V$12*Model!$V$658*AVERAGE('Assumptions (Wind)'!$S$2:$T$2)/10^9,0)</f>
        <v>3.1039143416382431</v>
      </c>
      <c r="W838" s="105">
        <f>IF($V$658&gt;0,'Assumptions (Wind)'!W$12*Model!$V$658*AVERAGE('Assumptions (Wind)'!$S$2:$T$2)/10^9,0)</f>
        <v>4.9662629466211889</v>
      </c>
      <c r="X838" s="105">
        <f>IF($V$658&gt;0,'Assumptions (Wind)'!X$12*Model!$V$658*AVERAGE('Assumptions (Wind)'!$S$2:$T$2)/10^9,0)</f>
        <v>2.9797577679727132</v>
      </c>
      <c r="Y838" s="105">
        <f>IF($V$658&gt;0,'Assumptions (Wind)'!Y$12*Model!$V$658*AVERAGE('Assumptions (Wind)'!$S$2:$T$2)/10^9,0)</f>
        <v>1.7878546607836281</v>
      </c>
      <c r="Z838" s="105">
        <f>IF($V$658&gt;0,'Assumptions (Wind)'!Z$12*Model!$V$658*AVERAGE('Assumptions (Wind)'!$S$2:$T$2)/10^9,0)</f>
        <v>1.7878546607836281</v>
      </c>
      <c r="AA838" s="105">
        <f>IF($V$658&gt;0,'Assumptions (Wind)'!AA$12*Model!$V$658*AVERAGE('Assumptions (Wind)'!$S$2:$T$2)/10^9,0)</f>
        <v>0.89392733039181405</v>
      </c>
      <c r="AB838" s="150"/>
      <c r="AC838" s="150"/>
      <c r="AD838" s="150"/>
      <c r="AE838" s="150"/>
      <c r="AF838" s="150"/>
      <c r="AG838" s="150"/>
      <c r="AH838" s="150"/>
      <c r="AI838" s="150"/>
      <c r="AJ838" s="150"/>
      <c r="AK838" s="105"/>
      <c r="AL838" s="105"/>
      <c r="AM838" s="105"/>
      <c r="AN838" s="105"/>
      <c r="AO838" s="105"/>
      <c r="AP838" s="105"/>
      <c r="AQ838" s="105"/>
      <c r="AR838" s="105"/>
      <c r="AS838" s="105"/>
      <c r="AT838" s="105"/>
      <c r="AU838" s="105"/>
      <c r="AV838" s="105"/>
      <c r="AW838" s="105"/>
      <c r="AX838" s="105"/>
      <c r="AY838" s="105"/>
      <c r="AZ838" s="105"/>
      <c r="BA838" s="105"/>
    </row>
    <row r="839" spans="1:73" ht="15.75" hidden="1" customHeight="1" outlineLevel="1">
      <c r="A839" s="395"/>
      <c r="B839" s="99"/>
      <c r="C839" s="99"/>
      <c r="D839" s="99"/>
      <c r="E839" s="99"/>
      <c r="F839" s="99"/>
      <c r="G839" s="99"/>
      <c r="H839" s="99"/>
      <c r="I839" s="99"/>
      <c r="J839" s="99"/>
      <c r="K839" s="99"/>
      <c r="L839" s="99"/>
      <c r="M839" s="99"/>
      <c r="N839" s="99"/>
      <c r="O839" s="99"/>
      <c r="P839" s="99"/>
      <c r="Q839" s="99"/>
      <c r="R839" s="99"/>
      <c r="S839" s="99"/>
      <c r="T839" s="99"/>
      <c r="U839" s="99"/>
      <c r="V839" s="99"/>
      <c r="W839" s="105">
        <f>IF($W$658&gt;0,'Assumptions (Wind)'!V12*Model!$W$658*'Assumptions (Wind)'!$V$2/10^9,0)</f>
        <v>4.9378599999999997</v>
      </c>
      <c r="X839" s="105">
        <f>IF($W$658&gt;0,'Assumptions (Wind)'!W12*Model!$W$658*'Assumptions (Wind)'!$V$2/10^9,0)</f>
        <v>7.900576</v>
      </c>
      <c r="Y839" s="105">
        <f>IF($W$658&gt;0,'Assumptions (Wind)'!X12*Model!$W$658*'Assumptions (Wind)'!$V$2/10^9,0)</f>
        <v>4.7403456000000004</v>
      </c>
      <c r="Z839" s="105">
        <f>IF($W$658&gt;0,'Assumptions (Wind)'!Y12*Model!$W$658*'Assumptions (Wind)'!$V$2/10^9,0)</f>
        <v>2.84420736</v>
      </c>
      <c r="AA839" s="105">
        <f>IF($W$658&gt;0,'Assumptions (Wind)'!Z12*Model!$W$658*'Assumptions (Wind)'!$V$2/10^9,0)</f>
        <v>2.84420736</v>
      </c>
      <c r="AB839" s="105">
        <f>IF($W$658&gt;0,'Assumptions (Wind)'!AA12*Model!$W$658*'Assumptions (Wind)'!$V$2/10^9,0)</f>
        <v>1.42210368</v>
      </c>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86"/>
      <c r="BC839" s="86"/>
      <c r="BD839" s="86"/>
      <c r="BE839" s="86"/>
      <c r="BF839" s="86"/>
      <c r="BG839" s="86"/>
      <c r="BH839" s="86"/>
      <c r="BI839" s="86"/>
      <c r="BJ839" s="86"/>
      <c r="BK839" s="86"/>
      <c r="BL839" s="86"/>
      <c r="BM839" s="86"/>
      <c r="BN839" s="86"/>
      <c r="BO839" s="86"/>
      <c r="BP839" s="86"/>
      <c r="BQ839" s="86"/>
      <c r="BR839" s="86"/>
      <c r="BS839" s="86"/>
      <c r="BT839" s="86"/>
      <c r="BU839" s="86"/>
    </row>
    <row r="840" spans="1:73" ht="15.75" hidden="1" customHeight="1" outlineLevel="1">
      <c r="A840" s="395"/>
      <c r="B840" s="99"/>
      <c r="C840" s="99"/>
      <c r="D840" s="99"/>
      <c r="E840" s="99"/>
      <c r="F840" s="99"/>
      <c r="G840" s="99"/>
      <c r="H840" s="99"/>
      <c r="I840" s="99"/>
      <c r="J840" s="99"/>
      <c r="K840" s="99"/>
      <c r="L840" s="99"/>
      <c r="M840" s="99"/>
      <c r="N840" s="99"/>
      <c r="O840" s="99"/>
      <c r="P840" s="99"/>
      <c r="Q840" s="99"/>
      <c r="R840" s="99"/>
      <c r="S840" s="99"/>
      <c r="T840" s="99"/>
      <c r="U840" s="99"/>
      <c r="V840" s="99"/>
      <c r="W840" s="105"/>
      <c r="X840" s="105">
        <f>IF($X$658&gt;0,'Assumptions (Wind)'!V12*Model!$X$658*'Assumptions (Wind)'!$V$2/10^9,0)</f>
        <v>19.210228144479135</v>
      </c>
      <c r="Y840" s="105">
        <f>IF($X$658&gt;0,'Assumptions (Wind)'!W12*Model!$X$658*'Assumptions (Wind)'!$V$2/10^9,0)</f>
        <v>30.736365031166613</v>
      </c>
      <c r="Z840" s="105">
        <f>IF($X$658&gt;0,'Assumptions (Wind)'!X12*Model!$X$658*'Assumptions (Wind)'!$V$2/10^9,0)</f>
        <v>18.44181901869997</v>
      </c>
      <c r="AA840" s="105">
        <f>IF($X$658&gt;0,'Assumptions (Wind)'!Y12*Model!$X$658*'Assumptions (Wind)'!$V$2/10^9,0)</f>
        <v>11.06509141121998</v>
      </c>
      <c r="AB840" s="105">
        <f>IF($X$658&gt;0,'Assumptions (Wind)'!Z12*Model!$X$658*'Assumptions (Wind)'!$V$2/10^9,0)</f>
        <v>11.06509141121998</v>
      </c>
      <c r="AC840" s="105">
        <f>IF($X$658&gt;0,'Assumptions (Wind)'!AA12*Model!$X$658*'Assumptions (Wind)'!$V$2/10^9,0)</f>
        <v>5.5325457056099898</v>
      </c>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86"/>
      <c r="BC840" s="86"/>
      <c r="BD840" s="86"/>
      <c r="BE840" s="86"/>
      <c r="BF840" s="86"/>
      <c r="BG840" s="86"/>
      <c r="BH840" s="86"/>
      <c r="BI840" s="86"/>
      <c r="BJ840" s="86"/>
      <c r="BK840" s="86"/>
      <c r="BL840" s="86"/>
      <c r="BM840" s="86"/>
      <c r="BN840" s="86"/>
      <c r="BO840" s="86"/>
      <c r="BP840" s="86"/>
      <c r="BQ840" s="86"/>
      <c r="BR840" s="86"/>
      <c r="BS840" s="86"/>
      <c r="BT840" s="86"/>
      <c r="BU840" s="86"/>
    </row>
    <row r="841" spans="1:73" ht="15.75" hidden="1" customHeight="1" outlineLevel="1">
      <c r="A841" s="395"/>
      <c r="B841" s="99"/>
      <c r="C841" s="99"/>
      <c r="D841" s="99"/>
      <c r="E841" s="99"/>
      <c r="F841" s="99"/>
      <c r="G841" s="99"/>
      <c r="H841" s="99"/>
      <c r="I841" s="99"/>
      <c r="J841" s="99"/>
      <c r="K841" s="99"/>
      <c r="L841" s="99"/>
      <c r="M841" s="99"/>
      <c r="N841" s="99"/>
      <c r="O841" s="99"/>
      <c r="P841" s="99"/>
      <c r="Q841" s="99"/>
      <c r="R841" s="99"/>
      <c r="S841" s="99"/>
      <c r="T841" s="99"/>
      <c r="U841" s="99"/>
      <c r="V841" s="99"/>
      <c r="W841" s="105"/>
      <c r="X841" s="105"/>
      <c r="Y841" s="105">
        <f>IF($Y$658&gt;0,'Assumptions (Wind)'!V12*Model!$Y$658*AVERAGE('Assumptions (Wind)'!$V$2:$W$2)/10^9,0)</f>
        <v>19.257934806323927</v>
      </c>
      <c r="Z841" s="105">
        <f>IF($Y$658&gt;0,'Assumptions (Wind)'!W12*Model!$Y$658*AVERAGE('Assumptions (Wind)'!$V$2:$W$2)/10^9,0)</f>
        <v>30.812695690118282</v>
      </c>
      <c r="AA841" s="105">
        <f>IF($Y$658&gt;0,'Assumptions (Wind)'!X12*Model!$Y$658*AVERAGE('Assumptions (Wind)'!$V$2:$W$2)/10^9,0)</f>
        <v>18.487617414070968</v>
      </c>
      <c r="AB841" s="105">
        <f>IF($Y$658&gt;0,'Assumptions (Wind)'!Y12*Model!$Y$658*AVERAGE('Assumptions (Wind)'!$V$2:$W$2)/10^9,0)</f>
        <v>11.092570448442581</v>
      </c>
      <c r="AC841" s="105">
        <f>IF($Y$658&gt;0,'Assumptions (Wind)'!Z12*Model!$Y$658*AVERAGE('Assumptions (Wind)'!$V$2:$W$2)/10^9,0)</f>
        <v>11.092570448442581</v>
      </c>
      <c r="AD841" s="105">
        <f>IF($Y$658&gt;0,'Assumptions (Wind)'!AA12*Model!$Y$658*AVERAGE('Assumptions (Wind)'!$V$2:$W$2)/10^9,0)</f>
        <v>5.5462852242212906</v>
      </c>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86"/>
      <c r="BC841" s="86"/>
      <c r="BD841" s="86"/>
      <c r="BE841" s="86"/>
      <c r="BF841" s="86"/>
      <c r="BG841" s="86"/>
      <c r="BH841" s="86"/>
      <c r="BI841" s="86"/>
      <c r="BJ841" s="86"/>
      <c r="BK841" s="86"/>
      <c r="BL841" s="86"/>
      <c r="BM841" s="86"/>
      <c r="BN841" s="86"/>
      <c r="BO841" s="86"/>
      <c r="BP841" s="86"/>
      <c r="BQ841" s="86"/>
      <c r="BR841" s="86"/>
      <c r="BS841" s="86"/>
      <c r="BT841" s="86"/>
      <c r="BU841" s="86"/>
    </row>
    <row r="842" spans="1:73" ht="15.75" hidden="1" customHeight="1" outlineLevel="1">
      <c r="A842" s="395"/>
      <c r="B842" s="99"/>
      <c r="C842" s="99"/>
      <c r="D842" s="99"/>
      <c r="E842" s="99"/>
      <c r="F842" s="99"/>
      <c r="G842" s="99"/>
      <c r="H842" s="99"/>
      <c r="I842" s="99"/>
      <c r="J842" s="99"/>
      <c r="K842" s="99"/>
      <c r="L842" s="99"/>
      <c r="M842" s="99"/>
      <c r="N842" s="99"/>
      <c r="O842" s="99"/>
      <c r="P842" s="99"/>
      <c r="Q842" s="99"/>
      <c r="R842" s="99"/>
      <c r="S842" s="99"/>
      <c r="T842" s="99"/>
      <c r="U842" s="99"/>
      <c r="V842" s="99"/>
      <c r="W842" s="105"/>
      <c r="X842" s="105"/>
      <c r="Y842" s="105"/>
      <c r="Z842" s="105">
        <f>IF($Z$658&gt;0,'Assumptions (Wind)'!V12*Model!$Z$658*AVERAGE('Assumptions (Wind)'!$W$2:$X$2)/10^9,0)</f>
        <v>19.630939367682405</v>
      </c>
      <c r="AA842" s="105">
        <f>IF($Z$658&gt;0,'Assumptions (Wind)'!W12*Model!$Z$658*AVERAGE('Assumptions (Wind)'!$W$2:$X$2)/10^9,0)</f>
        <v>31.409502988291848</v>
      </c>
      <c r="AB842" s="105">
        <f>IF($Z$658&gt;0,'Assumptions (Wind)'!X12*Model!$Z$658*AVERAGE('Assumptions (Wind)'!$W$2:$X$2)/10^9,0)</f>
        <v>18.84570179297511</v>
      </c>
      <c r="AC842" s="105">
        <f>IF($Z$658&gt;0,'Assumptions (Wind)'!Y12*Model!$Z$658*AVERAGE('Assumptions (Wind)'!$W$2:$X$2)/10^9,0)</f>
        <v>11.307421075785065</v>
      </c>
      <c r="AD842" s="105">
        <f>IF($Z$658&gt;0,'Assumptions (Wind)'!Z12*Model!$Z$658*AVERAGE('Assumptions (Wind)'!$W$2:$X$2)/10^9,0)</f>
        <v>11.307421075785065</v>
      </c>
      <c r="AE842" s="105">
        <f>IF($Z$658&gt;0,'Assumptions (Wind)'!AA12*Model!$Z$658*AVERAGE('Assumptions (Wind)'!$W$2:$X$2)/10^9,0)</f>
        <v>5.6537105378925325</v>
      </c>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86"/>
      <c r="BC842" s="86"/>
      <c r="BD842" s="86"/>
      <c r="BE842" s="86"/>
      <c r="BF842" s="86"/>
      <c r="BG842" s="86"/>
      <c r="BH842" s="86"/>
      <c r="BI842" s="86"/>
      <c r="BJ842" s="86"/>
      <c r="BK842" s="86"/>
      <c r="BL842" s="86"/>
      <c r="BM842" s="86"/>
      <c r="BN842" s="86"/>
      <c r="BO842" s="86"/>
      <c r="BP842" s="86"/>
      <c r="BQ842" s="86"/>
      <c r="BR842" s="86"/>
      <c r="BS842" s="86"/>
      <c r="BT842" s="86"/>
      <c r="BU842" s="86"/>
    </row>
    <row r="843" spans="1:73" ht="15.75" hidden="1" customHeight="1" outlineLevel="1">
      <c r="A843" s="395"/>
      <c r="B843" s="99"/>
      <c r="C843" s="99"/>
      <c r="D843" s="99"/>
      <c r="E843" s="99"/>
      <c r="F843" s="99"/>
      <c r="G843" s="99"/>
      <c r="H843" s="99"/>
      <c r="I843" s="99"/>
      <c r="J843" s="99"/>
      <c r="K843" s="99"/>
      <c r="L843" s="99"/>
      <c r="M843" s="99"/>
      <c r="N843" s="99"/>
      <c r="O843" s="99"/>
      <c r="P843" s="99"/>
      <c r="Q843" s="99"/>
      <c r="R843" s="99"/>
      <c r="S843" s="99"/>
      <c r="T843" s="99"/>
      <c r="U843" s="99"/>
      <c r="V843" s="99"/>
      <c r="W843" s="105"/>
      <c r="X843" s="105"/>
      <c r="Y843" s="105"/>
      <c r="Z843" s="105"/>
      <c r="AA843" s="105">
        <f>IF($AA$658&gt;0,'Assumptions (Wind)'!V12*Model!$AA$658*AVERAGE('Assumptions (Wind)'!$X$2:$Y$2)/10^9,0)</f>
        <v>19.999042309265814</v>
      </c>
      <c r="AB843" s="105">
        <f>IF($AA$658&gt;0,'Assumptions (Wind)'!W12*Model!$AA$658*AVERAGE('Assumptions (Wind)'!$X$2:$Y$2)/10^9,0)</f>
        <v>31.998467694825298</v>
      </c>
      <c r="AC843" s="105">
        <f>IF($AA$658&gt;0,'Assumptions (Wind)'!X12*Model!$AA$658*AVERAGE('Assumptions (Wind)'!$X$2:$Y$2)/10^9,0)</f>
        <v>19.199080616895184</v>
      </c>
      <c r="AD843" s="105">
        <f>IF($AA$658&gt;0,'Assumptions (Wind)'!Y12*Model!$AA$658*AVERAGE('Assumptions (Wind)'!$X$2:$Y$2)/10^9,0)</f>
        <v>11.519448370137107</v>
      </c>
      <c r="AE843" s="105">
        <f>IF($AA$658&gt;0,'Assumptions (Wind)'!Z12*Model!$AA$658*AVERAGE('Assumptions (Wind)'!$X$2:$Y$2)/10^9,0)</f>
        <v>11.519448370137107</v>
      </c>
      <c r="AF843" s="105">
        <f>IF($AA$658&gt;0,'Assumptions (Wind)'!AA12*Model!$AA$658*AVERAGE('Assumptions (Wind)'!$X$2:$Y$2)/10^9,0)</f>
        <v>5.7597241850685537</v>
      </c>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86"/>
      <c r="BC843" s="86"/>
      <c r="BD843" s="86"/>
      <c r="BE843" s="86"/>
      <c r="BF843" s="86"/>
      <c r="BG843" s="86"/>
      <c r="BH843" s="86"/>
      <c r="BI843" s="86"/>
      <c r="BJ843" s="86"/>
      <c r="BK843" s="86"/>
      <c r="BL843" s="86"/>
      <c r="BM843" s="86"/>
      <c r="BN843" s="86"/>
      <c r="BO843" s="86"/>
      <c r="BP843" s="86"/>
      <c r="BQ843" s="86"/>
      <c r="BR843" s="86"/>
      <c r="BS843" s="86"/>
      <c r="BT843" s="86"/>
      <c r="BU843" s="86"/>
    </row>
    <row r="844" spans="1:73" ht="15.75" hidden="1" customHeight="1" outlineLevel="1">
      <c r="A844" s="395"/>
      <c r="B844" s="99"/>
      <c r="C844" s="99"/>
      <c r="D844" s="99"/>
      <c r="E844" s="99"/>
      <c r="F844" s="99"/>
      <c r="G844" s="99"/>
      <c r="H844" s="99"/>
      <c r="I844" s="99"/>
      <c r="J844" s="99"/>
      <c r="K844" s="99"/>
      <c r="L844" s="99"/>
      <c r="M844" s="99"/>
      <c r="N844" s="99"/>
      <c r="O844" s="99"/>
      <c r="P844" s="99"/>
      <c r="Q844" s="99"/>
      <c r="R844" s="99"/>
      <c r="S844" s="99"/>
      <c r="T844" s="99"/>
      <c r="U844" s="99"/>
      <c r="V844" s="99"/>
      <c r="W844" s="105"/>
      <c r="X844" s="105"/>
      <c r="Y844" s="105"/>
      <c r="Z844" s="105"/>
      <c r="AA844" s="105"/>
      <c r="AB844" s="105">
        <f>IF($AB$658&gt;0,'Assumptions (Wind)'!V12*Model!$AB$658*AVERAGE('Assumptions (Wind)'!$Y$2:$Z$2)/10^9,0)</f>
        <v>20.39820619274975</v>
      </c>
      <c r="AC844" s="105">
        <f>IF($AB$658&gt;0,'Assumptions (Wind)'!W12*Model!$AB$658*AVERAGE('Assumptions (Wind)'!$Y$2:$Z$2)/10^9,0)</f>
        <v>32.637129908399601</v>
      </c>
      <c r="AD844" s="105">
        <f>IF($AB$658&gt;0,'Assumptions (Wind)'!X12*Model!$AB$658*AVERAGE('Assumptions (Wind)'!$Y$2:$Z$2)/10^9,0)</f>
        <v>19.58227794503976</v>
      </c>
      <c r="AE844" s="105">
        <f>IF($AB$658&gt;0,'Assumptions (Wind)'!Y12*Model!$AB$658*AVERAGE('Assumptions (Wind)'!$Y$2:$Z$2)/10^9,0)</f>
        <v>11.749366767023854</v>
      </c>
      <c r="AF844" s="105">
        <f>IF($AB$658&gt;0,'Assumptions (Wind)'!Z12*Model!$AB$658*AVERAGE('Assumptions (Wind)'!$Y$2:$Z$2)/10^9,0)</f>
        <v>11.749366767023854</v>
      </c>
      <c r="AG844" s="105">
        <f>IF($AB$658&gt;0,'Assumptions (Wind)'!AA12*Model!$AB$658*AVERAGE('Assumptions (Wind)'!$Y$2:$Z$2)/10^9,0)</f>
        <v>5.8746833835119272</v>
      </c>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86"/>
      <c r="BC844" s="86"/>
      <c r="BD844" s="86"/>
      <c r="BE844" s="86"/>
      <c r="BF844" s="86"/>
      <c r="BG844" s="86"/>
      <c r="BH844" s="86"/>
      <c r="BI844" s="86"/>
      <c r="BJ844" s="86"/>
      <c r="BK844" s="86"/>
      <c r="BL844" s="86"/>
      <c r="BM844" s="86"/>
      <c r="BN844" s="86"/>
      <c r="BO844" s="86"/>
      <c r="BP844" s="86"/>
      <c r="BQ844" s="86"/>
      <c r="BR844" s="86"/>
      <c r="BS844" s="86"/>
      <c r="BT844" s="86"/>
      <c r="BU844" s="86"/>
    </row>
    <row r="845" spans="1:73" ht="15.75" hidden="1" customHeight="1" outlineLevel="1">
      <c r="A845" s="395"/>
      <c r="B845" s="99"/>
      <c r="C845" s="99"/>
      <c r="D845" s="99"/>
      <c r="E845" s="99"/>
      <c r="F845" s="99"/>
      <c r="G845" s="99"/>
      <c r="H845" s="99"/>
      <c r="I845" s="99"/>
      <c r="J845" s="99"/>
      <c r="K845" s="99"/>
      <c r="L845" s="99"/>
      <c r="M845" s="99"/>
      <c r="N845" s="99"/>
      <c r="O845" s="99"/>
      <c r="P845" s="99"/>
      <c r="Q845" s="99"/>
      <c r="R845" s="99"/>
      <c r="S845" s="99"/>
      <c r="T845" s="99"/>
      <c r="U845" s="99"/>
      <c r="V845" s="99"/>
      <c r="W845" s="105"/>
      <c r="X845" s="105"/>
      <c r="Y845" s="105"/>
      <c r="Z845" s="105"/>
      <c r="AA845" s="105"/>
      <c r="AB845" s="105"/>
      <c r="AC845" s="105">
        <f>IF($AC$658&gt;0,'Assumptions (Wind)'!V12*Model!$AC$658*AVERAGE('Assumptions (Wind)'!$Z$2:$AA$2)/10^9,0)</f>
        <v>20.829285388237292</v>
      </c>
      <c r="AD845" s="105">
        <f>IF($AC$658&gt;0,'Assumptions (Wind)'!W12*Model!$AC$658*AVERAGE('Assumptions (Wind)'!$Z$2:$AA$2)/10^9,0)</f>
        <v>33.326856621179665</v>
      </c>
      <c r="AE845" s="105">
        <f>IF($AC$658&gt;0,'Assumptions (Wind)'!X12*Model!$AC$658*AVERAGE('Assumptions (Wind)'!$Z$2:$AA$2)/10^9,0)</f>
        <v>19.996113972707803</v>
      </c>
      <c r="AF845" s="105">
        <f>IF($AC$658&gt;0,'Assumptions (Wind)'!Y12*Model!$AC$658*AVERAGE('Assumptions (Wind)'!$Z$2:$AA$2)/10^9,0)</f>
        <v>11.99766838362468</v>
      </c>
      <c r="AG845" s="105">
        <f>IF($AC$658&gt;0,'Assumptions (Wind)'!Z12*Model!$AC$658*AVERAGE('Assumptions (Wind)'!$Z$2:$AA$2)/10^9,0)</f>
        <v>11.99766838362468</v>
      </c>
      <c r="AH845" s="105">
        <f>IF($AC$658&gt;0,'Assumptions (Wind)'!AA12*Model!$AC$658*AVERAGE('Assumptions (Wind)'!$Z$2:$AA$2)/10^9,0)</f>
        <v>5.9988341918123398</v>
      </c>
      <c r="AI845" s="105"/>
      <c r="AJ845" s="105"/>
      <c r="AK845" s="105"/>
      <c r="AL845" s="105"/>
      <c r="AM845" s="105"/>
      <c r="AN845" s="105"/>
      <c r="AO845" s="105"/>
      <c r="AP845" s="105"/>
      <c r="AQ845" s="105"/>
      <c r="AR845" s="105"/>
      <c r="AS845" s="105"/>
      <c r="AT845" s="105"/>
      <c r="AU845" s="105"/>
      <c r="AV845" s="105"/>
      <c r="AW845" s="105"/>
      <c r="AX845" s="105"/>
      <c r="AY845" s="105"/>
      <c r="AZ845" s="105"/>
      <c r="BA845" s="105"/>
      <c r="BB845" s="86"/>
      <c r="BC845" s="86"/>
      <c r="BD845" s="86"/>
      <c r="BE845" s="86"/>
      <c r="BF845" s="86"/>
      <c r="BG845" s="86"/>
      <c r="BH845" s="86"/>
      <c r="BI845" s="86"/>
      <c r="BJ845" s="86"/>
      <c r="BK845" s="86"/>
      <c r="BL845" s="86"/>
      <c r="BM845" s="86"/>
      <c r="BN845" s="86"/>
      <c r="BO845" s="86"/>
      <c r="BP845" s="86"/>
      <c r="BQ845" s="86"/>
      <c r="BR845" s="86"/>
      <c r="BS845" s="86"/>
      <c r="BT845" s="86"/>
      <c r="BU845" s="86"/>
    </row>
    <row r="846" spans="1:73" ht="15.75" hidden="1" customHeight="1" outlineLevel="1">
      <c r="A846" s="395"/>
      <c r="B846" s="99"/>
      <c r="C846" s="99"/>
      <c r="D846" s="99"/>
      <c r="E846" s="99"/>
      <c r="F846" s="99"/>
      <c r="G846" s="99"/>
      <c r="H846" s="99"/>
      <c r="I846" s="99"/>
      <c r="J846" s="99"/>
      <c r="K846" s="99"/>
      <c r="L846" s="99"/>
      <c r="M846" s="99"/>
      <c r="N846" s="99"/>
      <c r="O846" s="99"/>
      <c r="P846" s="99"/>
      <c r="Q846" s="99"/>
      <c r="R846" s="99"/>
      <c r="S846" s="99"/>
      <c r="T846" s="99"/>
      <c r="U846" s="99"/>
      <c r="V846" s="99"/>
      <c r="W846" s="105"/>
      <c r="X846" s="105"/>
      <c r="Y846" s="105"/>
      <c r="Z846" s="105"/>
      <c r="AA846" s="105"/>
      <c r="AB846" s="105"/>
      <c r="AC846" s="105"/>
      <c r="AD846" s="105">
        <f>IF($AD$658&gt;0,'Assumptions (Wind)'!V12*Model!$AD$658*AVERAGE('Assumptions (Wind)'!$AA$2:$AB$2)/10^9,0)</f>
        <v>21.220741607468604</v>
      </c>
      <c r="AE846" s="105">
        <f>IF($AD$658&gt;0,'Assumptions (Wind)'!W12*Model!$AD$658*AVERAGE('Assumptions (Wind)'!$AA$2:$AB$2)/10^9,0)</f>
        <v>33.953186571949765</v>
      </c>
      <c r="AF846" s="105">
        <f>IF($AD$658&gt;0,'Assumptions (Wind)'!X12*Model!$AD$658*AVERAGE('Assumptions (Wind)'!$AA$2:$AB$2)/10^9,0)</f>
        <v>20.371911943169856</v>
      </c>
      <c r="AG846" s="105">
        <f>IF($AD$658&gt;0,'Assumptions (Wind)'!Y12*Model!$AD$658*AVERAGE('Assumptions (Wind)'!$AA$2:$AB$2)/10^9,0)</f>
        <v>12.223147165901914</v>
      </c>
      <c r="AH846" s="105">
        <f>IF($AD$658&gt;0,'Assumptions (Wind)'!Z12*Model!$AD$658*AVERAGE('Assumptions (Wind)'!$AA$2:$AB$2)/10^9,0)</f>
        <v>12.223147165901914</v>
      </c>
      <c r="AI846" s="105">
        <f>IF($AD$658&gt;0,'Assumptions (Wind)'!AA12*Model!$AD$658*AVERAGE('Assumptions (Wind)'!$AA$2:$AB$2)/10^9,0)</f>
        <v>6.1115735829509568</v>
      </c>
      <c r="AJ846" s="105"/>
      <c r="AK846" s="105"/>
      <c r="AL846" s="105"/>
      <c r="AM846" s="105"/>
      <c r="AN846" s="105"/>
      <c r="AO846" s="105"/>
      <c r="AP846" s="105"/>
      <c r="AQ846" s="105"/>
      <c r="AR846" s="105"/>
      <c r="AS846" s="105"/>
      <c r="AT846" s="105"/>
      <c r="AU846" s="105"/>
      <c r="AV846" s="105"/>
      <c r="AW846" s="105"/>
      <c r="AX846" s="105"/>
      <c r="AY846" s="105"/>
      <c r="AZ846" s="105"/>
      <c r="BA846" s="105"/>
      <c r="BB846" s="105"/>
      <c r="BC846" s="86"/>
      <c r="BD846" s="86"/>
      <c r="BE846" s="86"/>
      <c r="BF846" s="86"/>
      <c r="BG846" s="86"/>
      <c r="BH846" s="86"/>
      <c r="BI846" s="86"/>
      <c r="BJ846" s="86"/>
      <c r="BK846" s="86"/>
      <c r="BL846" s="86"/>
      <c r="BM846" s="86"/>
      <c r="BN846" s="86"/>
      <c r="BO846" s="86"/>
      <c r="BP846" s="86"/>
      <c r="BQ846" s="86"/>
      <c r="BR846" s="86"/>
      <c r="BS846" s="86"/>
      <c r="BT846" s="86"/>
      <c r="BU846" s="86"/>
    </row>
    <row r="847" spans="1:73" ht="15.75" hidden="1" customHeight="1" outlineLevel="1">
      <c r="A847" s="395"/>
      <c r="B847" s="99"/>
      <c r="C847" s="99"/>
      <c r="D847" s="99"/>
      <c r="E847" s="99"/>
      <c r="F847" s="99"/>
      <c r="G847" s="99"/>
      <c r="H847" s="99"/>
      <c r="I847" s="99"/>
      <c r="J847" s="99"/>
      <c r="K847" s="99"/>
      <c r="L847" s="99"/>
      <c r="M847" s="99"/>
      <c r="N847" s="99"/>
      <c r="O847" s="99"/>
      <c r="P847" s="99"/>
      <c r="Q847" s="99"/>
      <c r="R847" s="99"/>
      <c r="S847" s="99"/>
      <c r="T847" s="99"/>
      <c r="U847" s="99"/>
      <c r="V847" s="99"/>
      <c r="W847" s="105"/>
      <c r="X847" s="105"/>
      <c r="Y847" s="105"/>
      <c r="Z847" s="105"/>
      <c r="AA847" s="105"/>
      <c r="AB847" s="105"/>
      <c r="AC847" s="105"/>
      <c r="AD847" s="105"/>
      <c r="AE847" s="105">
        <f>IF($AE$658&gt;0,'Assumptions (Wind)'!V12*Model!$AE$658*AVERAGE('Assumptions (Wind)'!$AB$2:$AC$2)/10^9,0)</f>
        <v>21.645156439617978</v>
      </c>
      <c r="AF847" s="105">
        <f>IF($AE$658&gt;0,'Assumptions (Wind)'!W12*Model!$AE$658*AVERAGE('Assumptions (Wind)'!$AB$2:$AC$2)/10^9,0)</f>
        <v>34.632250303388766</v>
      </c>
      <c r="AG847" s="105">
        <f>IF($AE$658&gt;0,'Assumptions (Wind)'!X12*Model!$AE$658*AVERAGE('Assumptions (Wind)'!$AB$2:$AC$2)/10^9,0)</f>
        <v>20.779350182033255</v>
      </c>
      <c r="AH847" s="105">
        <f>IF($AE$658&gt;0,'Assumptions (Wind)'!Y12*Model!$AE$658*AVERAGE('Assumptions (Wind)'!$AB$2:$AC$2)/10^9,0)</f>
        <v>12.467610109219953</v>
      </c>
      <c r="AI847" s="105">
        <f>IF($AE$658&gt;0,'Assumptions (Wind)'!Z12*Model!$AE$658*AVERAGE('Assumptions (Wind)'!$AB$2:$AC$2)/10^9,0)</f>
        <v>12.467610109219953</v>
      </c>
      <c r="AJ847" s="105">
        <f>IF($AE$658&gt;0,'Assumptions (Wind)'!AA12*Model!$AE$658*AVERAGE('Assumptions (Wind)'!$AB$2:$AC$2)/10^9,0)</f>
        <v>6.2338050546099764</v>
      </c>
      <c r="AK847" s="105"/>
      <c r="AL847" s="105"/>
      <c r="AM847" s="105"/>
      <c r="AN847" s="105"/>
      <c r="AO847" s="105"/>
      <c r="AP847" s="105"/>
      <c r="AQ847" s="105"/>
      <c r="AR847" s="105"/>
      <c r="AS847" s="105"/>
      <c r="AT847" s="105"/>
      <c r="AU847" s="105"/>
      <c r="AV847" s="105"/>
      <c r="AW847" s="105"/>
      <c r="AX847" s="105"/>
      <c r="AY847" s="105"/>
      <c r="AZ847" s="105"/>
      <c r="BA847" s="105"/>
      <c r="BB847" s="105"/>
      <c r="BC847" s="105"/>
      <c r="BD847" s="86"/>
      <c r="BE847" s="86"/>
      <c r="BF847" s="86"/>
      <c r="BG847" s="86"/>
      <c r="BH847" s="86"/>
      <c r="BI847" s="86"/>
      <c r="BJ847" s="86"/>
      <c r="BK847" s="86"/>
      <c r="BL847" s="86"/>
      <c r="BM847" s="86"/>
      <c r="BN847" s="86"/>
      <c r="BO847" s="86"/>
      <c r="BP847" s="86"/>
      <c r="BQ847" s="86"/>
      <c r="BR847" s="86"/>
      <c r="BS847" s="86"/>
      <c r="BT847" s="86"/>
      <c r="BU847" s="86"/>
    </row>
    <row r="848" spans="1:73" ht="15.75" hidden="1" customHeight="1" outlineLevel="1">
      <c r="A848" s="395"/>
      <c r="B848" s="99"/>
      <c r="C848" s="99"/>
      <c r="D848" s="99"/>
      <c r="E848" s="99"/>
      <c r="F848" s="99"/>
      <c r="G848" s="99"/>
      <c r="H848" s="99"/>
      <c r="I848" s="99"/>
      <c r="J848" s="99"/>
      <c r="K848" s="99"/>
      <c r="L848" s="99"/>
      <c r="M848" s="99"/>
      <c r="N848" s="99"/>
      <c r="O848" s="99"/>
      <c r="P848" s="99"/>
      <c r="Q848" s="99"/>
      <c r="R848" s="99"/>
      <c r="S848" s="99"/>
      <c r="T848" s="99"/>
      <c r="U848" s="99"/>
      <c r="V848" s="99"/>
      <c r="W848" s="105"/>
      <c r="X848" s="105"/>
      <c r="Y848" s="105"/>
      <c r="Z848" s="105"/>
      <c r="AA848" s="105"/>
      <c r="AB848" s="105"/>
      <c r="AC848" s="105"/>
      <c r="AD848" s="105"/>
      <c r="AE848" s="105"/>
      <c r="AF848" s="105">
        <f>IF($AF$658&gt;0,'Assumptions (Wind)'!V12*Model!$AF$658*AVERAGE('Assumptions (Wind)'!$AC$2:$AD$2)/10^9,0)</f>
        <v>22.085287814492116</v>
      </c>
      <c r="AG848" s="105">
        <f>IF($AF$658&gt;0,'Assumptions (Wind)'!W12*Model!$AF$658*AVERAGE('Assumptions (Wind)'!$AC$2:$AD$2)/10^9,0)</f>
        <v>35.336460503187382</v>
      </c>
      <c r="AH848" s="105">
        <f>IF($AF$658&gt;0,'Assumptions (Wind)'!X12*Model!$AF$658*AVERAGE('Assumptions (Wind)'!$AC$2:$AD$2)/10^9,0)</f>
        <v>21.201876301912431</v>
      </c>
      <c r="AI848" s="105">
        <f>IF($AF$658&gt;0,'Assumptions (Wind)'!Y12*Model!$AF$658*AVERAGE('Assumptions (Wind)'!$AC$2:$AD$2)/10^9,0)</f>
        <v>12.721125781147457</v>
      </c>
      <c r="AJ848" s="105">
        <f>IF($AF$658&gt;0,'Assumptions (Wind)'!Z12*Model!$AF$658*AVERAGE('Assumptions (Wind)'!$AC$2:$AD$2)/10^9,0)</f>
        <v>12.721125781147457</v>
      </c>
      <c r="AK848" s="105">
        <f>IF($AF$658&gt;0,'Assumptions (Wind)'!AA12*Model!$AF$658*AVERAGE('Assumptions (Wind)'!$AC$2:$AD$2)/10^9,0)</f>
        <v>6.3605628905737284</v>
      </c>
      <c r="AL848" s="105"/>
      <c r="AM848" s="105"/>
      <c r="AN848" s="105"/>
      <c r="AO848" s="105"/>
      <c r="AP848" s="105"/>
      <c r="AQ848" s="105"/>
      <c r="AR848" s="105"/>
      <c r="AS848" s="105"/>
      <c r="AT848" s="105"/>
      <c r="AU848" s="105"/>
      <c r="AV848" s="105"/>
      <c r="AW848" s="105"/>
      <c r="AX848" s="105"/>
      <c r="AY848" s="105"/>
      <c r="AZ848" s="105"/>
      <c r="BA848" s="105"/>
      <c r="BB848" s="105"/>
      <c r="BC848" s="105"/>
      <c r="BD848" s="105"/>
      <c r="BE848" s="86"/>
      <c r="BF848" s="86"/>
      <c r="BG848" s="86"/>
      <c r="BH848" s="86"/>
      <c r="BI848" s="86"/>
      <c r="BJ848" s="86"/>
      <c r="BK848" s="86"/>
      <c r="BL848" s="86"/>
      <c r="BM848" s="86"/>
      <c r="BN848" s="86"/>
      <c r="BO848" s="86"/>
      <c r="BP848" s="86"/>
      <c r="BQ848" s="86"/>
      <c r="BR848" s="86"/>
      <c r="BS848" s="86"/>
      <c r="BT848" s="86"/>
      <c r="BU848" s="86"/>
    </row>
    <row r="849" spans="1:73" ht="15.75" hidden="1" customHeight="1" outlineLevel="1">
      <c r="A849" s="395"/>
      <c r="B849" s="99"/>
      <c r="C849" s="99"/>
      <c r="D849" s="99"/>
      <c r="E849" s="99"/>
      <c r="F849" s="99"/>
      <c r="G849" s="99"/>
      <c r="H849" s="99"/>
      <c r="I849" s="99"/>
      <c r="J849" s="99"/>
      <c r="K849" s="99"/>
      <c r="L849" s="99"/>
      <c r="M849" s="99"/>
      <c r="N849" s="99"/>
      <c r="O849" s="99"/>
      <c r="P849" s="99"/>
      <c r="Q849" s="99"/>
      <c r="R849" s="99"/>
      <c r="S849" s="99"/>
      <c r="T849" s="99"/>
      <c r="U849" s="99"/>
      <c r="V849" s="99"/>
      <c r="W849" s="105"/>
      <c r="X849" s="105"/>
      <c r="Y849" s="105"/>
      <c r="Z849" s="105"/>
      <c r="AA849" s="105"/>
      <c r="AB849" s="105"/>
      <c r="AC849" s="105"/>
      <c r="AD849" s="105"/>
      <c r="AE849" s="105"/>
      <c r="AF849" s="105"/>
      <c r="AG849" s="105">
        <f>IF($AG$658&gt;0,'Assumptions (Wind)'!V12*Model!$AG$658*AVERAGE('Assumptions (Wind)'!$AD$2:$AE$2)/10^9,0)</f>
        <v>22.586525097926373</v>
      </c>
      <c r="AH849" s="105">
        <f>IF($AG$658&gt;0,'Assumptions (Wind)'!W12*Model!$AG$658*AVERAGE('Assumptions (Wind)'!$AD$2:$AE$2)/10^9,0)</f>
        <v>36.138440156682201</v>
      </c>
      <c r="AI849" s="105">
        <f>IF($AG$658&gt;0,'Assumptions (Wind)'!X12*Model!$AG$658*AVERAGE('Assumptions (Wind)'!$AD$2:$AE$2)/10^9,0)</f>
        <v>21.683064094009318</v>
      </c>
      <c r="AJ849" s="105">
        <f>IF($AG$658&gt;0,'Assumptions (Wind)'!Y12*Model!$AG$658*AVERAGE('Assumptions (Wind)'!$AD$2:$AE$2)/10^9,0)</f>
        <v>13.009838456405591</v>
      </c>
      <c r="AK849" s="105">
        <f>IF($AG$658&gt;0,'Assumptions (Wind)'!Z12*Model!$AG$658*AVERAGE('Assumptions (Wind)'!$AD$2:$AE$2)/10^9,0)</f>
        <v>13.009838456405591</v>
      </c>
      <c r="AL849" s="105">
        <f>IF($AG$658&gt;0,'Assumptions (Wind)'!AA12*Model!$AG$658*AVERAGE('Assumptions (Wind)'!$AD$2:$AE$2)/10^9,0)</f>
        <v>6.5049192282027954</v>
      </c>
      <c r="AM849" s="105"/>
      <c r="AN849" s="105"/>
      <c r="AO849" s="105"/>
      <c r="AP849" s="105"/>
      <c r="AQ849" s="105"/>
      <c r="AR849" s="105"/>
      <c r="AS849" s="105"/>
      <c r="AT849" s="105"/>
      <c r="AU849" s="105"/>
      <c r="AV849" s="105"/>
      <c r="AW849" s="105"/>
      <c r="AX849" s="105"/>
      <c r="AY849" s="105"/>
      <c r="AZ849" s="105"/>
      <c r="BA849" s="105"/>
      <c r="BB849" s="105"/>
      <c r="BC849" s="105"/>
      <c r="BD849" s="105"/>
      <c r="BE849" s="105"/>
      <c r="BF849" s="86"/>
      <c r="BG849" s="86"/>
      <c r="BH849" s="86"/>
      <c r="BI849" s="86"/>
      <c r="BJ849" s="86"/>
      <c r="BK849" s="86"/>
      <c r="BL849" s="86"/>
      <c r="BM849" s="86"/>
      <c r="BN849" s="86"/>
      <c r="BO849" s="86"/>
      <c r="BP849" s="86"/>
      <c r="BQ849" s="86"/>
      <c r="BR849" s="86"/>
      <c r="BS849" s="86"/>
      <c r="BT849" s="86"/>
      <c r="BU849" s="86"/>
    </row>
    <row r="850" spans="1:73" ht="15.75" hidden="1" customHeight="1" outlineLevel="1">
      <c r="A850" s="395"/>
      <c r="B850" s="99"/>
      <c r="C850" s="99"/>
      <c r="D850" s="99"/>
      <c r="E850" s="99"/>
      <c r="F850" s="99"/>
      <c r="G850" s="99"/>
      <c r="H850" s="99"/>
      <c r="I850" s="99"/>
      <c r="J850" s="99"/>
      <c r="K850" s="99"/>
      <c r="L850" s="99"/>
      <c r="M850" s="99"/>
      <c r="N850" s="99"/>
      <c r="O850" s="99"/>
      <c r="P850" s="99"/>
      <c r="Q850" s="99"/>
      <c r="R850" s="99"/>
      <c r="S850" s="99"/>
      <c r="T850" s="99"/>
      <c r="U850" s="99"/>
      <c r="V850" s="99"/>
      <c r="W850" s="105"/>
      <c r="X850" s="105"/>
      <c r="Y850" s="105"/>
      <c r="Z850" s="105"/>
      <c r="AA850" s="105"/>
      <c r="AB850" s="105"/>
      <c r="AC850" s="105"/>
      <c r="AD850" s="105"/>
      <c r="AE850" s="105"/>
      <c r="AF850" s="105"/>
      <c r="AG850" s="105"/>
      <c r="AH850" s="105">
        <f>IF($AH$658&gt;0,'Assumptions (Wind)'!V12*Model!$AH$658*AVERAGE('Assumptions (Wind)'!$AE$2:$AF$2)/10^9,0)</f>
        <v>23.220742084318019</v>
      </c>
      <c r="AI850" s="105">
        <f>IF($AH$658&gt;0,'Assumptions (Wind)'!W12*Model!$AH$658*AVERAGE('Assumptions (Wind)'!$AE$2:$AF$2)/10^9,0)</f>
        <v>37.153187334908829</v>
      </c>
      <c r="AJ850" s="105">
        <f>IF($AH$658&gt;0,'Assumptions (Wind)'!X12*Model!$AH$658*AVERAGE('Assumptions (Wind)'!$AE$2:$AF$2)/10^9,0)</f>
        <v>22.291912400945296</v>
      </c>
      <c r="AK850" s="105">
        <f>IF($AH$658&gt;0,'Assumptions (Wind)'!Y12*Model!$AH$658*AVERAGE('Assumptions (Wind)'!$AE$2:$AF$2)/10^9,0)</f>
        <v>13.375147440567179</v>
      </c>
      <c r="AL850" s="105">
        <f>IF($AH$658&gt;0,'Assumptions (Wind)'!Z12*Model!$AH$658*AVERAGE('Assumptions (Wind)'!$AE$2:$AF$2)/10^9,0)</f>
        <v>13.375147440567179</v>
      </c>
      <c r="AM850" s="105">
        <f>IF($AH$658&gt;0,'Assumptions (Wind)'!AA12*Model!$AH$658*AVERAGE('Assumptions (Wind)'!$AE$2:$AF$2)/10^9,0)</f>
        <v>6.6875737202835897</v>
      </c>
      <c r="AN850" s="105"/>
      <c r="AO850" s="105"/>
      <c r="AP850" s="105"/>
      <c r="AQ850" s="105"/>
      <c r="AR850" s="105"/>
      <c r="AS850" s="105"/>
      <c r="AT850" s="105"/>
      <c r="AU850" s="105"/>
      <c r="AV850" s="105"/>
      <c r="AW850" s="105"/>
      <c r="AX850" s="105"/>
      <c r="AY850" s="105"/>
      <c r="AZ850" s="105"/>
      <c r="BA850" s="105"/>
      <c r="BB850" s="105"/>
      <c r="BC850" s="105"/>
      <c r="BD850" s="105"/>
      <c r="BE850" s="105"/>
      <c r="BF850" s="105"/>
      <c r="BG850" s="86"/>
      <c r="BH850" s="86"/>
      <c r="BI850" s="86"/>
      <c r="BJ850" s="86"/>
      <c r="BK850" s="86"/>
      <c r="BL850" s="86"/>
      <c r="BM850" s="86"/>
      <c r="BN850" s="86"/>
      <c r="BO850" s="86"/>
      <c r="BP850" s="86"/>
      <c r="BQ850" s="86"/>
      <c r="BR850" s="86"/>
      <c r="BS850" s="86"/>
      <c r="BT850" s="86"/>
      <c r="BU850" s="86"/>
    </row>
    <row r="851" spans="1:73" ht="15.75" hidden="1" customHeight="1" outlineLevel="1">
      <c r="A851" s="395"/>
      <c r="B851" s="99"/>
      <c r="C851" s="99"/>
      <c r="D851" s="99"/>
      <c r="E851" s="99"/>
      <c r="F851" s="99"/>
      <c r="G851" s="99"/>
      <c r="H851" s="99"/>
      <c r="I851" s="99"/>
      <c r="J851" s="99"/>
      <c r="K851" s="99"/>
      <c r="L851" s="99"/>
      <c r="M851" s="99"/>
      <c r="N851" s="99"/>
      <c r="O851" s="99"/>
      <c r="P851" s="99"/>
      <c r="Q851" s="99"/>
      <c r="R851" s="99"/>
      <c r="S851" s="99"/>
      <c r="T851" s="99"/>
      <c r="U851" s="99"/>
      <c r="V851" s="99"/>
      <c r="W851" s="105"/>
      <c r="X851" s="105"/>
      <c r="Y851" s="105"/>
      <c r="Z851" s="105"/>
      <c r="AA851" s="105"/>
      <c r="AB851" s="105"/>
      <c r="AC851" s="105"/>
      <c r="AD851" s="105"/>
      <c r="AE851" s="105"/>
      <c r="AF851" s="105"/>
      <c r="AG851" s="105"/>
      <c r="AH851" s="105"/>
      <c r="AI851" s="91">
        <f>IF($AI$658&gt;0,'Assumptions (Wind)'!V12*Model!$AI$658*AVERAGE('Assumptions (Wind)'!$AF$2:$AG$2)/10^9,0)</f>
        <v>23.445489209706409</v>
      </c>
      <c r="AJ851" s="91">
        <f>IF($AI$658&gt;0,'Assumptions (Wind)'!W12*Model!$AI$658*AVERAGE('Assumptions (Wind)'!$AF$2:$AG$2)/10^9,0)</f>
        <v>37.512782735530251</v>
      </c>
      <c r="AK851" s="91">
        <f>IF($AI$658&gt;0,'Assumptions (Wind)'!X12*Model!$AI$658*AVERAGE('Assumptions (Wind)'!$AF$2:$AG$2)/10^9,0)</f>
        <v>22.507669641318152</v>
      </c>
      <c r="AL851" s="91">
        <f>IF($AI$658&gt;0,'Assumptions (Wind)'!Y12*Model!$AI$658*AVERAGE('Assumptions (Wind)'!$AF$2:$AG$2)/10^9,0)</f>
        <v>13.504601784790889</v>
      </c>
      <c r="AM851" s="91">
        <f>IF($AI$658&gt;0,'Assumptions (Wind)'!Z12*Model!$AI$658*AVERAGE('Assumptions (Wind)'!$AF$2:$AG$2)/10^9,0)</f>
        <v>13.504601784790889</v>
      </c>
      <c r="AN851" s="91">
        <f>IF($AI$658&gt;0,'Assumptions (Wind)'!AA12*Model!$AI$658*AVERAGE('Assumptions (Wind)'!$AF$2:$AG$2)/10^9,0)</f>
        <v>6.7523008923954446</v>
      </c>
      <c r="AO851" s="105"/>
      <c r="AP851" s="105"/>
      <c r="AQ851" s="105"/>
      <c r="AR851" s="105"/>
      <c r="AS851" s="105"/>
      <c r="AT851" s="105"/>
      <c r="AU851" s="105"/>
      <c r="AV851" s="105"/>
      <c r="AW851" s="105"/>
      <c r="AX851" s="105"/>
      <c r="AY851" s="105"/>
      <c r="AZ851" s="105"/>
      <c r="BA851" s="105"/>
      <c r="BB851" s="105"/>
      <c r="BC851" s="105"/>
      <c r="BD851" s="105"/>
      <c r="BE851" s="105"/>
      <c r="BF851" s="105"/>
      <c r="BG851" s="105"/>
      <c r="BH851" s="86"/>
      <c r="BI851" s="86"/>
      <c r="BJ851" s="86"/>
      <c r="BK851" s="86"/>
      <c r="BL851" s="86"/>
      <c r="BM851" s="86"/>
      <c r="BN851" s="86"/>
      <c r="BO851" s="86"/>
      <c r="BP851" s="86"/>
      <c r="BQ851" s="86"/>
      <c r="BR851" s="86"/>
      <c r="BS851" s="86"/>
      <c r="BT851" s="86"/>
      <c r="BU851" s="86"/>
    </row>
    <row r="852" spans="1:73" ht="15.75" hidden="1" customHeight="1" outlineLevel="1">
      <c r="A852" s="395"/>
      <c r="B852" s="99"/>
      <c r="C852" s="99"/>
      <c r="D852" s="99"/>
      <c r="E852" s="99"/>
      <c r="F852" s="99"/>
      <c r="G852" s="99"/>
      <c r="H852" s="99"/>
      <c r="I852" s="99"/>
      <c r="J852" s="99"/>
      <c r="K852" s="99"/>
      <c r="L852" s="99"/>
      <c r="M852" s="99"/>
      <c r="N852" s="99"/>
      <c r="O852" s="99"/>
      <c r="P852" s="99"/>
      <c r="Q852" s="99"/>
      <c r="R852" s="99"/>
      <c r="S852" s="99"/>
      <c r="T852" s="99"/>
      <c r="U852" s="99"/>
      <c r="V852" s="99"/>
      <c r="W852" s="105"/>
      <c r="X852" s="105"/>
      <c r="Y852" s="105"/>
      <c r="Z852" s="105"/>
      <c r="AA852" s="105"/>
      <c r="AB852" s="91"/>
      <c r="AC852" s="105"/>
      <c r="AD852" s="105"/>
      <c r="AE852" s="105"/>
      <c r="AF852" s="105"/>
      <c r="AG852" s="105"/>
      <c r="AH852" s="105"/>
      <c r="AI852" s="105"/>
      <c r="AJ852" s="91">
        <f>IF($AJ$658&gt;0,'Assumptions (Wind)'!V12*Model!$AJ$658*AVERAGE('Assumptions (Wind)'!$AG$2:$AH$2)/10^9,0)</f>
        <v>24.524261528616755</v>
      </c>
      <c r="AK852" s="91">
        <f>IF($AJ$658&gt;0,'Assumptions (Wind)'!W12*Model!$AJ$658*AVERAGE('Assumptions (Wind)'!$AG$2:$AH$2)/10^9,0)</f>
        <v>39.238818445786805</v>
      </c>
      <c r="AL852" s="91">
        <f>IF($AJ$658&gt;0,'Assumptions (Wind)'!X12*Model!$AJ$658*AVERAGE('Assumptions (Wind)'!$AG$2:$AH$2)/10^9,0)</f>
        <v>23.543291067472083</v>
      </c>
      <c r="AM852" s="91">
        <f>IF($AJ$658&gt;0,'Assumptions (Wind)'!Y12*Model!$AJ$658*AVERAGE('Assumptions (Wind)'!$AG$2:$AH$2)/10^9,0)</f>
        <v>14.12597464048325</v>
      </c>
      <c r="AN852" s="91">
        <f>IF($AJ$658&gt;0,'Assumptions (Wind)'!Z12*Model!$AJ$658*AVERAGE('Assumptions (Wind)'!$AG$2:$AH$2)/10^9,0)</f>
        <v>14.12597464048325</v>
      </c>
      <c r="AO852" s="91">
        <f>IF($AJ$658&gt;0,'Assumptions (Wind)'!AA12*Model!$AJ$658*AVERAGE('Assumptions (Wind)'!$AG$2:$AH$2)/10^9,0)</f>
        <v>7.0629873202416249</v>
      </c>
      <c r="AP852" s="91"/>
      <c r="AQ852" s="91"/>
      <c r="AR852" s="91"/>
      <c r="AS852" s="91"/>
      <c r="AT852" s="91"/>
      <c r="AU852" s="91"/>
      <c r="AV852" s="91"/>
      <c r="AW852" s="91"/>
      <c r="AX852" s="91"/>
      <c r="AY852" s="91"/>
      <c r="AZ852" s="91"/>
      <c r="BA852" s="91"/>
      <c r="BB852" s="91"/>
      <c r="BC852" s="91"/>
      <c r="BD852" s="91"/>
      <c r="BE852" s="91"/>
      <c r="BF852" s="91"/>
      <c r="BG852" s="91"/>
      <c r="BH852" s="91"/>
      <c r="BI852" s="86"/>
      <c r="BJ852" s="86"/>
      <c r="BK852" s="86"/>
      <c r="BL852" s="86"/>
      <c r="BM852" s="86"/>
      <c r="BN852" s="86"/>
      <c r="BO852" s="86"/>
      <c r="BP852" s="86"/>
      <c r="BQ852" s="86"/>
      <c r="BR852" s="86"/>
      <c r="BS852" s="86"/>
      <c r="BT852" s="86"/>
      <c r="BU852" s="86"/>
    </row>
    <row r="853" spans="1:73" ht="15.75" hidden="1" customHeight="1" outlineLevel="1">
      <c r="A853" s="395"/>
      <c r="B853" s="99"/>
      <c r="C853" s="99"/>
      <c r="D853" s="99"/>
      <c r="E853" s="99"/>
      <c r="F853" s="99"/>
      <c r="G853" s="99"/>
      <c r="H853" s="99"/>
      <c r="I853" s="99"/>
      <c r="J853" s="99"/>
      <c r="K853" s="99"/>
      <c r="L853" s="99"/>
      <c r="M853" s="99"/>
      <c r="N853" s="99"/>
      <c r="O853" s="99"/>
      <c r="P853" s="99"/>
      <c r="Q853" s="99"/>
      <c r="R853" s="99"/>
      <c r="S853" s="99"/>
      <c r="T853" s="99"/>
      <c r="U853" s="99"/>
      <c r="V853" s="99"/>
      <c r="W853" s="105"/>
      <c r="X853" s="105"/>
      <c r="Y853" s="105"/>
      <c r="Z853" s="105"/>
      <c r="AA853" s="105"/>
      <c r="AB853" s="105"/>
      <c r="AC853" s="105"/>
      <c r="AD853" s="105"/>
      <c r="AE853" s="105"/>
      <c r="AF853" s="105"/>
      <c r="AG853" s="105"/>
      <c r="AH853" s="105"/>
      <c r="AI853" s="105"/>
      <c r="AJ853" s="171"/>
      <c r="AK853" s="105">
        <f>IF($AK$658&gt;0,'Assumptions (Wind)'!V12*Model!$AK$658*AVERAGE('Assumptions (Wind)'!$AH$2:$AI$2)/10^9,0)</f>
        <v>24.639532725939208</v>
      </c>
      <c r="AL853" s="105">
        <f>IF($AK$658&gt;0,'Assumptions (Wind)'!W12*Model!$AK$658*AVERAGE('Assumptions (Wind)'!$AH$2:$AI$2)/10^9,0)</f>
        <v>39.423252361502733</v>
      </c>
      <c r="AM853" s="105">
        <f>IF($AK$658&gt;0,'Assumptions (Wind)'!X12*Model!$AK$658*AVERAGE('Assumptions (Wind)'!$AH$2:$AI$2)/10^9,0)</f>
        <v>23.653951416901638</v>
      </c>
      <c r="AN853" s="105">
        <f>IF($AK$658&gt;0,'Assumptions (Wind)'!Y12*Model!$AK$658*AVERAGE('Assumptions (Wind)'!$AH$2:$AI$2)/10^9,0)</f>
        <v>14.192370850140984</v>
      </c>
      <c r="AO853" s="105">
        <f>IF($AK$658&gt;0,'Assumptions (Wind)'!Z12*Model!$AK$658*AVERAGE('Assumptions (Wind)'!$AH$2:$AI$2)/10^9,0)</f>
        <v>14.192370850140984</v>
      </c>
      <c r="AP853" s="105">
        <f>IF($AK$658&gt;0,'Assumptions (Wind)'!AA12*Model!$AK$658*AVERAGE('Assumptions (Wind)'!$AH$2:$AI$2)/10^9,0)</f>
        <v>7.0961854250704919</v>
      </c>
      <c r="AQ853" s="91"/>
      <c r="AR853" s="91"/>
      <c r="AS853" s="91"/>
      <c r="AT853" s="91"/>
      <c r="AU853" s="91"/>
      <c r="AV853" s="91"/>
      <c r="AW853" s="91"/>
      <c r="AX853" s="91"/>
      <c r="AY853" s="91"/>
      <c r="AZ853" s="91"/>
      <c r="BA853" s="91"/>
      <c r="BB853" s="91"/>
      <c r="BC853" s="91"/>
      <c r="BD853" s="91"/>
      <c r="BE853" s="91"/>
      <c r="BF853" s="91"/>
      <c r="BG853" s="91"/>
      <c r="BH853" s="91"/>
      <c r="BI853" s="91"/>
      <c r="BJ853" s="86"/>
      <c r="BK853" s="86"/>
      <c r="BL853" s="86"/>
      <c r="BM853" s="86"/>
      <c r="BN853" s="86"/>
      <c r="BO853" s="86"/>
      <c r="BP853" s="86"/>
      <c r="BQ853" s="86"/>
      <c r="BR853" s="86"/>
      <c r="BS853" s="86"/>
      <c r="BT853" s="86"/>
      <c r="BU853" s="86"/>
    </row>
    <row r="854" spans="1:73" ht="15.75" hidden="1" customHeight="1" outlineLevel="1">
      <c r="A854" s="395"/>
      <c r="B854" s="99"/>
      <c r="C854" s="99"/>
      <c r="D854" s="99"/>
      <c r="E854" s="99"/>
      <c r="F854" s="99"/>
      <c r="G854" s="99"/>
      <c r="H854" s="99"/>
      <c r="I854" s="99"/>
      <c r="J854" s="99"/>
      <c r="K854" s="99"/>
      <c r="L854" s="99"/>
      <c r="M854" s="99"/>
      <c r="N854" s="99"/>
      <c r="O854" s="99"/>
      <c r="P854" s="99"/>
      <c r="Q854" s="99"/>
      <c r="R854" s="99"/>
      <c r="S854" s="99"/>
      <c r="T854" s="99"/>
      <c r="U854" s="99"/>
      <c r="V854" s="99"/>
      <c r="W854" s="105"/>
      <c r="X854" s="105"/>
      <c r="Y854" s="105"/>
      <c r="Z854" s="105"/>
      <c r="AA854" s="105"/>
      <c r="AB854" s="105"/>
      <c r="AC854" s="105"/>
      <c r="AD854" s="105"/>
      <c r="AE854" s="105"/>
      <c r="AF854" s="105"/>
      <c r="AG854" s="105"/>
      <c r="AH854" s="105"/>
      <c r="AI854" s="105"/>
      <c r="AJ854" s="171"/>
      <c r="AK854" s="105"/>
      <c r="AL854" s="91">
        <f>IF($AL$658&gt;0,'Assumptions (Wind)'!V12*Model!$AL$658*AVERAGE('Assumptions (Wind)'!$AI$2:$AJ$2)/10^9,0)</f>
        <v>25.560505460591976</v>
      </c>
      <c r="AM854" s="91">
        <f>IF($AL$658&gt;0,'Assumptions (Wind)'!W12*Model!$AL$658*AVERAGE('Assumptions (Wind)'!$AI$2:$AJ$2)/10^9,0)</f>
        <v>40.896808736947158</v>
      </c>
      <c r="AN854" s="91">
        <f>IF($AL$658&gt;0,'Assumptions (Wind)'!X12*Model!$AL$658*AVERAGE('Assumptions (Wind)'!$AI$2:$AJ$2)/10^9,0)</f>
        <v>24.538085242168293</v>
      </c>
      <c r="AO854" s="91">
        <f>IF($AL$658&gt;0,'Assumptions (Wind)'!Y12*Model!$AL$658*AVERAGE('Assumptions (Wind)'!$AI$2:$AJ$2)/10^9,0)</f>
        <v>14.722851145300975</v>
      </c>
      <c r="AP854" s="91">
        <f>IF($AL$658&gt;0,'Assumptions (Wind)'!Z12*Model!$AL$658*AVERAGE('Assumptions (Wind)'!$AI$2:$AJ$2)/10^9,0)</f>
        <v>14.722851145300975</v>
      </c>
      <c r="AQ854" s="91">
        <f>IF($AL$658&gt;0,'Assumptions (Wind)'!AA12*Model!$AL$658*AVERAGE('Assumptions (Wind)'!$AI$2:$AJ$2)/10^9,0)</f>
        <v>7.3614255726504876</v>
      </c>
      <c r="AR854" s="91"/>
      <c r="AS854" s="91"/>
      <c r="AT854" s="91"/>
      <c r="AU854" s="91"/>
      <c r="AV854" s="91"/>
      <c r="AW854" s="91"/>
      <c r="AX854" s="91"/>
      <c r="AY854" s="91"/>
      <c r="AZ854" s="91"/>
      <c r="BA854" s="91"/>
      <c r="BB854" s="91"/>
      <c r="BC854" s="91"/>
      <c r="BD854" s="91"/>
      <c r="BE854" s="91"/>
      <c r="BF854" s="91"/>
      <c r="BG854" s="91"/>
      <c r="BH854" s="91"/>
      <c r="BI854" s="91"/>
      <c r="BJ854" s="91"/>
      <c r="BK854" s="86"/>
      <c r="BL854" s="86"/>
      <c r="BM854" s="86"/>
      <c r="BN854" s="86"/>
      <c r="BO854" s="86"/>
      <c r="BP854" s="86"/>
      <c r="BQ854" s="86"/>
      <c r="BR854" s="86"/>
      <c r="BS854" s="86"/>
      <c r="BT854" s="86"/>
      <c r="BU854" s="86"/>
    </row>
    <row r="855" spans="1:73" ht="15.75" hidden="1" customHeight="1" outlineLevel="1">
      <c r="A855" s="395"/>
      <c r="B855" s="99"/>
      <c r="C855" s="99"/>
      <c r="D855" s="99"/>
      <c r="E855" s="99"/>
      <c r="F855" s="99"/>
      <c r="G855" s="99"/>
      <c r="H855" s="99"/>
      <c r="I855" s="99"/>
      <c r="J855" s="99"/>
      <c r="K855" s="99"/>
      <c r="L855" s="99"/>
      <c r="M855" s="99"/>
      <c r="N855" s="99"/>
      <c r="O855" s="99"/>
      <c r="P855" s="99"/>
      <c r="Q855" s="99"/>
      <c r="R855" s="99"/>
      <c r="S855" s="99"/>
      <c r="T855" s="99"/>
      <c r="U855" s="99"/>
      <c r="V855" s="99"/>
      <c r="W855" s="105"/>
      <c r="X855" s="105"/>
      <c r="Y855" s="105"/>
      <c r="Z855" s="105"/>
      <c r="AA855" s="105"/>
      <c r="AB855" s="105"/>
      <c r="AC855" s="105"/>
      <c r="AD855" s="105"/>
      <c r="AE855" s="105"/>
      <c r="AF855" s="105"/>
      <c r="AG855" s="105"/>
      <c r="AH855" s="105"/>
      <c r="AI855" s="105"/>
      <c r="AJ855" s="171"/>
      <c r="AK855" s="105"/>
      <c r="AL855" s="91"/>
      <c r="AM855" s="105">
        <f>IF($AM$658&gt;0,'Assumptions (Wind)'!V12*Model!$AM$658*AVERAGE('Assumptions (Wind)'!$AJ$2:$AK$2)/10^9,0)</f>
        <v>25.527340226884807</v>
      </c>
      <c r="AN855" s="105">
        <f>IF($AM$658&gt;0,'Assumptions (Wind)'!W12*Model!$AM$658*AVERAGE('Assumptions (Wind)'!$AJ$2:$AK$2)/10^9,0)</f>
        <v>40.843744363015688</v>
      </c>
      <c r="AO855" s="105">
        <f>IF($AM$658&gt;0,'Assumptions (Wind)'!X12*Model!$AM$658*AVERAGE('Assumptions (Wind)'!$AJ$2:$AK$2)/10^9,0)</f>
        <v>24.506246617809413</v>
      </c>
      <c r="AP855" s="105">
        <f>IF($AM$658&gt;0,'Assumptions (Wind)'!Y12*Model!$AM$658*AVERAGE('Assumptions (Wind)'!$AJ$2:$AK$2)/10^9,0)</f>
        <v>14.703747970685647</v>
      </c>
      <c r="AQ855" s="105">
        <f>IF($AM$658&gt;0,'Assumptions (Wind)'!Z12*Model!$AM$658*AVERAGE('Assumptions (Wind)'!$AJ$2:$AK$2)/10^9,0)</f>
        <v>14.703747970685647</v>
      </c>
      <c r="AR855" s="105">
        <f>IF($AM$658&gt;0,'Assumptions (Wind)'!AA12*Model!$AM$658*AVERAGE('Assumptions (Wind)'!$AJ$2:$AK$2)/10^9,0)</f>
        <v>7.3518739853428237</v>
      </c>
      <c r="AS855" s="105"/>
      <c r="AT855" s="105"/>
      <c r="AU855" s="105"/>
      <c r="AV855" s="105"/>
      <c r="AW855" s="105"/>
      <c r="AX855" s="105"/>
      <c r="AY855" s="105"/>
      <c r="AZ855" s="105"/>
      <c r="BA855" s="105"/>
      <c r="BB855" s="105"/>
      <c r="BC855" s="105"/>
      <c r="BD855" s="105"/>
      <c r="BE855" s="105"/>
      <c r="BF855" s="105"/>
      <c r="BG855" s="105"/>
      <c r="BH855" s="105"/>
      <c r="BI855" s="105"/>
      <c r="BJ855" s="105"/>
      <c r="BK855" s="105"/>
      <c r="BL855" s="86"/>
      <c r="BM855" s="86"/>
      <c r="BN855" s="86"/>
      <c r="BO855" s="86"/>
      <c r="BP855" s="86"/>
      <c r="BQ855" s="86"/>
      <c r="BR855" s="86"/>
      <c r="BS855" s="86"/>
      <c r="BT855" s="86"/>
      <c r="BU855" s="86"/>
    </row>
    <row r="856" spans="1:73" ht="15.75" hidden="1" customHeight="1" outlineLevel="1">
      <c r="A856" s="395"/>
      <c r="B856" s="99"/>
      <c r="C856" s="99"/>
      <c r="D856" s="99"/>
      <c r="E856" s="99"/>
      <c r="F856" s="99"/>
      <c r="G856" s="99"/>
      <c r="H856" s="99"/>
      <c r="I856" s="99"/>
      <c r="J856" s="99"/>
      <c r="K856" s="99"/>
      <c r="L856" s="99"/>
      <c r="M856" s="99"/>
      <c r="N856" s="99"/>
      <c r="O856" s="99"/>
      <c r="P856" s="99"/>
      <c r="Q856" s="99"/>
      <c r="R856" s="99"/>
      <c r="S856" s="99"/>
      <c r="T856" s="99"/>
      <c r="U856" s="99"/>
      <c r="V856" s="99"/>
      <c r="W856" s="105"/>
      <c r="X856" s="105"/>
      <c r="Y856" s="105"/>
      <c r="Z856" s="105"/>
      <c r="AA856" s="105"/>
      <c r="AB856" s="105"/>
      <c r="AC856" s="105"/>
      <c r="AD856" s="105"/>
      <c r="AE856" s="105"/>
      <c r="AF856" s="105"/>
      <c r="AG856" s="105"/>
      <c r="AH856" s="105"/>
      <c r="AI856" s="105"/>
      <c r="AJ856" s="171"/>
      <c r="AK856" s="105"/>
      <c r="AL856" s="91"/>
      <c r="AM856" s="91"/>
      <c r="AN856" s="105">
        <f>IF($AN$658&gt;0,'Assumptions (Wind)'!V12*Model!$AN$658*AVERAGE('Assumptions (Wind)'!$AK$2:$AL$2)/10^9,0)</f>
        <v>26.830508306924138</v>
      </c>
      <c r="AO856" s="105">
        <f>IF($AN$658&gt;0,'Assumptions (Wind)'!W12*Model!$AN$658*AVERAGE('Assumptions (Wind)'!$AK$2:$AL$2)/10^9,0)</f>
        <v>42.928813291078612</v>
      </c>
      <c r="AP856" s="105">
        <f>IF($AN$658&gt;0,'Assumptions (Wind)'!X12*Model!$AN$658*AVERAGE('Assumptions (Wind)'!$AK$2:$AL$2)/10^9,0)</f>
        <v>25.757287974647166</v>
      </c>
      <c r="AQ856" s="105">
        <f>IF($AN$658&gt;0,'Assumptions (Wind)'!Y12*Model!$AN$658*AVERAGE('Assumptions (Wind)'!$AK$2:$AL$2)/10^9,0)</f>
        <v>15.454372784788301</v>
      </c>
      <c r="AR856" s="105">
        <f>IF($AN$658&gt;0,'Assumptions (Wind)'!Z12*Model!$AN$658*AVERAGE('Assumptions (Wind)'!$AK$2:$AL$2)/10^9,0)</f>
        <v>15.454372784788301</v>
      </c>
      <c r="AS856" s="105">
        <f>IF($AN$658&gt;0,'Assumptions (Wind)'!AA12*Model!$AN$658*AVERAGE('Assumptions (Wind)'!$AK$2:$AL$2)/10^9,0)</f>
        <v>7.7271863923941506</v>
      </c>
      <c r="AT856" s="105"/>
      <c r="AU856" s="105"/>
      <c r="AV856" s="105"/>
      <c r="AW856" s="105"/>
      <c r="AX856" s="105"/>
      <c r="AY856" s="105"/>
      <c r="AZ856" s="105"/>
      <c r="BA856" s="105"/>
      <c r="BB856" s="105"/>
      <c r="BC856" s="105"/>
      <c r="BD856" s="105"/>
      <c r="BE856" s="105"/>
      <c r="BF856" s="105"/>
      <c r="BG856" s="105"/>
      <c r="BH856" s="105"/>
      <c r="BI856" s="105"/>
      <c r="BJ856" s="105"/>
      <c r="BK856" s="105"/>
      <c r="BL856" s="105"/>
      <c r="BM856" s="86"/>
      <c r="BN856" s="86"/>
      <c r="BO856" s="86"/>
      <c r="BP856" s="86"/>
      <c r="BQ856" s="86"/>
      <c r="BR856" s="86"/>
      <c r="BS856" s="86"/>
      <c r="BT856" s="86"/>
      <c r="BU856" s="86"/>
    </row>
    <row r="857" spans="1:73" ht="15.75" hidden="1" customHeight="1" outlineLevel="1">
      <c r="A857" s="395"/>
      <c r="B857" s="99"/>
      <c r="C857" s="99"/>
      <c r="D857" s="99"/>
      <c r="E857" s="99"/>
      <c r="F857" s="99"/>
      <c r="G857" s="99"/>
      <c r="H857" s="99"/>
      <c r="I857" s="99"/>
      <c r="J857" s="99"/>
      <c r="K857" s="99"/>
      <c r="L857" s="99"/>
      <c r="M857" s="99"/>
      <c r="N857" s="99"/>
      <c r="O857" s="99"/>
      <c r="P857" s="99"/>
      <c r="Q857" s="99"/>
      <c r="R857" s="99"/>
      <c r="S857" s="99"/>
      <c r="T857" s="99"/>
      <c r="U857" s="99"/>
      <c r="V857" s="99"/>
      <c r="W857" s="105"/>
      <c r="X857" s="105"/>
      <c r="Y857" s="105"/>
      <c r="Z857" s="105"/>
      <c r="AA857" s="105"/>
      <c r="AB857" s="105"/>
      <c r="AC857" s="105"/>
      <c r="AD857" s="105"/>
      <c r="AE857" s="105"/>
      <c r="AF857" s="105"/>
      <c r="AG857" s="105"/>
      <c r="AH857" s="105"/>
      <c r="AI857" s="105"/>
      <c r="AJ857" s="171"/>
      <c r="AK857" s="105"/>
      <c r="AL857" s="91"/>
      <c r="AM857" s="91"/>
      <c r="AN857" s="91"/>
      <c r="AO857" s="105">
        <f>IF($AO$658&gt;0,'Assumptions (Wind)'!V12*Model!$AO$658*AVERAGE('Assumptions (Wind)'!$AL$2:$AM$2)/10^9,0)</f>
        <v>27.569570028996548</v>
      </c>
      <c r="AP857" s="105">
        <f>IF($AO$658&gt;0,'Assumptions (Wind)'!W12*Model!$AO$658*AVERAGE('Assumptions (Wind)'!$AL$2:$AM$2)/10^9,0)</f>
        <v>44.111312046394481</v>
      </c>
      <c r="AQ857" s="105">
        <f>IF($AO$658&gt;0,'Assumptions (Wind)'!X12*Model!$AO$658*AVERAGE('Assumptions (Wind)'!$AL$2:$AM$2)/10^9,0)</f>
        <v>26.466787227836686</v>
      </c>
      <c r="AR857" s="105">
        <f>IF($AO$658&gt;0,'Assumptions (Wind)'!Y12*Model!$AO$658*AVERAGE('Assumptions (Wind)'!$AL$2:$AM$2)/10^9,0)</f>
        <v>15.880072336702009</v>
      </c>
      <c r="AS857" s="105">
        <f>IF($AO$658&gt;0,'Assumptions (Wind)'!Z12*Model!$AO$658*AVERAGE('Assumptions (Wind)'!$AL$2:$AM$2)/10^9,0)</f>
        <v>15.880072336702009</v>
      </c>
      <c r="AT857" s="105">
        <f>IF($AO$658&gt;0,'Assumptions (Wind)'!AA12*Model!$AO$658*AVERAGE('Assumptions (Wind)'!$AL$2:$AM$2)/10^9,0)</f>
        <v>7.9400361683510043</v>
      </c>
      <c r="AU857" s="105"/>
      <c r="AV857" s="105"/>
      <c r="AW857" s="105"/>
      <c r="AX857" s="105"/>
      <c r="AY857" s="105"/>
      <c r="AZ857" s="105"/>
      <c r="BA857" s="105"/>
      <c r="BB857" s="105"/>
      <c r="BC857" s="105"/>
      <c r="BD857" s="105"/>
      <c r="BE857" s="105"/>
      <c r="BF857" s="105"/>
      <c r="BG857" s="105"/>
      <c r="BH857" s="105"/>
      <c r="BI857" s="105"/>
      <c r="BJ857" s="105"/>
      <c r="BK857" s="105"/>
      <c r="BL857" s="105"/>
      <c r="BM857" s="105"/>
      <c r="BN857" s="86"/>
      <c r="BO857" s="86"/>
      <c r="BP857" s="86"/>
      <c r="BQ857" s="86"/>
      <c r="BR857" s="86"/>
      <c r="BS857" s="86"/>
      <c r="BT857" s="86"/>
      <c r="BU857" s="86"/>
    </row>
    <row r="858" spans="1:73" ht="15.75" hidden="1" customHeight="1" outlineLevel="1">
      <c r="A858" s="395"/>
      <c r="B858" s="99"/>
      <c r="C858" s="99"/>
      <c r="D858" s="99"/>
      <c r="E858" s="99"/>
      <c r="F858" s="99"/>
      <c r="G858" s="99"/>
      <c r="H858" s="99"/>
      <c r="I858" s="99"/>
      <c r="J858" s="99"/>
      <c r="K858" s="99"/>
      <c r="L858" s="99"/>
      <c r="M858" s="99"/>
      <c r="N858" s="99"/>
      <c r="O858" s="99"/>
      <c r="P858" s="99"/>
      <c r="Q858" s="99"/>
      <c r="R858" s="99"/>
      <c r="S858" s="99"/>
      <c r="T858" s="99"/>
      <c r="U858" s="99"/>
      <c r="V858" s="99"/>
      <c r="W858" s="105"/>
      <c r="X858" s="105"/>
      <c r="Y858" s="105"/>
      <c r="Z858" s="105"/>
      <c r="AA858" s="105"/>
      <c r="AB858" s="105"/>
      <c r="AC858" s="105"/>
      <c r="AD858" s="105"/>
      <c r="AE858" s="105"/>
      <c r="AF858" s="105"/>
      <c r="AG858" s="105"/>
      <c r="AH858" s="105"/>
      <c r="AI858" s="105"/>
      <c r="AJ858" s="171"/>
      <c r="AK858" s="105"/>
      <c r="AL858" s="91"/>
      <c r="AM858" s="91"/>
      <c r="AN858" s="91"/>
      <c r="AO858" s="105"/>
      <c r="AP858" s="105">
        <f>IF($AP$658&gt;0,'Assumptions (Wind)'!V12*Model!$AP$658*AVERAGE('Assumptions (Wind)'!$AM$2:$AN$2)/10^9,0)</f>
        <v>29.375478273343386</v>
      </c>
      <c r="AQ858" s="105">
        <f>IF($AP$658&gt;0,'Assumptions (Wind)'!W12*Model!$AP$658*AVERAGE('Assumptions (Wind)'!$AM$2:$AN$2)/10^9,0)</f>
        <v>47.00076523734942</v>
      </c>
      <c r="AR858" s="105">
        <f>IF($AP$658&gt;0,'Assumptions (Wind)'!X12*Model!$AP$658*AVERAGE('Assumptions (Wind)'!$AM$2:$AN$2)/10^9,0)</f>
        <v>28.200459142409656</v>
      </c>
      <c r="AS858" s="105">
        <f>IF($AP$658&gt;0,'Assumptions (Wind)'!Y12*Model!$AP$658*AVERAGE('Assumptions (Wind)'!$AM$2:$AN$2)/10^9,0)</f>
        <v>16.920275485445792</v>
      </c>
      <c r="AT858" s="105">
        <f>IF($AP$658&gt;0,'Assumptions (Wind)'!Z12*Model!$AP$658*AVERAGE('Assumptions (Wind)'!$AM$2:$AN$2)/10^9,0)</f>
        <v>16.920275485445792</v>
      </c>
      <c r="AU858" s="105">
        <f>IF($AP$658&gt;0,'Assumptions (Wind)'!AA12*Model!$AP$658*AVERAGE('Assumptions (Wind)'!$AM$2:$AN$2)/10^9,0)</f>
        <v>8.4601377427228961</v>
      </c>
      <c r="AV858" s="105"/>
      <c r="AW858" s="105"/>
      <c r="AX858" s="105"/>
      <c r="AY858" s="105"/>
      <c r="AZ858" s="105"/>
      <c r="BA858" s="105"/>
      <c r="BB858" s="105"/>
      <c r="BC858" s="105"/>
      <c r="BD858" s="105"/>
      <c r="BE858" s="105"/>
      <c r="BF858" s="105"/>
      <c r="BG858" s="105"/>
      <c r="BH858" s="105"/>
      <c r="BI858" s="105"/>
      <c r="BJ858" s="105"/>
      <c r="BK858" s="105"/>
      <c r="BL858" s="105"/>
      <c r="BM858" s="105"/>
      <c r="BN858" s="105"/>
      <c r="BO858" s="86"/>
      <c r="BP858" s="86"/>
      <c r="BQ858" s="86"/>
      <c r="BR858" s="86"/>
      <c r="BS858" s="86"/>
      <c r="BT858" s="86"/>
      <c r="BU858" s="86"/>
    </row>
    <row r="859" spans="1:73" ht="15.75" hidden="1" customHeight="1" outlineLevel="1">
      <c r="A859" s="395"/>
      <c r="B859" s="99"/>
      <c r="C859" s="99"/>
      <c r="D859" s="99"/>
      <c r="E859" s="99"/>
      <c r="F859" s="99"/>
      <c r="G859" s="99"/>
      <c r="H859" s="99"/>
      <c r="I859" s="99"/>
      <c r="J859" s="99"/>
      <c r="K859" s="99"/>
      <c r="L859" s="99"/>
      <c r="M859" s="99"/>
      <c r="N859" s="99"/>
      <c r="O859" s="99"/>
      <c r="P859" s="99"/>
      <c r="Q859" s="99"/>
      <c r="R859" s="99"/>
      <c r="S859" s="99"/>
      <c r="T859" s="99"/>
      <c r="U859" s="99"/>
      <c r="V859" s="99"/>
      <c r="W859" s="105"/>
      <c r="X859" s="105"/>
      <c r="Y859" s="105"/>
      <c r="Z859" s="105"/>
      <c r="AA859" s="105"/>
      <c r="AB859" s="105"/>
      <c r="AC859" s="105"/>
      <c r="AD859" s="105"/>
      <c r="AE859" s="105"/>
      <c r="AF859" s="105"/>
      <c r="AG859" s="105"/>
      <c r="AH859" s="105"/>
      <c r="AI859" s="105"/>
      <c r="AJ859" s="171"/>
      <c r="AK859" s="105"/>
      <c r="AL859" s="91"/>
      <c r="AM859" s="91"/>
      <c r="AN859" s="91"/>
      <c r="AO859" s="105"/>
      <c r="AP859" s="105"/>
      <c r="AQ859" s="105">
        <f>IF($AQ$658&gt;0,'Assumptions (Wind)'!V12*Model!$AQ$658*AVERAGE('Assumptions (Wind)'!$AN$2:$AO$2)/10^9,0)</f>
        <v>31.432669295622176</v>
      </c>
      <c r="AR859" s="105">
        <f>IF($AQ$658&gt;0,'Assumptions (Wind)'!W12*Model!$AQ$658*AVERAGE('Assumptions (Wind)'!$AN$2:$AO$2)/10^9,0)</f>
        <v>50.292270872995481</v>
      </c>
      <c r="AS859" s="105">
        <f>IF($AQ$658&gt;0,'Assumptions (Wind)'!X12*Model!$AQ$658*AVERAGE('Assumptions (Wind)'!$AN$2:$AO$2)/10^9,0)</f>
        <v>30.175362523797293</v>
      </c>
      <c r="AT859" s="105">
        <f>IF($AQ$658&gt;0,'Assumptions (Wind)'!Y12*Model!$AQ$658*AVERAGE('Assumptions (Wind)'!$AN$2:$AO$2)/10^9,0)</f>
        <v>18.105217514278372</v>
      </c>
      <c r="AU859" s="105">
        <f>IF($AQ$658&gt;0,'Assumptions (Wind)'!Z12*Model!$AQ$658*AVERAGE('Assumptions (Wind)'!$AN$2:$AO$2)/10^9,0)</f>
        <v>18.105217514278372</v>
      </c>
      <c r="AV859" s="105">
        <f>IF($AQ$658&gt;0,'Assumptions (Wind)'!AA12*Model!$AQ$658*AVERAGE('Assumptions (Wind)'!$AN$2:$AO$2)/10^9,0)</f>
        <v>9.0526087571391862</v>
      </c>
      <c r="AW859" s="105"/>
      <c r="AX859" s="105"/>
      <c r="AY859" s="105"/>
      <c r="AZ859" s="105"/>
      <c r="BA859" s="105"/>
      <c r="BB859" s="105"/>
      <c r="BC859" s="105"/>
      <c r="BD859" s="105"/>
      <c r="BE859" s="105"/>
      <c r="BF859" s="105"/>
      <c r="BG859" s="105"/>
      <c r="BH859" s="105"/>
      <c r="BI859" s="105"/>
      <c r="BJ859" s="105"/>
      <c r="BK859" s="105"/>
      <c r="BL859" s="105"/>
      <c r="BM859" s="105"/>
      <c r="BN859" s="105"/>
      <c r="BO859" s="105"/>
      <c r="BP859" s="86"/>
      <c r="BQ859" s="86"/>
      <c r="BR859" s="86"/>
      <c r="BS859" s="86"/>
      <c r="BT859" s="86"/>
      <c r="BU859" s="86"/>
    </row>
    <row r="860" spans="1:73" ht="15.75" hidden="1" customHeight="1" outlineLevel="1">
      <c r="A860" s="395"/>
      <c r="B860" s="99"/>
      <c r="C860" s="99"/>
      <c r="D860" s="99"/>
      <c r="E860" s="99"/>
      <c r="F860" s="99"/>
      <c r="G860" s="99"/>
      <c r="H860" s="99"/>
      <c r="I860" s="99"/>
      <c r="J860" s="99"/>
      <c r="K860" s="99"/>
      <c r="L860" s="99"/>
      <c r="M860" s="99"/>
      <c r="N860" s="99"/>
      <c r="O860" s="99"/>
      <c r="P860" s="99"/>
      <c r="Q860" s="99"/>
      <c r="R860" s="99"/>
      <c r="S860" s="99"/>
      <c r="T860" s="99"/>
      <c r="U860" s="99"/>
      <c r="V860" s="99"/>
      <c r="W860" s="105"/>
      <c r="X860" s="105"/>
      <c r="Y860" s="105"/>
      <c r="Z860" s="105"/>
      <c r="AA860" s="105"/>
      <c r="AB860" s="105"/>
      <c r="AC860" s="105"/>
      <c r="AD860" s="105"/>
      <c r="AE860" s="105"/>
      <c r="AF860" s="105"/>
      <c r="AG860" s="105"/>
      <c r="AH860" s="105"/>
      <c r="AI860" s="105"/>
      <c r="AJ860" s="171"/>
      <c r="AK860" s="105"/>
      <c r="AL860" s="91"/>
      <c r="AM860" s="91"/>
      <c r="AN860" s="91"/>
      <c r="AO860" s="105"/>
      <c r="AP860" s="105"/>
      <c r="AQ860" s="105"/>
      <c r="AR860" s="105">
        <f>IF($AR$658&gt;0,'Assumptions (Wind)'!V12*Model!$AR$658*AVERAGE('Assumptions (Wind)'!$AO$2:$AP$2)/10^9,0)</f>
        <v>32.792062662604103</v>
      </c>
      <c r="AS860" s="105">
        <f>IF($AR$658&gt;0,'Assumptions (Wind)'!W12*Model!$AR$658*AVERAGE('Assumptions (Wind)'!$AO$2:$AP$2)/10^9,0)</f>
        <v>52.46730026016656</v>
      </c>
      <c r="AT860" s="105">
        <f>IF($AR$658&gt;0,'Assumptions (Wind)'!X12*Model!$AR$658*AVERAGE('Assumptions (Wind)'!$AO$2:$AP$2)/10^9,0)</f>
        <v>31.480380156099937</v>
      </c>
      <c r="AU860" s="105">
        <f>IF($AR$658&gt;0,'Assumptions (Wind)'!Y12*Model!$AR$658*AVERAGE('Assumptions (Wind)'!$AO$2:$AP$2)/10^9,0)</f>
        <v>18.888228093659958</v>
      </c>
      <c r="AV860" s="105">
        <f>IF($AR$658&gt;0,'Assumptions (Wind)'!Z12*Model!$AR$658*AVERAGE('Assumptions (Wind)'!$AO$2:$AP$2)/10^9,0)</f>
        <v>18.888228093659958</v>
      </c>
      <c r="AW860" s="105">
        <f>IF($AR$658&gt;0,'Assumptions (Wind)'!AA12*Model!$AR$658*AVERAGE('Assumptions (Wind)'!$AO$2:$AP$2)/10^9,0)</f>
        <v>9.4441140468299789</v>
      </c>
      <c r="AX860" s="105"/>
      <c r="AY860" s="105"/>
      <c r="AZ860" s="105"/>
      <c r="BA860" s="105"/>
      <c r="BB860" s="105"/>
      <c r="BC860" s="105"/>
      <c r="BD860" s="105"/>
      <c r="BE860" s="105"/>
      <c r="BF860" s="105"/>
      <c r="BG860" s="105"/>
      <c r="BH860" s="105"/>
      <c r="BI860" s="105"/>
      <c r="BJ860" s="105"/>
      <c r="BK860" s="105"/>
      <c r="BL860" s="105"/>
      <c r="BM860" s="105"/>
      <c r="BN860" s="105"/>
      <c r="BO860" s="105"/>
      <c r="BP860" s="105"/>
      <c r="BQ860" s="86"/>
      <c r="BR860" s="86"/>
      <c r="BS860" s="86"/>
      <c r="BT860" s="86"/>
      <c r="BU860" s="86"/>
    </row>
    <row r="861" spans="1:73" ht="15.75" hidden="1" customHeight="1" outlineLevel="1">
      <c r="A861" s="395"/>
      <c r="B861" s="99"/>
      <c r="C861" s="99"/>
      <c r="D861" s="99"/>
      <c r="E861" s="99"/>
      <c r="F861" s="99"/>
      <c r="G861" s="99"/>
      <c r="H861" s="99"/>
      <c r="I861" s="99"/>
      <c r="J861" s="99"/>
      <c r="K861" s="99"/>
      <c r="L861" s="99"/>
      <c r="M861" s="99"/>
      <c r="N861" s="99"/>
      <c r="O861" s="99"/>
      <c r="P861" s="99"/>
      <c r="Q861" s="99"/>
      <c r="R861" s="99"/>
      <c r="S861" s="99"/>
      <c r="T861" s="99"/>
      <c r="U861" s="99"/>
      <c r="V861" s="99"/>
      <c r="W861" s="105"/>
      <c r="X861" s="105"/>
      <c r="Y861" s="105"/>
      <c r="Z861" s="105"/>
      <c r="AA861" s="105"/>
      <c r="AB861" s="105"/>
      <c r="AC861" s="105"/>
      <c r="AD861" s="105"/>
      <c r="AE861" s="105"/>
      <c r="AF861" s="105"/>
      <c r="AG861" s="105"/>
      <c r="AH861" s="105"/>
      <c r="AI861" s="105"/>
      <c r="AJ861" s="171"/>
      <c r="AK861" s="105"/>
      <c r="AL861" s="91"/>
      <c r="AM861" s="91"/>
      <c r="AN861" s="91"/>
      <c r="AO861" s="105"/>
      <c r="AP861" s="105"/>
      <c r="AQ861" s="105"/>
      <c r="AR861" s="105"/>
      <c r="AS861" s="105">
        <f>IF($AS$658&gt;0,'Assumptions (Wind)'!V12*Model!$AS$658*AVERAGE('Assumptions (Wind)'!$AP$2:$AQ$2)/10^9,0)</f>
        <v>30.874027637946632</v>
      </c>
      <c r="AT861" s="105">
        <f>IF($AS$658&gt;0,'Assumptions (Wind)'!W12*Model!$AS$658*AVERAGE('Assumptions (Wind)'!$AP$2:$AQ$2)/10^9,0)</f>
        <v>49.398444220714609</v>
      </c>
      <c r="AU861" s="105">
        <f>IF($AS$658&gt;0,'Assumptions (Wind)'!X12*Model!$AS$658*AVERAGE('Assumptions (Wind)'!$AP$2:$AQ$2)/10^9,0)</f>
        <v>29.63906653242876</v>
      </c>
      <c r="AV861" s="105">
        <f>IF($AS$658&gt;0,'Assumptions (Wind)'!Y12*Model!$AS$658*AVERAGE('Assumptions (Wind)'!$AP$2:$AQ$2)/10^9,0)</f>
        <v>17.783439919457255</v>
      </c>
      <c r="AW861" s="105">
        <f>IF($AS$658&gt;0,'Assumptions (Wind)'!Z12*Model!$AS$658*AVERAGE('Assumptions (Wind)'!$AP$2:$AQ$2)/10^9,0)</f>
        <v>17.783439919457255</v>
      </c>
      <c r="AX861" s="105">
        <f>IF($AS$658&gt;0,'Assumptions (Wind)'!AA12*Model!$AS$658*AVERAGE('Assumptions (Wind)'!$AP$2:$AQ$2)/10^9,0)</f>
        <v>8.8917199597286274</v>
      </c>
      <c r="AY861" s="105"/>
      <c r="AZ861" s="105"/>
      <c r="BA861" s="105"/>
      <c r="BB861" s="105"/>
      <c r="BC861" s="105"/>
      <c r="BD861" s="105"/>
      <c r="BE861" s="105"/>
      <c r="BF861" s="105"/>
      <c r="BG861" s="105"/>
      <c r="BH861" s="105"/>
      <c r="BI861" s="105"/>
      <c r="BJ861" s="105"/>
      <c r="BK861" s="105"/>
      <c r="BL861" s="105"/>
      <c r="BM861" s="105"/>
      <c r="BN861" s="105"/>
      <c r="BO861" s="105"/>
      <c r="BP861" s="105"/>
      <c r="BQ861" s="105"/>
      <c r="BR861" s="105"/>
      <c r="BS861" s="86"/>
      <c r="BT861" s="86"/>
      <c r="BU861" s="86"/>
    </row>
    <row r="862" spans="1:73" ht="15.75" hidden="1" customHeight="1" outlineLevel="1">
      <c r="A862" s="395"/>
      <c r="B862" s="99"/>
      <c r="C862" s="99"/>
      <c r="D862" s="99"/>
      <c r="E862" s="99"/>
      <c r="F862" s="99"/>
      <c r="G862" s="99"/>
      <c r="H862" s="99"/>
      <c r="I862" s="99"/>
      <c r="J862" s="99"/>
      <c r="K862" s="99"/>
      <c r="L862" s="99"/>
      <c r="M862" s="99"/>
      <c r="N862" s="99"/>
      <c r="O862" s="99"/>
      <c r="P862" s="99"/>
      <c r="Q862" s="99"/>
      <c r="R862" s="99"/>
      <c r="S862" s="99"/>
      <c r="T862" s="99"/>
      <c r="U862" s="99"/>
      <c r="V862" s="99"/>
      <c r="W862" s="105"/>
      <c r="X862" s="105"/>
      <c r="Y862" s="105"/>
      <c r="Z862" s="105"/>
      <c r="AA862" s="105"/>
      <c r="AB862" s="105"/>
      <c r="AC862" s="105"/>
      <c r="AD862" s="105"/>
      <c r="AE862" s="105"/>
      <c r="AF862" s="105"/>
      <c r="AG862" s="105"/>
      <c r="AH862" s="105"/>
      <c r="AI862" s="105"/>
      <c r="AJ862" s="171"/>
      <c r="AK862" s="105"/>
      <c r="AL862" s="91"/>
      <c r="AM862" s="91"/>
      <c r="AN862" s="91"/>
      <c r="AO862" s="105"/>
      <c r="AP862" s="105"/>
      <c r="AQ862" s="105"/>
      <c r="AR862" s="105"/>
      <c r="AS862" s="105"/>
      <c r="AT862" s="105">
        <f>IF($AT$658&gt;0,'Assumptions (Wind)'!V12*Model!$AT$658*AVERAGE('Assumptions (Wind)'!$AQ$2:$AR$2)/10^9,0)</f>
        <v>32.534039990923191</v>
      </c>
      <c r="AU862" s="105">
        <f>IF($AT$658&gt;0,'Assumptions (Wind)'!W12*Model!$AT$658*AVERAGE('Assumptions (Wind)'!$AQ$2:$AR$2)/10^9,0)</f>
        <v>52.054463985477092</v>
      </c>
      <c r="AV862" s="105">
        <f>IF($AT$658&gt;0,'Assumptions (Wind)'!X12*Model!$AT$658*AVERAGE('Assumptions (Wind)'!$AQ$2:$AR$2)/10^9,0)</f>
        <v>31.23267839128626</v>
      </c>
      <c r="AW862" s="105">
        <f>IF($AT$658&gt;0,'Assumptions (Wind)'!Y12*Model!$AT$658*AVERAGE('Assumptions (Wind)'!$AQ$2:$AR$2)/10^9,0)</f>
        <v>18.739607034771751</v>
      </c>
      <c r="AX862" s="105">
        <f>IF($AT$658&gt;0,'Assumptions (Wind)'!Z12*Model!$AT$658*AVERAGE('Assumptions (Wind)'!$AQ$2:$AR$2)/10^9,0)</f>
        <v>18.739607034771751</v>
      </c>
      <c r="AY862" s="105">
        <f>IF($AT$658&gt;0,'Assumptions (Wind)'!AA12*Model!$AT$658*AVERAGE('Assumptions (Wind)'!$AQ$2:$AR$2)/10^9,0)</f>
        <v>9.3698035173858756</v>
      </c>
      <c r="AZ862" s="105"/>
      <c r="BA862" s="105"/>
      <c r="BB862" s="105"/>
      <c r="BC862" s="105"/>
      <c r="BD862" s="105"/>
      <c r="BE862" s="105"/>
      <c r="BF862" s="105"/>
      <c r="BG862" s="105"/>
      <c r="BH862" s="105"/>
      <c r="BI862" s="105"/>
      <c r="BJ862" s="105"/>
      <c r="BK862" s="105"/>
      <c r="BL862" s="105"/>
      <c r="BM862" s="105"/>
      <c r="BN862" s="105"/>
      <c r="BO862" s="105"/>
      <c r="BP862" s="105"/>
      <c r="BQ862" s="105"/>
      <c r="BR862" s="105"/>
      <c r="BS862" s="86"/>
      <c r="BT862" s="86"/>
      <c r="BU862" s="86"/>
    </row>
    <row r="863" spans="1:73" ht="15.75" hidden="1" customHeight="1" outlineLevel="1">
      <c r="A863" s="395"/>
      <c r="B863" s="99"/>
      <c r="C863" s="99"/>
      <c r="D863" s="99"/>
      <c r="E863" s="99"/>
      <c r="F863" s="99"/>
      <c r="G863" s="99"/>
      <c r="H863" s="99"/>
      <c r="I863" s="99"/>
      <c r="J863" s="99"/>
      <c r="K863" s="99"/>
      <c r="L863" s="99"/>
      <c r="M863" s="99"/>
      <c r="N863" s="99"/>
      <c r="O863" s="99"/>
      <c r="P863" s="99"/>
      <c r="Q863" s="99"/>
      <c r="R863" s="99"/>
      <c r="S863" s="99"/>
      <c r="T863" s="99"/>
      <c r="U863" s="99"/>
      <c r="V863" s="99"/>
      <c r="W863" s="105"/>
      <c r="X863" s="105"/>
      <c r="Y863" s="105"/>
      <c r="Z863" s="105"/>
      <c r="AA863" s="105"/>
      <c r="AB863" s="105"/>
      <c r="AC863" s="105"/>
      <c r="AD863" s="105"/>
      <c r="AE863" s="105"/>
      <c r="AF863" s="105"/>
      <c r="AG863" s="105"/>
      <c r="AH863" s="105"/>
      <c r="AI863" s="105"/>
      <c r="AJ863" s="171"/>
      <c r="AK863" s="105"/>
      <c r="AL863" s="91"/>
      <c r="AM863" s="91"/>
      <c r="AN863" s="91"/>
      <c r="AO863" s="105"/>
      <c r="AP863" s="105"/>
      <c r="AQ863" s="105"/>
      <c r="AR863" s="105"/>
      <c r="AS863" s="105"/>
      <c r="AT863" s="105"/>
      <c r="AU863" s="105">
        <f>IF($AU$658&gt;0,'Assumptions (Wind)'!V12*Model!$AU$658*AVERAGE('Assumptions (Wind)'!$AR$2:$AS$2)/10^9,0)</f>
        <v>36.445501531302632</v>
      </c>
      <c r="AV863" s="105">
        <f>IF($AU$658&gt;0,'Assumptions (Wind)'!W12*Model!$AU$658*AVERAGE('Assumptions (Wind)'!$AR$2:$AS$2)/10^9,0)</f>
        <v>58.312802450084213</v>
      </c>
      <c r="AW863" s="105">
        <f>IF($AU$658&gt;0,'Assumptions (Wind)'!X12*Model!$AU$658*AVERAGE('Assumptions (Wind)'!$AR$2:$AS$2)/10^9,0)</f>
        <v>34.987681470050532</v>
      </c>
      <c r="AX863" s="105">
        <f>IF($AU$658&gt;0,'Assumptions (Wind)'!Y12*Model!$AU$658*AVERAGE('Assumptions (Wind)'!$AR$2:$AS$2)/10^9,0)</f>
        <v>20.992608882030314</v>
      </c>
      <c r="AY863" s="105">
        <f>IF($AU$658&gt;0,'Assumptions (Wind)'!Z12*Model!$AU$658*AVERAGE('Assumptions (Wind)'!$AR$2:$AS$2)/10^9,0)</f>
        <v>20.992608882030314</v>
      </c>
      <c r="AZ863" s="105">
        <f>IF($AU$658&gt;0,'Assumptions (Wind)'!AA12*Model!$AU$658*AVERAGE('Assumptions (Wind)'!$AR$2:$AS$2)/10^9,0)</f>
        <v>10.496304441015157</v>
      </c>
      <c r="BA863" s="105"/>
      <c r="BB863" s="105"/>
      <c r="BC863" s="105"/>
      <c r="BD863" s="105"/>
      <c r="BE863" s="105"/>
      <c r="BF863" s="105"/>
      <c r="BG863" s="105"/>
      <c r="BH863" s="105"/>
      <c r="BI863" s="105"/>
      <c r="BJ863" s="105"/>
      <c r="BK863" s="105"/>
      <c r="BL863" s="105"/>
      <c r="BM863" s="105"/>
      <c r="BN863" s="105"/>
      <c r="BO863" s="105"/>
      <c r="BP863" s="105"/>
      <c r="BQ863" s="105"/>
      <c r="BR863" s="105"/>
      <c r="BS863" s="105"/>
      <c r="BT863" s="86"/>
      <c r="BU863" s="86"/>
    </row>
    <row r="864" spans="1:73" ht="15.75" hidden="1" customHeight="1" outlineLevel="1">
      <c r="A864" s="395"/>
      <c r="B864" s="99"/>
      <c r="C864" s="99"/>
      <c r="D864" s="99"/>
      <c r="E864" s="99"/>
      <c r="F864" s="99"/>
      <c r="G864" s="99"/>
      <c r="H864" s="99"/>
      <c r="I864" s="99"/>
      <c r="J864" s="99"/>
      <c r="K864" s="99"/>
      <c r="L864" s="99"/>
      <c r="M864" s="99"/>
      <c r="N864" s="99"/>
      <c r="O864" s="99"/>
      <c r="P864" s="99"/>
      <c r="Q864" s="99"/>
      <c r="R864" s="99"/>
      <c r="S864" s="99"/>
      <c r="T864" s="99"/>
      <c r="U864" s="99"/>
      <c r="V864" s="99"/>
      <c r="W864" s="105"/>
      <c r="X864" s="105"/>
      <c r="Y864" s="105"/>
      <c r="Z864" s="105"/>
      <c r="AA864" s="105"/>
      <c r="AB864" s="105"/>
      <c r="AC864" s="105"/>
      <c r="AD864" s="105"/>
      <c r="AE864" s="105"/>
      <c r="AF864" s="105"/>
      <c r="AG864" s="105"/>
      <c r="AH864" s="105"/>
      <c r="AI864" s="105"/>
      <c r="AJ864" s="171"/>
      <c r="AK864" s="105"/>
      <c r="AL864" s="91"/>
      <c r="AM864" s="91"/>
      <c r="AN864" s="91"/>
      <c r="AO864" s="105"/>
      <c r="AP864" s="105"/>
      <c r="AQ864" s="105"/>
      <c r="AR864" s="105"/>
      <c r="AS864" s="105"/>
      <c r="AT864" s="105"/>
      <c r="AU864" s="105"/>
      <c r="AV864" s="105">
        <f>IF($AV$658&gt;0,'Assumptions (Wind)'!V12*Model!$AV$658*AVERAGE('Assumptions (Wind)'!$AS$2:$AT$2)/10^9,0)</f>
        <v>30.749588387223675</v>
      </c>
      <c r="AW864" s="105">
        <f>IF($AV$658&gt;0,'Assumptions (Wind)'!W12*Model!$AV$658*AVERAGE('Assumptions (Wind)'!$AS$2:$AT$2)/10^9,0)</f>
        <v>49.199341419557882</v>
      </c>
      <c r="AX864" s="105">
        <f>IF($AV$658&gt;0,'Assumptions (Wind)'!X12*Model!$AV$658*AVERAGE('Assumptions (Wind)'!$AS$2:$AT$2)/10^9,0)</f>
        <v>29.519604851734726</v>
      </c>
      <c r="AY864" s="105">
        <f>IF($AV$658&gt;0,'Assumptions (Wind)'!Y12*Model!$AV$658*AVERAGE('Assumptions (Wind)'!$AS$2:$AT$2)/10^9,0)</f>
        <v>17.711762911040836</v>
      </c>
      <c r="AZ864" s="105">
        <f>IF($AV$658&gt;0,'Assumptions (Wind)'!Z12*Model!$AV$658*AVERAGE('Assumptions (Wind)'!$AS$2:$AT$2)/10^9,0)</f>
        <v>17.711762911040836</v>
      </c>
      <c r="BA864" s="105">
        <f>IF($AV$658&gt;0,'Assumptions (Wind)'!AA12*Model!$AV$658*AVERAGE('Assumptions (Wind)'!$AS$2:$AT$2)/10^9,0)</f>
        <v>8.8558814555204179</v>
      </c>
      <c r="BB864" s="105"/>
      <c r="BC864" s="105"/>
      <c r="BD864" s="105"/>
      <c r="BE864" s="105"/>
      <c r="BF864" s="105"/>
      <c r="BG864" s="105"/>
      <c r="BH864" s="105"/>
      <c r="BI864" s="105"/>
      <c r="BJ864" s="105"/>
      <c r="BK864" s="105"/>
      <c r="BL864" s="105"/>
      <c r="BM864" s="105"/>
      <c r="BN864" s="105"/>
      <c r="BO864" s="105"/>
      <c r="BP864" s="105"/>
      <c r="BQ864" s="105"/>
      <c r="BR864" s="105"/>
      <c r="BS864" s="105"/>
      <c r="BT864" s="105"/>
      <c r="BU864" s="86"/>
    </row>
    <row r="865" spans="1:73" ht="15.75" hidden="1" customHeight="1" outlineLevel="1">
      <c r="A865" s="395"/>
      <c r="B865" s="99"/>
      <c r="C865" s="99"/>
      <c r="D865" s="99"/>
      <c r="E865" s="99"/>
      <c r="F865" s="99"/>
      <c r="G865" s="99"/>
      <c r="H865" s="99"/>
      <c r="I865" s="99"/>
      <c r="J865" s="99"/>
      <c r="K865" s="99"/>
      <c r="L865" s="99"/>
      <c r="M865" s="99"/>
      <c r="N865" s="99"/>
      <c r="O865" s="99"/>
      <c r="P865" s="99"/>
      <c r="Q865" s="99"/>
      <c r="R865" s="99"/>
      <c r="S865" s="99"/>
      <c r="T865" s="99"/>
      <c r="U865" s="99"/>
      <c r="V865" s="99"/>
      <c r="W865" s="105"/>
      <c r="X865" s="105"/>
      <c r="Y865" s="105"/>
      <c r="Z865" s="105"/>
      <c r="AA865" s="105"/>
      <c r="AB865" s="105"/>
      <c r="AC865" s="105"/>
      <c r="AD865" s="105"/>
      <c r="AE865" s="105"/>
      <c r="AF865" s="105"/>
      <c r="AG865" s="105"/>
      <c r="AH865" s="105"/>
      <c r="AI865" s="105"/>
      <c r="AJ865" s="171"/>
      <c r="AK865" s="105"/>
      <c r="AL865" s="91"/>
      <c r="AM865" s="91"/>
      <c r="AN865" s="91"/>
      <c r="AO865" s="105"/>
      <c r="AP865" s="105"/>
      <c r="AQ865" s="105"/>
      <c r="AR865" s="105"/>
      <c r="AS865" s="105"/>
      <c r="AT865" s="105"/>
      <c r="AU865" s="105"/>
      <c r="AV865" s="105"/>
      <c r="AW865" s="105">
        <f>IF($AW$658&gt;0,'Assumptions (Wind)'!V12*Model!$AW$658*AVERAGE('Assumptions (Wind)'!$AT$2:$AU$2)/10^9,0)</f>
        <v>33.534735377482697</v>
      </c>
      <c r="AX865" s="105">
        <f>IF($AW$658&gt;0,'Assumptions (Wind)'!W12*Model!$AW$658*AVERAGE('Assumptions (Wind)'!$AT$2:$AU$2)/10^9,0)</f>
        <v>53.655576603972314</v>
      </c>
      <c r="AY865" s="105">
        <f>IF($AW$658&gt;0,'Assumptions (Wind)'!X12*Model!$AW$658*AVERAGE('Assumptions (Wind)'!$AT$2:$AU$2)/10^9,0)</f>
        <v>32.19334596238339</v>
      </c>
      <c r="AZ865" s="105">
        <f>IF($AW$658&gt;0,'Assumptions (Wind)'!Y12*Model!$AW$658*AVERAGE('Assumptions (Wind)'!$AT$2:$AU$2)/10^9,0)</f>
        <v>19.316007577430032</v>
      </c>
      <c r="BA865" s="105">
        <f>IF($AW$658&gt;0,'Assumptions (Wind)'!Z12*Model!$AW$658*AVERAGE('Assumptions (Wind)'!$AT$2:$AU$2)/10^9,0)</f>
        <v>19.316007577430032</v>
      </c>
      <c r="BB865" s="105">
        <f>IF($AW$658&gt;0,'Assumptions (Wind)'!AA12*Model!$AW$658*AVERAGE('Assumptions (Wind)'!$AT$2:$AU$2)/10^9,0)</f>
        <v>9.6580037887150159</v>
      </c>
      <c r="BC865" s="105"/>
      <c r="BD865" s="105"/>
      <c r="BE865" s="105"/>
      <c r="BF865" s="105"/>
      <c r="BG865" s="105"/>
      <c r="BH865" s="105"/>
      <c r="BI865" s="105"/>
      <c r="BJ865" s="105"/>
      <c r="BK865" s="105"/>
      <c r="BL865" s="105"/>
      <c r="BM865" s="105"/>
      <c r="BN865" s="105"/>
      <c r="BO865" s="105"/>
      <c r="BP865" s="105"/>
      <c r="BQ865" s="105"/>
      <c r="BR865" s="105"/>
      <c r="BS865" s="105"/>
      <c r="BT865" s="105"/>
      <c r="BU865" s="105"/>
    </row>
    <row r="866" spans="1:73" ht="15.75" hidden="1" customHeight="1" outlineLevel="1">
      <c r="A866" s="395"/>
      <c r="B866" s="99"/>
      <c r="C866" s="99"/>
      <c r="D866" s="99"/>
      <c r="E866" s="99"/>
      <c r="F866" s="99"/>
      <c r="G866" s="99"/>
      <c r="H866" s="99"/>
      <c r="I866" s="99"/>
      <c r="J866" s="99"/>
      <c r="K866" s="99"/>
      <c r="L866" s="99"/>
      <c r="M866" s="99"/>
      <c r="N866" s="99"/>
      <c r="O866" s="99"/>
      <c r="P866" s="99"/>
      <c r="Q866" s="99"/>
      <c r="R866" s="99"/>
      <c r="S866" s="99"/>
      <c r="T866" s="99"/>
      <c r="U866" s="99"/>
      <c r="V866" s="99"/>
      <c r="W866" s="105"/>
      <c r="X866" s="105"/>
      <c r="Y866" s="105"/>
      <c r="Z866" s="105"/>
      <c r="AA866" s="105"/>
      <c r="AB866" s="105"/>
      <c r="AC866" s="105"/>
      <c r="AD866" s="105"/>
      <c r="AE866" s="105"/>
      <c r="AF866" s="105"/>
      <c r="AG866" s="105"/>
      <c r="AH866" s="105"/>
      <c r="AI866" s="105"/>
      <c r="AJ866" s="171"/>
      <c r="AK866" s="105"/>
      <c r="AL866" s="91"/>
      <c r="AM866" s="91"/>
      <c r="AN866" s="91"/>
      <c r="AO866" s="105"/>
      <c r="AP866" s="105"/>
      <c r="AQ866" s="105"/>
      <c r="AR866" s="105"/>
      <c r="AS866" s="105"/>
      <c r="AT866" s="105"/>
      <c r="AU866" s="105"/>
      <c r="AV866" s="105"/>
      <c r="AW866" s="105"/>
      <c r="AX866" s="105">
        <f>IF($AX$658&gt;0,'Assumptions (Wind)'!V12*Model!$AX$658*AVERAGE('Assumptions (Wind)'!$AU$2:$AV$2)/10^9,0)</f>
        <v>36.052331777188357</v>
      </c>
      <c r="AY866" s="105">
        <f>IF($AX$658&gt;0,'Assumptions (Wind)'!W12*Model!$AX$658*AVERAGE('Assumptions (Wind)'!$AU$2:$AV$2)/10^9,0)</f>
        <v>57.683730843501365</v>
      </c>
      <c r="AZ866" s="105">
        <f>IF($AX$658&gt;0,'Assumptions (Wind)'!X12*Model!$AX$658*AVERAGE('Assumptions (Wind)'!$AU$2:$AV$2)/10^9,0)</f>
        <v>34.610238506100821</v>
      </c>
      <c r="BA866" s="105">
        <f>IF($AX$658&gt;0,'Assumptions (Wind)'!Y12*Model!$AX$658*AVERAGE('Assumptions (Wind)'!$AU$2:$AV$2)/10^9,0)</f>
        <v>20.766143103660493</v>
      </c>
      <c r="BB866" s="105">
        <f>IF($AX$658&gt;0,'Assumptions (Wind)'!Z12*Model!$AX$658*AVERAGE('Assumptions (Wind)'!$AU$2:$AV$2)/10^9,0)</f>
        <v>20.766143103660493</v>
      </c>
      <c r="BC866" s="105">
        <f>IF($AX$658&gt;0,'Assumptions (Wind)'!AA12*Model!$AX$658*AVERAGE('Assumptions (Wind)'!$AU$2:$AV$2)/10^9,0)</f>
        <v>10.383071551830247</v>
      </c>
      <c r="BD866" s="105"/>
      <c r="BE866" s="105"/>
      <c r="BF866" s="105"/>
      <c r="BG866" s="105"/>
      <c r="BH866" s="105"/>
      <c r="BI866" s="105"/>
      <c r="BJ866" s="105"/>
      <c r="BK866" s="105"/>
      <c r="BL866" s="105"/>
      <c r="BM866" s="105"/>
      <c r="BN866" s="105"/>
      <c r="BO866" s="105"/>
      <c r="BP866" s="105"/>
      <c r="BQ866" s="105"/>
      <c r="BR866" s="105"/>
      <c r="BS866" s="105"/>
      <c r="BT866" s="105"/>
      <c r="BU866" s="105"/>
    </row>
    <row r="867" spans="1:73" ht="15.75" hidden="1" customHeight="1" outlineLevel="1">
      <c r="A867" s="395"/>
      <c r="B867" s="99"/>
      <c r="C867" s="99"/>
      <c r="D867" s="99"/>
      <c r="E867" s="99"/>
      <c r="F867" s="99"/>
      <c r="G867" s="99"/>
      <c r="H867" s="99"/>
      <c r="I867" s="99"/>
      <c r="J867" s="99"/>
      <c r="K867" s="99"/>
      <c r="L867" s="99"/>
      <c r="M867" s="99"/>
      <c r="N867" s="99"/>
      <c r="O867" s="99"/>
      <c r="P867" s="99"/>
      <c r="Q867" s="99"/>
      <c r="R867" s="99"/>
      <c r="S867" s="99"/>
      <c r="T867" s="99"/>
      <c r="U867" s="99"/>
      <c r="V867" s="99"/>
      <c r="W867" s="105"/>
      <c r="X867" s="105"/>
      <c r="Y867" s="105"/>
      <c r="Z867" s="105"/>
      <c r="AA867" s="105"/>
      <c r="AB867" s="105"/>
      <c r="AC867" s="105"/>
      <c r="AD867" s="105"/>
      <c r="AE867" s="105"/>
      <c r="AF867" s="105"/>
      <c r="AG867" s="105"/>
      <c r="AH867" s="105"/>
      <c r="AI867" s="105"/>
      <c r="AJ867" s="171"/>
      <c r="AK867" s="105"/>
      <c r="AL867" s="91"/>
      <c r="AM867" s="91"/>
      <c r="AN867" s="91"/>
      <c r="AO867" s="105"/>
      <c r="AP867" s="105"/>
      <c r="AQ867" s="105"/>
      <c r="AR867" s="105"/>
      <c r="AS867" s="105"/>
      <c r="AT867" s="105"/>
      <c r="AU867" s="105"/>
      <c r="AV867" s="105"/>
      <c r="AW867" s="105"/>
      <c r="AX867" s="105"/>
      <c r="AY867" s="105">
        <f>IF($AY$658&gt;0,'Assumptions (Wind)'!V12*Model!$AY$658*AVERAGE('Assumptions (Wind)'!$AV$2:$AW$2)/10^9,0)</f>
        <v>37.066935455040614</v>
      </c>
      <c r="AZ867" s="105">
        <f>IF($AY$658&gt;0,'Assumptions (Wind)'!W12*Model!$AY$658*AVERAGE('Assumptions (Wind)'!$AV$2:$AW$2)/10^9,0)</f>
        <v>59.30709672806497</v>
      </c>
      <c r="BA867" s="105">
        <f>IF($AY$658&gt;0,'Assumptions (Wind)'!X12*Model!$AY$658*AVERAGE('Assumptions (Wind)'!$AV$2:$AW$2)/10^9,0)</f>
        <v>35.584258036838989</v>
      </c>
      <c r="BB867" s="105">
        <f>IF($AY$658&gt;0,'Assumptions (Wind)'!Y12*Model!$AY$658*AVERAGE('Assumptions (Wind)'!$AV$2:$AW$2)/10^9,0)</f>
        <v>21.350554822103391</v>
      </c>
      <c r="BC867" s="105">
        <f>IF($AY$658&gt;0,'Assumptions (Wind)'!Z12*Model!$AY$658*AVERAGE('Assumptions (Wind)'!$AV$2:$AW$2)/10^9,0)</f>
        <v>21.350554822103391</v>
      </c>
      <c r="BD867" s="105">
        <f>IF($AY$658&gt;0,'Assumptions (Wind)'!AA12*Model!$AY$658*AVERAGE('Assumptions (Wind)'!$AV$2:$AW$2)/10^9,0)</f>
        <v>10.675277411051695</v>
      </c>
      <c r="BE867" s="105"/>
      <c r="BF867" s="105"/>
      <c r="BG867" s="105"/>
      <c r="BH867" s="105"/>
      <c r="BI867" s="105"/>
      <c r="BJ867" s="105"/>
      <c r="BK867" s="105"/>
      <c r="BL867" s="105"/>
      <c r="BM867" s="105"/>
      <c r="BN867" s="105"/>
      <c r="BO867" s="105"/>
      <c r="BP867" s="105"/>
      <c r="BQ867" s="105"/>
      <c r="BR867" s="105"/>
      <c r="BS867" s="105"/>
      <c r="BT867" s="105"/>
      <c r="BU867" s="105"/>
    </row>
    <row r="868" spans="1:73" ht="15.75" hidden="1" customHeight="1" outlineLevel="1">
      <c r="A868" s="395"/>
      <c r="B868" s="99"/>
      <c r="C868" s="99"/>
      <c r="D868" s="99"/>
      <c r="E868" s="99"/>
      <c r="F868" s="99"/>
      <c r="G868" s="99"/>
      <c r="H868" s="99"/>
      <c r="I868" s="99"/>
      <c r="J868" s="99"/>
      <c r="K868" s="99"/>
      <c r="L868" s="99"/>
      <c r="M868" s="99"/>
      <c r="N868" s="99"/>
      <c r="O868" s="99"/>
      <c r="P868" s="99"/>
      <c r="Q868" s="99"/>
      <c r="R868" s="99"/>
      <c r="S868" s="99"/>
      <c r="T868" s="99"/>
      <c r="U868" s="99"/>
      <c r="V868" s="99"/>
      <c r="W868" s="105"/>
      <c r="X868" s="105"/>
      <c r="Y868" s="105"/>
      <c r="Z868" s="105"/>
      <c r="AA868" s="105"/>
      <c r="AB868" s="105"/>
      <c r="AC868" s="105"/>
      <c r="AD868" s="105"/>
      <c r="AE868" s="105"/>
      <c r="AF868" s="105"/>
      <c r="AG868" s="105"/>
      <c r="AH868" s="105"/>
      <c r="AI868" s="105"/>
      <c r="AJ868" s="171"/>
      <c r="AK868" s="105"/>
      <c r="AL868" s="91"/>
      <c r="AM868" s="91"/>
      <c r="AN868" s="91"/>
      <c r="AO868" s="105"/>
      <c r="AP868" s="105"/>
      <c r="AQ868" s="105"/>
      <c r="AR868" s="105"/>
      <c r="AS868" s="105"/>
      <c r="AT868" s="105"/>
      <c r="AU868" s="105"/>
      <c r="AV868" s="105"/>
      <c r="AW868" s="105"/>
      <c r="AX868" s="105"/>
      <c r="AY868" s="105"/>
      <c r="AZ868" s="105">
        <f>IF($AZ$658&gt;0,'Assumptions (Wind)'!V12*Model!$AZ$658*AVERAGE('Assumptions (Wind)'!$AW$2:$AX$2)/10^9,0)</f>
        <v>36.416370171354373</v>
      </c>
      <c r="BA868" s="105">
        <f>IF($AZ$658&gt;0,'Assumptions (Wind)'!W12*Model!$AZ$658*AVERAGE('Assumptions (Wind)'!$AW$2:$AX$2)/10^9,0)</f>
        <v>58.266192274166983</v>
      </c>
      <c r="BB868" s="105">
        <f>IF($AZ$658&gt;0,'Assumptions (Wind)'!X12*Model!$AZ$658*AVERAGE('Assumptions (Wind)'!$AW$2:$AX$2)/10^9,0)</f>
        <v>34.959715364500198</v>
      </c>
      <c r="BC868" s="105">
        <f>IF($AZ$658&gt;0,'Assumptions (Wind)'!Y12*Model!$AZ$658*AVERAGE('Assumptions (Wind)'!$AW$2:$AX$2)/10^9,0)</f>
        <v>20.975829218700117</v>
      </c>
      <c r="BD868" s="105">
        <f>IF($AZ$658&gt;0,'Assumptions (Wind)'!Z12*Model!$AZ$658*AVERAGE('Assumptions (Wind)'!$AW$2:$AX$2)/10^9,0)</f>
        <v>20.975829218700117</v>
      </c>
      <c r="BE868" s="105">
        <f>IF($AZ$658&gt;0,'Assumptions (Wind)'!AA12*Model!$AZ$658*AVERAGE('Assumptions (Wind)'!$AW$2:$AX$2)/10^9,0)</f>
        <v>10.487914609350058</v>
      </c>
      <c r="BF868" s="105"/>
      <c r="BG868" s="105"/>
      <c r="BH868" s="105"/>
      <c r="BI868" s="105"/>
      <c r="BJ868" s="105"/>
      <c r="BK868" s="105"/>
      <c r="BL868" s="105"/>
      <c r="BM868" s="105"/>
      <c r="BN868" s="105"/>
      <c r="BO868" s="105"/>
      <c r="BP868" s="105"/>
      <c r="BQ868" s="105"/>
      <c r="BR868" s="105"/>
      <c r="BS868" s="105"/>
      <c r="BT868" s="105"/>
      <c r="BU868" s="105"/>
    </row>
    <row r="869" spans="1:73" ht="15.75" hidden="1" customHeight="1" outlineLevel="1">
      <c r="A869" s="395"/>
      <c r="B869" s="99"/>
      <c r="C869" s="99"/>
      <c r="D869" s="99"/>
      <c r="E869" s="99"/>
      <c r="F869" s="99"/>
      <c r="G869" s="99"/>
      <c r="H869" s="99"/>
      <c r="I869" s="99"/>
      <c r="J869" s="99"/>
      <c r="K869" s="99"/>
      <c r="L869" s="99"/>
      <c r="M869" s="99"/>
      <c r="N869" s="99"/>
      <c r="O869" s="99"/>
      <c r="P869" s="99"/>
      <c r="Q869" s="99"/>
      <c r="R869" s="99"/>
      <c r="S869" s="99"/>
      <c r="T869" s="99"/>
      <c r="U869" s="99"/>
      <c r="V869" s="99"/>
      <c r="W869" s="105"/>
      <c r="X869" s="105"/>
      <c r="Y869" s="105"/>
      <c r="Z869" s="105"/>
      <c r="AA869" s="105"/>
      <c r="AB869" s="105"/>
      <c r="AC869" s="105"/>
      <c r="AD869" s="105"/>
      <c r="AE869" s="105"/>
      <c r="AF869" s="105"/>
      <c r="AG869" s="105"/>
      <c r="AH869" s="105"/>
      <c r="AI869" s="105"/>
      <c r="AJ869" s="171"/>
      <c r="AK869" s="105"/>
      <c r="AL869" s="91"/>
      <c r="AM869" s="91"/>
      <c r="AN869" s="91"/>
      <c r="AO869" s="105"/>
      <c r="AP869" s="105"/>
      <c r="AQ869" s="105"/>
      <c r="AR869" s="105"/>
      <c r="AS869" s="105"/>
      <c r="AT869" s="105"/>
      <c r="AU869" s="105"/>
      <c r="AV869" s="105"/>
      <c r="AW869" s="105"/>
      <c r="AX869" s="105"/>
      <c r="AY869" s="105"/>
      <c r="AZ869" s="105"/>
      <c r="BA869" s="105">
        <f>IF($BA$658&gt;0,'Assumptions (Wind)'!V12*Model!$BA$658*AVERAGE('Assumptions (Wind)'!$AX$2:$AY$2)/10^9,0)</f>
        <v>34.159701959011706</v>
      </c>
      <c r="BB869" s="105">
        <f>IF($BA$658&gt;0,'Assumptions (Wind)'!W12*Model!$BA$658*AVERAGE('Assumptions (Wind)'!$AX$2:$AY$2)/10^9,0)</f>
        <v>54.655523134418729</v>
      </c>
      <c r="BC869" s="105">
        <f>IF($BA$658&gt;0,'Assumptions (Wind)'!X12*Model!$BA$658*AVERAGE('Assumptions (Wind)'!$AX$2:$AY$2)/10^9,0)</f>
        <v>32.79331388065124</v>
      </c>
      <c r="BD869" s="105">
        <f>IF($BA$658&gt;0,'Assumptions (Wind)'!Y12*Model!$BA$658*AVERAGE('Assumptions (Wind)'!$AX$2:$AY$2)/10^9,0)</f>
        <v>19.675988328390744</v>
      </c>
      <c r="BE869" s="105">
        <f>IF($BA$658&gt;0,'Assumptions (Wind)'!Z12*Model!$BA$658*AVERAGE('Assumptions (Wind)'!$AX$2:$AY$2)/10^9,0)</f>
        <v>19.675988328390744</v>
      </c>
      <c r="BF869" s="105">
        <f>IF($BA$658&gt;0,'Assumptions (Wind)'!AA12*Model!$BA$658*AVERAGE('Assumptions (Wind)'!$AX$2:$AY$2)/10^9,0)</f>
        <v>9.8379941641953721</v>
      </c>
      <c r="BG869" s="105"/>
      <c r="BH869" s="105"/>
      <c r="BI869" s="105"/>
      <c r="BJ869" s="105"/>
      <c r="BK869" s="105"/>
      <c r="BL869" s="105"/>
      <c r="BM869" s="105"/>
      <c r="BN869" s="105"/>
      <c r="BO869" s="105"/>
      <c r="BP869" s="105"/>
      <c r="BQ869" s="105"/>
      <c r="BR869" s="105"/>
      <c r="BS869" s="105"/>
      <c r="BT869" s="105"/>
      <c r="BU869" s="105"/>
    </row>
    <row r="870" spans="1:73" ht="15.75" customHeight="1" collapsed="1">
      <c r="A870" s="395" t="s">
        <v>62</v>
      </c>
      <c r="B870" s="99" t="s">
        <v>201</v>
      </c>
      <c r="C870" s="105">
        <f>IF(Model!C656+Model!C657-Model!C655-C818+C766&gt;0,(1-'Assumptions (Wind)'!B24)*(Model!C656+Model!C657-Model!C655-C818+C766)+C818-C713+C714,Model!C656+Model!C657-Model!C655+C766-C713+C714)</f>
        <v>-1.1682873333491446</v>
      </c>
      <c r="D870" s="105">
        <f>IF(Model!D656+Model!D657-Model!D655-D818+D766&gt;0,(1-'Assumptions (Wind)'!C24)*(Model!D656+Model!D657-Model!D655-D818+D766)+D818-D713+D714,Model!D656+Model!D657-Model!D655+D766-D713+D714)</f>
        <v>-0.73650393140169723</v>
      </c>
      <c r="E870" s="105">
        <f>IF(Model!E656+Model!E657-Model!E655-E818+E766&gt;0,(1-'Assumptions (Wind)'!D24)*(Model!E656+Model!E657-Model!E655-E818+E766)+E818-E713+E714,Model!E656+Model!E657-Model!E655+E766-E713+E714)</f>
        <v>-0.58705612200344626</v>
      </c>
      <c r="F870" s="105">
        <f>IF(Model!F656+Model!F657-Model!F655-F818+F766&gt;0,(1-'Assumptions (Wind)'!E24)*(Model!F656+Model!F657-Model!F655-F818+F766)+F818-F713+F714,Model!F656+Model!F657-Model!F655+F766-F713+F714)</f>
        <v>-0.89290948716644791</v>
      </c>
      <c r="G870" s="105">
        <f>IF(Model!G656+Model!G657-Model!G655-G818+G766&gt;0,(1-'Assumptions (Wind)'!F24)*(Model!G656+Model!G657-Model!G655-G818+G766)+G818-G713+G714,Model!G656+Model!G657-Model!G655+G766-G713+G714)</f>
        <v>-1.4834108432664883</v>
      </c>
      <c r="H870" s="105">
        <f>IF(Model!H656+Model!H657-Model!H655-H818+H766&gt;0,(1-'Assumptions (Wind)'!G24)*(Model!H656+Model!H657-Model!H655-H818+H766)+H818-H713+H714,Model!H656+Model!H657-Model!H655+H766-H713+H714)</f>
        <v>-2.4317569569743407</v>
      </c>
      <c r="I870" s="105">
        <f>IF(Model!I656+Model!I657-Model!I655-I818+I766&gt;0,(1-'Assumptions (Wind)'!H24)*(Model!I656+Model!I657-Model!I655-I818+I766)+I818-I713+I714,Model!I656+Model!I657-Model!I655+I766-I713+I714)</f>
        <v>-4.3981628768366372</v>
      </c>
      <c r="J870" s="105">
        <f>IF(Model!J656+Model!J657-Model!J655-J818+J766&gt;0,(1-'Assumptions (Wind)'!I24)*(Model!J656+Model!J657-Model!J655-J818+J766)+J818-J713+J714,Model!J656+Model!J657-Model!J655+J766-J713+J714)</f>
        <v>-5.8365032967467378</v>
      </c>
      <c r="K870" s="105">
        <f>IF(Model!K656+Model!K657-Model!K655-K818+K766&gt;0,(1-'Assumptions (Wind)'!J24)*(Model!K656+Model!K657-Model!K655-K818+K766)+K818-K713+K714,Model!K656+Model!K657-Model!K655+K766-K713+K714)</f>
        <v>-3.3129855958602583</v>
      </c>
      <c r="L870" s="105">
        <f>IF(Model!L656+Model!L657-Model!L655-L818+L766&gt;0,(1-'Assumptions (Wind)'!K24)*(Model!L656+Model!L657-Model!L655-L818+L766)+L818-L713+L714,Model!L656+Model!L657-Model!L655+L766-L713+L714)</f>
        <v>-4.0696135508013587</v>
      </c>
      <c r="M870" s="105">
        <f>IF(Model!M656+Model!M657-Model!M655-M818+M766&gt;0,(1-'Assumptions (Wind)'!L24)*(Model!M656+Model!M657-Model!M655-M818+M766)+M818-M713+M714,Model!M656+Model!M657-Model!M655+M766-M713+M714)</f>
        <v>-6.4466427384631109</v>
      </c>
      <c r="N870" s="105">
        <f>IF(Model!N656+Model!N657-Model!N655-N818+N766&gt;0,(1-'Assumptions (Wind)'!M24)*(Model!N656+Model!N657-Model!N655-N818+N766)+N818-N713+N714,Model!N656+Model!N657-Model!N655+N766-N713+N714)</f>
        <v>-3.7348984516676769</v>
      </c>
      <c r="O870" s="105">
        <f>IF(Model!O656+Model!O657-Model!O655-O818+O766&gt;0,(1-'Assumptions (Wind)'!N24)*(Model!O656+Model!O657-Model!O655-O818+O766)+O818-O713+O714,Model!O656+Model!O657-Model!O655+O766-O713+O714)</f>
        <v>-3.0163950442280649</v>
      </c>
      <c r="P870" s="105">
        <f>IF(Model!P656+Model!P657-Model!P655-P818+P766&gt;0,(1-'Assumptions (Wind)'!O24)*(Model!P656+Model!P657-Model!P655-P818+P766)+P818-P713+P714,Model!P656+Model!P657-Model!P655+P766-P713+P714)</f>
        <v>-2.9082021358295913</v>
      </c>
      <c r="Q870" s="105">
        <f>IF(Model!Q656+Model!Q657-Model!Q655-Q818+Q766&gt;0,(1-'Assumptions (Wind)'!P24)*(Model!Q656+Model!Q657-Model!Q655-Q818+Q766)+Q818-Q713+Q714,Model!Q656+Model!Q657-Model!Q655+Q766-Q713+Q714)</f>
        <v>-3.0678346487576933</v>
      </c>
      <c r="R870" s="105">
        <f>IF(Model!R656+Model!R657-Model!R655-R818+R766&gt;0,(1-'Assumptions (Wind)'!Q24)*(Model!R656+Model!R657-Model!R655-R818+R766)+R818-R713+R714,Model!R656+Model!R657-Model!R655+R766-R713+R714)</f>
        <v>-5.1784851600244659</v>
      </c>
      <c r="S870" s="105">
        <f>IF(Model!S656+Model!S657-Model!S655-S818+S766&gt;0,(1-'Assumptions (Wind)'!R24)*(Model!S656+Model!S657-Model!S655-S818+S766)+S818-S713+S714,Model!S656+Model!S657-Model!S655+S766-S713+S714)</f>
        <v>-2.5390412638880511</v>
      </c>
      <c r="T870" s="105">
        <f>IF(Model!T656+Model!T657-Model!T655-T818+T766&gt;0,(1-'Assumptions (Wind)'!S24)*(Model!T656+Model!T657-Model!T655-T818+T766)+T818-T713+T714,Model!T656+Model!T657-Model!T655+T766-T713+T714)</f>
        <v>-2.980293734883805</v>
      </c>
      <c r="U870" s="105">
        <f>IF(Model!U656+Model!U657-Model!U655-U818+U766&gt;0,(1-'Assumptions (Wind)'!T24)*(Model!U656+Model!U657-Model!U655-U818+U766)+U818-U713+U714,Model!U656+Model!U657-Model!U655+U766-U713+U714)</f>
        <v>-4.5742955507468785</v>
      </c>
      <c r="V870" s="105">
        <f>IF(Model!V656+Model!V657-Model!V655-V818+V766&gt;0,(1-'Assumptions (Wind)'!U24)*(Model!V656+Model!V657-Model!V655-V818+V766)+V818-V713+V714,Model!V656+Model!V657-Model!V655+V766-V713+V714)</f>
        <v>-18.717350053036512</v>
      </c>
      <c r="W870" s="105">
        <f>IF(Model!W656+Model!W657-Model!W655-W818+W766&gt;0,(1-'Assumptions (Wind)'!V24)*(Model!W656+Model!W657-Model!W655-W818+W766)+W818-W713+W714,Model!W656+Model!W657-Model!W655+W766-W713+W714)</f>
        <v>-29.804318349099738</v>
      </c>
      <c r="X870" s="105">
        <f>IF(Model!X656+Model!X657-Model!X655-X818+X766&gt;0,(1-'Assumptions (Wind)'!W24)*(Model!X656+Model!X657-Model!X655-X818+X766)+X818-X713+X714,Model!X656+Model!X657-Model!X655+X766-X713+X714)</f>
        <v>-39.297449901538705</v>
      </c>
      <c r="Y870" s="105">
        <f>IF(Model!Y656+Model!Y657-Model!Y655-Y818+Y766&gt;0,(1-'Assumptions (Wind)'!X24)*(Model!Y656+Model!Y657-Model!Y655-Y818+Y766)+Y818-Y713+Y714,Model!Y656+Model!Y657-Model!Y655+Y766-Y713+Y714)</f>
        <v>-48.139167663152989</v>
      </c>
      <c r="Z870" s="105">
        <f>IF(Model!Z656+Model!Z657-Model!Z655-Z818+Z766&gt;0,(1-'Assumptions (Wind)'!Y24)*(Model!Z656+Model!Z657-Model!Z655-Z818+Z766)+Z818-Z713+Z714,Model!Z656+Model!Z657-Model!Z655+Z766-Z713+Z714)</f>
        <v>-58.925847148184303</v>
      </c>
      <c r="AA870" s="105">
        <f>IF(Model!AA656+Model!AA657-Model!AA655-AA818+AA766&gt;0,(1-'Assumptions (Wind)'!Z24)*(Model!AA656+Model!AA657-Model!AA655-AA818+AA766)+AA818-AA713+AA714,Model!AA656+Model!AA657-Model!AA655+AA766-AA713+AA714)</f>
        <v>-69.289667693281046</v>
      </c>
      <c r="AB870" s="105">
        <f>IF(Model!AB656+Model!AB657-Model!AB655-AB818+AB766&gt;0,(1-'Assumptions (Wind)'!AA24)*(Model!AB656+Model!AB657-Model!AB655-AB818+AB766)+AB818-AB713+AB714,Model!AB656+Model!AB657-Model!AB655+AB766-AB713+AB714)</f>
        <v>-79.046713458572441</v>
      </c>
      <c r="AC870" s="105">
        <f>IF(Model!AC656+Model!AC657-Model!AC655-AC818+AC766&gt;0,(1-'Assumptions (Wind)'!AB24)*(Model!AC656+Model!AC657-Model!AC655-AC818+AC766)+AC818-AC713+AC714,Model!AC656+Model!AC657-Model!AC655+AC766-AC713+AC714)</f>
        <v>-89.366689618391504</v>
      </c>
      <c r="AD870" s="105">
        <f>IF(Model!AD656+Model!AD657-Model!AD655-AD818+AD766&gt;0,(1-'Assumptions (Wind)'!AC24)*(Model!AD656+Model!AD657-Model!AD655-AD818+AD766)+AD818-AD713+AD714,Model!AD656+Model!AD657-Model!AD655+AD766-AD713+AD714)</f>
        <v>-100.21291824816757</v>
      </c>
      <c r="AE870" s="105">
        <f>IF(Model!AE656+Model!AE657-Model!AE655-AE818+AE766&gt;0,(1-'Assumptions (Wind)'!AD24)*(Model!AE656+Model!AE657-Model!AE655-AE818+AE766)+AE818-AE713+AE714,Model!AE656+Model!AE657-Model!AE655+AE766-AE713+AE714)</f>
        <v>-111.4063842003097</v>
      </c>
      <c r="AF870" s="105">
        <f>IF(Model!AF656+Model!AF657-Model!AF655-AF818+AF766&gt;0,(1-'Assumptions (Wind)'!AE24)*(Model!AF656+Model!AF657-Model!AF655-AF818+AF766)+AF818-AF713+AF714,Model!AF656+Model!AF657-Model!AF655+AF766-AF713+AF714)</f>
        <v>-122.63411351517212</v>
      </c>
      <c r="AG870" s="105">
        <f>IF(Model!AG656+Model!AG657-Model!AG655-AG818+AG766&gt;0,(1-'Assumptions (Wind)'!AF24)*(Model!AG656+Model!AG657-Model!AG655-AG818+AG766)+AG818-AG713+AG714,Model!AG656+Model!AG657-Model!AG655+AG766-AG713+AG714)</f>
        <v>-133.04921112897335</v>
      </c>
      <c r="AH870" s="105">
        <f>IF(Model!AH656+Model!AH657-Model!AH655-AH818+AH766&gt;0,(1-'Assumptions (Wind)'!AG24)*(Model!AH656+Model!AH657-Model!AH655-AH818+AH766)+AH818-AH713+AH714,Model!AH656+Model!AH657-Model!AH655+AH766-AH713+AH714)</f>
        <v>-137.78656750262093</v>
      </c>
      <c r="AI870" s="105">
        <f>IF(Model!AI656+Model!AI657-Model!AI655-AI818+AI766&gt;0,(1-'Assumptions (Wind)'!AH24)*(Model!AI656+Model!AI657-Model!AI655-AI818+AI766)+AI818-AI713+AI714,Model!AI656+Model!AI657-Model!AI655+AI766-AI713+AI714)</f>
        <v>-142.77320957195221</v>
      </c>
      <c r="AJ870" s="105">
        <f>IF(Model!AJ656+Model!AJ657-Model!AJ655-AJ818+AJ766&gt;0,(1-'Assumptions (Wind)'!AI24)*(Model!AJ656+Model!AJ657-Model!AJ655-AJ818+AJ766)+AJ818-AJ713+AJ714,Model!AJ656+Model!AJ657-Model!AJ655+AJ766-AJ713+AJ714)</f>
        <v>-148.00140958097376</v>
      </c>
      <c r="AK870" s="105">
        <f>IF(Model!AK656+Model!AK657-Model!AK655-AK818+AK766&gt;0,(1-'Assumptions (Wind)'!AJ24)*(Model!AK656+Model!AK657-Model!AK655-AK818+AK766)+AK818-AK713+AK714,Model!AK656+Model!AK657-Model!AK655+AK766-AK713+AK714)</f>
        <v>-153.05885505335021</v>
      </c>
      <c r="AL870" s="105">
        <f>IF(Model!AL656+Model!AL657-Model!AL655-AL818+AL766&gt;0,(1-'Assumptions (Wind)'!AK24)*(Model!AL656+Model!AL657-Model!AL655-AL818+AL766)+AL818-AL713+AL714,Model!AL656+Model!AL657-Model!AL655+AL766-AL713+AL714)</f>
        <v>-158.70366263627253</v>
      </c>
      <c r="AM870" s="105">
        <f>IF(Model!AM656+Model!AM657-Model!AM655-AM818+AM766&gt;0,(1-'Assumptions (Wind)'!AL24)*(Model!AM656+Model!AM657-Model!AM655-AM818+AM766)+AM818-AM713+AM714,Model!AM656+Model!AM657-Model!AM655+AM766-AM713+AM714)</f>
        <v>-164.77428671844535</v>
      </c>
      <c r="AN870" s="105">
        <f>IF(Model!AN656+Model!AN657-Model!AN655-AN818+AN766&gt;0,(1-'Assumptions (Wind)'!AM24)*(Model!AN656+Model!AN657-Model!AN655-AN818+AN766)+AN818-AN713+AN714,Model!AN656+Model!AN657-Model!AN655+AN766-AN713+AN714)</f>
        <v>-171.85879142490762</v>
      </c>
      <c r="AO870" s="105">
        <f>IF(Model!AO656+Model!AO657-Model!AO655-AO818+AO766&gt;0,(1-'Assumptions (Wind)'!AN24)*(Model!AO656+Model!AO657-Model!AO655-AO818+AO766)+AO818-AO713+AO714,Model!AO656+Model!AO657-Model!AO655+AO766-AO713+AO714)</f>
        <v>-180.29435994396707</v>
      </c>
      <c r="AP870" s="105">
        <f>IF(Model!AP656+Model!AP657-Model!AP655-AP818+AP766&gt;0,(1-'Assumptions (Wind)'!AO24)*(Model!AP656+Model!AP657-Model!AP655-AP818+AP766)+AP818-AP713+AP714,Model!AP656+Model!AP657-Model!AP655+AP766-AP713+AP714)</f>
        <v>-188.95804327757571</v>
      </c>
      <c r="AQ870" s="105">
        <f>IF(Model!AQ656+Model!AQ657-Model!AQ655-AQ818+AQ766&gt;0,(1-'Assumptions (Wind)'!AP24)*(Model!AQ656+Model!AQ657-Model!AQ655-AQ818+AQ766)+AQ818-AQ713+AQ714,Model!AQ656+Model!AQ657-Model!AQ655+AQ766-AQ713+AQ714)</f>
        <v>-194.5533209642723</v>
      </c>
      <c r="AR870" s="105">
        <f>IF(Model!AR656+Model!AR657-Model!AR655-AR818+AR766&gt;0,(1-'Assumptions (Wind)'!AQ24)*(Model!AR656+Model!AR657-Model!AR655-AR818+AR766)+AR818-AR713+AR714,Model!AR656+Model!AR657-Model!AR655+AR766-AR713+AR714)</f>
        <v>-200.83003237431635</v>
      </c>
      <c r="AS870" s="105">
        <f>IF(Model!AS656+Model!AS657-Model!AS655-AS818+AS766&gt;0,(1-'Assumptions (Wind)'!AR24)*(Model!AS656+Model!AS657-Model!AS655-AS818+AS766)+AS818-AS713+AS714,Model!AS656+Model!AS657-Model!AS655+AS766-AS713+AS714)</f>
        <v>-212.09877681450604</v>
      </c>
      <c r="AT870" s="105">
        <f>IF(Model!AT656+Model!AT657-Model!AT655-AT818+AT766&gt;0,(1-'Assumptions (Wind)'!AS24)*(Model!AT656+Model!AT657-Model!AT655-AT818+AT766)+AT818-AT713+AT714,Model!AT656+Model!AT657-Model!AT655+AT766-AT713+AT714)</f>
        <v>-216.40087009315403</v>
      </c>
      <c r="AU870" s="105">
        <f>IF(Model!AU656+Model!AU657-Model!AU655-AU818+AU766&gt;0,(1-'Assumptions (Wind)'!AT24)*(Model!AU656+Model!AU657-Model!AU655-AU818+AU766)+AU818-AU713+AU714,Model!AU656+Model!AU657-Model!AU655+AU766-AU713+AU714)</f>
        <v>-221.0882481688142</v>
      </c>
      <c r="AV870" s="105">
        <f>IF(Model!AV656+Model!AV657-Model!AV655-AV818+AV766&gt;0,(1-'Assumptions (Wind)'!AU24)*(Model!AV656+Model!AV657-Model!AV655-AV818+AV766)+AV818-AV713+AV714,Model!AV656+Model!AV657-Model!AV655+AV766-AV713+AV714)</f>
        <v>-231.17362612166096</v>
      </c>
      <c r="AW870" s="105">
        <f>IF(Model!AW656+Model!AW657-Model!AW655-AW818+AW766&gt;0,(1-'Assumptions (Wind)'!AV24)*(Model!AW656+Model!AW657-Model!AW655-AW818+AW766)+AW818-AW713+AW714,Model!AW656+Model!AW657-Model!AW655+AW766-AW713+AW714)</f>
        <v>-241.02178967037543</v>
      </c>
      <c r="AX870" s="105">
        <f>IF(Model!AX656+Model!AX657-Model!AX655-AX818+AX766&gt;0,(1-'Assumptions (Wind)'!AW24)*(Model!AX656+Model!AX657-Model!AX655-AX818+AX766)+AX818-AX713+AX714,Model!AX656+Model!AX657-Model!AX655+AX766-AX713+AX714)</f>
        <v>-248.017177775882</v>
      </c>
      <c r="AY870" s="105">
        <f>IF(Model!AY656+Model!AY657-Model!AY655-AY818+AY766&gt;0,(1-'Assumptions (Wind)'!AX24)*(Model!AY656+Model!AY657-Model!AY655-AY818+AY766)+AY818-AY713+AY714,Model!AY656+Model!AY657-Model!AY655+AY766-AY713+AY714)</f>
        <v>-250.53657301505717</v>
      </c>
      <c r="AZ870" s="105">
        <f>IF(Model!AZ656+Model!AZ657-Model!AZ655-AZ818+AZ766&gt;0,(1-'Assumptions (Wind)'!AY24)*(Model!AZ656+Model!AZ657-Model!AZ655-AZ818+AZ766)+AZ818-AZ713+AZ714,Model!AZ656+Model!AZ657-Model!AZ655+AZ766-AZ713+AZ714)</f>
        <v>-219.65096265449097</v>
      </c>
      <c r="BA870" s="105">
        <f>IF(Model!BA656+Model!BA657-Model!BA655-BA818+BA766&gt;0,(1-'Assumptions (Wind)'!AZ24)*(Model!BA656+Model!BA657-Model!BA655-BA818+BA766)+BA818-BA713+BA714,Model!BA656+Model!BA657-Model!BA655+BA766-BA713+BA714)</f>
        <v>-189.13520258170303</v>
      </c>
    </row>
    <row r="871" spans="1:73" ht="15.75" customHeight="1">
      <c r="A871" s="395" t="s">
        <v>64</v>
      </c>
      <c r="B871" s="99" t="s">
        <v>201</v>
      </c>
      <c r="C871" s="105">
        <f>IF(Model!C656+Model!C657-Model!C655-C818+C766&gt;0,'Assumptions (Wind)'!B24*(Model!C656+Model!C657-Model!C655-C818+C766)-'Assumptions (Wind)'!B25*Model!C654/10^3,-'Assumptions (Wind)'!B25*Model!C654/10^3)</f>
        <v>4.0364825522493875E-2</v>
      </c>
      <c r="D871" s="105">
        <f>IF(Model!D656+Model!D657-Model!D655-D818+D766&gt;0,'Assumptions (Wind)'!C24*(Model!D656+Model!D657-Model!D655-D818+D766)-'Assumptions (Wind)'!C25*Model!D654/10^3,-'Assumptions (Wind)'!C25*Model!D654/10^3)</f>
        <v>-6.9107917963938378E-2</v>
      </c>
      <c r="E871" s="105">
        <f>IF(Model!E656+Model!E657-Model!E655-E818+E766&gt;0,'Assumptions (Wind)'!D24*(Model!E656+Model!E657-Model!E655-E818+E766)-'Assumptions (Wind)'!D25*Model!E654/10^3,-'Assumptions (Wind)'!D25*Model!E654/10^3)</f>
        <v>-0.10836530606164581</v>
      </c>
      <c r="F871" s="105">
        <f>IF(Model!F656+Model!F657-Model!F655-F818+F766&gt;0,'Assumptions (Wind)'!E24*(Model!F656+Model!F657-Model!F655-F818+F766)-'Assumptions (Wind)'!E25*Model!F654/10^3,-'Assumptions (Wind)'!E25*Model!F654/10^3)</f>
        <v>-0.11942877350139215</v>
      </c>
      <c r="G871" s="105">
        <f>IF(Model!G656+Model!G657-Model!G655-G818+G766&gt;0,'Assumptions (Wind)'!F24*(Model!G656+Model!G657-Model!G655-G818+G766)-'Assumptions (Wind)'!F25*Model!G654/10^3,-'Assumptions (Wind)'!F25*Model!G654/10^3)</f>
        <v>-0.1539474638440021</v>
      </c>
      <c r="H871" s="105">
        <f>IF(Model!H656+Model!H657-Model!H655-H818+H766&gt;0,'Assumptions (Wind)'!G24*(Model!H656+Model!H657-Model!H655-H818+H766)-'Assumptions (Wind)'!G25*Model!H654/10^3,-'Assumptions (Wind)'!G25*Model!H654/10^3)</f>
        <v>-0.19776061745491472</v>
      </c>
      <c r="I871" s="105">
        <f>IF(Model!I656+Model!I657-Model!I655-I818+I766&gt;0,'Assumptions (Wind)'!H24*(Model!I656+Model!I657-Model!I655-I818+I766)-'Assumptions (Wind)'!H25*Model!I654/10^3,-'Assumptions (Wind)'!H25*Model!I654/10^3)</f>
        <v>-0.30034942762554806</v>
      </c>
      <c r="J871" s="105">
        <f>IF(Model!J656+Model!J657-Model!J655-J818+J766&gt;0,'Assumptions (Wind)'!I24*(Model!J656+Model!J657-Model!J655-J818+J766)-'Assumptions (Wind)'!I25*Model!J654/10^3,-'Assumptions (Wind)'!I25*Model!J654/10^3)</f>
        <v>-0.39536781615797956</v>
      </c>
      <c r="K871" s="105">
        <f>IF(Model!K656+Model!K657-Model!K655-K818+K766&gt;0,'Assumptions (Wind)'!J24*(Model!K656+Model!K657-Model!K655-K818+K766)-'Assumptions (Wind)'!J25*Model!K654/10^3,-'Assumptions (Wind)'!J25*Model!K654/10^3)</f>
        <v>-0.64978855217766496</v>
      </c>
      <c r="L871" s="105">
        <f>IF(Model!L656+Model!L657-Model!L655-L818+L766&gt;0,'Assumptions (Wind)'!K24*(Model!L656+Model!L657-Model!L655-L818+L766)-'Assumptions (Wind)'!K25*Model!L654/10^3,-'Assumptions (Wind)'!K25*Model!L654/10^3)</f>
        <v>-0.88527952408891364</v>
      </c>
      <c r="M871" s="105">
        <f>IF(Model!M656+Model!M657-Model!M655-M818+M766&gt;0,'Assumptions (Wind)'!L24*(Model!M656+Model!M657-Model!M655-M818+M766)-'Assumptions (Wind)'!L25*Model!M654/10^3,-'Assumptions (Wind)'!L25*Model!M654/10^3)</f>
        <v>-1.1574777257438702</v>
      </c>
      <c r="N871" s="105">
        <f>IF(Model!N656+Model!N657-Model!N655-N818+N766&gt;0,'Assumptions (Wind)'!M24*(Model!N656+Model!N657-Model!N655-N818+N766)-'Assumptions (Wind)'!M25*Model!N654/10^3,-'Assumptions (Wind)'!M25*Model!N654/10^3)</f>
        <v>-1.4989290281367553</v>
      </c>
      <c r="O871" s="105">
        <f>IF(Model!O656+Model!O657-Model!O655-O818+O766&gt;0,'Assumptions (Wind)'!N24*(Model!O656+Model!O657-Model!O655-O818+O766)-'Assumptions (Wind)'!N25*Model!O654/10^3,-'Assumptions (Wind)'!N25*Model!O654/10^3)</f>
        <v>-1.7915369002588477</v>
      </c>
      <c r="P871" s="105">
        <f>IF(Model!P656+Model!P657-Model!P655-P818+P766&gt;0,'Assumptions (Wind)'!O24*(Model!P656+Model!P657-Model!P655-P818+P766)-'Assumptions (Wind)'!O25*Model!P654/10^3,-'Assumptions (Wind)'!O25*Model!P654/10^3)</f>
        <v>-2.1759718168966966</v>
      </c>
      <c r="Q871" s="105">
        <f>IF(Model!Q656+Model!Q657-Model!Q655-Q818+Q766&gt;0,'Assumptions (Wind)'!P24*(Model!Q656+Model!Q657-Model!Q655-Q818+Q766)-'Assumptions (Wind)'!P25*Model!Q654/10^3,-'Assumptions (Wind)'!P25*Model!Q654/10^3)</f>
        <v>-2.401806644709144</v>
      </c>
      <c r="R871" s="105">
        <f>IF(Model!R656+Model!R657-Model!R655-R818+R766&gt;0,'Assumptions (Wind)'!Q24*(Model!R656+Model!R657-Model!R655-R818+R766)-'Assumptions (Wind)'!Q25*Model!R654/10^3,-'Assumptions (Wind)'!Q25*Model!R654/10^3)</f>
        <v>-2.5719982791744993</v>
      </c>
      <c r="S871" s="105">
        <f>IF(Model!S656+Model!S657-Model!S655-S818+S766&gt;0,'Assumptions (Wind)'!R24*(Model!S656+Model!S657-Model!S655-S818+S766)-'Assumptions (Wind)'!R25*Model!S654/10^3,-'Assumptions (Wind)'!R25*Model!S654/10^3)</f>
        <v>-3.1883530518439138</v>
      </c>
      <c r="T871" s="105">
        <f>IF(Model!T656+Model!T657-Model!T655-T818+T766&gt;0,'Assumptions (Wind)'!S24*(Model!T656+Model!T657-Model!T655-T818+T766)-'Assumptions (Wind)'!S25*Model!T654/10^3,-'Assumptions (Wind)'!S25*Model!T654/10^3)</f>
        <v>-3.5199664749511874</v>
      </c>
      <c r="U871" s="105">
        <f>IF(Model!U656+Model!U657-Model!U655-U818+U766&gt;0,'Assumptions (Wind)'!T24*(Model!U656+Model!U657-Model!U655-U818+U766)-'Assumptions (Wind)'!T25*Model!U654/10^3,-'Assumptions (Wind)'!T25*Model!U654/10^3)</f>
        <v>-3.7539113179546324</v>
      </c>
      <c r="V871" s="105">
        <f>IF(Model!V656+Model!V657-Model!V655-V818+V766&gt;0,'Assumptions (Wind)'!U24*(Model!V656+Model!V657-Model!V655-V818+V766)-'Assumptions (Wind)'!U25*Model!V654/10^3,-'Assumptions (Wind)'!U25*Model!V654/10^3)</f>
        <v>-4.2453816784803919</v>
      </c>
      <c r="W871" s="105">
        <f>IF(Model!W656+Model!W657-Model!W655-W818+W766&gt;0,'Assumptions (Wind)'!V24*(Model!W656+Model!W657-Model!W655-W818+W766)-'Assumptions (Wind)'!V25*Model!W654/10^3,-'Assumptions (Wind)'!V25*Model!W654/10^3)</f>
        <v>-5.1096480937872464</v>
      </c>
      <c r="X871" s="105">
        <f>IF(Model!X656+Model!X657-Model!X655-X818+X766&gt;0,'Assumptions (Wind)'!W24*(Model!X656+Model!X657-Model!X655-X818+X766)-'Assumptions (Wind)'!W25*Model!X654/10^3,-'Assumptions (Wind)'!W25*Model!X654/10^3)</f>
        <v>-5.3337348625217667</v>
      </c>
      <c r="Y871" s="105">
        <f>IF(Model!Y656+Model!Y657-Model!Y655-Y818+Y766&gt;0,'Assumptions (Wind)'!X24*(Model!Y656+Model!Y657-Model!Y655-Y818+Y766)-'Assumptions (Wind)'!X25*Model!Y654/10^3,-'Assumptions (Wind)'!X25*Model!Y654/10^3)</f>
        <v>-5.4229275375444042</v>
      </c>
      <c r="Z871" s="105">
        <f>IF(Model!Z656+Model!Z657-Model!Z655-Z818+Z766&gt;0,'Assumptions (Wind)'!Y24*(Model!Z656+Model!Z657-Model!Z655-Z818+Z766)-'Assumptions (Wind)'!Y25*Model!Z654/10^3,-'Assumptions (Wind)'!Y25*Model!Z654/10^3)</f>
        <v>-5.5135544256229387</v>
      </c>
      <c r="AA871" s="105">
        <f>IF(Model!AA656+Model!AA657-Model!AA655-AA818+AA766&gt;0,'Assumptions (Wind)'!Z24*(Model!AA656+Model!AA657-Model!AA655-AA818+AA766)-'Assumptions (Wind)'!Z25*Model!AA654/10^3,-'Assumptions (Wind)'!Z25*Model!AA654/10^3)</f>
        <v>-5.6056372182095959</v>
      </c>
      <c r="AB871" s="105">
        <f>IF(Model!AB656+Model!AB657-Model!AB655-AB818+AB766&gt;0,'Assumptions (Wind)'!AA24*(Model!AB656+Model!AB657-Model!AB655-AB818+AB766)-'Assumptions (Wind)'!AA25*Model!AB654/10^3,-'Assumptions (Wind)'!AA25*Model!AB654/10^3)</f>
        <v>-5.6991979007294713</v>
      </c>
      <c r="AC871" s="105">
        <f>IF(Model!AC656+Model!AC657-Model!AC655-AC818+AC766&gt;0,'Assumptions (Wind)'!AB24*(Model!AC656+Model!AC657-Model!AC655-AC818+AC766)-'Assumptions (Wind)'!AB25*Model!AC654/10^3,-'Assumptions (Wind)'!AB25*Model!AC654/10^3)</f>
        <v>-5.7942587556628569</v>
      </c>
      <c r="AD871" s="105">
        <f>IF(Model!AD656+Model!AD657-Model!AD655-AD818+AD766&gt;0,'Assumptions (Wind)'!AC24*(Model!AD656+Model!AD657-Model!AD655-AD818+AD766)-'Assumptions (Wind)'!AC25*Model!AD654/10^3,-'Assumptions (Wind)'!AC25*Model!AD654/10^3)</f>
        <v>-5.8908423656332856</v>
      </c>
      <c r="AE871" s="105">
        <f>IF(Model!AE656+Model!AE657-Model!AE655-AE818+AE766&gt;0,'Assumptions (Wind)'!AD24*(Model!AE656+Model!AE657-Model!AE655-AE818+AE766)-'Assumptions (Wind)'!AD25*Model!AE654/10^3,-'Assumptions (Wind)'!AD25*Model!AE654/10^3)</f>
        <v>-5.9889716165002662</v>
      </c>
      <c r="AF871" s="105">
        <f>IF(Model!AF656+Model!AF657-Model!AF655-AF818+AF766&gt;0,'Assumptions (Wind)'!AE24*(Model!AF656+Model!AF657-Model!AF655-AF818+AF766)-'Assumptions (Wind)'!AE25*Model!AF654/10^3,-'Assumptions (Wind)'!AE25*Model!AF654/10^3)</f>
        <v>-6.0886697004556742</v>
      </c>
      <c r="AG871" s="105">
        <f>IF(Model!AG656+Model!AG657-Model!AG655-AG818+AG766&gt;0,'Assumptions (Wind)'!AF24*(Model!AG656+Model!AG657-Model!AG655-AG818+AG766)-'Assumptions (Wind)'!AF25*Model!AG654/10^3,-'Assumptions (Wind)'!AF25*Model!AG654/10^3)</f>
        <v>-6.1899601191226985</v>
      </c>
      <c r="AH871" s="105">
        <f>IF(Model!AH656+Model!AH657-Model!AH655-AH818+AH766&gt;0,'Assumptions (Wind)'!AG24*(Model!AH656+Model!AH657-Model!AH655-AH818+AH766)-'Assumptions (Wind)'!AG25*Model!AH654/10^3,-'Assumptions (Wind)'!AG25*Model!AH654/10^3)</f>
        <v>-6.2928666866562208</v>
      </c>
      <c r="AI871" s="105">
        <f>IF(Model!AI656+Model!AI657-Model!AI655-AI818+AI766&gt;0,'Assumptions (Wind)'!AH24*(Model!AI656+Model!AI657-Model!AI655-AI818+AI766)-'Assumptions (Wind)'!AH25*Model!AI654/10^3,-'Assumptions (Wind)'!AH25*Model!AI654/10^3)</f>
        <v>-6.3974135328434354</v>
      </c>
      <c r="AJ871" s="105">
        <f>IF(Model!AJ656+Model!AJ657-Model!AJ655-AJ818+AJ766&gt;0,'Assumptions (Wind)'!AI24*(Model!AJ656+Model!AJ657-Model!AJ655-AJ818+AJ766)-'Assumptions (Wind)'!AI25*Model!AJ654/10^3,-'Assumptions (Wind)'!AI25*Model!AJ654/10^3)</f>
        <v>-6.5036251062034749</v>
      </c>
      <c r="AK871" s="105">
        <f>IF(Model!AK656+Model!AK657-Model!AK655-AK818+AK766&gt;0,'Assumptions (Wind)'!AJ24*(Model!AK656+Model!AK657-Model!AK655-AK818+AK766)-'Assumptions (Wind)'!AJ25*Model!AK654/10^3,-'Assumptions (Wind)'!AJ25*Model!AK654/10^3)</f>
        <v>-6.6115261770847802</v>
      </c>
      <c r="AL871" s="105">
        <f>IF(Model!AL656+Model!AL657-Model!AL655-AL818+AL766&gt;0,'Assumptions (Wind)'!AK24*(Model!AL656+Model!AL657-Model!AL655-AL818+AL766)-'Assumptions (Wind)'!AK25*Model!AL654/10^3,-'Assumptions (Wind)'!AK25*Model!AL654/10^3)</f>
        <v>-6.7211418407588557</v>
      </c>
      <c r="AM871" s="105">
        <f>IF(Model!AM656+Model!AM657-Model!AM655-AM818+AM766&gt;0,'Assumptions (Wind)'!AL24*(Model!AM656+Model!AM657-Model!AM655-AM818+AM766)-'Assumptions (Wind)'!AL25*Model!AM654/10^3,-'Assumptions (Wind)'!AL25*Model!AM654/10^3)</f>
        <v>-6.8324975205090599</v>
      </c>
      <c r="AN871" s="105">
        <f>IF(Model!AN656+Model!AN657-Model!AN655-AN818+AN766&gt;0,'Assumptions (Wind)'!AM24*(Model!AN656+Model!AN657-Model!AN655-AN818+AN766)-'Assumptions (Wind)'!AM25*Model!AN654/10^3,-'Assumptions (Wind)'!AM25*Model!AN654/10^3)</f>
        <v>-6.9456189707129692</v>
      </c>
      <c r="AO871" s="105">
        <f>IF(Model!AO656+Model!AO657-Model!AO655-AO818+AO766&gt;0,'Assumptions (Wind)'!AN24*(Model!AO656+Model!AO657-Model!AO655-AO818+AO766)-'Assumptions (Wind)'!AN25*Model!AO654/10^3,-'Assumptions (Wind)'!AN25*Model!AO654/10^3)</f>
        <v>-7.0605322799168304</v>
      </c>
      <c r="AP871" s="105">
        <f>IF(Model!AP656+Model!AP657-Model!AP655-AP818+AP766&gt;0,'Assumptions (Wind)'!AO24*(Model!AP656+Model!AP657-Model!AP655-AP818+AP766)-'Assumptions (Wind)'!AO25*Model!AP654/10^3,-'Assumptions (Wind)'!AO25*Model!AP654/10^3)</f>
        <v>-7.1772638739005616</v>
      </c>
      <c r="AQ871" s="105">
        <f>IF(Model!AQ656+Model!AQ657-Model!AQ655-AQ818+AQ766&gt;0,'Assumptions (Wind)'!AP24*(Model!AQ656+Model!AQ657-Model!AQ655-AQ818+AQ766)-'Assumptions (Wind)'!AP25*Model!AQ654/10^3,-'Assumptions (Wind)'!AP25*Model!AQ654/10^3)</f>
        <v>-7.2958405187316746</v>
      </c>
      <c r="AR871" s="105">
        <f>IF(Model!AR656+Model!AR657-Model!AR655-AR818+AR766&gt;0,'Assumptions (Wind)'!AQ24*(Model!AR656+Model!AR657-Model!AR655-AR818+AR766)-'Assumptions (Wind)'!AQ25*Model!AR654/10^3,-'Assumptions (Wind)'!AQ25*Model!AR654/10^3)</f>
        <v>-7.4162893238064731</v>
      </c>
      <c r="AS871" s="105">
        <f>IF(Model!AS656+Model!AS657-Model!AS655-AS818+AS766&gt;0,'Assumptions (Wind)'!AR24*(Model!AS656+Model!AS657-Model!AS655-AS818+AS766)-'Assumptions (Wind)'!AR25*Model!AS654/10^3,-'Assumptions (Wind)'!AR25*Model!AS654/10^3)</f>
        <v>-7.5386377448767696</v>
      </c>
      <c r="AT871" s="105">
        <f>IF(Model!AT656+Model!AT657-Model!AT655-AT818+AT766&gt;0,'Assumptions (Wind)'!AS24*(Model!AT656+Model!AT657-Model!AT655-AT818+AT766)-'Assumptions (Wind)'!AS25*Model!AT654/10^3,-'Assumptions (Wind)'!AS25*Model!AT654/10^3)</f>
        <v>-7.6629135870603564</v>
      </c>
      <c r="AU871" s="105">
        <f>IF(Model!AU656+Model!AU657-Model!AU655-AU818+AU766&gt;0,'Assumptions (Wind)'!AT24*(Model!AU656+Model!AU657-Model!AU655-AU818+AU766)-'Assumptions (Wind)'!AT25*Model!AU654/10^3,-'Assumptions (Wind)'!AT25*Model!AU654/10^3)</f>
        <v>-7.7891450078333353</v>
      </c>
      <c r="AV871" s="105">
        <f>IF(Model!AV656+Model!AV657-Model!AV655-AV818+AV766&gt;0,'Assumptions (Wind)'!AU24*(Model!AV656+Model!AV657-Model!AV655-AV818+AV766)-'Assumptions (Wind)'!AU25*Model!AV654/10^3,-'Assumptions (Wind)'!AU25*Model!AV654/10^3)</f>
        <v>-7.9173605200024104</v>
      </c>
      <c r="AW871" s="105">
        <f>IF(Model!AW656+Model!AW657-Model!AW655-AW818+AW766&gt;0,'Assumptions (Wind)'!AV24*(Model!AW656+Model!AW657-Model!AW655-AW818+AW766)-'Assumptions (Wind)'!AV25*Model!AW654/10^3,-'Assumptions (Wind)'!AV25*Model!AW654/10^3)</f>
        <v>-8.0475889946551149</v>
      </c>
      <c r="AX871" s="105">
        <f>IF(Model!AX656+Model!AX657-Model!AX655-AX818+AX766&gt;0,'Assumptions (Wind)'!AW24*(Model!AX656+Model!AX657-Model!AX655-AX818+AX766)-'Assumptions (Wind)'!AW25*Model!AX654/10^3,-'Assumptions (Wind)'!AW25*Model!AX654/10^3)</f>
        <v>-8.1798596640859262</v>
      </c>
      <c r="AY871" s="105">
        <f>IF(Model!AY656+Model!AY657-Model!AY655-AY818+AY766&gt;0,'Assumptions (Wind)'!AX24*(Model!AY656+Model!AY657-Model!AY655-AY818+AY766)-'Assumptions (Wind)'!AX25*Model!AY654/10^3,-'Assumptions (Wind)'!AX25*Model!AY654/10^3)</f>
        <v>-8.3142021246961093</v>
      </c>
      <c r="AZ871" s="105">
        <f>IF(Model!AZ656+Model!AZ657-Model!AZ655-AZ818+AZ766&gt;0,'Assumptions (Wind)'!AY24*(Model!AZ656+Model!AZ657-Model!AZ655-AZ818+AZ766)-'Assumptions (Wind)'!AY25*Model!AZ654/10^3,-'Assumptions (Wind)'!AY25*Model!AZ654/10^3)</f>
        <v>-8.4506463398650631</v>
      </c>
      <c r="BA871" s="105">
        <f>IF(Model!BA656+Model!BA657-Model!BA655-BA818+BA766&gt;0,'Assumptions (Wind)'!AZ24*(Model!BA656+Model!BA657-Model!BA655-BA818+BA766)-'Assumptions (Wind)'!AZ25*Model!BA654/10^3,-'Assumptions (Wind)'!AZ25*Model!BA654/10^3)</f>
        <v>-8.5892226427908884</v>
      </c>
    </row>
    <row r="872" spans="1:73" ht="15.75" customHeight="1">
      <c r="A872" s="395" t="s">
        <v>66</v>
      </c>
      <c r="B872" s="99" t="s">
        <v>816</v>
      </c>
      <c r="C872" s="99"/>
      <c r="D872" s="99"/>
      <c r="E872" s="99"/>
      <c r="F872" s="99"/>
      <c r="G872" s="99"/>
      <c r="H872" s="99"/>
      <c r="I872" s="99"/>
      <c r="J872" s="99"/>
      <c r="K872" s="99"/>
      <c r="L872" s="99"/>
      <c r="M872" s="99"/>
      <c r="N872" s="99"/>
      <c r="O872" s="99"/>
      <c r="P872" s="99"/>
      <c r="Q872" s="99"/>
      <c r="R872" s="99"/>
      <c r="S872" s="99"/>
      <c r="T872" s="99"/>
      <c r="U872" s="99"/>
      <c r="V872" s="99"/>
      <c r="W872" s="86"/>
    </row>
    <row r="873" spans="1:73" ht="15.75" customHeight="1">
      <c r="A873" s="398" t="s">
        <v>858</v>
      </c>
      <c r="B873" s="42"/>
      <c r="C873" s="42"/>
      <c r="D873" s="42"/>
      <c r="E873" s="42"/>
      <c r="F873" s="42"/>
      <c r="G873" s="42"/>
      <c r="H873" s="42"/>
      <c r="I873" s="42"/>
      <c r="J873" s="42"/>
      <c r="K873" s="42"/>
      <c r="L873" s="42"/>
      <c r="M873" s="42"/>
      <c r="N873" s="42"/>
      <c r="O873" s="42"/>
      <c r="P873" s="42"/>
      <c r="Q873" s="42"/>
      <c r="R873" s="42"/>
      <c r="S873" s="42"/>
      <c r="T873" s="42"/>
      <c r="U873" s="42"/>
      <c r="V873" s="42"/>
      <c r="W873" s="86"/>
    </row>
    <row r="874" spans="1:73" ht="15.75" customHeight="1">
      <c r="A874" s="399"/>
      <c r="B874" s="42"/>
      <c r="C874" s="42"/>
      <c r="D874" s="42"/>
      <c r="E874" s="42"/>
      <c r="F874" s="42"/>
      <c r="G874" s="42"/>
      <c r="H874" s="42"/>
      <c r="I874" s="42"/>
      <c r="J874" s="42"/>
      <c r="K874" s="42"/>
      <c r="L874" s="42"/>
      <c r="M874" s="42"/>
      <c r="N874" s="42"/>
      <c r="O874" s="42"/>
      <c r="P874" s="42"/>
      <c r="Q874" s="42"/>
      <c r="R874" s="42"/>
      <c r="S874" s="42"/>
      <c r="T874" s="42"/>
      <c r="U874" s="42"/>
      <c r="V874" s="42"/>
      <c r="W874" s="86"/>
    </row>
    <row r="875" spans="1:73" ht="15.75" customHeight="1">
      <c r="A875" s="398" t="s">
        <v>859</v>
      </c>
      <c r="B875" s="42"/>
      <c r="C875" s="42"/>
      <c r="D875" s="42"/>
      <c r="E875" s="42"/>
      <c r="F875" s="42"/>
      <c r="G875" s="42"/>
      <c r="H875" s="42"/>
      <c r="I875" s="42"/>
      <c r="J875" s="42"/>
      <c r="K875" s="42"/>
      <c r="L875" s="42"/>
      <c r="M875" s="42"/>
      <c r="N875" s="42"/>
      <c r="O875" s="42"/>
      <c r="P875" s="42"/>
      <c r="Q875" s="42"/>
      <c r="R875" s="42"/>
      <c r="S875" s="42"/>
      <c r="T875" s="42"/>
      <c r="U875" s="42"/>
      <c r="V875" s="42"/>
      <c r="W875" s="86"/>
    </row>
    <row r="876" spans="1:73" ht="15.75" customHeight="1">
      <c r="A876" s="399"/>
      <c r="B876" s="42"/>
      <c r="C876" s="42"/>
      <c r="D876" s="42"/>
      <c r="E876" s="42"/>
      <c r="F876" s="42"/>
      <c r="G876" s="42"/>
      <c r="H876" s="42"/>
      <c r="I876" s="42"/>
      <c r="J876" s="42"/>
      <c r="K876" s="42"/>
      <c r="L876" s="42"/>
      <c r="M876" s="42"/>
      <c r="N876" s="42"/>
      <c r="O876" s="42"/>
      <c r="P876" s="42"/>
      <c r="Q876" s="42"/>
      <c r="R876" s="42"/>
      <c r="S876" s="42"/>
      <c r="T876" s="42"/>
      <c r="U876" s="42"/>
      <c r="V876" s="42"/>
      <c r="W876" s="86"/>
    </row>
    <row r="877" spans="1:73" ht="15.75" customHeight="1">
      <c r="A877" s="400" t="s">
        <v>860</v>
      </c>
      <c r="B877" s="42"/>
      <c r="C877" s="42"/>
      <c r="D877" s="42"/>
      <c r="E877" s="42"/>
      <c r="F877" s="42"/>
      <c r="G877" s="42"/>
      <c r="H877" s="42"/>
      <c r="I877" s="42"/>
      <c r="J877" s="42"/>
      <c r="K877" s="42"/>
      <c r="L877" s="42"/>
      <c r="M877" s="42"/>
      <c r="N877" s="42"/>
      <c r="O877" s="42"/>
      <c r="P877" s="42"/>
      <c r="Q877" s="42"/>
      <c r="R877" s="42"/>
      <c r="S877" s="42"/>
      <c r="T877" s="42"/>
      <c r="U877" s="42"/>
      <c r="V877" s="42"/>
      <c r="W877" s="86"/>
      <c r="X877" s="94">
        <f t="shared" ref="X877:BA877" si="21">X879/(X878*0.00876)</f>
        <v>2.7231095640985525E-2</v>
      </c>
      <c r="Y877" s="94">
        <f t="shared" si="21"/>
        <v>1.5141416695240157E-2</v>
      </c>
      <c r="Z877" s="94">
        <f t="shared" si="21"/>
        <v>1.0724604124530688E-2</v>
      </c>
      <c r="AA877" s="94">
        <f t="shared" si="21"/>
        <v>8.4357190966551435E-3</v>
      </c>
      <c r="AB877" s="94">
        <f t="shared" si="21"/>
        <v>7.0355004162384847E-3</v>
      </c>
      <c r="AC877" s="94">
        <f t="shared" si="21"/>
        <v>6.0905425780183563E-3</v>
      </c>
      <c r="AD877" s="94">
        <f t="shared" si="21"/>
        <v>5.409861263259738E-3</v>
      </c>
      <c r="AE877" s="94">
        <f t="shared" si="21"/>
        <v>4.896192057687869E-3</v>
      </c>
      <c r="AF877" s="94">
        <f t="shared" si="21"/>
        <v>4.4947845576707333E-3</v>
      </c>
      <c r="AG877" s="94">
        <f t="shared" si="21"/>
        <v>4.1724621505981928E-3</v>
      </c>
      <c r="AH877" s="94">
        <f t="shared" si="21"/>
        <v>3.9079487804548922E-3</v>
      </c>
      <c r="AI877" s="94">
        <f t="shared" si="21"/>
        <v>3.686972115703712E-3</v>
      </c>
      <c r="AJ877" s="94">
        <f t="shared" si="21"/>
        <v>3.4996007955633854E-3</v>
      </c>
      <c r="AK877" s="94">
        <f t="shared" si="21"/>
        <v>3.338710656931304E-3</v>
      </c>
      <c r="AL877" s="94">
        <f t="shared" si="21"/>
        <v>3.1990583448320881E-3</v>
      </c>
      <c r="AM877" s="94">
        <f t="shared" si="21"/>
        <v>3.0766990650623349E-3</v>
      </c>
      <c r="AN877" s="94">
        <f t="shared" si="21"/>
        <v>2.9686080233200744E-3</v>
      </c>
      <c r="AO877" s="94">
        <f t="shared" si="21"/>
        <v>2.8724269995919118E-3</v>
      </c>
      <c r="AP877" s="94">
        <f t="shared" si="21"/>
        <v>2.7862903195099379E-3</v>
      </c>
      <c r="AQ877" s="94">
        <f t="shared" si="21"/>
        <v>2.708702642357886E-3</v>
      </c>
      <c r="AR877" s="94">
        <f t="shared" si="21"/>
        <v>2.6384514170467431E-3</v>
      </c>
      <c r="AS877" s="94">
        <f t="shared" si="21"/>
        <v>2.5745430506759546E-3</v>
      </c>
      <c r="AT877" s="94">
        <f t="shared" si="21"/>
        <v>2.5161556199646807E-3</v>
      </c>
      <c r="AU877" s="94">
        <f t="shared" si="21"/>
        <v>2.4626033307726305E-3</v>
      </c>
      <c r="AV877" s="94">
        <f t="shared" si="21"/>
        <v>2.4133094560310087E-3</v>
      </c>
      <c r="AW877" s="94">
        <f t="shared" si="21"/>
        <v>2.3677854826394569E-3</v>
      </c>
      <c r="AX877" s="94">
        <f t="shared" si="21"/>
        <v>2.3256148665661345E-3</v>
      </c>
      <c r="AY877" s="94">
        <f t="shared" si="21"/>
        <v>2.2864402502911188E-3</v>
      </c>
      <c r="AZ877" s="94">
        <f t="shared" si="21"/>
        <v>2.2499533111921483E-3</v>
      </c>
      <c r="BA877" s="94">
        <f t="shared" si="21"/>
        <v>2.2158866300662767E-3</v>
      </c>
    </row>
    <row r="878" spans="1:73" ht="15.75" customHeight="1">
      <c r="A878" s="401" t="s">
        <v>25</v>
      </c>
      <c r="B878" s="99" t="s">
        <v>152</v>
      </c>
      <c r="C878" s="20">
        <v>386</v>
      </c>
      <c r="D878" s="20">
        <v>392</v>
      </c>
      <c r="E878" s="20">
        <v>397</v>
      </c>
      <c r="F878" s="20">
        <v>397</v>
      </c>
      <c r="G878" s="20">
        <v>398</v>
      </c>
      <c r="H878" s="20">
        <v>411</v>
      </c>
      <c r="I878" s="20">
        <v>411</v>
      </c>
      <c r="J878" s="20">
        <v>503</v>
      </c>
      <c r="K878" s="20">
        <v>535</v>
      </c>
      <c r="L878" s="20">
        <v>617</v>
      </c>
      <c r="M878" s="20">
        <v>940</v>
      </c>
      <c r="N878" s="20">
        <v>1521.3000000000002</v>
      </c>
      <c r="O878" s="20">
        <v>3162.9000000000005</v>
      </c>
      <c r="P878" s="20">
        <v>6607.3</v>
      </c>
      <c r="Q878" s="20">
        <v>10291.099999999999</v>
      </c>
      <c r="R878" s="20">
        <v>13619.099999999999</v>
      </c>
      <c r="S878" s="20">
        <v>36300</v>
      </c>
      <c r="T878" s="99">
        <v>47000</v>
      </c>
      <c r="U878" s="99">
        <v>56000</v>
      </c>
      <c r="V878" s="99">
        <v>72000</v>
      </c>
      <c r="W878" s="86">
        <v>82000</v>
      </c>
      <c r="X878" s="101">
        <f t="shared" ref="X878:AZ878" si="22">W878+($BA$878-$W$878)/($BA$2-$W$2)</f>
        <v>624037.72650666663</v>
      </c>
      <c r="Y878" s="101">
        <f t="shared" si="22"/>
        <v>1166075.4530133333</v>
      </c>
      <c r="Z878" s="101">
        <f t="shared" si="22"/>
        <v>1708113.1795199998</v>
      </c>
      <c r="AA878" s="101">
        <f t="shared" si="22"/>
        <v>2250150.9060266665</v>
      </c>
      <c r="AB878" s="101">
        <f t="shared" si="22"/>
        <v>2792188.6325333333</v>
      </c>
      <c r="AC878" s="101">
        <f t="shared" si="22"/>
        <v>3334226.35904</v>
      </c>
      <c r="AD878" s="101">
        <f t="shared" si="22"/>
        <v>3876264.0855466668</v>
      </c>
      <c r="AE878" s="101">
        <f t="shared" si="22"/>
        <v>4418301.812053333</v>
      </c>
      <c r="AF878" s="101">
        <f t="shared" si="22"/>
        <v>4960339.5385599993</v>
      </c>
      <c r="AG878" s="101">
        <f t="shared" si="22"/>
        <v>5502377.2650666656</v>
      </c>
      <c r="AH878" s="101">
        <f t="shared" si="22"/>
        <v>6044414.9915733319</v>
      </c>
      <c r="AI878" s="101">
        <f t="shared" si="22"/>
        <v>6586452.7180799982</v>
      </c>
      <c r="AJ878" s="101">
        <f t="shared" si="22"/>
        <v>7128490.4445866644</v>
      </c>
      <c r="AK878" s="101">
        <f t="shared" si="22"/>
        <v>7670528.1710933307</v>
      </c>
      <c r="AL878" s="101">
        <f t="shared" si="22"/>
        <v>8212565.897599997</v>
      </c>
      <c r="AM878" s="101">
        <f t="shared" si="22"/>
        <v>8754603.6241066642</v>
      </c>
      <c r="AN878" s="101">
        <f t="shared" si="22"/>
        <v>9296641.3506133314</v>
      </c>
      <c r="AO878" s="101">
        <f t="shared" si="22"/>
        <v>9838679.0771199986</v>
      </c>
      <c r="AP878" s="101">
        <f t="shared" si="22"/>
        <v>10380716.803626666</v>
      </c>
      <c r="AQ878" s="101">
        <f t="shared" si="22"/>
        <v>10922754.530133333</v>
      </c>
      <c r="AR878" s="101">
        <f t="shared" si="22"/>
        <v>11464792.25664</v>
      </c>
      <c r="AS878" s="101">
        <f t="shared" si="22"/>
        <v>12006829.983146667</v>
      </c>
      <c r="AT878" s="101">
        <f t="shared" si="22"/>
        <v>12548867.709653335</v>
      </c>
      <c r="AU878" s="101">
        <f t="shared" si="22"/>
        <v>13090905.436160002</v>
      </c>
      <c r="AV878" s="101">
        <f t="shared" si="22"/>
        <v>13632943.162666669</v>
      </c>
      <c r="AW878" s="101">
        <f t="shared" si="22"/>
        <v>14174980.889173336</v>
      </c>
      <c r="AX878" s="101">
        <f t="shared" si="22"/>
        <v>14717018.615680004</v>
      </c>
      <c r="AY878" s="101">
        <f t="shared" si="22"/>
        <v>15259056.342186671</v>
      </c>
      <c r="AZ878" s="101">
        <f t="shared" si="22"/>
        <v>15801094.068693338</v>
      </c>
      <c r="BA878" s="103">
        <f>Inputs!$H$8</f>
        <v>16343131.7952</v>
      </c>
    </row>
    <row r="879" spans="1:73" ht="15.75" customHeight="1">
      <c r="A879" s="401" t="s">
        <v>28</v>
      </c>
      <c r="B879" s="99" t="s">
        <v>153</v>
      </c>
      <c r="C879" s="20">
        <v>0.49337500000000001</v>
      </c>
      <c r="D879" s="20">
        <v>0.54275499999999988</v>
      </c>
      <c r="E879" s="20">
        <v>0.55483099999999996</v>
      </c>
      <c r="F879" s="20">
        <v>0.53400100000000006</v>
      </c>
      <c r="G879" s="20">
        <v>0.57515499999999997</v>
      </c>
      <c r="H879" s="20">
        <v>0.55029399999999995</v>
      </c>
      <c r="I879" s="20">
        <v>0.50770599999999999</v>
      </c>
      <c r="J879" s="20">
        <v>0.61179300000000003</v>
      </c>
      <c r="K879" s="20">
        <v>0.86429699999999998</v>
      </c>
      <c r="L879" s="20">
        <v>0.88978999999999997</v>
      </c>
      <c r="M879" s="20">
        <v>1.2104130000000002</v>
      </c>
      <c r="N879" s="20">
        <v>1.8141026599999999</v>
      </c>
      <c r="O879" s="20">
        <v>4.3220679999999998</v>
      </c>
      <c r="P879" s="20">
        <v>9.0161544300000003</v>
      </c>
      <c r="Q879" s="20">
        <v>17.651769439999999</v>
      </c>
      <c r="R879" s="20">
        <v>24.838506000000002</v>
      </c>
      <c r="S879" s="20">
        <v>57.274109000000003</v>
      </c>
      <c r="T879" s="20">
        <v>75.092331000000001</v>
      </c>
      <c r="U879" s="20">
        <v>88.583267000000006</v>
      </c>
      <c r="V879" s="20">
        <v>118.651146</v>
      </c>
      <c r="W879" s="402">
        <f>('Assumptions (Solar)'!V18*'Assumptions (Solar)'!V20+'Assumptions (Solar)'!V19*'Assumptions (Solar)'!V22)*Model!W878*0.00876</f>
        <v>143.05454661701782</v>
      </c>
      <c r="X879" s="101">
        <f t="shared" ref="X879:AZ879" si="23">W879+($BA$879-$W$879)/($BA$2-$W$2)</f>
        <v>148.86070368339517</v>
      </c>
      <c r="Y879" s="101">
        <f t="shared" si="23"/>
        <v>154.66686074977252</v>
      </c>
      <c r="Z879" s="101">
        <f t="shared" si="23"/>
        <v>160.47301781614988</v>
      </c>
      <c r="AA879" s="101">
        <f t="shared" si="23"/>
        <v>166.27917488252723</v>
      </c>
      <c r="AB879" s="101">
        <f t="shared" si="23"/>
        <v>172.08533194890458</v>
      </c>
      <c r="AC879" s="101">
        <f t="shared" si="23"/>
        <v>177.89148901528193</v>
      </c>
      <c r="AD879" s="101">
        <f t="shared" si="23"/>
        <v>183.69764608165929</v>
      </c>
      <c r="AE879" s="101">
        <f t="shared" si="23"/>
        <v>189.50380314803664</v>
      </c>
      <c r="AF879" s="101">
        <f t="shared" si="23"/>
        <v>195.30996021441399</v>
      </c>
      <c r="AG879" s="101">
        <f t="shared" si="23"/>
        <v>201.11611728079134</v>
      </c>
      <c r="AH879" s="101">
        <f t="shared" si="23"/>
        <v>206.9222743471687</v>
      </c>
      <c r="AI879" s="101">
        <f t="shared" si="23"/>
        <v>212.72843141354605</v>
      </c>
      <c r="AJ879" s="101">
        <f t="shared" si="23"/>
        <v>218.5345884799234</v>
      </c>
      <c r="AK879" s="101">
        <f t="shared" si="23"/>
        <v>224.34074554630075</v>
      </c>
      <c r="AL879" s="101">
        <f t="shared" si="23"/>
        <v>230.1469026126781</v>
      </c>
      <c r="AM879" s="101">
        <f t="shared" si="23"/>
        <v>235.95305967905546</v>
      </c>
      <c r="AN879" s="101">
        <f t="shared" si="23"/>
        <v>241.75921674543281</v>
      </c>
      <c r="AO879" s="101">
        <f t="shared" si="23"/>
        <v>247.56537381181016</v>
      </c>
      <c r="AP879" s="101">
        <f t="shared" si="23"/>
        <v>253.37153087818751</v>
      </c>
      <c r="AQ879" s="101">
        <f t="shared" si="23"/>
        <v>259.17768794456487</v>
      </c>
      <c r="AR879" s="101">
        <f t="shared" si="23"/>
        <v>264.98384501094222</v>
      </c>
      <c r="AS879" s="101">
        <f t="shared" si="23"/>
        <v>270.79000207731957</v>
      </c>
      <c r="AT879" s="101">
        <f t="shared" si="23"/>
        <v>276.59615914369692</v>
      </c>
      <c r="AU879" s="101">
        <f t="shared" si="23"/>
        <v>282.40231621007428</v>
      </c>
      <c r="AV879" s="101">
        <f t="shared" si="23"/>
        <v>288.20847327645163</v>
      </c>
      <c r="AW879" s="101">
        <f t="shared" si="23"/>
        <v>294.01463034282898</v>
      </c>
      <c r="AX879" s="101">
        <f t="shared" si="23"/>
        <v>299.82078740920633</v>
      </c>
      <c r="AY879" s="101">
        <f t="shared" si="23"/>
        <v>305.62694447558368</v>
      </c>
      <c r="AZ879" s="101">
        <f t="shared" si="23"/>
        <v>311.43310154196104</v>
      </c>
      <c r="BA879" s="104">
        <f>Inputs!$I$8</f>
        <v>317.23925860833799</v>
      </c>
    </row>
    <row r="880" spans="1:73" ht="15.75" customHeight="1">
      <c r="A880" s="401" t="s">
        <v>857</v>
      </c>
      <c r="B880" s="99" t="s">
        <v>201</v>
      </c>
      <c r="C880" s="387">
        <f>C878*('Assumptions (Solar)'!B18*'Assumptions (Solar)'!B25+'Assumptions (Solar)'!B19*'Assumptions (Solar)'!B26)/10^9</f>
        <v>5.8911006161346995E-3</v>
      </c>
      <c r="D880" s="387">
        <f>D878*('Assumptions (Solar)'!C18*'Assumptions (Solar)'!C25+'Assumptions (Solar)'!C19*'Assumptions (Solar)'!C26)/10^9</f>
        <v>6.0873688905478934E-3</v>
      </c>
      <c r="E880" s="387">
        <f>E878*('Assumptions (Solar)'!D18*'Assumptions (Solar)'!D25+'Assumptions (Solar)'!D19*'Assumptions (Solar)'!D26)/10^9</f>
        <v>6.2729016451902936E-3</v>
      </c>
      <c r="F880" s="387">
        <f>F878*('Assumptions (Solar)'!E18*'Assumptions (Solar)'!E25+'Assumptions (Solar)'!E19*'Assumptions (Solar)'!E26)/10^9</f>
        <v>6.3826774239811252E-3</v>
      </c>
      <c r="G880" s="387">
        <f>G878*('Assumptions (Solar)'!F18*'Assumptions (Solar)'!F25+'Assumptions (Solar)'!F19*'Assumptions (Solar)'!F26)/10^9</f>
        <v>6.5107329042884549E-3</v>
      </c>
      <c r="H880" s="387">
        <f>H878*('Assumptions (Solar)'!G18*'Assumptions (Solar)'!G25+'Assumptions (Solar)'!G19*'Assumptions (Solar)'!G26)/10^9</f>
        <v>6.8410544474287677E-3</v>
      </c>
      <c r="I880" s="387">
        <f>I878*('Assumptions (Solar)'!H18*'Assumptions (Solar)'!H25+'Assumptions (Solar)'!H19*'Assumptions (Solar)'!H26)/10^9</f>
        <v>6.9607729002587717E-3</v>
      </c>
      <c r="J880" s="387">
        <f>J878*('Assumptions (Solar)'!I18*'Assumptions (Solar)'!I25+'Assumptions (Solar)'!I19*'Assumptions (Solar)'!I26)/10^9</f>
        <v>8.6679829009359867E-3</v>
      </c>
      <c r="K880" s="387">
        <f>K878*('Assumptions (Solar)'!J18*'Assumptions (Solar)'!J25+'Assumptions (Solar)'!J19*'Assumptions (Solar)'!J26)/10^9</f>
        <v>9.3807650932619616E-3</v>
      </c>
      <c r="L880" s="387">
        <f>L878*('Assumptions (Solar)'!K18*'Assumptions (Solar)'!K25+'Assumptions (Solar)'!K19*'Assumptions (Solar)'!K26)/10^9</f>
        <v>1.1007889483433881E-2</v>
      </c>
      <c r="M880" s="387">
        <f>M878*('Assumptions (Solar)'!L18*'Assumptions (Solar)'!L25+'Assumptions (Solar)'!L19*'Assumptions (Solar)'!L26)/10^9</f>
        <v>1.7064012798104274E-2</v>
      </c>
      <c r="N880" s="387">
        <f>N878*('Assumptions (Solar)'!M18*'Assumptions (Solar)'!M25+'Assumptions (Solar)'!M19*'Assumptions (Solar)'!M26)/10^9</f>
        <v>2.8099759166464646E-2</v>
      </c>
      <c r="O880" s="387">
        <f>O878*('Assumptions (Solar)'!N18*'Assumptions (Solar)'!N25+'Assumptions (Solar)'!N19*'Assumptions (Solar)'!N26)/10^9</f>
        <v>5.9443943346016055E-2</v>
      </c>
      <c r="P880" s="387">
        <f>P878*('Assumptions (Solar)'!O18*'Assumptions (Solar)'!O25+'Assumptions (Solar)'!O19*'Assumptions (Solar)'!O26)/10^9</f>
        <v>0.12635155594244496</v>
      </c>
      <c r="Q880" s="387">
        <f>Q878*('Assumptions (Solar)'!P18*'Assumptions (Solar)'!P25+'Assumptions (Solar)'!P19*'Assumptions (Solar)'!P26)/10^9</f>
        <v>0.20024089810710621</v>
      </c>
      <c r="R880" s="387">
        <f>R878*('Assumptions (Solar)'!Q18*'Assumptions (Solar)'!Q25+'Assumptions (Solar)'!Q19*'Assumptions (Solar)'!Q26)/10^9</f>
        <v>0.26963347743974642</v>
      </c>
      <c r="S880" s="387">
        <f>S878*('Assumptions (Solar)'!R18*'Assumptions (Solar)'!R25+'Assumptions (Solar)'!R19*'Assumptions (Solar)'!R26)/10^9</f>
        <v>0.73125095620168701</v>
      </c>
      <c r="T880" s="387">
        <f>T878*('Assumptions (Solar)'!S18*'Assumptions (Solar)'!S25+'Assumptions (Solar)'!S19*'Assumptions (Solar)'!S26)/10^9</f>
        <v>0.96294281729427778</v>
      </c>
      <c r="U880" s="387">
        <f>U878*('Assumptions (Solar)'!T18*'Assumptions (Solar)'!T25+'Assumptions (Solar)'!T19*'Assumptions (Solar)'!T26)/10^9</f>
        <v>1.1663222552518679</v>
      </c>
      <c r="V880" s="387">
        <f>V878*('Assumptions (Solar)'!U18*'Assumptions (Solar)'!U25+'Assumptions (Solar)'!U19*'Assumptions (Solar)'!U26)/10^9</f>
        <v>1.5282678967723629</v>
      </c>
      <c r="W880" s="387">
        <f>W878*('Assumptions (Solar)'!V18*'Assumptions (Solar)'!V25+'Assumptions (Solar)'!V19*'Assumptions (Solar)'!V26)/10^9</f>
        <v>1.7702326211142989</v>
      </c>
      <c r="X880" s="387">
        <f>X878*('Assumptions (Solar)'!W18*'Assumptions (Solar)'!W25+'Assumptions (Solar)'!W19*'Assumptions (Solar)'!W26)/10^9</f>
        <v>13.70067418092826</v>
      </c>
      <c r="Y880" s="387">
        <f>Y878*('Assumptions (Solar)'!X18*'Assumptions (Solar)'!X25+'Assumptions (Solar)'!X19*'Assumptions (Solar)'!X26)/10^9</f>
        <v>26.022590260641032</v>
      </c>
      <c r="Z880" s="387">
        <f>Z878*('Assumptions (Solar)'!Y18*'Assumptions (Solar)'!Y25+'Assumptions (Solar)'!Y19*'Assumptions (Solar)'!Y26)/10^9</f>
        <v>38.754583401676776</v>
      </c>
      <c r="AA880" s="387">
        <f>AA878*('Assumptions (Solar)'!Z18*'Assumptions (Solar)'!Z25+'Assumptions (Solar)'!Z19*'Assumptions (Solar)'!Z26)/10^9</f>
        <v>51.906758610540464</v>
      </c>
      <c r="AB880" s="387">
        <f>AB878*('Assumptions (Solar)'!AA18*'Assumptions (Solar)'!AA25+'Assumptions (Solar)'!AA19*'Assumptions (Solar)'!AA26)/10^9</f>
        <v>65.518753808902105</v>
      </c>
      <c r="AC880" s="387">
        <f>AC878*('Assumptions (Solar)'!AB18*'Assumptions (Solar)'!AB25+'Assumptions (Solar)'!AB19*'Assumptions (Solar)'!AB26)/10^9</f>
        <v>79.571441475842917</v>
      </c>
      <c r="AD880" s="387">
        <f>AD878*('Assumptions (Solar)'!AC18*'Assumptions (Solar)'!AC25+'Assumptions (Solar)'!AC19*'Assumptions (Solar)'!AC26)/10^9</f>
        <v>94.071203723406384</v>
      </c>
      <c r="AE880" s="387">
        <f>AE878*('Assumptions (Solar)'!AD18*'Assumptions (Solar)'!AD25+'Assumptions (Solar)'!AD19*'Assumptions (Solar)'!AD26)/10^9</f>
        <v>109.03017696370542</v>
      </c>
      <c r="AF880" s="387">
        <f>AF878*('Assumptions (Solar)'!AE18*'Assumptions (Solar)'!AE25+'Assumptions (Solar)'!AE19*'Assumptions (Solar)'!AE26)/10^9</f>
        <v>124.49178849728766</v>
      </c>
      <c r="AG880" s="387">
        <f>AG878*('Assumptions (Solar)'!AF18*'Assumptions (Solar)'!AF25+'Assumptions (Solar)'!AF19*'Assumptions (Solar)'!AF26)/10^9</f>
        <v>140.53522432305584</v>
      </c>
      <c r="AH880" s="387">
        <f>AH878*('Assumptions (Solar)'!AG18*'Assumptions (Solar)'!AG25+'Assumptions (Solar)'!AG19*'Assumptions (Solar)'!AG26)/10^9</f>
        <v>157.11672759791583</v>
      </c>
      <c r="AI880" s="387">
        <f>AI878*('Assumptions (Solar)'!AH18*'Assumptions (Solar)'!AH25+'Assumptions (Solar)'!AH19*'Assumptions (Solar)'!AH26)/10^9</f>
        <v>174.25508208066398</v>
      </c>
      <c r="AJ880" s="387">
        <f>AJ878*('Assumptions (Solar)'!AI18*'Assumptions (Solar)'!AI25+'Assumptions (Solar)'!AI19*'Assumptions (Solar)'!AI26)/10^9</f>
        <v>191.96681595326115</v>
      </c>
      <c r="AK880" s="387">
        <f>AK878*('Assumptions (Solar)'!AJ18*'Assumptions (Solar)'!AJ25+'Assumptions (Solar)'!AJ19*'Assumptions (Solar)'!AJ26)/10^9</f>
        <v>210.27038417661865</v>
      </c>
      <c r="AL880" s="387">
        <f>AL878*('Assumptions (Solar)'!AK18*'Assumptions (Solar)'!AK25+'Assumptions (Solar)'!AK19*'Assumptions (Solar)'!AK26)/10^9</f>
        <v>229.18225779699333</v>
      </c>
      <c r="AM880" s="387">
        <f>AM878*('Assumptions (Solar)'!AL18*'Assumptions (Solar)'!AL25+'Assumptions (Solar)'!AL19*'Assumptions (Solar)'!AL26)/10^9</f>
        <v>248.49842293903788</v>
      </c>
      <c r="AN880" s="387">
        <f>AN878*('Assumptions (Solar)'!AM18*'Assumptions (Solar)'!AM25+'Assumptions (Solar)'!AM19*'Assumptions (Solar)'!AM26)/10^9</f>
        <v>268.46278574472734</v>
      </c>
      <c r="AO880" s="387">
        <f>AO878*('Assumptions (Solar)'!AN18*'Assumptions (Solar)'!AN25+'Assumptions (Solar)'!AN19*'Assumptions (Solar)'!AN26)/10^9</f>
        <v>289.06997063885382</v>
      </c>
      <c r="AP880" s="387">
        <f>AP878*('Assumptions (Solar)'!AO18*'Assumptions (Solar)'!AO25+'Assumptions (Solar)'!AO19*'Assumptions (Solar)'!AO26)/10^9</f>
        <v>310.23177806834559</v>
      </c>
      <c r="AQ880" s="387">
        <f>AQ878*('Assumptions (Solar)'!AP18*'Assumptions (Solar)'!AP25+'Assumptions (Solar)'!AP19*'Assumptions (Solar)'!AP26)/10^9</f>
        <v>331.9883255348218</v>
      </c>
      <c r="AR880" s="387">
        <f>AR878*('Assumptions (Solar)'!AQ18*'Assumptions (Solar)'!AQ25+'Assumptions (Solar)'!AQ19*'Assumptions (Solar)'!AQ26)/10^9</f>
        <v>354.42932060312108</v>
      </c>
      <c r="AS880" s="387">
        <f>AS878*('Assumptions (Solar)'!AR18*'Assumptions (Solar)'!AR25+'Assumptions (Solar)'!AR19*'Assumptions (Solar)'!AR26)/10^9</f>
        <v>377.54814623571599</v>
      </c>
      <c r="AT880" s="387">
        <f>AT878*('Assumptions (Solar)'!AS18*'Assumptions (Solar)'!AS25+'Assumptions (Solar)'!AS19*'Assumptions (Solar)'!AS26)/10^9</f>
        <v>401.35153889568352</v>
      </c>
      <c r="AU880" s="387">
        <f>AU878*('Assumptions (Solar)'!AT18*'Assumptions (Solar)'!AT25+'Assumptions (Solar)'!AT19*'Assumptions (Solar)'!AT26)/10^9</f>
        <v>425.90399420449978</v>
      </c>
      <c r="AV880" s="387">
        <f>AV878*('Assumptions (Solar)'!AU18*'Assumptions (Solar)'!AU25+'Assumptions (Solar)'!AU19*'Assumptions (Solar)'!AU26)/10^9</f>
        <v>451.2417508276971</v>
      </c>
      <c r="AW880" s="387">
        <f>AW878*('Assumptions (Solar)'!AV18*'Assumptions (Solar)'!AV25+'Assumptions (Solar)'!AV19*'Assumptions (Solar)'!AV26)/10^9</f>
        <v>477.44691769855518</v>
      </c>
      <c r="AX880" s="387">
        <f>AX878*('Assumptions (Solar)'!AW18*'Assumptions (Solar)'!AW25+'Assumptions (Solar)'!AW19*'Assumptions (Solar)'!AW26)/10^9</f>
        <v>504.32421059125522</v>
      </c>
      <c r="AY880" s="387">
        <f>AY878*('Assumptions (Solar)'!AX18*'Assumptions (Solar)'!AX25+'Assumptions (Solar)'!AX19*'Assumptions (Solar)'!AX26)/10^9</f>
        <v>531.79591465416649</v>
      </c>
      <c r="AZ880" s="387">
        <f>AZ878*('Assumptions (Solar)'!AY18*'Assumptions (Solar)'!AY25+'Assumptions (Solar)'!AY19*'Assumptions (Solar)'!AY26)/10^9</f>
        <v>560.02613535370449</v>
      </c>
      <c r="BA880" s="387">
        <f>BA878*('Assumptions (Solar)'!AZ18*'Assumptions (Solar)'!AZ25+'Assumptions (Solar)'!AZ19*'Assumptions (Solar)'!AZ26)/10^9</f>
        <v>589.02732821587074</v>
      </c>
    </row>
    <row r="881" spans="1:53" ht="15.75" customHeight="1">
      <c r="A881" s="401" t="s">
        <v>36</v>
      </c>
      <c r="B881" s="99" t="s">
        <v>201</v>
      </c>
      <c r="C881" s="387">
        <f>C879*'Assumptions (Solar)'!B40/10^3</f>
        <v>3.3024845024999999E-2</v>
      </c>
      <c r="D881" s="387">
        <f>D879*'Assumptions (Solar)'!C40/10^3</f>
        <v>3.7212748238500001E-2</v>
      </c>
      <c r="E881" s="387">
        <f>E879*'Assumptions (Solar)'!D40/10^3</f>
        <v>3.4392642095599994E-2</v>
      </c>
      <c r="F881" s="387">
        <f>F879*'Assumptions (Solar)'!E40/10^3</f>
        <v>4.0236921949900008E-2</v>
      </c>
      <c r="G881" s="387">
        <f>G879*'Assumptions (Solar)'!F40/10^3</f>
        <v>4.5533698493499995E-2</v>
      </c>
      <c r="H881" s="387">
        <f>H879*'Assumptions (Solar)'!G40/10^3</f>
        <v>5.2747275752599999E-2</v>
      </c>
      <c r="I881" s="387">
        <f>I879*'Assumptions (Solar)'!H40/10^3</f>
        <v>4.3783397716199997E-2</v>
      </c>
      <c r="J881" s="387">
        <f>J879*'Assumptions (Solar)'!I40/10^3</f>
        <v>5.3624696498100005E-2</v>
      </c>
      <c r="K881" s="387">
        <f>K879*'Assumptions (Solar)'!J40/10^3</f>
        <v>8.7672731945399984E-2</v>
      </c>
      <c r="L881" s="387">
        <f>L879*'Assumptions (Solar)'!K40/10^3</f>
        <v>6.3019465728999996E-2</v>
      </c>
      <c r="M881" s="387">
        <f>M879*'Assumptions (Solar)'!L40/10^3</f>
        <v>8.8637212535700005E-2</v>
      </c>
      <c r="N881" s="387">
        <f>N879*'Assumptions (Solar)'!M40/10^3</f>
        <v>0.12797097407251798</v>
      </c>
      <c r="O881" s="387">
        <f>O879*'Assumptions (Solar)'!N40/10^3</f>
        <v>0.26363663945039995</v>
      </c>
      <c r="P881" s="387">
        <f>P879*'Assumptions (Solar)'!O40/10^3</f>
        <v>0.61052258591934916</v>
      </c>
      <c r="Q881" s="387">
        <f>Q879*'Assumptions (Solar)'!P40/10^3</f>
        <v>1.2826358183495516</v>
      </c>
      <c r="R881" s="387">
        <f>R879*'Assumptions (Solar)'!Q40/10^3</f>
        <v>1.4869969032996</v>
      </c>
      <c r="S881" s="387">
        <f>S879*'Assumptions (Solar)'!R40/10^3</f>
        <v>3.6695521636300001</v>
      </c>
      <c r="T881" s="387">
        <f>T879*'Assumptions (Solar)'!S40/10^3</f>
        <v>4.6962743807400003</v>
      </c>
      <c r="U881" s="387">
        <f>U879*'Assumptions (Solar)'!T40/10^3</f>
        <v>5.6870457414000004</v>
      </c>
      <c r="V881" s="387">
        <f>V879*'Assumptions (Solar)'!U40/10^3</f>
        <v>7.7230030931400009</v>
      </c>
      <c r="W881" s="387">
        <f>W879*'Assumptions (Solar)'!V40/10^3</f>
        <v>9.7124423887422431</v>
      </c>
      <c r="X881" s="387">
        <f>X879*'Assumptions (Solar)'!W40/10^3</f>
        <v>10.183297255535544</v>
      </c>
      <c r="Y881" s="387">
        <f>Y879*'Assumptions (Solar)'!X40/10^3</f>
        <v>10.678175319466574</v>
      </c>
      <c r="Z881" s="387">
        <f>Z879*'Assumptions (Solar)'!Y40/10^3</f>
        <v>11.259738534976726</v>
      </c>
      <c r="AA881" s="387">
        <f>AA879*'Assumptions (Solar)'!Z40/10^3</f>
        <v>11.888884515680251</v>
      </c>
      <c r="AB881" s="387">
        <f>AB879*'Assumptions (Solar)'!AA40/10^3</f>
        <v>12.651126793901518</v>
      </c>
      <c r="AC881" s="387">
        <f>AC879*'Assumptions (Solar)'!AB40/10^3</f>
        <v>13.289138196631797</v>
      </c>
      <c r="AD881" s="387">
        <f>AD879*'Assumptions (Solar)'!AC40/10^3</f>
        <v>13.99254545525018</v>
      </c>
      <c r="AE881" s="387">
        <f>AE879*'Assumptions (Solar)'!AD40/10^3</f>
        <v>14.688341240026682</v>
      </c>
      <c r="AF881" s="387">
        <f>AF879*'Assumptions (Solar)'!AE40/10^3</f>
        <v>15.417188188744005</v>
      </c>
      <c r="AG881" s="387">
        <f>AG879*'Assumptions (Solar)'!AF40/10^3</f>
        <v>16.168681980921075</v>
      </c>
      <c r="AH881" s="387">
        <f>AH879*'Assumptions (Solar)'!AG40/10^3</f>
        <v>16.967465097093847</v>
      </c>
      <c r="AI881" s="387">
        <f>AI879*'Assumptions (Solar)'!AH40/10^3</f>
        <v>17.717757504836136</v>
      </c>
      <c r="AJ881" s="387">
        <f>AJ879*'Assumptions (Solar)'!AI40/10^3</f>
        <v>18.477575861380409</v>
      </c>
      <c r="AK881" s="387">
        <f>AK879*'Assumptions (Solar)'!AJ40/10^3</f>
        <v>19.257983910003055</v>
      </c>
      <c r="AL881" s="387">
        <f>AL879*'Assumptions (Solar)'!AK40/10^3</f>
        <v>20.087797027291074</v>
      </c>
      <c r="AM881" s="387">
        <f>AM879*'Assumptions (Solar)'!AL40/10^3</f>
        <v>21.021426173580149</v>
      </c>
      <c r="AN881" s="387">
        <f>AN879*'Assumptions (Solar)'!AM40/10^3</f>
        <v>21.962642638752683</v>
      </c>
      <c r="AO881" s="387">
        <f>AO879*'Assumptions (Solar)'!AN40/10^3</f>
        <v>22.995077563011392</v>
      </c>
      <c r="AP881" s="387">
        <f>AP879*'Assumptions (Solar)'!AO40/10^3</f>
        <v>24.060256853374419</v>
      </c>
      <c r="AQ881" s="387">
        <f>AQ879*'Assumptions (Solar)'!AP40/10^3</f>
        <v>25.113812565336843</v>
      </c>
      <c r="AR881" s="387">
        <f>AR879*'Assumptions (Solar)'!AQ40/10^3</f>
        <v>26.178527801458412</v>
      </c>
      <c r="AS881" s="387">
        <f>AS879*'Assumptions (Solar)'!AR40/10^3</f>
        <v>27.261761795933982</v>
      </c>
      <c r="AT881" s="387">
        <f>AT879*'Assumptions (Solar)'!AS40/10^3</f>
        <v>28.398075106013128</v>
      </c>
      <c r="AU881" s="387">
        <f>AU879*'Assumptions (Solar)'!AT40/10^3</f>
        <v>29.59523747050763</v>
      </c>
      <c r="AV881" s="387">
        <f>AV879*'Assumptions (Solar)'!AU40/10^3</f>
        <v>30.832868146689595</v>
      </c>
      <c r="AW881" s="387">
        <f>AW879*'Assumptions (Solar)'!AV40/10^3</f>
        <v>32.041532125690686</v>
      </c>
      <c r="AX881" s="387">
        <f>AX879*'Assumptions (Solar)'!AW40/10^3</f>
        <v>33.392426265801134</v>
      </c>
      <c r="AY881" s="387">
        <f>AY879*'Assumptions (Solar)'!AX40/10^3</f>
        <v>35.266082240445911</v>
      </c>
      <c r="AZ881" s="387">
        <f>AZ879*'Assumptions (Solar)'!AY40/10^3</f>
        <v>36.893299507965324</v>
      </c>
      <c r="BA881" s="387">
        <f>BA879*'Assumptions (Solar)'!AZ40/10^3</f>
        <v>38.347694409413322</v>
      </c>
    </row>
    <row r="882" spans="1:53" ht="15.75" customHeight="1">
      <c r="A882" s="401" t="s">
        <v>38</v>
      </c>
      <c r="B882" s="99" t="s">
        <v>201</v>
      </c>
      <c r="C882" s="150">
        <f>C878*'Assumptions (Solar)'!B42*'Assumptions (Solar)'!B43*365/10^9</f>
        <v>0</v>
      </c>
      <c r="D882" s="150">
        <f>D878*'Assumptions (Solar)'!C42*'Assumptions (Solar)'!C43*365/10^9</f>
        <v>0</v>
      </c>
      <c r="E882" s="150">
        <f>E878*'Assumptions (Solar)'!D42*'Assumptions (Solar)'!D43*365/10^9</f>
        <v>0</v>
      </c>
      <c r="F882" s="150">
        <f>F878*'Assumptions (Solar)'!E42*'Assumptions (Solar)'!E43*365/10^9</f>
        <v>0</v>
      </c>
      <c r="G882" s="150">
        <f>G878*'Assumptions (Solar)'!F42*'Assumptions (Solar)'!F43*365/10^9</f>
        <v>0</v>
      </c>
      <c r="H882" s="150">
        <f>H878*'Assumptions (Solar)'!G42*'Assumptions (Solar)'!G43*365/10^9</f>
        <v>0</v>
      </c>
      <c r="I882" s="150">
        <f>I878*'Assumptions (Solar)'!H42*'Assumptions (Solar)'!H43*365/10^9</f>
        <v>0</v>
      </c>
      <c r="J882" s="150">
        <f>J878*'Assumptions (Solar)'!I42*'Assumptions (Solar)'!I43*365/10^9</f>
        <v>2.1405551187156244E-2</v>
      </c>
      <c r="K882" s="150">
        <f>K878*'Assumptions (Solar)'!J42*'Assumptions (Solar)'!J43*365/10^9</f>
        <v>2.3140641314180369E-2</v>
      </c>
      <c r="L882" s="150">
        <f>L878*'Assumptions (Solar)'!K42*'Assumptions (Solar)'!K43*365/10^9</f>
        <v>3.0885025428299281E-2</v>
      </c>
      <c r="M882" s="150">
        <f>M878*'Assumptions (Solar)'!L42*'Assumptions (Solar)'!L43*365/10^9</f>
        <v>3.2853096931633123E-2</v>
      </c>
      <c r="N882" s="150">
        <f>N878*'Assumptions (Solar)'!M42*'Assumptions (Solar)'!M43*365/10^9</f>
        <v>5.4974164899499162E-2</v>
      </c>
      <c r="O882" s="150">
        <f>O878*'Assumptions (Solar)'!N42*'Assumptions (Solar)'!N43*365/10^9</f>
        <v>0.11010228745307117</v>
      </c>
      <c r="P882" s="150">
        <f>P878*'Assumptions (Solar)'!O42*'Assumptions (Solar)'!O43*365/10^9</f>
        <v>0.19888382451609776</v>
      </c>
      <c r="Q882" s="150">
        <f>Q878*'Assumptions (Solar)'!P42*'Assumptions (Solar)'!P43*365/10^9</f>
        <v>0.34387725923010598</v>
      </c>
      <c r="R882" s="150">
        <f>R878*'Assumptions (Solar)'!Q42*'Assumptions (Solar)'!Q43*365/10^9</f>
        <v>0.48834280256327545</v>
      </c>
      <c r="S882" s="150">
        <f>S878*'Assumptions (Solar)'!R42*'Assumptions (Solar)'!R43*365/10^9</f>
        <v>1.0723893296911968</v>
      </c>
      <c r="T882" s="150">
        <f>T878*'Assumptions (Solar)'!S42*'Assumptions (Solar)'!S43*365/10^9</f>
        <v>1.485983020433246</v>
      </c>
      <c r="U882" s="150">
        <f>U878*'Assumptions (Solar)'!T42*'Assumptions (Solar)'!T43*365/10^9</f>
        <v>1.7282524012905212</v>
      </c>
      <c r="V882" s="150">
        <f>V878*'Assumptions (Solar)'!U42*'Assumptions (Solar)'!U43*365/10^9</f>
        <v>2.2810184052849904</v>
      </c>
      <c r="W882" s="150">
        <f>W878*'Assumptions (Solar)'!V42*'Assumptions (Solar)'!V43*365/10^9</f>
        <v>2.6338400000000006</v>
      </c>
      <c r="X882" s="150">
        <f>X878*'Assumptions (Solar)'!W42*'Assumptions (Solar)'!W43*365/10^9</f>
        <v>20.196120150805356</v>
      </c>
      <c r="Y882" s="150">
        <f>Y878*'Assumptions (Solar)'!X42*'Assumptions (Solar)'!X43*365/10^9</f>
        <v>38.086860526571314</v>
      </c>
      <c r="Z882" s="150">
        <f>Z878*'Assumptions (Solar)'!Y42*'Assumptions (Solar)'!Y43*365/10^9</f>
        <v>56.701124988146702</v>
      </c>
      <c r="AA882" s="150">
        <f>AA878*'Assumptions (Solar)'!Z42*'Assumptions (Solar)'!Z43*365/10^9</f>
        <v>76.113841036006136</v>
      </c>
      <c r="AB882" s="150">
        <f>AB878*'Assumptions (Solar)'!AA42*'Assumptions (Solar)'!AA43*365/10^9</f>
        <v>97.113332030028758</v>
      </c>
      <c r="AC882" s="150">
        <f>AC878*'Assumptions (Solar)'!AB42*'Assumptions (Solar)'!AB43*365/10^9</f>
        <v>117.83803019829077</v>
      </c>
      <c r="AD882" s="150">
        <f>AD878*'Assumptions (Solar)'!AC42*'Assumptions (Solar)'!AC43*365/10^9</f>
        <v>139.68675826152909</v>
      </c>
      <c r="AE882" s="150">
        <f>AE878*'Assumptions (Solar)'!AD42*'Assumptions (Solar)'!AD43*365/10^9</f>
        <v>162.0163890011236</v>
      </c>
      <c r="AF882" s="150">
        <f>AF878*'Assumptions (Solar)'!AE42*'Assumptions (Solar)'!AE43*365/10^9</f>
        <v>185.24262795098065</v>
      </c>
      <c r="AG882" s="150">
        <f>AG878*'Assumptions (Solar)'!AF42*'Assumptions (Solar)'!AF43*365/10^9</f>
        <v>209.27957914100253</v>
      </c>
      <c r="AH882" s="150">
        <f>AH878*'Assumptions (Solar)'!AG42*'Assumptions (Solar)'!AG43*365/10^9</f>
        <v>234.48374488682921</v>
      </c>
      <c r="AI882" s="150">
        <f>AI878*'Assumptions (Solar)'!AH42*'Assumptions (Solar)'!AH43*365/10^9</f>
        <v>259.52759386315563</v>
      </c>
      <c r="AJ882" s="150">
        <f>AJ878*'Assumptions (Solar)'!AI42*'Assumptions (Solar)'!AI43*365/10^9</f>
        <v>285.14852367172369</v>
      </c>
      <c r="AK882" s="150">
        <f>AK878*'Assumptions (Solar)'!AJ42*'Assumptions (Solar)'!AJ43*365/10^9</f>
        <v>311.51335927873373</v>
      </c>
      <c r="AL882" s="150">
        <f>AL878*'Assumptions (Solar)'!AK42*'Assumptions (Solar)'!AK43*365/10^9</f>
        <v>339.1210830967006</v>
      </c>
      <c r="AM882" s="150">
        <f>AM878*'Assumptions (Solar)'!AL42*'Assumptions (Solar)'!AL43*365/10^9</f>
        <v>368.99611809876484</v>
      </c>
      <c r="AN882" s="150">
        <f>AN878*'Assumptions (Solar)'!AM42*'Assumptions (Solar)'!AM43*365/10^9</f>
        <v>399.55482375869548</v>
      </c>
      <c r="AO882" s="150">
        <f>AO878*'Assumptions (Solar)'!AN42*'Assumptions (Solar)'!AN43*365/10^9</f>
        <v>432.34507740451403</v>
      </c>
      <c r="AP882" s="150">
        <f>AP878*'Assumptions (Solar)'!AO42*'Assumptions (Solar)'!AO43*365/10^9</f>
        <v>466.35703581435621</v>
      </c>
      <c r="AQ882" s="150">
        <f>AQ878*'Assumptions (Solar)'!AP42*'Assumptions (Solar)'!AP43*365/10^9</f>
        <v>500.72117448010431</v>
      </c>
      <c r="AR882" s="150">
        <f>AR878*'Assumptions (Solar)'!AQ42*'Assumptions (Solar)'!AQ43*365/10^9</f>
        <v>535.84694349376798</v>
      </c>
      <c r="AS882" s="150">
        <f>AS878*'Assumptions (Solar)'!AR42*'Assumptions (Solar)'!AR43*365/10^9</f>
        <v>571.87143019134373</v>
      </c>
      <c r="AT882" s="150">
        <f>AT878*'Assumptions (Solar)'!AS42*'Assumptions (Solar)'!AS43*365/10^9</f>
        <v>609.53134705678644</v>
      </c>
      <c r="AU882" s="150">
        <f>AU878*'Assumptions (Solar)'!AT42*'Assumptions (Solar)'!AT43*365/10^9</f>
        <v>649.04081235859655</v>
      </c>
      <c r="AV882" s="150">
        <f>AV878*'Assumptions (Solar)'!AU42*'Assumptions (Solar)'!AU43*365/10^9</f>
        <v>689.9943763557078</v>
      </c>
      <c r="AW882" s="150">
        <f>AW878*'Assumptions (Solar)'!AV42*'Assumptions (Solar)'!AV43*365/10^9</f>
        <v>730.828644565476</v>
      </c>
      <c r="AX882" s="150">
        <f>AX878*'Assumptions (Solar)'!AW42*'Assumptions (Solar)'!AW43*365/10^9</f>
        <v>775.45182188928948</v>
      </c>
      <c r="AY882" s="150">
        <f>AY878*'Assumptions (Solar)'!AX42*'Assumptions (Solar)'!AX43*365/10^9</f>
        <v>832.99424155590225</v>
      </c>
      <c r="AZ882" s="150">
        <f>AZ878*'Assumptions (Solar)'!AY42*'Assumptions (Solar)'!AY43*365/10^9</f>
        <v>885.56130465205013</v>
      </c>
      <c r="BA882" s="150">
        <f>BA878*'Assumptions (Solar)'!AZ42*'Assumptions (Solar)'!AZ43*365/10^9</f>
        <v>934.62277713003789</v>
      </c>
    </row>
    <row r="883" spans="1:53" ht="15.75" customHeight="1">
      <c r="A883" s="401" t="s">
        <v>46</v>
      </c>
      <c r="B883" s="99" t="s">
        <v>152</v>
      </c>
      <c r="C883" s="86">
        <v>0</v>
      </c>
      <c r="D883" s="20">
        <v>3.9000000000000004</v>
      </c>
      <c r="E883" s="20">
        <v>2.1</v>
      </c>
      <c r="F883" s="20">
        <v>0.1</v>
      </c>
      <c r="G883" s="20">
        <v>0</v>
      </c>
      <c r="H883" s="86">
        <v>2</v>
      </c>
      <c r="I883" s="20">
        <v>1.7999999999999998</v>
      </c>
      <c r="J883" s="20">
        <v>100.7</v>
      </c>
      <c r="K883" s="20">
        <v>29.400000000000002</v>
      </c>
      <c r="L883" s="20">
        <v>100.69999999999999</v>
      </c>
      <c r="M883" s="20">
        <v>233.6</v>
      </c>
      <c r="N883" s="20">
        <v>781.8</v>
      </c>
      <c r="O883" s="20">
        <v>1580.2999999999997</v>
      </c>
      <c r="P883" s="20">
        <v>3533.1</v>
      </c>
      <c r="Q883" s="20">
        <v>3716.4</v>
      </c>
      <c r="R883" s="20">
        <v>3499.2999999999993</v>
      </c>
      <c r="S883" s="20">
        <v>8006.4999999999964</v>
      </c>
      <c r="T883" s="20">
        <v>4703.100000000004</v>
      </c>
      <c r="U883" s="20">
        <v>5066.7000000000007</v>
      </c>
      <c r="V883" s="20">
        <v>2836.9</v>
      </c>
      <c r="W883" s="90">
        <f>IF(W878-V878+'Assumptions (Solar)'!V46&gt;0,W878-V878+'Assumptions (Solar)'!V46,0)</f>
        <v>10000</v>
      </c>
      <c r="X883" s="90">
        <f>IF(X878-W878+'Assumptions (Solar)'!W46&gt;0,X878-W878+'Assumptions (Solar)'!W46,0)</f>
        <v>542305.72650666663</v>
      </c>
      <c r="Y883" s="90">
        <f>IF(Y878-X878+'Assumptions (Solar)'!X46&gt;0,Y878-X878+'Assumptions (Solar)'!X46,0)</f>
        <v>542125.72650666663</v>
      </c>
      <c r="Z883" s="90">
        <f>IF(Z878-Y878+'Assumptions (Solar)'!Y46&gt;0,Z878-Y878+'Assumptions (Solar)'!Y46,0)</f>
        <v>542037.72650666651</v>
      </c>
      <c r="AA883" s="90">
        <f>IF(AA878-Z878+'Assumptions (Solar)'!Z46&gt;0,AA878-Z878+'Assumptions (Solar)'!Z46,0)</f>
        <v>542037.72650666675</v>
      </c>
      <c r="AB883" s="90">
        <f>IF(AB878-AA878+'Assumptions (Solar)'!AA46&gt;0,AB878-AA878+'Assumptions (Solar)'!AA46,0)</f>
        <v>542037.72650666675</v>
      </c>
      <c r="AC883" s="90">
        <f>IF(AC878-AB878+'Assumptions (Solar)'!AB46&gt;0,AC878-AB878+'Assumptions (Solar)'!AB46,0)</f>
        <v>542037.72650666675</v>
      </c>
      <c r="AD883" s="90">
        <f>IF(AD878-AC878+'Assumptions (Solar)'!AC46&gt;0,AD878-AC878+'Assumptions (Solar)'!AC46,0)</f>
        <v>542037.72650666675</v>
      </c>
      <c r="AE883" s="90">
        <f>IF(AE878-AD878+'Assumptions (Solar)'!AD46&gt;0,AE878-AD878+'Assumptions (Solar)'!AD46,0)</f>
        <v>542037.72650666628</v>
      </c>
      <c r="AF883" s="90">
        <f>IF(AF878-AE878+'Assumptions (Solar)'!AE46&gt;0,AF878-AE878+'Assumptions (Solar)'!AE46,0)</f>
        <v>542037.72650666628</v>
      </c>
      <c r="AG883" s="90">
        <f>IF(AG878-AF878+'Assumptions (Solar)'!AF46&gt;0,AG878-AF878+'Assumptions (Solar)'!AF46,0)</f>
        <v>542037.72650666628</v>
      </c>
      <c r="AH883" s="90">
        <f>IF(AH878-AG878+'Assumptions (Solar)'!AG46&gt;0,AH878-AG878+'Assumptions (Solar)'!AG46,0)</f>
        <v>542037.72650666628</v>
      </c>
      <c r="AI883" s="90">
        <f>IF(AI878-AH878+'Assumptions (Solar)'!AH46&gt;0,AI878-AH878+'Assumptions (Solar)'!AH46,0)</f>
        <v>542037.72650666628</v>
      </c>
      <c r="AJ883" s="90">
        <f>IF(AJ878-AI878+'Assumptions (Solar)'!AI46&gt;0,AJ878-AI878+'Assumptions (Solar)'!AI46,0)</f>
        <v>542041.6265066663</v>
      </c>
      <c r="AK883" s="90">
        <f>IF(AK878-AJ878+'Assumptions (Solar)'!AJ46&gt;0,AK878-AJ878+'Assumptions (Solar)'!AJ46,0)</f>
        <v>542039.82650666626</v>
      </c>
      <c r="AL883" s="90">
        <f>IF(AL878-AK878+'Assumptions (Solar)'!AK46&gt;0,AL878-AK878+'Assumptions (Solar)'!AK46,0)</f>
        <v>542037.82650666626</v>
      </c>
      <c r="AM883" s="90">
        <f>IF(AM878-AL878+'Assumptions (Solar)'!AL46&gt;0,AM878-AL878+'Assumptions (Solar)'!AL46,0)</f>
        <v>542037.72650666721</v>
      </c>
      <c r="AN883" s="90">
        <f>IF(AN878-AM878+'Assumptions (Solar)'!AM46&gt;0,AN878-AM878+'Assumptions (Solar)'!AM46,0)</f>
        <v>542039.72650666721</v>
      </c>
      <c r="AO883" s="90">
        <f>IF(AO878-AN878+'Assumptions (Solar)'!AN46&gt;0,AO878-AN878+'Assumptions (Solar)'!AN46,0)</f>
        <v>542039.52650666726</v>
      </c>
      <c r="AP883" s="90">
        <f>IF(AP878-AO878+'Assumptions (Solar)'!AO46&gt;0,AP878-AO878+'Assumptions (Solar)'!AO46,0)</f>
        <v>542138.42650666717</v>
      </c>
      <c r="AQ883" s="90">
        <f>IF(AQ878-AP878+'Assumptions (Solar)'!AP46&gt;0,AQ878-AP878+'Assumptions (Solar)'!AP46,0)</f>
        <v>542067.12650666723</v>
      </c>
      <c r="AR883" s="90">
        <f>IF(AR878-AQ878+'Assumptions (Solar)'!AQ46&gt;0,AR878-AQ878+'Assumptions (Solar)'!AQ46,0)</f>
        <v>542135.22650666721</v>
      </c>
      <c r="AS883" s="90">
        <f>IF(AS878-AR878+'Assumptions (Solar)'!AR46&gt;0,AS878-AR878+'Assumptions (Solar)'!AR46,0)</f>
        <v>542271.32650666719</v>
      </c>
      <c r="AT883" s="90">
        <f>IF(AT878-AS878+'Assumptions (Solar)'!AS46&gt;0,AT878-AS878+'Assumptions (Solar)'!AS46,0)</f>
        <v>542819.52650666726</v>
      </c>
      <c r="AU883" s="90">
        <f>IF(AU878-AT878+'Assumptions (Solar)'!AT46&gt;0,AU878-AT878+'Assumptions (Solar)'!AT46,0)</f>
        <v>543618.02650666726</v>
      </c>
      <c r="AV883" s="90">
        <f>IF(AV878-AU878+'Assumptions (Solar)'!AU46&gt;0,AV878-AU878+'Assumptions (Solar)'!AU46,0)</f>
        <v>545570.82650666719</v>
      </c>
      <c r="AW883" s="90">
        <f>IF(AW878-AV878+'Assumptions (Solar)'!AV46&gt;0,AW878-AV878+'Assumptions (Solar)'!AV46,0)</f>
        <v>545752.62650666723</v>
      </c>
      <c r="AX883" s="90">
        <f>IF(AX878-AW878+'Assumptions (Solar)'!AW46&gt;0,AX878-AW878+'Assumptions (Solar)'!AW46,0)</f>
        <v>545537.02650666726</v>
      </c>
      <c r="AY883" s="90">
        <f>IF(AY878-AX878+'Assumptions (Solar)'!AX46&gt;0,AY878-AX878+'Assumptions (Solar)'!AX46,0)</f>
        <v>550044.22650666721</v>
      </c>
      <c r="AZ883" s="90">
        <f>IF(AZ878-AY878+'Assumptions (Solar)'!AY46&gt;0,AZ878-AY878+'Assumptions (Solar)'!AY46,0)</f>
        <v>546740.82650666719</v>
      </c>
      <c r="BA883" s="90">
        <f>IF(BA878-AZ878+'Assumptions (Solar)'!AZ46&gt;0,BA878-AZ878+'Assumptions (Solar)'!AZ46,0)</f>
        <v>542856.3265066616</v>
      </c>
    </row>
    <row r="884" spans="1:53" ht="15.75" customHeight="1">
      <c r="A884" s="401" t="s">
        <v>48</v>
      </c>
      <c r="B884" s="99" t="s">
        <v>153</v>
      </c>
      <c r="C884" s="99"/>
      <c r="D884" s="99"/>
      <c r="E884" s="99"/>
      <c r="F884" s="99"/>
      <c r="G884" s="99"/>
      <c r="H884" s="99"/>
      <c r="I884" s="99"/>
      <c r="J884" s="99"/>
      <c r="K884" s="99"/>
      <c r="L884" s="99"/>
      <c r="M884" s="99"/>
      <c r="N884" s="99"/>
      <c r="O884" s="99"/>
      <c r="P884" s="99"/>
      <c r="Q884" s="99"/>
      <c r="R884" s="99"/>
      <c r="S884" s="99"/>
      <c r="T884" s="99"/>
      <c r="U884" s="99"/>
      <c r="V884" s="99"/>
      <c r="W884" s="90"/>
      <c r="X884" s="90">
        <f>IF(W883='Assumptions (Solar)'!$V$13,Model!X879-(Model!X878*0.00876*('Assumptions (Solar)'!V18*'Assumptions (Solar)'!V21+'Assumptions (Solar)'!V19*'Assumptions (Solar)'!V23)),0)</f>
        <v>0</v>
      </c>
      <c r="Y884" s="90">
        <f>IF(X883='Assumptions (Solar)'!$V$13,Model!Y879-(Model!Y878*0.00876*('Assumptions (Solar)'!W18*'Assumptions (Solar)'!W21+'Assumptions (Solar)'!W19*'Assumptions (Solar)'!W23)),0)</f>
        <v>0</v>
      </c>
      <c r="Z884" s="90">
        <f>IF(Y883='Assumptions (Solar)'!$V$13,Model!Z879-(Model!Z878*0.00876*('Assumptions (Solar)'!X18*'Assumptions (Solar)'!X21+'Assumptions (Solar)'!X19*'Assumptions (Solar)'!X23)),0)</f>
        <v>0</v>
      </c>
      <c r="AA884" s="90">
        <f>IF(Z883='Assumptions (Solar)'!$V$13,Model!AA879-(Model!AA878*0.00876*('Assumptions (Solar)'!Y18*'Assumptions (Solar)'!Y21+'Assumptions (Solar)'!Y19*'Assumptions (Solar)'!Y23)),0)</f>
        <v>0</v>
      </c>
      <c r="AB884" s="90">
        <f>IF(AA883='Assumptions (Solar)'!$V$13,Model!AB879-(Model!AB878*0.00876*('Assumptions (Solar)'!Z18*'Assumptions (Solar)'!Z21+'Assumptions (Solar)'!Z19*'Assumptions (Solar)'!Z23)),0)</f>
        <v>0</v>
      </c>
      <c r="AC884" s="90">
        <f>IF(AB883='Assumptions (Solar)'!$V$13,Model!AC879-(Model!AC878*0.00876*('Assumptions (Solar)'!AA18*'Assumptions (Solar)'!AA21+'Assumptions (Solar)'!AA19*'Assumptions (Solar)'!AA23)),0)</f>
        <v>0</v>
      </c>
      <c r="AD884" s="90">
        <f>IF(AC883='Assumptions (Solar)'!$V$13,Model!AD879-(Model!AD878*0.00876*('Assumptions (Solar)'!AB18*'Assumptions (Solar)'!AB21+'Assumptions (Solar)'!AB19*'Assumptions (Solar)'!AB23)),0)</f>
        <v>0</v>
      </c>
      <c r="AE884" s="90">
        <f>IF(AD883='Assumptions (Solar)'!$V$13,Model!AE879-(Model!AE878*0.00876*('Assumptions (Solar)'!AC18*'Assumptions (Solar)'!AC21+'Assumptions (Solar)'!AC19*'Assumptions (Solar)'!AC23)),0)</f>
        <v>0</v>
      </c>
      <c r="AF884" s="90">
        <f>IF(AE883='Assumptions (Solar)'!$V$13,Model!AF879-(Model!AF878*0.00876*('Assumptions (Solar)'!AD18*'Assumptions (Solar)'!AD21+'Assumptions (Solar)'!AD19*'Assumptions (Solar)'!AD23)),0)</f>
        <v>0</v>
      </c>
      <c r="AG884" s="90">
        <f>IF(AF883='Assumptions (Solar)'!$V$13,Model!AG879-(Model!AG878*0.00876*('Assumptions (Solar)'!AE18*'Assumptions (Solar)'!AE21+'Assumptions (Solar)'!AE19*'Assumptions (Solar)'!AE23)),0)</f>
        <v>0</v>
      </c>
      <c r="AH884" s="90">
        <f>IF(AG883='Assumptions (Solar)'!$V$13,Model!AH879-(Model!AH878*0.00876*('Assumptions (Solar)'!AF18*'Assumptions (Solar)'!AF21+'Assumptions (Solar)'!AF19*'Assumptions (Solar)'!AF23)),0)</f>
        <v>0</v>
      </c>
      <c r="AI884" s="90">
        <f>IF(AH883='Assumptions (Solar)'!$V$13,Model!AI879-(Model!AI878*0.00876*('Assumptions (Solar)'!AG18*'Assumptions (Solar)'!AG21+'Assumptions (Solar)'!AG19*'Assumptions (Solar)'!AG23)),0)</f>
        <v>0</v>
      </c>
      <c r="AJ884" s="90">
        <f>IF(AI883='Assumptions (Solar)'!$V$13,Model!AJ879-(Model!AJ878*0.00876*('Assumptions (Solar)'!AH18*'Assumptions (Solar)'!AH21+'Assumptions (Solar)'!AH19*'Assumptions (Solar)'!AH23)),0)</f>
        <v>0</v>
      </c>
      <c r="AK884" s="90">
        <f>IF(AJ883='Assumptions (Solar)'!$V$13,Model!AK879-(Model!AK878*0.00876*('Assumptions (Solar)'!AI18*'Assumptions (Solar)'!AI21+'Assumptions (Solar)'!AI19*'Assumptions (Solar)'!AI23)),0)</f>
        <v>0</v>
      </c>
      <c r="AL884" s="90">
        <f>IF(AK883='Assumptions (Solar)'!$V$13,Model!AL879-(Model!AL878*0.00876*('Assumptions (Solar)'!AJ18*'Assumptions (Solar)'!AJ21+'Assumptions (Solar)'!AJ19*'Assumptions (Solar)'!AJ23)),0)</f>
        <v>0</v>
      </c>
      <c r="AM884" s="90">
        <f>IF(AL883='Assumptions (Solar)'!$V$13,Model!AM879-(Model!AM878*0.00876*('Assumptions (Solar)'!AK18*'Assumptions (Solar)'!AK21+'Assumptions (Solar)'!AK19*'Assumptions (Solar)'!AK23)),0)</f>
        <v>0</v>
      </c>
      <c r="AN884" s="90">
        <f>IF(AM883='Assumptions (Solar)'!$V$13,Model!AN879-(Model!AN878*0.00876*('Assumptions (Solar)'!AL18*'Assumptions (Solar)'!AL21+'Assumptions (Solar)'!AL19*'Assumptions (Solar)'!AL23)),0)</f>
        <v>0</v>
      </c>
      <c r="AO884" s="90">
        <f>IF(AN883='Assumptions (Solar)'!$V$13,Model!AO879-(Model!AO878*0.00876*('Assumptions (Solar)'!AM18*'Assumptions (Solar)'!AM21+'Assumptions (Solar)'!AM19*'Assumptions (Solar)'!AM23)),0)</f>
        <v>0</v>
      </c>
      <c r="AP884" s="90">
        <f>IF(AO883='Assumptions (Solar)'!$V$13,Model!AP879-(Model!AP878*0.00876*('Assumptions (Solar)'!AN18*'Assumptions (Solar)'!AN21+'Assumptions (Solar)'!AN19*'Assumptions (Solar)'!AN23)),0)</f>
        <v>0</v>
      </c>
      <c r="AQ884" s="90">
        <f>IF(AP883='Assumptions (Solar)'!$V$13,Model!AQ879-(Model!AQ878*0.00876*('Assumptions (Solar)'!AO18*'Assumptions (Solar)'!AO21+'Assumptions (Solar)'!AO19*'Assumptions (Solar)'!AO23)),0)</f>
        <v>0</v>
      </c>
      <c r="AR884" s="90">
        <f>IF(AQ883='Assumptions (Solar)'!$V$13,Model!AR879-(Model!AR878*0.00876*('Assumptions (Solar)'!AP18*'Assumptions (Solar)'!AP21+'Assumptions (Solar)'!AP19*'Assumptions (Solar)'!AP23)),0)</f>
        <v>0</v>
      </c>
      <c r="AS884" s="90">
        <f>IF(AR883='Assumptions (Solar)'!$V$13,Model!AS879-(Model!AS878*0.00876*('Assumptions (Solar)'!AQ18*'Assumptions (Solar)'!AQ21+'Assumptions (Solar)'!AQ19*'Assumptions (Solar)'!AQ23)),0)</f>
        <v>0</v>
      </c>
      <c r="AT884" s="90">
        <f>IF(AS883='Assumptions (Solar)'!$V$13,Model!AT879-(Model!AT878*0.00876*('Assumptions (Solar)'!AR18*'Assumptions (Solar)'!AR21+'Assumptions (Solar)'!AR19*'Assumptions (Solar)'!AR23)),0)</f>
        <v>0</v>
      </c>
      <c r="AU884" s="90">
        <f>IF(AT883='Assumptions (Solar)'!$V$13,Model!AU879-(Model!AU878*0.00876*('Assumptions (Solar)'!AS18*'Assumptions (Solar)'!AS21+'Assumptions (Solar)'!AS19*'Assumptions (Solar)'!AS23)),0)</f>
        <v>0</v>
      </c>
      <c r="AV884" s="90">
        <f>IF(AU883='Assumptions (Solar)'!$V$13,Model!AV879-(Model!AV878*0.00876*('Assumptions (Solar)'!AT18*'Assumptions (Solar)'!AT21+'Assumptions (Solar)'!AT19*'Assumptions (Solar)'!AT23)),0)</f>
        <v>0</v>
      </c>
      <c r="AW884" s="90">
        <f>IF(AV883='Assumptions (Solar)'!$V$13,Model!AW879-(Model!AW878*0.00876*('Assumptions (Solar)'!AU18*'Assumptions (Solar)'!AU21+'Assumptions (Solar)'!AU19*'Assumptions (Solar)'!AU23)),0)</f>
        <v>0</v>
      </c>
      <c r="AX884" s="90">
        <f>IF(AW883='Assumptions (Solar)'!$V$13,Model!AX879-(Model!AX878*0.00876*('Assumptions (Solar)'!AV18*'Assumptions (Solar)'!AV21+'Assumptions (Solar)'!AV19*'Assumptions (Solar)'!AV23)),0)</f>
        <v>0</v>
      </c>
      <c r="AY884" s="90">
        <f>IF(AX883='Assumptions (Solar)'!$V$13,Model!AY879-(Model!AY878*0.00876*('Assumptions (Solar)'!AW18*'Assumptions (Solar)'!AW21+'Assumptions (Solar)'!AW19*'Assumptions (Solar)'!AW23)),0)</f>
        <v>0</v>
      </c>
      <c r="AZ884" s="90">
        <f>IF(AY883='Assumptions (Solar)'!$V$13,Model!AZ879-(Model!AZ878*0.00876*('Assumptions (Solar)'!AX18*'Assumptions (Solar)'!AX21+'Assumptions (Solar)'!AX19*'Assumptions (Solar)'!AX23)),0)</f>
        <v>0</v>
      </c>
      <c r="BA884" s="90">
        <f>IF(AZ883='Assumptions (Solar)'!$V$13,Model!BA879-(Model!BA878*0.00876*('Assumptions (Solar)'!AY18*'Assumptions (Solar)'!AY21+'Assumptions (Solar)'!AY19*'Assumptions (Solar)'!AY23)),0)</f>
        <v>0</v>
      </c>
    </row>
    <row r="885" spans="1:53" ht="15.75" customHeight="1">
      <c r="A885" s="403" t="s">
        <v>290</v>
      </c>
      <c r="B885" s="99" t="s">
        <v>201</v>
      </c>
      <c r="C885" s="150">
        <f t="shared" ref="C885:BA885" si="24">SUM(C886:C936)</f>
        <v>2.3653925309133322E-2</v>
      </c>
      <c r="D885" s="150">
        <f t="shared" si="24"/>
        <v>6.3046808612420725E-3</v>
      </c>
      <c r="E885" s="150">
        <f t="shared" si="24"/>
        <v>2.9722066917284062E-4</v>
      </c>
      <c r="F885" s="150">
        <f t="shared" si="24"/>
        <v>0</v>
      </c>
      <c r="G885" s="150">
        <f t="shared" si="24"/>
        <v>5.8261195571260209E-3</v>
      </c>
      <c r="H885" s="150">
        <f t="shared" si="24"/>
        <v>5.1910725253992837E-3</v>
      </c>
      <c r="I885" s="150">
        <f t="shared" si="24"/>
        <v>0.28750755181923937</v>
      </c>
      <c r="J885" s="150">
        <f t="shared" si="24"/>
        <v>8.3100246308349376E-2</v>
      </c>
      <c r="K885" s="150">
        <f t="shared" si="24"/>
        <v>0.28178615153803654</v>
      </c>
      <c r="L885" s="150">
        <f t="shared" si="24"/>
        <v>0.647139945871822</v>
      </c>
      <c r="M885" s="150">
        <f t="shared" si="24"/>
        <v>2.1441552636376904</v>
      </c>
      <c r="N885" s="150">
        <f t="shared" si="24"/>
        <v>4.2907706286714955</v>
      </c>
      <c r="O885" s="150">
        <f t="shared" si="24"/>
        <v>9.4970097393391573</v>
      </c>
      <c r="P885" s="150">
        <f t="shared" si="24"/>
        <v>9.8898248352232443</v>
      </c>
      <c r="Q885" s="150">
        <f t="shared" si="24"/>
        <v>9.2189725017322477</v>
      </c>
      <c r="R885" s="150">
        <f t="shared" si="24"/>
        <v>20.882343983587578</v>
      </c>
      <c r="S885" s="150">
        <f t="shared" si="24"/>
        <v>12.143837440744242</v>
      </c>
      <c r="T885" s="150">
        <f t="shared" si="24"/>
        <v>12.99549625829823</v>
      </c>
      <c r="U885" s="150">
        <f t="shared" si="24"/>
        <v>7.2548414373209411</v>
      </c>
      <c r="V885" s="150">
        <f t="shared" si="24"/>
        <v>25.008216211067381</v>
      </c>
      <c r="W885" s="150">
        <f t="shared" si="24"/>
        <v>1347.0228725129937</v>
      </c>
      <c r="X885" s="150">
        <f t="shared" si="24"/>
        <v>1378.8075577703769</v>
      </c>
      <c r="Y885" s="150">
        <f t="shared" si="24"/>
        <v>1417.0074886211814</v>
      </c>
      <c r="Z885" s="150">
        <f t="shared" si="24"/>
        <v>1454.158465340664</v>
      </c>
      <c r="AA885" s="150">
        <f t="shared" si="24"/>
        <v>1491.62757752585</v>
      </c>
      <c r="AB885" s="150">
        <f t="shared" si="24"/>
        <v>1524.7334731916264</v>
      </c>
      <c r="AC885" s="150">
        <f t="shared" si="24"/>
        <v>1560.3521328005422</v>
      </c>
      <c r="AD885" s="150">
        <f t="shared" si="24"/>
        <v>1598.407664384443</v>
      </c>
      <c r="AE885" s="150">
        <f t="shared" si="24"/>
        <v>1638.2723734833139</v>
      </c>
      <c r="AF885" s="150">
        <f t="shared" si="24"/>
        <v>1676.5592343931155</v>
      </c>
      <c r="AG885" s="150">
        <f t="shared" si="24"/>
        <v>1708.0522263225578</v>
      </c>
      <c r="AH885" s="150">
        <f t="shared" si="24"/>
        <v>1739.3210422285508</v>
      </c>
      <c r="AI885" s="150">
        <f t="shared" si="24"/>
        <v>1770.2027063339615</v>
      </c>
      <c r="AJ885" s="150">
        <f t="shared" si="24"/>
        <v>1800.7209931479704</v>
      </c>
      <c r="AK885" s="150">
        <f t="shared" si="24"/>
        <v>1830.831863942514</v>
      </c>
      <c r="AL885" s="150">
        <f t="shared" si="24"/>
        <v>1860.6369560228288</v>
      </c>
      <c r="AM885" s="150">
        <f t="shared" si="24"/>
        <v>1902.6874995829212</v>
      </c>
      <c r="AN885" s="150">
        <f t="shared" si="24"/>
        <v>1942.8361125707747</v>
      </c>
      <c r="AO885" s="150">
        <f t="shared" si="24"/>
        <v>1982.9373662611044</v>
      </c>
      <c r="AP885" s="150">
        <f t="shared" si="24"/>
        <v>2027.1888783804786</v>
      </c>
      <c r="AQ885" s="150">
        <f t="shared" si="24"/>
        <v>2075.0824333231594</v>
      </c>
      <c r="AR885" s="150">
        <f t="shared" si="24"/>
        <v>2122.8795305919425</v>
      </c>
      <c r="AS885" s="150">
        <f t="shared" si="24"/>
        <v>2173.1284789633605</v>
      </c>
      <c r="AT885" s="150">
        <f t="shared" si="24"/>
        <v>2225.7255418490704</v>
      </c>
      <c r="AU885" s="150">
        <f t="shared" si="24"/>
        <v>2282.6857594796602</v>
      </c>
      <c r="AV885" s="150">
        <f t="shared" si="24"/>
        <v>2331.3194184480963</v>
      </c>
      <c r="AW885" s="150">
        <f t="shared" si="24"/>
        <v>2375.0856390427653</v>
      </c>
      <c r="AX885" s="150">
        <f t="shared" si="24"/>
        <v>2444.5173446598806</v>
      </c>
      <c r="AY885" s="150">
        <f t="shared" si="24"/>
        <v>2486.9740961412317</v>
      </c>
      <c r="AZ885" s="150">
        <f t="shared" si="24"/>
        <v>2528.3184975070153</v>
      </c>
      <c r="BA885" s="150">
        <f t="shared" si="24"/>
        <v>0</v>
      </c>
    </row>
    <row r="886" spans="1:53" ht="15.75" hidden="1" customHeight="1" outlineLevel="1">
      <c r="A886" s="401"/>
      <c r="B886" s="99"/>
      <c r="C886" s="91">
        <f>IF($C$883&gt;0,2*'Assumptions (Solar)'!$V$16*Model!$C$883*('Assumptions (Solar)'!B18*'Assumptions (Solar)'!B$2+'Assumptions (Solar)'!B19*'Assumptions (Solar)'!B3)/10^9,0)</f>
        <v>0</v>
      </c>
      <c r="D886" s="105"/>
      <c r="E886" s="105"/>
      <c r="F886" s="105"/>
      <c r="G886" s="105"/>
      <c r="H886" s="105"/>
      <c r="I886" s="105"/>
      <c r="J886" s="105"/>
      <c r="K886" s="105"/>
      <c r="L886" s="105"/>
      <c r="M886" s="105"/>
      <c r="N886" s="105"/>
      <c r="O886" s="105"/>
      <c r="P886" s="105"/>
      <c r="Q886" s="105"/>
      <c r="R886" s="105"/>
      <c r="S886" s="105"/>
      <c r="T886" s="105"/>
      <c r="U886" s="105"/>
      <c r="V886" s="99"/>
      <c r="W886" s="150"/>
      <c r="X886" s="150"/>
      <c r="Y886" s="150"/>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c r="AT886" s="105"/>
      <c r="AU886" s="105"/>
      <c r="AV886" s="105"/>
      <c r="AW886" s="105"/>
      <c r="AX886" s="105"/>
      <c r="AY886" s="105"/>
      <c r="AZ886" s="105"/>
      <c r="BA886" s="105"/>
    </row>
    <row r="887" spans="1:53" ht="15.75" hidden="1" customHeight="1" outlineLevel="1">
      <c r="A887" s="401"/>
      <c r="B887" s="99"/>
      <c r="C887" s="91">
        <f>IF($D$883&gt;0,2*'Assumptions (Solar)'!$V$16*Model!$D$883*('Assumptions (Solar)'!B18*'Assumptions (Solar)'!B$2+'Assumptions (Solar)'!B19*'Assumptions (Solar)'!B3)/10^9,0)</f>
        <v>2.3653925309133322E-2</v>
      </c>
      <c r="D887" s="91"/>
      <c r="E887" s="91"/>
      <c r="F887" s="91"/>
      <c r="G887" s="91"/>
      <c r="H887" s="91"/>
      <c r="I887" s="91"/>
      <c r="J887" s="91"/>
      <c r="K887" s="91"/>
      <c r="L887" s="91"/>
      <c r="M887" s="105"/>
      <c r="N887" s="105"/>
      <c r="O887" s="105"/>
      <c r="P887" s="105"/>
      <c r="Q887" s="105"/>
      <c r="R887" s="105"/>
      <c r="S887" s="105"/>
      <c r="T887" s="105"/>
      <c r="U887" s="105"/>
      <c r="V887" s="99"/>
      <c r="W887" s="150"/>
      <c r="X887" s="150"/>
      <c r="Y887" s="150"/>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c r="AT887" s="105"/>
      <c r="AU887" s="105"/>
      <c r="AV887" s="105"/>
      <c r="AW887" s="105"/>
      <c r="AX887" s="105"/>
      <c r="AY887" s="105"/>
      <c r="AZ887" s="105"/>
      <c r="BA887" s="105"/>
    </row>
    <row r="888" spans="1:53" ht="15.75" hidden="1" customHeight="1" outlineLevel="1">
      <c r="A888" s="401"/>
      <c r="B888" s="99"/>
      <c r="C888" s="91"/>
      <c r="D888" s="91">
        <f>IF($E$883&gt;0,'Assumptions (Solar)'!$V$16*Model!$E$883*('Assumptions (Solar)'!C18*'Assumptions (Solar)'!C$2+'Assumptions (Solar)'!C19*'Assumptions (Solar)'!C3)/10^9,0)</f>
        <v>6.3046808612420725E-3</v>
      </c>
      <c r="E888" s="91"/>
      <c r="F888" s="91"/>
      <c r="G888" s="91"/>
      <c r="H888" s="91"/>
      <c r="I888" s="91"/>
      <c r="J888" s="91"/>
      <c r="K888" s="91"/>
      <c r="L888" s="91"/>
      <c r="M888" s="105"/>
      <c r="N888" s="105"/>
      <c r="O888" s="105"/>
      <c r="P888" s="105"/>
      <c r="Q888" s="105"/>
      <c r="R888" s="105"/>
      <c r="S888" s="105"/>
      <c r="T888" s="105"/>
      <c r="U888" s="105"/>
      <c r="V888" s="99"/>
      <c r="W888" s="150"/>
      <c r="X888" s="150"/>
      <c r="Y888" s="150"/>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c r="AT888" s="105"/>
      <c r="AU888" s="105"/>
      <c r="AV888" s="105"/>
      <c r="AW888" s="105"/>
      <c r="AX888" s="105"/>
      <c r="AY888" s="105"/>
      <c r="AZ888" s="105"/>
      <c r="BA888" s="105"/>
    </row>
    <row r="889" spans="1:53" ht="15.75" hidden="1" customHeight="1" outlineLevel="1">
      <c r="A889" s="401"/>
      <c r="B889" s="99"/>
      <c r="C889" s="91"/>
      <c r="D889" s="91"/>
      <c r="E889" s="91">
        <f>IF($F$883&gt;0,'Assumptions (Solar)'!$V$16*Model!$F$883*('Assumptions (Solar)'!D18*'Assumptions (Solar)'!D$2+'Assumptions (Solar)'!D19*'Assumptions (Solar)'!D3)/10^9,0)</f>
        <v>2.9722066917284062E-4</v>
      </c>
      <c r="F889" s="91"/>
      <c r="G889" s="91"/>
      <c r="H889" s="91"/>
      <c r="I889" s="91"/>
      <c r="J889" s="91"/>
      <c r="K889" s="91"/>
      <c r="L889" s="91"/>
      <c r="M889" s="105"/>
      <c r="N889" s="105"/>
      <c r="O889" s="105"/>
      <c r="P889" s="105"/>
      <c r="Q889" s="105"/>
      <c r="R889" s="105"/>
      <c r="S889" s="105"/>
      <c r="T889" s="105"/>
      <c r="U889" s="105"/>
      <c r="V889" s="99"/>
      <c r="W889" s="150"/>
      <c r="X889" s="150"/>
      <c r="Y889" s="150"/>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c r="AT889" s="105"/>
      <c r="AU889" s="105"/>
      <c r="AV889" s="105"/>
      <c r="AW889" s="105"/>
      <c r="AX889" s="105"/>
      <c r="AY889" s="105"/>
      <c r="AZ889" s="105"/>
      <c r="BA889" s="105"/>
    </row>
    <row r="890" spans="1:53" ht="15.75" hidden="1" customHeight="1" outlineLevel="1">
      <c r="A890" s="401"/>
      <c r="B890" s="99"/>
      <c r="C890" s="91"/>
      <c r="D890" s="91"/>
      <c r="E890" s="91"/>
      <c r="F890" s="91">
        <f>IF($G$883&gt;0,'Assumptions (Solar)'!$V$16*Model!$G$883*('Assumptions (Solar)'!E18*'Assumptions (Solar)'!E$2+'Assumptions (Solar)'!E19*'Assumptions (Solar)'!E3)/10^9,0)</f>
        <v>0</v>
      </c>
      <c r="G890" s="91"/>
      <c r="H890" s="91"/>
      <c r="I890" s="91"/>
      <c r="J890" s="91"/>
      <c r="K890" s="91"/>
      <c r="L890" s="91"/>
      <c r="M890" s="105"/>
      <c r="N890" s="105"/>
      <c r="O890" s="105"/>
      <c r="P890" s="105"/>
      <c r="Q890" s="105"/>
      <c r="R890" s="105"/>
      <c r="S890" s="105"/>
      <c r="T890" s="105"/>
      <c r="U890" s="105"/>
      <c r="V890" s="99"/>
      <c r="W890" s="150"/>
      <c r="X890" s="150"/>
      <c r="Y890" s="150"/>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c r="AT890" s="105"/>
      <c r="AU890" s="105"/>
      <c r="AV890" s="105"/>
      <c r="AW890" s="105"/>
      <c r="AX890" s="105"/>
      <c r="AY890" s="105"/>
      <c r="AZ890" s="105"/>
      <c r="BA890" s="105"/>
    </row>
    <row r="891" spans="1:53" ht="15.75" hidden="1" customHeight="1" outlineLevel="1">
      <c r="A891" s="401"/>
      <c r="B891" s="99"/>
      <c r="C891" s="91"/>
      <c r="D891" s="91"/>
      <c r="E891" s="91"/>
      <c r="F891" s="91"/>
      <c r="G891" s="91">
        <f>IF($H$883&gt;0,'Assumptions (Solar)'!$V$16*Model!$H$883*('Assumptions (Solar)'!F18*'Assumptions (Solar)'!F$2+'Assumptions (Solar)'!F19*'Assumptions (Solar)'!F3)/10^9,0)</f>
        <v>5.8261195571260209E-3</v>
      </c>
      <c r="H891" s="91"/>
      <c r="I891" s="91"/>
      <c r="J891" s="91"/>
      <c r="K891" s="91"/>
      <c r="L891" s="91"/>
      <c r="M891" s="105"/>
      <c r="N891" s="105"/>
      <c r="O891" s="105"/>
      <c r="P891" s="105"/>
      <c r="Q891" s="105"/>
      <c r="R891" s="105"/>
      <c r="S891" s="105"/>
      <c r="T891" s="105"/>
      <c r="U891" s="105"/>
      <c r="V891" s="99"/>
      <c r="W891" s="150"/>
      <c r="X891" s="150"/>
      <c r="Y891" s="150"/>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c r="AT891" s="105"/>
      <c r="AU891" s="105"/>
      <c r="AV891" s="105"/>
      <c r="AW891" s="105"/>
      <c r="AX891" s="105"/>
      <c r="AY891" s="105"/>
      <c r="AZ891" s="105"/>
      <c r="BA891" s="105"/>
    </row>
    <row r="892" spans="1:53" ht="15.75" hidden="1" customHeight="1" outlineLevel="1">
      <c r="A892" s="401"/>
      <c r="B892" s="99"/>
      <c r="C892" s="91"/>
      <c r="D892" s="91"/>
      <c r="E892" s="91"/>
      <c r="F892" s="91"/>
      <c r="G892" s="91"/>
      <c r="H892" s="91">
        <f>IF($I$883&gt;0,'Assumptions (Solar)'!$V$16*Model!$I$883*('Assumptions (Solar)'!G18*'Assumptions (Solar)'!G$2+'Assumptions (Solar)'!G19*'Assumptions (Solar)'!G3)/10^9,0)</f>
        <v>5.1910725253992837E-3</v>
      </c>
      <c r="I892" s="91"/>
      <c r="J892" s="91"/>
      <c r="K892" s="91"/>
      <c r="L892" s="91"/>
      <c r="M892" s="105"/>
      <c r="N892" s="105"/>
      <c r="O892" s="105"/>
      <c r="P892" s="105"/>
      <c r="Q892" s="105"/>
      <c r="R892" s="105"/>
      <c r="S892" s="105"/>
      <c r="T892" s="105"/>
      <c r="U892" s="105"/>
      <c r="V892" s="99"/>
      <c r="W892" s="150"/>
      <c r="X892" s="150"/>
      <c r="Y892" s="150"/>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c r="AT892" s="105"/>
      <c r="AU892" s="105"/>
      <c r="AV892" s="105"/>
      <c r="AW892" s="105"/>
      <c r="AX892" s="105"/>
      <c r="AY892" s="105"/>
      <c r="AZ892" s="105"/>
      <c r="BA892" s="105"/>
    </row>
    <row r="893" spans="1:53" ht="15.75" hidden="1" customHeight="1" outlineLevel="1">
      <c r="A893" s="401"/>
      <c r="B893" s="99"/>
      <c r="C893" s="91"/>
      <c r="D893" s="91"/>
      <c r="E893" s="91"/>
      <c r="F893" s="91"/>
      <c r="G893" s="91"/>
      <c r="H893" s="91"/>
      <c r="I893" s="91">
        <f>IF($J$883&gt;0,'Assumptions (Solar)'!$V$16*Model!$J$883*('Assumptions (Solar)'!H18*'Assumptions (Solar)'!H$2+'Assumptions (Solar)'!H19*'Assumptions (Solar)'!H3)/10^9,0)</f>
        <v>0.28750755181923937</v>
      </c>
      <c r="J893" s="91"/>
      <c r="K893" s="91"/>
      <c r="L893" s="91"/>
      <c r="M893" s="105"/>
      <c r="N893" s="105"/>
      <c r="O893" s="105"/>
      <c r="P893" s="105"/>
      <c r="Q893" s="105"/>
      <c r="R893" s="105"/>
      <c r="S893" s="105"/>
      <c r="T893" s="105"/>
      <c r="U893" s="105"/>
      <c r="V893" s="99"/>
      <c r="W893" s="150"/>
      <c r="X893" s="150"/>
      <c r="Y893" s="150"/>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c r="AT893" s="105"/>
      <c r="AU893" s="105"/>
      <c r="AV893" s="105"/>
      <c r="AW893" s="105"/>
      <c r="AX893" s="105"/>
      <c r="AY893" s="105"/>
      <c r="AZ893" s="105"/>
      <c r="BA893" s="105"/>
    </row>
    <row r="894" spans="1:53" ht="15.75" hidden="1" customHeight="1" outlineLevel="1">
      <c r="A894" s="401"/>
      <c r="B894" s="99"/>
      <c r="C894" s="91"/>
      <c r="D894" s="91"/>
      <c r="E894" s="91"/>
      <c r="F894" s="91"/>
      <c r="G894" s="91"/>
      <c r="H894" s="91"/>
      <c r="I894" s="91"/>
      <c r="J894" s="91">
        <f>IF($K$883&gt;0,'Assumptions (Solar)'!$V$16*Model!$K$883*('Assumptions (Solar)'!I18*'Assumptions (Solar)'!I$2+'Assumptions (Solar)'!I19*'Assumptions (Solar)'!I3)/10^9,0)</f>
        <v>8.3100246308349376E-2</v>
      </c>
      <c r="K894" s="91"/>
      <c r="L894" s="91"/>
      <c r="M894" s="105"/>
      <c r="N894" s="105"/>
      <c r="O894" s="105"/>
      <c r="P894" s="105"/>
      <c r="Q894" s="105"/>
      <c r="R894" s="105"/>
      <c r="S894" s="105"/>
      <c r="T894" s="105"/>
      <c r="U894" s="105"/>
      <c r="V894" s="99"/>
      <c r="W894" s="150"/>
      <c r="X894" s="150"/>
      <c r="Y894" s="150"/>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c r="AT894" s="105"/>
      <c r="AU894" s="105"/>
      <c r="AV894" s="105"/>
      <c r="AW894" s="105"/>
      <c r="AX894" s="105"/>
      <c r="AY894" s="105"/>
      <c r="AZ894" s="105"/>
      <c r="BA894" s="105"/>
    </row>
    <row r="895" spans="1:53" ht="15.75" hidden="1" customHeight="1" outlineLevel="1">
      <c r="A895" s="401"/>
      <c r="B895" s="99"/>
      <c r="C895" s="91"/>
      <c r="D895" s="91"/>
      <c r="E895" s="91"/>
      <c r="F895" s="91"/>
      <c r="G895" s="91"/>
      <c r="H895" s="91"/>
      <c r="I895" s="91"/>
      <c r="J895" s="91"/>
      <c r="K895" s="91">
        <f>IF($L$883&gt;0,'Assumptions (Solar)'!$V$16*Model!$L$883*('Assumptions (Solar)'!J18*'Assumptions (Solar)'!J$2+'Assumptions (Solar)'!J19*'Assumptions (Solar)'!J3)/10^9,0)</f>
        <v>0.28178615153803654</v>
      </c>
      <c r="L895" s="91"/>
      <c r="M895" s="105"/>
      <c r="N895" s="105"/>
      <c r="O895" s="105"/>
      <c r="P895" s="105"/>
      <c r="Q895" s="105"/>
      <c r="R895" s="105"/>
      <c r="S895" s="105"/>
      <c r="T895" s="105"/>
      <c r="U895" s="105"/>
      <c r="V895" s="99"/>
      <c r="W895" s="150"/>
      <c r="X895" s="150"/>
      <c r="Y895" s="150"/>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c r="AT895" s="105"/>
      <c r="AU895" s="105"/>
      <c r="AV895" s="105"/>
      <c r="AW895" s="105"/>
      <c r="AX895" s="105"/>
      <c r="AY895" s="105"/>
      <c r="AZ895" s="105"/>
      <c r="BA895" s="105"/>
    </row>
    <row r="896" spans="1:53" ht="15.75" hidden="1" customHeight="1" outlineLevel="1">
      <c r="A896" s="401"/>
      <c r="B896" s="99"/>
      <c r="C896" s="91"/>
      <c r="D896" s="91"/>
      <c r="E896" s="91"/>
      <c r="F896" s="91"/>
      <c r="G896" s="91"/>
      <c r="H896" s="91"/>
      <c r="I896" s="91"/>
      <c r="J896" s="91"/>
      <c r="K896" s="91"/>
      <c r="L896" s="91">
        <f>IF($M$883&gt;0,'Assumptions (Solar)'!$V$16*Model!$M$883*('Assumptions (Solar)'!K18*'Assumptions (Solar)'!K$2+'Assumptions (Solar)'!K19*'Assumptions (Solar)'!K3)/10^9,0)</f>
        <v>0.647139945871822</v>
      </c>
      <c r="M896" s="105"/>
      <c r="N896" s="105"/>
      <c r="O896" s="105"/>
      <c r="P896" s="105"/>
      <c r="Q896" s="105"/>
      <c r="R896" s="105"/>
      <c r="S896" s="105"/>
      <c r="T896" s="105"/>
      <c r="U896" s="105"/>
      <c r="V896" s="99"/>
      <c r="W896" s="150"/>
      <c r="X896" s="150"/>
      <c r="Y896" s="150"/>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c r="AT896" s="105"/>
      <c r="AU896" s="105"/>
      <c r="AV896" s="105"/>
      <c r="AW896" s="105"/>
      <c r="AX896" s="105"/>
      <c r="AY896" s="105"/>
      <c r="AZ896" s="105"/>
      <c r="BA896" s="105"/>
    </row>
    <row r="897" spans="1:53" ht="15.75" hidden="1" customHeight="1" outlineLevel="1">
      <c r="A897" s="401"/>
      <c r="B897" s="99"/>
      <c r="C897" s="105"/>
      <c r="D897" s="105"/>
      <c r="E897" s="105"/>
      <c r="F897" s="105"/>
      <c r="G897" s="105"/>
      <c r="H897" s="105"/>
      <c r="I897" s="105"/>
      <c r="J897" s="105"/>
      <c r="K897" s="105"/>
      <c r="L897" s="105"/>
      <c r="M897" s="105">
        <f>IF($N$883&gt;0,'Assumptions (Solar)'!$V$16*Model!$N$883*('Assumptions (Solar)'!L18*'Assumptions (Solar)'!L$2+'Assumptions (Solar)'!L19*'Assumptions (Solar)'!L3)/10^9,0)</f>
        <v>2.1441552636376904</v>
      </c>
      <c r="N897" s="105"/>
      <c r="O897" s="105"/>
      <c r="P897" s="105"/>
      <c r="Q897" s="105"/>
      <c r="R897" s="105"/>
      <c r="S897" s="105"/>
      <c r="T897" s="105"/>
      <c r="U897" s="105"/>
      <c r="V897" s="99"/>
      <c r="W897" s="150"/>
      <c r="X897" s="150"/>
      <c r="Y897" s="150"/>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c r="AT897" s="105"/>
      <c r="AU897" s="105"/>
      <c r="AV897" s="105"/>
      <c r="AW897" s="105"/>
      <c r="AX897" s="105"/>
      <c r="AY897" s="105"/>
      <c r="AZ897" s="105"/>
      <c r="BA897" s="105"/>
    </row>
    <row r="898" spans="1:53" ht="15.75" hidden="1" customHeight="1" outlineLevel="1">
      <c r="A898" s="401"/>
      <c r="B898" s="99"/>
      <c r="C898" s="105"/>
      <c r="D898" s="105"/>
      <c r="E898" s="105"/>
      <c r="F898" s="105"/>
      <c r="G898" s="105"/>
      <c r="H898" s="105"/>
      <c r="I898" s="105"/>
      <c r="J898" s="105"/>
      <c r="K898" s="105"/>
      <c r="L898" s="105"/>
      <c r="M898" s="105"/>
      <c r="N898" s="105">
        <f>IF($O$883&gt;0,'Assumptions (Solar)'!$V$16*Model!$O$883*('Assumptions (Solar)'!M18*'Assumptions (Solar)'!M$2+'Assumptions (Solar)'!M19*'Assumptions (Solar)'!M3)/10^9,0)</f>
        <v>4.2907706286714955</v>
      </c>
      <c r="O898" s="105"/>
      <c r="P898" s="105"/>
      <c r="Q898" s="105"/>
      <c r="R898" s="105"/>
      <c r="S898" s="105"/>
      <c r="T898" s="105"/>
      <c r="U898" s="105"/>
      <c r="V898" s="99"/>
      <c r="W898" s="150"/>
      <c r="X898" s="150"/>
      <c r="Y898" s="150"/>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c r="AT898" s="105"/>
      <c r="AU898" s="105"/>
      <c r="AV898" s="105"/>
      <c r="AW898" s="105"/>
      <c r="AX898" s="105"/>
      <c r="AY898" s="105"/>
      <c r="AZ898" s="105"/>
      <c r="BA898" s="105"/>
    </row>
    <row r="899" spans="1:53" ht="15.75" hidden="1" customHeight="1" outlineLevel="1">
      <c r="A899" s="401"/>
      <c r="B899" s="99"/>
      <c r="C899" s="105"/>
      <c r="D899" s="105"/>
      <c r="E899" s="105"/>
      <c r="F899" s="105"/>
      <c r="G899" s="105"/>
      <c r="H899" s="105"/>
      <c r="I899" s="105"/>
      <c r="J899" s="91"/>
      <c r="K899" s="91"/>
      <c r="L899" s="91"/>
      <c r="M899" s="91"/>
      <c r="N899" s="91"/>
      <c r="O899" s="91">
        <f>IF($P$883&gt;0,'Assumptions (Solar)'!$V$16*Model!$P$883*('Assumptions (Solar)'!N18*'Assumptions (Solar)'!N$2+'Assumptions (Solar)'!N19*'Assumptions (Solar)'!N3)/10^9,0)</f>
        <v>9.4970097393391573</v>
      </c>
      <c r="P899" s="91"/>
      <c r="Q899" s="105"/>
      <c r="R899" s="91"/>
      <c r="S899" s="91"/>
      <c r="T899" s="91"/>
      <c r="U899" s="91"/>
      <c r="V899" s="99"/>
      <c r="W899" s="150"/>
      <c r="X899" s="150"/>
      <c r="Y899" s="150"/>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c r="AT899" s="105"/>
      <c r="AU899" s="105"/>
      <c r="AV899" s="105"/>
      <c r="AW899" s="105"/>
      <c r="AX899" s="105"/>
      <c r="AY899" s="105"/>
      <c r="AZ899" s="105"/>
      <c r="BA899" s="105"/>
    </row>
    <row r="900" spans="1:53" ht="15.75" hidden="1" customHeight="1" outlineLevel="1">
      <c r="A900" s="401"/>
      <c r="B900" s="99"/>
      <c r="C900" s="105"/>
      <c r="D900" s="105"/>
      <c r="E900" s="105"/>
      <c r="F900" s="105"/>
      <c r="G900" s="105"/>
      <c r="H900" s="105"/>
      <c r="I900" s="105"/>
      <c r="J900" s="105"/>
      <c r="K900" s="91"/>
      <c r="L900" s="91"/>
      <c r="M900" s="91"/>
      <c r="N900" s="91"/>
      <c r="O900" s="91"/>
      <c r="P900" s="91">
        <f>IF($Q$883&gt;0,'Assumptions (Solar)'!$V$16*Model!$Q$883*('Assumptions (Solar)'!O18*'Assumptions (Solar)'!O$2+'Assumptions (Solar)'!O19*'Assumptions (Solar)'!O3)/10^9,0)</f>
        <v>9.8898248352232443</v>
      </c>
      <c r="Q900" s="105"/>
      <c r="R900" s="91"/>
      <c r="S900" s="91"/>
      <c r="T900" s="91"/>
      <c r="U900" s="91"/>
      <c r="V900" s="99"/>
      <c r="W900" s="150"/>
      <c r="X900" s="150"/>
      <c r="Y900" s="150"/>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c r="AT900" s="105"/>
      <c r="AU900" s="105"/>
      <c r="AV900" s="105"/>
      <c r="AW900" s="105"/>
      <c r="AX900" s="105"/>
      <c r="AY900" s="105"/>
      <c r="AZ900" s="105"/>
      <c r="BA900" s="105"/>
    </row>
    <row r="901" spans="1:53" ht="15.75" hidden="1" customHeight="1" outlineLevel="1">
      <c r="A901" s="401"/>
      <c r="B901" s="99"/>
      <c r="C901" s="105"/>
      <c r="D901" s="105"/>
      <c r="E901" s="105"/>
      <c r="F901" s="105"/>
      <c r="G901" s="105"/>
      <c r="H901" s="105"/>
      <c r="I901" s="105"/>
      <c r="J901" s="105"/>
      <c r="K901" s="105"/>
      <c r="L901" s="167"/>
      <c r="M901" s="167"/>
      <c r="N901" s="167"/>
      <c r="O901" s="167"/>
      <c r="P901" s="167"/>
      <c r="Q901" s="167">
        <f>IF($R$883&gt;0,'Assumptions (Solar)'!$V$16*Model!$R$883*('Assumptions (Solar)'!P18*'Assumptions (Solar)'!P$2+'Assumptions (Solar)'!P19*'Assumptions (Solar)'!P3)/10^9,0)</f>
        <v>9.2189725017322477</v>
      </c>
      <c r="R901" s="91"/>
      <c r="S901" s="91"/>
      <c r="T901" s="91"/>
      <c r="U901" s="91"/>
      <c r="V901" s="99"/>
      <c r="W901" s="150"/>
      <c r="X901" s="150"/>
      <c r="Y901" s="150"/>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c r="AT901" s="105"/>
      <c r="AU901" s="105"/>
      <c r="AV901" s="105"/>
      <c r="AW901" s="105"/>
      <c r="AX901" s="105"/>
      <c r="AY901" s="105"/>
      <c r="AZ901" s="105"/>
      <c r="BA901" s="105"/>
    </row>
    <row r="902" spans="1:53" ht="15.75" hidden="1" customHeight="1" outlineLevel="1">
      <c r="A902" s="401"/>
      <c r="B902" s="99"/>
      <c r="C902" s="105"/>
      <c r="D902" s="105"/>
      <c r="E902" s="105"/>
      <c r="F902" s="105"/>
      <c r="G902" s="105"/>
      <c r="H902" s="105"/>
      <c r="I902" s="105"/>
      <c r="J902" s="105"/>
      <c r="K902" s="105"/>
      <c r="L902" s="105"/>
      <c r="M902" s="105"/>
      <c r="N902" s="105"/>
      <c r="O902" s="105"/>
      <c r="P902" s="105"/>
      <c r="Q902" s="105"/>
      <c r="R902" s="105">
        <f>IF($S$883&gt;0,'Assumptions (Solar)'!$V$16*Model!$S$883*('Assumptions (Solar)'!Q18*'Assumptions (Solar)'!Q$2+'Assumptions (Solar)'!Q19*'Assumptions (Solar)'!Q3)/10^9,0)</f>
        <v>20.882343983587578</v>
      </c>
      <c r="S902" s="105"/>
      <c r="T902" s="105"/>
      <c r="U902" s="105"/>
      <c r="V902" s="99"/>
      <c r="W902" s="150"/>
      <c r="X902" s="150"/>
      <c r="Y902" s="150"/>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c r="AT902" s="105"/>
      <c r="AU902" s="105"/>
      <c r="AV902" s="105"/>
      <c r="AW902" s="105"/>
      <c r="AX902" s="105"/>
      <c r="AY902" s="105"/>
      <c r="AZ902" s="105"/>
      <c r="BA902" s="105"/>
    </row>
    <row r="903" spans="1:53" ht="15.75" hidden="1" customHeight="1" outlineLevel="1">
      <c r="A903" s="401"/>
      <c r="B903" s="99"/>
      <c r="C903" s="105"/>
      <c r="D903" s="105"/>
      <c r="E903" s="105"/>
      <c r="F903" s="105"/>
      <c r="G903" s="105"/>
      <c r="H903" s="105"/>
      <c r="I903" s="105"/>
      <c r="J903" s="105"/>
      <c r="K903" s="105"/>
      <c r="L903" s="105"/>
      <c r="M903" s="105"/>
      <c r="N903" s="105"/>
      <c r="O903" s="105"/>
      <c r="P903" s="105"/>
      <c r="Q903" s="105"/>
      <c r="R903" s="105"/>
      <c r="S903" s="105">
        <f>IF($T$883&gt;0,'Assumptions (Solar)'!$V$16*Model!$T$883*('Assumptions (Solar)'!R18*'Assumptions (Solar)'!R$2+'Assumptions (Solar)'!R19*'Assumptions (Solar)'!R3)/10^9,0)</f>
        <v>12.143837440744242</v>
      </c>
      <c r="T903" s="105"/>
      <c r="U903" s="105"/>
      <c r="V903" s="99"/>
      <c r="W903" s="150"/>
      <c r="X903" s="150"/>
      <c r="Y903" s="150"/>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c r="AT903" s="105"/>
      <c r="AU903" s="105"/>
      <c r="AV903" s="105"/>
      <c r="AW903" s="105"/>
      <c r="AX903" s="105"/>
      <c r="AY903" s="105"/>
      <c r="AZ903" s="105"/>
      <c r="BA903" s="105"/>
    </row>
    <row r="904" spans="1:53" ht="15.75" hidden="1" customHeight="1" outlineLevel="1">
      <c r="A904" s="401"/>
      <c r="B904" s="99"/>
      <c r="C904" s="105"/>
      <c r="D904" s="105"/>
      <c r="E904" s="105"/>
      <c r="F904" s="105"/>
      <c r="G904" s="105"/>
      <c r="H904" s="105"/>
      <c r="I904" s="105"/>
      <c r="J904" s="105"/>
      <c r="K904" s="105"/>
      <c r="L904" s="105"/>
      <c r="M904" s="105"/>
      <c r="N904" s="105"/>
      <c r="O904" s="91"/>
      <c r="P904" s="91"/>
      <c r="Q904" s="91"/>
      <c r="R904" s="91"/>
      <c r="S904" s="91"/>
      <c r="T904" s="91">
        <f>IF($U$883&gt;0,'Assumptions (Solar)'!$V$16*Model!$U$883*('Assumptions (Solar)'!S18*'Assumptions (Solar)'!S$2+'Assumptions (Solar)'!S19*'Assumptions (Solar)'!S3)/10^9,0)</f>
        <v>12.99549625829823</v>
      </c>
      <c r="U904" s="105"/>
      <c r="V904" s="99"/>
      <c r="W904" s="150"/>
      <c r="X904" s="150"/>
      <c r="Y904" s="150"/>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c r="AT904" s="105"/>
      <c r="AU904" s="105"/>
      <c r="AV904" s="105"/>
      <c r="AW904" s="105"/>
      <c r="AX904" s="105"/>
      <c r="AY904" s="105"/>
      <c r="AZ904" s="105"/>
      <c r="BA904" s="105"/>
    </row>
    <row r="905" spans="1:53" ht="15.75" hidden="1" customHeight="1" outlineLevel="1">
      <c r="A905" s="401"/>
      <c r="B905" s="99"/>
      <c r="C905" s="105"/>
      <c r="D905" s="105"/>
      <c r="E905" s="105"/>
      <c r="F905" s="105"/>
      <c r="G905" s="105"/>
      <c r="H905" s="105"/>
      <c r="I905" s="105"/>
      <c r="J905" s="105"/>
      <c r="K905" s="105"/>
      <c r="L905" s="105"/>
      <c r="M905" s="105"/>
      <c r="N905" s="105"/>
      <c r="O905" s="105"/>
      <c r="P905" s="105"/>
      <c r="Q905" s="105"/>
      <c r="R905" s="105"/>
      <c r="S905" s="105"/>
      <c r="T905" s="105"/>
      <c r="U905" s="105">
        <f>IF($V$883&gt;0,'Assumptions (Solar)'!$V$16*Model!$V$883*('Assumptions (Solar)'!T18*'Assumptions (Solar)'!T$2+'Assumptions (Solar)'!T19*'Assumptions (Solar)'!T3)/10^9,0)</f>
        <v>7.2548414373209411</v>
      </c>
      <c r="V905" s="99"/>
      <c r="W905" s="150"/>
      <c r="X905" s="150"/>
      <c r="Y905" s="150"/>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c r="AT905" s="105"/>
      <c r="AU905" s="105"/>
      <c r="AV905" s="105"/>
      <c r="AW905" s="105"/>
      <c r="AX905" s="105"/>
      <c r="AY905" s="105"/>
      <c r="AZ905" s="105"/>
      <c r="BA905" s="105"/>
    </row>
    <row r="906" spans="1:53" ht="15.75" hidden="1" customHeight="1" outlineLevel="1">
      <c r="A906" s="401"/>
      <c r="B906" s="99"/>
      <c r="C906" s="99"/>
      <c r="D906" s="99"/>
      <c r="E906" s="99"/>
      <c r="F906" s="99"/>
      <c r="G906" s="99"/>
      <c r="H906" s="99"/>
      <c r="I906" s="99"/>
      <c r="J906" s="99"/>
      <c r="K906" s="99"/>
      <c r="L906" s="99"/>
      <c r="M906" s="99"/>
      <c r="N906" s="99"/>
      <c r="O906" s="99"/>
      <c r="P906" s="99"/>
      <c r="Q906" s="99"/>
      <c r="R906" s="99"/>
      <c r="S906" s="99"/>
      <c r="T906" s="99"/>
      <c r="U906" s="99"/>
      <c r="V906" s="105">
        <f>IF($W$883&gt;0,'Assumptions (Solar)'!$V$16*Model!$W$883*('Assumptions (Solar)'!U18*'Assumptions (Solar)'!U$2+'Assumptions (Solar)'!U19*'Assumptions (Solar)'!U3)/10^9,0)</f>
        <v>25.008216211067381</v>
      </c>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c r="AT906" s="105"/>
      <c r="AU906" s="105"/>
      <c r="AV906" s="105"/>
      <c r="AW906" s="105"/>
      <c r="AX906" s="105"/>
      <c r="AY906" s="105"/>
      <c r="AZ906" s="105"/>
    </row>
    <row r="907" spans="1:53" ht="15.75" hidden="1" customHeight="1" outlineLevel="1">
      <c r="A907" s="401"/>
      <c r="B907" s="99"/>
      <c r="C907" s="99"/>
      <c r="D907" s="99"/>
      <c r="E907" s="99"/>
      <c r="F907" s="99"/>
      <c r="G907" s="99"/>
      <c r="H907" s="99"/>
      <c r="I907" s="99"/>
      <c r="J907" s="99"/>
      <c r="K907" s="99"/>
      <c r="L907" s="99"/>
      <c r="M907" s="99"/>
      <c r="N907" s="99"/>
      <c r="O907" s="99"/>
      <c r="P907" s="99"/>
      <c r="Q907" s="99"/>
      <c r="R907" s="99"/>
      <c r="S907" s="99"/>
      <c r="T907" s="99"/>
      <c r="U907" s="99"/>
      <c r="V907" s="99"/>
      <c r="W907" s="105">
        <f>IF($X$883&gt;0,'Assumptions (Solar)'!$V$16*Model!$X$883*('Assumptions (Solar)'!V18*'Assumptions (Solar)'!V$2+'Assumptions (Solar)'!V19*'Assumptions (Solar)'!V3)/10^9,0)</f>
        <v>1347.0228725129937</v>
      </c>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c r="AT907" s="105"/>
      <c r="AU907" s="105"/>
      <c r="AV907" s="105"/>
      <c r="AW907" s="105"/>
      <c r="AX907" s="105"/>
      <c r="AY907" s="105"/>
      <c r="AZ907" s="105"/>
    </row>
    <row r="908" spans="1:53" ht="15.75" hidden="1" customHeight="1" outlineLevel="1">
      <c r="A908" s="401"/>
      <c r="B908" s="99"/>
      <c r="C908" s="99"/>
      <c r="D908" s="99"/>
      <c r="E908" s="99"/>
      <c r="F908" s="99"/>
      <c r="G908" s="99"/>
      <c r="H908" s="99"/>
      <c r="I908" s="99"/>
      <c r="J908" s="99"/>
      <c r="K908" s="99"/>
      <c r="L908" s="99"/>
      <c r="M908" s="99"/>
      <c r="N908" s="99"/>
      <c r="O908" s="99"/>
      <c r="P908" s="99"/>
      <c r="Q908" s="99"/>
      <c r="R908" s="99"/>
      <c r="S908" s="99"/>
      <c r="T908" s="99"/>
      <c r="U908" s="99"/>
      <c r="V908" s="99"/>
      <c r="W908" s="105"/>
      <c r="X908" s="105">
        <f>IF($Y$883&gt;0,'Assumptions (Solar)'!$V$16*Model!$Y$883*('Assumptions (Solar)'!W18*'Assumptions (Solar)'!W$2+'Assumptions (Solar)'!W19*'Assumptions (Solar)'!W3)/10^9,0)</f>
        <v>1378.8075577703769</v>
      </c>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c r="AT908" s="105"/>
      <c r="AU908" s="105"/>
      <c r="AV908" s="105"/>
      <c r="AW908" s="105"/>
      <c r="AX908" s="105"/>
      <c r="AY908" s="105"/>
      <c r="AZ908" s="105"/>
    </row>
    <row r="909" spans="1:53" ht="15.75" hidden="1" customHeight="1" outlineLevel="1">
      <c r="A909" s="401"/>
      <c r="B909" s="99"/>
      <c r="C909" s="99"/>
      <c r="D909" s="99"/>
      <c r="E909" s="99"/>
      <c r="F909" s="99"/>
      <c r="G909" s="99"/>
      <c r="H909" s="99"/>
      <c r="I909" s="99"/>
      <c r="J909" s="99"/>
      <c r="K909" s="99"/>
      <c r="L909" s="99"/>
      <c r="M909" s="99"/>
      <c r="N909" s="99"/>
      <c r="O909" s="99"/>
      <c r="P909" s="99"/>
      <c r="Q909" s="99"/>
      <c r="R909" s="99"/>
      <c r="S909" s="99"/>
      <c r="T909" s="99"/>
      <c r="U909" s="99"/>
      <c r="V909" s="99"/>
      <c r="W909" s="105"/>
      <c r="X909" s="105"/>
      <c r="Y909" s="105">
        <f>IF($Z$883&gt;0,'Assumptions (Solar)'!$V$16*Model!$Z$883*('Assumptions (Solar)'!X18*'Assumptions (Solar)'!X$2+'Assumptions (Solar)'!X19*'Assumptions (Solar)'!X3)/10^9,0)</f>
        <v>1417.0074886211814</v>
      </c>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c r="AT909" s="105"/>
      <c r="AU909" s="105"/>
      <c r="AV909" s="105"/>
      <c r="AW909" s="105"/>
      <c r="AX909" s="105"/>
      <c r="AY909" s="105"/>
      <c r="AZ909" s="105"/>
    </row>
    <row r="910" spans="1:53" ht="15.75" hidden="1" customHeight="1" outlineLevel="1">
      <c r="A910" s="401"/>
      <c r="B910" s="99"/>
      <c r="C910" s="99"/>
      <c r="D910" s="99"/>
      <c r="E910" s="99"/>
      <c r="F910" s="99"/>
      <c r="G910" s="99"/>
      <c r="H910" s="99"/>
      <c r="I910" s="99"/>
      <c r="J910" s="99"/>
      <c r="K910" s="99"/>
      <c r="L910" s="99"/>
      <c r="M910" s="99"/>
      <c r="N910" s="99"/>
      <c r="O910" s="99"/>
      <c r="P910" s="99"/>
      <c r="Q910" s="99"/>
      <c r="R910" s="99"/>
      <c r="S910" s="99"/>
      <c r="T910" s="99"/>
      <c r="U910" s="99"/>
      <c r="V910" s="99"/>
      <c r="W910" s="105"/>
      <c r="X910" s="105"/>
      <c r="Y910" s="105"/>
      <c r="Z910" s="105">
        <f>IF($AA$883&gt;0,'Assumptions (Solar)'!$V$16*Model!$AA$883*('Assumptions (Solar)'!Y18*'Assumptions (Solar)'!Y$2+'Assumptions (Solar)'!Y19*'Assumptions (Solar)'!Y3)/10^9,0)</f>
        <v>1454.158465340664</v>
      </c>
      <c r="AA910" s="105"/>
      <c r="AB910" s="105"/>
      <c r="AC910" s="105"/>
      <c r="AD910" s="105"/>
      <c r="AE910" s="105"/>
      <c r="AF910" s="105"/>
      <c r="AG910" s="105"/>
      <c r="AH910" s="105"/>
      <c r="AI910" s="105"/>
      <c r="AJ910" s="105"/>
      <c r="AK910" s="105"/>
      <c r="AL910" s="105"/>
      <c r="AM910" s="105"/>
      <c r="AN910" s="105"/>
      <c r="AO910" s="105"/>
      <c r="AP910" s="105"/>
      <c r="AQ910" s="105"/>
      <c r="AR910" s="105"/>
      <c r="AS910" s="105"/>
      <c r="AT910" s="105"/>
      <c r="AU910" s="105"/>
      <c r="AV910" s="105"/>
      <c r="AW910" s="105"/>
      <c r="AX910" s="105"/>
      <c r="AY910" s="105"/>
      <c r="AZ910" s="105"/>
    </row>
    <row r="911" spans="1:53" ht="15.75" hidden="1" customHeight="1" outlineLevel="1">
      <c r="A911" s="401"/>
      <c r="B911" s="99"/>
      <c r="C911" s="99"/>
      <c r="D911" s="99"/>
      <c r="E911" s="99"/>
      <c r="F911" s="99"/>
      <c r="G911" s="99"/>
      <c r="H911" s="99"/>
      <c r="I911" s="99"/>
      <c r="J911" s="99"/>
      <c r="K911" s="99"/>
      <c r="L911" s="99"/>
      <c r="M911" s="99"/>
      <c r="N911" s="99"/>
      <c r="O911" s="99"/>
      <c r="P911" s="99"/>
      <c r="Q911" s="99"/>
      <c r="R911" s="99"/>
      <c r="S911" s="99"/>
      <c r="T911" s="99"/>
      <c r="U911" s="99"/>
      <c r="V911" s="99"/>
      <c r="W911" s="105"/>
      <c r="X911" s="105"/>
      <c r="Y911" s="105"/>
      <c r="Z911" s="105"/>
      <c r="AA911" s="105">
        <f>IF($AB$883&gt;0,'Assumptions (Solar)'!$V$16*Model!$AB$883*('Assumptions (Solar)'!Z18*'Assumptions (Solar)'!Z$2+'Assumptions (Solar)'!Z19*'Assumptions (Solar)'!Z3)/10^9,0)</f>
        <v>1491.62757752585</v>
      </c>
      <c r="AB911" s="105"/>
      <c r="AC911" s="105"/>
      <c r="AD911" s="105"/>
      <c r="AE911" s="105"/>
      <c r="AF911" s="105"/>
      <c r="AG911" s="105"/>
      <c r="AH911" s="105"/>
      <c r="AI911" s="105"/>
      <c r="AJ911" s="105"/>
      <c r="AK911" s="105"/>
      <c r="AL911" s="105"/>
      <c r="AM911" s="105"/>
      <c r="AN911" s="105"/>
      <c r="AO911" s="105"/>
      <c r="AP911" s="105"/>
      <c r="AQ911" s="105"/>
      <c r="AR911" s="105"/>
      <c r="AS911" s="105"/>
      <c r="AT911" s="105"/>
      <c r="AU911" s="105"/>
      <c r="AV911" s="105"/>
      <c r="AW911" s="105"/>
      <c r="AX911" s="105"/>
      <c r="AY911" s="105"/>
      <c r="AZ911" s="105"/>
    </row>
    <row r="912" spans="1:53" ht="15.75" hidden="1" customHeight="1" outlineLevel="1">
      <c r="A912" s="401"/>
      <c r="B912" s="99"/>
      <c r="C912" s="99"/>
      <c r="D912" s="99"/>
      <c r="E912" s="99"/>
      <c r="F912" s="99"/>
      <c r="G912" s="99"/>
      <c r="H912" s="99"/>
      <c r="I912" s="99"/>
      <c r="J912" s="99"/>
      <c r="K912" s="99"/>
      <c r="L912" s="99"/>
      <c r="M912" s="99"/>
      <c r="N912" s="99"/>
      <c r="O912" s="99"/>
      <c r="P912" s="99"/>
      <c r="Q912" s="99"/>
      <c r="R912" s="99"/>
      <c r="S912" s="99"/>
      <c r="T912" s="99"/>
      <c r="U912" s="99"/>
      <c r="V912" s="99"/>
      <c r="W912" s="105"/>
      <c r="X912" s="105"/>
      <c r="Y912" s="105"/>
      <c r="Z912" s="105"/>
      <c r="AA912" s="105"/>
      <c r="AB912" s="105">
        <f>IF($AC$883&gt;0,'Assumptions (Solar)'!$V$16*Model!$AC$883*('Assumptions (Solar)'!AA18*'Assumptions (Solar)'!AA$2+'Assumptions (Solar)'!AA19*'Assumptions (Solar)'!AA3)/10^9,0)</f>
        <v>1524.7334731916264</v>
      </c>
      <c r="AC912" s="105"/>
      <c r="AD912" s="105"/>
      <c r="AE912" s="105"/>
      <c r="AF912" s="105"/>
      <c r="AG912" s="105"/>
      <c r="AH912" s="105"/>
      <c r="AI912" s="105"/>
      <c r="AJ912" s="105"/>
      <c r="AK912" s="105"/>
      <c r="AL912" s="105"/>
      <c r="AM912" s="105"/>
      <c r="AN912" s="105"/>
      <c r="AO912" s="105"/>
      <c r="AP912" s="105"/>
      <c r="AQ912" s="105"/>
      <c r="AR912" s="105"/>
      <c r="AS912" s="105"/>
      <c r="AT912" s="105"/>
      <c r="AU912" s="105"/>
      <c r="AV912" s="105"/>
      <c r="AW912" s="105"/>
      <c r="AX912" s="105"/>
      <c r="AY912" s="105"/>
      <c r="AZ912" s="105"/>
    </row>
    <row r="913" spans="1:52" ht="15.75" hidden="1" customHeight="1" outlineLevel="1">
      <c r="A913" s="401"/>
      <c r="B913" s="99"/>
      <c r="C913" s="99"/>
      <c r="D913" s="99"/>
      <c r="E913" s="99"/>
      <c r="F913" s="99"/>
      <c r="G913" s="99"/>
      <c r="H913" s="99"/>
      <c r="I913" s="99"/>
      <c r="J913" s="99"/>
      <c r="K913" s="99"/>
      <c r="L913" s="99"/>
      <c r="M913" s="99"/>
      <c r="N913" s="99"/>
      <c r="O913" s="99"/>
      <c r="P913" s="99"/>
      <c r="Q913" s="99"/>
      <c r="R913" s="99"/>
      <c r="S913" s="99"/>
      <c r="T913" s="99"/>
      <c r="U913" s="99"/>
      <c r="V913" s="99"/>
      <c r="W913" s="105"/>
      <c r="X913" s="105"/>
      <c r="Y913" s="105"/>
      <c r="Z913" s="105"/>
      <c r="AA913" s="105"/>
      <c r="AB913" s="105"/>
      <c r="AC913" s="105">
        <f>IF($AD$883&gt;0,'Assumptions (Solar)'!$V$16*Model!$AD$883*('Assumptions (Solar)'!AB18*'Assumptions (Solar)'!AB$2+'Assumptions (Solar)'!AB19*'Assumptions (Solar)'!AB3)/10^9,0)</f>
        <v>1560.3521328005422</v>
      </c>
      <c r="AD913" s="105"/>
      <c r="AE913" s="105"/>
      <c r="AF913" s="105"/>
      <c r="AG913" s="105"/>
      <c r="AH913" s="105"/>
      <c r="AI913" s="105"/>
      <c r="AJ913" s="105"/>
      <c r="AK913" s="105"/>
      <c r="AL913" s="105"/>
      <c r="AM913" s="105"/>
      <c r="AN913" s="105"/>
      <c r="AO913" s="105"/>
      <c r="AP913" s="105"/>
      <c r="AQ913" s="105"/>
      <c r="AR913" s="105"/>
      <c r="AS913" s="105"/>
      <c r="AT913" s="105"/>
      <c r="AU913" s="105"/>
      <c r="AV913" s="105"/>
      <c r="AW913" s="105"/>
      <c r="AX913" s="105"/>
      <c r="AY913" s="105"/>
      <c r="AZ913" s="105"/>
    </row>
    <row r="914" spans="1:52" ht="15.75" hidden="1" customHeight="1" outlineLevel="1">
      <c r="A914" s="401"/>
      <c r="B914" s="99"/>
      <c r="C914" s="99"/>
      <c r="D914" s="99"/>
      <c r="E914" s="99"/>
      <c r="F914" s="99"/>
      <c r="G914" s="99"/>
      <c r="H914" s="99"/>
      <c r="I914" s="99"/>
      <c r="J914" s="99"/>
      <c r="K914" s="99"/>
      <c r="L914" s="99"/>
      <c r="M914" s="99"/>
      <c r="N914" s="99"/>
      <c r="O914" s="99"/>
      <c r="P914" s="99"/>
      <c r="Q914" s="99"/>
      <c r="R914" s="99"/>
      <c r="S914" s="99"/>
      <c r="T914" s="99"/>
      <c r="U914" s="99"/>
      <c r="V914" s="99"/>
      <c r="W914" s="105"/>
      <c r="X914" s="105"/>
      <c r="Y914" s="105"/>
      <c r="Z914" s="105"/>
      <c r="AA914" s="105"/>
      <c r="AB914" s="105"/>
      <c r="AC914" s="105"/>
      <c r="AD914" s="105">
        <f>IF($AE$883&gt;0,'Assumptions (Solar)'!$V$16*Model!$AE$883*('Assumptions (Solar)'!AC18*'Assumptions (Solar)'!AC$2+'Assumptions (Solar)'!AC19*'Assumptions (Solar)'!AC3)/10^9,0)</f>
        <v>1598.407664384443</v>
      </c>
      <c r="AE914" s="105"/>
      <c r="AF914" s="105"/>
      <c r="AG914" s="105"/>
      <c r="AH914" s="105"/>
      <c r="AI914" s="105"/>
      <c r="AJ914" s="105"/>
      <c r="AK914" s="105"/>
      <c r="AL914" s="105"/>
      <c r="AM914" s="105"/>
      <c r="AN914" s="105"/>
      <c r="AO914" s="105"/>
      <c r="AP914" s="105"/>
      <c r="AQ914" s="105"/>
      <c r="AR914" s="105"/>
      <c r="AS914" s="105"/>
      <c r="AT914" s="105"/>
      <c r="AU914" s="105"/>
      <c r="AV914" s="105"/>
      <c r="AW914" s="105"/>
      <c r="AX914" s="105"/>
      <c r="AY914" s="105"/>
      <c r="AZ914" s="105"/>
    </row>
    <row r="915" spans="1:52" ht="15.75" hidden="1" customHeight="1" outlineLevel="1">
      <c r="A915" s="401"/>
      <c r="B915" s="99"/>
      <c r="C915" s="99"/>
      <c r="D915" s="99"/>
      <c r="E915" s="99"/>
      <c r="F915" s="99"/>
      <c r="G915" s="99"/>
      <c r="H915" s="99"/>
      <c r="I915" s="99"/>
      <c r="J915" s="99"/>
      <c r="K915" s="99"/>
      <c r="L915" s="99"/>
      <c r="M915" s="99"/>
      <c r="N915" s="99"/>
      <c r="O915" s="99"/>
      <c r="P915" s="99"/>
      <c r="Q915" s="99"/>
      <c r="R915" s="99"/>
      <c r="S915" s="99"/>
      <c r="T915" s="99"/>
      <c r="U915" s="99"/>
      <c r="V915" s="99"/>
      <c r="W915" s="105"/>
      <c r="X915" s="105"/>
      <c r="Y915" s="105"/>
      <c r="Z915" s="105"/>
      <c r="AA915" s="105"/>
      <c r="AB915" s="105"/>
      <c r="AC915" s="105"/>
      <c r="AD915" s="105"/>
      <c r="AE915" s="105">
        <f>IF($AF$883&gt;0,'Assumptions (Solar)'!$V$16*Model!$AF$883*('Assumptions (Solar)'!AD18*'Assumptions (Solar)'!AD$2+'Assumptions (Solar)'!AD19*'Assumptions (Solar)'!AD3)/10^9,0)</f>
        <v>1638.2723734833139</v>
      </c>
      <c r="AF915" s="105"/>
      <c r="AG915" s="105"/>
      <c r="AH915" s="105"/>
      <c r="AI915" s="105"/>
      <c r="AJ915" s="105"/>
      <c r="AK915" s="105"/>
      <c r="AL915" s="105"/>
      <c r="AM915" s="105"/>
      <c r="AN915" s="105"/>
      <c r="AO915" s="105"/>
      <c r="AP915" s="105"/>
      <c r="AQ915" s="105"/>
      <c r="AR915" s="105"/>
      <c r="AS915" s="105"/>
      <c r="AT915" s="105"/>
      <c r="AU915" s="105"/>
      <c r="AV915" s="105"/>
      <c r="AW915" s="105"/>
      <c r="AX915" s="105"/>
      <c r="AY915" s="105"/>
      <c r="AZ915" s="105"/>
    </row>
    <row r="916" spans="1:52" ht="15.75" hidden="1" customHeight="1" outlineLevel="1">
      <c r="A916" s="401"/>
      <c r="B916" s="99"/>
      <c r="C916" s="99"/>
      <c r="D916" s="99"/>
      <c r="E916" s="99"/>
      <c r="F916" s="99"/>
      <c r="G916" s="99"/>
      <c r="H916" s="99"/>
      <c r="I916" s="99"/>
      <c r="J916" s="99"/>
      <c r="K916" s="99"/>
      <c r="L916" s="99"/>
      <c r="M916" s="99"/>
      <c r="N916" s="99"/>
      <c r="O916" s="99"/>
      <c r="P916" s="99"/>
      <c r="Q916" s="99"/>
      <c r="R916" s="99"/>
      <c r="S916" s="99"/>
      <c r="T916" s="99"/>
      <c r="U916" s="99"/>
      <c r="V916" s="99"/>
      <c r="W916" s="105"/>
      <c r="X916" s="105"/>
      <c r="Y916" s="105"/>
      <c r="Z916" s="105"/>
      <c r="AA916" s="105"/>
      <c r="AB916" s="105"/>
      <c r="AC916" s="105"/>
      <c r="AD916" s="105"/>
      <c r="AE916" s="105"/>
      <c r="AF916" s="105">
        <f>IF($AG$883&gt;0,'Assumptions (Solar)'!$V$16*Model!$AG$883*('Assumptions (Solar)'!AE18*'Assumptions (Solar)'!AE$2+'Assumptions (Solar)'!AE19*'Assumptions (Solar)'!AE3)/10^9,0)</f>
        <v>1676.5592343931155</v>
      </c>
      <c r="AG916" s="105"/>
      <c r="AH916" s="105"/>
      <c r="AI916" s="105"/>
      <c r="AJ916" s="105"/>
      <c r="AK916" s="105"/>
      <c r="AL916" s="105"/>
      <c r="AM916" s="105"/>
      <c r="AN916" s="105"/>
      <c r="AO916" s="105"/>
      <c r="AP916" s="105"/>
      <c r="AQ916" s="105"/>
      <c r="AR916" s="105"/>
      <c r="AS916" s="105"/>
      <c r="AT916" s="105"/>
      <c r="AU916" s="105"/>
      <c r="AV916" s="105"/>
      <c r="AW916" s="105"/>
      <c r="AX916" s="105"/>
      <c r="AY916" s="105"/>
      <c r="AZ916" s="105"/>
    </row>
    <row r="917" spans="1:52" ht="15.75" hidden="1" customHeight="1" outlineLevel="1">
      <c r="A917" s="401"/>
      <c r="B917" s="99"/>
      <c r="C917" s="99"/>
      <c r="D917" s="99"/>
      <c r="E917" s="99"/>
      <c r="F917" s="99"/>
      <c r="G917" s="99"/>
      <c r="H917" s="99"/>
      <c r="I917" s="99"/>
      <c r="J917" s="99"/>
      <c r="K917" s="99"/>
      <c r="L917" s="99"/>
      <c r="M917" s="99"/>
      <c r="N917" s="99"/>
      <c r="O917" s="99"/>
      <c r="P917" s="99"/>
      <c r="Q917" s="99"/>
      <c r="R917" s="99"/>
      <c r="S917" s="99"/>
      <c r="T917" s="99"/>
      <c r="U917" s="99"/>
      <c r="V917" s="99"/>
      <c r="W917" s="105"/>
      <c r="X917" s="105"/>
      <c r="Y917" s="105"/>
      <c r="Z917" s="105"/>
      <c r="AA917" s="105"/>
      <c r="AB917" s="105"/>
      <c r="AC917" s="105"/>
      <c r="AD917" s="105"/>
      <c r="AE917" s="105"/>
      <c r="AF917" s="105"/>
      <c r="AG917" s="105">
        <f>IF($AH$883&gt;0,'Assumptions (Solar)'!$V$16*Model!$AH$883*('Assumptions (Solar)'!AF18*'Assumptions (Solar)'!AF$2+'Assumptions (Solar)'!AF19*'Assumptions (Solar)'!AF3)/10^9,0)</f>
        <v>1708.0522263225578</v>
      </c>
      <c r="AH917" s="105"/>
      <c r="AI917" s="105"/>
      <c r="AJ917" s="105"/>
      <c r="AK917" s="105"/>
      <c r="AL917" s="105"/>
      <c r="AM917" s="105"/>
      <c r="AN917" s="105"/>
      <c r="AO917" s="105"/>
      <c r="AP917" s="105"/>
      <c r="AQ917" s="105"/>
      <c r="AR917" s="105"/>
      <c r="AS917" s="105"/>
      <c r="AT917" s="105"/>
      <c r="AU917" s="105"/>
      <c r="AV917" s="105"/>
      <c r="AW917" s="105"/>
      <c r="AX917" s="105"/>
      <c r="AY917" s="105"/>
      <c r="AZ917" s="105"/>
    </row>
    <row r="918" spans="1:52" ht="15.75" hidden="1" customHeight="1" outlineLevel="1">
      <c r="A918" s="401"/>
      <c r="B918" s="99"/>
      <c r="C918" s="99"/>
      <c r="D918" s="99"/>
      <c r="E918" s="99"/>
      <c r="F918" s="99"/>
      <c r="G918" s="99"/>
      <c r="H918" s="99"/>
      <c r="I918" s="99"/>
      <c r="J918" s="99"/>
      <c r="K918" s="99"/>
      <c r="L918" s="99"/>
      <c r="M918" s="99"/>
      <c r="N918" s="99"/>
      <c r="O918" s="99"/>
      <c r="P918" s="99"/>
      <c r="Q918" s="99"/>
      <c r="R918" s="99"/>
      <c r="S918" s="99"/>
      <c r="T918" s="99"/>
      <c r="U918" s="99"/>
      <c r="V918" s="99"/>
      <c r="W918" s="105"/>
      <c r="X918" s="105"/>
      <c r="Y918" s="105"/>
      <c r="Z918" s="105"/>
      <c r="AA918" s="105"/>
      <c r="AB918" s="105"/>
      <c r="AC918" s="105"/>
      <c r="AD918" s="105"/>
      <c r="AE918" s="105"/>
      <c r="AF918" s="105"/>
      <c r="AG918" s="105"/>
      <c r="AH918" s="105">
        <f>IF($AI$883&gt;0,'Assumptions (Solar)'!$V$16*Model!$AI$883*('Assumptions (Solar)'!AG18*'Assumptions (Solar)'!AG$2+'Assumptions (Solar)'!AG19*'Assumptions (Solar)'!AG3)/10^9,0)</f>
        <v>1739.3210422285508</v>
      </c>
      <c r="AI918" s="105"/>
      <c r="AJ918" s="105"/>
      <c r="AK918" s="105"/>
      <c r="AL918" s="105"/>
      <c r="AM918" s="105"/>
      <c r="AN918" s="105"/>
      <c r="AO918" s="105"/>
      <c r="AP918" s="105"/>
      <c r="AQ918" s="105"/>
      <c r="AR918" s="105"/>
      <c r="AS918" s="105"/>
      <c r="AT918" s="105"/>
      <c r="AU918" s="105"/>
      <c r="AV918" s="105"/>
      <c r="AW918" s="105"/>
      <c r="AX918" s="105"/>
      <c r="AY918" s="105"/>
      <c r="AZ918" s="105"/>
    </row>
    <row r="919" spans="1:52" ht="15.75" hidden="1" customHeight="1" outlineLevel="1">
      <c r="A919" s="401"/>
      <c r="B919" s="99"/>
      <c r="C919" s="99"/>
      <c r="D919" s="99"/>
      <c r="E919" s="99"/>
      <c r="F919" s="99"/>
      <c r="G919" s="99"/>
      <c r="H919" s="99"/>
      <c r="I919" s="99"/>
      <c r="J919" s="99"/>
      <c r="K919" s="99"/>
      <c r="L919" s="99"/>
      <c r="M919" s="99"/>
      <c r="N919" s="99"/>
      <c r="O919" s="99"/>
      <c r="P919" s="99"/>
      <c r="Q919" s="99"/>
      <c r="R919" s="99"/>
      <c r="S919" s="99"/>
      <c r="T919" s="99"/>
      <c r="U919" s="99"/>
      <c r="V919" s="99"/>
      <c r="W919" s="105"/>
      <c r="X919" s="105"/>
      <c r="Y919" s="105"/>
      <c r="Z919" s="105"/>
      <c r="AA919" s="105"/>
      <c r="AB919" s="105"/>
      <c r="AC919" s="105"/>
      <c r="AD919" s="105"/>
      <c r="AE919" s="105"/>
      <c r="AF919" s="105"/>
      <c r="AG919" s="105"/>
      <c r="AH919" s="105"/>
      <c r="AI919" s="105">
        <f>IF($AJ$883&gt;0,'Assumptions (Solar)'!$V$16*Model!$AJ$883*('Assumptions (Solar)'!AH18*'Assumptions (Solar)'!AH$2+'Assumptions (Solar)'!AH19*'Assumptions (Solar)'!AH3)/10^9,0)</f>
        <v>1770.2027063339615</v>
      </c>
      <c r="AJ919" s="91"/>
      <c r="AK919" s="105"/>
      <c r="AL919" s="91"/>
      <c r="AM919" s="91"/>
      <c r="AN919" s="91"/>
      <c r="AO919" s="91"/>
      <c r="AP919" s="91"/>
      <c r="AQ919" s="91"/>
      <c r="AR919" s="91"/>
      <c r="AS919" s="91"/>
      <c r="AT919" s="91"/>
      <c r="AU919" s="91"/>
      <c r="AV919" s="91"/>
      <c r="AW919" s="91"/>
      <c r="AX919" s="91"/>
      <c r="AY919" s="91"/>
      <c r="AZ919" s="91"/>
    </row>
    <row r="920" spans="1:52" ht="15.75" hidden="1" customHeight="1" outlineLevel="1">
      <c r="A920" s="401"/>
      <c r="B920" s="99"/>
      <c r="C920" s="99"/>
      <c r="D920" s="99"/>
      <c r="E920" s="99"/>
      <c r="F920" s="99"/>
      <c r="G920" s="99"/>
      <c r="H920" s="99"/>
      <c r="I920" s="99"/>
      <c r="J920" s="99"/>
      <c r="K920" s="99"/>
      <c r="L920" s="99"/>
      <c r="M920" s="99"/>
      <c r="N920" s="99"/>
      <c r="O920" s="99"/>
      <c r="P920" s="99"/>
      <c r="Q920" s="99"/>
      <c r="R920" s="99"/>
      <c r="S920" s="99"/>
      <c r="T920" s="99"/>
      <c r="U920" s="99"/>
      <c r="V920" s="99"/>
      <c r="W920" s="105"/>
      <c r="X920" s="105"/>
      <c r="Y920" s="105"/>
      <c r="Z920" s="105"/>
      <c r="AA920" s="105"/>
      <c r="AB920" s="105"/>
      <c r="AC920" s="105"/>
      <c r="AD920" s="105"/>
      <c r="AE920" s="105"/>
      <c r="AF920" s="105"/>
      <c r="AG920" s="105"/>
      <c r="AH920" s="105"/>
      <c r="AI920" s="105"/>
      <c r="AJ920" s="105">
        <f>IF($AK$883&gt;0,'Assumptions (Solar)'!$V$16*Model!$AK$883*('Assumptions (Solar)'!AI18*'Assumptions (Solar)'!AI$2+'Assumptions (Solar)'!AI19*'Assumptions (Solar)'!AI3)/10^9,0)</f>
        <v>1800.7209931479704</v>
      </c>
      <c r="AK920" s="105"/>
      <c r="AL920" s="91"/>
      <c r="AM920" s="91"/>
      <c r="AN920" s="91"/>
      <c r="AO920" s="91"/>
      <c r="AP920" s="91"/>
      <c r="AQ920" s="91"/>
      <c r="AR920" s="91"/>
      <c r="AS920" s="91"/>
      <c r="AT920" s="91"/>
      <c r="AU920" s="91"/>
      <c r="AV920" s="91"/>
      <c r="AW920" s="91"/>
      <c r="AX920" s="91"/>
      <c r="AY920" s="91"/>
      <c r="AZ920" s="91"/>
    </row>
    <row r="921" spans="1:52" ht="15.75" hidden="1" customHeight="1" outlineLevel="1">
      <c r="A921" s="401"/>
      <c r="B921" s="99"/>
      <c r="C921" s="99"/>
      <c r="D921" s="99"/>
      <c r="E921" s="99"/>
      <c r="F921" s="99"/>
      <c r="G921" s="99"/>
      <c r="H921" s="99"/>
      <c r="I921" s="99"/>
      <c r="J921" s="99"/>
      <c r="K921" s="99"/>
      <c r="L921" s="99"/>
      <c r="M921" s="99"/>
      <c r="N921" s="99"/>
      <c r="O921" s="99"/>
      <c r="P921" s="99"/>
      <c r="Q921" s="99"/>
      <c r="R921" s="99"/>
      <c r="S921" s="99"/>
      <c r="T921" s="99"/>
      <c r="U921" s="99"/>
      <c r="V921" s="99"/>
      <c r="W921" s="105"/>
      <c r="X921" s="105"/>
      <c r="Y921" s="105"/>
      <c r="Z921" s="105"/>
      <c r="AA921" s="105"/>
      <c r="AB921" s="105"/>
      <c r="AC921" s="105"/>
      <c r="AD921" s="105"/>
      <c r="AE921" s="105"/>
      <c r="AF921" s="105"/>
      <c r="AG921" s="105"/>
      <c r="AH921" s="105"/>
      <c r="AI921" s="105"/>
      <c r="AJ921" s="105"/>
      <c r="AK921" s="105">
        <f>IF($AL$883&gt;0,'Assumptions (Solar)'!$V$16*Model!$AL$883*('Assumptions (Solar)'!AJ18*'Assumptions (Solar)'!AJ$2+'Assumptions (Solar)'!AJ19*'Assumptions (Solar)'!AJ3)/10^9,0)</f>
        <v>1830.831863942514</v>
      </c>
      <c r="AL921" s="91"/>
      <c r="AM921" s="91"/>
      <c r="AN921" s="91"/>
      <c r="AO921" s="91"/>
      <c r="AP921" s="91"/>
      <c r="AQ921" s="91"/>
      <c r="AR921" s="91"/>
      <c r="AS921" s="91"/>
      <c r="AT921" s="91"/>
      <c r="AU921" s="91"/>
      <c r="AV921" s="91"/>
      <c r="AW921" s="91"/>
      <c r="AX921" s="91"/>
      <c r="AY921" s="91"/>
      <c r="AZ921" s="91"/>
    </row>
    <row r="922" spans="1:52" ht="15.75" hidden="1" customHeight="1" outlineLevel="1">
      <c r="A922" s="401"/>
      <c r="B922" s="99"/>
      <c r="C922" s="99"/>
      <c r="D922" s="99"/>
      <c r="E922" s="99"/>
      <c r="F922" s="99"/>
      <c r="G922" s="99"/>
      <c r="H922" s="99"/>
      <c r="I922" s="99"/>
      <c r="J922" s="99"/>
      <c r="K922" s="99"/>
      <c r="L922" s="99"/>
      <c r="M922" s="99"/>
      <c r="N922" s="99"/>
      <c r="O922" s="99"/>
      <c r="P922" s="99"/>
      <c r="Q922" s="99"/>
      <c r="R922" s="99"/>
      <c r="S922" s="99"/>
      <c r="T922" s="99"/>
      <c r="U922" s="99"/>
      <c r="V922" s="99"/>
      <c r="W922" s="105"/>
      <c r="X922" s="105"/>
      <c r="Y922" s="105"/>
      <c r="Z922" s="105"/>
      <c r="AA922" s="105"/>
      <c r="AB922" s="105"/>
      <c r="AC922" s="105"/>
      <c r="AD922" s="105"/>
      <c r="AE922" s="105"/>
      <c r="AF922" s="105"/>
      <c r="AG922" s="105"/>
      <c r="AH922" s="105"/>
      <c r="AI922" s="105"/>
      <c r="AJ922" s="105"/>
      <c r="AK922" s="105"/>
      <c r="AL922" s="105">
        <f>IF($AM$883&gt;0,'Assumptions (Solar)'!$V$16*Model!$AM$883*('Assumptions (Solar)'!AK18*'Assumptions (Solar)'!AK$2+'Assumptions (Solar)'!AK19*'Assumptions (Solar)'!AK3)/10^9,0)</f>
        <v>1860.6369560228288</v>
      </c>
      <c r="AM922" s="105"/>
      <c r="AN922" s="105"/>
      <c r="AO922" s="105"/>
      <c r="AP922" s="105"/>
      <c r="AQ922" s="105"/>
      <c r="AR922" s="105"/>
      <c r="AS922" s="105"/>
      <c r="AT922" s="105"/>
      <c r="AU922" s="105"/>
      <c r="AV922" s="105"/>
      <c r="AW922" s="105"/>
      <c r="AX922" s="105"/>
      <c r="AY922" s="105"/>
      <c r="AZ922" s="105"/>
    </row>
    <row r="923" spans="1:52" ht="15.75" hidden="1" customHeight="1" outlineLevel="1">
      <c r="A923" s="401"/>
      <c r="B923" s="99"/>
      <c r="C923" s="99"/>
      <c r="D923" s="99"/>
      <c r="E923" s="99"/>
      <c r="F923" s="99"/>
      <c r="G923" s="99"/>
      <c r="H923" s="99"/>
      <c r="I923" s="99"/>
      <c r="J923" s="99"/>
      <c r="K923" s="99"/>
      <c r="L923" s="99"/>
      <c r="M923" s="99"/>
      <c r="N923" s="99"/>
      <c r="O923" s="99"/>
      <c r="P923" s="99"/>
      <c r="Q923" s="99"/>
      <c r="R923" s="99"/>
      <c r="S923" s="99"/>
      <c r="T923" s="99"/>
      <c r="U923" s="99"/>
      <c r="V923" s="99"/>
      <c r="W923" s="105"/>
      <c r="X923" s="105"/>
      <c r="Y923" s="105"/>
      <c r="Z923" s="105"/>
      <c r="AA923" s="105"/>
      <c r="AB923" s="105"/>
      <c r="AC923" s="105"/>
      <c r="AD923" s="105"/>
      <c r="AE923" s="105"/>
      <c r="AF923" s="105"/>
      <c r="AG923" s="105"/>
      <c r="AH923" s="105"/>
      <c r="AI923" s="105"/>
      <c r="AJ923" s="105"/>
      <c r="AK923" s="105"/>
      <c r="AL923" s="105"/>
      <c r="AM923" s="105">
        <f>IF($AN$883&gt;0,'Assumptions (Solar)'!$V$16*Model!$AN$883*('Assumptions (Solar)'!AL18*'Assumptions (Solar)'!AL$2+'Assumptions (Solar)'!AL19*'Assumptions (Solar)'!AL3)/10^9,0)</f>
        <v>1902.6874995829212</v>
      </c>
      <c r="AN923" s="105"/>
      <c r="AO923" s="105"/>
      <c r="AP923" s="105"/>
      <c r="AQ923" s="105"/>
      <c r="AR923" s="105"/>
      <c r="AS923" s="105"/>
      <c r="AT923" s="105"/>
      <c r="AU923" s="105"/>
      <c r="AV923" s="105"/>
      <c r="AW923" s="105"/>
      <c r="AX923" s="105"/>
      <c r="AY923" s="105"/>
      <c r="AZ923" s="105"/>
    </row>
    <row r="924" spans="1:52" ht="15.75" hidden="1" customHeight="1" outlineLevel="1">
      <c r="A924" s="401"/>
      <c r="B924" s="99"/>
      <c r="C924" s="99"/>
      <c r="D924" s="99"/>
      <c r="E924" s="99"/>
      <c r="F924" s="99"/>
      <c r="G924" s="99"/>
      <c r="H924" s="99"/>
      <c r="I924" s="99"/>
      <c r="J924" s="99"/>
      <c r="K924" s="99"/>
      <c r="L924" s="99"/>
      <c r="M924" s="99"/>
      <c r="N924" s="99"/>
      <c r="O924" s="99"/>
      <c r="P924" s="99"/>
      <c r="Q924" s="99"/>
      <c r="R924" s="99"/>
      <c r="S924" s="99"/>
      <c r="T924" s="99"/>
      <c r="U924" s="99"/>
      <c r="V924" s="99"/>
      <c r="W924" s="105"/>
      <c r="X924" s="105"/>
      <c r="Y924" s="105"/>
      <c r="Z924" s="105"/>
      <c r="AA924" s="105"/>
      <c r="AB924" s="105"/>
      <c r="AC924" s="105"/>
      <c r="AD924" s="105"/>
      <c r="AE924" s="105"/>
      <c r="AF924" s="105"/>
      <c r="AG924" s="105"/>
      <c r="AH924" s="105"/>
      <c r="AI924" s="105"/>
      <c r="AJ924" s="105"/>
      <c r="AK924" s="105"/>
      <c r="AL924" s="105"/>
      <c r="AM924" s="105"/>
      <c r="AN924" s="105">
        <f>IF($AO$883&gt;0,'Assumptions (Solar)'!$V$16*Model!$AO$883*('Assumptions (Solar)'!AM18*'Assumptions (Solar)'!AM$2+'Assumptions (Solar)'!AM19*'Assumptions (Solar)'!AM3)/10^9,0)</f>
        <v>1942.8361125707747</v>
      </c>
      <c r="AO924" s="105"/>
      <c r="AP924" s="105"/>
      <c r="AQ924" s="105"/>
      <c r="AR924" s="105"/>
      <c r="AS924" s="105"/>
      <c r="AT924" s="105"/>
      <c r="AU924" s="105"/>
      <c r="AV924" s="105"/>
      <c r="AW924" s="105"/>
      <c r="AX924" s="105"/>
      <c r="AY924" s="105"/>
      <c r="AZ924" s="105"/>
    </row>
    <row r="925" spans="1:52" ht="15.75" hidden="1" customHeight="1" outlineLevel="1">
      <c r="A925" s="401"/>
      <c r="B925" s="99"/>
      <c r="C925" s="99"/>
      <c r="D925" s="99"/>
      <c r="E925" s="99"/>
      <c r="F925" s="99"/>
      <c r="G925" s="99"/>
      <c r="H925" s="99"/>
      <c r="I925" s="99"/>
      <c r="J925" s="99"/>
      <c r="K925" s="99"/>
      <c r="L925" s="99"/>
      <c r="M925" s="99"/>
      <c r="N925" s="99"/>
      <c r="O925" s="99"/>
      <c r="P925" s="99"/>
      <c r="Q925" s="99"/>
      <c r="R925" s="99"/>
      <c r="S925" s="99"/>
      <c r="T925" s="99"/>
      <c r="U925" s="99"/>
      <c r="V925" s="99"/>
      <c r="W925" s="105"/>
      <c r="X925" s="105"/>
      <c r="Y925" s="105"/>
      <c r="Z925" s="105"/>
      <c r="AA925" s="105"/>
      <c r="AB925" s="105"/>
      <c r="AC925" s="105"/>
      <c r="AD925" s="105"/>
      <c r="AE925" s="105"/>
      <c r="AF925" s="105"/>
      <c r="AG925" s="105"/>
      <c r="AH925" s="105"/>
      <c r="AI925" s="105"/>
      <c r="AJ925" s="105"/>
      <c r="AK925" s="105"/>
      <c r="AL925" s="105"/>
      <c r="AM925" s="105"/>
      <c r="AN925" s="105"/>
      <c r="AO925" s="105">
        <f>IF($AP$883&gt;0,'Assumptions (Solar)'!$V$16*Model!$AP$883*('Assumptions (Solar)'!AN18*'Assumptions (Solar)'!AN$2+'Assumptions (Solar)'!AN19*'Assumptions (Solar)'!AN3)/10^9,0)</f>
        <v>1982.9373662611044</v>
      </c>
      <c r="AP925" s="105"/>
      <c r="AQ925" s="105"/>
      <c r="AR925" s="105"/>
      <c r="AS925" s="105"/>
      <c r="AT925" s="105"/>
      <c r="AU925" s="105"/>
      <c r="AV925" s="105"/>
      <c r="AW925" s="105"/>
      <c r="AX925" s="105"/>
      <c r="AY925" s="105"/>
      <c r="AZ925" s="105"/>
    </row>
    <row r="926" spans="1:52" ht="15.75" hidden="1" customHeight="1" outlineLevel="1">
      <c r="A926" s="401"/>
      <c r="B926" s="99"/>
      <c r="C926" s="99"/>
      <c r="D926" s="99"/>
      <c r="E926" s="99"/>
      <c r="F926" s="99"/>
      <c r="G926" s="99"/>
      <c r="H926" s="99"/>
      <c r="I926" s="99"/>
      <c r="J926" s="99"/>
      <c r="K926" s="99"/>
      <c r="L926" s="99"/>
      <c r="M926" s="99"/>
      <c r="N926" s="99"/>
      <c r="O926" s="99"/>
      <c r="P926" s="99"/>
      <c r="Q926" s="99"/>
      <c r="R926" s="99"/>
      <c r="S926" s="99"/>
      <c r="T926" s="99"/>
      <c r="U926" s="99"/>
      <c r="V926" s="99"/>
      <c r="W926" s="105"/>
      <c r="X926" s="105"/>
      <c r="Y926" s="105"/>
      <c r="Z926" s="105"/>
      <c r="AA926" s="105"/>
      <c r="AB926" s="105"/>
      <c r="AC926" s="105"/>
      <c r="AD926" s="105"/>
      <c r="AE926" s="105"/>
      <c r="AF926" s="105"/>
      <c r="AG926" s="105"/>
      <c r="AH926" s="105"/>
      <c r="AI926" s="105"/>
      <c r="AJ926" s="171"/>
      <c r="AK926" s="105"/>
      <c r="AL926" s="105"/>
      <c r="AM926" s="105"/>
      <c r="AN926" s="105"/>
      <c r="AO926" s="105"/>
      <c r="AP926" s="105">
        <f>IF($AQ$883&gt;0,'Assumptions (Solar)'!$V$16*Model!$AQ$883*('Assumptions (Solar)'!AO18*'Assumptions (Solar)'!AO$2+'Assumptions (Solar)'!AO19*'Assumptions (Solar)'!AO3)/10^9,0)</f>
        <v>2027.1888783804786</v>
      </c>
      <c r="AQ926" s="105"/>
      <c r="AR926" s="105"/>
      <c r="AS926" s="105"/>
      <c r="AT926" s="105"/>
      <c r="AU926" s="105"/>
      <c r="AV926" s="105"/>
      <c r="AW926" s="105"/>
      <c r="AX926" s="105"/>
      <c r="AY926" s="105"/>
      <c r="AZ926" s="105"/>
    </row>
    <row r="927" spans="1:52" ht="15.75" hidden="1" customHeight="1" outlineLevel="1">
      <c r="A927" s="401"/>
      <c r="B927" s="99"/>
      <c r="C927" s="99"/>
      <c r="D927" s="99"/>
      <c r="E927" s="99"/>
      <c r="F927" s="99"/>
      <c r="G927" s="99"/>
      <c r="H927" s="99"/>
      <c r="I927" s="99"/>
      <c r="J927" s="99"/>
      <c r="K927" s="99"/>
      <c r="L927" s="99"/>
      <c r="M927" s="99"/>
      <c r="N927" s="99"/>
      <c r="O927" s="99"/>
      <c r="P927" s="99"/>
      <c r="Q927" s="99"/>
      <c r="R927" s="99"/>
      <c r="S927" s="99"/>
      <c r="T927" s="99"/>
      <c r="U927" s="99"/>
      <c r="V927" s="99"/>
      <c r="W927" s="105"/>
      <c r="X927" s="105"/>
      <c r="Y927" s="105"/>
      <c r="Z927" s="105"/>
      <c r="AA927" s="105"/>
      <c r="AB927" s="105"/>
      <c r="AC927" s="105"/>
      <c r="AD927" s="105"/>
      <c r="AE927" s="105"/>
      <c r="AF927" s="105"/>
      <c r="AG927" s="105"/>
      <c r="AH927" s="105"/>
      <c r="AI927" s="105"/>
      <c r="AJ927" s="171"/>
      <c r="AK927" s="105"/>
      <c r="AL927" s="105"/>
      <c r="AM927" s="105"/>
      <c r="AN927" s="105"/>
      <c r="AO927" s="105"/>
      <c r="AP927" s="105"/>
      <c r="AQ927" s="105">
        <f>IF($AR$883&gt;0,'Assumptions (Solar)'!$V$16*Model!$AR$883*('Assumptions (Solar)'!AP18*'Assumptions (Solar)'!AP$2+'Assumptions (Solar)'!AP19*'Assumptions (Solar)'!AP3)/10^9,0)</f>
        <v>2075.0824333231594</v>
      </c>
      <c r="AR927" s="105"/>
      <c r="AS927" s="105"/>
      <c r="AT927" s="105"/>
      <c r="AU927" s="105"/>
      <c r="AV927" s="105"/>
      <c r="AW927" s="105"/>
      <c r="AX927" s="105"/>
      <c r="AY927" s="105"/>
      <c r="AZ927" s="105"/>
    </row>
    <row r="928" spans="1:52" ht="15.75" hidden="1" customHeight="1" outlineLevel="1">
      <c r="A928" s="401"/>
      <c r="B928" s="99"/>
      <c r="C928" s="99"/>
      <c r="D928" s="99"/>
      <c r="E928" s="99"/>
      <c r="F928" s="99"/>
      <c r="G928" s="99"/>
      <c r="H928" s="99"/>
      <c r="I928" s="99"/>
      <c r="J928" s="99"/>
      <c r="K928" s="99"/>
      <c r="L928" s="99"/>
      <c r="M928" s="99"/>
      <c r="N928" s="99"/>
      <c r="O928" s="99"/>
      <c r="P928" s="99"/>
      <c r="Q928" s="99"/>
      <c r="R928" s="99"/>
      <c r="S928" s="99"/>
      <c r="T928" s="99"/>
      <c r="U928" s="99"/>
      <c r="V928" s="99"/>
      <c r="W928" s="105"/>
      <c r="X928" s="105"/>
      <c r="Y928" s="105"/>
      <c r="Z928" s="105"/>
      <c r="AA928" s="105"/>
      <c r="AB928" s="105"/>
      <c r="AC928" s="105"/>
      <c r="AD928" s="105"/>
      <c r="AE928" s="105"/>
      <c r="AF928" s="105"/>
      <c r="AG928" s="105"/>
      <c r="AH928" s="105"/>
      <c r="AI928" s="105"/>
      <c r="AJ928" s="171"/>
      <c r="AK928" s="105"/>
      <c r="AL928" s="91"/>
      <c r="AM928" s="105"/>
      <c r="AN928" s="105"/>
      <c r="AO928" s="105"/>
      <c r="AP928" s="105"/>
      <c r="AQ928" s="105"/>
      <c r="AR928" s="105">
        <f>IF($AS$883&gt;0,'Assumptions (Solar)'!$V$16*Model!$AS$883*('Assumptions (Solar)'!AQ18*'Assumptions (Solar)'!AQ$2+'Assumptions (Solar)'!AQ19*'Assumptions (Solar)'!AQ3)/10^9,0)</f>
        <v>2122.8795305919425</v>
      </c>
      <c r="AS928" s="105"/>
      <c r="AT928" s="105"/>
      <c r="AU928" s="105"/>
      <c r="AV928" s="105"/>
      <c r="AW928" s="105"/>
      <c r="AX928" s="105"/>
      <c r="AY928" s="105"/>
      <c r="AZ928" s="105"/>
    </row>
    <row r="929" spans="1:68" ht="15.75" hidden="1" customHeight="1" outlineLevel="1">
      <c r="A929" s="401"/>
      <c r="B929" s="99"/>
      <c r="C929" s="99"/>
      <c r="D929" s="99"/>
      <c r="E929" s="99"/>
      <c r="F929" s="99"/>
      <c r="G929" s="99"/>
      <c r="H929" s="99"/>
      <c r="I929" s="99"/>
      <c r="J929" s="99"/>
      <c r="K929" s="99"/>
      <c r="L929" s="99"/>
      <c r="M929" s="99"/>
      <c r="N929" s="99"/>
      <c r="O929" s="99"/>
      <c r="P929" s="99"/>
      <c r="Q929" s="99"/>
      <c r="R929" s="99"/>
      <c r="S929" s="99"/>
      <c r="T929" s="99"/>
      <c r="U929" s="99"/>
      <c r="V929" s="99"/>
      <c r="W929" s="105"/>
      <c r="X929" s="105"/>
      <c r="Y929" s="105"/>
      <c r="Z929" s="105"/>
      <c r="AA929" s="105"/>
      <c r="AB929" s="105"/>
      <c r="AC929" s="105"/>
      <c r="AD929" s="105"/>
      <c r="AE929" s="105"/>
      <c r="AF929" s="105"/>
      <c r="AG929" s="105"/>
      <c r="AH929" s="105"/>
      <c r="AI929" s="105"/>
      <c r="AJ929" s="171"/>
      <c r="AK929" s="105"/>
      <c r="AL929" s="91"/>
      <c r="AM929" s="91"/>
      <c r="AN929" s="105"/>
      <c r="AO929" s="105"/>
      <c r="AP929" s="105"/>
      <c r="AQ929" s="105"/>
      <c r="AR929" s="105"/>
      <c r="AS929" s="105">
        <f>IF($AT$883&gt;0,'Assumptions (Solar)'!$V$16*Model!$AT$883*('Assumptions (Solar)'!AR18*'Assumptions (Solar)'!AR$2+'Assumptions (Solar)'!AR19*'Assumptions (Solar)'!AR3)/10^9,0)</f>
        <v>2173.1284789633605</v>
      </c>
      <c r="AT929" s="105"/>
      <c r="AU929" s="105"/>
      <c r="AV929" s="105"/>
      <c r="AW929" s="105"/>
      <c r="AX929" s="105"/>
      <c r="AY929" s="105"/>
      <c r="AZ929" s="105"/>
    </row>
    <row r="930" spans="1:68" ht="15.75" hidden="1" customHeight="1" outlineLevel="1">
      <c r="A930" s="401"/>
      <c r="B930" s="99"/>
      <c r="C930" s="99"/>
      <c r="D930" s="99"/>
      <c r="E930" s="99"/>
      <c r="F930" s="99"/>
      <c r="G930" s="99"/>
      <c r="H930" s="99"/>
      <c r="I930" s="99"/>
      <c r="J930" s="99"/>
      <c r="K930" s="99"/>
      <c r="L930" s="99"/>
      <c r="M930" s="99"/>
      <c r="N930" s="99"/>
      <c r="O930" s="99"/>
      <c r="P930" s="99"/>
      <c r="Q930" s="99"/>
      <c r="R930" s="99"/>
      <c r="S930" s="99"/>
      <c r="T930" s="99"/>
      <c r="U930" s="99"/>
      <c r="V930" s="99"/>
      <c r="W930" s="105"/>
      <c r="X930" s="105"/>
      <c r="Y930" s="105"/>
      <c r="Z930" s="105"/>
      <c r="AA930" s="105"/>
      <c r="AB930" s="105"/>
      <c r="AC930" s="105"/>
      <c r="AD930" s="105"/>
      <c r="AE930" s="105"/>
      <c r="AF930" s="105"/>
      <c r="AG930" s="105"/>
      <c r="AH930" s="105"/>
      <c r="AI930" s="105"/>
      <c r="AJ930" s="171"/>
      <c r="AK930" s="105"/>
      <c r="AL930" s="91"/>
      <c r="AM930" s="91"/>
      <c r="AN930" s="91"/>
      <c r="AO930" s="105"/>
      <c r="AP930" s="105"/>
      <c r="AQ930" s="105"/>
      <c r="AR930" s="105"/>
      <c r="AS930" s="105"/>
      <c r="AT930" s="105">
        <f>IF($AU$883&gt;0,'Assumptions (Solar)'!$V$16*Model!$AU$883*('Assumptions (Solar)'!AS18*'Assumptions (Solar)'!AS$2+'Assumptions (Solar)'!AS19*'Assumptions (Solar)'!AS3)/10^9,0)</f>
        <v>2225.7255418490704</v>
      </c>
      <c r="AU930" s="105"/>
      <c r="AV930" s="105"/>
      <c r="AW930" s="105"/>
      <c r="AX930" s="105"/>
      <c r="AY930" s="105"/>
      <c r="AZ930" s="105"/>
    </row>
    <row r="931" spans="1:68" ht="15.75" hidden="1" customHeight="1" outlineLevel="1">
      <c r="A931" s="401"/>
      <c r="B931" s="99"/>
      <c r="C931" s="99"/>
      <c r="D931" s="99"/>
      <c r="E931" s="99"/>
      <c r="F931" s="99"/>
      <c r="G931" s="99"/>
      <c r="H931" s="99"/>
      <c r="I931" s="99"/>
      <c r="J931" s="99"/>
      <c r="K931" s="99"/>
      <c r="L931" s="99"/>
      <c r="M931" s="99"/>
      <c r="N931" s="99"/>
      <c r="O931" s="99"/>
      <c r="P931" s="99"/>
      <c r="Q931" s="99"/>
      <c r="R931" s="99"/>
      <c r="S931" s="99"/>
      <c r="T931" s="99"/>
      <c r="U931" s="99"/>
      <c r="V931" s="99"/>
      <c r="W931" s="105"/>
      <c r="X931" s="105"/>
      <c r="Y931" s="105"/>
      <c r="Z931" s="105"/>
      <c r="AA931" s="105"/>
      <c r="AB931" s="105"/>
      <c r="AC931" s="105"/>
      <c r="AD931" s="105"/>
      <c r="AE931" s="105"/>
      <c r="AF931" s="105"/>
      <c r="AG931" s="105"/>
      <c r="AH931" s="105"/>
      <c r="AI931" s="105"/>
      <c r="AJ931" s="171"/>
      <c r="AK931" s="105"/>
      <c r="AL931" s="91"/>
      <c r="AM931" s="91"/>
      <c r="AN931" s="91"/>
      <c r="AO931" s="105"/>
      <c r="AP931" s="105"/>
      <c r="AQ931" s="105"/>
      <c r="AR931" s="105"/>
      <c r="AS931" s="105"/>
      <c r="AT931" s="105"/>
      <c r="AU931" s="105">
        <f>IF($AV$883&gt;0,'Assumptions (Solar)'!$V$16*Model!$AV$883*('Assumptions (Solar)'!AT18*'Assumptions (Solar)'!AT$2+'Assumptions (Solar)'!AT19*'Assumptions (Solar)'!AT3)/10^9,0)</f>
        <v>2282.6857594796602</v>
      </c>
      <c r="AV931" s="105"/>
      <c r="AW931" s="105"/>
      <c r="AX931" s="105"/>
      <c r="AY931" s="105"/>
      <c r="AZ931" s="105"/>
    </row>
    <row r="932" spans="1:68" ht="15.75" hidden="1" customHeight="1" outlineLevel="1">
      <c r="A932" s="401"/>
      <c r="B932" s="99"/>
      <c r="C932" s="99"/>
      <c r="D932" s="99"/>
      <c r="E932" s="99"/>
      <c r="F932" s="99"/>
      <c r="G932" s="99"/>
      <c r="H932" s="99"/>
      <c r="I932" s="99"/>
      <c r="J932" s="99"/>
      <c r="K932" s="99"/>
      <c r="L932" s="99"/>
      <c r="M932" s="99"/>
      <c r="N932" s="99"/>
      <c r="O932" s="99"/>
      <c r="P932" s="99"/>
      <c r="Q932" s="99"/>
      <c r="R932" s="99"/>
      <c r="S932" s="99"/>
      <c r="T932" s="99"/>
      <c r="U932" s="99"/>
      <c r="V932" s="99"/>
      <c r="W932" s="105"/>
      <c r="X932" s="105"/>
      <c r="Y932" s="105"/>
      <c r="Z932" s="105"/>
      <c r="AA932" s="105"/>
      <c r="AB932" s="105"/>
      <c r="AC932" s="105"/>
      <c r="AD932" s="105"/>
      <c r="AE932" s="105"/>
      <c r="AF932" s="105"/>
      <c r="AG932" s="105"/>
      <c r="AH932" s="105"/>
      <c r="AI932" s="105"/>
      <c r="AJ932" s="171"/>
      <c r="AK932" s="105"/>
      <c r="AL932" s="91"/>
      <c r="AM932" s="91"/>
      <c r="AN932" s="91"/>
      <c r="AO932" s="105"/>
      <c r="AP932" s="105"/>
      <c r="AQ932" s="105"/>
      <c r="AR932" s="105"/>
      <c r="AS932" s="105"/>
      <c r="AT932" s="105"/>
      <c r="AU932" s="105"/>
      <c r="AV932" s="105">
        <f>IF($AW$883&gt;0,'Assumptions (Solar)'!$V$16*Model!$AW$883*('Assumptions (Solar)'!AU18*'Assumptions (Solar)'!AU$2+'Assumptions (Solar)'!AU19*'Assumptions (Solar)'!AU3)/10^9,0)</f>
        <v>2331.3194184480963</v>
      </c>
      <c r="AW932" s="105"/>
      <c r="AX932" s="105"/>
      <c r="AY932" s="105"/>
      <c r="AZ932" s="105"/>
    </row>
    <row r="933" spans="1:68" ht="15.75" hidden="1" customHeight="1" outlineLevel="1">
      <c r="A933" s="401"/>
      <c r="B933" s="99"/>
      <c r="C933" s="99"/>
      <c r="D933" s="99"/>
      <c r="E933" s="99"/>
      <c r="F933" s="99"/>
      <c r="G933" s="99"/>
      <c r="H933" s="99"/>
      <c r="I933" s="99"/>
      <c r="J933" s="99"/>
      <c r="K933" s="99"/>
      <c r="L933" s="99"/>
      <c r="M933" s="99"/>
      <c r="N933" s="99"/>
      <c r="O933" s="99"/>
      <c r="P933" s="99"/>
      <c r="Q933" s="99"/>
      <c r="R933" s="99"/>
      <c r="S933" s="99"/>
      <c r="T933" s="99"/>
      <c r="U933" s="99"/>
      <c r="V933" s="99"/>
      <c r="W933" s="105"/>
      <c r="X933" s="105"/>
      <c r="Y933" s="105"/>
      <c r="Z933" s="105"/>
      <c r="AA933" s="105"/>
      <c r="AB933" s="105"/>
      <c r="AC933" s="105"/>
      <c r="AD933" s="105"/>
      <c r="AE933" s="105"/>
      <c r="AF933" s="105"/>
      <c r="AG933" s="105"/>
      <c r="AH933" s="105"/>
      <c r="AI933" s="105"/>
      <c r="AJ933" s="171"/>
      <c r="AK933" s="105"/>
      <c r="AL933" s="91"/>
      <c r="AM933" s="91"/>
      <c r="AN933" s="91"/>
      <c r="AO933" s="105"/>
      <c r="AP933" s="105"/>
      <c r="AQ933" s="105"/>
      <c r="AR933" s="105"/>
      <c r="AS933" s="105"/>
      <c r="AT933" s="105"/>
      <c r="AU933" s="105"/>
      <c r="AV933" s="105"/>
      <c r="AW933" s="105">
        <f>IF($AX$883&gt;0,'Assumptions (Solar)'!$V$16*Model!$AX$883*('Assumptions (Solar)'!AV18*'Assumptions (Solar)'!AV$2+'Assumptions (Solar)'!AV19*'Assumptions (Solar)'!AV3)/10^9,0)</f>
        <v>2375.0856390427653</v>
      </c>
      <c r="AX933" s="105"/>
      <c r="AY933" s="105"/>
      <c r="AZ933" s="105"/>
    </row>
    <row r="934" spans="1:68" ht="15.75" hidden="1" customHeight="1" outlineLevel="1">
      <c r="A934" s="401"/>
      <c r="B934" s="99"/>
      <c r="C934" s="99"/>
      <c r="D934" s="99"/>
      <c r="E934" s="99"/>
      <c r="F934" s="99"/>
      <c r="G934" s="99"/>
      <c r="H934" s="99"/>
      <c r="I934" s="99"/>
      <c r="J934" s="99"/>
      <c r="K934" s="99"/>
      <c r="L934" s="99"/>
      <c r="M934" s="99"/>
      <c r="N934" s="99"/>
      <c r="O934" s="99"/>
      <c r="P934" s="99"/>
      <c r="Q934" s="99"/>
      <c r="R934" s="99"/>
      <c r="S934" s="99"/>
      <c r="T934" s="99"/>
      <c r="U934" s="99"/>
      <c r="V934" s="99"/>
      <c r="W934" s="105"/>
      <c r="X934" s="105"/>
      <c r="Y934" s="105"/>
      <c r="Z934" s="105"/>
      <c r="AA934" s="105"/>
      <c r="AB934" s="105"/>
      <c r="AC934" s="105"/>
      <c r="AD934" s="105"/>
      <c r="AE934" s="105"/>
      <c r="AF934" s="105"/>
      <c r="AG934" s="105"/>
      <c r="AH934" s="105"/>
      <c r="AI934" s="105"/>
      <c r="AJ934" s="171"/>
      <c r="AK934" s="105"/>
      <c r="AL934" s="91"/>
      <c r="AM934" s="91"/>
      <c r="AN934" s="91"/>
      <c r="AO934" s="105"/>
      <c r="AP934" s="105"/>
      <c r="AQ934" s="105"/>
      <c r="AR934" s="105"/>
      <c r="AS934" s="105"/>
      <c r="AT934" s="105"/>
      <c r="AU934" s="105"/>
      <c r="AV934" s="105"/>
      <c r="AW934" s="105"/>
      <c r="AX934" s="105">
        <f>IF($AY$883&gt;0,'Assumptions (Solar)'!$V$16*Model!$AY$883*('Assumptions (Solar)'!AW18*'Assumptions (Solar)'!AW$2+'Assumptions (Solar)'!AW19*'Assumptions (Solar)'!AW3)/10^9,0)</f>
        <v>2444.5173446598806</v>
      </c>
      <c r="AY934" s="105"/>
      <c r="AZ934" s="105"/>
    </row>
    <row r="935" spans="1:68" ht="15.75" hidden="1" customHeight="1" outlineLevel="1">
      <c r="A935" s="401"/>
      <c r="B935" s="99"/>
      <c r="C935" s="99"/>
      <c r="D935" s="99"/>
      <c r="E935" s="99"/>
      <c r="F935" s="99"/>
      <c r="G935" s="99"/>
      <c r="H935" s="99"/>
      <c r="I935" s="99"/>
      <c r="J935" s="99"/>
      <c r="K935" s="99"/>
      <c r="L935" s="99"/>
      <c r="M935" s="99"/>
      <c r="N935" s="99"/>
      <c r="O935" s="99"/>
      <c r="P935" s="99"/>
      <c r="Q935" s="99"/>
      <c r="R935" s="99"/>
      <c r="S935" s="99"/>
      <c r="T935" s="99"/>
      <c r="U935" s="99"/>
      <c r="V935" s="99"/>
      <c r="W935" s="105"/>
      <c r="X935" s="105"/>
      <c r="Y935" s="105"/>
      <c r="Z935" s="105"/>
      <c r="AA935" s="105"/>
      <c r="AB935" s="105"/>
      <c r="AC935" s="105"/>
      <c r="AD935" s="105"/>
      <c r="AE935" s="105"/>
      <c r="AF935" s="105"/>
      <c r="AG935" s="105"/>
      <c r="AH935" s="105"/>
      <c r="AI935" s="105"/>
      <c r="AJ935" s="171"/>
      <c r="AK935" s="105"/>
      <c r="AL935" s="91"/>
      <c r="AM935" s="91"/>
      <c r="AN935" s="91"/>
      <c r="AO935" s="105"/>
      <c r="AP935" s="105"/>
      <c r="AQ935" s="105"/>
      <c r="AR935" s="105"/>
      <c r="AS935" s="105"/>
      <c r="AT935" s="105"/>
      <c r="AU935" s="105"/>
      <c r="AV935" s="105"/>
      <c r="AW935" s="105"/>
      <c r="AX935" s="105"/>
      <c r="AY935" s="105">
        <f>IF($AZ$883&gt;0,'Assumptions (Solar)'!$V$16*Model!$AZ$883*('Assumptions (Solar)'!AX18*'Assumptions (Solar)'!AX$2+'Assumptions (Solar)'!AX19*'Assumptions (Solar)'!AX3)/10^9,0)</f>
        <v>2486.9740961412317</v>
      </c>
      <c r="AZ935" s="105"/>
    </row>
    <row r="936" spans="1:68" ht="15.75" hidden="1" customHeight="1" outlineLevel="1">
      <c r="A936" s="401"/>
      <c r="B936" s="99"/>
      <c r="C936" s="99"/>
      <c r="D936" s="99"/>
      <c r="E936" s="99"/>
      <c r="F936" s="99"/>
      <c r="G936" s="99"/>
      <c r="H936" s="99"/>
      <c r="I936" s="99"/>
      <c r="J936" s="99"/>
      <c r="K936" s="99"/>
      <c r="L936" s="99"/>
      <c r="M936" s="99"/>
      <c r="N936" s="99"/>
      <c r="O936" s="99"/>
      <c r="P936" s="99"/>
      <c r="Q936" s="99"/>
      <c r="R936" s="99"/>
      <c r="S936" s="99"/>
      <c r="T936" s="99"/>
      <c r="U936" s="99"/>
      <c r="V936" s="99"/>
      <c r="W936" s="105"/>
      <c r="X936" s="105"/>
      <c r="Y936" s="105"/>
      <c r="Z936" s="105"/>
      <c r="AA936" s="105"/>
      <c r="AB936" s="105"/>
      <c r="AC936" s="105"/>
      <c r="AD936" s="105"/>
      <c r="AE936" s="105"/>
      <c r="AF936" s="105"/>
      <c r="AG936" s="105"/>
      <c r="AH936" s="105"/>
      <c r="AI936" s="105"/>
      <c r="AJ936" s="171"/>
      <c r="AK936" s="105"/>
      <c r="AL936" s="91"/>
      <c r="AM936" s="91"/>
      <c r="AN936" s="91"/>
      <c r="AO936" s="105"/>
      <c r="AP936" s="105"/>
      <c r="AQ936" s="105"/>
      <c r="AR936" s="105"/>
      <c r="AS936" s="105"/>
      <c r="AT936" s="105"/>
      <c r="AU936" s="105"/>
      <c r="AV936" s="105"/>
      <c r="AW936" s="105"/>
      <c r="AX936" s="105"/>
      <c r="AY936" s="105"/>
      <c r="AZ936" s="105">
        <f>IF($BA$883&gt;0,'Assumptions (Solar)'!$V$16*Model!$BA$883*('Assumptions (Solar)'!AY18*'Assumptions (Solar)'!AY$2+'Assumptions (Solar)'!AY19*'Assumptions (Solar)'!AY3)/10^9,0)</f>
        <v>2528.3184975070153</v>
      </c>
    </row>
    <row r="937" spans="1:68" ht="15.75" customHeight="1" collapsed="1">
      <c r="A937" s="403" t="s">
        <v>52</v>
      </c>
      <c r="B937" s="99" t="s">
        <v>201</v>
      </c>
      <c r="C937" s="397">
        <f>C885*'Assumptions (Solar)'!$V$6</f>
        <v>1.4192355185479993E-2</v>
      </c>
      <c r="D937" s="397">
        <f>D885*'Assumptions (Solar)'!$V$6</f>
        <v>3.7828085167452433E-3</v>
      </c>
      <c r="E937" s="397">
        <f>E885*'Assumptions (Solar)'!$V$6</f>
        <v>1.7833240150370437E-4</v>
      </c>
      <c r="F937" s="397">
        <f>F885*'Assumptions (Solar)'!$V$6</f>
        <v>0</v>
      </c>
      <c r="G937" s="397">
        <f>G885*'Assumptions (Solar)'!$V$6</f>
        <v>3.4956717342756126E-3</v>
      </c>
      <c r="H937" s="397">
        <f>H885*'Assumptions (Solar)'!$V$6</f>
        <v>3.11464351523957E-3</v>
      </c>
      <c r="I937" s="397">
        <f>I885*'Assumptions (Solar)'!$V$6</f>
        <v>0.17250453109154362</v>
      </c>
      <c r="J937" s="397">
        <f>J885*'Assumptions (Solar)'!$V$6</f>
        <v>4.9860147785009627E-2</v>
      </c>
      <c r="K937" s="397">
        <f>K885*'Assumptions (Solar)'!$V$6</f>
        <v>0.16907169092282193</v>
      </c>
      <c r="L937" s="397">
        <f>L885*'Assumptions (Solar)'!$V$6</f>
        <v>0.38828396752309319</v>
      </c>
      <c r="M937" s="397">
        <f>M885*'Assumptions (Solar)'!$V$6</f>
        <v>1.2864931581826142</v>
      </c>
      <c r="N937" s="397">
        <f>N885*'Assumptions (Solar)'!$V$6</f>
        <v>2.5744623772028974</v>
      </c>
      <c r="O937" s="397">
        <f>O885*'Assumptions (Solar)'!$V$6</f>
        <v>5.6982058436034944</v>
      </c>
      <c r="P937" s="397">
        <f>P885*'Assumptions (Solar)'!$V$6</f>
        <v>5.9338949011339466</v>
      </c>
      <c r="Q937" s="397">
        <f>Q885*'Assumptions (Solar)'!$V$6</f>
        <v>5.5313835010393486</v>
      </c>
      <c r="R937" s="397">
        <f>R885*'Assumptions (Solar)'!$V$6</f>
        <v>12.529406390152547</v>
      </c>
      <c r="S937" s="397">
        <f>S885*'Assumptions (Solar)'!$V$6</f>
        <v>7.2863024644465453</v>
      </c>
      <c r="T937" s="397">
        <f>T885*'Assumptions (Solar)'!$V$6</f>
        <v>7.7972977549789375</v>
      </c>
      <c r="U937" s="397">
        <f>U885*'Assumptions (Solar)'!$V$6</f>
        <v>4.3529048623925641</v>
      </c>
      <c r="V937" s="397">
        <f>V885*'Assumptions (Solar)'!$V$6</f>
        <v>15.004929726640428</v>
      </c>
      <c r="W937" s="397">
        <f>W885*'Assumptions (Solar)'!$V$6</f>
        <v>808.2137235077962</v>
      </c>
      <c r="X937" s="397">
        <f>X885*'Assumptions (Solar)'!$V$6</f>
        <v>827.28453466222606</v>
      </c>
      <c r="Y937" s="397">
        <f>Y885*'Assumptions (Solar)'!$V$6</f>
        <v>850.20449317270879</v>
      </c>
      <c r="Z937" s="397">
        <f>Z885*'Assumptions (Solar)'!$V$6</f>
        <v>872.49507920439839</v>
      </c>
      <c r="AA937" s="397">
        <f>AA885*'Assumptions (Solar)'!$V$6</f>
        <v>894.97654651550999</v>
      </c>
      <c r="AB937" s="397">
        <f>AB885*'Assumptions (Solar)'!$V$6</f>
        <v>914.84008391497582</v>
      </c>
      <c r="AC937" s="397">
        <f>AC885*'Assumptions (Solar)'!$V$6</f>
        <v>936.21127968032533</v>
      </c>
      <c r="AD937" s="397">
        <f>AD885*'Assumptions (Solar)'!$V$6</f>
        <v>959.04459863066575</v>
      </c>
      <c r="AE937" s="397">
        <f>AE885*'Assumptions (Solar)'!$V$6</f>
        <v>982.96342408998828</v>
      </c>
      <c r="AF937" s="397">
        <f>AF885*'Assumptions (Solar)'!$V$6</f>
        <v>1005.9355406358693</v>
      </c>
      <c r="AG937" s="397">
        <f>AG885*'Assumptions (Solar)'!$V$6</f>
        <v>1024.8313357935347</v>
      </c>
      <c r="AH937" s="397">
        <f>AH885*'Assumptions (Solar)'!$V$6</f>
        <v>1043.5926253371304</v>
      </c>
      <c r="AI937" s="397">
        <f>AI885*'Assumptions (Solar)'!$V$6</f>
        <v>1062.1216238003769</v>
      </c>
      <c r="AJ937" s="397">
        <f>AJ885*'Assumptions (Solar)'!$V$6</f>
        <v>1080.4325958887821</v>
      </c>
      <c r="AK937" s="397">
        <f>AK885*'Assumptions (Solar)'!$V$6</f>
        <v>1098.4991183655084</v>
      </c>
      <c r="AL937" s="397">
        <f>AL885*'Assumptions (Solar)'!$V$6</f>
        <v>1116.3821736136972</v>
      </c>
      <c r="AM937" s="397">
        <f>AM885*'Assumptions (Solar)'!$V$6</f>
        <v>1141.6124997497527</v>
      </c>
      <c r="AN937" s="397">
        <f>AN885*'Assumptions (Solar)'!$V$6</f>
        <v>1165.7016675424647</v>
      </c>
      <c r="AO937" s="397">
        <f>AO885*'Assumptions (Solar)'!$V$6</f>
        <v>1189.7624197566627</v>
      </c>
      <c r="AP937" s="397">
        <f>AP885*'Assumptions (Solar)'!$V$6</f>
        <v>1216.3133270282872</v>
      </c>
      <c r="AQ937" s="397">
        <f>AQ885*'Assumptions (Solar)'!$V$6</f>
        <v>1245.0494599938957</v>
      </c>
      <c r="AR937" s="397">
        <f>AR885*'Assumptions (Solar)'!$V$6</f>
        <v>1273.7277183551655</v>
      </c>
      <c r="AS937" s="397">
        <f>AS885*'Assumptions (Solar)'!$V$6</f>
        <v>1303.8770873780163</v>
      </c>
      <c r="AT937" s="397">
        <f>AT885*'Assumptions (Solar)'!$V$6</f>
        <v>1335.4353251094421</v>
      </c>
      <c r="AU937" s="397">
        <f>AU885*'Assumptions (Solar)'!$V$6</f>
        <v>1369.611455687796</v>
      </c>
      <c r="AV937" s="397">
        <f>AV885*'Assumptions (Solar)'!$V$6</f>
        <v>1398.7916510688576</v>
      </c>
      <c r="AW937" s="397">
        <f>AW885*'Assumptions (Solar)'!$V$6</f>
        <v>1425.0513834256592</v>
      </c>
      <c r="AX937" s="397">
        <f>AX885*'Assumptions (Solar)'!$V$6</f>
        <v>1466.7104067959283</v>
      </c>
      <c r="AY937" s="397">
        <f>AY885*'Assumptions (Solar)'!$V$6</f>
        <v>1492.1844576847391</v>
      </c>
      <c r="AZ937" s="397">
        <f>AZ885*'Assumptions (Solar)'!$V$6</f>
        <v>1516.991098504209</v>
      </c>
      <c r="BA937" s="397">
        <f>BA885*'Assumptions (Solar)'!$V$6</f>
        <v>0</v>
      </c>
    </row>
    <row r="938" spans="1:68" ht="15.75" customHeight="1">
      <c r="A938" s="403" t="s">
        <v>54</v>
      </c>
      <c r="B938" s="99" t="s">
        <v>201</v>
      </c>
      <c r="C938" s="397">
        <f>C885*'Assumptions (Solar)'!$V$7</f>
        <v>9.4615701236533296E-3</v>
      </c>
      <c r="D938" s="397">
        <f>D885*'Assumptions (Solar)'!$V$7</f>
        <v>2.5218723444968292E-3</v>
      </c>
      <c r="E938" s="397">
        <f>E885*'Assumptions (Solar)'!$V$7</f>
        <v>1.1888826766913625E-4</v>
      </c>
      <c r="F938" s="397">
        <f>F885*'Assumptions (Solar)'!$V$7</f>
        <v>0</v>
      </c>
      <c r="G938" s="397">
        <f>G885*'Assumptions (Solar)'!$V$7</f>
        <v>2.3304478228504083E-3</v>
      </c>
      <c r="H938" s="397">
        <f>H885*'Assumptions (Solar)'!$V$7</f>
        <v>2.0764290101597136E-3</v>
      </c>
      <c r="I938" s="397">
        <f>I885*'Assumptions (Solar)'!$V$7</f>
        <v>0.11500302072769575</v>
      </c>
      <c r="J938" s="397">
        <f>J885*'Assumptions (Solar)'!$V$7</f>
        <v>3.3240098523339749E-2</v>
      </c>
      <c r="K938" s="397">
        <f>K885*'Assumptions (Solar)'!$V$7</f>
        <v>0.11271446061521462</v>
      </c>
      <c r="L938" s="397">
        <f>L885*'Assumptions (Solar)'!$V$7</f>
        <v>0.25885597834872881</v>
      </c>
      <c r="M938" s="397">
        <f>M885*'Assumptions (Solar)'!$V$7</f>
        <v>0.85766210545507615</v>
      </c>
      <c r="N938" s="397">
        <f>N885*'Assumptions (Solar)'!$V$7</f>
        <v>1.7163082514685983</v>
      </c>
      <c r="O938" s="397">
        <f>O885*'Assumptions (Solar)'!$V$7</f>
        <v>3.7988038957356629</v>
      </c>
      <c r="P938" s="397">
        <f>P885*'Assumptions (Solar)'!$V$7</f>
        <v>3.9559299340892977</v>
      </c>
      <c r="Q938" s="397">
        <f>Q885*'Assumptions (Solar)'!$V$7</f>
        <v>3.6875890006928991</v>
      </c>
      <c r="R938" s="397">
        <f>R885*'Assumptions (Solar)'!$V$7</f>
        <v>8.3529375934350316</v>
      </c>
      <c r="S938" s="397">
        <f>S885*'Assumptions (Solar)'!$V$7</f>
        <v>4.8575349762976971</v>
      </c>
      <c r="T938" s="397">
        <f>T885*'Assumptions (Solar)'!$V$7</f>
        <v>5.1981985033192926</v>
      </c>
      <c r="U938" s="397">
        <f>U885*'Assumptions (Solar)'!$V$7</f>
        <v>2.9019365749283765</v>
      </c>
      <c r="V938" s="397">
        <f>V885*'Assumptions (Solar)'!$V$7</f>
        <v>10.003286484426953</v>
      </c>
      <c r="W938" s="397">
        <f>W885*'Assumptions (Solar)'!$V$7</f>
        <v>538.80914900519747</v>
      </c>
      <c r="X938" s="397">
        <f>X885*'Assumptions (Solar)'!$V$7</f>
        <v>551.52302310815082</v>
      </c>
      <c r="Y938" s="397">
        <f>Y885*'Assumptions (Solar)'!$V$7</f>
        <v>566.80299544847264</v>
      </c>
      <c r="Z938" s="397">
        <f>Z885*'Assumptions (Solar)'!$V$7</f>
        <v>581.66338613626556</v>
      </c>
      <c r="AA938" s="397">
        <f>AA885*'Assumptions (Solar)'!$V$7</f>
        <v>596.65103101034003</v>
      </c>
      <c r="AB938" s="397">
        <f>AB885*'Assumptions (Solar)'!$V$7</f>
        <v>609.89338927665062</v>
      </c>
      <c r="AC938" s="397">
        <f>AC885*'Assumptions (Solar)'!$V$7</f>
        <v>624.14085312021689</v>
      </c>
      <c r="AD938" s="397">
        <f>AD885*'Assumptions (Solar)'!$V$7</f>
        <v>639.36306575377728</v>
      </c>
      <c r="AE938" s="397">
        <f>AE885*'Assumptions (Solar)'!$V$7</f>
        <v>655.30894939332563</v>
      </c>
      <c r="AF938" s="397">
        <f>AF885*'Assumptions (Solar)'!$V$7</f>
        <v>670.6236937572462</v>
      </c>
      <c r="AG938" s="397">
        <f>AG885*'Assumptions (Solar)'!$V$7</f>
        <v>683.22089052902311</v>
      </c>
      <c r="AH938" s="397">
        <f>AH885*'Assumptions (Solar)'!$V$7</f>
        <v>695.72841689142035</v>
      </c>
      <c r="AI938" s="397">
        <f>AI885*'Assumptions (Solar)'!$V$7</f>
        <v>708.08108253358466</v>
      </c>
      <c r="AJ938" s="397">
        <f>AJ885*'Assumptions (Solar)'!$V$7</f>
        <v>720.28839725918817</v>
      </c>
      <c r="AK938" s="397">
        <f>AK885*'Assumptions (Solar)'!$V$7</f>
        <v>732.33274557700565</v>
      </c>
      <c r="AL938" s="397">
        <f>AL885*'Assumptions (Solar)'!$V$7</f>
        <v>744.25478240913162</v>
      </c>
      <c r="AM938" s="397">
        <f>AM885*'Assumptions (Solar)'!$V$7</f>
        <v>761.07499983316848</v>
      </c>
      <c r="AN938" s="397">
        <f>AN885*'Assumptions (Solar)'!$V$7</f>
        <v>777.13444502830998</v>
      </c>
      <c r="AO938" s="397">
        <f>AO885*'Assumptions (Solar)'!$V$7</f>
        <v>793.17494650444178</v>
      </c>
      <c r="AP938" s="397">
        <f>AP885*'Assumptions (Solar)'!$V$7</f>
        <v>810.87555135219145</v>
      </c>
      <c r="AQ938" s="397">
        <f>AQ885*'Assumptions (Solar)'!$V$7</f>
        <v>830.03297332926377</v>
      </c>
      <c r="AR938" s="397">
        <f>AR885*'Assumptions (Solar)'!$V$7</f>
        <v>849.151812236777</v>
      </c>
      <c r="AS938" s="397">
        <f>AS885*'Assumptions (Solar)'!$V$7</f>
        <v>869.25139158534421</v>
      </c>
      <c r="AT938" s="397">
        <f>AT885*'Assumptions (Solar)'!$V$7</f>
        <v>890.29021673962825</v>
      </c>
      <c r="AU938" s="397">
        <f>AU885*'Assumptions (Solar)'!$V$7</f>
        <v>913.07430379186417</v>
      </c>
      <c r="AV938" s="397">
        <f>AV885*'Assumptions (Solar)'!$V$7</f>
        <v>932.52776737923853</v>
      </c>
      <c r="AW938" s="397">
        <f>AW885*'Assumptions (Solar)'!$V$7</f>
        <v>950.03425561710617</v>
      </c>
      <c r="AX938" s="397">
        <f>AX885*'Assumptions (Solar)'!$V$7</f>
        <v>977.80693786395227</v>
      </c>
      <c r="AY938" s="397">
        <f>AY885*'Assumptions (Solar)'!$V$7</f>
        <v>994.78963845649275</v>
      </c>
      <c r="AZ938" s="397">
        <f>AZ885*'Assumptions (Solar)'!$V$7</f>
        <v>1011.3273990028061</v>
      </c>
      <c r="BA938" s="397">
        <f>BA885*'Assumptions (Solar)'!$V$7</f>
        <v>0</v>
      </c>
    </row>
    <row r="939" spans="1:68" ht="15.75" customHeight="1">
      <c r="A939" s="403" t="s">
        <v>336</v>
      </c>
      <c r="B939" s="99" t="s">
        <v>201</v>
      </c>
      <c r="C939" s="91">
        <f t="array" ref="C939">SUM(IF(ISERROR(C940:C990),"",C940:C990))</f>
        <v>0</v>
      </c>
      <c r="D939" s="91">
        <f t="array" ref="D939">SUM(IF(ISERROR(D940:D990),"",D940:D990))</f>
        <v>-4.8984551093048546E-4</v>
      </c>
      <c r="E939" s="91">
        <f t="array" ref="E939">SUM(IF(ISERROR(E940:E990),"",E940:E990))</f>
        <v>-7.9015848955479081E-4</v>
      </c>
      <c r="F939" s="91">
        <f t="array" ref="F939">SUM(IF(ISERROR(F940:F990),"",F940:F990))</f>
        <v>-8.6568136321309619E-4</v>
      </c>
      <c r="G939" s="91">
        <f t="array" ref="G939">SUM(IF(ISERROR(G940:G990),"",G940:G990))</f>
        <v>-9.3493587227014405E-4</v>
      </c>
      <c r="H939" s="91">
        <f t="array" ref="H939">SUM(IF(ISERROR(H940:H990),"",H940:H990))</f>
        <v>-1.25103517452162E-3</v>
      </c>
      <c r="I939" s="91">
        <f t="array" ref="I939">SUM(IF(ISERROR(I940:I990),"",I940:I990))</f>
        <v>-1.5661202378139986E-3</v>
      </c>
      <c r="J939" s="91">
        <f t="array" ref="J939">SUM(IF(ISERROR(J940:J990),"",J940:J990))</f>
        <v>-1.3599309436017124E-2</v>
      </c>
      <c r="K939" s="91">
        <f t="array" ref="K939">SUM(IF(ISERROR(K940:K990),"",K940:K990))</f>
        <v>-1.8129074698858324E-2</v>
      </c>
      <c r="L939" s="91">
        <f t="array" ref="L939">SUM(IF(ISERROR(L940:L990),"",L940:L990))</f>
        <v>-3.1250333052319355E-2</v>
      </c>
      <c r="M939" s="91">
        <f t="array" ref="M939">SUM(IF(ISERROR(M940:M990),"",M940:M990))</f>
        <v>-6.055340344389587E-2</v>
      </c>
      <c r="N939" s="91">
        <f t="array" ref="N939">SUM(IF(ISERROR(N940:N990),"",N940:N990))</f>
        <v>-0.15314610092268946</v>
      </c>
      <c r="O939" s="91">
        <f t="array" ref="O939">SUM(IF(ISERROR(O940:O990),"",O940:O990))</f>
        <v>-0.34254786054558839</v>
      </c>
      <c r="P939" s="91">
        <f t="array" ref="P939">SUM(IF(ISERROR(P940:P990),"",P940:P990))</f>
        <v>-0.76326934847725769</v>
      </c>
      <c r="Q939" s="91">
        <f t="array" ref="Q939">SUM(IF(ISERROR(Q940:Q990),"",Q940:Q990))</f>
        <v>-1.2339446273628976</v>
      </c>
      <c r="R939" s="91">
        <f t="array" ref="R939">SUM(IF(ISERROR(R940:R990),"",R940:R990))</f>
        <v>-1.7139678142449029</v>
      </c>
      <c r="S939" s="91">
        <f t="array" ref="S939">SUM(IF(ISERROR(S940:S990),"",S940:S990))</f>
        <v>-2.715519582444045</v>
      </c>
      <c r="T939" s="91">
        <f t="array" ref="T939">SUM(IF(ISERROR(T940:T990),"",T940:T990))</f>
        <v>-3.4100226205860524</v>
      </c>
      <c r="U939" s="91">
        <f t="array" ref="U939">SUM(IF(ISERROR(U940:U990),"",U940:U990))</f>
        <v>-4.2136372751472262</v>
      </c>
      <c r="V939" s="91">
        <f t="array" ref="V939">SUM(IF(ISERROR(V940:V990),"",V940:V990))</f>
        <v>-4.8260103865055992</v>
      </c>
      <c r="W939" s="91">
        <f t="array" ref="W939">SUM(IF(ISERROR(W940:W990),"",W940:W990))</f>
        <v>-6.1900080832423452</v>
      </c>
      <c r="X939" s="91">
        <f t="array" ref="X939">SUM(IF(ISERROR(X940:X990),"",X940:X990))</f>
        <v>-62.284063404028146</v>
      </c>
      <c r="Y939" s="91">
        <f t="array" ref="Y939">SUM(IF(ISERROR(Y940:Y990),"",Y940:Y990))</f>
        <v>-123.99014609933744</v>
      </c>
      <c r="Z939" s="91">
        <f t="array" ref="Z939">SUM(IF(ISERROR(Z940:Z990),"",Z940:Z990))</f>
        <v>-191.74933853558977</v>
      </c>
      <c r="AA939" s="91">
        <f t="array" ref="AA939">SUM(IF(ISERROR(AA940:AA990),"",AA940:AA990))</f>
        <v>-266.43284950353274</v>
      </c>
      <c r="AB939" s="91">
        <f t="array" ref="AB939">SUM(IF(ISERROR(AB940:AB990),"",AB940:AB990))</f>
        <v>-348.70291161070799</v>
      </c>
      <c r="AC939" s="91">
        <f t="array" ref="AC939">SUM(IF(ISERROR(AC940:AC990),"",AC940:AC990))</f>
        <v>-437.88283674380267</v>
      </c>
      <c r="AD939" s="91">
        <f t="array" ref="AD939">SUM(IF(ISERROR(AD940:AD990),"",AD940:AD990))</f>
        <v>-536.45377570130563</v>
      </c>
      <c r="AE939" s="91">
        <f t="array" ref="AE939">SUM(IF(ISERROR(AE940:AE990),"",AE940:AE990))</f>
        <v>-644.41040874093358</v>
      </c>
      <c r="AF939" s="91">
        <f t="array" ref="AF939">SUM(IF(ISERROR(AF940:AF990),"",AF940:AF990))</f>
        <v>-763.16799282707723</v>
      </c>
      <c r="AG939" s="91">
        <f t="array" ref="AG939">SUM(IF(ISERROR(AG940:AG990),"",AG940:AG990))</f>
        <v>-891.42447128045683</v>
      </c>
      <c r="AH939" s="91">
        <f t="array" ref="AH939">SUM(IF(ISERROR(AH940:AH990),"",AH940:AH990))</f>
        <v>-913.03433412113532</v>
      </c>
      <c r="AI939" s="91">
        <f t="array" ref="AI939">SUM(IF(ISERROR(AI940:AI990),"",AI940:AI990))</f>
        <v>-934.82595497817749</v>
      </c>
      <c r="AJ939" s="91">
        <f t="array" ref="AJ939">SUM(IF(ISERROR(AJ940:AJ990),"",AJ940:AJ990))</f>
        <v>-956.22420309599431</v>
      </c>
      <c r="AK939" s="91">
        <f t="array" ref="AK939">SUM(IF(ISERROR(AK940:AK990),"",AK940:AK990))</f>
        <v>-977.2763534649846</v>
      </c>
      <c r="AL939" s="91">
        <f t="array" ref="AL939">SUM(IF(ISERROR(AL940:AL990),"",AL940:AL990))</f>
        <v>-997.90939709406177</v>
      </c>
      <c r="AM939" s="91">
        <f t="array" ref="AM939">SUM(IF(ISERROR(AM940:AM990),"",AM940:AM990))</f>
        <v>-1018.4672895512315</v>
      </c>
      <c r="AN939" s="91">
        <f t="array" ref="AN939">SUM(IF(ISERROR(AN940:AN990),"",AN940:AN990))</f>
        <v>-1039.2265115400521</v>
      </c>
      <c r="AO939" s="91">
        <f t="array" ref="AO939">SUM(IF(ISERROR(AO940:AO990),"",AO940:AO990))</f>
        <v>-1059.9064963754206</v>
      </c>
      <c r="AP939" s="91">
        <f t="array" ref="AP939">SUM(IF(ISERROR(AP940:AP990),"",AP940:AP990))</f>
        <v>-1080.3371710921945</v>
      </c>
      <c r="AQ939" s="91">
        <f t="array" ref="AQ939">SUM(IF(ISERROR(AQ940:AQ990),"",AQ940:AQ990))</f>
        <v>-1100.8115725565917</v>
      </c>
      <c r="AR939" s="91">
        <f t="array" ref="AR939">SUM(IF(ISERROR(AR940:AR990),"",AR940:AR990))</f>
        <v>-1122.0915360130166</v>
      </c>
      <c r="AS939" s="91">
        <f t="array" ref="AS939">SUM(IF(ISERROR(AS940:AS990),"",AS940:AS990))</f>
        <v>-1144.2575566693763</v>
      </c>
      <c r="AT939" s="91">
        <f t="array" ref="AT939">SUM(IF(ISERROR(AT940:AT990),"",AT940:AT990))</f>
        <v>-1167.5166873393848</v>
      </c>
      <c r="AU939" s="91">
        <f t="array" ref="AU939">SUM(IF(ISERROR(AU940:AU990),"",AU940:AU990))</f>
        <v>-1192.0861226698942</v>
      </c>
      <c r="AV939" s="91">
        <f t="array" ref="AV939">SUM(IF(ISERROR(AV940:AV990),"",AV940:AV990))</f>
        <v>-1218.2878290390715</v>
      </c>
      <c r="AW939" s="91">
        <f t="array" ref="AW939">SUM(IF(ISERROR(AW940:AW990),"",AW940:AW990))</f>
        <v>-1245.9348633050392</v>
      </c>
      <c r="AX939" s="91">
        <f t="array" ref="AX939">SUM(IF(ISERROR(AX940:AX990),"",AX940:AX990))</f>
        <v>-1273.84629360648</v>
      </c>
      <c r="AY939" s="91">
        <f t="array" ref="AY939">SUM(IF(ISERROR(AY940:AY990),"",AY940:AY990))</f>
        <v>-1303.2763430556192</v>
      </c>
      <c r="AZ939" s="91">
        <f t="array" ref="AZ939">SUM(IF(ISERROR(AZ940:AZ990),"",AZ940:AZ990))</f>
        <v>-1333.2334955684385</v>
      </c>
      <c r="BA939" s="91">
        <f t="array" ref="BA939">SUM(IF(ISERROR(BA940:BA990),"",BA940:BA990))</f>
        <v>-1363.3427418792098</v>
      </c>
      <c r="BB939" s="91">
        <f t="array" ref="BB939">SUM(IF(ISERROR(BB940:BB990),"",BB940:BB990))</f>
        <v>-1286.8610768040862</v>
      </c>
      <c r="BC939" s="91">
        <f t="array" ref="BC939">SUM(IF(ISERROR(BC940:BC990),"",BC940:BC990))</f>
        <v>-1199.9869723426505</v>
      </c>
      <c r="BD939" s="91">
        <f t="array" ref="BD939">SUM(IF(ISERROR(BD940:BD990),"",BD940:BD990))</f>
        <v>-1101.6697944742848</v>
      </c>
      <c r="BE939" s="91">
        <f t="array" ref="BE939">SUM(IF(ISERROR(BE940:BE990),"",BE940:BE990))</f>
        <v>-990.78413434315462</v>
      </c>
      <c r="BF939" s="91">
        <f t="array" ref="BF939">SUM(IF(ISERROR(BF940:BF990),"",BF940:BF990))</f>
        <v>-865.93437013579762</v>
      </c>
      <c r="BG939" s="91">
        <f t="array" ref="BG939">SUM(IF(ISERROR(BG940:BG990),"",BG940:BG990))</f>
        <v>-726.74791519413168</v>
      </c>
      <c r="BH939" s="91">
        <f t="array" ref="BH939">SUM(IF(ISERROR(BH940:BH990),"",BH940:BH990))</f>
        <v>-572.51306937067625</v>
      </c>
      <c r="BI939" s="91">
        <f t="array" ref="BI939">SUM(IF(ISERROR(BI940:BI990),"",BI940:BI990))</f>
        <v>-399.73101292885366</v>
      </c>
      <c r="BJ939" s="91">
        <f t="array" ref="BJ939">SUM(IF(ISERROR(BJ940:BJ990),"",BJ940:BJ990))</f>
        <v>-209.33000719268247</v>
      </c>
      <c r="BK939" s="91"/>
      <c r="BL939" s="91"/>
      <c r="BM939" s="91"/>
      <c r="BN939" s="91"/>
      <c r="BO939" s="91"/>
      <c r="BP939" s="91"/>
    </row>
    <row r="940" spans="1:68" ht="15.75" hidden="1" customHeight="1" outlineLevel="1">
      <c r="A940" s="401"/>
      <c r="B940" s="99"/>
      <c r="C940" s="91">
        <f>IF($C$883&gt;0,PPMT('Assumptions (Solar)'!$V$8,Model!W$1,'Assumptions (Solar)'!$V$11,'Assumptions (Solar)'!$V$6*Model!$C$883*('Assumptions (Solar)'!$B$18*'Assumptions (Solar)'!$B$2+'Assumptions (Solar)'!$B$19*'Assumptions (Solar)'!$B$3)/10^9),0)</f>
        <v>0</v>
      </c>
      <c r="D940" s="91">
        <f>IF($C$883&gt;0,PPMT('Assumptions (Solar)'!$V$8,Model!X$1,'Assumptions (Solar)'!$V$11,'Assumptions (Solar)'!$V$6*Model!$C$883*('Assumptions (Solar)'!$B$18*'Assumptions (Solar)'!$B$2+'Assumptions (Solar)'!$B$19*'Assumptions (Solar)'!$B$3)/10^9),0)</f>
        <v>0</v>
      </c>
      <c r="E940" s="91">
        <f>IF($C$883&gt;0,PPMT('Assumptions (Solar)'!$V$8,Model!Y$1,'Assumptions (Solar)'!$V$11,'Assumptions (Solar)'!$V$6*Model!$C$883*('Assumptions (Solar)'!$B$18*'Assumptions (Solar)'!$B$2+'Assumptions (Solar)'!$B$19*'Assumptions (Solar)'!$B$3)/10^9),0)</f>
        <v>0</v>
      </c>
      <c r="F940" s="91">
        <f>IF($C$883&gt;0,PPMT('Assumptions (Solar)'!$V$8,Model!Z$1,'Assumptions (Solar)'!$V$11,'Assumptions (Solar)'!$V$6*Model!$C$883*('Assumptions (Solar)'!$B$18*'Assumptions (Solar)'!$B$2+'Assumptions (Solar)'!$B$19*'Assumptions (Solar)'!$B$3)/10^9),0)</f>
        <v>0</v>
      </c>
      <c r="G940" s="91">
        <f>IF($C$883&gt;0,PPMT('Assumptions (Solar)'!$V$8,Model!AA$1,'Assumptions (Solar)'!$V$11,'Assumptions (Solar)'!$V$6*Model!$C$883*('Assumptions (Solar)'!$B$18*'Assumptions (Solar)'!$B$2+'Assumptions (Solar)'!$B$19*'Assumptions (Solar)'!$B$3)/10^9),0)</f>
        <v>0</v>
      </c>
      <c r="H940" s="91">
        <f>IF($C$883&gt;0,PPMT('Assumptions (Solar)'!$V$8,Model!AB$1,'Assumptions (Solar)'!$V$11,'Assumptions (Solar)'!$V$6*Model!$C$883*('Assumptions (Solar)'!$B$18*'Assumptions (Solar)'!$B$2+'Assumptions (Solar)'!$B$19*'Assumptions (Solar)'!$B$3)/10^9),0)</f>
        <v>0</v>
      </c>
      <c r="I940" s="91">
        <f>IF($C$883&gt;0,PPMT('Assumptions (Solar)'!$V$8,Model!AC$1,'Assumptions (Solar)'!$V$11,'Assumptions (Solar)'!$V$6*Model!$C$883*('Assumptions (Solar)'!$B$18*'Assumptions (Solar)'!$B$2+'Assumptions (Solar)'!$B$19*'Assumptions (Solar)'!$B$3)/10^9),0)</f>
        <v>0</v>
      </c>
      <c r="J940" s="91">
        <f>IF($C$883&gt;0,PPMT('Assumptions (Solar)'!$V$8,Model!AD$1,'Assumptions (Solar)'!$V$11,'Assumptions (Solar)'!$V$6*Model!$C$883*('Assumptions (Solar)'!$B$18*'Assumptions (Solar)'!$B$2+'Assumptions (Solar)'!$B$19*'Assumptions (Solar)'!$B$3)/10^9),0)</f>
        <v>0</v>
      </c>
      <c r="K940" s="91">
        <f>IF($C$883&gt;0,PPMT('Assumptions (Solar)'!$V$8,Model!AE$1,'Assumptions (Solar)'!$V$11,'Assumptions (Solar)'!$V$6*Model!$C$883*('Assumptions (Solar)'!$B$18*'Assumptions (Solar)'!$B$2+'Assumptions (Solar)'!$B$19*'Assumptions (Solar)'!$B$3)/10^9),0)</f>
        <v>0</v>
      </c>
      <c r="L940" s="91">
        <f>IF($C$883&gt;0,PPMT('Assumptions (Solar)'!$V$8,Model!AF$1,'Assumptions (Solar)'!$V$11,'Assumptions (Solar)'!$V$6*Model!$C$883*('Assumptions (Solar)'!$B$18*'Assumptions (Solar)'!$B$2+'Assumptions (Solar)'!$B$19*'Assumptions (Solar)'!$B$3)/10^9),0)</f>
        <v>0</v>
      </c>
      <c r="M940" s="91">
        <f>IF($C$883&gt;0,PPMT('Assumptions (Solar)'!$V$8,Model!AG$1,'Assumptions (Solar)'!$V$11,'Assumptions (Solar)'!$V$6*Model!$C$883*('Assumptions (Solar)'!$B$18*'Assumptions (Solar)'!$B$2+'Assumptions (Solar)'!$B$19*'Assumptions (Solar)'!$B$3)/10^9),0)</f>
        <v>0</v>
      </c>
      <c r="N940" s="91">
        <f>IF($C$883&gt;0,PPMT('Assumptions (Solar)'!$V$8,Model!AH$1,'Assumptions (Solar)'!$V$11,'Assumptions (Solar)'!$V$6*Model!$C$883*('Assumptions (Solar)'!$B$18*'Assumptions (Solar)'!$B$2+'Assumptions (Solar)'!$B$19*'Assumptions (Solar)'!$B$3)/10^9),0)</f>
        <v>0</v>
      </c>
      <c r="O940" s="91">
        <f>IF($C$883&gt;0,PPMT('Assumptions (Solar)'!$V$8,Model!AI$1,'Assumptions (Solar)'!$V$11,'Assumptions (Solar)'!$V$6*Model!$C$883*('Assumptions (Solar)'!$B$18*'Assumptions (Solar)'!$B$2+'Assumptions (Solar)'!$B$19*'Assumptions (Solar)'!$B$3)/10^9),0)</f>
        <v>0</v>
      </c>
      <c r="P940" s="91">
        <f>IF($C$883&gt;0,PPMT('Assumptions (Solar)'!$V$8,Model!AJ$1,'Assumptions (Solar)'!$V$11,'Assumptions (Solar)'!$V$6*Model!$C$883*('Assumptions (Solar)'!$B$18*'Assumptions (Solar)'!$B$2+'Assumptions (Solar)'!$B$19*'Assumptions (Solar)'!$B$3)/10^9),0)</f>
        <v>0</v>
      </c>
      <c r="Q940" s="91">
        <f>IF($C$883&gt;0,PPMT('Assumptions (Solar)'!$V$8,Model!AK$1,'Assumptions (Solar)'!$V$11,'Assumptions (Solar)'!$V$6*Model!$C$883*('Assumptions (Solar)'!$B$18*'Assumptions (Solar)'!$B$2+'Assumptions (Solar)'!$B$19*'Assumptions (Solar)'!$B$3)/10^9),0)</f>
        <v>0</v>
      </c>
      <c r="R940" s="91"/>
      <c r="S940" s="91"/>
      <c r="T940" s="91"/>
      <c r="U940" s="91"/>
      <c r="V940" s="91"/>
      <c r="W940" s="91"/>
      <c r="X940" s="91"/>
      <c r="Y940" s="91"/>
      <c r="Z940" s="91"/>
      <c r="AA940" s="91"/>
      <c r="AB940" s="105"/>
      <c r="AC940" s="105"/>
      <c r="AD940" s="105"/>
      <c r="AE940" s="105"/>
      <c r="AF940" s="105"/>
      <c r="AG940" s="105"/>
      <c r="AU940" s="105"/>
      <c r="AV940" s="105"/>
      <c r="AW940" s="105"/>
      <c r="AX940" s="105"/>
      <c r="AY940" s="105"/>
      <c r="AZ940" s="105"/>
      <c r="BA940" s="105"/>
    </row>
    <row r="941" spans="1:68" ht="15.75" hidden="1" customHeight="1" outlineLevel="1">
      <c r="A941" s="401"/>
      <c r="B941" s="99"/>
      <c r="C941" s="105"/>
      <c r="D941" s="91">
        <f>IF($D$883&gt;0,PPMT('Assumptions (Solar)'!$V$8,Model!W$1,'Assumptions (Solar)'!$V$11,'Assumptions (Solar)'!$V$6*Model!$D$883*('Assumptions (Solar)'!$B$18*'Assumptions (Solar)'!$B$2+'Assumptions (Solar)'!$B$19*'Assumptions (Solar)'!$B$3)/10^9),0)</f>
        <v>-4.8984551093048546E-4</v>
      </c>
      <c r="E941" s="91">
        <f>IF($D$883&gt;0,PPMT('Assumptions (Solar)'!$V$8,Model!X$1,'Assumptions (Solar)'!$V$11,'Assumptions (Solar)'!$V$6*Model!$D$883*('Assumptions (Solar)'!$B$18*'Assumptions (Solar)'!$B$2+'Assumptions (Solar)'!$B$19*'Assumptions (Solar)'!$B$3)/10^9),0)</f>
        <v>-5.2903315180492436E-4</v>
      </c>
      <c r="F941" s="91">
        <f>IF($D$883&gt;0,PPMT('Assumptions (Solar)'!$V$8,Model!Y$1,'Assumptions (Solar)'!$V$11,'Assumptions (Solar)'!$V$6*Model!$D$883*('Assumptions (Solar)'!$B$18*'Assumptions (Solar)'!$B$2+'Assumptions (Solar)'!$B$19*'Assumptions (Solar)'!$B$3)/10^9),0)</f>
        <v>-5.713558039493182E-4</v>
      </c>
      <c r="G941" s="91">
        <f>IF($D$883&gt;0,PPMT('Assumptions (Solar)'!$V$8,Model!Z$1,'Assumptions (Solar)'!$V$11,'Assumptions (Solar)'!$V$6*Model!$D$883*('Assumptions (Solar)'!$B$18*'Assumptions (Solar)'!$B$2+'Assumptions (Solar)'!$B$19*'Assumptions (Solar)'!$B$3)/10^9),0)</f>
        <v>-6.170642682652638E-4</v>
      </c>
      <c r="H941" s="91">
        <f>IF($D$883&gt;0,PPMT('Assumptions (Solar)'!$V$8,Model!AA$1,'Assumptions (Solar)'!$V$11,'Assumptions (Solar)'!$V$6*Model!$D$883*('Assumptions (Solar)'!$B$18*'Assumptions (Solar)'!$B$2+'Assumptions (Solar)'!$B$19*'Assumptions (Solar)'!$B$3)/10^9),0)</f>
        <v>-6.664294097264849E-4</v>
      </c>
      <c r="I941" s="91">
        <f>IF($D$883&gt;0,PPMT('Assumptions (Solar)'!$V$8,Model!AB$1,'Assumptions (Solar)'!$V$11,'Assumptions (Solar)'!$V$6*Model!$D$883*('Assumptions (Solar)'!$B$18*'Assumptions (Solar)'!$B$2+'Assumptions (Solar)'!$B$19*'Assumptions (Solar)'!$B$3)/10^9),0)</f>
        <v>-7.1974376250460352E-4</v>
      </c>
      <c r="J941" s="91">
        <f>IF($D$883&gt;0,PPMT('Assumptions (Solar)'!$V$8,Model!AC$1,'Assumptions (Solar)'!$V$11,'Assumptions (Solar)'!$V$6*Model!$D$883*('Assumptions (Solar)'!$B$18*'Assumptions (Solar)'!$B$2+'Assumptions (Solar)'!$B$19*'Assumptions (Solar)'!$B$3)/10^9),0)</f>
        <v>-7.7732326350497176E-4</v>
      </c>
      <c r="K941" s="91">
        <f>IF($D$883&gt;0,PPMT('Assumptions (Solar)'!$V$8,Model!AD$1,'Assumptions (Solar)'!$V$11,'Assumptions (Solar)'!$V$6*Model!$D$883*('Assumptions (Solar)'!$B$18*'Assumptions (Solar)'!$B$2+'Assumptions (Solar)'!$B$19*'Assumptions (Solar)'!$B$3)/10^9),0)</f>
        <v>-8.3950912458536958E-4</v>
      </c>
      <c r="L941" s="91">
        <f>IF($D$883&gt;0,PPMT('Assumptions (Solar)'!$V$8,Model!AE$1,'Assumptions (Solar)'!$V$11,'Assumptions (Solar)'!$V$6*Model!$D$883*('Assumptions (Solar)'!$B$18*'Assumptions (Solar)'!$B$2+'Assumptions (Solar)'!$B$19*'Assumptions (Solar)'!$B$3)/10^9),0)</f>
        <v>-9.0666985455219911E-4</v>
      </c>
      <c r="M941" s="91">
        <f>IF($D$883&gt;0,PPMT('Assumptions (Solar)'!$V$8,Model!AF$1,'Assumptions (Solar)'!$V$11,'Assumptions (Solar)'!$V$6*Model!$D$883*('Assumptions (Solar)'!$B$18*'Assumptions (Solar)'!$B$2+'Assumptions (Solar)'!$B$19*'Assumptions (Solar)'!$B$3)/10^9),0)</f>
        <v>-9.7920344291637512E-4</v>
      </c>
      <c r="N941" s="91" t="e">
        <f>IF($D$883&gt;0,PPMT('Assumptions (Solar)'!$V$8,Model!AG$1,'Assumptions (Solar)'!$V$11,'Assumptions (Solar)'!$V$6*Model!$D$883*('Assumptions (Solar)'!$B$18*'Assumptions (Solar)'!$B$2+'Assumptions (Solar)'!$B$19*'Assumptions (Solar)'!$B$3)/10^9),0)</f>
        <v>#NUM!</v>
      </c>
      <c r="O941" s="91" t="e">
        <f>IF($D$883&gt;0,PPMT('Assumptions (Solar)'!$V$8,Model!AH$1,'Assumptions (Solar)'!$V$11,'Assumptions (Solar)'!$V$6*Model!$D$883*('Assumptions (Solar)'!$B$18*'Assumptions (Solar)'!$B$2+'Assumptions (Solar)'!$B$19*'Assumptions (Solar)'!$B$3)/10^9),0)</f>
        <v>#NUM!</v>
      </c>
      <c r="P941" s="91" t="e">
        <f>IF($D$883&gt;0,PPMT('Assumptions (Solar)'!$V$8,Model!AI$1,'Assumptions (Solar)'!$V$11,'Assumptions (Solar)'!$V$6*Model!$D$883*('Assumptions (Solar)'!$B$18*'Assumptions (Solar)'!$B$2+'Assumptions (Solar)'!$B$19*'Assumptions (Solar)'!$B$3)/10^9),0)</f>
        <v>#NUM!</v>
      </c>
      <c r="Q941" s="91" t="e">
        <f>IF($D$883&gt;0,PPMT('Assumptions (Solar)'!$V$8,Model!AJ$1,'Assumptions (Solar)'!$V$11,'Assumptions (Solar)'!$V$6*Model!$D$883*('Assumptions (Solar)'!$B$18*'Assumptions (Solar)'!$B$2+'Assumptions (Solar)'!$B$19*'Assumptions (Solar)'!$B$3)/10^9),0)</f>
        <v>#NUM!</v>
      </c>
      <c r="R941" s="91" t="e">
        <f>IF($D$883&gt;0,PPMT('Assumptions (Solar)'!$V$8,Model!AK$1,'Assumptions (Solar)'!$V$11,'Assumptions (Solar)'!$V$6*Model!$D$883*('Assumptions (Solar)'!$B$18*'Assumptions (Solar)'!$B$2+'Assumptions (Solar)'!$B$19*'Assumptions (Solar)'!$B$3)/10^9),0)</f>
        <v>#NUM!</v>
      </c>
      <c r="S941" s="91"/>
      <c r="T941" s="91"/>
      <c r="U941" s="91"/>
      <c r="V941" s="91"/>
      <c r="W941" s="91"/>
      <c r="X941" s="91"/>
      <c r="Y941" s="91"/>
      <c r="Z941" s="91"/>
      <c r="AA941" s="91"/>
      <c r="AB941" s="91"/>
      <c r="AC941" s="105"/>
      <c r="AD941" s="105"/>
      <c r="AE941" s="105"/>
      <c r="AF941" s="105"/>
      <c r="AG941" s="105"/>
      <c r="AU941" s="105"/>
      <c r="AV941" s="105"/>
      <c r="AW941" s="105"/>
      <c r="AX941" s="105"/>
      <c r="AY941" s="105"/>
      <c r="AZ941" s="105"/>
      <c r="BA941" s="105"/>
    </row>
    <row r="942" spans="1:68" ht="15.75" hidden="1" customHeight="1" outlineLevel="1">
      <c r="A942" s="401"/>
      <c r="B942" s="99"/>
      <c r="C942" s="105"/>
      <c r="D942" s="105"/>
      <c r="E942" s="105">
        <f>IF($E$883&gt;0,PPMT('Assumptions (Solar)'!$V$8,Model!W$1,'Assumptions (Solar)'!$V$11,'Assumptions (Solar)'!$V$6*Model!$E$883*('Assumptions (Solar)'!$C$18*'Assumptions (Solar)'!$C$2+'Assumptions (Solar)'!$C$19*'Assumptions (Solar)'!$C$3)/10^9),0)</f>
        <v>-2.6112533774986645E-4</v>
      </c>
      <c r="F942" s="105">
        <f>IF($E$883&gt;0,PPMT('Assumptions (Solar)'!$V$8,Model!X$1,'Assumptions (Solar)'!$V$11,'Assumptions (Solar)'!$V$6*Model!$E$883*('Assumptions (Solar)'!$C$18*'Assumptions (Solar)'!$C$2+'Assumptions (Solar)'!$C$19*'Assumptions (Solar)'!$C$3)/10^9),0)</f>
        <v>-2.820153647698558E-4</v>
      </c>
      <c r="G942" s="105">
        <f>IF($E$883&gt;0,PPMT('Assumptions (Solar)'!$V$8,Model!Y$1,'Assumptions (Solar)'!$V$11,'Assumptions (Solar)'!$V$6*Model!$E$883*('Assumptions (Solar)'!$C$18*'Assumptions (Solar)'!$C$2+'Assumptions (Solar)'!$C$19*'Assumptions (Solar)'!$C$3)/10^9),0)</f>
        <v>-3.0457659395144421E-4</v>
      </c>
      <c r="H942" s="105">
        <f>IF($E$883&gt;0,PPMT('Assumptions (Solar)'!$V$8,Model!Z$1,'Assumptions (Solar)'!$V$11,'Assumptions (Solar)'!$V$6*Model!$E$883*('Assumptions (Solar)'!$C$18*'Assumptions (Solar)'!$C$2+'Assumptions (Solar)'!$C$19*'Assumptions (Solar)'!$C$3)/10^9),0)</f>
        <v>-3.2894272146755978E-4</v>
      </c>
      <c r="I942" s="105">
        <f>IF($E$883&gt;0,PPMT('Assumptions (Solar)'!$V$8,Model!AA$1,'Assumptions (Solar)'!$V$11,'Assumptions (Solar)'!$V$6*Model!$E$883*('Assumptions (Solar)'!$C$18*'Assumptions (Solar)'!$C$2+'Assumptions (Solar)'!$C$19*'Assumptions (Solar)'!$C$3)/10^9),0)</f>
        <v>-3.5525813918496456E-4</v>
      </c>
      <c r="J942" s="105">
        <f>IF($E$883&gt;0,PPMT('Assumptions (Solar)'!$V$8,Model!AB$1,'Assumptions (Solar)'!$V$11,'Assumptions (Solar)'!$V$6*Model!$E$883*('Assumptions (Solar)'!$C$18*'Assumptions (Solar)'!$C$2+'Assumptions (Solar)'!$C$19*'Assumptions (Solar)'!$C$3)/10^9),0)</f>
        <v>-3.8367879031976166E-4</v>
      </c>
      <c r="K942" s="105">
        <f>IF($E$883&gt;0,PPMT('Assumptions (Solar)'!$V$8,Model!AC$1,'Assumptions (Solar)'!$V$11,'Assumptions (Solar)'!$V$6*Model!$E$883*('Assumptions (Solar)'!$C$18*'Assumptions (Solar)'!$C$2+'Assumptions (Solar)'!$C$19*'Assumptions (Solar)'!$C$3)/10^9),0)</f>
        <v>-4.1437309354534264E-4</v>
      </c>
      <c r="L942" s="105">
        <f>IF($E$883&gt;0,PPMT('Assumptions (Solar)'!$V$8,Model!AD$1,'Assumptions (Solar)'!$V$11,'Assumptions (Solar)'!$V$6*Model!$E$883*('Assumptions (Solar)'!$C$18*'Assumptions (Solar)'!$C$2+'Assumptions (Solar)'!$C$19*'Assumptions (Solar)'!$C$3)/10^9),0)</f>
        <v>-4.4752294102897003E-4</v>
      </c>
      <c r="M942" s="105">
        <f>IF($E$883&gt;0,PPMT('Assumptions (Solar)'!$V$8,Model!AE$1,'Assumptions (Solar)'!$V$11,'Assumptions (Solar)'!$V$6*Model!$E$883*('Assumptions (Solar)'!$C$18*'Assumptions (Solar)'!$C$2+'Assumptions (Solar)'!$C$19*'Assumptions (Solar)'!$C$3)/10^9),0)</f>
        <v>-4.8332477631128759E-4</v>
      </c>
      <c r="N942" s="105">
        <f>IF($E$883&gt;0,PPMT('Assumptions (Solar)'!$V$8,Model!AF$1,'Assumptions (Solar)'!$V$11,'Assumptions (Solar)'!$V$6*Model!$E$883*('Assumptions (Solar)'!$C$18*'Assumptions (Solar)'!$C$2+'Assumptions (Solar)'!$C$19*'Assumptions (Solar)'!$C$3)/10^9),0)</f>
        <v>-5.219907584161907E-4</v>
      </c>
      <c r="O942" s="105" t="e">
        <f>IF($E$883&gt;0,PPMT('Assumptions (Solar)'!$V$8,Model!AG$1,'Assumptions (Solar)'!$V$11,'Assumptions (Solar)'!$V$6*Model!$E$883*('Assumptions (Solar)'!$C$18*'Assumptions (Solar)'!$C$2+'Assumptions (Solar)'!$C$19*'Assumptions (Solar)'!$C$3)/10^9),0)</f>
        <v>#NUM!</v>
      </c>
      <c r="P942" s="105" t="e">
        <f>IF($E$883&gt;0,PPMT('Assumptions (Solar)'!$V$8,Model!AH$1,'Assumptions (Solar)'!$V$11,'Assumptions (Solar)'!$V$6*Model!$E$883*('Assumptions (Solar)'!$C$18*'Assumptions (Solar)'!$C$2+'Assumptions (Solar)'!$C$19*'Assumptions (Solar)'!$C$3)/10^9),0)</f>
        <v>#NUM!</v>
      </c>
      <c r="Q942" s="105" t="e">
        <f>IF($E$883&gt;0,PPMT('Assumptions (Solar)'!$V$8,Model!AI$1,'Assumptions (Solar)'!$V$11,'Assumptions (Solar)'!$V$6*Model!$E$883*('Assumptions (Solar)'!$C$18*'Assumptions (Solar)'!$C$2+'Assumptions (Solar)'!$C$19*'Assumptions (Solar)'!$C$3)/10^9),0)</f>
        <v>#NUM!</v>
      </c>
      <c r="R942" s="105" t="e">
        <f>IF($E$883&gt;0,PPMT('Assumptions (Solar)'!$V$8,Model!AJ$1,'Assumptions (Solar)'!$V$11,'Assumptions (Solar)'!$V$6*Model!$E$883*('Assumptions (Solar)'!$C$18*'Assumptions (Solar)'!$C$2+'Assumptions (Solar)'!$C$19*'Assumptions (Solar)'!$C$3)/10^9),0)</f>
        <v>#NUM!</v>
      </c>
      <c r="S942" s="105" t="e">
        <f>IF($E$883&gt;0,PPMT('Assumptions (Solar)'!$V$8,Model!AK$1,'Assumptions (Solar)'!$V$11,'Assumptions (Solar)'!$V$6*Model!$E$883*('Assumptions (Solar)'!$C$18*'Assumptions (Solar)'!$C$2+'Assumptions (Solar)'!$C$19*'Assumptions (Solar)'!$C$3)/10^9),0)</f>
        <v>#NUM!</v>
      </c>
      <c r="T942" s="105"/>
      <c r="U942" s="105"/>
      <c r="V942" s="105"/>
      <c r="W942" s="105"/>
      <c r="X942" s="105"/>
      <c r="Y942" s="105"/>
      <c r="Z942" s="105"/>
      <c r="AA942" s="105"/>
      <c r="AB942" s="105"/>
      <c r="AC942" s="105"/>
      <c r="AD942" s="105"/>
      <c r="AE942" s="105"/>
      <c r="AF942" s="105"/>
      <c r="AG942" s="105"/>
      <c r="AU942" s="105"/>
      <c r="AV942" s="105"/>
      <c r="AW942" s="105"/>
      <c r="AX942" s="105"/>
      <c r="AY942" s="105"/>
      <c r="AZ942" s="105"/>
      <c r="BA942" s="105"/>
    </row>
    <row r="943" spans="1:68" ht="15.75" hidden="1" customHeight="1" outlineLevel="1">
      <c r="A943" s="401"/>
      <c r="B943" s="99"/>
      <c r="C943" s="105"/>
      <c r="D943" s="105"/>
      <c r="E943" s="105"/>
      <c r="F943" s="105">
        <f>IF($F$883&gt;0,PPMT('Assumptions (Solar)'!$V$8,Model!W$1,'Assumptions (Solar)'!$V$11,'Assumptions (Solar)'!$V$6*Model!$F$883*('Assumptions (Solar)'!$D$18*'Assumptions (Solar)'!$D$2+'Assumptions (Solar)'!$D$19*'Assumptions (Solar)'!$D$3)/10^9),0)</f>
        <v>-1.2310194493922274E-5</v>
      </c>
      <c r="G943" s="105">
        <f>IF($F$883&gt;0,PPMT('Assumptions (Solar)'!$V$8,Model!X$1,'Assumptions (Solar)'!$V$11,'Assumptions (Solar)'!$V$6*Model!$F$883*('Assumptions (Solar)'!$D$18*'Assumptions (Solar)'!$D$2+'Assumptions (Solar)'!$D$19*'Assumptions (Solar)'!$D$3)/10^9),0)</f>
        <v>-1.3295010053436057E-5</v>
      </c>
      <c r="H943" s="105">
        <f>IF($F$883&gt;0,PPMT('Assumptions (Solar)'!$V$8,Model!Y$1,'Assumptions (Solar)'!$V$11,'Assumptions (Solar)'!$V$6*Model!$F$883*('Assumptions (Solar)'!$D$18*'Assumptions (Solar)'!$D$2+'Assumptions (Solar)'!$D$19*'Assumptions (Solar)'!$D$3)/10^9),0)</f>
        <v>-1.4358610857710938E-5</v>
      </c>
      <c r="I943" s="105">
        <f>IF($F$883&gt;0,PPMT('Assumptions (Solar)'!$V$8,Model!Z$1,'Assumptions (Solar)'!$V$11,'Assumptions (Solar)'!$V$6*Model!$F$883*('Assumptions (Solar)'!$D$18*'Assumptions (Solar)'!$D$2+'Assumptions (Solar)'!$D$19*'Assumptions (Solar)'!$D$3)/10^9),0)</f>
        <v>-1.5507299726327815E-5</v>
      </c>
      <c r="J943" s="105">
        <f>IF($F$883&gt;0,PPMT('Assumptions (Solar)'!$V$8,Model!AA$1,'Assumptions (Solar)'!$V$11,'Assumptions (Solar)'!$V$6*Model!$F$883*('Assumptions (Solar)'!$D$18*'Assumptions (Solar)'!$D$2+'Assumptions (Solar)'!$D$19*'Assumptions (Solar)'!$D$3)/10^9),0)</f>
        <v>-1.6747883704434042E-5</v>
      </c>
      <c r="K943" s="105">
        <f>IF($F$883&gt;0,PPMT('Assumptions (Solar)'!$V$8,Model!AB$1,'Assumptions (Solar)'!$V$11,'Assumptions (Solar)'!$V$6*Model!$F$883*('Assumptions (Solar)'!$D$18*'Assumptions (Solar)'!$D$2+'Assumptions (Solar)'!$D$19*'Assumptions (Solar)'!$D$3)/10^9),0)</f>
        <v>-1.8087714400788765E-5</v>
      </c>
      <c r="L943" s="105">
        <f>IF($F$883&gt;0,PPMT('Assumptions (Solar)'!$V$8,Model!AC$1,'Assumptions (Solar)'!$V$11,'Assumptions (Solar)'!$V$6*Model!$F$883*('Assumptions (Solar)'!$D$18*'Assumptions (Solar)'!$D$2+'Assumptions (Solar)'!$D$19*'Assumptions (Solar)'!$D$3)/10^9),0)</f>
        <v>-1.9534731552851865E-5</v>
      </c>
      <c r="M943" s="105">
        <f>IF($F$883&gt;0,PPMT('Assumptions (Solar)'!$V$8,Model!AD$1,'Assumptions (Solar)'!$V$11,'Assumptions (Solar)'!$V$6*Model!$F$883*('Assumptions (Solar)'!$D$18*'Assumptions (Solar)'!$D$2+'Assumptions (Solar)'!$D$19*'Assumptions (Solar)'!$D$3)/10^9),0)</f>
        <v>-2.1097510077080015E-5</v>
      </c>
      <c r="N943" s="105">
        <f>IF($F$883&gt;0,PPMT('Assumptions (Solar)'!$V$8,Model!AE$1,'Assumptions (Solar)'!$V$11,'Assumptions (Solar)'!$V$6*Model!$F$883*('Assumptions (Solar)'!$D$18*'Assumptions (Solar)'!$D$2+'Assumptions (Solar)'!$D$19*'Assumptions (Solar)'!$D$3)/10^9),0)</f>
        <v>-2.2785310883246412E-5</v>
      </c>
      <c r="O943" s="105">
        <f>IF($F$883&gt;0,PPMT('Assumptions (Solar)'!$V$8,Model!AF$1,'Assumptions (Solar)'!$V$11,'Assumptions (Solar)'!$V$6*Model!$F$883*('Assumptions (Solar)'!$D$18*'Assumptions (Solar)'!$D$2+'Assumptions (Solar)'!$D$19*'Assumptions (Solar)'!$D$3)/10^9),0)</f>
        <v>-2.4608135753906128E-5</v>
      </c>
      <c r="P943" s="105" t="e">
        <f>IF($F$883&gt;0,PPMT('Assumptions (Solar)'!$V$8,Model!AG$1,'Assumptions (Solar)'!$V$11,'Assumptions (Solar)'!$V$6*Model!$F$883*('Assumptions (Solar)'!$D$18*'Assumptions (Solar)'!$D$2+'Assumptions (Solar)'!$D$19*'Assumptions (Solar)'!$D$3)/10^9),0)</f>
        <v>#NUM!</v>
      </c>
      <c r="Q943" s="105" t="e">
        <f>IF($F$883&gt;0,PPMT('Assumptions (Solar)'!$V$8,Model!AH$1,'Assumptions (Solar)'!$V$11,'Assumptions (Solar)'!$V$6*Model!$F$883*('Assumptions (Solar)'!$D$18*'Assumptions (Solar)'!$D$2+'Assumptions (Solar)'!$D$19*'Assumptions (Solar)'!$D$3)/10^9),0)</f>
        <v>#NUM!</v>
      </c>
      <c r="R943" s="105" t="e">
        <f>IF($F$883&gt;0,PPMT('Assumptions (Solar)'!$V$8,Model!AI$1,'Assumptions (Solar)'!$V$11,'Assumptions (Solar)'!$V$6*Model!$F$883*('Assumptions (Solar)'!$D$18*'Assumptions (Solar)'!$D$2+'Assumptions (Solar)'!$D$19*'Assumptions (Solar)'!$D$3)/10^9),0)</f>
        <v>#NUM!</v>
      </c>
      <c r="S943" s="105" t="e">
        <f>IF($F$883&gt;0,PPMT('Assumptions (Solar)'!$V$8,Model!AJ$1,'Assumptions (Solar)'!$V$11,'Assumptions (Solar)'!$V$6*Model!$F$883*('Assumptions (Solar)'!$D$18*'Assumptions (Solar)'!$D$2+'Assumptions (Solar)'!$D$19*'Assumptions (Solar)'!$D$3)/10^9),0)</f>
        <v>#NUM!</v>
      </c>
      <c r="T943" s="105" t="e">
        <f>IF($F$883&gt;0,PPMT('Assumptions (Solar)'!$V$8,Model!AK$1,'Assumptions (Solar)'!$V$11,'Assumptions (Solar)'!$V$6*Model!$F$883*('Assumptions (Solar)'!$D$18*'Assumptions (Solar)'!$D$2+'Assumptions (Solar)'!$D$19*'Assumptions (Solar)'!$D$3)/10^9),0)</f>
        <v>#NUM!</v>
      </c>
      <c r="U943" s="105"/>
      <c r="V943" s="105"/>
      <c r="W943" s="105"/>
      <c r="X943" s="105"/>
      <c r="Y943" s="105"/>
      <c r="Z943" s="105"/>
      <c r="AA943" s="105"/>
      <c r="AB943" s="105"/>
      <c r="AC943" s="105"/>
      <c r="AD943" s="105"/>
      <c r="AE943" s="105"/>
      <c r="AF943" s="105"/>
      <c r="AG943" s="105"/>
      <c r="AU943" s="105"/>
      <c r="AV943" s="105"/>
      <c r="AW943" s="105"/>
      <c r="AX943" s="105"/>
      <c r="AY943" s="105"/>
      <c r="AZ943" s="105"/>
      <c r="BA943" s="105"/>
    </row>
    <row r="944" spans="1:68" ht="15.75" hidden="1" customHeight="1" outlineLevel="1">
      <c r="A944" s="401"/>
      <c r="B944" s="99"/>
      <c r="C944" s="105"/>
      <c r="D944" s="105"/>
      <c r="E944" s="105"/>
      <c r="F944" s="105"/>
      <c r="G944" s="105">
        <f>IF($G$883&gt;0,PPMT('Assumptions (Solar)'!$V$8,Model!W$1,'Assumptions (Solar)'!$V$11,'Assumptions (Solar)'!$V$6*Model!$G$883*('Assumptions (Solar)'!$E$18*'Assumptions (Solar)'!$E$2+'Assumptions (Solar)'!$E$19*'Assumptions (Solar)'!$E$3)/10^9),0)</f>
        <v>0</v>
      </c>
      <c r="H944" s="105">
        <f>IF($G$883&gt;0,PPMT('Assumptions (Solar)'!$V$8,Model!X$1,'Assumptions (Solar)'!$V$11,'Assumptions (Solar)'!$V$6*Model!$G$883*('Assumptions (Solar)'!$E$18*'Assumptions (Solar)'!$E$2+'Assumptions (Solar)'!$E$19*'Assumptions (Solar)'!$E$3)/10^9),0)</f>
        <v>0</v>
      </c>
      <c r="I944" s="105">
        <f>IF($G$883&gt;0,PPMT('Assumptions (Solar)'!$V$8,Model!Y$1,'Assumptions (Solar)'!$V$11,'Assumptions (Solar)'!$V$6*Model!$G$883*('Assumptions (Solar)'!$E$18*'Assumptions (Solar)'!$E$2+'Assumptions (Solar)'!$E$19*'Assumptions (Solar)'!$E$3)/10^9),0)</f>
        <v>0</v>
      </c>
      <c r="J944" s="105">
        <f>IF($G$883&gt;0,PPMT('Assumptions (Solar)'!$V$8,Model!Z$1,'Assumptions (Solar)'!$V$11,'Assumptions (Solar)'!$V$6*Model!$G$883*('Assumptions (Solar)'!$E$18*'Assumptions (Solar)'!$E$2+'Assumptions (Solar)'!$E$19*'Assumptions (Solar)'!$E$3)/10^9),0)</f>
        <v>0</v>
      </c>
      <c r="K944" s="105">
        <f>IF($G$883&gt;0,PPMT('Assumptions (Solar)'!$V$8,Model!AA$1,'Assumptions (Solar)'!$V$11,'Assumptions (Solar)'!$V$6*Model!$G$883*('Assumptions (Solar)'!$E$18*'Assumptions (Solar)'!$E$2+'Assumptions (Solar)'!$E$19*'Assumptions (Solar)'!$E$3)/10^9),0)</f>
        <v>0</v>
      </c>
      <c r="L944" s="105">
        <f>IF($G$883&gt;0,PPMT('Assumptions (Solar)'!$V$8,Model!AB$1,'Assumptions (Solar)'!$V$11,'Assumptions (Solar)'!$V$6*Model!$G$883*('Assumptions (Solar)'!$E$18*'Assumptions (Solar)'!$E$2+'Assumptions (Solar)'!$E$19*'Assumptions (Solar)'!$E$3)/10^9),0)</f>
        <v>0</v>
      </c>
      <c r="M944" s="105">
        <f>IF($G$883&gt;0,PPMT('Assumptions (Solar)'!$V$8,Model!AC$1,'Assumptions (Solar)'!$V$11,'Assumptions (Solar)'!$V$6*Model!$G$883*('Assumptions (Solar)'!$E$18*'Assumptions (Solar)'!$E$2+'Assumptions (Solar)'!$E$19*'Assumptions (Solar)'!$E$3)/10^9),0)</f>
        <v>0</v>
      </c>
      <c r="N944" s="105">
        <f>IF($G$883&gt;0,PPMT('Assumptions (Solar)'!$V$8,Model!AD$1,'Assumptions (Solar)'!$V$11,'Assumptions (Solar)'!$V$6*Model!$G$883*('Assumptions (Solar)'!$E$18*'Assumptions (Solar)'!$E$2+'Assumptions (Solar)'!$E$19*'Assumptions (Solar)'!$E$3)/10^9),0)</f>
        <v>0</v>
      </c>
      <c r="O944" s="105">
        <f>IF($G$883&gt;0,PPMT('Assumptions (Solar)'!$V$8,Model!AE$1,'Assumptions (Solar)'!$V$11,'Assumptions (Solar)'!$V$6*Model!$G$883*('Assumptions (Solar)'!$E$18*'Assumptions (Solar)'!$E$2+'Assumptions (Solar)'!$E$19*'Assumptions (Solar)'!$E$3)/10^9),0)</f>
        <v>0</v>
      </c>
      <c r="P944" s="105">
        <f>IF($G$883&gt;0,PPMT('Assumptions (Solar)'!$V$8,Model!AF$1,'Assumptions (Solar)'!$V$11,'Assumptions (Solar)'!$V$6*Model!$G$883*('Assumptions (Solar)'!$E$18*'Assumptions (Solar)'!$E$2+'Assumptions (Solar)'!$E$19*'Assumptions (Solar)'!$E$3)/10^9),0)</f>
        <v>0</v>
      </c>
      <c r="Q944" s="105">
        <f>IF($G$883&gt;0,PPMT('Assumptions (Solar)'!$V$8,Model!AG$1,'Assumptions (Solar)'!$V$11,'Assumptions (Solar)'!$V$6*Model!$G$883*('Assumptions (Solar)'!$E$18*'Assumptions (Solar)'!$E$2+'Assumptions (Solar)'!$E$19*'Assumptions (Solar)'!$E$3)/10^9),0)</f>
        <v>0</v>
      </c>
      <c r="R944" s="105">
        <f>IF($G$883&gt;0,PPMT('Assumptions (Solar)'!$V$8,Model!AH$1,'Assumptions (Solar)'!$V$11,'Assumptions (Solar)'!$V$6*Model!$G$883*('Assumptions (Solar)'!$E$18*'Assumptions (Solar)'!$E$2+'Assumptions (Solar)'!$E$19*'Assumptions (Solar)'!$E$3)/10^9),0)</f>
        <v>0</v>
      </c>
      <c r="S944" s="105">
        <f>IF($G$883&gt;0,PPMT('Assumptions (Solar)'!$V$8,Model!AI$1,'Assumptions (Solar)'!$V$11,'Assumptions (Solar)'!$V$6*Model!$G$883*('Assumptions (Solar)'!$E$18*'Assumptions (Solar)'!$E$2+'Assumptions (Solar)'!$E$19*'Assumptions (Solar)'!$E$3)/10^9),0)</f>
        <v>0</v>
      </c>
      <c r="T944" s="105">
        <f>IF($G$883&gt;0,PPMT('Assumptions (Solar)'!$V$8,Model!AJ$1,'Assumptions (Solar)'!$V$11,'Assumptions (Solar)'!$V$6*Model!$G$883*('Assumptions (Solar)'!$E$18*'Assumptions (Solar)'!$E$2+'Assumptions (Solar)'!$E$19*'Assumptions (Solar)'!$E$3)/10^9),0)</f>
        <v>0</v>
      </c>
      <c r="U944" s="105">
        <f>IF($G$883&gt;0,PPMT('Assumptions (Solar)'!$V$8,Model!AK$1,'Assumptions (Solar)'!$V$11,'Assumptions (Solar)'!$V$6*Model!$G$883*('Assumptions (Solar)'!$E$18*'Assumptions (Solar)'!$E$2+'Assumptions (Solar)'!$E$19*'Assumptions (Solar)'!$E$3)/10^9),0)</f>
        <v>0</v>
      </c>
      <c r="V944" s="105"/>
      <c r="W944" s="105"/>
      <c r="X944" s="105"/>
      <c r="Y944" s="105"/>
      <c r="Z944" s="105"/>
      <c r="AA944" s="105"/>
      <c r="AB944" s="105"/>
      <c r="AC944" s="105"/>
      <c r="AD944" s="105"/>
      <c r="AE944" s="105"/>
      <c r="AF944" s="105"/>
      <c r="AG944" s="105"/>
      <c r="AU944" s="105"/>
      <c r="AV944" s="105"/>
      <c r="AW944" s="105"/>
      <c r="AX944" s="105"/>
      <c r="AY944" s="105"/>
      <c r="AZ944" s="105"/>
      <c r="BA944" s="105"/>
    </row>
    <row r="945" spans="1:53" ht="15.75" hidden="1" customHeight="1" outlineLevel="1">
      <c r="A945" s="401"/>
      <c r="B945" s="99"/>
      <c r="C945" s="105"/>
      <c r="D945" s="105"/>
      <c r="E945" s="105"/>
      <c r="F945" s="105"/>
      <c r="G945" s="105"/>
      <c r="H945" s="105">
        <f>IF($H$883&gt;0,PPMT('Assumptions (Solar)'!$V$8,Model!W$1,'Assumptions (Solar)'!$V$11,'Assumptions (Solar)'!$V$6*Model!$H$883*('Assumptions (Solar)'!$F$18*'Assumptions (Solar)'!$F$2+'Assumptions (Solar)'!$F$19*'Assumptions (Solar)'!$F$3)/10^9),0)</f>
        <v>-2.4130443246986441E-4</v>
      </c>
      <c r="I945" s="105">
        <f>IF($H$883&gt;0,PPMT('Assumptions (Solar)'!$V$8,Model!X$1,'Assumptions (Solar)'!$V$11,'Assumptions (Solar)'!$V$6*Model!$H$883*('Assumptions (Solar)'!$F$18*'Assumptions (Solar)'!$F$2+'Assumptions (Solar)'!$F$19*'Assumptions (Solar)'!$F$3)/10^9),0)</f>
        <v>-2.6060878706745359E-4</v>
      </c>
      <c r="J945" s="105">
        <f>IF($H$883&gt;0,PPMT('Assumptions (Solar)'!$V$8,Model!Y$1,'Assumptions (Solar)'!$V$11,'Assumptions (Solar)'!$V$6*Model!$H$883*('Assumptions (Solar)'!$F$18*'Assumptions (Solar)'!$F$2+'Assumptions (Solar)'!$F$19*'Assumptions (Solar)'!$F$3)/10^9),0)</f>
        <v>-2.8145749003284984E-4</v>
      </c>
      <c r="K945" s="105">
        <f>IF($H$883&gt;0,PPMT('Assumptions (Solar)'!$V$8,Model!Z$1,'Assumptions (Solar)'!$V$11,'Assumptions (Solar)'!$V$6*Model!$H$883*('Assumptions (Solar)'!$F$18*'Assumptions (Solar)'!$F$2+'Assumptions (Solar)'!$F$19*'Assumptions (Solar)'!$F$3)/10^9),0)</f>
        <v>-3.0397408923547783E-4</v>
      </c>
      <c r="L945" s="105">
        <f>IF($H$883&gt;0,PPMT('Assumptions (Solar)'!$V$8,Model!AA$1,'Assumptions (Solar)'!$V$11,'Assumptions (Solar)'!$V$6*Model!$H$883*('Assumptions (Solar)'!$F$18*'Assumptions (Solar)'!$F$2+'Assumptions (Solar)'!$F$19*'Assumptions (Solar)'!$F$3)/10^9),0)</f>
        <v>-3.2829201637431612E-4</v>
      </c>
      <c r="M945" s="105">
        <f>IF($H$883&gt;0,PPMT('Assumptions (Solar)'!$V$8,Model!AB$1,'Assumptions (Solar)'!$V$11,'Assumptions (Solar)'!$V$6*Model!$H$883*('Assumptions (Solar)'!$F$18*'Assumptions (Solar)'!$F$2+'Assumptions (Solar)'!$F$19*'Assumptions (Solar)'!$F$3)/10^9),0)</f>
        <v>-3.5455537768426136E-4</v>
      </c>
      <c r="N945" s="105">
        <f>IF($H$883&gt;0,PPMT('Assumptions (Solar)'!$V$8,Model!AC$1,'Assumptions (Solar)'!$V$11,'Assumptions (Solar)'!$V$6*Model!$H$883*('Assumptions (Solar)'!$F$18*'Assumptions (Solar)'!$F$2+'Assumptions (Solar)'!$F$19*'Assumptions (Solar)'!$F$3)/10^9),0)</f>
        <v>-3.8291980789900227E-4</v>
      </c>
      <c r="O945" s="105">
        <f>IF($H$883&gt;0,PPMT('Assumptions (Solar)'!$V$8,Model!AD$1,'Assumptions (Solar)'!$V$11,'Assumptions (Solar)'!$V$6*Model!$H$883*('Assumptions (Solar)'!$F$18*'Assumptions (Solar)'!$F$2+'Assumptions (Solar)'!$F$19*'Assumptions (Solar)'!$F$3)/10^9),0)</f>
        <v>-4.1355339253092247E-4</v>
      </c>
      <c r="P945" s="105">
        <f>IF($H$883&gt;0,PPMT('Assumptions (Solar)'!$V$8,Model!AE$1,'Assumptions (Solar)'!$V$11,'Assumptions (Solar)'!$V$6*Model!$H$883*('Assumptions (Solar)'!$F$18*'Assumptions (Solar)'!$F$2+'Assumptions (Solar)'!$F$19*'Assumptions (Solar)'!$F$3)/10^9),0)</f>
        <v>-4.4663766393339622E-4</v>
      </c>
      <c r="Q945" s="105">
        <f>IF($H$883&gt;0,PPMT('Assumptions (Solar)'!$V$8,Model!AF$1,'Assumptions (Solar)'!$V$11,'Assumptions (Solar)'!$V$6*Model!$H$883*('Assumptions (Solar)'!$F$18*'Assumptions (Solar)'!$F$2+'Assumptions (Solar)'!$F$19*'Assumptions (Solar)'!$F$3)/10^9),0)</f>
        <v>-4.8236867704806795E-4</v>
      </c>
      <c r="R945" s="105" t="e">
        <f>IF($H$883&gt;0,PPMT('Assumptions (Solar)'!$V$8,Model!AG$1,'Assumptions (Solar)'!$V$11,'Assumptions (Solar)'!$V$6*Model!$H$883*('Assumptions (Solar)'!$F$18*'Assumptions (Solar)'!$F$2+'Assumptions (Solar)'!$F$19*'Assumptions (Solar)'!$F$3)/10^9),0)</f>
        <v>#NUM!</v>
      </c>
      <c r="S945" s="105" t="e">
        <f>IF($H$883&gt;0,PPMT('Assumptions (Solar)'!$V$8,Model!AH$1,'Assumptions (Solar)'!$V$11,'Assumptions (Solar)'!$V$6*Model!$H$883*('Assumptions (Solar)'!$F$18*'Assumptions (Solar)'!$F$2+'Assumptions (Solar)'!$F$19*'Assumptions (Solar)'!$F$3)/10^9),0)</f>
        <v>#NUM!</v>
      </c>
      <c r="T945" s="105" t="e">
        <f>IF($H$883&gt;0,PPMT('Assumptions (Solar)'!$V$8,Model!AI$1,'Assumptions (Solar)'!$V$11,'Assumptions (Solar)'!$V$6*Model!$H$883*('Assumptions (Solar)'!$F$18*'Assumptions (Solar)'!$F$2+'Assumptions (Solar)'!$F$19*'Assumptions (Solar)'!$F$3)/10^9),0)</f>
        <v>#NUM!</v>
      </c>
      <c r="U945" s="105" t="e">
        <f>IF($H$883&gt;0,PPMT('Assumptions (Solar)'!$V$8,Model!AJ$1,'Assumptions (Solar)'!$V$11,'Assumptions (Solar)'!$V$6*Model!$H$883*('Assumptions (Solar)'!$F$18*'Assumptions (Solar)'!$F$2+'Assumptions (Solar)'!$F$19*'Assumptions (Solar)'!$F$3)/10^9),0)</f>
        <v>#NUM!</v>
      </c>
      <c r="V945" s="105" t="e">
        <f>IF($H$883&gt;0,PPMT('Assumptions (Solar)'!$V$8,Model!AK$1,'Assumptions (Solar)'!$V$11,'Assumptions (Solar)'!$V$6*Model!$H$883*('Assumptions (Solar)'!$F$18*'Assumptions (Solar)'!$F$2+'Assumptions (Solar)'!$F$19*'Assumptions (Solar)'!$F$3)/10^9),0)</f>
        <v>#NUM!</v>
      </c>
      <c r="W945" s="105"/>
      <c r="X945" s="105"/>
      <c r="Y945" s="105"/>
      <c r="Z945" s="105"/>
      <c r="AA945" s="105"/>
      <c r="AB945" s="105"/>
      <c r="AC945" s="105"/>
      <c r="AD945" s="105"/>
      <c r="AE945" s="105"/>
      <c r="AF945" s="105"/>
      <c r="AG945" s="105"/>
      <c r="AU945" s="105"/>
      <c r="AV945" s="105"/>
      <c r="AW945" s="105"/>
      <c r="AX945" s="105"/>
      <c r="AY945" s="105"/>
      <c r="AZ945" s="105"/>
      <c r="BA945" s="105"/>
    </row>
    <row r="946" spans="1:53" ht="15.75" hidden="1" customHeight="1" outlineLevel="1">
      <c r="A946" s="401"/>
      <c r="B946" s="99"/>
      <c r="C946" s="105"/>
      <c r="D946" s="105"/>
      <c r="E946" s="105"/>
      <c r="F946" s="105"/>
      <c r="G946" s="105"/>
      <c r="H946" s="105"/>
      <c r="I946" s="105">
        <f>IF($I$883&gt;0,PPMT('Assumptions (Solar)'!$V$8,Model!W$1,'Assumptions (Solar)'!$V$11,'Assumptions (Solar)'!$V$6*Model!$I$883*('Assumptions (Solar)'!$G$18*'Assumptions (Solar)'!$G$2+'Assumptions (Solar)'!$G$19*'Assumptions (Solar)'!$G$3)/10^9),0)</f>
        <v>-2.1500224933064917E-4</v>
      </c>
      <c r="J946" s="105">
        <f>IF($I$883&gt;0,PPMT('Assumptions (Solar)'!$V$8,Model!X$1,'Assumptions (Solar)'!$V$11,'Assumptions (Solar)'!$V$6*Model!$I$883*('Assumptions (Solar)'!$G$18*'Assumptions (Solar)'!$G$2+'Assumptions (Solar)'!$G$19*'Assumptions (Solar)'!$G$3)/10^9),0)</f>
        <v>-2.3220242927710113E-4</v>
      </c>
      <c r="K946" s="105">
        <f>IF($I$883&gt;0,PPMT('Assumptions (Solar)'!$V$8,Model!Y$1,'Assumptions (Solar)'!$V$11,'Assumptions (Solar)'!$V$6*Model!$I$883*('Assumptions (Solar)'!$G$18*'Assumptions (Solar)'!$G$2+'Assumptions (Solar)'!$G$19*'Assumptions (Solar)'!$G$3)/10^9),0)</f>
        <v>-2.5077862361926918E-4</v>
      </c>
      <c r="L946" s="105">
        <f>IF($I$883&gt;0,PPMT('Assumptions (Solar)'!$V$8,Model!Z$1,'Assumptions (Solar)'!$V$11,'Assumptions (Solar)'!$V$6*Model!$I$883*('Assumptions (Solar)'!$G$18*'Assumptions (Solar)'!$G$2+'Assumptions (Solar)'!$G$19*'Assumptions (Solar)'!$G$3)/10^9),0)</f>
        <v>-2.7084091350881075E-4</v>
      </c>
      <c r="M946" s="105">
        <f>IF($I$883&gt;0,PPMT('Assumptions (Solar)'!$V$8,Model!AA$1,'Assumptions (Solar)'!$V$11,'Assumptions (Solar)'!$V$6*Model!$I$883*('Assumptions (Solar)'!$G$18*'Assumptions (Solar)'!$G$2+'Assumptions (Solar)'!$G$19*'Assumptions (Solar)'!$G$3)/10^9),0)</f>
        <v>-2.9250818658951562E-4</v>
      </c>
      <c r="N946" s="105">
        <f>IF($I$883&gt;0,PPMT('Assumptions (Solar)'!$V$8,Model!AB$1,'Assumptions (Solar)'!$V$11,'Assumptions (Solar)'!$V$6*Model!$I$883*('Assumptions (Solar)'!$G$18*'Assumptions (Solar)'!$G$2+'Assumptions (Solar)'!$G$19*'Assumptions (Solar)'!$G$3)/10^9),0)</f>
        <v>-3.1590884151667687E-4</v>
      </c>
      <c r="O946" s="105">
        <f>IF($I$883&gt;0,PPMT('Assumptions (Solar)'!$V$8,Model!AC$1,'Assumptions (Solar)'!$V$11,'Assumptions (Solar)'!$V$6*Model!$I$883*('Assumptions (Solar)'!$G$18*'Assumptions (Solar)'!$G$2+'Assumptions (Solar)'!$G$19*'Assumptions (Solar)'!$G$3)/10^9),0)</f>
        <v>-3.4118154883801093E-4</v>
      </c>
      <c r="P946" s="105">
        <f>IF($I$883&gt;0,PPMT('Assumptions (Solar)'!$V$8,Model!AD$1,'Assumptions (Solar)'!$V$11,'Assumptions (Solar)'!$V$6*Model!$I$883*('Assumptions (Solar)'!$G$18*'Assumptions (Solar)'!$G$2+'Assumptions (Solar)'!$G$19*'Assumptions (Solar)'!$G$3)/10^9),0)</f>
        <v>-3.6847607274505186E-4</v>
      </c>
      <c r="Q946" s="105">
        <f>IF($I$883&gt;0,PPMT('Assumptions (Solar)'!$V$8,Model!AE$1,'Assumptions (Solar)'!$V$11,'Assumptions (Solar)'!$V$6*Model!$I$883*('Assumptions (Solar)'!$G$18*'Assumptions (Solar)'!$G$2+'Assumptions (Solar)'!$G$19*'Assumptions (Solar)'!$G$3)/10^9),0)</f>
        <v>-3.9795415856465604E-4</v>
      </c>
      <c r="R946" s="105">
        <f>IF($I$883&gt;0,PPMT('Assumptions (Solar)'!$V$8,Model!AF$1,'Assumptions (Solar)'!$V$11,'Assumptions (Solar)'!$V$6*Model!$I$883*('Assumptions (Solar)'!$G$18*'Assumptions (Solar)'!$G$2+'Assumptions (Solar)'!$G$19*'Assumptions (Solar)'!$G$3)/10^9),0)</f>
        <v>-4.2979049124982851E-4</v>
      </c>
      <c r="S946" s="105" t="e">
        <f>IF($I$883&gt;0,PPMT('Assumptions (Solar)'!$V$8,Model!AG$1,'Assumptions (Solar)'!$V$11,'Assumptions (Solar)'!$V$6*Model!$I$883*('Assumptions (Solar)'!$G$18*'Assumptions (Solar)'!$G$2+'Assumptions (Solar)'!$G$19*'Assumptions (Solar)'!$G$3)/10^9),0)</f>
        <v>#NUM!</v>
      </c>
      <c r="T946" s="105" t="e">
        <f>IF($I$883&gt;0,PPMT('Assumptions (Solar)'!$V$8,Model!AH$1,'Assumptions (Solar)'!$V$11,'Assumptions (Solar)'!$V$6*Model!$I$883*('Assumptions (Solar)'!$G$18*'Assumptions (Solar)'!$G$2+'Assumptions (Solar)'!$G$19*'Assumptions (Solar)'!$G$3)/10^9),0)</f>
        <v>#NUM!</v>
      </c>
      <c r="U946" s="105" t="e">
        <f>IF($I$883&gt;0,PPMT('Assumptions (Solar)'!$V$8,Model!AI$1,'Assumptions (Solar)'!$V$11,'Assumptions (Solar)'!$V$6*Model!$I$883*('Assumptions (Solar)'!$G$18*'Assumptions (Solar)'!$G$2+'Assumptions (Solar)'!$G$19*'Assumptions (Solar)'!$G$3)/10^9),0)</f>
        <v>#NUM!</v>
      </c>
      <c r="V946" s="105" t="e">
        <f>IF($I$883&gt;0,PPMT('Assumptions (Solar)'!$V$8,Model!AJ$1,'Assumptions (Solar)'!$V$11,'Assumptions (Solar)'!$V$6*Model!$I$883*('Assumptions (Solar)'!$G$18*'Assumptions (Solar)'!$G$2+'Assumptions (Solar)'!$G$19*'Assumptions (Solar)'!$G$3)/10^9),0)</f>
        <v>#NUM!</v>
      </c>
      <c r="W946" s="105" t="e">
        <f>IF($I$883&gt;0,PPMT('Assumptions (Solar)'!$V$8,Model!AK$1,'Assumptions (Solar)'!$V$11,'Assumptions (Solar)'!$V$6*Model!$I$883*('Assumptions (Solar)'!$G$18*'Assumptions (Solar)'!$G$2+'Assumptions (Solar)'!$G$19*'Assumptions (Solar)'!$G$3)/10^9),0)</f>
        <v>#NUM!</v>
      </c>
      <c r="X946" s="105"/>
      <c r="Y946" s="105"/>
      <c r="Z946" s="105"/>
      <c r="AA946" s="105"/>
      <c r="AB946" s="105"/>
      <c r="AC946" s="105"/>
      <c r="AD946" s="105"/>
      <c r="AE946" s="105"/>
      <c r="AF946" s="105"/>
      <c r="AG946" s="105"/>
      <c r="AU946" s="105"/>
      <c r="AV946" s="105"/>
      <c r="AW946" s="105"/>
      <c r="AX946" s="105"/>
      <c r="AY946" s="105"/>
      <c r="AZ946" s="105"/>
      <c r="BA946" s="105"/>
    </row>
    <row r="947" spans="1:53" ht="15.75" hidden="1" customHeight="1" outlineLevel="1">
      <c r="A947" s="401"/>
      <c r="B947" s="99"/>
      <c r="C947" s="105"/>
      <c r="D947" s="105"/>
      <c r="E947" s="105"/>
      <c r="F947" s="105"/>
      <c r="G947" s="105"/>
      <c r="H947" s="105"/>
      <c r="I947" s="105"/>
      <c r="J947" s="105">
        <f>IF($J$883&gt;0,PPMT('Assumptions (Solar)'!$V$8,Model!W$1,'Assumptions (Solar)'!$V$11,'Assumptions (Solar)'!$V$6*Model!$J$883*('Assumptions (Solar)'!$H$18*'Assumptions (Solar)'!$H$2+'Assumptions (Solar)'!$H$19*'Assumptions (Solar)'!$H$3)/10^9),0)</f>
        <v>-1.1907899579178005E-2</v>
      </c>
      <c r="K947" s="105">
        <f>IF($J$883&gt;0,PPMT('Assumptions (Solar)'!$V$8,Model!X$1,'Assumptions (Solar)'!$V$11,'Assumptions (Solar)'!$V$6*Model!$J$883*('Assumptions (Solar)'!$H$18*'Assumptions (Solar)'!$H$2+'Assumptions (Solar)'!$H$19*'Assumptions (Solar)'!$H$3)/10^9),0)</f>
        <v>-1.2860531545512246E-2</v>
      </c>
      <c r="L947" s="105">
        <f>IF($J$883&gt;0,PPMT('Assumptions (Solar)'!$V$8,Model!Y$1,'Assumptions (Solar)'!$V$11,'Assumptions (Solar)'!$V$6*Model!$J$883*('Assumptions (Solar)'!$H$18*'Assumptions (Solar)'!$H$2+'Assumptions (Solar)'!$H$19*'Assumptions (Solar)'!$H$3)/10^9),0)</f>
        <v>-1.3889374069153224E-2</v>
      </c>
      <c r="M947" s="105">
        <f>IF($J$883&gt;0,PPMT('Assumptions (Solar)'!$V$8,Model!Z$1,'Assumptions (Solar)'!$V$11,'Assumptions (Solar)'!$V$6*Model!$J$883*('Assumptions (Solar)'!$H$18*'Assumptions (Solar)'!$H$2+'Assumptions (Solar)'!$H$19*'Assumptions (Solar)'!$H$3)/10^9),0)</f>
        <v>-1.5000523994685485E-2</v>
      </c>
      <c r="N947" s="105">
        <f>IF($J$883&gt;0,PPMT('Assumptions (Solar)'!$V$8,Model!AA$1,'Assumptions (Solar)'!$V$11,'Assumptions (Solar)'!$V$6*Model!$J$883*('Assumptions (Solar)'!$H$18*'Assumptions (Solar)'!$H$2+'Assumptions (Solar)'!$H$19*'Assumptions (Solar)'!$H$3)/10^9),0)</f>
        <v>-1.6200565914260324E-2</v>
      </c>
      <c r="O947" s="105">
        <f>IF($J$883&gt;0,PPMT('Assumptions (Solar)'!$V$8,Model!AB$1,'Assumptions (Solar)'!$V$11,'Assumptions (Solar)'!$V$6*Model!$J$883*('Assumptions (Solar)'!$H$18*'Assumptions (Solar)'!$H$2+'Assumptions (Solar)'!$H$19*'Assumptions (Solar)'!$H$3)/10^9),0)</f>
        <v>-1.7496611187401149E-2</v>
      </c>
      <c r="P947" s="105">
        <f>IF($J$883&gt;0,PPMT('Assumptions (Solar)'!$V$8,Model!AC$1,'Assumptions (Solar)'!$V$11,'Assumptions (Solar)'!$V$6*Model!$J$883*('Assumptions (Solar)'!$H$18*'Assumptions (Solar)'!$H$2+'Assumptions (Solar)'!$H$19*'Assumptions (Solar)'!$H$3)/10^9),0)</f>
        <v>-1.8896340082393239E-2</v>
      </c>
      <c r="Q947" s="105">
        <f>IF($J$883&gt;0,PPMT('Assumptions (Solar)'!$V$8,Model!AD$1,'Assumptions (Solar)'!$V$11,'Assumptions (Solar)'!$V$6*Model!$J$883*('Assumptions (Solar)'!$H$18*'Assumptions (Solar)'!$H$2+'Assumptions (Solar)'!$H$19*'Assumptions (Solar)'!$H$3)/10^9),0)</f>
        <v>-2.0408047288984703E-2</v>
      </c>
      <c r="R947" s="105">
        <f>IF($J$883&gt;0,PPMT('Assumptions (Solar)'!$V$8,Model!AE$1,'Assumptions (Solar)'!$V$11,'Assumptions (Solar)'!$V$6*Model!$J$883*('Assumptions (Solar)'!$H$18*'Assumptions (Solar)'!$H$2+'Assumptions (Solar)'!$H$19*'Assumptions (Solar)'!$H$3)/10^9),0)</f>
        <v>-2.2040691072103474E-2</v>
      </c>
      <c r="S947" s="105">
        <f>IF($J$883&gt;0,PPMT('Assumptions (Solar)'!$V$8,Model!AF$1,'Assumptions (Solar)'!$V$11,'Assumptions (Solar)'!$V$6*Model!$J$883*('Assumptions (Solar)'!$H$18*'Assumptions (Solar)'!$H$2+'Assumptions (Solar)'!$H$19*'Assumptions (Solar)'!$H$3)/10^9),0)</f>
        <v>-2.3803946357871753E-2</v>
      </c>
      <c r="T947" s="105" t="e">
        <f>IF($J$883&gt;0,PPMT('Assumptions (Solar)'!$V$8,Model!AG$1,'Assumptions (Solar)'!$V$11,'Assumptions (Solar)'!$V$6*Model!$J$883*('Assumptions (Solar)'!$H$18*'Assumptions (Solar)'!$H$2+'Assumptions (Solar)'!$H$19*'Assumptions (Solar)'!$H$3)/10^9),0)</f>
        <v>#NUM!</v>
      </c>
      <c r="U947" s="105" t="e">
        <f>IF($J$883&gt;0,PPMT('Assumptions (Solar)'!$V$8,Model!AH$1,'Assumptions (Solar)'!$V$11,'Assumptions (Solar)'!$V$6*Model!$J$883*('Assumptions (Solar)'!$H$18*'Assumptions (Solar)'!$H$2+'Assumptions (Solar)'!$H$19*'Assumptions (Solar)'!$H$3)/10^9),0)</f>
        <v>#NUM!</v>
      </c>
      <c r="V947" s="105" t="e">
        <f>IF($J$883&gt;0,PPMT('Assumptions (Solar)'!$V$8,Model!AI$1,'Assumptions (Solar)'!$V$11,'Assumptions (Solar)'!$V$6*Model!$J$883*('Assumptions (Solar)'!$H$18*'Assumptions (Solar)'!$H$2+'Assumptions (Solar)'!$H$19*'Assumptions (Solar)'!$H$3)/10^9),0)</f>
        <v>#NUM!</v>
      </c>
      <c r="W947" s="105" t="e">
        <f>IF($J$883&gt;0,PPMT('Assumptions (Solar)'!$V$8,Model!AJ$1,'Assumptions (Solar)'!$V$11,'Assumptions (Solar)'!$V$6*Model!$J$883*('Assumptions (Solar)'!$H$18*'Assumptions (Solar)'!$H$2+'Assumptions (Solar)'!$H$19*'Assumptions (Solar)'!$H$3)/10^9),0)</f>
        <v>#NUM!</v>
      </c>
      <c r="X947" s="105" t="e">
        <f>IF($J$883&gt;0,PPMT('Assumptions (Solar)'!$V$8,Model!AK$1,'Assumptions (Solar)'!$V$11,'Assumptions (Solar)'!$V$6*Model!$J$883*('Assumptions (Solar)'!$H$18*'Assumptions (Solar)'!$H$2+'Assumptions (Solar)'!$H$19*'Assumptions (Solar)'!$H$3)/10^9),0)</f>
        <v>#NUM!</v>
      </c>
      <c r="Y947" s="105"/>
      <c r="Z947" s="105"/>
      <c r="AA947" s="105"/>
      <c r="AB947" s="105"/>
      <c r="AC947" s="105"/>
      <c r="AD947" s="105"/>
      <c r="AE947" s="105"/>
      <c r="AF947" s="105"/>
      <c r="AG947" s="105"/>
      <c r="AH947" s="105"/>
      <c r="AU947" s="105"/>
      <c r="AV947" s="105"/>
      <c r="AW947" s="105"/>
      <c r="AX947" s="105"/>
      <c r="AY947" s="105"/>
      <c r="AZ947" s="105"/>
      <c r="BA947" s="105"/>
    </row>
    <row r="948" spans="1:53" ht="15.75" hidden="1" customHeight="1" outlineLevel="1">
      <c r="A948" s="401"/>
      <c r="B948" s="99"/>
      <c r="C948" s="105"/>
      <c r="D948" s="105"/>
      <c r="E948" s="105"/>
      <c r="F948" s="105"/>
      <c r="G948" s="105"/>
      <c r="H948" s="105"/>
      <c r="I948" s="105"/>
      <c r="J948" s="105"/>
      <c r="K948" s="105">
        <f>IF($K$883&gt;0,PPMT('Assumptions (Solar)'!$V$8,Model!W$1,'Assumptions (Solar)'!$V$11,'Assumptions (Solar)'!$V$6*Model!$K$883*('Assumptions (Solar)'!$I$18*'Assumptions (Solar)'!$I$2+'Assumptions (Solar)'!$I$19*'Assumptions (Solar)'!$I$3)/10^9),0)</f>
        <v>-3.4418205079598313E-3</v>
      </c>
      <c r="L948" s="105">
        <f>IF($K$883&gt;0,PPMT('Assumptions (Solar)'!$V$8,Model!X$1,'Assumptions (Solar)'!$V$11,'Assumptions (Solar)'!$V$6*Model!$K$883*('Assumptions (Solar)'!$I$18*'Assumptions (Solar)'!$I$2+'Assumptions (Solar)'!$I$19*'Assumptions (Solar)'!$I$3)/10^9),0)</f>
        <v>-3.7171661485966186E-3</v>
      </c>
      <c r="M948" s="105">
        <f>IF($K$883&gt;0,PPMT('Assumptions (Solar)'!$V$8,Model!Y$1,'Assumptions (Solar)'!$V$11,'Assumptions (Solar)'!$V$6*Model!$K$883*('Assumptions (Solar)'!$I$18*'Assumptions (Solar)'!$I$2+'Assumptions (Solar)'!$I$19*'Assumptions (Solar)'!$I$3)/10^9),0)</f>
        <v>-4.014539440484347E-3</v>
      </c>
      <c r="N948" s="105">
        <f>IF($K$883&gt;0,PPMT('Assumptions (Solar)'!$V$8,Model!Z$1,'Assumptions (Solar)'!$V$11,'Assumptions (Solar)'!$V$6*Model!$K$883*('Assumptions (Solar)'!$I$18*'Assumptions (Solar)'!$I$2+'Assumptions (Solar)'!$I$19*'Assumptions (Solar)'!$I$3)/10^9),0)</f>
        <v>-4.3357025957230953E-3</v>
      </c>
      <c r="O948" s="105">
        <f>IF($K$883&gt;0,PPMT('Assumptions (Solar)'!$V$8,Model!AA$1,'Assumptions (Solar)'!$V$11,'Assumptions (Solar)'!$V$6*Model!$K$883*('Assumptions (Solar)'!$I$18*'Assumptions (Solar)'!$I$2+'Assumptions (Solar)'!$I$19*'Assumptions (Solar)'!$I$3)/10^9),0)</f>
        <v>-4.6825588033809432E-3</v>
      </c>
      <c r="P948" s="105">
        <f>IF($K$883&gt;0,PPMT('Assumptions (Solar)'!$V$8,Model!AB$1,'Assumptions (Solar)'!$V$11,'Assumptions (Solar)'!$V$6*Model!$K$883*('Assumptions (Solar)'!$I$18*'Assumptions (Solar)'!$I$2+'Assumptions (Solar)'!$I$19*'Assumptions (Solar)'!$I$3)/10^9),0)</f>
        <v>-5.0571635076514174E-3</v>
      </c>
      <c r="Q948" s="105">
        <f>IF($K$883&gt;0,PPMT('Assumptions (Solar)'!$V$8,Model!AC$1,'Assumptions (Solar)'!$V$11,'Assumptions (Solar)'!$V$6*Model!$K$883*('Assumptions (Solar)'!$I$18*'Assumptions (Solar)'!$I$2+'Assumptions (Solar)'!$I$19*'Assumptions (Solar)'!$I$3)/10^9),0)</f>
        <v>-5.4617365882635317E-3</v>
      </c>
      <c r="R948" s="105">
        <f>IF($K$883&gt;0,PPMT('Assumptions (Solar)'!$V$8,Model!AD$1,'Assumptions (Solar)'!$V$11,'Assumptions (Solar)'!$V$6*Model!$K$883*('Assumptions (Solar)'!$I$18*'Assumptions (Solar)'!$I$2+'Assumptions (Solar)'!$I$19*'Assumptions (Solar)'!$I$3)/10^9),0)</f>
        <v>-5.8986755153246145E-3</v>
      </c>
      <c r="S948" s="105">
        <f>IF($K$883&gt;0,PPMT('Assumptions (Solar)'!$V$8,Model!AE$1,'Assumptions (Solar)'!$V$11,'Assumptions (Solar)'!$V$6*Model!$K$883*('Assumptions (Solar)'!$I$18*'Assumptions (Solar)'!$I$2+'Assumptions (Solar)'!$I$19*'Assumptions (Solar)'!$I$3)/10^9),0)</f>
        <v>-6.3705695565505829E-3</v>
      </c>
      <c r="T948" s="105">
        <f>IF($K$883&gt;0,PPMT('Assumptions (Solar)'!$V$8,Model!AF$1,'Assumptions (Solar)'!$V$11,'Assumptions (Solar)'!$V$6*Model!$K$883*('Assumptions (Solar)'!$I$18*'Assumptions (Solar)'!$I$2+'Assumptions (Solar)'!$I$19*'Assumptions (Solar)'!$I$3)/10^9),0)</f>
        <v>-6.8802151210746298E-3</v>
      </c>
      <c r="U948" s="105" t="e">
        <f>IF($K$883&gt;0,PPMT('Assumptions (Solar)'!$V$8,Model!AG$1,'Assumptions (Solar)'!$V$11,'Assumptions (Solar)'!$V$6*Model!$K$883*('Assumptions (Solar)'!$I$18*'Assumptions (Solar)'!$I$2+'Assumptions (Solar)'!$I$19*'Assumptions (Solar)'!$I$3)/10^9),0)</f>
        <v>#NUM!</v>
      </c>
      <c r="V948" s="105" t="e">
        <f>IF($K$883&gt;0,PPMT('Assumptions (Solar)'!$V$8,Model!AH$1,'Assumptions (Solar)'!$V$11,'Assumptions (Solar)'!$V$6*Model!$K$883*('Assumptions (Solar)'!$I$18*'Assumptions (Solar)'!$I$2+'Assumptions (Solar)'!$I$19*'Assumptions (Solar)'!$I$3)/10^9),0)</f>
        <v>#NUM!</v>
      </c>
      <c r="W948" s="105" t="e">
        <f>IF($K$883&gt;0,PPMT('Assumptions (Solar)'!$V$8,Model!AI$1,'Assumptions (Solar)'!$V$11,'Assumptions (Solar)'!$V$6*Model!$K$883*('Assumptions (Solar)'!$I$18*'Assumptions (Solar)'!$I$2+'Assumptions (Solar)'!$I$19*'Assumptions (Solar)'!$I$3)/10^9),0)</f>
        <v>#NUM!</v>
      </c>
      <c r="X948" s="105" t="e">
        <f>IF($K$883&gt;0,PPMT('Assumptions (Solar)'!$V$8,Model!AJ$1,'Assumptions (Solar)'!$V$11,'Assumptions (Solar)'!$V$6*Model!$K$883*('Assumptions (Solar)'!$I$18*'Assumptions (Solar)'!$I$2+'Assumptions (Solar)'!$I$19*'Assumptions (Solar)'!$I$3)/10^9),0)</f>
        <v>#NUM!</v>
      </c>
      <c r="Y948" s="105" t="e">
        <f>IF($K$883&gt;0,PPMT('Assumptions (Solar)'!$V$8,Model!AK$1,'Assumptions (Solar)'!$V$11,'Assumptions (Solar)'!$V$6*Model!$K$883*('Assumptions (Solar)'!$I$18*'Assumptions (Solar)'!$I$2+'Assumptions (Solar)'!$I$19*'Assumptions (Solar)'!$I$3)/10^9),0)</f>
        <v>#NUM!</v>
      </c>
      <c r="Z948" s="105"/>
      <c r="AA948" s="105"/>
      <c r="AB948" s="105"/>
      <c r="AC948" s="105"/>
      <c r="AD948" s="105"/>
      <c r="AE948" s="105"/>
      <c r="AF948" s="105"/>
      <c r="AG948" s="105"/>
      <c r="AH948" s="105"/>
      <c r="AI948" s="105"/>
      <c r="AU948" s="105"/>
      <c r="AV948" s="105"/>
      <c r="AW948" s="105"/>
      <c r="AX948" s="105"/>
      <c r="AY948" s="105"/>
      <c r="AZ948" s="105"/>
      <c r="BA948" s="105"/>
    </row>
    <row r="949" spans="1:53" ht="15.75" hidden="1" customHeight="1" outlineLevel="1">
      <c r="A949" s="401"/>
      <c r="B949" s="99"/>
      <c r="C949" s="105"/>
      <c r="D949" s="105"/>
      <c r="E949" s="105"/>
      <c r="F949" s="105"/>
      <c r="G949" s="105"/>
      <c r="H949" s="105"/>
      <c r="I949" s="105"/>
      <c r="J949" s="105"/>
      <c r="K949" s="105"/>
      <c r="L949" s="105">
        <f>IF($L$883&gt;0,PPMT('Assumptions (Solar)'!$V$8,Model!W$1,'Assumptions (Solar)'!$V$11,'Assumptions (Solar)'!$V$6*Model!$L$883*('Assumptions (Solar)'!$J$18*'Assumptions (Solar)'!$J$2+'Assumptions (Solar)'!$J$19*'Assumptions (Solar)'!$J$3)/10^9),0)</f>
        <v>-1.1670932377552361E-2</v>
      </c>
      <c r="M949" s="105">
        <f>IF($L$883&gt;0,PPMT('Assumptions (Solar)'!$V$8,Model!X$1,'Assumptions (Solar)'!$V$11,'Assumptions (Solar)'!$V$6*Model!$L$883*('Assumptions (Solar)'!$J$18*'Assumptions (Solar)'!$J$2+'Assumptions (Solar)'!$J$19*'Assumptions (Solar)'!$J$3)/10^9),0)</f>
        <v>-1.2604606967756551E-2</v>
      </c>
      <c r="N949" s="105">
        <f>IF($L$883&gt;0,PPMT('Assumptions (Solar)'!$V$8,Model!Y$1,'Assumptions (Solar)'!$V$11,'Assumptions (Solar)'!$V$6*Model!$L$883*('Assumptions (Solar)'!$J$18*'Assumptions (Solar)'!$J$2+'Assumptions (Solar)'!$J$19*'Assumptions (Solar)'!$J$3)/10^9),0)</f>
        <v>-1.3612975525177073E-2</v>
      </c>
      <c r="O949" s="105">
        <f>IF($L$883&gt;0,PPMT('Assumptions (Solar)'!$V$8,Model!Z$1,'Assumptions (Solar)'!$V$11,'Assumptions (Solar)'!$V$6*Model!$L$883*('Assumptions (Solar)'!$J$18*'Assumptions (Solar)'!$J$2+'Assumptions (Solar)'!$J$19*'Assumptions (Solar)'!$J$3)/10^9),0)</f>
        <v>-1.4702013567191242E-2</v>
      </c>
      <c r="P949" s="105">
        <f>IF($L$883&gt;0,PPMT('Assumptions (Solar)'!$V$8,Model!AA$1,'Assumptions (Solar)'!$V$11,'Assumptions (Solar)'!$V$6*Model!$L$883*('Assumptions (Solar)'!$J$18*'Assumptions (Solar)'!$J$2+'Assumptions (Solar)'!$J$19*'Assumptions (Solar)'!$J$3)/10^9),0)</f>
        <v>-1.5878174652566541E-2</v>
      </c>
      <c r="Q949" s="105">
        <f>IF($L$883&gt;0,PPMT('Assumptions (Solar)'!$V$8,Model!AB$1,'Assumptions (Solar)'!$V$11,'Assumptions (Solar)'!$V$6*Model!$L$883*('Assumptions (Solar)'!$J$18*'Assumptions (Solar)'!$J$2+'Assumptions (Solar)'!$J$19*'Assumptions (Solar)'!$J$3)/10^9),0)</f>
        <v>-1.7148428624771863E-2</v>
      </c>
      <c r="R949" s="105">
        <f>IF($L$883&gt;0,PPMT('Assumptions (Solar)'!$V$8,Model!AC$1,'Assumptions (Solar)'!$V$11,'Assumptions (Solar)'!$V$6*Model!$L$883*('Assumptions (Solar)'!$J$18*'Assumptions (Solar)'!$J$2+'Assumptions (Solar)'!$J$19*'Assumptions (Solar)'!$J$3)/10^9),0)</f>
        <v>-1.8520302914753612E-2</v>
      </c>
      <c r="S949" s="105">
        <f>IF($L$883&gt;0,PPMT('Assumptions (Solar)'!$V$8,Model!AD$1,'Assumptions (Solar)'!$V$11,'Assumptions (Solar)'!$V$6*Model!$L$883*('Assumptions (Solar)'!$J$18*'Assumptions (Solar)'!$J$2+'Assumptions (Solar)'!$J$19*'Assumptions (Solar)'!$J$3)/10^9),0)</f>
        <v>-2.00019271479339E-2</v>
      </c>
      <c r="T949" s="105">
        <f>IF($L$883&gt;0,PPMT('Assumptions (Solar)'!$V$8,Model!AE$1,'Assumptions (Solar)'!$V$11,'Assumptions (Solar)'!$V$6*Model!$L$883*('Assumptions (Solar)'!$J$18*'Assumptions (Solar)'!$J$2+'Assumptions (Solar)'!$J$19*'Assumptions (Solar)'!$J$3)/10^9),0)</f>
        <v>-2.160208131976861E-2</v>
      </c>
      <c r="U949" s="105">
        <f>IF($L$883&gt;0,PPMT('Assumptions (Solar)'!$V$8,Model!AF$1,'Assumptions (Solar)'!$V$11,'Assumptions (Solar)'!$V$6*Model!$L$883*('Assumptions (Solar)'!$J$18*'Assumptions (Solar)'!$J$2+'Assumptions (Solar)'!$J$19*'Assumptions (Solar)'!$J$3)/10^9),0)</f>
        <v>-2.3330247825350103E-2</v>
      </c>
      <c r="V949" s="105" t="e">
        <f>IF($L$883&gt;0,PPMT('Assumptions (Solar)'!$V$8,Model!AG$1,'Assumptions (Solar)'!$V$11,'Assumptions (Solar)'!$V$6*Model!$L$883*('Assumptions (Solar)'!$J$18*'Assumptions (Solar)'!$J$2+'Assumptions (Solar)'!$J$19*'Assumptions (Solar)'!$J$3)/10^9),0)</f>
        <v>#NUM!</v>
      </c>
      <c r="W949" s="105" t="e">
        <f>IF($L$883&gt;0,PPMT('Assumptions (Solar)'!$V$8,Model!AH$1,'Assumptions (Solar)'!$V$11,'Assumptions (Solar)'!$V$6*Model!$L$883*('Assumptions (Solar)'!$J$18*'Assumptions (Solar)'!$J$2+'Assumptions (Solar)'!$J$19*'Assumptions (Solar)'!$J$3)/10^9),0)</f>
        <v>#NUM!</v>
      </c>
      <c r="X949" s="105" t="e">
        <f>IF($L$883&gt;0,PPMT('Assumptions (Solar)'!$V$8,Model!AI$1,'Assumptions (Solar)'!$V$11,'Assumptions (Solar)'!$V$6*Model!$L$883*('Assumptions (Solar)'!$J$18*'Assumptions (Solar)'!$J$2+'Assumptions (Solar)'!$J$19*'Assumptions (Solar)'!$J$3)/10^9),0)</f>
        <v>#NUM!</v>
      </c>
      <c r="Y949" s="105" t="e">
        <f>IF($L$883&gt;0,PPMT('Assumptions (Solar)'!$V$8,Model!AJ$1,'Assumptions (Solar)'!$V$11,'Assumptions (Solar)'!$V$6*Model!$L$883*('Assumptions (Solar)'!$J$18*'Assumptions (Solar)'!$J$2+'Assumptions (Solar)'!$J$19*'Assumptions (Solar)'!$J$3)/10^9),0)</f>
        <v>#NUM!</v>
      </c>
      <c r="Z949" s="105" t="e">
        <f>IF($L$883&gt;0,PPMT('Assumptions (Solar)'!$V$8,Model!AK$1,'Assumptions (Solar)'!$V$11,'Assumptions (Solar)'!$V$6*Model!$L$883*('Assumptions (Solar)'!$J$18*'Assumptions (Solar)'!$J$2+'Assumptions (Solar)'!$J$19*'Assumptions (Solar)'!$J$3)/10^9),0)</f>
        <v>#NUM!</v>
      </c>
      <c r="AA949" s="105"/>
      <c r="AB949" s="105"/>
      <c r="AC949" s="105"/>
      <c r="AD949" s="105"/>
      <c r="AE949" s="105"/>
      <c r="AF949" s="105"/>
      <c r="AG949" s="105"/>
      <c r="AH949" s="105"/>
      <c r="AI949" s="105"/>
      <c r="AJ949" s="105"/>
      <c r="AU949" s="105"/>
      <c r="AV949" s="105"/>
      <c r="AW949" s="105"/>
      <c r="AX949" s="105"/>
      <c r="AY949" s="105"/>
      <c r="AZ949" s="105"/>
      <c r="BA949" s="105"/>
    </row>
    <row r="950" spans="1:53" ht="15.75" hidden="1" customHeight="1" outlineLevel="1">
      <c r="A950" s="401"/>
      <c r="B950" s="99"/>
      <c r="C950" s="105"/>
      <c r="D950" s="105"/>
      <c r="E950" s="105"/>
      <c r="F950" s="105"/>
      <c r="G950" s="105"/>
      <c r="H950" s="105"/>
      <c r="I950" s="105"/>
      <c r="J950" s="105"/>
      <c r="K950" s="105"/>
      <c r="L950" s="105"/>
      <c r="M950" s="105">
        <f>IF($M$883&gt;0,PPMT('Assumptions (Solar)'!$V$8,Model!W$1,'Assumptions (Solar)'!$V$11,'Assumptions (Solar)'!$V$6*Model!$M$883*('Assumptions (Solar)'!$K$18*'Assumptions (Solar)'!$K$2+'Assumptions (Solar)'!$K$19*'Assumptions (Solar)'!$K$3)/10^9),0)</f>
        <v>-2.6803043747390964E-2</v>
      </c>
      <c r="N950" s="105">
        <f>IF($M$883&gt;0,PPMT('Assumptions (Solar)'!$V$8,Model!X$1,'Assumptions (Solar)'!$V$11,'Assumptions (Solar)'!$V$6*Model!$M$883*('Assumptions (Solar)'!$K$18*'Assumptions (Solar)'!$K$2+'Assumptions (Solar)'!$K$19*'Assumptions (Solar)'!$K$3)/10^9),0)</f>
        <v>-2.8947287247182239E-2</v>
      </c>
      <c r="O950" s="105">
        <f>IF($M$883&gt;0,PPMT('Assumptions (Solar)'!$V$8,Model!Y$1,'Assumptions (Solar)'!$V$11,'Assumptions (Solar)'!$V$6*Model!$M$883*('Assumptions (Solar)'!$K$18*'Assumptions (Solar)'!$K$2+'Assumptions (Solar)'!$K$19*'Assumptions (Solar)'!$K$3)/10^9),0)</f>
        <v>-3.1263070226956818E-2</v>
      </c>
      <c r="P950" s="105">
        <f>IF($M$883&gt;0,PPMT('Assumptions (Solar)'!$V$8,Model!Z$1,'Assumptions (Solar)'!$V$11,'Assumptions (Solar)'!$V$6*Model!$M$883*('Assumptions (Solar)'!$K$18*'Assumptions (Solar)'!$K$2+'Assumptions (Solar)'!$K$19*'Assumptions (Solar)'!$K$3)/10^9),0)</f>
        <v>-3.3764115845113365E-2</v>
      </c>
      <c r="Q950" s="105">
        <f>IF($M$883&gt;0,PPMT('Assumptions (Solar)'!$V$8,Model!AA$1,'Assumptions (Solar)'!$V$11,'Assumptions (Solar)'!$V$6*Model!$M$883*('Assumptions (Solar)'!$K$18*'Assumptions (Solar)'!$K$2+'Assumptions (Solar)'!$K$19*'Assumptions (Solar)'!$K$3)/10^9),0)</f>
        <v>-3.6465245112722436E-2</v>
      </c>
      <c r="R950" s="105">
        <f>IF($M$883&gt;0,PPMT('Assumptions (Solar)'!$V$8,Model!AB$1,'Assumptions (Solar)'!$V$11,'Assumptions (Solar)'!$V$6*Model!$M$883*('Assumptions (Solar)'!$K$18*'Assumptions (Solar)'!$K$2+'Assumptions (Solar)'!$K$19*'Assumptions (Solar)'!$K$3)/10^9),0)</f>
        <v>-3.9382464721740222E-2</v>
      </c>
      <c r="S950" s="105">
        <f>IF($M$883&gt;0,PPMT('Assumptions (Solar)'!$V$8,Model!AC$1,'Assumptions (Solar)'!$V$11,'Assumptions (Solar)'!$V$6*Model!$M$883*('Assumptions (Solar)'!$K$18*'Assumptions (Solar)'!$K$2+'Assumptions (Solar)'!$K$19*'Assumptions (Solar)'!$K$3)/10^9),0)</f>
        <v>-4.2533061899479439E-2</v>
      </c>
      <c r="T950" s="105">
        <f>IF($M$883&gt;0,PPMT('Assumptions (Solar)'!$V$8,Model!AD$1,'Assumptions (Solar)'!$V$11,'Assumptions (Solar)'!$V$6*Model!$M$883*('Assumptions (Solar)'!$K$18*'Assumptions (Solar)'!$K$2+'Assumptions (Solar)'!$K$19*'Assumptions (Solar)'!$K$3)/10^9),0)</f>
        <v>-4.5935706851437795E-2</v>
      </c>
      <c r="U950" s="105">
        <f>IF($M$883&gt;0,PPMT('Assumptions (Solar)'!$V$8,Model!AE$1,'Assumptions (Solar)'!$V$11,'Assumptions (Solar)'!$V$6*Model!$M$883*('Assumptions (Solar)'!$K$18*'Assumptions (Solar)'!$K$2+'Assumptions (Solar)'!$K$19*'Assumptions (Solar)'!$K$3)/10^9),0)</f>
        <v>-4.9610563399552818E-2</v>
      </c>
      <c r="V950" s="105">
        <f>IF($M$883&gt;0,PPMT('Assumptions (Solar)'!$V$8,Model!AF$1,'Assumptions (Solar)'!$V$11,'Assumptions (Solar)'!$V$6*Model!$M$883*('Assumptions (Solar)'!$K$18*'Assumptions (Solar)'!$K$2+'Assumptions (Solar)'!$K$19*'Assumptions (Solar)'!$K$3)/10^9),0)</f>
        <v>-5.3579408471517043E-2</v>
      </c>
      <c r="W950" s="105" t="e">
        <f>IF($M$883&gt;0,PPMT('Assumptions (Solar)'!$V$8,Model!AG$1,'Assumptions (Solar)'!$V$11,'Assumptions (Solar)'!$V$6*Model!$M$883*('Assumptions (Solar)'!$K$18*'Assumptions (Solar)'!$K$2+'Assumptions (Solar)'!$K$19*'Assumptions (Solar)'!$K$3)/10^9),0)</f>
        <v>#NUM!</v>
      </c>
      <c r="X950" s="105" t="e">
        <f>IF($M$883&gt;0,PPMT('Assumptions (Solar)'!$V$8,Model!AH$1,'Assumptions (Solar)'!$V$11,'Assumptions (Solar)'!$V$6*Model!$M$883*('Assumptions (Solar)'!$K$18*'Assumptions (Solar)'!$K$2+'Assumptions (Solar)'!$K$19*'Assumptions (Solar)'!$K$3)/10^9),0)</f>
        <v>#NUM!</v>
      </c>
      <c r="Y950" s="105" t="e">
        <f>IF($M$883&gt;0,PPMT('Assumptions (Solar)'!$V$8,Model!AI$1,'Assumptions (Solar)'!$V$11,'Assumptions (Solar)'!$V$6*Model!$M$883*('Assumptions (Solar)'!$K$18*'Assumptions (Solar)'!$K$2+'Assumptions (Solar)'!$K$19*'Assumptions (Solar)'!$K$3)/10^9),0)</f>
        <v>#NUM!</v>
      </c>
      <c r="Z950" s="105" t="e">
        <f>IF($M$883&gt;0,PPMT('Assumptions (Solar)'!$V$8,Model!AJ$1,'Assumptions (Solar)'!$V$11,'Assumptions (Solar)'!$V$6*Model!$M$883*('Assumptions (Solar)'!$K$18*'Assumptions (Solar)'!$K$2+'Assumptions (Solar)'!$K$19*'Assumptions (Solar)'!$K$3)/10^9),0)</f>
        <v>#NUM!</v>
      </c>
      <c r="AA950" s="105" t="e">
        <f>IF($M$883&gt;0,PPMT('Assumptions (Solar)'!$V$8,Model!AK$1,'Assumptions (Solar)'!$V$11,'Assumptions (Solar)'!$V$6*Model!$M$883*('Assumptions (Solar)'!$K$18*'Assumptions (Solar)'!$K$2+'Assumptions (Solar)'!$K$19*'Assumptions (Solar)'!$K$3)/10^9),0)</f>
        <v>#NUM!</v>
      </c>
      <c r="AB950" s="105"/>
      <c r="AC950" s="105"/>
      <c r="AD950" s="105"/>
      <c r="AE950" s="105"/>
      <c r="AF950" s="105"/>
      <c r="AG950" s="105"/>
      <c r="AH950" s="105"/>
      <c r="AI950" s="105"/>
      <c r="AJ950" s="105"/>
      <c r="AK950" s="105"/>
      <c r="AU950" s="105"/>
      <c r="AV950" s="105"/>
      <c r="AW950" s="105"/>
      <c r="AX950" s="105"/>
      <c r="AY950" s="105"/>
      <c r="AZ950" s="105"/>
      <c r="BA950" s="105"/>
    </row>
    <row r="951" spans="1:53" ht="15.75" hidden="1" customHeight="1" outlineLevel="1">
      <c r="A951" s="401"/>
      <c r="B951" s="99"/>
      <c r="C951" s="105"/>
      <c r="D951" s="105"/>
      <c r="E951" s="105"/>
      <c r="F951" s="105"/>
      <c r="G951" s="105"/>
      <c r="H951" s="105"/>
      <c r="I951" s="105"/>
      <c r="J951" s="105"/>
      <c r="K951" s="105"/>
      <c r="L951" s="105"/>
      <c r="M951" s="105"/>
      <c r="N951" s="91">
        <f>IF($N$883&gt;0,PPMT('Assumptions (Solar)'!$V$8,Model!W$1,'Assumptions (Solar)'!$V$11,'Assumptions (Solar)'!$V$6*Model!$N$883*('Assumptions (Solar)'!$L$18*'Assumptions (Solar)'!$L$2+'Assumptions (Solar)'!$L$19*'Assumptions (Solar)'!$L$3)/10^9),0)</f>
        <v>-8.8805964921631605E-2</v>
      </c>
      <c r="O951" s="91">
        <f>IF($N$883&gt;0,PPMT('Assumptions (Solar)'!$V$8,Model!X$1,'Assumptions (Solar)'!$V$11,'Assumptions (Solar)'!$V$6*Model!$N$883*('Assumptions (Solar)'!$L$18*'Assumptions (Solar)'!$L$2+'Assumptions (Solar)'!$L$19*'Assumptions (Solar)'!$L$3)/10^9),0)</f>
        <v>-9.5910442115362149E-2</v>
      </c>
      <c r="P951" s="91">
        <f>IF($N$883&gt;0,PPMT('Assumptions (Solar)'!$V$8,Model!Y$1,'Assumptions (Solar)'!$V$11,'Assumptions (Solar)'!$V$6*Model!$N$883*('Assumptions (Solar)'!$L$18*'Assumptions (Solar)'!$L$2+'Assumptions (Solar)'!$L$19*'Assumptions (Solar)'!$L$3)/10^9),0)</f>
        <v>-0.1035832774845911</v>
      </c>
      <c r="Q951" s="91">
        <f>IF($N$883&gt;0,PPMT('Assumptions (Solar)'!$V$8,Model!Z$1,'Assumptions (Solar)'!$V$11,'Assumptions (Solar)'!$V$6*Model!$N$883*('Assumptions (Solar)'!$L$18*'Assumptions (Solar)'!$L$2+'Assumptions (Solar)'!$L$19*'Assumptions (Solar)'!$L$3)/10^9),0)</f>
        <v>-0.1118699396833584</v>
      </c>
      <c r="R951" s="91">
        <f>IF($N$883&gt;0,PPMT('Assumptions (Solar)'!$V$8,Model!AA$1,'Assumptions (Solar)'!$V$11,'Assumptions (Solar)'!$V$6*Model!$N$883*('Assumptions (Solar)'!$L$18*'Assumptions (Solar)'!$L$2+'Assumptions (Solar)'!$L$19*'Assumptions (Solar)'!$L$3)/10^9),0)</f>
        <v>-0.12081953485802709</v>
      </c>
      <c r="S951" s="91">
        <f>IF($N$883&gt;0,PPMT('Assumptions (Solar)'!$V$8,Model!AB$1,'Assumptions (Solar)'!$V$11,'Assumptions (Solar)'!$V$6*Model!$N$883*('Assumptions (Solar)'!$L$18*'Assumptions (Solar)'!$L$2+'Assumptions (Solar)'!$L$19*'Assumptions (Solar)'!$L$3)/10^9),0)</f>
        <v>-0.13048509764666924</v>
      </c>
      <c r="T951" s="91">
        <f>IF($N$883&gt;0,PPMT('Assumptions (Solar)'!$V$8,Model!AC$1,'Assumptions (Solar)'!$V$11,'Assumptions (Solar)'!$V$6*Model!$N$883*('Assumptions (Solar)'!$L$18*'Assumptions (Solar)'!$L$2+'Assumptions (Solar)'!$L$19*'Assumptions (Solar)'!$L$3)/10^9),0)</f>
        <v>-0.14092390545840278</v>
      </c>
      <c r="U951" s="91">
        <f>IF($N$883&gt;0,PPMT('Assumptions (Solar)'!$V$8,Model!AD$1,'Assumptions (Solar)'!$V$11,'Assumptions (Solar)'!$V$6*Model!$N$883*('Assumptions (Solar)'!$L$18*'Assumptions (Solar)'!$L$2+'Assumptions (Solar)'!$L$19*'Assumptions (Solar)'!$L$3)/10^9),0)</f>
        <v>-0.152197817895075</v>
      </c>
      <c r="V951" s="91">
        <f>IF($N$883&gt;0,PPMT('Assumptions (Solar)'!$V$8,Model!AE$1,'Assumptions (Solar)'!$V$11,'Assumptions (Solar)'!$V$6*Model!$N$883*('Assumptions (Solar)'!$L$18*'Assumptions (Solar)'!$L$2+'Assumptions (Solar)'!$L$19*'Assumptions (Solar)'!$L$3)/10^9),0)</f>
        <v>-0.164373643326681</v>
      </c>
      <c r="W951" s="91">
        <f>IF($N$883&gt;0,PPMT('Assumptions (Solar)'!$V$8,Model!AF$1,'Assumptions (Solar)'!$V$11,'Assumptions (Solar)'!$V$6*Model!$N$883*('Assumptions (Solar)'!$L$18*'Assumptions (Solar)'!$L$2+'Assumptions (Solar)'!$L$19*'Assumptions (Solar)'!$L$3)/10^9),0)</f>
        <v>-0.17752353479281549</v>
      </c>
      <c r="X951" s="91" t="e">
        <f>IF($N$883&gt;0,PPMT('Assumptions (Solar)'!$V$8,Model!AG$1,'Assumptions (Solar)'!$V$11,'Assumptions (Solar)'!$V$6*Model!$N$883*('Assumptions (Solar)'!$L$18*'Assumptions (Solar)'!$L$2+'Assumptions (Solar)'!$L$19*'Assumptions (Solar)'!$L$3)/10^9),0)</f>
        <v>#NUM!</v>
      </c>
      <c r="Y951" s="91" t="e">
        <f>IF($N$883&gt;0,PPMT('Assumptions (Solar)'!$V$8,Model!AH$1,'Assumptions (Solar)'!$V$11,'Assumptions (Solar)'!$V$6*Model!$N$883*('Assumptions (Solar)'!$L$18*'Assumptions (Solar)'!$L$2+'Assumptions (Solar)'!$L$19*'Assumptions (Solar)'!$L$3)/10^9),0)</f>
        <v>#NUM!</v>
      </c>
      <c r="Z951" s="91" t="e">
        <f>IF($N$883&gt;0,PPMT('Assumptions (Solar)'!$V$8,Model!AI$1,'Assumptions (Solar)'!$V$11,'Assumptions (Solar)'!$V$6*Model!$N$883*('Assumptions (Solar)'!$L$18*'Assumptions (Solar)'!$L$2+'Assumptions (Solar)'!$L$19*'Assumptions (Solar)'!$L$3)/10^9),0)</f>
        <v>#NUM!</v>
      </c>
      <c r="AA951" s="91" t="e">
        <f>IF($N$883&gt;0,PPMT('Assumptions (Solar)'!$V$8,Model!AJ$1,'Assumptions (Solar)'!$V$11,'Assumptions (Solar)'!$V$6*Model!$N$883*('Assumptions (Solar)'!$L$18*'Assumptions (Solar)'!$L$2+'Assumptions (Solar)'!$L$19*'Assumptions (Solar)'!$L$3)/10^9),0)</f>
        <v>#NUM!</v>
      </c>
      <c r="AB951" s="91" t="e">
        <f>IF($N$883&gt;0,PPMT('Assumptions (Solar)'!$V$8,Model!AK$1,'Assumptions (Solar)'!$V$11,'Assumptions (Solar)'!$V$6*Model!$N$883*('Assumptions (Solar)'!$L$18*'Assumptions (Solar)'!$L$2+'Assumptions (Solar)'!$L$19*'Assumptions (Solar)'!$L$3)/10^9),0)</f>
        <v>#NUM!</v>
      </c>
      <c r="AC951" s="91"/>
      <c r="AD951" s="91"/>
      <c r="AE951" s="91"/>
      <c r="AF951" s="91"/>
      <c r="AG951" s="91"/>
      <c r="AH951" s="91"/>
      <c r="AI951" s="91"/>
      <c r="AJ951" s="91"/>
      <c r="AK951" s="91"/>
      <c r="AL951" s="91"/>
      <c r="AU951" s="105"/>
      <c r="AV951" s="105"/>
      <c r="AW951" s="105"/>
      <c r="AX951" s="105"/>
      <c r="AY951" s="105"/>
      <c r="AZ951" s="105"/>
      <c r="BA951" s="105"/>
    </row>
    <row r="952" spans="1:53" ht="15.75" hidden="1" customHeight="1" outlineLevel="1">
      <c r="A952" s="401"/>
      <c r="B952" s="99"/>
      <c r="C952" s="105"/>
      <c r="D952" s="105"/>
      <c r="E952" s="105"/>
      <c r="F952" s="105"/>
      <c r="G952" s="105"/>
      <c r="H952" s="105"/>
      <c r="I952" s="105"/>
      <c r="J952" s="105"/>
      <c r="K952" s="105"/>
      <c r="L952" s="105"/>
      <c r="M952" s="105"/>
      <c r="N952" s="105"/>
      <c r="O952" s="105">
        <f>IF($O$883&gt;0,PPMT('Assumptions (Solar)'!$V$8,Model!W$1,'Assumptions (Solar)'!$V$11,'Assumptions (Solar)'!$V$6*Model!$O$883*('Assumptions (Solar)'!$M$18*'Assumptions (Solar)'!$M$2+'Assumptions (Solar)'!$M$19*'Assumptions (Solar)'!$M$3)/10^9),0)</f>
        <v>-0.17771382156817328</v>
      </c>
      <c r="P952" s="105">
        <f>IF($O$883&gt;0,PPMT('Assumptions (Solar)'!$V$8,Model!X$1,'Assumptions (Solar)'!$V$11,'Assumptions (Solar)'!$V$6*Model!$O$883*('Assumptions (Solar)'!$M$18*'Assumptions (Solar)'!$M$2+'Assumptions (Solar)'!$M$19*'Assumptions (Solar)'!$M$3)/10^9),0)</f>
        <v>-0.19193092729362715</v>
      </c>
      <c r="Q952" s="105">
        <f>IF($O$883&gt;0,PPMT('Assumptions (Solar)'!$V$8,Model!Y$1,'Assumptions (Solar)'!$V$11,'Assumptions (Solar)'!$V$6*Model!$O$883*('Assumptions (Solar)'!$M$18*'Assumptions (Solar)'!$M$2+'Assumptions (Solar)'!$M$19*'Assumptions (Solar)'!$M$3)/10^9),0)</f>
        <v>-0.2072854014771173</v>
      </c>
      <c r="R952" s="105">
        <f>IF($O$883&gt;0,PPMT('Assumptions (Solar)'!$V$8,Model!Z$1,'Assumptions (Solar)'!$V$11,'Assumptions (Solar)'!$V$6*Model!$O$883*('Assumptions (Solar)'!$M$18*'Assumptions (Solar)'!$M$2+'Assumptions (Solar)'!$M$19*'Assumptions (Solar)'!$M$3)/10^9),0)</f>
        <v>-0.22386823359528671</v>
      </c>
      <c r="S952" s="105">
        <f>IF($O$883&gt;0,PPMT('Assumptions (Solar)'!$V$8,Model!AA$1,'Assumptions (Solar)'!$V$11,'Assumptions (Solar)'!$V$6*Model!$O$883*('Assumptions (Solar)'!$M$18*'Assumptions (Solar)'!$M$2+'Assumptions (Solar)'!$M$19*'Assumptions (Solar)'!$M$3)/10^9),0)</f>
        <v>-0.24177769228290966</v>
      </c>
      <c r="T952" s="105">
        <f>IF($O$883&gt;0,PPMT('Assumptions (Solar)'!$V$8,Model!AB$1,'Assumptions (Solar)'!$V$11,'Assumptions (Solar)'!$V$6*Model!$O$883*('Assumptions (Solar)'!$M$18*'Assumptions (Solar)'!$M$2+'Assumptions (Solar)'!$M$19*'Assumptions (Solar)'!$M$3)/10^9),0)</f>
        <v>-0.26111990766554238</v>
      </c>
      <c r="U952" s="105">
        <f>IF($O$883&gt;0,PPMT('Assumptions (Solar)'!$V$8,Model!AC$1,'Assumptions (Solar)'!$V$11,'Assumptions (Solar)'!$V$6*Model!$O$883*('Assumptions (Solar)'!$M$18*'Assumptions (Solar)'!$M$2+'Assumptions (Solar)'!$M$19*'Assumptions (Solar)'!$M$3)/10^9),0)</f>
        <v>-0.2820095002787858</v>
      </c>
      <c r="V952" s="105">
        <f>IF($O$883&gt;0,PPMT('Assumptions (Solar)'!$V$8,Model!AD$1,'Assumptions (Solar)'!$V$11,'Assumptions (Solar)'!$V$6*Model!$O$883*('Assumptions (Solar)'!$M$18*'Assumptions (Solar)'!$M$2+'Assumptions (Solar)'!$M$19*'Assumptions (Solar)'!$M$3)/10^9),0)</f>
        <v>-0.30457026030108869</v>
      </c>
      <c r="W952" s="105">
        <f>IF($O$883&gt;0,PPMT('Assumptions (Solar)'!$V$8,Model!AE$1,'Assumptions (Solar)'!$V$11,'Assumptions (Solar)'!$V$6*Model!$O$883*('Assumptions (Solar)'!$M$18*'Assumptions (Solar)'!$M$2+'Assumptions (Solar)'!$M$19*'Assumptions (Solar)'!$M$3)/10^9),0)</f>
        <v>-0.3289358811251758</v>
      </c>
      <c r="X952" s="105">
        <f>IF($O$883&gt;0,PPMT('Assumptions (Solar)'!$V$8,Model!AF$1,'Assumptions (Solar)'!$V$11,'Assumptions (Solar)'!$V$6*Model!$O$883*('Assumptions (Solar)'!$M$18*'Assumptions (Solar)'!$M$2+'Assumptions (Solar)'!$M$19*'Assumptions (Solar)'!$M$3)/10^9),0)</f>
        <v>-0.35525075161518987</v>
      </c>
      <c r="Y952" s="105" t="e">
        <f>IF($O$883&gt;0,PPMT('Assumptions (Solar)'!$V$8,Model!AG$1,'Assumptions (Solar)'!$V$11,'Assumptions (Solar)'!$V$6*Model!$O$883*('Assumptions (Solar)'!$M$18*'Assumptions (Solar)'!$M$2+'Assumptions (Solar)'!$M$19*'Assumptions (Solar)'!$M$3)/10^9),0)</f>
        <v>#NUM!</v>
      </c>
      <c r="Z952" s="105" t="e">
        <f>IF($O$883&gt;0,PPMT('Assumptions (Solar)'!$V$8,Model!AH$1,'Assumptions (Solar)'!$V$11,'Assumptions (Solar)'!$V$6*Model!$O$883*('Assumptions (Solar)'!$M$18*'Assumptions (Solar)'!$M$2+'Assumptions (Solar)'!$M$19*'Assumptions (Solar)'!$M$3)/10^9),0)</f>
        <v>#NUM!</v>
      </c>
      <c r="AA952" s="105" t="e">
        <f>IF($O$883&gt;0,PPMT('Assumptions (Solar)'!$V$8,Model!AI$1,'Assumptions (Solar)'!$V$11,'Assumptions (Solar)'!$V$6*Model!$O$883*('Assumptions (Solar)'!$M$18*'Assumptions (Solar)'!$M$2+'Assumptions (Solar)'!$M$19*'Assumptions (Solar)'!$M$3)/10^9),0)</f>
        <v>#NUM!</v>
      </c>
      <c r="AB952" s="105" t="e">
        <f>IF($O$883&gt;0,PPMT('Assumptions (Solar)'!$V$8,Model!AJ$1,'Assumptions (Solar)'!$V$11,'Assumptions (Solar)'!$V$6*Model!$O$883*('Assumptions (Solar)'!$M$18*'Assumptions (Solar)'!$M$2+'Assumptions (Solar)'!$M$19*'Assumptions (Solar)'!$M$3)/10^9),0)</f>
        <v>#NUM!</v>
      </c>
      <c r="AC952" s="105" t="e">
        <f>IF($O$883&gt;0,PPMT('Assumptions (Solar)'!$V$8,Model!AK$1,'Assumptions (Solar)'!$V$11,'Assumptions (Solar)'!$V$6*Model!$O$883*('Assumptions (Solar)'!$M$18*'Assumptions (Solar)'!$M$2+'Assumptions (Solar)'!$M$19*'Assumptions (Solar)'!$M$3)/10^9),0)</f>
        <v>#NUM!</v>
      </c>
      <c r="AD952" s="105"/>
      <c r="AE952" s="105"/>
      <c r="AF952" s="105"/>
      <c r="AG952" s="105"/>
      <c r="AH952" s="105"/>
      <c r="AI952" s="105"/>
      <c r="AJ952" s="105"/>
      <c r="AK952" s="105"/>
      <c r="AL952" s="105"/>
      <c r="AM952" s="105"/>
      <c r="AU952" s="105"/>
      <c r="AV952" s="105"/>
      <c r="AW952" s="105"/>
      <c r="AX952" s="105"/>
      <c r="AY952" s="105"/>
      <c r="AZ952" s="105"/>
      <c r="BA952" s="105"/>
    </row>
    <row r="953" spans="1:53" ht="15.75" hidden="1" customHeight="1" outlineLevel="1">
      <c r="A953" s="401"/>
      <c r="B953" s="99"/>
      <c r="C953" s="105"/>
      <c r="D953" s="105"/>
      <c r="E953" s="105"/>
      <c r="F953" s="105"/>
      <c r="G953" s="105"/>
      <c r="H953" s="105"/>
      <c r="I953" s="105"/>
      <c r="J953" s="105"/>
      <c r="K953" s="105"/>
      <c r="L953" s="105"/>
      <c r="M953" s="105"/>
      <c r="N953" s="105"/>
      <c r="O953" s="105"/>
      <c r="P953" s="91">
        <f>IF($P$883&gt;0,PPMT('Assumptions (Solar)'!$V$8,Model!W$1,'Assumptions (Solar)'!$V$11,'Assumptions (Solar)'!$V$6*Model!$P$883*('Assumptions (Solar)'!$N$18*'Assumptions (Solar)'!$N$2+'Assumptions (Solar)'!$N$19*'Assumptions (Solar)'!$N$3)/10^9),0)</f>
        <v>-0.39334423587463646</v>
      </c>
      <c r="Q953" s="91">
        <f>IF($P$883&gt;0,PPMT('Assumptions (Solar)'!$V$8,Model!X$1,'Assumptions (Solar)'!$V$11,'Assumptions (Solar)'!$V$6*Model!$P$883*('Assumptions (Solar)'!$N$18*'Assumptions (Solar)'!$N$2+'Assumptions (Solar)'!$N$19*'Assumptions (Solar)'!$N$3)/10^9),0)</f>
        <v>-0.42481177474460746</v>
      </c>
      <c r="R953" s="91">
        <f>IF($P$883&gt;0,PPMT('Assumptions (Solar)'!$V$8,Model!Y$1,'Assumptions (Solar)'!$V$11,'Assumptions (Solar)'!$V$6*Model!$P$883*('Assumptions (Solar)'!$N$18*'Assumptions (Solar)'!$N$2+'Assumptions (Solar)'!$N$19*'Assumptions (Solar)'!$N$3)/10^9),0)</f>
        <v>-0.45879671672417593</v>
      </c>
      <c r="S953" s="91">
        <f>IF($P$883&gt;0,PPMT('Assumptions (Solar)'!$V$8,Model!Z$1,'Assumptions (Solar)'!$V$11,'Assumptions (Solar)'!$V$6*Model!$P$883*('Assumptions (Solar)'!$N$18*'Assumptions (Solar)'!$N$2+'Assumptions (Solar)'!$N$19*'Assumptions (Solar)'!$N$3)/10^9),0)</f>
        <v>-0.49550045406211007</v>
      </c>
      <c r="T953" s="91">
        <f>IF($P$883&gt;0,PPMT('Assumptions (Solar)'!$V$8,Model!AA$1,'Assumptions (Solar)'!$V$11,'Assumptions (Solar)'!$V$6*Model!$P$883*('Assumptions (Solar)'!$N$18*'Assumptions (Solar)'!$N$2+'Assumptions (Solar)'!$N$19*'Assumptions (Solar)'!$N$3)/10^9),0)</f>
        <v>-0.53514049038707889</v>
      </c>
      <c r="U953" s="91">
        <f>IF($P$883&gt;0,PPMT('Assumptions (Solar)'!$V$8,Model!AB$1,'Assumptions (Solar)'!$V$11,'Assumptions (Solar)'!$V$6*Model!$P$883*('Assumptions (Solar)'!$N$18*'Assumptions (Solar)'!$N$2+'Assumptions (Solar)'!$N$19*'Assumptions (Solar)'!$N$3)/10^9),0)</f>
        <v>-0.57795172961804508</v>
      </c>
      <c r="V953" s="91">
        <f>IF($P$883&gt;0,PPMT('Assumptions (Solar)'!$V$8,Model!AC$1,'Assumptions (Solar)'!$V$11,'Assumptions (Solar)'!$V$6*Model!$P$883*('Assumptions (Solar)'!$N$18*'Assumptions (Solar)'!$N$2+'Assumptions (Solar)'!$N$19*'Assumptions (Solar)'!$N$3)/10^9),0)</f>
        <v>-0.62418786798748882</v>
      </c>
      <c r="W953" s="91">
        <f>IF($P$883&gt;0,PPMT('Assumptions (Solar)'!$V$8,Model!AD$1,'Assumptions (Solar)'!$V$11,'Assumptions (Solar)'!$V$6*Model!$P$883*('Assumptions (Solar)'!$N$18*'Assumptions (Solar)'!$N$2+'Assumptions (Solar)'!$N$19*'Assumptions (Solar)'!$N$3)/10^9),0)</f>
        <v>-0.67412289742648779</v>
      </c>
      <c r="X953" s="91">
        <f>IF($P$883&gt;0,PPMT('Assumptions (Solar)'!$V$8,Model!AE$1,'Assumptions (Solar)'!$V$11,'Assumptions (Solar)'!$V$6*Model!$P$883*('Assumptions (Solar)'!$N$18*'Assumptions (Solar)'!$N$2+'Assumptions (Solar)'!$N$19*'Assumptions (Solar)'!$N$3)/10^9),0)</f>
        <v>-0.72805272922060682</v>
      </c>
      <c r="Y953" s="91">
        <f>IF($P$883&gt;0,PPMT('Assumptions (Solar)'!$V$8,Model!AF$1,'Assumptions (Solar)'!$V$11,'Assumptions (Solar)'!$V$6*Model!$P$883*('Assumptions (Solar)'!$N$18*'Assumptions (Solar)'!$N$2+'Assumptions (Solar)'!$N$19*'Assumptions (Solar)'!$N$3)/10^9),0)</f>
        <v>-0.78629694755825541</v>
      </c>
      <c r="Z953" s="91" t="e">
        <f>IF($P$883&gt;0,PPMT('Assumptions (Solar)'!$V$8,Model!AG$1,'Assumptions (Solar)'!$V$11,'Assumptions (Solar)'!$V$6*Model!$P$883*('Assumptions (Solar)'!$N$18*'Assumptions (Solar)'!$N$2+'Assumptions (Solar)'!$N$19*'Assumptions (Solar)'!$N$3)/10^9),0)</f>
        <v>#NUM!</v>
      </c>
      <c r="AA953" s="91" t="e">
        <f>IF($P$883&gt;0,PPMT('Assumptions (Solar)'!$V$8,Model!AH$1,'Assumptions (Solar)'!$V$11,'Assumptions (Solar)'!$V$6*Model!$P$883*('Assumptions (Solar)'!$N$18*'Assumptions (Solar)'!$N$2+'Assumptions (Solar)'!$N$19*'Assumptions (Solar)'!$N$3)/10^9),0)</f>
        <v>#NUM!</v>
      </c>
      <c r="AB953" s="91" t="e">
        <f>IF($P$883&gt;0,PPMT('Assumptions (Solar)'!$V$8,Model!AI$1,'Assumptions (Solar)'!$V$11,'Assumptions (Solar)'!$V$6*Model!$P$883*('Assumptions (Solar)'!$N$18*'Assumptions (Solar)'!$N$2+'Assumptions (Solar)'!$N$19*'Assumptions (Solar)'!$N$3)/10^9),0)</f>
        <v>#NUM!</v>
      </c>
      <c r="AC953" s="91" t="e">
        <f>IF($P$883&gt;0,PPMT('Assumptions (Solar)'!$V$8,Model!AJ$1,'Assumptions (Solar)'!$V$11,'Assumptions (Solar)'!$V$6*Model!$P$883*('Assumptions (Solar)'!$N$18*'Assumptions (Solar)'!$N$2+'Assumptions (Solar)'!$N$19*'Assumptions (Solar)'!$N$3)/10^9),0)</f>
        <v>#NUM!</v>
      </c>
      <c r="AD953" s="91" t="e">
        <f>IF($P$883&gt;0,PPMT('Assumptions (Solar)'!$V$8,Model!AK$1,'Assumptions (Solar)'!$V$11,'Assumptions (Solar)'!$V$6*Model!$P$883*('Assumptions (Solar)'!$N$18*'Assumptions (Solar)'!$N$2+'Assumptions (Solar)'!$N$19*'Assumptions (Solar)'!$N$3)/10^9),0)</f>
        <v>#NUM!</v>
      </c>
      <c r="AE953" s="91"/>
      <c r="AF953" s="91"/>
      <c r="AG953" s="91"/>
      <c r="AH953" s="91"/>
      <c r="AI953" s="91"/>
      <c r="AJ953" s="91"/>
      <c r="AK953" s="91"/>
      <c r="AL953" s="91"/>
      <c r="AM953" s="91"/>
      <c r="AN953" s="91"/>
      <c r="AU953" s="105"/>
      <c r="AV953" s="105"/>
      <c r="AW953" s="105"/>
      <c r="AX953" s="105"/>
      <c r="AY953" s="105"/>
      <c r="AZ953" s="105"/>
      <c r="BA953" s="105"/>
    </row>
    <row r="954" spans="1:53" ht="15.75" hidden="1" customHeight="1" outlineLevel="1">
      <c r="A954" s="401"/>
      <c r="B954" s="99"/>
      <c r="C954" s="105"/>
      <c r="D954" s="105"/>
      <c r="E954" s="105"/>
      <c r="F954" s="105"/>
      <c r="G954" s="105"/>
      <c r="H954" s="105"/>
      <c r="I954" s="105"/>
      <c r="J954" s="105"/>
      <c r="K954" s="105"/>
      <c r="L954" s="105"/>
      <c r="M954" s="105"/>
      <c r="N954" s="105"/>
      <c r="O954" s="105"/>
      <c r="P954" s="171"/>
      <c r="Q954" s="105">
        <f>IF($Q$883&gt;0,PPMT('Assumptions (Solar)'!$V$8,Model!W$1,'Assumptions (Solar)'!$V$11,'Assumptions (Solar)'!$V$6*Model!$Q$883*('Assumptions (Solar)'!$O$18*'Assumptions (Solar)'!$O$2+'Assumptions (Solar)'!$O$19*'Assumptions (Solar)'!$O$3)/10^9),0)</f>
        <v>-0.40961373100745929</v>
      </c>
      <c r="R954" s="105">
        <f>IF($Q$883&gt;0,PPMT('Assumptions (Solar)'!$V$8,Model!X$1,'Assumptions (Solar)'!$V$11,'Assumptions (Solar)'!$V$6*Model!$Q$883*('Assumptions (Solar)'!$O$18*'Assumptions (Solar)'!$O$2+'Assumptions (Solar)'!$O$19*'Assumptions (Solar)'!$O$3)/10^9),0)</f>
        <v>-0.44238282948805607</v>
      </c>
      <c r="S954" s="105">
        <f>IF($Q$883&gt;0,PPMT('Assumptions (Solar)'!$V$8,Model!Y$1,'Assumptions (Solar)'!$V$11,'Assumptions (Solar)'!$V$6*Model!$Q$883*('Assumptions (Solar)'!$O$18*'Assumptions (Solar)'!$O$2+'Assumptions (Solar)'!$O$19*'Assumptions (Solar)'!$O$3)/10^9),0)</f>
        <v>-0.47777345584710051</v>
      </c>
      <c r="T954" s="105">
        <f>IF($Q$883&gt;0,PPMT('Assumptions (Solar)'!$V$8,Model!Z$1,'Assumptions (Solar)'!$V$11,'Assumptions (Solar)'!$V$6*Model!$Q$883*('Assumptions (Solar)'!$O$18*'Assumptions (Solar)'!$O$2+'Assumptions (Solar)'!$O$19*'Assumptions (Solar)'!$O$3)/10^9),0)</f>
        <v>-0.5159953323148686</v>
      </c>
      <c r="U954" s="105">
        <f>IF($Q$883&gt;0,PPMT('Assumptions (Solar)'!$V$8,Model!AA$1,'Assumptions (Solar)'!$V$11,'Assumptions (Solar)'!$V$6*Model!$Q$883*('Assumptions (Solar)'!$O$18*'Assumptions (Solar)'!$O$2+'Assumptions (Solar)'!$O$19*'Assumptions (Solar)'!$O$3)/10^9),0)</f>
        <v>-0.55727495890005818</v>
      </c>
      <c r="V954" s="105">
        <f>IF($Q$883&gt;0,PPMT('Assumptions (Solar)'!$V$8,Model!AB$1,'Assumptions (Solar)'!$V$11,'Assumptions (Solar)'!$V$6*Model!$Q$883*('Assumptions (Solar)'!$O$18*'Assumptions (Solar)'!$O$2+'Assumptions (Solar)'!$O$19*'Assumptions (Solar)'!$O$3)/10^9),0)</f>
        <v>-0.60185695561206265</v>
      </c>
      <c r="W954" s="105">
        <f>IF($Q$883&gt;0,PPMT('Assumptions (Solar)'!$V$8,Model!AC$1,'Assumptions (Solar)'!$V$11,'Assumptions (Solar)'!$V$6*Model!$Q$883*('Assumptions (Solar)'!$O$18*'Assumptions (Solar)'!$O$2+'Assumptions (Solar)'!$O$19*'Assumptions (Solar)'!$O$3)/10^9),0)</f>
        <v>-0.65000551206102775</v>
      </c>
      <c r="X954" s="105">
        <f>IF($Q$883&gt;0,PPMT('Assumptions (Solar)'!$V$8,Model!AD$1,'Assumptions (Solar)'!$V$11,'Assumptions (Solar)'!$V$6*Model!$Q$883*('Assumptions (Solar)'!$O$18*'Assumptions (Solar)'!$O$2+'Assumptions (Solar)'!$O$19*'Assumptions (Solar)'!$O$3)/10^9),0)</f>
        <v>-0.70200595302590996</v>
      </c>
      <c r="Y954" s="105">
        <f>IF($Q$883&gt;0,PPMT('Assumptions (Solar)'!$V$8,Model!AE$1,'Assumptions (Solar)'!$V$11,'Assumptions (Solar)'!$V$6*Model!$Q$883*('Assumptions (Solar)'!$O$18*'Assumptions (Solar)'!$O$2+'Assumptions (Solar)'!$O$19*'Assumptions (Solar)'!$O$3)/10^9),0)</f>
        <v>-0.75816642926798272</v>
      </c>
      <c r="Z954" s="105">
        <f>IF($Q$883&gt;0,PPMT('Assumptions (Solar)'!$V$8,Model!AF$1,'Assumptions (Solar)'!$V$11,'Assumptions (Solar)'!$V$6*Model!$Q$883*('Assumptions (Solar)'!$O$18*'Assumptions (Solar)'!$O$2+'Assumptions (Solar)'!$O$19*'Assumptions (Solar)'!$O$3)/10^9),0)</f>
        <v>-0.81881974360942145</v>
      </c>
      <c r="AA954" s="105" t="e">
        <f>IF($Q$883&gt;0,PPMT('Assumptions (Solar)'!$V$8,Model!AG$1,'Assumptions (Solar)'!$V$11,'Assumptions (Solar)'!$V$6*Model!$Q$883*('Assumptions (Solar)'!$O$18*'Assumptions (Solar)'!$O$2+'Assumptions (Solar)'!$O$19*'Assumptions (Solar)'!$O$3)/10^9),0)</f>
        <v>#NUM!</v>
      </c>
      <c r="AB954" s="105" t="e">
        <f>IF($Q$883&gt;0,PPMT('Assumptions (Solar)'!$V$8,Model!AH$1,'Assumptions (Solar)'!$V$11,'Assumptions (Solar)'!$V$6*Model!$Q$883*('Assumptions (Solar)'!$O$18*'Assumptions (Solar)'!$O$2+'Assumptions (Solar)'!$O$19*'Assumptions (Solar)'!$O$3)/10^9),0)</f>
        <v>#NUM!</v>
      </c>
      <c r="AC954" s="105" t="e">
        <f>IF($Q$883&gt;0,PPMT('Assumptions (Solar)'!$V$8,Model!AI$1,'Assumptions (Solar)'!$V$11,'Assumptions (Solar)'!$V$6*Model!$Q$883*('Assumptions (Solar)'!$O$18*'Assumptions (Solar)'!$O$2+'Assumptions (Solar)'!$O$19*'Assumptions (Solar)'!$O$3)/10^9),0)</f>
        <v>#NUM!</v>
      </c>
      <c r="AD954" s="105" t="e">
        <f>IF($Q$883&gt;0,PPMT('Assumptions (Solar)'!$V$8,Model!AJ$1,'Assumptions (Solar)'!$V$11,'Assumptions (Solar)'!$V$6*Model!$Q$883*('Assumptions (Solar)'!$O$18*'Assumptions (Solar)'!$O$2+'Assumptions (Solar)'!$O$19*'Assumptions (Solar)'!$O$3)/10^9),0)</f>
        <v>#NUM!</v>
      </c>
      <c r="AE954" s="105" t="e">
        <f>IF($Q$883&gt;0,PPMT('Assumptions (Solar)'!$V$8,Model!AK$1,'Assumptions (Solar)'!$V$11,'Assumptions (Solar)'!$V$6*Model!$Q$883*('Assumptions (Solar)'!$O$18*'Assumptions (Solar)'!$O$2+'Assumptions (Solar)'!$O$19*'Assumptions (Solar)'!$O$3)/10^9),0)</f>
        <v>#NUM!</v>
      </c>
      <c r="AF954" s="105"/>
      <c r="AG954" s="105"/>
      <c r="AH954" s="105"/>
      <c r="AI954" s="105"/>
      <c r="AJ954" s="105"/>
      <c r="AK954" s="105"/>
      <c r="AL954" s="105"/>
      <c r="AM954" s="105"/>
      <c r="AN954" s="105"/>
      <c r="AO954" s="105"/>
      <c r="AU954" s="105"/>
      <c r="AV954" s="105"/>
      <c r="AW954" s="105"/>
      <c r="AX954" s="105"/>
      <c r="AY954" s="105"/>
      <c r="AZ954" s="105"/>
      <c r="BA954" s="105"/>
    </row>
    <row r="955" spans="1:53" ht="15.75" hidden="1" customHeight="1" outlineLevel="1">
      <c r="A955" s="401"/>
      <c r="B955" s="99"/>
      <c r="C955" s="105"/>
      <c r="D955" s="105"/>
      <c r="E955" s="105"/>
      <c r="F955" s="105"/>
      <c r="G955" s="105"/>
      <c r="H955" s="105"/>
      <c r="I955" s="105"/>
      <c r="J955" s="105"/>
      <c r="K955" s="105"/>
      <c r="L955" s="105"/>
      <c r="M955" s="105"/>
      <c r="N955" s="105"/>
      <c r="O955" s="105"/>
      <c r="P955" s="171"/>
      <c r="Q955" s="105"/>
      <c r="R955" s="91">
        <f>IF($R$883&gt;0,PPMT('Assumptions (Solar)'!$V$8,Model!W$1,'Assumptions (Solar)'!$V$11,'Assumptions (Solar)'!$V$6*Model!$R$883*('Assumptions (Solar)'!$P$18*'Assumptions (Solar)'!$P$2+'Assumptions (Solar)'!$P$19*'Assumptions (Solar)'!$P$3)/10^9),0)</f>
        <v>-0.3818285748641852</v>
      </c>
      <c r="S955" s="91">
        <f>IF($R$883&gt;0,PPMT('Assumptions (Solar)'!$V$8,Model!X$1,'Assumptions (Solar)'!$V$11,'Assumptions (Solar)'!$V$6*Model!$R$883*('Assumptions (Solar)'!$P$18*'Assumptions (Solar)'!$P$2+'Assumptions (Solar)'!$P$19*'Assumptions (Solar)'!$P$3)/10^9),0)</f>
        <v>-0.41237486085332004</v>
      </c>
      <c r="T955" s="91">
        <f>IF($R$883&gt;0,PPMT('Assumptions (Solar)'!$V$8,Model!Y$1,'Assumptions (Solar)'!$V$11,'Assumptions (Solar)'!$V$6*Model!$R$883*('Assumptions (Solar)'!$P$18*'Assumptions (Solar)'!$P$2+'Assumptions (Solar)'!$P$19*'Assumptions (Solar)'!$P$3)/10^9),0)</f>
        <v>-0.44536484972158563</v>
      </c>
      <c r="U955" s="91">
        <f>IF($R$883&gt;0,PPMT('Assumptions (Solar)'!$V$8,Model!Z$1,'Assumptions (Solar)'!$V$11,'Assumptions (Solar)'!$V$6*Model!$R$883*('Assumptions (Solar)'!$P$18*'Assumptions (Solar)'!$P$2+'Assumptions (Solar)'!$P$19*'Assumptions (Solar)'!$P$3)/10^9),0)</f>
        <v>-0.48099403769931254</v>
      </c>
      <c r="V955" s="91">
        <f>IF($R$883&gt;0,PPMT('Assumptions (Solar)'!$V$8,Model!AA$1,'Assumptions (Solar)'!$V$11,'Assumptions (Solar)'!$V$6*Model!$R$883*('Assumptions (Solar)'!$P$18*'Assumptions (Solar)'!$P$2+'Assumptions (Solar)'!$P$19*'Assumptions (Solar)'!$P$3)/10^9),0)</f>
        <v>-0.51947356071525752</v>
      </c>
      <c r="W955" s="91">
        <f>IF($R$883&gt;0,PPMT('Assumptions (Solar)'!$V$8,Model!AB$1,'Assumptions (Solar)'!$V$11,'Assumptions (Solar)'!$V$6*Model!$R$883*('Assumptions (Solar)'!$P$18*'Assumptions (Solar)'!$P$2+'Assumptions (Solar)'!$P$19*'Assumptions (Solar)'!$P$3)/10^9),0)</f>
        <v>-0.56103144557247808</v>
      </c>
      <c r="X955" s="91">
        <f>IF($R$883&gt;0,PPMT('Assumptions (Solar)'!$V$8,Model!AC$1,'Assumptions (Solar)'!$V$11,'Assumptions (Solar)'!$V$6*Model!$R$883*('Assumptions (Solar)'!$P$18*'Assumptions (Solar)'!$P$2+'Assumptions (Solar)'!$P$19*'Assumptions (Solar)'!$P$3)/10^9),0)</f>
        <v>-0.60591396121827623</v>
      </c>
      <c r="Y955" s="91">
        <f>IF($R$883&gt;0,PPMT('Assumptions (Solar)'!$V$8,Model!AD$1,'Assumptions (Solar)'!$V$11,'Assumptions (Solar)'!$V$6*Model!$R$883*('Assumptions (Solar)'!$P$18*'Assumptions (Solar)'!$P$2+'Assumptions (Solar)'!$P$19*'Assumptions (Solar)'!$P$3)/10^9),0)</f>
        <v>-0.65438707811573837</v>
      </c>
      <c r="Z955" s="91">
        <f>IF($R$883&gt;0,PPMT('Assumptions (Solar)'!$V$8,Model!AE$1,'Assumptions (Solar)'!$V$11,'Assumptions (Solar)'!$V$6*Model!$R$883*('Assumptions (Solar)'!$P$18*'Assumptions (Solar)'!$P$2+'Assumptions (Solar)'!$P$19*'Assumptions (Solar)'!$P$3)/10^9),0)</f>
        <v>-0.70673804436499743</v>
      </c>
      <c r="AA955" s="91">
        <f>IF($R$883&gt;0,PPMT('Assumptions (Solar)'!$V$8,Model!AF$1,'Assumptions (Solar)'!$V$11,'Assumptions (Solar)'!$V$6*Model!$R$883*('Assumptions (Solar)'!$P$18*'Assumptions (Solar)'!$P$2+'Assumptions (Solar)'!$P$19*'Assumptions (Solar)'!$P$3)/10^9),0)</f>
        <v>-0.76327708791419724</v>
      </c>
      <c r="AB955" s="91" t="e">
        <f>IF($R$883&gt;0,PPMT('Assumptions (Solar)'!$V$8,Model!AG$1,'Assumptions (Solar)'!$V$11,'Assumptions (Solar)'!$V$6*Model!$R$883*('Assumptions (Solar)'!$P$18*'Assumptions (Solar)'!$P$2+'Assumptions (Solar)'!$P$19*'Assumptions (Solar)'!$P$3)/10^9),0)</f>
        <v>#NUM!</v>
      </c>
      <c r="AC955" s="91" t="e">
        <f>IF($R$883&gt;0,PPMT('Assumptions (Solar)'!$V$8,Model!AH$1,'Assumptions (Solar)'!$V$11,'Assumptions (Solar)'!$V$6*Model!$R$883*('Assumptions (Solar)'!$P$18*'Assumptions (Solar)'!$P$2+'Assumptions (Solar)'!$P$19*'Assumptions (Solar)'!$P$3)/10^9),0)</f>
        <v>#NUM!</v>
      </c>
      <c r="AD955" s="91" t="e">
        <f>IF($R$883&gt;0,PPMT('Assumptions (Solar)'!$V$8,Model!AI$1,'Assumptions (Solar)'!$V$11,'Assumptions (Solar)'!$V$6*Model!$R$883*('Assumptions (Solar)'!$P$18*'Assumptions (Solar)'!$P$2+'Assumptions (Solar)'!$P$19*'Assumptions (Solar)'!$P$3)/10^9),0)</f>
        <v>#NUM!</v>
      </c>
      <c r="AE955" s="91" t="e">
        <f>IF($R$883&gt;0,PPMT('Assumptions (Solar)'!$V$8,Model!AJ$1,'Assumptions (Solar)'!$V$11,'Assumptions (Solar)'!$V$6*Model!$R$883*('Assumptions (Solar)'!$P$18*'Assumptions (Solar)'!$P$2+'Assumptions (Solar)'!$P$19*'Assumptions (Solar)'!$P$3)/10^9),0)</f>
        <v>#NUM!</v>
      </c>
      <c r="AF955" s="91" t="e">
        <f>IF($R$883&gt;0,PPMT('Assumptions (Solar)'!$V$8,Model!AK$1,'Assumptions (Solar)'!$V$11,'Assumptions (Solar)'!$V$6*Model!$R$883*('Assumptions (Solar)'!$P$18*'Assumptions (Solar)'!$P$2+'Assumptions (Solar)'!$P$19*'Assumptions (Solar)'!$P$3)/10^9),0)</f>
        <v>#NUM!</v>
      </c>
      <c r="AG955" s="91"/>
      <c r="AH955" s="91"/>
      <c r="AI955" s="91"/>
      <c r="AJ955" s="91"/>
      <c r="AK955" s="91"/>
      <c r="AL955" s="91"/>
      <c r="AM955" s="91"/>
      <c r="AN955" s="91"/>
      <c r="AO955" s="91"/>
      <c r="AP955" s="91"/>
      <c r="AU955" s="105"/>
      <c r="AV955" s="105"/>
      <c r="AW955" s="105"/>
      <c r="AX955" s="105"/>
      <c r="AY955" s="105"/>
      <c r="AZ955" s="105"/>
      <c r="BA955" s="105"/>
    </row>
    <row r="956" spans="1:53" ht="15.75" hidden="1" customHeight="1" outlineLevel="1">
      <c r="A956" s="401"/>
      <c r="B956" s="99"/>
      <c r="C956" s="105"/>
      <c r="D956" s="105"/>
      <c r="E956" s="105"/>
      <c r="F956" s="105"/>
      <c r="G956" s="105"/>
      <c r="H956" s="105"/>
      <c r="I956" s="105"/>
      <c r="J956" s="105"/>
      <c r="K956" s="105"/>
      <c r="L956" s="105"/>
      <c r="M956" s="105"/>
      <c r="N956" s="105"/>
      <c r="O956" s="105"/>
      <c r="P956" s="171"/>
      <c r="Q956" s="105"/>
      <c r="R956" s="91"/>
      <c r="S956" s="105">
        <f>IF($S$883&gt;0,PPMT('Assumptions (Solar)'!$V$8,Model!W$1,'Assumptions (Solar)'!$V$11,'Assumptions (Solar)'!$V$6*Model!$S$883*('Assumptions (Solar)'!$Q$18*'Assumptions (Solar)'!$Q$2+'Assumptions (Solar)'!$Q$19*'Assumptions (Solar)'!$Q$3)/10^9),0)</f>
        <v>-0.86489851679009988</v>
      </c>
      <c r="T956" s="105">
        <f>IF($S$883&gt;0,PPMT('Assumptions (Solar)'!$V$8,Model!X$1,'Assumptions (Solar)'!$V$11,'Assumptions (Solar)'!$V$6*Model!$S$883*('Assumptions (Solar)'!$Q$18*'Assumptions (Solar)'!$Q$2+'Assumptions (Solar)'!$Q$19*'Assumptions (Solar)'!$Q$3)/10^9),0)</f>
        <v>-0.93409039813330796</v>
      </c>
      <c r="U956" s="105">
        <f>IF($S$883&gt;0,PPMT('Assumptions (Solar)'!$V$8,Model!Y$1,'Assumptions (Solar)'!$V$11,'Assumptions (Solar)'!$V$6*Model!$S$883*('Assumptions (Solar)'!$Q$18*'Assumptions (Solar)'!$Q$2+'Assumptions (Solar)'!$Q$19*'Assumptions (Solar)'!$Q$3)/10^9),0)</f>
        <v>-1.0088176299839726</v>
      </c>
      <c r="V956" s="105">
        <f>IF($S$883&gt;0,PPMT('Assumptions (Solar)'!$V$8,Model!Z$1,'Assumptions (Solar)'!$V$11,'Assumptions (Solar)'!$V$6*Model!$S$883*('Assumptions (Solar)'!$Q$18*'Assumptions (Solar)'!$Q$2+'Assumptions (Solar)'!$Q$19*'Assumptions (Solar)'!$Q$3)/10^9),0)</f>
        <v>-1.0895230403826903</v>
      </c>
      <c r="W956" s="105">
        <f>IF($S$883&gt;0,PPMT('Assumptions (Solar)'!$V$8,Model!AA$1,'Assumptions (Solar)'!$V$11,'Assumptions (Solar)'!$V$6*Model!$S$883*('Assumptions (Solar)'!$Q$18*'Assumptions (Solar)'!$Q$2+'Assumptions (Solar)'!$Q$19*'Assumptions (Solar)'!$Q$3)/10^9),0)</f>
        <v>-1.1766848836133057</v>
      </c>
      <c r="X956" s="105">
        <f>IF($S$883&gt;0,PPMT('Assumptions (Solar)'!$V$8,Model!AB$1,'Assumptions (Solar)'!$V$11,'Assumptions (Solar)'!$V$6*Model!$S$883*('Assumptions (Solar)'!$Q$18*'Assumptions (Solar)'!$Q$2+'Assumptions (Solar)'!$Q$19*'Assumptions (Solar)'!$Q$3)/10^9),0)</f>
        <v>-1.2708196743023699</v>
      </c>
      <c r="Y956" s="105">
        <f>IF($S$883&gt;0,PPMT('Assumptions (Solar)'!$V$8,Model!AC$1,'Assumptions (Solar)'!$V$11,'Assumptions (Solar)'!$V$6*Model!$S$883*('Assumptions (Solar)'!$Q$18*'Assumptions (Solar)'!$Q$2+'Assumptions (Solar)'!$Q$19*'Assumptions (Solar)'!$Q$3)/10^9),0)</f>
        <v>-1.3724852482465597</v>
      </c>
      <c r="Z956" s="105">
        <f>IF($S$883&gt;0,PPMT('Assumptions (Solar)'!$V$8,Model!AD$1,'Assumptions (Solar)'!$V$11,'Assumptions (Solar)'!$V$6*Model!$S$883*('Assumptions (Solar)'!$Q$18*'Assumptions (Solar)'!$Q$2+'Assumptions (Solar)'!$Q$19*'Assumptions (Solar)'!$Q$3)/10^9),0)</f>
        <v>-1.4822840681062843</v>
      </c>
      <c r="AA956" s="105">
        <f>IF($S$883&gt;0,PPMT('Assumptions (Solar)'!$V$8,Model!AE$1,'Assumptions (Solar)'!$V$11,'Assumptions (Solar)'!$V$6*Model!$S$883*('Assumptions (Solar)'!$Q$18*'Assumptions (Solar)'!$Q$2+'Assumptions (Solar)'!$Q$19*'Assumptions (Solar)'!$Q$3)/10^9),0)</f>
        <v>-1.6008667935547869</v>
      </c>
      <c r="AB956" s="105">
        <f>IF($S$883&gt;0,PPMT('Assumptions (Solar)'!$V$8,Model!AF$1,'Assumptions (Solar)'!$V$11,'Assumptions (Solar)'!$V$6*Model!$S$883*('Assumptions (Solar)'!$Q$18*'Assumptions (Solar)'!$Q$2+'Assumptions (Solar)'!$Q$19*'Assumptions (Solar)'!$Q$3)/10^9),0)</f>
        <v>-1.72893613703917</v>
      </c>
      <c r="AC956" s="105" t="e">
        <f>IF($S$883&gt;0,PPMT('Assumptions (Solar)'!$V$8,Model!AG$1,'Assumptions (Solar)'!$V$11,'Assumptions (Solar)'!$V$6*Model!$S$883*('Assumptions (Solar)'!$Q$18*'Assumptions (Solar)'!$Q$2+'Assumptions (Solar)'!$Q$19*'Assumptions (Solar)'!$Q$3)/10^9),0)</f>
        <v>#NUM!</v>
      </c>
      <c r="AD956" s="105" t="e">
        <f>IF($S$883&gt;0,PPMT('Assumptions (Solar)'!$V$8,Model!AH$1,'Assumptions (Solar)'!$V$11,'Assumptions (Solar)'!$V$6*Model!$S$883*('Assumptions (Solar)'!$Q$18*'Assumptions (Solar)'!$Q$2+'Assumptions (Solar)'!$Q$19*'Assumptions (Solar)'!$Q$3)/10^9),0)</f>
        <v>#NUM!</v>
      </c>
      <c r="AE956" s="105" t="e">
        <f>IF($S$883&gt;0,PPMT('Assumptions (Solar)'!$V$8,Model!AI$1,'Assumptions (Solar)'!$V$11,'Assumptions (Solar)'!$V$6*Model!$S$883*('Assumptions (Solar)'!$Q$18*'Assumptions (Solar)'!$Q$2+'Assumptions (Solar)'!$Q$19*'Assumptions (Solar)'!$Q$3)/10^9),0)</f>
        <v>#NUM!</v>
      </c>
      <c r="AF956" s="105" t="e">
        <f>IF($S$883&gt;0,PPMT('Assumptions (Solar)'!$V$8,Model!AJ$1,'Assumptions (Solar)'!$V$11,'Assumptions (Solar)'!$V$6*Model!$S$883*('Assumptions (Solar)'!$Q$18*'Assumptions (Solar)'!$Q$2+'Assumptions (Solar)'!$Q$19*'Assumptions (Solar)'!$Q$3)/10^9),0)</f>
        <v>#NUM!</v>
      </c>
      <c r="AG956" s="105" t="e">
        <f>IF($S$883&gt;0,PPMT('Assumptions (Solar)'!$V$8,Model!AK$1,'Assumptions (Solar)'!$V$11,'Assumptions (Solar)'!$V$6*Model!$S$883*('Assumptions (Solar)'!$Q$18*'Assumptions (Solar)'!$Q$2+'Assumptions (Solar)'!$Q$19*'Assumptions (Solar)'!$Q$3)/10^9),0)</f>
        <v>#NUM!</v>
      </c>
      <c r="AH956" s="105"/>
      <c r="AI956" s="105"/>
      <c r="AJ956" s="105"/>
      <c r="AK956" s="105"/>
      <c r="AL956" s="105"/>
      <c r="AM956" s="105"/>
      <c r="AN956" s="105"/>
      <c r="AO956" s="105"/>
      <c r="AP956" s="105"/>
      <c r="AQ956" s="105"/>
      <c r="AU956" s="105"/>
      <c r="AV956" s="105"/>
      <c r="AW956" s="105"/>
      <c r="AX956" s="105"/>
      <c r="AY956" s="105"/>
      <c r="AZ956" s="105"/>
      <c r="BA956" s="105"/>
    </row>
    <row r="957" spans="1:53" ht="15.75" hidden="1" customHeight="1" outlineLevel="1">
      <c r="A957" s="401"/>
      <c r="B957" s="99"/>
      <c r="C957" s="105"/>
      <c r="D957" s="105"/>
      <c r="E957" s="105"/>
      <c r="F957" s="105"/>
      <c r="G957" s="105"/>
      <c r="H957" s="105"/>
      <c r="I957" s="105"/>
      <c r="J957" s="105"/>
      <c r="K957" s="105"/>
      <c r="L957" s="105"/>
      <c r="M957" s="105"/>
      <c r="N957" s="105"/>
      <c r="O957" s="105"/>
      <c r="P957" s="171"/>
      <c r="Q957" s="105"/>
      <c r="R957" s="91"/>
      <c r="S957" s="91"/>
      <c r="T957" s="105">
        <f>IF($T$883&gt;0,PPMT('Assumptions (Solar)'!$V$8,Model!W$1,'Assumptions (Solar)'!$V$11,'Assumptions (Solar)'!$V$6*Model!$T$883*('Assumptions (Solar)'!$R$18*'Assumptions (Solar)'!$R$2+'Assumptions (Solar)'!$R$19*'Assumptions (Solar)'!$R$3)/10^9),0)</f>
        <v>-0.50296973361298547</v>
      </c>
      <c r="U957" s="105">
        <f>IF($T$883&gt;0,PPMT('Assumptions (Solar)'!$V$8,Model!X$1,'Assumptions (Solar)'!$V$11,'Assumptions (Solar)'!$V$6*Model!$T$883*('Assumptions (Solar)'!$R$18*'Assumptions (Solar)'!$R$2+'Assumptions (Solar)'!$R$19*'Assumptions (Solar)'!$R$3)/10^9),0)</f>
        <v>-0.54320731230202446</v>
      </c>
      <c r="V957" s="105">
        <f>IF($T$883&gt;0,PPMT('Assumptions (Solar)'!$V$8,Model!Y$1,'Assumptions (Solar)'!$V$11,'Assumptions (Solar)'!$V$6*Model!$T$883*('Assumptions (Solar)'!$R$18*'Assumptions (Solar)'!$R$2+'Assumptions (Solar)'!$R$19*'Assumptions (Solar)'!$R$3)/10^9),0)</f>
        <v>-0.58666389728618629</v>
      </c>
      <c r="W957" s="105">
        <f>IF($T$883&gt;0,PPMT('Assumptions (Solar)'!$V$8,Model!Z$1,'Assumptions (Solar)'!$V$11,'Assumptions (Solar)'!$V$6*Model!$T$883*('Assumptions (Solar)'!$R$18*'Assumptions (Solar)'!$R$2+'Assumptions (Solar)'!$R$19*'Assumptions (Solar)'!$R$3)/10^9),0)</f>
        <v>-0.63359700906908123</v>
      </c>
      <c r="X957" s="105">
        <f>IF($T$883&gt;0,PPMT('Assumptions (Solar)'!$V$8,Model!AA$1,'Assumptions (Solar)'!$V$11,'Assumptions (Solar)'!$V$6*Model!$T$883*('Assumptions (Solar)'!$R$18*'Assumptions (Solar)'!$R$2+'Assumptions (Solar)'!$R$19*'Assumptions (Solar)'!$R$3)/10^9),0)</f>
        <v>-0.68428476979460773</v>
      </c>
      <c r="Y957" s="105">
        <f>IF($T$883&gt;0,PPMT('Assumptions (Solar)'!$V$8,Model!AB$1,'Assumptions (Solar)'!$V$11,'Assumptions (Solar)'!$V$6*Model!$T$883*('Assumptions (Solar)'!$R$18*'Assumptions (Solar)'!$R$2+'Assumptions (Solar)'!$R$19*'Assumptions (Solar)'!$R$3)/10^9),0)</f>
        <v>-0.73902755137817622</v>
      </c>
      <c r="Z957" s="105">
        <f>IF($T$883&gt;0,PPMT('Assumptions (Solar)'!$V$8,Model!AC$1,'Assumptions (Solar)'!$V$11,'Assumptions (Solar)'!$V$6*Model!$T$883*('Assumptions (Solar)'!$R$18*'Assumptions (Solar)'!$R$2+'Assumptions (Solar)'!$R$19*'Assumptions (Solar)'!$R$3)/10^9),0)</f>
        <v>-0.79814975548843037</v>
      </c>
      <c r="AA957" s="105">
        <f>IF($T$883&gt;0,PPMT('Assumptions (Solar)'!$V$8,Model!AD$1,'Assumptions (Solar)'!$V$11,'Assumptions (Solar)'!$V$6*Model!$T$883*('Assumptions (Solar)'!$R$18*'Assumptions (Solar)'!$R$2+'Assumptions (Solar)'!$R$19*'Assumptions (Solar)'!$R$3)/10^9),0)</f>
        <v>-0.86200173592750495</v>
      </c>
      <c r="AB957" s="105">
        <f>IF($T$883&gt;0,PPMT('Assumptions (Solar)'!$V$8,Model!AE$1,'Assumptions (Solar)'!$V$11,'Assumptions (Solar)'!$V$6*Model!$T$883*('Assumptions (Solar)'!$R$18*'Assumptions (Solar)'!$R$2+'Assumptions (Solar)'!$R$19*'Assumptions (Solar)'!$R$3)/10^9),0)</f>
        <v>-0.93096187480170511</v>
      </c>
      <c r="AC957" s="105">
        <f>IF($T$883&gt;0,PPMT('Assumptions (Solar)'!$V$8,Model!AF$1,'Assumptions (Solar)'!$V$11,'Assumptions (Solar)'!$V$6*Model!$T$883*('Assumptions (Solar)'!$R$18*'Assumptions (Solar)'!$R$2+'Assumptions (Solar)'!$R$19*'Assumptions (Solar)'!$R$3)/10^9),0)</f>
        <v>-1.0054388247858417</v>
      </c>
      <c r="AD957" s="105" t="e">
        <f>IF($T$883&gt;0,PPMT('Assumptions (Solar)'!$V$8,Model!AG$1,'Assumptions (Solar)'!$V$11,'Assumptions (Solar)'!$V$6*Model!$T$883*('Assumptions (Solar)'!$R$18*'Assumptions (Solar)'!$R$2+'Assumptions (Solar)'!$R$19*'Assumptions (Solar)'!$R$3)/10^9),0)</f>
        <v>#NUM!</v>
      </c>
      <c r="AE957" s="105" t="e">
        <f>IF($T$883&gt;0,PPMT('Assumptions (Solar)'!$V$8,Model!AH$1,'Assumptions (Solar)'!$V$11,'Assumptions (Solar)'!$V$6*Model!$T$883*('Assumptions (Solar)'!$R$18*'Assumptions (Solar)'!$R$2+'Assumptions (Solar)'!$R$19*'Assumptions (Solar)'!$R$3)/10^9),0)</f>
        <v>#NUM!</v>
      </c>
      <c r="AF957" s="105" t="e">
        <f>IF($T$883&gt;0,PPMT('Assumptions (Solar)'!$V$8,Model!AI$1,'Assumptions (Solar)'!$V$11,'Assumptions (Solar)'!$V$6*Model!$T$883*('Assumptions (Solar)'!$R$18*'Assumptions (Solar)'!$R$2+'Assumptions (Solar)'!$R$19*'Assumptions (Solar)'!$R$3)/10^9),0)</f>
        <v>#NUM!</v>
      </c>
      <c r="AG957" s="105" t="e">
        <f>IF($T$883&gt;0,PPMT('Assumptions (Solar)'!$V$8,Model!AJ$1,'Assumptions (Solar)'!$V$11,'Assumptions (Solar)'!$V$6*Model!$T$883*('Assumptions (Solar)'!$R$18*'Assumptions (Solar)'!$R$2+'Assumptions (Solar)'!$R$19*'Assumptions (Solar)'!$R$3)/10^9),0)</f>
        <v>#NUM!</v>
      </c>
      <c r="AH957" s="105" t="e">
        <f>IF($T$883&gt;0,PPMT('Assumptions (Solar)'!$V$8,Model!AK$1,'Assumptions (Solar)'!$V$11,'Assumptions (Solar)'!$V$6*Model!$T$883*('Assumptions (Solar)'!$R$18*'Assumptions (Solar)'!$R$2+'Assumptions (Solar)'!$R$19*'Assumptions (Solar)'!$R$3)/10^9),0)</f>
        <v>#NUM!</v>
      </c>
      <c r="AI957" s="105"/>
      <c r="AJ957" s="105"/>
      <c r="AK957" s="105"/>
      <c r="AL957" s="105"/>
      <c r="AM957" s="105"/>
      <c r="AN957" s="105"/>
      <c r="AO957" s="105"/>
      <c r="AP957" s="105"/>
      <c r="AQ957" s="105"/>
      <c r="AR957" s="105"/>
      <c r="AU957" s="105"/>
      <c r="AV957" s="105"/>
      <c r="AW957" s="105"/>
      <c r="AX957" s="105"/>
      <c r="AY957" s="105"/>
      <c r="AZ957" s="105"/>
      <c r="BA957" s="105"/>
    </row>
    <row r="958" spans="1:53" ht="15.75" hidden="1" customHeight="1" outlineLevel="1">
      <c r="A958" s="401"/>
      <c r="B958" s="99"/>
      <c r="C958" s="105"/>
      <c r="D958" s="105"/>
      <c r="E958" s="105"/>
      <c r="F958" s="105"/>
      <c r="G958" s="105"/>
      <c r="H958" s="105"/>
      <c r="I958" s="105"/>
      <c r="J958" s="105"/>
      <c r="K958" s="105"/>
      <c r="L958" s="105"/>
      <c r="M958" s="105"/>
      <c r="N958" s="105"/>
      <c r="O958" s="105"/>
      <c r="P958" s="171"/>
      <c r="Q958" s="105"/>
      <c r="R958" s="91"/>
      <c r="S958" s="91"/>
      <c r="T958" s="91"/>
      <c r="U958" s="105">
        <f>IF($U$883&gt;0,PPMT('Assumptions (Solar)'!$V$8,Model!W$1,'Assumptions (Solar)'!$V$11,'Assumptions (Solar)'!$V$6*Model!$U$883*('Assumptions (Solar)'!$S$18*'Assumptions (Solar)'!$S$2+'Assumptions (Solar)'!$S$19*'Assumptions (Solar)'!$S$3)/10^9),0)</f>
        <v>-0.53824347724505006</v>
      </c>
      <c r="V958" s="105">
        <f>IF($U$883&gt;0,PPMT('Assumptions (Solar)'!$V$8,Model!X$1,'Assumptions (Solar)'!$V$11,'Assumptions (Solar)'!$V$6*Model!$U$883*('Assumptions (Solar)'!$S$18*'Assumptions (Solar)'!$S$2+'Assumptions (Solar)'!$S$19*'Assumptions (Solar)'!$S$3)/10^9),0)</f>
        <v>-0.58130295542465416</v>
      </c>
      <c r="W958" s="105">
        <f>IF($U$883&gt;0,PPMT('Assumptions (Solar)'!$V$8,Model!Y$1,'Assumptions (Solar)'!$V$11,'Assumptions (Solar)'!$V$6*Model!$U$883*('Assumptions (Solar)'!$S$18*'Assumptions (Solar)'!$S$2+'Assumptions (Solar)'!$S$19*'Assumptions (Solar)'!$S$3)/10^9),0)</f>
        <v>-0.62780719185862643</v>
      </c>
      <c r="X958" s="105">
        <f>IF($U$883&gt;0,PPMT('Assumptions (Solar)'!$V$8,Model!Z$1,'Assumptions (Solar)'!$V$11,'Assumptions (Solar)'!$V$6*Model!$U$883*('Assumptions (Solar)'!$S$18*'Assumptions (Solar)'!$S$2+'Assumptions (Solar)'!$S$19*'Assumptions (Solar)'!$S$3)/10^9),0)</f>
        <v>-0.67803176720731662</v>
      </c>
      <c r="Y958" s="105">
        <f>IF($U$883&gt;0,PPMT('Assumptions (Solar)'!$V$8,Model!AA$1,'Assumptions (Solar)'!$V$11,'Assumptions (Solar)'!$V$6*Model!$U$883*('Assumptions (Solar)'!$S$18*'Assumptions (Solar)'!$S$2+'Assumptions (Solar)'!$S$19*'Assumptions (Solar)'!$S$3)/10^9),0)</f>
        <v>-0.73227430858390197</v>
      </c>
      <c r="Z958" s="105">
        <f>IF($U$883&gt;0,PPMT('Assumptions (Solar)'!$V$8,Model!AB$1,'Assumptions (Solar)'!$V$11,'Assumptions (Solar)'!$V$6*Model!$U$883*('Assumptions (Solar)'!$S$18*'Assumptions (Solar)'!$S$2+'Assumptions (Solar)'!$S$19*'Assumptions (Solar)'!$S$3)/10^9),0)</f>
        <v>-0.79085625327061393</v>
      </c>
      <c r="AA958" s="105">
        <f>IF($U$883&gt;0,PPMT('Assumptions (Solar)'!$V$8,Model!AC$1,'Assumptions (Solar)'!$V$11,'Assumptions (Solar)'!$V$6*Model!$U$883*('Assumptions (Solar)'!$S$18*'Assumptions (Solar)'!$S$2+'Assumptions (Solar)'!$S$19*'Assumptions (Solar)'!$S$3)/10^9),0)</f>
        <v>-0.85412475353226314</v>
      </c>
      <c r="AB958" s="105">
        <f>IF($U$883&gt;0,PPMT('Assumptions (Solar)'!$V$8,Model!AD$1,'Assumptions (Solar)'!$V$11,'Assumptions (Solar)'!$V$6*Model!$U$883*('Assumptions (Solar)'!$S$18*'Assumptions (Solar)'!$S$2+'Assumptions (Solar)'!$S$19*'Assumptions (Solar)'!$S$3)/10^9),0)</f>
        <v>-0.92245473381484422</v>
      </c>
      <c r="AC958" s="105">
        <f>IF($U$883&gt;0,PPMT('Assumptions (Solar)'!$V$8,Model!AE$1,'Assumptions (Solar)'!$V$11,'Assumptions (Solar)'!$V$6*Model!$U$883*('Assumptions (Solar)'!$S$18*'Assumptions (Solar)'!$S$2+'Assumptions (Solar)'!$S$19*'Assumptions (Solar)'!$S$3)/10^9),0)</f>
        <v>-0.99625111252003162</v>
      </c>
      <c r="AD958" s="105">
        <f>IF($U$883&gt;0,PPMT('Assumptions (Solar)'!$V$8,Model!AF$1,'Assumptions (Solar)'!$V$11,'Assumptions (Solar)'!$V$6*Model!$U$883*('Assumptions (Solar)'!$S$18*'Assumptions (Solar)'!$S$2+'Assumptions (Solar)'!$S$19*'Assumptions (Solar)'!$S$3)/10^9),0)</f>
        <v>-1.0759512015216341</v>
      </c>
      <c r="AE958" s="105" t="e">
        <f>IF($U$883&gt;0,PPMT('Assumptions (Solar)'!$V$8,Model!AG$1,'Assumptions (Solar)'!$V$11,'Assumptions (Solar)'!$V$6*Model!$U$883*('Assumptions (Solar)'!$S$18*'Assumptions (Solar)'!$S$2+'Assumptions (Solar)'!$S$19*'Assumptions (Solar)'!$S$3)/10^9),0)</f>
        <v>#NUM!</v>
      </c>
      <c r="AF958" s="105" t="e">
        <f>IF($U$883&gt;0,PPMT('Assumptions (Solar)'!$V$8,Model!AH$1,'Assumptions (Solar)'!$V$11,'Assumptions (Solar)'!$V$6*Model!$U$883*('Assumptions (Solar)'!$S$18*'Assumptions (Solar)'!$S$2+'Assumptions (Solar)'!$S$19*'Assumptions (Solar)'!$S$3)/10^9),0)</f>
        <v>#NUM!</v>
      </c>
      <c r="AG958" s="105" t="e">
        <f>IF($U$883&gt;0,PPMT('Assumptions (Solar)'!$V$8,Model!AI$1,'Assumptions (Solar)'!$V$11,'Assumptions (Solar)'!$V$6*Model!$U$883*('Assumptions (Solar)'!$S$18*'Assumptions (Solar)'!$S$2+'Assumptions (Solar)'!$S$19*'Assumptions (Solar)'!$S$3)/10^9),0)</f>
        <v>#NUM!</v>
      </c>
      <c r="AH958" s="105" t="e">
        <f>IF($U$883&gt;0,PPMT('Assumptions (Solar)'!$V$8,Model!AJ$1,'Assumptions (Solar)'!$V$11,'Assumptions (Solar)'!$V$6*Model!$U$883*('Assumptions (Solar)'!$S$18*'Assumptions (Solar)'!$S$2+'Assumptions (Solar)'!$S$19*'Assumptions (Solar)'!$S$3)/10^9),0)</f>
        <v>#NUM!</v>
      </c>
      <c r="AI958" s="105" t="e">
        <f>IF($U$883&gt;0,PPMT('Assumptions (Solar)'!$V$8,Model!AK$1,'Assumptions (Solar)'!$V$11,'Assumptions (Solar)'!$V$6*Model!$U$883*('Assumptions (Solar)'!$S$18*'Assumptions (Solar)'!$S$2+'Assumptions (Solar)'!$S$19*'Assumptions (Solar)'!$S$3)/10^9),0)</f>
        <v>#NUM!</v>
      </c>
      <c r="AJ958" s="105"/>
      <c r="AK958" s="105"/>
      <c r="AL958" s="105"/>
      <c r="AM958" s="105"/>
      <c r="AN958" s="105"/>
      <c r="AO958" s="105"/>
      <c r="AP958" s="105"/>
      <c r="AQ958" s="105"/>
      <c r="AR958" s="105"/>
      <c r="AS958" s="105"/>
      <c r="AU958" s="105"/>
      <c r="AV958" s="105"/>
      <c r="AW958" s="105"/>
      <c r="AX958" s="105"/>
      <c r="AY958" s="105"/>
      <c r="AZ958" s="105"/>
      <c r="BA958" s="105"/>
    </row>
    <row r="959" spans="1:53" ht="15.75" hidden="1" customHeight="1" outlineLevel="1">
      <c r="A959" s="401"/>
      <c r="B959" s="99"/>
      <c r="C959" s="105"/>
      <c r="D959" s="105"/>
      <c r="E959" s="105"/>
      <c r="F959" s="105"/>
      <c r="G959" s="105"/>
      <c r="H959" s="105"/>
      <c r="I959" s="105"/>
      <c r="J959" s="105"/>
      <c r="K959" s="105"/>
      <c r="L959" s="105"/>
      <c r="M959" s="105"/>
      <c r="N959" s="105"/>
      <c r="O959" s="105"/>
      <c r="P959" s="171"/>
      <c r="Q959" s="105"/>
      <c r="R959" s="91"/>
      <c r="S959" s="91"/>
      <c r="T959" s="91"/>
      <c r="U959" s="105"/>
      <c r="V959" s="105">
        <f>IF($V$883&gt;0,PPMT('Assumptions (Solar)'!$V$8,Model!W$1,'Assumptions (Solar)'!$V$11,'Assumptions (Solar)'!$V$6*Model!$V$883*('Assumptions (Solar)'!$T$18*'Assumptions (Solar)'!$T$2+'Assumptions (Solar)'!$T$19*'Assumptions (Solar)'!$T$3)/10^9),0)</f>
        <v>-0.3004787969979722</v>
      </c>
      <c r="W959" s="105">
        <f>IF($V$883&gt;0,PPMT('Assumptions (Solar)'!$V$8,Model!X$1,'Assumptions (Solar)'!$V$11,'Assumptions (Solar)'!$V$6*Model!$V$883*('Assumptions (Solar)'!$T$18*'Assumptions (Solar)'!$T$2+'Assumptions (Solar)'!$T$19*'Assumptions (Solar)'!$T$3)/10^9),0)</f>
        <v>-0.32451710075781004</v>
      </c>
      <c r="X959" s="105">
        <f>IF($V$883&gt;0,PPMT('Assumptions (Solar)'!$V$8,Model!Y$1,'Assumptions (Solar)'!$V$11,'Assumptions (Solar)'!$V$6*Model!$V$883*('Assumptions (Solar)'!$T$18*'Assumptions (Solar)'!$T$2+'Assumptions (Solar)'!$T$19*'Assumptions (Solar)'!$T$3)/10^9),0)</f>
        <v>-0.35047846881843475</v>
      </c>
      <c r="Y959" s="105">
        <f>IF($V$883&gt;0,PPMT('Assumptions (Solar)'!$V$8,Model!Z$1,'Assumptions (Solar)'!$V$11,'Assumptions (Solar)'!$V$6*Model!$V$883*('Assumptions (Solar)'!$T$18*'Assumptions (Solar)'!$T$2+'Assumptions (Solar)'!$T$19*'Assumptions (Solar)'!$T$3)/10^9),0)</f>
        <v>-0.37851674632390964</v>
      </c>
      <c r="Z959" s="105">
        <f>IF($V$883&gt;0,PPMT('Assumptions (Solar)'!$V$8,Model!AA$1,'Assumptions (Solar)'!$V$11,'Assumptions (Solar)'!$V$6*Model!$V$883*('Assumptions (Solar)'!$T$18*'Assumptions (Solar)'!$T$2+'Assumptions (Solar)'!$T$19*'Assumptions (Solar)'!$T$3)/10^9),0)</f>
        <v>-0.40879808602982237</v>
      </c>
      <c r="AA959" s="105">
        <f>IF($V$883&gt;0,PPMT('Assumptions (Solar)'!$V$8,Model!AB$1,'Assumptions (Solar)'!$V$11,'Assumptions (Solar)'!$V$6*Model!$V$883*('Assumptions (Solar)'!$T$18*'Assumptions (Solar)'!$T$2+'Assumptions (Solar)'!$T$19*'Assumptions (Solar)'!$T$3)/10^9),0)</f>
        <v>-0.44150193291220818</v>
      </c>
      <c r="AB959" s="105">
        <f>IF($V$883&gt;0,PPMT('Assumptions (Solar)'!$V$8,Model!AC$1,'Assumptions (Solar)'!$V$11,'Assumptions (Solar)'!$V$6*Model!$V$883*('Assumptions (Solar)'!$T$18*'Assumptions (Solar)'!$T$2+'Assumptions (Solar)'!$T$19*'Assumptions (Solar)'!$T$3)/10^9),0)</f>
        <v>-0.47682208754518479</v>
      </c>
      <c r="AC959" s="105">
        <f>IF($V$883&gt;0,PPMT('Assumptions (Solar)'!$V$8,Model!AD$1,'Assumptions (Solar)'!$V$11,'Assumptions (Solar)'!$V$6*Model!$V$883*('Assumptions (Solar)'!$T$18*'Assumptions (Solar)'!$T$2+'Assumptions (Solar)'!$T$19*'Assumptions (Solar)'!$T$3)/10^9),0)</f>
        <v>-0.51496785454879956</v>
      </c>
      <c r="AD959" s="105">
        <f>IF($V$883&gt;0,PPMT('Assumptions (Solar)'!$V$8,Model!AE$1,'Assumptions (Solar)'!$V$11,'Assumptions (Solar)'!$V$6*Model!$V$883*('Assumptions (Solar)'!$T$18*'Assumptions (Solar)'!$T$2+'Assumptions (Solar)'!$T$19*'Assumptions (Solar)'!$T$3)/10^9),0)</f>
        <v>-0.55616528291270351</v>
      </c>
      <c r="AE959" s="105">
        <f>IF($V$883&gt;0,PPMT('Assumptions (Solar)'!$V$8,Model!AF$1,'Assumptions (Solar)'!$V$11,'Assumptions (Solar)'!$V$6*Model!$V$883*('Assumptions (Solar)'!$T$18*'Assumptions (Solar)'!$T$2+'Assumptions (Solar)'!$T$19*'Assumptions (Solar)'!$T$3)/10^9),0)</f>
        <v>-0.60065850554571987</v>
      </c>
      <c r="AF959" s="105" t="e">
        <f>IF($V$883&gt;0,PPMT('Assumptions (Solar)'!$V$8,Model!AG$1,'Assumptions (Solar)'!$V$11,'Assumptions (Solar)'!$V$6*Model!$V$883*('Assumptions (Solar)'!$T$18*'Assumptions (Solar)'!$T$2+'Assumptions (Solar)'!$T$19*'Assumptions (Solar)'!$T$3)/10^9),0)</f>
        <v>#NUM!</v>
      </c>
      <c r="AG959" s="105" t="e">
        <f>IF($V$883&gt;0,PPMT('Assumptions (Solar)'!$V$8,Model!AH$1,'Assumptions (Solar)'!$V$11,'Assumptions (Solar)'!$V$6*Model!$V$883*('Assumptions (Solar)'!$T$18*'Assumptions (Solar)'!$T$2+'Assumptions (Solar)'!$T$19*'Assumptions (Solar)'!$T$3)/10^9),0)</f>
        <v>#NUM!</v>
      </c>
      <c r="AH959" s="105" t="e">
        <f>IF($V$883&gt;0,PPMT('Assumptions (Solar)'!$V$8,Model!AI$1,'Assumptions (Solar)'!$V$11,'Assumptions (Solar)'!$V$6*Model!$V$883*('Assumptions (Solar)'!$T$18*'Assumptions (Solar)'!$T$2+'Assumptions (Solar)'!$T$19*'Assumptions (Solar)'!$T$3)/10^9),0)</f>
        <v>#NUM!</v>
      </c>
      <c r="AI959" s="105" t="e">
        <f>IF($V$883&gt;0,PPMT('Assumptions (Solar)'!$V$8,Model!AJ$1,'Assumptions (Solar)'!$V$11,'Assumptions (Solar)'!$V$6*Model!$V$883*('Assumptions (Solar)'!$T$18*'Assumptions (Solar)'!$T$2+'Assumptions (Solar)'!$T$19*'Assumptions (Solar)'!$T$3)/10^9),0)</f>
        <v>#NUM!</v>
      </c>
      <c r="AJ959" s="105" t="e">
        <f>IF($V$883&gt;0,PPMT('Assumptions (Solar)'!$V$8,Model!AK$1,'Assumptions (Solar)'!$V$11,'Assumptions (Solar)'!$V$6*Model!$V$883*('Assumptions (Solar)'!$T$18*'Assumptions (Solar)'!$T$2+'Assumptions (Solar)'!$T$19*'Assumptions (Solar)'!$T$3)/10^9),0)</f>
        <v>#NUM!</v>
      </c>
      <c r="AK959" s="105"/>
      <c r="AL959" s="105"/>
      <c r="AM959" s="105"/>
      <c r="AN959" s="105"/>
      <c r="AO959" s="105"/>
      <c r="AP959" s="105"/>
      <c r="AQ959" s="105"/>
      <c r="AR959" s="105"/>
      <c r="AS959" s="105"/>
      <c r="AT959" s="105"/>
      <c r="AU959" s="105"/>
      <c r="AV959" s="105"/>
      <c r="AW959" s="105"/>
      <c r="AX959" s="105"/>
      <c r="AY959" s="105"/>
      <c r="AZ959" s="105"/>
      <c r="BA959" s="105"/>
    </row>
    <row r="960" spans="1:53" ht="15.75" hidden="1" customHeight="1" outlineLevel="1">
      <c r="A960" s="401"/>
      <c r="B960" s="99"/>
      <c r="C960" s="99"/>
      <c r="D960" s="99"/>
      <c r="E960" s="99"/>
      <c r="F960" s="99"/>
      <c r="G960" s="99"/>
      <c r="H960" s="99"/>
      <c r="I960" s="99"/>
      <c r="J960" s="99"/>
      <c r="K960" s="99"/>
      <c r="L960" s="99"/>
      <c r="M960" s="99"/>
      <c r="N960" s="99"/>
      <c r="O960" s="99"/>
      <c r="P960" s="99"/>
      <c r="Q960" s="99"/>
      <c r="R960" s="99"/>
      <c r="S960" s="99"/>
      <c r="T960" s="99"/>
      <c r="U960" s="99"/>
      <c r="V960" s="99"/>
      <c r="W960" s="105">
        <f>IF($W$883&gt;0,PPMT('Assumptions (Solar)'!$V$8,Model!W$1,'Assumptions (Solar)'!$V$11,'Assumptions (Solar)'!$V$6*Model!$W$883*('Assumptions (Solar)'!$U$18*'Assumptions (Solar)'!$U$2+'Assumptions (Solar)'!$U$19*'Assumptions (Solar)'!$U$3)/10^9),0)</f>
        <v>-1.0357826269655364</v>
      </c>
      <c r="X960" s="105">
        <f>IF($W$883&gt;0,PPMT('Assumptions (Solar)'!$V$8,Model!X$1,'Assumptions (Solar)'!$V$11,'Assumptions (Solar)'!$V$6*Model!$W$883*('Assumptions (Solar)'!$U$18*'Assumptions (Solar)'!$U$2+'Assumptions (Solar)'!$U$19*'Assumptions (Solar)'!$U$3)/10^9),0)</f>
        <v>-1.1186452371227795</v>
      </c>
      <c r="Y960" s="105">
        <f>IF($W$883&gt;0,PPMT('Assumptions (Solar)'!$V$8,Model!Y$1,'Assumptions (Solar)'!$V$11,'Assumptions (Solar)'!$V$6*Model!$W$883*('Assumptions (Solar)'!$U$18*'Assumptions (Solar)'!$U$2+'Assumptions (Solar)'!$U$19*'Assumptions (Solar)'!$U$3)/10^9),0)</f>
        <v>-1.2081368560926018</v>
      </c>
      <c r="Z960" s="105">
        <f>IF($W$883&gt;0,PPMT('Assumptions (Solar)'!$V$8,Model!Z$1,'Assumptions (Solar)'!$V$11,'Assumptions (Solar)'!$V$6*Model!$W$883*('Assumptions (Solar)'!$U$18*'Assumptions (Solar)'!$U$2+'Assumptions (Solar)'!$U$19*'Assumptions (Solar)'!$U$3)/10^9),0)</f>
        <v>-1.3047878045800099</v>
      </c>
      <c r="AA960" s="105">
        <f>IF($W$883&gt;0,PPMT('Assumptions (Solar)'!$V$8,Model!AA$1,'Assumptions (Solar)'!$V$11,'Assumptions (Solar)'!$V$6*Model!$W$883*('Assumptions (Solar)'!$U$18*'Assumptions (Solar)'!$U$2+'Assumptions (Solar)'!$U$19*'Assumptions (Solar)'!$U$3)/10^9),0)</f>
        <v>-1.4091708289464109</v>
      </c>
      <c r="AB960" s="105">
        <f>IF($W$883&gt;0,PPMT('Assumptions (Solar)'!$V$8,Model!AB$1,'Assumptions (Solar)'!$V$11,'Assumptions (Solar)'!$V$6*Model!$W$883*('Assumptions (Solar)'!$U$18*'Assumptions (Solar)'!$U$2+'Assumptions (Solar)'!$U$19*'Assumptions (Solar)'!$U$3)/10^9),0)</f>
        <v>-1.5219044952621235</v>
      </c>
      <c r="AC960" s="105">
        <f>IF($W$883&gt;0,PPMT('Assumptions (Solar)'!$V$8,Model!AC$1,'Assumptions (Solar)'!$V$11,'Assumptions (Solar)'!$V$6*Model!$W$883*('Assumptions (Solar)'!$U$18*'Assumptions (Solar)'!$U$2+'Assumptions (Solar)'!$U$19*'Assumptions (Solar)'!$U$3)/10^9),0)</f>
        <v>-1.6436568548830934</v>
      </c>
      <c r="AD960" s="105">
        <f>IF($W$883&gt;0,PPMT('Assumptions (Solar)'!$V$8,Model!AD$1,'Assumptions (Solar)'!$V$11,'Assumptions (Solar)'!$V$6*Model!$W$883*('Assumptions (Solar)'!$U$18*'Assumptions (Solar)'!$U$2+'Assumptions (Solar)'!$U$19*'Assumptions (Solar)'!$U$3)/10^9),0)</f>
        <v>-1.7751494032737409</v>
      </c>
      <c r="AE960" s="105">
        <f>IF($W$883&gt;0,PPMT('Assumptions (Solar)'!$V$8,Model!AE$1,'Assumptions (Solar)'!$V$11,'Assumptions (Solar)'!$V$6*Model!$W$883*('Assumptions (Solar)'!$U$18*'Assumptions (Solar)'!$U$2+'Assumptions (Solar)'!$U$19*'Assumptions (Solar)'!$U$3)/10^9),0)</f>
        <v>-1.9171613555356399</v>
      </c>
      <c r="AF960" s="105">
        <f>IF($W$883&gt;0,PPMT('Assumptions (Solar)'!$V$8,Model!AF$1,'Assumptions (Solar)'!$V$11,'Assumptions (Solar)'!$V$6*Model!$W$883*('Assumptions (Solar)'!$U$18*'Assumptions (Solar)'!$U$2+'Assumptions (Solar)'!$U$19*'Assumptions (Solar)'!$U$3)/10^9),0)</f>
        <v>-2.0705342639784914</v>
      </c>
      <c r="AG960" s="105" t="e">
        <f>IF($W$883&gt;0,PPMT('Assumptions (Solar)'!$V$8,Model!AG$1,'Assumptions (Solar)'!$V$11,'Assumptions (Solar)'!$V$6*Model!$W$883*('Assumptions (Solar)'!$U$18*'Assumptions (Solar)'!$U$2+'Assumptions (Solar)'!$U$19*'Assumptions (Solar)'!$U$3)/10^9),0)</f>
        <v>#NUM!</v>
      </c>
      <c r="AH960" s="105" t="e">
        <f>IF($W$883&gt;0,PPMT('Assumptions (Solar)'!$V$8,Model!AH$1,'Assumptions (Solar)'!$V$11,'Assumptions (Solar)'!$V$6*Model!$W$883*('Assumptions (Solar)'!$U$18*'Assumptions (Solar)'!$U$2+'Assumptions (Solar)'!$U$19*'Assumptions (Solar)'!$U$3)/10^9),0)</f>
        <v>#NUM!</v>
      </c>
      <c r="AI960" s="105" t="e">
        <f>IF($W$883&gt;0,PPMT('Assumptions (Solar)'!$V$8,Model!AI$1,'Assumptions (Solar)'!$V$11,'Assumptions (Solar)'!$V$6*Model!$W$883*('Assumptions (Solar)'!$U$18*'Assumptions (Solar)'!$U$2+'Assumptions (Solar)'!$U$19*'Assumptions (Solar)'!$U$3)/10^9),0)</f>
        <v>#NUM!</v>
      </c>
      <c r="AJ960" s="105" t="e">
        <f>IF($W$883&gt;0,PPMT('Assumptions (Solar)'!$V$8,Model!AJ$1,'Assumptions (Solar)'!$V$11,'Assumptions (Solar)'!$V$6*Model!$W$883*('Assumptions (Solar)'!$U$18*'Assumptions (Solar)'!$U$2+'Assumptions (Solar)'!$U$19*'Assumptions (Solar)'!$U$3)/10^9),0)</f>
        <v>#NUM!</v>
      </c>
      <c r="AK960" s="105" t="e">
        <f>IF($W$883&gt;0,PPMT('Assumptions (Solar)'!$V$8,Model!AK$1,'Assumptions (Solar)'!$V$11,'Assumptions (Solar)'!$V$6*Model!$W$883*('Assumptions (Solar)'!$U$18*'Assumptions (Solar)'!$U$2+'Assumptions (Solar)'!$U$19*'Assumptions (Solar)'!$U$3)/10^9),0)</f>
        <v>#NUM!</v>
      </c>
      <c r="AL960" s="105"/>
      <c r="AM960" s="105"/>
      <c r="AN960" s="105"/>
      <c r="AO960" s="105"/>
      <c r="AP960" s="105"/>
      <c r="AQ960" s="105"/>
      <c r="AR960" s="105"/>
      <c r="AS960" s="105"/>
      <c r="AT960" s="105"/>
      <c r="AU960" s="105"/>
      <c r="AV960" s="105"/>
      <c r="AW960" s="105"/>
      <c r="AX960" s="105"/>
      <c r="AY960" s="105"/>
      <c r="AZ960" s="105"/>
      <c r="BA960" s="105"/>
    </row>
    <row r="961" spans="1:63" ht="15.75" hidden="1" customHeight="1" outlineLevel="1">
      <c r="A961" s="401"/>
      <c r="B961" s="99"/>
      <c r="C961" s="99"/>
      <c r="D961" s="99"/>
      <c r="E961" s="99"/>
      <c r="F961" s="99"/>
      <c r="G961" s="99"/>
      <c r="H961" s="99"/>
      <c r="I961" s="99"/>
      <c r="J961" s="99"/>
      <c r="K961" s="99"/>
      <c r="L961" s="99"/>
      <c r="M961" s="99"/>
      <c r="N961" s="99"/>
      <c r="O961" s="99"/>
      <c r="P961" s="99"/>
      <c r="Q961" s="99"/>
      <c r="R961" s="99"/>
      <c r="S961" s="99"/>
      <c r="T961" s="99"/>
      <c r="U961" s="99"/>
      <c r="V961" s="99"/>
      <c r="W961" s="105"/>
      <c r="X961" s="105">
        <f>IF($X$883&gt;0,PPMT('Assumptions (Solar)'!$V$8,Model!W$1,'Assumptions (Solar)'!$V$11,'Assumptions (Solar)'!$V$6*Model!$X$883*('Assumptions (Solar)'!$V$18*'Assumptions (Solar)'!$V$2+'Assumptions (Solar)'!$V$19*'Assumptions (Solar)'!$V$3)/10^9),0)</f>
        <v>-55.790580091702651</v>
      </c>
      <c r="Y961" s="105">
        <f>IF($X$883&gt;0,PPMT('Assumptions (Solar)'!$V$8,Model!X$1,'Assumptions (Solar)'!$V$11,'Assumptions (Solar)'!$V$6*Model!$X$883*('Assumptions (Solar)'!$V$18*'Assumptions (Solar)'!$V$2+'Assumptions (Solar)'!$V$19*'Assumptions (Solar)'!$V$3)/10^9),0)</f>
        <v>-60.253826499038873</v>
      </c>
      <c r="Z961" s="105">
        <f>IF($X$883&gt;0,PPMT('Assumptions (Solar)'!$V$8,Model!Y$1,'Assumptions (Solar)'!$V$11,'Assumptions (Solar)'!$V$6*Model!$X$883*('Assumptions (Solar)'!$V$18*'Assumptions (Solar)'!$V$2+'Assumptions (Solar)'!$V$19*'Assumptions (Solar)'!$V$3)/10^9),0)</f>
        <v>-65.074132618961968</v>
      </c>
      <c r="AA961" s="105">
        <f>IF($X$883&gt;0,PPMT('Assumptions (Solar)'!$V$8,Model!Z$1,'Assumptions (Solar)'!$V$11,'Assumptions (Solar)'!$V$6*Model!$X$883*('Assumptions (Solar)'!$V$18*'Assumptions (Solar)'!$V$2+'Assumptions (Solar)'!$V$19*'Assumptions (Solar)'!$V$3)/10^9),0)</f>
        <v>-70.280063228478937</v>
      </c>
      <c r="AB961" s="105">
        <f>IF($X$883&gt;0,PPMT('Assumptions (Solar)'!$V$8,Model!AA$1,'Assumptions (Solar)'!$V$11,'Assumptions (Solar)'!$V$6*Model!$X$883*('Assumptions (Solar)'!$V$18*'Assumptions (Solar)'!$V$2+'Assumptions (Solar)'!$V$19*'Assumptions (Solar)'!$V$3)/10^9),0)</f>
        <v>-75.902468286757255</v>
      </c>
      <c r="AC961" s="105">
        <f>IF($X$883&gt;0,PPMT('Assumptions (Solar)'!$V$8,Model!AB$1,'Assumptions (Solar)'!$V$11,'Assumptions (Solar)'!$V$6*Model!$X$883*('Assumptions (Solar)'!$V$18*'Assumptions (Solar)'!$V$2+'Assumptions (Solar)'!$V$19*'Assumptions (Solar)'!$V$3)/10^9),0)</f>
        <v>-81.97466574969782</v>
      </c>
      <c r="AD961" s="105">
        <f>IF($X$883&gt;0,PPMT('Assumptions (Solar)'!$V$8,Model!AC$1,'Assumptions (Solar)'!$V$11,'Assumptions (Solar)'!$V$6*Model!$X$883*('Assumptions (Solar)'!$V$18*'Assumptions (Solar)'!$V$2+'Assumptions (Solar)'!$V$19*'Assumptions (Solar)'!$V$3)/10^9),0)</f>
        <v>-88.532639009673645</v>
      </c>
      <c r="AE961" s="105">
        <f>IF($X$883&gt;0,PPMT('Assumptions (Solar)'!$V$8,Model!AD$1,'Assumptions (Solar)'!$V$11,'Assumptions (Solar)'!$V$6*Model!$X$883*('Assumptions (Solar)'!$V$18*'Assumptions (Solar)'!$V$2+'Assumptions (Solar)'!$V$19*'Assumptions (Solar)'!$V$3)/10^9),0)</f>
        <v>-95.615250130447535</v>
      </c>
      <c r="AF961" s="105">
        <f>IF($X$883&gt;0,PPMT('Assumptions (Solar)'!$V$8,Model!AE$1,'Assumptions (Solar)'!$V$11,'Assumptions (Solar)'!$V$6*Model!$X$883*('Assumptions (Solar)'!$V$18*'Assumptions (Solar)'!$V$2+'Assumptions (Solar)'!$V$19*'Assumptions (Solar)'!$V$3)/10^9),0)</f>
        <v>-103.26447014088333</v>
      </c>
      <c r="AG961" s="105">
        <f>IF($X$883&gt;0,PPMT('Assumptions (Solar)'!$V$8,Model!AF$1,'Assumptions (Solar)'!$V$11,'Assumptions (Solar)'!$V$6*Model!$X$883*('Assumptions (Solar)'!$V$18*'Assumptions (Solar)'!$V$2+'Assumptions (Solar)'!$V$19*'Assumptions (Solar)'!$V$3)/10^9),0)</f>
        <v>-111.52562775215402</v>
      </c>
      <c r="AH961" s="105" t="e">
        <f>IF($X$883&gt;0,PPMT('Assumptions (Solar)'!$V$8,Model!AG$1,'Assumptions (Solar)'!$V$11,'Assumptions (Solar)'!$V$6*Model!$X$883*('Assumptions (Solar)'!$V$18*'Assumptions (Solar)'!$V$2+'Assumptions (Solar)'!$V$19*'Assumptions (Solar)'!$V$3)/10^9),0)</f>
        <v>#NUM!</v>
      </c>
      <c r="AI961" s="105" t="e">
        <f>IF($X$883&gt;0,PPMT('Assumptions (Solar)'!$V$8,Model!AH$1,'Assumptions (Solar)'!$V$11,'Assumptions (Solar)'!$V$6*Model!$X$883*('Assumptions (Solar)'!$V$18*'Assumptions (Solar)'!$V$2+'Assumptions (Solar)'!$V$19*'Assumptions (Solar)'!$V$3)/10^9),0)</f>
        <v>#NUM!</v>
      </c>
      <c r="AJ961" s="105" t="e">
        <f>IF($X$883&gt;0,PPMT('Assumptions (Solar)'!$V$8,Model!AI$1,'Assumptions (Solar)'!$V$11,'Assumptions (Solar)'!$V$6*Model!$X$883*('Assumptions (Solar)'!$V$18*'Assumptions (Solar)'!$V$2+'Assumptions (Solar)'!$V$19*'Assumptions (Solar)'!$V$3)/10^9),0)</f>
        <v>#NUM!</v>
      </c>
      <c r="AK961" s="105" t="e">
        <f>IF($X$883&gt;0,PPMT('Assumptions (Solar)'!$V$8,Model!AJ$1,'Assumptions (Solar)'!$V$11,'Assumptions (Solar)'!$V$6*Model!$X$883*('Assumptions (Solar)'!$V$18*'Assumptions (Solar)'!$V$2+'Assumptions (Solar)'!$V$19*'Assumptions (Solar)'!$V$3)/10^9),0)</f>
        <v>#NUM!</v>
      </c>
      <c r="AL961" s="105" t="e">
        <f>IF($X$883&gt;0,PPMT('Assumptions (Solar)'!$V$8,Model!AK$1,'Assumptions (Solar)'!$V$11,'Assumptions (Solar)'!$V$6*Model!$X$883*('Assumptions (Solar)'!$V$18*'Assumptions (Solar)'!$V$2+'Assumptions (Solar)'!$V$19*'Assumptions (Solar)'!$V$3)/10^9),0)</f>
        <v>#NUM!</v>
      </c>
      <c r="AM961" s="105"/>
      <c r="AN961" s="105"/>
      <c r="AO961" s="105"/>
      <c r="AP961" s="105"/>
      <c r="AQ961" s="105"/>
      <c r="AR961" s="105"/>
      <c r="AS961" s="105"/>
      <c r="AT961" s="105"/>
      <c r="AU961" s="105"/>
      <c r="AV961" s="105"/>
      <c r="AW961" s="105"/>
      <c r="AX961" s="105"/>
      <c r="AY961" s="105"/>
      <c r="AZ961" s="105"/>
      <c r="BA961" s="105"/>
    </row>
    <row r="962" spans="1:63" ht="15.75" hidden="1" customHeight="1" outlineLevel="1">
      <c r="A962" s="401"/>
      <c r="B962" s="99"/>
      <c r="C962" s="99"/>
      <c r="D962" s="99"/>
      <c r="E962" s="99"/>
      <c r="F962" s="99"/>
      <c r="G962" s="99"/>
      <c r="H962" s="99"/>
      <c r="I962" s="99"/>
      <c r="J962" s="99"/>
      <c r="K962" s="99"/>
      <c r="L962" s="99"/>
      <c r="M962" s="99"/>
      <c r="N962" s="99"/>
      <c r="O962" s="99"/>
      <c r="P962" s="99"/>
      <c r="Q962" s="99"/>
      <c r="R962" s="99"/>
      <c r="S962" s="99"/>
      <c r="T962" s="99"/>
      <c r="U962" s="99"/>
      <c r="V962" s="99"/>
      <c r="W962" s="105"/>
      <c r="X962" s="105"/>
      <c r="Y962" s="105">
        <f>IF($Y$883&gt;0,PPMT('Assumptions (Solar)'!$V$8,Model!W$1,'Assumptions (Solar)'!$V$11,'Assumptions (Solar)'!$V$6*Model!$Y$883*('Assumptions (Solar)'!$W$18*'Assumptions (Solar)'!$W$2+'Assumptions (Solar)'!$W$19*'Assumptions (Solar)'!$W$3)/10^9),0)</f>
        <v>-57.10702843473144</v>
      </c>
      <c r="Z962" s="105">
        <f>IF($Y$883&gt;0,PPMT('Assumptions (Solar)'!$V$8,Model!X$1,'Assumptions (Solar)'!$V$11,'Assumptions (Solar)'!$V$6*Model!$Y$883*('Assumptions (Solar)'!$W$18*'Assumptions (Solar)'!$W$2+'Assumptions (Solar)'!$W$19*'Assumptions (Solar)'!$W$3)/10^9),0)</f>
        <v>-61.675590709509962</v>
      </c>
      <c r="AA962" s="105">
        <f>IF($Y$883&gt;0,PPMT('Assumptions (Solar)'!$V$8,Model!Y$1,'Assumptions (Solar)'!$V$11,'Assumptions (Solar)'!$V$6*Model!$Y$883*('Assumptions (Solar)'!$W$18*'Assumptions (Solar)'!$W$2+'Assumptions (Solar)'!$W$19*'Assumptions (Solar)'!$W$3)/10^9),0)</f>
        <v>-66.609637966270753</v>
      </c>
      <c r="AB962" s="105">
        <f>IF($Y$883&gt;0,PPMT('Assumptions (Solar)'!$V$8,Model!Z$1,'Assumptions (Solar)'!$V$11,'Assumptions (Solar)'!$V$6*Model!$Y$883*('Assumptions (Solar)'!$W$18*'Assumptions (Solar)'!$W$2+'Assumptions (Solar)'!$W$19*'Assumptions (Solar)'!$W$3)/10^9),0)</f>
        <v>-71.938409003572417</v>
      </c>
      <c r="AC962" s="105">
        <f>IF($Y$883&gt;0,PPMT('Assumptions (Solar)'!$V$8,Model!AA$1,'Assumptions (Solar)'!$V$11,'Assumptions (Solar)'!$V$6*Model!$Y$883*('Assumptions (Solar)'!$W$18*'Assumptions (Solar)'!$W$2+'Assumptions (Solar)'!$W$19*'Assumptions (Solar)'!$W$3)/10^9),0)</f>
        <v>-77.693481723858213</v>
      </c>
      <c r="AD962" s="105">
        <f>IF($Y$883&gt;0,PPMT('Assumptions (Solar)'!$V$8,Model!AB$1,'Assumptions (Solar)'!$V$11,'Assumptions (Solar)'!$V$6*Model!$Y$883*('Assumptions (Solar)'!$W$18*'Assumptions (Solar)'!$W$2+'Assumptions (Solar)'!$W$19*'Assumptions (Solar)'!$W$3)/10^9),0)</f>
        <v>-83.908960261766865</v>
      </c>
      <c r="AE962" s="105">
        <f>IF($Y$883&gt;0,PPMT('Assumptions (Solar)'!$V$8,Model!AC$1,'Assumptions (Solar)'!$V$11,'Assumptions (Solar)'!$V$6*Model!$Y$883*('Assumptions (Solar)'!$W$18*'Assumptions (Solar)'!$W$2+'Assumptions (Solar)'!$W$19*'Assumptions (Solar)'!$W$3)/10^9),0)</f>
        <v>-90.621677082708217</v>
      </c>
      <c r="AF962" s="105">
        <f>IF($Y$883&gt;0,PPMT('Assumptions (Solar)'!$V$8,Model!AD$1,'Assumptions (Solar)'!$V$11,'Assumptions (Solar)'!$V$6*Model!$Y$883*('Assumptions (Solar)'!$W$18*'Assumptions (Solar)'!$W$2+'Assumptions (Solar)'!$W$19*'Assumptions (Solar)'!$W$3)/10^9),0)</f>
        <v>-97.871411249324865</v>
      </c>
      <c r="AG962" s="105">
        <f>IF($Y$883&gt;0,PPMT('Assumptions (Solar)'!$V$8,Model!AE$1,'Assumptions (Solar)'!$V$11,'Assumptions (Solar)'!$V$6*Model!$Y$883*('Assumptions (Solar)'!$W$18*'Assumptions (Solar)'!$W$2+'Assumptions (Solar)'!$W$19*'Assumptions (Solar)'!$W$3)/10^9),0)</f>
        <v>-105.70112414927085</v>
      </c>
      <c r="AH962" s="105">
        <f>IF($Y$883&gt;0,PPMT('Assumptions (Solar)'!$V$8,Model!AF$1,'Assumptions (Solar)'!$V$11,'Assumptions (Solar)'!$V$6*Model!$Y$883*('Assumptions (Solar)'!$W$18*'Assumptions (Solar)'!$W$2+'Assumptions (Solar)'!$W$19*'Assumptions (Solar)'!$W$3)/10^9),0)</f>
        <v>-114.15721408121253</v>
      </c>
      <c r="AI962" s="105" t="e">
        <f>IF($Y$883&gt;0,PPMT('Assumptions (Solar)'!$V$8,Model!AG$1,'Assumptions (Solar)'!$V$11,'Assumptions (Solar)'!$V$6*Model!$Y$883*('Assumptions (Solar)'!$W$18*'Assumptions (Solar)'!$W$2+'Assumptions (Solar)'!$W$19*'Assumptions (Solar)'!$W$3)/10^9),0)</f>
        <v>#NUM!</v>
      </c>
      <c r="AJ962" s="105" t="e">
        <f>IF($Y$883&gt;0,PPMT('Assumptions (Solar)'!$V$8,Model!AH$1,'Assumptions (Solar)'!$V$11,'Assumptions (Solar)'!$V$6*Model!$Y$883*('Assumptions (Solar)'!$W$18*'Assumptions (Solar)'!$W$2+'Assumptions (Solar)'!$W$19*'Assumptions (Solar)'!$W$3)/10^9),0)</f>
        <v>#NUM!</v>
      </c>
      <c r="AK962" s="105" t="e">
        <f>IF($Y$883&gt;0,PPMT('Assumptions (Solar)'!$V$8,Model!AI$1,'Assumptions (Solar)'!$V$11,'Assumptions (Solar)'!$V$6*Model!$Y$883*('Assumptions (Solar)'!$W$18*'Assumptions (Solar)'!$W$2+'Assumptions (Solar)'!$W$19*'Assumptions (Solar)'!$W$3)/10^9),0)</f>
        <v>#NUM!</v>
      </c>
      <c r="AL962" s="105" t="e">
        <f>IF($Y$883&gt;0,PPMT('Assumptions (Solar)'!$V$8,Model!AJ$1,'Assumptions (Solar)'!$V$11,'Assumptions (Solar)'!$V$6*Model!$Y$883*('Assumptions (Solar)'!$W$18*'Assumptions (Solar)'!$W$2+'Assumptions (Solar)'!$W$19*'Assumptions (Solar)'!$W$3)/10^9),0)</f>
        <v>#NUM!</v>
      </c>
      <c r="AM962" s="105" t="e">
        <f>IF($Y$883&gt;0,PPMT('Assumptions (Solar)'!$V$8,Model!AK$1,'Assumptions (Solar)'!$V$11,'Assumptions (Solar)'!$V$6*Model!$Y$883*('Assumptions (Solar)'!$W$18*'Assumptions (Solar)'!$W$2+'Assumptions (Solar)'!$W$19*'Assumptions (Solar)'!$W$3)/10^9),0)</f>
        <v>#NUM!</v>
      </c>
      <c r="AN962" s="105"/>
      <c r="AO962" s="105"/>
      <c r="AP962" s="105"/>
      <c r="AQ962" s="105"/>
      <c r="AR962" s="105"/>
      <c r="AS962" s="105"/>
      <c r="AT962" s="105"/>
      <c r="AU962" s="105"/>
      <c r="AV962" s="105"/>
      <c r="AW962" s="105"/>
      <c r="AX962" s="105"/>
      <c r="AY962" s="105"/>
      <c r="AZ962" s="105"/>
      <c r="BA962" s="105"/>
    </row>
    <row r="963" spans="1:63" ht="15.75" hidden="1" customHeight="1" outlineLevel="1">
      <c r="A963" s="401"/>
      <c r="B963" s="99"/>
      <c r="C963" s="99"/>
      <c r="D963" s="99"/>
      <c r="E963" s="99"/>
      <c r="F963" s="99"/>
      <c r="G963" s="99"/>
      <c r="H963" s="99"/>
      <c r="I963" s="99"/>
      <c r="J963" s="99"/>
      <c r="K963" s="99"/>
      <c r="L963" s="99"/>
      <c r="M963" s="99"/>
      <c r="N963" s="99"/>
      <c r="O963" s="99"/>
      <c r="P963" s="99"/>
      <c r="Q963" s="99"/>
      <c r="R963" s="99"/>
      <c r="S963" s="99"/>
      <c r="T963" s="99"/>
      <c r="U963" s="99"/>
      <c r="V963" s="99"/>
      <c r="W963" s="105"/>
      <c r="X963" s="105"/>
      <c r="Y963" s="105"/>
      <c r="Z963" s="105">
        <f>IF($Z$883&gt;0,PPMT('Assumptions (Solar)'!$V$8,Model!W$1,'Assumptions (Solar)'!$V$11,'Assumptions (Solar)'!$V$6*Model!$Z$883*('Assumptions (Solar)'!$X$18*'Assumptions (Solar)'!$X$2+'Assumptions (Solar)'!$X$19*'Assumptions (Solar)'!$X$3)/10^9),0)</f>
        <v>-58.68918145166824</v>
      </c>
      <c r="AA963" s="105">
        <f>IF($Z$883&gt;0,PPMT('Assumptions (Solar)'!$V$8,Model!X$1,'Assumptions (Solar)'!$V$11,'Assumptions (Solar)'!$V$6*Model!$Z$883*('Assumptions (Solar)'!$X$18*'Assumptions (Solar)'!$X$2+'Assumptions (Solar)'!$X$19*'Assumptions (Solar)'!$X$3)/10^9),0)</f>
        <v>-63.384315967801705</v>
      </c>
      <c r="AB963" s="105">
        <f>IF($Z$883&gt;0,PPMT('Assumptions (Solar)'!$V$8,Model!Y$1,'Assumptions (Solar)'!$V$11,'Assumptions (Solar)'!$V$6*Model!$Z$883*('Assumptions (Solar)'!$X$18*'Assumptions (Solar)'!$X$2+'Assumptions (Solar)'!$X$19*'Assumptions (Solar)'!$X$3)/10^9),0)</f>
        <v>-68.455061245225835</v>
      </c>
      <c r="AC963" s="105">
        <f>IF($Z$883&gt;0,PPMT('Assumptions (Solar)'!$V$8,Model!Z$1,'Assumptions (Solar)'!$V$11,'Assumptions (Solar)'!$V$6*Model!$Z$883*('Assumptions (Solar)'!$X$18*'Assumptions (Solar)'!$X$2+'Assumptions (Solar)'!$X$19*'Assumptions (Solar)'!$X$3)/10^9),0)</f>
        <v>-73.93146614484391</v>
      </c>
      <c r="AD963" s="105">
        <f>IF($Z$883&gt;0,PPMT('Assumptions (Solar)'!$V$8,Model!AA$1,'Assumptions (Solar)'!$V$11,'Assumptions (Solar)'!$V$6*Model!$Z$883*('Assumptions (Solar)'!$X$18*'Assumptions (Solar)'!$X$2+'Assumptions (Solar)'!$X$19*'Assumptions (Solar)'!$X$3)/10^9),0)</f>
        <v>-79.845983436431425</v>
      </c>
      <c r="AE963" s="105">
        <f>IF($Z$883&gt;0,PPMT('Assumptions (Solar)'!$V$8,Model!AB$1,'Assumptions (Solar)'!$V$11,'Assumptions (Solar)'!$V$6*Model!$Z$883*('Assumptions (Solar)'!$X$18*'Assumptions (Solar)'!$X$2+'Assumptions (Solar)'!$X$19*'Assumptions (Solar)'!$X$3)/10^9),0)</f>
        <v>-86.233662111345936</v>
      </c>
      <c r="AF963" s="105">
        <f>IF($Z$883&gt;0,PPMT('Assumptions (Solar)'!$V$8,Model!AC$1,'Assumptions (Solar)'!$V$11,'Assumptions (Solar)'!$V$6*Model!$Z$883*('Assumptions (Solar)'!$X$18*'Assumptions (Solar)'!$X$2+'Assumptions (Solar)'!$X$19*'Assumptions (Solar)'!$X$3)/10^9),0)</f>
        <v>-93.132355080253603</v>
      </c>
      <c r="AG963" s="105">
        <f>IF($Z$883&gt;0,PPMT('Assumptions (Solar)'!$V$8,Model!AD$1,'Assumptions (Solar)'!$V$11,'Assumptions (Solar)'!$V$6*Model!$Z$883*('Assumptions (Solar)'!$X$18*'Assumptions (Solar)'!$X$2+'Assumptions (Solar)'!$X$19*'Assumptions (Solar)'!$X$3)/10^9),0)</f>
        <v>-100.58294348667388</v>
      </c>
      <c r="AH963" s="105">
        <f>IF($Z$883&gt;0,PPMT('Assumptions (Solar)'!$V$8,Model!AE$1,'Assumptions (Solar)'!$V$11,'Assumptions (Solar)'!$V$6*Model!$Z$883*('Assumptions (Solar)'!$X$18*'Assumptions (Solar)'!$X$2+'Assumptions (Solar)'!$X$19*'Assumptions (Solar)'!$X$3)/10^9),0)</f>
        <v>-108.62957896560781</v>
      </c>
      <c r="AI963" s="105">
        <f>IF($Z$883&gt;0,PPMT('Assumptions (Solar)'!$V$8,Model!AF$1,'Assumptions (Solar)'!$V$11,'Assumptions (Solar)'!$V$6*Model!$Z$883*('Assumptions (Solar)'!$X$18*'Assumptions (Solar)'!$X$2+'Assumptions (Solar)'!$X$19*'Assumptions (Solar)'!$X$3)/10^9),0)</f>
        <v>-117.31994528285642</v>
      </c>
      <c r="AJ963" s="105" t="e">
        <f>IF($Z$883&gt;0,PPMT('Assumptions (Solar)'!$V$8,Model!AG$1,'Assumptions (Solar)'!$V$11,'Assumptions (Solar)'!$V$6*Model!$Z$883*('Assumptions (Solar)'!$X$18*'Assumptions (Solar)'!$X$2+'Assumptions (Solar)'!$X$19*'Assumptions (Solar)'!$X$3)/10^9),0)</f>
        <v>#NUM!</v>
      </c>
      <c r="AK963" s="105" t="e">
        <f>IF($Z$883&gt;0,PPMT('Assumptions (Solar)'!$V$8,Model!AH$1,'Assumptions (Solar)'!$V$11,'Assumptions (Solar)'!$V$6*Model!$Z$883*('Assumptions (Solar)'!$X$18*'Assumptions (Solar)'!$X$2+'Assumptions (Solar)'!$X$19*'Assumptions (Solar)'!$X$3)/10^9),0)</f>
        <v>#NUM!</v>
      </c>
      <c r="AL963" s="105" t="e">
        <f>IF($Z$883&gt;0,PPMT('Assumptions (Solar)'!$V$8,Model!AI$1,'Assumptions (Solar)'!$V$11,'Assumptions (Solar)'!$V$6*Model!$Z$883*('Assumptions (Solar)'!$X$18*'Assumptions (Solar)'!$X$2+'Assumptions (Solar)'!$X$19*'Assumptions (Solar)'!$X$3)/10^9),0)</f>
        <v>#NUM!</v>
      </c>
      <c r="AM963" s="105" t="e">
        <f>IF($Z$883&gt;0,PPMT('Assumptions (Solar)'!$V$8,Model!AJ$1,'Assumptions (Solar)'!$V$11,'Assumptions (Solar)'!$V$6*Model!$Z$883*('Assumptions (Solar)'!$X$18*'Assumptions (Solar)'!$X$2+'Assumptions (Solar)'!$X$19*'Assumptions (Solar)'!$X$3)/10^9),0)</f>
        <v>#NUM!</v>
      </c>
      <c r="AN963" s="105" t="e">
        <f>IF($Z$883&gt;0,PPMT('Assumptions (Solar)'!$V$8,Model!AK$1,'Assumptions (Solar)'!$V$11,'Assumptions (Solar)'!$V$6*Model!$Z$883*('Assumptions (Solar)'!$X$18*'Assumptions (Solar)'!$X$2+'Assumptions (Solar)'!$X$19*'Assumptions (Solar)'!$X$3)/10^9),0)</f>
        <v>#NUM!</v>
      </c>
      <c r="AO963" s="105"/>
      <c r="AP963" s="105"/>
      <c r="AQ963" s="105"/>
      <c r="AR963" s="105"/>
      <c r="AS963" s="105"/>
      <c r="AT963" s="105"/>
      <c r="AU963" s="105"/>
      <c r="AV963" s="105"/>
      <c r="AW963" s="105"/>
      <c r="AX963" s="105"/>
      <c r="AY963" s="105"/>
      <c r="AZ963" s="105"/>
      <c r="BA963" s="105"/>
    </row>
    <row r="964" spans="1:63" ht="15.75" hidden="1" customHeight="1" outlineLevel="1">
      <c r="A964" s="401"/>
      <c r="B964" s="99"/>
      <c r="C964" s="99"/>
      <c r="D964" s="99"/>
      <c r="E964" s="99"/>
      <c r="F964" s="99"/>
      <c r="G964" s="99"/>
      <c r="H964" s="99"/>
      <c r="I964" s="99"/>
      <c r="J964" s="99"/>
      <c r="K964" s="99"/>
      <c r="L964" s="99"/>
      <c r="M964" s="99"/>
      <c r="N964" s="99"/>
      <c r="O964" s="99"/>
      <c r="P964" s="99"/>
      <c r="Q964" s="99"/>
      <c r="R964" s="99"/>
      <c r="S964" s="99"/>
      <c r="T964" s="99"/>
      <c r="U964" s="99"/>
      <c r="V964" s="99"/>
      <c r="W964" s="105"/>
      <c r="X964" s="105"/>
      <c r="Y964" s="105"/>
      <c r="Z964" s="105"/>
      <c r="AA964" s="105">
        <f>IF($AA$883&gt;0,PPMT('Assumptions (Solar)'!$V$8,Model!W$1,'Assumptions (Solar)'!$V$11,'Assumptions (Solar)'!$V$6*Model!$AA$883*('Assumptions (Solar)'!$Y$18*'Assumptions (Solar)'!$Y$2+'Assumptions (Solar)'!$Y$19*'Assumptions (Solar)'!$Y$3)/10^9),0)</f>
        <v>-60.227889208193929</v>
      </c>
      <c r="AB964" s="105">
        <f>IF($AA$883&gt;0,PPMT('Assumptions (Solar)'!$V$8,Model!X$1,'Assumptions (Solar)'!$V$11,'Assumptions (Solar)'!$V$6*Model!$AA$883*('Assumptions (Solar)'!$Y$18*'Assumptions (Solar)'!$Y$2+'Assumptions (Solar)'!$Y$19*'Assumptions (Solar)'!$Y$3)/10^9),0)</f>
        <v>-65.046120344849456</v>
      </c>
      <c r="AC964" s="105">
        <f>IF($AA$883&gt;0,PPMT('Assumptions (Solar)'!$V$8,Model!Y$1,'Assumptions (Solar)'!$V$11,'Assumptions (Solar)'!$V$6*Model!$AA$883*('Assumptions (Solar)'!$Y$18*'Assumptions (Solar)'!$Y$2+'Assumptions (Solar)'!$Y$19*'Assumptions (Solar)'!$Y$3)/10^9),0)</f>
        <v>-70.249809972437404</v>
      </c>
      <c r="AD964" s="105">
        <f>IF($AA$883&gt;0,PPMT('Assumptions (Solar)'!$V$8,Model!Z$1,'Assumptions (Solar)'!$V$11,'Assumptions (Solar)'!$V$6*Model!$AA$883*('Assumptions (Solar)'!$Y$18*'Assumptions (Solar)'!$Y$2+'Assumptions (Solar)'!$Y$19*'Assumptions (Solar)'!$Y$3)/10^9),0)</f>
        <v>-75.869794770232389</v>
      </c>
      <c r="AE964" s="105">
        <f>IF($AA$883&gt;0,PPMT('Assumptions (Solar)'!$V$8,Model!AA$1,'Assumptions (Solar)'!$V$11,'Assumptions (Solar)'!$V$6*Model!$AA$883*('Assumptions (Solar)'!$Y$18*'Assumptions (Solar)'!$Y$2+'Assumptions (Solar)'!$Y$19*'Assumptions (Solar)'!$Y$3)/10^9),0)</f>
        <v>-81.939378351850991</v>
      </c>
      <c r="AF964" s="105">
        <f>IF($AA$883&gt;0,PPMT('Assumptions (Solar)'!$V$8,Model!AB$1,'Assumptions (Solar)'!$V$11,'Assumptions (Solar)'!$V$6*Model!$AA$883*('Assumptions (Solar)'!$Y$18*'Assumptions (Solar)'!$Y$2+'Assumptions (Solar)'!$Y$19*'Assumptions (Solar)'!$Y$3)/10^9),0)</f>
        <v>-88.494528619999059</v>
      </c>
      <c r="AG964" s="105">
        <f>IF($AA$883&gt;0,PPMT('Assumptions (Solar)'!$V$8,Model!AC$1,'Assumptions (Solar)'!$V$11,'Assumptions (Solar)'!$V$6*Model!$AA$883*('Assumptions (Solar)'!$Y$18*'Assumptions (Solar)'!$Y$2+'Assumptions (Solar)'!$Y$19*'Assumptions (Solar)'!$Y$3)/10^9),0)</f>
        <v>-95.574090909598979</v>
      </c>
      <c r="AH964" s="105">
        <f>IF($AA$883&gt;0,PPMT('Assumptions (Solar)'!$V$8,Model!AD$1,'Assumptions (Solar)'!$V$11,'Assumptions (Solar)'!$V$6*Model!$AA$883*('Assumptions (Solar)'!$Y$18*'Assumptions (Solar)'!$Y$2+'Assumptions (Solar)'!$Y$19*'Assumptions (Solar)'!$Y$3)/10^9),0)</f>
        <v>-103.22001818236691</v>
      </c>
      <c r="AI964" s="105">
        <f>IF($AA$883&gt;0,PPMT('Assumptions (Solar)'!$V$8,Model!AE$1,'Assumptions (Solar)'!$V$11,'Assumptions (Solar)'!$V$6*Model!$AA$883*('Assumptions (Solar)'!$Y$18*'Assumptions (Solar)'!$Y$2+'Assumptions (Solar)'!$Y$19*'Assumptions (Solar)'!$Y$3)/10^9),0)</f>
        <v>-111.47761963695626</v>
      </c>
      <c r="AJ964" s="105">
        <f>IF($AA$883&gt;0,PPMT('Assumptions (Solar)'!$V$8,Model!AF$1,'Assumptions (Solar)'!$V$11,'Assumptions (Solar)'!$V$6*Model!$AA$883*('Assumptions (Solar)'!$Y$18*'Assumptions (Solar)'!$Y$2+'Assumptions (Solar)'!$Y$19*'Assumptions (Solar)'!$Y$3)/10^9),0)</f>
        <v>-120.39582920791275</v>
      </c>
      <c r="AK964" s="105" t="e">
        <f>IF($AA$883&gt;0,PPMT('Assumptions (Solar)'!$V$8,Model!AG$1,'Assumptions (Solar)'!$V$11,'Assumptions (Solar)'!$V$6*Model!$AA$883*('Assumptions (Solar)'!$Y$18*'Assumptions (Solar)'!$Y$2+'Assumptions (Solar)'!$Y$19*'Assumptions (Solar)'!$Y$3)/10^9),0)</f>
        <v>#NUM!</v>
      </c>
      <c r="AL964" s="105" t="e">
        <f>IF($AA$883&gt;0,PPMT('Assumptions (Solar)'!$V$8,Model!AH$1,'Assumptions (Solar)'!$V$11,'Assumptions (Solar)'!$V$6*Model!$AA$883*('Assumptions (Solar)'!$Y$18*'Assumptions (Solar)'!$Y$2+'Assumptions (Solar)'!$Y$19*'Assumptions (Solar)'!$Y$3)/10^9),0)</f>
        <v>#NUM!</v>
      </c>
      <c r="AM964" s="105" t="e">
        <f>IF($AA$883&gt;0,PPMT('Assumptions (Solar)'!$V$8,Model!AI$1,'Assumptions (Solar)'!$V$11,'Assumptions (Solar)'!$V$6*Model!$AA$883*('Assumptions (Solar)'!$Y$18*'Assumptions (Solar)'!$Y$2+'Assumptions (Solar)'!$Y$19*'Assumptions (Solar)'!$Y$3)/10^9),0)</f>
        <v>#NUM!</v>
      </c>
      <c r="AN964" s="105" t="e">
        <f>IF($AA$883&gt;0,PPMT('Assumptions (Solar)'!$V$8,Model!AJ$1,'Assumptions (Solar)'!$V$11,'Assumptions (Solar)'!$V$6*Model!$AA$883*('Assumptions (Solar)'!$Y$18*'Assumptions (Solar)'!$Y$2+'Assumptions (Solar)'!$Y$19*'Assumptions (Solar)'!$Y$3)/10^9),0)</f>
        <v>#NUM!</v>
      </c>
      <c r="AO964" s="105" t="e">
        <f>IF($AA$883&gt;0,PPMT('Assumptions (Solar)'!$V$8,Model!AK$1,'Assumptions (Solar)'!$V$11,'Assumptions (Solar)'!$V$6*Model!$AA$883*('Assumptions (Solar)'!$Y$18*'Assumptions (Solar)'!$Y$2+'Assumptions (Solar)'!$Y$19*'Assumptions (Solar)'!$Y$3)/10^9),0)</f>
        <v>#NUM!</v>
      </c>
      <c r="AP964" s="105"/>
      <c r="AQ964" s="105"/>
      <c r="AR964" s="105"/>
      <c r="AS964" s="105"/>
      <c r="AT964" s="105"/>
      <c r="AU964" s="105"/>
      <c r="AV964" s="105"/>
      <c r="AW964" s="105"/>
      <c r="AX964" s="105"/>
      <c r="AY964" s="105"/>
      <c r="AZ964" s="105"/>
      <c r="BA964" s="105"/>
    </row>
    <row r="965" spans="1:63" ht="15.75" hidden="1" customHeight="1" outlineLevel="1">
      <c r="A965" s="401"/>
      <c r="B965" s="99"/>
      <c r="C965" s="99"/>
      <c r="D965" s="99"/>
      <c r="E965" s="99"/>
      <c r="F965" s="99"/>
      <c r="G965" s="99"/>
      <c r="H965" s="99"/>
      <c r="I965" s="99"/>
      <c r="J965" s="99"/>
      <c r="K965" s="99"/>
      <c r="L965" s="99"/>
      <c r="M965" s="99"/>
      <c r="N965" s="99"/>
      <c r="O965" s="99"/>
      <c r="P965" s="99"/>
      <c r="Q965" s="99"/>
      <c r="R965" s="99"/>
      <c r="S965" s="99"/>
      <c r="T965" s="99"/>
      <c r="U965" s="99"/>
      <c r="V965" s="99"/>
      <c r="W965" s="105"/>
      <c r="X965" s="105"/>
      <c r="Y965" s="105"/>
      <c r="Z965" s="105"/>
      <c r="AA965" s="105"/>
      <c r="AB965" s="105">
        <f>IF($AB$883&gt;0,PPMT('Assumptions (Solar)'!$V$8,Model!W$1,'Assumptions (Solar)'!$V$11,'Assumptions (Solar)'!$V$6*Model!$AB$883*('Assumptions (Solar)'!$Z$18*'Assumptions (Solar)'!$Z$2+'Assumptions (Solar)'!$Z$19*'Assumptions (Solar)'!$Z$3)/10^9),0)</f>
        <v>-61.779773401839982</v>
      </c>
      <c r="AC965" s="105">
        <f>IF($AB$883&gt;0,PPMT('Assumptions (Solar)'!$V$8,Model!X$1,'Assumptions (Solar)'!$V$11,'Assumptions (Solar)'!$V$6*Model!$AB$883*('Assumptions (Solar)'!$Z$18*'Assumptions (Solar)'!$Z$2+'Assumptions (Solar)'!$Z$19*'Assumptions (Solar)'!$Z$3)/10^9),0)</f>
        <v>-66.722155273987184</v>
      </c>
      <c r="AD965" s="105">
        <f>IF($AB$883&gt;0,PPMT('Assumptions (Solar)'!$V$8,Model!Y$1,'Assumptions (Solar)'!$V$11,'Assumptions (Solar)'!$V$6*Model!$AB$883*('Assumptions (Solar)'!$Z$18*'Assumptions (Solar)'!$Z$2+'Assumptions (Solar)'!$Z$19*'Assumptions (Solar)'!$Z$3)/10^9),0)</f>
        <v>-72.059927695906154</v>
      </c>
      <c r="AE965" s="105">
        <f>IF($AB$883&gt;0,PPMT('Assumptions (Solar)'!$V$8,Model!Z$1,'Assumptions (Solar)'!$V$11,'Assumptions (Solar)'!$V$6*Model!$AB$883*('Assumptions (Solar)'!$Z$18*'Assumptions (Solar)'!$Z$2+'Assumptions (Solar)'!$Z$19*'Assumptions (Solar)'!$Z$3)/10^9),0)</f>
        <v>-77.824721911578649</v>
      </c>
      <c r="AF965" s="105">
        <f>IF($AB$883&gt;0,PPMT('Assumptions (Solar)'!$V$8,Model!AA$1,'Assumptions (Solar)'!$V$11,'Assumptions (Solar)'!$V$6*Model!$AB$883*('Assumptions (Solar)'!$Z$18*'Assumptions (Solar)'!$Z$2+'Assumptions (Solar)'!$Z$19*'Assumptions (Solar)'!$Z$3)/10^9),0)</f>
        <v>-84.050699664504961</v>
      </c>
      <c r="AG965" s="105">
        <f>IF($AB$883&gt;0,PPMT('Assumptions (Solar)'!$V$8,Model!AB$1,'Assumptions (Solar)'!$V$11,'Assumptions (Solar)'!$V$6*Model!$AB$883*('Assumptions (Solar)'!$Z$18*'Assumptions (Solar)'!$Z$2+'Assumptions (Solar)'!$Z$19*'Assumptions (Solar)'!$Z$3)/10^9),0)</f>
        <v>-90.774755637665336</v>
      </c>
      <c r="AH965" s="105">
        <f>IF($AB$883&gt;0,PPMT('Assumptions (Solar)'!$V$8,Model!AC$1,'Assumptions (Solar)'!$V$11,'Assumptions (Solar)'!$V$6*Model!$AB$883*('Assumptions (Solar)'!$Z$18*'Assumptions (Solar)'!$Z$2+'Assumptions (Solar)'!$Z$19*'Assumptions (Solar)'!$Z$3)/10^9),0)</f>
        <v>-98.036736088678552</v>
      </c>
      <c r="AI965" s="105">
        <f>IF($AB$883&gt;0,PPMT('Assumptions (Solar)'!$V$8,Model!AD$1,'Assumptions (Solar)'!$V$11,'Assumptions (Solar)'!$V$6*Model!$AB$883*('Assumptions (Solar)'!$Z$18*'Assumptions (Solar)'!$Z$2+'Assumptions (Solar)'!$Z$19*'Assumptions (Solar)'!$Z$3)/10^9),0)</f>
        <v>-105.87967497577286</v>
      </c>
      <c r="AJ965" s="105">
        <f>IF($AB$883&gt;0,PPMT('Assumptions (Solar)'!$V$8,Model!AE$1,'Assumptions (Solar)'!$V$11,'Assumptions (Solar)'!$V$6*Model!$AB$883*('Assumptions (Solar)'!$Z$18*'Assumptions (Solar)'!$Z$2+'Assumptions (Solar)'!$Z$19*'Assumptions (Solar)'!$Z$3)/10^9),0)</f>
        <v>-114.35004897383467</v>
      </c>
      <c r="AK965" s="105">
        <f>IF($AB$883&gt;0,PPMT('Assumptions (Solar)'!$V$8,Model!AF$1,'Assumptions (Solar)'!$V$11,'Assumptions (Solar)'!$V$6*Model!$AB$883*('Assumptions (Solar)'!$Z$18*'Assumptions (Solar)'!$Z$2+'Assumptions (Solar)'!$Z$19*'Assumptions (Solar)'!$Z$3)/10^9),0)</f>
        <v>-123.49805289174145</v>
      </c>
      <c r="AL965" s="105" t="e">
        <f>IF($AB$883&gt;0,PPMT('Assumptions (Solar)'!$V$8,Model!AG$1,'Assumptions (Solar)'!$V$11,'Assumptions (Solar)'!$V$6*Model!$AB$883*('Assumptions (Solar)'!$Z$18*'Assumptions (Solar)'!$Z$2+'Assumptions (Solar)'!$Z$19*'Assumptions (Solar)'!$Z$3)/10^9),0)</f>
        <v>#NUM!</v>
      </c>
      <c r="AM965" s="105" t="e">
        <f>IF($AB$883&gt;0,PPMT('Assumptions (Solar)'!$V$8,Model!AH$1,'Assumptions (Solar)'!$V$11,'Assumptions (Solar)'!$V$6*Model!$AB$883*('Assumptions (Solar)'!$Z$18*'Assumptions (Solar)'!$Z$2+'Assumptions (Solar)'!$Z$19*'Assumptions (Solar)'!$Z$3)/10^9),0)</f>
        <v>#NUM!</v>
      </c>
      <c r="AN965" s="105" t="e">
        <f>IF($AB$883&gt;0,PPMT('Assumptions (Solar)'!$V$8,Model!AI$1,'Assumptions (Solar)'!$V$11,'Assumptions (Solar)'!$V$6*Model!$AB$883*('Assumptions (Solar)'!$Z$18*'Assumptions (Solar)'!$Z$2+'Assumptions (Solar)'!$Z$19*'Assumptions (Solar)'!$Z$3)/10^9),0)</f>
        <v>#NUM!</v>
      </c>
      <c r="AO965" s="105" t="e">
        <f>IF($AB$883&gt;0,PPMT('Assumptions (Solar)'!$V$8,Model!AJ$1,'Assumptions (Solar)'!$V$11,'Assumptions (Solar)'!$V$6*Model!$AB$883*('Assumptions (Solar)'!$Z$18*'Assumptions (Solar)'!$Z$2+'Assumptions (Solar)'!$Z$19*'Assumptions (Solar)'!$Z$3)/10^9),0)</f>
        <v>#NUM!</v>
      </c>
      <c r="AP965" s="105" t="e">
        <f>IF($AB$883&gt;0,PPMT('Assumptions (Solar)'!$V$8,Model!AK$1,'Assumptions (Solar)'!$V$11,'Assumptions (Solar)'!$V$6*Model!$AB$883*('Assumptions (Solar)'!$Z$18*'Assumptions (Solar)'!$Z$2+'Assumptions (Solar)'!$Z$19*'Assumptions (Solar)'!$Z$3)/10^9),0)</f>
        <v>#NUM!</v>
      </c>
      <c r="AQ965" s="105"/>
      <c r="AR965" s="105"/>
      <c r="AS965" s="105"/>
      <c r="AT965" s="105"/>
      <c r="AU965" s="105"/>
      <c r="AV965" s="105"/>
      <c r="AW965" s="105"/>
      <c r="AX965" s="105"/>
      <c r="AY965" s="105"/>
      <c r="AZ965" s="105"/>
      <c r="BA965" s="105"/>
      <c r="BB965" s="105"/>
    </row>
    <row r="966" spans="1:63" ht="15.75" hidden="1" customHeight="1" outlineLevel="1">
      <c r="A966" s="401"/>
      <c r="B966" s="99"/>
      <c r="C966" s="99"/>
      <c r="D966" s="99"/>
      <c r="E966" s="99"/>
      <c r="F966" s="99"/>
      <c r="G966" s="99"/>
      <c r="H966" s="99"/>
      <c r="I966" s="99"/>
      <c r="J966" s="99"/>
      <c r="K966" s="99"/>
      <c r="L966" s="99"/>
      <c r="M966" s="99"/>
      <c r="N966" s="99"/>
      <c r="O966" s="99"/>
      <c r="P966" s="99"/>
      <c r="Q966" s="99"/>
      <c r="R966" s="99"/>
      <c r="S966" s="99"/>
      <c r="T966" s="99"/>
      <c r="U966" s="99"/>
      <c r="V966" s="99"/>
      <c r="W966" s="105"/>
      <c r="X966" s="105"/>
      <c r="Y966" s="105"/>
      <c r="Z966" s="105"/>
      <c r="AA966" s="105"/>
      <c r="AB966" s="105"/>
      <c r="AC966" s="105">
        <f>IF($AC$883&gt;0,PPMT('Assumptions (Solar)'!$V$8,Model!W$1,'Assumptions (Solar)'!$V$11,'Assumptions (Solar)'!$V$6*Model!$AC$883*('Assumptions (Solar)'!$AA$18*'Assumptions (Solar)'!$AA$2+'Assumptions (Solar)'!$AA$19*'Assumptions (Solar)'!$AA$3)/10^9),0)</f>
        <v>-63.150943232240344</v>
      </c>
      <c r="AD966" s="105">
        <f>IF($AC$883&gt;0,PPMT('Assumptions (Solar)'!$V$8,Model!X$1,'Assumptions (Solar)'!$V$11,'Assumptions (Solar)'!$V$6*Model!$AC$883*('Assumptions (Solar)'!$AA$18*'Assumptions (Solar)'!$AA$2+'Assumptions (Solar)'!$AA$19*'Assumptions (Solar)'!$AA$3)/10^9),0)</f>
        <v>-68.203018690819576</v>
      </c>
      <c r="AE966" s="105">
        <f>IF($AC$883&gt;0,PPMT('Assumptions (Solar)'!$V$8,Model!Y$1,'Assumptions (Solar)'!$V$11,'Assumptions (Solar)'!$V$6*Model!$AC$883*('Assumptions (Solar)'!$AA$18*'Assumptions (Solar)'!$AA$2+'Assumptions (Solar)'!$AA$19*'Assumptions (Solar)'!$AA$3)/10^9),0)</f>
        <v>-73.659260186085135</v>
      </c>
      <c r="AF966" s="105">
        <f>IF($AC$883&gt;0,PPMT('Assumptions (Solar)'!$V$8,Model!Z$1,'Assumptions (Solar)'!$V$11,'Assumptions (Solar)'!$V$6*Model!$AC$883*('Assumptions (Solar)'!$AA$18*'Assumptions (Solar)'!$AA$2+'Assumptions (Solar)'!$AA$19*'Assumptions (Solar)'!$AA$3)/10^9),0)</f>
        <v>-79.552001000971956</v>
      </c>
      <c r="AG966" s="105">
        <f>IF($AC$883&gt;0,PPMT('Assumptions (Solar)'!$V$8,Model!AA$1,'Assumptions (Solar)'!$V$11,'Assumptions (Solar)'!$V$6*Model!$AC$883*('Assumptions (Solar)'!$AA$18*'Assumptions (Solar)'!$AA$2+'Assumptions (Solar)'!$AA$19*'Assumptions (Solar)'!$AA$3)/10^9),0)</f>
        <v>-85.916161081049722</v>
      </c>
      <c r="AH966" s="105">
        <f>IF($AC$883&gt;0,PPMT('Assumptions (Solar)'!$V$8,Model!AB$1,'Assumptions (Solar)'!$V$11,'Assumptions (Solar)'!$V$6*Model!$AC$883*('Assumptions (Solar)'!$AA$18*'Assumptions (Solar)'!$AA$2+'Assumptions (Solar)'!$AA$19*'Assumptions (Solar)'!$AA$3)/10^9),0)</f>
        <v>-92.789453967533689</v>
      </c>
      <c r="AI966" s="105">
        <f>IF($AC$883&gt;0,PPMT('Assumptions (Solar)'!$V$8,Model!AC$1,'Assumptions (Solar)'!$V$11,'Assumptions (Solar)'!$V$6*Model!$AC$883*('Assumptions (Solar)'!$AA$18*'Assumptions (Solar)'!$AA$2+'Assumptions (Solar)'!$AA$19*'Assumptions (Solar)'!$AA$3)/10^9),0)</f>
        <v>-100.21261028493639</v>
      </c>
      <c r="AJ966" s="105">
        <f>IF($AC$883&gt;0,PPMT('Assumptions (Solar)'!$V$8,Model!AD$1,'Assumptions (Solar)'!$V$11,'Assumptions (Solar)'!$V$6*Model!$AC$883*('Assumptions (Solar)'!$AA$18*'Assumptions (Solar)'!$AA$2+'Assumptions (Solar)'!$AA$19*'Assumptions (Solar)'!$AA$3)/10^9),0)</f>
        <v>-108.2296191077313</v>
      </c>
      <c r="AK966" s="105">
        <f>IF($AC$883&gt;0,PPMT('Assumptions (Solar)'!$V$8,Model!AE$1,'Assumptions (Solar)'!$V$11,'Assumptions (Solar)'!$V$6*Model!$AC$883*('Assumptions (Solar)'!$AA$18*'Assumptions (Solar)'!$AA$2+'Assumptions (Solar)'!$AA$19*'Assumptions (Solar)'!$AA$3)/10^9),0)</f>
        <v>-116.88798863634979</v>
      </c>
      <c r="AL966" s="105">
        <f>IF($AC$883&gt;0,PPMT('Assumptions (Solar)'!$V$8,Model!AF$1,'Assumptions (Solar)'!$V$11,'Assumptions (Solar)'!$V$6*Model!$AC$883*('Assumptions (Solar)'!$AA$18*'Assumptions (Solar)'!$AA$2+'Assumptions (Solar)'!$AA$19*'Assumptions (Solar)'!$AA$3)/10^9),0)</f>
        <v>-126.23902772725778</v>
      </c>
      <c r="AM966" s="105" t="e">
        <f>IF($AC$883&gt;0,PPMT('Assumptions (Solar)'!$V$8,Model!AG$1,'Assumptions (Solar)'!$V$11,'Assumptions (Solar)'!$V$6*Model!$AC$883*('Assumptions (Solar)'!$AA$18*'Assumptions (Solar)'!$AA$2+'Assumptions (Solar)'!$AA$19*'Assumptions (Solar)'!$AA$3)/10^9),0)</f>
        <v>#NUM!</v>
      </c>
      <c r="AN966" s="105" t="e">
        <f>IF($AC$883&gt;0,PPMT('Assumptions (Solar)'!$V$8,Model!AH$1,'Assumptions (Solar)'!$V$11,'Assumptions (Solar)'!$V$6*Model!$AC$883*('Assumptions (Solar)'!$AA$18*'Assumptions (Solar)'!$AA$2+'Assumptions (Solar)'!$AA$19*'Assumptions (Solar)'!$AA$3)/10^9),0)</f>
        <v>#NUM!</v>
      </c>
      <c r="AO966" s="105" t="e">
        <f>IF($AC$883&gt;0,PPMT('Assumptions (Solar)'!$V$8,Model!AI$1,'Assumptions (Solar)'!$V$11,'Assumptions (Solar)'!$V$6*Model!$AC$883*('Assumptions (Solar)'!$AA$18*'Assumptions (Solar)'!$AA$2+'Assumptions (Solar)'!$AA$19*'Assumptions (Solar)'!$AA$3)/10^9),0)</f>
        <v>#NUM!</v>
      </c>
      <c r="AP966" s="105" t="e">
        <f>IF($AC$883&gt;0,PPMT('Assumptions (Solar)'!$V$8,Model!AJ$1,'Assumptions (Solar)'!$V$11,'Assumptions (Solar)'!$V$6*Model!$AC$883*('Assumptions (Solar)'!$AA$18*'Assumptions (Solar)'!$AA$2+'Assumptions (Solar)'!$AA$19*'Assumptions (Solar)'!$AA$3)/10^9),0)</f>
        <v>#NUM!</v>
      </c>
      <c r="AQ966" s="105" t="e">
        <f>IF($AC$883&gt;0,PPMT('Assumptions (Solar)'!$V$8,Model!AK$1,'Assumptions (Solar)'!$V$11,'Assumptions (Solar)'!$V$6*Model!$AC$883*('Assumptions (Solar)'!$AA$18*'Assumptions (Solar)'!$AA$2+'Assumptions (Solar)'!$AA$19*'Assumptions (Solar)'!$AA$3)/10^9),0)</f>
        <v>#NUM!</v>
      </c>
      <c r="AR966" s="105"/>
      <c r="AS966" s="105"/>
      <c r="AT966" s="105"/>
      <c r="AU966" s="105"/>
      <c r="AV966" s="105"/>
      <c r="AW966" s="105"/>
      <c r="AX966" s="105"/>
      <c r="AY966" s="105"/>
      <c r="AZ966" s="105"/>
      <c r="BA966" s="105"/>
    </row>
    <row r="967" spans="1:63" ht="15.75" hidden="1" customHeight="1" outlineLevel="1">
      <c r="A967" s="401"/>
      <c r="B967" s="99"/>
      <c r="C967" s="99"/>
      <c r="D967" s="99"/>
      <c r="E967" s="99"/>
      <c r="F967" s="99"/>
      <c r="G967" s="99"/>
      <c r="H967" s="99"/>
      <c r="I967" s="99"/>
      <c r="J967" s="99"/>
      <c r="K967" s="99"/>
      <c r="L967" s="99"/>
      <c r="M967" s="99"/>
      <c r="N967" s="99"/>
      <c r="O967" s="99"/>
      <c r="P967" s="99"/>
      <c r="Q967" s="99"/>
      <c r="R967" s="99"/>
      <c r="S967" s="99"/>
      <c r="T967" s="99"/>
      <c r="U967" s="99"/>
      <c r="V967" s="99"/>
      <c r="W967" s="105"/>
      <c r="X967" s="105"/>
      <c r="Y967" s="105"/>
      <c r="Z967" s="105"/>
      <c r="AA967" s="105"/>
      <c r="AB967" s="105"/>
      <c r="AC967" s="105"/>
      <c r="AD967" s="105">
        <f>IF($AD$883&gt;0,PPMT('Assumptions (Solar)'!$V$8,Model!W$1,'Assumptions (Solar)'!$V$11,'Assumptions (Solar)'!$V$6*Model!$AD$883*('Assumptions (Solar)'!$AB$18*'Assumptions (Solar)'!$AB$2+'Assumptions (Solar)'!$AB$19*'Assumptions (Solar)'!$AB$3)/10^9),0)</f>
        <v>-64.626185948767528</v>
      </c>
      <c r="AE967" s="105">
        <f>IF($AD$883&gt;0,PPMT('Assumptions (Solar)'!$V$8,Model!X$1,'Assumptions (Solar)'!$V$11,'Assumptions (Solar)'!$V$6*Model!$AD$883*('Assumptions (Solar)'!$AB$18*'Assumptions (Solar)'!$AB$2+'Assumptions (Solar)'!$AB$19*'Assumptions (Solar)'!$AB$3)/10^9),0)</f>
        <v>-69.796280824668941</v>
      </c>
      <c r="AF967" s="105">
        <f>IF($AD$883&gt;0,PPMT('Assumptions (Solar)'!$V$8,Model!Y$1,'Assumptions (Solar)'!$V$11,'Assumptions (Solar)'!$V$6*Model!$AD$883*('Assumptions (Solar)'!$AB$18*'Assumptions (Solar)'!$AB$2+'Assumptions (Solar)'!$AB$19*'Assumptions (Solar)'!$AB$3)/10^9),0)</f>
        <v>-75.379983290642457</v>
      </c>
      <c r="AG967" s="105">
        <f>IF($AD$883&gt;0,PPMT('Assumptions (Solar)'!$V$8,Model!Z$1,'Assumptions (Solar)'!$V$11,'Assumptions (Solar)'!$V$6*Model!$AD$883*('Assumptions (Solar)'!$AB$18*'Assumptions (Solar)'!$AB$2+'Assumptions (Solar)'!$AB$19*'Assumptions (Solar)'!$AB$3)/10^9),0)</f>
        <v>-81.410381953893847</v>
      </c>
      <c r="AH967" s="105">
        <f>IF($AD$883&gt;0,PPMT('Assumptions (Solar)'!$V$8,Model!AA$1,'Assumptions (Solar)'!$V$11,'Assumptions (Solar)'!$V$6*Model!$AD$883*('Assumptions (Solar)'!$AB$18*'Assumptions (Solar)'!$AB$2+'Assumptions (Solar)'!$AB$19*'Assumptions (Solar)'!$AB$3)/10^9),0)</f>
        <v>-87.92321251020536</v>
      </c>
      <c r="AI967" s="105">
        <f>IF($AD$883&gt;0,PPMT('Assumptions (Solar)'!$V$8,Model!AB$1,'Assumptions (Solar)'!$V$11,'Assumptions (Solar)'!$V$6*Model!$AD$883*('Assumptions (Solar)'!$AB$18*'Assumptions (Solar)'!$AB$2+'Assumptions (Solar)'!$AB$19*'Assumptions (Solar)'!$AB$3)/10^9),0)</f>
        <v>-94.957069511021786</v>
      </c>
      <c r="AJ967" s="105">
        <f>IF($AD$883&gt;0,PPMT('Assumptions (Solar)'!$V$8,Model!AC$1,'Assumptions (Solar)'!$V$11,'Assumptions (Solar)'!$V$6*Model!$AD$883*('Assumptions (Solar)'!$AB$18*'Assumptions (Solar)'!$AB$2+'Assumptions (Solar)'!$AB$19*'Assumptions (Solar)'!$AB$3)/10^9),0)</f>
        <v>-102.55363507190351</v>
      </c>
      <c r="AK967" s="105">
        <f>IF($AD$883&gt;0,PPMT('Assumptions (Solar)'!$V$8,Model!AD$1,'Assumptions (Solar)'!$V$11,'Assumptions (Solar)'!$V$6*Model!$AD$883*('Assumptions (Solar)'!$AB$18*'Assumptions (Solar)'!$AB$2+'Assumptions (Solar)'!$AB$19*'Assumptions (Solar)'!$AB$3)/10^9),0)</f>
        <v>-110.75792587765579</v>
      </c>
      <c r="AL967" s="105">
        <f>IF($AD$883&gt;0,PPMT('Assumptions (Solar)'!$V$8,Model!AE$1,'Assumptions (Solar)'!$V$11,'Assumptions (Solar)'!$V$6*Model!$AD$883*('Assumptions (Solar)'!$AB$18*'Assumptions (Solar)'!$AB$2+'Assumptions (Solar)'!$AB$19*'Assumptions (Solar)'!$AB$3)/10^9),0)</f>
        <v>-119.61855994786828</v>
      </c>
      <c r="AM967" s="105">
        <f>IF($AD$883&gt;0,PPMT('Assumptions (Solar)'!$V$8,Model!AF$1,'Assumptions (Solar)'!$V$11,'Assumptions (Solar)'!$V$6*Model!$AD$883*('Assumptions (Solar)'!$AB$18*'Assumptions (Solar)'!$AB$2+'Assumptions (Solar)'!$AB$19*'Assumptions (Solar)'!$AB$3)/10^9),0)</f>
        <v>-129.18804474369773</v>
      </c>
      <c r="AN967" s="105" t="e">
        <f>IF($AD$883&gt;0,PPMT('Assumptions (Solar)'!$V$8,Model!AG$1,'Assumptions (Solar)'!$V$11,'Assumptions (Solar)'!$V$6*Model!$AD$883*('Assumptions (Solar)'!$AB$18*'Assumptions (Solar)'!$AB$2+'Assumptions (Solar)'!$AB$19*'Assumptions (Solar)'!$AB$3)/10^9),0)</f>
        <v>#NUM!</v>
      </c>
      <c r="AO967" s="105" t="e">
        <f>IF($AD$883&gt;0,PPMT('Assumptions (Solar)'!$V$8,Model!AH$1,'Assumptions (Solar)'!$V$11,'Assumptions (Solar)'!$V$6*Model!$AD$883*('Assumptions (Solar)'!$AB$18*'Assumptions (Solar)'!$AB$2+'Assumptions (Solar)'!$AB$19*'Assumptions (Solar)'!$AB$3)/10^9),0)</f>
        <v>#NUM!</v>
      </c>
      <c r="AP967" s="105" t="e">
        <f>IF($AD$883&gt;0,PPMT('Assumptions (Solar)'!$V$8,Model!AI$1,'Assumptions (Solar)'!$V$11,'Assumptions (Solar)'!$V$6*Model!$AD$883*('Assumptions (Solar)'!$AB$18*'Assumptions (Solar)'!$AB$2+'Assumptions (Solar)'!$AB$19*'Assumptions (Solar)'!$AB$3)/10^9),0)</f>
        <v>#NUM!</v>
      </c>
      <c r="AQ967" s="105" t="e">
        <f>IF($AD$883&gt;0,PPMT('Assumptions (Solar)'!$V$8,Model!AJ$1,'Assumptions (Solar)'!$V$11,'Assumptions (Solar)'!$V$6*Model!$AD$883*('Assumptions (Solar)'!$AB$18*'Assumptions (Solar)'!$AB$2+'Assumptions (Solar)'!$AB$19*'Assumptions (Solar)'!$AB$3)/10^9),0)</f>
        <v>#NUM!</v>
      </c>
      <c r="AR967" s="105" t="e">
        <f>IF($AD$883&gt;0,PPMT('Assumptions (Solar)'!$V$8,Model!AK$1,'Assumptions (Solar)'!$V$11,'Assumptions (Solar)'!$V$6*Model!$AD$883*('Assumptions (Solar)'!$AB$18*'Assumptions (Solar)'!$AB$2+'Assumptions (Solar)'!$AB$19*'Assumptions (Solar)'!$AB$3)/10^9),0)</f>
        <v>#NUM!</v>
      </c>
      <c r="AS967" s="105"/>
      <c r="AT967" s="105"/>
      <c r="AU967" s="105"/>
      <c r="AV967" s="105"/>
      <c r="AW967" s="105"/>
      <c r="AX967" s="105"/>
      <c r="AY967" s="105"/>
      <c r="AZ967" s="105"/>
      <c r="BA967" s="105"/>
      <c r="BB967" s="105"/>
    </row>
    <row r="968" spans="1:63" ht="15.75" hidden="1" customHeight="1" outlineLevel="1">
      <c r="A968" s="401"/>
      <c r="B968" s="99"/>
      <c r="C968" s="99"/>
      <c r="D968" s="99"/>
      <c r="E968" s="99"/>
      <c r="F968" s="99"/>
      <c r="G968" s="99"/>
      <c r="H968" s="99"/>
      <c r="I968" s="99"/>
      <c r="J968" s="99"/>
      <c r="K968" s="99"/>
      <c r="L968" s="99"/>
      <c r="M968" s="99"/>
      <c r="N968" s="99"/>
      <c r="O968" s="99"/>
      <c r="P968" s="99"/>
      <c r="Q968" s="99"/>
      <c r="R968" s="99"/>
      <c r="S968" s="99"/>
      <c r="T968" s="99"/>
      <c r="U968" s="99"/>
      <c r="V968" s="99"/>
      <c r="W968" s="105"/>
      <c r="X968" s="105"/>
      <c r="Y968" s="105"/>
      <c r="Z968" s="105"/>
      <c r="AA968" s="105"/>
      <c r="AB968" s="105"/>
      <c r="AC968" s="105"/>
      <c r="AD968" s="105"/>
      <c r="AE968" s="105">
        <f>IF($AE$883&gt;0,PPMT('Assumptions (Solar)'!$V$8,Model!W$1,'Assumptions (Solar)'!$V$11,'Assumptions (Solar)'!$V$6*Model!$AE$883*('Assumptions (Solar)'!$AC$18*'Assumptions (Solar)'!$AC$2+'Assumptions (Solar)'!$AC$19*'Assumptions (Solar)'!$AC$3)/10^9),0)</f>
        <v>-66.202358281166767</v>
      </c>
      <c r="AF968" s="105">
        <f>IF($AE$883&gt;0,PPMT('Assumptions (Solar)'!$V$8,Model!X$1,'Assumptions (Solar)'!$V$11,'Assumptions (Solar)'!$V$6*Model!$AE$883*('Assumptions (Solar)'!$AC$18*'Assumptions (Solar)'!$AC$2+'Assumptions (Solar)'!$AC$19*'Assumptions (Solar)'!$AC$3)/10^9),0)</f>
        <v>-71.498546943660116</v>
      </c>
      <c r="AG968" s="105">
        <f>IF($AE$883&gt;0,PPMT('Assumptions (Solar)'!$V$8,Model!Y$1,'Assumptions (Solar)'!$V$11,'Assumptions (Solar)'!$V$6*Model!$AE$883*('Assumptions (Solar)'!$AC$18*'Assumptions (Solar)'!$AC$2+'Assumptions (Solar)'!$AC$19*'Assumptions (Solar)'!$AC$3)/10^9),0)</f>
        <v>-77.218430699152918</v>
      </c>
      <c r="AH968" s="105">
        <f>IF($AE$883&gt;0,PPMT('Assumptions (Solar)'!$V$8,Model!Z$1,'Assumptions (Solar)'!$V$11,'Assumptions (Solar)'!$V$6*Model!$AE$883*('Assumptions (Solar)'!$AC$18*'Assumptions (Solar)'!$AC$2+'Assumptions (Solar)'!$AC$19*'Assumptions (Solar)'!$AC$3)/10^9),0)</f>
        <v>-83.395905155085174</v>
      </c>
      <c r="AI968" s="105">
        <f>IF($AE$883&gt;0,PPMT('Assumptions (Solar)'!$V$8,Model!AA$1,'Assumptions (Solar)'!$V$11,'Assumptions (Solar)'!$V$6*Model!$AE$883*('Assumptions (Solar)'!$AC$18*'Assumptions (Solar)'!$AC$2+'Assumptions (Solar)'!$AC$19*'Assumptions (Solar)'!$AC$3)/10^9),0)</f>
        <v>-90.067577567491995</v>
      </c>
      <c r="AJ968" s="105">
        <f>IF($AE$883&gt;0,PPMT('Assumptions (Solar)'!$V$8,Model!AB$1,'Assumptions (Solar)'!$V$11,'Assumptions (Solar)'!$V$6*Model!$AE$883*('Assumptions (Solar)'!$AC$18*'Assumptions (Solar)'!$AC$2+'Assumptions (Solar)'!$AC$19*'Assumptions (Solar)'!$AC$3)/10^9),0)</f>
        <v>-97.272983772891337</v>
      </c>
      <c r="AK968" s="105">
        <f>IF($AE$883&gt;0,PPMT('Assumptions (Solar)'!$V$8,Model!AC$1,'Assumptions (Solar)'!$V$11,'Assumptions (Solar)'!$V$6*Model!$AE$883*('Assumptions (Solar)'!$AC$18*'Assumptions (Solar)'!$AC$2+'Assumptions (Solar)'!$AC$19*'Assumptions (Solar)'!$AC$3)/10^9),0)</f>
        <v>-105.05482247472264</v>
      </c>
      <c r="AL968" s="105">
        <f>IF($AE$883&gt;0,PPMT('Assumptions (Solar)'!$V$8,Model!AD$1,'Assumptions (Solar)'!$V$11,'Assumptions (Solar)'!$V$6*Model!$AE$883*('Assumptions (Solar)'!$AC$18*'Assumptions (Solar)'!$AC$2+'Assumptions (Solar)'!$AC$19*'Assumptions (Solar)'!$AC$3)/10^9),0)</f>
        <v>-113.45920827270045</v>
      </c>
      <c r="AM968" s="105">
        <f>IF($AE$883&gt;0,PPMT('Assumptions (Solar)'!$V$8,Model!AE$1,'Assumptions (Solar)'!$V$11,'Assumptions (Solar)'!$V$6*Model!$AE$883*('Assumptions (Solar)'!$AC$18*'Assumptions (Solar)'!$AC$2+'Assumptions (Solar)'!$AC$19*'Assumptions (Solar)'!$AC$3)/10^9),0)</f>
        <v>-122.53594493451648</v>
      </c>
      <c r="AN968" s="105">
        <f>IF($AE$883&gt;0,PPMT('Assumptions (Solar)'!$V$8,Model!AF$1,'Assumptions (Solar)'!$V$11,'Assumptions (Solar)'!$V$6*Model!$AE$883*('Assumptions (Solar)'!$AC$18*'Assumptions (Solar)'!$AC$2+'Assumptions (Solar)'!$AC$19*'Assumptions (Solar)'!$AC$3)/10^9),0)</f>
        <v>-132.3388205292778</v>
      </c>
      <c r="AO968" s="105" t="e">
        <f>IF($AE$883&gt;0,PPMT('Assumptions (Solar)'!$V$8,Model!AG$1,'Assumptions (Solar)'!$V$11,'Assumptions (Solar)'!$V$6*Model!$AE$883*('Assumptions (Solar)'!$AC$18*'Assumptions (Solar)'!$AC$2+'Assumptions (Solar)'!$AC$19*'Assumptions (Solar)'!$AC$3)/10^9),0)</f>
        <v>#NUM!</v>
      </c>
      <c r="AP968" s="105" t="e">
        <f>IF($AE$883&gt;0,PPMT('Assumptions (Solar)'!$V$8,Model!AH$1,'Assumptions (Solar)'!$V$11,'Assumptions (Solar)'!$V$6*Model!$AE$883*('Assumptions (Solar)'!$AC$18*'Assumptions (Solar)'!$AC$2+'Assumptions (Solar)'!$AC$19*'Assumptions (Solar)'!$AC$3)/10^9),0)</f>
        <v>#NUM!</v>
      </c>
      <c r="AQ968" s="105" t="e">
        <f>IF($AE$883&gt;0,PPMT('Assumptions (Solar)'!$V$8,Model!AI$1,'Assumptions (Solar)'!$V$11,'Assumptions (Solar)'!$V$6*Model!$AE$883*('Assumptions (Solar)'!$AC$18*'Assumptions (Solar)'!$AC$2+'Assumptions (Solar)'!$AC$19*'Assumptions (Solar)'!$AC$3)/10^9),0)</f>
        <v>#NUM!</v>
      </c>
      <c r="AR968" s="105" t="e">
        <f>IF($AE$883&gt;0,PPMT('Assumptions (Solar)'!$V$8,Model!AJ$1,'Assumptions (Solar)'!$V$11,'Assumptions (Solar)'!$V$6*Model!$AE$883*('Assumptions (Solar)'!$AC$18*'Assumptions (Solar)'!$AC$2+'Assumptions (Solar)'!$AC$19*'Assumptions (Solar)'!$AC$3)/10^9),0)</f>
        <v>#NUM!</v>
      </c>
      <c r="AS968" s="105" t="e">
        <f>IF($AE$883&gt;0,PPMT('Assumptions (Solar)'!$V$8,Model!AK$1,'Assumptions (Solar)'!$V$11,'Assumptions (Solar)'!$V$6*Model!$AE$883*('Assumptions (Solar)'!$AC$18*'Assumptions (Solar)'!$AC$2+'Assumptions (Solar)'!$AC$19*'Assumptions (Solar)'!$AC$3)/10^9),0)</f>
        <v>#NUM!</v>
      </c>
      <c r="AT968" s="105"/>
      <c r="AU968" s="105"/>
      <c r="AV968" s="105"/>
      <c r="AW968" s="105"/>
      <c r="AX968" s="105"/>
      <c r="AY968" s="105"/>
      <c r="AZ968" s="105"/>
      <c r="BA968" s="105"/>
      <c r="BB968" s="105"/>
      <c r="BC968" s="105"/>
    </row>
    <row r="969" spans="1:63" ht="15.75" hidden="1" customHeight="1" outlineLevel="1">
      <c r="A969" s="401"/>
      <c r="B969" s="99"/>
      <c r="C969" s="99"/>
      <c r="D969" s="99"/>
      <c r="E969" s="99"/>
      <c r="F969" s="99"/>
      <c r="G969" s="99"/>
      <c r="H969" s="99"/>
      <c r="I969" s="99"/>
      <c r="J969" s="99"/>
      <c r="K969" s="99"/>
      <c r="L969" s="99"/>
      <c r="M969" s="99"/>
      <c r="N969" s="99"/>
      <c r="O969" s="99"/>
      <c r="P969" s="99"/>
      <c r="Q969" s="99"/>
      <c r="R969" s="99"/>
      <c r="S969" s="99"/>
      <c r="T969" s="99"/>
      <c r="U969" s="99"/>
      <c r="V969" s="99"/>
      <c r="W969" s="105"/>
      <c r="X969" s="105"/>
      <c r="Y969" s="105"/>
      <c r="Z969" s="105"/>
      <c r="AA969" s="105"/>
      <c r="AB969" s="105"/>
      <c r="AC969" s="105"/>
      <c r="AD969" s="105"/>
      <c r="AE969" s="105"/>
      <c r="AF969" s="105">
        <f>IF($AF$883&gt;0,PPMT('Assumptions (Solar)'!$V$8,Model!W$1,'Assumptions (Solar)'!$V$11,'Assumptions (Solar)'!$V$6*Model!$AF$883*('Assumptions (Solar)'!$AD$18*'Assumptions (Solar)'!$AD$2+'Assumptions (Solar)'!$AD$19*'Assumptions (Solar)'!$AD$3)/10^9),0)</f>
        <v>-67.85346257285839</v>
      </c>
      <c r="AG969" s="105">
        <f>IF($AF$883&gt;0,PPMT('Assumptions (Solar)'!$V$8,Model!X$1,'Assumptions (Solar)'!$V$11,'Assumptions (Solar)'!$V$6*Model!$AF$883*('Assumptions (Solar)'!$AD$18*'Assumptions (Solar)'!$AD$2+'Assumptions (Solar)'!$AD$19*'Assumptions (Solar)'!$AD$3)/10^9),0)</f>
        <v>-73.28173957868708</v>
      </c>
      <c r="AH969" s="105">
        <f>IF($AF$883&gt;0,PPMT('Assumptions (Solar)'!$V$8,Model!Y$1,'Assumptions (Solar)'!$V$11,'Assumptions (Solar)'!$V$6*Model!$AF$883*('Assumptions (Solar)'!$AD$18*'Assumptions (Solar)'!$AD$2+'Assumptions (Solar)'!$AD$19*'Assumptions (Solar)'!$AD$3)/10^9),0)</f>
        <v>-79.144278744982032</v>
      </c>
      <c r="AI969" s="105">
        <f>IF($AF$883&gt;0,PPMT('Assumptions (Solar)'!$V$8,Model!Z$1,'Assumptions (Solar)'!$V$11,'Assumptions (Solar)'!$V$6*Model!$AF$883*('Assumptions (Solar)'!$AD$18*'Assumptions (Solar)'!$AD$2+'Assumptions (Solar)'!$AD$19*'Assumptions (Solar)'!$AD$3)/10^9),0)</f>
        <v>-85.475821044580584</v>
      </c>
      <c r="AJ969" s="105">
        <f>IF($AF$883&gt;0,PPMT('Assumptions (Solar)'!$V$8,Model!AA$1,'Assumptions (Solar)'!$V$11,'Assumptions (Solar)'!$V$6*Model!$AF$883*('Assumptions (Solar)'!$AD$18*'Assumptions (Solar)'!$AD$2+'Assumptions (Solar)'!$AD$19*'Assumptions (Solar)'!$AD$3)/10^9),0)</f>
        <v>-92.31388672814704</v>
      </c>
      <c r="AK969" s="105">
        <f>IF($AF$883&gt;0,PPMT('Assumptions (Solar)'!$V$8,Model!AB$1,'Assumptions (Solar)'!$V$11,'Assumptions (Solar)'!$V$6*Model!$AF$883*('Assumptions (Solar)'!$AD$18*'Assumptions (Solar)'!$AD$2+'Assumptions (Solar)'!$AD$19*'Assumptions (Solar)'!$AD$3)/10^9),0)</f>
        <v>-99.69899766639881</v>
      </c>
      <c r="AL969" s="105">
        <f>IF($AF$883&gt;0,PPMT('Assumptions (Solar)'!$V$8,Model!AC$1,'Assumptions (Solar)'!$V$11,'Assumptions (Solar)'!$V$6*Model!$AF$883*('Assumptions (Solar)'!$AD$18*'Assumptions (Solar)'!$AD$2+'Assumptions (Solar)'!$AD$19*'Assumptions (Solar)'!$AD$3)/10^9),0)</f>
        <v>-107.67491747971071</v>
      </c>
      <c r="AM969" s="105">
        <f>IF($AF$883&gt;0,PPMT('Assumptions (Solar)'!$V$8,Model!AD$1,'Assumptions (Solar)'!$V$11,'Assumptions (Solar)'!$V$6*Model!$AF$883*('Assumptions (Solar)'!$AD$18*'Assumptions (Solar)'!$AD$2+'Assumptions (Solar)'!$AD$19*'Assumptions (Solar)'!$AD$3)/10^9),0)</f>
        <v>-116.28891087808758</v>
      </c>
      <c r="AN969" s="105">
        <f>IF($AF$883&gt;0,PPMT('Assumptions (Solar)'!$V$8,Model!AE$1,'Assumptions (Solar)'!$V$11,'Assumptions (Solar)'!$V$6*Model!$AF$883*('Assumptions (Solar)'!$AD$18*'Assumptions (Solar)'!$AD$2+'Assumptions (Solar)'!$AD$19*'Assumptions (Solar)'!$AD$3)/10^9),0)</f>
        <v>-125.59202374833457</v>
      </c>
      <c r="AO969" s="105">
        <f>IF($AF$883&gt;0,PPMT('Assumptions (Solar)'!$V$8,Model!AF$1,'Assumptions (Solar)'!$V$11,'Assumptions (Solar)'!$V$6*Model!$AF$883*('Assumptions (Solar)'!$AD$18*'Assumptions (Solar)'!$AD$2+'Assumptions (Solar)'!$AD$19*'Assumptions (Solar)'!$AD$3)/10^9),0)</f>
        <v>-135.63938564820134</v>
      </c>
      <c r="AP969" s="105" t="e">
        <f>IF($AF$883&gt;0,PPMT('Assumptions (Solar)'!$V$8,Model!AG$1,'Assumptions (Solar)'!$V$11,'Assumptions (Solar)'!$V$6*Model!$AF$883*('Assumptions (Solar)'!$AD$18*'Assumptions (Solar)'!$AD$2+'Assumptions (Solar)'!$AD$19*'Assumptions (Solar)'!$AD$3)/10^9),0)</f>
        <v>#NUM!</v>
      </c>
      <c r="AQ969" s="105" t="e">
        <f>IF($AF$883&gt;0,PPMT('Assumptions (Solar)'!$V$8,Model!AH$1,'Assumptions (Solar)'!$V$11,'Assumptions (Solar)'!$V$6*Model!$AF$883*('Assumptions (Solar)'!$AD$18*'Assumptions (Solar)'!$AD$2+'Assumptions (Solar)'!$AD$19*'Assumptions (Solar)'!$AD$3)/10^9),0)</f>
        <v>#NUM!</v>
      </c>
      <c r="AR969" s="105" t="e">
        <f>IF($AF$883&gt;0,PPMT('Assumptions (Solar)'!$V$8,Model!AI$1,'Assumptions (Solar)'!$V$11,'Assumptions (Solar)'!$V$6*Model!$AF$883*('Assumptions (Solar)'!$AD$18*'Assumptions (Solar)'!$AD$2+'Assumptions (Solar)'!$AD$19*'Assumptions (Solar)'!$AD$3)/10^9),0)</f>
        <v>#NUM!</v>
      </c>
      <c r="AS969" s="105" t="e">
        <f>IF($AF$883&gt;0,PPMT('Assumptions (Solar)'!$V$8,Model!AJ$1,'Assumptions (Solar)'!$V$11,'Assumptions (Solar)'!$V$6*Model!$AF$883*('Assumptions (Solar)'!$AD$18*'Assumptions (Solar)'!$AD$2+'Assumptions (Solar)'!$AD$19*'Assumptions (Solar)'!$AD$3)/10^9),0)</f>
        <v>#NUM!</v>
      </c>
      <c r="AT969" s="105" t="e">
        <f>IF($AF$883&gt;0,PPMT('Assumptions (Solar)'!$V$8,Model!AK$1,'Assumptions (Solar)'!$V$11,'Assumptions (Solar)'!$V$6*Model!$AF$883*('Assumptions (Solar)'!$AD$18*'Assumptions (Solar)'!$AD$2+'Assumptions (Solar)'!$AD$19*'Assumptions (Solar)'!$AD$3)/10^9),0)</f>
        <v>#NUM!</v>
      </c>
      <c r="AU969" s="105"/>
      <c r="AV969" s="105"/>
      <c r="AW969" s="105"/>
      <c r="AX969" s="105"/>
      <c r="AY969" s="105"/>
      <c r="AZ969" s="105"/>
      <c r="BA969" s="105"/>
      <c r="BB969" s="105"/>
      <c r="BC969" s="105"/>
      <c r="BD969" s="105"/>
    </row>
    <row r="970" spans="1:63" ht="15.75" hidden="1" customHeight="1" outlineLevel="1">
      <c r="A970" s="401"/>
      <c r="B970" s="99"/>
      <c r="C970" s="99"/>
      <c r="D970" s="99"/>
      <c r="E970" s="99"/>
      <c r="F970" s="99"/>
      <c r="G970" s="99"/>
      <c r="H970" s="99"/>
      <c r="I970" s="99"/>
      <c r="J970" s="99"/>
      <c r="K970" s="99"/>
      <c r="L970" s="99"/>
      <c r="M970" s="99"/>
      <c r="N970" s="99"/>
      <c r="O970" s="99"/>
      <c r="P970" s="99"/>
      <c r="Q970" s="99"/>
      <c r="R970" s="99"/>
      <c r="S970" s="99"/>
      <c r="T970" s="99"/>
      <c r="U970" s="99"/>
      <c r="V970" s="99"/>
      <c r="W970" s="105"/>
      <c r="X970" s="105"/>
      <c r="Y970" s="105"/>
      <c r="Z970" s="105"/>
      <c r="AA970" s="105"/>
      <c r="AB970" s="105"/>
      <c r="AC970" s="105"/>
      <c r="AD970" s="105"/>
      <c r="AE970" s="105"/>
      <c r="AF970" s="105"/>
      <c r="AG970" s="105">
        <f>IF($AG$883&gt;0,PPMT('Assumptions (Solar)'!$V$8,Model!W$1,'Assumptions (Solar)'!$V$11,'Assumptions (Solar)'!$V$6*Model!$AG$883*('Assumptions (Solar)'!$AE$18*'Assumptions (Solar)'!$AE$2+'Assumptions (Solar)'!$AE$19*'Assumptions (Solar)'!$AE$3)/10^9),0)</f>
        <v>-69.439216032310185</v>
      </c>
      <c r="AH970" s="105">
        <f>IF($AG$883&gt;0,PPMT('Assumptions (Solar)'!$V$8,Model!X$1,'Assumptions (Solar)'!$V$11,'Assumptions (Solar)'!$V$6*Model!$AG$883*('Assumptions (Solar)'!$AE$18*'Assumptions (Solar)'!$AE$2+'Assumptions (Solar)'!$AE$19*'Assumptions (Solar)'!$AE$3)/10^9),0)</f>
        <v>-74.994353314895008</v>
      </c>
      <c r="AI970" s="105">
        <f>IF($AG$883&gt;0,PPMT('Assumptions (Solar)'!$V$8,Model!Y$1,'Assumptions (Solar)'!$V$11,'Assumptions (Solar)'!$V$6*Model!$AG$883*('Assumptions (Solar)'!$AE$18*'Assumptions (Solar)'!$AE$2+'Assumptions (Solar)'!$AE$19*'Assumptions (Solar)'!$AE$3)/10^9),0)</f>
        <v>-80.9939015800866</v>
      </c>
      <c r="AJ970" s="105">
        <f>IF($AG$883&gt;0,PPMT('Assumptions (Solar)'!$V$8,Model!Z$1,'Assumptions (Solar)'!$V$11,'Assumptions (Solar)'!$V$6*Model!$AG$883*('Assumptions (Solar)'!$AE$18*'Assumptions (Solar)'!$AE$2+'Assumptions (Solar)'!$AE$19*'Assumptions (Solar)'!$AE$3)/10^9),0)</f>
        <v>-87.473413706493545</v>
      </c>
      <c r="AK970" s="105">
        <f>IF($AG$883&gt;0,PPMT('Assumptions (Solar)'!$V$8,Model!AA$1,'Assumptions (Solar)'!$V$11,'Assumptions (Solar)'!$V$6*Model!$AG$883*('Assumptions (Solar)'!$AE$18*'Assumptions (Solar)'!$AE$2+'Assumptions (Solar)'!$AE$19*'Assumptions (Solar)'!$AE$3)/10^9),0)</f>
        <v>-94.471286803013029</v>
      </c>
      <c r="AL970" s="105">
        <f>IF($AG$883&gt;0,PPMT('Assumptions (Solar)'!$V$8,Model!AB$1,'Assumptions (Solar)'!$V$11,'Assumptions (Solar)'!$V$6*Model!$AG$883*('Assumptions (Solar)'!$AE$18*'Assumptions (Solar)'!$AE$2+'Assumptions (Solar)'!$AE$19*'Assumptions (Solar)'!$AE$3)/10^9),0)</f>
        <v>-102.02898974725406</v>
      </c>
      <c r="AM970" s="105">
        <f>IF($AG$883&gt;0,PPMT('Assumptions (Solar)'!$V$8,Model!AC$1,'Assumptions (Solar)'!$V$11,'Assumptions (Solar)'!$V$6*Model!$AG$883*('Assumptions (Solar)'!$AE$18*'Assumptions (Solar)'!$AE$2+'Assumptions (Solar)'!$AE$19*'Assumptions (Solar)'!$AE$3)/10^9),0)</f>
        <v>-110.19130892703437</v>
      </c>
      <c r="AN970" s="105">
        <f>IF($AG$883&gt;0,PPMT('Assumptions (Solar)'!$V$8,Model!AD$1,'Assumptions (Solar)'!$V$11,'Assumptions (Solar)'!$V$6*Model!$AG$883*('Assumptions (Solar)'!$AE$18*'Assumptions (Solar)'!$AE$2+'Assumptions (Solar)'!$AE$19*'Assumptions (Solar)'!$AE$3)/10^9),0)</f>
        <v>-119.00661364119713</v>
      </c>
      <c r="AO970" s="105">
        <f>IF($AG$883&gt;0,PPMT('Assumptions (Solar)'!$V$8,Model!AE$1,'Assumptions (Solar)'!$V$11,'Assumptions (Solar)'!$V$6*Model!$AG$883*('Assumptions (Solar)'!$AE$18*'Assumptions (Solar)'!$AE$2+'Assumptions (Solar)'!$AE$19*'Assumptions (Solar)'!$AE$3)/10^9),0)</f>
        <v>-128.5271427324929</v>
      </c>
      <c r="AP970" s="105">
        <f>IF($AG$883&gt;0,PPMT('Assumptions (Solar)'!$V$8,Model!AF$1,'Assumptions (Solar)'!$V$11,'Assumptions (Solar)'!$V$6*Model!$AG$883*('Assumptions (Solar)'!$AE$18*'Assumptions (Solar)'!$AE$2+'Assumptions (Solar)'!$AE$19*'Assumptions (Solar)'!$AE$3)/10^9),0)</f>
        <v>-138.80931415109234</v>
      </c>
      <c r="AQ970" s="105" t="e">
        <f>IF($AG$883&gt;0,PPMT('Assumptions (Solar)'!$V$8,Model!AG$1,'Assumptions (Solar)'!$V$11,'Assumptions (Solar)'!$V$6*Model!$AG$883*('Assumptions (Solar)'!$AE$18*'Assumptions (Solar)'!$AE$2+'Assumptions (Solar)'!$AE$19*'Assumptions (Solar)'!$AE$3)/10^9),0)</f>
        <v>#NUM!</v>
      </c>
      <c r="AR970" s="105" t="e">
        <f>IF($AG$883&gt;0,PPMT('Assumptions (Solar)'!$V$8,Model!AH$1,'Assumptions (Solar)'!$V$11,'Assumptions (Solar)'!$V$6*Model!$AG$883*('Assumptions (Solar)'!$AE$18*'Assumptions (Solar)'!$AE$2+'Assumptions (Solar)'!$AE$19*'Assumptions (Solar)'!$AE$3)/10^9),0)</f>
        <v>#NUM!</v>
      </c>
      <c r="AS970" s="105" t="e">
        <f>IF($AG$883&gt;0,PPMT('Assumptions (Solar)'!$V$8,Model!AI$1,'Assumptions (Solar)'!$V$11,'Assumptions (Solar)'!$V$6*Model!$AG$883*('Assumptions (Solar)'!$AE$18*'Assumptions (Solar)'!$AE$2+'Assumptions (Solar)'!$AE$19*'Assumptions (Solar)'!$AE$3)/10^9),0)</f>
        <v>#NUM!</v>
      </c>
      <c r="AT970" s="105" t="e">
        <f>IF($AG$883&gt;0,PPMT('Assumptions (Solar)'!$V$8,Model!AJ$1,'Assumptions (Solar)'!$V$11,'Assumptions (Solar)'!$V$6*Model!$AG$883*('Assumptions (Solar)'!$AE$18*'Assumptions (Solar)'!$AE$2+'Assumptions (Solar)'!$AE$19*'Assumptions (Solar)'!$AE$3)/10^9),0)</f>
        <v>#NUM!</v>
      </c>
      <c r="AU970" s="105" t="e">
        <f>IF($AG$883&gt;0,PPMT('Assumptions (Solar)'!$V$8,Model!AK$1,'Assumptions (Solar)'!$V$11,'Assumptions (Solar)'!$V$6*Model!$AG$883*('Assumptions (Solar)'!$AE$18*'Assumptions (Solar)'!$AE$2+'Assumptions (Solar)'!$AE$19*'Assumptions (Solar)'!$AE$3)/10^9),0)</f>
        <v>#NUM!</v>
      </c>
      <c r="AV970" s="105"/>
      <c r="AW970" s="105"/>
      <c r="AX970" s="105"/>
      <c r="AY970" s="105"/>
      <c r="AZ970" s="105"/>
      <c r="BA970" s="105"/>
      <c r="BB970" s="105"/>
      <c r="BC970" s="105"/>
      <c r="BD970" s="105"/>
      <c r="BE970" s="105"/>
    </row>
    <row r="971" spans="1:63" ht="15.75" hidden="1" customHeight="1" outlineLevel="1">
      <c r="A971" s="401"/>
      <c r="B971" s="99"/>
      <c r="C971" s="99"/>
      <c r="D971" s="99"/>
      <c r="E971" s="99"/>
      <c r="F971" s="99"/>
      <c r="G971" s="99"/>
      <c r="H971" s="99"/>
      <c r="I971" s="99"/>
      <c r="J971" s="99"/>
      <c r="K971" s="99"/>
      <c r="L971" s="99"/>
      <c r="M971" s="99"/>
      <c r="N971" s="99"/>
      <c r="O971" s="99"/>
      <c r="P971" s="99"/>
      <c r="Q971" s="99"/>
      <c r="R971" s="99"/>
      <c r="S971" s="99"/>
      <c r="T971" s="99"/>
      <c r="U971" s="99"/>
      <c r="V971" s="99"/>
      <c r="W971" s="105"/>
      <c r="X971" s="105"/>
      <c r="Y971" s="105"/>
      <c r="Z971" s="105"/>
      <c r="AA971" s="105"/>
      <c r="AB971" s="105"/>
      <c r="AC971" s="105"/>
      <c r="AD971" s="105"/>
      <c r="AE971" s="105"/>
      <c r="AF971" s="105"/>
      <c r="AG971" s="105"/>
      <c r="AH971" s="105">
        <f>IF($AH$883&gt;0,PPMT('Assumptions (Solar)'!$V$8,Model!W$1,'Assumptions (Solar)'!$V$11,'Assumptions (Solar)'!$V$6*Model!$AH$883*('Assumptions (Solar)'!$AF$18*'Assumptions (Solar)'!$AF$2+'Assumptions (Solar)'!$AF$19*'Assumptions (Solar)'!$AF$3)/10^9),0)</f>
        <v>-70.74358311056848</v>
      </c>
      <c r="AI971" s="105">
        <f>IF($AH$883&gt;0,PPMT('Assumptions (Solar)'!$V$8,Model!X$1,'Assumptions (Solar)'!$V$11,'Assumptions (Solar)'!$V$6*Model!$AH$883*('Assumptions (Solar)'!$AF$18*'Assumptions (Solar)'!$AF$2+'Assumptions (Solar)'!$AF$19*'Assumptions (Solar)'!$AF$3)/10^9),0)</f>
        <v>-76.403069759413967</v>
      </c>
      <c r="AJ971" s="105">
        <f>IF($AH$883&gt;0,PPMT('Assumptions (Solar)'!$V$8,Model!Y$1,'Assumptions (Solar)'!$V$11,'Assumptions (Solar)'!$V$6*Model!$AH$883*('Assumptions (Solar)'!$AF$18*'Assumptions (Solar)'!$AF$2+'Assumptions (Solar)'!$AF$19*'Assumptions (Solar)'!$AF$3)/10^9),0)</f>
        <v>-82.515315340167078</v>
      </c>
      <c r="AK971" s="105">
        <f>IF($AH$883&gt;0,PPMT('Assumptions (Solar)'!$V$8,Model!Z$1,'Assumptions (Solar)'!$V$11,'Assumptions (Solar)'!$V$6*Model!$AH$883*('Assumptions (Solar)'!$AF$18*'Assumptions (Solar)'!$AF$2+'Assumptions (Solar)'!$AF$19*'Assumptions (Solar)'!$AF$3)/10^9),0)</f>
        <v>-89.116540567380454</v>
      </c>
      <c r="AL971" s="105">
        <f>IF($AH$883&gt;0,PPMT('Assumptions (Solar)'!$V$8,Model!AA$1,'Assumptions (Solar)'!$V$11,'Assumptions (Solar)'!$V$6*Model!$AH$883*('Assumptions (Solar)'!$AF$18*'Assumptions (Solar)'!$AF$2+'Assumptions (Solar)'!$AF$19*'Assumptions (Solar)'!$AF$3)/10^9),0)</f>
        <v>-96.245863812770892</v>
      </c>
      <c r="AM971" s="105">
        <f>IF($AH$883&gt;0,PPMT('Assumptions (Solar)'!$V$8,Model!AB$1,'Assumptions (Solar)'!$V$11,'Assumptions (Solar)'!$V$6*Model!$AH$883*('Assumptions (Solar)'!$AF$18*'Assumptions (Solar)'!$AF$2+'Assumptions (Solar)'!$AF$19*'Assumptions (Solar)'!$AF$3)/10^9),0)</f>
        <v>-103.94553291779255</v>
      </c>
      <c r="AN971" s="105">
        <f>IF($AH$883&gt;0,PPMT('Assumptions (Solar)'!$V$8,Model!AC$1,'Assumptions (Solar)'!$V$11,'Assumptions (Solar)'!$V$6*Model!$AH$883*('Assumptions (Solar)'!$AF$18*'Assumptions (Solar)'!$AF$2+'Assumptions (Solar)'!$AF$19*'Assumptions (Solar)'!$AF$3)/10^9),0)</f>
        <v>-112.26117555121596</v>
      </c>
      <c r="AO971" s="105">
        <f>IF($AH$883&gt;0,PPMT('Assumptions (Solar)'!$V$8,Model!AD$1,'Assumptions (Solar)'!$V$11,'Assumptions (Solar)'!$V$6*Model!$AH$883*('Assumptions (Solar)'!$AF$18*'Assumptions (Solar)'!$AF$2+'Assumptions (Solar)'!$AF$19*'Assumptions (Solar)'!$AF$3)/10^9),0)</f>
        <v>-121.24206959531324</v>
      </c>
      <c r="AP971" s="105">
        <f>IF($AH$883&gt;0,PPMT('Assumptions (Solar)'!$V$8,Model!AE$1,'Assumptions (Solar)'!$V$11,'Assumptions (Solar)'!$V$6*Model!$AH$883*('Assumptions (Solar)'!$AF$18*'Assumptions (Solar)'!$AF$2+'Assumptions (Solar)'!$AF$19*'Assumptions (Solar)'!$AF$3)/10^9),0)</f>
        <v>-130.94143516293829</v>
      </c>
      <c r="AQ971" s="105">
        <f>IF($AH$883&gt;0,PPMT('Assumptions (Solar)'!$V$8,Model!AF$1,'Assumptions (Solar)'!$V$11,'Assumptions (Solar)'!$V$6*Model!$AH$883*('Assumptions (Solar)'!$AF$18*'Assumptions (Solar)'!$AF$2+'Assumptions (Solar)'!$AF$19*'Assumptions (Solar)'!$AF$3)/10^9),0)</f>
        <v>-141.41674997597337</v>
      </c>
      <c r="AR971" s="105" t="e">
        <f>IF($AH$883&gt;0,PPMT('Assumptions (Solar)'!$V$8,Model!AG$1,'Assumptions (Solar)'!$V$11,'Assumptions (Solar)'!$V$6*Model!$AH$883*('Assumptions (Solar)'!$AF$18*'Assumptions (Solar)'!$AF$2+'Assumptions (Solar)'!$AF$19*'Assumptions (Solar)'!$AF$3)/10^9),0)</f>
        <v>#NUM!</v>
      </c>
      <c r="AS971" s="105" t="e">
        <f>IF($AH$883&gt;0,PPMT('Assumptions (Solar)'!$V$8,Model!AH$1,'Assumptions (Solar)'!$V$11,'Assumptions (Solar)'!$V$6*Model!$AH$883*('Assumptions (Solar)'!$AF$18*'Assumptions (Solar)'!$AF$2+'Assumptions (Solar)'!$AF$19*'Assumptions (Solar)'!$AF$3)/10^9),0)</f>
        <v>#NUM!</v>
      </c>
      <c r="AT971" s="105" t="e">
        <f>IF($AH$883&gt;0,PPMT('Assumptions (Solar)'!$V$8,Model!AI$1,'Assumptions (Solar)'!$V$11,'Assumptions (Solar)'!$V$6*Model!$AH$883*('Assumptions (Solar)'!$AF$18*'Assumptions (Solar)'!$AF$2+'Assumptions (Solar)'!$AF$19*'Assumptions (Solar)'!$AF$3)/10^9),0)</f>
        <v>#NUM!</v>
      </c>
      <c r="AU971" s="105" t="e">
        <f>IF($AH$883&gt;0,PPMT('Assumptions (Solar)'!$V$8,Model!AJ$1,'Assumptions (Solar)'!$V$11,'Assumptions (Solar)'!$V$6*Model!$AH$883*('Assumptions (Solar)'!$AF$18*'Assumptions (Solar)'!$AF$2+'Assumptions (Solar)'!$AF$19*'Assumptions (Solar)'!$AF$3)/10^9),0)</f>
        <v>#NUM!</v>
      </c>
      <c r="AV971" s="105" t="e">
        <f>IF($AH$883&gt;0,PPMT('Assumptions (Solar)'!$V$8,Model!AK$1,'Assumptions (Solar)'!$V$11,'Assumptions (Solar)'!$V$6*Model!$AH$883*('Assumptions (Solar)'!$AF$18*'Assumptions (Solar)'!$AF$2+'Assumptions (Solar)'!$AF$19*'Assumptions (Solar)'!$AF$3)/10^9),0)</f>
        <v>#NUM!</v>
      </c>
      <c r="AW971" s="105"/>
      <c r="AX971" s="105"/>
      <c r="AY971" s="105"/>
      <c r="AZ971" s="105"/>
      <c r="BA971" s="105"/>
      <c r="BB971" s="105"/>
      <c r="BC971" s="105"/>
      <c r="BD971" s="105"/>
      <c r="BE971" s="105"/>
      <c r="BF971" s="105"/>
    </row>
    <row r="972" spans="1:63" ht="15.75" hidden="1" customHeight="1" outlineLevel="1">
      <c r="A972" s="401"/>
      <c r="B972" s="99"/>
      <c r="C972" s="99"/>
      <c r="D972" s="99"/>
      <c r="E972" s="99"/>
      <c r="F972" s="99"/>
      <c r="G972" s="99"/>
      <c r="H972" s="99"/>
      <c r="I972" s="99"/>
      <c r="J972" s="99"/>
      <c r="K972" s="99"/>
      <c r="L972" s="99"/>
      <c r="M972" s="99"/>
      <c r="N972" s="99"/>
      <c r="O972" s="99"/>
      <c r="P972" s="99"/>
      <c r="Q972" s="99"/>
      <c r="R972" s="99"/>
      <c r="S972" s="99"/>
      <c r="T972" s="99"/>
      <c r="U972" s="99"/>
      <c r="V972" s="99"/>
      <c r="W972" s="105"/>
      <c r="X972" s="105"/>
      <c r="Y972" s="105"/>
      <c r="Z972" s="105"/>
      <c r="AA972" s="105"/>
      <c r="AB972" s="105"/>
      <c r="AC972" s="105"/>
      <c r="AD972" s="105"/>
      <c r="AE972" s="105"/>
      <c r="AF972" s="105"/>
      <c r="AG972" s="105"/>
      <c r="AH972" s="105"/>
      <c r="AI972" s="105">
        <f>IF($AI$883&gt;0,PPMT('Assumptions (Solar)'!$V$8,Model!W$1,'Assumptions (Solar)'!$V$11,'Assumptions (Solar)'!$V$6*Model!$AI$883*('Assumptions (Solar)'!$AG$18*'Assumptions (Solar)'!$AG$2+'Assumptions (Solar)'!$AG$19*'Assumptions (Solar)'!$AG$3)/10^9),0)</f>
        <v>-72.038665335060699</v>
      </c>
      <c r="AJ972" s="105">
        <f>IF($AI$883&gt;0,PPMT('Assumptions (Solar)'!$V$8,Model!X$1,'Assumptions (Solar)'!$V$11,'Assumptions (Solar)'!$V$6*Model!$AI$883*('Assumptions (Solar)'!$AG$18*'Assumptions (Solar)'!$AG$2+'Assumptions (Solar)'!$AG$19*'Assumptions (Solar)'!$AG$3)/10^9),0)</f>
        <v>-77.801758561865569</v>
      </c>
      <c r="AK972" s="105">
        <f>IF($AI$883&gt;0,PPMT('Assumptions (Solar)'!$V$8,Model!Y$1,'Assumptions (Solar)'!$V$11,'Assumptions (Solar)'!$V$6*Model!$AI$883*('Assumptions (Solar)'!$AG$18*'Assumptions (Solar)'!$AG$2+'Assumptions (Solar)'!$AG$19*'Assumptions (Solar)'!$AG$3)/10^9),0)</f>
        <v>-84.025899246814802</v>
      </c>
      <c r="AL972" s="105">
        <f>IF($AI$883&gt;0,PPMT('Assumptions (Solar)'!$V$8,Model!Z$1,'Assumptions (Solar)'!$V$11,'Assumptions (Solar)'!$V$6*Model!$AI$883*('Assumptions (Solar)'!$AG$18*'Assumptions (Solar)'!$AG$2+'Assumptions (Solar)'!$AG$19*'Assumptions (Solar)'!$AG$3)/10^9),0)</f>
        <v>-90.747971186559994</v>
      </c>
      <c r="AM972" s="105">
        <f>IF($AI$883&gt;0,PPMT('Assumptions (Solar)'!$V$8,Model!AA$1,'Assumptions (Solar)'!$V$11,'Assumptions (Solar)'!$V$6*Model!$AI$883*('Assumptions (Solar)'!$AG$18*'Assumptions (Solar)'!$AG$2+'Assumptions (Solar)'!$AG$19*'Assumptions (Solar)'!$AG$3)/10^9),0)</f>
        <v>-98.007808881484806</v>
      </c>
      <c r="AN972" s="105">
        <f>IF($AI$883&gt;0,PPMT('Assumptions (Solar)'!$V$8,Model!AB$1,'Assumptions (Solar)'!$V$11,'Assumptions (Solar)'!$V$6*Model!$AI$883*('Assumptions (Solar)'!$AG$18*'Assumptions (Solar)'!$AG$2+'Assumptions (Solar)'!$AG$19*'Assumptions (Solar)'!$AG$3)/10^9),0)</f>
        <v>-105.84843359200357</v>
      </c>
      <c r="AO972" s="105">
        <f>IF($AI$883&gt;0,PPMT('Assumptions (Solar)'!$V$8,Model!AC$1,'Assumptions (Solar)'!$V$11,'Assumptions (Solar)'!$V$6*Model!$AI$883*('Assumptions (Solar)'!$AG$18*'Assumptions (Solar)'!$AG$2+'Assumptions (Solar)'!$AG$19*'Assumptions (Solar)'!$AG$3)/10^9),0)</f>
        <v>-114.31630827936384</v>
      </c>
      <c r="AP972" s="105">
        <f>IF($AI$883&gt;0,PPMT('Assumptions (Solar)'!$V$8,Model!AD$1,'Assumptions (Solar)'!$V$11,'Assumptions (Solar)'!$V$6*Model!$AI$883*('Assumptions (Solar)'!$AG$18*'Assumptions (Solar)'!$AG$2+'Assumptions (Solar)'!$AG$19*'Assumptions (Solar)'!$AG$3)/10^9),0)</f>
        <v>-123.46161294171296</v>
      </c>
      <c r="AQ972" s="105">
        <f>IF($AI$883&gt;0,PPMT('Assumptions (Solar)'!$V$8,Model!AE$1,'Assumptions (Solar)'!$V$11,'Assumptions (Solar)'!$V$6*Model!$AI$883*('Assumptions (Solar)'!$AG$18*'Assumptions (Solar)'!$AG$2+'Assumptions (Solar)'!$AG$19*'Assumptions (Solar)'!$AG$3)/10^9),0)</f>
        <v>-133.33854197705</v>
      </c>
      <c r="AR972" s="105">
        <f>IF($AI$883&gt;0,PPMT('Assumptions (Solar)'!$V$8,Model!AF$1,'Assumptions (Solar)'!$V$11,'Assumptions (Solar)'!$V$6*Model!$AI$883*('Assumptions (Solar)'!$AG$18*'Assumptions (Solar)'!$AG$2+'Assumptions (Solar)'!$AG$19*'Assumptions (Solar)'!$AG$3)/10^9),0)</f>
        <v>-144.00562533521401</v>
      </c>
      <c r="AS972" s="105" t="e">
        <f>IF($AI$883&gt;0,PPMT('Assumptions (Solar)'!$V$8,Model!AG$1,'Assumptions (Solar)'!$V$11,'Assumptions (Solar)'!$V$6*Model!$AI$883*('Assumptions (Solar)'!$AG$18*'Assumptions (Solar)'!$AG$2+'Assumptions (Solar)'!$AG$19*'Assumptions (Solar)'!$AG$3)/10^9),0)</f>
        <v>#NUM!</v>
      </c>
      <c r="AT972" s="105" t="e">
        <f>IF($AI$883&gt;0,PPMT('Assumptions (Solar)'!$V$8,Model!AH$1,'Assumptions (Solar)'!$V$11,'Assumptions (Solar)'!$V$6*Model!$AI$883*('Assumptions (Solar)'!$AG$18*'Assumptions (Solar)'!$AG$2+'Assumptions (Solar)'!$AG$19*'Assumptions (Solar)'!$AG$3)/10^9),0)</f>
        <v>#NUM!</v>
      </c>
      <c r="AU972" s="105" t="e">
        <f>IF($AI$883&gt;0,PPMT('Assumptions (Solar)'!$V$8,Model!AI$1,'Assumptions (Solar)'!$V$11,'Assumptions (Solar)'!$V$6*Model!$AI$883*('Assumptions (Solar)'!$AG$18*'Assumptions (Solar)'!$AG$2+'Assumptions (Solar)'!$AG$19*'Assumptions (Solar)'!$AG$3)/10^9),0)</f>
        <v>#NUM!</v>
      </c>
      <c r="AV972" s="105" t="e">
        <f>IF($AI$883&gt;0,PPMT('Assumptions (Solar)'!$V$8,Model!AJ$1,'Assumptions (Solar)'!$V$11,'Assumptions (Solar)'!$V$6*Model!$AI$883*('Assumptions (Solar)'!$AG$18*'Assumptions (Solar)'!$AG$2+'Assumptions (Solar)'!$AG$19*'Assumptions (Solar)'!$AG$3)/10^9),0)</f>
        <v>#NUM!</v>
      </c>
      <c r="AW972" s="105" t="e">
        <f>IF($AI$883&gt;0,PPMT('Assumptions (Solar)'!$V$8,Model!AK$1,'Assumptions (Solar)'!$V$11,'Assumptions (Solar)'!$V$6*Model!$AI$883*('Assumptions (Solar)'!$AG$18*'Assumptions (Solar)'!$AG$2+'Assumptions (Solar)'!$AG$19*'Assumptions (Solar)'!$AG$3)/10^9),0)</f>
        <v>#NUM!</v>
      </c>
      <c r="AX972" s="105"/>
      <c r="AY972" s="105"/>
      <c r="AZ972" s="105"/>
      <c r="BA972" s="105"/>
      <c r="BB972" s="105"/>
      <c r="BC972" s="105"/>
      <c r="BD972" s="105"/>
      <c r="BE972" s="105"/>
      <c r="BF972" s="105"/>
      <c r="BG972" s="105"/>
    </row>
    <row r="973" spans="1:63" ht="15.75" hidden="1" customHeight="1" outlineLevel="1">
      <c r="A973" s="401"/>
      <c r="B973" s="99"/>
      <c r="C973" s="99"/>
      <c r="D973" s="99"/>
      <c r="E973" s="99"/>
      <c r="F973" s="99"/>
      <c r="G973" s="99"/>
      <c r="H973" s="99"/>
      <c r="I973" s="99"/>
      <c r="J973" s="99"/>
      <c r="K973" s="99"/>
      <c r="L973" s="99"/>
      <c r="M973" s="99"/>
      <c r="N973" s="99"/>
      <c r="O973" s="99"/>
      <c r="P973" s="99"/>
      <c r="Q973" s="99"/>
      <c r="R973" s="99"/>
      <c r="S973" s="99"/>
      <c r="T973" s="99"/>
      <c r="U973" s="99"/>
      <c r="V973" s="99"/>
      <c r="W973" s="105"/>
      <c r="X973" s="105"/>
      <c r="Y973" s="105"/>
      <c r="Z973" s="105"/>
      <c r="AA973" s="105"/>
      <c r="AB973" s="105"/>
      <c r="AC973" s="105"/>
      <c r="AD973" s="105"/>
      <c r="AE973" s="105"/>
      <c r="AF973" s="105"/>
      <c r="AG973" s="105"/>
      <c r="AH973" s="105"/>
      <c r="AI973" s="105"/>
      <c r="AJ973" s="91">
        <f>IF($AJ$883&gt;0,PPMT('Assumptions (Solar)'!$V$8,Model!W$1,'Assumptions (Solar)'!$V$11,'Assumptions (Solar)'!$V$6*Model!$AJ$883*('Assumptions (Solar)'!$AH$18*'Assumptions (Solar)'!$AH$2+'Assumptions (Solar)'!$AH$19*'Assumptions (Solar)'!$AH$3)/10^9),0)</f>
        <v>-73.317712625047491</v>
      </c>
      <c r="AK973" s="91">
        <f>IF($AJ$883&gt;0,PPMT('Assumptions (Solar)'!$V$8,Model!X$1,'Assumptions (Solar)'!$V$11,'Assumptions (Solar)'!$V$6*Model!$AJ$883*('Assumptions (Solar)'!$AH$18*'Assumptions (Solar)'!$AH$2+'Assumptions (Solar)'!$AH$19*'Assumptions (Solar)'!$AH$3)/10^9),0)</f>
        <v>-79.183129635051301</v>
      </c>
      <c r="AL973" s="91">
        <f>IF($AJ$883&gt;0,PPMT('Assumptions (Solar)'!$V$8,Model!Y$1,'Assumptions (Solar)'!$V$11,'Assumptions (Solar)'!$V$6*Model!$AJ$883*('Assumptions (Solar)'!$AH$18*'Assumptions (Solar)'!$AH$2+'Assumptions (Solar)'!$AH$19*'Assumptions (Solar)'!$AH$3)/10^9),0)</f>
        <v>-85.5177800058554</v>
      </c>
      <c r="AM973" s="91">
        <f>IF($AJ$883&gt;0,PPMT('Assumptions (Solar)'!$V$8,Model!Z$1,'Assumptions (Solar)'!$V$11,'Assumptions (Solar)'!$V$6*Model!$AJ$883*('Assumptions (Solar)'!$AH$18*'Assumptions (Solar)'!$AH$2+'Assumptions (Solar)'!$AH$19*'Assumptions (Solar)'!$AH$3)/10^9),0)</f>
        <v>-92.359202406323845</v>
      </c>
      <c r="AN973" s="91">
        <f>IF($AJ$883&gt;0,PPMT('Assumptions (Solar)'!$V$8,Model!AA$1,'Assumptions (Solar)'!$V$11,'Assumptions (Solar)'!$V$6*Model!$AJ$883*('Assumptions (Solar)'!$AH$18*'Assumptions (Solar)'!$AH$2+'Assumptions (Solar)'!$AH$19*'Assumptions (Solar)'!$AH$3)/10^9),0)</f>
        <v>-99.747938598829748</v>
      </c>
      <c r="AO973" s="91">
        <f>IF($AJ$883&gt;0,PPMT('Assumptions (Solar)'!$V$8,Model!AB$1,'Assumptions (Solar)'!$V$11,'Assumptions (Solar)'!$V$6*Model!$AJ$883*('Assumptions (Solar)'!$AH$18*'Assumptions (Solar)'!$AH$2+'Assumptions (Solar)'!$AH$19*'Assumptions (Solar)'!$AH$3)/10^9),0)</f>
        <v>-107.72777368673611</v>
      </c>
      <c r="AP973" s="91">
        <f>IF($AJ$883&gt;0,PPMT('Assumptions (Solar)'!$V$8,Model!AC$1,'Assumptions (Solar)'!$V$11,'Assumptions (Solar)'!$V$6*Model!$AJ$883*('Assumptions (Solar)'!$AH$18*'Assumptions (Solar)'!$AH$2+'Assumptions (Solar)'!$AH$19*'Assumptions (Solar)'!$AH$3)/10^9),0)</f>
        <v>-116.345995581675</v>
      </c>
      <c r="AQ973" s="91">
        <f>IF($AJ$883&gt;0,PPMT('Assumptions (Solar)'!$V$8,Model!AD$1,'Assumptions (Solar)'!$V$11,'Assumptions (Solar)'!$V$6*Model!$AJ$883*('Assumptions (Solar)'!$AH$18*'Assumptions (Solar)'!$AH$2+'Assumptions (Solar)'!$AH$19*'Assumptions (Solar)'!$AH$3)/10^9),0)</f>
        <v>-125.653675228209</v>
      </c>
      <c r="AR973" s="91">
        <f>IF($AJ$883&gt;0,PPMT('Assumptions (Solar)'!$V$8,Model!AE$1,'Assumptions (Solar)'!$V$11,'Assumptions (Solar)'!$V$6*Model!$AJ$883*('Assumptions (Solar)'!$AH$18*'Assumptions (Solar)'!$AH$2+'Assumptions (Solar)'!$AH$19*'Assumptions (Solar)'!$AH$3)/10^9),0)</f>
        <v>-135.70596924646571</v>
      </c>
      <c r="AS973" s="91">
        <f>IF($AJ$883&gt;0,PPMT('Assumptions (Solar)'!$V$8,Model!AF$1,'Assumptions (Solar)'!$V$11,'Assumptions (Solar)'!$V$6*Model!$AJ$883*('Assumptions (Solar)'!$AH$18*'Assumptions (Solar)'!$AH$2+'Assumptions (Solar)'!$AH$19*'Assumptions (Solar)'!$AH$3)/10^9),0)</f>
        <v>-146.56244678618299</v>
      </c>
      <c r="AT973" s="91" t="e">
        <f>IF($AJ$883&gt;0,PPMT('Assumptions (Solar)'!$V$8,Model!AG$1,'Assumptions (Solar)'!$V$11,'Assumptions (Solar)'!$V$6*Model!$AJ$883*('Assumptions (Solar)'!$AH$18*'Assumptions (Solar)'!$AH$2+'Assumptions (Solar)'!$AH$19*'Assumptions (Solar)'!$AH$3)/10^9),0)</f>
        <v>#NUM!</v>
      </c>
      <c r="AU973" s="91" t="e">
        <f>IF($AJ$883&gt;0,PPMT('Assumptions (Solar)'!$V$8,Model!AH$1,'Assumptions (Solar)'!$V$11,'Assumptions (Solar)'!$V$6*Model!$AJ$883*('Assumptions (Solar)'!$AH$18*'Assumptions (Solar)'!$AH$2+'Assumptions (Solar)'!$AH$19*'Assumptions (Solar)'!$AH$3)/10^9),0)</f>
        <v>#NUM!</v>
      </c>
      <c r="AV973" s="91" t="e">
        <f>IF($AJ$883&gt;0,PPMT('Assumptions (Solar)'!$V$8,Model!AI$1,'Assumptions (Solar)'!$V$11,'Assumptions (Solar)'!$V$6*Model!$AJ$883*('Assumptions (Solar)'!$AH$18*'Assumptions (Solar)'!$AH$2+'Assumptions (Solar)'!$AH$19*'Assumptions (Solar)'!$AH$3)/10^9),0)</f>
        <v>#NUM!</v>
      </c>
      <c r="AW973" s="91" t="e">
        <f>IF($AJ$883&gt;0,PPMT('Assumptions (Solar)'!$V$8,Model!AJ$1,'Assumptions (Solar)'!$V$11,'Assumptions (Solar)'!$V$6*Model!$AJ$883*('Assumptions (Solar)'!$AH$18*'Assumptions (Solar)'!$AH$2+'Assumptions (Solar)'!$AH$19*'Assumptions (Solar)'!$AH$3)/10^9),0)</f>
        <v>#NUM!</v>
      </c>
      <c r="AX973" s="91" t="e">
        <f>IF($AJ$883&gt;0,PPMT('Assumptions (Solar)'!$V$8,Model!AK$1,'Assumptions (Solar)'!$V$11,'Assumptions (Solar)'!$V$6*Model!$AJ$883*('Assumptions (Solar)'!$AH$18*'Assumptions (Solar)'!$AH$2+'Assumptions (Solar)'!$AH$19*'Assumptions (Solar)'!$AH$3)/10^9),0)</f>
        <v>#NUM!</v>
      </c>
      <c r="AY973" s="91"/>
      <c r="AZ973" s="91"/>
      <c r="BA973" s="91"/>
      <c r="BB973" s="91"/>
      <c r="BC973" s="91"/>
      <c r="BD973" s="91"/>
      <c r="BE973" s="91"/>
      <c r="BF973" s="91"/>
      <c r="BG973" s="91"/>
      <c r="BH973" s="91"/>
    </row>
    <row r="974" spans="1:63" ht="15.75" hidden="1" customHeight="1" outlineLevel="1">
      <c r="A974" s="401"/>
      <c r="B974" s="99"/>
      <c r="C974" s="99"/>
      <c r="D974" s="99"/>
      <c r="E974" s="99"/>
      <c r="F974" s="99"/>
      <c r="G974" s="99"/>
      <c r="H974" s="99"/>
      <c r="I974" s="99"/>
      <c r="J974" s="99"/>
      <c r="K974" s="99"/>
      <c r="L974" s="99"/>
      <c r="M974" s="99"/>
      <c r="N974" s="99"/>
      <c r="O974" s="99"/>
      <c r="P974" s="99"/>
      <c r="Q974" s="99"/>
      <c r="R974" s="99"/>
      <c r="S974" s="99"/>
      <c r="T974" s="99"/>
      <c r="U974" s="99"/>
      <c r="V974" s="99"/>
      <c r="W974" s="105"/>
      <c r="X974" s="105"/>
      <c r="Y974" s="105"/>
      <c r="Z974" s="105"/>
      <c r="AA974" s="105"/>
      <c r="AB974" s="105"/>
      <c r="AC974" s="105"/>
      <c r="AD974" s="105"/>
      <c r="AE974" s="105"/>
      <c r="AF974" s="105"/>
      <c r="AG974" s="105"/>
      <c r="AH974" s="105"/>
      <c r="AI974" s="105"/>
      <c r="AJ974" s="171"/>
      <c r="AK974" s="105">
        <f>IF($AK$883&gt;0,PPMT('Assumptions (Solar)'!$V$8,Model!W$1,'Assumptions (Solar)'!$V$11,'Assumptions (Solar)'!$V$6*Model!$AK$883*('Assumptions (Solar)'!$AI$18*'Assumptions (Solar)'!$AI$2+'Assumptions (Solar)'!$AI$19*'Assumptions (Solar)'!$AI$3)/10^9),0)</f>
        <v>-74.58170966585655</v>
      </c>
      <c r="AL974" s="105">
        <f>IF($AK$883&gt;0,PPMT('Assumptions (Solar)'!$V$8,Model!X$1,'Assumptions (Solar)'!$V$11,'Assumptions (Solar)'!$V$6*Model!$AK$883*('Assumptions (Solar)'!$AI$18*'Assumptions (Solar)'!$AI$2+'Assumptions (Solar)'!$AI$19*'Assumptions (Solar)'!$AI$3)/10^9),0)</f>
        <v>-80.548246439125094</v>
      </c>
      <c r="AM974" s="105">
        <f>IF($AK$883&gt;0,PPMT('Assumptions (Solar)'!$V$8,Model!Y$1,'Assumptions (Solar)'!$V$11,'Assumptions (Solar)'!$V$6*Model!$AK$883*('Assumptions (Solar)'!$AI$18*'Assumptions (Solar)'!$AI$2+'Assumptions (Solar)'!$AI$19*'Assumptions (Solar)'!$AI$3)/10^9),0)</f>
        <v>-86.992106154255097</v>
      </c>
      <c r="AN974" s="105">
        <f>IF($AK$883&gt;0,PPMT('Assumptions (Solar)'!$V$8,Model!Z$1,'Assumptions (Solar)'!$V$11,'Assumptions (Solar)'!$V$6*Model!$AK$883*('Assumptions (Solar)'!$AI$18*'Assumptions (Solar)'!$AI$2+'Assumptions (Solar)'!$AI$19*'Assumptions (Solar)'!$AI$3)/10^9),0)</f>
        <v>-93.951474646595486</v>
      </c>
      <c r="AO974" s="105">
        <f>IF($AK$883&gt;0,PPMT('Assumptions (Solar)'!$V$8,Model!AA$1,'Assumptions (Solar)'!$V$11,'Assumptions (Solar)'!$V$6*Model!$AK$883*('Assumptions (Solar)'!$AI$18*'Assumptions (Solar)'!$AI$2+'Assumptions (Solar)'!$AI$19*'Assumptions (Solar)'!$AI$3)/10^9),0)</f>
        <v>-101.46759261832314</v>
      </c>
      <c r="AP974" s="105">
        <f>IF($AK$883&gt;0,PPMT('Assumptions (Solar)'!$V$8,Model!AB$1,'Assumptions (Solar)'!$V$11,'Assumptions (Solar)'!$V$6*Model!$AK$883*('Assumptions (Solar)'!$AI$18*'Assumptions (Solar)'!$AI$2+'Assumptions (Solar)'!$AI$19*'Assumptions (Solar)'!$AI$3)/10^9),0)</f>
        <v>-109.58500002778898</v>
      </c>
      <c r="AQ974" s="105">
        <f>IF($AK$883&gt;0,PPMT('Assumptions (Solar)'!$V$8,Model!AC$1,'Assumptions (Solar)'!$V$11,'Assumptions (Solar)'!$V$6*Model!$AK$883*('Assumptions (Solar)'!$AI$18*'Assumptions (Solar)'!$AI$2+'Assumptions (Solar)'!$AI$19*'Assumptions (Solar)'!$AI$3)/10^9),0)</f>
        <v>-118.3518000300121</v>
      </c>
      <c r="AR974" s="105">
        <f>IF($AK$883&gt;0,PPMT('Assumptions (Solar)'!$V$8,Model!AD$1,'Assumptions (Solar)'!$V$11,'Assumptions (Solar)'!$V$6*Model!$AK$883*('Assumptions (Solar)'!$AI$18*'Assumptions (Solar)'!$AI$2+'Assumptions (Solar)'!$AI$19*'Assumptions (Solar)'!$AI$3)/10^9),0)</f>
        <v>-127.81994403241306</v>
      </c>
      <c r="AS974" s="105">
        <f>IF($AK$883&gt;0,PPMT('Assumptions (Solar)'!$V$8,Model!AE$1,'Assumptions (Solar)'!$V$11,'Assumptions (Solar)'!$V$6*Model!$AK$883*('Assumptions (Solar)'!$AI$18*'Assumptions (Solar)'!$AI$2+'Assumptions (Solar)'!$AI$19*'Assumptions (Solar)'!$AI$3)/10^9),0)</f>
        <v>-138.04553955500612</v>
      </c>
      <c r="AT974" s="105">
        <f>IF($AK$883&gt;0,PPMT('Assumptions (Solar)'!$V$8,Model!AF$1,'Assumptions (Solar)'!$V$11,'Assumptions (Solar)'!$V$6*Model!$AK$883*('Assumptions (Solar)'!$AI$18*'Assumptions (Solar)'!$AI$2+'Assumptions (Solar)'!$AI$19*'Assumptions (Solar)'!$AI$3)/10^9),0)</f>
        <v>-149.08918271940661</v>
      </c>
      <c r="AU974" s="105" t="e">
        <f>IF($AK$883&gt;0,PPMT('Assumptions (Solar)'!$V$8,Model!AG$1,'Assumptions (Solar)'!$V$11,'Assumptions (Solar)'!$V$6*Model!$AK$883*('Assumptions (Solar)'!$AI$18*'Assumptions (Solar)'!$AI$2+'Assumptions (Solar)'!$AI$19*'Assumptions (Solar)'!$AI$3)/10^9),0)</f>
        <v>#NUM!</v>
      </c>
      <c r="AV974" s="105" t="e">
        <f>IF($AK$883&gt;0,PPMT('Assumptions (Solar)'!$V$8,Model!AH$1,'Assumptions (Solar)'!$V$11,'Assumptions (Solar)'!$V$6*Model!$AK$883*('Assumptions (Solar)'!$AI$18*'Assumptions (Solar)'!$AI$2+'Assumptions (Solar)'!$AI$19*'Assumptions (Solar)'!$AI$3)/10^9),0)</f>
        <v>#NUM!</v>
      </c>
      <c r="AW974" s="105" t="e">
        <f>IF($AK$883&gt;0,PPMT('Assumptions (Solar)'!$V$8,Model!AI$1,'Assumptions (Solar)'!$V$11,'Assumptions (Solar)'!$V$6*Model!$AK$883*('Assumptions (Solar)'!$AI$18*'Assumptions (Solar)'!$AI$2+'Assumptions (Solar)'!$AI$19*'Assumptions (Solar)'!$AI$3)/10^9),0)</f>
        <v>#NUM!</v>
      </c>
      <c r="AX974" s="105" t="e">
        <f>IF($AK$883&gt;0,PPMT('Assumptions (Solar)'!$V$8,Model!AJ$1,'Assumptions (Solar)'!$V$11,'Assumptions (Solar)'!$V$6*Model!$AK$883*('Assumptions (Solar)'!$AI$18*'Assumptions (Solar)'!$AI$2+'Assumptions (Solar)'!$AI$19*'Assumptions (Solar)'!$AI$3)/10^9),0)</f>
        <v>#NUM!</v>
      </c>
      <c r="AY974" s="105" t="e">
        <f>IF($AK$883&gt;0,PPMT('Assumptions (Solar)'!$V$8,Model!AK$1,'Assumptions (Solar)'!$V$11,'Assumptions (Solar)'!$V$6*Model!$AK$883*('Assumptions (Solar)'!$AI$18*'Assumptions (Solar)'!$AI$2+'Assumptions (Solar)'!$AI$19*'Assumptions (Solar)'!$AI$3)/10^9),0)</f>
        <v>#NUM!</v>
      </c>
      <c r="AZ974" s="105"/>
      <c r="BA974" s="105"/>
      <c r="BB974" s="105"/>
      <c r="BC974" s="105"/>
      <c r="BD974" s="105"/>
      <c r="BE974" s="105"/>
      <c r="BF974" s="105"/>
      <c r="BG974" s="105"/>
      <c r="BH974" s="105"/>
      <c r="BI974" s="105"/>
    </row>
    <row r="975" spans="1:63" ht="15.75" hidden="1" customHeight="1" outlineLevel="1">
      <c r="A975" s="401"/>
      <c r="B975" s="99"/>
      <c r="C975" s="99"/>
      <c r="D975" s="99"/>
      <c r="E975" s="99"/>
      <c r="F975" s="99"/>
      <c r="G975" s="99"/>
      <c r="H975" s="99"/>
      <c r="I975" s="99"/>
      <c r="J975" s="99"/>
      <c r="K975" s="99"/>
      <c r="L975" s="99"/>
      <c r="M975" s="99"/>
      <c r="N975" s="99"/>
      <c r="O975" s="99"/>
      <c r="P975" s="99"/>
      <c r="Q975" s="99"/>
      <c r="R975" s="99"/>
      <c r="S975" s="99"/>
      <c r="T975" s="99"/>
      <c r="U975" s="99"/>
      <c r="V975" s="99"/>
      <c r="W975" s="105"/>
      <c r="X975" s="105"/>
      <c r="Y975" s="105"/>
      <c r="Z975" s="105"/>
      <c r="AA975" s="105"/>
      <c r="AB975" s="105"/>
      <c r="AC975" s="105"/>
      <c r="AD975" s="105"/>
      <c r="AE975" s="105"/>
      <c r="AF975" s="105"/>
      <c r="AG975" s="105"/>
      <c r="AH975" s="105"/>
      <c r="AI975" s="105"/>
      <c r="AJ975" s="171"/>
      <c r="AK975" s="105"/>
      <c r="AL975" s="91">
        <f>IF($AL$883&gt;0,PPMT('Assumptions (Solar)'!$V$8,Model!W$1,'Assumptions (Solar)'!$V$11,'Assumptions (Solar)'!$V$6*Model!$AL$883*('Assumptions (Solar)'!$AJ$18*'Assumptions (Solar)'!$AJ$2+'Assumptions (Solar)'!$AJ$19*'Assumptions (Solar)'!$AJ$3)/10^9),0)</f>
        <v>-75.828832474959171</v>
      </c>
      <c r="AM975" s="91">
        <f>IF($AL$883&gt;0,PPMT('Assumptions (Solar)'!$V$8,Model!X$1,'Assumptions (Solar)'!$V$11,'Assumptions (Solar)'!$V$6*Model!$AL$883*('Assumptions (Solar)'!$AJ$18*'Assumptions (Solar)'!$AJ$2+'Assumptions (Solar)'!$AJ$19*'Assumptions (Solar)'!$AJ$3)/10^9),0)</f>
        <v>-81.895139072955914</v>
      </c>
      <c r="AN975" s="91">
        <f>IF($AL$883&gt;0,PPMT('Assumptions (Solar)'!$V$8,Model!Y$1,'Assumptions (Solar)'!$V$11,'Assumptions (Solar)'!$V$6*Model!$AL$883*('Assumptions (Solar)'!$AJ$18*'Assumptions (Solar)'!$AJ$2+'Assumptions (Solar)'!$AJ$19*'Assumptions (Solar)'!$AJ$3)/10^9),0)</f>
        <v>-88.446750198792387</v>
      </c>
      <c r="AO975" s="91">
        <f>IF($AL$883&gt;0,PPMT('Assumptions (Solar)'!$V$8,Model!Z$1,'Assumptions (Solar)'!$V$11,'Assumptions (Solar)'!$V$6*Model!$AL$883*('Assumptions (Solar)'!$AJ$18*'Assumptions (Solar)'!$AJ$2+'Assumptions (Solar)'!$AJ$19*'Assumptions (Solar)'!$AJ$3)/10^9),0)</f>
        <v>-95.522490214695779</v>
      </c>
      <c r="AP975" s="91">
        <f>IF($AL$883&gt;0,PPMT('Assumptions (Solar)'!$V$8,Model!AA$1,'Assumptions (Solar)'!$V$11,'Assumptions (Solar)'!$V$6*Model!$AL$883*('Assumptions (Solar)'!$AJ$18*'Assumptions (Solar)'!$AJ$2+'Assumptions (Solar)'!$AJ$19*'Assumptions (Solar)'!$AJ$3)/10^9),0)</f>
        <v>-103.16428943187144</v>
      </c>
      <c r="AQ975" s="91">
        <f>IF($AL$883&gt;0,PPMT('Assumptions (Solar)'!$V$8,Model!AB$1,'Assumptions (Solar)'!$V$11,'Assumptions (Solar)'!$V$6*Model!$AL$883*('Assumptions (Solar)'!$AJ$18*'Assumptions (Solar)'!$AJ$2+'Assumptions (Solar)'!$AJ$19*'Assumptions (Solar)'!$AJ$3)/10^9),0)</f>
        <v>-111.41743258642114</v>
      </c>
      <c r="AR975" s="91">
        <f>IF($AL$883&gt;0,PPMT('Assumptions (Solar)'!$V$8,Model!AC$1,'Assumptions (Solar)'!$V$11,'Assumptions (Solar)'!$V$6*Model!$AL$883*('Assumptions (Solar)'!$AJ$18*'Assumptions (Solar)'!$AJ$2+'Assumptions (Solar)'!$AJ$19*'Assumptions (Solar)'!$AJ$3)/10^9),0)</f>
        <v>-120.33082719333483</v>
      </c>
      <c r="AS975" s="91">
        <f>IF($AL$883&gt;0,PPMT('Assumptions (Solar)'!$V$8,Model!AD$1,'Assumptions (Solar)'!$V$11,'Assumptions (Solar)'!$V$6*Model!$AL$883*('Assumptions (Solar)'!$AJ$18*'Assumptions (Solar)'!$AJ$2+'Assumptions (Solar)'!$AJ$19*'Assumptions (Solar)'!$AJ$3)/10^9),0)</f>
        <v>-129.95729336880163</v>
      </c>
      <c r="AT975" s="91">
        <f>IF($AL$883&gt;0,PPMT('Assumptions (Solar)'!$V$8,Model!AE$1,'Assumptions (Solar)'!$V$11,'Assumptions (Solar)'!$V$6*Model!$AL$883*('Assumptions (Solar)'!$AJ$18*'Assumptions (Solar)'!$AJ$2+'Assumptions (Solar)'!$AJ$19*'Assumptions (Solar)'!$AJ$3)/10^9),0)</f>
        <v>-140.35387683830575</v>
      </c>
      <c r="AU975" s="91">
        <f>IF($AL$883&gt;0,PPMT('Assumptions (Solar)'!$V$8,Model!AF$1,'Assumptions (Solar)'!$V$11,'Assumptions (Solar)'!$V$6*Model!$AL$883*('Assumptions (Solar)'!$AJ$18*'Assumptions (Solar)'!$AJ$2+'Assumptions (Solar)'!$AJ$19*'Assumptions (Solar)'!$AJ$3)/10^9),0)</f>
        <v>-151.58218698537021</v>
      </c>
      <c r="AV975" s="91" t="e">
        <f>IF($AL$883&gt;0,PPMT('Assumptions (Solar)'!$V$8,Model!AG$1,'Assumptions (Solar)'!$V$11,'Assumptions (Solar)'!$V$6*Model!$AL$883*('Assumptions (Solar)'!$AJ$18*'Assumptions (Solar)'!$AJ$2+'Assumptions (Solar)'!$AJ$19*'Assumptions (Solar)'!$AJ$3)/10^9),0)</f>
        <v>#NUM!</v>
      </c>
      <c r="AW975" s="91" t="e">
        <f>IF($AL$883&gt;0,PPMT('Assumptions (Solar)'!$V$8,Model!AH$1,'Assumptions (Solar)'!$V$11,'Assumptions (Solar)'!$V$6*Model!$AL$883*('Assumptions (Solar)'!$AJ$18*'Assumptions (Solar)'!$AJ$2+'Assumptions (Solar)'!$AJ$19*'Assumptions (Solar)'!$AJ$3)/10^9),0)</f>
        <v>#NUM!</v>
      </c>
      <c r="AX975" s="91" t="e">
        <f>IF($AL$883&gt;0,PPMT('Assumptions (Solar)'!$V$8,Model!AI$1,'Assumptions (Solar)'!$V$11,'Assumptions (Solar)'!$V$6*Model!$AL$883*('Assumptions (Solar)'!$AJ$18*'Assumptions (Solar)'!$AJ$2+'Assumptions (Solar)'!$AJ$19*'Assumptions (Solar)'!$AJ$3)/10^9),0)</f>
        <v>#NUM!</v>
      </c>
      <c r="AY975" s="91" t="e">
        <f>IF($AL$883&gt;0,PPMT('Assumptions (Solar)'!$V$8,Model!AJ$1,'Assumptions (Solar)'!$V$11,'Assumptions (Solar)'!$V$6*Model!$AL$883*('Assumptions (Solar)'!$AJ$18*'Assumptions (Solar)'!$AJ$2+'Assumptions (Solar)'!$AJ$19*'Assumptions (Solar)'!$AJ$3)/10^9),0)</f>
        <v>#NUM!</v>
      </c>
      <c r="AZ975" s="91" t="e">
        <f>IF($AL$883&gt;0,PPMT('Assumptions (Solar)'!$V$8,Model!AK$1,'Assumptions (Solar)'!$V$11,'Assumptions (Solar)'!$V$6*Model!$AL$883*('Assumptions (Solar)'!$AJ$18*'Assumptions (Solar)'!$AJ$2+'Assumptions (Solar)'!$AJ$19*'Assumptions (Solar)'!$AJ$3)/10^9),0)</f>
        <v>#NUM!</v>
      </c>
      <c r="BA975" s="91"/>
      <c r="BB975" s="91"/>
      <c r="BC975" s="91"/>
      <c r="BD975" s="91"/>
      <c r="BE975" s="91"/>
      <c r="BF975" s="91"/>
      <c r="BG975" s="91"/>
      <c r="BH975" s="91"/>
      <c r="BI975" s="91"/>
      <c r="BJ975" s="91"/>
    </row>
    <row r="976" spans="1:63" ht="15.75" hidden="1" customHeight="1" outlineLevel="1">
      <c r="A976" s="401"/>
      <c r="B976" s="99"/>
      <c r="C976" s="99"/>
      <c r="D976" s="99"/>
      <c r="E976" s="99"/>
      <c r="F976" s="99"/>
      <c r="G976" s="99"/>
      <c r="H976" s="99"/>
      <c r="I976" s="99"/>
      <c r="J976" s="99"/>
      <c r="K976" s="99"/>
      <c r="L976" s="99"/>
      <c r="M976" s="99"/>
      <c r="N976" s="99"/>
      <c r="O976" s="99"/>
      <c r="P976" s="99"/>
      <c r="Q976" s="99"/>
      <c r="R976" s="99"/>
      <c r="S976" s="99"/>
      <c r="T976" s="99"/>
      <c r="U976" s="99"/>
      <c r="V976" s="99"/>
      <c r="W976" s="105"/>
      <c r="X976" s="105"/>
      <c r="Y976" s="105"/>
      <c r="Z976" s="105"/>
      <c r="AA976" s="105"/>
      <c r="AB976" s="105"/>
      <c r="AC976" s="105"/>
      <c r="AD976" s="105"/>
      <c r="AE976" s="105"/>
      <c r="AF976" s="105"/>
      <c r="AG976" s="105"/>
      <c r="AH976" s="105"/>
      <c r="AI976" s="105"/>
      <c r="AJ976" s="171"/>
      <c r="AK976" s="105"/>
      <c r="AL976" s="91"/>
      <c r="AM976" s="105">
        <f>IF($AM$883&gt;0,PPMT('Assumptions (Solar)'!$V$8,Model!W$1,'Assumptions (Solar)'!$V$11,'Assumptions (Solar)'!$V$6*Model!$AM$883*('Assumptions (Solar)'!$AK$18*'Assumptions (Solar)'!$AK$2+'Assumptions (Solar)'!$AK$19*'Assumptions (Solar)'!$AK$3)/10^9),0)</f>
        <v>-77.063290635083206</v>
      </c>
      <c r="AN976" s="105">
        <f>IF($AM$883&gt;0,PPMT('Assumptions (Solar)'!$V$8,Model!X$1,'Assumptions (Solar)'!$V$11,'Assumptions (Solar)'!$V$6*Model!$AM$883*('Assumptions (Solar)'!$AK$18*'Assumptions (Solar)'!$AK$2+'Assumptions (Solar)'!$AK$19*'Assumptions (Solar)'!$AK$3)/10^9),0)</f>
        <v>-83.228353885889859</v>
      </c>
      <c r="AO976" s="105">
        <f>IF($AM$883&gt;0,PPMT('Assumptions (Solar)'!$V$8,Model!Y$1,'Assumptions (Solar)'!$V$11,'Assumptions (Solar)'!$V$6*Model!$AM$883*('Assumptions (Solar)'!$AK$18*'Assumptions (Solar)'!$AK$2+'Assumptions (Solar)'!$AK$19*'Assumptions (Solar)'!$AK$3)/10^9),0)</f>
        <v>-89.886622196761039</v>
      </c>
      <c r="AP976" s="105">
        <f>IF($AM$883&gt;0,PPMT('Assumptions (Solar)'!$V$8,Model!Z$1,'Assumptions (Solar)'!$V$11,'Assumptions (Solar)'!$V$6*Model!$AM$883*('Assumptions (Solar)'!$AK$18*'Assumptions (Solar)'!$AK$2+'Assumptions (Solar)'!$AK$19*'Assumptions (Solar)'!$AK$3)/10^9),0)</f>
        <v>-97.077551972501936</v>
      </c>
      <c r="AQ976" s="105">
        <f>IF($AM$883&gt;0,PPMT('Assumptions (Solar)'!$V$8,Model!AA$1,'Assumptions (Solar)'!$V$11,'Assumptions (Solar)'!$V$6*Model!$AM$883*('Assumptions (Solar)'!$AK$18*'Assumptions (Solar)'!$AK$2+'Assumptions (Solar)'!$AK$19*'Assumptions (Solar)'!$AK$3)/10^9),0)</f>
        <v>-104.8437561303021</v>
      </c>
      <c r="AR976" s="105">
        <f>IF($AM$883&gt;0,PPMT('Assumptions (Solar)'!$V$8,Model!AB$1,'Assumptions (Solar)'!$V$11,'Assumptions (Solar)'!$V$6*Model!$AM$883*('Assumptions (Solar)'!$AK$18*'Assumptions (Solar)'!$AK$2+'Assumptions (Solar)'!$AK$19*'Assumptions (Solar)'!$AK$3)/10^9),0)</f>
        <v>-113.23125662072626</v>
      </c>
      <c r="AS976" s="105">
        <f>IF($AM$883&gt;0,PPMT('Assumptions (Solar)'!$V$8,Model!AC$1,'Assumptions (Solar)'!$V$11,'Assumptions (Solar)'!$V$6*Model!$AM$883*('Assumptions (Solar)'!$AK$18*'Assumptions (Solar)'!$AK$2+'Assumptions (Solar)'!$AK$19*'Assumptions (Solar)'!$AK$3)/10^9),0)</f>
        <v>-122.28975715038435</v>
      </c>
      <c r="AT976" s="105">
        <f>IF($AM$883&gt;0,PPMT('Assumptions (Solar)'!$V$8,Model!AD$1,'Assumptions (Solar)'!$V$11,'Assumptions (Solar)'!$V$6*Model!$AM$883*('Assumptions (Solar)'!$AK$18*'Assumptions (Solar)'!$AK$2+'Assumptions (Solar)'!$AK$19*'Assumptions (Solar)'!$AK$3)/10^9),0)</f>
        <v>-132.07293772241511</v>
      </c>
      <c r="AU976" s="105">
        <f>IF($AM$883&gt;0,PPMT('Assumptions (Solar)'!$V$8,Model!AE$1,'Assumptions (Solar)'!$V$11,'Assumptions (Solar)'!$V$6*Model!$AM$883*('Assumptions (Solar)'!$AK$18*'Assumptions (Solar)'!$AK$2+'Assumptions (Solar)'!$AK$19*'Assumptions (Solar)'!$AK$3)/10^9),0)</f>
        <v>-142.63877274020831</v>
      </c>
      <c r="AV976" s="105">
        <f>IF($AM$883&gt;0,PPMT('Assumptions (Solar)'!$V$8,Model!AF$1,'Assumptions (Solar)'!$V$11,'Assumptions (Solar)'!$V$6*Model!$AM$883*('Assumptions (Solar)'!$AK$18*'Assumptions (Solar)'!$AK$2+'Assumptions (Solar)'!$AK$19*'Assumptions (Solar)'!$AK$3)/10^9),0)</f>
        <v>-154.04987455942498</v>
      </c>
      <c r="AW976" s="105" t="e">
        <f>IF($AM$883&gt;0,PPMT('Assumptions (Solar)'!$V$8,Model!AG$1,'Assumptions (Solar)'!$V$11,'Assumptions (Solar)'!$V$6*Model!$AM$883*('Assumptions (Solar)'!$AK$18*'Assumptions (Solar)'!$AK$2+'Assumptions (Solar)'!$AK$19*'Assumptions (Solar)'!$AK$3)/10^9),0)</f>
        <v>#NUM!</v>
      </c>
      <c r="AX976" s="105" t="e">
        <f>IF($AM$883&gt;0,PPMT('Assumptions (Solar)'!$V$8,Model!AH$1,'Assumptions (Solar)'!$V$11,'Assumptions (Solar)'!$V$6*Model!$AM$883*('Assumptions (Solar)'!$AK$18*'Assumptions (Solar)'!$AK$2+'Assumptions (Solar)'!$AK$19*'Assumptions (Solar)'!$AK$3)/10^9),0)</f>
        <v>#NUM!</v>
      </c>
      <c r="AY976" s="105" t="e">
        <f>IF($AM$883&gt;0,PPMT('Assumptions (Solar)'!$V$8,Model!AI$1,'Assumptions (Solar)'!$V$11,'Assumptions (Solar)'!$V$6*Model!$AM$883*('Assumptions (Solar)'!$AK$18*'Assumptions (Solar)'!$AK$2+'Assumptions (Solar)'!$AK$19*'Assumptions (Solar)'!$AK$3)/10^9),0)</f>
        <v>#NUM!</v>
      </c>
      <c r="AZ976" s="105" t="e">
        <f>IF($AM$883&gt;0,PPMT('Assumptions (Solar)'!$V$8,Model!AJ$1,'Assumptions (Solar)'!$V$11,'Assumptions (Solar)'!$V$6*Model!$AM$883*('Assumptions (Solar)'!$AK$18*'Assumptions (Solar)'!$AK$2+'Assumptions (Solar)'!$AK$19*'Assumptions (Solar)'!$AK$3)/10^9),0)</f>
        <v>#NUM!</v>
      </c>
      <c r="BA976" s="105" t="e">
        <f>IF($AM$883&gt;0,PPMT('Assumptions (Solar)'!$V$8,Model!AK$1,'Assumptions (Solar)'!$V$11,'Assumptions (Solar)'!$V$6*Model!$AM$883*('Assumptions (Solar)'!$AK$18*'Assumptions (Solar)'!$AK$2+'Assumptions (Solar)'!$AK$19*'Assumptions (Solar)'!$AK$3)/10^9),0)</f>
        <v>#NUM!</v>
      </c>
      <c r="BB976" s="105"/>
      <c r="BC976" s="105"/>
      <c r="BD976" s="105"/>
      <c r="BE976" s="105"/>
      <c r="BF976" s="105"/>
      <c r="BG976" s="105"/>
      <c r="BH976" s="105"/>
      <c r="BI976" s="105"/>
      <c r="BJ976" s="105"/>
      <c r="BK976" s="105"/>
    </row>
    <row r="977" spans="1:77" ht="15.75" hidden="1" customHeight="1" outlineLevel="1">
      <c r="A977" s="401"/>
      <c r="B977" s="99"/>
      <c r="C977" s="99"/>
      <c r="D977" s="99"/>
      <c r="E977" s="99"/>
      <c r="F977" s="99"/>
      <c r="G977" s="99"/>
      <c r="H977" s="99"/>
      <c r="I977" s="99"/>
      <c r="J977" s="99"/>
      <c r="K977" s="99"/>
      <c r="L977" s="99"/>
      <c r="M977" s="99"/>
      <c r="N977" s="99"/>
      <c r="O977" s="99"/>
      <c r="P977" s="99"/>
      <c r="Q977" s="99"/>
      <c r="R977" s="99"/>
      <c r="S977" s="99"/>
      <c r="T977" s="99"/>
      <c r="U977" s="99"/>
      <c r="V977" s="99"/>
      <c r="W977" s="105"/>
      <c r="X977" s="105"/>
      <c r="Y977" s="105"/>
      <c r="Z977" s="105"/>
      <c r="AA977" s="105"/>
      <c r="AB977" s="105"/>
      <c r="AC977" s="105"/>
      <c r="AD977" s="105"/>
      <c r="AE977" s="105"/>
      <c r="AF977" s="105"/>
      <c r="AG977" s="105"/>
      <c r="AH977" s="105"/>
      <c r="AI977" s="105"/>
      <c r="AJ977" s="171"/>
      <c r="AK977" s="105"/>
      <c r="AL977" s="91"/>
      <c r="AM977" s="91"/>
      <c r="AN977" s="105">
        <f>IF($AN$883&gt;0,PPMT('Assumptions (Solar)'!$V$8,Model!W$1,'Assumptions (Solar)'!$V$11,'Assumptions (Solar)'!$V$6*Model!$AN$883*('Assumptions (Solar)'!$AL$18*'Assumptions (Solar)'!$AL$2+'Assumptions (Solar)'!$AL$19*'Assumptions (Solar)'!$AL$3)/10^9),0)</f>
        <v>-78.804927147915564</v>
      </c>
      <c r="AO977" s="105">
        <f>IF($AN$883&gt;0,PPMT('Assumptions (Solar)'!$V$8,Model!X$1,'Assumptions (Solar)'!$V$11,'Assumptions (Solar)'!$V$6*Model!$AN$883*('Assumptions (Solar)'!$AL$18*'Assumptions (Solar)'!$AL$2+'Assumptions (Solar)'!$AL$19*'Assumptions (Solar)'!$AL$3)/10^9),0)</f>
        <v>-85.109321319748815</v>
      </c>
      <c r="AP977" s="105">
        <f>IF($AN$883&gt;0,PPMT('Assumptions (Solar)'!$V$8,Model!Y$1,'Assumptions (Solar)'!$V$11,'Assumptions (Solar)'!$V$6*Model!$AN$883*('Assumptions (Solar)'!$AL$18*'Assumptions (Solar)'!$AL$2+'Assumptions (Solar)'!$AL$19*'Assumptions (Solar)'!$AL$3)/10^9),0)</f>
        <v>-91.91806702532871</v>
      </c>
      <c r="AQ977" s="105">
        <f>IF($AN$883&gt;0,PPMT('Assumptions (Solar)'!$V$8,Model!Z$1,'Assumptions (Solar)'!$V$11,'Assumptions (Solar)'!$V$6*Model!$AN$883*('Assumptions (Solar)'!$AL$18*'Assumptions (Solar)'!$AL$2+'Assumptions (Solar)'!$AL$19*'Assumptions (Solar)'!$AL$3)/10^9),0)</f>
        <v>-99.271512387355017</v>
      </c>
      <c r="AR977" s="105">
        <f>IF($AN$883&gt;0,PPMT('Assumptions (Solar)'!$V$8,Model!AA$1,'Assumptions (Solar)'!$V$11,'Assumptions (Solar)'!$V$6*Model!$AN$883*('Assumptions (Solar)'!$AL$18*'Assumptions (Solar)'!$AL$2+'Assumptions (Solar)'!$AL$19*'Assumptions (Solar)'!$AL$3)/10^9),0)</f>
        <v>-107.21323337834343</v>
      </c>
      <c r="AS977" s="105">
        <f>IF($AN$883&gt;0,PPMT('Assumptions (Solar)'!$V$8,Model!AB$1,'Assumptions (Solar)'!$V$11,'Assumptions (Solar)'!$V$6*Model!$AN$883*('Assumptions (Solar)'!$AL$18*'Assumptions (Solar)'!$AL$2+'Assumptions (Solar)'!$AL$19*'Assumptions (Solar)'!$AL$3)/10^9),0)</f>
        <v>-115.79029204861088</v>
      </c>
      <c r="AT977" s="105">
        <f>IF($AN$883&gt;0,PPMT('Assumptions (Solar)'!$V$8,Model!AC$1,'Assumptions (Solar)'!$V$11,'Assumptions (Solar)'!$V$6*Model!$AN$883*('Assumptions (Solar)'!$AL$18*'Assumptions (Solar)'!$AL$2+'Assumptions (Solar)'!$AL$19*'Assumptions (Solar)'!$AL$3)/10^9),0)</f>
        <v>-125.05351541249975</v>
      </c>
      <c r="AU977" s="105">
        <f>IF($AN$883&gt;0,PPMT('Assumptions (Solar)'!$V$8,Model!AD$1,'Assumptions (Solar)'!$V$11,'Assumptions (Solar)'!$V$6*Model!$AN$883*('Assumptions (Solar)'!$AL$18*'Assumptions (Solar)'!$AL$2+'Assumptions (Solar)'!$AL$19*'Assumptions (Solar)'!$AL$3)/10^9),0)</f>
        <v>-135.05779664549976</v>
      </c>
      <c r="AV977" s="105">
        <f>IF($AN$883&gt;0,PPMT('Assumptions (Solar)'!$V$8,Model!AE$1,'Assumptions (Solar)'!$V$11,'Assumptions (Solar)'!$V$6*Model!$AN$883*('Assumptions (Solar)'!$AL$18*'Assumptions (Solar)'!$AL$2+'Assumptions (Solar)'!$AL$19*'Assumptions (Solar)'!$AL$3)/10^9),0)</f>
        <v>-145.86242037713973</v>
      </c>
      <c r="AW977" s="105">
        <f>IF($AN$883&gt;0,PPMT('Assumptions (Solar)'!$V$8,Model!AF$1,'Assumptions (Solar)'!$V$11,'Assumptions (Solar)'!$V$6*Model!$AN$883*('Assumptions (Solar)'!$AL$18*'Assumptions (Solar)'!$AL$2+'Assumptions (Solar)'!$AL$19*'Assumptions (Solar)'!$AL$3)/10^9),0)</f>
        <v>-157.5314140073109</v>
      </c>
      <c r="AX977" s="105" t="e">
        <f>IF($AN$883&gt;0,PPMT('Assumptions (Solar)'!$V$8,Model!AG$1,'Assumptions (Solar)'!$V$11,'Assumptions (Solar)'!$V$6*Model!$AN$883*('Assumptions (Solar)'!$AL$18*'Assumptions (Solar)'!$AL$2+'Assumptions (Solar)'!$AL$19*'Assumptions (Solar)'!$AL$3)/10^9),0)</f>
        <v>#NUM!</v>
      </c>
      <c r="AY977" s="105" t="e">
        <f>IF($AN$883&gt;0,PPMT('Assumptions (Solar)'!$V$8,Model!AH$1,'Assumptions (Solar)'!$V$11,'Assumptions (Solar)'!$V$6*Model!$AN$883*('Assumptions (Solar)'!$AL$18*'Assumptions (Solar)'!$AL$2+'Assumptions (Solar)'!$AL$19*'Assumptions (Solar)'!$AL$3)/10^9),0)</f>
        <v>#NUM!</v>
      </c>
      <c r="AZ977" s="105" t="e">
        <f>IF($AN$883&gt;0,PPMT('Assumptions (Solar)'!$V$8,Model!AI$1,'Assumptions (Solar)'!$V$11,'Assumptions (Solar)'!$V$6*Model!$AN$883*('Assumptions (Solar)'!$AL$18*'Assumptions (Solar)'!$AL$2+'Assumptions (Solar)'!$AL$19*'Assumptions (Solar)'!$AL$3)/10^9),0)</f>
        <v>#NUM!</v>
      </c>
      <c r="BA977" s="105" t="e">
        <f>IF($AN$883&gt;0,PPMT('Assumptions (Solar)'!$V$8,Model!AJ$1,'Assumptions (Solar)'!$V$11,'Assumptions (Solar)'!$V$6*Model!$AN$883*('Assumptions (Solar)'!$AL$18*'Assumptions (Solar)'!$AL$2+'Assumptions (Solar)'!$AL$19*'Assumptions (Solar)'!$AL$3)/10^9),0)</f>
        <v>#NUM!</v>
      </c>
      <c r="BB977" s="105" t="e">
        <f>IF($AN$883&gt;0,PPMT('Assumptions (Solar)'!$V$8,Model!AK$1,'Assumptions (Solar)'!$V$11,'Assumptions (Solar)'!$V$6*Model!$AN$883*('Assumptions (Solar)'!$AL$18*'Assumptions (Solar)'!$AL$2+'Assumptions (Solar)'!$AL$19*'Assumptions (Solar)'!$AL$3)/10^9),0)</f>
        <v>#NUM!</v>
      </c>
      <c r="BC977" s="105"/>
      <c r="BD977" s="105"/>
      <c r="BE977" s="105"/>
      <c r="BF977" s="105"/>
      <c r="BG977" s="105"/>
      <c r="BH977" s="105"/>
      <c r="BI977" s="105"/>
      <c r="BJ977" s="105"/>
      <c r="BK977" s="105"/>
      <c r="BL977" s="105"/>
    </row>
    <row r="978" spans="1:77" ht="15.75" hidden="1" customHeight="1" outlineLevel="1">
      <c r="A978" s="401"/>
      <c r="B978" s="99"/>
      <c r="C978" s="99"/>
      <c r="D978" s="99"/>
      <c r="E978" s="99"/>
      <c r="F978" s="99"/>
      <c r="G978" s="99"/>
      <c r="H978" s="99"/>
      <c r="I978" s="99"/>
      <c r="J978" s="99"/>
      <c r="K978" s="99"/>
      <c r="L978" s="99"/>
      <c r="M978" s="99"/>
      <c r="N978" s="99"/>
      <c r="O978" s="99"/>
      <c r="P978" s="99"/>
      <c r="Q978" s="99"/>
      <c r="R978" s="99"/>
      <c r="S978" s="99"/>
      <c r="T978" s="99"/>
      <c r="U978" s="99"/>
      <c r="V978" s="99"/>
      <c r="W978" s="105"/>
      <c r="X978" s="105"/>
      <c r="Y978" s="105"/>
      <c r="Z978" s="105"/>
      <c r="AA978" s="105"/>
      <c r="AB978" s="105"/>
      <c r="AC978" s="105"/>
      <c r="AD978" s="105"/>
      <c r="AE978" s="105"/>
      <c r="AF978" s="105"/>
      <c r="AG978" s="105"/>
      <c r="AH978" s="105"/>
      <c r="AI978" s="105"/>
      <c r="AJ978" s="171"/>
      <c r="AK978" s="105"/>
      <c r="AL978" s="91"/>
      <c r="AM978" s="91"/>
      <c r="AN978" s="91"/>
      <c r="AO978" s="105">
        <f>IF($AO$883&gt;0,PPMT('Assumptions (Solar)'!$V$8,Model!W$1,'Assumptions (Solar)'!$V$11,'Assumptions (Solar)'!$V$6*Model!$AO$883*('Assumptions (Solar)'!$AM$18*'Assumptions (Solar)'!$AM$2+'Assumptions (Solar)'!$AM$19*'Assumptions (Solar)'!$AM$3)/10^9),0)</f>
        <v>-80.467790083784536</v>
      </c>
      <c r="AP978" s="105">
        <f>IF($AO$883&gt;0,PPMT('Assumptions (Solar)'!$V$8,Model!X$1,'Assumptions (Solar)'!$V$11,'Assumptions (Solar)'!$V$6*Model!$AO$883*('Assumptions (Solar)'!$AM$18*'Assumptions (Solar)'!$AM$2+'Assumptions (Solar)'!$AM$19*'Assumptions (Solar)'!$AM$3)/10^9),0)</f>
        <v>-86.905213290487325</v>
      </c>
      <c r="AQ978" s="105">
        <f>IF($AO$883&gt;0,PPMT('Assumptions (Solar)'!$V$8,Model!Y$1,'Assumptions (Solar)'!$V$11,'Assumptions (Solar)'!$V$6*Model!$AO$883*('Assumptions (Solar)'!$AM$18*'Assumptions (Solar)'!$AM$2+'Assumptions (Solar)'!$AM$19*'Assumptions (Solar)'!$AM$3)/10^9),0)</f>
        <v>-93.857630353726293</v>
      </c>
      <c r="AR978" s="105">
        <f>IF($AO$883&gt;0,PPMT('Assumptions (Solar)'!$V$8,Model!Z$1,'Assumptions (Solar)'!$V$11,'Assumptions (Solar)'!$V$6*Model!$AO$883*('Assumptions (Solar)'!$AM$18*'Assumptions (Solar)'!$AM$2+'Assumptions (Solar)'!$AM$19*'Assumptions (Solar)'!$AM$3)/10^9),0)</f>
        <v>-101.36624078202441</v>
      </c>
      <c r="AS978" s="105">
        <f>IF($AO$883&gt;0,PPMT('Assumptions (Solar)'!$V$8,Model!AA$1,'Assumptions (Solar)'!$V$11,'Assumptions (Solar)'!$V$6*Model!$AO$883*('Assumptions (Solar)'!$AM$18*'Assumptions (Solar)'!$AM$2+'Assumptions (Solar)'!$AM$19*'Assumptions (Solar)'!$AM$3)/10^9),0)</f>
        <v>-109.47554004458637</v>
      </c>
      <c r="AT978" s="105">
        <f>IF($AO$883&gt;0,PPMT('Assumptions (Solar)'!$V$8,Model!AB$1,'Assumptions (Solar)'!$V$11,'Assumptions (Solar)'!$V$6*Model!$AO$883*('Assumptions (Solar)'!$AM$18*'Assumptions (Solar)'!$AM$2+'Assumptions (Solar)'!$AM$19*'Assumptions (Solar)'!$AM$3)/10^9),0)</f>
        <v>-118.23358324815325</v>
      </c>
      <c r="AU978" s="105">
        <f>IF($AO$883&gt;0,PPMT('Assumptions (Solar)'!$V$8,Model!AC$1,'Assumptions (Solar)'!$V$11,'Assumptions (Solar)'!$V$6*Model!$AO$883*('Assumptions (Solar)'!$AM$18*'Assumptions (Solar)'!$AM$2+'Assumptions (Solar)'!$AM$19*'Assumptions (Solar)'!$AM$3)/10^9),0)</f>
        <v>-127.69226990800551</v>
      </c>
      <c r="AV978" s="105">
        <f>IF($AO$883&gt;0,PPMT('Assumptions (Solar)'!$V$8,Model!AD$1,'Assumptions (Solar)'!$V$11,'Assumptions (Solar)'!$V$6*Model!$AO$883*('Assumptions (Solar)'!$AM$18*'Assumptions (Solar)'!$AM$2+'Assumptions (Solar)'!$AM$19*'Assumptions (Solar)'!$AM$3)/10^9),0)</f>
        <v>-137.90765150064595</v>
      </c>
      <c r="AW978" s="105">
        <f>IF($AO$883&gt;0,PPMT('Assumptions (Solar)'!$V$8,Model!AE$1,'Assumptions (Solar)'!$V$11,'Assumptions (Solar)'!$V$6*Model!$AO$883*('Assumptions (Solar)'!$AM$18*'Assumptions (Solar)'!$AM$2+'Assumptions (Solar)'!$AM$19*'Assumptions (Solar)'!$AM$3)/10^9),0)</f>
        <v>-148.94026362069764</v>
      </c>
      <c r="AX978" s="105">
        <f>IF($AO$883&gt;0,PPMT('Assumptions (Solar)'!$V$8,Model!AF$1,'Assumptions (Solar)'!$V$11,'Assumptions (Solar)'!$V$6*Model!$AO$883*('Assumptions (Solar)'!$AM$18*'Assumptions (Solar)'!$AM$2+'Assumptions (Solar)'!$AM$19*'Assumptions (Solar)'!$AM$3)/10^9),0)</f>
        <v>-160.85548471035344</v>
      </c>
      <c r="AY978" s="105" t="e">
        <f>IF($AO$883&gt;0,PPMT('Assumptions (Solar)'!$V$8,Model!AG$1,'Assumptions (Solar)'!$V$11,'Assumptions (Solar)'!$V$6*Model!$AO$883*('Assumptions (Solar)'!$AM$18*'Assumptions (Solar)'!$AM$2+'Assumptions (Solar)'!$AM$19*'Assumptions (Solar)'!$AM$3)/10^9),0)</f>
        <v>#NUM!</v>
      </c>
      <c r="AZ978" s="105" t="e">
        <f>IF($AO$883&gt;0,PPMT('Assumptions (Solar)'!$V$8,Model!AH$1,'Assumptions (Solar)'!$V$11,'Assumptions (Solar)'!$V$6*Model!$AO$883*('Assumptions (Solar)'!$AM$18*'Assumptions (Solar)'!$AM$2+'Assumptions (Solar)'!$AM$19*'Assumptions (Solar)'!$AM$3)/10^9),0)</f>
        <v>#NUM!</v>
      </c>
      <c r="BA978" s="105" t="e">
        <f>IF($AO$883&gt;0,PPMT('Assumptions (Solar)'!$V$8,Model!AI$1,'Assumptions (Solar)'!$V$11,'Assumptions (Solar)'!$V$6*Model!$AO$883*('Assumptions (Solar)'!$AM$18*'Assumptions (Solar)'!$AM$2+'Assumptions (Solar)'!$AM$19*'Assumptions (Solar)'!$AM$3)/10^9),0)</f>
        <v>#NUM!</v>
      </c>
      <c r="BB978" s="105" t="e">
        <f>IF($AO$883&gt;0,PPMT('Assumptions (Solar)'!$V$8,Model!AJ$1,'Assumptions (Solar)'!$V$11,'Assumptions (Solar)'!$V$6*Model!$AO$883*('Assumptions (Solar)'!$AM$18*'Assumptions (Solar)'!$AM$2+'Assumptions (Solar)'!$AM$19*'Assumptions (Solar)'!$AM$3)/10^9),0)</f>
        <v>#NUM!</v>
      </c>
      <c r="BC978" s="105" t="e">
        <f>IF($AO$883&gt;0,PPMT('Assumptions (Solar)'!$V$8,Model!AK$1,'Assumptions (Solar)'!$V$11,'Assumptions (Solar)'!$V$6*Model!$AO$883*('Assumptions (Solar)'!$AM$18*'Assumptions (Solar)'!$AM$2+'Assumptions (Solar)'!$AM$19*'Assumptions (Solar)'!$AM$3)/10^9),0)</f>
        <v>#NUM!</v>
      </c>
      <c r="BD978" s="105"/>
      <c r="BE978" s="105"/>
      <c r="BF978" s="105"/>
      <c r="BG978" s="105"/>
      <c r="BH978" s="105"/>
      <c r="BI978" s="105"/>
      <c r="BJ978" s="105"/>
      <c r="BK978" s="105"/>
      <c r="BL978" s="105"/>
      <c r="BM978" s="105"/>
    </row>
    <row r="979" spans="1:77" ht="15.75" hidden="1" customHeight="1" outlineLevel="1">
      <c r="A979" s="401"/>
      <c r="B979" s="99"/>
      <c r="C979" s="99"/>
      <c r="D979" s="99"/>
      <c r="E979" s="99"/>
      <c r="F979" s="99"/>
      <c r="G979" s="99"/>
      <c r="H979" s="99"/>
      <c r="I979" s="99"/>
      <c r="J979" s="99"/>
      <c r="K979" s="99"/>
      <c r="L979" s="99"/>
      <c r="M979" s="99"/>
      <c r="N979" s="99"/>
      <c r="O979" s="99"/>
      <c r="P979" s="99"/>
      <c r="Q979" s="99"/>
      <c r="R979" s="99"/>
      <c r="S979" s="99"/>
      <c r="T979" s="99"/>
      <c r="U979" s="99"/>
      <c r="V979" s="99"/>
      <c r="W979" s="105"/>
      <c r="X979" s="105"/>
      <c r="Y979" s="105"/>
      <c r="Z979" s="105"/>
      <c r="AA979" s="105"/>
      <c r="AB979" s="105"/>
      <c r="AC979" s="105"/>
      <c r="AD979" s="105"/>
      <c r="AE979" s="105"/>
      <c r="AF979" s="105"/>
      <c r="AG979" s="105"/>
      <c r="AH979" s="105"/>
      <c r="AI979" s="105"/>
      <c r="AJ979" s="171"/>
      <c r="AK979" s="105"/>
      <c r="AL979" s="91"/>
      <c r="AM979" s="91"/>
      <c r="AN979" s="91"/>
      <c r="AO979" s="105"/>
      <c r="AP979" s="105">
        <f>IF($AP$883&gt;0,PPMT('Assumptions (Solar)'!$V$8,Model!W$1,'Assumptions (Solar)'!$V$11,'Assumptions (Solar)'!$V$6*Model!$AP$883*('Assumptions (Solar)'!$AN$18*'Assumptions (Solar)'!$AN$2+'Assumptions (Solar)'!$AN$19*'Assumptions (Solar)'!$AN$3)/10^9),0)</f>
        <v>-82.128691506797637</v>
      </c>
      <c r="AQ979" s="105">
        <f>IF($AP$883&gt;0,PPMT('Assumptions (Solar)'!$V$8,Model!X$1,'Assumptions (Solar)'!$V$11,'Assumptions (Solar)'!$V$6*Model!$AP$883*('Assumptions (Solar)'!$AN$18*'Assumptions (Solar)'!$AN$2+'Assumptions (Solar)'!$AN$19*'Assumptions (Solar)'!$AN$3)/10^9),0)</f>
        <v>-88.698986827341471</v>
      </c>
      <c r="AR979" s="105">
        <f>IF($AP$883&gt;0,PPMT('Assumptions (Solar)'!$V$8,Model!Y$1,'Assumptions (Solar)'!$V$11,'Assumptions (Solar)'!$V$6*Model!$AP$883*('Assumptions (Solar)'!$AN$18*'Assumptions (Solar)'!$AN$2+'Assumptions (Solar)'!$AN$19*'Assumptions (Solar)'!$AN$3)/10^9),0)</f>
        <v>-95.794905773528768</v>
      </c>
      <c r="AS979" s="105">
        <f>IF($AP$883&gt;0,PPMT('Assumptions (Solar)'!$V$8,Model!Z$1,'Assumptions (Solar)'!$V$11,'Assumptions (Solar)'!$V$6*Model!$AP$883*('Assumptions (Solar)'!$AN$18*'Assumptions (Solar)'!$AN$2+'Assumptions (Solar)'!$AN$19*'Assumptions (Solar)'!$AN$3)/10^9),0)</f>
        <v>-103.45849823541108</v>
      </c>
      <c r="AT979" s="105">
        <f>IF($AP$883&gt;0,PPMT('Assumptions (Solar)'!$V$8,Model!AA$1,'Assumptions (Solar)'!$V$11,'Assumptions (Solar)'!$V$6*Model!$AP$883*('Assumptions (Solar)'!$AN$18*'Assumptions (Solar)'!$AN$2+'Assumptions (Solar)'!$AN$19*'Assumptions (Solar)'!$AN$3)/10^9),0)</f>
        <v>-111.73517809424399</v>
      </c>
      <c r="AU979" s="105">
        <f>IF($AP$883&gt;0,PPMT('Assumptions (Solar)'!$V$8,Model!AB$1,'Assumptions (Solar)'!$V$11,'Assumptions (Solar)'!$V$6*Model!$AP$883*('Assumptions (Solar)'!$AN$18*'Assumptions (Solar)'!$AN$2+'Assumptions (Solar)'!$AN$19*'Assumptions (Solar)'!$AN$3)/10^9),0)</f>
        <v>-120.67399234178349</v>
      </c>
      <c r="AV979" s="105">
        <f>IF($AP$883&gt;0,PPMT('Assumptions (Solar)'!$V$8,Model!AC$1,'Assumptions (Solar)'!$V$11,'Assumptions (Solar)'!$V$6*Model!$AP$883*('Assumptions (Solar)'!$AN$18*'Assumptions (Solar)'!$AN$2+'Assumptions (Solar)'!$AN$19*'Assumptions (Solar)'!$AN$3)/10^9),0)</f>
        <v>-130.32791172912616</v>
      </c>
      <c r="AW979" s="105">
        <f>IF($AP$883&gt;0,PPMT('Assumptions (Solar)'!$V$8,Model!AD$1,'Assumptions (Solar)'!$V$11,'Assumptions (Solar)'!$V$6*Model!$AP$883*('Assumptions (Solar)'!$AN$18*'Assumptions (Solar)'!$AN$2+'Assumptions (Solar)'!$AN$19*'Assumptions (Solar)'!$AN$3)/10^9),0)</f>
        <v>-140.75414466745627</v>
      </c>
      <c r="AX979" s="105">
        <f>IF($AP$883&gt;0,PPMT('Assumptions (Solar)'!$V$8,Model!AE$1,'Assumptions (Solar)'!$V$11,'Assumptions (Solar)'!$V$6*Model!$AP$883*('Assumptions (Solar)'!$AN$18*'Assumptions (Solar)'!$AN$2+'Assumptions (Solar)'!$AN$19*'Assumptions (Solar)'!$AN$3)/10^9),0)</f>
        <v>-152.01447624085276</v>
      </c>
      <c r="AY979" s="105">
        <f>IF($AP$883&gt;0,PPMT('Assumptions (Solar)'!$V$8,Model!AF$1,'Assumptions (Solar)'!$V$11,'Assumptions (Solar)'!$V$6*Model!$AP$883*('Assumptions (Solar)'!$AN$18*'Assumptions (Solar)'!$AN$2+'Assumptions (Solar)'!$AN$19*'Assumptions (Solar)'!$AN$3)/10^9),0)</f>
        <v>-164.17563434012095</v>
      </c>
      <c r="AZ979" s="105" t="e">
        <f>IF($AP$883&gt;0,PPMT('Assumptions (Solar)'!$V$8,Model!AG$1,'Assumptions (Solar)'!$V$11,'Assumptions (Solar)'!$V$6*Model!$AP$883*('Assumptions (Solar)'!$AN$18*'Assumptions (Solar)'!$AN$2+'Assumptions (Solar)'!$AN$19*'Assumptions (Solar)'!$AN$3)/10^9),0)</f>
        <v>#NUM!</v>
      </c>
      <c r="BA979" s="105" t="e">
        <f>IF($AP$883&gt;0,PPMT('Assumptions (Solar)'!$V$8,Model!AH$1,'Assumptions (Solar)'!$V$11,'Assumptions (Solar)'!$V$6*Model!$AP$883*('Assumptions (Solar)'!$AN$18*'Assumptions (Solar)'!$AN$2+'Assumptions (Solar)'!$AN$19*'Assumptions (Solar)'!$AN$3)/10^9),0)</f>
        <v>#NUM!</v>
      </c>
      <c r="BB979" s="105" t="e">
        <f>IF($AP$883&gt;0,PPMT('Assumptions (Solar)'!$V$8,Model!AI$1,'Assumptions (Solar)'!$V$11,'Assumptions (Solar)'!$V$6*Model!$AP$883*('Assumptions (Solar)'!$AN$18*'Assumptions (Solar)'!$AN$2+'Assumptions (Solar)'!$AN$19*'Assumptions (Solar)'!$AN$3)/10^9),0)</f>
        <v>#NUM!</v>
      </c>
      <c r="BC979" s="105" t="e">
        <f>IF($AP$883&gt;0,PPMT('Assumptions (Solar)'!$V$8,Model!AJ$1,'Assumptions (Solar)'!$V$11,'Assumptions (Solar)'!$V$6*Model!$AP$883*('Assumptions (Solar)'!$AN$18*'Assumptions (Solar)'!$AN$2+'Assumptions (Solar)'!$AN$19*'Assumptions (Solar)'!$AN$3)/10^9),0)</f>
        <v>#NUM!</v>
      </c>
      <c r="BD979" s="105" t="e">
        <f>IF($AP$883&gt;0,PPMT('Assumptions (Solar)'!$V$8,Model!AK$1,'Assumptions (Solar)'!$V$11,'Assumptions (Solar)'!$V$6*Model!$AP$883*('Assumptions (Solar)'!$AN$18*'Assumptions (Solar)'!$AN$2+'Assumptions (Solar)'!$AN$19*'Assumptions (Solar)'!$AN$3)/10^9),0)</f>
        <v>#NUM!</v>
      </c>
      <c r="BE979" s="105"/>
      <c r="BF979" s="105"/>
      <c r="BG979" s="105"/>
      <c r="BH979" s="105"/>
      <c r="BI979" s="105"/>
      <c r="BJ979" s="105"/>
      <c r="BK979" s="105"/>
      <c r="BL979" s="105"/>
      <c r="BM979" s="105"/>
      <c r="BN979" s="105"/>
    </row>
    <row r="980" spans="1:77" ht="15.75" hidden="1" customHeight="1" outlineLevel="1">
      <c r="A980" s="401"/>
      <c r="B980" s="99"/>
      <c r="C980" s="99"/>
      <c r="D980" s="99"/>
      <c r="E980" s="99"/>
      <c r="F980" s="99"/>
      <c r="G980" s="99"/>
      <c r="H980" s="99"/>
      <c r="I980" s="99"/>
      <c r="J980" s="99"/>
      <c r="K980" s="99"/>
      <c r="L980" s="99"/>
      <c r="M980" s="99"/>
      <c r="N980" s="99"/>
      <c r="O980" s="99"/>
      <c r="P980" s="99"/>
      <c r="Q980" s="99"/>
      <c r="R980" s="99"/>
      <c r="S980" s="99"/>
      <c r="T980" s="99"/>
      <c r="U980" s="99"/>
      <c r="V980" s="99"/>
      <c r="W980" s="105"/>
      <c r="X980" s="105"/>
      <c r="Y980" s="105"/>
      <c r="Z980" s="105"/>
      <c r="AA980" s="105"/>
      <c r="AB980" s="105"/>
      <c r="AC980" s="105"/>
      <c r="AD980" s="105"/>
      <c r="AE980" s="105"/>
      <c r="AF980" s="105"/>
      <c r="AG980" s="105"/>
      <c r="AH980" s="105"/>
      <c r="AI980" s="105"/>
      <c r="AJ980" s="171"/>
      <c r="AK980" s="105"/>
      <c r="AL980" s="91"/>
      <c r="AM980" s="91"/>
      <c r="AN980" s="91"/>
      <c r="AO980" s="105"/>
      <c r="AP980" s="105"/>
      <c r="AQ980" s="105">
        <f>IF($AQ$883&gt;0,PPMT('Assumptions (Solar)'!$V$8,Model!W$1,'Assumptions (Solar)'!$V$11,'Assumptions (Solar)'!$V$6*Model!$AQ$883*('Assumptions (Solar)'!$AO$18*'Assumptions (Solar)'!$AO$2+'Assumptions (Solar)'!$AO$19*'Assumptions (Solar)'!$AO$3)/10^9),0)</f>
        <v>-83.96148706020135</v>
      </c>
      <c r="AR980" s="105">
        <f>IF($AQ$883&gt;0,PPMT('Assumptions (Solar)'!$V$8,Model!X$1,'Assumptions (Solar)'!$V$11,'Assumptions (Solar)'!$V$6*Model!$AQ$883*('Assumptions (Solar)'!$AO$18*'Assumptions (Solar)'!$AO$2+'Assumptions (Solar)'!$AO$19*'Assumptions (Solar)'!$AO$3)/10^9),0)</f>
        <v>-90.678406025017466</v>
      </c>
      <c r="AS980" s="105">
        <f>IF($AQ$883&gt;0,PPMT('Assumptions (Solar)'!$V$8,Model!Y$1,'Assumptions (Solar)'!$V$11,'Assumptions (Solar)'!$V$6*Model!$AQ$883*('Assumptions (Solar)'!$AO$18*'Assumptions (Solar)'!$AO$2+'Assumptions (Solar)'!$AO$19*'Assumptions (Solar)'!$AO$3)/10^9),0)</f>
        <v>-97.932678507018849</v>
      </c>
      <c r="AT980" s="105">
        <f>IF($AQ$883&gt;0,PPMT('Assumptions (Solar)'!$V$8,Model!Z$1,'Assumptions (Solar)'!$V$11,'Assumptions (Solar)'!$V$6*Model!$AQ$883*('Assumptions (Solar)'!$AO$18*'Assumptions (Solar)'!$AO$2+'Assumptions (Solar)'!$AO$19*'Assumptions (Solar)'!$AO$3)/10^9),0)</f>
        <v>-105.76729278758037</v>
      </c>
      <c r="AU980" s="105">
        <f>IF($AQ$883&gt;0,PPMT('Assumptions (Solar)'!$V$8,Model!AA$1,'Assumptions (Solar)'!$V$11,'Assumptions (Solar)'!$V$6*Model!$AQ$883*('Assumptions (Solar)'!$AO$18*'Assumptions (Solar)'!$AO$2+'Assumptions (Solar)'!$AO$19*'Assumptions (Solar)'!$AO$3)/10^9),0)</f>
        <v>-114.2286762105868</v>
      </c>
      <c r="AV980" s="105">
        <f>IF($AQ$883&gt;0,PPMT('Assumptions (Solar)'!$V$8,Model!AB$1,'Assumptions (Solar)'!$V$11,'Assumptions (Solar)'!$V$6*Model!$AQ$883*('Assumptions (Solar)'!$AO$18*'Assumptions (Solar)'!$AO$2+'Assumptions (Solar)'!$AO$19*'Assumptions (Solar)'!$AO$3)/10^9),0)</f>
        <v>-123.36697030743373</v>
      </c>
      <c r="AW980" s="105">
        <f>IF($AQ$883&gt;0,PPMT('Assumptions (Solar)'!$V$8,Model!AC$1,'Assumptions (Solar)'!$V$11,'Assumptions (Solar)'!$V$6*Model!$AQ$883*('Assumptions (Solar)'!$AO$18*'Assumptions (Solar)'!$AO$2+'Assumptions (Solar)'!$AO$19*'Assumptions (Solar)'!$AO$3)/10^9),0)</f>
        <v>-133.23632793202844</v>
      </c>
      <c r="AX980" s="105">
        <f>IF($AQ$883&gt;0,PPMT('Assumptions (Solar)'!$V$8,Model!AD$1,'Assumptions (Solar)'!$V$11,'Assumptions (Solar)'!$V$6*Model!$AQ$883*('Assumptions (Solar)'!$AO$18*'Assumptions (Solar)'!$AO$2+'Assumptions (Solar)'!$AO$19*'Assumptions (Solar)'!$AO$3)/10^9),0)</f>
        <v>-143.89523416659071</v>
      </c>
      <c r="AY980" s="105">
        <f>IF($AQ$883&gt;0,PPMT('Assumptions (Solar)'!$V$8,Model!AE$1,'Assumptions (Solar)'!$V$11,'Assumptions (Solar)'!$V$6*Model!$AQ$883*('Assumptions (Solar)'!$AO$18*'Assumptions (Solar)'!$AO$2+'Assumptions (Solar)'!$AO$19*'Assumptions (Solar)'!$AO$3)/10^9),0)</f>
        <v>-155.40685289991796</v>
      </c>
      <c r="AZ980" s="105">
        <f>IF($AQ$883&gt;0,PPMT('Assumptions (Solar)'!$V$8,Model!AF$1,'Assumptions (Solar)'!$V$11,'Assumptions (Solar)'!$V$6*Model!$AQ$883*('Assumptions (Solar)'!$AO$18*'Assumptions (Solar)'!$AO$2+'Assumptions (Solar)'!$AO$19*'Assumptions (Solar)'!$AO$3)/10^9),0)</f>
        <v>-167.83940113191142</v>
      </c>
      <c r="BA980" s="105" t="e">
        <f>IF($AQ$883&gt;0,PPMT('Assumptions (Solar)'!$V$8,Model!AG$1,'Assumptions (Solar)'!$V$11,'Assumptions (Solar)'!$V$6*Model!$AQ$883*('Assumptions (Solar)'!$AO$18*'Assumptions (Solar)'!$AO$2+'Assumptions (Solar)'!$AO$19*'Assumptions (Solar)'!$AO$3)/10^9),0)</f>
        <v>#NUM!</v>
      </c>
      <c r="BB980" s="105" t="e">
        <f>IF($AQ$883&gt;0,PPMT('Assumptions (Solar)'!$V$8,Model!AH$1,'Assumptions (Solar)'!$V$11,'Assumptions (Solar)'!$V$6*Model!$AQ$883*('Assumptions (Solar)'!$AO$18*'Assumptions (Solar)'!$AO$2+'Assumptions (Solar)'!$AO$19*'Assumptions (Solar)'!$AO$3)/10^9),0)</f>
        <v>#NUM!</v>
      </c>
      <c r="BC980" s="105" t="e">
        <f>IF($AQ$883&gt;0,PPMT('Assumptions (Solar)'!$V$8,Model!AI$1,'Assumptions (Solar)'!$V$11,'Assumptions (Solar)'!$V$6*Model!$AQ$883*('Assumptions (Solar)'!$AO$18*'Assumptions (Solar)'!$AO$2+'Assumptions (Solar)'!$AO$19*'Assumptions (Solar)'!$AO$3)/10^9),0)</f>
        <v>#NUM!</v>
      </c>
      <c r="BD980" s="105" t="e">
        <f>IF($AQ$883&gt;0,PPMT('Assumptions (Solar)'!$V$8,Model!AJ$1,'Assumptions (Solar)'!$V$11,'Assumptions (Solar)'!$V$6*Model!$AQ$883*('Assumptions (Solar)'!$AO$18*'Assumptions (Solar)'!$AO$2+'Assumptions (Solar)'!$AO$19*'Assumptions (Solar)'!$AO$3)/10^9),0)</f>
        <v>#NUM!</v>
      </c>
      <c r="BE980" s="105" t="e">
        <f>IF($AQ$883&gt;0,PPMT('Assumptions (Solar)'!$V$8,Model!AK$1,'Assumptions (Solar)'!$V$11,'Assumptions (Solar)'!$V$6*Model!$AQ$883*('Assumptions (Solar)'!$AO$18*'Assumptions (Solar)'!$AO$2+'Assumptions (Solar)'!$AO$19*'Assumptions (Solar)'!$AO$3)/10^9),0)</f>
        <v>#NUM!</v>
      </c>
      <c r="BF980" s="105"/>
      <c r="BG980" s="105"/>
      <c r="BH980" s="105"/>
      <c r="BI980" s="105"/>
      <c r="BJ980" s="105"/>
      <c r="BK980" s="105"/>
      <c r="BL980" s="105"/>
      <c r="BM980" s="105"/>
      <c r="BN980" s="105"/>
      <c r="BO980" s="105"/>
    </row>
    <row r="981" spans="1:77" ht="15.75" hidden="1" customHeight="1" outlineLevel="1">
      <c r="A981" s="401"/>
      <c r="B981" s="99"/>
      <c r="C981" s="99"/>
      <c r="D981" s="99"/>
      <c r="E981" s="99"/>
      <c r="F981" s="99"/>
      <c r="G981" s="99"/>
      <c r="H981" s="99"/>
      <c r="I981" s="99"/>
      <c r="J981" s="99"/>
      <c r="K981" s="99"/>
      <c r="L981" s="99"/>
      <c r="M981" s="99"/>
      <c r="N981" s="99"/>
      <c r="O981" s="99"/>
      <c r="P981" s="99"/>
      <c r="Q981" s="99"/>
      <c r="R981" s="99"/>
      <c r="S981" s="99"/>
      <c r="T981" s="99"/>
      <c r="U981" s="99"/>
      <c r="V981" s="99"/>
      <c r="W981" s="105"/>
      <c r="X981" s="105"/>
      <c r="Y981" s="105"/>
      <c r="Z981" s="105"/>
      <c r="AA981" s="105"/>
      <c r="AB981" s="105"/>
      <c r="AC981" s="105"/>
      <c r="AD981" s="105"/>
      <c r="AE981" s="105"/>
      <c r="AF981" s="105"/>
      <c r="AG981" s="105"/>
      <c r="AH981" s="105"/>
      <c r="AI981" s="105"/>
      <c r="AJ981" s="171"/>
      <c r="AK981" s="105"/>
      <c r="AL981" s="91"/>
      <c r="AM981" s="91"/>
      <c r="AN981" s="91"/>
      <c r="AO981" s="105"/>
      <c r="AP981" s="105"/>
      <c r="AQ981" s="105"/>
      <c r="AR981" s="105">
        <f>IF($AR$883&gt;0,PPMT('Assumptions (Solar)'!$V$8,Model!W$1,'Assumptions (Solar)'!$V$11,'Assumptions (Solar)'!$V$6*Model!$AR$883*('Assumptions (Solar)'!$AP$18*'Assumptions (Solar)'!$AP$2+'Assumptions (Solar)'!$AP$19*'Assumptions (Solar)'!$AP$3)/10^9),0)</f>
        <v>-85.945127625948459</v>
      </c>
      <c r="AS981" s="105">
        <f>IF($AR$883&gt;0,PPMT('Assumptions (Solar)'!$V$8,Model!X$1,'Assumptions (Solar)'!$V$11,'Assumptions (Solar)'!$V$6*Model!$AR$883*('Assumptions (Solar)'!$AP$18*'Assumptions (Solar)'!$AP$2+'Assumptions (Solar)'!$AP$19*'Assumptions (Solar)'!$AP$3)/10^9),0)</f>
        <v>-92.82073783602435</v>
      </c>
      <c r="AT981" s="105">
        <f>IF($AR$883&gt;0,PPMT('Assumptions (Solar)'!$V$8,Model!Y$1,'Assumptions (Solar)'!$V$11,'Assumptions (Solar)'!$V$6*Model!$AR$883*('Assumptions (Solar)'!$AP$18*'Assumptions (Solar)'!$AP$2+'Assumptions (Solar)'!$AP$19*'Assumptions (Solar)'!$AP$3)/10^9),0)</f>
        <v>-100.24639686290629</v>
      </c>
      <c r="AU981" s="105">
        <f>IF($AR$883&gt;0,PPMT('Assumptions (Solar)'!$V$8,Model!Z$1,'Assumptions (Solar)'!$V$11,'Assumptions (Solar)'!$V$6*Model!$AR$883*('Assumptions (Solar)'!$AP$18*'Assumptions (Solar)'!$AP$2+'Assumptions (Solar)'!$AP$19*'Assumptions (Solar)'!$AP$3)/10^9),0)</f>
        <v>-108.2661086119388</v>
      </c>
      <c r="AV981" s="105">
        <f>IF($AR$883&gt;0,PPMT('Assumptions (Solar)'!$V$8,Model!AA$1,'Assumptions (Solar)'!$V$11,'Assumptions (Solar)'!$V$6*Model!$AR$883*('Assumptions (Solar)'!$AP$18*'Assumptions (Solar)'!$AP$2+'Assumptions (Solar)'!$AP$19*'Assumptions (Solar)'!$AP$3)/10^9),0)</f>
        <v>-116.92739730089392</v>
      </c>
      <c r="AW981" s="105">
        <f>IF($AR$883&gt;0,PPMT('Assumptions (Solar)'!$V$8,Model!AB$1,'Assumptions (Solar)'!$V$11,'Assumptions (Solar)'!$V$6*Model!$AR$883*('Assumptions (Solar)'!$AP$18*'Assumptions (Solar)'!$AP$2+'Assumptions (Solar)'!$AP$19*'Assumptions (Solar)'!$AP$3)/10^9),0)</f>
        <v>-126.2815890849654</v>
      </c>
      <c r="AX981" s="105">
        <f>IF($AR$883&gt;0,PPMT('Assumptions (Solar)'!$V$8,Model!AC$1,'Assumptions (Solar)'!$V$11,'Assumptions (Solar)'!$V$6*Model!$AR$883*('Assumptions (Solar)'!$AP$18*'Assumptions (Solar)'!$AP$2+'Assumptions (Solar)'!$AP$19*'Assumptions (Solar)'!$AP$3)/10^9),0)</f>
        <v>-136.38411621176263</v>
      </c>
      <c r="AY981" s="105">
        <f>IF($AR$883&gt;0,PPMT('Assumptions (Solar)'!$V$8,Model!AD$1,'Assumptions (Solar)'!$V$11,'Assumptions (Solar)'!$V$6*Model!$AR$883*('Assumptions (Solar)'!$AP$18*'Assumptions (Solar)'!$AP$2+'Assumptions (Solar)'!$AP$19*'Assumptions (Solar)'!$AP$3)/10^9),0)</f>
        <v>-147.29484550870367</v>
      </c>
      <c r="AZ981" s="105">
        <f>IF($AR$883&gt;0,PPMT('Assumptions (Solar)'!$V$8,Model!AE$1,'Assumptions (Solar)'!$V$11,'Assumptions (Solar)'!$V$6*Model!$AR$883*('Assumptions (Solar)'!$AP$18*'Assumptions (Solar)'!$AP$2+'Assumptions (Solar)'!$AP$19*'Assumptions (Solar)'!$AP$3)/10^9),0)</f>
        <v>-159.07843314939993</v>
      </c>
      <c r="BA981" s="105">
        <f>IF($AR$883&gt;0,PPMT('Assumptions (Solar)'!$V$8,Model!AF$1,'Assumptions (Solar)'!$V$11,'Assumptions (Solar)'!$V$6*Model!$AR$883*('Assumptions (Solar)'!$AP$18*'Assumptions (Solar)'!$AP$2+'Assumptions (Solar)'!$AP$19*'Assumptions (Solar)'!$AP$3)/10^9),0)</f>
        <v>-171.80470780135195</v>
      </c>
      <c r="BB981" s="105" t="e">
        <f>IF($AR$883&gt;0,PPMT('Assumptions (Solar)'!$V$8,Model!AG$1,'Assumptions (Solar)'!$V$11,'Assumptions (Solar)'!$V$6*Model!$AR$883*('Assumptions (Solar)'!$AP$18*'Assumptions (Solar)'!$AP$2+'Assumptions (Solar)'!$AP$19*'Assumptions (Solar)'!$AP$3)/10^9),0)</f>
        <v>#NUM!</v>
      </c>
      <c r="BC981" s="105" t="e">
        <f>IF($AR$883&gt;0,PPMT('Assumptions (Solar)'!$V$8,Model!AH$1,'Assumptions (Solar)'!$V$11,'Assumptions (Solar)'!$V$6*Model!$AR$883*('Assumptions (Solar)'!$AP$18*'Assumptions (Solar)'!$AP$2+'Assumptions (Solar)'!$AP$19*'Assumptions (Solar)'!$AP$3)/10^9),0)</f>
        <v>#NUM!</v>
      </c>
      <c r="BD981" s="105" t="e">
        <f>IF($AR$883&gt;0,PPMT('Assumptions (Solar)'!$V$8,Model!AI$1,'Assumptions (Solar)'!$V$11,'Assumptions (Solar)'!$V$6*Model!$AR$883*('Assumptions (Solar)'!$AP$18*'Assumptions (Solar)'!$AP$2+'Assumptions (Solar)'!$AP$19*'Assumptions (Solar)'!$AP$3)/10^9),0)</f>
        <v>#NUM!</v>
      </c>
      <c r="BE981" s="105" t="e">
        <f>IF($AR$883&gt;0,PPMT('Assumptions (Solar)'!$V$8,Model!AJ$1,'Assumptions (Solar)'!$V$11,'Assumptions (Solar)'!$V$6*Model!$AR$883*('Assumptions (Solar)'!$AP$18*'Assumptions (Solar)'!$AP$2+'Assumptions (Solar)'!$AP$19*'Assumptions (Solar)'!$AP$3)/10^9),0)</f>
        <v>#NUM!</v>
      </c>
      <c r="BF981" s="105" t="e">
        <f>IF($AR$883&gt;0,PPMT('Assumptions (Solar)'!$V$8,Model!AK$1,'Assumptions (Solar)'!$V$11,'Assumptions (Solar)'!$V$6*Model!$AR$883*('Assumptions (Solar)'!$AP$18*'Assumptions (Solar)'!$AP$2+'Assumptions (Solar)'!$AP$19*'Assumptions (Solar)'!$AP$3)/10^9),0)</f>
        <v>#NUM!</v>
      </c>
      <c r="BG981" s="105"/>
      <c r="BH981" s="105"/>
      <c r="BI981" s="105"/>
      <c r="BJ981" s="105"/>
      <c r="BK981" s="105"/>
      <c r="BL981" s="105"/>
      <c r="BM981" s="105"/>
      <c r="BN981" s="105"/>
      <c r="BO981" s="105"/>
      <c r="BP981" s="105"/>
    </row>
    <row r="982" spans="1:77" ht="15.75" hidden="1" customHeight="1" outlineLevel="1">
      <c r="A982" s="401"/>
      <c r="B982" s="99"/>
      <c r="C982" s="99"/>
      <c r="D982" s="99"/>
      <c r="E982" s="99"/>
      <c r="F982" s="99"/>
      <c r="G982" s="99"/>
      <c r="H982" s="99"/>
      <c r="I982" s="99"/>
      <c r="J982" s="99"/>
      <c r="K982" s="99"/>
      <c r="L982" s="99"/>
      <c r="M982" s="99"/>
      <c r="N982" s="99"/>
      <c r="O982" s="99"/>
      <c r="P982" s="99"/>
      <c r="Q982" s="99"/>
      <c r="R982" s="99"/>
      <c r="S982" s="99"/>
      <c r="T982" s="99"/>
      <c r="U982" s="99"/>
      <c r="V982" s="99"/>
      <c r="W982" s="105"/>
      <c r="X982" s="105"/>
      <c r="Y982" s="105"/>
      <c r="Z982" s="105"/>
      <c r="AA982" s="105"/>
      <c r="AB982" s="105"/>
      <c r="AC982" s="105"/>
      <c r="AD982" s="105"/>
      <c r="AE982" s="105"/>
      <c r="AF982" s="105"/>
      <c r="AG982" s="105"/>
      <c r="AH982" s="105"/>
      <c r="AI982" s="105"/>
      <c r="AJ982" s="171"/>
      <c r="AK982" s="105"/>
      <c r="AL982" s="91"/>
      <c r="AM982" s="91"/>
      <c r="AN982" s="91"/>
      <c r="AO982" s="105"/>
      <c r="AP982" s="105"/>
      <c r="AQ982" s="105"/>
      <c r="AR982" s="105"/>
      <c r="AS982" s="105">
        <f>IF($AS$883&gt;0,PPMT('Assumptions (Solar)'!$V$8,Model!W$1,'Assumptions (Solar)'!$V$11,'Assumptions (Solar)'!$V$6*Model!$AS$883*('Assumptions (Solar)'!$AQ$18*'Assumptions (Solar)'!$AQ$2+'Assumptions (Solar)'!$AQ$19*'Assumptions (Solar)'!$AQ$3)/10^9),0)</f>
        <v>-87.924773137349561</v>
      </c>
      <c r="AT982" s="105">
        <f>IF($AS$883&gt;0,PPMT('Assumptions (Solar)'!$V$8,Model!X$1,'Assumptions (Solar)'!$V$11,'Assumptions (Solar)'!$V$6*Model!$AS$883*('Assumptions (Solar)'!$AQ$18*'Assumptions (Solar)'!$AQ$2+'Assumptions (Solar)'!$AQ$19*'Assumptions (Solar)'!$AQ$3)/10^9),0)</f>
        <v>-94.958754988337532</v>
      </c>
      <c r="AU982" s="105">
        <f>IF($AS$883&gt;0,PPMT('Assumptions (Solar)'!$V$8,Model!Y$1,'Assumptions (Solar)'!$V$11,'Assumptions (Solar)'!$V$6*Model!$AS$883*('Assumptions (Solar)'!$AQ$18*'Assumptions (Solar)'!$AQ$2+'Assumptions (Solar)'!$AQ$19*'Assumptions (Solar)'!$AQ$3)/10^9),0)</f>
        <v>-102.55545538740454</v>
      </c>
      <c r="AV982" s="105">
        <f>IF($AS$883&gt;0,PPMT('Assumptions (Solar)'!$V$8,Model!Z$1,'Assumptions (Solar)'!$V$11,'Assumptions (Solar)'!$V$6*Model!$AS$883*('Assumptions (Solar)'!$AQ$18*'Assumptions (Solar)'!$AQ$2+'Assumptions (Solar)'!$AQ$19*'Assumptions (Solar)'!$AQ$3)/10^9),0)</f>
        <v>-110.75989181839691</v>
      </c>
      <c r="AW982" s="105">
        <f>IF($AS$883&gt;0,PPMT('Assumptions (Solar)'!$V$8,Model!AA$1,'Assumptions (Solar)'!$V$11,'Assumptions (Solar)'!$V$6*Model!$AS$883*('Assumptions (Solar)'!$AQ$18*'Assumptions (Solar)'!$AQ$2+'Assumptions (Solar)'!$AQ$19*'Assumptions (Solar)'!$AQ$3)/10^9),0)</f>
        <v>-119.62068316386865</v>
      </c>
      <c r="AX982" s="105">
        <f>IF($AS$883&gt;0,PPMT('Assumptions (Solar)'!$V$8,Model!AB$1,'Assumptions (Solar)'!$V$11,'Assumptions (Solar)'!$V$6*Model!$AS$883*('Assumptions (Solar)'!$AQ$18*'Assumptions (Solar)'!$AQ$2+'Assumptions (Solar)'!$AQ$19*'Assumptions (Solar)'!$AQ$3)/10^9),0)</f>
        <v>-129.19033781697814</v>
      </c>
      <c r="AY982" s="105">
        <f>IF($AS$883&gt;0,PPMT('Assumptions (Solar)'!$V$8,Model!AC$1,'Assumptions (Solar)'!$V$11,'Assumptions (Solar)'!$V$6*Model!$AS$883*('Assumptions (Solar)'!$AQ$18*'Assumptions (Solar)'!$AQ$2+'Assumptions (Solar)'!$AQ$19*'Assumptions (Solar)'!$AQ$3)/10^9),0)</f>
        <v>-139.52556484233637</v>
      </c>
      <c r="AZ982" s="105">
        <f>IF($AS$883&gt;0,PPMT('Assumptions (Solar)'!$V$8,Model!AD$1,'Assumptions (Solar)'!$V$11,'Assumptions (Solar)'!$V$6*Model!$AS$883*('Assumptions (Solar)'!$AQ$18*'Assumptions (Solar)'!$AQ$2+'Assumptions (Solar)'!$AQ$19*'Assumptions (Solar)'!$AQ$3)/10^9),0)</f>
        <v>-150.68761002972329</v>
      </c>
      <c r="BA982" s="105">
        <f>IF($AS$883&gt;0,PPMT('Assumptions (Solar)'!$V$8,Model!AE$1,'Assumptions (Solar)'!$V$11,'Assumptions (Solar)'!$V$6*Model!$AS$883*('Assumptions (Solar)'!$AQ$18*'Assumptions (Solar)'!$AQ$2+'Assumptions (Solar)'!$AQ$19*'Assumptions (Solar)'!$AQ$3)/10^9),0)</f>
        <v>-162.74261883210116</v>
      </c>
      <c r="BB982" s="105">
        <f>IF($AS$883&gt;0,PPMT('Assumptions (Solar)'!$V$8,Model!AF$1,'Assumptions (Solar)'!$V$11,'Assumptions (Solar)'!$V$6*Model!$AS$883*('Assumptions (Solar)'!$AQ$18*'Assumptions (Solar)'!$AQ$2+'Assumptions (Solar)'!$AQ$19*'Assumptions (Solar)'!$AQ$3)/10^9),0)</f>
        <v>-175.76202833866927</v>
      </c>
      <c r="BC982" s="105" t="e">
        <f>IF($AS$883&gt;0,PPMT('Assumptions (Solar)'!$V$8,Model!AG$1,'Assumptions (Solar)'!$V$11,'Assumptions (Solar)'!$V$6*Model!$AS$883*('Assumptions (Solar)'!$AQ$18*'Assumptions (Solar)'!$AQ$2+'Assumptions (Solar)'!$AQ$19*'Assumptions (Solar)'!$AQ$3)/10^9),0)</f>
        <v>#NUM!</v>
      </c>
      <c r="BD982" s="105" t="e">
        <f>IF($AS$883&gt;0,PPMT('Assumptions (Solar)'!$V$8,Model!AH$1,'Assumptions (Solar)'!$V$11,'Assumptions (Solar)'!$V$6*Model!$AS$883*('Assumptions (Solar)'!$AQ$18*'Assumptions (Solar)'!$AQ$2+'Assumptions (Solar)'!$AQ$19*'Assumptions (Solar)'!$AQ$3)/10^9),0)</f>
        <v>#NUM!</v>
      </c>
      <c r="BE982" s="105" t="e">
        <f>IF($AS$883&gt;0,PPMT('Assumptions (Solar)'!$V$8,Model!AI$1,'Assumptions (Solar)'!$V$11,'Assumptions (Solar)'!$V$6*Model!$AS$883*('Assumptions (Solar)'!$AQ$18*'Assumptions (Solar)'!$AQ$2+'Assumptions (Solar)'!$AQ$19*'Assumptions (Solar)'!$AQ$3)/10^9),0)</f>
        <v>#NUM!</v>
      </c>
      <c r="BF982" s="105" t="e">
        <f>IF($AS$883&gt;0,PPMT('Assumptions (Solar)'!$V$8,Model!AJ$1,'Assumptions (Solar)'!$V$11,'Assumptions (Solar)'!$V$6*Model!$AS$883*('Assumptions (Solar)'!$AQ$18*'Assumptions (Solar)'!$AQ$2+'Assumptions (Solar)'!$AQ$19*'Assumptions (Solar)'!$AQ$3)/10^9),0)</f>
        <v>#NUM!</v>
      </c>
      <c r="BG982" s="105" t="e">
        <f>IF($AS$883&gt;0,PPMT('Assumptions (Solar)'!$V$8,Model!AK$1,'Assumptions (Solar)'!$V$11,'Assumptions (Solar)'!$V$6*Model!$AS$883*('Assumptions (Solar)'!$AQ$18*'Assumptions (Solar)'!$AQ$2+'Assumptions (Solar)'!$AQ$19*'Assumptions (Solar)'!$AQ$3)/10^9),0)</f>
        <v>#NUM!</v>
      </c>
      <c r="BH982" s="105"/>
      <c r="BI982" s="105"/>
      <c r="BJ982" s="105"/>
      <c r="BK982" s="105"/>
      <c r="BL982" s="105"/>
      <c r="BM982" s="105"/>
      <c r="BN982" s="105"/>
      <c r="BO982" s="105"/>
      <c r="BP982" s="105"/>
      <c r="BQ982" s="105"/>
      <c r="BR982" s="105"/>
    </row>
    <row r="983" spans="1:77" ht="15.75" hidden="1" customHeight="1" outlineLevel="1">
      <c r="A983" s="401"/>
      <c r="B983" s="99"/>
      <c r="C983" s="99"/>
      <c r="D983" s="99"/>
      <c r="E983" s="99"/>
      <c r="F983" s="99"/>
      <c r="G983" s="99"/>
      <c r="H983" s="99"/>
      <c r="I983" s="99"/>
      <c r="J983" s="99"/>
      <c r="K983" s="99"/>
      <c r="L983" s="99"/>
      <c r="M983" s="99"/>
      <c r="N983" s="99"/>
      <c r="O983" s="99"/>
      <c r="P983" s="99"/>
      <c r="Q983" s="99"/>
      <c r="R983" s="99"/>
      <c r="S983" s="99"/>
      <c r="T983" s="99"/>
      <c r="U983" s="99"/>
      <c r="V983" s="99"/>
      <c r="W983" s="105"/>
      <c r="X983" s="105"/>
      <c r="Y983" s="105"/>
      <c r="Z983" s="105"/>
      <c r="AA983" s="105"/>
      <c r="AB983" s="105"/>
      <c r="AC983" s="105"/>
      <c r="AD983" s="105"/>
      <c r="AE983" s="105"/>
      <c r="AF983" s="105"/>
      <c r="AG983" s="105"/>
      <c r="AH983" s="105"/>
      <c r="AI983" s="105"/>
      <c r="AJ983" s="171"/>
      <c r="AK983" s="105"/>
      <c r="AL983" s="91"/>
      <c r="AM983" s="91"/>
      <c r="AN983" s="91"/>
      <c r="AO983" s="105"/>
      <c r="AP983" s="105"/>
      <c r="AQ983" s="105"/>
      <c r="AR983" s="105"/>
      <c r="AS983" s="105"/>
      <c r="AT983" s="105">
        <f>IF($AT$883&gt;0,PPMT('Assumptions (Solar)'!$V$8,Model!W$1,'Assumptions (Solar)'!$V$11,'Assumptions (Solar)'!$V$6*Model!$AT$883*('Assumptions (Solar)'!$AR$18*'Assumptions (Solar)'!$AR$2+'Assumptions (Solar)'!$AR$19*'Assumptions (Solar)'!$AR$3)/10^9),0)</f>
        <v>-90.005968665536386</v>
      </c>
      <c r="AU983" s="105">
        <f>IF($AT$883&gt;0,PPMT('Assumptions (Solar)'!$V$8,Model!X$1,'Assumptions (Solar)'!$V$11,'Assumptions (Solar)'!$V$6*Model!$AT$883*('Assumptions (Solar)'!$AR$18*'Assumptions (Solar)'!$AR$2+'Assumptions (Solar)'!$AR$19*'Assumptions (Solar)'!$AR$3)/10^9),0)</f>
        <v>-97.206446158779286</v>
      </c>
      <c r="AV983" s="105">
        <f>IF($AT$883&gt;0,PPMT('Assumptions (Solar)'!$V$8,Model!Y$1,'Assumptions (Solar)'!$V$11,'Assumptions (Solar)'!$V$6*Model!$AT$883*('Assumptions (Solar)'!$AR$18*'Assumptions (Solar)'!$AR$2+'Assumptions (Solar)'!$AR$19*'Assumptions (Solar)'!$AR$3)/10^9),0)</f>
        <v>-104.98296185148163</v>
      </c>
      <c r="AW983" s="105">
        <f>IF($AT$883&gt;0,PPMT('Assumptions (Solar)'!$V$8,Model!Z$1,'Assumptions (Solar)'!$V$11,'Assumptions (Solar)'!$V$6*Model!$AT$883*('Assumptions (Solar)'!$AR$18*'Assumptions (Solar)'!$AR$2+'Assumptions (Solar)'!$AR$19*'Assumptions (Solar)'!$AR$3)/10^9),0)</f>
        <v>-113.38159879960017</v>
      </c>
      <c r="AX983" s="105">
        <f>IF($AT$883&gt;0,PPMT('Assumptions (Solar)'!$V$8,Model!AA$1,'Assumptions (Solar)'!$V$11,'Assumptions (Solar)'!$V$6*Model!$AT$883*('Assumptions (Solar)'!$AR$18*'Assumptions (Solar)'!$AR$2+'Assumptions (Solar)'!$AR$19*'Assumptions (Solar)'!$AR$3)/10^9),0)</f>
        <v>-122.4521267035682</v>
      </c>
      <c r="AY983" s="105">
        <f>IF($AT$883&gt;0,PPMT('Assumptions (Solar)'!$V$8,Model!AB$1,'Assumptions (Solar)'!$V$11,'Assumptions (Solar)'!$V$6*Model!$AT$883*('Assumptions (Solar)'!$AR$18*'Assumptions (Solar)'!$AR$2+'Assumptions (Solar)'!$AR$19*'Assumptions (Solar)'!$AR$3)/10^9),0)</f>
        <v>-132.24829683985362</v>
      </c>
      <c r="AZ983" s="105">
        <f>IF($AT$883&gt;0,PPMT('Assumptions (Solar)'!$V$8,Model!AC$1,'Assumptions (Solar)'!$V$11,'Assumptions (Solar)'!$V$6*Model!$AT$883*('Assumptions (Solar)'!$AR$18*'Assumptions (Solar)'!$AR$2+'Assumptions (Solar)'!$AR$19*'Assumptions (Solar)'!$AR$3)/10^9),0)</f>
        <v>-142.82816058704191</v>
      </c>
      <c r="BA983" s="105">
        <f>IF($AT$883&gt;0,PPMT('Assumptions (Solar)'!$V$8,Model!AD$1,'Assumptions (Solar)'!$V$11,'Assumptions (Solar)'!$V$6*Model!$AT$883*('Assumptions (Solar)'!$AR$18*'Assumptions (Solar)'!$AR$2+'Assumptions (Solar)'!$AR$19*'Assumptions (Solar)'!$AR$3)/10^9),0)</f>
        <v>-154.25441343400527</v>
      </c>
      <c r="BB983" s="105">
        <f>IF($AT$883&gt;0,PPMT('Assumptions (Solar)'!$V$8,Model!AE$1,'Assumptions (Solar)'!$V$11,'Assumptions (Solar)'!$V$6*Model!$AT$883*('Assumptions (Solar)'!$AR$18*'Assumptions (Solar)'!$AR$2+'Assumptions (Solar)'!$AR$19*'Assumptions (Solar)'!$AR$3)/10^9),0)</f>
        <v>-166.59476650872571</v>
      </c>
      <c r="BC983" s="105">
        <f>IF($AT$883&gt;0,PPMT('Assumptions (Solar)'!$V$8,Model!AF$1,'Assumptions (Solar)'!$V$11,'Assumptions (Solar)'!$V$6*Model!$AT$883*('Assumptions (Solar)'!$AR$18*'Assumptions (Solar)'!$AR$2+'Assumptions (Solar)'!$AR$19*'Assumptions (Solar)'!$AR$3)/10^9),0)</f>
        <v>-179.92234782942376</v>
      </c>
      <c r="BD983" s="105" t="e">
        <f>IF($AT$883&gt;0,PPMT('Assumptions (Solar)'!$V$8,Model!AG$1,'Assumptions (Solar)'!$V$11,'Assumptions (Solar)'!$V$6*Model!$AT$883*('Assumptions (Solar)'!$AR$18*'Assumptions (Solar)'!$AR$2+'Assumptions (Solar)'!$AR$19*'Assumptions (Solar)'!$AR$3)/10^9),0)</f>
        <v>#NUM!</v>
      </c>
      <c r="BE983" s="105" t="e">
        <f>IF($AT$883&gt;0,PPMT('Assumptions (Solar)'!$V$8,Model!AH$1,'Assumptions (Solar)'!$V$11,'Assumptions (Solar)'!$V$6*Model!$AT$883*('Assumptions (Solar)'!$AR$18*'Assumptions (Solar)'!$AR$2+'Assumptions (Solar)'!$AR$19*'Assumptions (Solar)'!$AR$3)/10^9),0)</f>
        <v>#NUM!</v>
      </c>
      <c r="BF983" s="105" t="e">
        <f>IF($AT$883&gt;0,PPMT('Assumptions (Solar)'!$V$8,Model!AI$1,'Assumptions (Solar)'!$V$11,'Assumptions (Solar)'!$V$6*Model!$AT$883*('Assumptions (Solar)'!$AR$18*'Assumptions (Solar)'!$AR$2+'Assumptions (Solar)'!$AR$19*'Assumptions (Solar)'!$AR$3)/10^9),0)</f>
        <v>#NUM!</v>
      </c>
      <c r="BG983" s="105" t="e">
        <f>IF($AT$883&gt;0,PPMT('Assumptions (Solar)'!$V$8,Model!AJ$1,'Assumptions (Solar)'!$V$11,'Assumptions (Solar)'!$V$6*Model!$AT$883*('Assumptions (Solar)'!$AR$18*'Assumptions (Solar)'!$AR$2+'Assumptions (Solar)'!$AR$19*'Assumptions (Solar)'!$AR$3)/10^9),0)</f>
        <v>#NUM!</v>
      </c>
      <c r="BH983" s="105" t="e">
        <f>IF($AT$883&gt;0,PPMT('Assumptions (Solar)'!$V$8,Model!AK$1,'Assumptions (Solar)'!$V$11,'Assumptions (Solar)'!$V$6*Model!$AT$883*('Assumptions (Solar)'!$AR$18*'Assumptions (Solar)'!$AR$2+'Assumptions (Solar)'!$AR$19*'Assumptions (Solar)'!$AR$3)/10^9),0)</f>
        <v>#NUM!</v>
      </c>
      <c r="BI983" s="105"/>
      <c r="BJ983" s="105"/>
      <c r="BK983" s="105"/>
      <c r="BL983" s="105"/>
      <c r="BM983" s="105"/>
      <c r="BN983" s="105"/>
      <c r="BO983" s="105"/>
      <c r="BP983" s="105"/>
      <c r="BQ983" s="105"/>
      <c r="BR983" s="105"/>
    </row>
    <row r="984" spans="1:77" ht="15.75" hidden="1" customHeight="1" outlineLevel="1">
      <c r="A984" s="401"/>
      <c r="B984" s="99"/>
      <c r="C984" s="99"/>
      <c r="D984" s="99"/>
      <c r="E984" s="99"/>
      <c r="F984" s="99"/>
      <c r="G984" s="99"/>
      <c r="H984" s="99"/>
      <c r="I984" s="99"/>
      <c r="J984" s="99"/>
      <c r="K984" s="99"/>
      <c r="L984" s="99"/>
      <c r="M984" s="99"/>
      <c r="N984" s="99"/>
      <c r="O984" s="99"/>
      <c r="P984" s="99"/>
      <c r="Q984" s="99"/>
      <c r="R984" s="99"/>
      <c r="S984" s="99"/>
      <c r="T984" s="99"/>
      <c r="U984" s="99"/>
      <c r="V984" s="99"/>
      <c r="W984" s="105"/>
      <c r="X984" s="105"/>
      <c r="Y984" s="105"/>
      <c r="Z984" s="105"/>
      <c r="AA984" s="105"/>
      <c r="AB984" s="105"/>
      <c r="AC984" s="105"/>
      <c r="AD984" s="105"/>
      <c r="AE984" s="105"/>
      <c r="AF984" s="105"/>
      <c r="AG984" s="105"/>
      <c r="AH984" s="105"/>
      <c r="AI984" s="105"/>
      <c r="AJ984" s="171"/>
      <c r="AK984" s="105"/>
      <c r="AL984" s="91"/>
      <c r="AM984" s="91"/>
      <c r="AN984" s="91"/>
      <c r="AO984" s="105"/>
      <c r="AP984" s="105"/>
      <c r="AQ984" s="105"/>
      <c r="AR984" s="105"/>
      <c r="AS984" s="105"/>
      <c r="AT984" s="105"/>
      <c r="AU984" s="105">
        <f>IF($AU$883&gt;0,PPMT('Assumptions (Solar)'!$V$8,Model!W$1,'Assumptions (Solar)'!$V$11,'Assumptions (Solar)'!$V$6*Model!$AU$883*('Assumptions (Solar)'!$AS$18*'Assumptions (Solar)'!$AS$2+'Assumptions (Solar)'!$AS$19*'Assumptions (Solar)'!$AS$3)/10^9),0)</f>
        <v>-92.184417680317495</v>
      </c>
      <c r="AV984" s="105">
        <f>IF($AU$883&gt;0,PPMT('Assumptions (Solar)'!$V$8,Model!X$1,'Assumptions (Solar)'!$V$11,'Assumptions (Solar)'!$V$6*Model!$AU$883*('Assumptions (Solar)'!$AS$18*'Assumptions (Solar)'!$AS$2+'Assumptions (Solar)'!$AS$19*'Assumptions (Solar)'!$AS$3)/10^9),0)</f>
        <v>-99.559171094742894</v>
      </c>
      <c r="AW984" s="105">
        <f>IF($AU$883&gt;0,PPMT('Assumptions (Solar)'!$V$8,Model!Y$1,'Assumptions (Solar)'!$V$11,'Assumptions (Solar)'!$V$6*Model!$AU$883*('Assumptions (Solar)'!$AS$18*'Assumptions (Solar)'!$AS$2+'Assumptions (Solar)'!$AS$19*'Assumptions (Solar)'!$AS$3)/10^9),0)</f>
        <v>-107.52390478232232</v>
      </c>
      <c r="AX984" s="105">
        <f>IF($AU$883&gt;0,PPMT('Assumptions (Solar)'!$V$8,Model!Z$1,'Assumptions (Solar)'!$V$11,'Assumptions (Solar)'!$V$6*Model!$AU$883*('Assumptions (Solar)'!$AS$18*'Assumptions (Solar)'!$AS$2+'Assumptions (Solar)'!$AS$19*'Assumptions (Solar)'!$AS$3)/10^9),0)</f>
        <v>-116.12581716490811</v>
      </c>
      <c r="AY984" s="105">
        <f>IF($AU$883&gt;0,PPMT('Assumptions (Solar)'!$V$8,Model!AA$1,'Assumptions (Solar)'!$V$11,'Assumptions (Solar)'!$V$6*Model!$AU$883*('Assumptions (Solar)'!$AS$18*'Assumptions (Solar)'!$AS$2+'Assumptions (Solar)'!$AS$19*'Assumptions (Solar)'!$AS$3)/10^9),0)</f>
        <v>-125.41588253810076</v>
      </c>
      <c r="AZ984" s="105">
        <f>IF($AU$883&gt;0,PPMT('Assumptions (Solar)'!$V$8,Model!AB$1,'Assumptions (Solar)'!$V$11,'Assumptions (Solar)'!$V$6*Model!$AU$883*('Assumptions (Solar)'!$AS$18*'Assumptions (Solar)'!$AS$2+'Assumptions (Solar)'!$AS$19*'Assumptions (Solar)'!$AS$3)/10^9),0)</f>
        <v>-135.4491531411488</v>
      </c>
      <c r="BA984" s="105">
        <f>IF($AU$883&gt;0,PPMT('Assumptions (Solar)'!$V$8,Model!AC$1,'Assumptions (Solar)'!$V$11,'Assumptions (Solar)'!$V$6*Model!$AU$883*('Assumptions (Solar)'!$AS$18*'Assumptions (Solar)'!$AS$2+'Assumptions (Solar)'!$AS$19*'Assumptions (Solar)'!$AS$3)/10^9),0)</f>
        <v>-146.28508539244072</v>
      </c>
      <c r="BB984" s="105">
        <f>IF($AU$883&gt;0,PPMT('Assumptions (Solar)'!$V$8,Model!AD$1,'Assumptions (Solar)'!$V$11,'Assumptions (Solar)'!$V$6*Model!$AU$883*('Assumptions (Solar)'!$AS$18*'Assumptions (Solar)'!$AS$2+'Assumptions (Solar)'!$AS$19*'Assumptions (Solar)'!$AS$3)/10^9),0)</f>
        <v>-157.98789222383598</v>
      </c>
      <c r="BC984" s="105">
        <f>IF($AU$883&gt;0,PPMT('Assumptions (Solar)'!$V$8,Model!AE$1,'Assumptions (Solar)'!$V$11,'Assumptions (Solar)'!$V$6*Model!$AU$883*('Assumptions (Solar)'!$AS$18*'Assumptions (Solar)'!$AS$2+'Assumptions (Solar)'!$AS$19*'Assumptions (Solar)'!$AS$3)/10^9),0)</f>
        <v>-170.62692360174285</v>
      </c>
      <c r="BD984" s="105">
        <f>IF($AU$883&gt;0,PPMT('Assumptions (Solar)'!$V$8,Model!AF$1,'Assumptions (Solar)'!$V$11,'Assumptions (Solar)'!$V$6*Model!$AU$883*('Assumptions (Solar)'!$AS$18*'Assumptions (Solar)'!$AS$2+'Assumptions (Solar)'!$AS$19*'Assumptions (Solar)'!$AS$3)/10^9),0)</f>
        <v>-184.27707748988229</v>
      </c>
      <c r="BE984" s="105" t="e">
        <f>IF($AU$883&gt;0,PPMT('Assumptions (Solar)'!$V$8,Model!AG$1,'Assumptions (Solar)'!$V$11,'Assumptions (Solar)'!$V$6*Model!$AU$883*('Assumptions (Solar)'!$AS$18*'Assumptions (Solar)'!$AS$2+'Assumptions (Solar)'!$AS$19*'Assumptions (Solar)'!$AS$3)/10^9),0)</f>
        <v>#NUM!</v>
      </c>
      <c r="BF984" s="105" t="e">
        <f>IF($AU$883&gt;0,PPMT('Assumptions (Solar)'!$V$8,Model!AH$1,'Assumptions (Solar)'!$V$11,'Assumptions (Solar)'!$V$6*Model!$AU$883*('Assumptions (Solar)'!$AS$18*'Assumptions (Solar)'!$AS$2+'Assumptions (Solar)'!$AS$19*'Assumptions (Solar)'!$AS$3)/10^9),0)</f>
        <v>#NUM!</v>
      </c>
      <c r="BG984" s="105" t="e">
        <f>IF($AU$883&gt;0,PPMT('Assumptions (Solar)'!$V$8,Model!AI$1,'Assumptions (Solar)'!$V$11,'Assumptions (Solar)'!$V$6*Model!$AU$883*('Assumptions (Solar)'!$AS$18*'Assumptions (Solar)'!$AS$2+'Assumptions (Solar)'!$AS$19*'Assumptions (Solar)'!$AS$3)/10^9),0)</f>
        <v>#NUM!</v>
      </c>
      <c r="BH984" s="105" t="e">
        <f>IF($AU$883&gt;0,PPMT('Assumptions (Solar)'!$V$8,Model!AJ$1,'Assumptions (Solar)'!$V$11,'Assumptions (Solar)'!$V$6*Model!$AU$883*('Assumptions (Solar)'!$AS$18*'Assumptions (Solar)'!$AS$2+'Assumptions (Solar)'!$AS$19*'Assumptions (Solar)'!$AS$3)/10^9),0)</f>
        <v>#NUM!</v>
      </c>
      <c r="BI984" s="105" t="e">
        <f>IF($AU$883&gt;0,PPMT('Assumptions (Solar)'!$V$8,Model!AK$1,'Assumptions (Solar)'!$V$11,'Assumptions (Solar)'!$V$6*Model!$AU$883*('Assumptions (Solar)'!$AS$18*'Assumptions (Solar)'!$AS$2+'Assumptions (Solar)'!$AS$19*'Assumptions (Solar)'!$AS$3)/10^9),0)</f>
        <v>#NUM!</v>
      </c>
      <c r="BJ984" s="105"/>
      <c r="BK984" s="105"/>
      <c r="BL984" s="105"/>
      <c r="BM984" s="105"/>
      <c r="BN984" s="105"/>
      <c r="BO984" s="105"/>
      <c r="BP984" s="105"/>
      <c r="BQ984" s="105"/>
      <c r="BR984" s="105"/>
      <c r="BS984" s="105"/>
    </row>
    <row r="985" spans="1:77" ht="15.75" hidden="1" customHeight="1" outlineLevel="1">
      <c r="A985" s="401"/>
      <c r="B985" s="99"/>
      <c r="C985" s="99"/>
      <c r="D985" s="99"/>
      <c r="E985" s="99"/>
      <c r="F985" s="99"/>
      <c r="G985" s="99"/>
      <c r="H985" s="99"/>
      <c r="I985" s="99"/>
      <c r="J985" s="99"/>
      <c r="K985" s="99"/>
      <c r="L985" s="99"/>
      <c r="M985" s="99"/>
      <c r="N985" s="99"/>
      <c r="O985" s="99"/>
      <c r="P985" s="99"/>
      <c r="Q985" s="99"/>
      <c r="R985" s="99"/>
      <c r="S985" s="99"/>
      <c r="T985" s="99"/>
      <c r="U985" s="99"/>
      <c r="V985" s="99"/>
      <c r="W985" s="105"/>
      <c r="X985" s="105"/>
      <c r="Y985" s="105"/>
      <c r="Z985" s="105"/>
      <c r="AA985" s="105"/>
      <c r="AB985" s="105"/>
      <c r="AC985" s="105"/>
      <c r="AD985" s="105"/>
      <c r="AE985" s="105"/>
      <c r="AF985" s="105"/>
      <c r="AG985" s="105"/>
      <c r="AH985" s="105"/>
      <c r="AI985" s="105"/>
      <c r="AJ985" s="171"/>
      <c r="AK985" s="105"/>
      <c r="AL985" s="91"/>
      <c r="AM985" s="91"/>
      <c r="AN985" s="91"/>
      <c r="AO985" s="105"/>
      <c r="AP985" s="105"/>
      <c r="AQ985" s="105"/>
      <c r="AR985" s="105"/>
      <c r="AS985" s="105"/>
      <c r="AT985" s="105"/>
      <c r="AU985" s="105"/>
      <c r="AV985" s="105">
        <f>IF($AV$883&gt;0,PPMT('Assumptions (Solar)'!$V$8,Model!W$1,'Assumptions (Solar)'!$V$11,'Assumptions (Solar)'!$V$6*Model!$AV$883*('Assumptions (Solar)'!$AT$18*'Assumptions (Solar)'!$AT$2+'Assumptions (Solar)'!$AT$19*'Assumptions (Solar)'!$AT$3)/10^9),0)</f>
        <v>-94.54357849978571</v>
      </c>
      <c r="AW985" s="105">
        <f>IF($AV$883&gt;0,PPMT('Assumptions (Solar)'!$V$8,Model!X$1,'Assumptions (Solar)'!$V$11,'Assumptions (Solar)'!$V$6*Model!$AV$883*('Assumptions (Solar)'!$AT$18*'Assumptions (Solar)'!$AT$2+'Assumptions (Solar)'!$AT$19*'Assumptions (Solar)'!$AT$3)/10^9),0)</f>
        <v>-102.10706477976859</v>
      </c>
      <c r="AX985" s="105">
        <f>IF($AV$883&gt;0,PPMT('Assumptions (Solar)'!$V$8,Model!Y$1,'Assumptions (Solar)'!$V$11,'Assumptions (Solar)'!$V$6*Model!$AV$883*('Assumptions (Solar)'!$AT$18*'Assumptions (Solar)'!$AT$2+'Assumptions (Solar)'!$AT$19*'Assumptions (Solar)'!$AT$3)/10^9),0)</f>
        <v>-110.27562996215005</v>
      </c>
      <c r="AY985" s="105">
        <f>IF($AV$883&gt;0,PPMT('Assumptions (Solar)'!$V$8,Model!Z$1,'Assumptions (Solar)'!$V$11,'Assumptions (Solar)'!$V$6*Model!$AV$883*('Assumptions (Solar)'!$AT$18*'Assumptions (Solar)'!$AT$2+'Assumptions (Solar)'!$AT$19*'Assumptions (Solar)'!$AT$3)/10^9),0)</f>
        <v>-119.09768035912208</v>
      </c>
      <c r="AZ985" s="105">
        <f>IF($AV$883&gt;0,PPMT('Assumptions (Solar)'!$V$8,Model!AA$1,'Assumptions (Solar)'!$V$11,'Assumptions (Solar)'!$V$6*Model!$AV$883*('Assumptions (Solar)'!$AT$18*'Assumptions (Solar)'!$AT$2+'Assumptions (Solar)'!$AT$19*'Assumptions (Solar)'!$AT$3)/10^9),0)</f>
        <v>-128.62549478785184</v>
      </c>
      <c r="BA985" s="105">
        <f>IF($AV$883&gt;0,PPMT('Assumptions (Solar)'!$V$8,Model!AB$1,'Assumptions (Solar)'!$V$11,'Assumptions (Solar)'!$V$6*Model!$AV$883*('Assumptions (Solar)'!$AT$18*'Assumptions (Solar)'!$AT$2+'Assumptions (Solar)'!$AT$19*'Assumptions (Solar)'!$AT$3)/10^9),0)</f>
        <v>-138.91553437087998</v>
      </c>
      <c r="BB985" s="105">
        <f>IF($AV$883&gt;0,PPMT('Assumptions (Solar)'!$V$8,Model!AC$1,'Assumptions (Solar)'!$V$11,'Assumptions (Solar)'!$V$6*Model!$AV$883*('Assumptions (Solar)'!$AT$18*'Assumptions (Solar)'!$AT$2+'Assumptions (Solar)'!$AT$19*'Assumptions (Solar)'!$AT$3)/10^9),0)</f>
        <v>-150.02877712055036</v>
      </c>
      <c r="BC985" s="105">
        <f>IF($AV$883&gt;0,PPMT('Assumptions (Solar)'!$V$8,Model!AD$1,'Assumptions (Solar)'!$V$11,'Assumptions (Solar)'!$V$6*Model!$AV$883*('Assumptions (Solar)'!$AT$18*'Assumptions (Solar)'!$AT$2+'Assumptions (Solar)'!$AT$19*'Assumptions (Solar)'!$AT$3)/10^9),0)</f>
        <v>-162.03107929019441</v>
      </c>
      <c r="BD985" s="105">
        <f>IF($AV$883&gt;0,PPMT('Assumptions (Solar)'!$V$8,Model!AE$1,'Assumptions (Solar)'!$V$11,'Assumptions (Solar)'!$V$6*Model!$AV$883*('Assumptions (Solar)'!$AT$18*'Assumptions (Solar)'!$AT$2+'Assumptions (Solar)'!$AT$19*'Assumptions (Solar)'!$AT$3)/10^9),0)</f>
        <v>-174.99356563340996</v>
      </c>
      <c r="BE985" s="105">
        <f>IF($AV$883&gt;0,PPMT('Assumptions (Solar)'!$V$8,Model!AF$1,'Assumptions (Solar)'!$V$11,'Assumptions (Solar)'!$V$6*Model!$AV$883*('Assumptions (Solar)'!$AT$18*'Assumptions (Solar)'!$AT$2+'Assumptions (Solar)'!$AT$19*'Assumptions (Solar)'!$AT$3)/10^9),0)</f>
        <v>-188.99305088408278</v>
      </c>
      <c r="BF985" s="105" t="e">
        <f>IF($AV$883&gt;0,PPMT('Assumptions (Solar)'!$V$8,Model!AG$1,'Assumptions (Solar)'!$V$11,'Assumptions (Solar)'!$V$6*Model!$AV$883*('Assumptions (Solar)'!$AT$18*'Assumptions (Solar)'!$AT$2+'Assumptions (Solar)'!$AT$19*'Assumptions (Solar)'!$AT$3)/10^9),0)</f>
        <v>#NUM!</v>
      </c>
      <c r="BG985" s="105" t="e">
        <f>IF($AV$883&gt;0,PPMT('Assumptions (Solar)'!$V$8,Model!AH$1,'Assumptions (Solar)'!$V$11,'Assumptions (Solar)'!$V$6*Model!$AV$883*('Assumptions (Solar)'!$AT$18*'Assumptions (Solar)'!$AT$2+'Assumptions (Solar)'!$AT$19*'Assumptions (Solar)'!$AT$3)/10^9),0)</f>
        <v>#NUM!</v>
      </c>
      <c r="BH985" s="105" t="e">
        <f>IF($AV$883&gt;0,PPMT('Assumptions (Solar)'!$V$8,Model!AI$1,'Assumptions (Solar)'!$V$11,'Assumptions (Solar)'!$V$6*Model!$AV$883*('Assumptions (Solar)'!$AT$18*'Assumptions (Solar)'!$AT$2+'Assumptions (Solar)'!$AT$19*'Assumptions (Solar)'!$AT$3)/10^9),0)</f>
        <v>#NUM!</v>
      </c>
      <c r="BI985" s="105" t="e">
        <f>IF($AV$883&gt;0,PPMT('Assumptions (Solar)'!$V$8,Model!AJ$1,'Assumptions (Solar)'!$V$11,'Assumptions (Solar)'!$V$6*Model!$AV$883*('Assumptions (Solar)'!$AT$18*'Assumptions (Solar)'!$AT$2+'Assumptions (Solar)'!$AT$19*'Assumptions (Solar)'!$AT$3)/10^9),0)</f>
        <v>#NUM!</v>
      </c>
      <c r="BJ985" s="105" t="e">
        <f>IF($AV$883&gt;0,PPMT('Assumptions (Solar)'!$V$8,Model!AK$1,'Assumptions (Solar)'!$V$11,'Assumptions (Solar)'!$V$6*Model!$AV$883*('Assumptions (Solar)'!$AT$18*'Assumptions (Solar)'!$AT$2+'Assumptions (Solar)'!$AT$19*'Assumptions (Solar)'!$AT$3)/10^9),0)</f>
        <v>#NUM!</v>
      </c>
      <c r="BK985" s="105"/>
      <c r="BL985" s="105"/>
      <c r="BM985" s="105"/>
      <c r="BN985" s="105"/>
      <c r="BO985" s="105"/>
      <c r="BP985" s="105"/>
      <c r="BQ985" s="105"/>
      <c r="BR985" s="105"/>
      <c r="BS985" s="105"/>
      <c r="BT985" s="105"/>
    </row>
    <row r="986" spans="1:77" ht="15.75" hidden="1" customHeight="1" outlineLevel="1">
      <c r="A986" s="401"/>
      <c r="B986" s="99"/>
      <c r="C986" s="99"/>
      <c r="D986" s="99"/>
      <c r="E986" s="99"/>
      <c r="F986" s="99"/>
      <c r="G986" s="99"/>
      <c r="H986" s="99"/>
      <c r="I986" s="99"/>
      <c r="J986" s="99"/>
      <c r="K986" s="99"/>
      <c r="L986" s="99"/>
      <c r="M986" s="99"/>
      <c r="N986" s="99"/>
      <c r="O986" s="99"/>
      <c r="P986" s="99"/>
      <c r="Q986" s="99"/>
      <c r="R986" s="99"/>
      <c r="S986" s="99"/>
      <c r="T986" s="99"/>
      <c r="U986" s="99"/>
      <c r="V986" s="99"/>
      <c r="W986" s="105"/>
      <c r="X986" s="105"/>
      <c r="Y986" s="105"/>
      <c r="Z986" s="105"/>
      <c r="AA986" s="105"/>
      <c r="AB986" s="105"/>
      <c r="AC986" s="105"/>
      <c r="AD986" s="105"/>
      <c r="AE986" s="105"/>
      <c r="AF986" s="105"/>
      <c r="AG986" s="105"/>
      <c r="AH986" s="105"/>
      <c r="AI986" s="105"/>
      <c r="AJ986" s="171"/>
      <c r="AK986" s="105"/>
      <c r="AL986" s="91"/>
      <c r="AM986" s="91"/>
      <c r="AN986" s="91"/>
      <c r="AO986" s="105"/>
      <c r="AP986" s="105"/>
      <c r="AQ986" s="105"/>
      <c r="AR986" s="105"/>
      <c r="AS986" s="105"/>
      <c r="AT986" s="105"/>
      <c r="AU986" s="105"/>
      <c r="AV986" s="105"/>
      <c r="AW986" s="105">
        <f>IF($AW$883&gt;0,PPMT('Assumptions (Solar)'!$V$8,Model!W$1,'Assumptions (Solar)'!$V$11,'Assumptions (Solar)'!$V$6*Model!$AW$883*('Assumptions (Solar)'!$AU$18*'Assumptions (Solar)'!$AU$2+'Assumptions (Solar)'!$AU$19*'Assumptions (Solar)'!$AU$3)/10^9),0)</f>
        <v>-96.557872467021156</v>
      </c>
      <c r="AX986" s="105">
        <f>IF($AW$883&gt;0,PPMT('Assumptions (Solar)'!$V$8,Model!X$1,'Assumptions (Solar)'!$V$11,'Assumptions (Solar)'!$V$6*Model!$AW$883*('Assumptions (Solar)'!$AU$18*'Assumptions (Solar)'!$AU$2+'Assumptions (Solar)'!$AU$19*'Assumptions (Solar)'!$AU$3)/10^9),0)</f>
        <v>-104.28250226438286</v>
      </c>
      <c r="AY986" s="105">
        <f>IF($AW$883&gt;0,PPMT('Assumptions (Solar)'!$V$8,Model!Y$1,'Assumptions (Solar)'!$V$11,'Assumptions (Solar)'!$V$6*Model!$AW$883*('Assumptions (Solar)'!$AU$18*'Assumptions (Solar)'!$AU$2+'Assumptions (Solar)'!$AU$19*'Assumptions (Solar)'!$AU$3)/10^9),0)</f>
        <v>-112.62510244553349</v>
      </c>
      <c r="AZ986" s="105">
        <f>IF($AW$883&gt;0,PPMT('Assumptions (Solar)'!$V$8,Model!Z$1,'Assumptions (Solar)'!$V$11,'Assumptions (Solar)'!$V$6*Model!$AW$883*('Assumptions (Solar)'!$AU$18*'Assumptions (Solar)'!$AU$2+'Assumptions (Solar)'!$AU$19*'Assumptions (Solar)'!$AU$3)/10^9),0)</f>
        <v>-121.63511064117617</v>
      </c>
      <c r="BA986" s="105">
        <f>IF($AW$883&gt;0,PPMT('Assumptions (Solar)'!$V$8,Model!AA$1,'Assumptions (Solar)'!$V$11,'Assumptions (Solar)'!$V$6*Model!$AW$883*('Assumptions (Solar)'!$AU$18*'Assumptions (Solar)'!$AU$2+'Assumptions (Solar)'!$AU$19*'Assumptions (Solar)'!$AU$3)/10^9),0)</f>
        <v>-131.36591949247028</v>
      </c>
      <c r="BB986" s="105">
        <f>IF($AW$883&gt;0,PPMT('Assumptions (Solar)'!$V$8,Model!AB$1,'Assumptions (Solar)'!$V$11,'Assumptions (Solar)'!$V$6*Model!$AW$883*('Assumptions (Solar)'!$AU$18*'Assumptions (Solar)'!$AU$2+'Assumptions (Solar)'!$AU$19*'Assumptions (Solar)'!$AU$3)/10^9),0)</f>
        <v>-141.87519305186785</v>
      </c>
      <c r="BC986" s="105">
        <f>IF($AW$883&gt;0,PPMT('Assumptions (Solar)'!$V$8,Model!AC$1,'Assumptions (Solar)'!$V$11,'Assumptions (Solar)'!$V$6*Model!$AW$883*('Assumptions (Solar)'!$AU$18*'Assumptions (Solar)'!$AU$2+'Assumptions (Solar)'!$AU$19*'Assumptions (Solar)'!$AU$3)/10^9),0)</f>
        <v>-153.2252084960173</v>
      </c>
      <c r="BD986" s="105">
        <f>IF($AW$883&gt;0,PPMT('Assumptions (Solar)'!$V$8,Model!AD$1,'Assumptions (Solar)'!$V$11,'Assumptions (Solar)'!$V$6*Model!$AW$883*('Assumptions (Solar)'!$AU$18*'Assumptions (Solar)'!$AU$2+'Assumptions (Solar)'!$AU$19*'Assumptions (Solar)'!$AU$3)/10^9),0)</f>
        <v>-165.48322517569869</v>
      </c>
      <c r="BE986" s="105">
        <f>IF($AW$883&gt;0,PPMT('Assumptions (Solar)'!$V$8,Model!AE$1,'Assumptions (Solar)'!$V$11,'Assumptions (Solar)'!$V$6*Model!$AW$883*('Assumptions (Solar)'!$AU$18*'Assumptions (Solar)'!$AU$2+'Assumptions (Solar)'!$AU$19*'Assumptions (Solar)'!$AU$3)/10^9),0)</f>
        <v>-178.72188318975455</v>
      </c>
      <c r="BF986" s="105">
        <f>IF($AW$883&gt;0,PPMT('Assumptions (Solar)'!$V$8,Model!AF$1,'Assumptions (Solar)'!$V$11,'Assumptions (Solar)'!$V$6*Model!$AW$883*('Assumptions (Solar)'!$AU$18*'Assumptions (Solar)'!$AU$2+'Assumptions (Solar)'!$AU$19*'Assumptions (Solar)'!$AU$3)/10^9),0)</f>
        <v>-193.01963384493496</v>
      </c>
      <c r="BG986" s="105" t="e">
        <f>IF($AW$883&gt;0,PPMT('Assumptions (Solar)'!$V$8,Model!AG$1,'Assumptions (Solar)'!$V$11,'Assumptions (Solar)'!$V$6*Model!$AW$883*('Assumptions (Solar)'!$AU$18*'Assumptions (Solar)'!$AU$2+'Assumptions (Solar)'!$AU$19*'Assumptions (Solar)'!$AU$3)/10^9),0)</f>
        <v>#NUM!</v>
      </c>
      <c r="BH986" s="105" t="e">
        <f>IF($AW$883&gt;0,PPMT('Assumptions (Solar)'!$V$8,Model!AH$1,'Assumptions (Solar)'!$V$11,'Assumptions (Solar)'!$V$6*Model!$AW$883*('Assumptions (Solar)'!$AU$18*'Assumptions (Solar)'!$AU$2+'Assumptions (Solar)'!$AU$19*'Assumptions (Solar)'!$AU$3)/10^9),0)</f>
        <v>#NUM!</v>
      </c>
      <c r="BI986" s="105" t="e">
        <f>IF($AW$883&gt;0,PPMT('Assumptions (Solar)'!$V$8,Model!AI$1,'Assumptions (Solar)'!$V$11,'Assumptions (Solar)'!$V$6*Model!$AW$883*('Assumptions (Solar)'!$AU$18*'Assumptions (Solar)'!$AU$2+'Assumptions (Solar)'!$AU$19*'Assumptions (Solar)'!$AU$3)/10^9),0)</f>
        <v>#NUM!</v>
      </c>
      <c r="BJ986" s="105" t="e">
        <f>IF($AW$883&gt;0,PPMT('Assumptions (Solar)'!$V$8,Model!AJ$1,'Assumptions (Solar)'!$V$11,'Assumptions (Solar)'!$V$6*Model!$AW$883*('Assumptions (Solar)'!$AU$18*'Assumptions (Solar)'!$AU$2+'Assumptions (Solar)'!$AU$19*'Assumptions (Solar)'!$AU$3)/10^9),0)</f>
        <v>#NUM!</v>
      </c>
      <c r="BK986" s="105" t="e">
        <f>IF($AW$883&gt;0,PPMT('Assumptions (Solar)'!$V$8,Model!AK$1,'Assumptions (Solar)'!$V$11,'Assumptions (Solar)'!$V$6*Model!$AW$883*('Assumptions (Solar)'!$AU$18*'Assumptions (Solar)'!$AU$2+'Assumptions (Solar)'!$AU$19*'Assumptions (Solar)'!$AU$3)/10^9),0)</f>
        <v>#NUM!</v>
      </c>
      <c r="BL986" s="105"/>
      <c r="BM986" s="105"/>
      <c r="BN986" s="105"/>
      <c r="BO986" s="105"/>
      <c r="BP986" s="105"/>
      <c r="BQ986" s="105"/>
      <c r="BR986" s="105"/>
      <c r="BS986" s="105"/>
      <c r="BT986" s="105"/>
      <c r="BU986" s="105"/>
    </row>
    <row r="987" spans="1:77" ht="15.75" hidden="1" customHeight="1" outlineLevel="1">
      <c r="A987" s="401"/>
      <c r="B987" s="99"/>
      <c r="C987" s="99"/>
      <c r="D987" s="99"/>
      <c r="E987" s="99"/>
      <c r="F987" s="99"/>
      <c r="G987" s="99"/>
      <c r="H987" s="99"/>
      <c r="I987" s="99"/>
      <c r="J987" s="99"/>
      <c r="K987" s="99"/>
      <c r="L987" s="99"/>
      <c r="M987" s="99"/>
      <c r="N987" s="99"/>
      <c r="O987" s="99"/>
      <c r="P987" s="99"/>
      <c r="Q987" s="99"/>
      <c r="R987" s="99"/>
      <c r="S987" s="99"/>
      <c r="T987" s="99"/>
      <c r="U987" s="99"/>
      <c r="V987" s="99"/>
      <c r="W987" s="105"/>
      <c r="X987" s="105"/>
      <c r="Y987" s="105"/>
      <c r="Z987" s="105"/>
      <c r="AA987" s="105"/>
      <c r="AB987" s="105"/>
      <c r="AC987" s="105"/>
      <c r="AD987" s="105"/>
      <c r="AE987" s="105"/>
      <c r="AF987" s="105"/>
      <c r="AG987" s="105"/>
      <c r="AH987" s="105"/>
      <c r="AI987" s="105"/>
      <c r="AJ987" s="171"/>
      <c r="AK987" s="105"/>
      <c r="AL987" s="91"/>
      <c r="AM987" s="91"/>
      <c r="AN987" s="91"/>
      <c r="AO987" s="105"/>
      <c r="AP987" s="105"/>
      <c r="AQ987" s="105"/>
      <c r="AR987" s="105"/>
      <c r="AS987" s="105"/>
      <c r="AT987" s="105"/>
      <c r="AU987" s="105"/>
      <c r="AV987" s="105"/>
      <c r="AW987" s="105"/>
      <c r="AX987" s="105">
        <f>IF($AX$883&gt;0,PPMT('Assumptions (Solar)'!$V$8,Model!W$1,'Assumptions (Solar)'!$V$11,'Assumptions (Solar)'!$V$6*Model!$AX$883*('Assumptions (Solar)'!$AV$18*'Assumptions (Solar)'!$AV$2+'Assumptions (Solar)'!$AV$19*'Assumptions (Solar)'!$AV$3)/10^9),0)</f>
        <v>-98.37056836493322</v>
      </c>
      <c r="AY987" s="105">
        <f>IF($AX$883&gt;0,PPMT('Assumptions (Solar)'!$V$8,Model!X$1,'Assumptions (Solar)'!$V$11,'Assumptions (Solar)'!$V$6*Model!$AX$883*('Assumptions (Solar)'!$AV$18*'Assumptions (Solar)'!$AV$2+'Assumptions (Solar)'!$AV$19*'Assumptions (Solar)'!$AV$3)/10^9),0)</f>
        <v>-106.2402138341279</v>
      </c>
      <c r="AZ987" s="105">
        <f>IF($AX$883&gt;0,PPMT('Assumptions (Solar)'!$V$8,Model!Y$1,'Assumptions (Solar)'!$V$11,'Assumptions (Solar)'!$V$6*Model!$AX$883*('Assumptions (Solar)'!$AV$18*'Assumptions (Solar)'!$AV$2+'Assumptions (Solar)'!$AV$19*'Assumptions (Solar)'!$AV$3)/10^9),0)</f>
        <v>-114.73943094085813</v>
      </c>
      <c r="BA987" s="105">
        <f>IF($AX$883&gt;0,PPMT('Assumptions (Solar)'!$V$8,Model!Z$1,'Assumptions (Solar)'!$V$11,'Assumptions (Solar)'!$V$6*Model!$AX$883*('Assumptions (Solar)'!$AV$18*'Assumptions (Solar)'!$AV$2+'Assumptions (Solar)'!$AV$19*'Assumptions (Solar)'!$AV$3)/10^9),0)</f>
        <v>-123.91858541612679</v>
      </c>
      <c r="BB987" s="105">
        <f>IF($AX$883&gt;0,PPMT('Assumptions (Solar)'!$V$8,Model!AA$1,'Assumptions (Solar)'!$V$11,'Assumptions (Solar)'!$V$6*Model!$AX$883*('Assumptions (Solar)'!$AV$18*'Assumptions (Solar)'!$AV$2+'Assumptions (Solar)'!$AV$19*'Assumptions (Solar)'!$AV$3)/10^9),0)</f>
        <v>-133.83207224941694</v>
      </c>
      <c r="BC987" s="105">
        <f>IF($AX$883&gt;0,PPMT('Assumptions (Solar)'!$V$8,Model!AB$1,'Assumptions (Solar)'!$V$11,'Assumptions (Solar)'!$V$6*Model!$AX$883*('Assumptions (Solar)'!$AV$18*'Assumptions (Solar)'!$AV$2+'Assumptions (Solar)'!$AV$19*'Assumptions (Solar)'!$AV$3)/10^9),0)</f>
        <v>-144.53863802937028</v>
      </c>
      <c r="BD987" s="105">
        <f>IF($AX$883&gt;0,PPMT('Assumptions (Solar)'!$V$8,Model!AC$1,'Assumptions (Solar)'!$V$11,'Assumptions (Solar)'!$V$6*Model!$AX$883*('Assumptions (Solar)'!$AV$18*'Assumptions (Solar)'!$AV$2+'Assumptions (Solar)'!$AV$19*'Assumptions (Solar)'!$AV$3)/10^9),0)</f>
        <v>-156.10172907171989</v>
      </c>
      <c r="BE987" s="105">
        <f>IF($AX$883&gt;0,PPMT('Assumptions (Solar)'!$V$8,Model!AD$1,'Assumptions (Solar)'!$V$11,'Assumptions (Solar)'!$V$6*Model!$AX$883*('Assumptions (Solar)'!$AV$18*'Assumptions (Solar)'!$AV$2+'Assumptions (Solar)'!$AV$19*'Assumptions (Solar)'!$AV$3)/10^9),0)</f>
        <v>-168.58986739745748</v>
      </c>
      <c r="BF987" s="105">
        <f>IF($AX$883&gt;0,PPMT('Assumptions (Solar)'!$V$8,Model!AE$1,'Assumptions (Solar)'!$V$11,'Assumptions (Solar)'!$V$6*Model!$AX$883*('Assumptions (Solar)'!$AV$18*'Assumptions (Solar)'!$AV$2+'Assumptions (Solar)'!$AV$19*'Assumptions (Solar)'!$AV$3)/10^9),0)</f>
        <v>-182.07705678925407</v>
      </c>
      <c r="BG987" s="105">
        <f>IF($AX$883&gt;0,PPMT('Assumptions (Solar)'!$V$8,Model!AF$1,'Assumptions (Solar)'!$V$11,'Assumptions (Solar)'!$V$6*Model!$AX$883*('Assumptions (Solar)'!$AV$18*'Assumptions (Solar)'!$AV$2+'Assumptions (Solar)'!$AV$19*'Assumptions (Solar)'!$AV$3)/10^9),0)</f>
        <v>-196.64322133239443</v>
      </c>
      <c r="BH987" s="105" t="e">
        <f>IF($AX$883&gt;0,PPMT('Assumptions (Solar)'!$V$8,Model!AG$1,'Assumptions (Solar)'!$V$11,'Assumptions (Solar)'!$V$6*Model!$AX$883*('Assumptions (Solar)'!$AV$18*'Assumptions (Solar)'!$AV$2+'Assumptions (Solar)'!$AV$19*'Assumptions (Solar)'!$AV$3)/10^9),0)</f>
        <v>#NUM!</v>
      </c>
      <c r="BI987" s="105" t="e">
        <f>IF($AX$883&gt;0,PPMT('Assumptions (Solar)'!$V$8,Model!AH$1,'Assumptions (Solar)'!$V$11,'Assumptions (Solar)'!$V$6*Model!$AX$883*('Assumptions (Solar)'!$AV$18*'Assumptions (Solar)'!$AV$2+'Assumptions (Solar)'!$AV$19*'Assumptions (Solar)'!$AV$3)/10^9),0)</f>
        <v>#NUM!</v>
      </c>
      <c r="BJ987" s="105" t="e">
        <f>IF($AX$883&gt;0,PPMT('Assumptions (Solar)'!$V$8,Model!AI$1,'Assumptions (Solar)'!$V$11,'Assumptions (Solar)'!$V$6*Model!$AX$883*('Assumptions (Solar)'!$AV$18*'Assumptions (Solar)'!$AV$2+'Assumptions (Solar)'!$AV$19*'Assumptions (Solar)'!$AV$3)/10^9),0)</f>
        <v>#NUM!</v>
      </c>
      <c r="BK987" s="105" t="e">
        <f>IF($AX$883&gt;0,PPMT('Assumptions (Solar)'!$V$8,Model!AJ$1,'Assumptions (Solar)'!$V$11,'Assumptions (Solar)'!$V$6*Model!$AX$883*('Assumptions (Solar)'!$AV$18*'Assumptions (Solar)'!$AV$2+'Assumptions (Solar)'!$AV$19*'Assumptions (Solar)'!$AV$3)/10^9),0)</f>
        <v>#NUM!</v>
      </c>
      <c r="BL987" s="105" t="e">
        <f>IF($AX$883&gt;0,PPMT('Assumptions (Solar)'!$V$8,Model!AK$1,'Assumptions (Solar)'!$V$11,'Assumptions (Solar)'!$V$6*Model!$AX$883*('Assumptions (Solar)'!$AV$18*'Assumptions (Solar)'!$AV$2+'Assumptions (Solar)'!$AV$19*'Assumptions (Solar)'!$AV$3)/10^9),0)</f>
        <v>#NUM!</v>
      </c>
      <c r="BM987" s="105"/>
      <c r="BN987" s="105"/>
      <c r="BO987" s="105"/>
      <c r="BP987" s="105"/>
      <c r="BQ987" s="105"/>
      <c r="BR987" s="105"/>
      <c r="BS987" s="105"/>
      <c r="BT987" s="105"/>
      <c r="BU987" s="105"/>
      <c r="BV987" s="105"/>
    </row>
    <row r="988" spans="1:77" ht="15.75" hidden="1" customHeight="1" outlineLevel="1">
      <c r="A988" s="401"/>
      <c r="B988" s="99"/>
      <c r="C988" s="99"/>
      <c r="D988" s="99"/>
      <c r="E988" s="99"/>
      <c r="F988" s="99"/>
      <c r="G988" s="99"/>
      <c r="H988" s="99"/>
      <c r="I988" s="99"/>
      <c r="J988" s="99"/>
      <c r="K988" s="99"/>
      <c r="L988" s="99"/>
      <c r="M988" s="99"/>
      <c r="N988" s="99"/>
      <c r="O988" s="99"/>
      <c r="P988" s="99"/>
      <c r="Q988" s="99"/>
      <c r="R988" s="99"/>
      <c r="S988" s="99"/>
      <c r="T988" s="99"/>
      <c r="U988" s="99"/>
      <c r="V988" s="99"/>
      <c r="W988" s="105"/>
      <c r="X988" s="105"/>
      <c r="Y988" s="105"/>
      <c r="Z988" s="105"/>
      <c r="AA988" s="105"/>
      <c r="AB988" s="105"/>
      <c r="AC988" s="105"/>
      <c r="AD988" s="105"/>
      <c r="AE988" s="105"/>
      <c r="AF988" s="105"/>
      <c r="AG988" s="105"/>
      <c r="AH988" s="105"/>
      <c r="AI988" s="105"/>
      <c r="AJ988" s="171"/>
      <c r="AK988" s="105"/>
      <c r="AL988" s="91"/>
      <c r="AM988" s="91"/>
      <c r="AN988" s="91"/>
      <c r="AO988" s="105"/>
      <c r="AP988" s="105"/>
      <c r="AQ988" s="105"/>
      <c r="AR988" s="105"/>
      <c r="AS988" s="105"/>
      <c r="AT988" s="105"/>
      <c r="AU988" s="105"/>
      <c r="AV988" s="105"/>
      <c r="AW988" s="105"/>
      <c r="AX988" s="105"/>
      <c r="AY988" s="105">
        <f>IF($AY$883&gt;0,PPMT('Assumptions (Solar)'!$V$8,Model!W$1,'Assumptions (Solar)'!$V$11,'Assumptions (Solar)'!$V$6*Model!$AY$883*('Assumptions (Solar)'!$AW$18*'Assumptions (Solar)'!$AW$2+'Assumptions (Solar)'!$AW$19*'Assumptions (Solar)'!$AW$3)/10^9),0)</f>
        <v>-101.24626944780243</v>
      </c>
      <c r="AZ988" s="105">
        <f>IF($AY$883&gt;0,PPMT('Assumptions (Solar)'!$V$8,Model!X$1,'Assumptions (Solar)'!$V$11,'Assumptions (Solar)'!$V$6*Model!$AY$883*('Assumptions (Solar)'!$AW$18*'Assumptions (Solar)'!$AW$2+'Assumptions (Solar)'!$AW$19*'Assumptions (Solar)'!$AW$3)/10^9),0)</f>
        <v>-109.34597100362664</v>
      </c>
      <c r="BA988" s="105">
        <f>IF($AY$883&gt;0,PPMT('Assumptions (Solar)'!$V$8,Model!Y$1,'Assumptions (Solar)'!$V$11,'Assumptions (Solar)'!$V$6*Model!$AY$883*('Assumptions (Solar)'!$AW$18*'Assumptions (Solar)'!$AW$2+'Assumptions (Solar)'!$AW$19*'Assumptions (Solar)'!$AW$3)/10^9),0)</f>
        <v>-118.09364868391674</v>
      </c>
      <c r="BB988" s="105">
        <f>IF($AY$883&gt;0,PPMT('Assumptions (Solar)'!$V$8,Model!Z$1,'Assumptions (Solar)'!$V$11,'Assumptions (Solar)'!$V$6*Model!$AY$883*('Assumptions (Solar)'!$AW$18*'Assumptions (Solar)'!$AW$2+'Assumptions (Solar)'!$AW$19*'Assumptions (Solar)'!$AW$3)/10^9),0)</f>
        <v>-127.54114057863009</v>
      </c>
      <c r="BC988" s="105">
        <f>IF($AY$883&gt;0,PPMT('Assumptions (Solar)'!$V$8,Model!AA$1,'Assumptions (Solar)'!$V$11,'Assumptions (Solar)'!$V$6*Model!$AY$883*('Assumptions (Solar)'!$AW$18*'Assumptions (Solar)'!$AW$2+'Assumptions (Solar)'!$AW$19*'Assumptions (Solar)'!$AW$3)/10^9),0)</f>
        <v>-137.74443182492053</v>
      </c>
      <c r="BD988" s="105">
        <f>IF($AY$883&gt;0,PPMT('Assumptions (Solar)'!$V$8,Model!AB$1,'Assumptions (Solar)'!$V$11,'Assumptions (Solar)'!$V$6*Model!$AY$883*('Assumptions (Solar)'!$AW$18*'Assumptions (Solar)'!$AW$2+'Assumptions (Solar)'!$AW$19*'Assumptions (Solar)'!$AW$3)/10^9),0)</f>
        <v>-148.76398637091413</v>
      </c>
      <c r="BE988" s="105">
        <f>IF($AY$883&gt;0,PPMT('Assumptions (Solar)'!$V$8,Model!AC$1,'Assumptions (Solar)'!$V$11,'Assumptions (Solar)'!$V$6*Model!$AY$883*('Assumptions (Solar)'!$AW$18*'Assumptions (Solar)'!$AW$2+'Assumptions (Solar)'!$AW$19*'Assumptions (Solar)'!$AW$3)/10^9),0)</f>
        <v>-160.66510528058728</v>
      </c>
      <c r="BF988" s="105">
        <f>IF($AY$883&gt;0,PPMT('Assumptions (Solar)'!$V$8,Model!AD$1,'Assumptions (Solar)'!$V$11,'Assumptions (Solar)'!$V$6*Model!$AY$883*('Assumptions (Solar)'!$AW$18*'Assumptions (Solar)'!$AW$2+'Assumptions (Solar)'!$AW$19*'Assumptions (Solar)'!$AW$3)/10^9),0)</f>
        <v>-173.51831370303427</v>
      </c>
      <c r="BG988" s="105">
        <f>IF($AY$883&gt;0,PPMT('Assumptions (Solar)'!$V$8,Model!AE$1,'Assumptions (Solar)'!$V$11,'Assumptions (Solar)'!$V$6*Model!$AY$883*('Assumptions (Solar)'!$AW$18*'Assumptions (Solar)'!$AW$2+'Assumptions (Solar)'!$AW$19*'Assumptions (Solar)'!$AW$3)/10^9),0)</f>
        <v>-187.39977879927699</v>
      </c>
      <c r="BH988" s="105">
        <f>IF($AY$883&gt;0,PPMT('Assumptions (Solar)'!$V$8,Model!AF$1,'Assumptions (Solar)'!$V$11,'Assumptions (Solar)'!$V$6*Model!$AY$883*('Assumptions (Solar)'!$AW$18*'Assumptions (Solar)'!$AW$2+'Assumptions (Solar)'!$AW$19*'Assumptions (Solar)'!$AW$3)/10^9),0)</f>
        <v>-202.39176110321915</v>
      </c>
      <c r="BI988" s="105" t="e">
        <f>IF($AY$883&gt;0,PPMT('Assumptions (Solar)'!$V$8,Model!AG$1,'Assumptions (Solar)'!$V$11,'Assumptions (Solar)'!$V$6*Model!$AY$883*('Assumptions (Solar)'!$AW$18*'Assumptions (Solar)'!$AW$2+'Assumptions (Solar)'!$AW$19*'Assumptions (Solar)'!$AW$3)/10^9),0)</f>
        <v>#NUM!</v>
      </c>
      <c r="BJ988" s="105" t="e">
        <f>IF($AY$883&gt;0,PPMT('Assumptions (Solar)'!$V$8,Model!AH$1,'Assumptions (Solar)'!$V$11,'Assumptions (Solar)'!$V$6*Model!$AY$883*('Assumptions (Solar)'!$AW$18*'Assumptions (Solar)'!$AW$2+'Assumptions (Solar)'!$AW$19*'Assumptions (Solar)'!$AW$3)/10^9),0)</f>
        <v>#NUM!</v>
      </c>
      <c r="BK988" s="105" t="e">
        <f>IF($AY$883&gt;0,PPMT('Assumptions (Solar)'!$V$8,Model!AI$1,'Assumptions (Solar)'!$V$11,'Assumptions (Solar)'!$V$6*Model!$AY$883*('Assumptions (Solar)'!$AW$18*'Assumptions (Solar)'!$AW$2+'Assumptions (Solar)'!$AW$19*'Assumptions (Solar)'!$AW$3)/10^9),0)</f>
        <v>#NUM!</v>
      </c>
      <c r="BL988" s="105" t="e">
        <f>IF($AY$883&gt;0,PPMT('Assumptions (Solar)'!$V$8,Model!AJ$1,'Assumptions (Solar)'!$V$11,'Assumptions (Solar)'!$V$6*Model!$AY$883*('Assumptions (Solar)'!$AW$18*'Assumptions (Solar)'!$AW$2+'Assumptions (Solar)'!$AW$19*'Assumptions (Solar)'!$AW$3)/10^9),0)</f>
        <v>#NUM!</v>
      </c>
      <c r="BM988" s="105" t="e">
        <f>IF($AY$883&gt;0,PPMT('Assumptions (Solar)'!$V$8,Model!AK$1,'Assumptions (Solar)'!$V$11,'Assumptions (Solar)'!$V$6*Model!$AY$883*('Assumptions (Solar)'!$AW$18*'Assumptions (Solar)'!$AW$2+'Assumptions (Solar)'!$AW$19*'Assumptions (Solar)'!$AW$3)/10^9),0)</f>
        <v>#NUM!</v>
      </c>
      <c r="BN988" s="105"/>
      <c r="BO988" s="105"/>
      <c r="BP988" s="105"/>
      <c r="BQ988" s="105"/>
      <c r="BR988" s="105"/>
      <c r="BS988" s="105"/>
      <c r="BT988" s="105"/>
      <c r="BU988" s="105"/>
      <c r="BV988" s="105"/>
      <c r="BW988" s="105"/>
    </row>
    <row r="989" spans="1:77" ht="15.75" hidden="1" customHeight="1" outlineLevel="1">
      <c r="A989" s="401"/>
      <c r="B989" s="99"/>
      <c r="C989" s="99"/>
      <c r="D989" s="99"/>
      <c r="E989" s="99"/>
      <c r="F989" s="99"/>
      <c r="G989" s="99"/>
      <c r="H989" s="99"/>
      <c r="I989" s="99"/>
      <c r="J989" s="99"/>
      <c r="K989" s="99"/>
      <c r="L989" s="99"/>
      <c r="M989" s="99"/>
      <c r="N989" s="99"/>
      <c r="O989" s="99"/>
      <c r="P989" s="99"/>
      <c r="Q989" s="99"/>
      <c r="R989" s="99"/>
      <c r="S989" s="99"/>
      <c r="T989" s="99"/>
      <c r="U989" s="99"/>
      <c r="V989" s="99"/>
      <c r="W989" s="105"/>
      <c r="X989" s="105"/>
      <c r="Y989" s="105"/>
      <c r="Z989" s="105"/>
      <c r="AA989" s="105"/>
      <c r="AB989" s="105"/>
      <c r="AC989" s="105"/>
      <c r="AD989" s="105"/>
      <c r="AE989" s="105"/>
      <c r="AF989" s="105"/>
      <c r="AG989" s="105"/>
      <c r="AH989" s="105"/>
      <c r="AI989" s="105"/>
      <c r="AJ989" s="171"/>
      <c r="AK989" s="105"/>
      <c r="AL989" s="91"/>
      <c r="AM989" s="91"/>
      <c r="AN989" s="91"/>
      <c r="AO989" s="105"/>
      <c r="AP989" s="105"/>
      <c r="AQ989" s="105"/>
      <c r="AR989" s="105"/>
      <c r="AS989" s="105"/>
      <c r="AT989" s="105"/>
      <c r="AU989" s="105"/>
      <c r="AV989" s="105"/>
      <c r="AW989" s="105"/>
      <c r="AX989" s="105"/>
      <c r="AY989" s="105"/>
      <c r="AZ989" s="105">
        <f>IF($AZ$883&gt;0,PPMT('Assumptions (Solar)'!$V$8,Model!W$1,'Assumptions (Solar)'!$V$11,'Assumptions (Solar)'!$V$6*Model!$AZ$883*('Assumptions (Solar)'!$AX$18*'Assumptions (Solar)'!$AX$2+'Assumptions (Solar)'!$AX$19*'Assumptions (Solar)'!$AX$3)/10^9),0)</f>
        <v>-103.00473015570033</v>
      </c>
      <c r="BA989" s="105">
        <f>IF($AZ$883&gt;0,PPMT('Assumptions (Solar)'!$V$8,Model!X$1,'Assumptions (Solar)'!$V$11,'Assumptions (Solar)'!$V$6*Model!$AZ$883*('Assumptions (Solar)'!$AX$18*'Assumptions (Solar)'!$AX$2+'Assumptions (Solar)'!$AX$19*'Assumptions (Solar)'!$AX$3)/10^9),0)</f>
        <v>-111.24510856815635</v>
      </c>
      <c r="BB989" s="105">
        <f>IF($AZ$883&gt;0,PPMT('Assumptions (Solar)'!$V$8,Model!Y$1,'Assumptions (Solar)'!$V$11,'Assumptions (Solar)'!$V$6*Model!$AZ$883*('Assumptions (Solar)'!$AX$18*'Assumptions (Solar)'!$AX$2+'Assumptions (Solar)'!$AX$19*'Assumptions (Solar)'!$AX$3)/10^9),0)</f>
        <v>-120.14471725360886</v>
      </c>
      <c r="BC989" s="105">
        <f>IF($AZ$883&gt;0,PPMT('Assumptions (Solar)'!$V$8,Model!Z$1,'Assumptions (Solar)'!$V$11,'Assumptions (Solar)'!$V$6*Model!$AZ$883*('Assumptions (Solar)'!$AX$18*'Assumptions (Solar)'!$AX$2+'Assumptions (Solar)'!$AX$19*'Assumptions (Solar)'!$AX$3)/10^9),0)</f>
        <v>-129.75629463389757</v>
      </c>
      <c r="BD989" s="105">
        <f>IF($AZ$883&gt;0,PPMT('Assumptions (Solar)'!$V$8,Model!AA$1,'Assumptions (Solar)'!$V$11,'Assumptions (Solar)'!$V$6*Model!$AZ$883*('Assumptions (Solar)'!$AX$18*'Assumptions (Solar)'!$AX$2+'Assumptions (Solar)'!$AX$19*'Assumptions (Solar)'!$AX$3)/10^9),0)</f>
        <v>-140.13679820460939</v>
      </c>
      <c r="BE989" s="105">
        <f>IF($AZ$883&gt;0,PPMT('Assumptions (Solar)'!$V$8,Model!AB$1,'Assumptions (Solar)'!$V$11,'Assumptions (Solar)'!$V$6*Model!$AZ$883*('Assumptions (Solar)'!$AX$18*'Assumptions (Solar)'!$AX$2+'Assumptions (Solar)'!$AX$19*'Assumptions (Solar)'!$AX$3)/10^9),0)</f>
        <v>-151.34774206097813</v>
      </c>
      <c r="BF989" s="105">
        <f>IF($AZ$883&gt;0,PPMT('Assumptions (Solar)'!$V$8,Model!AC$1,'Assumptions (Solar)'!$V$11,'Assumptions (Solar)'!$V$6*Model!$AZ$883*('Assumptions (Solar)'!$AX$18*'Assumptions (Solar)'!$AX$2+'Assumptions (Solar)'!$AX$19*'Assumptions (Solar)'!$AX$3)/10^9),0)</f>
        <v>-163.45556142585636</v>
      </c>
      <c r="BG989" s="105">
        <f>IF($AZ$883&gt;0,PPMT('Assumptions (Solar)'!$V$8,Model!AD$1,'Assumptions (Solar)'!$V$11,'Assumptions (Solar)'!$V$6*Model!$AZ$883*('Assumptions (Solar)'!$AX$18*'Assumptions (Solar)'!$AX$2+'Assumptions (Solar)'!$AX$19*'Assumptions (Solar)'!$AX$3)/10^9),0)</f>
        <v>-176.53200633992489</v>
      </c>
      <c r="BH989" s="105">
        <f>IF($AZ$883&gt;0,PPMT('Assumptions (Solar)'!$V$8,Model!AE$1,'Assumptions (Solar)'!$V$11,'Assumptions (Solar)'!$V$6*Model!$AZ$883*('Assumptions (Solar)'!$AX$18*'Assumptions (Solar)'!$AX$2+'Assumptions (Solar)'!$AX$19*'Assumptions (Solar)'!$AX$3)/10^9),0)</f>
        <v>-190.65456684711887</v>
      </c>
      <c r="BI989" s="105">
        <f>IF($AZ$883&gt;0,PPMT('Assumptions (Solar)'!$V$8,Model!AF$1,'Assumptions (Solar)'!$V$11,'Assumptions (Solar)'!$V$6*Model!$AZ$883*('Assumptions (Solar)'!$AX$18*'Assumptions (Solar)'!$AX$2+'Assumptions (Solar)'!$AX$19*'Assumptions (Solar)'!$AX$3)/10^9),0)</f>
        <v>-205.90693219488841</v>
      </c>
      <c r="BJ989" s="105" t="e">
        <f>IF($AZ$883&gt;0,PPMT('Assumptions (Solar)'!$V$8,Model!AG$1,'Assumptions (Solar)'!$V$11,'Assumptions (Solar)'!$V$6*Model!$AZ$883*('Assumptions (Solar)'!$AX$18*'Assumptions (Solar)'!$AX$2+'Assumptions (Solar)'!$AX$19*'Assumptions (Solar)'!$AX$3)/10^9),0)</f>
        <v>#NUM!</v>
      </c>
      <c r="BK989" s="105" t="e">
        <f>IF($AZ$883&gt;0,PPMT('Assumptions (Solar)'!$V$8,Model!AH$1,'Assumptions (Solar)'!$V$11,'Assumptions (Solar)'!$V$6*Model!$AZ$883*('Assumptions (Solar)'!$AX$18*'Assumptions (Solar)'!$AX$2+'Assumptions (Solar)'!$AX$19*'Assumptions (Solar)'!$AX$3)/10^9),0)</f>
        <v>#NUM!</v>
      </c>
      <c r="BL989" s="105" t="e">
        <f>IF($AZ$883&gt;0,PPMT('Assumptions (Solar)'!$V$8,Model!AI$1,'Assumptions (Solar)'!$V$11,'Assumptions (Solar)'!$V$6*Model!$AZ$883*('Assumptions (Solar)'!$AX$18*'Assumptions (Solar)'!$AX$2+'Assumptions (Solar)'!$AX$19*'Assumptions (Solar)'!$AX$3)/10^9),0)</f>
        <v>#NUM!</v>
      </c>
      <c r="BM989" s="105" t="e">
        <f>IF($AZ$883&gt;0,PPMT('Assumptions (Solar)'!$V$8,Model!AJ$1,'Assumptions (Solar)'!$V$11,'Assumptions (Solar)'!$V$6*Model!$AZ$883*('Assumptions (Solar)'!$AX$18*'Assumptions (Solar)'!$AX$2+'Assumptions (Solar)'!$AX$19*'Assumptions (Solar)'!$AX$3)/10^9),0)</f>
        <v>#NUM!</v>
      </c>
      <c r="BN989" s="105" t="e">
        <f>IF($AZ$883&gt;0,PPMT('Assumptions (Solar)'!$V$8,Model!AK$1,'Assumptions (Solar)'!$V$11,'Assumptions (Solar)'!$V$6*Model!$AZ$883*('Assumptions (Solar)'!$AX$18*'Assumptions (Solar)'!$AX$2+'Assumptions (Solar)'!$AX$19*'Assumptions (Solar)'!$AX$3)/10^9),0)</f>
        <v>#NUM!</v>
      </c>
      <c r="BO989" s="105"/>
      <c r="BP989" s="105"/>
      <c r="BQ989" s="105"/>
      <c r="BR989" s="105"/>
      <c r="BS989" s="105"/>
      <c r="BT989" s="105"/>
      <c r="BU989" s="105"/>
      <c r="BV989" s="105"/>
      <c r="BW989" s="105"/>
      <c r="BX989" s="105"/>
    </row>
    <row r="990" spans="1:77" ht="15.75" hidden="1" customHeight="1" outlineLevel="1">
      <c r="A990" s="401"/>
      <c r="B990" s="99"/>
      <c r="C990" s="99"/>
      <c r="D990" s="99"/>
      <c r="E990" s="99"/>
      <c r="F990" s="99"/>
      <c r="G990" s="99"/>
      <c r="H990" s="99"/>
      <c r="I990" s="99"/>
      <c r="J990" s="99"/>
      <c r="K990" s="99"/>
      <c r="L990" s="99"/>
      <c r="M990" s="99"/>
      <c r="N990" s="99"/>
      <c r="O990" s="99"/>
      <c r="P990" s="99"/>
      <c r="Q990" s="99"/>
      <c r="R990" s="99"/>
      <c r="S990" s="99"/>
      <c r="T990" s="99"/>
      <c r="U990" s="99"/>
      <c r="V990" s="99"/>
      <c r="W990" s="105"/>
      <c r="X990" s="105"/>
      <c r="Y990" s="105"/>
      <c r="Z990" s="105"/>
      <c r="AA990" s="105"/>
      <c r="AB990" s="105"/>
      <c r="AC990" s="105"/>
      <c r="AD990" s="105"/>
      <c r="AE990" s="105"/>
      <c r="AF990" s="105"/>
      <c r="AG990" s="105"/>
      <c r="AH990" s="105"/>
      <c r="AI990" s="105"/>
      <c r="AJ990" s="171"/>
      <c r="AK990" s="105"/>
      <c r="AL990" s="91"/>
      <c r="AM990" s="91"/>
      <c r="AN990" s="91"/>
      <c r="AO990" s="105"/>
      <c r="AP990" s="105"/>
      <c r="AQ990" s="105"/>
      <c r="AR990" s="105"/>
      <c r="AS990" s="105"/>
      <c r="AT990" s="105"/>
      <c r="AU990" s="105"/>
      <c r="AV990" s="105"/>
      <c r="AW990" s="105"/>
      <c r="AX990" s="105"/>
      <c r="AY990" s="105"/>
      <c r="AZ990" s="105"/>
      <c r="BA990" s="105">
        <f>IF($BA$883&gt;0,PPMT('Assumptions (Solar)'!$V$8,Model!W$1,'Assumptions (Solar)'!$V$11,'Assumptions (Solar)'!$V$6*Model!$BA$883*('Assumptions (Solar)'!$AY$18*'Assumptions (Solar)'!$AY$2+'Assumptions (Solar)'!$AY$19*'Assumptions (Solar)'!$AY$3)/10^9),0)</f>
        <v>-104.71711988776033</v>
      </c>
      <c r="BB990" s="105">
        <f>IF($BA$883&gt;0,PPMT('Assumptions (Solar)'!$V$8,Model!X$1,'Assumptions (Solar)'!$V$11,'Assumptions (Solar)'!$V$6*Model!$BA$883*('Assumptions (Solar)'!$AY$18*'Assumptions (Solar)'!$AY$2+'Assumptions (Solar)'!$AY$19*'Assumptions (Solar)'!$AY$3)/10^9),0)</f>
        <v>-113.09448947878116</v>
      </c>
      <c r="BC990" s="105">
        <f>IF($BA$883&gt;0,PPMT('Assumptions (Solar)'!$V$8,Model!Y$1,'Assumptions (Solar)'!$V$11,'Assumptions (Solar)'!$V$6*Model!$BA$883*('Assumptions (Solar)'!$AY$18*'Assumptions (Solar)'!$AY$2+'Assumptions (Solar)'!$AY$19*'Assumptions (Solar)'!$AY$3)/10^9),0)</f>
        <v>-122.14204863708365</v>
      </c>
      <c r="BD990" s="105">
        <f>IF($BA$883&gt;0,PPMT('Assumptions (Solar)'!$V$8,Model!Z$1,'Assumptions (Solar)'!$V$11,'Assumptions (Solar)'!$V$6*Model!$BA$883*('Assumptions (Solar)'!$AY$18*'Assumptions (Solar)'!$AY$2+'Assumptions (Solar)'!$AY$19*'Assumptions (Solar)'!$AY$3)/10^9),0)</f>
        <v>-131.91341252805037</v>
      </c>
      <c r="BE990" s="105">
        <f>IF($BA$883&gt;0,PPMT('Assumptions (Solar)'!$V$8,Model!AA$1,'Assumptions (Solar)'!$V$11,'Assumptions (Solar)'!$V$6*Model!$BA$883*('Assumptions (Solar)'!$AY$18*'Assumptions (Solar)'!$AY$2+'Assumptions (Solar)'!$AY$19*'Assumptions (Solar)'!$AY$3)/10^9),0)</f>
        <v>-142.46648553029439</v>
      </c>
      <c r="BF990" s="105">
        <f>IF($BA$883&gt;0,PPMT('Assumptions (Solar)'!$V$8,Model!AB$1,'Assumptions (Solar)'!$V$11,'Assumptions (Solar)'!$V$6*Model!$BA$883*('Assumptions (Solar)'!$AY$18*'Assumptions (Solar)'!$AY$2+'Assumptions (Solar)'!$AY$19*'Assumptions (Solar)'!$AY$3)/10^9),0)</f>
        <v>-153.86380437271791</v>
      </c>
      <c r="BG990" s="105">
        <f>IF($BA$883&gt;0,PPMT('Assumptions (Solar)'!$V$8,Model!AC$1,'Assumptions (Solar)'!$V$11,'Assumptions (Solar)'!$V$6*Model!$BA$883*('Assumptions (Solar)'!$AY$18*'Assumptions (Solar)'!$AY$2+'Assumptions (Solar)'!$AY$19*'Assumptions (Solar)'!$AY$3)/10^9),0)</f>
        <v>-166.17290872253537</v>
      </c>
      <c r="BH990" s="105">
        <f>IF($BA$883&gt;0,PPMT('Assumptions (Solar)'!$V$8,Model!AD$1,'Assumptions (Solar)'!$V$11,'Assumptions (Solar)'!$V$6*Model!$BA$883*('Assumptions (Solar)'!$AY$18*'Assumptions (Solar)'!$AY$2+'Assumptions (Solar)'!$AY$19*'Assumptions (Solar)'!$AY$3)/10^9),0)</f>
        <v>-179.4667414203382</v>
      </c>
      <c r="BI990" s="105">
        <f>IF($BA$883&gt;0,PPMT('Assumptions (Solar)'!$V$8,Model!AE$1,'Assumptions (Solar)'!$V$11,'Assumptions (Solar)'!$V$6*Model!$BA$883*('Assumptions (Solar)'!$AY$18*'Assumptions (Solar)'!$AY$2+'Assumptions (Solar)'!$AY$19*'Assumptions (Solar)'!$AY$3)/10^9),0)</f>
        <v>-193.82408073396525</v>
      </c>
      <c r="BJ990" s="105">
        <f>IF($BA$883&gt;0,PPMT('Assumptions (Solar)'!$V$8,Model!AF$1,'Assumptions (Solar)'!$V$11,'Assumptions (Solar)'!$V$6*Model!$BA$883*('Assumptions (Solar)'!$AY$18*'Assumptions (Solar)'!$AY$2+'Assumptions (Solar)'!$AY$19*'Assumptions (Solar)'!$AY$3)/10^9),0)</f>
        <v>-209.33000719268247</v>
      </c>
      <c r="BK990" s="105" t="e">
        <f>IF($BA$883&gt;0,PPMT('Assumptions (Solar)'!$V$8,Model!AG$1,'Assumptions (Solar)'!$V$11,'Assumptions (Solar)'!$V$6*Model!$BA$883*('Assumptions (Solar)'!$AY$18*'Assumptions (Solar)'!$AY$2+'Assumptions (Solar)'!$AY$19*'Assumptions (Solar)'!$AY$3)/10^9),0)</f>
        <v>#NUM!</v>
      </c>
      <c r="BL990" s="105" t="e">
        <f>IF($BA$883&gt;0,PPMT('Assumptions (Solar)'!$V$8,Model!AH$1,'Assumptions (Solar)'!$V$11,'Assumptions (Solar)'!$V$6*Model!$BA$883*('Assumptions (Solar)'!$AY$18*'Assumptions (Solar)'!$AY$2+'Assumptions (Solar)'!$AY$19*'Assumptions (Solar)'!$AY$3)/10^9),0)</f>
        <v>#NUM!</v>
      </c>
      <c r="BM990" s="105" t="e">
        <f>IF($BA$883&gt;0,PPMT('Assumptions (Solar)'!$V$8,Model!AI$1,'Assumptions (Solar)'!$V$11,'Assumptions (Solar)'!$V$6*Model!$BA$883*('Assumptions (Solar)'!$AY$18*'Assumptions (Solar)'!$AY$2+'Assumptions (Solar)'!$AY$19*'Assumptions (Solar)'!$AY$3)/10^9),0)</f>
        <v>#NUM!</v>
      </c>
      <c r="BN990" s="105" t="e">
        <f>IF($BA$883&gt;0,PPMT('Assumptions (Solar)'!$V$8,Model!AJ$1,'Assumptions (Solar)'!$V$11,'Assumptions (Solar)'!$V$6*Model!$BA$883*('Assumptions (Solar)'!$AY$18*'Assumptions (Solar)'!$AY$2+'Assumptions (Solar)'!$AY$19*'Assumptions (Solar)'!$AY$3)/10^9),0)</f>
        <v>#NUM!</v>
      </c>
      <c r="BO990" s="105" t="e">
        <f>IF($BA$883&gt;0,PPMT('Assumptions (Solar)'!$V$8,Model!AK$1,'Assumptions (Solar)'!$V$11,'Assumptions (Solar)'!$V$6*Model!$BA$883*('Assumptions (Solar)'!$AY$18*'Assumptions (Solar)'!$AY$2+'Assumptions (Solar)'!$AY$19*'Assumptions (Solar)'!$AY$3)/10^9),0)</f>
        <v>#NUM!</v>
      </c>
      <c r="BP990" s="105"/>
      <c r="BQ990" s="105"/>
      <c r="BR990" s="105"/>
      <c r="BS990" s="105"/>
      <c r="BT990" s="105"/>
      <c r="BU990" s="105"/>
      <c r="BV990" s="105"/>
      <c r="BW990" s="105"/>
      <c r="BX990" s="105"/>
      <c r="BY990" s="105"/>
    </row>
    <row r="991" spans="1:77" ht="15.75" customHeight="1" collapsed="1">
      <c r="A991" s="403" t="s">
        <v>709</v>
      </c>
      <c r="B991" s="99" t="s">
        <v>201</v>
      </c>
      <c r="C991" s="91">
        <f t="array" ref="C991">SUM(IF(ISERROR(C992:C1042),"",C992:C1042))</f>
        <v>0</v>
      </c>
      <c r="D991" s="91">
        <f t="array" ref="D991">SUM(IF(ISERROR(D992:D1042),"",D992:D1042))</f>
        <v>-5.6769420741919975E-4</v>
      </c>
      <c r="E991" s="91">
        <f t="array" ref="E991">SUM(IF(ISERROR(E992:E1042),"",E992:E1042))</f>
        <v>-8.3113124788438048E-4</v>
      </c>
      <c r="F991" s="91">
        <f t="array" ref="F991">SUM(IF(ISERROR(F992:F1042),"",F992:F1042))</f>
        <v>-7.8218516084029347E-4</v>
      </c>
      <c r="G991" s="91">
        <f t="array" ref="G991">SUM(IF(ISERROR(G992:G1042),"",G992:G1042))</f>
        <v>-7.1293065178324561E-4</v>
      </c>
      <c r="H991" s="91">
        <f t="array" ref="H991">SUM(IF(ISERROR(H992:H1042),"",H992:H1042))</f>
        <v>-9.1778952074368322E-4</v>
      </c>
      <c r="I991" s="91">
        <f t="array" ref="I991">SUM(IF(ISERROR(I992:I1042),"",I992:I1042))</f>
        <v>-1.0668781880011193E-3</v>
      </c>
      <c r="J991" s="91">
        <f t="array" ref="J991">SUM(IF(ISERROR(J992:J1042),"",J992:J1042))</f>
        <v>-1.4741951056299489E-2</v>
      </c>
      <c r="K991" s="91">
        <f t="array" ref="K991">SUM(IF(ISERROR(K992:K1042),"",K992:K1042))</f>
        <v>-1.764281812421889E-2</v>
      </c>
      <c r="L991" s="91">
        <f t="array" ref="L991">SUM(IF(ISERROR(L992:L1042),"",L992:L1042))</f>
        <v>-2.9718227422135972E-2</v>
      </c>
      <c r="M991" s="91">
        <f t="array" ref="M991">SUM(IF(ISERROR(M992:M1042),"",M992:M1042))</f>
        <v>-5.8280918179797872E-2</v>
      </c>
      <c r="N991" s="91">
        <f t="array" ref="N991">SUM(IF(ISERROR(N992:N1042),"",N992:N1042))</f>
        <v>-0.15635609855889532</v>
      </c>
      <c r="O991" s="91">
        <f t="array" ref="O991">SUM(IF(ISERROR(O992:O1042),"",O992:O1042))</f>
        <v>-0.35006140066131192</v>
      </c>
      <c r="P991" s="91">
        <f t="array" ref="P991">SUM(IF(ISERROR(P992:P1042),"",P992:P1042))</f>
        <v>-0.77851403930594421</v>
      </c>
      <c r="Q991" s="91">
        <f t="array" ref="Q991">SUM(IF(ISERROR(Q992:Q1042),"",Q992:Q1042))</f>
        <v>-1.1921640835184795</v>
      </c>
      <c r="R991" s="91">
        <f t="array" ref="R991">SUM(IF(ISERROR(R992:R1042),"",R992:R1042))</f>
        <v>-1.5359591934125956</v>
      </c>
      <c r="S991" s="91">
        <f t="array" ref="S991">SUM(IF(ISERROR(S992:S1042),"",S992:S1042))</f>
        <v>-2.4011942794852073</v>
      </c>
      <c r="T991" s="91">
        <f t="array" ref="T991">SUM(IF(ISERROR(T992:T1042),"",T992:T1042))</f>
        <v>-2.7668569100454068</v>
      </c>
      <c r="U991" s="91">
        <f t="array" ref="U991">SUM(IF(ISERROR(U992:U1042),"",U992:U1042))</f>
        <v>-3.1178389207968373</v>
      </c>
      <c r="V991" s="91">
        <f t="array" ref="V991">SUM(IF(ISERROR(V992:V1042),"",V992:V1042))</f>
        <v>-3.128980327776465</v>
      </c>
      <c r="W991" s="91">
        <f t="array" ref="W991">SUM(IF(ISERROR(W992:W1042),"",W992:W1042))</f>
        <v>-3.9432938749872513</v>
      </c>
      <c r="X991" s="91">
        <f t="array" ref="X991">SUM(IF(ISERROR(X992:X1042),"",X992:X1042))</f>
        <v>-68.105191108951558</v>
      </c>
      <c r="Y991" s="91">
        <f t="array" ref="Y991">SUM(IF(ISERROR(Y992:Y1042),"",Y992:Y1042))</f>
        <v>-129.3052288096074</v>
      </c>
      <c r="Z991" s="91">
        <f t="array" ref="Z991">SUM(IF(ISERROR(Z992:Z1042),"",Z992:Z1042))</f>
        <v>-187.40237657547709</v>
      </c>
      <c r="AA991" s="91">
        <f t="array" ref="AA991">SUM(IF(ISERROR(AA992:AA1042),"",AA992:AA1042))</f>
        <v>-241.86203582898179</v>
      </c>
      <c r="AB991" s="91">
        <f t="array" ref="AB991">SUM(IF(ISERROR(AB992:AB1042),"",AB992:AB1042))</f>
        <v>-292.14553158993999</v>
      </c>
      <c r="AC991" s="91">
        <f t="array" ref="AC991">SUM(IF(ISERROR(AC992:AC1042),"",AC992:AC1042))</f>
        <v>-337.43650537428135</v>
      </c>
      <c r="AD991" s="91">
        <f t="array" ref="AD991">SUM(IF(ISERROR(AD992:AD1042),"",AD992:AD1042))</f>
        <v>-377.30278080920317</v>
      </c>
      <c r="AE991" s="91">
        <f t="array" ref="AE991">SUM(IF(ISERROR(AE992:AE1042),"",AE992:AE1042))</f>
        <v>-411.11004664355198</v>
      </c>
      <c r="AF991" s="91">
        <f t="array" ref="AF991">SUM(IF(ISERROR(AF992:AF1042),"",AF992:AF1042))</f>
        <v>-438.19428787147638</v>
      </c>
      <c r="AG991" s="91">
        <f t="array" ref="AG991">SUM(IF(ISERROR(AG992:AG1042),"",AG992:AG1042))</f>
        <v>-457.61569169617968</v>
      </c>
      <c r="AH991" s="91">
        <f t="array" ref="AH991">SUM(IF(ISERROR(AH992:AH1042),"",AH992:AH1042))</f>
        <v>-468.2882408572259</v>
      </c>
      <c r="AI991" s="91">
        <f t="array" ref="AI991">SUM(IF(ISERROR(AI992:AI1042),"",AI992:AI1042))</f>
        <v>-478.73290415450549</v>
      </c>
      <c r="AJ991" s="91">
        <f t="array" ref="AJ991">SUM(IF(ISERROR(AJ992:AJ1042),"",AJ992:AJ1042))</f>
        <v>-488.9165576602814</v>
      </c>
      <c r="AK991" s="91">
        <f t="array" ref="AK991">SUM(IF(ISERROR(AK992:AK1042),"",AK992:AK1042))</f>
        <v>-498.85322908370443</v>
      </c>
      <c r="AL991" s="91">
        <f t="array" ref="AL991">SUM(IF(ISERROR(AL992:AL1042),"",AL992:AL1042))</f>
        <v>-508.55105027574632</v>
      </c>
      <c r="AM991" s="91">
        <f t="array" ref="AM991">SUM(IF(ISERROR(AM992:AM1042),"",AM992:AM1042))</f>
        <v>-518.02887239731706</v>
      </c>
      <c r="AN991" s="91">
        <f t="array" ref="AN991">SUM(IF(ISERROR(AN992:AN1042),"",AN992:AN1042))</f>
        <v>-527.88048921319887</v>
      </c>
      <c r="AO991" s="91">
        <f t="array" ref="AO991">SUM(IF(ISERROR(AO992:AO1042),"",AO992:AO1042))</f>
        <v>-537.99850169339186</v>
      </c>
      <c r="AP991" s="91">
        <f t="array" ref="AP991">SUM(IF(ISERROR(AP992:AP1042),"",AP992:AP1042))</f>
        <v>-548.38697556389116</v>
      </c>
      <c r="AQ991" s="91">
        <f t="array" ref="AQ991">SUM(IF(ISERROR(AQ992:AQ1042),"",AQ992:AQ1042))</f>
        <v>-559.26506803877862</v>
      </c>
      <c r="AR991" s="91">
        <f t="array" ref="AR991">SUM(IF(ISERROR(AR992:AR1042),"",AR992:AR1042))</f>
        <v>-570.8040990337629</v>
      </c>
      <c r="AS991" s="91">
        <f t="array" ref="AS991">SUM(IF(ISERROR(AS992:AS1042),"",AS992:AS1042))</f>
        <v>-582.93499362113471</v>
      </c>
      <c r="AT991" s="91">
        <f t="array" ref="AT991">SUM(IF(ISERROR(AT992:AT1042),"",AT992:AT1042))</f>
        <v>-595.70455607782594</v>
      </c>
      <c r="AU991" s="91">
        <f t="array" ref="AU991">SUM(IF(ISERROR(AU992:AU1042),"",AU992:AU1042))</f>
        <v>-609.13804709943054</v>
      </c>
      <c r="AV991" s="91">
        <f t="array" ref="AV991">SUM(IF(ISERROR(AV992:AV1042),"",AV992:AV1042))</f>
        <v>-623.34007374086264</v>
      </c>
      <c r="AW991" s="91">
        <f t="array" ref="AW991">SUM(IF(ISERROR(AW992:AW1042),"",AW992:AW1042))</f>
        <v>-637.78037950324563</v>
      </c>
      <c r="AX991" s="91">
        <f t="array" ref="AX991">SUM(IF(ISERROR(AX992:AX1042),"",AX992:AX1042))</f>
        <v>-652.1097011128951</v>
      </c>
      <c r="AY991" s="91">
        <f t="array" ref="AY991">SUM(IF(ISERROR(AY992:AY1042),"",AY992:AY1042))</f>
        <v>-667.53883016805094</v>
      </c>
      <c r="AZ991" s="91">
        <f t="array" ref="AZ991">SUM(IF(ISERROR(AZ992:AZ1042),"",AZ992:AZ1042))</f>
        <v>-682.65147933838045</v>
      </c>
      <c r="BA991" s="91">
        <f t="array" ref="BA991">SUM(IF(ISERROR(BA992:BA1042),"",BA992:BA1042))</f>
        <v>-697.3520875732421</v>
      </c>
      <c r="BB991" s="91">
        <f t="array" ref="BB991">SUM(IF(ISERROR(BB992:BB1042),"",BB992:BB1042))</f>
        <v>-588.28466822290545</v>
      </c>
      <c r="BC991" s="91">
        <f t="array" ref="BC991">SUM(IF(ISERROR(BC992:BC1042),"",BC992:BC1042))</f>
        <v>-485.33578207857857</v>
      </c>
      <c r="BD991" s="91">
        <f t="array" ref="BD991">SUM(IF(ISERROR(BD992:BD1042),"",BD992:BD1042))</f>
        <v>-389.33682429116647</v>
      </c>
      <c r="BE991" s="91">
        <f t="array" ref="BE991">SUM(IF(ISERROR(BE992:BE1042),"",BE992:BE1042))</f>
        <v>-301.20324073322371</v>
      </c>
      <c r="BF991" s="91">
        <f t="array" ref="BF991">SUM(IF(ISERROR(BF992:BF1042),"",BF992:BF1042))</f>
        <v>-221.94050998577131</v>
      </c>
      <c r="BG991" s="91">
        <f t="array" ref="BG991">SUM(IF(ISERROR(BG992:BG1042),"",BG992:BG1042))</f>
        <v>-152.66576037490751</v>
      </c>
      <c r="BH991" s="91">
        <f t="array" ref="BH991">SUM(IF(ISERROR(BH992:BH1042),"",BH992:BH1042))</f>
        <v>-94.525927159376977</v>
      </c>
      <c r="BI991" s="91">
        <f t="array" ref="BI991">SUM(IF(ISERROR(BI992:BI1042),"",BI992:BI1042))</f>
        <v>-48.724881609722885</v>
      </c>
      <c r="BJ991" s="91">
        <f t="array" ref="BJ991">SUM(IF(ISERROR(BJ992:BJ1042),"",BJ992:BJ1042))</f>
        <v>-16.746400575414597</v>
      </c>
      <c r="BK991" s="91"/>
      <c r="BL991" s="91"/>
      <c r="BM991" s="91"/>
      <c r="BN991" s="91"/>
      <c r="BO991" s="91"/>
    </row>
    <row r="992" spans="1:77" ht="15.75" hidden="1" customHeight="1" outlineLevel="1">
      <c r="A992" s="401"/>
      <c r="B992" s="99"/>
      <c r="C992" s="91">
        <f>IF($C$883&gt;0,IPMT('Assumptions (Solar)'!$V$8,Model!W$1,'Assumptions (Solar)'!$V$11,'Assumptions (Solar)'!$V$6*Model!$C$883*('Assumptions (Solar)'!$B$18*'Assumptions (Solar)'!$B$2+'Assumptions (Solar)'!$B$19*'Assumptions (Solar)'!$B$3)/10^9),0)</f>
        <v>0</v>
      </c>
      <c r="D992" s="91">
        <f>IF($C$883&gt;0,IPMT('Assumptions (Solar)'!$V$8,Model!X$1,'Assumptions (Solar)'!$V$11,'Assumptions (Solar)'!$V$6*Model!$C$883*('Assumptions (Solar)'!$B$18*'Assumptions (Solar)'!$B$2+'Assumptions (Solar)'!$B$19*'Assumptions (Solar)'!$B$3)/10^9),0)</f>
        <v>0</v>
      </c>
      <c r="E992" s="91">
        <f>IF($C$883&gt;0,IPMT('Assumptions (Solar)'!$V$8,Model!Y$1,'Assumptions (Solar)'!$V$11,'Assumptions (Solar)'!$V$6*Model!$C$883*('Assumptions (Solar)'!$B$18*'Assumptions (Solar)'!$B$2+'Assumptions (Solar)'!$B$19*'Assumptions (Solar)'!$B$3)/10^9),0)</f>
        <v>0</v>
      </c>
      <c r="F992" s="91">
        <f>IF($C$883&gt;0,IPMT('Assumptions (Solar)'!$V$8,Model!Z$1,'Assumptions (Solar)'!$V$11,'Assumptions (Solar)'!$V$6*Model!$C$883*('Assumptions (Solar)'!$B$18*'Assumptions (Solar)'!$B$2+'Assumptions (Solar)'!$B$19*'Assumptions (Solar)'!$B$3)/10^9),0)</f>
        <v>0</v>
      </c>
      <c r="G992" s="91">
        <f>IF($C$883&gt;0,IPMT('Assumptions (Solar)'!$V$8,Model!AA$1,'Assumptions (Solar)'!$V$11,'Assumptions (Solar)'!$V$6*Model!$C$883*('Assumptions (Solar)'!$B$18*'Assumptions (Solar)'!$B$2+'Assumptions (Solar)'!$B$19*'Assumptions (Solar)'!$B$3)/10^9),0)</f>
        <v>0</v>
      </c>
      <c r="H992" s="91">
        <f>IF($C$883&gt;0,IPMT('Assumptions (Solar)'!$V$8,Model!AB$1,'Assumptions (Solar)'!$V$11,'Assumptions (Solar)'!$V$6*Model!$C$883*('Assumptions (Solar)'!$B$18*'Assumptions (Solar)'!$B$2+'Assumptions (Solar)'!$B$19*'Assumptions (Solar)'!$B$3)/10^9),0)</f>
        <v>0</v>
      </c>
      <c r="I992" s="91">
        <f>IF($C$883&gt;0,IPMT('Assumptions (Solar)'!$V$8,Model!AC$1,'Assumptions (Solar)'!$V$11,'Assumptions (Solar)'!$V$6*Model!$C$883*('Assumptions (Solar)'!$B$18*'Assumptions (Solar)'!$B$2+'Assumptions (Solar)'!$B$19*'Assumptions (Solar)'!$B$3)/10^9),0)</f>
        <v>0</v>
      </c>
      <c r="J992" s="91">
        <f>IF($C$883&gt;0,IPMT('Assumptions (Solar)'!$V$8,Model!AD$1,'Assumptions (Solar)'!$V$11,'Assumptions (Solar)'!$V$6*Model!$C$883*('Assumptions (Solar)'!$B$18*'Assumptions (Solar)'!$B$2+'Assumptions (Solar)'!$B$19*'Assumptions (Solar)'!$B$3)/10^9),0)</f>
        <v>0</v>
      </c>
      <c r="K992" s="91">
        <f>IF($C$883&gt;0,IPMT('Assumptions (Solar)'!$V$8,Model!AE$1,'Assumptions (Solar)'!$V$11,'Assumptions (Solar)'!$V$6*Model!$C$883*('Assumptions (Solar)'!$B$18*'Assumptions (Solar)'!$B$2+'Assumptions (Solar)'!$B$19*'Assumptions (Solar)'!$B$3)/10^9),0)</f>
        <v>0</v>
      </c>
      <c r="L992" s="91">
        <f>IF($C$883&gt;0,IPMT('Assumptions (Solar)'!$V$8,Model!AF$1,'Assumptions (Solar)'!$V$11,'Assumptions (Solar)'!$V$6*Model!$C$883*('Assumptions (Solar)'!$B$18*'Assumptions (Solar)'!$B$2+'Assumptions (Solar)'!$B$19*'Assumptions (Solar)'!$B$3)/10^9),0)</f>
        <v>0</v>
      </c>
      <c r="M992" s="91">
        <f>IF($C$883&gt;0,IPMT('Assumptions (Solar)'!$V$8,Model!AG$1,'Assumptions (Solar)'!$V$11,'Assumptions (Solar)'!$V$6*Model!$C$883*('Assumptions (Solar)'!$B$18*'Assumptions (Solar)'!$B$2+'Assumptions (Solar)'!$B$19*'Assumptions (Solar)'!$B$3)/10^9),0)</f>
        <v>0</v>
      </c>
      <c r="N992" s="91">
        <f>IF($C$883&gt;0,IPMT('Assumptions (Solar)'!$V$8,Model!AH$1,'Assumptions (Solar)'!$V$11,'Assumptions (Solar)'!$V$6*Model!$C$883*('Assumptions (Solar)'!$B$18*'Assumptions (Solar)'!$B$2+'Assumptions (Solar)'!$B$19*'Assumptions (Solar)'!$B$3)/10^9),0)</f>
        <v>0</v>
      </c>
      <c r="O992" s="91">
        <f>IF($C$883&gt;0,IPMT('Assumptions (Solar)'!$V$8,Model!AI$1,'Assumptions (Solar)'!$V$11,'Assumptions (Solar)'!$V$6*Model!$C$883*('Assumptions (Solar)'!$B$18*'Assumptions (Solar)'!$B$2+'Assumptions (Solar)'!$B$19*'Assumptions (Solar)'!$B$3)/10^9),0)</f>
        <v>0</v>
      </c>
      <c r="P992" s="91">
        <f>IF($C$883&gt;0,IPMT('Assumptions (Solar)'!$V$8,Model!AJ$1,'Assumptions (Solar)'!$V$11,'Assumptions (Solar)'!$V$6*Model!$C$883*('Assumptions (Solar)'!$B$18*'Assumptions (Solar)'!$B$2+'Assumptions (Solar)'!$B$19*'Assumptions (Solar)'!$B$3)/10^9),0)</f>
        <v>0</v>
      </c>
      <c r="Q992" s="91">
        <f>IF($C$883&gt;0,IPMT('Assumptions (Solar)'!$V$8,Model!AK$1,'Assumptions (Solar)'!$V$11,'Assumptions (Solar)'!$V$6*Model!$C$883*('Assumptions (Solar)'!$B$18*'Assumptions (Solar)'!$B$2+'Assumptions (Solar)'!$B$19*'Assumptions (Solar)'!$B$3)/10^9),0)</f>
        <v>0</v>
      </c>
      <c r="R992" s="91"/>
      <c r="S992" s="91"/>
      <c r="T992" s="91"/>
      <c r="U992" s="91"/>
      <c r="V992" s="91"/>
      <c r="W992" s="91"/>
      <c r="X992" s="91"/>
      <c r="Y992" s="91"/>
      <c r="Z992" s="91"/>
      <c r="AA992" s="91"/>
      <c r="AB992" s="105"/>
      <c r="AC992" s="105"/>
      <c r="AD992" s="105"/>
      <c r="AE992" s="105"/>
      <c r="AF992" s="105"/>
      <c r="AG992" s="105"/>
      <c r="AU992" s="105"/>
      <c r="AV992" s="105"/>
      <c r="AW992" s="105"/>
      <c r="AX992" s="105"/>
      <c r="AY992" s="105"/>
      <c r="AZ992" s="105"/>
      <c r="BA992" s="105"/>
    </row>
    <row r="993" spans="1:53" ht="15.75" hidden="1" customHeight="1" outlineLevel="1">
      <c r="A993" s="401"/>
      <c r="B993" s="99"/>
      <c r="C993" s="105"/>
      <c r="D993" s="91">
        <f>IF($D$883&gt;0,IPMT('Assumptions (Solar)'!$V$8,Model!W$1,'Assumptions (Solar)'!$V$11,'Assumptions (Solar)'!$V$6*Model!$D$883*('Assumptions (Solar)'!$B$18*'Assumptions (Solar)'!$B$2+'Assumptions (Solar)'!$B$19*'Assumptions (Solar)'!$B$3)/10^9),0)</f>
        <v>-5.6769420741919975E-4</v>
      </c>
      <c r="E993" s="91">
        <f>IF($D$883&gt;0,IPMT('Assumptions (Solar)'!$V$8,Model!X$1,'Assumptions (Solar)'!$V$11,'Assumptions (Solar)'!$V$6*Model!$D$883*('Assumptions (Solar)'!$B$18*'Assumptions (Solar)'!$B$2+'Assumptions (Solar)'!$B$19*'Assumptions (Solar)'!$B$3)/10^9),0)</f>
        <v>-5.2850656654476096E-4</v>
      </c>
      <c r="F993" s="91">
        <f>IF($D$883&gt;0,IPMT('Assumptions (Solar)'!$V$8,Model!Y$1,'Assumptions (Solar)'!$V$11,'Assumptions (Solar)'!$V$6*Model!$D$883*('Assumptions (Solar)'!$B$18*'Assumptions (Solar)'!$B$2+'Assumptions (Solar)'!$B$19*'Assumptions (Solar)'!$B$3)/10^9),0)</f>
        <v>-4.8618391440036695E-4</v>
      </c>
      <c r="G993" s="91">
        <f>IF($D$883&gt;0,IPMT('Assumptions (Solar)'!$V$8,Model!Z$1,'Assumptions (Solar)'!$V$11,'Assumptions (Solar)'!$V$6*Model!$D$883*('Assumptions (Solar)'!$B$18*'Assumptions (Solar)'!$B$2+'Assumptions (Solar)'!$B$19*'Assumptions (Solar)'!$B$3)/10^9),0)</f>
        <v>-4.4047545008442135E-4</v>
      </c>
      <c r="H993" s="91">
        <f>IF($D$883&gt;0,IPMT('Assumptions (Solar)'!$V$8,Model!AA$1,'Assumptions (Solar)'!$V$11,'Assumptions (Solar)'!$V$6*Model!$D$883*('Assumptions (Solar)'!$B$18*'Assumptions (Solar)'!$B$2+'Assumptions (Solar)'!$B$19*'Assumptions (Solar)'!$B$3)/10^9),0)</f>
        <v>-3.9111030862320036E-4</v>
      </c>
      <c r="I993" s="91">
        <f>IF($D$883&gt;0,IPMT('Assumptions (Solar)'!$V$8,Model!AB$1,'Assumptions (Solar)'!$V$11,'Assumptions (Solar)'!$V$6*Model!$D$883*('Assumptions (Solar)'!$B$18*'Assumptions (Solar)'!$B$2+'Assumptions (Solar)'!$B$19*'Assumptions (Solar)'!$B$3)/10^9),0)</f>
        <v>-3.3779595584508158E-4</v>
      </c>
      <c r="J993" s="91">
        <f>IF($D$883&gt;0,IPMT('Assumptions (Solar)'!$V$8,Model!AC$1,'Assumptions (Solar)'!$V$11,'Assumptions (Solar)'!$V$6*Model!$D$883*('Assumptions (Solar)'!$B$18*'Assumptions (Solar)'!$B$2+'Assumptions (Solar)'!$B$19*'Assumptions (Solar)'!$B$3)/10^9),0)</f>
        <v>-2.8021645484471323E-4</v>
      </c>
      <c r="K993" s="91">
        <f>IF($D$883&gt;0,IPMT('Assumptions (Solar)'!$V$8,Model!AD$1,'Assumptions (Solar)'!$V$11,'Assumptions (Solar)'!$V$6*Model!$D$883*('Assumptions (Solar)'!$B$18*'Assumptions (Solar)'!$B$2+'Assumptions (Solar)'!$B$19*'Assumptions (Solar)'!$B$3)/10^9),0)</f>
        <v>-2.1803059376431552E-4</v>
      </c>
      <c r="L993" s="91">
        <f>IF($D$883&gt;0,IPMT('Assumptions (Solar)'!$V$8,Model!AE$1,'Assumptions (Solar)'!$V$11,'Assumptions (Solar)'!$V$6*Model!$D$883*('Assumptions (Solar)'!$B$18*'Assumptions (Solar)'!$B$2+'Assumptions (Solar)'!$B$19*'Assumptions (Solar)'!$B$3)/10^9),0)</f>
        <v>-1.5086986379748594E-4</v>
      </c>
      <c r="M993" s="91">
        <f>IF($D$883&gt;0,IPMT('Assumptions (Solar)'!$V$8,Model!AF$1,'Assumptions (Solar)'!$V$11,'Assumptions (Solar)'!$V$6*Model!$D$883*('Assumptions (Solar)'!$B$18*'Assumptions (Solar)'!$B$2+'Assumptions (Solar)'!$B$19*'Assumptions (Solar)'!$B$3)/10^9),0)</f>
        <v>-7.8336275433310006E-5</v>
      </c>
      <c r="N993" s="91" t="e">
        <f>IF($D$883&gt;0,IPMT('Assumptions (Solar)'!$V$8,Model!AG$1,'Assumptions (Solar)'!$V$11,'Assumptions (Solar)'!$V$6*Model!$D$883*('Assumptions (Solar)'!$B$18*'Assumptions (Solar)'!$B$2+'Assumptions (Solar)'!$B$19*'Assumptions (Solar)'!$B$3)/10^9),0)</f>
        <v>#NUM!</v>
      </c>
      <c r="O993" s="91" t="e">
        <f>IF($D$883&gt;0,IPMT('Assumptions (Solar)'!$V$8,Model!AH$1,'Assumptions (Solar)'!$V$11,'Assumptions (Solar)'!$V$6*Model!$D$883*('Assumptions (Solar)'!$B$18*'Assumptions (Solar)'!$B$2+'Assumptions (Solar)'!$B$19*'Assumptions (Solar)'!$B$3)/10^9),0)</f>
        <v>#NUM!</v>
      </c>
      <c r="P993" s="91" t="e">
        <f>IF($D$883&gt;0,IPMT('Assumptions (Solar)'!$V$8,Model!AI$1,'Assumptions (Solar)'!$V$11,'Assumptions (Solar)'!$V$6*Model!$D$883*('Assumptions (Solar)'!$B$18*'Assumptions (Solar)'!$B$2+'Assumptions (Solar)'!$B$19*'Assumptions (Solar)'!$B$3)/10^9),0)</f>
        <v>#NUM!</v>
      </c>
      <c r="Q993" s="91" t="e">
        <f>IF($D$883&gt;0,IPMT('Assumptions (Solar)'!$V$8,Model!AJ$1,'Assumptions (Solar)'!$V$11,'Assumptions (Solar)'!$V$6*Model!$D$883*('Assumptions (Solar)'!$B$18*'Assumptions (Solar)'!$B$2+'Assumptions (Solar)'!$B$19*'Assumptions (Solar)'!$B$3)/10^9),0)</f>
        <v>#NUM!</v>
      </c>
      <c r="R993" s="91" t="e">
        <f>IF($D$883&gt;0,IPMT('Assumptions (Solar)'!$V$8,Model!AK$1,'Assumptions (Solar)'!$V$11,'Assumptions (Solar)'!$V$6*Model!$D$883*('Assumptions (Solar)'!$B$18*'Assumptions (Solar)'!$B$2+'Assumptions (Solar)'!$B$19*'Assumptions (Solar)'!$B$3)/10^9),0)</f>
        <v>#NUM!</v>
      </c>
      <c r="S993" s="91"/>
      <c r="T993" s="91"/>
      <c r="U993" s="91"/>
      <c r="V993" s="91"/>
      <c r="W993" s="91"/>
      <c r="X993" s="91"/>
      <c r="Y993" s="91"/>
      <c r="Z993" s="91"/>
      <c r="AA993" s="91"/>
      <c r="AB993" s="91"/>
      <c r="AC993" s="105"/>
      <c r="AD993" s="105"/>
      <c r="AE993" s="105"/>
      <c r="AF993" s="105"/>
      <c r="AG993" s="105"/>
      <c r="AU993" s="105"/>
      <c r="AV993" s="105"/>
      <c r="AW993" s="105"/>
      <c r="AX993" s="105"/>
      <c r="AY993" s="105"/>
      <c r="AZ993" s="105"/>
      <c r="BA993" s="105"/>
    </row>
    <row r="994" spans="1:53" ht="15.75" hidden="1" customHeight="1" outlineLevel="1">
      <c r="A994" s="401"/>
      <c r="B994" s="99"/>
      <c r="C994" s="105"/>
      <c r="D994" s="105"/>
      <c r="E994" s="105">
        <f>IF($E$883&gt;0,IPMT('Assumptions (Solar)'!$V$8,Model!W$1,'Assumptions (Solar)'!$V$11,'Assumptions (Solar)'!$V$6*Model!$E$883*('Assumptions (Solar)'!$C$18*'Assumptions (Solar)'!$C$2+'Assumptions (Solar)'!$C$19*'Assumptions (Solar)'!$C$3)/10^9),0)</f>
        <v>-3.0262468133961952E-4</v>
      </c>
      <c r="F994" s="105">
        <f>IF($E$883&gt;0,IPMT('Assumptions (Solar)'!$V$8,Model!X$1,'Assumptions (Solar)'!$V$11,'Assumptions (Solar)'!$V$6*Model!$E$883*('Assumptions (Solar)'!$C$18*'Assumptions (Solar)'!$C$2+'Assumptions (Solar)'!$C$19*'Assumptions (Solar)'!$C$3)/10^9),0)</f>
        <v>-2.8173465431963017E-4</v>
      </c>
      <c r="G994" s="105">
        <f>IF($E$883&gt;0,IPMT('Assumptions (Solar)'!$V$8,Model!Y$1,'Assumptions (Solar)'!$V$11,'Assumptions (Solar)'!$V$6*Model!$E$883*('Assumptions (Solar)'!$C$18*'Assumptions (Solar)'!$C$2+'Assumptions (Solar)'!$C$19*'Assumptions (Solar)'!$C$3)/10^9),0)</f>
        <v>-2.5917342513804171E-4</v>
      </c>
      <c r="H994" s="105">
        <f>IF($E$883&gt;0,IPMT('Assumptions (Solar)'!$V$8,Model!Z$1,'Assumptions (Solar)'!$V$11,'Assumptions (Solar)'!$V$6*Model!$E$883*('Assumptions (Solar)'!$C$18*'Assumptions (Solar)'!$C$2+'Assumptions (Solar)'!$C$19*'Assumptions (Solar)'!$C$3)/10^9),0)</f>
        <v>-2.3480729762192614E-4</v>
      </c>
      <c r="I994" s="105">
        <f>IF($E$883&gt;0,IPMT('Assumptions (Solar)'!$V$8,Model!AA$1,'Assumptions (Solar)'!$V$11,'Assumptions (Solar)'!$V$6*Model!$E$883*('Assumptions (Solar)'!$C$18*'Assumptions (Solar)'!$C$2+'Assumptions (Solar)'!$C$19*'Assumptions (Solar)'!$C$3)/10^9),0)</f>
        <v>-2.0849187990452136E-4</v>
      </c>
      <c r="J994" s="105">
        <f>IF($E$883&gt;0,IPMT('Assumptions (Solar)'!$V$8,Model!AB$1,'Assumptions (Solar)'!$V$11,'Assumptions (Solar)'!$V$6*Model!$E$883*('Assumptions (Solar)'!$C$18*'Assumptions (Solar)'!$C$2+'Assumptions (Solar)'!$C$19*'Assumptions (Solar)'!$C$3)/10^9),0)</f>
        <v>-1.8007122876972424E-4</v>
      </c>
      <c r="K994" s="105">
        <f>IF($E$883&gt;0,IPMT('Assumptions (Solar)'!$V$8,Model!AC$1,'Assumptions (Solar)'!$V$11,'Assumptions (Solar)'!$V$6*Model!$E$883*('Assumptions (Solar)'!$C$18*'Assumptions (Solar)'!$C$2+'Assumptions (Solar)'!$C$19*'Assumptions (Solar)'!$C$3)/10^9),0)</f>
        <v>-1.4937692554414325E-4</v>
      </c>
      <c r="L994" s="105">
        <f>IF($E$883&gt;0,IPMT('Assumptions (Solar)'!$V$8,Model!AD$1,'Assumptions (Solar)'!$V$11,'Assumptions (Solar)'!$V$6*Model!$E$883*('Assumptions (Solar)'!$C$18*'Assumptions (Solar)'!$C$2+'Assumptions (Solar)'!$C$19*'Assumptions (Solar)'!$C$3)/10^9),0)</f>
        <v>-1.1622707806051587E-4</v>
      </c>
      <c r="M994" s="105">
        <f>IF($E$883&gt;0,IPMT('Assumptions (Solar)'!$V$8,Model!AE$1,'Assumptions (Solar)'!$V$11,'Assumptions (Solar)'!$V$6*Model!$E$883*('Assumptions (Solar)'!$C$18*'Assumptions (Solar)'!$C$2+'Assumptions (Solar)'!$C$19*'Assumptions (Solar)'!$C$3)/10^9),0)</f>
        <v>-8.0425242778198264E-5</v>
      </c>
      <c r="N994" s="105">
        <f>IF($E$883&gt;0,IPMT('Assumptions (Solar)'!$V$8,Model!AF$1,'Assumptions (Solar)'!$V$11,'Assumptions (Solar)'!$V$6*Model!$E$883*('Assumptions (Solar)'!$C$18*'Assumptions (Solar)'!$C$2+'Assumptions (Solar)'!$C$19*'Assumptions (Solar)'!$C$3)/10^9),0)</f>
        <v>-4.175926067329525E-5</v>
      </c>
      <c r="O994" s="105" t="e">
        <f>IF($E$883&gt;0,IPMT('Assumptions (Solar)'!$V$8,Model!AG$1,'Assumptions (Solar)'!$V$11,'Assumptions (Solar)'!$V$6*Model!$E$883*('Assumptions (Solar)'!$C$18*'Assumptions (Solar)'!$C$2+'Assumptions (Solar)'!$C$19*'Assumptions (Solar)'!$C$3)/10^9),0)</f>
        <v>#NUM!</v>
      </c>
      <c r="P994" s="105" t="e">
        <f>IF($E$883&gt;0,IPMT('Assumptions (Solar)'!$V$8,Model!AH$1,'Assumptions (Solar)'!$V$11,'Assumptions (Solar)'!$V$6*Model!$E$883*('Assumptions (Solar)'!$C$18*'Assumptions (Solar)'!$C$2+'Assumptions (Solar)'!$C$19*'Assumptions (Solar)'!$C$3)/10^9),0)</f>
        <v>#NUM!</v>
      </c>
      <c r="Q994" s="105" t="e">
        <f>IF($E$883&gt;0,IPMT('Assumptions (Solar)'!$V$8,Model!AI$1,'Assumptions (Solar)'!$V$11,'Assumptions (Solar)'!$V$6*Model!$E$883*('Assumptions (Solar)'!$C$18*'Assumptions (Solar)'!$C$2+'Assumptions (Solar)'!$C$19*'Assumptions (Solar)'!$C$3)/10^9),0)</f>
        <v>#NUM!</v>
      </c>
      <c r="R994" s="105" t="e">
        <f>IF($E$883&gt;0,IPMT('Assumptions (Solar)'!$V$8,Model!AJ$1,'Assumptions (Solar)'!$V$11,'Assumptions (Solar)'!$V$6*Model!$E$883*('Assumptions (Solar)'!$C$18*'Assumptions (Solar)'!$C$2+'Assumptions (Solar)'!$C$19*'Assumptions (Solar)'!$C$3)/10^9),0)</f>
        <v>#NUM!</v>
      </c>
      <c r="S994" s="105" t="e">
        <f>IF($E$883&gt;0,IPMT('Assumptions (Solar)'!$V$8,Model!AK$1,'Assumptions (Solar)'!$V$11,'Assumptions (Solar)'!$V$6*Model!$E$883*('Assumptions (Solar)'!$C$18*'Assumptions (Solar)'!$C$2+'Assumptions (Solar)'!$C$19*'Assumptions (Solar)'!$C$3)/10^9),0)</f>
        <v>#NUM!</v>
      </c>
      <c r="T994" s="105"/>
      <c r="U994" s="105"/>
      <c r="V994" s="105"/>
      <c r="W994" s="105"/>
      <c r="X994" s="105"/>
      <c r="Y994" s="105"/>
      <c r="Z994" s="105"/>
      <c r="AA994" s="105"/>
      <c r="AB994" s="105"/>
      <c r="AC994" s="105"/>
      <c r="AD994" s="105"/>
      <c r="AE994" s="105"/>
      <c r="AF994" s="105"/>
      <c r="AG994" s="105"/>
      <c r="AU994" s="105"/>
      <c r="AV994" s="105"/>
      <c r="AW994" s="105"/>
      <c r="AX994" s="105"/>
      <c r="AY994" s="105"/>
      <c r="AZ994" s="105"/>
      <c r="BA994" s="105"/>
    </row>
    <row r="995" spans="1:53" ht="15.75" hidden="1" customHeight="1" outlineLevel="1">
      <c r="A995" s="401"/>
      <c r="B995" s="99"/>
      <c r="C995" s="105"/>
      <c r="D995" s="105"/>
      <c r="E995" s="105"/>
      <c r="F995" s="105">
        <f>IF($F$883&gt;0,IPMT('Assumptions (Solar)'!$V$8,Model!W$1,'Assumptions (Solar)'!$V$11,'Assumptions (Solar)'!$V$6*Model!$F$883*('Assumptions (Solar)'!$D$18*'Assumptions (Solar)'!$D$2+'Assumptions (Solar)'!$D$19*'Assumptions (Solar)'!$D$3)/10^9),0)</f>
        <v>-1.4266592120296346E-5</v>
      </c>
      <c r="G995" s="105">
        <f>IF($F$883&gt;0,IPMT('Assumptions (Solar)'!$V$8,Model!X$1,'Assumptions (Solar)'!$V$11,'Assumptions (Solar)'!$V$6*Model!$F$883*('Assumptions (Solar)'!$D$18*'Assumptions (Solar)'!$D$2+'Assumptions (Solar)'!$D$19*'Assumptions (Solar)'!$D$3)/10^9),0)</f>
        <v>-1.3281776560782565E-5</v>
      </c>
      <c r="H995" s="105">
        <f>IF($F$883&gt;0,IPMT('Assumptions (Solar)'!$V$8,Model!Y$1,'Assumptions (Solar)'!$V$11,'Assumptions (Solar)'!$V$6*Model!$F$883*('Assumptions (Solar)'!$D$18*'Assumptions (Solar)'!$D$2+'Assumptions (Solar)'!$D$19*'Assumptions (Solar)'!$D$3)/10^9),0)</f>
        <v>-1.2218175756507679E-5</v>
      </c>
      <c r="I995" s="105">
        <f>IF($F$883&gt;0,IPMT('Assumptions (Solar)'!$V$8,Model!Z$1,'Assumptions (Solar)'!$V$11,'Assumptions (Solar)'!$V$6*Model!$F$883*('Assumptions (Solar)'!$D$18*'Assumptions (Solar)'!$D$2+'Assumptions (Solar)'!$D$19*'Assumptions (Solar)'!$D$3)/10^9),0)</f>
        <v>-1.1069486887890803E-5</v>
      </c>
      <c r="J995" s="105">
        <f>IF($F$883&gt;0,IPMT('Assumptions (Solar)'!$V$8,Model!AA$1,'Assumptions (Solar)'!$V$11,'Assumptions (Solar)'!$V$6*Model!$F$883*('Assumptions (Solar)'!$D$18*'Assumptions (Solar)'!$D$2+'Assumptions (Solar)'!$D$19*'Assumptions (Solar)'!$D$3)/10^9),0)</f>
        <v>-9.828902909784579E-6</v>
      </c>
      <c r="K995" s="105">
        <f>IF($F$883&gt;0,IPMT('Assumptions (Solar)'!$V$8,Model!AB$1,'Assumptions (Solar)'!$V$11,'Assumptions (Solar)'!$V$6*Model!$F$883*('Assumptions (Solar)'!$D$18*'Assumptions (Solar)'!$D$2+'Assumptions (Solar)'!$D$19*'Assumptions (Solar)'!$D$3)/10^9),0)</f>
        <v>-8.4890722134298562E-6</v>
      </c>
      <c r="L995" s="105">
        <f>IF($F$883&gt;0,IPMT('Assumptions (Solar)'!$V$8,Model!AC$1,'Assumptions (Solar)'!$V$11,'Assumptions (Solar)'!$V$6*Model!$F$883*('Assumptions (Solar)'!$D$18*'Assumptions (Solar)'!$D$2+'Assumptions (Solar)'!$D$19*'Assumptions (Solar)'!$D$3)/10^9),0)</f>
        <v>-7.0420550613667528E-6</v>
      </c>
      <c r="M995" s="105">
        <f>IF($F$883&gt;0,IPMT('Assumptions (Solar)'!$V$8,Model!AD$1,'Assumptions (Solar)'!$V$11,'Assumptions (Solar)'!$V$6*Model!$F$883*('Assumptions (Solar)'!$D$18*'Assumptions (Solar)'!$D$2+'Assumptions (Solar)'!$D$19*'Assumptions (Solar)'!$D$3)/10^9),0)</f>
        <v>-5.4792765371386044E-6</v>
      </c>
      <c r="N995" s="105">
        <f>IF($F$883&gt;0,IPMT('Assumptions (Solar)'!$V$8,Model!AE$1,'Assumptions (Solar)'!$V$11,'Assumptions (Solar)'!$V$6*Model!$F$883*('Assumptions (Solar)'!$D$18*'Assumptions (Solar)'!$D$2+'Assumptions (Solar)'!$D$19*'Assumptions (Solar)'!$D$3)/10^9),0)</f>
        <v>-3.7914757309722031E-6</v>
      </c>
      <c r="O995" s="105">
        <f>IF($F$883&gt;0,IPMT('Assumptions (Solar)'!$V$8,Model!AF$1,'Assumptions (Solar)'!$V$11,'Assumptions (Solar)'!$V$6*Model!$F$883*('Assumptions (Solar)'!$D$18*'Assumptions (Solar)'!$D$2+'Assumptions (Solar)'!$D$19*'Assumptions (Solar)'!$D$3)/10^9),0)</f>
        <v>-1.9686508603124903E-6</v>
      </c>
      <c r="P995" s="105" t="e">
        <f>IF($F$883&gt;0,IPMT('Assumptions (Solar)'!$V$8,Model!AG$1,'Assumptions (Solar)'!$V$11,'Assumptions (Solar)'!$V$6*Model!$F$883*('Assumptions (Solar)'!$D$18*'Assumptions (Solar)'!$D$2+'Assumptions (Solar)'!$D$19*'Assumptions (Solar)'!$D$3)/10^9),0)</f>
        <v>#NUM!</v>
      </c>
      <c r="Q995" s="105" t="e">
        <f>IF($F$883&gt;0,IPMT('Assumptions (Solar)'!$V$8,Model!AH$1,'Assumptions (Solar)'!$V$11,'Assumptions (Solar)'!$V$6*Model!$F$883*('Assumptions (Solar)'!$D$18*'Assumptions (Solar)'!$D$2+'Assumptions (Solar)'!$D$19*'Assumptions (Solar)'!$D$3)/10^9),0)</f>
        <v>#NUM!</v>
      </c>
      <c r="R995" s="105" t="e">
        <f>IF($F$883&gt;0,IPMT('Assumptions (Solar)'!$V$8,Model!AI$1,'Assumptions (Solar)'!$V$11,'Assumptions (Solar)'!$V$6*Model!$F$883*('Assumptions (Solar)'!$D$18*'Assumptions (Solar)'!$D$2+'Assumptions (Solar)'!$D$19*'Assumptions (Solar)'!$D$3)/10^9),0)</f>
        <v>#NUM!</v>
      </c>
      <c r="S995" s="105" t="e">
        <f>IF($F$883&gt;0,IPMT('Assumptions (Solar)'!$V$8,Model!AJ$1,'Assumptions (Solar)'!$V$11,'Assumptions (Solar)'!$V$6*Model!$F$883*('Assumptions (Solar)'!$D$18*'Assumptions (Solar)'!$D$2+'Assumptions (Solar)'!$D$19*'Assumptions (Solar)'!$D$3)/10^9),0)</f>
        <v>#NUM!</v>
      </c>
      <c r="T995" s="105" t="e">
        <f>IF($F$883&gt;0,IPMT('Assumptions (Solar)'!$V$8,Model!AK$1,'Assumptions (Solar)'!$V$11,'Assumptions (Solar)'!$V$6*Model!$F$883*('Assumptions (Solar)'!$D$18*'Assumptions (Solar)'!$D$2+'Assumptions (Solar)'!$D$19*'Assumptions (Solar)'!$D$3)/10^9),0)</f>
        <v>#NUM!</v>
      </c>
      <c r="U995" s="105"/>
      <c r="V995" s="105"/>
      <c r="W995" s="105"/>
      <c r="X995" s="105"/>
      <c r="Y995" s="105"/>
      <c r="Z995" s="105"/>
      <c r="AA995" s="105"/>
      <c r="AB995" s="105"/>
      <c r="AC995" s="105"/>
      <c r="AD995" s="105"/>
      <c r="AE995" s="105"/>
      <c r="AF995" s="105"/>
      <c r="AG995" s="105"/>
      <c r="AU995" s="105"/>
      <c r="AV995" s="105"/>
      <c r="AW995" s="105"/>
      <c r="AX995" s="105"/>
      <c r="AY995" s="105"/>
      <c r="AZ995" s="105"/>
      <c r="BA995" s="105"/>
    </row>
    <row r="996" spans="1:53" ht="15.75" hidden="1" customHeight="1" outlineLevel="1">
      <c r="A996" s="401"/>
      <c r="B996" s="99"/>
      <c r="C996" s="105"/>
      <c r="D996" s="105"/>
      <c r="E996" s="105"/>
      <c r="F996" s="105"/>
      <c r="G996" s="105">
        <f>IF($G$883&gt;0,IPMT('Assumptions (Solar)'!$V$8,Model!W$1,'Assumptions (Solar)'!$V$11,'Assumptions (Solar)'!$V$6*Model!$G$883*('Assumptions (Solar)'!$E$18*'Assumptions (Solar)'!$E$2+'Assumptions (Solar)'!$E$19*'Assumptions (Solar)'!$E$3)/10^9),0)</f>
        <v>0</v>
      </c>
      <c r="H996" s="105">
        <f>IF($G$883&gt;0,IPMT('Assumptions (Solar)'!$V$8,Model!X$1,'Assumptions (Solar)'!$V$11,'Assumptions (Solar)'!$V$6*Model!$G$883*('Assumptions (Solar)'!$E$18*'Assumptions (Solar)'!$E$2+'Assumptions (Solar)'!$E$19*'Assumptions (Solar)'!$E$3)/10^9),0)</f>
        <v>0</v>
      </c>
      <c r="I996" s="105">
        <f>IF($G$883&gt;0,IPMT('Assumptions (Solar)'!$V$8,Model!Y$1,'Assumptions (Solar)'!$V$11,'Assumptions (Solar)'!$V$6*Model!$G$883*('Assumptions (Solar)'!$E$18*'Assumptions (Solar)'!$E$2+'Assumptions (Solar)'!$E$19*'Assumptions (Solar)'!$E$3)/10^9),0)</f>
        <v>0</v>
      </c>
      <c r="J996" s="105">
        <f>IF($G$883&gt;0,IPMT('Assumptions (Solar)'!$V$8,Model!Z$1,'Assumptions (Solar)'!$V$11,'Assumptions (Solar)'!$V$6*Model!$G$883*('Assumptions (Solar)'!$E$18*'Assumptions (Solar)'!$E$2+'Assumptions (Solar)'!$E$19*'Assumptions (Solar)'!$E$3)/10^9),0)</f>
        <v>0</v>
      </c>
      <c r="K996" s="105">
        <f>IF($G$883&gt;0,IPMT('Assumptions (Solar)'!$V$8,Model!AA$1,'Assumptions (Solar)'!$V$11,'Assumptions (Solar)'!$V$6*Model!$G$883*('Assumptions (Solar)'!$E$18*'Assumptions (Solar)'!$E$2+'Assumptions (Solar)'!$E$19*'Assumptions (Solar)'!$E$3)/10^9),0)</f>
        <v>0</v>
      </c>
      <c r="L996" s="105">
        <f>IF($G$883&gt;0,IPMT('Assumptions (Solar)'!$V$8,Model!AB$1,'Assumptions (Solar)'!$V$11,'Assumptions (Solar)'!$V$6*Model!$G$883*('Assumptions (Solar)'!$E$18*'Assumptions (Solar)'!$E$2+'Assumptions (Solar)'!$E$19*'Assumptions (Solar)'!$E$3)/10^9),0)</f>
        <v>0</v>
      </c>
      <c r="M996" s="105">
        <f>IF($G$883&gt;0,IPMT('Assumptions (Solar)'!$V$8,Model!AC$1,'Assumptions (Solar)'!$V$11,'Assumptions (Solar)'!$V$6*Model!$G$883*('Assumptions (Solar)'!$E$18*'Assumptions (Solar)'!$E$2+'Assumptions (Solar)'!$E$19*'Assumptions (Solar)'!$E$3)/10^9),0)</f>
        <v>0</v>
      </c>
      <c r="N996" s="105">
        <f>IF($G$883&gt;0,IPMT('Assumptions (Solar)'!$V$8,Model!AD$1,'Assumptions (Solar)'!$V$11,'Assumptions (Solar)'!$V$6*Model!$G$883*('Assumptions (Solar)'!$E$18*'Assumptions (Solar)'!$E$2+'Assumptions (Solar)'!$E$19*'Assumptions (Solar)'!$E$3)/10^9),0)</f>
        <v>0</v>
      </c>
      <c r="O996" s="105">
        <f>IF($G$883&gt;0,IPMT('Assumptions (Solar)'!$V$8,Model!AE$1,'Assumptions (Solar)'!$V$11,'Assumptions (Solar)'!$V$6*Model!$G$883*('Assumptions (Solar)'!$E$18*'Assumptions (Solar)'!$E$2+'Assumptions (Solar)'!$E$19*'Assumptions (Solar)'!$E$3)/10^9),0)</f>
        <v>0</v>
      </c>
      <c r="P996" s="105">
        <f>IF($G$883&gt;0,IPMT('Assumptions (Solar)'!$V$8,Model!AF$1,'Assumptions (Solar)'!$V$11,'Assumptions (Solar)'!$V$6*Model!$G$883*('Assumptions (Solar)'!$E$18*'Assumptions (Solar)'!$E$2+'Assumptions (Solar)'!$E$19*'Assumptions (Solar)'!$E$3)/10^9),0)</f>
        <v>0</v>
      </c>
      <c r="Q996" s="105">
        <f>IF($G$883&gt;0,IPMT('Assumptions (Solar)'!$V$8,Model!AG$1,'Assumptions (Solar)'!$V$11,'Assumptions (Solar)'!$V$6*Model!$G$883*('Assumptions (Solar)'!$E$18*'Assumptions (Solar)'!$E$2+'Assumptions (Solar)'!$E$19*'Assumptions (Solar)'!$E$3)/10^9),0)</f>
        <v>0</v>
      </c>
      <c r="R996" s="105">
        <f>IF($G$883&gt;0,IPMT('Assumptions (Solar)'!$V$8,Model!AH$1,'Assumptions (Solar)'!$V$11,'Assumptions (Solar)'!$V$6*Model!$G$883*('Assumptions (Solar)'!$E$18*'Assumptions (Solar)'!$E$2+'Assumptions (Solar)'!$E$19*'Assumptions (Solar)'!$E$3)/10^9),0)</f>
        <v>0</v>
      </c>
      <c r="S996" s="105">
        <f>IF($G$883&gt;0,IPMT('Assumptions (Solar)'!$V$8,Model!AI$1,'Assumptions (Solar)'!$V$11,'Assumptions (Solar)'!$V$6*Model!$G$883*('Assumptions (Solar)'!$E$18*'Assumptions (Solar)'!$E$2+'Assumptions (Solar)'!$E$19*'Assumptions (Solar)'!$E$3)/10^9),0)</f>
        <v>0</v>
      </c>
      <c r="T996" s="105">
        <f>IF($G$883&gt;0,IPMT('Assumptions (Solar)'!$V$8,Model!AJ$1,'Assumptions (Solar)'!$V$11,'Assumptions (Solar)'!$V$6*Model!$G$883*('Assumptions (Solar)'!$E$18*'Assumptions (Solar)'!$E$2+'Assumptions (Solar)'!$E$19*'Assumptions (Solar)'!$E$3)/10^9),0)</f>
        <v>0</v>
      </c>
      <c r="U996" s="105">
        <f>IF($G$883&gt;0,IPMT('Assumptions (Solar)'!$V$8,Model!AK$1,'Assumptions (Solar)'!$V$11,'Assumptions (Solar)'!$V$6*Model!$G$883*('Assumptions (Solar)'!$E$18*'Assumptions (Solar)'!$E$2+'Assumptions (Solar)'!$E$19*'Assumptions (Solar)'!$E$3)/10^9),0)</f>
        <v>0</v>
      </c>
      <c r="V996" s="105"/>
      <c r="W996" s="105"/>
      <c r="X996" s="105"/>
      <c r="Y996" s="105"/>
      <c r="Z996" s="105"/>
      <c r="AA996" s="105"/>
      <c r="AB996" s="105"/>
      <c r="AC996" s="105"/>
      <c r="AD996" s="105"/>
      <c r="AE996" s="105"/>
      <c r="AF996" s="105"/>
      <c r="AG996" s="105"/>
      <c r="AU996" s="105"/>
      <c r="AV996" s="105"/>
      <c r="AW996" s="105"/>
      <c r="AX996" s="105"/>
      <c r="AY996" s="105"/>
      <c r="AZ996" s="105"/>
      <c r="BA996" s="105"/>
    </row>
    <row r="997" spans="1:53" ht="15.75" hidden="1" customHeight="1" outlineLevel="1">
      <c r="A997" s="401"/>
      <c r="B997" s="99"/>
      <c r="C997" s="105"/>
      <c r="D997" s="105"/>
      <c r="E997" s="105"/>
      <c r="F997" s="105"/>
      <c r="G997" s="105"/>
      <c r="H997" s="105">
        <f>IF($H$883&gt;0,IPMT('Assumptions (Solar)'!$V$8,Model!W$1,'Assumptions (Solar)'!$V$11,'Assumptions (Solar)'!$V$6*Model!$H$883*('Assumptions (Solar)'!$F$18*'Assumptions (Solar)'!$F$2+'Assumptions (Solar)'!$F$19*'Assumptions (Solar)'!$F$3)/10^9),0)</f>
        <v>-2.7965373874204897E-4</v>
      </c>
      <c r="I997" s="105">
        <f>IF($H$883&gt;0,IPMT('Assumptions (Solar)'!$V$8,Model!X$1,'Assumptions (Solar)'!$V$11,'Assumptions (Solar)'!$V$6*Model!$H$883*('Assumptions (Solar)'!$F$18*'Assumptions (Solar)'!$F$2+'Assumptions (Solar)'!$F$19*'Assumptions (Solar)'!$F$3)/10^9),0)</f>
        <v>-2.6034938414445984E-4</v>
      </c>
      <c r="J997" s="105">
        <f>IF($H$883&gt;0,IPMT('Assumptions (Solar)'!$V$8,Model!Y$1,'Assumptions (Solar)'!$V$11,'Assumptions (Solar)'!$V$6*Model!$H$883*('Assumptions (Solar)'!$F$18*'Assumptions (Solar)'!$F$2+'Assumptions (Solar)'!$F$19*'Assumptions (Solar)'!$F$3)/10^9),0)</f>
        <v>-2.3950068117906353E-4</v>
      </c>
      <c r="K997" s="105">
        <f>IF($H$883&gt;0,IPMT('Assumptions (Solar)'!$V$8,Model!Z$1,'Assumptions (Solar)'!$V$11,'Assumptions (Solar)'!$V$6*Model!$H$883*('Assumptions (Solar)'!$F$18*'Assumptions (Solar)'!$F$2+'Assumptions (Solar)'!$F$19*'Assumptions (Solar)'!$F$3)/10^9),0)</f>
        <v>-2.1698408197643555E-4</v>
      </c>
      <c r="L997" s="105">
        <f>IF($H$883&gt;0,IPMT('Assumptions (Solar)'!$V$8,Model!AA$1,'Assumptions (Solar)'!$V$11,'Assumptions (Solar)'!$V$6*Model!$H$883*('Assumptions (Solar)'!$F$18*'Assumptions (Solar)'!$F$2+'Assumptions (Solar)'!$F$19*'Assumptions (Solar)'!$F$3)/10^9),0)</f>
        <v>-1.9266615483759731E-4</v>
      </c>
      <c r="M997" s="105">
        <f>IF($H$883&gt;0,IPMT('Assumptions (Solar)'!$V$8,Model!AB$1,'Assumptions (Solar)'!$V$11,'Assumptions (Solar)'!$V$6*Model!$H$883*('Assumptions (Solar)'!$F$18*'Assumptions (Solar)'!$F$2+'Assumptions (Solar)'!$F$19*'Assumptions (Solar)'!$F$3)/10^9),0)</f>
        <v>-1.6640279352765205E-4</v>
      </c>
      <c r="N997" s="105">
        <f>IF($H$883&gt;0,IPMT('Assumptions (Solar)'!$V$8,Model!AC$1,'Assumptions (Solar)'!$V$11,'Assumptions (Solar)'!$V$6*Model!$H$883*('Assumptions (Solar)'!$F$18*'Assumptions (Solar)'!$F$2+'Assumptions (Solar)'!$F$19*'Assumptions (Solar)'!$F$3)/10^9),0)</f>
        <v>-1.3803836331291108E-4</v>
      </c>
      <c r="O997" s="105">
        <f>IF($H$883&gt;0,IPMT('Assumptions (Solar)'!$V$8,Model!AD$1,'Assumptions (Solar)'!$V$11,'Assumptions (Solar)'!$V$6*Model!$H$883*('Assumptions (Solar)'!$F$18*'Assumptions (Solar)'!$F$2+'Assumptions (Solar)'!$F$19*'Assumptions (Solar)'!$F$3)/10^9),0)</f>
        <v>-1.0740477868099093E-4</v>
      </c>
      <c r="P997" s="105">
        <f>IF($H$883&gt;0,IPMT('Assumptions (Solar)'!$V$8,Model!AE$1,'Assumptions (Solar)'!$V$11,'Assumptions (Solar)'!$V$6*Model!$H$883*('Assumptions (Solar)'!$F$18*'Assumptions (Solar)'!$F$2+'Assumptions (Solar)'!$F$19*'Assumptions (Solar)'!$F$3)/10^9),0)</f>
        <v>-7.4320507278517145E-5</v>
      </c>
      <c r="Q997" s="105">
        <f>IF($H$883&gt;0,IPMT('Assumptions (Solar)'!$V$8,Model!AF$1,'Assumptions (Solar)'!$V$11,'Assumptions (Solar)'!$V$6*Model!$H$883*('Assumptions (Solar)'!$F$18*'Assumptions (Solar)'!$F$2+'Assumptions (Solar)'!$F$19*'Assumptions (Solar)'!$F$3)/10^9),0)</f>
        <v>-3.8589494163845429E-5</v>
      </c>
      <c r="R997" s="105" t="e">
        <f>IF($H$883&gt;0,IPMT('Assumptions (Solar)'!$V$8,Model!AG$1,'Assumptions (Solar)'!$V$11,'Assumptions (Solar)'!$V$6*Model!$H$883*('Assumptions (Solar)'!$F$18*'Assumptions (Solar)'!$F$2+'Assumptions (Solar)'!$F$19*'Assumptions (Solar)'!$F$3)/10^9),0)</f>
        <v>#NUM!</v>
      </c>
      <c r="S997" s="105" t="e">
        <f>IF($H$883&gt;0,IPMT('Assumptions (Solar)'!$V$8,Model!AH$1,'Assumptions (Solar)'!$V$11,'Assumptions (Solar)'!$V$6*Model!$H$883*('Assumptions (Solar)'!$F$18*'Assumptions (Solar)'!$F$2+'Assumptions (Solar)'!$F$19*'Assumptions (Solar)'!$F$3)/10^9),0)</f>
        <v>#NUM!</v>
      </c>
      <c r="T997" s="105" t="e">
        <f>IF($H$883&gt;0,IPMT('Assumptions (Solar)'!$V$8,Model!AI$1,'Assumptions (Solar)'!$V$11,'Assumptions (Solar)'!$V$6*Model!$H$883*('Assumptions (Solar)'!$F$18*'Assumptions (Solar)'!$F$2+'Assumptions (Solar)'!$F$19*'Assumptions (Solar)'!$F$3)/10^9),0)</f>
        <v>#NUM!</v>
      </c>
      <c r="U997" s="105" t="e">
        <f>IF($H$883&gt;0,IPMT('Assumptions (Solar)'!$V$8,Model!AJ$1,'Assumptions (Solar)'!$V$11,'Assumptions (Solar)'!$V$6*Model!$H$883*('Assumptions (Solar)'!$F$18*'Assumptions (Solar)'!$F$2+'Assumptions (Solar)'!$F$19*'Assumptions (Solar)'!$F$3)/10^9),0)</f>
        <v>#NUM!</v>
      </c>
      <c r="V997" s="105" t="e">
        <f>IF($H$883&gt;0,IPMT('Assumptions (Solar)'!$V$8,Model!AK$1,'Assumptions (Solar)'!$V$11,'Assumptions (Solar)'!$V$6*Model!$H$883*('Assumptions (Solar)'!$F$18*'Assumptions (Solar)'!$F$2+'Assumptions (Solar)'!$F$19*'Assumptions (Solar)'!$F$3)/10^9),0)</f>
        <v>#NUM!</v>
      </c>
      <c r="W997" s="105"/>
      <c r="X997" s="105"/>
      <c r="Y997" s="105"/>
      <c r="Z997" s="105"/>
      <c r="AA997" s="105"/>
      <c r="AB997" s="105"/>
      <c r="AC997" s="105"/>
      <c r="AD997" s="105"/>
      <c r="AE997" s="105"/>
      <c r="AF997" s="105"/>
      <c r="AG997" s="105"/>
      <c r="AU997" s="105"/>
      <c r="AV997" s="105"/>
      <c r="AW997" s="105"/>
      <c r="AX997" s="105"/>
      <c r="AY997" s="105"/>
      <c r="AZ997" s="105"/>
      <c r="BA997" s="105"/>
    </row>
    <row r="998" spans="1:53" ht="15.75" hidden="1" customHeight="1" outlineLevel="1">
      <c r="A998" s="401"/>
      <c r="B998" s="99"/>
      <c r="C998" s="105"/>
      <c r="D998" s="105"/>
      <c r="E998" s="105"/>
      <c r="F998" s="105"/>
      <c r="G998" s="105"/>
      <c r="H998" s="105"/>
      <c r="I998" s="105">
        <f>IF($I$883&gt;0,IPMT('Assumptions (Solar)'!$V$8,Model!W$1,'Assumptions (Solar)'!$V$11,'Assumptions (Solar)'!$V$6*Model!$I$883*('Assumptions (Solar)'!$G$18*'Assumptions (Solar)'!$G$2+'Assumptions (Solar)'!$G$19*'Assumptions (Solar)'!$G$3)/10^9),0)</f>
        <v>-2.4917148121916566E-4</v>
      </c>
      <c r="J998" s="105">
        <f>IF($I$883&gt;0,IPMT('Assumptions (Solar)'!$V$8,Model!X$1,'Assumptions (Solar)'!$V$11,'Assumptions (Solar)'!$V$6*Model!$I$883*('Assumptions (Solar)'!$G$18*'Assumptions (Solar)'!$G$2+'Assumptions (Solar)'!$G$19*'Assumptions (Solar)'!$G$3)/10^9),0)</f>
        <v>-2.319713012727137E-4</v>
      </c>
      <c r="K998" s="105">
        <f>IF($I$883&gt;0,IPMT('Assumptions (Solar)'!$V$8,Model!Y$1,'Assumptions (Solar)'!$V$11,'Assumptions (Solar)'!$V$6*Model!$I$883*('Assumptions (Solar)'!$G$18*'Assumptions (Solar)'!$G$2+'Assumptions (Solar)'!$G$19*'Assumptions (Solar)'!$G$3)/10^9),0)</f>
        <v>-2.1339510693054557E-4</v>
      </c>
      <c r="L998" s="105">
        <f>IF($I$883&gt;0,IPMT('Assumptions (Solar)'!$V$8,Model!Z$1,'Assumptions (Solar)'!$V$11,'Assumptions (Solar)'!$V$6*Model!$I$883*('Assumptions (Solar)'!$G$18*'Assumptions (Solar)'!$G$2+'Assumptions (Solar)'!$G$19*'Assumptions (Solar)'!$G$3)/10^9),0)</f>
        <v>-1.93332817041004E-4</v>
      </c>
      <c r="M998" s="105">
        <f>IF($I$883&gt;0,IPMT('Assumptions (Solar)'!$V$8,Model!AA$1,'Assumptions (Solar)'!$V$11,'Assumptions (Solar)'!$V$6*Model!$I$883*('Assumptions (Solar)'!$G$18*'Assumptions (Solar)'!$G$2+'Assumptions (Solar)'!$G$19*'Assumptions (Solar)'!$G$3)/10^9),0)</f>
        <v>-1.7166554396029918E-4</v>
      </c>
      <c r="N998" s="105">
        <f>IF($I$883&gt;0,IPMT('Assumptions (Solar)'!$V$8,Model!AB$1,'Assumptions (Solar)'!$V$11,'Assumptions (Solar)'!$V$6*Model!$I$883*('Assumptions (Solar)'!$G$18*'Assumptions (Solar)'!$G$2+'Assumptions (Solar)'!$G$19*'Assumptions (Solar)'!$G$3)/10^9),0)</f>
        <v>-1.4826488903313794E-4</v>
      </c>
      <c r="O998" s="105">
        <f>IF($I$883&gt;0,IPMT('Assumptions (Solar)'!$V$8,Model!AC$1,'Assumptions (Solar)'!$V$11,'Assumptions (Solar)'!$V$6*Model!$I$883*('Assumptions (Solar)'!$G$18*'Assumptions (Solar)'!$G$2+'Assumptions (Solar)'!$G$19*'Assumptions (Solar)'!$G$3)/10^9),0)</f>
        <v>-1.2299218171180377E-4</v>
      </c>
      <c r="P998" s="105">
        <f>IF($I$883&gt;0,IPMT('Assumptions (Solar)'!$V$8,Model!AD$1,'Assumptions (Solar)'!$V$11,'Assumptions (Solar)'!$V$6*Model!$I$883*('Assumptions (Solar)'!$G$18*'Assumptions (Solar)'!$G$2+'Assumptions (Solar)'!$G$19*'Assumptions (Solar)'!$G$3)/10^9),0)</f>
        <v>-9.5697657804762906E-5</v>
      </c>
      <c r="Q998" s="105">
        <f>IF($I$883&gt;0,IPMT('Assumptions (Solar)'!$V$8,Model!AE$1,'Assumptions (Solar)'!$V$11,'Assumptions (Solar)'!$V$6*Model!$I$883*('Assumptions (Solar)'!$G$18*'Assumptions (Solar)'!$G$2+'Assumptions (Solar)'!$G$19*'Assumptions (Solar)'!$G$3)/10^9),0)</f>
        <v>-6.6219571985158765E-5</v>
      </c>
      <c r="R998" s="105">
        <f>IF($I$883&gt;0,IPMT('Assumptions (Solar)'!$V$8,Model!AF$1,'Assumptions (Solar)'!$V$11,'Assumptions (Solar)'!$V$6*Model!$I$883*('Assumptions (Solar)'!$G$18*'Assumptions (Solar)'!$G$2+'Assumptions (Solar)'!$G$19*'Assumptions (Solar)'!$G$3)/10^9),0)</f>
        <v>-3.4383239299986279E-5</v>
      </c>
      <c r="S998" s="105" t="e">
        <f>IF($I$883&gt;0,IPMT('Assumptions (Solar)'!$V$8,Model!AG$1,'Assumptions (Solar)'!$V$11,'Assumptions (Solar)'!$V$6*Model!$I$883*('Assumptions (Solar)'!$G$18*'Assumptions (Solar)'!$G$2+'Assumptions (Solar)'!$G$19*'Assumptions (Solar)'!$G$3)/10^9),0)</f>
        <v>#NUM!</v>
      </c>
      <c r="T998" s="105" t="e">
        <f>IF($I$883&gt;0,IPMT('Assumptions (Solar)'!$V$8,Model!AH$1,'Assumptions (Solar)'!$V$11,'Assumptions (Solar)'!$V$6*Model!$I$883*('Assumptions (Solar)'!$G$18*'Assumptions (Solar)'!$G$2+'Assumptions (Solar)'!$G$19*'Assumptions (Solar)'!$G$3)/10^9),0)</f>
        <v>#NUM!</v>
      </c>
      <c r="U998" s="105" t="e">
        <f>IF($I$883&gt;0,IPMT('Assumptions (Solar)'!$V$8,Model!AI$1,'Assumptions (Solar)'!$V$11,'Assumptions (Solar)'!$V$6*Model!$I$883*('Assumptions (Solar)'!$G$18*'Assumptions (Solar)'!$G$2+'Assumptions (Solar)'!$G$19*'Assumptions (Solar)'!$G$3)/10^9),0)</f>
        <v>#NUM!</v>
      </c>
      <c r="V998" s="105" t="e">
        <f>IF($I$883&gt;0,IPMT('Assumptions (Solar)'!$V$8,Model!AJ$1,'Assumptions (Solar)'!$V$11,'Assumptions (Solar)'!$V$6*Model!$I$883*('Assumptions (Solar)'!$G$18*'Assumptions (Solar)'!$G$2+'Assumptions (Solar)'!$G$19*'Assumptions (Solar)'!$G$3)/10^9),0)</f>
        <v>#NUM!</v>
      </c>
      <c r="W998" s="105" t="e">
        <f>IF($I$883&gt;0,IPMT('Assumptions (Solar)'!$V$8,Model!AK$1,'Assumptions (Solar)'!$V$11,'Assumptions (Solar)'!$V$6*Model!$I$883*('Assumptions (Solar)'!$G$18*'Assumptions (Solar)'!$G$2+'Assumptions (Solar)'!$G$19*'Assumptions (Solar)'!$G$3)/10^9),0)</f>
        <v>#NUM!</v>
      </c>
      <c r="X998" s="105"/>
      <c r="Y998" s="105"/>
      <c r="Z998" s="105"/>
      <c r="AA998" s="105"/>
      <c r="AB998" s="105"/>
      <c r="AC998" s="105"/>
      <c r="AD998" s="105"/>
      <c r="AE998" s="105"/>
      <c r="AF998" s="105"/>
      <c r="AG998" s="105"/>
      <c r="AU998" s="105"/>
      <c r="AV998" s="105"/>
      <c r="AW998" s="105"/>
      <c r="AX998" s="105"/>
      <c r="AY998" s="105"/>
      <c r="AZ998" s="105"/>
      <c r="BA998" s="105"/>
    </row>
    <row r="999" spans="1:53" ht="15.75" hidden="1" customHeight="1" outlineLevel="1">
      <c r="A999" s="401"/>
      <c r="B999" s="99"/>
      <c r="C999" s="105"/>
      <c r="D999" s="105"/>
      <c r="E999" s="105"/>
      <c r="F999" s="105"/>
      <c r="G999" s="105"/>
      <c r="H999" s="105"/>
      <c r="I999" s="105"/>
      <c r="J999" s="105">
        <f>IF($J$883&gt;0,IPMT('Assumptions (Solar)'!$V$8,Model!W$1,'Assumptions (Solar)'!$V$11,'Assumptions (Solar)'!$V$6*Model!$J$883*('Assumptions (Solar)'!$H$18*'Assumptions (Solar)'!$H$2+'Assumptions (Solar)'!$H$19*'Assumptions (Solar)'!$H$3)/10^9),0)</f>
        <v>-1.3800362487323491E-2</v>
      </c>
      <c r="K999" s="105">
        <f>IF($J$883&gt;0,IPMT('Assumptions (Solar)'!$V$8,Model!X$1,'Assumptions (Solar)'!$V$11,'Assumptions (Solar)'!$V$6*Model!$J$883*('Assumptions (Solar)'!$H$18*'Assumptions (Solar)'!$H$2+'Assumptions (Solar)'!$H$19*'Assumptions (Solar)'!$H$3)/10^9),0)</f>
        <v>-1.284773052098925E-2</v>
      </c>
      <c r="L999" s="105">
        <f>IF($J$883&gt;0,IPMT('Assumptions (Solar)'!$V$8,Model!Y$1,'Assumptions (Solar)'!$V$11,'Assumptions (Solar)'!$V$6*Model!$J$883*('Assumptions (Solar)'!$H$18*'Assumptions (Solar)'!$H$2+'Assumptions (Solar)'!$H$19*'Assumptions (Solar)'!$H$3)/10^9),0)</f>
        <v>-1.1818887997348268E-2</v>
      </c>
      <c r="M999" s="105">
        <f>IF($J$883&gt;0,IPMT('Assumptions (Solar)'!$V$8,Model!Z$1,'Assumptions (Solar)'!$V$11,'Assumptions (Solar)'!$V$6*Model!$J$883*('Assumptions (Solar)'!$H$18*'Assumptions (Solar)'!$H$2+'Assumptions (Solar)'!$H$19*'Assumptions (Solar)'!$H$3)/10^9),0)</f>
        <v>-1.0707738071816009E-2</v>
      </c>
      <c r="N999" s="105">
        <f>IF($J$883&gt;0,IPMT('Assumptions (Solar)'!$V$8,Model!AA$1,'Assumptions (Solar)'!$V$11,'Assumptions (Solar)'!$V$6*Model!$J$883*('Assumptions (Solar)'!$H$18*'Assumptions (Solar)'!$H$2+'Assumptions (Solar)'!$H$19*'Assumptions (Solar)'!$H$3)/10^9),0)</f>
        <v>-9.5076961522411706E-3</v>
      </c>
      <c r="O999" s="105">
        <f>IF($J$883&gt;0,IPMT('Assumptions (Solar)'!$V$8,Model!AB$1,'Assumptions (Solar)'!$V$11,'Assumptions (Solar)'!$V$6*Model!$J$883*('Assumptions (Solar)'!$H$18*'Assumptions (Solar)'!$H$2+'Assumptions (Solar)'!$H$19*'Assumptions (Solar)'!$H$3)/10^9),0)</f>
        <v>-8.2116508791003455E-3</v>
      </c>
      <c r="P999" s="105">
        <f>IF($J$883&gt;0,IPMT('Assumptions (Solar)'!$V$8,Model!AC$1,'Assumptions (Solar)'!$V$11,'Assumptions (Solar)'!$V$6*Model!$J$883*('Assumptions (Solar)'!$H$18*'Assumptions (Solar)'!$H$2+'Assumptions (Solar)'!$H$19*'Assumptions (Solar)'!$H$3)/10^9),0)</f>
        <v>-6.8119219841082526E-3</v>
      </c>
      <c r="Q999" s="105">
        <f>IF($J$883&gt;0,IPMT('Assumptions (Solar)'!$V$8,Model!AD$1,'Assumptions (Solar)'!$V$11,'Assumptions (Solar)'!$V$6*Model!$J$883*('Assumptions (Solar)'!$H$18*'Assumptions (Solar)'!$H$2+'Assumptions (Solar)'!$H$19*'Assumptions (Solar)'!$H$3)/10^9),0)</f>
        <v>-5.3002147775167941E-3</v>
      </c>
      <c r="R999" s="105">
        <f>IF($J$883&gt;0,IPMT('Assumptions (Solar)'!$V$8,Model!AE$1,'Assumptions (Solar)'!$V$11,'Assumptions (Solar)'!$V$6*Model!$J$883*('Assumptions (Solar)'!$H$18*'Assumptions (Solar)'!$H$2+'Assumptions (Solar)'!$H$19*'Assumptions (Solar)'!$H$3)/10^9),0)</f>
        <v>-3.6675709943980186E-3</v>
      </c>
      <c r="S999" s="105">
        <f>IF($J$883&gt;0,IPMT('Assumptions (Solar)'!$V$8,Model!AF$1,'Assumptions (Solar)'!$V$11,'Assumptions (Solar)'!$V$6*Model!$J$883*('Assumptions (Solar)'!$H$18*'Assumptions (Solar)'!$H$2+'Assumptions (Solar)'!$H$19*'Assumptions (Solar)'!$H$3)/10^9),0)</f>
        <v>-1.9043157086297403E-3</v>
      </c>
      <c r="T999" s="105" t="e">
        <f>IF($J$883&gt;0,IPMT('Assumptions (Solar)'!$V$8,Model!AG$1,'Assumptions (Solar)'!$V$11,'Assumptions (Solar)'!$V$6*Model!$J$883*('Assumptions (Solar)'!$H$18*'Assumptions (Solar)'!$H$2+'Assumptions (Solar)'!$H$19*'Assumptions (Solar)'!$H$3)/10^9),0)</f>
        <v>#NUM!</v>
      </c>
      <c r="U999" s="105" t="e">
        <f>IF($J$883&gt;0,IPMT('Assumptions (Solar)'!$V$8,Model!AH$1,'Assumptions (Solar)'!$V$11,'Assumptions (Solar)'!$V$6*Model!$J$883*('Assumptions (Solar)'!$H$18*'Assumptions (Solar)'!$H$2+'Assumptions (Solar)'!$H$19*'Assumptions (Solar)'!$H$3)/10^9),0)</f>
        <v>#NUM!</v>
      </c>
      <c r="V999" s="105" t="e">
        <f>IF($J$883&gt;0,IPMT('Assumptions (Solar)'!$V$8,Model!AI$1,'Assumptions (Solar)'!$V$11,'Assumptions (Solar)'!$V$6*Model!$J$883*('Assumptions (Solar)'!$H$18*'Assumptions (Solar)'!$H$2+'Assumptions (Solar)'!$H$19*'Assumptions (Solar)'!$H$3)/10^9),0)</f>
        <v>#NUM!</v>
      </c>
      <c r="W999" s="105" t="e">
        <f>IF($J$883&gt;0,IPMT('Assumptions (Solar)'!$V$8,Model!AJ$1,'Assumptions (Solar)'!$V$11,'Assumptions (Solar)'!$V$6*Model!$J$883*('Assumptions (Solar)'!$H$18*'Assumptions (Solar)'!$H$2+'Assumptions (Solar)'!$H$19*'Assumptions (Solar)'!$H$3)/10^9),0)</f>
        <v>#NUM!</v>
      </c>
      <c r="X999" s="105" t="e">
        <f>IF($J$883&gt;0,IPMT('Assumptions (Solar)'!$V$8,Model!AK$1,'Assumptions (Solar)'!$V$11,'Assumptions (Solar)'!$V$6*Model!$J$883*('Assumptions (Solar)'!$H$18*'Assumptions (Solar)'!$H$2+'Assumptions (Solar)'!$H$19*'Assumptions (Solar)'!$H$3)/10^9),0)</f>
        <v>#NUM!</v>
      </c>
      <c r="Y999" s="105"/>
      <c r="Z999" s="105"/>
      <c r="AA999" s="105"/>
      <c r="AB999" s="105"/>
      <c r="AC999" s="105"/>
      <c r="AD999" s="105"/>
      <c r="AE999" s="105"/>
      <c r="AF999" s="105"/>
      <c r="AG999" s="105"/>
      <c r="AH999" s="105"/>
      <c r="AU999" s="105"/>
      <c r="AV999" s="105"/>
      <c r="AW999" s="105"/>
      <c r="AX999" s="105"/>
      <c r="AY999" s="105"/>
      <c r="AZ999" s="105"/>
      <c r="BA999" s="105"/>
    </row>
    <row r="1000" spans="1:53" ht="15.75" hidden="1" customHeight="1" outlineLevel="1">
      <c r="A1000" s="401"/>
      <c r="B1000" s="99"/>
      <c r="C1000" s="105"/>
      <c r="D1000" s="105"/>
      <c r="E1000" s="105"/>
      <c r="F1000" s="105"/>
      <c r="G1000" s="105"/>
      <c r="H1000" s="105"/>
      <c r="I1000" s="105"/>
      <c r="J1000" s="105"/>
      <c r="K1000" s="105">
        <f>IF($K$883&gt;0,IPMT('Assumptions (Solar)'!$V$8,Model!W$1,'Assumptions (Solar)'!$V$11,'Assumptions (Solar)'!$V$6*Model!$K$883*('Assumptions (Solar)'!$I$18*'Assumptions (Solar)'!$I$2+'Assumptions (Solar)'!$I$19*'Assumptions (Solar)'!$I$3)/10^9),0)</f>
        <v>-3.9888118228007695E-3</v>
      </c>
      <c r="L1000" s="105">
        <f>IF($K$883&gt;0,IPMT('Assumptions (Solar)'!$V$8,Model!X$1,'Assumptions (Solar)'!$V$11,'Assumptions (Solar)'!$V$6*Model!$K$883*('Assumptions (Solar)'!$I$18*'Assumptions (Solar)'!$I$2+'Assumptions (Solar)'!$I$19*'Assumptions (Solar)'!$I$3)/10^9),0)</f>
        <v>-3.713466182163983E-3</v>
      </c>
      <c r="M1000" s="105">
        <f>IF($K$883&gt;0,IPMT('Assumptions (Solar)'!$V$8,Model!Y$1,'Assumptions (Solar)'!$V$11,'Assumptions (Solar)'!$V$6*Model!$K$883*('Assumptions (Solar)'!$I$18*'Assumptions (Solar)'!$I$2+'Assumptions (Solar)'!$I$19*'Assumptions (Solar)'!$I$3)/10^9),0)</f>
        <v>-3.4160928902762532E-3</v>
      </c>
      <c r="N1000" s="105">
        <f>IF($K$883&gt;0,IPMT('Assumptions (Solar)'!$V$8,Model!Z$1,'Assumptions (Solar)'!$V$11,'Assumptions (Solar)'!$V$6*Model!$K$883*('Assumptions (Solar)'!$I$18*'Assumptions (Solar)'!$I$2+'Assumptions (Solar)'!$I$19*'Assumptions (Solar)'!$I$3)/10^9),0)</f>
        <v>-3.094929735037505E-3</v>
      </c>
      <c r="O1000" s="105">
        <f>IF($K$883&gt;0,IPMT('Assumptions (Solar)'!$V$8,Model!AA$1,'Assumptions (Solar)'!$V$11,'Assumptions (Solar)'!$V$6*Model!$K$883*('Assumptions (Solar)'!$I$18*'Assumptions (Solar)'!$I$2+'Assumptions (Solar)'!$I$19*'Assumptions (Solar)'!$I$3)/10^9),0)</f>
        <v>-2.7480735273796575E-3</v>
      </c>
      <c r="P1000" s="105">
        <f>IF($K$883&gt;0,IPMT('Assumptions (Solar)'!$V$8,Model!AB$1,'Assumptions (Solar)'!$V$11,'Assumptions (Solar)'!$V$6*Model!$K$883*('Assumptions (Solar)'!$I$18*'Assumptions (Solar)'!$I$2+'Assumptions (Solar)'!$I$19*'Assumptions (Solar)'!$I$3)/10^9),0)</f>
        <v>-2.3734688231091825E-3</v>
      </c>
      <c r="Q1000" s="105">
        <f>IF($K$883&gt;0,IPMT('Assumptions (Solar)'!$V$8,Model!AC$1,'Assumptions (Solar)'!$V$11,'Assumptions (Solar)'!$V$6*Model!$K$883*('Assumptions (Solar)'!$I$18*'Assumptions (Solar)'!$I$2+'Assumptions (Solar)'!$I$19*'Assumptions (Solar)'!$I$3)/10^9),0)</f>
        <v>-1.9688957424970686E-3</v>
      </c>
      <c r="R1000" s="105">
        <f>IF($K$883&gt;0,IPMT('Assumptions (Solar)'!$V$8,Model!AD$1,'Assumptions (Solar)'!$V$11,'Assumptions (Solar)'!$V$6*Model!$K$883*('Assumptions (Solar)'!$I$18*'Assumptions (Solar)'!$I$2+'Assumptions (Solar)'!$I$19*'Assumptions (Solar)'!$I$3)/10^9),0)</f>
        <v>-1.5319568154359862E-3</v>
      </c>
      <c r="S1000" s="105">
        <f>IF($K$883&gt;0,IPMT('Assumptions (Solar)'!$V$8,Model!AE$1,'Assumptions (Solar)'!$V$11,'Assumptions (Solar)'!$V$6*Model!$K$883*('Assumptions (Solar)'!$I$18*'Assumptions (Solar)'!$I$2+'Assumptions (Solar)'!$I$19*'Assumptions (Solar)'!$I$3)/10^9),0)</f>
        <v>-1.0600627742100171E-3</v>
      </c>
      <c r="T1000" s="105">
        <f>IF($K$883&gt;0,IPMT('Assumptions (Solar)'!$V$8,Model!AF$1,'Assumptions (Solar)'!$V$11,'Assumptions (Solar)'!$V$6*Model!$K$883*('Assumptions (Solar)'!$I$18*'Assumptions (Solar)'!$I$2+'Assumptions (Solar)'!$I$19*'Assumptions (Solar)'!$I$3)/10^9),0)</f>
        <v>-5.504172096859704E-4</v>
      </c>
      <c r="U1000" s="105" t="e">
        <f>IF($K$883&gt;0,IPMT('Assumptions (Solar)'!$V$8,Model!AG$1,'Assumptions (Solar)'!$V$11,'Assumptions (Solar)'!$V$6*Model!$K$883*('Assumptions (Solar)'!$I$18*'Assumptions (Solar)'!$I$2+'Assumptions (Solar)'!$I$19*'Assumptions (Solar)'!$I$3)/10^9),0)</f>
        <v>#NUM!</v>
      </c>
      <c r="V1000" s="105" t="e">
        <f>IF($K$883&gt;0,IPMT('Assumptions (Solar)'!$V$8,Model!AH$1,'Assumptions (Solar)'!$V$11,'Assumptions (Solar)'!$V$6*Model!$K$883*('Assumptions (Solar)'!$I$18*'Assumptions (Solar)'!$I$2+'Assumptions (Solar)'!$I$19*'Assumptions (Solar)'!$I$3)/10^9),0)</f>
        <v>#NUM!</v>
      </c>
      <c r="W1000" s="105" t="e">
        <f>IF($K$883&gt;0,IPMT('Assumptions (Solar)'!$V$8,Model!AI$1,'Assumptions (Solar)'!$V$11,'Assumptions (Solar)'!$V$6*Model!$K$883*('Assumptions (Solar)'!$I$18*'Assumptions (Solar)'!$I$2+'Assumptions (Solar)'!$I$19*'Assumptions (Solar)'!$I$3)/10^9),0)</f>
        <v>#NUM!</v>
      </c>
      <c r="X1000" s="105" t="e">
        <f>IF($K$883&gt;0,IPMT('Assumptions (Solar)'!$V$8,Model!AJ$1,'Assumptions (Solar)'!$V$11,'Assumptions (Solar)'!$V$6*Model!$K$883*('Assumptions (Solar)'!$I$18*'Assumptions (Solar)'!$I$2+'Assumptions (Solar)'!$I$19*'Assumptions (Solar)'!$I$3)/10^9),0)</f>
        <v>#NUM!</v>
      </c>
      <c r="Y1000" s="105" t="e">
        <f>IF($K$883&gt;0,IPMT('Assumptions (Solar)'!$V$8,Model!AK$1,'Assumptions (Solar)'!$V$11,'Assumptions (Solar)'!$V$6*Model!$K$883*('Assumptions (Solar)'!$I$18*'Assumptions (Solar)'!$I$2+'Assumptions (Solar)'!$I$19*'Assumptions (Solar)'!$I$3)/10^9),0)</f>
        <v>#NUM!</v>
      </c>
      <c r="Z1000" s="105"/>
      <c r="AA1000" s="105"/>
      <c r="AB1000" s="105"/>
      <c r="AC1000" s="105"/>
      <c r="AD1000" s="105"/>
      <c r="AE1000" s="105"/>
      <c r="AF1000" s="105"/>
      <c r="AG1000" s="105"/>
      <c r="AH1000" s="105"/>
      <c r="AI1000" s="105"/>
      <c r="AU1000" s="105"/>
      <c r="AV1000" s="105"/>
      <c r="AW1000" s="105"/>
      <c r="AX1000" s="105"/>
      <c r="AY1000" s="105"/>
      <c r="AZ1000" s="105"/>
      <c r="BA1000" s="105"/>
    </row>
    <row r="1001" spans="1:53" ht="15.75" hidden="1" customHeight="1" outlineLevel="1">
      <c r="A1001" s="401"/>
      <c r="B1001" s="99"/>
      <c r="C1001" s="105"/>
      <c r="D1001" s="105"/>
      <c r="E1001" s="105"/>
      <c r="F1001" s="105"/>
      <c r="G1001" s="105"/>
      <c r="H1001" s="105"/>
      <c r="I1001" s="105"/>
      <c r="J1001" s="105"/>
      <c r="K1001" s="105"/>
      <c r="L1001" s="105">
        <f>IF($L$883&gt;0,IPMT('Assumptions (Solar)'!$V$8,Model!W$1,'Assumptions (Solar)'!$V$11,'Assumptions (Solar)'!$V$6*Model!$L$883*('Assumptions (Solar)'!$J$18*'Assumptions (Solar)'!$J$2+'Assumptions (Solar)'!$J$19*'Assumptions (Solar)'!$J$3)/10^9),0)</f>
        <v>-1.3525735273825751E-2</v>
      </c>
      <c r="M1001" s="105">
        <f>IF($L$883&gt;0,IPMT('Assumptions (Solar)'!$V$8,Model!X$1,'Assumptions (Solar)'!$V$11,'Assumptions (Solar)'!$V$6*Model!$L$883*('Assumptions (Solar)'!$J$18*'Assumptions (Solar)'!$J$2+'Assumptions (Solar)'!$J$19*'Assumptions (Solar)'!$J$3)/10^9),0)</f>
        <v>-1.2592060683621561E-2</v>
      </c>
      <c r="N1001" s="105">
        <f>IF($L$883&gt;0,IPMT('Assumptions (Solar)'!$V$8,Model!Y$1,'Assumptions (Solar)'!$V$11,'Assumptions (Solar)'!$V$6*Model!$L$883*('Assumptions (Solar)'!$J$18*'Assumptions (Solar)'!$J$2+'Assumptions (Solar)'!$J$19*'Assumptions (Solar)'!$J$3)/10^9),0)</f>
        <v>-1.1583692126201035E-2</v>
      </c>
      <c r="O1001" s="105">
        <f>IF($L$883&gt;0,IPMT('Assumptions (Solar)'!$V$8,Model!Z$1,'Assumptions (Solar)'!$V$11,'Assumptions (Solar)'!$V$6*Model!$L$883*('Assumptions (Solar)'!$J$18*'Assumptions (Solar)'!$J$2+'Assumptions (Solar)'!$J$19*'Assumptions (Solar)'!$J$3)/10^9),0)</f>
        <v>-1.0494654084186868E-2</v>
      </c>
      <c r="P1001" s="105">
        <f>IF($L$883&gt;0,IPMT('Assumptions (Solar)'!$V$8,Model!AA$1,'Assumptions (Solar)'!$V$11,'Assumptions (Solar)'!$V$6*Model!$L$883*('Assumptions (Solar)'!$J$18*'Assumptions (Solar)'!$J$2+'Assumptions (Solar)'!$J$19*'Assumptions (Solar)'!$J$3)/10^9),0)</f>
        <v>-9.3184929988115693E-3</v>
      </c>
      <c r="Q1001" s="105">
        <f>IF($L$883&gt;0,IPMT('Assumptions (Solar)'!$V$8,Model!AB$1,'Assumptions (Solar)'!$V$11,'Assumptions (Solar)'!$V$6*Model!$L$883*('Assumptions (Solar)'!$J$18*'Assumptions (Solar)'!$J$2+'Assumptions (Solar)'!$J$19*'Assumptions (Solar)'!$J$3)/10^9),0)</f>
        <v>-8.0482390266062472E-3</v>
      </c>
      <c r="R1001" s="105">
        <f>IF($L$883&gt;0,IPMT('Assumptions (Solar)'!$V$8,Model!AC$1,'Assumptions (Solar)'!$V$11,'Assumptions (Solar)'!$V$6*Model!$L$883*('Assumptions (Solar)'!$J$18*'Assumptions (Solar)'!$J$2+'Assumptions (Solar)'!$J$19*'Assumptions (Solar)'!$J$3)/10^9),0)</f>
        <v>-6.6763647366244972E-3</v>
      </c>
      <c r="S1001" s="105">
        <f>IF($L$883&gt;0,IPMT('Assumptions (Solar)'!$V$8,Model!AD$1,'Assumptions (Solar)'!$V$11,'Assumptions (Solar)'!$V$6*Model!$L$883*('Assumptions (Solar)'!$J$18*'Assumptions (Solar)'!$J$2+'Assumptions (Solar)'!$J$19*'Assumptions (Solar)'!$J$3)/10^9),0)</f>
        <v>-5.1947405034442088E-3</v>
      </c>
      <c r="T1001" s="105">
        <f>IF($L$883&gt;0,IPMT('Assumptions (Solar)'!$V$8,Model!AE$1,'Assumptions (Solar)'!$V$11,'Assumptions (Solar)'!$V$6*Model!$L$883*('Assumptions (Solar)'!$J$18*'Assumptions (Solar)'!$J$2+'Assumptions (Solar)'!$J$19*'Assumptions (Solar)'!$J$3)/10^9),0)</f>
        <v>-3.5945863316094967E-3</v>
      </c>
      <c r="U1001" s="105">
        <f>IF($L$883&gt;0,IPMT('Assumptions (Solar)'!$V$8,Model!AF$1,'Assumptions (Solar)'!$V$11,'Assumptions (Solar)'!$V$6*Model!$L$883*('Assumptions (Solar)'!$J$18*'Assumptions (Solar)'!$J$2+'Assumptions (Solar)'!$J$19*'Assumptions (Solar)'!$J$3)/10^9),0)</f>
        <v>-1.866419826028008E-3</v>
      </c>
      <c r="V1001" s="105" t="e">
        <f>IF($L$883&gt;0,IPMT('Assumptions (Solar)'!$V$8,Model!AG$1,'Assumptions (Solar)'!$V$11,'Assumptions (Solar)'!$V$6*Model!$L$883*('Assumptions (Solar)'!$J$18*'Assumptions (Solar)'!$J$2+'Assumptions (Solar)'!$J$19*'Assumptions (Solar)'!$J$3)/10^9),0)</f>
        <v>#NUM!</v>
      </c>
      <c r="W1001" s="105" t="e">
        <f>IF($L$883&gt;0,IPMT('Assumptions (Solar)'!$V$8,Model!AH$1,'Assumptions (Solar)'!$V$11,'Assumptions (Solar)'!$V$6*Model!$L$883*('Assumptions (Solar)'!$J$18*'Assumptions (Solar)'!$J$2+'Assumptions (Solar)'!$J$19*'Assumptions (Solar)'!$J$3)/10^9),0)</f>
        <v>#NUM!</v>
      </c>
      <c r="X1001" s="105" t="e">
        <f>IF($L$883&gt;0,IPMT('Assumptions (Solar)'!$V$8,Model!AI$1,'Assumptions (Solar)'!$V$11,'Assumptions (Solar)'!$V$6*Model!$L$883*('Assumptions (Solar)'!$J$18*'Assumptions (Solar)'!$J$2+'Assumptions (Solar)'!$J$19*'Assumptions (Solar)'!$J$3)/10^9),0)</f>
        <v>#NUM!</v>
      </c>
      <c r="Y1001" s="105" t="e">
        <f>IF($L$883&gt;0,IPMT('Assumptions (Solar)'!$V$8,Model!AJ$1,'Assumptions (Solar)'!$V$11,'Assumptions (Solar)'!$V$6*Model!$L$883*('Assumptions (Solar)'!$J$18*'Assumptions (Solar)'!$J$2+'Assumptions (Solar)'!$J$19*'Assumptions (Solar)'!$J$3)/10^9),0)</f>
        <v>#NUM!</v>
      </c>
      <c r="Z1001" s="105" t="e">
        <f>IF($L$883&gt;0,IPMT('Assumptions (Solar)'!$V$8,Model!AK$1,'Assumptions (Solar)'!$V$11,'Assumptions (Solar)'!$V$6*Model!$L$883*('Assumptions (Solar)'!$J$18*'Assumptions (Solar)'!$J$2+'Assumptions (Solar)'!$J$19*'Assumptions (Solar)'!$J$3)/10^9),0)</f>
        <v>#NUM!</v>
      </c>
      <c r="AA1001" s="105"/>
      <c r="AB1001" s="105"/>
      <c r="AC1001" s="105"/>
      <c r="AD1001" s="105"/>
      <c r="AE1001" s="105"/>
      <c r="AF1001" s="105"/>
      <c r="AG1001" s="105"/>
      <c r="AH1001" s="105"/>
      <c r="AI1001" s="105"/>
      <c r="AJ1001" s="105"/>
      <c r="AU1001" s="105"/>
      <c r="AV1001" s="105"/>
      <c r="AW1001" s="105"/>
      <c r="AX1001" s="105"/>
      <c r="AY1001" s="105"/>
      <c r="AZ1001" s="105"/>
      <c r="BA1001" s="105"/>
    </row>
    <row r="1002" spans="1:53" ht="15.75" hidden="1" customHeight="1" outlineLevel="1">
      <c r="A1002" s="401"/>
      <c r="B1002" s="99"/>
      <c r="C1002" s="105"/>
      <c r="D1002" s="105"/>
      <c r="E1002" s="105"/>
      <c r="F1002" s="105"/>
      <c r="G1002" s="105"/>
      <c r="H1002" s="105"/>
      <c r="I1002" s="105"/>
      <c r="J1002" s="105"/>
      <c r="K1002" s="105"/>
      <c r="L1002" s="105"/>
      <c r="M1002" s="105">
        <f>IF($M$883&gt;0,IPMT('Assumptions (Solar)'!$V$8,Model!W$1,'Assumptions (Solar)'!$V$11,'Assumptions (Solar)'!$V$6*Model!$M$883*('Assumptions (Solar)'!$K$18*'Assumptions (Solar)'!$K$2+'Assumptions (Solar)'!$K$19*'Assumptions (Solar)'!$K$3)/10^9),0)</f>
        <v>-3.1062717401847455E-2</v>
      </c>
      <c r="N1002" s="105">
        <f>IF($M$883&gt;0,IPMT('Assumptions (Solar)'!$V$8,Model!X$1,'Assumptions (Solar)'!$V$11,'Assumptions (Solar)'!$V$6*Model!$M$883*('Assumptions (Solar)'!$K$18*'Assumptions (Solar)'!$K$2+'Assumptions (Solar)'!$K$19*'Assumptions (Solar)'!$K$3)/10^9),0)</f>
        <v>-2.891847390205618E-2</v>
      </c>
      <c r="O1002" s="105">
        <f>IF($M$883&gt;0,IPMT('Assumptions (Solar)'!$V$8,Model!Y$1,'Assumptions (Solar)'!$V$11,'Assumptions (Solar)'!$V$6*Model!$M$883*('Assumptions (Solar)'!$K$18*'Assumptions (Solar)'!$K$2+'Assumptions (Solar)'!$K$19*'Assumptions (Solar)'!$K$3)/10^9),0)</f>
        <v>-2.6602690922281597E-2</v>
      </c>
      <c r="P1002" s="105">
        <f>IF($M$883&gt;0,IPMT('Assumptions (Solar)'!$V$8,Model!Z$1,'Assumptions (Solar)'!$V$11,'Assumptions (Solar)'!$V$6*Model!$M$883*('Assumptions (Solar)'!$K$18*'Assumptions (Solar)'!$K$2+'Assumptions (Solar)'!$K$19*'Assumptions (Solar)'!$K$3)/10^9),0)</f>
        <v>-2.4101645304125049E-2</v>
      </c>
      <c r="Q1002" s="105">
        <f>IF($M$883&gt;0,IPMT('Assumptions (Solar)'!$V$8,Model!AA$1,'Assumptions (Solar)'!$V$11,'Assumptions (Solar)'!$V$6*Model!$M$883*('Assumptions (Solar)'!$K$18*'Assumptions (Solar)'!$K$2+'Assumptions (Solar)'!$K$19*'Assumptions (Solar)'!$K$3)/10^9),0)</f>
        <v>-2.1400516036515983E-2</v>
      </c>
      <c r="R1002" s="105">
        <f>IF($M$883&gt;0,IPMT('Assumptions (Solar)'!$V$8,Model!AB$1,'Assumptions (Solar)'!$V$11,'Assumptions (Solar)'!$V$6*Model!$M$883*('Assumptions (Solar)'!$K$18*'Assumptions (Solar)'!$K$2+'Assumptions (Solar)'!$K$19*'Assumptions (Solar)'!$K$3)/10^9),0)</f>
        <v>-1.8483296427498189E-2</v>
      </c>
      <c r="S1002" s="105">
        <f>IF($M$883&gt;0,IPMT('Assumptions (Solar)'!$V$8,Model!AC$1,'Assumptions (Solar)'!$V$11,'Assumptions (Solar)'!$V$6*Model!$M$883*('Assumptions (Solar)'!$K$18*'Assumptions (Solar)'!$K$2+'Assumptions (Solar)'!$K$19*'Assumptions (Solar)'!$K$3)/10^9),0)</f>
        <v>-1.5332699249758969E-2</v>
      </c>
      <c r="T1002" s="105">
        <f>IF($M$883&gt;0,IPMT('Assumptions (Solar)'!$V$8,Model!AD$1,'Assumptions (Solar)'!$V$11,'Assumptions (Solar)'!$V$6*Model!$M$883*('Assumptions (Solar)'!$K$18*'Assumptions (Solar)'!$K$2+'Assumptions (Solar)'!$K$19*'Assumptions (Solar)'!$K$3)/10^9),0)</f>
        <v>-1.1930054297800615E-2</v>
      </c>
      <c r="U1002" s="105">
        <f>IF($M$883&gt;0,IPMT('Assumptions (Solar)'!$V$8,Model!AE$1,'Assumptions (Solar)'!$V$11,'Assumptions (Solar)'!$V$6*Model!$M$883*('Assumptions (Solar)'!$K$18*'Assumptions (Solar)'!$K$2+'Assumptions (Solar)'!$K$19*'Assumptions (Solar)'!$K$3)/10^9),0)</f>
        <v>-8.2551977496855902E-3</v>
      </c>
      <c r="V1002" s="105">
        <f>IF($M$883&gt;0,IPMT('Assumptions (Solar)'!$V$8,Model!AF$1,'Assumptions (Solar)'!$V$11,'Assumptions (Solar)'!$V$6*Model!$M$883*('Assumptions (Solar)'!$K$18*'Assumptions (Solar)'!$K$2+'Assumptions (Solar)'!$K$19*'Assumptions (Solar)'!$K$3)/10^9),0)</f>
        <v>-4.2863526777213636E-3</v>
      </c>
      <c r="W1002" s="105" t="e">
        <f>IF($M$883&gt;0,IPMT('Assumptions (Solar)'!$V$8,Model!AG$1,'Assumptions (Solar)'!$V$11,'Assumptions (Solar)'!$V$6*Model!$M$883*('Assumptions (Solar)'!$K$18*'Assumptions (Solar)'!$K$2+'Assumptions (Solar)'!$K$19*'Assumptions (Solar)'!$K$3)/10^9),0)</f>
        <v>#NUM!</v>
      </c>
      <c r="X1002" s="105" t="e">
        <f>IF($M$883&gt;0,IPMT('Assumptions (Solar)'!$V$8,Model!AH$1,'Assumptions (Solar)'!$V$11,'Assumptions (Solar)'!$V$6*Model!$M$883*('Assumptions (Solar)'!$K$18*'Assumptions (Solar)'!$K$2+'Assumptions (Solar)'!$K$19*'Assumptions (Solar)'!$K$3)/10^9),0)</f>
        <v>#NUM!</v>
      </c>
      <c r="Y1002" s="105" t="e">
        <f>IF($M$883&gt;0,IPMT('Assumptions (Solar)'!$V$8,Model!AI$1,'Assumptions (Solar)'!$V$11,'Assumptions (Solar)'!$V$6*Model!$M$883*('Assumptions (Solar)'!$K$18*'Assumptions (Solar)'!$K$2+'Assumptions (Solar)'!$K$19*'Assumptions (Solar)'!$K$3)/10^9),0)</f>
        <v>#NUM!</v>
      </c>
      <c r="Z1002" s="105" t="e">
        <f>IF($M$883&gt;0,IPMT('Assumptions (Solar)'!$V$8,Model!AJ$1,'Assumptions (Solar)'!$V$11,'Assumptions (Solar)'!$V$6*Model!$M$883*('Assumptions (Solar)'!$K$18*'Assumptions (Solar)'!$K$2+'Assumptions (Solar)'!$K$19*'Assumptions (Solar)'!$K$3)/10^9),0)</f>
        <v>#NUM!</v>
      </c>
      <c r="AA1002" s="105" t="e">
        <f>IF($M$883&gt;0,IPMT('Assumptions (Solar)'!$V$8,Model!AK$1,'Assumptions (Solar)'!$V$11,'Assumptions (Solar)'!$V$6*Model!$M$883*('Assumptions (Solar)'!$K$18*'Assumptions (Solar)'!$K$2+'Assumptions (Solar)'!$K$19*'Assumptions (Solar)'!$K$3)/10^9),0)</f>
        <v>#NUM!</v>
      </c>
      <c r="AB1002" s="105"/>
      <c r="AC1002" s="105"/>
      <c r="AD1002" s="105"/>
      <c r="AE1002" s="105"/>
      <c r="AF1002" s="105"/>
      <c r="AG1002" s="105"/>
      <c r="AH1002" s="105"/>
      <c r="AI1002" s="105"/>
      <c r="AJ1002" s="105"/>
      <c r="AK1002" s="105"/>
      <c r="AU1002" s="105"/>
      <c r="AV1002" s="105"/>
      <c r="AW1002" s="105"/>
      <c r="AX1002" s="105"/>
      <c r="AY1002" s="105"/>
      <c r="AZ1002" s="105"/>
      <c r="BA1002" s="105"/>
    </row>
    <row r="1003" spans="1:53" ht="15.75" hidden="1" customHeight="1" outlineLevel="1">
      <c r="A1003" s="401"/>
      <c r="B1003" s="99"/>
      <c r="C1003" s="105"/>
      <c r="D1003" s="105"/>
      <c r="E1003" s="105"/>
      <c r="F1003" s="105"/>
      <c r="G1003" s="105"/>
      <c r="H1003" s="105"/>
      <c r="I1003" s="105"/>
      <c r="J1003" s="105"/>
      <c r="K1003" s="105"/>
      <c r="L1003" s="105"/>
      <c r="M1003" s="105"/>
      <c r="N1003" s="91">
        <f>IF($N$883&gt;0,IPMT('Assumptions (Solar)'!$V$8,Model!W$1,'Assumptions (Solar)'!$V$11,'Assumptions (Solar)'!$V$6*Model!$N$883*('Assumptions (Solar)'!$L$18*'Assumptions (Solar)'!$L$2+'Assumptions (Solar)'!$L$19*'Assumptions (Solar)'!$L$3)/10^9),0)</f>
        <v>-0.10291945265460913</v>
      </c>
      <c r="O1003" s="91">
        <f>IF($N$883&gt;0,IPMT('Assumptions (Solar)'!$V$8,Model!X$1,'Assumptions (Solar)'!$V$11,'Assumptions (Solar)'!$V$6*Model!$N$883*('Assumptions (Solar)'!$L$18*'Assumptions (Solar)'!$L$2+'Assumptions (Solar)'!$L$19*'Assumptions (Solar)'!$L$3)/10^9),0)</f>
        <v>-9.5814975460878582E-2</v>
      </c>
      <c r="P1003" s="91">
        <f>IF($N$883&gt;0,IPMT('Assumptions (Solar)'!$V$8,Model!Y$1,'Assumptions (Solar)'!$V$11,'Assumptions (Solar)'!$V$6*Model!$N$883*('Assumptions (Solar)'!$L$18*'Assumptions (Solar)'!$L$2+'Assumptions (Solar)'!$L$19*'Assumptions (Solar)'!$L$3)/10^9),0)</f>
        <v>-8.8142140091649598E-2</v>
      </c>
      <c r="Q1003" s="91">
        <f>IF($N$883&gt;0,IPMT('Assumptions (Solar)'!$V$8,Model!Z$1,'Assumptions (Solar)'!$V$11,'Assumptions (Solar)'!$V$6*Model!$N$883*('Assumptions (Solar)'!$L$18*'Assumptions (Solar)'!$L$2+'Assumptions (Solar)'!$L$19*'Assumptions (Solar)'!$L$3)/10^9),0)</f>
        <v>-7.9855477892882304E-2</v>
      </c>
      <c r="R1003" s="91">
        <f>IF($N$883&gt;0,IPMT('Assumptions (Solar)'!$V$8,Model!AA$1,'Assumptions (Solar)'!$V$11,'Assumptions (Solar)'!$V$6*Model!$N$883*('Assumptions (Solar)'!$L$18*'Assumptions (Solar)'!$L$2+'Assumptions (Solar)'!$L$19*'Assumptions (Solar)'!$L$3)/10^9),0)</f>
        <v>-7.0905882718213645E-2</v>
      </c>
      <c r="S1003" s="91">
        <f>IF($N$883&gt;0,IPMT('Assumptions (Solar)'!$V$8,Model!AB$1,'Assumptions (Solar)'!$V$11,'Assumptions (Solar)'!$V$6*Model!$N$883*('Assumptions (Solar)'!$L$18*'Assumptions (Solar)'!$L$2+'Assumptions (Solar)'!$L$19*'Assumptions (Solar)'!$L$3)/10^9),0)</f>
        <v>-6.1240319929571484E-2</v>
      </c>
      <c r="T1003" s="91">
        <f>IF($N$883&gt;0,IPMT('Assumptions (Solar)'!$V$8,Model!AC$1,'Assumptions (Solar)'!$V$11,'Assumptions (Solar)'!$V$6*Model!$N$883*('Assumptions (Solar)'!$L$18*'Assumptions (Solar)'!$L$2+'Assumptions (Solar)'!$L$19*'Assumptions (Solar)'!$L$3)/10^9),0)</f>
        <v>-5.0801512117837934E-2</v>
      </c>
      <c r="U1003" s="91">
        <f>IF($N$883&gt;0,IPMT('Assumptions (Solar)'!$V$8,Model!AD$1,'Assumptions (Solar)'!$V$11,'Assumptions (Solar)'!$V$6*Model!$N$883*('Assumptions (Solar)'!$L$18*'Assumptions (Solar)'!$L$2+'Assumptions (Solar)'!$L$19*'Assumptions (Solar)'!$L$3)/10^9),0)</f>
        <v>-3.9527599681165718E-2</v>
      </c>
      <c r="V1003" s="91">
        <f>IF($N$883&gt;0,IPMT('Assumptions (Solar)'!$V$8,Model!AE$1,'Assumptions (Solar)'!$V$11,'Assumptions (Solar)'!$V$6*Model!$N$883*('Assumptions (Solar)'!$L$18*'Assumptions (Solar)'!$L$2+'Assumptions (Solar)'!$L$19*'Assumptions (Solar)'!$L$3)/10^9),0)</f>
        <v>-2.7351774249559715E-2</v>
      </c>
      <c r="W1003" s="91">
        <f>IF($N$883&gt;0,IPMT('Assumptions (Solar)'!$V$8,Model!AF$1,'Assumptions (Solar)'!$V$11,'Assumptions (Solar)'!$V$6*Model!$N$883*('Assumptions (Solar)'!$L$18*'Assumptions (Solar)'!$L$2+'Assumptions (Solar)'!$L$19*'Assumptions (Solar)'!$L$3)/10^9),0)</f>
        <v>-1.4201882783425237E-2</v>
      </c>
      <c r="X1003" s="91" t="e">
        <f>IF($N$883&gt;0,IPMT('Assumptions (Solar)'!$V$8,Model!AG$1,'Assumptions (Solar)'!$V$11,'Assumptions (Solar)'!$V$6*Model!$N$883*('Assumptions (Solar)'!$L$18*'Assumptions (Solar)'!$L$2+'Assumptions (Solar)'!$L$19*'Assumptions (Solar)'!$L$3)/10^9),0)</f>
        <v>#NUM!</v>
      </c>
      <c r="Y1003" s="91" t="e">
        <f>IF($N$883&gt;0,IPMT('Assumptions (Solar)'!$V$8,Model!AH$1,'Assumptions (Solar)'!$V$11,'Assumptions (Solar)'!$V$6*Model!$N$883*('Assumptions (Solar)'!$L$18*'Assumptions (Solar)'!$L$2+'Assumptions (Solar)'!$L$19*'Assumptions (Solar)'!$L$3)/10^9),0)</f>
        <v>#NUM!</v>
      </c>
      <c r="Z1003" s="91" t="e">
        <f>IF($N$883&gt;0,IPMT('Assumptions (Solar)'!$V$8,Model!AI$1,'Assumptions (Solar)'!$V$11,'Assumptions (Solar)'!$V$6*Model!$N$883*('Assumptions (Solar)'!$L$18*'Assumptions (Solar)'!$L$2+'Assumptions (Solar)'!$L$19*'Assumptions (Solar)'!$L$3)/10^9),0)</f>
        <v>#NUM!</v>
      </c>
      <c r="AA1003" s="91" t="e">
        <f>IF($N$883&gt;0,IPMT('Assumptions (Solar)'!$V$8,Model!AJ$1,'Assumptions (Solar)'!$V$11,'Assumptions (Solar)'!$V$6*Model!$N$883*('Assumptions (Solar)'!$L$18*'Assumptions (Solar)'!$L$2+'Assumptions (Solar)'!$L$19*'Assumptions (Solar)'!$L$3)/10^9),0)</f>
        <v>#NUM!</v>
      </c>
      <c r="AB1003" s="91" t="e">
        <f>IF($N$883&gt;0,IPMT('Assumptions (Solar)'!$V$8,Model!AK$1,'Assumptions (Solar)'!$V$11,'Assumptions (Solar)'!$V$6*Model!$N$883*('Assumptions (Solar)'!$L$18*'Assumptions (Solar)'!$L$2+'Assumptions (Solar)'!$L$19*'Assumptions (Solar)'!$L$3)/10^9),0)</f>
        <v>#NUM!</v>
      </c>
      <c r="AC1003" s="91"/>
      <c r="AD1003" s="91"/>
      <c r="AE1003" s="91"/>
      <c r="AF1003" s="91"/>
      <c r="AG1003" s="91"/>
      <c r="AH1003" s="91"/>
      <c r="AI1003" s="91"/>
      <c r="AJ1003" s="91"/>
      <c r="AK1003" s="91"/>
      <c r="AL1003" s="91"/>
      <c r="AU1003" s="105"/>
      <c r="AV1003" s="105"/>
      <c r="AW1003" s="105"/>
      <c r="AX1003" s="105"/>
      <c r="AY1003" s="105"/>
      <c r="AZ1003" s="105"/>
      <c r="BA1003" s="105"/>
    </row>
    <row r="1004" spans="1:53" ht="15.75" hidden="1" customHeight="1" outlineLevel="1">
      <c r="A1004" s="401"/>
      <c r="B1004" s="99"/>
      <c r="C1004" s="105"/>
      <c r="D1004" s="105"/>
      <c r="E1004" s="105"/>
      <c r="F1004" s="105"/>
      <c r="G1004" s="105"/>
      <c r="H1004" s="105"/>
      <c r="I1004" s="105"/>
      <c r="J1004" s="105"/>
      <c r="K1004" s="105"/>
      <c r="L1004" s="105"/>
      <c r="M1004" s="105"/>
      <c r="N1004" s="105"/>
      <c r="O1004" s="105">
        <f>IF($O$883&gt;0,IPMT('Assumptions (Solar)'!$V$8,Model!W$1,'Assumptions (Solar)'!$V$11,'Assumptions (Solar)'!$V$6*Model!$O$883*('Assumptions (Solar)'!$M$18*'Assumptions (Solar)'!$M$2+'Assumptions (Solar)'!$M$19*'Assumptions (Solar)'!$M$3)/10^9),0)</f>
        <v>-0.20595699017623176</v>
      </c>
      <c r="P1004" s="105">
        <f>IF($O$883&gt;0,IPMT('Assumptions (Solar)'!$V$8,Model!X$1,'Assumptions (Solar)'!$V$11,'Assumptions (Solar)'!$V$6*Model!$O$883*('Assumptions (Solar)'!$M$18*'Assumptions (Solar)'!$M$2+'Assumptions (Solar)'!$M$19*'Assumptions (Solar)'!$M$3)/10^9),0)</f>
        <v>-0.19173988445077789</v>
      </c>
      <c r="Q1004" s="105">
        <f>IF($O$883&gt;0,IPMT('Assumptions (Solar)'!$V$8,Model!Y$1,'Assumptions (Solar)'!$V$11,'Assumptions (Solar)'!$V$6*Model!$O$883*('Assumptions (Solar)'!$M$18*'Assumptions (Solar)'!$M$2+'Assumptions (Solar)'!$M$19*'Assumptions (Solar)'!$M$3)/10^9),0)</f>
        <v>-0.17638541026728771</v>
      </c>
      <c r="R1004" s="105">
        <f>IF($O$883&gt;0,IPMT('Assumptions (Solar)'!$V$8,Model!Z$1,'Assumptions (Solar)'!$V$11,'Assumptions (Solar)'!$V$6*Model!$O$883*('Assumptions (Solar)'!$M$18*'Assumptions (Solar)'!$M$2+'Assumptions (Solar)'!$M$19*'Assumptions (Solar)'!$M$3)/10^9),0)</f>
        <v>-0.1598025781491183</v>
      </c>
      <c r="S1004" s="105">
        <f>IF($O$883&gt;0,IPMT('Assumptions (Solar)'!$V$8,Model!AA$1,'Assumptions (Solar)'!$V$11,'Assumptions (Solar)'!$V$6*Model!$O$883*('Assumptions (Solar)'!$M$18*'Assumptions (Solar)'!$M$2+'Assumptions (Solar)'!$M$19*'Assumptions (Solar)'!$M$3)/10^9),0)</f>
        <v>-0.14189311946149535</v>
      </c>
      <c r="T1004" s="105">
        <f>IF($O$883&gt;0,IPMT('Assumptions (Solar)'!$V$8,Model!AB$1,'Assumptions (Solar)'!$V$11,'Assumptions (Solar)'!$V$6*Model!$O$883*('Assumptions (Solar)'!$M$18*'Assumptions (Solar)'!$M$2+'Assumptions (Solar)'!$M$19*'Assumptions (Solar)'!$M$3)/10^9),0)</f>
        <v>-0.12255090407886261</v>
      </c>
      <c r="U1004" s="105">
        <f>IF($O$883&gt;0,IPMT('Assumptions (Solar)'!$V$8,Model!AC$1,'Assumptions (Solar)'!$V$11,'Assumptions (Solar)'!$V$6*Model!$O$883*('Assumptions (Solar)'!$M$18*'Assumptions (Solar)'!$M$2+'Assumptions (Solar)'!$M$19*'Assumptions (Solar)'!$M$3)/10^9),0)</f>
        <v>-0.1016613114656192</v>
      </c>
      <c r="V1004" s="105">
        <f>IF($O$883&gt;0,IPMT('Assumptions (Solar)'!$V$8,Model!AD$1,'Assumptions (Solar)'!$V$11,'Assumptions (Solar)'!$V$6*Model!$O$883*('Assumptions (Solar)'!$M$18*'Assumptions (Solar)'!$M$2+'Assumptions (Solar)'!$M$19*'Assumptions (Solar)'!$M$3)/10^9),0)</f>
        <v>-7.9100551443316333E-2</v>
      </c>
      <c r="W1004" s="105">
        <f>IF($O$883&gt;0,IPMT('Assumptions (Solar)'!$V$8,Model!AE$1,'Assumptions (Solar)'!$V$11,'Assumptions (Solar)'!$V$6*Model!$O$883*('Assumptions (Solar)'!$M$18*'Assumptions (Solar)'!$M$2+'Assumptions (Solar)'!$M$19*'Assumptions (Solar)'!$M$3)/10^9),0)</f>
        <v>-5.4734930619229238E-2</v>
      </c>
      <c r="X1004" s="105">
        <f>IF($O$883&gt;0,IPMT('Assumptions (Solar)'!$V$8,Model!AF$1,'Assumptions (Solar)'!$V$11,'Assumptions (Solar)'!$V$6*Model!$O$883*('Assumptions (Solar)'!$M$18*'Assumptions (Solar)'!$M$2+'Assumptions (Solar)'!$M$19*'Assumptions (Solar)'!$M$3)/10^9),0)</f>
        <v>-2.8420060129215188E-2</v>
      </c>
      <c r="Y1004" s="105" t="e">
        <f>IF($O$883&gt;0,IPMT('Assumptions (Solar)'!$V$8,Model!AG$1,'Assumptions (Solar)'!$V$11,'Assumptions (Solar)'!$V$6*Model!$O$883*('Assumptions (Solar)'!$M$18*'Assumptions (Solar)'!$M$2+'Assumptions (Solar)'!$M$19*'Assumptions (Solar)'!$M$3)/10^9),0)</f>
        <v>#NUM!</v>
      </c>
      <c r="Z1004" s="105" t="e">
        <f>IF($O$883&gt;0,IPMT('Assumptions (Solar)'!$V$8,Model!AH$1,'Assumptions (Solar)'!$V$11,'Assumptions (Solar)'!$V$6*Model!$O$883*('Assumptions (Solar)'!$M$18*'Assumptions (Solar)'!$M$2+'Assumptions (Solar)'!$M$19*'Assumptions (Solar)'!$M$3)/10^9),0)</f>
        <v>#NUM!</v>
      </c>
      <c r="AA1004" s="105" t="e">
        <f>IF($O$883&gt;0,IPMT('Assumptions (Solar)'!$V$8,Model!AI$1,'Assumptions (Solar)'!$V$11,'Assumptions (Solar)'!$V$6*Model!$O$883*('Assumptions (Solar)'!$M$18*'Assumptions (Solar)'!$M$2+'Assumptions (Solar)'!$M$19*'Assumptions (Solar)'!$M$3)/10^9),0)</f>
        <v>#NUM!</v>
      </c>
      <c r="AB1004" s="105" t="e">
        <f>IF($O$883&gt;0,IPMT('Assumptions (Solar)'!$V$8,Model!AJ$1,'Assumptions (Solar)'!$V$11,'Assumptions (Solar)'!$V$6*Model!$O$883*('Assumptions (Solar)'!$M$18*'Assumptions (Solar)'!$M$2+'Assumptions (Solar)'!$M$19*'Assumptions (Solar)'!$M$3)/10^9),0)</f>
        <v>#NUM!</v>
      </c>
      <c r="AC1004" s="105" t="e">
        <f>IF($O$883&gt;0,IPMT('Assumptions (Solar)'!$V$8,Model!AK$1,'Assumptions (Solar)'!$V$11,'Assumptions (Solar)'!$V$6*Model!$O$883*('Assumptions (Solar)'!$M$18*'Assumptions (Solar)'!$M$2+'Assumptions (Solar)'!$M$19*'Assumptions (Solar)'!$M$3)/10^9),0)</f>
        <v>#NUM!</v>
      </c>
      <c r="AD1004" s="105"/>
      <c r="AE1004" s="105"/>
      <c r="AF1004" s="105"/>
      <c r="AG1004" s="105"/>
      <c r="AH1004" s="105"/>
      <c r="AI1004" s="105"/>
      <c r="AJ1004" s="105"/>
      <c r="AK1004" s="105"/>
      <c r="AL1004" s="105"/>
      <c r="AM1004" s="105"/>
      <c r="AU1004" s="105"/>
      <c r="AV1004" s="105"/>
      <c r="AW1004" s="105"/>
      <c r="AX1004" s="105"/>
      <c r="AY1004" s="105"/>
      <c r="AZ1004" s="105"/>
      <c r="BA1004" s="105"/>
    </row>
    <row r="1005" spans="1:53" ht="15.75" hidden="1" customHeight="1" outlineLevel="1">
      <c r="A1005" s="401"/>
      <c r="B1005" s="99"/>
      <c r="C1005" s="105"/>
      <c r="D1005" s="105"/>
      <c r="E1005" s="105"/>
      <c r="F1005" s="105"/>
      <c r="G1005" s="105"/>
      <c r="H1005" s="105"/>
      <c r="I1005" s="105"/>
      <c r="J1005" s="105"/>
      <c r="K1005" s="105"/>
      <c r="L1005" s="105"/>
      <c r="M1005" s="105"/>
      <c r="N1005" s="105"/>
      <c r="O1005" s="105"/>
      <c r="P1005" s="91">
        <f>IF($P$883&gt;0,IPMT('Assumptions (Solar)'!$V$8,Model!W$1,'Assumptions (Solar)'!$V$11,'Assumptions (Solar)'!$V$6*Model!$P$883*('Assumptions (Solar)'!$N$18*'Assumptions (Solar)'!$N$2+'Assumptions (Solar)'!$N$19*'Assumptions (Solar)'!$N$3)/10^9),0)</f>
        <v>-0.45585646748827946</v>
      </c>
      <c r="Q1005" s="91">
        <f>IF($P$883&gt;0,IPMT('Assumptions (Solar)'!$V$8,Model!X$1,'Assumptions (Solar)'!$V$11,'Assumptions (Solar)'!$V$6*Model!$P$883*('Assumptions (Solar)'!$N$18*'Assumptions (Solar)'!$N$2+'Assumptions (Solar)'!$N$19*'Assumptions (Solar)'!$N$3)/10^9),0)</f>
        <v>-0.42438892861830857</v>
      </c>
      <c r="R1005" s="91">
        <f>IF($P$883&gt;0,IPMT('Assumptions (Solar)'!$V$8,Model!Y$1,'Assumptions (Solar)'!$V$11,'Assumptions (Solar)'!$V$6*Model!$P$883*('Assumptions (Solar)'!$N$18*'Assumptions (Solar)'!$N$2+'Assumptions (Solar)'!$N$19*'Assumptions (Solar)'!$N$3)/10^9),0)</f>
        <v>-0.39040398663873993</v>
      </c>
      <c r="S1005" s="91">
        <f>IF($P$883&gt;0,IPMT('Assumptions (Solar)'!$V$8,Model!Z$1,'Assumptions (Solar)'!$V$11,'Assumptions (Solar)'!$V$6*Model!$P$883*('Assumptions (Solar)'!$N$18*'Assumptions (Solar)'!$N$2+'Assumptions (Solar)'!$N$19*'Assumptions (Solar)'!$N$3)/10^9),0)</f>
        <v>-0.35370024930080585</v>
      </c>
      <c r="T1005" s="91">
        <f>IF($P$883&gt;0,IPMT('Assumptions (Solar)'!$V$8,Model!AA$1,'Assumptions (Solar)'!$V$11,'Assumptions (Solar)'!$V$6*Model!$P$883*('Assumptions (Solar)'!$N$18*'Assumptions (Solar)'!$N$2+'Assumptions (Solar)'!$N$19*'Assumptions (Solar)'!$N$3)/10^9),0)</f>
        <v>-0.31406021297583703</v>
      </c>
      <c r="U1005" s="91">
        <f>IF($P$883&gt;0,IPMT('Assumptions (Solar)'!$V$8,Model!AB$1,'Assumptions (Solar)'!$V$11,'Assumptions (Solar)'!$V$6*Model!$P$883*('Assumptions (Solar)'!$N$18*'Assumptions (Solar)'!$N$2+'Assumptions (Solar)'!$N$19*'Assumptions (Solar)'!$N$3)/10^9),0)</f>
        <v>-0.27124897374487072</v>
      </c>
      <c r="V1005" s="91">
        <f>IF($P$883&gt;0,IPMT('Assumptions (Solar)'!$V$8,Model!AC$1,'Assumptions (Solar)'!$V$11,'Assumptions (Solar)'!$V$6*Model!$P$883*('Assumptions (Solar)'!$N$18*'Assumptions (Solar)'!$N$2+'Assumptions (Solar)'!$N$19*'Assumptions (Solar)'!$N$3)/10^9),0)</f>
        <v>-0.22501283537542707</v>
      </c>
      <c r="W1005" s="91">
        <f>IF($P$883&gt;0,IPMT('Assumptions (Solar)'!$V$8,Model!AD$1,'Assumptions (Solar)'!$V$11,'Assumptions (Solar)'!$V$6*Model!$P$883*('Assumptions (Solar)'!$N$18*'Assumptions (Solar)'!$N$2+'Assumptions (Solar)'!$N$19*'Assumptions (Solar)'!$N$3)/10^9),0)</f>
        <v>-0.17507780593642802</v>
      </c>
      <c r="X1005" s="91">
        <f>IF($P$883&gt;0,IPMT('Assumptions (Solar)'!$V$8,Model!AE$1,'Assumptions (Solar)'!$V$11,'Assumptions (Solar)'!$V$6*Model!$P$883*('Assumptions (Solar)'!$N$18*'Assumptions (Solar)'!$N$2+'Assumptions (Solar)'!$N$19*'Assumptions (Solar)'!$N$3)/10^9),0)</f>
        <v>-0.12114797414230898</v>
      </c>
      <c r="Y1005" s="91">
        <f>IF($P$883&gt;0,IPMT('Assumptions (Solar)'!$V$8,Model!AF$1,'Assumptions (Solar)'!$V$11,'Assumptions (Solar)'!$V$6*Model!$P$883*('Assumptions (Solar)'!$N$18*'Assumptions (Solar)'!$N$2+'Assumptions (Solar)'!$N$19*'Assumptions (Solar)'!$N$3)/10^9),0)</f>
        <v>-6.2903755804660427E-2</v>
      </c>
      <c r="Z1005" s="91" t="e">
        <f>IF($P$883&gt;0,IPMT('Assumptions (Solar)'!$V$8,Model!AG$1,'Assumptions (Solar)'!$V$11,'Assumptions (Solar)'!$V$6*Model!$P$883*('Assumptions (Solar)'!$N$18*'Assumptions (Solar)'!$N$2+'Assumptions (Solar)'!$N$19*'Assumptions (Solar)'!$N$3)/10^9),0)</f>
        <v>#NUM!</v>
      </c>
      <c r="AA1005" s="91" t="e">
        <f>IF($P$883&gt;0,IPMT('Assumptions (Solar)'!$V$8,Model!AH$1,'Assumptions (Solar)'!$V$11,'Assumptions (Solar)'!$V$6*Model!$P$883*('Assumptions (Solar)'!$N$18*'Assumptions (Solar)'!$N$2+'Assumptions (Solar)'!$N$19*'Assumptions (Solar)'!$N$3)/10^9),0)</f>
        <v>#NUM!</v>
      </c>
      <c r="AB1005" s="91" t="e">
        <f>IF($P$883&gt;0,IPMT('Assumptions (Solar)'!$V$8,Model!AI$1,'Assumptions (Solar)'!$V$11,'Assumptions (Solar)'!$V$6*Model!$P$883*('Assumptions (Solar)'!$N$18*'Assumptions (Solar)'!$N$2+'Assumptions (Solar)'!$N$19*'Assumptions (Solar)'!$N$3)/10^9),0)</f>
        <v>#NUM!</v>
      </c>
      <c r="AC1005" s="91" t="e">
        <f>IF($P$883&gt;0,IPMT('Assumptions (Solar)'!$V$8,Model!AJ$1,'Assumptions (Solar)'!$V$11,'Assumptions (Solar)'!$V$6*Model!$P$883*('Assumptions (Solar)'!$N$18*'Assumptions (Solar)'!$N$2+'Assumptions (Solar)'!$N$19*'Assumptions (Solar)'!$N$3)/10^9),0)</f>
        <v>#NUM!</v>
      </c>
      <c r="AD1005" s="91" t="e">
        <f>IF($P$883&gt;0,IPMT('Assumptions (Solar)'!$V$8,Model!AK$1,'Assumptions (Solar)'!$V$11,'Assumptions (Solar)'!$V$6*Model!$P$883*('Assumptions (Solar)'!$N$18*'Assumptions (Solar)'!$N$2+'Assumptions (Solar)'!$N$19*'Assumptions (Solar)'!$N$3)/10^9),0)</f>
        <v>#NUM!</v>
      </c>
      <c r="AE1005" s="91"/>
      <c r="AF1005" s="91"/>
      <c r="AG1005" s="91"/>
      <c r="AH1005" s="91"/>
      <c r="AI1005" s="91"/>
      <c r="AJ1005" s="91"/>
      <c r="AK1005" s="91"/>
      <c r="AL1005" s="91"/>
      <c r="AM1005" s="91"/>
      <c r="AN1005" s="91"/>
      <c r="AU1005" s="105"/>
      <c r="AV1005" s="105"/>
      <c r="AW1005" s="105"/>
      <c r="AX1005" s="105"/>
      <c r="AY1005" s="105"/>
      <c r="AZ1005" s="105"/>
      <c r="BA1005" s="105"/>
    </row>
    <row r="1006" spans="1:53" ht="15.75" hidden="1" customHeight="1" outlineLevel="1">
      <c r="A1006" s="401"/>
      <c r="B1006" s="99"/>
      <c r="C1006" s="105"/>
      <c r="D1006" s="105"/>
      <c r="E1006" s="105"/>
      <c r="F1006" s="105"/>
      <c r="G1006" s="105"/>
      <c r="H1006" s="105"/>
      <c r="I1006" s="105"/>
      <c r="J1006" s="105"/>
      <c r="K1006" s="105"/>
      <c r="L1006" s="105"/>
      <c r="M1006" s="105"/>
      <c r="N1006" s="105"/>
      <c r="O1006" s="105"/>
      <c r="P1006" s="171"/>
      <c r="Q1006" s="105">
        <f>IF($Q$883&gt;0,IPMT('Assumptions (Solar)'!$V$8,Model!W$1,'Assumptions (Solar)'!$V$11,'Assumptions (Solar)'!$V$6*Model!$Q$883*('Assumptions (Solar)'!$O$18*'Assumptions (Solar)'!$O$2+'Assumptions (Solar)'!$O$19*'Assumptions (Solar)'!$O$3)/10^9),0)</f>
        <v>-0.47471159209071578</v>
      </c>
      <c r="R1006" s="105">
        <f>IF($Q$883&gt;0,IPMT('Assumptions (Solar)'!$V$8,Model!X$1,'Assumptions (Solar)'!$V$11,'Assumptions (Solar)'!$V$6*Model!$Q$883*('Assumptions (Solar)'!$O$18*'Assumptions (Solar)'!$O$2+'Assumptions (Solar)'!$O$19*'Assumptions (Solar)'!$O$3)/10^9),0)</f>
        <v>-0.44194249361011906</v>
      </c>
      <c r="S1006" s="105">
        <f>IF($Q$883&gt;0,IPMT('Assumptions (Solar)'!$V$8,Model!Y$1,'Assumptions (Solar)'!$V$11,'Assumptions (Solar)'!$V$6*Model!$Q$883*('Assumptions (Solar)'!$O$18*'Assumptions (Solar)'!$O$2+'Assumptions (Solar)'!$O$19*'Assumptions (Solar)'!$O$3)/10^9),0)</f>
        <v>-0.40655186725107456</v>
      </c>
      <c r="T1006" s="105">
        <f>IF($Q$883&gt;0,IPMT('Assumptions (Solar)'!$V$8,Model!Z$1,'Assumptions (Solar)'!$V$11,'Assumptions (Solar)'!$V$6*Model!$Q$883*('Assumptions (Solar)'!$O$18*'Assumptions (Solar)'!$O$2+'Assumptions (Solar)'!$O$19*'Assumptions (Solar)'!$O$3)/10^9),0)</f>
        <v>-0.36832999078330647</v>
      </c>
      <c r="U1006" s="105">
        <f>IF($Q$883&gt;0,IPMT('Assumptions (Solar)'!$V$8,Model!AA$1,'Assumptions (Solar)'!$V$11,'Assumptions (Solar)'!$V$6*Model!$Q$883*('Assumptions (Solar)'!$O$18*'Assumptions (Solar)'!$O$2+'Assumptions (Solar)'!$O$19*'Assumptions (Solar)'!$O$3)/10^9),0)</f>
        <v>-0.32705036419811701</v>
      </c>
      <c r="V1006" s="105">
        <f>IF($Q$883&gt;0,IPMT('Assumptions (Solar)'!$V$8,Model!AB$1,'Assumptions (Solar)'!$V$11,'Assumptions (Solar)'!$V$6*Model!$Q$883*('Assumptions (Solar)'!$O$18*'Assumptions (Solar)'!$O$2+'Assumptions (Solar)'!$O$19*'Assumptions (Solar)'!$O$3)/10^9),0)</f>
        <v>-0.28246836748611237</v>
      </c>
      <c r="W1006" s="105">
        <f>IF($Q$883&gt;0,IPMT('Assumptions (Solar)'!$V$8,Model!AC$1,'Assumptions (Solar)'!$V$11,'Assumptions (Solar)'!$V$6*Model!$Q$883*('Assumptions (Solar)'!$O$18*'Assumptions (Solar)'!$O$2+'Assumptions (Solar)'!$O$19*'Assumptions (Solar)'!$O$3)/10^9),0)</f>
        <v>-0.2343198110371473</v>
      </c>
      <c r="X1006" s="105">
        <f>IF($Q$883&gt;0,IPMT('Assumptions (Solar)'!$V$8,Model!AD$1,'Assumptions (Solar)'!$V$11,'Assumptions (Solar)'!$V$6*Model!$Q$883*('Assumptions (Solar)'!$O$18*'Assumptions (Solar)'!$O$2+'Assumptions (Solar)'!$O$19*'Assumptions (Solar)'!$O$3)/10^9),0)</f>
        <v>-0.18231937007226515</v>
      </c>
      <c r="Y1006" s="105">
        <f>IF($Q$883&gt;0,IPMT('Assumptions (Solar)'!$V$8,Model!AE$1,'Assumptions (Solar)'!$V$11,'Assumptions (Solar)'!$V$6*Model!$Q$883*('Assumptions (Solar)'!$O$18*'Assumptions (Solar)'!$O$2+'Assumptions (Solar)'!$O$19*'Assumptions (Solar)'!$O$3)/10^9),0)</f>
        <v>-0.12615889383019233</v>
      </c>
      <c r="Z1006" s="105">
        <f>IF($Q$883&gt;0,IPMT('Assumptions (Solar)'!$V$8,Model!AF$1,'Assumptions (Solar)'!$V$11,'Assumptions (Solar)'!$V$6*Model!$Q$883*('Assumptions (Solar)'!$O$18*'Assumptions (Solar)'!$O$2+'Assumptions (Solar)'!$O$19*'Assumptions (Solar)'!$O$3)/10^9),0)</f>
        <v>-6.5505579488753712E-2</v>
      </c>
      <c r="AA1006" s="105" t="e">
        <f>IF($Q$883&gt;0,IPMT('Assumptions (Solar)'!$V$8,Model!AG$1,'Assumptions (Solar)'!$V$11,'Assumptions (Solar)'!$V$6*Model!$Q$883*('Assumptions (Solar)'!$O$18*'Assumptions (Solar)'!$O$2+'Assumptions (Solar)'!$O$19*'Assumptions (Solar)'!$O$3)/10^9),0)</f>
        <v>#NUM!</v>
      </c>
      <c r="AB1006" s="105" t="e">
        <f>IF($Q$883&gt;0,IPMT('Assumptions (Solar)'!$V$8,Model!AH$1,'Assumptions (Solar)'!$V$11,'Assumptions (Solar)'!$V$6*Model!$Q$883*('Assumptions (Solar)'!$O$18*'Assumptions (Solar)'!$O$2+'Assumptions (Solar)'!$O$19*'Assumptions (Solar)'!$O$3)/10^9),0)</f>
        <v>#NUM!</v>
      </c>
      <c r="AC1006" s="105" t="e">
        <f>IF($Q$883&gt;0,IPMT('Assumptions (Solar)'!$V$8,Model!AI$1,'Assumptions (Solar)'!$V$11,'Assumptions (Solar)'!$V$6*Model!$Q$883*('Assumptions (Solar)'!$O$18*'Assumptions (Solar)'!$O$2+'Assumptions (Solar)'!$O$19*'Assumptions (Solar)'!$O$3)/10^9),0)</f>
        <v>#NUM!</v>
      </c>
      <c r="AD1006" s="105" t="e">
        <f>IF($Q$883&gt;0,IPMT('Assumptions (Solar)'!$V$8,Model!AJ$1,'Assumptions (Solar)'!$V$11,'Assumptions (Solar)'!$V$6*Model!$Q$883*('Assumptions (Solar)'!$O$18*'Assumptions (Solar)'!$O$2+'Assumptions (Solar)'!$O$19*'Assumptions (Solar)'!$O$3)/10^9),0)</f>
        <v>#NUM!</v>
      </c>
      <c r="AE1006" s="105" t="e">
        <f>IF($Q$883&gt;0,IPMT('Assumptions (Solar)'!$V$8,Model!AK$1,'Assumptions (Solar)'!$V$11,'Assumptions (Solar)'!$V$6*Model!$Q$883*('Assumptions (Solar)'!$O$18*'Assumptions (Solar)'!$O$2+'Assumptions (Solar)'!$O$19*'Assumptions (Solar)'!$O$3)/10^9),0)</f>
        <v>#NUM!</v>
      </c>
      <c r="AF1006" s="105"/>
      <c r="AG1006" s="105"/>
      <c r="AH1006" s="105"/>
      <c r="AI1006" s="105"/>
      <c r="AJ1006" s="105"/>
      <c r="AK1006" s="105"/>
      <c r="AL1006" s="105"/>
      <c r="AM1006" s="105"/>
      <c r="AN1006" s="105"/>
      <c r="AO1006" s="105"/>
      <c r="AU1006" s="105"/>
      <c r="AV1006" s="105"/>
      <c r="AW1006" s="105"/>
      <c r="AX1006" s="105"/>
      <c r="AY1006" s="105"/>
      <c r="AZ1006" s="105"/>
      <c r="BA1006" s="105"/>
    </row>
    <row r="1007" spans="1:53" ht="15.75" hidden="1" customHeight="1" outlineLevel="1">
      <c r="A1007" s="401"/>
      <c r="B1007" s="99"/>
      <c r="C1007" s="105"/>
      <c r="D1007" s="105"/>
      <c r="E1007" s="105"/>
      <c r="F1007" s="105"/>
      <c r="G1007" s="105"/>
      <c r="H1007" s="105"/>
      <c r="I1007" s="105"/>
      <c r="J1007" s="105"/>
      <c r="K1007" s="105"/>
      <c r="L1007" s="105"/>
      <c r="M1007" s="105"/>
      <c r="N1007" s="105"/>
      <c r="O1007" s="105"/>
      <c r="P1007" s="171"/>
      <c r="Q1007" s="105"/>
      <c r="R1007" s="91">
        <f>IF($R$883&gt;0,IPMT('Assumptions (Solar)'!$V$8,Model!W$1,'Assumptions (Solar)'!$V$11,'Assumptions (Solar)'!$V$6*Model!$R$883*('Assumptions (Solar)'!$P$18*'Assumptions (Solar)'!$P$2+'Assumptions (Solar)'!$P$19*'Assumptions (Solar)'!$P$3)/10^9),0)</f>
        <v>-0.44251068008314792</v>
      </c>
      <c r="S1007" s="91">
        <f>IF($R$883&gt;0,IPMT('Assumptions (Solar)'!$V$8,Model!X$1,'Assumptions (Solar)'!$V$11,'Assumptions (Solar)'!$V$6*Model!$R$883*('Assumptions (Solar)'!$P$18*'Assumptions (Solar)'!$P$2+'Assumptions (Solar)'!$P$19*'Assumptions (Solar)'!$P$3)/10^9),0)</f>
        <v>-0.41196439409401309</v>
      </c>
      <c r="T1007" s="91">
        <f>IF($R$883&gt;0,IPMT('Assumptions (Solar)'!$V$8,Model!Y$1,'Assumptions (Solar)'!$V$11,'Assumptions (Solar)'!$V$6*Model!$R$883*('Assumptions (Solar)'!$P$18*'Assumptions (Solar)'!$P$2+'Assumptions (Solar)'!$P$19*'Assumptions (Solar)'!$P$3)/10^9),0)</f>
        <v>-0.37897440522574743</v>
      </c>
      <c r="U1007" s="91">
        <f>IF($R$883&gt;0,IPMT('Assumptions (Solar)'!$V$8,Model!Z$1,'Assumptions (Solar)'!$V$11,'Assumptions (Solar)'!$V$6*Model!$R$883*('Assumptions (Solar)'!$P$18*'Assumptions (Solar)'!$P$2+'Assumptions (Solar)'!$P$19*'Assumptions (Solar)'!$P$3)/10^9),0)</f>
        <v>-0.34334521724802053</v>
      </c>
      <c r="V1007" s="91">
        <f>IF($R$883&gt;0,IPMT('Assumptions (Solar)'!$V$8,Model!AA$1,'Assumptions (Solar)'!$V$11,'Assumptions (Solar)'!$V$6*Model!$R$883*('Assumptions (Solar)'!$P$18*'Assumptions (Solar)'!$P$2+'Assumptions (Solar)'!$P$19*'Assumptions (Solar)'!$P$3)/10^9),0)</f>
        <v>-0.30486569423207555</v>
      </c>
      <c r="W1007" s="91">
        <f>IF($R$883&gt;0,IPMT('Assumptions (Solar)'!$V$8,Model!AB$1,'Assumptions (Solar)'!$V$11,'Assumptions (Solar)'!$V$6*Model!$R$883*('Assumptions (Solar)'!$P$18*'Assumptions (Solar)'!$P$2+'Assumptions (Solar)'!$P$19*'Assumptions (Solar)'!$P$3)/10^9),0)</f>
        <v>-0.26330780937485498</v>
      </c>
      <c r="X1007" s="91">
        <f>IF($R$883&gt;0,IPMT('Assumptions (Solar)'!$V$8,Model!AC$1,'Assumptions (Solar)'!$V$11,'Assumptions (Solar)'!$V$6*Model!$R$883*('Assumptions (Solar)'!$P$18*'Assumptions (Solar)'!$P$2+'Assumptions (Solar)'!$P$19*'Assumptions (Solar)'!$P$3)/10^9),0)</f>
        <v>-0.21842529372905672</v>
      </c>
      <c r="Y1007" s="91">
        <f>IF($R$883&gt;0,IPMT('Assumptions (Solar)'!$V$8,Model!AD$1,'Assumptions (Solar)'!$V$11,'Assumptions (Solar)'!$V$6*Model!$R$883*('Assumptions (Solar)'!$P$18*'Assumptions (Solar)'!$P$2+'Assumptions (Solar)'!$P$19*'Assumptions (Solar)'!$P$3)/10^9),0)</f>
        <v>-0.16995217683159464</v>
      </c>
      <c r="Z1007" s="91">
        <f>IF($R$883&gt;0,IPMT('Assumptions (Solar)'!$V$8,Model!AE$1,'Assumptions (Solar)'!$V$11,'Assumptions (Solar)'!$V$6*Model!$R$883*('Assumptions (Solar)'!$P$18*'Assumptions (Solar)'!$P$2+'Assumptions (Solar)'!$P$19*'Assumptions (Solar)'!$P$3)/10^9),0)</f>
        <v>-0.11760121058233557</v>
      </c>
      <c r="AA1007" s="91">
        <f>IF($R$883&gt;0,IPMT('Assumptions (Solar)'!$V$8,Model!AF$1,'Assumptions (Solar)'!$V$11,'Assumptions (Solar)'!$V$6*Model!$R$883*('Assumptions (Solar)'!$P$18*'Assumptions (Solar)'!$P$2+'Assumptions (Solar)'!$P$19*'Assumptions (Solar)'!$P$3)/10^9),0)</f>
        <v>-6.1062167033135779E-2</v>
      </c>
      <c r="AB1007" s="91" t="e">
        <f>IF($R$883&gt;0,IPMT('Assumptions (Solar)'!$V$8,Model!AG$1,'Assumptions (Solar)'!$V$11,'Assumptions (Solar)'!$V$6*Model!$R$883*('Assumptions (Solar)'!$P$18*'Assumptions (Solar)'!$P$2+'Assumptions (Solar)'!$P$19*'Assumptions (Solar)'!$P$3)/10^9),0)</f>
        <v>#NUM!</v>
      </c>
      <c r="AC1007" s="91" t="e">
        <f>IF($R$883&gt;0,IPMT('Assumptions (Solar)'!$V$8,Model!AH$1,'Assumptions (Solar)'!$V$11,'Assumptions (Solar)'!$V$6*Model!$R$883*('Assumptions (Solar)'!$P$18*'Assumptions (Solar)'!$P$2+'Assumptions (Solar)'!$P$19*'Assumptions (Solar)'!$P$3)/10^9),0)</f>
        <v>#NUM!</v>
      </c>
      <c r="AD1007" s="91" t="e">
        <f>IF($R$883&gt;0,IPMT('Assumptions (Solar)'!$V$8,Model!AI$1,'Assumptions (Solar)'!$V$11,'Assumptions (Solar)'!$V$6*Model!$R$883*('Assumptions (Solar)'!$P$18*'Assumptions (Solar)'!$P$2+'Assumptions (Solar)'!$P$19*'Assumptions (Solar)'!$P$3)/10^9),0)</f>
        <v>#NUM!</v>
      </c>
      <c r="AE1007" s="91" t="e">
        <f>IF($R$883&gt;0,IPMT('Assumptions (Solar)'!$V$8,Model!AJ$1,'Assumptions (Solar)'!$V$11,'Assumptions (Solar)'!$V$6*Model!$R$883*('Assumptions (Solar)'!$P$18*'Assumptions (Solar)'!$P$2+'Assumptions (Solar)'!$P$19*'Assumptions (Solar)'!$P$3)/10^9),0)</f>
        <v>#NUM!</v>
      </c>
      <c r="AF1007" s="91" t="e">
        <f>IF($R$883&gt;0,IPMT('Assumptions (Solar)'!$V$8,Model!AK$1,'Assumptions (Solar)'!$V$11,'Assumptions (Solar)'!$V$6*Model!$R$883*('Assumptions (Solar)'!$P$18*'Assumptions (Solar)'!$P$2+'Assumptions (Solar)'!$P$19*'Assumptions (Solar)'!$P$3)/10^9),0)</f>
        <v>#NUM!</v>
      </c>
      <c r="AG1007" s="91"/>
      <c r="AH1007" s="91"/>
      <c r="AI1007" s="91"/>
      <c r="AJ1007" s="91"/>
      <c r="AK1007" s="91"/>
      <c r="AL1007" s="91"/>
      <c r="AM1007" s="91"/>
      <c r="AN1007" s="91"/>
      <c r="AO1007" s="91"/>
      <c r="AP1007" s="91"/>
      <c r="AU1007" s="105"/>
      <c r="AV1007" s="105"/>
      <c r="AW1007" s="105"/>
      <c r="AX1007" s="105"/>
      <c r="AY1007" s="105"/>
      <c r="AZ1007" s="105"/>
      <c r="BA1007" s="105"/>
    </row>
    <row r="1008" spans="1:53" ht="15.75" hidden="1" customHeight="1" outlineLevel="1">
      <c r="A1008" s="401"/>
      <c r="B1008" s="99"/>
      <c r="C1008" s="105"/>
      <c r="D1008" s="105"/>
      <c r="E1008" s="105"/>
      <c r="F1008" s="105"/>
      <c r="G1008" s="105"/>
      <c r="H1008" s="105"/>
      <c r="I1008" s="105"/>
      <c r="J1008" s="105"/>
      <c r="K1008" s="105"/>
      <c r="L1008" s="105"/>
      <c r="M1008" s="105"/>
      <c r="N1008" s="105"/>
      <c r="O1008" s="105"/>
      <c r="P1008" s="171"/>
      <c r="Q1008" s="105"/>
      <c r="R1008" s="91"/>
      <c r="S1008" s="105">
        <f>IF($S$883&gt;0,IPMT('Assumptions (Solar)'!$V$8,Model!W$1,'Assumptions (Solar)'!$V$11,'Assumptions (Solar)'!$V$6*Model!$S$883*('Assumptions (Solar)'!$Q$18*'Assumptions (Solar)'!$Q$2+'Assumptions (Solar)'!$Q$19*'Assumptions (Solar)'!$Q$3)/10^9),0)</f>
        <v>-1.0023525112122038</v>
      </c>
      <c r="T1008" s="105">
        <f>IF($S$883&gt;0,IPMT('Assumptions (Solar)'!$V$8,Model!X$1,'Assumptions (Solar)'!$V$11,'Assumptions (Solar)'!$V$6*Model!$S$883*('Assumptions (Solar)'!$Q$18*'Assumptions (Solar)'!$Q$2+'Assumptions (Solar)'!$Q$19*'Assumptions (Solar)'!$Q$3)/10^9),0)</f>
        <v>-0.93316062986899595</v>
      </c>
      <c r="U1008" s="105">
        <f>IF($S$883&gt;0,IPMT('Assumptions (Solar)'!$V$8,Model!Y$1,'Assumptions (Solar)'!$V$11,'Assumptions (Solar)'!$V$6*Model!$S$883*('Assumptions (Solar)'!$Q$18*'Assumptions (Solar)'!$Q$2+'Assumptions (Solar)'!$Q$19*'Assumptions (Solar)'!$Q$3)/10^9),0)</f>
        <v>-0.85843339801833107</v>
      </c>
      <c r="V1008" s="105">
        <f>IF($S$883&gt;0,IPMT('Assumptions (Solar)'!$V$8,Model!Z$1,'Assumptions (Solar)'!$V$11,'Assumptions (Solar)'!$V$6*Model!$S$883*('Assumptions (Solar)'!$Q$18*'Assumptions (Solar)'!$Q$2+'Assumptions (Solar)'!$Q$19*'Assumptions (Solar)'!$Q$3)/10^9),0)</f>
        <v>-0.77772798761961326</v>
      </c>
      <c r="W1008" s="105">
        <f>IF($S$883&gt;0,IPMT('Assumptions (Solar)'!$V$8,Model!AA$1,'Assumptions (Solar)'!$V$11,'Assumptions (Solar)'!$V$6*Model!$S$883*('Assumptions (Solar)'!$Q$18*'Assumptions (Solar)'!$Q$2+'Assumptions (Solar)'!$Q$19*'Assumptions (Solar)'!$Q$3)/10^9),0)</f>
        <v>-0.6905661443889981</v>
      </c>
      <c r="X1008" s="105">
        <f>IF($S$883&gt;0,IPMT('Assumptions (Solar)'!$V$8,Model!AB$1,'Assumptions (Solar)'!$V$11,'Assumptions (Solar)'!$V$6*Model!$S$883*('Assumptions (Solar)'!$Q$18*'Assumptions (Solar)'!$Q$2+'Assumptions (Solar)'!$Q$19*'Assumptions (Solar)'!$Q$3)/10^9),0)</f>
        <v>-0.59643135369993372</v>
      </c>
      <c r="Y1008" s="105">
        <f>IF($S$883&gt;0,IPMT('Assumptions (Solar)'!$V$8,Model!AC$1,'Assumptions (Solar)'!$V$11,'Assumptions (Solar)'!$V$6*Model!$S$883*('Assumptions (Solar)'!$Q$18*'Assumptions (Solar)'!$Q$2+'Assumptions (Solar)'!$Q$19*'Assumptions (Solar)'!$Q$3)/10^9),0)</f>
        <v>-0.49476577975574404</v>
      </c>
      <c r="Z1008" s="105">
        <f>IF($S$883&gt;0,IPMT('Assumptions (Solar)'!$V$8,Model!AD$1,'Assumptions (Solar)'!$V$11,'Assumptions (Solar)'!$V$6*Model!$S$883*('Assumptions (Solar)'!$Q$18*'Assumptions (Solar)'!$Q$2+'Assumptions (Solar)'!$Q$19*'Assumptions (Solar)'!$Q$3)/10^9),0)</f>
        <v>-0.38496695989601931</v>
      </c>
      <c r="AA1008" s="105">
        <f>IF($S$883&gt;0,IPMT('Assumptions (Solar)'!$V$8,Model!AE$1,'Assumptions (Solar)'!$V$11,'Assumptions (Solar)'!$V$6*Model!$S$883*('Assumptions (Solar)'!$Q$18*'Assumptions (Solar)'!$Q$2+'Assumptions (Solar)'!$Q$19*'Assumptions (Solar)'!$Q$3)/10^9),0)</f>
        <v>-0.26638423444751658</v>
      </c>
      <c r="AB1008" s="105">
        <f>IF($S$883&gt;0,IPMT('Assumptions (Solar)'!$V$8,Model!AF$1,'Assumptions (Solar)'!$V$11,'Assumptions (Solar)'!$V$6*Model!$S$883*('Assumptions (Solar)'!$Q$18*'Assumptions (Solar)'!$Q$2+'Assumptions (Solar)'!$Q$19*'Assumptions (Solar)'!$Q$3)/10^9),0)</f>
        <v>-0.1383148909631336</v>
      </c>
      <c r="AC1008" s="105" t="e">
        <f>IF($S$883&gt;0,IPMT('Assumptions (Solar)'!$V$8,Model!AG$1,'Assumptions (Solar)'!$V$11,'Assumptions (Solar)'!$V$6*Model!$S$883*('Assumptions (Solar)'!$Q$18*'Assumptions (Solar)'!$Q$2+'Assumptions (Solar)'!$Q$19*'Assumptions (Solar)'!$Q$3)/10^9),0)</f>
        <v>#NUM!</v>
      </c>
      <c r="AD1008" s="105" t="e">
        <f>IF($S$883&gt;0,IPMT('Assumptions (Solar)'!$V$8,Model!AH$1,'Assumptions (Solar)'!$V$11,'Assumptions (Solar)'!$V$6*Model!$S$883*('Assumptions (Solar)'!$Q$18*'Assumptions (Solar)'!$Q$2+'Assumptions (Solar)'!$Q$19*'Assumptions (Solar)'!$Q$3)/10^9),0)</f>
        <v>#NUM!</v>
      </c>
      <c r="AE1008" s="105" t="e">
        <f>IF($S$883&gt;0,IPMT('Assumptions (Solar)'!$V$8,Model!AI$1,'Assumptions (Solar)'!$V$11,'Assumptions (Solar)'!$V$6*Model!$S$883*('Assumptions (Solar)'!$Q$18*'Assumptions (Solar)'!$Q$2+'Assumptions (Solar)'!$Q$19*'Assumptions (Solar)'!$Q$3)/10^9),0)</f>
        <v>#NUM!</v>
      </c>
      <c r="AF1008" s="105" t="e">
        <f>IF($S$883&gt;0,IPMT('Assumptions (Solar)'!$V$8,Model!AJ$1,'Assumptions (Solar)'!$V$11,'Assumptions (Solar)'!$V$6*Model!$S$883*('Assumptions (Solar)'!$Q$18*'Assumptions (Solar)'!$Q$2+'Assumptions (Solar)'!$Q$19*'Assumptions (Solar)'!$Q$3)/10^9),0)</f>
        <v>#NUM!</v>
      </c>
      <c r="AG1008" s="105" t="e">
        <f>IF($S$883&gt;0,IPMT('Assumptions (Solar)'!$V$8,Model!AK$1,'Assumptions (Solar)'!$V$11,'Assumptions (Solar)'!$V$6*Model!$S$883*('Assumptions (Solar)'!$Q$18*'Assumptions (Solar)'!$Q$2+'Assumptions (Solar)'!$Q$19*'Assumptions (Solar)'!$Q$3)/10^9),0)</f>
        <v>#NUM!</v>
      </c>
      <c r="AH1008" s="105"/>
      <c r="AI1008" s="105"/>
      <c r="AJ1008" s="105"/>
      <c r="AK1008" s="105"/>
      <c r="AL1008" s="105"/>
      <c r="AM1008" s="105"/>
      <c r="AN1008" s="105"/>
      <c r="AO1008" s="105"/>
      <c r="AP1008" s="105"/>
      <c r="AQ1008" s="105"/>
      <c r="AU1008" s="105"/>
      <c r="AV1008" s="105"/>
      <c r="AW1008" s="105"/>
      <c r="AX1008" s="105"/>
      <c r="AY1008" s="105"/>
      <c r="AZ1008" s="105"/>
      <c r="BA1008" s="105"/>
    </row>
    <row r="1009" spans="1:59" ht="15.75" hidden="1" customHeight="1" outlineLevel="1">
      <c r="A1009" s="401"/>
      <c r="B1009" s="99"/>
      <c r="C1009" s="105"/>
      <c r="D1009" s="105"/>
      <c r="E1009" s="105"/>
      <c r="F1009" s="105"/>
      <c r="G1009" s="105"/>
      <c r="H1009" s="105"/>
      <c r="I1009" s="105"/>
      <c r="J1009" s="105"/>
      <c r="K1009" s="105"/>
      <c r="L1009" s="105"/>
      <c r="M1009" s="105"/>
      <c r="N1009" s="105"/>
      <c r="O1009" s="105"/>
      <c r="P1009" s="171"/>
      <c r="Q1009" s="105"/>
      <c r="R1009" s="91"/>
      <c r="S1009" s="91"/>
      <c r="T1009" s="105">
        <f>IF($T$883&gt;0,IPMT('Assumptions (Solar)'!$V$8,Model!W$1,'Assumptions (Solar)'!$V$11,'Assumptions (Solar)'!$V$6*Model!$T$883*('Assumptions (Solar)'!$R$18*'Assumptions (Solar)'!$R$2+'Assumptions (Solar)'!$R$19*'Assumptions (Solar)'!$R$3)/10^9),0)</f>
        <v>-0.58290419715572361</v>
      </c>
      <c r="U1009" s="105">
        <f>IF($T$883&gt;0,IPMT('Assumptions (Solar)'!$V$8,Model!X$1,'Assumptions (Solar)'!$V$11,'Assumptions (Solar)'!$V$6*Model!$T$883*('Assumptions (Solar)'!$R$18*'Assumptions (Solar)'!$R$2+'Assumptions (Solar)'!$R$19*'Assumptions (Solar)'!$R$3)/10^9),0)</f>
        <v>-0.54266661846668474</v>
      </c>
      <c r="V1009" s="105">
        <f>IF($T$883&gt;0,IPMT('Assumptions (Solar)'!$V$8,Model!Y$1,'Assumptions (Solar)'!$V$11,'Assumptions (Solar)'!$V$6*Model!$T$883*('Assumptions (Solar)'!$R$18*'Assumptions (Solar)'!$R$2+'Assumptions (Solar)'!$R$19*'Assumptions (Solar)'!$R$3)/10^9),0)</f>
        <v>-0.49921003348252274</v>
      </c>
      <c r="W1009" s="105">
        <f>IF($T$883&gt;0,IPMT('Assumptions (Solar)'!$V$8,Model!Z$1,'Assumptions (Solar)'!$V$11,'Assumptions (Solar)'!$V$6*Model!$T$883*('Assumptions (Solar)'!$R$18*'Assumptions (Solar)'!$R$2+'Assumptions (Solar)'!$R$19*'Assumptions (Solar)'!$R$3)/10^9),0)</f>
        <v>-0.45227692169962774</v>
      </c>
      <c r="X1009" s="105">
        <f>IF($T$883&gt;0,IPMT('Assumptions (Solar)'!$V$8,Model!AA$1,'Assumptions (Solar)'!$V$11,'Assumptions (Solar)'!$V$6*Model!$T$883*('Assumptions (Solar)'!$R$18*'Assumptions (Solar)'!$R$2+'Assumptions (Solar)'!$R$19*'Assumptions (Solar)'!$R$3)/10^9),0)</f>
        <v>-0.4015891609741013</v>
      </c>
      <c r="Y1009" s="105">
        <f>IF($T$883&gt;0,IPMT('Assumptions (Solar)'!$V$8,Model!AB$1,'Assumptions (Solar)'!$V$11,'Assumptions (Solar)'!$V$6*Model!$T$883*('Assumptions (Solar)'!$R$18*'Assumptions (Solar)'!$R$2+'Assumptions (Solar)'!$R$19*'Assumptions (Solar)'!$R$3)/10^9),0)</f>
        <v>-0.3468463793905327</v>
      </c>
      <c r="Z1009" s="105">
        <f>IF($T$883&gt;0,IPMT('Assumptions (Solar)'!$V$8,Model!AC$1,'Assumptions (Solar)'!$V$11,'Assumptions (Solar)'!$V$6*Model!$T$883*('Assumptions (Solar)'!$R$18*'Assumptions (Solar)'!$R$2+'Assumptions (Solar)'!$R$19*'Assumptions (Solar)'!$R$3)/10^9),0)</f>
        <v>-0.28772417528027855</v>
      </c>
      <c r="AA1009" s="105">
        <f>IF($T$883&gt;0,IPMT('Assumptions (Solar)'!$V$8,Model!AD$1,'Assumptions (Solar)'!$V$11,'Assumptions (Solar)'!$V$6*Model!$T$883*('Assumptions (Solar)'!$R$18*'Assumptions (Solar)'!$R$2+'Assumptions (Solar)'!$R$19*'Assumptions (Solar)'!$R$3)/10^9),0)</f>
        <v>-0.22387219484120413</v>
      </c>
      <c r="AB1009" s="105">
        <f>IF($T$883&gt;0,IPMT('Assumptions (Solar)'!$V$8,Model!AE$1,'Assumptions (Solar)'!$V$11,'Assumptions (Solar)'!$V$6*Model!$T$883*('Assumptions (Solar)'!$R$18*'Assumptions (Solar)'!$R$2+'Assumptions (Solar)'!$R$19*'Assumptions (Solar)'!$R$3)/10^9),0)</f>
        <v>-0.15491205596700375</v>
      </c>
      <c r="AC1009" s="105">
        <f>IF($T$883&gt;0,IPMT('Assumptions (Solar)'!$V$8,Model!AF$1,'Assumptions (Solar)'!$V$11,'Assumptions (Solar)'!$V$6*Model!$T$883*('Assumptions (Solar)'!$R$18*'Assumptions (Solar)'!$R$2+'Assumptions (Solar)'!$R$19*'Assumptions (Solar)'!$R$3)/10^9),0)</f>
        <v>-8.0435105982867336E-2</v>
      </c>
      <c r="AD1009" s="105" t="e">
        <f>IF($T$883&gt;0,IPMT('Assumptions (Solar)'!$V$8,Model!AG$1,'Assumptions (Solar)'!$V$11,'Assumptions (Solar)'!$V$6*Model!$T$883*('Assumptions (Solar)'!$R$18*'Assumptions (Solar)'!$R$2+'Assumptions (Solar)'!$R$19*'Assumptions (Solar)'!$R$3)/10^9),0)</f>
        <v>#NUM!</v>
      </c>
      <c r="AE1009" s="105" t="e">
        <f>IF($T$883&gt;0,IPMT('Assumptions (Solar)'!$V$8,Model!AH$1,'Assumptions (Solar)'!$V$11,'Assumptions (Solar)'!$V$6*Model!$T$883*('Assumptions (Solar)'!$R$18*'Assumptions (Solar)'!$R$2+'Assumptions (Solar)'!$R$19*'Assumptions (Solar)'!$R$3)/10^9),0)</f>
        <v>#NUM!</v>
      </c>
      <c r="AF1009" s="105" t="e">
        <f>IF($T$883&gt;0,IPMT('Assumptions (Solar)'!$V$8,Model!AI$1,'Assumptions (Solar)'!$V$11,'Assumptions (Solar)'!$V$6*Model!$T$883*('Assumptions (Solar)'!$R$18*'Assumptions (Solar)'!$R$2+'Assumptions (Solar)'!$R$19*'Assumptions (Solar)'!$R$3)/10^9),0)</f>
        <v>#NUM!</v>
      </c>
      <c r="AG1009" s="105" t="e">
        <f>IF($T$883&gt;0,IPMT('Assumptions (Solar)'!$V$8,Model!AJ$1,'Assumptions (Solar)'!$V$11,'Assumptions (Solar)'!$V$6*Model!$T$883*('Assumptions (Solar)'!$R$18*'Assumptions (Solar)'!$R$2+'Assumptions (Solar)'!$R$19*'Assumptions (Solar)'!$R$3)/10^9),0)</f>
        <v>#NUM!</v>
      </c>
      <c r="AH1009" s="105" t="e">
        <f>IF($T$883&gt;0,IPMT('Assumptions (Solar)'!$V$8,Model!AK$1,'Assumptions (Solar)'!$V$11,'Assumptions (Solar)'!$V$6*Model!$T$883*('Assumptions (Solar)'!$R$18*'Assumptions (Solar)'!$R$2+'Assumptions (Solar)'!$R$19*'Assumptions (Solar)'!$R$3)/10^9),0)</f>
        <v>#NUM!</v>
      </c>
      <c r="AI1009" s="105"/>
      <c r="AJ1009" s="105"/>
      <c r="AK1009" s="105"/>
      <c r="AL1009" s="105"/>
      <c r="AM1009" s="105"/>
      <c r="AN1009" s="105"/>
      <c r="AO1009" s="105"/>
      <c r="AP1009" s="105"/>
      <c r="AQ1009" s="105"/>
      <c r="AR1009" s="105"/>
      <c r="AU1009" s="105"/>
      <c r="AV1009" s="105"/>
      <c r="AW1009" s="105"/>
      <c r="AX1009" s="105"/>
      <c r="AY1009" s="105"/>
      <c r="AZ1009" s="105"/>
      <c r="BA1009" s="105"/>
    </row>
    <row r="1010" spans="1:59" ht="15.75" hidden="1" customHeight="1" outlineLevel="1">
      <c r="A1010" s="401"/>
      <c r="B1010" s="99"/>
      <c r="C1010" s="105"/>
      <c r="D1010" s="105"/>
      <c r="E1010" s="105"/>
      <c r="F1010" s="105"/>
      <c r="G1010" s="105"/>
      <c r="H1010" s="105"/>
      <c r="I1010" s="105"/>
      <c r="J1010" s="105"/>
      <c r="K1010" s="105"/>
      <c r="L1010" s="105"/>
      <c r="M1010" s="105"/>
      <c r="N1010" s="105"/>
      <c r="O1010" s="105"/>
      <c r="P1010" s="171"/>
      <c r="Q1010" s="105"/>
      <c r="R1010" s="91"/>
      <c r="S1010" s="91"/>
      <c r="T1010" s="91"/>
      <c r="U1010" s="105">
        <f>IF($U$883&gt;0,IPMT('Assumptions (Solar)'!$V$8,Model!W$1,'Assumptions (Solar)'!$V$11,'Assumptions (Solar)'!$V$6*Model!$U$883*('Assumptions (Solar)'!$S$18*'Assumptions (Solar)'!$S$2+'Assumptions (Solar)'!$S$19*'Assumptions (Solar)'!$S$3)/10^9),0)</f>
        <v>-0.62378382039831493</v>
      </c>
      <c r="V1010" s="105">
        <f>IF($U$883&gt;0,IPMT('Assumptions (Solar)'!$V$8,Model!X$1,'Assumptions (Solar)'!$V$11,'Assumptions (Solar)'!$V$6*Model!$U$883*('Assumptions (Solar)'!$S$18*'Assumptions (Solar)'!$S$2+'Assumptions (Solar)'!$S$19*'Assumptions (Solar)'!$S$3)/10^9),0)</f>
        <v>-0.58072434221871105</v>
      </c>
      <c r="W1010" s="105">
        <f>IF($U$883&gt;0,IPMT('Assumptions (Solar)'!$V$8,Model!Y$1,'Assumptions (Solar)'!$V$11,'Assumptions (Solar)'!$V$6*Model!$U$883*('Assumptions (Solar)'!$S$18*'Assumptions (Solar)'!$S$2+'Assumptions (Solar)'!$S$19*'Assumptions (Solar)'!$S$3)/10^9),0)</f>
        <v>-0.53422010578473855</v>
      </c>
      <c r="X1010" s="105">
        <f>IF($U$883&gt;0,IPMT('Assumptions (Solar)'!$V$8,Model!Z$1,'Assumptions (Solar)'!$V$11,'Assumptions (Solar)'!$V$6*Model!$U$883*('Assumptions (Solar)'!$S$18*'Assumptions (Solar)'!$S$2+'Assumptions (Solar)'!$S$19*'Assumptions (Solar)'!$S$3)/10^9),0)</f>
        <v>-0.48399553043604843</v>
      </c>
      <c r="Y1010" s="105">
        <f>IF($U$883&gt;0,IPMT('Assumptions (Solar)'!$V$8,Model!AA$1,'Assumptions (Solar)'!$V$11,'Assumptions (Solar)'!$V$6*Model!$U$883*('Assumptions (Solar)'!$S$18*'Assumptions (Solar)'!$S$2+'Assumptions (Solar)'!$S$19*'Assumptions (Solar)'!$S$3)/10^9),0)</f>
        <v>-0.42975298905946313</v>
      </c>
      <c r="Z1010" s="105">
        <f>IF($U$883&gt;0,IPMT('Assumptions (Solar)'!$V$8,Model!AB$1,'Assumptions (Solar)'!$V$11,'Assumptions (Solar)'!$V$6*Model!$U$883*('Assumptions (Solar)'!$S$18*'Assumptions (Solar)'!$S$2+'Assumptions (Solar)'!$S$19*'Assumptions (Solar)'!$S$3)/10^9),0)</f>
        <v>-0.37117104437275106</v>
      </c>
      <c r="AA1010" s="105">
        <f>IF($U$883&gt;0,IPMT('Assumptions (Solar)'!$V$8,Model!AC$1,'Assumptions (Solar)'!$V$11,'Assumptions (Solar)'!$V$6*Model!$U$883*('Assumptions (Solar)'!$S$18*'Assumptions (Solar)'!$S$2+'Assumptions (Solar)'!$S$19*'Assumptions (Solar)'!$S$3)/10^9),0)</f>
        <v>-0.30790254411110185</v>
      </c>
      <c r="AB1010" s="105">
        <f>IF($U$883&gt;0,IPMT('Assumptions (Solar)'!$V$8,Model!AD$1,'Assumptions (Solar)'!$V$11,'Assumptions (Solar)'!$V$6*Model!$U$883*('Assumptions (Solar)'!$S$18*'Assumptions (Solar)'!$S$2+'Assumptions (Solar)'!$S$19*'Assumptions (Solar)'!$S$3)/10^9),0)</f>
        <v>-0.2395725638285208</v>
      </c>
      <c r="AC1010" s="105">
        <f>IF($U$883&gt;0,IPMT('Assumptions (Solar)'!$V$8,Model!AE$1,'Assumptions (Solar)'!$V$11,'Assumptions (Solar)'!$V$6*Model!$U$883*('Assumptions (Solar)'!$S$18*'Assumptions (Solar)'!$S$2+'Assumptions (Solar)'!$S$19*'Assumptions (Solar)'!$S$3)/10^9),0)</f>
        <v>-0.16577618512333328</v>
      </c>
      <c r="AD1010" s="105">
        <f>IF($U$883&gt;0,IPMT('Assumptions (Solar)'!$V$8,Model!AF$1,'Assumptions (Solar)'!$V$11,'Assumptions (Solar)'!$V$6*Model!$U$883*('Assumptions (Solar)'!$S$18*'Assumptions (Solar)'!$S$2+'Assumptions (Solar)'!$S$19*'Assumptions (Solar)'!$S$3)/10^9),0)</f>
        <v>-8.6076096121730727E-2</v>
      </c>
      <c r="AE1010" s="105" t="e">
        <f>IF($U$883&gt;0,IPMT('Assumptions (Solar)'!$V$8,Model!AG$1,'Assumptions (Solar)'!$V$11,'Assumptions (Solar)'!$V$6*Model!$U$883*('Assumptions (Solar)'!$S$18*'Assumptions (Solar)'!$S$2+'Assumptions (Solar)'!$S$19*'Assumptions (Solar)'!$S$3)/10^9),0)</f>
        <v>#NUM!</v>
      </c>
      <c r="AF1010" s="105" t="e">
        <f>IF($U$883&gt;0,IPMT('Assumptions (Solar)'!$V$8,Model!AH$1,'Assumptions (Solar)'!$V$11,'Assumptions (Solar)'!$V$6*Model!$U$883*('Assumptions (Solar)'!$S$18*'Assumptions (Solar)'!$S$2+'Assumptions (Solar)'!$S$19*'Assumptions (Solar)'!$S$3)/10^9),0)</f>
        <v>#NUM!</v>
      </c>
      <c r="AG1010" s="105" t="e">
        <f>IF($U$883&gt;0,IPMT('Assumptions (Solar)'!$V$8,Model!AI$1,'Assumptions (Solar)'!$V$11,'Assumptions (Solar)'!$V$6*Model!$U$883*('Assumptions (Solar)'!$S$18*'Assumptions (Solar)'!$S$2+'Assumptions (Solar)'!$S$19*'Assumptions (Solar)'!$S$3)/10^9),0)</f>
        <v>#NUM!</v>
      </c>
      <c r="AH1010" s="105" t="e">
        <f>IF($U$883&gt;0,IPMT('Assumptions (Solar)'!$V$8,Model!AJ$1,'Assumptions (Solar)'!$V$11,'Assumptions (Solar)'!$V$6*Model!$U$883*('Assumptions (Solar)'!$S$18*'Assumptions (Solar)'!$S$2+'Assumptions (Solar)'!$S$19*'Assumptions (Solar)'!$S$3)/10^9),0)</f>
        <v>#NUM!</v>
      </c>
      <c r="AI1010" s="105" t="e">
        <f>IF($U$883&gt;0,IPMT('Assumptions (Solar)'!$V$8,Model!AK$1,'Assumptions (Solar)'!$V$11,'Assumptions (Solar)'!$V$6*Model!$U$883*('Assumptions (Solar)'!$S$18*'Assumptions (Solar)'!$S$2+'Assumptions (Solar)'!$S$19*'Assumptions (Solar)'!$S$3)/10^9),0)</f>
        <v>#NUM!</v>
      </c>
      <c r="AJ1010" s="105"/>
      <c r="AK1010" s="105"/>
      <c r="AL1010" s="105"/>
      <c r="AM1010" s="105"/>
      <c r="AN1010" s="105"/>
      <c r="AO1010" s="105"/>
      <c r="AP1010" s="105"/>
      <c r="AQ1010" s="105"/>
      <c r="AR1010" s="105"/>
      <c r="AS1010" s="105"/>
      <c r="AU1010" s="105"/>
      <c r="AV1010" s="105"/>
      <c r="AW1010" s="105"/>
      <c r="AX1010" s="105"/>
      <c r="AY1010" s="105"/>
      <c r="AZ1010" s="105"/>
      <c r="BA1010" s="105"/>
    </row>
    <row r="1011" spans="1:59" ht="15.75" hidden="1" customHeight="1" outlineLevel="1">
      <c r="A1011" s="401"/>
      <c r="B1011" s="99"/>
      <c r="C1011" s="105"/>
      <c r="D1011" s="105"/>
      <c r="E1011" s="105"/>
      <c r="F1011" s="105"/>
      <c r="G1011" s="105"/>
      <c r="H1011" s="105"/>
      <c r="I1011" s="105"/>
      <c r="J1011" s="105"/>
      <c r="K1011" s="105"/>
      <c r="L1011" s="105"/>
      <c r="M1011" s="105"/>
      <c r="N1011" s="105"/>
      <c r="O1011" s="105"/>
      <c r="P1011" s="171"/>
      <c r="Q1011" s="105"/>
      <c r="R1011" s="91"/>
      <c r="S1011" s="91"/>
      <c r="T1011" s="91"/>
      <c r="U1011" s="105"/>
      <c r="V1011" s="105">
        <f>IF($V$883&gt;0,IPMT('Assumptions (Solar)'!$V$8,Model!W$1,'Assumptions (Solar)'!$V$11,'Assumptions (Solar)'!$V$6*Model!$V$883*('Assumptions (Solar)'!$T$18*'Assumptions (Solar)'!$T$2+'Assumptions (Solar)'!$T$19*'Assumptions (Solar)'!$T$3)/10^9),0)</f>
        <v>-0.34823238899140518</v>
      </c>
      <c r="W1011" s="105">
        <f>IF($V$883&gt;0,IPMT('Assumptions (Solar)'!$V$8,Model!X$1,'Assumptions (Solar)'!$V$11,'Assumptions (Solar)'!$V$6*Model!$V$883*('Assumptions (Solar)'!$T$18*'Assumptions (Solar)'!$T$2+'Assumptions (Solar)'!$T$19*'Assumptions (Solar)'!$T$3)/10^9),0)</f>
        <v>-0.32419408523156745</v>
      </c>
      <c r="X1011" s="105">
        <f>IF($V$883&gt;0,IPMT('Assumptions (Solar)'!$V$8,Model!Y$1,'Assumptions (Solar)'!$V$11,'Assumptions (Solar)'!$V$6*Model!$V$883*('Assumptions (Solar)'!$T$18*'Assumptions (Solar)'!$T$2+'Assumptions (Solar)'!$T$19*'Assumptions (Solar)'!$T$3)/10^9),0)</f>
        <v>-0.29823271717094263</v>
      </c>
      <c r="Y1011" s="105">
        <f>IF($V$883&gt;0,IPMT('Assumptions (Solar)'!$V$8,Model!Z$1,'Assumptions (Solar)'!$V$11,'Assumptions (Solar)'!$V$6*Model!$V$883*('Assumptions (Solar)'!$T$18*'Assumptions (Solar)'!$T$2+'Assumptions (Solar)'!$T$19*'Assumptions (Solar)'!$T$3)/10^9),0)</f>
        <v>-0.2701944396654678</v>
      </c>
      <c r="Z1011" s="105">
        <f>IF($V$883&gt;0,IPMT('Assumptions (Solar)'!$V$8,Model!AA$1,'Assumptions (Solar)'!$V$11,'Assumptions (Solar)'!$V$6*Model!$V$883*('Assumptions (Solar)'!$T$18*'Assumptions (Solar)'!$T$2+'Assumptions (Solar)'!$T$19*'Assumptions (Solar)'!$T$3)/10^9),0)</f>
        <v>-0.23991309995955504</v>
      </c>
      <c r="AA1011" s="105">
        <f>IF($V$883&gt;0,IPMT('Assumptions (Solar)'!$V$8,Model!AB$1,'Assumptions (Solar)'!$V$11,'Assumptions (Solar)'!$V$6*Model!$V$883*('Assumptions (Solar)'!$T$18*'Assumptions (Solar)'!$T$2+'Assumptions (Solar)'!$T$19*'Assumptions (Solar)'!$T$3)/10^9),0)</f>
        <v>-0.20720925307716928</v>
      </c>
      <c r="AB1011" s="105">
        <f>IF($V$883&gt;0,IPMT('Assumptions (Solar)'!$V$8,Model!AC$1,'Assumptions (Solar)'!$V$11,'Assumptions (Solar)'!$V$6*Model!$V$883*('Assumptions (Solar)'!$T$18*'Assumptions (Solar)'!$T$2+'Assumptions (Solar)'!$T$19*'Assumptions (Solar)'!$T$3)/10^9),0)</f>
        <v>-0.17188909844419262</v>
      </c>
      <c r="AC1011" s="105">
        <f>IF($V$883&gt;0,IPMT('Assumptions (Solar)'!$V$8,Model!AD$1,'Assumptions (Solar)'!$V$11,'Assumptions (Solar)'!$V$6*Model!$V$883*('Assumptions (Solar)'!$T$18*'Assumptions (Solar)'!$T$2+'Assumptions (Solar)'!$T$19*'Assumptions (Solar)'!$T$3)/10^9),0)</f>
        <v>-0.13374333144057782</v>
      </c>
      <c r="AD1011" s="105">
        <f>IF($V$883&gt;0,IPMT('Assumptions (Solar)'!$V$8,Model!AE$1,'Assumptions (Solar)'!$V$11,'Assumptions (Solar)'!$V$6*Model!$V$883*('Assumptions (Solar)'!$T$18*'Assumptions (Solar)'!$T$2+'Assumptions (Solar)'!$T$19*'Assumptions (Solar)'!$T$3)/10^9),0)</f>
        <v>-9.2545903076673874E-2</v>
      </c>
      <c r="AE1011" s="105">
        <f>IF($V$883&gt;0,IPMT('Assumptions (Solar)'!$V$8,Model!AF$1,'Assumptions (Solar)'!$V$11,'Assumptions (Solar)'!$V$6*Model!$V$883*('Assumptions (Solar)'!$T$18*'Assumptions (Solar)'!$T$2+'Assumptions (Solar)'!$T$19*'Assumptions (Solar)'!$T$3)/10^9),0)</f>
        <v>-4.8052680443657583E-2</v>
      </c>
      <c r="AF1011" s="105" t="e">
        <f>IF($V$883&gt;0,IPMT('Assumptions (Solar)'!$V$8,Model!AG$1,'Assumptions (Solar)'!$V$11,'Assumptions (Solar)'!$V$6*Model!$V$883*('Assumptions (Solar)'!$T$18*'Assumptions (Solar)'!$T$2+'Assumptions (Solar)'!$T$19*'Assumptions (Solar)'!$T$3)/10^9),0)</f>
        <v>#NUM!</v>
      </c>
      <c r="AG1011" s="105" t="e">
        <f>IF($V$883&gt;0,IPMT('Assumptions (Solar)'!$V$8,Model!AH$1,'Assumptions (Solar)'!$V$11,'Assumptions (Solar)'!$V$6*Model!$V$883*('Assumptions (Solar)'!$T$18*'Assumptions (Solar)'!$T$2+'Assumptions (Solar)'!$T$19*'Assumptions (Solar)'!$T$3)/10^9),0)</f>
        <v>#NUM!</v>
      </c>
      <c r="AH1011" s="105" t="e">
        <f>IF($V$883&gt;0,IPMT('Assumptions (Solar)'!$V$8,Model!AI$1,'Assumptions (Solar)'!$V$11,'Assumptions (Solar)'!$V$6*Model!$V$883*('Assumptions (Solar)'!$T$18*'Assumptions (Solar)'!$T$2+'Assumptions (Solar)'!$T$19*'Assumptions (Solar)'!$T$3)/10^9),0)</f>
        <v>#NUM!</v>
      </c>
      <c r="AI1011" s="105" t="e">
        <f>IF($V$883&gt;0,IPMT('Assumptions (Solar)'!$V$8,Model!AJ$1,'Assumptions (Solar)'!$V$11,'Assumptions (Solar)'!$V$6*Model!$V$883*('Assumptions (Solar)'!$T$18*'Assumptions (Solar)'!$T$2+'Assumptions (Solar)'!$T$19*'Assumptions (Solar)'!$T$3)/10^9),0)</f>
        <v>#NUM!</v>
      </c>
      <c r="AJ1011" s="105" t="e">
        <f>IF($V$883&gt;0,IPMT('Assumptions (Solar)'!$V$8,Model!AK$1,'Assumptions (Solar)'!$V$11,'Assumptions (Solar)'!$V$6*Model!$V$883*('Assumptions (Solar)'!$T$18*'Assumptions (Solar)'!$T$2+'Assumptions (Solar)'!$T$19*'Assumptions (Solar)'!$T$3)/10^9),0)</f>
        <v>#NUM!</v>
      </c>
      <c r="AK1011" s="105"/>
      <c r="AL1011" s="105"/>
      <c r="AM1011" s="105"/>
      <c r="AN1011" s="105"/>
      <c r="AO1011" s="105"/>
      <c r="AP1011" s="105"/>
      <c r="AQ1011" s="105"/>
      <c r="AR1011" s="105"/>
      <c r="AS1011" s="105"/>
      <c r="AT1011" s="105"/>
      <c r="AU1011" s="105"/>
      <c r="AV1011" s="105"/>
      <c r="AW1011" s="105"/>
      <c r="AX1011" s="105"/>
      <c r="AY1011" s="105"/>
      <c r="AZ1011" s="105"/>
      <c r="BA1011" s="105"/>
    </row>
    <row r="1012" spans="1:59" ht="15.75" hidden="1" customHeight="1" outlineLevel="1">
      <c r="A1012" s="401"/>
      <c r="B1012" s="99"/>
      <c r="C1012" s="99"/>
      <c r="D1012" s="99"/>
      <c r="E1012" s="99"/>
      <c r="F1012" s="99"/>
      <c r="G1012" s="99"/>
      <c r="H1012" s="99"/>
      <c r="I1012" s="99"/>
      <c r="J1012" s="99"/>
      <c r="K1012" s="99"/>
      <c r="L1012" s="99"/>
      <c r="M1012" s="99"/>
      <c r="N1012" s="99"/>
      <c r="O1012" s="99"/>
      <c r="P1012" s="99"/>
      <c r="Q1012" s="99"/>
      <c r="R1012" s="99"/>
      <c r="S1012" s="99"/>
      <c r="T1012" s="99"/>
      <c r="U1012" s="99"/>
      <c r="V1012" s="99"/>
      <c r="W1012" s="105">
        <f>IF($W$883&gt;0,IPMT('Assumptions (Solar)'!$V$8,Model!W$1,'Assumptions (Solar)'!$V$11,'Assumptions (Solar)'!$V$6*Model!$W$883*('Assumptions (Solar)'!$U$18*'Assumptions (Solar)'!$U$2+'Assumptions (Solar)'!$U$19*'Assumptions (Solar)'!$U$3)/10^9),0)</f>
        <v>-1.2003943781312343</v>
      </c>
      <c r="X1012" s="105">
        <f>IF($W$883&gt;0,IPMT('Assumptions (Solar)'!$V$8,Model!X$1,'Assumptions (Solar)'!$V$11,'Assumptions (Solar)'!$V$6*Model!$W$883*('Assumptions (Solar)'!$U$18*'Assumptions (Solar)'!$U$2+'Assumptions (Solar)'!$U$19*'Assumptions (Solar)'!$U$3)/10^9),0)</f>
        <v>-1.1175317679739916</v>
      </c>
      <c r="Y1012" s="105">
        <f>IF($W$883&gt;0,IPMT('Assumptions (Solar)'!$V$8,Model!Y$1,'Assumptions (Solar)'!$V$11,'Assumptions (Solar)'!$V$6*Model!$W$883*('Assumptions (Solar)'!$U$18*'Assumptions (Solar)'!$U$2+'Assumptions (Solar)'!$U$19*'Assumptions (Solar)'!$U$3)/10^9),0)</f>
        <v>-1.0280401490041688</v>
      </c>
      <c r="Z1012" s="105">
        <f>IF($W$883&gt;0,IPMT('Assumptions (Solar)'!$V$8,Model!Z$1,'Assumptions (Solar)'!$V$11,'Assumptions (Solar)'!$V$6*Model!$W$883*('Assumptions (Solar)'!$U$18*'Assumptions (Solar)'!$U$2+'Assumptions (Solar)'!$U$19*'Assumptions (Solar)'!$U$3)/10^9),0)</f>
        <v>-0.93138920051676066</v>
      </c>
      <c r="AA1012" s="105">
        <f>IF($W$883&gt;0,IPMT('Assumptions (Solar)'!$V$8,Model!AA$1,'Assumptions (Solar)'!$V$11,'Assumptions (Solar)'!$V$6*Model!$W$883*('Assumptions (Solar)'!$U$18*'Assumptions (Solar)'!$U$2+'Assumptions (Solar)'!$U$19*'Assumptions (Solar)'!$U$3)/10^9),0)</f>
        <v>-0.82700617615035998</v>
      </c>
      <c r="AB1012" s="105">
        <f>IF($W$883&gt;0,IPMT('Assumptions (Solar)'!$V$8,Model!AB$1,'Assumptions (Solar)'!$V$11,'Assumptions (Solar)'!$V$6*Model!$W$883*('Assumptions (Solar)'!$U$18*'Assumptions (Solar)'!$U$2+'Assumptions (Solar)'!$U$19*'Assumptions (Solar)'!$U$3)/10^9),0)</f>
        <v>-0.71427250983464718</v>
      </c>
      <c r="AC1012" s="105">
        <f>IF($W$883&gt;0,IPMT('Assumptions (Solar)'!$V$8,Model!AC$1,'Assumptions (Solar)'!$V$11,'Assumptions (Solar)'!$V$6*Model!$W$883*('Assumptions (Solar)'!$U$18*'Assumptions (Solar)'!$U$2+'Assumptions (Solar)'!$U$19*'Assumptions (Solar)'!$U$3)/10^9),0)</f>
        <v>-0.59252015021367721</v>
      </c>
      <c r="AD1012" s="105">
        <f>IF($W$883&gt;0,IPMT('Assumptions (Solar)'!$V$8,Model!AD$1,'Assumptions (Solar)'!$V$11,'Assumptions (Solar)'!$V$6*Model!$W$883*('Assumptions (Solar)'!$U$18*'Assumptions (Solar)'!$U$2+'Assumptions (Solar)'!$U$19*'Assumptions (Solar)'!$U$3)/10^9),0)</f>
        <v>-0.46102760182302982</v>
      </c>
      <c r="AE1012" s="105">
        <f>IF($W$883&gt;0,IPMT('Assumptions (Solar)'!$V$8,Model!AE$1,'Assumptions (Solar)'!$V$11,'Assumptions (Solar)'!$V$6*Model!$W$883*('Assumptions (Solar)'!$U$18*'Assumptions (Solar)'!$U$2+'Assumptions (Solar)'!$U$19*'Assumptions (Solar)'!$U$3)/10^9),0)</f>
        <v>-0.31901564956113054</v>
      </c>
      <c r="AF1012" s="105">
        <f>IF($W$883&gt;0,IPMT('Assumptions (Solar)'!$V$8,Model!AF$1,'Assumptions (Solar)'!$V$11,'Assumptions (Solar)'!$V$6*Model!$W$883*('Assumptions (Solar)'!$U$18*'Assumptions (Solar)'!$U$2+'Assumptions (Solar)'!$U$19*'Assumptions (Solar)'!$U$3)/10^9),0)</f>
        <v>-0.16564274111827931</v>
      </c>
      <c r="AG1012" s="105" t="e">
        <f>IF($W$883&gt;0,IPMT('Assumptions (Solar)'!$V$8,Model!AG$1,'Assumptions (Solar)'!$V$11,'Assumptions (Solar)'!$V$6*Model!$W$883*('Assumptions (Solar)'!$U$18*'Assumptions (Solar)'!$U$2+'Assumptions (Solar)'!$U$19*'Assumptions (Solar)'!$U$3)/10^9),0)</f>
        <v>#NUM!</v>
      </c>
      <c r="AH1012" s="105" t="e">
        <f>IF($W$883&gt;0,IPMT('Assumptions (Solar)'!$V$8,Model!AH$1,'Assumptions (Solar)'!$V$11,'Assumptions (Solar)'!$V$6*Model!$W$883*('Assumptions (Solar)'!$U$18*'Assumptions (Solar)'!$U$2+'Assumptions (Solar)'!$U$19*'Assumptions (Solar)'!$U$3)/10^9),0)</f>
        <v>#NUM!</v>
      </c>
      <c r="AI1012" s="105" t="e">
        <f>IF($W$883&gt;0,IPMT('Assumptions (Solar)'!$V$8,Model!AI$1,'Assumptions (Solar)'!$V$11,'Assumptions (Solar)'!$V$6*Model!$W$883*('Assumptions (Solar)'!$U$18*'Assumptions (Solar)'!$U$2+'Assumptions (Solar)'!$U$19*'Assumptions (Solar)'!$U$3)/10^9),0)</f>
        <v>#NUM!</v>
      </c>
      <c r="AJ1012" s="105" t="e">
        <f>IF($W$883&gt;0,IPMT('Assumptions (Solar)'!$V$8,Model!AJ$1,'Assumptions (Solar)'!$V$11,'Assumptions (Solar)'!$V$6*Model!$W$883*('Assumptions (Solar)'!$U$18*'Assumptions (Solar)'!$U$2+'Assumptions (Solar)'!$U$19*'Assumptions (Solar)'!$U$3)/10^9),0)</f>
        <v>#NUM!</v>
      </c>
      <c r="AK1012" s="105" t="e">
        <f>IF($W$883&gt;0,IPMT('Assumptions (Solar)'!$V$8,Model!AK$1,'Assumptions (Solar)'!$V$11,'Assumptions (Solar)'!$V$6*Model!$W$883*('Assumptions (Solar)'!$U$18*'Assumptions (Solar)'!$U$2+'Assumptions (Solar)'!$U$19*'Assumptions (Solar)'!$U$3)/10^9),0)</f>
        <v>#NUM!</v>
      </c>
      <c r="AL1012" s="105"/>
      <c r="AM1012" s="105"/>
      <c r="AN1012" s="105"/>
      <c r="AO1012" s="105"/>
      <c r="AP1012" s="105"/>
      <c r="AQ1012" s="105"/>
      <c r="AR1012" s="105"/>
      <c r="AS1012" s="105"/>
      <c r="AT1012" s="105"/>
      <c r="AU1012" s="105"/>
      <c r="AV1012" s="105"/>
      <c r="AW1012" s="105"/>
      <c r="AX1012" s="105"/>
      <c r="AY1012" s="105"/>
      <c r="AZ1012" s="105"/>
      <c r="BA1012" s="105"/>
    </row>
    <row r="1013" spans="1:59" ht="15.75" hidden="1" customHeight="1" outlineLevel="1">
      <c r="A1013" s="401"/>
      <c r="B1013" s="99"/>
      <c r="C1013" s="99"/>
      <c r="D1013" s="99"/>
      <c r="E1013" s="99"/>
      <c r="F1013" s="99"/>
      <c r="G1013" s="99"/>
      <c r="H1013" s="99"/>
      <c r="I1013" s="99"/>
      <c r="J1013" s="99"/>
      <c r="K1013" s="99"/>
      <c r="L1013" s="99"/>
      <c r="M1013" s="99"/>
      <c r="N1013" s="99"/>
      <c r="O1013" s="99"/>
      <c r="P1013" s="99"/>
      <c r="Q1013" s="99"/>
      <c r="R1013" s="99"/>
      <c r="S1013" s="99"/>
      <c r="T1013" s="99"/>
      <c r="U1013" s="99"/>
      <c r="V1013" s="99"/>
      <c r="W1013" s="105"/>
      <c r="X1013" s="105">
        <f>IF($X$883&gt;0,IPMT('Assumptions (Solar)'!$V$8,Model!W$1,'Assumptions (Solar)'!$V$11,'Assumptions (Solar)'!$V$6*Model!$X$883*('Assumptions (Solar)'!$V$18*'Assumptions (Solar)'!$V$2+'Assumptions (Solar)'!$V$19*'Assumptions (Solar)'!$V$3)/10^9),0)</f>
        <v>-64.657097880623695</v>
      </c>
      <c r="Y1013" s="105">
        <f>IF($X$883&gt;0,IPMT('Assumptions (Solar)'!$V$8,Model!X$1,'Assumptions (Solar)'!$V$11,'Assumptions (Solar)'!$V$6*Model!$X$883*('Assumptions (Solar)'!$V$18*'Assumptions (Solar)'!$V$2+'Assumptions (Solar)'!$V$19*'Assumptions (Solar)'!$V$3)/10^9),0)</f>
        <v>-60.193851473287481</v>
      </c>
      <c r="Z1013" s="105">
        <f>IF($X$883&gt;0,IPMT('Assumptions (Solar)'!$V$8,Model!Y$1,'Assumptions (Solar)'!$V$11,'Assumptions (Solar)'!$V$6*Model!$X$883*('Assumptions (Solar)'!$V$18*'Assumptions (Solar)'!$V$2+'Assumptions (Solar)'!$V$19*'Assumptions (Solar)'!$V$3)/10^9),0)</f>
        <v>-55.373545353364364</v>
      </c>
      <c r="AA1013" s="105">
        <f>IF($X$883&gt;0,IPMT('Assumptions (Solar)'!$V$8,Model!Z$1,'Assumptions (Solar)'!$V$11,'Assumptions (Solar)'!$V$6*Model!$X$883*('Assumptions (Solar)'!$V$18*'Assumptions (Solar)'!$V$2+'Assumptions (Solar)'!$V$19*'Assumptions (Solar)'!$V$3)/10^9),0)</f>
        <v>-50.167614743847402</v>
      </c>
      <c r="AB1013" s="105">
        <f>IF($X$883&gt;0,IPMT('Assumptions (Solar)'!$V$8,Model!AA$1,'Assumptions (Solar)'!$V$11,'Assumptions (Solar)'!$V$6*Model!$X$883*('Assumptions (Solar)'!$V$18*'Assumptions (Solar)'!$V$2+'Assumptions (Solar)'!$V$19*'Assumptions (Solar)'!$V$3)/10^9),0)</f>
        <v>-44.545209685569091</v>
      </c>
      <c r="AC1013" s="105">
        <f>IF($X$883&gt;0,IPMT('Assumptions (Solar)'!$V$8,Model!AB$1,'Assumptions (Solar)'!$V$11,'Assumptions (Solar)'!$V$6*Model!$X$883*('Assumptions (Solar)'!$V$18*'Assumptions (Solar)'!$V$2+'Assumptions (Solar)'!$V$19*'Assumptions (Solar)'!$V$3)/10^9),0)</f>
        <v>-38.473012222628512</v>
      </c>
      <c r="AD1013" s="105">
        <f>IF($X$883&gt;0,IPMT('Assumptions (Solar)'!$V$8,Model!AC$1,'Assumptions (Solar)'!$V$11,'Assumptions (Solar)'!$V$6*Model!$X$883*('Assumptions (Solar)'!$V$18*'Assumptions (Solar)'!$V$2+'Assumptions (Solar)'!$V$19*'Assumptions (Solar)'!$V$3)/10^9),0)</f>
        <v>-31.91503896265268</v>
      </c>
      <c r="AE1013" s="105">
        <f>IF($X$883&gt;0,IPMT('Assumptions (Solar)'!$V$8,Model!AD$1,'Assumptions (Solar)'!$V$11,'Assumptions (Solar)'!$V$6*Model!$X$883*('Assumptions (Solar)'!$V$18*'Assumptions (Solar)'!$V$2+'Assumptions (Solar)'!$V$19*'Assumptions (Solar)'!$V$3)/10^9),0)</f>
        <v>-24.83242784187879</v>
      </c>
      <c r="AF1013" s="105">
        <f>IF($X$883&gt;0,IPMT('Assumptions (Solar)'!$V$8,Model!AE$1,'Assumptions (Solar)'!$V$11,'Assumptions (Solar)'!$V$6*Model!$X$883*('Assumptions (Solar)'!$V$18*'Assumptions (Solar)'!$V$2+'Assumptions (Solar)'!$V$19*'Assumptions (Solar)'!$V$3)/10^9),0)</f>
        <v>-17.183207831442989</v>
      </c>
      <c r="AG1013" s="105">
        <f>IF($X$883&gt;0,IPMT('Assumptions (Solar)'!$V$8,Model!AF$1,'Assumptions (Solar)'!$V$11,'Assumptions (Solar)'!$V$6*Model!$X$883*('Assumptions (Solar)'!$V$18*'Assumptions (Solar)'!$V$2+'Assumptions (Solar)'!$V$19*'Assumptions (Solar)'!$V$3)/10^9),0)</f>
        <v>-8.92205022017232</v>
      </c>
      <c r="AH1013" s="105" t="e">
        <f>IF($X$883&gt;0,IPMT('Assumptions (Solar)'!$V$8,Model!AG$1,'Assumptions (Solar)'!$V$11,'Assumptions (Solar)'!$V$6*Model!$X$883*('Assumptions (Solar)'!$V$18*'Assumptions (Solar)'!$V$2+'Assumptions (Solar)'!$V$19*'Assumptions (Solar)'!$V$3)/10^9),0)</f>
        <v>#NUM!</v>
      </c>
      <c r="AI1013" s="105" t="e">
        <f>IF($X$883&gt;0,IPMT('Assumptions (Solar)'!$V$8,Model!AH$1,'Assumptions (Solar)'!$V$11,'Assumptions (Solar)'!$V$6*Model!$X$883*('Assumptions (Solar)'!$V$18*'Assumptions (Solar)'!$V$2+'Assumptions (Solar)'!$V$19*'Assumptions (Solar)'!$V$3)/10^9),0)</f>
        <v>#NUM!</v>
      </c>
      <c r="AJ1013" s="105" t="e">
        <f>IF($X$883&gt;0,IPMT('Assumptions (Solar)'!$V$8,Model!AI$1,'Assumptions (Solar)'!$V$11,'Assumptions (Solar)'!$V$6*Model!$X$883*('Assumptions (Solar)'!$V$18*'Assumptions (Solar)'!$V$2+'Assumptions (Solar)'!$V$19*'Assumptions (Solar)'!$V$3)/10^9),0)</f>
        <v>#NUM!</v>
      </c>
      <c r="AK1013" s="105" t="e">
        <f>IF($X$883&gt;0,IPMT('Assumptions (Solar)'!$V$8,Model!AJ$1,'Assumptions (Solar)'!$V$11,'Assumptions (Solar)'!$V$6*Model!$X$883*('Assumptions (Solar)'!$V$18*'Assumptions (Solar)'!$V$2+'Assumptions (Solar)'!$V$19*'Assumptions (Solar)'!$V$3)/10^9),0)</f>
        <v>#NUM!</v>
      </c>
      <c r="AL1013" s="105" t="e">
        <f>IF($X$883&gt;0,IPMT('Assumptions (Solar)'!$V$8,Model!AK$1,'Assumptions (Solar)'!$V$11,'Assumptions (Solar)'!$V$6*Model!$X$883*('Assumptions (Solar)'!$V$18*'Assumptions (Solar)'!$V$2+'Assumptions (Solar)'!$V$19*'Assumptions (Solar)'!$V$3)/10^9),0)</f>
        <v>#NUM!</v>
      </c>
      <c r="AM1013" s="105"/>
      <c r="AN1013" s="105"/>
      <c r="AO1013" s="105"/>
      <c r="AP1013" s="105"/>
      <c r="AQ1013" s="105"/>
      <c r="AR1013" s="105"/>
      <c r="AS1013" s="105"/>
      <c r="AT1013" s="105"/>
      <c r="AU1013" s="105"/>
      <c r="AV1013" s="105"/>
      <c r="AW1013" s="105"/>
      <c r="AX1013" s="105"/>
      <c r="AY1013" s="105"/>
      <c r="AZ1013" s="105"/>
      <c r="BA1013" s="105"/>
    </row>
    <row r="1014" spans="1:59" ht="15.75" hidden="1" customHeight="1" outlineLevel="1">
      <c r="A1014" s="401"/>
      <c r="B1014" s="99"/>
      <c r="C1014" s="99"/>
      <c r="D1014" s="99"/>
      <c r="E1014" s="99"/>
      <c r="F1014" s="99"/>
      <c r="G1014" s="99"/>
      <c r="H1014" s="99"/>
      <c r="I1014" s="99"/>
      <c r="J1014" s="99"/>
      <c r="K1014" s="99"/>
      <c r="L1014" s="99"/>
      <c r="M1014" s="99"/>
      <c r="N1014" s="99"/>
      <c r="O1014" s="99"/>
      <c r="P1014" s="99"/>
      <c r="Q1014" s="99"/>
      <c r="R1014" s="99"/>
      <c r="S1014" s="99"/>
      <c r="T1014" s="99"/>
      <c r="U1014" s="99"/>
      <c r="V1014" s="99"/>
      <c r="W1014" s="105"/>
      <c r="X1014" s="105"/>
      <c r="Y1014" s="105">
        <f>IF($Y$883&gt;0,IPMT('Assumptions (Solar)'!$V$8,Model!W$1,'Assumptions (Solar)'!$V$11,'Assumptions (Solar)'!$V$6*Model!$Y$883*('Assumptions (Solar)'!$W$18*'Assumptions (Solar)'!$W$2+'Assumptions (Solar)'!$W$19*'Assumptions (Solar)'!$W$3)/10^9),0)</f>
        <v>-66.182762772978094</v>
      </c>
      <c r="Z1014" s="105">
        <f>IF($Y$883&gt;0,IPMT('Assumptions (Solar)'!$V$8,Model!X$1,'Assumptions (Solar)'!$V$11,'Assumptions (Solar)'!$V$6*Model!$Y$883*('Assumptions (Solar)'!$W$18*'Assumptions (Solar)'!$W$2+'Assumptions (Solar)'!$W$19*'Assumptions (Solar)'!$W$3)/10^9),0)</f>
        <v>-61.61420049819958</v>
      </c>
      <c r="AA1014" s="105">
        <f>IF($Y$883&gt;0,IPMT('Assumptions (Solar)'!$V$8,Model!Y$1,'Assumptions (Solar)'!$V$11,'Assumptions (Solar)'!$V$6*Model!$Y$883*('Assumptions (Solar)'!$W$18*'Assumptions (Solar)'!$W$2+'Assumptions (Solar)'!$W$19*'Assumptions (Solar)'!$W$3)/10^9),0)</f>
        <v>-56.680153241438774</v>
      </c>
      <c r="AB1014" s="105">
        <f>IF($Y$883&gt;0,IPMT('Assumptions (Solar)'!$V$8,Model!Z$1,'Assumptions (Solar)'!$V$11,'Assumptions (Solar)'!$V$6*Model!$Y$883*('Assumptions (Solar)'!$W$18*'Assumptions (Solar)'!$W$2+'Assumptions (Solar)'!$W$19*'Assumptions (Solar)'!$W$3)/10^9),0)</f>
        <v>-51.351382204137117</v>
      </c>
      <c r="AC1014" s="105">
        <f>IF($Y$883&gt;0,IPMT('Assumptions (Solar)'!$V$8,Model!AA$1,'Assumptions (Solar)'!$V$11,'Assumptions (Solar)'!$V$6*Model!$Y$883*('Assumptions (Solar)'!$W$18*'Assumptions (Solar)'!$W$2+'Assumptions (Solar)'!$W$19*'Assumptions (Solar)'!$W$3)/10^9),0)</f>
        <v>-45.596309483851321</v>
      </c>
      <c r="AD1014" s="105">
        <f>IF($Y$883&gt;0,IPMT('Assumptions (Solar)'!$V$8,Model!AB$1,'Assumptions (Solar)'!$V$11,'Assumptions (Solar)'!$V$6*Model!$Y$883*('Assumptions (Solar)'!$W$18*'Assumptions (Solar)'!$W$2+'Assumptions (Solar)'!$W$19*'Assumptions (Solar)'!$W$3)/10^9),0)</f>
        <v>-39.38083094594267</v>
      </c>
      <c r="AE1014" s="105">
        <f>IF($Y$883&gt;0,IPMT('Assumptions (Solar)'!$V$8,Model!AC$1,'Assumptions (Solar)'!$V$11,'Assumptions (Solar)'!$V$6*Model!$Y$883*('Assumptions (Solar)'!$W$18*'Assumptions (Solar)'!$W$2+'Assumptions (Solar)'!$W$19*'Assumptions (Solar)'!$W$3)/10^9),0)</f>
        <v>-32.668114125001317</v>
      </c>
      <c r="AF1014" s="105">
        <f>IF($Y$883&gt;0,IPMT('Assumptions (Solar)'!$V$8,Model!AD$1,'Assumptions (Solar)'!$V$11,'Assumptions (Solar)'!$V$6*Model!$Y$883*('Assumptions (Solar)'!$W$18*'Assumptions (Solar)'!$W$2+'Assumptions (Solar)'!$W$19*'Assumptions (Solar)'!$W$3)/10^9),0)</f>
        <v>-25.418379958384662</v>
      </c>
      <c r="AG1014" s="105">
        <f>IF($Y$883&gt;0,IPMT('Assumptions (Solar)'!$V$8,Model!AE$1,'Assumptions (Solar)'!$V$11,'Assumptions (Solar)'!$V$6*Model!$Y$883*('Assumptions (Solar)'!$W$18*'Assumptions (Solar)'!$W$2+'Assumptions (Solar)'!$W$19*'Assumptions (Solar)'!$W$3)/10^9),0)</f>
        <v>-17.58866705843867</v>
      </c>
      <c r="AH1014" s="105">
        <f>IF($Y$883&gt;0,IPMT('Assumptions (Solar)'!$V$8,Model!AF$1,'Assumptions (Solar)'!$V$11,'Assumptions (Solar)'!$V$6*Model!$Y$883*('Assumptions (Solar)'!$W$18*'Assumptions (Solar)'!$W$2+'Assumptions (Solar)'!$W$19*'Assumptions (Solar)'!$W$3)/10^9),0)</f>
        <v>-9.1325771264970026</v>
      </c>
      <c r="AI1014" s="105" t="e">
        <f>IF($Y$883&gt;0,IPMT('Assumptions (Solar)'!$V$8,Model!AG$1,'Assumptions (Solar)'!$V$11,'Assumptions (Solar)'!$V$6*Model!$Y$883*('Assumptions (Solar)'!$W$18*'Assumptions (Solar)'!$W$2+'Assumptions (Solar)'!$W$19*'Assumptions (Solar)'!$W$3)/10^9),0)</f>
        <v>#NUM!</v>
      </c>
      <c r="AJ1014" s="105" t="e">
        <f>IF($Y$883&gt;0,IPMT('Assumptions (Solar)'!$V$8,Model!AH$1,'Assumptions (Solar)'!$V$11,'Assumptions (Solar)'!$V$6*Model!$Y$883*('Assumptions (Solar)'!$W$18*'Assumptions (Solar)'!$W$2+'Assumptions (Solar)'!$W$19*'Assumptions (Solar)'!$W$3)/10^9),0)</f>
        <v>#NUM!</v>
      </c>
      <c r="AK1014" s="105" t="e">
        <f>IF($Y$883&gt;0,IPMT('Assumptions (Solar)'!$V$8,Model!AI$1,'Assumptions (Solar)'!$V$11,'Assumptions (Solar)'!$V$6*Model!$Y$883*('Assumptions (Solar)'!$W$18*'Assumptions (Solar)'!$W$2+'Assumptions (Solar)'!$W$19*'Assumptions (Solar)'!$W$3)/10^9),0)</f>
        <v>#NUM!</v>
      </c>
      <c r="AL1014" s="105" t="e">
        <f>IF($Y$883&gt;0,IPMT('Assumptions (Solar)'!$V$8,Model!AJ$1,'Assumptions (Solar)'!$V$11,'Assumptions (Solar)'!$V$6*Model!$Y$883*('Assumptions (Solar)'!$W$18*'Assumptions (Solar)'!$W$2+'Assumptions (Solar)'!$W$19*'Assumptions (Solar)'!$W$3)/10^9),0)</f>
        <v>#NUM!</v>
      </c>
      <c r="AM1014" s="105" t="e">
        <f>IF($Y$883&gt;0,IPMT('Assumptions (Solar)'!$V$8,Model!AK$1,'Assumptions (Solar)'!$V$11,'Assumptions (Solar)'!$V$6*Model!$Y$883*('Assumptions (Solar)'!$W$18*'Assumptions (Solar)'!$W$2+'Assumptions (Solar)'!$W$19*'Assumptions (Solar)'!$W$3)/10^9),0)</f>
        <v>#NUM!</v>
      </c>
      <c r="AN1014" s="105"/>
      <c r="AO1014" s="105"/>
      <c r="AP1014" s="105"/>
      <c r="AQ1014" s="105"/>
      <c r="AR1014" s="105"/>
      <c r="AS1014" s="105"/>
      <c r="AT1014" s="105"/>
      <c r="AU1014" s="105"/>
      <c r="AV1014" s="105"/>
      <c r="AW1014" s="105"/>
      <c r="AX1014" s="105"/>
      <c r="AY1014" s="105"/>
      <c r="AZ1014" s="105"/>
      <c r="BA1014" s="105"/>
    </row>
    <row r="1015" spans="1:59" ht="15.75" hidden="1" customHeight="1" outlineLevel="1">
      <c r="A1015" s="401"/>
      <c r="B1015" s="99"/>
      <c r="C1015" s="99"/>
      <c r="D1015" s="99"/>
      <c r="E1015" s="99"/>
      <c r="F1015" s="99"/>
      <c r="G1015" s="99"/>
      <c r="H1015" s="99"/>
      <c r="I1015" s="99"/>
      <c r="J1015" s="99"/>
      <c r="K1015" s="99"/>
      <c r="L1015" s="99"/>
      <c r="M1015" s="99"/>
      <c r="N1015" s="99"/>
      <c r="O1015" s="99"/>
      <c r="P1015" s="99"/>
      <c r="Q1015" s="99"/>
      <c r="R1015" s="99"/>
      <c r="S1015" s="99"/>
      <c r="T1015" s="99"/>
      <c r="U1015" s="99"/>
      <c r="V1015" s="99"/>
      <c r="W1015" s="105"/>
      <c r="X1015" s="105"/>
      <c r="Y1015" s="105"/>
      <c r="Z1015" s="105">
        <f>IF($Z$883&gt;0,IPMT('Assumptions (Solar)'!$V$8,Model!W$1,'Assumptions (Solar)'!$V$11,'Assumptions (Solar)'!$V$6*Model!$Z$883*('Assumptions (Solar)'!$X$18*'Assumptions (Solar)'!$X$2+'Assumptions (Solar)'!$X$19*'Assumptions (Solar)'!$X$3)/10^9),0)</f>
        <v>-68.016359453816719</v>
      </c>
      <c r="AA1015" s="105">
        <f>IF($Z$883&gt;0,IPMT('Assumptions (Solar)'!$V$8,Model!X$1,'Assumptions (Solar)'!$V$11,'Assumptions (Solar)'!$V$6*Model!$Z$883*('Assumptions (Solar)'!$X$18*'Assumptions (Solar)'!$X$2+'Assumptions (Solar)'!$X$19*'Assumptions (Solar)'!$X$3)/10^9),0)</f>
        <v>-63.321224937683247</v>
      </c>
      <c r="AB1015" s="105">
        <f>IF($Z$883&gt;0,IPMT('Assumptions (Solar)'!$V$8,Model!Y$1,'Assumptions (Solar)'!$V$11,'Assumptions (Solar)'!$V$6*Model!$Z$883*('Assumptions (Solar)'!$X$18*'Assumptions (Solar)'!$X$2+'Assumptions (Solar)'!$X$19*'Assumptions (Solar)'!$X$3)/10^9),0)</f>
        <v>-58.25047966025911</v>
      </c>
      <c r="AC1015" s="105">
        <f>IF($Z$883&gt;0,IPMT('Assumptions (Solar)'!$V$8,Model!Z$1,'Assumptions (Solar)'!$V$11,'Assumptions (Solar)'!$V$6*Model!$Z$883*('Assumptions (Solar)'!$X$18*'Assumptions (Solar)'!$X$2+'Assumptions (Solar)'!$X$19*'Assumptions (Solar)'!$X$3)/10^9),0)</f>
        <v>-52.774074760641035</v>
      </c>
      <c r="AD1015" s="105">
        <f>IF($Z$883&gt;0,IPMT('Assumptions (Solar)'!$V$8,Model!AA$1,'Assumptions (Solar)'!$V$11,'Assumptions (Solar)'!$V$6*Model!$Z$883*('Assumptions (Solar)'!$X$18*'Assumptions (Solar)'!$X$2+'Assumptions (Solar)'!$X$19*'Assumptions (Solar)'!$X$3)/10^9),0)</f>
        <v>-46.859557469053527</v>
      </c>
      <c r="AE1015" s="105">
        <f>IF($Z$883&gt;0,IPMT('Assumptions (Solar)'!$V$8,Model!AB$1,'Assumptions (Solar)'!$V$11,'Assumptions (Solar)'!$V$6*Model!$Z$883*('Assumptions (Solar)'!$X$18*'Assumptions (Solar)'!$X$2+'Assumptions (Solar)'!$X$19*'Assumptions (Solar)'!$X$3)/10^9),0)</f>
        <v>-40.471878794139016</v>
      </c>
      <c r="AF1015" s="105">
        <f>IF($Z$883&gt;0,IPMT('Assumptions (Solar)'!$V$8,Model!AC$1,'Assumptions (Solar)'!$V$11,'Assumptions (Solar)'!$V$6*Model!$Z$883*('Assumptions (Solar)'!$X$18*'Assumptions (Solar)'!$X$2+'Assumptions (Solar)'!$X$19*'Assumptions (Solar)'!$X$3)/10^9),0)</f>
        <v>-33.573185825231334</v>
      </c>
      <c r="AG1015" s="105">
        <f>IF($Z$883&gt;0,IPMT('Assumptions (Solar)'!$V$8,Model!AD$1,'Assumptions (Solar)'!$V$11,'Assumptions (Solar)'!$V$6*Model!$Z$883*('Assumptions (Solar)'!$X$18*'Assumptions (Solar)'!$X$2+'Assumptions (Solar)'!$X$19*'Assumptions (Solar)'!$X$3)/10^9),0)</f>
        <v>-26.122597418811051</v>
      </c>
      <c r="AH1015" s="105">
        <f>IF($Z$883&gt;0,IPMT('Assumptions (Solar)'!$V$8,Model!AE$1,'Assumptions (Solar)'!$V$11,'Assumptions (Solar)'!$V$6*Model!$Z$883*('Assumptions (Solar)'!$X$18*'Assumptions (Solar)'!$X$2+'Assumptions (Solar)'!$X$19*'Assumptions (Solar)'!$X$3)/10^9),0)</f>
        <v>-18.075961939877139</v>
      </c>
      <c r="AI1015" s="105">
        <f>IF($Z$883&gt;0,IPMT('Assumptions (Solar)'!$V$8,Model!AF$1,'Assumptions (Solar)'!$V$11,'Assumptions (Solar)'!$V$6*Model!$Z$883*('Assumptions (Solar)'!$X$18*'Assumptions (Solar)'!$X$2+'Assumptions (Solar)'!$X$19*'Assumptions (Solar)'!$X$3)/10^9),0)</f>
        <v>-9.3855956226285144</v>
      </c>
      <c r="AJ1015" s="105" t="e">
        <f>IF($Z$883&gt;0,IPMT('Assumptions (Solar)'!$V$8,Model!AG$1,'Assumptions (Solar)'!$V$11,'Assumptions (Solar)'!$V$6*Model!$Z$883*('Assumptions (Solar)'!$X$18*'Assumptions (Solar)'!$X$2+'Assumptions (Solar)'!$X$19*'Assumptions (Solar)'!$X$3)/10^9),0)</f>
        <v>#NUM!</v>
      </c>
      <c r="AK1015" s="105" t="e">
        <f>IF($Z$883&gt;0,IPMT('Assumptions (Solar)'!$V$8,Model!AH$1,'Assumptions (Solar)'!$V$11,'Assumptions (Solar)'!$V$6*Model!$Z$883*('Assumptions (Solar)'!$X$18*'Assumptions (Solar)'!$X$2+'Assumptions (Solar)'!$X$19*'Assumptions (Solar)'!$X$3)/10^9),0)</f>
        <v>#NUM!</v>
      </c>
      <c r="AL1015" s="105" t="e">
        <f>IF($Z$883&gt;0,IPMT('Assumptions (Solar)'!$V$8,Model!AI$1,'Assumptions (Solar)'!$V$11,'Assumptions (Solar)'!$V$6*Model!$Z$883*('Assumptions (Solar)'!$X$18*'Assumptions (Solar)'!$X$2+'Assumptions (Solar)'!$X$19*'Assumptions (Solar)'!$X$3)/10^9),0)</f>
        <v>#NUM!</v>
      </c>
      <c r="AM1015" s="105" t="e">
        <f>IF($Z$883&gt;0,IPMT('Assumptions (Solar)'!$V$8,Model!AJ$1,'Assumptions (Solar)'!$V$11,'Assumptions (Solar)'!$V$6*Model!$Z$883*('Assumptions (Solar)'!$X$18*'Assumptions (Solar)'!$X$2+'Assumptions (Solar)'!$X$19*'Assumptions (Solar)'!$X$3)/10^9),0)</f>
        <v>#NUM!</v>
      </c>
      <c r="AN1015" s="105" t="e">
        <f>IF($Z$883&gt;0,IPMT('Assumptions (Solar)'!$V$8,Model!AK$1,'Assumptions (Solar)'!$V$11,'Assumptions (Solar)'!$V$6*Model!$Z$883*('Assumptions (Solar)'!$X$18*'Assumptions (Solar)'!$X$2+'Assumptions (Solar)'!$X$19*'Assumptions (Solar)'!$X$3)/10^9),0)</f>
        <v>#NUM!</v>
      </c>
      <c r="AO1015" s="105"/>
      <c r="AP1015" s="105"/>
      <c r="AQ1015" s="105"/>
      <c r="AR1015" s="105"/>
      <c r="AS1015" s="105"/>
      <c r="AT1015" s="105"/>
      <c r="AU1015" s="105"/>
      <c r="AV1015" s="105"/>
      <c r="AW1015" s="105"/>
      <c r="AX1015" s="105"/>
      <c r="AY1015" s="105"/>
      <c r="AZ1015" s="105"/>
      <c r="BA1015" s="105"/>
    </row>
    <row r="1016" spans="1:59" ht="15.75" hidden="1" customHeight="1" outlineLevel="1">
      <c r="A1016" s="401"/>
      <c r="B1016" s="99"/>
      <c r="C1016" s="99"/>
      <c r="D1016" s="99"/>
      <c r="E1016" s="99"/>
      <c r="F1016" s="99"/>
      <c r="G1016" s="99"/>
      <c r="H1016" s="99"/>
      <c r="I1016" s="99"/>
      <c r="J1016" s="99"/>
      <c r="K1016" s="99"/>
      <c r="L1016" s="99"/>
      <c r="M1016" s="99"/>
      <c r="N1016" s="99"/>
      <c r="O1016" s="99"/>
      <c r="P1016" s="99"/>
      <c r="Q1016" s="99"/>
      <c r="R1016" s="99"/>
      <c r="S1016" s="99"/>
      <c r="T1016" s="99"/>
      <c r="U1016" s="99"/>
      <c r="V1016" s="99"/>
      <c r="W1016" s="105"/>
      <c r="X1016" s="105"/>
      <c r="Y1016" s="105"/>
      <c r="Z1016" s="105"/>
      <c r="AA1016" s="105">
        <f>IF($AA$883&gt;0,IPMT('Assumptions (Solar)'!$V$8,Model!W$1,'Assumptions (Solar)'!$V$11,'Assumptions (Solar)'!$V$6*Model!$AA$883*('Assumptions (Solar)'!$Y$18*'Assumptions (Solar)'!$Y$2+'Assumptions (Solar)'!$Y$19*'Assumptions (Solar)'!$Y$3)/10^9),0)</f>
        <v>-69.799606336351857</v>
      </c>
      <c r="AB1016" s="105">
        <f>IF($AA$883&gt;0,IPMT('Assumptions (Solar)'!$V$8,Model!X$1,'Assumptions (Solar)'!$V$11,'Assumptions (Solar)'!$V$6*Model!$AA$883*('Assumptions (Solar)'!$Y$18*'Assumptions (Solar)'!$Y$2+'Assumptions (Solar)'!$Y$19*'Assumptions (Solar)'!$Y$3)/10^9),0)</f>
        <v>-64.981375199696345</v>
      </c>
      <c r="AC1016" s="105">
        <f>IF($AA$883&gt;0,IPMT('Assumptions (Solar)'!$V$8,Model!Y$1,'Assumptions (Solar)'!$V$11,'Assumptions (Solar)'!$V$6*Model!$AA$883*('Assumptions (Solar)'!$Y$18*'Assumptions (Solar)'!$Y$2+'Assumptions (Solar)'!$Y$19*'Assumptions (Solar)'!$Y$3)/10^9),0)</f>
        <v>-59.777685572108389</v>
      </c>
      <c r="AD1016" s="105">
        <f>IF($AA$883&gt;0,IPMT('Assumptions (Solar)'!$V$8,Model!Z$1,'Assumptions (Solar)'!$V$11,'Assumptions (Solar)'!$V$6*Model!$AA$883*('Assumptions (Solar)'!$Y$18*'Assumptions (Solar)'!$Y$2+'Assumptions (Solar)'!$Y$19*'Assumptions (Solar)'!$Y$3)/10^9),0)</f>
        <v>-54.15770077431339</v>
      </c>
      <c r="AE1016" s="105">
        <f>IF($AA$883&gt;0,IPMT('Assumptions (Solar)'!$V$8,Model!AA$1,'Assumptions (Solar)'!$V$11,'Assumptions (Solar)'!$V$6*Model!$AA$883*('Assumptions (Solar)'!$Y$18*'Assumptions (Solar)'!$Y$2+'Assumptions (Solar)'!$Y$19*'Assumptions (Solar)'!$Y$3)/10^9),0)</f>
        <v>-48.088117192694803</v>
      </c>
      <c r="AF1016" s="105">
        <f>IF($AA$883&gt;0,IPMT('Assumptions (Solar)'!$V$8,Model!AB$1,'Assumptions (Solar)'!$V$11,'Assumptions (Solar)'!$V$6*Model!$AA$883*('Assumptions (Solar)'!$Y$18*'Assumptions (Solar)'!$Y$2+'Assumptions (Solar)'!$Y$19*'Assumptions (Solar)'!$Y$3)/10^9),0)</f>
        <v>-41.53296692454672</v>
      </c>
      <c r="AG1016" s="105">
        <f>IF($AA$883&gt;0,IPMT('Assumptions (Solar)'!$V$8,Model!AC$1,'Assumptions (Solar)'!$V$11,'Assumptions (Solar)'!$V$6*Model!$AA$883*('Assumptions (Solar)'!$Y$18*'Assumptions (Solar)'!$Y$2+'Assumptions (Solar)'!$Y$19*'Assumptions (Solar)'!$Y$3)/10^9),0)</f>
        <v>-34.453404634946793</v>
      </c>
      <c r="AH1016" s="105">
        <f>IF($AA$883&gt;0,IPMT('Assumptions (Solar)'!$V$8,Model!AD$1,'Assumptions (Solar)'!$V$11,'Assumptions (Solar)'!$V$6*Model!$AA$883*('Assumptions (Solar)'!$Y$18*'Assumptions (Solar)'!$Y$2+'Assumptions (Solar)'!$Y$19*'Assumptions (Solar)'!$Y$3)/10^9),0)</f>
        <v>-26.807477362178876</v>
      </c>
      <c r="AI1016" s="105">
        <f>IF($AA$883&gt;0,IPMT('Assumptions (Solar)'!$V$8,Model!AE$1,'Assumptions (Solar)'!$V$11,'Assumptions (Solar)'!$V$6*Model!$AA$883*('Assumptions (Solar)'!$Y$18*'Assumptions (Solar)'!$Y$2+'Assumptions (Solar)'!$Y$19*'Assumptions (Solar)'!$Y$3)/10^9),0)</f>
        <v>-18.54987590758952</v>
      </c>
      <c r="AJ1016" s="105">
        <f>IF($AA$883&gt;0,IPMT('Assumptions (Solar)'!$V$8,Model!AF$1,'Assumptions (Solar)'!$V$11,'Assumptions (Solar)'!$V$6*Model!$AA$883*('Assumptions (Solar)'!$Y$18*'Assumptions (Solar)'!$Y$2+'Assumptions (Solar)'!$Y$19*'Assumptions (Solar)'!$Y$3)/10^9),0)</f>
        <v>-9.6316663366330211</v>
      </c>
      <c r="AK1016" s="105" t="e">
        <f>IF($AA$883&gt;0,IPMT('Assumptions (Solar)'!$V$8,Model!AG$1,'Assumptions (Solar)'!$V$11,'Assumptions (Solar)'!$V$6*Model!$AA$883*('Assumptions (Solar)'!$Y$18*'Assumptions (Solar)'!$Y$2+'Assumptions (Solar)'!$Y$19*'Assumptions (Solar)'!$Y$3)/10^9),0)</f>
        <v>#NUM!</v>
      </c>
      <c r="AL1016" s="105" t="e">
        <f>IF($AA$883&gt;0,IPMT('Assumptions (Solar)'!$V$8,Model!AH$1,'Assumptions (Solar)'!$V$11,'Assumptions (Solar)'!$V$6*Model!$AA$883*('Assumptions (Solar)'!$Y$18*'Assumptions (Solar)'!$Y$2+'Assumptions (Solar)'!$Y$19*'Assumptions (Solar)'!$Y$3)/10^9),0)</f>
        <v>#NUM!</v>
      </c>
      <c r="AM1016" s="105" t="e">
        <f>IF($AA$883&gt;0,IPMT('Assumptions (Solar)'!$V$8,Model!AI$1,'Assumptions (Solar)'!$V$11,'Assumptions (Solar)'!$V$6*Model!$AA$883*('Assumptions (Solar)'!$Y$18*'Assumptions (Solar)'!$Y$2+'Assumptions (Solar)'!$Y$19*'Assumptions (Solar)'!$Y$3)/10^9),0)</f>
        <v>#NUM!</v>
      </c>
      <c r="AN1016" s="105" t="e">
        <f>IF($AA$883&gt;0,IPMT('Assumptions (Solar)'!$V$8,Model!AJ$1,'Assumptions (Solar)'!$V$11,'Assumptions (Solar)'!$V$6*Model!$AA$883*('Assumptions (Solar)'!$Y$18*'Assumptions (Solar)'!$Y$2+'Assumptions (Solar)'!$Y$19*'Assumptions (Solar)'!$Y$3)/10^9),0)</f>
        <v>#NUM!</v>
      </c>
      <c r="AO1016" s="105" t="e">
        <f>IF($AA$883&gt;0,IPMT('Assumptions (Solar)'!$V$8,Model!AK$1,'Assumptions (Solar)'!$V$11,'Assumptions (Solar)'!$V$6*Model!$AA$883*('Assumptions (Solar)'!$Y$18*'Assumptions (Solar)'!$Y$2+'Assumptions (Solar)'!$Y$19*'Assumptions (Solar)'!$Y$3)/10^9),0)</f>
        <v>#NUM!</v>
      </c>
      <c r="AP1016" s="105"/>
      <c r="AQ1016" s="105"/>
      <c r="AR1016" s="105"/>
      <c r="AS1016" s="105"/>
      <c r="AT1016" s="105"/>
      <c r="AU1016" s="105"/>
      <c r="AV1016" s="105"/>
      <c r="AW1016" s="105"/>
      <c r="AX1016" s="105"/>
      <c r="AY1016" s="105"/>
      <c r="AZ1016" s="105"/>
      <c r="BA1016" s="105"/>
    </row>
    <row r="1017" spans="1:59" ht="15.75" hidden="1" customHeight="1" outlineLevel="1">
      <c r="A1017" s="401"/>
      <c r="B1017" s="99"/>
      <c r="C1017" s="99"/>
      <c r="D1017" s="99"/>
      <c r="E1017" s="99"/>
      <c r="F1017" s="99"/>
      <c r="G1017" s="99"/>
      <c r="H1017" s="99"/>
      <c r="I1017" s="99"/>
      <c r="J1017" s="99"/>
      <c r="K1017" s="99"/>
      <c r="L1017" s="99"/>
      <c r="M1017" s="99"/>
      <c r="N1017" s="99"/>
      <c r="O1017" s="99"/>
      <c r="P1017" s="99"/>
      <c r="Q1017" s="99"/>
      <c r="R1017" s="99"/>
      <c r="S1017" s="99"/>
      <c r="T1017" s="99"/>
      <c r="U1017" s="99"/>
      <c r="V1017" s="99"/>
      <c r="W1017" s="105"/>
      <c r="X1017" s="105"/>
      <c r="Y1017" s="105"/>
      <c r="Z1017" s="105"/>
      <c r="AA1017" s="105"/>
      <c r="AB1017" s="105">
        <f>IF($AB$883&gt;0,IPMT('Assumptions (Solar)'!$V$8,Model!W$1,'Assumptions (Solar)'!$V$11,'Assumptions (Solar)'!$V$6*Model!$AB$883*('Assumptions (Solar)'!$Z$18*'Assumptions (Solar)'!$Z$2+'Assumptions (Solar)'!$Z$19*'Assumptions (Solar)'!$Z$3)/10^9),0)</f>
        <v>-71.598123721240796</v>
      </c>
      <c r="AC1017" s="105">
        <f>IF($AB$883&gt;0,IPMT('Assumptions (Solar)'!$V$8,Model!X$1,'Assumptions (Solar)'!$V$11,'Assumptions (Solar)'!$V$6*Model!$AB$883*('Assumptions (Solar)'!$Z$18*'Assumptions (Solar)'!$Z$2+'Assumptions (Solar)'!$Z$19*'Assumptions (Solar)'!$Z$3)/10^9),0)</f>
        <v>-66.655741849093587</v>
      </c>
      <c r="AD1017" s="105">
        <f>IF($AB$883&gt;0,IPMT('Assumptions (Solar)'!$V$8,Model!Y$1,'Assumptions (Solar)'!$V$11,'Assumptions (Solar)'!$V$6*Model!$AB$883*('Assumptions (Solar)'!$Z$18*'Assumptions (Solar)'!$Z$2+'Assumptions (Solar)'!$Z$19*'Assumptions (Solar)'!$Z$3)/10^9),0)</f>
        <v>-61.31796942717461</v>
      </c>
      <c r="AE1017" s="105">
        <f>IF($AB$883&gt;0,IPMT('Assumptions (Solar)'!$V$8,Model!Z$1,'Assumptions (Solar)'!$V$11,'Assumptions (Solar)'!$V$6*Model!$AB$883*('Assumptions (Solar)'!$Z$18*'Assumptions (Solar)'!$Z$2+'Assumptions (Solar)'!$Z$19*'Assumptions (Solar)'!$Z$3)/10^9),0)</f>
        <v>-55.553175211502115</v>
      </c>
      <c r="AF1017" s="105">
        <f>IF($AB$883&gt;0,IPMT('Assumptions (Solar)'!$V$8,Model!AA$1,'Assumptions (Solar)'!$V$11,'Assumptions (Solar)'!$V$6*Model!$AB$883*('Assumptions (Solar)'!$Z$18*'Assumptions (Solar)'!$Z$2+'Assumptions (Solar)'!$Z$19*'Assumptions (Solar)'!$Z$3)/10^9),0)</f>
        <v>-49.327197458575824</v>
      </c>
      <c r="AG1017" s="105">
        <f>IF($AB$883&gt;0,IPMT('Assumptions (Solar)'!$V$8,Model!AB$1,'Assumptions (Solar)'!$V$11,'Assumptions (Solar)'!$V$6*Model!$AB$883*('Assumptions (Solar)'!$Z$18*'Assumptions (Solar)'!$Z$2+'Assumptions (Solar)'!$Z$19*'Assumptions (Solar)'!$Z$3)/10^9),0)</f>
        <v>-42.603141485415435</v>
      </c>
      <c r="AH1017" s="105">
        <f>IF($AB$883&gt;0,IPMT('Assumptions (Solar)'!$V$8,Model!AC$1,'Assumptions (Solar)'!$V$11,'Assumptions (Solar)'!$V$6*Model!$AB$883*('Assumptions (Solar)'!$Z$18*'Assumptions (Solar)'!$Z$2+'Assumptions (Solar)'!$Z$19*'Assumptions (Solar)'!$Z$3)/10^9),0)</f>
        <v>-35.341161034402198</v>
      </c>
      <c r="AI1017" s="105">
        <f>IF($AB$883&gt;0,IPMT('Assumptions (Solar)'!$V$8,Model!AD$1,'Assumptions (Solar)'!$V$11,'Assumptions (Solar)'!$V$6*Model!$AB$883*('Assumptions (Solar)'!$Z$18*'Assumptions (Solar)'!$Z$2+'Assumptions (Solar)'!$Z$19*'Assumptions (Solar)'!$Z$3)/10^9),0)</f>
        <v>-27.498222147307917</v>
      </c>
      <c r="AJ1017" s="105">
        <f>IF($AB$883&gt;0,IPMT('Assumptions (Solar)'!$V$8,Model!AE$1,'Assumptions (Solar)'!$V$11,'Assumptions (Solar)'!$V$6*Model!$AB$883*('Assumptions (Solar)'!$Z$18*'Assumptions (Solar)'!$Z$2+'Assumptions (Solar)'!$Z$19*'Assumptions (Solar)'!$Z$3)/10^9),0)</f>
        <v>-19.02784814924609</v>
      </c>
      <c r="AK1017" s="105">
        <f>IF($AB$883&gt;0,IPMT('Assumptions (Solar)'!$V$8,Model!AF$1,'Assumptions (Solar)'!$V$11,'Assumptions (Solar)'!$V$6*Model!$AB$883*('Assumptions (Solar)'!$Z$18*'Assumptions (Solar)'!$Z$2+'Assumptions (Solar)'!$Z$19*'Assumptions (Solar)'!$Z$3)/10^9),0)</f>
        <v>-9.879844231339316</v>
      </c>
      <c r="AL1017" s="105" t="e">
        <f>IF($AB$883&gt;0,IPMT('Assumptions (Solar)'!$V$8,Model!AG$1,'Assumptions (Solar)'!$V$11,'Assumptions (Solar)'!$V$6*Model!$AB$883*('Assumptions (Solar)'!$Z$18*'Assumptions (Solar)'!$Z$2+'Assumptions (Solar)'!$Z$19*'Assumptions (Solar)'!$Z$3)/10^9),0)</f>
        <v>#NUM!</v>
      </c>
      <c r="AM1017" s="105" t="e">
        <f>IF($AB$883&gt;0,IPMT('Assumptions (Solar)'!$V$8,Model!AH$1,'Assumptions (Solar)'!$V$11,'Assumptions (Solar)'!$V$6*Model!$AB$883*('Assumptions (Solar)'!$Z$18*'Assumptions (Solar)'!$Z$2+'Assumptions (Solar)'!$Z$19*'Assumptions (Solar)'!$Z$3)/10^9),0)</f>
        <v>#NUM!</v>
      </c>
      <c r="AN1017" s="105" t="e">
        <f>IF($AB$883&gt;0,IPMT('Assumptions (Solar)'!$V$8,Model!AI$1,'Assumptions (Solar)'!$V$11,'Assumptions (Solar)'!$V$6*Model!$AB$883*('Assumptions (Solar)'!$Z$18*'Assumptions (Solar)'!$Z$2+'Assumptions (Solar)'!$Z$19*'Assumptions (Solar)'!$Z$3)/10^9),0)</f>
        <v>#NUM!</v>
      </c>
      <c r="AO1017" s="105" t="e">
        <f>IF($AB$883&gt;0,IPMT('Assumptions (Solar)'!$V$8,Model!AJ$1,'Assumptions (Solar)'!$V$11,'Assumptions (Solar)'!$V$6*Model!$AB$883*('Assumptions (Solar)'!$Z$18*'Assumptions (Solar)'!$Z$2+'Assumptions (Solar)'!$Z$19*'Assumptions (Solar)'!$Z$3)/10^9),0)</f>
        <v>#NUM!</v>
      </c>
      <c r="AP1017" s="105" t="e">
        <f>IF($AB$883&gt;0,IPMT('Assumptions (Solar)'!$V$8,Model!AK$1,'Assumptions (Solar)'!$V$11,'Assumptions (Solar)'!$V$6*Model!$AB$883*('Assumptions (Solar)'!$Z$18*'Assumptions (Solar)'!$Z$2+'Assumptions (Solar)'!$Z$19*'Assumptions (Solar)'!$Z$3)/10^9),0)</f>
        <v>#NUM!</v>
      </c>
      <c r="AQ1017" s="105"/>
      <c r="AR1017" s="105"/>
      <c r="AS1017" s="105"/>
      <c r="AT1017" s="105"/>
      <c r="AU1017" s="105"/>
      <c r="AV1017" s="105"/>
      <c r="AW1017" s="105"/>
      <c r="AX1017" s="105"/>
      <c r="AY1017" s="105"/>
      <c r="AZ1017" s="105"/>
      <c r="BA1017" s="105"/>
      <c r="BB1017" s="105"/>
    </row>
    <row r="1018" spans="1:59" ht="15.75" hidden="1" customHeight="1" outlineLevel="1">
      <c r="A1018" s="401"/>
      <c r="B1018" s="99"/>
      <c r="C1018" s="99"/>
      <c r="D1018" s="99"/>
      <c r="E1018" s="99"/>
      <c r="F1018" s="99"/>
      <c r="G1018" s="99"/>
      <c r="H1018" s="99"/>
      <c r="I1018" s="99"/>
      <c r="J1018" s="99"/>
      <c r="K1018" s="99"/>
      <c r="L1018" s="99"/>
      <c r="M1018" s="99"/>
      <c r="N1018" s="99"/>
      <c r="O1018" s="99"/>
      <c r="P1018" s="99"/>
      <c r="Q1018" s="99"/>
      <c r="R1018" s="99"/>
      <c r="S1018" s="99"/>
      <c r="T1018" s="99"/>
      <c r="U1018" s="99"/>
      <c r="V1018" s="99"/>
      <c r="W1018" s="105"/>
      <c r="X1018" s="105"/>
      <c r="Y1018" s="105"/>
      <c r="Z1018" s="105"/>
      <c r="AA1018" s="105"/>
      <c r="AB1018" s="105"/>
      <c r="AC1018" s="105">
        <f>IF($AC$883&gt;0,IPMT('Assumptions (Solar)'!$V$8,Model!W$1,'Assumptions (Solar)'!$V$11,'Assumptions (Solar)'!$V$6*Model!$AC$883*('Assumptions (Solar)'!$AA$18*'Assumptions (Solar)'!$AA$2+'Assumptions (Solar)'!$AA$19*'Assumptions (Solar)'!$AA$3)/10^9),0)</f>
        <v>-73.187206713198066</v>
      </c>
      <c r="AD1018" s="105">
        <f>IF($AC$883&gt;0,IPMT('Assumptions (Solar)'!$V$8,Model!X$1,'Assumptions (Solar)'!$V$11,'Assumptions (Solar)'!$V$6*Model!$AC$883*('Assumptions (Solar)'!$AA$18*'Assumptions (Solar)'!$AA$2+'Assumptions (Solar)'!$AA$19*'Assumptions (Solar)'!$AA$3)/10^9),0)</f>
        <v>-68.135131254618841</v>
      </c>
      <c r="AE1018" s="105">
        <f>IF($AC$883&gt;0,IPMT('Assumptions (Solar)'!$V$8,Model!Y$1,'Assumptions (Solar)'!$V$11,'Assumptions (Solar)'!$V$6*Model!$AC$883*('Assumptions (Solar)'!$AA$18*'Assumptions (Solar)'!$AA$2+'Assumptions (Solar)'!$AA$19*'Assumptions (Solar)'!$AA$3)/10^9),0)</f>
        <v>-62.678889759353261</v>
      </c>
      <c r="AF1018" s="105">
        <f>IF($AC$883&gt;0,IPMT('Assumptions (Solar)'!$V$8,Model!Z$1,'Assumptions (Solar)'!$V$11,'Assumptions (Solar)'!$V$6*Model!$AC$883*('Assumptions (Solar)'!$AA$18*'Assumptions (Solar)'!$AA$2+'Assumptions (Solar)'!$AA$19*'Assumptions (Solar)'!$AA$3)/10^9),0)</f>
        <v>-56.78614894446644</v>
      </c>
      <c r="AG1018" s="105">
        <f>IF($AC$883&gt;0,IPMT('Assumptions (Solar)'!$V$8,Model!AA$1,'Assumptions (Solar)'!$V$11,'Assumptions (Solar)'!$V$6*Model!$AC$883*('Assumptions (Solar)'!$AA$18*'Assumptions (Solar)'!$AA$2+'Assumptions (Solar)'!$AA$19*'Assumptions (Solar)'!$AA$3)/10^9),0)</f>
        <v>-50.421988864388688</v>
      </c>
      <c r="AH1018" s="105">
        <f>IF($AC$883&gt;0,IPMT('Assumptions (Solar)'!$V$8,Model!AB$1,'Assumptions (Solar)'!$V$11,'Assumptions (Solar)'!$V$6*Model!$AC$883*('Assumptions (Solar)'!$AA$18*'Assumptions (Solar)'!$AA$2+'Assumptions (Solar)'!$AA$19*'Assumptions (Solar)'!$AA$3)/10^9),0)</f>
        <v>-43.548695977904721</v>
      </c>
      <c r="AI1018" s="105">
        <f>IF($AC$883&gt;0,IPMT('Assumptions (Solar)'!$V$8,Model!AC$1,'Assumptions (Solar)'!$V$11,'Assumptions (Solar)'!$V$6*Model!$AC$883*('Assumptions (Solar)'!$AA$18*'Assumptions (Solar)'!$AA$2+'Assumptions (Solar)'!$AA$19*'Assumptions (Solar)'!$AA$3)/10^9),0)</f>
        <v>-36.125539660502021</v>
      </c>
      <c r="AJ1018" s="105">
        <f>IF($AC$883&gt;0,IPMT('Assumptions (Solar)'!$V$8,Model!AD$1,'Assumptions (Solar)'!$V$11,'Assumptions (Solar)'!$V$6*Model!$AC$883*('Assumptions (Solar)'!$AA$18*'Assumptions (Solar)'!$AA$2+'Assumptions (Solar)'!$AA$19*'Assumptions (Solar)'!$AA$3)/10^9),0)</f>
        <v>-28.108530837707107</v>
      </c>
      <c r="AK1018" s="105">
        <f>IF($AC$883&gt;0,IPMT('Assumptions (Solar)'!$V$8,Model!AE$1,'Assumptions (Solar)'!$V$11,'Assumptions (Solar)'!$V$6*Model!$AC$883*('Assumptions (Solar)'!$AA$18*'Assumptions (Solar)'!$AA$2+'Assumptions (Solar)'!$AA$19*'Assumptions (Solar)'!$AA$3)/10^9),0)</f>
        <v>-19.450161309088607</v>
      </c>
      <c r="AL1018" s="105">
        <f>IF($AC$883&gt;0,IPMT('Assumptions (Solar)'!$V$8,Model!AF$1,'Assumptions (Solar)'!$V$11,'Assumptions (Solar)'!$V$6*Model!$AC$883*('Assumptions (Solar)'!$AA$18*'Assumptions (Solar)'!$AA$2+'Assumptions (Solar)'!$AA$19*'Assumptions (Solar)'!$AA$3)/10^9),0)</f>
        <v>-10.099122218180622</v>
      </c>
      <c r="AM1018" s="105" t="e">
        <f>IF($AC$883&gt;0,IPMT('Assumptions (Solar)'!$V$8,Model!AG$1,'Assumptions (Solar)'!$V$11,'Assumptions (Solar)'!$V$6*Model!$AC$883*('Assumptions (Solar)'!$AA$18*'Assumptions (Solar)'!$AA$2+'Assumptions (Solar)'!$AA$19*'Assumptions (Solar)'!$AA$3)/10^9),0)</f>
        <v>#NUM!</v>
      </c>
      <c r="AN1018" s="105" t="e">
        <f>IF($AC$883&gt;0,IPMT('Assumptions (Solar)'!$V$8,Model!AH$1,'Assumptions (Solar)'!$V$11,'Assumptions (Solar)'!$V$6*Model!$AC$883*('Assumptions (Solar)'!$AA$18*'Assumptions (Solar)'!$AA$2+'Assumptions (Solar)'!$AA$19*'Assumptions (Solar)'!$AA$3)/10^9),0)</f>
        <v>#NUM!</v>
      </c>
      <c r="AO1018" s="105" t="e">
        <f>IF($AC$883&gt;0,IPMT('Assumptions (Solar)'!$V$8,Model!AI$1,'Assumptions (Solar)'!$V$11,'Assumptions (Solar)'!$V$6*Model!$AC$883*('Assumptions (Solar)'!$AA$18*'Assumptions (Solar)'!$AA$2+'Assumptions (Solar)'!$AA$19*'Assumptions (Solar)'!$AA$3)/10^9),0)</f>
        <v>#NUM!</v>
      </c>
      <c r="AP1018" s="105" t="e">
        <f>IF($AC$883&gt;0,IPMT('Assumptions (Solar)'!$V$8,Model!AJ$1,'Assumptions (Solar)'!$V$11,'Assumptions (Solar)'!$V$6*Model!$AC$883*('Assumptions (Solar)'!$AA$18*'Assumptions (Solar)'!$AA$2+'Assumptions (Solar)'!$AA$19*'Assumptions (Solar)'!$AA$3)/10^9),0)</f>
        <v>#NUM!</v>
      </c>
      <c r="AQ1018" s="105" t="e">
        <f>IF($AC$883&gt;0,IPMT('Assumptions (Solar)'!$V$8,Model!AK$1,'Assumptions (Solar)'!$V$11,'Assumptions (Solar)'!$V$6*Model!$AC$883*('Assumptions (Solar)'!$AA$18*'Assumptions (Solar)'!$AA$2+'Assumptions (Solar)'!$AA$19*'Assumptions (Solar)'!$AA$3)/10^9),0)</f>
        <v>#NUM!</v>
      </c>
      <c r="AR1018" s="105"/>
      <c r="AS1018" s="105"/>
      <c r="AT1018" s="105"/>
      <c r="AU1018" s="105"/>
      <c r="AV1018" s="105"/>
      <c r="AW1018" s="105"/>
      <c r="AX1018" s="105"/>
      <c r="AY1018" s="105"/>
      <c r="AZ1018" s="105"/>
      <c r="BA1018" s="105"/>
    </row>
    <row r="1019" spans="1:59" ht="15.75" hidden="1" customHeight="1" outlineLevel="1">
      <c r="A1019" s="401"/>
      <c r="B1019" s="99"/>
      <c r="C1019" s="99"/>
      <c r="D1019" s="99"/>
      <c r="E1019" s="99"/>
      <c r="F1019" s="99"/>
      <c r="G1019" s="99"/>
      <c r="H1019" s="99"/>
      <c r="I1019" s="99"/>
      <c r="J1019" s="99"/>
      <c r="K1019" s="99"/>
      <c r="L1019" s="99"/>
      <c r="M1019" s="99"/>
      <c r="N1019" s="99"/>
      <c r="O1019" s="99"/>
      <c r="P1019" s="99"/>
      <c r="Q1019" s="99"/>
      <c r="R1019" s="99"/>
      <c r="S1019" s="99"/>
      <c r="T1019" s="99"/>
      <c r="U1019" s="99"/>
      <c r="V1019" s="99"/>
      <c r="W1019" s="105"/>
      <c r="X1019" s="105"/>
      <c r="Y1019" s="105"/>
      <c r="Z1019" s="105"/>
      <c r="AA1019" s="105"/>
      <c r="AB1019" s="105"/>
      <c r="AC1019" s="105"/>
      <c r="AD1019" s="105">
        <f>IF($AD$883&gt;0,IPMT('Assumptions (Solar)'!$V$8,Model!W$1,'Assumptions (Solar)'!$V$11,'Assumptions (Solar)'!$V$6*Model!$AD$883*('Assumptions (Solar)'!$AB$18*'Assumptions (Solar)'!$AB$2+'Assumptions (Solar)'!$AB$19*'Assumptions (Solar)'!$AB$3)/10^9),0)</f>
        <v>-74.896902374426034</v>
      </c>
      <c r="AE1019" s="105">
        <f>IF($AD$883&gt;0,IPMT('Assumptions (Solar)'!$V$8,Model!X$1,'Assumptions (Solar)'!$V$11,'Assumptions (Solar)'!$V$6*Model!$AD$883*('Assumptions (Solar)'!$AB$18*'Assumptions (Solar)'!$AB$2+'Assumptions (Solar)'!$AB$19*'Assumptions (Solar)'!$AB$3)/10^9),0)</f>
        <v>-69.726807498524622</v>
      </c>
      <c r="AF1019" s="105">
        <f>IF($AD$883&gt;0,IPMT('Assumptions (Solar)'!$V$8,Model!Y$1,'Assumptions (Solar)'!$V$11,'Assumptions (Solar)'!$V$6*Model!$AD$883*('Assumptions (Solar)'!$AB$18*'Assumptions (Solar)'!$AB$2+'Assumptions (Solar)'!$AB$19*'Assumptions (Solar)'!$AB$3)/10^9),0)</f>
        <v>-64.143105032551105</v>
      </c>
      <c r="AG1019" s="105">
        <f>IF($AD$883&gt;0,IPMT('Assumptions (Solar)'!$V$8,Model!Z$1,'Assumptions (Solar)'!$V$11,'Assumptions (Solar)'!$V$6*Model!$AD$883*('Assumptions (Solar)'!$AB$18*'Assumptions (Solar)'!$AB$2+'Assumptions (Solar)'!$AB$19*'Assumptions (Solar)'!$AB$3)/10^9),0)</f>
        <v>-58.112706369299701</v>
      </c>
      <c r="AH1019" s="105">
        <f>IF($AD$883&gt;0,IPMT('Assumptions (Solar)'!$V$8,Model!AA$1,'Assumptions (Solar)'!$V$11,'Assumptions (Solar)'!$V$6*Model!$AD$883*('Assumptions (Solar)'!$AB$18*'Assumptions (Solar)'!$AB$2+'Assumptions (Solar)'!$AB$19*'Assumptions (Solar)'!$AB$3)/10^9),0)</f>
        <v>-51.599875812988195</v>
      </c>
      <c r="AI1019" s="105">
        <f>IF($AD$883&gt;0,IPMT('Assumptions (Solar)'!$V$8,Model!AB$1,'Assumptions (Solar)'!$V$11,'Assumptions (Solar)'!$V$6*Model!$AD$883*('Assumptions (Solar)'!$AB$18*'Assumptions (Solar)'!$AB$2+'Assumptions (Solar)'!$AB$19*'Assumptions (Solar)'!$AB$3)/10^9),0)</f>
        <v>-44.56601881217177</v>
      </c>
      <c r="AJ1019" s="105">
        <f>IF($AD$883&gt;0,IPMT('Assumptions (Solar)'!$V$8,Model!AC$1,'Assumptions (Solar)'!$V$11,'Assumptions (Solar)'!$V$6*Model!$AD$883*('Assumptions (Solar)'!$AB$18*'Assumptions (Solar)'!$AB$2+'Assumptions (Solar)'!$AB$19*'Assumptions (Solar)'!$AB$3)/10^9),0)</f>
        <v>-36.969453251290027</v>
      </c>
      <c r="AK1019" s="105">
        <f>IF($AD$883&gt;0,IPMT('Assumptions (Solar)'!$V$8,Model!AD$1,'Assumptions (Solar)'!$V$11,'Assumptions (Solar)'!$V$6*Model!$AD$883*('Assumptions (Solar)'!$AB$18*'Assumptions (Solar)'!$AB$2+'Assumptions (Solar)'!$AB$19*'Assumptions (Solar)'!$AB$3)/10^9),0)</f>
        <v>-28.765162445537744</v>
      </c>
      <c r="AL1019" s="105">
        <f>IF($AD$883&gt;0,IPMT('Assumptions (Solar)'!$V$8,Model!AE$1,'Assumptions (Solar)'!$V$11,'Assumptions (Solar)'!$V$6*Model!$AD$883*('Assumptions (Solar)'!$AB$18*'Assumptions (Solar)'!$AB$2+'Assumptions (Solar)'!$AB$19*'Assumptions (Solar)'!$AB$3)/10^9),0)</f>
        <v>-19.904528375325281</v>
      </c>
      <c r="AM1019" s="105">
        <f>IF($AD$883&gt;0,IPMT('Assumptions (Solar)'!$V$8,Model!AF$1,'Assumptions (Solar)'!$V$11,'Assumptions (Solar)'!$V$6*Model!$AD$883*('Assumptions (Solar)'!$AB$18*'Assumptions (Solar)'!$AB$2+'Assumptions (Solar)'!$AB$19*'Assumptions (Solar)'!$AB$3)/10^9),0)</f>
        <v>-10.335043579495819</v>
      </c>
      <c r="AN1019" s="105" t="e">
        <f>IF($AD$883&gt;0,IPMT('Assumptions (Solar)'!$V$8,Model!AG$1,'Assumptions (Solar)'!$V$11,'Assumptions (Solar)'!$V$6*Model!$AD$883*('Assumptions (Solar)'!$AB$18*'Assumptions (Solar)'!$AB$2+'Assumptions (Solar)'!$AB$19*'Assumptions (Solar)'!$AB$3)/10^9),0)</f>
        <v>#NUM!</v>
      </c>
      <c r="AO1019" s="105" t="e">
        <f>IF($AD$883&gt;0,IPMT('Assumptions (Solar)'!$V$8,Model!AH$1,'Assumptions (Solar)'!$V$11,'Assumptions (Solar)'!$V$6*Model!$AD$883*('Assumptions (Solar)'!$AB$18*'Assumptions (Solar)'!$AB$2+'Assumptions (Solar)'!$AB$19*'Assumptions (Solar)'!$AB$3)/10^9),0)</f>
        <v>#NUM!</v>
      </c>
      <c r="AP1019" s="105" t="e">
        <f>IF($AD$883&gt;0,IPMT('Assumptions (Solar)'!$V$8,Model!AI$1,'Assumptions (Solar)'!$V$11,'Assumptions (Solar)'!$V$6*Model!$AD$883*('Assumptions (Solar)'!$AB$18*'Assumptions (Solar)'!$AB$2+'Assumptions (Solar)'!$AB$19*'Assumptions (Solar)'!$AB$3)/10^9),0)</f>
        <v>#NUM!</v>
      </c>
      <c r="AQ1019" s="105" t="e">
        <f>IF($AD$883&gt;0,IPMT('Assumptions (Solar)'!$V$8,Model!AJ$1,'Assumptions (Solar)'!$V$11,'Assumptions (Solar)'!$V$6*Model!$AD$883*('Assumptions (Solar)'!$AB$18*'Assumptions (Solar)'!$AB$2+'Assumptions (Solar)'!$AB$19*'Assumptions (Solar)'!$AB$3)/10^9),0)</f>
        <v>#NUM!</v>
      </c>
      <c r="AR1019" s="105" t="e">
        <f>IF($AD$883&gt;0,IPMT('Assumptions (Solar)'!$V$8,Model!AK$1,'Assumptions (Solar)'!$V$11,'Assumptions (Solar)'!$V$6*Model!$AD$883*('Assumptions (Solar)'!$AB$18*'Assumptions (Solar)'!$AB$2+'Assumptions (Solar)'!$AB$19*'Assumptions (Solar)'!$AB$3)/10^9),0)</f>
        <v>#NUM!</v>
      </c>
      <c r="AS1019" s="105"/>
      <c r="AT1019" s="105"/>
      <c r="AU1019" s="105"/>
      <c r="AV1019" s="105"/>
      <c r="AW1019" s="105"/>
      <c r="AX1019" s="105"/>
      <c r="AY1019" s="105"/>
      <c r="AZ1019" s="105"/>
      <c r="BA1019" s="105"/>
      <c r="BB1019" s="105"/>
    </row>
    <row r="1020" spans="1:59" ht="15.75" hidden="1" customHeight="1" outlineLevel="1">
      <c r="A1020" s="401"/>
      <c r="B1020" s="99"/>
      <c r="C1020" s="99"/>
      <c r="D1020" s="99"/>
      <c r="E1020" s="99"/>
      <c r="F1020" s="99"/>
      <c r="G1020" s="99"/>
      <c r="H1020" s="99"/>
      <c r="I1020" s="99"/>
      <c r="J1020" s="99"/>
      <c r="K1020" s="99"/>
      <c r="L1020" s="99"/>
      <c r="M1020" s="99"/>
      <c r="N1020" s="99"/>
      <c r="O1020" s="99"/>
      <c r="P1020" s="99"/>
      <c r="Q1020" s="99"/>
      <c r="R1020" s="99"/>
      <c r="S1020" s="99"/>
      <c r="T1020" s="99"/>
      <c r="U1020" s="99"/>
      <c r="V1020" s="99"/>
      <c r="W1020" s="105"/>
      <c r="X1020" s="105"/>
      <c r="Y1020" s="105"/>
      <c r="Z1020" s="105"/>
      <c r="AA1020" s="105"/>
      <c r="AB1020" s="105"/>
      <c r="AC1020" s="105"/>
      <c r="AD1020" s="105"/>
      <c r="AE1020" s="105">
        <f>IF($AE$883&gt;0,IPMT('Assumptions (Solar)'!$V$8,Model!W$1,'Assumptions (Solar)'!$V$11,'Assumptions (Solar)'!$V$6*Model!$AE$883*('Assumptions (Solar)'!$AC$18*'Assumptions (Solar)'!$AC$2+'Assumptions (Solar)'!$AC$19*'Assumptions (Solar)'!$AC$3)/10^9),0)</f>
        <v>-76.723567890453268</v>
      </c>
      <c r="AF1020" s="105">
        <f>IF($AE$883&gt;0,IPMT('Assumptions (Solar)'!$V$8,Model!X$1,'Assumptions (Solar)'!$V$11,'Assumptions (Solar)'!$V$6*Model!$AE$883*('Assumptions (Solar)'!$AC$18*'Assumptions (Solar)'!$AC$2+'Assumptions (Solar)'!$AC$19*'Assumptions (Solar)'!$AC$3)/10^9),0)</f>
        <v>-71.427379227959918</v>
      </c>
      <c r="AG1020" s="105">
        <f>IF($AE$883&gt;0,IPMT('Assumptions (Solar)'!$V$8,Model!Y$1,'Assumptions (Solar)'!$V$11,'Assumptions (Solar)'!$V$6*Model!$AE$883*('Assumptions (Solar)'!$AC$18*'Assumptions (Solar)'!$AC$2+'Assumptions (Solar)'!$AC$19*'Assumptions (Solar)'!$AC$3)/10^9),0)</f>
        <v>-65.707495472467116</v>
      </c>
      <c r="AH1020" s="105">
        <f>IF($AE$883&gt;0,IPMT('Assumptions (Solar)'!$V$8,Model!Z$1,'Assumptions (Solar)'!$V$11,'Assumptions (Solar)'!$V$6*Model!$AE$883*('Assumptions (Solar)'!$AC$18*'Assumptions (Solar)'!$AC$2+'Assumptions (Solar)'!$AC$19*'Assumptions (Solar)'!$AC$3)/10^9),0)</f>
        <v>-59.530021016534867</v>
      </c>
      <c r="AI1020" s="105">
        <f>IF($AE$883&gt;0,IPMT('Assumptions (Solar)'!$V$8,Model!AA$1,'Assumptions (Solar)'!$V$11,'Assumptions (Solar)'!$V$6*Model!$AE$883*('Assumptions (Solar)'!$AC$18*'Assumptions (Solar)'!$AC$2+'Assumptions (Solar)'!$AC$19*'Assumptions (Solar)'!$AC$3)/10^9),0)</f>
        <v>-52.858348604128054</v>
      </c>
      <c r="AJ1020" s="105">
        <f>IF($AE$883&gt;0,IPMT('Assumptions (Solar)'!$V$8,Model!AB$1,'Assumptions (Solar)'!$V$11,'Assumptions (Solar)'!$V$6*Model!$AE$883*('Assumptions (Solar)'!$AC$18*'Assumptions (Solar)'!$AC$2+'Assumptions (Solar)'!$AC$19*'Assumptions (Solar)'!$AC$3)/10^9),0)</f>
        <v>-45.652942398728705</v>
      </c>
      <c r="AK1020" s="105">
        <f>IF($AE$883&gt;0,IPMT('Assumptions (Solar)'!$V$8,Model!AC$1,'Assumptions (Solar)'!$V$11,'Assumptions (Solar)'!$V$6*Model!$AE$883*('Assumptions (Solar)'!$AC$18*'Assumptions (Solar)'!$AC$2+'Assumptions (Solar)'!$AC$19*'Assumptions (Solar)'!$AC$3)/10^9),0)</f>
        <v>-37.871103696897386</v>
      </c>
      <c r="AL1020" s="105">
        <f>IF($AE$883&gt;0,IPMT('Assumptions (Solar)'!$V$8,Model!AD$1,'Assumptions (Solar)'!$V$11,'Assumptions (Solar)'!$V$6*Model!$AE$883*('Assumptions (Solar)'!$AC$18*'Assumptions (Solar)'!$AC$2+'Assumptions (Solar)'!$AC$19*'Assumptions (Solar)'!$AC$3)/10^9),0)</f>
        <v>-29.46671789891958</v>
      </c>
      <c r="AM1020" s="105">
        <f>IF($AE$883&gt;0,IPMT('Assumptions (Solar)'!$V$8,Model!AE$1,'Assumptions (Solar)'!$V$11,'Assumptions (Solar)'!$V$6*Model!$AE$883*('Assumptions (Solar)'!$AC$18*'Assumptions (Solar)'!$AC$2+'Assumptions (Solar)'!$AC$19*'Assumptions (Solar)'!$AC$3)/10^9),0)</f>
        <v>-20.389981237103544</v>
      </c>
      <c r="AN1020" s="105">
        <f>IF($AE$883&gt;0,IPMT('Assumptions (Solar)'!$V$8,Model!AF$1,'Assumptions (Solar)'!$V$11,'Assumptions (Solar)'!$V$6*Model!$AE$883*('Assumptions (Solar)'!$AC$18*'Assumptions (Solar)'!$AC$2+'Assumptions (Solar)'!$AC$19*'Assumptions (Solar)'!$AC$3)/10^9),0)</f>
        <v>-10.587105642342223</v>
      </c>
      <c r="AO1020" s="105" t="e">
        <f>IF($AE$883&gt;0,IPMT('Assumptions (Solar)'!$V$8,Model!AG$1,'Assumptions (Solar)'!$V$11,'Assumptions (Solar)'!$V$6*Model!$AE$883*('Assumptions (Solar)'!$AC$18*'Assumptions (Solar)'!$AC$2+'Assumptions (Solar)'!$AC$19*'Assumptions (Solar)'!$AC$3)/10^9),0)</f>
        <v>#NUM!</v>
      </c>
      <c r="AP1020" s="105" t="e">
        <f>IF($AE$883&gt;0,IPMT('Assumptions (Solar)'!$V$8,Model!AH$1,'Assumptions (Solar)'!$V$11,'Assumptions (Solar)'!$V$6*Model!$AE$883*('Assumptions (Solar)'!$AC$18*'Assumptions (Solar)'!$AC$2+'Assumptions (Solar)'!$AC$19*'Assumptions (Solar)'!$AC$3)/10^9),0)</f>
        <v>#NUM!</v>
      </c>
      <c r="AQ1020" s="105" t="e">
        <f>IF($AE$883&gt;0,IPMT('Assumptions (Solar)'!$V$8,Model!AI$1,'Assumptions (Solar)'!$V$11,'Assumptions (Solar)'!$V$6*Model!$AE$883*('Assumptions (Solar)'!$AC$18*'Assumptions (Solar)'!$AC$2+'Assumptions (Solar)'!$AC$19*'Assumptions (Solar)'!$AC$3)/10^9),0)</f>
        <v>#NUM!</v>
      </c>
      <c r="AR1020" s="105" t="e">
        <f>IF($AE$883&gt;0,IPMT('Assumptions (Solar)'!$V$8,Model!AJ$1,'Assumptions (Solar)'!$V$11,'Assumptions (Solar)'!$V$6*Model!$AE$883*('Assumptions (Solar)'!$AC$18*'Assumptions (Solar)'!$AC$2+'Assumptions (Solar)'!$AC$19*'Assumptions (Solar)'!$AC$3)/10^9),0)</f>
        <v>#NUM!</v>
      </c>
      <c r="AS1020" s="105" t="e">
        <f>IF($AE$883&gt;0,IPMT('Assumptions (Solar)'!$V$8,Model!AK$1,'Assumptions (Solar)'!$V$11,'Assumptions (Solar)'!$V$6*Model!$AE$883*('Assumptions (Solar)'!$AC$18*'Assumptions (Solar)'!$AC$2+'Assumptions (Solar)'!$AC$19*'Assumptions (Solar)'!$AC$3)/10^9),0)</f>
        <v>#NUM!</v>
      </c>
      <c r="AT1020" s="105"/>
      <c r="AU1020" s="105"/>
      <c r="AV1020" s="105"/>
      <c r="AW1020" s="105"/>
      <c r="AX1020" s="105"/>
      <c r="AY1020" s="105"/>
      <c r="AZ1020" s="105"/>
      <c r="BA1020" s="105"/>
      <c r="BB1020" s="105"/>
      <c r="BC1020" s="105"/>
    </row>
    <row r="1021" spans="1:59" ht="15.75" hidden="1" customHeight="1" outlineLevel="1">
      <c r="A1021" s="401"/>
      <c r="B1021" s="99"/>
      <c r="C1021" s="99"/>
      <c r="D1021" s="99"/>
      <c r="E1021" s="99"/>
      <c r="F1021" s="99"/>
      <c r="G1021" s="99"/>
      <c r="H1021" s="99"/>
      <c r="I1021" s="99"/>
      <c r="J1021" s="99"/>
      <c r="K1021" s="99"/>
      <c r="L1021" s="99"/>
      <c r="M1021" s="99"/>
      <c r="N1021" s="99"/>
      <c r="O1021" s="99"/>
      <c r="P1021" s="99"/>
      <c r="Q1021" s="99"/>
      <c r="R1021" s="99"/>
      <c r="S1021" s="99"/>
      <c r="T1021" s="99"/>
      <c r="U1021" s="99"/>
      <c r="V1021" s="99"/>
      <c r="W1021" s="105"/>
      <c r="X1021" s="105"/>
      <c r="Y1021" s="105"/>
      <c r="Z1021" s="105"/>
      <c r="AA1021" s="105"/>
      <c r="AB1021" s="105"/>
      <c r="AC1021" s="105"/>
      <c r="AD1021" s="105"/>
      <c r="AE1021" s="105"/>
      <c r="AF1021" s="105">
        <f>IF($AF$883&gt;0,IPMT('Assumptions (Solar)'!$V$8,Model!W$1,'Assumptions (Solar)'!$V$11,'Assumptions (Solar)'!$V$6*Model!$AF$883*('Assumptions (Solar)'!$AD$18*'Assumptions (Solar)'!$AD$2+'Assumptions (Solar)'!$AD$19*'Assumptions (Solar)'!$AD$3)/10^9),0)</f>
        <v>-78.637073927199069</v>
      </c>
      <c r="AG1021" s="105">
        <f>IF($AF$883&gt;0,IPMT('Assumptions (Solar)'!$V$8,Model!X$1,'Assumptions (Solar)'!$V$11,'Assumptions (Solar)'!$V$6*Model!$AF$883*('Assumptions (Solar)'!$AD$18*'Assumptions (Solar)'!$AD$2+'Assumptions (Solar)'!$AD$19*'Assumptions (Solar)'!$AD$3)/10^9),0)</f>
        <v>-73.208796921370393</v>
      </c>
      <c r="AH1021" s="105">
        <f>IF($AF$883&gt;0,IPMT('Assumptions (Solar)'!$V$8,Model!Y$1,'Assumptions (Solar)'!$V$11,'Assumptions (Solar)'!$V$6*Model!$AF$883*('Assumptions (Solar)'!$AD$18*'Assumptions (Solar)'!$AD$2+'Assumptions (Solar)'!$AD$19*'Assumptions (Solar)'!$AD$3)/10^9),0)</f>
        <v>-67.346257755075413</v>
      </c>
      <c r="AI1021" s="105">
        <f>IF($AF$883&gt;0,IPMT('Assumptions (Solar)'!$V$8,Model!Z$1,'Assumptions (Solar)'!$V$11,'Assumptions (Solar)'!$V$6*Model!$AF$883*('Assumptions (Solar)'!$AD$18*'Assumptions (Solar)'!$AD$2+'Assumptions (Solar)'!$AD$19*'Assumptions (Solar)'!$AD$3)/10^9),0)</f>
        <v>-61.014715455476846</v>
      </c>
      <c r="AJ1021" s="105">
        <f>IF($AF$883&gt;0,IPMT('Assumptions (Solar)'!$V$8,Model!AA$1,'Assumptions (Solar)'!$V$11,'Assumptions (Solar)'!$V$6*Model!$AF$883*('Assumptions (Solar)'!$AD$18*'Assumptions (Solar)'!$AD$2+'Assumptions (Solar)'!$AD$19*'Assumptions (Solar)'!$AD$3)/10^9),0)</f>
        <v>-54.176649771910398</v>
      </c>
      <c r="AK1021" s="105">
        <f>IF($AF$883&gt;0,IPMT('Assumptions (Solar)'!$V$8,Model!AB$1,'Assumptions (Solar)'!$V$11,'Assumptions (Solar)'!$V$6*Model!$AF$883*('Assumptions (Solar)'!$AD$18*'Assumptions (Solar)'!$AD$2+'Assumptions (Solar)'!$AD$19*'Assumptions (Solar)'!$AD$3)/10^9),0)</f>
        <v>-46.791538833658642</v>
      </c>
      <c r="AL1021" s="105">
        <f>IF($AF$883&gt;0,IPMT('Assumptions (Solar)'!$V$8,Model!AC$1,'Assumptions (Solar)'!$V$11,'Assumptions (Solar)'!$V$6*Model!$AF$883*('Assumptions (Solar)'!$AD$18*'Assumptions (Solar)'!$AD$2+'Assumptions (Solar)'!$AD$19*'Assumptions (Solar)'!$AD$3)/10^9),0)</f>
        <v>-38.81561902034673</v>
      </c>
      <c r="AM1021" s="105">
        <f>IF($AF$883&gt;0,IPMT('Assumptions (Solar)'!$V$8,Model!AD$1,'Assumptions (Solar)'!$V$11,'Assumptions (Solar)'!$V$6*Model!$AF$883*('Assumptions (Solar)'!$AD$18*'Assumptions (Solar)'!$AD$2+'Assumptions (Solar)'!$AD$19*'Assumptions (Solar)'!$AD$3)/10^9),0)</f>
        <v>-30.201625621969878</v>
      </c>
      <c r="AN1021" s="105">
        <f>IF($AF$883&gt;0,IPMT('Assumptions (Solar)'!$V$8,Model!AE$1,'Assumptions (Solar)'!$V$11,'Assumptions (Solar)'!$V$6*Model!$AF$883*('Assumptions (Solar)'!$AD$18*'Assumptions (Solar)'!$AD$2+'Assumptions (Solar)'!$AD$19*'Assumptions (Solar)'!$AD$3)/10^9),0)</f>
        <v>-20.898512751722873</v>
      </c>
      <c r="AO1021" s="105">
        <f>IF($AF$883&gt;0,IPMT('Assumptions (Solar)'!$V$8,Model!AF$1,'Assumptions (Solar)'!$V$11,'Assumptions (Solar)'!$V$6*Model!$AF$883*('Assumptions (Solar)'!$AD$18*'Assumptions (Solar)'!$AD$2+'Assumptions (Solar)'!$AD$19*'Assumptions (Solar)'!$AD$3)/10^9),0)</f>
        <v>-10.851150851856108</v>
      </c>
      <c r="AP1021" s="105" t="e">
        <f>IF($AF$883&gt;0,IPMT('Assumptions (Solar)'!$V$8,Model!AG$1,'Assumptions (Solar)'!$V$11,'Assumptions (Solar)'!$V$6*Model!$AF$883*('Assumptions (Solar)'!$AD$18*'Assumptions (Solar)'!$AD$2+'Assumptions (Solar)'!$AD$19*'Assumptions (Solar)'!$AD$3)/10^9),0)</f>
        <v>#NUM!</v>
      </c>
      <c r="AQ1021" s="105" t="e">
        <f>IF($AF$883&gt;0,IPMT('Assumptions (Solar)'!$V$8,Model!AH$1,'Assumptions (Solar)'!$V$11,'Assumptions (Solar)'!$V$6*Model!$AF$883*('Assumptions (Solar)'!$AD$18*'Assumptions (Solar)'!$AD$2+'Assumptions (Solar)'!$AD$19*'Assumptions (Solar)'!$AD$3)/10^9),0)</f>
        <v>#NUM!</v>
      </c>
      <c r="AR1021" s="105" t="e">
        <f>IF($AF$883&gt;0,IPMT('Assumptions (Solar)'!$V$8,Model!AI$1,'Assumptions (Solar)'!$V$11,'Assumptions (Solar)'!$V$6*Model!$AF$883*('Assumptions (Solar)'!$AD$18*'Assumptions (Solar)'!$AD$2+'Assumptions (Solar)'!$AD$19*'Assumptions (Solar)'!$AD$3)/10^9),0)</f>
        <v>#NUM!</v>
      </c>
      <c r="AS1021" s="105" t="e">
        <f>IF($AF$883&gt;0,IPMT('Assumptions (Solar)'!$V$8,Model!AJ$1,'Assumptions (Solar)'!$V$11,'Assumptions (Solar)'!$V$6*Model!$AF$883*('Assumptions (Solar)'!$AD$18*'Assumptions (Solar)'!$AD$2+'Assumptions (Solar)'!$AD$19*'Assumptions (Solar)'!$AD$3)/10^9),0)</f>
        <v>#NUM!</v>
      </c>
      <c r="AT1021" s="105" t="e">
        <f>IF($AF$883&gt;0,IPMT('Assumptions (Solar)'!$V$8,Model!AK$1,'Assumptions (Solar)'!$V$11,'Assumptions (Solar)'!$V$6*Model!$AF$883*('Assumptions (Solar)'!$AD$18*'Assumptions (Solar)'!$AD$2+'Assumptions (Solar)'!$AD$19*'Assumptions (Solar)'!$AD$3)/10^9),0)</f>
        <v>#NUM!</v>
      </c>
      <c r="AU1021" s="105"/>
      <c r="AV1021" s="105"/>
      <c r="AW1021" s="105"/>
      <c r="AX1021" s="105"/>
      <c r="AY1021" s="105"/>
      <c r="AZ1021" s="105"/>
      <c r="BA1021" s="105"/>
      <c r="BB1021" s="105"/>
      <c r="BC1021" s="105"/>
      <c r="BD1021" s="105"/>
    </row>
    <row r="1022" spans="1:59" ht="15.75" hidden="1" customHeight="1" outlineLevel="1">
      <c r="A1022" s="401"/>
      <c r="B1022" s="99"/>
      <c r="C1022" s="99"/>
      <c r="D1022" s="99"/>
      <c r="E1022" s="99"/>
      <c r="F1022" s="99"/>
      <c r="G1022" s="99"/>
      <c r="H1022" s="99"/>
      <c r="I1022" s="99"/>
      <c r="J1022" s="99"/>
      <c r="K1022" s="99"/>
      <c r="L1022" s="99"/>
      <c r="M1022" s="99"/>
      <c r="N1022" s="99"/>
      <c r="O1022" s="99"/>
      <c r="P1022" s="99"/>
      <c r="Q1022" s="99"/>
      <c r="R1022" s="99"/>
      <c r="S1022" s="99"/>
      <c r="T1022" s="99"/>
      <c r="U1022" s="99"/>
      <c r="V1022" s="99"/>
      <c r="W1022" s="105"/>
      <c r="X1022" s="105"/>
      <c r="Y1022" s="105"/>
      <c r="Z1022" s="105"/>
      <c r="AA1022" s="105"/>
      <c r="AB1022" s="105"/>
      <c r="AC1022" s="105"/>
      <c r="AD1022" s="105"/>
      <c r="AE1022" s="105"/>
      <c r="AF1022" s="105"/>
      <c r="AG1022" s="105">
        <f>IF($AG$883&gt;0,IPMT('Assumptions (Solar)'!$V$8,Model!W$1,'Assumptions (Solar)'!$V$11,'Assumptions (Solar)'!$V$6*Model!$AG$883*('Assumptions (Solar)'!$AE$18*'Assumptions (Solar)'!$AE$2+'Assumptions (Solar)'!$AE$19*'Assumptions (Solar)'!$AE$3)/10^9),0)</f>
        <v>-80.47484325086954</v>
      </c>
      <c r="AH1022" s="105">
        <f>IF($AG$883&gt;0,IPMT('Assumptions (Solar)'!$V$8,Model!X$1,'Assumptions (Solar)'!$V$11,'Assumptions (Solar)'!$V$6*Model!$AG$883*('Assumptions (Solar)'!$AE$18*'Assumptions (Solar)'!$AE$2+'Assumptions (Solar)'!$AE$19*'Assumptions (Solar)'!$AE$3)/10^9),0)</f>
        <v>-74.919705968284731</v>
      </c>
      <c r="AI1022" s="105">
        <f>IF($AG$883&gt;0,IPMT('Assumptions (Solar)'!$V$8,Model!Y$1,'Assumptions (Solar)'!$V$11,'Assumptions (Solar)'!$V$6*Model!$AG$883*('Assumptions (Solar)'!$AE$18*'Assumptions (Solar)'!$AE$2+'Assumptions (Solar)'!$AE$19*'Assumptions (Solar)'!$AE$3)/10^9),0)</f>
        <v>-68.920157703093125</v>
      </c>
      <c r="AJ1022" s="105">
        <f>IF($AG$883&gt;0,IPMT('Assumptions (Solar)'!$V$8,Model!Z$1,'Assumptions (Solar)'!$V$11,'Assumptions (Solar)'!$V$6*Model!$AG$883*('Assumptions (Solar)'!$AE$18*'Assumptions (Solar)'!$AE$2+'Assumptions (Solar)'!$AE$19*'Assumptions (Solar)'!$AE$3)/10^9),0)</f>
        <v>-62.440645576686187</v>
      </c>
      <c r="AK1022" s="105">
        <f>IF($AG$883&gt;0,IPMT('Assumptions (Solar)'!$V$8,Model!AA$1,'Assumptions (Solar)'!$V$11,'Assumptions (Solar)'!$V$6*Model!$AG$883*('Assumptions (Solar)'!$AE$18*'Assumptions (Solar)'!$AE$2+'Assumptions (Solar)'!$AE$19*'Assumptions (Solar)'!$AE$3)/10^9),0)</f>
        <v>-55.442772480166703</v>
      </c>
      <c r="AL1022" s="105">
        <f>IF($AG$883&gt;0,IPMT('Assumptions (Solar)'!$V$8,Model!AB$1,'Assumptions (Solar)'!$V$11,'Assumptions (Solar)'!$V$6*Model!$AG$883*('Assumptions (Solar)'!$AE$18*'Assumptions (Solar)'!$AE$2+'Assumptions (Solar)'!$AE$19*'Assumptions (Solar)'!$AE$3)/10^9),0)</f>
        <v>-47.885069535925666</v>
      </c>
      <c r="AM1022" s="105">
        <f>IF($AG$883&gt;0,IPMT('Assumptions (Solar)'!$V$8,Model!AC$1,'Assumptions (Solar)'!$V$11,'Assumptions (Solar)'!$V$6*Model!$AG$883*('Assumptions (Solar)'!$AE$18*'Assumptions (Solar)'!$AE$2+'Assumptions (Solar)'!$AE$19*'Assumptions (Solar)'!$AE$3)/10^9),0)</f>
        <v>-39.722750356145333</v>
      </c>
      <c r="AN1022" s="105">
        <f>IF($AG$883&gt;0,IPMT('Assumptions (Solar)'!$V$8,Model!AD$1,'Assumptions (Solar)'!$V$11,'Assumptions (Solar)'!$V$6*Model!$AG$883*('Assumptions (Solar)'!$AE$18*'Assumptions (Solar)'!$AE$2+'Assumptions (Solar)'!$AE$19*'Assumptions (Solar)'!$AE$3)/10^9),0)</f>
        <v>-30.907445641982591</v>
      </c>
      <c r="AO1022" s="105">
        <f>IF($AG$883&gt;0,IPMT('Assumptions (Solar)'!$V$8,Model!AE$1,'Assumptions (Solar)'!$V$11,'Assumptions (Solar)'!$V$6*Model!$AG$883*('Assumptions (Solar)'!$AE$18*'Assumptions (Solar)'!$AE$2+'Assumptions (Solar)'!$AE$19*'Assumptions (Solar)'!$AE$3)/10^9),0)</f>
        <v>-21.38691655068682</v>
      </c>
      <c r="AP1022" s="105">
        <f>IF($AG$883&gt;0,IPMT('Assumptions (Solar)'!$V$8,Model!AF$1,'Assumptions (Solar)'!$V$11,'Assumptions (Solar)'!$V$6*Model!$AG$883*('Assumptions (Solar)'!$AE$18*'Assumptions (Solar)'!$AE$2+'Assumptions (Solar)'!$AE$19*'Assumptions (Solar)'!$AE$3)/10^9),0)</f>
        <v>-11.104745132087388</v>
      </c>
      <c r="AQ1022" s="105" t="e">
        <f>IF($AG$883&gt;0,IPMT('Assumptions (Solar)'!$V$8,Model!AG$1,'Assumptions (Solar)'!$V$11,'Assumptions (Solar)'!$V$6*Model!$AG$883*('Assumptions (Solar)'!$AE$18*'Assumptions (Solar)'!$AE$2+'Assumptions (Solar)'!$AE$19*'Assumptions (Solar)'!$AE$3)/10^9),0)</f>
        <v>#NUM!</v>
      </c>
      <c r="AR1022" s="105" t="e">
        <f>IF($AG$883&gt;0,IPMT('Assumptions (Solar)'!$V$8,Model!AH$1,'Assumptions (Solar)'!$V$11,'Assumptions (Solar)'!$V$6*Model!$AG$883*('Assumptions (Solar)'!$AE$18*'Assumptions (Solar)'!$AE$2+'Assumptions (Solar)'!$AE$19*'Assumptions (Solar)'!$AE$3)/10^9),0)</f>
        <v>#NUM!</v>
      </c>
      <c r="AS1022" s="105" t="e">
        <f>IF($AG$883&gt;0,IPMT('Assumptions (Solar)'!$V$8,Model!AI$1,'Assumptions (Solar)'!$V$11,'Assumptions (Solar)'!$V$6*Model!$AG$883*('Assumptions (Solar)'!$AE$18*'Assumptions (Solar)'!$AE$2+'Assumptions (Solar)'!$AE$19*'Assumptions (Solar)'!$AE$3)/10^9),0)</f>
        <v>#NUM!</v>
      </c>
      <c r="AT1022" s="105" t="e">
        <f>IF($AG$883&gt;0,IPMT('Assumptions (Solar)'!$V$8,Model!AJ$1,'Assumptions (Solar)'!$V$11,'Assumptions (Solar)'!$V$6*Model!$AG$883*('Assumptions (Solar)'!$AE$18*'Assumptions (Solar)'!$AE$2+'Assumptions (Solar)'!$AE$19*'Assumptions (Solar)'!$AE$3)/10^9),0)</f>
        <v>#NUM!</v>
      </c>
      <c r="AU1022" s="105" t="e">
        <f>IF($AG$883&gt;0,IPMT('Assumptions (Solar)'!$V$8,Model!AK$1,'Assumptions (Solar)'!$V$11,'Assumptions (Solar)'!$V$6*Model!$AG$883*('Assumptions (Solar)'!$AE$18*'Assumptions (Solar)'!$AE$2+'Assumptions (Solar)'!$AE$19*'Assumptions (Solar)'!$AE$3)/10^9),0)</f>
        <v>#NUM!</v>
      </c>
      <c r="AV1022" s="105"/>
      <c r="AW1022" s="105"/>
      <c r="AX1022" s="105"/>
      <c r="AY1022" s="105"/>
      <c r="AZ1022" s="105"/>
      <c r="BA1022" s="105"/>
      <c r="BB1022" s="105"/>
      <c r="BC1022" s="105"/>
      <c r="BD1022" s="105"/>
      <c r="BE1022" s="105"/>
    </row>
    <row r="1023" spans="1:59" ht="15.75" hidden="1" customHeight="1" outlineLevel="1">
      <c r="A1023" s="401"/>
      <c r="B1023" s="99"/>
      <c r="C1023" s="99"/>
      <c r="D1023" s="99"/>
      <c r="E1023" s="99"/>
      <c r="F1023" s="99"/>
      <c r="G1023" s="99"/>
      <c r="H1023" s="99"/>
      <c r="I1023" s="99"/>
      <c r="J1023" s="99"/>
      <c r="K1023" s="99"/>
      <c r="L1023" s="99"/>
      <c r="M1023" s="99"/>
      <c r="N1023" s="99"/>
      <c r="O1023" s="99"/>
      <c r="P1023" s="99"/>
      <c r="Q1023" s="99"/>
      <c r="R1023" s="99"/>
      <c r="S1023" s="99"/>
      <c r="T1023" s="99"/>
      <c r="U1023" s="99"/>
      <c r="V1023" s="99"/>
      <c r="W1023" s="105"/>
      <c r="X1023" s="105"/>
      <c r="Y1023" s="105"/>
      <c r="Z1023" s="105"/>
      <c r="AA1023" s="105"/>
      <c r="AB1023" s="105"/>
      <c r="AC1023" s="105"/>
      <c r="AD1023" s="105"/>
      <c r="AE1023" s="105"/>
      <c r="AF1023" s="105"/>
      <c r="AG1023" s="105"/>
      <c r="AH1023" s="105">
        <f>IF($AH$883&gt;0,IPMT('Assumptions (Solar)'!$V$8,Model!W$1,'Assumptions (Solar)'!$V$11,'Assumptions (Solar)'!$V$6*Model!$AH$883*('Assumptions (Solar)'!$AF$18*'Assumptions (Solar)'!$AF$2+'Assumptions (Solar)'!$AF$19*'Assumptions (Solar)'!$AF$3)/10^9),0)</f>
        <v>-81.986506863482759</v>
      </c>
      <c r="AI1023" s="105">
        <f>IF($AH$883&gt;0,IPMT('Assumptions (Solar)'!$V$8,Model!X$1,'Assumptions (Solar)'!$V$11,'Assumptions (Solar)'!$V$6*Model!$AH$883*('Assumptions (Solar)'!$AF$18*'Assumptions (Solar)'!$AF$2+'Assumptions (Solar)'!$AF$19*'Assumptions (Solar)'!$AF$3)/10^9),0)</f>
        <v>-76.327020214637272</v>
      </c>
      <c r="AJ1023" s="105">
        <f>IF($AH$883&gt;0,IPMT('Assumptions (Solar)'!$V$8,Model!Y$1,'Assumptions (Solar)'!$V$11,'Assumptions (Solar)'!$V$6*Model!$AH$883*('Assumptions (Solar)'!$AF$18*'Assumptions (Solar)'!$AF$2+'Assumptions (Solar)'!$AF$19*'Assumptions (Solar)'!$AF$3)/10^9),0)</f>
        <v>-70.214774633884147</v>
      </c>
      <c r="AK1023" s="105">
        <f>IF($AH$883&gt;0,IPMT('Assumptions (Solar)'!$V$8,Model!Z$1,'Assumptions (Solar)'!$V$11,'Assumptions (Solar)'!$V$6*Model!$AH$883*('Assumptions (Solar)'!$AF$18*'Assumptions (Solar)'!$AF$2+'Assumptions (Solar)'!$AF$19*'Assumptions (Solar)'!$AF$3)/10^9),0)</f>
        <v>-63.613549406670771</v>
      </c>
      <c r="AL1023" s="105">
        <f>IF($AH$883&gt;0,IPMT('Assumptions (Solar)'!$V$8,Model!AA$1,'Assumptions (Solar)'!$V$11,'Assumptions (Solar)'!$V$6*Model!$AH$883*('Assumptions (Solar)'!$AF$18*'Assumptions (Solar)'!$AF$2+'Assumptions (Solar)'!$AF$19*'Assumptions (Solar)'!$AF$3)/10^9),0)</f>
        <v>-56.48422616128034</v>
      </c>
      <c r="AM1023" s="105">
        <f>IF($AH$883&gt;0,IPMT('Assumptions (Solar)'!$V$8,Model!AB$1,'Assumptions (Solar)'!$V$11,'Assumptions (Solar)'!$V$6*Model!$AH$883*('Assumptions (Solar)'!$AF$18*'Assumptions (Solar)'!$AF$2+'Assumptions (Solar)'!$AF$19*'Assumptions (Solar)'!$AF$3)/10^9),0)</f>
        <v>-48.784557056258677</v>
      </c>
      <c r="AN1023" s="105">
        <f>IF($AH$883&gt;0,IPMT('Assumptions (Solar)'!$V$8,Model!AC$1,'Assumptions (Solar)'!$V$11,'Assumptions (Solar)'!$V$6*Model!$AH$883*('Assumptions (Solar)'!$AF$18*'Assumptions (Solar)'!$AF$2+'Assumptions (Solar)'!$AF$19*'Assumptions (Solar)'!$AF$3)/10^9),0)</f>
        <v>-40.468914422835262</v>
      </c>
      <c r="AO1023" s="105">
        <f>IF($AH$883&gt;0,IPMT('Assumptions (Solar)'!$V$8,Model!AD$1,'Assumptions (Solar)'!$V$11,'Assumptions (Solar)'!$V$6*Model!$AH$883*('Assumptions (Solar)'!$AF$18*'Assumptions (Solar)'!$AF$2+'Assumptions (Solar)'!$AF$19*'Assumptions (Solar)'!$AF$3)/10^9),0)</f>
        <v>-31.488020378737993</v>
      </c>
      <c r="AP1023" s="105">
        <f>IF($AH$883&gt;0,IPMT('Assumptions (Solar)'!$V$8,Model!AE$1,'Assumptions (Solar)'!$V$11,'Assumptions (Solar)'!$V$6*Model!$AH$883*('Assumptions (Solar)'!$AF$18*'Assumptions (Solar)'!$AF$2+'Assumptions (Solar)'!$AF$19*'Assumptions (Solar)'!$AF$3)/10^9),0)</f>
        <v>-21.788654811112934</v>
      </c>
      <c r="AQ1023" s="105">
        <f>IF($AH$883&gt;0,IPMT('Assumptions (Solar)'!$V$8,Model!AF$1,'Assumptions (Solar)'!$V$11,'Assumptions (Solar)'!$V$6*Model!$AH$883*('Assumptions (Solar)'!$AF$18*'Assumptions (Solar)'!$AF$2+'Assumptions (Solar)'!$AF$19*'Assumptions (Solar)'!$AF$3)/10^9),0)</f>
        <v>-11.313339998077868</v>
      </c>
      <c r="AR1023" s="105" t="e">
        <f>IF($AH$883&gt;0,IPMT('Assumptions (Solar)'!$V$8,Model!AG$1,'Assumptions (Solar)'!$V$11,'Assumptions (Solar)'!$V$6*Model!$AH$883*('Assumptions (Solar)'!$AF$18*'Assumptions (Solar)'!$AF$2+'Assumptions (Solar)'!$AF$19*'Assumptions (Solar)'!$AF$3)/10^9),0)</f>
        <v>#NUM!</v>
      </c>
      <c r="AS1023" s="105" t="e">
        <f>IF($AH$883&gt;0,IPMT('Assumptions (Solar)'!$V$8,Model!AH$1,'Assumptions (Solar)'!$V$11,'Assumptions (Solar)'!$V$6*Model!$AH$883*('Assumptions (Solar)'!$AF$18*'Assumptions (Solar)'!$AF$2+'Assumptions (Solar)'!$AF$19*'Assumptions (Solar)'!$AF$3)/10^9),0)</f>
        <v>#NUM!</v>
      </c>
      <c r="AT1023" s="105" t="e">
        <f>IF($AH$883&gt;0,IPMT('Assumptions (Solar)'!$V$8,Model!AI$1,'Assumptions (Solar)'!$V$11,'Assumptions (Solar)'!$V$6*Model!$AH$883*('Assumptions (Solar)'!$AF$18*'Assumptions (Solar)'!$AF$2+'Assumptions (Solar)'!$AF$19*'Assumptions (Solar)'!$AF$3)/10^9),0)</f>
        <v>#NUM!</v>
      </c>
      <c r="AU1023" s="105" t="e">
        <f>IF($AH$883&gt;0,IPMT('Assumptions (Solar)'!$V$8,Model!AJ$1,'Assumptions (Solar)'!$V$11,'Assumptions (Solar)'!$V$6*Model!$AH$883*('Assumptions (Solar)'!$AF$18*'Assumptions (Solar)'!$AF$2+'Assumptions (Solar)'!$AF$19*'Assumptions (Solar)'!$AF$3)/10^9),0)</f>
        <v>#NUM!</v>
      </c>
      <c r="AV1023" s="105" t="e">
        <f>IF($AH$883&gt;0,IPMT('Assumptions (Solar)'!$V$8,Model!AK$1,'Assumptions (Solar)'!$V$11,'Assumptions (Solar)'!$V$6*Model!$AH$883*('Assumptions (Solar)'!$AF$18*'Assumptions (Solar)'!$AF$2+'Assumptions (Solar)'!$AF$19*'Assumptions (Solar)'!$AF$3)/10^9),0)</f>
        <v>#NUM!</v>
      </c>
      <c r="AW1023" s="105"/>
      <c r="AX1023" s="105"/>
      <c r="AY1023" s="105"/>
      <c r="AZ1023" s="105"/>
      <c r="BA1023" s="105"/>
      <c r="BB1023" s="105"/>
      <c r="BC1023" s="105"/>
      <c r="BD1023" s="105"/>
      <c r="BE1023" s="105"/>
      <c r="BF1023" s="105"/>
    </row>
    <row r="1024" spans="1:59" ht="15.75" hidden="1" customHeight="1" outlineLevel="1">
      <c r="A1024" s="401"/>
      <c r="B1024" s="99"/>
      <c r="C1024" s="99"/>
      <c r="D1024" s="99"/>
      <c r="E1024" s="99"/>
      <c r="F1024" s="99"/>
      <c r="G1024" s="99"/>
      <c r="H1024" s="99"/>
      <c r="I1024" s="99"/>
      <c r="J1024" s="99"/>
      <c r="K1024" s="99"/>
      <c r="L1024" s="99"/>
      <c r="M1024" s="99"/>
      <c r="N1024" s="99"/>
      <c r="O1024" s="99"/>
      <c r="P1024" s="99"/>
      <c r="Q1024" s="99"/>
      <c r="R1024" s="99"/>
      <c r="S1024" s="99"/>
      <c r="T1024" s="99"/>
      <c r="U1024" s="99"/>
      <c r="V1024" s="99"/>
      <c r="W1024" s="105"/>
      <c r="X1024" s="105"/>
      <c r="Y1024" s="105"/>
      <c r="Z1024" s="105"/>
      <c r="AA1024" s="105"/>
      <c r="AB1024" s="105"/>
      <c r="AC1024" s="105"/>
      <c r="AD1024" s="105"/>
      <c r="AE1024" s="105"/>
      <c r="AF1024" s="105"/>
      <c r="AG1024" s="105"/>
      <c r="AH1024" s="105"/>
      <c r="AI1024" s="105">
        <f>IF($AI$883&gt;0,IPMT('Assumptions (Solar)'!$V$8,Model!W$1,'Assumptions (Solar)'!$V$11,'Assumptions (Solar)'!$V$6*Model!$AI$883*('Assumptions (Solar)'!$AG$18*'Assumptions (Solar)'!$AG$2+'Assumptions (Solar)'!$AG$19*'Assumptions (Solar)'!$AG$3)/10^9),0)</f>
        <v>-83.487410026970437</v>
      </c>
      <c r="AJ1024" s="105">
        <f>IF($AI$883&gt;0,IPMT('Assumptions (Solar)'!$V$8,Model!X$1,'Assumptions (Solar)'!$V$11,'Assumptions (Solar)'!$V$6*Model!$AI$883*('Assumptions (Solar)'!$AG$18*'Assumptions (Solar)'!$AG$2+'Assumptions (Solar)'!$AG$19*'Assumptions (Solar)'!$AG$3)/10^9),0)</f>
        <v>-77.724316800165568</v>
      </c>
      <c r="AK1024" s="105">
        <f>IF($AI$883&gt;0,IPMT('Assumptions (Solar)'!$V$8,Model!Y$1,'Assumptions (Solar)'!$V$11,'Assumptions (Solar)'!$V$6*Model!$AI$883*('Assumptions (Solar)'!$AG$18*'Assumptions (Solar)'!$AG$2+'Assumptions (Solar)'!$AG$19*'Assumptions (Solar)'!$AG$3)/10^9),0)</f>
        <v>-71.50017611521632</v>
      </c>
      <c r="AL1024" s="105">
        <f>IF($AI$883&gt;0,IPMT('Assumptions (Solar)'!$V$8,Model!Z$1,'Assumptions (Solar)'!$V$11,'Assumptions (Solar)'!$V$6*Model!$AI$883*('Assumptions (Solar)'!$AG$18*'Assumptions (Solar)'!$AG$2+'Assumptions (Solar)'!$AG$19*'Assumptions (Solar)'!$AG$3)/10^9),0)</f>
        <v>-64.778104175471128</v>
      </c>
      <c r="AM1024" s="105">
        <f>IF($AI$883&gt;0,IPMT('Assumptions (Solar)'!$V$8,Model!AA$1,'Assumptions (Solar)'!$V$11,'Assumptions (Solar)'!$V$6*Model!$AI$883*('Assumptions (Solar)'!$AG$18*'Assumptions (Solar)'!$AG$2+'Assumptions (Solar)'!$AG$19*'Assumptions (Solar)'!$AG$3)/10^9),0)</f>
        <v>-57.51826648054633</v>
      </c>
      <c r="AN1024" s="105">
        <f>IF($AI$883&gt;0,IPMT('Assumptions (Solar)'!$V$8,Model!AB$1,'Assumptions (Solar)'!$V$11,'Assumptions (Solar)'!$V$6*Model!$AI$883*('Assumptions (Solar)'!$AG$18*'Assumptions (Solar)'!$AG$2+'Assumptions (Solar)'!$AG$19*'Assumptions (Solar)'!$AG$3)/10^9),0)</f>
        <v>-49.677641770027549</v>
      </c>
      <c r="AO1024" s="105">
        <f>IF($AI$883&gt;0,IPMT('Assumptions (Solar)'!$V$8,Model!AC$1,'Assumptions (Solar)'!$V$11,'Assumptions (Solar)'!$V$6*Model!$AI$883*('Assumptions (Solar)'!$AG$18*'Assumptions (Solar)'!$AG$2+'Assumptions (Solar)'!$AG$19*'Assumptions (Solar)'!$AG$3)/10^9),0)</f>
        <v>-41.209767082667263</v>
      </c>
      <c r="AP1024" s="105">
        <f>IF($AI$883&gt;0,IPMT('Assumptions (Solar)'!$V$8,Model!AD$1,'Assumptions (Solar)'!$V$11,'Assumptions (Solar)'!$V$6*Model!$AI$883*('Assumptions (Solar)'!$AG$18*'Assumptions (Solar)'!$AG$2+'Assumptions (Solar)'!$AG$19*'Assumptions (Solar)'!$AG$3)/10^9),0)</f>
        <v>-32.064462420318158</v>
      </c>
      <c r="AQ1024" s="105">
        <f>IF($AI$883&gt;0,IPMT('Assumptions (Solar)'!$V$8,Model!AE$1,'Assumptions (Solar)'!$V$11,'Assumptions (Solar)'!$V$6*Model!$AI$883*('Assumptions (Solar)'!$AG$18*'Assumptions (Solar)'!$AG$2+'Assumptions (Solar)'!$AG$19*'Assumptions (Solar)'!$AG$3)/10^9),0)</f>
        <v>-22.187533384981119</v>
      </c>
      <c r="AR1024" s="105">
        <f>IF($AI$883&gt;0,IPMT('Assumptions (Solar)'!$V$8,Model!AF$1,'Assumptions (Solar)'!$V$11,'Assumptions (Solar)'!$V$6*Model!$AI$883*('Assumptions (Solar)'!$AG$18*'Assumptions (Solar)'!$AG$2+'Assumptions (Solar)'!$AG$19*'Assumptions (Solar)'!$AG$3)/10^9),0)</f>
        <v>-11.520450026817118</v>
      </c>
      <c r="AS1024" s="105" t="e">
        <f>IF($AI$883&gt;0,IPMT('Assumptions (Solar)'!$V$8,Model!AG$1,'Assumptions (Solar)'!$V$11,'Assumptions (Solar)'!$V$6*Model!$AI$883*('Assumptions (Solar)'!$AG$18*'Assumptions (Solar)'!$AG$2+'Assumptions (Solar)'!$AG$19*'Assumptions (Solar)'!$AG$3)/10^9),0)</f>
        <v>#NUM!</v>
      </c>
      <c r="AT1024" s="105" t="e">
        <f>IF($AI$883&gt;0,IPMT('Assumptions (Solar)'!$V$8,Model!AH$1,'Assumptions (Solar)'!$V$11,'Assumptions (Solar)'!$V$6*Model!$AI$883*('Assumptions (Solar)'!$AG$18*'Assumptions (Solar)'!$AG$2+'Assumptions (Solar)'!$AG$19*'Assumptions (Solar)'!$AG$3)/10^9),0)</f>
        <v>#NUM!</v>
      </c>
      <c r="AU1024" s="105" t="e">
        <f>IF($AI$883&gt;0,IPMT('Assumptions (Solar)'!$V$8,Model!AI$1,'Assumptions (Solar)'!$V$11,'Assumptions (Solar)'!$V$6*Model!$AI$883*('Assumptions (Solar)'!$AG$18*'Assumptions (Solar)'!$AG$2+'Assumptions (Solar)'!$AG$19*'Assumptions (Solar)'!$AG$3)/10^9),0)</f>
        <v>#NUM!</v>
      </c>
      <c r="AV1024" s="105" t="e">
        <f>IF($AI$883&gt;0,IPMT('Assumptions (Solar)'!$V$8,Model!AJ$1,'Assumptions (Solar)'!$V$11,'Assumptions (Solar)'!$V$6*Model!$AI$883*('Assumptions (Solar)'!$AG$18*'Assumptions (Solar)'!$AG$2+'Assumptions (Solar)'!$AG$19*'Assumptions (Solar)'!$AG$3)/10^9),0)</f>
        <v>#NUM!</v>
      </c>
      <c r="AW1024" s="105" t="e">
        <f>IF($AI$883&gt;0,IPMT('Assumptions (Solar)'!$V$8,Model!AK$1,'Assumptions (Solar)'!$V$11,'Assumptions (Solar)'!$V$6*Model!$AI$883*('Assumptions (Solar)'!$AG$18*'Assumptions (Solar)'!$AG$2+'Assumptions (Solar)'!$AG$19*'Assumptions (Solar)'!$AG$3)/10^9),0)</f>
        <v>#NUM!</v>
      </c>
      <c r="AX1024" s="105"/>
      <c r="AY1024" s="105"/>
      <c r="AZ1024" s="105"/>
      <c r="BA1024" s="105"/>
      <c r="BB1024" s="105"/>
      <c r="BC1024" s="105"/>
      <c r="BD1024" s="105"/>
      <c r="BE1024" s="105"/>
      <c r="BF1024" s="105"/>
      <c r="BG1024" s="105"/>
    </row>
    <row r="1025" spans="1:75" ht="15.75" hidden="1" customHeight="1" outlineLevel="1">
      <c r="A1025" s="401"/>
      <c r="B1025" s="99"/>
      <c r="C1025" s="99"/>
      <c r="D1025" s="99"/>
      <c r="E1025" s="99"/>
      <c r="F1025" s="99"/>
      <c r="G1025" s="99"/>
      <c r="H1025" s="99"/>
      <c r="I1025" s="99"/>
      <c r="J1025" s="99"/>
      <c r="K1025" s="99"/>
      <c r="L1025" s="99"/>
      <c r="M1025" s="99"/>
      <c r="N1025" s="99"/>
      <c r="O1025" s="99"/>
      <c r="P1025" s="99"/>
      <c r="Q1025" s="99"/>
      <c r="R1025" s="99"/>
      <c r="S1025" s="99"/>
      <c r="T1025" s="99"/>
      <c r="U1025" s="99"/>
      <c r="V1025" s="99"/>
      <c r="W1025" s="105"/>
      <c r="X1025" s="105"/>
      <c r="Y1025" s="105"/>
      <c r="Z1025" s="105"/>
      <c r="AA1025" s="105"/>
      <c r="AB1025" s="105"/>
      <c r="AC1025" s="105"/>
      <c r="AD1025" s="105"/>
      <c r="AE1025" s="105"/>
      <c r="AF1025" s="105"/>
      <c r="AG1025" s="105"/>
      <c r="AH1025" s="105"/>
      <c r="AI1025" s="105"/>
      <c r="AJ1025" s="91">
        <f>IF($AJ$883&gt;0,IPMT('Assumptions (Solar)'!$V$8,Model!W$1,'Assumptions (Solar)'!$V$11,'Assumptions (Solar)'!$V$6*Model!$AJ$883*('Assumptions (Solar)'!$AH$18*'Assumptions (Solar)'!$AH$2+'Assumptions (Solar)'!$AH$19*'Assumptions (Solar)'!$AH$3)/10^9),0)</f>
        <v>-84.969729904030132</v>
      </c>
      <c r="AK1025" s="91">
        <f>IF($AJ$883&gt;0,IPMT('Assumptions (Solar)'!$V$8,Model!X$1,'Assumptions (Solar)'!$V$11,'Assumptions (Solar)'!$V$6*Model!$AJ$883*('Assumptions (Solar)'!$AH$18*'Assumptions (Solar)'!$AH$2+'Assumptions (Solar)'!$AH$19*'Assumptions (Solar)'!$AH$3)/10^9),0)</f>
        <v>-79.104312894026336</v>
      </c>
      <c r="AL1025" s="91">
        <f>IF($AJ$883&gt;0,IPMT('Assumptions (Solar)'!$V$8,Model!Y$1,'Assumptions (Solar)'!$V$11,'Assumptions (Solar)'!$V$6*Model!$AJ$883*('Assumptions (Solar)'!$AH$18*'Assumptions (Solar)'!$AH$2+'Assumptions (Solar)'!$AH$19*'Assumptions (Solar)'!$AH$3)/10^9),0)</f>
        <v>-72.769662523222223</v>
      </c>
      <c r="AM1025" s="91">
        <f>IF($AJ$883&gt;0,IPMT('Assumptions (Solar)'!$V$8,Model!Z$1,'Assumptions (Solar)'!$V$11,'Assumptions (Solar)'!$V$6*Model!$AJ$883*('Assumptions (Solar)'!$AH$18*'Assumptions (Solar)'!$AH$2+'Assumptions (Solar)'!$AH$19*'Assumptions (Solar)'!$AH$3)/10^9),0)</f>
        <v>-65.928240122753792</v>
      </c>
      <c r="AN1025" s="91">
        <f>IF($AJ$883&gt;0,IPMT('Assumptions (Solar)'!$V$8,Model!AA$1,'Assumptions (Solar)'!$V$11,'Assumptions (Solar)'!$V$6*Model!$AJ$883*('Assumptions (Solar)'!$AH$18*'Assumptions (Solar)'!$AH$2+'Assumptions (Solar)'!$AH$19*'Assumptions (Solar)'!$AH$3)/10^9),0)</f>
        <v>-58.539503930247882</v>
      </c>
      <c r="AO1025" s="91">
        <f>IF($AJ$883&gt;0,IPMT('Assumptions (Solar)'!$V$8,Model!AB$1,'Assumptions (Solar)'!$V$11,'Assumptions (Solar)'!$V$6*Model!$AJ$883*('Assumptions (Solar)'!$AH$18*'Assumptions (Solar)'!$AH$2+'Assumptions (Solar)'!$AH$19*'Assumptions (Solar)'!$AH$3)/10^9),0)</f>
        <v>-50.559668842341509</v>
      </c>
      <c r="AP1025" s="91">
        <f>IF($AJ$883&gt;0,IPMT('Assumptions (Solar)'!$V$8,Model!AC$1,'Assumptions (Solar)'!$V$11,'Assumptions (Solar)'!$V$6*Model!$AJ$883*('Assumptions (Solar)'!$AH$18*'Assumptions (Solar)'!$AH$2+'Assumptions (Solar)'!$AH$19*'Assumptions (Solar)'!$AH$3)/10^9),0)</f>
        <v>-41.941446947402611</v>
      </c>
      <c r="AQ1025" s="91">
        <f>IF($AJ$883&gt;0,IPMT('Assumptions (Solar)'!$V$8,Model!AD$1,'Assumptions (Solar)'!$V$11,'Assumptions (Solar)'!$V$6*Model!$AJ$883*('Assumptions (Solar)'!$AH$18*'Assumptions (Solar)'!$AH$2+'Assumptions (Solar)'!$AH$19*'Assumptions (Solar)'!$AH$3)/10^9),0)</f>
        <v>-32.63376730086862</v>
      </c>
      <c r="AR1025" s="91">
        <f>IF($AJ$883&gt;0,IPMT('Assumptions (Solar)'!$V$8,Model!AE$1,'Assumptions (Solar)'!$V$11,'Assumptions (Solar)'!$V$6*Model!$AJ$883*('Assumptions (Solar)'!$AH$18*'Assumptions (Solar)'!$AH$2+'Assumptions (Solar)'!$AH$19*'Assumptions (Solar)'!$AH$3)/10^9),0)</f>
        <v>-22.581473282611896</v>
      </c>
      <c r="AS1025" s="91">
        <f>IF($AJ$883&gt;0,IPMT('Assumptions (Solar)'!$V$8,Model!AF$1,'Assumptions (Solar)'!$V$11,'Assumptions (Solar)'!$V$6*Model!$AJ$883*('Assumptions (Solar)'!$AH$18*'Assumptions (Solar)'!$AH$2+'Assumptions (Solar)'!$AH$19*'Assumptions (Solar)'!$AH$3)/10^9),0)</f>
        <v>-11.724995742894636</v>
      </c>
      <c r="AT1025" s="91" t="e">
        <f>IF($AJ$883&gt;0,IPMT('Assumptions (Solar)'!$V$8,Model!AG$1,'Assumptions (Solar)'!$V$11,'Assumptions (Solar)'!$V$6*Model!$AJ$883*('Assumptions (Solar)'!$AH$18*'Assumptions (Solar)'!$AH$2+'Assumptions (Solar)'!$AH$19*'Assumptions (Solar)'!$AH$3)/10^9),0)</f>
        <v>#NUM!</v>
      </c>
      <c r="AU1025" s="91" t="e">
        <f>IF($AJ$883&gt;0,IPMT('Assumptions (Solar)'!$V$8,Model!AH$1,'Assumptions (Solar)'!$V$11,'Assumptions (Solar)'!$V$6*Model!$AJ$883*('Assumptions (Solar)'!$AH$18*'Assumptions (Solar)'!$AH$2+'Assumptions (Solar)'!$AH$19*'Assumptions (Solar)'!$AH$3)/10^9),0)</f>
        <v>#NUM!</v>
      </c>
      <c r="AV1025" s="91" t="e">
        <f>IF($AJ$883&gt;0,IPMT('Assumptions (Solar)'!$V$8,Model!AI$1,'Assumptions (Solar)'!$V$11,'Assumptions (Solar)'!$V$6*Model!$AJ$883*('Assumptions (Solar)'!$AH$18*'Assumptions (Solar)'!$AH$2+'Assumptions (Solar)'!$AH$19*'Assumptions (Solar)'!$AH$3)/10^9),0)</f>
        <v>#NUM!</v>
      </c>
      <c r="AW1025" s="91" t="e">
        <f>IF($AJ$883&gt;0,IPMT('Assumptions (Solar)'!$V$8,Model!AJ$1,'Assumptions (Solar)'!$V$11,'Assumptions (Solar)'!$V$6*Model!$AJ$883*('Assumptions (Solar)'!$AH$18*'Assumptions (Solar)'!$AH$2+'Assumptions (Solar)'!$AH$19*'Assumptions (Solar)'!$AH$3)/10^9),0)</f>
        <v>#NUM!</v>
      </c>
      <c r="AX1025" s="91" t="e">
        <f>IF($AJ$883&gt;0,IPMT('Assumptions (Solar)'!$V$8,Model!AK$1,'Assumptions (Solar)'!$V$11,'Assumptions (Solar)'!$V$6*Model!$AJ$883*('Assumptions (Solar)'!$AH$18*'Assumptions (Solar)'!$AH$2+'Assumptions (Solar)'!$AH$19*'Assumptions (Solar)'!$AH$3)/10^9),0)</f>
        <v>#NUM!</v>
      </c>
      <c r="AY1025" s="91"/>
      <c r="AZ1025" s="91"/>
      <c r="BA1025" s="91"/>
      <c r="BB1025" s="91"/>
      <c r="BC1025" s="91"/>
      <c r="BD1025" s="91"/>
      <c r="BE1025" s="91"/>
      <c r="BF1025" s="91"/>
      <c r="BG1025" s="91"/>
      <c r="BH1025" s="91"/>
    </row>
    <row r="1026" spans="1:75" ht="15.75" hidden="1" customHeight="1" outlineLevel="1">
      <c r="A1026" s="401"/>
      <c r="B1026" s="99"/>
      <c r="C1026" s="99"/>
      <c r="D1026" s="99"/>
      <c r="E1026" s="99"/>
      <c r="F1026" s="99"/>
      <c r="G1026" s="99"/>
      <c r="H1026" s="99"/>
      <c r="I1026" s="99"/>
      <c r="J1026" s="99"/>
      <c r="K1026" s="99"/>
      <c r="L1026" s="99"/>
      <c r="M1026" s="99"/>
      <c r="N1026" s="99"/>
      <c r="O1026" s="99"/>
      <c r="P1026" s="99"/>
      <c r="Q1026" s="99"/>
      <c r="R1026" s="99"/>
      <c r="S1026" s="99"/>
      <c r="T1026" s="99"/>
      <c r="U1026" s="99"/>
      <c r="V1026" s="99"/>
      <c r="W1026" s="105"/>
      <c r="X1026" s="105"/>
      <c r="Y1026" s="105"/>
      <c r="Z1026" s="105"/>
      <c r="AA1026" s="105"/>
      <c r="AB1026" s="105"/>
      <c r="AC1026" s="105"/>
      <c r="AD1026" s="105"/>
      <c r="AE1026" s="105"/>
      <c r="AF1026" s="105"/>
      <c r="AG1026" s="105"/>
      <c r="AH1026" s="105"/>
      <c r="AI1026" s="105"/>
      <c r="AJ1026" s="171"/>
      <c r="AK1026" s="105">
        <f>IF($AK$883&gt;0,IPMT('Assumptions (Solar)'!$V$8,Model!W$1,'Assumptions (Solar)'!$V$11,'Assumptions (Solar)'!$V$6*Model!$AK$883*('Assumptions (Solar)'!$AI$18*'Assumptions (Solar)'!$AI$2+'Assumptions (Solar)'!$AI$19*'Assumptions (Solar)'!$AI$3)/10^9),0)</f>
        <v>-86.434607671102583</v>
      </c>
      <c r="AL1026" s="105">
        <f>IF($AK$883&gt;0,IPMT('Assumptions (Solar)'!$V$8,Model!X$1,'Assumptions (Solar)'!$V$11,'Assumptions (Solar)'!$V$6*Model!$AK$883*('Assumptions (Solar)'!$AI$18*'Assumptions (Solar)'!$AI$2+'Assumptions (Solar)'!$AI$19*'Assumptions (Solar)'!$AI$3)/10^9),0)</f>
        <v>-80.468070897834068</v>
      </c>
      <c r="AM1026" s="105">
        <f>IF($AK$883&gt;0,IPMT('Assumptions (Solar)'!$V$8,Model!Y$1,'Assumptions (Solar)'!$V$11,'Assumptions (Solar)'!$V$6*Model!$AK$883*('Assumptions (Solar)'!$AI$18*'Assumptions (Solar)'!$AI$2+'Assumptions (Solar)'!$AI$19*'Assumptions (Solar)'!$AI$3)/10^9),0)</f>
        <v>-74.02421118270405</v>
      </c>
      <c r="AN1026" s="105">
        <f>IF($AK$883&gt;0,IPMT('Assumptions (Solar)'!$V$8,Model!Z$1,'Assumptions (Solar)'!$V$11,'Assumptions (Solar)'!$V$6*Model!$AK$883*('Assumptions (Solar)'!$AI$18*'Assumptions (Solar)'!$AI$2+'Assumptions (Solar)'!$AI$19*'Assumptions (Solar)'!$AI$3)/10^9),0)</f>
        <v>-67.064842690363633</v>
      </c>
      <c r="AO1026" s="105">
        <f>IF($AK$883&gt;0,IPMT('Assumptions (Solar)'!$V$8,Model!AA$1,'Assumptions (Solar)'!$V$11,'Assumptions (Solar)'!$V$6*Model!$AK$883*('Assumptions (Solar)'!$AI$18*'Assumptions (Solar)'!$AI$2+'Assumptions (Solar)'!$AI$19*'Assumptions (Solar)'!$AI$3)/10^9),0)</f>
        <v>-59.548724718635995</v>
      </c>
      <c r="AP1026" s="105">
        <f>IF($AK$883&gt;0,IPMT('Assumptions (Solar)'!$V$8,Model!AB$1,'Assumptions (Solar)'!$V$11,'Assumptions (Solar)'!$V$6*Model!$AK$883*('Assumptions (Solar)'!$AI$18*'Assumptions (Solar)'!$AI$2+'Assumptions (Solar)'!$AI$19*'Assumptions (Solar)'!$AI$3)/10^9),0)</f>
        <v>-51.431317309170154</v>
      </c>
      <c r="AQ1026" s="105">
        <f>IF($AK$883&gt;0,IPMT('Assumptions (Solar)'!$V$8,Model!AC$1,'Assumptions (Solar)'!$V$11,'Assumptions (Solar)'!$V$6*Model!$AK$883*('Assumptions (Solar)'!$AI$18*'Assumptions (Solar)'!$AI$2+'Assumptions (Solar)'!$AI$19*'Assumptions (Solar)'!$AI$3)/10^9),0)</f>
        <v>-42.664517306947026</v>
      </c>
      <c r="AR1026" s="105">
        <f>IF($AK$883&gt;0,IPMT('Assumptions (Solar)'!$V$8,Model!AD$1,'Assumptions (Solar)'!$V$11,'Assumptions (Solar)'!$V$6*Model!$AK$883*('Assumptions (Solar)'!$AI$18*'Assumptions (Solar)'!$AI$2+'Assumptions (Solar)'!$AI$19*'Assumptions (Solar)'!$AI$3)/10^9),0)</f>
        <v>-33.196373304546057</v>
      </c>
      <c r="AS1026" s="105">
        <f>IF($AK$883&gt;0,IPMT('Assumptions (Solar)'!$V$8,Model!AE$1,'Assumptions (Solar)'!$V$11,'Assumptions (Solar)'!$V$6*Model!$AK$883*('Assumptions (Solar)'!$AI$18*'Assumptions (Solar)'!$AI$2+'Assumptions (Solar)'!$AI$19*'Assumptions (Solar)'!$AI$3)/10^9),0)</f>
        <v>-22.970777781953014</v>
      </c>
      <c r="AT1026" s="105">
        <f>IF($AK$883&gt;0,IPMT('Assumptions (Solar)'!$V$8,Model!AF$1,'Assumptions (Solar)'!$V$11,'Assumptions (Solar)'!$V$6*Model!$AK$883*('Assumptions (Solar)'!$AI$18*'Assumptions (Solar)'!$AI$2+'Assumptions (Solar)'!$AI$19*'Assumptions (Solar)'!$AI$3)/10^9),0)</f>
        <v>-11.927134617552527</v>
      </c>
      <c r="AU1026" s="105" t="e">
        <f>IF($AK$883&gt;0,IPMT('Assumptions (Solar)'!$V$8,Model!AG$1,'Assumptions (Solar)'!$V$11,'Assumptions (Solar)'!$V$6*Model!$AK$883*('Assumptions (Solar)'!$AI$18*'Assumptions (Solar)'!$AI$2+'Assumptions (Solar)'!$AI$19*'Assumptions (Solar)'!$AI$3)/10^9),0)</f>
        <v>#NUM!</v>
      </c>
      <c r="AV1026" s="105" t="e">
        <f>IF($AK$883&gt;0,IPMT('Assumptions (Solar)'!$V$8,Model!AH$1,'Assumptions (Solar)'!$V$11,'Assumptions (Solar)'!$V$6*Model!$AK$883*('Assumptions (Solar)'!$AI$18*'Assumptions (Solar)'!$AI$2+'Assumptions (Solar)'!$AI$19*'Assumptions (Solar)'!$AI$3)/10^9),0)</f>
        <v>#NUM!</v>
      </c>
      <c r="AW1026" s="105" t="e">
        <f>IF($AK$883&gt;0,IPMT('Assumptions (Solar)'!$V$8,Model!AI$1,'Assumptions (Solar)'!$V$11,'Assumptions (Solar)'!$V$6*Model!$AK$883*('Assumptions (Solar)'!$AI$18*'Assumptions (Solar)'!$AI$2+'Assumptions (Solar)'!$AI$19*'Assumptions (Solar)'!$AI$3)/10^9),0)</f>
        <v>#NUM!</v>
      </c>
      <c r="AX1026" s="105" t="e">
        <f>IF($AK$883&gt;0,IPMT('Assumptions (Solar)'!$V$8,Model!AJ$1,'Assumptions (Solar)'!$V$11,'Assumptions (Solar)'!$V$6*Model!$AK$883*('Assumptions (Solar)'!$AI$18*'Assumptions (Solar)'!$AI$2+'Assumptions (Solar)'!$AI$19*'Assumptions (Solar)'!$AI$3)/10^9),0)</f>
        <v>#NUM!</v>
      </c>
      <c r="AY1026" s="105" t="e">
        <f>IF($AK$883&gt;0,IPMT('Assumptions (Solar)'!$V$8,Model!AK$1,'Assumptions (Solar)'!$V$11,'Assumptions (Solar)'!$V$6*Model!$AK$883*('Assumptions (Solar)'!$AI$18*'Assumptions (Solar)'!$AI$2+'Assumptions (Solar)'!$AI$19*'Assumptions (Solar)'!$AI$3)/10^9),0)</f>
        <v>#NUM!</v>
      </c>
      <c r="AZ1026" s="105"/>
      <c r="BA1026" s="105"/>
      <c r="BB1026" s="105"/>
      <c r="BC1026" s="105"/>
      <c r="BD1026" s="105"/>
      <c r="BE1026" s="105"/>
      <c r="BF1026" s="105"/>
      <c r="BG1026" s="105"/>
      <c r="BH1026" s="105"/>
      <c r="BI1026" s="105"/>
    </row>
    <row r="1027" spans="1:75" ht="15.75" hidden="1" customHeight="1" outlineLevel="1">
      <c r="A1027" s="401"/>
      <c r="B1027" s="99"/>
      <c r="C1027" s="99"/>
      <c r="D1027" s="99"/>
      <c r="E1027" s="99"/>
      <c r="F1027" s="99"/>
      <c r="G1027" s="99"/>
      <c r="H1027" s="99"/>
      <c r="I1027" s="99"/>
      <c r="J1027" s="99"/>
      <c r="K1027" s="99"/>
      <c r="L1027" s="99"/>
      <c r="M1027" s="99"/>
      <c r="N1027" s="99"/>
      <c r="O1027" s="99"/>
      <c r="P1027" s="99"/>
      <c r="Q1027" s="99"/>
      <c r="R1027" s="99"/>
      <c r="S1027" s="99"/>
      <c r="T1027" s="99"/>
      <c r="U1027" s="99"/>
      <c r="V1027" s="99"/>
      <c r="W1027" s="105"/>
      <c r="X1027" s="105"/>
      <c r="Y1027" s="105"/>
      <c r="Z1027" s="105"/>
      <c r="AA1027" s="105"/>
      <c r="AB1027" s="105"/>
      <c r="AC1027" s="105"/>
      <c r="AD1027" s="105"/>
      <c r="AE1027" s="105"/>
      <c r="AF1027" s="105"/>
      <c r="AG1027" s="105"/>
      <c r="AH1027" s="105"/>
      <c r="AI1027" s="105"/>
      <c r="AJ1027" s="171"/>
      <c r="AK1027" s="105"/>
      <c r="AL1027" s="91">
        <f>IF($AL$883&gt;0,IPMT('Assumptions (Solar)'!$V$8,Model!W$1,'Assumptions (Solar)'!$V$11,'Assumptions (Solar)'!$V$6*Model!$AL$883*('Assumptions (Solar)'!$AJ$18*'Assumptions (Solar)'!$AJ$2+'Assumptions (Solar)'!$AJ$19*'Assumptions (Solar)'!$AJ$3)/10^9),0)</f>
        <v>-87.879929469240665</v>
      </c>
      <c r="AM1027" s="91">
        <f>IF($AL$883&gt;0,IPMT('Assumptions (Solar)'!$V$8,Model!X$1,'Assumptions (Solar)'!$V$11,'Assumptions (Solar)'!$V$6*Model!$AL$883*('Assumptions (Solar)'!$AJ$18*'Assumptions (Solar)'!$AJ$2+'Assumptions (Solar)'!$AJ$19*'Assumptions (Solar)'!$AJ$3)/10^9),0)</f>
        <v>-81.813622871243936</v>
      </c>
      <c r="AN1027" s="91">
        <f>IF($AL$883&gt;0,IPMT('Assumptions (Solar)'!$V$8,Model!Y$1,'Assumptions (Solar)'!$V$11,'Assumptions (Solar)'!$V$6*Model!$AL$883*('Assumptions (Solar)'!$AJ$18*'Assumptions (Solar)'!$AJ$2+'Assumptions (Solar)'!$AJ$19*'Assumptions (Solar)'!$AJ$3)/10^9),0)</f>
        <v>-75.262011745407449</v>
      </c>
      <c r="AO1027" s="91">
        <f>IF($AL$883&gt;0,IPMT('Assumptions (Solar)'!$V$8,Model!Z$1,'Assumptions (Solar)'!$V$11,'Assumptions (Solar)'!$V$6*Model!$AL$883*('Assumptions (Solar)'!$AJ$18*'Assumptions (Solar)'!$AJ$2+'Assumptions (Solar)'!$AJ$19*'Assumptions (Solar)'!$AJ$3)/10^9),0)</f>
        <v>-68.186271729504057</v>
      </c>
      <c r="AP1027" s="91">
        <f>IF($AL$883&gt;0,IPMT('Assumptions (Solar)'!$V$8,Model!AA$1,'Assumptions (Solar)'!$V$11,'Assumptions (Solar)'!$V$6*Model!$AL$883*('Assumptions (Solar)'!$AJ$18*'Assumptions (Solar)'!$AJ$2+'Assumptions (Solar)'!$AJ$19*'Assumptions (Solar)'!$AJ$3)/10^9),0)</f>
        <v>-60.544472512328404</v>
      </c>
      <c r="AQ1027" s="91">
        <f>IF($AL$883&gt;0,IPMT('Assumptions (Solar)'!$V$8,Model!AB$1,'Assumptions (Solar)'!$V$11,'Assumptions (Solar)'!$V$6*Model!$AL$883*('Assumptions (Solar)'!$AJ$18*'Assumptions (Solar)'!$AJ$2+'Assumptions (Solar)'!$AJ$19*'Assumptions (Solar)'!$AJ$3)/10^9),0)</f>
        <v>-52.291329357778686</v>
      </c>
      <c r="AR1027" s="91">
        <f>IF($AL$883&gt;0,IPMT('Assumptions (Solar)'!$V$8,Model!AC$1,'Assumptions (Solar)'!$V$11,'Assumptions (Solar)'!$V$6*Model!$AL$883*('Assumptions (Solar)'!$AJ$18*'Assumptions (Solar)'!$AJ$2+'Assumptions (Solar)'!$AJ$19*'Assumptions (Solar)'!$AJ$3)/10^9),0)</f>
        <v>-43.377934750864988</v>
      </c>
      <c r="AS1027" s="91">
        <f>IF($AL$883&gt;0,IPMT('Assumptions (Solar)'!$V$8,Model!AD$1,'Assumptions (Solar)'!$V$11,'Assumptions (Solar)'!$V$6*Model!$AL$883*('Assumptions (Solar)'!$AJ$18*'Assumptions (Solar)'!$AJ$2+'Assumptions (Solar)'!$AJ$19*'Assumptions (Solar)'!$AJ$3)/10^9),0)</f>
        <v>-33.751468575398206</v>
      </c>
      <c r="AT1027" s="91">
        <f>IF($AL$883&gt;0,IPMT('Assumptions (Solar)'!$V$8,Model!AE$1,'Assumptions (Solar)'!$V$11,'Assumptions (Solar)'!$V$6*Model!$AL$883*('Assumptions (Solar)'!$AJ$18*'Assumptions (Solar)'!$AJ$2+'Assumptions (Solar)'!$AJ$19*'Assumptions (Solar)'!$AJ$3)/10^9),0)</f>
        <v>-23.354885105894077</v>
      </c>
      <c r="AU1027" s="91">
        <f>IF($AL$883&gt;0,IPMT('Assumptions (Solar)'!$V$8,Model!AF$1,'Assumptions (Solar)'!$V$11,'Assumptions (Solar)'!$V$6*Model!$AL$883*('Assumptions (Solar)'!$AJ$18*'Assumptions (Solar)'!$AJ$2+'Assumptions (Solar)'!$AJ$19*'Assumptions (Solar)'!$AJ$3)/10^9),0)</f>
        <v>-12.126574958829618</v>
      </c>
      <c r="AV1027" s="91" t="e">
        <f>IF($AL$883&gt;0,IPMT('Assumptions (Solar)'!$V$8,Model!AG$1,'Assumptions (Solar)'!$V$11,'Assumptions (Solar)'!$V$6*Model!$AL$883*('Assumptions (Solar)'!$AJ$18*'Assumptions (Solar)'!$AJ$2+'Assumptions (Solar)'!$AJ$19*'Assumptions (Solar)'!$AJ$3)/10^9),0)</f>
        <v>#NUM!</v>
      </c>
      <c r="AW1027" s="91" t="e">
        <f>IF($AL$883&gt;0,IPMT('Assumptions (Solar)'!$V$8,Model!AH$1,'Assumptions (Solar)'!$V$11,'Assumptions (Solar)'!$V$6*Model!$AL$883*('Assumptions (Solar)'!$AJ$18*'Assumptions (Solar)'!$AJ$2+'Assumptions (Solar)'!$AJ$19*'Assumptions (Solar)'!$AJ$3)/10^9),0)</f>
        <v>#NUM!</v>
      </c>
      <c r="AX1027" s="91" t="e">
        <f>IF($AL$883&gt;0,IPMT('Assumptions (Solar)'!$V$8,Model!AI$1,'Assumptions (Solar)'!$V$11,'Assumptions (Solar)'!$V$6*Model!$AL$883*('Assumptions (Solar)'!$AJ$18*'Assumptions (Solar)'!$AJ$2+'Assumptions (Solar)'!$AJ$19*'Assumptions (Solar)'!$AJ$3)/10^9),0)</f>
        <v>#NUM!</v>
      </c>
      <c r="AY1027" s="91" t="e">
        <f>IF($AL$883&gt;0,IPMT('Assumptions (Solar)'!$V$8,Model!AJ$1,'Assumptions (Solar)'!$V$11,'Assumptions (Solar)'!$V$6*Model!$AL$883*('Assumptions (Solar)'!$AJ$18*'Assumptions (Solar)'!$AJ$2+'Assumptions (Solar)'!$AJ$19*'Assumptions (Solar)'!$AJ$3)/10^9),0)</f>
        <v>#NUM!</v>
      </c>
      <c r="AZ1027" s="91" t="e">
        <f>IF($AL$883&gt;0,IPMT('Assumptions (Solar)'!$V$8,Model!AK$1,'Assumptions (Solar)'!$V$11,'Assumptions (Solar)'!$V$6*Model!$AL$883*('Assumptions (Solar)'!$AJ$18*'Assumptions (Solar)'!$AJ$2+'Assumptions (Solar)'!$AJ$19*'Assumptions (Solar)'!$AJ$3)/10^9),0)</f>
        <v>#NUM!</v>
      </c>
      <c r="BA1027" s="91"/>
      <c r="BB1027" s="91"/>
      <c r="BC1027" s="91"/>
      <c r="BD1027" s="91"/>
      <c r="BE1027" s="91"/>
      <c r="BF1027" s="91"/>
      <c r="BG1027" s="91"/>
      <c r="BH1027" s="91"/>
      <c r="BI1027" s="91"/>
      <c r="BJ1027" s="91"/>
    </row>
    <row r="1028" spans="1:75" ht="15.75" hidden="1" customHeight="1" outlineLevel="1">
      <c r="A1028" s="401"/>
      <c r="B1028" s="99"/>
      <c r="C1028" s="99"/>
      <c r="D1028" s="99"/>
      <c r="E1028" s="99"/>
      <c r="F1028" s="99"/>
      <c r="G1028" s="99"/>
      <c r="H1028" s="99"/>
      <c r="I1028" s="99"/>
      <c r="J1028" s="99"/>
      <c r="K1028" s="99"/>
      <c r="L1028" s="99"/>
      <c r="M1028" s="99"/>
      <c r="N1028" s="99"/>
      <c r="O1028" s="99"/>
      <c r="P1028" s="99"/>
      <c r="Q1028" s="99"/>
      <c r="R1028" s="99"/>
      <c r="S1028" s="99"/>
      <c r="T1028" s="99"/>
      <c r="U1028" s="99"/>
      <c r="V1028" s="99"/>
      <c r="W1028" s="105"/>
      <c r="X1028" s="105"/>
      <c r="Y1028" s="105"/>
      <c r="Z1028" s="105"/>
      <c r="AA1028" s="105"/>
      <c r="AB1028" s="105"/>
      <c r="AC1028" s="105"/>
      <c r="AD1028" s="105"/>
      <c r="AE1028" s="105"/>
      <c r="AF1028" s="105"/>
      <c r="AG1028" s="105"/>
      <c r="AH1028" s="105"/>
      <c r="AI1028" s="105"/>
      <c r="AJ1028" s="171"/>
      <c r="AK1028" s="105"/>
      <c r="AL1028" s="91"/>
      <c r="AM1028" s="105">
        <f>IF($AM$883&gt;0,IPMT('Assumptions (Solar)'!$V$8,Model!W$1,'Assumptions (Solar)'!$V$11,'Assumptions (Solar)'!$V$6*Model!$AM$883*('Assumptions (Solar)'!$AK$18*'Assumptions (Solar)'!$AK$2+'Assumptions (Solar)'!$AK$19*'Assumptions (Solar)'!$AK$3)/10^9),0)</f>
        <v>-89.310573889095778</v>
      </c>
      <c r="AN1028" s="105">
        <f>IF($AM$883&gt;0,IPMT('Assumptions (Solar)'!$V$8,Model!X$1,'Assumptions (Solar)'!$V$11,'Assumptions (Solar)'!$V$6*Model!$AM$883*('Assumptions (Solar)'!$AK$18*'Assumptions (Solar)'!$AK$2+'Assumptions (Solar)'!$AK$19*'Assumptions (Solar)'!$AK$3)/10^9),0)</f>
        <v>-83.145510638289124</v>
      </c>
      <c r="AO1028" s="105">
        <f>IF($AM$883&gt;0,IPMT('Assumptions (Solar)'!$V$8,Model!Y$1,'Assumptions (Solar)'!$V$11,'Assumptions (Solar)'!$V$6*Model!$AM$883*('Assumptions (Solar)'!$AK$18*'Assumptions (Solar)'!$AK$2+'Assumptions (Solar)'!$AK$19*'Assumptions (Solar)'!$AK$3)/10^9),0)</f>
        <v>-76.487242327417931</v>
      </c>
      <c r="AP1028" s="105">
        <f>IF($AM$883&gt;0,IPMT('Assumptions (Solar)'!$V$8,Model!Z$1,'Assumptions (Solar)'!$V$11,'Assumptions (Solar)'!$V$6*Model!$AM$883*('Assumptions (Solar)'!$AK$18*'Assumptions (Solar)'!$AK$2+'Assumptions (Solar)'!$AK$19*'Assumptions (Solar)'!$AK$3)/10^9),0)</f>
        <v>-69.296312551677033</v>
      </c>
      <c r="AQ1028" s="105">
        <f>IF($AM$883&gt;0,IPMT('Assumptions (Solar)'!$V$8,Model!AA$1,'Assumptions (Solar)'!$V$11,'Assumptions (Solar)'!$V$6*Model!$AM$883*('Assumptions (Solar)'!$AK$18*'Assumptions (Solar)'!$AK$2+'Assumptions (Solar)'!$AK$19*'Assumptions (Solar)'!$AK$3)/10^9),0)</f>
        <v>-61.53010839387688</v>
      </c>
      <c r="AR1028" s="105">
        <f>IF($AM$883&gt;0,IPMT('Assumptions (Solar)'!$V$8,Model!AB$1,'Assumptions (Solar)'!$V$11,'Assumptions (Solar)'!$V$6*Model!$AM$883*('Assumptions (Solar)'!$AK$18*'Assumptions (Solar)'!$AK$2+'Assumptions (Solar)'!$AK$19*'Assumptions (Solar)'!$AK$3)/10^9),0)</f>
        <v>-53.142607903452728</v>
      </c>
      <c r="AS1028" s="105">
        <f>IF($AM$883&gt;0,IPMT('Assumptions (Solar)'!$V$8,Model!AC$1,'Assumptions (Solar)'!$V$11,'Assumptions (Solar)'!$V$6*Model!$AM$883*('Assumptions (Solar)'!$AK$18*'Assumptions (Solar)'!$AK$2+'Assumptions (Solar)'!$AK$19*'Assumptions (Solar)'!$AK$3)/10^9),0)</f>
        <v>-44.084107373794616</v>
      </c>
      <c r="AT1028" s="105">
        <f>IF($AM$883&gt;0,IPMT('Assumptions (Solar)'!$V$8,Model!AD$1,'Assumptions (Solar)'!$V$11,'Assumptions (Solar)'!$V$6*Model!$AM$883*('Assumptions (Solar)'!$AK$18*'Assumptions (Solar)'!$AK$2+'Assumptions (Solar)'!$AK$19*'Assumptions (Solar)'!$AK$3)/10^9),0)</f>
        <v>-34.300926801763872</v>
      </c>
      <c r="AU1028" s="105">
        <f>IF($AM$883&gt;0,IPMT('Assumptions (Solar)'!$V$8,Model!AE$1,'Assumptions (Solar)'!$V$11,'Assumptions (Solar)'!$V$6*Model!$AM$883*('Assumptions (Solar)'!$AK$18*'Assumptions (Solar)'!$AK$2+'Assumptions (Solar)'!$AK$19*'Assumptions (Solar)'!$AK$3)/10^9),0)</f>
        <v>-23.73509178397066</v>
      </c>
      <c r="AV1028" s="105">
        <f>IF($AM$883&gt;0,IPMT('Assumptions (Solar)'!$V$8,Model!AF$1,'Assumptions (Solar)'!$V$11,'Assumptions (Solar)'!$V$6*Model!$AM$883*('Assumptions (Solar)'!$AK$18*'Assumptions (Solar)'!$AK$2+'Assumptions (Solar)'!$AK$19*'Assumptions (Solar)'!$AK$3)/10^9),0)</f>
        <v>-12.323989964753999</v>
      </c>
      <c r="AW1028" s="105" t="e">
        <f>IF($AM$883&gt;0,IPMT('Assumptions (Solar)'!$V$8,Model!AG$1,'Assumptions (Solar)'!$V$11,'Assumptions (Solar)'!$V$6*Model!$AM$883*('Assumptions (Solar)'!$AK$18*'Assumptions (Solar)'!$AK$2+'Assumptions (Solar)'!$AK$19*'Assumptions (Solar)'!$AK$3)/10^9),0)</f>
        <v>#NUM!</v>
      </c>
      <c r="AX1028" s="105" t="e">
        <f>IF($AM$883&gt;0,IPMT('Assumptions (Solar)'!$V$8,Model!AH$1,'Assumptions (Solar)'!$V$11,'Assumptions (Solar)'!$V$6*Model!$AM$883*('Assumptions (Solar)'!$AK$18*'Assumptions (Solar)'!$AK$2+'Assumptions (Solar)'!$AK$19*'Assumptions (Solar)'!$AK$3)/10^9),0)</f>
        <v>#NUM!</v>
      </c>
      <c r="AY1028" s="105" t="e">
        <f>IF($AM$883&gt;0,IPMT('Assumptions (Solar)'!$V$8,Model!AI$1,'Assumptions (Solar)'!$V$11,'Assumptions (Solar)'!$V$6*Model!$AM$883*('Assumptions (Solar)'!$AK$18*'Assumptions (Solar)'!$AK$2+'Assumptions (Solar)'!$AK$19*'Assumptions (Solar)'!$AK$3)/10^9),0)</f>
        <v>#NUM!</v>
      </c>
      <c r="AZ1028" s="105" t="e">
        <f>IF($AM$883&gt;0,IPMT('Assumptions (Solar)'!$V$8,Model!AJ$1,'Assumptions (Solar)'!$V$11,'Assumptions (Solar)'!$V$6*Model!$AM$883*('Assumptions (Solar)'!$AK$18*'Assumptions (Solar)'!$AK$2+'Assumptions (Solar)'!$AK$19*'Assumptions (Solar)'!$AK$3)/10^9),0)</f>
        <v>#NUM!</v>
      </c>
      <c r="BA1028" s="105" t="e">
        <f>IF($AM$883&gt;0,IPMT('Assumptions (Solar)'!$V$8,Model!AK$1,'Assumptions (Solar)'!$V$11,'Assumptions (Solar)'!$V$6*Model!$AM$883*('Assumptions (Solar)'!$AK$18*'Assumptions (Solar)'!$AK$2+'Assumptions (Solar)'!$AK$19*'Assumptions (Solar)'!$AK$3)/10^9),0)</f>
        <v>#NUM!</v>
      </c>
      <c r="BB1028" s="105"/>
      <c r="BC1028" s="105"/>
      <c r="BD1028" s="105"/>
      <c r="BE1028" s="105"/>
      <c r="BF1028" s="105"/>
      <c r="BG1028" s="105"/>
      <c r="BH1028" s="105"/>
      <c r="BI1028" s="105"/>
      <c r="BJ1028" s="105"/>
      <c r="BK1028" s="105"/>
    </row>
    <row r="1029" spans="1:75" ht="15.75" hidden="1" customHeight="1" outlineLevel="1">
      <c r="A1029" s="401"/>
      <c r="B1029" s="99"/>
      <c r="C1029" s="99"/>
      <c r="D1029" s="99"/>
      <c r="E1029" s="99"/>
      <c r="F1029" s="99"/>
      <c r="G1029" s="99"/>
      <c r="H1029" s="99"/>
      <c r="I1029" s="99"/>
      <c r="J1029" s="99"/>
      <c r="K1029" s="99"/>
      <c r="L1029" s="99"/>
      <c r="M1029" s="99"/>
      <c r="N1029" s="99"/>
      <c r="O1029" s="99"/>
      <c r="P1029" s="99"/>
      <c r="Q1029" s="99"/>
      <c r="R1029" s="99"/>
      <c r="S1029" s="99"/>
      <c r="T1029" s="99"/>
      <c r="U1029" s="99"/>
      <c r="V1029" s="99"/>
      <c r="W1029" s="105"/>
      <c r="X1029" s="105"/>
      <c r="Y1029" s="105"/>
      <c r="Z1029" s="105"/>
      <c r="AA1029" s="105"/>
      <c r="AB1029" s="105"/>
      <c r="AC1029" s="105"/>
      <c r="AD1029" s="105"/>
      <c r="AE1029" s="105"/>
      <c r="AF1029" s="105"/>
      <c r="AG1029" s="105"/>
      <c r="AH1029" s="105"/>
      <c r="AI1029" s="105"/>
      <c r="AJ1029" s="171"/>
      <c r="AK1029" s="105"/>
      <c r="AL1029" s="91"/>
      <c r="AM1029" s="91"/>
      <c r="AN1029" s="105">
        <f>IF($AN$883&gt;0,IPMT('Assumptions (Solar)'!$V$8,Model!W$1,'Assumptions (Solar)'!$V$11,'Assumptions (Solar)'!$V$6*Model!$AN$883*('Assumptions (Solar)'!$AL$18*'Assumptions (Solar)'!$AL$2+'Assumptions (Solar)'!$AL$19*'Assumptions (Solar)'!$AL$3)/10^9),0)</f>
        <v>-91.328999979980225</v>
      </c>
      <c r="AO1029" s="105">
        <f>IF($AN$883&gt;0,IPMT('Assumptions (Solar)'!$V$8,Model!X$1,'Assumptions (Solar)'!$V$11,'Assumptions (Solar)'!$V$6*Model!$AN$883*('Assumptions (Solar)'!$AL$18*'Assumptions (Solar)'!$AL$2+'Assumptions (Solar)'!$AL$19*'Assumptions (Solar)'!$AL$3)/10^9),0)</f>
        <v>-85.024605808146973</v>
      </c>
      <c r="AP1029" s="105">
        <f>IF($AN$883&gt;0,IPMT('Assumptions (Solar)'!$V$8,Model!Y$1,'Assumptions (Solar)'!$V$11,'Assumptions (Solar)'!$V$6*Model!$AN$883*('Assumptions (Solar)'!$AL$18*'Assumptions (Solar)'!$AL$2+'Assumptions (Solar)'!$AL$19*'Assumptions (Solar)'!$AL$3)/10^9),0)</f>
        <v>-78.215860102567063</v>
      </c>
      <c r="AQ1029" s="105">
        <f>IF($AN$883&gt;0,IPMT('Assumptions (Solar)'!$V$8,Model!Z$1,'Assumptions (Solar)'!$V$11,'Assumptions (Solar)'!$V$6*Model!$AN$883*('Assumptions (Solar)'!$AL$18*'Assumptions (Solar)'!$AL$2+'Assumptions (Solar)'!$AL$19*'Assumptions (Solar)'!$AL$3)/10^9),0)</f>
        <v>-70.862414740540757</v>
      </c>
      <c r="AR1029" s="105">
        <f>IF($AN$883&gt;0,IPMT('Assumptions (Solar)'!$V$8,Model!AA$1,'Assumptions (Solar)'!$V$11,'Assumptions (Solar)'!$V$6*Model!$AN$883*('Assumptions (Solar)'!$AL$18*'Assumptions (Solar)'!$AL$2+'Assumptions (Solar)'!$AL$19*'Assumptions (Solar)'!$AL$3)/10^9),0)</f>
        <v>-62.920693749552349</v>
      </c>
      <c r="AS1029" s="105">
        <f>IF($AN$883&gt;0,IPMT('Assumptions (Solar)'!$V$8,Model!AB$1,'Assumptions (Solar)'!$V$11,'Assumptions (Solar)'!$V$6*Model!$AN$883*('Assumptions (Solar)'!$AL$18*'Assumptions (Solar)'!$AL$2+'Assumptions (Solar)'!$AL$19*'Assumptions (Solar)'!$AL$3)/10^9),0)</f>
        <v>-54.343635079284887</v>
      </c>
      <c r="AT1029" s="105">
        <f>IF($AN$883&gt;0,IPMT('Assumptions (Solar)'!$V$8,Model!AC$1,'Assumptions (Solar)'!$V$11,'Assumptions (Solar)'!$V$6*Model!$AN$883*('Assumptions (Solar)'!$AL$18*'Assumptions (Solar)'!$AL$2+'Assumptions (Solar)'!$AL$19*'Assumptions (Solar)'!$AL$3)/10^9),0)</f>
        <v>-45.080411715396004</v>
      </c>
      <c r="AU1029" s="105">
        <f>IF($AN$883&gt;0,IPMT('Assumptions (Solar)'!$V$8,Model!AD$1,'Assumptions (Solar)'!$V$11,'Assumptions (Solar)'!$V$6*Model!$AN$883*('Assumptions (Solar)'!$AL$18*'Assumptions (Solar)'!$AL$2+'Assumptions (Solar)'!$AL$19*'Assumptions (Solar)'!$AL$3)/10^9),0)</f>
        <v>-35.076130482396032</v>
      </c>
      <c r="AV1029" s="105">
        <f>IF($AN$883&gt;0,IPMT('Assumptions (Solar)'!$V$8,Model!AE$1,'Assumptions (Solar)'!$V$11,'Assumptions (Solar)'!$V$6*Model!$AN$883*('Assumptions (Solar)'!$AL$18*'Assumptions (Solar)'!$AL$2+'Assumptions (Solar)'!$AL$19*'Assumptions (Solar)'!$AL$3)/10^9),0)</f>
        <v>-24.27150675075605</v>
      </c>
      <c r="AW1029" s="105">
        <f>IF($AN$883&gt;0,IPMT('Assumptions (Solar)'!$V$8,Model!AF$1,'Assumptions (Solar)'!$V$11,'Assumptions (Solar)'!$V$6*Model!$AN$883*('Assumptions (Solar)'!$AL$18*'Assumptions (Solar)'!$AL$2+'Assumptions (Solar)'!$AL$19*'Assumptions (Solar)'!$AL$3)/10^9),0)</f>
        <v>-12.602513120584872</v>
      </c>
      <c r="AX1029" s="105" t="e">
        <f>IF($AN$883&gt;0,IPMT('Assumptions (Solar)'!$V$8,Model!AG$1,'Assumptions (Solar)'!$V$11,'Assumptions (Solar)'!$V$6*Model!$AN$883*('Assumptions (Solar)'!$AL$18*'Assumptions (Solar)'!$AL$2+'Assumptions (Solar)'!$AL$19*'Assumptions (Solar)'!$AL$3)/10^9),0)</f>
        <v>#NUM!</v>
      </c>
      <c r="AY1029" s="105" t="e">
        <f>IF($AN$883&gt;0,IPMT('Assumptions (Solar)'!$V$8,Model!AH$1,'Assumptions (Solar)'!$V$11,'Assumptions (Solar)'!$V$6*Model!$AN$883*('Assumptions (Solar)'!$AL$18*'Assumptions (Solar)'!$AL$2+'Assumptions (Solar)'!$AL$19*'Assumptions (Solar)'!$AL$3)/10^9),0)</f>
        <v>#NUM!</v>
      </c>
      <c r="AZ1029" s="105" t="e">
        <f>IF($AN$883&gt;0,IPMT('Assumptions (Solar)'!$V$8,Model!AI$1,'Assumptions (Solar)'!$V$11,'Assumptions (Solar)'!$V$6*Model!$AN$883*('Assumptions (Solar)'!$AL$18*'Assumptions (Solar)'!$AL$2+'Assumptions (Solar)'!$AL$19*'Assumptions (Solar)'!$AL$3)/10^9),0)</f>
        <v>#NUM!</v>
      </c>
      <c r="BA1029" s="105" t="e">
        <f>IF($AN$883&gt;0,IPMT('Assumptions (Solar)'!$V$8,Model!AJ$1,'Assumptions (Solar)'!$V$11,'Assumptions (Solar)'!$V$6*Model!$AN$883*('Assumptions (Solar)'!$AL$18*'Assumptions (Solar)'!$AL$2+'Assumptions (Solar)'!$AL$19*'Assumptions (Solar)'!$AL$3)/10^9),0)</f>
        <v>#NUM!</v>
      </c>
      <c r="BB1029" s="105" t="e">
        <f>IF($AN$883&gt;0,IPMT('Assumptions (Solar)'!$V$8,Model!AK$1,'Assumptions (Solar)'!$V$11,'Assumptions (Solar)'!$V$6*Model!$AN$883*('Assumptions (Solar)'!$AL$18*'Assumptions (Solar)'!$AL$2+'Assumptions (Solar)'!$AL$19*'Assumptions (Solar)'!$AL$3)/10^9),0)</f>
        <v>#NUM!</v>
      </c>
      <c r="BC1029" s="105"/>
      <c r="BD1029" s="105"/>
      <c r="BE1029" s="105"/>
      <c r="BF1029" s="105"/>
      <c r="BG1029" s="105"/>
      <c r="BH1029" s="105"/>
      <c r="BI1029" s="105"/>
      <c r="BJ1029" s="105"/>
      <c r="BK1029" s="105"/>
      <c r="BL1029" s="105"/>
    </row>
    <row r="1030" spans="1:75" ht="15.75" hidden="1" customHeight="1" outlineLevel="1">
      <c r="A1030" s="401"/>
      <c r="B1030" s="99"/>
      <c r="C1030" s="99"/>
      <c r="D1030" s="99"/>
      <c r="E1030" s="99"/>
      <c r="F1030" s="99"/>
      <c r="G1030" s="99"/>
      <c r="H1030" s="99"/>
      <c r="I1030" s="99"/>
      <c r="J1030" s="99"/>
      <c r="K1030" s="99"/>
      <c r="L1030" s="99"/>
      <c r="M1030" s="99"/>
      <c r="N1030" s="99"/>
      <c r="O1030" s="99"/>
      <c r="P1030" s="99"/>
      <c r="Q1030" s="99"/>
      <c r="R1030" s="99"/>
      <c r="S1030" s="99"/>
      <c r="T1030" s="99"/>
      <c r="U1030" s="99"/>
      <c r="V1030" s="99"/>
      <c r="W1030" s="105"/>
      <c r="X1030" s="105"/>
      <c r="Y1030" s="105"/>
      <c r="Z1030" s="105"/>
      <c r="AA1030" s="105"/>
      <c r="AB1030" s="105"/>
      <c r="AC1030" s="105"/>
      <c r="AD1030" s="105"/>
      <c r="AE1030" s="105"/>
      <c r="AF1030" s="105"/>
      <c r="AG1030" s="105"/>
      <c r="AH1030" s="105"/>
      <c r="AI1030" s="105"/>
      <c r="AJ1030" s="171"/>
      <c r="AK1030" s="105"/>
      <c r="AL1030" s="91"/>
      <c r="AM1030" s="91"/>
      <c r="AN1030" s="91"/>
      <c r="AO1030" s="105">
        <f>IF($AO$883&gt;0,IPMT('Assumptions (Solar)'!$V$8,Model!W$1,'Assumptions (Solar)'!$V$11,'Assumptions (Solar)'!$V$6*Model!$AO$883*('Assumptions (Solar)'!$AM$18*'Assumptions (Solar)'!$AM$2+'Assumptions (Solar)'!$AM$19*'Assumptions (Solar)'!$AM$3)/10^9),0)</f>
        <v>-93.256133403397186</v>
      </c>
      <c r="AP1030" s="105">
        <f>IF($AO$883&gt;0,IPMT('Assumptions (Solar)'!$V$8,Model!X$1,'Assumptions (Solar)'!$V$11,'Assumptions (Solar)'!$V$6*Model!$AO$883*('Assumptions (Solar)'!$AM$18*'Assumptions (Solar)'!$AM$2+'Assumptions (Solar)'!$AM$19*'Assumptions (Solar)'!$AM$3)/10^9),0)</f>
        <v>-86.818710196694425</v>
      </c>
      <c r="AQ1030" s="105">
        <f>IF($AO$883&gt;0,IPMT('Assumptions (Solar)'!$V$8,Model!Y$1,'Assumptions (Solar)'!$V$11,'Assumptions (Solar)'!$V$6*Model!$AO$883*('Assumptions (Solar)'!$AM$18*'Assumptions (Solar)'!$AM$2+'Assumptions (Solar)'!$AM$19*'Assumptions (Solar)'!$AM$3)/10^9),0)</f>
        <v>-79.866293133455429</v>
      </c>
      <c r="AR1030" s="105">
        <f>IF($AO$883&gt;0,IPMT('Assumptions (Solar)'!$V$8,Model!Z$1,'Assumptions (Solar)'!$V$11,'Assumptions (Solar)'!$V$6*Model!$AO$883*('Assumptions (Solar)'!$AM$18*'Assumptions (Solar)'!$AM$2+'Assumptions (Solar)'!$AM$19*'Assumptions (Solar)'!$AM$3)/10^9),0)</f>
        <v>-72.357682705157316</v>
      </c>
      <c r="AS1030" s="105">
        <f>IF($AO$883&gt;0,IPMT('Assumptions (Solar)'!$V$8,Model!AA$1,'Assumptions (Solar)'!$V$11,'Assumptions (Solar)'!$V$6*Model!$AO$883*('Assumptions (Solar)'!$AM$18*'Assumptions (Solar)'!$AM$2+'Assumptions (Solar)'!$AM$19*'Assumptions (Solar)'!$AM$3)/10^9),0)</f>
        <v>-64.248383442595369</v>
      </c>
      <c r="AT1030" s="105">
        <f>IF($AO$883&gt;0,IPMT('Assumptions (Solar)'!$V$8,Model!AB$1,'Assumptions (Solar)'!$V$11,'Assumptions (Solar)'!$V$6*Model!$AO$883*('Assumptions (Solar)'!$AM$18*'Assumptions (Solar)'!$AM$2+'Assumptions (Solar)'!$AM$19*'Assumptions (Solar)'!$AM$3)/10^9),0)</f>
        <v>-55.490340239028463</v>
      </c>
      <c r="AU1030" s="105">
        <f>IF($AO$883&gt;0,IPMT('Assumptions (Solar)'!$V$8,Model!AC$1,'Assumptions (Solar)'!$V$11,'Assumptions (Solar)'!$V$6*Model!$AO$883*('Assumptions (Solar)'!$AM$18*'Assumptions (Solar)'!$AM$2+'Assumptions (Solar)'!$AM$19*'Assumptions (Solar)'!$AM$3)/10^9),0)</f>
        <v>-46.031653579176201</v>
      </c>
      <c r="AV1030" s="105">
        <f>IF($AO$883&gt;0,IPMT('Assumptions (Solar)'!$V$8,Model!AD$1,'Assumptions (Solar)'!$V$11,'Assumptions (Solar)'!$V$6*Model!$AO$883*('Assumptions (Solar)'!$AM$18*'Assumptions (Solar)'!$AM$2+'Assumptions (Solar)'!$AM$19*'Assumptions (Solar)'!$AM$3)/10^9),0)</f>
        <v>-35.81627198653576</v>
      </c>
      <c r="AW1030" s="105">
        <f>IF($AO$883&gt;0,IPMT('Assumptions (Solar)'!$V$8,Model!AE$1,'Assumptions (Solar)'!$V$11,'Assumptions (Solar)'!$V$6*Model!$AO$883*('Assumptions (Solar)'!$AM$18*'Assumptions (Solar)'!$AM$2+'Assumptions (Solar)'!$AM$19*'Assumptions (Solar)'!$AM$3)/10^9),0)</f>
        <v>-24.783659866484086</v>
      </c>
      <c r="AX1030" s="105">
        <f>IF($AO$883&gt;0,IPMT('Assumptions (Solar)'!$V$8,Model!AF$1,'Assumptions (Solar)'!$V$11,'Assumptions (Solar)'!$V$6*Model!$AO$883*('Assumptions (Solar)'!$AM$18*'Assumptions (Solar)'!$AM$2+'Assumptions (Solar)'!$AM$19*'Assumptions (Solar)'!$AM$3)/10^9),0)</f>
        <v>-12.868438776828276</v>
      </c>
      <c r="AY1030" s="105" t="e">
        <f>IF($AO$883&gt;0,IPMT('Assumptions (Solar)'!$V$8,Model!AG$1,'Assumptions (Solar)'!$V$11,'Assumptions (Solar)'!$V$6*Model!$AO$883*('Assumptions (Solar)'!$AM$18*'Assumptions (Solar)'!$AM$2+'Assumptions (Solar)'!$AM$19*'Assumptions (Solar)'!$AM$3)/10^9),0)</f>
        <v>#NUM!</v>
      </c>
      <c r="AZ1030" s="105" t="e">
        <f>IF($AO$883&gt;0,IPMT('Assumptions (Solar)'!$V$8,Model!AH$1,'Assumptions (Solar)'!$V$11,'Assumptions (Solar)'!$V$6*Model!$AO$883*('Assumptions (Solar)'!$AM$18*'Assumptions (Solar)'!$AM$2+'Assumptions (Solar)'!$AM$19*'Assumptions (Solar)'!$AM$3)/10^9),0)</f>
        <v>#NUM!</v>
      </c>
      <c r="BA1030" s="105" t="e">
        <f>IF($AO$883&gt;0,IPMT('Assumptions (Solar)'!$V$8,Model!AI$1,'Assumptions (Solar)'!$V$11,'Assumptions (Solar)'!$V$6*Model!$AO$883*('Assumptions (Solar)'!$AM$18*'Assumptions (Solar)'!$AM$2+'Assumptions (Solar)'!$AM$19*'Assumptions (Solar)'!$AM$3)/10^9),0)</f>
        <v>#NUM!</v>
      </c>
      <c r="BB1030" s="105" t="e">
        <f>IF($AO$883&gt;0,IPMT('Assumptions (Solar)'!$V$8,Model!AJ$1,'Assumptions (Solar)'!$V$11,'Assumptions (Solar)'!$V$6*Model!$AO$883*('Assumptions (Solar)'!$AM$18*'Assumptions (Solar)'!$AM$2+'Assumptions (Solar)'!$AM$19*'Assumptions (Solar)'!$AM$3)/10^9),0)</f>
        <v>#NUM!</v>
      </c>
      <c r="BC1030" s="105" t="e">
        <f>IF($AO$883&gt;0,IPMT('Assumptions (Solar)'!$V$8,Model!AK$1,'Assumptions (Solar)'!$V$11,'Assumptions (Solar)'!$V$6*Model!$AO$883*('Assumptions (Solar)'!$AM$18*'Assumptions (Solar)'!$AM$2+'Assumptions (Solar)'!$AM$19*'Assumptions (Solar)'!$AM$3)/10^9),0)</f>
        <v>#NUM!</v>
      </c>
      <c r="BD1030" s="105"/>
      <c r="BE1030" s="105"/>
      <c r="BF1030" s="105"/>
      <c r="BG1030" s="105"/>
      <c r="BH1030" s="105"/>
      <c r="BI1030" s="105"/>
      <c r="BJ1030" s="105"/>
      <c r="BK1030" s="105"/>
      <c r="BL1030" s="105"/>
      <c r="BM1030" s="105"/>
    </row>
    <row r="1031" spans="1:75" ht="15.75" hidden="1" customHeight="1" outlineLevel="1">
      <c r="A1031" s="401"/>
      <c r="B1031" s="99"/>
      <c r="C1031" s="99"/>
      <c r="D1031" s="99"/>
      <c r="E1031" s="99"/>
      <c r="F1031" s="99"/>
      <c r="G1031" s="99"/>
      <c r="H1031" s="99"/>
      <c r="I1031" s="99"/>
      <c r="J1031" s="99"/>
      <c r="K1031" s="99"/>
      <c r="L1031" s="99"/>
      <c r="M1031" s="99"/>
      <c r="N1031" s="99"/>
      <c r="O1031" s="99"/>
      <c r="P1031" s="99"/>
      <c r="Q1031" s="99"/>
      <c r="R1031" s="99"/>
      <c r="S1031" s="99"/>
      <c r="T1031" s="99"/>
      <c r="U1031" s="99"/>
      <c r="V1031" s="99"/>
      <c r="W1031" s="105"/>
      <c r="X1031" s="105"/>
      <c r="Y1031" s="105"/>
      <c r="Z1031" s="105"/>
      <c r="AA1031" s="105"/>
      <c r="AB1031" s="105"/>
      <c r="AC1031" s="105"/>
      <c r="AD1031" s="105"/>
      <c r="AE1031" s="105"/>
      <c r="AF1031" s="105"/>
      <c r="AG1031" s="105"/>
      <c r="AH1031" s="105"/>
      <c r="AI1031" s="105"/>
      <c r="AJ1031" s="171"/>
      <c r="AK1031" s="105"/>
      <c r="AL1031" s="91"/>
      <c r="AM1031" s="91"/>
      <c r="AN1031" s="91"/>
      <c r="AO1031" s="105"/>
      <c r="AP1031" s="105">
        <f>IF($AP$883&gt;0,IPMT('Assumptions (Solar)'!$V$8,Model!W$1,'Assumptions (Solar)'!$V$11,'Assumptions (Solar)'!$V$6*Model!$AP$883*('Assumptions (Solar)'!$AN$18*'Assumptions (Solar)'!$AN$2+'Assumptions (Solar)'!$AN$19*'Assumptions (Solar)'!$AN$3)/10^9),0)</f>
        <v>-95.180993580533013</v>
      </c>
      <c r="AQ1031" s="105">
        <f>IF($AP$883&gt;0,IPMT('Assumptions (Solar)'!$V$8,Model!X$1,'Assumptions (Solar)'!$V$11,'Assumptions (Solar)'!$V$6*Model!$AP$883*('Assumptions (Solar)'!$AN$18*'Assumptions (Solar)'!$AN$2+'Assumptions (Solar)'!$AN$19*'Assumptions (Solar)'!$AN$3)/10^9),0)</f>
        <v>-88.610698259989206</v>
      </c>
      <c r="AR1031" s="105">
        <f>IF($AP$883&gt;0,IPMT('Assumptions (Solar)'!$V$8,Model!Y$1,'Assumptions (Solar)'!$V$11,'Assumptions (Solar)'!$V$6*Model!$AP$883*('Assumptions (Solar)'!$AN$18*'Assumptions (Solar)'!$AN$2+'Assumptions (Solar)'!$AN$19*'Assumptions (Solar)'!$AN$3)/10^9),0)</f>
        <v>-81.514779313801881</v>
      </c>
      <c r="AS1031" s="105">
        <f>IF($AP$883&gt;0,IPMT('Assumptions (Solar)'!$V$8,Model!Z$1,'Assumptions (Solar)'!$V$11,'Assumptions (Solar)'!$V$6*Model!$AP$883*('Assumptions (Solar)'!$AN$18*'Assumptions (Solar)'!$AN$2+'Assumptions (Solar)'!$AN$19*'Assumptions (Solar)'!$AN$3)/10^9),0)</f>
        <v>-73.851186851919564</v>
      </c>
      <c r="AT1031" s="105">
        <f>IF($AP$883&gt;0,IPMT('Assumptions (Solar)'!$V$8,Model!AA$1,'Assumptions (Solar)'!$V$11,'Assumptions (Solar)'!$V$6*Model!$AP$883*('Assumptions (Solar)'!$AN$18*'Assumptions (Solar)'!$AN$2+'Assumptions (Solar)'!$AN$19*'Assumptions (Solar)'!$AN$3)/10^9),0)</f>
        <v>-65.574506993086686</v>
      </c>
      <c r="AU1031" s="105">
        <f>IF($AP$883&gt;0,IPMT('Assumptions (Solar)'!$V$8,Model!AB$1,'Assumptions (Solar)'!$V$11,'Assumptions (Solar)'!$V$6*Model!$AP$883*('Assumptions (Solar)'!$AN$18*'Assumptions (Solar)'!$AN$2+'Assumptions (Solar)'!$AN$19*'Assumptions (Solar)'!$AN$3)/10^9),0)</f>
        <v>-56.635692745547175</v>
      </c>
      <c r="AV1031" s="105">
        <f>IF($AP$883&gt;0,IPMT('Assumptions (Solar)'!$V$8,Model!AC$1,'Assumptions (Solar)'!$V$11,'Assumptions (Solar)'!$V$6*Model!$AP$883*('Assumptions (Solar)'!$AN$18*'Assumptions (Solar)'!$AN$2+'Assumptions (Solar)'!$AN$19*'Assumptions (Solar)'!$AN$3)/10^9),0)</f>
        <v>-46.981773358204492</v>
      </c>
      <c r="AW1031" s="105">
        <f>IF($AP$883&gt;0,IPMT('Assumptions (Solar)'!$V$8,Model!AD$1,'Assumptions (Solar)'!$V$11,'Assumptions (Solar)'!$V$6*Model!$AP$883*('Assumptions (Solar)'!$AN$18*'Assumptions (Solar)'!$AN$2+'Assumptions (Solar)'!$AN$19*'Assumptions (Solar)'!$AN$3)/10^9),0)</f>
        <v>-36.555540419874397</v>
      </c>
      <c r="AX1031" s="105">
        <f>IF($AP$883&gt;0,IPMT('Assumptions (Solar)'!$V$8,Model!AE$1,'Assumptions (Solar)'!$V$11,'Assumptions (Solar)'!$V$6*Model!$AP$883*('Assumptions (Solar)'!$AN$18*'Assumptions (Solar)'!$AN$2+'Assumptions (Solar)'!$AN$19*'Assumptions (Solar)'!$AN$3)/10^9),0)</f>
        <v>-25.295208846477898</v>
      </c>
      <c r="AY1031" s="105">
        <f>IF($AP$883&gt;0,IPMT('Assumptions (Solar)'!$V$8,Model!AF$1,'Assumptions (Solar)'!$V$11,'Assumptions (Solar)'!$V$6*Model!$AP$883*('Assumptions (Solar)'!$AN$18*'Assumptions (Solar)'!$AN$2+'Assumptions (Solar)'!$AN$19*'Assumptions (Solar)'!$AN$3)/10^9),0)</f>
        <v>-13.134050747209679</v>
      </c>
      <c r="AZ1031" s="105" t="e">
        <f>IF($AP$883&gt;0,IPMT('Assumptions (Solar)'!$V$8,Model!AG$1,'Assumptions (Solar)'!$V$11,'Assumptions (Solar)'!$V$6*Model!$AP$883*('Assumptions (Solar)'!$AN$18*'Assumptions (Solar)'!$AN$2+'Assumptions (Solar)'!$AN$19*'Assumptions (Solar)'!$AN$3)/10^9),0)</f>
        <v>#NUM!</v>
      </c>
      <c r="BA1031" s="105" t="e">
        <f>IF($AP$883&gt;0,IPMT('Assumptions (Solar)'!$V$8,Model!AH$1,'Assumptions (Solar)'!$V$11,'Assumptions (Solar)'!$V$6*Model!$AP$883*('Assumptions (Solar)'!$AN$18*'Assumptions (Solar)'!$AN$2+'Assumptions (Solar)'!$AN$19*'Assumptions (Solar)'!$AN$3)/10^9),0)</f>
        <v>#NUM!</v>
      </c>
      <c r="BB1031" s="105" t="e">
        <f>IF($AP$883&gt;0,IPMT('Assumptions (Solar)'!$V$8,Model!AI$1,'Assumptions (Solar)'!$V$11,'Assumptions (Solar)'!$V$6*Model!$AP$883*('Assumptions (Solar)'!$AN$18*'Assumptions (Solar)'!$AN$2+'Assumptions (Solar)'!$AN$19*'Assumptions (Solar)'!$AN$3)/10^9),0)</f>
        <v>#NUM!</v>
      </c>
      <c r="BC1031" s="105" t="e">
        <f>IF($AP$883&gt;0,IPMT('Assumptions (Solar)'!$V$8,Model!AJ$1,'Assumptions (Solar)'!$V$11,'Assumptions (Solar)'!$V$6*Model!$AP$883*('Assumptions (Solar)'!$AN$18*'Assumptions (Solar)'!$AN$2+'Assumptions (Solar)'!$AN$19*'Assumptions (Solar)'!$AN$3)/10^9),0)</f>
        <v>#NUM!</v>
      </c>
      <c r="BD1031" s="105" t="e">
        <f>IF($AP$883&gt;0,IPMT('Assumptions (Solar)'!$V$8,Model!AK$1,'Assumptions (Solar)'!$V$11,'Assumptions (Solar)'!$V$6*Model!$AP$883*('Assumptions (Solar)'!$AN$18*'Assumptions (Solar)'!$AN$2+'Assumptions (Solar)'!$AN$19*'Assumptions (Solar)'!$AN$3)/10^9),0)</f>
        <v>#NUM!</v>
      </c>
      <c r="BE1031" s="105"/>
      <c r="BF1031" s="105"/>
      <c r="BG1031" s="105"/>
      <c r="BH1031" s="105"/>
      <c r="BI1031" s="105"/>
      <c r="BJ1031" s="105"/>
      <c r="BK1031" s="105"/>
      <c r="BL1031" s="105"/>
      <c r="BM1031" s="105"/>
      <c r="BN1031" s="105"/>
    </row>
    <row r="1032" spans="1:75" ht="15.75" hidden="1" customHeight="1" outlineLevel="1">
      <c r="A1032" s="401"/>
      <c r="B1032" s="99"/>
      <c r="C1032" s="99"/>
      <c r="D1032" s="99"/>
      <c r="E1032" s="99"/>
      <c r="F1032" s="99"/>
      <c r="G1032" s="99"/>
      <c r="H1032" s="99"/>
      <c r="I1032" s="99"/>
      <c r="J1032" s="99"/>
      <c r="K1032" s="99"/>
      <c r="L1032" s="99"/>
      <c r="M1032" s="99"/>
      <c r="N1032" s="99"/>
      <c r="O1032" s="99"/>
      <c r="P1032" s="99"/>
      <c r="Q1032" s="99"/>
      <c r="R1032" s="99"/>
      <c r="S1032" s="99"/>
      <c r="T1032" s="99"/>
      <c r="U1032" s="99"/>
      <c r="V1032" s="99"/>
      <c r="W1032" s="105"/>
      <c r="X1032" s="105"/>
      <c r="Y1032" s="105"/>
      <c r="Z1032" s="105"/>
      <c r="AA1032" s="105"/>
      <c r="AB1032" s="105"/>
      <c r="AC1032" s="105"/>
      <c r="AD1032" s="105"/>
      <c r="AE1032" s="105"/>
      <c r="AF1032" s="105"/>
      <c r="AG1032" s="105"/>
      <c r="AH1032" s="105"/>
      <c r="AI1032" s="105"/>
      <c r="AJ1032" s="171"/>
      <c r="AK1032" s="105"/>
      <c r="AL1032" s="91"/>
      <c r="AM1032" s="91"/>
      <c r="AN1032" s="91"/>
      <c r="AO1032" s="105"/>
      <c r="AP1032" s="105"/>
      <c r="AQ1032" s="105">
        <f>IF($AQ$883&gt;0,IPMT('Assumptions (Solar)'!$V$8,Model!W$1,'Assumptions (Solar)'!$V$11,'Assumptions (Solar)'!$V$6*Model!$AQ$883*('Assumptions (Solar)'!$AO$18*'Assumptions (Solar)'!$AO$2+'Assumptions (Solar)'!$AO$19*'Assumptions (Solar)'!$AO$3)/10^9),0)</f>
        <v>-97.305066162262975</v>
      </c>
      <c r="AR1032" s="105">
        <f>IF($AQ$883&gt;0,IPMT('Assumptions (Solar)'!$V$8,Model!X$1,'Assumptions (Solar)'!$V$11,'Assumptions (Solar)'!$V$6*Model!$AQ$883*('Assumptions (Solar)'!$AO$18*'Assumptions (Solar)'!$AO$2+'Assumptions (Solar)'!$AO$19*'Assumptions (Solar)'!$AO$3)/10^9),0)</f>
        <v>-90.588147197446872</v>
      </c>
      <c r="AS1032" s="105">
        <f>IF($AQ$883&gt;0,IPMT('Assumptions (Solar)'!$V$8,Model!Y$1,'Assumptions (Solar)'!$V$11,'Assumptions (Solar)'!$V$6*Model!$AQ$883*('Assumptions (Solar)'!$AO$18*'Assumptions (Solar)'!$AO$2+'Assumptions (Solar)'!$AO$19*'Assumptions (Solar)'!$AO$3)/10^9),0)</f>
        <v>-83.333874715445475</v>
      </c>
      <c r="AT1032" s="105">
        <f>IF($AQ$883&gt;0,IPMT('Assumptions (Solar)'!$V$8,Model!Z$1,'Assumptions (Solar)'!$V$11,'Assumptions (Solar)'!$V$6*Model!$AQ$883*('Assumptions (Solar)'!$AO$18*'Assumptions (Solar)'!$AO$2+'Assumptions (Solar)'!$AO$19*'Assumptions (Solar)'!$AO$3)/10^9),0)</f>
        <v>-75.499260434883951</v>
      </c>
      <c r="AU1032" s="105">
        <f>IF($AQ$883&gt;0,IPMT('Assumptions (Solar)'!$V$8,Model!AA$1,'Assumptions (Solar)'!$V$11,'Assumptions (Solar)'!$V$6*Model!$AQ$883*('Assumptions (Solar)'!$AO$18*'Assumptions (Solar)'!$AO$2+'Assumptions (Solar)'!$AO$19*'Assumptions (Solar)'!$AO$3)/10^9),0)</f>
        <v>-67.037877011877512</v>
      </c>
      <c r="AV1032" s="105">
        <f>IF($AQ$883&gt;0,IPMT('Assumptions (Solar)'!$V$8,Model!AB$1,'Assumptions (Solar)'!$V$11,'Assumptions (Solar)'!$V$6*Model!$AQ$883*('Assumptions (Solar)'!$AO$18*'Assumptions (Solar)'!$AO$2+'Assumptions (Solar)'!$AO$19*'Assumptions (Solar)'!$AO$3)/10^9),0)</f>
        <v>-57.899582915030585</v>
      </c>
      <c r="AW1032" s="105">
        <f>IF($AQ$883&gt;0,IPMT('Assumptions (Solar)'!$V$8,Model!AC$1,'Assumptions (Solar)'!$V$11,'Assumptions (Solar)'!$V$6*Model!$AQ$883*('Assumptions (Solar)'!$AO$18*'Assumptions (Solar)'!$AO$2+'Assumptions (Solar)'!$AO$19*'Assumptions (Solar)'!$AO$3)/10^9),0)</f>
        <v>-48.030225290435872</v>
      </c>
      <c r="AX1032" s="105">
        <f>IF($AQ$883&gt;0,IPMT('Assumptions (Solar)'!$V$8,Model!AD$1,'Assumptions (Solar)'!$V$11,'Assumptions (Solar)'!$V$6*Model!$AQ$883*('Assumptions (Solar)'!$AO$18*'Assumptions (Solar)'!$AO$2+'Assumptions (Solar)'!$AO$19*'Assumptions (Solar)'!$AO$3)/10^9),0)</f>
        <v>-37.371319055873606</v>
      </c>
      <c r="AY1032" s="105">
        <f>IF($AQ$883&gt;0,IPMT('Assumptions (Solar)'!$V$8,Model!AE$1,'Assumptions (Solar)'!$V$11,'Assumptions (Solar)'!$V$6*Model!$AQ$883*('Assumptions (Solar)'!$AO$18*'Assumptions (Solar)'!$AO$2+'Assumptions (Solar)'!$AO$19*'Assumptions (Solar)'!$AO$3)/10^9),0)</f>
        <v>-25.859700322546352</v>
      </c>
      <c r="AZ1032" s="105">
        <f>IF($AQ$883&gt;0,IPMT('Assumptions (Solar)'!$V$8,Model!AF$1,'Assumptions (Solar)'!$V$11,'Assumptions (Solar)'!$V$6*Model!$AQ$883*('Assumptions (Solar)'!$AO$18*'Assumptions (Solar)'!$AO$2+'Assumptions (Solar)'!$AO$19*'Assumptions (Solar)'!$AO$3)/10^9),0)</f>
        <v>-13.42715209055291</v>
      </c>
      <c r="BA1032" s="105" t="e">
        <f>IF($AQ$883&gt;0,IPMT('Assumptions (Solar)'!$V$8,Model!AG$1,'Assumptions (Solar)'!$V$11,'Assumptions (Solar)'!$V$6*Model!$AQ$883*('Assumptions (Solar)'!$AO$18*'Assumptions (Solar)'!$AO$2+'Assumptions (Solar)'!$AO$19*'Assumptions (Solar)'!$AO$3)/10^9),0)</f>
        <v>#NUM!</v>
      </c>
      <c r="BB1032" s="105" t="e">
        <f>IF($AQ$883&gt;0,IPMT('Assumptions (Solar)'!$V$8,Model!AH$1,'Assumptions (Solar)'!$V$11,'Assumptions (Solar)'!$V$6*Model!$AQ$883*('Assumptions (Solar)'!$AO$18*'Assumptions (Solar)'!$AO$2+'Assumptions (Solar)'!$AO$19*'Assumptions (Solar)'!$AO$3)/10^9),0)</f>
        <v>#NUM!</v>
      </c>
      <c r="BC1032" s="105" t="e">
        <f>IF($AQ$883&gt;0,IPMT('Assumptions (Solar)'!$V$8,Model!AI$1,'Assumptions (Solar)'!$V$11,'Assumptions (Solar)'!$V$6*Model!$AQ$883*('Assumptions (Solar)'!$AO$18*'Assumptions (Solar)'!$AO$2+'Assumptions (Solar)'!$AO$19*'Assumptions (Solar)'!$AO$3)/10^9),0)</f>
        <v>#NUM!</v>
      </c>
      <c r="BD1032" s="105" t="e">
        <f>IF($AQ$883&gt;0,IPMT('Assumptions (Solar)'!$V$8,Model!AJ$1,'Assumptions (Solar)'!$V$11,'Assumptions (Solar)'!$V$6*Model!$AQ$883*('Assumptions (Solar)'!$AO$18*'Assumptions (Solar)'!$AO$2+'Assumptions (Solar)'!$AO$19*'Assumptions (Solar)'!$AO$3)/10^9),0)</f>
        <v>#NUM!</v>
      </c>
      <c r="BE1032" s="105" t="e">
        <f>IF($AQ$883&gt;0,IPMT('Assumptions (Solar)'!$V$8,Model!AK$1,'Assumptions (Solar)'!$V$11,'Assumptions (Solar)'!$V$6*Model!$AQ$883*('Assumptions (Solar)'!$AO$18*'Assumptions (Solar)'!$AO$2+'Assumptions (Solar)'!$AO$19*'Assumptions (Solar)'!$AO$3)/10^9),0)</f>
        <v>#NUM!</v>
      </c>
      <c r="BF1032" s="105"/>
      <c r="BG1032" s="105"/>
      <c r="BH1032" s="105"/>
      <c r="BI1032" s="105"/>
      <c r="BJ1032" s="105"/>
      <c r="BK1032" s="105"/>
      <c r="BL1032" s="105"/>
      <c r="BM1032" s="105"/>
      <c r="BN1032" s="105"/>
      <c r="BO1032" s="105"/>
    </row>
    <row r="1033" spans="1:75" ht="15.75" hidden="1" customHeight="1" outlineLevel="1">
      <c r="A1033" s="401"/>
      <c r="B1033" s="99"/>
      <c r="C1033" s="99"/>
      <c r="D1033" s="99"/>
      <c r="E1033" s="99"/>
      <c r="F1033" s="99"/>
      <c r="G1033" s="99"/>
      <c r="H1033" s="99"/>
      <c r="I1033" s="99"/>
      <c r="J1033" s="99"/>
      <c r="K1033" s="99"/>
      <c r="L1033" s="99"/>
      <c r="M1033" s="99"/>
      <c r="N1033" s="99"/>
      <c r="O1033" s="99"/>
      <c r="P1033" s="99"/>
      <c r="Q1033" s="99"/>
      <c r="R1033" s="99"/>
      <c r="S1033" s="99"/>
      <c r="T1033" s="99"/>
      <c r="U1033" s="99"/>
      <c r="V1033" s="99"/>
      <c r="W1033" s="105"/>
      <c r="X1033" s="105"/>
      <c r="Y1033" s="105"/>
      <c r="Z1033" s="105"/>
      <c r="AA1033" s="105"/>
      <c r="AB1033" s="105"/>
      <c r="AC1033" s="105"/>
      <c r="AD1033" s="105"/>
      <c r="AE1033" s="105"/>
      <c r="AF1033" s="105"/>
      <c r="AG1033" s="105"/>
      <c r="AH1033" s="105"/>
      <c r="AI1033" s="105"/>
      <c r="AJ1033" s="171"/>
      <c r="AK1033" s="105"/>
      <c r="AL1033" s="91"/>
      <c r="AM1033" s="91"/>
      <c r="AN1033" s="91"/>
      <c r="AO1033" s="105"/>
      <c r="AP1033" s="105"/>
      <c r="AQ1033" s="105"/>
      <c r="AR1033" s="105">
        <f>IF($AR$883&gt;0,IPMT('Assumptions (Solar)'!$V$8,Model!W$1,'Assumptions (Solar)'!$V$11,'Assumptions (Solar)'!$V$6*Model!$AR$883*('Assumptions (Solar)'!$AP$18*'Assumptions (Solar)'!$AP$2+'Assumptions (Solar)'!$AP$19*'Assumptions (Solar)'!$AP$3)/10^9),0)</f>
        <v>-99.603956799511636</v>
      </c>
      <c r="AS1033" s="105">
        <f>IF($AR$883&gt;0,IPMT('Assumptions (Solar)'!$V$8,Model!X$1,'Assumptions (Solar)'!$V$11,'Assumptions (Solar)'!$V$6*Model!$AR$883*('Assumptions (Solar)'!$AP$18*'Assumptions (Solar)'!$AP$2+'Assumptions (Solar)'!$AP$19*'Assumptions (Solar)'!$AP$3)/10^9),0)</f>
        <v>-92.728346589435773</v>
      </c>
      <c r="AT1033" s="105">
        <f>IF($AR$883&gt;0,IPMT('Assumptions (Solar)'!$V$8,Model!Y$1,'Assumptions (Solar)'!$V$11,'Assumptions (Solar)'!$V$6*Model!$AR$883*('Assumptions (Solar)'!$AP$18*'Assumptions (Solar)'!$AP$2+'Assumptions (Solar)'!$AP$19*'Assumptions (Solar)'!$AP$3)/10^9),0)</f>
        <v>-85.3026875625538</v>
      </c>
      <c r="AU1033" s="105">
        <f>IF($AR$883&gt;0,IPMT('Assumptions (Solar)'!$V$8,Model!Z$1,'Assumptions (Solar)'!$V$11,'Assumptions (Solar)'!$V$6*Model!$AR$883*('Assumptions (Solar)'!$AP$18*'Assumptions (Solar)'!$AP$2+'Assumptions (Solar)'!$AP$19*'Assumptions (Solar)'!$AP$3)/10^9),0)</f>
        <v>-77.282975813521304</v>
      </c>
      <c r="AV1033" s="105">
        <f>IF($AR$883&gt;0,IPMT('Assumptions (Solar)'!$V$8,Model!AA$1,'Assumptions (Solar)'!$V$11,'Assumptions (Solar)'!$V$6*Model!$AR$883*('Assumptions (Solar)'!$AP$18*'Assumptions (Solar)'!$AP$2+'Assumptions (Solar)'!$AP$19*'Assumptions (Solar)'!$AP$3)/10^9),0)</f>
        <v>-68.621687124566193</v>
      </c>
      <c r="AW1033" s="105">
        <f>IF($AR$883&gt;0,IPMT('Assumptions (Solar)'!$V$8,Model!AB$1,'Assumptions (Solar)'!$V$11,'Assumptions (Solar)'!$V$6*Model!$AR$883*('Assumptions (Solar)'!$AP$18*'Assumptions (Solar)'!$AP$2+'Assumptions (Solar)'!$AP$19*'Assumptions (Solar)'!$AP$3)/10^9),0)</f>
        <v>-59.26749534049469</v>
      </c>
      <c r="AX1033" s="105">
        <f>IF($AR$883&gt;0,IPMT('Assumptions (Solar)'!$V$8,Model!AC$1,'Assumptions (Solar)'!$V$11,'Assumptions (Solar)'!$V$6*Model!$AR$883*('Assumptions (Solar)'!$AP$18*'Assumptions (Solar)'!$AP$2+'Assumptions (Solar)'!$AP$19*'Assumptions (Solar)'!$AP$3)/10^9),0)</f>
        <v>-49.164968213697449</v>
      </c>
      <c r="AY1033" s="105">
        <f>IF($AR$883&gt;0,IPMT('Assumptions (Solar)'!$V$8,Model!AD$1,'Assumptions (Solar)'!$V$11,'Assumptions (Solar)'!$V$6*Model!$AR$883*('Assumptions (Solar)'!$AP$18*'Assumptions (Solar)'!$AP$2+'Assumptions (Solar)'!$AP$19*'Assumptions (Solar)'!$AP$3)/10^9),0)</f>
        <v>-38.254238916756442</v>
      </c>
      <c r="AZ1033" s="105">
        <f>IF($AR$883&gt;0,IPMT('Assumptions (Solar)'!$V$8,Model!AE$1,'Assumptions (Solar)'!$V$11,'Assumptions (Solar)'!$V$6*Model!$AR$883*('Assumptions (Solar)'!$AP$18*'Assumptions (Solar)'!$AP$2+'Assumptions (Solar)'!$AP$19*'Assumptions (Solar)'!$AP$3)/10^9),0)</f>
        <v>-26.470651276060153</v>
      </c>
      <c r="BA1033" s="105">
        <f>IF($AR$883&gt;0,IPMT('Assumptions (Solar)'!$V$8,Model!AF$1,'Assumptions (Solar)'!$V$11,'Assumptions (Solar)'!$V$6*Model!$AR$883*('Assumptions (Solar)'!$AP$18*'Assumptions (Solar)'!$AP$2+'Assumptions (Solar)'!$AP$19*'Assumptions (Solar)'!$AP$3)/10^9),0)</f>
        <v>-13.744376624108154</v>
      </c>
      <c r="BB1033" s="105" t="e">
        <f>IF($AR$883&gt;0,IPMT('Assumptions (Solar)'!$V$8,Model!AG$1,'Assumptions (Solar)'!$V$11,'Assumptions (Solar)'!$V$6*Model!$AR$883*('Assumptions (Solar)'!$AP$18*'Assumptions (Solar)'!$AP$2+'Assumptions (Solar)'!$AP$19*'Assumptions (Solar)'!$AP$3)/10^9),0)</f>
        <v>#NUM!</v>
      </c>
      <c r="BC1033" s="105" t="e">
        <f>IF($AR$883&gt;0,IPMT('Assumptions (Solar)'!$V$8,Model!AH$1,'Assumptions (Solar)'!$V$11,'Assumptions (Solar)'!$V$6*Model!$AR$883*('Assumptions (Solar)'!$AP$18*'Assumptions (Solar)'!$AP$2+'Assumptions (Solar)'!$AP$19*'Assumptions (Solar)'!$AP$3)/10^9),0)</f>
        <v>#NUM!</v>
      </c>
      <c r="BD1033" s="105" t="e">
        <f>IF($AR$883&gt;0,IPMT('Assumptions (Solar)'!$V$8,Model!AI$1,'Assumptions (Solar)'!$V$11,'Assumptions (Solar)'!$V$6*Model!$AR$883*('Assumptions (Solar)'!$AP$18*'Assumptions (Solar)'!$AP$2+'Assumptions (Solar)'!$AP$19*'Assumptions (Solar)'!$AP$3)/10^9),0)</f>
        <v>#NUM!</v>
      </c>
      <c r="BE1033" s="105" t="e">
        <f>IF($AR$883&gt;0,IPMT('Assumptions (Solar)'!$V$8,Model!AJ$1,'Assumptions (Solar)'!$V$11,'Assumptions (Solar)'!$V$6*Model!$AR$883*('Assumptions (Solar)'!$AP$18*'Assumptions (Solar)'!$AP$2+'Assumptions (Solar)'!$AP$19*'Assumptions (Solar)'!$AP$3)/10^9),0)</f>
        <v>#NUM!</v>
      </c>
      <c r="BF1033" s="105" t="e">
        <f>IF($AR$883&gt;0,IPMT('Assumptions (Solar)'!$V$8,Model!AK$1,'Assumptions (Solar)'!$V$11,'Assumptions (Solar)'!$V$6*Model!$AR$883*('Assumptions (Solar)'!$AP$18*'Assumptions (Solar)'!$AP$2+'Assumptions (Solar)'!$AP$19*'Assumptions (Solar)'!$AP$3)/10^9),0)</f>
        <v>#NUM!</v>
      </c>
      <c r="BG1033" s="105"/>
      <c r="BH1033" s="105"/>
      <c r="BI1033" s="105"/>
      <c r="BJ1033" s="105"/>
      <c r="BK1033" s="105"/>
      <c r="BL1033" s="105"/>
      <c r="BM1033" s="105"/>
      <c r="BN1033" s="105"/>
      <c r="BO1033" s="105"/>
      <c r="BP1033" s="105"/>
    </row>
    <row r="1034" spans="1:75" ht="15.75" hidden="1" customHeight="1" outlineLevel="1">
      <c r="A1034" s="401"/>
      <c r="B1034" s="99"/>
      <c r="C1034" s="99"/>
      <c r="D1034" s="99"/>
      <c r="E1034" s="99"/>
      <c r="F1034" s="99"/>
      <c r="G1034" s="99"/>
      <c r="H1034" s="99"/>
      <c r="I1034" s="99"/>
      <c r="J1034" s="99"/>
      <c r="K1034" s="99"/>
      <c r="L1034" s="99"/>
      <c r="M1034" s="99"/>
      <c r="N1034" s="99"/>
      <c r="O1034" s="99"/>
      <c r="P1034" s="99"/>
      <c r="Q1034" s="99"/>
      <c r="R1034" s="99"/>
      <c r="S1034" s="99"/>
      <c r="T1034" s="99"/>
      <c r="U1034" s="99"/>
      <c r="V1034" s="99"/>
      <c r="W1034" s="105"/>
      <c r="X1034" s="105"/>
      <c r="Y1034" s="105"/>
      <c r="Z1034" s="105"/>
      <c r="AA1034" s="105"/>
      <c r="AB1034" s="105"/>
      <c r="AC1034" s="105"/>
      <c r="AD1034" s="105"/>
      <c r="AE1034" s="105"/>
      <c r="AF1034" s="105"/>
      <c r="AG1034" s="105"/>
      <c r="AH1034" s="105"/>
      <c r="AI1034" s="105"/>
      <c r="AJ1034" s="171"/>
      <c r="AK1034" s="105"/>
      <c r="AL1034" s="91"/>
      <c r="AM1034" s="91"/>
      <c r="AN1034" s="91"/>
      <c r="AO1034" s="105"/>
      <c r="AP1034" s="105"/>
      <c r="AQ1034" s="105"/>
      <c r="AR1034" s="105"/>
      <c r="AS1034" s="105">
        <f>IF($AS$883&gt;0,IPMT('Assumptions (Solar)'!$V$8,Model!W$1,'Assumptions (Solar)'!$V$11,'Assumptions (Solar)'!$V$6*Model!$AS$883*('Assumptions (Solar)'!$AQ$18*'Assumptions (Solar)'!$AQ$2+'Assumptions (Solar)'!$AQ$19*'Assumptions (Solar)'!$AQ$3)/10^9),0)</f>
        <v>-101.89821746841324</v>
      </c>
      <c r="AT1034" s="105">
        <f>IF($AS$883&gt;0,IPMT('Assumptions (Solar)'!$V$8,Model!X$1,'Assumptions (Solar)'!$V$11,'Assumptions (Solar)'!$V$6*Model!$AS$883*('Assumptions (Solar)'!$AQ$18*'Assumptions (Solar)'!$AQ$2+'Assumptions (Solar)'!$AQ$19*'Assumptions (Solar)'!$AQ$3)/10^9),0)</f>
        <v>-94.86423561742528</v>
      </c>
      <c r="AU1034" s="105">
        <f>IF($AS$883&gt;0,IPMT('Assumptions (Solar)'!$V$8,Model!Y$1,'Assumptions (Solar)'!$V$11,'Assumptions (Solar)'!$V$6*Model!$AS$883*('Assumptions (Solar)'!$AQ$18*'Assumptions (Solar)'!$AQ$2+'Assumptions (Solar)'!$AQ$19*'Assumptions (Solar)'!$AQ$3)/10^9),0)</f>
        <v>-87.267535218358262</v>
      </c>
      <c r="AV1034" s="105">
        <f>IF($AS$883&gt;0,IPMT('Assumptions (Solar)'!$V$8,Model!Z$1,'Assumptions (Solar)'!$V$11,'Assumptions (Solar)'!$V$6*Model!$AS$883*('Assumptions (Solar)'!$AQ$18*'Assumptions (Solar)'!$AQ$2+'Assumptions (Solar)'!$AQ$19*'Assumptions (Solar)'!$AQ$3)/10^9),0)</f>
        <v>-79.063098787365902</v>
      </c>
      <c r="AW1034" s="105">
        <f>IF($AS$883&gt;0,IPMT('Assumptions (Solar)'!$V$8,Model!AA$1,'Assumptions (Solar)'!$V$11,'Assumptions (Solar)'!$V$6*Model!$AS$883*('Assumptions (Solar)'!$AQ$18*'Assumptions (Solar)'!$AQ$2+'Assumptions (Solar)'!$AQ$19*'Assumptions (Solar)'!$AQ$3)/10^9),0)</f>
        <v>-70.202307441894149</v>
      </c>
      <c r="AX1034" s="105">
        <f>IF($AS$883&gt;0,IPMT('Assumptions (Solar)'!$V$8,Model!AB$1,'Assumptions (Solar)'!$V$11,'Assumptions (Solar)'!$V$6*Model!$AS$883*('Assumptions (Solar)'!$AQ$18*'Assumptions (Solar)'!$AQ$2+'Assumptions (Solar)'!$AQ$19*'Assumptions (Solar)'!$AQ$3)/10^9),0)</f>
        <v>-60.632652788784661</v>
      </c>
      <c r="AY1034" s="105">
        <f>IF($AS$883&gt;0,IPMT('Assumptions (Solar)'!$V$8,Model!AC$1,'Assumptions (Solar)'!$V$11,'Assumptions (Solar)'!$V$6*Model!$AS$883*('Assumptions (Solar)'!$AQ$18*'Assumptions (Solar)'!$AQ$2+'Assumptions (Solar)'!$AQ$19*'Assumptions (Solar)'!$AQ$3)/10^9),0)</f>
        <v>-50.297425763426403</v>
      </c>
      <c r="AZ1034" s="105">
        <f>IF($AS$883&gt;0,IPMT('Assumptions (Solar)'!$V$8,Model!AD$1,'Assumptions (Solar)'!$V$11,'Assumptions (Solar)'!$V$6*Model!$AS$883*('Assumptions (Solar)'!$AQ$18*'Assumptions (Solar)'!$AQ$2+'Assumptions (Solar)'!$AQ$19*'Assumptions (Solar)'!$AQ$3)/10^9),0)</f>
        <v>-39.135380576039495</v>
      </c>
      <c r="BA1034" s="105">
        <f>IF($AS$883&gt;0,IPMT('Assumptions (Solar)'!$V$8,Model!AE$1,'Assumptions (Solar)'!$V$11,'Assumptions (Solar)'!$V$6*Model!$AS$883*('Assumptions (Solar)'!$AQ$18*'Assumptions (Solar)'!$AQ$2+'Assumptions (Solar)'!$AQ$19*'Assumptions (Solar)'!$AQ$3)/10^9),0)</f>
        <v>-27.080371773661632</v>
      </c>
      <c r="BB1034" s="105">
        <f>IF($AS$883&gt;0,IPMT('Assumptions (Solar)'!$V$8,Model!AF$1,'Assumptions (Solar)'!$V$11,'Assumptions (Solar)'!$V$6*Model!$AS$883*('Assumptions (Solar)'!$AQ$18*'Assumptions (Solar)'!$AQ$2+'Assumptions (Solar)'!$AQ$19*'Assumptions (Solar)'!$AQ$3)/10^9),0)</f>
        <v>-14.06096226709354</v>
      </c>
      <c r="BC1034" s="105" t="e">
        <f>IF($AS$883&gt;0,IPMT('Assumptions (Solar)'!$V$8,Model!AG$1,'Assumptions (Solar)'!$V$11,'Assumptions (Solar)'!$V$6*Model!$AS$883*('Assumptions (Solar)'!$AQ$18*'Assumptions (Solar)'!$AQ$2+'Assumptions (Solar)'!$AQ$19*'Assumptions (Solar)'!$AQ$3)/10^9),0)</f>
        <v>#NUM!</v>
      </c>
      <c r="BD1034" s="105" t="e">
        <f>IF($AS$883&gt;0,IPMT('Assumptions (Solar)'!$V$8,Model!AH$1,'Assumptions (Solar)'!$V$11,'Assumptions (Solar)'!$V$6*Model!$AS$883*('Assumptions (Solar)'!$AQ$18*'Assumptions (Solar)'!$AQ$2+'Assumptions (Solar)'!$AQ$19*'Assumptions (Solar)'!$AQ$3)/10^9),0)</f>
        <v>#NUM!</v>
      </c>
      <c r="BE1034" s="105" t="e">
        <f>IF($AS$883&gt;0,IPMT('Assumptions (Solar)'!$V$8,Model!AI$1,'Assumptions (Solar)'!$V$11,'Assumptions (Solar)'!$V$6*Model!$AS$883*('Assumptions (Solar)'!$AQ$18*'Assumptions (Solar)'!$AQ$2+'Assumptions (Solar)'!$AQ$19*'Assumptions (Solar)'!$AQ$3)/10^9),0)</f>
        <v>#NUM!</v>
      </c>
      <c r="BF1034" s="105" t="e">
        <f>IF($AS$883&gt;0,IPMT('Assumptions (Solar)'!$V$8,Model!AJ$1,'Assumptions (Solar)'!$V$11,'Assumptions (Solar)'!$V$6*Model!$AS$883*('Assumptions (Solar)'!$AQ$18*'Assumptions (Solar)'!$AQ$2+'Assumptions (Solar)'!$AQ$19*'Assumptions (Solar)'!$AQ$3)/10^9),0)</f>
        <v>#NUM!</v>
      </c>
      <c r="BG1034" s="105" t="e">
        <f>IF($AS$883&gt;0,IPMT('Assumptions (Solar)'!$V$8,Model!AK$1,'Assumptions (Solar)'!$V$11,'Assumptions (Solar)'!$V$6*Model!$AS$883*('Assumptions (Solar)'!$AQ$18*'Assumptions (Solar)'!$AQ$2+'Assumptions (Solar)'!$AQ$19*'Assumptions (Solar)'!$AQ$3)/10^9),0)</f>
        <v>#NUM!</v>
      </c>
      <c r="BH1034" s="105"/>
      <c r="BI1034" s="105"/>
      <c r="BJ1034" s="105"/>
      <c r="BK1034" s="105"/>
      <c r="BL1034" s="105"/>
      <c r="BM1034" s="105"/>
      <c r="BN1034" s="105"/>
      <c r="BO1034" s="105"/>
      <c r="BP1034" s="105"/>
      <c r="BQ1034" s="105"/>
      <c r="BR1034" s="105"/>
    </row>
    <row r="1035" spans="1:75" ht="15.75" hidden="1" customHeight="1" outlineLevel="1">
      <c r="A1035" s="401"/>
      <c r="B1035" s="99"/>
      <c r="C1035" s="99"/>
      <c r="D1035" s="99"/>
      <c r="E1035" s="99"/>
      <c r="F1035" s="99"/>
      <c r="G1035" s="99"/>
      <c r="H1035" s="99"/>
      <c r="I1035" s="99"/>
      <c r="J1035" s="99"/>
      <c r="K1035" s="99"/>
      <c r="L1035" s="99"/>
      <c r="M1035" s="99"/>
      <c r="N1035" s="99"/>
      <c r="O1035" s="99"/>
      <c r="P1035" s="99"/>
      <c r="Q1035" s="99"/>
      <c r="R1035" s="99"/>
      <c r="S1035" s="99"/>
      <c r="T1035" s="99"/>
      <c r="U1035" s="99"/>
      <c r="V1035" s="99"/>
      <c r="W1035" s="105"/>
      <c r="X1035" s="105"/>
      <c r="Y1035" s="105"/>
      <c r="Z1035" s="105"/>
      <c r="AA1035" s="105"/>
      <c r="AB1035" s="105"/>
      <c r="AC1035" s="105"/>
      <c r="AD1035" s="105"/>
      <c r="AE1035" s="105"/>
      <c r="AF1035" s="105"/>
      <c r="AG1035" s="105"/>
      <c r="AH1035" s="105"/>
      <c r="AI1035" s="105"/>
      <c r="AJ1035" s="171"/>
      <c r="AK1035" s="105"/>
      <c r="AL1035" s="91"/>
      <c r="AM1035" s="91"/>
      <c r="AN1035" s="91"/>
      <c r="AO1035" s="105"/>
      <c r="AP1035" s="105"/>
      <c r="AQ1035" s="105"/>
      <c r="AR1035" s="105"/>
      <c r="AS1035" s="105"/>
      <c r="AT1035" s="105">
        <f>IF($AT$883&gt;0,IPMT('Assumptions (Solar)'!$V$8,Model!W$1,'Assumptions (Solar)'!$V$11,'Assumptions (Solar)'!$V$6*Model!$AT$883*('Assumptions (Solar)'!$AR$18*'Assumptions (Solar)'!$AR$2+'Assumptions (Solar)'!$AR$19*'Assumptions (Solar)'!$AR$3)/10^9),0)</f>
        <v>-104.31016699024129</v>
      </c>
      <c r="AU1035" s="105">
        <f>IF($AT$883&gt;0,IPMT('Assumptions (Solar)'!$V$8,Model!X$1,'Assumptions (Solar)'!$V$11,'Assumptions (Solar)'!$V$6*Model!$AT$883*('Assumptions (Solar)'!$AR$18*'Assumptions (Solar)'!$AR$2+'Assumptions (Solar)'!$AR$19*'Assumptions (Solar)'!$AR$3)/10^9),0)</f>
        <v>-97.109689496998385</v>
      </c>
      <c r="AV1035" s="105">
        <f>IF($AT$883&gt;0,IPMT('Assumptions (Solar)'!$V$8,Model!Y$1,'Assumptions (Solar)'!$V$11,'Assumptions (Solar)'!$V$6*Model!$AT$883*('Assumptions (Solar)'!$AR$18*'Assumptions (Solar)'!$AR$2+'Assumptions (Solar)'!$AR$19*'Assumptions (Solar)'!$AR$3)/10^9),0)</f>
        <v>-89.333173804296024</v>
      </c>
      <c r="AW1035" s="105">
        <f>IF($AT$883&gt;0,IPMT('Assumptions (Solar)'!$V$8,Model!Z$1,'Assumptions (Solar)'!$V$11,'Assumptions (Solar)'!$V$6*Model!$AT$883*('Assumptions (Solar)'!$AR$18*'Assumptions (Solar)'!$AR$2+'Assumptions (Solar)'!$AR$19*'Assumptions (Solar)'!$AR$3)/10^9),0)</f>
        <v>-80.934536856177488</v>
      </c>
      <c r="AX1035" s="105">
        <f>IF($AT$883&gt;0,IPMT('Assumptions (Solar)'!$V$8,Model!AA$1,'Assumptions (Solar)'!$V$11,'Assumptions (Solar)'!$V$6*Model!$AT$883*('Assumptions (Solar)'!$AR$18*'Assumptions (Solar)'!$AR$2+'Assumptions (Solar)'!$AR$19*'Assumptions (Solar)'!$AR$3)/10^9),0)</f>
        <v>-71.864008952209474</v>
      </c>
      <c r="AY1035" s="105">
        <f>IF($AT$883&gt;0,IPMT('Assumptions (Solar)'!$V$8,Model!AB$1,'Assumptions (Solar)'!$V$11,'Assumptions (Solar)'!$V$6*Model!$AT$883*('Assumptions (Solar)'!$AR$18*'Assumptions (Solar)'!$AR$2+'Assumptions (Solar)'!$AR$19*'Assumptions (Solar)'!$AR$3)/10^9),0)</f>
        <v>-62.067838815924027</v>
      </c>
      <c r="AZ1035" s="105">
        <f>IF($AT$883&gt;0,IPMT('Assumptions (Solar)'!$V$8,Model!AC$1,'Assumptions (Solar)'!$V$11,'Assumptions (Solar)'!$V$6*Model!$AT$883*('Assumptions (Solar)'!$AR$18*'Assumptions (Solar)'!$AR$2+'Assumptions (Solar)'!$AR$19*'Assumptions (Solar)'!$AR$3)/10^9),0)</f>
        <v>-51.487975068735722</v>
      </c>
      <c r="BA1035" s="105">
        <f>IF($AT$883&gt;0,IPMT('Assumptions (Solar)'!$V$8,Model!AD$1,'Assumptions (Solar)'!$V$11,'Assumptions (Solar)'!$V$6*Model!$AT$883*('Assumptions (Solar)'!$AR$18*'Assumptions (Solar)'!$AR$2+'Assumptions (Solar)'!$AR$19*'Assumptions (Solar)'!$AR$3)/10^9),0)</f>
        <v>-40.061722221772378</v>
      </c>
      <c r="BB1035" s="105">
        <f>IF($AT$883&gt;0,IPMT('Assumptions (Solar)'!$V$8,Model!AE$1,'Assumptions (Solar)'!$V$11,'Assumptions (Solar)'!$V$6*Model!$AT$883*('Assumptions (Solar)'!$AR$18*'Assumptions (Solar)'!$AR$2+'Assumptions (Solar)'!$AR$19*'Assumptions (Solar)'!$AR$3)/10^9),0)</f>
        <v>-27.721369147051956</v>
      </c>
      <c r="BC1035" s="105">
        <f>IF($AT$883&gt;0,IPMT('Assumptions (Solar)'!$V$8,Model!AF$1,'Assumptions (Solar)'!$V$11,'Assumptions (Solar)'!$V$6*Model!$AT$883*('Assumptions (Solar)'!$AR$18*'Assumptions (Solar)'!$AR$2+'Assumptions (Solar)'!$AR$19*'Assumptions (Solar)'!$AR$3)/10^9),0)</f>
        <v>-14.393787826353901</v>
      </c>
      <c r="BD1035" s="105" t="e">
        <f>IF($AT$883&gt;0,IPMT('Assumptions (Solar)'!$V$8,Model!AG$1,'Assumptions (Solar)'!$V$11,'Assumptions (Solar)'!$V$6*Model!$AT$883*('Assumptions (Solar)'!$AR$18*'Assumptions (Solar)'!$AR$2+'Assumptions (Solar)'!$AR$19*'Assumptions (Solar)'!$AR$3)/10^9),0)</f>
        <v>#NUM!</v>
      </c>
      <c r="BE1035" s="105" t="e">
        <f>IF($AT$883&gt;0,IPMT('Assumptions (Solar)'!$V$8,Model!AH$1,'Assumptions (Solar)'!$V$11,'Assumptions (Solar)'!$V$6*Model!$AT$883*('Assumptions (Solar)'!$AR$18*'Assumptions (Solar)'!$AR$2+'Assumptions (Solar)'!$AR$19*'Assumptions (Solar)'!$AR$3)/10^9),0)</f>
        <v>#NUM!</v>
      </c>
      <c r="BF1035" s="105" t="e">
        <f>IF($AT$883&gt;0,IPMT('Assumptions (Solar)'!$V$8,Model!AI$1,'Assumptions (Solar)'!$V$11,'Assumptions (Solar)'!$V$6*Model!$AT$883*('Assumptions (Solar)'!$AR$18*'Assumptions (Solar)'!$AR$2+'Assumptions (Solar)'!$AR$19*'Assumptions (Solar)'!$AR$3)/10^9),0)</f>
        <v>#NUM!</v>
      </c>
      <c r="BG1035" s="105" t="e">
        <f>IF($AT$883&gt;0,IPMT('Assumptions (Solar)'!$V$8,Model!AJ$1,'Assumptions (Solar)'!$V$11,'Assumptions (Solar)'!$V$6*Model!$AT$883*('Assumptions (Solar)'!$AR$18*'Assumptions (Solar)'!$AR$2+'Assumptions (Solar)'!$AR$19*'Assumptions (Solar)'!$AR$3)/10^9),0)</f>
        <v>#NUM!</v>
      </c>
      <c r="BH1035" s="105" t="e">
        <f>IF($AT$883&gt;0,IPMT('Assumptions (Solar)'!$V$8,Model!AK$1,'Assumptions (Solar)'!$V$11,'Assumptions (Solar)'!$V$6*Model!$AT$883*('Assumptions (Solar)'!$AR$18*'Assumptions (Solar)'!$AR$2+'Assumptions (Solar)'!$AR$19*'Assumptions (Solar)'!$AR$3)/10^9),0)</f>
        <v>#NUM!</v>
      </c>
      <c r="BI1035" s="105"/>
      <c r="BJ1035" s="105"/>
      <c r="BK1035" s="105"/>
      <c r="BL1035" s="105"/>
      <c r="BM1035" s="105"/>
      <c r="BN1035" s="105"/>
      <c r="BO1035" s="105"/>
      <c r="BP1035" s="105"/>
      <c r="BQ1035" s="105"/>
      <c r="BR1035" s="105"/>
    </row>
    <row r="1036" spans="1:75" ht="15.75" hidden="1" customHeight="1" outlineLevel="1">
      <c r="A1036" s="401"/>
      <c r="B1036" s="99"/>
      <c r="C1036" s="99"/>
      <c r="D1036" s="99"/>
      <c r="E1036" s="99"/>
      <c r="F1036" s="99"/>
      <c r="G1036" s="99"/>
      <c r="H1036" s="99"/>
      <c r="I1036" s="99"/>
      <c r="J1036" s="99"/>
      <c r="K1036" s="99"/>
      <c r="L1036" s="99"/>
      <c r="M1036" s="99"/>
      <c r="N1036" s="99"/>
      <c r="O1036" s="99"/>
      <c r="P1036" s="99"/>
      <c r="Q1036" s="99"/>
      <c r="R1036" s="99"/>
      <c r="S1036" s="99"/>
      <c r="T1036" s="99"/>
      <c r="U1036" s="99"/>
      <c r="V1036" s="99"/>
      <c r="W1036" s="105"/>
      <c r="X1036" s="105"/>
      <c r="Y1036" s="105"/>
      <c r="Z1036" s="105"/>
      <c r="AA1036" s="105"/>
      <c r="AB1036" s="105"/>
      <c r="AC1036" s="105"/>
      <c r="AD1036" s="105"/>
      <c r="AE1036" s="105"/>
      <c r="AF1036" s="105"/>
      <c r="AG1036" s="105"/>
      <c r="AH1036" s="105"/>
      <c r="AI1036" s="105"/>
      <c r="AJ1036" s="171"/>
      <c r="AK1036" s="105"/>
      <c r="AL1036" s="91"/>
      <c r="AM1036" s="91"/>
      <c r="AN1036" s="91"/>
      <c r="AO1036" s="105"/>
      <c r="AP1036" s="105"/>
      <c r="AQ1036" s="105"/>
      <c r="AR1036" s="105"/>
      <c r="AS1036" s="105"/>
      <c r="AT1036" s="105"/>
      <c r="AU1036" s="105">
        <f>IF($AU$883&gt;0,IPMT('Assumptions (Solar)'!$V$8,Model!W$1,'Assumptions (Solar)'!$V$11,'Assumptions (Solar)'!$V$6*Model!$AU$883*('Assumptions (Solar)'!$AS$18*'Assumptions (Solar)'!$AS$2+'Assumptions (Solar)'!$AS$19*'Assumptions (Solar)'!$AS$3)/10^9),0)</f>
        <v>-106.83482600875539</v>
      </c>
      <c r="AV1036" s="105">
        <f>IF($AU$883&gt;0,IPMT('Assumptions (Solar)'!$V$8,Model!X$1,'Assumptions (Solar)'!$V$11,'Assumptions (Solar)'!$V$6*Model!$AU$883*('Assumptions (Solar)'!$AS$18*'Assumptions (Solar)'!$AS$2+'Assumptions (Solar)'!$AS$19*'Assumptions (Solar)'!$AS$3)/10^9),0)</f>
        <v>-99.460072594330001</v>
      </c>
      <c r="AW1036" s="105">
        <f>IF($AU$883&gt;0,IPMT('Assumptions (Solar)'!$V$8,Model!Y$1,'Assumptions (Solar)'!$V$11,'Assumptions (Solar)'!$V$6*Model!$AU$883*('Assumptions (Solar)'!$AS$18*'Assumptions (Solar)'!$AS$2+'Assumptions (Solar)'!$AS$19*'Assumptions (Solar)'!$AS$3)/10^9),0)</f>
        <v>-91.495338906750547</v>
      </c>
      <c r="AX1036" s="105">
        <f>IF($AU$883&gt;0,IPMT('Assumptions (Solar)'!$V$8,Model!Z$1,'Assumptions (Solar)'!$V$11,'Assumptions (Solar)'!$V$6*Model!$AU$883*('Assumptions (Solar)'!$AS$18*'Assumptions (Solar)'!$AS$2+'Assumptions (Solar)'!$AS$19*'Assumptions (Solar)'!$AS$3)/10^9),0)</f>
        <v>-82.893426524164752</v>
      </c>
      <c r="AY1036" s="105">
        <f>IF($AU$883&gt;0,IPMT('Assumptions (Solar)'!$V$8,Model!AA$1,'Assumptions (Solar)'!$V$11,'Assumptions (Solar)'!$V$6*Model!$AU$883*('Assumptions (Solar)'!$AS$18*'Assumptions (Solar)'!$AS$2+'Assumptions (Solar)'!$AS$19*'Assumptions (Solar)'!$AS$3)/10^9),0)</f>
        <v>-73.603361150972106</v>
      </c>
      <c r="AZ1036" s="105">
        <f>IF($AU$883&gt;0,IPMT('Assumptions (Solar)'!$V$8,Model!AB$1,'Assumptions (Solar)'!$V$11,'Assumptions (Solar)'!$V$6*Model!$AU$883*('Assumptions (Solar)'!$AS$18*'Assumptions (Solar)'!$AS$2+'Assumptions (Solar)'!$AS$19*'Assumptions (Solar)'!$AS$3)/10^9),0)</f>
        <v>-63.57009054792406</v>
      </c>
      <c r="BA1036" s="105">
        <f>IF($AU$883&gt;0,IPMT('Assumptions (Solar)'!$V$8,Model!AC$1,'Assumptions (Solar)'!$V$11,'Assumptions (Solar)'!$V$6*Model!$AU$883*('Assumptions (Solar)'!$AS$18*'Assumptions (Solar)'!$AS$2+'Assumptions (Solar)'!$AS$19*'Assumptions (Solar)'!$AS$3)/10^9),0)</f>
        <v>-52.734158296632138</v>
      </c>
      <c r="BB1036" s="105">
        <f>IF($AU$883&gt;0,IPMT('Assumptions (Solar)'!$V$8,Model!AD$1,'Assumptions (Solar)'!$V$11,'Assumptions (Solar)'!$V$6*Model!$AU$883*('Assumptions (Solar)'!$AS$18*'Assumptions (Solar)'!$AS$2+'Assumptions (Solar)'!$AS$19*'Assumptions (Solar)'!$AS$3)/10^9),0)</f>
        <v>-41.031351465236888</v>
      </c>
      <c r="BC1036" s="105">
        <f>IF($AU$883&gt;0,IPMT('Assumptions (Solar)'!$V$8,Model!AE$1,'Assumptions (Solar)'!$V$11,'Assumptions (Solar)'!$V$6*Model!$AU$883*('Assumptions (Solar)'!$AS$18*'Assumptions (Solar)'!$AS$2+'Assumptions (Solar)'!$AS$19*'Assumptions (Solar)'!$AS$3)/10^9),0)</f>
        <v>-28.39232008733001</v>
      </c>
      <c r="BD1036" s="105">
        <f>IF($AU$883&gt;0,IPMT('Assumptions (Solar)'!$V$8,Model!AF$1,'Assumptions (Solar)'!$V$11,'Assumptions (Solar)'!$V$6*Model!$AU$883*('Assumptions (Solar)'!$AS$18*'Assumptions (Solar)'!$AS$2+'Assumptions (Solar)'!$AS$19*'Assumptions (Solar)'!$AS$3)/10^9),0)</f>
        <v>-14.742166199190581</v>
      </c>
      <c r="BE1036" s="105" t="e">
        <f>IF($AU$883&gt;0,IPMT('Assumptions (Solar)'!$V$8,Model!AG$1,'Assumptions (Solar)'!$V$11,'Assumptions (Solar)'!$V$6*Model!$AU$883*('Assumptions (Solar)'!$AS$18*'Assumptions (Solar)'!$AS$2+'Assumptions (Solar)'!$AS$19*'Assumptions (Solar)'!$AS$3)/10^9),0)</f>
        <v>#NUM!</v>
      </c>
      <c r="BF1036" s="105" t="e">
        <f>IF($AU$883&gt;0,IPMT('Assumptions (Solar)'!$V$8,Model!AH$1,'Assumptions (Solar)'!$V$11,'Assumptions (Solar)'!$V$6*Model!$AU$883*('Assumptions (Solar)'!$AS$18*'Assumptions (Solar)'!$AS$2+'Assumptions (Solar)'!$AS$19*'Assumptions (Solar)'!$AS$3)/10^9),0)</f>
        <v>#NUM!</v>
      </c>
      <c r="BG1036" s="105" t="e">
        <f>IF($AU$883&gt;0,IPMT('Assumptions (Solar)'!$V$8,Model!AI$1,'Assumptions (Solar)'!$V$11,'Assumptions (Solar)'!$V$6*Model!$AU$883*('Assumptions (Solar)'!$AS$18*'Assumptions (Solar)'!$AS$2+'Assumptions (Solar)'!$AS$19*'Assumptions (Solar)'!$AS$3)/10^9),0)</f>
        <v>#NUM!</v>
      </c>
      <c r="BH1036" s="105" t="e">
        <f>IF($AU$883&gt;0,IPMT('Assumptions (Solar)'!$V$8,Model!AJ$1,'Assumptions (Solar)'!$V$11,'Assumptions (Solar)'!$V$6*Model!$AU$883*('Assumptions (Solar)'!$AS$18*'Assumptions (Solar)'!$AS$2+'Assumptions (Solar)'!$AS$19*'Assumptions (Solar)'!$AS$3)/10^9),0)</f>
        <v>#NUM!</v>
      </c>
      <c r="BI1036" s="105" t="e">
        <f>IF($AU$883&gt;0,IPMT('Assumptions (Solar)'!$V$8,Model!AK$1,'Assumptions (Solar)'!$V$11,'Assumptions (Solar)'!$V$6*Model!$AU$883*('Assumptions (Solar)'!$AS$18*'Assumptions (Solar)'!$AS$2+'Assumptions (Solar)'!$AS$19*'Assumptions (Solar)'!$AS$3)/10^9),0)</f>
        <v>#NUM!</v>
      </c>
      <c r="BJ1036" s="105"/>
      <c r="BK1036" s="105"/>
      <c r="BL1036" s="105"/>
      <c r="BM1036" s="105"/>
      <c r="BN1036" s="105"/>
      <c r="BO1036" s="105"/>
      <c r="BP1036" s="105"/>
      <c r="BQ1036" s="105"/>
      <c r="BR1036" s="105"/>
      <c r="BS1036" s="105"/>
    </row>
    <row r="1037" spans="1:75" ht="15.75" hidden="1" customHeight="1" outlineLevel="1">
      <c r="A1037" s="401"/>
      <c r="B1037" s="99"/>
      <c r="C1037" s="99"/>
      <c r="D1037" s="99"/>
      <c r="E1037" s="99"/>
      <c r="F1037" s="99"/>
      <c r="G1037" s="99"/>
      <c r="H1037" s="99"/>
      <c r="I1037" s="99"/>
      <c r="J1037" s="99"/>
      <c r="K1037" s="99"/>
      <c r="L1037" s="99"/>
      <c r="M1037" s="99"/>
      <c r="N1037" s="99"/>
      <c r="O1037" s="99"/>
      <c r="P1037" s="99"/>
      <c r="Q1037" s="99"/>
      <c r="R1037" s="99"/>
      <c r="S1037" s="99"/>
      <c r="T1037" s="99"/>
      <c r="U1037" s="99"/>
      <c r="V1037" s="99"/>
      <c r="W1037" s="105"/>
      <c r="X1037" s="105"/>
      <c r="Y1037" s="105"/>
      <c r="Z1037" s="105"/>
      <c r="AA1037" s="105"/>
      <c r="AB1037" s="105"/>
      <c r="AC1037" s="105"/>
      <c r="AD1037" s="105"/>
      <c r="AE1037" s="105"/>
      <c r="AF1037" s="105"/>
      <c r="AG1037" s="105"/>
      <c r="AH1037" s="105"/>
      <c r="AI1037" s="105"/>
      <c r="AJ1037" s="171"/>
      <c r="AK1037" s="105"/>
      <c r="AL1037" s="91"/>
      <c r="AM1037" s="91"/>
      <c r="AN1037" s="91"/>
      <c r="AO1037" s="105"/>
      <c r="AP1037" s="105"/>
      <c r="AQ1037" s="105"/>
      <c r="AR1037" s="105"/>
      <c r="AS1037" s="105"/>
      <c r="AT1037" s="105"/>
      <c r="AU1037" s="105"/>
      <c r="AV1037" s="105">
        <f>IF($AV$883&gt;0,IPMT('Assumptions (Solar)'!$V$8,Model!W$1,'Assumptions (Solar)'!$V$11,'Assumptions (Solar)'!$V$6*Model!$AV$883*('Assumptions (Solar)'!$AT$18*'Assumptions (Solar)'!$AT$2+'Assumptions (Solar)'!$AT$19*'Assumptions (Solar)'!$AT$3)/10^9),0)</f>
        <v>-109.56891645502367</v>
      </c>
      <c r="AW1037" s="105">
        <f>IF($AV$883&gt;0,IPMT('Assumptions (Solar)'!$V$8,Model!X$1,'Assumptions (Solar)'!$V$11,'Assumptions (Solar)'!$V$6*Model!$AV$883*('Assumptions (Solar)'!$AT$18*'Assumptions (Solar)'!$AT$2+'Assumptions (Solar)'!$AT$19*'Assumptions (Solar)'!$AT$3)/10^9),0)</f>
        <v>-102.00543017504083</v>
      </c>
      <c r="AX1037" s="105">
        <f>IF($AV$883&gt;0,IPMT('Assumptions (Solar)'!$V$8,Model!Y$1,'Assumptions (Solar)'!$V$11,'Assumptions (Solar)'!$V$6*Model!$AV$883*('Assumptions (Solar)'!$AT$18*'Assumptions (Solar)'!$AT$2+'Assumptions (Solar)'!$AT$19*'Assumptions (Solar)'!$AT$3)/10^9),0)</f>
        <v>-93.836864992659329</v>
      </c>
      <c r="AY1037" s="105">
        <f>IF($AV$883&gt;0,IPMT('Assumptions (Solar)'!$V$8,Model!Z$1,'Assumptions (Solar)'!$V$11,'Assumptions (Solar)'!$V$6*Model!$AV$883*('Assumptions (Solar)'!$AT$18*'Assumptions (Solar)'!$AT$2+'Assumptions (Solar)'!$AT$19*'Assumptions (Solar)'!$AT$3)/10^9),0)</f>
        <v>-85.014814595687298</v>
      </c>
      <c r="AZ1037" s="105">
        <f>IF($AV$883&gt;0,IPMT('Assumptions (Solar)'!$V$8,Model!AA$1,'Assumptions (Solar)'!$V$11,'Assumptions (Solar)'!$V$6*Model!$AV$883*('Assumptions (Solar)'!$AT$18*'Assumptions (Solar)'!$AT$2+'Assumptions (Solar)'!$AT$19*'Assumptions (Solar)'!$AT$3)/10^9),0)</f>
        <v>-75.487000166957543</v>
      </c>
      <c r="BA1037" s="105">
        <f>IF($AV$883&gt;0,IPMT('Assumptions (Solar)'!$V$8,Model!AB$1,'Assumptions (Solar)'!$V$11,'Assumptions (Solar)'!$V$6*Model!$AV$883*('Assumptions (Solar)'!$AT$18*'Assumptions (Solar)'!$AT$2+'Assumptions (Solar)'!$AT$19*'Assumptions (Solar)'!$AT$3)/10^9),0)</f>
        <v>-65.19696058392941</v>
      </c>
      <c r="BB1037" s="105">
        <f>IF($AV$883&gt;0,IPMT('Assumptions (Solar)'!$V$8,Model!AC$1,'Assumptions (Solar)'!$V$11,'Assumptions (Solar)'!$V$6*Model!$AV$883*('Assumptions (Solar)'!$AT$18*'Assumptions (Solar)'!$AT$2+'Assumptions (Solar)'!$AT$19*'Assumptions (Solar)'!$AT$3)/10^9),0)</f>
        <v>-54.083717834258998</v>
      </c>
      <c r="BC1037" s="105">
        <f>IF($AV$883&gt;0,IPMT('Assumptions (Solar)'!$V$8,Model!AD$1,'Assumptions (Solar)'!$V$11,'Assumptions (Solar)'!$V$6*Model!$AV$883*('Assumptions (Solar)'!$AT$18*'Assumptions (Solar)'!$AT$2+'Assumptions (Solar)'!$AT$19*'Assumptions (Solar)'!$AT$3)/10^9),0)</f>
        <v>-42.081415664614973</v>
      </c>
      <c r="BD1037" s="105">
        <f>IF($AV$883&gt;0,IPMT('Assumptions (Solar)'!$V$8,Model!AE$1,'Assumptions (Solar)'!$V$11,'Assumptions (Solar)'!$V$6*Model!$AV$883*('Assumptions (Solar)'!$AT$18*'Assumptions (Solar)'!$AT$2+'Assumptions (Solar)'!$AT$19*'Assumptions (Solar)'!$AT$3)/10^9),0)</f>
        <v>-29.118929321399413</v>
      </c>
      <c r="BE1037" s="105">
        <f>IF($AV$883&gt;0,IPMT('Assumptions (Solar)'!$V$8,Model!AF$1,'Assumptions (Solar)'!$V$11,'Assumptions (Solar)'!$V$6*Model!$AV$883*('Assumptions (Solar)'!$AT$18*'Assumptions (Solar)'!$AT$2+'Assumptions (Solar)'!$AT$19*'Assumptions (Solar)'!$AT$3)/10^9),0)</f>
        <v>-15.119444070726621</v>
      </c>
      <c r="BF1037" s="105" t="e">
        <f>IF($AV$883&gt;0,IPMT('Assumptions (Solar)'!$V$8,Model!AG$1,'Assumptions (Solar)'!$V$11,'Assumptions (Solar)'!$V$6*Model!$AV$883*('Assumptions (Solar)'!$AT$18*'Assumptions (Solar)'!$AT$2+'Assumptions (Solar)'!$AT$19*'Assumptions (Solar)'!$AT$3)/10^9),0)</f>
        <v>#NUM!</v>
      </c>
      <c r="BG1037" s="105" t="e">
        <f>IF($AV$883&gt;0,IPMT('Assumptions (Solar)'!$V$8,Model!AH$1,'Assumptions (Solar)'!$V$11,'Assumptions (Solar)'!$V$6*Model!$AV$883*('Assumptions (Solar)'!$AT$18*'Assumptions (Solar)'!$AT$2+'Assumptions (Solar)'!$AT$19*'Assumptions (Solar)'!$AT$3)/10^9),0)</f>
        <v>#NUM!</v>
      </c>
      <c r="BH1037" s="105" t="e">
        <f>IF($AV$883&gt;0,IPMT('Assumptions (Solar)'!$V$8,Model!AI$1,'Assumptions (Solar)'!$V$11,'Assumptions (Solar)'!$V$6*Model!$AV$883*('Assumptions (Solar)'!$AT$18*'Assumptions (Solar)'!$AT$2+'Assumptions (Solar)'!$AT$19*'Assumptions (Solar)'!$AT$3)/10^9),0)</f>
        <v>#NUM!</v>
      </c>
      <c r="BI1037" s="105" t="e">
        <f>IF($AV$883&gt;0,IPMT('Assumptions (Solar)'!$V$8,Model!AJ$1,'Assumptions (Solar)'!$V$11,'Assumptions (Solar)'!$V$6*Model!$AV$883*('Assumptions (Solar)'!$AT$18*'Assumptions (Solar)'!$AT$2+'Assumptions (Solar)'!$AT$19*'Assumptions (Solar)'!$AT$3)/10^9),0)</f>
        <v>#NUM!</v>
      </c>
      <c r="BJ1037" s="105" t="e">
        <f>IF($AV$883&gt;0,IPMT('Assumptions (Solar)'!$V$8,Model!AK$1,'Assumptions (Solar)'!$V$11,'Assumptions (Solar)'!$V$6*Model!$AV$883*('Assumptions (Solar)'!$AT$18*'Assumptions (Solar)'!$AT$2+'Assumptions (Solar)'!$AT$19*'Assumptions (Solar)'!$AT$3)/10^9),0)</f>
        <v>#NUM!</v>
      </c>
      <c r="BK1037" s="105"/>
      <c r="BL1037" s="105"/>
      <c r="BM1037" s="105"/>
      <c r="BN1037" s="105"/>
      <c r="BO1037" s="105"/>
      <c r="BP1037" s="105"/>
      <c r="BQ1037" s="105"/>
      <c r="BR1037" s="105"/>
      <c r="BS1037" s="105"/>
      <c r="BT1037" s="105"/>
    </row>
    <row r="1038" spans="1:75" ht="15.75" hidden="1" customHeight="1" outlineLevel="1">
      <c r="A1038" s="401"/>
      <c r="B1038" s="99"/>
      <c r="C1038" s="99"/>
      <c r="D1038" s="99"/>
      <c r="E1038" s="99"/>
      <c r="F1038" s="99"/>
      <c r="G1038" s="99"/>
      <c r="H1038" s="99"/>
      <c r="I1038" s="99"/>
      <c r="J1038" s="99"/>
      <c r="K1038" s="99"/>
      <c r="L1038" s="99"/>
      <c r="M1038" s="99"/>
      <c r="N1038" s="99"/>
      <c r="O1038" s="99"/>
      <c r="P1038" s="99"/>
      <c r="Q1038" s="99"/>
      <c r="R1038" s="99"/>
      <c r="S1038" s="99"/>
      <c r="T1038" s="99"/>
      <c r="U1038" s="99"/>
      <c r="V1038" s="99"/>
      <c r="W1038" s="105"/>
      <c r="X1038" s="105"/>
      <c r="Y1038" s="105"/>
      <c r="Z1038" s="105"/>
      <c r="AA1038" s="105"/>
      <c r="AB1038" s="105"/>
      <c r="AC1038" s="105"/>
      <c r="AD1038" s="105"/>
      <c r="AE1038" s="105"/>
      <c r="AF1038" s="105"/>
      <c r="AG1038" s="105"/>
      <c r="AH1038" s="105"/>
      <c r="AI1038" s="105"/>
      <c r="AJ1038" s="171"/>
      <c r="AK1038" s="105"/>
      <c r="AL1038" s="91"/>
      <c r="AM1038" s="91"/>
      <c r="AN1038" s="91"/>
      <c r="AO1038" s="105"/>
      <c r="AP1038" s="105"/>
      <c r="AQ1038" s="105"/>
      <c r="AR1038" s="105"/>
      <c r="AS1038" s="105"/>
      <c r="AT1038" s="105"/>
      <c r="AU1038" s="105"/>
      <c r="AV1038" s="105"/>
      <c r="AW1038" s="105">
        <f>IF($AW$883&gt;0,IPMT('Assumptions (Solar)'!$V$8,Model!W$1,'Assumptions (Solar)'!$V$11,'Assumptions (Solar)'!$V$6*Model!$AW$883*('Assumptions (Solar)'!$AU$18*'Assumptions (Solar)'!$AU$2+'Assumptions (Solar)'!$AU$19*'Assumptions (Solar)'!$AU$3)/10^9),0)</f>
        <v>-111.90333208550859</v>
      </c>
      <c r="AX1038" s="105">
        <f>IF($AW$883&gt;0,IPMT('Assumptions (Solar)'!$V$8,Model!X$1,'Assumptions (Solar)'!$V$11,'Assumptions (Solar)'!$V$6*Model!$AW$883*('Assumptions (Solar)'!$AU$18*'Assumptions (Solar)'!$AU$2+'Assumptions (Solar)'!$AU$19*'Assumptions (Solar)'!$AU$3)/10^9),0)</f>
        <v>-104.17870228814691</v>
      </c>
      <c r="AY1038" s="105">
        <f>IF($AW$883&gt;0,IPMT('Assumptions (Solar)'!$V$8,Model!Y$1,'Assumptions (Solar)'!$V$11,'Assumptions (Solar)'!$V$6*Model!$AW$883*('Assumptions (Solar)'!$AU$18*'Assumptions (Solar)'!$AU$2+'Assumptions (Solar)'!$AU$19*'Assumptions (Solar)'!$AU$3)/10^9),0)</f>
        <v>-95.836102106996265</v>
      </c>
      <c r="AZ1038" s="105">
        <f>IF($AW$883&gt;0,IPMT('Assumptions (Solar)'!$V$8,Model!Z$1,'Assumptions (Solar)'!$V$11,'Assumptions (Solar)'!$V$6*Model!$AW$883*('Assumptions (Solar)'!$AU$18*'Assumptions (Solar)'!$AU$2+'Assumptions (Solar)'!$AU$19*'Assumptions (Solar)'!$AU$3)/10^9),0)</f>
        <v>-86.826093911353581</v>
      </c>
      <c r="BA1038" s="105">
        <f>IF($AW$883&gt;0,IPMT('Assumptions (Solar)'!$V$8,Model!AA$1,'Assumptions (Solar)'!$V$11,'Assumptions (Solar)'!$V$6*Model!$AW$883*('Assumptions (Solar)'!$AU$18*'Assumptions (Solar)'!$AU$2+'Assumptions (Solar)'!$AU$19*'Assumptions (Solar)'!$AU$3)/10^9),0)</f>
        <v>-77.095285060059481</v>
      </c>
      <c r="BB1038" s="105">
        <f>IF($AW$883&gt;0,IPMT('Assumptions (Solar)'!$V$8,Model!AB$1,'Assumptions (Solar)'!$V$11,'Assumptions (Solar)'!$V$6*Model!$AW$883*('Assumptions (Solar)'!$AU$18*'Assumptions (Solar)'!$AU$2+'Assumptions (Solar)'!$AU$19*'Assumptions (Solar)'!$AU$3)/10^9),0)</f>
        <v>-66.586011500661883</v>
      </c>
      <c r="BC1038" s="105">
        <f>IF($AW$883&gt;0,IPMT('Assumptions (Solar)'!$V$8,Model!AC$1,'Assumptions (Solar)'!$V$11,'Assumptions (Solar)'!$V$6*Model!$AW$883*('Assumptions (Solar)'!$AU$18*'Assumptions (Solar)'!$AU$2+'Assumptions (Solar)'!$AU$19*'Assumptions (Solar)'!$AU$3)/10^9),0)</f>
        <v>-55.235996056512441</v>
      </c>
      <c r="BD1038" s="105">
        <f>IF($AW$883&gt;0,IPMT('Assumptions (Solar)'!$V$8,Model!AD$1,'Assumptions (Solar)'!$V$11,'Assumptions (Solar)'!$V$6*Model!$AW$883*('Assumptions (Solar)'!$AU$18*'Assumptions (Solar)'!$AU$2+'Assumptions (Solar)'!$AU$19*'Assumptions (Solar)'!$AU$3)/10^9),0)</f>
        <v>-42.977979376831051</v>
      </c>
      <c r="BE1038" s="105">
        <f>IF($AW$883&gt;0,IPMT('Assumptions (Solar)'!$V$8,Model!AE$1,'Assumptions (Solar)'!$V$11,'Assumptions (Solar)'!$V$6*Model!$AW$883*('Assumptions (Solar)'!$AU$18*'Assumptions (Solar)'!$AU$2+'Assumptions (Solar)'!$AU$19*'Assumptions (Solar)'!$AU$3)/10^9),0)</f>
        <v>-29.739321362775165</v>
      </c>
      <c r="BF1038" s="105">
        <f>IF($AW$883&gt;0,IPMT('Assumptions (Solar)'!$V$8,Model!AF$1,'Assumptions (Solar)'!$V$11,'Assumptions (Solar)'!$V$6*Model!$AW$883*('Assumptions (Solar)'!$AU$18*'Assumptions (Solar)'!$AU$2+'Assumptions (Solar)'!$AU$19*'Assumptions (Solar)'!$AU$3)/10^9),0)</f>
        <v>-15.441570707594794</v>
      </c>
      <c r="BG1038" s="105" t="e">
        <f>IF($AW$883&gt;0,IPMT('Assumptions (Solar)'!$V$8,Model!AG$1,'Assumptions (Solar)'!$V$11,'Assumptions (Solar)'!$V$6*Model!$AW$883*('Assumptions (Solar)'!$AU$18*'Assumptions (Solar)'!$AU$2+'Assumptions (Solar)'!$AU$19*'Assumptions (Solar)'!$AU$3)/10^9),0)</f>
        <v>#NUM!</v>
      </c>
      <c r="BH1038" s="105" t="e">
        <f>IF($AW$883&gt;0,IPMT('Assumptions (Solar)'!$V$8,Model!AH$1,'Assumptions (Solar)'!$V$11,'Assumptions (Solar)'!$V$6*Model!$AW$883*('Assumptions (Solar)'!$AU$18*'Assumptions (Solar)'!$AU$2+'Assumptions (Solar)'!$AU$19*'Assumptions (Solar)'!$AU$3)/10^9),0)</f>
        <v>#NUM!</v>
      </c>
      <c r="BI1038" s="105" t="e">
        <f>IF($AW$883&gt;0,IPMT('Assumptions (Solar)'!$V$8,Model!AI$1,'Assumptions (Solar)'!$V$11,'Assumptions (Solar)'!$V$6*Model!$AW$883*('Assumptions (Solar)'!$AU$18*'Assumptions (Solar)'!$AU$2+'Assumptions (Solar)'!$AU$19*'Assumptions (Solar)'!$AU$3)/10^9),0)</f>
        <v>#NUM!</v>
      </c>
      <c r="BJ1038" s="105" t="e">
        <f>IF($AW$883&gt;0,IPMT('Assumptions (Solar)'!$V$8,Model!AJ$1,'Assumptions (Solar)'!$V$11,'Assumptions (Solar)'!$V$6*Model!$AW$883*('Assumptions (Solar)'!$AU$18*'Assumptions (Solar)'!$AU$2+'Assumptions (Solar)'!$AU$19*'Assumptions (Solar)'!$AU$3)/10^9),0)</f>
        <v>#NUM!</v>
      </c>
      <c r="BK1038" s="105" t="e">
        <f>IF($AW$883&gt;0,IPMT('Assumptions (Solar)'!$V$8,Model!AK$1,'Assumptions (Solar)'!$V$11,'Assumptions (Solar)'!$V$6*Model!$AW$883*('Assumptions (Solar)'!$AU$18*'Assumptions (Solar)'!$AU$2+'Assumptions (Solar)'!$AU$19*'Assumptions (Solar)'!$AU$3)/10^9),0)</f>
        <v>#NUM!</v>
      </c>
      <c r="BL1038" s="105"/>
      <c r="BM1038" s="105"/>
      <c r="BN1038" s="105"/>
      <c r="BO1038" s="105"/>
      <c r="BP1038" s="105"/>
      <c r="BQ1038" s="105"/>
      <c r="BR1038" s="105"/>
      <c r="BS1038" s="105"/>
      <c r="BT1038" s="105"/>
      <c r="BU1038" s="105"/>
    </row>
    <row r="1039" spans="1:75" ht="15.75" hidden="1" customHeight="1" outlineLevel="1">
      <c r="A1039" s="401"/>
      <c r="B1039" s="99"/>
      <c r="C1039" s="99"/>
      <c r="D1039" s="99"/>
      <c r="E1039" s="99"/>
      <c r="F1039" s="99"/>
      <c r="G1039" s="99"/>
      <c r="H1039" s="99"/>
      <c r="I1039" s="99"/>
      <c r="J1039" s="99"/>
      <c r="K1039" s="99"/>
      <c r="L1039" s="99"/>
      <c r="M1039" s="99"/>
      <c r="N1039" s="99"/>
      <c r="O1039" s="99"/>
      <c r="P1039" s="99"/>
      <c r="Q1039" s="99"/>
      <c r="R1039" s="99"/>
      <c r="S1039" s="99"/>
      <c r="T1039" s="99"/>
      <c r="U1039" s="99"/>
      <c r="V1039" s="99"/>
      <c r="W1039" s="105"/>
      <c r="X1039" s="105"/>
      <c r="Y1039" s="105"/>
      <c r="Z1039" s="105"/>
      <c r="AA1039" s="105"/>
      <c r="AB1039" s="105"/>
      <c r="AC1039" s="105"/>
      <c r="AD1039" s="105"/>
      <c r="AE1039" s="105"/>
      <c r="AF1039" s="105"/>
      <c r="AG1039" s="105"/>
      <c r="AH1039" s="105"/>
      <c r="AI1039" s="105"/>
      <c r="AJ1039" s="171"/>
      <c r="AK1039" s="105"/>
      <c r="AL1039" s="91"/>
      <c r="AM1039" s="91"/>
      <c r="AN1039" s="91"/>
      <c r="AO1039" s="105"/>
      <c r="AP1039" s="105"/>
      <c r="AQ1039" s="105"/>
      <c r="AR1039" s="105"/>
      <c r="AS1039" s="105"/>
      <c r="AT1039" s="105"/>
      <c r="AU1039" s="105"/>
      <c r="AV1039" s="105"/>
      <c r="AW1039" s="105"/>
      <c r="AX1039" s="105">
        <f>IF($AX$883&gt;0,IPMT('Assumptions (Solar)'!$V$8,Model!W$1,'Assumptions (Solar)'!$V$11,'Assumptions (Solar)'!$V$6*Model!$AX$883*('Assumptions (Solar)'!$AV$18*'Assumptions (Solar)'!$AV$2+'Assumptions (Solar)'!$AV$19*'Assumptions (Solar)'!$AV$3)/10^9),0)</f>
        <v>-114.00411067405274</v>
      </c>
      <c r="AY1039" s="105">
        <f>IF($AX$883&gt;0,IPMT('Assumptions (Solar)'!$V$8,Model!X$1,'Assumptions (Solar)'!$V$11,'Assumptions (Solar)'!$V$6*Model!$AX$883*('Assumptions (Solar)'!$AV$18*'Assumptions (Solar)'!$AV$2+'Assumptions (Solar)'!$AV$19*'Assumptions (Solar)'!$AV$3)/10^9),0)</f>
        <v>-106.13446520485809</v>
      </c>
      <c r="AZ1039" s="105">
        <f>IF($AX$883&gt;0,IPMT('Assumptions (Solar)'!$V$8,Model!Y$1,'Assumptions (Solar)'!$V$11,'Assumptions (Solar)'!$V$6*Model!$AX$883*('Assumptions (Solar)'!$AV$18*'Assumptions (Solar)'!$AV$2+'Assumptions (Solar)'!$AV$19*'Assumptions (Solar)'!$AV$3)/10^9),0)</f>
        <v>-97.635248098127832</v>
      </c>
      <c r="BA1039" s="105">
        <f>IF($AX$883&gt;0,IPMT('Assumptions (Solar)'!$V$8,Model!Z$1,'Assumptions (Solar)'!$V$11,'Assumptions (Solar)'!$V$6*Model!$AX$883*('Assumptions (Solar)'!$AV$18*'Assumptions (Solar)'!$AV$2+'Assumptions (Solar)'!$AV$19*'Assumptions (Solar)'!$AV$3)/10^9),0)</f>
        <v>-88.456093622859171</v>
      </c>
      <c r="BB1039" s="105">
        <f>IF($AX$883&gt;0,IPMT('Assumptions (Solar)'!$V$8,Model!AA$1,'Assumptions (Solar)'!$V$11,'Assumptions (Solar)'!$V$6*Model!$AX$883*('Assumptions (Solar)'!$AV$18*'Assumptions (Solar)'!$AV$2+'Assumptions (Solar)'!$AV$19*'Assumptions (Solar)'!$AV$3)/10^9),0)</f>
        <v>-78.542606789569049</v>
      </c>
      <c r="BC1039" s="105">
        <f>IF($AX$883&gt;0,IPMT('Assumptions (Solar)'!$V$8,Model!AB$1,'Assumptions (Solar)'!$V$11,'Assumptions (Solar)'!$V$6*Model!$AX$883*('Assumptions (Solar)'!$AV$18*'Assumptions (Solar)'!$AV$2+'Assumptions (Solar)'!$AV$19*'Assumptions (Solar)'!$AV$3)/10^9),0)</f>
        <v>-67.836041009615698</v>
      </c>
      <c r="BD1039" s="105">
        <f>IF($AX$883&gt;0,IPMT('Assumptions (Solar)'!$V$8,Model!AC$1,'Assumptions (Solar)'!$V$11,'Assumptions (Solar)'!$V$6*Model!$AX$883*('Assumptions (Solar)'!$AV$18*'Assumptions (Solar)'!$AV$2+'Assumptions (Solar)'!$AV$19*'Assumptions (Solar)'!$AV$3)/10^9),0)</f>
        <v>-56.272949967266072</v>
      </c>
      <c r="BE1039" s="105">
        <f>IF($AX$883&gt;0,IPMT('Assumptions (Solar)'!$V$8,Model!AD$1,'Assumptions (Solar)'!$V$11,'Assumptions (Solar)'!$V$6*Model!$AX$883*('Assumptions (Solar)'!$AV$18*'Assumptions (Solar)'!$AV$2+'Assumptions (Solar)'!$AV$19*'Assumptions (Solar)'!$AV$3)/10^9),0)</f>
        <v>-43.784811641528478</v>
      </c>
      <c r="BF1039" s="105">
        <f>IF($AX$883&gt;0,IPMT('Assumptions (Solar)'!$V$8,Model!AE$1,'Assumptions (Solar)'!$V$11,'Assumptions (Solar)'!$V$6*Model!$AX$883*('Assumptions (Solar)'!$AV$18*'Assumptions (Solar)'!$AV$2+'Assumptions (Solar)'!$AV$19*'Assumptions (Solar)'!$AV$3)/10^9),0)</f>
        <v>-30.29762224973188</v>
      </c>
      <c r="BG1039" s="105">
        <f>IF($AX$883&gt;0,IPMT('Assumptions (Solar)'!$V$8,Model!AF$1,'Assumptions (Solar)'!$V$11,'Assumptions (Solar)'!$V$6*Model!$AX$883*('Assumptions (Solar)'!$AV$18*'Assumptions (Solar)'!$AV$2+'Assumptions (Solar)'!$AV$19*'Assumptions (Solar)'!$AV$3)/10^9),0)</f>
        <v>-15.731457706591552</v>
      </c>
      <c r="BH1039" s="105" t="e">
        <f>IF($AX$883&gt;0,IPMT('Assumptions (Solar)'!$V$8,Model!AG$1,'Assumptions (Solar)'!$V$11,'Assumptions (Solar)'!$V$6*Model!$AX$883*('Assumptions (Solar)'!$AV$18*'Assumptions (Solar)'!$AV$2+'Assumptions (Solar)'!$AV$19*'Assumptions (Solar)'!$AV$3)/10^9),0)</f>
        <v>#NUM!</v>
      </c>
      <c r="BI1039" s="105" t="e">
        <f>IF($AX$883&gt;0,IPMT('Assumptions (Solar)'!$V$8,Model!AH$1,'Assumptions (Solar)'!$V$11,'Assumptions (Solar)'!$V$6*Model!$AX$883*('Assumptions (Solar)'!$AV$18*'Assumptions (Solar)'!$AV$2+'Assumptions (Solar)'!$AV$19*'Assumptions (Solar)'!$AV$3)/10^9),0)</f>
        <v>#NUM!</v>
      </c>
      <c r="BJ1039" s="105" t="e">
        <f>IF($AX$883&gt;0,IPMT('Assumptions (Solar)'!$V$8,Model!AI$1,'Assumptions (Solar)'!$V$11,'Assumptions (Solar)'!$V$6*Model!$AX$883*('Assumptions (Solar)'!$AV$18*'Assumptions (Solar)'!$AV$2+'Assumptions (Solar)'!$AV$19*'Assumptions (Solar)'!$AV$3)/10^9),0)</f>
        <v>#NUM!</v>
      </c>
      <c r="BK1039" s="105" t="e">
        <f>IF($AX$883&gt;0,IPMT('Assumptions (Solar)'!$V$8,Model!AJ$1,'Assumptions (Solar)'!$V$11,'Assumptions (Solar)'!$V$6*Model!$AX$883*('Assumptions (Solar)'!$AV$18*'Assumptions (Solar)'!$AV$2+'Assumptions (Solar)'!$AV$19*'Assumptions (Solar)'!$AV$3)/10^9),0)</f>
        <v>#NUM!</v>
      </c>
      <c r="BL1039" s="105" t="e">
        <f>IF($AX$883&gt;0,IPMT('Assumptions (Solar)'!$V$8,Model!AK$1,'Assumptions (Solar)'!$V$11,'Assumptions (Solar)'!$V$6*Model!$AX$883*('Assumptions (Solar)'!$AV$18*'Assumptions (Solar)'!$AV$2+'Assumptions (Solar)'!$AV$19*'Assumptions (Solar)'!$AV$3)/10^9),0)</f>
        <v>#NUM!</v>
      </c>
      <c r="BM1039" s="105"/>
      <c r="BN1039" s="105"/>
      <c r="BO1039" s="105"/>
      <c r="BP1039" s="105"/>
      <c r="BQ1039" s="105"/>
      <c r="BR1039" s="105"/>
      <c r="BS1039" s="105"/>
      <c r="BT1039" s="105"/>
      <c r="BU1039" s="105"/>
      <c r="BV1039" s="105"/>
    </row>
    <row r="1040" spans="1:75" ht="15.75" hidden="1" customHeight="1" outlineLevel="1">
      <c r="A1040" s="401"/>
      <c r="B1040" s="99"/>
      <c r="C1040" s="99"/>
      <c r="D1040" s="99"/>
      <c r="E1040" s="99"/>
      <c r="F1040" s="99"/>
      <c r="G1040" s="99"/>
      <c r="H1040" s="99"/>
      <c r="I1040" s="99"/>
      <c r="J1040" s="99"/>
      <c r="K1040" s="99"/>
      <c r="L1040" s="99"/>
      <c r="M1040" s="99"/>
      <c r="N1040" s="99"/>
      <c r="O1040" s="99"/>
      <c r="P1040" s="99"/>
      <c r="Q1040" s="99"/>
      <c r="R1040" s="99"/>
      <c r="S1040" s="99"/>
      <c r="T1040" s="99"/>
      <c r="U1040" s="99"/>
      <c r="V1040" s="99"/>
      <c r="W1040" s="105"/>
      <c r="X1040" s="105"/>
      <c r="Y1040" s="105"/>
      <c r="Z1040" s="105"/>
      <c r="AA1040" s="105"/>
      <c r="AB1040" s="105"/>
      <c r="AC1040" s="105"/>
      <c r="AD1040" s="105"/>
      <c r="AE1040" s="105"/>
      <c r="AF1040" s="105"/>
      <c r="AG1040" s="105"/>
      <c r="AH1040" s="105"/>
      <c r="AI1040" s="105"/>
      <c r="AJ1040" s="171"/>
      <c r="AK1040" s="105"/>
      <c r="AL1040" s="91"/>
      <c r="AM1040" s="91"/>
      <c r="AN1040" s="91"/>
      <c r="AO1040" s="105"/>
      <c r="AP1040" s="105"/>
      <c r="AQ1040" s="105"/>
      <c r="AR1040" s="105"/>
      <c r="AS1040" s="105"/>
      <c r="AT1040" s="105"/>
      <c r="AU1040" s="105"/>
      <c r="AV1040" s="105"/>
      <c r="AW1040" s="105"/>
      <c r="AX1040" s="105"/>
      <c r="AY1040" s="105">
        <f>IF($AY$883&gt;0,IPMT('Assumptions (Solar)'!$V$8,Model!W$1,'Assumptions (Solar)'!$V$11,'Assumptions (Solar)'!$V$6*Model!$AY$883*('Assumptions (Solar)'!$AW$18*'Assumptions (Solar)'!$AW$2+'Assumptions (Solar)'!$AW$19*'Assumptions (Solar)'!$AW$3)/10^9),0)</f>
        <v>-117.33683254367429</v>
      </c>
      <c r="AZ1040" s="105">
        <f>IF($AY$883&gt;0,IPMT('Assumptions (Solar)'!$V$8,Model!X$1,'Assumptions (Solar)'!$V$11,'Assumptions (Solar)'!$V$6*Model!$AY$883*('Assumptions (Solar)'!$AW$18*'Assumptions (Solar)'!$AW$2+'Assumptions (Solar)'!$AW$19*'Assumptions (Solar)'!$AW$3)/10^9),0)</f>
        <v>-109.23713098785009</v>
      </c>
      <c r="BA1040" s="105">
        <f>IF($AY$883&gt;0,IPMT('Assumptions (Solar)'!$V$8,Model!Y$1,'Assumptions (Solar)'!$V$11,'Assumptions (Solar)'!$V$6*Model!$AY$883*('Assumptions (Solar)'!$AW$18*'Assumptions (Solar)'!$AW$2+'Assumptions (Solar)'!$AW$19*'Assumptions (Solar)'!$AW$3)/10^9),0)</f>
        <v>-100.48945330755994</v>
      </c>
      <c r="BB1040" s="105">
        <f>IF($AY$883&gt;0,IPMT('Assumptions (Solar)'!$V$8,Model!Z$1,'Assumptions (Solar)'!$V$11,'Assumptions (Solar)'!$V$6*Model!$AY$883*('Assumptions (Solar)'!$AW$18*'Assumptions (Solar)'!$AW$2+'Assumptions (Solar)'!$AW$19*'Assumptions (Solar)'!$AW$3)/10^9),0)</f>
        <v>-91.041961412846589</v>
      </c>
      <c r="BC1040" s="105">
        <f>IF($AY$883&gt;0,IPMT('Assumptions (Solar)'!$V$8,Model!AA$1,'Assumptions (Solar)'!$V$11,'Assumptions (Solar)'!$V$6*Model!$AY$883*('Assumptions (Solar)'!$AW$18*'Assumptions (Solar)'!$AW$2+'Assumptions (Solar)'!$AW$19*'Assumptions (Solar)'!$AW$3)/10^9),0)</f>
        <v>-80.838670166556184</v>
      </c>
      <c r="BD1040" s="105">
        <f>IF($AY$883&gt;0,IPMT('Assumptions (Solar)'!$V$8,Model!AB$1,'Assumptions (Solar)'!$V$11,'Assumptions (Solar)'!$V$6*Model!$AY$883*('Assumptions (Solar)'!$AW$18*'Assumptions (Solar)'!$AW$2+'Assumptions (Solar)'!$AW$19*'Assumptions (Solar)'!$AW$3)/10^9),0)</f>
        <v>-69.819115620562556</v>
      </c>
      <c r="BE1040" s="105">
        <f>IF($AY$883&gt;0,IPMT('Assumptions (Solar)'!$V$8,Model!AC$1,'Assumptions (Solar)'!$V$11,'Assumptions (Solar)'!$V$6*Model!$AY$883*('Assumptions (Solar)'!$AW$18*'Assumptions (Solar)'!$AW$2+'Assumptions (Solar)'!$AW$19*'Assumptions (Solar)'!$AW$3)/10^9),0)</f>
        <v>-57.917996710889412</v>
      </c>
      <c r="BF1040" s="105">
        <f>IF($AY$883&gt;0,IPMT('Assumptions (Solar)'!$V$8,Model!AD$1,'Assumptions (Solar)'!$V$11,'Assumptions (Solar)'!$V$6*Model!$AY$883*('Assumptions (Solar)'!$AW$18*'Assumptions (Solar)'!$AW$2+'Assumptions (Solar)'!$AW$19*'Assumptions (Solar)'!$AW$3)/10^9),0)</f>
        <v>-45.064788288442436</v>
      </c>
      <c r="BG1040" s="105">
        <f>IF($AY$883&gt;0,IPMT('Assumptions (Solar)'!$V$8,Model!AE$1,'Assumptions (Solar)'!$V$11,'Assumptions (Solar)'!$V$6*Model!$AY$883*('Assumptions (Solar)'!$AW$18*'Assumptions (Solar)'!$AW$2+'Assumptions (Solar)'!$AW$19*'Assumptions (Solar)'!$AW$3)/10^9),0)</f>
        <v>-31.183323192199691</v>
      </c>
      <c r="BH1040" s="105">
        <f>IF($AY$883&gt;0,IPMT('Assumptions (Solar)'!$V$8,Model!AF$1,'Assumptions (Solar)'!$V$11,'Assumptions (Solar)'!$V$6*Model!$AY$883*('Assumptions (Solar)'!$AW$18*'Assumptions (Solar)'!$AW$2+'Assumptions (Solar)'!$AW$19*'Assumptions (Solar)'!$AW$3)/10^9),0)</f>
        <v>-16.191340888257532</v>
      </c>
      <c r="BI1040" s="105" t="e">
        <f>IF($AY$883&gt;0,IPMT('Assumptions (Solar)'!$V$8,Model!AG$1,'Assumptions (Solar)'!$V$11,'Assumptions (Solar)'!$V$6*Model!$AY$883*('Assumptions (Solar)'!$AW$18*'Assumptions (Solar)'!$AW$2+'Assumptions (Solar)'!$AW$19*'Assumptions (Solar)'!$AW$3)/10^9),0)</f>
        <v>#NUM!</v>
      </c>
      <c r="BJ1040" s="105" t="e">
        <f>IF($AY$883&gt;0,IPMT('Assumptions (Solar)'!$V$8,Model!AH$1,'Assumptions (Solar)'!$V$11,'Assumptions (Solar)'!$V$6*Model!$AY$883*('Assumptions (Solar)'!$AW$18*'Assumptions (Solar)'!$AW$2+'Assumptions (Solar)'!$AW$19*'Assumptions (Solar)'!$AW$3)/10^9),0)</f>
        <v>#NUM!</v>
      </c>
      <c r="BK1040" s="105" t="e">
        <f>IF($AY$883&gt;0,IPMT('Assumptions (Solar)'!$V$8,Model!AI$1,'Assumptions (Solar)'!$V$11,'Assumptions (Solar)'!$V$6*Model!$AY$883*('Assumptions (Solar)'!$AW$18*'Assumptions (Solar)'!$AW$2+'Assumptions (Solar)'!$AW$19*'Assumptions (Solar)'!$AW$3)/10^9),0)</f>
        <v>#NUM!</v>
      </c>
      <c r="BL1040" s="105" t="e">
        <f>IF($AY$883&gt;0,IPMT('Assumptions (Solar)'!$V$8,Model!AJ$1,'Assumptions (Solar)'!$V$11,'Assumptions (Solar)'!$V$6*Model!$AY$883*('Assumptions (Solar)'!$AW$18*'Assumptions (Solar)'!$AW$2+'Assumptions (Solar)'!$AW$19*'Assumptions (Solar)'!$AW$3)/10^9),0)</f>
        <v>#NUM!</v>
      </c>
      <c r="BM1040" s="105" t="e">
        <f>IF($AY$883&gt;0,IPMT('Assumptions (Solar)'!$V$8,Model!AK$1,'Assumptions (Solar)'!$V$11,'Assumptions (Solar)'!$V$6*Model!$AY$883*('Assumptions (Solar)'!$AW$18*'Assumptions (Solar)'!$AW$2+'Assumptions (Solar)'!$AW$19*'Assumptions (Solar)'!$AW$3)/10^9),0)</f>
        <v>#NUM!</v>
      </c>
      <c r="BN1040" s="105"/>
      <c r="BO1040" s="105"/>
      <c r="BP1040" s="105"/>
      <c r="BQ1040" s="105"/>
      <c r="BR1040" s="105"/>
      <c r="BS1040" s="105"/>
      <c r="BT1040" s="105"/>
      <c r="BU1040" s="105"/>
      <c r="BV1040" s="105"/>
      <c r="BW1040" s="105"/>
    </row>
    <row r="1041" spans="1:77" ht="15.75" hidden="1" customHeight="1" outlineLevel="1">
      <c r="A1041" s="401"/>
      <c r="B1041" s="99"/>
      <c r="C1041" s="99"/>
      <c r="D1041" s="99"/>
      <c r="E1041" s="99"/>
      <c r="F1041" s="99"/>
      <c r="G1041" s="99"/>
      <c r="H1041" s="99"/>
      <c r="I1041" s="99"/>
      <c r="J1041" s="99"/>
      <c r="K1041" s="99"/>
      <c r="L1041" s="99"/>
      <c r="M1041" s="99"/>
      <c r="N1041" s="99"/>
      <c r="O1041" s="99"/>
      <c r="P1041" s="99"/>
      <c r="Q1041" s="99"/>
      <c r="R1041" s="99"/>
      <c r="S1041" s="99"/>
      <c r="T1041" s="99"/>
      <c r="U1041" s="99"/>
      <c r="V1041" s="99"/>
      <c r="W1041" s="105"/>
      <c r="X1041" s="105"/>
      <c r="Y1041" s="105"/>
      <c r="Z1041" s="105"/>
      <c r="AA1041" s="105"/>
      <c r="AB1041" s="105"/>
      <c r="AC1041" s="105"/>
      <c r="AD1041" s="105"/>
      <c r="AE1041" s="105"/>
      <c r="AF1041" s="105"/>
      <c r="AG1041" s="105"/>
      <c r="AH1041" s="105"/>
      <c r="AI1041" s="105"/>
      <c r="AJ1041" s="171"/>
      <c r="AK1041" s="105"/>
      <c r="AL1041" s="91"/>
      <c r="AM1041" s="91"/>
      <c r="AN1041" s="91"/>
      <c r="AO1041" s="105"/>
      <c r="AP1041" s="105"/>
      <c r="AQ1041" s="105"/>
      <c r="AR1041" s="105"/>
      <c r="AS1041" s="105"/>
      <c r="AT1041" s="105"/>
      <c r="AU1041" s="105"/>
      <c r="AV1041" s="105"/>
      <c r="AW1041" s="105"/>
      <c r="AX1041" s="105"/>
      <c r="AY1041" s="105"/>
      <c r="AZ1041" s="105">
        <f>IF($AZ$883&gt;0,IPMT('Assumptions (Solar)'!$V$8,Model!W$1,'Assumptions (Solar)'!$V$11,'Assumptions (Solar)'!$V$6*Model!$AZ$883*('Assumptions (Solar)'!$AX$18*'Assumptions (Solar)'!$AX$2+'Assumptions (Solar)'!$AX$19*'Assumptions (Solar)'!$AX$3)/10^9),0)</f>
        <v>-119.37475661477914</v>
      </c>
      <c r="BA1041" s="105">
        <f>IF($AZ$883&gt;0,IPMT('Assumptions (Solar)'!$V$8,Model!X$1,'Assumptions (Solar)'!$V$11,'Assumptions (Solar)'!$V$6*Model!$AZ$883*('Assumptions (Solar)'!$AX$18*'Assumptions (Solar)'!$AX$2+'Assumptions (Solar)'!$AX$19*'Assumptions (Solar)'!$AX$3)/10^9),0)</f>
        <v>-111.13437820232312</v>
      </c>
      <c r="BB1041" s="105">
        <f>IF($AZ$883&gt;0,IPMT('Assumptions (Solar)'!$V$8,Model!Y$1,'Assumptions (Solar)'!$V$11,'Assumptions (Solar)'!$V$6*Model!$AZ$883*('Assumptions (Solar)'!$AX$18*'Assumptions (Solar)'!$AX$2+'Assumptions (Solar)'!$AX$19*'Assumptions (Solar)'!$AX$3)/10^9),0)</f>
        <v>-102.2347695168706</v>
      </c>
      <c r="BC1041" s="105">
        <f>IF($AZ$883&gt;0,IPMT('Assumptions (Solar)'!$V$8,Model!Z$1,'Assumptions (Solar)'!$V$11,'Assumptions (Solar)'!$V$6*Model!$AZ$883*('Assumptions (Solar)'!$AX$18*'Assumptions (Solar)'!$AX$2+'Assumptions (Solar)'!$AX$19*'Assumptions (Solar)'!$AX$3)/10^9),0)</f>
        <v>-92.623192136581878</v>
      </c>
      <c r="BD1041" s="105">
        <f>IF($AZ$883&gt;0,IPMT('Assumptions (Solar)'!$V$8,Model!AA$1,'Assumptions (Solar)'!$V$11,'Assumptions (Solar)'!$V$6*Model!$AZ$883*('Assumptions (Solar)'!$AX$18*'Assumptions (Solar)'!$AX$2+'Assumptions (Solar)'!$AX$19*'Assumptions (Solar)'!$AX$3)/10^9),0)</f>
        <v>-82.242688565870083</v>
      </c>
      <c r="BE1041" s="105">
        <f>IF($AZ$883&gt;0,IPMT('Assumptions (Solar)'!$V$8,Model!AB$1,'Assumptions (Solar)'!$V$11,'Assumptions (Solar)'!$V$6*Model!$AZ$883*('Assumptions (Solar)'!$AX$18*'Assumptions (Solar)'!$AX$2+'Assumptions (Solar)'!$AX$19*'Assumptions (Solar)'!$AX$3)/10^9),0)</f>
        <v>-71.031744709501339</v>
      </c>
      <c r="BF1041" s="105">
        <f>IF($AZ$883&gt;0,IPMT('Assumptions (Solar)'!$V$8,Model!AC$1,'Assumptions (Solar)'!$V$11,'Assumptions (Solar)'!$V$6*Model!$AZ$883*('Assumptions (Solar)'!$AX$18*'Assumptions (Solar)'!$AX$2+'Assumptions (Solar)'!$AX$19*'Assumptions (Solar)'!$AX$3)/10^9),0)</f>
        <v>-58.923925344623079</v>
      </c>
      <c r="BG1041" s="105">
        <f>IF($AZ$883&gt;0,IPMT('Assumptions (Solar)'!$V$8,Model!AD$1,'Assumptions (Solar)'!$V$11,'Assumptions (Solar)'!$V$6*Model!$AZ$883*('Assumptions (Solar)'!$AX$18*'Assumptions (Solar)'!$AX$2+'Assumptions (Solar)'!$AX$19*'Assumptions (Solar)'!$AX$3)/10^9),0)</f>
        <v>-45.847480430554569</v>
      </c>
      <c r="BH1041" s="105">
        <f>IF($AZ$883&gt;0,IPMT('Assumptions (Solar)'!$V$8,Model!AE$1,'Assumptions (Solar)'!$V$11,'Assumptions (Solar)'!$V$6*Model!$AZ$883*('Assumptions (Solar)'!$AX$18*'Assumptions (Solar)'!$AX$2+'Assumptions (Solar)'!$AX$19*'Assumptions (Solar)'!$AX$3)/10^9),0)</f>
        <v>-31.724919923360581</v>
      </c>
      <c r="BI1041" s="105">
        <f>IF($AZ$883&gt;0,IPMT('Assumptions (Solar)'!$V$8,Model!AF$1,'Assumptions (Solar)'!$V$11,'Assumptions (Solar)'!$V$6*Model!$AZ$883*('Assumptions (Solar)'!$AX$18*'Assumptions (Solar)'!$AX$2+'Assumptions (Solar)'!$AX$19*'Assumptions (Solar)'!$AX$3)/10^9),0)</f>
        <v>-16.472554575591072</v>
      </c>
      <c r="BJ1041" s="105" t="e">
        <f>IF($AZ$883&gt;0,IPMT('Assumptions (Solar)'!$V$8,Model!AG$1,'Assumptions (Solar)'!$V$11,'Assumptions (Solar)'!$V$6*Model!$AZ$883*('Assumptions (Solar)'!$AX$18*'Assumptions (Solar)'!$AX$2+'Assumptions (Solar)'!$AX$19*'Assumptions (Solar)'!$AX$3)/10^9),0)</f>
        <v>#NUM!</v>
      </c>
      <c r="BK1041" s="105" t="e">
        <f>IF($AZ$883&gt;0,IPMT('Assumptions (Solar)'!$V$8,Model!AH$1,'Assumptions (Solar)'!$V$11,'Assumptions (Solar)'!$V$6*Model!$AZ$883*('Assumptions (Solar)'!$AX$18*'Assumptions (Solar)'!$AX$2+'Assumptions (Solar)'!$AX$19*'Assumptions (Solar)'!$AX$3)/10^9),0)</f>
        <v>#NUM!</v>
      </c>
      <c r="BL1041" s="105" t="e">
        <f>IF($AZ$883&gt;0,IPMT('Assumptions (Solar)'!$V$8,Model!AI$1,'Assumptions (Solar)'!$V$11,'Assumptions (Solar)'!$V$6*Model!$AZ$883*('Assumptions (Solar)'!$AX$18*'Assumptions (Solar)'!$AX$2+'Assumptions (Solar)'!$AX$19*'Assumptions (Solar)'!$AX$3)/10^9),0)</f>
        <v>#NUM!</v>
      </c>
      <c r="BM1041" s="105" t="e">
        <f>IF($AZ$883&gt;0,IPMT('Assumptions (Solar)'!$V$8,Model!AJ$1,'Assumptions (Solar)'!$V$11,'Assumptions (Solar)'!$V$6*Model!$AZ$883*('Assumptions (Solar)'!$AX$18*'Assumptions (Solar)'!$AX$2+'Assumptions (Solar)'!$AX$19*'Assumptions (Solar)'!$AX$3)/10^9),0)</f>
        <v>#NUM!</v>
      </c>
      <c r="BN1041" s="105" t="e">
        <f>IF($AZ$883&gt;0,IPMT('Assumptions (Solar)'!$V$8,Model!AK$1,'Assumptions (Solar)'!$V$11,'Assumptions (Solar)'!$V$6*Model!$AZ$883*('Assumptions (Solar)'!$AX$18*'Assumptions (Solar)'!$AX$2+'Assumptions (Solar)'!$AX$19*'Assumptions (Solar)'!$AX$3)/10^9),0)</f>
        <v>#NUM!</v>
      </c>
      <c r="BO1041" s="105"/>
      <c r="BP1041" s="105"/>
      <c r="BQ1041" s="105"/>
      <c r="BR1041" s="105"/>
      <c r="BS1041" s="105"/>
      <c r="BT1041" s="105"/>
      <c r="BU1041" s="105"/>
      <c r="BV1041" s="105"/>
      <c r="BW1041" s="105"/>
      <c r="BX1041" s="105"/>
    </row>
    <row r="1042" spans="1:77" ht="15.75" hidden="1" customHeight="1" outlineLevel="1">
      <c r="A1042" s="401"/>
      <c r="B1042" s="99"/>
      <c r="C1042" s="99"/>
      <c r="D1042" s="99"/>
      <c r="E1042" s="99"/>
      <c r="F1042" s="99"/>
      <c r="G1042" s="99"/>
      <c r="H1042" s="99"/>
      <c r="I1042" s="99"/>
      <c r="J1042" s="99"/>
      <c r="K1042" s="99"/>
      <c r="L1042" s="99"/>
      <c r="M1042" s="99"/>
      <c r="N1042" s="99"/>
      <c r="O1042" s="99"/>
      <c r="P1042" s="99"/>
      <c r="Q1042" s="99"/>
      <c r="R1042" s="99"/>
      <c r="S1042" s="99"/>
      <c r="T1042" s="99"/>
      <c r="U1042" s="99"/>
      <c r="V1042" s="99"/>
      <c r="W1042" s="105"/>
      <c r="X1042" s="105"/>
      <c r="Y1042" s="105"/>
      <c r="Z1042" s="105"/>
      <c r="AA1042" s="105"/>
      <c r="AB1042" s="105"/>
      <c r="AC1042" s="105"/>
      <c r="AD1042" s="105"/>
      <c r="AE1042" s="105"/>
      <c r="AF1042" s="105"/>
      <c r="AG1042" s="105"/>
      <c r="AH1042" s="105"/>
      <c r="AI1042" s="105"/>
      <c r="AJ1042" s="171"/>
      <c r="AK1042" s="105"/>
      <c r="AL1042" s="91"/>
      <c r="AM1042" s="91"/>
      <c r="AN1042" s="91"/>
      <c r="AO1042" s="105"/>
      <c r="AP1042" s="105"/>
      <c r="AQ1042" s="105"/>
      <c r="AR1042" s="105"/>
      <c r="AS1042" s="105"/>
      <c r="AT1042" s="105"/>
      <c r="AU1042" s="105"/>
      <c r="AV1042" s="105"/>
      <c r="AW1042" s="105"/>
      <c r="AX1042" s="105"/>
      <c r="AY1042" s="105"/>
      <c r="AZ1042" s="105"/>
      <c r="BA1042" s="105">
        <f>IF($BA$883&gt;0,IPMT('Assumptions (Solar)'!$V$8,Model!W$1,'Assumptions (Solar)'!$V$11,'Assumptions (Solar)'!$V$6*Model!$BA$883*('Assumptions (Solar)'!$AY$18*'Assumptions (Solar)'!$AY$2+'Assumptions (Solar)'!$AY$19*'Assumptions (Solar)'!$AY$3)/10^9),0)</f>
        <v>-121.35928788033675</v>
      </c>
      <c r="BB1042" s="105">
        <f>IF($BA$883&gt;0,IPMT('Assumptions (Solar)'!$V$8,Model!X$1,'Assumptions (Solar)'!$V$11,'Assumptions (Solar)'!$V$6*Model!$BA$883*('Assumptions (Solar)'!$AY$18*'Assumptions (Solar)'!$AY$2+'Assumptions (Solar)'!$AY$19*'Assumptions (Solar)'!$AY$3)/10^9),0)</f>
        <v>-112.98191828931591</v>
      </c>
      <c r="BC1042" s="105">
        <f>IF($BA$883&gt;0,IPMT('Assumptions (Solar)'!$V$8,Model!Y$1,'Assumptions (Solar)'!$V$11,'Assumptions (Solar)'!$V$6*Model!$BA$883*('Assumptions (Solar)'!$AY$18*'Assumptions (Solar)'!$AY$2+'Assumptions (Solar)'!$AY$19*'Assumptions (Solar)'!$AY$3)/10^9),0)</f>
        <v>-103.93435913101341</v>
      </c>
      <c r="BD1042" s="105">
        <f>IF($BA$883&gt;0,IPMT('Assumptions (Solar)'!$V$8,Model!Z$1,'Assumptions (Solar)'!$V$11,'Assumptions (Solar)'!$V$6*Model!$BA$883*('Assumptions (Solar)'!$AY$18*'Assumptions (Solar)'!$AY$2+'Assumptions (Solar)'!$AY$19*'Assumptions (Solar)'!$AY$3)/10^9),0)</f>
        <v>-94.162995240046698</v>
      </c>
      <c r="BE1042" s="105">
        <f>IF($BA$883&gt;0,IPMT('Assumptions (Solar)'!$V$8,Model!AA$1,'Assumptions (Solar)'!$V$11,'Assumptions (Solar)'!$V$6*Model!$BA$883*('Assumptions (Solar)'!$AY$18*'Assumptions (Solar)'!$AY$2+'Assumptions (Solar)'!$AY$19*'Assumptions (Solar)'!$AY$3)/10^9),0)</f>
        <v>-83.609922237802678</v>
      </c>
      <c r="BF1042" s="105">
        <f>IF($BA$883&gt;0,IPMT('Assumptions (Solar)'!$V$8,Model!AB$1,'Assumptions (Solar)'!$V$11,'Assumptions (Solar)'!$V$6*Model!$BA$883*('Assumptions (Solar)'!$AY$18*'Assumptions (Solar)'!$AY$2+'Assumptions (Solar)'!$AY$19*'Assumptions (Solar)'!$AY$3)/10^9),0)</f>
        <v>-72.212603395379134</v>
      </c>
      <c r="BG1042" s="105">
        <f>IF($BA$883&gt;0,IPMT('Assumptions (Solar)'!$V$8,Model!AC$1,'Assumptions (Solar)'!$V$11,'Assumptions (Solar)'!$V$6*Model!$BA$883*('Assumptions (Solar)'!$AY$18*'Assumptions (Solar)'!$AY$2+'Assumptions (Solar)'!$AY$19*'Assumptions (Solar)'!$AY$3)/10^9),0)</f>
        <v>-59.903499045561695</v>
      </c>
      <c r="BH1042" s="105">
        <f>IF($BA$883&gt;0,IPMT('Assumptions (Solar)'!$V$8,Model!AD$1,'Assumptions (Solar)'!$V$11,'Assumptions (Solar)'!$V$6*Model!$BA$883*('Assumptions (Solar)'!$AY$18*'Assumptions (Solar)'!$AY$2+'Assumptions (Solar)'!$AY$19*'Assumptions (Solar)'!$AY$3)/10^9),0)</f>
        <v>-46.609666347758868</v>
      </c>
      <c r="BI1042" s="105">
        <f>IF($BA$883&gt;0,IPMT('Assumptions (Solar)'!$V$8,Model!AE$1,'Assumptions (Solar)'!$V$11,'Assumptions (Solar)'!$V$6*Model!$BA$883*('Assumptions (Solar)'!$AY$18*'Assumptions (Solar)'!$AY$2+'Assumptions (Solar)'!$AY$19*'Assumptions (Solar)'!$AY$3)/10^9),0)</f>
        <v>-32.252327034131817</v>
      </c>
      <c r="BJ1042" s="105">
        <f>IF($BA$883&gt;0,IPMT('Assumptions (Solar)'!$V$8,Model!AF$1,'Assumptions (Solar)'!$V$11,'Assumptions (Solar)'!$V$6*Model!$BA$883*('Assumptions (Solar)'!$AY$18*'Assumptions (Solar)'!$AY$2+'Assumptions (Solar)'!$AY$19*'Assumptions (Solar)'!$AY$3)/10^9),0)</f>
        <v>-16.746400575414597</v>
      </c>
      <c r="BK1042" s="105" t="e">
        <f>IF($BA$883&gt;0,IPMT('Assumptions (Solar)'!$V$8,Model!AG$1,'Assumptions (Solar)'!$V$11,'Assumptions (Solar)'!$V$6*Model!$BA$883*('Assumptions (Solar)'!$AY$18*'Assumptions (Solar)'!$AY$2+'Assumptions (Solar)'!$AY$19*'Assumptions (Solar)'!$AY$3)/10^9),0)</f>
        <v>#NUM!</v>
      </c>
      <c r="BL1042" s="105" t="e">
        <f>IF($BA$883&gt;0,IPMT('Assumptions (Solar)'!$V$8,Model!AH$1,'Assumptions (Solar)'!$V$11,'Assumptions (Solar)'!$V$6*Model!$BA$883*('Assumptions (Solar)'!$AY$18*'Assumptions (Solar)'!$AY$2+'Assumptions (Solar)'!$AY$19*'Assumptions (Solar)'!$AY$3)/10^9),0)</f>
        <v>#NUM!</v>
      </c>
      <c r="BM1042" s="105" t="e">
        <f>IF($BA$883&gt;0,IPMT('Assumptions (Solar)'!$V$8,Model!AI$1,'Assumptions (Solar)'!$V$11,'Assumptions (Solar)'!$V$6*Model!$BA$883*('Assumptions (Solar)'!$AY$18*'Assumptions (Solar)'!$AY$2+'Assumptions (Solar)'!$AY$19*'Assumptions (Solar)'!$AY$3)/10^9),0)</f>
        <v>#NUM!</v>
      </c>
      <c r="BN1042" s="105" t="e">
        <f>IF($BA$883&gt;0,IPMT('Assumptions (Solar)'!$V$8,Model!AJ$1,'Assumptions (Solar)'!$V$11,'Assumptions (Solar)'!$V$6*Model!$BA$883*('Assumptions (Solar)'!$AY$18*'Assumptions (Solar)'!$AY$2+'Assumptions (Solar)'!$AY$19*'Assumptions (Solar)'!$AY$3)/10^9),0)</f>
        <v>#NUM!</v>
      </c>
      <c r="BO1042" s="105" t="e">
        <f>IF($BA$883&gt;0,IPMT('Assumptions (Solar)'!$V$8,Model!AK$1,'Assumptions (Solar)'!$V$11,'Assumptions (Solar)'!$V$6*Model!$BA$883*('Assumptions (Solar)'!$AY$18*'Assumptions (Solar)'!$AY$2+'Assumptions (Solar)'!$AY$19*'Assumptions (Solar)'!$AY$3)/10^9),0)</f>
        <v>#NUM!</v>
      </c>
      <c r="BP1042" s="105"/>
      <c r="BQ1042" s="105"/>
      <c r="BR1042" s="105"/>
      <c r="BS1042" s="105"/>
      <c r="BT1042" s="105"/>
      <c r="BU1042" s="105"/>
      <c r="BV1042" s="105"/>
      <c r="BW1042" s="105"/>
      <c r="BX1042" s="105"/>
      <c r="BY1042" s="105"/>
    </row>
    <row r="1043" spans="1:77" ht="15.75" customHeight="1" collapsed="1">
      <c r="A1043" s="403" t="s">
        <v>806</v>
      </c>
      <c r="B1043" s="99" t="s">
        <v>201</v>
      </c>
      <c r="C1043" s="150">
        <f t="shared" ref="C1043:BF1043" si="25">SUM(C1044:C1094)</f>
        <v>0</v>
      </c>
      <c r="D1043" s="150">
        <f t="shared" si="25"/>
        <v>2.365392530913332E-3</v>
      </c>
      <c r="E1043" s="150">
        <f t="shared" si="25"/>
        <v>5.0455642217097467E-3</v>
      </c>
      <c r="F1043" s="150">
        <f t="shared" si="25"/>
        <v>4.3477188391088306E-3</v>
      </c>
      <c r="G1043" s="150">
        <f t="shared" si="25"/>
        <v>2.6680754372998658E-3</v>
      </c>
      <c r="H1043" s="150">
        <f t="shared" si="25"/>
        <v>3.3110556129275553E-3</v>
      </c>
      <c r="I1043" s="150">
        <f t="shared" si="25"/>
        <v>4.3443448685670204E-3</v>
      </c>
      <c r="J1043" s="150">
        <f t="shared" si="25"/>
        <v>6.0678657965640093E-2</v>
      </c>
      <c r="K1043" s="150">
        <f t="shared" si="25"/>
        <v>0.11030744065222842</v>
      </c>
      <c r="L1043" s="150">
        <f t="shared" si="25"/>
        <v>0.13941993960347998</v>
      </c>
      <c r="M1043" s="150">
        <f t="shared" si="25"/>
        <v>0.269609270968732</v>
      </c>
      <c r="N1043" s="150">
        <f t="shared" si="25"/>
        <v>0.73301180062358551</v>
      </c>
      <c r="O1043" s="150">
        <f t="shared" si="25"/>
        <v>1.7271300277224417</v>
      </c>
      <c r="P1043" s="150">
        <f t="shared" si="25"/>
        <v>3.795925220270123</v>
      </c>
      <c r="Q1043" s="150">
        <f t="shared" si="25"/>
        <v>6.1786241348021935</v>
      </c>
      <c r="R1043" s="150">
        <f t="shared" si="25"/>
        <v>7.610543041247241</v>
      </c>
      <c r="S1043" s="150">
        <f t="shared" si="25"/>
        <v>10.737242007215055</v>
      </c>
      <c r="T1043" s="150">
        <f t="shared" si="25"/>
        <v>13.361672014430532</v>
      </c>
      <c r="U1043" s="150">
        <f t="shared" si="25"/>
        <v>13.242898491749827</v>
      </c>
      <c r="V1043" s="150">
        <f t="shared" si="25"/>
        <v>11.978469448360219</v>
      </c>
      <c r="W1043" s="150">
        <f t="shared" si="25"/>
        <v>14.153956699932241</v>
      </c>
      <c r="X1043" s="150">
        <f t="shared" si="25"/>
        <v>282.89900750169033</v>
      </c>
      <c r="Y1043" s="150">
        <f t="shared" si="25"/>
        <v>714.64273220988059</v>
      </c>
      <c r="Z1043" s="150">
        <f t="shared" si="25"/>
        <v>987.71355255882406</v>
      </c>
      <c r="AA1043" s="150">
        <f t="shared" si="25"/>
        <v>1167.4810008066247</v>
      </c>
      <c r="AB1043" s="150">
        <f t="shared" si="25"/>
        <v>1351.1778010518512</v>
      </c>
      <c r="AC1043" s="150">
        <f t="shared" si="25"/>
        <v>1461.1323555930608</v>
      </c>
      <c r="AD1043" s="150">
        <f t="shared" si="25"/>
        <v>1496.5552660903704</v>
      </c>
      <c r="AE1043" s="150">
        <f t="shared" si="25"/>
        <v>1532.717225708657</v>
      </c>
      <c r="AF1043" s="150">
        <f t="shared" si="25"/>
        <v>1569.9768574436644</v>
      </c>
      <c r="AG1043" s="150">
        <f t="shared" si="25"/>
        <v>1607.7728882308836</v>
      </c>
      <c r="AH1043" s="150">
        <f t="shared" si="25"/>
        <v>1644.3714726706528</v>
      </c>
      <c r="AI1043" s="150">
        <f t="shared" si="25"/>
        <v>1679.0821170840838</v>
      </c>
      <c r="AJ1043" s="150">
        <f t="shared" si="25"/>
        <v>1712.5061849297686</v>
      </c>
      <c r="AK1043" s="150">
        <f t="shared" si="25"/>
        <v>1744.8304337514278</v>
      </c>
      <c r="AL1043" s="150">
        <f t="shared" si="25"/>
        <v>1775.9832226501053</v>
      </c>
      <c r="AM1043" s="150">
        <f t="shared" si="25"/>
        <v>1806.4129624211614</v>
      </c>
      <c r="AN1043" s="150">
        <f t="shared" si="25"/>
        <v>1839.0163459335351</v>
      </c>
      <c r="AO1043" s="150">
        <f t="shared" si="25"/>
        <v>1874.9880829587328</v>
      </c>
      <c r="AP1043" s="150">
        <f t="shared" si="25"/>
        <v>1912.5897664601202</v>
      </c>
      <c r="AQ1043" s="150">
        <f t="shared" si="25"/>
        <v>1951.9931591421091</v>
      </c>
      <c r="AR1043" s="150">
        <f t="shared" si="25"/>
        <v>1994.6179108555377</v>
      </c>
      <c r="AS1043" s="150">
        <f t="shared" si="25"/>
        <v>2039.6664541682601</v>
      </c>
      <c r="AT1043" s="150">
        <f t="shared" si="25"/>
        <v>2086.2368762469273</v>
      </c>
      <c r="AU1043" s="150">
        <f t="shared" si="25"/>
        <v>2134.9379389166411</v>
      </c>
      <c r="AV1043" s="150">
        <f t="shared" si="25"/>
        <v>2186.3812908863351</v>
      </c>
      <c r="AW1043" s="150">
        <f t="shared" si="25"/>
        <v>2238.4875016183169</v>
      </c>
      <c r="AX1043" s="150">
        <f t="shared" si="25"/>
        <v>2288.3408516917266</v>
      </c>
      <c r="AY1043" s="150">
        <f t="shared" si="25"/>
        <v>2341.0853840690547</v>
      </c>
      <c r="AZ1043" s="150">
        <f t="shared" si="25"/>
        <v>2395.3919999234031</v>
      </c>
      <c r="BA1043" s="150">
        <f t="shared" si="25"/>
        <v>2444.5033028102703</v>
      </c>
      <c r="BB1043" s="150">
        <f t="shared" si="25"/>
        <v>1976.0632078865165</v>
      </c>
      <c r="BC1043" s="150">
        <f t="shared" si="25"/>
        <v>1190.3498983104985</v>
      </c>
      <c r="BD1043" s="150">
        <f t="shared" si="25"/>
        <v>718.56590584068726</v>
      </c>
      <c r="BE1043" s="150">
        <f t="shared" si="25"/>
        <v>434.51199885054314</v>
      </c>
      <c r="BF1043" s="150">
        <f t="shared" si="25"/>
        <v>145.63114545640408</v>
      </c>
      <c r="BG1043" s="150"/>
      <c r="BH1043" s="150"/>
      <c r="BI1043" s="150"/>
      <c r="BJ1043" s="150"/>
    </row>
    <row r="1044" spans="1:77" ht="15.75" hidden="1" customHeight="1" outlineLevel="1">
      <c r="A1044" s="401"/>
      <c r="B1044" s="99"/>
      <c r="C1044" s="91">
        <f>IF($C$883&gt;0,'Assumptions (Solar)'!V$12*Model!$C$883*('Assumptions (Solar)'!$B$18*'Assumptions (Solar)'!$B$2+'Assumptions (Solar)'!$B$19*'Assumptions (Solar)'!$B$3)/10^9,0)</f>
        <v>0</v>
      </c>
      <c r="D1044" s="91">
        <f>IF($C$883&gt;0,'Assumptions (Solar)'!W$12*Model!$C$883*('Assumptions (Solar)'!$B$18*'Assumptions (Solar)'!$B$2+'Assumptions (Solar)'!$B$19*'Assumptions (Solar)'!$B$3)/10^9,0)</f>
        <v>0</v>
      </c>
      <c r="E1044" s="91">
        <f>IF($C$883&gt;0,'Assumptions (Solar)'!X$12*Model!$C$883*('Assumptions (Solar)'!$B$18*'Assumptions (Solar)'!$B$2+'Assumptions (Solar)'!$B$19*'Assumptions (Solar)'!$B$3)/10^9,0)</f>
        <v>0</v>
      </c>
      <c r="F1044" s="91">
        <f>IF($C$883&gt;0,'Assumptions (Solar)'!Y$12*Model!$C$883*('Assumptions (Solar)'!$B$18*'Assumptions (Solar)'!$B$2+'Assumptions (Solar)'!$B$19*'Assumptions (Solar)'!$B$3)/10^9,0)</f>
        <v>0</v>
      </c>
      <c r="G1044" s="91">
        <f>IF($C$883&gt;0,'Assumptions (Solar)'!Z$12*Model!$C$883*('Assumptions (Solar)'!$B$18*'Assumptions (Solar)'!$B$2+'Assumptions (Solar)'!$B$19*'Assumptions (Solar)'!$B$3)/10^9,0)</f>
        <v>0</v>
      </c>
      <c r="H1044" s="91">
        <f>IF($C$883&gt;0,'Assumptions (Solar)'!AA$12*Model!$C$883*('Assumptions (Solar)'!$B$18*'Assumptions (Solar)'!$B$2+'Assumptions (Solar)'!$B$19*'Assumptions (Solar)'!$B$3)/10^9,0)</f>
        <v>0</v>
      </c>
      <c r="I1044" s="91"/>
      <c r="J1044" s="91"/>
      <c r="K1044" s="91"/>
      <c r="L1044" s="91"/>
      <c r="M1044" s="91"/>
      <c r="N1044" s="91"/>
      <c r="O1044" s="91"/>
      <c r="P1044" s="91"/>
      <c r="Q1044" s="91"/>
      <c r="R1044" s="91"/>
      <c r="S1044" s="91"/>
      <c r="T1044" s="91"/>
      <c r="U1044" s="91"/>
      <c r="V1044" s="91"/>
      <c r="W1044" s="91"/>
      <c r="X1044" s="91"/>
      <c r="Y1044" s="91"/>
      <c r="Z1044" s="91"/>
      <c r="AA1044" s="91"/>
      <c r="AB1044" s="150"/>
      <c r="AC1044" s="150"/>
      <c r="AD1044" s="150"/>
      <c r="AE1044" s="105"/>
      <c r="AF1044" s="105"/>
      <c r="AG1044" s="105"/>
      <c r="AH1044" s="105"/>
      <c r="AI1044" s="105"/>
      <c r="AJ1044" s="105"/>
      <c r="AK1044" s="105"/>
      <c r="AL1044" s="105"/>
      <c r="AM1044" s="105"/>
      <c r="AN1044" s="105"/>
      <c r="AO1044" s="105"/>
      <c r="AP1044" s="105"/>
      <c r="AQ1044" s="105"/>
      <c r="AR1044" s="105"/>
      <c r="AS1044" s="105"/>
      <c r="AT1044" s="105"/>
      <c r="AU1044" s="105"/>
      <c r="AV1044" s="105"/>
      <c r="AW1044" s="105"/>
      <c r="AX1044" s="105"/>
      <c r="AY1044" s="105"/>
      <c r="AZ1044" s="105"/>
      <c r="BA1044" s="105"/>
    </row>
    <row r="1045" spans="1:77" ht="15.75" hidden="1" customHeight="1" outlineLevel="1">
      <c r="A1045" s="401"/>
      <c r="B1045" s="99"/>
      <c r="C1045" s="105"/>
      <c r="D1045" s="91">
        <f>IF($D$883&gt;0,'Assumptions (Solar)'!V$12*Model!$D$883*('Assumptions (Solar)'!$B$18*'Assumptions (Solar)'!$B$2+'Assumptions (Solar)'!$B$19*'Assumptions (Solar)'!$B$3)/10^9,0)</f>
        <v>2.365392530913332E-3</v>
      </c>
      <c r="E1045" s="91">
        <f>IF($D$883&gt;0,'Assumptions (Solar)'!W$12*Model!$D$883*('Assumptions (Solar)'!$B$18*'Assumptions (Solar)'!$B$2+'Assumptions (Solar)'!$B$19*'Assumptions (Solar)'!$B$3)/10^9,0)</f>
        <v>3.7846280494613317E-3</v>
      </c>
      <c r="F1045" s="91">
        <f>IF($D$883&gt;0,'Assumptions (Solar)'!X$12*Model!$D$883*('Assumptions (Solar)'!$B$18*'Assumptions (Solar)'!$B$2+'Assumptions (Solar)'!$B$19*'Assumptions (Solar)'!$B$3)/10^9,0)</f>
        <v>2.270776829676799E-3</v>
      </c>
      <c r="G1045" s="91">
        <f>IF($D$883&gt;0,'Assumptions (Solar)'!Y$12*Model!$D$883*('Assumptions (Solar)'!$B$18*'Assumptions (Solar)'!$B$2+'Assumptions (Solar)'!$B$19*'Assumptions (Solar)'!$B$3)/10^9,0)</f>
        <v>1.3624660978060791E-3</v>
      </c>
      <c r="H1045" s="91">
        <f>IF($D$883&gt;0,'Assumptions (Solar)'!Z$12*Model!$D$883*('Assumptions (Solar)'!$B$18*'Assumptions (Solar)'!$B$2+'Assumptions (Solar)'!$B$19*'Assumptions (Solar)'!$B$3)/10^9,0)</f>
        <v>1.3624660978060791E-3</v>
      </c>
      <c r="I1045" s="91">
        <f>IF($D$883&gt;0,'Assumptions (Solar)'!AA$12*Model!$D$883*('Assumptions (Solar)'!$B$18*'Assumptions (Solar)'!$B$2+'Assumptions (Solar)'!$B$19*'Assumptions (Solar)'!$B$3)/10^9,0)</f>
        <v>6.8123304890303955E-4</v>
      </c>
      <c r="J1045" s="91"/>
      <c r="K1045" s="91"/>
      <c r="L1045" s="91"/>
      <c r="M1045" s="91"/>
      <c r="N1045" s="91"/>
      <c r="O1045" s="91"/>
      <c r="P1045" s="91"/>
      <c r="Q1045" s="91"/>
      <c r="R1045" s="91"/>
      <c r="S1045" s="91"/>
      <c r="T1045" s="91"/>
      <c r="U1045" s="91"/>
      <c r="V1045" s="91"/>
      <c r="W1045" s="91"/>
      <c r="X1045" s="91"/>
      <c r="Y1045" s="91"/>
      <c r="Z1045" s="91"/>
      <c r="AA1045" s="91"/>
      <c r="AB1045" s="150"/>
      <c r="AC1045" s="150"/>
      <c r="AD1045" s="150"/>
      <c r="AE1045" s="105"/>
      <c r="AF1045" s="105"/>
      <c r="AG1045" s="105"/>
      <c r="AH1045" s="105"/>
      <c r="AI1045" s="105"/>
      <c r="AJ1045" s="105"/>
      <c r="AK1045" s="105"/>
      <c r="AL1045" s="105"/>
      <c r="AM1045" s="105"/>
      <c r="AN1045" s="105"/>
      <c r="AO1045" s="105"/>
      <c r="AP1045" s="105"/>
      <c r="AQ1045" s="105"/>
      <c r="AR1045" s="105"/>
      <c r="AS1045" s="105"/>
      <c r="AT1045" s="105"/>
      <c r="AU1045" s="105"/>
      <c r="AV1045" s="105"/>
      <c r="AW1045" s="105"/>
      <c r="AX1045" s="105"/>
      <c r="AY1045" s="105"/>
      <c r="AZ1045" s="105"/>
      <c r="BA1045" s="105"/>
    </row>
    <row r="1046" spans="1:77" ht="15.75" hidden="1" customHeight="1" outlineLevel="1">
      <c r="A1046" s="401"/>
      <c r="B1046" s="99"/>
      <c r="C1046" s="105"/>
      <c r="D1046" s="105"/>
      <c r="E1046" s="105">
        <f>IF($E$883&gt;0,'Assumptions (Solar)'!V$12*Model!$E$883*('Assumptions (Solar)'!$C$18*'Assumptions (Solar)'!$C$2+'Assumptions (Solar)'!$C$19*'Assumptions (Solar)'!$C$3)/10^9,0)</f>
        <v>1.2609361722484148E-3</v>
      </c>
      <c r="F1046" s="105">
        <f>IF($E$883&gt;0,'Assumptions (Solar)'!W$12*Model!$E$883*('Assumptions (Solar)'!$C$18*'Assumptions (Solar)'!$C$2+'Assumptions (Solar)'!$C$19*'Assumptions (Solar)'!$C$3)/10^9,0)</f>
        <v>2.0174978755974635E-3</v>
      </c>
      <c r="G1046" s="105">
        <f>IF($E$883&gt;0,'Assumptions (Solar)'!X$12*Model!$E$883*('Assumptions (Solar)'!$C$18*'Assumptions (Solar)'!$C$2+'Assumptions (Solar)'!$C$19*'Assumptions (Solar)'!$C$3)/10^9,0)</f>
        <v>1.2104987253584781E-3</v>
      </c>
      <c r="H1046" s="105">
        <f>IF($E$883&gt;0,'Assumptions (Solar)'!Y$12*Model!$E$883*('Assumptions (Solar)'!$C$18*'Assumptions (Solar)'!$C$2+'Assumptions (Solar)'!$C$19*'Assumptions (Solar)'!$C$3)/10^9,0)</f>
        <v>7.2629923521508669E-4</v>
      </c>
      <c r="I1046" s="105">
        <f>IF($E$883&gt;0,'Assumptions (Solar)'!Z$12*Model!$E$883*('Assumptions (Solar)'!$C$18*'Assumptions (Solar)'!$C$2+'Assumptions (Solar)'!$C$19*'Assumptions (Solar)'!$C$3)/10^9,0)</f>
        <v>7.2629923521508669E-4</v>
      </c>
      <c r="J1046" s="105">
        <f>IF($E$883&gt;0,'Assumptions (Solar)'!AA$12*Model!$E$883*('Assumptions (Solar)'!$C$18*'Assumptions (Solar)'!$C$2+'Assumptions (Solar)'!$C$19*'Assumptions (Solar)'!$C$3)/10^9,0)</f>
        <v>3.6314961760754334E-4</v>
      </c>
      <c r="K1046" s="105"/>
      <c r="L1046" s="105"/>
      <c r="M1046" s="105"/>
      <c r="N1046" s="105"/>
      <c r="O1046" s="105"/>
      <c r="P1046" s="105"/>
      <c r="Q1046" s="105"/>
      <c r="R1046" s="105"/>
      <c r="S1046" s="105"/>
      <c r="T1046" s="105"/>
      <c r="U1046" s="105"/>
      <c r="V1046" s="105"/>
      <c r="W1046" s="105"/>
      <c r="X1046" s="105"/>
      <c r="Y1046" s="105"/>
      <c r="Z1046" s="105"/>
      <c r="AA1046" s="105"/>
      <c r="AB1046" s="150"/>
      <c r="AC1046" s="150"/>
      <c r="AD1046" s="150"/>
      <c r="AE1046" s="105"/>
      <c r="AF1046" s="105"/>
      <c r="AG1046" s="105"/>
      <c r="AH1046" s="105"/>
      <c r="AI1046" s="105"/>
      <c r="AJ1046" s="105"/>
      <c r="AK1046" s="105"/>
      <c r="AL1046" s="105"/>
      <c r="AM1046" s="105"/>
      <c r="AN1046" s="105"/>
      <c r="AO1046" s="105"/>
      <c r="AP1046" s="105"/>
      <c r="AQ1046" s="105"/>
      <c r="AR1046" s="105"/>
      <c r="AS1046" s="105"/>
      <c r="AT1046" s="105"/>
      <c r="AU1046" s="105"/>
      <c r="AV1046" s="105"/>
      <c r="AW1046" s="105"/>
      <c r="AX1046" s="105"/>
      <c r="AY1046" s="105"/>
      <c r="AZ1046" s="105"/>
      <c r="BA1046" s="105"/>
    </row>
    <row r="1047" spans="1:77" ht="15.75" hidden="1" customHeight="1" outlineLevel="1">
      <c r="A1047" s="401"/>
      <c r="B1047" s="99"/>
      <c r="C1047" s="105"/>
      <c r="D1047" s="105"/>
      <c r="E1047" s="105"/>
      <c r="F1047" s="105">
        <f>IF($F$883&gt;0,'Assumptions (Solar)'!V$12*Model!$F$883*('Assumptions (Solar)'!$D$18*'Assumptions (Solar)'!$D$2+'Assumptions (Solar)'!$D$19*'Assumptions (Solar)'!$D$3)/10^9,0)</f>
        <v>5.9444133834568125E-5</v>
      </c>
      <c r="G1047" s="105">
        <f>IF($F$883&gt;0,'Assumptions (Solar)'!W$12*Model!$F$883*('Assumptions (Solar)'!$D$18*'Assumptions (Solar)'!$D$2+'Assumptions (Solar)'!$D$19*'Assumptions (Solar)'!$D$3)/10^9,0)</f>
        <v>9.5110614135308975E-5</v>
      </c>
      <c r="H1047" s="105">
        <f>IF($F$883&gt;0,'Assumptions (Solar)'!X$12*Model!$F$883*('Assumptions (Solar)'!$D$18*'Assumptions (Solar)'!$D$2+'Assumptions (Solar)'!$D$19*'Assumptions (Solar)'!$D$3)/10^9,0)</f>
        <v>5.7066368481185396E-5</v>
      </c>
      <c r="I1047" s="105">
        <f>IF($F$883&gt;0,'Assumptions (Solar)'!Y$12*Model!$F$883*('Assumptions (Solar)'!$D$18*'Assumptions (Solar)'!$D$2+'Assumptions (Solar)'!$D$19*'Assumptions (Solar)'!$D$3)/10^9,0)</f>
        <v>3.4239821088711239E-5</v>
      </c>
      <c r="J1047" s="105">
        <f>IF($F$883&gt;0,'Assumptions (Solar)'!Z$12*Model!$F$883*('Assumptions (Solar)'!$D$18*'Assumptions (Solar)'!$D$2+'Assumptions (Solar)'!$D$19*'Assumptions (Solar)'!$D$3)/10^9,0)</f>
        <v>3.4239821088711239E-5</v>
      </c>
      <c r="K1047" s="105">
        <f>IF($F$883&gt;0,'Assumptions (Solar)'!AA$12*Model!$F$883*('Assumptions (Solar)'!$D$18*'Assumptions (Solar)'!$D$2+'Assumptions (Solar)'!$D$19*'Assumptions (Solar)'!$D$3)/10^9,0)</f>
        <v>1.7119910544355619E-5</v>
      </c>
      <c r="L1047" s="105"/>
      <c r="M1047" s="105"/>
      <c r="N1047" s="105"/>
      <c r="O1047" s="105"/>
      <c r="P1047" s="105"/>
      <c r="Q1047" s="105"/>
      <c r="R1047" s="105"/>
      <c r="S1047" s="105"/>
      <c r="T1047" s="105"/>
      <c r="U1047" s="105"/>
      <c r="V1047" s="105"/>
      <c r="W1047" s="105"/>
      <c r="X1047" s="105"/>
      <c r="Y1047" s="105"/>
      <c r="Z1047" s="105"/>
      <c r="AA1047" s="105"/>
      <c r="AB1047" s="150"/>
      <c r="AC1047" s="150"/>
      <c r="AD1047" s="150"/>
      <c r="AE1047" s="105"/>
      <c r="AF1047" s="105"/>
      <c r="AG1047" s="105"/>
      <c r="AH1047" s="105"/>
      <c r="AI1047" s="105"/>
      <c r="AJ1047" s="105"/>
      <c r="AK1047" s="105"/>
      <c r="AL1047" s="105"/>
      <c r="AM1047" s="105"/>
      <c r="AN1047" s="105"/>
      <c r="AO1047" s="105"/>
      <c r="AP1047" s="105"/>
      <c r="AQ1047" s="105"/>
      <c r="AR1047" s="105"/>
      <c r="AS1047" s="105"/>
      <c r="AT1047" s="105"/>
      <c r="AU1047" s="105"/>
      <c r="AV1047" s="105"/>
      <c r="AW1047" s="105"/>
      <c r="AX1047" s="105"/>
      <c r="AY1047" s="105"/>
      <c r="AZ1047" s="105"/>
      <c r="BA1047" s="105"/>
    </row>
    <row r="1048" spans="1:77" ht="15.75" hidden="1" customHeight="1" outlineLevel="1">
      <c r="A1048" s="401"/>
      <c r="B1048" s="99"/>
      <c r="C1048" s="105"/>
      <c r="D1048" s="105"/>
      <c r="E1048" s="105"/>
      <c r="F1048" s="105"/>
      <c r="G1048" s="105">
        <f>IF($G$883&gt;0,'Assumptions (Solar)'!V$12*Model!$G$883*('Assumptions (Solar)'!$E$18*'Assumptions (Solar)'!$E$2+'Assumptions (Solar)'!$E$19*'Assumptions (Solar)'!$E$3)/10^9,0)</f>
        <v>0</v>
      </c>
      <c r="H1048" s="105">
        <f>IF($G$883&gt;0,'Assumptions (Solar)'!W$12*Model!$G$883*('Assumptions (Solar)'!$E$18*'Assumptions (Solar)'!$E$2+'Assumptions (Solar)'!$E$19*'Assumptions (Solar)'!$E$3)/10^9,0)</f>
        <v>0</v>
      </c>
      <c r="I1048" s="105">
        <f>IF($G$883&gt;0,'Assumptions (Solar)'!X$12*Model!$G$883*('Assumptions (Solar)'!$E$18*'Assumptions (Solar)'!$E$2+'Assumptions (Solar)'!$E$19*'Assumptions (Solar)'!$E$3)/10^9,0)</f>
        <v>0</v>
      </c>
      <c r="J1048" s="105">
        <f>IF($G$883&gt;0,'Assumptions (Solar)'!Y$12*Model!$G$883*('Assumptions (Solar)'!$E$18*'Assumptions (Solar)'!$E$2+'Assumptions (Solar)'!$E$19*'Assumptions (Solar)'!$E$3)/10^9,0)</f>
        <v>0</v>
      </c>
      <c r="K1048" s="105">
        <f>IF($G$883&gt;0,'Assumptions (Solar)'!Z$12*Model!$G$883*('Assumptions (Solar)'!$E$18*'Assumptions (Solar)'!$E$2+'Assumptions (Solar)'!$E$19*'Assumptions (Solar)'!$E$3)/10^9,0)</f>
        <v>0</v>
      </c>
      <c r="L1048" s="105">
        <f>IF($G$883&gt;0,'Assumptions (Solar)'!AA$12*Model!$G$883*('Assumptions (Solar)'!$E$18*'Assumptions (Solar)'!$E$2+'Assumptions (Solar)'!$E$19*'Assumptions (Solar)'!$E$3)/10^9,0)</f>
        <v>0</v>
      </c>
      <c r="M1048" s="105"/>
      <c r="N1048" s="105"/>
      <c r="O1048" s="105"/>
      <c r="P1048" s="105"/>
      <c r="Q1048" s="105"/>
      <c r="R1048" s="105"/>
      <c r="S1048" s="105"/>
      <c r="T1048" s="105"/>
      <c r="U1048" s="105"/>
      <c r="V1048" s="105"/>
      <c r="W1048" s="105"/>
      <c r="X1048" s="105"/>
      <c r="Y1048" s="105"/>
      <c r="Z1048" s="105"/>
      <c r="AA1048" s="105"/>
      <c r="AB1048" s="150"/>
      <c r="AC1048" s="150"/>
      <c r="AD1048" s="150"/>
      <c r="AE1048" s="105"/>
      <c r="AF1048" s="105"/>
      <c r="AG1048" s="105"/>
      <c r="AH1048" s="105"/>
      <c r="AI1048" s="105"/>
      <c r="AJ1048" s="105"/>
      <c r="AK1048" s="105"/>
      <c r="AL1048" s="105"/>
      <c r="AM1048" s="105"/>
      <c r="AN1048" s="105"/>
      <c r="AO1048" s="105"/>
      <c r="AP1048" s="105"/>
      <c r="AQ1048" s="105"/>
      <c r="AR1048" s="105"/>
      <c r="AS1048" s="105"/>
      <c r="AT1048" s="105"/>
      <c r="AU1048" s="105"/>
      <c r="AV1048" s="105"/>
      <c r="AW1048" s="105"/>
      <c r="AX1048" s="105"/>
      <c r="AY1048" s="105"/>
      <c r="AZ1048" s="105"/>
      <c r="BA1048" s="105"/>
    </row>
    <row r="1049" spans="1:77" ht="15.75" hidden="1" customHeight="1" outlineLevel="1">
      <c r="A1049" s="401"/>
      <c r="B1049" s="99"/>
      <c r="C1049" s="105"/>
      <c r="D1049" s="105"/>
      <c r="E1049" s="105"/>
      <c r="F1049" s="105"/>
      <c r="G1049" s="105"/>
      <c r="H1049" s="105">
        <f>IF($H$883&gt;0,'Assumptions (Solar)'!V$12*Model!$H$883*('Assumptions (Solar)'!$F$18*'Assumptions (Solar)'!$F$2+'Assumptions (Solar)'!$F$19*'Assumptions (Solar)'!$F$3)/10^9,0)</f>
        <v>1.1652239114252041E-3</v>
      </c>
      <c r="I1049" s="105">
        <f>IF($H$883&gt;0,'Assumptions (Solar)'!W$12*Model!$H$883*('Assumptions (Solar)'!$F$18*'Assumptions (Solar)'!$F$2+'Assumptions (Solar)'!$F$19*'Assumptions (Solar)'!$F$3)/10^9,0)</f>
        <v>1.8643582582803268E-3</v>
      </c>
      <c r="J1049" s="105">
        <f>IF($H$883&gt;0,'Assumptions (Solar)'!X$12*Model!$H$883*('Assumptions (Solar)'!$F$18*'Assumptions (Solar)'!$F$2+'Assumptions (Solar)'!$F$19*'Assumptions (Solar)'!$F$3)/10^9,0)</f>
        <v>1.1186149549681961E-3</v>
      </c>
      <c r="K1049" s="105">
        <f>IF($H$883&gt;0,'Assumptions (Solar)'!Y$12*Model!$H$883*('Assumptions (Solar)'!$F$18*'Assumptions (Solar)'!$F$2+'Assumptions (Solar)'!$F$19*'Assumptions (Solar)'!$F$3)/10^9,0)</f>
        <v>6.711689729809175E-4</v>
      </c>
      <c r="L1049" s="105">
        <f>IF($H$883&gt;0,'Assumptions (Solar)'!Z$12*Model!$H$883*('Assumptions (Solar)'!$F$18*'Assumptions (Solar)'!$F$2+'Assumptions (Solar)'!$F$19*'Assumptions (Solar)'!$F$3)/10^9,0)</f>
        <v>6.711689729809175E-4</v>
      </c>
      <c r="M1049" s="105">
        <f>IF($H$883&gt;0,'Assumptions (Solar)'!AA$12*Model!$H$883*('Assumptions (Solar)'!$F$18*'Assumptions (Solar)'!$F$2+'Assumptions (Solar)'!$F$19*'Assumptions (Solar)'!$F$3)/10^9,0)</f>
        <v>3.3558448649045875E-4</v>
      </c>
      <c r="N1049" s="105"/>
      <c r="O1049" s="105"/>
      <c r="P1049" s="105"/>
      <c r="Q1049" s="105"/>
      <c r="R1049" s="105"/>
      <c r="S1049" s="105"/>
      <c r="T1049" s="105"/>
      <c r="U1049" s="105"/>
      <c r="V1049" s="105"/>
      <c r="W1049" s="105"/>
      <c r="X1049" s="105"/>
      <c r="Y1049" s="105"/>
      <c r="Z1049" s="105"/>
      <c r="AA1049" s="105"/>
      <c r="AB1049" s="150"/>
      <c r="AC1049" s="150"/>
      <c r="AD1049" s="150"/>
      <c r="AE1049" s="105"/>
      <c r="AF1049" s="105"/>
      <c r="AG1049" s="105"/>
      <c r="AH1049" s="105"/>
      <c r="AI1049" s="105"/>
      <c r="AJ1049" s="105"/>
      <c r="AK1049" s="105"/>
      <c r="AL1049" s="105"/>
      <c r="AM1049" s="105"/>
      <c r="AN1049" s="105"/>
      <c r="AO1049" s="105"/>
      <c r="AP1049" s="105"/>
      <c r="AQ1049" s="105"/>
      <c r="AR1049" s="105"/>
      <c r="AS1049" s="105"/>
      <c r="AT1049" s="105"/>
      <c r="AU1049" s="105"/>
      <c r="AV1049" s="105"/>
      <c r="AW1049" s="105"/>
      <c r="AX1049" s="105"/>
      <c r="AY1049" s="105"/>
      <c r="AZ1049" s="105"/>
      <c r="BA1049" s="105"/>
    </row>
    <row r="1050" spans="1:77" ht="15.75" hidden="1" customHeight="1" outlineLevel="1">
      <c r="A1050" s="401"/>
      <c r="B1050" s="99"/>
      <c r="C1050" s="105"/>
      <c r="D1050" s="105"/>
      <c r="E1050" s="105"/>
      <c r="F1050" s="105"/>
      <c r="G1050" s="105"/>
      <c r="H1050" s="105"/>
      <c r="I1050" s="105">
        <f>IF($I$883&gt;0,'Assumptions (Solar)'!V$12*Model!$I$883*('Assumptions (Solar)'!$G$18*'Assumptions (Solar)'!$G$2+'Assumptions (Solar)'!$G$19*'Assumptions (Solar)'!$G$3)/10^9,0)</f>
        <v>1.0382145050798568E-3</v>
      </c>
      <c r="J1050" s="105">
        <f>IF($I$883&gt;0,'Assumptions (Solar)'!W$12*Model!$I$883*('Assumptions (Solar)'!$G$18*'Assumptions (Solar)'!$G$2+'Assumptions (Solar)'!$G$19*'Assumptions (Solar)'!$G$3)/10^9,0)</f>
        <v>1.6611432081277708E-3</v>
      </c>
      <c r="K1050" s="105">
        <f>IF($I$883&gt;0,'Assumptions (Solar)'!X$12*Model!$I$883*('Assumptions (Solar)'!$G$18*'Assumptions (Solar)'!$G$2+'Assumptions (Solar)'!$G$19*'Assumptions (Solar)'!$G$3)/10^9,0)</f>
        <v>9.9668592487666264E-4</v>
      </c>
      <c r="L1050" s="105">
        <f>IF($I$883&gt;0,'Assumptions (Solar)'!Y$12*Model!$I$883*('Assumptions (Solar)'!$G$18*'Assumptions (Solar)'!$G$2+'Assumptions (Solar)'!$G$19*'Assumptions (Solar)'!$G$3)/10^9,0)</f>
        <v>5.9801155492599748E-4</v>
      </c>
      <c r="M1050" s="105">
        <f>IF($I$883&gt;0,'Assumptions (Solar)'!Z$12*Model!$I$883*('Assumptions (Solar)'!$G$18*'Assumptions (Solar)'!$G$2+'Assumptions (Solar)'!$G$19*'Assumptions (Solar)'!$G$3)/10^9,0)</f>
        <v>5.9801155492599748E-4</v>
      </c>
      <c r="N1050" s="105">
        <f>IF($I$883&gt;0,'Assumptions (Solar)'!AA$12*Model!$I$883*('Assumptions (Solar)'!$G$18*'Assumptions (Solar)'!$G$2+'Assumptions (Solar)'!$G$19*'Assumptions (Solar)'!$G$3)/10^9,0)</f>
        <v>2.9900577746299874E-4</v>
      </c>
      <c r="O1050" s="105"/>
      <c r="P1050" s="105"/>
      <c r="Q1050" s="105"/>
      <c r="R1050" s="105"/>
      <c r="S1050" s="105"/>
      <c r="T1050" s="105"/>
      <c r="U1050" s="105"/>
      <c r="V1050" s="105"/>
      <c r="W1050" s="105"/>
      <c r="X1050" s="105"/>
      <c r="Y1050" s="105"/>
      <c r="Z1050" s="105"/>
      <c r="AA1050" s="105"/>
      <c r="AB1050" s="150"/>
      <c r="AC1050" s="150"/>
      <c r="AD1050" s="150"/>
      <c r="AE1050" s="105"/>
      <c r="AF1050" s="105"/>
      <c r="AG1050" s="105"/>
      <c r="AH1050" s="105"/>
      <c r="AI1050" s="105"/>
      <c r="AJ1050" s="105"/>
      <c r="AK1050" s="105"/>
      <c r="AL1050" s="105"/>
      <c r="AM1050" s="105"/>
      <c r="AN1050" s="105"/>
      <c r="AO1050" s="105"/>
      <c r="AP1050" s="105"/>
      <c r="AQ1050" s="105"/>
      <c r="AR1050" s="105"/>
      <c r="AS1050" s="105"/>
      <c r="AT1050" s="105"/>
      <c r="AU1050" s="105"/>
      <c r="AV1050" s="105"/>
      <c r="AW1050" s="105"/>
      <c r="AX1050" s="105"/>
      <c r="AY1050" s="105"/>
      <c r="AZ1050" s="105"/>
      <c r="BA1050" s="105"/>
    </row>
    <row r="1051" spans="1:77" ht="15.75" hidden="1" customHeight="1" outlineLevel="1">
      <c r="A1051" s="401"/>
      <c r="B1051" s="99"/>
      <c r="C1051" s="105"/>
      <c r="D1051" s="105"/>
      <c r="E1051" s="105"/>
      <c r="F1051" s="105"/>
      <c r="G1051" s="105"/>
      <c r="H1051" s="105"/>
      <c r="I1051" s="105"/>
      <c r="J1051" s="105">
        <f>IF($J$883&gt;0,'Assumptions (Solar)'!V$12*Model!$J$883*('Assumptions (Solar)'!$H$18*'Assumptions (Solar)'!$H$2+'Assumptions (Solar)'!$H$19*'Assumptions (Solar)'!$H$3)/10^9,0)</f>
        <v>5.7501510363847874E-2</v>
      </c>
      <c r="K1051" s="105">
        <f>IF($J$883&gt;0,'Assumptions (Solar)'!W$12*Model!$J$883*('Assumptions (Solar)'!$H$18*'Assumptions (Solar)'!$H$2+'Assumptions (Solar)'!$H$19*'Assumptions (Solar)'!$H$3)/10^9,0)</f>
        <v>9.2002416582156604E-2</v>
      </c>
      <c r="L1051" s="105">
        <f>IF($J$883&gt;0,'Assumptions (Solar)'!X$12*Model!$J$883*('Assumptions (Solar)'!$H$18*'Assumptions (Solar)'!$H$2+'Assumptions (Solar)'!$H$19*'Assumptions (Solar)'!$H$3)/10^9,0)</f>
        <v>5.5201449949293963E-2</v>
      </c>
      <c r="M1051" s="105">
        <f>IF($J$883&gt;0,'Assumptions (Solar)'!Y$12*Model!$J$883*('Assumptions (Solar)'!$H$18*'Assumptions (Solar)'!$H$2+'Assumptions (Solar)'!$H$19*'Assumptions (Solar)'!$H$3)/10^9,0)</f>
        <v>3.3120869969576375E-2</v>
      </c>
      <c r="N1051" s="105">
        <f>IF($J$883&gt;0,'Assumptions (Solar)'!Z$12*Model!$J$883*('Assumptions (Solar)'!$H$18*'Assumptions (Solar)'!$H$2+'Assumptions (Solar)'!$H$19*'Assumptions (Solar)'!$H$3)/10^9,0)</f>
        <v>3.3120869969576375E-2</v>
      </c>
      <c r="O1051" s="105">
        <f>IF($J$883&gt;0,'Assumptions (Solar)'!AA$12*Model!$J$883*('Assumptions (Solar)'!$H$18*'Assumptions (Solar)'!$H$2+'Assumptions (Solar)'!$H$19*'Assumptions (Solar)'!$H$3)/10^9,0)</f>
        <v>1.6560434984788187E-2</v>
      </c>
      <c r="P1051" s="105"/>
      <c r="Q1051" s="105"/>
      <c r="R1051" s="105"/>
      <c r="S1051" s="105"/>
      <c r="T1051" s="105"/>
      <c r="U1051" s="105"/>
      <c r="V1051" s="105"/>
      <c r="W1051" s="105"/>
      <c r="X1051" s="105"/>
      <c r="Y1051" s="105"/>
      <c r="Z1051" s="105"/>
      <c r="AA1051" s="105"/>
      <c r="AB1051" s="150"/>
      <c r="AC1051" s="150"/>
      <c r="AD1051" s="150"/>
      <c r="AE1051" s="105"/>
      <c r="AF1051" s="105"/>
      <c r="AG1051" s="105"/>
      <c r="AH1051" s="105"/>
      <c r="AI1051" s="105"/>
      <c r="AJ1051" s="105"/>
      <c r="AK1051" s="105"/>
      <c r="AL1051" s="105"/>
      <c r="AM1051" s="105"/>
      <c r="AN1051" s="105"/>
      <c r="AO1051" s="105"/>
      <c r="AP1051" s="105"/>
      <c r="AQ1051" s="105"/>
      <c r="AR1051" s="105"/>
      <c r="AS1051" s="105"/>
      <c r="AT1051" s="105"/>
      <c r="AU1051" s="105"/>
      <c r="AV1051" s="105"/>
      <c r="AW1051" s="105"/>
      <c r="AX1051" s="105"/>
      <c r="AY1051" s="105"/>
      <c r="AZ1051" s="105"/>
      <c r="BA1051" s="105"/>
    </row>
    <row r="1052" spans="1:77" ht="15.75" hidden="1" customHeight="1" outlineLevel="1">
      <c r="A1052" s="401"/>
      <c r="B1052" s="99"/>
      <c r="C1052" s="105"/>
      <c r="D1052" s="105"/>
      <c r="E1052" s="105"/>
      <c r="F1052" s="105"/>
      <c r="G1052" s="105"/>
      <c r="H1052" s="105"/>
      <c r="I1052" s="105"/>
      <c r="J1052" s="105"/>
      <c r="K1052" s="105">
        <f>IF($K$883&gt;0,'Assumptions (Solar)'!V$12*Model!$K$883*('Assumptions (Solar)'!$I$18*'Assumptions (Solar)'!$I$2+'Assumptions (Solar)'!$I$19*'Assumptions (Solar)'!$I$3)/10^9,0)</f>
        <v>1.6620049261669875E-2</v>
      </c>
      <c r="L1052" s="105">
        <f>IF($K$883&gt;0,'Assumptions (Solar)'!W$12*Model!$K$883*('Assumptions (Solar)'!$I$18*'Assumptions (Solar)'!$I$2+'Assumptions (Solar)'!$I$19*'Assumptions (Solar)'!$I$3)/10^9,0)</f>
        <v>2.6592078818671799E-2</v>
      </c>
      <c r="M1052" s="105">
        <f>IF($K$883&gt;0,'Assumptions (Solar)'!X$12*Model!$K$883*('Assumptions (Solar)'!$I$18*'Assumptions (Solar)'!$I$2+'Assumptions (Solar)'!$I$19*'Assumptions (Solar)'!$I$3)/10^9,0)</f>
        <v>1.5955247291203081E-2</v>
      </c>
      <c r="N1052" s="105">
        <f>IF($K$883&gt;0,'Assumptions (Solar)'!Y$12*Model!$K$883*('Assumptions (Solar)'!$I$18*'Assumptions (Solar)'!$I$2+'Assumptions (Solar)'!$I$19*'Assumptions (Solar)'!$I$3)/10^9,0)</f>
        <v>9.5731483747218474E-3</v>
      </c>
      <c r="O1052" s="105">
        <f>IF($K$883&gt;0,'Assumptions (Solar)'!Z$12*Model!$K$883*('Assumptions (Solar)'!$I$18*'Assumptions (Solar)'!$I$2+'Assumptions (Solar)'!$I$19*'Assumptions (Solar)'!$I$3)/10^9,0)</f>
        <v>9.5731483747218474E-3</v>
      </c>
      <c r="P1052" s="105">
        <f>IF($K$883&gt;0,'Assumptions (Solar)'!AA$12*Model!$K$883*('Assumptions (Solar)'!$I$18*'Assumptions (Solar)'!$I$2+'Assumptions (Solar)'!$I$19*'Assumptions (Solar)'!$I$3)/10^9,0)</f>
        <v>4.7865741873609237E-3</v>
      </c>
      <c r="Q1052" s="105"/>
      <c r="R1052" s="105"/>
      <c r="S1052" s="105"/>
      <c r="T1052" s="105"/>
      <c r="U1052" s="105"/>
      <c r="V1052" s="105"/>
      <c r="W1052" s="105"/>
      <c r="X1052" s="105"/>
      <c r="Y1052" s="105"/>
      <c r="Z1052" s="105"/>
      <c r="AA1052" s="105"/>
      <c r="AB1052" s="150"/>
      <c r="AC1052" s="150"/>
      <c r="AD1052" s="150"/>
      <c r="AE1052" s="105"/>
      <c r="AF1052" s="105"/>
      <c r="AG1052" s="105"/>
      <c r="AH1052" s="105"/>
      <c r="AI1052" s="105"/>
      <c r="AJ1052" s="105"/>
      <c r="AK1052" s="105"/>
      <c r="AL1052" s="105"/>
      <c r="AM1052" s="105"/>
      <c r="AN1052" s="105"/>
      <c r="AO1052" s="105"/>
      <c r="AP1052" s="105"/>
      <c r="AQ1052" s="105"/>
      <c r="AR1052" s="105"/>
      <c r="AS1052" s="105"/>
      <c r="AT1052" s="105"/>
      <c r="AU1052" s="105"/>
      <c r="AV1052" s="105"/>
      <c r="AW1052" s="105"/>
      <c r="AX1052" s="105"/>
      <c r="AY1052" s="105"/>
      <c r="AZ1052" s="105"/>
      <c r="BA1052" s="105"/>
    </row>
    <row r="1053" spans="1:77" ht="15.75" hidden="1" customHeight="1" outlineLevel="1">
      <c r="A1053" s="401"/>
      <c r="B1053" s="99"/>
      <c r="C1053" s="105"/>
      <c r="D1053" s="105"/>
      <c r="E1053" s="105"/>
      <c r="F1053" s="105"/>
      <c r="G1053" s="105"/>
      <c r="H1053" s="105"/>
      <c r="I1053" s="105"/>
      <c r="J1053" s="105"/>
      <c r="K1053" s="105"/>
      <c r="L1053" s="105">
        <f>IF($L$883&gt;0,'Assumptions (Solar)'!V$12*Model!$L$883*('Assumptions (Solar)'!$J$18*'Assumptions (Solar)'!$J$2+'Assumptions (Solar)'!$J$19*'Assumptions (Solar)'!$J$3)/10^9,0)</f>
        <v>5.6357230307607309E-2</v>
      </c>
      <c r="M1053" s="105">
        <f>IF($L$883&gt;0,'Assumptions (Solar)'!W$12*Model!$L$883*('Assumptions (Solar)'!$J$18*'Assumptions (Solar)'!$J$2+'Assumptions (Solar)'!$J$19*'Assumptions (Solar)'!$J$3)/10^9,0)</f>
        <v>9.0171568492171672E-2</v>
      </c>
      <c r="N1053" s="105">
        <f>IF($L$883&gt;0,'Assumptions (Solar)'!X$12*Model!$L$883*('Assumptions (Solar)'!$J$18*'Assumptions (Solar)'!$J$2+'Assumptions (Solar)'!$J$19*'Assumptions (Solar)'!$J$3)/10^9,0)</f>
        <v>5.4102941095303017E-2</v>
      </c>
      <c r="O1053" s="105">
        <f>IF($L$883&gt;0,'Assumptions (Solar)'!Y$12*Model!$L$883*('Assumptions (Solar)'!$J$18*'Assumptions (Solar)'!$J$2+'Assumptions (Solar)'!$J$19*'Assumptions (Solar)'!$J$3)/10^9,0)</f>
        <v>3.2461764657181806E-2</v>
      </c>
      <c r="P1053" s="105">
        <f>IF($L$883&gt;0,'Assumptions (Solar)'!Z$12*Model!$L$883*('Assumptions (Solar)'!$J$18*'Assumptions (Solar)'!$J$2+'Assumptions (Solar)'!$J$19*'Assumptions (Solar)'!$J$3)/10^9,0)</f>
        <v>3.2461764657181806E-2</v>
      </c>
      <c r="Q1053" s="105">
        <f>IF($L$883&gt;0,'Assumptions (Solar)'!AA$12*Model!$L$883*('Assumptions (Solar)'!$J$18*'Assumptions (Solar)'!$J$2+'Assumptions (Solar)'!$J$19*'Assumptions (Solar)'!$J$3)/10^9,0)</f>
        <v>1.6230882328590903E-2</v>
      </c>
      <c r="R1053" s="105"/>
      <c r="S1053" s="105"/>
      <c r="T1053" s="105"/>
      <c r="U1053" s="105"/>
      <c r="V1053" s="105"/>
      <c r="W1053" s="105"/>
      <c r="X1053" s="105"/>
      <c r="Y1053" s="105"/>
      <c r="Z1053" s="105"/>
      <c r="AA1053" s="105"/>
      <c r="AB1053" s="150"/>
      <c r="AC1053" s="150"/>
      <c r="AD1053" s="150"/>
      <c r="AE1053" s="105"/>
      <c r="AF1053" s="105"/>
      <c r="AG1053" s="105"/>
      <c r="AH1053" s="105"/>
      <c r="AI1053" s="105"/>
      <c r="AJ1053" s="105"/>
      <c r="AK1053" s="105"/>
      <c r="AL1053" s="105"/>
      <c r="AM1053" s="105"/>
      <c r="AN1053" s="105"/>
      <c r="AO1053" s="105"/>
      <c r="AP1053" s="105"/>
      <c r="AQ1053" s="105"/>
      <c r="AR1053" s="105"/>
      <c r="AS1053" s="105"/>
      <c r="AT1053" s="105"/>
      <c r="AU1053" s="105"/>
      <c r="AV1053" s="105"/>
      <c r="AW1053" s="105"/>
      <c r="AX1053" s="105"/>
      <c r="AY1053" s="105"/>
      <c r="AZ1053" s="105"/>
      <c r="BA1053" s="105"/>
    </row>
    <row r="1054" spans="1:77" ht="15.75" hidden="1" customHeight="1" outlineLevel="1">
      <c r="A1054" s="401"/>
      <c r="B1054" s="99"/>
      <c r="C1054" s="105"/>
      <c r="D1054" s="105"/>
      <c r="E1054" s="105"/>
      <c r="F1054" s="105"/>
      <c r="G1054" s="105"/>
      <c r="H1054" s="105"/>
      <c r="I1054" s="105"/>
      <c r="J1054" s="105"/>
      <c r="K1054" s="105"/>
      <c r="L1054" s="105"/>
      <c r="M1054" s="105">
        <f>IF($M$883&gt;0,'Assumptions (Solar)'!V$12*Model!$M$883*('Assumptions (Solar)'!$K$18*'Assumptions (Solar)'!$K$2+'Assumptions (Solar)'!$K$19*'Assumptions (Solar)'!$K$3)/10^9,0)</f>
        <v>0.12942798917436438</v>
      </c>
      <c r="N1054" s="105">
        <f>IF($M$883&gt;0,'Assumptions (Solar)'!W$12*Model!$M$883*('Assumptions (Solar)'!$K$18*'Assumptions (Solar)'!$K$2+'Assumptions (Solar)'!$K$19*'Assumptions (Solar)'!$K$3)/10^9,0)</f>
        <v>0.20708478267898303</v>
      </c>
      <c r="O1054" s="105">
        <f>IF($M$883&gt;0,'Assumptions (Solar)'!X$12*Model!$M$883*('Assumptions (Solar)'!$K$18*'Assumptions (Solar)'!$K$2+'Assumptions (Solar)'!$K$19*'Assumptions (Solar)'!$K$3)/10^9,0)</f>
        <v>0.12425086960738982</v>
      </c>
      <c r="P1054" s="105">
        <f>IF($M$883&gt;0,'Assumptions (Solar)'!Y$12*Model!$M$883*('Assumptions (Solar)'!$K$18*'Assumptions (Solar)'!$K$2+'Assumptions (Solar)'!$K$19*'Assumptions (Solar)'!$K$3)/10^9,0)</f>
        <v>7.4550521764433886E-2</v>
      </c>
      <c r="Q1054" s="105">
        <f>IF($M$883&gt;0,'Assumptions (Solar)'!Z$12*Model!$M$883*('Assumptions (Solar)'!$K$18*'Assumptions (Solar)'!$K$2+'Assumptions (Solar)'!$K$19*'Assumptions (Solar)'!$K$3)/10^9,0)</f>
        <v>7.4550521764433886E-2</v>
      </c>
      <c r="R1054" s="105">
        <f>IF($M$883&gt;0,'Assumptions (Solar)'!AA$12*Model!$M$883*('Assumptions (Solar)'!$K$18*'Assumptions (Solar)'!$K$2+'Assumptions (Solar)'!$K$19*'Assumptions (Solar)'!$K$3)/10^9,0)</f>
        <v>3.7275260882216943E-2</v>
      </c>
      <c r="S1054" s="105"/>
      <c r="T1054" s="105"/>
      <c r="U1054" s="105"/>
      <c r="V1054" s="105"/>
      <c r="W1054" s="105"/>
      <c r="X1054" s="105"/>
      <c r="Y1054" s="105"/>
      <c r="Z1054" s="105"/>
      <c r="AA1054" s="105"/>
      <c r="AB1054" s="150"/>
      <c r="AC1054" s="150"/>
      <c r="AD1054" s="150"/>
      <c r="AE1054" s="105"/>
      <c r="AF1054" s="105"/>
      <c r="AG1054" s="105"/>
      <c r="AH1054" s="105"/>
      <c r="AI1054" s="105"/>
      <c r="AJ1054" s="105"/>
      <c r="AK1054" s="105"/>
      <c r="AL1054" s="105"/>
      <c r="AM1054" s="105"/>
      <c r="AN1054" s="105"/>
      <c r="AO1054" s="105"/>
      <c r="AP1054" s="105"/>
      <c r="AQ1054" s="105"/>
      <c r="AR1054" s="105"/>
      <c r="AS1054" s="105"/>
      <c r="AT1054" s="105"/>
      <c r="AU1054" s="105"/>
      <c r="AV1054" s="105"/>
      <c r="AW1054" s="105"/>
      <c r="AX1054" s="105"/>
      <c r="AY1054" s="105"/>
      <c r="AZ1054" s="105"/>
      <c r="BA1054" s="105"/>
    </row>
    <row r="1055" spans="1:77" ht="15.75" hidden="1" customHeight="1" outlineLevel="1">
      <c r="A1055" s="401"/>
      <c r="B1055" s="99"/>
      <c r="C1055" s="105"/>
      <c r="D1055" s="105"/>
      <c r="E1055" s="105"/>
      <c r="F1055" s="105"/>
      <c r="G1055" s="105"/>
      <c r="H1055" s="105"/>
      <c r="I1055" s="105"/>
      <c r="J1055" s="105"/>
      <c r="K1055" s="105"/>
      <c r="L1055" s="105"/>
      <c r="M1055" s="105"/>
      <c r="N1055" s="91">
        <f>IF($N$883&gt;0,'Assumptions (Solar)'!V$12*Model!$N$883*('Assumptions (Solar)'!$L$18*'Assumptions (Solar)'!$L$2+'Assumptions (Solar)'!$L$19*'Assumptions (Solar)'!$L$3)/10^9,0)</f>
        <v>0.42883105272753819</v>
      </c>
      <c r="O1055" s="91">
        <f>IF($N$883&gt;0,'Assumptions (Solar)'!W$12*Model!$N$883*('Assumptions (Solar)'!$L$18*'Assumptions (Solar)'!$L$2+'Assumptions (Solar)'!$L$19*'Assumptions (Solar)'!$L$3)/10^9,0)</f>
        <v>0.68612968436406097</v>
      </c>
      <c r="P1055" s="91">
        <f>IF($N$883&gt;0,'Assumptions (Solar)'!X$12*Model!$N$883*('Assumptions (Solar)'!$L$18*'Assumptions (Solar)'!$L$2+'Assumptions (Solar)'!$L$19*'Assumptions (Solar)'!$L$3)/10^9,0)</f>
        <v>0.4116778106184365</v>
      </c>
      <c r="Q1055" s="91">
        <f>IF($N$883&gt;0,'Assumptions (Solar)'!Y$12*Model!$N$883*('Assumptions (Solar)'!$L$18*'Assumptions (Solar)'!$L$2+'Assumptions (Solar)'!$L$19*'Assumptions (Solar)'!$L$3)/10^9,0)</f>
        <v>0.24700668637106193</v>
      </c>
      <c r="R1055" s="91">
        <f>IF($N$883&gt;0,'Assumptions (Solar)'!Z$12*Model!$N$883*('Assumptions (Solar)'!$L$18*'Assumptions (Solar)'!$L$2+'Assumptions (Solar)'!$L$19*'Assumptions (Solar)'!$L$3)/10^9,0)</f>
        <v>0.24700668637106193</v>
      </c>
      <c r="S1055" s="91">
        <f>IF($N$883&gt;0,'Assumptions (Solar)'!AA$12*Model!$N$883*('Assumptions (Solar)'!$L$18*'Assumptions (Solar)'!$L$2+'Assumptions (Solar)'!$L$19*'Assumptions (Solar)'!$L$3)/10^9,0)</f>
        <v>0.12350334318553097</v>
      </c>
      <c r="T1055" s="91"/>
      <c r="U1055" s="91"/>
      <c r="V1055" s="91"/>
      <c r="W1055" s="91"/>
      <c r="X1055" s="91"/>
      <c r="Y1055" s="91"/>
      <c r="Z1055" s="91"/>
      <c r="AA1055" s="91"/>
      <c r="AB1055" s="150"/>
      <c r="AC1055" s="150"/>
      <c r="AD1055" s="150"/>
      <c r="AE1055" s="105"/>
      <c r="AF1055" s="105"/>
      <c r="AG1055" s="105"/>
      <c r="AH1055" s="105"/>
      <c r="AI1055" s="105"/>
      <c r="AJ1055" s="105"/>
      <c r="AK1055" s="105"/>
      <c r="AL1055" s="105"/>
      <c r="AM1055" s="105"/>
      <c r="AN1055" s="105"/>
      <c r="AO1055" s="105"/>
      <c r="AP1055" s="105"/>
      <c r="AQ1055" s="105"/>
      <c r="AR1055" s="105"/>
      <c r="AS1055" s="105"/>
      <c r="AT1055" s="105"/>
      <c r="AU1055" s="105"/>
      <c r="AV1055" s="105"/>
      <c r="AW1055" s="105"/>
      <c r="AX1055" s="105"/>
      <c r="AY1055" s="105"/>
      <c r="AZ1055" s="105"/>
      <c r="BA1055" s="105"/>
    </row>
    <row r="1056" spans="1:77" ht="15.75" hidden="1" customHeight="1" outlineLevel="1">
      <c r="A1056" s="401"/>
      <c r="B1056" s="99"/>
      <c r="C1056" s="105"/>
      <c r="D1056" s="105"/>
      <c r="E1056" s="105"/>
      <c r="F1056" s="105"/>
      <c r="G1056" s="105"/>
      <c r="H1056" s="105"/>
      <c r="I1056" s="105"/>
      <c r="J1056" s="105"/>
      <c r="K1056" s="105"/>
      <c r="L1056" s="105"/>
      <c r="M1056" s="105"/>
      <c r="N1056" s="105"/>
      <c r="O1056" s="105">
        <f>IF($O$883&gt;0,'Assumptions (Solar)'!V$12*Model!$O$883*('Assumptions (Solar)'!$M$18*'Assumptions (Solar)'!$M$2+'Assumptions (Solar)'!$M$19*'Assumptions (Solar)'!$M$3)/10^9,0)</f>
        <v>0.85815412573429906</v>
      </c>
      <c r="P1056" s="105">
        <f>IF($O$883&gt;0,'Assumptions (Solar)'!W$12*Model!$O$883*('Assumptions (Solar)'!$M$18*'Assumptions (Solar)'!$M$2+'Assumptions (Solar)'!$M$19*'Assumptions (Solar)'!$M$3)/10^9,0)</f>
        <v>1.3730466011748785</v>
      </c>
      <c r="Q1056" s="105">
        <f>IF($O$883&gt;0,'Assumptions (Solar)'!X$12*Model!$O$883*('Assumptions (Solar)'!$M$18*'Assumptions (Solar)'!$M$2+'Assumptions (Solar)'!$M$19*'Assumptions (Solar)'!$M$3)/10^9,0)</f>
        <v>0.82382796070492703</v>
      </c>
      <c r="R1056" s="105">
        <f>IF($O$883&gt;0,'Assumptions (Solar)'!Y$12*Model!$O$883*('Assumptions (Solar)'!$M$18*'Assumptions (Solar)'!$M$2+'Assumptions (Solar)'!$M$19*'Assumptions (Solar)'!$M$3)/10^9,0)</f>
        <v>0.49429677642295622</v>
      </c>
      <c r="S1056" s="105">
        <f>IF($O$883&gt;0,'Assumptions (Solar)'!Z$12*Model!$O$883*('Assumptions (Solar)'!$M$18*'Assumptions (Solar)'!$M$2+'Assumptions (Solar)'!$M$19*'Assumptions (Solar)'!$M$3)/10^9,0)</f>
        <v>0.49429677642295622</v>
      </c>
      <c r="T1056" s="105">
        <f>IF($O$883&gt;0,'Assumptions (Solar)'!AA$12*Model!$O$883*('Assumptions (Solar)'!$M$18*'Assumptions (Solar)'!$M$2+'Assumptions (Solar)'!$M$19*'Assumptions (Solar)'!$M$3)/10^9,0)</f>
        <v>0.24714838821147811</v>
      </c>
      <c r="U1056" s="105"/>
      <c r="V1056" s="105"/>
      <c r="W1056" s="105"/>
      <c r="X1056" s="105"/>
      <c r="Y1056" s="105"/>
      <c r="Z1056" s="105"/>
      <c r="AA1056" s="105"/>
      <c r="AB1056" s="150"/>
      <c r="AC1056" s="150"/>
      <c r="AD1056" s="150"/>
      <c r="AE1056" s="105"/>
      <c r="AF1056" s="105"/>
      <c r="AG1056" s="105"/>
      <c r="AH1056" s="105"/>
      <c r="AI1056" s="105"/>
      <c r="AJ1056" s="105"/>
      <c r="AK1056" s="105"/>
      <c r="AL1056" s="105"/>
      <c r="AM1056" s="105"/>
      <c r="AN1056" s="105"/>
      <c r="AO1056" s="105"/>
      <c r="AP1056" s="105"/>
      <c r="AQ1056" s="105"/>
      <c r="AR1056" s="105"/>
      <c r="AS1056" s="105"/>
      <c r="AT1056" s="105"/>
      <c r="AU1056" s="105"/>
      <c r="AV1056" s="105"/>
      <c r="AW1056" s="105"/>
      <c r="AX1056" s="105"/>
      <c r="AY1056" s="105"/>
      <c r="AZ1056" s="105"/>
      <c r="BA1056" s="105"/>
    </row>
    <row r="1057" spans="1:58" ht="15.75" hidden="1" customHeight="1" outlineLevel="1">
      <c r="A1057" s="401"/>
      <c r="B1057" s="99"/>
      <c r="C1057" s="105"/>
      <c r="D1057" s="105"/>
      <c r="E1057" s="105"/>
      <c r="F1057" s="105"/>
      <c r="G1057" s="105"/>
      <c r="H1057" s="105"/>
      <c r="I1057" s="105"/>
      <c r="J1057" s="105"/>
      <c r="K1057" s="105"/>
      <c r="L1057" s="105"/>
      <c r="M1057" s="105"/>
      <c r="N1057" s="105"/>
      <c r="O1057" s="105"/>
      <c r="P1057" s="91">
        <f>IF($P$883&gt;0,'Assumptions (Solar)'!V$12*Model!$P$883*('Assumptions (Solar)'!$N$18*'Assumptions (Solar)'!$N$2+'Assumptions (Solar)'!$N$19*'Assumptions (Solar)'!$N$3)/10^9,0)</f>
        <v>1.8994019478678315</v>
      </c>
      <c r="Q1057" s="91">
        <f>IF($P$883&gt;0,'Assumptions (Solar)'!W$12*Model!$P$883*('Assumptions (Solar)'!$N$18*'Assumptions (Solar)'!$N$2+'Assumptions (Solar)'!$N$19*'Assumptions (Solar)'!$N$3)/10^9,0)</f>
        <v>3.0390431165885303</v>
      </c>
      <c r="R1057" s="91">
        <f>IF($P$883&gt;0,'Assumptions (Solar)'!X$12*Model!$P$883*('Assumptions (Solar)'!$N$18*'Assumptions (Solar)'!$N$2+'Assumptions (Solar)'!$N$19*'Assumptions (Solar)'!$N$3)/10^9,0)</f>
        <v>1.8234258699531181</v>
      </c>
      <c r="S1057" s="91">
        <f>IF($P$883&gt;0,'Assumptions (Solar)'!Y$12*Model!$P$883*('Assumptions (Solar)'!$N$18*'Assumptions (Solar)'!$N$2+'Assumptions (Solar)'!$N$19*'Assumptions (Solar)'!$N$3)/10^9,0)</f>
        <v>1.0940555219718706</v>
      </c>
      <c r="T1057" s="91">
        <f>IF($P$883&gt;0,'Assumptions (Solar)'!Z$12*Model!$P$883*('Assumptions (Solar)'!$N$18*'Assumptions (Solar)'!$N$2+'Assumptions (Solar)'!$N$19*'Assumptions (Solar)'!$N$3)/10^9,0)</f>
        <v>1.0940555219718706</v>
      </c>
      <c r="U1057" s="91">
        <f>IF($P$883&gt;0,'Assumptions (Solar)'!AA$12*Model!$P$883*('Assumptions (Solar)'!$N$18*'Assumptions (Solar)'!$N$2+'Assumptions (Solar)'!$N$19*'Assumptions (Solar)'!$N$3)/10^9,0)</f>
        <v>0.54702776098593531</v>
      </c>
      <c r="V1057" s="91"/>
      <c r="W1057" s="91"/>
      <c r="X1057" s="91"/>
      <c r="Y1057" s="91"/>
      <c r="Z1057" s="91"/>
      <c r="AA1057" s="91"/>
      <c r="AB1057" s="150"/>
      <c r="AC1057" s="150"/>
      <c r="AD1057" s="150"/>
      <c r="AE1057" s="105"/>
      <c r="AF1057" s="105"/>
      <c r="AG1057" s="105"/>
      <c r="AH1057" s="105"/>
      <c r="AI1057" s="105"/>
      <c r="AJ1057" s="105"/>
      <c r="AK1057" s="105"/>
      <c r="AL1057" s="105"/>
      <c r="AM1057" s="105"/>
      <c r="AN1057" s="105"/>
      <c r="AO1057" s="105"/>
      <c r="AP1057" s="105"/>
      <c r="AQ1057" s="105"/>
      <c r="AR1057" s="105"/>
      <c r="AS1057" s="105"/>
      <c r="AT1057" s="105"/>
      <c r="AU1057" s="105"/>
      <c r="AV1057" s="105"/>
      <c r="AW1057" s="105"/>
      <c r="AX1057" s="105"/>
      <c r="AY1057" s="105"/>
      <c r="AZ1057" s="105"/>
      <c r="BA1057" s="105"/>
    </row>
    <row r="1058" spans="1:58" ht="15.75" hidden="1" customHeight="1" outlineLevel="1">
      <c r="A1058" s="401"/>
      <c r="B1058" s="99"/>
      <c r="C1058" s="105"/>
      <c r="D1058" s="105"/>
      <c r="E1058" s="105"/>
      <c r="F1058" s="105"/>
      <c r="G1058" s="105"/>
      <c r="H1058" s="105"/>
      <c r="I1058" s="105"/>
      <c r="J1058" s="105"/>
      <c r="K1058" s="105"/>
      <c r="L1058" s="105"/>
      <c r="M1058" s="105"/>
      <c r="N1058" s="105"/>
      <c r="O1058" s="105"/>
      <c r="P1058" s="171"/>
      <c r="Q1058" s="105">
        <f>IF($Q$883&gt;0,'Assumptions (Solar)'!V$12*Model!$Q$883*('Assumptions (Solar)'!$O$18*'Assumptions (Solar)'!$O$2+'Assumptions (Solar)'!$O$19*'Assumptions (Solar)'!$O$3)/10^9,0)</f>
        <v>1.9779649670446491</v>
      </c>
      <c r="R1058" s="105">
        <f>IF($Q$883&gt;0,'Assumptions (Solar)'!W$12*Model!$Q$883*('Assumptions (Solar)'!$O$18*'Assumptions (Solar)'!$O$2+'Assumptions (Solar)'!$O$19*'Assumptions (Solar)'!$O$3)/10^9,0)</f>
        <v>3.1647439472714383</v>
      </c>
      <c r="S1058" s="105">
        <f>IF($Q$883&gt;0,'Assumptions (Solar)'!X$12*Model!$Q$883*('Assumptions (Solar)'!$O$18*'Assumptions (Solar)'!$O$2+'Assumptions (Solar)'!$O$19*'Assumptions (Solar)'!$O$3)/10^9,0)</f>
        <v>1.8988463683628631</v>
      </c>
      <c r="T1058" s="105">
        <f>IF($Q$883&gt;0,'Assumptions (Solar)'!Y$12*Model!$Q$883*('Assumptions (Solar)'!$O$18*'Assumptions (Solar)'!$O$2+'Assumptions (Solar)'!$O$19*'Assumptions (Solar)'!$O$3)/10^9,0)</f>
        <v>1.1393078210177177</v>
      </c>
      <c r="U1058" s="105">
        <f>IF($Q$883&gt;0,'Assumptions (Solar)'!Z$12*Model!$Q$883*('Assumptions (Solar)'!$O$18*'Assumptions (Solar)'!$O$2+'Assumptions (Solar)'!$O$19*'Assumptions (Solar)'!$O$3)/10^9,0)</f>
        <v>1.1393078210177177</v>
      </c>
      <c r="V1058" s="105">
        <f>IF($Q$883&gt;0,'Assumptions (Solar)'!AA$12*Model!$Q$883*('Assumptions (Solar)'!$O$18*'Assumptions (Solar)'!$O$2+'Assumptions (Solar)'!$O$19*'Assumptions (Solar)'!$O$3)/10^9,0)</f>
        <v>0.56965391050885883</v>
      </c>
      <c r="W1058" s="105"/>
      <c r="X1058" s="105"/>
      <c r="Y1058" s="105"/>
      <c r="Z1058" s="105"/>
      <c r="AA1058" s="105"/>
      <c r="AB1058" s="150"/>
      <c r="AC1058" s="150"/>
      <c r="AD1058" s="150"/>
      <c r="AE1058" s="105"/>
      <c r="AF1058" s="105"/>
      <c r="AG1058" s="105"/>
      <c r="AH1058" s="105"/>
      <c r="AI1058" s="105"/>
      <c r="AJ1058" s="105"/>
      <c r="AK1058" s="105"/>
      <c r="AL1058" s="105"/>
      <c r="AM1058" s="105"/>
      <c r="AN1058" s="105"/>
      <c r="AO1058" s="105"/>
      <c r="AP1058" s="105"/>
      <c r="AQ1058" s="105"/>
      <c r="AR1058" s="105"/>
      <c r="AS1058" s="105"/>
      <c r="AT1058" s="105"/>
      <c r="AU1058" s="105"/>
      <c r="AV1058" s="105"/>
      <c r="AW1058" s="105"/>
      <c r="AX1058" s="105"/>
      <c r="AY1058" s="105"/>
      <c r="AZ1058" s="105"/>
      <c r="BA1058" s="105"/>
    </row>
    <row r="1059" spans="1:58" ht="15.75" hidden="1" customHeight="1" outlineLevel="1">
      <c r="A1059" s="401"/>
      <c r="B1059" s="99"/>
      <c r="C1059" s="105"/>
      <c r="D1059" s="105"/>
      <c r="E1059" s="105"/>
      <c r="F1059" s="105"/>
      <c r="G1059" s="105"/>
      <c r="H1059" s="105"/>
      <c r="I1059" s="105"/>
      <c r="J1059" s="105"/>
      <c r="K1059" s="105"/>
      <c r="L1059" s="105"/>
      <c r="M1059" s="105"/>
      <c r="N1059" s="105"/>
      <c r="O1059" s="105"/>
      <c r="P1059" s="171"/>
      <c r="Q1059" s="105"/>
      <c r="R1059" s="91">
        <f>IF($R$883&gt;0,'Assumptions (Solar)'!V$12*Model!$R$883*('Assumptions (Solar)'!$P$18*'Assumptions (Solar)'!$P$2+'Assumptions (Solar)'!$P$19*'Assumptions (Solar)'!$P$3)/10^9,0)</f>
        <v>1.8437945003464495</v>
      </c>
      <c r="S1059" s="91">
        <f>IF($R$883&gt;0,'Assumptions (Solar)'!W$12*Model!$R$883*('Assumptions (Solar)'!$P$18*'Assumptions (Solar)'!$P$2+'Assumptions (Solar)'!$P$19*'Assumptions (Solar)'!$P$3)/10^9,0)</f>
        <v>2.9500712005543193</v>
      </c>
      <c r="T1059" s="91">
        <f>IF($R$883&gt;0,'Assumptions (Solar)'!X$12*Model!$R$883*('Assumptions (Solar)'!$P$18*'Assumptions (Solar)'!$P$2+'Assumptions (Solar)'!$P$19*'Assumptions (Solar)'!$P$3)/10^9,0)</f>
        <v>1.7700427203325915</v>
      </c>
      <c r="U1059" s="91">
        <f>IF($R$883&gt;0,'Assumptions (Solar)'!Y$12*Model!$R$883*('Assumptions (Solar)'!$P$18*'Assumptions (Solar)'!$P$2+'Assumptions (Solar)'!$P$19*'Assumptions (Solar)'!$P$3)/10^9,0)</f>
        <v>1.0620256321995549</v>
      </c>
      <c r="V1059" s="91">
        <f>IF($R$883&gt;0,'Assumptions (Solar)'!Z$12*Model!$R$883*('Assumptions (Solar)'!$P$18*'Assumptions (Solar)'!$P$2+'Assumptions (Solar)'!$P$19*'Assumptions (Solar)'!$P$3)/10^9,0)</f>
        <v>1.0620256321995549</v>
      </c>
      <c r="W1059" s="91">
        <f>IF($R$883&gt;0,'Assumptions (Solar)'!AA$12*Model!$R$883*('Assumptions (Solar)'!$P$18*'Assumptions (Solar)'!$P$2+'Assumptions (Solar)'!$P$19*'Assumptions (Solar)'!$P$3)/10^9,0)</f>
        <v>0.53101281609977746</v>
      </c>
      <c r="X1059" s="91"/>
      <c r="Y1059" s="91"/>
      <c r="Z1059" s="91"/>
      <c r="AA1059" s="91"/>
      <c r="AB1059" s="150"/>
      <c r="AC1059" s="150"/>
      <c r="AD1059" s="150"/>
      <c r="AE1059" s="105"/>
      <c r="AF1059" s="105"/>
      <c r="AG1059" s="105"/>
      <c r="AH1059" s="105"/>
      <c r="AI1059" s="105"/>
      <c r="AJ1059" s="105"/>
      <c r="AK1059" s="105"/>
      <c r="AL1059" s="105"/>
      <c r="AM1059" s="105"/>
      <c r="AN1059" s="105"/>
      <c r="AO1059" s="105"/>
      <c r="AP1059" s="105"/>
      <c r="AQ1059" s="105"/>
      <c r="AR1059" s="105"/>
      <c r="AS1059" s="105"/>
      <c r="AT1059" s="105"/>
      <c r="AU1059" s="105"/>
      <c r="AV1059" s="105"/>
      <c r="AW1059" s="105"/>
      <c r="AX1059" s="105"/>
      <c r="AY1059" s="105"/>
      <c r="AZ1059" s="105"/>
      <c r="BA1059" s="105"/>
    </row>
    <row r="1060" spans="1:58" ht="15.75" hidden="1" customHeight="1" outlineLevel="1">
      <c r="A1060" s="401"/>
      <c r="B1060" s="99"/>
      <c r="C1060" s="105"/>
      <c r="D1060" s="105"/>
      <c r="E1060" s="105"/>
      <c r="F1060" s="105"/>
      <c r="G1060" s="105"/>
      <c r="H1060" s="105"/>
      <c r="I1060" s="105"/>
      <c r="J1060" s="105"/>
      <c r="K1060" s="105"/>
      <c r="L1060" s="105"/>
      <c r="M1060" s="105"/>
      <c r="N1060" s="105"/>
      <c r="O1060" s="105"/>
      <c r="P1060" s="171"/>
      <c r="Q1060" s="105"/>
      <c r="R1060" s="91"/>
      <c r="S1060" s="105">
        <f>IF($S$883&gt;0,'Assumptions (Solar)'!V$12*Model!$S$883*('Assumptions (Solar)'!$Q$18*'Assumptions (Solar)'!$Q$2+'Assumptions (Solar)'!$Q$19*'Assumptions (Solar)'!$Q$3)/10^9,0)</f>
        <v>4.1764687967175158</v>
      </c>
      <c r="T1060" s="105">
        <f>IF($S$883&gt;0,'Assumptions (Solar)'!W$12*Model!$S$883*('Assumptions (Solar)'!$Q$18*'Assumptions (Solar)'!$Q$2+'Assumptions (Solar)'!$Q$19*'Assumptions (Solar)'!$Q$3)/10^9,0)</f>
        <v>6.682350074748026</v>
      </c>
      <c r="U1060" s="105">
        <f>IF($S$883&gt;0,'Assumptions (Solar)'!X$12*Model!$S$883*('Assumptions (Solar)'!$Q$18*'Assumptions (Solar)'!$Q$2+'Assumptions (Solar)'!$Q$19*'Assumptions (Solar)'!$Q$3)/10^9,0)</f>
        <v>4.0094100448488152</v>
      </c>
      <c r="V1060" s="105">
        <f>IF($S$883&gt;0,'Assumptions (Solar)'!Y$12*Model!$S$883*('Assumptions (Solar)'!$Q$18*'Assumptions (Solar)'!$Q$2+'Assumptions (Solar)'!$Q$19*'Assumptions (Solar)'!$Q$3)/10^9,0)</f>
        <v>2.405646026909289</v>
      </c>
      <c r="W1060" s="105">
        <f>IF($S$883&gt;0,'Assumptions (Solar)'!Z$12*Model!$S$883*('Assumptions (Solar)'!$Q$18*'Assumptions (Solar)'!$Q$2+'Assumptions (Solar)'!$Q$19*'Assumptions (Solar)'!$Q$3)/10^9,0)</f>
        <v>2.405646026909289</v>
      </c>
      <c r="X1060" s="105">
        <f>IF($S$883&gt;0,'Assumptions (Solar)'!AA$12*Model!$S$883*('Assumptions (Solar)'!$Q$18*'Assumptions (Solar)'!$Q$2+'Assumptions (Solar)'!$Q$19*'Assumptions (Solar)'!$Q$3)/10^9,0)</f>
        <v>1.2028230134546445</v>
      </c>
      <c r="Y1060" s="105"/>
      <c r="Z1060" s="105"/>
      <c r="AA1060" s="105"/>
      <c r="AB1060" s="150"/>
      <c r="AC1060" s="150"/>
      <c r="AD1060" s="150"/>
      <c r="AE1060" s="105"/>
      <c r="AF1060" s="105"/>
      <c r="AG1060" s="105"/>
      <c r="AH1060" s="105"/>
      <c r="AI1060" s="105"/>
      <c r="AJ1060" s="105"/>
      <c r="AK1060" s="105"/>
      <c r="AL1060" s="105"/>
      <c r="AM1060" s="105"/>
      <c r="AN1060" s="105"/>
      <c r="AO1060" s="105"/>
      <c r="AP1060" s="105"/>
      <c r="AQ1060" s="105"/>
      <c r="AR1060" s="105"/>
      <c r="AS1060" s="105"/>
      <c r="AT1060" s="105"/>
      <c r="AU1060" s="105"/>
      <c r="AV1060" s="105"/>
      <c r="AW1060" s="105"/>
      <c r="AX1060" s="105"/>
      <c r="AY1060" s="105"/>
      <c r="AZ1060" s="105"/>
      <c r="BA1060" s="105"/>
    </row>
    <row r="1061" spans="1:58" ht="15.75" hidden="1" customHeight="1" outlineLevel="1">
      <c r="A1061" s="401"/>
      <c r="B1061" s="99"/>
      <c r="C1061" s="105"/>
      <c r="D1061" s="105"/>
      <c r="E1061" s="105"/>
      <c r="F1061" s="105"/>
      <c r="G1061" s="105"/>
      <c r="H1061" s="105"/>
      <c r="I1061" s="105"/>
      <c r="J1061" s="105"/>
      <c r="K1061" s="105"/>
      <c r="L1061" s="105"/>
      <c r="M1061" s="105"/>
      <c r="N1061" s="105"/>
      <c r="O1061" s="105"/>
      <c r="P1061" s="171"/>
      <c r="Q1061" s="105"/>
      <c r="R1061" s="91"/>
      <c r="S1061" s="91"/>
      <c r="T1061" s="105">
        <f>IF($T$883&gt;0,'Assumptions (Solar)'!V$12*Model!$T$883*('Assumptions (Solar)'!$R$18*'Assumptions (Solar)'!$R$2+'Assumptions (Solar)'!$R$19*'Assumptions (Solar)'!$R$3)/10^9,0)</f>
        <v>2.4287674881488481</v>
      </c>
      <c r="U1061" s="105">
        <f>IF($T$883&gt;0,'Assumptions (Solar)'!W$12*Model!$T$883*('Assumptions (Solar)'!$R$18*'Assumptions (Solar)'!$R$2+'Assumptions (Solar)'!$R$19*'Assumptions (Solar)'!$R$3)/10^9,0)</f>
        <v>3.8860279810381573</v>
      </c>
      <c r="V1061" s="105">
        <f>IF($T$883&gt;0,'Assumptions (Solar)'!X$12*Model!$T$883*('Assumptions (Solar)'!$R$18*'Assumptions (Solar)'!$R$2+'Assumptions (Solar)'!$R$19*'Assumptions (Solar)'!$R$3)/10^9,0)</f>
        <v>2.3316167886228945</v>
      </c>
      <c r="W1061" s="105">
        <f>IF($T$883&gt;0,'Assumptions (Solar)'!Y$12*Model!$T$883*('Assumptions (Solar)'!$R$18*'Assumptions (Solar)'!$R$2+'Assumptions (Solar)'!$R$19*'Assumptions (Solar)'!$R$3)/10^9,0)</f>
        <v>1.3989700731737367</v>
      </c>
      <c r="X1061" s="105">
        <f>IF($T$883&gt;0,'Assumptions (Solar)'!Z$12*Model!$T$883*('Assumptions (Solar)'!$R$18*'Assumptions (Solar)'!$R$2+'Assumptions (Solar)'!$R$19*'Assumptions (Solar)'!$R$3)/10^9,0)</f>
        <v>1.3989700731737367</v>
      </c>
      <c r="Y1061" s="105">
        <f>IF($T$883&gt;0,'Assumptions (Solar)'!AA$12*Model!$T$883*('Assumptions (Solar)'!$R$18*'Assumptions (Solar)'!$R$2+'Assumptions (Solar)'!$R$19*'Assumptions (Solar)'!$R$3)/10^9,0)</f>
        <v>0.69948503658686834</v>
      </c>
      <c r="Z1061" s="105"/>
      <c r="AA1061" s="105"/>
      <c r="AB1061" s="150"/>
      <c r="AC1061" s="150"/>
      <c r="AD1061" s="150"/>
      <c r="AE1061" s="105"/>
      <c r="AF1061" s="105"/>
      <c r="AG1061" s="105"/>
      <c r="AH1061" s="105"/>
      <c r="AI1061" s="105"/>
      <c r="AJ1061" s="105"/>
      <c r="AK1061" s="105"/>
      <c r="AL1061" s="105"/>
      <c r="AM1061" s="105"/>
      <c r="AN1061" s="105"/>
      <c r="AO1061" s="105"/>
      <c r="AP1061" s="105"/>
      <c r="AQ1061" s="105"/>
      <c r="AR1061" s="105"/>
      <c r="AS1061" s="105"/>
      <c r="AT1061" s="105"/>
      <c r="AU1061" s="105"/>
      <c r="AV1061" s="105"/>
      <c r="AW1061" s="105"/>
      <c r="AX1061" s="105"/>
      <c r="AY1061" s="105"/>
      <c r="AZ1061" s="105"/>
      <c r="BA1061" s="105"/>
    </row>
    <row r="1062" spans="1:58" ht="15.75" hidden="1" customHeight="1" outlineLevel="1">
      <c r="A1062" s="401"/>
      <c r="B1062" s="99"/>
      <c r="C1062" s="105"/>
      <c r="D1062" s="105"/>
      <c r="E1062" s="105"/>
      <c r="F1062" s="105"/>
      <c r="G1062" s="105"/>
      <c r="H1062" s="105"/>
      <c r="I1062" s="105"/>
      <c r="J1062" s="105"/>
      <c r="K1062" s="105"/>
      <c r="L1062" s="105"/>
      <c r="M1062" s="105"/>
      <c r="N1062" s="105"/>
      <c r="O1062" s="105"/>
      <c r="P1062" s="171"/>
      <c r="Q1062" s="105"/>
      <c r="R1062" s="91"/>
      <c r="S1062" s="91"/>
      <c r="T1062" s="91"/>
      <c r="U1062" s="105">
        <f>IF($U$883&gt;0,'Assumptions (Solar)'!V$12*Model!$U$883*('Assumptions (Solar)'!$S$18*'Assumptions (Solar)'!$S$2+'Assumptions (Solar)'!$S$19*'Assumptions (Solar)'!$S$3)/10^9,0)</f>
        <v>2.5990992516596458</v>
      </c>
      <c r="V1062" s="105">
        <f>IF($U$883&gt;0,'Assumptions (Solar)'!W$12*Model!$U$883*('Assumptions (Solar)'!$S$18*'Assumptions (Solar)'!$S$2+'Assumptions (Solar)'!$S$19*'Assumptions (Solar)'!$S$3)/10^9,0)</f>
        <v>4.1585588026554339</v>
      </c>
      <c r="W1062" s="105">
        <f>IF($U$883&gt;0,'Assumptions (Solar)'!X$12*Model!$U$883*('Assumptions (Solar)'!$S$18*'Assumptions (Solar)'!$S$2+'Assumptions (Solar)'!$S$19*'Assumptions (Solar)'!$S$3)/10^9,0)</f>
        <v>2.4951352815932601</v>
      </c>
      <c r="X1062" s="105">
        <f>IF($U$883&gt;0,'Assumptions (Solar)'!Y$12*Model!$U$883*('Assumptions (Solar)'!$S$18*'Assumptions (Solar)'!$S$2+'Assumptions (Solar)'!$S$19*'Assumptions (Solar)'!$S$3)/10^9,0)</f>
        <v>1.4970811689559558</v>
      </c>
      <c r="Y1062" s="105">
        <f>IF($U$883&gt;0,'Assumptions (Solar)'!Z$12*Model!$U$883*('Assumptions (Solar)'!$S$18*'Assumptions (Solar)'!$S$2+'Assumptions (Solar)'!$S$19*'Assumptions (Solar)'!$S$3)/10^9,0)</f>
        <v>1.4970811689559558</v>
      </c>
      <c r="Z1062" s="105">
        <f>IF($U$883&gt;0,'Assumptions (Solar)'!AA$12*Model!$U$883*('Assumptions (Solar)'!$S$18*'Assumptions (Solar)'!$S$2+'Assumptions (Solar)'!$S$19*'Assumptions (Solar)'!$S$3)/10^9,0)</f>
        <v>0.74854058447797789</v>
      </c>
      <c r="AA1062" s="105"/>
      <c r="AB1062" s="150"/>
      <c r="AC1062" s="150"/>
      <c r="AD1062" s="150"/>
      <c r="AE1062" s="105"/>
      <c r="AF1062" s="105"/>
      <c r="AG1062" s="105"/>
      <c r="AH1062" s="105"/>
      <c r="AI1062" s="105"/>
      <c r="AJ1062" s="105"/>
      <c r="AK1062" s="105"/>
      <c r="AL1062" s="105"/>
      <c r="AM1062" s="105"/>
      <c r="AN1062" s="105"/>
      <c r="AO1062" s="105"/>
      <c r="AP1062" s="105"/>
      <c r="AQ1062" s="105"/>
      <c r="AR1062" s="105"/>
      <c r="AS1062" s="105"/>
      <c r="AT1062" s="105"/>
      <c r="AU1062" s="105"/>
      <c r="AV1062" s="105"/>
      <c r="AW1062" s="105"/>
      <c r="AX1062" s="105"/>
      <c r="AY1062" s="105"/>
      <c r="AZ1062" s="105"/>
      <c r="BA1062" s="105"/>
    </row>
    <row r="1063" spans="1:58" ht="15.75" hidden="1" customHeight="1" outlineLevel="1">
      <c r="A1063" s="401"/>
      <c r="B1063" s="99"/>
      <c r="C1063" s="105"/>
      <c r="D1063" s="105"/>
      <c r="E1063" s="105"/>
      <c r="F1063" s="105"/>
      <c r="G1063" s="105"/>
      <c r="H1063" s="105"/>
      <c r="I1063" s="105"/>
      <c r="J1063" s="105"/>
      <c r="K1063" s="105"/>
      <c r="L1063" s="105"/>
      <c r="M1063" s="105"/>
      <c r="N1063" s="105"/>
      <c r="O1063" s="105"/>
      <c r="P1063" s="171"/>
      <c r="Q1063" s="105"/>
      <c r="R1063" s="91"/>
      <c r="S1063" s="91"/>
      <c r="T1063" s="91"/>
      <c r="U1063" s="105"/>
      <c r="V1063" s="105">
        <f>IF($V$883&gt;0,'Assumptions (Solar)'!V$12*Model!$V$883*('Assumptions (Solar)'!$T$18*'Assumptions (Solar)'!$T$2+'Assumptions (Solar)'!$T$19*'Assumptions (Solar)'!$T$3)/10^9,0)</f>
        <v>1.450968287464188</v>
      </c>
      <c r="W1063" s="105">
        <f>IF($V$883&gt;0,'Assumptions (Solar)'!W$12*Model!$V$883*('Assumptions (Solar)'!$T$18*'Assumptions (Solar)'!$T$2+'Assumptions (Solar)'!$T$19*'Assumptions (Solar)'!$T$3)/10^9,0)</f>
        <v>2.3215492599427008</v>
      </c>
      <c r="X1063" s="105">
        <f>IF($V$883&gt;0,'Assumptions (Solar)'!X$12*Model!$V$883*('Assumptions (Solar)'!$T$18*'Assumptions (Solar)'!$T$2+'Assumptions (Solar)'!$T$19*'Assumptions (Solar)'!$T$3)/10^9,0)</f>
        <v>1.3929295559656205</v>
      </c>
      <c r="Y1063" s="105">
        <f>IF($V$883&gt;0,'Assumptions (Solar)'!Y$12*Model!$V$883*('Assumptions (Solar)'!$T$18*'Assumptions (Solar)'!$T$2+'Assumptions (Solar)'!$T$19*'Assumptions (Solar)'!$T$3)/10^9,0)</f>
        <v>0.83575773357937233</v>
      </c>
      <c r="Z1063" s="105">
        <f>IF($V$883&gt;0,'Assumptions (Solar)'!Z$12*Model!$V$883*('Assumptions (Solar)'!$T$18*'Assumptions (Solar)'!$T$2+'Assumptions (Solar)'!$T$19*'Assumptions (Solar)'!$T$3)/10^9,0)</f>
        <v>0.83575773357937233</v>
      </c>
      <c r="AA1063" s="105">
        <f>IF($V$883&gt;0,'Assumptions (Solar)'!AA$12*Model!$V$883*('Assumptions (Solar)'!$T$18*'Assumptions (Solar)'!$T$2+'Assumptions (Solar)'!$T$19*'Assumptions (Solar)'!$T$3)/10^9,0)</f>
        <v>0.41787886678968617</v>
      </c>
      <c r="AB1063" s="150"/>
      <c r="AC1063" s="150"/>
      <c r="AD1063" s="150"/>
      <c r="AE1063" s="105"/>
      <c r="AF1063" s="105"/>
      <c r="AG1063" s="105"/>
      <c r="AH1063" s="105"/>
      <c r="AI1063" s="105"/>
      <c r="AJ1063" s="105"/>
      <c r="AK1063" s="105"/>
      <c r="AL1063" s="105"/>
      <c r="AM1063" s="105"/>
      <c r="AN1063" s="105"/>
      <c r="AO1063" s="105"/>
      <c r="AP1063" s="105"/>
      <c r="AQ1063" s="105"/>
      <c r="AR1063" s="105"/>
      <c r="AS1063" s="105"/>
      <c r="AT1063" s="105"/>
      <c r="AU1063" s="105"/>
      <c r="AV1063" s="105"/>
      <c r="AW1063" s="105"/>
      <c r="AX1063" s="105"/>
      <c r="AY1063" s="105"/>
      <c r="AZ1063" s="105"/>
      <c r="BA1063" s="105"/>
    </row>
    <row r="1064" spans="1:58" ht="15.75" hidden="1" customHeight="1" outlineLevel="1">
      <c r="A1064" s="401"/>
      <c r="B1064" s="99"/>
      <c r="C1064" s="99"/>
      <c r="D1064" s="99"/>
      <c r="E1064" s="99"/>
      <c r="F1064" s="99"/>
      <c r="G1064" s="99"/>
      <c r="H1064" s="99"/>
      <c r="I1064" s="99"/>
      <c r="J1064" s="99"/>
      <c r="K1064" s="99"/>
      <c r="L1064" s="99"/>
      <c r="M1064" s="99"/>
      <c r="N1064" s="99"/>
      <c r="O1064" s="99"/>
      <c r="P1064" s="99"/>
      <c r="Q1064" s="99"/>
      <c r="R1064" s="99"/>
      <c r="S1064" s="99"/>
      <c r="T1064" s="99"/>
      <c r="U1064" s="99"/>
      <c r="V1064" s="99"/>
      <c r="W1064" s="105">
        <f>IF($W$883&gt;0,'Assumptions (Solar)'!V12*Model!$W$883*('Assumptions (Solar)'!$U$18*'Assumptions (Solar)'!$U$2+'Assumptions (Solar)'!$U$19*'Assumptions (Solar)'!$U$3)/10^9,0)</f>
        <v>5.0016432422134764</v>
      </c>
      <c r="X1064" s="105">
        <f>IF($W$883&gt;0,'Assumptions (Solar)'!W12*Model!$W$883*('Assumptions (Solar)'!$U$18*'Assumptions (Solar)'!$U$2+'Assumptions (Solar)'!$U$19*'Assumptions (Solar)'!$U$3)/10^9,0)</f>
        <v>8.0026291875415616</v>
      </c>
      <c r="Y1064" s="105">
        <f>IF($W$883&gt;0,'Assumptions (Solar)'!X12*Model!$W$883*('Assumptions (Solar)'!$U$18*'Assumptions (Solar)'!$U$2+'Assumptions (Solar)'!$U$19*'Assumptions (Solar)'!$U$3)/10^9,0)</f>
        <v>4.801577512524938</v>
      </c>
      <c r="Z1064" s="105">
        <f>IF($W$883&gt;0,'Assumptions (Solar)'!Y12*Model!$W$883*('Assumptions (Solar)'!$U$18*'Assumptions (Solar)'!$U$2+'Assumptions (Solar)'!$U$19*'Assumptions (Solar)'!$U$3)/10^9,0)</f>
        <v>2.8809465075149623</v>
      </c>
      <c r="AA1064" s="105">
        <f>IF($W$883&gt;0,'Assumptions (Solar)'!Z12*Model!$W$883*('Assumptions (Solar)'!$U$18*'Assumptions (Solar)'!$U$2+'Assumptions (Solar)'!$U$19*'Assumptions (Solar)'!$U$3)/10^9,0)</f>
        <v>2.8809465075149623</v>
      </c>
      <c r="AB1064" s="105">
        <f>IF($W$883&gt;0,'Assumptions (Solar)'!AA12*Model!$W$883*('Assumptions (Solar)'!$U$18*'Assumptions (Solar)'!$U$2+'Assumptions (Solar)'!$U$19*'Assumptions (Solar)'!$U$3)/10^9,0)</f>
        <v>1.4404732537574811</v>
      </c>
      <c r="AC1064" s="105"/>
      <c r="AD1064" s="105"/>
      <c r="AE1064" s="105"/>
      <c r="AF1064" s="105"/>
      <c r="AG1064" s="105"/>
      <c r="AH1064" s="105"/>
      <c r="AI1064" s="105"/>
      <c r="AJ1064" s="105"/>
      <c r="AK1064" s="105"/>
      <c r="AL1064" s="105"/>
      <c r="AM1064" s="105"/>
      <c r="AN1064" s="105"/>
      <c r="AO1064" s="105"/>
      <c r="AP1064" s="105"/>
      <c r="AQ1064" s="105"/>
      <c r="AR1064" s="105"/>
      <c r="AS1064" s="105"/>
      <c r="AT1064" s="105"/>
      <c r="AU1064" s="105"/>
      <c r="AV1064" s="105"/>
      <c r="AW1064" s="105"/>
      <c r="AX1064" s="105"/>
      <c r="AY1064" s="105"/>
      <c r="AZ1064" s="105"/>
      <c r="BA1064" s="105"/>
      <c r="BB1064" s="86"/>
      <c r="BC1064" s="86"/>
      <c r="BD1064" s="86"/>
      <c r="BE1064" s="86"/>
      <c r="BF1064" s="86"/>
    </row>
    <row r="1065" spans="1:58" ht="15.75" hidden="1" customHeight="1" outlineLevel="1">
      <c r="A1065" s="401"/>
      <c r="B1065" s="99"/>
      <c r="C1065" s="99"/>
      <c r="D1065" s="99"/>
      <c r="E1065" s="99"/>
      <c r="F1065" s="99"/>
      <c r="G1065" s="99"/>
      <c r="H1065" s="99"/>
      <c r="I1065" s="99"/>
      <c r="J1065" s="99"/>
      <c r="K1065" s="99"/>
      <c r="L1065" s="99"/>
      <c r="M1065" s="99"/>
      <c r="N1065" s="99"/>
      <c r="O1065" s="99"/>
      <c r="P1065" s="99"/>
      <c r="Q1065" s="99"/>
      <c r="R1065" s="99"/>
      <c r="S1065" s="99"/>
      <c r="T1065" s="99"/>
      <c r="U1065" s="99"/>
      <c r="V1065" s="99"/>
      <c r="W1065" s="105"/>
      <c r="X1065" s="105">
        <f>IF($X$883&gt;0,'Assumptions (Solar)'!V12*Model!$X$883*('Assumptions (Solar)'!$V$18*'Assumptions (Solar)'!$V$2+'Assumptions (Solar)'!$V$19*'Assumptions (Solar)'!$V$3)/10^9,0)</f>
        <v>269.40457450259879</v>
      </c>
      <c r="Y1065" s="105">
        <f>IF($X$883&gt;0,'Assumptions (Solar)'!W12*Model!$X$883*('Assumptions (Solar)'!$V$18*'Assumptions (Solar)'!$V$2+'Assumptions (Solar)'!$V$19*'Assumptions (Solar)'!$V$3)/10^9,0)</f>
        <v>431.04731920415804</v>
      </c>
      <c r="Z1065" s="105">
        <f>IF($X$883&gt;0,'Assumptions (Solar)'!X12*Model!$X$883*('Assumptions (Solar)'!$V$18*'Assumptions (Solar)'!$V$2+'Assumptions (Solar)'!$V$19*'Assumptions (Solar)'!$V$3)/10^9,0)</f>
        <v>258.62839152249484</v>
      </c>
      <c r="AA1065" s="105">
        <f>IF($X$883&gt;0,'Assumptions (Solar)'!Y12*Model!$X$883*('Assumptions (Solar)'!$V$18*'Assumptions (Solar)'!$V$2+'Assumptions (Solar)'!$V$19*'Assumptions (Solar)'!$V$3)/10^9,0)</f>
        <v>155.17703491349687</v>
      </c>
      <c r="AB1065" s="105">
        <f>IF($X$883&gt;0,'Assumptions (Solar)'!Z12*Model!$X$883*('Assumptions (Solar)'!$V$18*'Assumptions (Solar)'!$V$2+'Assumptions (Solar)'!$V$19*'Assumptions (Solar)'!$V$3)/10^9,0)</f>
        <v>155.17703491349687</v>
      </c>
      <c r="AC1065" s="105">
        <f>IF($X$883&gt;0,'Assumptions (Solar)'!AA12*Model!$X$883*('Assumptions (Solar)'!$V$18*'Assumptions (Solar)'!$V$2+'Assumptions (Solar)'!$V$19*'Assumptions (Solar)'!$V$3)/10^9,0)</f>
        <v>77.588517456748434</v>
      </c>
      <c r="AD1065" s="105"/>
      <c r="AE1065" s="105"/>
      <c r="AF1065" s="105"/>
      <c r="AG1065" s="105"/>
      <c r="AH1065" s="105"/>
      <c r="AI1065" s="105"/>
      <c r="AJ1065" s="105"/>
      <c r="AK1065" s="105"/>
      <c r="AL1065" s="105"/>
      <c r="AM1065" s="105"/>
      <c r="AN1065" s="105"/>
      <c r="AO1065" s="105"/>
      <c r="AP1065" s="105"/>
      <c r="AQ1065" s="105"/>
      <c r="AR1065" s="105"/>
      <c r="AS1065" s="105"/>
      <c r="AT1065" s="105"/>
      <c r="AU1065" s="105"/>
      <c r="AV1065" s="105"/>
      <c r="AW1065" s="105"/>
      <c r="AX1065" s="105"/>
      <c r="AY1065" s="105"/>
      <c r="AZ1065" s="105"/>
      <c r="BA1065" s="105"/>
      <c r="BB1065" s="86"/>
      <c r="BC1065" s="86"/>
      <c r="BD1065" s="86"/>
      <c r="BE1065" s="86"/>
      <c r="BF1065" s="86"/>
    </row>
    <row r="1066" spans="1:58" ht="15.75" hidden="1" customHeight="1" outlineLevel="1">
      <c r="A1066" s="401"/>
      <c r="B1066" s="99"/>
      <c r="C1066" s="99"/>
      <c r="D1066" s="99"/>
      <c r="E1066" s="99"/>
      <c r="F1066" s="99"/>
      <c r="G1066" s="99"/>
      <c r="H1066" s="99"/>
      <c r="I1066" s="99"/>
      <c r="J1066" s="99"/>
      <c r="K1066" s="99"/>
      <c r="L1066" s="99"/>
      <c r="M1066" s="99"/>
      <c r="N1066" s="99"/>
      <c r="O1066" s="99"/>
      <c r="P1066" s="99"/>
      <c r="Q1066" s="99"/>
      <c r="R1066" s="99"/>
      <c r="S1066" s="99"/>
      <c r="T1066" s="99"/>
      <c r="U1066" s="99"/>
      <c r="V1066" s="99"/>
      <c r="W1066" s="105"/>
      <c r="X1066" s="105"/>
      <c r="Y1066" s="105">
        <f>IF($Y$883&gt;0,'Assumptions (Solar)'!V12*Model!$Y$883*('Assumptions (Solar)'!$W$18*'Assumptions (Solar)'!$W$2+'Assumptions (Solar)'!$W$19*'Assumptions (Solar)'!$W$3)/10^9,0)</f>
        <v>275.76151155407541</v>
      </c>
      <c r="Z1066" s="105">
        <f>IF($Y$883&gt;0,'Assumptions (Solar)'!W12*Model!$Y$883*('Assumptions (Solar)'!$W$18*'Assumptions (Solar)'!$W$2+'Assumptions (Solar)'!$W$19*'Assumptions (Solar)'!$W$3)/10^9,0)</f>
        <v>441.21841848652065</v>
      </c>
      <c r="AA1066" s="105">
        <f>IF($Y$883&gt;0,'Assumptions (Solar)'!X12*Model!$Y$883*('Assumptions (Solar)'!$W$18*'Assumptions (Solar)'!$W$2+'Assumptions (Solar)'!$W$19*'Assumptions (Solar)'!$W$3)/10^9,0)</f>
        <v>264.73105109191243</v>
      </c>
      <c r="AB1066" s="105">
        <f>IF($Y$883&gt;0,'Assumptions (Solar)'!Y12*Model!$Y$883*('Assumptions (Solar)'!$W$18*'Assumptions (Solar)'!$W$2+'Assumptions (Solar)'!$W$19*'Assumptions (Solar)'!$W$3)/10^9,0)</f>
        <v>158.83863065514743</v>
      </c>
      <c r="AC1066" s="105">
        <f>IF($Y$883&gt;0,'Assumptions (Solar)'!Z12*Model!$Y$883*('Assumptions (Solar)'!$W$18*'Assumptions (Solar)'!$W$2+'Assumptions (Solar)'!$W$19*'Assumptions (Solar)'!$W$3)/10^9,0)</f>
        <v>158.83863065514743</v>
      </c>
      <c r="AD1066" s="105">
        <f>IF($Y$883&gt;0,'Assumptions (Solar)'!AA12*Model!$Y$883*('Assumptions (Solar)'!$W$18*'Assumptions (Solar)'!$W$2+'Assumptions (Solar)'!$W$19*'Assumptions (Solar)'!$W$3)/10^9,0)</f>
        <v>79.419315327573713</v>
      </c>
      <c r="AE1066" s="105"/>
      <c r="AF1066" s="105"/>
      <c r="AG1066" s="105"/>
      <c r="AH1066" s="105"/>
      <c r="AI1066" s="105"/>
      <c r="AJ1066" s="105"/>
      <c r="AK1066" s="105"/>
      <c r="AL1066" s="105"/>
      <c r="AM1066" s="105"/>
      <c r="AN1066" s="105"/>
      <c r="AO1066" s="105"/>
      <c r="AP1066" s="105"/>
      <c r="AQ1066" s="105"/>
      <c r="AR1066" s="105"/>
      <c r="AS1066" s="105"/>
      <c r="AT1066" s="105"/>
      <c r="AU1066" s="105"/>
      <c r="AV1066" s="105"/>
      <c r="AW1066" s="105"/>
      <c r="AX1066" s="105"/>
      <c r="AY1066" s="105"/>
      <c r="AZ1066" s="105"/>
      <c r="BA1066" s="105"/>
      <c r="BB1066" s="86"/>
      <c r="BC1066" s="86"/>
      <c r="BD1066" s="86"/>
      <c r="BE1066" s="86"/>
      <c r="BF1066" s="86"/>
    </row>
    <row r="1067" spans="1:58" ht="15.75" hidden="1" customHeight="1" outlineLevel="1">
      <c r="A1067" s="401"/>
      <c r="B1067" s="99"/>
      <c r="C1067" s="99"/>
      <c r="D1067" s="99"/>
      <c r="E1067" s="99"/>
      <c r="F1067" s="99"/>
      <c r="G1067" s="99"/>
      <c r="H1067" s="99"/>
      <c r="I1067" s="99"/>
      <c r="J1067" s="99"/>
      <c r="K1067" s="99"/>
      <c r="L1067" s="99"/>
      <c r="M1067" s="99"/>
      <c r="N1067" s="99"/>
      <c r="O1067" s="99"/>
      <c r="P1067" s="99"/>
      <c r="Q1067" s="99"/>
      <c r="R1067" s="99"/>
      <c r="S1067" s="99"/>
      <c r="T1067" s="99"/>
      <c r="U1067" s="99"/>
      <c r="V1067" s="99"/>
      <c r="W1067" s="105"/>
      <c r="X1067" s="105"/>
      <c r="Y1067" s="105"/>
      <c r="Z1067" s="105">
        <f>IF($Z$883&gt;0,'Assumptions (Solar)'!V12*Model!$Z$883*('Assumptions (Solar)'!$X$18*'Assumptions (Solar)'!$X$2+'Assumptions (Solar)'!$X$19*'Assumptions (Solar)'!$X$3)/10^9,0)</f>
        <v>283.40149772423626</v>
      </c>
      <c r="AA1067" s="105">
        <f>IF($Z$883&gt;0,'Assumptions (Solar)'!W12*Model!$Z$883*('Assumptions (Solar)'!$X$18*'Assumptions (Solar)'!$X$2+'Assumptions (Solar)'!$X$19*'Assumptions (Solar)'!$X$3)/10^9,0)</f>
        <v>453.44239635877801</v>
      </c>
      <c r="AB1067" s="105">
        <f>IF($Z$883&gt;0,'Assumptions (Solar)'!X12*Model!$Z$883*('Assumptions (Solar)'!$X$18*'Assumptions (Solar)'!$X$2+'Assumptions (Solar)'!$X$19*'Assumptions (Solar)'!$X$3)/10^9,0)</f>
        <v>272.06543781526682</v>
      </c>
      <c r="AC1067" s="105">
        <f>IF($Z$883&gt;0,'Assumptions (Solar)'!Y12*Model!$Z$883*('Assumptions (Solar)'!$X$18*'Assumptions (Solar)'!$X$2+'Assumptions (Solar)'!$X$19*'Assumptions (Solar)'!$X$3)/10^9,0)</f>
        <v>163.23926268916006</v>
      </c>
      <c r="AD1067" s="105">
        <f>IF($Z$883&gt;0,'Assumptions (Solar)'!Z12*Model!$Z$883*('Assumptions (Solar)'!$X$18*'Assumptions (Solar)'!$X$2+'Assumptions (Solar)'!$X$19*'Assumptions (Solar)'!$X$3)/10^9,0)</f>
        <v>163.23926268916006</v>
      </c>
      <c r="AE1067" s="105">
        <f>IF($Z$883&gt;0,'Assumptions (Solar)'!AA12*Model!$Z$883*('Assumptions (Solar)'!$X$18*'Assumptions (Solar)'!$X$2+'Assumptions (Solar)'!$X$19*'Assumptions (Solar)'!$X$3)/10^9,0)</f>
        <v>81.619631344580029</v>
      </c>
      <c r="AF1067" s="105"/>
      <c r="AG1067" s="105"/>
      <c r="AH1067" s="105"/>
      <c r="AI1067" s="105"/>
      <c r="AJ1067" s="105"/>
      <c r="AK1067" s="105"/>
      <c r="AL1067" s="105"/>
      <c r="AM1067" s="105"/>
      <c r="AN1067" s="105"/>
      <c r="AO1067" s="105"/>
      <c r="AP1067" s="105"/>
      <c r="AQ1067" s="105"/>
      <c r="AR1067" s="105"/>
      <c r="AS1067" s="105"/>
      <c r="AT1067" s="105"/>
      <c r="AU1067" s="105"/>
      <c r="AV1067" s="105"/>
      <c r="AW1067" s="105"/>
      <c r="AX1067" s="105"/>
      <c r="AY1067" s="105"/>
      <c r="AZ1067" s="105"/>
      <c r="BA1067" s="105"/>
      <c r="BB1067" s="86"/>
      <c r="BC1067" s="86"/>
      <c r="BD1067" s="86"/>
      <c r="BE1067" s="86"/>
      <c r="BF1067" s="86"/>
    </row>
    <row r="1068" spans="1:58" ht="15.75" hidden="1" customHeight="1" outlineLevel="1">
      <c r="A1068" s="401"/>
      <c r="B1068" s="99"/>
      <c r="C1068" s="99"/>
      <c r="D1068" s="99"/>
      <c r="E1068" s="99"/>
      <c r="F1068" s="99"/>
      <c r="G1068" s="99"/>
      <c r="H1068" s="99"/>
      <c r="I1068" s="99"/>
      <c r="J1068" s="99"/>
      <c r="K1068" s="99"/>
      <c r="L1068" s="99"/>
      <c r="M1068" s="99"/>
      <c r="N1068" s="99"/>
      <c r="O1068" s="99"/>
      <c r="P1068" s="99"/>
      <c r="Q1068" s="99"/>
      <c r="R1068" s="99"/>
      <c r="S1068" s="99"/>
      <c r="T1068" s="99"/>
      <c r="U1068" s="99"/>
      <c r="V1068" s="99"/>
      <c r="W1068" s="105"/>
      <c r="X1068" s="105"/>
      <c r="Y1068" s="105"/>
      <c r="Z1068" s="105"/>
      <c r="AA1068" s="105">
        <f>IF($AA$883&gt;0,'Assumptions (Solar)'!V12*Model!$AA$883*('Assumptions (Solar)'!$Y$18*'Assumptions (Solar)'!$Y$2+'Assumptions (Solar)'!$Y$19*'Assumptions (Solar)'!$Y$3)/10^9,0)</f>
        <v>290.83169306813284</v>
      </c>
      <c r="AB1068" s="105">
        <f>IF($AA$883&gt;0,'Assumptions (Solar)'!W12*Model!$AA$883*('Assumptions (Solar)'!$Y$18*'Assumptions (Solar)'!$Y$2+'Assumptions (Solar)'!$Y$19*'Assumptions (Solar)'!$Y$3)/10^9,0)</f>
        <v>465.33070890901251</v>
      </c>
      <c r="AC1068" s="105">
        <f>IF($AA$883&gt;0,'Assumptions (Solar)'!X12*Model!$AA$883*('Assumptions (Solar)'!$Y$18*'Assumptions (Solar)'!$Y$2+'Assumptions (Solar)'!$Y$19*'Assumptions (Solar)'!$Y$3)/10^9,0)</f>
        <v>279.19842534540754</v>
      </c>
      <c r="AD1068" s="105">
        <f>IF($AA$883&gt;0,'Assumptions (Solar)'!Y12*Model!$AA$883*('Assumptions (Solar)'!$Y$18*'Assumptions (Solar)'!$Y$2+'Assumptions (Solar)'!$Y$19*'Assumptions (Solar)'!$Y$3)/10^9,0)</f>
        <v>167.51905520724446</v>
      </c>
      <c r="AE1068" s="105">
        <f>IF($AA$883&gt;0,'Assumptions (Solar)'!Z12*Model!$AA$883*('Assumptions (Solar)'!$Y$18*'Assumptions (Solar)'!$Y$2+'Assumptions (Solar)'!$Y$19*'Assumptions (Solar)'!$Y$3)/10^9,0)</f>
        <v>167.51905520724446</v>
      </c>
      <c r="AF1068" s="105">
        <f>IF($AA$883&gt;0,'Assumptions (Solar)'!AA12*Model!$AA$883*('Assumptions (Solar)'!$Y$18*'Assumptions (Solar)'!$Y$2+'Assumptions (Solar)'!$Y$19*'Assumptions (Solar)'!$Y$3)/10^9,0)</f>
        <v>83.759527603622232</v>
      </c>
      <c r="AG1068" s="105"/>
      <c r="AH1068" s="105"/>
      <c r="AI1068" s="105"/>
      <c r="AJ1068" s="105"/>
      <c r="AK1068" s="105"/>
      <c r="AL1068" s="105"/>
      <c r="AM1068" s="105"/>
      <c r="AN1068" s="105"/>
      <c r="AO1068" s="105"/>
      <c r="AP1068" s="105"/>
      <c r="AQ1068" s="105"/>
      <c r="AR1068" s="105"/>
      <c r="AS1068" s="105"/>
      <c r="AT1068" s="105"/>
      <c r="AU1068" s="105"/>
      <c r="AV1068" s="105"/>
      <c r="AW1068" s="105"/>
      <c r="AX1068" s="105"/>
      <c r="AY1068" s="105"/>
      <c r="AZ1068" s="105"/>
      <c r="BA1068" s="105"/>
      <c r="BB1068" s="86"/>
      <c r="BC1068" s="86"/>
      <c r="BD1068" s="86"/>
      <c r="BE1068" s="86"/>
      <c r="BF1068" s="86"/>
    </row>
    <row r="1069" spans="1:58" ht="15.75" hidden="1" customHeight="1" outlineLevel="1">
      <c r="A1069" s="401"/>
      <c r="B1069" s="99"/>
      <c r="C1069" s="99"/>
      <c r="D1069" s="99"/>
      <c r="E1069" s="99"/>
      <c r="F1069" s="99"/>
      <c r="G1069" s="99"/>
      <c r="H1069" s="99"/>
      <c r="I1069" s="99"/>
      <c r="J1069" s="99"/>
      <c r="K1069" s="99"/>
      <c r="L1069" s="99"/>
      <c r="M1069" s="99"/>
      <c r="N1069" s="99"/>
      <c r="O1069" s="99"/>
      <c r="P1069" s="99"/>
      <c r="Q1069" s="99"/>
      <c r="R1069" s="99"/>
      <c r="S1069" s="99"/>
      <c r="T1069" s="99"/>
      <c r="U1069" s="99"/>
      <c r="V1069" s="99"/>
      <c r="W1069" s="105"/>
      <c r="X1069" s="105"/>
      <c r="Y1069" s="105"/>
      <c r="Z1069" s="105"/>
      <c r="AA1069" s="105"/>
      <c r="AB1069" s="105">
        <f>IF($AB$883&gt;0,'Assumptions (Solar)'!V12*Model!$AB$883*('Assumptions (Solar)'!$Z$18*'Assumptions (Solar)'!$Z$2+'Assumptions (Solar)'!$Z$19*'Assumptions (Solar)'!$Z$3)/10^9,0)</f>
        <v>298.32551550517002</v>
      </c>
      <c r="AC1069" s="105">
        <f>IF($AB$883&gt;0,'Assumptions (Solar)'!W12*Model!$AB$883*('Assumptions (Solar)'!$Z$18*'Assumptions (Solar)'!$Z$2+'Assumptions (Solar)'!$Z$19*'Assumptions (Solar)'!$Z$3)/10^9,0)</f>
        <v>477.32082480827205</v>
      </c>
      <c r="AD1069" s="105">
        <f>IF($AB$883&gt;0,'Assumptions (Solar)'!X12*Model!$AB$883*('Assumptions (Solar)'!$Z$18*'Assumptions (Solar)'!$Z$2+'Assumptions (Solar)'!$Z$19*'Assumptions (Solar)'!$Z$3)/10^9,0)</f>
        <v>286.39249488496318</v>
      </c>
      <c r="AE1069" s="105">
        <f>IF($AB$883&gt;0,'Assumptions (Solar)'!Y12*Model!$AB$883*('Assumptions (Solar)'!$Z$18*'Assumptions (Solar)'!$Z$2+'Assumptions (Solar)'!$Z$19*'Assumptions (Solar)'!$Z$3)/10^9,0)</f>
        <v>171.83549693097791</v>
      </c>
      <c r="AF1069" s="105">
        <f>IF($AB$883&gt;0,'Assumptions (Solar)'!Z12*Model!$AB$883*('Assumptions (Solar)'!$Z$18*'Assumptions (Solar)'!$Z$2+'Assumptions (Solar)'!$Z$19*'Assumptions (Solar)'!$Z$3)/10^9,0)</f>
        <v>171.83549693097791</v>
      </c>
      <c r="AG1069" s="105">
        <f>IF($AB$883&gt;0,'Assumptions (Solar)'!AA12*Model!$AB$883*('Assumptions (Solar)'!$Z$18*'Assumptions (Solar)'!$Z$2+'Assumptions (Solar)'!$Z$19*'Assumptions (Solar)'!$Z$3)/10^9,0)</f>
        <v>85.917748465488955</v>
      </c>
      <c r="AH1069" s="105"/>
      <c r="AI1069" s="105"/>
      <c r="AJ1069" s="105"/>
      <c r="AK1069" s="105"/>
      <c r="AL1069" s="105"/>
      <c r="AM1069" s="105"/>
      <c r="AN1069" s="105"/>
      <c r="AO1069" s="105"/>
      <c r="AP1069" s="105"/>
      <c r="AQ1069" s="105"/>
      <c r="AR1069" s="105"/>
      <c r="AS1069" s="105"/>
      <c r="AT1069" s="105"/>
      <c r="AU1069" s="105"/>
      <c r="AV1069" s="105"/>
      <c r="AW1069" s="105"/>
      <c r="AX1069" s="105"/>
      <c r="AY1069" s="105"/>
      <c r="AZ1069" s="105"/>
      <c r="BA1069" s="105"/>
      <c r="BB1069" s="86"/>
      <c r="BC1069" s="86"/>
      <c r="BD1069" s="86"/>
      <c r="BE1069" s="86"/>
      <c r="BF1069" s="86"/>
    </row>
    <row r="1070" spans="1:58" ht="15.75" hidden="1" customHeight="1" outlineLevel="1">
      <c r="A1070" s="401"/>
      <c r="B1070" s="99"/>
      <c r="C1070" s="99"/>
      <c r="D1070" s="99"/>
      <c r="E1070" s="99"/>
      <c r="F1070" s="99"/>
      <c r="G1070" s="99"/>
      <c r="H1070" s="99"/>
      <c r="I1070" s="99"/>
      <c r="J1070" s="99"/>
      <c r="K1070" s="99"/>
      <c r="L1070" s="99"/>
      <c r="M1070" s="99"/>
      <c r="N1070" s="99"/>
      <c r="O1070" s="99"/>
      <c r="P1070" s="99"/>
      <c r="Q1070" s="99"/>
      <c r="R1070" s="99"/>
      <c r="S1070" s="99"/>
      <c r="T1070" s="99"/>
      <c r="U1070" s="99"/>
      <c r="V1070" s="99"/>
      <c r="W1070" s="105"/>
      <c r="X1070" s="105"/>
      <c r="Y1070" s="105"/>
      <c r="Z1070" s="105"/>
      <c r="AA1070" s="105"/>
      <c r="AB1070" s="105"/>
      <c r="AC1070" s="105">
        <f>IF($AC$883&gt;0,'Assumptions (Solar)'!V12*Model!$AC$883*('Assumptions (Solar)'!$AA$18*'Assumptions (Solar)'!$AA$2+'Assumptions (Solar)'!$AA$19*'Assumptions (Solar)'!$AA$3)/10^9,0)</f>
        <v>304.94669463832531</v>
      </c>
      <c r="AD1070" s="105">
        <f>IF($AC$883&gt;0,'Assumptions (Solar)'!W12*Model!$AC$883*('Assumptions (Solar)'!$AA$18*'Assumptions (Solar)'!$AA$2+'Assumptions (Solar)'!$AA$19*'Assumptions (Solar)'!$AA$3)/10^9,0)</f>
        <v>487.91471142132048</v>
      </c>
      <c r="AE1070" s="105">
        <f>IF($AC$883&gt;0,'Assumptions (Solar)'!X12*Model!$AC$883*('Assumptions (Solar)'!$AA$18*'Assumptions (Solar)'!$AA$2+'Assumptions (Solar)'!$AA$19*'Assumptions (Solar)'!$AA$3)/10^9,0)</f>
        <v>292.74882685279232</v>
      </c>
      <c r="AF1070" s="105">
        <f>IF($AC$883&gt;0,'Assumptions (Solar)'!Y12*Model!$AC$883*('Assumptions (Solar)'!$AA$18*'Assumptions (Solar)'!$AA$2+'Assumptions (Solar)'!$AA$19*'Assumptions (Solar)'!$AA$3)/10^9,0)</f>
        <v>175.64929611167534</v>
      </c>
      <c r="AG1070" s="105">
        <f>IF($AC$883&gt;0,'Assumptions (Solar)'!Z12*Model!$AC$883*('Assumptions (Solar)'!$AA$18*'Assumptions (Solar)'!$AA$2+'Assumptions (Solar)'!$AA$19*'Assumptions (Solar)'!$AA$3)/10^9,0)</f>
        <v>175.64929611167534</v>
      </c>
      <c r="AH1070" s="105">
        <f>IF($AC$883&gt;0,'Assumptions (Solar)'!AA12*Model!$AC$883*('Assumptions (Solar)'!$AA$18*'Assumptions (Solar)'!$AA$2+'Assumptions (Solar)'!$AA$19*'Assumptions (Solar)'!$AA$3)/10^9,0)</f>
        <v>87.82464805583767</v>
      </c>
      <c r="AI1070" s="105"/>
      <c r="AJ1070" s="105"/>
      <c r="AK1070" s="105"/>
      <c r="AL1070" s="105"/>
      <c r="AM1070" s="105"/>
      <c r="AN1070" s="105"/>
      <c r="AO1070" s="105"/>
      <c r="AP1070" s="105"/>
      <c r="AQ1070" s="105"/>
      <c r="AR1070" s="105"/>
      <c r="AS1070" s="105"/>
      <c r="AT1070" s="105"/>
      <c r="AU1070" s="105"/>
      <c r="AV1070" s="105"/>
      <c r="AW1070" s="105"/>
      <c r="AX1070" s="105"/>
      <c r="AY1070" s="105"/>
      <c r="AZ1070" s="105"/>
      <c r="BA1070" s="105"/>
      <c r="BB1070" s="86"/>
      <c r="BC1070" s="86"/>
      <c r="BD1070" s="86"/>
      <c r="BE1070" s="86"/>
      <c r="BF1070" s="86"/>
    </row>
    <row r="1071" spans="1:58" ht="15.75" hidden="1" customHeight="1" outlineLevel="1">
      <c r="A1071" s="401"/>
      <c r="B1071" s="99"/>
      <c r="C1071" s="99"/>
      <c r="D1071" s="99"/>
      <c r="E1071" s="99"/>
      <c r="F1071" s="99"/>
      <c r="G1071" s="99"/>
      <c r="H1071" s="99"/>
      <c r="I1071" s="99"/>
      <c r="J1071" s="99"/>
      <c r="K1071" s="99"/>
      <c r="L1071" s="99"/>
      <c r="M1071" s="99"/>
      <c r="N1071" s="99"/>
      <c r="O1071" s="99"/>
      <c r="P1071" s="99"/>
      <c r="Q1071" s="99"/>
      <c r="R1071" s="99"/>
      <c r="S1071" s="99"/>
      <c r="T1071" s="99"/>
      <c r="U1071" s="99"/>
      <c r="V1071" s="99"/>
      <c r="W1071" s="105"/>
      <c r="X1071" s="105"/>
      <c r="Y1071" s="105"/>
      <c r="Z1071" s="105"/>
      <c r="AA1071" s="105"/>
      <c r="AB1071" s="105"/>
      <c r="AC1071" s="105"/>
      <c r="AD1071" s="105">
        <f>IF($AD$883&gt;0,'Assumptions (Solar)'!V12*Model!$AD$883*('Assumptions (Solar)'!$AB$18*'Assumptions (Solar)'!$AB$2+'Assumptions (Solar)'!$AB$19*'Assumptions (Solar)'!$AB$3)/10^9,0)</f>
        <v>312.07042656010844</v>
      </c>
      <c r="AE1071" s="105">
        <f>IF($AD$883&gt;0,'Assumptions (Solar)'!W12*Model!$AD$883*('Assumptions (Solar)'!$AB$18*'Assumptions (Solar)'!$AB$2+'Assumptions (Solar)'!$AB$19*'Assumptions (Solar)'!$AB$3)/10^9,0)</f>
        <v>499.31268249617352</v>
      </c>
      <c r="AF1071" s="105">
        <f>IF($AD$883&gt;0,'Assumptions (Solar)'!X12*Model!$AD$883*('Assumptions (Solar)'!$AB$18*'Assumptions (Solar)'!$AB$2+'Assumptions (Solar)'!$AB$19*'Assumptions (Solar)'!$AB$3)/10^9,0)</f>
        <v>299.58760949770408</v>
      </c>
      <c r="AG1071" s="105">
        <f>IF($AD$883&gt;0,'Assumptions (Solar)'!Y12*Model!$AD$883*('Assumptions (Solar)'!$AB$18*'Assumptions (Solar)'!$AB$2+'Assumptions (Solar)'!$AB$19*'Assumptions (Solar)'!$AB$3)/10^9,0)</f>
        <v>179.75256569862248</v>
      </c>
      <c r="AH1071" s="105">
        <f>IF($AD$883&gt;0,'Assumptions (Solar)'!Z12*Model!$AD$883*('Assumptions (Solar)'!$AB$18*'Assumptions (Solar)'!$AB$2+'Assumptions (Solar)'!$AB$19*'Assumptions (Solar)'!$AB$3)/10^9,0)</f>
        <v>179.75256569862248</v>
      </c>
      <c r="AI1071" s="105">
        <f>IF($AD$883&gt;0,'Assumptions (Solar)'!AA12*Model!$AD$883*('Assumptions (Solar)'!$AB$18*'Assumptions (Solar)'!$AB$2+'Assumptions (Solar)'!$AB$19*'Assumptions (Solar)'!$AB$3)/10^9,0)</f>
        <v>89.876282849311238</v>
      </c>
      <c r="AJ1071" s="105"/>
      <c r="AK1071" s="105"/>
      <c r="AL1071" s="105"/>
      <c r="AM1071" s="105"/>
      <c r="AN1071" s="105"/>
      <c r="AO1071" s="105"/>
      <c r="AP1071" s="105"/>
      <c r="AQ1071" s="105"/>
      <c r="AR1071" s="105"/>
      <c r="AS1071" s="105"/>
      <c r="AT1071" s="105"/>
      <c r="AU1071" s="105"/>
      <c r="AV1071" s="105"/>
      <c r="AW1071" s="105"/>
      <c r="AX1071" s="105"/>
      <c r="AY1071" s="105"/>
      <c r="AZ1071" s="105"/>
      <c r="BA1071" s="105"/>
      <c r="BB1071" s="105"/>
      <c r="BC1071" s="86"/>
      <c r="BD1071" s="86"/>
      <c r="BE1071" s="86"/>
      <c r="BF1071" s="86"/>
    </row>
    <row r="1072" spans="1:58" ht="15.75" hidden="1" customHeight="1" outlineLevel="1">
      <c r="A1072" s="401"/>
      <c r="B1072" s="99"/>
      <c r="C1072" s="99"/>
      <c r="D1072" s="99"/>
      <c r="E1072" s="99"/>
      <c r="F1072" s="99"/>
      <c r="G1072" s="99"/>
      <c r="H1072" s="99"/>
      <c r="I1072" s="99"/>
      <c r="J1072" s="99"/>
      <c r="K1072" s="99"/>
      <c r="L1072" s="99"/>
      <c r="M1072" s="99"/>
      <c r="N1072" s="99"/>
      <c r="O1072" s="99"/>
      <c r="P1072" s="99"/>
      <c r="Q1072" s="99"/>
      <c r="R1072" s="99"/>
      <c r="S1072" s="99"/>
      <c r="T1072" s="99"/>
      <c r="U1072" s="99"/>
      <c r="V1072" s="99"/>
      <c r="W1072" s="105"/>
      <c r="X1072" s="105"/>
      <c r="Y1072" s="105"/>
      <c r="Z1072" s="105"/>
      <c r="AA1072" s="105"/>
      <c r="AB1072" s="105"/>
      <c r="AC1072" s="105"/>
      <c r="AD1072" s="105"/>
      <c r="AE1072" s="105">
        <f>IF($AE$883&gt;0,'Assumptions (Solar)'!V12*Model!$AE$883*('Assumptions (Solar)'!$AC$18*'Assumptions (Solar)'!$AC$2+'Assumptions (Solar)'!$AC$19*'Assumptions (Solar)'!$AC$3)/10^9,0)</f>
        <v>319.6815328768887</v>
      </c>
      <c r="AF1072" s="105">
        <f>IF($AE$883&gt;0,'Assumptions (Solar)'!W12*Model!$AE$883*('Assumptions (Solar)'!$AC$18*'Assumptions (Solar)'!$AC$2+'Assumptions (Solar)'!$AC$19*'Assumptions (Solar)'!$AC$3)/10^9,0)</f>
        <v>511.49045260302188</v>
      </c>
      <c r="AG1072" s="105">
        <f>IF($AE$883&gt;0,'Assumptions (Solar)'!X12*Model!$AE$883*('Assumptions (Solar)'!$AC$18*'Assumptions (Solar)'!$AC$2+'Assumptions (Solar)'!$AC$19*'Assumptions (Solar)'!$AC$3)/10^9,0)</f>
        <v>306.89427156181313</v>
      </c>
      <c r="AH1072" s="105">
        <f>IF($AE$883&gt;0,'Assumptions (Solar)'!Y12*Model!$AE$883*('Assumptions (Solar)'!$AC$18*'Assumptions (Solar)'!$AC$2+'Assumptions (Solar)'!$AC$19*'Assumptions (Solar)'!$AC$3)/10^9,0)</f>
        <v>184.13656293708786</v>
      </c>
      <c r="AI1072" s="105">
        <f>IF($AE$883&gt;0,'Assumptions (Solar)'!Z12*Model!$AE$883*('Assumptions (Solar)'!$AC$18*'Assumptions (Solar)'!$AC$2+'Assumptions (Solar)'!$AC$19*'Assumptions (Solar)'!$AC$3)/10^9,0)</f>
        <v>184.13656293708786</v>
      </c>
      <c r="AJ1072" s="105">
        <f>IF($AE$883&gt;0,'Assumptions (Solar)'!AA12*Model!$AE$883*('Assumptions (Solar)'!$AC$18*'Assumptions (Solar)'!$AC$2+'Assumptions (Solar)'!$AC$19*'Assumptions (Solar)'!$AC$3)/10^9,0)</f>
        <v>92.06828146854393</v>
      </c>
      <c r="AK1072" s="105"/>
      <c r="AL1072" s="105"/>
      <c r="AM1072" s="105"/>
      <c r="AN1072" s="105"/>
      <c r="AO1072" s="105"/>
      <c r="AP1072" s="105"/>
      <c r="AQ1072" s="105"/>
      <c r="AR1072" s="105"/>
      <c r="AS1072" s="105"/>
      <c r="AT1072" s="105"/>
      <c r="AU1072" s="105"/>
      <c r="AV1072" s="105"/>
      <c r="AW1072" s="105"/>
      <c r="AX1072" s="105"/>
      <c r="AY1072" s="105"/>
      <c r="AZ1072" s="105"/>
      <c r="BA1072" s="105"/>
      <c r="BB1072" s="105"/>
      <c r="BC1072" s="105"/>
      <c r="BD1072" s="86"/>
      <c r="BE1072" s="86"/>
      <c r="BF1072" s="86"/>
    </row>
    <row r="1073" spans="1:58" ht="15.75" hidden="1" customHeight="1" outlineLevel="1">
      <c r="A1073" s="401"/>
      <c r="B1073" s="99"/>
      <c r="C1073" s="99"/>
      <c r="D1073" s="99"/>
      <c r="E1073" s="99"/>
      <c r="F1073" s="99"/>
      <c r="G1073" s="99"/>
      <c r="H1073" s="99"/>
      <c r="I1073" s="99"/>
      <c r="J1073" s="99"/>
      <c r="K1073" s="99"/>
      <c r="L1073" s="99"/>
      <c r="M1073" s="99"/>
      <c r="N1073" s="99"/>
      <c r="O1073" s="99"/>
      <c r="P1073" s="99"/>
      <c r="Q1073" s="99"/>
      <c r="R1073" s="99"/>
      <c r="S1073" s="99"/>
      <c r="T1073" s="99"/>
      <c r="U1073" s="99"/>
      <c r="V1073" s="99"/>
      <c r="W1073" s="105"/>
      <c r="X1073" s="105"/>
      <c r="Y1073" s="105"/>
      <c r="Z1073" s="105"/>
      <c r="AA1073" s="105"/>
      <c r="AB1073" s="105"/>
      <c r="AC1073" s="105"/>
      <c r="AD1073" s="105"/>
      <c r="AE1073" s="105"/>
      <c r="AF1073" s="105">
        <f>IF($AF$883&gt;0,'Assumptions (Solar)'!V12*Model!$AF$883*('Assumptions (Solar)'!$AD$18*'Assumptions (Solar)'!$AD$2+'Assumptions (Solar)'!$AD$19*'Assumptions (Solar)'!$AD$3)/10^9,0)</f>
        <v>327.65447469666276</v>
      </c>
      <c r="AG1073" s="105">
        <f>IF($AF$883&gt;0,'Assumptions (Solar)'!W12*Model!$AF$883*('Assumptions (Solar)'!$AD$18*'Assumptions (Solar)'!$AD$2+'Assumptions (Solar)'!$AD$19*'Assumptions (Solar)'!$AD$3)/10^9,0)</f>
        <v>524.24715951466055</v>
      </c>
      <c r="AH1073" s="105">
        <f>IF($AF$883&gt;0,'Assumptions (Solar)'!X12*Model!$AF$883*('Assumptions (Solar)'!$AD$18*'Assumptions (Solar)'!$AD$2+'Assumptions (Solar)'!$AD$19*'Assumptions (Solar)'!$AD$3)/10^9,0)</f>
        <v>314.54829570879627</v>
      </c>
      <c r="AI1073" s="105">
        <f>IF($AF$883&gt;0,'Assumptions (Solar)'!Y12*Model!$AF$883*('Assumptions (Solar)'!$AD$18*'Assumptions (Solar)'!$AD$2+'Assumptions (Solar)'!$AD$19*'Assumptions (Solar)'!$AD$3)/10^9,0)</f>
        <v>188.72897742527778</v>
      </c>
      <c r="AJ1073" s="105">
        <f>IF($AF$883&gt;0,'Assumptions (Solar)'!Z12*Model!$AF$883*('Assumptions (Solar)'!$AD$18*'Assumptions (Solar)'!$AD$2+'Assumptions (Solar)'!$AD$19*'Assumptions (Solar)'!$AD$3)/10^9,0)</f>
        <v>188.72897742527778</v>
      </c>
      <c r="AK1073" s="105">
        <f>IF($AF$883&gt;0,'Assumptions (Solar)'!AA12*Model!$AF$883*('Assumptions (Solar)'!$AD$18*'Assumptions (Solar)'!$AD$2+'Assumptions (Solar)'!$AD$19*'Assumptions (Solar)'!$AD$3)/10^9,0)</f>
        <v>94.364488712638888</v>
      </c>
      <c r="AL1073" s="105"/>
      <c r="AM1073" s="105"/>
      <c r="AN1073" s="105"/>
      <c r="AO1073" s="105"/>
      <c r="AP1073" s="105"/>
      <c r="AQ1073" s="105"/>
      <c r="AR1073" s="105"/>
      <c r="AS1073" s="105"/>
      <c r="AT1073" s="105"/>
      <c r="AU1073" s="105"/>
      <c r="AV1073" s="105"/>
      <c r="AW1073" s="105"/>
      <c r="AX1073" s="105"/>
      <c r="AY1073" s="105"/>
      <c r="AZ1073" s="105"/>
      <c r="BA1073" s="105"/>
      <c r="BB1073" s="105"/>
      <c r="BC1073" s="105"/>
      <c r="BD1073" s="105"/>
      <c r="BE1073" s="86"/>
      <c r="BF1073" s="86"/>
    </row>
    <row r="1074" spans="1:58" ht="15.75" hidden="1" customHeight="1" outlineLevel="1">
      <c r="A1074" s="401"/>
      <c r="B1074" s="99"/>
      <c r="C1074" s="99"/>
      <c r="D1074" s="99"/>
      <c r="E1074" s="99"/>
      <c r="F1074" s="99"/>
      <c r="G1074" s="99"/>
      <c r="H1074" s="99"/>
      <c r="I1074" s="99"/>
      <c r="J1074" s="99"/>
      <c r="K1074" s="99"/>
      <c r="L1074" s="99"/>
      <c r="M1074" s="99"/>
      <c r="N1074" s="99"/>
      <c r="O1074" s="99"/>
      <c r="P1074" s="99"/>
      <c r="Q1074" s="99"/>
      <c r="R1074" s="99"/>
      <c r="S1074" s="99"/>
      <c r="T1074" s="99"/>
      <c r="U1074" s="99"/>
      <c r="V1074" s="99"/>
      <c r="W1074" s="105"/>
      <c r="X1074" s="105"/>
      <c r="Y1074" s="105"/>
      <c r="Z1074" s="105"/>
      <c r="AA1074" s="105"/>
      <c r="AB1074" s="105"/>
      <c r="AC1074" s="105"/>
      <c r="AD1074" s="105"/>
      <c r="AE1074" s="105"/>
      <c r="AF1074" s="105"/>
      <c r="AG1074" s="105">
        <f>IF($AG$883&gt;0,'Assumptions (Solar)'!V12*Model!$AG$883*('Assumptions (Solar)'!$AE$18*'Assumptions (Solar)'!$AE$2+'Assumptions (Solar)'!$AE$19*'Assumptions (Solar)'!$AE$3)/10^9,0)</f>
        <v>335.3118468786231</v>
      </c>
      <c r="AH1074" s="105">
        <f>IF($AG$883&gt;0,'Assumptions (Solar)'!W12*Model!$AG$883*('Assumptions (Solar)'!$AE$18*'Assumptions (Solar)'!$AE$2+'Assumptions (Solar)'!$AE$19*'Assumptions (Solar)'!$AE$3)/10^9,0)</f>
        <v>536.49895500579703</v>
      </c>
      <c r="AI1074" s="105">
        <f>IF($AG$883&gt;0,'Assumptions (Solar)'!X12*Model!$AG$883*('Assumptions (Solar)'!$AE$18*'Assumptions (Solar)'!$AE$2+'Assumptions (Solar)'!$AE$19*'Assumptions (Solar)'!$AE$3)/10^9,0)</f>
        <v>321.89937300347816</v>
      </c>
      <c r="AJ1074" s="105">
        <f>IF($AG$883&gt;0,'Assumptions (Solar)'!Y12*Model!$AG$883*('Assumptions (Solar)'!$AE$18*'Assumptions (Solar)'!$AE$2+'Assumptions (Solar)'!$AE$19*'Assumptions (Solar)'!$AE$3)/10^9,0)</f>
        <v>193.1396238020869</v>
      </c>
      <c r="AK1074" s="105">
        <f>IF($AG$883&gt;0,'Assumptions (Solar)'!Z12*Model!$AG$883*('Assumptions (Solar)'!$AE$18*'Assumptions (Solar)'!$AE$2+'Assumptions (Solar)'!$AE$19*'Assumptions (Solar)'!$AE$3)/10^9,0)</f>
        <v>193.1396238020869</v>
      </c>
      <c r="AL1074" s="105">
        <f>IF($AG$883&gt;0,'Assumptions (Solar)'!AA12*Model!$AG$883*('Assumptions (Solar)'!$AE$18*'Assumptions (Solar)'!$AE$2+'Assumptions (Solar)'!$AE$19*'Assumptions (Solar)'!$AE$3)/10^9,0)</f>
        <v>96.569811901043451</v>
      </c>
      <c r="AM1074" s="105"/>
      <c r="AN1074" s="105"/>
      <c r="AO1074" s="105"/>
      <c r="AP1074" s="105"/>
      <c r="AQ1074" s="105"/>
      <c r="AR1074" s="105"/>
      <c r="AS1074" s="105"/>
      <c r="AT1074" s="105"/>
      <c r="AU1074" s="105"/>
      <c r="AV1074" s="105"/>
      <c r="AW1074" s="105"/>
      <c r="AX1074" s="105"/>
      <c r="AY1074" s="105"/>
      <c r="AZ1074" s="105"/>
      <c r="BA1074" s="105"/>
      <c r="BB1074" s="105"/>
      <c r="BC1074" s="105"/>
      <c r="BD1074" s="105"/>
      <c r="BE1074" s="105"/>
      <c r="BF1074" s="86"/>
    </row>
    <row r="1075" spans="1:58" ht="15.75" hidden="1" customHeight="1" outlineLevel="1">
      <c r="A1075" s="401"/>
      <c r="B1075" s="99"/>
      <c r="C1075" s="99"/>
      <c r="D1075" s="99"/>
      <c r="E1075" s="99"/>
      <c r="F1075" s="99"/>
      <c r="G1075" s="99"/>
      <c r="H1075" s="99"/>
      <c r="I1075" s="99"/>
      <c r="J1075" s="99"/>
      <c r="K1075" s="99"/>
      <c r="L1075" s="99"/>
      <c r="M1075" s="99"/>
      <c r="N1075" s="99"/>
      <c r="O1075" s="99"/>
      <c r="P1075" s="99"/>
      <c r="Q1075" s="99"/>
      <c r="R1075" s="99"/>
      <c r="S1075" s="99"/>
      <c r="T1075" s="99"/>
      <c r="U1075" s="99"/>
      <c r="V1075" s="99"/>
      <c r="W1075" s="105"/>
      <c r="X1075" s="105"/>
      <c r="Y1075" s="105"/>
      <c r="Z1075" s="105"/>
      <c r="AA1075" s="105"/>
      <c r="AB1075" s="105"/>
      <c r="AC1075" s="105"/>
      <c r="AD1075" s="105"/>
      <c r="AE1075" s="105"/>
      <c r="AF1075" s="105"/>
      <c r="AG1075" s="105"/>
      <c r="AH1075" s="105">
        <f>IF($AH$883&gt;0,'Assumptions (Solar)'!V12*Model!$AH$883*('Assumptions (Solar)'!$AF$18*'Assumptions (Solar)'!$AF$2+'Assumptions (Solar)'!$AF$19*'Assumptions (Solar)'!$AF$3)/10^9,0)</f>
        <v>341.61044526451161</v>
      </c>
      <c r="AI1075" s="105">
        <f>IF($AH$883&gt;0,'Assumptions (Solar)'!W12*Model!$AH$883*('Assumptions (Solar)'!$AF$18*'Assumptions (Solar)'!$AF$2+'Assumptions (Solar)'!$AF$19*'Assumptions (Solar)'!$AF$3)/10^9,0)</f>
        <v>546.57671242321862</v>
      </c>
      <c r="AJ1075" s="105">
        <f>IF($AH$883&gt;0,'Assumptions (Solar)'!X12*Model!$AH$883*('Assumptions (Solar)'!$AF$18*'Assumptions (Solar)'!$AF$2+'Assumptions (Solar)'!$AF$19*'Assumptions (Solar)'!$AF$3)/10^9,0)</f>
        <v>327.94602745393109</v>
      </c>
      <c r="AK1075" s="105">
        <f>IF($AH$883&gt;0,'Assumptions (Solar)'!Y12*Model!$AH$883*('Assumptions (Solar)'!$AF$18*'Assumptions (Solar)'!$AF$2+'Assumptions (Solar)'!$AF$19*'Assumptions (Solar)'!$AF$3)/10^9,0)</f>
        <v>196.76761647235867</v>
      </c>
      <c r="AL1075" s="105">
        <f>IF($AH$883&gt;0,'Assumptions (Solar)'!Z12*Model!$AH$883*('Assumptions (Solar)'!$AF$18*'Assumptions (Solar)'!$AF$2+'Assumptions (Solar)'!$AF$19*'Assumptions (Solar)'!$AF$3)/10^9,0)</f>
        <v>196.76761647235867</v>
      </c>
      <c r="AM1075" s="105">
        <f>IF($AH$883&gt;0,'Assumptions (Solar)'!AA12*Model!$AH$883*('Assumptions (Solar)'!$AF$18*'Assumptions (Solar)'!$AF$2+'Assumptions (Solar)'!$AF$19*'Assumptions (Solar)'!$AF$3)/10^9,0)</f>
        <v>98.383808236179334</v>
      </c>
      <c r="AN1075" s="105"/>
      <c r="AO1075" s="105"/>
      <c r="AP1075" s="105"/>
      <c r="AQ1075" s="105"/>
      <c r="AR1075" s="105"/>
      <c r="AS1075" s="105"/>
      <c r="AT1075" s="105"/>
      <c r="AU1075" s="105"/>
      <c r="AV1075" s="105"/>
      <c r="AW1075" s="105"/>
      <c r="AX1075" s="105"/>
      <c r="AY1075" s="105"/>
      <c r="AZ1075" s="105"/>
      <c r="BA1075" s="105"/>
      <c r="BB1075" s="105"/>
      <c r="BC1075" s="105"/>
      <c r="BD1075" s="105"/>
      <c r="BE1075" s="105"/>
      <c r="BF1075" s="105"/>
    </row>
    <row r="1076" spans="1:58" ht="15.75" hidden="1" customHeight="1" outlineLevel="1">
      <c r="A1076" s="401"/>
      <c r="B1076" s="99"/>
      <c r="C1076" s="99"/>
      <c r="D1076" s="99"/>
      <c r="E1076" s="99"/>
      <c r="F1076" s="99"/>
      <c r="G1076" s="99"/>
      <c r="H1076" s="99"/>
      <c r="I1076" s="99"/>
      <c r="J1076" s="99"/>
      <c r="K1076" s="99"/>
      <c r="L1076" s="99"/>
      <c r="M1076" s="99"/>
      <c r="N1076" s="99"/>
      <c r="O1076" s="99"/>
      <c r="P1076" s="99"/>
      <c r="Q1076" s="99"/>
      <c r="R1076" s="99"/>
      <c r="S1076" s="99"/>
      <c r="T1076" s="99"/>
      <c r="U1076" s="99"/>
      <c r="V1076" s="99"/>
      <c r="W1076" s="105"/>
      <c r="X1076" s="105"/>
      <c r="Y1076" s="105"/>
      <c r="Z1076" s="105"/>
      <c r="AA1076" s="105"/>
      <c r="AB1076" s="105"/>
      <c r="AC1076" s="105"/>
      <c r="AD1076" s="105"/>
      <c r="AE1076" s="105"/>
      <c r="AF1076" s="105"/>
      <c r="AG1076" s="105"/>
      <c r="AH1076" s="105"/>
      <c r="AI1076" s="91">
        <f>IF($AI$883&gt;0,'Assumptions (Solar)'!V12*Model!$AI$883*('Assumptions (Solar)'!$AG$18*'Assumptions (Solar)'!$AG$2+'Assumptions (Solar)'!$AG$19*'Assumptions (Solar)'!$AG$3)/10^9,0)</f>
        <v>347.86420844571012</v>
      </c>
      <c r="AJ1076" s="91">
        <f>IF($AI$883&gt;0,'Assumptions (Solar)'!W12*Model!$AI$883*('Assumptions (Solar)'!$AG$18*'Assumptions (Solar)'!$AG$2+'Assumptions (Solar)'!$AG$19*'Assumptions (Solar)'!$AG$3)/10^9,0)</f>
        <v>556.5827335131363</v>
      </c>
      <c r="AK1076" s="91">
        <f>IF($AI$883&gt;0,'Assumptions (Solar)'!X12*Model!$AI$883*('Assumptions (Solar)'!$AG$18*'Assumptions (Solar)'!$AG$2+'Assumptions (Solar)'!$AG$19*'Assumptions (Solar)'!$AG$3)/10^9,0)</f>
        <v>333.94964010788169</v>
      </c>
      <c r="AL1076" s="91">
        <f>IF($AI$883&gt;0,'Assumptions (Solar)'!Y12*Model!$AI$883*('Assumptions (Solar)'!$AG$18*'Assumptions (Solar)'!$AG$2+'Assumptions (Solar)'!$AG$19*'Assumptions (Solar)'!$AG$3)/10^9,0)</f>
        <v>200.36978406472906</v>
      </c>
      <c r="AM1076" s="91">
        <f>IF($AI$883&gt;0,'Assumptions (Solar)'!Z12*Model!$AI$883*('Assumptions (Solar)'!$AG$18*'Assumptions (Solar)'!$AG$2+'Assumptions (Solar)'!$AG$19*'Assumptions (Solar)'!$AG$3)/10^9,0)</f>
        <v>200.36978406472906</v>
      </c>
      <c r="AN1076" s="91">
        <f>IF($AI$883&gt;0,'Assumptions (Solar)'!AA12*Model!$AI$883*('Assumptions (Solar)'!$AG$18*'Assumptions (Solar)'!$AG$2+'Assumptions (Solar)'!$AG$19*'Assumptions (Solar)'!$AG$3)/10^9,0)</f>
        <v>100.18489203236453</v>
      </c>
      <c r="AO1076" s="105"/>
      <c r="AP1076" s="105"/>
      <c r="AQ1076" s="105"/>
      <c r="AR1076" s="105"/>
      <c r="AS1076" s="105"/>
      <c r="AT1076" s="105"/>
      <c r="AU1076" s="105"/>
      <c r="AV1076" s="105"/>
      <c r="AW1076" s="105"/>
      <c r="AX1076" s="105"/>
      <c r="AY1076" s="105"/>
      <c r="AZ1076" s="105"/>
      <c r="BA1076" s="105"/>
      <c r="BB1076" s="105"/>
      <c r="BC1076" s="105"/>
      <c r="BD1076" s="105"/>
      <c r="BE1076" s="105"/>
      <c r="BF1076" s="105"/>
    </row>
    <row r="1077" spans="1:58" ht="15.75" hidden="1" customHeight="1" outlineLevel="1">
      <c r="A1077" s="401"/>
      <c r="B1077" s="99"/>
      <c r="C1077" s="99"/>
      <c r="D1077" s="99"/>
      <c r="E1077" s="99"/>
      <c r="F1077" s="99"/>
      <c r="G1077" s="99"/>
      <c r="H1077" s="99"/>
      <c r="I1077" s="99"/>
      <c r="J1077" s="99"/>
      <c r="K1077" s="99"/>
      <c r="L1077" s="99"/>
      <c r="M1077" s="99"/>
      <c r="N1077" s="99"/>
      <c r="O1077" s="99"/>
      <c r="P1077" s="99"/>
      <c r="Q1077" s="99"/>
      <c r="R1077" s="99"/>
      <c r="S1077" s="99"/>
      <c r="T1077" s="99"/>
      <c r="U1077" s="99"/>
      <c r="V1077" s="99"/>
      <c r="W1077" s="105"/>
      <c r="X1077" s="105"/>
      <c r="Y1077" s="105"/>
      <c r="Z1077" s="105"/>
      <c r="AA1077" s="105"/>
      <c r="AB1077" s="91"/>
      <c r="AC1077" s="105"/>
      <c r="AD1077" s="105"/>
      <c r="AE1077" s="105"/>
      <c r="AF1077" s="105"/>
      <c r="AG1077" s="105"/>
      <c r="AH1077" s="105"/>
      <c r="AI1077" s="105"/>
      <c r="AJ1077" s="91">
        <f>IF($AJ$883&gt;0,'Assumptions (Solar)'!V12*Model!$AJ$883*('Assumptions (Solar)'!$AH$18*'Assumptions (Solar)'!$AH$2+'Assumptions (Solar)'!$AH$19*'Assumptions (Solar)'!$AH$3)/10^9,0)</f>
        <v>354.04054126679227</v>
      </c>
      <c r="AK1077" s="91">
        <f>IF($AJ$883&gt;0,'Assumptions (Solar)'!W12*Model!$AJ$883*('Assumptions (Solar)'!$AH$18*'Assumptions (Solar)'!$AH$2+'Assumptions (Solar)'!$AH$19*'Assumptions (Solar)'!$AH$3)/10^9,0)</f>
        <v>566.46486602686764</v>
      </c>
      <c r="AL1077" s="91">
        <f>IF($AJ$883&gt;0,'Assumptions (Solar)'!X12*Model!$AJ$883*('Assumptions (Solar)'!$AH$18*'Assumptions (Solar)'!$AH$2+'Assumptions (Solar)'!$AH$19*'Assumptions (Solar)'!$AH$3)/10^9,0)</f>
        <v>339.87891961612058</v>
      </c>
      <c r="AM1077" s="91">
        <f>IF($AJ$883&gt;0,'Assumptions (Solar)'!Y12*Model!$AJ$883*('Assumptions (Solar)'!$AH$18*'Assumptions (Solar)'!$AH$2+'Assumptions (Solar)'!$AH$19*'Assumptions (Solar)'!$AH$3)/10^9,0)</f>
        <v>203.92735176967233</v>
      </c>
      <c r="AN1077" s="91">
        <f>IF($AJ$883&gt;0,'Assumptions (Solar)'!Z12*Model!$AJ$883*('Assumptions (Solar)'!$AH$18*'Assumptions (Solar)'!$AH$2+'Assumptions (Solar)'!$AH$19*'Assumptions (Solar)'!$AH$3)/10^9,0)</f>
        <v>203.92735176967233</v>
      </c>
      <c r="AO1077" s="91">
        <f>IF($AJ$883&gt;0,'Assumptions (Solar)'!AA12*Model!$AJ$883*('Assumptions (Solar)'!$AH$18*'Assumptions (Solar)'!$AH$2+'Assumptions (Solar)'!$AH$19*'Assumptions (Solar)'!$AH$3)/10^9,0)</f>
        <v>101.96367588483616</v>
      </c>
      <c r="AP1077" s="91"/>
      <c r="AQ1077" s="91"/>
      <c r="AR1077" s="91"/>
      <c r="AS1077" s="91"/>
      <c r="AT1077" s="91"/>
      <c r="AU1077" s="91"/>
      <c r="AV1077" s="91"/>
      <c r="AW1077" s="91"/>
      <c r="AX1077" s="91"/>
      <c r="AY1077" s="91"/>
      <c r="AZ1077" s="91"/>
      <c r="BA1077" s="91"/>
      <c r="BB1077" s="91"/>
      <c r="BC1077" s="91"/>
      <c r="BD1077" s="91"/>
      <c r="BE1077" s="91"/>
      <c r="BF1077" s="91"/>
    </row>
    <row r="1078" spans="1:58" ht="15.75" hidden="1" customHeight="1" outlineLevel="1">
      <c r="A1078" s="401"/>
      <c r="B1078" s="99"/>
      <c r="C1078" s="99"/>
      <c r="D1078" s="99"/>
      <c r="E1078" s="99"/>
      <c r="F1078" s="99"/>
      <c r="G1078" s="99"/>
      <c r="H1078" s="99"/>
      <c r="I1078" s="99"/>
      <c r="J1078" s="99"/>
      <c r="K1078" s="99"/>
      <c r="L1078" s="99"/>
      <c r="M1078" s="99"/>
      <c r="N1078" s="99"/>
      <c r="O1078" s="99"/>
      <c r="P1078" s="99"/>
      <c r="Q1078" s="99"/>
      <c r="R1078" s="99"/>
      <c r="S1078" s="99"/>
      <c r="T1078" s="99"/>
      <c r="U1078" s="99"/>
      <c r="V1078" s="99"/>
      <c r="W1078" s="105"/>
      <c r="X1078" s="105"/>
      <c r="Y1078" s="105"/>
      <c r="Z1078" s="105"/>
      <c r="AA1078" s="105"/>
      <c r="AB1078" s="105"/>
      <c r="AC1078" s="105"/>
      <c r="AD1078" s="105"/>
      <c r="AE1078" s="105"/>
      <c r="AF1078" s="105"/>
      <c r="AG1078" s="105"/>
      <c r="AH1078" s="105"/>
      <c r="AI1078" s="105"/>
      <c r="AJ1078" s="171"/>
      <c r="AK1078" s="105">
        <f>IF($AK$883&gt;0,'Assumptions (Solar)'!V12*Model!$AK$883*('Assumptions (Solar)'!$AI$18*'Assumptions (Solar)'!$AI$2+'Assumptions (Solar)'!$AI$19*'Assumptions (Solar)'!$AI$3)/10^9,0)</f>
        <v>360.14419862959414</v>
      </c>
      <c r="AL1078" s="105">
        <f>IF($AK$883&gt;0,'Assumptions (Solar)'!W12*Model!$AK$883*('Assumptions (Solar)'!$AI$18*'Assumptions (Solar)'!$AI$2+'Assumptions (Solar)'!$AI$19*'Assumptions (Solar)'!$AI$3)/10^9,0)</f>
        <v>576.23071780735063</v>
      </c>
      <c r="AM1078" s="105">
        <f>IF($AK$883&gt;0,'Assumptions (Solar)'!X12*Model!$AK$883*('Assumptions (Solar)'!$AI$18*'Assumptions (Solar)'!$AI$2+'Assumptions (Solar)'!$AI$19*'Assumptions (Solar)'!$AI$3)/10^9,0)</f>
        <v>345.73843068441033</v>
      </c>
      <c r="AN1078" s="105">
        <f>IF($AK$883&gt;0,'Assumptions (Solar)'!Y12*Model!$AK$883*('Assumptions (Solar)'!$AI$18*'Assumptions (Solar)'!$AI$2+'Assumptions (Solar)'!$AI$19*'Assumptions (Solar)'!$AI$3)/10^9,0)</f>
        <v>207.44305841064619</v>
      </c>
      <c r="AO1078" s="105">
        <f>IF($AK$883&gt;0,'Assumptions (Solar)'!Z12*Model!$AK$883*('Assumptions (Solar)'!$AI$18*'Assumptions (Solar)'!$AI$2+'Assumptions (Solar)'!$AI$19*'Assumptions (Solar)'!$AI$3)/10^9,0)</f>
        <v>207.44305841064619</v>
      </c>
      <c r="AP1078" s="105">
        <f>IF($AK$883&gt;0,'Assumptions (Solar)'!AA12*Model!$AK$883*('Assumptions (Solar)'!$AI$18*'Assumptions (Solar)'!$AI$2+'Assumptions (Solar)'!$AI$19*'Assumptions (Solar)'!$AI$3)/10^9,0)</f>
        <v>103.72152920532309</v>
      </c>
      <c r="AQ1078" s="91"/>
      <c r="AR1078" s="91"/>
      <c r="AS1078" s="91"/>
      <c r="AT1078" s="91"/>
      <c r="AU1078" s="91"/>
      <c r="AV1078" s="91"/>
      <c r="AW1078" s="91"/>
      <c r="AX1078" s="91"/>
      <c r="AY1078" s="91"/>
      <c r="AZ1078" s="91"/>
      <c r="BA1078" s="91"/>
      <c r="BB1078" s="91"/>
      <c r="BC1078" s="91"/>
      <c r="BD1078" s="91"/>
      <c r="BE1078" s="91"/>
      <c r="BF1078" s="91"/>
    </row>
    <row r="1079" spans="1:58" ht="15.75" hidden="1" customHeight="1" outlineLevel="1">
      <c r="A1079" s="401"/>
      <c r="B1079" s="99"/>
      <c r="C1079" s="99"/>
      <c r="D1079" s="99"/>
      <c r="E1079" s="99"/>
      <c r="F1079" s="99"/>
      <c r="G1079" s="99"/>
      <c r="H1079" s="99"/>
      <c r="I1079" s="99"/>
      <c r="J1079" s="99"/>
      <c r="K1079" s="99"/>
      <c r="L1079" s="99"/>
      <c r="M1079" s="99"/>
      <c r="N1079" s="99"/>
      <c r="O1079" s="99"/>
      <c r="P1079" s="99"/>
      <c r="Q1079" s="99"/>
      <c r="R1079" s="99"/>
      <c r="S1079" s="99"/>
      <c r="T1079" s="99"/>
      <c r="U1079" s="99"/>
      <c r="V1079" s="99"/>
      <c r="W1079" s="105"/>
      <c r="X1079" s="105"/>
      <c r="Y1079" s="105"/>
      <c r="Z1079" s="105"/>
      <c r="AA1079" s="105"/>
      <c r="AB1079" s="105"/>
      <c r="AC1079" s="105"/>
      <c r="AD1079" s="105"/>
      <c r="AE1079" s="105"/>
      <c r="AF1079" s="105"/>
      <c r="AG1079" s="105"/>
      <c r="AH1079" s="105"/>
      <c r="AI1079" s="105"/>
      <c r="AJ1079" s="171"/>
      <c r="AK1079" s="105"/>
      <c r="AL1079" s="91">
        <f>IF($AL$883&gt;0,'Assumptions (Solar)'!V12*Model!$AL$883*('Assumptions (Solar)'!$AJ$18*'Assumptions (Solar)'!$AJ$2+'Assumptions (Solar)'!$AJ$19*'Assumptions (Solar)'!$AJ$3)/10^9,0)</f>
        <v>366.16637278850283</v>
      </c>
      <c r="AM1079" s="91">
        <f>IF($AL$883&gt;0,'Assumptions (Solar)'!W12*Model!$AL$883*('Assumptions (Solar)'!$AJ$18*'Assumptions (Solar)'!$AJ$2+'Assumptions (Solar)'!$AJ$19*'Assumptions (Solar)'!$AJ$3)/10^9,0)</f>
        <v>585.86619646160455</v>
      </c>
      <c r="AN1079" s="91">
        <f>IF($AL$883&gt;0,'Assumptions (Solar)'!X12*Model!$AL$883*('Assumptions (Solar)'!$AJ$18*'Assumptions (Solar)'!$AJ$2+'Assumptions (Solar)'!$AJ$19*'Assumptions (Solar)'!$AJ$3)/10^9,0)</f>
        <v>351.51971787696272</v>
      </c>
      <c r="AO1079" s="91">
        <f>IF($AL$883&gt;0,'Assumptions (Solar)'!Y12*Model!$AL$883*('Assumptions (Solar)'!$AJ$18*'Assumptions (Solar)'!$AJ$2+'Assumptions (Solar)'!$AJ$19*'Assumptions (Solar)'!$AJ$3)/10^9,0)</f>
        <v>210.91183072617758</v>
      </c>
      <c r="AP1079" s="91">
        <f>IF($AL$883&gt;0,'Assumptions (Solar)'!Z12*Model!$AL$883*('Assumptions (Solar)'!$AJ$18*'Assumptions (Solar)'!$AJ$2+'Assumptions (Solar)'!$AJ$19*'Assumptions (Solar)'!$AJ$3)/10^9,0)</f>
        <v>210.91183072617758</v>
      </c>
      <c r="AQ1079" s="91">
        <f>IF($AL$883&gt;0,'Assumptions (Solar)'!AA12*Model!$AL$883*('Assumptions (Solar)'!$AJ$18*'Assumptions (Solar)'!$AJ$2+'Assumptions (Solar)'!$AJ$19*'Assumptions (Solar)'!$AJ$3)/10^9,0)</f>
        <v>105.45591536308879</v>
      </c>
      <c r="AR1079" s="91"/>
      <c r="AS1079" s="91"/>
      <c r="AT1079" s="91"/>
      <c r="AU1079" s="91"/>
      <c r="AV1079" s="91"/>
      <c r="AW1079" s="91"/>
      <c r="AX1079" s="91"/>
      <c r="AY1079" s="91"/>
      <c r="AZ1079" s="91"/>
      <c r="BA1079" s="91"/>
      <c r="BB1079" s="91"/>
      <c r="BC1079" s="91"/>
      <c r="BD1079" s="91"/>
      <c r="BE1079" s="91"/>
      <c r="BF1079" s="91"/>
    </row>
    <row r="1080" spans="1:58" ht="15.75" hidden="1" customHeight="1" outlineLevel="1">
      <c r="A1080" s="401"/>
      <c r="B1080" s="99"/>
      <c r="C1080" s="99"/>
      <c r="D1080" s="99"/>
      <c r="E1080" s="99"/>
      <c r="F1080" s="99"/>
      <c r="G1080" s="99"/>
      <c r="H1080" s="99"/>
      <c r="I1080" s="99"/>
      <c r="J1080" s="99"/>
      <c r="K1080" s="99"/>
      <c r="L1080" s="99"/>
      <c r="M1080" s="99"/>
      <c r="N1080" s="99"/>
      <c r="O1080" s="99"/>
      <c r="P1080" s="99"/>
      <c r="Q1080" s="99"/>
      <c r="R1080" s="99"/>
      <c r="S1080" s="99"/>
      <c r="T1080" s="99"/>
      <c r="U1080" s="99"/>
      <c r="V1080" s="99"/>
      <c r="W1080" s="105"/>
      <c r="X1080" s="105"/>
      <c r="Y1080" s="105"/>
      <c r="Z1080" s="105"/>
      <c r="AA1080" s="105"/>
      <c r="AB1080" s="105"/>
      <c r="AC1080" s="105"/>
      <c r="AD1080" s="105"/>
      <c r="AE1080" s="105"/>
      <c r="AF1080" s="105"/>
      <c r="AG1080" s="105"/>
      <c r="AH1080" s="105"/>
      <c r="AI1080" s="105"/>
      <c r="AJ1080" s="171"/>
      <c r="AK1080" s="105"/>
      <c r="AL1080" s="91"/>
      <c r="AM1080" s="105">
        <f>IF($AM$883&gt;0,'Assumptions (Solar)'!V12*Model!$AM$883*('Assumptions (Solar)'!$AK$18*'Assumptions (Solar)'!$AK$2+'Assumptions (Solar)'!$AK$19*'Assumptions (Solar)'!$AK$3)/10^9,0)</f>
        <v>372.12739120456581</v>
      </c>
      <c r="AN1080" s="105">
        <f>IF($AM$883&gt;0,'Assumptions (Solar)'!W12*Model!$AM$883*('Assumptions (Solar)'!$AK$18*'Assumptions (Solar)'!$AK$2+'Assumptions (Solar)'!$AK$19*'Assumptions (Solar)'!$AK$3)/10^9,0)</f>
        <v>595.40382592730521</v>
      </c>
      <c r="AO1080" s="105">
        <f>IF($AM$883&gt;0,'Assumptions (Solar)'!X12*Model!$AM$883*('Assumptions (Solar)'!$AK$18*'Assumptions (Solar)'!$AK$2+'Assumptions (Solar)'!$AK$19*'Assumptions (Solar)'!$AK$3)/10^9,0)</f>
        <v>357.24229555638311</v>
      </c>
      <c r="AP1080" s="105">
        <f>IF($AM$883&gt;0,'Assumptions (Solar)'!Y12*Model!$AM$883*('Assumptions (Solar)'!$AK$18*'Assumptions (Solar)'!$AK$2+'Assumptions (Solar)'!$AK$19*'Assumptions (Solar)'!$AK$3)/10^9,0)</f>
        <v>214.34537733382987</v>
      </c>
      <c r="AQ1080" s="105">
        <f>IF($AM$883&gt;0,'Assumptions (Solar)'!Z12*Model!$AM$883*('Assumptions (Solar)'!$AK$18*'Assumptions (Solar)'!$AK$2+'Assumptions (Solar)'!$AK$19*'Assumptions (Solar)'!$AK$3)/10^9,0)</f>
        <v>214.34537733382987</v>
      </c>
      <c r="AR1080" s="105">
        <f>IF($AM$883&gt;0,'Assumptions (Solar)'!AA12*Model!$AM$883*('Assumptions (Solar)'!$AK$18*'Assumptions (Solar)'!$AK$2+'Assumptions (Solar)'!$AK$19*'Assumptions (Solar)'!$AK$3)/10^9,0)</f>
        <v>107.17268866691494</v>
      </c>
      <c r="AS1080" s="105"/>
      <c r="AT1080" s="105"/>
      <c r="AU1080" s="105"/>
      <c r="AV1080" s="105"/>
      <c r="AW1080" s="105"/>
      <c r="AX1080" s="105"/>
      <c r="AY1080" s="105"/>
      <c r="AZ1080" s="105"/>
      <c r="BA1080" s="105"/>
      <c r="BB1080" s="105"/>
      <c r="BC1080" s="105"/>
      <c r="BD1080" s="105"/>
      <c r="BE1080" s="105"/>
      <c r="BF1080" s="105"/>
    </row>
    <row r="1081" spans="1:58" ht="15.75" hidden="1" customHeight="1" outlineLevel="1">
      <c r="A1081" s="401"/>
      <c r="B1081" s="99"/>
      <c r="C1081" s="99"/>
      <c r="D1081" s="99"/>
      <c r="E1081" s="99"/>
      <c r="F1081" s="99"/>
      <c r="G1081" s="99"/>
      <c r="H1081" s="99"/>
      <c r="I1081" s="99"/>
      <c r="J1081" s="99"/>
      <c r="K1081" s="99"/>
      <c r="L1081" s="99"/>
      <c r="M1081" s="99"/>
      <c r="N1081" s="99"/>
      <c r="O1081" s="99"/>
      <c r="P1081" s="99"/>
      <c r="Q1081" s="99"/>
      <c r="R1081" s="99"/>
      <c r="S1081" s="99"/>
      <c r="T1081" s="99"/>
      <c r="U1081" s="99"/>
      <c r="V1081" s="99"/>
      <c r="W1081" s="105"/>
      <c r="X1081" s="105"/>
      <c r="Y1081" s="105"/>
      <c r="Z1081" s="105"/>
      <c r="AA1081" s="105"/>
      <c r="AB1081" s="105"/>
      <c r="AC1081" s="105"/>
      <c r="AD1081" s="105"/>
      <c r="AE1081" s="105"/>
      <c r="AF1081" s="105"/>
      <c r="AG1081" s="105"/>
      <c r="AH1081" s="105"/>
      <c r="AI1081" s="105"/>
      <c r="AJ1081" s="171"/>
      <c r="AK1081" s="105"/>
      <c r="AL1081" s="91"/>
      <c r="AM1081" s="91"/>
      <c r="AN1081" s="105">
        <f>IF($AN$883&gt;0,'Assumptions (Solar)'!V12*Model!$AN$883*('Assumptions (Solar)'!$AL$18*'Assumptions (Solar)'!$AL$2+'Assumptions (Solar)'!$AL$19*'Assumptions (Solar)'!$AL$3)/10^9,0)</f>
        <v>380.53749991658424</v>
      </c>
      <c r="AO1081" s="105">
        <f>IF($AN$883&gt;0,'Assumptions (Solar)'!W12*Model!$AN$883*('Assumptions (Solar)'!$AL$18*'Assumptions (Solar)'!$AL$2+'Assumptions (Solar)'!$AL$19*'Assumptions (Solar)'!$AL$3)/10^9,0)</f>
        <v>608.85999986653474</v>
      </c>
      <c r="AP1081" s="105">
        <f>IF($AN$883&gt;0,'Assumptions (Solar)'!X12*Model!$AN$883*('Assumptions (Solar)'!$AL$18*'Assumptions (Solar)'!$AL$2+'Assumptions (Solar)'!$AL$19*'Assumptions (Solar)'!$AL$3)/10^9,0)</f>
        <v>365.31599991992084</v>
      </c>
      <c r="AQ1081" s="105">
        <f>IF($AN$883&gt;0,'Assumptions (Solar)'!Y12*Model!$AN$883*('Assumptions (Solar)'!$AL$18*'Assumptions (Solar)'!$AL$2+'Assumptions (Solar)'!$AL$19*'Assumptions (Solar)'!$AL$3)/10^9,0)</f>
        <v>219.18959995195252</v>
      </c>
      <c r="AR1081" s="105">
        <f>IF($AN$883&gt;0,'Assumptions (Solar)'!Z12*Model!$AN$883*('Assumptions (Solar)'!$AL$18*'Assumptions (Solar)'!$AL$2+'Assumptions (Solar)'!$AL$19*'Assumptions (Solar)'!$AL$3)/10^9,0)</f>
        <v>219.18959995195252</v>
      </c>
      <c r="AS1081" s="105">
        <f>IF($AN$883&gt;0,'Assumptions (Solar)'!AA12*Model!$AN$883*('Assumptions (Solar)'!$AL$18*'Assumptions (Solar)'!$AL$2+'Assumptions (Solar)'!$AL$19*'Assumptions (Solar)'!$AL$3)/10^9,0)</f>
        <v>109.59479997597626</v>
      </c>
      <c r="AT1081" s="105"/>
      <c r="AU1081" s="105"/>
      <c r="AV1081" s="105"/>
      <c r="AW1081" s="105"/>
      <c r="AX1081" s="105"/>
      <c r="AY1081" s="105"/>
      <c r="AZ1081" s="105"/>
      <c r="BA1081" s="105"/>
      <c r="BB1081" s="105"/>
      <c r="BC1081" s="105"/>
      <c r="BD1081" s="105"/>
      <c r="BE1081" s="105"/>
      <c r="BF1081" s="105"/>
    </row>
    <row r="1082" spans="1:58" ht="15.75" hidden="1" customHeight="1" outlineLevel="1">
      <c r="A1082" s="401"/>
      <c r="B1082" s="99"/>
      <c r="C1082" s="99"/>
      <c r="D1082" s="99"/>
      <c r="E1082" s="99"/>
      <c r="F1082" s="99"/>
      <c r="G1082" s="99"/>
      <c r="H1082" s="99"/>
      <c r="I1082" s="99"/>
      <c r="J1082" s="99"/>
      <c r="K1082" s="99"/>
      <c r="L1082" s="99"/>
      <c r="M1082" s="99"/>
      <c r="N1082" s="99"/>
      <c r="O1082" s="99"/>
      <c r="P1082" s="99"/>
      <c r="Q1082" s="99"/>
      <c r="R1082" s="99"/>
      <c r="S1082" s="99"/>
      <c r="T1082" s="99"/>
      <c r="U1082" s="99"/>
      <c r="V1082" s="99"/>
      <c r="W1082" s="105"/>
      <c r="X1082" s="105"/>
      <c r="Y1082" s="105"/>
      <c r="Z1082" s="105"/>
      <c r="AA1082" s="105"/>
      <c r="AB1082" s="105"/>
      <c r="AC1082" s="105"/>
      <c r="AD1082" s="105"/>
      <c r="AE1082" s="105"/>
      <c r="AF1082" s="105"/>
      <c r="AG1082" s="105"/>
      <c r="AH1082" s="105"/>
      <c r="AI1082" s="105"/>
      <c r="AJ1082" s="171"/>
      <c r="AK1082" s="105"/>
      <c r="AL1082" s="91"/>
      <c r="AM1082" s="91"/>
      <c r="AN1082" s="91"/>
      <c r="AO1082" s="105">
        <f>IF($AO$883&gt;0,'Assumptions (Solar)'!V12*Model!$AO$883*('Assumptions (Solar)'!$AM$18*'Assumptions (Solar)'!$AM$2+'Assumptions (Solar)'!$AM$19*'Assumptions (Solar)'!$AM$3)/10^9,0)</f>
        <v>388.56722251415499</v>
      </c>
      <c r="AP1082" s="105">
        <f>IF($AO$883&gt;0,'Assumptions (Solar)'!W12*Model!$AO$883*('Assumptions (Solar)'!$AM$18*'Assumptions (Solar)'!$AM$2+'Assumptions (Solar)'!$AM$19*'Assumptions (Solar)'!$AM$3)/10^9,0)</f>
        <v>621.70755602264796</v>
      </c>
      <c r="AQ1082" s="105">
        <f>IF($AO$883&gt;0,'Assumptions (Solar)'!X12*Model!$AO$883*('Assumptions (Solar)'!$AM$18*'Assumptions (Solar)'!$AM$2+'Assumptions (Solar)'!$AM$19*'Assumptions (Solar)'!$AM$3)/10^9,0)</f>
        <v>373.02453361358874</v>
      </c>
      <c r="AR1082" s="105">
        <f>IF($AO$883&gt;0,'Assumptions (Solar)'!Y12*Model!$AO$883*('Assumptions (Solar)'!$AM$18*'Assumptions (Solar)'!$AM$2+'Assumptions (Solar)'!$AM$19*'Assumptions (Solar)'!$AM$3)/10^9,0)</f>
        <v>223.81472016815323</v>
      </c>
      <c r="AS1082" s="105">
        <f>IF($AO$883&gt;0,'Assumptions (Solar)'!Z12*Model!$AO$883*('Assumptions (Solar)'!$AM$18*'Assumptions (Solar)'!$AM$2+'Assumptions (Solar)'!$AM$19*'Assumptions (Solar)'!$AM$3)/10^9,0)</f>
        <v>223.81472016815323</v>
      </c>
      <c r="AT1082" s="105">
        <f>IF($AO$883&gt;0,'Assumptions (Solar)'!AA12*Model!$AO$883*('Assumptions (Solar)'!$AM$18*'Assumptions (Solar)'!$AM$2+'Assumptions (Solar)'!$AM$19*'Assumptions (Solar)'!$AM$3)/10^9,0)</f>
        <v>111.90736008407661</v>
      </c>
      <c r="AU1082" s="105"/>
      <c r="AV1082" s="105"/>
      <c r="AW1082" s="105"/>
      <c r="AX1082" s="105"/>
      <c r="AY1082" s="105"/>
      <c r="AZ1082" s="105"/>
      <c r="BA1082" s="105"/>
      <c r="BB1082" s="105"/>
      <c r="BC1082" s="105"/>
      <c r="BD1082" s="105"/>
      <c r="BE1082" s="105"/>
      <c r="BF1082" s="105"/>
    </row>
    <row r="1083" spans="1:58" ht="15.75" hidden="1" customHeight="1" outlineLevel="1">
      <c r="A1083" s="401"/>
      <c r="B1083" s="99"/>
      <c r="C1083" s="99"/>
      <c r="D1083" s="99"/>
      <c r="E1083" s="99"/>
      <c r="F1083" s="99"/>
      <c r="G1083" s="99"/>
      <c r="H1083" s="99"/>
      <c r="I1083" s="99"/>
      <c r="J1083" s="99"/>
      <c r="K1083" s="99"/>
      <c r="L1083" s="99"/>
      <c r="M1083" s="99"/>
      <c r="N1083" s="99"/>
      <c r="O1083" s="99"/>
      <c r="P1083" s="99"/>
      <c r="Q1083" s="99"/>
      <c r="R1083" s="99"/>
      <c r="S1083" s="99"/>
      <c r="T1083" s="99"/>
      <c r="U1083" s="99"/>
      <c r="V1083" s="99"/>
      <c r="W1083" s="105"/>
      <c r="X1083" s="105"/>
      <c r="Y1083" s="105"/>
      <c r="Z1083" s="105"/>
      <c r="AA1083" s="105"/>
      <c r="AB1083" s="105"/>
      <c r="AC1083" s="105"/>
      <c r="AD1083" s="105"/>
      <c r="AE1083" s="105"/>
      <c r="AF1083" s="105"/>
      <c r="AG1083" s="105"/>
      <c r="AH1083" s="105"/>
      <c r="AI1083" s="105"/>
      <c r="AJ1083" s="171"/>
      <c r="AK1083" s="105"/>
      <c r="AL1083" s="91"/>
      <c r="AM1083" s="91"/>
      <c r="AN1083" s="91"/>
      <c r="AO1083" s="105"/>
      <c r="AP1083" s="105">
        <f>IF($AP$883&gt;0,'Assumptions (Solar)'!V12*Model!$AP$883*('Assumptions (Solar)'!$AN$18*'Assumptions (Solar)'!$AN$2+'Assumptions (Solar)'!$AN$19*'Assumptions (Solar)'!$AN$3)/10^9,0)</f>
        <v>396.58747325222089</v>
      </c>
      <c r="AQ1083" s="105">
        <f>IF($AP$883&gt;0,'Assumptions (Solar)'!W12*Model!$AP$883*('Assumptions (Solar)'!$AN$18*'Assumptions (Solar)'!$AN$2+'Assumptions (Solar)'!$AN$19*'Assumptions (Solar)'!$AN$3)/10^9,0)</f>
        <v>634.53995720355351</v>
      </c>
      <c r="AR1083" s="105">
        <f>IF($AP$883&gt;0,'Assumptions (Solar)'!X12*Model!$AP$883*('Assumptions (Solar)'!$AN$18*'Assumptions (Solar)'!$AN$2+'Assumptions (Solar)'!$AN$19*'Assumptions (Solar)'!$AN$3)/10^9,0)</f>
        <v>380.72397432213211</v>
      </c>
      <c r="AS1083" s="105">
        <f>IF($AP$883&gt;0,'Assumptions (Solar)'!Y12*Model!$AP$883*('Assumptions (Solar)'!$AN$18*'Assumptions (Solar)'!$AN$2+'Assumptions (Solar)'!$AN$19*'Assumptions (Solar)'!$AN$3)/10^9,0)</f>
        <v>228.43438459327922</v>
      </c>
      <c r="AT1083" s="105">
        <f>IF($AP$883&gt;0,'Assumptions (Solar)'!Z12*Model!$AP$883*('Assumptions (Solar)'!$AN$18*'Assumptions (Solar)'!$AN$2+'Assumptions (Solar)'!$AN$19*'Assumptions (Solar)'!$AN$3)/10^9,0)</f>
        <v>228.43438459327922</v>
      </c>
      <c r="AU1083" s="105">
        <f>IF($AP$883&gt;0,'Assumptions (Solar)'!AA12*Model!$AP$883*('Assumptions (Solar)'!$AN$18*'Assumptions (Solar)'!$AN$2+'Assumptions (Solar)'!$AN$19*'Assumptions (Solar)'!$AN$3)/10^9,0)</f>
        <v>114.21719229663961</v>
      </c>
      <c r="AV1083" s="105"/>
      <c r="AW1083" s="105"/>
      <c r="AX1083" s="105"/>
      <c r="AY1083" s="105"/>
      <c r="AZ1083" s="105"/>
      <c r="BA1083" s="105"/>
      <c r="BB1083" s="105"/>
      <c r="BC1083" s="105"/>
      <c r="BD1083" s="105"/>
      <c r="BE1083" s="105"/>
      <c r="BF1083" s="105"/>
    </row>
    <row r="1084" spans="1:58" ht="15.75" hidden="1" customHeight="1" outlineLevel="1">
      <c r="A1084" s="401"/>
      <c r="B1084" s="99"/>
      <c r="C1084" s="99"/>
      <c r="D1084" s="99"/>
      <c r="E1084" s="99"/>
      <c r="F1084" s="99"/>
      <c r="G1084" s="99"/>
      <c r="H1084" s="99"/>
      <c r="I1084" s="99"/>
      <c r="J1084" s="99"/>
      <c r="K1084" s="99"/>
      <c r="L1084" s="99"/>
      <c r="M1084" s="99"/>
      <c r="N1084" s="99"/>
      <c r="O1084" s="99"/>
      <c r="P1084" s="99"/>
      <c r="Q1084" s="99"/>
      <c r="R1084" s="99"/>
      <c r="S1084" s="99"/>
      <c r="T1084" s="99"/>
      <c r="U1084" s="99"/>
      <c r="V1084" s="99"/>
      <c r="W1084" s="105"/>
      <c r="X1084" s="105"/>
      <c r="Y1084" s="105"/>
      <c r="Z1084" s="105"/>
      <c r="AA1084" s="105"/>
      <c r="AB1084" s="105"/>
      <c r="AC1084" s="105"/>
      <c r="AD1084" s="105"/>
      <c r="AE1084" s="105"/>
      <c r="AF1084" s="105"/>
      <c r="AG1084" s="105"/>
      <c r="AH1084" s="105"/>
      <c r="AI1084" s="105"/>
      <c r="AJ1084" s="171"/>
      <c r="AK1084" s="105"/>
      <c r="AL1084" s="91"/>
      <c r="AM1084" s="91"/>
      <c r="AN1084" s="91"/>
      <c r="AO1084" s="105"/>
      <c r="AP1084" s="105"/>
      <c r="AQ1084" s="105">
        <f>IF($AQ$883&gt;0,'Assumptions (Solar)'!V12*Model!$AQ$883*('Assumptions (Solar)'!$AO$18*'Assumptions (Solar)'!$AO$2+'Assumptions (Solar)'!$AO$19*'Assumptions (Solar)'!$AO$3)/10^9,0)</f>
        <v>405.43777567609573</v>
      </c>
      <c r="AR1084" s="105">
        <f>IF($AQ$883&gt;0,'Assumptions (Solar)'!W12*Model!$AQ$883*('Assumptions (Solar)'!$AO$18*'Assumptions (Solar)'!$AO$2+'Assumptions (Solar)'!$AO$19*'Assumptions (Solar)'!$AO$3)/10^9,0)</f>
        <v>648.70044108175307</v>
      </c>
      <c r="AS1084" s="105">
        <f>IF($AQ$883&gt;0,'Assumptions (Solar)'!X12*Model!$AQ$883*('Assumptions (Solar)'!$AO$18*'Assumptions (Solar)'!$AO$2+'Assumptions (Solar)'!$AO$19*'Assumptions (Solar)'!$AO$3)/10^9,0)</f>
        <v>389.22026464905184</v>
      </c>
      <c r="AT1084" s="105">
        <f>IF($AQ$883&gt;0,'Assumptions (Solar)'!Y12*Model!$AQ$883*('Assumptions (Solar)'!$AO$18*'Assumptions (Solar)'!$AO$2+'Assumptions (Solar)'!$AO$19*'Assumptions (Solar)'!$AO$3)/10^9,0)</f>
        <v>233.53215878943109</v>
      </c>
      <c r="AU1084" s="105">
        <f>IF($AQ$883&gt;0,'Assumptions (Solar)'!Z12*Model!$AQ$883*('Assumptions (Solar)'!$AO$18*'Assumptions (Solar)'!$AO$2+'Assumptions (Solar)'!$AO$19*'Assumptions (Solar)'!$AO$3)/10^9,0)</f>
        <v>233.53215878943109</v>
      </c>
      <c r="AV1084" s="105">
        <f>IF($AQ$883&gt;0,'Assumptions (Solar)'!AA12*Model!$AQ$883*('Assumptions (Solar)'!$AO$18*'Assumptions (Solar)'!$AO$2+'Assumptions (Solar)'!$AO$19*'Assumptions (Solar)'!$AO$3)/10^9,0)</f>
        <v>116.76607939471555</v>
      </c>
      <c r="AW1084" s="105"/>
      <c r="AX1084" s="105"/>
      <c r="AY1084" s="105"/>
      <c r="AZ1084" s="105"/>
      <c r="BA1084" s="105"/>
      <c r="BB1084" s="105"/>
      <c r="BC1084" s="105"/>
      <c r="BD1084" s="105"/>
      <c r="BE1084" s="105"/>
      <c r="BF1084" s="105"/>
    </row>
    <row r="1085" spans="1:58" ht="15.75" hidden="1" customHeight="1" outlineLevel="1">
      <c r="A1085" s="401"/>
      <c r="B1085" s="99"/>
      <c r="C1085" s="99"/>
      <c r="D1085" s="99"/>
      <c r="E1085" s="99"/>
      <c r="F1085" s="99"/>
      <c r="G1085" s="99"/>
      <c r="H1085" s="99"/>
      <c r="I1085" s="99"/>
      <c r="J1085" s="99"/>
      <c r="K1085" s="99"/>
      <c r="L1085" s="99"/>
      <c r="M1085" s="99"/>
      <c r="N1085" s="99"/>
      <c r="O1085" s="99"/>
      <c r="P1085" s="99"/>
      <c r="Q1085" s="99"/>
      <c r="R1085" s="99"/>
      <c r="S1085" s="99"/>
      <c r="T1085" s="99"/>
      <c r="U1085" s="99"/>
      <c r="V1085" s="99"/>
      <c r="W1085" s="105"/>
      <c r="X1085" s="105"/>
      <c r="Y1085" s="105"/>
      <c r="Z1085" s="105"/>
      <c r="AA1085" s="105"/>
      <c r="AB1085" s="105"/>
      <c r="AC1085" s="105"/>
      <c r="AD1085" s="105"/>
      <c r="AE1085" s="105"/>
      <c r="AF1085" s="105"/>
      <c r="AG1085" s="105"/>
      <c r="AH1085" s="105"/>
      <c r="AI1085" s="105"/>
      <c r="AJ1085" s="171"/>
      <c r="AK1085" s="105"/>
      <c r="AL1085" s="91"/>
      <c r="AM1085" s="91"/>
      <c r="AN1085" s="91"/>
      <c r="AO1085" s="105"/>
      <c r="AP1085" s="105"/>
      <c r="AQ1085" s="105"/>
      <c r="AR1085" s="105">
        <f>IF($AR$883&gt;0,'Assumptions (Solar)'!V12*Model!$AR$883*('Assumptions (Solar)'!$AP$18*'Assumptions (Solar)'!$AP$2+'Assumptions (Solar)'!$AP$19*'Assumptions (Solar)'!$AP$3)/10^9,0)</f>
        <v>415.01648666463194</v>
      </c>
      <c r="AS1085" s="105">
        <f>IF($AR$883&gt;0,'Assumptions (Solar)'!W12*Model!$AR$883*('Assumptions (Solar)'!$AP$18*'Assumptions (Solar)'!$AP$2+'Assumptions (Solar)'!$AP$19*'Assumptions (Solar)'!$AP$3)/10^9,0)</f>
        <v>664.02637866341104</v>
      </c>
      <c r="AT1085" s="105">
        <f>IF($AR$883&gt;0,'Assumptions (Solar)'!X12*Model!$AR$883*('Assumptions (Solar)'!$AP$18*'Assumptions (Solar)'!$AP$2+'Assumptions (Solar)'!$AP$19*'Assumptions (Solar)'!$AP$3)/10^9,0)</f>
        <v>398.41582719804666</v>
      </c>
      <c r="AU1085" s="105">
        <f>IF($AR$883&gt;0,'Assumptions (Solar)'!Y12*Model!$AR$883*('Assumptions (Solar)'!$AP$18*'Assumptions (Solar)'!$AP$2+'Assumptions (Solar)'!$AP$19*'Assumptions (Solar)'!$AP$3)/10^9,0)</f>
        <v>239.04949631882798</v>
      </c>
      <c r="AV1085" s="105">
        <f>IF($AR$883&gt;0,'Assumptions (Solar)'!Z12*Model!$AR$883*('Assumptions (Solar)'!$AP$18*'Assumptions (Solar)'!$AP$2+'Assumptions (Solar)'!$AP$19*'Assumptions (Solar)'!$AP$3)/10^9,0)</f>
        <v>239.04949631882798</v>
      </c>
      <c r="AW1085" s="105">
        <f>IF($AR$883&gt;0,'Assumptions (Solar)'!AA12*Model!$AR$883*('Assumptions (Solar)'!$AP$18*'Assumptions (Solar)'!$AP$2+'Assumptions (Solar)'!$AP$19*'Assumptions (Solar)'!$AP$3)/10^9,0)</f>
        <v>119.52474815941399</v>
      </c>
      <c r="AX1085" s="105"/>
      <c r="AY1085" s="105"/>
      <c r="AZ1085" s="105"/>
      <c r="BA1085" s="105"/>
      <c r="BB1085" s="105"/>
      <c r="BC1085" s="105"/>
      <c r="BD1085" s="105"/>
      <c r="BE1085" s="105"/>
      <c r="BF1085" s="105"/>
    </row>
    <row r="1086" spans="1:58" ht="15.75" hidden="1" customHeight="1" outlineLevel="1">
      <c r="A1086" s="401"/>
      <c r="B1086" s="99"/>
      <c r="C1086" s="99"/>
      <c r="D1086" s="99"/>
      <c r="E1086" s="99"/>
      <c r="F1086" s="99"/>
      <c r="G1086" s="99"/>
      <c r="H1086" s="99"/>
      <c r="I1086" s="99"/>
      <c r="J1086" s="99"/>
      <c r="K1086" s="99"/>
      <c r="L1086" s="99"/>
      <c r="M1086" s="99"/>
      <c r="N1086" s="99"/>
      <c r="O1086" s="99"/>
      <c r="P1086" s="99"/>
      <c r="Q1086" s="99"/>
      <c r="R1086" s="99"/>
      <c r="S1086" s="99"/>
      <c r="T1086" s="99"/>
      <c r="U1086" s="99"/>
      <c r="V1086" s="99"/>
      <c r="W1086" s="105"/>
      <c r="X1086" s="105"/>
      <c r="Y1086" s="105"/>
      <c r="Z1086" s="105"/>
      <c r="AA1086" s="105"/>
      <c r="AB1086" s="105"/>
      <c r="AC1086" s="105"/>
      <c r="AD1086" s="105"/>
      <c r="AE1086" s="105"/>
      <c r="AF1086" s="105"/>
      <c r="AG1086" s="105"/>
      <c r="AH1086" s="105"/>
      <c r="AI1086" s="105"/>
      <c r="AJ1086" s="171"/>
      <c r="AK1086" s="105"/>
      <c r="AL1086" s="91"/>
      <c r="AM1086" s="91"/>
      <c r="AN1086" s="91"/>
      <c r="AO1086" s="105"/>
      <c r="AP1086" s="105"/>
      <c r="AQ1086" s="105"/>
      <c r="AR1086" s="105"/>
      <c r="AS1086" s="105">
        <f>IF($AS$883&gt;0,'Assumptions (Solar)'!V12*Model!$AS$883*('Assumptions (Solar)'!$AQ$18*'Assumptions (Solar)'!$AQ$2+'Assumptions (Solar)'!$AQ$19*'Assumptions (Solar)'!$AQ$3)/10^9,0)</f>
        <v>424.57590611838856</v>
      </c>
      <c r="AT1086" s="105">
        <f>IF($AS$883&gt;0,'Assumptions (Solar)'!W12*Model!$AS$883*('Assumptions (Solar)'!$AQ$18*'Assumptions (Solar)'!$AQ$2+'Assumptions (Solar)'!$AQ$19*'Assumptions (Solar)'!$AQ$3)/10^9,0)</f>
        <v>679.32144978942165</v>
      </c>
      <c r="AU1086" s="105">
        <f>IF($AS$883&gt;0,'Assumptions (Solar)'!X12*Model!$AS$883*('Assumptions (Solar)'!$AQ$18*'Assumptions (Solar)'!$AQ$2+'Assumptions (Solar)'!$AQ$19*'Assumptions (Solar)'!$AQ$3)/10^9,0)</f>
        <v>407.59286987365294</v>
      </c>
      <c r="AV1086" s="105">
        <f>IF($AS$883&gt;0,'Assumptions (Solar)'!Y12*Model!$AS$883*('Assumptions (Solar)'!$AQ$18*'Assumptions (Solar)'!$AQ$2+'Assumptions (Solar)'!$AQ$19*'Assumptions (Solar)'!$AQ$3)/10^9,0)</f>
        <v>244.55572192419177</v>
      </c>
      <c r="AW1086" s="105">
        <f>IF($AS$883&gt;0,'Assumptions (Solar)'!Z12*Model!$AS$883*('Assumptions (Solar)'!$AQ$18*'Assumptions (Solar)'!$AQ$2+'Assumptions (Solar)'!$AQ$19*'Assumptions (Solar)'!$AQ$3)/10^9,0)</f>
        <v>244.55572192419177</v>
      </c>
      <c r="AX1086" s="105">
        <f>IF($AS$883&gt;0,'Assumptions (Solar)'!AA12*Model!$AS$883*('Assumptions (Solar)'!$AQ$18*'Assumptions (Solar)'!$AQ$2+'Assumptions (Solar)'!$AQ$19*'Assumptions (Solar)'!$AQ$3)/10^9,0)</f>
        <v>122.27786096209589</v>
      </c>
      <c r="AY1086" s="105"/>
      <c r="AZ1086" s="105"/>
      <c r="BA1086" s="105"/>
      <c r="BB1086" s="105"/>
      <c r="BC1086" s="105"/>
      <c r="BD1086" s="105"/>
      <c r="BE1086" s="105"/>
      <c r="BF1086" s="105"/>
    </row>
    <row r="1087" spans="1:58" ht="15.75" hidden="1" customHeight="1" outlineLevel="1">
      <c r="A1087" s="401"/>
      <c r="B1087" s="99"/>
      <c r="C1087" s="99"/>
      <c r="D1087" s="99"/>
      <c r="E1087" s="99"/>
      <c r="F1087" s="99"/>
      <c r="G1087" s="99"/>
      <c r="H1087" s="99"/>
      <c r="I1087" s="99"/>
      <c r="J1087" s="99"/>
      <c r="K1087" s="99"/>
      <c r="L1087" s="99"/>
      <c r="M1087" s="99"/>
      <c r="N1087" s="99"/>
      <c r="O1087" s="99"/>
      <c r="P1087" s="99"/>
      <c r="Q1087" s="99"/>
      <c r="R1087" s="99"/>
      <c r="S1087" s="99"/>
      <c r="T1087" s="99"/>
      <c r="U1087" s="99"/>
      <c r="V1087" s="99"/>
      <c r="W1087" s="105"/>
      <c r="X1087" s="105"/>
      <c r="Y1087" s="105"/>
      <c r="Z1087" s="105"/>
      <c r="AA1087" s="105"/>
      <c r="AB1087" s="105"/>
      <c r="AC1087" s="105"/>
      <c r="AD1087" s="105"/>
      <c r="AE1087" s="105"/>
      <c r="AF1087" s="105"/>
      <c r="AG1087" s="105"/>
      <c r="AH1087" s="105"/>
      <c r="AI1087" s="105"/>
      <c r="AJ1087" s="171"/>
      <c r="AK1087" s="105"/>
      <c r="AL1087" s="91"/>
      <c r="AM1087" s="91"/>
      <c r="AN1087" s="91"/>
      <c r="AO1087" s="105"/>
      <c r="AP1087" s="105"/>
      <c r="AQ1087" s="105"/>
      <c r="AR1087" s="105"/>
      <c r="AS1087" s="105"/>
      <c r="AT1087" s="105">
        <f>IF($AT$883&gt;0,'Assumptions (Solar)'!V12*Model!$AT$883*('Assumptions (Solar)'!$AR$18*'Assumptions (Solar)'!$AR$2+'Assumptions (Solar)'!$AR$19*'Assumptions (Solar)'!$AR$3)/10^9,0)</f>
        <v>434.6256957926721</v>
      </c>
      <c r="AU1087" s="105">
        <f>IF($AT$883&gt;0,'Assumptions (Solar)'!W12*Model!$AT$883*('Assumptions (Solar)'!$AR$18*'Assumptions (Solar)'!$AR$2+'Assumptions (Solar)'!$AR$19*'Assumptions (Solar)'!$AR$3)/10^9,0)</f>
        <v>695.40111326827537</v>
      </c>
      <c r="AV1087" s="105">
        <f>IF($AT$883&gt;0,'Assumptions (Solar)'!X12*Model!$AT$883*('Assumptions (Solar)'!$AR$18*'Assumptions (Solar)'!$AR$2+'Assumptions (Solar)'!$AR$19*'Assumptions (Solar)'!$AR$3)/10^9,0)</f>
        <v>417.2406679609652</v>
      </c>
      <c r="AW1087" s="105">
        <f>IF($AT$883&gt;0,'Assumptions (Solar)'!Y12*Model!$AT$883*('Assumptions (Solar)'!$AR$18*'Assumptions (Solar)'!$AR$2+'Assumptions (Solar)'!$AR$19*'Assumptions (Solar)'!$AR$3)/10^9,0)</f>
        <v>250.34440077657911</v>
      </c>
      <c r="AX1087" s="105">
        <f>IF($AT$883&gt;0,'Assumptions (Solar)'!Z12*Model!$AT$883*('Assumptions (Solar)'!$AR$18*'Assumptions (Solar)'!$AR$2+'Assumptions (Solar)'!$AR$19*'Assumptions (Solar)'!$AR$3)/10^9,0)</f>
        <v>250.34440077657911</v>
      </c>
      <c r="AY1087" s="105">
        <f>IF($AT$883&gt;0,'Assumptions (Solar)'!AA12*Model!$AT$883*('Assumptions (Solar)'!$AR$18*'Assumptions (Solar)'!$AR$2+'Assumptions (Solar)'!$AR$19*'Assumptions (Solar)'!$AR$3)/10^9,0)</f>
        <v>125.17220038828955</v>
      </c>
      <c r="AZ1087" s="105"/>
      <c r="BA1087" s="105"/>
      <c r="BB1087" s="105"/>
      <c r="BC1087" s="105"/>
      <c r="BD1087" s="105"/>
      <c r="BE1087" s="105"/>
      <c r="BF1087" s="105"/>
    </row>
    <row r="1088" spans="1:58" ht="15.75" hidden="1" customHeight="1" outlineLevel="1">
      <c r="A1088" s="401"/>
      <c r="B1088" s="99"/>
      <c r="C1088" s="99"/>
      <c r="D1088" s="99"/>
      <c r="E1088" s="99"/>
      <c r="F1088" s="99"/>
      <c r="G1088" s="99"/>
      <c r="H1088" s="99"/>
      <c r="I1088" s="99"/>
      <c r="J1088" s="99"/>
      <c r="K1088" s="99"/>
      <c r="L1088" s="99"/>
      <c r="M1088" s="99"/>
      <c r="N1088" s="99"/>
      <c r="O1088" s="99"/>
      <c r="P1088" s="99"/>
      <c r="Q1088" s="99"/>
      <c r="R1088" s="99"/>
      <c r="S1088" s="99"/>
      <c r="T1088" s="99"/>
      <c r="U1088" s="99"/>
      <c r="V1088" s="99"/>
      <c r="W1088" s="105"/>
      <c r="X1088" s="105"/>
      <c r="Y1088" s="105"/>
      <c r="Z1088" s="105"/>
      <c r="AA1088" s="105"/>
      <c r="AB1088" s="105"/>
      <c r="AC1088" s="105"/>
      <c r="AD1088" s="105"/>
      <c r="AE1088" s="105"/>
      <c r="AF1088" s="105"/>
      <c r="AG1088" s="105"/>
      <c r="AH1088" s="105"/>
      <c r="AI1088" s="105"/>
      <c r="AJ1088" s="171"/>
      <c r="AK1088" s="105"/>
      <c r="AL1088" s="91"/>
      <c r="AM1088" s="91"/>
      <c r="AN1088" s="91"/>
      <c r="AO1088" s="105"/>
      <c r="AP1088" s="105"/>
      <c r="AQ1088" s="105"/>
      <c r="AR1088" s="105"/>
      <c r="AS1088" s="105"/>
      <c r="AT1088" s="105"/>
      <c r="AU1088" s="105">
        <f>IF($AU$883&gt;0,'Assumptions (Solar)'!V12*Model!$AU$883*('Assumptions (Solar)'!$AS$18*'Assumptions (Solar)'!$AS$2+'Assumptions (Solar)'!$AS$19*'Assumptions (Solar)'!$AS$3)/10^9,0)</f>
        <v>445.14510836981407</v>
      </c>
      <c r="AV1088" s="105">
        <f>IF($AU$883&gt;0,'Assumptions (Solar)'!W12*Model!$AU$883*('Assumptions (Solar)'!$AS$18*'Assumptions (Solar)'!$AS$2+'Assumptions (Solar)'!$AS$19*'Assumptions (Solar)'!$AS$3)/10^9,0)</f>
        <v>712.23217339170253</v>
      </c>
      <c r="AW1088" s="105">
        <f>IF($AU$883&gt;0,'Assumptions (Solar)'!X12*Model!$AU$883*('Assumptions (Solar)'!$AS$18*'Assumptions (Solar)'!$AS$2+'Assumptions (Solar)'!$AS$19*'Assumptions (Solar)'!$AS$3)/10^9,0)</f>
        <v>427.33930403502148</v>
      </c>
      <c r="AX1088" s="105">
        <f>IF($AU$883&gt;0,'Assumptions (Solar)'!Y12*Model!$AU$883*('Assumptions (Solar)'!$AS$18*'Assumptions (Solar)'!$AS$2+'Assumptions (Solar)'!$AS$19*'Assumptions (Solar)'!$AS$3)/10^9,0)</f>
        <v>256.40358242101291</v>
      </c>
      <c r="AY1088" s="105">
        <f>IF($AU$883&gt;0,'Assumptions (Solar)'!Z12*Model!$AU$883*('Assumptions (Solar)'!$AS$18*'Assumptions (Solar)'!$AS$2+'Assumptions (Solar)'!$AS$19*'Assumptions (Solar)'!$AS$3)/10^9,0)</f>
        <v>256.40358242101291</v>
      </c>
      <c r="AZ1088" s="105">
        <f>IF($AU$883&gt;0,'Assumptions (Solar)'!AA12*Model!$AU$883*('Assumptions (Solar)'!$AS$18*'Assumptions (Solar)'!$AS$2+'Assumptions (Solar)'!$AS$19*'Assumptions (Solar)'!$AS$3)/10^9,0)</f>
        <v>128.20179121050646</v>
      </c>
      <c r="BA1088" s="105"/>
      <c r="BB1088" s="105"/>
      <c r="BC1088" s="105"/>
      <c r="BD1088" s="105"/>
      <c r="BE1088" s="105"/>
      <c r="BF1088" s="105"/>
    </row>
    <row r="1089" spans="1:58" ht="15.75" hidden="1" customHeight="1" outlineLevel="1">
      <c r="A1089" s="401"/>
      <c r="B1089" s="99"/>
      <c r="C1089" s="99"/>
      <c r="D1089" s="99"/>
      <c r="E1089" s="99"/>
      <c r="F1089" s="99"/>
      <c r="G1089" s="99"/>
      <c r="H1089" s="99"/>
      <c r="I1089" s="99"/>
      <c r="J1089" s="99"/>
      <c r="K1089" s="99"/>
      <c r="L1089" s="99"/>
      <c r="M1089" s="99"/>
      <c r="N1089" s="99"/>
      <c r="O1089" s="99"/>
      <c r="P1089" s="99"/>
      <c r="Q1089" s="99"/>
      <c r="R1089" s="99"/>
      <c r="S1089" s="99"/>
      <c r="T1089" s="99"/>
      <c r="U1089" s="99"/>
      <c r="V1089" s="99"/>
      <c r="W1089" s="105"/>
      <c r="X1089" s="105"/>
      <c r="Y1089" s="105"/>
      <c r="Z1089" s="105"/>
      <c r="AA1089" s="105"/>
      <c r="AB1089" s="105"/>
      <c r="AC1089" s="105"/>
      <c r="AD1089" s="105"/>
      <c r="AE1089" s="105"/>
      <c r="AF1089" s="105"/>
      <c r="AG1089" s="105"/>
      <c r="AH1089" s="105"/>
      <c r="AI1089" s="105"/>
      <c r="AJ1089" s="171"/>
      <c r="AK1089" s="105"/>
      <c r="AL1089" s="91"/>
      <c r="AM1089" s="91"/>
      <c r="AN1089" s="91"/>
      <c r="AO1089" s="105"/>
      <c r="AP1089" s="105"/>
      <c r="AQ1089" s="105"/>
      <c r="AR1089" s="105"/>
      <c r="AS1089" s="105"/>
      <c r="AT1089" s="105"/>
      <c r="AU1089" s="105"/>
      <c r="AV1089" s="105">
        <f>IF($AV$883&gt;0,'Assumptions (Solar)'!V12*Model!$AV$883*('Assumptions (Solar)'!$AT$18*'Assumptions (Solar)'!$AT$2+'Assumptions (Solar)'!$AT$19*'Assumptions (Solar)'!$AT$3)/10^9,0)</f>
        <v>456.53715189593203</v>
      </c>
      <c r="AW1089" s="105">
        <f>IF($AV$883&gt;0,'Assumptions (Solar)'!W12*Model!$AV$883*('Assumptions (Solar)'!$AT$18*'Assumptions (Solar)'!$AT$2+'Assumptions (Solar)'!$AT$19*'Assumptions (Solar)'!$AT$3)/10^9,0)</f>
        <v>730.4594430334912</v>
      </c>
      <c r="AX1089" s="105">
        <f>IF($AV$883&gt;0,'Assumptions (Solar)'!X12*Model!$AV$883*('Assumptions (Solar)'!$AT$18*'Assumptions (Solar)'!$AT$2+'Assumptions (Solar)'!$AT$19*'Assumptions (Solar)'!$AT$3)/10^9,0)</f>
        <v>438.27566582009473</v>
      </c>
      <c r="AY1089" s="105">
        <f>IF($AV$883&gt;0,'Assumptions (Solar)'!Y12*Model!$AV$883*('Assumptions (Solar)'!$AT$18*'Assumptions (Solar)'!$AT$2+'Assumptions (Solar)'!$AT$19*'Assumptions (Solar)'!$AT$3)/10^9,0)</f>
        <v>262.9653994920568</v>
      </c>
      <c r="AZ1089" s="105">
        <f>IF($AV$883&gt;0,'Assumptions (Solar)'!Z12*Model!$AV$883*('Assumptions (Solar)'!$AT$18*'Assumptions (Solar)'!$AT$2+'Assumptions (Solar)'!$AT$19*'Assumptions (Solar)'!$AT$3)/10^9,0)</f>
        <v>262.9653994920568</v>
      </c>
      <c r="BA1089" s="105">
        <f>IF($AV$883&gt;0,'Assumptions (Solar)'!AA12*Model!$AV$883*('Assumptions (Solar)'!$AT$18*'Assumptions (Solar)'!$AT$2+'Assumptions (Solar)'!$AT$19*'Assumptions (Solar)'!$AT$3)/10^9,0)</f>
        <v>131.4826997460284</v>
      </c>
      <c r="BB1089" s="105"/>
      <c r="BC1089" s="105"/>
      <c r="BD1089" s="105"/>
      <c r="BE1089" s="105"/>
      <c r="BF1089" s="105"/>
    </row>
    <row r="1090" spans="1:58" ht="15.75" hidden="1" customHeight="1" outlineLevel="1">
      <c r="A1090" s="401"/>
      <c r="B1090" s="99"/>
      <c r="C1090" s="99"/>
      <c r="D1090" s="99"/>
      <c r="E1090" s="99"/>
      <c r="F1090" s="99"/>
      <c r="G1090" s="99"/>
      <c r="H1090" s="99"/>
      <c r="I1090" s="99"/>
      <c r="J1090" s="99"/>
      <c r="K1090" s="99"/>
      <c r="L1090" s="99"/>
      <c r="M1090" s="99"/>
      <c r="N1090" s="99"/>
      <c r="O1090" s="99"/>
      <c r="P1090" s="99"/>
      <c r="Q1090" s="99"/>
      <c r="R1090" s="99"/>
      <c r="S1090" s="99"/>
      <c r="T1090" s="99"/>
      <c r="U1090" s="99"/>
      <c r="V1090" s="99"/>
      <c r="W1090" s="105"/>
      <c r="X1090" s="105"/>
      <c r="Y1090" s="105"/>
      <c r="Z1090" s="105"/>
      <c r="AA1090" s="105"/>
      <c r="AB1090" s="105"/>
      <c r="AC1090" s="105"/>
      <c r="AD1090" s="105"/>
      <c r="AE1090" s="105"/>
      <c r="AF1090" s="105"/>
      <c r="AG1090" s="105"/>
      <c r="AH1090" s="105"/>
      <c r="AI1090" s="105"/>
      <c r="AJ1090" s="171"/>
      <c r="AK1090" s="105"/>
      <c r="AL1090" s="91"/>
      <c r="AM1090" s="91"/>
      <c r="AN1090" s="91"/>
      <c r="AO1090" s="105"/>
      <c r="AP1090" s="105"/>
      <c r="AQ1090" s="105"/>
      <c r="AR1090" s="105"/>
      <c r="AS1090" s="105"/>
      <c r="AT1090" s="105"/>
      <c r="AU1090" s="105"/>
      <c r="AV1090" s="105"/>
      <c r="AW1090" s="105">
        <f>IF($AW$883&gt;0,'Assumptions (Solar)'!V12*Model!$AW$883*('Assumptions (Solar)'!$AU$18*'Assumptions (Solar)'!$AU$2+'Assumptions (Solar)'!$AU$19*'Assumptions (Solar)'!$AU$3)/10^9,0)</f>
        <v>466.26388368961926</v>
      </c>
      <c r="AX1090" s="105">
        <f>IF($AW$883&gt;0,'Assumptions (Solar)'!W12*Model!$AW$883*('Assumptions (Solar)'!$AU$18*'Assumptions (Solar)'!$AU$2+'Assumptions (Solar)'!$AU$19*'Assumptions (Solar)'!$AU$3)/10^9,0)</f>
        <v>746.02221390339071</v>
      </c>
      <c r="AY1090" s="105">
        <f>IF($AW$883&gt;0,'Assumptions (Solar)'!X12*Model!$AW$883*('Assumptions (Solar)'!$AU$18*'Assumptions (Solar)'!$AU$2+'Assumptions (Solar)'!$AU$19*'Assumptions (Solar)'!$AU$3)/10^9,0)</f>
        <v>447.61332834203449</v>
      </c>
      <c r="AZ1090" s="105">
        <f>IF($AW$883&gt;0,'Assumptions (Solar)'!Y12*Model!$AW$883*('Assumptions (Solar)'!$AU$18*'Assumptions (Solar)'!$AU$2+'Assumptions (Solar)'!$AU$19*'Assumptions (Solar)'!$AU$3)/10^9,0)</f>
        <v>268.56799700522066</v>
      </c>
      <c r="BA1090" s="105">
        <f>IF($AW$883&gt;0,'Assumptions (Solar)'!Z12*Model!$AW$883*('Assumptions (Solar)'!$AU$18*'Assumptions (Solar)'!$AU$2+'Assumptions (Solar)'!$AU$19*'Assumptions (Solar)'!$AU$3)/10^9,0)</f>
        <v>268.56799700522066</v>
      </c>
      <c r="BB1090" s="105">
        <f>IF($AW$883&gt;0,'Assumptions (Solar)'!AA12*Model!$AW$883*('Assumptions (Solar)'!$AU$18*'Assumptions (Solar)'!$AU$2+'Assumptions (Solar)'!$AU$19*'Assumptions (Solar)'!$AU$3)/10^9,0)</f>
        <v>134.28399850261033</v>
      </c>
      <c r="BC1090" s="105"/>
      <c r="BD1090" s="105"/>
      <c r="BE1090" s="105"/>
      <c r="BF1090" s="105"/>
    </row>
    <row r="1091" spans="1:58" ht="15.75" hidden="1" customHeight="1" outlineLevel="1">
      <c r="A1091" s="401"/>
      <c r="B1091" s="99"/>
      <c r="C1091" s="99"/>
      <c r="D1091" s="99"/>
      <c r="E1091" s="99"/>
      <c r="F1091" s="99"/>
      <c r="G1091" s="99"/>
      <c r="H1091" s="99"/>
      <c r="I1091" s="99"/>
      <c r="J1091" s="99"/>
      <c r="K1091" s="99"/>
      <c r="L1091" s="99"/>
      <c r="M1091" s="99"/>
      <c r="N1091" s="99"/>
      <c r="O1091" s="99"/>
      <c r="P1091" s="99"/>
      <c r="Q1091" s="99"/>
      <c r="R1091" s="99"/>
      <c r="S1091" s="99"/>
      <c r="T1091" s="99"/>
      <c r="U1091" s="99"/>
      <c r="V1091" s="99"/>
      <c r="W1091" s="105"/>
      <c r="X1091" s="105"/>
      <c r="Y1091" s="105"/>
      <c r="Z1091" s="105"/>
      <c r="AA1091" s="105"/>
      <c r="AB1091" s="105"/>
      <c r="AC1091" s="105"/>
      <c r="AD1091" s="105"/>
      <c r="AE1091" s="105"/>
      <c r="AF1091" s="105"/>
      <c r="AG1091" s="105"/>
      <c r="AH1091" s="105"/>
      <c r="AI1091" s="105"/>
      <c r="AJ1091" s="171"/>
      <c r="AK1091" s="105"/>
      <c r="AL1091" s="91"/>
      <c r="AM1091" s="91"/>
      <c r="AN1091" s="91"/>
      <c r="AO1091" s="105"/>
      <c r="AP1091" s="105"/>
      <c r="AQ1091" s="105"/>
      <c r="AR1091" s="105"/>
      <c r="AS1091" s="105"/>
      <c r="AT1091" s="105"/>
      <c r="AU1091" s="105"/>
      <c r="AV1091" s="105"/>
      <c r="AW1091" s="105"/>
      <c r="AX1091" s="105">
        <f>IF($AX$883&gt;0,'Assumptions (Solar)'!V12*Model!$AX$883*('Assumptions (Solar)'!$AV$18*'Assumptions (Solar)'!$AV$2+'Assumptions (Solar)'!$AV$19*'Assumptions (Solar)'!$AV$3)/10^9,0)</f>
        <v>475.01712780855308</v>
      </c>
      <c r="AY1091" s="105">
        <f>IF($AX$883&gt;0,'Assumptions (Solar)'!W12*Model!$AX$883*('Assumptions (Solar)'!$AV$18*'Assumptions (Solar)'!$AV$2+'Assumptions (Solar)'!$AV$19*'Assumptions (Solar)'!$AV$3)/10^9,0)</f>
        <v>760.02740449368491</v>
      </c>
      <c r="AZ1091" s="105">
        <f>IF($AX$883&gt;0,'Assumptions (Solar)'!X12*Model!$AX$883*('Assumptions (Solar)'!$AV$18*'Assumptions (Solar)'!$AV$2+'Assumptions (Solar)'!$AV$19*'Assumptions (Solar)'!$AV$3)/10^9,0)</f>
        <v>456.01644269621096</v>
      </c>
      <c r="BA1091" s="105">
        <f>IF($AX$883&gt;0,'Assumptions (Solar)'!Y12*Model!$AX$883*('Assumptions (Solar)'!$AV$18*'Assumptions (Solar)'!$AV$2+'Assumptions (Solar)'!$AV$19*'Assumptions (Solar)'!$AV$3)/10^9,0)</f>
        <v>273.60986561772654</v>
      </c>
      <c r="BB1091" s="105">
        <f>IF($AX$883&gt;0,'Assumptions (Solar)'!Z12*Model!$AX$883*('Assumptions (Solar)'!$AV$18*'Assumptions (Solar)'!$AV$2+'Assumptions (Solar)'!$AV$19*'Assumptions (Solar)'!$AV$3)/10^9,0)</f>
        <v>273.60986561772654</v>
      </c>
      <c r="BC1091" s="105">
        <f>IF($AX$883&gt;0,'Assumptions (Solar)'!AA12*Model!$AX$883*('Assumptions (Solar)'!$AV$18*'Assumptions (Solar)'!$AV$2+'Assumptions (Solar)'!$AV$19*'Assumptions (Solar)'!$AV$3)/10^9,0)</f>
        <v>136.80493280886327</v>
      </c>
      <c r="BD1091" s="105"/>
      <c r="BE1091" s="105"/>
      <c r="BF1091" s="105"/>
    </row>
    <row r="1092" spans="1:58" ht="15.75" hidden="1" customHeight="1" outlineLevel="1">
      <c r="A1092" s="401"/>
      <c r="B1092" s="99"/>
      <c r="C1092" s="99"/>
      <c r="D1092" s="99"/>
      <c r="E1092" s="99"/>
      <c r="F1092" s="99"/>
      <c r="G1092" s="99"/>
      <c r="H1092" s="99"/>
      <c r="I1092" s="99"/>
      <c r="J1092" s="99"/>
      <c r="K1092" s="99"/>
      <c r="L1092" s="99"/>
      <c r="M1092" s="99"/>
      <c r="N1092" s="99"/>
      <c r="O1092" s="99"/>
      <c r="P1092" s="99"/>
      <c r="Q1092" s="99"/>
      <c r="R1092" s="99"/>
      <c r="S1092" s="99"/>
      <c r="T1092" s="99"/>
      <c r="U1092" s="99"/>
      <c r="V1092" s="99"/>
      <c r="W1092" s="105"/>
      <c r="X1092" s="105"/>
      <c r="Y1092" s="105"/>
      <c r="Z1092" s="105"/>
      <c r="AA1092" s="105"/>
      <c r="AB1092" s="105"/>
      <c r="AC1092" s="105"/>
      <c r="AD1092" s="105"/>
      <c r="AE1092" s="105"/>
      <c r="AF1092" s="105"/>
      <c r="AG1092" s="105"/>
      <c r="AH1092" s="105"/>
      <c r="AI1092" s="105"/>
      <c r="AJ1092" s="171"/>
      <c r="AK1092" s="105"/>
      <c r="AL1092" s="91"/>
      <c r="AM1092" s="91"/>
      <c r="AN1092" s="91"/>
      <c r="AO1092" s="105"/>
      <c r="AP1092" s="105"/>
      <c r="AQ1092" s="105"/>
      <c r="AR1092" s="105"/>
      <c r="AS1092" s="105"/>
      <c r="AT1092" s="105"/>
      <c r="AU1092" s="105"/>
      <c r="AV1092" s="105"/>
      <c r="AW1092" s="105"/>
      <c r="AX1092" s="105"/>
      <c r="AY1092" s="105">
        <f>IF($AY$883&gt;0,'Assumptions (Solar)'!V12*Model!$AY$883*('Assumptions (Solar)'!$AW$18*'Assumptions (Solar)'!$AW$2+'Assumptions (Solar)'!$AW$19*'Assumptions (Solar)'!$AW$3)/10^9,0)</f>
        <v>488.90346893197608</v>
      </c>
      <c r="AZ1092" s="105">
        <f>IF($AY$883&gt;0,'Assumptions (Solar)'!W12*Model!$AY$883*('Assumptions (Solar)'!$AW$18*'Assumptions (Solar)'!$AW$2+'Assumptions (Solar)'!$AW$19*'Assumptions (Solar)'!$AW$3)/10^9,0)</f>
        <v>782.24555029116163</v>
      </c>
      <c r="BA1092" s="105">
        <f>IF($AY$883&gt;0,'Assumptions (Solar)'!X12*Model!$AY$883*('Assumptions (Solar)'!$AW$18*'Assumptions (Solar)'!$AW$2+'Assumptions (Solar)'!$AW$19*'Assumptions (Solar)'!$AW$3)/10^9,0)</f>
        <v>469.34733017469705</v>
      </c>
      <c r="BB1092" s="105">
        <f>IF($AY$883&gt;0,'Assumptions (Solar)'!Y12*Model!$AY$883*('Assumptions (Solar)'!$AW$18*'Assumptions (Solar)'!$AW$2+'Assumptions (Solar)'!$AW$19*'Assumptions (Solar)'!$AW$3)/10^9,0)</f>
        <v>281.60839810481826</v>
      </c>
      <c r="BC1092" s="105">
        <f>IF($AY$883&gt;0,'Assumptions (Solar)'!Z12*Model!$AY$883*('Assumptions (Solar)'!$AW$18*'Assumptions (Solar)'!$AW$2+'Assumptions (Solar)'!$AW$19*'Assumptions (Solar)'!$AW$3)/10^9,0)</f>
        <v>281.60839810481826</v>
      </c>
      <c r="BD1092" s="105">
        <f>IF($AY$883&gt;0,'Assumptions (Solar)'!AA12*Model!$AY$883*('Assumptions (Solar)'!$AW$18*'Assumptions (Solar)'!$AW$2+'Assumptions (Solar)'!$AW$19*'Assumptions (Solar)'!$AW$3)/10^9,0)</f>
        <v>140.80419905240913</v>
      </c>
      <c r="BE1092" s="105"/>
      <c r="BF1092" s="105"/>
    </row>
    <row r="1093" spans="1:58" ht="15.75" hidden="1" customHeight="1" outlineLevel="1">
      <c r="A1093" s="401"/>
      <c r="B1093" s="99"/>
      <c r="C1093" s="99"/>
      <c r="D1093" s="99"/>
      <c r="E1093" s="99"/>
      <c r="F1093" s="99"/>
      <c r="G1093" s="99"/>
      <c r="H1093" s="99"/>
      <c r="I1093" s="99"/>
      <c r="J1093" s="99"/>
      <c r="K1093" s="99"/>
      <c r="L1093" s="99"/>
      <c r="M1093" s="99"/>
      <c r="N1093" s="99"/>
      <c r="O1093" s="99"/>
      <c r="P1093" s="99"/>
      <c r="Q1093" s="99"/>
      <c r="R1093" s="99"/>
      <c r="S1093" s="99"/>
      <c r="T1093" s="99"/>
      <c r="U1093" s="99"/>
      <c r="V1093" s="99"/>
      <c r="W1093" s="105"/>
      <c r="X1093" s="105"/>
      <c r="Y1093" s="105"/>
      <c r="Z1093" s="105"/>
      <c r="AA1093" s="105"/>
      <c r="AB1093" s="105"/>
      <c r="AC1093" s="105"/>
      <c r="AD1093" s="105"/>
      <c r="AE1093" s="105"/>
      <c r="AF1093" s="105"/>
      <c r="AG1093" s="105"/>
      <c r="AH1093" s="105"/>
      <c r="AI1093" s="105"/>
      <c r="AJ1093" s="171"/>
      <c r="AK1093" s="105"/>
      <c r="AL1093" s="91"/>
      <c r="AM1093" s="91"/>
      <c r="AN1093" s="91"/>
      <c r="AO1093" s="105"/>
      <c r="AP1093" s="105"/>
      <c r="AQ1093" s="105"/>
      <c r="AR1093" s="105"/>
      <c r="AS1093" s="105"/>
      <c r="AT1093" s="105"/>
      <c r="AU1093" s="105"/>
      <c r="AV1093" s="105"/>
      <c r="AW1093" s="105"/>
      <c r="AX1093" s="105"/>
      <c r="AY1093" s="105"/>
      <c r="AZ1093" s="105">
        <f>IF($AZ$883&gt;0,'Assumptions (Solar)'!V12*Model!$AZ$883*('Assumptions (Solar)'!$AX$18*'Assumptions (Solar)'!$AX$2+'Assumptions (Solar)'!$AX$19*'Assumptions (Solar)'!$AX$3)/10^9,0)</f>
        <v>497.39481922824643</v>
      </c>
      <c r="BA1093" s="105">
        <f>IF($AZ$883&gt;0,'Assumptions (Solar)'!W12*Model!$AZ$883*('Assumptions (Solar)'!$AX$18*'Assumptions (Solar)'!$AX$2+'Assumptions (Solar)'!$AX$19*'Assumptions (Solar)'!$AX$3)/10^9,0)</f>
        <v>795.83171076519432</v>
      </c>
      <c r="BB1093" s="105">
        <f>IF($AZ$883&gt;0,'Assumptions (Solar)'!X12*Model!$AZ$883*('Assumptions (Solar)'!$AX$18*'Assumptions (Solar)'!$AX$2+'Assumptions (Solar)'!$AX$19*'Assumptions (Solar)'!$AX$3)/10^9,0)</f>
        <v>477.49902645911658</v>
      </c>
      <c r="BC1093" s="105">
        <f>IF($AZ$883&gt;0,'Assumptions (Solar)'!Y12*Model!$AZ$883*('Assumptions (Solar)'!$AX$18*'Assumptions (Solar)'!$AX$2+'Assumptions (Solar)'!$AX$19*'Assumptions (Solar)'!$AX$3)/10^9,0)</f>
        <v>286.49941587546999</v>
      </c>
      <c r="BD1093" s="105">
        <f>IF($AZ$883&gt;0,'Assumptions (Solar)'!Z12*Model!$AZ$883*('Assumptions (Solar)'!$AX$18*'Assumptions (Solar)'!$AX$2+'Assumptions (Solar)'!$AX$19*'Assumptions (Solar)'!$AX$3)/10^9,0)</f>
        <v>286.49941587546999</v>
      </c>
      <c r="BE1093" s="105">
        <f>IF($AZ$883&gt;0,'Assumptions (Solar)'!AA12*Model!$AZ$883*('Assumptions (Solar)'!$AX$18*'Assumptions (Solar)'!$AX$2+'Assumptions (Solar)'!$AX$19*'Assumptions (Solar)'!$AX$3)/10^9,0)</f>
        <v>143.249707937735</v>
      </c>
      <c r="BF1093" s="105"/>
    </row>
    <row r="1094" spans="1:58" ht="15.75" hidden="1" customHeight="1" outlineLevel="1">
      <c r="A1094" s="401"/>
      <c r="B1094" s="99"/>
      <c r="C1094" s="99"/>
      <c r="D1094" s="99"/>
      <c r="E1094" s="99"/>
      <c r="F1094" s="99"/>
      <c r="G1094" s="99"/>
      <c r="H1094" s="99"/>
      <c r="I1094" s="99"/>
      <c r="J1094" s="99"/>
      <c r="K1094" s="99"/>
      <c r="L1094" s="99"/>
      <c r="M1094" s="99"/>
      <c r="N1094" s="99"/>
      <c r="O1094" s="99"/>
      <c r="P1094" s="99"/>
      <c r="Q1094" s="99"/>
      <c r="R1094" s="99"/>
      <c r="S1094" s="99"/>
      <c r="T1094" s="99"/>
      <c r="U1094" s="99"/>
      <c r="V1094" s="99"/>
      <c r="W1094" s="105"/>
      <c r="X1094" s="105"/>
      <c r="Y1094" s="105"/>
      <c r="Z1094" s="105"/>
      <c r="AA1094" s="105"/>
      <c r="AB1094" s="105"/>
      <c r="AC1094" s="105"/>
      <c r="AD1094" s="105"/>
      <c r="AE1094" s="105"/>
      <c r="AF1094" s="105"/>
      <c r="AG1094" s="105"/>
      <c r="AH1094" s="105"/>
      <c r="AI1094" s="105"/>
      <c r="AJ1094" s="171"/>
      <c r="AK1094" s="105"/>
      <c r="AL1094" s="91"/>
      <c r="AM1094" s="91"/>
      <c r="AN1094" s="91"/>
      <c r="AO1094" s="105"/>
      <c r="AP1094" s="105"/>
      <c r="AQ1094" s="105"/>
      <c r="AR1094" s="105"/>
      <c r="AS1094" s="105"/>
      <c r="AT1094" s="105"/>
      <c r="AU1094" s="105"/>
      <c r="AV1094" s="105"/>
      <c r="AW1094" s="105"/>
      <c r="AX1094" s="105"/>
      <c r="AY1094" s="105"/>
      <c r="AZ1094" s="105"/>
      <c r="BA1094" s="105">
        <f>IF($BA$883&gt;0,'Assumptions (Solar)'!V12*Model!$BA$883*('Assumptions (Solar)'!$AY$18*'Assumptions (Solar)'!$AY$2+'Assumptions (Solar)'!$AY$19*'Assumptions (Solar)'!$AY$3)/10^9,0)</f>
        <v>505.66369950140307</v>
      </c>
      <c r="BB1094" s="105">
        <f>IF($BA$883&gt;0,'Assumptions (Solar)'!W12*Model!$BA$883*('Assumptions (Solar)'!$AY$18*'Assumptions (Solar)'!$AY$2+'Assumptions (Solar)'!$AY$19*'Assumptions (Solar)'!$AY$3)/10^9,0)</f>
        <v>809.06191920224489</v>
      </c>
      <c r="BC1094" s="105">
        <f>IF($BA$883&gt;0,'Assumptions (Solar)'!X12*Model!$BA$883*('Assumptions (Solar)'!$AY$18*'Assumptions (Solar)'!$AY$2+'Assumptions (Solar)'!$AY$19*'Assumptions (Solar)'!$AY$3)/10^9,0)</f>
        <v>485.437151521347</v>
      </c>
      <c r="BD1094" s="105">
        <f>IF($BA$883&gt;0,'Assumptions (Solar)'!Y12*Model!$BA$883*('Assumptions (Solar)'!$AY$18*'Assumptions (Solar)'!$AY$2+'Assumptions (Solar)'!$AY$19*'Assumptions (Solar)'!$AY$3)/10^9,0)</f>
        <v>291.26229091280817</v>
      </c>
      <c r="BE1094" s="105">
        <f>IF($BA$883&gt;0,'Assumptions (Solar)'!Z12*Model!$BA$883*('Assumptions (Solar)'!$AY$18*'Assumptions (Solar)'!$AY$2+'Assumptions (Solar)'!$AY$19*'Assumptions (Solar)'!$AY$3)/10^9,0)</f>
        <v>291.26229091280817</v>
      </c>
      <c r="BF1094" s="105">
        <f>IF($BA$883&gt;0,'Assumptions (Solar)'!AA12*Model!$BA$883*('Assumptions (Solar)'!$AY$18*'Assumptions (Solar)'!$AY$2+'Assumptions (Solar)'!$AY$19*'Assumptions (Solar)'!$AY$3)/10^9,0)</f>
        <v>145.63114545640408</v>
      </c>
    </row>
    <row r="1095" spans="1:58" ht="15.75" customHeight="1" collapsed="1">
      <c r="A1095" s="401" t="s">
        <v>62</v>
      </c>
      <c r="B1095" s="99" t="s">
        <v>201</v>
      </c>
      <c r="C1095" s="105">
        <f>IF(Model!C881+Model!C882-Model!C880-C1043+C991&gt;0,(1-'Assumptions (Solar)'!B28)*(Model!C881+Model!C882-Model!C880-C1043+C991)+C1043-C938+C939,Model!C881+Model!C882-Model!C880+C991-C938+C939)</f>
        <v>1.7672174285211971E-2</v>
      </c>
      <c r="D1095" s="105">
        <f>IF(Model!D881+Model!D882-Model!D880-D1043+D991&gt;0,(1-'Assumptions (Solar)'!C28)*(Model!D881+Model!D882-Model!D880-D1043+D991)+D1043-D938+D939,Model!D881+Model!D882-Model!D880+D991-D938+D939)</f>
        <v>2.7545967285105593E-2</v>
      </c>
      <c r="E1095" s="105">
        <f>IF(Model!E881+Model!E882-Model!E880-E1043+E991&gt;0,(1-'Assumptions (Solar)'!D28)*(Model!E881+Model!E882-Model!E880-E1043+E991)+E1043-E938+E939,Model!E881+Model!E882-Model!E880+E991-E938+E939)</f>
        <v>2.6379562445301388E-2</v>
      </c>
      <c r="F1095" s="105">
        <f>IF(Model!F881+Model!F882-Model!F880-F1043+F991&gt;0,(1-'Assumptions (Solar)'!E28)*(Model!F881+Model!F882-Model!F880-F1043+F991)+F1043-F938+F939,Model!F881+Model!F882-Model!F880+F991-F938+F939)</f>
        <v>3.2206378001865488E-2</v>
      </c>
      <c r="G1095" s="105">
        <f>IF(Model!G881+Model!G882-Model!G880-G1043+G991&gt;0,(1-'Assumptions (Solar)'!F28)*(Model!G881+Model!G882-Model!G880-G1043+G991)+G1043-G938+G939,Model!G881+Model!G882-Model!G880+G991-G938+G939)</f>
        <v>3.5044651242307746E-2</v>
      </c>
      <c r="H1095" s="105">
        <f>IF(Model!H881+Model!H882-Model!H880-H1043+H991&gt;0,(1-'Assumptions (Solar)'!G28)*(Model!H881+Model!H882-Model!H880-H1043+H991)+H1043-H938+H939,Model!H881+Model!H882-Model!H880+H991-H938+H939)</f>
        <v>4.1660967599746218E-2</v>
      </c>
      <c r="I1095" s="105">
        <f>IF(Model!I881+Model!I882-Model!I880-I1043+I991&gt;0,(1-'Assumptions (Solar)'!H28)*(Model!I881+Model!I882-Model!I880-I1043+I991)+I1043-I938+I939,Model!I881+Model!I882-Model!I880+I991-I938+I939)</f>
        <v>-8.0813394337569636E-2</v>
      </c>
      <c r="J1095" s="105">
        <f>IF(Model!J881+Model!J882-Model!J880-J1043+J991&gt;0,(1-'Assumptions (Solar)'!I28)*(Model!J881+Model!J882-Model!J880-J1043+J991)+J1043-J938+J939,Model!J881+Model!J882-Model!J880+J991-J938+J939)</f>
        <v>4.7809057686639036E-3</v>
      </c>
      <c r="K1095" s="105">
        <f>IF(Model!K881+Model!K882-Model!K880-K1043+K991&gt;0,(1-'Assumptions (Solar)'!J28)*(Model!K881+Model!K882-Model!K880-K1043+K991)+K1043-K938+K939,Model!K881+Model!K882-Model!K880+K991-K938+K939)</f>
        <v>-4.7053745271973452E-2</v>
      </c>
      <c r="L1095" s="105">
        <f>IF(Model!L881+Model!L882-Model!L880-L1043+L991&gt;0,(1-'Assumptions (Solar)'!K28)*(Model!L881+Model!L882-Model!L880-L1043+L991)+L1043-L938+L939,Model!L881+Model!L882-Model!L880+L991-L938+L939)</f>
        <v>-0.23692793714931876</v>
      </c>
      <c r="M1095" s="105">
        <f>IF(Model!M881+Model!M882-Model!M880-M1043+M991&gt;0,(1-'Assumptions (Solar)'!L28)*(Model!M881+Model!M882-Model!M880-M1043+M991)+M1043-M938+M939,Model!M881+Model!M882-Model!M880+M991-M938+M939)</f>
        <v>-0.87207013040954107</v>
      </c>
      <c r="N1095" s="105">
        <f>IF(Model!N881+Model!N882-Model!N880-N1043+N991&gt;0,(1-'Assumptions (Solar)'!M28)*(Model!N881+Model!N882-Model!N880-N1043+N991)+N1043-N938+N939,Model!N881+Model!N882-Model!N880+N991-N938+N939)</f>
        <v>-1.8709650711446306</v>
      </c>
      <c r="O1095" s="105">
        <f>IF(Model!O881+Model!O882-Model!O880-O1043+O991&gt;0,(1-'Assumptions (Solar)'!N28)*(Model!O881+Model!O882-Model!O880-O1043+O991)+O1043-O938+O939,Model!O881+Model!O882-Model!O880+O991-O938+O939)</f>
        <v>-4.1771181733851082</v>
      </c>
      <c r="P1095" s="105">
        <f>IF(Model!P881+Model!P882-Model!P880-P1043+P991&gt;0,(1-'Assumptions (Solar)'!O28)*(Model!P881+Model!P882-Model!P880-P1043+P991)+P1043-P938+P939,Model!P881+Model!P882-Model!P880+P991-P938+P939)</f>
        <v>-4.8146584673794974</v>
      </c>
      <c r="Q1095" s="105">
        <f>IF(Model!Q881+Model!Q882-Model!Q880-Q1043+Q991&gt;0,(1-'Assumptions (Solar)'!P28)*(Model!Q881+Model!Q882-Model!Q880-Q1043+Q991)+Q1043-Q938+Q939,Model!Q881+Model!Q882-Model!Q880+Q991-Q938+Q939)</f>
        <v>-4.6874255321017246</v>
      </c>
      <c r="R1095" s="105">
        <f>IF(Model!R881+Model!R882-Model!R880-R1043+R991&gt;0,(1-'Assumptions (Solar)'!Q28)*(Model!R881+Model!R882-Model!R880-R1043+R991)+R1043-R938+R939,Model!R881+Model!R882-Model!R880+R991-R938+R939)</f>
        <v>-9.8971583726694004</v>
      </c>
      <c r="S1095" s="105">
        <f>IF(Model!S881+Model!S882-Model!S880-S1043+S991&gt;0,(1-'Assumptions (Solar)'!R28)*(Model!S881+Model!S882-Model!S880-S1043+S991)+S1043-S938+S939,Model!S881+Model!S882-Model!S880+S991-S938+S939)</f>
        <v>-5.9635583011074393</v>
      </c>
      <c r="T1095" s="105">
        <f>IF(Model!T881+Model!T882-Model!T880-T1043+T991&gt;0,(1-'Assumptions (Solar)'!S28)*(Model!T881+Model!T882-Model!T880-T1043+T991)+T1043-T938+T939,Model!T881+Model!T882-Model!T880+T991-T938+T939)</f>
        <v>-6.1557634500717828</v>
      </c>
      <c r="U1095" s="105">
        <f>IF(Model!U881+Model!U882-Model!U880-U1043+U991&gt;0,(1-'Assumptions (Solar)'!T28)*(Model!U881+Model!U882-Model!U880-U1043+U991)+U1043-U938+U939,Model!U881+Model!U882-Model!U880+U991-U938+U939)</f>
        <v>-3.9844368834337862</v>
      </c>
      <c r="V1095" s="105">
        <f>IF(Model!V881+Model!V882-Model!V880-V1043+V991&gt;0,(1-'Assumptions (Solar)'!U28)*(Model!V881+Model!V882-Model!V880-V1043+V991)+V1043-V938+V939,Model!V881+Model!V882-Model!V880+V991-V938+V939)</f>
        <v>-9.4825235970563888</v>
      </c>
      <c r="W1095" s="105">
        <f>IF(Model!W881+Model!W882-Model!W880-W1043+W991&gt;0,(1-'Assumptions (Solar)'!V28)*(Model!W881+Model!W882-Model!W880-W1043+W991)+W1043-W938+W939,Model!W881+Model!W882-Model!W880+W991-W938+W939)</f>
        <v>-538.36640119579909</v>
      </c>
      <c r="X1095" s="105">
        <f>IF(Model!X881+Model!X882-Model!X880-X1043+X991&gt;0,(1-'Assumptions (Solar)'!W28)*(Model!X881+Model!X882-Model!X880-X1043+X991)+X1043-X938+X939,Model!X881+Model!X882-Model!X880+X991-X938+X939)</f>
        <v>-665.23353439571792</v>
      </c>
      <c r="Y1095" s="105">
        <f>IF(Model!Y881+Model!Y882-Model!Y880-Y1043+Y991&gt;0,(1-'Assumptions (Solar)'!X28)*(Model!Y881+Model!Y882-Model!Y880-Y1043+Y991)+Y1043-Y938+Y939,Model!Y881+Model!Y882-Model!Y880+Y991-Y938+Y939)</f>
        <v>-797.35592477202067</v>
      </c>
      <c r="Z1095" s="105">
        <f>IF(Model!Z881+Model!Z882-Model!Z880-Z1043+Z991&gt;0,(1-'Assumptions (Solar)'!Y28)*(Model!Z881+Model!Z882-Model!Z880-Z1043+Z991)+Z1043-Z938+Z939,Model!Z881+Model!Z882-Model!Z880+Z991-Z938+Z939)</f>
        <v>-931.60882112588581</v>
      </c>
      <c r="AA1095" s="105">
        <f>IF(Model!AA881+Model!AA882-Model!AA880-AA1043+AA991&gt;0,(1-'Assumptions (Solar)'!Z28)*(Model!AA881+Model!AA882-Model!AA880-AA1043+AA991)+AA1043-AA938+AA939,Model!AA881+Model!AA882-Model!AA880+AA991-AA938+AA939)</f>
        <v>-1068.8499494017087</v>
      </c>
      <c r="AB1095" s="105">
        <f>IF(Model!AB881+Model!AB882-Model!AB880-AB1043+AB991&gt;0,(1-'Assumptions (Solar)'!AA28)*(Model!AB881+Model!AB882-Model!AB880-AB1043+AB991)+AB1043-AB938+AB939,Model!AB881+Model!AB882-Model!AB880+AB991-AB938+AB939)</f>
        <v>-1206.4961274622704</v>
      </c>
      <c r="AC1095" s="105">
        <f>IF(Model!AC881+Model!AC882-Model!AC880-AC1043+AC991&gt;0,(1-'Assumptions (Solar)'!AB28)*(Model!AC881+Model!AC882-Model!AC880-AC1043+AC991)+AC1043-AC938+AC939,Model!AC881+Model!AC882-Model!AC880+AC991-AC938+AC939)</f>
        <v>-1347.9044683192212</v>
      </c>
      <c r="AD1095" s="105">
        <f>IF(Model!AD881+Model!AD882-Model!AD880-AD1043+AD991&gt;0,(1-'Assumptions (Solar)'!AC28)*(Model!AD881+Model!AD882-Model!AD880-AD1043+AD991)+AD1043-AD938+AD939,Model!AD881+Model!AD882-Model!AD880+AD991-AD938+AD939)</f>
        <v>-1493.5115222709132</v>
      </c>
      <c r="AE1095" s="105">
        <f>IF(Model!AE881+Model!AE882-Model!AE880-AE1043+AE991&gt;0,(1-'Assumptions (Solar)'!AD28)*(Model!AE881+Model!AE882-Model!AE880-AE1043+AE991)+AE1043-AE938+AE939,Model!AE881+Model!AE882-Model!AE880+AE991-AE938+AE939)</f>
        <v>-1643.1548515003665</v>
      </c>
      <c r="AF1095" s="105">
        <f>IF(Model!AF881+Model!AF882-Model!AF880-AF1043+AF991&gt;0,(1-'Assumptions (Solar)'!AE28)*(Model!AF881+Model!AF882-Model!AF880-AF1043+AF991)+AF1043-AF938+AF939,Model!AF881+Model!AF882-Model!AF880+AF991-AF938+AF939)</f>
        <v>-1795.8179468133631</v>
      </c>
      <c r="AG1095" s="105">
        <f>IF(Model!AG881+Model!AG882-Model!AG880-AG1043+AG991&gt;0,(1-'Assumptions (Solar)'!AF28)*(Model!AG881+Model!AG882-Model!AG880-AG1043+AG991)+AG1043-AG938+AG939,Model!AG881+Model!AG882-Model!AG880+AG991-AG938+AG939)</f>
        <v>-1947.3480167067919</v>
      </c>
      <c r="AH1095" s="105">
        <f>IF(Model!AH881+Model!AH882-Model!AH880-AH1043+AH991&gt;0,(1-'Assumptions (Solar)'!AG28)*(Model!AH881+Model!AH882-Model!AH880-AH1043+AH991)+AH1043-AH938+AH939,Model!AH881+Model!AH882-Model!AH880+AH991-AH938+AH939)</f>
        <v>-1982.7165094837744</v>
      </c>
      <c r="AI1095" s="105">
        <f>IF(Model!AI881+Model!AI882-Model!AI880-AI1043+AI991&gt;0,(1-'Assumptions (Solar)'!AH28)*(Model!AI881+Model!AI882-Model!AI880-AI1043+AI991)+AI1043-AI938+AI939,Model!AI881+Model!AI882-Model!AI880+AI991-AI938+AI939)</f>
        <v>-2018.6496723789396</v>
      </c>
      <c r="AJ1095" s="105">
        <f>IF(Model!AJ881+Model!AJ882-Model!AJ880-AJ1043+AJ991&gt;0,(1-'Assumptions (Solar)'!AI28)*(Model!AJ881+Model!AJ882-Model!AJ880-AJ1043+AJ991)+AJ1043-AJ938+AJ939,Model!AJ881+Model!AJ882-Model!AJ880+AJ991-AJ938+AJ939)</f>
        <v>-2053.7698744356207</v>
      </c>
      <c r="AK1095" s="105">
        <f>IF(Model!AK881+Model!AK882-Model!AK880-AK1043+AK991&gt;0,(1-'Assumptions (Solar)'!AJ28)*(Model!AK881+Model!AK882-Model!AK880-AK1043+AK991)+AK1043-AK938+AK939,Model!AK881+Model!AK882-Model!AK880+AK991-AK938+AK939)</f>
        <v>-2087.9613691135764</v>
      </c>
      <c r="AL1095" s="105">
        <f>IF(Model!AL881+Model!AL882-Model!AL880-AL1043+AL991&gt;0,(1-'Assumptions (Solar)'!AK28)*(Model!AL881+Model!AL882-Model!AL880-AL1043+AL991)+AL1043-AL938+AL939,Model!AL881+Model!AL882-Model!AL880+AL991-AL938+AL939)</f>
        <v>-2120.6886074519412</v>
      </c>
      <c r="AM1095" s="105">
        <f>IF(Model!AM881+Model!AM882-Model!AM880-AM1043+AM991&gt;0,(1-'Assumptions (Solar)'!AL28)*(Model!AM881+Model!AM882-Model!AM880-AM1043+AM991)+AM1043-AM938+AM939,Model!AM881+Model!AM882-Model!AM880+AM991-AM938+AM939)</f>
        <v>-2156.0520404484096</v>
      </c>
      <c r="AN1095" s="105">
        <f>IF(Model!AN881+Model!AN882-Model!AN880-AN1043+AN991&gt;0,(1-'Assumptions (Solar)'!AM28)*(Model!AN881+Model!AN882-Model!AN880-AN1043+AN991)+AN1043-AN938+AN939,Model!AN881+Model!AN882-Model!AN880+AN991-AN938+AN939)</f>
        <v>-2191.1867651288403</v>
      </c>
      <c r="AO1095" s="105">
        <f>IF(Model!AO881+Model!AO882-Model!AO880-AO1043+AO991&gt;0,(1-'Assumptions (Solar)'!AN28)*(Model!AO881+Model!AO882-Model!AO880-AO1043+AO991)+AO1043-AO938+AO939,Model!AO881+Model!AO882-Model!AO880+AO991-AO938+AO939)</f>
        <v>-2224.8097602445823</v>
      </c>
      <c r="AP1095" s="105">
        <f>IF(Model!AP881+Model!AP882-Model!AP880-AP1043+AP991&gt;0,(1-'Assumptions (Solar)'!AO28)*(Model!AP881+Model!AP882-Model!AP880-AP1043+AP991)+AP1043-AP938+AP939,Model!AP881+Model!AP882-Model!AP880+AP991-AP938+AP939)</f>
        <v>-2259.4141834088923</v>
      </c>
      <c r="AQ1095" s="105">
        <f>IF(Model!AQ881+Model!AQ882-Model!AQ880-AQ1043+AQ991&gt;0,(1-'Assumptions (Solar)'!AP28)*(Model!AQ881+Model!AQ882-Model!AQ880-AQ1043+AQ991)+AQ1043-AQ938+AQ939,Model!AQ881+Model!AQ882-Model!AQ880+AQ991-AQ938+AQ939)</f>
        <v>-2296.2629524140148</v>
      </c>
      <c r="AR1095" s="105">
        <f>IF(Model!AR881+Model!AR882-Model!AR880-AR1043+AR991&gt;0,(1-'Assumptions (Solar)'!AQ28)*(Model!AR881+Model!AR882-Model!AR880-AR1043+AR991)+AR1043-AR938+AR939,Model!AR881+Model!AR882-Model!AR880+AR991-AR938+AR939)</f>
        <v>-2334.451296591451</v>
      </c>
      <c r="AS1095" s="105">
        <f>IF(Model!AS881+Model!AS882-Model!AS880-AS1043+AS991&gt;0,(1-'Assumptions (Solar)'!AR28)*(Model!AS881+Model!AS882-Model!AS880-AS1043+AS991)+AS1043-AS938+AS939,Model!AS881+Model!AS882-Model!AS880+AS991-AS938+AS939)</f>
        <v>-2374.8588961242936</v>
      </c>
      <c r="AT1095" s="105">
        <f>IF(Model!AT881+Model!AT882-Model!AT880-AT1043+AT991&gt;0,(1-'Assumptions (Solar)'!AS28)*(Model!AT881+Model!AT882-Model!AT880-AT1043+AT991)+AT1043-AT938+AT939,Model!AT881+Model!AT882-Model!AT880+AT991-AT938+AT939)</f>
        <v>-2416.9335768897226</v>
      </c>
      <c r="AU1095" s="105">
        <f>IF(Model!AU881+Model!AU882-Model!AU880-AU1043+AU991&gt;0,(1-'Assumptions (Solar)'!AT28)*(Model!AU881+Model!AU882-Model!AU880-AU1043+AU991)+AU1043-AU938+AU939,Model!AU881+Model!AU882-Model!AU880+AU991-AU938+AU939)</f>
        <v>-2461.5664179365845</v>
      </c>
      <c r="AV1095" s="105">
        <f>IF(Model!AV881+Model!AV882-Model!AV880-AV1043+AV991&gt;0,(1-'Assumptions (Solar)'!AU28)*(Model!AV881+Model!AV882-Model!AV880-AV1043+AV991)+AV1043-AV938+AV939,Model!AV881+Model!AV882-Model!AV880+AV991-AV938+AV939)</f>
        <v>-2504.5701764844725</v>
      </c>
      <c r="AW1095" s="105">
        <f>IF(Model!AW881+Model!AW882-Model!AW880-AW1043+AW991&gt;0,(1-'Assumptions (Solar)'!AV28)*(Model!AW881+Model!AW882-Model!AW880-AW1043+AW991)+AW1043-AW938+AW939,Model!AW881+Model!AW882-Model!AW880+AW991-AW938+AW939)</f>
        <v>-2548.3262394327794</v>
      </c>
      <c r="AX1095" s="105">
        <f>IF(Model!AX881+Model!AX882-Model!AX880-AX1043+AX991&gt;0,(1-'Assumptions (Solar)'!AW28)*(Model!AX881+Model!AX882-Model!AX880-AX1043+AX991)+AX1043-AX938+AX939,Model!AX881+Model!AX882-Model!AX880+AX991-AX938+AX939)</f>
        <v>-2599.2428950194917</v>
      </c>
      <c r="AY1095" s="105">
        <f>IF(Model!AY881+Model!AY882-Model!AY880-AY1043+AY991&gt;0,(1-'Assumptions (Solar)'!AX28)*(Model!AY881+Model!AY882-Model!AY880-AY1043+AY991)+AY1043-AY938+AY939,Model!AY881+Model!AY882-Model!AY880+AY991-AY938+AY939)</f>
        <v>-2629.1404025379811</v>
      </c>
      <c r="AZ1095" s="105">
        <f>IF(Model!AZ881+Model!AZ882-Model!AZ880-AZ1043+AZ991&gt;0,(1-'Assumptions (Solar)'!AY28)*(Model!AZ881+Model!AZ882-Model!AZ880-AZ1043+AZ991)+AZ1043-AZ938+AZ939,Model!AZ881+Model!AZ882-Model!AZ880+AZ991-AZ938+AZ939)</f>
        <v>-2664.7839051033143</v>
      </c>
      <c r="BA1095" s="105">
        <f>IF(Model!BA881+Model!BA882-Model!BA880-BA1043+BA991&gt;0,(1-'Assumptions (Solar)'!AZ28)*(Model!BA881+Model!BA882-Model!BA880-BA1043+BA991)+BA1043-BA938+BA939,Model!BA881+Model!BA882-Model!BA880+BA991-BA938+BA939)</f>
        <v>-1676.7516861288714</v>
      </c>
    </row>
    <row r="1096" spans="1:58" ht="15.75" customHeight="1">
      <c r="A1096" s="401" t="s">
        <v>64</v>
      </c>
      <c r="B1096" s="99" t="s">
        <v>201</v>
      </c>
      <c r="C1096" s="105">
        <f>IF(Model!C881+Model!C882-Model!C880-C1043+C991&gt;0,'Assumptions (Solar)'!B28*(Model!C881+Model!C882-Model!C880-C1043+C991)-'Assumptions (Solar)'!B29*Model!C879/10^3,-'Assumptions (Solar)'!B29*Model!C879/10^3)</f>
        <v>0</v>
      </c>
      <c r="D1096" s="105">
        <f>IF(Model!D881+Model!D882-Model!D880-D1043+D991&gt;0,'Assumptions (Solar)'!C28*(Model!D881+Model!D882-Model!D880-D1043+D991)-'Assumptions (Solar)'!C29*Model!D879/10^3,-'Assumptions (Solar)'!C29*Model!D879/10^3)</f>
        <v>0</v>
      </c>
      <c r="E1096" s="105">
        <f>IF(Model!E881+Model!E882-Model!E880-E1043+E991&gt;0,'Assumptions (Solar)'!D28*(Model!E881+Model!E882-Model!E880-E1043+E991)-'Assumptions (Solar)'!D29*Model!E879/10^3,-'Assumptions (Solar)'!D29*Model!E879/10^3)</f>
        <v>0</v>
      </c>
      <c r="F1096" s="105">
        <f>IF(Model!F881+Model!F882-Model!F880-F1043+F991&gt;0,'Assumptions (Solar)'!E28*(Model!F881+Model!F882-Model!F880-F1043+F991)-'Assumptions (Solar)'!E29*Model!F879/10^3,-'Assumptions (Solar)'!E29*Model!F879/10^3)</f>
        <v>0</v>
      </c>
      <c r="G1096" s="105">
        <f>IF(Model!G881+Model!G882-Model!G880-G1043+G991&gt;0,'Assumptions (Solar)'!F28*(Model!G881+Model!G882-Model!G880-G1043+G991)-'Assumptions (Solar)'!F29*Model!G879/10^3,-'Assumptions (Solar)'!F29*Model!G879/10^3)</f>
        <v>0</v>
      </c>
      <c r="H1096" s="105">
        <f>IF(Model!H881+Model!H882-Model!H880-H1043+H991&gt;0,'Assumptions (Solar)'!G28*(Model!H881+Model!H882-Model!H880-H1043+H991)-'Assumptions (Solar)'!G29*Model!H879/10^3,-'Assumptions (Solar)'!G29*Model!H879/10^3)</f>
        <v>0</v>
      </c>
      <c r="I1096" s="105">
        <f>IF(Model!I881+Model!I882-Model!I880-I1043+I991&gt;0,'Assumptions (Solar)'!H28*(Model!I881+Model!I882-Model!I880-I1043+I991)-'Assumptions (Solar)'!H29*Model!I879/10^3,-'Assumptions (Solar)'!H29*Model!I879/10^3)</f>
        <v>0</v>
      </c>
      <c r="J1096" s="105">
        <f>IF(Model!J881+Model!J882-Model!J880-J1043+J991&gt;0,'Assumptions (Solar)'!I28*(Model!J881+Model!J882-Model!J880-J1043+J991)-'Assumptions (Solar)'!I29*Model!J879/10^3,-'Assumptions (Solar)'!I29*Model!J879/10^3)</f>
        <v>0</v>
      </c>
      <c r="K1096" s="105">
        <f>IF(Model!K881+Model!K882-Model!K880-K1043+K991&gt;0,'Assumptions (Solar)'!J28*(Model!K881+Model!K882-Model!K880-K1043+K991)-'Assumptions (Solar)'!J29*Model!K879/10^3,-'Assumptions (Solar)'!J29*Model!K879/10^3)</f>
        <v>0</v>
      </c>
      <c r="L1096" s="105">
        <f>IF(Model!L881+Model!L882-Model!L880-L1043+L991&gt;0,'Assumptions (Solar)'!K28*(Model!L881+Model!L882-Model!L880-L1043+L991)-'Assumptions (Solar)'!K29*Model!L879/10^3,-'Assumptions (Solar)'!K29*Model!L879/10^3)</f>
        <v>0</v>
      </c>
      <c r="M1096" s="105">
        <f>IF(Model!M881+Model!M882-Model!M880-M1043+M991&gt;0,'Assumptions (Solar)'!L28*(Model!M881+Model!M882-Model!M880-M1043+M991)-'Assumptions (Solar)'!L29*Model!M879/10^3,-'Assumptions (Solar)'!L29*Model!M879/10^3)</f>
        <v>0</v>
      </c>
      <c r="N1096" s="105">
        <f>IF(Model!N881+Model!N882-Model!N880-N1043+N991&gt;0,'Assumptions (Solar)'!M28*(Model!N881+Model!N882-Model!N880-N1043+N991)-'Assumptions (Solar)'!M29*Model!N879/10^3,-'Assumptions (Solar)'!M29*Model!N879/10^3)</f>
        <v>0</v>
      </c>
      <c r="O1096" s="105">
        <f>IF(Model!O881+Model!O882-Model!O880-O1043+O991&gt;0,'Assumptions (Solar)'!N28*(Model!O881+Model!O882-Model!O880-O1043+O991)-'Assumptions (Solar)'!N29*Model!O879/10^3,-'Assumptions (Solar)'!N29*Model!O879/10^3)</f>
        <v>0</v>
      </c>
      <c r="P1096" s="105">
        <f>IF(Model!P881+Model!P882-Model!P880-P1043+P991&gt;0,'Assumptions (Solar)'!O28*(Model!P881+Model!P882-Model!P880-P1043+P991)-'Assumptions (Solar)'!O29*Model!P879/10^3,-'Assumptions (Solar)'!O29*Model!P879/10^3)</f>
        <v>0</v>
      </c>
      <c r="Q1096" s="105">
        <f>IF(Model!Q881+Model!Q882-Model!Q880-Q1043+Q991&gt;0,'Assumptions (Solar)'!P28*(Model!Q881+Model!Q882-Model!Q880-Q1043+Q991)-'Assumptions (Solar)'!P29*Model!Q879/10^3,-'Assumptions (Solar)'!P29*Model!Q879/10^3)</f>
        <v>0</v>
      </c>
      <c r="R1096" s="105">
        <f>IF(Model!R881+Model!R882-Model!R880-R1043+R991&gt;0,'Assumptions (Solar)'!Q28*(Model!R881+Model!R882-Model!R880-R1043+R991)-'Assumptions (Solar)'!Q29*Model!R879/10^3,-'Assumptions (Solar)'!Q29*Model!R879/10^3)</f>
        <v>0</v>
      </c>
      <c r="S1096" s="105">
        <f>IF(Model!S881+Model!S882-Model!S880-S1043+S991&gt;0,'Assumptions (Solar)'!R28*(Model!S881+Model!S882-Model!S880-S1043+S991)-'Assumptions (Solar)'!R29*Model!S879/10^3,-'Assumptions (Solar)'!R29*Model!S879/10^3)</f>
        <v>0</v>
      </c>
      <c r="T1096" s="105">
        <f>IF(Model!T881+Model!T882-Model!T880-T1043+T991&gt;0,'Assumptions (Solar)'!S28*(Model!T881+Model!T882-Model!T880-T1043+T991)-'Assumptions (Solar)'!S29*Model!T879/10^3,-'Assumptions (Solar)'!S29*Model!T879/10^3)</f>
        <v>0</v>
      </c>
      <c r="U1096" s="105">
        <f>IF(Model!U881+Model!U882-Model!U880-U1043+U991&gt;0,'Assumptions (Solar)'!T28*(Model!U881+Model!U882-Model!U880-U1043+U991)-'Assumptions (Solar)'!T29*Model!U879/10^3,-'Assumptions (Solar)'!T29*Model!U879/10^3)</f>
        <v>0</v>
      </c>
      <c r="V1096" s="105">
        <f>IF(Model!V881+Model!V882-Model!V880-V1043+V991&gt;0,'Assumptions (Solar)'!U28*(Model!V881+Model!V882-Model!V880-V1043+V991)-'Assumptions (Solar)'!U29*Model!V879/10^3,-'Assumptions (Solar)'!U29*Model!V879/10^3)</f>
        <v>0</v>
      </c>
      <c r="W1096" s="105">
        <f>IF(Model!W881+Model!W882-Model!W880-W1043+W991&gt;0,'Assumptions (Solar)'!V28*(Model!W881+Model!W882-Model!W880-W1043+W991)-'Assumptions (Solar)'!V29*Model!W879/10^3,-'Assumptions (Solar)'!V29*Model!W879/10^3)</f>
        <v>-5.5204749539507185</v>
      </c>
      <c r="X1096" s="105">
        <f>IF(Model!X881+Model!X882-Model!X880-X1043+X991&gt;0,'Assumptions (Solar)'!W28*(Model!X881+Model!X882-Model!X880-X1043+X991)-'Assumptions (Solar)'!W29*Model!X879/10^3,-'Assumptions (Solar)'!W29*Model!X879/10^3)</f>
        <v>-5.8594252462450642</v>
      </c>
      <c r="Y1096" s="105">
        <f>IF(Model!Y881+Model!Y882-Model!Y880-Y1043+Y991&gt;0,'Assumptions (Solar)'!X28*(Model!Y881+Model!Y882-Model!Y880-Y1043+Y991)-'Assumptions (Solar)'!X29*Model!Y879/10^3,-'Assumptions (Solar)'!X29*Model!Y879/10^3)</f>
        <v>-6.209725360249605</v>
      </c>
      <c r="Z1096" s="105">
        <f>IF(Model!Z881+Model!Z882-Model!Z880-Z1043+Z991&gt;0,'Assumptions (Solar)'!Y28*(Model!Z881+Model!Z882-Model!Z880-Z1043+Z991)-'Assumptions (Solar)'!Y29*Model!Z879/10^3,-'Assumptions (Solar)'!Y29*Model!Z879/10^3)</f>
        <v>-6.5716937087158289</v>
      </c>
      <c r="AA1096" s="105">
        <f>IF(Model!AA881+Model!AA882-Model!AA880-AA1043+AA991&gt;0,'Assumptions (Solar)'!Z28*(Model!AA881+Model!AA882-Model!AA880-AA1043+AA991)-'Assumptions (Solar)'!Z29*Model!AA879/10^3,-'Assumptions (Solar)'!Z29*Model!AA879/10^3)</f>
        <v>-6.9456569009766005</v>
      </c>
      <c r="AB1096" s="105">
        <f>IF(Model!AB881+Model!AB882-Model!AB880-AB1043+AB991&gt;0,'Assumptions (Solar)'!AA28*(Model!AB881+Model!AB882-Model!AB880-AB1043+AB991)-'Assumptions (Solar)'!AA29*Model!AB879/10^3,-'Assumptions (Solar)'!AA29*Model!AB879/10^3)</f>
        <v>-7.3319499434443181</v>
      </c>
      <c r="AC1096" s="105">
        <f>IF(Model!AC881+Model!AC882-Model!AC880-AC1043+AC991&gt;0,'Assumptions (Solar)'!AB28*(Model!AC881+Model!AC882-Model!AC880-AC1043+AC991)-'Assumptions (Solar)'!AB29*Model!AC879/10^3,-'Assumptions (Solar)'!AB29*Model!AC879/10^3)</f>
        <v>-7.7309164448503536</v>
      </c>
      <c r="AD1096" s="105">
        <f>IF(Model!AD881+Model!AD882-Model!AD880-AD1043+AD991&gt;0,'Assumptions (Solar)'!AC28*(Model!AD881+Model!AD882-Model!AD880-AD1043+AD991)-'Assumptions (Solar)'!AC29*Model!AD879/10^3,-'Assumptions (Solar)'!AC29*Model!AD879/10^3)</f>
        <v>-8.1429088263352529</v>
      </c>
      <c r="AE1096" s="105">
        <f>IF(Model!AE881+Model!AE882-Model!AE880-AE1043+AE991&gt;0,'Assumptions (Solar)'!AD28*(Model!AE881+Model!AE882-Model!AE880-AE1043+AE991)-'Assumptions (Solar)'!AD29*Model!AE879/10^3,-'Assumptions (Solar)'!AD29*Model!AE879/10^3)</f>
        <v>-8.5682885365016084</v>
      </c>
      <c r="AF1096" s="105">
        <f>IF(Model!AF881+Model!AF882-Model!AF880-AF1043+AF991&gt;0,'Assumptions (Solar)'!AE28*(Model!AF881+Model!AF882-Model!AF880-AF1043+AF991)-'Assumptions (Solar)'!AE29*Model!AF879/10^3,-'Assumptions (Solar)'!AE29*Model!AF879/10^3)</f>
        <v>-9.007426271544082</v>
      </c>
      <c r="AG1096" s="105">
        <f>IF(Model!AG881+Model!AG882-Model!AG880-AG1043+AG991&gt;0,'Assumptions (Solar)'!AF28*(Model!AG881+Model!AG882-Model!AG880-AG1043+AG991)-'Assumptions (Solar)'!AF29*Model!AG879/10^3,-'Assumptions (Solar)'!AF29*Model!AG879/10^3)</f>
        <v>-9.4607022005736567</v>
      </c>
      <c r="AH1096" s="105">
        <f>IF(Model!AH881+Model!AH882-Model!AH880-AH1043+AH991&gt;0,'Assumptions (Solar)'!AG28*(Model!AH881+Model!AH882-Model!AH880-AH1043+AH991)-'Assumptions (Solar)'!AG29*Model!AH879/10^3,-'Assumptions (Solar)'!AG29*Model!AH879/10^3)</f>
        <v>-9.9285061962557961</v>
      </c>
      <c r="AI1096" s="105">
        <f>IF(Model!AI881+Model!AI882-Model!AI880-AI1043+AI991&gt;0,'Assumptions (Solar)'!AH28*(Model!AI881+Model!AI882-Model!AI880-AI1043+AI991)-'Assumptions (Solar)'!AH29*Model!AI879/10^3,-'Assumptions (Solar)'!AH29*Model!AI879/10^3)</f>
        <v>-10.411238070884991</v>
      </c>
      <c r="AJ1096" s="105">
        <f>IF(Model!AJ881+Model!AJ882-Model!AJ880-AJ1043+AJ991&gt;0,'Assumptions (Solar)'!AI28*(Model!AJ881+Model!AJ882-Model!AJ880-AJ1043+AJ991)-'Assumptions (Solar)'!AI29*Model!AJ879/10^3,-'Assumptions (Solar)'!AI29*Model!AJ879/10^3)</f>
        <v>-10.909307818020851</v>
      </c>
      <c r="AK1096" s="105">
        <f>IF(Model!AK881+Model!AK882-Model!AK880-AK1043+AK991&gt;0,'Assumptions (Solar)'!AJ28*(Model!AK881+Model!AK882-Model!AK880-AK1043+AK991)-'Assumptions (Solar)'!AJ29*Model!AK879/10^3,-'Assumptions (Solar)'!AJ29*Model!AK879/10^3)</f>
        <v>-11.423135859813792</v>
      </c>
      <c r="AL1096" s="105">
        <f>IF(Model!AL881+Model!AL882-Model!AL880-AL1043+AL991&gt;0,'Assumptions (Solar)'!AK28*(Model!AL881+Model!AL882-Model!AL880-AL1043+AL991)-'Assumptions (Solar)'!AK29*Model!AL879/10^3,-'Assumptions (Solar)'!AK29*Model!AL879/10^3)</f>
        <v>-11.953153300151241</v>
      </c>
      <c r="AM1096" s="105">
        <f>IF(Model!AM881+Model!AM882-Model!AM880-AM1043+AM991&gt;0,'Assumptions (Solar)'!AL28*(Model!AM881+Model!AM882-Model!AM880-AM1043+AM991)-'Assumptions (Solar)'!AL29*Model!AM879/10^3,-'Assumptions (Solar)'!AL29*Model!AM879/10^3)</f>
        <v>-12.499802183758266</v>
      </c>
      <c r="AN1096" s="105">
        <f>IF(Model!AN881+Model!AN882-Model!AN880-AN1043+AN991&gt;0,'Assumptions (Solar)'!AM28*(Model!AN881+Model!AN882-Model!AN880-AN1043+AN991)-'Assumptions (Solar)'!AM29*Model!AN879/10^3,-'Assumptions (Solar)'!AM29*Model!AN879/10^3)</f>
        <v>-13.063535761389506</v>
      </c>
      <c r="AO1096" s="105">
        <f>IF(Model!AO881+Model!AO882-Model!AO880-AO1043+AO991&gt;0,'Assumptions (Solar)'!AN28*(Model!AO881+Model!AO882-Model!AO880-AO1043+AO991)-'Assumptions (Solar)'!AN29*Model!AO879/10^3,-'Assumptions (Solar)'!AN29*Model!AO879/10^3)</f>
        <v>-13.644818761252496</v>
      </c>
      <c r="AP1096" s="105">
        <f>IF(Model!AP881+Model!AP882-Model!AP880-AP1043+AP991&gt;0,'Assumptions (Solar)'!AO28*(Model!AP881+Model!AP882-Model!AP880-AP1043+AP991)-'Assumptions (Solar)'!AO29*Model!AP879/10^3,-'Assumptions (Solar)'!AO29*Model!AP879/10^3)</f>
        <v>-14.244127666805451</v>
      </c>
      <c r="AQ1096" s="105">
        <f>IF(Model!AQ881+Model!AQ882-Model!AQ880-AQ1043+AQ991&gt;0,'Assumptions (Solar)'!AP28*(Model!AQ881+Model!AQ882-Model!AQ880-AQ1043+AQ991)-'Assumptions (Solar)'!AP29*Model!AQ879/10^3,-'Assumptions (Solar)'!AP29*Model!AQ879/10^3)</f>
        <v>-14.861951001076021</v>
      </c>
      <c r="AR1096" s="105">
        <f>IF(Model!AR881+Model!AR882-Model!AR880-AR1043+AR991&gt;0,'Assumptions (Solar)'!AQ28*(Model!AR881+Model!AR882-Model!AR880-AR1043+AR991)-'Assumptions (Solar)'!AQ29*Model!AR879/10^3,-'Assumptions (Solar)'!AQ29*Model!AR879/10^3)</f>
        <v>-15.498789617650692</v>
      </c>
      <c r="AS1096" s="105">
        <f>IF(Model!AS881+Model!AS882-Model!AS880-AS1043+AS991&gt;0,'Assumptions (Solar)'!AR28*(Model!AS881+Model!AS882-Model!AS880-AS1043+AS991)-'Assumptions (Solar)'!AR29*Model!AS879/10^3,-'Assumptions (Solar)'!AR29*Model!AS879/10^3)</f>
        <v>-16.155156998487918</v>
      </c>
      <c r="AT1096" s="105">
        <f>IF(Model!AT881+Model!AT882-Model!AT880-AT1043+AT991&gt;0,'Assumptions (Solar)'!AS28*(Model!AT881+Model!AT882-Model!AT880-AT1043+AT991)-'Assumptions (Solar)'!AS29*Model!AT879/10^3,-'Assumptions (Solar)'!AS29*Model!AT879/10^3)</f>
        <v>-16.831579558711574</v>
      </c>
      <c r="AU1096" s="105">
        <f>IF(Model!AU881+Model!AU882-Model!AU880-AU1043+AU991&gt;0,'Assumptions (Solar)'!AT28*(Model!AU881+Model!AU882-Model!AU880-AU1043+AU991)-'Assumptions (Solar)'!AT29*Model!AU879/10^3,-'Assumptions (Solar)'!AT29*Model!AU879/10^3)</f>
        <v>-17.528596958544782</v>
      </c>
      <c r="AV1096" s="105">
        <f>IF(Model!AV881+Model!AV882-Model!AV880-AV1043+AV991&gt;0,'Assumptions (Solar)'!AU28*(Model!AV881+Model!AV882-Model!AV880-AV1043+AV991)-'Assumptions (Solar)'!AU29*Model!AV879/10^3,-'Assumptions (Solar)'!AU29*Model!AV879/10^3)</f>
        <v>-18.246762422547835</v>
      </c>
      <c r="AW1096" s="105">
        <f>IF(Model!AW881+Model!AW882-Model!AW880-AW1043+AW991&gt;0,'Assumptions (Solar)'!AV28*(Model!AW881+Model!AW882-Model!AW880-AW1043+AW991)-'Assumptions (Solar)'!AV29*Model!AW879/10^3,-'Assumptions (Solar)'!AV29*Model!AW879/10^3)</f>
        <v>-18.986643066327591</v>
      </c>
      <c r="AX1096" s="105">
        <f>IF(Model!AX881+Model!AX882-Model!AX880-AX1043+AX991&gt;0,'Assumptions (Solar)'!AW28*(Model!AX881+Model!AX882-Model!AX880-AX1043+AX991)-'Assumptions (Solar)'!AW29*Model!AX879/10^3,-'Assumptions (Solar)'!AW29*Model!AX879/10^3)</f>
        <v>-19.748820230889518</v>
      </c>
      <c r="AY1096" s="105">
        <f>IF(Model!AY881+Model!AY882-Model!AY880-AY1043+AY991&gt;0,'Assumptions (Solar)'!AX28*(Model!AY881+Model!AY882-Model!AY880-AY1043+AY991)-'Assumptions (Solar)'!AX29*Model!AY879/10^3,-'Assumptions (Solar)'!AX29*Model!AY879/10^3)</f>
        <v>-20.533889824807389</v>
      </c>
      <c r="AZ1096" s="105">
        <f>IF(Model!AZ881+Model!AZ882-Model!AZ880-AZ1043+AZ991&gt;0,'Assumptions (Solar)'!AY28*(Model!AZ881+Model!AZ882-Model!AZ880-AZ1043+AZ991)-'Assumptions (Solar)'!AY29*Model!AZ879/10^3,-'Assumptions (Solar)'!AY29*Model!AZ879/10^3)</f>
        <v>-21.342462674389619</v>
      </c>
      <c r="BA1096" s="105">
        <f>IF(Model!BA881+Model!BA882-Model!BA880-BA1043+BA991&gt;0,'Assumptions (Solar)'!AZ28*(Model!BA881+Model!BA882-Model!BA880-BA1043+BA991)-'Assumptions (Solar)'!AZ29*Model!BA879/10^3,-'Assumptions (Solar)'!AZ29*Model!BA879/10^3)</f>
        <v>-22.175164882025186</v>
      </c>
    </row>
    <row r="1097" spans="1:58" ht="15.75" customHeight="1">
      <c r="A1097" s="401" t="s">
        <v>66</v>
      </c>
      <c r="B1097" s="99" t="s">
        <v>816</v>
      </c>
      <c r="C1097" s="99"/>
      <c r="D1097" s="99"/>
      <c r="E1097" s="99"/>
      <c r="F1097" s="99"/>
      <c r="G1097" s="99"/>
      <c r="H1097" s="99"/>
      <c r="I1097" s="99"/>
      <c r="J1097" s="99"/>
      <c r="K1097" s="99"/>
      <c r="L1097" s="99"/>
      <c r="M1097" s="99"/>
      <c r="N1097" s="99"/>
      <c r="O1097" s="99"/>
      <c r="P1097" s="99"/>
      <c r="Q1097" s="99"/>
      <c r="R1097" s="99"/>
      <c r="S1097" s="99"/>
      <c r="T1097" s="99"/>
      <c r="U1097" s="99"/>
      <c r="V1097" s="99"/>
      <c r="W1097" s="86"/>
    </row>
    <row r="1098" spans="1:58" ht="15.75" customHeight="1">
      <c r="A1098" s="404" t="s">
        <v>861</v>
      </c>
      <c r="B1098" s="42"/>
      <c r="C1098" s="42"/>
      <c r="D1098" s="42"/>
      <c r="E1098" s="42"/>
      <c r="F1098" s="42"/>
      <c r="G1098" s="42"/>
      <c r="H1098" s="42"/>
      <c r="I1098" s="42"/>
      <c r="J1098" s="42"/>
      <c r="K1098" s="42"/>
      <c r="L1098" s="42"/>
      <c r="M1098" s="42"/>
      <c r="N1098" s="42"/>
      <c r="O1098" s="42"/>
      <c r="P1098" s="42"/>
      <c r="Q1098" s="42"/>
      <c r="R1098" s="42"/>
      <c r="S1098" s="42"/>
      <c r="T1098" s="42"/>
      <c r="U1098" s="42"/>
      <c r="V1098" s="42"/>
      <c r="W1098" s="86"/>
    </row>
    <row r="1099" spans="1:58" ht="15.75" customHeight="1">
      <c r="A1099" s="405"/>
      <c r="B1099" s="42"/>
      <c r="C1099" s="42"/>
      <c r="D1099" s="42"/>
      <c r="E1099" s="42"/>
      <c r="F1099" s="42"/>
      <c r="G1099" s="42"/>
      <c r="H1099" s="42"/>
      <c r="I1099" s="42"/>
      <c r="J1099" s="42"/>
      <c r="K1099" s="42"/>
      <c r="L1099" s="42"/>
      <c r="M1099" s="42"/>
      <c r="N1099" s="42"/>
      <c r="O1099" s="42"/>
      <c r="P1099" s="42"/>
      <c r="Q1099" s="42"/>
      <c r="R1099" s="42"/>
      <c r="S1099" s="42"/>
      <c r="T1099" s="42"/>
      <c r="U1099" s="42"/>
      <c r="V1099" s="42"/>
      <c r="W1099" s="86"/>
    </row>
    <row r="1100" spans="1:58" ht="15.75" customHeight="1">
      <c r="A1100" s="404" t="s">
        <v>862</v>
      </c>
      <c r="B1100" s="42"/>
      <c r="C1100" s="42"/>
      <c r="D1100" s="42"/>
      <c r="E1100" s="42"/>
      <c r="F1100" s="42"/>
      <c r="G1100" s="42"/>
      <c r="H1100" s="42"/>
      <c r="I1100" s="42"/>
      <c r="J1100" s="42"/>
      <c r="K1100" s="42"/>
      <c r="L1100" s="42"/>
      <c r="M1100" s="42"/>
      <c r="N1100" s="42"/>
      <c r="O1100" s="42"/>
      <c r="P1100" s="42"/>
      <c r="Q1100" s="42"/>
      <c r="R1100" s="42"/>
      <c r="S1100" s="42"/>
      <c r="T1100" s="42"/>
      <c r="U1100" s="42"/>
      <c r="V1100" s="42"/>
      <c r="W1100" s="86"/>
    </row>
    <row r="1101" spans="1:58" ht="15.75" customHeight="1">
      <c r="A1101" s="405"/>
      <c r="B1101" s="42"/>
      <c r="C1101" s="42"/>
      <c r="D1101" s="42"/>
      <c r="E1101" s="42"/>
      <c r="F1101" s="42"/>
      <c r="G1101" s="42"/>
      <c r="H1101" s="42"/>
      <c r="I1101" s="42"/>
      <c r="J1101" s="42"/>
      <c r="K1101" s="42"/>
      <c r="L1101" s="42"/>
      <c r="M1101" s="42"/>
      <c r="N1101" s="42"/>
      <c r="O1101" s="42"/>
      <c r="P1101" s="42"/>
      <c r="Q1101" s="42"/>
      <c r="R1101" s="42"/>
      <c r="S1101" s="42"/>
      <c r="T1101" s="42"/>
      <c r="U1101" s="42"/>
      <c r="V1101" s="42"/>
      <c r="W1101" s="86"/>
    </row>
    <row r="1102" spans="1:58" ht="15.75" customHeight="1">
      <c r="A1102" s="406" t="s">
        <v>863</v>
      </c>
      <c r="B1102" s="42"/>
      <c r="C1102" s="42"/>
      <c r="D1102" s="42"/>
      <c r="E1102" s="42"/>
      <c r="F1102" s="42"/>
      <c r="G1102" s="42"/>
      <c r="H1102" s="42"/>
      <c r="I1102" s="42"/>
      <c r="J1102" s="42"/>
      <c r="K1102" s="42"/>
      <c r="L1102" s="42"/>
      <c r="M1102" s="42"/>
      <c r="N1102" s="42"/>
      <c r="O1102" s="42"/>
      <c r="P1102" s="42"/>
      <c r="Q1102" s="42"/>
      <c r="R1102" s="42"/>
      <c r="S1102" s="42"/>
      <c r="T1102" s="42"/>
      <c r="U1102" s="42"/>
      <c r="V1102" s="42"/>
      <c r="W1102" s="86"/>
      <c r="X1102" s="94">
        <f t="shared" ref="X1102:BA1102" si="26">X1104/(X1103*0.00876)</f>
        <v>0.92039175809678975</v>
      </c>
      <c r="Y1102" s="94">
        <f t="shared" si="26"/>
        <v>0.92039175809678975</v>
      </c>
      <c r="Z1102" s="94">
        <f t="shared" si="26"/>
        <v>0.92039175809678975</v>
      </c>
      <c r="AA1102" s="94">
        <f t="shared" si="26"/>
        <v>0.92039175809678975</v>
      </c>
      <c r="AB1102" s="94">
        <f t="shared" si="26"/>
        <v>0.92039175809678975</v>
      </c>
      <c r="AC1102" s="94">
        <f t="shared" si="26"/>
        <v>0.92039175809678975</v>
      </c>
      <c r="AD1102" s="94">
        <f t="shared" si="26"/>
        <v>0.92039175809678964</v>
      </c>
      <c r="AE1102" s="94">
        <f t="shared" si="26"/>
        <v>0.92039175809678964</v>
      </c>
      <c r="AF1102" s="94">
        <f t="shared" si="26"/>
        <v>0.92039175809678964</v>
      </c>
      <c r="AG1102" s="94">
        <f t="shared" si="26"/>
        <v>0.92039175809678953</v>
      </c>
      <c r="AH1102" s="94">
        <f t="shared" si="26"/>
        <v>0.92039175809678964</v>
      </c>
      <c r="AI1102" s="94">
        <f t="shared" si="26"/>
        <v>0.92039175809678964</v>
      </c>
      <c r="AJ1102" s="94">
        <f t="shared" si="26"/>
        <v>0.92039175809678953</v>
      </c>
      <c r="AK1102" s="94">
        <f t="shared" si="26"/>
        <v>0.92039175809678953</v>
      </c>
      <c r="AL1102" s="94">
        <f t="shared" si="26"/>
        <v>0.92039175809678953</v>
      </c>
      <c r="AM1102" s="94">
        <f t="shared" si="26"/>
        <v>0.92039175809678953</v>
      </c>
      <c r="AN1102" s="94">
        <f t="shared" si="26"/>
        <v>0.92039175809678953</v>
      </c>
      <c r="AO1102" s="94">
        <f t="shared" si="26"/>
        <v>0.92039175809678953</v>
      </c>
      <c r="AP1102" s="94">
        <f t="shared" si="26"/>
        <v>0.92039175809678953</v>
      </c>
      <c r="AQ1102" s="94">
        <f t="shared" si="26"/>
        <v>0.9203917580967893</v>
      </c>
      <c r="AR1102" s="94">
        <f t="shared" si="26"/>
        <v>0.92039175809678941</v>
      </c>
      <c r="AS1102" s="94">
        <f t="shared" si="26"/>
        <v>0.9203917580967893</v>
      </c>
      <c r="AT1102" s="94">
        <f t="shared" si="26"/>
        <v>0.92039175809678919</v>
      </c>
      <c r="AU1102" s="94">
        <f t="shared" si="26"/>
        <v>0.92039175809678908</v>
      </c>
      <c r="AV1102" s="94">
        <f t="shared" si="26"/>
        <v>0.92039175809678908</v>
      </c>
      <c r="AW1102" s="94">
        <f t="shared" si="26"/>
        <v>0.92039175809678897</v>
      </c>
      <c r="AX1102" s="94">
        <f t="shared" si="26"/>
        <v>0.92039175809678886</v>
      </c>
      <c r="AY1102" s="94">
        <f t="shared" si="26"/>
        <v>0.92039175809678864</v>
      </c>
      <c r="AZ1102" s="94">
        <f t="shared" si="26"/>
        <v>0.92039175809678753</v>
      </c>
      <c r="BA1102" s="94" t="e">
        <f t="shared" si="26"/>
        <v>#DIV/0!</v>
      </c>
    </row>
    <row r="1103" spans="1:58" ht="15.75" customHeight="1">
      <c r="A1103" s="407" t="s">
        <v>25</v>
      </c>
      <c r="B1103" s="99" t="s">
        <v>152</v>
      </c>
      <c r="C1103" s="20">
        <v>97860</v>
      </c>
      <c r="D1103" s="20">
        <v>98159</v>
      </c>
      <c r="E1103" s="20">
        <v>98658</v>
      </c>
      <c r="F1103" s="20">
        <v>99209</v>
      </c>
      <c r="G1103" s="20">
        <v>99628</v>
      </c>
      <c r="H1103" s="20">
        <v>99988</v>
      </c>
      <c r="I1103" s="20">
        <v>100334</v>
      </c>
      <c r="J1103" s="20">
        <v>100266</v>
      </c>
      <c r="K1103" s="20">
        <v>100756</v>
      </c>
      <c r="L1103" s="20">
        <v>101004</v>
      </c>
      <c r="M1103" s="20">
        <v>101167</v>
      </c>
      <c r="N1103" s="20">
        <v>101418.79999999999</v>
      </c>
      <c r="O1103" s="20">
        <v>101884.99999999999</v>
      </c>
      <c r="P1103" s="20">
        <v>99240.299999999988</v>
      </c>
      <c r="Q1103" s="20">
        <v>98569.3</v>
      </c>
      <c r="R1103" s="20">
        <v>98672</v>
      </c>
      <c r="S1103" s="20">
        <v>99564.800000000003</v>
      </c>
      <c r="T1103" s="99">
        <v>99348</v>
      </c>
      <c r="U1103" s="99">
        <v>98646</v>
      </c>
      <c r="V1103" s="99">
        <v>97474</v>
      </c>
      <c r="W1103" s="86">
        <f>96940-2100</f>
        <v>94840</v>
      </c>
      <c r="X1103" s="101">
        <f t="shared" ref="X1103:AZ1103" si="27">W1103+($BA$1103-$W$1103)/($BA$2-$W$2)</f>
        <v>91678.666666666672</v>
      </c>
      <c r="Y1103" s="101">
        <f t="shared" si="27"/>
        <v>88517.333333333343</v>
      </c>
      <c r="Z1103" s="101">
        <f t="shared" si="27"/>
        <v>85356.000000000015</v>
      </c>
      <c r="AA1103" s="101">
        <f t="shared" si="27"/>
        <v>82194.666666666686</v>
      </c>
      <c r="AB1103" s="101">
        <f t="shared" si="27"/>
        <v>79033.333333333358</v>
      </c>
      <c r="AC1103" s="101">
        <f t="shared" si="27"/>
        <v>75872.000000000029</v>
      </c>
      <c r="AD1103" s="101">
        <f t="shared" si="27"/>
        <v>72710.666666666701</v>
      </c>
      <c r="AE1103" s="101">
        <f t="shared" si="27"/>
        <v>69549.333333333372</v>
      </c>
      <c r="AF1103" s="101">
        <f t="shared" si="27"/>
        <v>66388.000000000044</v>
      </c>
      <c r="AG1103" s="101">
        <f t="shared" si="27"/>
        <v>63226.666666666708</v>
      </c>
      <c r="AH1103" s="101">
        <f t="shared" si="27"/>
        <v>60065.333333333372</v>
      </c>
      <c r="AI1103" s="101">
        <f t="shared" si="27"/>
        <v>56904.000000000036</v>
      </c>
      <c r="AJ1103" s="101">
        <f t="shared" si="27"/>
        <v>53742.666666666701</v>
      </c>
      <c r="AK1103" s="101">
        <f t="shared" si="27"/>
        <v>50581.333333333365</v>
      </c>
      <c r="AL1103" s="101">
        <f t="shared" si="27"/>
        <v>47420.000000000029</v>
      </c>
      <c r="AM1103" s="101">
        <f t="shared" si="27"/>
        <v>44258.666666666693</v>
      </c>
      <c r="AN1103" s="101">
        <f t="shared" si="27"/>
        <v>41097.333333333358</v>
      </c>
      <c r="AO1103" s="101">
        <f t="shared" si="27"/>
        <v>37936.000000000022</v>
      </c>
      <c r="AP1103" s="101">
        <f t="shared" si="27"/>
        <v>34774.666666666686</v>
      </c>
      <c r="AQ1103" s="101">
        <f t="shared" si="27"/>
        <v>31613.333333333354</v>
      </c>
      <c r="AR1103" s="101">
        <f t="shared" si="27"/>
        <v>28452.000000000022</v>
      </c>
      <c r="AS1103" s="101">
        <f t="shared" si="27"/>
        <v>25290.66666666669</v>
      </c>
      <c r="AT1103" s="101">
        <f t="shared" si="27"/>
        <v>22129.333333333358</v>
      </c>
      <c r="AU1103" s="101">
        <f t="shared" si="27"/>
        <v>18968.000000000025</v>
      </c>
      <c r="AV1103" s="101">
        <f t="shared" si="27"/>
        <v>15806.666666666692</v>
      </c>
      <c r="AW1103" s="101">
        <f t="shared" si="27"/>
        <v>12645.333333333358</v>
      </c>
      <c r="AX1103" s="101">
        <f t="shared" si="27"/>
        <v>9484.0000000000236</v>
      </c>
      <c r="AY1103" s="101">
        <f t="shared" si="27"/>
        <v>6322.6666666666897</v>
      </c>
      <c r="AZ1103" s="101">
        <f t="shared" si="27"/>
        <v>3161.3333333333562</v>
      </c>
      <c r="BA1103" s="103">
        <f>Inputs!$H$4</f>
        <v>0</v>
      </c>
    </row>
    <row r="1104" spans="1:58" ht="15.75" customHeight="1">
      <c r="A1104" s="407" t="s">
        <v>28</v>
      </c>
      <c r="B1104" s="99" t="s">
        <v>153</v>
      </c>
      <c r="C1104" s="20">
        <v>753.89294000000007</v>
      </c>
      <c r="D1104" s="20">
        <v>768.82630800000004</v>
      </c>
      <c r="E1104" s="20">
        <v>780.06408700000009</v>
      </c>
      <c r="F1104" s="20">
        <v>763.73269500000015</v>
      </c>
      <c r="G1104" s="20">
        <v>788.52838699999995</v>
      </c>
      <c r="H1104" s="20">
        <v>781.98636500000009</v>
      </c>
      <c r="I1104" s="20">
        <v>787.21863600000017</v>
      </c>
      <c r="J1104" s="20">
        <v>806.4247529999999</v>
      </c>
      <c r="K1104" s="20">
        <v>806.20843500000001</v>
      </c>
      <c r="L1104" s="20">
        <v>798.85458500000004</v>
      </c>
      <c r="M1104" s="20">
        <v>806.96830099999988</v>
      </c>
      <c r="N1104" s="20">
        <v>790.20436700000016</v>
      </c>
      <c r="O1104" s="20">
        <v>769.33124900000007</v>
      </c>
      <c r="P1104" s="20">
        <v>789.01647299999968</v>
      </c>
      <c r="Q1104" s="20">
        <v>797.16598200000021</v>
      </c>
      <c r="R1104" s="20">
        <v>797.17787699999997</v>
      </c>
      <c r="S1104" s="20">
        <v>804.239014</v>
      </c>
      <c r="T1104" s="20">
        <v>792.31762700000002</v>
      </c>
      <c r="U1104" s="20">
        <v>797.01434300000005</v>
      </c>
      <c r="V1104" s="20">
        <v>788.09143100000006</v>
      </c>
      <c r="W1104" s="402">
        <f>'Assumptions (Nuclear)'!V14*Model!W1103*0.00876</f>
        <v>764.66</v>
      </c>
      <c r="X1104" s="101">
        <f t="shared" ref="X1104:AZ1104" si="28">W1104+($BA$1104-$W$1104)/($BA$2-$W$2)</f>
        <v>739.17133333333334</v>
      </c>
      <c r="Y1104" s="101">
        <f t="shared" si="28"/>
        <v>713.68266666666671</v>
      </c>
      <c r="Z1104" s="101">
        <f t="shared" si="28"/>
        <v>688.19400000000007</v>
      </c>
      <c r="AA1104" s="101">
        <f t="shared" si="28"/>
        <v>662.70533333333344</v>
      </c>
      <c r="AB1104" s="101">
        <f t="shared" si="28"/>
        <v>637.21666666666681</v>
      </c>
      <c r="AC1104" s="101">
        <f t="shared" si="28"/>
        <v>611.72800000000018</v>
      </c>
      <c r="AD1104" s="101">
        <f t="shared" si="28"/>
        <v>586.23933333333355</v>
      </c>
      <c r="AE1104" s="101">
        <f t="shared" si="28"/>
        <v>560.75066666666692</v>
      </c>
      <c r="AF1104" s="101">
        <f t="shared" si="28"/>
        <v>535.26200000000028</v>
      </c>
      <c r="AG1104" s="101">
        <f t="shared" si="28"/>
        <v>509.7733333333336</v>
      </c>
      <c r="AH1104" s="101">
        <f t="shared" si="28"/>
        <v>484.28466666666691</v>
      </c>
      <c r="AI1104" s="101">
        <f t="shared" si="28"/>
        <v>458.79600000000022</v>
      </c>
      <c r="AJ1104" s="101">
        <f t="shared" si="28"/>
        <v>433.30733333333353</v>
      </c>
      <c r="AK1104" s="101">
        <f t="shared" si="28"/>
        <v>407.81866666666684</v>
      </c>
      <c r="AL1104" s="101">
        <f t="shared" si="28"/>
        <v>382.33000000000015</v>
      </c>
      <c r="AM1104" s="101">
        <f t="shared" si="28"/>
        <v>356.84133333333347</v>
      </c>
      <c r="AN1104" s="101">
        <f t="shared" si="28"/>
        <v>331.35266666666678</v>
      </c>
      <c r="AO1104" s="101">
        <f t="shared" si="28"/>
        <v>305.86400000000009</v>
      </c>
      <c r="AP1104" s="101">
        <f t="shared" si="28"/>
        <v>280.3753333333334</v>
      </c>
      <c r="AQ1104" s="101">
        <f t="shared" si="28"/>
        <v>254.88666666666674</v>
      </c>
      <c r="AR1104" s="101">
        <f t="shared" si="28"/>
        <v>229.39800000000008</v>
      </c>
      <c r="AS1104" s="101">
        <f t="shared" si="28"/>
        <v>203.90933333333342</v>
      </c>
      <c r="AT1104" s="101">
        <f t="shared" si="28"/>
        <v>178.42066666666676</v>
      </c>
      <c r="AU1104" s="101">
        <f t="shared" si="28"/>
        <v>152.9320000000001</v>
      </c>
      <c r="AV1104" s="101">
        <f t="shared" si="28"/>
        <v>127.44333333333344</v>
      </c>
      <c r="AW1104" s="101">
        <f t="shared" si="28"/>
        <v>101.95466666666678</v>
      </c>
      <c r="AX1104" s="101">
        <f t="shared" si="28"/>
        <v>76.466000000000122</v>
      </c>
      <c r="AY1104" s="101">
        <f t="shared" si="28"/>
        <v>50.977333333333455</v>
      </c>
      <c r="AZ1104" s="101">
        <f t="shared" si="28"/>
        <v>25.488666666666788</v>
      </c>
      <c r="BA1104" s="104">
        <f>Inputs!$I$4</f>
        <v>0</v>
      </c>
    </row>
    <row r="1105" spans="1:53" ht="15.75" customHeight="1">
      <c r="A1105" s="407" t="s">
        <v>864</v>
      </c>
      <c r="B1105" s="99" t="s">
        <v>201</v>
      </c>
      <c r="C1105" s="147">
        <f>C1104*'Assumptions (Nuclear)'!B19/10^3</f>
        <v>12.221301337186135</v>
      </c>
      <c r="D1105" s="147">
        <f>D1104*'Assumptions (Nuclear)'!C19/10^3</f>
        <v>12.634133409490229</v>
      </c>
      <c r="E1105" s="147">
        <f>E1104*'Assumptions (Nuclear)'!D19/10^3</f>
        <v>12.99442160268897</v>
      </c>
      <c r="F1105" s="147">
        <f>F1104*'Assumptions (Nuclear)'!E19/10^3</f>
        <v>12.896667368340111</v>
      </c>
      <c r="G1105" s="147">
        <f>G1104*'Assumptions (Nuclear)'!F19/10^3</f>
        <v>13.497797076219618</v>
      </c>
      <c r="H1105" s="147">
        <f>H1104*'Assumptions (Nuclear)'!G19/10^3</f>
        <v>13.569198300726789</v>
      </c>
      <c r="I1105" s="147">
        <f>I1104*'Assumptions (Nuclear)'!H19/10^3</f>
        <v>13.847131670983869</v>
      </c>
      <c r="J1105" s="147">
        <f>J1104*'Assumptions (Nuclear)'!I19/10^3</f>
        <v>14.379300229035513</v>
      </c>
      <c r="K1105" s="147">
        <f>K1104*'Assumptions (Nuclear)'!J19/10^3</f>
        <v>14.572386648928038</v>
      </c>
      <c r="L1105" s="147">
        <f>L1104*'Assumptions (Nuclear)'!K19/10^3</f>
        <v>14.637284927398122</v>
      </c>
      <c r="M1105" s="147">
        <f>M1104*'Assumptions (Nuclear)'!L19/10^3</f>
        <v>14.98851878144788</v>
      </c>
      <c r="N1105" s="147">
        <f>N1104*'Assumptions (Nuclear)'!M19/10^3</f>
        <v>14.878224690025727</v>
      </c>
      <c r="O1105" s="147">
        <f>O1104*'Assumptions (Nuclear)'!N19/10^3</f>
        <v>14.683666337288853</v>
      </c>
      <c r="P1105" s="147">
        <f>P1104*'Assumptions (Nuclear)'!O19/10^3</f>
        <v>15.265697458374552</v>
      </c>
      <c r="Q1105" s="147">
        <f>Q1104*'Assumptions (Nuclear)'!P19/10^3</f>
        <v>15.634672360995115</v>
      </c>
      <c r="R1105" s="147">
        <f>R1104*'Assumptions (Nuclear)'!Q19/10^3</f>
        <v>15.849103862960829</v>
      </c>
      <c r="S1105" s="147">
        <f>S1104*'Assumptions (Nuclear)'!R19/10^3</f>
        <v>16.208545976146787</v>
      </c>
      <c r="T1105" s="147">
        <f>T1104*'Assumptions (Nuclear)'!S19/10^3</f>
        <v>16.187049119609998</v>
      </c>
      <c r="U1105" s="147">
        <f>U1104*'Assumptions (Nuclear)'!T19/10^3</f>
        <v>16.506080168966616</v>
      </c>
      <c r="V1105" s="147">
        <f>V1104*'Assumptions (Nuclear)'!U19/10^3</f>
        <v>16.544889274630428</v>
      </c>
      <c r="W1105" s="147">
        <f>W1104*'Assumptions (Nuclear)'!V19/10^3</f>
        <v>16.272904607546003</v>
      </c>
      <c r="X1105" s="147">
        <f>X1104*'Assumptions (Nuclear)'!W19/10^3</f>
        <v>15.945981953980406</v>
      </c>
      <c r="Y1105" s="147">
        <f>Y1104*'Assumptions (Nuclear)'!X19/10^3</f>
        <v>15.607047358241319</v>
      </c>
      <c r="Z1105" s="147">
        <f>Z1104*'Assumptions (Nuclear)'!Y19/10^3</f>
        <v>15.255833053226041</v>
      </c>
      <c r="AA1105" s="147">
        <f>AA1104*'Assumptions (Nuclear)'!Z19/10^3</f>
        <v>14.892066189534674</v>
      </c>
      <c r="AB1105" s="147">
        <f>AB1104*'Assumptions (Nuclear)'!AA19/10^3</f>
        <v>14.515468746472406</v>
      </c>
      <c r="AC1105" s="147">
        <f>AC1104*'Assumptions (Nuclear)'!AB19/10^3</f>
        <v>14.125757441567115</v>
      </c>
      <c r="AD1105" s="147">
        <f>AD1104*'Assumptions (Nuclear)'!AC19/10^3</f>
        <v>13.722643638578395</v>
      </c>
      <c r="AE1105" s="147">
        <f>AE1104*'Assumptions (Nuclear)'!AD19/10^3</f>
        <v>13.305833253973576</v>
      </c>
      <c r="AF1105" s="147">
        <f>AF1104*'Assumptions (Nuclear)'!AE19/10^3</f>
        <v>12.875026661846061</v>
      </c>
      <c r="AG1105" s="147">
        <f>AG1104*'Assumptions (Nuclear)'!AF19/10^3</f>
        <v>12.429918597250813</v>
      </c>
      <c r="AH1105" s="147">
        <f>AH1104*'Assumptions (Nuclear)'!AG19/10^3</f>
        <v>11.970198057931491</v>
      </c>
      <c r="AI1105" s="147">
        <f>AI1104*'Assumptions (Nuclear)'!AH19/10^3</f>
        <v>11.495548204413303</v>
      </c>
      <c r="AJ1105" s="147">
        <f>AJ1104*'Assumptions (Nuclear)'!AI19/10^3</f>
        <v>11.005646258435222</v>
      </c>
      <c r="AK1105" s="147">
        <f>AK1104*'Assumptions (Nuclear)'!AJ19/10^3</f>
        <v>10.500163399694859</v>
      </c>
      <c r="AL1105" s="147">
        <f>AL1104*'Assumptions (Nuclear)'!AK19/10^3</f>
        <v>9.9787646608787597</v>
      </c>
      <c r="AM1105" s="147">
        <f>AM1104*'Assumptions (Nuclear)'!AL19/10^3</f>
        <v>9.4411088209506122</v>
      </c>
      <c r="AN1105" s="147">
        <f>AN1104*'Assumptions (Nuclear)'!AM19/10^3</f>
        <v>8.8868482966692319</v>
      </c>
      <c r="AO1105" s="147">
        <f>AO1104*'Assumptions (Nuclear)'!AN19/10^3</f>
        <v>8.3156290323079389</v>
      </c>
      <c r="AP1105" s="147">
        <f>AP1104*'Assumptions (Nuclear)'!AO19/10^3</f>
        <v>7.7270903875463457</v>
      </c>
      <c r="AQ1105" s="147">
        <f>AQ1104*'Assumptions (Nuclear)'!AP19/10^3</f>
        <v>7.1208650235052104</v>
      </c>
      <c r="AR1105" s="147">
        <f>AR1104*'Assumptions (Nuclear)'!AQ19/10^3</f>
        <v>6.4965787868945091</v>
      </c>
      <c r="AS1105" s="147">
        <f>AS1104*'Assumptions (Nuclear)'!AR19/10^3</f>
        <v>5.8538505922444122</v>
      </c>
      <c r="AT1105" s="147">
        <f>AT1104*'Assumptions (Nuclear)'!AS19/10^3</f>
        <v>5.1922923021883918</v>
      </c>
      <c r="AU1105" s="147">
        <f>AU1104*'Assumptions (Nuclear)'!AT19/10^3</f>
        <v>4.5115086057671769</v>
      </c>
      <c r="AV1105" s="147">
        <f>AV1104*'Assumptions (Nuclear)'!AU19/10^3</f>
        <v>3.8110968947218238</v>
      </c>
      <c r="AW1105" s="147">
        <f>AW1104*'Assumptions (Nuclear)'!AV19/10^3</f>
        <v>3.0906471377436113</v>
      </c>
      <c r="AX1105" s="147">
        <f>AX1104*'Assumptions (Nuclear)'!AW19/10^3</f>
        <v>2.3497417526480255</v>
      </c>
      <c r="AY1105" s="147">
        <f>AY1104*'Assumptions (Nuclear)'!AX19/10^3</f>
        <v>1.5879554764395367</v>
      </c>
      <c r="AZ1105" s="147">
        <f>AZ1104*'Assumptions (Nuclear)'!AY19/10^3</f>
        <v>0.80485523323338126</v>
      </c>
      <c r="BA1105" s="147">
        <f>BA1104*'Assumptions (Nuclear)'!AZ19/10^3</f>
        <v>0</v>
      </c>
    </row>
    <row r="1106" spans="1:53" ht="15.75" customHeight="1">
      <c r="A1106" s="407" t="s">
        <v>865</v>
      </c>
      <c r="B1106" s="99" t="s">
        <v>201</v>
      </c>
      <c r="C1106" s="147">
        <f>C1104*'Assumptions (Nuclear)'!B21/10^3</f>
        <v>3.5749900359947038</v>
      </c>
      <c r="D1106" s="147">
        <f>D1104*'Assumptions (Nuclear)'!C21/10^3</f>
        <v>3.718720748758845</v>
      </c>
      <c r="E1106" s="147">
        <f>E1104*'Assumptions (Nuclear)'!D21/10^3</f>
        <v>3.8485380703209429</v>
      </c>
      <c r="F1106" s="147">
        <f>F1104*'Assumptions (Nuclear)'!E21/10^3</f>
        <v>3.8433245284133171</v>
      </c>
      <c r="G1106" s="147">
        <f>G1104*'Assumptions (Nuclear)'!F21/10^3</f>
        <v>4.0474657182634211</v>
      </c>
      <c r="H1106" s="147">
        <f>H1104*'Assumptions (Nuclear)'!G21/10^3</f>
        <v>4.0941636570106974</v>
      </c>
      <c r="I1106" s="147">
        <f>I1104*'Assumptions (Nuclear)'!H21/10^3</f>
        <v>4.2039888613983543</v>
      </c>
      <c r="J1106" s="147">
        <f>J1104*'Assumptions (Nuclear)'!I21/10^3</f>
        <v>4.3926865226692584</v>
      </c>
      <c r="K1106" s="147">
        <f>K1104*'Assumptions (Nuclear)'!J21/10^3</f>
        <v>4.4793383784246394</v>
      </c>
      <c r="L1106" s="147">
        <f>L1104*'Assumptions (Nuclear)'!K21/10^3</f>
        <v>4.5272495832897208</v>
      </c>
      <c r="M1106" s="147">
        <f>M1104*'Assumptions (Nuclear)'!L21/10^3</f>
        <v>4.6646960692087269</v>
      </c>
      <c r="N1106" s="147">
        <f>N1104*'Assumptions (Nuclear)'!M21/10^3</f>
        <v>4.6591476567910446</v>
      </c>
      <c r="O1106" s="147">
        <f>O1104*'Assumptions (Nuclear)'!N21/10^3</f>
        <v>4.6267985808232917</v>
      </c>
      <c r="P1106" s="147">
        <f>P1104*'Assumptions (Nuclear)'!O21/10^3</f>
        <v>4.8400902840137316</v>
      </c>
      <c r="Q1106" s="147">
        <f>Q1104*'Assumptions (Nuclear)'!P21/10^3</f>
        <v>4.9878837329533896</v>
      </c>
      <c r="R1106" s="147">
        <f>R1104*'Assumptions (Nuclear)'!Q21/10^3</f>
        <v>5.0877173234140711</v>
      </c>
      <c r="S1106" s="147">
        <f>S1104*'Assumptions (Nuclear)'!R21/10^3</f>
        <v>5.235438287215687</v>
      </c>
      <c r="T1106" s="147">
        <f>T1104*'Assumptions (Nuclear)'!S21/10^3</f>
        <v>5.2609890432800004</v>
      </c>
      <c r="U1106" s="147">
        <f>U1104*'Assumptions (Nuclear)'!T21/10^3</f>
        <v>5.3980187422704002</v>
      </c>
      <c r="V1106" s="147">
        <f>V1104*'Assumptions (Nuclear)'!U21/10^3</f>
        <v>5.21588869119641</v>
      </c>
      <c r="W1106" s="147">
        <f>W1104*'Assumptions (Nuclear)'!V21/10^3</f>
        <v>4.9454240920778814</v>
      </c>
      <c r="X1106" s="147">
        <f>X1104*'Assumptions (Nuclear)'!W21/10^3</f>
        <v>4.671579475352555</v>
      </c>
      <c r="Y1106" s="147">
        <f>Y1104*'Assumptions (Nuclear)'!X21/10^3</f>
        <v>4.4076513438898788</v>
      </c>
      <c r="Z1106" s="147">
        <f>Z1104*'Assumptions (Nuclear)'!Y21/10^3</f>
        <v>4.1533298613474336</v>
      </c>
      <c r="AA1106" s="147">
        <f>AA1104*'Assumptions (Nuclear)'!Z21/10^3</f>
        <v>3.9083141649343163</v>
      </c>
      <c r="AB1106" s="147">
        <f>AB1104*'Assumptions (Nuclear)'!AA21/10^3</f>
        <v>3.6723121172825137</v>
      </c>
      <c r="AC1106" s="147">
        <f>AC1104*'Assumptions (Nuclear)'!AB21/10^3</f>
        <v>3.4450400649681341</v>
      </c>
      <c r="AD1106" s="147">
        <f>AD1104*'Assumptions (Nuclear)'!AC21/10^3</f>
        <v>3.2948937354699397</v>
      </c>
      <c r="AE1106" s="147">
        <f>AE1104*'Assumptions (Nuclear)'!AD21/10^3</f>
        <v>3.145334211129478</v>
      </c>
      <c r="AF1106" s="147">
        <f>AF1104*'Assumptions (Nuclear)'!AE21/10^3</f>
        <v>2.9963597453114366</v>
      </c>
      <c r="AG1106" s="147">
        <f>AG1104*'Assumptions (Nuclear)'!AF21/10^3</f>
        <v>2.8479685960198227</v>
      </c>
      <c r="AH1106" s="147">
        <f>AH1104*'Assumptions (Nuclear)'!AG21/10^3</f>
        <v>2.7001590258863941</v>
      </c>
      <c r="AI1106" s="147">
        <f>AI1104*'Assumptions (Nuclear)'!AH21/10^3</f>
        <v>2.5529293021591148</v>
      </c>
      <c r="AJ1106" s="147">
        <f>AJ1104*'Assumptions (Nuclear)'!AI21/10^3</f>
        <v>2.4062776966906414</v>
      </c>
      <c r="AK1106" s="147">
        <f>AK1104*'Assumptions (Nuclear)'!AJ21/10^3</f>
        <v>2.260202485926833</v>
      </c>
      <c r="AL1106" s="147">
        <f>AL1104*'Assumptions (Nuclear)'!AK21/10^3</f>
        <v>2.1147019508952929</v>
      </c>
      <c r="AM1106" s="147">
        <f>AM1104*'Assumptions (Nuclear)'!AL21/10^3</f>
        <v>1.9697743771939356</v>
      </c>
      <c r="AN1106" s="147">
        <f>AN1104*'Assumptions (Nuclear)'!AM21/10^3</f>
        <v>1.8254180549795802</v>
      </c>
      <c r="AO1106" s="147">
        <f>AO1104*'Assumptions (Nuclear)'!AN21/10^3</f>
        <v>1.6816312789565731</v>
      </c>
      <c r="AP1106" s="147">
        <f>AP1104*'Assumptions (Nuclear)'!AO21/10^3</f>
        <v>1.5384123483654379</v>
      </c>
      <c r="AQ1106" s="147">
        <f>AQ1104*'Assumptions (Nuclear)'!AP21/10^3</f>
        <v>1.3957595669715519</v>
      </c>
      <c r="AR1106" s="147">
        <f>AR1104*'Assumptions (Nuclear)'!AQ21/10^3</f>
        <v>1.2536712430538481</v>
      </c>
      <c r="AS1106" s="147">
        <f>AS1104*'Assumptions (Nuclear)'!AR21/10^3</f>
        <v>1.1121456893935471</v>
      </c>
      <c r="AT1106" s="147">
        <f>AT1104*'Assumptions (Nuclear)'!AS21/10^3</f>
        <v>0.97118122326291523</v>
      </c>
      <c r="AU1106" s="147">
        <f>AU1104*'Assumptions (Nuclear)'!AT21/10^3</f>
        <v>0.83077616641404828</v>
      </c>
      <c r="AV1106" s="147">
        <f>AV1104*'Assumptions (Nuclear)'!AU21/10^3</f>
        <v>0.69092884506768359</v>
      </c>
      <c r="AW1106" s="147">
        <f>AW1104*'Assumptions (Nuclear)'!AV21/10^3</f>
        <v>0.55163758990203871</v>
      </c>
      <c r="AX1106" s="147">
        <f>AX1104*'Assumptions (Nuclear)'!AW21/10^3</f>
        <v>0.41290073604167615</v>
      </c>
      <c r="AY1106" s="147">
        <f>AY1104*'Assumptions (Nuclear)'!AX21/10^3</f>
        <v>0.27471662304639538</v>
      </c>
      <c r="AZ1106" s="147">
        <f>AZ1104*'Assumptions (Nuclear)'!AY21/10^3</f>
        <v>0.13708359490015165</v>
      </c>
      <c r="BA1106" s="147">
        <f>BA1104*'Assumptions (Nuclear)'!AZ21/10^3</f>
        <v>0</v>
      </c>
    </row>
    <row r="1107" spans="1:53" ht="15.75" customHeight="1">
      <c r="A1107" s="407" t="s">
        <v>34</v>
      </c>
      <c r="B1107" s="99" t="s">
        <v>201</v>
      </c>
      <c r="C1107" s="147">
        <f>C1104*'Assumptions (Nuclear)'!B24/10^3</f>
        <v>4.1973304180155449</v>
      </c>
      <c r="D1107" s="147">
        <f>D1104*'Assumptions (Nuclear)'!C24/10^3</f>
        <v>4.3172846318976568</v>
      </c>
      <c r="E1107" s="147">
        <f>E1104*'Assumptions (Nuclear)'!D24/10^3</f>
        <v>4.4180608599501783</v>
      </c>
      <c r="F1107" s="147">
        <f>F1104*'Assumptions (Nuclear)'!E24/10^3</f>
        <v>4.3627643608954703</v>
      </c>
      <c r="G1107" s="147">
        <f>G1104*'Assumptions (Nuclear)'!F24/10^3</f>
        <v>4.5431457544703759</v>
      </c>
      <c r="H1107" s="147">
        <f>H1104*'Assumptions (Nuclear)'!G24/10^3</f>
        <v>4.5442004680772801</v>
      </c>
      <c r="I1107" s="147">
        <f>I1104*'Assumptions (Nuclear)'!H24/10^3</f>
        <v>4.6139473239030142</v>
      </c>
      <c r="J1107" s="147">
        <f>J1104*'Assumptions (Nuclear)'!I24/10^3</f>
        <v>4.7671638485961676</v>
      </c>
      <c r="K1107" s="147">
        <f>K1104*'Assumptions (Nuclear)'!J24/10^3</f>
        <v>4.8068717008180366</v>
      </c>
      <c r="L1107" s="147">
        <f>L1104*'Assumptions (Nuclear)'!K24/10^3</f>
        <v>4.8039877238266575</v>
      </c>
      <c r="M1107" s="147">
        <f>M1104*'Assumptions (Nuclear)'!L24/10^3</f>
        <v>4.8945142344026689</v>
      </c>
      <c r="N1107" s="147">
        <f>N1104*'Assumptions (Nuclear)'!M24/10^3</f>
        <v>4.8340541377238333</v>
      </c>
      <c r="O1107" s="147">
        <f>O1104*'Assumptions (Nuclear)'!N24/10^3</f>
        <v>4.7468381203128294</v>
      </c>
      <c r="P1107" s="147">
        <f>P1104*'Assumptions (Nuclear)'!O24/10^3</f>
        <v>4.9101649573665762</v>
      </c>
      <c r="Q1107" s="147">
        <f>Q1104*'Assumptions (Nuclear)'!P24/10^3</f>
        <v>5.0035441169595192</v>
      </c>
      <c r="R1107" s="147">
        <f>R1104*'Assumptions (Nuclear)'!Q24/10^3</f>
        <v>5.046649899384037</v>
      </c>
      <c r="S1107" s="147">
        <f>S1104*'Assumptions (Nuclear)'!R24/10^3</f>
        <v>5.1351370713464215</v>
      </c>
      <c r="T1107" s="147">
        <f>T1104*'Assumptions (Nuclear)'!S24/10^3</f>
        <v>5.1025255178800011</v>
      </c>
      <c r="U1107" s="147">
        <f>U1104*'Assumptions (Nuclear)'!T24/10^3</f>
        <v>5.1769142112927122</v>
      </c>
      <c r="V1107" s="147">
        <f>V1104*'Assumptions (Nuclear)'!U24/10^3</f>
        <v>5.1629794971090126</v>
      </c>
      <c r="W1107" s="147">
        <f>W1104*'Assumptions (Nuclear)'!V24/10^3</f>
        <v>5.0525559487003324</v>
      </c>
      <c r="X1107" s="147">
        <f>X1104*'Assumptions (Nuclear)'!W24/10^3</f>
        <v>4.9261409988638496</v>
      </c>
      <c r="Y1107" s="147">
        <f>Y1104*'Assumptions (Nuclear)'!X24/10^3</f>
        <v>4.7971780248522133</v>
      </c>
      <c r="Z1107" s="147">
        <f>Z1104*'Assumptions (Nuclear)'!Y24/10^3</f>
        <v>4.6656325502993026</v>
      </c>
      <c r="AA1107" s="147">
        <f>AA1104*'Assumptions (Nuclear)'!Z24/10^3</f>
        <v>4.5314696942973622</v>
      </c>
      <c r="AB1107" s="147">
        <f>AB1104*'Assumptions (Nuclear)'!AA24/10^3</f>
        <v>4.3946541669887687</v>
      </c>
      <c r="AC1107" s="147">
        <f>AC1104*'Assumptions (Nuclear)'!AB24/10^3</f>
        <v>4.2551502651118769</v>
      </c>
      <c r="AD1107" s="147">
        <f>AD1104*'Assumptions (Nuclear)'!AC24/10^3</f>
        <v>4.1129218675005133</v>
      </c>
      <c r="AE1107" s="147">
        <f>AE1104*'Assumptions (Nuclear)'!AD24/10^3</f>
        <v>3.9679324305366253</v>
      </c>
      <c r="AF1107" s="147">
        <f>AF1104*'Assumptions (Nuclear)'!AE24/10^3</f>
        <v>3.8201449835556387</v>
      </c>
      <c r="AG1107" s="147">
        <f>AG1104*'Assumptions (Nuclear)'!AF24/10^3</f>
        <v>3.6695221242040161</v>
      </c>
      <c r="AH1107" s="147">
        <f>AH1104*'Assumptions (Nuclear)'!AG24/10^3</f>
        <v>3.5160260137485615</v>
      </c>
      <c r="AI1107" s="147">
        <f>AI1104*'Assumptions (Nuclear)'!AH24/10^3</f>
        <v>3.3596183723369673</v>
      </c>
      <c r="AJ1107" s="147">
        <f>AJ1104*'Assumptions (Nuclear)'!AI24/10^3</f>
        <v>3.200260474209117</v>
      </c>
      <c r="AK1107" s="147">
        <f>AK1104*'Assumptions (Nuclear)'!AJ24/10^3</f>
        <v>3.0379131428586494</v>
      </c>
      <c r="AL1107" s="147">
        <f>AL1104*'Assumptions (Nuclear)'!AK24/10^3</f>
        <v>2.8725367461442817</v>
      </c>
      <c r="AM1107" s="147">
        <f>AM1104*'Assumptions (Nuclear)'!AL24/10^3</f>
        <v>2.7040911913503805</v>
      </c>
      <c r="AN1107" s="147">
        <f>AN1104*'Assumptions (Nuclear)'!AM24/10^3</f>
        <v>2.5325359201962798</v>
      </c>
      <c r="AO1107" s="147">
        <f>AO1104*'Assumptions (Nuclear)'!AN24/10^3</f>
        <v>2.3578299037938164</v>
      </c>
      <c r="AP1107" s="147">
        <f>AP1104*'Assumptions (Nuclear)'!AO24/10^3</f>
        <v>2.1799316375525724</v>
      </c>
      <c r="AQ1107" s="147">
        <f>AQ1104*'Assumptions (Nuclear)'!AP24/10^3</f>
        <v>1.998799136032295</v>
      </c>
      <c r="AR1107" s="147">
        <f>AR1104*'Assumptions (Nuclear)'!AQ24/10^3</f>
        <v>1.8143899277419553</v>
      </c>
      <c r="AS1107" s="147">
        <f>AS1104*'Assumptions (Nuclear)'!AR24/10^3</f>
        <v>1.6266610498849212</v>
      </c>
      <c r="AT1107" s="147">
        <f>AT1104*'Assumptions (Nuclear)'!AS24/10^3</f>
        <v>1.4355690430496901</v>
      </c>
      <c r="AU1107" s="147">
        <f>AU1104*'Assumptions (Nuclear)'!AT24/10^3</f>
        <v>1.2410699458456436</v>
      </c>
      <c r="AV1107" s="147">
        <f>AV1104*'Assumptions (Nuclear)'!AU24/10^3</f>
        <v>1.0431192894832635</v>
      </c>
      <c r="AW1107" s="147">
        <f>AW1104*'Assumptions (Nuclear)'!AV24/10^3</f>
        <v>0.84167209229825568</v>
      </c>
      <c r="AX1107" s="147">
        <f>AX1104*'Assumptions (Nuclear)'!AW24/10^3</f>
        <v>0.63668285421901583</v>
      </c>
      <c r="AY1107" s="147">
        <f>AY1104*'Assumptions (Nuclear)'!AX24/10^3</f>
        <v>0.42810555117686655</v>
      </c>
      <c r="AZ1107" s="147">
        <f>AZ1104*'Assumptions (Nuclear)'!AY24/10^3</f>
        <v>0.2158936294584943</v>
      </c>
      <c r="BA1107" s="147">
        <f>BA1104*'Assumptions (Nuclear)'!AZ24/10^3</f>
        <v>0</v>
      </c>
    </row>
    <row r="1108" spans="1:53" ht="15.75" customHeight="1">
      <c r="A1108" s="407" t="s">
        <v>36</v>
      </c>
      <c r="B1108" s="99" t="s">
        <v>201</v>
      </c>
      <c r="C1108" s="147">
        <f>C1104*'Assumptions (Nuclear)'!B35/10^3</f>
        <v>50.463030167604003</v>
      </c>
      <c r="D1108" s="147">
        <f>D1104*'Assumptions (Nuclear)'!C35/10^3</f>
        <v>52.712807507511606</v>
      </c>
      <c r="E1108" s="147">
        <f>E1104*'Assumptions (Nuclear)'!D35/10^3</f>
        <v>48.354300599321206</v>
      </c>
      <c r="F1108" s="147">
        <f>F1104*'Assumptions (Nuclear)'!E35/10^3</f>
        <v>57.547182194980515</v>
      </c>
      <c r="G1108" s="147">
        <f>G1104*'Assumptions (Nuclear)'!F35/10^3</f>
        <v>62.425978783499893</v>
      </c>
      <c r="H1108" s="147">
        <f>H1104*'Assumptions (Nuclear)'!G35/10^3</f>
        <v>74.955660845708508</v>
      </c>
      <c r="I1108" s="147">
        <f>I1104*'Assumptions (Nuclear)'!H35/10^3</f>
        <v>67.887924565777212</v>
      </c>
      <c r="J1108" s="147">
        <f>J1104*'Assumptions (Nuclear)'!I35/10^3</f>
        <v>70.684500522530101</v>
      </c>
      <c r="K1108" s="147">
        <f>K1104*'Assumptions (Nuclear)'!J35/10^3</f>
        <v>81.780332471216994</v>
      </c>
      <c r="L1108" s="147">
        <f>L1104*'Assumptions (Nuclear)'!K35/10^3</f>
        <v>56.578955868083497</v>
      </c>
      <c r="M1108" s="147">
        <f>M1104*'Assumptions (Nuclear)'!L35/10^3</f>
        <v>59.093401017098891</v>
      </c>
      <c r="N1108" s="147">
        <f>N1104*'Assumptions (Nuclear)'!M35/10^3</f>
        <v>55.742833518224103</v>
      </c>
      <c r="O1108" s="147">
        <f>O1104*'Assumptions (Nuclear)'!N35/10^3</f>
        <v>46.927513660252202</v>
      </c>
      <c r="P1108" s="147">
        <f>P1104*'Assumptions (Nuclear)'!O35/10^3</f>
        <v>53.427698157663883</v>
      </c>
      <c r="Q1108" s="147">
        <f>Q1104*'Assumptions (Nuclear)'!P35/10^3</f>
        <v>57.924710899860614</v>
      </c>
      <c r="R1108" s="147">
        <f>R1104*'Assumptions (Nuclear)'!Q35/10^3</f>
        <v>47.72432909120819</v>
      </c>
      <c r="S1108" s="147">
        <f>S1104*'Assumptions (Nuclear)'!R35/10^3</f>
        <v>51.527593626979993</v>
      </c>
      <c r="T1108" s="147">
        <f>T1104*'Assumptions (Nuclear)'!S35/10^3</f>
        <v>49.551544392579999</v>
      </c>
      <c r="U1108" s="147">
        <f>U1104*'Assumptions (Nuclear)'!T35/10^3</f>
        <v>51.168320820600009</v>
      </c>
      <c r="V1108" s="147">
        <f>V1104*'Assumptions (Nuclear)'!U35/10^3</f>
        <v>51.296871243790001</v>
      </c>
      <c r="W1108" s="147">
        <f>W1104*'Assumptions (Nuclear)'!V35/10^3</f>
        <v>51.915275484800006</v>
      </c>
      <c r="X1108" s="147">
        <f>X1104*'Assumptions (Nuclear)'!W35/10^3</f>
        <v>50.565402580073339</v>
      </c>
      <c r="Y1108" s="147">
        <f>Y1104*'Assumptions (Nuclear)'!X35/10^3</f>
        <v>49.272537117439995</v>
      </c>
      <c r="Z1108" s="147">
        <f>Z1104*'Assumptions (Nuclear)'!Y35/10^3</f>
        <v>48.287772030420008</v>
      </c>
      <c r="AA1108" s="147">
        <f>AA1104*'Assumptions (Nuclear)'!Z35/10^3</f>
        <v>47.383126488880009</v>
      </c>
      <c r="AB1108" s="147">
        <f>AB1104*'Assumptions (Nuclear)'!AA35/10^3</f>
        <v>46.845996424500008</v>
      </c>
      <c r="AC1108" s="147">
        <f>AC1104*'Assumptions (Nuclear)'!AB35/10^3</f>
        <v>45.698296055360011</v>
      </c>
      <c r="AD1108" s="147">
        <f>AD1104*'Assumptions (Nuclear)'!AC35/10^3</f>
        <v>44.654793865326681</v>
      </c>
      <c r="AE1108" s="147">
        <f>AE1104*'Assumptions (Nuclear)'!AD35/10^3</f>
        <v>43.463492582986682</v>
      </c>
      <c r="AF1108" s="147">
        <f>AF1104*'Assumptions (Nuclear)'!AE35/10^3</f>
        <v>42.251992551860027</v>
      </c>
      <c r="AG1108" s="147">
        <f>AG1104*'Assumptions (Nuclear)'!AF35/10^3</f>
        <v>40.983104787733353</v>
      </c>
      <c r="AH1108" s="147">
        <f>AH1104*'Assumptions (Nuclear)'!AG35/10^3</f>
        <v>39.710964924626694</v>
      </c>
      <c r="AI1108" s="147">
        <f>AI1104*'Assumptions (Nuclear)'!AH35/10^3</f>
        <v>38.21227006740002</v>
      </c>
      <c r="AJ1108" s="147">
        <f>AJ1104*'Assumptions (Nuclear)'!AI35/10^3</f>
        <v>36.637079643320021</v>
      </c>
      <c r="AK1108" s="147">
        <f>AK1104*'Assumptions (Nuclear)'!AJ35/10^3</f>
        <v>35.008198362453349</v>
      </c>
      <c r="AL1108" s="147">
        <f>AL1104*'Assumptions (Nuclear)'!AK35/10^3</f>
        <v>33.370718225000012</v>
      </c>
      <c r="AM1108" s="147">
        <f>AM1104*'Assumptions (Nuclear)'!AL35/10^3</f>
        <v>31.791551059146673</v>
      </c>
      <c r="AN1108" s="147">
        <f>AN1104*'Assumptions (Nuclear)'!AM35/10^3</f>
        <v>30.101769452126675</v>
      </c>
      <c r="AO1108" s="147">
        <f>AO1104*'Assumptions (Nuclear)'!AN35/10^3</f>
        <v>28.410137877680011</v>
      </c>
      <c r="AP1108" s="147">
        <f>AP1104*'Assumptions (Nuclear)'!AO35/10^3</f>
        <v>26.624548195960006</v>
      </c>
      <c r="AQ1108" s="147">
        <f>AQ1104*'Assumptions (Nuclear)'!AP35/10^3</f>
        <v>24.698020971000005</v>
      </c>
      <c r="AR1108" s="147">
        <f>AR1104*'Assumptions (Nuclear)'!AQ35/10^3</f>
        <v>22.662898262160009</v>
      </c>
      <c r="AS1108" s="147">
        <f>AS1104*'Assumptions (Nuclear)'!AR35/10^3</f>
        <v>20.528555820586675</v>
      </c>
      <c r="AT1108" s="147">
        <f>AT1104*'Assumptions (Nuclear)'!AS35/10^3</f>
        <v>18.318415946740011</v>
      </c>
      <c r="AU1108" s="147">
        <f>AU1104*'Assumptions (Nuclear)'!AT35/10^3</f>
        <v>16.026989146480009</v>
      </c>
      <c r="AV1108" s="147">
        <f>AV1104*'Assumptions (Nuclear)'!AU35/10^3</f>
        <v>13.634031810966677</v>
      </c>
      <c r="AW1108" s="147">
        <f>AW1104*'Assumptions (Nuclear)'!AV35/10^3</f>
        <v>11.110956361440012</v>
      </c>
      <c r="AX1108" s="147">
        <f>AX1104*'Assumptions (Nuclear)'!AW35/10^3</f>
        <v>8.5163716929200124</v>
      </c>
      <c r="AY1108" s="147">
        <f>AY1104*'Assumptions (Nuclear)'!AX35/10^3</f>
        <v>5.8822393189733475</v>
      </c>
      <c r="AZ1108" s="147">
        <f>AZ1104*'Assumptions (Nuclear)'!AY35/10^3</f>
        <v>3.0194639193333472</v>
      </c>
      <c r="BA1108" s="147">
        <f>BA1104*'Assumptions (Nuclear)'!AZ35/10^3</f>
        <v>0</v>
      </c>
    </row>
    <row r="1109" spans="1:53" ht="15.75" customHeight="1">
      <c r="A1109" s="407" t="s">
        <v>38</v>
      </c>
      <c r="B1109" s="99" t="s">
        <v>201</v>
      </c>
      <c r="C1109" s="147">
        <f>C1103*'Assumptions (Nuclear)'!B37*'Assumptions (Nuclear)'!B38*365/10^9</f>
        <v>0</v>
      </c>
      <c r="D1109" s="147">
        <f>D1103*'Assumptions (Nuclear)'!C37*'Assumptions (Nuclear)'!C38*365/10^9</f>
        <v>0</v>
      </c>
      <c r="E1109" s="147">
        <f>E1103*'Assumptions (Nuclear)'!D37*'Assumptions (Nuclear)'!D38*365/10^9</f>
        <v>0</v>
      </c>
      <c r="F1109" s="147">
        <f>F1103*'Assumptions (Nuclear)'!E37*'Assumptions (Nuclear)'!E38*365/10^9</f>
        <v>0</v>
      </c>
      <c r="G1109" s="147">
        <f>G1103*'Assumptions (Nuclear)'!F37*'Assumptions (Nuclear)'!F38*365/10^9</f>
        <v>0</v>
      </c>
      <c r="H1109" s="147">
        <f>H1103*'Assumptions (Nuclear)'!G37*'Assumptions (Nuclear)'!G38*365/10^9</f>
        <v>0</v>
      </c>
      <c r="I1109" s="147">
        <f>I1103*'Assumptions (Nuclear)'!H37*'Assumptions (Nuclear)'!H38*365/10^9</f>
        <v>0</v>
      </c>
      <c r="J1109" s="147">
        <f>J1103*'Assumptions (Nuclear)'!I37*'Assumptions (Nuclear)'!I38*365/10^9</f>
        <v>4.3444765493785953</v>
      </c>
      <c r="K1109" s="147">
        <f>K1103*'Assumptions (Nuclear)'!J37*'Assumptions (Nuclear)'!J38*365/10^9</f>
        <v>4.4372905199689789</v>
      </c>
      <c r="L1109" s="147">
        <f>L1103*'Assumptions (Nuclear)'!K37*'Assumptions (Nuclear)'!K38*365/10^9</f>
        <v>5.1478597927849323</v>
      </c>
      <c r="M1109" s="147">
        <f>M1103*'Assumptions (Nuclear)'!L37*'Assumptions (Nuclear)'!L38*365/10^9</f>
        <v>3.6000843018921</v>
      </c>
      <c r="N1109" s="147">
        <f>N1103*'Assumptions (Nuclear)'!M37*'Assumptions (Nuclear)'!M38*365/10^9</f>
        <v>3.7315355260288419</v>
      </c>
      <c r="O1109" s="147">
        <f>O1103*'Assumptions (Nuclear)'!N37*'Assumptions (Nuclear)'!N38*365/10^9</f>
        <v>3.611157810874051</v>
      </c>
      <c r="P1109" s="147">
        <f>P1103*'Assumptions (Nuclear)'!O37*'Assumptions (Nuclear)'!O38*365/10^9</f>
        <v>3.0415071565939984</v>
      </c>
      <c r="Q1109" s="147">
        <f>Q1103*'Assumptions (Nuclear)'!P37*'Assumptions (Nuclear)'!P38*365/10^9</f>
        <v>3.3535799791362271</v>
      </c>
      <c r="R1109" s="147">
        <f>R1103*'Assumptions (Nuclear)'!Q37*'Assumptions (Nuclear)'!Q38*365/10^9</f>
        <v>3.6024308331859025</v>
      </c>
      <c r="S1109" s="147">
        <f>S1103*'Assumptions (Nuclear)'!R37*'Assumptions (Nuclear)'!R38*365/10^9</f>
        <v>2.9948634267162197</v>
      </c>
      <c r="T1109" s="147">
        <f>T1103*'Assumptions (Nuclear)'!S37*'Assumptions (Nuclear)'!S38*365/10^9</f>
        <v>3.1981619738429869</v>
      </c>
      <c r="U1109" s="147">
        <f>U1103*'Assumptions (Nuclear)'!T37*'Assumptions (Nuclear)'!T38*365/10^9</f>
        <v>3.0997306614128135</v>
      </c>
      <c r="V1109" s="147">
        <f>V1103*'Assumptions (Nuclear)'!U37*'Assumptions (Nuclear)'!U38*365/10^9</f>
        <v>3.1442018510247358</v>
      </c>
      <c r="W1109" s="147">
        <f>W1103*'Assumptions (Nuclear)'!V37*'Assumptions (Nuclear)'!V38*365/10^9</f>
        <v>3.1016473599999999</v>
      </c>
      <c r="X1109" s="147">
        <f>X1103*'Assumptions (Nuclear)'!W37*'Assumptions (Nuclear)'!W38*365/10^9</f>
        <v>3.0210000034718272</v>
      </c>
      <c r="Y1109" s="147">
        <f>Y1103*'Assumptions (Nuclear)'!X37*'Assumptions (Nuclear)'!X38*365/10^9</f>
        <v>2.9437585227791945</v>
      </c>
      <c r="Z1109" s="147">
        <f>Z1103*'Assumptions (Nuclear)'!Y37*'Assumptions (Nuclear)'!Y38*365/10^9</f>
        <v>2.8849243163947946</v>
      </c>
      <c r="AA1109" s="147">
        <f>AA1103*'Assumptions (Nuclear)'!Z37*'Assumptions (Nuclear)'!Z38*365/10^9</f>
        <v>2.8308768047625996</v>
      </c>
      <c r="AB1109" s="147">
        <f>AB1103*'Assumptions (Nuclear)'!AA37*'Assumptions (Nuclear)'!AA38*365/10^9</f>
        <v>2.7987862874610272</v>
      </c>
      <c r="AC1109" s="147">
        <f>AC1103*'Assumptions (Nuclear)'!AB37*'Assumptions (Nuclear)'!AB38*365/10^9</f>
        <v>2.7302176092295825</v>
      </c>
      <c r="AD1109" s="147">
        <f>AD1103*'Assumptions (Nuclear)'!AC37*'Assumptions (Nuclear)'!AC38*365/10^9</f>
        <v>2.6678741894432667</v>
      </c>
      <c r="AE1109" s="147">
        <f>AE1103*'Assumptions (Nuclear)'!AD37*'Assumptions (Nuclear)'!AD38*365/10^9</f>
        <v>2.5967006004980182</v>
      </c>
      <c r="AF1109" s="147">
        <f>AF1103*'Assumptions (Nuclear)'!AE37*'Assumptions (Nuclear)'!AE38*365/10^9</f>
        <v>2.5243202492797323</v>
      </c>
      <c r="AG1109" s="147">
        <f>AG1103*'Assumptions (Nuclear)'!AF37*'Assumptions (Nuclear)'!AF38*365/10^9</f>
        <v>2.4485113019711098</v>
      </c>
      <c r="AH1109" s="147">
        <f>AH1103*'Assumptions (Nuclear)'!AG37*'Assumptions (Nuclear)'!AG38*365/10^9</f>
        <v>2.3725080599366764</v>
      </c>
      <c r="AI1109" s="147">
        <f>AI1103*'Assumptions (Nuclear)'!AH37*'Assumptions (Nuclear)'!AH38*365/10^9</f>
        <v>2.2829694240736411</v>
      </c>
      <c r="AJ1109" s="147">
        <f>AJ1103*'Assumptions (Nuclear)'!AI37*'Assumptions (Nuclear)'!AI38*365/10^9</f>
        <v>2.1888606059132623</v>
      </c>
      <c r="AK1109" s="147">
        <f>AK1103*'Assumptions (Nuclear)'!AJ37*'Assumptions (Nuclear)'!AJ38*365/10^9</f>
        <v>2.0915440593405155</v>
      </c>
      <c r="AL1109" s="147">
        <f>AL1103*'Assumptions (Nuclear)'!AK37*'Assumptions (Nuclear)'!AK38*365/10^9</f>
        <v>1.9937137791781461</v>
      </c>
      <c r="AM1109" s="147">
        <f>AM1103*'Assumptions (Nuclear)'!AL37*'Assumptions (Nuclear)'!AL38*365/10^9</f>
        <v>1.899367372937814</v>
      </c>
      <c r="AN1109" s="147">
        <f>AN1103*'Assumptions (Nuclear)'!AM37*'Assumptions (Nuclear)'!AM38*365/10^9</f>
        <v>1.798412372478948</v>
      </c>
      <c r="AO1109" s="147">
        <f>AO1103*'Assumptions (Nuclear)'!AN37*'Assumptions (Nuclear)'!AN38*365/10^9</f>
        <v>1.6973468468127824</v>
      </c>
      <c r="AP1109" s="147">
        <f>AP1103*'Assumptions (Nuclear)'!AO37*'Assumptions (Nuclear)'!AO38*365/10^9</f>
        <v>1.5906678497231566</v>
      </c>
      <c r="AQ1109" s="147">
        <f>AQ1103*'Assumptions (Nuclear)'!AP37*'Assumptions (Nuclear)'!AP38*365/10^9</f>
        <v>1.4755686226562634</v>
      </c>
      <c r="AR1109" s="147">
        <f>AR1103*'Assumptions (Nuclear)'!AQ37*'Assumptions (Nuclear)'!AQ38*365/10^9</f>
        <v>1.3539814227771496</v>
      </c>
      <c r="AS1109" s="147">
        <f>AS1103*'Assumptions (Nuclear)'!AR37*'Assumptions (Nuclear)'!AR38*365/10^9</f>
        <v>1.2264663987804048</v>
      </c>
      <c r="AT1109" s="147">
        <f>AT1103*'Assumptions (Nuclear)'!AS37*'Assumptions (Nuclear)'!AS38*365/10^9</f>
        <v>1.094422902122965</v>
      </c>
      <c r="AU1109" s="147">
        <f>AU1103*'Assumptions (Nuclear)'!AT37*'Assumptions (Nuclear)'!AT38*365/10^9</f>
        <v>0.95752296623144639</v>
      </c>
      <c r="AV1109" s="147">
        <f>AV1103*'Assumptions (Nuclear)'!AU37*'Assumptions (Nuclear)'!AU38*365/10^9</f>
        <v>0.81455714869551443</v>
      </c>
      <c r="AW1109" s="147">
        <f>AW1103*'Assumptions (Nuclear)'!AV37*'Assumptions (Nuclear)'!AV38*365/10^9</f>
        <v>0.66381750156802433</v>
      </c>
      <c r="AX1109" s="147">
        <f>AX1103*'Assumptions (Nuclear)'!AW37*'Assumptions (Nuclear)'!AW38*365/10^9</f>
        <v>0.50880557854032671</v>
      </c>
      <c r="AY1109" s="147">
        <f>AY1103*'Assumptions (Nuclear)'!AX37*'Assumptions (Nuclear)'!AX38*365/10^9</f>
        <v>0.35143090129462279</v>
      </c>
      <c r="AZ1109" s="147">
        <f>AZ1103*'Assumptions (Nuclear)'!AY37*'Assumptions (Nuclear)'!AY38*365/10^9</f>
        <v>0.18039608201169177</v>
      </c>
      <c r="BA1109" s="147">
        <f>BA1103*'Assumptions (Nuclear)'!AZ37*'Assumptions (Nuclear)'!AZ38*365/10^9</f>
        <v>0</v>
      </c>
    </row>
    <row r="1110" spans="1:53" ht="15.75" customHeight="1">
      <c r="A1110" s="407" t="s">
        <v>46</v>
      </c>
      <c r="B1110" s="99" t="s">
        <v>152</v>
      </c>
      <c r="C1110" s="20">
        <v>0</v>
      </c>
      <c r="D1110" s="20">
        <v>0</v>
      </c>
      <c r="E1110" s="20">
        <v>0</v>
      </c>
      <c r="F1110" s="20">
        <v>0</v>
      </c>
      <c r="G1110" s="20">
        <v>0</v>
      </c>
      <c r="H1110" s="20">
        <v>0</v>
      </c>
      <c r="I1110" s="20">
        <v>0</v>
      </c>
      <c r="J1110" s="20">
        <v>0</v>
      </c>
      <c r="K1110" s="20">
        <v>0</v>
      </c>
      <c r="L1110" s="20">
        <v>0</v>
      </c>
      <c r="M1110" s="20">
        <v>0</v>
      </c>
      <c r="N1110" s="20">
        <v>0</v>
      </c>
      <c r="O1110" s="20">
        <v>0</v>
      </c>
      <c r="P1110" s="20">
        <v>0</v>
      </c>
      <c r="Q1110" s="20">
        <v>0</v>
      </c>
      <c r="R1110" s="20">
        <v>0</v>
      </c>
      <c r="S1110" s="20">
        <v>1122</v>
      </c>
      <c r="T1110" s="20">
        <v>0</v>
      </c>
      <c r="U1110" s="20">
        <v>0</v>
      </c>
      <c r="V1110" s="20">
        <v>1100</v>
      </c>
      <c r="W1110" s="90">
        <f>IF(W1103-V1103+'Assumptions (Nuclear)'!V44&gt;0,W1103-V1103+'Assumptions (Nuclear)'!V44,0)</f>
        <v>0</v>
      </c>
      <c r="X1110" s="90">
        <f>IF(X1103-W1103+'Assumptions (Nuclear)'!W44&gt;0,X1103-W1103+'Assumptions (Nuclear)'!W44,0)</f>
        <v>0</v>
      </c>
      <c r="Y1110" s="90">
        <f>IF(Y1103-X1103+'Assumptions (Nuclear)'!X44&gt;0,Y1103-X1103+'Assumptions (Nuclear)'!X44,0)</f>
        <v>0</v>
      </c>
      <c r="Z1110" s="90">
        <f>IF(Z1103-Y1103+'Assumptions (Nuclear)'!Y44&gt;0,Z1103-Y1103+'Assumptions (Nuclear)'!Y44,0)</f>
        <v>0</v>
      </c>
      <c r="AA1110" s="90">
        <f>IF(AA1103-Z1103+'Assumptions (Nuclear)'!Z44&gt;0,AA1103-Z1103+'Assumptions (Nuclear)'!Z44,0)</f>
        <v>0</v>
      </c>
      <c r="AB1110" s="90">
        <f>IF(AB1103-AA1103+'Assumptions (Nuclear)'!AA44&gt;0,AB1103-AA1103+'Assumptions (Nuclear)'!AA44,0)</f>
        <v>0</v>
      </c>
      <c r="AC1110" s="90">
        <f>IF(AC1103-AB1103+'Assumptions (Nuclear)'!AB44&gt;0,AC1103-AB1103+'Assumptions (Nuclear)'!AB44,0)</f>
        <v>0</v>
      </c>
      <c r="AD1110" s="90">
        <f>IF(AD1103-AC1103+'Assumptions (Nuclear)'!AC44&gt;0,AD1103-AC1103+'Assumptions (Nuclear)'!AC44,0)</f>
        <v>0</v>
      </c>
      <c r="AE1110" s="90">
        <f>IF(AE1103-AD1103+'Assumptions (Nuclear)'!AD44&gt;0,AE1103-AD1103+'Assumptions (Nuclear)'!AD44,0)</f>
        <v>0</v>
      </c>
      <c r="AF1110" s="90">
        <f>IF(AF1103-AE1103+'Assumptions (Nuclear)'!AE44&gt;0,AF1103-AE1103+'Assumptions (Nuclear)'!AE44,0)</f>
        <v>0</v>
      </c>
      <c r="AG1110" s="90">
        <f>IF(AG1103-AF1103+'Assumptions (Nuclear)'!AF44&gt;0,AG1103-AF1103+'Assumptions (Nuclear)'!AF44,0)</f>
        <v>0</v>
      </c>
      <c r="AH1110" s="90">
        <f>IF(AH1103-AG1103+'Assumptions (Nuclear)'!AG44&gt;0,AH1103-AG1103+'Assumptions (Nuclear)'!AG44,0)</f>
        <v>0</v>
      </c>
      <c r="AI1110" s="90">
        <f>IF(AI1103-AH1103+'Assumptions (Nuclear)'!AH44&gt;0,AI1103-AH1103+'Assumptions (Nuclear)'!AH44,0)</f>
        <v>0</v>
      </c>
      <c r="AJ1110" s="90">
        <f>IF(AJ1103-AI1103+'Assumptions (Nuclear)'!AI44&gt;0,AJ1103-AI1103+'Assumptions (Nuclear)'!AI44,0)</f>
        <v>0</v>
      </c>
      <c r="AK1110" s="90">
        <f>IF(AK1103-AJ1103+'Assumptions (Nuclear)'!AJ44&gt;0,AK1103-AJ1103+'Assumptions (Nuclear)'!AJ44,0)</f>
        <v>2373.8666666666641</v>
      </c>
      <c r="AL1110" s="90">
        <f>IF(AL1103-AK1103+'Assumptions (Nuclear)'!AK44&gt;0,AL1103-AK1103+'Assumptions (Nuclear)'!AK44,0)</f>
        <v>337.76666666666415</v>
      </c>
      <c r="AM1110" s="90">
        <f>IF(AM1103-AL1103+'Assumptions (Nuclear)'!AL44&gt;0,AM1103-AL1103+'Assumptions (Nuclear)'!AL44,0)</f>
        <v>5544.4666666666635</v>
      </c>
      <c r="AN1110" s="90">
        <f>IF(AN1103-AM1103+'Assumptions (Nuclear)'!AM44&gt;0,AN1103-AM1103+'Assumptions (Nuclear)'!AM44,0)</f>
        <v>3094.5666666666639</v>
      </c>
      <c r="AO1110" s="90">
        <f>IF(AO1103-AN1103+'Assumptions (Nuclear)'!AN44&gt;0,AO1103-AN1103+'Assumptions (Nuclear)'!AN44,0)</f>
        <v>618.96666666666442</v>
      </c>
      <c r="AP1110" s="90">
        <f>IF(AP1103-AO1103+'Assumptions (Nuclear)'!AO44&gt;0,AP1103-AO1103+'Assumptions (Nuclear)'!AO44,0)</f>
        <v>2661.5666666666639</v>
      </c>
      <c r="AQ1110" s="90">
        <f>IF(AQ1103-AP1103+'Assumptions (Nuclear)'!AP44&gt;0,AQ1103-AP1103+'Assumptions (Nuclear)'!AP44,0)</f>
        <v>0</v>
      </c>
      <c r="AR1110" s="90">
        <f>IF(AR1103-AQ1103+'Assumptions (Nuclear)'!AQ44&gt;0,AR1103-AQ1103+'Assumptions (Nuclear)'!AQ44,0)</f>
        <v>0</v>
      </c>
      <c r="AS1110" s="90">
        <f>IF(AS1103-AR1103+'Assumptions (Nuclear)'!AR44&gt;0,AS1103-AR1103+'Assumptions (Nuclear)'!AR44,0)</f>
        <v>0</v>
      </c>
      <c r="AT1110" s="90">
        <f>IF(AT1103-AS1103+'Assumptions (Nuclear)'!AS44&gt;0,AT1103-AS1103+'Assumptions (Nuclear)'!AS44,0)</f>
        <v>1183.6666666666679</v>
      </c>
      <c r="AU1110" s="90">
        <f>IF(AU1103-AT1103+'Assumptions (Nuclear)'!AT44&gt;0,AU1103-AT1103+'Assumptions (Nuclear)'!AT44,0)</f>
        <v>0</v>
      </c>
      <c r="AV1110" s="90">
        <f>IF(AV1103-AU1103+'Assumptions (Nuclear)'!AU44&gt;0,AV1103-AU1103+'Assumptions (Nuclear)'!AU44,0)</f>
        <v>0</v>
      </c>
      <c r="AW1110" s="90">
        <f>IF(AW1103-AV1103+'Assumptions (Nuclear)'!AV44&gt;0,AW1103-AV1103+'Assumptions (Nuclear)'!AV44,0)</f>
        <v>3598.6666666666661</v>
      </c>
      <c r="AX1110" s="90">
        <f>IF(AX1103-AW1103+'Assumptions (Nuclear)'!AW44&gt;0,AX1103-AW1103+'Assumptions (Nuclear)'!AW44,0)</f>
        <v>5323.1666666666661</v>
      </c>
      <c r="AY1110" s="90">
        <f>IF(AY1103-AX1103+'Assumptions (Nuclear)'!AX44&gt;0,AY1103-AX1103+'Assumptions (Nuclear)'!AX44,0)</f>
        <v>6210.9666666666653</v>
      </c>
      <c r="AZ1110" s="90">
        <f>IF(AZ1103-AY1103+'Assumptions (Nuclear)'!AY44&gt;0,AZ1103-AY1103+'Assumptions (Nuclear)'!AY44,0)</f>
        <v>4548.6666666666661</v>
      </c>
      <c r="BA1110" s="90">
        <f>IF(BA1103-AZ1103+'Assumptions (Nuclear)'!AZ44&gt;0,BA1103-AZ1103+'Assumptions (Nuclear)'!AZ44,0)</f>
        <v>2908.6666666666438</v>
      </c>
    </row>
    <row r="1111" spans="1:53" ht="15.75" customHeight="1">
      <c r="A1111" s="407" t="s">
        <v>48</v>
      </c>
      <c r="B1111" s="99" t="s">
        <v>153</v>
      </c>
      <c r="C1111" s="99"/>
      <c r="D1111" s="99"/>
      <c r="E1111" s="99"/>
      <c r="F1111" s="99"/>
      <c r="G1111" s="99"/>
      <c r="H1111" s="99"/>
      <c r="I1111" s="99"/>
      <c r="J1111" s="99"/>
      <c r="K1111" s="99"/>
      <c r="L1111" s="99"/>
      <c r="M1111" s="99"/>
      <c r="N1111" s="99"/>
      <c r="O1111" s="99"/>
      <c r="P1111" s="99"/>
      <c r="Q1111" s="99"/>
      <c r="R1111" s="99"/>
      <c r="S1111" s="99"/>
      <c r="T1111" s="99"/>
      <c r="U1111" s="99"/>
      <c r="V1111" s="99"/>
      <c r="W1111" s="90"/>
      <c r="X1111" s="90">
        <f>IF(W1110='Assumptions (Nuclear)'!$V$11,Model!X1104-Model!X1103*'Assumptions (Nuclear)'!V15*0.00876,0)</f>
        <v>0</v>
      </c>
      <c r="Y1111" s="90">
        <f>IF(X1110='Assumptions (Nuclear)'!$V$11,Model!Y1104-Model!Y1103*'Assumptions (Nuclear)'!W15*0.00876,0)</f>
        <v>0</v>
      </c>
      <c r="Z1111" s="90">
        <f>IF(Y1110='Assumptions (Nuclear)'!$V$11,Model!Z1104-Model!Z1103*'Assumptions (Nuclear)'!X15*0.00876,0)</f>
        <v>0</v>
      </c>
      <c r="AA1111" s="90">
        <f>IF(Z1110='Assumptions (Nuclear)'!$V$11,Model!AA1104-Model!AA1103*'Assumptions (Nuclear)'!Y15*0.00876,0)</f>
        <v>0</v>
      </c>
      <c r="AB1111" s="90">
        <f>IF(AA1110='Assumptions (Nuclear)'!$V$11,Model!AB1104-Model!AB1103*'Assumptions (Nuclear)'!Z15*0.00876,0)</f>
        <v>0</v>
      </c>
      <c r="AC1111" s="90">
        <f>IF(AB1110='Assumptions (Nuclear)'!$V$11,Model!AC1104-Model!AC1103*'Assumptions (Nuclear)'!AA15*0.00876,0)</f>
        <v>0</v>
      </c>
      <c r="AD1111" s="90">
        <f>IF(AC1110='Assumptions (Nuclear)'!$V$11,Model!AD1104-Model!AD1103*'Assumptions (Nuclear)'!AB15*0.00876,0)</f>
        <v>0</v>
      </c>
      <c r="AE1111" s="90">
        <f>IF(AD1110='Assumptions (Nuclear)'!$V$11,Model!AE1104-Model!AE1103*'Assumptions (Nuclear)'!AC15*0.00876,0)</f>
        <v>0</v>
      </c>
      <c r="AF1111" s="90">
        <f>IF(AE1110='Assumptions (Nuclear)'!$V$11,Model!AF1104-Model!AF1103*'Assumptions (Nuclear)'!AD15*0.00876,0)</f>
        <v>0</v>
      </c>
      <c r="AG1111" s="90">
        <f>IF(AF1110='Assumptions (Nuclear)'!$V$11,Model!AG1104-Model!AG1103*'Assumptions (Nuclear)'!AE15*0.00876,0)</f>
        <v>0</v>
      </c>
      <c r="AH1111" s="90">
        <f>IF(AG1110='Assumptions (Nuclear)'!$V$11,Model!AH1104-Model!AH1103*'Assumptions (Nuclear)'!AF15*0.00876,0)</f>
        <v>0</v>
      </c>
      <c r="AI1111" s="90">
        <f>IF(AH1110='Assumptions (Nuclear)'!$V$11,Model!AI1104-Model!AI1103*'Assumptions (Nuclear)'!AG15*0.00876,0)</f>
        <v>0</v>
      </c>
      <c r="AJ1111" s="90">
        <f>IF(AI1110='Assumptions (Nuclear)'!$V$11,Model!AJ1104-Model!AJ1103*'Assumptions (Nuclear)'!AH15*0.00876,0)</f>
        <v>0</v>
      </c>
      <c r="AK1111" s="90">
        <f>IF(AJ1110='Assumptions (Nuclear)'!$V$11,Model!AK1104-Model!AK1103*'Assumptions (Nuclear)'!AI15*0.00876,0)</f>
        <v>0</v>
      </c>
      <c r="AL1111" s="90">
        <f>IF(AK1110='Assumptions (Nuclear)'!$V$11,Model!AL1104-Model!AL1103*'Assumptions (Nuclear)'!AJ15*0.00876,0)</f>
        <v>0</v>
      </c>
      <c r="AM1111" s="90">
        <f>IF(AL1110='Assumptions (Nuclear)'!$V$11,Model!AM1104-Model!AM1103*'Assumptions (Nuclear)'!AK15*0.00876,0)</f>
        <v>0</v>
      </c>
      <c r="AN1111" s="90">
        <f>IF(AM1110='Assumptions (Nuclear)'!$V$11,Model!AN1104-Model!AN1103*'Assumptions (Nuclear)'!AL15*0.00876,0)</f>
        <v>0</v>
      </c>
      <c r="AO1111" s="90">
        <f>IF(AN1110='Assumptions (Nuclear)'!$V$11,Model!AO1104-Model!AO1103*'Assumptions (Nuclear)'!AM15*0.00876,0)</f>
        <v>0</v>
      </c>
      <c r="AP1111" s="90">
        <f>IF(AO1110='Assumptions (Nuclear)'!$V$11,Model!AP1104-Model!AP1103*'Assumptions (Nuclear)'!AN15*0.00876,0)</f>
        <v>0</v>
      </c>
      <c r="AQ1111" s="90">
        <f>IF(AP1110='Assumptions (Nuclear)'!$V$11,Model!AQ1104-Model!AQ1103*'Assumptions (Nuclear)'!AO15*0.00876,0)</f>
        <v>0</v>
      </c>
      <c r="AR1111" s="90">
        <f>IF(AQ1110='Assumptions (Nuclear)'!$V$11,Model!AR1104-Model!AR1103*'Assumptions (Nuclear)'!AP15*0.00876,0)</f>
        <v>0</v>
      </c>
      <c r="AS1111" s="90">
        <f>IF(AR1110='Assumptions (Nuclear)'!$V$11,Model!AS1104-Model!AS1103*'Assumptions (Nuclear)'!AQ15*0.00876,0)</f>
        <v>0</v>
      </c>
      <c r="AT1111" s="90">
        <f>IF(AS1110='Assumptions (Nuclear)'!$V$11,Model!AT1104-Model!AT1103*'Assumptions (Nuclear)'!AR15*0.00876,0)</f>
        <v>0</v>
      </c>
      <c r="AU1111" s="90">
        <f>IF(AT1110='Assumptions (Nuclear)'!$V$11,Model!AU1104-Model!AU1103*'Assumptions (Nuclear)'!AS15*0.00876,0)</f>
        <v>0</v>
      </c>
      <c r="AV1111" s="90">
        <f>IF(AU1110='Assumptions (Nuclear)'!$V$11,Model!AV1104-Model!AV1103*'Assumptions (Nuclear)'!AT15*0.00876,0)</f>
        <v>0</v>
      </c>
      <c r="AW1111" s="90">
        <f>IF(AV1110='Assumptions (Nuclear)'!$V$11,Model!AW1104-Model!AW1103*'Assumptions (Nuclear)'!AU15*0.00876,0)</f>
        <v>0</v>
      </c>
      <c r="AX1111" s="90">
        <f>IF(AW1110='Assumptions (Nuclear)'!$V$11,Model!AX1104-Model!AX1103*'Assumptions (Nuclear)'!AV15*0.00876,0)</f>
        <v>0</v>
      </c>
      <c r="AY1111" s="90">
        <f>IF(AX1110='Assumptions (Nuclear)'!$V$11,Model!AY1104-Model!AY1103*'Assumptions (Nuclear)'!AW15*0.00876,0)</f>
        <v>0</v>
      </c>
      <c r="AZ1111" s="90">
        <f>IF(AY1110='Assumptions (Nuclear)'!$V$11,Model!AZ1104-Model!AZ1103*'Assumptions (Nuclear)'!AX15*0.00876,0)</f>
        <v>0</v>
      </c>
      <c r="BA1111" s="90">
        <f>IF(AZ1110='Assumptions (Nuclear)'!$V$11,Model!BA1104-Model!BA1103*'Assumptions (Nuclear)'!AY15*0.00876,0)</f>
        <v>0</v>
      </c>
    </row>
    <row r="1112" spans="1:53" ht="15.75" customHeight="1">
      <c r="A1112" s="408" t="s">
        <v>290</v>
      </c>
      <c r="B1112" s="99" t="s">
        <v>201</v>
      </c>
      <c r="C1112" s="150">
        <f t="shared" ref="C1112:BA1112" si="29">SUM(C1113:C1163)</f>
        <v>0</v>
      </c>
      <c r="D1112" s="150">
        <f t="shared" si="29"/>
        <v>0</v>
      </c>
      <c r="E1112" s="150">
        <f t="shared" si="29"/>
        <v>0</v>
      </c>
      <c r="F1112" s="150">
        <f t="shared" si="29"/>
        <v>0</v>
      </c>
      <c r="G1112" s="150">
        <f t="shared" si="29"/>
        <v>0</v>
      </c>
      <c r="H1112" s="150">
        <f t="shared" si="29"/>
        <v>0</v>
      </c>
      <c r="I1112" s="150">
        <f t="shared" si="29"/>
        <v>0</v>
      </c>
      <c r="J1112" s="150">
        <f t="shared" si="29"/>
        <v>0</v>
      </c>
      <c r="K1112" s="150">
        <f t="shared" si="29"/>
        <v>0</v>
      </c>
      <c r="L1112" s="150">
        <f t="shared" si="29"/>
        <v>0</v>
      </c>
      <c r="M1112" s="150">
        <f t="shared" si="29"/>
        <v>0.9121469153277848</v>
      </c>
      <c r="N1112" s="150">
        <f t="shared" si="29"/>
        <v>0.93038985363434057</v>
      </c>
      <c r="O1112" s="150">
        <f t="shared" si="29"/>
        <v>0.94899765070702735</v>
      </c>
      <c r="P1112" s="150">
        <f t="shared" si="29"/>
        <v>1.9169752544281953</v>
      </c>
      <c r="Q1112" s="150">
        <f t="shared" si="29"/>
        <v>1.9553147595167593</v>
      </c>
      <c r="R1112" s="150">
        <f t="shared" si="29"/>
        <v>1.9944210547070944</v>
      </c>
      <c r="S1112" s="150">
        <f t="shared" si="29"/>
        <v>1.0070838989115032</v>
      </c>
      <c r="T1112" s="150">
        <f t="shared" si="29"/>
        <v>1.0272255768897331</v>
      </c>
      <c r="U1112" s="150">
        <f t="shared" si="29"/>
        <v>1.0477700884275278</v>
      </c>
      <c r="V1112" s="150">
        <f t="shared" si="29"/>
        <v>0</v>
      </c>
      <c r="W1112" s="150">
        <f t="shared" si="29"/>
        <v>0</v>
      </c>
      <c r="X1112" s="150">
        <f t="shared" si="29"/>
        <v>0</v>
      </c>
      <c r="Y1112" s="150">
        <f t="shared" si="29"/>
        <v>0</v>
      </c>
      <c r="Z1112" s="150">
        <f t="shared" si="29"/>
        <v>0</v>
      </c>
      <c r="AA1112" s="150">
        <f t="shared" si="29"/>
        <v>0</v>
      </c>
      <c r="AB1112" s="150">
        <f t="shared" si="29"/>
        <v>0</v>
      </c>
      <c r="AC1112" s="150">
        <f t="shared" si="29"/>
        <v>0</v>
      </c>
      <c r="AD1112" s="150">
        <f t="shared" si="29"/>
        <v>0</v>
      </c>
      <c r="AE1112" s="150">
        <f t="shared" si="29"/>
        <v>2.7563308809053382</v>
      </c>
      <c r="AF1112" s="150">
        <f t="shared" si="29"/>
        <v>3.2114869698857498</v>
      </c>
      <c r="AG1112" s="150">
        <f t="shared" si="29"/>
        <v>9.9735625724404358</v>
      </c>
      <c r="AH1112" s="150">
        <f t="shared" si="29"/>
        <v>13.986109170636523</v>
      </c>
      <c r="AI1112" s="150">
        <f t="shared" si="29"/>
        <v>15.043765755592013</v>
      </c>
      <c r="AJ1112" s="150">
        <f t="shared" si="29"/>
        <v>18.756674175512106</v>
      </c>
      <c r="AK1112" s="150">
        <f t="shared" si="29"/>
        <v>16.02773140588992</v>
      </c>
      <c r="AL1112" s="150">
        <f t="shared" si="29"/>
        <v>15.897787876761445</v>
      </c>
      <c r="AM1112" s="150">
        <f t="shared" si="29"/>
        <v>8.6728813331864441</v>
      </c>
      <c r="AN1112" s="150">
        <f t="shared" si="29"/>
        <v>6.1946991238667879</v>
      </c>
      <c r="AO1112" s="150">
        <f t="shared" si="29"/>
        <v>5.4425126186740398</v>
      </c>
      <c r="AP1112" s="150">
        <f t="shared" si="29"/>
        <v>1.7088594151278009</v>
      </c>
      <c r="AQ1112" s="150">
        <f t="shared" si="29"/>
        <v>7.0423391014968484</v>
      </c>
      <c r="AR1112" s="150">
        <f t="shared" si="29"/>
        <v>15.178717142116106</v>
      </c>
      <c r="AS1112" s="150">
        <f t="shared" si="29"/>
        <v>24.997901433668925</v>
      </c>
      <c r="AT1112" s="150">
        <f t="shared" si="29"/>
        <v>30.756369092130321</v>
      </c>
      <c r="AU1112" s="150">
        <f t="shared" si="29"/>
        <v>36.007798616629728</v>
      </c>
      <c r="AV1112" s="150">
        <f t="shared" si="29"/>
        <v>36.727954588962326</v>
      </c>
      <c r="AW1112" s="150">
        <f t="shared" si="29"/>
        <v>31.494638359107249</v>
      </c>
      <c r="AX1112" s="150">
        <f t="shared" si="29"/>
        <v>23.120264300815514</v>
      </c>
      <c r="AY1112" s="150">
        <f t="shared" si="29"/>
        <v>12.866547266219426</v>
      </c>
      <c r="AZ1112" s="150">
        <f t="shared" si="29"/>
        <v>5.1188521935424101</v>
      </c>
      <c r="BA1112" s="150">
        <f t="shared" si="29"/>
        <v>0</v>
      </c>
    </row>
    <row r="1113" spans="1:53" ht="15.75" hidden="1" customHeight="1" outlineLevel="1">
      <c r="A1113" s="407"/>
      <c r="B1113" s="99"/>
      <c r="C1113" s="91">
        <f>IF($C$1110&gt;0,6*'Assumptions (Nuclear)'!$V$13*Model!$C$1110*'Assumptions (Nuclear)'!B$2/10^9,0)</f>
        <v>0</v>
      </c>
      <c r="D1113" s="105"/>
      <c r="E1113" s="105"/>
      <c r="F1113" s="105"/>
      <c r="G1113" s="105"/>
      <c r="H1113" s="105"/>
      <c r="I1113" s="105"/>
      <c r="J1113" s="105"/>
      <c r="K1113" s="105"/>
      <c r="L1113" s="105"/>
      <c r="M1113" s="105"/>
      <c r="N1113" s="105"/>
      <c r="O1113" s="105"/>
      <c r="P1113" s="105"/>
      <c r="Q1113" s="105"/>
      <c r="R1113" s="105"/>
      <c r="S1113" s="105"/>
      <c r="T1113" s="105"/>
      <c r="U1113" s="105"/>
      <c r="V1113" s="99"/>
      <c r="W1113" s="147"/>
      <c r="X1113" s="147"/>
      <c r="Y1113" s="147"/>
      <c r="Z1113" s="147"/>
      <c r="AA1113" s="147"/>
      <c r="AB1113" s="147"/>
      <c r="AC1113" s="147"/>
      <c r="AD1113" s="147"/>
      <c r="AE1113" s="147"/>
      <c r="AF1113" s="147"/>
      <c r="AG1113" s="147"/>
      <c r="AH1113" s="147"/>
      <c r="AI1113" s="147"/>
      <c r="AJ1113" s="147"/>
      <c r="AK1113" s="147"/>
      <c r="AL1113" s="147"/>
      <c r="AM1113" s="147"/>
      <c r="AN1113" s="147"/>
      <c r="AO1113" s="147"/>
      <c r="AP1113" s="147"/>
      <c r="AQ1113" s="147"/>
      <c r="AR1113" s="147"/>
      <c r="AS1113" s="147"/>
      <c r="AT1113" s="147"/>
      <c r="AU1113" s="147"/>
      <c r="AV1113" s="147"/>
      <c r="AW1113" s="147"/>
      <c r="AX1113" s="147"/>
      <c r="AY1113" s="147"/>
      <c r="AZ1113" s="147"/>
      <c r="BA1113" s="147"/>
    </row>
    <row r="1114" spans="1:53" ht="15.75" hidden="1" customHeight="1" outlineLevel="1">
      <c r="A1114" s="407"/>
      <c r="B1114" s="99"/>
      <c r="C1114" s="91">
        <f>IF($D$1110&gt;0,6*'Assumptions (Nuclear)'!$V$13*Model!$D$1110*'Assumptions (Nuclear)'!B$2/10^9,0)</f>
        <v>0</v>
      </c>
      <c r="D1114" s="91"/>
      <c r="E1114" s="91"/>
      <c r="F1114" s="91"/>
      <c r="G1114" s="91"/>
      <c r="H1114" s="91"/>
      <c r="I1114" s="91"/>
      <c r="J1114" s="91"/>
      <c r="K1114" s="91"/>
      <c r="L1114" s="91"/>
      <c r="M1114" s="105"/>
      <c r="N1114" s="105"/>
      <c r="O1114" s="105"/>
      <c r="P1114" s="105"/>
      <c r="Q1114" s="105"/>
      <c r="R1114" s="105"/>
      <c r="S1114" s="105"/>
      <c r="T1114" s="105"/>
      <c r="U1114" s="105"/>
      <c r="V1114" s="99"/>
      <c r="W1114" s="147"/>
      <c r="X1114" s="147"/>
      <c r="Y1114" s="147"/>
      <c r="Z1114" s="147"/>
      <c r="AA1114" s="147"/>
      <c r="AB1114" s="147"/>
      <c r="AC1114" s="147"/>
      <c r="AD1114" s="147"/>
      <c r="AE1114" s="147"/>
      <c r="AF1114" s="147"/>
      <c r="AG1114" s="147"/>
      <c r="AH1114" s="147"/>
      <c r="AI1114" s="147"/>
      <c r="AJ1114" s="147"/>
      <c r="AK1114" s="147"/>
      <c r="AL1114" s="147"/>
      <c r="AM1114" s="147"/>
      <c r="AN1114" s="147"/>
      <c r="AO1114" s="147"/>
      <c r="AP1114" s="147"/>
      <c r="AQ1114" s="147"/>
      <c r="AR1114" s="147"/>
      <c r="AS1114" s="147"/>
      <c r="AT1114" s="147"/>
      <c r="AU1114" s="147"/>
      <c r="AV1114" s="147"/>
      <c r="AW1114" s="147"/>
      <c r="AX1114" s="147"/>
      <c r="AY1114" s="147"/>
      <c r="AZ1114" s="147"/>
      <c r="BA1114" s="147"/>
    </row>
    <row r="1115" spans="1:53" ht="15.75" hidden="1" customHeight="1" outlineLevel="1">
      <c r="A1115" s="407"/>
      <c r="B1115" s="99"/>
      <c r="C1115" s="91">
        <f>IF($E$1110&gt;0,5*'Assumptions (Nuclear)'!$V$13*Model!$E$1110*'Assumptions (Nuclear)'!B$2/10^9,0)</f>
        <v>0</v>
      </c>
      <c r="D1115" s="91">
        <f>IF($E$1110&gt;0,'Assumptions (Nuclear)'!$V$13*Model!$E$1110*'Assumptions (Nuclear)'!C$2/10^9,0)</f>
        <v>0</v>
      </c>
      <c r="E1115" s="91"/>
      <c r="F1115" s="91"/>
      <c r="G1115" s="91"/>
      <c r="H1115" s="91"/>
      <c r="I1115" s="91"/>
      <c r="J1115" s="91"/>
      <c r="K1115" s="91"/>
      <c r="L1115" s="91"/>
      <c r="M1115" s="105"/>
      <c r="N1115" s="105"/>
      <c r="O1115" s="105"/>
      <c r="P1115" s="105"/>
      <c r="Q1115" s="105"/>
      <c r="R1115" s="105"/>
      <c r="S1115" s="105"/>
      <c r="T1115" s="105"/>
      <c r="U1115" s="105"/>
      <c r="V1115" s="99"/>
      <c r="W1115" s="147"/>
      <c r="X1115" s="147"/>
      <c r="Y1115" s="147"/>
      <c r="Z1115" s="147"/>
      <c r="AA1115" s="147"/>
      <c r="AB1115" s="147"/>
      <c r="AC1115" s="147"/>
      <c r="AD1115" s="147"/>
      <c r="AE1115" s="147"/>
      <c r="AF1115" s="147"/>
      <c r="AG1115" s="147"/>
      <c r="AH1115" s="147"/>
      <c r="AI1115" s="147"/>
      <c r="AJ1115" s="147"/>
      <c r="AK1115" s="147"/>
      <c r="AL1115" s="147"/>
      <c r="AM1115" s="147"/>
      <c r="AN1115" s="147"/>
      <c r="AO1115" s="147"/>
      <c r="AP1115" s="147"/>
      <c r="AQ1115" s="147"/>
      <c r="AR1115" s="147"/>
      <c r="AS1115" s="147"/>
      <c r="AT1115" s="147"/>
      <c r="AU1115" s="147"/>
      <c r="AV1115" s="147"/>
      <c r="AW1115" s="147"/>
      <c r="AX1115" s="147"/>
      <c r="AY1115" s="147"/>
      <c r="AZ1115" s="147"/>
      <c r="BA1115" s="147"/>
    </row>
    <row r="1116" spans="1:53" ht="15.75" hidden="1" customHeight="1" outlineLevel="1">
      <c r="A1116" s="407"/>
      <c r="B1116" s="99"/>
      <c r="C1116" s="91">
        <f>IF($F$1110&gt;0,4*'Assumptions (Nuclear)'!$V$13*Model!$F$1110*'Assumptions (Nuclear)'!B$2/10^9,0)</f>
        <v>0</v>
      </c>
      <c r="D1116" s="91">
        <f>IF($F$1110&gt;0,'Assumptions (Nuclear)'!$V$13*Model!$F$1110*'Assumptions (Nuclear)'!C$2/10^9,0)</f>
        <v>0</v>
      </c>
      <c r="E1116" s="91">
        <f>IF($F$1110&gt;0,'Assumptions (Nuclear)'!$V$13*Model!$F$1110*'Assumptions (Nuclear)'!D$2/10^9,0)</f>
        <v>0</v>
      </c>
      <c r="F1116" s="91"/>
      <c r="G1116" s="91"/>
      <c r="H1116" s="91"/>
      <c r="I1116" s="91"/>
      <c r="J1116" s="91"/>
      <c r="K1116" s="91"/>
      <c r="L1116" s="91"/>
      <c r="M1116" s="105"/>
      <c r="N1116" s="105"/>
      <c r="O1116" s="105"/>
      <c r="P1116" s="105"/>
      <c r="Q1116" s="105"/>
      <c r="R1116" s="105"/>
      <c r="S1116" s="105"/>
      <c r="T1116" s="105"/>
      <c r="U1116" s="105"/>
      <c r="V1116" s="99"/>
      <c r="W1116" s="147"/>
      <c r="X1116" s="147"/>
      <c r="Y1116" s="147"/>
      <c r="Z1116" s="147"/>
      <c r="AA1116" s="147"/>
      <c r="AB1116" s="147"/>
      <c r="AC1116" s="147"/>
      <c r="AD1116" s="147"/>
      <c r="AE1116" s="147"/>
      <c r="AF1116" s="147"/>
      <c r="AG1116" s="147"/>
      <c r="AH1116" s="147"/>
      <c r="AI1116" s="147"/>
      <c r="AJ1116" s="147"/>
      <c r="AK1116" s="147"/>
      <c r="AL1116" s="147"/>
      <c r="AM1116" s="147"/>
      <c r="AN1116" s="147"/>
      <c r="AO1116" s="147"/>
      <c r="AP1116" s="147"/>
      <c r="AQ1116" s="147"/>
      <c r="AR1116" s="147"/>
      <c r="AS1116" s="147"/>
      <c r="AT1116" s="147"/>
      <c r="AU1116" s="147"/>
      <c r="AV1116" s="147"/>
      <c r="AW1116" s="147"/>
      <c r="AX1116" s="147"/>
      <c r="AY1116" s="147"/>
      <c r="AZ1116" s="147"/>
      <c r="BA1116" s="147"/>
    </row>
    <row r="1117" spans="1:53" ht="15.75" hidden="1" customHeight="1" outlineLevel="1">
      <c r="A1117" s="407"/>
      <c r="B1117" s="99"/>
      <c r="C1117" s="91">
        <f>IF($G$1110&gt;0,3*'Assumptions (Nuclear)'!$V$13*Model!$G$1110*'Assumptions (Nuclear)'!B$2/10^9,0)</f>
        <v>0</v>
      </c>
      <c r="D1117" s="91">
        <f>IF($G$1110&gt;0,'Assumptions (Nuclear)'!$V$13*Model!$G$1110*'Assumptions (Nuclear)'!C$2/10^9,0)</f>
        <v>0</v>
      </c>
      <c r="E1117" s="91">
        <f>IF($G$1110&gt;0,'Assumptions (Nuclear)'!$V$13*Model!$G$1110*'Assumptions (Nuclear)'!D$2/10^9,0)</f>
        <v>0</v>
      </c>
      <c r="F1117" s="91">
        <f>IF($G$1110&gt;0,'Assumptions (Nuclear)'!$V$13*Model!$G$1110*'Assumptions (Nuclear)'!E$2/10^9,0)</f>
        <v>0</v>
      </c>
      <c r="G1117" s="91"/>
      <c r="H1117" s="91"/>
      <c r="I1117" s="91"/>
      <c r="J1117" s="91"/>
      <c r="K1117" s="91"/>
      <c r="L1117" s="91"/>
      <c r="M1117" s="105"/>
      <c r="N1117" s="105"/>
      <c r="O1117" s="105"/>
      <c r="P1117" s="105"/>
      <c r="Q1117" s="105"/>
      <c r="R1117" s="105"/>
      <c r="S1117" s="105"/>
      <c r="T1117" s="105"/>
      <c r="U1117" s="105"/>
      <c r="V1117" s="99"/>
      <c r="W1117" s="147"/>
      <c r="X1117" s="147"/>
      <c r="Y1117" s="147"/>
      <c r="Z1117" s="147"/>
      <c r="AA1117" s="147"/>
      <c r="AB1117" s="147"/>
      <c r="AC1117" s="147"/>
      <c r="AD1117" s="147"/>
      <c r="AE1117" s="147"/>
      <c r="AF1117" s="147"/>
      <c r="AG1117" s="147"/>
      <c r="AH1117" s="147"/>
      <c r="AI1117" s="147"/>
      <c r="AJ1117" s="147"/>
      <c r="AK1117" s="147"/>
      <c r="AL1117" s="147"/>
      <c r="AM1117" s="147"/>
      <c r="AN1117" s="147"/>
      <c r="AO1117" s="147"/>
      <c r="AP1117" s="147"/>
      <c r="AQ1117" s="147"/>
      <c r="AR1117" s="147"/>
      <c r="AS1117" s="147"/>
      <c r="AT1117" s="147"/>
      <c r="AU1117" s="147"/>
      <c r="AV1117" s="147"/>
      <c r="AW1117" s="147"/>
      <c r="AX1117" s="147"/>
      <c r="AY1117" s="147"/>
      <c r="AZ1117" s="147"/>
      <c r="BA1117" s="147"/>
    </row>
    <row r="1118" spans="1:53" ht="15.75" hidden="1" customHeight="1" outlineLevel="1">
      <c r="A1118" s="407"/>
      <c r="B1118" s="99"/>
      <c r="C1118" s="91">
        <f>IF($H$1110&gt;0,2*'Assumptions (Nuclear)'!$V$13*Model!$H$1110*'Assumptions (Nuclear)'!B$2/10^9,0)</f>
        <v>0</v>
      </c>
      <c r="D1118" s="91">
        <f>IF($H$1110&gt;0,'Assumptions (Nuclear)'!$V$13*Model!$H$1110*'Assumptions (Nuclear)'!C$2/10^9,0)</f>
        <v>0</v>
      </c>
      <c r="E1118" s="91">
        <f>IF($H$1110&gt;0,'Assumptions (Nuclear)'!$V$13*Model!$H$1110*'Assumptions (Nuclear)'!D$2/10^9,0)</f>
        <v>0</v>
      </c>
      <c r="F1118" s="91">
        <f>IF($H$1110&gt;0,'Assumptions (Nuclear)'!$V$13*Model!$H$1110*'Assumptions (Nuclear)'!E$2/10^9,0)</f>
        <v>0</v>
      </c>
      <c r="G1118" s="91">
        <f>IF($H$1110&gt;0,'Assumptions (Nuclear)'!$V$13*Model!$H$1110*'Assumptions (Nuclear)'!F$2/10^9,0)</f>
        <v>0</v>
      </c>
      <c r="H1118" s="91"/>
      <c r="I1118" s="91"/>
      <c r="J1118" s="91"/>
      <c r="K1118" s="91"/>
      <c r="L1118" s="91"/>
      <c r="M1118" s="105"/>
      <c r="N1118" s="105"/>
      <c r="O1118" s="105"/>
      <c r="P1118" s="105"/>
      <c r="Q1118" s="105"/>
      <c r="R1118" s="105"/>
      <c r="S1118" s="105"/>
      <c r="T1118" s="105"/>
      <c r="U1118" s="105"/>
      <c r="V1118" s="99"/>
      <c r="W1118" s="147"/>
      <c r="X1118" s="147"/>
      <c r="Y1118" s="147"/>
      <c r="Z1118" s="147"/>
      <c r="AA1118" s="147"/>
      <c r="AB1118" s="147"/>
      <c r="AC1118" s="147"/>
      <c r="AD1118" s="147"/>
      <c r="AE1118" s="147"/>
      <c r="AF1118" s="147"/>
      <c r="AG1118" s="147"/>
      <c r="AH1118" s="147"/>
      <c r="AI1118" s="147"/>
      <c r="AJ1118" s="147"/>
      <c r="AK1118" s="147"/>
      <c r="AL1118" s="147"/>
      <c r="AM1118" s="147"/>
      <c r="AN1118" s="147"/>
      <c r="AO1118" s="147"/>
      <c r="AP1118" s="147"/>
      <c r="AQ1118" s="147"/>
      <c r="AR1118" s="147"/>
      <c r="AS1118" s="147"/>
      <c r="AT1118" s="147"/>
      <c r="AU1118" s="147"/>
      <c r="AV1118" s="147"/>
      <c r="AW1118" s="147"/>
      <c r="AX1118" s="147"/>
      <c r="AY1118" s="147"/>
      <c r="AZ1118" s="147"/>
      <c r="BA1118" s="147"/>
    </row>
    <row r="1119" spans="1:53" ht="15.75" hidden="1" customHeight="1" outlineLevel="1">
      <c r="A1119" s="407"/>
      <c r="B1119" s="99"/>
      <c r="C1119" s="91">
        <f>IF($I$1110&gt;0,'Assumptions (Nuclear)'!$V$13*Model!$I$1110*'Assumptions (Nuclear)'!B$2/10^9,0)</f>
        <v>0</v>
      </c>
      <c r="D1119" s="91">
        <f>IF($I$1110&gt;0,'Assumptions (Nuclear)'!$V$13*Model!$I$1110*'Assumptions (Nuclear)'!C$2/10^9,0)</f>
        <v>0</v>
      </c>
      <c r="E1119" s="91">
        <f>IF($I$1110&gt;0,'Assumptions (Nuclear)'!$V$13*Model!$I$1110*'Assumptions (Nuclear)'!D$2/10^9,0)</f>
        <v>0</v>
      </c>
      <c r="F1119" s="91">
        <f>IF($I$1110&gt;0,'Assumptions (Nuclear)'!$V$13*Model!$I$1110*'Assumptions (Nuclear)'!E$2/10^9,0)</f>
        <v>0</v>
      </c>
      <c r="G1119" s="91">
        <f>IF($I$1110&gt;0,'Assumptions (Nuclear)'!$V$13*Model!$I$1110*'Assumptions (Nuclear)'!F$2/10^9,0)</f>
        <v>0</v>
      </c>
      <c r="H1119" s="91">
        <f>IF($I$1110&gt;0,'Assumptions (Nuclear)'!$V$13*Model!$I$1110*'Assumptions (Nuclear)'!G$2/10^9,0)</f>
        <v>0</v>
      </c>
      <c r="I1119" s="91"/>
      <c r="J1119" s="91"/>
      <c r="K1119" s="91"/>
      <c r="L1119" s="91"/>
      <c r="M1119" s="105"/>
      <c r="N1119" s="105"/>
      <c r="O1119" s="105"/>
      <c r="P1119" s="105"/>
      <c r="Q1119" s="105"/>
      <c r="R1119" s="105"/>
      <c r="S1119" s="105"/>
      <c r="T1119" s="105"/>
      <c r="U1119" s="105"/>
      <c r="V1119" s="99"/>
      <c r="W1119" s="147"/>
      <c r="X1119" s="147"/>
      <c r="Y1119" s="147"/>
      <c r="Z1119" s="147"/>
      <c r="AA1119" s="147"/>
      <c r="AB1119" s="147"/>
      <c r="AC1119" s="147"/>
      <c r="AD1119" s="147"/>
      <c r="AE1119" s="147"/>
      <c r="AF1119" s="147"/>
      <c r="AG1119" s="147"/>
      <c r="AH1119" s="147"/>
      <c r="AI1119" s="147"/>
      <c r="AJ1119" s="147"/>
      <c r="AK1119" s="147"/>
      <c r="AL1119" s="147"/>
      <c r="AM1119" s="147"/>
      <c r="AN1119" s="147"/>
      <c r="AO1119" s="147"/>
      <c r="AP1119" s="147"/>
      <c r="AQ1119" s="147"/>
      <c r="AR1119" s="147"/>
      <c r="AS1119" s="147"/>
      <c r="AT1119" s="147"/>
      <c r="AU1119" s="147"/>
      <c r="AV1119" s="147"/>
      <c r="AW1119" s="147"/>
      <c r="AX1119" s="147"/>
      <c r="AY1119" s="147"/>
      <c r="AZ1119" s="147"/>
      <c r="BA1119" s="147"/>
    </row>
    <row r="1120" spans="1:53" ht="15.75" hidden="1" customHeight="1" outlineLevel="1">
      <c r="A1120" s="407"/>
      <c r="B1120" s="99"/>
      <c r="C1120" s="91"/>
      <c r="D1120" s="91">
        <f>IF($J$1110&gt;0,'Assumptions (Nuclear)'!$V$13*Model!$J$1110*'Assumptions (Nuclear)'!C$2/10^9,0)</f>
        <v>0</v>
      </c>
      <c r="E1120" s="91">
        <f>IF($J$1110&gt;0,'Assumptions (Nuclear)'!$V$13*Model!$J$1110*'Assumptions (Nuclear)'!D$2/10^9,0)</f>
        <v>0</v>
      </c>
      <c r="F1120" s="91">
        <f>IF($J$1110&gt;0,'Assumptions (Nuclear)'!$V$13*Model!$J$1110*'Assumptions (Nuclear)'!E$2/10^9,0)</f>
        <v>0</v>
      </c>
      <c r="G1120" s="91">
        <f>IF($J$1110&gt;0,'Assumptions (Nuclear)'!$V$13*Model!$J$1110*'Assumptions (Nuclear)'!F$2/10^9,0)</f>
        <v>0</v>
      </c>
      <c r="H1120" s="91">
        <f>IF($J$1110&gt;0,'Assumptions (Nuclear)'!$V$13*Model!$J$1110*'Assumptions (Nuclear)'!G$2/10^9,0)</f>
        <v>0</v>
      </c>
      <c r="I1120" s="91">
        <f>IF($J$1110&gt;0,'Assumptions (Nuclear)'!$V$13*Model!$J$1110*'Assumptions (Nuclear)'!H$2/10^9,0)</f>
        <v>0</v>
      </c>
      <c r="J1120" s="91"/>
      <c r="K1120" s="91"/>
      <c r="L1120" s="91"/>
      <c r="M1120" s="105"/>
      <c r="N1120" s="105"/>
      <c r="O1120" s="105"/>
      <c r="P1120" s="105"/>
      <c r="Q1120" s="105"/>
      <c r="R1120" s="105"/>
      <c r="S1120" s="105"/>
      <c r="T1120" s="105"/>
      <c r="U1120" s="105"/>
      <c r="V1120" s="99"/>
      <c r="W1120" s="147"/>
      <c r="X1120" s="147"/>
      <c r="Y1120" s="147"/>
      <c r="Z1120" s="147"/>
      <c r="AA1120" s="147"/>
      <c r="AB1120" s="147"/>
      <c r="AC1120" s="147"/>
      <c r="AD1120" s="147"/>
      <c r="AE1120" s="147"/>
      <c r="AF1120" s="147"/>
      <c r="AG1120" s="147"/>
      <c r="AH1120" s="147"/>
      <c r="AI1120" s="147"/>
      <c r="AJ1120" s="147"/>
      <c r="AK1120" s="147"/>
      <c r="AL1120" s="147"/>
      <c r="AM1120" s="147"/>
      <c r="AN1120" s="147"/>
      <c r="AO1120" s="147"/>
      <c r="AP1120" s="147"/>
      <c r="AQ1120" s="147"/>
      <c r="AR1120" s="147"/>
      <c r="AS1120" s="147"/>
      <c r="AT1120" s="147"/>
      <c r="AU1120" s="147"/>
      <c r="AV1120" s="147"/>
      <c r="AW1120" s="147"/>
      <c r="AX1120" s="147"/>
      <c r="AY1120" s="147"/>
      <c r="AZ1120" s="147"/>
      <c r="BA1120" s="147"/>
    </row>
    <row r="1121" spans="1:53" ht="15.75" hidden="1" customHeight="1" outlineLevel="1">
      <c r="A1121" s="407"/>
      <c r="B1121" s="99"/>
      <c r="C1121" s="91"/>
      <c r="D1121" s="91"/>
      <c r="E1121" s="91">
        <f>IF($K$1110&gt;0,'Assumptions (Nuclear)'!$V$13*Model!$K$1110*'Assumptions (Nuclear)'!D$2/10^9,0)</f>
        <v>0</v>
      </c>
      <c r="F1121" s="91">
        <f>IF($K$1110&gt;0,'Assumptions (Nuclear)'!$V$13*Model!$K$1110*'Assumptions (Nuclear)'!E$2/10^9,0)</f>
        <v>0</v>
      </c>
      <c r="G1121" s="91">
        <f>IF($K$1110&gt;0,'Assumptions (Nuclear)'!$V$13*Model!$K$1110*'Assumptions (Nuclear)'!F$2/10^9,0)</f>
        <v>0</v>
      </c>
      <c r="H1121" s="91">
        <f>IF($K$1110&gt;0,'Assumptions (Nuclear)'!$V$13*Model!$K$1110*'Assumptions (Nuclear)'!G$2/10^9,0)</f>
        <v>0</v>
      </c>
      <c r="I1121" s="91">
        <f>IF($K$1110&gt;0,'Assumptions (Nuclear)'!$V$13*Model!$K$1110*'Assumptions (Nuclear)'!H$2/10^9,0)</f>
        <v>0</v>
      </c>
      <c r="J1121" s="91">
        <f>IF($K$1110&gt;0,'Assumptions (Nuclear)'!$V$13*Model!$K$1110*'Assumptions (Nuclear)'!I$2/10^9,0)</f>
        <v>0</v>
      </c>
      <c r="K1121" s="91"/>
      <c r="L1121" s="91"/>
      <c r="M1121" s="105"/>
      <c r="N1121" s="105"/>
      <c r="O1121" s="105"/>
      <c r="P1121" s="105"/>
      <c r="Q1121" s="105"/>
      <c r="R1121" s="105"/>
      <c r="S1121" s="105"/>
      <c r="T1121" s="105"/>
      <c r="U1121" s="105"/>
      <c r="V1121" s="99"/>
      <c r="W1121" s="147"/>
      <c r="X1121" s="147"/>
      <c r="Y1121" s="147"/>
      <c r="Z1121" s="147"/>
      <c r="AA1121" s="147"/>
      <c r="AB1121" s="147"/>
      <c r="AC1121" s="147"/>
      <c r="AD1121" s="147"/>
      <c r="AE1121" s="147"/>
      <c r="AF1121" s="147"/>
      <c r="AG1121" s="147"/>
      <c r="AH1121" s="147"/>
      <c r="AI1121" s="147"/>
      <c r="AJ1121" s="147"/>
      <c r="AK1121" s="147"/>
      <c r="AL1121" s="147"/>
      <c r="AM1121" s="147"/>
      <c r="AN1121" s="147"/>
      <c r="AO1121" s="147"/>
      <c r="AP1121" s="147"/>
      <c r="AQ1121" s="147"/>
      <c r="AR1121" s="147"/>
      <c r="AS1121" s="147"/>
      <c r="AT1121" s="147"/>
      <c r="AU1121" s="147"/>
      <c r="AV1121" s="147"/>
      <c r="AW1121" s="147"/>
      <c r="AX1121" s="147"/>
      <c r="AY1121" s="147"/>
      <c r="AZ1121" s="147"/>
      <c r="BA1121" s="147"/>
    </row>
    <row r="1122" spans="1:53" ht="15.75" hidden="1" customHeight="1" outlineLevel="1">
      <c r="A1122" s="407"/>
      <c r="B1122" s="99"/>
      <c r="C1122" s="91"/>
      <c r="D1122" s="91"/>
      <c r="E1122" s="91"/>
      <c r="F1122" s="91">
        <f>IF($L$1110&gt;0,'Assumptions (Nuclear)'!$V$13*Model!$L$1110*'Assumptions (Nuclear)'!E$2/10^9,0)</f>
        <v>0</v>
      </c>
      <c r="G1122" s="91">
        <f>IF($L$1110&gt;0,'Assumptions (Nuclear)'!$V$13*Model!$L$1110*'Assumptions (Nuclear)'!F$2/10^9,0)</f>
        <v>0</v>
      </c>
      <c r="H1122" s="91">
        <f>IF($L$1110&gt;0,'Assumptions (Nuclear)'!$V$13*Model!$L$1110*'Assumptions (Nuclear)'!G$2/10^9,0)</f>
        <v>0</v>
      </c>
      <c r="I1122" s="91">
        <f>IF($L$1110&gt;0,'Assumptions (Nuclear)'!$V$13*Model!$L$1110*'Assumptions (Nuclear)'!H$2/10^9,0)</f>
        <v>0</v>
      </c>
      <c r="J1122" s="91">
        <f>IF($L$1110&gt;0,'Assumptions (Nuclear)'!$V$13*Model!$L$1110*'Assumptions (Nuclear)'!I$2/10^9,0)</f>
        <v>0</v>
      </c>
      <c r="K1122" s="91">
        <f>IF($L$1110&gt;0,'Assumptions (Nuclear)'!$V$13*Model!$L$1110*'Assumptions (Nuclear)'!J$2/10^9,0)</f>
        <v>0</v>
      </c>
      <c r="L1122" s="91"/>
      <c r="M1122" s="105"/>
      <c r="N1122" s="105"/>
      <c r="O1122" s="105"/>
      <c r="P1122" s="105"/>
      <c r="Q1122" s="105"/>
      <c r="R1122" s="105"/>
      <c r="S1122" s="105"/>
      <c r="T1122" s="105"/>
      <c r="U1122" s="105"/>
      <c r="V1122" s="99"/>
      <c r="W1122" s="147"/>
      <c r="X1122" s="147"/>
      <c r="Y1122" s="147"/>
      <c r="Z1122" s="147"/>
      <c r="AA1122" s="147"/>
      <c r="AB1122" s="147"/>
      <c r="AC1122" s="147"/>
      <c r="AD1122" s="147"/>
      <c r="AE1122" s="147"/>
      <c r="AF1122" s="147"/>
      <c r="AG1122" s="147"/>
      <c r="AH1122" s="147"/>
      <c r="AI1122" s="147"/>
      <c r="AJ1122" s="147"/>
      <c r="AK1122" s="147"/>
      <c r="AL1122" s="147"/>
      <c r="AM1122" s="147"/>
      <c r="AN1122" s="147"/>
      <c r="AO1122" s="147"/>
      <c r="AP1122" s="147"/>
      <c r="AQ1122" s="147"/>
      <c r="AR1122" s="147"/>
      <c r="AS1122" s="147"/>
      <c r="AT1122" s="147"/>
      <c r="AU1122" s="147"/>
      <c r="AV1122" s="147"/>
      <c r="AW1122" s="147"/>
      <c r="AX1122" s="147"/>
      <c r="AY1122" s="147"/>
      <c r="AZ1122" s="147"/>
      <c r="BA1122" s="147"/>
    </row>
    <row r="1123" spans="1:53" ht="15.75" hidden="1" customHeight="1" outlineLevel="1">
      <c r="A1123" s="407"/>
      <c r="B1123" s="99"/>
      <c r="C1123" s="91"/>
      <c r="D1123" s="91"/>
      <c r="E1123" s="91"/>
      <c r="F1123" s="91"/>
      <c r="G1123" s="91">
        <f>IF($M$1110&gt;0,'Assumptions (Nuclear)'!$V$13*Model!$M$1110*'Assumptions (Nuclear)'!F$2/10^9,0)</f>
        <v>0</v>
      </c>
      <c r="H1123" s="91">
        <f>IF($M$1110&gt;0,'Assumptions (Nuclear)'!$V$13*Model!$M$1110*'Assumptions (Nuclear)'!G$2/10^9,0)</f>
        <v>0</v>
      </c>
      <c r="I1123" s="91">
        <f>IF($M$1110&gt;0,'Assumptions (Nuclear)'!$V$13*Model!$M$1110*'Assumptions (Nuclear)'!H$2/10^9,0)</f>
        <v>0</v>
      </c>
      <c r="J1123" s="91">
        <f>IF($M$1110&gt;0,'Assumptions (Nuclear)'!$V$13*Model!$M$1110*'Assumptions (Nuclear)'!I$2/10^9,0)</f>
        <v>0</v>
      </c>
      <c r="K1123" s="91">
        <f>IF($M$1110&gt;0,'Assumptions (Nuclear)'!$V$13*Model!$M$1110*'Assumptions (Nuclear)'!J$2/10^9,0)</f>
        <v>0</v>
      </c>
      <c r="L1123" s="91">
        <f>IF($M$1110&gt;0,'Assumptions (Nuclear)'!$V$13*Model!$M$1110*'Assumptions (Nuclear)'!K$2/10^9,0)</f>
        <v>0</v>
      </c>
      <c r="M1123" s="105"/>
      <c r="N1123" s="105"/>
      <c r="O1123" s="105"/>
      <c r="P1123" s="105"/>
      <c r="Q1123" s="105"/>
      <c r="R1123" s="105"/>
      <c r="S1123" s="105"/>
      <c r="T1123" s="105"/>
      <c r="U1123" s="105"/>
      <c r="V1123" s="99"/>
      <c r="W1123" s="147"/>
      <c r="X1123" s="147"/>
      <c r="Y1123" s="147"/>
      <c r="Z1123" s="147"/>
      <c r="AA1123" s="147"/>
      <c r="AB1123" s="147"/>
      <c r="AC1123" s="147"/>
      <c r="AD1123" s="147"/>
      <c r="AE1123" s="147"/>
      <c r="AF1123" s="147"/>
      <c r="AG1123" s="147"/>
      <c r="AH1123" s="147"/>
      <c r="AI1123" s="147"/>
      <c r="AJ1123" s="147"/>
      <c r="AK1123" s="147"/>
      <c r="AL1123" s="147"/>
      <c r="AM1123" s="147"/>
      <c r="AN1123" s="147"/>
      <c r="AO1123" s="147"/>
      <c r="AP1123" s="147"/>
      <c r="AQ1123" s="147"/>
      <c r="AR1123" s="147"/>
      <c r="AS1123" s="147"/>
      <c r="AT1123" s="147"/>
      <c r="AU1123" s="147"/>
      <c r="AV1123" s="147"/>
      <c r="AW1123" s="147"/>
      <c r="AX1123" s="147"/>
      <c r="AY1123" s="147"/>
      <c r="AZ1123" s="147"/>
      <c r="BA1123" s="147"/>
    </row>
    <row r="1124" spans="1:53" ht="15.75" hidden="1" customHeight="1" outlineLevel="1">
      <c r="A1124" s="407"/>
      <c r="B1124" s="99"/>
      <c r="C1124" s="105"/>
      <c r="D1124" s="105"/>
      <c r="E1124" s="105"/>
      <c r="F1124" s="105"/>
      <c r="G1124" s="105"/>
      <c r="H1124" s="105">
        <f>IF($N$1110&gt;0,'Assumptions (Nuclear)'!$V$13*Model!$N$1110*'Assumptions (Nuclear)'!G$2/10^9,0)</f>
        <v>0</v>
      </c>
      <c r="I1124" s="105">
        <f>IF($N$1110&gt;0,'Assumptions (Nuclear)'!$V$13*Model!$N$1110*'Assumptions (Nuclear)'!H$2/10^9,0)</f>
        <v>0</v>
      </c>
      <c r="J1124" s="105">
        <f>IF($N$1110&gt;0,'Assumptions (Nuclear)'!$V$13*Model!$N$1110*'Assumptions (Nuclear)'!I$2/10^9,0)</f>
        <v>0</v>
      </c>
      <c r="K1124" s="105">
        <f>IF($N$1110&gt;0,'Assumptions (Nuclear)'!$V$13*Model!$N$1110*'Assumptions (Nuclear)'!J$2/10^9,0)</f>
        <v>0</v>
      </c>
      <c r="L1124" s="105">
        <f>IF($N$1110&gt;0,'Assumptions (Nuclear)'!$V$13*Model!$N$1110*'Assumptions (Nuclear)'!K$2/10^9,0)</f>
        <v>0</v>
      </c>
      <c r="M1124" s="105">
        <f>IF($N$1110&gt;0,'Assumptions (Nuclear)'!$V$13*Model!$N$1110*'Assumptions (Nuclear)'!L$2/10^9,0)</f>
        <v>0</v>
      </c>
      <c r="N1124" s="105"/>
      <c r="O1124" s="105"/>
      <c r="P1124" s="105"/>
      <c r="Q1124" s="105"/>
      <c r="R1124" s="105"/>
      <c r="S1124" s="105"/>
      <c r="T1124" s="105"/>
      <c r="U1124" s="105"/>
      <c r="V1124" s="99"/>
      <c r="W1124" s="147"/>
      <c r="X1124" s="147"/>
      <c r="Y1124" s="147"/>
      <c r="Z1124" s="147"/>
      <c r="AA1124" s="147"/>
      <c r="AB1124" s="147"/>
      <c r="AC1124" s="147"/>
      <c r="AD1124" s="147"/>
      <c r="AE1124" s="147"/>
      <c r="AF1124" s="147"/>
      <c r="AG1124" s="147"/>
      <c r="AH1124" s="147"/>
      <c r="AI1124" s="147"/>
      <c r="AJ1124" s="147"/>
      <c r="AK1124" s="147"/>
      <c r="AL1124" s="147"/>
      <c r="AM1124" s="147"/>
      <c r="AN1124" s="147"/>
      <c r="AO1124" s="147"/>
      <c r="AP1124" s="147"/>
      <c r="AQ1124" s="147"/>
      <c r="AR1124" s="147"/>
      <c r="AS1124" s="147"/>
      <c r="AT1124" s="147"/>
      <c r="AU1124" s="147"/>
      <c r="AV1124" s="147"/>
      <c r="AW1124" s="147"/>
      <c r="AX1124" s="147"/>
      <c r="AY1124" s="147"/>
      <c r="AZ1124" s="147"/>
      <c r="BA1124" s="147"/>
    </row>
    <row r="1125" spans="1:53" ht="15.75" hidden="1" customHeight="1" outlineLevel="1">
      <c r="A1125" s="407"/>
      <c r="B1125" s="99"/>
      <c r="C1125" s="105"/>
      <c r="D1125" s="105"/>
      <c r="E1125" s="105"/>
      <c r="F1125" s="105"/>
      <c r="G1125" s="105"/>
      <c r="H1125" s="105"/>
      <c r="I1125" s="105">
        <f>IF($O$1110&gt;0,'Assumptions (Nuclear)'!$V$13*Model!$O$1110*'Assumptions (Nuclear)'!H$2/10^9,0)</f>
        <v>0</v>
      </c>
      <c r="J1125" s="105">
        <f>IF($O$1110&gt;0,'Assumptions (Nuclear)'!$V$13*Model!$O$1110*'Assumptions (Nuclear)'!I$2/10^9,0)</f>
        <v>0</v>
      </c>
      <c r="K1125" s="105">
        <f>IF($O$1110&gt;0,'Assumptions (Nuclear)'!$V$13*Model!$O$1110*'Assumptions (Nuclear)'!J$2/10^9,0)</f>
        <v>0</v>
      </c>
      <c r="L1125" s="105">
        <f>IF($O$1110&gt;0,'Assumptions (Nuclear)'!$V$13*Model!$O$1110*'Assumptions (Nuclear)'!K$2/10^9,0)</f>
        <v>0</v>
      </c>
      <c r="M1125" s="105">
        <f>IF($O$1110&gt;0,'Assumptions (Nuclear)'!$V$13*Model!$O$1110*'Assumptions (Nuclear)'!L$2/10^9,0)</f>
        <v>0</v>
      </c>
      <c r="N1125" s="105">
        <f>IF($O$1110&gt;0,'Assumptions (Nuclear)'!$V$13*Model!$O$1110*'Assumptions (Nuclear)'!M$2/10^9,0)</f>
        <v>0</v>
      </c>
      <c r="O1125" s="105"/>
      <c r="P1125" s="105"/>
      <c r="Q1125" s="105"/>
      <c r="R1125" s="105"/>
      <c r="S1125" s="105"/>
      <c r="T1125" s="105"/>
      <c r="U1125" s="105"/>
      <c r="V1125" s="99"/>
      <c r="W1125" s="147"/>
      <c r="X1125" s="147"/>
      <c r="Y1125" s="147"/>
      <c r="Z1125" s="147"/>
      <c r="AA1125" s="147"/>
      <c r="AB1125" s="147"/>
      <c r="AC1125" s="147"/>
      <c r="AD1125" s="147"/>
      <c r="AE1125" s="147"/>
      <c r="AF1125" s="147"/>
      <c r="AG1125" s="147"/>
      <c r="AH1125" s="147"/>
      <c r="AI1125" s="147"/>
      <c r="AJ1125" s="147"/>
      <c r="AK1125" s="147"/>
      <c r="AL1125" s="147"/>
      <c r="AM1125" s="147"/>
      <c r="AN1125" s="147"/>
      <c r="AO1125" s="147"/>
      <c r="AP1125" s="147"/>
      <c r="AQ1125" s="147"/>
      <c r="AR1125" s="147"/>
      <c r="AS1125" s="147"/>
      <c r="AT1125" s="147"/>
      <c r="AU1125" s="147"/>
      <c r="AV1125" s="147"/>
      <c r="AW1125" s="147"/>
      <c r="AX1125" s="147"/>
      <c r="AY1125" s="147"/>
      <c r="AZ1125" s="147"/>
      <c r="BA1125" s="147"/>
    </row>
    <row r="1126" spans="1:53" ht="15.75" hidden="1" customHeight="1" outlineLevel="1">
      <c r="A1126" s="407"/>
      <c r="B1126" s="99"/>
      <c r="C1126" s="105"/>
      <c r="D1126" s="105"/>
      <c r="E1126" s="105"/>
      <c r="F1126" s="105"/>
      <c r="G1126" s="105"/>
      <c r="H1126" s="105"/>
      <c r="I1126" s="105"/>
      <c r="J1126" s="91">
        <f>IF($P$1110&gt;0,'Assumptions (Nuclear)'!$V$13*Model!$P$1110*'Assumptions (Nuclear)'!I$2/10^9,0)</f>
        <v>0</v>
      </c>
      <c r="K1126" s="91">
        <f>IF($P$1110&gt;0,'Assumptions (Nuclear)'!$V$13*Model!$P$1110*'Assumptions (Nuclear)'!J$2/10^9,0)</f>
        <v>0</v>
      </c>
      <c r="L1126" s="91">
        <f>IF($P$1110&gt;0,'Assumptions (Nuclear)'!$V$13*Model!$P$1110*'Assumptions (Nuclear)'!K$2/10^9,0)</f>
        <v>0</v>
      </c>
      <c r="M1126" s="91">
        <f>IF($P$1110&gt;0,'Assumptions (Nuclear)'!$V$13*Model!$P$1110*'Assumptions (Nuclear)'!L$2/10^9,0)</f>
        <v>0</v>
      </c>
      <c r="N1126" s="91">
        <f>IF($P$1110&gt;0,'Assumptions (Nuclear)'!$V$13*Model!$P$1110*'Assumptions (Nuclear)'!M$2/10^9,0)</f>
        <v>0</v>
      </c>
      <c r="O1126" s="91">
        <f>IF($P$1110&gt;0,'Assumptions (Nuclear)'!$V$13*Model!$P$1110*'Assumptions (Nuclear)'!N$2/10^9,0)</f>
        <v>0</v>
      </c>
      <c r="P1126" s="91"/>
      <c r="Q1126" s="105"/>
      <c r="R1126" s="91"/>
      <c r="S1126" s="91"/>
      <c r="T1126" s="91"/>
      <c r="U1126" s="91"/>
      <c r="V1126" s="99"/>
      <c r="W1126" s="147"/>
      <c r="X1126" s="147"/>
      <c r="Y1126" s="147"/>
      <c r="Z1126" s="147"/>
      <c r="AA1126" s="147"/>
      <c r="AB1126" s="147"/>
      <c r="AC1126" s="147"/>
      <c r="AD1126" s="147"/>
      <c r="AE1126" s="147"/>
      <c r="AF1126" s="147"/>
      <c r="AG1126" s="147"/>
      <c r="AH1126" s="147"/>
      <c r="AI1126" s="147"/>
      <c r="AJ1126" s="147"/>
      <c r="AK1126" s="147"/>
      <c r="AL1126" s="147"/>
      <c r="AM1126" s="147"/>
      <c r="AN1126" s="147"/>
      <c r="AO1126" s="147"/>
      <c r="AP1126" s="147"/>
      <c r="AQ1126" s="147"/>
      <c r="AR1126" s="147"/>
      <c r="AS1126" s="147"/>
      <c r="AT1126" s="147"/>
      <c r="AU1126" s="147"/>
      <c r="AV1126" s="147"/>
      <c r="AW1126" s="147"/>
      <c r="AX1126" s="147"/>
      <c r="AY1126" s="147"/>
      <c r="AZ1126" s="147"/>
      <c r="BA1126" s="147"/>
    </row>
    <row r="1127" spans="1:53" ht="15.75" hidden="1" customHeight="1" outlineLevel="1">
      <c r="A1127" s="407"/>
      <c r="B1127" s="99"/>
      <c r="C1127" s="105"/>
      <c r="D1127" s="105"/>
      <c r="E1127" s="105"/>
      <c r="F1127" s="105"/>
      <c r="G1127" s="105"/>
      <c r="H1127" s="105"/>
      <c r="I1127" s="105"/>
      <c r="J1127" s="105"/>
      <c r="K1127" s="91">
        <f>IF($Q$1110&gt;0,'Assumptions (Nuclear)'!$V$13*Model!$Q$1110*'Assumptions (Nuclear)'!J$2/10^9,0)</f>
        <v>0</v>
      </c>
      <c r="L1127" s="91">
        <f>IF($Q$1110&gt;0,'Assumptions (Nuclear)'!$V$13*Model!$Q$1110*'Assumptions (Nuclear)'!K$2/10^9,0)</f>
        <v>0</v>
      </c>
      <c r="M1127" s="91">
        <f>IF($Q$1110&gt;0,'Assumptions (Nuclear)'!$V$13*Model!$Q$1110*'Assumptions (Nuclear)'!L$2/10^9,0)</f>
        <v>0</v>
      </c>
      <c r="N1127" s="91">
        <f>IF($Q$1110&gt;0,'Assumptions (Nuclear)'!$V$13*Model!$Q$1110*'Assumptions (Nuclear)'!M$2/10^9,0)</f>
        <v>0</v>
      </c>
      <c r="O1127" s="91">
        <f>IF($Q$1110&gt;0,'Assumptions (Nuclear)'!$V$13*Model!$Q$1110*'Assumptions (Nuclear)'!N$2/10^9,0)</f>
        <v>0</v>
      </c>
      <c r="P1127" s="91">
        <f>IF($Q$1110&gt;0,'Assumptions (Nuclear)'!$V$13*Model!$Q$1110*'Assumptions (Nuclear)'!O$2/10^9,0)</f>
        <v>0</v>
      </c>
      <c r="Q1127" s="105"/>
      <c r="R1127" s="91"/>
      <c r="S1127" s="91"/>
      <c r="T1127" s="91"/>
      <c r="U1127" s="91"/>
      <c r="V1127" s="99"/>
      <c r="W1127" s="147"/>
      <c r="X1127" s="147"/>
      <c r="Y1127" s="147"/>
      <c r="Z1127" s="147"/>
      <c r="AA1127" s="147"/>
      <c r="AB1127" s="147"/>
      <c r="AC1127" s="147"/>
      <c r="AD1127" s="147"/>
      <c r="AE1127" s="147"/>
      <c r="AF1127" s="147"/>
      <c r="AG1127" s="147"/>
      <c r="AH1127" s="147"/>
      <c r="AI1127" s="147"/>
      <c r="AJ1127" s="147"/>
      <c r="AK1127" s="147"/>
      <c r="AL1127" s="147"/>
      <c r="AM1127" s="147"/>
      <c r="AN1127" s="147"/>
      <c r="AO1127" s="147"/>
      <c r="AP1127" s="147"/>
      <c r="AQ1127" s="147"/>
      <c r="AR1127" s="147"/>
      <c r="AS1127" s="147"/>
      <c r="AT1127" s="147"/>
      <c r="AU1127" s="147"/>
      <c r="AV1127" s="147"/>
      <c r="AW1127" s="147"/>
      <c r="AX1127" s="147"/>
      <c r="AY1127" s="147"/>
      <c r="AZ1127" s="147"/>
      <c r="BA1127" s="147"/>
    </row>
    <row r="1128" spans="1:53" ht="15.75" hidden="1" customHeight="1" outlineLevel="1">
      <c r="A1128" s="407"/>
      <c r="B1128" s="99"/>
      <c r="C1128" s="105"/>
      <c r="D1128" s="105"/>
      <c r="E1128" s="105"/>
      <c r="F1128" s="105"/>
      <c r="G1128" s="105"/>
      <c r="H1128" s="105"/>
      <c r="I1128" s="105"/>
      <c r="J1128" s="105"/>
      <c r="K1128" s="105"/>
      <c r="L1128" s="167">
        <f>IF($R$1110&gt;0,'Assumptions (Nuclear)'!$V$13*Model!$R$1110*'Assumptions (Nuclear)'!K$2/10^9,0)</f>
        <v>0</v>
      </c>
      <c r="M1128" s="167">
        <f>IF($R$1110&gt;0,'Assumptions (Nuclear)'!$V$13*Model!$R$1110*'Assumptions (Nuclear)'!L$2/10^9,0)</f>
        <v>0</v>
      </c>
      <c r="N1128" s="167">
        <f>IF($R$1110&gt;0,'Assumptions (Nuclear)'!$V$13*Model!$R$1110*'Assumptions (Nuclear)'!M$2/10^9,0)</f>
        <v>0</v>
      </c>
      <c r="O1128" s="167">
        <f>IF($R$1110&gt;0,'Assumptions (Nuclear)'!$V$13*Model!$R$1110*'Assumptions (Nuclear)'!N$2/10^9,0)</f>
        <v>0</v>
      </c>
      <c r="P1128" s="167">
        <f>IF($R$1110&gt;0,'Assumptions (Nuclear)'!$V$13*Model!$R$1110*'Assumptions (Nuclear)'!O$2/10^9,0)</f>
        <v>0</v>
      </c>
      <c r="Q1128" s="167">
        <f>IF($R$1110&gt;0,'Assumptions (Nuclear)'!$V$13*Model!$R$1110*'Assumptions (Nuclear)'!P$2/10^9,0)</f>
        <v>0</v>
      </c>
      <c r="R1128" s="91"/>
      <c r="S1128" s="91"/>
      <c r="T1128" s="91"/>
      <c r="U1128" s="91"/>
      <c r="V1128" s="99"/>
      <c r="W1128" s="147"/>
      <c r="X1128" s="147"/>
      <c r="Y1128" s="147"/>
      <c r="Z1128" s="147"/>
      <c r="AA1128" s="147"/>
      <c r="AB1128" s="147"/>
      <c r="AC1128" s="147"/>
      <c r="AD1128" s="147"/>
      <c r="AE1128" s="147"/>
      <c r="AF1128" s="147"/>
      <c r="AG1128" s="147"/>
      <c r="AH1128" s="147"/>
      <c r="AI1128" s="147"/>
      <c r="AJ1128" s="147"/>
      <c r="AK1128" s="147"/>
      <c r="AL1128" s="147"/>
      <c r="AM1128" s="147"/>
      <c r="AN1128" s="147"/>
      <c r="AO1128" s="147"/>
      <c r="AP1128" s="147"/>
      <c r="AQ1128" s="147"/>
      <c r="AR1128" s="147"/>
      <c r="AS1128" s="147"/>
      <c r="AT1128" s="147"/>
      <c r="AU1128" s="147"/>
      <c r="AV1128" s="147"/>
      <c r="AW1128" s="147"/>
      <c r="AX1128" s="147"/>
      <c r="AY1128" s="147"/>
      <c r="AZ1128" s="147"/>
      <c r="BA1128" s="147"/>
    </row>
    <row r="1129" spans="1:53" ht="15.75" hidden="1" customHeight="1" outlineLevel="1">
      <c r="A1129" s="407"/>
      <c r="B1129" s="99"/>
      <c r="C1129" s="105"/>
      <c r="D1129" s="105"/>
      <c r="E1129" s="105"/>
      <c r="F1129" s="105"/>
      <c r="G1129" s="105"/>
      <c r="H1129" s="105"/>
      <c r="I1129" s="105"/>
      <c r="J1129" s="105"/>
      <c r="K1129" s="105"/>
      <c r="L1129" s="105"/>
      <c r="M1129" s="105">
        <f>IF($S$1110&gt;0,'Assumptions (Nuclear)'!$V$13*Model!$S$1110*'Assumptions (Nuclear)'!L$2/10^9,0)</f>
        <v>0.9121469153277848</v>
      </c>
      <c r="N1129" s="105">
        <f>IF($S$1110&gt;0,'Assumptions (Nuclear)'!$V$13*Model!$S$1110*'Assumptions (Nuclear)'!M$2/10^9,0)</f>
        <v>0.93038985363434057</v>
      </c>
      <c r="O1129" s="105">
        <f>IF($S$1110&gt;0,'Assumptions (Nuclear)'!$V$13*Model!$S$1110*'Assumptions (Nuclear)'!N$2/10^9,0)</f>
        <v>0.94899765070702735</v>
      </c>
      <c r="P1129" s="105">
        <f>IF($S$1110&gt;0,'Assumptions (Nuclear)'!$V$13*Model!$S$1110*'Assumptions (Nuclear)'!O$2/10^9,0)</f>
        <v>0.96797760372116792</v>
      </c>
      <c r="Q1129" s="105">
        <f>IF($S$1110&gt;0,'Assumptions (Nuclear)'!$V$13*Model!$S$1110*'Assumptions (Nuclear)'!P$2/10^9,0)</f>
        <v>0.98733715579559134</v>
      </c>
      <c r="R1129" s="105">
        <f>IF($S$1110&gt;0,'Assumptions (Nuclear)'!$V$13*Model!$S$1110*'Assumptions (Nuclear)'!Q$2/10^9,0)</f>
        <v>1.0070838989115032</v>
      </c>
      <c r="S1129" s="105"/>
      <c r="T1129" s="105"/>
      <c r="U1129" s="105"/>
      <c r="V1129" s="99"/>
      <c r="W1129" s="147"/>
      <c r="X1129" s="147"/>
      <c r="Y1129" s="147"/>
      <c r="Z1129" s="147"/>
      <c r="AA1129" s="147"/>
      <c r="AB1129" s="147"/>
      <c r="AC1129" s="147"/>
      <c r="AD1129" s="147"/>
      <c r="AE1129" s="147"/>
      <c r="AF1129" s="147"/>
      <c r="AG1129" s="147"/>
      <c r="AH1129" s="147"/>
      <c r="AI1129" s="147"/>
      <c r="AJ1129" s="147"/>
      <c r="AK1129" s="147"/>
      <c r="AL1129" s="147"/>
      <c r="AM1129" s="147"/>
      <c r="AN1129" s="147"/>
      <c r="AO1129" s="147"/>
      <c r="AP1129" s="147"/>
      <c r="AQ1129" s="147"/>
      <c r="AR1129" s="147"/>
      <c r="AS1129" s="147"/>
      <c r="AT1129" s="147"/>
      <c r="AU1129" s="147"/>
      <c r="AV1129" s="147"/>
      <c r="AW1129" s="147"/>
      <c r="AX1129" s="147"/>
      <c r="AY1129" s="147"/>
      <c r="AZ1129" s="147"/>
      <c r="BA1129" s="147"/>
    </row>
    <row r="1130" spans="1:53" ht="15.75" hidden="1" customHeight="1" outlineLevel="1">
      <c r="A1130" s="407"/>
      <c r="B1130" s="99"/>
      <c r="C1130" s="105"/>
      <c r="D1130" s="105"/>
      <c r="E1130" s="105"/>
      <c r="F1130" s="105"/>
      <c r="G1130" s="105"/>
      <c r="H1130" s="105"/>
      <c r="I1130" s="105"/>
      <c r="J1130" s="105"/>
      <c r="K1130" s="105"/>
      <c r="L1130" s="105"/>
      <c r="M1130" s="105"/>
      <c r="N1130" s="105">
        <f>IF($T$1110&gt;0,'Assumptions (Nuclear)'!$V$13*Model!$T$1110*'Assumptions (Nuclear)'!M$2/10^9,0)</f>
        <v>0</v>
      </c>
      <c r="O1130" s="105">
        <f>IF($T$1110&gt;0,'Assumptions (Nuclear)'!$V$13*Model!$T$1110*'Assumptions (Nuclear)'!N$2/10^9,0)</f>
        <v>0</v>
      </c>
      <c r="P1130" s="105">
        <f>IF($T$1110&gt;0,'Assumptions (Nuclear)'!$V$13*Model!$T$1110*'Assumptions (Nuclear)'!O$2/10^9,0)</f>
        <v>0</v>
      </c>
      <c r="Q1130" s="105">
        <f>IF($T$1110&gt;0,'Assumptions (Nuclear)'!$V$13*Model!$T$1110*'Assumptions (Nuclear)'!P$2/10^9,0)</f>
        <v>0</v>
      </c>
      <c r="R1130" s="105">
        <f>IF($T$1110&gt;0,'Assumptions (Nuclear)'!$V$13*Model!$T$1110*'Assumptions (Nuclear)'!Q$2/10^9,0)</f>
        <v>0</v>
      </c>
      <c r="S1130" s="105">
        <f>IF($T$1110&gt;0,'Assumptions (Nuclear)'!$V$13*Model!$T$1110*'Assumptions (Nuclear)'!R$2/10^9,0)</f>
        <v>0</v>
      </c>
      <c r="T1130" s="105"/>
      <c r="U1130" s="105"/>
      <c r="V1130" s="99"/>
      <c r="W1130" s="147"/>
      <c r="X1130" s="147"/>
      <c r="Y1130" s="147"/>
      <c r="Z1130" s="147"/>
      <c r="AA1130" s="147"/>
      <c r="AB1130" s="147"/>
      <c r="AC1130" s="147"/>
      <c r="AD1130" s="147"/>
      <c r="AE1130" s="147"/>
      <c r="AF1130" s="147"/>
      <c r="AG1130" s="147"/>
      <c r="AH1130" s="147"/>
      <c r="AI1130" s="147"/>
      <c r="AJ1130" s="147"/>
      <c r="AK1130" s="147"/>
      <c r="AL1130" s="147"/>
      <c r="AM1130" s="147"/>
      <c r="AN1130" s="147"/>
      <c r="AO1130" s="147"/>
      <c r="AP1130" s="147"/>
      <c r="AQ1130" s="147"/>
      <c r="AR1130" s="147"/>
      <c r="AS1130" s="147"/>
      <c r="AT1130" s="147"/>
      <c r="AU1130" s="147"/>
      <c r="AV1130" s="147"/>
      <c r="AW1130" s="147"/>
      <c r="AX1130" s="147"/>
      <c r="AY1130" s="147"/>
      <c r="AZ1130" s="147"/>
      <c r="BA1130" s="147"/>
    </row>
    <row r="1131" spans="1:53" ht="15.75" hidden="1" customHeight="1" outlineLevel="1">
      <c r="A1131" s="407"/>
      <c r="B1131" s="99"/>
      <c r="C1131" s="105"/>
      <c r="D1131" s="105"/>
      <c r="E1131" s="105"/>
      <c r="F1131" s="105"/>
      <c r="G1131" s="105"/>
      <c r="H1131" s="105"/>
      <c r="I1131" s="105"/>
      <c r="J1131" s="105"/>
      <c r="K1131" s="105"/>
      <c r="L1131" s="105"/>
      <c r="M1131" s="105"/>
      <c r="N1131" s="105"/>
      <c r="O1131" s="91">
        <f>IF($U$1110&gt;0,'Assumptions (Nuclear)'!$V$13*Model!$U$1110*'Assumptions (Nuclear)'!N$2/10^9,0)</f>
        <v>0</v>
      </c>
      <c r="P1131" s="91">
        <f>IF($U$1110&gt;0,'Assumptions (Nuclear)'!$V$13*Model!$U$1110*'Assumptions (Nuclear)'!O$2/10^9,0)</f>
        <v>0</v>
      </c>
      <c r="Q1131" s="91">
        <f>IF($U$1110&gt;0,'Assumptions (Nuclear)'!$V$13*Model!$U$1110*'Assumptions (Nuclear)'!P$2/10^9,0)</f>
        <v>0</v>
      </c>
      <c r="R1131" s="91">
        <f>IF($U$1110&gt;0,'Assumptions (Nuclear)'!$V$13*Model!$U$1110*'Assumptions (Nuclear)'!Q$2/10^9,0)</f>
        <v>0</v>
      </c>
      <c r="S1131" s="91">
        <f>IF($U$1110&gt;0,'Assumptions (Nuclear)'!$V$13*Model!$U$1110*'Assumptions (Nuclear)'!R$2/10^9,0)</f>
        <v>0</v>
      </c>
      <c r="T1131" s="91">
        <f>IF($U$1110&gt;0,'Assumptions (Nuclear)'!$V$13*Model!$U$1110*'Assumptions (Nuclear)'!S$2/10^9,0)</f>
        <v>0</v>
      </c>
      <c r="U1131" s="105"/>
      <c r="V1131" s="99"/>
      <c r="W1131" s="147"/>
      <c r="X1131" s="147"/>
      <c r="Y1131" s="147"/>
      <c r="Z1131" s="147"/>
      <c r="AA1131" s="147"/>
      <c r="AB1131" s="147"/>
      <c r="AC1131" s="147"/>
      <c r="AD1131" s="147"/>
      <c r="AE1131" s="147"/>
      <c r="AF1131" s="147"/>
      <c r="AG1131" s="147"/>
      <c r="AH1131" s="147"/>
      <c r="AI1131" s="147"/>
      <c r="AJ1131" s="147"/>
      <c r="AK1131" s="147"/>
      <c r="AL1131" s="147"/>
      <c r="AM1131" s="147"/>
      <c r="AN1131" s="147"/>
      <c r="AO1131" s="147"/>
      <c r="AP1131" s="147"/>
      <c r="AQ1131" s="147"/>
      <c r="AR1131" s="147"/>
      <c r="AS1131" s="147"/>
      <c r="AT1131" s="147"/>
      <c r="AU1131" s="147"/>
      <c r="AV1131" s="147"/>
      <c r="AW1131" s="147"/>
      <c r="AX1131" s="147"/>
      <c r="AY1131" s="147"/>
      <c r="AZ1131" s="147"/>
      <c r="BA1131" s="147"/>
    </row>
    <row r="1132" spans="1:53" ht="15.75" hidden="1" customHeight="1" outlineLevel="1">
      <c r="A1132" s="407"/>
      <c r="B1132" s="99"/>
      <c r="C1132" s="105"/>
      <c r="D1132" s="105"/>
      <c r="E1132" s="105"/>
      <c r="F1132" s="105"/>
      <c r="G1132" s="105"/>
      <c r="H1132" s="105"/>
      <c r="I1132" s="105"/>
      <c r="J1132" s="105"/>
      <c r="K1132" s="105"/>
      <c r="L1132" s="105"/>
      <c r="M1132" s="105"/>
      <c r="N1132" s="105"/>
      <c r="O1132" s="105"/>
      <c r="P1132" s="105">
        <f>IF($V$1110&gt;0,'Assumptions (Nuclear)'!$V$13*Model!$V$1110*'Assumptions (Nuclear)'!O$2/10^9,0)</f>
        <v>0.94899765070702735</v>
      </c>
      <c r="Q1132" s="105">
        <f>IF($V$1110&gt;0,'Assumptions (Nuclear)'!$V$13*Model!$V$1110*'Assumptions (Nuclear)'!P$2/10^9,0)</f>
        <v>0.96797760372116781</v>
      </c>
      <c r="R1132" s="105">
        <f>IF($V$1110&gt;0,'Assumptions (Nuclear)'!$V$13*Model!$V$1110*'Assumptions (Nuclear)'!Q$2/10^9,0)</f>
        <v>0.98733715579559134</v>
      </c>
      <c r="S1132" s="105">
        <f>IF($V$1110&gt;0,'Assumptions (Nuclear)'!$V$13*Model!$V$1110*'Assumptions (Nuclear)'!R$2/10^9,0)</f>
        <v>1.0070838989115032</v>
      </c>
      <c r="T1132" s="105">
        <f>IF($V$1110&gt;0,'Assumptions (Nuclear)'!$V$13*Model!$V$1110*'Assumptions (Nuclear)'!S$2/10^9,0)</f>
        <v>1.0272255768897331</v>
      </c>
      <c r="U1132" s="105">
        <f>IF($V$1110&gt;0,'Assumptions (Nuclear)'!$V$13*Model!$V$1110*'Assumptions (Nuclear)'!T$2/10^9,0)</f>
        <v>1.0477700884275278</v>
      </c>
      <c r="V1132" s="99"/>
      <c r="W1132" s="147"/>
      <c r="X1132" s="147"/>
      <c r="Y1132" s="147"/>
      <c r="Z1132" s="147"/>
      <c r="AA1132" s="147"/>
      <c r="AB1132" s="147"/>
      <c r="AC1132" s="147"/>
      <c r="AD1132" s="147"/>
      <c r="AE1132" s="147"/>
      <c r="AF1132" s="147"/>
      <c r="AG1132" s="147"/>
      <c r="AH1132" s="147"/>
      <c r="AI1132" s="147"/>
      <c r="AJ1132" s="147"/>
      <c r="AK1132" s="147"/>
      <c r="AL1132" s="147"/>
      <c r="AM1132" s="147"/>
      <c r="AN1132" s="147"/>
      <c r="AO1132" s="147"/>
      <c r="AP1132" s="147"/>
      <c r="AQ1132" s="147"/>
      <c r="AR1132" s="147"/>
      <c r="AS1132" s="147"/>
      <c r="AT1132" s="147"/>
      <c r="AU1132" s="147"/>
      <c r="AV1132" s="147"/>
      <c r="AW1132" s="147"/>
      <c r="AX1132" s="147"/>
      <c r="AY1132" s="147"/>
      <c r="AZ1132" s="147"/>
      <c r="BA1132" s="147"/>
    </row>
    <row r="1133" spans="1:53" ht="15.75" hidden="1" customHeight="1" outlineLevel="1">
      <c r="A1133" s="407"/>
      <c r="B1133" s="99"/>
      <c r="C1133" s="99"/>
      <c r="D1133" s="99"/>
      <c r="E1133" s="99"/>
      <c r="F1133" s="99"/>
      <c r="G1133" s="99"/>
      <c r="H1133" s="99"/>
      <c r="I1133" s="99"/>
      <c r="J1133" s="99"/>
      <c r="K1133" s="99"/>
      <c r="L1133" s="99"/>
      <c r="M1133" s="99"/>
      <c r="N1133" s="99"/>
      <c r="O1133" s="99"/>
      <c r="P1133" s="99"/>
      <c r="Q1133" s="105">
        <f>IF($W$1110&gt;0,'Assumptions (Nuclear)'!$V$13*Model!$W$1110*'Assumptions (Nuclear)'!P$2/10^9,0)</f>
        <v>0</v>
      </c>
      <c r="R1133" s="105">
        <f>IF($W$1110&gt;0,'Assumptions (Nuclear)'!$V$13*Model!$W$1110*'Assumptions (Nuclear)'!Q$2/10^9,0)</f>
        <v>0</v>
      </c>
      <c r="S1133" s="105">
        <f>IF($W$1110&gt;0,'Assumptions (Nuclear)'!$V$13*Model!$W$1110*'Assumptions (Nuclear)'!R$2/10^9,0)</f>
        <v>0</v>
      </c>
      <c r="T1133" s="105">
        <f>IF($W$1110&gt;0,'Assumptions (Nuclear)'!$V$13*Model!$W$1110*'Assumptions (Nuclear)'!S$2/10^9,0)</f>
        <v>0</v>
      </c>
      <c r="U1133" s="105">
        <f>IF($W$1110&gt;0,'Assumptions (Nuclear)'!$V$13*Model!$W$1110*'Assumptions (Nuclear)'!T$2/10^9,0)</f>
        <v>0</v>
      </c>
      <c r="V1133" s="105">
        <f>IF($W$1110&gt;0,'Assumptions (Nuclear)'!$V$13*Model!$W$1110*'Assumptions (Nuclear)'!U$2/10^9,0)</f>
        <v>0</v>
      </c>
      <c r="W1133" s="105"/>
      <c r="X1133" s="105"/>
      <c r="Y1133" s="105"/>
      <c r="Z1133" s="105"/>
      <c r="AA1133" s="105"/>
      <c r="AB1133" s="105"/>
      <c r="AC1133" s="105"/>
      <c r="AD1133" s="105"/>
      <c r="AE1133" s="105"/>
      <c r="AF1133" s="105"/>
      <c r="AG1133" s="105"/>
      <c r="AH1133" s="105"/>
      <c r="AI1133" s="105"/>
      <c r="AJ1133" s="105"/>
      <c r="AK1133" s="105"/>
      <c r="AL1133" s="105"/>
      <c r="AM1133" s="105"/>
      <c r="AN1133" s="105"/>
      <c r="AO1133" s="105"/>
      <c r="AP1133" s="105"/>
      <c r="AQ1133" s="105"/>
      <c r="AR1133" s="105"/>
      <c r="AS1133" s="105"/>
      <c r="AT1133" s="105"/>
      <c r="AU1133" s="105"/>
      <c r="AV1133" s="105"/>
      <c r="AW1133" s="105"/>
      <c r="AX1133" s="105"/>
      <c r="AY1133" s="105"/>
      <c r="AZ1133" s="105"/>
      <c r="BA1133" s="105"/>
    </row>
    <row r="1134" spans="1:53" ht="15.75" hidden="1" customHeight="1" outlineLevel="1">
      <c r="A1134" s="407"/>
      <c r="B1134" s="99"/>
      <c r="C1134" s="99"/>
      <c r="D1134" s="99"/>
      <c r="E1134" s="99"/>
      <c r="F1134" s="99"/>
      <c r="G1134" s="99"/>
      <c r="H1134" s="99"/>
      <c r="I1134" s="99"/>
      <c r="J1134" s="99"/>
      <c r="K1134" s="99"/>
      <c r="L1134" s="99"/>
      <c r="M1134" s="99"/>
      <c r="N1134" s="99"/>
      <c r="O1134" s="99"/>
      <c r="P1134" s="99"/>
      <c r="Q1134" s="99"/>
      <c r="R1134" s="105">
        <f>IF($X$1110&gt;0,'Assumptions (Nuclear)'!$V$13*Model!$X$1110*'Assumptions (Nuclear)'!Q$2/10^9,0)</f>
        <v>0</v>
      </c>
      <c r="S1134" s="105">
        <f>IF($X$1110&gt;0,'Assumptions (Nuclear)'!$V$13*Model!$X$1110*'Assumptions (Nuclear)'!R$2/10^9,0)</f>
        <v>0</v>
      </c>
      <c r="T1134" s="105">
        <f>IF($X$1110&gt;0,'Assumptions (Nuclear)'!$V$13*Model!$X$1110*'Assumptions (Nuclear)'!S$2/10^9,0)</f>
        <v>0</v>
      </c>
      <c r="U1134" s="105">
        <f>IF($X$1110&gt;0,'Assumptions (Nuclear)'!$V$13*Model!$X$1110*'Assumptions (Nuclear)'!T$2/10^9,0)</f>
        <v>0</v>
      </c>
      <c r="V1134" s="105">
        <f>IF($X$1110&gt;0,'Assumptions (Nuclear)'!$V$13*Model!$X$1110*'Assumptions (Nuclear)'!U$2/10^9,0)</f>
        <v>0</v>
      </c>
      <c r="W1134" s="105">
        <f>IF($X$1110&gt;0,'Assumptions (Nuclear)'!$V$13*Model!$X$1110*'Assumptions (Nuclear)'!V$2/10^9,0)</f>
        <v>0</v>
      </c>
      <c r="X1134" s="105"/>
      <c r="Y1134" s="105"/>
      <c r="Z1134" s="105"/>
      <c r="AA1134" s="105"/>
      <c r="AB1134" s="105"/>
      <c r="AC1134" s="105"/>
      <c r="AD1134" s="105"/>
      <c r="AE1134" s="105"/>
      <c r="AF1134" s="105"/>
      <c r="AG1134" s="105"/>
      <c r="AH1134" s="105"/>
      <c r="AI1134" s="105"/>
      <c r="AJ1134" s="105"/>
      <c r="AK1134" s="105"/>
      <c r="AL1134" s="105"/>
      <c r="AM1134" s="105"/>
      <c r="AN1134" s="105"/>
      <c r="AO1134" s="105"/>
      <c r="AP1134" s="105"/>
      <c r="AQ1134" s="105"/>
      <c r="AR1134" s="105"/>
      <c r="AS1134" s="105"/>
      <c r="AT1134" s="105"/>
      <c r="AU1134" s="105"/>
      <c r="AV1134" s="105"/>
      <c r="AW1134" s="105"/>
      <c r="AX1134" s="105"/>
      <c r="AY1134" s="105"/>
      <c r="AZ1134" s="105"/>
      <c r="BA1134" s="105"/>
    </row>
    <row r="1135" spans="1:53" ht="15.75" hidden="1" customHeight="1" outlineLevel="1">
      <c r="A1135" s="407"/>
      <c r="B1135" s="99"/>
      <c r="C1135" s="99"/>
      <c r="D1135" s="99"/>
      <c r="E1135" s="99"/>
      <c r="F1135" s="99"/>
      <c r="G1135" s="99"/>
      <c r="H1135" s="99"/>
      <c r="I1135" s="99"/>
      <c r="J1135" s="99"/>
      <c r="K1135" s="99"/>
      <c r="L1135" s="99"/>
      <c r="M1135" s="99"/>
      <c r="N1135" s="99"/>
      <c r="O1135" s="99"/>
      <c r="P1135" s="99"/>
      <c r="Q1135" s="99"/>
      <c r="R1135" s="99"/>
      <c r="S1135" s="105">
        <f>IF($Y$1110&gt;0,'Assumptions (Nuclear)'!$V$13*Model!$Y$1110*'Assumptions (Nuclear)'!R$2/10^9,0)</f>
        <v>0</v>
      </c>
      <c r="T1135" s="105">
        <f>IF($Y$1110&gt;0,'Assumptions (Nuclear)'!$V$13*Model!$Y$1110*'Assumptions (Nuclear)'!S$2/10^9,0)</f>
        <v>0</v>
      </c>
      <c r="U1135" s="105">
        <f>IF($Y$1110&gt;0,'Assumptions (Nuclear)'!$V$13*Model!$Y$1110*'Assumptions (Nuclear)'!T$2/10^9,0)</f>
        <v>0</v>
      </c>
      <c r="V1135" s="105">
        <f>IF($Y$1110&gt;0,'Assumptions (Nuclear)'!$V$13*Model!$Y$1110*'Assumptions (Nuclear)'!U$2/10^9,0)</f>
        <v>0</v>
      </c>
      <c r="W1135" s="105">
        <f>IF($Y$1110&gt;0,'Assumptions (Nuclear)'!$V$13*Model!$Y$1110*'Assumptions (Nuclear)'!V$2/10^9,0)</f>
        <v>0</v>
      </c>
      <c r="X1135" s="105">
        <f>IF($Y$1110&gt;0,'Assumptions (Nuclear)'!$V$13*Model!$Y$1110*'Assumptions (Nuclear)'!W$2/10^9,0)</f>
        <v>0</v>
      </c>
      <c r="Y1135" s="105"/>
      <c r="Z1135" s="105"/>
      <c r="AA1135" s="105"/>
      <c r="AB1135" s="105"/>
      <c r="AC1135" s="105"/>
      <c r="AD1135" s="105"/>
      <c r="AE1135" s="105"/>
      <c r="AF1135" s="105"/>
      <c r="AG1135" s="105"/>
      <c r="AH1135" s="105"/>
      <c r="AI1135" s="105"/>
      <c r="AJ1135" s="105"/>
      <c r="AK1135" s="105"/>
      <c r="AL1135" s="105"/>
      <c r="AM1135" s="105"/>
      <c r="AN1135" s="105"/>
      <c r="AO1135" s="105"/>
      <c r="AP1135" s="105"/>
      <c r="AQ1135" s="105"/>
      <c r="AR1135" s="105"/>
      <c r="AS1135" s="105"/>
      <c r="AT1135" s="105"/>
      <c r="AU1135" s="105"/>
      <c r="AV1135" s="105"/>
      <c r="AW1135" s="105"/>
      <c r="AX1135" s="105"/>
      <c r="AY1135" s="105"/>
      <c r="AZ1135" s="105"/>
      <c r="BA1135" s="105"/>
    </row>
    <row r="1136" spans="1:53" ht="15.75" hidden="1" customHeight="1" outlineLevel="1">
      <c r="A1136" s="407"/>
      <c r="B1136" s="99"/>
      <c r="C1136" s="99"/>
      <c r="D1136" s="99"/>
      <c r="E1136" s="99"/>
      <c r="F1136" s="99"/>
      <c r="G1136" s="99"/>
      <c r="H1136" s="99"/>
      <c r="I1136" s="99"/>
      <c r="J1136" s="99"/>
      <c r="K1136" s="99"/>
      <c r="L1136" s="99"/>
      <c r="M1136" s="99"/>
      <c r="N1136" s="99"/>
      <c r="O1136" s="99"/>
      <c r="P1136" s="99"/>
      <c r="Q1136" s="99"/>
      <c r="R1136" s="99"/>
      <c r="S1136" s="99"/>
      <c r="T1136" s="105">
        <f>IF($Z$1110&gt;0,'Assumptions (Nuclear)'!$V$13*Model!$Z$1110*'Assumptions (Nuclear)'!S$2/10^9,0)</f>
        <v>0</v>
      </c>
      <c r="U1136" s="105">
        <f>IF($Z$1110&gt;0,'Assumptions (Nuclear)'!$V$13*Model!$Z$1110*'Assumptions (Nuclear)'!T$2/10^9,0)</f>
        <v>0</v>
      </c>
      <c r="V1136" s="105">
        <f>IF($Z$1110&gt;0,'Assumptions (Nuclear)'!$V$13*Model!$Z$1110*'Assumptions (Nuclear)'!U$2/10^9,0)</f>
        <v>0</v>
      </c>
      <c r="W1136" s="105">
        <f>IF($Z$1110&gt;0,'Assumptions (Nuclear)'!$V$13*Model!$Z$1110*'Assumptions (Nuclear)'!V$2/10^9,0)</f>
        <v>0</v>
      </c>
      <c r="X1136" s="105">
        <f>IF($Z$1110&gt;0,'Assumptions (Nuclear)'!$V$13*Model!$Z$1110*'Assumptions (Nuclear)'!W$2/10^9,0)</f>
        <v>0</v>
      </c>
      <c r="Y1136" s="105">
        <f>IF($Z$1110&gt;0,'Assumptions (Nuclear)'!$V$13*Model!$Z$1110*'Assumptions (Nuclear)'!X$2/10^9,0)</f>
        <v>0</v>
      </c>
      <c r="Z1136" s="105"/>
      <c r="AA1136" s="105"/>
      <c r="AB1136" s="105"/>
      <c r="AC1136" s="105"/>
      <c r="AD1136" s="105"/>
      <c r="AE1136" s="105"/>
      <c r="AF1136" s="105"/>
      <c r="AG1136" s="105"/>
      <c r="AH1136" s="105"/>
      <c r="AI1136" s="105"/>
      <c r="AJ1136" s="105"/>
      <c r="AK1136" s="105"/>
      <c r="AL1136" s="105"/>
      <c r="AM1136" s="105"/>
      <c r="AN1136" s="105"/>
      <c r="AO1136" s="105"/>
      <c r="AP1136" s="105"/>
      <c r="AQ1136" s="105"/>
      <c r="AR1136" s="105"/>
      <c r="AS1136" s="105"/>
      <c r="AT1136" s="105"/>
      <c r="AU1136" s="105"/>
      <c r="AV1136" s="105"/>
      <c r="AW1136" s="105"/>
      <c r="AX1136" s="105"/>
      <c r="AY1136" s="105"/>
      <c r="AZ1136" s="105"/>
      <c r="BA1136" s="105"/>
    </row>
    <row r="1137" spans="1:53" ht="15.75" hidden="1" customHeight="1" outlineLevel="1">
      <c r="A1137" s="407"/>
      <c r="B1137" s="99"/>
      <c r="C1137" s="99"/>
      <c r="D1137" s="99"/>
      <c r="E1137" s="99"/>
      <c r="F1137" s="99"/>
      <c r="G1137" s="99"/>
      <c r="H1137" s="99"/>
      <c r="I1137" s="99"/>
      <c r="J1137" s="99"/>
      <c r="K1137" s="99"/>
      <c r="L1137" s="99"/>
      <c r="M1137" s="99"/>
      <c r="N1137" s="99"/>
      <c r="O1137" s="99"/>
      <c r="P1137" s="99"/>
      <c r="Q1137" s="99"/>
      <c r="R1137" s="99"/>
      <c r="S1137" s="99"/>
      <c r="T1137" s="99"/>
      <c r="U1137" s="105">
        <f>IF($AA$1110&gt;0,'Assumptions (Nuclear)'!$V$13*Model!$AA$1110*'Assumptions (Nuclear)'!T$2/10^9,0)</f>
        <v>0</v>
      </c>
      <c r="V1137" s="105">
        <f>IF($AA$1110&gt;0,'Assumptions (Nuclear)'!$V$13*Model!$AA$1110*'Assumptions (Nuclear)'!U$2/10^9,0)</f>
        <v>0</v>
      </c>
      <c r="W1137" s="105">
        <f>IF($AA$1110&gt;0,'Assumptions (Nuclear)'!$V$13*Model!$AA$1110*'Assumptions (Nuclear)'!V$2/10^9,0)</f>
        <v>0</v>
      </c>
      <c r="X1137" s="105">
        <f>IF($AA$1110&gt;0,'Assumptions (Nuclear)'!$V$13*Model!$AA$1110*'Assumptions (Nuclear)'!W$2/10^9,0)</f>
        <v>0</v>
      </c>
      <c r="Y1137" s="105">
        <f>IF($AA$1110&gt;0,'Assumptions (Nuclear)'!$V$13*Model!$AA$1110*'Assumptions (Nuclear)'!X$2/10^9,0)</f>
        <v>0</v>
      </c>
      <c r="Z1137" s="105">
        <f>IF($AA$1110&gt;0,'Assumptions (Nuclear)'!$V$13*Model!$AA$1110*'Assumptions (Nuclear)'!Y$2/10^9,0)</f>
        <v>0</v>
      </c>
      <c r="AA1137" s="105"/>
      <c r="AB1137" s="105"/>
      <c r="AC1137" s="105"/>
      <c r="AD1137" s="105"/>
      <c r="AE1137" s="105"/>
      <c r="AF1137" s="105"/>
      <c r="AG1137" s="105"/>
      <c r="AH1137" s="105"/>
      <c r="AI1137" s="105"/>
      <c r="AJ1137" s="105"/>
      <c r="AK1137" s="105"/>
      <c r="AL1137" s="105"/>
      <c r="AM1137" s="105"/>
      <c r="AN1137" s="105"/>
      <c r="AO1137" s="105"/>
      <c r="AP1137" s="105"/>
      <c r="AQ1137" s="105"/>
      <c r="AR1137" s="105"/>
      <c r="AS1137" s="105"/>
      <c r="AT1137" s="105"/>
      <c r="AU1137" s="105"/>
      <c r="AV1137" s="105"/>
      <c r="AW1137" s="105"/>
      <c r="AX1137" s="105"/>
      <c r="AY1137" s="105"/>
      <c r="AZ1137" s="105"/>
      <c r="BA1137" s="105"/>
    </row>
    <row r="1138" spans="1:53" ht="15.75" hidden="1" customHeight="1" outlineLevel="1">
      <c r="A1138" s="407"/>
      <c r="B1138" s="99"/>
      <c r="C1138" s="99"/>
      <c r="D1138" s="99"/>
      <c r="E1138" s="99"/>
      <c r="F1138" s="99"/>
      <c r="G1138" s="99"/>
      <c r="H1138" s="99"/>
      <c r="I1138" s="99"/>
      <c r="J1138" s="99"/>
      <c r="K1138" s="99"/>
      <c r="L1138" s="99"/>
      <c r="M1138" s="99"/>
      <c r="N1138" s="99"/>
      <c r="O1138" s="99"/>
      <c r="P1138" s="99"/>
      <c r="Q1138" s="99"/>
      <c r="R1138" s="99"/>
      <c r="S1138" s="99"/>
      <c r="T1138" s="99"/>
      <c r="U1138" s="99"/>
      <c r="V1138" s="105">
        <f>IF($AB$1110&gt;0,'Assumptions (Nuclear)'!$V$13*Model!$AB$1110*'Assumptions (Nuclear)'!U$2/10^9,0)</f>
        <v>0</v>
      </c>
      <c r="W1138" s="105">
        <f>IF($AB$1110&gt;0,'Assumptions (Nuclear)'!$V$13*Model!$AB$1110*'Assumptions (Nuclear)'!V$2/10^9,0)</f>
        <v>0</v>
      </c>
      <c r="X1138" s="105">
        <f>IF($AB$1110&gt;0,'Assumptions (Nuclear)'!$V$13*Model!$AB$1110*'Assumptions (Nuclear)'!W$2/10^9,0)</f>
        <v>0</v>
      </c>
      <c r="Y1138" s="105">
        <f>IF($AB$1110&gt;0,'Assumptions (Nuclear)'!$V$13*Model!$AB$1110*'Assumptions (Nuclear)'!X$2/10^9,0)</f>
        <v>0</v>
      </c>
      <c r="Z1138" s="105">
        <f>IF($AB$1110&gt;0,'Assumptions (Nuclear)'!$V$13*Model!$AB$1110*'Assumptions (Nuclear)'!Y$2/10^9,0)</f>
        <v>0</v>
      </c>
      <c r="AA1138" s="105">
        <f>IF($AB$1110&gt;0,'Assumptions (Nuclear)'!$V$13*Model!$AB$1110*'Assumptions (Nuclear)'!Z$2/10^9,0)</f>
        <v>0</v>
      </c>
      <c r="AB1138" s="105"/>
      <c r="AC1138" s="105"/>
      <c r="AD1138" s="105"/>
      <c r="AE1138" s="105"/>
      <c r="AF1138" s="105"/>
      <c r="AG1138" s="105"/>
      <c r="AH1138" s="105"/>
      <c r="AI1138" s="105"/>
      <c r="AJ1138" s="105"/>
      <c r="AK1138" s="105"/>
      <c r="AL1138" s="105"/>
      <c r="AM1138" s="105"/>
      <c r="AN1138" s="105"/>
      <c r="AO1138" s="105"/>
      <c r="AP1138" s="105"/>
      <c r="AQ1138" s="105"/>
      <c r="AR1138" s="105"/>
      <c r="AS1138" s="105"/>
      <c r="AT1138" s="105"/>
      <c r="AU1138" s="105"/>
      <c r="AV1138" s="105"/>
      <c r="AW1138" s="105"/>
      <c r="AX1138" s="105"/>
      <c r="AY1138" s="105"/>
      <c r="AZ1138" s="105"/>
      <c r="BA1138" s="105"/>
    </row>
    <row r="1139" spans="1:53" ht="15.75" hidden="1" customHeight="1" outlineLevel="1">
      <c r="A1139" s="407"/>
      <c r="B1139" s="99"/>
      <c r="C1139" s="99"/>
      <c r="D1139" s="99"/>
      <c r="E1139" s="99"/>
      <c r="F1139" s="99"/>
      <c r="G1139" s="99"/>
      <c r="H1139" s="99"/>
      <c r="I1139" s="99"/>
      <c r="J1139" s="99"/>
      <c r="K1139" s="99"/>
      <c r="L1139" s="99"/>
      <c r="M1139" s="99"/>
      <c r="N1139" s="99"/>
      <c r="O1139" s="99"/>
      <c r="P1139" s="99"/>
      <c r="Q1139" s="99"/>
      <c r="R1139" s="99"/>
      <c r="S1139" s="99"/>
      <c r="T1139" s="99"/>
      <c r="U1139" s="99"/>
      <c r="V1139" s="99"/>
      <c r="W1139" s="105">
        <f>IF($AC$1110&gt;0,'Assumptions (Nuclear)'!$V$13*Model!$AC$1110*'Assumptions (Nuclear)'!V$2/10^9,0)</f>
        <v>0</v>
      </c>
      <c r="X1139" s="105">
        <f>IF($AC$1110&gt;0,'Assumptions (Nuclear)'!$V$13*Model!$AC$1110*'Assumptions (Nuclear)'!W$2/10^9,0)</f>
        <v>0</v>
      </c>
      <c r="Y1139" s="105">
        <f>IF($AC$1110&gt;0,'Assumptions (Nuclear)'!$V$13*Model!$AC$1110*'Assumptions (Nuclear)'!X$2/10^9,0)</f>
        <v>0</v>
      </c>
      <c r="Z1139" s="105">
        <f>IF($AC$1110&gt;0,'Assumptions (Nuclear)'!$V$13*Model!$AC$1110*'Assumptions (Nuclear)'!Y$2/10^9,0)</f>
        <v>0</v>
      </c>
      <c r="AA1139" s="105">
        <f>IF($AC$1110&gt;0,'Assumptions (Nuclear)'!$V$13*Model!$AC$1110*'Assumptions (Nuclear)'!Z$2/10^9,0)</f>
        <v>0</v>
      </c>
      <c r="AB1139" s="105">
        <f>IF($AC$1110&gt;0,'Assumptions (Nuclear)'!$V$13*Model!$AC$1110*'Assumptions (Nuclear)'!AA$2/10^9,0)</f>
        <v>0</v>
      </c>
      <c r="AC1139" s="105"/>
      <c r="AD1139" s="105"/>
      <c r="AE1139" s="105"/>
      <c r="AF1139" s="105"/>
      <c r="AG1139" s="105"/>
      <c r="AH1139" s="105"/>
      <c r="AI1139" s="105"/>
      <c r="AJ1139" s="105"/>
      <c r="AK1139" s="105"/>
      <c r="AL1139" s="105"/>
      <c r="AM1139" s="105"/>
      <c r="AN1139" s="105"/>
      <c r="AO1139" s="105"/>
      <c r="AP1139" s="105"/>
      <c r="AQ1139" s="105"/>
      <c r="AR1139" s="105"/>
      <c r="AS1139" s="105"/>
      <c r="AT1139" s="105"/>
      <c r="AU1139" s="105"/>
      <c r="AV1139" s="105"/>
      <c r="AW1139" s="105"/>
      <c r="AX1139" s="105"/>
      <c r="AY1139" s="105"/>
      <c r="AZ1139" s="105"/>
      <c r="BA1139" s="105"/>
    </row>
    <row r="1140" spans="1:53" ht="15.75" hidden="1" customHeight="1" outlineLevel="1">
      <c r="A1140" s="407"/>
      <c r="B1140" s="99"/>
      <c r="C1140" s="99"/>
      <c r="D1140" s="99"/>
      <c r="E1140" s="99"/>
      <c r="F1140" s="99"/>
      <c r="G1140" s="99"/>
      <c r="H1140" s="99"/>
      <c r="I1140" s="99"/>
      <c r="J1140" s="99"/>
      <c r="K1140" s="99"/>
      <c r="L1140" s="99"/>
      <c r="M1140" s="99"/>
      <c r="N1140" s="99"/>
      <c r="O1140" s="99"/>
      <c r="P1140" s="99"/>
      <c r="Q1140" s="99"/>
      <c r="R1140" s="99"/>
      <c r="S1140" s="99"/>
      <c r="T1140" s="99"/>
      <c r="U1140" s="99"/>
      <c r="V1140" s="99"/>
      <c r="W1140" s="105"/>
      <c r="X1140" s="105">
        <f>IF($AD$1110&gt;0,'Assumptions (Nuclear)'!$V$13*Model!$AD$1110*'Assumptions (Nuclear)'!W$2/10^9,0)</f>
        <v>0</v>
      </c>
      <c r="Y1140" s="105">
        <f>IF($AD$1110&gt;0,'Assumptions (Nuclear)'!$V$13*Model!$AD$1110*'Assumptions (Nuclear)'!X$2/10^9,0)</f>
        <v>0</v>
      </c>
      <c r="Z1140" s="105">
        <f>IF($AD$1110&gt;0,'Assumptions (Nuclear)'!$V$13*Model!$AD$1110*'Assumptions (Nuclear)'!Y$2/10^9,0)</f>
        <v>0</v>
      </c>
      <c r="AA1140" s="105">
        <f>IF($AD$1110&gt;0,'Assumptions (Nuclear)'!$V$13*Model!$AD$1110*'Assumptions (Nuclear)'!Z$2/10^9,0)</f>
        <v>0</v>
      </c>
      <c r="AB1140" s="105">
        <f>IF($AD$1110&gt;0,'Assumptions (Nuclear)'!$V$13*Model!$AD$1110*'Assumptions (Nuclear)'!AA$2/10^9,0)</f>
        <v>0</v>
      </c>
      <c r="AC1140" s="105">
        <f>IF($AD$1110&gt;0,'Assumptions (Nuclear)'!$V$13*Model!$AD$1110*'Assumptions (Nuclear)'!AB$2/10^9,0)</f>
        <v>0</v>
      </c>
      <c r="AD1140" s="105"/>
      <c r="AE1140" s="105"/>
      <c r="AF1140" s="105"/>
      <c r="AG1140" s="105"/>
      <c r="AH1140" s="105"/>
      <c r="AI1140" s="105"/>
      <c r="AJ1140" s="105"/>
      <c r="AK1140" s="105"/>
      <c r="AL1140" s="105"/>
      <c r="AM1140" s="105"/>
      <c r="AN1140" s="105"/>
      <c r="AO1140" s="105"/>
      <c r="AP1140" s="105"/>
      <c r="AQ1140" s="105"/>
      <c r="AR1140" s="105"/>
      <c r="AS1140" s="105"/>
      <c r="AT1140" s="105"/>
      <c r="AU1140" s="105"/>
      <c r="AV1140" s="105"/>
      <c r="AW1140" s="105"/>
      <c r="AX1140" s="105"/>
      <c r="AY1140" s="105"/>
      <c r="AZ1140" s="105"/>
      <c r="BA1140" s="105"/>
    </row>
    <row r="1141" spans="1:53" ht="15.75" hidden="1" customHeight="1" outlineLevel="1">
      <c r="A1141" s="407"/>
      <c r="B1141" s="99"/>
      <c r="C1141" s="99"/>
      <c r="D1141" s="99"/>
      <c r="E1141" s="99"/>
      <c r="F1141" s="99"/>
      <c r="G1141" s="99"/>
      <c r="H1141" s="99"/>
      <c r="I1141" s="99"/>
      <c r="J1141" s="99"/>
      <c r="K1141" s="99"/>
      <c r="L1141" s="99"/>
      <c r="M1141" s="99"/>
      <c r="N1141" s="99"/>
      <c r="O1141" s="99"/>
      <c r="P1141" s="99"/>
      <c r="Q1141" s="99"/>
      <c r="R1141" s="99"/>
      <c r="S1141" s="99"/>
      <c r="T1141" s="99"/>
      <c r="U1141" s="99"/>
      <c r="V1141" s="99"/>
      <c r="W1141" s="105"/>
      <c r="X1141" s="105"/>
      <c r="Y1141" s="105">
        <f>IF($AE$1110&gt;0,'Assumptions (Nuclear)'!$V$13*Model!$AE$1110*'Assumptions (Nuclear)'!X$2/10^9,0)</f>
        <v>0</v>
      </c>
      <c r="Z1141" s="105">
        <f>IF($AE$1110&gt;0,'Assumptions (Nuclear)'!$V$13*Model!$AE$1110*'Assumptions (Nuclear)'!Y$2/10^9,0)</f>
        <v>0</v>
      </c>
      <c r="AA1141" s="105">
        <f>IF($AE$1110&gt;0,'Assumptions (Nuclear)'!$V$13*Model!$AE$1110*'Assumptions (Nuclear)'!Z$2/10^9,0)</f>
        <v>0</v>
      </c>
      <c r="AB1141" s="105">
        <f>IF($AE$1110&gt;0,'Assumptions (Nuclear)'!$V$13*Model!$AE$1110*'Assumptions (Nuclear)'!AA$2/10^9,0)</f>
        <v>0</v>
      </c>
      <c r="AC1141" s="105">
        <f>IF($AE$1110&gt;0,'Assumptions (Nuclear)'!$V$13*Model!$AE$1110*'Assumptions (Nuclear)'!AB$2/10^9,0)</f>
        <v>0</v>
      </c>
      <c r="AD1141" s="105">
        <f>IF($AE$1110&gt;0,'Assumptions (Nuclear)'!$V$13*Model!$AE$1110*'Assumptions (Nuclear)'!AC$2/10^9,0)</f>
        <v>0</v>
      </c>
      <c r="AE1141" s="105"/>
      <c r="AF1141" s="105"/>
      <c r="AG1141" s="105"/>
      <c r="AH1141" s="105"/>
      <c r="AI1141" s="105"/>
      <c r="AJ1141" s="105"/>
      <c r="AK1141" s="105"/>
      <c r="AL1141" s="105"/>
      <c r="AM1141" s="105"/>
      <c r="AN1141" s="105"/>
      <c r="AO1141" s="105"/>
      <c r="AP1141" s="105"/>
      <c r="AQ1141" s="105"/>
      <c r="AR1141" s="105"/>
      <c r="AS1141" s="105"/>
      <c r="AT1141" s="105"/>
      <c r="AU1141" s="105"/>
      <c r="AV1141" s="105"/>
      <c r="AW1141" s="105"/>
      <c r="AX1141" s="105"/>
      <c r="AY1141" s="105"/>
      <c r="AZ1141" s="105"/>
      <c r="BA1141" s="105"/>
    </row>
    <row r="1142" spans="1:53" ht="15.75" hidden="1" customHeight="1" outlineLevel="1">
      <c r="A1142" s="407"/>
      <c r="B1142" s="99"/>
      <c r="C1142" s="99"/>
      <c r="D1142" s="99"/>
      <c r="E1142" s="99"/>
      <c r="F1142" s="99"/>
      <c r="G1142" s="99"/>
      <c r="H1142" s="99"/>
      <c r="I1142" s="99"/>
      <c r="J1142" s="99"/>
      <c r="K1142" s="99"/>
      <c r="L1142" s="99"/>
      <c r="M1142" s="99"/>
      <c r="N1142" s="99"/>
      <c r="O1142" s="99"/>
      <c r="P1142" s="99"/>
      <c r="Q1142" s="99"/>
      <c r="R1142" s="99"/>
      <c r="S1142" s="99"/>
      <c r="T1142" s="99"/>
      <c r="U1142" s="99"/>
      <c r="V1142" s="99"/>
      <c r="W1142" s="105"/>
      <c r="X1142" s="105"/>
      <c r="Y1142" s="105"/>
      <c r="Z1142" s="105">
        <f>IF($AF$1110&gt;0,'Assumptions (Nuclear)'!$V$13*Model!$AF$1110*'Assumptions (Nuclear)'!Y$2/10^9,0)</f>
        <v>0</v>
      </c>
      <c r="AA1142" s="105">
        <f>IF($AF$1110&gt;0,'Assumptions (Nuclear)'!$V$13*Model!$AF$1110*'Assumptions (Nuclear)'!Z$2/10^9,0)</f>
        <v>0</v>
      </c>
      <c r="AB1142" s="105">
        <f>IF($AF$1110&gt;0,'Assumptions (Nuclear)'!$V$13*Model!$AF$1110*'Assumptions (Nuclear)'!AA$2/10^9,0)</f>
        <v>0</v>
      </c>
      <c r="AC1142" s="105">
        <f>IF($AF$1110&gt;0,'Assumptions (Nuclear)'!$V$13*Model!$AF$1110*'Assumptions (Nuclear)'!AB$2/10^9,0)</f>
        <v>0</v>
      </c>
      <c r="AD1142" s="105">
        <f>IF($AF$1110&gt;0,'Assumptions (Nuclear)'!$V$13*Model!$AF$1110*'Assumptions (Nuclear)'!AC$2/10^9,0)</f>
        <v>0</v>
      </c>
      <c r="AE1142" s="105">
        <f>IF($AF$1110&gt;0,'Assumptions (Nuclear)'!$V$13*Model!$AF$1110*'Assumptions (Nuclear)'!AD$2/10^9,0)</f>
        <v>0</v>
      </c>
      <c r="AF1142" s="105"/>
      <c r="AG1142" s="105"/>
      <c r="AH1142" s="105"/>
      <c r="AI1142" s="105"/>
      <c r="AJ1142" s="105"/>
      <c r="AK1142" s="105"/>
      <c r="AL1142" s="105"/>
      <c r="AM1142" s="105"/>
      <c r="AN1142" s="105"/>
      <c r="AO1142" s="105"/>
      <c r="AP1142" s="105"/>
      <c r="AQ1142" s="105"/>
      <c r="AR1142" s="105"/>
      <c r="AS1142" s="105"/>
      <c r="AT1142" s="105"/>
      <c r="AU1142" s="105"/>
      <c r="AV1142" s="105"/>
      <c r="AW1142" s="105"/>
      <c r="AX1142" s="105"/>
      <c r="AY1142" s="105"/>
      <c r="AZ1142" s="105"/>
      <c r="BA1142" s="105"/>
    </row>
    <row r="1143" spans="1:53" ht="15.75" hidden="1" customHeight="1" outlineLevel="1">
      <c r="A1143" s="407"/>
      <c r="B1143" s="99"/>
      <c r="C1143" s="99"/>
      <c r="D1143" s="99"/>
      <c r="E1143" s="99"/>
      <c r="F1143" s="99"/>
      <c r="G1143" s="99"/>
      <c r="H1143" s="99"/>
      <c r="I1143" s="99"/>
      <c r="J1143" s="99"/>
      <c r="K1143" s="99"/>
      <c r="L1143" s="99"/>
      <c r="M1143" s="99"/>
      <c r="N1143" s="99"/>
      <c r="O1143" s="99"/>
      <c r="P1143" s="99"/>
      <c r="Q1143" s="99"/>
      <c r="R1143" s="99"/>
      <c r="S1143" s="99"/>
      <c r="T1143" s="99"/>
      <c r="U1143" s="99"/>
      <c r="V1143" s="99"/>
      <c r="W1143" s="105"/>
      <c r="X1143" s="105"/>
      <c r="Y1143" s="105"/>
      <c r="Z1143" s="105"/>
      <c r="AA1143" s="105">
        <f>IF($AG$1110&gt;0,'Assumptions (Nuclear)'!$V$13*Model!$AG$1110*'Assumptions (Nuclear)'!Z$2/10^9,0)</f>
        <v>0</v>
      </c>
      <c r="AB1143" s="105">
        <f>IF($AG$1110&gt;0,'Assumptions (Nuclear)'!$V$13*Model!$AG$1110*'Assumptions (Nuclear)'!AA$2/10^9,0)</f>
        <v>0</v>
      </c>
      <c r="AC1143" s="105">
        <f>IF($AG$1110&gt;0,'Assumptions (Nuclear)'!$V$13*Model!$AG$1110*'Assumptions (Nuclear)'!AB$2/10^9,0)</f>
        <v>0</v>
      </c>
      <c r="AD1143" s="105">
        <f>IF($AG$1110&gt;0,'Assumptions (Nuclear)'!$V$13*Model!$AG$1110*'Assumptions (Nuclear)'!AC$2/10^9,0)</f>
        <v>0</v>
      </c>
      <c r="AE1143" s="105">
        <f>IF($AG$1110&gt;0,'Assumptions (Nuclear)'!$V$13*Model!$AG$1110*'Assumptions (Nuclear)'!AD$2/10^9,0)</f>
        <v>0</v>
      </c>
      <c r="AF1143" s="105">
        <f>IF($AG$1110&gt;0,'Assumptions (Nuclear)'!$V$13*Model!$AG$1110*'Assumptions (Nuclear)'!AE$2/10^9,0)</f>
        <v>0</v>
      </c>
      <c r="AG1143" s="105"/>
      <c r="AH1143" s="105"/>
      <c r="AI1143" s="105"/>
      <c r="AJ1143" s="105"/>
      <c r="AK1143" s="105"/>
      <c r="AL1143" s="105"/>
      <c r="AM1143" s="105"/>
      <c r="AN1143" s="105"/>
      <c r="AO1143" s="105"/>
      <c r="AP1143" s="105"/>
      <c r="AQ1143" s="105"/>
      <c r="AR1143" s="105"/>
      <c r="AS1143" s="105"/>
      <c r="AT1143" s="105"/>
      <c r="AU1143" s="105"/>
      <c r="AV1143" s="105"/>
      <c r="AW1143" s="105"/>
      <c r="AX1143" s="105"/>
      <c r="AY1143" s="105"/>
      <c r="AZ1143" s="105"/>
      <c r="BA1143" s="105"/>
    </row>
    <row r="1144" spans="1:53" ht="15.75" hidden="1" customHeight="1" outlineLevel="1">
      <c r="A1144" s="407"/>
      <c r="B1144" s="99"/>
      <c r="C1144" s="99"/>
      <c r="D1144" s="99"/>
      <c r="E1144" s="99"/>
      <c r="F1144" s="99"/>
      <c r="G1144" s="99"/>
      <c r="H1144" s="99"/>
      <c r="I1144" s="99"/>
      <c r="J1144" s="99"/>
      <c r="K1144" s="99"/>
      <c r="L1144" s="99"/>
      <c r="M1144" s="99"/>
      <c r="N1144" s="99"/>
      <c r="O1144" s="99"/>
      <c r="P1144" s="99"/>
      <c r="Q1144" s="99"/>
      <c r="R1144" s="99"/>
      <c r="S1144" s="99"/>
      <c r="T1144" s="99"/>
      <c r="U1144" s="99"/>
      <c r="V1144" s="99"/>
      <c r="W1144" s="105"/>
      <c r="X1144" s="105"/>
      <c r="Y1144" s="105"/>
      <c r="Z1144" s="105"/>
      <c r="AA1144" s="105"/>
      <c r="AB1144" s="105">
        <f>IF($AH$1110&gt;0,'Assumptions (Nuclear)'!$V$13*Model!$AH$1110*'Assumptions (Nuclear)'!AA$2/10^9,0)</f>
        <v>0</v>
      </c>
      <c r="AC1144" s="105">
        <f>IF($AH$1110&gt;0,'Assumptions (Nuclear)'!$V$13*Model!$AH$1110*'Assumptions (Nuclear)'!AB$2/10^9,0)</f>
        <v>0</v>
      </c>
      <c r="AD1144" s="105">
        <f>IF($AH$1110&gt;0,'Assumptions (Nuclear)'!$V$13*Model!$AH$1110*'Assumptions (Nuclear)'!AC$2/10^9,0)</f>
        <v>0</v>
      </c>
      <c r="AE1144" s="105">
        <f>IF($AH$1110&gt;0,'Assumptions (Nuclear)'!$V$13*Model!$AH$1110*'Assumptions (Nuclear)'!AD$2/10^9,0)</f>
        <v>0</v>
      </c>
      <c r="AF1144" s="105">
        <f>IF($AH$1110&gt;0,'Assumptions (Nuclear)'!$V$13*Model!$AH$1110*'Assumptions (Nuclear)'!AE$2/10^9,0)</f>
        <v>0</v>
      </c>
      <c r="AG1144" s="105">
        <f>IF($AH$1110&gt;0,'Assumptions (Nuclear)'!$V$13*Model!$AH$1110*'Assumptions (Nuclear)'!AF$2/10^9,0)</f>
        <v>0</v>
      </c>
      <c r="AH1144" s="105"/>
      <c r="AI1144" s="105"/>
      <c r="AJ1144" s="105"/>
      <c r="AK1144" s="105"/>
      <c r="AL1144" s="105"/>
      <c r="AM1144" s="105"/>
      <c r="AN1144" s="105"/>
      <c r="AO1144" s="105"/>
      <c r="AP1144" s="105"/>
      <c r="AQ1144" s="105"/>
      <c r="AR1144" s="105"/>
      <c r="AS1144" s="105"/>
      <c r="AT1144" s="105"/>
      <c r="AU1144" s="105"/>
      <c r="AV1144" s="105"/>
      <c r="AW1144" s="105"/>
      <c r="AX1144" s="105"/>
      <c r="AY1144" s="105"/>
      <c r="AZ1144" s="105"/>
      <c r="BA1144" s="105"/>
    </row>
    <row r="1145" spans="1:53" ht="15.75" hidden="1" customHeight="1" outlineLevel="1">
      <c r="A1145" s="407"/>
      <c r="B1145" s="99"/>
      <c r="C1145" s="99"/>
      <c r="D1145" s="99"/>
      <c r="E1145" s="99"/>
      <c r="F1145" s="99"/>
      <c r="G1145" s="99"/>
      <c r="H1145" s="99"/>
      <c r="I1145" s="99"/>
      <c r="J1145" s="99"/>
      <c r="K1145" s="99"/>
      <c r="L1145" s="99"/>
      <c r="M1145" s="99"/>
      <c r="N1145" s="99"/>
      <c r="O1145" s="99"/>
      <c r="P1145" s="99"/>
      <c r="Q1145" s="99"/>
      <c r="R1145" s="99"/>
      <c r="S1145" s="99"/>
      <c r="T1145" s="99"/>
      <c r="U1145" s="99"/>
      <c r="V1145" s="99"/>
      <c r="W1145" s="105"/>
      <c r="X1145" s="105"/>
      <c r="Y1145" s="105"/>
      <c r="Z1145" s="105"/>
      <c r="AA1145" s="105"/>
      <c r="AB1145" s="105"/>
      <c r="AC1145" s="105">
        <f>IF($AI$1110&gt;0,'Assumptions (Nuclear)'!$V$13*Model!$AI$1110*'Assumptions (Nuclear)'!AB$2/10^9,0)</f>
        <v>0</v>
      </c>
      <c r="AD1145" s="105">
        <f>IF($AI$1110&gt;0,'Assumptions (Nuclear)'!$V$13*Model!$AI$1110*'Assumptions (Nuclear)'!AC$2/10^9,0)</f>
        <v>0</v>
      </c>
      <c r="AE1145" s="105">
        <f>IF($AI$1110&gt;0,'Assumptions (Nuclear)'!$V$13*Model!$AI$1110*'Assumptions (Nuclear)'!AD$2/10^9,0)</f>
        <v>0</v>
      </c>
      <c r="AF1145" s="105">
        <f>IF($AI$1110&gt;0,'Assumptions (Nuclear)'!$V$13*Model!$AI$1110*'Assumptions (Nuclear)'!AE$2/10^9,0)</f>
        <v>0</v>
      </c>
      <c r="AG1145" s="105">
        <f>IF($AI$1110&gt;0,'Assumptions (Nuclear)'!$V$13*Model!$AI$1110*'Assumptions (Nuclear)'!AF$2/10^9,0)</f>
        <v>0</v>
      </c>
      <c r="AH1145" s="105">
        <f>IF($AI$1110&gt;0,'Assumptions (Nuclear)'!$V$13*Model!$AI$1110*'Assumptions (Nuclear)'!AG$2/10^9,0)</f>
        <v>0</v>
      </c>
      <c r="AI1145" s="105"/>
      <c r="AJ1145" s="105"/>
      <c r="AK1145" s="105"/>
      <c r="AL1145" s="105"/>
      <c r="AM1145" s="105"/>
      <c r="AN1145" s="105"/>
      <c r="AO1145" s="105"/>
      <c r="AP1145" s="105"/>
      <c r="AQ1145" s="105"/>
      <c r="AR1145" s="105"/>
      <c r="AS1145" s="105"/>
      <c r="AT1145" s="105"/>
      <c r="AU1145" s="105"/>
      <c r="AV1145" s="105"/>
      <c r="AW1145" s="105"/>
      <c r="AX1145" s="105"/>
      <c r="AY1145" s="105"/>
      <c r="AZ1145" s="105"/>
      <c r="BA1145" s="105"/>
    </row>
    <row r="1146" spans="1:53" ht="15.75" hidden="1" customHeight="1" outlineLevel="1">
      <c r="A1146" s="407"/>
      <c r="B1146" s="99"/>
      <c r="C1146" s="99"/>
      <c r="D1146" s="99"/>
      <c r="E1146" s="99"/>
      <c r="F1146" s="99"/>
      <c r="G1146" s="99"/>
      <c r="H1146" s="99"/>
      <c r="I1146" s="99"/>
      <c r="J1146" s="99"/>
      <c r="K1146" s="99"/>
      <c r="L1146" s="99"/>
      <c r="M1146" s="99"/>
      <c r="N1146" s="99"/>
      <c r="O1146" s="99"/>
      <c r="P1146" s="99"/>
      <c r="Q1146" s="99"/>
      <c r="R1146" s="99"/>
      <c r="S1146" s="99"/>
      <c r="T1146" s="99"/>
      <c r="U1146" s="99"/>
      <c r="V1146" s="99"/>
      <c r="W1146" s="105"/>
      <c r="X1146" s="105"/>
      <c r="Y1146" s="105"/>
      <c r="Z1146" s="105"/>
      <c r="AA1146" s="105"/>
      <c r="AB1146" s="105"/>
      <c r="AC1146" s="105"/>
      <c r="AD1146" s="91">
        <f>IF($AJ$1110&gt;0,'Assumptions (Nuclear)'!$V$13*Model!$AJ$1110*'Assumptions (Nuclear)'!AC$2/10^9,0)</f>
        <v>0</v>
      </c>
      <c r="AE1146" s="91">
        <f>IF($AJ$1110&gt;0,'Assumptions (Nuclear)'!$V$13*Model!$AJ$1110*'Assumptions (Nuclear)'!AD$2/10^9,0)</f>
        <v>0</v>
      </c>
      <c r="AF1146" s="91">
        <f>IF($AJ$1110&gt;0,'Assumptions (Nuclear)'!$V$13*Model!$AJ$1110*'Assumptions (Nuclear)'!AE$2/10^9,0)</f>
        <v>0</v>
      </c>
      <c r="AG1146" s="91">
        <f>IF($AJ$1110&gt;0,'Assumptions (Nuclear)'!$V$13*Model!$AJ$1110*'Assumptions (Nuclear)'!AF$2/10^9,0)</f>
        <v>0</v>
      </c>
      <c r="AH1146" s="91">
        <f>IF($AJ$1110&gt;0,'Assumptions (Nuclear)'!$V$13*Model!$AJ$1110*'Assumptions (Nuclear)'!AG$2/10^9,0)</f>
        <v>0</v>
      </c>
      <c r="AI1146" s="91">
        <f>IF($AJ$1110&gt;0,'Assumptions (Nuclear)'!$V$13*Model!$AJ$1110*'Assumptions (Nuclear)'!AH$2/10^9,0)</f>
        <v>0</v>
      </c>
      <c r="AJ1146" s="91"/>
      <c r="AK1146" s="105"/>
      <c r="AL1146" s="91"/>
      <c r="AM1146" s="91"/>
      <c r="AN1146" s="91"/>
      <c r="AO1146" s="91"/>
      <c r="AP1146" s="91"/>
      <c r="AQ1146" s="91"/>
      <c r="AR1146" s="91"/>
      <c r="AS1146" s="91"/>
      <c r="AT1146" s="91"/>
      <c r="AU1146" s="91"/>
      <c r="AV1146" s="91"/>
      <c r="AW1146" s="91"/>
      <c r="AX1146" s="91"/>
      <c r="AY1146" s="91"/>
      <c r="AZ1146" s="91"/>
      <c r="BA1146" s="91"/>
    </row>
    <row r="1147" spans="1:53" ht="15.75" hidden="1" customHeight="1" outlineLevel="1">
      <c r="A1147" s="407"/>
      <c r="B1147" s="99"/>
      <c r="C1147" s="99"/>
      <c r="D1147" s="99"/>
      <c r="E1147" s="99"/>
      <c r="F1147" s="99"/>
      <c r="G1147" s="99"/>
      <c r="H1147" s="99"/>
      <c r="I1147" s="99"/>
      <c r="J1147" s="99"/>
      <c r="K1147" s="99"/>
      <c r="L1147" s="99"/>
      <c r="M1147" s="99"/>
      <c r="N1147" s="99"/>
      <c r="O1147" s="99"/>
      <c r="P1147" s="99"/>
      <c r="Q1147" s="99"/>
      <c r="R1147" s="99"/>
      <c r="S1147" s="99"/>
      <c r="T1147" s="99"/>
      <c r="U1147" s="99"/>
      <c r="V1147" s="99"/>
      <c r="W1147" s="105"/>
      <c r="X1147" s="105"/>
      <c r="Y1147" s="105"/>
      <c r="Z1147" s="105"/>
      <c r="AA1147" s="105"/>
      <c r="AB1147" s="105"/>
      <c r="AC1147" s="105"/>
      <c r="AD1147" s="105"/>
      <c r="AE1147" s="105">
        <f>IF($AK$1110&gt;0,'Assumptions (Nuclear)'!$V$13*Model!$AK$1110*'Assumptions (Nuclear)'!AD$2/10^9,0)</f>
        <v>2.7563308809053382</v>
      </c>
      <c r="AF1147" s="105">
        <f>IF($AK$1110&gt;0,'Assumptions (Nuclear)'!$V$13*Model!$AK$1110*'Assumptions (Nuclear)'!AE$2/10^9,0)</f>
        <v>2.8114574985234451</v>
      </c>
      <c r="AG1147" s="105">
        <f>IF($AK$1110&gt;0,'Assumptions (Nuclear)'!$V$13*Model!$AK$1110*'Assumptions (Nuclear)'!AF$2/10^9,0)</f>
        <v>2.8676866484939141</v>
      </c>
      <c r="AH1147" s="105">
        <f>IF($AK$1110&gt;0,'Assumptions (Nuclear)'!$V$13*Model!$AK$1110*'Assumptions (Nuclear)'!AG$2/10^9,0)</f>
        <v>2.9250403814637922</v>
      </c>
      <c r="AI1147" s="105">
        <f>IF($AK$1110&gt;0,'Assumptions (Nuclear)'!$V$13*Model!$AK$1110*'Assumptions (Nuclear)'!AH$2/10^9,0)</f>
        <v>2.9835411890930681</v>
      </c>
      <c r="AJ1147" s="105">
        <f>IF($AK$1110&gt;0,'Assumptions (Nuclear)'!$V$13*Model!$AK$1110*'Assumptions (Nuclear)'!AI$2/10^9,0)</f>
        <v>3.0432120128749296</v>
      </c>
      <c r="AK1147" s="105"/>
      <c r="AL1147" s="91"/>
      <c r="AM1147" s="91"/>
      <c r="AN1147" s="91"/>
      <c r="AO1147" s="91"/>
      <c r="AP1147" s="91"/>
      <c r="AQ1147" s="91"/>
      <c r="AR1147" s="91"/>
      <c r="AS1147" s="91"/>
      <c r="AT1147" s="91"/>
      <c r="AU1147" s="91"/>
      <c r="AV1147" s="91"/>
      <c r="AW1147" s="91"/>
      <c r="AX1147" s="91"/>
      <c r="AY1147" s="91"/>
      <c r="AZ1147" s="91"/>
      <c r="BA1147" s="91"/>
    </row>
    <row r="1148" spans="1:53" ht="15.75" hidden="1" customHeight="1" outlineLevel="1">
      <c r="A1148" s="407"/>
      <c r="B1148" s="99"/>
      <c r="C1148" s="99"/>
      <c r="D1148" s="99"/>
      <c r="E1148" s="99"/>
      <c r="F1148" s="99"/>
      <c r="G1148" s="99"/>
      <c r="H1148" s="99"/>
      <c r="I1148" s="99"/>
      <c r="J1148" s="99"/>
      <c r="K1148" s="99"/>
      <c r="L1148" s="99"/>
      <c r="M1148" s="99"/>
      <c r="N1148" s="99"/>
      <c r="O1148" s="99"/>
      <c r="P1148" s="99"/>
      <c r="Q1148" s="99"/>
      <c r="R1148" s="99"/>
      <c r="S1148" s="99"/>
      <c r="T1148" s="99"/>
      <c r="U1148" s="99"/>
      <c r="V1148" s="99"/>
      <c r="W1148" s="105"/>
      <c r="X1148" s="105"/>
      <c r="Y1148" s="105"/>
      <c r="Z1148" s="105"/>
      <c r="AA1148" s="105"/>
      <c r="AB1148" s="105"/>
      <c r="AC1148" s="105"/>
      <c r="AD1148" s="105"/>
      <c r="AE1148" s="105"/>
      <c r="AF1148" s="105">
        <f>IF($AL$1110&gt;0,'Assumptions (Nuclear)'!$V$13*Model!$AL$1110*'Assumptions (Nuclear)'!AE$2/10^9,0)</f>
        <v>0.40002947136230471</v>
      </c>
      <c r="AG1148" s="105">
        <f>IF($AL$1110&gt;0,'Assumptions (Nuclear)'!$V$13*Model!$AL$1110*'Assumptions (Nuclear)'!AF$2/10^9,0)</f>
        <v>0.40803006078955079</v>
      </c>
      <c r="AH1148" s="105">
        <f>IF($AL$1110&gt;0,'Assumptions (Nuclear)'!$V$13*Model!$AL$1110*'Assumptions (Nuclear)'!AG$2/10^9,0)</f>
        <v>0.41619066200534177</v>
      </c>
      <c r="AI1148" s="105">
        <f>IF($AL$1110&gt;0,'Assumptions (Nuclear)'!$V$13*Model!$AL$1110*'Assumptions (Nuclear)'!AH$2/10^9,0)</f>
        <v>0.42451447524544861</v>
      </c>
      <c r="AJ1148" s="105">
        <f>IF($AL$1110&gt;0,'Assumptions (Nuclear)'!$V$13*Model!$AL$1110*'Assumptions (Nuclear)'!AI$2/10^9,0)</f>
        <v>0.43300476475035765</v>
      </c>
      <c r="AK1148" s="105">
        <f>IF($AL$1110&gt;0,'Assumptions (Nuclear)'!$V$13*Model!$AL$1110*'Assumptions (Nuclear)'!AJ$2/10^9,0)</f>
        <v>0.44166486004536482</v>
      </c>
      <c r="AL1148" s="91"/>
      <c r="AM1148" s="91"/>
      <c r="AN1148" s="91"/>
      <c r="AO1148" s="91"/>
      <c r="AP1148" s="91"/>
      <c r="AQ1148" s="91"/>
      <c r="AR1148" s="91"/>
      <c r="AS1148" s="91"/>
      <c r="AT1148" s="91"/>
      <c r="AU1148" s="91"/>
      <c r="AV1148" s="91"/>
      <c r="AW1148" s="91"/>
      <c r="AX1148" s="91"/>
      <c r="AY1148" s="91"/>
      <c r="AZ1148" s="91"/>
      <c r="BA1148" s="91"/>
    </row>
    <row r="1149" spans="1:53" ht="15.75" hidden="1" customHeight="1" outlineLevel="1">
      <c r="A1149" s="407"/>
      <c r="B1149" s="99"/>
      <c r="C1149" s="99"/>
      <c r="D1149" s="99"/>
      <c r="E1149" s="99"/>
      <c r="F1149" s="99"/>
      <c r="G1149" s="99"/>
      <c r="H1149" s="99"/>
      <c r="I1149" s="99"/>
      <c r="J1149" s="99"/>
      <c r="K1149" s="99"/>
      <c r="L1149" s="99"/>
      <c r="M1149" s="99"/>
      <c r="N1149" s="99"/>
      <c r="O1149" s="99"/>
      <c r="P1149" s="99"/>
      <c r="Q1149" s="99"/>
      <c r="R1149" s="99"/>
      <c r="S1149" s="99"/>
      <c r="T1149" s="99"/>
      <c r="U1149" s="99"/>
      <c r="V1149" s="99"/>
      <c r="W1149" s="105"/>
      <c r="X1149" s="105"/>
      <c r="Y1149" s="105"/>
      <c r="Z1149" s="105"/>
      <c r="AA1149" s="105"/>
      <c r="AB1149" s="105"/>
      <c r="AC1149" s="105"/>
      <c r="AD1149" s="105"/>
      <c r="AE1149" s="105"/>
      <c r="AF1149" s="105"/>
      <c r="AG1149" s="105">
        <f>IF($AM$1110&gt;0,'Assumptions (Nuclear)'!$V$13*Model!$AM$1110*'Assumptions (Nuclear)'!AF$2/10^9,0)</f>
        <v>6.6978458631569717</v>
      </c>
      <c r="AH1149" s="105">
        <f>IF($AM$1110&gt;0,'Assumptions (Nuclear)'!$V$13*Model!$AM$1110*'Assumptions (Nuclear)'!AG$2/10^9,0)</f>
        <v>6.8318027804201114</v>
      </c>
      <c r="AI1149" s="105">
        <f>IF($AM$1110&gt;0,'Assumptions (Nuclear)'!$V$13*Model!$AM$1110*'Assumptions (Nuclear)'!AH$2/10^9,0)</f>
        <v>6.9684388360285139</v>
      </c>
      <c r="AJ1149" s="105">
        <f>IF($AM$1110&gt;0,'Assumptions (Nuclear)'!$V$13*Model!$AM$1110*'Assumptions (Nuclear)'!AI$2/10^9,0)</f>
        <v>7.1078076127490846</v>
      </c>
      <c r="AK1149" s="105">
        <f>IF($AM$1110&gt;0,'Assumptions (Nuclear)'!$V$13*Model!$AM$1110*'Assumptions (Nuclear)'!AJ$2/10^9,0)</f>
        <v>7.2499637650040665</v>
      </c>
      <c r="AL1149" s="105">
        <f>IF($AM$1110&gt;0,'Assumptions (Nuclear)'!$V$13*Model!$AM$1110*'Assumptions (Nuclear)'!AK$2/10^9,0)</f>
        <v>7.3949630403041473</v>
      </c>
      <c r="AM1149" s="105"/>
      <c r="AN1149" s="105"/>
      <c r="AO1149" s="105"/>
      <c r="AP1149" s="105"/>
      <c r="AQ1149" s="105"/>
      <c r="AR1149" s="105"/>
      <c r="AS1149" s="105"/>
      <c r="AT1149" s="105"/>
      <c r="AU1149" s="105"/>
      <c r="AV1149" s="105"/>
      <c r="AW1149" s="105"/>
      <c r="AX1149" s="105"/>
      <c r="AY1149" s="105"/>
      <c r="AZ1149" s="105"/>
      <c r="BA1149" s="105"/>
    </row>
    <row r="1150" spans="1:53" ht="15.75" hidden="1" customHeight="1" outlineLevel="1">
      <c r="A1150" s="407"/>
      <c r="B1150" s="99"/>
      <c r="C1150" s="99"/>
      <c r="D1150" s="99"/>
      <c r="E1150" s="99"/>
      <c r="F1150" s="99"/>
      <c r="G1150" s="99"/>
      <c r="H1150" s="99"/>
      <c r="I1150" s="99"/>
      <c r="J1150" s="99"/>
      <c r="K1150" s="99"/>
      <c r="L1150" s="99"/>
      <c r="M1150" s="99"/>
      <c r="N1150" s="99"/>
      <c r="O1150" s="99"/>
      <c r="P1150" s="99"/>
      <c r="Q1150" s="99"/>
      <c r="R1150" s="99"/>
      <c r="S1150" s="99"/>
      <c r="T1150" s="99"/>
      <c r="U1150" s="99"/>
      <c r="V1150" s="99"/>
      <c r="W1150" s="105"/>
      <c r="X1150" s="105"/>
      <c r="Y1150" s="105"/>
      <c r="Z1150" s="105"/>
      <c r="AA1150" s="105"/>
      <c r="AB1150" s="105"/>
      <c r="AC1150" s="105"/>
      <c r="AD1150" s="105"/>
      <c r="AE1150" s="105"/>
      <c r="AF1150" s="105"/>
      <c r="AG1150" s="105"/>
      <c r="AH1150" s="105">
        <f>IF($AN$1110&gt;0,'Assumptions (Nuclear)'!$V$13*Model!$AN$1110*'Assumptions (Nuclear)'!AG$2/10^9,0)</f>
        <v>3.8130753467472775</v>
      </c>
      <c r="AI1150" s="105">
        <f>IF($AN$1110&gt;0,'Assumptions (Nuclear)'!$V$13*Model!$AN$1110*'Assumptions (Nuclear)'!AH$2/10^9,0)</f>
        <v>3.8893368536822233</v>
      </c>
      <c r="AJ1150" s="105">
        <f>IF($AN$1110&gt;0,'Assumptions (Nuclear)'!$V$13*Model!$AN$1110*'Assumptions (Nuclear)'!AI$2/10^9,0)</f>
        <v>3.9671235907558682</v>
      </c>
      <c r="AK1150" s="105">
        <f>IF($AN$1110&gt;0,'Assumptions (Nuclear)'!$V$13*Model!$AN$1110*'Assumptions (Nuclear)'!AJ$2/10^9,0)</f>
        <v>4.0464660625709854</v>
      </c>
      <c r="AL1150" s="105">
        <f>IF($AN$1110&gt;0,'Assumptions (Nuclear)'!$V$13*Model!$AN$1110*'Assumptions (Nuclear)'!AK$2/10^9,0)</f>
        <v>4.1273953838224049</v>
      </c>
      <c r="AM1150" s="105">
        <f>IF($AN$1110&gt;0,'Assumptions (Nuclear)'!$V$13*Model!$AN$1110*'Assumptions (Nuclear)'!AL$2/10^9,0)</f>
        <v>4.2099432914988535</v>
      </c>
      <c r="AN1150" s="105"/>
      <c r="AO1150" s="105"/>
      <c r="AP1150" s="105"/>
      <c r="AQ1150" s="105"/>
      <c r="AR1150" s="105"/>
      <c r="AS1150" s="105"/>
      <c r="AT1150" s="105"/>
      <c r="AU1150" s="105"/>
      <c r="AV1150" s="105"/>
      <c r="AW1150" s="105"/>
      <c r="AX1150" s="105"/>
      <c r="AY1150" s="105"/>
      <c r="AZ1150" s="105"/>
      <c r="BA1150" s="105"/>
    </row>
    <row r="1151" spans="1:53" ht="15.75" hidden="1" customHeight="1" outlineLevel="1">
      <c r="A1151" s="407"/>
      <c r="B1151" s="99"/>
      <c r="C1151" s="99"/>
      <c r="D1151" s="99"/>
      <c r="E1151" s="99"/>
      <c r="F1151" s="99"/>
      <c r="G1151" s="99"/>
      <c r="H1151" s="99"/>
      <c r="I1151" s="99"/>
      <c r="J1151" s="99"/>
      <c r="K1151" s="99"/>
      <c r="L1151" s="99"/>
      <c r="M1151" s="99"/>
      <c r="N1151" s="99"/>
      <c r="O1151" s="99"/>
      <c r="P1151" s="99"/>
      <c r="Q1151" s="99"/>
      <c r="R1151" s="99"/>
      <c r="S1151" s="99"/>
      <c r="T1151" s="99"/>
      <c r="U1151" s="99"/>
      <c r="V1151" s="99"/>
      <c r="W1151" s="105"/>
      <c r="X1151" s="105"/>
      <c r="Y1151" s="105"/>
      <c r="Z1151" s="105"/>
      <c r="AA1151" s="105"/>
      <c r="AB1151" s="105"/>
      <c r="AC1151" s="105"/>
      <c r="AD1151" s="105"/>
      <c r="AE1151" s="105"/>
      <c r="AF1151" s="105"/>
      <c r="AG1151" s="105"/>
      <c r="AH1151" s="105"/>
      <c r="AI1151" s="105">
        <f>IF($AO$1110&gt;0,'Assumptions (Nuclear)'!$V$13*Model!$AO$1110*'Assumptions (Nuclear)'!AH$2/10^9,0)</f>
        <v>0.77793440154275773</v>
      </c>
      <c r="AJ1151" s="105">
        <f>IF($AO$1110&gt;0,'Assumptions (Nuclear)'!$V$13*Model!$AO$1110*'Assumptions (Nuclear)'!AI$2/10^9,0)</f>
        <v>0.79349308957361309</v>
      </c>
      <c r="AK1151" s="105">
        <f>IF($AO$1110&gt;0,'Assumptions (Nuclear)'!$V$13*Model!$AO$1110*'Assumptions (Nuclear)'!AJ$2/10^9,0)</f>
        <v>0.80936295136508529</v>
      </c>
      <c r="AL1151" s="105">
        <f>IF($AO$1110&gt;0,'Assumptions (Nuclear)'!$V$13*Model!$AO$1110*'Assumptions (Nuclear)'!AK$2/10^9,0)</f>
        <v>0.82555021039238696</v>
      </c>
      <c r="AM1151" s="105">
        <f>IF($AO$1110&gt;0,'Assumptions (Nuclear)'!$V$13*Model!$AO$1110*'Assumptions (Nuclear)'!AL$2/10^9,0)</f>
        <v>0.84206121460023475</v>
      </c>
      <c r="AN1151" s="105">
        <f>IF($AO$1110&gt;0,'Assumptions (Nuclear)'!$V$13*Model!$AO$1110*'Assumptions (Nuclear)'!AM$2/10^9,0)</f>
        <v>0.85890243889223949</v>
      </c>
      <c r="AO1151" s="105"/>
      <c r="AP1151" s="105"/>
      <c r="AQ1151" s="105"/>
      <c r="AR1151" s="105"/>
      <c r="AS1151" s="105"/>
      <c r="AT1151" s="105"/>
      <c r="AU1151" s="105"/>
      <c r="AV1151" s="105"/>
      <c r="AW1151" s="105"/>
      <c r="AX1151" s="105"/>
      <c r="AY1151" s="105"/>
      <c r="AZ1151" s="105"/>
      <c r="BA1151" s="105"/>
    </row>
    <row r="1152" spans="1:53" ht="15.75" hidden="1" customHeight="1" outlineLevel="1">
      <c r="A1152" s="407"/>
      <c r="B1152" s="99"/>
      <c r="C1152" s="99"/>
      <c r="D1152" s="99"/>
      <c r="E1152" s="99"/>
      <c r="F1152" s="99"/>
      <c r="G1152" s="99"/>
      <c r="H1152" s="99"/>
      <c r="I1152" s="99"/>
      <c r="J1152" s="99"/>
      <c r="K1152" s="99"/>
      <c r="L1152" s="99"/>
      <c r="M1152" s="99"/>
      <c r="N1152" s="99"/>
      <c r="O1152" s="99"/>
      <c r="P1152" s="99"/>
      <c r="Q1152" s="99"/>
      <c r="R1152" s="99"/>
      <c r="S1152" s="99"/>
      <c r="T1152" s="99"/>
      <c r="U1152" s="99"/>
      <c r="V1152" s="99"/>
      <c r="W1152" s="105"/>
      <c r="X1152" s="105"/>
      <c r="Y1152" s="105"/>
      <c r="Z1152" s="105"/>
      <c r="AA1152" s="105"/>
      <c r="AB1152" s="105"/>
      <c r="AC1152" s="105"/>
      <c r="AD1152" s="105"/>
      <c r="AE1152" s="105"/>
      <c r="AF1152" s="105"/>
      <c r="AG1152" s="105"/>
      <c r="AH1152" s="105"/>
      <c r="AI1152" s="105"/>
      <c r="AJ1152" s="105">
        <f>IF($AP$1110&gt;0,'Assumptions (Nuclear)'!$V$13*Model!$AP$1110*'Assumptions (Nuclear)'!AI$2/10^9,0)</f>
        <v>3.4120331048082528</v>
      </c>
      <c r="AK1152" s="105">
        <f>IF($AP$1110&gt;0,'Assumptions (Nuclear)'!$V$13*Model!$AP$1110*'Assumptions (Nuclear)'!AJ$2/10^9,0)</f>
        <v>3.4802737669044181</v>
      </c>
      <c r="AL1152" s="105">
        <f>IF($AP$1110&gt;0,'Assumptions (Nuclear)'!$V$13*Model!$AP$1110*'Assumptions (Nuclear)'!AK$2/10^9,0)</f>
        <v>3.5498792422425058</v>
      </c>
      <c r="AM1152" s="105">
        <f>IF($AP$1110&gt;0,'Assumptions (Nuclear)'!$V$13*Model!$AP$1110*'Assumptions (Nuclear)'!AL$2/10^9,0)</f>
        <v>3.6208768270873564</v>
      </c>
      <c r="AN1152" s="105">
        <f>IF($AP$1110&gt;0,'Assumptions (Nuclear)'!$V$13*Model!$AP$1110*'Assumptions (Nuclear)'!AM$2/10^9,0)</f>
        <v>3.6932943636291036</v>
      </c>
      <c r="AO1152" s="105">
        <f>IF($AP$1110&gt;0,'Assumptions (Nuclear)'!$V$13*Model!$AP$1110*'Assumptions (Nuclear)'!AN$2/10^9,0)</f>
        <v>3.7671602509016857</v>
      </c>
      <c r="AP1152" s="105"/>
      <c r="AQ1152" s="105"/>
      <c r="AR1152" s="105"/>
      <c r="AS1152" s="105"/>
      <c r="AT1152" s="105"/>
      <c r="AU1152" s="105"/>
      <c r="AV1152" s="105"/>
      <c r="AW1152" s="105"/>
      <c r="AX1152" s="105"/>
      <c r="AY1152" s="105"/>
      <c r="AZ1152" s="105"/>
      <c r="BA1152" s="105"/>
    </row>
    <row r="1153" spans="1:69" ht="15.75" hidden="1" customHeight="1" outlineLevel="1">
      <c r="A1153" s="407"/>
      <c r="B1153" s="99"/>
      <c r="C1153" s="99"/>
      <c r="D1153" s="99"/>
      <c r="E1153" s="99"/>
      <c r="F1153" s="99"/>
      <c r="G1153" s="99"/>
      <c r="H1153" s="99"/>
      <c r="I1153" s="99"/>
      <c r="J1153" s="99"/>
      <c r="K1153" s="99"/>
      <c r="L1153" s="99"/>
      <c r="M1153" s="99"/>
      <c r="N1153" s="99"/>
      <c r="O1153" s="99"/>
      <c r="P1153" s="99"/>
      <c r="Q1153" s="99"/>
      <c r="R1153" s="99"/>
      <c r="S1153" s="99"/>
      <c r="T1153" s="99"/>
      <c r="U1153" s="99"/>
      <c r="V1153" s="99"/>
      <c r="W1153" s="105"/>
      <c r="X1153" s="105"/>
      <c r="Y1153" s="105"/>
      <c r="Z1153" s="105"/>
      <c r="AA1153" s="105"/>
      <c r="AB1153" s="105"/>
      <c r="AC1153" s="105"/>
      <c r="AD1153" s="105"/>
      <c r="AE1153" s="105"/>
      <c r="AF1153" s="105"/>
      <c r="AG1153" s="105"/>
      <c r="AH1153" s="105"/>
      <c r="AI1153" s="105"/>
      <c r="AJ1153" s="171"/>
      <c r="AK1153" s="105">
        <f>IF($AQ$1110&gt;0,'Assumptions (Nuclear)'!$V$13*Model!$AQ$1110*'Assumptions (Nuclear)'!AJ$2/10^9,0)</f>
        <v>0</v>
      </c>
      <c r="AL1153" s="105">
        <f>IF($AQ$1110&gt;0,'Assumptions (Nuclear)'!$V$13*Model!$AQ$1110*'Assumptions (Nuclear)'!AK$2/10^9,0)</f>
        <v>0</v>
      </c>
      <c r="AM1153" s="105">
        <f>IF($AQ$1110&gt;0,'Assumptions (Nuclear)'!$V$13*Model!$AQ$1110*'Assumptions (Nuclear)'!AL$2/10^9,0)</f>
        <v>0</v>
      </c>
      <c r="AN1153" s="105">
        <f>IF($AQ$1110&gt;0,'Assumptions (Nuclear)'!$V$13*Model!$AQ$1110*'Assumptions (Nuclear)'!AM$2/10^9,0)</f>
        <v>0</v>
      </c>
      <c r="AO1153" s="105">
        <f>IF($AQ$1110&gt;0,'Assumptions (Nuclear)'!$V$13*Model!$AQ$1110*'Assumptions (Nuclear)'!AN$2/10^9,0)</f>
        <v>0</v>
      </c>
      <c r="AP1153" s="105">
        <f>IF($AQ$1110&gt;0,'Assumptions (Nuclear)'!$V$13*Model!$AQ$1110*'Assumptions (Nuclear)'!AO$2/10^9,0)</f>
        <v>0</v>
      </c>
      <c r="AQ1153" s="105"/>
      <c r="AR1153" s="105"/>
      <c r="AS1153" s="105"/>
      <c r="AT1153" s="105"/>
      <c r="AU1153" s="105"/>
      <c r="AV1153" s="105"/>
      <c r="AW1153" s="105"/>
      <c r="AX1153" s="105"/>
      <c r="AY1153" s="105"/>
      <c r="AZ1153" s="105"/>
      <c r="BA1153" s="105"/>
    </row>
    <row r="1154" spans="1:69" ht="15.75" hidden="1" customHeight="1" outlineLevel="1">
      <c r="A1154" s="407"/>
      <c r="B1154" s="99"/>
      <c r="C1154" s="99"/>
      <c r="D1154" s="99"/>
      <c r="E1154" s="99"/>
      <c r="F1154" s="99"/>
      <c r="G1154" s="99"/>
      <c r="H1154" s="99"/>
      <c r="I1154" s="99"/>
      <c r="J1154" s="99"/>
      <c r="K1154" s="99"/>
      <c r="L1154" s="99"/>
      <c r="M1154" s="99"/>
      <c r="N1154" s="99"/>
      <c r="O1154" s="99"/>
      <c r="P1154" s="99"/>
      <c r="Q1154" s="99"/>
      <c r="R1154" s="99"/>
      <c r="S1154" s="99"/>
      <c r="T1154" s="99"/>
      <c r="U1154" s="99"/>
      <c r="V1154" s="99"/>
      <c r="W1154" s="105"/>
      <c r="X1154" s="105"/>
      <c r="Y1154" s="105"/>
      <c r="Z1154" s="105"/>
      <c r="AA1154" s="105"/>
      <c r="AB1154" s="105"/>
      <c r="AC1154" s="105"/>
      <c r="AD1154" s="105"/>
      <c r="AE1154" s="105"/>
      <c r="AF1154" s="105"/>
      <c r="AG1154" s="105"/>
      <c r="AH1154" s="105"/>
      <c r="AI1154" s="105"/>
      <c r="AJ1154" s="171"/>
      <c r="AK1154" s="105"/>
      <c r="AL1154" s="105">
        <f>IF($AR$1110&gt;0,'Assumptions (Nuclear)'!$V$13*Model!$AR$1110*'Assumptions (Nuclear)'!AK$2/10^9,0)</f>
        <v>0</v>
      </c>
      <c r="AM1154" s="105">
        <f>IF($AR$1110&gt;0,'Assumptions (Nuclear)'!$V$13*Model!$AR$1110*'Assumptions (Nuclear)'!AL$2/10^9,0)</f>
        <v>0</v>
      </c>
      <c r="AN1154" s="105">
        <f>IF($AR$1110&gt;0,'Assumptions (Nuclear)'!$V$13*Model!$AR$1110*'Assumptions (Nuclear)'!AM$2/10^9,0)</f>
        <v>0</v>
      </c>
      <c r="AO1154" s="105">
        <f>IF($AR$1110&gt;0,'Assumptions (Nuclear)'!$V$13*Model!$AR$1110*'Assumptions (Nuclear)'!AN$2/10^9,0)</f>
        <v>0</v>
      </c>
      <c r="AP1154" s="105">
        <f>IF($AR$1110&gt;0,'Assumptions (Nuclear)'!$V$13*Model!$AR$1110*'Assumptions (Nuclear)'!AO$2/10^9,0)</f>
        <v>0</v>
      </c>
      <c r="AQ1154" s="105">
        <f>IF($AR$1110&gt;0,'Assumptions (Nuclear)'!$V$13*Model!$AR$1110*'Assumptions (Nuclear)'!AP$2/10^9,0)</f>
        <v>0</v>
      </c>
      <c r="AR1154" s="105"/>
      <c r="AS1154" s="105"/>
      <c r="AT1154" s="105"/>
      <c r="AU1154" s="105"/>
      <c r="AV1154" s="105"/>
      <c r="AW1154" s="105"/>
      <c r="AX1154" s="105"/>
      <c r="AY1154" s="105"/>
      <c r="AZ1154" s="105"/>
      <c r="BA1154" s="105"/>
    </row>
    <row r="1155" spans="1:69" ht="15.75" hidden="1" customHeight="1" outlineLevel="1">
      <c r="A1155" s="407"/>
      <c r="B1155" s="99"/>
      <c r="C1155" s="99"/>
      <c r="D1155" s="99"/>
      <c r="E1155" s="99"/>
      <c r="F1155" s="99"/>
      <c r="G1155" s="99"/>
      <c r="H1155" s="99"/>
      <c r="I1155" s="99"/>
      <c r="J1155" s="99"/>
      <c r="K1155" s="99"/>
      <c r="L1155" s="99"/>
      <c r="M1155" s="99"/>
      <c r="N1155" s="99"/>
      <c r="O1155" s="99"/>
      <c r="P1155" s="99"/>
      <c r="Q1155" s="99"/>
      <c r="R1155" s="99"/>
      <c r="S1155" s="99"/>
      <c r="T1155" s="99"/>
      <c r="U1155" s="99"/>
      <c r="V1155" s="99"/>
      <c r="W1155" s="105"/>
      <c r="X1155" s="105"/>
      <c r="Y1155" s="105"/>
      <c r="Z1155" s="105"/>
      <c r="AA1155" s="105"/>
      <c r="AB1155" s="105"/>
      <c r="AC1155" s="105"/>
      <c r="AD1155" s="105"/>
      <c r="AE1155" s="105"/>
      <c r="AF1155" s="105"/>
      <c r="AG1155" s="105"/>
      <c r="AH1155" s="105"/>
      <c r="AI1155" s="105"/>
      <c r="AJ1155" s="171"/>
      <c r="AK1155" s="105"/>
      <c r="AL1155" s="91"/>
      <c r="AM1155" s="105">
        <f>IF($AS$1110&gt;0,'Assumptions (Nuclear)'!$V$13*Model!$AS$1110*'Assumptions (Nuclear)'!AL$2/10^9,0)</f>
        <v>0</v>
      </c>
      <c r="AN1155" s="105">
        <f>IF($AS$1110&gt;0,'Assumptions (Nuclear)'!$V$13*Model!$AS$1110*'Assumptions (Nuclear)'!AM$2/10^9,0)</f>
        <v>0</v>
      </c>
      <c r="AO1155" s="105">
        <f>IF($AS$1110&gt;0,'Assumptions (Nuclear)'!$V$13*Model!$AS$1110*'Assumptions (Nuclear)'!AN$2/10^9,0)</f>
        <v>0</v>
      </c>
      <c r="AP1155" s="105">
        <f>IF($AS$1110&gt;0,'Assumptions (Nuclear)'!$V$13*Model!$AS$1110*'Assumptions (Nuclear)'!AO$2/10^9,0)</f>
        <v>0</v>
      </c>
      <c r="AQ1155" s="105">
        <f>IF($AS$1110&gt;0,'Assumptions (Nuclear)'!$V$13*Model!$AS$1110*'Assumptions (Nuclear)'!AP$2/10^9,0)</f>
        <v>0</v>
      </c>
      <c r="AR1155" s="105">
        <f>IF($AS$1110&gt;0,'Assumptions (Nuclear)'!$V$13*Model!$AS$1110*'Assumptions (Nuclear)'!AQ$2/10^9,0)</f>
        <v>0</v>
      </c>
      <c r="AS1155" s="105"/>
      <c r="AT1155" s="105"/>
      <c r="AU1155" s="105"/>
      <c r="AV1155" s="105"/>
      <c r="AW1155" s="105"/>
      <c r="AX1155" s="105"/>
      <c r="AY1155" s="105"/>
      <c r="AZ1155" s="105"/>
      <c r="BA1155" s="105"/>
    </row>
    <row r="1156" spans="1:69" ht="15.75" hidden="1" customHeight="1" outlineLevel="1">
      <c r="A1156" s="407"/>
      <c r="B1156" s="99"/>
      <c r="C1156" s="99"/>
      <c r="D1156" s="99"/>
      <c r="E1156" s="99"/>
      <c r="F1156" s="99"/>
      <c r="G1156" s="99"/>
      <c r="H1156" s="99"/>
      <c r="I1156" s="99"/>
      <c r="J1156" s="99"/>
      <c r="K1156" s="99"/>
      <c r="L1156" s="99"/>
      <c r="M1156" s="99"/>
      <c r="N1156" s="99"/>
      <c r="O1156" s="99"/>
      <c r="P1156" s="99"/>
      <c r="Q1156" s="99"/>
      <c r="R1156" s="99"/>
      <c r="S1156" s="99"/>
      <c r="T1156" s="99"/>
      <c r="U1156" s="99"/>
      <c r="V1156" s="99"/>
      <c r="W1156" s="105"/>
      <c r="X1156" s="105"/>
      <c r="Y1156" s="105"/>
      <c r="Z1156" s="105"/>
      <c r="AA1156" s="105"/>
      <c r="AB1156" s="105"/>
      <c r="AC1156" s="105"/>
      <c r="AD1156" s="105"/>
      <c r="AE1156" s="105"/>
      <c r="AF1156" s="105"/>
      <c r="AG1156" s="105"/>
      <c r="AH1156" s="105"/>
      <c r="AI1156" s="105"/>
      <c r="AJ1156" s="171"/>
      <c r="AK1156" s="105"/>
      <c r="AL1156" s="91"/>
      <c r="AM1156" s="91"/>
      <c r="AN1156" s="105">
        <f>IF($AT$1110&gt;0,'Assumptions (Nuclear)'!$V$13*Model!$AT$1110*'Assumptions (Nuclear)'!AM$2/10^9,0)</f>
        <v>1.6425023213454448</v>
      </c>
      <c r="AO1156" s="105">
        <f>IF($AT$1110&gt;0,'Assumptions (Nuclear)'!$V$13*Model!$AT$1110*'Assumptions (Nuclear)'!AN$2/10^9,0)</f>
        <v>1.6753523677723539</v>
      </c>
      <c r="AP1156" s="105">
        <f>IF($AT$1110&gt;0,'Assumptions (Nuclear)'!$V$13*Model!$AT$1110*'Assumptions (Nuclear)'!AO$2/10^9,0)</f>
        <v>1.7088594151278009</v>
      </c>
      <c r="AQ1156" s="105">
        <f>IF($AT$1110&gt;0,'Assumptions (Nuclear)'!$V$13*Model!$AT$1110*'Assumptions (Nuclear)'!AP$2/10^9,0)</f>
        <v>1.743036603430357</v>
      </c>
      <c r="AR1156" s="105">
        <f>IF($AT$1110&gt;0,'Assumptions (Nuclear)'!$V$13*Model!$AT$1110*'Assumptions (Nuclear)'!AQ$2/10^9,0)</f>
        <v>1.777897335498964</v>
      </c>
      <c r="AS1156" s="105">
        <f>IF($AT$1110&gt;0,'Assumptions (Nuclear)'!$V$13*Model!$AT$1110*'Assumptions (Nuclear)'!AR$2/10^9,0)</f>
        <v>1.8134552822089434</v>
      </c>
      <c r="AT1156" s="105"/>
      <c r="AU1156" s="105"/>
      <c r="AV1156" s="105"/>
      <c r="AW1156" s="105"/>
      <c r="AX1156" s="105"/>
      <c r="AY1156" s="105"/>
      <c r="AZ1156" s="105"/>
      <c r="BA1156" s="105"/>
    </row>
    <row r="1157" spans="1:69" ht="15.75" hidden="1" customHeight="1" outlineLevel="1">
      <c r="A1157" s="407"/>
      <c r="B1157" s="99"/>
      <c r="C1157" s="99"/>
      <c r="D1157" s="99"/>
      <c r="E1157" s="99"/>
      <c r="F1157" s="99"/>
      <c r="G1157" s="99"/>
      <c r="H1157" s="99"/>
      <c r="I1157" s="99"/>
      <c r="J1157" s="99"/>
      <c r="K1157" s="99"/>
      <c r="L1157" s="99"/>
      <c r="M1157" s="99"/>
      <c r="N1157" s="99"/>
      <c r="O1157" s="99"/>
      <c r="P1157" s="99"/>
      <c r="Q1157" s="99"/>
      <c r="R1157" s="99"/>
      <c r="S1157" s="99"/>
      <c r="T1157" s="99"/>
      <c r="U1157" s="99"/>
      <c r="V1157" s="99"/>
      <c r="W1157" s="105"/>
      <c r="X1157" s="105"/>
      <c r="Y1157" s="105"/>
      <c r="Z1157" s="105"/>
      <c r="AA1157" s="105"/>
      <c r="AB1157" s="105"/>
      <c r="AC1157" s="105"/>
      <c r="AD1157" s="105"/>
      <c r="AE1157" s="105"/>
      <c r="AF1157" s="105"/>
      <c r="AG1157" s="105"/>
      <c r="AH1157" s="105"/>
      <c r="AI1157" s="105"/>
      <c r="AJ1157" s="171"/>
      <c r="AK1157" s="105"/>
      <c r="AL1157" s="91"/>
      <c r="AM1157" s="91"/>
      <c r="AN1157" s="91"/>
      <c r="AO1157" s="105">
        <f>IF($AU$1110&gt;0,'Assumptions (Nuclear)'!$V$13*Model!$AU$1110*'Assumptions (Nuclear)'!AN$2/10^9,0)</f>
        <v>0</v>
      </c>
      <c r="AP1157" s="105">
        <f>IF($AU$1110&gt;0,'Assumptions (Nuclear)'!$V$13*Model!$AU$1110*'Assumptions (Nuclear)'!AO$2/10^9,0)</f>
        <v>0</v>
      </c>
      <c r="AQ1157" s="105">
        <f>IF($AU$1110&gt;0,'Assumptions (Nuclear)'!$V$13*Model!$AU$1110*'Assumptions (Nuclear)'!AP$2/10^9,0)</f>
        <v>0</v>
      </c>
      <c r="AR1157" s="105">
        <f>IF($AU$1110&gt;0,'Assumptions (Nuclear)'!$V$13*Model!$AU$1110*'Assumptions (Nuclear)'!AQ$2/10^9,0)</f>
        <v>0</v>
      </c>
      <c r="AS1157" s="105">
        <f>IF($AU$1110&gt;0,'Assumptions (Nuclear)'!$V$13*Model!$AU$1110*'Assumptions (Nuclear)'!AR$2/10^9,0)</f>
        <v>0</v>
      </c>
      <c r="AT1157" s="105">
        <f>IF($AU$1110&gt;0,'Assumptions (Nuclear)'!$V$13*Model!$AU$1110*'Assumptions (Nuclear)'!AS$2/10^9,0)</f>
        <v>0</v>
      </c>
      <c r="AU1157" s="105"/>
      <c r="AV1157" s="105"/>
      <c r="AW1157" s="105"/>
      <c r="AX1157" s="105"/>
      <c r="AY1157" s="105"/>
      <c r="AZ1157" s="105"/>
      <c r="BA1157" s="105"/>
    </row>
    <row r="1158" spans="1:69" ht="15.75" hidden="1" customHeight="1" outlineLevel="1">
      <c r="A1158" s="407"/>
      <c r="B1158" s="99"/>
      <c r="C1158" s="99"/>
      <c r="D1158" s="99"/>
      <c r="E1158" s="99"/>
      <c r="F1158" s="99"/>
      <c r="G1158" s="99"/>
      <c r="H1158" s="99"/>
      <c r="I1158" s="99"/>
      <c r="J1158" s="99"/>
      <c r="K1158" s="99"/>
      <c r="L1158" s="99"/>
      <c r="M1158" s="99"/>
      <c r="N1158" s="99"/>
      <c r="O1158" s="99"/>
      <c r="P1158" s="99"/>
      <c r="Q1158" s="99"/>
      <c r="R1158" s="99"/>
      <c r="S1158" s="99"/>
      <c r="T1158" s="99"/>
      <c r="U1158" s="99"/>
      <c r="V1158" s="99"/>
      <c r="W1158" s="105"/>
      <c r="X1158" s="105"/>
      <c r="Y1158" s="105"/>
      <c r="Z1158" s="105"/>
      <c r="AA1158" s="105"/>
      <c r="AB1158" s="105"/>
      <c r="AC1158" s="105"/>
      <c r="AD1158" s="105"/>
      <c r="AE1158" s="105"/>
      <c r="AF1158" s="105"/>
      <c r="AG1158" s="105"/>
      <c r="AH1158" s="105"/>
      <c r="AI1158" s="105"/>
      <c r="AJ1158" s="171"/>
      <c r="AK1158" s="105"/>
      <c r="AL1158" s="91"/>
      <c r="AM1158" s="91"/>
      <c r="AN1158" s="91"/>
      <c r="AO1158" s="105"/>
      <c r="AP1158" s="105">
        <f>IF($AV$1110&gt;0,'Assumptions (Nuclear)'!$V$13*Model!$AV$1110*'Assumptions (Nuclear)'!AO$2/10^9,0)</f>
        <v>0</v>
      </c>
      <c r="AQ1158" s="105">
        <f>IF($AV$1110&gt;0,'Assumptions (Nuclear)'!$V$13*Model!$AV$1110*'Assumptions (Nuclear)'!AP$2/10^9,0)</f>
        <v>0</v>
      </c>
      <c r="AR1158" s="105">
        <f>IF($AV$1110&gt;0,'Assumptions (Nuclear)'!$V$13*Model!$AV$1110*'Assumptions (Nuclear)'!AQ$2/10^9,0)</f>
        <v>0</v>
      </c>
      <c r="AS1158" s="105">
        <f>IF($AV$1110&gt;0,'Assumptions (Nuclear)'!$V$13*Model!$AV$1110*'Assumptions (Nuclear)'!AR$2/10^9,0)</f>
        <v>0</v>
      </c>
      <c r="AT1158" s="105">
        <f>IF($AV$1110&gt;0,'Assumptions (Nuclear)'!$V$13*Model!$AV$1110*'Assumptions (Nuclear)'!AS$2/10^9,0)</f>
        <v>0</v>
      </c>
      <c r="AU1158" s="105">
        <f>IF($AV$1110&gt;0,'Assumptions (Nuclear)'!$V$13*Model!$AV$1110*'Assumptions (Nuclear)'!AT$2/10^9,0)</f>
        <v>0</v>
      </c>
      <c r="AV1158" s="105"/>
      <c r="AW1158" s="105"/>
      <c r="AX1158" s="105"/>
      <c r="AY1158" s="105"/>
      <c r="AZ1158" s="105"/>
      <c r="BA1158" s="105"/>
    </row>
    <row r="1159" spans="1:69" ht="15.75" hidden="1" customHeight="1" outlineLevel="1">
      <c r="A1159" s="407"/>
      <c r="B1159" s="99"/>
      <c r="C1159" s="99"/>
      <c r="D1159" s="99"/>
      <c r="E1159" s="99"/>
      <c r="F1159" s="99"/>
      <c r="G1159" s="99"/>
      <c r="H1159" s="99"/>
      <c r="I1159" s="99"/>
      <c r="J1159" s="99"/>
      <c r="K1159" s="99"/>
      <c r="L1159" s="99"/>
      <c r="M1159" s="99"/>
      <c r="N1159" s="99"/>
      <c r="O1159" s="99"/>
      <c r="P1159" s="99"/>
      <c r="Q1159" s="99"/>
      <c r="R1159" s="99"/>
      <c r="S1159" s="99"/>
      <c r="T1159" s="99"/>
      <c r="U1159" s="99"/>
      <c r="V1159" s="99"/>
      <c r="W1159" s="105"/>
      <c r="X1159" s="105"/>
      <c r="Y1159" s="105"/>
      <c r="Z1159" s="105"/>
      <c r="AA1159" s="105"/>
      <c r="AB1159" s="105"/>
      <c r="AC1159" s="105"/>
      <c r="AD1159" s="105"/>
      <c r="AE1159" s="105"/>
      <c r="AF1159" s="105"/>
      <c r="AG1159" s="105"/>
      <c r="AH1159" s="105"/>
      <c r="AI1159" s="105"/>
      <c r="AJ1159" s="171"/>
      <c r="AK1159" s="105"/>
      <c r="AL1159" s="91"/>
      <c r="AM1159" s="91"/>
      <c r="AN1159" s="91"/>
      <c r="AO1159" s="105"/>
      <c r="AP1159" s="105"/>
      <c r="AQ1159" s="105">
        <f>IF($AW$1110&gt;0,'Assumptions (Nuclear)'!$V$13*Model!$AW$1110*'Assumptions (Nuclear)'!AP$2/10^9,0)</f>
        <v>5.2993024980664911</v>
      </c>
      <c r="AR1159" s="105">
        <f>IF($AW$1110&gt;0,'Assumptions (Nuclear)'!$V$13*Model!$AW$1110*'Assumptions (Nuclear)'!AQ$2/10^9,0)</f>
        <v>5.405288548027821</v>
      </c>
      <c r="AS1159" s="105">
        <f>IF($AW$1110&gt;0,'Assumptions (Nuclear)'!$V$13*Model!$AW$1110*'Assumptions (Nuclear)'!AR$2/10^9,0)</f>
        <v>5.5133943189883778</v>
      </c>
      <c r="AT1159" s="105">
        <f>IF($AW$1110&gt;0,'Assumptions (Nuclear)'!$V$13*Model!$AW$1110*'Assumptions (Nuclear)'!AS$2/10^9,0)</f>
        <v>5.6236622053681451</v>
      </c>
      <c r="AU1159" s="105">
        <f>IF($AW$1110&gt;0,'Assumptions (Nuclear)'!$V$13*Model!$AW$1110*'Assumptions (Nuclear)'!AT$2/10^9,0)</f>
        <v>5.7361354494755066</v>
      </c>
      <c r="AV1159" s="105">
        <f>IF($AW$1110&gt;0,'Assumptions (Nuclear)'!$V$13*Model!$AW$1110*'Assumptions (Nuclear)'!AU$2/10^9,0)</f>
        <v>5.8508581584650177</v>
      </c>
      <c r="AW1159" s="105"/>
      <c r="AX1159" s="105"/>
      <c r="AY1159" s="105"/>
      <c r="AZ1159" s="105"/>
      <c r="BA1159" s="105"/>
    </row>
    <row r="1160" spans="1:69" ht="15.75" hidden="1" customHeight="1" outlineLevel="1">
      <c r="A1160" s="407"/>
      <c r="B1160" s="99"/>
      <c r="C1160" s="99"/>
      <c r="D1160" s="99"/>
      <c r="E1160" s="99"/>
      <c r="F1160" s="99"/>
      <c r="G1160" s="99"/>
      <c r="H1160" s="99"/>
      <c r="I1160" s="99"/>
      <c r="J1160" s="99"/>
      <c r="K1160" s="99"/>
      <c r="L1160" s="99"/>
      <c r="M1160" s="99"/>
      <c r="N1160" s="99"/>
      <c r="O1160" s="99"/>
      <c r="P1160" s="99"/>
      <c r="Q1160" s="99"/>
      <c r="R1160" s="99"/>
      <c r="S1160" s="99"/>
      <c r="T1160" s="99"/>
      <c r="U1160" s="99"/>
      <c r="V1160" s="99"/>
      <c r="W1160" s="105"/>
      <c r="X1160" s="105"/>
      <c r="Y1160" s="105"/>
      <c r="Z1160" s="105"/>
      <c r="AA1160" s="105"/>
      <c r="AB1160" s="105"/>
      <c r="AC1160" s="105"/>
      <c r="AD1160" s="105"/>
      <c r="AE1160" s="105"/>
      <c r="AF1160" s="105"/>
      <c r="AG1160" s="105"/>
      <c r="AH1160" s="105"/>
      <c r="AI1160" s="105"/>
      <c r="AJ1160" s="171"/>
      <c r="AK1160" s="105"/>
      <c r="AL1160" s="91"/>
      <c r="AM1160" s="91"/>
      <c r="AN1160" s="91"/>
      <c r="AO1160" s="105"/>
      <c r="AP1160" s="105"/>
      <c r="AQ1160" s="105"/>
      <c r="AR1160" s="105">
        <f>IF($AX$1110&gt;0,'Assumptions (Nuclear)'!$V$13*Model!$AX$1110*'Assumptions (Nuclear)'!AQ$2/10^9,0)</f>
        <v>7.9955312585893203</v>
      </c>
      <c r="AS1160" s="105">
        <f>IF($AX$1110&gt;0,'Assumptions (Nuclear)'!$V$13*Model!$AX$1110*'Assumptions (Nuclear)'!AR$2/10^9,0)</f>
        <v>8.1554418837611067</v>
      </c>
      <c r="AT1160" s="105">
        <f>IF($AX$1110&gt;0,'Assumptions (Nuclear)'!$V$13*Model!$AX$1110*'Assumptions (Nuclear)'!AS$2/10^9,0)</f>
        <v>8.3185507214363295</v>
      </c>
      <c r="AU1160" s="105">
        <f>IF($AX$1110&gt;0,'Assumptions (Nuclear)'!$V$13*Model!$AX$1110*'Assumptions (Nuclear)'!AT$2/10^9,0)</f>
        <v>8.4849217358650542</v>
      </c>
      <c r="AV1160" s="105">
        <f>IF($AX$1110&gt;0,'Assumptions (Nuclear)'!$V$13*Model!$AX$1110*'Assumptions (Nuclear)'!AU$2/10^9,0)</f>
        <v>8.6546201705823549</v>
      </c>
      <c r="AW1160" s="105">
        <f>IF($AX$1110&gt;0,'Assumptions (Nuclear)'!$V$13*Model!$AX$1110*'Assumptions (Nuclear)'!AV$2/10^9,0)</f>
        <v>8.8277125739940008</v>
      </c>
      <c r="AX1160" s="105"/>
      <c r="AY1160" s="105"/>
      <c r="AZ1160" s="105"/>
      <c r="BA1160" s="105"/>
    </row>
    <row r="1161" spans="1:69" ht="15.75" hidden="1" customHeight="1" outlineLevel="1">
      <c r="A1161" s="407"/>
      <c r="B1161" s="99"/>
      <c r="C1161" s="99"/>
      <c r="D1161" s="99"/>
      <c r="E1161" s="99"/>
      <c r="F1161" s="99"/>
      <c r="G1161" s="99"/>
      <c r="H1161" s="99"/>
      <c r="I1161" s="99"/>
      <c r="J1161" s="99"/>
      <c r="K1161" s="99"/>
      <c r="L1161" s="99"/>
      <c r="M1161" s="99"/>
      <c r="N1161" s="99"/>
      <c r="O1161" s="99"/>
      <c r="P1161" s="99"/>
      <c r="Q1161" s="99"/>
      <c r="R1161" s="99"/>
      <c r="S1161" s="99"/>
      <c r="T1161" s="99"/>
      <c r="U1161" s="99"/>
      <c r="V1161" s="99"/>
      <c r="W1161" s="105"/>
      <c r="X1161" s="105"/>
      <c r="Y1161" s="105"/>
      <c r="Z1161" s="105"/>
      <c r="AA1161" s="105"/>
      <c r="AB1161" s="105"/>
      <c r="AC1161" s="105"/>
      <c r="AD1161" s="105"/>
      <c r="AE1161" s="105"/>
      <c r="AF1161" s="105"/>
      <c r="AG1161" s="105"/>
      <c r="AH1161" s="105"/>
      <c r="AI1161" s="105"/>
      <c r="AJ1161" s="171"/>
      <c r="AK1161" s="105"/>
      <c r="AL1161" s="91"/>
      <c r="AM1161" s="91"/>
      <c r="AN1161" s="91"/>
      <c r="AO1161" s="105"/>
      <c r="AP1161" s="105"/>
      <c r="AQ1161" s="105"/>
      <c r="AR1161" s="105"/>
      <c r="AS1161" s="105">
        <f>IF($AY$1110&gt;0,'Assumptions (Nuclear)'!$V$13*Model!$AY$1110*'Assumptions (Nuclear)'!AR$2/10^9,0)</f>
        <v>9.5156099487104981</v>
      </c>
      <c r="AT1161" s="105">
        <f>IF($AY$1110&gt;0,'Assumptions (Nuclear)'!$V$13*Model!$AY$1110*'Assumptions (Nuclear)'!AS$2/10^9,0)</f>
        <v>9.7059221476847082</v>
      </c>
      <c r="AU1161" s="105">
        <f>IF($AY$1110&gt;0,'Assumptions (Nuclear)'!$V$13*Model!$AY$1110*'Assumptions (Nuclear)'!AT$2/10^9,0)</f>
        <v>9.900040590638401</v>
      </c>
      <c r="AV1161" s="105">
        <f>IF($AY$1110&gt;0,'Assumptions (Nuclear)'!$V$13*Model!$AY$1110*'Assumptions (Nuclear)'!AU$2/10^9,0)</f>
        <v>10.098041402451168</v>
      </c>
      <c r="AW1161" s="105">
        <f>IF($AY$1110&gt;0,'Assumptions (Nuclear)'!$V$13*Model!$AY$1110*'Assumptions (Nuclear)'!AV$2/10^9,0)</f>
        <v>10.300002230500192</v>
      </c>
      <c r="AX1161" s="105">
        <f>IF($AY$1110&gt;0,'Assumptions (Nuclear)'!$V$13*Model!$AY$1110*'Assumptions (Nuclear)'!AW$2/10^9,0)</f>
        <v>10.506002275110196</v>
      </c>
      <c r="AY1161" s="105"/>
      <c r="AZ1161" s="105"/>
      <c r="BA1161" s="105"/>
    </row>
    <row r="1162" spans="1:69" ht="15.75" hidden="1" customHeight="1" outlineLevel="1">
      <c r="A1162" s="407"/>
      <c r="B1162" s="99"/>
      <c r="C1162" s="99"/>
      <c r="D1162" s="99"/>
      <c r="E1162" s="99"/>
      <c r="F1162" s="99"/>
      <c r="G1162" s="99"/>
      <c r="H1162" s="99"/>
      <c r="I1162" s="99"/>
      <c r="J1162" s="99"/>
      <c r="K1162" s="99"/>
      <c r="L1162" s="99"/>
      <c r="M1162" s="99"/>
      <c r="N1162" s="99"/>
      <c r="O1162" s="99"/>
      <c r="P1162" s="99"/>
      <c r="Q1162" s="99"/>
      <c r="R1162" s="99"/>
      <c r="S1162" s="99"/>
      <c r="T1162" s="99"/>
      <c r="U1162" s="99"/>
      <c r="V1162" s="99"/>
      <c r="W1162" s="105"/>
      <c r="X1162" s="105"/>
      <c r="Y1162" s="105"/>
      <c r="Z1162" s="105"/>
      <c r="AA1162" s="105"/>
      <c r="AB1162" s="105"/>
      <c r="AC1162" s="105"/>
      <c r="AD1162" s="105"/>
      <c r="AE1162" s="105"/>
      <c r="AF1162" s="105"/>
      <c r="AG1162" s="105"/>
      <c r="AH1162" s="105"/>
      <c r="AI1162" s="105"/>
      <c r="AJ1162" s="171"/>
      <c r="AK1162" s="105"/>
      <c r="AL1162" s="91"/>
      <c r="AM1162" s="91"/>
      <c r="AN1162" s="91"/>
      <c r="AO1162" s="105"/>
      <c r="AP1162" s="105"/>
      <c r="AQ1162" s="105"/>
      <c r="AR1162" s="105"/>
      <c r="AS1162" s="105"/>
      <c r="AT1162" s="105">
        <f>IF($AZ$1110&gt;0,'Assumptions (Nuclear)'!$V$13*Model!$AZ$1110*'Assumptions (Nuclear)'!AS$2/10^9,0)</f>
        <v>7.108234017641136</v>
      </c>
      <c r="AU1162" s="105">
        <f>IF($AZ$1110&gt;0,'Assumptions (Nuclear)'!$V$13*Model!$AZ$1110*'Assumptions (Nuclear)'!AT$2/10^9,0)</f>
        <v>7.2503986979939583</v>
      </c>
      <c r="AV1162" s="105">
        <f>IF($AZ$1110&gt;0,'Assumptions (Nuclear)'!$V$13*Model!$AZ$1110*'Assumptions (Nuclear)'!AU$2/10^9,0)</f>
        <v>7.3954066719538387</v>
      </c>
      <c r="AW1162" s="105">
        <f>IF($AZ$1110&gt;0,'Assumptions (Nuclear)'!$V$13*Model!$AZ$1110*'Assumptions (Nuclear)'!AV$2/10^9,0)</f>
        <v>7.5433148053929147</v>
      </c>
      <c r="AX1162" s="105">
        <f>IF($AZ$1110&gt;0,'Assumptions (Nuclear)'!$V$13*Model!$AZ$1110*'Assumptions (Nuclear)'!AW$2/10^9,0)</f>
        <v>7.6941811015007735</v>
      </c>
      <c r="AY1162" s="105">
        <f>IF($AZ$1110&gt;0,'Assumptions (Nuclear)'!$V$13*Model!$AZ$1110*'Assumptions (Nuclear)'!AX$2/10^9,0)</f>
        <v>7.848064723530789</v>
      </c>
      <c r="AZ1162" s="105"/>
      <c r="BA1162" s="105"/>
    </row>
    <row r="1163" spans="1:69" ht="15.75" hidden="1" customHeight="1" outlineLevel="1">
      <c r="A1163" s="407"/>
      <c r="B1163" s="99"/>
      <c r="C1163" s="99"/>
      <c r="D1163" s="99"/>
      <c r="E1163" s="99"/>
      <c r="F1163" s="99"/>
      <c r="G1163" s="99"/>
      <c r="H1163" s="99"/>
      <c r="I1163" s="99"/>
      <c r="J1163" s="99"/>
      <c r="K1163" s="99"/>
      <c r="L1163" s="99"/>
      <c r="M1163" s="99"/>
      <c r="N1163" s="99"/>
      <c r="O1163" s="99"/>
      <c r="P1163" s="99"/>
      <c r="Q1163" s="99"/>
      <c r="R1163" s="99"/>
      <c r="S1163" s="99"/>
      <c r="T1163" s="99"/>
      <c r="U1163" s="99"/>
      <c r="V1163" s="99"/>
      <c r="W1163" s="105"/>
      <c r="X1163" s="105"/>
      <c r="Y1163" s="105"/>
      <c r="Z1163" s="105"/>
      <c r="AA1163" s="105"/>
      <c r="AB1163" s="105"/>
      <c r="AC1163" s="105"/>
      <c r="AD1163" s="105"/>
      <c r="AE1163" s="105"/>
      <c r="AF1163" s="105"/>
      <c r="AG1163" s="105"/>
      <c r="AH1163" s="105"/>
      <c r="AI1163" s="105"/>
      <c r="AJ1163" s="171"/>
      <c r="AK1163" s="105"/>
      <c r="AL1163" s="91"/>
      <c r="AM1163" s="91"/>
      <c r="AN1163" s="91"/>
      <c r="AO1163" s="105"/>
      <c r="AP1163" s="105"/>
      <c r="AQ1163" s="105"/>
      <c r="AR1163" s="105"/>
      <c r="AS1163" s="105"/>
      <c r="AT1163" s="105"/>
      <c r="AU1163" s="105">
        <f>IF($BA$1110&gt;0,'Assumptions (Nuclear)'!$V$13*Model!$BA$1110*'Assumptions (Nuclear)'!AT$2/10^9,0)</f>
        <v>4.6363021426568078</v>
      </c>
      <c r="AV1163" s="105">
        <f>IF($BA$1110&gt;0,'Assumptions (Nuclear)'!$V$13*Model!$BA$1110*'Assumptions (Nuclear)'!AU$2/10^9,0)</f>
        <v>4.7290281855099439</v>
      </c>
      <c r="AW1163" s="105">
        <f>IF($BA$1110&gt;0,'Assumptions (Nuclear)'!$V$13*Model!$BA$1110*'Assumptions (Nuclear)'!AV$2/10^9,0)</f>
        <v>4.823608749220142</v>
      </c>
      <c r="AX1163" s="105">
        <f>IF($BA$1110&gt;0,'Assumptions (Nuclear)'!$V$13*Model!$BA$1110*'Assumptions (Nuclear)'!AW$2/10^9,0)</f>
        <v>4.9200809242045462</v>
      </c>
      <c r="AY1163" s="105">
        <f>IF($BA$1110&gt;0,'Assumptions (Nuclear)'!$V$13*Model!$BA$1110*'Assumptions (Nuclear)'!AX$2/10^9,0)</f>
        <v>5.0184825426886368</v>
      </c>
      <c r="AZ1163" s="105">
        <f>IF($BA$1110&gt;0,'Assumptions (Nuclear)'!$V$13*Model!$BA$1110*'Assumptions (Nuclear)'!AY$2/10^9,0)</f>
        <v>5.1188521935424101</v>
      </c>
      <c r="BA1163" s="105"/>
    </row>
    <row r="1164" spans="1:69" ht="15.75" customHeight="1" collapsed="1">
      <c r="A1164" s="408" t="s">
        <v>52</v>
      </c>
      <c r="B1164" s="99" t="s">
        <v>201</v>
      </c>
      <c r="C1164" s="150">
        <f>'Assumptions (Nuclear)'!$V$4*Model!C1112</f>
        <v>0</v>
      </c>
      <c r="D1164" s="150">
        <f>'Assumptions (Nuclear)'!$V$4*Model!D1112</f>
        <v>0</v>
      </c>
      <c r="E1164" s="150">
        <f>'Assumptions (Nuclear)'!$V$4*Model!E1112</f>
        <v>0</v>
      </c>
      <c r="F1164" s="150">
        <f>'Assumptions (Nuclear)'!$V$4*Model!F1112</f>
        <v>0</v>
      </c>
      <c r="G1164" s="150">
        <f>'Assumptions (Nuclear)'!$V$4*Model!G1112</f>
        <v>0</v>
      </c>
      <c r="H1164" s="150">
        <f>'Assumptions (Nuclear)'!$V$4*Model!H1112</f>
        <v>0</v>
      </c>
      <c r="I1164" s="150">
        <f>'Assumptions (Nuclear)'!$V$4*Model!I1112</f>
        <v>0</v>
      </c>
      <c r="J1164" s="150">
        <f>'Assumptions (Nuclear)'!$V$4*Model!J1112</f>
        <v>0</v>
      </c>
      <c r="K1164" s="150">
        <f>'Assumptions (Nuclear)'!$V$4*Model!K1112</f>
        <v>0</v>
      </c>
      <c r="L1164" s="150">
        <f>'Assumptions (Nuclear)'!$V$4*Model!L1112</f>
        <v>0</v>
      </c>
      <c r="M1164" s="150">
        <f>'Assumptions (Nuclear)'!$V$4*Model!M1112</f>
        <v>0.36485876613111395</v>
      </c>
      <c r="N1164" s="150">
        <f>'Assumptions (Nuclear)'!$V$4*Model!N1112</f>
        <v>0.37215594145373626</v>
      </c>
      <c r="O1164" s="150">
        <f>'Assumptions (Nuclear)'!$V$4*Model!O1112</f>
        <v>0.37959906028281099</v>
      </c>
      <c r="P1164" s="150">
        <f>'Assumptions (Nuclear)'!$V$4*Model!P1112</f>
        <v>0.76679010177127815</v>
      </c>
      <c r="Q1164" s="150">
        <f>'Assumptions (Nuclear)'!$V$4*Model!Q1112</f>
        <v>0.78212590380670377</v>
      </c>
      <c r="R1164" s="150">
        <f>'Assumptions (Nuclear)'!$V$4*Model!R1112</f>
        <v>0.79776842188283781</v>
      </c>
      <c r="S1164" s="150">
        <f>'Assumptions (Nuclear)'!$V$4*Model!S1112</f>
        <v>0.40283355956460132</v>
      </c>
      <c r="T1164" s="150">
        <f>'Assumptions (Nuclear)'!$V$4*Model!T1112</f>
        <v>0.41089023075589326</v>
      </c>
      <c r="U1164" s="150">
        <f>'Assumptions (Nuclear)'!$V$4*Model!U1112</f>
        <v>0.41910803537101116</v>
      </c>
      <c r="V1164" s="150">
        <f>'Assumptions (Nuclear)'!$V$4*Model!V1112</f>
        <v>0</v>
      </c>
      <c r="W1164" s="150">
        <f>'Assumptions (Nuclear)'!$V$4*Model!W1112</f>
        <v>0</v>
      </c>
      <c r="X1164" s="150">
        <f>'Assumptions (Nuclear)'!$V$4*Model!X1112</f>
        <v>0</v>
      </c>
      <c r="Y1164" s="150">
        <f>'Assumptions (Nuclear)'!$V$4*Model!Y1112</f>
        <v>0</v>
      </c>
      <c r="Z1164" s="150">
        <f>'Assumptions (Nuclear)'!$V$4*Model!Z1112</f>
        <v>0</v>
      </c>
      <c r="AA1164" s="150">
        <f>'Assumptions (Nuclear)'!$V$4*Model!AA1112</f>
        <v>0</v>
      </c>
      <c r="AB1164" s="150">
        <f>'Assumptions (Nuclear)'!$V$4*Model!AB1112</f>
        <v>0</v>
      </c>
      <c r="AC1164" s="150">
        <f>'Assumptions (Nuclear)'!$V$4*Model!AC1112</f>
        <v>0</v>
      </c>
      <c r="AD1164" s="150">
        <f>'Assumptions (Nuclear)'!$V$4*Model!AD1112</f>
        <v>0</v>
      </c>
      <c r="AE1164" s="150">
        <f>'Assumptions (Nuclear)'!$V$4*Model!AE1112</f>
        <v>1.1025323523621353</v>
      </c>
      <c r="AF1164" s="150">
        <f>'Assumptions (Nuclear)'!$V$4*Model!AF1112</f>
        <v>1.2845947879543</v>
      </c>
      <c r="AG1164" s="150">
        <f>'Assumptions (Nuclear)'!$V$4*Model!AG1112</f>
        <v>3.9894250289761746</v>
      </c>
      <c r="AH1164" s="150">
        <f>'Assumptions (Nuclear)'!$V$4*Model!AH1112</f>
        <v>5.594443668254609</v>
      </c>
      <c r="AI1164" s="150">
        <f>'Assumptions (Nuclear)'!$V$4*Model!AI1112</f>
        <v>6.0175063022368054</v>
      </c>
      <c r="AJ1164" s="150">
        <f>'Assumptions (Nuclear)'!$V$4*Model!AJ1112</f>
        <v>7.5026696702048428</v>
      </c>
      <c r="AK1164" s="150">
        <f>'Assumptions (Nuclear)'!$V$4*Model!AK1112</f>
        <v>6.411092562355968</v>
      </c>
      <c r="AL1164" s="150">
        <f>'Assumptions (Nuclear)'!$V$4*Model!AL1112</f>
        <v>6.3591151507045787</v>
      </c>
      <c r="AM1164" s="150">
        <f>'Assumptions (Nuclear)'!$V$4*Model!AM1112</f>
        <v>3.4691525332745776</v>
      </c>
      <c r="AN1164" s="150">
        <f>'Assumptions (Nuclear)'!$V$4*Model!AN1112</f>
        <v>2.4778796495467152</v>
      </c>
      <c r="AO1164" s="150">
        <f>'Assumptions (Nuclear)'!$V$4*Model!AO1112</f>
        <v>2.1770050474696161</v>
      </c>
      <c r="AP1164" s="150">
        <f>'Assumptions (Nuclear)'!$V$4*Model!AP1112</f>
        <v>0.68354376605112044</v>
      </c>
      <c r="AQ1164" s="150">
        <f>'Assumptions (Nuclear)'!$V$4*Model!AQ1112</f>
        <v>2.8169356405987394</v>
      </c>
      <c r="AR1164" s="150">
        <f>'Assumptions (Nuclear)'!$V$4*Model!AR1112</f>
        <v>6.0714868568464428</v>
      </c>
      <c r="AS1164" s="150">
        <f>'Assumptions (Nuclear)'!$V$4*Model!AS1112</f>
        <v>9.9991605734675701</v>
      </c>
      <c r="AT1164" s="150">
        <f>'Assumptions (Nuclear)'!$V$4*Model!AT1112</f>
        <v>12.302547636852129</v>
      </c>
      <c r="AU1164" s="150">
        <f>'Assumptions (Nuclear)'!$V$4*Model!AU1112</f>
        <v>14.403119446651893</v>
      </c>
      <c r="AV1164" s="150">
        <f>'Assumptions (Nuclear)'!$V$4*Model!AV1112</f>
        <v>14.691181835584931</v>
      </c>
      <c r="AW1164" s="150">
        <f>'Assumptions (Nuclear)'!$V$4*Model!AW1112</f>
        <v>12.5978553436429</v>
      </c>
      <c r="AX1164" s="150">
        <f>'Assumptions (Nuclear)'!$V$4*Model!AX1112</f>
        <v>9.2481057203262065</v>
      </c>
      <c r="AY1164" s="150">
        <f>'Assumptions (Nuclear)'!$V$4*Model!AY1112</f>
        <v>5.1466189064877703</v>
      </c>
      <c r="AZ1164" s="150">
        <f>'Assumptions (Nuclear)'!$V$4*Model!AZ1112</f>
        <v>2.0475408774169641</v>
      </c>
      <c r="BA1164" s="150">
        <f>'Assumptions (Nuclear)'!$V$4*Model!BA1112</f>
        <v>0</v>
      </c>
    </row>
    <row r="1165" spans="1:69" ht="15.75" customHeight="1">
      <c r="A1165" s="408" t="s">
        <v>54</v>
      </c>
      <c r="B1165" s="99" t="s">
        <v>201</v>
      </c>
      <c r="C1165" s="150">
        <f>'Assumptions (Nuclear)'!$V$5*Model!C1112</f>
        <v>0</v>
      </c>
      <c r="D1165" s="150">
        <f>'Assumptions (Nuclear)'!$V$5*Model!D1112</f>
        <v>0</v>
      </c>
      <c r="E1165" s="150">
        <f>'Assumptions (Nuclear)'!$V$5*Model!E1112</f>
        <v>0</v>
      </c>
      <c r="F1165" s="150">
        <f>'Assumptions (Nuclear)'!$V$5*Model!F1112</f>
        <v>0</v>
      </c>
      <c r="G1165" s="150">
        <f>'Assumptions (Nuclear)'!$V$5*Model!G1112</f>
        <v>0</v>
      </c>
      <c r="H1165" s="150">
        <f>'Assumptions (Nuclear)'!$V$5*Model!H1112</f>
        <v>0</v>
      </c>
      <c r="I1165" s="150">
        <f>'Assumptions (Nuclear)'!$V$5*Model!I1112</f>
        <v>0</v>
      </c>
      <c r="J1165" s="150">
        <f>'Assumptions (Nuclear)'!$V$5*Model!J1112</f>
        <v>0</v>
      </c>
      <c r="K1165" s="150">
        <f>'Assumptions (Nuclear)'!$V$5*Model!K1112</f>
        <v>0</v>
      </c>
      <c r="L1165" s="150">
        <f>'Assumptions (Nuclear)'!$V$5*Model!L1112</f>
        <v>0</v>
      </c>
      <c r="M1165" s="150">
        <f>'Assumptions (Nuclear)'!$V$5*Model!M1112</f>
        <v>0.5472881491966709</v>
      </c>
      <c r="N1165" s="150">
        <f>'Assumptions (Nuclear)'!$V$5*Model!N1112</f>
        <v>0.55823391218060436</v>
      </c>
      <c r="O1165" s="150">
        <f>'Assumptions (Nuclear)'!$V$5*Model!O1112</f>
        <v>0.56939859042421637</v>
      </c>
      <c r="P1165" s="150">
        <f>'Assumptions (Nuclear)'!$V$5*Model!P1112</f>
        <v>1.1501851526569171</v>
      </c>
      <c r="Q1165" s="150">
        <f>'Assumptions (Nuclear)'!$V$5*Model!Q1112</f>
        <v>1.1731888557100556</v>
      </c>
      <c r="R1165" s="150">
        <f>'Assumptions (Nuclear)'!$V$5*Model!R1112</f>
        <v>1.1966526328242566</v>
      </c>
      <c r="S1165" s="150">
        <f>'Assumptions (Nuclear)'!$V$5*Model!S1112</f>
        <v>0.60425033934690187</v>
      </c>
      <c r="T1165" s="150">
        <f>'Assumptions (Nuclear)'!$V$5*Model!T1112</f>
        <v>0.61633534613383989</v>
      </c>
      <c r="U1165" s="150">
        <f>'Assumptions (Nuclear)'!$V$5*Model!U1112</f>
        <v>0.62866205305651668</v>
      </c>
      <c r="V1165" s="150">
        <f>'Assumptions (Nuclear)'!$V$5*Model!V1112</f>
        <v>0</v>
      </c>
      <c r="W1165" s="150">
        <f>'Assumptions (Nuclear)'!$V$5*Model!W1112</f>
        <v>0</v>
      </c>
      <c r="X1165" s="150">
        <f>'Assumptions (Nuclear)'!$V$5*Model!X1112</f>
        <v>0</v>
      </c>
      <c r="Y1165" s="150">
        <f>'Assumptions (Nuclear)'!$V$5*Model!Y1112</f>
        <v>0</v>
      </c>
      <c r="Z1165" s="150">
        <f>'Assumptions (Nuclear)'!$V$5*Model!Z1112</f>
        <v>0</v>
      </c>
      <c r="AA1165" s="150">
        <f>'Assumptions (Nuclear)'!$V$5*Model!AA1112</f>
        <v>0</v>
      </c>
      <c r="AB1165" s="150">
        <f>'Assumptions (Nuclear)'!$V$5*Model!AB1112</f>
        <v>0</v>
      </c>
      <c r="AC1165" s="150">
        <f>'Assumptions (Nuclear)'!$V$5*Model!AC1112</f>
        <v>0</v>
      </c>
      <c r="AD1165" s="150">
        <f>'Assumptions (Nuclear)'!$V$5*Model!AD1112</f>
        <v>0</v>
      </c>
      <c r="AE1165" s="150">
        <f>'Assumptions (Nuclear)'!$V$5*Model!AE1112</f>
        <v>1.6537985285432029</v>
      </c>
      <c r="AF1165" s="150">
        <f>'Assumptions (Nuclear)'!$V$5*Model!AF1112</f>
        <v>1.9268921819314497</v>
      </c>
      <c r="AG1165" s="150">
        <f>'Assumptions (Nuclear)'!$V$5*Model!AG1112</f>
        <v>5.9841375434642616</v>
      </c>
      <c r="AH1165" s="150">
        <f>'Assumptions (Nuclear)'!$V$5*Model!AH1112</f>
        <v>8.3916655023819136</v>
      </c>
      <c r="AI1165" s="150">
        <f>'Assumptions (Nuclear)'!$V$5*Model!AI1112</f>
        <v>9.0262594533552072</v>
      </c>
      <c r="AJ1165" s="150">
        <f>'Assumptions (Nuclear)'!$V$5*Model!AJ1112</f>
        <v>11.254004505307263</v>
      </c>
      <c r="AK1165" s="150">
        <f>'Assumptions (Nuclear)'!$V$5*Model!AK1112</f>
        <v>9.616638843533952</v>
      </c>
      <c r="AL1165" s="150">
        <f>'Assumptions (Nuclear)'!$V$5*Model!AL1112</f>
        <v>9.5386727260568662</v>
      </c>
      <c r="AM1165" s="150">
        <f>'Assumptions (Nuclear)'!$V$5*Model!AM1112</f>
        <v>5.2037287999118664</v>
      </c>
      <c r="AN1165" s="150">
        <f>'Assumptions (Nuclear)'!$V$5*Model!AN1112</f>
        <v>3.7168194743200726</v>
      </c>
      <c r="AO1165" s="150">
        <f>'Assumptions (Nuclear)'!$V$5*Model!AO1112</f>
        <v>3.2655075712044237</v>
      </c>
      <c r="AP1165" s="150">
        <f>'Assumptions (Nuclear)'!$V$5*Model!AP1112</f>
        <v>1.0253156490766806</v>
      </c>
      <c r="AQ1165" s="150">
        <f>'Assumptions (Nuclear)'!$V$5*Model!AQ1112</f>
        <v>4.225403460898109</v>
      </c>
      <c r="AR1165" s="150">
        <f>'Assumptions (Nuclear)'!$V$5*Model!AR1112</f>
        <v>9.1072302852696634</v>
      </c>
      <c r="AS1165" s="150">
        <f>'Assumptions (Nuclear)'!$V$5*Model!AS1112</f>
        <v>14.998740860201355</v>
      </c>
      <c r="AT1165" s="150">
        <f>'Assumptions (Nuclear)'!$V$5*Model!AT1112</f>
        <v>18.453821455278192</v>
      </c>
      <c r="AU1165" s="150">
        <f>'Assumptions (Nuclear)'!$V$5*Model!AU1112</f>
        <v>21.604679169977835</v>
      </c>
      <c r="AV1165" s="150">
        <f>'Assumptions (Nuclear)'!$V$5*Model!AV1112</f>
        <v>22.036772753377395</v>
      </c>
      <c r="AW1165" s="150">
        <f>'Assumptions (Nuclear)'!$V$5*Model!AW1112</f>
        <v>18.896783015464347</v>
      </c>
      <c r="AX1165" s="150">
        <f>'Assumptions (Nuclear)'!$V$5*Model!AX1112</f>
        <v>13.872158580489307</v>
      </c>
      <c r="AY1165" s="150">
        <f>'Assumptions (Nuclear)'!$V$5*Model!AY1112</f>
        <v>7.7199283597316555</v>
      </c>
      <c r="AZ1165" s="150">
        <f>'Assumptions (Nuclear)'!$V$5*Model!AZ1112</f>
        <v>3.0713113161254459</v>
      </c>
      <c r="BA1165" s="150">
        <f>'Assumptions (Nuclear)'!$V$5*Model!BA1112</f>
        <v>0</v>
      </c>
    </row>
    <row r="1166" spans="1:69" ht="15.75" customHeight="1">
      <c r="A1166" s="408" t="s">
        <v>336</v>
      </c>
      <c r="B1166" s="99" t="s">
        <v>201</v>
      </c>
      <c r="C1166" s="91">
        <f t="array" ref="C1166">SUM(IF(ISERROR(C1167:C1217),"",C1167:C1217))</f>
        <v>0</v>
      </c>
      <c r="D1166" s="91">
        <f t="array" ref="D1166">SUM(IF(ISERROR(D1167:D1217),"",D1167:D1217))</f>
        <v>0</v>
      </c>
      <c r="E1166" s="91">
        <f t="array" ref="E1166">SUM(IF(ISERROR(E1167:E1217),"",E1167:E1217))</f>
        <v>0</v>
      </c>
      <c r="F1166" s="91">
        <f t="array" ref="F1166">SUM(IF(ISERROR(F1167:F1217),"",F1167:F1217))</f>
        <v>0</v>
      </c>
      <c r="G1166" s="91">
        <f t="array" ref="G1166">SUM(IF(ISERROR(G1167:G1217),"",G1167:G1217))</f>
        <v>0</v>
      </c>
      <c r="H1166" s="91">
        <f t="array" ref="H1166">SUM(IF(ISERROR(H1167:H1217),"",H1167:H1217))</f>
        <v>0</v>
      </c>
      <c r="I1166" s="91">
        <f t="array" ref="I1166">SUM(IF(ISERROR(I1167:I1217),"",I1167:I1217))</f>
        <v>0</v>
      </c>
      <c r="J1166" s="91">
        <f t="array" ref="J1166">SUM(IF(ISERROR(J1167:J1217),"",J1167:J1217))</f>
        <v>0</v>
      </c>
      <c r="K1166" s="91">
        <f t="array" ref="K1166">SUM(IF(ISERROR(K1167:K1217),"",K1167:K1217))</f>
        <v>0</v>
      </c>
      <c r="L1166" s="91">
        <f t="array" ref="L1166">SUM(IF(ISERROR(L1167:L1217),"",L1167:L1217))</f>
        <v>0</v>
      </c>
      <c r="M1166" s="91">
        <f t="array" ref="M1166">SUM(IF(ISERROR(M1167:M1217),"",M1167:M1217))</f>
        <v>0</v>
      </c>
      <c r="N1166" s="91">
        <f t="array" ref="N1166">SUM(IF(ISERROR(N1167:N1217),"",N1167:N1217))</f>
        <v>0</v>
      </c>
      <c r="O1166" s="91">
        <f t="array" ref="O1166">SUM(IF(ISERROR(O1167:O1217),"",O1167:O1217))</f>
        <v>0</v>
      </c>
      <c r="P1166" s="91">
        <f t="array" ref="P1166">SUM(IF(ISERROR(P1167:P1217),"",P1167:P1217))</f>
        <v>0</v>
      </c>
      <c r="Q1166" s="91">
        <f t="array" ref="Q1166">SUM(IF(ISERROR(Q1167:Q1217),"",Q1167:Q1217))</f>
        <v>0</v>
      </c>
      <c r="R1166" s="91">
        <f t="array" ref="R1166">SUM(IF(ISERROR(R1167:R1217),"",R1167:R1217))</f>
        <v>0</v>
      </c>
      <c r="S1166" s="91">
        <f t="array" ref="S1166">SUM(IF(ISERROR(S1167:S1217),"",S1167:S1217))</f>
        <v>-0.10868289890879428</v>
      </c>
      <c r="T1166" s="91">
        <f t="array" ref="T1166">SUM(IF(ISERROR(T1167:T1217),"",T1167:T1217))</f>
        <v>-0.11384533660696201</v>
      </c>
      <c r="U1166" s="91">
        <f t="array" ref="U1166">SUM(IF(ISERROR(U1167:U1217),"",U1167:U1217))</f>
        <v>-0.1192529900957927</v>
      </c>
      <c r="V1166" s="91">
        <f t="array" ref="V1166">SUM(IF(ISERROR(V1167:V1217),"",V1167:V1217))</f>
        <v>-0.23799119515005246</v>
      </c>
      <c r="W1166" s="91">
        <f t="array" ref="W1166">SUM(IF(ISERROR(W1167:W1217),"",W1167:W1217))</f>
        <v>-0.24929577691967994</v>
      </c>
      <c r="X1166" s="91">
        <f t="array" ref="X1166">SUM(IF(ISERROR(X1167:X1217),"",X1167:X1217))</f>
        <v>-0.26113732632336473</v>
      </c>
      <c r="Y1166" s="91">
        <f t="array" ref="Y1166">SUM(IF(ISERROR(Y1167:Y1217),"",Y1167:Y1217))</f>
        <v>-0.27354134932372454</v>
      </c>
      <c r="Z1166" s="91">
        <f t="array" ref="Z1166">SUM(IF(ISERROR(Z1167:Z1217),"",Z1167:Z1217))</f>
        <v>-0.28653456341660144</v>
      </c>
      <c r="AA1166" s="91">
        <f t="array" ref="AA1166">SUM(IF(ISERROR(AA1167:AA1217),"",AA1167:AA1217))</f>
        <v>-0.30014495517889006</v>
      </c>
      <c r="AB1166" s="91">
        <f t="array" ref="AB1166">SUM(IF(ISERROR(AB1167:AB1217),"",AB1167:AB1217))</f>
        <v>-0.31440184054988735</v>
      </c>
      <c r="AC1166" s="91">
        <f t="array" ref="AC1166">SUM(IF(ISERROR(AC1167:AC1217),"",AC1167:AC1217))</f>
        <v>-0.32933592797600697</v>
      </c>
      <c r="AD1166" s="91">
        <f t="array" ref="AD1166">SUM(IF(ISERROR(AD1167:AD1217),"",AD1167:AD1217))</f>
        <v>-0.34497938455486732</v>
      </c>
      <c r="AE1166" s="91">
        <f t="array" ref="AE1166">SUM(IF(ISERROR(AE1167:AE1217),"",AE1167:AE1217))</f>
        <v>-0.36136590532122354</v>
      </c>
      <c r="AF1166" s="91">
        <f t="array" ref="AF1166">SUM(IF(ISERROR(AF1167:AF1217),"",AF1167:AF1217))</f>
        <v>-0.3785307858239817</v>
      </c>
      <c r="AG1166" s="91">
        <f t="array" ref="AG1166">SUM(IF(ISERROR(AG1167:AG1217),"",AG1167:AG1217))</f>
        <v>-0.39651099815062074</v>
      </c>
      <c r="AH1166" s="91">
        <f t="array" ref="AH1166">SUM(IF(ISERROR(AH1167:AH1217),"",AH1167:AH1217))</f>
        <v>-0.19733764317013014</v>
      </c>
      <c r="AI1166" s="91">
        <f t="array" ref="AI1166">SUM(IF(ISERROR(AI1167:AI1217),"",AI1167:AI1217))</f>
        <v>-0.2067111812207113</v>
      </c>
      <c r="AJ1166" s="91">
        <f t="array" ref="AJ1166">SUM(IF(ISERROR(AJ1167:AJ1217),"",AJ1167:AJ1217))</f>
        <v>-0.21652996232869506</v>
      </c>
      <c r="AK1166" s="91">
        <f t="array" ref="AK1166">SUM(IF(ISERROR(AK1167:AK1217),"",AK1167:AK1217))</f>
        <v>-0.32841861925386462</v>
      </c>
      <c r="AL1166" s="91">
        <f t="array" ref="AL1166">SUM(IF(ISERROR(AL1167:AL1217),"",AL1167:AL1217))</f>
        <v>-0.39168227566175862</v>
      </c>
      <c r="AM1166" s="91">
        <f t="array" ref="AM1166">SUM(IF(ISERROR(AM1167:AM1217),"",AM1167:AM1217))</f>
        <v>-1.2083398796753901</v>
      </c>
      <c r="AN1166" s="91">
        <f t="array" ref="AN1166">SUM(IF(ISERROR(AN1167:AN1217),"",AN1167:AN1217))</f>
        <v>-1.7200664344215659</v>
      </c>
      <c r="AO1166" s="91">
        <f t="array" ref="AO1166">SUM(IF(ISERROR(AO1167:AO1217),"",AO1167:AO1217))</f>
        <v>-1.8944609805549752</v>
      </c>
      <c r="AP1166" s="91">
        <f t="array" ref="AP1166">SUM(IF(ISERROR(AP1167:AP1217),"",AP1167:AP1217))</f>
        <v>-2.3909938433259108</v>
      </c>
      <c r="AQ1166" s="91">
        <f t="array" ref="AQ1166">SUM(IF(ISERROR(AQ1167:AQ1217),"",AQ1167:AQ1217))</f>
        <v>-2.5045660508838914</v>
      </c>
      <c r="AR1166" s="91">
        <f t="array" ref="AR1166">SUM(IF(ISERROR(AR1167:AR1217),"",AR1167:AR1217))</f>
        <v>-2.623532938300877</v>
      </c>
      <c r="AS1166" s="91">
        <f t="array" ref="AS1166">SUM(IF(ISERROR(AS1167:AS1217),"",AS1167:AS1217))</f>
        <v>-2.7481507528701679</v>
      </c>
      <c r="AT1166" s="91">
        <f t="array" ref="AT1166">SUM(IF(ISERROR(AT1167:AT1217),"",AT1167:AT1217))</f>
        <v>-3.0743931347406446</v>
      </c>
      <c r="AU1166" s="91">
        <f t="array" ref="AU1166">SUM(IF(ISERROR(AU1167:AU1217),"",AU1167:AU1217))</f>
        <v>-3.2204268086408252</v>
      </c>
      <c r="AV1166" s="91">
        <f t="array" ref="AV1166">SUM(IF(ISERROR(AV1167:AV1217),"",AV1167:AV1217))</f>
        <v>-3.3733970820512642</v>
      </c>
      <c r="AW1166" s="91">
        <f t="array" ref="AW1166">SUM(IF(ISERROR(AW1167:AW1217),"",AW1167:AW1217))</f>
        <v>-4.1650487867517167</v>
      </c>
      <c r="AX1166" s="91">
        <f t="array" ref="AX1166">SUM(IF(ISERROR(AX1167:AX1217),"",AX1167:AX1217))</f>
        <v>-5.315561359900034</v>
      </c>
      <c r="AY1166" s="91">
        <f t="array" ref="AY1166">SUM(IF(ISERROR(AY1167:AY1217),"",AY1167:AY1217))</f>
        <v>-6.7018416460051151</v>
      </c>
      <c r="AZ1166" s="91">
        <f t="array" ref="AZ1166">SUM(IF(ISERROR(AZ1167:AZ1217),"",AZ1167:AZ1217))</f>
        <v>-7.2083531130728513</v>
      </c>
      <c r="BA1166" s="91">
        <f t="array" ref="BA1166">SUM(IF(ISERROR(BA1167:BA1217),"",BA1167:BA1217))</f>
        <v>-8.0075592816017807</v>
      </c>
      <c r="BB1166" s="91">
        <f t="array" ref="BB1166">SUM(IF(ISERROR(BB1167:BB1217),"",BB1167:BB1217))</f>
        <v>-6.7871000355025721</v>
      </c>
      <c r="BC1166" s="91">
        <f t="array" ref="BC1166">SUM(IF(ISERROR(BC1167:BC1217),"",BC1167:BC1217))</f>
        <v>-6.1981434066748751</v>
      </c>
      <c r="BD1166" s="91">
        <f t="array" ref="BD1166">SUM(IF(ISERROR(BD1167:BD1217),"",BD1167:BD1217))</f>
        <v>-6.3066250461725861</v>
      </c>
      <c r="BE1166" s="91">
        <f t="array" ref="BE1166">SUM(IF(ISERROR(BE1167:BE1217),"",BE1167:BE1217))</f>
        <v>-5.7906969361153173</v>
      </c>
      <c r="BF1166" s="91">
        <f t="array" ref="BF1166">SUM(IF(ISERROR(BF1167:BF1217),"",BF1167:BF1217))</f>
        <v>-6.065755040580795</v>
      </c>
      <c r="BG1166" s="91">
        <f t="array" ref="BG1166">SUM(IF(ISERROR(BG1167:BG1217),"",BG1167:BG1217))</f>
        <v>-6.3538784050083823</v>
      </c>
      <c r="BH1166" s="91">
        <f t="array" ref="BH1166">SUM(IF(ISERROR(BH1167:BH1217),"",BH1167:BH1217))</f>
        <v>-6.6556876292462803</v>
      </c>
      <c r="BI1166" s="91">
        <f t="array" ref="BI1166">SUM(IF(ISERROR(BI1167:BI1217),"",BI1167:BI1217))</f>
        <v>-6.5792666073440422</v>
      </c>
      <c r="BJ1166" s="91">
        <f t="array" ref="BJ1166">SUM(IF(ISERROR(BJ1167:BJ1217),"",BJ1167:BJ1217))</f>
        <v>-6.8917817711928855</v>
      </c>
      <c r="BK1166" s="91">
        <f t="array" ref="BK1166">SUM(IF(ISERROR(BK1167:BK1217),"",BK1167:BK1217))</f>
        <v>-7.2191414053245468</v>
      </c>
      <c r="BL1166" s="91">
        <f t="array" ref="BL1166">SUM(IF(ISERROR(BL1167:BL1217),"",BL1167:BL1217))</f>
        <v>-6.2954910963850095</v>
      </c>
      <c r="BM1166" s="91">
        <f t="array" ref="BM1166">SUM(IF(ISERROR(BM1167:BM1217),"",BM1167:BM1217))</f>
        <v>-4.6835553791453517</v>
      </c>
      <c r="BN1166" s="91">
        <f t="array" ref="BN1166">SUM(IF(ISERROR(BN1167:BN1217),"",BN1167:BN1217))</f>
        <v>-2.6317463848381184</v>
      </c>
      <c r="BO1166" s="91">
        <f t="array" ref="BO1166">SUM(IF(ISERROR(BO1167:BO1217),"",BO1167:BO1217))</f>
        <v>-1.0578512260235806</v>
      </c>
      <c r="BP1166" s="91">
        <f t="array" ref="BP1166">SUM(IF(ISERROR(BP1167:BP1217),"",BP1167:BP1217))</f>
        <v>0</v>
      </c>
      <c r="BQ1166" s="91"/>
    </row>
    <row r="1167" spans="1:69" ht="15.75" hidden="1" customHeight="1" outlineLevel="1">
      <c r="A1167" s="407"/>
      <c r="B1167" s="99"/>
      <c r="C1167" s="91">
        <f>IF($C$1110&gt;0,PPMT('Assumptions (Nuclear)'!$V$6,Model!W$1,'Assumptions (Nuclear)'!$V$9,'Assumptions (Nuclear)'!$V$4*Model!$C$1110*'Assumptions (Nuclear)'!$B$2/10^9),0)</f>
        <v>0</v>
      </c>
      <c r="D1167" s="91">
        <f>IF($C$1110&gt;0,PPMT('Assumptions (Nuclear)'!$V$6,Model!X$1,'Assumptions (Nuclear)'!$V$9,'Assumptions (Nuclear)'!$V$4*Model!$C$1110*'Assumptions (Nuclear)'!$B$2/10^9),0)</f>
        <v>0</v>
      </c>
      <c r="E1167" s="91">
        <f>IF($C$1110&gt;0,PPMT('Assumptions (Nuclear)'!$V$6,Model!Y$1,'Assumptions (Nuclear)'!$V$9,'Assumptions (Nuclear)'!$V$4*Model!$C$1110*'Assumptions (Nuclear)'!$B$2/10^9),0)</f>
        <v>0</v>
      </c>
      <c r="F1167" s="91">
        <f>IF($C$1110&gt;0,PPMT('Assumptions (Nuclear)'!$V$6,Model!Z$1,'Assumptions (Nuclear)'!$V$9,'Assumptions (Nuclear)'!$V$4*Model!$C$1110*'Assumptions (Nuclear)'!$B$2/10^9),0)</f>
        <v>0</v>
      </c>
      <c r="G1167" s="91">
        <f>IF($C$1110&gt;0,PPMT('Assumptions (Nuclear)'!$V$6,Model!AA$1,'Assumptions (Nuclear)'!$V$9,'Assumptions (Nuclear)'!$V$4*Model!$C$1110*'Assumptions (Nuclear)'!$B$2/10^9),0)</f>
        <v>0</v>
      </c>
      <c r="H1167" s="91">
        <f>IF($C$1110&gt;0,PPMT('Assumptions (Nuclear)'!$V$6,Model!AB$1,'Assumptions (Nuclear)'!$V$9,'Assumptions (Nuclear)'!$V$4*Model!$C$1110*'Assumptions (Nuclear)'!$B$2/10^9),0)</f>
        <v>0</v>
      </c>
      <c r="I1167" s="91">
        <f>IF($C$1110&gt;0,PPMT('Assumptions (Nuclear)'!$V$6,Model!AC$1,'Assumptions (Nuclear)'!$V$9,'Assumptions (Nuclear)'!$V$4*Model!$C$1110*'Assumptions (Nuclear)'!$B$2/10^9),0)</f>
        <v>0</v>
      </c>
      <c r="J1167" s="91">
        <f>IF($C$1110&gt;0,PPMT('Assumptions (Nuclear)'!$V$6,Model!AD$1,'Assumptions (Nuclear)'!$V$9,'Assumptions (Nuclear)'!$V$4*Model!$C$1110*'Assumptions (Nuclear)'!$B$2/10^9),0)</f>
        <v>0</v>
      </c>
      <c r="K1167" s="91">
        <f>IF($C$1110&gt;0,PPMT('Assumptions (Nuclear)'!$V$6,Model!AE$1,'Assumptions (Nuclear)'!$V$9,'Assumptions (Nuclear)'!$V$4*Model!$C$1110*'Assumptions (Nuclear)'!$B$2/10^9),0)</f>
        <v>0</v>
      </c>
      <c r="L1167" s="91">
        <f>IF($C$1110&gt;0,PPMT('Assumptions (Nuclear)'!$V$6,Model!AF$1,'Assumptions (Nuclear)'!$V$9,'Assumptions (Nuclear)'!$V$4*Model!$C$1110*'Assumptions (Nuclear)'!$B$2/10^9),0)</f>
        <v>0</v>
      </c>
      <c r="M1167" s="91">
        <f>IF($C$1110&gt;0,PPMT('Assumptions (Nuclear)'!$V$6,Model!AG$1,'Assumptions (Nuclear)'!$V$9,'Assumptions (Nuclear)'!$V$4*Model!$C$1110*'Assumptions (Nuclear)'!$B$2/10^9),0)</f>
        <v>0</v>
      </c>
      <c r="N1167" s="91">
        <f>IF($C$1110&gt;0,PPMT('Assumptions (Nuclear)'!$V$6,Model!AH$1,'Assumptions (Nuclear)'!$V$9,'Assumptions (Nuclear)'!$V$4*Model!$C$1110*'Assumptions (Nuclear)'!$B$2/10^9),0)</f>
        <v>0</v>
      </c>
      <c r="O1167" s="91">
        <f>IF($C$1110&gt;0,PPMT('Assumptions (Nuclear)'!$V$6,Model!AI$1,'Assumptions (Nuclear)'!$V$9,'Assumptions (Nuclear)'!$V$4*Model!$C$1110*'Assumptions (Nuclear)'!$B$2/10^9),0)</f>
        <v>0</v>
      </c>
      <c r="P1167" s="91">
        <f>IF($C$1110&gt;0,PPMT('Assumptions (Nuclear)'!$V$6,Model!AJ$1,'Assumptions (Nuclear)'!$V$9,'Assumptions (Nuclear)'!$V$4*Model!$C$1110*'Assumptions (Nuclear)'!$B$2/10^9),0)</f>
        <v>0</v>
      </c>
      <c r="Q1167" s="91">
        <f>IF($C$1110&gt;0,PPMT('Assumptions (Nuclear)'!$V$6,Model!AK$1,'Assumptions (Nuclear)'!$V$9,'Assumptions (Nuclear)'!$V$4*Model!$C$1110*'Assumptions (Nuclear)'!$B$2/10^9),0)</f>
        <v>0</v>
      </c>
      <c r="R1167" s="91"/>
      <c r="S1167" s="91"/>
      <c r="T1167" s="91"/>
      <c r="U1167" s="91"/>
      <c r="V1167" s="91"/>
      <c r="W1167" s="91"/>
      <c r="X1167" s="91"/>
      <c r="Y1167" s="91"/>
      <c r="Z1167" s="91"/>
      <c r="AA1167" s="91"/>
      <c r="AB1167" s="105"/>
      <c r="AC1167" s="105"/>
      <c r="AD1167" s="105"/>
      <c r="AE1167" s="105"/>
      <c r="AF1167" s="105"/>
      <c r="AG1167" s="105"/>
      <c r="AU1167" s="147"/>
      <c r="AV1167" s="147"/>
      <c r="AW1167" s="147"/>
      <c r="AX1167" s="147"/>
      <c r="AY1167" s="147"/>
      <c r="AZ1167" s="147"/>
      <c r="BA1167" s="147"/>
    </row>
    <row r="1168" spans="1:69" ht="15.75" hidden="1" customHeight="1" outlineLevel="1">
      <c r="A1168" s="407"/>
      <c r="B1168" s="99"/>
      <c r="C1168" s="105"/>
      <c r="D1168" s="91">
        <f>IF($D$1110&gt;0,PPMT('Assumptions (Nuclear)'!$V$6,Model!W$1,'Assumptions (Nuclear)'!$V$9,'Assumptions (Nuclear)'!$V$4*Model!$D$1110*'Assumptions (Nuclear)'!$B$2/10^9),0)</f>
        <v>0</v>
      </c>
      <c r="E1168" s="91">
        <f>IF($D$1110&gt;0,PPMT('Assumptions (Nuclear)'!$V$6,Model!X$1,'Assumptions (Nuclear)'!$V$9,'Assumptions (Nuclear)'!$V$4*Model!$D$1110*'Assumptions (Nuclear)'!$B$2/10^9),0)</f>
        <v>0</v>
      </c>
      <c r="F1168" s="91">
        <f>IF($D$1110&gt;0,PPMT('Assumptions (Nuclear)'!$V$6,Model!Y$1,'Assumptions (Nuclear)'!$V$9,'Assumptions (Nuclear)'!$V$4*Model!$D$1110*'Assumptions (Nuclear)'!$B$2/10^9),0)</f>
        <v>0</v>
      </c>
      <c r="G1168" s="91">
        <f>IF($D$1110&gt;0,PPMT('Assumptions (Nuclear)'!$V$6,Model!Z$1,'Assumptions (Nuclear)'!$V$9,'Assumptions (Nuclear)'!$V$4*Model!$D$1110*'Assumptions (Nuclear)'!$B$2/10^9),0)</f>
        <v>0</v>
      </c>
      <c r="H1168" s="91">
        <f>IF($D$1110&gt;0,PPMT('Assumptions (Nuclear)'!$V$6,Model!AA$1,'Assumptions (Nuclear)'!$V$9,'Assumptions (Nuclear)'!$V$4*Model!$D$1110*'Assumptions (Nuclear)'!$B$2/10^9),0)</f>
        <v>0</v>
      </c>
      <c r="I1168" s="91">
        <f>IF($D$1110&gt;0,PPMT('Assumptions (Nuclear)'!$V$6,Model!AB$1,'Assumptions (Nuclear)'!$V$9,'Assumptions (Nuclear)'!$V$4*Model!$D$1110*'Assumptions (Nuclear)'!$B$2/10^9),0)</f>
        <v>0</v>
      </c>
      <c r="J1168" s="91">
        <f>IF($D$1110&gt;0,PPMT('Assumptions (Nuclear)'!$V$6,Model!AC$1,'Assumptions (Nuclear)'!$V$9,'Assumptions (Nuclear)'!$V$4*Model!$D$1110*'Assumptions (Nuclear)'!$B$2/10^9),0)</f>
        <v>0</v>
      </c>
      <c r="K1168" s="91">
        <f>IF($D$1110&gt;0,PPMT('Assumptions (Nuclear)'!$V$6,Model!AD$1,'Assumptions (Nuclear)'!$V$9,'Assumptions (Nuclear)'!$V$4*Model!$D$1110*'Assumptions (Nuclear)'!$B$2/10^9),0)</f>
        <v>0</v>
      </c>
      <c r="L1168" s="91">
        <f>IF($D$1110&gt;0,PPMT('Assumptions (Nuclear)'!$V$6,Model!AE$1,'Assumptions (Nuclear)'!$V$9,'Assumptions (Nuclear)'!$V$4*Model!$D$1110*'Assumptions (Nuclear)'!$B$2/10^9),0)</f>
        <v>0</v>
      </c>
      <c r="M1168" s="91">
        <f>IF($D$1110&gt;0,PPMT('Assumptions (Nuclear)'!$V$6,Model!AF$1,'Assumptions (Nuclear)'!$V$9,'Assumptions (Nuclear)'!$V$4*Model!$D$1110*'Assumptions (Nuclear)'!$B$2/10^9),0)</f>
        <v>0</v>
      </c>
      <c r="N1168" s="91">
        <f>IF($D$1110&gt;0,PPMT('Assumptions (Nuclear)'!$V$6,Model!AG$1,'Assumptions (Nuclear)'!$V$9,'Assumptions (Nuclear)'!$V$4*Model!$D$1110*'Assumptions (Nuclear)'!$B$2/10^9),0)</f>
        <v>0</v>
      </c>
      <c r="O1168" s="91">
        <f>IF($D$1110&gt;0,PPMT('Assumptions (Nuclear)'!$V$6,Model!AH$1,'Assumptions (Nuclear)'!$V$9,'Assumptions (Nuclear)'!$V$4*Model!$D$1110*'Assumptions (Nuclear)'!$B$2/10^9),0)</f>
        <v>0</v>
      </c>
      <c r="P1168" s="91">
        <f>IF($D$1110&gt;0,PPMT('Assumptions (Nuclear)'!$V$6,Model!AI$1,'Assumptions (Nuclear)'!$V$9,'Assumptions (Nuclear)'!$V$4*Model!$D$1110*'Assumptions (Nuclear)'!$B$2/10^9),0)</f>
        <v>0</v>
      </c>
      <c r="Q1168" s="91">
        <f>IF($D$1110&gt;0,PPMT('Assumptions (Nuclear)'!$V$6,Model!AJ$1,'Assumptions (Nuclear)'!$V$9,'Assumptions (Nuclear)'!$V$4*Model!$D$1110*'Assumptions (Nuclear)'!$B$2/10^9),0)</f>
        <v>0</v>
      </c>
      <c r="R1168" s="91">
        <f>IF($D$1110&gt;0,PPMT('Assumptions (Nuclear)'!$V$6,Model!AK$1,'Assumptions (Nuclear)'!$V$9,'Assumptions (Nuclear)'!$V$4*Model!$D$1110*'Assumptions (Nuclear)'!$B$2/10^9),0)</f>
        <v>0</v>
      </c>
      <c r="S1168" s="91"/>
      <c r="T1168" s="91"/>
      <c r="U1168" s="91"/>
      <c r="V1168" s="91"/>
      <c r="W1168" s="91"/>
      <c r="X1168" s="91"/>
      <c r="Y1168" s="91"/>
      <c r="Z1168" s="91"/>
      <c r="AA1168" s="91"/>
      <c r="AB1168" s="91"/>
      <c r="AC1168" s="105"/>
      <c r="AD1168" s="105"/>
      <c r="AE1168" s="105"/>
      <c r="AF1168" s="105"/>
      <c r="AG1168" s="105"/>
      <c r="AU1168" s="147"/>
      <c r="AV1168" s="147"/>
      <c r="AW1168" s="147"/>
      <c r="AX1168" s="147"/>
      <c r="AY1168" s="147"/>
      <c r="AZ1168" s="147"/>
      <c r="BA1168" s="147"/>
    </row>
    <row r="1169" spans="1:53" ht="15.75" hidden="1" customHeight="1" outlineLevel="1">
      <c r="A1169" s="407"/>
      <c r="B1169" s="99"/>
      <c r="C1169" s="105"/>
      <c r="D1169" s="105"/>
      <c r="E1169" s="105">
        <f>IF($E$1110&gt;0,PPMT('Assumptions (Nuclear)'!$V$6,Model!W$1,'Assumptions (Nuclear)'!$V$9,'Assumptions (Nuclear)'!$V$4*Model!$E$1110*AVERAGE('Assumptions (Nuclear)'!$B$2:$C$2)/10^9),0)</f>
        <v>0</v>
      </c>
      <c r="F1169" s="105">
        <f>IF($E$1110&gt;0,PPMT('Assumptions (Nuclear)'!$V$6,Model!X$1,'Assumptions (Nuclear)'!$V$9,'Assumptions (Nuclear)'!$V$4*Model!$E$1110*AVERAGE('Assumptions (Nuclear)'!$B$2:$C$2)/10^9),0)</f>
        <v>0</v>
      </c>
      <c r="G1169" s="105">
        <f>IF($E$1110&gt;0,PPMT('Assumptions (Nuclear)'!$V$6,Model!Y$1,'Assumptions (Nuclear)'!$V$9,'Assumptions (Nuclear)'!$V$4*Model!$E$1110*AVERAGE('Assumptions (Nuclear)'!$B$2:$C$2)/10^9),0)</f>
        <v>0</v>
      </c>
      <c r="H1169" s="105">
        <f>IF($E$1110&gt;0,PPMT('Assumptions (Nuclear)'!$V$6,Model!Z$1,'Assumptions (Nuclear)'!$V$9,'Assumptions (Nuclear)'!$V$4*Model!$E$1110*AVERAGE('Assumptions (Nuclear)'!$B$2:$C$2)/10^9),0)</f>
        <v>0</v>
      </c>
      <c r="I1169" s="105">
        <f>IF($E$1110&gt;0,PPMT('Assumptions (Nuclear)'!$V$6,Model!AA$1,'Assumptions (Nuclear)'!$V$9,'Assumptions (Nuclear)'!$V$4*Model!$E$1110*AVERAGE('Assumptions (Nuclear)'!$B$2:$C$2)/10^9),0)</f>
        <v>0</v>
      </c>
      <c r="J1169" s="105">
        <f>IF($E$1110&gt;0,PPMT('Assumptions (Nuclear)'!$V$6,Model!AB$1,'Assumptions (Nuclear)'!$V$9,'Assumptions (Nuclear)'!$V$4*Model!$E$1110*AVERAGE('Assumptions (Nuclear)'!$B$2:$C$2)/10^9),0)</f>
        <v>0</v>
      </c>
      <c r="K1169" s="105">
        <f>IF($E$1110&gt;0,PPMT('Assumptions (Nuclear)'!$V$6,Model!AC$1,'Assumptions (Nuclear)'!$V$9,'Assumptions (Nuclear)'!$V$4*Model!$E$1110*AVERAGE('Assumptions (Nuclear)'!$B$2:$C$2)/10^9),0)</f>
        <v>0</v>
      </c>
      <c r="L1169" s="105">
        <f>IF($E$1110&gt;0,PPMT('Assumptions (Nuclear)'!$V$6,Model!AD$1,'Assumptions (Nuclear)'!$V$9,'Assumptions (Nuclear)'!$V$4*Model!$E$1110*AVERAGE('Assumptions (Nuclear)'!$B$2:$C$2)/10^9),0)</f>
        <v>0</v>
      </c>
      <c r="M1169" s="105">
        <f>IF($E$1110&gt;0,PPMT('Assumptions (Nuclear)'!$V$6,Model!AE$1,'Assumptions (Nuclear)'!$V$9,'Assumptions (Nuclear)'!$V$4*Model!$E$1110*AVERAGE('Assumptions (Nuclear)'!$B$2:$C$2)/10^9),0)</f>
        <v>0</v>
      </c>
      <c r="N1169" s="91">
        <f>IF($E$1110&gt;0,PPMT('Assumptions (Nuclear)'!$V$6,Model!AF$1,'Assumptions (Nuclear)'!$V$9,'Assumptions (Nuclear)'!$V$4*Model!$E$1110*AVERAGE('Assumptions (Nuclear)'!$B$2:$C$2)/10^9),0)</f>
        <v>0</v>
      </c>
      <c r="O1169" s="105">
        <f>IF($E$1110&gt;0,PPMT('Assumptions (Nuclear)'!$V$6,Model!AG$1,'Assumptions (Nuclear)'!$V$9,'Assumptions (Nuclear)'!$V$4*Model!$E$1110*AVERAGE('Assumptions (Nuclear)'!$B$2:$C$2)/10^9),0)</f>
        <v>0</v>
      </c>
      <c r="P1169" s="105">
        <f>IF($E$1110&gt;0,PPMT('Assumptions (Nuclear)'!$V$6,Model!AH$1,'Assumptions (Nuclear)'!$V$9,'Assumptions (Nuclear)'!$V$4*Model!$E$1110*AVERAGE('Assumptions (Nuclear)'!$B$2:$C$2)/10^9),0)</f>
        <v>0</v>
      </c>
      <c r="Q1169" s="105">
        <f>IF($E$1110&gt;0,PPMT('Assumptions (Nuclear)'!$V$6,Model!AI$1,'Assumptions (Nuclear)'!$V$9,'Assumptions (Nuclear)'!$V$4*Model!$E$1110*AVERAGE('Assumptions (Nuclear)'!$B$2:$C$2)/10^9),0)</f>
        <v>0</v>
      </c>
      <c r="R1169" s="105">
        <f>IF($E$1110&gt;0,PPMT('Assumptions (Nuclear)'!$V$6,Model!AJ$1,'Assumptions (Nuclear)'!$V$9,'Assumptions (Nuclear)'!$V$4*Model!$E$1110*AVERAGE('Assumptions (Nuclear)'!$B$2:$C$2)/10^9),0)</f>
        <v>0</v>
      </c>
      <c r="S1169" s="105">
        <f>IF($E$1110&gt;0,PPMT('Assumptions (Nuclear)'!$V$6,Model!AK$1,'Assumptions (Nuclear)'!$V$9,'Assumptions (Nuclear)'!$V$4*Model!$E$1110*AVERAGE('Assumptions (Nuclear)'!$B$2:$C$2)/10^9),0)</f>
        <v>0</v>
      </c>
      <c r="T1169" s="105"/>
      <c r="U1169" s="105"/>
      <c r="V1169" s="105"/>
      <c r="W1169" s="105"/>
      <c r="X1169" s="105"/>
      <c r="Y1169" s="105"/>
      <c r="Z1169" s="105"/>
      <c r="AA1169" s="105"/>
      <c r="AB1169" s="105"/>
      <c r="AC1169" s="105"/>
      <c r="AD1169" s="105"/>
      <c r="AE1169" s="105"/>
      <c r="AF1169" s="105"/>
      <c r="AG1169" s="105"/>
      <c r="AU1169" s="147"/>
      <c r="AV1169" s="147"/>
      <c r="AW1169" s="147"/>
      <c r="AX1169" s="147"/>
      <c r="AY1169" s="147"/>
      <c r="AZ1169" s="147"/>
      <c r="BA1169" s="147"/>
    </row>
    <row r="1170" spans="1:53" ht="15.75" hidden="1" customHeight="1" outlineLevel="1">
      <c r="A1170" s="407"/>
      <c r="B1170" s="99"/>
      <c r="C1170" s="105"/>
      <c r="D1170" s="105"/>
      <c r="E1170" s="105"/>
      <c r="F1170" s="105">
        <f>IF($F$1110&gt;0,PPMT('Assumptions (Nuclear)'!$V$6,Model!W$1,'Assumptions (Nuclear)'!$V$9,'Assumptions (Nuclear)'!$V$4*Model!$F$1110*AVERAGE('Assumptions (Nuclear)'!$B$2:$D$2)/10^9),0)</f>
        <v>0</v>
      </c>
      <c r="G1170" s="105">
        <f>IF($F$1110&gt;0,PPMT('Assumptions (Nuclear)'!$V$6,Model!X$1,'Assumptions (Nuclear)'!$V$9,'Assumptions (Nuclear)'!$V$4*Model!$F$1110*AVERAGE('Assumptions (Nuclear)'!$B$2:$D$2)/10^9),0)</f>
        <v>0</v>
      </c>
      <c r="H1170" s="105">
        <f>IF($F$1110&gt;0,PPMT('Assumptions (Nuclear)'!$V$6,Model!Y$1,'Assumptions (Nuclear)'!$V$9,'Assumptions (Nuclear)'!$V$4*Model!$F$1110*AVERAGE('Assumptions (Nuclear)'!$B$2:$D$2)/10^9),0)</f>
        <v>0</v>
      </c>
      <c r="I1170" s="105">
        <f>IF($F$1110&gt;0,PPMT('Assumptions (Nuclear)'!$V$6,Model!Z$1,'Assumptions (Nuclear)'!$V$9,'Assumptions (Nuclear)'!$V$4*Model!$F$1110*AVERAGE('Assumptions (Nuclear)'!$B$2:$D$2)/10^9),0)</f>
        <v>0</v>
      </c>
      <c r="J1170" s="105">
        <f>IF($F$1110&gt;0,PPMT('Assumptions (Nuclear)'!$V$6,Model!AA$1,'Assumptions (Nuclear)'!$V$9,'Assumptions (Nuclear)'!$V$4*Model!$F$1110*AVERAGE('Assumptions (Nuclear)'!$B$2:$D$2)/10^9),0)</f>
        <v>0</v>
      </c>
      <c r="K1170" s="105">
        <f>IF($F$1110&gt;0,PPMT('Assumptions (Nuclear)'!$V$6,Model!AB$1,'Assumptions (Nuclear)'!$V$9,'Assumptions (Nuclear)'!$V$4*Model!$F$1110*AVERAGE('Assumptions (Nuclear)'!$B$2:$D$2)/10^9),0)</f>
        <v>0</v>
      </c>
      <c r="L1170" s="105">
        <f>IF($F$1110&gt;0,PPMT('Assumptions (Nuclear)'!$V$6,Model!AC$1,'Assumptions (Nuclear)'!$V$9,'Assumptions (Nuclear)'!$V$4*Model!$F$1110*AVERAGE('Assumptions (Nuclear)'!$B$2:$D$2)/10^9),0)</f>
        <v>0</v>
      </c>
      <c r="M1170" s="105">
        <f>IF($F$1110&gt;0,PPMT('Assumptions (Nuclear)'!$V$6,Model!AD$1,'Assumptions (Nuclear)'!$V$9,'Assumptions (Nuclear)'!$V$4*Model!$F$1110*AVERAGE('Assumptions (Nuclear)'!$B$2:$D$2)/10^9),0)</f>
        <v>0</v>
      </c>
      <c r="N1170" s="91">
        <f>IF($F$1110&gt;0,PPMT('Assumptions (Nuclear)'!$V$6,Model!AE$1,'Assumptions (Nuclear)'!$V$9,'Assumptions (Nuclear)'!$V$4*Model!$F$1110*AVERAGE('Assumptions (Nuclear)'!$B$2:$D$2)/10^9),0)</f>
        <v>0</v>
      </c>
      <c r="O1170" s="105">
        <f>IF($F$1110&gt;0,PPMT('Assumptions (Nuclear)'!$V$6,Model!AF$1,'Assumptions (Nuclear)'!$V$9,'Assumptions (Nuclear)'!$V$4*Model!$F$1110*AVERAGE('Assumptions (Nuclear)'!$B$2:$D$2)/10^9),0)</f>
        <v>0</v>
      </c>
      <c r="P1170" s="105">
        <f>IF($F$1110&gt;0,PPMT('Assumptions (Nuclear)'!$V$6,Model!AG$1,'Assumptions (Nuclear)'!$V$9,'Assumptions (Nuclear)'!$V$4*Model!$F$1110*AVERAGE('Assumptions (Nuclear)'!$B$2:$D$2)/10^9),0)</f>
        <v>0</v>
      </c>
      <c r="Q1170" s="105">
        <f>IF($F$1110&gt;0,PPMT('Assumptions (Nuclear)'!$V$6,Model!AH$1,'Assumptions (Nuclear)'!$V$9,'Assumptions (Nuclear)'!$V$4*Model!$F$1110*AVERAGE('Assumptions (Nuclear)'!$B$2:$D$2)/10^9),0)</f>
        <v>0</v>
      </c>
      <c r="R1170" s="105">
        <f>IF($F$1110&gt;0,PPMT('Assumptions (Nuclear)'!$V$6,Model!AI$1,'Assumptions (Nuclear)'!$V$9,'Assumptions (Nuclear)'!$V$4*Model!$F$1110*AVERAGE('Assumptions (Nuclear)'!$B$2:$D$2)/10^9),0)</f>
        <v>0</v>
      </c>
      <c r="S1170" s="105">
        <f>IF($F$1110&gt;0,PPMT('Assumptions (Nuclear)'!$V$6,Model!AJ$1,'Assumptions (Nuclear)'!$V$9,'Assumptions (Nuclear)'!$V$4*Model!$F$1110*AVERAGE('Assumptions (Nuclear)'!$B$2:$D$2)/10^9),0)</f>
        <v>0</v>
      </c>
      <c r="T1170" s="105">
        <f>IF($F$1110&gt;0,PPMT('Assumptions (Nuclear)'!$V$6,Model!AK$1,'Assumptions (Nuclear)'!$V$9,'Assumptions (Nuclear)'!$V$4*Model!$F$1110*AVERAGE('Assumptions (Nuclear)'!$B$2:$D$2)/10^9),0)</f>
        <v>0</v>
      </c>
      <c r="U1170" s="105"/>
      <c r="V1170" s="105"/>
      <c r="W1170" s="105"/>
      <c r="X1170" s="105"/>
      <c r="Y1170" s="105"/>
      <c r="Z1170" s="105"/>
      <c r="AA1170" s="105"/>
      <c r="AB1170" s="105"/>
      <c r="AC1170" s="105"/>
      <c r="AD1170" s="105"/>
      <c r="AE1170" s="105"/>
      <c r="AF1170" s="105"/>
      <c r="AG1170" s="105"/>
      <c r="AU1170" s="147"/>
      <c r="AV1170" s="147"/>
      <c r="AW1170" s="147"/>
      <c r="AX1170" s="147"/>
      <c r="AY1170" s="147"/>
      <c r="AZ1170" s="147"/>
      <c r="BA1170" s="147"/>
    </row>
    <row r="1171" spans="1:53" ht="15.75" hidden="1" customHeight="1" outlineLevel="1">
      <c r="A1171" s="407"/>
      <c r="B1171" s="99"/>
      <c r="C1171" s="105"/>
      <c r="D1171" s="105"/>
      <c r="E1171" s="105"/>
      <c r="F1171" s="105"/>
      <c r="G1171" s="105">
        <f>IF($G$1110&gt;0,PPMT('Assumptions (Nuclear)'!$V$6,Model!W$1,'Assumptions (Nuclear)'!$V$9,'Assumptions (Nuclear)'!$V$4*Model!$G$1110*AVERAGE('Assumptions (Nuclear)'!$B$2:$E$2)/10^9),0)</f>
        <v>0</v>
      </c>
      <c r="H1171" s="105">
        <f>IF($G$1110&gt;0,PPMT('Assumptions (Nuclear)'!$V$6,Model!X$1,'Assumptions (Nuclear)'!$V$9,'Assumptions (Nuclear)'!$V$4*Model!$G$1110*AVERAGE('Assumptions (Nuclear)'!$B$2:$E$2)/10^9),0)</f>
        <v>0</v>
      </c>
      <c r="I1171" s="105">
        <f>IF($G$1110&gt;0,PPMT('Assumptions (Nuclear)'!$V$6,Model!Y$1,'Assumptions (Nuclear)'!$V$9,'Assumptions (Nuclear)'!$V$4*Model!$G$1110*AVERAGE('Assumptions (Nuclear)'!$B$2:$E$2)/10^9),0)</f>
        <v>0</v>
      </c>
      <c r="J1171" s="105">
        <f>IF($G$1110&gt;0,PPMT('Assumptions (Nuclear)'!$V$6,Model!Z$1,'Assumptions (Nuclear)'!$V$9,'Assumptions (Nuclear)'!$V$4*Model!$G$1110*AVERAGE('Assumptions (Nuclear)'!$B$2:$E$2)/10^9),0)</f>
        <v>0</v>
      </c>
      <c r="K1171" s="105">
        <f>IF($G$1110&gt;0,PPMT('Assumptions (Nuclear)'!$V$6,Model!AA$1,'Assumptions (Nuclear)'!$V$9,'Assumptions (Nuclear)'!$V$4*Model!$G$1110*AVERAGE('Assumptions (Nuclear)'!$B$2:$E$2)/10^9),0)</f>
        <v>0</v>
      </c>
      <c r="L1171" s="105">
        <f>IF($G$1110&gt;0,PPMT('Assumptions (Nuclear)'!$V$6,Model!AB$1,'Assumptions (Nuclear)'!$V$9,'Assumptions (Nuclear)'!$V$4*Model!$G$1110*AVERAGE('Assumptions (Nuclear)'!$B$2:$E$2)/10^9),0)</f>
        <v>0</v>
      </c>
      <c r="M1171" s="105">
        <f>IF($G$1110&gt;0,PPMT('Assumptions (Nuclear)'!$V$6,Model!AC$1,'Assumptions (Nuclear)'!$V$9,'Assumptions (Nuclear)'!$V$4*Model!$G$1110*AVERAGE('Assumptions (Nuclear)'!$B$2:$E$2)/10^9),0)</f>
        <v>0</v>
      </c>
      <c r="N1171" s="91">
        <f>IF($G$1110&gt;0,PPMT('Assumptions (Nuclear)'!$V$6,Model!AD$1,'Assumptions (Nuclear)'!$V$9,'Assumptions (Nuclear)'!$V$4*Model!$G$1110*AVERAGE('Assumptions (Nuclear)'!$B$2:$E$2)/10^9),0)</f>
        <v>0</v>
      </c>
      <c r="O1171" s="105">
        <f>IF($G$1110&gt;0,PPMT('Assumptions (Nuclear)'!$V$6,Model!AE$1,'Assumptions (Nuclear)'!$V$9,'Assumptions (Nuclear)'!$V$4*Model!$G$1110*AVERAGE('Assumptions (Nuclear)'!$B$2:$E$2)/10^9),0)</f>
        <v>0</v>
      </c>
      <c r="P1171" s="105">
        <f>IF($G$1110&gt;0,PPMT('Assumptions (Nuclear)'!$V$6,Model!AF$1,'Assumptions (Nuclear)'!$V$9,'Assumptions (Nuclear)'!$V$4*Model!$G$1110*AVERAGE('Assumptions (Nuclear)'!$B$2:$E$2)/10^9),0)</f>
        <v>0</v>
      </c>
      <c r="Q1171" s="105">
        <f>IF($G$1110&gt;0,PPMT('Assumptions (Nuclear)'!$V$6,Model!AG$1,'Assumptions (Nuclear)'!$V$9,'Assumptions (Nuclear)'!$V$4*Model!$G$1110*AVERAGE('Assumptions (Nuclear)'!$B$2:$E$2)/10^9),0)</f>
        <v>0</v>
      </c>
      <c r="R1171" s="105">
        <f>IF($G$1110&gt;0,PPMT('Assumptions (Nuclear)'!$V$6,Model!AH$1,'Assumptions (Nuclear)'!$V$9,'Assumptions (Nuclear)'!$V$4*Model!$G$1110*AVERAGE('Assumptions (Nuclear)'!$B$2:$E$2)/10^9),0)</f>
        <v>0</v>
      </c>
      <c r="S1171" s="105">
        <f>IF($G$1110&gt;0,PPMT('Assumptions (Nuclear)'!$V$6,Model!AI$1,'Assumptions (Nuclear)'!$V$9,'Assumptions (Nuclear)'!$V$4*Model!$G$1110*AVERAGE('Assumptions (Nuclear)'!$B$2:$E$2)/10^9),0)</f>
        <v>0</v>
      </c>
      <c r="T1171" s="105">
        <f>IF($G$1110&gt;0,PPMT('Assumptions (Nuclear)'!$V$6,Model!AJ$1,'Assumptions (Nuclear)'!$V$9,'Assumptions (Nuclear)'!$V$4*Model!$G$1110*AVERAGE('Assumptions (Nuclear)'!$B$2:$E$2)/10^9),0)</f>
        <v>0</v>
      </c>
      <c r="U1171" s="105">
        <f>IF($G$1110&gt;0,PPMT('Assumptions (Nuclear)'!$V$6,Model!AK$1,'Assumptions (Nuclear)'!$V$9,'Assumptions (Nuclear)'!$V$4*Model!$G$1110*AVERAGE('Assumptions (Nuclear)'!$B$2:$E$2)/10^9),0)</f>
        <v>0</v>
      </c>
      <c r="V1171" s="105"/>
      <c r="W1171" s="105"/>
      <c r="X1171" s="105"/>
      <c r="Y1171" s="105"/>
      <c r="Z1171" s="105"/>
      <c r="AA1171" s="105"/>
      <c r="AB1171" s="105"/>
      <c r="AC1171" s="105"/>
      <c r="AD1171" s="105"/>
      <c r="AE1171" s="105"/>
      <c r="AF1171" s="105"/>
      <c r="AG1171" s="105"/>
      <c r="AU1171" s="147"/>
      <c r="AV1171" s="147"/>
      <c r="AW1171" s="147"/>
      <c r="AX1171" s="147"/>
      <c r="AY1171" s="147"/>
      <c r="AZ1171" s="147"/>
      <c r="BA1171" s="147"/>
    </row>
    <row r="1172" spans="1:53" ht="15.75" hidden="1" customHeight="1" outlineLevel="1">
      <c r="A1172" s="407"/>
      <c r="B1172" s="99"/>
      <c r="C1172" s="105"/>
      <c r="D1172" s="105"/>
      <c r="E1172" s="105"/>
      <c r="F1172" s="105"/>
      <c r="G1172" s="105"/>
      <c r="H1172" s="105">
        <f>IF($H$1110&gt;0,PPMT('Assumptions (Nuclear)'!$V$6,Model!W$1,'Assumptions (Nuclear)'!$V$9,'Assumptions (Nuclear)'!$V$4*Model!$H$1110*AVERAGE('Assumptions (Nuclear)'!$B$2:$F$2)/10^9),0)</f>
        <v>0</v>
      </c>
      <c r="I1172" s="105">
        <f>IF($H$1110&gt;0,PPMT('Assumptions (Nuclear)'!$V$6,Model!X$1,'Assumptions (Nuclear)'!$V$9,'Assumptions (Nuclear)'!$V$4*Model!$H$1110*AVERAGE('Assumptions (Nuclear)'!$B$2:$F$2)/10^9),0)</f>
        <v>0</v>
      </c>
      <c r="J1172" s="105">
        <f>IF($H$1110&gt;0,PPMT('Assumptions (Nuclear)'!$V$6,Model!Y$1,'Assumptions (Nuclear)'!$V$9,'Assumptions (Nuclear)'!$V$4*Model!$H$1110*AVERAGE('Assumptions (Nuclear)'!$B$2:$F$2)/10^9),0)</f>
        <v>0</v>
      </c>
      <c r="K1172" s="105">
        <f>IF($H$1110&gt;0,PPMT('Assumptions (Nuclear)'!$V$6,Model!Z$1,'Assumptions (Nuclear)'!$V$9,'Assumptions (Nuclear)'!$V$4*Model!$H$1110*AVERAGE('Assumptions (Nuclear)'!$B$2:$F$2)/10^9),0)</f>
        <v>0</v>
      </c>
      <c r="L1172" s="105">
        <f>IF($H$1110&gt;0,PPMT('Assumptions (Nuclear)'!$V$6,Model!AA$1,'Assumptions (Nuclear)'!$V$9,'Assumptions (Nuclear)'!$V$4*Model!$H$1110*AVERAGE('Assumptions (Nuclear)'!$B$2:$F$2)/10^9),0)</f>
        <v>0</v>
      </c>
      <c r="M1172" s="105">
        <f>IF($H$1110&gt;0,PPMT('Assumptions (Nuclear)'!$V$6,Model!AB$1,'Assumptions (Nuclear)'!$V$9,'Assumptions (Nuclear)'!$V$4*Model!$H$1110*AVERAGE('Assumptions (Nuclear)'!$B$2:$F$2)/10^9),0)</f>
        <v>0</v>
      </c>
      <c r="N1172" s="91">
        <f>IF($H$1110&gt;0,PPMT('Assumptions (Nuclear)'!$V$6,Model!AC$1,'Assumptions (Nuclear)'!$V$9,'Assumptions (Nuclear)'!$V$4*Model!$H$1110*AVERAGE('Assumptions (Nuclear)'!$B$2:$F$2)/10^9),0)</f>
        <v>0</v>
      </c>
      <c r="O1172" s="105">
        <f>IF($H$1110&gt;0,PPMT('Assumptions (Nuclear)'!$V$6,Model!AD$1,'Assumptions (Nuclear)'!$V$9,'Assumptions (Nuclear)'!$V$4*Model!$H$1110*AVERAGE('Assumptions (Nuclear)'!$B$2:$F$2)/10^9),0)</f>
        <v>0</v>
      </c>
      <c r="P1172" s="105">
        <f>IF($H$1110&gt;0,PPMT('Assumptions (Nuclear)'!$V$6,Model!AE$1,'Assumptions (Nuclear)'!$V$9,'Assumptions (Nuclear)'!$V$4*Model!$H$1110*AVERAGE('Assumptions (Nuclear)'!$B$2:$F$2)/10^9),0)</f>
        <v>0</v>
      </c>
      <c r="Q1172" s="105">
        <f>IF($H$1110&gt;0,PPMT('Assumptions (Nuclear)'!$V$6,Model!AF$1,'Assumptions (Nuclear)'!$V$9,'Assumptions (Nuclear)'!$V$4*Model!$H$1110*AVERAGE('Assumptions (Nuclear)'!$B$2:$F$2)/10^9),0)</f>
        <v>0</v>
      </c>
      <c r="R1172" s="105">
        <f>IF($H$1110&gt;0,PPMT('Assumptions (Nuclear)'!$V$6,Model!AG$1,'Assumptions (Nuclear)'!$V$9,'Assumptions (Nuclear)'!$V$4*Model!$H$1110*AVERAGE('Assumptions (Nuclear)'!$B$2:$F$2)/10^9),0)</f>
        <v>0</v>
      </c>
      <c r="S1172" s="105">
        <f>IF($H$1110&gt;0,PPMT('Assumptions (Nuclear)'!$V$6,Model!AH$1,'Assumptions (Nuclear)'!$V$9,'Assumptions (Nuclear)'!$V$4*Model!$H$1110*AVERAGE('Assumptions (Nuclear)'!$B$2:$F$2)/10^9),0)</f>
        <v>0</v>
      </c>
      <c r="T1172" s="105">
        <f>IF($H$1110&gt;0,PPMT('Assumptions (Nuclear)'!$V$6,Model!AI$1,'Assumptions (Nuclear)'!$V$9,'Assumptions (Nuclear)'!$V$4*Model!$H$1110*AVERAGE('Assumptions (Nuclear)'!$B$2:$F$2)/10^9),0)</f>
        <v>0</v>
      </c>
      <c r="U1172" s="105">
        <f>IF($H$1110&gt;0,PPMT('Assumptions (Nuclear)'!$V$6,Model!AJ$1,'Assumptions (Nuclear)'!$V$9,'Assumptions (Nuclear)'!$V$4*Model!$H$1110*AVERAGE('Assumptions (Nuclear)'!$B$2:$F$2)/10^9),0)</f>
        <v>0</v>
      </c>
      <c r="V1172" s="105">
        <f>IF($H$1110&gt;0,PPMT('Assumptions (Nuclear)'!$V$6,Model!AK$1,'Assumptions (Nuclear)'!$V$9,'Assumptions (Nuclear)'!$V$4*Model!$H$1110*AVERAGE('Assumptions (Nuclear)'!$B$2:$F$2)/10^9),0)</f>
        <v>0</v>
      </c>
      <c r="W1172" s="105"/>
      <c r="X1172" s="105"/>
      <c r="Y1172" s="105"/>
      <c r="Z1172" s="105"/>
      <c r="AA1172" s="105"/>
      <c r="AB1172" s="105"/>
      <c r="AC1172" s="105"/>
      <c r="AD1172" s="105"/>
      <c r="AE1172" s="105"/>
      <c r="AF1172" s="105"/>
      <c r="AG1172" s="105"/>
      <c r="AU1172" s="147"/>
      <c r="AV1172" s="147"/>
      <c r="AW1172" s="147"/>
      <c r="AX1172" s="147"/>
      <c r="AY1172" s="147"/>
      <c r="AZ1172" s="147"/>
      <c r="BA1172" s="147"/>
    </row>
    <row r="1173" spans="1:53" ht="15.75" hidden="1" customHeight="1" outlineLevel="1">
      <c r="A1173" s="407"/>
      <c r="B1173" s="99"/>
      <c r="C1173" s="105"/>
      <c r="D1173" s="105"/>
      <c r="E1173" s="105"/>
      <c r="F1173" s="105"/>
      <c r="G1173" s="105"/>
      <c r="H1173" s="105"/>
      <c r="I1173" s="105">
        <f>IF($I$1110&gt;0,PPMT('Assumptions (Nuclear)'!$V$6,Model!W$1,'Assumptions (Nuclear)'!$V$9,'Assumptions (Nuclear)'!$V$4*Model!$I$1110*AVERAGE('Assumptions (Nuclear)'!$B$2:$G$2)/10^9),0)</f>
        <v>0</v>
      </c>
      <c r="J1173" s="105">
        <f>IF($I$1110&gt;0,PPMT('Assumptions (Nuclear)'!$V$6,Model!X$1,'Assumptions (Nuclear)'!$V$9,'Assumptions (Nuclear)'!$V$4*Model!$I$1110*AVERAGE('Assumptions (Nuclear)'!$B$2:$G$2)/10^9),0)</f>
        <v>0</v>
      </c>
      <c r="K1173" s="105">
        <f>IF($I$1110&gt;0,PPMT('Assumptions (Nuclear)'!$V$6,Model!Y$1,'Assumptions (Nuclear)'!$V$9,'Assumptions (Nuclear)'!$V$4*Model!$I$1110*AVERAGE('Assumptions (Nuclear)'!$B$2:$G$2)/10^9),0)</f>
        <v>0</v>
      </c>
      <c r="L1173" s="105">
        <f>IF($I$1110&gt;0,PPMT('Assumptions (Nuclear)'!$V$6,Model!Z$1,'Assumptions (Nuclear)'!$V$9,'Assumptions (Nuclear)'!$V$4*Model!$I$1110*AVERAGE('Assumptions (Nuclear)'!$B$2:$G$2)/10^9),0)</f>
        <v>0</v>
      </c>
      <c r="M1173" s="105">
        <f>IF($I$1110&gt;0,PPMT('Assumptions (Nuclear)'!$V$6,Model!AA$1,'Assumptions (Nuclear)'!$V$9,'Assumptions (Nuclear)'!$V$4*Model!$I$1110*AVERAGE('Assumptions (Nuclear)'!$B$2:$G$2)/10^9),0)</f>
        <v>0</v>
      </c>
      <c r="N1173" s="91">
        <f>IF($I$1110&gt;0,PPMT('Assumptions (Nuclear)'!$V$6,Model!AB$1,'Assumptions (Nuclear)'!$V$9,'Assumptions (Nuclear)'!$V$4*Model!$I$1110*AVERAGE('Assumptions (Nuclear)'!$B$2:$G$2)/10^9),0)</f>
        <v>0</v>
      </c>
      <c r="O1173" s="105">
        <f>IF($I$1110&gt;0,PPMT('Assumptions (Nuclear)'!$V$6,Model!AC$1,'Assumptions (Nuclear)'!$V$9,'Assumptions (Nuclear)'!$V$4*Model!$I$1110*AVERAGE('Assumptions (Nuclear)'!$B$2:$G$2)/10^9),0)</f>
        <v>0</v>
      </c>
      <c r="P1173" s="105">
        <f>IF($I$1110&gt;0,PPMT('Assumptions (Nuclear)'!$V$6,Model!AD$1,'Assumptions (Nuclear)'!$V$9,'Assumptions (Nuclear)'!$V$4*Model!$I$1110*AVERAGE('Assumptions (Nuclear)'!$B$2:$G$2)/10^9),0)</f>
        <v>0</v>
      </c>
      <c r="Q1173" s="105">
        <f>IF($I$1110&gt;0,PPMT('Assumptions (Nuclear)'!$V$6,Model!AE$1,'Assumptions (Nuclear)'!$V$9,'Assumptions (Nuclear)'!$V$4*Model!$I$1110*AVERAGE('Assumptions (Nuclear)'!$B$2:$G$2)/10^9),0)</f>
        <v>0</v>
      </c>
      <c r="R1173" s="105">
        <f>IF($I$1110&gt;0,PPMT('Assumptions (Nuclear)'!$V$6,Model!AF$1,'Assumptions (Nuclear)'!$V$9,'Assumptions (Nuclear)'!$V$4*Model!$I$1110*AVERAGE('Assumptions (Nuclear)'!$B$2:$G$2)/10^9),0)</f>
        <v>0</v>
      </c>
      <c r="S1173" s="105">
        <f>IF($I$1110&gt;0,PPMT('Assumptions (Nuclear)'!$V$6,Model!AG$1,'Assumptions (Nuclear)'!$V$9,'Assumptions (Nuclear)'!$V$4*Model!$I$1110*AVERAGE('Assumptions (Nuclear)'!$B$2:$G$2)/10^9),0)</f>
        <v>0</v>
      </c>
      <c r="T1173" s="105">
        <f>IF($I$1110&gt;0,PPMT('Assumptions (Nuclear)'!$V$6,Model!AH$1,'Assumptions (Nuclear)'!$V$9,'Assumptions (Nuclear)'!$V$4*Model!$I$1110*AVERAGE('Assumptions (Nuclear)'!$B$2:$G$2)/10^9),0)</f>
        <v>0</v>
      </c>
      <c r="U1173" s="105">
        <f>IF($I$1110&gt;0,PPMT('Assumptions (Nuclear)'!$V$6,Model!AI$1,'Assumptions (Nuclear)'!$V$9,'Assumptions (Nuclear)'!$V$4*Model!$I$1110*AVERAGE('Assumptions (Nuclear)'!$B$2:$G$2)/10^9),0)</f>
        <v>0</v>
      </c>
      <c r="V1173" s="105">
        <f>IF($I$1110&gt;0,PPMT('Assumptions (Nuclear)'!$V$6,Model!AJ$1,'Assumptions (Nuclear)'!$V$9,'Assumptions (Nuclear)'!$V$4*Model!$I$1110*AVERAGE('Assumptions (Nuclear)'!$B$2:$G$2)/10^9),0)</f>
        <v>0</v>
      </c>
      <c r="W1173" s="105">
        <f>IF($I$1110&gt;0,PPMT('Assumptions (Nuclear)'!$V$6,Model!AK$1,'Assumptions (Nuclear)'!$V$9,'Assumptions (Nuclear)'!$V$4*Model!$I$1110*AVERAGE('Assumptions (Nuclear)'!$B$2:$G$2)/10^9),0)</f>
        <v>0</v>
      </c>
      <c r="X1173" s="105"/>
      <c r="Y1173" s="105"/>
      <c r="Z1173" s="105"/>
      <c r="AA1173" s="105"/>
      <c r="AB1173" s="105"/>
      <c r="AC1173" s="105"/>
      <c r="AD1173" s="105"/>
      <c r="AE1173" s="105"/>
      <c r="AF1173" s="105"/>
      <c r="AG1173" s="105"/>
      <c r="AU1173" s="147"/>
      <c r="AV1173" s="147"/>
      <c r="AW1173" s="147"/>
      <c r="AX1173" s="147"/>
      <c r="AY1173" s="147"/>
      <c r="AZ1173" s="147"/>
      <c r="BA1173" s="147"/>
    </row>
    <row r="1174" spans="1:53" ht="15.75" hidden="1" customHeight="1" outlineLevel="1">
      <c r="A1174" s="407"/>
      <c r="B1174" s="99"/>
      <c r="C1174" s="105"/>
      <c r="D1174" s="105"/>
      <c r="E1174" s="105"/>
      <c r="F1174" s="105"/>
      <c r="G1174" s="105"/>
      <c r="H1174" s="105"/>
      <c r="I1174" s="105"/>
      <c r="J1174" s="105">
        <f>IF($J$1110&gt;0,PPMT('Assumptions (Nuclear)'!$V$6,Model!W$1,'Assumptions (Nuclear)'!$V$9,'Assumptions (Nuclear)'!$V$4*Model!$J$1110*AVERAGE('Assumptions (Nuclear)'!$C$2:$H$2)/10^9),0)</f>
        <v>0</v>
      </c>
      <c r="K1174" s="105">
        <f>IF($J$1110&gt;0,PPMT('Assumptions (Nuclear)'!$V$6,Model!X$1,'Assumptions (Nuclear)'!$V$9,'Assumptions (Nuclear)'!$V$4*Model!$J$1110*AVERAGE('Assumptions (Nuclear)'!$C$2:$H$2)/10^9),0)</f>
        <v>0</v>
      </c>
      <c r="L1174" s="105">
        <f>IF($J$1110&gt;0,PPMT('Assumptions (Nuclear)'!$V$6,Model!Y$1,'Assumptions (Nuclear)'!$V$9,'Assumptions (Nuclear)'!$V$4*Model!$J$1110*AVERAGE('Assumptions (Nuclear)'!$C$2:$H$2)/10^9),0)</f>
        <v>0</v>
      </c>
      <c r="M1174" s="105">
        <f>IF($J$1110&gt;0,PPMT('Assumptions (Nuclear)'!$V$6,Model!Z$1,'Assumptions (Nuclear)'!$V$9,'Assumptions (Nuclear)'!$V$4*Model!$J$1110*AVERAGE('Assumptions (Nuclear)'!$C$2:$H$2)/10^9),0)</f>
        <v>0</v>
      </c>
      <c r="N1174" s="91">
        <f>IF($J$1110&gt;0,PPMT('Assumptions (Nuclear)'!$V$6,Model!AA$1,'Assumptions (Nuclear)'!$V$9,'Assumptions (Nuclear)'!$V$4*Model!$J$1110*AVERAGE('Assumptions (Nuclear)'!$C$2:$H$2)/10^9),0)</f>
        <v>0</v>
      </c>
      <c r="O1174" s="105">
        <f>IF($J$1110&gt;0,PPMT('Assumptions (Nuclear)'!$V$6,Model!AB$1,'Assumptions (Nuclear)'!$V$9,'Assumptions (Nuclear)'!$V$4*Model!$J$1110*AVERAGE('Assumptions (Nuclear)'!$C$2:$H$2)/10^9),0)</f>
        <v>0</v>
      </c>
      <c r="P1174" s="105">
        <f>IF($J$1110&gt;0,PPMT('Assumptions (Nuclear)'!$V$6,Model!AC$1,'Assumptions (Nuclear)'!$V$9,'Assumptions (Nuclear)'!$V$4*Model!$J$1110*AVERAGE('Assumptions (Nuclear)'!$C$2:$H$2)/10^9),0)</f>
        <v>0</v>
      </c>
      <c r="Q1174" s="105">
        <f>IF($J$1110&gt;0,PPMT('Assumptions (Nuclear)'!$V$6,Model!AD$1,'Assumptions (Nuclear)'!$V$9,'Assumptions (Nuclear)'!$V$4*Model!$J$1110*AVERAGE('Assumptions (Nuclear)'!$C$2:$H$2)/10^9),0)</f>
        <v>0</v>
      </c>
      <c r="R1174" s="105">
        <f>IF($J$1110&gt;0,PPMT('Assumptions (Nuclear)'!$V$6,Model!AE$1,'Assumptions (Nuclear)'!$V$9,'Assumptions (Nuclear)'!$V$4*Model!$J$1110*AVERAGE('Assumptions (Nuclear)'!$C$2:$H$2)/10^9),0)</f>
        <v>0</v>
      </c>
      <c r="S1174" s="105">
        <f>IF($J$1110&gt;0,PPMT('Assumptions (Nuclear)'!$V$6,Model!AF$1,'Assumptions (Nuclear)'!$V$9,'Assumptions (Nuclear)'!$V$4*Model!$J$1110*AVERAGE('Assumptions (Nuclear)'!$C$2:$H$2)/10^9),0)</f>
        <v>0</v>
      </c>
      <c r="T1174" s="105">
        <f>IF($J$1110&gt;0,PPMT('Assumptions (Nuclear)'!$V$6,Model!AG$1,'Assumptions (Nuclear)'!$V$9,'Assumptions (Nuclear)'!$V$4*Model!$J$1110*AVERAGE('Assumptions (Nuclear)'!$C$2:$H$2)/10^9),0)</f>
        <v>0</v>
      </c>
      <c r="U1174" s="105">
        <f>IF($J$1110&gt;0,PPMT('Assumptions (Nuclear)'!$V$6,Model!AH$1,'Assumptions (Nuclear)'!$V$9,'Assumptions (Nuclear)'!$V$4*Model!$J$1110*AVERAGE('Assumptions (Nuclear)'!$C$2:$H$2)/10^9),0)</f>
        <v>0</v>
      </c>
      <c r="V1174" s="105">
        <f>IF($J$1110&gt;0,PPMT('Assumptions (Nuclear)'!$V$6,Model!AI$1,'Assumptions (Nuclear)'!$V$9,'Assumptions (Nuclear)'!$V$4*Model!$J$1110*AVERAGE('Assumptions (Nuclear)'!$C$2:$H$2)/10^9),0)</f>
        <v>0</v>
      </c>
      <c r="W1174" s="105">
        <f>IF($J$1110&gt;0,PPMT('Assumptions (Nuclear)'!$V$6,Model!AJ$1,'Assumptions (Nuclear)'!$V$9,'Assumptions (Nuclear)'!$V$4*Model!$J$1110*AVERAGE('Assumptions (Nuclear)'!$C$2:$H$2)/10^9),0)</f>
        <v>0</v>
      </c>
      <c r="X1174" s="105">
        <f>IF($J$1110&gt;0,PPMT('Assumptions (Nuclear)'!$V$6,Model!AK$1,'Assumptions (Nuclear)'!$V$9,'Assumptions (Nuclear)'!$V$4*Model!$J$1110*AVERAGE('Assumptions (Nuclear)'!$C$2:$H$2)/10^9),0)</f>
        <v>0</v>
      </c>
      <c r="Y1174" s="105"/>
      <c r="Z1174" s="105"/>
      <c r="AA1174" s="105"/>
      <c r="AB1174" s="105"/>
      <c r="AC1174" s="105"/>
      <c r="AD1174" s="105"/>
      <c r="AE1174" s="105"/>
      <c r="AF1174" s="105"/>
      <c r="AG1174" s="105"/>
      <c r="AH1174" s="105"/>
      <c r="AU1174" s="147"/>
      <c r="AV1174" s="147"/>
      <c r="AW1174" s="147"/>
      <c r="AX1174" s="147"/>
      <c r="AY1174" s="147"/>
      <c r="AZ1174" s="147"/>
      <c r="BA1174" s="147"/>
    </row>
    <row r="1175" spans="1:53" ht="15.75" hidden="1" customHeight="1" outlineLevel="1">
      <c r="A1175" s="407"/>
      <c r="B1175" s="99"/>
      <c r="C1175" s="105"/>
      <c r="D1175" s="105"/>
      <c r="E1175" s="105"/>
      <c r="F1175" s="105"/>
      <c r="G1175" s="105"/>
      <c r="H1175" s="105"/>
      <c r="I1175" s="105"/>
      <c r="J1175" s="105"/>
      <c r="K1175" s="105">
        <f>IF($K$1110&gt;0,PPMT('Assumptions (Nuclear)'!$V$6,Model!W$1,'Assumptions (Nuclear)'!$V$9,'Assumptions (Nuclear)'!$V$4*Model!$K$1110*AVERAGE('Assumptions (Nuclear)'!$D$2:$I$2)/10^9),0)</f>
        <v>0</v>
      </c>
      <c r="L1175" s="105">
        <f>IF($K$1110&gt;0,PPMT('Assumptions (Nuclear)'!$V$6,Model!X$1,'Assumptions (Nuclear)'!$V$9,'Assumptions (Nuclear)'!$V$4*Model!$K$1110*AVERAGE('Assumptions (Nuclear)'!$D$2:$I$2)/10^9),0)</f>
        <v>0</v>
      </c>
      <c r="M1175" s="105">
        <f>IF($K$1110&gt;0,PPMT('Assumptions (Nuclear)'!$V$6,Model!Y$1,'Assumptions (Nuclear)'!$V$9,'Assumptions (Nuclear)'!$V$4*Model!$K$1110*AVERAGE('Assumptions (Nuclear)'!$D$2:$I$2)/10^9),0)</f>
        <v>0</v>
      </c>
      <c r="N1175" s="91">
        <f>IF($K$1110&gt;0,PPMT('Assumptions (Nuclear)'!$V$6,Model!Z$1,'Assumptions (Nuclear)'!$V$9,'Assumptions (Nuclear)'!$V$4*Model!$K$1110*AVERAGE('Assumptions (Nuclear)'!$D$2:$I$2)/10^9),0)</f>
        <v>0</v>
      </c>
      <c r="O1175" s="105">
        <f>IF($K$1110&gt;0,PPMT('Assumptions (Nuclear)'!$V$6,Model!AA$1,'Assumptions (Nuclear)'!$V$9,'Assumptions (Nuclear)'!$V$4*Model!$K$1110*AVERAGE('Assumptions (Nuclear)'!$D$2:$I$2)/10^9),0)</f>
        <v>0</v>
      </c>
      <c r="P1175" s="105">
        <f>IF($K$1110&gt;0,PPMT('Assumptions (Nuclear)'!$V$6,Model!AB$1,'Assumptions (Nuclear)'!$V$9,'Assumptions (Nuclear)'!$V$4*Model!$K$1110*AVERAGE('Assumptions (Nuclear)'!$D$2:$I$2)/10^9),0)</f>
        <v>0</v>
      </c>
      <c r="Q1175" s="105">
        <f>IF($K$1110&gt;0,PPMT('Assumptions (Nuclear)'!$V$6,Model!AC$1,'Assumptions (Nuclear)'!$V$9,'Assumptions (Nuclear)'!$V$4*Model!$K$1110*AVERAGE('Assumptions (Nuclear)'!$D$2:$I$2)/10^9),0)</f>
        <v>0</v>
      </c>
      <c r="R1175" s="105">
        <f>IF($K$1110&gt;0,PPMT('Assumptions (Nuclear)'!$V$6,Model!AD$1,'Assumptions (Nuclear)'!$V$9,'Assumptions (Nuclear)'!$V$4*Model!$K$1110*AVERAGE('Assumptions (Nuclear)'!$D$2:$I$2)/10^9),0)</f>
        <v>0</v>
      </c>
      <c r="S1175" s="105">
        <f>IF($K$1110&gt;0,PPMT('Assumptions (Nuclear)'!$V$6,Model!AE$1,'Assumptions (Nuclear)'!$V$9,'Assumptions (Nuclear)'!$V$4*Model!$K$1110*AVERAGE('Assumptions (Nuclear)'!$D$2:$I$2)/10^9),0)</f>
        <v>0</v>
      </c>
      <c r="T1175" s="105">
        <f>IF($K$1110&gt;0,PPMT('Assumptions (Nuclear)'!$V$6,Model!AF$1,'Assumptions (Nuclear)'!$V$9,'Assumptions (Nuclear)'!$V$4*Model!$K$1110*AVERAGE('Assumptions (Nuclear)'!$D$2:$I$2)/10^9),0)</f>
        <v>0</v>
      </c>
      <c r="U1175" s="105">
        <f>IF($K$1110&gt;0,PPMT('Assumptions (Nuclear)'!$V$6,Model!AG$1,'Assumptions (Nuclear)'!$V$9,'Assumptions (Nuclear)'!$V$4*Model!$K$1110*AVERAGE('Assumptions (Nuclear)'!$D$2:$I$2)/10^9),0)</f>
        <v>0</v>
      </c>
      <c r="V1175" s="105">
        <f>IF($K$1110&gt;0,PPMT('Assumptions (Nuclear)'!$V$6,Model!AH$1,'Assumptions (Nuclear)'!$V$9,'Assumptions (Nuclear)'!$V$4*Model!$K$1110*AVERAGE('Assumptions (Nuclear)'!$D$2:$I$2)/10^9),0)</f>
        <v>0</v>
      </c>
      <c r="W1175" s="105">
        <f>IF($K$1110&gt;0,PPMT('Assumptions (Nuclear)'!$V$6,Model!AI$1,'Assumptions (Nuclear)'!$V$9,'Assumptions (Nuclear)'!$V$4*Model!$K$1110*AVERAGE('Assumptions (Nuclear)'!$D$2:$I$2)/10^9),0)</f>
        <v>0</v>
      </c>
      <c r="X1175" s="105">
        <f>IF($K$1110&gt;0,PPMT('Assumptions (Nuclear)'!$V$6,Model!AJ$1,'Assumptions (Nuclear)'!$V$9,'Assumptions (Nuclear)'!$V$4*Model!$K$1110*AVERAGE('Assumptions (Nuclear)'!$D$2:$I$2)/10^9),0)</f>
        <v>0</v>
      </c>
      <c r="Y1175" s="105">
        <f>IF($K$1110&gt;0,PPMT('Assumptions (Nuclear)'!$V$6,Model!AK$1,'Assumptions (Nuclear)'!$V$9,'Assumptions (Nuclear)'!$V$4*Model!$K$1110*AVERAGE('Assumptions (Nuclear)'!$D$2:$I$2)/10^9),0)</f>
        <v>0</v>
      </c>
      <c r="Z1175" s="105"/>
      <c r="AA1175" s="105"/>
      <c r="AB1175" s="105"/>
      <c r="AC1175" s="105"/>
      <c r="AD1175" s="105"/>
      <c r="AE1175" s="105"/>
      <c r="AF1175" s="105"/>
      <c r="AG1175" s="105"/>
      <c r="AH1175" s="105"/>
      <c r="AI1175" s="105"/>
      <c r="AU1175" s="147"/>
      <c r="AV1175" s="147"/>
      <c r="AW1175" s="147"/>
      <c r="AX1175" s="147"/>
      <c r="AY1175" s="147"/>
      <c r="AZ1175" s="147"/>
      <c r="BA1175" s="147"/>
    </row>
    <row r="1176" spans="1:53" ht="15.75" hidden="1" customHeight="1" outlineLevel="1">
      <c r="A1176" s="407"/>
      <c r="B1176" s="99"/>
      <c r="C1176" s="105"/>
      <c r="D1176" s="105"/>
      <c r="E1176" s="105"/>
      <c r="F1176" s="105"/>
      <c r="G1176" s="105"/>
      <c r="H1176" s="105"/>
      <c r="I1176" s="105"/>
      <c r="J1176" s="105"/>
      <c r="K1176" s="105"/>
      <c r="L1176" s="105">
        <f>IF($L$1110&gt;0,PPMT('Assumptions (Nuclear)'!$V$6,Model!W$1,'Assumptions (Nuclear)'!$V$9,'Assumptions (Nuclear)'!$V$4*Model!$L$1110*AVERAGE('Assumptions (Nuclear)'!$E$2:$J$2)/10^9),0)</f>
        <v>0</v>
      </c>
      <c r="M1176" s="105">
        <f>IF($L$1110&gt;0,PPMT('Assumptions (Nuclear)'!$V$6,Model!X$1,'Assumptions (Nuclear)'!$V$9,'Assumptions (Nuclear)'!$V$4*Model!$L$1110*AVERAGE('Assumptions (Nuclear)'!$E$2:$J$2)/10^9),0)</f>
        <v>0</v>
      </c>
      <c r="N1176" s="91">
        <f>IF($L$1110&gt;0,PPMT('Assumptions (Nuclear)'!$V$6,Model!Y$1,'Assumptions (Nuclear)'!$V$9,'Assumptions (Nuclear)'!$V$4*Model!$L$1110*AVERAGE('Assumptions (Nuclear)'!$E$2:$J$2)/10^9),0)</f>
        <v>0</v>
      </c>
      <c r="O1176" s="105">
        <f>IF($L$1110&gt;0,PPMT('Assumptions (Nuclear)'!$V$6,Model!Z$1,'Assumptions (Nuclear)'!$V$9,'Assumptions (Nuclear)'!$V$4*Model!$L$1110*AVERAGE('Assumptions (Nuclear)'!$E$2:$J$2)/10^9),0)</f>
        <v>0</v>
      </c>
      <c r="P1176" s="105">
        <f>IF($L$1110&gt;0,PPMT('Assumptions (Nuclear)'!$V$6,Model!AA$1,'Assumptions (Nuclear)'!$V$9,'Assumptions (Nuclear)'!$V$4*Model!$L$1110*AVERAGE('Assumptions (Nuclear)'!$E$2:$J$2)/10^9),0)</f>
        <v>0</v>
      </c>
      <c r="Q1176" s="105">
        <f>IF($L$1110&gt;0,PPMT('Assumptions (Nuclear)'!$V$6,Model!AB$1,'Assumptions (Nuclear)'!$V$9,'Assumptions (Nuclear)'!$V$4*Model!$L$1110*AVERAGE('Assumptions (Nuclear)'!$E$2:$J$2)/10^9),0)</f>
        <v>0</v>
      </c>
      <c r="R1176" s="105">
        <f>IF($L$1110&gt;0,PPMT('Assumptions (Nuclear)'!$V$6,Model!AC$1,'Assumptions (Nuclear)'!$V$9,'Assumptions (Nuclear)'!$V$4*Model!$L$1110*AVERAGE('Assumptions (Nuclear)'!$E$2:$J$2)/10^9),0)</f>
        <v>0</v>
      </c>
      <c r="S1176" s="105">
        <f>IF($L$1110&gt;0,PPMT('Assumptions (Nuclear)'!$V$6,Model!AD$1,'Assumptions (Nuclear)'!$V$9,'Assumptions (Nuclear)'!$V$4*Model!$L$1110*AVERAGE('Assumptions (Nuclear)'!$E$2:$J$2)/10^9),0)</f>
        <v>0</v>
      </c>
      <c r="T1176" s="105">
        <f>IF($L$1110&gt;0,PPMT('Assumptions (Nuclear)'!$V$6,Model!AE$1,'Assumptions (Nuclear)'!$V$9,'Assumptions (Nuclear)'!$V$4*Model!$L$1110*AVERAGE('Assumptions (Nuclear)'!$E$2:$J$2)/10^9),0)</f>
        <v>0</v>
      </c>
      <c r="U1176" s="105">
        <f>IF($L$1110&gt;0,PPMT('Assumptions (Nuclear)'!$V$6,Model!AF$1,'Assumptions (Nuclear)'!$V$9,'Assumptions (Nuclear)'!$V$4*Model!$L$1110*AVERAGE('Assumptions (Nuclear)'!$E$2:$J$2)/10^9),0)</f>
        <v>0</v>
      </c>
      <c r="V1176" s="105">
        <f>IF($L$1110&gt;0,PPMT('Assumptions (Nuclear)'!$V$6,Model!AG$1,'Assumptions (Nuclear)'!$V$9,'Assumptions (Nuclear)'!$V$4*Model!$L$1110*AVERAGE('Assumptions (Nuclear)'!$E$2:$J$2)/10^9),0)</f>
        <v>0</v>
      </c>
      <c r="W1176" s="105">
        <f>IF($L$1110&gt;0,PPMT('Assumptions (Nuclear)'!$V$6,Model!AH$1,'Assumptions (Nuclear)'!$V$9,'Assumptions (Nuclear)'!$V$4*Model!$L$1110*AVERAGE('Assumptions (Nuclear)'!$E$2:$J$2)/10^9),0)</f>
        <v>0</v>
      </c>
      <c r="X1176" s="105">
        <f>IF($L$1110&gt;0,PPMT('Assumptions (Nuclear)'!$V$6,Model!AI$1,'Assumptions (Nuclear)'!$V$9,'Assumptions (Nuclear)'!$V$4*Model!$L$1110*AVERAGE('Assumptions (Nuclear)'!$E$2:$J$2)/10^9),0)</f>
        <v>0</v>
      </c>
      <c r="Y1176" s="105">
        <f>IF($L$1110&gt;0,PPMT('Assumptions (Nuclear)'!$V$6,Model!AJ$1,'Assumptions (Nuclear)'!$V$9,'Assumptions (Nuclear)'!$V$4*Model!$L$1110*AVERAGE('Assumptions (Nuclear)'!$E$2:$J$2)/10^9),0)</f>
        <v>0</v>
      </c>
      <c r="Z1176" s="105">
        <f>IF($L$1110&gt;0,PPMT('Assumptions (Nuclear)'!$V$6,Model!AK$1,'Assumptions (Nuclear)'!$V$9,'Assumptions (Nuclear)'!$V$4*Model!$L$1110*AVERAGE('Assumptions (Nuclear)'!$E$2:$J$2)/10^9),0)</f>
        <v>0</v>
      </c>
      <c r="AA1176" s="105"/>
      <c r="AB1176" s="105"/>
      <c r="AC1176" s="105"/>
      <c r="AD1176" s="105"/>
      <c r="AE1176" s="105"/>
      <c r="AF1176" s="105"/>
      <c r="AG1176" s="105"/>
      <c r="AH1176" s="105"/>
      <c r="AI1176" s="105"/>
      <c r="AJ1176" s="105"/>
      <c r="AU1176" s="147"/>
      <c r="AV1176" s="147"/>
      <c r="AW1176" s="147"/>
      <c r="AX1176" s="147"/>
      <c r="AY1176" s="147"/>
      <c r="AZ1176" s="147"/>
      <c r="BA1176" s="147"/>
    </row>
    <row r="1177" spans="1:53" ht="15.75" hidden="1" customHeight="1" outlineLevel="1">
      <c r="A1177" s="407"/>
      <c r="B1177" s="99"/>
      <c r="C1177" s="105"/>
      <c r="D1177" s="105"/>
      <c r="E1177" s="105"/>
      <c r="F1177" s="105"/>
      <c r="G1177" s="105"/>
      <c r="H1177" s="105"/>
      <c r="I1177" s="105"/>
      <c r="J1177" s="105"/>
      <c r="K1177" s="105"/>
      <c r="L1177" s="105"/>
      <c r="M1177" s="105">
        <f>IF($M$1110&gt;0,PPMT('Assumptions (Nuclear)'!$V$6,Model!W$1,'Assumptions (Nuclear)'!$V$9,'Assumptions (Nuclear)'!$V$4*Model!$M$1110*AVERAGE('Assumptions (Nuclear)'!$F$2:$K$2)/10^9),0)</f>
        <v>0</v>
      </c>
      <c r="N1177" s="91">
        <f>IF($M$1110&gt;0,PPMT('Assumptions (Nuclear)'!$V$6,Model!X$1,'Assumptions (Nuclear)'!$V$9,'Assumptions (Nuclear)'!$V$4*Model!$M$1110*AVERAGE('Assumptions (Nuclear)'!$F$2:$K$2)/10^9),0)</f>
        <v>0</v>
      </c>
      <c r="O1177" s="105">
        <f>IF($M$1110&gt;0,PPMT('Assumptions (Nuclear)'!$V$6,Model!Y$1,'Assumptions (Nuclear)'!$V$9,'Assumptions (Nuclear)'!$V$4*Model!$M$1110*AVERAGE('Assumptions (Nuclear)'!$F$2:$K$2)/10^9),0)</f>
        <v>0</v>
      </c>
      <c r="P1177" s="105">
        <f>IF($M$1110&gt;0,PPMT('Assumptions (Nuclear)'!$V$6,Model!Z$1,'Assumptions (Nuclear)'!$V$9,'Assumptions (Nuclear)'!$V$4*Model!$M$1110*AVERAGE('Assumptions (Nuclear)'!$F$2:$K$2)/10^9),0)</f>
        <v>0</v>
      </c>
      <c r="Q1177" s="105">
        <f>IF($M$1110&gt;0,PPMT('Assumptions (Nuclear)'!$V$6,Model!AA$1,'Assumptions (Nuclear)'!$V$9,'Assumptions (Nuclear)'!$V$4*Model!$M$1110*AVERAGE('Assumptions (Nuclear)'!$F$2:$K$2)/10^9),0)</f>
        <v>0</v>
      </c>
      <c r="R1177" s="105">
        <f>IF($M$1110&gt;0,PPMT('Assumptions (Nuclear)'!$V$6,Model!AB$1,'Assumptions (Nuclear)'!$V$9,'Assumptions (Nuclear)'!$V$4*Model!$M$1110*AVERAGE('Assumptions (Nuclear)'!$F$2:$K$2)/10^9),0)</f>
        <v>0</v>
      </c>
      <c r="S1177" s="105">
        <f>IF($M$1110&gt;0,PPMT('Assumptions (Nuclear)'!$V$6,Model!AC$1,'Assumptions (Nuclear)'!$V$9,'Assumptions (Nuclear)'!$V$4*Model!$M$1110*AVERAGE('Assumptions (Nuclear)'!$F$2:$K$2)/10^9),0)</f>
        <v>0</v>
      </c>
      <c r="T1177" s="105">
        <f>IF($M$1110&gt;0,PPMT('Assumptions (Nuclear)'!$V$6,Model!AD$1,'Assumptions (Nuclear)'!$V$9,'Assumptions (Nuclear)'!$V$4*Model!$M$1110*AVERAGE('Assumptions (Nuclear)'!$F$2:$K$2)/10^9),0)</f>
        <v>0</v>
      </c>
      <c r="U1177" s="105">
        <f>IF($M$1110&gt;0,PPMT('Assumptions (Nuclear)'!$V$6,Model!AE$1,'Assumptions (Nuclear)'!$V$9,'Assumptions (Nuclear)'!$V$4*Model!$M$1110*AVERAGE('Assumptions (Nuclear)'!$F$2:$K$2)/10^9),0)</f>
        <v>0</v>
      </c>
      <c r="V1177" s="105">
        <f>IF($M$1110&gt;0,PPMT('Assumptions (Nuclear)'!$V$6,Model!AF$1,'Assumptions (Nuclear)'!$V$9,'Assumptions (Nuclear)'!$V$4*Model!$M$1110*AVERAGE('Assumptions (Nuclear)'!$F$2:$K$2)/10^9),0)</f>
        <v>0</v>
      </c>
      <c r="W1177" s="105">
        <f>IF($M$1110&gt;0,PPMT('Assumptions (Nuclear)'!$V$6,Model!AG$1,'Assumptions (Nuclear)'!$V$9,'Assumptions (Nuclear)'!$V$4*Model!$M$1110*AVERAGE('Assumptions (Nuclear)'!$F$2:$K$2)/10^9),0)</f>
        <v>0</v>
      </c>
      <c r="X1177" s="105">
        <f>IF($M$1110&gt;0,PPMT('Assumptions (Nuclear)'!$V$6,Model!AH$1,'Assumptions (Nuclear)'!$V$9,'Assumptions (Nuclear)'!$V$4*Model!$M$1110*AVERAGE('Assumptions (Nuclear)'!$F$2:$K$2)/10^9),0)</f>
        <v>0</v>
      </c>
      <c r="Y1177" s="105">
        <f>IF($M$1110&gt;0,PPMT('Assumptions (Nuclear)'!$V$6,Model!AI$1,'Assumptions (Nuclear)'!$V$9,'Assumptions (Nuclear)'!$V$4*Model!$M$1110*AVERAGE('Assumptions (Nuclear)'!$F$2:$K$2)/10^9),0)</f>
        <v>0</v>
      </c>
      <c r="Z1177" s="105">
        <f>IF($M$1110&gt;0,PPMT('Assumptions (Nuclear)'!$V$6,Model!AJ$1,'Assumptions (Nuclear)'!$V$9,'Assumptions (Nuclear)'!$V$4*Model!$M$1110*AVERAGE('Assumptions (Nuclear)'!$F$2:$K$2)/10^9),0)</f>
        <v>0</v>
      </c>
      <c r="AA1177" s="105">
        <f>IF($M$1110&gt;0,PPMT('Assumptions (Nuclear)'!$V$6,Model!AK$1,'Assumptions (Nuclear)'!$V$9,'Assumptions (Nuclear)'!$V$4*Model!$M$1110*AVERAGE('Assumptions (Nuclear)'!$F$2:$K$2)/10^9),0)</f>
        <v>0</v>
      </c>
      <c r="AB1177" s="105"/>
      <c r="AC1177" s="105"/>
      <c r="AD1177" s="105"/>
      <c r="AE1177" s="105"/>
      <c r="AF1177" s="105"/>
      <c r="AG1177" s="105"/>
      <c r="AH1177" s="105"/>
      <c r="AI1177" s="105"/>
      <c r="AJ1177" s="105"/>
      <c r="AK1177" s="105"/>
      <c r="AU1177" s="147"/>
      <c r="AV1177" s="147"/>
      <c r="AW1177" s="147"/>
      <c r="AX1177" s="147"/>
      <c r="AY1177" s="147"/>
      <c r="AZ1177" s="147"/>
      <c r="BA1177" s="147"/>
    </row>
    <row r="1178" spans="1:53" ht="15.75" hidden="1" customHeight="1" outlineLevel="1">
      <c r="A1178" s="407"/>
      <c r="B1178" s="99"/>
      <c r="C1178" s="105"/>
      <c r="D1178" s="105"/>
      <c r="E1178" s="105"/>
      <c r="F1178" s="105"/>
      <c r="G1178" s="105"/>
      <c r="H1178" s="105"/>
      <c r="I1178" s="105"/>
      <c r="J1178" s="105"/>
      <c r="K1178" s="105"/>
      <c r="L1178" s="105"/>
      <c r="M1178" s="105"/>
      <c r="N1178" s="91">
        <f>IF($N$1110&gt;0,PPMT('Assumptions (Nuclear)'!$V$6,Model!W$1,'Assumptions (Nuclear)'!$V$9,'Assumptions (Nuclear)'!$V$4*Model!$N$1110*AVERAGE('Assumptions (Nuclear)'!$G$2:$L$2)/10^9),0)</f>
        <v>0</v>
      </c>
      <c r="O1178" s="105">
        <f>IF($N$1110&gt;0,PPMT('Assumptions (Nuclear)'!$V$6,Model!X$1,'Assumptions (Nuclear)'!$V$9,'Assumptions (Nuclear)'!$V$4*Model!$N$1110*AVERAGE('Assumptions (Nuclear)'!$G$2:$L$2)/10^9),0)</f>
        <v>0</v>
      </c>
      <c r="P1178" s="105">
        <f>IF($N$1110&gt;0,PPMT('Assumptions (Nuclear)'!$V$6,Model!Y$1,'Assumptions (Nuclear)'!$V$9,'Assumptions (Nuclear)'!$V$4*Model!$N$1110*AVERAGE('Assumptions (Nuclear)'!$G$2:$L$2)/10^9),0)</f>
        <v>0</v>
      </c>
      <c r="Q1178" s="105">
        <f>IF($N$1110&gt;0,PPMT('Assumptions (Nuclear)'!$V$6,Model!Z$1,'Assumptions (Nuclear)'!$V$9,'Assumptions (Nuclear)'!$V$4*Model!$N$1110*AVERAGE('Assumptions (Nuclear)'!$G$2:$L$2)/10^9),0)</f>
        <v>0</v>
      </c>
      <c r="R1178" s="105">
        <f>IF($N$1110&gt;0,PPMT('Assumptions (Nuclear)'!$V$6,Model!AA$1,'Assumptions (Nuclear)'!$V$9,'Assumptions (Nuclear)'!$V$4*Model!$N$1110*AVERAGE('Assumptions (Nuclear)'!$G$2:$L$2)/10^9),0)</f>
        <v>0</v>
      </c>
      <c r="S1178" s="105">
        <f>IF($N$1110&gt;0,PPMT('Assumptions (Nuclear)'!$V$6,Model!AB$1,'Assumptions (Nuclear)'!$V$9,'Assumptions (Nuclear)'!$V$4*Model!$N$1110*AVERAGE('Assumptions (Nuclear)'!$G$2:$L$2)/10^9),0)</f>
        <v>0</v>
      </c>
      <c r="T1178" s="105">
        <f>IF($N$1110&gt;0,PPMT('Assumptions (Nuclear)'!$V$6,Model!AC$1,'Assumptions (Nuclear)'!$V$9,'Assumptions (Nuclear)'!$V$4*Model!$N$1110*AVERAGE('Assumptions (Nuclear)'!$G$2:$L$2)/10^9),0)</f>
        <v>0</v>
      </c>
      <c r="U1178" s="105">
        <f>IF($N$1110&gt;0,PPMT('Assumptions (Nuclear)'!$V$6,Model!AD$1,'Assumptions (Nuclear)'!$V$9,'Assumptions (Nuclear)'!$V$4*Model!$N$1110*AVERAGE('Assumptions (Nuclear)'!$G$2:$L$2)/10^9),0)</f>
        <v>0</v>
      </c>
      <c r="V1178" s="105">
        <f>IF($N$1110&gt;0,PPMT('Assumptions (Nuclear)'!$V$6,Model!AE$1,'Assumptions (Nuclear)'!$V$9,'Assumptions (Nuclear)'!$V$4*Model!$N$1110*AVERAGE('Assumptions (Nuclear)'!$G$2:$L$2)/10^9),0)</f>
        <v>0</v>
      </c>
      <c r="W1178" s="105">
        <f>IF($N$1110&gt;0,PPMT('Assumptions (Nuclear)'!$V$6,Model!AF$1,'Assumptions (Nuclear)'!$V$9,'Assumptions (Nuclear)'!$V$4*Model!$N$1110*AVERAGE('Assumptions (Nuclear)'!$G$2:$L$2)/10^9),0)</f>
        <v>0</v>
      </c>
      <c r="X1178" s="105">
        <f>IF($N$1110&gt;0,PPMT('Assumptions (Nuclear)'!$V$6,Model!AG$1,'Assumptions (Nuclear)'!$V$9,'Assumptions (Nuclear)'!$V$4*Model!$N$1110*AVERAGE('Assumptions (Nuclear)'!$G$2:$L$2)/10^9),0)</f>
        <v>0</v>
      </c>
      <c r="Y1178" s="105">
        <f>IF($N$1110&gt;0,PPMT('Assumptions (Nuclear)'!$V$6,Model!AH$1,'Assumptions (Nuclear)'!$V$9,'Assumptions (Nuclear)'!$V$4*Model!$N$1110*AVERAGE('Assumptions (Nuclear)'!$G$2:$L$2)/10^9),0)</f>
        <v>0</v>
      </c>
      <c r="Z1178" s="105">
        <f>IF($N$1110&gt;0,PPMT('Assumptions (Nuclear)'!$V$6,Model!AI$1,'Assumptions (Nuclear)'!$V$9,'Assumptions (Nuclear)'!$V$4*Model!$N$1110*AVERAGE('Assumptions (Nuclear)'!$G$2:$L$2)/10^9),0)</f>
        <v>0</v>
      </c>
      <c r="AA1178" s="105">
        <f>IF($N$1110&gt;0,PPMT('Assumptions (Nuclear)'!$V$6,Model!AJ$1,'Assumptions (Nuclear)'!$V$9,'Assumptions (Nuclear)'!$V$4*Model!$N$1110*AVERAGE('Assumptions (Nuclear)'!$G$2:$L$2)/10^9),0)</f>
        <v>0</v>
      </c>
      <c r="AB1178" s="105">
        <f>IF($N$1110&gt;0,PPMT('Assumptions (Nuclear)'!$V$6,Model!AK$1,'Assumptions (Nuclear)'!$V$9,'Assumptions (Nuclear)'!$V$4*Model!$N$1110*AVERAGE('Assumptions (Nuclear)'!$G$2:$L$2)/10^9),0)</f>
        <v>0</v>
      </c>
      <c r="AC1178" s="105"/>
      <c r="AD1178" s="105"/>
      <c r="AE1178" s="105"/>
      <c r="AF1178" s="105"/>
      <c r="AG1178" s="105"/>
      <c r="AH1178" s="105"/>
      <c r="AI1178" s="105"/>
      <c r="AJ1178" s="105"/>
      <c r="AK1178" s="105"/>
      <c r="AL1178" s="105"/>
      <c r="AU1178" s="147"/>
      <c r="AV1178" s="147"/>
      <c r="AW1178" s="147"/>
      <c r="AX1178" s="147"/>
      <c r="AY1178" s="147"/>
      <c r="AZ1178" s="147"/>
      <c r="BA1178" s="147"/>
    </row>
    <row r="1179" spans="1:53" ht="15.75" hidden="1" customHeight="1" outlineLevel="1">
      <c r="A1179" s="407"/>
      <c r="B1179" s="99"/>
      <c r="C1179" s="105"/>
      <c r="D1179" s="105"/>
      <c r="E1179" s="105"/>
      <c r="F1179" s="105"/>
      <c r="G1179" s="105"/>
      <c r="H1179" s="105"/>
      <c r="I1179" s="105"/>
      <c r="J1179" s="105"/>
      <c r="K1179" s="105"/>
      <c r="L1179" s="105"/>
      <c r="M1179" s="105"/>
      <c r="N1179" s="105"/>
      <c r="O1179" s="105">
        <f>IF($O$1110&gt;0,PPMT('Assumptions (Nuclear)'!$V$6,Model!W$1,'Assumptions (Nuclear)'!$V$9,'Assumptions (Nuclear)'!$V$4*Model!$O$1110*AVERAGE('Assumptions (Nuclear)'!$H$2:$M$2)/10^9),0)</f>
        <v>0</v>
      </c>
      <c r="P1179" s="105">
        <f>IF($O$1110&gt;0,PPMT('Assumptions (Nuclear)'!$V$6,Model!X$1,'Assumptions (Nuclear)'!$V$9,'Assumptions (Nuclear)'!$V$4*Model!$O$1110*AVERAGE('Assumptions (Nuclear)'!$H$2:$M$2)/10^9),0)</f>
        <v>0</v>
      </c>
      <c r="Q1179" s="105">
        <f>IF($O$1110&gt;0,PPMT('Assumptions (Nuclear)'!$V$6,Model!Y$1,'Assumptions (Nuclear)'!$V$9,'Assumptions (Nuclear)'!$V$4*Model!$O$1110*AVERAGE('Assumptions (Nuclear)'!$H$2:$M$2)/10^9),0)</f>
        <v>0</v>
      </c>
      <c r="R1179" s="105">
        <f>IF($O$1110&gt;0,PPMT('Assumptions (Nuclear)'!$V$6,Model!Z$1,'Assumptions (Nuclear)'!$V$9,'Assumptions (Nuclear)'!$V$4*Model!$O$1110*AVERAGE('Assumptions (Nuclear)'!$H$2:$M$2)/10^9),0)</f>
        <v>0</v>
      </c>
      <c r="S1179" s="105">
        <f>IF($O$1110&gt;0,PPMT('Assumptions (Nuclear)'!$V$6,Model!AA$1,'Assumptions (Nuclear)'!$V$9,'Assumptions (Nuclear)'!$V$4*Model!$O$1110*AVERAGE('Assumptions (Nuclear)'!$H$2:$M$2)/10^9),0)</f>
        <v>0</v>
      </c>
      <c r="T1179" s="105">
        <f>IF($O$1110&gt;0,PPMT('Assumptions (Nuclear)'!$V$6,Model!AB$1,'Assumptions (Nuclear)'!$V$9,'Assumptions (Nuclear)'!$V$4*Model!$O$1110*AVERAGE('Assumptions (Nuclear)'!$H$2:$M$2)/10^9),0)</f>
        <v>0</v>
      </c>
      <c r="U1179" s="105">
        <f>IF($O$1110&gt;0,PPMT('Assumptions (Nuclear)'!$V$6,Model!AC$1,'Assumptions (Nuclear)'!$V$9,'Assumptions (Nuclear)'!$V$4*Model!$O$1110*AVERAGE('Assumptions (Nuclear)'!$H$2:$M$2)/10^9),0)</f>
        <v>0</v>
      </c>
      <c r="V1179" s="105">
        <f>IF($O$1110&gt;0,PPMT('Assumptions (Nuclear)'!$V$6,Model!AD$1,'Assumptions (Nuclear)'!$V$9,'Assumptions (Nuclear)'!$V$4*Model!$O$1110*AVERAGE('Assumptions (Nuclear)'!$H$2:$M$2)/10^9),0)</f>
        <v>0</v>
      </c>
      <c r="W1179" s="105">
        <f>IF($O$1110&gt;0,PPMT('Assumptions (Nuclear)'!$V$6,Model!AE$1,'Assumptions (Nuclear)'!$V$9,'Assumptions (Nuclear)'!$V$4*Model!$O$1110*AVERAGE('Assumptions (Nuclear)'!$H$2:$M$2)/10^9),0)</f>
        <v>0</v>
      </c>
      <c r="X1179" s="105">
        <f>IF($O$1110&gt;0,PPMT('Assumptions (Nuclear)'!$V$6,Model!AF$1,'Assumptions (Nuclear)'!$V$9,'Assumptions (Nuclear)'!$V$4*Model!$O$1110*AVERAGE('Assumptions (Nuclear)'!$H$2:$M$2)/10^9),0)</f>
        <v>0</v>
      </c>
      <c r="Y1179" s="105">
        <f>IF($O$1110&gt;0,PPMT('Assumptions (Nuclear)'!$V$6,Model!AG$1,'Assumptions (Nuclear)'!$V$9,'Assumptions (Nuclear)'!$V$4*Model!$O$1110*AVERAGE('Assumptions (Nuclear)'!$H$2:$M$2)/10^9),0)</f>
        <v>0</v>
      </c>
      <c r="Z1179" s="105">
        <f>IF($O$1110&gt;0,PPMT('Assumptions (Nuclear)'!$V$6,Model!AH$1,'Assumptions (Nuclear)'!$V$9,'Assumptions (Nuclear)'!$V$4*Model!$O$1110*AVERAGE('Assumptions (Nuclear)'!$H$2:$M$2)/10^9),0)</f>
        <v>0</v>
      </c>
      <c r="AA1179" s="105">
        <f>IF($O$1110&gt;0,PPMT('Assumptions (Nuclear)'!$V$6,Model!AI$1,'Assumptions (Nuclear)'!$V$9,'Assumptions (Nuclear)'!$V$4*Model!$O$1110*AVERAGE('Assumptions (Nuclear)'!$H$2:$M$2)/10^9),0)</f>
        <v>0</v>
      </c>
      <c r="AB1179" s="105">
        <f>IF($O$1110&gt;0,PPMT('Assumptions (Nuclear)'!$V$6,Model!AJ$1,'Assumptions (Nuclear)'!$V$9,'Assumptions (Nuclear)'!$V$4*Model!$O$1110*AVERAGE('Assumptions (Nuclear)'!$H$2:$M$2)/10^9),0)</f>
        <v>0</v>
      </c>
      <c r="AC1179" s="105">
        <f>IF($O$1110&gt;0,PPMT('Assumptions (Nuclear)'!$V$6,Model!AK$1,'Assumptions (Nuclear)'!$V$9,'Assumptions (Nuclear)'!$V$4*Model!$O$1110*AVERAGE('Assumptions (Nuclear)'!$H$2:$M$2)/10^9),0)</f>
        <v>0</v>
      </c>
      <c r="AD1179" s="105"/>
      <c r="AE1179" s="105"/>
      <c r="AF1179" s="105"/>
      <c r="AG1179" s="105"/>
      <c r="AH1179" s="105"/>
      <c r="AI1179" s="105"/>
      <c r="AJ1179" s="105"/>
      <c r="AK1179" s="105"/>
      <c r="AL1179" s="105"/>
      <c r="AM1179" s="105"/>
      <c r="AU1179" s="147"/>
      <c r="AV1179" s="147"/>
      <c r="AW1179" s="147"/>
      <c r="AX1179" s="147"/>
      <c r="AY1179" s="147"/>
      <c r="AZ1179" s="147"/>
      <c r="BA1179" s="147"/>
    </row>
    <row r="1180" spans="1:53" ht="15.75" hidden="1" customHeight="1" outlineLevel="1">
      <c r="A1180" s="407"/>
      <c r="B1180" s="99"/>
      <c r="C1180" s="105"/>
      <c r="D1180" s="105"/>
      <c r="E1180" s="105"/>
      <c r="F1180" s="105"/>
      <c r="G1180" s="105"/>
      <c r="H1180" s="105"/>
      <c r="I1180" s="105"/>
      <c r="J1180" s="105"/>
      <c r="K1180" s="105"/>
      <c r="L1180" s="105"/>
      <c r="M1180" s="105"/>
      <c r="N1180" s="105"/>
      <c r="O1180" s="105"/>
      <c r="P1180" s="91">
        <f>IF($P$1110&gt;0,PPMT('Assumptions (Nuclear)'!$V$6,Model!W$1,'Assumptions (Nuclear)'!$V$9,'Assumptions (Nuclear)'!$V$4*Model!$P$1110*AVERAGE('Assumptions (Nuclear)'!$I$2:$N$2)/10^9),0)</f>
        <v>0</v>
      </c>
      <c r="Q1180" s="91">
        <f>IF($P$1110&gt;0,PPMT('Assumptions (Nuclear)'!$V$6,Model!X$1,'Assumptions (Nuclear)'!$V$9,'Assumptions (Nuclear)'!$V$4*Model!$P$1110*AVERAGE('Assumptions (Nuclear)'!$I$2:$N$2)/10^9),0)</f>
        <v>0</v>
      </c>
      <c r="R1180" s="91">
        <f>IF($P$1110&gt;0,PPMT('Assumptions (Nuclear)'!$V$6,Model!Y$1,'Assumptions (Nuclear)'!$V$9,'Assumptions (Nuclear)'!$V$4*Model!$P$1110*AVERAGE('Assumptions (Nuclear)'!$I$2:$N$2)/10^9),0)</f>
        <v>0</v>
      </c>
      <c r="S1180" s="91">
        <f>IF($P$1110&gt;0,PPMT('Assumptions (Nuclear)'!$V$6,Model!Z$1,'Assumptions (Nuclear)'!$V$9,'Assumptions (Nuclear)'!$V$4*Model!$P$1110*AVERAGE('Assumptions (Nuclear)'!$I$2:$N$2)/10^9),0)</f>
        <v>0</v>
      </c>
      <c r="T1180" s="91">
        <f>IF($P$1110&gt;0,PPMT('Assumptions (Nuclear)'!$V$6,Model!AA$1,'Assumptions (Nuclear)'!$V$9,'Assumptions (Nuclear)'!$V$4*Model!$P$1110*AVERAGE('Assumptions (Nuclear)'!$I$2:$N$2)/10^9),0)</f>
        <v>0</v>
      </c>
      <c r="U1180" s="91">
        <f>IF($P$1110&gt;0,PPMT('Assumptions (Nuclear)'!$V$6,Model!AB$1,'Assumptions (Nuclear)'!$V$9,'Assumptions (Nuclear)'!$V$4*Model!$P$1110*AVERAGE('Assumptions (Nuclear)'!$I$2:$N$2)/10^9),0)</f>
        <v>0</v>
      </c>
      <c r="V1180" s="91">
        <f>IF($P$1110&gt;0,PPMT('Assumptions (Nuclear)'!$V$6,Model!AC$1,'Assumptions (Nuclear)'!$V$9,'Assumptions (Nuclear)'!$V$4*Model!$P$1110*AVERAGE('Assumptions (Nuclear)'!$I$2:$N$2)/10^9),0)</f>
        <v>0</v>
      </c>
      <c r="W1180" s="91">
        <f>IF($P$1110&gt;0,PPMT('Assumptions (Nuclear)'!$V$6,Model!AD$1,'Assumptions (Nuclear)'!$V$9,'Assumptions (Nuclear)'!$V$4*Model!$P$1110*AVERAGE('Assumptions (Nuclear)'!$I$2:$N$2)/10^9),0)</f>
        <v>0</v>
      </c>
      <c r="X1180" s="91">
        <f>IF($P$1110&gt;0,PPMT('Assumptions (Nuclear)'!$V$6,Model!AE$1,'Assumptions (Nuclear)'!$V$9,'Assumptions (Nuclear)'!$V$4*Model!$P$1110*AVERAGE('Assumptions (Nuclear)'!$I$2:$N$2)/10^9),0)</f>
        <v>0</v>
      </c>
      <c r="Y1180" s="91">
        <f>IF($P$1110&gt;0,PPMT('Assumptions (Nuclear)'!$V$6,Model!AF$1,'Assumptions (Nuclear)'!$V$9,'Assumptions (Nuclear)'!$V$4*Model!$P$1110*AVERAGE('Assumptions (Nuclear)'!$I$2:$N$2)/10^9),0)</f>
        <v>0</v>
      </c>
      <c r="Z1180" s="91">
        <f>IF($P$1110&gt;0,PPMT('Assumptions (Nuclear)'!$V$6,Model!AG$1,'Assumptions (Nuclear)'!$V$9,'Assumptions (Nuclear)'!$V$4*Model!$P$1110*AVERAGE('Assumptions (Nuclear)'!$I$2:$N$2)/10^9),0)</f>
        <v>0</v>
      </c>
      <c r="AA1180" s="91">
        <f>IF($P$1110&gt;0,PPMT('Assumptions (Nuclear)'!$V$6,Model!AH$1,'Assumptions (Nuclear)'!$V$9,'Assumptions (Nuclear)'!$V$4*Model!$P$1110*AVERAGE('Assumptions (Nuclear)'!$I$2:$N$2)/10^9),0)</f>
        <v>0</v>
      </c>
      <c r="AB1180" s="91">
        <f>IF($P$1110&gt;0,PPMT('Assumptions (Nuclear)'!$V$6,Model!AI$1,'Assumptions (Nuclear)'!$V$9,'Assumptions (Nuclear)'!$V$4*Model!$P$1110*AVERAGE('Assumptions (Nuclear)'!$I$2:$N$2)/10^9),0)</f>
        <v>0</v>
      </c>
      <c r="AC1180" s="91">
        <f>IF($P$1110&gt;0,PPMT('Assumptions (Nuclear)'!$V$6,Model!AJ$1,'Assumptions (Nuclear)'!$V$9,'Assumptions (Nuclear)'!$V$4*Model!$P$1110*AVERAGE('Assumptions (Nuclear)'!$I$2:$N$2)/10^9),0)</f>
        <v>0</v>
      </c>
      <c r="AD1180" s="91">
        <f>IF($P$1110&gt;0,PPMT('Assumptions (Nuclear)'!$V$6,Model!AK$1,'Assumptions (Nuclear)'!$V$9,'Assumptions (Nuclear)'!$V$4*Model!$P$1110*AVERAGE('Assumptions (Nuclear)'!$I$2:$N$2)/10^9),0)</f>
        <v>0</v>
      </c>
      <c r="AE1180" s="91"/>
      <c r="AF1180" s="91"/>
      <c r="AG1180" s="91"/>
      <c r="AH1180" s="91"/>
      <c r="AI1180" s="91"/>
      <c r="AJ1180" s="91"/>
      <c r="AK1180" s="91"/>
      <c r="AL1180" s="91"/>
      <c r="AM1180" s="91"/>
      <c r="AN1180" s="91"/>
      <c r="AU1180" s="147"/>
      <c r="AV1180" s="147"/>
      <c r="AW1180" s="147"/>
      <c r="AX1180" s="147"/>
      <c r="AY1180" s="147"/>
      <c r="AZ1180" s="147"/>
      <c r="BA1180" s="147"/>
    </row>
    <row r="1181" spans="1:53" ht="15.75" hidden="1" customHeight="1" outlineLevel="1">
      <c r="A1181" s="407"/>
      <c r="B1181" s="99"/>
      <c r="C1181" s="105"/>
      <c r="D1181" s="105"/>
      <c r="E1181" s="105"/>
      <c r="F1181" s="105"/>
      <c r="G1181" s="105"/>
      <c r="H1181" s="105"/>
      <c r="I1181" s="105"/>
      <c r="J1181" s="105"/>
      <c r="K1181" s="105"/>
      <c r="L1181" s="105"/>
      <c r="M1181" s="105"/>
      <c r="N1181" s="105"/>
      <c r="O1181" s="105"/>
      <c r="P1181" s="171"/>
      <c r="Q1181" s="105">
        <f>IF($Q$1110&gt;0,PPMT('Assumptions (Nuclear)'!$V$6,Model!W$1,'Assumptions (Nuclear)'!$V$9,'Assumptions (Nuclear)'!$V$4*Model!$Q$1110*AVERAGE('Assumptions (Nuclear)'!$J$2:$O$2)/10^9),0)</f>
        <v>0</v>
      </c>
      <c r="R1181" s="105">
        <f>IF($Q$1110&gt;0,PPMT('Assumptions (Nuclear)'!$V$6,Model!X$1,'Assumptions (Nuclear)'!$V$9,'Assumptions (Nuclear)'!$V$4*Model!$Q$1110*AVERAGE('Assumptions (Nuclear)'!$J$2:$O$2)/10^9),0)</f>
        <v>0</v>
      </c>
      <c r="S1181" s="105">
        <f>IF($Q$1110&gt;0,PPMT('Assumptions (Nuclear)'!$V$6,Model!Y$1,'Assumptions (Nuclear)'!$V$9,'Assumptions (Nuclear)'!$V$4*Model!$Q$1110*AVERAGE('Assumptions (Nuclear)'!$J$2:$O$2)/10^9),0)</f>
        <v>0</v>
      </c>
      <c r="T1181" s="105">
        <f>IF($Q$1110&gt;0,PPMT('Assumptions (Nuclear)'!$V$6,Model!Z$1,'Assumptions (Nuclear)'!$V$9,'Assumptions (Nuclear)'!$V$4*Model!$Q$1110*AVERAGE('Assumptions (Nuclear)'!$J$2:$O$2)/10^9),0)</f>
        <v>0</v>
      </c>
      <c r="U1181" s="105">
        <f>IF($Q$1110&gt;0,PPMT('Assumptions (Nuclear)'!$V$6,Model!AA$1,'Assumptions (Nuclear)'!$V$9,'Assumptions (Nuclear)'!$V$4*Model!$Q$1110*AVERAGE('Assumptions (Nuclear)'!$J$2:$O$2)/10^9),0)</f>
        <v>0</v>
      </c>
      <c r="V1181" s="105">
        <f>IF($Q$1110&gt;0,PPMT('Assumptions (Nuclear)'!$V$6,Model!AB$1,'Assumptions (Nuclear)'!$V$9,'Assumptions (Nuclear)'!$V$4*Model!$Q$1110*AVERAGE('Assumptions (Nuclear)'!$J$2:$O$2)/10^9),0)</f>
        <v>0</v>
      </c>
      <c r="W1181" s="105">
        <f>IF($Q$1110&gt;0,PPMT('Assumptions (Nuclear)'!$V$6,Model!AC$1,'Assumptions (Nuclear)'!$V$9,'Assumptions (Nuclear)'!$V$4*Model!$Q$1110*AVERAGE('Assumptions (Nuclear)'!$J$2:$O$2)/10^9),0)</f>
        <v>0</v>
      </c>
      <c r="X1181" s="105">
        <f>IF($Q$1110&gt;0,PPMT('Assumptions (Nuclear)'!$V$6,Model!AD$1,'Assumptions (Nuclear)'!$V$9,'Assumptions (Nuclear)'!$V$4*Model!$Q$1110*AVERAGE('Assumptions (Nuclear)'!$J$2:$O$2)/10^9),0)</f>
        <v>0</v>
      </c>
      <c r="Y1181" s="105">
        <f>IF($Q$1110&gt;0,PPMT('Assumptions (Nuclear)'!$V$6,Model!AE$1,'Assumptions (Nuclear)'!$V$9,'Assumptions (Nuclear)'!$V$4*Model!$Q$1110*AVERAGE('Assumptions (Nuclear)'!$J$2:$O$2)/10^9),0)</f>
        <v>0</v>
      </c>
      <c r="Z1181" s="105">
        <f>IF($Q$1110&gt;0,PPMT('Assumptions (Nuclear)'!$V$6,Model!AF$1,'Assumptions (Nuclear)'!$V$9,'Assumptions (Nuclear)'!$V$4*Model!$Q$1110*AVERAGE('Assumptions (Nuclear)'!$J$2:$O$2)/10^9),0)</f>
        <v>0</v>
      </c>
      <c r="AA1181" s="105">
        <f>IF($Q$1110&gt;0,PPMT('Assumptions (Nuclear)'!$V$6,Model!AG$1,'Assumptions (Nuclear)'!$V$9,'Assumptions (Nuclear)'!$V$4*Model!$Q$1110*AVERAGE('Assumptions (Nuclear)'!$J$2:$O$2)/10^9),0)</f>
        <v>0</v>
      </c>
      <c r="AB1181" s="105">
        <f>IF($Q$1110&gt;0,PPMT('Assumptions (Nuclear)'!$V$6,Model!AH$1,'Assumptions (Nuclear)'!$V$9,'Assumptions (Nuclear)'!$V$4*Model!$Q$1110*AVERAGE('Assumptions (Nuclear)'!$J$2:$O$2)/10^9),0)</f>
        <v>0</v>
      </c>
      <c r="AC1181" s="105">
        <f>IF($Q$1110&gt;0,PPMT('Assumptions (Nuclear)'!$V$6,Model!AI$1,'Assumptions (Nuclear)'!$V$9,'Assumptions (Nuclear)'!$V$4*Model!$Q$1110*AVERAGE('Assumptions (Nuclear)'!$J$2:$O$2)/10^9),0)</f>
        <v>0</v>
      </c>
      <c r="AD1181" s="105">
        <f>IF($Q$1110&gt;0,PPMT('Assumptions (Nuclear)'!$V$6,Model!AJ$1,'Assumptions (Nuclear)'!$V$9,'Assumptions (Nuclear)'!$V$4*Model!$Q$1110*AVERAGE('Assumptions (Nuclear)'!$J$2:$O$2)/10^9),0)</f>
        <v>0</v>
      </c>
      <c r="AE1181" s="105">
        <f>IF($Q$1110&gt;0,PPMT('Assumptions (Nuclear)'!$V$6,Model!AK$1,'Assumptions (Nuclear)'!$V$9,'Assumptions (Nuclear)'!$V$4*Model!$Q$1110*AVERAGE('Assumptions (Nuclear)'!$J$2:$O$2)/10^9),0)</f>
        <v>0</v>
      </c>
      <c r="AF1181" s="105"/>
      <c r="AG1181" s="105"/>
      <c r="AH1181" s="105"/>
      <c r="AI1181" s="105"/>
      <c r="AJ1181" s="105"/>
      <c r="AK1181" s="105"/>
      <c r="AL1181" s="105"/>
      <c r="AM1181" s="105"/>
      <c r="AN1181" s="105"/>
      <c r="AO1181" s="105"/>
      <c r="AU1181" s="147"/>
      <c r="AV1181" s="147"/>
      <c r="AW1181" s="147"/>
      <c r="AX1181" s="147"/>
      <c r="AY1181" s="147"/>
      <c r="AZ1181" s="147"/>
      <c r="BA1181" s="147"/>
    </row>
    <row r="1182" spans="1:53" ht="15.75" hidden="1" customHeight="1" outlineLevel="1">
      <c r="A1182" s="407"/>
      <c r="B1182" s="99"/>
      <c r="C1182" s="105"/>
      <c r="D1182" s="105"/>
      <c r="E1182" s="105"/>
      <c r="F1182" s="105"/>
      <c r="G1182" s="105"/>
      <c r="H1182" s="105"/>
      <c r="I1182" s="105"/>
      <c r="J1182" s="105"/>
      <c r="K1182" s="105"/>
      <c r="L1182" s="105"/>
      <c r="M1182" s="105"/>
      <c r="N1182" s="105"/>
      <c r="O1182" s="105"/>
      <c r="P1182" s="171"/>
      <c r="Q1182" s="105"/>
      <c r="R1182" s="91">
        <f>IF($R$1110&gt;0,PPMT('Assumptions (Nuclear)'!$V$6,Model!W$1,'Assumptions (Nuclear)'!$V$9,'Assumptions (Nuclear)'!$V$4*Model!$R$1110*AVERAGE('Assumptions (Nuclear)'!$K$2:$P$2)/10^9),0)</f>
        <v>0</v>
      </c>
      <c r="S1182" s="91">
        <f>IF($R$1110&gt;0,PPMT('Assumptions (Nuclear)'!$V$6,Model!X$1,'Assumptions (Nuclear)'!$V$9,'Assumptions (Nuclear)'!$V$4*Model!$R$1110*AVERAGE('Assumptions (Nuclear)'!$K$2:$P$2)/10^9),0)</f>
        <v>0</v>
      </c>
      <c r="T1182" s="91">
        <f>IF($R$1110&gt;0,PPMT('Assumptions (Nuclear)'!$V$6,Model!Y$1,'Assumptions (Nuclear)'!$V$9,'Assumptions (Nuclear)'!$V$4*Model!$R$1110*AVERAGE('Assumptions (Nuclear)'!$K$2:$P$2)/10^9),0)</f>
        <v>0</v>
      </c>
      <c r="U1182" s="91">
        <f>IF($R$1110&gt;0,PPMT('Assumptions (Nuclear)'!$V$6,Model!Z$1,'Assumptions (Nuclear)'!$V$9,'Assumptions (Nuclear)'!$V$4*Model!$R$1110*AVERAGE('Assumptions (Nuclear)'!$K$2:$P$2)/10^9),0)</f>
        <v>0</v>
      </c>
      <c r="V1182" s="91">
        <f>IF($R$1110&gt;0,PPMT('Assumptions (Nuclear)'!$V$6,Model!AA$1,'Assumptions (Nuclear)'!$V$9,'Assumptions (Nuclear)'!$V$4*Model!$R$1110*AVERAGE('Assumptions (Nuclear)'!$K$2:$P$2)/10^9),0)</f>
        <v>0</v>
      </c>
      <c r="W1182" s="91">
        <f>IF($R$1110&gt;0,PPMT('Assumptions (Nuclear)'!$V$6,Model!AB$1,'Assumptions (Nuclear)'!$V$9,'Assumptions (Nuclear)'!$V$4*Model!$R$1110*AVERAGE('Assumptions (Nuclear)'!$K$2:$P$2)/10^9),0)</f>
        <v>0</v>
      </c>
      <c r="X1182" s="91">
        <f>IF($R$1110&gt;0,PPMT('Assumptions (Nuclear)'!$V$6,Model!AC$1,'Assumptions (Nuclear)'!$V$9,'Assumptions (Nuclear)'!$V$4*Model!$R$1110*AVERAGE('Assumptions (Nuclear)'!$K$2:$P$2)/10^9),0)</f>
        <v>0</v>
      </c>
      <c r="Y1182" s="91">
        <f>IF($R$1110&gt;0,PPMT('Assumptions (Nuclear)'!$V$6,Model!AD$1,'Assumptions (Nuclear)'!$V$9,'Assumptions (Nuclear)'!$V$4*Model!$R$1110*AVERAGE('Assumptions (Nuclear)'!$K$2:$P$2)/10^9),0)</f>
        <v>0</v>
      </c>
      <c r="Z1182" s="91">
        <f>IF($R$1110&gt;0,PPMT('Assumptions (Nuclear)'!$V$6,Model!AE$1,'Assumptions (Nuclear)'!$V$9,'Assumptions (Nuclear)'!$V$4*Model!$R$1110*AVERAGE('Assumptions (Nuclear)'!$K$2:$P$2)/10^9),0)</f>
        <v>0</v>
      </c>
      <c r="AA1182" s="91">
        <f>IF($R$1110&gt;0,PPMT('Assumptions (Nuclear)'!$V$6,Model!AF$1,'Assumptions (Nuclear)'!$V$9,'Assumptions (Nuclear)'!$V$4*Model!$R$1110*AVERAGE('Assumptions (Nuclear)'!$K$2:$P$2)/10^9),0)</f>
        <v>0</v>
      </c>
      <c r="AB1182" s="91">
        <f>IF($R$1110&gt;0,PPMT('Assumptions (Nuclear)'!$V$6,Model!AG$1,'Assumptions (Nuclear)'!$V$9,'Assumptions (Nuclear)'!$V$4*Model!$R$1110*AVERAGE('Assumptions (Nuclear)'!$K$2:$P$2)/10^9),0)</f>
        <v>0</v>
      </c>
      <c r="AC1182" s="91">
        <f>IF($R$1110&gt;0,PPMT('Assumptions (Nuclear)'!$V$6,Model!AH$1,'Assumptions (Nuclear)'!$V$9,'Assumptions (Nuclear)'!$V$4*Model!$R$1110*AVERAGE('Assumptions (Nuclear)'!$K$2:$P$2)/10^9),0)</f>
        <v>0</v>
      </c>
      <c r="AD1182" s="91">
        <f>IF($R$1110&gt;0,PPMT('Assumptions (Nuclear)'!$V$6,Model!AI$1,'Assumptions (Nuclear)'!$V$9,'Assumptions (Nuclear)'!$V$4*Model!$R$1110*AVERAGE('Assumptions (Nuclear)'!$K$2:$P$2)/10^9),0)</f>
        <v>0</v>
      </c>
      <c r="AE1182" s="91">
        <f>IF($R$1110&gt;0,PPMT('Assumptions (Nuclear)'!$V$6,Model!AJ$1,'Assumptions (Nuclear)'!$V$9,'Assumptions (Nuclear)'!$V$4*Model!$R$1110*AVERAGE('Assumptions (Nuclear)'!$K$2:$P$2)/10^9),0)</f>
        <v>0</v>
      </c>
      <c r="AF1182" s="91">
        <f>IF($R$1110&gt;0,PPMT('Assumptions (Nuclear)'!$V$6,Model!AK$1,'Assumptions (Nuclear)'!$V$9,'Assumptions (Nuclear)'!$V$4*Model!$R$1110*AVERAGE('Assumptions (Nuclear)'!$K$2:$P$2)/10^9),0)</f>
        <v>0</v>
      </c>
      <c r="AG1182" s="91"/>
      <c r="AH1182" s="91"/>
      <c r="AI1182" s="91"/>
      <c r="AJ1182" s="91"/>
      <c r="AK1182" s="91"/>
      <c r="AL1182" s="91"/>
      <c r="AM1182" s="91"/>
      <c r="AN1182" s="91"/>
      <c r="AO1182" s="91"/>
      <c r="AP1182" s="91"/>
      <c r="AU1182" s="147"/>
      <c r="AV1182" s="147"/>
      <c r="AW1182" s="147"/>
      <c r="AX1182" s="147"/>
      <c r="AY1182" s="147"/>
      <c r="AZ1182" s="147"/>
      <c r="BA1182" s="147"/>
    </row>
    <row r="1183" spans="1:53" ht="15.75" hidden="1" customHeight="1" outlineLevel="1">
      <c r="A1183" s="407"/>
      <c r="B1183" s="99"/>
      <c r="C1183" s="105"/>
      <c r="D1183" s="105"/>
      <c r="E1183" s="105"/>
      <c r="F1183" s="105"/>
      <c r="G1183" s="105"/>
      <c r="H1183" s="105"/>
      <c r="I1183" s="105"/>
      <c r="J1183" s="105"/>
      <c r="K1183" s="105"/>
      <c r="L1183" s="105"/>
      <c r="M1183" s="105"/>
      <c r="N1183" s="105"/>
      <c r="O1183" s="105"/>
      <c r="P1183" s="171"/>
      <c r="Q1183" s="105"/>
      <c r="R1183" s="91"/>
      <c r="S1183" s="105">
        <f>IF($S$1110&gt;0,PPMT('Assumptions (Nuclear)'!$V$6,Model!W$1,'Assumptions (Nuclear)'!$V$9,'Assumptions (Nuclear)'!$V$4*Model!$S$1110*AVERAGE('Assumptions (Nuclear)'!$L$2:$Q$2)/10^9),0)</f>
        <v>-0.10868289890879428</v>
      </c>
      <c r="T1183" s="105">
        <f>IF($S$1110&gt;0,PPMT('Assumptions (Nuclear)'!$V$6,Model!X$1,'Assumptions (Nuclear)'!$V$9,'Assumptions (Nuclear)'!$V$4*Model!$S$1110*AVERAGE('Assumptions (Nuclear)'!$L$2:$Q$2)/10^9),0)</f>
        <v>-0.11384533660696201</v>
      </c>
      <c r="U1183" s="105">
        <f>IF($S$1110&gt;0,PPMT('Assumptions (Nuclear)'!$V$6,Model!Y$1,'Assumptions (Nuclear)'!$V$9,'Assumptions (Nuclear)'!$V$4*Model!$S$1110*AVERAGE('Assumptions (Nuclear)'!$L$2:$Q$2)/10^9),0)</f>
        <v>-0.1192529900957927</v>
      </c>
      <c r="V1183" s="105">
        <f>IF($S$1110&gt;0,PPMT('Assumptions (Nuclear)'!$V$6,Model!Z$1,'Assumptions (Nuclear)'!$V$9,'Assumptions (Nuclear)'!$V$4*Model!$S$1110*AVERAGE('Assumptions (Nuclear)'!$L$2:$Q$2)/10^9),0)</f>
        <v>-0.12491750712534284</v>
      </c>
      <c r="W1183" s="105">
        <f>IF($S$1110&gt;0,PPMT('Assumptions (Nuclear)'!$V$6,Model!AA$1,'Assumptions (Nuclear)'!$V$9,'Assumptions (Nuclear)'!$V$4*Model!$S$1110*AVERAGE('Assumptions (Nuclear)'!$L$2:$Q$2)/10^9),0)</f>
        <v>-0.13085108871379664</v>
      </c>
      <c r="X1183" s="105">
        <f>IF($S$1110&gt;0,PPMT('Assumptions (Nuclear)'!$V$6,Model!AB$1,'Assumptions (Nuclear)'!$V$9,'Assumptions (Nuclear)'!$V$4*Model!$S$1110*AVERAGE('Assumptions (Nuclear)'!$L$2:$Q$2)/10^9),0)</f>
        <v>-0.13706651542770196</v>
      </c>
      <c r="Y1183" s="105">
        <f>IF($S$1110&gt;0,PPMT('Assumptions (Nuclear)'!$V$6,Model!AC$1,'Assumptions (Nuclear)'!$V$9,'Assumptions (Nuclear)'!$V$4*Model!$S$1110*AVERAGE('Assumptions (Nuclear)'!$L$2:$Q$2)/10^9),0)</f>
        <v>-0.14357717491051783</v>
      </c>
      <c r="Z1183" s="105">
        <f>IF($S$1110&gt;0,PPMT('Assumptions (Nuclear)'!$V$6,Model!AD$1,'Assumptions (Nuclear)'!$V$9,'Assumptions (Nuclear)'!$V$4*Model!$S$1110*AVERAGE('Assumptions (Nuclear)'!$L$2:$Q$2)/10^9),0)</f>
        <v>-0.15039709071876742</v>
      </c>
      <c r="AA1183" s="105">
        <f>IF($S$1110&gt;0,PPMT('Assumptions (Nuclear)'!$V$6,Model!AE$1,'Assumptions (Nuclear)'!$V$9,'Assumptions (Nuclear)'!$V$4*Model!$S$1110*AVERAGE('Assumptions (Nuclear)'!$L$2:$Q$2)/10^9),0)</f>
        <v>-0.15754095252790884</v>
      </c>
      <c r="AB1183" s="105">
        <f>IF($S$1110&gt;0,PPMT('Assumptions (Nuclear)'!$V$6,Model!AF$1,'Assumptions (Nuclear)'!$V$9,'Assumptions (Nuclear)'!$V$4*Model!$S$1110*AVERAGE('Assumptions (Nuclear)'!$L$2:$Q$2)/10^9),0)</f>
        <v>-0.16502414777298455</v>
      </c>
      <c r="AC1183" s="105">
        <f>IF($S$1110&gt;0,PPMT('Assumptions (Nuclear)'!$V$6,Model!AG$1,'Assumptions (Nuclear)'!$V$9,'Assumptions (Nuclear)'!$V$4*Model!$S$1110*AVERAGE('Assumptions (Nuclear)'!$L$2:$Q$2)/10^9),0)</f>
        <v>-0.17286279479220132</v>
      </c>
      <c r="AD1183" s="105">
        <f>IF($S$1110&gt;0,PPMT('Assumptions (Nuclear)'!$V$6,Model!AH$1,'Assumptions (Nuclear)'!$V$9,'Assumptions (Nuclear)'!$V$4*Model!$S$1110*AVERAGE('Assumptions (Nuclear)'!$L$2:$Q$2)/10^9),0)</f>
        <v>-0.18107377754483087</v>
      </c>
      <c r="AE1183" s="105">
        <f>IF($S$1110&gt;0,PPMT('Assumptions (Nuclear)'!$V$6,Model!AI$1,'Assumptions (Nuclear)'!$V$9,'Assumptions (Nuclear)'!$V$4*Model!$S$1110*AVERAGE('Assumptions (Nuclear)'!$L$2:$Q$2)/10^9),0)</f>
        <v>-0.18967478197821036</v>
      </c>
      <c r="AF1183" s="105">
        <f>IF($S$1110&gt;0,PPMT('Assumptions (Nuclear)'!$V$6,Model!AJ$1,'Assumptions (Nuclear)'!$V$9,'Assumptions (Nuclear)'!$V$4*Model!$S$1110*AVERAGE('Assumptions (Nuclear)'!$L$2:$Q$2)/10^9),0)</f>
        <v>-0.19868433412217534</v>
      </c>
      <c r="AG1183" s="105">
        <f>IF($S$1110&gt;0,PPMT('Assumptions (Nuclear)'!$V$6,Model!AK$1,'Assumptions (Nuclear)'!$V$9,'Assumptions (Nuclear)'!$V$4*Model!$S$1110*AVERAGE('Assumptions (Nuclear)'!$L$2:$Q$2)/10^9),0)</f>
        <v>-0.20812183999297867</v>
      </c>
      <c r="AH1183" s="105"/>
      <c r="AI1183" s="105"/>
      <c r="AJ1183" s="105"/>
      <c r="AK1183" s="105"/>
      <c r="AL1183" s="105"/>
      <c r="AM1183" s="105"/>
      <c r="AN1183" s="105"/>
      <c r="AO1183" s="105"/>
      <c r="AP1183" s="105"/>
      <c r="AQ1183" s="105"/>
      <c r="AU1183" s="147"/>
      <c r="AV1183" s="147"/>
      <c r="AW1183" s="147"/>
      <c r="AX1183" s="147"/>
      <c r="AY1183" s="147"/>
      <c r="AZ1183" s="147"/>
      <c r="BA1183" s="147"/>
    </row>
    <row r="1184" spans="1:53" ht="15.75" hidden="1" customHeight="1" outlineLevel="1">
      <c r="A1184" s="407"/>
      <c r="B1184" s="99"/>
      <c r="C1184" s="105"/>
      <c r="D1184" s="105"/>
      <c r="E1184" s="105"/>
      <c r="F1184" s="105"/>
      <c r="G1184" s="105"/>
      <c r="H1184" s="105"/>
      <c r="I1184" s="105"/>
      <c r="J1184" s="105"/>
      <c r="K1184" s="105"/>
      <c r="L1184" s="105"/>
      <c r="M1184" s="105"/>
      <c r="N1184" s="105"/>
      <c r="O1184" s="105"/>
      <c r="P1184" s="171"/>
      <c r="Q1184" s="105"/>
      <c r="R1184" s="91"/>
      <c r="S1184" s="91"/>
      <c r="T1184" s="105">
        <f>IF($T$1110&gt;0,PPMT('Assumptions (Nuclear)'!$V$6,Model!W$1,'Assumptions (Nuclear)'!$V$9,'Assumptions (Nuclear)'!$V$4*Model!$T$1110*AVERAGE('Assumptions (Nuclear)'!$M$2:$R$2)/10^9),0)</f>
        <v>0</v>
      </c>
      <c r="U1184" s="105">
        <f>IF($T$1110&gt;0,PPMT('Assumptions (Nuclear)'!$V$6,Model!X$1,'Assumptions (Nuclear)'!$V$9,'Assumptions (Nuclear)'!$V$4*Model!$T$1110*AVERAGE('Assumptions (Nuclear)'!$M$2:$R$2)/10^9),0)</f>
        <v>0</v>
      </c>
      <c r="V1184" s="105">
        <f>IF($T$1110&gt;0,PPMT('Assumptions (Nuclear)'!$V$6,Model!Y$1,'Assumptions (Nuclear)'!$V$9,'Assumptions (Nuclear)'!$V$4*Model!$T$1110*AVERAGE('Assumptions (Nuclear)'!$M$2:$R$2)/10^9),0)</f>
        <v>0</v>
      </c>
      <c r="W1184" s="105">
        <f>IF($T$1110&gt;0,PPMT('Assumptions (Nuclear)'!$V$6,Model!Z$1,'Assumptions (Nuclear)'!$V$9,'Assumptions (Nuclear)'!$V$4*Model!$T$1110*AVERAGE('Assumptions (Nuclear)'!$M$2:$R$2)/10^9),0)</f>
        <v>0</v>
      </c>
      <c r="X1184" s="105">
        <f>IF($T$1110&gt;0,PPMT('Assumptions (Nuclear)'!$V$6,Model!AA$1,'Assumptions (Nuclear)'!$V$9,'Assumptions (Nuclear)'!$V$4*Model!$T$1110*AVERAGE('Assumptions (Nuclear)'!$M$2:$R$2)/10^9),0)</f>
        <v>0</v>
      </c>
      <c r="Y1184" s="105">
        <f>IF($T$1110&gt;0,PPMT('Assumptions (Nuclear)'!$V$6,Model!AB$1,'Assumptions (Nuclear)'!$V$9,'Assumptions (Nuclear)'!$V$4*Model!$T$1110*AVERAGE('Assumptions (Nuclear)'!$M$2:$R$2)/10^9),0)</f>
        <v>0</v>
      </c>
      <c r="Z1184" s="105">
        <f>IF($T$1110&gt;0,PPMT('Assumptions (Nuclear)'!$V$6,Model!AC$1,'Assumptions (Nuclear)'!$V$9,'Assumptions (Nuclear)'!$V$4*Model!$T$1110*AVERAGE('Assumptions (Nuclear)'!$M$2:$R$2)/10^9),0)</f>
        <v>0</v>
      </c>
      <c r="AA1184" s="105">
        <f>IF($T$1110&gt;0,PPMT('Assumptions (Nuclear)'!$V$6,Model!AD$1,'Assumptions (Nuclear)'!$V$9,'Assumptions (Nuclear)'!$V$4*Model!$T$1110*AVERAGE('Assumptions (Nuclear)'!$M$2:$R$2)/10^9),0)</f>
        <v>0</v>
      </c>
      <c r="AB1184" s="105">
        <f>IF($T$1110&gt;0,PPMT('Assumptions (Nuclear)'!$V$6,Model!AE$1,'Assumptions (Nuclear)'!$V$9,'Assumptions (Nuclear)'!$V$4*Model!$T$1110*AVERAGE('Assumptions (Nuclear)'!$M$2:$R$2)/10^9),0)</f>
        <v>0</v>
      </c>
      <c r="AC1184" s="105">
        <f>IF($T$1110&gt;0,PPMT('Assumptions (Nuclear)'!$V$6,Model!AF$1,'Assumptions (Nuclear)'!$V$9,'Assumptions (Nuclear)'!$V$4*Model!$T$1110*AVERAGE('Assumptions (Nuclear)'!$M$2:$R$2)/10^9),0)</f>
        <v>0</v>
      </c>
      <c r="AD1184" s="105">
        <f>IF($T$1110&gt;0,PPMT('Assumptions (Nuclear)'!$V$6,Model!AG$1,'Assumptions (Nuclear)'!$V$9,'Assumptions (Nuclear)'!$V$4*Model!$T$1110*AVERAGE('Assumptions (Nuclear)'!$M$2:$R$2)/10^9),0)</f>
        <v>0</v>
      </c>
      <c r="AE1184" s="105">
        <f>IF($T$1110&gt;0,PPMT('Assumptions (Nuclear)'!$V$6,Model!AH$1,'Assumptions (Nuclear)'!$V$9,'Assumptions (Nuclear)'!$V$4*Model!$T$1110*AVERAGE('Assumptions (Nuclear)'!$M$2:$R$2)/10^9),0)</f>
        <v>0</v>
      </c>
      <c r="AF1184" s="105">
        <f>IF($T$1110&gt;0,PPMT('Assumptions (Nuclear)'!$V$6,Model!AI$1,'Assumptions (Nuclear)'!$V$9,'Assumptions (Nuclear)'!$V$4*Model!$T$1110*AVERAGE('Assumptions (Nuclear)'!$M$2:$R$2)/10^9),0)</f>
        <v>0</v>
      </c>
      <c r="AG1184" s="105">
        <f>IF($T$1110&gt;0,PPMT('Assumptions (Nuclear)'!$V$6,Model!AJ$1,'Assumptions (Nuclear)'!$V$9,'Assumptions (Nuclear)'!$V$4*Model!$T$1110*AVERAGE('Assumptions (Nuclear)'!$M$2:$R$2)/10^9),0)</f>
        <v>0</v>
      </c>
      <c r="AH1184" s="105">
        <f>IF($T$1110&gt;0,PPMT('Assumptions (Nuclear)'!$V$6,Model!AK$1,'Assumptions (Nuclear)'!$V$9,'Assumptions (Nuclear)'!$V$4*Model!$T$1110*AVERAGE('Assumptions (Nuclear)'!$M$2:$R$2)/10^9),0)</f>
        <v>0</v>
      </c>
      <c r="AI1184" s="105"/>
      <c r="AJ1184" s="105"/>
      <c r="AK1184" s="105"/>
      <c r="AL1184" s="105"/>
      <c r="AM1184" s="105"/>
      <c r="AN1184" s="105"/>
      <c r="AO1184" s="105"/>
      <c r="AP1184" s="105"/>
      <c r="AQ1184" s="105"/>
      <c r="AR1184" s="105"/>
      <c r="AU1184" s="147"/>
      <c r="AV1184" s="147"/>
      <c r="AW1184" s="147"/>
      <c r="AX1184" s="147"/>
      <c r="AY1184" s="147"/>
      <c r="AZ1184" s="147"/>
      <c r="BA1184" s="147"/>
    </row>
    <row r="1185" spans="1:60" ht="15.75" hidden="1" customHeight="1" outlineLevel="1">
      <c r="A1185" s="407"/>
      <c r="B1185" s="99"/>
      <c r="C1185" s="105"/>
      <c r="D1185" s="105"/>
      <c r="E1185" s="105"/>
      <c r="F1185" s="105"/>
      <c r="G1185" s="105"/>
      <c r="H1185" s="105"/>
      <c r="I1185" s="105"/>
      <c r="J1185" s="105"/>
      <c r="K1185" s="105"/>
      <c r="L1185" s="105"/>
      <c r="M1185" s="105"/>
      <c r="N1185" s="105"/>
      <c r="O1185" s="105"/>
      <c r="P1185" s="171"/>
      <c r="Q1185" s="105"/>
      <c r="R1185" s="91"/>
      <c r="S1185" s="91"/>
      <c r="T1185" s="91"/>
      <c r="U1185" s="105">
        <f>IF($U$1110&gt;0,PPMT('Assumptions (Nuclear)'!$V$6,Model!W$1,'Assumptions (Nuclear)'!$V$9,'Assumptions (Nuclear)'!$V$4*Model!$U$1110*AVERAGE('Assumptions (Nuclear)'!$N$2:$S$2)/10^9),0)</f>
        <v>0</v>
      </c>
      <c r="V1185" s="105">
        <f>IF($U$1110&gt;0,PPMT('Assumptions (Nuclear)'!$V$6,Model!X$1,'Assumptions (Nuclear)'!$V$9,'Assumptions (Nuclear)'!$V$4*Model!$U$1110*AVERAGE('Assumptions (Nuclear)'!$N$2:$S$2)/10^9),0)</f>
        <v>0</v>
      </c>
      <c r="W1185" s="105">
        <f>IF($U$1110&gt;0,PPMT('Assumptions (Nuclear)'!$V$6,Model!Y$1,'Assumptions (Nuclear)'!$V$9,'Assumptions (Nuclear)'!$V$4*Model!$U$1110*AVERAGE('Assumptions (Nuclear)'!$N$2:$S$2)/10^9),0)</f>
        <v>0</v>
      </c>
      <c r="X1185" s="105">
        <f>IF($U$1110&gt;0,PPMT('Assumptions (Nuclear)'!$V$6,Model!Z$1,'Assumptions (Nuclear)'!$V$9,'Assumptions (Nuclear)'!$V$4*Model!$U$1110*AVERAGE('Assumptions (Nuclear)'!$N$2:$S$2)/10^9),0)</f>
        <v>0</v>
      </c>
      <c r="Y1185" s="105">
        <f>IF($U$1110&gt;0,PPMT('Assumptions (Nuclear)'!$V$6,Model!AA$1,'Assumptions (Nuclear)'!$V$9,'Assumptions (Nuclear)'!$V$4*Model!$U$1110*AVERAGE('Assumptions (Nuclear)'!$N$2:$S$2)/10^9),0)</f>
        <v>0</v>
      </c>
      <c r="Z1185" s="105">
        <f>IF($U$1110&gt;0,PPMT('Assumptions (Nuclear)'!$V$6,Model!AB$1,'Assumptions (Nuclear)'!$V$9,'Assumptions (Nuclear)'!$V$4*Model!$U$1110*AVERAGE('Assumptions (Nuclear)'!$N$2:$S$2)/10^9),0)</f>
        <v>0</v>
      </c>
      <c r="AA1185" s="105">
        <f>IF($U$1110&gt;0,PPMT('Assumptions (Nuclear)'!$V$6,Model!AC$1,'Assumptions (Nuclear)'!$V$9,'Assumptions (Nuclear)'!$V$4*Model!$U$1110*AVERAGE('Assumptions (Nuclear)'!$N$2:$S$2)/10^9),0)</f>
        <v>0</v>
      </c>
      <c r="AB1185" s="105">
        <f>IF($U$1110&gt;0,PPMT('Assumptions (Nuclear)'!$V$6,Model!AD$1,'Assumptions (Nuclear)'!$V$9,'Assumptions (Nuclear)'!$V$4*Model!$U$1110*AVERAGE('Assumptions (Nuclear)'!$N$2:$S$2)/10^9),0)</f>
        <v>0</v>
      </c>
      <c r="AC1185" s="105">
        <f>IF($U$1110&gt;0,PPMT('Assumptions (Nuclear)'!$V$6,Model!AE$1,'Assumptions (Nuclear)'!$V$9,'Assumptions (Nuclear)'!$V$4*Model!$U$1110*AVERAGE('Assumptions (Nuclear)'!$N$2:$S$2)/10^9),0)</f>
        <v>0</v>
      </c>
      <c r="AD1185" s="105">
        <f>IF($U$1110&gt;0,PPMT('Assumptions (Nuclear)'!$V$6,Model!AF$1,'Assumptions (Nuclear)'!$V$9,'Assumptions (Nuclear)'!$V$4*Model!$U$1110*AVERAGE('Assumptions (Nuclear)'!$N$2:$S$2)/10^9),0)</f>
        <v>0</v>
      </c>
      <c r="AE1185" s="105">
        <f>IF($U$1110&gt;0,PPMT('Assumptions (Nuclear)'!$V$6,Model!AG$1,'Assumptions (Nuclear)'!$V$9,'Assumptions (Nuclear)'!$V$4*Model!$U$1110*AVERAGE('Assumptions (Nuclear)'!$N$2:$S$2)/10^9),0)</f>
        <v>0</v>
      </c>
      <c r="AF1185" s="105">
        <f>IF($U$1110&gt;0,PPMT('Assumptions (Nuclear)'!$V$6,Model!AH$1,'Assumptions (Nuclear)'!$V$9,'Assumptions (Nuclear)'!$V$4*Model!$U$1110*AVERAGE('Assumptions (Nuclear)'!$N$2:$S$2)/10^9),0)</f>
        <v>0</v>
      </c>
      <c r="AG1185" s="105">
        <f>IF($U$1110&gt;0,PPMT('Assumptions (Nuclear)'!$V$6,Model!AI$1,'Assumptions (Nuclear)'!$V$9,'Assumptions (Nuclear)'!$V$4*Model!$U$1110*AVERAGE('Assumptions (Nuclear)'!$N$2:$S$2)/10^9),0)</f>
        <v>0</v>
      </c>
      <c r="AH1185" s="105">
        <f>IF($U$1110&gt;0,PPMT('Assumptions (Nuclear)'!$V$6,Model!AJ$1,'Assumptions (Nuclear)'!$V$9,'Assumptions (Nuclear)'!$V$4*Model!$U$1110*AVERAGE('Assumptions (Nuclear)'!$N$2:$S$2)/10^9),0)</f>
        <v>0</v>
      </c>
      <c r="AI1185" s="105">
        <f>IF($U$1110&gt;0,PPMT('Assumptions (Nuclear)'!$V$6,Model!AK$1,'Assumptions (Nuclear)'!$V$9,'Assumptions (Nuclear)'!$V$4*Model!$U$1110*AVERAGE('Assumptions (Nuclear)'!$N$2:$S$2)/10^9),0)</f>
        <v>0</v>
      </c>
      <c r="AJ1185" s="105"/>
      <c r="AK1185" s="105"/>
      <c r="AL1185" s="105"/>
      <c r="AM1185" s="105"/>
      <c r="AN1185" s="105"/>
      <c r="AO1185" s="105"/>
      <c r="AP1185" s="105"/>
      <c r="AQ1185" s="105"/>
      <c r="AR1185" s="105"/>
      <c r="AS1185" s="105"/>
      <c r="AU1185" s="147"/>
      <c r="AV1185" s="147"/>
      <c r="AW1185" s="147"/>
      <c r="AX1185" s="147"/>
      <c r="AY1185" s="147"/>
      <c r="AZ1185" s="147"/>
      <c r="BA1185" s="147"/>
    </row>
    <row r="1186" spans="1:60" ht="15.75" hidden="1" customHeight="1" outlineLevel="1">
      <c r="A1186" s="407"/>
      <c r="B1186" s="99"/>
      <c r="C1186" s="105"/>
      <c r="D1186" s="105"/>
      <c r="E1186" s="105"/>
      <c r="F1186" s="105"/>
      <c r="G1186" s="105"/>
      <c r="H1186" s="105"/>
      <c r="I1186" s="105"/>
      <c r="J1186" s="105"/>
      <c r="K1186" s="105"/>
      <c r="L1186" s="105"/>
      <c r="M1186" s="105"/>
      <c r="N1186" s="105"/>
      <c r="O1186" s="105"/>
      <c r="P1186" s="171"/>
      <c r="Q1186" s="105"/>
      <c r="R1186" s="91"/>
      <c r="S1186" s="91"/>
      <c r="T1186" s="91"/>
      <c r="U1186" s="105"/>
      <c r="V1186" s="105">
        <f>IF($V$1110&gt;0,PPMT('Assumptions (Nuclear)'!$V$6,Model!W$1,'Assumptions (Nuclear)'!$V$9,'Assumptions (Nuclear)'!$V$4*Model!$V$1110*AVERAGE('Assumptions (Nuclear)'!$O$2:$T$2)/10^9),0)</f>
        <v>-0.1130736880247096</v>
      </c>
      <c r="W1186" s="105">
        <f>IF($V$1110&gt;0,PPMT('Assumptions (Nuclear)'!$V$6,Model!X$1,'Assumptions (Nuclear)'!$V$9,'Assumptions (Nuclear)'!$V$4*Model!$V$1110*AVERAGE('Assumptions (Nuclear)'!$O$2:$T$2)/10^9),0)</f>
        <v>-0.1184446882058833</v>
      </c>
      <c r="X1186" s="105">
        <f>IF($V$1110&gt;0,PPMT('Assumptions (Nuclear)'!$V$6,Model!Y$1,'Assumptions (Nuclear)'!$V$9,'Assumptions (Nuclear)'!$V$4*Model!$V$1110*AVERAGE('Assumptions (Nuclear)'!$O$2:$T$2)/10^9),0)</f>
        <v>-0.12407081089566278</v>
      </c>
      <c r="Y1186" s="105">
        <f>IF($V$1110&gt;0,PPMT('Assumptions (Nuclear)'!$V$6,Model!Z$1,'Assumptions (Nuclear)'!$V$9,'Assumptions (Nuclear)'!$V$4*Model!$V$1110*AVERAGE('Assumptions (Nuclear)'!$O$2:$T$2)/10^9),0)</f>
        <v>-0.12996417441320673</v>
      </c>
      <c r="Z1186" s="105">
        <f>IF($V$1110&gt;0,PPMT('Assumptions (Nuclear)'!$V$6,Model!AA$1,'Assumptions (Nuclear)'!$V$9,'Assumptions (Nuclear)'!$V$4*Model!$V$1110*AVERAGE('Assumptions (Nuclear)'!$O$2:$T$2)/10^9),0)</f>
        <v>-0.13613747269783405</v>
      </c>
      <c r="AA1186" s="105">
        <f>IF($V$1110&gt;0,PPMT('Assumptions (Nuclear)'!$V$6,Model!AB$1,'Assumptions (Nuclear)'!$V$9,'Assumptions (Nuclear)'!$V$4*Model!$V$1110*AVERAGE('Assumptions (Nuclear)'!$O$2:$T$2)/10^9),0)</f>
        <v>-0.14260400265098119</v>
      </c>
      <c r="AB1186" s="105">
        <f>IF($V$1110&gt;0,PPMT('Assumptions (Nuclear)'!$V$6,Model!AC$1,'Assumptions (Nuclear)'!$V$9,'Assumptions (Nuclear)'!$V$4*Model!$V$1110*AVERAGE('Assumptions (Nuclear)'!$O$2:$T$2)/10^9),0)</f>
        <v>-0.1493776927769028</v>
      </c>
      <c r="AC1186" s="105">
        <f>IF($V$1110&gt;0,PPMT('Assumptions (Nuclear)'!$V$6,Model!AD$1,'Assumptions (Nuclear)'!$V$9,'Assumptions (Nuclear)'!$V$4*Model!$V$1110*AVERAGE('Assumptions (Nuclear)'!$O$2:$T$2)/10^9),0)</f>
        <v>-0.15647313318380568</v>
      </c>
      <c r="AD1186" s="105">
        <f>IF($V$1110&gt;0,PPMT('Assumptions (Nuclear)'!$V$6,Model!AE$1,'Assumptions (Nuclear)'!$V$9,'Assumptions (Nuclear)'!$V$4*Model!$V$1110*AVERAGE('Assumptions (Nuclear)'!$O$2:$T$2)/10^9),0)</f>
        <v>-0.16390560701003642</v>
      </c>
      <c r="AE1186" s="105">
        <f>IF($V$1110&gt;0,PPMT('Assumptions (Nuclear)'!$V$6,Model!AF$1,'Assumptions (Nuclear)'!$V$9,'Assumptions (Nuclear)'!$V$4*Model!$V$1110*AVERAGE('Assumptions (Nuclear)'!$O$2:$T$2)/10^9),0)</f>
        <v>-0.17169112334301317</v>
      </c>
      <c r="AF1186" s="105">
        <f>IF($V$1110&gt;0,PPMT('Assumptions (Nuclear)'!$V$6,Model!AG$1,'Assumptions (Nuclear)'!$V$9,'Assumptions (Nuclear)'!$V$4*Model!$V$1110*AVERAGE('Assumptions (Nuclear)'!$O$2:$T$2)/10^9),0)</f>
        <v>-0.17984645170180633</v>
      </c>
      <c r="AG1186" s="105">
        <f>IF($V$1110&gt;0,PPMT('Assumptions (Nuclear)'!$V$6,Model!AH$1,'Assumptions (Nuclear)'!$V$9,'Assumptions (Nuclear)'!$V$4*Model!$V$1110*AVERAGE('Assumptions (Nuclear)'!$O$2:$T$2)/10^9),0)</f>
        <v>-0.18838915815764209</v>
      </c>
      <c r="AH1186" s="105">
        <f>IF($V$1110&gt;0,PPMT('Assumptions (Nuclear)'!$V$6,Model!AI$1,'Assumptions (Nuclear)'!$V$9,'Assumptions (Nuclear)'!$V$4*Model!$V$1110*AVERAGE('Assumptions (Nuclear)'!$O$2:$T$2)/10^9),0)</f>
        <v>-0.19733764317013014</v>
      </c>
      <c r="AI1186" s="105">
        <f>IF($V$1110&gt;0,PPMT('Assumptions (Nuclear)'!$V$6,Model!AJ$1,'Assumptions (Nuclear)'!$V$9,'Assumptions (Nuclear)'!$V$4*Model!$V$1110*AVERAGE('Assumptions (Nuclear)'!$O$2:$T$2)/10^9),0)</f>
        <v>-0.2067111812207113</v>
      </c>
      <c r="AJ1186" s="105">
        <f>IF($V$1110&gt;0,PPMT('Assumptions (Nuclear)'!$V$6,Model!AK$1,'Assumptions (Nuclear)'!$V$9,'Assumptions (Nuclear)'!$V$4*Model!$V$1110*AVERAGE('Assumptions (Nuclear)'!$O$2:$T$2)/10^9),0)</f>
        <v>-0.21652996232869506</v>
      </c>
      <c r="AK1186" s="105"/>
      <c r="AL1186" s="105"/>
      <c r="AM1186" s="105"/>
      <c r="AN1186" s="105"/>
      <c r="AO1186" s="105"/>
      <c r="AP1186" s="105"/>
      <c r="AQ1186" s="105"/>
      <c r="AR1186" s="105"/>
      <c r="AS1186" s="105"/>
      <c r="AT1186" s="105"/>
      <c r="AU1186" s="147"/>
      <c r="AV1186" s="147"/>
      <c r="AW1186" s="147"/>
      <c r="AX1186" s="147"/>
      <c r="AY1186" s="147"/>
      <c r="AZ1186" s="147"/>
      <c r="BA1186" s="147"/>
    </row>
    <row r="1187" spans="1:60" ht="15.75" hidden="1" customHeight="1" outlineLevel="1">
      <c r="A1187" s="407"/>
      <c r="B1187" s="99"/>
      <c r="C1187" s="99"/>
      <c r="D1187" s="99"/>
      <c r="E1187" s="99"/>
      <c r="F1187" s="99"/>
      <c r="G1187" s="99"/>
      <c r="H1187" s="99"/>
      <c r="I1187" s="99"/>
      <c r="J1187" s="99"/>
      <c r="K1187" s="99"/>
      <c r="L1187" s="99"/>
      <c r="M1187" s="99"/>
      <c r="N1187" s="99"/>
      <c r="O1187" s="99"/>
      <c r="P1187" s="99"/>
      <c r="Q1187" s="99"/>
      <c r="R1187" s="99"/>
      <c r="S1187" s="99"/>
      <c r="T1187" s="99"/>
      <c r="U1187" s="99"/>
      <c r="V1187" s="99"/>
      <c r="W1187" s="105">
        <f>IF($W$1110&gt;0,PPMT('Assumptions (Nuclear)'!$V$6,Model!W1,'Assumptions (Nuclear)'!$V$9,'Assumptions (Nuclear)'!$V$4*Model!$W$1110*AVERAGE('Assumptions (Nuclear)'!$P$2:$U$2)/10^9),0)</f>
        <v>0</v>
      </c>
      <c r="X1187" s="105">
        <f>IF($W$1110&gt;0,PPMT('Assumptions (Nuclear)'!$V$6,Model!X1,'Assumptions (Nuclear)'!$V$9,'Assumptions (Nuclear)'!$V$4*Model!$W$1110*AVERAGE('Assumptions (Nuclear)'!$P$2:$U$2)/10^9),0)</f>
        <v>0</v>
      </c>
      <c r="Y1187" s="105">
        <f>IF($W$1110&gt;0,PPMT('Assumptions (Nuclear)'!$V$6,Model!Y1,'Assumptions (Nuclear)'!$V$9,'Assumptions (Nuclear)'!$V$4*Model!$W$1110*AVERAGE('Assumptions (Nuclear)'!$P$2:$U$2)/10^9),0)</f>
        <v>0</v>
      </c>
      <c r="Z1187" s="105">
        <f>IF($W$1110&gt;0,PPMT('Assumptions (Nuclear)'!$V$6,Model!Z1,'Assumptions (Nuclear)'!$V$9,'Assumptions (Nuclear)'!$V$4*Model!$W$1110*AVERAGE('Assumptions (Nuclear)'!$P$2:$U$2)/10^9),0)</f>
        <v>0</v>
      </c>
      <c r="AA1187" s="105">
        <f>IF($W$1110&gt;0,PPMT('Assumptions (Nuclear)'!$V$6,Model!AA1,'Assumptions (Nuclear)'!$V$9,'Assumptions (Nuclear)'!$V$4*Model!$W$1110*AVERAGE('Assumptions (Nuclear)'!$P$2:$U$2)/10^9),0)</f>
        <v>0</v>
      </c>
      <c r="AB1187" s="105">
        <f>IF($W$1110&gt;0,PPMT('Assumptions (Nuclear)'!$V$6,Model!AB1,'Assumptions (Nuclear)'!$V$9,'Assumptions (Nuclear)'!$V$4*Model!$W$1110*AVERAGE('Assumptions (Nuclear)'!$P$2:$U$2)/10^9),0)</f>
        <v>0</v>
      </c>
      <c r="AC1187" s="105">
        <f>IF($W$1110&gt;0,PPMT('Assumptions (Nuclear)'!$V$6,Model!AC1,'Assumptions (Nuclear)'!$V$9,'Assumptions (Nuclear)'!$V$4*Model!$W$1110*AVERAGE('Assumptions (Nuclear)'!$P$2:$U$2)/10^9),0)</f>
        <v>0</v>
      </c>
      <c r="AD1187" s="105">
        <f>IF($W$1110&gt;0,PPMT('Assumptions (Nuclear)'!$V$6,Model!AD1,'Assumptions (Nuclear)'!$V$9,'Assumptions (Nuclear)'!$V$4*Model!$W$1110*AVERAGE('Assumptions (Nuclear)'!$P$2:$U$2)/10^9),0)</f>
        <v>0</v>
      </c>
      <c r="AE1187" s="105">
        <f>IF($W$1110&gt;0,PPMT('Assumptions (Nuclear)'!$V$6,Model!AE1,'Assumptions (Nuclear)'!$V$9,'Assumptions (Nuclear)'!$V$4*Model!$W$1110*AVERAGE('Assumptions (Nuclear)'!$P$2:$U$2)/10^9),0)</f>
        <v>0</v>
      </c>
      <c r="AF1187" s="105">
        <f>IF($W$1110&gt;0,PPMT('Assumptions (Nuclear)'!$V$6,Model!AF1,'Assumptions (Nuclear)'!$V$9,'Assumptions (Nuclear)'!$V$4*Model!$W$1110*AVERAGE('Assumptions (Nuclear)'!$P$2:$U$2)/10^9),0)</f>
        <v>0</v>
      </c>
      <c r="AG1187" s="105">
        <f>IF($W$1110&gt;0,PPMT('Assumptions (Nuclear)'!$V$6,Model!AG1,'Assumptions (Nuclear)'!$V$9,'Assumptions (Nuclear)'!$V$4*Model!$W$1110*AVERAGE('Assumptions (Nuclear)'!$P$2:$U$2)/10^9),0)</f>
        <v>0</v>
      </c>
      <c r="AH1187" s="105">
        <f>IF($W$1110&gt;0,PPMT('Assumptions (Nuclear)'!$V$6,Model!AH1,'Assumptions (Nuclear)'!$V$9,'Assumptions (Nuclear)'!$V$4*Model!$W$1110*AVERAGE('Assumptions (Nuclear)'!$P$2:$U$2)/10^9),0)</f>
        <v>0</v>
      </c>
      <c r="AI1187" s="105">
        <f>IF($W$1110&gt;0,PPMT('Assumptions (Nuclear)'!$V$6,Model!AI1,'Assumptions (Nuclear)'!$V$9,'Assumptions (Nuclear)'!$V$4*Model!$W$1110*AVERAGE('Assumptions (Nuclear)'!$P$2:$U$2)/10^9),0)</f>
        <v>0</v>
      </c>
      <c r="AJ1187" s="105">
        <f>IF($W$1110&gt;0,PPMT('Assumptions (Nuclear)'!$V$6,Model!AJ1,'Assumptions (Nuclear)'!$V$9,'Assumptions (Nuclear)'!$V$4*Model!$W$1110*AVERAGE('Assumptions (Nuclear)'!$P$2:$U$2)/10^9),0)</f>
        <v>0</v>
      </c>
      <c r="AK1187" s="105">
        <f>IF($W$1110&gt;0,PPMT('Assumptions (Nuclear)'!$V$6,Model!AK1,'Assumptions (Nuclear)'!$V$9,'Assumptions (Nuclear)'!$V$4*Model!$W$1110*AVERAGE('Assumptions (Nuclear)'!$P$2:$U$2)/10^9),0)</f>
        <v>0</v>
      </c>
      <c r="AL1187" s="105"/>
      <c r="AM1187" s="105"/>
      <c r="AN1187" s="105"/>
      <c r="AO1187" s="105"/>
      <c r="AP1187" s="105"/>
      <c r="AQ1187" s="105"/>
      <c r="AR1187" s="105"/>
      <c r="AS1187" s="105"/>
      <c r="AT1187" s="105"/>
      <c r="AU1187" s="105"/>
      <c r="AV1187" s="105"/>
      <c r="AW1187" s="105"/>
      <c r="AX1187" s="105"/>
      <c r="AY1187" s="105"/>
      <c r="AZ1187" s="105"/>
      <c r="BA1187" s="105"/>
    </row>
    <row r="1188" spans="1:60" ht="15.75" hidden="1" customHeight="1" outlineLevel="1">
      <c r="A1188" s="407"/>
      <c r="B1188" s="99"/>
      <c r="C1188" s="99"/>
      <c r="D1188" s="99"/>
      <c r="E1188" s="99"/>
      <c r="F1188" s="99"/>
      <c r="G1188" s="99"/>
      <c r="H1188" s="99"/>
      <c r="I1188" s="99"/>
      <c r="J1188" s="99"/>
      <c r="K1188" s="99"/>
      <c r="L1188" s="99"/>
      <c r="M1188" s="99"/>
      <c r="N1188" s="99"/>
      <c r="O1188" s="99"/>
      <c r="P1188" s="99"/>
      <c r="Q1188" s="99"/>
      <c r="R1188" s="99"/>
      <c r="S1188" s="99"/>
      <c r="T1188" s="99"/>
      <c r="U1188" s="99"/>
      <c r="V1188" s="99"/>
      <c r="W1188" s="105"/>
      <c r="X1188" s="105">
        <f>IF($X$1110&gt;0,PPMT('Assumptions (Nuclear)'!$V$6,Model!W1,'Assumptions (Nuclear)'!$V$9,'Assumptions (Nuclear)'!$V$4*Model!$X$1110*AVERAGE('Assumptions (Nuclear)'!$Q$2:$V$2)/10^9),0)</f>
        <v>0</v>
      </c>
      <c r="Y1188" s="105">
        <f>IF($X$1110&gt;0,PPMT('Assumptions (Nuclear)'!$V$6,Model!X1,'Assumptions (Nuclear)'!$V$9,'Assumptions (Nuclear)'!$V$4*Model!$X$1110*AVERAGE('Assumptions (Nuclear)'!$Q$2:$V$2)/10^9),0)</f>
        <v>0</v>
      </c>
      <c r="Z1188" s="105">
        <f>IF($X$1110&gt;0,PPMT('Assumptions (Nuclear)'!$V$6,Model!Y1,'Assumptions (Nuclear)'!$V$9,'Assumptions (Nuclear)'!$V$4*Model!$X$1110*AVERAGE('Assumptions (Nuclear)'!$Q$2:$V$2)/10^9),0)</f>
        <v>0</v>
      </c>
      <c r="AA1188" s="105">
        <f>IF($X$1110&gt;0,PPMT('Assumptions (Nuclear)'!$V$6,Model!Z1,'Assumptions (Nuclear)'!$V$9,'Assumptions (Nuclear)'!$V$4*Model!$X$1110*AVERAGE('Assumptions (Nuclear)'!$Q$2:$V$2)/10^9),0)</f>
        <v>0</v>
      </c>
      <c r="AB1188" s="105">
        <f>IF($X$1110&gt;0,PPMT('Assumptions (Nuclear)'!$V$6,Model!AA1,'Assumptions (Nuclear)'!$V$9,'Assumptions (Nuclear)'!$V$4*Model!$X$1110*AVERAGE('Assumptions (Nuclear)'!$Q$2:$V$2)/10^9),0)</f>
        <v>0</v>
      </c>
      <c r="AC1188" s="105">
        <f>IF($X$1110&gt;0,PPMT('Assumptions (Nuclear)'!$V$6,Model!AB1,'Assumptions (Nuclear)'!$V$9,'Assumptions (Nuclear)'!$V$4*Model!$X$1110*AVERAGE('Assumptions (Nuclear)'!$Q$2:$V$2)/10^9),0)</f>
        <v>0</v>
      </c>
      <c r="AD1188" s="105">
        <f>IF($X$1110&gt;0,PPMT('Assumptions (Nuclear)'!$V$6,Model!AC1,'Assumptions (Nuclear)'!$V$9,'Assumptions (Nuclear)'!$V$4*Model!$X$1110*AVERAGE('Assumptions (Nuclear)'!$Q$2:$V$2)/10^9),0)</f>
        <v>0</v>
      </c>
      <c r="AE1188" s="105">
        <f>IF($X$1110&gt;0,PPMT('Assumptions (Nuclear)'!$V$6,Model!AD1,'Assumptions (Nuclear)'!$V$9,'Assumptions (Nuclear)'!$V$4*Model!$X$1110*AVERAGE('Assumptions (Nuclear)'!$Q$2:$V$2)/10^9),0)</f>
        <v>0</v>
      </c>
      <c r="AF1188" s="105">
        <f>IF($X$1110&gt;0,PPMT('Assumptions (Nuclear)'!$V$6,Model!AE1,'Assumptions (Nuclear)'!$V$9,'Assumptions (Nuclear)'!$V$4*Model!$X$1110*AVERAGE('Assumptions (Nuclear)'!$Q$2:$V$2)/10^9),0)</f>
        <v>0</v>
      </c>
      <c r="AG1188" s="105">
        <f>IF($X$1110&gt;0,PPMT('Assumptions (Nuclear)'!$V$6,Model!AF1,'Assumptions (Nuclear)'!$V$9,'Assumptions (Nuclear)'!$V$4*Model!$X$1110*AVERAGE('Assumptions (Nuclear)'!$Q$2:$V$2)/10^9),0)</f>
        <v>0</v>
      </c>
      <c r="AH1188" s="105">
        <f>IF($X$1110&gt;0,PPMT('Assumptions (Nuclear)'!$V$6,Model!AG1,'Assumptions (Nuclear)'!$V$9,'Assumptions (Nuclear)'!$V$4*Model!$X$1110*AVERAGE('Assumptions (Nuclear)'!$Q$2:$V$2)/10^9),0)</f>
        <v>0</v>
      </c>
      <c r="AI1188" s="105">
        <f>IF($X$1110&gt;0,PPMT('Assumptions (Nuclear)'!$V$6,Model!AH1,'Assumptions (Nuclear)'!$V$9,'Assumptions (Nuclear)'!$V$4*Model!$X$1110*AVERAGE('Assumptions (Nuclear)'!$Q$2:$V$2)/10^9),0)</f>
        <v>0</v>
      </c>
      <c r="AJ1188" s="105">
        <f>IF($X$1110&gt;0,PPMT('Assumptions (Nuclear)'!$V$6,Model!AI1,'Assumptions (Nuclear)'!$V$9,'Assumptions (Nuclear)'!$V$4*Model!$X$1110*AVERAGE('Assumptions (Nuclear)'!$Q$2:$V$2)/10^9),0)</f>
        <v>0</v>
      </c>
      <c r="AK1188" s="105">
        <f>IF($X$1110&gt;0,PPMT('Assumptions (Nuclear)'!$V$6,Model!AJ1,'Assumptions (Nuclear)'!$V$9,'Assumptions (Nuclear)'!$V$4*Model!$X$1110*AVERAGE('Assumptions (Nuclear)'!$Q$2:$V$2)/10^9),0)</f>
        <v>0</v>
      </c>
      <c r="AL1188" s="105">
        <f>IF($X$1110&gt;0,PPMT('Assumptions (Nuclear)'!$V$6,Model!AK1,'Assumptions (Nuclear)'!$V$9,'Assumptions (Nuclear)'!$V$4*Model!$X$1110*AVERAGE('Assumptions (Nuclear)'!$Q$2:$V$2)/10^9),0)</f>
        <v>0</v>
      </c>
      <c r="AM1188" s="105"/>
      <c r="AN1188" s="105"/>
      <c r="AO1188" s="105"/>
      <c r="AP1188" s="105"/>
      <c r="AQ1188" s="105"/>
      <c r="AR1188" s="105"/>
      <c r="AS1188" s="105"/>
      <c r="AT1188" s="105"/>
      <c r="AU1188" s="105"/>
      <c r="AV1188" s="105"/>
      <c r="AW1188" s="105"/>
      <c r="AX1188" s="105"/>
      <c r="AY1188" s="105"/>
      <c r="AZ1188" s="105"/>
      <c r="BA1188" s="105"/>
    </row>
    <row r="1189" spans="1:60" ht="15.75" hidden="1" customHeight="1" outlineLevel="1">
      <c r="A1189" s="407"/>
      <c r="B1189" s="99"/>
      <c r="C1189" s="99"/>
      <c r="D1189" s="99"/>
      <c r="E1189" s="99"/>
      <c r="F1189" s="99"/>
      <c r="G1189" s="99"/>
      <c r="H1189" s="99"/>
      <c r="I1189" s="99"/>
      <c r="J1189" s="99"/>
      <c r="K1189" s="99"/>
      <c r="L1189" s="99"/>
      <c r="M1189" s="99"/>
      <c r="N1189" s="99"/>
      <c r="O1189" s="99"/>
      <c r="P1189" s="99"/>
      <c r="Q1189" s="99"/>
      <c r="R1189" s="99"/>
      <c r="S1189" s="99"/>
      <c r="T1189" s="99"/>
      <c r="U1189" s="99"/>
      <c r="V1189" s="99"/>
      <c r="W1189" s="105"/>
      <c r="X1189" s="105"/>
      <c r="Y1189" s="105">
        <f>IF($Y$1110&gt;0,PPMT('Assumptions (Nuclear)'!$V$6,Model!W1,'Assumptions (Nuclear)'!$V$9,'Assumptions (Nuclear)'!$V$4*Model!$Y$1110*AVERAGE('Assumptions (Nuclear)'!$R$2:$W$2)/10^9),0)</f>
        <v>0</v>
      </c>
      <c r="Z1189" s="105">
        <f>IF($Y$1110&gt;0,PPMT('Assumptions (Nuclear)'!$V$6,Model!X1,'Assumptions (Nuclear)'!$V$9,'Assumptions (Nuclear)'!$V$4*Model!$Y$1110*AVERAGE('Assumptions (Nuclear)'!$R$2:$W$2)/10^9),0)</f>
        <v>0</v>
      </c>
      <c r="AA1189" s="105">
        <f>IF($Y$1110&gt;0,PPMT('Assumptions (Nuclear)'!$V$6,Model!Y1,'Assumptions (Nuclear)'!$V$9,'Assumptions (Nuclear)'!$V$4*Model!$Y$1110*AVERAGE('Assumptions (Nuclear)'!$R$2:$W$2)/10^9),0)</f>
        <v>0</v>
      </c>
      <c r="AB1189" s="105">
        <f>IF($Y$1110&gt;0,PPMT('Assumptions (Nuclear)'!$V$6,Model!Z1,'Assumptions (Nuclear)'!$V$9,'Assumptions (Nuclear)'!$V$4*Model!$Y$1110*AVERAGE('Assumptions (Nuclear)'!$R$2:$W$2)/10^9),0)</f>
        <v>0</v>
      </c>
      <c r="AC1189" s="105">
        <f>IF($Y$1110&gt;0,PPMT('Assumptions (Nuclear)'!$V$6,Model!AA1,'Assumptions (Nuclear)'!$V$9,'Assumptions (Nuclear)'!$V$4*Model!$Y$1110*AVERAGE('Assumptions (Nuclear)'!$R$2:$W$2)/10^9),0)</f>
        <v>0</v>
      </c>
      <c r="AD1189" s="105">
        <f>IF($Y$1110&gt;0,PPMT('Assumptions (Nuclear)'!$V$6,Model!AB1,'Assumptions (Nuclear)'!$V$9,'Assumptions (Nuclear)'!$V$4*Model!$Y$1110*AVERAGE('Assumptions (Nuclear)'!$R$2:$W$2)/10^9),0)</f>
        <v>0</v>
      </c>
      <c r="AE1189" s="105">
        <f>IF($Y$1110&gt;0,PPMT('Assumptions (Nuclear)'!$V$6,Model!AC1,'Assumptions (Nuclear)'!$V$9,'Assumptions (Nuclear)'!$V$4*Model!$Y$1110*AVERAGE('Assumptions (Nuclear)'!$R$2:$W$2)/10^9),0)</f>
        <v>0</v>
      </c>
      <c r="AF1189" s="105">
        <f>IF($Y$1110&gt;0,PPMT('Assumptions (Nuclear)'!$V$6,Model!AD1,'Assumptions (Nuclear)'!$V$9,'Assumptions (Nuclear)'!$V$4*Model!$Y$1110*AVERAGE('Assumptions (Nuclear)'!$R$2:$W$2)/10^9),0)</f>
        <v>0</v>
      </c>
      <c r="AG1189" s="105">
        <f>IF($Y$1110&gt;0,PPMT('Assumptions (Nuclear)'!$V$6,Model!AE1,'Assumptions (Nuclear)'!$V$9,'Assumptions (Nuclear)'!$V$4*Model!$Y$1110*AVERAGE('Assumptions (Nuclear)'!$R$2:$W$2)/10^9),0)</f>
        <v>0</v>
      </c>
      <c r="AH1189" s="105">
        <f>IF($Y$1110&gt;0,PPMT('Assumptions (Nuclear)'!$V$6,Model!AF1,'Assumptions (Nuclear)'!$V$9,'Assumptions (Nuclear)'!$V$4*Model!$Y$1110*AVERAGE('Assumptions (Nuclear)'!$R$2:$W$2)/10^9),0)</f>
        <v>0</v>
      </c>
      <c r="AI1189" s="105">
        <f>IF($Y$1110&gt;0,PPMT('Assumptions (Nuclear)'!$V$6,Model!AG1,'Assumptions (Nuclear)'!$V$9,'Assumptions (Nuclear)'!$V$4*Model!$Y$1110*AVERAGE('Assumptions (Nuclear)'!$R$2:$W$2)/10^9),0)</f>
        <v>0</v>
      </c>
      <c r="AJ1189" s="105">
        <f>IF($Y$1110&gt;0,PPMT('Assumptions (Nuclear)'!$V$6,Model!AH1,'Assumptions (Nuclear)'!$V$9,'Assumptions (Nuclear)'!$V$4*Model!$Y$1110*AVERAGE('Assumptions (Nuclear)'!$R$2:$W$2)/10^9),0)</f>
        <v>0</v>
      </c>
      <c r="AK1189" s="105">
        <f>IF($Y$1110&gt;0,PPMT('Assumptions (Nuclear)'!$V$6,Model!AI1,'Assumptions (Nuclear)'!$V$9,'Assumptions (Nuclear)'!$V$4*Model!$Y$1110*AVERAGE('Assumptions (Nuclear)'!$R$2:$W$2)/10^9),0)</f>
        <v>0</v>
      </c>
      <c r="AL1189" s="105">
        <f>IF($Y$1110&gt;0,PPMT('Assumptions (Nuclear)'!$V$6,Model!AJ1,'Assumptions (Nuclear)'!$V$9,'Assumptions (Nuclear)'!$V$4*Model!$Y$1110*AVERAGE('Assumptions (Nuclear)'!$R$2:$W$2)/10^9),0)</f>
        <v>0</v>
      </c>
      <c r="AM1189" s="105">
        <f>IF($Y$1110&gt;0,PPMT('Assumptions (Nuclear)'!$V$6,Model!AK1,'Assumptions (Nuclear)'!$V$9,'Assumptions (Nuclear)'!$V$4*Model!$Y$1110*AVERAGE('Assumptions (Nuclear)'!$R$2:$W$2)/10^9),0)</f>
        <v>0</v>
      </c>
      <c r="AN1189" s="105"/>
      <c r="AO1189" s="105"/>
      <c r="AP1189" s="105"/>
      <c r="AQ1189" s="105"/>
      <c r="AR1189" s="105"/>
      <c r="AS1189" s="105"/>
      <c r="AT1189" s="105"/>
      <c r="AU1189" s="105"/>
      <c r="AV1189" s="105"/>
      <c r="AW1189" s="105"/>
      <c r="AX1189" s="105"/>
      <c r="AY1189" s="105"/>
      <c r="AZ1189" s="105"/>
      <c r="BA1189" s="105"/>
    </row>
    <row r="1190" spans="1:60" ht="15.75" hidden="1" customHeight="1" outlineLevel="1">
      <c r="A1190" s="407"/>
      <c r="B1190" s="99"/>
      <c r="C1190" s="99"/>
      <c r="D1190" s="99"/>
      <c r="E1190" s="99"/>
      <c r="F1190" s="99"/>
      <c r="G1190" s="99"/>
      <c r="H1190" s="99"/>
      <c r="I1190" s="99"/>
      <c r="J1190" s="99"/>
      <c r="K1190" s="99"/>
      <c r="L1190" s="99"/>
      <c r="M1190" s="99"/>
      <c r="N1190" s="99"/>
      <c r="O1190" s="99"/>
      <c r="P1190" s="99"/>
      <c r="Q1190" s="99"/>
      <c r="R1190" s="99"/>
      <c r="S1190" s="99"/>
      <c r="T1190" s="99"/>
      <c r="U1190" s="99"/>
      <c r="V1190" s="99"/>
      <c r="W1190" s="105"/>
      <c r="X1190" s="105"/>
      <c r="Y1190" s="105"/>
      <c r="Z1190" s="105">
        <f>IF($Z$1110&gt;0,PPMT('Assumptions (Nuclear)'!$V$6,Model!W1,'Assumptions (Nuclear)'!$V$9,'Assumptions (Nuclear)'!$V$4*Model!$Z$1110*AVERAGE('Assumptions (Nuclear)'!$S$2:$X$2)/10^9),0)</f>
        <v>0</v>
      </c>
      <c r="AA1190" s="105">
        <f>IF($Z$1110&gt;0,PPMT('Assumptions (Nuclear)'!$V$6,Model!X1,'Assumptions (Nuclear)'!$V$9,'Assumptions (Nuclear)'!$V$4*Model!$Z$1110*AVERAGE('Assumptions (Nuclear)'!$S$2:$X$2)/10^9),0)</f>
        <v>0</v>
      </c>
      <c r="AB1190" s="105">
        <f>IF($Z$1110&gt;0,PPMT('Assumptions (Nuclear)'!$V$6,Model!Y1,'Assumptions (Nuclear)'!$V$9,'Assumptions (Nuclear)'!$V$4*Model!$Z$1110*AVERAGE('Assumptions (Nuclear)'!$S$2:$X$2)/10^9),0)</f>
        <v>0</v>
      </c>
      <c r="AC1190" s="105">
        <f>IF($Z$1110&gt;0,PPMT('Assumptions (Nuclear)'!$V$6,Model!Z1,'Assumptions (Nuclear)'!$V$9,'Assumptions (Nuclear)'!$V$4*Model!$Z$1110*AVERAGE('Assumptions (Nuclear)'!$S$2:$X$2)/10^9),0)</f>
        <v>0</v>
      </c>
      <c r="AD1190" s="105">
        <f>IF($Z$1110&gt;0,PPMT('Assumptions (Nuclear)'!$V$6,Model!AA1,'Assumptions (Nuclear)'!$V$9,'Assumptions (Nuclear)'!$V$4*Model!$Z$1110*AVERAGE('Assumptions (Nuclear)'!$S$2:$X$2)/10^9),0)</f>
        <v>0</v>
      </c>
      <c r="AE1190" s="105">
        <f>IF($Z$1110&gt;0,PPMT('Assumptions (Nuclear)'!$V$6,Model!AB1,'Assumptions (Nuclear)'!$V$9,'Assumptions (Nuclear)'!$V$4*Model!$Z$1110*AVERAGE('Assumptions (Nuclear)'!$S$2:$X$2)/10^9),0)</f>
        <v>0</v>
      </c>
      <c r="AF1190" s="105">
        <f>IF($Z$1110&gt;0,PPMT('Assumptions (Nuclear)'!$V$6,Model!AC1,'Assumptions (Nuclear)'!$V$9,'Assumptions (Nuclear)'!$V$4*Model!$Z$1110*AVERAGE('Assumptions (Nuclear)'!$S$2:$X$2)/10^9),0)</f>
        <v>0</v>
      </c>
      <c r="AG1190" s="105">
        <f>IF($Z$1110&gt;0,PPMT('Assumptions (Nuclear)'!$V$6,Model!AD1,'Assumptions (Nuclear)'!$V$9,'Assumptions (Nuclear)'!$V$4*Model!$Z$1110*AVERAGE('Assumptions (Nuclear)'!$S$2:$X$2)/10^9),0)</f>
        <v>0</v>
      </c>
      <c r="AH1190" s="105">
        <f>IF($Z$1110&gt;0,PPMT('Assumptions (Nuclear)'!$V$6,Model!AE1,'Assumptions (Nuclear)'!$V$9,'Assumptions (Nuclear)'!$V$4*Model!$Z$1110*AVERAGE('Assumptions (Nuclear)'!$S$2:$X$2)/10^9),0)</f>
        <v>0</v>
      </c>
      <c r="AI1190" s="105">
        <f>IF($Z$1110&gt;0,PPMT('Assumptions (Nuclear)'!$V$6,Model!AF1,'Assumptions (Nuclear)'!$V$9,'Assumptions (Nuclear)'!$V$4*Model!$Z$1110*AVERAGE('Assumptions (Nuclear)'!$S$2:$X$2)/10^9),0)</f>
        <v>0</v>
      </c>
      <c r="AJ1190" s="105">
        <f>IF($Z$1110&gt;0,PPMT('Assumptions (Nuclear)'!$V$6,Model!AG1,'Assumptions (Nuclear)'!$V$9,'Assumptions (Nuclear)'!$V$4*Model!$Z$1110*AVERAGE('Assumptions (Nuclear)'!$S$2:$X$2)/10^9),0)</f>
        <v>0</v>
      </c>
      <c r="AK1190" s="105">
        <f>IF($Z$1110&gt;0,PPMT('Assumptions (Nuclear)'!$V$6,Model!AH1,'Assumptions (Nuclear)'!$V$9,'Assumptions (Nuclear)'!$V$4*Model!$Z$1110*AVERAGE('Assumptions (Nuclear)'!$S$2:$X$2)/10^9),0)</f>
        <v>0</v>
      </c>
      <c r="AL1190" s="105">
        <f>IF($Z$1110&gt;0,PPMT('Assumptions (Nuclear)'!$V$6,Model!AI1,'Assumptions (Nuclear)'!$V$9,'Assumptions (Nuclear)'!$V$4*Model!$Z$1110*AVERAGE('Assumptions (Nuclear)'!$S$2:$X$2)/10^9),0)</f>
        <v>0</v>
      </c>
      <c r="AM1190" s="105">
        <f>IF($Z$1110&gt;0,PPMT('Assumptions (Nuclear)'!$V$6,Model!AJ1,'Assumptions (Nuclear)'!$V$9,'Assumptions (Nuclear)'!$V$4*Model!$Z$1110*AVERAGE('Assumptions (Nuclear)'!$S$2:$X$2)/10^9),0)</f>
        <v>0</v>
      </c>
      <c r="AN1190" s="105">
        <f>IF($Z$1110&gt;0,PPMT('Assumptions (Nuclear)'!$V$6,Model!AK1,'Assumptions (Nuclear)'!$V$9,'Assumptions (Nuclear)'!$V$4*Model!$Z$1110*AVERAGE('Assumptions (Nuclear)'!$S$2:$X$2)/10^9),0)</f>
        <v>0</v>
      </c>
      <c r="AO1190" s="105"/>
      <c r="AP1190" s="105"/>
      <c r="AQ1190" s="105"/>
      <c r="AR1190" s="105"/>
      <c r="AS1190" s="105"/>
      <c r="AT1190" s="105"/>
      <c r="AU1190" s="105"/>
      <c r="AV1190" s="105"/>
      <c r="AW1190" s="105"/>
      <c r="AX1190" s="105"/>
      <c r="AY1190" s="105"/>
      <c r="AZ1190" s="105"/>
      <c r="BA1190" s="105"/>
    </row>
    <row r="1191" spans="1:60" ht="15.75" hidden="1" customHeight="1" outlineLevel="1">
      <c r="A1191" s="407"/>
      <c r="B1191" s="99"/>
      <c r="C1191" s="99"/>
      <c r="D1191" s="99"/>
      <c r="E1191" s="99"/>
      <c r="F1191" s="99"/>
      <c r="G1191" s="99"/>
      <c r="H1191" s="99"/>
      <c r="I1191" s="99"/>
      <c r="J1191" s="99"/>
      <c r="K1191" s="99"/>
      <c r="L1191" s="99"/>
      <c r="M1191" s="99"/>
      <c r="N1191" s="99"/>
      <c r="O1191" s="99"/>
      <c r="P1191" s="99"/>
      <c r="Q1191" s="99"/>
      <c r="R1191" s="99"/>
      <c r="S1191" s="99"/>
      <c r="T1191" s="99"/>
      <c r="U1191" s="99"/>
      <c r="V1191" s="99"/>
      <c r="W1191" s="105"/>
      <c r="X1191" s="105"/>
      <c r="Y1191" s="105"/>
      <c r="Z1191" s="105"/>
      <c r="AA1191" s="105">
        <f>IF($AA$1110&gt;0,PPMT('Assumptions (Nuclear)'!$V$6,Model!W1,'Assumptions (Nuclear)'!$V$9,'Assumptions (Nuclear)'!$V$4*Model!$AA$1110*AVERAGE('Assumptions (Nuclear)'!$T$2:$Y$2)/10^9),0)</f>
        <v>0</v>
      </c>
      <c r="AB1191" s="105">
        <f>IF($AA$1110&gt;0,PPMT('Assumptions (Nuclear)'!$V$6,Model!X1,'Assumptions (Nuclear)'!$V$9,'Assumptions (Nuclear)'!$V$4*Model!$AA$1110*AVERAGE('Assumptions (Nuclear)'!$T$2:$Y$2)/10^9),0)</f>
        <v>0</v>
      </c>
      <c r="AC1191" s="105">
        <f>IF($AA$1110&gt;0,PPMT('Assumptions (Nuclear)'!$V$6,Model!Y1,'Assumptions (Nuclear)'!$V$9,'Assumptions (Nuclear)'!$V$4*Model!$AA$1110*AVERAGE('Assumptions (Nuclear)'!$T$2:$Y$2)/10^9),0)</f>
        <v>0</v>
      </c>
      <c r="AD1191" s="105">
        <f>IF($AA$1110&gt;0,PPMT('Assumptions (Nuclear)'!$V$6,Model!Z1,'Assumptions (Nuclear)'!$V$9,'Assumptions (Nuclear)'!$V$4*Model!$AA$1110*AVERAGE('Assumptions (Nuclear)'!$T$2:$Y$2)/10^9),0)</f>
        <v>0</v>
      </c>
      <c r="AE1191" s="105">
        <f>IF($AA$1110&gt;0,PPMT('Assumptions (Nuclear)'!$V$6,Model!AA1,'Assumptions (Nuclear)'!$V$9,'Assumptions (Nuclear)'!$V$4*Model!$AA$1110*AVERAGE('Assumptions (Nuclear)'!$T$2:$Y$2)/10^9),0)</f>
        <v>0</v>
      </c>
      <c r="AF1191" s="105">
        <f>IF($AA$1110&gt;0,PPMT('Assumptions (Nuclear)'!$V$6,Model!AB1,'Assumptions (Nuclear)'!$V$9,'Assumptions (Nuclear)'!$V$4*Model!$AA$1110*AVERAGE('Assumptions (Nuclear)'!$T$2:$Y$2)/10^9),0)</f>
        <v>0</v>
      </c>
      <c r="AG1191" s="105">
        <f>IF($AA$1110&gt;0,PPMT('Assumptions (Nuclear)'!$V$6,Model!AC1,'Assumptions (Nuclear)'!$V$9,'Assumptions (Nuclear)'!$V$4*Model!$AA$1110*AVERAGE('Assumptions (Nuclear)'!$T$2:$Y$2)/10^9),0)</f>
        <v>0</v>
      </c>
      <c r="AH1191" s="105">
        <f>IF($AA$1110&gt;0,PPMT('Assumptions (Nuclear)'!$V$6,Model!AD1,'Assumptions (Nuclear)'!$V$9,'Assumptions (Nuclear)'!$V$4*Model!$AA$1110*AVERAGE('Assumptions (Nuclear)'!$T$2:$Y$2)/10^9),0)</f>
        <v>0</v>
      </c>
      <c r="AI1191" s="105">
        <f>IF($AA$1110&gt;0,PPMT('Assumptions (Nuclear)'!$V$6,Model!AE1,'Assumptions (Nuclear)'!$V$9,'Assumptions (Nuclear)'!$V$4*Model!$AA$1110*AVERAGE('Assumptions (Nuclear)'!$T$2:$Y$2)/10^9),0)</f>
        <v>0</v>
      </c>
      <c r="AJ1191" s="105">
        <f>IF($AA$1110&gt;0,PPMT('Assumptions (Nuclear)'!$V$6,Model!AF1,'Assumptions (Nuclear)'!$V$9,'Assumptions (Nuclear)'!$V$4*Model!$AA$1110*AVERAGE('Assumptions (Nuclear)'!$T$2:$Y$2)/10^9),0)</f>
        <v>0</v>
      </c>
      <c r="AK1191" s="105">
        <f>IF($AA$1110&gt;0,PPMT('Assumptions (Nuclear)'!$V$6,Model!AG1,'Assumptions (Nuclear)'!$V$9,'Assumptions (Nuclear)'!$V$4*Model!$AA$1110*AVERAGE('Assumptions (Nuclear)'!$T$2:$Y$2)/10^9),0)</f>
        <v>0</v>
      </c>
      <c r="AL1191" s="105">
        <f>IF($AA$1110&gt;0,PPMT('Assumptions (Nuclear)'!$V$6,Model!AH1,'Assumptions (Nuclear)'!$V$9,'Assumptions (Nuclear)'!$V$4*Model!$AA$1110*AVERAGE('Assumptions (Nuclear)'!$T$2:$Y$2)/10^9),0)</f>
        <v>0</v>
      </c>
      <c r="AM1191" s="105">
        <f>IF($AA$1110&gt;0,PPMT('Assumptions (Nuclear)'!$V$6,Model!AI1,'Assumptions (Nuclear)'!$V$9,'Assumptions (Nuclear)'!$V$4*Model!$AA$1110*AVERAGE('Assumptions (Nuclear)'!$T$2:$Y$2)/10^9),0)</f>
        <v>0</v>
      </c>
      <c r="AN1191" s="105">
        <f>IF($AA$1110&gt;0,PPMT('Assumptions (Nuclear)'!$V$6,Model!AJ1,'Assumptions (Nuclear)'!$V$9,'Assumptions (Nuclear)'!$V$4*Model!$AA$1110*AVERAGE('Assumptions (Nuclear)'!$T$2:$Y$2)/10^9),0)</f>
        <v>0</v>
      </c>
      <c r="AO1191" s="105">
        <f>IF($AA$1110&gt;0,PPMT('Assumptions (Nuclear)'!$V$6,Model!AK1,'Assumptions (Nuclear)'!$V$9,'Assumptions (Nuclear)'!$V$4*Model!$AA$1110*AVERAGE('Assumptions (Nuclear)'!$T$2:$Y$2)/10^9),0)</f>
        <v>0</v>
      </c>
      <c r="AP1191" s="105"/>
      <c r="AQ1191" s="105"/>
      <c r="AR1191" s="105"/>
      <c r="AS1191" s="105"/>
      <c r="AT1191" s="105"/>
      <c r="AU1191" s="105"/>
      <c r="AV1191" s="105"/>
      <c r="AW1191" s="105"/>
      <c r="AX1191" s="105"/>
      <c r="AY1191" s="105"/>
      <c r="AZ1191" s="105"/>
      <c r="BA1191" s="105"/>
    </row>
    <row r="1192" spans="1:60" ht="15.75" hidden="1" customHeight="1" outlineLevel="1">
      <c r="A1192" s="407"/>
      <c r="B1192" s="99"/>
      <c r="C1192" s="99"/>
      <c r="D1192" s="99"/>
      <c r="E1192" s="99"/>
      <c r="F1192" s="99"/>
      <c r="G1192" s="99"/>
      <c r="H1192" s="99"/>
      <c r="I1192" s="99"/>
      <c r="J1192" s="99"/>
      <c r="K1192" s="99"/>
      <c r="L1192" s="99"/>
      <c r="M1192" s="99"/>
      <c r="N1192" s="99"/>
      <c r="O1192" s="99"/>
      <c r="P1192" s="99"/>
      <c r="Q1192" s="99"/>
      <c r="R1192" s="99"/>
      <c r="S1192" s="99"/>
      <c r="T1192" s="99"/>
      <c r="U1192" s="99"/>
      <c r="V1192" s="99"/>
      <c r="W1192" s="105"/>
      <c r="X1192" s="105"/>
      <c r="Y1192" s="105"/>
      <c r="Z1192" s="105"/>
      <c r="AA1192" s="105"/>
      <c r="AB1192" s="105">
        <f>IF($AB$1110&gt;0,PPMT('Assumptions (Nuclear)'!$V$6,Model!W1,'Assumptions (Nuclear)'!$V$9,'Assumptions (Nuclear)'!$V$4*Model!$AB$1110*AVERAGE('Assumptions (Nuclear)'!$U$2:$Z$2)/10^9),0)</f>
        <v>0</v>
      </c>
      <c r="AC1192" s="105">
        <f>IF($AB$1110&gt;0,PPMT('Assumptions (Nuclear)'!$V$6,Model!X1,'Assumptions (Nuclear)'!$V$9,'Assumptions (Nuclear)'!$V$4*Model!$AB$1110*AVERAGE('Assumptions (Nuclear)'!$U$2:$Z$2)/10^9),0)</f>
        <v>0</v>
      </c>
      <c r="AD1192" s="105">
        <f>IF($AB$1110&gt;0,PPMT('Assumptions (Nuclear)'!$V$6,Model!Y1,'Assumptions (Nuclear)'!$V$9,'Assumptions (Nuclear)'!$V$4*Model!$AB$1110*AVERAGE('Assumptions (Nuclear)'!$U$2:$Z$2)/10^9),0)</f>
        <v>0</v>
      </c>
      <c r="AE1192" s="105">
        <f>IF($AB$1110&gt;0,PPMT('Assumptions (Nuclear)'!$V$6,Model!Z1,'Assumptions (Nuclear)'!$V$9,'Assumptions (Nuclear)'!$V$4*Model!$AB$1110*AVERAGE('Assumptions (Nuclear)'!$U$2:$Z$2)/10^9),0)</f>
        <v>0</v>
      </c>
      <c r="AF1192" s="105">
        <f>IF($AB$1110&gt;0,PPMT('Assumptions (Nuclear)'!$V$6,Model!AA1,'Assumptions (Nuclear)'!$V$9,'Assumptions (Nuclear)'!$V$4*Model!$AB$1110*AVERAGE('Assumptions (Nuclear)'!$U$2:$Z$2)/10^9),0)</f>
        <v>0</v>
      </c>
      <c r="AG1192" s="105">
        <f>IF($AB$1110&gt;0,PPMT('Assumptions (Nuclear)'!$V$6,Model!AB1,'Assumptions (Nuclear)'!$V$9,'Assumptions (Nuclear)'!$V$4*Model!$AB$1110*AVERAGE('Assumptions (Nuclear)'!$U$2:$Z$2)/10^9),0)</f>
        <v>0</v>
      </c>
      <c r="AH1192" s="105">
        <f>IF($AB$1110&gt;0,PPMT('Assumptions (Nuclear)'!$V$6,Model!AC1,'Assumptions (Nuclear)'!$V$9,'Assumptions (Nuclear)'!$V$4*Model!$AB$1110*AVERAGE('Assumptions (Nuclear)'!$U$2:$Z$2)/10^9),0)</f>
        <v>0</v>
      </c>
      <c r="AI1192" s="105">
        <f>IF($AB$1110&gt;0,PPMT('Assumptions (Nuclear)'!$V$6,Model!AD1,'Assumptions (Nuclear)'!$V$9,'Assumptions (Nuclear)'!$V$4*Model!$AB$1110*AVERAGE('Assumptions (Nuclear)'!$U$2:$Z$2)/10^9),0)</f>
        <v>0</v>
      </c>
      <c r="AJ1192" s="105">
        <f>IF($AB$1110&gt;0,PPMT('Assumptions (Nuclear)'!$V$6,Model!AE1,'Assumptions (Nuclear)'!$V$9,'Assumptions (Nuclear)'!$V$4*Model!$AB$1110*AVERAGE('Assumptions (Nuclear)'!$U$2:$Z$2)/10^9),0)</f>
        <v>0</v>
      </c>
      <c r="AK1192" s="105">
        <f>IF($AB$1110&gt;0,PPMT('Assumptions (Nuclear)'!$V$6,Model!AF1,'Assumptions (Nuclear)'!$V$9,'Assumptions (Nuclear)'!$V$4*Model!$AB$1110*AVERAGE('Assumptions (Nuclear)'!$U$2:$Z$2)/10^9),0)</f>
        <v>0</v>
      </c>
      <c r="AL1192" s="105">
        <f>IF($AB$1110&gt;0,PPMT('Assumptions (Nuclear)'!$V$6,Model!AG1,'Assumptions (Nuclear)'!$V$9,'Assumptions (Nuclear)'!$V$4*Model!$AB$1110*AVERAGE('Assumptions (Nuclear)'!$U$2:$Z$2)/10^9),0)</f>
        <v>0</v>
      </c>
      <c r="AM1192" s="105">
        <f>IF($AB$1110&gt;0,PPMT('Assumptions (Nuclear)'!$V$6,Model!AH1,'Assumptions (Nuclear)'!$V$9,'Assumptions (Nuclear)'!$V$4*Model!$AB$1110*AVERAGE('Assumptions (Nuclear)'!$U$2:$Z$2)/10^9),0)</f>
        <v>0</v>
      </c>
      <c r="AN1192" s="105">
        <f>IF($AB$1110&gt;0,PPMT('Assumptions (Nuclear)'!$V$6,Model!AI1,'Assumptions (Nuclear)'!$V$9,'Assumptions (Nuclear)'!$V$4*Model!$AB$1110*AVERAGE('Assumptions (Nuclear)'!$U$2:$Z$2)/10^9),0)</f>
        <v>0</v>
      </c>
      <c r="AO1192" s="105">
        <f>IF($AB$1110&gt;0,PPMT('Assumptions (Nuclear)'!$V$6,Model!AJ1,'Assumptions (Nuclear)'!$V$9,'Assumptions (Nuclear)'!$V$4*Model!$AB$1110*AVERAGE('Assumptions (Nuclear)'!$U$2:$Z$2)/10^9),0)</f>
        <v>0</v>
      </c>
      <c r="AP1192" s="105">
        <f>IF($AB$1110&gt;0,PPMT('Assumptions (Nuclear)'!$V$6,Model!AK1,'Assumptions (Nuclear)'!$V$9,'Assumptions (Nuclear)'!$V$4*Model!$AB$1110*AVERAGE('Assumptions (Nuclear)'!$U$2:$Z$2)/10^9),0)</f>
        <v>0</v>
      </c>
      <c r="AQ1192" s="105"/>
      <c r="AR1192" s="105"/>
      <c r="AS1192" s="105"/>
      <c r="AT1192" s="105"/>
      <c r="AU1192" s="105"/>
      <c r="AV1192" s="105"/>
      <c r="AW1192" s="105"/>
      <c r="AX1192" s="105"/>
      <c r="AY1192" s="105"/>
      <c r="AZ1192" s="105"/>
      <c r="BA1192" s="105"/>
    </row>
    <row r="1193" spans="1:60" ht="15.75" hidden="1" customHeight="1" outlineLevel="1">
      <c r="A1193" s="407"/>
      <c r="B1193" s="99"/>
      <c r="C1193" s="99"/>
      <c r="D1193" s="99"/>
      <c r="E1193" s="99"/>
      <c r="F1193" s="99"/>
      <c r="G1193" s="99"/>
      <c r="H1193" s="99"/>
      <c r="I1193" s="99"/>
      <c r="J1193" s="99"/>
      <c r="K1193" s="99"/>
      <c r="L1193" s="99"/>
      <c r="M1193" s="99"/>
      <c r="N1193" s="99"/>
      <c r="O1193" s="99"/>
      <c r="P1193" s="99"/>
      <c r="Q1193" s="99"/>
      <c r="R1193" s="99"/>
      <c r="S1193" s="99"/>
      <c r="T1193" s="99"/>
      <c r="U1193" s="99"/>
      <c r="V1193" s="99"/>
      <c r="W1193" s="105"/>
      <c r="X1193" s="105"/>
      <c r="Y1193" s="105"/>
      <c r="Z1193" s="105"/>
      <c r="AA1193" s="105"/>
      <c r="AB1193" s="105"/>
      <c r="AC1193" s="105">
        <f>IF($AC$1110&gt;0,PPMT('Assumptions (Nuclear)'!$V$6,Model!W1,'Assumptions (Nuclear)'!$V$9,'Assumptions (Nuclear)'!$V$4*Model!$AC$1110*AVERAGE('Assumptions (Nuclear)'!$V$2:$AA$2)/10^9),0)</f>
        <v>0</v>
      </c>
      <c r="AD1193" s="105">
        <f>IF($AC$1110&gt;0,PPMT('Assumptions (Nuclear)'!$V$6,Model!X1,'Assumptions (Nuclear)'!$V$9,'Assumptions (Nuclear)'!$V$4*Model!$AC$1110*AVERAGE('Assumptions (Nuclear)'!$V$2:$AA$2)/10^9),0)</f>
        <v>0</v>
      </c>
      <c r="AE1193" s="105">
        <f>IF($AC$1110&gt;0,PPMT('Assumptions (Nuclear)'!$V$6,Model!Y1,'Assumptions (Nuclear)'!$V$9,'Assumptions (Nuclear)'!$V$4*Model!$AC$1110*AVERAGE('Assumptions (Nuclear)'!$V$2:$AA$2)/10^9),0)</f>
        <v>0</v>
      </c>
      <c r="AF1193" s="105">
        <f>IF($AC$1110&gt;0,PPMT('Assumptions (Nuclear)'!$V$6,Model!Z1,'Assumptions (Nuclear)'!$V$9,'Assumptions (Nuclear)'!$V$4*Model!$AC$1110*AVERAGE('Assumptions (Nuclear)'!$V$2:$AA$2)/10^9),0)</f>
        <v>0</v>
      </c>
      <c r="AG1193" s="105">
        <f>IF($AC$1110&gt;0,PPMT('Assumptions (Nuclear)'!$V$6,Model!AA1,'Assumptions (Nuclear)'!$V$9,'Assumptions (Nuclear)'!$V$4*Model!$AC$1110*AVERAGE('Assumptions (Nuclear)'!$V$2:$AA$2)/10^9),0)</f>
        <v>0</v>
      </c>
      <c r="AH1193" s="105">
        <f>IF($AC$1110&gt;0,PPMT('Assumptions (Nuclear)'!$V$6,Model!AB1,'Assumptions (Nuclear)'!$V$9,'Assumptions (Nuclear)'!$V$4*Model!$AC$1110*AVERAGE('Assumptions (Nuclear)'!$V$2:$AA$2)/10^9),0)</f>
        <v>0</v>
      </c>
      <c r="AI1193" s="105">
        <f>IF($AC$1110&gt;0,PPMT('Assumptions (Nuclear)'!$V$6,Model!AC1,'Assumptions (Nuclear)'!$V$9,'Assumptions (Nuclear)'!$V$4*Model!$AC$1110*AVERAGE('Assumptions (Nuclear)'!$V$2:$AA$2)/10^9),0)</f>
        <v>0</v>
      </c>
      <c r="AJ1193" s="105">
        <f>IF($AC$1110&gt;0,PPMT('Assumptions (Nuclear)'!$V$6,Model!AD1,'Assumptions (Nuclear)'!$V$9,'Assumptions (Nuclear)'!$V$4*Model!$AC$1110*AVERAGE('Assumptions (Nuclear)'!$V$2:$AA$2)/10^9),0)</f>
        <v>0</v>
      </c>
      <c r="AK1193" s="105">
        <f>IF($AC$1110&gt;0,PPMT('Assumptions (Nuclear)'!$V$6,Model!AE1,'Assumptions (Nuclear)'!$V$9,'Assumptions (Nuclear)'!$V$4*Model!$AC$1110*AVERAGE('Assumptions (Nuclear)'!$V$2:$AA$2)/10^9),0)</f>
        <v>0</v>
      </c>
      <c r="AL1193" s="105">
        <f>IF($AC$1110&gt;0,PPMT('Assumptions (Nuclear)'!$V$6,Model!AF1,'Assumptions (Nuclear)'!$V$9,'Assumptions (Nuclear)'!$V$4*Model!$AC$1110*AVERAGE('Assumptions (Nuclear)'!$V$2:$AA$2)/10^9),0)</f>
        <v>0</v>
      </c>
      <c r="AM1193" s="105">
        <f>IF($AC$1110&gt;0,PPMT('Assumptions (Nuclear)'!$V$6,Model!AG1,'Assumptions (Nuclear)'!$V$9,'Assumptions (Nuclear)'!$V$4*Model!$AC$1110*AVERAGE('Assumptions (Nuclear)'!$V$2:$AA$2)/10^9),0)</f>
        <v>0</v>
      </c>
      <c r="AN1193" s="105">
        <f>IF($AC$1110&gt;0,PPMT('Assumptions (Nuclear)'!$V$6,Model!AH1,'Assumptions (Nuclear)'!$V$9,'Assumptions (Nuclear)'!$V$4*Model!$AC$1110*AVERAGE('Assumptions (Nuclear)'!$V$2:$AA$2)/10^9),0)</f>
        <v>0</v>
      </c>
      <c r="AO1193" s="105">
        <f>IF($AC$1110&gt;0,PPMT('Assumptions (Nuclear)'!$V$6,Model!AI1,'Assumptions (Nuclear)'!$V$9,'Assumptions (Nuclear)'!$V$4*Model!$AC$1110*AVERAGE('Assumptions (Nuclear)'!$V$2:$AA$2)/10^9),0)</f>
        <v>0</v>
      </c>
      <c r="AP1193" s="105">
        <f>IF($AC$1110&gt;0,PPMT('Assumptions (Nuclear)'!$V$6,Model!AJ1,'Assumptions (Nuclear)'!$V$9,'Assumptions (Nuclear)'!$V$4*Model!$AC$1110*AVERAGE('Assumptions (Nuclear)'!$V$2:$AA$2)/10^9),0)</f>
        <v>0</v>
      </c>
      <c r="AQ1193" s="105">
        <f>IF($AC$1110&gt;0,PPMT('Assumptions (Nuclear)'!$V$6,Model!AK1,'Assumptions (Nuclear)'!$V$9,'Assumptions (Nuclear)'!$V$4*Model!$AC$1110*AVERAGE('Assumptions (Nuclear)'!$V$2:$AA$2)/10^9),0)</f>
        <v>0</v>
      </c>
      <c r="AR1193" s="105"/>
      <c r="AS1193" s="105"/>
      <c r="AT1193" s="105"/>
      <c r="AU1193" s="105"/>
      <c r="AV1193" s="105"/>
      <c r="AW1193" s="105"/>
      <c r="AX1193" s="105"/>
      <c r="AY1193" s="105"/>
      <c r="AZ1193" s="105"/>
      <c r="BA1193" s="105"/>
    </row>
    <row r="1194" spans="1:60" ht="15.75" hidden="1" customHeight="1" outlineLevel="1">
      <c r="A1194" s="407"/>
      <c r="B1194" s="99"/>
      <c r="C1194" s="99"/>
      <c r="D1194" s="99"/>
      <c r="E1194" s="99"/>
      <c r="F1194" s="99"/>
      <c r="G1194" s="99"/>
      <c r="H1194" s="99"/>
      <c r="I1194" s="99"/>
      <c r="J1194" s="99"/>
      <c r="K1194" s="99"/>
      <c r="L1194" s="99"/>
      <c r="M1194" s="99"/>
      <c r="N1194" s="99"/>
      <c r="O1194" s="99"/>
      <c r="P1194" s="99"/>
      <c r="Q1194" s="99"/>
      <c r="R1194" s="99"/>
      <c r="S1194" s="99"/>
      <c r="T1194" s="99"/>
      <c r="U1194" s="99"/>
      <c r="V1194" s="99"/>
      <c r="W1194" s="105"/>
      <c r="X1194" s="105"/>
      <c r="Y1194" s="105"/>
      <c r="Z1194" s="105"/>
      <c r="AA1194" s="105"/>
      <c r="AB1194" s="105"/>
      <c r="AC1194" s="105"/>
      <c r="AD1194" s="105">
        <f>IF($AD$1110&gt;0,PPMT('Assumptions (Nuclear)'!$V$6,Model!W1,'Assumptions (Nuclear)'!$V$9,'Assumptions (Nuclear)'!$V$4*Model!$AD$1110*AVERAGE('Assumptions (Nuclear)'!$W$2:$AB$2)/10^9),0)</f>
        <v>0</v>
      </c>
      <c r="AE1194" s="105">
        <f>IF($AD$1110&gt;0,PPMT('Assumptions (Nuclear)'!$V$6,Model!X1,'Assumptions (Nuclear)'!$V$9,'Assumptions (Nuclear)'!$V$4*Model!$AD$1110*AVERAGE('Assumptions (Nuclear)'!$W$2:$AB$2)/10^9),0)</f>
        <v>0</v>
      </c>
      <c r="AF1194" s="105">
        <f>IF($AD$1110&gt;0,PPMT('Assumptions (Nuclear)'!$V$6,Model!Y1,'Assumptions (Nuclear)'!$V$9,'Assumptions (Nuclear)'!$V$4*Model!$AD$1110*AVERAGE('Assumptions (Nuclear)'!$W$2:$AB$2)/10^9),0)</f>
        <v>0</v>
      </c>
      <c r="AG1194" s="105">
        <f>IF($AD$1110&gt;0,PPMT('Assumptions (Nuclear)'!$V$6,Model!Z1,'Assumptions (Nuclear)'!$V$9,'Assumptions (Nuclear)'!$V$4*Model!$AD$1110*AVERAGE('Assumptions (Nuclear)'!$W$2:$AB$2)/10^9),0)</f>
        <v>0</v>
      </c>
      <c r="AH1194" s="105">
        <f>IF($AD$1110&gt;0,PPMT('Assumptions (Nuclear)'!$V$6,Model!AA1,'Assumptions (Nuclear)'!$V$9,'Assumptions (Nuclear)'!$V$4*Model!$AD$1110*AVERAGE('Assumptions (Nuclear)'!$W$2:$AB$2)/10^9),0)</f>
        <v>0</v>
      </c>
      <c r="AI1194" s="105">
        <f>IF($AD$1110&gt;0,PPMT('Assumptions (Nuclear)'!$V$6,Model!AB1,'Assumptions (Nuclear)'!$V$9,'Assumptions (Nuclear)'!$V$4*Model!$AD$1110*AVERAGE('Assumptions (Nuclear)'!$W$2:$AB$2)/10^9),0)</f>
        <v>0</v>
      </c>
      <c r="AJ1194" s="105">
        <f>IF($AD$1110&gt;0,PPMT('Assumptions (Nuclear)'!$V$6,Model!AC1,'Assumptions (Nuclear)'!$V$9,'Assumptions (Nuclear)'!$V$4*Model!$AD$1110*AVERAGE('Assumptions (Nuclear)'!$W$2:$AB$2)/10^9),0)</f>
        <v>0</v>
      </c>
      <c r="AK1194" s="105">
        <f>IF($AD$1110&gt;0,PPMT('Assumptions (Nuclear)'!$V$6,Model!AD1,'Assumptions (Nuclear)'!$V$9,'Assumptions (Nuclear)'!$V$4*Model!$AD$1110*AVERAGE('Assumptions (Nuclear)'!$W$2:$AB$2)/10^9),0)</f>
        <v>0</v>
      </c>
      <c r="AL1194" s="105">
        <f>IF($AD$1110&gt;0,PPMT('Assumptions (Nuclear)'!$V$6,Model!AE1,'Assumptions (Nuclear)'!$V$9,'Assumptions (Nuclear)'!$V$4*Model!$AD$1110*AVERAGE('Assumptions (Nuclear)'!$W$2:$AB$2)/10^9),0)</f>
        <v>0</v>
      </c>
      <c r="AM1194" s="105">
        <f>IF($AD$1110&gt;0,PPMT('Assumptions (Nuclear)'!$V$6,Model!AF1,'Assumptions (Nuclear)'!$V$9,'Assumptions (Nuclear)'!$V$4*Model!$AD$1110*AVERAGE('Assumptions (Nuclear)'!$W$2:$AB$2)/10^9),0)</f>
        <v>0</v>
      </c>
      <c r="AN1194" s="105">
        <f>IF($AD$1110&gt;0,PPMT('Assumptions (Nuclear)'!$V$6,Model!AG1,'Assumptions (Nuclear)'!$V$9,'Assumptions (Nuclear)'!$V$4*Model!$AD$1110*AVERAGE('Assumptions (Nuclear)'!$W$2:$AB$2)/10^9),0)</f>
        <v>0</v>
      </c>
      <c r="AO1194" s="105">
        <f>IF($AD$1110&gt;0,PPMT('Assumptions (Nuclear)'!$V$6,Model!AH1,'Assumptions (Nuclear)'!$V$9,'Assumptions (Nuclear)'!$V$4*Model!$AD$1110*AVERAGE('Assumptions (Nuclear)'!$W$2:$AB$2)/10^9),0)</f>
        <v>0</v>
      </c>
      <c r="AP1194" s="105">
        <f>IF($AD$1110&gt;0,PPMT('Assumptions (Nuclear)'!$V$6,Model!AI1,'Assumptions (Nuclear)'!$V$9,'Assumptions (Nuclear)'!$V$4*Model!$AD$1110*AVERAGE('Assumptions (Nuclear)'!$W$2:$AB$2)/10^9),0)</f>
        <v>0</v>
      </c>
      <c r="AQ1194" s="105">
        <f>IF($AD$1110&gt;0,PPMT('Assumptions (Nuclear)'!$V$6,Model!AJ1,'Assumptions (Nuclear)'!$V$9,'Assumptions (Nuclear)'!$V$4*Model!$AD$1110*AVERAGE('Assumptions (Nuclear)'!$W$2:$AB$2)/10^9),0)</f>
        <v>0</v>
      </c>
      <c r="AR1194" s="105">
        <f>IF($AD$1110&gt;0,PPMT('Assumptions (Nuclear)'!$V$6,Model!AK1,'Assumptions (Nuclear)'!$V$9,'Assumptions (Nuclear)'!$V$4*Model!$AD$1110*AVERAGE('Assumptions (Nuclear)'!$W$2:$AB$2)/10^9),0)</f>
        <v>0</v>
      </c>
      <c r="AS1194" s="105"/>
      <c r="AT1194" s="105"/>
      <c r="AU1194" s="105"/>
      <c r="AV1194" s="105"/>
      <c r="AW1194" s="105"/>
      <c r="AX1194" s="105"/>
      <c r="AY1194" s="105"/>
      <c r="AZ1194" s="105"/>
      <c r="BA1194" s="105"/>
      <c r="BB1194" s="105"/>
    </row>
    <row r="1195" spans="1:60" ht="15.75" hidden="1" customHeight="1" outlineLevel="1">
      <c r="A1195" s="407"/>
      <c r="B1195" s="99"/>
      <c r="C1195" s="99"/>
      <c r="D1195" s="99"/>
      <c r="E1195" s="99"/>
      <c r="F1195" s="99"/>
      <c r="G1195" s="99"/>
      <c r="H1195" s="99"/>
      <c r="I1195" s="99"/>
      <c r="J1195" s="99"/>
      <c r="K1195" s="99"/>
      <c r="L1195" s="99"/>
      <c r="M1195" s="99"/>
      <c r="N1195" s="99"/>
      <c r="O1195" s="99"/>
      <c r="P1195" s="99"/>
      <c r="Q1195" s="99"/>
      <c r="R1195" s="99"/>
      <c r="S1195" s="99"/>
      <c r="T1195" s="99"/>
      <c r="U1195" s="99"/>
      <c r="V1195" s="99"/>
      <c r="W1195" s="105"/>
      <c r="X1195" s="105"/>
      <c r="Y1195" s="105"/>
      <c r="Z1195" s="105"/>
      <c r="AA1195" s="105"/>
      <c r="AB1195" s="105"/>
      <c r="AC1195" s="105"/>
      <c r="AD1195" s="105"/>
      <c r="AE1195" s="105">
        <f>IF($AE$1110&gt;0,PPMT('Assumptions (Nuclear)'!$V$6,Model!W1,'Assumptions (Nuclear)'!$V$9,'Assumptions (Nuclear)'!$V$4*Model!$AE$1110*AVERAGE('Assumptions (Nuclear)'!$X$2:$AC$2)/10^9),0)</f>
        <v>0</v>
      </c>
      <c r="AF1195" s="105">
        <f>IF($AE$1110&gt;0,PPMT('Assumptions (Nuclear)'!$V$6,Model!X1,'Assumptions (Nuclear)'!$V$9,'Assumptions (Nuclear)'!$V$4*Model!$AE$1110*AVERAGE('Assumptions (Nuclear)'!$X$2:$AC$2)/10^9),0)</f>
        <v>0</v>
      </c>
      <c r="AG1195" s="105">
        <f>IF($AE$1110&gt;0,PPMT('Assumptions (Nuclear)'!$V$6,Model!Y1,'Assumptions (Nuclear)'!$V$9,'Assumptions (Nuclear)'!$V$4*Model!$AE$1110*AVERAGE('Assumptions (Nuclear)'!$X$2:$AC$2)/10^9),0)</f>
        <v>0</v>
      </c>
      <c r="AH1195" s="105">
        <f>IF($AE$1110&gt;0,PPMT('Assumptions (Nuclear)'!$V$6,Model!Z1,'Assumptions (Nuclear)'!$V$9,'Assumptions (Nuclear)'!$V$4*Model!$AE$1110*AVERAGE('Assumptions (Nuclear)'!$X$2:$AC$2)/10^9),0)</f>
        <v>0</v>
      </c>
      <c r="AI1195" s="105">
        <f>IF($AE$1110&gt;0,PPMT('Assumptions (Nuclear)'!$V$6,Model!AA1,'Assumptions (Nuclear)'!$V$9,'Assumptions (Nuclear)'!$V$4*Model!$AE$1110*AVERAGE('Assumptions (Nuclear)'!$X$2:$AC$2)/10^9),0)</f>
        <v>0</v>
      </c>
      <c r="AJ1195" s="105">
        <f>IF($AE$1110&gt;0,PPMT('Assumptions (Nuclear)'!$V$6,Model!AB1,'Assumptions (Nuclear)'!$V$9,'Assumptions (Nuclear)'!$V$4*Model!$AE$1110*AVERAGE('Assumptions (Nuclear)'!$X$2:$AC$2)/10^9),0)</f>
        <v>0</v>
      </c>
      <c r="AK1195" s="105">
        <f>IF($AE$1110&gt;0,PPMT('Assumptions (Nuclear)'!$V$6,Model!AC1,'Assumptions (Nuclear)'!$V$9,'Assumptions (Nuclear)'!$V$4*Model!$AE$1110*AVERAGE('Assumptions (Nuclear)'!$X$2:$AC$2)/10^9),0)</f>
        <v>0</v>
      </c>
      <c r="AL1195" s="105">
        <f>IF($AE$1110&gt;0,PPMT('Assumptions (Nuclear)'!$V$6,Model!AD1,'Assumptions (Nuclear)'!$V$9,'Assumptions (Nuclear)'!$V$4*Model!$AE$1110*AVERAGE('Assumptions (Nuclear)'!$X$2:$AC$2)/10^9),0)</f>
        <v>0</v>
      </c>
      <c r="AM1195" s="105">
        <f>IF($AE$1110&gt;0,PPMT('Assumptions (Nuclear)'!$V$6,Model!AE1,'Assumptions (Nuclear)'!$V$9,'Assumptions (Nuclear)'!$V$4*Model!$AE$1110*AVERAGE('Assumptions (Nuclear)'!$X$2:$AC$2)/10^9),0)</f>
        <v>0</v>
      </c>
      <c r="AN1195" s="105">
        <f>IF($AE$1110&gt;0,PPMT('Assumptions (Nuclear)'!$V$6,Model!AF1,'Assumptions (Nuclear)'!$V$9,'Assumptions (Nuclear)'!$V$4*Model!$AE$1110*AVERAGE('Assumptions (Nuclear)'!$X$2:$AC$2)/10^9),0)</f>
        <v>0</v>
      </c>
      <c r="AO1195" s="105">
        <f>IF($AE$1110&gt;0,PPMT('Assumptions (Nuclear)'!$V$6,Model!AG1,'Assumptions (Nuclear)'!$V$9,'Assumptions (Nuclear)'!$V$4*Model!$AE$1110*AVERAGE('Assumptions (Nuclear)'!$X$2:$AC$2)/10^9),0)</f>
        <v>0</v>
      </c>
      <c r="AP1195" s="105">
        <f>IF($AE$1110&gt;0,PPMT('Assumptions (Nuclear)'!$V$6,Model!AH1,'Assumptions (Nuclear)'!$V$9,'Assumptions (Nuclear)'!$V$4*Model!$AE$1110*AVERAGE('Assumptions (Nuclear)'!$X$2:$AC$2)/10^9),0)</f>
        <v>0</v>
      </c>
      <c r="AQ1195" s="105">
        <f>IF($AE$1110&gt;0,PPMT('Assumptions (Nuclear)'!$V$6,Model!AI1,'Assumptions (Nuclear)'!$V$9,'Assumptions (Nuclear)'!$V$4*Model!$AE$1110*AVERAGE('Assumptions (Nuclear)'!$X$2:$AC$2)/10^9),0)</f>
        <v>0</v>
      </c>
      <c r="AR1195" s="105">
        <f>IF($AE$1110&gt;0,PPMT('Assumptions (Nuclear)'!$V$6,Model!AJ1,'Assumptions (Nuclear)'!$V$9,'Assumptions (Nuclear)'!$V$4*Model!$AE$1110*AVERAGE('Assumptions (Nuclear)'!$X$2:$AC$2)/10^9),0)</f>
        <v>0</v>
      </c>
      <c r="AS1195" s="105">
        <f>IF($AE$1110&gt;0,PPMT('Assumptions (Nuclear)'!$V$6,Model!AK1,'Assumptions (Nuclear)'!$V$9,'Assumptions (Nuclear)'!$V$4*Model!$AE$1110*AVERAGE('Assumptions (Nuclear)'!$X$2:$AC$2)/10^9),0)</f>
        <v>0</v>
      </c>
      <c r="AT1195" s="105"/>
      <c r="AU1195" s="105"/>
      <c r="AV1195" s="105"/>
      <c r="AW1195" s="105"/>
      <c r="AX1195" s="105"/>
      <c r="AY1195" s="105"/>
      <c r="AZ1195" s="105"/>
      <c r="BA1195" s="105"/>
      <c r="BB1195" s="105"/>
      <c r="BC1195" s="105"/>
    </row>
    <row r="1196" spans="1:60" ht="15.75" hidden="1" customHeight="1" outlineLevel="1">
      <c r="A1196" s="407"/>
      <c r="B1196" s="99"/>
      <c r="C1196" s="99"/>
      <c r="D1196" s="99"/>
      <c r="E1196" s="99"/>
      <c r="F1196" s="99"/>
      <c r="G1196" s="99"/>
      <c r="H1196" s="99"/>
      <c r="I1196" s="99"/>
      <c r="J1196" s="99"/>
      <c r="K1196" s="99"/>
      <c r="L1196" s="99"/>
      <c r="M1196" s="99"/>
      <c r="N1196" s="99"/>
      <c r="O1196" s="99"/>
      <c r="P1196" s="99"/>
      <c r="Q1196" s="99"/>
      <c r="R1196" s="99"/>
      <c r="S1196" s="99"/>
      <c r="T1196" s="99"/>
      <c r="U1196" s="99"/>
      <c r="V1196" s="99"/>
      <c r="W1196" s="105"/>
      <c r="X1196" s="105"/>
      <c r="Y1196" s="105"/>
      <c r="Z1196" s="105"/>
      <c r="AA1196" s="105"/>
      <c r="AB1196" s="105"/>
      <c r="AC1196" s="105"/>
      <c r="AD1196" s="105"/>
      <c r="AE1196" s="105"/>
      <c r="AF1196" s="105">
        <f>IF($AF$1110&gt;0,PPMT('Assumptions (Nuclear)'!$V$6,Model!W1,'Assumptions (Nuclear)'!$V$9,'Assumptions (Nuclear)'!$V$4*Model!$AF$1110*AVERAGE('Assumptions (Nuclear)'!$Y$2:$AD$2)/10^9),0)</f>
        <v>0</v>
      </c>
      <c r="AG1196" s="105">
        <f>IF($AF$1110&gt;0,PPMT('Assumptions (Nuclear)'!$V$6,Model!X1,'Assumptions (Nuclear)'!$V$9,'Assumptions (Nuclear)'!$V$4*Model!$AF$1110*AVERAGE('Assumptions (Nuclear)'!$Y$2:$AD$2)/10^9),0)</f>
        <v>0</v>
      </c>
      <c r="AH1196" s="105">
        <f>IF($AF$1110&gt;0,PPMT('Assumptions (Nuclear)'!$V$6,Model!Y1,'Assumptions (Nuclear)'!$V$9,'Assumptions (Nuclear)'!$V$4*Model!$AF$1110*AVERAGE('Assumptions (Nuclear)'!$Y$2:$AD$2)/10^9),0)</f>
        <v>0</v>
      </c>
      <c r="AI1196" s="105">
        <f>IF($AF$1110&gt;0,PPMT('Assumptions (Nuclear)'!$V$6,Model!Z1,'Assumptions (Nuclear)'!$V$9,'Assumptions (Nuclear)'!$V$4*Model!$AF$1110*AVERAGE('Assumptions (Nuclear)'!$Y$2:$AD$2)/10^9),0)</f>
        <v>0</v>
      </c>
      <c r="AJ1196" s="105">
        <f>IF($AF$1110&gt;0,PPMT('Assumptions (Nuclear)'!$V$6,Model!AA1,'Assumptions (Nuclear)'!$V$9,'Assumptions (Nuclear)'!$V$4*Model!$AF$1110*AVERAGE('Assumptions (Nuclear)'!$Y$2:$AD$2)/10^9),0)</f>
        <v>0</v>
      </c>
      <c r="AK1196" s="105">
        <f>IF($AF$1110&gt;0,PPMT('Assumptions (Nuclear)'!$V$6,Model!AB1,'Assumptions (Nuclear)'!$V$9,'Assumptions (Nuclear)'!$V$4*Model!$AF$1110*AVERAGE('Assumptions (Nuclear)'!$Y$2:$AD$2)/10^9),0)</f>
        <v>0</v>
      </c>
      <c r="AL1196" s="105">
        <f>IF($AF$1110&gt;0,PPMT('Assumptions (Nuclear)'!$V$6,Model!AC1,'Assumptions (Nuclear)'!$V$9,'Assumptions (Nuclear)'!$V$4*Model!$AF$1110*AVERAGE('Assumptions (Nuclear)'!$Y$2:$AD$2)/10^9),0)</f>
        <v>0</v>
      </c>
      <c r="AM1196" s="105">
        <f>IF($AF$1110&gt;0,PPMT('Assumptions (Nuclear)'!$V$6,Model!AD1,'Assumptions (Nuclear)'!$V$9,'Assumptions (Nuclear)'!$V$4*Model!$AF$1110*AVERAGE('Assumptions (Nuclear)'!$Y$2:$AD$2)/10^9),0)</f>
        <v>0</v>
      </c>
      <c r="AN1196" s="105">
        <f>IF($AF$1110&gt;0,PPMT('Assumptions (Nuclear)'!$V$6,Model!AE1,'Assumptions (Nuclear)'!$V$9,'Assumptions (Nuclear)'!$V$4*Model!$AF$1110*AVERAGE('Assumptions (Nuclear)'!$Y$2:$AD$2)/10^9),0)</f>
        <v>0</v>
      </c>
      <c r="AO1196" s="105">
        <f>IF($AF$1110&gt;0,PPMT('Assumptions (Nuclear)'!$V$6,Model!AF1,'Assumptions (Nuclear)'!$V$9,'Assumptions (Nuclear)'!$V$4*Model!$AF$1110*AVERAGE('Assumptions (Nuclear)'!$Y$2:$AD$2)/10^9),0)</f>
        <v>0</v>
      </c>
      <c r="AP1196" s="105">
        <f>IF($AF$1110&gt;0,PPMT('Assumptions (Nuclear)'!$V$6,Model!AG1,'Assumptions (Nuclear)'!$V$9,'Assumptions (Nuclear)'!$V$4*Model!$AF$1110*AVERAGE('Assumptions (Nuclear)'!$Y$2:$AD$2)/10^9),0)</f>
        <v>0</v>
      </c>
      <c r="AQ1196" s="105">
        <f>IF($AF$1110&gt;0,PPMT('Assumptions (Nuclear)'!$V$6,Model!AH1,'Assumptions (Nuclear)'!$V$9,'Assumptions (Nuclear)'!$V$4*Model!$AF$1110*AVERAGE('Assumptions (Nuclear)'!$Y$2:$AD$2)/10^9),0)</f>
        <v>0</v>
      </c>
      <c r="AR1196" s="105">
        <f>IF($AF$1110&gt;0,PPMT('Assumptions (Nuclear)'!$V$6,Model!AI1,'Assumptions (Nuclear)'!$V$9,'Assumptions (Nuclear)'!$V$4*Model!$AF$1110*AVERAGE('Assumptions (Nuclear)'!$Y$2:$AD$2)/10^9),0)</f>
        <v>0</v>
      </c>
      <c r="AS1196" s="105">
        <f>IF($AF$1110&gt;0,PPMT('Assumptions (Nuclear)'!$V$6,Model!AJ1,'Assumptions (Nuclear)'!$V$9,'Assumptions (Nuclear)'!$V$4*Model!$AF$1110*AVERAGE('Assumptions (Nuclear)'!$Y$2:$AD$2)/10^9),0)</f>
        <v>0</v>
      </c>
      <c r="AT1196" s="105">
        <f>IF($AF$1110&gt;0,PPMT('Assumptions (Nuclear)'!$V$6,Model!AK1,'Assumptions (Nuclear)'!$V$9,'Assumptions (Nuclear)'!$V$4*Model!$AF$1110*AVERAGE('Assumptions (Nuclear)'!$Y$2:$AD$2)/10^9),0)</f>
        <v>0</v>
      </c>
      <c r="AU1196" s="105"/>
      <c r="AV1196" s="105"/>
      <c r="AW1196" s="105"/>
      <c r="AX1196" s="105"/>
      <c r="AY1196" s="105"/>
      <c r="AZ1196" s="105"/>
      <c r="BA1196" s="105"/>
      <c r="BB1196" s="105"/>
      <c r="BC1196" s="105"/>
      <c r="BD1196" s="105"/>
    </row>
    <row r="1197" spans="1:60" ht="15.75" hidden="1" customHeight="1" outlineLevel="1">
      <c r="A1197" s="407"/>
      <c r="B1197" s="99"/>
      <c r="C1197" s="99"/>
      <c r="D1197" s="99"/>
      <c r="E1197" s="99"/>
      <c r="F1197" s="99"/>
      <c r="G1197" s="99"/>
      <c r="H1197" s="99"/>
      <c r="I1197" s="99"/>
      <c r="J1197" s="99"/>
      <c r="K1197" s="99"/>
      <c r="L1197" s="99"/>
      <c r="M1197" s="99"/>
      <c r="N1197" s="99"/>
      <c r="O1197" s="99"/>
      <c r="P1197" s="99"/>
      <c r="Q1197" s="99"/>
      <c r="R1197" s="99"/>
      <c r="S1197" s="99"/>
      <c r="T1197" s="99"/>
      <c r="U1197" s="99"/>
      <c r="V1197" s="99"/>
      <c r="W1197" s="105"/>
      <c r="X1197" s="105"/>
      <c r="Y1197" s="105"/>
      <c r="Z1197" s="105"/>
      <c r="AA1197" s="105"/>
      <c r="AB1197" s="105"/>
      <c r="AC1197" s="105"/>
      <c r="AD1197" s="105"/>
      <c r="AE1197" s="105"/>
      <c r="AF1197" s="105"/>
      <c r="AG1197" s="105">
        <f>IF($AG$1110&gt;0,PPMT('Assumptions (Nuclear)'!$V$6,Model!W1,'Assumptions (Nuclear)'!$V$9,'Assumptions (Nuclear)'!$V$4*Model!$AG$1110*AVERAGE('Assumptions (Nuclear)'!$Z$2:$AE$2)/10^9),0)</f>
        <v>0</v>
      </c>
      <c r="AH1197" s="105">
        <f>IF($AG$1110&gt;0,PPMT('Assumptions (Nuclear)'!$V$6,Model!X1,'Assumptions (Nuclear)'!$V$9,'Assumptions (Nuclear)'!$V$4*Model!$AG$1110*AVERAGE('Assumptions (Nuclear)'!$Z$2:$AE$2)/10^9),0)</f>
        <v>0</v>
      </c>
      <c r="AI1197" s="105">
        <f>IF($AG$1110&gt;0,PPMT('Assumptions (Nuclear)'!$V$6,Model!Y1,'Assumptions (Nuclear)'!$V$9,'Assumptions (Nuclear)'!$V$4*Model!$AG$1110*AVERAGE('Assumptions (Nuclear)'!$Z$2:$AE$2)/10^9),0)</f>
        <v>0</v>
      </c>
      <c r="AJ1197" s="105">
        <f>IF($AG$1110&gt;0,PPMT('Assumptions (Nuclear)'!$V$6,Model!Z1,'Assumptions (Nuclear)'!$V$9,'Assumptions (Nuclear)'!$V$4*Model!$AG$1110*AVERAGE('Assumptions (Nuclear)'!$Z$2:$AE$2)/10^9),0)</f>
        <v>0</v>
      </c>
      <c r="AK1197" s="105">
        <f>IF($AG$1110&gt;0,PPMT('Assumptions (Nuclear)'!$V$6,Model!AA1,'Assumptions (Nuclear)'!$V$9,'Assumptions (Nuclear)'!$V$4*Model!$AG$1110*AVERAGE('Assumptions (Nuclear)'!$Z$2:$AE$2)/10^9),0)</f>
        <v>0</v>
      </c>
      <c r="AL1197" s="105">
        <f>IF($AG$1110&gt;0,PPMT('Assumptions (Nuclear)'!$V$6,Model!AB1,'Assumptions (Nuclear)'!$V$9,'Assumptions (Nuclear)'!$V$4*Model!$AG$1110*AVERAGE('Assumptions (Nuclear)'!$Z$2:$AE$2)/10^9),0)</f>
        <v>0</v>
      </c>
      <c r="AM1197" s="105">
        <f>IF($AG$1110&gt;0,PPMT('Assumptions (Nuclear)'!$V$6,Model!AC1,'Assumptions (Nuclear)'!$V$9,'Assumptions (Nuclear)'!$V$4*Model!$AG$1110*AVERAGE('Assumptions (Nuclear)'!$Z$2:$AE$2)/10^9),0)</f>
        <v>0</v>
      </c>
      <c r="AN1197" s="105">
        <f>IF($AG$1110&gt;0,PPMT('Assumptions (Nuclear)'!$V$6,Model!AD1,'Assumptions (Nuclear)'!$V$9,'Assumptions (Nuclear)'!$V$4*Model!$AG$1110*AVERAGE('Assumptions (Nuclear)'!$Z$2:$AE$2)/10^9),0)</f>
        <v>0</v>
      </c>
      <c r="AO1197" s="105">
        <f>IF($AG$1110&gt;0,PPMT('Assumptions (Nuclear)'!$V$6,Model!AE1,'Assumptions (Nuclear)'!$V$9,'Assumptions (Nuclear)'!$V$4*Model!$AG$1110*AVERAGE('Assumptions (Nuclear)'!$Z$2:$AE$2)/10^9),0)</f>
        <v>0</v>
      </c>
      <c r="AP1197" s="105">
        <f>IF($AG$1110&gt;0,PPMT('Assumptions (Nuclear)'!$V$6,Model!AF1,'Assumptions (Nuclear)'!$V$9,'Assumptions (Nuclear)'!$V$4*Model!$AG$1110*AVERAGE('Assumptions (Nuclear)'!$Z$2:$AE$2)/10^9),0)</f>
        <v>0</v>
      </c>
      <c r="AQ1197" s="105">
        <f>IF($AG$1110&gt;0,PPMT('Assumptions (Nuclear)'!$V$6,Model!AG1,'Assumptions (Nuclear)'!$V$9,'Assumptions (Nuclear)'!$V$4*Model!$AG$1110*AVERAGE('Assumptions (Nuclear)'!$Z$2:$AE$2)/10^9),0)</f>
        <v>0</v>
      </c>
      <c r="AR1197" s="105">
        <f>IF($AG$1110&gt;0,PPMT('Assumptions (Nuclear)'!$V$6,Model!AH1,'Assumptions (Nuclear)'!$V$9,'Assumptions (Nuclear)'!$V$4*Model!$AG$1110*AVERAGE('Assumptions (Nuclear)'!$Z$2:$AE$2)/10^9),0)</f>
        <v>0</v>
      </c>
      <c r="AS1197" s="105">
        <f>IF($AG$1110&gt;0,PPMT('Assumptions (Nuclear)'!$V$6,Model!AI1,'Assumptions (Nuclear)'!$V$9,'Assumptions (Nuclear)'!$V$4*Model!$AG$1110*AVERAGE('Assumptions (Nuclear)'!$Z$2:$AE$2)/10^9),0)</f>
        <v>0</v>
      </c>
      <c r="AT1197" s="105">
        <f>IF($AG$1110&gt;0,PPMT('Assumptions (Nuclear)'!$V$6,Model!AJ1,'Assumptions (Nuclear)'!$V$9,'Assumptions (Nuclear)'!$V$4*Model!$AG$1110*AVERAGE('Assumptions (Nuclear)'!$Z$2:$AE$2)/10^9),0)</f>
        <v>0</v>
      </c>
      <c r="AU1197" s="105">
        <f>IF($AG$1110&gt;0,PPMT('Assumptions (Nuclear)'!$V$6,Model!AK1,'Assumptions (Nuclear)'!$V$9,'Assumptions (Nuclear)'!$V$4*Model!$AG$1110*AVERAGE('Assumptions (Nuclear)'!$Z$2:$AE$2)/10^9),0)</f>
        <v>0</v>
      </c>
      <c r="AV1197" s="105"/>
      <c r="AW1197" s="105"/>
      <c r="AX1197" s="105"/>
      <c r="AY1197" s="105"/>
      <c r="AZ1197" s="105"/>
      <c r="BA1197" s="105"/>
      <c r="BB1197" s="105"/>
      <c r="BC1197" s="105"/>
      <c r="BD1197" s="105"/>
      <c r="BE1197" s="105"/>
    </row>
    <row r="1198" spans="1:60" ht="15.75" hidden="1" customHeight="1" outlineLevel="1">
      <c r="A1198" s="407"/>
      <c r="B1198" s="99"/>
      <c r="C1198" s="99"/>
      <c r="D1198" s="99"/>
      <c r="E1198" s="99"/>
      <c r="F1198" s="99"/>
      <c r="G1198" s="99"/>
      <c r="H1198" s="99"/>
      <c r="I1198" s="99"/>
      <c r="J1198" s="99"/>
      <c r="K1198" s="99"/>
      <c r="L1198" s="99"/>
      <c r="M1198" s="99"/>
      <c r="N1198" s="99"/>
      <c r="O1198" s="99"/>
      <c r="P1198" s="99"/>
      <c r="Q1198" s="99"/>
      <c r="R1198" s="99"/>
      <c r="S1198" s="99"/>
      <c r="T1198" s="99"/>
      <c r="U1198" s="99"/>
      <c r="V1198" s="99"/>
      <c r="W1198" s="105"/>
      <c r="X1198" s="105"/>
      <c r="Y1198" s="105"/>
      <c r="Z1198" s="105"/>
      <c r="AA1198" s="105"/>
      <c r="AB1198" s="105"/>
      <c r="AC1198" s="105"/>
      <c r="AD1198" s="105"/>
      <c r="AE1198" s="105"/>
      <c r="AF1198" s="105"/>
      <c r="AG1198" s="105"/>
      <c r="AH1198" s="105">
        <f>IF($AH$1110&gt;0,PPMT('Assumptions (Nuclear)'!$V$6,Model!W1,'Assumptions (Nuclear)'!$V$9,'Assumptions (Nuclear)'!$V$4*Model!$AH$1110*AVERAGE('Assumptions (Nuclear)'!$AA$2:$AF$2)/10^9),0)</f>
        <v>0</v>
      </c>
      <c r="AI1198" s="105">
        <f>IF($AH$1110&gt;0,PPMT('Assumptions (Nuclear)'!$V$6,Model!X1,'Assumptions (Nuclear)'!$V$9,'Assumptions (Nuclear)'!$V$4*Model!$AH$1110*AVERAGE('Assumptions (Nuclear)'!$AA$2:$AF$2)/10^9),0)</f>
        <v>0</v>
      </c>
      <c r="AJ1198" s="105">
        <f>IF($AH$1110&gt;0,PPMT('Assumptions (Nuclear)'!$V$6,Model!Y1,'Assumptions (Nuclear)'!$V$9,'Assumptions (Nuclear)'!$V$4*Model!$AH$1110*AVERAGE('Assumptions (Nuclear)'!$AA$2:$AF$2)/10^9),0)</f>
        <v>0</v>
      </c>
      <c r="AK1198" s="105">
        <f>IF($AH$1110&gt;0,PPMT('Assumptions (Nuclear)'!$V$6,Model!Z1,'Assumptions (Nuclear)'!$V$9,'Assumptions (Nuclear)'!$V$4*Model!$AH$1110*AVERAGE('Assumptions (Nuclear)'!$AA$2:$AF$2)/10^9),0)</f>
        <v>0</v>
      </c>
      <c r="AL1198" s="105">
        <f>IF($AH$1110&gt;0,PPMT('Assumptions (Nuclear)'!$V$6,Model!AA1,'Assumptions (Nuclear)'!$V$9,'Assumptions (Nuclear)'!$V$4*Model!$AH$1110*AVERAGE('Assumptions (Nuclear)'!$AA$2:$AF$2)/10^9),0)</f>
        <v>0</v>
      </c>
      <c r="AM1198" s="105">
        <f>IF($AH$1110&gt;0,PPMT('Assumptions (Nuclear)'!$V$6,Model!AB1,'Assumptions (Nuclear)'!$V$9,'Assumptions (Nuclear)'!$V$4*Model!$AH$1110*AVERAGE('Assumptions (Nuclear)'!$AA$2:$AF$2)/10^9),0)</f>
        <v>0</v>
      </c>
      <c r="AN1198" s="105">
        <f>IF($AH$1110&gt;0,PPMT('Assumptions (Nuclear)'!$V$6,Model!AC1,'Assumptions (Nuclear)'!$V$9,'Assumptions (Nuclear)'!$V$4*Model!$AH$1110*AVERAGE('Assumptions (Nuclear)'!$AA$2:$AF$2)/10^9),0)</f>
        <v>0</v>
      </c>
      <c r="AO1198" s="105">
        <f>IF($AH$1110&gt;0,PPMT('Assumptions (Nuclear)'!$V$6,Model!AD1,'Assumptions (Nuclear)'!$V$9,'Assumptions (Nuclear)'!$V$4*Model!$AH$1110*AVERAGE('Assumptions (Nuclear)'!$AA$2:$AF$2)/10^9),0)</f>
        <v>0</v>
      </c>
      <c r="AP1198" s="105">
        <f>IF($AH$1110&gt;0,PPMT('Assumptions (Nuclear)'!$V$6,Model!AE1,'Assumptions (Nuclear)'!$V$9,'Assumptions (Nuclear)'!$V$4*Model!$AH$1110*AVERAGE('Assumptions (Nuclear)'!$AA$2:$AF$2)/10^9),0)</f>
        <v>0</v>
      </c>
      <c r="AQ1198" s="105">
        <f>IF($AH$1110&gt;0,PPMT('Assumptions (Nuclear)'!$V$6,Model!AF1,'Assumptions (Nuclear)'!$V$9,'Assumptions (Nuclear)'!$V$4*Model!$AH$1110*AVERAGE('Assumptions (Nuclear)'!$AA$2:$AF$2)/10^9),0)</f>
        <v>0</v>
      </c>
      <c r="AR1198" s="105">
        <f>IF($AH$1110&gt;0,PPMT('Assumptions (Nuclear)'!$V$6,Model!AG1,'Assumptions (Nuclear)'!$V$9,'Assumptions (Nuclear)'!$V$4*Model!$AH$1110*AVERAGE('Assumptions (Nuclear)'!$AA$2:$AF$2)/10^9),0)</f>
        <v>0</v>
      </c>
      <c r="AS1198" s="105">
        <f>IF($AH$1110&gt;0,PPMT('Assumptions (Nuclear)'!$V$6,Model!AH1,'Assumptions (Nuclear)'!$V$9,'Assumptions (Nuclear)'!$V$4*Model!$AH$1110*AVERAGE('Assumptions (Nuclear)'!$AA$2:$AF$2)/10^9),0)</f>
        <v>0</v>
      </c>
      <c r="AT1198" s="105">
        <f>IF($AH$1110&gt;0,PPMT('Assumptions (Nuclear)'!$V$6,Model!AI1,'Assumptions (Nuclear)'!$V$9,'Assumptions (Nuclear)'!$V$4*Model!$AH$1110*AVERAGE('Assumptions (Nuclear)'!$AA$2:$AF$2)/10^9),0)</f>
        <v>0</v>
      </c>
      <c r="AU1198" s="105">
        <f>IF($AH$1110&gt;0,PPMT('Assumptions (Nuclear)'!$V$6,Model!AJ1,'Assumptions (Nuclear)'!$V$9,'Assumptions (Nuclear)'!$V$4*Model!$AH$1110*AVERAGE('Assumptions (Nuclear)'!$AA$2:$AF$2)/10^9),0)</f>
        <v>0</v>
      </c>
      <c r="AV1198" s="105">
        <f>IF($AH$1110&gt;0,PPMT('Assumptions (Nuclear)'!$V$6,Model!AK1,'Assumptions (Nuclear)'!$V$9,'Assumptions (Nuclear)'!$V$4*Model!$AH$1110*AVERAGE('Assumptions (Nuclear)'!$AA$2:$AF$2)/10^9),0)</f>
        <v>0</v>
      </c>
      <c r="AW1198" s="105"/>
      <c r="AX1198" s="105"/>
      <c r="AY1198" s="105"/>
      <c r="AZ1198" s="105"/>
      <c r="BA1198" s="105"/>
      <c r="BB1198" s="105"/>
      <c r="BC1198" s="105"/>
      <c r="BD1198" s="105"/>
      <c r="BE1198" s="105"/>
      <c r="BF1198" s="105"/>
    </row>
    <row r="1199" spans="1:60" ht="15.75" hidden="1" customHeight="1" outlineLevel="1">
      <c r="A1199" s="407"/>
      <c r="B1199" s="99"/>
      <c r="C1199" s="99"/>
      <c r="D1199" s="99"/>
      <c r="E1199" s="99"/>
      <c r="F1199" s="99"/>
      <c r="G1199" s="99"/>
      <c r="H1199" s="99"/>
      <c r="I1199" s="99"/>
      <c r="J1199" s="99"/>
      <c r="K1199" s="99"/>
      <c r="L1199" s="99"/>
      <c r="M1199" s="99"/>
      <c r="N1199" s="99"/>
      <c r="O1199" s="99"/>
      <c r="P1199" s="99"/>
      <c r="Q1199" s="99"/>
      <c r="R1199" s="99"/>
      <c r="S1199" s="99"/>
      <c r="T1199" s="99"/>
      <c r="U1199" s="99"/>
      <c r="V1199" s="99"/>
      <c r="W1199" s="105"/>
      <c r="X1199" s="105"/>
      <c r="Y1199" s="105"/>
      <c r="Z1199" s="105"/>
      <c r="AA1199" s="105"/>
      <c r="AB1199" s="105"/>
      <c r="AC1199" s="105"/>
      <c r="AD1199" s="105"/>
      <c r="AE1199" s="105"/>
      <c r="AF1199" s="105"/>
      <c r="AG1199" s="105"/>
      <c r="AH1199" s="105"/>
      <c r="AI1199" s="105">
        <f>IF($AI$1110&gt;0,PPMT('Assumptions (Nuclear)'!$V$6,Model!W1,'Assumptions (Nuclear)'!$V$9,'Assumptions (Nuclear)'!$V$4*Model!$AI$1110*AVERAGE('Assumptions (Nuclear)'!$AB$2:$AG$2)/10^9),0)</f>
        <v>0</v>
      </c>
      <c r="AJ1199" s="105">
        <f>IF($AI$1110&gt;0,PPMT('Assumptions (Nuclear)'!$V$6,Model!X1,'Assumptions (Nuclear)'!$V$9,'Assumptions (Nuclear)'!$V$4*Model!$AI$1110*AVERAGE('Assumptions (Nuclear)'!$AB$2:$AG$2)/10^9),0)</f>
        <v>0</v>
      </c>
      <c r="AK1199" s="105">
        <f>IF($AI$1110&gt;0,PPMT('Assumptions (Nuclear)'!$V$6,Model!Y1,'Assumptions (Nuclear)'!$V$9,'Assumptions (Nuclear)'!$V$4*Model!$AI$1110*AVERAGE('Assumptions (Nuclear)'!$AB$2:$AG$2)/10^9),0)</f>
        <v>0</v>
      </c>
      <c r="AL1199" s="105">
        <f>IF($AI$1110&gt;0,PPMT('Assumptions (Nuclear)'!$V$6,Model!Z1,'Assumptions (Nuclear)'!$V$9,'Assumptions (Nuclear)'!$V$4*Model!$AI$1110*AVERAGE('Assumptions (Nuclear)'!$AB$2:$AG$2)/10^9),0)</f>
        <v>0</v>
      </c>
      <c r="AM1199" s="105">
        <f>IF($AI$1110&gt;0,PPMT('Assumptions (Nuclear)'!$V$6,Model!AA1,'Assumptions (Nuclear)'!$V$9,'Assumptions (Nuclear)'!$V$4*Model!$AI$1110*AVERAGE('Assumptions (Nuclear)'!$AB$2:$AG$2)/10^9),0)</f>
        <v>0</v>
      </c>
      <c r="AN1199" s="105">
        <f>IF($AI$1110&gt;0,PPMT('Assumptions (Nuclear)'!$V$6,Model!AB1,'Assumptions (Nuclear)'!$V$9,'Assumptions (Nuclear)'!$V$4*Model!$AI$1110*AVERAGE('Assumptions (Nuclear)'!$AB$2:$AG$2)/10^9),0)</f>
        <v>0</v>
      </c>
      <c r="AO1199" s="105">
        <f>IF($AI$1110&gt;0,PPMT('Assumptions (Nuclear)'!$V$6,Model!AC1,'Assumptions (Nuclear)'!$V$9,'Assumptions (Nuclear)'!$V$4*Model!$AI$1110*AVERAGE('Assumptions (Nuclear)'!$AB$2:$AG$2)/10^9),0)</f>
        <v>0</v>
      </c>
      <c r="AP1199" s="105">
        <f>IF($AI$1110&gt;0,PPMT('Assumptions (Nuclear)'!$V$6,Model!AD1,'Assumptions (Nuclear)'!$V$9,'Assumptions (Nuclear)'!$V$4*Model!$AI$1110*AVERAGE('Assumptions (Nuclear)'!$AB$2:$AG$2)/10^9),0)</f>
        <v>0</v>
      </c>
      <c r="AQ1199" s="105">
        <f>IF($AI$1110&gt;0,PPMT('Assumptions (Nuclear)'!$V$6,Model!AE1,'Assumptions (Nuclear)'!$V$9,'Assumptions (Nuclear)'!$V$4*Model!$AI$1110*AVERAGE('Assumptions (Nuclear)'!$AB$2:$AG$2)/10^9),0)</f>
        <v>0</v>
      </c>
      <c r="AR1199" s="105">
        <f>IF($AI$1110&gt;0,PPMT('Assumptions (Nuclear)'!$V$6,Model!AF1,'Assumptions (Nuclear)'!$V$9,'Assumptions (Nuclear)'!$V$4*Model!$AI$1110*AVERAGE('Assumptions (Nuclear)'!$AB$2:$AG$2)/10^9),0)</f>
        <v>0</v>
      </c>
      <c r="AS1199" s="105">
        <f>IF($AI$1110&gt;0,PPMT('Assumptions (Nuclear)'!$V$6,Model!AG1,'Assumptions (Nuclear)'!$V$9,'Assumptions (Nuclear)'!$V$4*Model!$AI$1110*AVERAGE('Assumptions (Nuclear)'!$AB$2:$AG$2)/10^9),0)</f>
        <v>0</v>
      </c>
      <c r="AT1199" s="105">
        <f>IF($AI$1110&gt;0,PPMT('Assumptions (Nuclear)'!$V$6,Model!AH1,'Assumptions (Nuclear)'!$V$9,'Assumptions (Nuclear)'!$V$4*Model!$AI$1110*AVERAGE('Assumptions (Nuclear)'!$AB$2:$AG$2)/10^9),0)</f>
        <v>0</v>
      </c>
      <c r="AU1199" s="105">
        <f>IF($AI$1110&gt;0,PPMT('Assumptions (Nuclear)'!$V$6,Model!AI1,'Assumptions (Nuclear)'!$V$9,'Assumptions (Nuclear)'!$V$4*Model!$AI$1110*AVERAGE('Assumptions (Nuclear)'!$AB$2:$AG$2)/10^9),0)</f>
        <v>0</v>
      </c>
      <c r="AV1199" s="105">
        <f>IF($AI$1110&gt;0,PPMT('Assumptions (Nuclear)'!$V$6,Model!AJ1,'Assumptions (Nuclear)'!$V$9,'Assumptions (Nuclear)'!$V$4*Model!$AI$1110*AVERAGE('Assumptions (Nuclear)'!$AB$2:$AG$2)/10^9),0)</f>
        <v>0</v>
      </c>
      <c r="AW1199" s="105">
        <f>IF($AI$1110&gt;0,PPMT('Assumptions (Nuclear)'!$V$6,Model!AK1,'Assumptions (Nuclear)'!$V$9,'Assumptions (Nuclear)'!$V$4*Model!$AI$1110*AVERAGE('Assumptions (Nuclear)'!$AB$2:$AG$2)/10^9),0)</f>
        <v>0</v>
      </c>
      <c r="AX1199" s="105"/>
      <c r="AY1199" s="105"/>
      <c r="AZ1199" s="105"/>
      <c r="BA1199" s="105"/>
      <c r="BB1199" s="105"/>
      <c r="BC1199" s="105"/>
      <c r="BD1199" s="105"/>
      <c r="BE1199" s="105"/>
      <c r="BF1199" s="105"/>
      <c r="BG1199" s="105"/>
    </row>
    <row r="1200" spans="1:60" ht="15.75" hidden="1" customHeight="1" outlineLevel="1">
      <c r="A1200" s="407"/>
      <c r="B1200" s="99"/>
      <c r="C1200" s="99"/>
      <c r="D1200" s="99"/>
      <c r="E1200" s="99"/>
      <c r="F1200" s="99"/>
      <c r="G1200" s="99"/>
      <c r="H1200" s="99"/>
      <c r="I1200" s="99"/>
      <c r="J1200" s="99"/>
      <c r="K1200" s="99"/>
      <c r="L1200" s="99"/>
      <c r="M1200" s="99"/>
      <c r="N1200" s="99"/>
      <c r="O1200" s="99"/>
      <c r="P1200" s="99"/>
      <c r="Q1200" s="99"/>
      <c r="R1200" s="99"/>
      <c r="S1200" s="99"/>
      <c r="T1200" s="99"/>
      <c r="U1200" s="99"/>
      <c r="V1200" s="99"/>
      <c r="W1200" s="105"/>
      <c r="X1200" s="105"/>
      <c r="Y1200" s="105"/>
      <c r="Z1200" s="105"/>
      <c r="AA1200" s="105"/>
      <c r="AB1200" s="105"/>
      <c r="AC1200" s="105"/>
      <c r="AD1200" s="105"/>
      <c r="AE1200" s="105"/>
      <c r="AF1200" s="105"/>
      <c r="AG1200" s="105"/>
      <c r="AH1200" s="105"/>
      <c r="AI1200" s="105"/>
      <c r="AJ1200" s="91">
        <f>IF($AJ$1110&gt;0,PPMT('Assumptions (Nuclear)'!$V$6,Model!W1,'Assumptions (Nuclear)'!$V$9,'Assumptions (Nuclear)'!$V$4*Model!$AJ$1110*AVERAGE('Assumptions (Nuclear)'!$AC$2:$AH$2)/10^9),0)</f>
        <v>0</v>
      </c>
      <c r="AK1200" s="91">
        <f>IF($AJ$1110&gt;0,PPMT('Assumptions (Nuclear)'!$V$6,Model!X1,'Assumptions (Nuclear)'!$V$9,'Assumptions (Nuclear)'!$V$4*Model!$AJ$1110*AVERAGE('Assumptions (Nuclear)'!$AC$2:$AH$2)/10^9),0)</f>
        <v>0</v>
      </c>
      <c r="AL1200" s="91">
        <f>IF($AJ$1110&gt;0,PPMT('Assumptions (Nuclear)'!$V$6,Model!Y1,'Assumptions (Nuclear)'!$V$9,'Assumptions (Nuclear)'!$V$4*Model!$AJ$1110*AVERAGE('Assumptions (Nuclear)'!$AC$2:$AH$2)/10^9),0)</f>
        <v>0</v>
      </c>
      <c r="AM1200" s="91">
        <f>IF($AJ$1110&gt;0,PPMT('Assumptions (Nuclear)'!$V$6,Model!Z1,'Assumptions (Nuclear)'!$V$9,'Assumptions (Nuclear)'!$V$4*Model!$AJ$1110*AVERAGE('Assumptions (Nuclear)'!$AC$2:$AH$2)/10^9),0)</f>
        <v>0</v>
      </c>
      <c r="AN1200" s="91">
        <f>IF($AJ$1110&gt;0,PPMT('Assumptions (Nuclear)'!$V$6,Model!AA1,'Assumptions (Nuclear)'!$V$9,'Assumptions (Nuclear)'!$V$4*Model!$AJ$1110*AVERAGE('Assumptions (Nuclear)'!$AC$2:$AH$2)/10^9),0)</f>
        <v>0</v>
      </c>
      <c r="AO1200" s="91">
        <f>IF($AJ$1110&gt;0,PPMT('Assumptions (Nuclear)'!$V$6,Model!AB1,'Assumptions (Nuclear)'!$V$9,'Assumptions (Nuclear)'!$V$4*Model!$AJ$1110*AVERAGE('Assumptions (Nuclear)'!$AC$2:$AH$2)/10^9),0)</f>
        <v>0</v>
      </c>
      <c r="AP1200" s="91">
        <f>IF($AJ$1110&gt;0,PPMT('Assumptions (Nuclear)'!$V$6,Model!AC1,'Assumptions (Nuclear)'!$V$9,'Assumptions (Nuclear)'!$V$4*Model!$AJ$1110*AVERAGE('Assumptions (Nuclear)'!$AC$2:$AH$2)/10^9),0)</f>
        <v>0</v>
      </c>
      <c r="AQ1200" s="91">
        <f>IF($AJ$1110&gt;0,PPMT('Assumptions (Nuclear)'!$V$6,Model!AD1,'Assumptions (Nuclear)'!$V$9,'Assumptions (Nuclear)'!$V$4*Model!$AJ$1110*AVERAGE('Assumptions (Nuclear)'!$AC$2:$AH$2)/10^9),0)</f>
        <v>0</v>
      </c>
      <c r="AR1200" s="91">
        <f>IF($AJ$1110&gt;0,PPMT('Assumptions (Nuclear)'!$V$6,Model!AE1,'Assumptions (Nuclear)'!$V$9,'Assumptions (Nuclear)'!$V$4*Model!$AJ$1110*AVERAGE('Assumptions (Nuclear)'!$AC$2:$AH$2)/10^9),0)</f>
        <v>0</v>
      </c>
      <c r="AS1200" s="91">
        <f>IF($AJ$1110&gt;0,PPMT('Assumptions (Nuclear)'!$V$6,Model!AF1,'Assumptions (Nuclear)'!$V$9,'Assumptions (Nuclear)'!$V$4*Model!$AJ$1110*AVERAGE('Assumptions (Nuclear)'!$AC$2:$AH$2)/10^9),0)</f>
        <v>0</v>
      </c>
      <c r="AT1200" s="91">
        <f>IF($AJ$1110&gt;0,PPMT('Assumptions (Nuclear)'!$V$6,Model!AG1,'Assumptions (Nuclear)'!$V$9,'Assumptions (Nuclear)'!$V$4*Model!$AJ$1110*AVERAGE('Assumptions (Nuclear)'!$AC$2:$AH$2)/10^9),0)</f>
        <v>0</v>
      </c>
      <c r="AU1200" s="91">
        <f>IF($AJ$1110&gt;0,PPMT('Assumptions (Nuclear)'!$V$6,Model!AH1,'Assumptions (Nuclear)'!$V$9,'Assumptions (Nuclear)'!$V$4*Model!$AJ$1110*AVERAGE('Assumptions (Nuclear)'!$AC$2:$AH$2)/10^9),0)</f>
        <v>0</v>
      </c>
      <c r="AV1200" s="91">
        <f>IF($AJ$1110&gt;0,PPMT('Assumptions (Nuclear)'!$V$6,Model!AI1,'Assumptions (Nuclear)'!$V$9,'Assumptions (Nuclear)'!$V$4*Model!$AJ$1110*AVERAGE('Assumptions (Nuclear)'!$AC$2:$AH$2)/10^9),0)</f>
        <v>0</v>
      </c>
      <c r="AW1200" s="91">
        <f>IF($AJ$1110&gt;0,PPMT('Assumptions (Nuclear)'!$V$6,Model!AJ1,'Assumptions (Nuclear)'!$V$9,'Assumptions (Nuclear)'!$V$4*Model!$AJ$1110*AVERAGE('Assumptions (Nuclear)'!$AC$2:$AH$2)/10^9),0)</f>
        <v>0</v>
      </c>
      <c r="AX1200" s="91">
        <f>IF($AJ$1110&gt;0,PPMT('Assumptions (Nuclear)'!$V$6,Model!AK1,'Assumptions (Nuclear)'!$V$9,'Assumptions (Nuclear)'!$V$4*Model!$AJ$1110*AVERAGE('Assumptions (Nuclear)'!$AC$2:$AH$2)/10^9),0)</f>
        <v>0</v>
      </c>
      <c r="AY1200" s="91"/>
      <c r="AZ1200" s="91"/>
      <c r="BA1200" s="91"/>
      <c r="BB1200" s="91"/>
      <c r="BC1200" s="91"/>
      <c r="BD1200" s="91"/>
      <c r="BE1200" s="91"/>
      <c r="BF1200" s="91"/>
      <c r="BG1200" s="91"/>
      <c r="BH1200" s="91"/>
    </row>
    <row r="1201" spans="1:76" ht="15.75" hidden="1" customHeight="1" outlineLevel="1">
      <c r="A1201" s="407"/>
      <c r="B1201" s="99"/>
      <c r="C1201" s="99"/>
      <c r="D1201" s="99"/>
      <c r="E1201" s="99"/>
      <c r="F1201" s="99"/>
      <c r="G1201" s="99"/>
      <c r="H1201" s="99"/>
      <c r="I1201" s="99"/>
      <c r="J1201" s="99"/>
      <c r="K1201" s="99"/>
      <c r="L1201" s="99"/>
      <c r="M1201" s="99"/>
      <c r="N1201" s="99"/>
      <c r="O1201" s="99"/>
      <c r="P1201" s="99"/>
      <c r="Q1201" s="99"/>
      <c r="R1201" s="99"/>
      <c r="S1201" s="99"/>
      <c r="T1201" s="99"/>
      <c r="U1201" s="99"/>
      <c r="V1201" s="99"/>
      <c r="W1201" s="105"/>
      <c r="X1201" s="105"/>
      <c r="Y1201" s="105"/>
      <c r="Z1201" s="105"/>
      <c r="AA1201" s="105"/>
      <c r="AB1201" s="105"/>
      <c r="AC1201" s="105"/>
      <c r="AD1201" s="105"/>
      <c r="AE1201" s="105"/>
      <c r="AF1201" s="105"/>
      <c r="AG1201" s="105"/>
      <c r="AH1201" s="105"/>
      <c r="AI1201" s="105"/>
      <c r="AJ1201" s="171"/>
      <c r="AK1201" s="105">
        <f>IF($AK$1110&gt;0,PPMT('Assumptions (Nuclear)'!$V$6,Model!W1,'Assumptions (Nuclear)'!$V$9,'Assumptions (Nuclear)'!$V$4*Model!$AK$1110*AVERAGE('Assumptions (Nuclear)'!$AD$2:$AI$2)/10^9),0)</f>
        <v>-0.32841861925386462</v>
      </c>
      <c r="AL1201" s="105">
        <f>IF($AK$1110&gt;0,PPMT('Assumptions (Nuclear)'!$V$6,Model!X1,'Assumptions (Nuclear)'!$V$9,'Assumptions (Nuclear)'!$V$4*Model!$AK$1110*AVERAGE('Assumptions (Nuclear)'!$AD$2:$AI$2)/10^9),0)</f>
        <v>-0.34401850366842318</v>
      </c>
      <c r="AM1201" s="105">
        <f>IF($AK$1110&gt;0,PPMT('Assumptions (Nuclear)'!$V$6,Model!Y1,'Assumptions (Nuclear)'!$V$9,'Assumptions (Nuclear)'!$V$4*Model!$AK$1110*AVERAGE('Assumptions (Nuclear)'!$AD$2:$AI$2)/10^9),0)</f>
        <v>-0.36035938259267331</v>
      </c>
      <c r="AN1201" s="105">
        <f>IF($AK$1110&gt;0,PPMT('Assumptions (Nuclear)'!$V$6,Model!Z1,'Assumptions (Nuclear)'!$V$9,'Assumptions (Nuclear)'!$V$4*Model!$AK$1110*AVERAGE('Assumptions (Nuclear)'!$AD$2:$AI$2)/10^9),0)</f>
        <v>-0.37747645326582524</v>
      </c>
      <c r="AO1201" s="105">
        <f>IF($AK$1110&gt;0,PPMT('Assumptions (Nuclear)'!$V$6,Model!AA1,'Assumptions (Nuclear)'!$V$9,'Assumptions (Nuclear)'!$V$4*Model!$AK$1110*AVERAGE('Assumptions (Nuclear)'!$AD$2:$AI$2)/10^9),0)</f>
        <v>-0.39540658479595192</v>
      </c>
      <c r="AP1201" s="105">
        <f>IF($AK$1110&gt;0,PPMT('Assumptions (Nuclear)'!$V$6,Model!AB1,'Assumptions (Nuclear)'!$V$9,'Assumptions (Nuclear)'!$V$4*Model!$AK$1110*AVERAGE('Assumptions (Nuclear)'!$AD$2:$AI$2)/10^9),0)</f>
        <v>-0.41418839757375964</v>
      </c>
      <c r="AQ1201" s="105">
        <f>IF($AK$1110&gt;0,PPMT('Assumptions (Nuclear)'!$V$6,Model!AC1,'Assumptions (Nuclear)'!$V$9,'Assumptions (Nuclear)'!$V$4*Model!$AK$1110*AVERAGE('Assumptions (Nuclear)'!$AD$2:$AI$2)/10^9),0)</f>
        <v>-0.43386234645851318</v>
      </c>
      <c r="AR1201" s="105">
        <f>IF($AK$1110&gt;0,PPMT('Assumptions (Nuclear)'!$V$6,Model!AD1,'Assumptions (Nuclear)'!$V$9,'Assumptions (Nuclear)'!$V$4*Model!$AK$1110*AVERAGE('Assumptions (Nuclear)'!$AD$2:$AI$2)/10^9),0)</f>
        <v>-0.45447080791529265</v>
      </c>
      <c r="AS1201" s="105">
        <f>IF($AK$1110&gt;0,PPMT('Assumptions (Nuclear)'!$V$6,Model!AE1,'Assumptions (Nuclear)'!$V$9,'Assumptions (Nuclear)'!$V$4*Model!$AK$1110*AVERAGE('Assumptions (Nuclear)'!$AD$2:$AI$2)/10^9),0)</f>
        <v>-0.47605817129126898</v>
      </c>
      <c r="AT1201" s="105">
        <f>IF($AK$1110&gt;0,PPMT('Assumptions (Nuclear)'!$V$6,Model!AF1,'Assumptions (Nuclear)'!$V$9,'Assumptions (Nuclear)'!$V$4*Model!$AK$1110*AVERAGE('Assumptions (Nuclear)'!$AD$2:$AI$2)/10^9),0)</f>
        <v>-0.49867093442760435</v>
      </c>
      <c r="AU1201" s="105">
        <f>IF($AK$1110&gt;0,PPMT('Assumptions (Nuclear)'!$V$6,Model!AG1,'Assumptions (Nuclear)'!$V$9,'Assumptions (Nuclear)'!$V$4*Model!$AK$1110*AVERAGE('Assumptions (Nuclear)'!$AD$2:$AI$2)/10^9),0)</f>
        <v>-0.52235780381291552</v>
      </c>
      <c r="AV1201" s="105">
        <f>IF($AK$1110&gt;0,PPMT('Assumptions (Nuclear)'!$V$6,Model!AH1,'Assumptions (Nuclear)'!$V$9,'Assumptions (Nuclear)'!$V$4*Model!$AK$1110*AVERAGE('Assumptions (Nuclear)'!$AD$2:$AI$2)/10^9),0)</f>
        <v>-0.547169799494029</v>
      </c>
      <c r="AW1201" s="105">
        <f>IF($AK$1110&gt;0,PPMT('Assumptions (Nuclear)'!$V$6,Model!AI1,'Assumptions (Nuclear)'!$V$9,'Assumptions (Nuclear)'!$V$4*Model!$AK$1110*AVERAGE('Assumptions (Nuclear)'!$AD$2:$AI$2)/10^9),0)</f>
        <v>-0.57316036496999545</v>
      </c>
      <c r="AX1201" s="105">
        <f>IF($AK$1110&gt;0,PPMT('Assumptions (Nuclear)'!$V$6,Model!AJ1,'Assumptions (Nuclear)'!$V$9,'Assumptions (Nuclear)'!$V$4*Model!$AK$1110*AVERAGE('Assumptions (Nuclear)'!$AD$2:$AI$2)/10^9),0)</f>
        <v>-0.60038548230607025</v>
      </c>
      <c r="AY1201" s="105">
        <f>IF($AK$1110&gt;0,PPMT('Assumptions (Nuclear)'!$V$6,Model!AK1,'Assumptions (Nuclear)'!$V$9,'Assumptions (Nuclear)'!$V$4*Model!$AK$1110*AVERAGE('Assumptions (Nuclear)'!$AD$2:$AI$2)/10^9),0)</f>
        <v>-0.62890379271560848</v>
      </c>
      <c r="AZ1201" s="105"/>
      <c r="BA1201" s="105"/>
      <c r="BB1201" s="105"/>
      <c r="BC1201" s="105"/>
      <c r="BD1201" s="105"/>
      <c r="BE1201" s="105"/>
      <c r="BF1201" s="105"/>
      <c r="BG1201" s="105"/>
      <c r="BH1201" s="105"/>
      <c r="BI1201" s="105"/>
    </row>
    <row r="1202" spans="1:76" ht="15.75" hidden="1" customHeight="1" outlineLevel="1">
      <c r="A1202" s="407"/>
      <c r="B1202" s="99"/>
      <c r="C1202" s="99"/>
      <c r="D1202" s="99"/>
      <c r="E1202" s="99"/>
      <c r="F1202" s="99"/>
      <c r="G1202" s="99"/>
      <c r="H1202" s="99"/>
      <c r="I1202" s="99"/>
      <c r="J1202" s="99"/>
      <c r="K1202" s="99"/>
      <c r="L1202" s="99"/>
      <c r="M1202" s="99"/>
      <c r="N1202" s="99"/>
      <c r="O1202" s="99"/>
      <c r="P1202" s="99"/>
      <c r="Q1202" s="99"/>
      <c r="R1202" s="99"/>
      <c r="S1202" s="99"/>
      <c r="T1202" s="99"/>
      <c r="U1202" s="99"/>
      <c r="V1202" s="99"/>
      <c r="W1202" s="105"/>
      <c r="X1202" s="105"/>
      <c r="Y1202" s="105"/>
      <c r="Z1202" s="105"/>
      <c r="AA1202" s="105"/>
      <c r="AB1202" s="105"/>
      <c r="AC1202" s="105"/>
      <c r="AD1202" s="105"/>
      <c r="AE1202" s="105"/>
      <c r="AF1202" s="105"/>
      <c r="AG1202" s="105"/>
      <c r="AH1202" s="105"/>
      <c r="AI1202" s="105"/>
      <c r="AJ1202" s="171"/>
      <c r="AK1202" s="105"/>
      <c r="AL1202" s="91">
        <f>IF($AL$1110&gt;0,PPMT('Assumptions (Nuclear)'!$V$6,Model!W1,'Assumptions (Nuclear)'!$V$9,'Assumptions (Nuclear)'!$V$4*Model!$AL$1110*AVERAGE('Assumptions (Nuclear)'!$AE$2:$AJ$2)/10^9),0)</f>
        <v>-4.7663771993335435E-2</v>
      </c>
      <c r="AM1202" s="91">
        <f>IF($AL$1110&gt;0,PPMT('Assumptions (Nuclear)'!$V$6,Model!X1,'Assumptions (Nuclear)'!$V$9,'Assumptions (Nuclear)'!$V$4*Model!$AL$1110*AVERAGE('Assumptions (Nuclear)'!$AE$2:$AJ$2)/10^9),0)</f>
        <v>-4.9927801163018877E-2</v>
      </c>
      <c r="AN1202" s="91">
        <f>IF($AL$1110&gt;0,PPMT('Assumptions (Nuclear)'!$V$6,Model!Y1,'Assumptions (Nuclear)'!$V$9,'Assumptions (Nuclear)'!$V$4*Model!$AL$1110*AVERAGE('Assumptions (Nuclear)'!$AE$2:$AJ$2)/10^9),0)</f>
        <v>-5.2299371718262273E-2</v>
      </c>
      <c r="AO1202" s="91">
        <f>IF($AL$1110&gt;0,PPMT('Assumptions (Nuclear)'!$V$6,Model!Z1,'Assumptions (Nuclear)'!$V$9,'Assumptions (Nuclear)'!$V$4*Model!$AL$1110*AVERAGE('Assumptions (Nuclear)'!$AE$2:$AJ$2)/10^9),0)</f>
        <v>-5.4783591874879731E-2</v>
      </c>
      <c r="AP1202" s="91">
        <f>IF($AL$1110&gt;0,PPMT('Assumptions (Nuclear)'!$V$6,Model!AA1,'Assumptions (Nuclear)'!$V$9,'Assumptions (Nuclear)'!$V$4*Model!$AL$1110*AVERAGE('Assumptions (Nuclear)'!$AE$2:$AJ$2)/10^9),0)</f>
        <v>-5.7385812488936511E-2</v>
      </c>
      <c r="AQ1202" s="91">
        <f>IF($AL$1110&gt;0,PPMT('Assumptions (Nuclear)'!$V$6,Model!AB1,'Assumptions (Nuclear)'!$V$9,'Assumptions (Nuclear)'!$V$4*Model!$AL$1110*AVERAGE('Assumptions (Nuclear)'!$AE$2:$AJ$2)/10^9),0)</f>
        <v>-6.0111638582160995E-2</v>
      </c>
      <c r="AR1202" s="91">
        <f>IF($AL$1110&gt;0,PPMT('Assumptions (Nuclear)'!$V$6,Model!AC1,'Assumptions (Nuclear)'!$V$9,'Assumptions (Nuclear)'!$V$4*Model!$AL$1110*AVERAGE('Assumptions (Nuclear)'!$AE$2:$AJ$2)/10^9),0)</f>
        <v>-6.296694141481364E-2</v>
      </c>
      <c r="AS1202" s="91">
        <f>IF($AL$1110&gt;0,PPMT('Assumptions (Nuclear)'!$V$6,Model!AD1,'Assumptions (Nuclear)'!$V$9,'Assumptions (Nuclear)'!$V$4*Model!$AL$1110*AVERAGE('Assumptions (Nuclear)'!$AE$2:$AJ$2)/10^9),0)</f>
        <v>-6.5957871132017301E-2</v>
      </c>
      <c r="AT1202" s="91">
        <f>IF($AL$1110&gt;0,PPMT('Assumptions (Nuclear)'!$V$6,Model!AE1,'Assumptions (Nuclear)'!$V$9,'Assumptions (Nuclear)'!$V$4*Model!$AL$1110*AVERAGE('Assumptions (Nuclear)'!$AE$2:$AJ$2)/10^9),0)</f>
        <v>-6.9090870010788119E-2</v>
      </c>
      <c r="AU1202" s="91">
        <f>IF($AL$1110&gt;0,PPMT('Assumptions (Nuclear)'!$V$6,Model!AF1,'Assumptions (Nuclear)'!$V$9,'Assumptions (Nuclear)'!$V$4*Model!$AL$1110*AVERAGE('Assumptions (Nuclear)'!$AE$2:$AJ$2)/10^9),0)</f>
        <v>-7.2372686336300548E-2</v>
      </c>
      <c r="AV1202" s="91">
        <f>IF($AL$1110&gt;0,PPMT('Assumptions (Nuclear)'!$V$6,Model!AG1,'Assumptions (Nuclear)'!$V$9,'Assumptions (Nuclear)'!$V$4*Model!$AL$1110*AVERAGE('Assumptions (Nuclear)'!$AE$2:$AJ$2)/10^9),0)</f>
        <v>-7.5810388937274834E-2</v>
      </c>
      <c r="AW1202" s="91">
        <f>IF($AL$1110&gt;0,PPMT('Assumptions (Nuclear)'!$V$6,Model!AH1,'Assumptions (Nuclear)'!$V$9,'Assumptions (Nuclear)'!$V$4*Model!$AL$1110*AVERAGE('Assumptions (Nuclear)'!$AE$2:$AJ$2)/10^9),0)</f>
        <v>-7.9411382411795378E-2</v>
      </c>
      <c r="AX1202" s="91">
        <f>IF($AL$1110&gt;0,PPMT('Assumptions (Nuclear)'!$V$6,Model!AI1,'Assumptions (Nuclear)'!$V$9,'Assumptions (Nuclear)'!$V$4*Model!$AL$1110*AVERAGE('Assumptions (Nuclear)'!$AE$2:$AJ$2)/10^9),0)</f>
        <v>-8.3183423076355664E-2</v>
      </c>
      <c r="AY1202" s="91">
        <f>IF($AL$1110&gt;0,PPMT('Assumptions (Nuclear)'!$V$6,Model!AJ1,'Assumptions (Nuclear)'!$V$9,'Assumptions (Nuclear)'!$V$4*Model!$AL$1110*AVERAGE('Assumptions (Nuclear)'!$AE$2:$AJ$2)/10^9),0)</f>
        <v>-8.7134635672482558E-2</v>
      </c>
      <c r="AZ1202" s="91">
        <f>IF($AL$1110&gt;0,PPMT('Assumptions (Nuclear)'!$V$6,Model!AK1,'Assumptions (Nuclear)'!$V$9,'Assumptions (Nuclear)'!$V$4*Model!$AL$1110*AVERAGE('Assumptions (Nuclear)'!$AE$2:$AJ$2)/10^9),0)</f>
        <v>-9.1273530866925467E-2</v>
      </c>
      <c r="BA1202" s="91"/>
      <c r="BB1202" s="91"/>
      <c r="BC1202" s="91"/>
      <c r="BD1202" s="91"/>
      <c r="BE1202" s="91"/>
      <c r="BF1202" s="91"/>
      <c r="BG1202" s="91"/>
      <c r="BH1202" s="91"/>
      <c r="BI1202" s="91"/>
      <c r="BJ1202" s="91"/>
    </row>
    <row r="1203" spans="1:76" ht="15.75" hidden="1" customHeight="1" outlineLevel="1">
      <c r="A1203" s="407"/>
      <c r="B1203" s="99"/>
      <c r="C1203" s="99"/>
      <c r="D1203" s="99"/>
      <c r="E1203" s="99"/>
      <c r="F1203" s="99"/>
      <c r="G1203" s="99"/>
      <c r="H1203" s="99"/>
      <c r="I1203" s="99"/>
      <c r="J1203" s="99"/>
      <c r="K1203" s="99"/>
      <c r="L1203" s="99"/>
      <c r="M1203" s="99"/>
      <c r="N1203" s="99"/>
      <c r="O1203" s="99"/>
      <c r="P1203" s="99"/>
      <c r="Q1203" s="99"/>
      <c r="R1203" s="99"/>
      <c r="S1203" s="99"/>
      <c r="T1203" s="99"/>
      <c r="U1203" s="99"/>
      <c r="V1203" s="99"/>
      <c r="W1203" s="105"/>
      <c r="X1203" s="105"/>
      <c r="Y1203" s="105"/>
      <c r="Z1203" s="105"/>
      <c r="AA1203" s="105"/>
      <c r="AB1203" s="105"/>
      <c r="AC1203" s="105"/>
      <c r="AD1203" s="105"/>
      <c r="AE1203" s="105"/>
      <c r="AF1203" s="105"/>
      <c r="AG1203" s="105"/>
      <c r="AH1203" s="105"/>
      <c r="AI1203" s="105"/>
      <c r="AJ1203" s="171"/>
      <c r="AK1203" s="105"/>
      <c r="AL1203" s="91"/>
      <c r="AM1203" s="105">
        <f>IF($AM$1110&gt;0,PPMT('Assumptions (Nuclear)'!$V$6,Model!W1,'Assumptions (Nuclear)'!$V$9,'Assumptions (Nuclear)'!$V$4*Model!$AM$1110*AVERAGE('Assumptions (Nuclear)'!$AF$2:$AK$2)/10^9),0)</f>
        <v>-0.79805269591969796</v>
      </c>
      <c r="AN1203" s="105">
        <f>IF($AM$1110&gt;0,PPMT('Assumptions (Nuclear)'!$V$6,Model!X1,'Assumptions (Nuclear)'!$V$9,'Assumptions (Nuclear)'!$V$4*Model!$AM$1110*AVERAGE('Assumptions (Nuclear)'!$AF$2:$AK$2)/10^9),0)</f>
        <v>-0.83596019897588358</v>
      </c>
      <c r="AO1203" s="105">
        <f>IF($AM$1110&gt;0,PPMT('Assumptions (Nuclear)'!$V$6,Model!Y1,'Assumptions (Nuclear)'!$V$9,'Assumptions (Nuclear)'!$V$4*Model!$AM$1110*AVERAGE('Assumptions (Nuclear)'!$AF$2:$AK$2)/10^9),0)</f>
        <v>-0.8756683084272382</v>
      </c>
      <c r="AP1203" s="105">
        <f>IF($AM$1110&gt;0,PPMT('Assumptions (Nuclear)'!$V$6,Model!Z1,'Assumptions (Nuclear)'!$V$9,'Assumptions (Nuclear)'!$V$4*Model!$AM$1110*AVERAGE('Assumptions (Nuclear)'!$AF$2:$AK$2)/10^9),0)</f>
        <v>-0.91726255307753179</v>
      </c>
      <c r="AQ1203" s="105">
        <f>IF($AM$1110&gt;0,PPMT('Assumptions (Nuclear)'!$V$6,Model!AA1,'Assumptions (Nuclear)'!$V$9,'Assumptions (Nuclear)'!$V$4*Model!$AM$1110*AVERAGE('Assumptions (Nuclear)'!$AF$2:$AK$2)/10^9),0)</f>
        <v>-0.96083252434871447</v>
      </c>
      <c r="AR1203" s="105">
        <f>IF($AM$1110&gt;0,PPMT('Assumptions (Nuclear)'!$V$6,Model!AB1,'Assumptions (Nuclear)'!$V$9,'Assumptions (Nuclear)'!$V$4*Model!$AM$1110*AVERAGE('Assumptions (Nuclear)'!$AF$2:$AK$2)/10^9),0)</f>
        <v>-1.0064720692552787</v>
      </c>
      <c r="AS1203" s="105">
        <f>IF($AM$1110&gt;0,PPMT('Assumptions (Nuclear)'!$V$6,Model!AC1,'Assumptions (Nuclear)'!$V$9,'Assumptions (Nuclear)'!$V$4*Model!$AM$1110*AVERAGE('Assumptions (Nuclear)'!$AF$2:$AK$2)/10^9),0)</f>
        <v>-1.0542794925449042</v>
      </c>
      <c r="AT1203" s="105">
        <f>IF($AM$1110&gt;0,PPMT('Assumptions (Nuclear)'!$V$6,Model!AD1,'Assumptions (Nuclear)'!$V$9,'Assumptions (Nuclear)'!$V$4*Model!$AM$1110*AVERAGE('Assumptions (Nuclear)'!$AF$2:$AK$2)/10^9),0)</f>
        <v>-1.1043577684407873</v>
      </c>
      <c r="AU1203" s="105">
        <f>IF($AM$1110&gt;0,PPMT('Assumptions (Nuclear)'!$V$6,Model!AE1,'Assumptions (Nuclear)'!$V$9,'Assumptions (Nuclear)'!$V$4*Model!$AM$1110*AVERAGE('Assumptions (Nuclear)'!$AF$2:$AK$2)/10^9),0)</f>
        <v>-1.1568147624417244</v>
      </c>
      <c r="AV1203" s="105">
        <f>IF($AM$1110&gt;0,PPMT('Assumptions (Nuclear)'!$V$6,Model!AF1,'Assumptions (Nuclear)'!$V$9,'Assumptions (Nuclear)'!$V$4*Model!$AM$1110*AVERAGE('Assumptions (Nuclear)'!$AF$2:$AK$2)/10^9),0)</f>
        <v>-1.2117634636577064</v>
      </c>
      <c r="AW1203" s="105">
        <f>IF($AM$1110&gt;0,PPMT('Assumptions (Nuclear)'!$V$6,Model!AG1,'Assumptions (Nuclear)'!$V$9,'Assumptions (Nuclear)'!$V$4*Model!$AM$1110*AVERAGE('Assumptions (Nuclear)'!$AF$2:$AK$2)/10^9),0)</f>
        <v>-1.2693222281814478</v>
      </c>
      <c r="AX1203" s="105">
        <f>IF($AM$1110&gt;0,PPMT('Assumptions (Nuclear)'!$V$6,Model!AH1,'Assumptions (Nuclear)'!$V$9,'Assumptions (Nuclear)'!$V$4*Model!$AM$1110*AVERAGE('Assumptions (Nuclear)'!$AF$2:$AK$2)/10^9),0)</f>
        <v>-1.3296150340200663</v>
      </c>
      <c r="AY1203" s="105">
        <f>IF($AM$1110&gt;0,PPMT('Assumptions (Nuclear)'!$V$6,Model!AI1,'Assumptions (Nuclear)'!$V$9,'Assumptions (Nuclear)'!$V$4*Model!$AM$1110*AVERAGE('Assumptions (Nuclear)'!$AF$2:$AK$2)/10^9),0)</f>
        <v>-1.3927717481360196</v>
      </c>
      <c r="AZ1203" s="105">
        <f>IF($AM$1110&gt;0,PPMT('Assumptions (Nuclear)'!$V$6,Model!AJ1,'Assumptions (Nuclear)'!$V$9,'Assumptions (Nuclear)'!$V$4*Model!$AM$1110*AVERAGE('Assumptions (Nuclear)'!$AF$2:$AK$2)/10^9),0)</f>
        <v>-1.4589284061724805</v>
      </c>
      <c r="BA1203" s="105">
        <f>IF($AM$1110&gt;0,PPMT('Assumptions (Nuclear)'!$V$6,Model!AK1,'Assumptions (Nuclear)'!$V$9,'Assumptions (Nuclear)'!$V$4*Model!$AM$1110*AVERAGE('Assumptions (Nuclear)'!$AF$2:$AK$2)/10^9),0)</f>
        <v>-1.5282275054656733</v>
      </c>
      <c r="BB1203" s="105"/>
      <c r="BC1203" s="105"/>
      <c r="BD1203" s="105"/>
      <c r="BE1203" s="105"/>
      <c r="BF1203" s="105"/>
      <c r="BG1203" s="105"/>
      <c r="BH1203" s="105"/>
      <c r="BI1203" s="105"/>
      <c r="BJ1203" s="105"/>
      <c r="BK1203" s="105"/>
    </row>
    <row r="1204" spans="1:76" ht="15.75" hidden="1" customHeight="1" outlineLevel="1">
      <c r="A1204" s="407"/>
      <c r="B1204" s="99"/>
      <c r="C1204" s="99"/>
      <c r="D1204" s="99"/>
      <c r="E1204" s="99"/>
      <c r="F1204" s="99"/>
      <c r="G1204" s="99"/>
      <c r="H1204" s="99"/>
      <c r="I1204" s="99"/>
      <c r="J1204" s="99"/>
      <c r="K1204" s="99"/>
      <c r="L1204" s="99"/>
      <c r="M1204" s="99"/>
      <c r="N1204" s="99"/>
      <c r="O1204" s="99"/>
      <c r="P1204" s="99"/>
      <c r="Q1204" s="99"/>
      <c r="R1204" s="99"/>
      <c r="S1204" s="99"/>
      <c r="T1204" s="99"/>
      <c r="U1204" s="99"/>
      <c r="V1204" s="99"/>
      <c r="W1204" s="105"/>
      <c r="X1204" s="105"/>
      <c r="Y1204" s="105"/>
      <c r="Z1204" s="105"/>
      <c r="AA1204" s="105"/>
      <c r="AB1204" s="105"/>
      <c r="AC1204" s="105"/>
      <c r="AD1204" s="105"/>
      <c r="AE1204" s="105"/>
      <c r="AF1204" s="105"/>
      <c r="AG1204" s="105"/>
      <c r="AH1204" s="105"/>
      <c r="AI1204" s="105"/>
      <c r="AJ1204" s="171"/>
      <c r="AK1204" s="105"/>
      <c r="AL1204" s="91"/>
      <c r="AM1204" s="91"/>
      <c r="AN1204" s="105">
        <f>IF($AN$1110&gt;0,PPMT('Assumptions (Nuclear)'!$V$6,Model!W1,'Assumptions (Nuclear)'!$V$9,'Assumptions (Nuclear)'!$V$4*Model!$AN$1110*AVERAGE('Assumptions (Nuclear)'!$AG$2:$AL$2)/10^9),0)</f>
        <v>-0.45433041046159489</v>
      </c>
      <c r="AO1204" s="105">
        <f>IF($AN$1110&gt;0,PPMT('Assumptions (Nuclear)'!$V$6,Model!X1,'Assumptions (Nuclear)'!$V$9,'Assumptions (Nuclear)'!$V$4*Model!$AN$1110*AVERAGE('Assumptions (Nuclear)'!$AG$2:$AL$2)/10^9),0)</f>
        <v>-0.47591110495852063</v>
      </c>
      <c r="AP1204" s="105">
        <f>IF($AN$1110&gt;0,PPMT('Assumptions (Nuclear)'!$V$6,Model!Y1,'Assumptions (Nuclear)'!$V$9,'Assumptions (Nuclear)'!$V$4*Model!$AN$1110*AVERAGE('Assumptions (Nuclear)'!$AG$2:$AL$2)/10^9),0)</f>
        <v>-0.4985168824440504</v>
      </c>
      <c r="AQ1204" s="105">
        <f>IF($AN$1110&gt;0,PPMT('Assumptions (Nuclear)'!$V$6,Model!Z1,'Assumptions (Nuclear)'!$V$9,'Assumptions (Nuclear)'!$V$4*Model!$AN$1110*AVERAGE('Assumptions (Nuclear)'!$AG$2:$AL$2)/10^9),0)</f>
        <v>-0.52219643436014274</v>
      </c>
      <c r="AR1204" s="105">
        <f>IF($AN$1110&gt;0,PPMT('Assumptions (Nuclear)'!$V$6,Model!AA1,'Assumptions (Nuclear)'!$V$9,'Assumptions (Nuclear)'!$V$4*Model!$AN$1110*AVERAGE('Assumptions (Nuclear)'!$AG$2:$AL$2)/10^9),0)</f>
        <v>-0.54700076499224948</v>
      </c>
      <c r="AS1204" s="105">
        <f>IF($AN$1110&gt;0,PPMT('Assumptions (Nuclear)'!$V$6,Model!AB1,'Assumptions (Nuclear)'!$V$9,'Assumptions (Nuclear)'!$V$4*Model!$AN$1110*AVERAGE('Assumptions (Nuclear)'!$AG$2:$AL$2)/10^9),0)</f>
        <v>-0.57298330132938147</v>
      </c>
      <c r="AT1204" s="105">
        <f>IF($AN$1110&gt;0,PPMT('Assumptions (Nuclear)'!$V$6,Model!AC1,'Assumptions (Nuclear)'!$V$9,'Assumptions (Nuclear)'!$V$4*Model!$AN$1110*AVERAGE('Assumptions (Nuclear)'!$AG$2:$AL$2)/10^9),0)</f>
        <v>-0.60020000814252705</v>
      </c>
      <c r="AU1204" s="105">
        <f>IF($AN$1110&gt;0,PPMT('Assumptions (Nuclear)'!$V$6,Model!AD1,'Assumptions (Nuclear)'!$V$9,'Assumptions (Nuclear)'!$V$4*Model!$AN$1110*AVERAGE('Assumptions (Nuclear)'!$AG$2:$AL$2)/10^9),0)</f>
        <v>-0.62870950852929708</v>
      </c>
      <c r="AV1204" s="105">
        <f>IF($AN$1110&gt;0,PPMT('Assumptions (Nuclear)'!$V$6,Model!AE1,'Assumptions (Nuclear)'!$V$9,'Assumptions (Nuclear)'!$V$4*Model!$AN$1110*AVERAGE('Assumptions (Nuclear)'!$AG$2:$AL$2)/10^9),0)</f>
        <v>-0.65857321018443871</v>
      </c>
      <c r="AW1204" s="105">
        <f>IF($AN$1110&gt;0,PPMT('Assumptions (Nuclear)'!$V$6,Model!AF1,'Assumptions (Nuclear)'!$V$9,'Assumptions (Nuclear)'!$V$4*Model!$AN$1110*AVERAGE('Assumptions (Nuclear)'!$AG$2:$AL$2)/10^9),0)</f>
        <v>-0.68985543766819957</v>
      </c>
      <c r="AX1204" s="105">
        <f>IF($AN$1110&gt;0,PPMT('Assumptions (Nuclear)'!$V$6,Model!AG1,'Assumptions (Nuclear)'!$V$9,'Assumptions (Nuclear)'!$V$4*Model!$AN$1110*AVERAGE('Assumptions (Nuclear)'!$AG$2:$AL$2)/10^9),0)</f>
        <v>-0.72262357095743901</v>
      </c>
      <c r="AY1204" s="105">
        <f>IF($AN$1110&gt;0,PPMT('Assumptions (Nuclear)'!$V$6,Model!AH1,'Assumptions (Nuclear)'!$V$9,'Assumptions (Nuclear)'!$V$4*Model!$AN$1110*AVERAGE('Assumptions (Nuclear)'!$AG$2:$AL$2)/10^9),0)</f>
        <v>-0.7569481905779174</v>
      </c>
      <c r="AZ1204" s="105">
        <f>IF($AN$1110&gt;0,PPMT('Assumptions (Nuclear)'!$V$6,Model!AI1,'Assumptions (Nuclear)'!$V$9,'Assumptions (Nuclear)'!$V$4*Model!$AN$1110*AVERAGE('Assumptions (Nuclear)'!$AG$2:$AL$2)/10^9),0)</f>
        <v>-0.79290322963036841</v>
      </c>
      <c r="BA1204" s="105">
        <f>IF($AN$1110&gt;0,PPMT('Assumptions (Nuclear)'!$V$6,Model!AJ1,'Assumptions (Nuclear)'!$V$9,'Assumptions (Nuclear)'!$V$4*Model!$AN$1110*AVERAGE('Assumptions (Nuclear)'!$AG$2:$AL$2)/10^9),0)</f>
        <v>-0.83056613303781091</v>
      </c>
      <c r="BB1204" s="105">
        <f>IF($AN$1110&gt;0,PPMT('Assumptions (Nuclear)'!$V$6,Model!AK1,'Assumptions (Nuclear)'!$V$9,'Assumptions (Nuclear)'!$V$4*Model!$AN$1110*AVERAGE('Assumptions (Nuclear)'!$AG$2:$AL$2)/10^9),0)</f>
        <v>-0.87001802435710685</v>
      </c>
      <c r="BC1204" s="105"/>
      <c r="BD1204" s="105"/>
      <c r="BE1204" s="105"/>
      <c r="BF1204" s="105"/>
      <c r="BG1204" s="105"/>
      <c r="BH1204" s="105"/>
      <c r="BI1204" s="105"/>
      <c r="BJ1204" s="105"/>
      <c r="BK1204" s="105"/>
      <c r="BL1204" s="105"/>
    </row>
    <row r="1205" spans="1:76" ht="15.75" hidden="1" customHeight="1" outlineLevel="1">
      <c r="A1205" s="407"/>
      <c r="B1205" s="99"/>
      <c r="C1205" s="99"/>
      <c r="D1205" s="99"/>
      <c r="E1205" s="99"/>
      <c r="F1205" s="99"/>
      <c r="G1205" s="99"/>
      <c r="H1205" s="99"/>
      <c r="I1205" s="99"/>
      <c r="J1205" s="99"/>
      <c r="K1205" s="99"/>
      <c r="L1205" s="99"/>
      <c r="M1205" s="99"/>
      <c r="N1205" s="99"/>
      <c r="O1205" s="99"/>
      <c r="P1205" s="99"/>
      <c r="Q1205" s="99"/>
      <c r="R1205" s="99"/>
      <c r="S1205" s="99"/>
      <c r="T1205" s="99"/>
      <c r="U1205" s="99"/>
      <c r="V1205" s="99"/>
      <c r="W1205" s="105"/>
      <c r="X1205" s="105"/>
      <c r="Y1205" s="105"/>
      <c r="Z1205" s="105"/>
      <c r="AA1205" s="105"/>
      <c r="AB1205" s="105"/>
      <c r="AC1205" s="105"/>
      <c r="AD1205" s="105"/>
      <c r="AE1205" s="105"/>
      <c r="AF1205" s="105"/>
      <c r="AG1205" s="105"/>
      <c r="AH1205" s="105"/>
      <c r="AI1205" s="105"/>
      <c r="AJ1205" s="171"/>
      <c r="AK1205" s="105"/>
      <c r="AL1205" s="91"/>
      <c r="AM1205" s="91"/>
      <c r="AN1205" s="91"/>
      <c r="AO1205" s="105">
        <f>IF($AO$1110&gt;0,PPMT('Assumptions (Nuclear)'!$V$6,Model!W1,'Assumptions (Nuclear)'!$V$9,'Assumptions (Nuclear)'!$V$4*Model!$AO$1110*AVERAGE('Assumptions (Nuclear)'!$AH$2:$AM$2)/10^9),0)</f>
        <v>-9.2691390498384915E-2</v>
      </c>
      <c r="AP1205" s="105">
        <f>IF($AO$1110&gt;0,PPMT('Assumptions (Nuclear)'!$V$6,Model!X1,'Assumptions (Nuclear)'!$V$9,'Assumptions (Nuclear)'!$V$4*Model!$AO$1110*AVERAGE('Assumptions (Nuclear)'!$AH$2:$AM$2)/10^9),0)</f>
        <v>-9.7094231547058193E-2</v>
      </c>
      <c r="AQ1205" s="105">
        <f>IF($AO$1110&gt;0,PPMT('Assumptions (Nuclear)'!$V$6,Model!Y1,'Assumptions (Nuclear)'!$V$9,'Assumptions (Nuclear)'!$V$4*Model!$AO$1110*AVERAGE('Assumptions (Nuclear)'!$AH$2:$AM$2)/10^9),0)</f>
        <v>-0.10170620754554346</v>
      </c>
      <c r="AR1205" s="105">
        <f>IF($AO$1110&gt;0,PPMT('Assumptions (Nuclear)'!$V$6,Model!Z1,'Assumptions (Nuclear)'!$V$9,'Assumptions (Nuclear)'!$V$4*Model!$AO$1110*AVERAGE('Assumptions (Nuclear)'!$AH$2:$AM$2)/10^9),0)</f>
        <v>-0.10653725240395678</v>
      </c>
      <c r="AS1205" s="105">
        <f>IF($AO$1110&gt;0,PPMT('Assumptions (Nuclear)'!$V$6,Model!AA1,'Assumptions (Nuclear)'!$V$9,'Assumptions (Nuclear)'!$V$4*Model!$AO$1110*AVERAGE('Assumptions (Nuclear)'!$AH$2:$AM$2)/10^9),0)</f>
        <v>-0.11159777189314471</v>
      </c>
      <c r="AT1205" s="105">
        <f>IF($AO$1110&gt;0,PPMT('Assumptions (Nuclear)'!$V$6,Model!AB1,'Assumptions (Nuclear)'!$V$9,'Assumptions (Nuclear)'!$V$4*Model!$AO$1110*AVERAGE('Assumptions (Nuclear)'!$AH$2:$AM$2)/10^9),0)</f>
        <v>-0.1168986660580691</v>
      </c>
      <c r="AU1205" s="105">
        <f>IF($AO$1110&gt;0,PPMT('Assumptions (Nuclear)'!$V$6,Model!AC1,'Assumptions (Nuclear)'!$V$9,'Assumptions (Nuclear)'!$V$4*Model!$AO$1110*AVERAGE('Assumptions (Nuclear)'!$AH$2:$AM$2)/10^9),0)</f>
        <v>-0.12245135269582738</v>
      </c>
      <c r="AV1205" s="105">
        <f>IF($AO$1110&gt;0,PPMT('Assumptions (Nuclear)'!$V$6,Model!AD1,'Assumptions (Nuclear)'!$V$9,'Assumptions (Nuclear)'!$V$4*Model!$AO$1110*AVERAGE('Assumptions (Nuclear)'!$AH$2:$AM$2)/10^9),0)</f>
        <v>-0.12826779194887919</v>
      </c>
      <c r="AW1205" s="105">
        <f>IF($AO$1110&gt;0,PPMT('Assumptions (Nuclear)'!$V$6,Model!AE1,'Assumptions (Nuclear)'!$V$9,'Assumptions (Nuclear)'!$V$4*Model!$AO$1110*AVERAGE('Assumptions (Nuclear)'!$AH$2:$AM$2)/10^9),0)</f>
        <v>-0.13436051206645094</v>
      </c>
      <c r="AX1205" s="105">
        <f>IF($AO$1110&gt;0,PPMT('Assumptions (Nuclear)'!$V$6,Model!AF1,'Assumptions (Nuclear)'!$V$9,'Assumptions (Nuclear)'!$V$4*Model!$AO$1110*AVERAGE('Assumptions (Nuclear)'!$AH$2:$AM$2)/10^9),0)</f>
        <v>-0.14074263638960738</v>
      </c>
      <c r="AY1205" s="105">
        <f>IF($AO$1110&gt;0,PPMT('Assumptions (Nuclear)'!$V$6,Model!AG1,'Assumptions (Nuclear)'!$V$9,'Assumptions (Nuclear)'!$V$4*Model!$AO$1110*AVERAGE('Assumptions (Nuclear)'!$AH$2:$AM$2)/10^9),0)</f>
        <v>-0.14742791161811372</v>
      </c>
      <c r="AZ1205" s="105">
        <f>IF($AO$1110&gt;0,PPMT('Assumptions (Nuclear)'!$V$6,Model!AH1,'Assumptions (Nuclear)'!$V$9,'Assumptions (Nuclear)'!$V$4*Model!$AO$1110*AVERAGE('Assumptions (Nuclear)'!$AH$2:$AM$2)/10^9),0)</f>
        <v>-0.15443073741997412</v>
      </c>
      <c r="BA1205" s="105">
        <f>IF($AO$1110&gt;0,PPMT('Assumptions (Nuclear)'!$V$6,Model!AI1,'Assumptions (Nuclear)'!$V$9,'Assumptions (Nuclear)'!$V$4*Model!$AO$1110*AVERAGE('Assumptions (Nuclear)'!$AH$2:$AM$2)/10^9),0)</f>
        <v>-0.1617661974474229</v>
      </c>
      <c r="BB1205" s="105">
        <f>IF($AO$1110&gt;0,PPMT('Assumptions (Nuclear)'!$V$6,Model!AJ1,'Assumptions (Nuclear)'!$V$9,'Assumptions (Nuclear)'!$V$4*Model!$AO$1110*AVERAGE('Assumptions (Nuclear)'!$AH$2:$AM$2)/10^9),0)</f>
        <v>-0.16945009182617549</v>
      </c>
      <c r="BC1205" s="105">
        <f>IF($AO$1110&gt;0,PPMT('Assumptions (Nuclear)'!$V$6,Model!AK1,'Assumptions (Nuclear)'!$V$9,'Assumptions (Nuclear)'!$V$4*Model!$AO$1110*AVERAGE('Assumptions (Nuclear)'!$AH$2:$AM$2)/10^9),0)</f>
        <v>-0.1774989711879188</v>
      </c>
      <c r="BD1205" s="105"/>
      <c r="BE1205" s="105"/>
      <c r="BF1205" s="105"/>
      <c r="BG1205" s="105"/>
      <c r="BH1205" s="105"/>
      <c r="BI1205" s="105"/>
      <c r="BJ1205" s="105"/>
      <c r="BK1205" s="105"/>
      <c r="BL1205" s="105"/>
      <c r="BM1205" s="105"/>
    </row>
    <row r="1206" spans="1:76" ht="15.75" hidden="1" customHeight="1" outlineLevel="1">
      <c r="A1206" s="407"/>
      <c r="B1206" s="99"/>
      <c r="C1206" s="99"/>
      <c r="D1206" s="99"/>
      <c r="E1206" s="99"/>
      <c r="F1206" s="99"/>
      <c r="G1206" s="99"/>
      <c r="H1206" s="99"/>
      <c r="I1206" s="99"/>
      <c r="J1206" s="99"/>
      <c r="K1206" s="99"/>
      <c r="L1206" s="99"/>
      <c r="M1206" s="99"/>
      <c r="N1206" s="99"/>
      <c r="O1206" s="99"/>
      <c r="P1206" s="99"/>
      <c r="Q1206" s="99"/>
      <c r="R1206" s="99"/>
      <c r="S1206" s="99"/>
      <c r="T1206" s="99"/>
      <c r="U1206" s="99"/>
      <c r="V1206" s="99"/>
      <c r="W1206" s="105"/>
      <c r="X1206" s="105"/>
      <c r="Y1206" s="105"/>
      <c r="Z1206" s="105"/>
      <c r="AA1206" s="105"/>
      <c r="AB1206" s="105"/>
      <c r="AC1206" s="105"/>
      <c r="AD1206" s="105"/>
      <c r="AE1206" s="105"/>
      <c r="AF1206" s="105"/>
      <c r="AG1206" s="105"/>
      <c r="AH1206" s="105"/>
      <c r="AI1206" s="105"/>
      <c r="AJ1206" s="171"/>
      <c r="AK1206" s="105"/>
      <c r="AL1206" s="91"/>
      <c r="AM1206" s="91"/>
      <c r="AN1206" s="91"/>
      <c r="AO1206" s="105"/>
      <c r="AP1206" s="105">
        <f>IF($AP$1110&gt;0,PPMT('Assumptions (Nuclear)'!$V$6,Model!W1,'Assumptions (Nuclear)'!$V$9,'Assumptions (Nuclear)'!$V$4*Model!$AP$1110*AVERAGE('Assumptions (Nuclear)'!$AI$2:$AN$2)/10^9),0)</f>
        <v>-0.40654596619457428</v>
      </c>
      <c r="AQ1206" s="105">
        <f>IF($AP$1110&gt;0,PPMT('Assumptions (Nuclear)'!$V$6,Model!X1,'Assumptions (Nuclear)'!$V$9,'Assumptions (Nuclear)'!$V$4*Model!$AP$1110*AVERAGE('Assumptions (Nuclear)'!$AI$2:$AN$2)/10^9),0)</f>
        <v>-0.42585689958881656</v>
      </c>
      <c r="AR1206" s="105">
        <f>IF($AP$1110&gt;0,PPMT('Assumptions (Nuclear)'!$V$6,Model!Y1,'Assumptions (Nuclear)'!$V$9,'Assumptions (Nuclear)'!$V$4*Model!$AP$1110*AVERAGE('Assumptions (Nuclear)'!$AI$2:$AN$2)/10^9),0)</f>
        <v>-0.44608510231928539</v>
      </c>
      <c r="AS1206" s="105">
        <f>IF($AP$1110&gt;0,PPMT('Assumptions (Nuclear)'!$V$6,Model!Z1,'Assumptions (Nuclear)'!$V$9,'Assumptions (Nuclear)'!$V$4*Model!$AP$1110*AVERAGE('Assumptions (Nuclear)'!$AI$2:$AN$2)/10^9),0)</f>
        <v>-0.46727414467945139</v>
      </c>
      <c r="AT1206" s="105">
        <f>IF($AP$1110&gt;0,PPMT('Assumptions (Nuclear)'!$V$6,Model!AA1,'Assumptions (Nuclear)'!$V$9,'Assumptions (Nuclear)'!$V$4*Model!$AP$1110*AVERAGE('Assumptions (Nuclear)'!$AI$2:$AN$2)/10^9),0)</f>
        <v>-0.4894696665517253</v>
      </c>
      <c r="AU1206" s="105">
        <f>IF($AP$1110&gt;0,PPMT('Assumptions (Nuclear)'!$V$6,Model!AB1,'Assumptions (Nuclear)'!$V$9,'Assumptions (Nuclear)'!$V$4*Model!$AP$1110*AVERAGE('Assumptions (Nuclear)'!$AI$2:$AN$2)/10^9),0)</f>
        <v>-0.5127194757129323</v>
      </c>
      <c r="AV1206" s="105">
        <f>IF($AP$1110&gt;0,PPMT('Assumptions (Nuclear)'!$V$6,Model!AC1,'Assumptions (Nuclear)'!$V$9,'Assumptions (Nuclear)'!$V$4*Model!$AP$1110*AVERAGE('Assumptions (Nuclear)'!$AI$2:$AN$2)/10^9),0)</f>
        <v>-0.53707365080929659</v>
      </c>
      <c r="AW1206" s="105">
        <f>IF($AP$1110&gt;0,PPMT('Assumptions (Nuclear)'!$V$6,Model!AD1,'Assumptions (Nuclear)'!$V$9,'Assumptions (Nuclear)'!$V$4*Model!$AP$1110*AVERAGE('Assumptions (Nuclear)'!$AI$2:$AN$2)/10^9),0)</f>
        <v>-0.56258464922273821</v>
      </c>
      <c r="AX1206" s="105">
        <f>IF($AP$1110&gt;0,PPMT('Assumptions (Nuclear)'!$V$6,Model!AE1,'Assumptions (Nuclear)'!$V$9,'Assumptions (Nuclear)'!$V$4*Model!$AP$1110*AVERAGE('Assumptions (Nuclear)'!$AI$2:$AN$2)/10^9),0)</f>
        <v>-0.58930742006081815</v>
      </c>
      <c r="AY1206" s="105">
        <f>IF($AP$1110&gt;0,PPMT('Assumptions (Nuclear)'!$V$6,Model!AF1,'Assumptions (Nuclear)'!$V$9,'Assumptions (Nuclear)'!$V$4*Model!$AP$1110*AVERAGE('Assumptions (Nuclear)'!$AI$2:$AN$2)/10^9),0)</f>
        <v>-0.61729952251370712</v>
      </c>
      <c r="AZ1206" s="105">
        <f>IF($AP$1110&gt;0,PPMT('Assumptions (Nuclear)'!$V$6,Model!AG1,'Assumptions (Nuclear)'!$V$9,'Assumptions (Nuclear)'!$V$4*Model!$AP$1110*AVERAGE('Assumptions (Nuclear)'!$AI$2:$AN$2)/10^9),0)</f>
        <v>-0.6466212498331082</v>
      </c>
      <c r="BA1206" s="105">
        <f>IF($AP$1110&gt;0,PPMT('Assumptions (Nuclear)'!$V$6,Model!AH1,'Assumptions (Nuclear)'!$V$9,'Assumptions (Nuclear)'!$V$4*Model!$AP$1110*AVERAGE('Assumptions (Nuclear)'!$AI$2:$AN$2)/10^9),0)</f>
        <v>-0.67733575920018096</v>
      </c>
      <c r="BB1206" s="105">
        <f>IF($AP$1110&gt;0,PPMT('Assumptions (Nuclear)'!$V$6,Model!AI1,'Assumptions (Nuclear)'!$V$9,'Assumptions (Nuclear)'!$V$4*Model!$AP$1110*AVERAGE('Assumptions (Nuclear)'!$AI$2:$AN$2)/10^9),0)</f>
        <v>-0.70950920776218951</v>
      </c>
      <c r="BC1206" s="105">
        <f>IF($AP$1110&gt;0,PPMT('Assumptions (Nuclear)'!$V$6,Model!AJ1,'Assumptions (Nuclear)'!$V$9,'Assumptions (Nuclear)'!$V$4*Model!$AP$1110*AVERAGE('Assumptions (Nuclear)'!$AI$2:$AN$2)/10^9),0)</f>
        <v>-0.74321089513089345</v>
      </c>
      <c r="BD1206" s="105">
        <f>IF($AP$1110&gt;0,PPMT('Assumptions (Nuclear)'!$V$6,Model!AK1,'Assumptions (Nuclear)'!$V$9,'Assumptions (Nuclear)'!$V$4*Model!$AP$1110*AVERAGE('Assumptions (Nuclear)'!$AI$2:$AN$2)/10^9),0)</f>
        <v>-0.77851341264961083</v>
      </c>
      <c r="BE1206" s="105"/>
      <c r="BF1206" s="105"/>
      <c r="BG1206" s="105"/>
      <c r="BH1206" s="105"/>
      <c r="BI1206" s="105"/>
      <c r="BJ1206" s="105"/>
      <c r="BK1206" s="105"/>
      <c r="BL1206" s="105"/>
      <c r="BM1206" s="105"/>
      <c r="BN1206" s="105"/>
    </row>
    <row r="1207" spans="1:76" ht="15.75" hidden="1" customHeight="1" outlineLevel="1">
      <c r="A1207" s="407"/>
      <c r="B1207" s="99"/>
      <c r="C1207" s="99"/>
      <c r="D1207" s="99"/>
      <c r="E1207" s="99"/>
      <c r="F1207" s="99"/>
      <c r="G1207" s="99"/>
      <c r="H1207" s="99"/>
      <c r="I1207" s="99"/>
      <c r="J1207" s="99"/>
      <c r="K1207" s="99"/>
      <c r="L1207" s="99"/>
      <c r="M1207" s="99"/>
      <c r="N1207" s="99"/>
      <c r="O1207" s="99"/>
      <c r="P1207" s="99"/>
      <c r="Q1207" s="99"/>
      <c r="R1207" s="99"/>
      <c r="S1207" s="99"/>
      <c r="T1207" s="99"/>
      <c r="U1207" s="99"/>
      <c r="V1207" s="99"/>
      <c r="W1207" s="105"/>
      <c r="X1207" s="105"/>
      <c r="Y1207" s="105"/>
      <c r="Z1207" s="105"/>
      <c r="AA1207" s="105"/>
      <c r="AB1207" s="105"/>
      <c r="AC1207" s="105"/>
      <c r="AD1207" s="105"/>
      <c r="AE1207" s="105"/>
      <c r="AF1207" s="105"/>
      <c r="AG1207" s="105"/>
      <c r="AH1207" s="105"/>
      <c r="AI1207" s="105"/>
      <c r="AJ1207" s="171"/>
      <c r="AK1207" s="105"/>
      <c r="AL1207" s="91"/>
      <c r="AM1207" s="91"/>
      <c r="AN1207" s="91"/>
      <c r="AO1207" s="105"/>
      <c r="AP1207" s="105"/>
      <c r="AQ1207" s="105">
        <f>IF($AQ$1110&gt;0,PPMT('Assumptions (Nuclear)'!$V$6,Model!W1,'Assumptions (Nuclear)'!$V$9,'Assumptions (Nuclear)'!$V$4*Model!$AQ$1110*AVERAGE('Assumptions (Nuclear)'!$AJ$2:$AO$2)/10^9),0)</f>
        <v>0</v>
      </c>
      <c r="AR1207" s="105">
        <f>IF($AQ$1110&gt;0,PPMT('Assumptions (Nuclear)'!$V$6,Model!X1,'Assumptions (Nuclear)'!$V$9,'Assumptions (Nuclear)'!$V$4*Model!$AQ$1110*AVERAGE('Assumptions (Nuclear)'!$AJ$2:$AO$2)/10^9),0)</f>
        <v>0</v>
      </c>
      <c r="AS1207" s="105">
        <f>IF($AQ$1110&gt;0,PPMT('Assumptions (Nuclear)'!$V$6,Model!Y1,'Assumptions (Nuclear)'!$V$9,'Assumptions (Nuclear)'!$V$4*Model!$AQ$1110*AVERAGE('Assumptions (Nuclear)'!$AJ$2:$AO$2)/10^9),0)</f>
        <v>0</v>
      </c>
      <c r="AT1207" s="105">
        <f>IF($AQ$1110&gt;0,PPMT('Assumptions (Nuclear)'!$V$6,Model!Z1,'Assumptions (Nuclear)'!$V$9,'Assumptions (Nuclear)'!$V$4*Model!$AQ$1110*AVERAGE('Assumptions (Nuclear)'!$AJ$2:$AO$2)/10^9),0)</f>
        <v>0</v>
      </c>
      <c r="AU1207" s="105">
        <f>IF($AQ$1110&gt;0,PPMT('Assumptions (Nuclear)'!$V$6,Model!AA1,'Assumptions (Nuclear)'!$V$9,'Assumptions (Nuclear)'!$V$4*Model!$AQ$1110*AVERAGE('Assumptions (Nuclear)'!$AJ$2:$AO$2)/10^9),0)</f>
        <v>0</v>
      </c>
      <c r="AV1207" s="105">
        <f>IF($AQ$1110&gt;0,PPMT('Assumptions (Nuclear)'!$V$6,Model!AB1,'Assumptions (Nuclear)'!$V$9,'Assumptions (Nuclear)'!$V$4*Model!$AQ$1110*AVERAGE('Assumptions (Nuclear)'!$AJ$2:$AO$2)/10^9),0)</f>
        <v>0</v>
      </c>
      <c r="AW1207" s="105">
        <f>IF($AQ$1110&gt;0,PPMT('Assumptions (Nuclear)'!$V$6,Model!AC1,'Assumptions (Nuclear)'!$V$9,'Assumptions (Nuclear)'!$V$4*Model!$AQ$1110*AVERAGE('Assumptions (Nuclear)'!$AJ$2:$AO$2)/10^9),0)</f>
        <v>0</v>
      </c>
      <c r="AX1207" s="105">
        <f>IF($AQ$1110&gt;0,PPMT('Assumptions (Nuclear)'!$V$6,Model!AD1,'Assumptions (Nuclear)'!$V$9,'Assumptions (Nuclear)'!$V$4*Model!$AQ$1110*AVERAGE('Assumptions (Nuclear)'!$AJ$2:$AO$2)/10^9),0)</f>
        <v>0</v>
      </c>
      <c r="AY1207" s="105">
        <f>IF($AQ$1110&gt;0,PPMT('Assumptions (Nuclear)'!$V$6,Model!AE1,'Assumptions (Nuclear)'!$V$9,'Assumptions (Nuclear)'!$V$4*Model!$AQ$1110*AVERAGE('Assumptions (Nuclear)'!$AJ$2:$AO$2)/10^9),0)</f>
        <v>0</v>
      </c>
      <c r="AZ1207" s="105">
        <f>IF($AQ$1110&gt;0,PPMT('Assumptions (Nuclear)'!$V$6,Model!AF1,'Assumptions (Nuclear)'!$V$9,'Assumptions (Nuclear)'!$V$4*Model!$AQ$1110*AVERAGE('Assumptions (Nuclear)'!$AJ$2:$AO$2)/10^9),0)</f>
        <v>0</v>
      </c>
      <c r="BA1207" s="105">
        <f>IF($AQ$1110&gt;0,PPMT('Assumptions (Nuclear)'!$V$6,Model!AG1,'Assumptions (Nuclear)'!$V$9,'Assumptions (Nuclear)'!$V$4*Model!$AQ$1110*AVERAGE('Assumptions (Nuclear)'!$AJ$2:$AO$2)/10^9),0)</f>
        <v>0</v>
      </c>
      <c r="BB1207" s="105">
        <f>IF($AQ$1110&gt;0,PPMT('Assumptions (Nuclear)'!$V$6,Model!AH1,'Assumptions (Nuclear)'!$V$9,'Assumptions (Nuclear)'!$V$4*Model!$AQ$1110*AVERAGE('Assumptions (Nuclear)'!$AJ$2:$AO$2)/10^9),0)</f>
        <v>0</v>
      </c>
      <c r="BC1207" s="105">
        <f>IF($AQ$1110&gt;0,PPMT('Assumptions (Nuclear)'!$V$6,Model!AI1,'Assumptions (Nuclear)'!$V$9,'Assumptions (Nuclear)'!$V$4*Model!$AQ$1110*AVERAGE('Assumptions (Nuclear)'!$AJ$2:$AO$2)/10^9),0)</f>
        <v>0</v>
      </c>
      <c r="BD1207" s="105">
        <f>IF($AQ$1110&gt;0,PPMT('Assumptions (Nuclear)'!$V$6,Model!AJ1,'Assumptions (Nuclear)'!$V$9,'Assumptions (Nuclear)'!$V$4*Model!$AQ$1110*AVERAGE('Assumptions (Nuclear)'!$AJ$2:$AO$2)/10^9),0)</f>
        <v>0</v>
      </c>
      <c r="BE1207" s="105">
        <f>IF($AQ$1110&gt;0,PPMT('Assumptions (Nuclear)'!$V$6,Model!AK1,'Assumptions (Nuclear)'!$V$9,'Assumptions (Nuclear)'!$V$4*Model!$AQ$1110*AVERAGE('Assumptions (Nuclear)'!$AJ$2:$AO$2)/10^9),0)</f>
        <v>0</v>
      </c>
      <c r="BF1207" s="105"/>
      <c r="BG1207" s="105"/>
      <c r="BH1207" s="105"/>
      <c r="BI1207" s="105"/>
      <c r="BJ1207" s="105"/>
      <c r="BK1207" s="105"/>
      <c r="BL1207" s="105"/>
      <c r="BM1207" s="105"/>
      <c r="BN1207" s="105"/>
      <c r="BO1207" s="105"/>
    </row>
    <row r="1208" spans="1:76" ht="15.75" hidden="1" customHeight="1" outlineLevel="1">
      <c r="A1208" s="407"/>
      <c r="B1208" s="99"/>
      <c r="C1208" s="99"/>
      <c r="D1208" s="99"/>
      <c r="E1208" s="99"/>
      <c r="F1208" s="99"/>
      <c r="G1208" s="99"/>
      <c r="H1208" s="99"/>
      <c r="I1208" s="99"/>
      <c r="J1208" s="99"/>
      <c r="K1208" s="99"/>
      <c r="L1208" s="99"/>
      <c r="M1208" s="99"/>
      <c r="N1208" s="99"/>
      <c r="O1208" s="99"/>
      <c r="P1208" s="99"/>
      <c r="Q1208" s="99"/>
      <c r="R1208" s="99"/>
      <c r="S1208" s="99"/>
      <c r="T1208" s="99"/>
      <c r="U1208" s="99"/>
      <c r="V1208" s="99"/>
      <c r="W1208" s="105"/>
      <c r="X1208" s="105"/>
      <c r="Y1208" s="105"/>
      <c r="Z1208" s="105"/>
      <c r="AA1208" s="105"/>
      <c r="AB1208" s="105"/>
      <c r="AC1208" s="105"/>
      <c r="AD1208" s="105"/>
      <c r="AE1208" s="105"/>
      <c r="AF1208" s="105"/>
      <c r="AG1208" s="105"/>
      <c r="AH1208" s="105"/>
      <c r="AI1208" s="105"/>
      <c r="AJ1208" s="171"/>
      <c r="AK1208" s="105"/>
      <c r="AL1208" s="91"/>
      <c r="AM1208" s="91"/>
      <c r="AN1208" s="91"/>
      <c r="AO1208" s="105"/>
      <c r="AP1208" s="105"/>
      <c r="AQ1208" s="105"/>
      <c r="AR1208" s="105">
        <f>IF($AR$1110&gt;0,PPMT('Assumptions (Nuclear)'!$V$6,Model!W1,'Assumptions (Nuclear)'!$V$9,'Assumptions (Nuclear)'!$V$4*Model!$AR$1110*AVERAGE('Assumptions (Nuclear)'!$AK$2:$AP$2)/10^9),0)</f>
        <v>0</v>
      </c>
      <c r="AS1208" s="105">
        <f>IF($AR$1110&gt;0,PPMT('Assumptions (Nuclear)'!$V$6,Model!X1,'Assumptions (Nuclear)'!$V$9,'Assumptions (Nuclear)'!$V$4*Model!$AR$1110*AVERAGE('Assumptions (Nuclear)'!$AK$2:$AP$2)/10^9),0)</f>
        <v>0</v>
      </c>
      <c r="AT1208" s="105">
        <f>IF($AR$1110&gt;0,PPMT('Assumptions (Nuclear)'!$V$6,Model!Y1,'Assumptions (Nuclear)'!$V$9,'Assumptions (Nuclear)'!$V$4*Model!$AR$1110*AVERAGE('Assumptions (Nuclear)'!$AK$2:$AP$2)/10^9),0)</f>
        <v>0</v>
      </c>
      <c r="AU1208" s="105">
        <f>IF($AR$1110&gt;0,PPMT('Assumptions (Nuclear)'!$V$6,Model!Z1,'Assumptions (Nuclear)'!$V$9,'Assumptions (Nuclear)'!$V$4*Model!$AR$1110*AVERAGE('Assumptions (Nuclear)'!$AK$2:$AP$2)/10^9),0)</f>
        <v>0</v>
      </c>
      <c r="AV1208" s="105">
        <f>IF($AR$1110&gt;0,PPMT('Assumptions (Nuclear)'!$V$6,Model!AA1,'Assumptions (Nuclear)'!$V$9,'Assumptions (Nuclear)'!$V$4*Model!$AR$1110*AVERAGE('Assumptions (Nuclear)'!$AK$2:$AP$2)/10^9),0)</f>
        <v>0</v>
      </c>
      <c r="AW1208" s="105">
        <f>IF($AR$1110&gt;0,PPMT('Assumptions (Nuclear)'!$V$6,Model!AB1,'Assumptions (Nuclear)'!$V$9,'Assumptions (Nuclear)'!$V$4*Model!$AR$1110*AVERAGE('Assumptions (Nuclear)'!$AK$2:$AP$2)/10^9),0)</f>
        <v>0</v>
      </c>
      <c r="AX1208" s="105">
        <f>IF($AR$1110&gt;0,PPMT('Assumptions (Nuclear)'!$V$6,Model!AC1,'Assumptions (Nuclear)'!$V$9,'Assumptions (Nuclear)'!$V$4*Model!$AR$1110*AVERAGE('Assumptions (Nuclear)'!$AK$2:$AP$2)/10^9),0)</f>
        <v>0</v>
      </c>
      <c r="AY1208" s="105">
        <f>IF($AR$1110&gt;0,PPMT('Assumptions (Nuclear)'!$V$6,Model!AD1,'Assumptions (Nuclear)'!$V$9,'Assumptions (Nuclear)'!$V$4*Model!$AR$1110*AVERAGE('Assumptions (Nuclear)'!$AK$2:$AP$2)/10^9),0)</f>
        <v>0</v>
      </c>
      <c r="AZ1208" s="105">
        <f>IF($AR$1110&gt;0,PPMT('Assumptions (Nuclear)'!$V$6,Model!AE1,'Assumptions (Nuclear)'!$V$9,'Assumptions (Nuclear)'!$V$4*Model!$AR$1110*AVERAGE('Assumptions (Nuclear)'!$AK$2:$AP$2)/10^9),0)</f>
        <v>0</v>
      </c>
      <c r="BA1208" s="105">
        <f>IF($AR$1110&gt;0,PPMT('Assumptions (Nuclear)'!$V$6,Model!AF1,'Assumptions (Nuclear)'!$V$9,'Assumptions (Nuclear)'!$V$4*Model!$AR$1110*AVERAGE('Assumptions (Nuclear)'!$AK$2:$AP$2)/10^9),0)</f>
        <v>0</v>
      </c>
      <c r="BB1208" s="105">
        <f>IF($AR$1110&gt;0,PPMT('Assumptions (Nuclear)'!$V$6,Model!AG1,'Assumptions (Nuclear)'!$V$9,'Assumptions (Nuclear)'!$V$4*Model!$AR$1110*AVERAGE('Assumptions (Nuclear)'!$AK$2:$AP$2)/10^9),0)</f>
        <v>0</v>
      </c>
      <c r="BC1208" s="105">
        <f>IF($AR$1110&gt;0,PPMT('Assumptions (Nuclear)'!$V$6,Model!AH1,'Assumptions (Nuclear)'!$V$9,'Assumptions (Nuclear)'!$V$4*Model!$AR$1110*AVERAGE('Assumptions (Nuclear)'!$AK$2:$AP$2)/10^9),0)</f>
        <v>0</v>
      </c>
      <c r="BD1208" s="105">
        <f>IF($AR$1110&gt;0,PPMT('Assumptions (Nuclear)'!$V$6,Model!AI1,'Assumptions (Nuclear)'!$V$9,'Assumptions (Nuclear)'!$V$4*Model!$AR$1110*AVERAGE('Assumptions (Nuclear)'!$AK$2:$AP$2)/10^9),0)</f>
        <v>0</v>
      </c>
      <c r="BE1208" s="105">
        <f>IF($AR$1110&gt;0,PPMT('Assumptions (Nuclear)'!$V$6,Model!AJ1,'Assumptions (Nuclear)'!$V$9,'Assumptions (Nuclear)'!$V$4*Model!$AR$1110*AVERAGE('Assumptions (Nuclear)'!$AK$2:$AP$2)/10^9),0)</f>
        <v>0</v>
      </c>
      <c r="BF1208" s="105">
        <f>IF($AR$1110&gt;0,PPMT('Assumptions (Nuclear)'!$V$6,Model!AK1,'Assumptions (Nuclear)'!$V$9,'Assumptions (Nuclear)'!$V$4*Model!$AR$1110*AVERAGE('Assumptions (Nuclear)'!$AK$2:$AP$2)/10^9),0)</f>
        <v>0</v>
      </c>
      <c r="BG1208" s="105"/>
      <c r="BH1208" s="105"/>
      <c r="BI1208" s="105"/>
      <c r="BJ1208" s="105"/>
      <c r="BK1208" s="105"/>
      <c r="BL1208" s="105"/>
      <c r="BM1208" s="105"/>
      <c r="BN1208" s="105"/>
      <c r="BO1208" s="105"/>
      <c r="BP1208" s="105"/>
    </row>
    <row r="1209" spans="1:76" ht="15.75" hidden="1" customHeight="1" outlineLevel="1">
      <c r="A1209" s="407"/>
      <c r="B1209" s="99"/>
      <c r="C1209" s="99"/>
      <c r="D1209" s="99"/>
      <c r="E1209" s="99"/>
      <c r="F1209" s="99"/>
      <c r="G1209" s="99"/>
      <c r="H1209" s="99"/>
      <c r="I1209" s="99"/>
      <c r="J1209" s="99"/>
      <c r="K1209" s="99"/>
      <c r="L1209" s="99"/>
      <c r="M1209" s="99"/>
      <c r="N1209" s="99"/>
      <c r="O1209" s="99"/>
      <c r="P1209" s="99"/>
      <c r="Q1209" s="99"/>
      <c r="R1209" s="99"/>
      <c r="S1209" s="99"/>
      <c r="T1209" s="99"/>
      <c r="U1209" s="99"/>
      <c r="V1209" s="99"/>
      <c r="W1209" s="105"/>
      <c r="X1209" s="105"/>
      <c r="Y1209" s="105"/>
      <c r="Z1209" s="105"/>
      <c r="AA1209" s="105"/>
      <c r="AB1209" s="105"/>
      <c r="AC1209" s="105"/>
      <c r="AD1209" s="105"/>
      <c r="AE1209" s="105"/>
      <c r="AF1209" s="105"/>
      <c r="AG1209" s="105"/>
      <c r="AH1209" s="105"/>
      <c r="AI1209" s="105"/>
      <c r="AJ1209" s="171"/>
      <c r="AK1209" s="105"/>
      <c r="AL1209" s="91"/>
      <c r="AM1209" s="91"/>
      <c r="AN1209" s="91"/>
      <c r="AO1209" s="105"/>
      <c r="AP1209" s="105"/>
      <c r="AQ1209" s="105"/>
      <c r="AR1209" s="105"/>
      <c r="AS1209" s="105">
        <f>IF($AS$1110&gt;0,PPMT('Assumptions (Nuclear)'!$V$6,Model!W1,'Assumptions (Nuclear)'!$V$9,'Assumptions (Nuclear)'!$V$4*Model!$AS$1110*AVERAGE('Assumptions (Nuclear)'!$AL$2:$AQ$2)/10^9),0)</f>
        <v>0</v>
      </c>
      <c r="AT1209" s="105">
        <f>IF($AS$1110&gt;0,PPMT('Assumptions (Nuclear)'!$V$6,Model!X1,'Assumptions (Nuclear)'!$V$9,'Assumptions (Nuclear)'!$V$4*Model!$AS$1110*AVERAGE('Assumptions (Nuclear)'!$AL$2:$AQ$2)/10^9),0)</f>
        <v>0</v>
      </c>
      <c r="AU1209" s="105">
        <f>IF($AS$1110&gt;0,PPMT('Assumptions (Nuclear)'!$V$6,Model!Y1,'Assumptions (Nuclear)'!$V$9,'Assumptions (Nuclear)'!$V$4*Model!$AS$1110*AVERAGE('Assumptions (Nuclear)'!$AL$2:$AQ$2)/10^9),0)</f>
        <v>0</v>
      </c>
      <c r="AV1209" s="105">
        <f>IF($AS$1110&gt;0,PPMT('Assumptions (Nuclear)'!$V$6,Model!Z1,'Assumptions (Nuclear)'!$V$9,'Assumptions (Nuclear)'!$V$4*Model!$AS$1110*AVERAGE('Assumptions (Nuclear)'!$AL$2:$AQ$2)/10^9),0)</f>
        <v>0</v>
      </c>
      <c r="AW1209" s="105">
        <f>IF($AS$1110&gt;0,PPMT('Assumptions (Nuclear)'!$V$6,Model!AA1,'Assumptions (Nuclear)'!$V$9,'Assumptions (Nuclear)'!$V$4*Model!$AS$1110*AVERAGE('Assumptions (Nuclear)'!$AL$2:$AQ$2)/10^9),0)</f>
        <v>0</v>
      </c>
      <c r="AX1209" s="105">
        <f>IF($AS$1110&gt;0,PPMT('Assumptions (Nuclear)'!$V$6,Model!AB1,'Assumptions (Nuclear)'!$V$9,'Assumptions (Nuclear)'!$V$4*Model!$AS$1110*AVERAGE('Assumptions (Nuclear)'!$AL$2:$AQ$2)/10^9),0)</f>
        <v>0</v>
      </c>
      <c r="AY1209" s="105">
        <f>IF($AS$1110&gt;0,PPMT('Assumptions (Nuclear)'!$V$6,Model!AC1,'Assumptions (Nuclear)'!$V$9,'Assumptions (Nuclear)'!$V$4*Model!$AS$1110*AVERAGE('Assumptions (Nuclear)'!$AL$2:$AQ$2)/10^9),0)</f>
        <v>0</v>
      </c>
      <c r="AZ1209" s="105">
        <f>IF($AS$1110&gt;0,PPMT('Assumptions (Nuclear)'!$V$6,Model!AD1,'Assumptions (Nuclear)'!$V$9,'Assumptions (Nuclear)'!$V$4*Model!$AS$1110*AVERAGE('Assumptions (Nuclear)'!$AL$2:$AQ$2)/10^9),0)</f>
        <v>0</v>
      </c>
      <c r="BA1209" s="105">
        <f>IF($AS$1110&gt;0,PPMT('Assumptions (Nuclear)'!$V$6,Model!AE1,'Assumptions (Nuclear)'!$V$9,'Assumptions (Nuclear)'!$V$4*Model!$AS$1110*AVERAGE('Assumptions (Nuclear)'!$AL$2:$AQ$2)/10^9),0)</f>
        <v>0</v>
      </c>
      <c r="BB1209" s="105">
        <f>IF($AS$1110&gt;0,PPMT('Assumptions (Nuclear)'!$V$6,Model!AF1,'Assumptions (Nuclear)'!$V$9,'Assumptions (Nuclear)'!$V$4*Model!$AS$1110*AVERAGE('Assumptions (Nuclear)'!$AL$2:$AQ$2)/10^9),0)</f>
        <v>0</v>
      </c>
      <c r="BC1209" s="105">
        <f>IF($AS$1110&gt;0,PPMT('Assumptions (Nuclear)'!$V$6,Model!AG1,'Assumptions (Nuclear)'!$V$9,'Assumptions (Nuclear)'!$V$4*Model!$AS$1110*AVERAGE('Assumptions (Nuclear)'!$AL$2:$AQ$2)/10^9),0)</f>
        <v>0</v>
      </c>
      <c r="BD1209" s="105">
        <f>IF($AS$1110&gt;0,PPMT('Assumptions (Nuclear)'!$V$6,Model!AH1,'Assumptions (Nuclear)'!$V$9,'Assumptions (Nuclear)'!$V$4*Model!$AS$1110*AVERAGE('Assumptions (Nuclear)'!$AL$2:$AQ$2)/10^9),0)</f>
        <v>0</v>
      </c>
      <c r="BE1209" s="105">
        <f>IF($AS$1110&gt;0,PPMT('Assumptions (Nuclear)'!$V$6,Model!AI1,'Assumptions (Nuclear)'!$V$9,'Assumptions (Nuclear)'!$V$4*Model!$AS$1110*AVERAGE('Assumptions (Nuclear)'!$AL$2:$AQ$2)/10^9),0)</f>
        <v>0</v>
      </c>
      <c r="BF1209" s="105">
        <f>IF($AS$1110&gt;0,PPMT('Assumptions (Nuclear)'!$V$6,Model!AJ1,'Assumptions (Nuclear)'!$V$9,'Assumptions (Nuclear)'!$V$4*Model!$AS$1110*AVERAGE('Assumptions (Nuclear)'!$AL$2:$AQ$2)/10^9),0)</f>
        <v>0</v>
      </c>
      <c r="BG1209" s="105">
        <f>IF($AS$1110&gt;0,PPMT('Assumptions (Nuclear)'!$V$6,Model!AK1,'Assumptions (Nuclear)'!$V$9,'Assumptions (Nuclear)'!$V$4*Model!$AS$1110*AVERAGE('Assumptions (Nuclear)'!$AL$2:$AQ$2)/10^9),0)</f>
        <v>0</v>
      </c>
      <c r="BH1209" s="105"/>
      <c r="BI1209" s="105"/>
      <c r="BJ1209" s="105"/>
      <c r="BK1209" s="105"/>
      <c r="BL1209" s="105"/>
      <c r="BM1209" s="105"/>
      <c r="BN1209" s="105"/>
      <c r="BO1209" s="105"/>
      <c r="BP1209" s="105"/>
      <c r="BQ1209" s="105"/>
      <c r="BR1209" s="105"/>
    </row>
    <row r="1210" spans="1:76" ht="15.75" hidden="1" customHeight="1" outlineLevel="1">
      <c r="A1210" s="407"/>
      <c r="B1210" s="99"/>
      <c r="C1210" s="99"/>
      <c r="D1210" s="99"/>
      <c r="E1210" s="99"/>
      <c r="F1210" s="99"/>
      <c r="G1210" s="99"/>
      <c r="H1210" s="99"/>
      <c r="I1210" s="99"/>
      <c r="J1210" s="99"/>
      <c r="K1210" s="99"/>
      <c r="L1210" s="99"/>
      <c r="M1210" s="99"/>
      <c r="N1210" s="99"/>
      <c r="O1210" s="99"/>
      <c r="P1210" s="99"/>
      <c r="Q1210" s="99"/>
      <c r="R1210" s="99"/>
      <c r="S1210" s="99"/>
      <c r="T1210" s="99"/>
      <c r="U1210" s="99"/>
      <c r="V1210" s="99"/>
      <c r="W1210" s="105"/>
      <c r="X1210" s="105"/>
      <c r="Y1210" s="105"/>
      <c r="Z1210" s="105"/>
      <c r="AA1210" s="105"/>
      <c r="AB1210" s="105"/>
      <c r="AC1210" s="105"/>
      <c r="AD1210" s="105"/>
      <c r="AE1210" s="105"/>
      <c r="AF1210" s="105"/>
      <c r="AG1210" s="105"/>
      <c r="AH1210" s="105"/>
      <c r="AI1210" s="105"/>
      <c r="AJ1210" s="171"/>
      <c r="AK1210" s="105"/>
      <c r="AL1210" s="91"/>
      <c r="AM1210" s="91"/>
      <c r="AN1210" s="91"/>
      <c r="AO1210" s="105"/>
      <c r="AP1210" s="105"/>
      <c r="AQ1210" s="105"/>
      <c r="AR1210" s="105"/>
      <c r="AS1210" s="105"/>
      <c r="AT1210" s="105">
        <f>IF($AT$1110&gt;0,PPMT('Assumptions (Nuclear)'!$V$6,Model!W1,'Assumptions (Nuclear)'!$V$9,'Assumptions (Nuclear)'!$V$4*Model!$AT$1110*AVERAGE('Assumptions (Nuclear)'!$AM$2:$AR$2)/10^9),0)</f>
        <v>-0.19570522110914307</v>
      </c>
      <c r="AU1210" s="105">
        <f>IF($AT$1110&gt;0,PPMT('Assumptions (Nuclear)'!$V$6,Model!X1,'Assumptions (Nuclear)'!$V$9,'Assumptions (Nuclear)'!$V$4*Model!$AT$1110*AVERAGE('Assumptions (Nuclear)'!$AM$2:$AR$2)/10^9),0)</f>
        <v>-0.20500121911182737</v>
      </c>
      <c r="AV1210" s="105">
        <f>IF($AT$1110&gt;0,PPMT('Assumptions (Nuclear)'!$V$6,Model!Y1,'Assumptions (Nuclear)'!$V$9,'Assumptions (Nuclear)'!$V$4*Model!$AT$1110*AVERAGE('Assumptions (Nuclear)'!$AM$2:$AR$2)/10^9),0)</f>
        <v>-0.21473877701963917</v>
      </c>
      <c r="AW1210" s="105">
        <f>IF($AT$1110&gt;0,PPMT('Assumptions (Nuclear)'!$V$6,Model!Z1,'Assumptions (Nuclear)'!$V$9,'Assumptions (Nuclear)'!$V$4*Model!$AT$1110*AVERAGE('Assumptions (Nuclear)'!$AM$2:$AR$2)/10^9),0)</f>
        <v>-0.22493886892807199</v>
      </c>
      <c r="AX1210" s="105">
        <f>IF($AT$1110&gt;0,PPMT('Assumptions (Nuclear)'!$V$6,Model!AA1,'Assumptions (Nuclear)'!$V$9,'Assumptions (Nuclear)'!$V$4*Model!$AT$1110*AVERAGE('Assumptions (Nuclear)'!$AM$2:$AR$2)/10^9),0)</f>
        <v>-0.23562346520215544</v>
      </c>
      <c r="AY1210" s="105">
        <f>IF($AT$1110&gt;0,PPMT('Assumptions (Nuclear)'!$V$6,Model!AB1,'Assumptions (Nuclear)'!$V$9,'Assumptions (Nuclear)'!$V$4*Model!$AT$1110*AVERAGE('Assumptions (Nuclear)'!$AM$2:$AR$2)/10^9),0)</f>
        <v>-0.24681557979925781</v>
      </c>
      <c r="AZ1210" s="105">
        <f>IF($AT$1110&gt;0,PPMT('Assumptions (Nuclear)'!$V$6,Model!AC1,'Assumptions (Nuclear)'!$V$9,'Assumptions (Nuclear)'!$V$4*Model!$AT$1110*AVERAGE('Assumptions (Nuclear)'!$AM$2:$AR$2)/10^9),0)</f>
        <v>-0.25853931983972256</v>
      </c>
      <c r="BA1210" s="105">
        <f>IF($AT$1110&gt;0,PPMT('Assumptions (Nuclear)'!$V$6,Model!AD1,'Assumptions (Nuclear)'!$V$9,'Assumptions (Nuclear)'!$V$4*Model!$AT$1110*AVERAGE('Assumptions (Nuclear)'!$AM$2:$AR$2)/10^9),0)</f>
        <v>-0.27081993753210942</v>
      </c>
      <c r="BB1210" s="105">
        <f>IF($AT$1110&gt;0,PPMT('Assumptions (Nuclear)'!$V$6,Model!AE1,'Assumptions (Nuclear)'!$V$9,'Assumptions (Nuclear)'!$V$4*Model!$AT$1110*AVERAGE('Assumptions (Nuclear)'!$AM$2:$AR$2)/10^9),0)</f>
        <v>-0.28368388456488453</v>
      </c>
      <c r="BC1210" s="105">
        <f>IF($AT$1110&gt;0,PPMT('Assumptions (Nuclear)'!$V$6,Model!AF1,'Assumptions (Nuclear)'!$V$9,'Assumptions (Nuclear)'!$V$4*Model!$AT$1110*AVERAGE('Assumptions (Nuclear)'!$AM$2:$AR$2)/10^9),0)</f>
        <v>-0.29715886908171657</v>
      </c>
      <c r="BD1210" s="105">
        <f>IF($AT$1110&gt;0,PPMT('Assumptions (Nuclear)'!$V$6,Model!AG1,'Assumptions (Nuclear)'!$V$9,'Assumptions (Nuclear)'!$V$4*Model!$AT$1110*AVERAGE('Assumptions (Nuclear)'!$AM$2:$AR$2)/10^9),0)</f>
        <v>-0.31127391536309817</v>
      </c>
      <c r="BE1210" s="105">
        <f>IF($AT$1110&gt;0,PPMT('Assumptions (Nuclear)'!$V$6,Model!AH1,'Assumptions (Nuclear)'!$V$9,'Assumptions (Nuclear)'!$V$4*Model!$AT$1110*AVERAGE('Assumptions (Nuclear)'!$AM$2:$AR$2)/10^9),0)</f>
        <v>-0.32605942634284535</v>
      </c>
      <c r="BF1210" s="105">
        <f>IF($AT$1110&gt;0,PPMT('Assumptions (Nuclear)'!$V$6,Model!AI1,'Assumptions (Nuclear)'!$V$9,'Assumptions (Nuclear)'!$V$4*Model!$AT$1110*AVERAGE('Assumptions (Nuclear)'!$AM$2:$AR$2)/10^9),0)</f>
        <v>-0.34154724909413048</v>
      </c>
      <c r="BG1210" s="105">
        <f>IF($AT$1110&gt;0,PPMT('Assumptions (Nuclear)'!$V$6,Model!AJ1,'Assumptions (Nuclear)'!$V$9,'Assumptions (Nuclear)'!$V$4*Model!$AT$1110*AVERAGE('Assumptions (Nuclear)'!$AM$2:$AR$2)/10^9),0)</f>
        <v>-0.35777074342610166</v>
      </c>
      <c r="BH1210" s="105">
        <f>IF($AT$1110&gt;0,PPMT('Assumptions (Nuclear)'!$V$6,Model!AK1,'Assumptions (Nuclear)'!$V$9,'Assumptions (Nuclear)'!$V$4*Model!$AT$1110*AVERAGE('Assumptions (Nuclear)'!$AM$2:$AR$2)/10^9),0)</f>
        <v>-0.37476485373884144</v>
      </c>
      <c r="BI1210" s="105"/>
      <c r="BJ1210" s="105"/>
      <c r="BK1210" s="105"/>
      <c r="BL1210" s="105"/>
      <c r="BM1210" s="105"/>
      <c r="BN1210" s="105"/>
      <c r="BO1210" s="105"/>
      <c r="BP1210" s="105"/>
      <c r="BQ1210" s="105"/>
      <c r="BR1210" s="105"/>
    </row>
    <row r="1211" spans="1:76" ht="15.75" hidden="1" customHeight="1" outlineLevel="1">
      <c r="A1211" s="407"/>
      <c r="B1211" s="99"/>
      <c r="C1211" s="99"/>
      <c r="D1211" s="99"/>
      <c r="E1211" s="99"/>
      <c r="F1211" s="99"/>
      <c r="G1211" s="99"/>
      <c r="H1211" s="99"/>
      <c r="I1211" s="99"/>
      <c r="J1211" s="99"/>
      <c r="K1211" s="99"/>
      <c r="L1211" s="99"/>
      <c r="M1211" s="99"/>
      <c r="N1211" s="99"/>
      <c r="O1211" s="99"/>
      <c r="P1211" s="99"/>
      <c r="Q1211" s="99"/>
      <c r="R1211" s="99"/>
      <c r="S1211" s="99"/>
      <c r="T1211" s="99"/>
      <c r="U1211" s="99"/>
      <c r="V1211" s="99"/>
      <c r="W1211" s="105"/>
      <c r="X1211" s="105"/>
      <c r="Y1211" s="105"/>
      <c r="Z1211" s="105"/>
      <c r="AA1211" s="105"/>
      <c r="AB1211" s="105"/>
      <c r="AC1211" s="105"/>
      <c r="AD1211" s="105"/>
      <c r="AE1211" s="105"/>
      <c r="AF1211" s="105"/>
      <c r="AG1211" s="105"/>
      <c r="AH1211" s="105"/>
      <c r="AI1211" s="105"/>
      <c r="AJ1211" s="171"/>
      <c r="AK1211" s="105"/>
      <c r="AL1211" s="91"/>
      <c r="AM1211" s="91"/>
      <c r="AN1211" s="91"/>
      <c r="AO1211" s="105"/>
      <c r="AP1211" s="105"/>
      <c r="AQ1211" s="105"/>
      <c r="AR1211" s="105"/>
      <c r="AS1211" s="105"/>
      <c r="AT1211" s="105"/>
      <c r="AU1211" s="105">
        <f>IF($AU$1110&gt;0,PPMT('Assumptions (Nuclear)'!$V$6,Model!W1,'Assumptions (Nuclear)'!$V$9,'Assumptions (Nuclear)'!$V$4*Model!$AU$1110*AVERAGE('Assumptions (Nuclear)'!$AN$2:$AS$2)/10^9),0)</f>
        <v>0</v>
      </c>
      <c r="AV1211" s="105">
        <f>IF($AU$1110&gt;0,PPMT('Assumptions (Nuclear)'!$V$6,Model!X1,'Assumptions (Nuclear)'!$V$9,'Assumptions (Nuclear)'!$V$4*Model!$AU$1110*AVERAGE('Assumptions (Nuclear)'!$AN$2:$AS$2)/10^9),0)</f>
        <v>0</v>
      </c>
      <c r="AW1211" s="105">
        <f>IF($AU$1110&gt;0,PPMT('Assumptions (Nuclear)'!$V$6,Model!Y1,'Assumptions (Nuclear)'!$V$9,'Assumptions (Nuclear)'!$V$4*Model!$AU$1110*AVERAGE('Assumptions (Nuclear)'!$AN$2:$AS$2)/10^9),0)</f>
        <v>0</v>
      </c>
      <c r="AX1211" s="105">
        <f>IF($AU$1110&gt;0,PPMT('Assumptions (Nuclear)'!$V$6,Model!Z1,'Assumptions (Nuclear)'!$V$9,'Assumptions (Nuclear)'!$V$4*Model!$AU$1110*AVERAGE('Assumptions (Nuclear)'!$AN$2:$AS$2)/10^9),0)</f>
        <v>0</v>
      </c>
      <c r="AY1211" s="105">
        <f>IF($AU$1110&gt;0,PPMT('Assumptions (Nuclear)'!$V$6,Model!AA1,'Assumptions (Nuclear)'!$V$9,'Assumptions (Nuclear)'!$V$4*Model!$AU$1110*AVERAGE('Assumptions (Nuclear)'!$AN$2:$AS$2)/10^9),0)</f>
        <v>0</v>
      </c>
      <c r="AZ1211" s="105">
        <f>IF($AU$1110&gt;0,PPMT('Assumptions (Nuclear)'!$V$6,Model!AB1,'Assumptions (Nuclear)'!$V$9,'Assumptions (Nuclear)'!$V$4*Model!$AU$1110*AVERAGE('Assumptions (Nuclear)'!$AN$2:$AS$2)/10^9),0)</f>
        <v>0</v>
      </c>
      <c r="BA1211" s="105">
        <f>IF($AU$1110&gt;0,PPMT('Assumptions (Nuclear)'!$V$6,Model!AC1,'Assumptions (Nuclear)'!$V$9,'Assumptions (Nuclear)'!$V$4*Model!$AU$1110*AVERAGE('Assumptions (Nuclear)'!$AN$2:$AS$2)/10^9),0)</f>
        <v>0</v>
      </c>
      <c r="BB1211" s="105">
        <f>IF($AU$1110&gt;0,PPMT('Assumptions (Nuclear)'!$V$6,Model!AD1,'Assumptions (Nuclear)'!$V$9,'Assumptions (Nuclear)'!$V$4*Model!$AU$1110*AVERAGE('Assumptions (Nuclear)'!$AN$2:$AS$2)/10^9),0)</f>
        <v>0</v>
      </c>
      <c r="BC1211" s="105">
        <f>IF($AU$1110&gt;0,PPMT('Assumptions (Nuclear)'!$V$6,Model!AE1,'Assumptions (Nuclear)'!$V$9,'Assumptions (Nuclear)'!$V$4*Model!$AU$1110*AVERAGE('Assumptions (Nuclear)'!$AN$2:$AS$2)/10^9),0)</f>
        <v>0</v>
      </c>
      <c r="BD1211" s="105">
        <f>IF($AU$1110&gt;0,PPMT('Assumptions (Nuclear)'!$V$6,Model!AF1,'Assumptions (Nuclear)'!$V$9,'Assumptions (Nuclear)'!$V$4*Model!$AU$1110*AVERAGE('Assumptions (Nuclear)'!$AN$2:$AS$2)/10^9),0)</f>
        <v>0</v>
      </c>
      <c r="BE1211" s="105">
        <f>IF($AU$1110&gt;0,PPMT('Assumptions (Nuclear)'!$V$6,Model!AG1,'Assumptions (Nuclear)'!$V$9,'Assumptions (Nuclear)'!$V$4*Model!$AU$1110*AVERAGE('Assumptions (Nuclear)'!$AN$2:$AS$2)/10^9),0)</f>
        <v>0</v>
      </c>
      <c r="BF1211" s="105">
        <f>IF($AU$1110&gt;0,PPMT('Assumptions (Nuclear)'!$V$6,Model!AH1,'Assumptions (Nuclear)'!$V$9,'Assumptions (Nuclear)'!$V$4*Model!$AU$1110*AVERAGE('Assumptions (Nuclear)'!$AN$2:$AS$2)/10^9),0)</f>
        <v>0</v>
      </c>
      <c r="BG1211" s="105">
        <f>IF($AU$1110&gt;0,PPMT('Assumptions (Nuclear)'!$V$6,Model!AI1,'Assumptions (Nuclear)'!$V$9,'Assumptions (Nuclear)'!$V$4*Model!$AU$1110*AVERAGE('Assumptions (Nuclear)'!$AN$2:$AS$2)/10^9),0)</f>
        <v>0</v>
      </c>
      <c r="BH1211" s="105">
        <f>IF($AU$1110&gt;0,PPMT('Assumptions (Nuclear)'!$V$6,Model!AJ1,'Assumptions (Nuclear)'!$V$9,'Assumptions (Nuclear)'!$V$4*Model!$AU$1110*AVERAGE('Assumptions (Nuclear)'!$AN$2:$AS$2)/10^9),0)</f>
        <v>0</v>
      </c>
      <c r="BI1211" s="105">
        <f>IF($AU$1110&gt;0,PPMT('Assumptions (Nuclear)'!$V$6,Model!AK1,'Assumptions (Nuclear)'!$V$9,'Assumptions (Nuclear)'!$V$4*Model!$AU$1110*AVERAGE('Assumptions (Nuclear)'!$AN$2:$AS$2)/10^9),0)</f>
        <v>0</v>
      </c>
      <c r="BJ1211" s="105"/>
      <c r="BK1211" s="105"/>
      <c r="BL1211" s="105"/>
      <c r="BM1211" s="105"/>
      <c r="BN1211" s="105"/>
      <c r="BO1211" s="105"/>
      <c r="BP1211" s="105"/>
      <c r="BQ1211" s="105"/>
      <c r="BR1211" s="105"/>
      <c r="BS1211" s="105"/>
    </row>
    <row r="1212" spans="1:76" ht="15.75" hidden="1" customHeight="1" outlineLevel="1">
      <c r="A1212" s="407"/>
      <c r="B1212" s="99"/>
      <c r="C1212" s="99"/>
      <c r="D1212" s="99"/>
      <c r="E1212" s="99"/>
      <c r="F1212" s="99"/>
      <c r="G1212" s="99"/>
      <c r="H1212" s="99"/>
      <c r="I1212" s="99"/>
      <c r="J1212" s="99"/>
      <c r="K1212" s="99"/>
      <c r="L1212" s="99"/>
      <c r="M1212" s="99"/>
      <c r="N1212" s="99"/>
      <c r="O1212" s="99"/>
      <c r="P1212" s="99"/>
      <c r="Q1212" s="99"/>
      <c r="R1212" s="99"/>
      <c r="S1212" s="99"/>
      <c r="T1212" s="99"/>
      <c r="U1212" s="99"/>
      <c r="V1212" s="99"/>
      <c r="W1212" s="105"/>
      <c r="X1212" s="105"/>
      <c r="Y1212" s="105"/>
      <c r="Z1212" s="105"/>
      <c r="AA1212" s="105"/>
      <c r="AB1212" s="105"/>
      <c r="AC1212" s="105"/>
      <c r="AD1212" s="105"/>
      <c r="AE1212" s="105"/>
      <c r="AF1212" s="105"/>
      <c r="AG1212" s="105"/>
      <c r="AH1212" s="105"/>
      <c r="AI1212" s="105"/>
      <c r="AJ1212" s="171"/>
      <c r="AK1212" s="105"/>
      <c r="AL1212" s="91"/>
      <c r="AM1212" s="91"/>
      <c r="AN1212" s="91"/>
      <c r="AO1212" s="105"/>
      <c r="AP1212" s="105"/>
      <c r="AQ1212" s="105"/>
      <c r="AR1212" s="105"/>
      <c r="AS1212" s="105"/>
      <c r="AT1212" s="105"/>
      <c r="AU1212" s="105"/>
      <c r="AV1212" s="105">
        <f>IF($AV$1110&gt;0,PPMT('Assumptions (Nuclear)'!$V$6,Model!W1,'Assumptions (Nuclear)'!$V$9,'Assumptions (Nuclear)'!$V$4*Model!$AV$1110*AVERAGE('Assumptions (Nuclear)'!$AO$2:$AT$2)/10^9),0)</f>
        <v>0</v>
      </c>
      <c r="AW1212" s="105">
        <f>IF($AV$1110&gt;0,PPMT('Assumptions (Nuclear)'!$V$6,Model!X1,'Assumptions (Nuclear)'!$V$9,'Assumptions (Nuclear)'!$V$4*Model!$AV$1110*AVERAGE('Assumptions (Nuclear)'!$AO$2:$AT$2)/10^9),0)</f>
        <v>0</v>
      </c>
      <c r="AX1212" s="105">
        <f>IF($AV$1110&gt;0,PPMT('Assumptions (Nuclear)'!$V$6,Model!Y1,'Assumptions (Nuclear)'!$V$9,'Assumptions (Nuclear)'!$V$4*Model!$AV$1110*AVERAGE('Assumptions (Nuclear)'!$AO$2:$AT$2)/10^9),0)</f>
        <v>0</v>
      </c>
      <c r="AY1212" s="105">
        <f>IF($AV$1110&gt;0,PPMT('Assumptions (Nuclear)'!$V$6,Model!Z1,'Assumptions (Nuclear)'!$V$9,'Assumptions (Nuclear)'!$V$4*Model!$AV$1110*AVERAGE('Assumptions (Nuclear)'!$AO$2:$AT$2)/10^9),0)</f>
        <v>0</v>
      </c>
      <c r="AZ1212" s="105">
        <f>IF($AV$1110&gt;0,PPMT('Assumptions (Nuclear)'!$V$6,Model!AA1,'Assumptions (Nuclear)'!$V$9,'Assumptions (Nuclear)'!$V$4*Model!$AV$1110*AVERAGE('Assumptions (Nuclear)'!$AO$2:$AT$2)/10^9),0)</f>
        <v>0</v>
      </c>
      <c r="BA1212" s="105">
        <f>IF($AV$1110&gt;0,PPMT('Assumptions (Nuclear)'!$V$6,Model!AB1,'Assumptions (Nuclear)'!$V$9,'Assumptions (Nuclear)'!$V$4*Model!$AV$1110*AVERAGE('Assumptions (Nuclear)'!$AO$2:$AT$2)/10^9),0)</f>
        <v>0</v>
      </c>
      <c r="BB1212" s="105">
        <f>IF($AV$1110&gt;0,PPMT('Assumptions (Nuclear)'!$V$6,Model!AC1,'Assumptions (Nuclear)'!$V$9,'Assumptions (Nuclear)'!$V$4*Model!$AV$1110*AVERAGE('Assumptions (Nuclear)'!$AO$2:$AT$2)/10^9),0)</f>
        <v>0</v>
      </c>
      <c r="BC1212" s="105">
        <f>IF($AV$1110&gt;0,PPMT('Assumptions (Nuclear)'!$V$6,Model!AD1,'Assumptions (Nuclear)'!$V$9,'Assumptions (Nuclear)'!$V$4*Model!$AV$1110*AVERAGE('Assumptions (Nuclear)'!$AO$2:$AT$2)/10^9),0)</f>
        <v>0</v>
      </c>
      <c r="BD1212" s="105">
        <f>IF($AV$1110&gt;0,PPMT('Assumptions (Nuclear)'!$V$6,Model!AE1,'Assumptions (Nuclear)'!$V$9,'Assumptions (Nuclear)'!$V$4*Model!$AV$1110*AVERAGE('Assumptions (Nuclear)'!$AO$2:$AT$2)/10^9),0)</f>
        <v>0</v>
      </c>
      <c r="BE1212" s="105">
        <f>IF($AV$1110&gt;0,PPMT('Assumptions (Nuclear)'!$V$6,Model!AF1,'Assumptions (Nuclear)'!$V$9,'Assumptions (Nuclear)'!$V$4*Model!$AV$1110*AVERAGE('Assumptions (Nuclear)'!$AO$2:$AT$2)/10^9),0)</f>
        <v>0</v>
      </c>
      <c r="BF1212" s="105">
        <f>IF($AV$1110&gt;0,PPMT('Assumptions (Nuclear)'!$V$6,Model!AG1,'Assumptions (Nuclear)'!$V$9,'Assumptions (Nuclear)'!$V$4*Model!$AV$1110*AVERAGE('Assumptions (Nuclear)'!$AO$2:$AT$2)/10^9),0)</f>
        <v>0</v>
      </c>
      <c r="BG1212" s="105">
        <f>IF($AV$1110&gt;0,PPMT('Assumptions (Nuclear)'!$V$6,Model!AH1,'Assumptions (Nuclear)'!$V$9,'Assumptions (Nuclear)'!$V$4*Model!$AV$1110*AVERAGE('Assumptions (Nuclear)'!$AO$2:$AT$2)/10^9),0)</f>
        <v>0</v>
      </c>
      <c r="BH1212" s="105">
        <f>IF($AV$1110&gt;0,PPMT('Assumptions (Nuclear)'!$V$6,Model!AI1,'Assumptions (Nuclear)'!$V$9,'Assumptions (Nuclear)'!$V$4*Model!$AV$1110*AVERAGE('Assumptions (Nuclear)'!$AO$2:$AT$2)/10^9),0)</f>
        <v>0</v>
      </c>
      <c r="BI1212" s="105">
        <f>IF($AV$1110&gt;0,PPMT('Assumptions (Nuclear)'!$V$6,Model!AJ1,'Assumptions (Nuclear)'!$V$9,'Assumptions (Nuclear)'!$V$4*Model!$AV$1110*AVERAGE('Assumptions (Nuclear)'!$AO$2:$AT$2)/10^9),0)</f>
        <v>0</v>
      </c>
      <c r="BJ1212" s="105">
        <f>IF($AV$1110&gt;0,PPMT('Assumptions (Nuclear)'!$V$6,Model!AK1,'Assumptions (Nuclear)'!$V$9,'Assumptions (Nuclear)'!$V$4*Model!$AV$1110*AVERAGE('Assumptions (Nuclear)'!$AO$2:$AT$2)/10^9),0)</f>
        <v>0</v>
      </c>
      <c r="BK1212" s="105"/>
      <c r="BL1212" s="105"/>
      <c r="BM1212" s="105"/>
      <c r="BN1212" s="105"/>
      <c r="BO1212" s="105"/>
      <c r="BP1212" s="105"/>
      <c r="BQ1212" s="105"/>
      <c r="BR1212" s="105"/>
      <c r="BS1212" s="105"/>
      <c r="BT1212" s="105"/>
    </row>
    <row r="1213" spans="1:76" ht="15.75" hidden="1" customHeight="1" outlineLevel="1">
      <c r="A1213" s="407"/>
      <c r="B1213" s="99"/>
      <c r="C1213" s="99"/>
      <c r="D1213" s="99"/>
      <c r="E1213" s="99"/>
      <c r="F1213" s="99"/>
      <c r="G1213" s="99"/>
      <c r="H1213" s="99"/>
      <c r="I1213" s="99"/>
      <c r="J1213" s="99"/>
      <c r="K1213" s="99"/>
      <c r="L1213" s="99"/>
      <c r="M1213" s="99"/>
      <c r="N1213" s="99"/>
      <c r="O1213" s="99"/>
      <c r="P1213" s="99"/>
      <c r="Q1213" s="99"/>
      <c r="R1213" s="99"/>
      <c r="S1213" s="99"/>
      <c r="T1213" s="99"/>
      <c r="U1213" s="99"/>
      <c r="V1213" s="99"/>
      <c r="W1213" s="105"/>
      <c r="X1213" s="105"/>
      <c r="Y1213" s="105"/>
      <c r="Z1213" s="105"/>
      <c r="AA1213" s="105"/>
      <c r="AB1213" s="105"/>
      <c r="AC1213" s="105"/>
      <c r="AD1213" s="105"/>
      <c r="AE1213" s="105"/>
      <c r="AF1213" s="105"/>
      <c r="AG1213" s="105"/>
      <c r="AH1213" s="105"/>
      <c r="AI1213" s="105"/>
      <c r="AJ1213" s="171"/>
      <c r="AK1213" s="105"/>
      <c r="AL1213" s="91"/>
      <c r="AM1213" s="91"/>
      <c r="AN1213" s="91"/>
      <c r="AO1213" s="105"/>
      <c r="AP1213" s="105"/>
      <c r="AQ1213" s="105"/>
      <c r="AR1213" s="105"/>
      <c r="AS1213" s="105"/>
      <c r="AT1213" s="105"/>
      <c r="AU1213" s="105"/>
      <c r="AV1213" s="105"/>
      <c r="AW1213" s="105">
        <f>IF($AW$1110&gt;0,PPMT('Assumptions (Nuclear)'!$V$6,Model!W1,'Assumptions (Nuclear)'!$V$9,'Assumptions (Nuclear)'!$V$4*Model!$AW$1110*AVERAGE('Assumptions (Nuclear)'!$AP$2:$AU$2)/10^9),0)</f>
        <v>-0.63141534330301741</v>
      </c>
      <c r="AX1213" s="105">
        <f>IF($AW$1110&gt;0,PPMT('Assumptions (Nuclear)'!$V$6,Model!X1,'Assumptions (Nuclear)'!$V$9,'Assumptions (Nuclear)'!$V$4*Model!$AW$1110*AVERAGE('Assumptions (Nuclear)'!$AP$2:$AU$2)/10^9),0)</f>
        <v>-0.66140757210991064</v>
      </c>
      <c r="AY1213" s="105">
        <f>IF($AW$1110&gt;0,PPMT('Assumptions (Nuclear)'!$V$6,Model!Y1,'Assumptions (Nuclear)'!$V$9,'Assumptions (Nuclear)'!$V$4*Model!$AW$1110*AVERAGE('Assumptions (Nuclear)'!$AP$2:$AU$2)/10^9),0)</f>
        <v>-0.69282443178513153</v>
      </c>
      <c r="AZ1213" s="105">
        <f>IF($AW$1110&gt;0,PPMT('Assumptions (Nuclear)'!$V$6,Model!Z1,'Assumptions (Nuclear)'!$V$9,'Assumptions (Nuclear)'!$V$4*Model!$AW$1110*AVERAGE('Assumptions (Nuclear)'!$AP$2:$AU$2)/10^9),0)</f>
        <v>-0.72573359229492518</v>
      </c>
      <c r="BA1213" s="105">
        <f>IF($AW$1110&gt;0,PPMT('Assumptions (Nuclear)'!$V$6,Model!AA1,'Assumptions (Nuclear)'!$V$9,'Assumptions (Nuclear)'!$V$4*Model!$AW$1110*AVERAGE('Assumptions (Nuclear)'!$AP$2:$AU$2)/10^9),0)</f>
        <v>-0.76020593792893409</v>
      </c>
      <c r="BB1213" s="105">
        <f>IF($AW$1110&gt;0,PPMT('Assumptions (Nuclear)'!$V$6,Model!AB1,'Assumptions (Nuclear)'!$V$9,'Assumptions (Nuclear)'!$V$4*Model!$AW$1110*AVERAGE('Assumptions (Nuclear)'!$AP$2:$AU$2)/10^9),0)</f>
        <v>-0.79631571998055839</v>
      </c>
      <c r="BC1213" s="105">
        <f>IF($AW$1110&gt;0,PPMT('Assumptions (Nuclear)'!$V$6,Model!AC1,'Assumptions (Nuclear)'!$V$9,'Assumptions (Nuclear)'!$V$4*Model!$AW$1110*AVERAGE('Assumptions (Nuclear)'!$AP$2:$AU$2)/10^9),0)</f>
        <v>-0.83414071667963496</v>
      </c>
      <c r="BD1213" s="105">
        <f>IF($AW$1110&gt;0,PPMT('Assumptions (Nuclear)'!$V$6,Model!AD1,'Assumptions (Nuclear)'!$V$9,'Assumptions (Nuclear)'!$V$4*Model!$AW$1110*AVERAGE('Assumptions (Nuclear)'!$AP$2:$AU$2)/10^9),0)</f>
        <v>-0.8737624007219178</v>
      </c>
      <c r="BE1213" s="105">
        <f>IF($AW$1110&gt;0,PPMT('Assumptions (Nuclear)'!$V$6,Model!AE1,'Assumptions (Nuclear)'!$V$9,'Assumptions (Nuclear)'!$V$4*Model!$AW$1110*AVERAGE('Assumptions (Nuclear)'!$AP$2:$AU$2)/10^9),0)</f>
        <v>-0.91526611475620878</v>
      </c>
      <c r="BF1213" s="105">
        <f>IF($AW$1110&gt;0,PPMT('Assumptions (Nuclear)'!$V$6,Model!AF1,'Assumptions (Nuclear)'!$V$9,'Assumptions (Nuclear)'!$V$4*Model!$AW$1110*AVERAGE('Assumptions (Nuclear)'!$AP$2:$AU$2)/10^9),0)</f>
        <v>-0.95874125520712872</v>
      </c>
      <c r="BG1213" s="105">
        <f>IF($AW$1110&gt;0,PPMT('Assumptions (Nuclear)'!$V$6,Model!AG1,'Assumptions (Nuclear)'!$V$9,'Assumptions (Nuclear)'!$V$4*Model!$AW$1110*AVERAGE('Assumptions (Nuclear)'!$AP$2:$AU$2)/10^9),0)</f>
        <v>-1.0042814648294673</v>
      </c>
      <c r="BH1213" s="105">
        <f>IF($AW$1110&gt;0,PPMT('Assumptions (Nuclear)'!$V$6,Model!AH1,'Assumptions (Nuclear)'!$V$9,'Assumptions (Nuclear)'!$V$4*Model!$AW$1110*AVERAGE('Assumptions (Nuclear)'!$AP$2:$AU$2)/10^9),0)</f>
        <v>-1.0519848344088669</v>
      </c>
      <c r="BI1213" s="105">
        <f>IF($AW$1110&gt;0,PPMT('Assumptions (Nuclear)'!$V$6,Model!AI1,'Assumptions (Nuclear)'!$V$9,'Assumptions (Nuclear)'!$V$4*Model!$AW$1110*AVERAGE('Assumptions (Nuclear)'!$AP$2:$AU$2)/10^9),0)</f>
        <v>-1.1019541140432882</v>
      </c>
      <c r="BJ1213" s="105">
        <f>IF($AW$1110&gt;0,PPMT('Assumptions (Nuclear)'!$V$6,Model!AJ1,'Assumptions (Nuclear)'!$V$9,'Assumptions (Nuclear)'!$V$4*Model!$AW$1110*AVERAGE('Assumptions (Nuclear)'!$AP$2:$AU$2)/10^9),0)</f>
        <v>-1.1542969344603444</v>
      </c>
      <c r="BK1213" s="105">
        <f>IF($AW$1110&gt;0,PPMT('Assumptions (Nuclear)'!$V$6,Model!AK1,'Assumptions (Nuclear)'!$V$9,'Assumptions (Nuclear)'!$V$4*Model!$AW$1110*AVERAGE('Assumptions (Nuclear)'!$AP$2:$AU$2)/10^9),0)</f>
        <v>-1.2091260388472107</v>
      </c>
      <c r="BL1213" s="105"/>
      <c r="BM1213" s="105"/>
      <c r="BN1213" s="105"/>
      <c r="BO1213" s="105"/>
      <c r="BP1213" s="105"/>
      <c r="BQ1213" s="105"/>
      <c r="BR1213" s="105"/>
      <c r="BS1213" s="105"/>
      <c r="BT1213" s="105"/>
      <c r="BU1213" s="105"/>
    </row>
    <row r="1214" spans="1:76" ht="15.75" hidden="1" customHeight="1" outlineLevel="1">
      <c r="A1214" s="407"/>
      <c r="B1214" s="99"/>
      <c r="C1214" s="99"/>
      <c r="D1214" s="99"/>
      <c r="E1214" s="99"/>
      <c r="F1214" s="99"/>
      <c r="G1214" s="99"/>
      <c r="H1214" s="99"/>
      <c r="I1214" s="99"/>
      <c r="J1214" s="99"/>
      <c r="K1214" s="99"/>
      <c r="L1214" s="99"/>
      <c r="M1214" s="99"/>
      <c r="N1214" s="99"/>
      <c r="O1214" s="99"/>
      <c r="P1214" s="99"/>
      <c r="Q1214" s="99"/>
      <c r="R1214" s="99"/>
      <c r="S1214" s="99"/>
      <c r="T1214" s="99"/>
      <c r="U1214" s="99"/>
      <c r="V1214" s="99"/>
      <c r="W1214" s="105"/>
      <c r="X1214" s="105"/>
      <c r="Y1214" s="105"/>
      <c r="Z1214" s="105"/>
      <c r="AA1214" s="105"/>
      <c r="AB1214" s="105"/>
      <c r="AC1214" s="105"/>
      <c r="AD1214" s="105"/>
      <c r="AE1214" s="105"/>
      <c r="AF1214" s="105"/>
      <c r="AG1214" s="105"/>
      <c r="AH1214" s="105"/>
      <c r="AI1214" s="105"/>
      <c r="AJ1214" s="171"/>
      <c r="AK1214" s="105"/>
      <c r="AL1214" s="91"/>
      <c r="AM1214" s="91"/>
      <c r="AN1214" s="91"/>
      <c r="AO1214" s="105"/>
      <c r="AP1214" s="105"/>
      <c r="AQ1214" s="105"/>
      <c r="AR1214" s="105"/>
      <c r="AS1214" s="105"/>
      <c r="AT1214" s="105"/>
      <c r="AU1214" s="105"/>
      <c r="AV1214" s="105"/>
      <c r="AW1214" s="105"/>
      <c r="AX1214" s="105">
        <f>IF($AX$1110&gt;0,PPMT('Assumptions (Nuclear)'!$V$6,Model!W1,'Assumptions (Nuclear)'!$V$9,'Assumptions (Nuclear)'!$V$4*Model!$AX$1110*AVERAGE('Assumptions (Nuclear)'!$AQ$2:$AV$2)/10^9),0)</f>
        <v>-0.95267275577761057</v>
      </c>
      <c r="AY1214" s="105">
        <f>IF($AX$1110&gt;0,PPMT('Assumptions (Nuclear)'!$V$6,Model!X1,'Assumptions (Nuclear)'!$V$9,'Assumptions (Nuclear)'!$V$4*Model!$AX$1110*AVERAGE('Assumptions (Nuclear)'!$AQ$2:$AV$2)/10^9),0)</f>
        <v>-0.99792471167704722</v>
      </c>
      <c r="AZ1214" s="105">
        <f>IF($AX$1110&gt;0,PPMT('Assumptions (Nuclear)'!$V$6,Model!Y1,'Assumptions (Nuclear)'!$V$9,'Assumptions (Nuclear)'!$V$4*Model!$AX$1110*AVERAGE('Assumptions (Nuclear)'!$AQ$2:$AV$2)/10^9),0)</f>
        <v>-1.0453261354817069</v>
      </c>
      <c r="BA1214" s="105">
        <f>IF($AX$1110&gt;0,PPMT('Assumptions (Nuclear)'!$V$6,Model!Z1,'Assumptions (Nuclear)'!$V$9,'Assumptions (Nuclear)'!$V$4*Model!$AX$1110*AVERAGE('Assumptions (Nuclear)'!$AQ$2:$AV$2)/10^9),0)</f>
        <v>-1.0949791269170879</v>
      </c>
      <c r="BB1214" s="105">
        <f>IF($AX$1110&gt;0,PPMT('Assumptions (Nuclear)'!$V$6,Model!AA1,'Assumptions (Nuclear)'!$V$9,'Assumptions (Nuclear)'!$V$4*Model!$AX$1110*AVERAGE('Assumptions (Nuclear)'!$AQ$2:$AV$2)/10^9),0)</f>
        <v>-1.1469906354456494</v>
      </c>
      <c r="BC1214" s="105">
        <f>IF($AX$1110&gt;0,PPMT('Assumptions (Nuclear)'!$V$6,Model!AB1,'Assumptions (Nuclear)'!$V$9,'Assumptions (Nuclear)'!$V$4*Model!$AX$1110*AVERAGE('Assumptions (Nuclear)'!$AQ$2:$AV$2)/10^9),0)</f>
        <v>-1.2014726906293178</v>
      </c>
      <c r="BD1214" s="105">
        <f>IF($AX$1110&gt;0,PPMT('Assumptions (Nuclear)'!$V$6,Model!AC1,'Assumptions (Nuclear)'!$V$9,'Assumptions (Nuclear)'!$V$4*Model!$AX$1110*AVERAGE('Assumptions (Nuclear)'!$AQ$2:$AV$2)/10^9),0)</f>
        <v>-1.2585426434342106</v>
      </c>
      <c r="BE1214" s="105">
        <f>IF($AX$1110&gt;0,PPMT('Assumptions (Nuclear)'!$V$6,Model!AD1,'Assumptions (Nuclear)'!$V$9,'Assumptions (Nuclear)'!$V$4*Model!$AX$1110*AVERAGE('Assumptions (Nuclear)'!$AQ$2:$AV$2)/10^9),0)</f>
        <v>-1.3183234189973356</v>
      </c>
      <c r="BF1214" s="105">
        <f>IF($AX$1110&gt;0,PPMT('Assumptions (Nuclear)'!$V$6,Model!AE1,'Assumptions (Nuclear)'!$V$9,'Assumptions (Nuclear)'!$V$4*Model!$AX$1110*AVERAGE('Assumptions (Nuclear)'!$AQ$2:$AV$2)/10^9),0)</f>
        <v>-1.380943781399709</v>
      </c>
      <c r="BG1214" s="105">
        <f>IF($AX$1110&gt;0,PPMT('Assumptions (Nuclear)'!$V$6,Model!AF1,'Assumptions (Nuclear)'!$V$9,'Assumptions (Nuclear)'!$V$4*Model!$AX$1110*AVERAGE('Assumptions (Nuclear)'!$AQ$2:$AV$2)/10^9),0)</f>
        <v>-1.4465386110161953</v>
      </c>
      <c r="BH1214" s="105">
        <f>IF($AX$1110&gt;0,PPMT('Assumptions (Nuclear)'!$V$6,Model!AG1,'Assumptions (Nuclear)'!$V$9,'Assumptions (Nuclear)'!$V$4*Model!$AX$1110*AVERAGE('Assumptions (Nuclear)'!$AQ$2:$AV$2)/10^9),0)</f>
        <v>-1.5152491950394646</v>
      </c>
      <c r="BI1214" s="105">
        <f>IF($AX$1110&gt;0,PPMT('Assumptions (Nuclear)'!$V$6,Model!AH1,'Assumptions (Nuclear)'!$V$9,'Assumptions (Nuclear)'!$V$4*Model!$AX$1110*AVERAGE('Assumptions (Nuclear)'!$AQ$2:$AV$2)/10^9),0)</f>
        <v>-1.587223531803839</v>
      </c>
      <c r="BJ1214" s="105">
        <f>IF($AX$1110&gt;0,PPMT('Assumptions (Nuclear)'!$V$6,Model!AI1,'Assumptions (Nuclear)'!$V$9,'Assumptions (Nuclear)'!$V$4*Model!$AX$1110*AVERAGE('Assumptions (Nuclear)'!$AQ$2:$AV$2)/10^9),0)</f>
        <v>-1.6626166495645216</v>
      </c>
      <c r="BK1214" s="105">
        <f>IF($AX$1110&gt;0,PPMT('Assumptions (Nuclear)'!$V$6,Model!AJ1,'Assumptions (Nuclear)'!$V$9,'Assumptions (Nuclear)'!$V$4*Model!$AX$1110*AVERAGE('Assumptions (Nuclear)'!$AQ$2:$AV$2)/10^9),0)</f>
        <v>-1.7415909404188361</v>
      </c>
      <c r="BL1214" s="105">
        <f>IF($AX$1110&gt;0,PPMT('Assumptions (Nuclear)'!$V$6,Model!AK1,'Assumptions (Nuclear)'!$V$9,'Assumptions (Nuclear)'!$V$4*Model!$AX$1110*AVERAGE('Assumptions (Nuclear)'!$AQ$2:$AV$2)/10^9),0)</f>
        <v>-1.8243165100887306</v>
      </c>
      <c r="BM1214" s="105"/>
      <c r="BN1214" s="105"/>
      <c r="BO1214" s="105"/>
      <c r="BP1214" s="105"/>
      <c r="BQ1214" s="105"/>
      <c r="BR1214" s="105"/>
      <c r="BS1214" s="105"/>
      <c r="BT1214" s="105"/>
      <c r="BU1214" s="105"/>
      <c r="BV1214" s="105"/>
    </row>
    <row r="1215" spans="1:76" ht="15.75" hidden="1" customHeight="1" outlineLevel="1">
      <c r="A1215" s="407"/>
      <c r="B1215" s="99"/>
      <c r="C1215" s="99"/>
      <c r="D1215" s="99"/>
      <c r="E1215" s="99"/>
      <c r="F1215" s="99"/>
      <c r="G1215" s="99"/>
      <c r="H1215" s="99"/>
      <c r="I1215" s="99"/>
      <c r="J1215" s="99"/>
      <c r="K1215" s="99"/>
      <c r="L1215" s="99"/>
      <c r="M1215" s="99"/>
      <c r="N1215" s="99"/>
      <c r="O1215" s="99"/>
      <c r="P1215" s="99"/>
      <c r="Q1215" s="99"/>
      <c r="R1215" s="99"/>
      <c r="S1215" s="99"/>
      <c r="T1215" s="99"/>
      <c r="U1215" s="99"/>
      <c r="V1215" s="99"/>
      <c r="W1215" s="105"/>
      <c r="X1215" s="105"/>
      <c r="Y1215" s="105"/>
      <c r="Z1215" s="105"/>
      <c r="AA1215" s="105"/>
      <c r="AB1215" s="105"/>
      <c r="AC1215" s="105"/>
      <c r="AD1215" s="105"/>
      <c r="AE1215" s="105"/>
      <c r="AF1215" s="105"/>
      <c r="AG1215" s="105"/>
      <c r="AH1215" s="105"/>
      <c r="AI1215" s="105"/>
      <c r="AJ1215" s="171"/>
      <c r="AK1215" s="105"/>
      <c r="AL1215" s="91"/>
      <c r="AM1215" s="91"/>
      <c r="AN1215" s="91"/>
      <c r="AO1215" s="105"/>
      <c r="AP1215" s="105"/>
      <c r="AQ1215" s="105"/>
      <c r="AR1215" s="105"/>
      <c r="AS1215" s="105"/>
      <c r="AT1215" s="105"/>
      <c r="AU1215" s="105"/>
      <c r="AV1215" s="105"/>
      <c r="AW1215" s="105"/>
      <c r="AX1215" s="105"/>
      <c r="AY1215" s="105">
        <f>IF($AY$1110&gt;0,PPMT('Assumptions (Nuclear)'!$V$6,Model!W1,'Assumptions (Nuclear)'!$V$9,'Assumptions (Nuclear)'!$V$4*Model!$AY$1110*AVERAGE('Assumptions (Nuclear)'!$AR$2:$AW$2)/10^9),0)</f>
        <v>-1.1337911215098293</v>
      </c>
      <c r="AZ1215" s="105">
        <f>IF($AY$1110&gt;0,PPMT('Assumptions (Nuclear)'!$V$6,Model!X1,'Assumptions (Nuclear)'!$V$9,'Assumptions (Nuclear)'!$V$4*Model!$AY$1110*AVERAGE('Assumptions (Nuclear)'!$AR$2:$AW$2)/10^9),0)</f>
        <v>-1.187646199781546</v>
      </c>
      <c r="BA1215" s="105">
        <f>IF($AY$1110&gt;0,PPMT('Assumptions (Nuclear)'!$V$6,Model!Y1,'Assumptions (Nuclear)'!$V$9,'Assumptions (Nuclear)'!$V$4*Model!$AY$1110*AVERAGE('Assumptions (Nuclear)'!$AR$2:$AW$2)/10^9),0)</f>
        <v>-1.2440593942711697</v>
      </c>
      <c r="BB1215" s="105">
        <f>IF($AY$1110&gt;0,PPMT('Assumptions (Nuclear)'!$V$6,Model!Z1,'Assumptions (Nuclear)'!$V$9,'Assumptions (Nuclear)'!$V$4*Model!$AY$1110*AVERAGE('Assumptions (Nuclear)'!$AR$2:$AW$2)/10^9),0)</f>
        <v>-1.30315221549905</v>
      </c>
      <c r="BC1215" s="105">
        <f>IF($AY$1110&gt;0,PPMT('Assumptions (Nuclear)'!$V$6,Model!AA1,'Assumptions (Nuclear)'!$V$9,'Assumptions (Nuclear)'!$V$4*Model!$AY$1110*AVERAGE('Assumptions (Nuclear)'!$AR$2:$AW$2)/10^9),0)</f>
        <v>-1.3650519457352548</v>
      </c>
      <c r="BD1215" s="105">
        <f>IF($AY$1110&gt;0,PPMT('Assumptions (Nuclear)'!$V$6,Model!AB1,'Assumptions (Nuclear)'!$V$9,'Assumptions (Nuclear)'!$V$4*Model!$AY$1110*AVERAGE('Assumptions (Nuclear)'!$AR$2:$AW$2)/10^9),0)</f>
        <v>-1.4298919131576795</v>
      </c>
      <c r="BE1215" s="105">
        <f>IF($AY$1110&gt;0,PPMT('Assumptions (Nuclear)'!$V$6,Model!AC1,'Assumptions (Nuclear)'!$V$9,'Assumptions (Nuclear)'!$V$4*Model!$AY$1110*AVERAGE('Assumptions (Nuclear)'!$AR$2:$AW$2)/10^9),0)</f>
        <v>-1.4978117790326693</v>
      </c>
      <c r="BF1215" s="105">
        <f>IF($AY$1110&gt;0,PPMT('Assumptions (Nuclear)'!$V$6,Model!AD1,'Assumptions (Nuclear)'!$V$9,'Assumptions (Nuclear)'!$V$4*Model!$AY$1110*AVERAGE('Assumptions (Nuclear)'!$AR$2:$AW$2)/10^9),0)</f>
        <v>-1.5689578385367211</v>
      </c>
      <c r="BG1215" s="105">
        <f>IF($AY$1110&gt;0,PPMT('Assumptions (Nuclear)'!$V$6,Model!AE1,'Assumptions (Nuclear)'!$V$9,'Assumptions (Nuclear)'!$V$4*Model!$AY$1110*AVERAGE('Assumptions (Nuclear)'!$AR$2:$AW$2)/10^9),0)</f>
        <v>-1.6434833358672152</v>
      </c>
      <c r="BH1215" s="105">
        <f>IF($AY$1110&gt;0,PPMT('Assumptions (Nuclear)'!$V$6,Model!AF1,'Assumptions (Nuclear)'!$V$9,'Assumptions (Nuclear)'!$V$4*Model!$AY$1110*AVERAGE('Assumptions (Nuclear)'!$AR$2:$AW$2)/10^9),0)</f>
        <v>-1.721548794320908</v>
      </c>
      <c r="BI1215" s="105">
        <f>IF($AY$1110&gt;0,PPMT('Assumptions (Nuclear)'!$V$6,Model!AG1,'Assumptions (Nuclear)'!$V$9,'Assumptions (Nuclear)'!$V$4*Model!$AY$1110*AVERAGE('Assumptions (Nuclear)'!$AR$2:$AW$2)/10^9),0)</f>
        <v>-1.8033223620511512</v>
      </c>
      <c r="BJ1215" s="105">
        <f>IF($AY$1110&gt;0,PPMT('Assumptions (Nuclear)'!$V$6,Model!AH1,'Assumptions (Nuclear)'!$V$9,'Assumptions (Nuclear)'!$V$4*Model!$AY$1110*AVERAGE('Assumptions (Nuclear)'!$AR$2:$AW$2)/10^9),0)</f>
        <v>-1.8889801742485808</v>
      </c>
      <c r="BK1215" s="105">
        <f>IF($AY$1110&gt;0,PPMT('Assumptions (Nuclear)'!$V$6,Model!AI1,'Assumptions (Nuclear)'!$V$9,'Assumptions (Nuclear)'!$V$4*Model!$AY$1110*AVERAGE('Assumptions (Nuclear)'!$AR$2:$AW$2)/10^9),0)</f>
        <v>-1.9787067325253886</v>
      </c>
      <c r="BL1215" s="105">
        <f>IF($AY$1110&gt;0,PPMT('Assumptions (Nuclear)'!$V$6,Model!AJ1,'Assumptions (Nuclear)'!$V$9,'Assumptions (Nuclear)'!$V$4*Model!$AY$1110*AVERAGE('Assumptions (Nuclear)'!$AR$2:$AW$2)/10^9),0)</f>
        <v>-2.0726953023203447</v>
      </c>
      <c r="BM1215" s="105">
        <f>IF($AY$1110&gt;0,PPMT('Assumptions (Nuclear)'!$V$6,Model!AK1,'Assumptions (Nuclear)'!$V$9,'Assumptions (Nuclear)'!$V$4*Model!$AY$1110*AVERAGE('Assumptions (Nuclear)'!$AR$2:$AW$2)/10^9),0)</f>
        <v>-2.1711483291805607</v>
      </c>
      <c r="BN1215" s="105"/>
      <c r="BO1215" s="105"/>
      <c r="BP1215" s="105"/>
      <c r="BQ1215" s="105"/>
      <c r="BR1215" s="105"/>
      <c r="BS1215" s="105"/>
      <c r="BT1215" s="105"/>
      <c r="BU1215" s="105"/>
      <c r="BV1215" s="105"/>
      <c r="BW1215" s="105"/>
    </row>
    <row r="1216" spans="1:76" ht="15.75" hidden="1" customHeight="1" outlineLevel="1">
      <c r="A1216" s="407"/>
      <c r="B1216" s="99"/>
      <c r="C1216" s="99"/>
      <c r="D1216" s="99"/>
      <c r="E1216" s="99"/>
      <c r="F1216" s="99"/>
      <c r="G1216" s="99"/>
      <c r="H1216" s="99"/>
      <c r="I1216" s="99"/>
      <c r="J1216" s="99"/>
      <c r="K1216" s="99"/>
      <c r="L1216" s="99"/>
      <c r="M1216" s="99"/>
      <c r="N1216" s="99"/>
      <c r="O1216" s="99"/>
      <c r="P1216" s="99"/>
      <c r="Q1216" s="99"/>
      <c r="R1216" s="99"/>
      <c r="S1216" s="99"/>
      <c r="T1216" s="99"/>
      <c r="U1216" s="99"/>
      <c r="V1216" s="99"/>
      <c r="W1216" s="105"/>
      <c r="X1216" s="105"/>
      <c r="Y1216" s="105"/>
      <c r="Z1216" s="105"/>
      <c r="AA1216" s="105"/>
      <c r="AB1216" s="105"/>
      <c r="AC1216" s="105"/>
      <c r="AD1216" s="105"/>
      <c r="AE1216" s="105"/>
      <c r="AF1216" s="105"/>
      <c r="AG1216" s="105"/>
      <c r="AH1216" s="105"/>
      <c r="AI1216" s="105"/>
      <c r="AJ1216" s="171"/>
      <c r="AK1216" s="105"/>
      <c r="AL1216" s="91"/>
      <c r="AM1216" s="91"/>
      <c r="AN1216" s="91"/>
      <c r="AO1216" s="105"/>
      <c r="AP1216" s="105"/>
      <c r="AQ1216" s="105"/>
      <c r="AR1216" s="105"/>
      <c r="AS1216" s="105"/>
      <c r="AT1216" s="105"/>
      <c r="AU1216" s="105"/>
      <c r="AV1216" s="105"/>
      <c r="AW1216" s="105"/>
      <c r="AX1216" s="105"/>
      <c r="AY1216" s="105"/>
      <c r="AZ1216" s="105">
        <f>IF($AZ$1110&gt;0,PPMT('Assumptions (Nuclear)'!$V$6,Model!W1,'Assumptions (Nuclear)'!$V$9,'Assumptions (Nuclear)'!$V$4*Model!$AZ$1110*AVERAGE('Assumptions (Nuclear)'!$AS$2:$AX$2)/10^9),0)</f>
        <v>-0.8469507117520938</v>
      </c>
      <c r="BA1216" s="105">
        <f>IF($AZ$1110&gt;0,PPMT('Assumptions (Nuclear)'!$V$6,Model!X1,'Assumptions (Nuclear)'!$V$9,'Assumptions (Nuclear)'!$V$4*Model!$AZ$1110*AVERAGE('Assumptions (Nuclear)'!$AS$2:$AX$2)/10^9),0)</f>
        <v>-0.88718087056031814</v>
      </c>
      <c r="BB1216" s="105">
        <f>IF($AZ$1110&gt;0,PPMT('Assumptions (Nuclear)'!$V$6,Model!Y1,'Assumptions (Nuclear)'!$V$9,'Assumptions (Nuclear)'!$V$4*Model!$AZ$1110*AVERAGE('Assumptions (Nuclear)'!$AS$2:$AX$2)/10^9),0)</f>
        <v>-0.9293219619119335</v>
      </c>
      <c r="BC1216" s="105">
        <f>IF($AZ$1110&gt;0,PPMT('Assumptions (Nuclear)'!$V$6,Model!Z1,'Assumptions (Nuclear)'!$V$9,'Assumptions (Nuclear)'!$V$4*Model!$AZ$1110*AVERAGE('Assumptions (Nuclear)'!$AS$2:$AX$2)/10^9),0)</f>
        <v>-0.97346475510275021</v>
      </c>
      <c r="BD1216" s="105">
        <f>IF($AZ$1110&gt;0,PPMT('Assumptions (Nuclear)'!$V$6,Model!AA1,'Assumptions (Nuclear)'!$V$9,'Assumptions (Nuclear)'!$V$4*Model!$AZ$1110*AVERAGE('Assumptions (Nuclear)'!$AS$2:$AX$2)/10^9),0)</f>
        <v>-1.0197043309701306</v>
      </c>
      <c r="BE1216" s="105">
        <f>IF($AZ$1110&gt;0,PPMT('Assumptions (Nuclear)'!$V$6,Model!AB1,'Assumptions (Nuclear)'!$V$9,'Assumptions (Nuclear)'!$V$4*Model!$AZ$1110*AVERAGE('Assumptions (Nuclear)'!$AS$2:$AX$2)/10^9),0)</f>
        <v>-1.068140286691212</v>
      </c>
      <c r="BF1216" s="105">
        <f>IF($AZ$1110&gt;0,PPMT('Assumptions (Nuclear)'!$V$6,Model!AC1,'Assumptions (Nuclear)'!$V$9,'Assumptions (Nuclear)'!$V$4*Model!$AZ$1110*AVERAGE('Assumptions (Nuclear)'!$AS$2:$AX$2)/10^9),0)</f>
        <v>-1.1188769503090445</v>
      </c>
      <c r="BG1216" s="105">
        <f>IF($AZ$1110&gt;0,PPMT('Assumptions (Nuclear)'!$V$6,Model!AD1,'Assumptions (Nuclear)'!$V$9,'Assumptions (Nuclear)'!$V$4*Model!$AZ$1110*AVERAGE('Assumptions (Nuclear)'!$AS$2:$AX$2)/10^9),0)</f>
        <v>-1.1720236054487243</v>
      </c>
      <c r="BH1216" s="105">
        <f>IF($AZ$1110&gt;0,PPMT('Assumptions (Nuclear)'!$V$6,Model!AE1,'Assumptions (Nuclear)'!$V$9,'Assumptions (Nuclear)'!$V$4*Model!$AZ$1110*AVERAGE('Assumptions (Nuclear)'!$AS$2:$AX$2)/10^9),0)</f>
        <v>-1.2276947267075384</v>
      </c>
      <c r="BI1216" s="105">
        <f>IF($AZ$1110&gt;0,PPMT('Assumptions (Nuclear)'!$V$6,Model!AF1,'Assumptions (Nuclear)'!$V$9,'Assumptions (Nuclear)'!$V$4*Model!$AZ$1110*AVERAGE('Assumptions (Nuclear)'!$AS$2:$AX$2)/10^9),0)</f>
        <v>-1.2860102262261466</v>
      </c>
      <c r="BJ1216" s="105">
        <f>IF($AZ$1110&gt;0,PPMT('Assumptions (Nuclear)'!$V$6,Model!AG1,'Assumptions (Nuclear)'!$V$9,'Assumptions (Nuclear)'!$V$4*Model!$AZ$1110*AVERAGE('Assumptions (Nuclear)'!$AS$2:$AX$2)/10^9),0)</f>
        <v>-1.3470957119718887</v>
      </c>
      <c r="BK1216" s="105">
        <f>IF($AZ$1110&gt;0,PPMT('Assumptions (Nuclear)'!$V$6,Model!AH1,'Assumptions (Nuclear)'!$V$9,'Assumptions (Nuclear)'!$V$4*Model!$AZ$1110*AVERAGE('Assumptions (Nuclear)'!$AS$2:$AX$2)/10^9),0)</f>
        <v>-1.4110827582905534</v>
      </c>
      <c r="BL1216" s="105">
        <f>IF($AZ$1110&gt;0,PPMT('Assumptions (Nuclear)'!$V$6,Model!AI1,'Assumptions (Nuclear)'!$V$9,'Assumptions (Nuclear)'!$V$4*Model!$AZ$1110*AVERAGE('Assumptions (Nuclear)'!$AS$2:$AX$2)/10^9),0)</f>
        <v>-1.4781091893093548</v>
      </c>
      <c r="BM1216" s="105">
        <f>IF($AZ$1110&gt;0,PPMT('Assumptions (Nuclear)'!$V$6,Model!AJ1,'Assumptions (Nuclear)'!$V$9,'Assumptions (Nuclear)'!$V$4*Model!$AZ$1110*AVERAGE('Assumptions (Nuclear)'!$AS$2:$AX$2)/10^9),0)</f>
        <v>-1.548319375801549</v>
      </c>
      <c r="BN1216" s="105">
        <f>IF($AZ$1110&gt;0,PPMT('Assumptions (Nuclear)'!$V$6,Model!AK1,'Assumptions (Nuclear)'!$V$9,'Assumptions (Nuclear)'!$V$4*Model!$AZ$1110*AVERAGE('Assumptions (Nuclear)'!$AS$2:$AX$2)/10^9),0)</f>
        <v>-1.6218645461521224</v>
      </c>
      <c r="BO1216" s="105"/>
      <c r="BP1216" s="105"/>
      <c r="BQ1216" s="105"/>
      <c r="BR1216" s="105"/>
      <c r="BS1216" s="105"/>
      <c r="BT1216" s="105"/>
      <c r="BU1216" s="105"/>
      <c r="BV1216" s="105"/>
      <c r="BW1216" s="105"/>
      <c r="BX1216" s="105"/>
    </row>
    <row r="1217" spans="1:77" ht="15.75" hidden="1" customHeight="1" outlineLevel="1">
      <c r="A1217" s="407"/>
      <c r="B1217" s="99"/>
      <c r="C1217" s="99"/>
      <c r="D1217" s="99"/>
      <c r="E1217" s="99"/>
      <c r="F1217" s="99"/>
      <c r="G1217" s="99"/>
      <c r="H1217" s="99"/>
      <c r="I1217" s="99"/>
      <c r="J1217" s="99"/>
      <c r="K1217" s="99"/>
      <c r="L1217" s="99"/>
      <c r="M1217" s="99"/>
      <c r="N1217" s="99"/>
      <c r="O1217" s="99"/>
      <c r="P1217" s="99"/>
      <c r="Q1217" s="99"/>
      <c r="R1217" s="99"/>
      <c r="S1217" s="99"/>
      <c r="T1217" s="99"/>
      <c r="U1217" s="99"/>
      <c r="V1217" s="99"/>
      <c r="W1217" s="105"/>
      <c r="X1217" s="105"/>
      <c r="Y1217" s="105"/>
      <c r="Z1217" s="105"/>
      <c r="AA1217" s="105"/>
      <c r="AB1217" s="105"/>
      <c r="AC1217" s="105"/>
      <c r="AD1217" s="105"/>
      <c r="AE1217" s="105"/>
      <c r="AF1217" s="105"/>
      <c r="AG1217" s="105"/>
      <c r="AH1217" s="105"/>
      <c r="AI1217" s="105"/>
      <c r="AJ1217" s="171"/>
      <c r="AK1217" s="105"/>
      <c r="AL1217" s="91"/>
      <c r="AM1217" s="91"/>
      <c r="AN1217" s="91"/>
      <c r="AO1217" s="105"/>
      <c r="AP1217" s="105"/>
      <c r="AQ1217" s="105"/>
      <c r="AR1217" s="105"/>
      <c r="AS1217" s="105"/>
      <c r="AT1217" s="105"/>
      <c r="AU1217" s="105"/>
      <c r="AV1217" s="105"/>
      <c r="AW1217" s="105"/>
      <c r="AX1217" s="105"/>
      <c r="AY1217" s="105"/>
      <c r="AZ1217" s="105"/>
      <c r="BA1217" s="105">
        <f>IF($BA$1110&gt;0,PPMT('Assumptions (Nuclear)'!$V$6,Model!W1,'Assumptions (Nuclear)'!$V$9,'Assumptions (Nuclear)'!$V$4*Model!$BA$1110*AVERAGE('Assumptions (Nuclear)'!$AT$2:$AY$2)/10^9),0)</f>
        <v>-0.55241841924107349</v>
      </c>
      <c r="BB1217" s="105">
        <f>IF($BA$1110&gt;0,PPMT('Assumptions (Nuclear)'!$V$6,Model!X1,'Assumptions (Nuclear)'!$V$9,'Assumptions (Nuclear)'!$V$4*Model!$BA$1110*AVERAGE('Assumptions (Nuclear)'!$AT$2:$AY$2)/10^9),0)</f>
        <v>-0.57865829415502457</v>
      </c>
      <c r="BC1217" s="105">
        <f>IF($BA$1110&gt;0,PPMT('Assumptions (Nuclear)'!$V$6,Model!Y1,'Assumptions (Nuclear)'!$V$9,'Assumptions (Nuclear)'!$V$4*Model!$BA$1110*AVERAGE('Assumptions (Nuclear)'!$AT$2:$AY$2)/10^9),0)</f>
        <v>-0.60614456312738829</v>
      </c>
      <c r="BD1217" s="105">
        <f>IF($BA$1110&gt;0,PPMT('Assumptions (Nuclear)'!$V$6,Model!Z1,'Assumptions (Nuclear)'!$V$9,'Assumptions (Nuclear)'!$V$4*Model!$BA$1110*AVERAGE('Assumptions (Nuclear)'!$AT$2:$AY$2)/10^9),0)</f>
        <v>-0.63493642987593912</v>
      </c>
      <c r="BE1217" s="105">
        <f>IF($BA$1110&gt;0,PPMT('Assumptions (Nuclear)'!$V$6,Model!AA1,'Assumptions (Nuclear)'!$V$9,'Assumptions (Nuclear)'!$V$4*Model!$BA$1110*AVERAGE('Assumptions (Nuclear)'!$AT$2:$AY$2)/10^9),0)</f>
        <v>-0.66509591029504622</v>
      </c>
      <c r="BF1217" s="105">
        <f>IF($BA$1110&gt;0,PPMT('Assumptions (Nuclear)'!$V$6,Model!AB1,'Assumptions (Nuclear)'!$V$9,'Assumptions (Nuclear)'!$V$4*Model!$BA$1110*AVERAGE('Assumptions (Nuclear)'!$AT$2:$AY$2)/10^9),0)</f>
        <v>-0.69668796603406091</v>
      </c>
      <c r="BG1217" s="105">
        <f>IF($BA$1110&gt;0,PPMT('Assumptions (Nuclear)'!$V$6,Model!AC1,'Assumptions (Nuclear)'!$V$9,'Assumptions (Nuclear)'!$V$4*Model!$BA$1110*AVERAGE('Assumptions (Nuclear)'!$AT$2:$AY$2)/10^9),0)</f>
        <v>-0.7297806444206788</v>
      </c>
      <c r="BH1217" s="105">
        <f>IF($BA$1110&gt;0,PPMT('Assumptions (Nuclear)'!$V$6,Model!AD1,'Assumptions (Nuclear)'!$V$9,'Assumptions (Nuclear)'!$V$4*Model!$BA$1110*AVERAGE('Assumptions (Nuclear)'!$AT$2:$AY$2)/10^9),0)</f>
        <v>-0.76444522503066104</v>
      </c>
      <c r="BI1217" s="105">
        <f>IF($BA$1110&gt;0,PPMT('Assumptions (Nuclear)'!$V$6,Model!AE1,'Assumptions (Nuclear)'!$V$9,'Assumptions (Nuclear)'!$V$4*Model!$BA$1110*AVERAGE('Assumptions (Nuclear)'!$AT$2:$AY$2)/10^9),0)</f>
        <v>-0.80075637321961735</v>
      </c>
      <c r="BJ1217" s="105">
        <f>IF($BA$1110&gt;0,PPMT('Assumptions (Nuclear)'!$V$6,Model!AF1,'Assumptions (Nuclear)'!$V$9,'Assumptions (Nuclear)'!$V$4*Model!$BA$1110*AVERAGE('Assumptions (Nuclear)'!$AT$2:$AY$2)/10^9),0)</f>
        <v>-0.83879230094754931</v>
      </c>
      <c r="BK1217" s="105">
        <f>IF($BA$1110&gt;0,PPMT('Assumptions (Nuclear)'!$V$6,Model!AG1,'Assumptions (Nuclear)'!$V$9,'Assumptions (Nuclear)'!$V$4*Model!$BA$1110*AVERAGE('Assumptions (Nuclear)'!$AT$2:$AY$2)/10^9),0)</f>
        <v>-0.87863493524255787</v>
      </c>
      <c r="BL1217" s="105">
        <f>IF($BA$1110&gt;0,PPMT('Assumptions (Nuclear)'!$V$6,Model!AH1,'Assumptions (Nuclear)'!$V$9,'Assumptions (Nuclear)'!$V$4*Model!$BA$1110*AVERAGE('Assumptions (Nuclear)'!$AT$2:$AY$2)/10^9),0)</f>
        <v>-0.92037009466657949</v>
      </c>
      <c r="BM1217" s="105">
        <f>IF($BA$1110&gt;0,PPMT('Assumptions (Nuclear)'!$V$6,Model!AI1,'Assumptions (Nuclear)'!$V$9,'Assumptions (Nuclear)'!$V$4*Model!$BA$1110*AVERAGE('Assumptions (Nuclear)'!$AT$2:$AY$2)/10^9),0)</f>
        <v>-0.96408767416324204</v>
      </c>
      <c r="BN1217" s="105">
        <f>IF($BA$1110&gt;0,PPMT('Assumptions (Nuclear)'!$V$6,Model!AJ1,'Assumptions (Nuclear)'!$V$9,'Assumptions (Nuclear)'!$V$4*Model!$BA$1110*AVERAGE('Assumptions (Nuclear)'!$AT$2:$AY$2)/10^9),0)</f>
        <v>-1.009881838685996</v>
      </c>
      <c r="BO1217" s="105">
        <f>IF($BA$1110&gt;0,PPMT('Assumptions (Nuclear)'!$V$6,Model!AK1,'Assumptions (Nuclear)'!$V$9,'Assumptions (Nuclear)'!$V$4*Model!$BA$1110*AVERAGE('Assumptions (Nuclear)'!$AT$2:$AY$2)/10^9),0)</f>
        <v>-1.0578512260235806</v>
      </c>
      <c r="BP1217" s="105"/>
      <c r="BQ1217" s="105"/>
      <c r="BR1217" s="105"/>
      <c r="BS1217" s="105"/>
      <c r="BT1217" s="105"/>
      <c r="BU1217" s="105"/>
      <c r="BV1217" s="105"/>
      <c r="BW1217" s="105"/>
      <c r="BX1217" s="105"/>
      <c r="BY1217" s="105"/>
    </row>
    <row r="1218" spans="1:77" ht="15.75" customHeight="1" collapsed="1">
      <c r="A1218" s="408" t="s">
        <v>709</v>
      </c>
      <c r="B1218" s="99" t="s">
        <v>201</v>
      </c>
      <c r="C1218" s="91">
        <f t="array" ref="C1218">SUM(IF(ISERROR(C1219:C1269),"",C1219:C1269))</f>
        <v>0</v>
      </c>
      <c r="D1218" s="91">
        <f t="array" ref="D1218">SUM(IF(ISERROR(D1219:D1269),"",D1219:D1269))</f>
        <v>0</v>
      </c>
      <c r="E1218" s="91">
        <f t="array" ref="E1218">SUM(IF(ISERROR(E1219:E1269),"",E1219:E1269))</f>
        <v>0</v>
      </c>
      <c r="F1218" s="91">
        <f t="array" ref="F1218">SUM(IF(ISERROR(F1219:F1269),"",F1219:F1269))</f>
        <v>0</v>
      </c>
      <c r="G1218" s="91">
        <f t="array" ref="G1218">SUM(IF(ISERROR(G1219:G1269),"",G1219:G1269))</f>
        <v>0</v>
      </c>
      <c r="H1218" s="91">
        <f t="array" ref="H1218">SUM(IF(ISERROR(H1219:H1269),"",H1219:H1269))</f>
        <v>0</v>
      </c>
      <c r="I1218" s="91">
        <f t="array" ref="I1218">SUM(IF(ISERROR(I1219:I1269),"",I1219:I1269))</f>
        <v>0</v>
      </c>
      <c r="J1218" s="91">
        <f t="array" ref="J1218">SUM(IF(ISERROR(J1219:J1269),"",J1219:J1269))</f>
        <v>0</v>
      </c>
      <c r="K1218" s="91">
        <f t="array" ref="K1218">SUM(IF(ISERROR(K1219:K1269),"",K1219:K1269))</f>
        <v>0</v>
      </c>
      <c r="L1218" s="91">
        <f t="array" ref="L1218">SUM(IF(ISERROR(L1219:L1269),"",L1219:L1269))</f>
        <v>0</v>
      </c>
      <c r="M1218" s="91">
        <f t="array" ref="M1218">SUM(IF(ISERROR(M1219:M1269),"",M1219:M1269))</f>
        <v>0</v>
      </c>
      <c r="N1218" s="91">
        <f t="array" ref="N1218">SUM(IF(ISERROR(N1219:N1269),"",N1219:N1269))</f>
        <v>0</v>
      </c>
      <c r="O1218" s="91">
        <f t="array" ref="O1218">SUM(IF(ISERROR(O1219:O1269),"",O1219:O1269))</f>
        <v>0</v>
      </c>
      <c r="P1218" s="91">
        <f t="array" ref="P1218">SUM(IF(ISERROR(P1219:P1269),"",P1219:P1269))</f>
        <v>0</v>
      </c>
      <c r="Q1218" s="91">
        <f t="array" ref="Q1218">SUM(IF(ISERROR(Q1219:Q1269),"",Q1219:Q1269))</f>
        <v>0</v>
      </c>
      <c r="R1218" s="91">
        <f t="array" ref="R1218">SUM(IF(ISERROR(R1219:R1269),"",R1219:R1269))</f>
        <v>0</v>
      </c>
      <c r="S1218" s="91">
        <f t="array" ref="S1218">SUM(IF(ISERROR(S1219:S1269),"",S1219:S1269))</f>
        <v>-0.10932472848385089</v>
      </c>
      <c r="T1218" s="91">
        <f t="array" ref="T1218">SUM(IF(ISERROR(T1219:T1269),"",T1219:T1269))</f>
        <v>-0.10416229078568313</v>
      </c>
      <c r="U1218" s="91">
        <f t="array" ref="U1218">SUM(IF(ISERROR(U1219:U1269),"",U1219:U1269))</f>
        <v>-9.8754637296852424E-2</v>
      </c>
      <c r="V1218" s="91">
        <f t="array" ref="V1218">SUM(IF(ISERROR(V1219:V1269),"",V1219:V1269))</f>
        <v>-0.20683156778190076</v>
      </c>
      <c r="W1218" s="91">
        <f t="array" ref="W1218">SUM(IF(ISERROR(W1219:W1269),"",W1219:W1269))</f>
        <v>-0.19552698601227328</v>
      </c>
      <c r="X1218" s="91">
        <f t="array" ref="X1218">SUM(IF(ISERROR(X1219:X1269),"",X1219:X1269))</f>
        <v>-0.18368543660858844</v>
      </c>
      <c r="Y1218" s="91">
        <f t="array" ref="Y1218">SUM(IF(ISERROR(Y1219:Y1269),"",Y1219:Y1269))</f>
        <v>-0.17128141360822863</v>
      </c>
      <c r="Z1218" s="91">
        <f t="array" ref="Z1218">SUM(IF(ISERROR(Z1219:Z1269),"",Z1219:Z1269))</f>
        <v>-0.15828819951535172</v>
      </c>
      <c r="AA1218" s="91">
        <f t="array" ref="AA1218">SUM(IF(ISERROR(AA1219:AA1269),"",AA1219:AA1269))</f>
        <v>-0.14467780775306316</v>
      </c>
      <c r="AB1218" s="91">
        <f t="array" ref="AB1218">SUM(IF(ISERROR(AB1219:AB1269),"",AB1219:AB1269))</f>
        <v>-0.13042092238206587</v>
      </c>
      <c r="AC1218" s="91">
        <f t="array" ref="AC1218">SUM(IF(ISERROR(AC1219:AC1269),"",AC1219:AC1269))</f>
        <v>-0.11548683495594625</v>
      </c>
      <c r="AD1218" s="91">
        <f t="array" ref="AD1218">SUM(IF(ISERROR(AD1219:AD1269),"",AD1219:AD1269))</f>
        <v>-9.9843378377085901E-2</v>
      </c>
      <c r="AE1218" s="91">
        <f t="array" ref="AE1218">SUM(IF(ISERROR(AE1219:AE1269),"",AE1219:AE1269))</f>
        <v>-8.3456857610729712E-2</v>
      </c>
      <c r="AF1218" s="91">
        <f t="array" ref="AF1218">SUM(IF(ISERROR(AF1219:AF1269),"",AF1219:AF1269))</f>
        <v>-6.6291977107971592E-2</v>
      </c>
      <c r="AG1218" s="91">
        <f t="array" ref="AG1218">SUM(IF(ISERROR(AG1219:AG1269),"",AG1219:AG1269))</f>
        <v>-4.8311764781332478E-2</v>
      </c>
      <c r="AH1218" s="91">
        <f t="array" ref="AH1218">SUM(IF(ISERROR(AH1219:AH1269),"",AH1219:AH1269))</f>
        <v>-2.9477492369177984E-2</v>
      </c>
      <c r="AI1218" s="91">
        <f t="array" ref="AI1218">SUM(IF(ISERROR(AI1219:AI1269),"",AI1219:AI1269))</f>
        <v>-2.0103954318596802E-2</v>
      </c>
      <c r="AJ1218" s="91">
        <f t="array" ref="AJ1218">SUM(IF(ISERROR(AJ1219:AJ1269),"",AJ1219:AJ1269))</f>
        <v>-1.0285173210613016E-2</v>
      </c>
      <c r="AK1218" s="91">
        <f t="array" ref="AK1218">SUM(IF(ISERROR(AK1219:AK1269),"",AK1219:AK1269))</f>
        <v>-0.33035810361573537</v>
      </c>
      <c r="AL1218" s="91">
        <f t="array" ref="AL1218">SUM(IF(ISERROR(AL1219:AL1269),"",AL1219:AL1269))</f>
        <v>-0.36270347079094573</v>
      </c>
      <c r="AM1218" s="91">
        <f t="array" ref="AM1218">SUM(IF(ISERROR(AM1219:AM1269),"",AM1219:AM1269))</f>
        <v>-1.146864178752607</v>
      </c>
      <c r="AN1218" s="91">
        <f t="array" ref="AN1218">SUM(IF(ISERROR(AN1219:AN1269),"",AN1219:AN1269))</f>
        <v>-1.5464815045205005</v>
      </c>
      <c r="AO1218" s="91">
        <f t="array" ref="AO1218">SUM(IF(ISERROR(AO1219:AO1269),"",AO1219:AO1269))</f>
        <v>-1.5580171307064363</v>
      </c>
      <c r="AP1218" s="91">
        <f t="array" ref="AP1218">SUM(IF(ISERROR(AP1219:AP1269),"",AP1219:AP1269))</f>
        <v>-1.8769770676859681</v>
      </c>
      <c r="AQ1218" s="91">
        <f t="array" ref="AQ1218">SUM(IF(ISERROR(AQ1219:AQ1269),"",AQ1219:AQ1269))</f>
        <v>-1.763404860127987</v>
      </c>
      <c r="AR1218" s="91">
        <f t="array" ref="AR1218">SUM(IF(ISERROR(AR1219:AR1269),"",AR1219:AR1269))</f>
        <v>-1.6444379727110023</v>
      </c>
      <c r="AS1218" s="91">
        <f t="array" ref="AS1218">SUM(IF(ISERROR(AS1219:AS1269),"",AS1219:AS1269))</f>
        <v>-1.5198201581417108</v>
      </c>
      <c r="AT1218" s="91">
        <f t="array" ref="AT1218">SUM(IF(ISERROR(AT1219:AT1269),"",AT1219:AT1269))</f>
        <v>-1.5861439605626713</v>
      </c>
      <c r="AU1218" s="91">
        <f t="array" ref="AU1218">SUM(IF(ISERROR(AU1219:AU1269),"",AU1219:AU1269))</f>
        <v>-1.4401102866624906</v>
      </c>
      <c r="AV1218" s="91">
        <f t="array" ref="AV1218">SUM(IF(ISERROR(AV1219:AV1269),"",AV1219:AV1269))</f>
        <v>-1.2871400132520514</v>
      </c>
      <c r="AW1218" s="91">
        <f t="array" ref="AW1218">SUM(IF(ISERROR(AW1219:AW1269),"",AW1219:AW1269))</f>
        <v>-1.7620478342440524</v>
      </c>
      <c r="AX1218" s="91">
        <f t="array" ref="AX1218">SUM(IF(ISERROR(AX1219:AX1269),"",AX1219:AX1269))</f>
        <v>-2.5225068054136806</v>
      </c>
      <c r="AY1218" s="91">
        <f t="array" ref="AY1218">SUM(IF(ISERROR(AY1219:AY1269),"",AY1219:AY1269))</f>
        <v>-3.4105043941252378</v>
      </c>
      <c r="AZ1218" s="91">
        <f t="array" ref="AZ1218">SUM(IF(ISERROR(AZ1219:AZ1269),"",AZ1219:AZ1269))</f>
        <v>-3.944119316282249</v>
      </c>
      <c r="BA1218" s="91">
        <f t="array" ref="BA1218">SUM(IF(ISERROR(BA1219:BA1269),"",BA1219:BA1269))</f>
        <v>-4.1574032834299155</v>
      </c>
      <c r="BB1218" s="91">
        <f t="array" ref="BB1218">SUM(IF(ISERROR(BB1219:BB1269),"",BB1219:BB1269))</f>
        <v>-3.7770442175538315</v>
      </c>
      <c r="BC1218" s="91">
        <f t="array" ref="BC1218">SUM(IF(ISERROR(BC1219:BC1269),"",BC1219:BC1269))</f>
        <v>-3.4546569658674589</v>
      </c>
      <c r="BD1218" s="91">
        <f t="array" ref="BD1218">SUM(IF(ISERROR(BD1219:BD1269),"",BD1219:BD1269))</f>
        <v>-3.1602451540504024</v>
      </c>
      <c r="BE1218" s="91">
        <f t="array" ref="BE1218">SUM(IF(ISERROR(BE1219:BE1269),"",BE1219:BE1269))</f>
        <v>-2.8606804643572046</v>
      </c>
      <c r="BF1218" s="91">
        <f t="array" ref="BF1218">SUM(IF(ISERROR(BF1219:BF1269),"",BF1219:BF1269))</f>
        <v>-2.5856223598917265</v>
      </c>
      <c r="BG1218" s="91">
        <f t="array" ref="BG1218">SUM(IF(ISERROR(BG1219:BG1269),"",BG1219:BG1269))</f>
        <v>-2.2974989954641392</v>
      </c>
      <c r="BH1218" s="91">
        <f t="array" ref="BH1218">SUM(IF(ISERROR(BH1219:BH1269),"",BH1219:BH1269))</f>
        <v>-1.9956897712262414</v>
      </c>
      <c r="BI1218" s="91">
        <f t="array" ref="BI1218">SUM(IF(ISERROR(BI1219:BI1269),"",BI1219:BI1269))</f>
        <v>-1.6795446088370429</v>
      </c>
      <c r="BJ1218" s="91">
        <f t="array" ref="BJ1218">SUM(IF(ISERROR(BJ1219:BJ1269),"",BJ1219:BJ1269))</f>
        <v>-1.367029444988201</v>
      </c>
      <c r="BK1218" s="91">
        <f t="array" ref="BK1218">SUM(IF(ISERROR(BK1219:BK1269),"",BK1219:BK1269))</f>
        <v>-1.039669810856539</v>
      </c>
      <c r="BL1218" s="91">
        <f t="array" ref="BL1218">SUM(IF(ISERROR(BL1219:BL1269),"",BL1219:BL1269))</f>
        <v>-0.6967605941036229</v>
      </c>
      <c r="BM1218" s="91">
        <f t="array" ref="BM1218">SUM(IF(ISERROR(BM1219:BM1269),"",BM1219:BM1269))</f>
        <v>-0.39772476702533494</v>
      </c>
      <c r="BN1218" s="91">
        <f t="array" ref="BN1218">SUM(IF(ISERROR(BN1219:BN1269),"",BN1219:BN1269))</f>
        <v>-0.17525588651593071</v>
      </c>
      <c r="BO1218" s="91">
        <f t="array" ref="BO1218">SUM(IF(ISERROR(BO1219:BO1269),"",BO1219:BO1269))</f>
        <v>-5.0247933236120076E-2</v>
      </c>
      <c r="BP1218" s="91">
        <f t="array" ref="BP1218">SUM(IF(ISERROR(BP1219:BP1269),"",BP1219:BP1269))</f>
        <v>0</v>
      </c>
    </row>
    <row r="1219" spans="1:77" ht="15.75" hidden="1" customHeight="1" outlineLevel="1">
      <c r="A1219" s="407"/>
      <c r="B1219" s="99"/>
      <c r="C1219" s="91">
        <f>IF($C$1110&gt;0,IPMT('Assumptions (Nuclear)'!$V$6,Model!W$1,'Assumptions (Nuclear)'!$V$9,'Assumptions (Nuclear)'!$V$4*Model!$C$1110*'Assumptions (Nuclear)'!$B$2/10^9),0)</f>
        <v>0</v>
      </c>
      <c r="D1219" s="91">
        <f>IF($C$1110&gt;0,IPMT('Assumptions (Nuclear)'!$V$6,Model!X$1,'Assumptions (Nuclear)'!$V$9,'Assumptions (Nuclear)'!$V$4*Model!$C$1110*'Assumptions (Nuclear)'!$B$2/10^9),0)</f>
        <v>0</v>
      </c>
      <c r="E1219" s="91">
        <f>IF($C$1110&gt;0,IPMT('Assumptions (Nuclear)'!$V$6,Model!Y$1,'Assumptions (Nuclear)'!$V$9,'Assumptions (Nuclear)'!$V$4*Model!$C$1110*'Assumptions (Nuclear)'!$B$2/10^9),0)</f>
        <v>0</v>
      </c>
      <c r="F1219" s="91">
        <f>IF($C$1110&gt;0,IPMT('Assumptions (Nuclear)'!$V$6,Model!Z$1,'Assumptions (Nuclear)'!$V$9,'Assumptions (Nuclear)'!$V$4*Model!$C$1110*'Assumptions (Nuclear)'!$B$2/10^9),0)</f>
        <v>0</v>
      </c>
      <c r="G1219" s="91">
        <f>IF($C$1110&gt;0,IPMT('Assumptions (Nuclear)'!$V$6,Model!AA$1,'Assumptions (Nuclear)'!$V$9,'Assumptions (Nuclear)'!$V$4*Model!$C$1110*'Assumptions (Nuclear)'!$B$2/10^9),0)</f>
        <v>0</v>
      </c>
      <c r="H1219" s="91">
        <f>IF($C$1110&gt;0,IPMT('Assumptions (Nuclear)'!$V$6,Model!AB$1,'Assumptions (Nuclear)'!$V$9,'Assumptions (Nuclear)'!$V$4*Model!$C$1110*'Assumptions (Nuclear)'!$B$2/10^9),0)</f>
        <v>0</v>
      </c>
      <c r="I1219" s="91">
        <f>IF($C$1110&gt;0,IPMT('Assumptions (Nuclear)'!$V$6,Model!AC$1,'Assumptions (Nuclear)'!$V$9,'Assumptions (Nuclear)'!$V$4*Model!$C$1110*'Assumptions (Nuclear)'!$B$2/10^9),0)</f>
        <v>0</v>
      </c>
      <c r="J1219" s="91">
        <f>IF($C$1110&gt;0,IPMT('Assumptions (Nuclear)'!$V$6,Model!AD$1,'Assumptions (Nuclear)'!$V$9,'Assumptions (Nuclear)'!$V$4*Model!$C$1110*'Assumptions (Nuclear)'!$B$2/10^9),0)</f>
        <v>0</v>
      </c>
      <c r="K1219" s="91">
        <f>IF($C$1110&gt;0,IPMT('Assumptions (Nuclear)'!$V$6,Model!AE$1,'Assumptions (Nuclear)'!$V$9,'Assumptions (Nuclear)'!$V$4*Model!$C$1110*'Assumptions (Nuclear)'!$B$2/10^9),0)</f>
        <v>0</v>
      </c>
      <c r="L1219" s="91">
        <f>IF($C$1110&gt;0,IPMT('Assumptions (Nuclear)'!$V$6,Model!AF$1,'Assumptions (Nuclear)'!$V$9,'Assumptions (Nuclear)'!$V$4*Model!$C$1110*'Assumptions (Nuclear)'!$B$2/10^9),0)</f>
        <v>0</v>
      </c>
      <c r="M1219" s="91">
        <f>IF($C$1110&gt;0,IPMT('Assumptions (Nuclear)'!$V$6,Model!AG$1,'Assumptions (Nuclear)'!$V$9,'Assumptions (Nuclear)'!$V$4*Model!$C$1110*'Assumptions (Nuclear)'!$B$2/10^9),0)</f>
        <v>0</v>
      </c>
      <c r="N1219" s="91">
        <f>IF($C$1110&gt;0,IPMT('Assumptions (Nuclear)'!$V$6,Model!AH$1,'Assumptions (Nuclear)'!$V$9,'Assumptions (Nuclear)'!$V$4*Model!$C$1110*'Assumptions (Nuclear)'!$B$2/10^9),0)</f>
        <v>0</v>
      </c>
      <c r="O1219" s="91">
        <f>IF($C$1110&gt;0,IPMT('Assumptions (Nuclear)'!$V$6,Model!AI$1,'Assumptions (Nuclear)'!$V$9,'Assumptions (Nuclear)'!$V$4*Model!$C$1110*'Assumptions (Nuclear)'!$B$2/10^9),0)</f>
        <v>0</v>
      </c>
      <c r="P1219" s="91">
        <f>IF($C$1110&gt;0,IPMT('Assumptions (Nuclear)'!$V$6,Model!AJ$1,'Assumptions (Nuclear)'!$V$9,'Assumptions (Nuclear)'!$V$4*Model!$C$1110*'Assumptions (Nuclear)'!$B$2/10^9),0)</f>
        <v>0</v>
      </c>
      <c r="Q1219" s="91">
        <f>IF($C$1110&gt;0,IPMT('Assumptions (Nuclear)'!$V$6,Model!AK$1,'Assumptions (Nuclear)'!$V$9,'Assumptions (Nuclear)'!$V$4*Model!$C$1110*'Assumptions (Nuclear)'!$B$2/10^9),0)</f>
        <v>0</v>
      </c>
      <c r="R1219" s="91"/>
      <c r="S1219" s="91"/>
      <c r="T1219" s="91"/>
      <c r="U1219" s="91"/>
      <c r="V1219" s="91"/>
      <c r="W1219" s="91"/>
      <c r="X1219" s="91"/>
      <c r="Y1219" s="91"/>
      <c r="Z1219" s="91"/>
      <c r="AA1219" s="91"/>
      <c r="AB1219" s="105"/>
      <c r="AC1219" s="105"/>
      <c r="AD1219" s="105"/>
      <c r="AE1219" s="105"/>
      <c r="AF1219" s="105"/>
      <c r="AG1219" s="105"/>
      <c r="AU1219" s="147"/>
      <c r="AV1219" s="147"/>
      <c r="AW1219" s="147"/>
      <c r="AX1219" s="147"/>
      <c r="AY1219" s="147"/>
      <c r="AZ1219" s="147"/>
      <c r="BA1219" s="147"/>
    </row>
    <row r="1220" spans="1:77" ht="15.75" hidden="1" customHeight="1" outlineLevel="1">
      <c r="A1220" s="407"/>
      <c r="B1220" s="99"/>
      <c r="C1220" s="105"/>
      <c r="D1220" s="91">
        <f>IF($D$1110&gt;0,IPMT('Assumptions (Nuclear)'!$V$6,Model!W$1,'Assumptions (Nuclear)'!$V$9,'Assumptions (Nuclear)'!$V$4*Model!$D$1110*'Assumptions (Nuclear)'!$B$2/10^9),0)</f>
        <v>0</v>
      </c>
      <c r="E1220" s="91">
        <f>IF($D$1110&gt;0,IPMT('Assumptions (Nuclear)'!$V$6,Model!X$1,'Assumptions (Nuclear)'!$V$9,'Assumptions (Nuclear)'!$V$4*Model!$D$1110*'Assumptions (Nuclear)'!$B$2/10^9),0)</f>
        <v>0</v>
      </c>
      <c r="F1220" s="91">
        <f>IF($D$1110&gt;0,IPMT('Assumptions (Nuclear)'!$V$6,Model!Y$1,'Assumptions (Nuclear)'!$V$9,'Assumptions (Nuclear)'!$V$4*Model!$D$1110*'Assumptions (Nuclear)'!$B$2/10^9),0)</f>
        <v>0</v>
      </c>
      <c r="G1220" s="91">
        <f>IF($D$1110&gt;0,IPMT('Assumptions (Nuclear)'!$V$6,Model!Z$1,'Assumptions (Nuclear)'!$V$9,'Assumptions (Nuclear)'!$V$4*Model!$D$1110*'Assumptions (Nuclear)'!$B$2/10^9),0)</f>
        <v>0</v>
      </c>
      <c r="H1220" s="91">
        <f>IF($D$1110&gt;0,IPMT('Assumptions (Nuclear)'!$V$6,Model!AA$1,'Assumptions (Nuclear)'!$V$9,'Assumptions (Nuclear)'!$V$4*Model!$D$1110*'Assumptions (Nuclear)'!$B$2/10^9),0)</f>
        <v>0</v>
      </c>
      <c r="I1220" s="91">
        <f>IF($D$1110&gt;0,IPMT('Assumptions (Nuclear)'!$V$6,Model!AB$1,'Assumptions (Nuclear)'!$V$9,'Assumptions (Nuclear)'!$V$4*Model!$D$1110*'Assumptions (Nuclear)'!$B$2/10^9),0)</f>
        <v>0</v>
      </c>
      <c r="J1220" s="91">
        <f>IF($D$1110&gt;0,IPMT('Assumptions (Nuclear)'!$V$6,Model!AC$1,'Assumptions (Nuclear)'!$V$9,'Assumptions (Nuclear)'!$V$4*Model!$D$1110*'Assumptions (Nuclear)'!$B$2/10^9),0)</f>
        <v>0</v>
      </c>
      <c r="K1220" s="91">
        <f>IF($D$1110&gt;0,IPMT('Assumptions (Nuclear)'!$V$6,Model!AD$1,'Assumptions (Nuclear)'!$V$9,'Assumptions (Nuclear)'!$V$4*Model!$D$1110*'Assumptions (Nuclear)'!$B$2/10^9),0)</f>
        <v>0</v>
      </c>
      <c r="L1220" s="91">
        <f>IF($D$1110&gt;0,IPMT('Assumptions (Nuclear)'!$V$6,Model!AE$1,'Assumptions (Nuclear)'!$V$9,'Assumptions (Nuclear)'!$V$4*Model!$D$1110*'Assumptions (Nuclear)'!$B$2/10^9),0)</f>
        <v>0</v>
      </c>
      <c r="M1220" s="91">
        <f>IF($D$1110&gt;0,IPMT('Assumptions (Nuclear)'!$V$6,Model!AF$1,'Assumptions (Nuclear)'!$V$9,'Assumptions (Nuclear)'!$V$4*Model!$D$1110*'Assumptions (Nuclear)'!$B$2/10^9),0)</f>
        <v>0</v>
      </c>
      <c r="N1220" s="91">
        <f>IF($D$1110&gt;0,IPMT('Assumptions (Nuclear)'!$V$6,Model!AG$1,'Assumptions (Nuclear)'!$V$9,'Assumptions (Nuclear)'!$V$4*Model!$D$1110*'Assumptions (Nuclear)'!$B$2/10^9),0)</f>
        <v>0</v>
      </c>
      <c r="O1220" s="91">
        <f>IF($D$1110&gt;0,IPMT('Assumptions (Nuclear)'!$V$6,Model!AH$1,'Assumptions (Nuclear)'!$V$9,'Assumptions (Nuclear)'!$V$4*Model!$D$1110*'Assumptions (Nuclear)'!$B$2/10^9),0)</f>
        <v>0</v>
      </c>
      <c r="P1220" s="91">
        <f>IF($D$1110&gt;0,IPMT('Assumptions (Nuclear)'!$V$6,Model!AI$1,'Assumptions (Nuclear)'!$V$9,'Assumptions (Nuclear)'!$V$4*Model!$D$1110*'Assumptions (Nuclear)'!$B$2/10^9),0)</f>
        <v>0</v>
      </c>
      <c r="Q1220" s="91">
        <f>IF($D$1110&gt;0,IPMT('Assumptions (Nuclear)'!$V$6,Model!AJ$1,'Assumptions (Nuclear)'!$V$9,'Assumptions (Nuclear)'!$V$4*Model!$D$1110*'Assumptions (Nuclear)'!$B$2/10^9),0)</f>
        <v>0</v>
      </c>
      <c r="R1220" s="91">
        <f>IF($D$1110&gt;0,IPMT('Assumptions (Nuclear)'!$V$6,Model!AK$1,'Assumptions (Nuclear)'!$V$9,'Assumptions (Nuclear)'!$V$4*Model!$D$1110*'Assumptions (Nuclear)'!$B$2/10^9),0)</f>
        <v>0</v>
      </c>
      <c r="S1220" s="91"/>
      <c r="T1220" s="91"/>
      <c r="U1220" s="91"/>
      <c r="V1220" s="91"/>
      <c r="W1220" s="91"/>
      <c r="X1220" s="91"/>
      <c r="Y1220" s="91"/>
      <c r="Z1220" s="91"/>
      <c r="AA1220" s="91"/>
      <c r="AB1220" s="91"/>
      <c r="AC1220" s="105"/>
      <c r="AD1220" s="105"/>
      <c r="AE1220" s="105"/>
      <c r="AF1220" s="105"/>
      <c r="AG1220" s="105"/>
      <c r="AU1220" s="147"/>
      <c r="AV1220" s="147"/>
      <c r="AW1220" s="147"/>
      <c r="AX1220" s="147"/>
      <c r="AY1220" s="147"/>
      <c r="AZ1220" s="147"/>
      <c r="BA1220" s="147"/>
    </row>
    <row r="1221" spans="1:77" ht="15.75" hidden="1" customHeight="1" outlineLevel="1">
      <c r="A1221" s="407"/>
      <c r="B1221" s="99"/>
      <c r="C1221" s="105"/>
      <c r="D1221" s="105"/>
      <c r="E1221" s="105">
        <f>IF($E$1110&gt;0,IPMT('Assumptions (Nuclear)'!$V$6,Model!W$1,'Assumptions (Nuclear)'!$V$9,'Assumptions (Nuclear)'!$V$4*Model!$E$1110*AVERAGE('Assumptions (Nuclear)'!$B$2:$C$2)/10^9),0)</f>
        <v>0</v>
      </c>
      <c r="F1221" s="105">
        <f>IF($E$1110&gt;0,IPMT('Assumptions (Nuclear)'!$V$6,Model!X$1,'Assumptions (Nuclear)'!$V$9,'Assumptions (Nuclear)'!$V$4*Model!$E$1110*AVERAGE('Assumptions (Nuclear)'!$B$2:$C$2)/10^9),0)</f>
        <v>0</v>
      </c>
      <c r="G1221" s="105">
        <f>IF($E$1110&gt;0,IPMT('Assumptions (Nuclear)'!$V$6,Model!Y$1,'Assumptions (Nuclear)'!$V$9,'Assumptions (Nuclear)'!$V$4*Model!$E$1110*AVERAGE('Assumptions (Nuclear)'!$B$2:$C$2)/10^9),0)</f>
        <v>0</v>
      </c>
      <c r="H1221" s="105">
        <f>IF($E$1110&gt;0,IPMT('Assumptions (Nuclear)'!$V$6,Model!Z$1,'Assumptions (Nuclear)'!$V$9,'Assumptions (Nuclear)'!$V$4*Model!$E$1110*AVERAGE('Assumptions (Nuclear)'!$B$2:$C$2)/10^9),0)</f>
        <v>0</v>
      </c>
      <c r="I1221" s="105">
        <f>IF($E$1110&gt;0,IPMT('Assumptions (Nuclear)'!$V$6,Model!AA$1,'Assumptions (Nuclear)'!$V$9,'Assumptions (Nuclear)'!$V$4*Model!$E$1110*AVERAGE('Assumptions (Nuclear)'!$B$2:$C$2)/10^9),0)</f>
        <v>0</v>
      </c>
      <c r="J1221" s="105">
        <f>IF($E$1110&gt;0,IPMT('Assumptions (Nuclear)'!$V$6,Model!AB$1,'Assumptions (Nuclear)'!$V$9,'Assumptions (Nuclear)'!$V$4*Model!$E$1110*AVERAGE('Assumptions (Nuclear)'!$B$2:$C$2)/10^9),0)</f>
        <v>0</v>
      </c>
      <c r="K1221" s="105">
        <f>IF($E$1110&gt;0,IPMT('Assumptions (Nuclear)'!$V$6,Model!AC$1,'Assumptions (Nuclear)'!$V$9,'Assumptions (Nuclear)'!$V$4*Model!$E$1110*AVERAGE('Assumptions (Nuclear)'!$B$2:$C$2)/10^9),0)</f>
        <v>0</v>
      </c>
      <c r="L1221" s="105">
        <f>IF($E$1110&gt;0,IPMT('Assumptions (Nuclear)'!$V$6,Model!AD$1,'Assumptions (Nuclear)'!$V$9,'Assumptions (Nuclear)'!$V$4*Model!$E$1110*AVERAGE('Assumptions (Nuclear)'!$B$2:$C$2)/10^9),0)</f>
        <v>0</v>
      </c>
      <c r="M1221" s="105">
        <f>IF($E$1110&gt;0,IPMT('Assumptions (Nuclear)'!$V$6,Model!AE$1,'Assumptions (Nuclear)'!$V$9,'Assumptions (Nuclear)'!$V$4*Model!$E$1110*AVERAGE('Assumptions (Nuclear)'!$B$2:$C$2)/10^9),0)</f>
        <v>0</v>
      </c>
      <c r="N1221" s="91">
        <f>IF($E$1110&gt;0,IPMT('Assumptions (Nuclear)'!$V$6,Model!AF$1,'Assumptions (Nuclear)'!$V$9,'Assumptions (Nuclear)'!$V$4*Model!$E$1110*AVERAGE('Assumptions (Nuclear)'!$B$2:$C$2)/10^9),0)</f>
        <v>0</v>
      </c>
      <c r="O1221" s="105">
        <f>IF($E$1110&gt;0,IPMT('Assumptions (Nuclear)'!$V$6,Model!AG$1,'Assumptions (Nuclear)'!$V$9,'Assumptions (Nuclear)'!$V$4*Model!$E$1110*AVERAGE('Assumptions (Nuclear)'!$B$2:$C$2)/10^9),0)</f>
        <v>0</v>
      </c>
      <c r="P1221" s="105">
        <f>IF($E$1110&gt;0,IPMT('Assumptions (Nuclear)'!$V$6,Model!AH$1,'Assumptions (Nuclear)'!$V$9,'Assumptions (Nuclear)'!$V$4*Model!$E$1110*AVERAGE('Assumptions (Nuclear)'!$B$2:$C$2)/10^9),0)</f>
        <v>0</v>
      </c>
      <c r="Q1221" s="105">
        <f>IF($E$1110&gt;0,IPMT('Assumptions (Nuclear)'!$V$6,Model!AI$1,'Assumptions (Nuclear)'!$V$9,'Assumptions (Nuclear)'!$V$4*Model!$E$1110*AVERAGE('Assumptions (Nuclear)'!$B$2:$C$2)/10^9),0)</f>
        <v>0</v>
      </c>
      <c r="R1221" s="105">
        <f>IF($E$1110&gt;0,IPMT('Assumptions (Nuclear)'!$V$6,Model!AJ$1,'Assumptions (Nuclear)'!$V$9,'Assumptions (Nuclear)'!$V$4*Model!$E$1110*AVERAGE('Assumptions (Nuclear)'!$B$2:$C$2)/10^9),0)</f>
        <v>0</v>
      </c>
      <c r="S1221" s="105">
        <f>IF($E$1110&gt;0,IPMT('Assumptions (Nuclear)'!$V$6,Model!AK$1,'Assumptions (Nuclear)'!$V$9,'Assumptions (Nuclear)'!$V$4*Model!$E$1110*AVERAGE('Assumptions (Nuclear)'!$B$2:$C$2)/10^9),0)</f>
        <v>0</v>
      </c>
      <c r="T1221" s="105"/>
      <c r="U1221" s="105"/>
      <c r="V1221" s="105"/>
      <c r="W1221" s="105"/>
      <c r="X1221" s="105"/>
      <c r="Y1221" s="105"/>
      <c r="Z1221" s="105"/>
      <c r="AA1221" s="105"/>
      <c r="AB1221" s="105"/>
      <c r="AC1221" s="105"/>
      <c r="AD1221" s="105"/>
      <c r="AE1221" s="105"/>
      <c r="AF1221" s="105"/>
      <c r="AG1221" s="105"/>
      <c r="AU1221" s="147"/>
      <c r="AV1221" s="147"/>
      <c r="AW1221" s="147"/>
      <c r="AX1221" s="147"/>
      <c r="AY1221" s="147"/>
      <c r="AZ1221" s="147"/>
      <c r="BA1221" s="147"/>
    </row>
    <row r="1222" spans="1:77" ht="15.75" hidden="1" customHeight="1" outlineLevel="1">
      <c r="A1222" s="407"/>
      <c r="B1222" s="99"/>
      <c r="C1222" s="105"/>
      <c r="D1222" s="105"/>
      <c r="E1222" s="105"/>
      <c r="F1222" s="105">
        <f>IF($F$1110&gt;0,IPMT('Assumptions (Nuclear)'!$V$6,Model!W$1,'Assumptions (Nuclear)'!$V$9,'Assumptions (Nuclear)'!$V$4*Model!$F$1110*AVERAGE('Assumptions (Nuclear)'!$B$2:$D$2)/10^9),0)</f>
        <v>0</v>
      </c>
      <c r="G1222" s="105">
        <f>IF($F$1110&gt;0,IPMT('Assumptions (Nuclear)'!$V$6,Model!X$1,'Assumptions (Nuclear)'!$V$9,'Assumptions (Nuclear)'!$V$4*Model!$F$1110*AVERAGE('Assumptions (Nuclear)'!$B$2:$D$2)/10^9),0)</f>
        <v>0</v>
      </c>
      <c r="H1222" s="105">
        <f>IF($F$1110&gt;0,IPMT('Assumptions (Nuclear)'!$V$6,Model!Y$1,'Assumptions (Nuclear)'!$V$9,'Assumptions (Nuclear)'!$V$4*Model!$F$1110*AVERAGE('Assumptions (Nuclear)'!$B$2:$D$2)/10^9),0)</f>
        <v>0</v>
      </c>
      <c r="I1222" s="105">
        <f>IF($F$1110&gt;0,IPMT('Assumptions (Nuclear)'!$V$6,Model!Z$1,'Assumptions (Nuclear)'!$V$9,'Assumptions (Nuclear)'!$V$4*Model!$F$1110*AVERAGE('Assumptions (Nuclear)'!$B$2:$D$2)/10^9),0)</f>
        <v>0</v>
      </c>
      <c r="J1222" s="105">
        <f>IF($F$1110&gt;0,IPMT('Assumptions (Nuclear)'!$V$6,Model!AA$1,'Assumptions (Nuclear)'!$V$9,'Assumptions (Nuclear)'!$V$4*Model!$F$1110*AVERAGE('Assumptions (Nuclear)'!$B$2:$D$2)/10^9),0)</f>
        <v>0</v>
      </c>
      <c r="K1222" s="105">
        <f>IF($F$1110&gt;0,IPMT('Assumptions (Nuclear)'!$V$6,Model!AB$1,'Assumptions (Nuclear)'!$V$9,'Assumptions (Nuclear)'!$V$4*Model!$F$1110*AVERAGE('Assumptions (Nuclear)'!$B$2:$D$2)/10^9),0)</f>
        <v>0</v>
      </c>
      <c r="L1222" s="105">
        <f>IF($F$1110&gt;0,IPMT('Assumptions (Nuclear)'!$V$6,Model!AC$1,'Assumptions (Nuclear)'!$V$9,'Assumptions (Nuclear)'!$V$4*Model!$F$1110*AVERAGE('Assumptions (Nuclear)'!$B$2:$D$2)/10^9),0)</f>
        <v>0</v>
      </c>
      <c r="M1222" s="105">
        <f>IF($F$1110&gt;0,IPMT('Assumptions (Nuclear)'!$V$6,Model!AD$1,'Assumptions (Nuclear)'!$V$9,'Assumptions (Nuclear)'!$V$4*Model!$F$1110*AVERAGE('Assumptions (Nuclear)'!$B$2:$D$2)/10^9),0)</f>
        <v>0</v>
      </c>
      <c r="N1222" s="91">
        <f>IF($F$1110&gt;0,IPMT('Assumptions (Nuclear)'!$V$6,Model!AE$1,'Assumptions (Nuclear)'!$V$9,'Assumptions (Nuclear)'!$V$4*Model!$F$1110*AVERAGE('Assumptions (Nuclear)'!$B$2:$D$2)/10^9),0)</f>
        <v>0</v>
      </c>
      <c r="O1222" s="105">
        <f>IF($F$1110&gt;0,IPMT('Assumptions (Nuclear)'!$V$6,Model!AF$1,'Assumptions (Nuclear)'!$V$9,'Assumptions (Nuclear)'!$V$4*Model!$F$1110*AVERAGE('Assumptions (Nuclear)'!$B$2:$D$2)/10^9),0)</f>
        <v>0</v>
      </c>
      <c r="P1222" s="105">
        <f>IF($F$1110&gt;0,IPMT('Assumptions (Nuclear)'!$V$6,Model!AG$1,'Assumptions (Nuclear)'!$V$9,'Assumptions (Nuclear)'!$V$4*Model!$F$1110*AVERAGE('Assumptions (Nuclear)'!$B$2:$D$2)/10^9),0)</f>
        <v>0</v>
      </c>
      <c r="Q1222" s="105">
        <f>IF($F$1110&gt;0,IPMT('Assumptions (Nuclear)'!$V$6,Model!AH$1,'Assumptions (Nuclear)'!$V$9,'Assumptions (Nuclear)'!$V$4*Model!$F$1110*AVERAGE('Assumptions (Nuclear)'!$B$2:$D$2)/10^9),0)</f>
        <v>0</v>
      </c>
      <c r="R1222" s="105">
        <f>IF($F$1110&gt;0,IPMT('Assumptions (Nuclear)'!$V$6,Model!AI$1,'Assumptions (Nuclear)'!$V$9,'Assumptions (Nuclear)'!$V$4*Model!$F$1110*AVERAGE('Assumptions (Nuclear)'!$B$2:$D$2)/10^9),0)</f>
        <v>0</v>
      </c>
      <c r="S1222" s="105">
        <f>IF($F$1110&gt;0,IPMT('Assumptions (Nuclear)'!$V$6,Model!AJ$1,'Assumptions (Nuclear)'!$V$9,'Assumptions (Nuclear)'!$V$4*Model!$F$1110*AVERAGE('Assumptions (Nuclear)'!$B$2:$D$2)/10^9),0)</f>
        <v>0</v>
      </c>
      <c r="T1222" s="105">
        <f>IF($F$1110&gt;0,IPMT('Assumptions (Nuclear)'!$V$6,Model!AK$1,'Assumptions (Nuclear)'!$V$9,'Assumptions (Nuclear)'!$V$4*Model!$F$1110*AVERAGE('Assumptions (Nuclear)'!$B$2:$D$2)/10^9),0)</f>
        <v>0</v>
      </c>
      <c r="U1222" s="105"/>
      <c r="V1222" s="105"/>
      <c r="W1222" s="105"/>
      <c r="X1222" s="105"/>
      <c r="Y1222" s="105"/>
      <c r="Z1222" s="105"/>
      <c r="AA1222" s="105"/>
      <c r="AB1222" s="105"/>
      <c r="AC1222" s="105"/>
      <c r="AD1222" s="105"/>
      <c r="AE1222" s="105"/>
      <c r="AF1222" s="105"/>
      <c r="AG1222" s="105"/>
      <c r="AU1222" s="147"/>
      <c r="AV1222" s="147"/>
      <c r="AW1222" s="147"/>
      <c r="AX1222" s="147"/>
      <c r="AY1222" s="147"/>
      <c r="AZ1222" s="147"/>
      <c r="BA1222" s="147"/>
    </row>
    <row r="1223" spans="1:77" ht="15.75" hidden="1" customHeight="1" outlineLevel="1">
      <c r="A1223" s="407"/>
      <c r="B1223" s="99"/>
      <c r="C1223" s="105"/>
      <c r="D1223" s="105"/>
      <c r="E1223" s="105"/>
      <c r="F1223" s="105"/>
      <c r="G1223" s="105">
        <f>IF($G$1110&gt;0,IPMT('Assumptions (Nuclear)'!$V$6,Model!W$1,'Assumptions (Nuclear)'!$V$9,'Assumptions (Nuclear)'!$V$4*Model!$G$1110*AVERAGE('Assumptions (Nuclear)'!$B$2:$E$2)/10^9),0)</f>
        <v>0</v>
      </c>
      <c r="H1223" s="105">
        <f>IF($G$1110&gt;0,IPMT('Assumptions (Nuclear)'!$V$6,Model!X$1,'Assumptions (Nuclear)'!$V$9,'Assumptions (Nuclear)'!$V$4*Model!$G$1110*AVERAGE('Assumptions (Nuclear)'!$B$2:$E$2)/10^9),0)</f>
        <v>0</v>
      </c>
      <c r="I1223" s="105">
        <f>IF($G$1110&gt;0,IPMT('Assumptions (Nuclear)'!$V$6,Model!Y$1,'Assumptions (Nuclear)'!$V$9,'Assumptions (Nuclear)'!$V$4*Model!$G$1110*AVERAGE('Assumptions (Nuclear)'!$B$2:$E$2)/10^9),0)</f>
        <v>0</v>
      </c>
      <c r="J1223" s="105">
        <f>IF($G$1110&gt;0,IPMT('Assumptions (Nuclear)'!$V$6,Model!Z$1,'Assumptions (Nuclear)'!$V$9,'Assumptions (Nuclear)'!$V$4*Model!$G$1110*AVERAGE('Assumptions (Nuclear)'!$B$2:$E$2)/10^9),0)</f>
        <v>0</v>
      </c>
      <c r="K1223" s="105">
        <f>IF($G$1110&gt;0,IPMT('Assumptions (Nuclear)'!$V$6,Model!AA$1,'Assumptions (Nuclear)'!$V$9,'Assumptions (Nuclear)'!$V$4*Model!$G$1110*AVERAGE('Assumptions (Nuclear)'!$B$2:$E$2)/10^9),0)</f>
        <v>0</v>
      </c>
      <c r="L1223" s="105">
        <f>IF($G$1110&gt;0,IPMT('Assumptions (Nuclear)'!$V$6,Model!AB$1,'Assumptions (Nuclear)'!$V$9,'Assumptions (Nuclear)'!$V$4*Model!$G$1110*AVERAGE('Assumptions (Nuclear)'!$B$2:$E$2)/10^9),0)</f>
        <v>0</v>
      </c>
      <c r="M1223" s="105">
        <f>IF($G$1110&gt;0,IPMT('Assumptions (Nuclear)'!$V$6,Model!AC$1,'Assumptions (Nuclear)'!$V$9,'Assumptions (Nuclear)'!$V$4*Model!$G$1110*AVERAGE('Assumptions (Nuclear)'!$B$2:$E$2)/10^9),0)</f>
        <v>0</v>
      </c>
      <c r="N1223" s="91">
        <f>IF($G$1110&gt;0,IPMT('Assumptions (Nuclear)'!$V$6,Model!AD$1,'Assumptions (Nuclear)'!$V$9,'Assumptions (Nuclear)'!$V$4*Model!$G$1110*AVERAGE('Assumptions (Nuclear)'!$B$2:$E$2)/10^9),0)</f>
        <v>0</v>
      </c>
      <c r="O1223" s="105">
        <f>IF($G$1110&gt;0,IPMT('Assumptions (Nuclear)'!$V$6,Model!AE$1,'Assumptions (Nuclear)'!$V$9,'Assumptions (Nuclear)'!$V$4*Model!$G$1110*AVERAGE('Assumptions (Nuclear)'!$B$2:$E$2)/10^9),0)</f>
        <v>0</v>
      </c>
      <c r="P1223" s="105">
        <f>IF($G$1110&gt;0,IPMT('Assumptions (Nuclear)'!$V$6,Model!AF$1,'Assumptions (Nuclear)'!$V$9,'Assumptions (Nuclear)'!$V$4*Model!$G$1110*AVERAGE('Assumptions (Nuclear)'!$B$2:$E$2)/10^9),0)</f>
        <v>0</v>
      </c>
      <c r="Q1223" s="105">
        <f>IF($G$1110&gt;0,IPMT('Assumptions (Nuclear)'!$V$6,Model!AG$1,'Assumptions (Nuclear)'!$V$9,'Assumptions (Nuclear)'!$V$4*Model!$G$1110*AVERAGE('Assumptions (Nuclear)'!$B$2:$E$2)/10^9),0)</f>
        <v>0</v>
      </c>
      <c r="R1223" s="105">
        <f>IF($G$1110&gt;0,IPMT('Assumptions (Nuclear)'!$V$6,Model!AH$1,'Assumptions (Nuclear)'!$V$9,'Assumptions (Nuclear)'!$V$4*Model!$G$1110*AVERAGE('Assumptions (Nuclear)'!$B$2:$E$2)/10^9),0)</f>
        <v>0</v>
      </c>
      <c r="S1223" s="105">
        <f>IF($G$1110&gt;0,IPMT('Assumptions (Nuclear)'!$V$6,Model!AI$1,'Assumptions (Nuclear)'!$V$9,'Assumptions (Nuclear)'!$V$4*Model!$G$1110*AVERAGE('Assumptions (Nuclear)'!$B$2:$E$2)/10^9),0)</f>
        <v>0</v>
      </c>
      <c r="T1223" s="105">
        <f>IF($G$1110&gt;0,IPMT('Assumptions (Nuclear)'!$V$6,Model!AJ$1,'Assumptions (Nuclear)'!$V$9,'Assumptions (Nuclear)'!$V$4*Model!$G$1110*AVERAGE('Assumptions (Nuclear)'!$B$2:$E$2)/10^9),0)</f>
        <v>0</v>
      </c>
      <c r="U1223" s="105">
        <f>IF($G$1110&gt;0,IPMT('Assumptions (Nuclear)'!$V$6,Model!AK$1,'Assumptions (Nuclear)'!$V$9,'Assumptions (Nuclear)'!$V$4*Model!$G$1110*AVERAGE('Assumptions (Nuclear)'!$B$2:$E$2)/10^9),0)</f>
        <v>0</v>
      </c>
      <c r="V1223" s="105"/>
      <c r="W1223" s="105"/>
      <c r="X1223" s="105"/>
      <c r="Y1223" s="105"/>
      <c r="Z1223" s="105"/>
      <c r="AA1223" s="105"/>
      <c r="AB1223" s="105"/>
      <c r="AC1223" s="105"/>
      <c r="AD1223" s="105"/>
      <c r="AE1223" s="105"/>
      <c r="AF1223" s="105"/>
      <c r="AG1223" s="105"/>
      <c r="AU1223" s="147"/>
      <c r="AV1223" s="147"/>
      <c r="AW1223" s="147"/>
      <c r="AX1223" s="147"/>
      <c r="AY1223" s="147"/>
      <c r="AZ1223" s="147"/>
      <c r="BA1223" s="147"/>
    </row>
    <row r="1224" spans="1:77" ht="15.75" hidden="1" customHeight="1" outlineLevel="1">
      <c r="A1224" s="407"/>
      <c r="B1224" s="99"/>
      <c r="C1224" s="105"/>
      <c r="D1224" s="105"/>
      <c r="E1224" s="105"/>
      <c r="F1224" s="105"/>
      <c r="G1224" s="105"/>
      <c r="H1224" s="105">
        <f>IF($H$1110&gt;0,IPMT('Assumptions (Nuclear)'!$V$6,Model!W$1,'Assumptions (Nuclear)'!$V$9,'Assumptions (Nuclear)'!$V$4*Model!$H$1110*AVERAGE('Assumptions (Nuclear)'!$B$2:$F$2)/10^9),0)</f>
        <v>0</v>
      </c>
      <c r="I1224" s="105">
        <f>IF($H$1110&gt;0,IPMT('Assumptions (Nuclear)'!$V$6,Model!X$1,'Assumptions (Nuclear)'!$V$9,'Assumptions (Nuclear)'!$V$4*Model!$H$1110*AVERAGE('Assumptions (Nuclear)'!$B$2:$F$2)/10^9),0)</f>
        <v>0</v>
      </c>
      <c r="J1224" s="105">
        <f>IF($H$1110&gt;0,IPMT('Assumptions (Nuclear)'!$V$6,Model!Y$1,'Assumptions (Nuclear)'!$V$9,'Assumptions (Nuclear)'!$V$4*Model!$H$1110*AVERAGE('Assumptions (Nuclear)'!$B$2:$F$2)/10^9),0)</f>
        <v>0</v>
      </c>
      <c r="K1224" s="105">
        <f>IF($H$1110&gt;0,IPMT('Assumptions (Nuclear)'!$V$6,Model!Z$1,'Assumptions (Nuclear)'!$V$9,'Assumptions (Nuclear)'!$V$4*Model!$H$1110*AVERAGE('Assumptions (Nuclear)'!$B$2:$F$2)/10^9),0)</f>
        <v>0</v>
      </c>
      <c r="L1224" s="105">
        <f>IF($H$1110&gt;0,IPMT('Assumptions (Nuclear)'!$V$6,Model!AA$1,'Assumptions (Nuclear)'!$V$9,'Assumptions (Nuclear)'!$V$4*Model!$H$1110*AVERAGE('Assumptions (Nuclear)'!$B$2:$F$2)/10^9),0)</f>
        <v>0</v>
      </c>
      <c r="M1224" s="105">
        <f>IF($H$1110&gt;0,IPMT('Assumptions (Nuclear)'!$V$6,Model!AB$1,'Assumptions (Nuclear)'!$V$9,'Assumptions (Nuclear)'!$V$4*Model!$H$1110*AVERAGE('Assumptions (Nuclear)'!$B$2:$F$2)/10^9),0)</f>
        <v>0</v>
      </c>
      <c r="N1224" s="91">
        <f>IF($H$1110&gt;0,IPMT('Assumptions (Nuclear)'!$V$6,Model!AC$1,'Assumptions (Nuclear)'!$V$9,'Assumptions (Nuclear)'!$V$4*Model!$H$1110*AVERAGE('Assumptions (Nuclear)'!$B$2:$F$2)/10^9),0)</f>
        <v>0</v>
      </c>
      <c r="O1224" s="105">
        <f>IF($H$1110&gt;0,IPMT('Assumptions (Nuclear)'!$V$6,Model!AD$1,'Assumptions (Nuclear)'!$V$9,'Assumptions (Nuclear)'!$V$4*Model!$H$1110*AVERAGE('Assumptions (Nuclear)'!$B$2:$F$2)/10^9),0)</f>
        <v>0</v>
      </c>
      <c r="P1224" s="105">
        <f>IF($H$1110&gt;0,IPMT('Assumptions (Nuclear)'!$V$6,Model!AE$1,'Assumptions (Nuclear)'!$V$9,'Assumptions (Nuclear)'!$V$4*Model!$H$1110*AVERAGE('Assumptions (Nuclear)'!$B$2:$F$2)/10^9),0)</f>
        <v>0</v>
      </c>
      <c r="Q1224" s="105">
        <f>IF($H$1110&gt;0,IPMT('Assumptions (Nuclear)'!$V$6,Model!AF$1,'Assumptions (Nuclear)'!$V$9,'Assumptions (Nuclear)'!$V$4*Model!$H$1110*AVERAGE('Assumptions (Nuclear)'!$B$2:$F$2)/10^9),0)</f>
        <v>0</v>
      </c>
      <c r="R1224" s="105">
        <f>IF($H$1110&gt;0,IPMT('Assumptions (Nuclear)'!$V$6,Model!AG$1,'Assumptions (Nuclear)'!$V$9,'Assumptions (Nuclear)'!$V$4*Model!$H$1110*AVERAGE('Assumptions (Nuclear)'!$B$2:$F$2)/10^9),0)</f>
        <v>0</v>
      </c>
      <c r="S1224" s="105">
        <f>IF($H$1110&gt;0,IPMT('Assumptions (Nuclear)'!$V$6,Model!AH$1,'Assumptions (Nuclear)'!$V$9,'Assumptions (Nuclear)'!$V$4*Model!$H$1110*AVERAGE('Assumptions (Nuclear)'!$B$2:$F$2)/10^9),0)</f>
        <v>0</v>
      </c>
      <c r="T1224" s="105">
        <f>IF($H$1110&gt;0,IPMT('Assumptions (Nuclear)'!$V$6,Model!AI$1,'Assumptions (Nuclear)'!$V$9,'Assumptions (Nuclear)'!$V$4*Model!$H$1110*AVERAGE('Assumptions (Nuclear)'!$B$2:$F$2)/10^9),0)</f>
        <v>0</v>
      </c>
      <c r="U1224" s="105">
        <f>IF($H$1110&gt;0,IPMT('Assumptions (Nuclear)'!$V$6,Model!AJ$1,'Assumptions (Nuclear)'!$V$9,'Assumptions (Nuclear)'!$V$4*Model!$H$1110*AVERAGE('Assumptions (Nuclear)'!$B$2:$F$2)/10^9),0)</f>
        <v>0</v>
      </c>
      <c r="V1224" s="105">
        <f>IF($H$1110&gt;0,IPMT('Assumptions (Nuclear)'!$V$6,Model!AK$1,'Assumptions (Nuclear)'!$V$9,'Assumptions (Nuclear)'!$V$4*Model!$H$1110*AVERAGE('Assumptions (Nuclear)'!$B$2:$F$2)/10^9),0)</f>
        <v>0</v>
      </c>
      <c r="W1224" s="105"/>
      <c r="X1224" s="105"/>
      <c r="Y1224" s="105"/>
      <c r="Z1224" s="105"/>
      <c r="AA1224" s="105"/>
      <c r="AB1224" s="105"/>
      <c r="AC1224" s="105"/>
      <c r="AD1224" s="105"/>
      <c r="AE1224" s="105"/>
      <c r="AF1224" s="105"/>
      <c r="AG1224" s="105"/>
      <c r="AU1224" s="147"/>
      <c r="AV1224" s="147"/>
      <c r="AW1224" s="147"/>
      <c r="AX1224" s="147"/>
      <c r="AY1224" s="147"/>
      <c r="AZ1224" s="147"/>
      <c r="BA1224" s="147"/>
    </row>
    <row r="1225" spans="1:77" ht="15.75" hidden="1" customHeight="1" outlineLevel="1">
      <c r="A1225" s="407"/>
      <c r="B1225" s="99"/>
      <c r="C1225" s="105"/>
      <c r="D1225" s="105"/>
      <c r="E1225" s="105"/>
      <c r="F1225" s="105"/>
      <c r="G1225" s="105"/>
      <c r="H1225" s="105"/>
      <c r="I1225" s="105">
        <f>IF($I$1110&gt;0,IPMT('Assumptions (Nuclear)'!$V$6,Model!W$1,'Assumptions (Nuclear)'!$V$9,'Assumptions (Nuclear)'!$V$4*Model!$I$1110*AVERAGE('Assumptions (Nuclear)'!$B$2:$G$2)/10^9),0)</f>
        <v>0</v>
      </c>
      <c r="J1225" s="105">
        <f>IF($I$1110&gt;0,IPMT('Assumptions (Nuclear)'!$V$6,Model!X$1,'Assumptions (Nuclear)'!$V$9,'Assumptions (Nuclear)'!$V$4*Model!$I$1110*AVERAGE('Assumptions (Nuclear)'!$B$2:$G$2)/10^9),0)</f>
        <v>0</v>
      </c>
      <c r="K1225" s="105">
        <f>IF($I$1110&gt;0,IPMT('Assumptions (Nuclear)'!$V$6,Model!Y$1,'Assumptions (Nuclear)'!$V$9,'Assumptions (Nuclear)'!$V$4*Model!$I$1110*AVERAGE('Assumptions (Nuclear)'!$B$2:$G$2)/10^9),0)</f>
        <v>0</v>
      </c>
      <c r="L1225" s="105">
        <f>IF($I$1110&gt;0,IPMT('Assumptions (Nuclear)'!$V$6,Model!Z$1,'Assumptions (Nuclear)'!$V$9,'Assumptions (Nuclear)'!$V$4*Model!$I$1110*AVERAGE('Assumptions (Nuclear)'!$B$2:$G$2)/10^9),0)</f>
        <v>0</v>
      </c>
      <c r="M1225" s="105">
        <f>IF($I$1110&gt;0,IPMT('Assumptions (Nuclear)'!$V$6,Model!AA$1,'Assumptions (Nuclear)'!$V$9,'Assumptions (Nuclear)'!$V$4*Model!$I$1110*AVERAGE('Assumptions (Nuclear)'!$B$2:$G$2)/10^9),0)</f>
        <v>0</v>
      </c>
      <c r="N1225" s="91">
        <f>IF($I$1110&gt;0,IPMT('Assumptions (Nuclear)'!$V$6,Model!AB$1,'Assumptions (Nuclear)'!$V$9,'Assumptions (Nuclear)'!$V$4*Model!$I$1110*AVERAGE('Assumptions (Nuclear)'!$B$2:$G$2)/10^9),0)</f>
        <v>0</v>
      </c>
      <c r="O1225" s="105">
        <f>IF($I$1110&gt;0,IPMT('Assumptions (Nuclear)'!$V$6,Model!AC$1,'Assumptions (Nuclear)'!$V$9,'Assumptions (Nuclear)'!$V$4*Model!$I$1110*AVERAGE('Assumptions (Nuclear)'!$B$2:$G$2)/10^9),0)</f>
        <v>0</v>
      </c>
      <c r="P1225" s="105">
        <f>IF($I$1110&gt;0,IPMT('Assumptions (Nuclear)'!$V$6,Model!AD$1,'Assumptions (Nuclear)'!$V$9,'Assumptions (Nuclear)'!$V$4*Model!$I$1110*AVERAGE('Assumptions (Nuclear)'!$B$2:$G$2)/10^9),0)</f>
        <v>0</v>
      </c>
      <c r="Q1225" s="105">
        <f>IF($I$1110&gt;0,IPMT('Assumptions (Nuclear)'!$V$6,Model!AE$1,'Assumptions (Nuclear)'!$V$9,'Assumptions (Nuclear)'!$V$4*Model!$I$1110*AVERAGE('Assumptions (Nuclear)'!$B$2:$G$2)/10^9),0)</f>
        <v>0</v>
      </c>
      <c r="R1225" s="105">
        <f>IF($I$1110&gt;0,IPMT('Assumptions (Nuclear)'!$V$6,Model!AF$1,'Assumptions (Nuclear)'!$V$9,'Assumptions (Nuclear)'!$V$4*Model!$I$1110*AVERAGE('Assumptions (Nuclear)'!$B$2:$G$2)/10^9),0)</f>
        <v>0</v>
      </c>
      <c r="S1225" s="105">
        <f>IF($I$1110&gt;0,IPMT('Assumptions (Nuclear)'!$V$6,Model!AG$1,'Assumptions (Nuclear)'!$V$9,'Assumptions (Nuclear)'!$V$4*Model!$I$1110*AVERAGE('Assumptions (Nuclear)'!$B$2:$G$2)/10^9),0)</f>
        <v>0</v>
      </c>
      <c r="T1225" s="105">
        <f>IF($I$1110&gt;0,IPMT('Assumptions (Nuclear)'!$V$6,Model!AH$1,'Assumptions (Nuclear)'!$V$9,'Assumptions (Nuclear)'!$V$4*Model!$I$1110*AVERAGE('Assumptions (Nuclear)'!$B$2:$G$2)/10^9),0)</f>
        <v>0</v>
      </c>
      <c r="U1225" s="105">
        <f>IF($I$1110&gt;0,IPMT('Assumptions (Nuclear)'!$V$6,Model!AI$1,'Assumptions (Nuclear)'!$V$9,'Assumptions (Nuclear)'!$V$4*Model!$I$1110*AVERAGE('Assumptions (Nuclear)'!$B$2:$G$2)/10^9),0)</f>
        <v>0</v>
      </c>
      <c r="V1225" s="105">
        <f>IF($I$1110&gt;0,IPMT('Assumptions (Nuclear)'!$V$6,Model!AJ$1,'Assumptions (Nuclear)'!$V$9,'Assumptions (Nuclear)'!$V$4*Model!$I$1110*AVERAGE('Assumptions (Nuclear)'!$B$2:$G$2)/10^9),0)</f>
        <v>0</v>
      </c>
      <c r="W1225" s="105">
        <f>IF($I$1110&gt;0,IPMT('Assumptions (Nuclear)'!$V$6,Model!AK$1,'Assumptions (Nuclear)'!$V$9,'Assumptions (Nuclear)'!$V$4*Model!$I$1110*AVERAGE('Assumptions (Nuclear)'!$B$2:$G$2)/10^9),0)</f>
        <v>0</v>
      </c>
      <c r="X1225" s="105"/>
      <c r="Y1225" s="105"/>
      <c r="Z1225" s="105"/>
      <c r="AA1225" s="105"/>
      <c r="AB1225" s="105"/>
      <c r="AC1225" s="105"/>
      <c r="AD1225" s="105"/>
      <c r="AE1225" s="105"/>
      <c r="AF1225" s="105"/>
      <c r="AG1225" s="105"/>
      <c r="AU1225" s="147"/>
      <c r="AV1225" s="147"/>
      <c r="AW1225" s="147"/>
      <c r="AX1225" s="147"/>
      <c r="AY1225" s="147"/>
      <c r="AZ1225" s="147"/>
      <c r="BA1225" s="147"/>
    </row>
    <row r="1226" spans="1:77" ht="15.75" hidden="1" customHeight="1" outlineLevel="1">
      <c r="A1226" s="407"/>
      <c r="B1226" s="99"/>
      <c r="C1226" s="105"/>
      <c r="D1226" s="105"/>
      <c r="E1226" s="105"/>
      <c r="F1226" s="105"/>
      <c r="G1226" s="105"/>
      <c r="H1226" s="105"/>
      <c r="I1226" s="105"/>
      <c r="J1226" s="105">
        <f>IF($J$1110&gt;0,IPMT('Assumptions (Nuclear)'!$V$6,Model!W$1,'Assumptions (Nuclear)'!$V$9,'Assumptions (Nuclear)'!$V$4*Model!$J$1110*AVERAGE('Assumptions (Nuclear)'!$C$2:$H$2)/10^9),0)</f>
        <v>0</v>
      </c>
      <c r="K1226" s="105">
        <f>IF($J$1110&gt;0,IPMT('Assumptions (Nuclear)'!$V$6,Model!X$1,'Assumptions (Nuclear)'!$V$9,'Assumptions (Nuclear)'!$V$4*Model!$J$1110*AVERAGE('Assumptions (Nuclear)'!$C$2:$H$2)/10^9),0)</f>
        <v>0</v>
      </c>
      <c r="L1226" s="105">
        <f>IF($J$1110&gt;0,IPMT('Assumptions (Nuclear)'!$V$6,Model!Y$1,'Assumptions (Nuclear)'!$V$9,'Assumptions (Nuclear)'!$V$4*Model!$J$1110*AVERAGE('Assumptions (Nuclear)'!$C$2:$H$2)/10^9),0)</f>
        <v>0</v>
      </c>
      <c r="M1226" s="105">
        <f>IF($J$1110&gt;0,IPMT('Assumptions (Nuclear)'!$V$6,Model!Z$1,'Assumptions (Nuclear)'!$V$9,'Assumptions (Nuclear)'!$V$4*Model!$J$1110*AVERAGE('Assumptions (Nuclear)'!$C$2:$H$2)/10^9),0)</f>
        <v>0</v>
      </c>
      <c r="N1226" s="91">
        <f>IF($J$1110&gt;0,IPMT('Assumptions (Nuclear)'!$V$6,Model!AA$1,'Assumptions (Nuclear)'!$V$9,'Assumptions (Nuclear)'!$V$4*Model!$J$1110*AVERAGE('Assumptions (Nuclear)'!$C$2:$H$2)/10^9),0)</f>
        <v>0</v>
      </c>
      <c r="O1226" s="105">
        <f>IF($J$1110&gt;0,IPMT('Assumptions (Nuclear)'!$V$6,Model!AB$1,'Assumptions (Nuclear)'!$V$9,'Assumptions (Nuclear)'!$V$4*Model!$J$1110*AVERAGE('Assumptions (Nuclear)'!$C$2:$H$2)/10^9),0)</f>
        <v>0</v>
      </c>
      <c r="P1226" s="105">
        <f>IF($J$1110&gt;0,IPMT('Assumptions (Nuclear)'!$V$6,Model!AC$1,'Assumptions (Nuclear)'!$V$9,'Assumptions (Nuclear)'!$V$4*Model!$J$1110*AVERAGE('Assumptions (Nuclear)'!$C$2:$H$2)/10^9),0)</f>
        <v>0</v>
      </c>
      <c r="Q1226" s="105">
        <f>IF($J$1110&gt;0,IPMT('Assumptions (Nuclear)'!$V$6,Model!AD$1,'Assumptions (Nuclear)'!$V$9,'Assumptions (Nuclear)'!$V$4*Model!$J$1110*AVERAGE('Assumptions (Nuclear)'!$C$2:$H$2)/10^9),0)</f>
        <v>0</v>
      </c>
      <c r="R1226" s="105">
        <f>IF($J$1110&gt;0,IPMT('Assumptions (Nuclear)'!$V$6,Model!AE$1,'Assumptions (Nuclear)'!$V$9,'Assumptions (Nuclear)'!$V$4*Model!$J$1110*AVERAGE('Assumptions (Nuclear)'!$C$2:$H$2)/10^9),0)</f>
        <v>0</v>
      </c>
      <c r="S1226" s="105">
        <f>IF($J$1110&gt;0,IPMT('Assumptions (Nuclear)'!$V$6,Model!AF$1,'Assumptions (Nuclear)'!$V$9,'Assumptions (Nuclear)'!$V$4*Model!$J$1110*AVERAGE('Assumptions (Nuclear)'!$C$2:$H$2)/10^9),0)</f>
        <v>0</v>
      </c>
      <c r="T1226" s="105">
        <f>IF($J$1110&gt;0,IPMT('Assumptions (Nuclear)'!$V$6,Model!AG$1,'Assumptions (Nuclear)'!$V$9,'Assumptions (Nuclear)'!$V$4*Model!$J$1110*AVERAGE('Assumptions (Nuclear)'!$C$2:$H$2)/10^9),0)</f>
        <v>0</v>
      </c>
      <c r="U1226" s="105">
        <f>IF($J$1110&gt;0,IPMT('Assumptions (Nuclear)'!$V$6,Model!AH$1,'Assumptions (Nuclear)'!$V$9,'Assumptions (Nuclear)'!$V$4*Model!$J$1110*AVERAGE('Assumptions (Nuclear)'!$C$2:$H$2)/10^9),0)</f>
        <v>0</v>
      </c>
      <c r="V1226" s="105">
        <f>IF($J$1110&gt;0,IPMT('Assumptions (Nuclear)'!$V$6,Model!AI$1,'Assumptions (Nuclear)'!$V$9,'Assumptions (Nuclear)'!$V$4*Model!$J$1110*AVERAGE('Assumptions (Nuclear)'!$C$2:$H$2)/10^9),0)</f>
        <v>0</v>
      </c>
      <c r="W1226" s="105">
        <f>IF($J$1110&gt;0,IPMT('Assumptions (Nuclear)'!$V$6,Model!AJ$1,'Assumptions (Nuclear)'!$V$9,'Assumptions (Nuclear)'!$V$4*Model!$J$1110*AVERAGE('Assumptions (Nuclear)'!$C$2:$H$2)/10^9),0)</f>
        <v>0</v>
      </c>
      <c r="X1226" s="105">
        <f>IF($J$1110&gt;0,IPMT('Assumptions (Nuclear)'!$V$6,Model!AK$1,'Assumptions (Nuclear)'!$V$9,'Assumptions (Nuclear)'!$V$4*Model!$J$1110*AVERAGE('Assumptions (Nuclear)'!$C$2:$H$2)/10^9),0)</f>
        <v>0</v>
      </c>
      <c r="Y1226" s="105"/>
      <c r="Z1226" s="105"/>
      <c r="AA1226" s="105"/>
      <c r="AB1226" s="105"/>
      <c r="AC1226" s="105"/>
      <c r="AD1226" s="105"/>
      <c r="AE1226" s="105"/>
      <c r="AF1226" s="105"/>
      <c r="AG1226" s="105"/>
      <c r="AH1226" s="105"/>
      <c r="AU1226" s="147"/>
      <c r="AV1226" s="147"/>
      <c r="AW1226" s="147"/>
      <c r="AX1226" s="147"/>
      <c r="AY1226" s="147"/>
      <c r="AZ1226" s="147"/>
      <c r="BA1226" s="147"/>
    </row>
    <row r="1227" spans="1:77" ht="15.75" hidden="1" customHeight="1" outlineLevel="1">
      <c r="A1227" s="407"/>
      <c r="B1227" s="99"/>
      <c r="C1227" s="105"/>
      <c r="D1227" s="105"/>
      <c r="E1227" s="105"/>
      <c r="F1227" s="105"/>
      <c r="G1227" s="105"/>
      <c r="H1227" s="105"/>
      <c r="I1227" s="105"/>
      <c r="J1227" s="105"/>
      <c r="K1227" s="105">
        <f>IF($K$1110&gt;0,IPMT('Assumptions (Nuclear)'!$V$6,Model!W$1,'Assumptions (Nuclear)'!$V$9,'Assumptions (Nuclear)'!$V$4*Model!$K$1110*AVERAGE('Assumptions (Nuclear)'!$D$2:$I$2)/10^9),0)</f>
        <v>0</v>
      </c>
      <c r="L1227" s="105">
        <f>IF($K$1110&gt;0,IPMT('Assumptions (Nuclear)'!$V$6,Model!X$1,'Assumptions (Nuclear)'!$V$9,'Assumptions (Nuclear)'!$V$4*Model!$K$1110*AVERAGE('Assumptions (Nuclear)'!$D$2:$I$2)/10^9),0)</f>
        <v>0</v>
      </c>
      <c r="M1227" s="105">
        <f>IF($K$1110&gt;0,IPMT('Assumptions (Nuclear)'!$V$6,Model!Y$1,'Assumptions (Nuclear)'!$V$9,'Assumptions (Nuclear)'!$V$4*Model!$K$1110*AVERAGE('Assumptions (Nuclear)'!$D$2:$I$2)/10^9),0)</f>
        <v>0</v>
      </c>
      <c r="N1227" s="91">
        <f>IF($K$1110&gt;0,IPMT('Assumptions (Nuclear)'!$V$6,Model!Z$1,'Assumptions (Nuclear)'!$V$9,'Assumptions (Nuclear)'!$V$4*Model!$K$1110*AVERAGE('Assumptions (Nuclear)'!$D$2:$I$2)/10^9),0)</f>
        <v>0</v>
      </c>
      <c r="O1227" s="105">
        <f>IF($K$1110&gt;0,IPMT('Assumptions (Nuclear)'!$V$6,Model!AA$1,'Assumptions (Nuclear)'!$V$9,'Assumptions (Nuclear)'!$V$4*Model!$K$1110*AVERAGE('Assumptions (Nuclear)'!$D$2:$I$2)/10^9),0)</f>
        <v>0</v>
      </c>
      <c r="P1227" s="105">
        <f>IF($K$1110&gt;0,IPMT('Assumptions (Nuclear)'!$V$6,Model!AB$1,'Assumptions (Nuclear)'!$V$9,'Assumptions (Nuclear)'!$V$4*Model!$K$1110*AVERAGE('Assumptions (Nuclear)'!$D$2:$I$2)/10^9),0)</f>
        <v>0</v>
      </c>
      <c r="Q1227" s="105">
        <f>IF($K$1110&gt;0,IPMT('Assumptions (Nuclear)'!$V$6,Model!AC$1,'Assumptions (Nuclear)'!$V$9,'Assumptions (Nuclear)'!$V$4*Model!$K$1110*AVERAGE('Assumptions (Nuclear)'!$D$2:$I$2)/10^9),0)</f>
        <v>0</v>
      </c>
      <c r="R1227" s="105">
        <f>IF($K$1110&gt;0,IPMT('Assumptions (Nuclear)'!$V$6,Model!AD$1,'Assumptions (Nuclear)'!$V$9,'Assumptions (Nuclear)'!$V$4*Model!$K$1110*AVERAGE('Assumptions (Nuclear)'!$D$2:$I$2)/10^9),0)</f>
        <v>0</v>
      </c>
      <c r="S1227" s="105">
        <f>IF($K$1110&gt;0,IPMT('Assumptions (Nuclear)'!$V$6,Model!AE$1,'Assumptions (Nuclear)'!$V$9,'Assumptions (Nuclear)'!$V$4*Model!$K$1110*AVERAGE('Assumptions (Nuclear)'!$D$2:$I$2)/10^9),0)</f>
        <v>0</v>
      </c>
      <c r="T1227" s="105">
        <f>IF($K$1110&gt;0,IPMT('Assumptions (Nuclear)'!$V$6,Model!AF$1,'Assumptions (Nuclear)'!$V$9,'Assumptions (Nuclear)'!$V$4*Model!$K$1110*AVERAGE('Assumptions (Nuclear)'!$D$2:$I$2)/10^9),0)</f>
        <v>0</v>
      </c>
      <c r="U1227" s="105">
        <f>IF($K$1110&gt;0,IPMT('Assumptions (Nuclear)'!$V$6,Model!AG$1,'Assumptions (Nuclear)'!$V$9,'Assumptions (Nuclear)'!$V$4*Model!$K$1110*AVERAGE('Assumptions (Nuclear)'!$D$2:$I$2)/10^9),0)</f>
        <v>0</v>
      </c>
      <c r="V1227" s="105">
        <f>IF($K$1110&gt;0,IPMT('Assumptions (Nuclear)'!$V$6,Model!AH$1,'Assumptions (Nuclear)'!$V$9,'Assumptions (Nuclear)'!$V$4*Model!$K$1110*AVERAGE('Assumptions (Nuclear)'!$D$2:$I$2)/10^9),0)</f>
        <v>0</v>
      </c>
      <c r="W1227" s="105">
        <f>IF($K$1110&gt;0,IPMT('Assumptions (Nuclear)'!$V$6,Model!AI$1,'Assumptions (Nuclear)'!$V$9,'Assumptions (Nuclear)'!$V$4*Model!$K$1110*AVERAGE('Assumptions (Nuclear)'!$D$2:$I$2)/10^9),0)</f>
        <v>0</v>
      </c>
      <c r="X1227" s="105">
        <f>IF($K$1110&gt;0,IPMT('Assumptions (Nuclear)'!$V$6,Model!AJ$1,'Assumptions (Nuclear)'!$V$9,'Assumptions (Nuclear)'!$V$4*Model!$K$1110*AVERAGE('Assumptions (Nuclear)'!$D$2:$I$2)/10^9),0)</f>
        <v>0</v>
      </c>
      <c r="Y1227" s="105">
        <f>IF($K$1110&gt;0,IPMT('Assumptions (Nuclear)'!$V$6,Model!AK$1,'Assumptions (Nuclear)'!$V$9,'Assumptions (Nuclear)'!$V$4*Model!$K$1110*AVERAGE('Assumptions (Nuclear)'!$D$2:$I$2)/10^9),0)</f>
        <v>0</v>
      </c>
      <c r="Z1227" s="105"/>
      <c r="AA1227" s="105"/>
      <c r="AB1227" s="105"/>
      <c r="AC1227" s="105"/>
      <c r="AD1227" s="105"/>
      <c r="AE1227" s="105"/>
      <c r="AF1227" s="105"/>
      <c r="AG1227" s="105"/>
      <c r="AH1227" s="105"/>
      <c r="AI1227" s="105"/>
      <c r="AU1227" s="147"/>
      <c r="AV1227" s="147"/>
      <c r="AW1227" s="147"/>
      <c r="AX1227" s="147"/>
      <c r="AY1227" s="147"/>
      <c r="AZ1227" s="147"/>
      <c r="BA1227" s="147"/>
    </row>
    <row r="1228" spans="1:77" ht="15.75" hidden="1" customHeight="1" outlineLevel="1">
      <c r="A1228" s="407"/>
      <c r="B1228" s="99"/>
      <c r="C1228" s="105"/>
      <c r="D1228" s="105"/>
      <c r="E1228" s="105"/>
      <c r="F1228" s="105"/>
      <c r="G1228" s="105"/>
      <c r="H1228" s="105"/>
      <c r="I1228" s="105"/>
      <c r="J1228" s="105"/>
      <c r="K1228" s="105"/>
      <c r="L1228" s="105">
        <f>IF($L$1110&gt;0,IPMT('Assumptions (Nuclear)'!$V$6,Model!W$1,'Assumptions (Nuclear)'!$V$9,'Assumptions (Nuclear)'!$V$4*Model!$L$1110*AVERAGE('Assumptions (Nuclear)'!$E$2:$J$2)/10^9),0)</f>
        <v>0</v>
      </c>
      <c r="M1228" s="105">
        <f>IF($L$1110&gt;0,IPMT('Assumptions (Nuclear)'!$V$6,Model!X$1,'Assumptions (Nuclear)'!$V$9,'Assumptions (Nuclear)'!$V$4*Model!$L$1110*AVERAGE('Assumptions (Nuclear)'!$E$2:$J$2)/10^9),0)</f>
        <v>0</v>
      </c>
      <c r="N1228" s="91">
        <f>IF($L$1110&gt;0,IPMT('Assumptions (Nuclear)'!$V$6,Model!Y$1,'Assumptions (Nuclear)'!$V$9,'Assumptions (Nuclear)'!$V$4*Model!$L$1110*AVERAGE('Assumptions (Nuclear)'!$E$2:$J$2)/10^9),0)</f>
        <v>0</v>
      </c>
      <c r="O1228" s="105">
        <f>IF($L$1110&gt;0,IPMT('Assumptions (Nuclear)'!$V$6,Model!Z$1,'Assumptions (Nuclear)'!$V$9,'Assumptions (Nuclear)'!$V$4*Model!$L$1110*AVERAGE('Assumptions (Nuclear)'!$E$2:$J$2)/10^9),0)</f>
        <v>0</v>
      </c>
      <c r="P1228" s="105">
        <f>IF($L$1110&gt;0,IPMT('Assumptions (Nuclear)'!$V$6,Model!AA$1,'Assumptions (Nuclear)'!$V$9,'Assumptions (Nuclear)'!$V$4*Model!$L$1110*AVERAGE('Assumptions (Nuclear)'!$E$2:$J$2)/10^9),0)</f>
        <v>0</v>
      </c>
      <c r="Q1228" s="105">
        <f>IF($L$1110&gt;0,IPMT('Assumptions (Nuclear)'!$V$6,Model!AB$1,'Assumptions (Nuclear)'!$V$9,'Assumptions (Nuclear)'!$V$4*Model!$L$1110*AVERAGE('Assumptions (Nuclear)'!$E$2:$J$2)/10^9),0)</f>
        <v>0</v>
      </c>
      <c r="R1228" s="105">
        <f>IF($L$1110&gt;0,IPMT('Assumptions (Nuclear)'!$V$6,Model!AC$1,'Assumptions (Nuclear)'!$V$9,'Assumptions (Nuclear)'!$V$4*Model!$L$1110*AVERAGE('Assumptions (Nuclear)'!$E$2:$J$2)/10^9),0)</f>
        <v>0</v>
      </c>
      <c r="S1228" s="105">
        <f>IF($L$1110&gt;0,IPMT('Assumptions (Nuclear)'!$V$6,Model!AD$1,'Assumptions (Nuclear)'!$V$9,'Assumptions (Nuclear)'!$V$4*Model!$L$1110*AVERAGE('Assumptions (Nuclear)'!$E$2:$J$2)/10^9),0)</f>
        <v>0</v>
      </c>
      <c r="T1228" s="105">
        <f>IF($L$1110&gt;0,IPMT('Assumptions (Nuclear)'!$V$6,Model!AE$1,'Assumptions (Nuclear)'!$V$9,'Assumptions (Nuclear)'!$V$4*Model!$L$1110*AVERAGE('Assumptions (Nuclear)'!$E$2:$J$2)/10^9),0)</f>
        <v>0</v>
      </c>
      <c r="U1228" s="105">
        <f>IF($L$1110&gt;0,IPMT('Assumptions (Nuclear)'!$V$6,Model!AF$1,'Assumptions (Nuclear)'!$V$9,'Assumptions (Nuclear)'!$V$4*Model!$L$1110*AVERAGE('Assumptions (Nuclear)'!$E$2:$J$2)/10^9),0)</f>
        <v>0</v>
      </c>
      <c r="V1228" s="105">
        <f>IF($L$1110&gt;0,IPMT('Assumptions (Nuclear)'!$V$6,Model!AG$1,'Assumptions (Nuclear)'!$V$9,'Assumptions (Nuclear)'!$V$4*Model!$L$1110*AVERAGE('Assumptions (Nuclear)'!$E$2:$J$2)/10^9),0)</f>
        <v>0</v>
      </c>
      <c r="W1228" s="105">
        <f>IF($L$1110&gt;0,IPMT('Assumptions (Nuclear)'!$V$6,Model!AH$1,'Assumptions (Nuclear)'!$V$9,'Assumptions (Nuclear)'!$V$4*Model!$L$1110*AVERAGE('Assumptions (Nuclear)'!$E$2:$J$2)/10^9),0)</f>
        <v>0</v>
      </c>
      <c r="X1228" s="105">
        <f>IF($L$1110&gt;0,IPMT('Assumptions (Nuclear)'!$V$6,Model!AI$1,'Assumptions (Nuclear)'!$V$9,'Assumptions (Nuclear)'!$V$4*Model!$L$1110*AVERAGE('Assumptions (Nuclear)'!$E$2:$J$2)/10^9),0)</f>
        <v>0</v>
      </c>
      <c r="Y1228" s="105">
        <f>IF($L$1110&gt;0,IPMT('Assumptions (Nuclear)'!$V$6,Model!AJ$1,'Assumptions (Nuclear)'!$V$9,'Assumptions (Nuclear)'!$V$4*Model!$L$1110*AVERAGE('Assumptions (Nuclear)'!$E$2:$J$2)/10^9),0)</f>
        <v>0</v>
      </c>
      <c r="Z1228" s="105">
        <f>IF($L$1110&gt;0,IPMT('Assumptions (Nuclear)'!$V$6,Model!AK$1,'Assumptions (Nuclear)'!$V$9,'Assumptions (Nuclear)'!$V$4*Model!$L$1110*AVERAGE('Assumptions (Nuclear)'!$E$2:$J$2)/10^9),0)</f>
        <v>0</v>
      </c>
      <c r="AA1228" s="105"/>
      <c r="AB1228" s="105"/>
      <c r="AC1228" s="105"/>
      <c r="AD1228" s="105"/>
      <c r="AE1228" s="105"/>
      <c r="AF1228" s="105"/>
      <c r="AG1228" s="105"/>
      <c r="AH1228" s="105"/>
      <c r="AI1228" s="105"/>
      <c r="AJ1228" s="105"/>
      <c r="AU1228" s="147"/>
      <c r="AV1228" s="147"/>
      <c r="AW1228" s="147"/>
      <c r="AX1228" s="147"/>
      <c r="AY1228" s="147"/>
      <c r="AZ1228" s="147"/>
      <c r="BA1228" s="147"/>
    </row>
    <row r="1229" spans="1:77" ht="15.75" hidden="1" customHeight="1" outlineLevel="1">
      <c r="A1229" s="407"/>
      <c r="B1229" s="99"/>
      <c r="C1229" s="105"/>
      <c r="D1229" s="105"/>
      <c r="E1229" s="105"/>
      <c r="F1229" s="105"/>
      <c r="G1229" s="105"/>
      <c r="H1229" s="105"/>
      <c r="I1229" s="105"/>
      <c r="J1229" s="105"/>
      <c r="K1229" s="105"/>
      <c r="L1229" s="105"/>
      <c r="M1229" s="105">
        <f>IF($M$1110&gt;0,IPMT('Assumptions (Nuclear)'!$V$6,Model!W$1,'Assumptions (Nuclear)'!$V$9,'Assumptions (Nuclear)'!$V$4*Model!$M$1110*AVERAGE('Assumptions (Nuclear)'!$F$2:$K$2)/10^9),0)</f>
        <v>0</v>
      </c>
      <c r="N1229" s="91">
        <f>IF($M$1110&gt;0,IPMT('Assumptions (Nuclear)'!$V$6,Model!X$1,'Assumptions (Nuclear)'!$V$9,'Assumptions (Nuclear)'!$V$4*Model!$M$1110*AVERAGE('Assumptions (Nuclear)'!$F$2:$K$2)/10^9),0)</f>
        <v>0</v>
      </c>
      <c r="O1229" s="105">
        <f>IF($M$1110&gt;0,IPMT('Assumptions (Nuclear)'!$V$6,Model!Y$1,'Assumptions (Nuclear)'!$V$9,'Assumptions (Nuclear)'!$V$4*Model!$M$1110*AVERAGE('Assumptions (Nuclear)'!$F$2:$K$2)/10^9),0)</f>
        <v>0</v>
      </c>
      <c r="P1229" s="105">
        <f>IF($M$1110&gt;0,IPMT('Assumptions (Nuclear)'!$V$6,Model!Z$1,'Assumptions (Nuclear)'!$V$9,'Assumptions (Nuclear)'!$V$4*Model!$M$1110*AVERAGE('Assumptions (Nuclear)'!$F$2:$K$2)/10^9),0)</f>
        <v>0</v>
      </c>
      <c r="Q1229" s="105">
        <f>IF($M$1110&gt;0,IPMT('Assumptions (Nuclear)'!$V$6,Model!AA$1,'Assumptions (Nuclear)'!$V$9,'Assumptions (Nuclear)'!$V$4*Model!$M$1110*AVERAGE('Assumptions (Nuclear)'!$F$2:$K$2)/10^9),0)</f>
        <v>0</v>
      </c>
      <c r="R1229" s="105">
        <f>IF($M$1110&gt;0,IPMT('Assumptions (Nuclear)'!$V$6,Model!AB$1,'Assumptions (Nuclear)'!$V$9,'Assumptions (Nuclear)'!$V$4*Model!$M$1110*AVERAGE('Assumptions (Nuclear)'!$F$2:$K$2)/10^9),0)</f>
        <v>0</v>
      </c>
      <c r="S1229" s="105">
        <f>IF($M$1110&gt;0,IPMT('Assumptions (Nuclear)'!$V$6,Model!AC$1,'Assumptions (Nuclear)'!$V$9,'Assumptions (Nuclear)'!$V$4*Model!$M$1110*AVERAGE('Assumptions (Nuclear)'!$F$2:$K$2)/10^9),0)</f>
        <v>0</v>
      </c>
      <c r="T1229" s="105">
        <f>IF($M$1110&gt;0,IPMT('Assumptions (Nuclear)'!$V$6,Model!AD$1,'Assumptions (Nuclear)'!$V$9,'Assumptions (Nuclear)'!$V$4*Model!$M$1110*AVERAGE('Assumptions (Nuclear)'!$F$2:$K$2)/10^9),0)</f>
        <v>0</v>
      </c>
      <c r="U1229" s="105">
        <f>IF($M$1110&gt;0,IPMT('Assumptions (Nuclear)'!$V$6,Model!AE$1,'Assumptions (Nuclear)'!$V$9,'Assumptions (Nuclear)'!$V$4*Model!$M$1110*AVERAGE('Assumptions (Nuclear)'!$F$2:$K$2)/10^9),0)</f>
        <v>0</v>
      </c>
      <c r="V1229" s="105">
        <f>IF($M$1110&gt;0,IPMT('Assumptions (Nuclear)'!$V$6,Model!AF$1,'Assumptions (Nuclear)'!$V$9,'Assumptions (Nuclear)'!$V$4*Model!$M$1110*AVERAGE('Assumptions (Nuclear)'!$F$2:$K$2)/10^9),0)</f>
        <v>0</v>
      </c>
      <c r="W1229" s="105">
        <f>IF($M$1110&gt;0,IPMT('Assumptions (Nuclear)'!$V$6,Model!AG$1,'Assumptions (Nuclear)'!$V$9,'Assumptions (Nuclear)'!$V$4*Model!$M$1110*AVERAGE('Assumptions (Nuclear)'!$F$2:$K$2)/10^9),0)</f>
        <v>0</v>
      </c>
      <c r="X1229" s="105">
        <f>IF($M$1110&gt;0,IPMT('Assumptions (Nuclear)'!$V$6,Model!AH$1,'Assumptions (Nuclear)'!$V$9,'Assumptions (Nuclear)'!$V$4*Model!$M$1110*AVERAGE('Assumptions (Nuclear)'!$F$2:$K$2)/10^9),0)</f>
        <v>0</v>
      </c>
      <c r="Y1229" s="105">
        <f>IF($M$1110&gt;0,IPMT('Assumptions (Nuclear)'!$V$6,Model!AI$1,'Assumptions (Nuclear)'!$V$9,'Assumptions (Nuclear)'!$V$4*Model!$M$1110*AVERAGE('Assumptions (Nuclear)'!$F$2:$K$2)/10^9),0)</f>
        <v>0</v>
      </c>
      <c r="Z1229" s="105">
        <f>IF($M$1110&gt;0,IPMT('Assumptions (Nuclear)'!$V$6,Model!AJ$1,'Assumptions (Nuclear)'!$V$9,'Assumptions (Nuclear)'!$V$4*Model!$M$1110*AVERAGE('Assumptions (Nuclear)'!$F$2:$K$2)/10^9),0)</f>
        <v>0</v>
      </c>
      <c r="AA1229" s="105">
        <f>IF($M$1110&gt;0,IPMT('Assumptions (Nuclear)'!$V$6,Model!AK$1,'Assumptions (Nuclear)'!$V$9,'Assumptions (Nuclear)'!$V$4*Model!$M$1110*AVERAGE('Assumptions (Nuclear)'!$F$2:$K$2)/10^9),0)</f>
        <v>0</v>
      </c>
      <c r="AB1229" s="105"/>
      <c r="AC1229" s="105"/>
      <c r="AD1229" s="105"/>
      <c r="AE1229" s="105"/>
      <c r="AF1229" s="105"/>
      <c r="AG1229" s="105"/>
      <c r="AH1229" s="105"/>
      <c r="AI1229" s="105"/>
      <c r="AJ1229" s="105"/>
      <c r="AK1229" s="105"/>
      <c r="AU1229" s="147"/>
      <c r="AV1229" s="147"/>
      <c r="AW1229" s="147"/>
      <c r="AX1229" s="147"/>
      <c r="AY1229" s="147"/>
      <c r="AZ1229" s="147"/>
      <c r="BA1229" s="147"/>
    </row>
    <row r="1230" spans="1:77" ht="15.75" hidden="1" customHeight="1" outlineLevel="1">
      <c r="A1230" s="407"/>
      <c r="B1230" s="99"/>
      <c r="C1230" s="105"/>
      <c r="D1230" s="105"/>
      <c r="E1230" s="105"/>
      <c r="F1230" s="105"/>
      <c r="G1230" s="105"/>
      <c r="H1230" s="105"/>
      <c r="I1230" s="105"/>
      <c r="J1230" s="105"/>
      <c r="K1230" s="105"/>
      <c r="L1230" s="105"/>
      <c r="M1230" s="105"/>
      <c r="N1230" s="91">
        <f>IF($N$1110&gt;0,IPMT('Assumptions (Nuclear)'!$V$6,Model!W$1,'Assumptions (Nuclear)'!$V$9,'Assumptions (Nuclear)'!$V$4*Model!$N$1110*AVERAGE('Assumptions (Nuclear)'!$G$2:$L$2)/10^9),0)</f>
        <v>0</v>
      </c>
      <c r="O1230" s="105">
        <f>IF($N$1110&gt;0,IPMT('Assumptions (Nuclear)'!$V$6,Model!X$1,'Assumptions (Nuclear)'!$V$9,'Assumptions (Nuclear)'!$V$4*Model!$N$1110*AVERAGE('Assumptions (Nuclear)'!$G$2:$L$2)/10^9),0)</f>
        <v>0</v>
      </c>
      <c r="P1230" s="105">
        <f>IF($N$1110&gt;0,IPMT('Assumptions (Nuclear)'!$V$6,Model!Y$1,'Assumptions (Nuclear)'!$V$9,'Assumptions (Nuclear)'!$V$4*Model!$N$1110*AVERAGE('Assumptions (Nuclear)'!$G$2:$L$2)/10^9),0)</f>
        <v>0</v>
      </c>
      <c r="Q1230" s="105">
        <f>IF($N$1110&gt;0,IPMT('Assumptions (Nuclear)'!$V$6,Model!Z$1,'Assumptions (Nuclear)'!$V$9,'Assumptions (Nuclear)'!$V$4*Model!$N$1110*AVERAGE('Assumptions (Nuclear)'!$G$2:$L$2)/10^9),0)</f>
        <v>0</v>
      </c>
      <c r="R1230" s="105">
        <f>IF($N$1110&gt;0,IPMT('Assumptions (Nuclear)'!$V$6,Model!AA$1,'Assumptions (Nuclear)'!$V$9,'Assumptions (Nuclear)'!$V$4*Model!$N$1110*AVERAGE('Assumptions (Nuclear)'!$G$2:$L$2)/10^9),0)</f>
        <v>0</v>
      </c>
      <c r="S1230" s="105">
        <f>IF($N$1110&gt;0,IPMT('Assumptions (Nuclear)'!$V$6,Model!AB$1,'Assumptions (Nuclear)'!$V$9,'Assumptions (Nuclear)'!$V$4*Model!$N$1110*AVERAGE('Assumptions (Nuclear)'!$G$2:$L$2)/10^9),0)</f>
        <v>0</v>
      </c>
      <c r="T1230" s="105">
        <f>IF($N$1110&gt;0,IPMT('Assumptions (Nuclear)'!$V$6,Model!AC$1,'Assumptions (Nuclear)'!$V$9,'Assumptions (Nuclear)'!$V$4*Model!$N$1110*AVERAGE('Assumptions (Nuclear)'!$G$2:$L$2)/10^9),0)</f>
        <v>0</v>
      </c>
      <c r="U1230" s="105">
        <f>IF($N$1110&gt;0,IPMT('Assumptions (Nuclear)'!$V$6,Model!AD$1,'Assumptions (Nuclear)'!$V$9,'Assumptions (Nuclear)'!$V$4*Model!$N$1110*AVERAGE('Assumptions (Nuclear)'!$G$2:$L$2)/10^9),0)</f>
        <v>0</v>
      </c>
      <c r="V1230" s="105">
        <f>IF($N$1110&gt;0,IPMT('Assumptions (Nuclear)'!$V$6,Model!AE$1,'Assumptions (Nuclear)'!$V$9,'Assumptions (Nuclear)'!$V$4*Model!$N$1110*AVERAGE('Assumptions (Nuclear)'!$G$2:$L$2)/10^9),0)</f>
        <v>0</v>
      </c>
      <c r="W1230" s="105">
        <f>IF($N$1110&gt;0,IPMT('Assumptions (Nuclear)'!$V$6,Model!AF$1,'Assumptions (Nuclear)'!$V$9,'Assumptions (Nuclear)'!$V$4*Model!$N$1110*AVERAGE('Assumptions (Nuclear)'!$G$2:$L$2)/10^9),0)</f>
        <v>0</v>
      </c>
      <c r="X1230" s="105">
        <f>IF($N$1110&gt;0,IPMT('Assumptions (Nuclear)'!$V$6,Model!AG$1,'Assumptions (Nuclear)'!$V$9,'Assumptions (Nuclear)'!$V$4*Model!$N$1110*AVERAGE('Assumptions (Nuclear)'!$G$2:$L$2)/10^9),0)</f>
        <v>0</v>
      </c>
      <c r="Y1230" s="105">
        <f>IF($N$1110&gt;0,IPMT('Assumptions (Nuclear)'!$V$6,Model!AH$1,'Assumptions (Nuclear)'!$V$9,'Assumptions (Nuclear)'!$V$4*Model!$N$1110*AVERAGE('Assumptions (Nuclear)'!$G$2:$L$2)/10^9),0)</f>
        <v>0</v>
      </c>
      <c r="Z1230" s="105">
        <f>IF($N$1110&gt;0,IPMT('Assumptions (Nuclear)'!$V$6,Model!AI$1,'Assumptions (Nuclear)'!$V$9,'Assumptions (Nuclear)'!$V$4*Model!$N$1110*AVERAGE('Assumptions (Nuclear)'!$G$2:$L$2)/10^9),0)</f>
        <v>0</v>
      </c>
      <c r="AA1230" s="105">
        <f>IF($N$1110&gt;0,IPMT('Assumptions (Nuclear)'!$V$6,Model!AJ$1,'Assumptions (Nuclear)'!$V$9,'Assumptions (Nuclear)'!$V$4*Model!$N$1110*AVERAGE('Assumptions (Nuclear)'!$G$2:$L$2)/10^9),0)</f>
        <v>0</v>
      </c>
      <c r="AB1230" s="105">
        <f>IF($N$1110&gt;0,IPMT('Assumptions (Nuclear)'!$V$6,Model!AK$1,'Assumptions (Nuclear)'!$V$9,'Assumptions (Nuclear)'!$V$4*Model!$N$1110*AVERAGE('Assumptions (Nuclear)'!$G$2:$L$2)/10^9),0)</f>
        <v>0</v>
      </c>
      <c r="AC1230" s="105"/>
      <c r="AD1230" s="105"/>
      <c r="AE1230" s="105"/>
      <c r="AF1230" s="105"/>
      <c r="AG1230" s="105"/>
      <c r="AH1230" s="105"/>
      <c r="AI1230" s="105"/>
      <c r="AJ1230" s="105"/>
      <c r="AK1230" s="105"/>
      <c r="AL1230" s="105"/>
      <c r="AU1230" s="147"/>
      <c r="AV1230" s="147"/>
      <c r="AW1230" s="147"/>
      <c r="AX1230" s="147"/>
      <c r="AY1230" s="147"/>
      <c r="AZ1230" s="147"/>
      <c r="BA1230" s="147"/>
    </row>
    <row r="1231" spans="1:77" ht="15.75" hidden="1" customHeight="1" outlineLevel="1">
      <c r="A1231" s="407"/>
      <c r="B1231" s="99"/>
      <c r="C1231" s="105"/>
      <c r="D1231" s="105"/>
      <c r="E1231" s="105"/>
      <c r="F1231" s="105"/>
      <c r="G1231" s="105"/>
      <c r="H1231" s="105"/>
      <c r="I1231" s="105"/>
      <c r="J1231" s="105"/>
      <c r="K1231" s="105"/>
      <c r="L1231" s="105"/>
      <c r="M1231" s="105"/>
      <c r="N1231" s="105"/>
      <c r="O1231" s="105">
        <f>IF($O$1110&gt;0,IPMT('Assumptions (Nuclear)'!$V$6,Model!W$1,'Assumptions (Nuclear)'!$V$9,'Assumptions (Nuclear)'!$V$4*Model!$O$1110*AVERAGE('Assumptions (Nuclear)'!$H$2:$M$2)/10^9),0)</f>
        <v>0</v>
      </c>
      <c r="P1231" s="105">
        <f>IF($O$1110&gt;0,IPMT('Assumptions (Nuclear)'!$V$6,Model!X$1,'Assumptions (Nuclear)'!$V$9,'Assumptions (Nuclear)'!$V$4*Model!$O$1110*AVERAGE('Assumptions (Nuclear)'!$H$2:$M$2)/10^9),0)</f>
        <v>0</v>
      </c>
      <c r="Q1231" s="105">
        <f>IF($O$1110&gt;0,IPMT('Assumptions (Nuclear)'!$V$6,Model!Y$1,'Assumptions (Nuclear)'!$V$9,'Assumptions (Nuclear)'!$V$4*Model!$O$1110*AVERAGE('Assumptions (Nuclear)'!$H$2:$M$2)/10^9),0)</f>
        <v>0</v>
      </c>
      <c r="R1231" s="105">
        <f>IF($O$1110&gt;0,IPMT('Assumptions (Nuclear)'!$V$6,Model!Z$1,'Assumptions (Nuclear)'!$V$9,'Assumptions (Nuclear)'!$V$4*Model!$O$1110*AVERAGE('Assumptions (Nuclear)'!$H$2:$M$2)/10^9),0)</f>
        <v>0</v>
      </c>
      <c r="S1231" s="105">
        <f>IF($O$1110&gt;0,IPMT('Assumptions (Nuclear)'!$V$6,Model!AA$1,'Assumptions (Nuclear)'!$V$9,'Assumptions (Nuclear)'!$V$4*Model!$O$1110*AVERAGE('Assumptions (Nuclear)'!$H$2:$M$2)/10^9),0)</f>
        <v>0</v>
      </c>
      <c r="T1231" s="105">
        <f>IF($O$1110&gt;0,IPMT('Assumptions (Nuclear)'!$V$6,Model!AB$1,'Assumptions (Nuclear)'!$V$9,'Assumptions (Nuclear)'!$V$4*Model!$O$1110*AVERAGE('Assumptions (Nuclear)'!$H$2:$M$2)/10^9),0)</f>
        <v>0</v>
      </c>
      <c r="U1231" s="105">
        <f>IF($O$1110&gt;0,IPMT('Assumptions (Nuclear)'!$V$6,Model!AC$1,'Assumptions (Nuclear)'!$V$9,'Assumptions (Nuclear)'!$V$4*Model!$O$1110*AVERAGE('Assumptions (Nuclear)'!$H$2:$M$2)/10^9),0)</f>
        <v>0</v>
      </c>
      <c r="V1231" s="105">
        <f>IF($O$1110&gt;0,IPMT('Assumptions (Nuclear)'!$V$6,Model!AD$1,'Assumptions (Nuclear)'!$V$9,'Assumptions (Nuclear)'!$V$4*Model!$O$1110*AVERAGE('Assumptions (Nuclear)'!$H$2:$M$2)/10^9),0)</f>
        <v>0</v>
      </c>
      <c r="W1231" s="105">
        <f>IF($O$1110&gt;0,IPMT('Assumptions (Nuclear)'!$V$6,Model!AE$1,'Assumptions (Nuclear)'!$V$9,'Assumptions (Nuclear)'!$V$4*Model!$O$1110*AVERAGE('Assumptions (Nuclear)'!$H$2:$M$2)/10^9),0)</f>
        <v>0</v>
      </c>
      <c r="X1231" s="105">
        <f>IF($O$1110&gt;0,IPMT('Assumptions (Nuclear)'!$V$6,Model!AF$1,'Assumptions (Nuclear)'!$V$9,'Assumptions (Nuclear)'!$V$4*Model!$O$1110*AVERAGE('Assumptions (Nuclear)'!$H$2:$M$2)/10^9),0)</f>
        <v>0</v>
      </c>
      <c r="Y1231" s="105">
        <f>IF($O$1110&gt;0,IPMT('Assumptions (Nuclear)'!$V$6,Model!AG$1,'Assumptions (Nuclear)'!$V$9,'Assumptions (Nuclear)'!$V$4*Model!$O$1110*AVERAGE('Assumptions (Nuclear)'!$H$2:$M$2)/10^9),0)</f>
        <v>0</v>
      </c>
      <c r="Z1231" s="105">
        <f>IF($O$1110&gt;0,IPMT('Assumptions (Nuclear)'!$V$6,Model!AH$1,'Assumptions (Nuclear)'!$V$9,'Assumptions (Nuclear)'!$V$4*Model!$O$1110*AVERAGE('Assumptions (Nuclear)'!$H$2:$M$2)/10^9),0)</f>
        <v>0</v>
      </c>
      <c r="AA1231" s="105">
        <f>IF($O$1110&gt;0,IPMT('Assumptions (Nuclear)'!$V$6,Model!AI$1,'Assumptions (Nuclear)'!$V$9,'Assumptions (Nuclear)'!$V$4*Model!$O$1110*AVERAGE('Assumptions (Nuclear)'!$H$2:$M$2)/10^9),0)</f>
        <v>0</v>
      </c>
      <c r="AB1231" s="105">
        <f>IF($O$1110&gt;0,IPMT('Assumptions (Nuclear)'!$V$6,Model!AJ$1,'Assumptions (Nuclear)'!$V$9,'Assumptions (Nuclear)'!$V$4*Model!$O$1110*AVERAGE('Assumptions (Nuclear)'!$H$2:$M$2)/10^9),0)</f>
        <v>0</v>
      </c>
      <c r="AC1231" s="105">
        <f>IF($O$1110&gt;0,IPMT('Assumptions (Nuclear)'!$V$6,Model!AK$1,'Assumptions (Nuclear)'!$V$9,'Assumptions (Nuclear)'!$V$4*Model!$O$1110*AVERAGE('Assumptions (Nuclear)'!$H$2:$M$2)/10^9),0)</f>
        <v>0</v>
      </c>
      <c r="AD1231" s="105"/>
      <c r="AE1231" s="105"/>
      <c r="AF1231" s="105"/>
      <c r="AG1231" s="105"/>
      <c r="AH1231" s="105"/>
      <c r="AI1231" s="105"/>
      <c r="AJ1231" s="105"/>
      <c r="AK1231" s="105"/>
      <c r="AL1231" s="105"/>
      <c r="AM1231" s="105"/>
      <c r="AU1231" s="147"/>
      <c r="AV1231" s="147"/>
      <c r="AW1231" s="147"/>
      <c r="AX1231" s="147"/>
      <c r="AY1231" s="147"/>
      <c r="AZ1231" s="147"/>
      <c r="BA1231" s="147"/>
    </row>
    <row r="1232" spans="1:77" ht="15.75" hidden="1" customHeight="1" outlineLevel="1">
      <c r="A1232" s="407"/>
      <c r="B1232" s="99"/>
      <c r="C1232" s="105"/>
      <c r="D1232" s="105"/>
      <c r="E1232" s="105"/>
      <c r="F1232" s="105"/>
      <c r="G1232" s="105"/>
      <c r="H1232" s="105"/>
      <c r="I1232" s="105"/>
      <c r="J1232" s="105"/>
      <c r="K1232" s="105"/>
      <c r="L1232" s="105"/>
      <c r="M1232" s="105"/>
      <c r="N1232" s="105"/>
      <c r="O1232" s="105"/>
      <c r="P1232" s="91">
        <f>IF($P$1110&gt;0,IPMT('Assumptions (Nuclear)'!$V$6,Model!W$1,'Assumptions (Nuclear)'!$V$9,'Assumptions (Nuclear)'!$V$4*Model!$P$1110*AVERAGE('Assumptions (Nuclear)'!$I$2:$N$2)/10^9),0)</f>
        <v>0</v>
      </c>
      <c r="Q1232" s="91">
        <f>IF($P$1110&gt;0,IPMT('Assumptions (Nuclear)'!$V$6,Model!X$1,'Assumptions (Nuclear)'!$V$9,'Assumptions (Nuclear)'!$V$4*Model!$P$1110*AVERAGE('Assumptions (Nuclear)'!$I$2:$N$2)/10^9),0)</f>
        <v>0</v>
      </c>
      <c r="R1232" s="91">
        <f>IF($P$1110&gt;0,IPMT('Assumptions (Nuclear)'!$V$6,Model!Y$1,'Assumptions (Nuclear)'!$V$9,'Assumptions (Nuclear)'!$V$4*Model!$P$1110*AVERAGE('Assumptions (Nuclear)'!$I$2:$N$2)/10^9),0)</f>
        <v>0</v>
      </c>
      <c r="S1232" s="91">
        <f>IF($P$1110&gt;0,IPMT('Assumptions (Nuclear)'!$V$6,Model!Z$1,'Assumptions (Nuclear)'!$V$9,'Assumptions (Nuclear)'!$V$4*Model!$P$1110*AVERAGE('Assumptions (Nuclear)'!$I$2:$N$2)/10^9),0)</f>
        <v>0</v>
      </c>
      <c r="T1232" s="91">
        <f>IF($P$1110&gt;0,IPMT('Assumptions (Nuclear)'!$V$6,Model!AA$1,'Assumptions (Nuclear)'!$V$9,'Assumptions (Nuclear)'!$V$4*Model!$P$1110*AVERAGE('Assumptions (Nuclear)'!$I$2:$N$2)/10^9),0)</f>
        <v>0</v>
      </c>
      <c r="U1232" s="91">
        <f>IF($P$1110&gt;0,IPMT('Assumptions (Nuclear)'!$V$6,Model!AB$1,'Assumptions (Nuclear)'!$V$9,'Assumptions (Nuclear)'!$V$4*Model!$P$1110*AVERAGE('Assumptions (Nuclear)'!$I$2:$N$2)/10^9),0)</f>
        <v>0</v>
      </c>
      <c r="V1232" s="91">
        <f>IF($P$1110&gt;0,IPMT('Assumptions (Nuclear)'!$V$6,Model!AC$1,'Assumptions (Nuclear)'!$V$9,'Assumptions (Nuclear)'!$V$4*Model!$P$1110*AVERAGE('Assumptions (Nuclear)'!$I$2:$N$2)/10^9),0)</f>
        <v>0</v>
      </c>
      <c r="W1232" s="91">
        <f>IF($P$1110&gt;0,IPMT('Assumptions (Nuclear)'!$V$6,Model!AD$1,'Assumptions (Nuclear)'!$V$9,'Assumptions (Nuclear)'!$V$4*Model!$P$1110*AVERAGE('Assumptions (Nuclear)'!$I$2:$N$2)/10^9),0)</f>
        <v>0</v>
      </c>
      <c r="X1232" s="91">
        <f>IF($P$1110&gt;0,IPMT('Assumptions (Nuclear)'!$V$6,Model!AE$1,'Assumptions (Nuclear)'!$V$9,'Assumptions (Nuclear)'!$V$4*Model!$P$1110*AVERAGE('Assumptions (Nuclear)'!$I$2:$N$2)/10^9),0)</f>
        <v>0</v>
      </c>
      <c r="Y1232" s="91">
        <f>IF($P$1110&gt;0,IPMT('Assumptions (Nuclear)'!$V$6,Model!AF$1,'Assumptions (Nuclear)'!$V$9,'Assumptions (Nuclear)'!$V$4*Model!$P$1110*AVERAGE('Assumptions (Nuclear)'!$I$2:$N$2)/10^9),0)</f>
        <v>0</v>
      </c>
      <c r="Z1232" s="91">
        <f>IF($P$1110&gt;0,IPMT('Assumptions (Nuclear)'!$V$6,Model!AG$1,'Assumptions (Nuclear)'!$V$9,'Assumptions (Nuclear)'!$V$4*Model!$P$1110*AVERAGE('Assumptions (Nuclear)'!$I$2:$N$2)/10^9),0)</f>
        <v>0</v>
      </c>
      <c r="AA1232" s="91">
        <f>IF($P$1110&gt;0,IPMT('Assumptions (Nuclear)'!$V$6,Model!AH$1,'Assumptions (Nuclear)'!$V$9,'Assumptions (Nuclear)'!$V$4*Model!$P$1110*AVERAGE('Assumptions (Nuclear)'!$I$2:$N$2)/10^9),0)</f>
        <v>0</v>
      </c>
      <c r="AB1232" s="91">
        <f>IF($P$1110&gt;0,IPMT('Assumptions (Nuclear)'!$V$6,Model!AI$1,'Assumptions (Nuclear)'!$V$9,'Assumptions (Nuclear)'!$V$4*Model!$P$1110*AVERAGE('Assumptions (Nuclear)'!$I$2:$N$2)/10^9),0)</f>
        <v>0</v>
      </c>
      <c r="AC1232" s="91">
        <f>IF($P$1110&gt;0,IPMT('Assumptions (Nuclear)'!$V$6,Model!AJ$1,'Assumptions (Nuclear)'!$V$9,'Assumptions (Nuclear)'!$V$4*Model!$P$1110*AVERAGE('Assumptions (Nuclear)'!$I$2:$N$2)/10^9),0)</f>
        <v>0</v>
      </c>
      <c r="AD1232" s="91">
        <f>IF($P$1110&gt;0,IPMT('Assumptions (Nuclear)'!$V$6,Model!AK$1,'Assumptions (Nuclear)'!$V$9,'Assumptions (Nuclear)'!$V$4*Model!$P$1110*AVERAGE('Assumptions (Nuclear)'!$I$2:$N$2)/10^9),0)</f>
        <v>0</v>
      </c>
      <c r="AE1232" s="91"/>
      <c r="AF1232" s="91"/>
      <c r="AG1232" s="91"/>
      <c r="AH1232" s="91"/>
      <c r="AI1232" s="91"/>
      <c r="AJ1232" s="91"/>
      <c r="AK1232" s="91"/>
      <c r="AL1232" s="91"/>
      <c r="AM1232" s="91"/>
      <c r="AN1232" s="91"/>
      <c r="AU1232" s="147"/>
      <c r="AV1232" s="147"/>
      <c r="AW1232" s="147"/>
      <c r="AX1232" s="147"/>
      <c r="AY1232" s="147"/>
      <c r="AZ1232" s="147"/>
      <c r="BA1232" s="147"/>
    </row>
    <row r="1233" spans="1:56" ht="15.75" hidden="1" customHeight="1" outlineLevel="1">
      <c r="A1233" s="407"/>
      <c r="B1233" s="99"/>
      <c r="C1233" s="105"/>
      <c r="D1233" s="105"/>
      <c r="E1233" s="105"/>
      <c r="F1233" s="105"/>
      <c r="G1233" s="105"/>
      <c r="H1233" s="105"/>
      <c r="I1233" s="105"/>
      <c r="J1233" s="105"/>
      <c r="K1233" s="105"/>
      <c r="L1233" s="105"/>
      <c r="M1233" s="105"/>
      <c r="N1233" s="105"/>
      <c r="O1233" s="105"/>
      <c r="P1233" s="171"/>
      <c r="Q1233" s="105">
        <f>IF($Q$1110&gt;0,IPMT('Assumptions (Nuclear)'!$V$6,Model!W$1,'Assumptions (Nuclear)'!$V$9,'Assumptions (Nuclear)'!$V$4*Model!$Q$1110*AVERAGE('Assumptions (Nuclear)'!$J$2:$O$2)/10^9),0)</f>
        <v>0</v>
      </c>
      <c r="R1233" s="105">
        <f>IF($Q$1110&gt;0,IPMT('Assumptions (Nuclear)'!$V$6,Model!X$1,'Assumptions (Nuclear)'!$V$9,'Assumptions (Nuclear)'!$V$4*Model!$Q$1110*AVERAGE('Assumptions (Nuclear)'!$J$2:$O$2)/10^9),0)</f>
        <v>0</v>
      </c>
      <c r="S1233" s="105">
        <f>IF($Q$1110&gt;0,IPMT('Assumptions (Nuclear)'!$V$6,Model!Y$1,'Assumptions (Nuclear)'!$V$9,'Assumptions (Nuclear)'!$V$4*Model!$Q$1110*AVERAGE('Assumptions (Nuclear)'!$J$2:$O$2)/10^9),0)</f>
        <v>0</v>
      </c>
      <c r="T1233" s="105">
        <f>IF($Q$1110&gt;0,IPMT('Assumptions (Nuclear)'!$V$6,Model!Z$1,'Assumptions (Nuclear)'!$V$9,'Assumptions (Nuclear)'!$V$4*Model!$Q$1110*AVERAGE('Assumptions (Nuclear)'!$J$2:$O$2)/10^9),0)</f>
        <v>0</v>
      </c>
      <c r="U1233" s="105">
        <f>IF($Q$1110&gt;0,IPMT('Assumptions (Nuclear)'!$V$6,Model!AA$1,'Assumptions (Nuclear)'!$V$9,'Assumptions (Nuclear)'!$V$4*Model!$Q$1110*AVERAGE('Assumptions (Nuclear)'!$J$2:$O$2)/10^9),0)</f>
        <v>0</v>
      </c>
      <c r="V1233" s="105">
        <f>IF($Q$1110&gt;0,IPMT('Assumptions (Nuclear)'!$V$6,Model!AB$1,'Assumptions (Nuclear)'!$V$9,'Assumptions (Nuclear)'!$V$4*Model!$Q$1110*AVERAGE('Assumptions (Nuclear)'!$J$2:$O$2)/10^9),0)</f>
        <v>0</v>
      </c>
      <c r="W1233" s="105">
        <f>IF($Q$1110&gt;0,IPMT('Assumptions (Nuclear)'!$V$6,Model!AC$1,'Assumptions (Nuclear)'!$V$9,'Assumptions (Nuclear)'!$V$4*Model!$Q$1110*AVERAGE('Assumptions (Nuclear)'!$J$2:$O$2)/10^9),0)</f>
        <v>0</v>
      </c>
      <c r="X1233" s="105">
        <f>IF($Q$1110&gt;0,IPMT('Assumptions (Nuclear)'!$V$6,Model!AD$1,'Assumptions (Nuclear)'!$V$9,'Assumptions (Nuclear)'!$V$4*Model!$Q$1110*AVERAGE('Assumptions (Nuclear)'!$J$2:$O$2)/10^9),0)</f>
        <v>0</v>
      </c>
      <c r="Y1233" s="105">
        <f>IF($Q$1110&gt;0,IPMT('Assumptions (Nuclear)'!$V$6,Model!AE$1,'Assumptions (Nuclear)'!$V$9,'Assumptions (Nuclear)'!$V$4*Model!$Q$1110*AVERAGE('Assumptions (Nuclear)'!$J$2:$O$2)/10^9),0)</f>
        <v>0</v>
      </c>
      <c r="Z1233" s="105">
        <f>IF($Q$1110&gt;0,IPMT('Assumptions (Nuclear)'!$V$6,Model!AF$1,'Assumptions (Nuclear)'!$V$9,'Assumptions (Nuclear)'!$V$4*Model!$Q$1110*AVERAGE('Assumptions (Nuclear)'!$J$2:$O$2)/10^9),0)</f>
        <v>0</v>
      </c>
      <c r="AA1233" s="105">
        <f>IF($Q$1110&gt;0,IPMT('Assumptions (Nuclear)'!$V$6,Model!AG$1,'Assumptions (Nuclear)'!$V$9,'Assumptions (Nuclear)'!$V$4*Model!$Q$1110*AVERAGE('Assumptions (Nuclear)'!$J$2:$O$2)/10^9),0)</f>
        <v>0</v>
      </c>
      <c r="AB1233" s="105">
        <f>IF($Q$1110&gt;0,IPMT('Assumptions (Nuclear)'!$V$6,Model!AH$1,'Assumptions (Nuclear)'!$V$9,'Assumptions (Nuclear)'!$V$4*Model!$Q$1110*AVERAGE('Assumptions (Nuclear)'!$J$2:$O$2)/10^9),0)</f>
        <v>0</v>
      </c>
      <c r="AC1233" s="105">
        <f>IF($Q$1110&gt;0,IPMT('Assumptions (Nuclear)'!$V$6,Model!AI$1,'Assumptions (Nuclear)'!$V$9,'Assumptions (Nuclear)'!$V$4*Model!$Q$1110*AVERAGE('Assumptions (Nuclear)'!$J$2:$O$2)/10^9),0)</f>
        <v>0</v>
      </c>
      <c r="AD1233" s="105">
        <f>IF($Q$1110&gt;0,IPMT('Assumptions (Nuclear)'!$V$6,Model!AJ$1,'Assumptions (Nuclear)'!$V$9,'Assumptions (Nuclear)'!$V$4*Model!$Q$1110*AVERAGE('Assumptions (Nuclear)'!$J$2:$O$2)/10^9),0)</f>
        <v>0</v>
      </c>
      <c r="AE1233" s="105">
        <f>IF($Q$1110&gt;0,IPMT('Assumptions (Nuclear)'!$V$6,Model!AK$1,'Assumptions (Nuclear)'!$V$9,'Assumptions (Nuclear)'!$V$4*Model!$Q$1110*AVERAGE('Assumptions (Nuclear)'!$J$2:$O$2)/10^9),0)</f>
        <v>0</v>
      </c>
      <c r="AF1233" s="105"/>
      <c r="AG1233" s="105"/>
      <c r="AH1233" s="105"/>
      <c r="AI1233" s="105"/>
      <c r="AJ1233" s="105"/>
      <c r="AK1233" s="105"/>
      <c r="AL1233" s="105"/>
      <c r="AM1233" s="105"/>
      <c r="AN1233" s="105"/>
      <c r="AO1233" s="105"/>
      <c r="AU1233" s="147"/>
      <c r="AV1233" s="147"/>
      <c r="AW1233" s="147"/>
      <c r="AX1233" s="147"/>
      <c r="AY1233" s="147"/>
      <c r="AZ1233" s="147"/>
      <c r="BA1233" s="147"/>
    </row>
    <row r="1234" spans="1:56" ht="15.75" hidden="1" customHeight="1" outlineLevel="1">
      <c r="A1234" s="407"/>
      <c r="B1234" s="99"/>
      <c r="C1234" s="105"/>
      <c r="D1234" s="105"/>
      <c r="E1234" s="105"/>
      <c r="F1234" s="105"/>
      <c r="G1234" s="105"/>
      <c r="H1234" s="105"/>
      <c r="I1234" s="105"/>
      <c r="J1234" s="105"/>
      <c r="K1234" s="105"/>
      <c r="L1234" s="105"/>
      <c r="M1234" s="105"/>
      <c r="N1234" s="105"/>
      <c r="O1234" s="105"/>
      <c r="P1234" s="171"/>
      <c r="Q1234" s="105"/>
      <c r="R1234" s="91">
        <f>IF($R$1110&gt;0,IPMT('Assumptions (Nuclear)'!$V$6,Model!W$1,'Assumptions (Nuclear)'!$V$9,'Assumptions (Nuclear)'!$V$4*Model!$R$1110*AVERAGE('Assumptions (Nuclear)'!$K$2:$P$2)/10^9),0)</f>
        <v>0</v>
      </c>
      <c r="S1234" s="91">
        <f>IF($R$1110&gt;0,IPMT('Assumptions (Nuclear)'!$V$6,Model!X$1,'Assumptions (Nuclear)'!$V$9,'Assumptions (Nuclear)'!$V$4*Model!$R$1110*AVERAGE('Assumptions (Nuclear)'!$K$2:$P$2)/10^9),0)</f>
        <v>0</v>
      </c>
      <c r="T1234" s="91">
        <f>IF($R$1110&gt;0,IPMT('Assumptions (Nuclear)'!$V$6,Model!Y$1,'Assumptions (Nuclear)'!$V$9,'Assumptions (Nuclear)'!$V$4*Model!$R$1110*AVERAGE('Assumptions (Nuclear)'!$K$2:$P$2)/10^9),0)</f>
        <v>0</v>
      </c>
      <c r="U1234" s="91">
        <f>IF($R$1110&gt;0,IPMT('Assumptions (Nuclear)'!$V$6,Model!Z$1,'Assumptions (Nuclear)'!$V$9,'Assumptions (Nuclear)'!$V$4*Model!$R$1110*AVERAGE('Assumptions (Nuclear)'!$K$2:$P$2)/10^9),0)</f>
        <v>0</v>
      </c>
      <c r="V1234" s="91">
        <f>IF($R$1110&gt;0,IPMT('Assumptions (Nuclear)'!$V$6,Model!AA$1,'Assumptions (Nuclear)'!$V$9,'Assumptions (Nuclear)'!$V$4*Model!$R$1110*AVERAGE('Assumptions (Nuclear)'!$K$2:$P$2)/10^9),0)</f>
        <v>0</v>
      </c>
      <c r="W1234" s="91">
        <f>IF($R$1110&gt;0,IPMT('Assumptions (Nuclear)'!$V$6,Model!AB$1,'Assumptions (Nuclear)'!$V$9,'Assumptions (Nuclear)'!$V$4*Model!$R$1110*AVERAGE('Assumptions (Nuclear)'!$K$2:$P$2)/10^9),0)</f>
        <v>0</v>
      </c>
      <c r="X1234" s="91">
        <f>IF($R$1110&gt;0,IPMT('Assumptions (Nuclear)'!$V$6,Model!AC$1,'Assumptions (Nuclear)'!$V$9,'Assumptions (Nuclear)'!$V$4*Model!$R$1110*AVERAGE('Assumptions (Nuclear)'!$K$2:$P$2)/10^9),0)</f>
        <v>0</v>
      </c>
      <c r="Y1234" s="91">
        <f>IF($R$1110&gt;0,IPMT('Assumptions (Nuclear)'!$V$6,Model!AD$1,'Assumptions (Nuclear)'!$V$9,'Assumptions (Nuclear)'!$V$4*Model!$R$1110*AVERAGE('Assumptions (Nuclear)'!$K$2:$P$2)/10^9),0)</f>
        <v>0</v>
      </c>
      <c r="Z1234" s="91">
        <f>IF($R$1110&gt;0,IPMT('Assumptions (Nuclear)'!$V$6,Model!AE$1,'Assumptions (Nuclear)'!$V$9,'Assumptions (Nuclear)'!$V$4*Model!$R$1110*AVERAGE('Assumptions (Nuclear)'!$K$2:$P$2)/10^9),0)</f>
        <v>0</v>
      </c>
      <c r="AA1234" s="91">
        <f>IF($R$1110&gt;0,IPMT('Assumptions (Nuclear)'!$V$6,Model!AF$1,'Assumptions (Nuclear)'!$V$9,'Assumptions (Nuclear)'!$V$4*Model!$R$1110*AVERAGE('Assumptions (Nuclear)'!$K$2:$P$2)/10^9),0)</f>
        <v>0</v>
      </c>
      <c r="AB1234" s="91">
        <f>IF($R$1110&gt;0,IPMT('Assumptions (Nuclear)'!$V$6,Model!AG$1,'Assumptions (Nuclear)'!$V$9,'Assumptions (Nuclear)'!$V$4*Model!$R$1110*AVERAGE('Assumptions (Nuclear)'!$K$2:$P$2)/10^9),0)</f>
        <v>0</v>
      </c>
      <c r="AC1234" s="91">
        <f>IF($R$1110&gt;0,IPMT('Assumptions (Nuclear)'!$V$6,Model!AH$1,'Assumptions (Nuclear)'!$V$9,'Assumptions (Nuclear)'!$V$4*Model!$R$1110*AVERAGE('Assumptions (Nuclear)'!$K$2:$P$2)/10^9),0)</f>
        <v>0</v>
      </c>
      <c r="AD1234" s="91">
        <f>IF($R$1110&gt;0,IPMT('Assumptions (Nuclear)'!$V$6,Model!AI$1,'Assumptions (Nuclear)'!$V$9,'Assumptions (Nuclear)'!$V$4*Model!$R$1110*AVERAGE('Assumptions (Nuclear)'!$K$2:$P$2)/10^9),0)</f>
        <v>0</v>
      </c>
      <c r="AE1234" s="91">
        <f>IF($R$1110&gt;0,IPMT('Assumptions (Nuclear)'!$V$6,Model!AJ$1,'Assumptions (Nuclear)'!$V$9,'Assumptions (Nuclear)'!$V$4*Model!$R$1110*AVERAGE('Assumptions (Nuclear)'!$K$2:$P$2)/10^9),0)</f>
        <v>0</v>
      </c>
      <c r="AF1234" s="91">
        <f>IF($R$1110&gt;0,IPMT('Assumptions (Nuclear)'!$V$6,Model!AK$1,'Assumptions (Nuclear)'!$V$9,'Assumptions (Nuclear)'!$V$4*Model!$R$1110*AVERAGE('Assumptions (Nuclear)'!$K$2:$P$2)/10^9),0)</f>
        <v>0</v>
      </c>
      <c r="AG1234" s="91"/>
      <c r="AH1234" s="91"/>
      <c r="AI1234" s="91"/>
      <c r="AJ1234" s="91"/>
      <c r="AK1234" s="91"/>
      <c r="AL1234" s="91"/>
      <c r="AM1234" s="91"/>
      <c r="AN1234" s="91"/>
      <c r="AO1234" s="91"/>
      <c r="AP1234" s="91"/>
      <c r="AU1234" s="147"/>
      <c r="AV1234" s="147"/>
      <c r="AW1234" s="147"/>
      <c r="AX1234" s="147"/>
      <c r="AY1234" s="147"/>
      <c r="AZ1234" s="147"/>
      <c r="BA1234" s="147"/>
    </row>
    <row r="1235" spans="1:56" ht="15.75" hidden="1" customHeight="1" outlineLevel="1">
      <c r="A1235" s="407"/>
      <c r="B1235" s="99"/>
      <c r="C1235" s="105"/>
      <c r="D1235" s="105"/>
      <c r="E1235" s="105"/>
      <c r="F1235" s="105"/>
      <c r="G1235" s="105"/>
      <c r="H1235" s="105"/>
      <c r="I1235" s="105"/>
      <c r="J1235" s="105"/>
      <c r="K1235" s="105"/>
      <c r="L1235" s="105"/>
      <c r="M1235" s="105"/>
      <c r="N1235" s="105"/>
      <c r="O1235" s="105"/>
      <c r="P1235" s="171"/>
      <c r="Q1235" s="105"/>
      <c r="R1235" s="91"/>
      <c r="S1235" s="105">
        <f>IF($S$1110&gt;0,IPMT('Assumptions (Nuclear)'!$V$6,Model!W$1,'Assumptions (Nuclear)'!$V$9,'Assumptions (Nuclear)'!$V$4*Model!$S$1110*AVERAGE('Assumptions (Nuclear)'!$L$2:$Q$2)/10^9),0)</f>
        <v>-0.10932472848385089</v>
      </c>
      <c r="T1235" s="105">
        <f>IF($S$1110&gt;0,IPMT('Assumptions (Nuclear)'!$V$6,Model!X$1,'Assumptions (Nuclear)'!$V$9,'Assumptions (Nuclear)'!$V$4*Model!$S$1110*AVERAGE('Assumptions (Nuclear)'!$L$2:$Q$2)/10^9),0)</f>
        <v>-0.10416229078568313</v>
      </c>
      <c r="U1235" s="105">
        <f>IF($S$1110&gt;0,IPMT('Assumptions (Nuclear)'!$V$6,Model!Y$1,'Assumptions (Nuclear)'!$V$9,'Assumptions (Nuclear)'!$V$4*Model!$S$1110*AVERAGE('Assumptions (Nuclear)'!$L$2:$Q$2)/10^9),0)</f>
        <v>-9.8754637296852424E-2</v>
      </c>
      <c r="V1235" s="105">
        <f>IF($S$1110&gt;0,IPMT('Assumptions (Nuclear)'!$V$6,Model!Z$1,'Assumptions (Nuclear)'!$V$9,'Assumptions (Nuclear)'!$V$4*Model!$S$1110*AVERAGE('Assumptions (Nuclear)'!$L$2:$Q$2)/10^9),0)</f>
        <v>-9.309012026730229E-2</v>
      </c>
      <c r="W1235" s="105">
        <f>IF($S$1110&gt;0,IPMT('Assumptions (Nuclear)'!$V$6,Model!AA$1,'Assumptions (Nuclear)'!$V$9,'Assumptions (Nuclear)'!$V$4*Model!$S$1110*AVERAGE('Assumptions (Nuclear)'!$L$2:$Q$2)/10^9),0)</f>
        <v>-8.7156538678848497E-2</v>
      </c>
      <c r="X1235" s="105">
        <f>IF($S$1110&gt;0,IPMT('Assumptions (Nuclear)'!$V$6,Model!AB$1,'Assumptions (Nuclear)'!$V$9,'Assumptions (Nuclear)'!$V$4*Model!$S$1110*AVERAGE('Assumptions (Nuclear)'!$L$2:$Q$2)/10^9),0)</f>
        <v>-8.0941111964943149E-2</v>
      </c>
      <c r="Y1235" s="105">
        <f>IF($S$1110&gt;0,IPMT('Assumptions (Nuclear)'!$V$6,Model!AC$1,'Assumptions (Nuclear)'!$V$9,'Assumptions (Nuclear)'!$V$4*Model!$S$1110*AVERAGE('Assumptions (Nuclear)'!$L$2:$Q$2)/10^9),0)</f>
        <v>-7.4430452482127304E-2</v>
      </c>
      <c r="Z1235" s="105">
        <f>IF($S$1110&gt;0,IPMT('Assumptions (Nuclear)'!$V$6,Model!AD$1,'Assumptions (Nuclear)'!$V$9,'Assumptions (Nuclear)'!$V$4*Model!$S$1110*AVERAGE('Assumptions (Nuclear)'!$L$2:$Q$2)/10^9),0)</f>
        <v>-6.7610536673877716E-2</v>
      </c>
      <c r="AA1235" s="105">
        <f>IF($S$1110&gt;0,IPMT('Assumptions (Nuclear)'!$V$6,Model!AE$1,'Assumptions (Nuclear)'!$V$9,'Assumptions (Nuclear)'!$V$4*Model!$S$1110*AVERAGE('Assumptions (Nuclear)'!$L$2:$Q$2)/10^9),0)</f>
        <v>-6.0466674864736274E-2</v>
      </c>
      <c r="AB1235" s="105">
        <f>IF($S$1110&gt;0,IPMT('Assumptions (Nuclear)'!$V$6,Model!AF$1,'Assumptions (Nuclear)'!$V$9,'Assumptions (Nuclear)'!$V$4*Model!$S$1110*AVERAGE('Assumptions (Nuclear)'!$L$2:$Q$2)/10^9),0)</f>
        <v>-5.2983479619660594E-2</v>
      </c>
      <c r="AC1235" s="105">
        <f>IF($S$1110&gt;0,IPMT('Assumptions (Nuclear)'!$V$6,Model!AG$1,'Assumptions (Nuclear)'!$V$9,'Assumptions (Nuclear)'!$V$4*Model!$S$1110*AVERAGE('Assumptions (Nuclear)'!$L$2:$Q$2)/10^9),0)</f>
        <v>-4.5144832600443836E-2</v>
      </c>
      <c r="AD1235" s="105">
        <f>IF($S$1110&gt;0,IPMT('Assumptions (Nuclear)'!$V$6,Model!AH$1,'Assumptions (Nuclear)'!$V$9,'Assumptions (Nuclear)'!$V$4*Model!$S$1110*AVERAGE('Assumptions (Nuclear)'!$L$2:$Q$2)/10^9),0)</f>
        <v>-3.6933849847814275E-2</v>
      </c>
      <c r="AE1235" s="105">
        <f>IF($S$1110&gt;0,IPMT('Assumptions (Nuclear)'!$V$6,Model!AI$1,'Assumptions (Nuclear)'!$V$9,'Assumptions (Nuclear)'!$V$4*Model!$S$1110*AVERAGE('Assumptions (Nuclear)'!$L$2:$Q$2)/10^9),0)</f>
        <v>-2.8332845414434808E-2</v>
      </c>
      <c r="AF1235" s="105">
        <f>IF($S$1110&gt;0,IPMT('Assumptions (Nuclear)'!$V$6,Model!AJ$1,'Assumptions (Nuclear)'!$V$9,'Assumptions (Nuclear)'!$V$4*Model!$S$1110*AVERAGE('Assumptions (Nuclear)'!$L$2:$Q$2)/10^9),0)</f>
        <v>-1.9323293270469815E-2</v>
      </c>
      <c r="AG1235" s="105">
        <f>IF($S$1110&gt;0,IPMT('Assumptions (Nuclear)'!$V$6,Model!AK$1,'Assumptions (Nuclear)'!$V$9,'Assumptions (Nuclear)'!$V$4*Model!$S$1110*AVERAGE('Assumptions (Nuclear)'!$L$2:$Q$2)/10^9),0)</f>
        <v>-9.8857873996664857E-3</v>
      </c>
      <c r="AH1235" s="105"/>
      <c r="AI1235" s="105"/>
      <c r="AJ1235" s="105"/>
      <c r="AK1235" s="105"/>
      <c r="AL1235" s="105"/>
      <c r="AM1235" s="105"/>
      <c r="AN1235" s="105"/>
      <c r="AO1235" s="105"/>
      <c r="AP1235" s="105"/>
      <c r="AQ1235" s="105"/>
      <c r="AU1235" s="147"/>
      <c r="AV1235" s="147"/>
      <c r="AW1235" s="147"/>
      <c r="AX1235" s="147"/>
      <c r="AY1235" s="147"/>
      <c r="AZ1235" s="147"/>
      <c r="BA1235" s="147"/>
    </row>
    <row r="1236" spans="1:56" ht="15.75" hidden="1" customHeight="1" outlineLevel="1">
      <c r="A1236" s="407"/>
      <c r="B1236" s="99"/>
      <c r="C1236" s="105"/>
      <c r="D1236" s="105"/>
      <c r="E1236" s="105"/>
      <c r="F1236" s="105"/>
      <c r="G1236" s="105"/>
      <c r="H1236" s="105"/>
      <c r="I1236" s="105"/>
      <c r="J1236" s="105"/>
      <c r="K1236" s="105"/>
      <c r="L1236" s="105"/>
      <c r="M1236" s="105"/>
      <c r="N1236" s="105"/>
      <c r="O1236" s="105"/>
      <c r="P1236" s="171"/>
      <c r="Q1236" s="105"/>
      <c r="R1236" s="91"/>
      <c r="S1236" s="91"/>
      <c r="T1236" s="105">
        <f>IF($T$1110&gt;0,IPMT('Assumptions (Nuclear)'!$V$6,Model!W$1,'Assumptions (Nuclear)'!$V$9,'Assumptions (Nuclear)'!$V$4*Model!$T$1110*AVERAGE('Assumptions (Nuclear)'!$M$2:$R$2)/10^9),0)</f>
        <v>0</v>
      </c>
      <c r="U1236" s="105">
        <f>IF($T$1110&gt;0,IPMT('Assumptions (Nuclear)'!$V$6,Model!X$1,'Assumptions (Nuclear)'!$V$9,'Assumptions (Nuclear)'!$V$4*Model!$T$1110*AVERAGE('Assumptions (Nuclear)'!$M$2:$R$2)/10^9),0)</f>
        <v>0</v>
      </c>
      <c r="V1236" s="105">
        <f>IF($T$1110&gt;0,IPMT('Assumptions (Nuclear)'!$V$6,Model!Y$1,'Assumptions (Nuclear)'!$V$9,'Assumptions (Nuclear)'!$V$4*Model!$T$1110*AVERAGE('Assumptions (Nuclear)'!$M$2:$R$2)/10^9),0)</f>
        <v>0</v>
      </c>
      <c r="W1236" s="105">
        <f>IF($T$1110&gt;0,IPMT('Assumptions (Nuclear)'!$V$6,Model!Z$1,'Assumptions (Nuclear)'!$V$9,'Assumptions (Nuclear)'!$V$4*Model!$T$1110*AVERAGE('Assumptions (Nuclear)'!$M$2:$R$2)/10^9),0)</f>
        <v>0</v>
      </c>
      <c r="X1236" s="105">
        <f>IF($T$1110&gt;0,IPMT('Assumptions (Nuclear)'!$V$6,Model!AA$1,'Assumptions (Nuclear)'!$V$9,'Assumptions (Nuclear)'!$V$4*Model!$T$1110*AVERAGE('Assumptions (Nuclear)'!$M$2:$R$2)/10^9),0)</f>
        <v>0</v>
      </c>
      <c r="Y1236" s="105">
        <f>IF($T$1110&gt;0,IPMT('Assumptions (Nuclear)'!$V$6,Model!AB$1,'Assumptions (Nuclear)'!$V$9,'Assumptions (Nuclear)'!$V$4*Model!$T$1110*AVERAGE('Assumptions (Nuclear)'!$M$2:$R$2)/10^9),0)</f>
        <v>0</v>
      </c>
      <c r="Z1236" s="105">
        <f>IF($T$1110&gt;0,IPMT('Assumptions (Nuclear)'!$V$6,Model!AC$1,'Assumptions (Nuclear)'!$V$9,'Assumptions (Nuclear)'!$V$4*Model!$T$1110*AVERAGE('Assumptions (Nuclear)'!$M$2:$R$2)/10^9),0)</f>
        <v>0</v>
      </c>
      <c r="AA1236" s="105">
        <f>IF($T$1110&gt;0,IPMT('Assumptions (Nuclear)'!$V$6,Model!AD$1,'Assumptions (Nuclear)'!$V$9,'Assumptions (Nuclear)'!$V$4*Model!$T$1110*AVERAGE('Assumptions (Nuclear)'!$M$2:$R$2)/10^9),0)</f>
        <v>0</v>
      </c>
      <c r="AB1236" s="105">
        <f>IF($T$1110&gt;0,IPMT('Assumptions (Nuclear)'!$V$6,Model!AE$1,'Assumptions (Nuclear)'!$V$9,'Assumptions (Nuclear)'!$V$4*Model!$T$1110*AVERAGE('Assumptions (Nuclear)'!$M$2:$R$2)/10^9),0)</f>
        <v>0</v>
      </c>
      <c r="AC1236" s="105">
        <f>IF($T$1110&gt;0,IPMT('Assumptions (Nuclear)'!$V$6,Model!AF$1,'Assumptions (Nuclear)'!$V$9,'Assumptions (Nuclear)'!$V$4*Model!$T$1110*AVERAGE('Assumptions (Nuclear)'!$M$2:$R$2)/10^9),0)</f>
        <v>0</v>
      </c>
      <c r="AD1236" s="105">
        <f>IF($T$1110&gt;0,IPMT('Assumptions (Nuclear)'!$V$6,Model!AG$1,'Assumptions (Nuclear)'!$V$9,'Assumptions (Nuclear)'!$V$4*Model!$T$1110*AVERAGE('Assumptions (Nuclear)'!$M$2:$R$2)/10^9),0)</f>
        <v>0</v>
      </c>
      <c r="AE1236" s="105">
        <f>IF($T$1110&gt;0,IPMT('Assumptions (Nuclear)'!$V$6,Model!AH$1,'Assumptions (Nuclear)'!$V$9,'Assumptions (Nuclear)'!$V$4*Model!$T$1110*AVERAGE('Assumptions (Nuclear)'!$M$2:$R$2)/10^9),0)</f>
        <v>0</v>
      </c>
      <c r="AF1236" s="105">
        <f>IF($T$1110&gt;0,IPMT('Assumptions (Nuclear)'!$V$6,Model!AI$1,'Assumptions (Nuclear)'!$V$9,'Assumptions (Nuclear)'!$V$4*Model!$T$1110*AVERAGE('Assumptions (Nuclear)'!$M$2:$R$2)/10^9),0)</f>
        <v>0</v>
      </c>
      <c r="AG1236" s="105">
        <f>IF($T$1110&gt;0,IPMT('Assumptions (Nuclear)'!$V$6,Model!AJ$1,'Assumptions (Nuclear)'!$V$9,'Assumptions (Nuclear)'!$V$4*Model!$T$1110*AVERAGE('Assumptions (Nuclear)'!$M$2:$R$2)/10^9),0)</f>
        <v>0</v>
      </c>
      <c r="AH1236" s="105">
        <f>IF($T$1110&gt;0,IPMT('Assumptions (Nuclear)'!$V$6,Model!AK$1,'Assumptions (Nuclear)'!$V$9,'Assumptions (Nuclear)'!$V$4*Model!$T$1110*AVERAGE('Assumptions (Nuclear)'!$M$2:$R$2)/10^9),0)</f>
        <v>0</v>
      </c>
      <c r="AI1236" s="105"/>
      <c r="AJ1236" s="105"/>
      <c r="AK1236" s="105"/>
      <c r="AL1236" s="105"/>
      <c r="AM1236" s="105"/>
      <c r="AN1236" s="105"/>
      <c r="AO1236" s="105"/>
      <c r="AP1236" s="105"/>
      <c r="AQ1236" s="105"/>
      <c r="AR1236" s="105"/>
      <c r="AU1236" s="147"/>
      <c r="AV1236" s="147"/>
      <c r="AW1236" s="147"/>
      <c r="AX1236" s="147"/>
      <c r="AY1236" s="147"/>
      <c r="AZ1236" s="147"/>
      <c r="BA1236" s="147"/>
    </row>
    <row r="1237" spans="1:56" ht="15.75" hidden="1" customHeight="1" outlineLevel="1">
      <c r="A1237" s="407"/>
      <c r="B1237" s="99"/>
      <c r="C1237" s="105"/>
      <c r="D1237" s="105"/>
      <c r="E1237" s="105"/>
      <c r="F1237" s="105"/>
      <c r="G1237" s="105"/>
      <c r="H1237" s="105"/>
      <c r="I1237" s="105"/>
      <c r="J1237" s="105"/>
      <c r="K1237" s="105"/>
      <c r="L1237" s="105"/>
      <c r="M1237" s="105"/>
      <c r="N1237" s="105"/>
      <c r="O1237" s="105"/>
      <c r="P1237" s="171"/>
      <c r="Q1237" s="105"/>
      <c r="R1237" s="91"/>
      <c r="S1237" s="91"/>
      <c r="T1237" s="91"/>
      <c r="U1237" s="105">
        <f>IF($U$1110&gt;0,IPMT('Assumptions (Nuclear)'!$V$6,Model!W$1,'Assumptions (Nuclear)'!$V$9,'Assumptions (Nuclear)'!$V$4*Model!$U$1110*AVERAGE('Assumptions (Nuclear)'!$N$2:$S$2)/10^9),0)</f>
        <v>0</v>
      </c>
      <c r="V1237" s="105">
        <f>IF($U$1110&gt;0,IPMT('Assumptions (Nuclear)'!$V$6,Model!X$1,'Assumptions (Nuclear)'!$V$9,'Assumptions (Nuclear)'!$V$4*Model!$U$1110*AVERAGE('Assumptions (Nuclear)'!$N$2:$S$2)/10^9),0)</f>
        <v>0</v>
      </c>
      <c r="W1237" s="105">
        <f>IF($U$1110&gt;0,IPMT('Assumptions (Nuclear)'!$V$6,Model!Y$1,'Assumptions (Nuclear)'!$V$9,'Assumptions (Nuclear)'!$V$4*Model!$U$1110*AVERAGE('Assumptions (Nuclear)'!$N$2:$S$2)/10^9),0)</f>
        <v>0</v>
      </c>
      <c r="X1237" s="105">
        <f>IF($U$1110&gt;0,IPMT('Assumptions (Nuclear)'!$V$6,Model!Z$1,'Assumptions (Nuclear)'!$V$9,'Assumptions (Nuclear)'!$V$4*Model!$U$1110*AVERAGE('Assumptions (Nuclear)'!$N$2:$S$2)/10^9),0)</f>
        <v>0</v>
      </c>
      <c r="Y1237" s="105">
        <f>IF($U$1110&gt;0,IPMT('Assumptions (Nuclear)'!$V$6,Model!AA$1,'Assumptions (Nuclear)'!$V$9,'Assumptions (Nuclear)'!$V$4*Model!$U$1110*AVERAGE('Assumptions (Nuclear)'!$N$2:$S$2)/10^9),0)</f>
        <v>0</v>
      </c>
      <c r="Z1237" s="105">
        <f>IF($U$1110&gt;0,IPMT('Assumptions (Nuclear)'!$V$6,Model!AB$1,'Assumptions (Nuclear)'!$V$9,'Assumptions (Nuclear)'!$V$4*Model!$U$1110*AVERAGE('Assumptions (Nuclear)'!$N$2:$S$2)/10^9),0)</f>
        <v>0</v>
      </c>
      <c r="AA1237" s="105">
        <f>IF($U$1110&gt;0,IPMT('Assumptions (Nuclear)'!$V$6,Model!AC$1,'Assumptions (Nuclear)'!$V$9,'Assumptions (Nuclear)'!$V$4*Model!$U$1110*AVERAGE('Assumptions (Nuclear)'!$N$2:$S$2)/10^9),0)</f>
        <v>0</v>
      </c>
      <c r="AB1237" s="105">
        <f>IF($U$1110&gt;0,IPMT('Assumptions (Nuclear)'!$V$6,Model!AD$1,'Assumptions (Nuclear)'!$V$9,'Assumptions (Nuclear)'!$V$4*Model!$U$1110*AVERAGE('Assumptions (Nuclear)'!$N$2:$S$2)/10^9),0)</f>
        <v>0</v>
      </c>
      <c r="AC1237" s="105">
        <f>IF($U$1110&gt;0,IPMT('Assumptions (Nuclear)'!$V$6,Model!AE$1,'Assumptions (Nuclear)'!$V$9,'Assumptions (Nuclear)'!$V$4*Model!$U$1110*AVERAGE('Assumptions (Nuclear)'!$N$2:$S$2)/10^9),0)</f>
        <v>0</v>
      </c>
      <c r="AD1237" s="105">
        <f>IF($U$1110&gt;0,IPMT('Assumptions (Nuclear)'!$V$6,Model!AF$1,'Assumptions (Nuclear)'!$V$9,'Assumptions (Nuclear)'!$V$4*Model!$U$1110*AVERAGE('Assumptions (Nuclear)'!$N$2:$S$2)/10^9),0)</f>
        <v>0</v>
      </c>
      <c r="AE1237" s="105">
        <f>IF($U$1110&gt;0,IPMT('Assumptions (Nuclear)'!$V$6,Model!AG$1,'Assumptions (Nuclear)'!$V$9,'Assumptions (Nuclear)'!$V$4*Model!$U$1110*AVERAGE('Assumptions (Nuclear)'!$N$2:$S$2)/10^9),0)</f>
        <v>0</v>
      </c>
      <c r="AF1237" s="105">
        <f>IF($U$1110&gt;0,IPMT('Assumptions (Nuclear)'!$V$6,Model!AH$1,'Assumptions (Nuclear)'!$V$9,'Assumptions (Nuclear)'!$V$4*Model!$U$1110*AVERAGE('Assumptions (Nuclear)'!$N$2:$S$2)/10^9),0)</f>
        <v>0</v>
      </c>
      <c r="AG1237" s="105">
        <f>IF($U$1110&gt;0,IPMT('Assumptions (Nuclear)'!$V$6,Model!AI$1,'Assumptions (Nuclear)'!$V$9,'Assumptions (Nuclear)'!$V$4*Model!$U$1110*AVERAGE('Assumptions (Nuclear)'!$N$2:$S$2)/10^9),0)</f>
        <v>0</v>
      </c>
      <c r="AH1237" s="105">
        <f>IF($U$1110&gt;0,IPMT('Assumptions (Nuclear)'!$V$6,Model!AJ$1,'Assumptions (Nuclear)'!$V$9,'Assumptions (Nuclear)'!$V$4*Model!$U$1110*AVERAGE('Assumptions (Nuclear)'!$N$2:$S$2)/10^9),0)</f>
        <v>0</v>
      </c>
      <c r="AI1237" s="105">
        <f>IF($U$1110&gt;0,IPMT('Assumptions (Nuclear)'!$V$6,Model!AK$1,'Assumptions (Nuclear)'!$V$9,'Assumptions (Nuclear)'!$V$4*Model!$U$1110*AVERAGE('Assumptions (Nuclear)'!$N$2:$S$2)/10^9),0)</f>
        <v>0</v>
      </c>
      <c r="AJ1237" s="105"/>
      <c r="AK1237" s="105"/>
      <c r="AL1237" s="105"/>
      <c r="AM1237" s="105"/>
      <c r="AN1237" s="105"/>
      <c r="AO1237" s="105"/>
      <c r="AP1237" s="105"/>
      <c r="AQ1237" s="105"/>
      <c r="AR1237" s="105"/>
      <c r="AS1237" s="105"/>
      <c r="AU1237" s="147"/>
      <c r="AV1237" s="147"/>
      <c r="AW1237" s="147"/>
      <c r="AX1237" s="147"/>
      <c r="AY1237" s="147"/>
      <c r="AZ1237" s="147"/>
      <c r="BA1237" s="147"/>
    </row>
    <row r="1238" spans="1:56" ht="15.75" hidden="1" customHeight="1" outlineLevel="1">
      <c r="A1238" s="407"/>
      <c r="B1238" s="99"/>
      <c r="C1238" s="105"/>
      <c r="D1238" s="105"/>
      <c r="E1238" s="105"/>
      <c r="F1238" s="105"/>
      <c r="G1238" s="105"/>
      <c r="H1238" s="105"/>
      <c r="I1238" s="105"/>
      <c r="J1238" s="105"/>
      <c r="K1238" s="105"/>
      <c r="L1238" s="105"/>
      <c r="M1238" s="105"/>
      <c r="N1238" s="105"/>
      <c r="O1238" s="105"/>
      <c r="P1238" s="171"/>
      <c r="Q1238" s="105"/>
      <c r="R1238" s="91"/>
      <c r="S1238" s="91"/>
      <c r="T1238" s="91"/>
      <c r="U1238" s="105"/>
      <c r="V1238" s="105">
        <f>IF($V$1110&gt;0,IPMT('Assumptions (Nuclear)'!$V$6,Model!W$1,'Assumptions (Nuclear)'!$V$9,'Assumptions (Nuclear)'!$V$4*Model!$V$1110*AVERAGE('Assumptions (Nuclear)'!$O$2:$T$2)/10^9),0)</f>
        <v>-0.11374144751459848</v>
      </c>
      <c r="W1238" s="105">
        <f>IF($V$1110&gt;0,IPMT('Assumptions (Nuclear)'!$V$6,Model!X$1,'Assumptions (Nuclear)'!$V$9,'Assumptions (Nuclear)'!$V$4*Model!$V$1110*AVERAGE('Assumptions (Nuclear)'!$O$2:$T$2)/10^9),0)</f>
        <v>-0.10837044733342478</v>
      </c>
      <c r="X1238" s="105">
        <f>IF($V$1110&gt;0,IPMT('Assumptions (Nuclear)'!$V$6,Model!Y$1,'Assumptions (Nuclear)'!$V$9,'Assumptions (Nuclear)'!$V$4*Model!$V$1110*AVERAGE('Assumptions (Nuclear)'!$O$2:$T$2)/10^9),0)</f>
        <v>-0.1027443246436453</v>
      </c>
      <c r="Y1238" s="105">
        <f>IF($V$1110&gt;0,IPMT('Assumptions (Nuclear)'!$V$6,Model!Z$1,'Assumptions (Nuclear)'!$V$9,'Assumptions (Nuclear)'!$V$4*Model!$V$1110*AVERAGE('Assumptions (Nuclear)'!$O$2:$T$2)/10^9),0)</f>
        <v>-9.6850961126101323E-2</v>
      </c>
      <c r="Z1238" s="105">
        <f>IF($V$1110&gt;0,IPMT('Assumptions (Nuclear)'!$V$6,Model!AA$1,'Assumptions (Nuclear)'!$V$9,'Assumptions (Nuclear)'!$V$4*Model!$V$1110*AVERAGE('Assumptions (Nuclear)'!$O$2:$T$2)/10^9),0)</f>
        <v>-9.0677662841474008E-2</v>
      </c>
      <c r="AA1238" s="105">
        <f>IF($V$1110&gt;0,IPMT('Assumptions (Nuclear)'!$V$6,Model!AB$1,'Assumptions (Nuclear)'!$V$9,'Assumptions (Nuclear)'!$V$4*Model!$V$1110*AVERAGE('Assumptions (Nuclear)'!$O$2:$T$2)/10^9),0)</f>
        <v>-8.4211132888326892E-2</v>
      </c>
      <c r="AB1238" s="105">
        <f>IF($V$1110&gt;0,IPMT('Assumptions (Nuclear)'!$V$6,Model!AC$1,'Assumptions (Nuclear)'!$V$9,'Assumptions (Nuclear)'!$V$4*Model!$V$1110*AVERAGE('Assumptions (Nuclear)'!$O$2:$T$2)/10^9),0)</f>
        <v>-7.7437442762405273E-2</v>
      </c>
      <c r="AC1238" s="105">
        <f>IF($V$1110&gt;0,IPMT('Assumptions (Nuclear)'!$V$6,Model!AD$1,'Assumptions (Nuclear)'!$V$9,'Assumptions (Nuclear)'!$V$4*Model!$V$1110*AVERAGE('Assumptions (Nuclear)'!$O$2:$T$2)/10^9),0)</f>
        <v>-7.0342002355502406E-2</v>
      </c>
      <c r="AD1238" s="105">
        <f>IF($V$1110&gt;0,IPMT('Assumptions (Nuclear)'!$V$6,Model!AE$1,'Assumptions (Nuclear)'!$V$9,'Assumptions (Nuclear)'!$V$4*Model!$V$1110*AVERAGE('Assumptions (Nuclear)'!$O$2:$T$2)/10^9),0)</f>
        <v>-6.2909528529271633E-2</v>
      </c>
      <c r="AE1238" s="105">
        <f>IF($V$1110&gt;0,IPMT('Assumptions (Nuclear)'!$V$6,Model!AF$1,'Assumptions (Nuclear)'!$V$9,'Assumptions (Nuclear)'!$V$4*Model!$V$1110*AVERAGE('Assumptions (Nuclear)'!$O$2:$T$2)/10^9),0)</f>
        <v>-5.5124012196294904E-2</v>
      </c>
      <c r="AF1238" s="105">
        <f>IF($V$1110&gt;0,IPMT('Assumptions (Nuclear)'!$V$6,Model!AG$1,'Assumptions (Nuclear)'!$V$9,'Assumptions (Nuclear)'!$V$4*Model!$V$1110*AVERAGE('Assumptions (Nuclear)'!$O$2:$T$2)/10^9),0)</f>
        <v>-4.696868383750178E-2</v>
      </c>
      <c r="AG1238" s="105">
        <f>IF($V$1110&gt;0,IPMT('Assumptions (Nuclear)'!$V$6,Model!AH$1,'Assumptions (Nuclear)'!$V$9,'Assumptions (Nuclear)'!$V$4*Model!$V$1110*AVERAGE('Assumptions (Nuclear)'!$O$2:$T$2)/10^9),0)</f>
        <v>-3.8425977381665991E-2</v>
      </c>
      <c r="AH1238" s="105">
        <f>IF($V$1110&gt;0,IPMT('Assumptions (Nuclear)'!$V$6,Model!AI$1,'Assumptions (Nuclear)'!$V$9,'Assumptions (Nuclear)'!$V$4*Model!$V$1110*AVERAGE('Assumptions (Nuclear)'!$O$2:$T$2)/10^9),0)</f>
        <v>-2.9477492369177984E-2</v>
      </c>
      <c r="AI1238" s="105">
        <f>IF($V$1110&gt;0,IPMT('Assumptions (Nuclear)'!$V$6,Model!AJ$1,'Assumptions (Nuclear)'!$V$9,'Assumptions (Nuclear)'!$V$4*Model!$V$1110*AVERAGE('Assumptions (Nuclear)'!$O$2:$T$2)/10^9),0)</f>
        <v>-2.0103954318596802E-2</v>
      </c>
      <c r="AJ1238" s="105">
        <f>IF($V$1110&gt;0,IPMT('Assumptions (Nuclear)'!$V$6,Model!AK$1,'Assumptions (Nuclear)'!$V$9,'Assumptions (Nuclear)'!$V$4*Model!$V$1110*AVERAGE('Assumptions (Nuclear)'!$O$2:$T$2)/10^9),0)</f>
        <v>-1.0285173210613016E-2</v>
      </c>
      <c r="AK1238" s="105"/>
      <c r="AL1238" s="105"/>
      <c r="AM1238" s="105"/>
      <c r="AN1238" s="105"/>
      <c r="AO1238" s="105"/>
      <c r="AP1238" s="105"/>
      <c r="AQ1238" s="105"/>
      <c r="AR1238" s="105"/>
      <c r="AS1238" s="105"/>
      <c r="AT1238" s="105"/>
      <c r="AU1238" s="147"/>
      <c r="AV1238" s="147"/>
      <c r="AW1238" s="147"/>
      <c r="AX1238" s="147"/>
      <c r="AY1238" s="147"/>
      <c r="AZ1238" s="147"/>
      <c r="BA1238" s="147"/>
    </row>
    <row r="1239" spans="1:56" ht="15.75" hidden="1" customHeight="1" outlineLevel="1">
      <c r="A1239" s="407"/>
      <c r="B1239" s="99"/>
      <c r="C1239" s="99"/>
      <c r="D1239" s="99"/>
      <c r="E1239" s="99"/>
      <c r="F1239" s="99"/>
      <c r="G1239" s="99"/>
      <c r="H1239" s="99"/>
      <c r="I1239" s="99"/>
      <c r="J1239" s="99"/>
      <c r="K1239" s="99"/>
      <c r="L1239" s="99"/>
      <c r="M1239" s="99"/>
      <c r="N1239" s="99"/>
      <c r="O1239" s="99"/>
      <c r="P1239" s="99"/>
      <c r="Q1239" s="99"/>
      <c r="R1239" s="99"/>
      <c r="S1239" s="99"/>
      <c r="T1239" s="99"/>
      <c r="U1239" s="99"/>
      <c r="V1239" s="99"/>
      <c r="W1239" s="105">
        <f>IF($W$1110&gt;0,IPMT('Assumptions (Nuclear)'!$V$6,Model!W1,'Assumptions (Nuclear)'!$V$9,'Assumptions (Nuclear)'!$V$4*Model!$W$1110*AVERAGE('Assumptions (Nuclear)'!$P$2:$U$2)/10^9),0)</f>
        <v>0</v>
      </c>
      <c r="X1239" s="105">
        <f>IF($W$1110&gt;0,IPMT('Assumptions (Nuclear)'!$V$6,Model!X1,'Assumptions (Nuclear)'!$V$9,'Assumptions (Nuclear)'!$V$4*Model!$W$1110*AVERAGE('Assumptions (Nuclear)'!$P$2:$U$2)/10^9),0)</f>
        <v>0</v>
      </c>
      <c r="Y1239" s="105">
        <f>IF($W$1110&gt;0,IPMT('Assumptions (Nuclear)'!$V$6,Model!Y1,'Assumptions (Nuclear)'!$V$9,'Assumptions (Nuclear)'!$V$4*Model!$W$1110*AVERAGE('Assumptions (Nuclear)'!$P$2:$U$2)/10^9),0)</f>
        <v>0</v>
      </c>
      <c r="Z1239" s="105">
        <f>IF($W$1110&gt;0,IPMT('Assumptions (Nuclear)'!$V$6,Model!Z1,'Assumptions (Nuclear)'!$V$9,'Assumptions (Nuclear)'!$V$4*Model!$W$1110*AVERAGE('Assumptions (Nuclear)'!$P$2:$U$2)/10^9),0)</f>
        <v>0</v>
      </c>
      <c r="AA1239" s="105">
        <f>IF($W$1110&gt;0,IPMT('Assumptions (Nuclear)'!$V$6,Model!AA1,'Assumptions (Nuclear)'!$V$9,'Assumptions (Nuclear)'!$V$4*Model!$W$1110*AVERAGE('Assumptions (Nuclear)'!$P$2:$U$2)/10^9),0)</f>
        <v>0</v>
      </c>
      <c r="AB1239" s="105">
        <f>IF($W$1110&gt;0,IPMT('Assumptions (Nuclear)'!$V$6,Model!AB1,'Assumptions (Nuclear)'!$V$9,'Assumptions (Nuclear)'!$V$4*Model!$W$1110*AVERAGE('Assumptions (Nuclear)'!$P$2:$U$2)/10^9),0)</f>
        <v>0</v>
      </c>
      <c r="AC1239" s="105">
        <f>IF($W$1110&gt;0,IPMT('Assumptions (Nuclear)'!$V$6,Model!AC1,'Assumptions (Nuclear)'!$V$9,'Assumptions (Nuclear)'!$V$4*Model!$W$1110*AVERAGE('Assumptions (Nuclear)'!$P$2:$U$2)/10^9),0)</f>
        <v>0</v>
      </c>
      <c r="AD1239" s="105">
        <f>IF($W$1110&gt;0,IPMT('Assumptions (Nuclear)'!$V$6,Model!AD1,'Assumptions (Nuclear)'!$V$9,'Assumptions (Nuclear)'!$V$4*Model!$W$1110*AVERAGE('Assumptions (Nuclear)'!$P$2:$U$2)/10^9),0)</f>
        <v>0</v>
      </c>
      <c r="AE1239" s="105">
        <f>IF($W$1110&gt;0,IPMT('Assumptions (Nuclear)'!$V$6,Model!AE1,'Assumptions (Nuclear)'!$V$9,'Assumptions (Nuclear)'!$V$4*Model!$W$1110*AVERAGE('Assumptions (Nuclear)'!$P$2:$U$2)/10^9),0)</f>
        <v>0</v>
      </c>
      <c r="AF1239" s="105">
        <f>IF($W$1110&gt;0,IPMT('Assumptions (Nuclear)'!$V$6,Model!AF1,'Assumptions (Nuclear)'!$V$9,'Assumptions (Nuclear)'!$V$4*Model!$W$1110*AVERAGE('Assumptions (Nuclear)'!$P$2:$U$2)/10^9),0)</f>
        <v>0</v>
      </c>
      <c r="AG1239" s="105">
        <f>IF($W$1110&gt;0,IPMT('Assumptions (Nuclear)'!$V$6,Model!AG1,'Assumptions (Nuclear)'!$V$9,'Assumptions (Nuclear)'!$V$4*Model!$W$1110*AVERAGE('Assumptions (Nuclear)'!$P$2:$U$2)/10^9),0)</f>
        <v>0</v>
      </c>
      <c r="AH1239" s="105">
        <f>IF($W$1110&gt;0,IPMT('Assumptions (Nuclear)'!$V$6,Model!AH1,'Assumptions (Nuclear)'!$V$9,'Assumptions (Nuclear)'!$V$4*Model!$W$1110*AVERAGE('Assumptions (Nuclear)'!$P$2:$U$2)/10^9),0)</f>
        <v>0</v>
      </c>
      <c r="AI1239" s="105">
        <f>IF($W$1110&gt;0,IPMT('Assumptions (Nuclear)'!$V$6,Model!AI1,'Assumptions (Nuclear)'!$V$9,'Assumptions (Nuclear)'!$V$4*Model!$W$1110*AVERAGE('Assumptions (Nuclear)'!$P$2:$U$2)/10^9),0)</f>
        <v>0</v>
      </c>
      <c r="AJ1239" s="105">
        <f>IF($W$1110&gt;0,IPMT('Assumptions (Nuclear)'!$V$6,Model!AJ1,'Assumptions (Nuclear)'!$V$9,'Assumptions (Nuclear)'!$V$4*Model!$W$1110*AVERAGE('Assumptions (Nuclear)'!$P$2:$U$2)/10^9),0)</f>
        <v>0</v>
      </c>
      <c r="AK1239" s="105">
        <f>IF($W$1110&gt;0,IPMT('Assumptions (Nuclear)'!$V$6,Model!AK1,'Assumptions (Nuclear)'!$V$9,'Assumptions (Nuclear)'!$V$4*Model!$W$1110*AVERAGE('Assumptions (Nuclear)'!$P$2:$U$2)/10^9),0)</f>
        <v>0</v>
      </c>
      <c r="AL1239" s="105"/>
      <c r="AM1239" s="105"/>
      <c r="AN1239" s="105"/>
      <c r="AO1239" s="105"/>
      <c r="AP1239" s="105"/>
      <c r="AQ1239" s="105"/>
      <c r="AR1239" s="105"/>
      <c r="AS1239" s="105"/>
      <c r="AT1239" s="105"/>
      <c r="AU1239" s="105"/>
      <c r="AV1239" s="105"/>
      <c r="AW1239" s="105"/>
      <c r="AX1239" s="105"/>
      <c r="AY1239" s="105"/>
      <c r="AZ1239" s="105"/>
      <c r="BA1239" s="105"/>
    </row>
    <row r="1240" spans="1:56" ht="15.75" hidden="1" customHeight="1" outlineLevel="1">
      <c r="A1240" s="407"/>
      <c r="B1240" s="99"/>
      <c r="C1240" s="99"/>
      <c r="D1240" s="99"/>
      <c r="E1240" s="99"/>
      <c r="F1240" s="99"/>
      <c r="G1240" s="99"/>
      <c r="H1240" s="99"/>
      <c r="I1240" s="99"/>
      <c r="J1240" s="99"/>
      <c r="K1240" s="99"/>
      <c r="L1240" s="99"/>
      <c r="M1240" s="99"/>
      <c r="N1240" s="99"/>
      <c r="O1240" s="99"/>
      <c r="P1240" s="99"/>
      <c r="Q1240" s="99"/>
      <c r="R1240" s="99"/>
      <c r="S1240" s="99"/>
      <c r="T1240" s="99"/>
      <c r="U1240" s="99"/>
      <c r="V1240" s="99"/>
      <c r="W1240" s="105"/>
      <c r="X1240" s="105">
        <f>IF($X$1110&gt;0,IPMT('Assumptions (Nuclear)'!$V$6,Model!W1,'Assumptions (Nuclear)'!$V$9,'Assumptions (Nuclear)'!$V$4*Model!$X$1110*AVERAGE('Assumptions (Nuclear)'!$Q$2:$V$2)/10^9),0)</f>
        <v>0</v>
      </c>
      <c r="Y1240" s="105">
        <f>IF($X$1110&gt;0,IPMT('Assumptions (Nuclear)'!$V$6,Model!X1,'Assumptions (Nuclear)'!$V$9,'Assumptions (Nuclear)'!$V$4*Model!$X$1110*AVERAGE('Assumptions (Nuclear)'!$Q$2:$V$2)/10^9),0)</f>
        <v>0</v>
      </c>
      <c r="Z1240" s="105">
        <f>IF($X$1110&gt;0,IPMT('Assumptions (Nuclear)'!$V$6,Model!Y1,'Assumptions (Nuclear)'!$V$9,'Assumptions (Nuclear)'!$V$4*Model!$X$1110*AVERAGE('Assumptions (Nuclear)'!$Q$2:$V$2)/10^9),0)</f>
        <v>0</v>
      </c>
      <c r="AA1240" s="105">
        <f>IF($X$1110&gt;0,IPMT('Assumptions (Nuclear)'!$V$6,Model!Z1,'Assumptions (Nuclear)'!$V$9,'Assumptions (Nuclear)'!$V$4*Model!$X$1110*AVERAGE('Assumptions (Nuclear)'!$Q$2:$V$2)/10^9),0)</f>
        <v>0</v>
      </c>
      <c r="AB1240" s="105">
        <f>IF($X$1110&gt;0,IPMT('Assumptions (Nuclear)'!$V$6,Model!AA1,'Assumptions (Nuclear)'!$V$9,'Assumptions (Nuclear)'!$V$4*Model!$X$1110*AVERAGE('Assumptions (Nuclear)'!$Q$2:$V$2)/10^9),0)</f>
        <v>0</v>
      </c>
      <c r="AC1240" s="105">
        <f>IF($X$1110&gt;0,IPMT('Assumptions (Nuclear)'!$V$6,Model!AB1,'Assumptions (Nuclear)'!$V$9,'Assumptions (Nuclear)'!$V$4*Model!$X$1110*AVERAGE('Assumptions (Nuclear)'!$Q$2:$V$2)/10^9),0)</f>
        <v>0</v>
      </c>
      <c r="AD1240" s="105">
        <f>IF($X$1110&gt;0,IPMT('Assumptions (Nuclear)'!$V$6,Model!AC1,'Assumptions (Nuclear)'!$V$9,'Assumptions (Nuclear)'!$V$4*Model!$X$1110*AVERAGE('Assumptions (Nuclear)'!$Q$2:$V$2)/10^9),0)</f>
        <v>0</v>
      </c>
      <c r="AE1240" s="105">
        <f>IF($X$1110&gt;0,IPMT('Assumptions (Nuclear)'!$V$6,Model!AD1,'Assumptions (Nuclear)'!$V$9,'Assumptions (Nuclear)'!$V$4*Model!$X$1110*AVERAGE('Assumptions (Nuclear)'!$Q$2:$V$2)/10^9),0)</f>
        <v>0</v>
      </c>
      <c r="AF1240" s="105">
        <f>IF($X$1110&gt;0,IPMT('Assumptions (Nuclear)'!$V$6,Model!AE1,'Assumptions (Nuclear)'!$V$9,'Assumptions (Nuclear)'!$V$4*Model!$X$1110*AVERAGE('Assumptions (Nuclear)'!$Q$2:$V$2)/10^9),0)</f>
        <v>0</v>
      </c>
      <c r="AG1240" s="105">
        <f>IF($X$1110&gt;0,IPMT('Assumptions (Nuclear)'!$V$6,Model!AF1,'Assumptions (Nuclear)'!$V$9,'Assumptions (Nuclear)'!$V$4*Model!$X$1110*AVERAGE('Assumptions (Nuclear)'!$Q$2:$V$2)/10^9),0)</f>
        <v>0</v>
      </c>
      <c r="AH1240" s="105">
        <f>IF($X$1110&gt;0,IPMT('Assumptions (Nuclear)'!$V$6,Model!AG1,'Assumptions (Nuclear)'!$V$9,'Assumptions (Nuclear)'!$V$4*Model!$X$1110*AVERAGE('Assumptions (Nuclear)'!$Q$2:$V$2)/10^9),0)</f>
        <v>0</v>
      </c>
      <c r="AI1240" s="105">
        <f>IF($X$1110&gt;0,IPMT('Assumptions (Nuclear)'!$V$6,Model!AH1,'Assumptions (Nuclear)'!$V$9,'Assumptions (Nuclear)'!$V$4*Model!$X$1110*AVERAGE('Assumptions (Nuclear)'!$Q$2:$V$2)/10^9),0)</f>
        <v>0</v>
      </c>
      <c r="AJ1240" s="105">
        <f>IF($X$1110&gt;0,IPMT('Assumptions (Nuclear)'!$V$6,Model!AI1,'Assumptions (Nuclear)'!$V$9,'Assumptions (Nuclear)'!$V$4*Model!$X$1110*AVERAGE('Assumptions (Nuclear)'!$Q$2:$V$2)/10^9),0)</f>
        <v>0</v>
      </c>
      <c r="AK1240" s="105">
        <f>IF($X$1110&gt;0,IPMT('Assumptions (Nuclear)'!$V$6,Model!AJ1,'Assumptions (Nuclear)'!$V$9,'Assumptions (Nuclear)'!$V$4*Model!$X$1110*AVERAGE('Assumptions (Nuclear)'!$Q$2:$V$2)/10^9),0)</f>
        <v>0</v>
      </c>
      <c r="AL1240" s="105">
        <f>IF($X$1110&gt;0,IPMT('Assumptions (Nuclear)'!$V$6,Model!AK1,'Assumptions (Nuclear)'!$V$9,'Assumptions (Nuclear)'!$V$4*Model!$X$1110*AVERAGE('Assumptions (Nuclear)'!$Q$2:$V$2)/10^9),0)</f>
        <v>0</v>
      </c>
      <c r="AM1240" s="105"/>
      <c r="AN1240" s="105"/>
      <c r="AO1240" s="105"/>
      <c r="AP1240" s="105"/>
      <c r="AQ1240" s="105"/>
      <c r="AR1240" s="105"/>
      <c r="AS1240" s="105"/>
      <c r="AT1240" s="105"/>
      <c r="AU1240" s="105"/>
      <c r="AV1240" s="105"/>
      <c r="AW1240" s="105"/>
      <c r="AX1240" s="105"/>
      <c r="AY1240" s="105"/>
      <c r="AZ1240" s="105"/>
      <c r="BA1240" s="105"/>
    </row>
    <row r="1241" spans="1:56" ht="15.75" hidden="1" customHeight="1" outlineLevel="1">
      <c r="A1241" s="407"/>
      <c r="B1241" s="99"/>
      <c r="C1241" s="99"/>
      <c r="D1241" s="99"/>
      <c r="E1241" s="99"/>
      <c r="F1241" s="99"/>
      <c r="G1241" s="99"/>
      <c r="H1241" s="99"/>
      <c r="I1241" s="99"/>
      <c r="J1241" s="99"/>
      <c r="K1241" s="99"/>
      <c r="L1241" s="99"/>
      <c r="M1241" s="99"/>
      <c r="N1241" s="99"/>
      <c r="O1241" s="99"/>
      <c r="P1241" s="99"/>
      <c r="Q1241" s="99"/>
      <c r="R1241" s="99"/>
      <c r="S1241" s="99"/>
      <c r="T1241" s="99"/>
      <c r="U1241" s="99"/>
      <c r="V1241" s="99"/>
      <c r="W1241" s="105"/>
      <c r="X1241" s="105"/>
      <c r="Y1241" s="105">
        <f>IF($Y$1110&gt;0,IPMT('Assumptions (Nuclear)'!$V$6,Model!W1,'Assumptions (Nuclear)'!$V$9,'Assumptions (Nuclear)'!$V$4*Model!$Y$1110*AVERAGE('Assumptions (Nuclear)'!$R$2:$W$2)/10^9),0)</f>
        <v>0</v>
      </c>
      <c r="Z1241" s="105">
        <f>IF($Y$1110&gt;0,IPMT('Assumptions (Nuclear)'!$V$6,Model!X1,'Assumptions (Nuclear)'!$V$9,'Assumptions (Nuclear)'!$V$4*Model!$Y$1110*AVERAGE('Assumptions (Nuclear)'!$R$2:$W$2)/10^9),0)</f>
        <v>0</v>
      </c>
      <c r="AA1241" s="105">
        <f>IF($Y$1110&gt;0,IPMT('Assumptions (Nuclear)'!$V$6,Model!Y1,'Assumptions (Nuclear)'!$V$9,'Assumptions (Nuclear)'!$V$4*Model!$Y$1110*AVERAGE('Assumptions (Nuclear)'!$R$2:$W$2)/10^9),0)</f>
        <v>0</v>
      </c>
      <c r="AB1241" s="105">
        <f>IF($Y$1110&gt;0,IPMT('Assumptions (Nuclear)'!$V$6,Model!Z1,'Assumptions (Nuclear)'!$V$9,'Assumptions (Nuclear)'!$V$4*Model!$Y$1110*AVERAGE('Assumptions (Nuclear)'!$R$2:$W$2)/10^9),0)</f>
        <v>0</v>
      </c>
      <c r="AC1241" s="105">
        <f>IF($Y$1110&gt;0,IPMT('Assumptions (Nuclear)'!$V$6,Model!AA1,'Assumptions (Nuclear)'!$V$9,'Assumptions (Nuclear)'!$V$4*Model!$Y$1110*AVERAGE('Assumptions (Nuclear)'!$R$2:$W$2)/10^9),0)</f>
        <v>0</v>
      </c>
      <c r="AD1241" s="105">
        <f>IF($Y$1110&gt;0,IPMT('Assumptions (Nuclear)'!$V$6,Model!AB1,'Assumptions (Nuclear)'!$V$9,'Assumptions (Nuclear)'!$V$4*Model!$Y$1110*AVERAGE('Assumptions (Nuclear)'!$R$2:$W$2)/10^9),0)</f>
        <v>0</v>
      </c>
      <c r="AE1241" s="105">
        <f>IF($Y$1110&gt;0,IPMT('Assumptions (Nuclear)'!$V$6,Model!AC1,'Assumptions (Nuclear)'!$V$9,'Assumptions (Nuclear)'!$V$4*Model!$Y$1110*AVERAGE('Assumptions (Nuclear)'!$R$2:$W$2)/10^9),0)</f>
        <v>0</v>
      </c>
      <c r="AF1241" s="105">
        <f>IF($Y$1110&gt;0,IPMT('Assumptions (Nuclear)'!$V$6,Model!AD1,'Assumptions (Nuclear)'!$V$9,'Assumptions (Nuclear)'!$V$4*Model!$Y$1110*AVERAGE('Assumptions (Nuclear)'!$R$2:$W$2)/10^9),0)</f>
        <v>0</v>
      </c>
      <c r="AG1241" s="105">
        <f>IF($Y$1110&gt;0,IPMT('Assumptions (Nuclear)'!$V$6,Model!AE1,'Assumptions (Nuclear)'!$V$9,'Assumptions (Nuclear)'!$V$4*Model!$Y$1110*AVERAGE('Assumptions (Nuclear)'!$R$2:$W$2)/10^9),0)</f>
        <v>0</v>
      </c>
      <c r="AH1241" s="105">
        <f>IF($Y$1110&gt;0,IPMT('Assumptions (Nuclear)'!$V$6,Model!AF1,'Assumptions (Nuclear)'!$V$9,'Assumptions (Nuclear)'!$V$4*Model!$Y$1110*AVERAGE('Assumptions (Nuclear)'!$R$2:$W$2)/10^9),0)</f>
        <v>0</v>
      </c>
      <c r="AI1241" s="105">
        <f>IF($Y$1110&gt;0,IPMT('Assumptions (Nuclear)'!$V$6,Model!AG1,'Assumptions (Nuclear)'!$V$9,'Assumptions (Nuclear)'!$V$4*Model!$Y$1110*AVERAGE('Assumptions (Nuclear)'!$R$2:$W$2)/10^9),0)</f>
        <v>0</v>
      </c>
      <c r="AJ1241" s="105">
        <f>IF($Y$1110&gt;0,IPMT('Assumptions (Nuclear)'!$V$6,Model!AH1,'Assumptions (Nuclear)'!$V$9,'Assumptions (Nuclear)'!$V$4*Model!$Y$1110*AVERAGE('Assumptions (Nuclear)'!$R$2:$W$2)/10^9),0)</f>
        <v>0</v>
      </c>
      <c r="AK1241" s="105">
        <f>IF($Y$1110&gt;0,IPMT('Assumptions (Nuclear)'!$V$6,Model!AI1,'Assumptions (Nuclear)'!$V$9,'Assumptions (Nuclear)'!$V$4*Model!$Y$1110*AVERAGE('Assumptions (Nuclear)'!$R$2:$W$2)/10^9),0)</f>
        <v>0</v>
      </c>
      <c r="AL1241" s="105">
        <f>IF($Y$1110&gt;0,IPMT('Assumptions (Nuclear)'!$V$6,Model!AJ1,'Assumptions (Nuclear)'!$V$9,'Assumptions (Nuclear)'!$V$4*Model!$Y$1110*AVERAGE('Assumptions (Nuclear)'!$R$2:$W$2)/10^9),0)</f>
        <v>0</v>
      </c>
      <c r="AM1241" s="105">
        <f>IF($Y$1110&gt;0,IPMT('Assumptions (Nuclear)'!$V$6,Model!AK1,'Assumptions (Nuclear)'!$V$9,'Assumptions (Nuclear)'!$V$4*Model!$Y$1110*AVERAGE('Assumptions (Nuclear)'!$R$2:$W$2)/10^9),0)</f>
        <v>0</v>
      </c>
      <c r="AN1241" s="105"/>
      <c r="AO1241" s="105"/>
      <c r="AP1241" s="105"/>
      <c r="AQ1241" s="105"/>
      <c r="AR1241" s="105"/>
      <c r="AS1241" s="105"/>
      <c r="AT1241" s="105"/>
      <c r="AU1241" s="105"/>
      <c r="AV1241" s="105"/>
      <c r="AW1241" s="105"/>
      <c r="AX1241" s="105"/>
      <c r="AY1241" s="105"/>
      <c r="AZ1241" s="105"/>
      <c r="BA1241" s="105"/>
    </row>
    <row r="1242" spans="1:56" ht="15.75" hidden="1" customHeight="1" outlineLevel="1">
      <c r="A1242" s="407"/>
      <c r="B1242" s="99"/>
      <c r="C1242" s="99"/>
      <c r="D1242" s="99"/>
      <c r="E1242" s="99"/>
      <c r="F1242" s="99"/>
      <c r="G1242" s="99"/>
      <c r="H1242" s="99"/>
      <c r="I1242" s="99"/>
      <c r="J1242" s="99"/>
      <c r="K1242" s="99"/>
      <c r="L1242" s="99"/>
      <c r="M1242" s="99"/>
      <c r="N1242" s="99"/>
      <c r="O1242" s="99"/>
      <c r="P1242" s="99"/>
      <c r="Q1242" s="99"/>
      <c r="R1242" s="99"/>
      <c r="S1242" s="99"/>
      <c r="T1242" s="99"/>
      <c r="U1242" s="99"/>
      <c r="V1242" s="99"/>
      <c r="W1242" s="105"/>
      <c r="X1242" s="105"/>
      <c r="Y1242" s="105"/>
      <c r="Z1242" s="105">
        <f>IF($Z$1110&gt;0,IPMT('Assumptions (Nuclear)'!$V$6,Model!W1,'Assumptions (Nuclear)'!$V$9,'Assumptions (Nuclear)'!$V$4*Model!$Z$1110*AVERAGE('Assumptions (Nuclear)'!$S$2:$X$2)/10^9),0)</f>
        <v>0</v>
      </c>
      <c r="AA1242" s="105">
        <f>IF($Z$1110&gt;0,IPMT('Assumptions (Nuclear)'!$V$6,Model!X1,'Assumptions (Nuclear)'!$V$9,'Assumptions (Nuclear)'!$V$4*Model!$Z$1110*AVERAGE('Assumptions (Nuclear)'!$S$2:$X$2)/10^9),0)</f>
        <v>0</v>
      </c>
      <c r="AB1242" s="105">
        <f>IF($Z$1110&gt;0,IPMT('Assumptions (Nuclear)'!$V$6,Model!Y1,'Assumptions (Nuclear)'!$V$9,'Assumptions (Nuclear)'!$V$4*Model!$Z$1110*AVERAGE('Assumptions (Nuclear)'!$S$2:$X$2)/10^9),0)</f>
        <v>0</v>
      </c>
      <c r="AC1242" s="105">
        <f>IF($Z$1110&gt;0,IPMT('Assumptions (Nuclear)'!$V$6,Model!Z1,'Assumptions (Nuclear)'!$V$9,'Assumptions (Nuclear)'!$V$4*Model!$Z$1110*AVERAGE('Assumptions (Nuclear)'!$S$2:$X$2)/10^9),0)</f>
        <v>0</v>
      </c>
      <c r="AD1242" s="105">
        <f>IF($Z$1110&gt;0,IPMT('Assumptions (Nuclear)'!$V$6,Model!AA1,'Assumptions (Nuclear)'!$V$9,'Assumptions (Nuclear)'!$V$4*Model!$Z$1110*AVERAGE('Assumptions (Nuclear)'!$S$2:$X$2)/10^9),0)</f>
        <v>0</v>
      </c>
      <c r="AE1242" s="105">
        <f>IF($Z$1110&gt;0,IPMT('Assumptions (Nuclear)'!$V$6,Model!AB1,'Assumptions (Nuclear)'!$V$9,'Assumptions (Nuclear)'!$V$4*Model!$Z$1110*AVERAGE('Assumptions (Nuclear)'!$S$2:$X$2)/10^9),0)</f>
        <v>0</v>
      </c>
      <c r="AF1242" s="105">
        <f>IF($Z$1110&gt;0,IPMT('Assumptions (Nuclear)'!$V$6,Model!AC1,'Assumptions (Nuclear)'!$V$9,'Assumptions (Nuclear)'!$V$4*Model!$Z$1110*AVERAGE('Assumptions (Nuclear)'!$S$2:$X$2)/10^9),0)</f>
        <v>0</v>
      </c>
      <c r="AG1242" s="105">
        <f>IF($Z$1110&gt;0,IPMT('Assumptions (Nuclear)'!$V$6,Model!AD1,'Assumptions (Nuclear)'!$V$9,'Assumptions (Nuclear)'!$V$4*Model!$Z$1110*AVERAGE('Assumptions (Nuclear)'!$S$2:$X$2)/10^9),0)</f>
        <v>0</v>
      </c>
      <c r="AH1242" s="105">
        <f>IF($Z$1110&gt;0,IPMT('Assumptions (Nuclear)'!$V$6,Model!AE1,'Assumptions (Nuclear)'!$V$9,'Assumptions (Nuclear)'!$V$4*Model!$Z$1110*AVERAGE('Assumptions (Nuclear)'!$S$2:$X$2)/10^9),0)</f>
        <v>0</v>
      </c>
      <c r="AI1242" s="105">
        <f>IF($Z$1110&gt;0,IPMT('Assumptions (Nuclear)'!$V$6,Model!AF1,'Assumptions (Nuclear)'!$V$9,'Assumptions (Nuclear)'!$V$4*Model!$Z$1110*AVERAGE('Assumptions (Nuclear)'!$S$2:$X$2)/10^9),0)</f>
        <v>0</v>
      </c>
      <c r="AJ1242" s="105">
        <f>IF($Z$1110&gt;0,IPMT('Assumptions (Nuclear)'!$V$6,Model!AG1,'Assumptions (Nuclear)'!$V$9,'Assumptions (Nuclear)'!$V$4*Model!$Z$1110*AVERAGE('Assumptions (Nuclear)'!$S$2:$X$2)/10^9),0)</f>
        <v>0</v>
      </c>
      <c r="AK1242" s="105">
        <f>IF($Z$1110&gt;0,IPMT('Assumptions (Nuclear)'!$V$6,Model!AH1,'Assumptions (Nuclear)'!$V$9,'Assumptions (Nuclear)'!$V$4*Model!$Z$1110*AVERAGE('Assumptions (Nuclear)'!$S$2:$X$2)/10^9),0)</f>
        <v>0</v>
      </c>
      <c r="AL1242" s="105">
        <f>IF($Z$1110&gt;0,IPMT('Assumptions (Nuclear)'!$V$6,Model!AI1,'Assumptions (Nuclear)'!$V$9,'Assumptions (Nuclear)'!$V$4*Model!$Z$1110*AVERAGE('Assumptions (Nuclear)'!$S$2:$X$2)/10^9),0)</f>
        <v>0</v>
      </c>
      <c r="AM1242" s="105">
        <f>IF($Z$1110&gt;0,IPMT('Assumptions (Nuclear)'!$V$6,Model!AJ1,'Assumptions (Nuclear)'!$V$9,'Assumptions (Nuclear)'!$V$4*Model!$Z$1110*AVERAGE('Assumptions (Nuclear)'!$S$2:$X$2)/10^9),0)</f>
        <v>0</v>
      </c>
      <c r="AN1242" s="105">
        <f>IF($Z$1110&gt;0,IPMT('Assumptions (Nuclear)'!$V$6,Model!AK1,'Assumptions (Nuclear)'!$V$9,'Assumptions (Nuclear)'!$V$4*Model!$Z$1110*AVERAGE('Assumptions (Nuclear)'!$S$2:$X$2)/10^9),0)</f>
        <v>0</v>
      </c>
      <c r="AO1242" s="105"/>
      <c r="AP1242" s="105"/>
      <c r="AQ1242" s="105"/>
      <c r="AR1242" s="105"/>
      <c r="AS1242" s="105"/>
      <c r="AT1242" s="105"/>
      <c r="AU1242" s="105"/>
      <c r="AV1242" s="105"/>
      <c r="AW1242" s="105"/>
      <c r="AX1242" s="105"/>
      <c r="AY1242" s="105"/>
      <c r="AZ1242" s="105"/>
      <c r="BA1242" s="105"/>
    </row>
    <row r="1243" spans="1:56" ht="15.75" hidden="1" customHeight="1" outlineLevel="1">
      <c r="A1243" s="407"/>
      <c r="B1243" s="99"/>
      <c r="C1243" s="99"/>
      <c r="D1243" s="99"/>
      <c r="E1243" s="99"/>
      <c r="F1243" s="99"/>
      <c r="G1243" s="99"/>
      <c r="H1243" s="99"/>
      <c r="I1243" s="99"/>
      <c r="J1243" s="99"/>
      <c r="K1243" s="99"/>
      <c r="L1243" s="99"/>
      <c r="M1243" s="99"/>
      <c r="N1243" s="99"/>
      <c r="O1243" s="99"/>
      <c r="P1243" s="99"/>
      <c r="Q1243" s="99"/>
      <c r="R1243" s="99"/>
      <c r="S1243" s="99"/>
      <c r="T1243" s="99"/>
      <c r="U1243" s="99"/>
      <c r="V1243" s="99"/>
      <c r="W1243" s="105"/>
      <c r="X1243" s="105"/>
      <c r="Y1243" s="105"/>
      <c r="Z1243" s="105"/>
      <c r="AA1243" s="105">
        <f>IF($AA$1110&gt;0,IPMT('Assumptions (Nuclear)'!$V$6,Model!W1,'Assumptions (Nuclear)'!$V$9,'Assumptions (Nuclear)'!$V$4*Model!$AA$1110*AVERAGE('Assumptions (Nuclear)'!$T$2:$Y$2)/10^9),0)</f>
        <v>0</v>
      </c>
      <c r="AB1243" s="105">
        <f>IF($AA$1110&gt;0,IPMT('Assumptions (Nuclear)'!$V$6,Model!X1,'Assumptions (Nuclear)'!$V$9,'Assumptions (Nuclear)'!$V$4*Model!$AA$1110*AVERAGE('Assumptions (Nuclear)'!$T$2:$Y$2)/10^9),0)</f>
        <v>0</v>
      </c>
      <c r="AC1243" s="105">
        <f>IF($AA$1110&gt;0,IPMT('Assumptions (Nuclear)'!$V$6,Model!Y1,'Assumptions (Nuclear)'!$V$9,'Assumptions (Nuclear)'!$V$4*Model!$AA$1110*AVERAGE('Assumptions (Nuclear)'!$T$2:$Y$2)/10^9),0)</f>
        <v>0</v>
      </c>
      <c r="AD1243" s="105">
        <f>IF($AA$1110&gt;0,IPMT('Assumptions (Nuclear)'!$V$6,Model!Z1,'Assumptions (Nuclear)'!$V$9,'Assumptions (Nuclear)'!$V$4*Model!$AA$1110*AVERAGE('Assumptions (Nuclear)'!$T$2:$Y$2)/10^9),0)</f>
        <v>0</v>
      </c>
      <c r="AE1243" s="105">
        <f>IF($AA$1110&gt;0,IPMT('Assumptions (Nuclear)'!$V$6,Model!AA1,'Assumptions (Nuclear)'!$V$9,'Assumptions (Nuclear)'!$V$4*Model!$AA$1110*AVERAGE('Assumptions (Nuclear)'!$T$2:$Y$2)/10^9),0)</f>
        <v>0</v>
      </c>
      <c r="AF1243" s="105">
        <f>IF($AA$1110&gt;0,IPMT('Assumptions (Nuclear)'!$V$6,Model!AB1,'Assumptions (Nuclear)'!$V$9,'Assumptions (Nuclear)'!$V$4*Model!$AA$1110*AVERAGE('Assumptions (Nuclear)'!$T$2:$Y$2)/10^9),0)</f>
        <v>0</v>
      </c>
      <c r="AG1243" s="105">
        <f>IF($AA$1110&gt;0,IPMT('Assumptions (Nuclear)'!$V$6,Model!AC1,'Assumptions (Nuclear)'!$V$9,'Assumptions (Nuclear)'!$V$4*Model!$AA$1110*AVERAGE('Assumptions (Nuclear)'!$T$2:$Y$2)/10^9),0)</f>
        <v>0</v>
      </c>
      <c r="AH1243" s="105">
        <f>IF($AA$1110&gt;0,IPMT('Assumptions (Nuclear)'!$V$6,Model!AD1,'Assumptions (Nuclear)'!$V$9,'Assumptions (Nuclear)'!$V$4*Model!$AA$1110*AVERAGE('Assumptions (Nuclear)'!$T$2:$Y$2)/10^9),0)</f>
        <v>0</v>
      </c>
      <c r="AI1243" s="105">
        <f>IF($AA$1110&gt;0,IPMT('Assumptions (Nuclear)'!$V$6,Model!AE1,'Assumptions (Nuclear)'!$V$9,'Assumptions (Nuclear)'!$V$4*Model!$AA$1110*AVERAGE('Assumptions (Nuclear)'!$T$2:$Y$2)/10^9),0)</f>
        <v>0</v>
      </c>
      <c r="AJ1243" s="105">
        <f>IF($AA$1110&gt;0,IPMT('Assumptions (Nuclear)'!$V$6,Model!AF1,'Assumptions (Nuclear)'!$V$9,'Assumptions (Nuclear)'!$V$4*Model!$AA$1110*AVERAGE('Assumptions (Nuclear)'!$T$2:$Y$2)/10^9),0)</f>
        <v>0</v>
      </c>
      <c r="AK1243" s="105">
        <f>IF($AA$1110&gt;0,IPMT('Assumptions (Nuclear)'!$V$6,Model!AG1,'Assumptions (Nuclear)'!$V$9,'Assumptions (Nuclear)'!$V$4*Model!$AA$1110*AVERAGE('Assumptions (Nuclear)'!$T$2:$Y$2)/10^9),0)</f>
        <v>0</v>
      </c>
      <c r="AL1243" s="105">
        <f>IF($AA$1110&gt;0,IPMT('Assumptions (Nuclear)'!$V$6,Model!AH1,'Assumptions (Nuclear)'!$V$9,'Assumptions (Nuclear)'!$V$4*Model!$AA$1110*AVERAGE('Assumptions (Nuclear)'!$T$2:$Y$2)/10^9),0)</f>
        <v>0</v>
      </c>
      <c r="AM1243" s="105">
        <f>IF($AA$1110&gt;0,IPMT('Assumptions (Nuclear)'!$V$6,Model!AI1,'Assumptions (Nuclear)'!$V$9,'Assumptions (Nuclear)'!$V$4*Model!$AA$1110*AVERAGE('Assumptions (Nuclear)'!$T$2:$Y$2)/10^9),0)</f>
        <v>0</v>
      </c>
      <c r="AN1243" s="105">
        <f>IF($AA$1110&gt;0,IPMT('Assumptions (Nuclear)'!$V$6,Model!AJ1,'Assumptions (Nuclear)'!$V$9,'Assumptions (Nuclear)'!$V$4*Model!$AA$1110*AVERAGE('Assumptions (Nuclear)'!$T$2:$Y$2)/10^9),0)</f>
        <v>0</v>
      </c>
      <c r="AO1243" s="105">
        <f>IF($AA$1110&gt;0,IPMT('Assumptions (Nuclear)'!$V$6,Model!AK1,'Assumptions (Nuclear)'!$V$9,'Assumptions (Nuclear)'!$V$4*Model!$AA$1110*AVERAGE('Assumptions (Nuclear)'!$T$2:$Y$2)/10^9),0)</f>
        <v>0</v>
      </c>
      <c r="AP1243" s="105"/>
      <c r="AQ1243" s="105"/>
      <c r="AR1243" s="105"/>
      <c r="AS1243" s="105"/>
      <c r="AT1243" s="105"/>
      <c r="AU1243" s="105"/>
      <c r="AV1243" s="105"/>
      <c r="AW1243" s="105"/>
      <c r="AX1243" s="105"/>
      <c r="AY1243" s="105"/>
      <c r="AZ1243" s="105"/>
      <c r="BA1243" s="105"/>
    </row>
    <row r="1244" spans="1:56" ht="15.75" hidden="1" customHeight="1" outlineLevel="1">
      <c r="A1244" s="407"/>
      <c r="B1244" s="99"/>
      <c r="C1244" s="99"/>
      <c r="D1244" s="99"/>
      <c r="E1244" s="99"/>
      <c r="F1244" s="99"/>
      <c r="G1244" s="99"/>
      <c r="H1244" s="99"/>
      <c r="I1244" s="99"/>
      <c r="J1244" s="99"/>
      <c r="K1244" s="99"/>
      <c r="L1244" s="99"/>
      <c r="M1244" s="99"/>
      <c r="N1244" s="99"/>
      <c r="O1244" s="99"/>
      <c r="P1244" s="99"/>
      <c r="Q1244" s="99"/>
      <c r="R1244" s="99"/>
      <c r="S1244" s="99"/>
      <c r="T1244" s="99"/>
      <c r="U1244" s="99"/>
      <c r="V1244" s="99"/>
      <c r="W1244" s="105"/>
      <c r="X1244" s="105"/>
      <c r="Y1244" s="105"/>
      <c r="Z1244" s="105"/>
      <c r="AA1244" s="105"/>
      <c r="AB1244" s="105">
        <f>IF($AB$1110&gt;0,IPMT('Assumptions (Nuclear)'!$V$6,Model!W1,'Assumptions (Nuclear)'!$V$9,'Assumptions (Nuclear)'!$V$4*Model!$AB$1110*AVERAGE('Assumptions (Nuclear)'!$U$2:$Z$2)/10^9),0)</f>
        <v>0</v>
      </c>
      <c r="AC1244" s="105">
        <f>IF($AB$1110&gt;0,IPMT('Assumptions (Nuclear)'!$V$6,Model!X1,'Assumptions (Nuclear)'!$V$9,'Assumptions (Nuclear)'!$V$4*Model!$AB$1110*AVERAGE('Assumptions (Nuclear)'!$U$2:$Z$2)/10^9),0)</f>
        <v>0</v>
      </c>
      <c r="AD1244" s="105">
        <f>IF($AB$1110&gt;0,IPMT('Assumptions (Nuclear)'!$V$6,Model!Y1,'Assumptions (Nuclear)'!$V$9,'Assumptions (Nuclear)'!$V$4*Model!$AB$1110*AVERAGE('Assumptions (Nuclear)'!$U$2:$Z$2)/10^9),0)</f>
        <v>0</v>
      </c>
      <c r="AE1244" s="105">
        <f>IF($AB$1110&gt;0,IPMT('Assumptions (Nuclear)'!$V$6,Model!Z1,'Assumptions (Nuclear)'!$V$9,'Assumptions (Nuclear)'!$V$4*Model!$AB$1110*AVERAGE('Assumptions (Nuclear)'!$U$2:$Z$2)/10^9),0)</f>
        <v>0</v>
      </c>
      <c r="AF1244" s="105">
        <f>IF($AB$1110&gt;0,IPMT('Assumptions (Nuclear)'!$V$6,Model!AA1,'Assumptions (Nuclear)'!$V$9,'Assumptions (Nuclear)'!$V$4*Model!$AB$1110*AVERAGE('Assumptions (Nuclear)'!$U$2:$Z$2)/10^9),0)</f>
        <v>0</v>
      </c>
      <c r="AG1244" s="105">
        <f>IF($AB$1110&gt;0,IPMT('Assumptions (Nuclear)'!$V$6,Model!AB1,'Assumptions (Nuclear)'!$V$9,'Assumptions (Nuclear)'!$V$4*Model!$AB$1110*AVERAGE('Assumptions (Nuclear)'!$U$2:$Z$2)/10^9),0)</f>
        <v>0</v>
      </c>
      <c r="AH1244" s="105">
        <f>IF($AB$1110&gt;0,IPMT('Assumptions (Nuclear)'!$V$6,Model!AC1,'Assumptions (Nuclear)'!$V$9,'Assumptions (Nuclear)'!$V$4*Model!$AB$1110*AVERAGE('Assumptions (Nuclear)'!$U$2:$Z$2)/10^9),0)</f>
        <v>0</v>
      </c>
      <c r="AI1244" s="105">
        <f>IF($AB$1110&gt;0,IPMT('Assumptions (Nuclear)'!$V$6,Model!AD1,'Assumptions (Nuclear)'!$V$9,'Assumptions (Nuclear)'!$V$4*Model!$AB$1110*AVERAGE('Assumptions (Nuclear)'!$U$2:$Z$2)/10^9),0)</f>
        <v>0</v>
      </c>
      <c r="AJ1244" s="105">
        <f>IF($AB$1110&gt;0,IPMT('Assumptions (Nuclear)'!$V$6,Model!AE1,'Assumptions (Nuclear)'!$V$9,'Assumptions (Nuclear)'!$V$4*Model!$AB$1110*AVERAGE('Assumptions (Nuclear)'!$U$2:$Z$2)/10^9),0)</f>
        <v>0</v>
      </c>
      <c r="AK1244" s="105">
        <f>IF($AB$1110&gt;0,IPMT('Assumptions (Nuclear)'!$V$6,Model!AF1,'Assumptions (Nuclear)'!$V$9,'Assumptions (Nuclear)'!$V$4*Model!$AB$1110*AVERAGE('Assumptions (Nuclear)'!$U$2:$Z$2)/10^9),0)</f>
        <v>0</v>
      </c>
      <c r="AL1244" s="105">
        <f>IF($AB$1110&gt;0,IPMT('Assumptions (Nuclear)'!$V$6,Model!AG1,'Assumptions (Nuclear)'!$V$9,'Assumptions (Nuclear)'!$V$4*Model!$AB$1110*AVERAGE('Assumptions (Nuclear)'!$U$2:$Z$2)/10^9),0)</f>
        <v>0</v>
      </c>
      <c r="AM1244" s="105">
        <f>IF($AB$1110&gt;0,IPMT('Assumptions (Nuclear)'!$V$6,Model!AH1,'Assumptions (Nuclear)'!$V$9,'Assumptions (Nuclear)'!$V$4*Model!$AB$1110*AVERAGE('Assumptions (Nuclear)'!$U$2:$Z$2)/10^9),0)</f>
        <v>0</v>
      </c>
      <c r="AN1244" s="105">
        <f>IF($AB$1110&gt;0,IPMT('Assumptions (Nuclear)'!$V$6,Model!AI1,'Assumptions (Nuclear)'!$V$9,'Assumptions (Nuclear)'!$V$4*Model!$AB$1110*AVERAGE('Assumptions (Nuclear)'!$U$2:$Z$2)/10^9),0)</f>
        <v>0</v>
      </c>
      <c r="AO1244" s="105">
        <f>IF($AB$1110&gt;0,IPMT('Assumptions (Nuclear)'!$V$6,Model!AJ1,'Assumptions (Nuclear)'!$V$9,'Assumptions (Nuclear)'!$V$4*Model!$AB$1110*AVERAGE('Assumptions (Nuclear)'!$U$2:$Z$2)/10^9),0)</f>
        <v>0</v>
      </c>
      <c r="AP1244" s="105">
        <f>IF($AB$1110&gt;0,IPMT('Assumptions (Nuclear)'!$V$6,Model!AK1,'Assumptions (Nuclear)'!$V$9,'Assumptions (Nuclear)'!$V$4*Model!$AB$1110*AVERAGE('Assumptions (Nuclear)'!$U$2:$Z$2)/10^9),0)</f>
        <v>0</v>
      </c>
      <c r="AQ1244" s="105"/>
      <c r="AR1244" s="105"/>
      <c r="AS1244" s="105"/>
      <c r="AT1244" s="105"/>
      <c r="AU1244" s="105"/>
      <c r="AV1244" s="105"/>
      <c r="AW1244" s="105"/>
      <c r="AX1244" s="105"/>
      <c r="AY1244" s="105"/>
      <c r="AZ1244" s="105"/>
      <c r="BA1244" s="105"/>
    </row>
    <row r="1245" spans="1:56" ht="15.75" hidden="1" customHeight="1" outlineLevel="1">
      <c r="A1245" s="407"/>
      <c r="B1245" s="99"/>
      <c r="C1245" s="99"/>
      <c r="D1245" s="99"/>
      <c r="E1245" s="99"/>
      <c r="F1245" s="99"/>
      <c r="G1245" s="99"/>
      <c r="H1245" s="99"/>
      <c r="I1245" s="99"/>
      <c r="J1245" s="99"/>
      <c r="K1245" s="99"/>
      <c r="L1245" s="99"/>
      <c r="M1245" s="99"/>
      <c r="N1245" s="99"/>
      <c r="O1245" s="99"/>
      <c r="P1245" s="99"/>
      <c r="Q1245" s="99"/>
      <c r="R1245" s="99"/>
      <c r="S1245" s="99"/>
      <c r="T1245" s="99"/>
      <c r="U1245" s="99"/>
      <c r="V1245" s="99"/>
      <c r="W1245" s="105"/>
      <c r="X1245" s="105"/>
      <c r="Y1245" s="105"/>
      <c r="Z1245" s="105"/>
      <c r="AA1245" s="105"/>
      <c r="AB1245" s="105"/>
      <c r="AC1245" s="105">
        <f>IF($AC$1110&gt;0,IPMT('Assumptions (Nuclear)'!$V$6,Model!W1,'Assumptions (Nuclear)'!$V$9,'Assumptions (Nuclear)'!$V$4*Model!$AC$1110*AVERAGE('Assumptions (Nuclear)'!$V$2:$AA$2)/10^9),0)</f>
        <v>0</v>
      </c>
      <c r="AD1245" s="105">
        <f>IF($AC$1110&gt;0,IPMT('Assumptions (Nuclear)'!$V$6,Model!X1,'Assumptions (Nuclear)'!$V$9,'Assumptions (Nuclear)'!$V$4*Model!$AC$1110*AVERAGE('Assumptions (Nuclear)'!$V$2:$AA$2)/10^9),0)</f>
        <v>0</v>
      </c>
      <c r="AE1245" s="105">
        <f>IF($AC$1110&gt;0,IPMT('Assumptions (Nuclear)'!$V$6,Model!Y1,'Assumptions (Nuclear)'!$V$9,'Assumptions (Nuclear)'!$V$4*Model!$AC$1110*AVERAGE('Assumptions (Nuclear)'!$V$2:$AA$2)/10^9),0)</f>
        <v>0</v>
      </c>
      <c r="AF1245" s="105">
        <f>IF($AC$1110&gt;0,IPMT('Assumptions (Nuclear)'!$V$6,Model!Z1,'Assumptions (Nuclear)'!$V$9,'Assumptions (Nuclear)'!$V$4*Model!$AC$1110*AVERAGE('Assumptions (Nuclear)'!$V$2:$AA$2)/10^9),0)</f>
        <v>0</v>
      </c>
      <c r="AG1245" s="105">
        <f>IF($AC$1110&gt;0,IPMT('Assumptions (Nuclear)'!$V$6,Model!AA1,'Assumptions (Nuclear)'!$V$9,'Assumptions (Nuclear)'!$V$4*Model!$AC$1110*AVERAGE('Assumptions (Nuclear)'!$V$2:$AA$2)/10^9),0)</f>
        <v>0</v>
      </c>
      <c r="AH1245" s="105">
        <f>IF($AC$1110&gt;0,IPMT('Assumptions (Nuclear)'!$V$6,Model!AB1,'Assumptions (Nuclear)'!$V$9,'Assumptions (Nuclear)'!$V$4*Model!$AC$1110*AVERAGE('Assumptions (Nuclear)'!$V$2:$AA$2)/10^9),0)</f>
        <v>0</v>
      </c>
      <c r="AI1245" s="105">
        <f>IF($AC$1110&gt;0,IPMT('Assumptions (Nuclear)'!$V$6,Model!AC1,'Assumptions (Nuclear)'!$V$9,'Assumptions (Nuclear)'!$V$4*Model!$AC$1110*AVERAGE('Assumptions (Nuclear)'!$V$2:$AA$2)/10^9),0)</f>
        <v>0</v>
      </c>
      <c r="AJ1245" s="105">
        <f>IF($AC$1110&gt;0,IPMT('Assumptions (Nuclear)'!$V$6,Model!AD1,'Assumptions (Nuclear)'!$V$9,'Assumptions (Nuclear)'!$V$4*Model!$AC$1110*AVERAGE('Assumptions (Nuclear)'!$V$2:$AA$2)/10^9),0)</f>
        <v>0</v>
      </c>
      <c r="AK1245" s="105">
        <f>IF($AC$1110&gt;0,IPMT('Assumptions (Nuclear)'!$V$6,Model!AE1,'Assumptions (Nuclear)'!$V$9,'Assumptions (Nuclear)'!$V$4*Model!$AC$1110*AVERAGE('Assumptions (Nuclear)'!$V$2:$AA$2)/10^9),0)</f>
        <v>0</v>
      </c>
      <c r="AL1245" s="105">
        <f>IF($AC$1110&gt;0,IPMT('Assumptions (Nuclear)'!$V$6,Model!AF1,'Assumptions (Nuclear)'!$V$9,'Assumptions (Nuclear)'!$V$4*Model!$AC$1110*AVERAGE('Assumptions (Nuclear)'!$V$2:$AA$2)/10^9),0)</f>
        <v>0</v>
      </c>
      <c r="AM1245" s="105">
        <f>IF($AC$1110&gt;0,IPMT('Assumptions (Nuclear)'!$V$6,Model!AG1,'Assumptions (Nuclear)'!$V$9,'Assumptions (Nuclear)'!$V$4*Model!$AC$1110*AVERAGE('Assumptions (Nuclear)'!$V$2:$AA$2)/10^9),0)</f>
        <v>0</v>
      </c>
      <c r="AN1245" s="105">
        <f>IF($AC$1110&gt;0,IPMT('Assumptions (Nuclear)'!$V$6,Model!AH1,'Assumptions (Nuclear)'!$V$9,'Assumptions (Nuclear)'!$V$4*Model!$AC$1110*AVERAGE('Assumptions (Nuclear)'!$V$2:$AA$2)/10^9),0)</f>
        <v>0</v>
      </c>
      <c r="AO1245" s="105">
        <f>IF($AC$1110&gt;0,IPMT('Assumptions (Nuclear)'!$V$6,Model!AI1,'Assumptions (Nuclear)'!$V$9,'Assumptions (Nuclear)'!$V$4*Model!$AC$1110*AVERAGE('Assumptions (Nuclear)'!$V$2:$AA$2)/10^9),0)</f>
        <v>0</v>
      </c>
      <c r="AP1245" s="105">
        <f>IF($AC$1110&gt;0,IPMT('Assumptions (Nuclear)'!$V$6,Model!AJ1,'Assumptions (Nuclear)'!$V$9,'Assumptions (Nuclear)'!$V$4*Model!$AC$1110*AVERAGE('Assumptions (Nuclear)'!$V$2:$AA$2)/10^9),0)</f>
        <v>0</v>
      </c>
      <c r="AQ1245" s="105">
        <f>IF($AC$1110&gt;0,IPMT('Assumptions (Nuclear)'!$V$6,Model!AK1,'Assumptions (Nuclear)'!$V$9,'Assumptions (Nuclear)'!$V$4*Model!$AC$1110*AVERAGE('Assumptions (Nuclear)'!$V$2:$AA$2)/10^9),0)</f>
        <v>0</v>
      </c>
      <c r="AR1245" s="105"/>
      <c r="AS1245" s="105"/>
      <c r="AT1245" s="105"/>
      <c r="AU1245" s="105"/>
      <c r="AV1245" s="105"/>
      <c r="AW1245" s="105"/>
      <c r="AX1245" s="105"/>
      <c r="AY1245" s="105"/>
      <c r="AZ1245" s="105"/>
      <c r="BA1245" s="105"/>
    </row>
    <row r="1246" spans="1:56" ht="15.75" hidden="1" customHeight="1" outlineLevel="1">
      <c r="A1246" s="407"/>
      <c r="B1246" s="99"/>
      <c r="C1246" s="99"/>
      <c r="D1246" s="99"/>
      <c r="E1246" s="99"/>
      <c r="F1246" s="99"/>
      <c r="G1246" s="99"/>
      <c r="H1246" s="99"/>
      <c r="I1246" s="99"/>
      <c r="J1246" s="99"/>
      <c r="K1246" s="99"/>
      <c r="L1246" s="99"/>
      <c r="M1246" s="99"/>
      <c r="N1246" s="99"/>
      <c r="O1246" s="99"/>
      <c r="P1246" s="99"/>
      <c r="Q1246" s="99"/>
      <c r="R1246" s="99"/>
      <c r="S1246" s="99"/>
      <c r="T1246" s="99"/>
      <c r="U1246" s="99"/>
      <c r="V1246" s="99"/>
      <c r="W1246" s="105"/>
      <c r="X1246" s="105"/>
      <c r="Y1246" s="105"/>
      <c r="Z1246" s="105"/>
      <c r="AA1246" s="105"/>
      <c r="AB1246" s="105"/>
      <c r="AC1246" s="105"/>
      <c r="AD1246" s="105">
        <f>IF($AD$1110&gt;0,IPMT('Assumptions (Nuclear)'!$V$6,Model!W1,'Assumptions (Nuclear)'!$V$9,'Assumptions (Nuclear)'!$V$4*Model!$AD$1110*AVERAGE('Assumptions (Nuclear)'!$W$2:$AB$2)/10^9),0)</f>
        <v>0</v>
      </c>
      <c r="AE1246" s="105">
        <f>IF($AD$1110&gt;0,IPMT('Assumptions (Nuclear)'!$V$6,Model!X1,'Assumptions (Nuclear)'!$V$9,'Assumptions (Nuclear)'!$V$4*Model!$AD$1110*AVERAGE('Assumptions (Nuclear)'!$W$2:$AB$2)/10^9),0)</f>
        <v>0</v>
      </c>
      <c r="AF1246" s="105">
        <f>IF($AD$1110&gt;0,IPMT('Assumptions (Nuclear)'!$V$6,Model!Y1,'Assumptions (Nuclear)'!$V$9,'Assumptions (Nuclear)'!$V$4*Model!$AD$1110*AVERAGE('Assumptions (Nuclear)'!$W$2:$AB$2)/10^9),0)</f>
        <v>0</v>
      </c>
      <c r="AG1246" s="105">
        <f>IF($AD$1110&gt;0,IPMT('Assumptions (Nuclear)'!$V$6,Model!Z1,'Assumptions (Nuclear)'!$V$9,'Assumptions (Nuclear)'!$V$4*Model!$AD$1110*AVERAGE('Assumptions (Nuclear)'!$W$2:$AB$2)/10^9),0)</f>
        <v>0</v>
      </c>
      <c r="AH1246" s="105">
        <f>IF($AD$1110&gt;0,IPMT('Assumptions (Nuclear)'!$V$6,Model!AA1,'Assumptions (Nuclear)'!$V$9,'Assumptions (Nuclear)'!$V$4*Model!$AD$1110*AVERAGE('Assumptions (Nuclear)'!$W$2:$AB$2)/10^9),0)</f>
        <v>0</v>
      </c>
      <c r="AI1246" s="105">
        <f>IF($AD$1110&gt;0,IPMT('Assumptions (Nuclear)'!$V$6,Model!AB1,'Assumptions (Nuclear)'!$V$9,'Assumptions (Nuclear)'!$V$4*Model!$AD$1110*AVERAGE('Assumptions (Nuclear)'!$W$2:$AB$2)/10^9),0)</f>
        <v>0</v>
      </c>
      <c r="AJ1246" s="105">
        <f>IF($AD$1110&gt;0,IPMT('Assumptions (Nuclear)'!$V$6,Model!AC1,'Assumptions (Nuclear)'!$V$9,'Assumptions (Nuclear)'!$V$4*Model!$AD$1110*AVERAGE('Assumptions (Nuclear)'!$W$2:$AB$2)/10^9),0)</f>
        <v>0</v>
      </c>
      <c r="AK1246" s="105">
        <f>IF($AD$1110&gt;0,IPMT('Assumptions (Nuclear)'!$V$6,Model!AD1,'Assumptions (Nuclear)'!$V$9,'Assumptions (Nuclear)'!$V$4*Model!$AD$1110*AVERAGE('Assumptions (Nuclear)'!$W$2:$AB$2)/10^9),0)</f>
        <v>0</v>
      </c>
      <c r="AL1246" s="105">
        <f>IF($AD$1110&gt;0,IPMT('Assumptions (Nuclear)'!$V$6,Model!AE1,'Assumptions (Nuclear)'!$V$9,'Assumptions (Nuclear)'!$V$4*Model!$AD$1110*AVERAGE('Assumptions (Nuclear)'!$W$2:$AB$2)/10^9),0)</f>
        <v>0</v>
      </c>
      <c r="AM1246" s="105">
        <f>IF($AD$1110&gt;0,IPMT('Assumptions (Nuclear)'!$V$6,Model!AF1,'Assumptions (Nuclear)'!$V$9,'Assumptions (Nuclear)'!$V$4*Model!$AD$1110*AVERAGE('Assumptions (Nuclear)'!$W$2:$AB$2)/10^9),0)</f>
        <v>0</v>
      </c>
      <c r="AN1246" s="105">
        <f>IF($AD$1110&gt;0,IPMT('Assumptions (Nuclear)'!$V$6,Model!AG1,'Assumptions (Nuclear)'!$V$9,'Assumptions (Nuclear)'!$V$4*Model!$AD$1110*AVERAGE('Assumptions (Nuclear)'!$W$2:$AB$2)/10^9),0)</f>
        <v>0</v>
      </c>
      <c r="AO1246" s="105">
        <f>IF($AD$1110&gt;0,IPMT('Assumptions (Nuclear)'!$V$6,Model!AH1,'Assumptions (Nuclear)'!$V$9,'Assumptions (Nuclear)'!$V$4*Model!$AD$1110*AVERAGE('Assumptions (Nuclear)'!$W$2:$AB$2)/10^9),0)</f>
        <v>0</v>
      </c>
      <c r="AP1246" s="105">
        <f>IF($AD$1110&gt;0,IPMT('Assumptions (Nuclear)'!$V$6,Model!AI1,'Assumptions (Nuclear)'!$V$9,'Assumptions (Nuclear)'!$V$4*Model!$AD$1110*AVERAGE('Assumptions (Nuclear)'!$W$2:$AB$2)/10^9),0)</f>
        <v>0</v>
      </c>
      <c r="AQ1246" s="105">
        <f>IF($AD$1110&gt;0,IPMT('Assumptions (Nuclear)'!$V$6,Model!AJ1,'Assumptions (Nuclear)'!$V$9,'Assumptions (Nuclear)'!$V$4*Model!$AD$1110*AVERAGE('Assumptions (Nuclear)'!$W$2:$AB$2)/10^9),0)</f>
        <v>0</v>
      </c>
      <c r="AR1246" s="105">
        <f>IF($AD$1110&gt;0,IPMT('Assumptions (Nuclear)'!$V$6,Model!AK1,'Assumptions (Nuclear)'!$V$9,'Assumptions (Nuclear)'!$V$4*Model!$AD$1110*AVERAGE('Assumptions (Nuclear)'!$W$2:$AB$2)/10^9),0)</f>
        <v>0</v>
      </c>
      <c r="AS1246" s="105"/>
      <c r="AT1246" s="105"/>
      <c r="AU1246" s="105"/>
      <c r="AV1246" s="105"/>
      <c r="AW1246" s="105"/>
      <c r="AX1246" s="105"/>
      <c r="AY1246" s="105"/>
      <c r="AZ1246" s="105"/>
      <c r="BA1246" s="105"/>
      <c r="BB1246" s="105"/>
    </row>
    <row r="1247" spans="1:56" ht="15.75" hidden="1" customHeight="1" outlineLevel="1">
      <c r="A1247" s="407"/>
      <c r="B1247" s="99"/>
      <c r="C1247" s="99"/>
      <c r="D1247" s="99"/>
      <c r="E1247" s="99"/>
      <c r="F1247" s="99"/>
      <c r="G1247" s="99"/>
      <c r="H1247" s="99"/>
      <c r="I1247" s="99"/>
      <c r="J1247" s="99"/>
      <c r="K1247" s="99"/>
      <c r="L1247" s="99"/>
      <c r="M1247" s="99"/>
      <c r="N1247" s="99"/>
      <c r="O1247" s="99"/>
      <c r="P1247" s="99"/>
      <c r="Q1247" s="99"/>
      <c r="R1247" s="99"/>
      <c r="S1247" s="99"/>
      <c r="T1247" s="99"/>
      <c r="U1247" s="99"/>
      <c r="V1247" s="99"/>
      <c r="W1247" s="105"/>
      <c r="X1247" s="105"/>
      <c r="Y1247" s="105"/>
      <c r="Z1247" s="105"/>
      <c r="AA1247" s="105"/>
      <c r="AB1247" s="105"/>
      <c r="AC1247" s="105"/>
      <c r="AD1247" s="105"/>
      <c r="AE1247" s="105">
        <f>IF($AE$1110&gt;0,IPMT('Assumptions (Nuclear)'!$V$6,Model!W1,'Assumptions (Nuclear)'!$V$9,'Assumptions (Nuclear)'!$V$4*Model!$AE$1110*AVERAGE('Assumptions (Nuclear)'!$X$2:$AC$2)/10^9),0)</f>
        <v>0</v>
      </c>
      <c r="AF1247" s="105">
        <f>IF($AE$1110&gt;0,IPMT('Assumptions (Nuclear)'!$V$6,Model!X1,'Assumptions (Nuclear)'!$V$9,'Assumptions (Nuclear)'!$V$4*Model!$AE$1110*AVERAGE('Assumptions (Nuclear)'!$X$2:$AC$2)/10^9),0)</f>
        <v>0</v>
      </c>
      <c r="AG1247" s="105">
        <f>IF($AE$1110&gt;0,IPMT('Assumptions (Nuclear)'!$V$6,Model!Y1,'Assumptions (Nuclear)'!$V$9,'Assumptions (Nuclear)'!$V$4*Model!$AE$1110*AVERAGE('Assumptions (Nuclear)'!$X$2:$AC$2)/10^9),0)</f>
        <v>0</v>
      </c>
      <c r="AH1247" s="105">
        <f>IF($AE$1110&gt;0,IPMT('Assumptions (Nuclear)'!$V$6,Model!Z1,'Assumptions (Nuclear)'!$V$9,'Assumptions (Nuclear)'!$V$4*Model!$AE$1110*AVERAGE('Assumptions (Nuclear)'!$X$2:$AC$2)/10^9),0)</f>
        <v>0</v>
      </c>
      <c r="AI1247" s="105">
        <f>IF($AE$1110&gt;0,IPMT('Assumptions (Nuclear)'!$V$6,Model!AA1,'Assumptions (Nuclear)'!$V$9,'Assumptions (Nuclear)'!$V$4*Model!$AE$1110*AVERAGE('Assumptions (Nuclear)'!$X$2:$AC$2)/10^9),0)</f>
        <v>0</v>
      </c>
      <c r="AJ1247" s="105">
        <f>IF($AE$1110&gt;0,IPMT('Assumptions (Nuclear)'!$V$6,Model!AB1,'Assumptions (Nuclear)'!$V$9,'Assumptions (Nuclear)'!$V$4*Model!$AE$1110*AVERAGE('Assumptions (Nuclear)'!$X$2:$AC$2)/10^9),0)</f>
        <v>0</v>
      </c>
      <c r="AK1247" s="105">
        <f>IF($AE$1110&gt;0,IPMT('Assumptions (Nuclear)'!$V$6,Model!AC1,'Assumptions (Nuclear)'!$V$9,'Assumptions (Nuclear)'!$V$4*Model!$AE$1110*AVERAGE('Assumptions (Nuclear)'!$X$2:$AC$2)/10^9),0)</f>
        <v>0</v>
      </c>
      <c r="AL1247" s="105">
        <f>IF($AE$1110&gt;0,IPMT('Assumptions (Nuclear)'!$V$6,Model!AD1,'Assumptions (Nuclear)'!$V$9,'Assumptions (Nuclear)'!$V$4*Model!$AE$1110*AVERAGE('Assumptions (Nuclear)'!$X$2:$AC$2)/10^9),0)</f>
        <v>0</v>
      </c>
      <c r="AM1247" s="105">
        <f>IF($AE$1110&gt;0,IPMT('Assumptions (Nuclear)'!$V$6,Model!AE1,'Assumptions (Nuclear)'!$V$9,'Assumptions (Nuclear)'!$V$4*Model!$AE$1110*AVERAGE('Assumptions (Nuclear)'!$X$2:$AC$2)/10^9),0)</f>
        <v>0</v>
      </c>
      <c r="AN1247" s="105">
        <f>IF($AE$1110&gt;0,IPMT('Assumptions (Nuclear)'!$V$6,Model!AF1,'Assumptions (Nuclear)'!$V$9,'Assumptions (Nuclear)'!$V$4*Model!$AE$1110*AVERAGE('Assumptions (Nuclear)'!$X$2:$AC$2)/10^9),0)</f>
        <v>0</v>
      </c>
      <c r="AO1247" s="105">
        <f>IF($AE$1110&gt;0,IPMT('Assumptions (Nuclear)'!$V$6,Model!AG1,'Assumptions (Nuclear)'!$V$9,'Assumptions (Nuclear)'!$V$4*Model!$AE$1110*AVERAGE('Assumptions (Nuclear)'!$X$2:$AC$2)/10^9),0)</f>
        <v>0</v>
      </c>
      <c r="AP1247" s="105">
        <f>IF($AE$1110&gt;0,IPMT('Assumptions (Nuclear)'!$V$6,Model!AH1,'Assumptions (Nuclear)'!$V$9,'Assumptions (Nuclear)'!$V$4*Model!$AE$1110*AVERAGE('Assumptions (Nuclear)'!$X$2:$AC$2)/10^9),0)</f>
        <v>0</v>
      </c>
      <c r="AQ1247" s="105">
        <f>IF($AE$1110&gt;0,IPMT('Assumptions (Nuclear)'!$V$6,Model!AI1,'Assumptions (Nuclear)'!$V$9,'Assumptions (Nuclear)'!$V$4*Model!$AE$1110*AVERAGE('Assumptions (Nuclear)'!$X$2:$AC$2)/10^9),0)</f>
        <v>0</v>
      </c>
      <c r="AR1247" s="105">
        <f>IF($AE$1110&gt;0,IPMT('Assumptions (Nuclear)'!$V$6,Model!AJ1,'Assumptions (Nuclear)'!$V$9,'Assumptions (Nuclear)'!$V$4*Model!$AE$1110*AVERAGE('Assumptions (Nuclear)'!$X$2:$AC$2)/10^9),0)</f>
        <v>0</v>
      </c>
      <c r="AS1247" s="105">
        <f>IF($AE$1110&gt;0,IPMT('Assumptions (Nuclear)'!$V$6,Model!AK1,'Assumptions (Nuclear)'!$V$9,'Assumptions (Nuclear)'!$V$4*Model!$AE$1110*AVERAGE('Assumptions (Nuclear)'!$X$2:$AC$2)/10^9),0)</f>
        <v>0</v>
      </c>
      <c r="AT1247" s="105"/>
      <c r="AU1247" s="105"/>
      <c r="AV1247" s="105"/>
      <c r="AW1247" s="105"/>
      <c r="AX1247" s="105"/>
      <c r="AY1247" s="105"/>
      <c r="AZ1247" s="105"/>
      <c r="BA1247" s="105"/>
      <c r="BB1247" s="105"/>
      <c r="BC1247" s="105"/>
    </row>
    <row r="1248" spans="1:56" ht="15.75" hidden="1" customHeight="1" outlineLevel="1">
      <c r="A1248" s="407"/>
      <c r="B1248" s="99"/>
      <c r="C1248" s="99"/>
      <c r="D1248" s="99"/>
      <c r="E1248" s="99"/>
      <c r="F1248" s="99"/>
      <c r="G1248" s="99"/>
      <c r="H1248" s="99"/>
      <c r="I1248" s="99"/>
      <c r="J1248" s="99"/>
      <c r="K1248" s="99"/>
      <c r="L1248" s="99"/>
      <c r="M1248" s="99"/>
      <c r="N1248" s="99"/>
      <c r="O1248" s="99"/>
      <c r="P1248" s="99"/>
      <c r="Q1248" s="99"/>
      <c r="R1248" s="99"/>
      <c r="S1248" s="99"/>
      <c r="T1248" s="99"/>
      <c r="U1248" s="99"/>
      <c r="V1248" s="99"/>
      <c r="W1248" s="105"/>
      <c r="X1248" s="105"/>
      <c r="Y1248" s="105"/>
      <c r="Z1248" s="105"/>
      <c r="AA1248" s="105"/>
      <c r="AB1248" s="105"/>
      <c r="AC1248" s="105"/>
      <c r="AD1248" s="105"/>
      <c r="AE1248" s="105"/>
      <c r="AF1248" s="105">
        <f>IF($AF$1110&gt;0,IPMT('Assumptions (Nuclear)'!$V$6,Model!W1,'Assumptions (Nuclear)'!$V$9,'Assumptions (Nuclear)'!$V$4*Model!$AF$1110*AVERAGE('Assumptions (Nuclear)'!$Y$2:$AD$2)/10^9),0)</f>
        <v>0</v>
      </c>
      <c r="AG1248" s="105">
        <f>IF($AF$1110&gt;0,IPMT('Assumptions (Nuclear)'!$V$6,Model!X1,'Assumptions (Nuclear)'!$V$9,'Assumptions (Nuclear)'!$V$4*Model!$AF$1110*AVERAGE('Assumptions (Nuclear)'!$Y$2:$AD$2)/10^9),0)</f>
        <v>0</v>
      </c>
      <c r="AH1248" s="105">
        <f>IF($AF$1110&gt;0,IPMT('Assumptions (Nuclear)'!$V$6,Model!Y1,'Assumptions (Nuclear)'!$V$9,'Assumptions (Nuclear)'!$V$4*Model!$AF$1110*AVERAGE('Assumptions (Nuclear)'!$Y$2:$AD$2)/10^9),0)</f>
        <v>0</v>
      </c>
      <c r="AI1248" s="105">
        <f>IF($AF$1110&gt;0,IPMT('Assumptions (Nuclear)'!$V$6,Model!Z1,'Assumptions (Nuclear)'!$V$9,'Assumptions (Nuclear)'!$V$4*Model!$AF$1110*AVERAGE('Assumptions (Nuclear)'!$Y$2:$AD$2)/10^9),0)</f>
        <v>0</v>
      </c>
      <c r="AJ1248" s="105">
        <f>IF($AF$1110&gt;0,IPMT('Assumptions (Nuclear)'!$V$6,Model!AA1,'Assumptions (Nuclear)'!$V$9,'Assumptions (Nuclear)'!$V$4*Model!$AF$1110*AVERAGE('Assumptions (Nuclear)'!$Y$2:$AD$2)/10^9),0)</f>
        <v>0</v>
      </c>
      <c r="AK1248" s="105">
        <f>IF($AF$1110&gt;0,IPMT('Assumptions (Nuclear)'!$V$6,Model!AB1,'Assumptions (Nuclear)'!$V$9,'Assumptions (Nuclear)'!$V$4*Model!$AF$1110*AVERAGE('Assumptions (Nuclear)'!$Y$2:$AD$2)/10^9),0)</f>
        <v>0</v>
      </c>
      <c r="AL1248" s="105">
        <f>IF($AF$1110&gt;0,IPMT('Assumptions (Nuclear)'!$V$6,Model!AC1,'Assumptions (Nuclear)'!$V$9,'Assumptions (Nuclear)'!$V$4*Model!$AF$1110*AVERAGE('Assumptions (Nuclear)'!$Y$2:$AD$2)/10^9),0)</f>
        <v>0</v>
      </c>
      <c r="AM1248" s="105">
        <f>IF($AF$1110&gt;0,IPMT('Assumptions (Nuclear)'!$V$6,Model!AD1,'Assumptions (Nuclear)'!$V$9,'Assumptions (Nuclear)'!$V$4*Model!$AF$1110*AVERAGE('Assumptions (Nuclear)'!$Y$2:$AD$2)/10^9),0)</f>
        <v>0</v>
      </c>
      <c r="AN1248" s="105">
        <f>IF($AF$1110&gt;0,IPMT('Assumptions (Nuclear)'!$V$6,Model!AE1,'Assumptions (Nuclear)'!$V$9,'Assumptions (Nuclear)'!$V$4*Model!$AF$1110*AVERAGE('Assumptions (Nuclear)'!$Y$2:$AD$2)/10^9),0)</f>
        <v>0</v>
      </c>
      <c r="AO1248" s="105">
        <f>IF($AF$1110&gt;0,IPMT('Assumptions (Nuclear)'!$V$6,Model!AF1,'Assumptions (Nuclear)'!$V$9,'Assumptions (Nuclear)'!$V$4*Model!$AF$1110*AVERAGE('Assumptions (Nuclear)'!$Y$2:$AD$2)/10^9),0)</f>
        <v>0</v>
      </c>
      <c r="AP1248" s="105">
        <f>IF($AF$1110&gt;0,IPMT('Assumptions (Nuclear)'!$V$6,Model!AG1,'Assumptions (Nuclear)'!$V$9,'Assumptions (Nuclear)'!$V$4*Model!$AF$1110*AVERAGE('Assumptions (Nuclear)'!$Y$2:$AD$2)/10^9),0)</f>
        <v>0</v>
      </c>
      <c r="AQ1248" s="105">
        <f>IF($AF$1110&gt;0,IPMT('Assumptions (Nuclear)'!$V$6,Model!AH1,'Assumptions (Nuclear)'!$V$9,'Assumptions (Nuclear)'!$V$4*Model!$AF$1110*AVERAGE('Assumptions (Nuclear)'!$Y$2:$AD$2)/10^9),0)</f>
        <v>0</v>
      </c>
      <c r="AR1248" s="105">
        <f>IF($AF$1110&gt;0,IPMT('Assumptions (Nuclear)'!$V$6,Model!AI1,'Assumptions (Nuclear)'!$V$9,'Assumptions (Nuclear)'!$V$4*Model!$AF$1110*AVERAGE('Assumptions (Nuclear)'!$Y$2:$AD$2)/10^9),0)</f>
        <v>0</v>
      </c>
      <c r="AS1248" s="105">
        <f>IF($AF$1110&gt;0,IPMT('Assumptions (Nuclear)'!$V$6,Model!AJ1,'Assumptions (Nuclear)'!$V$9,'Assumptions (Nuclear)'!$V$4*Model!$AF$1110*AVERAGE('Assumptions (Nuclear)'!$Y$2:$AD$2)/10^9),0)</f>
        <v>0</v>
      </c>
      <c r="AT1248" s="105">
        <f>IF($AF$1110&gt;0,IPMT('Assumptions (Nuclear)'!$V$6,Model!AK1,'Assumptions (Nuclear)'!$V$9,'Assumptions (Nuclear)'!$V$4*Model!$AF$1110*AVERAGE('Assumptions (Nuclear)'!$Y$2:$AD$2)/10^9),0)</f>
        <v>0</v>
      </c>
      <c r="AU1248" s="105"/>
      <c r="AV1248" s="105"/>
      <c r="AW1248" s="105"/>
      <c r="AX1248" s="105"/>
      <c r="AY1248" s="105"/>
      <c r="AZ1248" s="105"/>
      <c r="BA1248" s="105"/>
      <c r="BB1248" s="105"/>
      <c r="BC1248" s="105"/>
      <c r="BD1248" s="105"/>
    </row>
    <row r="1249" spans="1:72" ht="15.75" hidden="1" customHeight="1" outlineLevel="1">
      <c r="A1249" s="407"/>
      <c r="B1249" s="99"/>
      <c r="C1249" s="99"/>
      <c r="D1249" s="99"/>
      <c r="E1249" s="99"/>
      <c r="F1249" s="99"/>
      <c r="G1249" s="99"/>
      <c r="H1249" s="99"/>
      <c r="I1249" s="99"/>
      <c r="J1249" s="99"/>
      <c r="K1249" s="99"/>
      <c r="L1249" s="99"/>
      <c r="M1249" s="99"/>
      <c r="N1249" s="99"/>
      <c r="O1249" s="99"/>
      <c r="P1249" s="99"/>
      <c r="Q1249" s="99"/>
      <c r="R1249" s="99"/>
      <c r="S1249" s="99"/>
      <c r="T1249" s="99"/>
      <c r="U1249" s="99"/>
      <c r="V1249" s="99"/>
      <c r="W1249" s="105"/>
      <c r="X1249" s="105"/>
      <c r="Y1249" s="105"/>
      <c r="Z1249" s="105"/>
      <c r="AA1249" s="105"/>
      <c r="AB1249" s="105"/>
      <c r="AC1249" s="105"/>
      <c r="AD1249" s="105"/>
      <c r="AE1249" s="105"/>
      <c r="AF1249" s="105"/>
      <c r="AG1249" s="105">
        <f>IF($AG$1110&gt;0,IPMT('Assumptions (Nuclear)'!$V$6,Model!W1,'Assumptions (Nuclear)'!$V$9,'Assumptions (Nuclear)'!$V$4*Model!$AG$1110*AVERAGE('Assumptions (Nuclear)'!$Z$2:$AE$2)/10^9),0)</f>
        <v>0</v>
      </c>
      <c r="AH1249" s="105">
        <f>IF($AG$1110&gt;0,IPMT('Assumptions (Nuclear)'!$V$6,Model!X1,'Assumptions (Nuclear)'!$V$9,'Assumptions (Nuclear)'!$V$4*Model!$AG$1110*AVERAGE('Assumptions (Nuclear)'!$Z$2:$AE$2)/10^9),0)</f>
        <v>0</v>
      </c>
      <c r="AI1249" s="105">
        <f>IF($AG$1110&gt;0,IPMT('Assumptions (Nuclear)'!$V$6,Model!Y1,'Assumptions (Nuclear)'!$V$9,'Assumptions (Nuclear)'!$V$4*Model!$AG$1110*AVERAGE('Assumptions (Nuclear)'!$Z$2:$AE$2)/10^9),0)</f>
        <v>0</v>
      </c>
      <c r="AJ1249" s="105">
        <f>IF($AG$1110&gt;0,IPMT('Assumptions (Nuclear)'!$V$6,Model!Z1,'Assumptions (Nuclear)'!$V$9,'Assumptions (Nuclear)'!$V$4*Model!$AG$1110*AVERAGE('Assumptions (Nuclear)'!$Z$2:$AE$2)/10^9),0)</f>
        <v>0</v>
      </c>
      <c r="AK1249" s="105">
        <f>IF($AG$1110&gt;0,IPMT('Assumptions (Nuclear)'!$V$6,Model!AA1,'Assumptions (Nuclear)'!$V$9,'Assumptions (Nuclear)'!$V$4*Model!$AG$1110*AVERAGE('Assumptions (Nuclear)'!$Z$2:$AE$2)/10^9),0)</f>
        <v>0</v>
      </c>
      <c r="AL1249" s="105">
        <f>IF($AG$1110&gt;0,IPMT('Assumptions (Nuclear)'!$V$6,Model!AB1,'Assumptions (Nuclear)'!$V$9,'Assumptions (Nuclear)'!$V$4*Model!$AG$1110*AVERAGE('Assumptions (Nuclear)'!$Z$2:$AE$2)/10^9),0)</f>
        <v>0</v>
      </c>
      <c r="AM1249" s="105">
        <f>IF($AG$1110&gt;0,IPMT('Assumptions (Nuclear)'!$V$6,Model!AC1,'Assumptions (Nuclear)'!$V$9,'Assumptions (Nuclear)'!$V$4*Model!$AG$1110*AVERAGE('Assumptions (Nuclear)'!$Z$2:$AE$2)/10^9),0)</f>
        <v>0</v>
      </c>
      <c r="AN1249" s="105">
        <f>IF($AG$1110&gt;0,IPMT('Assumptions (Nuclear)'!$V$6,Model!AD1,'Assumptions (Nuclear)'!$V$9,'Assumptions (Nuclear)'!$V$4*Model!$AG$1110*AVERAGE('Assumptions (Nuclear)'!$Z$2:$AE$2)/10^9),0)</f>
        <v>0</v>
      </c>
      <c r="AO1249" s="105">
        <f>IF($AG$1110&gt;0,IPMT('Assumptions (Nuclear)'!$V$6,Model!AE1,'Assumptions (Nuclear)'!$V$9,'Assumptions (Nuclear)'!$V$4*Model!$AG$1110*AVERAGE('Assumptions (Nuclear)'!$Z$2:$AE$2)/10^9),0)</f>
        <v>0</v>
      </c>
      <c r="AP1249" s="105">
        <f>IF($AG$1110&gt;0,IPMT('Assumptions (Nuclear)'!$V$6,Model!AF1,'Assumptions (Nuclear)'!$V$9,'Assumptions (Nuclear)'!$V$4*Model!$AG$1110*AVERAGE('Assumptions (Nuclear)'!$Z$2:$AE$2)/10^9),0)</f>
        <v>0</v>
      </c>
      <c r="AQ1249" s="105">
        <f>IF($AG$1110&gt;0,IPMT('Assumptions (Nuclear)'!$V$6,Model!AG1,'Assumptions (Nuclear)'!$V$9,'Assumptions (Nuclear)'!$V$4*Model!$AG$1110*AVERAGE('Assumptions (Nuclear)'!$Z$2:$AE$2)/10^9),0)</f>
        <v>0</v>
      </c>
      <c r="AR1249" s="105">
        <f>IF($AG$1110&gt;0,IPMT('Assumptions (Nuclear)'!$V$6,Model!AH1,'Assumptions (Nuclear)'!$V$9,'Assumptions (Nuclear)'!$V$4*Model!$AG$1110*AVERAGE('Assumptions (Nuclear)'!$Z$2:$AE$2)/10^9),0)</f>
        <v>0</v>
      </c>
      <c r="AS1249" s="105">
        <f>IF($AG$1110&gt;0,IPMT('Assumptions (Nuclear)'!$V$6,Model!AI1,'Assumptions (Nuclear)'!$V$9,'Assumptions (Nuclear)'!$V$4*Model!$AG$1110*AVERAGE('Assumptions (Nuclear)'!$Z$2:$AE$2)/10^9),0)</f>
        <v>0</v>
      </c>
      <c r="AT1249" s="105">
        <f>IF($AG$1110&gt;0,IPMT('Assumptions (Nuclear)'!$V$6,Model!AJ1,'Assumptions (Nuclear)'!$V$9,'Assumptions (Nuclear)'!$V$4*Model!$AG$1110*AVERAGE('Assumptions (Nuclear)'!$Z$2:$AE$2)/10^9),0)</f>
        <v>0</v>
      </c>
      <c r="AU1249" s="105">
        <f>IF($AG$1110&gt;0,IPMT('Assumptions (Nuclear)'!$V$6,Model!AK1,'Assumptions (Nuclear)'!$V$9,'Assumptions (Nuclear)'!$V$4*Model!$AG$1110*AVERAGE('Assumptions (Nuclear)'!$Z$2:$AE$2)/10^9),0)</f>
        <v>0</v>
      </c>
      <c r="AV1249" s="105"/>
      <c r="AW1249" s="105"/>
      <c r="AX1249" s="105"/>
      <c r="AY1249" s="105"/>
      <c r="AZ1249" s="105"/>
      <c r="BA1249" s="105"/>
      <c r="BB1249" s="105"/>
      <c r="BC1249" s="105"/>
      <c r="BD1249" s="105"/>
      <c r="BE1249" s="105"/>
    </row>
    <row r="1250" spans="1:72" ht="15.75" hidden="1" customHeight="1" outlineLevel="1">
      <c r="A1250" s="407"/>
      <c r="B1250" s="99"/>
      <c r="C1250" s="99"/>
      <c r="D1250" s="99"/>
      <c r="E1250" s="99"/>
      <c r="F1250" s="99"/>
      <c r="G1250" s="99"/>
      <c r="H1250" s="99"/>
      <c r="I1250" s="99"/>
      <c r="J1250" s="99"/>
      <c r="K1250" s="99"/>
      <c r="L1250" s="99"/>
      <c r="M1250" s="99"/>
      <c r="N1250" s="99"/>
      <c r="O1250" s="99"/>
      <c r="P1250" s="99"/>
      <c r="Q1250" s="99"/>
      <c r="R1250" s="99"/>
      <c r="S1250" s="99"/>
      <c r="T1250" s="99"/>
      <c r="U1250" s="99"/>
      <c r="V1250" s="99"/>
      <c r="W1250" s="105"/>
      <c r="X1250" s="105"/>
      <c r="Y1250" s="105"/>
      <c r="Z1250" s="105"/>
      <c r="AA1250" s="105"/>
      <c r="AB1250" s="105"/>
      <c r="AC1250" s="105"/>
      <c r="AD1250" s="105"/>
      <c r="AE1250" s="105"/>
      <c r="AF1250" s="105"/>
      <c r="AG1250" s="105"/>
      <c r="AH1250" s="105">
        <f>IF($AH$1110&gt;0,IPMT('Assumptions (Nuclear)'!$V$6,Model!W1,'Assumptions (Nuclear)'!$V$9,'Assumptions (Nuclear)'!$V$4*Model!$AH$1110*AVERAGE('Assumptions (Nuclear)'!$AA$2:$AF$2)/10^9),0)</f>
        <v>0</v>
      </c>
      <c r="AI1250" s="105">
        <f>IF($AH$1110&gt;0,IPMT('Assumptions (Nuclear)'!$V$6,Model!X1,'Assumptions (Nuclear)'!$V$9,'Assumptions (Nuclear)'!$V$4*Model!$AH$1110*AVERAGE('Assumptions (Nuclear)'!$AA$2:$AF$2)/10^9),0)</f>
        <v>0</v>
      </c>
      <c r="AJ1250" s="105">
        <f>IF($AH$1110&gt;0,IPMT('Assumptions (Nuclear)'!$V$6,Model!Y1,'Assumptions (Nuclear)'!$V$9,'Assumptions (Nuclear)'!$V$4*Model!$AH$1110*AVERAGE('Assumptions (Nuclear)'!$AA$2:$AF$2)/10^9),0)</f>
        <v>0</v>
      </c>
      <c r="AK1250" s="105">
        <f>IF($AH$1110&gt;0,IPMT('Assumptions (Nuclear)'!$V$6,Model!Z1,'Assumptions (Nuclear)'!$V$9,'Assumptions (Nuclear)'!$V$4*Model!$AH$1110*AVERAGE('Assumptions (Nuclear)'!$AA$2:$AF$2)/10^9),0)</f>
        <v>0</v>
      </c>
      <c r="AL1250" s="105">
        <f>IF($AH$1110&gt;0,IPMT('Assumptions (Nuclear)'!$V$6,Model!AA1,'Assumptions (Nuclear)'!$V$9,'Assumptions (Nuclear)'!$V$4*Model!$AH$1110*AVERAGE('Assumptions (Nuclear)'!$AA$2:$AF$2)/10^9),0)</f>
        <v>0</v>
      </c>
      <c r="AM1250" s="105">
        <f>IF($AH$1110&gt;0,IPMT('Assumptions (Nuclear)'!$V$6,Model!AB1,'Assumptions (Nuclear)'!$V$9,'Assumptions (Nuclear)'!$V$4*Model!$AH$1110*AVERAGE('Assumptions (Nuclear)'!$AA$2:$AF$2)/10^9),0)</f>
        <v>0</v>
      </c>
      <c r="AN1250" s="105">
        <f>IF($AH$1110&gt;0,IPMT('Assumptions (Nuclear)'!$V$6,Model!AC1,'Assumptions (Nuclear)'!$V$9,'Assumptions (Nuclear)'!$V$4*Model!$AH$1110*AVERAGE('Assumptions (Nuclear)'!$AA$2:$AF$2)/10^9),0)</f>
        <v>0</v>
      </c>
      <c r="AO1250" s="105">
        <f>IF($AH$1110&gt;0,IPMT('Assumptions (Nuclear)'!$V$6,Model!AD1,'Assumptions (Nuclear)'!$V$9,'Assumptions (Nuclear)'!$V$4*Model!$AH$1110*AVERAGE('Assumptions (Nuclear)'!$AA$2:$AF$2)/10^9),0)</f>
        <v>0</v>
      </c>
      <c r="AP1250" s="105">
        <f>IF($AH$1110&gt;0,IPMT('Assumptions (Nuclear)'!$V$6,Model!AE1,'Assumptions (Nuclear)'!$V$9,'Assumptions (Nuclear)'!$V$4*Model!$AH$1110*AVERAGE('Assumptions (Nuclear)'!$AA$2:$AF$2)/10^9),0)</f>
        <v>0</v>
      </c>
      <c r="AQ1250" s="105">
        <f>IF($AH$1110&gt;0,IPMT('Assumptions (Nuclear)'!$V$6,Model!AF1,'Assumptions (Nuclear)'!$V$9,'Assumptions (Nuclear)'!$V$4*Model!$AH$1110*AVERAGE('Assumptions (Nuclear)'!$AA$2:$AF$2)/10^9),0)</f>
        <v>0</v>
      </c>
      <c r="AR1250" s="105">
        <f>IF($AH$1110&gt;0,IPMT('Assumptions (Nuclear)'!$V$6,Model!AG1,'Assumptions (Nuclear)'!$V$9,'Assumptions (Nuclear)'!$V$4*Model!$AH$1110*AVERAGE('Assumptions (Nuclear)'!$AA$2:$AF$2)/10^9),0)</f>
        <v>0</v>
      </c>
      <c r="AS1250" s="105">
        <f>IF($AH$1110&gt;0,IPMT('Assumptions (Nuclear)'!$V$6,Model!AH1,'Assumptions (Nuclear)'!$V$9,'Assumptions (Nuclear)'!$V$4*Model!$AH$1110*AVERAGE('Assumptions (Nuclear)'!$AA$2:$AF$2)/10^9),0)</f>
        <v>0</v>
      </c>
      <c r="AT1250" s="105">
        <f>IF($AH$1110&gt;0,IPMT('Assumptions (Nuclear)'!$V$6,Model!AI1,'Assumptions (Nuclear)'!$V$9,'Assumptions (Nuclear)'!$V$4*Model!$AH$1110*AVERAGE('Assumptions (Nuclear)'!$AA$2:$AF$2)/10^9),0)</f>
        <v>0</v>
      </c>
      <c r="AU1250" s="105">
        <f>IF($AH$1110&gt;0,IPMT('Assumptions (Nuclear)'!$V$6,Model!AJ1,'Assumptions (Nuclear)'!$V$9,'Assumptions (Nuclear)'!$V$4*Model!$AH$1110*AVERAGE('Assumptions (Nuclear)'!$AA$2:$AF$2)/10^9),0)</f>
        <v>0</v>
      </c>
      <c r="AV1250" s="105">
        <f>IF($AH$1110&gt;0,IPMT('Assumptions (Nuclear)'!$V$6,Model!AK1,'Assumptions (Nuclear)'!$V$9,'Assumptions (Nuclear)'!$V$4*Model!$AH$1110*AVERAGE('Assumptions (Nuclear)'!$AA$2:$AF$2)/10^9),0)</f>
        <v>0</v>
      </c>
      <c r="AW1250" s="105"/>
      <c r="AX1250" s="105"/>
      <c r="AY1250" s="105"/>
      <c r="AZ1250" s="105"/>
      <c r="BA1250" s="105"/>
      <c r="BB1250" s="105"/>
      <c r="BC1250" s="105"/>
      <c r="BD1250" s="105"/>
      <c r="BE1250" s="105"/>
      <c r="BF1250" s="105"/>
    </row>
    <row r="1251" spans="1:72" ht="15.75" hidden="1" customHeight="1" outlineLevel="1">
      <c r="A1251" s="407"/>
      <c r="B1251" s="99"/>
      <c r="C1251" s="99"/>
      <c r="D1251" s="99"/>
      <c r="E1251" s="99"/>
      <c r="F1251" s="99"/>
      <c r="G1251" s="99"/>
      <c r="H1251" s="99"/>
      <c r="I1251" s="99"/>
      <c r="J1251" s="99"/>
      <c r="K1251" s="99"/>
      <c r="L1251" s="99"/>
      <c r="M1251" s="99"/>
      <c r="N1251" s="99"/>
      <c r="O1251" s="99"/>
      <c r="P1251" s="99"/>
      <c r="Q1251" s="99"/>
      <c r="R1251" s="99"/>
      <c r="S1251" s="99"/>
      <c r="T1251" s="99"/>
      <c r="U1251" s="99"/>
      <c r="V1251" s="99"/>
      <c r="W1251" s="105"/>
      <c r="X1251" s="105"/>
      <c r="Y1251" s="105"/>
      <c r="Z1251" s="105"/>
      <c r="AA1251" s="105"/>
      <c r="AB1251" s="105"/>
      <c r="AC1251" s="105"/>
      <c r="AD1251" s="105"/>
      <c r="AE1251" s="105"/>
      <c r="AF1251" s="105"/>
      <c r="AG1251" s="105"/>
      <c r="AH1251" s="105"/>
      <c r="AI1251" s="105">
        <f>IF($AI$1110&gt;0,IPMT('Assumptions (Nuclear)'!$V$6,Model!W1,'Assumptions (Nuclear)'!$V$9,'Assumptions (Nuclear)'!$V$4*Model!$AI$1110*AVERAGE('Assumptions (Nuclear)'!$AB$2:$AG$2)/10^9),0)</f>
        <v>0</v>
      </c>
      <c r="AJ1251" s="105">
        <f>IF($AI$1110&gt;0,IPMT('Assumptions (Nuclear)'!$V$6,Model!X1,'Assumptions (Nuclear)'!$V$9,'Assumptions (Nuclear)'!$V$4*Model!$AI$1110*AVERAGE('Assumptions (Nuclear)'!$AB$2:$AG$2)/10^9),0)</f>
        <v>0</v>
      </c>
      <c r="AK1251" s="105">
        <f>IF($AI$1110&gt;0,IPMT('Assumptions (Nuclear)'!$V$6,Model!Y1,'Assumptions (Nuclear)'!$V$9,'Assumptions (Nuclear)'!$V$4*Model!$AI$1110*AVERAGE('Assumptions (Nuclear)'!$AB$2:$AG$2)/10^9),0)</f>
        <v>0</v>
      </c>
      <c r="AL1251" s="105">
        <f>IF($AI$1110&gt;0,IPMT('Assumptions (Nuclear)'!$V$6,Model!Z1,'Assumptions (Nuclear)'!$V$9,'Assumptions (Nuclear)'!$V$4*Model!$AI$1110*AVERAGE('Assumptions (Nuclear)'!$AB$2:$AG$2)/10^9),0)</f>
        <v>0</v>
      </c>
      <c r="AM1251" s="105">
        <f>IF($AI$1110&gt;0,IPMT('Assumptions (Nuclear)'!$V$6,Model!AA1,'Assumptions (Nuclear)'!$V$9,'Assumptions (Nuclear)'!$V$4*Model!$AI$1110*AVERAGE('Assumptions (Nuclear)'!$AB$2:$AG$2)/10^9),0)</f>
        <v>0</v>
      </c>
      <c r="AN1251" s="105">
        <f>IF($AI$1110&gt;0,IPMT('Assumptions (Nuclear)'!$V$6,Model!AB1,'Assumptions (Nuclear)'!$V$9,'Assumptions (Nuclear)'!$V$4*Model!$AI$1110*AVERAGE('Assumptions (Nuclear)'!$AB$2:$AG$2)/10^9),0)</f>
        <v>0</v>
      </c>
      <c r="AO1251" s="105">
        <f>IF($AI$1110&gt;0,IPMT('Assumptions (Nuclear)'!$V$6,Model!AC1,'Assumptions (Nuclear)'!$V$9,'Assumptions (Nuclear)'!$V$4*Model!$AI$1110*AVERAGE('Assumptions (Nuclear)'!$AB$2:$AG$2)/10^9),0)</f>
        <v>0</v>
      </c>
      <c r="AP1251" s="105">
        <f>IF($AI$1110&gt;0,IPMT('Assumptions (Nuclear)'!$V$6,Model!AD1,'Assumptions (Nuclear)'!$V$9,'Assumptions (Nuclear)'!$V$4*Model!$AI$1110*AVERAGE('Assumptions (Nuclear)'!$AB$2:$AG$2)/10^9),0)</f>
        <v>0</v>
      </c>
      <c r="AQ1251" s="105">
        <f>IF($AI$1110&gt;0,IPMT('Assumptions (Nuclear)'!$V$6,Model!AE1,'Assumptions (Nuclear)'!$V$9,'Assumptions (Nuclear)'!$V$4*Model!$AI$1110*AVERAGE('Assumptions (Nuclear)'!$AB$2:$AG$2)/10^9),0)</f>
        <v>0</v>
      </c>
      <c r="AR1251" s="105">
        <f>IF($AI$1110&gt;0,IPMT('Assumptions (Nuclear)'!$V$6,Model!AF1,'Assumptions (Nuclear)'!$V$9,'Assumptions (Nuclear)'!$V$4*Model!$AI$1110*AVERAGE('Assumptions (Nuclear)'!$AB$2:$AG$2)/10^9),0)</f>
        <v>0</v>
      </c>
      <c r="AS1251" s="105">
        <f>IF($AI$1110&gt;0,IPMT('Assumptions (Nuclear)'!$V$6,Model!AG1,'Assumptions (Nuclear)'!$V$9,'Assumptions (Nuclear)'!$V$4*Model!$AI$1110*AVERAGE('Assumptions (Nuclear)'!$AB$2:$AG$2)/10^9),0)</f>
        <v>0</v>
      </c>
      <c r="AT1251" s="105">
        <f>IF($AI$1110&gt;0,IPMT('Assumptions (Nuclear)'!$V$6,Model!AH1,'Assumptions (Nuclear)'!$V$9,'Assumptions (Nuclear)'!$V$4*Model!$AI$1110*AVERAGE('Assumptions (Nuclear)'!$AB$2:$AG$2)/10^9),0)</f>
        <v>0</v>
      </c>
      <c r="AU1251" s="105">
        <f>IF($AI$1110&gt;0,IPMT('Assumptions (Nuclear)'!$V$6,Model!AI1,'Assumptions (Nuclear)'!$V$9,'Assumptions (Nuclear)'!$V$4*Model!$AI$1110*AVERAGE('Assumptions (Nuclear)'!$AB$2:$AG$2)/10^9),0)</f>
        <v>0</v>
      </c>
      <c r="AV1251" s="105">
        <f>IF($AI$1110&gt;0,IPMT('Assumptions (Nuclear)'!$V$6,Model!AJ1,'Assumptions (Nuclear)'!$V$9,'Assumptions (Nuclear)'!$V$4*Model!$AI$1110*AVERAGE('Assumptions (Nuclear)'!$AB$2:$AG$2)/10^9),0)</f>
        <v>0</v>
      </c>
      <c r="AW1251" s="105">
        <f>IF($AI$1110&gt;0,IPMT('Assumptions (Nuclear)'!$V$6,Model!AK1,'Assumptions (Nuclear)'!$V$9,'Assumptions (Nuclear)'!$V$4*Model!$AI$1110*AVERAGE('Assumptions (Nuclear)'!$AB$2:$AG$2)/10^9),0)</f>
        <v>0</v>
      </c>
      <c r="AX1251" s="105"/>
      <c r="AY1251" s="105"/>
      <c r="AZ1251" s="105"/>
      <c r="BA1251" s="105"/>
      <c r="BB1251" s="105"/>
      <c r="BC1251" s="105"/>
      <c r="BD1251" s="105"/>
      <c r="BE1251" s="105"/>
      <c r="BF1251" s="105"/>
      <c r="BG1251" s="105"/>
    </row>
    <row r="1252" spans="1:72" ht="15.75" hidden="1" customHeight="1" outlineLevel="1">
      <c r="A1252" s="407"/>
      <c r="B1252" s="99"/>
      <c r="C1252" s="99"/>
      <c r="D1252" s="99"/>
      <c r="E1252" s="99"/>
      <c r="F1252" s="99"/>
      <c r="G1252" s="99"/>
      <c r="H1252" s="99"/>
      <c r="I1252" s="99"/>
      <c r="J1252" s="99"/>
      <c r="K1252" s="99"/>
      <c r="L1252" s="99"/>
      <c r="M1252" s="99"/>
      <c r="N1252" s="99"/>
      <c r="O1252" s="99"/>
      <c r="P1252" s="99"/>
      <c r="Q1252" s="99"/>
      <c r="R1252" s="99"/>
      <c r="S1252" s="99"/>
      <c r="T1252" s="99"/>
      <c r="U1252" s="99"/>
      <c r="V1252" s="99"/>
      <c r="W1252" s="105"/>
      <c r="X1252" s="105"/>
      <c r="Y1252" s="105"/>
      <c r="Z1252" s="105"/>
      <c r="AA1252" s="105"/>
      <c r="AB1252" s="105"/>
      <c r="AC1252" s="105"/>
      <c r="AD1252" s="105"/>
      <c r="AE1252" s="105"/>
      <c r="AF1252" s="105"/>
      <c r="AG1252" s="105"/>
      <c r="AH1252" s="105"/>
      <c r="AI1252" s="105"/>
      <c r="AJ1252" s="91">
        <f>IF($AJ$1110&gt;0,IPMT('Assumptions (Nuclear)'!$V$6,Model!W1,'Assumptions (Nuclear)'!$V$9,'Assumptions (Nuclear)'!$V$4*Model!$AJ$1110*AVERAGE('Assumptions (Nuclear)'!$AC$2:$AH$2)/10^9),0)</f>
        <v>0</v>
      </c>
      <c r="AK1252" s="91">
        <f>IF($AJ$1110&gt;0,IPMT('Assumptions (Nuclear)'!$V$6,Model!X1,'Assumptions (Nuclear)'!$V$9,'Assumptions (Nuclear)'!$V$4*Model!$AJ$1110*AVERAGE('Assumptions (Nuclear)'!$AC$2:$AH$2)/10^9),0)</f>
        <v>0</v>
      </c>
      <c r="AL1252" s="91">
        <f>IF($AJ$1110&gt;0,IPMT('Assumptions (Nuclear)'!$V$6,Model!Y1,'Assumptions (Nuclear)'!$V$9,'Assumptions (Nuclear)'!$V$4*Model!$AJ$1110*AVERAGE('Assumptions (Nuclear)'!$AC$2:$AH$2)/10^9),0)</f>
        <v>0</v>
      </c>
      <c r="AM1252" s="91">
        <f>IF($AJ$1110&gt;0,IPMT('Assumptions (Nuclear)'!$V$6,Model!Z1,'Assumptions (Nuclear)'!$V$9,'Assumptions (Nuclear)'!$V$4*Model!$AJ$1110*AVERAGE('Assumptions (Nuclear)'!$AC$2:$AH$2)/10^9),0)</f>
        <v>0</v>
      </c>
      <c r="AN1252" s="91">
        <f>IF($AJ$1110&gt;0,IPMT('Assumptions (Nuclear)'!$V$6,Model!AA1,'Assumptions (Nuclear)'!$V$9,'Assumptions (Nuclear)'!$V$4*Model!$AJ$1110*AVERAGE('Assumptions (Nuclear)'!$AC$2:$AH$2)/10^9),0)</f>
        <v>0</v>
      </c>
      <c r="AO1252" s="91">
        <f>IF($AJ$1110&gt;0,IPMT('Assumptions (Nuclear)'!$V$6,Model!AB1,'Assumptions (Nuclear)'!$V$9,'Assumptions (Nuclear)'!$V$4*Model!$AJ$1110*AVERAGE('Assumptions (Nuclear)'!$AC$2:$AH$2)/10^9),0)</f>
        <v>0</v>
      </c>
      <c r="AP1252" s="91">
        <f>IF($AJ$1110&gt;0,IPMT('Assumptions (Nuclear)'!$V$6,Model!AC1,'Assumptions (Nuclear)'!$V$9,'Assumptions (Nuclear)'!$V$4*Model!$AJ$1110*AVERAGE('Assumptions (Nuclear)'!$AC$2:$AH$2)/10^9),0)</f>
        <v>0</v>
      </c>
      <c r="AQ1252" s="91">
        <f>IF($AJ$1110&gt;0,IPMT('Assumptions (Nuclear)'!$V$6,Model!AD1,'Assumptions (Nuclear)'!$V$9,'Assumptions (Nuclear)'!$V$4*Model!$AJ$1110*AVERAGE('Assumptions (Nuclear)'!$AC$2:$AH$2)/10^9),0)</f>
        <v>0</v>
      </c>
      <c r="AR1252" s="91">
        <f>IF($AJ$1110&gt;0,IPMT('Assumptions (Nuclear)'!$V$6,Model!AE1,'Assumptions (Nuclear)'!$V$9,'Assumptions (Nuclear)'!$V$4*Model!$AJ$1110*AVERAGE('Assumptions (Nuclear)'!$AC$2:$AH$2)/10^9),0)</f>
        <v>0</v>
      </c>
      <c r="AS1252" s="91">
        <f>IF($AJ$1110&gt;0,IPMT('Assumptions (Nuclear)'!$V$6,Model!AF1,'Assumptions (Nuclear)'!$V$9,'Assumptions (Nuclear)'!$V$4*Model!$AJ$1110*AVERAGE('Assumptions (Nuclear)'!$AC$2:$AH$2)/10^9),0)</f>
        <v>0</v>
      </c>
      <c r="AT1252" s="91">
        <f>IF($AJ$1110&gt;0,IPMT('Assumptions (Nuclear)'!$V$6,Model!AG1,'Assumptions (Nuclear)'!$V$9,'Assumptions (Nuclear)'!$V$4*Model!$AJ$1110*AVERAGE('Assumptions (Nuclear)'!$AC$2:$AH$2)/10^9),0)</f>
        <v>0</v>
      </c>
      <c r="AU1252" s="91">
        <f>IF($AJ$1110&gt;0,IPMT('Assumptions (Nuclear)'!$V$6,Model!AH1,'Assumptions (Nuclear)'!$V$9,'Assumptions (Nuclear)'!$V$4*Model!$AJ$1110*AVERAGE('Assumptions (Nuclear)'!$AC$2:$AH$2)/10^9),0)</f>
        <v>0</v>
      </c>
      <c r="AV1252" s="91">
        <f>IF($AJ$1110&gt;0,IPMT('Assumptions (Nuclear)'!$V$6,Model!AI1,'Assumptions (Nuclear)'!$V$9,'Assumptions (Nuclear)'!$V$4*Model!$AJ$1110*AVERAGE('Assumptions (Nuclear)'!$AC$2:$AH$2)/10^9),0)</f>
        <v>0</v>
      </c>
      <c r="AW1252" s="91">
        <f>IF($AJ$1110&gt;0,IPMT('Assumptions (Nuclear)'!$V$6,Model!AJ1,'Assumptions (Nuclear)'!$V$9,'Assumptions (Nuclear)'!$V$4*Model!$AJ$1110*AVERAGE('Assumptions (Nuclear)'!$AC$2:$AH$2)/10^9),0)</f>
        <v>0</v>
      </c>
      <c r="AX1252" s="91">
        <f>IF($AJ$1110&gt;0,IPMT('Assumptions (Nuclear)'!$V$6,Model!AK1,'Assumptions (Nuclear)'!$V$9,'Assumptions (Nuclear)'!$V$4*Model!$AJ$1110*AVERAGE('Assumptions (Nuclear)'!$AC$2:$AH$2)/10^9),0)</f>
        <v>0</v>
      </c>
      <c r="AY1252" s="91"/>
      <c r="AZ1252" s="91"/>
      <c r="BA1252" s="91"/>
      <c r="BB1252" s="91"/>
      <c r="BC1252" s="91"/>
      <c r="BD1252" s="91"/>
      <c r="BE1252" s="91"/>
      <c r="BF1252" s="91"/>
      <c r="BG1252" s="91"/>
      <c r="BH1252" s="91"/>
    </row>
    <row r="1253" spans="1:72" ht="15.75" hidden="1" customHeight="1" outlineLevel="1">
      <c r="A1253" s="407"/>
      <c r="B1253" s="99"/>
      <c r="C1253" s="99"/>
      <c r="D1253" s="99"/>
      <c r="E1253" s="99"/>
      <c r="F1253" s="99"/>
      <c r="G1253" s="99"/>
      <c r="H1253" s="99"/>
      <c r="I1253" s="99"/>
      <c r="J1253" s="99"/>
      <c r="K1253" s="99"/>
      <c r="L1253" s="99"/>
      <c r="M1253" s="99"/>
      <c r="N1253" s="99"/>
      <c r="O1253" s="99"/>
      <c r="P1253" s="99"/>
      <c r="Q1253" s="99"/>
      <c r="R1253" s="99"/>
      <c r="S1253" s="99"/>
      <c r="T1253" s="99"/>
      <c r="U1253" s="99"/>
      <c r="V1253" s="99"/>
      <c r="W1253" s="105"/>
      <c r="X1253" s="105"/>
      <c r="Y1253" s="105"/>
      <c r="Z1253" s="105"/>
      <c r="AA1253" s="105"/>
      <c r="AB1253" s="105"/>
      <c r="AC1253" s="105"/>
      <c r="AD1253" s="105"/>
      <c r="AE1253" s="105"/>
      <c r="AF1253" s="105"/>
      <c r="AG1253" s="105"/>
      <c r="AH1253" s="105"/>
      <c r="AI1253" s="105"/>
      <c r="AJ1253" s="171"/>
      <c r="AK1253" s="105">
        <f>IF($AK$1110&gt;0,IPMT('Assumptions (Nuclear)'!$V$6,Model!W1,'Assumptions (Nuclear)'!$V$9,'Assumptions (Nuclear)'!$V$4*Model!$AK$1110*AVERAGE('Assumptions (Nuclear)'!$AD$2:$AI$2)/10^9),0)</f>
        <v>-0.33035810361573537</v>
      </c>
      <c r="AL1253" s="105">
        <f>IF($AK$1110&gt;0,IPMT('Assumptions (Nuclear)'!$V$6,Model!X1,'Assumptions (Nuclear)'!$V$9,'Assumptions (Nuclear)'!$V$4*Model!$AK$1110*AVERAGE('Assumptions (Nuclear)'!$AD$2:$AI$2)/10^9),0)</f>
        <v>-0.31475821920117675</v>
      </c>
      <c r="AM1253" s="105">
        <f>IF($AK$1110&gt;0,IPMT('Assumptions (Nuclear)'!$V$6,Model!Y1,'Assumptions (Nuclear)'!$V$9,'Assumptions (Nuclear)'!$V$4*Model!$AK$1110*AVERAGE('Assumptions (Nuclear)'!$AD$2:$AI$2)/10^9),0)</f>
        <v>-0.29841734027692657</v>
      </c>
      <c r="AN1253" s="105">
        <f>IF($AK$1110&gt;0,IPMT('Assumptions (Nuclear)'!$V$6,Model!Z1,'Assumptions (Nuclear)'!$V$9,'Assumptions (Nuclear)'!$V$4*Model!$AK$1110*AVERAGE('Assumptions (Nuclear)'!$AD$2:$AI$2)/10^9),0)</f>
        <v>-0.28130026960377463</v>
      </c>
      <c r="AO1253" s="105">
        <f>IF($AK$1110&gt;0,IPMT('Assumptions (Nuclear)'!$V$6,Model!AA1,'Assumptions (Nuclear)'!$V$9,'Assumptions (Nuclear)'!$V$4*Model!$AK$1110*AVERAGE('Assumptions (Nuclear)'!$AD$2:$AI$2)/10^9),0)</f>
        <v>-0.2633701380736479</v>
      </c>
      <c r="AP1253" s="105">
        <f>IF($AK$1110&gt;0,IPMT('Assumptions (Nuclear)'!$V$6,Model!AB1,'Assumptions (Nuclear)'!$V$9,'Assumptions (Nuclear)'!$V$4*Model!$AK$1110*AVERAGE('Assumptions (Nuclear)'!$AD$2:$AI$2)/10^9),0)</f>
        <v>-0.24458832529584021</v>
      </c>
      <c r="AQ1253" s="105">
        <f>IF($AK$1110&gt;0,IPMT('Assumptions (Nuclear)'!$V$6,Model!AC1,'Assumptions (Nuclear)'!$V$9,'Assumptions (Nuclear)'!$V$4*Model!$AK$1110*AVERAGE('Assumptions (Nuclear)'!$AD$2:$AI$2)/10^9),0)</f>
        <v>-0.22491437641108661</v>
      </c>
      <c r="AR1253" s="105">
        <f>IF($AK$1110&gt;0,IPMT('Assumptions (Nuclear)'!$V$6,Model!AD1,'Assumptions (Nuclear)'!$V$9,'Assumptions (Nuclear)'!$V$4*Model!$AK$1110*AVERAGE('Assumptions (Nuclear)'!$AD$2:$AI$2)/10^9),0)</f>
        <v>-0.20430591495430725</v>
      </c>
      <c r="AS1253" s="105">
        <f>IF($AK$1110&gt;0,IPMT('Assumptions (Nuclear)'!$V$6,Model!AE1,'Assumptions (Nuclear)'!$V$9,'Assumptions (Nuclear)'!$V$4*Model!$AK$1110*AVERAGE('Assumptions (Nuclear)'!$AD$2:$AI$2)/10^9),0)</f>
        <v>-0.18271855157833086</v>
      </c>
      <c r="AT1253" s="105">
        <f>IF($AK$1110&gt;0,IPMT('Assumptions (Nuclear)'!$V$6,Model!AF1,'Assumptions (Nuclear)'!$V$9,'Assumptions (Nuclear)'!$V$4*Model!$AK$1110*AVERAGE('Assumptions (Nuclear)'!$AD$2:$AI$2)/10^9),0)</f>
        <v>-0.16010578844199561</v>
      </c>
      <c r="AU1253" s="105">
        <f>IF($AK$1110&gt;0,IPMT('Assumptions (Nuclear)'!$V$6,Model!AG1,'Assumptions (Nuclear)'!$V$9,'Assumptions (Nuclear)'!$V$4*Model!$AK$1110*AVERAGE('Assumptions (Nuclear)'!$AD$2:$AI$2)/10^9),0)</f>
        <v>-0.13641891905668438</v>
      </c>
      <c r="AV1253" s="105">
        <f>IF($AK$1110&gt;0,IPMT('Assumptions (Nuclear)'!$V$6,Model!AH1,'Assumptions (Nuclear)'!$V$9,'Assumptions (Nuclear)'!$V$4*Model!$AK$1110*AVERAGE('Assumptions (Nuclear)'!$AD$2:$AI$2)/10^9),0)</f>
        <v>-0.11160692337557092</v>
      </c>
      <c r="AW1253" s="105">
        <f>IF($AK$1110&gt;0,IPMT('Assumptions (Nuclear)'!$V$6,Model!AI1,'Assumptions (Nuclear)'!$V$9,'Assumptions (Nuclear)'!$V$4*Model!$AK$1110*AVERAGE('Assumptions (Nuclear)'!$AD$2:$AI$2)/10^9),0)</f>
        <v>-8.561635789960452E-2</v>
      </c>
      <c r="AX1253" s="105">
        <f>IF($AK$1110&gt;0,IPMT('Assumptions (Nuclear)'!$V$6,Model!AJ1,'Assumptions (Nuclear)'!$V$9,'Assumptions (Nuclear)'!$V$4*Model!$AK$1110*AVERAGE('Assumptions (Nuclear)'!$AD$2:$AI$2)/10^9),0)</f>
        <v>-5.8391240563529734E-2</v>
      </c>
      <c r="AY1253" s="105">
        <f>IF($AK$1110&gt;0,IPMT('Assumptions (Nuclear)'!$V$6,Model!AK1,'Assumptions (Nuclear)'!$V$9,'Assumptions (Nuclear)'!$V$4*Model!$AK$1110*AVERAGE('Assumptions (Nuclear)'!$AD$2:$AI$2)/10^9),0)</f>
        <v>-2.9872930153991402E-2</v>
      </c>
      <c r="AZ1253" s="105"/>
      <c r="BA1253" s="105"/>
      <c r="BB1253" s="105"/>
      <c r="BC1253" s="105"/>
      <c r="BD1253" s="105"/>
      <c r="BE1253" s="105"/>
      <c r="BF1253" s="105"/>
      <c r="BG1253" s="105"/>
      <c r="BH1253" s="105"/>
      <c r="BI1253" s="105"/>
    </row>
    <row r="1254" spans="1:72" ht="15.75" hidden="1" customHeight="1" outlineLevel="1">
      <c r="A1254" s="407"/>
      <c r="B1254" s="99"/>
      <c r="C1254" s="99"/>
      <c r="D1254" s="99"/>
      <c r="E1254" s="99"/>
      <c r="F1254" s="99"/>
      <c r="G1254" s="99"/>
      <c r="H1254" s="99"/>
      <c r="I1254" s="99"/>
      <c r="J1254" s="99"/>
      <c r="K1254" s="99"/>
      <c r="L1254" s="99"/>
      <c r="M1254" s="99"/>
      <c r="N1254" s="99"/>
      <c r="O1254" s="99"/>
      <c r="P1254" s="99"/>
      <c r="Q1254" s="99"/>
      <c r="R1254" s="99"/>
      <c r="S1254" s="99"/>
      <c r="T1254" s="99"/>
      <c r="U1254" s="99"/>
      <c r="V1254" s="99"/>
      <c r="W1254" s="105"/>
      <c r="X1254" s="105"/>
      <c r="Y1254" s="105"/>
      <c r="Z1254" s="105"/>
      <c r="AA1254" s="105"/>
      <c r="AB1254" s="105"/>
      <c r="AC1254" s="105"/>
      <c r="AD1254" s="105"/>
      <c r="AE1254" s="105"/>
      <c r="AF1254" s="105"/>
      <c r="AG1254" s="105"/>
      <c r="AH1254" s="105"/>
      <c r="AI1254" s="105"/>
      <c r="AJ1254" s="171"/>
      <c r="AK1254" s="105"/>
      <c r="AL1254" s="91">
        <f>IF($AL$1110&gt;0,IPMT('Assumptions (Nuclear)'!$V$6,Model!W1,'Assumptions (Nuclear)'!$V$9,'Assumptions (Nuclear)'!$V$4*Model!$AL$1110*AVERAGE('Assumptions (Nuclear)'!$AE$2:$AJ$2)/10^9),0)</f>
        <v>-4.7945251589768999E-2</v>
      </c>
      <c r="AM1254" s="91">
        <f>IF($AL$1110&gt;0,IPMT('Assumptions (Nuclear)'!$V$6,Model!X1,'Assumptions (Nuclear)'!$V$9,'Assumptions (Nuclear)'!$V$4*Model!$AL$1110*AVERAGE('Assumptions (Nuclear)'!$AE$2:$AJ$2)/10^9),0)</f>
        <v>-4.5681222420085564E-2</v>
      </c>
      <c r="AN1254" s="91">
        <f>IF($AL$1110&gt;0,IPMT('Assumptions (Nuclear)'!$V$6,Model!Y1,'Assumptions (Nuclear)'!$V$9,'Assumptions (Nuclear)'!$V$4*Model!$AL$1110*AVERAGE('Assumptions (Nuclear)'!$AE$2:$AJ$2)/10^9),0)</f>
        <v>-4.3309651864842161E-2</v>
      </c>
      <c r="AO1254" s="91">
        <f>IF($AL$1110&gt;0,IPMT('Assumptions (Nuclear)'!$V$6,Model!Z1,'Assumptions (Nuclear)'!$V$9,'Assumptions (Nuclear)'!$V$4*Model!$AL$1110*AVERAGE('Assumptions (Nuclear)'!$AE$2:$AJ$2)/10^9),0)</f>
        <v>-4.082543170822471E-2</v>
      </c>
      <c r="AP1254" s="91">
        <f>IF($AL$1110&gt;0,IPMT('Assumptions (Nuclear)'!$V$6,Model!AA1,'Assumptions (Nuclear)'!$V$9,'Assumptions (Nuclear)'!$V$4*Model!$AL$1110*AVERAGE('Assumptions (Nuclear)'!$AE$2:$AJ$2)/10^9),0)</f>
        <v>-3.8223211094167917E-2</v>
      </c>
      <c r="AQ1254" s="91">
        <f>IF($AL$1110&gt;0,IPMT('Assumptions (Nuclear)'!$V$6,Model!AB1,'Assumptions (Nuclear)'!$V$9,'Assumptions (Nuclear)'!$V$4*Model!$AL$1110*AVERAGE('Assumptions (Nuclear)'!$AE$2:$AJ$2)/10^9),0)</f>
        <v>-3.5497385000943439E-2</v>
      </c>
      <c r="AR1254" s="91">
        <f>IF($AL$1110&gt;0,IPMT('Assumptions (Nuclear)'!$V$6,Model!AC1,'Assumptions (Nuclear)'!$V$9,'Assumptions (Nuclear)'!$V$4*Model!$AL$1110*AVERAGE('Assumptions (Nuclear)'!$AE$2:$AJ$2)/10^9),0)</f>
        <v>-3.2642082168290787E-2</v>
      </c>
      <c r="AS1254" s="91">
        <f>IF($AL$1110&gt;0,IPMT('Assumptions (Nuclear)'!$V$6,Model!AD1,'Assumptions (Nuclear)'!$V$9,'Assumptions (Nuclear)'!$V$4*Model!$AL$1110*AVERAGE('Assumptions (Nuclear)'!$AE$2:$AJ$2)/10^9),0)</f>
        <v>-2.965115245108714E-2</v>
      </c>
      <c r="AT1254" s="91">
        <f>IF($AL$1110&gt;0,IPMT('Assumptions (Nuclear)'!$V$6,Model!AE1,'Assumptions (Nuclear)'!$V$9,'Assumptions (Nuclear)'!$V$4*Model!$AL$1110*AVERAGE('Assumptions (Nuclear)'!$AE$2:$AJ$2)/10^9),0)</f>
        <v>-2.6518153572316325E-2</v>
      </c>
      <c r="AU1254" s="91">
        <f>IF($AL$1110&gt;0,IPMT('Assumptions (Nuclear)'!$V$6,Model!AF1,'Assumptions (Nuclear)'!$V$9,'Assumptions (Nuclear)'!$V$4*Model!$AL$1110*AVERAGE('Assumptions (Nuclear)'!$AE$2:$AJ$2)/10^9),0)</f>
        <v>-2.3236337246803886E-2</v>
      </c>
      <c r="AV1254" s="91">
        <f>IF($AL$1110&gt;0,IPMT('Assumptions (Nuclear)'!$V$6,Model!AG1,'Assumptions (Nuclear)'!$V$9,'Assumptions (Nuclear)'!$V$4*Model!$AL$1110*AVERAGE('Assumptions (Nuclear)'!$AE$2:$AJ$2)/10^9),0)</f>
        <v>-1.9798634645829611E-2</v>
      </c>
      <c r="AW1254" s="91">
        <f>IF($AL$1110&gt;0,IPMT('Assumptions (Nuclear)'!$V$6,Model!AH1,'Assumptions (Nuclear)'!$V$9,'Assumptions (Nuclear)'!$V$4*Model!$AL$1110*AVERAGE('Assumptions (Nuclear)'!$AE$2:$AJ$2)/10^9),0)</f>
        <v>-1.6197641171309059E-2</v>
      </c>
      <c r="AX1254" s="91">
        <f>IF($AL$1110&gt;0,IPMT('Assumptions (Nuclear)'!$V$6,Model!AI1,'Assumptions (Nuclear)'!$V$9,'Assumptions (Nuclear)'!$V$4*Model!$AL$1110*AVERAGE('Assumptions (Nuclear)'!$AE$2:$AJ$2)/10^9),0)</f>
        <v>-1.2425600506748775E-2</v>
      </c>
      <c r="AY1254" s="91">
        <f>IF($AL$1110&gt;0,IPMT('Assumptions (Nuclear)'!$V$6,Model!AJ1,'Assumptions (Nuclear)'!$V$9,'Assumptions (Nuclear)'!$V$4*Model!$AL$1110*AVERAGE('Assumptions (Nuclear)'!$AE$2:$AJ$2)/10^9),0)</f>
        <v>-8.4743879106218816E-3</v>
      </c>
      <c r="AZ1254" s="91">
        <f>IF($AL$1110&gt;0,IPMT('Assumptions (Nuclear)'!$V$6,Model!AK1,'Assumptions (Nuclear)'!$V$9,'Assumptions (Nuclear)'!$V$4*Model!$AL$1110*AVERAGE('Assumptions (Nuclear)'!$AE$2:$AJ$2)/10^9),0)</f>
        <v>-4.3354927161789597E-3</v>
      </c>
      <c r="BA1254" s="91"/>
      <c r="BB1254" s="91"/>
      <c r="BC1254" s="91"/>
      <c r="BD1254" s="91"/>
      <c r="BE1254" s="91"/>
      <c r="BF1254" s="91"/>
      <c r="BG1254" s="91"/>
      <c r="BH1254" s="91"/>
      <c r="BI1254" s="91"/>
      <c r="BJ1254" s="91"/>
    </row>
    <row r="1255" spans="1:72" ht="15.75" hidden="1" customHeight="1" outlineLevel="1">
      <c r="A1255" s="407"/>
      <c r="B1255" s="99"/>
      <c r="C1255" s="99"/>
      <c r="D1255" s="99"/>
      <c r="E1255" s="99"/>
      <c r="F1255" s="99"/>
      <c r="G1255" s="99"/>
      <c r="H1255" s="99"/>
      <c r="I1255" s="99"/>
      <c r="J1255" s="99"/>
      <c r="K1255" s="99"/>
      <c r="L1255" s="99"/>
      <c r="M1255" s="99"/>
      <c r="N1255" s="99"/>
      <c r="O1255" s="99"/>
      <c r="P1255" s="99"/>
      <c r="Q1255" s="99"/>
      <c r="R1255" s="99"/>
      <c r="S1255" s="99"/>
      <c r="T1255" s="99"/>
      <c r="U1255" s="99"/>
      <c r="V1255" s="99"/>
      <c r="W1255" s="105"/>
      <c r="X1255" s="105"/>
      <c r="Y1255" s="105"/>
      <c r="Z1255" s="105"/>
      <c r="AA1255" s="105"/>
      <c r="AB1255" s="105"/>
      <c r="AC1255" s="105"/>
      <c r="AD1255" s="105"/>
      <c r="AE1255" s="105"/>
      <c r="AF1255" s="105"/>
      <c r="AG1255" s="105"/>
      <c r="AH1255" s="105"/>
      <c r="AI1255" s="105"/>
      <c r="AJ1255" s="171"/>
      <c r="AK1255" s="105"/>
      <c r="AL1255" s="91"/>
      <c r="AM1255" s="105">
        <f>IF($AM$1110&gt;0,IPMT('Assumptions (Nuclear)'!$V$6,Model!W1,'Assumptions (Nuclear)'!$V$9,'Assumptions (Nuclear)'!$V$4*Model!$AM$1110*AVERAGE('Assumptions (Nuclear)'!$AF$2:$AK$2)/10^9),0)</f>
        <v>-0.80276561605559493</v>
      </c>
      <c r="AN1255" s="105">
        <f>IF($AM$1110&gt;0,IPMT('Assumptions (Nuclear)'!$V$6,Model!X1,'Assumptions (Nuclear)'!$V$9,'Assumptions (Nuclear)'!$V$4*Model!$AM$1110*AVERAGE('Assumptions (Nuclear)'!$AF$2:$AK$2)/10^9),0)</f>
        <v>-0.7648581129994092</v>
      </c>
      <c r="AO1255" s="105">
        <f>IF($AM$1110&gt;0,IPMT('Assumptions (Nuclear)'!$V$6,Model!Y1,'Assumptions (Nuclear)'!$V$9,'Assumptions (Nuclear)'!$V$4*Model!$AM$1110*AVERAGE('Assumptions (Nuclear)'!$AF$2:$AK$2)/10^9),0)</f>
        <v>-0.72515000354805459</v>
      </c>
      <c r="AP1255" s="105">
        <f>IF($AM$1110&gt;0,IPMT('Assumptions (Nuclear)'!$V$6,Model!Z1,'Assumptions (Nuclear)'!$V$9,'Assumptions (Nuclear)'!$V$4*Model!$AM$1110*AVERAGE('Assumptions (Nuclear)'!$AF$2:$AK$2)/10^9),0)</f>
        <v>-0.68355575889776088</v>
      </c>
      <c r="AQ1255" s="105">
        <f>IF($AM$1110&gt;0,IPMT('Assumptions (Nuclear)'!$V$6,Model!AA1,'Assumptions (Nuclear)'!$V$9,'Assumptions (Nuclear)'!$V$4*Model!$AM$1110*AVERAGE('Assumptions (Nuclear)'!$AF$2:$AK$2)/10^9),0)</f>
        <v>-0.6399857876265781</v>
      </c>
      <c r="AR1255" s="105">
        <f>IF($AM$1110&gt;0,IPMT('Assumptions (Nuclear)'!$V$6,Model!AB1,'Assumptions (Nuclear)'!$V$9,'Assumptions (Nuclear)'!$V$4*Model!$AM$1110*AVERAGE('Assumptions (Nuclear)'!$AF$2:$AK$2)/10^9),0)</f>
        <v>-0.59434624272001424</v>
      </c>
      <c r="AS1255" s="105">
        <f>IF($AM$1110&gt;0,IPMT('Assumptions (Nuclear)'!$V$6,Model!AC1,'Assumptions (Nuclear)'!$V$9,'Assumptions (Nuclear)'!$V$4*Model!$AM$1110*AVERAGE('Assumptions (Nuclear)'!$AF$2:$AK$2)/10^9),0)</f>
        <v>-0.5465388194303884</v>
      </c>
      <c r="AT1255" s="105">
        <f>IF($AM$1110&gt;0,IPMT('Assumptions (Nuclear)'!$V$6,Model!AD1,'Assumptions (Nuclear)'!$V$9,'Assumptions (Nuclear)'!$V$4*Model!$AM$1110*AVERAGE('Assumptions (Nuclear)'!$AF$2:$AK$2)/10^9),0)</f>
        <v>-0.49646054353450542</v>
      </c>
      <c r="AU1255" s="105">
        <f>IF($AM$1110&gt;0,IPMT('Assumptions (Nuclear)'!$V$6,Model!AE1,'Assumptions (Nuclear)'!$V$9,'Assumptions (Nuclear)'!$V$4*Model!$AM$1110*AVERAGE('Assumptions (Nuclear)'!$AF$2:$AK$2)/10^9),0)</f>
        <v>-0.44400354953356813</v>
      </c>
      <c r="AV1255" s="105">
        <f>IF($AM$1110&gt;0,IPMT('Assumptions (Nuclear)'!$V$6,Model!AF1,'Assumptions (Nuclear)'!$V$9,'Assumptions (Nuclear)'!$V$4*Model!$AM$1110*AVERAGE('Assumptions (Nuclear)'!$AF$2:$AK$2)/10^9),0)</f>
        <v>-0.38905484831758619</v>
      </c>
      <c r="AW1255" s="105">
        <f>IF($AM$1110&gt;0,IPMT('Assumptions (Nuclear)'!$V$6,Model!AG1,'Assumptions (Nuclear)'!$V$9,'Assumptions (Nuclear)'!$V$4*Model!$AM$1110*AVERAGE('Assumptions (Nuclear)'!$AF$2:$AK$2)/10^9),0)</f>
        <v>-0.33149608379384515</v>
      </c>
      <c r="AX1255" s="105">
        <f>IF($AM$1110&gt;0,IPMT('Assumptions (Nuclear)'!$V$6,Model!AH1,'Assumptions (Nuclear)'!$V$9,'Assumptions (Nuclear)'!$V$4*Model!$AM$1110*AVERAGE('Assumptions (Nuclear)'!$AF$2:$AK$2)/10^9),0)</f>
        <v>-0.27120327795522642</v>
      </c>
      <c r="AY1255" s="105">
        <f>IF($AM$1110&gt;0,IPMT('Assumptions (Nuclear)'!$V$6,Model!AI1,'Assumptions (Nuclear)'!$V$9,'Assumptions (Nuclear)'!$V$4*Model!$AM$1110*AVERAGE('Assumptions (Nuclear)'!$AF$2:$AK$2)/10^9),0)</f>
        <v>-0.20804656383927325</v>
      </c>
      <c r="AZ1255" s="105">
        <f>IF($AM$1110&gt;0,IPMT('Assumptions (Nuclear)'!$V$6,Model!AJ1,'Assumptions (Nuclear)'!$V$9,'Assumptions (Nuclear)'!$V$4*Model!$AM$1110*AVERAGE('Assumptions (Nuclear)'!$AF$2:$AK$2)/10^9),0)</f>
        <v>-0.1418899058028123</v>
      </c>
      <c r="BA1255" s="105">
        <f>IF($AM$1110&gt;0,IPMT('Assumptions (Nuclear)'!$V$6,Model!AK1,'Assumptions (Nuclear)'!$V$9,'Assumptions (Nuclear)'!$V$4*Model!$AM$1110*AVERAGE('Assumptions (Nuclear)'!$AF$2:$AK$2)/10^9),0)</f>
        <v>-7.2590806509619479E-2</v>
      </c>
      <c r="BB1255" s="105"/>
      <c r="BC1255" s="105"/>
      <c r="BD1255" s="105"/>
      <c r="BE1255" s="105"/>
      <c r="BF1255" s="105"/>
      <c r="BG1255" s="105"/>
      <c r="BH1255" s="105"/>
      <c r="BI1255" s="105"/>
      <c r="BJ1255" s="105"/>
      <c r="BK1255" s="105"/>
    </row>
    <row r="1256" spans="1:72" ht="15.75" hidden="1" customHeight="1" outlineLevel="1">
      <c r="A1256" s="407"/>
      <c r="B1256" s="99"/>
      <c r="C1256" s="99"/>
      <c r="D1256" s="99"/>
      <c r="E1256" s="99"/>
      <c r="F1256" s="99"/>
      <c r="G1256" s="99"/>
      <c r="H1256" s="99"/>
      <c r="I1256" s="99"/>
      <c r="J1256" s="99"/>
      <c r="K1256" s="99"/>
      <c r="L1256" s="99"/>
      <c r="M1256" s="99"/>
      <c r="N1256" s="99"/>
      <c r="O1256" s="99"/>
      <c r="P1256" s="99"/>
      <c r="Q1256" s="99"/>
      <c r="R1256" s="99"/>
      <c r="S1256" s="99"/>
      <c r="T1256" s="99"/>
      <c r="U1256" s="99"/>
      <c r="V1256" s="99"/>
      <c r="W1256" s="105"/>
      <c r="X1256" s="105"/>
      <c r="Y1256" s="105"/>
      <c r="Z1256" s="105"/>
      <c r="AA1256" s="105"/>
      <c r="AB1256" s="105"/>
      <c r="AC1256" s="105"/>
      <c r="AD1256" s="105"/>
      <c r="AE1256" s="105"/>
      <c r="AF1256" s="105"/>
      <c r="AG1256" s="105"/>
      <c r="AH1256" s="105"/>
      <c r="AI1256" s="105"/>
      <c r="AJ1256" s="171"/>
      <c r="AK1256" s="105"/>
      <c r="AL1256" s="91"/>
      <c r="AM1256" s="91"/>
      <c r="AN1256" s="105">
        <f>IF($AN$1110&gt;0,IPMT('Assumptions (Nuclear)'!$V$6,Model!W1,'Assumptions (Nuclear)'!$V$9,'Assumptions (Nuclear)'!$V$4*Model!$AN$1110*AVERAGE('Assumptions (Nuclear)'!$AG$2:$AL$2)/10^9),0)</f>
        <v>-0.45701347005247472</v>
      </c>
      <c r="AO1256" s="105">
        <f>IF($AN$1110&gt;0,IPMT('Assumptions (Nuclear)'!$V$6,Model!X1,'Assumptions (Nuclear)'!$V$9,'Assumptions (Nuclear)'!$V$4*Model!$AN$1110*AVERAGE('Assumptions (Nuclear)'!$AG$2:$AL$2)/10^9),0)</f>
        <v>-0.43543277555554888</v>
      </c>
      <c r="AP1256" s="105">
        <f>IF($AN$1110&gt;0,IPMT('Assumptions (Nuclear)'!$V$6,Model!Y1,'Assumptions (Nuclear)'!$V$9,'Assumptions (Nuclear)'!$V$4*Model!$AN$1110*AVERAGE('Assumptions (Nuclear)'!$AG$2:$AL$2)/10^9),0)</f>
        <v>-0.41282699807001905</v>
      </c>
      <c r="AQ1256" s="105">
        <f>IF($AN$1110&gt;0,IPMT('Assumptions (Nuclear)'!$V$6,Model!Z1,'Assumptions (Nuclear)'!$V$9,'Assumptions (Nuclear)'!$V$4*Model!$AN$1110*AVERAGE('Assumptions (Nuclear)'!$AG$2:$AL$2)/10^9),0)</f>
        <v>-0.38914744615392671</v>
      </c>
      <c r="AR1256" s="105">
        <f>IF($AN$1110&gt;0,IPMT('Assumptions (Nuclear)'!$V$6,Model!AA1,'Assumptions (Nuclear)'!$V$9,'Assumptions (Nuclear)'!$V$4*Model!$AN$1110*AVERAGE('Assumptions (Nuclear)'!$AG$2:$AL$2)/10^9),0)</f>
        <v>-0.36434311552181992</v>
      </c>
      <c r="AS1256" s="105">
        <f>IF($AN$1110&gt;0,IPMT('Assumptions (Nuclear)'!$V$6,Model!AB1,'Assumptions (Nuclear)'!$V$9,'Assumptions (Nuclear)'!$V$4*Model!$AN$1110*AVERAGE('Assumptions (Nuclear)'!$AG$2:$AL$2)/10^9),0)</f>
        <v>-0.33836057918468809</v>
      </c>
      <c r="AT1256" s="105">
        <f>IF($AN$1110&gt;0,IPMT('Assumptions (Nuclear)'!$V$6,Model!AC1,'Assumptions (Nuclear)'!$V$9,'Assumptions (Nuclear)'!$V$4*Model!$AN$1110*AVERAGE('Assumptions (Nuclear)'!$AG$2:$AL$2)/10^9),0)</f>
        <v>-0.31114387237154245</v>
      </c>
      <c r="AU1256" s="105">
        <f>IF($AN$1110&gt;0,IPMT('Assumptions (Nuclear)'!$V$6,Model!AD1,'Assumptions (Nuclear)'!$V$9,'Assumptions (Nuclear)'!$V$4*Model!$AN$1110*AVERAGE('Assumptions (Nuclear)'!$AG$2:$AL$2)/10^9),0)</f>
        <v>-0.28263437198477243</v>
      </c>
      <c r="AV1256" s="105">
        <f>IF($AN$1110&gt;0,IPMT('Assumptions (Nuclear)'!$V$6,Model!AE1,'Assumptions (Nuclear)'!$V$9,'Assumptions (Nuclear)'!$V$4*Model!$AN$1110*AVERAGE('Assumptions (Nuclear)'!$AG$2:$AL$2)/10^9),0)</f>
        <v>-0.25277067032963085</v>
      </c>
      <c r="AW1256" s="105">
        <f>IF($AN$1110&gt;0,IPMT('Assumptions (Nuclear)'!$V$6,Model!AF1,'Assumptions (Nuclear)'!$V$9,'Assumptions (Nuclear)'!$V$4*Model!$AN$1110*AVERAGE('Assumptions (Nuclear)'!$AG$2:$AL$2)/10^9),0)</f>
        <v>-0.22148844284586999</v>
      </c>
      <c r="AX1256" s="105">
        <f>IF($AN$1110&gt;0,IPMT('Assumptions (Nuclear)'!$V$6,Model!AG1,'Assumptions (Nuclear)'!$V$9,'Assumptions (Nuclear)'!$V$4*Model!$AN$1110*AVERAGE('Assumptions (Nuclear)'!$AG$2:$AL$2)/10^9),0)</f>
        <v>-0.18872030955663052</v>
      </c>
      <c r="AY1256" s="105">
        <f>IF($AN$1110&gt;0,IPMT('Assumptions (Nuclear)'!$V$6,Model!AH1,'Assumptions (Nuclear)'!$V$9,'Assumptions (Nuclear)'!$V$4*Model!$AN$1110*AVERAGE('Assumptions (Nuclear)'!$AG$2:$AL$2)/10^9),0)</f>
        <v>-0.15439568993615221</v>
      </c>
      <c r="AZ1256" s="105">
        <f>IF($AN$1110&gt;0,IPMT('Assumptions (Nuclear)'!$V$6,Model!AI1,'Assumptions (Nuclear)'!$V$9,'Assumptions (Nuclear)'!$V$4*Model!$AN$1110*AVERAGE('Assumptions (Nuclear)'!$AG$2:$AL$2)/10^9),0)</f>
        <v>-0.11844065088370111</v>
      </c>
      <c r="BA1256" s="105">
        <f>IF($AN$1110&gt;0,IPMT('Assumptions (Nuclear)'!$V$6,Model!AJ1,'Assumptions (Nuclear)'!$V$9,'Assumptions (Nuclear)'!$V$4*Model!$AN$1110*AVERAGE('Assumptions (Nuclear)'!$AG$2:$AL$2)/10^9),0)</f>
        <v>-8.0777747476258599E-2</v>
      </c>
      <c r="BB1256" s="105">
        <f>IF($AN$1110&gt;0,IPMT('Assumptions (Nuclear)'!$V$6,Model!AK1,'Assumptions (Nuclear)'!$V$9,'Assumptions (Nuclear)'!$V$4*Model!$AN$1110*AVERAGE('Assumptions (Nuclear)'!$AG$2:$AL$2)/10^9),0)</f>
        <v>-4.1325856156962583E-2</v>
      </c>
      <c r="BC1256" s="105"/>
      <c r="BD1256" s="105"/>
      <c r="BE1256" s="105"/>
      <c r="BF1256" s="105"/>
      <c r="BG1256" s="105"/>
      <c r="BH1256" s="105"/>
      <c r="BI1256" s="105"/>
      <c r="BJ1256" s="105"/>
      <c r="BK1256" s="105"/>
      <c r="BL1256" s="105"/>
    </row>
    <row r="1257" spans="1:72" ht="15.75" hidden="1" customHeight="1" outlineLevel="1">
      <c r="A1257" s="407"/>
      <c r="B1257" s="99"/>
      <c r="C1257" s="99"/>
      <c r="D1257" s="99"/>
      <c r="E1257" s="99"/>
      <c r="F1257" s="99"/>
      <c r="G1257" s="99"/>
      <c r="H1257" s="99"/>
      <c r="I1257" s="99"/>
      <c r="J1257" s="99"/>
      <c r="K1257" s="99"/>
      <c r="L1257" s="99"/>
      <c r="M1257" s="99"/>
      <c r="N1257" s="99"/>
      <c r="O1257" s="99"/>
      <c r="P1257" s="99"/>
      <c r="Q1257" s="99"/>
      <c r="R1257" s="99"/>
      <c r="S1257" s="99"/>
      <c r="T1257" s="99"/>
      <c r="U1257" s="99"/>
      <c r="V1257" s="99"/>
      <c r="W1257" s="105"/>
      <c r="X1257" s="105"/>
      <c r="Y1257" s="105"/>
      <c r="Z1257" s="105"/>
      <c r="AA1257" s="105"/>
      <c r="AB1257" s="105"/>
      <c r="AC1257" s="105"/>
      <c r="AD1257" s="105"/>
      <c r="AE1257" s="105"/>
      <c r="AF1257" s="105"/>
      <c r="AG1257" s="105"/>
      <c r="AH1257" s="105"/>
      <c r="AI1257" s="105"/>
      <c r="AJ1257" s="171"/>
      <c r="AK1257" s="105"/>
      <c r="AL1257" s="91"/>
      <c r="AM1257" s="91"/>
      <c r="AN1257" s="91"/>
      <c r="AO1257" s="105">
        <f>IF($AO$1110&gt;0,IPMT('Assumptions (Nuclear)'!$V$6,Model!W1,'Assumptions (Nuclear)'!$V$9,'Assumptions (Nuclear)'!$V$4*Model!$AO$1110*AVERAGE('Assumptions (Nuclear)'!$AH$2:$AM$2)/10^9),0)</f>
        <v>-9.3238781820960043E-2</v>
      </c>
      <c r="AP1257" s="105">
        <f>IF($AO$1110&gt;0,IPMT('Assumptions (Nuclear)'!$V$6,Model!X1,'Assumptions (Nuclear)'!$V$9,'Assumptions (Nuclear)'!$V$4*Model!$AO$1110*AVERAGE('Assumptions (Nuclear)'!$AH$2:$AM$2)/10^9),0)</f>
        <v>-8.8835940772286751E-2</v>
      </c>
      <c r="AQ1257" s="105">
        <f>IF($AO$1110&gt;0,IPMT('Assumptions (Nuclear)'!$V$6,Model!Y1,'Assumptions (Nuclear)'!$V$9,'Assumptions (Nuclear)'!$V$4*Model!$AO$1110*AVERAGE('Assumptions (Nuclear)'!$AH$2:$AM$2)/10^9),0)</f>
        <v>-8.4223964773801466E-2</v>
      </c>
      <c r="AR1257" s="105">
        <f>IF($AO$1110&gt;0,IPMT('Assumptions (Nuclear)'!$V$6,Model!Z1,'Assumptions (Nuclear)'!$V$9,'Assumptions (Nuclear)'!$V$4*Model!$AO$1110*AVERAGE('Assumptions (Nuclear)'!$AH$2:$AM$2)/10^9),0)</f>
        <v>-7.9392919915388174E-2</v>
      </c>
      <c r="AS1257" s="105">
        <f>IF($AO$1110&gt;0,IPMT('Assumptions (Nuclear)'!$V$6,Model!AA1,'Assumptions (Nuclear)'!$V$9,'Assumptions (Nuclear)'!$V$4*Model!$AO$1110*AVERAGE('Assumptions (Nuclear)'!$AH$2:$AM$2)/10^9),0)</f>
        <v>-7.4332400426200221E-2</v>
      </c>
      <c r="AT1257" s="105">
        <f>IF($AO$1110&gt;0,IPMT('Assumptions (Nuclear)'!$V$6,Model!AB1,'Assumptions (Nuclear)'!$V$9,'Assumptions (Nuclear)'!$V$4*Model!$AO$1110*AVERAGE('Assumptions (Nuclear)'!$AH$2:$AM$2)/10^9),0)</f>
        <v>-6.9031506261275841E-2</v>
      </c>
      <c r="AU1257" s="105">
        <f>IF($AO$1110&gt;0,IPMT('Assumptions (Nuclear)'!$V$6,Model!AC1,'Assumptions (Nuclear)'!$V$9,'Assumptions (Nuclear)'!$V$4*Model!$AO$1110*AVERAGE('Assumptions (Nuclear)'!$AH$2:$AM$2)/10^9),0)</f>
        <v>-6.3478819623517563E-2</v>
      </c>
      <c r="AV1257" s="105">
        <f>IF($AO$1110&gt;0,IPMT('Assumptions (Nuclear)'!$V$6,Model!AD1,'Assumptions (Nuclear)'!$V$9,'Assumptions (Nuclear)'!$V$4*Model!$AO$1110*AVERAGE('Assumptions (Nuclear)'!$AH$2:$AM$2)/10^9),0)</f>
        <v>-5.7662380370465768E-2</v>
      </c>
      <c r="AW1257" s="105">
        <f>IF($AO$1110&gt;0,IPMT('Assumptions (Nuclear)'!$V$6,Model!AE1,'Assumptions (Nuclear)'!$V$9,'Assumptions (Nuclear)'!$V$4*Model!$AO$1110*AVERAGE('Assumptions (Nuclear)'!$AH$2:$AM$2)/10^9),0)</f>
        <v>-5.1569660252894015E-2</v>
      </c>
      <c r="AX1257" s="105">
        <f>IF($AO$1110&gt;0,IPMT('Assumptions (Nuclear)'!$V$6,Model!AF1,'Assumptions (Nuclear)'!$V$9,'Assumptions (Nuclear)'!$V$4*Model!$AO$1110*AVERAGE('Assumptions (Nuclear)'!$AH$2:$AM$2)/10^9),0)</f>
        <v>-4.5187535929737593E-2</v>
      </c>
      <c r="AY1257" s="105">
        <f>IF($AO$1110&gt;0,IPMT('Assumptions (Nuclear)'!$V$6,Model!AG1,'Assumptions (Nuclear)'!$V$9,'Assumptions (Nuclear)'!$V$4*Model!$AO$1110*AVERAGE('Assumptions (Nuclear)'!$AH$2:$AM$2)/10^9),0)</f>
        <v>-3.8502260701231236E-2</v>
      </c>
      <c r="AZ1257" s="105">
        <f>IF($AO$1110&gt;0,IPMT('Assumptions (Nuclear)'!$V$6,Model!AH1,'Assumptions (Nuclear)'!$V$9,'Assumptions (Nuclear)'!$V$4*Model!$AO$1110*AVERAGE('Assumptions (Nuclear)'!$AH$2:$AM$2)/10^9),0)</f>
        <v>-3.1499434899370841E-2</v>
      </c>
      <c r="BA1257" s="105">
        <f>IF($AO$1110&gt;0,IPMT('Assumptions (Nuclear)'!$V$6,Model!AI1,'Assumptions (Nuclear)'!$V$9,'Assumptions (Nuclear)'!$V$4*Model!$AO$1110*AVERAGE('Assumptions (Nuclear)'!$AH$2:$AM$2)/10^9),0)</f>
        <v>-2.4163974871922067E-2</v>
      </c>
      <c r="BB1257" s="105">
        <f>IF($AO$1110&gt;0,IPMT('Assumptions (Nuclear)'!$V$6,Model!AJ1,'Assumptions (Nuclear)'!$V$9,'Assumptions (Nuclear)'!$V$4*Model!$AO$1110*AVERAGE('Assumptions (Nuclear)'!$AH$2:$AM$2)/10^9),0)</f>
        <v>-1.6480080493169479E-2</v>
      </c>
      <c r="BC1257" s="105">
        <f>IF($AO$1110&gt;0,IPMT('Assumptions (Nuclear)'!$V$6,Model!AK1,'Assumptions (Nuclear)'!$V$9,'Assumptions (Nuclear)'!$V$4*Model!$AO$1110*AVERAGE('Assumptions (Nuclear)'!$AH$2:$AM$2)/10^9),0)</f>
        <v>-8.4312011314261436E-3</v>
      </c>
      <c r="BD1257" s="105"/>
      <c r="BE1257" s="105"/>
      <c r="BF1257" s="105"/>
      <c r="BG1257" s="105"/>
      <c r="BH1257" s="105"/>
      <c r="BI1257" s="105"/>
      <c r="BJ1257" s="105"/>
      <c r="BK1257" s="105"/>
      <c r="BL1257" s="105"/>
      <c r="BM1257" s="105"/>
    </row>
    <row r="1258" spans="1:72" ht="15.75" hidden="1" customHeight="1" outlineLevel="1">
      <c r="A1258" s="407"/>
      <c r="B1258" s="99"/>
      <c r="C1258" s="99"/>
      <c r="D1258" s="99"/>
      <c r="E1258" s="99"/>
      <c r="F1258" s="99"/>
      <c r="G1258" s="99"/>
      <c r="H1258" s="99"/>
      <c r="I1258" s="99"/>
      <c r="J1258" s="99"/>
      <c r="K1258" s="99"/>
      <c r="L1258" s="99"/>
      <c r="M1258" s="99"/>
      <c r="N1258" s="99"/>
      <c r="O1258" s="99"/>
      <c r="P1258" s="99"/>
      <c r="Q1258" s="99"/>
      <c r="R1258" s="99"/>
      <c r="S1258" s="99"/>
      <c r="T1258" s="99"/>
      <c r="U1258" s="99"/>
      <c r="V1258" s="99"/>
      <c r="W1258" s="105"/>
      <c r="X1258" s="105"/>
      <c r="Y1258" s="105"/>
      <c r="Z1258" s="105"/>
      <c r="AA1258" s="105"/>
      <c r="AB1258" s="105"/>
      <c r="AC1258" s="105"/>
      <c r="AD1258" s="105"/>
      <c r="AE1258" s="105"/>
      <c r="AF1258" s="105"/>
      <c r="AG1258" s="105"/>
      <c r="AH1258" s="105"/>
      <c r="AI1258" s="105"/>
      <c r="AJ1258" s="171"/>
      <c r="AK1258" s="105"/>
      <c r="AL1258" s="91"/>
      <c r="AM1258" s="91"/>
      <c r="AN1258" s="91"/>
      <c r="AO1258" s="105"/>
      <c r="AP1258" s="105">
        <f>IF($AP$1110&gt;0,IPMT('Assumptions (Nuclear)'!$V$6,Model!W1,'Assumptions (Nuclear)'!$V$9,'Assumptions (Nuclear)'!$V$4*Model!$AP$1110*AVERAGE('Assumptions (Nuclear)'!$AI$2:$AN$2)/10^9),0)</f>
        <v>-0.40894683355589317</v>
      </c>
      <c r="AQ1258" s="105">
        <f>IF($AP$1110&gt;0,IPMT('Assumptions (Nuclear)'!$V$6,Model!X1,'Assumptions (Nuclear)'!$V$9,'Assumptions (Nuclear)'!$V$4*Model!$AP$1110*AVERAGE('Assumptions (Nuclear)'!$AI$2:$AN$2)/10^9),0)</f>
        <v>-0.38963590016165084</v>
      </c>
      <c r="AR1258" s="105">
        <f>IF($AP$1110&gt;0,IPMT('Assumptions (Nuclear)'!$V$6,Model!Y1,'Assumptions (Nuclear)'!$V$9,'Assumptions (Nuclear)'!$V$4*Model!$AP$1110*AVERAGE('Assumptions (Nuclear)'!$AI$2:$AN$2)/10^9),0)</f>
        <v>-0.36940769743118196</v>
      </c>
      <c r="AS1258" s="105">
        <f>IF($AP$1110&gt;0,IPMT('Assumptions (Nuclear)'!$V$6,Model!Z1,'Assumptions (Nuclear)'!$V$9,'Assumptions (Nuclear)'!$V$4*Model!$AP$1110*AVERAGE('Assumptions (Nuclear)'!$AI$2:$AN$2)/10^9),0)</f>
        <v>-0.34821865507101596</v>
      </c>
      <c r="AT1258" s="105">
        <f>IF($AP$1110&gt;0,IPMT('Assumptions (Nuclear)'!$V$6,Model!AA1,'Assumptions (Nuclear)'!$V$9,'Assumptions (Nuclear)'!$V$4*Model!$AP$1110*AVERAGE('Assumptions (Nuclear)'!$AI$2:$AN$2)/10^9),0)</f>
        <v>-0.32602313319874199</v>
      </c>
      <c r="AU1258" s="105">
        <f>IF($AP$1110&gt;0,IPMT('Assumptions (Nuclear)'!$V$6,Model!AB1,'Assumptions (Nuclear)'!$V$9,'Assumptions (Nuclear)'!$V$4*Model!$AP$1110*AVERAGE('Assumptions (Nuclear)'!$AI$2:$AN$2)/10^9),0)</f>
        <v>-0.3027733240375351</v>
      </c>
      <c r="AV1258" s="105">
        <f>IF($AP$1110&gt;0,IPMT('Assumptions (Nuclear)'!$V$6,Model!AC1,'Assumptions (Nuclear)'!$V$9,'Assumptions (Nuclear)'!$V$4*Model!$AP$1110*AVERAGE('Assumptions (Nuclear)'!$AI$2:$AN$2)/10^9),0)</f>
        <v>-0.27841914894117076</v>
      </c>
      <c r="AW1258" s="105">
        <f>IF($AP$1110&gt;0,IPMT('Assumptions (Nuclear)'!$V$6,Model!AD1,'Assumptions (Nuclear)'!$V$9,'Assumptions (Nuclear)'!$V$4*Model!$AP$1110*AVERAGE('Assumptions (Nuclear)'!$AI$2:$AN$2)/10^9),0)</f>
        <v>-0.25290815052772919</v>
      </c>
      <c r="AX1258" s="105">
        <f>IF($AP$1110&gt;0,IPMT('Assumptions (Nuclear)'!$V$6,Model!AE1,'Assumptions (Nuclear)'!$V$9,'Assumptions (Nuclear)'!$V$4*Model!$AP$1110*AVERAGE('Assumptions (Nuclear)'!$AI$2:$AN$2)/10^9),0)</f>
        <v>-0.22618537968964914</v>
      </c>
      <c r="AY1258" s="105">
        <f>IF($AP$1110&gt;0,IPMT('Assumptions (Nuclear)'!$V$6,Model!AF1,'Assumptions (Nuclear)'!$V$9,'Assumptions (Nuclear)'!$V$4*Model!$AP$1110*AVERAGE('Assumptions (Nuclear)'!$AI$2:$AN$2)/10^9),0)</f>
        <v>-0.19819327723676028</v>
      </c>
      <c r="AZ1258" s="105">
        <f>IF($AP$1110&gt;0,IPMT('Assumptions (Nuclear)'!$V$6,Model!AG1,'Assumptions (Nuclear)'!$V$9,'Assumptions (Nuclear)'!$V$4*Model!$AP$1110*AVERAGE('Assumptions (Nuclear)'!$AI$2:$AN$2)/10^9),0)</f>
        <v>-0.16887154991735917</v>
      </c>
      <c r="BA1258" s="105">
        <f>IF($AP$1110&gt;0,IPMT('Assumptions (Nuclear)'!$V$6,Model!AH1,'Assumptions (Nuclear)'!$V$9,'Assumptions (Nuclear)'!$V$4*Model!$AP$1110*AVERAGE('Assumptions (Nuclear)'!$AI$2:$AN$2)/10^9),0)</f>
        <v>-0.13815704055028658</v>
      </c>
      <c r="BB1258" s="105">
        <f>IF($AP$1110&gt;0,IPMT('Assumptions (Nuclear)'!$V$6,Model!AI1,'Assumptions (Nuclear)'!$V$9,'Assumptions (Nuclear)'!$V$4*Model!$AP$1110*AVERAGE('Assumptions (Nuclear)'!$AI$2:$AN$2)/10^9),0)</f>
        <v>-0.10598359198827796</v>
      </c>
      <c r="BC1258" s="105">
        <f>IF($AP$1110&gt;0,IPMT('Assumptions (Nuclear)'!$V$6,Model!AJ1,'Assumptions (Nuclear)'!$V$9,'Assumptions (Nuclear)'!$V$4*Model!$AP$1110*AVERAGE('Assumptions (Nuclear)'!$AI$2:$AN$2)/10^9),0)</f>
        <v>-7.2281904619573956E-2</v>
      </c>
      <c r="BD1258" s="105">
        <f>IF($AP$1110&gt;0,IPMT('Assumptions (Nuclear)'!$V$6,Model!AK1,'Assumptions (Nuclear)'!$V$9,'Assumptions (Nuclear)'!$V$4*Model!$AP$1110*AVERAGE('Assumptions (Nuclear)'!$AI$2:$AN$2)/10^9),0)</f>
        <v>-3.6979387100856513E-2</v>
      </c>
      <c r="BE1258" s="105"/>
      <c r="BF1258" s="105"/>
      <c r="BG1258" s="105"/>
      <c r="BH1258" s="105"/>
      <c r="BI1258" s="105"/>
      <c r="BJ1258" s="105"/>
      <c r="BK1258" s="105"/>
      <c r="BL1258" s="105"/>
      <c r="BM1258" s="105"/>
      <c r="BN1258" s="105"/>
    </row>
    <row r="1259" spans="1:72" ht="15.75" hidden="1" customHeight="1" outlineLevel="1">
      <c r="A1259" s="407"/>
      <c r="B1259" s="99"/>
      <c r="C1259" s="99"/>
      <c r="D1259" s="99"/>
      <c r="E1259" s="99"/>
      <c r="F1259" s="99"/>
      <c r="G1259" s="99"/>
      <c r="H1259" s="99"/>
      <c r="I1259" s="99"/>
      <c r="J1259" s="99"/>
      <c r="K1259" s="99"/>
      <c r="L1259" s="99"/>
      <c r="M1259" s="99"/>
      <c r="N1259" s="99"/>
      <c r="O1259" s="99"/>
      <c r="P1259" s="99"/>
      <c r="Q1259" s="99"/>
      <c r="R1259" s="99"/>
      <c r="S1259" s="99"/>
      <c r="T1259" s="99"/>
      <c r="U1259" s="99"/>
      <c r="V1259" s="99"/>
      <c r="W1259" s="105"/>
      <c r="X1259" s="105"/>
      <c r="Y1259" s="105"/>
      <c r="Z1259" s="105"/>
      <c r="AA1259" s="105"/>
      <c r="AB1259" s="105"/>
      <c r="AC1259" s="105"/>
      <c r="AD1259" s="105"/>
      <c r="AE1259" s="105"/>
      <c r="AF1259" s="105"/>
      <c r="AG1259" s="105"/>
      <c r="AH1259" s="105"/>
      <c r="AI1259" s="105"/>
      <c r="AJ1259" s="171"/>
      <c r="AK1259" s="105"/>
      <c r="AL1259" s="91"/>
      <c r="AM1259" s="91"/>
      <c r="AN1259" s="91"/>
      <c r="AO1259" s="105"/>
      <c r="AP1259" s="105"/>
      <c r="AQ1259" s="105">
        <f>IF($AQ$1110&gt;0,IPMT('Assumptions (Nuclear)'!$V$6,Model!W1,'Assumptions (Nuclear)'!$V$9,'Assumptions (Nuclear)'!$V$4*Model!$AQ$1110*AVERAGE('Assumptions (Nuclear)'!$AJ$2:$AO$2)/10^9),0)</f>
        <v>0</v>
      </c>
      <c r="AR1259" s="105">
        <f>IF($AQ$1110&gt;0,IPMT('Assumptions (Nuclear)'!$V$6,Model!X1,'Assumptions (Nuclear)'!$V$9,'Assumptions (Nuclear)'!$V$4*Model!$AQ$1110*AVERAGE('Assumptions (Nuclear)'!$AJ$2:$AO$2)/10^9),0)</f>
        <v>0</v>
      </c>
      <c r="AS1259" s="105">
        <f>IF($AQ$1110&gt;0,IPMT('Assumptions (Nuclear)'!$V$6,Model!Y1,'Assumptions (Nuclear)'!$V$9,'Assumptions (Nuclear)'!$V$4*Model!$AQ$1110*AVERAGE('Assumptions (Nuclear)'!$AJ$2:$AO$2)/10^9),0)</f>
        <v>0</v>
      </c>
      <c r="AT1259" s="105">
        <f>IF($AQ$1110&gt;0,IPMT('Assumptions (Nuclear)'!$V$6,Model!Z1,'Assumptions (Nuclear)'!$V$9,'Assumptions (Nuclear)'!$V$4*Model!$AQ$1110*AVERAGE('Assumptions (Nuclear)'!$AJ$2:$AO$2)/10^9),0)</f>
        <v>0</v>
      </c>
      <c r="AU1259" s="105">
        <f>IF($AQ$1110&gt;0,IPMT('Assumptions (Nuclear)'!$V$6,Model!AA1,'Assumptions (Nuclear)'!$V$9,'Assumptions (Nuclear)'!$V$4*Model!$AQ$1110*AVERAGE('Assumptions (Nuclear)'!$AJ$2:$AO$2)/10^9),0)</f>
        <v>0</v>
      </c>
      <c r="AV1259" s="105">
        <f>IF($AQ$1110&gt;0,IPMT('Assumptions (Nuclear)'!$V$6,Model!AB1,'Assumptions (Nuclear)'!$V$9,'Assumptions (Nuclear)'!$V$4*Model!$AQ$1110*AVERAGE('Assumptions (Nuclear)'!$AJ$2:$AO$2)/10^9),0)</f>
        <v>0</v>
      </c>
      <c r="AW1259" s="105">
        <f>IF($AQ$1110&gt;0,IPMT('Assumptions (Nuclear)'!$V$6,Model!AC1,'Assumptions (Nuclear)'!$V$9,'Assumptions (Nuclear)'!$V$4*Model!$AQ$1110*AVERAGE('Assumptions (Nuclear)'!$AJ$2:$AO$2)/10^9),0)</f>
        <v>0</v>
      </c>
      <c r="AX1259" s="105">
        <f>IF($AQ$1110&gt;0,IPMT('Assumptions (Nuclear)'!$V$6,Model!AD1,'Assumptions (Nuclear)'!$V$9,'Assumptions (Nuclear)'!$V$4*Model!$AQ$1110*AVERAGE('Assumptions (Nuclear)'!$AJ$2:$AO$2)/10^9),0)</f>
        <v>0</v>
      </c>
      <c r="AY1259" s="105">
        <f>IF($AQ$1110&gt;0,IPMT('Assumptions (Nuclear)'!$V$6,Model!AE1,'Assumptions (Nuclear)'!$V$9,'Assumptions (Nuclear)'!$V$4*Model!$AQ$1110*AVERAGE('Assumptions (Nuclear)'!$AJ$2:$AO$2)/10^9),0)</f>
        <v>0</v>
      </c>
      <c r="AZ1259" s="105">
        <f>IF($AQ$1110&gt;0,IPMT('Assumptions (Nuclear)'!$V$6,Model!AF1,'Assumptions (Nuclear)'!$V$9,'Assumptions (Nuclear)'!$V$4*Model!$AQ$1110*AVERAGE('Assumptions (Nuclear)'!$AJ$2:$AO$2)/10^9),0)</f>
        <v>0</v>
      </c>
      <c r="BA1259" s="105">
        <f>IF($AQ$1110&gt;0,IPMT('Assumptions (Nuclear)'!$V$6,Model!AG1,'Assumptions (Nuclear)'!$V$9,'Assumptions (Nuclear)'!$V$4*Model!$AQ$1110*AVERAGE('Assumptions (Nuclear)'!$AJ$2:$AO$2)/10^9),0)</f>
        <v>0</v>
      </c>
      <c r="BB1259" s="105">
        <f>IF($AQ$1110&gt;0,IPMT('Assumptions (Nuclear)'!$V$6,Model!AH1,'Assumptions (Nuclear)'!$V$9,'Assumptions (Nuclear)'!$V$4*Model!$AQ$1110*AVERAGE('Assumptions (Nuclear)'!$AJ$2:$AO$2)/10^9),0)</f>
        <v>0</v>
      </c>
      <c r="BC1259" s="105">
        <f>IF($AQ$1110&gt;0,IPMT('Assumptions (Nuclear)'!$V$6,Model!AI1,'Assumptions (Nuclear)'!$V$9,'Assumptions (Nuclear)'!$V$4*Model!$AQ$1110*AVERAGE('Assumptions (Nuclear)'!$AJ$2:$AO$2)/10^9),0)</f>
        <v>0</v>
      </c>
      <c r="BD1259" s="105">
        <f>IF($AQ$1110&gt;0,IPMT('Assumptions (Nuclear)'!$V$6,Model!AJ1,'Assumptions (Nuclear)'!$V$9,'Assumptions (Nuclear)'!$V$4*Model!$AQ$1110*AVERAGE('Assumptions (Nuclear)'!$AJ$2:$AO$2)/10^9),0)</f>
        <v>0</v>
      </c>
      <c r="BE1259" s="105">
        <f>IF($AQ$1110&gt;0,IPMT('Assumptions (Nuclear)'!$V$6,Model!AK1,'Assumptions (Nuclear)'!$V$9,'Assumptions (Nuclear)'!$V$4*Model!$AQ$1110*AVERAGE('Assumptions (Nuclear)'!$AJ$2:$AO$2)/10^9),0)</f>
        <v>0</v>
      </c>
      <c r="BF1259" s="105"/>
      <c r="BG1259" s="105"/>
      <c r="BH1259" s="105"/>
      <c r="BI1259" s="105"/>
      <c r="BJ1259" s="105"/>
      <c r="BK1259" s="105"/>
      <c r="BL1259" s="105"/>
      <c r="BM1259" s="105"/>
      <c r="BN1259" s="105"/>
      <c r="BO1259" s="105"/>
    </row>
    <row r="1260" spans="1:72" ht="15.75" hidden="1" customHeight="1" outlineLevel="1">
      <c r="A1260" s="407"/>
      <c r="B1260" s="99"/>
      <c r="C1260" s="99"/>
      <c r="D1260" s="99"/>
      <c r="E1260" s="99"/>
      <c r="F1260" s="99"/>
      <c r="G1260" s="99"/>
      <c r="H1260" s="99"/>
      <c r="I1260" s="99"/>
      <c r="J1260" s="99"/>
      <c r="K1260" s="99"/>
      <c r="L1260" s="99"/>
      <c r="M1260" s="99"/>
      <c r="N1260" s="99"/>
      <c r="O1260" s="99"/>
      <c r="P1260" s="99"/>
      <c r="Q1260" s="99"/>
      <c r="R1260" s="99"/>
      <c r="S1260" s="99"/>
      <c r="T1260" s="99"/>
      <c r="U1260" s="99"/>
      <c r="V1260" s="99"/>
      <c r="W1260" s="105"/>
      <c r="X1260" s="105"/>
      <c r="Y1260" s="105"/>
      <c r="Z1260" s="105"/>
      <c r="AA1260" s="105"/>
      <c r="AB1260" s="105"/>
      <c r="AC1260" s="105"/>
      <c r="AD1260" s="105"/>
      <c r="AE1260" s="105"/>
      <c r="AF1260" s="105"/>
      <c r="AG1260" s="105"/>
      <c r="AH1260" s="105"/>
      <c r="AI1260" s="105"/>
      <c r="AJ1260" s="171"/>
      <c r="AK1260" s="105"/>
      <c r="AL1260" s="91"/>
      <c r="AM1260" s="91"/>
      <c r="AN1260" s="91"/>
      <c r="AO1260" s="105"/>
      <c r="AP1260" s="105"/>
      <c r="AQ1260" s="105"/>
      <c r="AR1260" s="105">
        <f>IF($AR$1110&gt;0,IPMT('Assumptions (Nuclear)'!$V$6,Model!W1,'Assumptions (Nuclear)'!$V$9,'Assumptions (Nuclear)'!$V$4*Model!$AR$1110*AVERAGE('Assumptions (Nuclear)'!$AK$2:$AP$2)/10^9),0)</f>
        <v>0</v>
      </c>
      <c r="AS1260" s="105">
        <f>IF($AR$1110&gt;0,IPMT('Assumptions (Nuclear)'!$V$6,Model!X1,'Assumptions (Nuclear)'!$V$9,'Assumptions (Nuclear)'!$V$4*Model!$AR$1110*AVERAGE('Assumptions (Nuclear)'!$AK$2:$AP$2)/10^9),0)</f>
        <v>0</v>
      </c>
      <c r="AT1260" s="105">
        <f>IF($AR$1110&gt;0,IPMT('Assumptions (Nuclear)'!$V$6,Model!Y1,'Assumptions (Nuclear)'!$V$9,'Assumptions (Nuclear)'!$V$4*Model!$AR$1110*AVERAGE('Assumptions (Nuclear)'!$AK$2:$AP$2)/10^9),0)</f>
        <v>0</v>
      </c>
      <c r="AU1260" s="105">
        <f>IF($AR$1110&gt;0,IPMT('Assumptions (Nuclear)'!$V$6,Model!Z1,'Assumptions (Nuclear)'!$V$9,'Assumptions (Nuclear)'!$V$4*Model!$AR$1110*AVERAGE('Assumptions (Nuclear)'!$AK$2:$AP$2)/10^9),0)</f>
        <v>0</v>
      </c>
      <c r="AV1260" s="105">
        <f>IF($AR$1110&gt;0,IPMT('Assumptions (Nuclear)'!$V$6,Model!AA1,'Assumptions (Nuclear)'!$V$9,'Assumptions (Nuclear)'!$V$4*Model!$AR$1110*AVERAGE('Assumptions (Nuclear)'!$AK$2:$AP$2)/10^9),0)</f>
        <v>0</v>
      </c>
      <c r="AW1260" s="105">
        <f>IF($AR$1110&gt;0,IPMT('Assumptions (Nuclear)'!$V$6,Model!AB1,'Assumptions (Nuclear)'!$V$9,'Assumptions (Nuclear)'!$V$4*Model!$AR$1110*AVERAGE('Assumptions (Nuclear)'!$AK$2:$AP$2)/10^9),0)</f>
        <v>0</v>
      </c>
      <c r="AX1260" s="105">
        <f>IF($AR$1110&gt;0,IPMT('Assumptions (Nuclear)'!$V$6,Model!AC1,'Assumptions (Nuclear)'!$V$9,'Assumptions (Nuclear)'!$V$4*Model!$AR$1110*AVERAGE('Assumptions (Nuclear)'!$AK$2:$AP$2)/10^9),0)</f>
        <v>0</v>
      </c>
      <c r="AY1260" s="105">
        <f>IF($AR$1110&gt;0,IPMT('Assumptions (Nuclear)'!$V$6,Model!AD1,'Assumptions (Nuclear)'!$V$9,'Assumptions (Nuclear)'!$V$4*Model!$AR$1110*AVERAGE('Assumptions (Nuclear)'!$AK$2:$AP$2)/10^9),0)</f>
        <v>0</v>
      </c>
      <c r="AZ1260" s="105">
        <f>IF($AR$1110&gt;0,IPMT('Assumptions (Nuclear)'!$V$6,Model!AE1,'Assumptions (Nuclear)'!$V$9,'Assumptions (Nuclear)'!$V$4*Model!$AR$1110*AVERAGE('Assumptions (Nuclear)'!$AK$2:$AP$2)/10^9),0)</f>
        <v>0</v>
      </c>
      <c r="BA1260" s="105">
        <f>IF($AR$1110&gt;0,IPMT('Assumptions (Nuclear)'!$V$6,Model!AF1,'Assumptions (Nuclear)'!$V$9,'Assumptions (Nuclear)'!$V$4*Model!$AR$1110*AVERAGE('Assumptions (Nuclear)'!$AK$2:$AP$2)/10^9),0)</f>
        <v>0</v>
      </c>
      <c r="BB1260" s="105">
        <f>IF($AR$1110&gt;0,IPMT('Assumptions (Nuclear)'!$V$6,Model!AG1,'Assumptions (Nuclear)'!$V$9,'Assumptions (Nuclear)'!$V$4*Model!$AR$1110*AVERAGE('Assumptions (Nuclear)'!$AK$2:$AP$2)/10^9),0)</f>
        <v>0</v>
      </c>
      <c r="BC1260" s="105">
        <f>IF($AR$1110&gt;0,IPMT('Assumptions (Nuclear)'!$V$6,Model!AH1,'Assumptions (Nuclear)'!$V$9,'Assumptions (Nuclear)'!$V$4*Model!$AR$1110*AVERAGE('Assumptions (Nuclear)'!$AK$2:$AP$2)/10^9),0)</f>
        <v>0</v>
      </c>
      <c r="BD1260" s="105">
        <f>IF($AR$1110&gt;0,IPMT('Assumptions (Nuclear)'!$V$6,Model!AI1,'Assumptions (Nuclear)'!$V$9,'Assumptions (Nuclear)'!$V$4*Model!$AR$1110*AVERAGE('Assumptions (Nuclear)'!$AK$2:$AP$2)/10^9),0)</f>
        <v>0</v>
      </c>
      <c r="BE1260" s="105">
        <f>IF($AR$1110&gt;0,IPMT('Assumptions (Nuclear)'!$V$6,Model!AJ1,'Assumptions (Nuclear)'!$V$9,'Assumptions (Nuclear)'!$V$4*Model!$AR$1110*AVERAGE('Assumptions (Nuclear)'!$AK$2:$AP$2)/10^9),0)</f>
        <v>0</v>
      </c>
      <c r="BF1260" s="105">
        <f>IF($AR$1110&gt;0,IPMT('Assumptions (Nuclear)'!$V$6,Model!AK1,'Assumptions (Nuclear)'!$V$9,'Assumptions (Nuclear)'!$V$4*Model!$AR$1110*AVERAGE('Assumptions (Nuclear)'!$AK$2:$AP$2)/10^9),0)</f>
        <v>0</v>
      </c>
      <c r="BG1260" s="105"/>
      <c r="BH1260" s="105"/>
      <c r="BI1260" s="105"/>
      <c r="BJ1260" s="105"/>
      <c r="BK1260" s="105"/>
      <c r="BL1260" s="105"/>
      <c r="BM1260" s="105"/>
      <c r="BN1260" s="105"/>
      <c r="BO1260" s="105"/>
      <c r="BP1260" s="105"/>
    </row>
    <row r="1261" spans="1:72" ht="15.75" hidden="1" customHeight="1" outlineLevel="1">
      <c r="A1261" s="407"/>
      <c r="B1261" s="99"/>
      <c r="C1261" s="99"/>
      <c r="D1261" s="99"/>
      <c r="E1261" s="99"/>
      <c r="F1261" s="99"/>
      <c r="G1261" s="99"/>
      <c r="H1261" s="99"/>
      <c r="I1261" s="99"/>
      <c r="J1261" s="99"/>
      <c r="K1261" s="99"/>
      <c r="L1261" s="99"/>
      <c r="M1261" s="99"/>
      <c r="N1261" s="99"/>
      <c r="O1261" s="99"/>
      <c r="P1261" s="99"/>
      <c r="Q1261" s="99"/>
      <c r="R1261" s="99"/>
      <c r="S1261" s="99"/>
      <c r="T1261" s="99"/>
      <c r="U1261" s="99"/>
      <c r="V1261" s="99"/>
      <c r="W1261" s="105"/>
      <c r="X1261" s="105"/>
      <c r="Y1261" s="105"/>
      <c r="Z1261" s="105"/>
      <c r="AA1261" s="105"/>
      <c r="AB1261" s="105"/>
      <c r="AC1261" s="105"/>
      <c r="AD1261" s="105"/>
      <c r="AE1261" s="105"/>
      <c r="AF1261" s="105"/>
      <c r="AG1261" s="105"/>
      <c r="AH1261" s="105"/>
      <c r="AI1261" s="105"/>
      <c r="AJ1261" s="171"/>
      <c r="AK1261" s="105"/>
      <c r="AL1261" s="91"/>
      <c r="AM1261" s="91"/>
      <c r="AN1261" s="91"/>
      <c r="AO1261" s="105"/>
      <c r="AP1261" s="105"/>
      <c r="AQ1261" s="105"/>
      <c r="AR1261" s="105"/>
      <c r="AS1261" s="105">
        <f>IF($AS$1110&gt;0,IPMT('Assumptions (Nuclear)'!$V$6,Model!W1,'Assumptions (Nuclear)'!$V$9,'Assumptions (Nuclear)'!$V$4*Model!$AS$1110*AVERAGE('Assumptions (Nuclear)'!$AL$2:$AQ$2)/10^9),0)</f>
        <v>0</v>
      </c>
      <c r="AT1261" s="105">
        <f>IF($AS$1110&gt;0,IPMT('Assumptions (Nuclear)'!$V$6,Model!X1,'Assumptions (Nuclear)'!$V$9,'Assumptions (Nuclear)'!$V$4*Model!$AS$1110*AVERAGE('Assumptions (Nuclear)'!$AL$2:$AQ$2)/10^9),0)</f>
        <v>0</v>
      </c>
      <c r="AU1261" s="105">
        <f>IF($AS$1110&gt;0,IPMT('Assumptions (Nuclear)'!$V$6,Model!Y1,'Assumptions (Nuclear)'!$V$9,'Assumptions (Nuclear)'!$V$4*Model!$AS$1110*AVERAGE('Assumptions (Nuclear)'!$AL$2:$AQ$2)/10^9),0)</f>
        <v>0</v>
      </c>
      <c r="AV1261" s="105">
        <f>IF($AS$1110&gt;0,IPMT('Assumptions (Nuclear)'!$V$6,Model!Z1,'Assumptions (Nuclear)'!$V$9,'Assumptions (Nuclear)'!$V$4*Model!$AS$1110*AVERAGE('Assumptions (Nuclear)'!$AL$2:$AQ$2)/10^9),0)</f>
        <v>0</v>
      </c>
      <c r="AW1261" s="105">
        <f>IF($AS$1110&gt;0,IPMT('Assumptions (Nuclear)'!$V$6,Model!AA1,'Assumptions (Nuclear)'!$V$9,'Assumptions (Nuclear)'!$V$4*Model!$AS$1110*AVERAGE('Assumptions (Nuclear)'!$AL$2:$AQ$2)/10^9),0)</f>
        <v>0</v>
      </c>
      <c r="AX1261" s="105">
        <f>IF($AS$1110&gt;0,IPMT('Assumptions (Nuclear)'!$V$6,Model!AB1,'Assumptions (Nuclear)'!$V$9,'Assumptions (Nuclear)'!$V$4*Model!$AS$1110*AVERAGE('Assumptions (Nuclear)'!$AL$2:$AQ$2)/10^9),0)</f>
        <v>0</v>
      </c>
      <c r="AY1261" s="105">
        <f>IF($AS$1110&gt;0,IPMT('Assumptions (Nuclear)'!$V$6,Model!AC1,'Assumptions (Nuclear)'!$V$9,'Assumptions (Nuclear)'!$V$4*Model!$AS$1110*AVERAGE('Assumptions (Nuclear)'!$AL$2:$AQ$2)/10^9),0)</f>
        <v>0</v>
      </c>
      <c r="AZ1261" s="105">
        <f>IF($AS$1110&gt;0,IPMT('Assumptions (Nuclear)'!$V$6,Model!AD1,'Assumptions (Nuclear)'!$V$9,'Assumptions (Nuclear)'!$V$4*Model!$AS$1110*AVERAGE('Assumptions (Nuclear)'!$AL$2:$AQ$2)/10^9),0)</f>
        <v>0</v>
      </c>
      <c r="BA1261" s="105">
        <f>IF($AS$1110&gt;0,IPMT('Assumptions (Nuclear)'!$V$6,Model!AE1,'Assumptions (Nuclear)'!$V$9,'Assumptions (Nuclear)'!$V$4*Model!$AS$1110*AVERAGE('Assumptions (Nuclear)'!$AL$2:$AQ$2)/10^9),0)</f>
        <v>0</v>
      </c>
      <c r="BB1261" s="105">
        <f>IF($AS$1110&gt;0,IPMT('Assumptions (Nuclear)'!$V$6,Model!AF1,'Assumptions (Nuclear)'!$V$9,'Assumptions (Nuclear)'!$V$4*Model!$AS$1110*AVERAGE('Assumptions (Nuclear)'!$AL$2:$AQ$2)/10^9),0)</f>
        <v>0</v>
      </c>
      <c r="BC1261" s="105">
        <f>IF($AS$1110&gt;0,IPMT('Assumptions (Nuclear)'!$V$6,Model!AG1,'Assumptions (Nuclear)'!$V$9,'Assumptions (Nuclear)'!$V$4*Model!$AS$1110*AVERAGE('Assumptions (Nuclear)'!$AL$2:$AQ$2)/10^9),0)</f>
        <v>0</v>
      </c>
      <c r="BD1261" s="105">
        <f>IF($AS$1110&gt;0,IPMT('Assumptions (Nuclear)'!$V$6,Model!AH1,'Assumptions (Nuclear)'!$V$9,'Assumptions (Nuclear)'!$V$4*Model!$AS$1110*AVERAGE('Assumptions (Nuclear)'!$AL$2:$AQ$2)/10^9),0)</f>
        <v>0</v>
      </c>
      <c r="BE1261" s="105">
        <f>IF($AS$1110&gt;0,IPMT('Assumptions (Nuclear)'!$V$6,Model!AI1,'Assumptions (Nuclear)'!$V$9,'Assumptions (Nuclear)'!$V$4*Model!$AS$1110*AVERAGE('Assumptions (Nuclear)'!$AL$2:$AQ$2)/10^9),0)</f>
        <v>0</v>
      </c>
      <c r="BF1261" s="105">
        <f>IF($AS$1110&gt;0,IPMT('Assumptions (Nuclear)'!$V$6,Model!AJ1,'Assumptions (Nuclear)'!$V$9,'Assumptions (Nuclear)'!$V$4*Model!$AS$1110*AVERAGE('Assumptions (Nuclear)'!$AL$2:$AQ$2)/10^9),0)</f>
        <v>0</v>
      </c>
      <c r="BG1261" s="105">
        <f>IF($AS$1110&gt;0,IPMT('Assumptions (Nuclear)'!$V$6,Model!AK1,'Assumptions (Nuclear)'!$V$9,'Assumptions (Nuclear)'!$V$4*Model!$AS$1110*AVERAGE('Assumptions (Nuclear)'!$AL$2:$AQ$2)/10^9),0)</f>
        <v>0</v>
      </c>
      <c r="BH1261" s="105"/>
      <c r="BI1261" s="105"/>
      <c r="BJ1261" s="105"/>
      <c r="BK1261" s="105"/>
      <c r="BL1261" s="105"/>
      <c r="BM1261" s="105"/>
      <c r="BN1261" s="105"/>
      <c r="BO1261" s="105"/>
      <c r="BP1261" s="105"/>
      <c r="BQ1261" s="105"/>
      <c r="BR1261" s="105"/>
    </row>
    <row r="1262" spans="1:72" ht="15.75" hidden="1" customHeight="1" outlineLevel="1">
      <c r="A1262" s="407"/>
      <c r="B1262" s="99"/>
      <c r="C1262" s="99"/>
      <c r="D1262" s="99"/>
      <c r="E1262" s="99"/>
      <c r="F1262" s="99"/>
      <c r="G1262" s="99"/>
      <c r="H1262" s="99"/>
      <c r="I1262" s="99"/>
      <c r="J1262" s="99"/>
      <c r="K1262" s="99"/>
      <c r="L1262" s="99"/>
      <c r="M1262" s="99"/>
      <c r="N1262" s="99"/>
      <c r="O1262" s="99"/>
      <c r="P1262" s="99"/>
      <c r="Q1262" s="99"/>
      <c r="R1262" s="99"/>
      <c r="S1262" s="99"/>
      <c r="T1262" s="99"/>
      <c r="U1262" s="99"/>
      <c r="V1262" s="99"/>
      <c r="W1262" s="105"/>
      <c r="X1262" s="105"/>
      <c r="Y1262" s="105"/>
      <c r="Z1262" s="105"/>
      <c r="AA1262" s="105"/>
      <c r="AB1262" s="105"/>
      <c r="AC1262" s="105"/>
      <c r="AD1262" s="105"/>
      <c r="AE1262" s="105"/>
      <c r="AF1262" s="105"/>
      <c r="AG1262" s="105"/>
      <c r="AH1262" s="105"/>
      <c r="AI1262" s="105"/>
      <c r="AJ1262" s="171"/>
      <c r="AK1262" s="105"/>
      <c r="AL1262" s="91"/>
      <c r="AM1262" s="91"/>
      <c r="AN1262" s="91"/>
      <c r="AO1262" s="105"/>
      <c r="AP1262" s="105"/>
      <c r="AQ1262" s="105"/>
      <c r="AR1262" s="105"/>
      <c r="AS1262" s="105"/>
      <c r="AT1262" s="105">
        <f>IF($AT$1110&gt;0,IPMT('Assumptions (Nuclear)'!$V$6,Model!W1,'Assumptions (Nuclear)'!$V$9,'Assumptions (Nuclear)'!$V$4*Model!$AT$1110*AVERAGE('Assumptions (Nuclear)'!$AM$2:$AR$2)/10^9),0)</f>
        <v>-0.19686096318229343</v>
      </c>
      <c r="AU1262" s="105">
        <f>IF($AT$1110&gt;0,IPMT('Assumptions (Nuclear)'!$V$6,Model!X1,'Assumptions (Nuclear)'!$V$9,'Assumptions (Nuclear)'!$V$4*Model!$AT$1110*AVERAGE('Assumptions (Nuclear)'!$AM$2:$AR$2)/10^9),0)</f>
        <v>-0.18756496517960911</v>
      </c>
      <c r="AV1262" s="105">
        <f>IF($AT$1110&gt;0,IPMT('Assumptions (Nuclear)'!$V$6,Model!Y1,'Assumptions (Nuclear)'!$V$9,'Assumptions (Nuclear)'!$V$4*Model!$AT$1110*AVERAGE('Assumptions (Nuclear)'!$AM$2:$AR$2)/10^9),0)</f>
        <v>-0.17782740727179724</v>
      </c>
      <c r="AW1262" s="105">
        <f>IF($AT$1110&gt;0,IPMT('Assumptions (Nuclear)'!$V$6,Model!Z1,'Assumptions (Nuclear)'!$V$9,'Assumptions (Nuclear)'!$V$4*Model!$AT$1110*AVERAGE('Assumptions (Nuclear)'!$AM$2:$AR$2)/10^9),0)</f>
        <v>-0.16762731536336442</v>
      </c>
      <c r="AX1262" s="105">
        <f>IF($AT$1110&gt;0,IPMT('Assumptions (Nuclear)'!$V$6,Model!AA1,'Assumptions (Nuclear)'!$V$9,'Assumptions (Nuclear)'!$V$4*Model!$AT$1110*AVERAGE('Assumptions (Nuclear)'!$AM$2:$AR$2)/10^9),0)</f>
        <v>-0.15694271908928101</v>
      </c>
      <c r="AY1262" s="105">
        <f>IF($AT$1110&gt;0,IPMT('Assumptions (Nuclear)'!$V$6,Model!AB1,'Assumptions (Nuclear)'!$V$9,'Assumptions (Nuclear)'!$V$4*Model!$AT$1110*AVERAGE('Assumptions (Nuclear)'!$AM$2:$AR$2)/10^9),0)</f>
        <v>-0.14575060449217864</v>
      </c>
      <c r="AZ1262" s="105">
        <f>IF($AT$1110&gt;0,IPMT('Assumptions (Nuclear)'!$V$6,Model!AC1,'Assumptions (Nuclear)'!$V$9,'Assumptions (Nuclear)'!$V$4*Model!$AT$1110*AVERAGE('Assumptions (Nuclear)'!$AM$2:$AR$2)/10^9),0)</f>
        <v>-0.13402686445171388</v>
      </c>
      <c r="BA1262" s="105">
        <f>IF($AT$1110&gt;0,IPMT('Assumptions (Nuclear)'!$V$6,Model!AD1,'Assumptions (Nuclear)'!$V$9,'Assumptions (Nuclear)'!$V$4*Model!$AT$1110*AVERAGE('Assumptions (Nuclear)'!$AM$2:$AR$2)/10^9),0)</f>
        <v>-0.12174624675932706</v>
      </c>
      <c r="BB1262" s="105">
        <f>IF($AT$1110&gt;0,IPMT('Assumptions (Nuclear)'!$V$6,Model!AE1,'Assumptions (Nuclear)'!$V$9,'Assumptions (Nuclear)'!$V$4*Model!$AT$1110*AVERAGE('Assumptions (Nuclear)'!$AM$2:$AR$2)/10^9),0)</f>
        <v>-0.10888229972655188</v>
      </c>
      <c r="BC1262" s="105">
        <f>IF($AT$1110&gt;0,IPMT('Assumptions (Nuclear)'!$V$6,Model!AF1,'Assumptions (Nuclear)'!$V$9,'Assumptions (Nuclear)'!$V$4*Model!$AT$1110*AVERAGE('Assumptions (Nuclear)'!$AM$2:$AR$2)/10^9),0)</f>
        <v>-9.5407315209719845E-2</v>
      </c>
      <c r="BD1262" s="105">
        <f>IF($AT$1110&gt;0,IPMT('Assumptions (Nuclear)'!$V$6,Model!AG1,'Assumptions (Nuclear)'!$V$9,'Assumptions (Nuclear)'!$V$4*Model!$AT$1110*AVERAGE('Assumptions (Nuclear)'!$AM$2:$AR$2)/10^9),0)</f>
        <v>-8.129226892833831E-2</v>
      </c>
      <c r="BE1262" s="105">
        <f>IF($AT$1110&gt;0,IPMT('Assumptions (Nuclear)'!$V$6,Model!AH1,'Assumptions (Nuclear)'!$V$9,'Assumptions (Nuclear)'!$V$4*Model!$AT$1110*AVERAGE('Assumptions (Nuclear)'!$AM$2:$AR$2)/10^9),0)</f>
        <v>-6.650675794859115E-2</v>
      </c>
      <c r="BF1262" s="105">
        <f>IF($AT$1110&gt;0,IPMT('Assumptions (Nuclear)'!$V$6,Model!AI1,'Assumptions (Nuclear)'!$V$9,'Assumptions (Nuclear)'!$V$4*Model!$AT$1110*AVERAGE('Assumptions (Nuclear)'!$AM$2:$AR$2)/10^9),0)</f>
        <v>-5.1018935197305999E-2</v>
      </c>
      <c r="BG1262" s="105">
        <f>IF($AT$1110&gt;0,IPMT('Assumptions (Nuclear)'!$V$6,Model!AJ1,'Assumptions (Nuclear)'!$V$9,'Assumptions (Nuclear)'!$V$4*Model!$AT$1110*AVERAGE('Assumptions (Nuclear)'!$AM$2:$AR$2)/10^9),0)</f>
        <v>-3.4795440865334801E-2</v>
      </c>
      <c r="BH1262" s="105">
        <f>IF($AT$1110&gt;0,IPMT('Assumptions (Nuclear)'!$V$6,Model!AK1,'Assumptions (Nuclear)'!$V$9,'Assumptions (Nuclear)'!$V$4*Model!$AT$1110*AVERAGE('Assumptions (Nuclear)'!$AM$2:$AR$2)/10^9),0)</f>
        <v>-1.7801330552594967E-2</v>
      </c>
      <c r="BI1262" s="105"/>
      <c r="BJ1262" s="105"/>
      <c r="BK1262" s="105"/>
      <c r="BL1262" s="105"/>
      <c r="BM1262" s="105"/>
      <c r="BN1262" s="105"/>
      <c r="BO1262" s="105"/>
      <c r="BP1262" s="105"/>
      <c r="BQ1262" s="105"/>
      <c r="BR1262" s="105"/>
    </row>
    <row r="1263" spans="1:72" ht="15.75" hidden="1" customHeight="1" outlineLevel="1">
      <c r="A1263" s="407"/>
      <c r="B1263" s="99"/>
      <c r="C1263" s="99"/>
      <c r="D1263" s="99"/>
      <c r="E1263" s="99"/>
      <c r="F1263" s="99"/>
      <c r="G1263" s="99"/>
      <c r="H1263" s="99"/>
      <c r="I1263" s="99"/>
      <c r="J1263" s="99"/>
      <c r="K1263" s="99"/>
      <c r="L1263" s="99"/>
      <c r="M1263" s="99"/>
      <c r="N1263" s="99"/>
      <c r="O1263" s="99"/>
      <c r="P1263" s="99"/>
      <c r="Q1263" s="99"/>
      <c r="R1263" s="99"/>
      <c r="S1263" s="99"/>
      <c r="T1263" s="99"/>
      <c r="U1263" s="99"/>
      <c r="V1263" s="99"/>
      <c r="W1263" s="105"/>
      <c r="X1263" s="105"/>
      <c r="Y1263" s="105"/>
      <c r="Z1263" s="105"/>
      <c r="AA1263" s="105"/>
      <c r="AB1263" s="105"/>
      <c r="AC1263" s="105"/>
      <c r="AD1263" s="105"/>
      <c r="AE1263" s="105"/>
      <c r="AF1263" s="105"/>
      <c r="AG1263" s="105"/>
      <c r="AH1263" s="105"/>
      <c r="AI1263" s="105"/>
      <c r="AJ1263" s="171"/>
      <c r="AK1263" s="105"/>
      <c r="AL1263" s="91"/>
      <c r="AM1263" s="91"/>
      <c r="AN1263" s="91"/>
      <c r="AO1263" s="105"/>
      <c r="AP1263" s="105"/>
      <c r="AQ1263" s="105"/>
      <c r="AR1263" s="105"/>
      <c r="AS1263" s="105"/>
      <c r="AT1263" s="105"/>
      <c r="AU1263" s="105">
        <f>IF($AU$1110&gt;0,IPMT('Assumptions (Nuclear)'!$V$6,Model!W1,'Assumptions (Nuclear)'!$V$9,'Assumptions (Nuclear)'!$V$4*Model!$AU$1110*AVERAGE('Assumptions (Nuclear)'!$AN$2:$AS$2)/10^9),0)</f>
        <v>0</v>
      </c>
      <c r="AV1263" s="105">
        <f>IF($AU$1110&gt;0,IPMT('Assumptions (Nuclear)'!$V$6,Model!X1,'Assumptions (Nuclear)'!$V$9,'Assumptions (Nuclear)'!$V$4*Model!$AU$1110*AVERAGE('Assumptions (Nuclear)'!$AN$2:$AS$2)/10^9),0)</f>
        <v>0</v>
      </c>
      <c r="AW1263" s="105">
        <f>IF($AU$1110&gt;0,IPMT('Assumptions (Nuclear)'!$V$6,Model!Y1,'Assumptions (Nuclear)'!$V$9,'Assumptions (Nuclear)'!$V$4*Model!$AU$1110*AVERAGE('Assumptions (Nuclear)'!$AN$2:$AS$2)/10^9),0)</f>
        <v>0</v>
      </c>
      <c r="AX1263" s="105">
        <f>IF($AU$1110&gt;0,IPMT('Assumptions (Nuclear)'!$V$6,Model!Z1,'Assumptions (Nuclear)'!$V$9,'Assumptions (Nuclear)'!$V$4*Model!$AU$1110*AVERAGE('Assumptions (Nuclear)'!$AN$2:$AS$2)/10^9),0)</f>
        <v>0</v>
      </c>
      <c r="AY1263" s="105">
        <f>IF($AU$1110&gt;0,IPMT('Assumptions (Nuclear)'!$V$6,Model!AA1,'Assumptions (Nuclear)'!$V$9,'Assumptions (Nuclear)'!$V$4*Model!$AU$1110*AVERAGE('Assumptions (Nuclear)'!$AN$2:$AS$2)/10^9),0)</f>
        <v>0</v>
      </c>
      <c r="AZ1263" s="105">
        <f>IF($AU$1110&gt;0,IPMT('Assumptions (Nuclear)'!$V$6,Model!AB1,'Assumptions (Nuclear)'!$V$9,'Assumptions (Nuclear)'!$V$4*Model!$AU$1110*AVERAGE('Assumptions (Nuclear)'!$AN$2:$AS$2)/10^9),0)</f>
        <v>0</v>
      </c>
      <c r="BA1263" s="105">
        <f>IF($AU$1110&gt;0,IPMT('Assumptions (Nuclear)'!$V$6,Model!AC1,'Assumptions (Nuclear)'!$V$9,'Assumptions (Nuclear)'!$V$4*Model!$AU$1110*AVERAGE('Assumptions (Nuclear)'!$AN$2:$AS$2)/10^9),0)</f>
        <v>0</v>
      </c>
      <c r="BB1263" s="105">
        <f>IF($AU$1110&gt;0,IPMT('Assumptions (Nuclear)'!$V$6,Model!AD1,'Assumptions (Nuclear)'!$V$9,'Assumptions (Nuclear)'!$V$4*Model!$AU$1110*AVERAGE('Assumptions (Nuclear)'!$AN$2:$AS$2)/10^9),0)</f>
        <v>0</v>
      </c>
      <c r="BC1263" s="105">
        <f>IF($AU$1110&gt;0,IPMT('Assumptions (Nuclear)'!$V$6,Model!AE1,'Assumptions (Nuclear)'!$V$9,'Assumptions (Nuclear)'!$V$4*Model!$AU$1110*AVERAGE('Assumptions (Nuclear)'!$AN$2:$AS$2)/10^9),0)</f>
        <v>0</v>
      </c>
      <c r="BD1263" s="105">
        <f>IF($AU$1110&gt;0,IPMT('Assumptions (Nuclear)'!$V$6,Model!AF1,'Assumptions (Nuclear)'!$V$9,'Assumptions (Nuclear)'!$V$4*Model!$AU$1110*AVERAGE('Assumptions (Nuclear)'!$AN$2:$AS$2)/10^9),0)</f>
        <v>0</v>
      </c>
      <c r="BE1263" s="105">
        <f>IF($AU$1110&gt;0,IPMT('Assumptions (Nuclear)'!$V$6,Model!AG1,'Assumptions (Nuclear)'!$V$9,'Assumptions (Nuclear)'!$V$4*Model!$AU$1110*AVERAGE('Assumptions (Nuclear)'!$AN$2:$AS$2)/10^9),0)</f>
        <v>0</v>
      </c>
      <c r="BF1263" s="105">
        <f>IF($AU$1110&gt;0,IPMT('Assumptions (Nuclear)'!$V$6,Model!AH1,'Assumptions (Nuclear)'!$V$9,'Assumptions (Nuclear)'!$V$4*Model!$AU$1110*AVERAGE('Assumptions (Nuclear)'!$AN$2:$AS$2)/10^9),0)</f>
        <v>0</v>
      </c>
      <c r="BG1263" s="105">
        <f>IF($AU$1110&gt;0,IPMT('Assumptions (Nuclear)'!$V$6,Model!AI1,'Assumptions (Nuclear)'!$V$9,'Assumptions (Nuclear)'!$V$4*Model!$AU$1110*AVERAGE('Assumptions (Nuclear)'!$AN$2:$AS$2)/10^9),0)</f>
        <v>0</v>
      </c>
      <c r="BH1263" s="105">
        <f>IF($AU$1110&gt;0,IPMT('Assumptions (Nuclear)'!$V$6,Model!AJ1,'Assumptions (Nuclear)'!$V$9,'Assumptions (Nuclear)'!$V$4*Model!$AU$1110*AVERAGE('Assumptions (Nuclear)'!$AN$2:$AS$2)/10^9),0)</f>
        <v>0</v>
      </c>
      <c r="BI1263" s="105">
        <f>IF($AU$1110&gt;0,IPMT('Assumptions (Nuclear)'!$V$6,Model!AK1,'Assumptions (Nuclear)'!$V$9,'Assumptions (Nuclear)'!$V$4*Model!$AU$1110*AVERAGE('Assumptions (Nuclear)'!$AN$2:$AS$2)/10^9),0)</f>
        <v>0</v>
      </c>
      <c r="BJ1263" s="105"/>
      <c r="BK1263" s="105"/>
      <c r="BL1263" s="105"/>
      <c r="BM1263" s="105"/>
      <c r="BN1263" s="105"/>
      <c r="BO1263" s="105"/>
      <c r="BP1263" s="105"/>
      <c r="BQ1263" s="105"/>
      <c r="BR1263" s="105"/>
      <c r="BS1263" s="105"/>
    </row>
    <row r="1264" spans="1:72" ht="15.75" hidden="1" customHeight="1" outlineLevel="1">
      <c r="A1264" s="407"/>
      <c r="B1264" s="99"/>
      <c r="C1264" s="99"/>
      <c r="D1264" s="99"/>
      <c r="E1264" s="99"/>
      <c r="F1264" s="99"/>
      <c r="G1264" s="99"/>
      <c r="H1264" s="99"/>
      <c r="I1264" s="99"/>
      <c r="J1264" s="99"/>
      <c r="K1264" s="99"/>
      <c r="L1264" s="99"/>
      <c r="M1264" s="99"/>
      <c r="N1264" s="99"/>
      <c r="O1264" s="99"/>
      <c r="P1264" s="99"/>
      <c r="Q1264" s="99"/>
      <c r="R1264" s="99"/>
      <c r="S1264" s="99"/>
      <c r="T1264" s="99"/>
      <c r="U1264" s="99"/>
      <c r="V1264" s="99"/>
      <c r="W1264" s="105"/>
      <c r="X1264" s="105"/>
      <c r="Y1264" s="105"/>
      <c r="Z1264" s="105"/>
      <c r="AA1264" s="105"/>
      <c r="AB1264" s="105"/>
      <c r="AC1264" s="105"/>
      <c r="AD1264" s="105"/>
      <c r="AE1264" s="105"/>
      <c r="AF1264" s="105"/>
      <c r="AG1264" s="105"/>
      <c r="AH1264" s="105"/>
      <c r="AI1264" s="105"/>
      <c r="AJ1264" s="171"/>
      <c r="AK1264" s="105"/>
      <c r="AL1264" s="91"/>
      <c r="AM1264" s="91"/>
      <c r="AN1264" s="91"/>
      <c r="AO1264" s="105"/>
      <c r="AP1264" s="105"/>
      <c r="AQ1264" s="105"/>
      <c r="AR1264" s="105"/>
      <c r="AS1264" s="105"/>
      <c r="AT1264" s="105"/>
      <c r="AU1264" s="105"/>
      <c r="AV1264" s="105">
        <f>IF($AV$1110&gt;0,IPMT('Assumptions (Nuclear)'!$V$6,Model!W1,'Assumptions (Nuclear)'!$V$9,'Assumptions (Nuclear)'!$V$4*Model!$AV$1110*AVERAGE('Assumptions (Nuclear)'!$AO$2:$AT$2)/10^9),0)</f>
        <v>0</v>
      </c>
      <c r="AW1264" s="105">
        <f>IF($AV$1110&gt;0,IPMT('Assumptions (Nuclear)'!$V$6,Model!X1,'Assumptions (Nuclear)'!$V$9,'Assumptions (Nuclear)'!$V$4*Model!$AV$1110*AVERAGE('Assumptions (Nuclear)'!$AO$2:$AT$2)/10^9),0)</f>
        <v>0</v>
      </c>
      <c r="AX1264" s="105">
        <f>IF($AV$1110&gt;0,IPMT('Assumptions (Nuclear)'!$V$6,Model!Y1,'Assumptions (Nuclear)'!$V$9,'Assumptions (Nuclear)'!$V$4*Model!$AV$1110*AVERAGE('Assumptions (Nuclear)'!$AO$2:$AT$2)/10^9),0)</f>
        <v>0</v>
      </c>
      <c r="AY1264" s="105">
        <f>IF($AV$1110&gt;0,IPMT('Assumptions (Nuclear)'!$V$6,Model!Z1,'Assumptions (Nuclear)'!$V$9,'Assumptions (Nuclear)'!$V$4*Model!$AV$1110*AVERAGE('Assumptions (Nuclear)'!$AO$2:$AT$2)/10^9),0)</f>
        <v>0</v>
      </c>
      <c r="AZ1264" s="105">
        <f>IF($AV$1110&gt;0,IPMT('Assumptions (Nuclear)'!$V$6,Model!AA1,'Assumptions (Nuclear)'!$V$9,'Assumptions (Nuclear)'!$V$4*Model!$AV$1110*AVERAGE('Assumptions (Nuclear)'!$AO$2:$AT$2)/10^9),0)</f>
        <v>0</v>
      </c>
      <c r="BA1264" s="105">
        <f>IF($AV$1110&gt;0,IPMT('Assumptions (Nuclear)'!$V$6,Model!AB1,'Assumptions (Nuclear)'!$V$9,'Assumptions (Nuclear)'!$V$4*Model!$AV$1110*AVERAGE('Assumptions (Nuclear)'!$AO$2:$AT$2)/10^9),0)</f>
        <v>0</v>
      </c>
      <c r="BB1264" s="105">
        <f>IF($AV$1110&gt;0,IPMT('Assumptions (Nuclear)'!$V$6,Model!AC1,'Assumptions (Nuclear)'!$V$9,'Assumptions (Nuclear)'!$V$4*Model!$AV$1110*AVERAGE('Assumptions (Nuclear)'!$AO$2:$AT$2)/10^9),0)</f>
        <v>0</v>
      </c>
      <c r="BC1264" s="105">
        <f>IF($AV$1110&gt;0,IPMT('Assumptions (Nuclear)'!$V$6,Model!AD1,'Assumptions (Nuclear)'!$V$9,'Assumptions (Nuclear)'!$V$4*Model!$AV$1110*AVERAGE('Assumptions (Nuclear)'!$AO$2:$AT$2)/10^9),0)</f>
        <v>0</v>
      </c>
      <c r="BD1264" s="105">
        <f>IF($AV$1110&gt;0,IPMT('Assumptions (Nuclear)'!$V$6,Model!AE1,'Assumptions (Nuclear)'!$V$9,'Assumptions (Nuclear)'!$V$4*Model!$AV$1110*AVERAGE('Assumptions (Nuclear)'!$AO$2:$AT$2)/10^9),0)</f>
        <v>0</v>
      </c>
      <c r="BE1264" s="105">
        <f>IF($AV$1110&gt;0,IPMT('Assumptions (Nuclear)'!$V$6,Model!AF1,'Assumptions (Nuclear)'!$V$9,'Assumptions (Nuclear)'!$V$4*Model!$AV$1110*AVERAGE('Assumptions (Nuclear)'!$AO$2:$AT$2)/10^9),0)</f>
        <v>0</v>
      </c>
      <c r="BF1264" s="105">
        <f>IF($AV$1110&gt;0,IPMT('Assumptions (Nuclear)'!$V$6,Model!AG1,'Assumptions (Nuclear)'!$V$9,'Assumptions (Nuclear)'!$V$4*Model!$AV$1110*AVERAGE('Assumptions (Nuclear)'!$AO$2:$AT$2)/10^9),0)</f>
        <v>0</v>
      </c>
      <c r="BG1264" s="105">
        <f>IF($AV$1110&gt;0,IPMT('Assumptions (Nuclear)'!$V$6,Model!AH1,'Assumptions (Nuclear)'!$V$9,'Assumptions (Nuclear)'!$V$4*Model!$AV$1110*AVERAGE('Assumptions (Nuclear)'!$AO$2:$AT$2)/10^9),0)</f>
        <v>0</v>
      </c>
      <c r="BH1264" s="105">
        <f>IF($AV$1110&gt;0,IPMT('Assumptions (Nuclear)'!$V$6,Model!AI1,'Assumptions (Nuclear)'!$V$9,'Assumptions (Nuclear)'!$V$4*Model!$AV$1110*AVERAGE('Assumptions (Nuclear)'!$AO$2:$AT$2)/10^9),0)</f>
        <v>0</v>
      </c>
      <c r="BI1264" s="105">
        <f>IF($AV$1110&gt;0,IPMT('Assumptions (Nuclear)'!$V$6,Model!AJ1,'Assumptions (Nuclear)'!$V$9,'Assumptions (Nuclear)'!$V$4*Model!$AV$1110*AVERAGE('Assumptions (Nuclear)'!$AO$2:$AT$2)/10^9),0)</f>
        <v>0</v>
      </c>
      <c r="BJ1264" s="105">
        <f>IF($AV$1110&gt;0,IPMT('Assumptions (Nuclear)'!$V$6,Model!AK1,'Assumptions (Nuclear)'!$V$9,'Assumptions (Nuclear)'!$V$4*Model!$AV$1110*AVERAGE('Assumptions (Nuclear)'!$AO$2:$AT$2)/10^9),0)</f>
        <v>0</v>
      </c>
      <c r="BK1264" s="105"/>
      <c r="BL1264" s="105"/>
      <c r="BM1264" s="105"/>
      <c r="BN1264" s="105"/>
      <c r="BO1264" s="105"/>
      <c r="BP1264" s="105"/>
      <c r="BQ1264" s="105"/>
      <c r="BR1264" s="105"/>
      <c r="BS1264" s="105"/>
      <c r="BT1264" s="105"/>
    </row>
    <row r="1265" spans="1:77" ht="15.75" hidden="1" customHeight="1" outlineLevel="1">
      <c r="A1265" s="407"/>
      <c r="B1265" s="99"/>
      <c r="C1265" s="99"/>
      <c r="D1265" s="99"/>
      <c r="E1265" s="99"/>
      <c r="F1265" s="99"/>
      <c r="G1265" s="99"/>
      <c r="H1265" s="99"/>
      <c r="I1265" s="99"/>
      <c r="J1265" s="99"/>
      <c r="K1265" s="99"/>
      <c r="L1265" s="99"/>
      <c r="M1265" s="99"/>
      <c r="N1265" s="99"/>
      <c r="O1265" s="99"/>
      <c r="P1265" s="99"/>
      <c r="Q1265" s="99"/>
      <c r="R1265" s="99"/>
      <c r="S1265" s="99"/>
      <c r="T1265" s="99"/>
      <c r="U1265" s="99"/>
      <c r="V1265" s="99"/>
      <c r="W1265" s="105"/>
      <c r="X1265" s="105"/>
      <c r="Y1265" s="105"/>
      <c r="Z1265" s="105"/>
      <c r="AA1265" s="105"/>
      <c r="AB1265" s="105"/>
      <c r="AC1265" s="105"/>
      <c r="AD1265" s="105"/>
      <c r="AE1265" s="105"/>
      <c r="AF1265" s="105"/>
      <c r="AG1265" s="105"/>
      <c r="AH1265" s="105"/>
      <c r="AI1265" s="105"/>
      <c r="AJ1265" s="171"/>
      <c r="AK1265" s="105"/>
      <c r="AL1265" s="91"/>
      <c r="AM1265" s="91"/>
      <c r="AN1265" s="91"/>
      <c r="AO1265" s="105"/>
      <c r="AP1265" s="105"/>
      <c r="AQ1265" s="105"/>
      <c r="AR1265" s="105"/>
      <c r="AS1265" s="105"/>
      <c r="AT1265" s="105"/>
      <c r="AU1265" s="105"/>
      <c r="AV1265" s="105"/>
      <c r="AW1265" s="105">
        <f>IF($AW$1110&gt;0,IPMT('Assumptions (Nuclear)'!$V$6,Model!W1,'Assumptions (Nuclear)'!$V$9,'Assumptions (Nuclear)'!$V$4*Model!$AW$1110*AVERAGE('Assumptions (Nuclear)'!$AP$2:$AU$2)/10^9),0)</f>
        <v>-0.63514418238943604</v>
      </c>
      <c r="AX1265" s="105">
        <f>IF($AW$1110&gt;0,IPMT('Assumptions (Nuclear)'!$V$6,Model!X1,'Assumptions (Nuclear)'!$V$9,'Assumptions (Nuclear)'!$V$4*Model!$AW$1110*AVERAGE('Assumptions (Nuclear)'!$AP$2:$AU$2)/10^9),0)</f>
        <v>-0.60515195358254259</v>
      </c>
      <c r="AY1265" s="105">
        <f>IF($AW$1110&gt;0,IPMT('Assumptions (Nuclear)'!$V$6,Model!Y1,'Assumptions (Nuclear)'!$V$9,'Assumptions (Nuclear)'!$V$4*Model!$AW$1110*AVERAGE('Assumptions (Nuclear)'!$AP$2:$AU$2)/10^9),0)</f>
        <v>-0.57373509390732169</v>
      </c>
      <c r="AZ1265" s="105">
        <f>IF($AW$1110&gt;0,IPMT('Assumptions (Nuclear)'!$V$6,Model!Z1,'Assumptions (Nuclear)'!$V$9,'Assumptions (Nuclear)'!$V$4*Model!$AW$1110*AVERAGE('Assumptions (Nuclear)'!$AP$2:$AU$2)/10^9),0)</f>
        <v>-0.54082593339752805</v>
      </c>
      <c r="BA1265" s="105">
        <f>IF($AW$1110&gt;0,IPMT('Assumptions (Nuclear)'!$V$6,Model!AA1,'Assumptions (Nuclear)'!$V$9,'Assumptions (Nuclear)'!$V$4*Model!$AW$1110*AVERAGE('Assumptions (Nuclear)'!$AP$2:$AU$2)/10^9),0)</f>
        <v>-0.50635358776351913</v>
      </c>
      <c r="BB1265" s="105">
        <f>IF($AW$1110&gt;0,IPMT('Assumptions (Nuclear)'!$V$6,Model!AB1,'Assumptions (Nuclear)'!$V$9,'Assumptions (Nuclear)'!$V$4*Model!$AW$1110*AVERAGE('Assumptions (Nuclear)'!$AP$2:$AU$2)/10^9),0)</f>
        <v>-0.47024380571189478</v>
      </c>
      <c r="BC1265" s="105">
        <f>IF($AW$1110&gt;0,IPMT('Assumptions (Nuclear)'!$V$6,Model!AC1,'Assumptions (Nuclear)'!$V$9,'Assumptions (Nuclear)'!$V$4*Model!$AW$1110*AVERAGE('Assumptions (Nuclear)'!$AP$2:$AU$2)/10^9),0)</f>
        <v>-0.43241880901281815</v>
      </c>
      <c r="BD1265" s="105">
        <f>IF($AW$1110&gt;0,IPMT('Assumptions (Nuclear)'!$V$6,Model!AD1,'Assumptions (Nuclear)'!$V$9,'Assumptions (Nuclear)'!$V$4*Model!$AW$1110*AVERAGE('Assumptions (Nuclear)'!$AP$2:$AU$2)/10^9),0)</f>
        <v>-0.39279712497053554</v>
      </c>
      <c r="BE1265" s="105">
        <f>IF($AW$1110&gt;0,IPMT('Assumptions (Nuclear)'!$V$6,Model!AE1,'Assumptions (Nuclear)'!$V$9,'Assumptions (Nuclear)'!$V$4*Model!$AW$1110*AVERAGE('Assumptions (Nuclear)'!$AP$2:$AU$2)/10^9),0)</f>
        <v>-0.3512934109362445</v>
      </c>
      <c r="BF1265" s="105">
        <f>IF($AW$1110&gt;0,IPMT('Assumptions (Nuclear)'!$V$6,Model!AF1,'Assumptions (Nuclear)'!$V$9,'Assumptions (Nuclear)'!$V$4*Model!$AW$1110*AVERAGE('Assumptions (Nuclear)'!$AP$2:$AU$2)/10^9),0)</f>
        <v>-0.30781827048532456</v>
      </c>
      <c r="BG1265" s="105">
        <f>IF($AW$1110&gt;0,IPMT('Assumptions (Nuclear)'!$V$6,Model!AG1,'Assumptions (Nuclear)'!$V$9,'Assumptions (Nuclear)'!$V$4*Model!$AW$1110*AVERAGE('Assumptions (Nuclear)'!$AP$2:$AU$2)/10^9),0)</f>
        <v>-0.26227806086298594</v>
      </c>
      <c r="BH1265" s="105">
        <f>IF($AW$1110&gt;0,IPMT('Assumptions (Nuclear)'!$V$6,Model!AH1,'Assumptions (Nuclear)'!$V$9,'Assumptions (Nuclear)'!$V$4*Model!$AW$1110*AVERAGE('Assumptions (Nuclear)'!$AP$2:$AU$2)/10^9),0)</f>
        <v>-0.21457469128358631</v>
      </c>
      <c r="BI1265" s="105">
        <f>IF($AW$1110&gt;0,IPMT('Assumptions (Nuclear)'!$V$6,Model!AI1,'Assumptions (Nuclear)'!$V$9,'Assumptions (Nuclear)'!$V$4*Model!$AW$1110*AVERAGE('Assumptions (Nuclear)'!$AP$2:$AU$2)/10^9),0)</f>
        <v>-0.16460541164916506</v>
      </c>
      <c r="BJ1265" s="105">
        <f>IF($AW$1110&gt;0,IPMT('Assumptions (Nuclear)'!$V$6,Model!AJ1,'Assumptions (Nuclear)'!$V$9,'Assumptions (Nuclear)'!$V$4*Model!$AW$1110*AVERAGE('Assumptions (Nuclear)'!$AP$2:$AU$2)/10^9),0)</f>
        <v>-0.11226259123210885</v>
      </c>
      <c r="BK1265" s="105">
        <f>IF($AW$1110&gt;0,IPMT('Assumptions (Nuclear)'!$V$6,Model!AK1,'Assumptions (Nuclear)'!$V$9,'Assumptions (Nuclear)'!$V$4*Model!$AW$1110*AVERAGE('Assumptions (Nuclear)'!$AP$2:$AU$2)/10^9),0)</f>
        <v>-5.7433486845242507E-2</v>
      </c>
      <c r="BL1265" s="105"/>
      <c r="BM1265" s="105"/>
      <c r="BN1265" s="105"/>
      <c r="BO1265" s="105"/>
      <c r="BP1265" s="105"/>
      <c r="BQ1265" s="105"/>
      <c r="BR1265" s="105"/>
      <c r="BS1265" s="105"/>
      <c r="BT1265" s="105"/>
      <c r="BU1265" s="105"/>
    </row>
    <row r="1266" spans="1:77" ht="15.75" hidden="1" customHeight="1" outlineLevel="1">
      <c r="A1266" s="407"/>
      <c r="B1266" s="99"/>
      <c r="C1266" s="99"/>
      <c r="D1266" s="99"/>
      <c r="E1266" s="99"/>
      <c r="F1266" s="99"/>
      <c r="G1266" s="99"/>
      <c r="H1266" s="99"/>
      <c r="I1266" s="99"/>
      <c r="J1266" s="99"/>
      <c r="K1266" s="99"/>
      <c r="L1266" s="99"/>
      <c r="M1266" s="99"/>
      <c r="N1266" s="99"/>
      <c r="O1266" s="99"/>
      <c r="P1266" s="99"/>
      <c r="Q1266" s="99"/>
      <c r="R1266" s="99"/>
      <c r="S1266" s="99"/>
      <c r="T1266" s="99"/>
      <c r="U1266" s="99"/>
      <c r="V1266" s="99"/>
      <c r="W1266" s="105"/>
      <c r="X1266" s="105"/>
      <c r="Y1266" s="105"/>
      <c r="Z1266" s="105"/>
      <c r="AA1266" s="105"/>
      <c r="AB1266" s="105"/>
      <c r="AC1266" s="105"/>
      <c r="AD1266" s="105"/>
      <c r="AE1266" s="105"/>
      <c r="AF1266" s="105"/>
      <c r="AG1266" s="105"/>
      <c r="AH1266" s="105"/>
      <c r="AI1266" s="105"/>
      <c r="AJ1266" s="171"/>
      <c r="AK1266" s="105"/>
      <c r="AL1266" s="91"/>
      <c r="AM1266" s="91"/>
      <c r="AN1266" s="91"/>
      <c r="AO1266" s="105"/>
      <c r="AP1266" s="105"/>
      <c r="AQ1266" s="105"/>
      <c r="AR1266" s="105"/>
      <c r="AS1266" s="105"/>
      <c r="AT1266" s="105"/>
      <c r="AU1266" s="105"/>
      <c r="AV1266" s="105"/>
      <c r="AW1266" s="105"/>
      <c r="AX1266" s="105">
        <f>IF($AX$1110&gt;0,IPMT('Assumptions (Nuclear)'!$V$6,Model!W1,'Assumptions (Nuclear)'!$V$9,'Assumptions (Nuclear)'!$V$4*Model!$AX$1110*AVERAGE('Assumptions (Nuclear)'!$AQ$2:$AV$2)/10^9),0)</f>
        <v>-0.95829878854033501</v>
      </c>
      <c r="AY1266" s="105">
        <f>IF($AX$1110&gt;0,IPMT('Assumptions (Nuclear)'!$V$6,Model!X1,'Assumptions (Nuclear)'!$V$9,'Assumptions (Nuclear)'!$V$4*Model!$AX$1110*AVERAGE('Assumptions (Nuclear)'!$AQ$2:$AV$2)/10^9),0)</f>
        <v>-0.91304683264089848</v>
      </c>
      <c r="AZ1266" s="105">
        <f>IF($AX$1110&gt;0,IPMT('Assumptions (Nuclear)'!$V$6,Model!Y1,'Assumptions (Nuclear)'!$V$9,'Assumptions (Nuclear)'!$V$4*Model!$AX$1110*AVERAGE('Assumptions (Nuclear)'!$AQ$2:$AV$2)/10^9),0)</f>
        <v>-0.86564540883623853</v>
      </c>
      <c r="BA1266" s="105">
        <f>IF($AX$1110&gt;0,IPMT('Assumptions (Nuclear)'!$V$6,Model!Z1,'Assumptions (Nuclear)'!$V$9,'Assumptions (Nuclear)'!$V$4*Model!$AX$1110*AVERAGE('Assumptions (Nuclear)'!$AQ$2:$AV$2)/10^9),0)</f>
        <v>-0.81599241740085771</v>
      </c>
      <c r="BB1266" s="105">
        <f>IF($AX$1110&gt;0,IPMT('Assumptions (Nuclear)'!$V$6,Model!AA1,'Assumptions (Nuclear)'!$V$9,'Assumptions (Nuclear)'!$V$4*Model!$AX$1110*AVERAGE('Assumptions (Nuclear)'!$AQ$2:$AV$2)/10^9),0)</f>
        <v>-0.76398090887229597</v>
      </c>
      <c r="BC1266" s="105">
        <f>IF($AX$1110&gt;0,IPMT('Assumptions (Nuclear)'!$V$6,Model!AB1,'Assumptions (Nuclear)'!$V$9,'Assumptions (Nuclear)'!$V$4*Model!$AX$1110*AVERAGE('Assumptions (Nuclear)'!$AQ$2:$AV$2)/10^9),0)</f>
        <v>-0.70949885368862753</v>
      </c>
      <c r="BD1266" s="105">
        <f>IF($AX$1110&gt;0,IPMT('Assumptions (Nuclear)'!$V$6,Model!AC1,'Assumptions (Nuclear)'!$V$9,'Assumptions (Nuclear)'!$V$4*Model!$AX$1110*AVERAGE('Assumptions (Nuclear)'!$AQ$2:$AV$2)/10^9),0)</f>
        <v>-0.65242890088373495</v>
      </c>
      <c r="BE1266" s="105">
        <f>IF($AX$1110&gt;0,IPMT('Assumptions (Nuclear)'!$V$6,Model!AD1,'Assumptions (Nuclear)'!$V$9,'Assumptions (Nuclear)'!$V$4*Model!$AX$1110*AVERAGE('Assumptions (Nuclear)'!$AQ$2:$AV$2)/10^9),0)</f>
        <v>-0.59264812532060995</v>
      </c>
      <c r="BF1266" s="105">
        <f>IF($AX$1110&gt;0,IPMT('Assumptions (Nuclear)'!$V$6,Model!AE1,'Assumptions (Nuclear)'!$V$9,'Assumptions (Nuclear)'!$V$4*Model!$AX$1110*AVERAGE('Assumptions (Nuclear)'!$AQ$2:$AV$2)/10^9),0)</f>
        <v>-0.53002776291823661</v>
      </c>
      <c r="BG1266" s="105">
        <f>IF($AX$1110&gt;0,IPMT('Assumptions (Nuclear)'!$V$6,Model!AF1,'Assumptions (Nuclear)'!$V$9,'Assumptions (Nuclear)'!$V$4*Model!$AX$1110*AVERAGE('Assumptions (Nuclear)'!$AQ$2:$AV$2)/10^9),0)</f>
        <v>-0.46443293330175045</v>
      </c>
      <c r="BH1266" s="105">
        <f>IF($AX$1110&gt;0,IPMT('Assumptions (Nuclear)'!$V$6,Model!AG1,'Assumptions (Nuclear)'!$V$9,'Assumptions (Nuclear)'!$V$4*Model!$AX$1110*AVERAGE('Assumptions (Nuclear)'!$AQ$2:$AV$2)/10^9),0)</f>
        <v>-0.3957223492784811</v>
      </c>
      <c r="BI1266" s="105">
        <f>IF($AX$1110&gt;0,IPMT('Assumptions (Nuclear)'!$V$6,Model!AH1,'Assumptions (Nuclear)'!$V$9,'Assumptions (Nuclear)'!$V$4*Model!$AX$1110*AVERAGE('Assumptions (Nuclear)'!$AQ$2:$AV$2)/10^9),0)</f>
        <v>-0.32374801251410662</v>
      </c>
      <c r="BJ1266" s="105">
        <f>IF($AX$1110&gt;0,IPMT('Assumptions (Nuclear)'!$V$6,Model!AI1,'Assumptions (Nuclear)'!$V$9,'Assumptions (Nuclear)'!$V$4*Model!$AX$1110*AVERAGE('Assumptions (Nuclear)'!$AQ$2:$AV$2)/10^9),0)</f>
        <v>-0.2483548947534242</v>
      </c>
      <c r="BK1266" s="105">
        <f>IF($AX$1110&gt;0,IPMT('Assumptions (Nuclear)'!$V$6,Model!AJ1,'Assumptions (Nuclear)'!$V$9,'Assumptions (Nuclear)'!$V$4*Model!$AX$1110*AVERAGE('Assumptions (Nuclear)'!$AQ$2:$AV$2)/10^9),0)</f>
        <v>-0.16938060389910944</v>
      </c>
      <c r="BL1266" s="105">
        <f>IF($AX$1110&gt;0,IPMT('Assumptions (Nuclear)'!$V$6,Model!AK1,'Assumptions (Nuclear)'!$V$9,'Assumptions (Nuclear)'!$V$4*Model!$AX$1110*AVERAGE('Assumptions (Nuclear)'!$AQ$2:$AV$2)/10^9),0)</f>
        <v>-8.6655034229214722E-2</v>
      </c>
      <c r="BM1266" s="105"/>
      <c r="BN1266" s="105"/>
      <c r="BO1266" s="105"/>
      <c r="BP1266" s="105"/>
      <c r="BQ1266" s="105"/>
      <c r="BR1266" s="105"/>
      <c r="BS1266" s="105"/>
      <c r="BT1266" s="105"/>
      <c r="BU1266" s="105"/>
      <c r="BV1266" s="105"/>
    </row>
    <row r="1267" spans="1:77" ht="15.75" hidden="1" customHeight="1" outlineLevel="1">
      <c r="A1267" s="407"/>
      <c r="B1267" s="99"/>
      <c r="C1267" s="99"/>
      <c r="D1267" s="99"/>
      <c r="E1267" s="99"/>
      <c r="F1267" s="99"/>
      <c r="G1267" s="99"/>
      <c r="H1267" s="99"/>
      <c r="I1267" s="99"/>
      <c r="J1267" s="99"/>
      <c r="K1267" s="99"/>
      <c r="L1267" s="99"/>
      <c r="M1267" s="99"/>
      <c r="N1267" s="99"/>
      <c r="O1267" s="99"/>
      <c r="P1267" s="99"/>
      <c r="Q1267" s="99"/>
      <c r="R1267" s="99"/>
      <c r="S1267" s="99"/>
      <c r="T1267" s="99"/>
      <c r="U1267" s="99"/>
      <c r="V1267" s="99"/>
      <c r="W1267" s="105"/>
      <c r="X1267" s="105"/>
      <c r="Y1267" s="105"/>
      <c r="Z1267" s="105"/>
      <c r="AA1267" s="105"/>
      <c r="AB1267" s="105"/>
      <c r="AC1267" s="105"/>
      <c r="AD1267" s="105"/>
      <c r="AE1267" s="105"/>
      <c r="AF1267" s="105"/>
      <c r="AG1267" s="105"/>
      <c r="AH1267" s="105"/>
      <c r="AI1267" s="105"/>
      <c r="AJ1267" s="171"/>
      <c r="AK1267" s="105"/>
      <c r="AL1267" s="91"/>
      <c r="AM1267" s="91"/>
      <c r="AN1267" s="91"/>
      <c r="AO1267" s="105"/>
      <c r="AP1267" s="105"/>
      <c r="AQ1267" s="105"/>
      <c r="AR1267" s="105"/>
      <c r="AS1267" s="105"/>
      <c r="AT1267" s="105"/>
      <c r="AU1267" s="105"/>
      <c r="AV1267" s="105"/>
      <c r="AW1267" s="105"/>
      <c r="AX1267" s="105"/>
      <c r="AY1267" s="105">
        <f>IF($AY$1110&gt;0,IPMT('Assumptions (Nuclear)'!$V$6,Model!W1,'Assumptions (Nuclear)'!$V$9,'Assumptions (Nuclear)'!$V$4*Model!$AY$1110*AVERAGE('Assumptions (Nuclear)'!$AR$2:$AW$2)/10^9),0)</f>
        <v>-1.1404867533068084</v>
      </c>
      <c r="AZ1267" s="105">
        <f>IF($AY$1110&gt;0,IPMT('Assumptions (Nuclear)'!$V$6,Model!X1,'Assumptions (Nuclear)'!$V$9,'Assumptions (Nuclear)'!$V$4*Model!$AY$1110*AVERAGE('Assumptions (Nuclear)'!$AR$2:$AW$2)/10^9),0)</f>
        <v>-1.0866316750350915</v>
      </c>
      <c r="BA1267" s="105">
        <f>IF($AY$1110&gt;0,IPMT('Assumptions (Nuclear)'!$V$6,Model!Y1,'Assumptions (Nuclear)'!$V$9,'Assumptions (Nuclear)'!$V$4*Model!$AY$1110*AVERAGE('Assumptions (Nuclear)'!$AR$2:$AW$2)/10^9),0)</f>
        <v>-1.0302184805454677</v>
      </c>
      <c r="BB1267" s="105">
        <f>IF($AY$1110&gt;0,IPMT('Assumptions (Nuclear)'!$V$6,Model!Z1,'Assumptions (Nuclear)'!$V$9,'Assumptions (Nuclear)'!$V$4*Model!$AY$1110*AVERAGE('Assumptions (Nuclear)'!$AR$2:$AW$2)/10^9),0)</f>
        <v>-0.97112565931758732</v>
      </c>
      <c r="BC1267" s="105">
        <f>IF($AY$1110&gt;0,IPMT('Assumptions (Nuclear)'!$V$6,Model!AA1,'Assumptions (Nuclear)'!$V$9,'Assumptions (Nuclear)'!$V$4*Model!$AY$1110*AVERAGE('Assumptions (Nuclear)'!$AR$2:$AW$2)/10^9),0)</f>
        <v>-0.90922592908138244</v>
      </c>
      <c r="BD1267" s="105">
        <f>IF($AY$1110&gt;0,IPMT('Assumptions (Nuclear)'!$V$6,Model!AB1,'Assumptions (Nuclear)'!$V$9,'Assumptions (Nuclear)'!$V$4*Model!$AY$1110*AVERAGE('Assumptions (Nuclear)'!$AR$2:$AW$2)/10^9),0)</f>
        <v>-0.84438596165895785</v>
      </c>
      <c r="BE1267" s="105">
        <f>IF($AY$1110&gt;0,IPMT('Assumptions (Nuclear)'!$V$6,Model!AC1,'Assumptions (Nuclear)'!$V$9,'Assumptions (Nuclear)'!$V$4*Model!$AY$1110*AVERAGE('Assumptions (Nuclear)'!$AR$2:$AW$2)/10^9),0)</f>
        <v>-0.77646609578396797</v>
      </c>
      <c r="BF1267" s="105">
        <f>IF($AY$1110&gt;0,IPMT('Assumptions (Nuclear)'!$V$6,Model!AD1,'Assumptions (Nuclear)'!$V$9,'Assumptions (Nuclear)'!$V$4*Model!$AY$1110*AVERAGE('Assumptions (Nuclear)'!$AR$2:$AW$2)/10^9),0)</f>
        <v>-0.70532003627991624</v>
      </c>
      <c r="BG1267" s="105">
        <f>IF($AY$1110&gt;0,IPMT('Assumptions (Nuclear)'!$V$6,Model!AE1,'Assumptions (Nuclear)'!$V$9,'Assumptions (Nuclear)'!$V$4*Model!$AY$1110*AVERAGE('Assumptions (Nuclear)'!$AR$2:$AW$2)/10^9),0)</f>
        <v>-0.63079453894942217</v>
      </c>
      <c r="BH1267" s="105">
        <f>IF($AY$1110&gt;0,IPMT('Assumptions (Nuclear)'!$V$6,Model!AF1,'Assumptions (Nuclear)'!$V$9,'Assumptions (Nuclear)'!$V$4*Model!$AY$1110*AVERAGE('Assumptions (Nuclear)'!$AR$2:$AW$2)/10^9),0)</f>
        <v>-0.55272908049572944</v>
      </c>
      <c r="BI1267" s="105">
        <f>IF($AY$1110&gt;0,IPMT('Assumptions (Nuclear)'!$V$6,Model!AG1,'Assumptions (Nuclear)'!$V$9,'Assumptions (Nuclear)'!$V$4*Model!$AY$1110*AVERAGE('Assumptions (Nuclear)'!$AR$2:$AW$2)/10^9),0)</f>
        <v>-0.4709555127654862</v>
      </c>
      <c r="BJ1267" s="105">
        <f>IF($AY$1110&gt;0,IPMT('Assumptions (Nuclear)'!$V$6,Model!AH1,'Assumptions (Nuclear)'!$V$9,'Assumptions (Nuclear)'!$V$4*Model!$AY$1110*AVERAGE('Assumptions (Nuclear)'!$AR$2:$AW$2)/10^9),0)</f>
        <v>-0.38529770056805657</v>
      </c>
      <c r="BK1267" s="105">
        <f>IF($AY$1110&gt;0,IPMT('Assumptions (Nuclear)'!$V$6,Model!AI1,'Assumptions (Nuclear)'!$V$9,'Assumptions (Nuclear)'!$V$4*Model!$AY$1110*AVERAGE('Assumptions (Nuclear)'!$AR$2:$AW$2)/10^9),0)</f>
        <v>-0.29557114229124892</v>
      </c>
      <c r="BL1267" s="105">
        <f>IF($AY$1110&gt;0,IPMT('Assumptions (Nuclear)'!$V$6,Model!AJ1,'Assumptions (Nuclear)'!$V$9,'Assumptions (Nuclear)'!$V$4*Model!$AY$1110*AVERAGE('Assumptions (Nuclear)'!$AR$2:$AW$2)/10^9),0)</f>
        <v>-0.20158257249629299</v>
      </c>
      <c r="BM1267" s="105">
        <f>IF($AY$1110&gt;0,IPMT('Assumptions (Nuclear)'!$V$6,Model!AK1,'Assumptions (Nuclear)'!$V$9,'Assumptions (Nuclear)'!$V$4*Model!$AY$1110*AVERAGE('Assumptions (Nuclear)'!$AR$2:$AW$2)/10^9),0)</f>
        <v>-0.10312954563607664</v>
      </c>
      <c r="BN1267" s="105"/>
      <c r="BO1267" s="105"/>
      <c r="BP1267" s="105"/>
      <c r="BQ1267" s="105"/>
      <c r="BR1267" s="105"/>
      <c r="BS1267" s="105"/>
      <c r="BT1267" s="105"/>
      <c r="BU1267" s="105"/>
      <c r="BV1267" s="105"/>
      <c r="BW1267" s="105"/>
    </row>
    <row r="1268" spans="1:77" ht="15.75" hidden="1" customHeight="1" outlineLevel="1">
      <c r="A1268" s="407"/>
      <c r="B1268" s="99"/>
      <c r="C1268" s="99"/>
      <c r="D1268" s="99"/>
      <c r="E1268" s="99"/>
      <c r="F1268" s="99"/>
      <c r="G1268" s="99"/>
      <c r="H1268" s="99"/>
      <c r="I1268" s="99"/>
      <c r="J1268" s="99"/>
      <c r="K1268" s="99"/>
      <c r="L1268" s="99"/>
      <c r="M1268" s="99"/>
      <c r="N1268" s="99"/>
      <c r="O1268" s="99"/>
      <c r="P1268" s="99"/>
      <c r="Q1268" s="99"/>
      <c r="R1268" s="99"/>
      <c r="S1268" s="99"/>
      <c r="T1268" s="99"/>
      <c r="U1268" s="99"/>
      <c r="V1268" s="99"/>
      <c r="W1268" s="105"/>
      <c r="X1268" s="105"/>
      <c r="Y1268" s="105"/>
      <c r="Z1268" s="105"/>
      <c r="AA1268" s="105"/>
      <c r="AB1268" s="105"/>
      <c r="AC1268" s="105"/>
      <c r="AD1268" s="105"/>
      <c r="AE1268" s="105"/>
      <c r="AF1268" s="105"/>
      <c r="AG1268" s="105"/>
      <c r="AH1268" s="105"/>
      <c r="AI1268" s="105"/>
      <c r="AJ1268" s="171"/>
      <c r="AK1268" s="105"/>
      <c r="AL1268" s="91"/>
      <c r="AM1268" s="91"/>
      <c r="AN1268" s="91"/>
      <c r="AO1268" s="105"/>
      <c r="AP1268" s="105"/>
      <c r="AQ1268" s="105"/>
      <c r="AR1268" s="105"/>
      <c r="AS1268" s="105"/>
      <c r="AT1268" s="105"/>
      <c r="AU1268" s="105"/>
      <c r="AV1268" s="105"/>
      <c r="AW1268" s="105"/>
      <c r="AX1268" s="105"/>
      <c r="AY1268" s="105"/>
      <c r="AZ1268" s="105">
        <f>IF($AZ$1110&gt;0,IPMT('Assumptions (Nuclear)'!$V$6,Model!W1,'Assumptions (Nuclear)'!$V$9,'Assumptions (Nuclear)'!$V$4*Model!$AZ$1110*AVERAGE('Assumptions (Nuclear)'!$AS$2:$AX$2)/10^9),0)</f>
        <v>-0.85195240034225483</v>
      </c>
      <c r="BA1268" s="105">
        <f>IF($AZ$1110&gt;0,IPMT('Assumptions (Nuclear)'!$V$6,Model!X1,'Assumptions (Nuclear)'!$V$9,'Assumptions (Nuclear)'!$V$4*Model!$AZ$1110*AVERAGE('Assumptions (Nuclear)'!$AS$2:$AX$2)/10^9),0)</f>
        <v>-0.81172224153403016</v>
      </c>
      <c r="BB1268" s="105">
        <f>IF($AZ$1110&gt;0,IPMT('Assumptions (Nuclear)'!$V$6,Model!Y1,'Assumptions (Nuclear)'!$V$9,'Assumptions (Nuclear)'!$V$4*Model!$AZ$1110*AVERAGE('Assumptions (Nuclear)'!$AS$2:$AX$2)/10^9),0)</f>
        <v>-0.76958115018241491</v>
      </c>
      <c r="BC1268" s="105">
        <f>IF($AZ$1110&gt;0,IPMT('Assumptions (Nuclear)'!$V$6,Model!Z1,'Assumptions (Nuclear)'!$V$9,'Assumptions (Nuclear)'!$V$4*Model!$AZ$1110*AVERAGE('Assumptions (Nuclear)'!$AS$2:$AX$2)/10^9),0)</f>
        <v>-0.7254383569915982</v>
      </c>
      <c r="BD1268" s="105">
        <f>IF($AZ$1110&gt;0,IPMT('Assumptions (Nuclear)'!$V$6,Model!AA1,'Assumptions (Nuclear)'!$V$9,'Assumptions (Nuclear)'!$V$4*Model!$AZ$1110*AVERAGE('Assumptions (Nuclear)'!$AS$2:$AX$2)/10^9),0)</f>
        <v>-0.6791987811242175</v>
      </c>
      <c r="BE1268" s="105">
        <f>IF($AZ$1110&gt;0,IPMT('Assumptions (Nuclear)'!$V$6,Model!AB1,'Assumptions (Nuclear)'!$V$9,'Assumptions (Nuclear)'!$V$4*Model!$AZ$1110*AVERAGE('Assumptions (Nuclear)'!$AS$2:$AX$2)/10^9),0)</f>
        <v>-0.63076282540313633</v>
      </c>
      <c r="BF1268" s="105">
        <f>IF($AZ$1110&gt;0,IPMT('Assumptions (Nuclear)'!$V$6,Model!AC1,'Assumptions (Nuclear)'!$V$9,'Assumptions (Nuclear)'!$V$4*Model!$AZ$1110*AVERAGE('Assumptions (Nuclear)'!$AS$2:$AX$2)/10^9),0)</f>
        <v>-0.58002616178530375</v>
      </c>
      <c r="BG1268" s="105">
        <f>IF($AZ$1110&gt;0,IPMT('Assumptions (Nuclear)'!$V$6,Model!AD1,'Assumptions (Nuclear)'!$V$9,'Assumptions (Nuclear)'!$V$4*Model!$AZ$1110*AVERAGE('Assumptions (Nuclear)'!$AS$2:$AX$2)/10^9),0)</f>
        <v>-0.52687950664562411</v>
      </c>
      <c r="BH1268" s="105">
        <f>IF($AZ$1110&gt;0,IPMT('Assumptions (Nuclear)'!$V$6,Model!AE1,'Assumptions (Nuclear)'!$V$9,'Assumptions (Nuclear)'!$V$4*Model!$AZ$1110*AVERAGE('Assumptions (Nuclear)'!$AS$2:$AX$2)/10^9),0)</f>
        <v>-0.47120838538680981</v>
      </c>
      <c r="BI1268" s="105">
        <f>IF($AZ$1110&gt;0,IPMT('Assumptions (Nuclear)'!$V$6,Model!AF1,'Assumptions (Nuclear)'!$V$9,'Assumptions (Nuclear)'!$V$4*Model!$AZ$1110*AVERAGE('Assumptions (Nuclear)'!$AS$2:$AX$2)/10^9),0)</f>
        <v>-0.41289288586820178</v>
      </c>
      <c r="BJ1268" s="105">
        <f>IF($AZ$1110&gt;0,IPMT('Assumptions (Nuclear)'!$V$6,Model!AG1,'Assumptions (Nuclear)'!$V$9,'Assumptions (Nuclear)'!$V$4*Model!$AZ$1110*AVERAGE('Assumptions (Nuclear)'!$AS$2:$AX$2)/10^9),0)</f>
        <v>-0.35180740012245976</v>
      </c>
      <c r="BK1268" s="105">
        <f>IF($AZ$1110&gt;0,IPMT('Assumptions (Nuclear)'!$V$6,Model!AH1,'Assumptions (Nuclear)'!$V$9,'Assumptions (Nuclear)'!$V$4*Model!$AZ$1110*AVERAGE('Assumptions (Nuclear)'!$AS$2:$AX$2)/10^9),0)</f>
        <v>-0.28782035380379506</v>
      </c>
      <c r="BL1268" s="105">
        <f>IF($AZ$1110&gt;0,IPMT('Assumptions (Nuclear)'!$V$6,Model!AI1,'Assumptions (Nuclear)'!$V$9,'Assumptions (Nuclear)'!$V$4*Model!$AZ$1110*AVERAGE('Assumptions (Nuclear)'!$AS$2:$AX$2)/10^9),0)</f>
        <v>-0.22079392278499374</v>
      </c>
      <c r="BM1268" s="105">
        <f>IF($AZ$1110&gt;0,IPMT('Assumptions (Nuclear)'!$V$6,Model!AJ1,'Assumptions (Nuclear)'!$V$9,'Assumptions (Nuclear)'!$V$4*Model!$AZ$1110*AVERAGE('Assumptions (Nuclear)'!$AS$2:$AX$2)/10^9),0)</f>
        <v>-0.15058373629279939</v>
      </c>
      <c r="BN1268" s="105">
        <f>IF($AZ$1110&gt;0,IPMT('Assumptions (Nuclear)'!$V$6,Model!AK1,'Assumptions (Nuclear)'!$V$9,'Assumptions (Nuclear)'!$V$4*Model!$AZ$1110*AVERAGE('Assumptions (Nuclear)'!$AS$2:$AX$2)/10^9),0)</f>
        <v>-7.7038565942225815E-2</v>
      </c>
      <c r="BO1268" s="105"/>
      <c r="BP1268" s="105"/>
      <c r="BQ1268" s="105"/>
      <c r="BR1268" s="105"/>
      <c r="BS1268" s="105"/>
      <c r="BT1268" s="105"/>
      <c r="BU1268" s="105"/>
      <c r="BV1268" s="105"/>
      <c r="BW1268" s="105"/>
      <c r="BX1268" s="105"/>
    </row>
    <row r="1269" spans="1:77" ht="15.75" hidden="1" customHeight="1" outlineLevel="1">
      <c r="A1269" s="407"/>
      <c r="B1269" s="99"/>
      <c r="C1269" s="99"/>
      <c r="D1269" s="99"/>
      <c r="E1269" s="99"/>
      <c r="F1269" s="99"/>
      <c r="G1269" s="99"/>
      <c r="H1269" s="99"/>
      <c r="I1269" s="99"/>
      <c r="J1269" s="99"/>
      <c r="K1269" s="99"/>
      <c r="L1269" s="99"/>
      <c r="M1269" s="99"/>
      <c r="N1269" s="99"/>
      <c r="O1269" s="99"/>
      <c r="P1269" s="99"/>
      <c r="Q1269" s="99"/>
      <c r="R1269" s="99"/>
      <c r="S1269" s="99"/>
      <c r="T1269" s="99"/>
      <c r="U1269" s="99"/>
      <c r="V1269" s="99"/>
      <c r="W1269" s="105"/>
      <c r="X1269" s="105"/>
      <c r="Y1269" s="105"/>
      <c r="Z1269" s="105"/>
      <c r="AA1269" s="105"/>
      <c r="AB1269" s="105"/>
      <c r="AC1269" s="105"/>
      <c r="AD1269" s="105"/>
      <c r="AE1269" s="105"/>
      <c r="AF1269" s="105"/>
      <c r="AG1269" s="105"/>
      <c r="AH1269" s="105"/>
      <c r="AI1269" s="105"/>
      <c r="AJ1269" s="171"/>
      <c r="AK1269" s="105"/>
      <c r="AL1269" s="91"/>
      <c r="AM1269" s="91"/>
      <c r="AN1269" s="91"/>
      <c r="AO1269" s="105"/>
      <c r="AP1269" s="105"/>
      <c r="AQ1269" s="105"/>
      <c r="AR1269" s="105"/>
      <c r="AS1269" s="105"/>
      <c r="AT1269" s="105"/>
      <c r="AU1269" s="105"/>
      <c r="AV1269" s="105"/>
      <c r="AW1269" s="105"/>
      <c r="AX1269" s="105"/>
      <c r="AY1269" s="105"/>
      <c r="AZ1269" s="105"/>
      <c r="BA1269" s="105">
        <f>IF($BA$1110&gt;0,IPMT('Assumptions (Nuclear)'!$V$6,Model!W1,'Assumptions (Nuclear)'!$V$9,'Assumptions (Nuclear)'!$V$4*Model!$BA$1110*AVERAGE('Assumptions (Nuclear)'!$AT$2:$AY$2)/10^9),0)</f>
        <v>-0.55568074001862733</v>
      </c>
      <c r="BB1269" s="105">
        <f>IF($BA$1110&gt;0,IPMT('Assumptions (Nuclear)'!$V$6,Model!X1,'Assumptions (Nuclear)'!$V$9,'Assumptions (Nuclear)'!$V$4*Model!$BA$1110*AVERAGE('Assumptions (Nuclear)'!$AT$2:$AY$2)/10^9),0)</f>
        <v>-0.52944086510467636</v>
      </c>
      <c r="BC1269" s="105">
        <f>IF($BA$1110&gt;0,IPMT('Assumptions (Nuclear)'!$V$6,Model!Y1,'Assumptions (Nuclear)'!$V$9,'Assumptions (Nuclear)'!$V$4*Model!$BA$1110*AVERAGE('Assumptions (Nuclear)'!$AT$2:$AY$2)/10^9),0)</f>
        <v>-0.50195459613231252</v>
      </c>
      <c r="BD1269" s="105">
        <f>IF($BA$1110&gt;0,IPMT('Assumptions (Nuclear)'!$V$6,Model!Z1,'Assumptions (Nuclear)'!$V$9,'Assumptions (Nuclear)'!$V$4*Model!$BA$1110*AVERAGE('Assumptions (Nuclear)'!$AT$2:$AY$2)/10^9),0)</f>
        <v>-0.47316272938376169</v>
      </c>
      <c r="BE1269" s="105">
        <f>IF($BA$1110&gt;0,IPMT('Assumptions (Nuclear)'!$V$6,Model!AA1,'Assumptions (Nuclear)'!$V$9,'Assumptions (Nuclear)'!$V$4*Model!$BA$1110*AVERAGE('Assumptions (Nuclear)'!$AT$2:$AY$2)/10^9),0)</f>
        <v>-0.44300324896465459</v>
      </c>
      <c r="BF1269" s="105">
        <f>IF($BA$1110&gt;0,IPMT('Assumptions (Nuclear)'!$V$6,Model!AB1,'Assumptions (Nuclear)'!$V$9,'Assumptions (Nuclear)'!$V$4*Model!$BA$1110*AVERAGE('Assumptions (Nuclear)'!$AT$2:$AY$2)/10^9),0)</f>
        <v>-0.41141119322563979</v>
      </c>
      <c r="BG1269" s="105">
        <f>IF($BA$1110&gt;0,IPMT('Assumptions (Nuclear)'!$V$6,Model!AC1,'Assumptions (Nuclear)'!$V$9,'Assumptions (Nuclear)'!$V$4*Model!$BA$1110*AVERAGE('Assumptions (Nuclear)'!$AT$2:$AY$2)/10^9),0)</f>
        <v>-0.37831851483902196</v>
      </c>
      <c r="BH1269" s="105">
        <f>IF($BA$1110&gt;0,IPMT('Assumptions (Nuclear)'!$V$6,Model!AD1,'Assumptions (Nuclear)'!$V$9,'Assumptions (Nuclear)'!$V$4*Model!$BA$1110*AVERAGE('Assumptions (Nuclear)'!$AT$2:$AY$2)/10^9),0)</f>
        <v>-0.34365393422903973</v>
      </c>
      <c r="BI1269" s="105">
        <f>IF($BA$1110&gt;0,IPMT('Assumptions (Nuclear)'!$V$6,Model!AE1,'Assumptions (Nuclear)'!$V$9,'Assumptions (Nuclear)'!$V$4*Model!$BA$1110*AVERAGE('Assumptions (Nuclear)'!$AT$2:$AY$2)/10^9),0)</f>
        <v>-0.30734278604008336</v>
      </c>
      <c r="BJ1269" s="105">
        <f>IF($BA$1110&gt;0,IPMT('Assumptions (Nuclear)'!$V$6,Model!AF1,'Assumptions (Nuclear)'!$V$9,'Assumptions (Nuclear)'!$V$4*Model!$BA$1110*AVERAGE('Assumptions (Nuclear)'!$AT$2:$AY$2)/10^9),0)</f>
        <v>-0.26930685831215151</v>
      </c>
      <c r="BK1269" s="105">
        <f>IF($BA$1110&gt;0,IPMT('Assumptions (Nuclear)'!$V$6,Model!AG1,'Assumptions (Nuclear)'!$V$9,'Assumptions (Nuclear)'!$V$4*Model!$BA$1110*AVERAGE('Assumptions (Nuclear)'!$AT$2:$AY$2)/10^9),0)</f>
        <v>-0.22946422401714292</v>
      </c>
      <c r="BL1269" s="105">
        <f>IF($BA$1110&gt;0,IPMT('Assumptions (Nuclear)'!$V$6,Model!AH1,'Assumptions (Nuclear)'!$V$9,'Assumptions (Nuclear)'!$V$4*Model!$BA$1110*AVERAGE('Assumptions (Nuclear)'!$AT$2:$AY$2)/10^9),0)</f>
        <v>-0.18772906459312144</v>
      </c>
      <c r="BM1269" s="105">
        <f>IF($BA$1110&gt;0,IPMT('Assumptions (Nuclear)'!$V$6,Model!AI1,'Assumptions (Nuclear)'!$V$9,'Assumptions (Nuclear)'!$V$4*Model!$BA$1110*AVERAGE('Assumptions (Nuclear)'!$AT$2:$AY$2)/10^9),0)</f>
        <v>-0.14401148509645889</v>
      </c>
      <c r="BN1269" s="105">
        <f>IF($BA$1110&gt;0,IPMT('Assumptions (Nuclear)'!$V$6,Model!AJ1,'Assumptions (Nuclear)'!$V$9,'Assumptions (Nuclear)'!$V$4*Model!$BA$1110*AVERAGE('Assumptions (Nuclear)'!$AT$2:$AY$2)/10^9),0)</f>
        <v>-9.8217320573704886E-2</v>
      </c>
      <c r="BO1269" s="105">
        <f>IF($BA$1110&gt;0,IPMT('Assumptions (Nuclear)'!$V$6,Model!AK1,'Assumptions (Nuclear)'!$V$9,'Assumptions (Nuclear)'!$V$4*Model!$BA$1110*AVERAGE('Assumptions (Nuclear)'!$AT$2:$AY$2)/10^9),0)</f>
        <v>-5.0247933236120076E-2</v>
      </c>
      <c r="BP1269" s="105"/>
      <c r="BQ1269" s="105"/>
      <c r="BR1269" s="105"/>
      <c r="BS1269" s="105"/>
      <c r="BT1269" s="105"/>
      <c r="BU1269" s="105"/>
      <c r="BV1269" s="105"/>
      <c r="BW1269" s="105"/>
      <c r="BX1269" s="105"/>
      <c r="BY1269" s="105"/>
    </row>
    <row r="1270" spans="1:77" ht="15.75" customHeight="1" collapsed="1">
      <c r="A1270" s="408" t="s">
        <v>806</v>
      </c>
      <c r="B1270" s="99" t="s">
        <v>201</v>
      </c>
      <c r="C1270" s="105">
        <f t="shared" ref="C1270:BQ1270" si="30">SUM(C1271:C1321)</f>
        <v>0</v>
      </c>
      <c r="D1270" s="105">
        <f t="shared" si="30"/>
        <v>0</v>
      </c>
      <c r="E1270" s="105">
        <f t="shared" si="30"/>
        <v>0</v>
      </c>
      <c r="F1270" s="105">
        <f t="shared" si="30"/>
        <v>0</v>
      </c>
      <c r="G1270" s="105">
        <f t="shared" si="30"/>
        <v>0</v>
      </c>
      <c r="H1270" s="105">
        <f t="shared" si="30"/>
        <v>0</v>
      </c>
      <c r="I1270" s="105">
        <f t="shared" si="30"/>
        <v>0</v>
      </c>
      <c r="J1270" s="105">
        <f t="shared" si="30"/>
        <v>0</v>
      </c>
      <c r="K1270" s="105">
        <f t="shared" si="30"/>
        <v>0</v>
      </c>
      <c r="L1270" s="105">
        <f t="shared" si="30"/>
        <v>0</v>
      </c>
      <c r="M1270" s="105">
        <f t="shared" si="30"/>
        <v>0</v>
      </c>
      <c r="N1270" s="105">
        <f t="shared" si="30"/>
        <v>0</v>
      </c>
      <c r="O1270" s="105">
        <f t="shared" si="30"/>
        <v>0</v>
      </c>
      <c r="P1270" s="105">
        <f t="shared" si="30"/>
        <v>0</v>
      </c>
      <c r="Q1270" s="105">
        <f t="shared" si="30"/>
        <v>0</v>
      </c>
      <c r="R1270" s="105">
        <f t="shared" si="30"/>
        <v>0</v>
      </c>
      <c r="S1270" s="105">
        <f t="shared" si="30"/>
        <v>0.28769665390487076</v>
      </c>
      <c r="T1270" s="105">
        <f t="shared" si="30"/>
        <v>0.54662364241925443</v>
      </c>
      <c r="U1270" s="105">
        <f t="shared" si="30"/>
        <v>0.49196127817732904</v>
      </c>
      <c r="V1270" s="105">
        <f t="shared" si="30"/>
        <v>0.74237244573612859</v>
      </c>
      <c r="W1270" s="105">
        <f t="shared" si="30"/>
        <v>0.96745479988514327</v>
      </c>
      <c r="X1270" s="105">
        <f t="shared" si="30"/>
        <v>0.87030654458116219</v>
      </c>
      <c r="Y1270" s="105">
        <f t="shared" si="30"/>
        <v>0.80043423364059385</v>
      </c>
      <c r="Z1270" s="105">
        <f t="shared" si="30"/>
        <v>0.7543390154373093</v>
      </c>
      <c r="AA1270" s="105">
        <f t="shared" si="30"/>
        <v>0.71300966492395124</v>
      </c>
      <c r="AB1270" s="105">
        <f t="shared" si="30"/>
        <v>0.69267917810044799</v>
      </c>
      <c r="AC1270" s="105">
        <f t="shared" si="30"/>
        <v>0.69325457140825775</v>
      </c>
      <c r="AD1270" s="105">
        <f t="shared" si="30"/>
        <v>0.69327781729789328</v>
      </c>
      <c r="AE1270" s="105">
        <f t="shared" si="30"/>
        <v>0.69325457140825775</v>
      </c>
      <c r="AF1270" s="105">
        <f t="shared" si="30"/>
        <v>0.69327781729789328</v>
      </c>
      <c r="AG1270" s="105">
        <f t="shared" si="30"/>
        <v>0.69325457140825775</v>
      </c>
      <c r="AH1270" s="105">
        <f t="shared" si="30"/>
        <v>0.52353679149401955</v>
      </c>
      <c r="AI1270" s="105">
        <f t="shared" si="30"/>
        <v>0.35319712649270052</v>
      </c>
      <c r="AJ1270" s="105">
        <f t="shared" si="30"/>
        <v>0.35379576569014587</v>
      </c>
      <c r="AK1270" s="105">
        <f t="shared" si="30"/>
        <v>1.0459619938140747</v>
      </c>
      <c r="AL1270" s="105">
        <f t="shared" si="30"/>
        <v>1.7779622327885949</v>
      </c>
      <c r="AM1270" s="105">
        <f t="shared" si="30"/>
        <v>3.8388788191027987</v>
      </c>
      <c r="AN1270" s="105">
        <f t="shared" si="30"/>
        <v>6.7710684219601118</v>
      </c>
      <c r="AO1270" s="105">
        <f t="shared" si="30"/>
        <v>7.5421199932510072</v>
      </c>
      <c r="AP1270" s="105">
        <f t="shared" si="30"/>
        <v>8.1103445193149764</v>
      </c>
      <c r="AQ1270" s="105">
        <f t="shared" si="30"/>
        <v>8.4274566688192749</v>
      </c>
      <c r="AR1270" s="105">
        <f t="shared" si="30"/>
        <v>7.6919773569088212</v>
      </c>
      <c r="AS1270" s="105">
        <f t="shared" si="30"/>
        <v>7.1651788454227319</v>
      </c>
      <c r="AT1270" s="105">
        <f t="shared" si="30"/>
        <v>7.4022893891917745</v>
      </c>
      <c r="AU1270" s="105">
        <f t="shared" si="30"/>
        <v>7.7073917773555083</v>
      </c>
      <c r="AV1270" s="105">
        <f t="shared" si="30"/>
        <v>7.5346275562623948</v>
      </c>
      <c r="AW1270" s="105">
        <f t="shared" si="30"/>
        <v>9.1217870989154122</v>
      </c>
      <c r="AX1270" s="105">
        <f t="shared" si="30"/>
        <v>13.066489863305321</v>
      </c>
      <c r="AY1270" s="105">
        <f t="shared" si="30"/>
        <v>17.948970514321598</v>
      </c>
      <c r="AZ1270" s="105">
        <f t="shared" si="30"/>
        <v>21.580049932462678</v>
      </c>
      <c r="BA1270" s="105">
        <f t="shared" si="30"/>
        <v>23.216333188180158</v>
      </c>
      <c r="BB1270" s="105">
        <f t="shared" si="30"/>
        <v>21.653898937514132</v>
      </c>
      <c r="BC1270" s="105">
        <f t="shared" si="30"/>
        <v>18.108276882571971</v>
      </c>
      <c r="BD1270" s="105">
        <f t="shared" si="30"/>
        <v>16.076155957472018</v>
      </c>
      <c r="BE1270" s="105">
        <f t="shared" si="30"/>
        <v>14.559442441603402</v>
      </c>
      <c r="BF1270" s="105">
        <f t="shared" si="30"/>
        <v>13.574540434538909</v>
      </c>
      <c r="BG1270" s="105">
        <f t="shared" si="30"/>
        <v>13.481293101714481</v>
      </c>
      <c r="BH1270" s="105">
        <f t="shared" si="30"/>
        <v>13.482511423905896</v>
      </c>
      <c r="BI1270" s="105">
        <f t="shared" si="30"/>
        <v>13.17856518908944</v>
      </c>
      <c r="BJ1270" s="105">
        <f t="shared" si="30"/>
        <v>12.87017021737571</v>
      </c>
      <c r="BK1270" s="105">
        <f t="shared" si="30"/>
        <v>12.872912640990616</v>
      </c>
      <c r="BL1270" s="105">
        <f t="shared" si="30"/>
        <v>11.884025302613164</v>
      </c>
      <c r="BM1270" s="105">
        <f t="shared" si="30"/>
        <v>9.4093949861929556</v>
      </c>
      <c r="BN1270" s="105">
        <f t="shared" si="30"/>
        <v>6.1463110391514277</v>
      </c>
      <c r="BO1270" s="105">
        <f t="shared" si="30"/>
        <v>3.051227765536705</v>
      </c>
      <c r="BP1270" s="105">
        <f t="shared" si="30"/>
        <v>0.86276746476576338</v>
      </c>
      <c r="BQ1270" s="105">
        <f t="shared" si="30"/>
        <v>0</v>
      </c>
    </row>
    <row r="1271" spans="1:77" ht="15.75" hidden="1" customHeight="1" outlineLevel="1">
      <c r="A1271" s="407"/>
      <c r="B1271" s="99"/>
      <c r="C1271" s="91">
        <f>IF($C$1110&gt;0,'Assumptions (Nuclear)'!V$10*Model!$C$1110*'Assumptions (Nuclear)'!$B$2/10^9,0)</f>
        <v>0</v>
      </c>
      <c r="D1271" s="91">
        <f>IF($C$1110&gt;0,'Assumptions (Nuclear)'!W$10*Model!$C$1110*'Assumptions (Nuclear)'!$B$2/10^9,0)</f>
        <v>0</v>
      </c>
      <c r="E1271" s="91">
        <f>IF($C$1110&gt;0,'Assumptions (Nuclear)'!X$10*Model!$C$1110*'Assumptions (Nuclear)'!$B$2/10^9,0)</f>
        <v>0</v>
      </c>
      <c r="F1271" s="91">
        <f>IF($C$1110&gt;0,'Assumptions (Nuclear)'!Y$10*Model!$C$1110*'Assumptions (Nuclear)'!$B$2/10^9,0)</f>
        <v>0</v>
      </c>
      <c r="G1271" s="91">
        <f>IF($C$1110&gt;0,'Assumptions (Nuclear)'!Z$10*Model!$C$1110*'Assumptions (Nuclear)'!$B$2/10^9,0)</f>
        <v>0</v>
      </c>
      <c r="H1271" s="91">
        <f>IF($C$1110&gt;0,'Assumptions (Nuclear)'!AA$10*Model!$C$1110*'Assumptions (Nuclear)'!$B$2/10^9,0)</f>
        <v>0</v>
      </c>
      <c r="I1271" s="91">
        <f>IF($C$1110&gt;0,'Assumptions (Nuclear)'!AB$10*Model!$C$1110*'Assumptions (Nuclear)'!$B$2/10^9,0)</f>
        <v>0</v>
      </c>
      <c r="J1271" s="91">
        <f>IF($C$1110&gt;0,'Assumptions (Nuclear)'!AC$10*Model!$C$1110*'Assumptions (Nuclear)'!$B$2/10^9,0)</f>
        <v>0</v>
      </c>
      <c r="K1271" s="91">
        <f>IF($C$1110&gt;0,'Assumptions (Nuclear)'!AD$10*Model!$C$1110*'Assumptions (Nuclear)'!$B$2/10^9,0)</f>
        <v>0</v>
      </c>
      <c r="L1271" s="91">
        <f>IF($C$1110&gt;0,'Assumptions (Nuclear)'!AE$10*Model!$C$1110*'Assumptions (Nuclear)'!$B$2/10^9,0)</f>
        <v>0</v>
      </c>
      <c r="M1271" s="91">
        <f>IF($C$1110&gt;0,'Assumptions (Nuclear)'!AF$10*Model!$C$1110*'Assumptions (Nuclear)'!$B$2/10^9,0)</f>
        <v>0</v>
      </c>
      <c r="N1271" s="91">
        <f>IF($C$1110&gt;0,'Assumptions (Nuclear)'!AG$10*Model!$C$1110*'Assumptions (Nuclear)'!$B$2/10^9,0)</f>
        <v>0</v>
      </c>
      <c r="O1271" s="91">
        <f>IF($C$1110&gt;0,'Assumptions (Nuclear)'!AH$10*Model!$C$1110*'Assumptions (Nuclear)'!$B$2/10^9,0)</f>
        <v>0</v>
      </c>
      <c r="P1271" s="91">
        <f>IF($C$1110&gt;0,'Assumptions (Nuclear)'!AI$10*Model!$C$1110*'Assumptions (Nuclear)'!$B$2/10^9,0)</f>
        <v>0</v>
      </c>
      <c r="Q1271" s="91">
        <f>IF($C$1110&gt;0,'Assumptions (Nuclear)'!AJ$10*Model!$C$1110*'Assumptions (Nuclear)'!$B$2/10^9,0)</f>
        <v>0</v>
      </c>
      <c r="R1271" s="91">
        <f>IF($C$1110&gt;0,'Assumptions (Nuclear)'!AK$10*Model!$C$1110*'Assumptions (Nuclear)'!$B$2/10^9,0)</f>
        <v>0</v>
      </c>
      <c r="S1271" s="91"/>
      <c r="T1271" s="91"/>
      <c r="U1271" s="91"/>
      <c r="V1271" s="91"/>
      <c r="W1271" s="91"/>
      <c r="X1271" s="105"/>
      <c r="Y1271" s="105"/>
      <c r="Z1271" s="105"/>
      <c r="AA1271" s="105"/>
      <c r="AB1271" s="105"/>
      <c r="AC1271" s="105"/>
      <c r="AD1271" s="105"/>
      <c r="AE1271" s="105"/>
      <c r="AF1271" s="105"/>
      <c r="AG1271" s="105"/>
      <c r="AQ1271" s="147"/>
      <c r="AR1271" s="147"/>
      <c r="AS1271" s="147"/>
      <c r="AT1271" s="147"/>
      <c r="AU1271" s="147"/>
      <c r="AV1271" s="147"/>
      <c r="AW1271" s="147"/>
      <c r="AX1271" s="147"/>
      <c r="AY1271" s="147"/>
      <c r="AZ1271" s="147"/>
      <c r="BA1271" s="147"/>
    </row>
    <row r="1272" spans="1:77" ht="15.75" hidden="1" customHeight="1" outlineLevel="1">
      <c r="A1272" s="407"/>
      <c r="B1272" s="99"/>
      <c r="C1272" s="105"/>
      <c r="D1272" s="105">
        <f>IF($D$1110&gt;0,'Assumptions (Nuclear)'!V$10*Model!$D$1110*'Assumptions (Nuclear)'!$B$2/10^9,0)</f>
        <v>0</v>
      </c>
      <c r="E1272" s="105">
        <f>IF($D$1110&gt;0,'Assumptions (Nuclear)'!W$10*Model!$D$1110*'Assumptions (Nuclear)'!$B$2/10^9,0)</f>
        <v>0</v>
      </c>
      <c r="F1272" s="105">
        <f>IF($D$1110&gt;0,'Assumptions (Nuclear)'!X$10*Model!$D$1110*'Assumptions (Nuclear)'!$B$2/10^9,0)</f>
        <v>0</v>
      </c>
      <c r="G1272" s="105">
        <f>IF($D$1110&gt;0,'Assumptions (Nuclear)'!Y$10*Model!$D$1110*'Assumptions (Nuclear)'!$B$2/10^9,0)</f>
        <v>0</v>
      </c>
      <c r="H1272" s="105">
        <f>IF($D$1110&gt;0,'Assumptions (Nuclear)'!Z$10*Model!$D$1110*'Assumptions (Nuclear)'!$B$2/10^9,0)</f>
        <v>0</v>
      </c>
      <c r="I1272" s="105">
        <f>IF($D$1110&gt;0,'Assumptions (Nuclear)'!AA$10*Model!$D$1110*'Assumptions (Nuclear)'!$B$2/10^9,0)</f>
        <v>0</v>
      </c>
      <c r="J1272" s="105">
        <f>IF($D$1110&gt;0,'Assumptions (Nuclear)'!AB$10*Model!$D$1110*'Assumptions (Nuclear)'!$B$2/10^9,0)</f>
        <v>0</v>
      </c>
      <c r="K1272" s="105">
        <f>IF($D$1110&gt;0,'Assumptions (Nuclear)'!AC$10*Model!$D$1110*'Assumptions (Nuclear)'!$B$2/10^9,0)</f>
        <v>0</v>
      </c>
      <c r="L1272" s="105">
        <f>IF($D$1110&gt;0,'Assumptions (Nuclear)'!AD$10*Model!$D$1110*'Assumptions (Nuclear)'!$B$2/10^9,0)</f>
        <v>0</v>
      </c>
      <c r="M1272" s="105">
        <f>IF($D$1110&gt;0,'Assumptions (Nuclear)'!AE$10*Model!$D$1110*'Assumptions (Nuclear)'!$B$2/10^9,0)</f>
        <v>0</v>
      </c>
      <c r="N1272" s="105">
        <f>IF($D$1110&gt;0,'Assumptions (Nuclear)'!AF$10*Model!$D$1110*'Assumptions (Nuclear)'!$B$2/10^9,0)</f>
        <v>0</v>
      </c>
      <c r="O1272" s="105">
        <f>IF($D$1110&gt;0,'Assumptions (Nuclear)'!AG$10*Model!$D$1110*'Assumptions (Nuclear)'!$B$2/10^9,0)</f>
        <v>0</v>
      </c>
      <c r="P1272" s="105">
        <f>IF($D$1110&gt;0,'Assumptions (Nuclear)'!AH$10*Model!$D$1110*'Assumptions (Nuclear)'!$B$2/10^9,0)</f>
        <v>0</v>
      </c>
      <c r="Q1272" s="105">
        <f>IF($D$1110&gt;0,'Assumptions (Nuclear)'!AI$10*Model!$D$1110*'Assumptions (Nuclear)'!$B$2/10^9,0)</f>
        <v>0</v>
      </c>
      <c r="R1272" s="105">
        <f>IF($D$1110&gt;0,'Assumptions (Nuclear)'!AJ$10*Model!$D$1110*'Assumptions (Nuclear)'!$B$2/10^9,0)</f>
        <v>0</v>
      </c>
      <c r="S1272" s="105">
        <f>IF($D$1110&gt;0,'Assumptions (Nuclear)'!AK$10*Model!$D$1110*'Assumptions (Nuclear)'!$B$2/10^9,0)</f>
        <v>0</v>
      </c>
      <c r="T1272" s="105"/>
      <c r="U1272" s="105"/>
      <c r="V1272" s="105"/>
      <c r="W1272" s="105"/>
      <c r="X1272" s="105"/>
      <c r="Y1272" s="105"/>
      <c r="Z1272" s="105"/>
      <c r="AA1272" s="105"/>
      <c r="AB1272" s="105"/>
      <c r="AC1272" s="105"/>
      <c r="AD1272" s="105"/>
      <c r="AE1272" s="105"/>
      <c r="AF1272" s="105"/>
      <c r="AG1272" s="105"/>
      <c r="AQ1272" s="147"/>
      <c r="AR1272" s="147"/>
      <c r="AS1272" s="147"/>
      <c r="AT1272" s="147"/>
      <c r="AU1272" s="147"/>
      <c r="AV1272" s="147"/>
      <c r="AW1272" s="147"/>
      <c r="AX1272" s="147"/>
      <c r="AY1272" s="147"/>
      <c r="AZ1272" s="147"/>
      <c r="BA1272" s="147"/>
    </row>
    <row r="1273" spans="1:77" ht="15.75" hidden="1" customHeight="1" outlineLevel="1">
      <c r="A1273" s="407"/>
      <c r="B1273" s="99"/>
      <c r="C1273" s="105"/>
      <c r="D1273" s="105"/>
      <c r="E1273" s="105">
        <f>IF($E$1110&gt;0,'Assumptions (Nuclear)'!V$10*Model!$E$1110*AVERAGE('Assumptions (Nuclear)'!$B$2:$C$2)/10^9,0)</f>
        <v>0</v>
      </c>
      <c r="F1273" s="105">
        <f>IF($E$1110&gt;0,'Assumptions (Nuclear)'!W$10*Model!$E$1110*AVERAGE('Assumptions (Nuclear)'!$B$2:$C$2)/10^9,0)</f>
        <v>0</v>
      </c>
      <c r="G1273" s="105">
        <f>IF($E$1110&gt;0,'Assumptions (Nuclear)'!X$10*Model!$E$1110*AVERAGE('Assumptions (Nuclear)'!$B$2:$C$2)/10^9,0)</f>
        <v>0</v>
      </c>
      <c r="H1273" s="105">
        <f>IF($E$1110&gt;0,'Assumptions (Nuclear)'!Y$10*Model!$E$1110*AVERAGE('Assumptions (Nuclear)'!$B$2:$C$2)/10^9,0)</f>
        <v>0</v>
      </c>
      <c r="I1273" s="105">
        <f>IF($E$1110&gt;0,'Assumptions (Nuclear)'!Z$10*Model!$E$1110*AVERAGE('Assumptions (Nuclear)'!$B$2:$C$2)/10^9,0)</f>
        <v>0</v>
      </c>
      <c r="J1273" s="105">
        <f>IF($E$1110&gt;0,'Assumptions (Nuclear)'!AA$10*Model!$E$1110*AVERAGE('Assumptions (Nuclear)'!$B$2:$C$2)/10^9,0)</f>
        <v>0</v>
      </c>
      <c r="K1273" s="105">
        <f>IF($E$1110&gt;0,'Assumptions (Nuclear)'!AB$10*Model!$E$1110*AVERAGE('Assumptions (Nuclear)'!$B$2:$C$2)/10^9,0)</f>
        <v>0</v>
      </c>
      <c r="L1273" s="105">
        <f>IF($E$1110&gt;0,'Assumptions (Nuclear)'!AC$10*Model!$E$1110*AVERAGE('Assumptions (Nuclear)'!$B$2:$C$2)/10^9,0)</f>
        <v>0</v>
      </c>
      <c r="M1273" s="105">
        <f>IF($E$1110&gt;0,'Assumptions (Nuclear)'!AD$10*Model!$E$1110*AVERAGE('Assumptions (Nuclear)'!$B$2:$C$2)/10^9,0)</f>
        <v>0</v>
      </c>
      <c r="N1273" s="105">
        <f>IF($E$1110&gt;0,'Assumptions (Nuclear)'!AE$10*Model!$E$1110*AVERAGE('Assumptions (Nuclear)'!$B$2:$C$2)/10^9,0)</f>
        <v>0</v>
      </c>
      <c r="O1273" s="105">
        <f>IF($E$1110&gt;0,'Assumptions (Nuclear)'!AF$10*Model!$E$1110*AVERAGE('Assumptions (Nuclear)'!$B$2:$C$2)/10^9,0)</f>
        <v>0</v>
      </c>
      <c r="P1273" s="105">
        <f>IF($E$1110&gt;0,'Assumptions (Nuclear)'!AG$10*Model!$E$1110*AVERAGE('Assumptions (Nuclear)'!$B$2:$C$2)/10^9,0)</f>
        <v>0</v>
      </c>
      <c r="Q1273" s="105">
        <f>IF($E$1110&gt;0,'Assumptions (Nuclear)'!AH$10*Model!$E$1110*AVERAGE('Assumptions (Nuclear)'!$B$2:$C$2)/10^9,0)</f>
        <v>0</v>
      </c>
      <c r="R1273" s="105">
        <f>IF($E$1110&gt;0,'Assumptions (Nuclear)'!AI$10*Model!$E$1110*AVERAGE('Assumptions (Nuclear)'!$B$2:$C$2)/10^9,0)</f>
        <v>0</v>
      </c>
      <c r="S1273" s="105">
        <f>IF($E$1110&gt;0,'Assumptions (Nuclear)'!AJ$10*Model!$E$1110*AVERAGE('Assumptions (Nuclear)'!$B$2:$C$2)/10^9,0)</f>
        <v>0</v>
      </c>
      <c r="T1273" s="105">
        <f>IF($E$1110&gt;0,'Assumptions (Nuclear)'!AK$10*Model!$E$1110*AVERAGE('Assumptions (Nuclear)'!$B$2:$C$2)/10^9,0)</f>
        <v>0</v>
      </c>
      <c r="U1273" s="105"/>
      <c r="V1273" s="105"/>
      <c r="W1273" s="105"/>
      <c r="X1273" s="105"/>
      <c r="Y1273" s="105"/>
      <c r="Z1273" s="105"/>
      <c r="AA1273" s="105"/>
      <c r="AB1273" s="105"/>
      <c r="AC1273" s="105"/>
      <c r="AD1273" s="105"/>
      <c r="AE1273" s="105"/>
      <c r="AF1273" s="105"/>
      <c r="AG1273" s="105"/>
      <c r="AQ1273" s="147"/>
      <c r="AR1273" s="147"/>
      <c r="AS1273" s="147"/>
      <c r="AT1273" s="147"/>
      <c r="AU1273" s="147"/>
      <c r="AV1273" s="147"/>
      <c r="AW1273" s="147"/>
      <c r="AX1273" s="147"/>
      <c r="AY1273" s="147"/>
      <c r="AZ1273" s="147"/>
      <c r="BA1273" s="147"/>
    </row>
    <row r="1274" spans="1:77" ht="15.75" hidden="1" customHeight="1" outlineLevel="1">
      <c r="A1274" s="407"/>
      <c r="B1274" s="99"/>
      <c r="C1274" s="105"/>
      <c r="D1274" s="105"/>
      <c r="E1274" s="105"/>
      <c r="F1274" s="105">
        <f>IF($F$1110&gt;0,'Assumptions (Nuclear)'!V$10*Model!$F$1110*AVERAGE('Assumptions (Nuclear)'!$B$2:$D$2)/10^9,0)</f>
        <v>0</v>
      </c>
      <c r="G1274" s="105">
        <f>IF($F$1110&gt;0,'Assumptions (Nuclear)'!W$10*Model!$F$1110*AVERAGE('Assumptions (Nuclear)'!$B$2:$D$2)/10^9,0)</f>
        <v>0</v>
      </c>
      <c r="H1274" s="105">
        <f>IF($F$1110&gt;0,'Assumptions (Nuclear)'!X$10*Model!$F$1110*AVERAGE('Assumptions (Nuclear)'!$B$2:$D$2)/10^9,0)</f>
        <v>0</v>
      </c>
      <c r="I1274" s="105">
        <f>IF($F$1110&gt;0,'Assumptions (Nuclear)'!Y$10*Model!$F$1110*AVERAGE('Assumptions (Nuclear)'!$B$2:$D$2)/10^9,0)</f>
        <v>0</v>
      </c>
      <c r="J1274" s="105">
        <f>IF($F$1110&gt;0,'Assumptions (Nuclear)'!Z$10*Model!$F$1110*AVERAGE('Assumptions (Nuclear)'!$B$2:$D$2)/10^9,0)</f>
        <v>0</v>
      </c>
      <c r="K1274" s="105">
        <f>IF($F$1110&gt;0,'Assumptions (Nuclear)'!AA$10*Model!$F$1110*AVERAGE('Assumptions (Nuclear)'!$B$2:$D$2)/10^9,0)</f>
        <v>0</v>
      </c>
      <c r="L1274" s="105">
        <f>IF($F$1110&gt;0,'Assumptions (Nuclear)'!AB$10*Model!$F$1110*AVERAGE('Assumptions (Nuclear)'!$B$2:$D$2)/10^9,0)</f>
        <v>0</v>
      </c>
      <c r="M1274" s="105">
        <f>IF($F$1110&gt;0,'Assumptions (Nuclear)'!AC$10*Model!$F$1110*AVERAGE('Assumptions (Nuclear)'!$B$2:$D$2)/10^9,0)</f>
        <v>0</v>
      </c>
      <c r="N1274" s="105">
        <f>IF($F$1110&gt;0,'Assumptions (Nuclear)'!AD$10*Model!$F$1110*AVERAGE('Assumptions (Nuclear)'!$B$2:$D$2)/10^9,0)</f>
        <v>0</v>
      </c>
      <c r="O1274" s="105">
        <f>IF($F$1110&gt;0,'Assumptions (Nuclear)'!AE$10*Model!$F$1110*AVERAGE('Assumptions (Nuclear)'!$B$2:$D$2)/10^9,0)</f>
        <v>0</v>
      </c>
      <c r="P1274" s="105">
        <f>IF($F$1110&gt;0,'Assumptions (Nuclear)'!AF$10*Model!$F$1110*AVERAGE('Assumptions (Nuclear)'!$B$2:$D$2)/10^9,0)</f>
        <v>0</v>
      </c>
      <c r="Q1274" s="105">
        <f>IF($F$1110&gt;0,'Assumptions (Nuclear)'!AG$10*Model!$F$1110*AVERAGE('Assumptions (Nuclear)'!$B$2:$D$2)/10^9,0)</f>
        <v>0</v>
      </c>
      <c r="R1274" s="105">
        <f>IF($F$1110&gt;0,'Assumptions (Nuclear)'!AH$10*Model!$F$1110*AVERAGE('Assumptions (Nuclear)'!$B$2:$D$2)/10^9,0)</f>
        <v>0</v>
      </c>
      <c r="S1274" s="105">
        <f>IF($F$1110&gt;0,'Assumptions (Nuclear)'!AI$10*Model!$F$1110*AVERAGE('Assumptions (Nuclear)'!$B$2:$D$2)/10^9,0)</f>
        <v>0</v>
      </c>
      <c r="T1274" s="105">
        <f>IF($F$1110&gt;0,'Assumptions (Nuclear)'!AJ$10*Model!$F$1110*AVERAGE('Assumptions (Nuclear)'!$B$2:$D$2)/10^9,0)</f>
        <v>0</v>
      </c>
      <c r="U1274" s="105">
        <f>IF($F$1110&gt;0,'Assumptions (Nuclear)'!AK$10*Model!$F$1110*AVERAGE('Assumptions (Nuclear)'!$B$2:$D$2)/10^9,0)</f>
        <v>0</v>
      </c>
      <c r="V1274" s="105"/>
      <c r="W1274" s="105"/>
      <c r="X1274" s="105"/>
      <c r="Y1274" s="105"/>
      <c r="Z1274" s="105"/>
      <c r="AA1274" s="105"/>
      <c r="AB1274" s="105"/>
      <c r="AC1274" s="105"/>
      <c r="AD1274" s="105"/>
      <c r="AE1274" s="105"/>
      <c r="AF1274" s="105"/>
      <c r="AG1274" s="105"/>
      <c r="AQ1274" s="147"/>
      <c r="AR1274" s="147"/>
      <c r="AS1274" s="147"/>
      <c r="AT1274" s="147"/>
      <c r="AU1274" s="147"/>
      <c r="AV1274" s="147"/>
      <c r="AW1274" s="147"/>
      <c r="AX1274" s="147"/>
      <c r="AY1274" s="147"/>
      <c r="AZ1274" s="147"/>
      <c r="BA1274" s="147"/>
    </row>
    <row r="1275" spans="1:77" ht="15.75" hidden="1" customHeight="1" outlineLevel="1">
      <c r="A1275" s="407"/>
      <c r="B1275" s="99"/>
      <c r="C1275" s="105"/>
      <c r="D1275" s="105"/>
      <c r="E1275" s="105"/>
      <c r="F1275" s="105"/>
      <c r="G1275" s="105">
        <f>IF($G$1110&gt;0,'Assumptions (Nuclear)'!V$10*Model!$G$1110*AVERAGE('Assumptions (Nuclear)'!$B$2:$E$2)/10^9,0)</f>
        <v>0</v>
      </c>
      <c r="H1275" s="105">
        <f>IF($G$1110&gt;0,'Assumptions (Nuclear)'!W$10*Model!$G$1110*AVERAGE('Assumptions (Nuclear)'!$B$2:$E$2)/10^9,0)</f>
        <v>0</v>
      </c>
      <c r="I1275" s="105">
        <f>IF($G$1110&gt;0,'Assumptions (Nuclear)'!X$10*Model!$G$1110*AVERAGE('Assumptions (Nuclear)'!$B$2:$E$2)/10^9,0)</f>
        <v>0</v>
      </c>
      <c r="J1275" s="105">
        <f>IF($G$1110&gt;0,'Assumptions (Nuclear)'!Y$10*Model!$G$1110*AVERAGE('Assumptions (Nuclear)'!$B$2:$E$2)/10^9,0)</f>
        <v>0</v>
      </c>
      <c r="K1275" s="105">
        <f>IF($G$1110&gt;0,'Assumptions (Nuclear)'!Z$10*Model!$G$1110*AVERAGE('Assumptions (Nuclear)'!$B$2:$E$2)/10^9,0)</f>
        <v>0</v>
      </c>
      <c r="L1275" s="105">
        <f>IF($G$1110&gt;0,'Assumptions (Nuclear)'!AA$10*Model!$G$1110*AVERAGE('Assumptions (Nuclear)'!$B$2:$E$2)/10^9,0)</f>
        <v>0</v>
      </c>
      <c r="M1275" s="105">
        <f>IF($G$1110&gt;0,'Assumptions (Nuclear)'!AB$10*Model!$G$1110*AVERAGE('Assumptions (Nuclear)'!$B$2:$E$2)/10^9,0)</f>
        <v>0</v>
      </c>
      <c r="N1275" s="105">
        <f>IF($G$1110&gt;0,'Assumptions (Nuclear)'!AC$10*Model!$G$1110*AVERAGE('Assumptions (Nuclear)'!$B$2:$E$2)/10^9,0)</f>
        <v>0</v>
      </c>
      <c r="O1275" s="105">
        <f>IF($G$1110&gt;0,'Assumptions (Nuclear)'!AD$10*Model!$G$1110*AVERAGE('Assumptions (Nuclear)'!$B$2:$E$2)/10^9,0)</f>
        <v>0</v>
      </c>
      <c r="P1275" s="105">
        <f>IF($G$1110&gt;0,'Assumptions (Nuclear)'!AE$10*Model!$G$1110*AVERAGE('Assumptions (Nuclear)'!$B$2:$E$2)/10^9,0)</f>
        <v>0</v>
      </c>
      <c r="Q1275" s="105">
        <f>IF($G$1110&gt;0,'Assumptions (Nuclear)'!AF$10*Model!$G$1110*AVERAGE('Assumptions (Nuclear)'!$B$2:$E$2)/10^9,0)</f>
        <v>0</v>
      </c>
      <c r="R1275" s="105">
        <f>IF($G$1110&gt;0,'Assumptions (Nuclear)'!AG$10*Model!$G$1110*AVERAGE('Assumptions (Nuclear)'!$B$2:$E$2)/10^9,0)</f>
        <v>0</v>
      </c>
      <c r="S1275" s="105">
        <f>IF($G$1110&gt;0,'Assumptions (Nuclear)'!AH$10*Model!$G$1110*AVERAGE('Assumptions (Nuclear)'!$B$2:$E$2)/10^9,0)</f>
        <v>0</v>
      </c>
      <c r="T1275" s="105">
        <f>IF($G$1110&gt;0,'Assumptions (Nuclear)'!AI$10*Model!$G$1110*AVERAGE('Assumptions (Nuclear)'!$B$2:$E$2)/10^9,0)</f>
        <v>0</v>
      </c>
      <c r="U1275" s="105">
        <f>IF($G$1110&gt;0,'Assumptions (Nuclear)'!AJ$10*Model!$G$1110*AVERAGE('Assumptions (Nuclear)'!$B$2:$E$2)/10^9,0)</f>
        <v>0</v>
      </c>
      <c r="V1275" s="105">
        <f>IF($G$1110&gt;0,'Assumptions (Nuclear)'!AK$10*Model!$G$1110*AVERAGE('Assumptions (Nuclear)'!$B$2:$E$2)/10^9,0)</f>
        <v>0</v>
      </c>
      <c r="W1275" s="105"/>
      <c r="X1275" s="105"/>
      <c r="Y1275" s="105"/>
      <c r="Z1275" s="105"/>
      <c r="AA1275" s="105"/>
      <c r="AB1275" s="105"/>
      <c r="AC1275" s="105"/>
      <c r="AD1275" s="105"/>
      <c r="AE1275" s="105"/>
      <c r="AF1275" s="105"/>
      <c r="AG1275" s="105"/>
      <c r="AQ1275" s="147"/>
      <c r="AR1275" s="147"/>
      <c r="AS1275" s="147"/>
      <c r="AT1275" s="147"/>
      <c r="AU1275" s="147"/>
      <c r="AV1275" s="147"/>
      <c r="AW1275" s="147"/>
      <c r="AX1275" s="147"/>
      <c r="AY1275" s="147"/>
      <c r="AZ1275" s="147"/>
      <c r="BA1275" s="147"/>
    </row>
    <row r="1276" spans="1:77" ht="15.75" hidden="1" customHeight="1" outlineLevel="1">
      <c r="A1276" s="407"/>
      <c r="B1276" s="99"/>
      <c r="C1276" s="105"/>
      <c r="D1276" s="105"/>
      <c r="E1276" s="105"/>
      <c r="F1276" s="105"/>
      <c r="G1276" s="105"/>
      <c r="H1276" s="105">
        <f>IF($H$1110&gt;0,'Assumptions (Nuclear)'!V$10*Model!$H$1110*AVERAGE('Assumptions (Nuclear)'!$B$2:$F$2)/10^9,0)</f>
        <v>0</v>
      </c>
      <c r="I1276" s="105">
        <f>IF($H$1110&gt;0,'Assumptions (Nuclear)'!W$10*Model!$H$1110*AVERAGE('Assumptions (Nuclear)'!$B$2:$F$2)/10^9,0)</f>
        <v>0</v>
      </c>
      <c r="J1276" s="105">
        <f>IF($H$1110&gt;0,'Assumptions (Nuclear)'!X$10*Model!$H$1110*AVERAGE('Assumptions (Nuclear)'!$B$2:$F$2)/10^9,0)</f>
        <v>0</v>
      </c>
      <c r="K1276" s="105">
        <f>IF($H$1110&gt;0,'Assumptions (Nuclear)'!Y$10*Model!$H$1110*AVERAGE('Assumptions (Nuclear)'!$B$2:$F$2)/10^9,0)</f>
        <v>0</v>
      </c>
      <c r="L1276" s="105">
        <f>IF($H$1110&gt;0,'Assumptions (Nuclear)'!Z$10*Model!$H$1110*AVERAGE('Assumptions (Nuclear)'!$B$2:$F$2)/10^9,0)</f>
        <v>0</v>
      </c>
      <c r="M1276" s="105">
        <f>IF($H$1110&gt;0,'Assumptions (Nuclear)'!AA$10*Model!$H$1110*AVERAGE('Assumptions (Nuclear)'!$B$2:$F$2)/10^9,0)</f>
        <v>0</v>
      </c>
      <c r="N1276" s="105">
        <f>IF($H$1110&gt;0,'Assumptions (Nuclear)'!AB$10*Model!$H$1110*AVERAGE('Assumptions (Nuclear)'!$B$2:$F$2)/10^9,0)</f>
        <v>0</v>
      </c>
      <c r="O1276" s="105">
        <f>IF($H$1110&gt;0,'Assumptions (Nuclear)'!AC$10*Model!$H$1110*AVERAGE('Assumptions (Nuclear)'!$B$2:$F$2)/10^9,0)</f>
        <v>0</v>
      </c>
      <c r="P1276" s="105">
        <f>IF($H$1110&gt;0,'Assumptions (Nuclear)'!AD$10*Model!$H$1110*AVERAGE('Assumptions (Nuclear)'!$B$2:$F$2)/10^9,0)</f>
        <v>0</v>
      </c>
      <c r="Q1276" s="105">
        <f>IF($H$1110&gt;0,'Assumptions (Nuclear)'!AE$10*Model!$H$1110*AVERAGE('Assumptions (Nuclear)'!$B$2:$F$2)/10^9,0)</f>
        <v>0</v>
      </c>
      <c r="R1276" s="105">
        <f>IF($H$1110&gt;0,'Assumptions (Nuclear)'!AF$10*Model!$H$1110*AVERAGE('Assumptions (Nuclear)'!$B$2:$F$2)/10^9,0)</f>
        <v>0</v>
      </c>
      <c r="S1276" s="105">
        <f>IF($H$1110&gt;0,'Assumptions (Nuclear)'!AG$10*Model!$H$1110*AVERAGE('Assumptions (Nuclear)'!$B$2:$F$2)/10^9,0)</f>
        <v>0</v>
      </c>
      <c r="T1276" s="105">
        <f>IF($H$1110&gt;0,'Assumptions (Nuclear)'!AH$10*Model!$H$1110*AVERAGE('Assumptions (Nuclear)'!$B$2:$F$2)/10^9,0)</f>
        <v>0</v>
      </c>
      <c r="U1276" s="105">
        <f>IF($H$1110&gt;0,'Assumptions (Nuclear)'!AI$10*Model!$H$1110*AVERAGE('Assumptions (Nuclear)'!$B$2:$F$2)/10^9,0)</f>
        <v>0</v>
      </c>
      <c r="V1276" s="105">
        <f>IF($H$1110&gt;0,'Assumptions (Nuclear)'!AJ$10*Model!$H$1110*AVERAGE('Assumptions (Nuclear)'!$B$2:$F$2)/10^9,0)</f>
        <v>0</v>
      </c>
      <c r="W1276" s="105">
        <f>IF($H$1110&gt;0,'Assumptions (Nuclear)'!AK$10*Model!$H$1110*AVERAGE('Assumptions (Nuclear)'!$B$2:$F$2)/10^9,0)</f>
        <v>0</v>
      </c>
      <c r="X1276" s="105"/>
      <c r="Y1276" s="105"/>
      <c r="Z1276" s="105"/>
      <c r="AA1276" s="105"/>
      <c r="AB1276" s="105"/>
      <c r="AC1276" s="105"/>
      <c r="AD1276" s="105"/>
      <c r="AE1276" s="105"/>
      <c r="AF1276" s="105"/>
      <c r="AG1276" s="105"/>
      <c r="AQ1276" s="147"/>
      <c r="AR1276" s="147"/>
      <c r="AS1276" s="147"/>
      <c r="AT1276" s="147"/>
      <c r="AU1276" s="147"/>
      <c r="AV1276" s="147"/>
      <c r="AW1276" s="147"/>
      <c r="AX1276" s="147"/>
      <c r="AY1276" s="147"/>
      <c r="AZ1276" s="147"/>
      <c r="BA1276" s="147"/>
    </row>
    <row r="1277" spans="1:77" ht="15.75" hidden="1" customHeight="1" outlineLevel="1">
      <c r="A1277" s="407"/>
      <c r="B1277" s="99"/>
      <c r="C1277" s="105"/>
      <c r="D1277" s="105"/>
      <c r="E1277" s="105"/>
      <c r="F1277" s="105"/>
      <c r="G1277" s="105"/>
      <c r="H1277" s="105"/>
      <c r="I1277" s="105">
        <f>IF($I$1110&gt;0,'Assumptions (Nuclear)'!V$10*Model!$I$1110*AVERAGE('Assumptions (Nuclear)'!$B$2:$G$2)/10^9,0)</f>
        <v>0</v>
      </c>
      <c r="J1277" s="105">
        <f>IF($I$1110&gt;0,'Assumptions (Nuclear)'!W$10*Model!$I$1110*AVERAGE('Assumptions (Nuclear)'!$B$2:$G$2)/10^9,0)</f>
        <v>0</v>
      </c>
      <c r="K1277" s="105">
        <f>IF($I$1110&gt;0,'Assumptions (Nuclear)'!X$10*Model!$I$1110*AVERAGE('Assumptions (Nuclear)'!$B$2:$G$2)/10^9,0)</f>
        <v>0</v>
      </c>
      <c r="L1277" s="105">
        <f>IF($I$1110&gt;0,'Assumptions (Nuclear)'!Y$10*Model!$I$1110*AVERAGE('Assumptions (Nuclear)'!$B$2:$G$2)/10^9,0)</f>
        <v>0</v>
      </c>
      <c r="M1277" s="105">
        <f>IF($I$1110&gt;0,'Assumptions (Nuclear)'!Z$10*Model!$I$1110*AVERAGE('Assumptions (Nuclear)'!$B$2:$G$2)/10^9,0)</f>
        <v>0</v>
      </c>
      <c r="N1277" s="105">
        <f>IF($I$1110&gt;0,'Assumptions (Nuclear)'!AA$10*Model!$I$1110*AVERAGE('Assumptions (Nuclear)'!$B$2:$G$2)/10^9,0)</f>
        <v>0</v>
      </c>
      <c r="O1277" s="105">
        <f>IF($I$1110&gt;0,'Assumptions (Nuclear)'!AB$10*Model!$I$1110*AVERAGE('Assumptions (Nuclear)'!$B$2:$G$2)/10^9,0)</f>
        <v>0</v>
      </c>
      <c r="P1277" s="105">
        <f>IF($I$1110&gt;0,'Assumptions (Nuclear)'!AC$10*Model!$I$1110*AVERAGE('Assumptions (Nuclear)'!$B$2:$G$2)/10^9,0)</f>
        <v>0</v>
      </c>
      <c r="Q1277" s="105">
        <f>IF($I$1110&gt;0,'Assumptions (Nuclear)'!AD$10*Model!$I$1110*AVERAGE('Assumptions (Nuclear)'!$B$2:$G$2)/10^9,0)</f>
        <v>0</v>
      </c>
      <c r="R1277" s="105">
        <f>IF($I$1110&gt;0,'Assumptions (Nuclear)'!AE$10*Model!$I$1110*AVERAGE('Assumptions (Nuclear)'!$B$2:$G$2)/10^9,0)</f>
        <v>0</v>
      </c>
      <c r="S1277" s="105">
        <f>IF($I$1110&gt;0,'Assumptions (Nuclear)'!AF$10*Model!$I$1110*AVERAGE('Assumptions (Nuclear)'!$B$2:$G$2)/10^9,0)</f>
        <v>0</v>
      </c>
      <c r="T1277" s="105">
        <f>IF($I$1110&gt;0,'Assumptions (Nuclear)'!AG$10*Model!$I$1110*AVERAGE('Assumptions (Nuclear)'!$B$2:$G$2)/10^9,0)</f>
        <v>0</v>
      </c>
      <c r="U1277" s="105">
        <f>IF($I$1110&gt;0,'Assumptions (Nuclear)'!AH$10*Model!$I$1110*AVERAGE('Assumptions (Nuclear)'!$B$2:$G$2)/10^9,0)</f>
        <v>0</v>
      </c>
      <c r="V1277" s="105">
        <f>IF($I$1110&gt;0,'Assumptions (Nuclear)'!AI$10*Model!$I$1110*AVERAGE('Assumptions (Nuclear)'!$B$2:$G$2)/10^9,0)</f>
        <v>0</v>
      </c>
      <c r="W1277" s="105">
        <f>IF($I$1110&gt;0,'Assumptions (Nuclear)'!AJ$10*Model!$I$1110*AVERAGE('Assumptions (Nuclear)'!$B$2:$G$2)/10^9,0)</f>
        <v>0</v>
      </c>
      <c r="X1277" s="105">
        <f>IF($I$1110&gt;0,'Assumptions (Nuclear)'!AK$10*Model!$I$1110*AVERAGE('Assumptions (Nuclear)'!$B$2:$G$2)/10^9,0)</f>
        <v>0</v>
      </c>
      <c r="Y1277" s="105"/>
      <c r="Z1277" s="105"/>
      <c r="AA1277" s="105"/>
      <c r="AB1277" s="105"/>
      <c r="AC1277" s="105"/>
      <c r="AD1277" s="105"/>
      <c r="AE1277" s="105"/>
      <c r="AF1277" s="105"/>
      <c r="AG1277" s="105"/>
      <c r="AQ1277" s="147"/>
      <c r="AR1277" s="147"/>
      <c r="AS1277" s="147"/>
      <c r="AT1277" s="147"/>
      <c r="AU1277" s="147"/>
      <c r="AV1277" s="147"/>
      <c r="AW1277" s="147"/>
      <c r="AX1277" s="147"/>
      <c r="AY1277" s="147"/>
      <c r="AZ1277" s="147"/>
      <c r="BA1277" s="147"/>
    </row>
    <row r="1278" spans="1:77" ht="15.75" hidden="1" customHeight="1" outlineLevel="1">
      <c r="A1278" s="407"/>
      <c r="B1278" s="99"/>
      <c r="C1278" s="105"/>
      <c r="D1278" s="105"/>
      <c r="E1278" s="105"/>
      <c r="F1278" s="105"/>
      <c r="G1278" s="105"/>
      <c r="H1278" s="105"/>
      <c r="I1278" s="105"/>
      <c r="J1278" s="105">
        <f>IF($J$1110&gt;0,'Assumptions (Nuclear)'!V$10*Model!$J$1110*AVERAGE('Assumptions (Nuclear)'!$C$2:$H$2)/10^9,0)</f>
        <v>0</v>
      </c>
      <c r="K1278" s="105">
        <f>IF($J$1110&gt;0,'Assumptions (Nuclear)'!W$10*Model!$J$1110*AVERAGE('Assumptions (Nuclear)'!$C$2:$H$2)/10^9,0)</f>
        <v>0</v>
      </c>
      <c r="L1278" s="105">
        <f>IF($J$1110&gt;0,'Assumptions (Nuclear)'!X$10*Model!$J$1110*AVERAGE('Assumptions (Nuclear)'!$C$2:$H$2)/10^9,0)</f>
        <v>0</v>
      </c>
      <c r="M1278" s="105">
        <f>IF($J$1110&gt;0,'Assumptions (Nuclear)'!Y$10*Model!$J$1110*AVERAGE('Assumptions (Nuclear)'!$C$2:$H$2)/10^9,0)</f>
        <v>0</v>
      </c>
      <c r="N1278" s="105">
        <f>IF($J$1110&gt;0,'Assumptions (Nuclear)'!Z$10*Model!$J$1110*AVERAGE('Assumptions (Nuclear)'!$C$2:$H$2)/10^9,0)</f>
        <v>0</v>
      </c>
      <c r="O1278" s="105">
        <f>IF($J$1110&gt;0,'Assumptions (Nuclear)'!AA$10*Model!$J$1110*AVERAGE('Assumptions (Nuclear)'!$C$2:$H$2)/10^9,0)</f>
        <v>0</v>
      </c>
      <c r="P1278" s="105">
        <f>IF($J$1110&gt;0,'Assumptions (Nuclear)'!AB$10*Model!$J$1110*AVERAGE('Assumptions (Nuclear)'!$C$2:$H$2)/10^9,0)</f>
        <v>0</v>
      </c>
      <c r="Q1278" s="105">
        <f>IF($J$1110&gt;0,'Assumptions (Nuclear)'!AC$10*Model!$J$1110*AVERAGE('Assumptions (Nuclear)'!$C$2:$H$2)/10^9,0)</f>
        <v>0</v>
      </c>
      <c r="R1278" s="105">
        <f>IF($J$1110&gt;0,'Assumptions (Nuclear)'!AD$10*Model!$J$1110*AVERAGE('Assumptions (Nuclear)'!$C$2:$H$2)/10^9,0)</f>
        <v>0</v>
      </c>
      <c r="S1278" s="105">
        <f>IF($J$1110&gt;0,'Assumptions (Nuclear)'!AE$10*Model!$J$1110*AVERAGE('Assumptions (Nuclear)'!$C$2:$H$2)/10^9,0)</f>
        <v>0</v>
      </c>
      <c r="T1278" s="105">
        <f>IF($J$1110&gt;0,'Assumptions (Nuclear)'!AF$10*Model!$J$1110*AVERAGE('Assumptions (Nuclear)'!$C$2:$H$2)/10^9,0)</f>
        <v>0</v>
      </c>
      <c r="U1278" s="105">
        <f>IF($J$1110&gt;0,'Assumptions (Nuclear)'!AG$10*Model!$J$1110*AVERAGE('Assumptions (Nuclear)'!$C$2:$H$2)/10^9,0)</f>
        <v>0</v>
      </c>
      <c r="V1278" s="105">
        <f>IF($J$1110&gt;0,'Assumptions (Nuclear)'!AH$10*Model!$J$1110*AVERAGE('Assumptions (Nuclear)'!$C$2:$H$2)/10^9,0)</f>
        <v>0</v>
      </c>
      <c r="W1278" s="105">
        <f>IF($J$1110&gt;0,'Assumptions (Nuclear)'!AI$10*Model!$J$1110*AVERAGE('Assumptions (Nuclear)'!$C$2:$H$2)/10^9,0)</f>
        <v>0</v>
      </c>
      <c r="X1278" s="105">
        <f>IF($J$1110&gt;0,'Assumptions (Nuclear)'!AJ$10*Model!$J$1110*AVERAGE('Assumptions (Nuclear)'!$C$2:$H$2)/10^9,0)</f>
        <v>0</v>
      </c>
      <c r="Y1278" s="105">
        <f>IF($J$1110&gt;0,'Assumptions (Nuclear)'!AK$10*Model!$J$1110*AVERAGE('Assumptions (Nuclear)'!$C$2:$H$2)/10^9,0)</f>
        <v>0</v>
      </c>
      <c r="Z1278" s="105"/>
      <c r="AA1278" s="105"/>
      <c r="AB1278" s="105"/>
      <c r="AC1278" s="105"/>
      <c r="AD1278" s="105"/>
      <c r="AE1278" s="105"/>
      <c r="AF1278" s="105"/>
      <c r="AG1278" s="105"/>
      <c r="AH1278" s="105"/>
      <c r="AQ1278" s="147"/>
      <c r="AR1278" s="147"/>
      <c r="AS1278" s="147"/>
      <c r="AT1278" s="147"/>
      <c r="AU1278" s="147"/>
      <c r="AV1278" s="147"/>
      <c r="AW1278" s="147"/>
      <c r="AX1278" s="147"/>
      <c r="AY1278" s="147"/>
      <c r="AZ1278" s="147"/>
      <c r="BA1278" s="147"/>
    </row>
    <row r="1279" spans="1:77" ht="15.75" hidden="1" customHeight="1" outlineLevel="1">
      <c r="A1279" s="407"/>
      <c r="B1279" s="99"/>
      <c r="C1279" s="105"/>
      <c r="D1279" s="105"/>
      <c r="E1279" s="105"/>
      <c r="F1279" s="105"/>
      <c r="G1279" s="105"/>
      <c r="H1279" s="105"/>
      <c r="I1279" s="105"/>
      <c r="J1279" s="105"/>
      <c r="K1279" s="105">
        <f>IF($K$1110&gt;0,'Assumptions (Nuclear)'!V$10*Model!$K$1110*AVERAGE('Assumptions (Nuclear)'!$D$2:$I$2)/10^9,0)</f>
        <v>0</v>
      </c>
      <c r="L1279" s="105">
        <f>IF($K$1110&gt;0,'Assumptions (Nuclear)'!W$10*Model!$K$1110*AVERAGE('Assumptions (Nuclear)'!$D$2:$I$2)/10^9,0)</f>
        <v>0</v>
      </c>
      <c r="M1279" s="105">
        <f>IF($K$1110&gt;0,'Assumptions (Nuclear)'!X$10*Model!$K$1110*AVERAGE('Assumptions (Nuclear)'!$D$2:$I$2)/10^9,0)</f>
        <v>0</v>
      </c>
      <c r="N1279" s="105">
        <f>IF($K$1110&gt;0,'Assumptions (Nuclear)'!Y$10*Model!$K$1110*AVERAGE('Assumptions (Nuclear)'!$D$2:$I$2)/10^9,0)</f>
        <v>0</v>
      </c>
      <c r="O1279" s="105">
        <f>IF($K$1110&gt;0,'Assumptions (Nuclear)'!Z$10*Model!$K$1110*AVERAGE('Assumptions (Nuclear)'!$D$2:$I$2)/10^9,0)</f>
        <v>0</v>
      </c>
      <c r="P1279" s="105">
        <f>IF($K$1110&gt;0,'Assumptions (Nuclear)'!AA$10*Model!$K$1110*AVERAGE('Assumptions (Nuclear)'!$D$2:$I$2)/10^9,0)</f>
        <v>0</v>
      </c>
      <c r="Q1279" s="105">
        <f>IF($K$1110&gt;0,'Assumptions (Nuclear)'!AB$10*Model!$K$1110*AVERAGE('Assumptions (Nuclear)'!$D$2:$I$2)/10^9,0)</f>
        <v>0</v>
      </c>
      <c r="R1279" s="105">
        <f>IF($K$1110&gt;0,'Assumptions (Nuclear)'!AC$10*Model!$K$1110*AVERAGE('Assumptions (Nuclear)'!$D$2:$I$2)/10^9,0)</f>
        <v>0</v>
      </c>
      <c r="S1279" s="105">
        <f>IF($K$1110&gt;0,'Assumptions (Nuclear)'!AD$10*Model!$K$1110*AVERAGE('Assumptions (Nuclear)'!$D$2:$I$2)/10^9,0)</f>
        <v>0</v>
      </c>
      <c r="T1279" s="105">
        <f>IF($K$1110&gt;0,'Assumptions (Nuclear)'!AE$10*Model!$K$1110*AVERAGE('Assumptions (Nuclear)'!$D$2:$I$2)/10^9,0)</f>
        <v>0</v>
      </c>
      <c r="U1279" s="105">
        <f>IF($K$1110&gt;0,'Assumptions (Nuclear)'!AF$10*Model!$K$1110*AVERAGE('Assumptions (Nuclear)'!$D$2:$I$2)/10^9,0)</f>
        <v>0</v>
      </c>
      <c r="V1279" s="105">
        <f>IF($K$1110&gt;0,'Assumptions (Nuclear)'!AG$10*Model!$K$1110*AVERAGE('Assumptions (Nuclear)'!$D$2:$I$2)/10^9,0)</f>
        <v>0</v>
      </c>
      <c r="W1279" s="105">
        <f>IF($K$1110&gt;0,'Assumptions (Nuclear)'!AH$10*Model!$K$1110*AVERAGE('Assumptions (Nuclear)'!$D$2:$I$2)/10^9,0)</f>
        <v>0</v>
      </c>
      <c r="X1279" s="105">
        <f>IF($K$1110&gt;0,'Assumptions (Nuclear)'!AI$10*Model!$K$1110*AVERAGE('Assumptions (Nuclear)'!$D$2:$I$2)/10^9,0)</f>
        <v>0</v>
      </c>
      <c r="Y1279" s="105">
        <f>IF($K$1110&gt;0,'Assumptions (Nuclear)'!AJ$10*Model!$K$1110*AVERAGE('Assumptions (Nuclear)'!$D$2:$I$2)/10^9,0)</f>
        <v>0</v>
      </c>
      <c r="Z1279" s="105">
        <f>IF($K$1110&gt;0,'Assumptions (Nuclear)'!AK$10*Model!$K$1110*AVERAGE('Assumptions (Nuclear)'!$D$2:$I$2)/10^9,0)</f>
        <v>0</v>
      </c>
      <c r="AA1279" s="105"/>
      <c r="AB1279" s="105"/>
      <c r="AC1279" s="105"/>
      <c r="AD1279" s="105"/>
      <c r="AE1279" s="105"/>
      <c r="AF1279" s="105"/>
      <c r="AG1279" s="105"/>
      <c r="AH1279" s="105"/>
      <c r="AI1279" s="105"/>
      <c r="AQ1279" s="147"/>
      <c r="AR1279" s="147"/>
      <c r="AS1279" s="147"/>
      <c r="AT1279" s="147"/>
      <c r="AU1279" s="147"/>
      <c r="AV1279" s="147"/>
      <c r="AW1279" s="147"/>
      <c r="AX1279" s="147"/>
      <c r="AY1279" s="147"/>
      <c r="AZ1279" s="147"/>
      <c r="BA1279" s="147"/>
    </row>
    <row r="1280" spans="1:77" ht="15.75" hidden="1" customHeight="1" outlineLevel="1">
      <c r="A1280" s="407"/>
      <c r="B1280" s="99"/>
      <c r="C1280" s="105"/>
      <c r="D1280" s="105"/>
      <c r="E1280" s="105"/>
      <c r="F1280" s="105"/>
      <c r="G1280" s="105"/>
      <c r="H1280" s="105"/>
      <c r="I1280" s="105"/>
      <c r="J1280" s="105"/>
      <c r="K1280" s="105"/>
      <c r="L1280" s="105">
        <f>IF($L$1110&gt;0,'Assumptions (Nuclear)'!V$10*Model!$L$1110*AVERAGE('Assumptions (Nuclear)'!$E$2:$J$2)/10^9,0)</f>
        <v>0</v>
      </c>
      <c r="M1280" s="105">
        <f>IF($L$1110&gt;0,'Assumptions (Nuclear)'!W$10*Model!$L$1110*AVERAGE('Assumptions (Nuclear)'!$E$2:$J$2)/10^9,0)</f>
        <v>0</v>
      </c>
      <c r="N1280" s="105">
        <f>IF($L$1110&gt;0,'Assumptions (Nuclear)'!X$10*Model!$L$1110*AVERAGE('Assumptions (Nuclear)'!$E$2:$J$2)/10^9,0)</f>
        <v>0</v>
      </c>
      <c r="O1280" s="105">
        <f>IF($L$1110&gt;0,'Assumptions (Nuclear)'!Y$10*Model!$L$1110*AVERAGE('Assumptions (Nuclear)'!$E$2:$J$2)/10^9,0)</f>
        <v>0</v>
      </c>
      <c r="P1280" s="105">
        <f>IF($L$1110&gt;0,'Assumptions (Nuclear)'!Z$10*Model!$L$1110*AVERAGE('Assumptions (Nuclear)'!$E$2:$J$2)/10^9,0)</f>
        <v>0</v>
      </c>
      <c r="Q1280" s="105">
        <f>IF($L$1110&gt;0,'Assumptions (Nuclear)'!AA$10*Model!$L$1110*AVERAGE('Assumptions (Nuclear)'!$E$2:$J$2)/10^9,0)</f>
        <v>0</v>
      </c>
      <c r="R1280" s="105">
        <f>IF($L$1110&gt;0,'Assumptions (Nuclear)'!AB$10*Model!$L$1110*AVERAGE('Assumptions (Nuclear)'!$E$2:$J$2)/10^9,0)</f>
        <v>0</v>
      </c>
      <c r="S1280" s="105">
        <f>IF($L$1110&gt;0,'Assumptions (Nuclear)'!AC$10*Model!$L$1110*AVERAGE('Assumptions (Nuclear)'!$E$2:$J$2)/10^9,0)</f>
        <v>0</v>
      </c>
      <c r="T1280" s="105">
        <f>IF($L$1110&gt;0,'Assumptions (Nuclear)'!AD$10*Model!$L$1110*AVERAGE('Assumptions (Nuclear)'!$E$2:$J$2)/10^9,0)</f>
        <v>0</v>
      </c>
      <c r="U1280" s="105">
        <f>IF($L$1110&gt;0,'Assumptions (Nuclear)'!AE$10*Model!$L$1110*AVERAGE('Assumptions (Nuclear)'!$E$2:$J$2)/10^9,0)</f>
        <v>0</v>
      </c>
      <c r="V1280" s="105">
        <f>IF($L$1110&gt;0,'Assumptions (Nuclear)'!AF$10*Model!$L$1110*AVERAGE('Assumptions (Nuclear)'!$E$2:$J$2)/10^9,0)</f>
        <v>0</v>
      </c>
      <c r="W1280" s="105">
        <f>IF($L$1110&gt;0,'Assumptions (Nuclear)'!AG$10*Model!$L$1110*AVERAGE('Assumptions (Nuclear)'!$E$2:$J$2)/10^9,0)</f>
        <v>0</v>
      </c>
      <c r="X1280" s="105">
        <f>IF($L$1110&gt;0,'Assumptions (Nuclear)'!AH$10*Model!$L$1110*AVERAGE('Assumptions (Nuclear)'!$E$2:$J$2)/10^9,0)</f>
        <v>0</v>
      </c>
      <c r="Y1280" s="105">
        <f>IF($L$1110&gt;0,'Assumptions (Nuclear)'!AI$10*Model!$L$1110*AVERAGE('Assumptions (Nuclear)'!$E$2:$J$2)/10^9,0)</f>
        <v>0</v>
      </c>
      <c r="Z1280" s="105">
        <f>IF($L$1110&gt;0,'Assumptions (Nuclear)'!AJ$10*Model!$L$1110*AVERAGE('Assumptions (Nuclear)'!$E$2:$J$2)/10^9,0)</f>
        <v>0</v>
      </c>
      <c r="AA1280" s="105">
        <f>IF($L$1110&gt;0,'Assumptions (Nuclear)'!AK$10*Model!$L$1110*AVERAGE('Assumptions (Nuclear)'!$E$2:$J$2)/10^9,0)</f>
        <v>0</v>
      </c>
      <c r="AB1280" s="105"/>
      <c r="AC1280" s="105"/>
      <c r="AD1280" s="105"/>
      <c r="AE1280" s="105"/>
      <c r="AF1280" s="105"/>
      <c r="AG1280" s="105"/>
      <c r="AH1280" s="105"/>
      <c r="AI1280" s="105"/>
      <c r="AJ1280" s="105"/>
      <c r="AQ1280" s="147"/>
      <c r="AR1280" s="147"/>
      <c r="AS1280" s="147"/>
      <c r="AT1280" s="147"/>
      <c r="AU1280" s="147"/>
      <c r="AV1280" s="147"/>
      <c r="AW1280" s="147"/>
      <c r="AX1280" s="147"/>
      <c r="AY1280" s="147"/>
      <c r="AZ1280" s="147"/>
      <c r="BA1280" s="147"/>
    </row>
    <row r="1281" spans="1:53" ht="15.75" hidden="1" customHeight="1" outlineLevel="1">
      <c r="A1281" s="407"/>
      <c r="B1281" s="99"/>
      <c r="C1281" s="105"/>
      <c r="D1281" s="105"/>
      <c r="E1281" s="105"/>
      <c r="F1281" s="105"/>
      <c r="G1281" s="105"/>
      <c r="H1281" s="105"/>
      <c r="I1281" s="105"/>
      <c r="J1281" s="105"/>
      <c r="K1281" s="105"/>
      <c r="L1281" s="105"/>
      <c r="M1281" s="105">
        <f>IF($M$1110&gt;0,'Assumptions (Nuclear)'!V$10*Model!$M$1110*AVERAGE('Assumptions (Nuclear)'!$F$2:$K$2)/10^9,0)</f>
        <v>0</v>
      </c>
      <c r="N1281" s="105">
        <f>IF($M$1110&gt;0,'Assumptions (Nuclear)'!W$10*Model!$M$1110*AVERAGE('Assumptions (Nuclear)'!$F$2:$K$2)/10^9,0)</f>
        <v>0</v>
      </c>
      <c r="O1281" s="105">
        <f>IF($M$1110&gt;0,'Assumptions (Nuclear)'!X$10*Model!$M$1110*AVERAGE('Assumptions (Nuclear)'!$F$2:$K$2)/10^9,0)</f>
        <v>0</v>
      </c>
      <c r="P1281" s="105">
        <f>IF($M$1110&gt;0,'Assumptions (Nuclear)'!Y$10*Model!$M$1110*AVERAGE('Assumptions (Nuclear)'!$F$2:$K$2)/10^9,0)</f>
        <v>0</v>
      </c>
      <c r="Q1281" s="105">
        <f>IF($M$1110&gt;0,'Assumptions (Nuclear)'!Z$10*Model!$M$1110*AVERAGE('Assumptions (Nuclear)'!$F$2:$K$2)/10^9,0)</f>
        <v>0</v>
      </c>
      <c r="R1281" s="105">
        <f>IF($M$1110&gt;0,'Assumptions (Nuclear)'!AA$10*Model!$M$1110*AVERAGE('Assumptions (Nuclear)'!$F$2:$K$2)/10^9,0)</f>
        <v>0</v>
      </c>
      <c r="S1281" s="105">
        <f>IF($M$1110&gt;0,'Assumptions (Nuclear)'!AB$10*Model!$M$1110*AVERAGE('Assumptions (Nuclear)'!$F$2:$K$2)/10^9,0)</f>
        <v>0</v>
      </c>
      <c r="T1281" s="105">
        <f>IF($M$1110&gt;0,'Assumptions (Nuclear)'!AC$10*Model!$M$1110*AVERAGE('Assumptions (Nuclear)'!$F$2:$K$2)/10^9,0)</f>
        <v>0</v>
      </c>
      <c r="U1281" s="105">
        <f>IF($M$1110&gt;0,'Assumptions (Nuclear)'!AD$10*Model!$M$1110*AVERAGE('Assumptions (Nuclear)'!$F$2:$K$2)/10^9,0)</f>
        <v>0</v>
      </c>
      <c r="V1281" s="105">
        <f>IF($M$1110&gt;0,'Assumptions (Nuclear)'!AE$10*Model!$M$1110*AVERAGE('Assumptions (Nuclear)'!$F$2:$K$2)/10^9,0)</f>
        <v>0</v>
      </c>
      <c r="W1281" s="105">
        <f>IF($M$1110&gt;0,'Assumptions (Nuclear)'!AF$10*Model!$M$1110*AVERAGE('Assumptions (Nuclear)'!$F$2:$K$2)/10^9,0)</f>
        <v>0</v>
      </c>
      <c r="X1281" s="105">
        <f>IF($M$1110&gt;0,'Assumptions (Nuclear)'!AG$10*Model!$M$1110*AVERAGE('Assumptions (Nuclear)'!$F$2:$K$2)/10^9,0)</f>
        <v>0</v>
      </c>
      <c r="Y1281" s="105">
        <f>IF($M$1110&gt;0,'Assumptions (Nuclear)'!AH$10*Model!$M$1110*AVERAGE('Assumptions (Nuclear)'!$F$2:$K$2)/10^9,0)</f>
        <v>0</v>
      </c>
      <c r="Z1281" s="105">
        <f>IF($M$1110&gt;0,'Assumptions (Nuclear)'!AI$10*Model!$M$1110*AVERAGE('Assumptions (Nuclear)'!$F$2:$K$2)/10^9,0)</f>
        <v>0</v>
      </c>
      <c r="AA1281" s="105">
        <f>IF($M$1110&gt;0,'Assumptions (Nuclear)'!AJ$10*Model!$M$1110*AVERAGE('Assumptions (Nuclear)'!$F$2:$K$2)/10^9,0)</f>
        <v>0</v>
      </c>
      <c r="AB1281" s="105">
        <f>IF($M$1110&gt;0,'Assumptions (Nuclear)'!AK$10*Model!$M$1110*AVERAGE('Assumptions (Nuclear)'!$F$2:$K$2)/10^9,0)</f>
        <v>0</v>
      </c>
      <c r="AC1281" s="105"/>
      <c r="AD1281" s="105"/>
      <c r="AE1281" s="105"/>
      <c r="AF1281" s="105"/>
      <c r="AG1281" s="105"/>
      <c r="AH1281" s="105"/>
      <c r="AI1281" s="105"/>
      <c r="AJ1281" s="105"/>
      <c r="AK1281" s="105"/>
      <c r="AQ1281" s="147"/>
      <c r="AR1281" s="147"/>
      <c r="AS1281" s="147"/>
      <c r="AT1281" s="147"/>
      <c r="AU1281" s="147"/>
      <c r="AV1281" s="147"/>
      <c r="AW1281" s="147"/>
      <c r="AX1281" s="147"/>
      <c r="AY1281" s="147"/>
      <c r="AZ1281" s="147"/>
      <c r="BA1281" s="147"/>
    </row>
    <row r="1282" spans="1:53" ht="15.75" hidden="1" customHeight="1" outlineLevel="1">
      <c r="A1282" s="407"/>
      <c r="B1282" s="99"/>
      <c r="C1282" s="105"/>
      <c r="D1282" s="105"/>
      <c r="E1282" s="105"/>
      <c r="F1282" s="105"/>
      <c r="G1282" s="105"/>
      <c r="H1282" s="105"/>
      <c r="I1282" s="105"/>
      <c r="J1282" s="105"/>
      <c r="K1282" s="105"/>
      <c r="L1282" s="105"/>
      <c r="M1282" s="105"/>
      <c r="N1282" s="105">
        <f>IF($N$1110&gt;0,'Assumptions (Nuclear)'!V$10*Model!$N$1110*AVERAGE('Assumptions (Nuclear)'!$G$2:$L$2)/10^9,0)</f>
        <v>0</v>
      </c>
      <c r="O1282" s="105">
        <f>IF($N$1110&gt;0,'Assumptions (Nuclear)'!W$10*Model!$N$1110*AVERAGE('Assumptions (Nuclear)'!$G$2:$L$2)/10^9,0)</f>
        <v>0</v>
      </c>
      <c r="P1282" s="105">
        <f>IF($N$1110&gt;0,'Assumptions (Nuclear)'!X$10*Model!$N$1110*AVERAGE('Assumptions (Nuclear)'!$G$2:$L$2)/10^9,0)</f>
        <v>0</v>
      </c>
      <c r="Q1282" s="105">
        <f>IF($N$1110&gt;0,'Assumptions (Nuclear)'!Y$10*Model!$N$1110*AVERAGE('Assumptions (Nuclear)'!$G$2:$L$2)/10^9,0)</f>
        <v>0</v>
      </c>
      <c r="R1282" s="105">
        <f>IF($N$1110&gt;0,'Assumptions (Nuclear)'!Z$10*Model!$N$1110*AVERAGE('Assumptions (Nuclear)'!$G$2:$L$2)/10^9,0)</f>
        <v>0</v>
      </c>
      <c r="S1282" s="105">
        <f>IF($N$1110&gt;0,'Assumptions (Nuclear)'!AA$10*Model!$N$1110*AVERAGE('Assumptions (Nuclear)'!$G$2:$L$2)/10^9,0)</f>
        <v>0</v>
      </c>
      <c r="T1282" s="105">
        <f>IF($N$1110&gt;0,'Assumptions (Nuclear)'!AB$10*Model!$N$1110*AVERAGE('Assumptions (Nuclear)'!$G$2:$L$2)/10^9,0)</f>
        <v>0</v>
      </c>
      <c r="U1282" s="105">
        <f>IF($N$1110&gt;0,'Assumptions (Nuclear)'!AC$10*Model!$N$1110*AVERAGE('Assumptions (Nuclear)'!$G$2:$L$2)/10^9,0)</f>
        <v>0</v>
      </c>
      <c r="V1282" s="105">
        <f>IF($N$1110&gt;0,'Assumptions (Nuclear)'!AD$10*Model!$N$1110*AVERAGE('Assumptions (Nuclear)'!$G$2:$L$2)/10^9,0)</f>
        <v>0</v>
      </c>
      <c r="W1282" s="105">
        <f>IF($N$1110&gt;0,'Assumptions (Nuclear)'!AE$10*Model!$N$1110*AVERAGE('Assumptions (Nuclear)'!$G$2:$L$2)/10^9,0)</f>
        <v>0</v>
      </c>
      <c r="X1282" s="105">
        <f>IF($N$1110&gt;0,'Assumptions (Nuclear)'!AF$10*Model!$N$1110*AVERAGE('Assumptions (Nuclear)'!$G$2:$L$2)/10^9,0)</f>
        <v>0</v>
      </c>
      <c r="Y1282" s="105">
        <f>IF($N$1110&gt;0,'Assumptions (Nuclear)'!AG$10*Model!$N$1110*AVERAGE('Assumptions (Nuclear)'!$G$2:$L$2)/10^9,0)</f>
        <v>0</v>
      </c>
      <c r="Z1282" s="105">
        <f>IF($N$1110&gt;0,'Assumptions (Nuclear)'!AH$10*Model!$N$1110*AVERAGE('Assumptions (Nuclear)'!$G$2:$L$2)/10^9,0)</f>
        <v>0</v>
      </c>
      <c r="AA1282" s="105">
        <f>IF($N$1110&gt;0,'Assumptions (Nuclear)'!AI$10*Model!$N$1110*AVERAGE('Assumptions (Nuclear)'!$G$2:$L$2)/10^9,0)</f>
        <v>0</v>
      </c>
      <c r="AB1282" s="105">
        <f>IF($N$1110&gt;0,'Assumptions (Nuclear)'!AJ$10*Model!$N$1110*AVERAGE('Assumptions (Nuclear)'!$G$2:$L$2)/10^9,0)</f>
        <v>0</v>
      </c>
      <c r="AC1282" s="105">
        <f>IF($N$1110&gt;0,'Assumptions (Nuclear)'!AK$10*Model!$N$1110*AVERAGE('Assumptions (Nuclear)'!$G$2:$L$2)/10^9,0)</f>
        <v>0</v>
      </c>
      <c r="AD1282" s="105"/>
      <c r="AE1282" s="105"/>
      <c r="AF1282" s="105"/>
      <c r="AG1282" s="105"/>
      <c r="AH1282" s="105"/>
      <c r="AI1282" s="105"/>
      <c r="AJ1282" s="105"/>
      <c r="AK1282" s="105"/>
      <c r="AL1282" s="105"/>
      <c r="AQ1282" s="147"/>
      <c r="AR1282" s="147"/>
      <c r="AS1282" s="147"/>
      <c r="AT1282" s="147"/>
      <c r="AU1282" s="147"/>
      <c r="AV1282" s="147"/>
      <c r="AW1282" s="147"/>
      <c r="AX1282" s="147"/>
      <c r="AY1282" s="147"/>
      <c r="AZ1282" s="147"/>
      <c r="BA1282" s="147"/>
    </row>
    <row r="1283" spans="1:53" ht="15.75" hidden="1" customHeight="1" outlineLevel="1">
      <c r="A1283" s="407"/>
      <c r="B1283" s="99"/>
      <c r="C1283" s="105"/>
      <c r="D1283" s="105"/>
      <c r="E1283" s="105"/>
      <c r="F1283" s="105"/>
      <c r="G1283" s="105"/>
      <c r="H1283" s="105"/>
      <c r="I1283" s="105"/>
      <c r="J1283" s="105"/>
      <c r="K1283" s="105"/>
      <c r="L1283" s="105"/>
      <c r="M1283" s="105"/>
      <c r="N1283" s="105"/>
      <c r="O1283" s="105">
        <f>IF($O$1110&gt;0,'Assumptions (Nuclear)'!V$10*Model!$O$1110*AVERAGE('Assumptions (Nuclear)'!$H$2:$M$2)/10^9,0)</f>
        <v>0</v>
      </c>
      <c r="P1283" s="105">
        <f>IF($O$1110&gt;0,'Assumptions (Nuclear)'!W$10*Model!$O$1110*AVERAGE('Assumptions (Nuclear)'!$H$2:$M$2)/10^9,0)</f>
        <v>0</v>
      </c>
      <c r="Q1283" s="105">
        <f>IF($O$1110&gt;0,'Assumptions (Nuclear)'!X$10*Model!$O$1110*AVERAGE('Assumptions (Nuclear)'!$H$2:$M$2)/10^9,0)</f>
        <v>0</v>
      </c>
      <c r="R1283" s="105">
        <f>IF($O$1110&gt;0,'Assumptions (Nuclear)'!Y$10*Model!$O$1110*AVERAGE('Assumptions (Nuclear)'!$H$2:$M$2)/10^9,0)</f>
        <v>0</v>
      </c>
      <c r="S1283" s="105">
        <f>IF($O$1110&gt;0,'Assumptions (Nuclear)'!Z$10*Model!$O$1110*AVERAGE('Assumptions (Nuclear)'!$H$2:$M$2)/10^9,0)</f>
        <v>0</v>
      </c>
      <c r="T1283" s="105">
        <f>IF($O$1110&gt;0,'Assumptions (Nuclear)'!AA$10*Model!$O$1110*AVERAGE('Assumptions (Nuclear)'!$H$2:$M$2)/10^9,0)</f>
        <v>0</v>
      </c>
      <c r="U1283" s="105">
        <f>IF($O$1110&gt;0,'Assumptions (Nuclear)'!AB$10*Model!$O$1110*AVERAGE('Assumptions (Nuclear)'!$H$2:$M$2)/10^9,0)</f>
        <v>0</v>
      </c>
      <c r="V1283" s="105">
        <f>IF($O$1110&gt;0,'Assumptions (Nuclear)'!AC$10*Model!$O$1110*AVERAGE('Assumptions (Nuclear)'!$H$2:$M$2)/10^9,0)</f>
        <v>0</v>
      </c>
      <c r="W1283" s="105">
        <f>IF($O$1110&gt;0,'Assumptions (Nuclear)'!AD$10*Model!$O$1110*AVERAGE('Assumptions (Nuclear)'!$H$2:$M$2)/10^9,0)</f>
        <v>0</v>
      </c>
      <c r="X1283" s="105">
        <f>IF($O$1110&gt;0,'Assumptions (Nuclear)'!AE$10*Model!$O$1110*AVERAGE('Assumptions (Nuclear)'!$H$2:$M$2)/10^9,0)</f>
        <v>0</v>
      </c>
      <c r="Y1283" s="105">
        <f>IF($O$1110&gt;0,'Assumptions (Nuclear)'!AF$10*Model!$O$1110*AVERAGE('Assumptions (Nuclear)'!$H$2:$M$2)/10^9,0)</f>
        <v>0</v>
      </c>
      <c r="Z1283" s="105">
        <f>IF($O$1110&gt;0,'Assumptions (Nuclear)'!AG$10*Model!$O$1110*AVERAGE('Assumptions (Nuclear)'!$H$2:$M$2)/10^9,0)</f>
        <v>0</v>
      </c>
      <c r="AA1283" s="105">
        <f>IF($O$1110&gt;0,'Assumptions (Nuclear)'!AH$10*Model!$O$1110*AVERAGE('Assumptions (Nuclear)'!$H$2:$M$2)/10^9,0)</f>
        <v>0</v>
      </c>
      <c r="AB1283" s="105">
        <f>IF($O$1110&gt;0,'Assumptions (Nuclear)'!AI$10*Model!$O$1110*AVERAGE('Assumptions (Nuclear)'!$H$2:$M$2)/10^9,0)</f>
        <v>0</v>
      </c>
      <c r="AC1283" s="105">
        <f>IF($O$1110&gt;0,'Assumptions (Nuclear)'!AJ$10*Model!$O$1110*AVERAGE('Assumptions (Nuclear)'!$H$2:$M$2)/10^9,0)</f>
        <v>0</v>
      </c>
      <c r="AD1283" s="105">
        <f>IF($O$1110&gt;0,'Assumptions (Nuclear)'!AK$10*Model!$O$1110*AVERAGE('Assumptions (Nuclear)'!$H$2:$M$2)/10^9,0)</f>
        <v>0</v>
      </c>
      <c r="AE1283" s="105"/>
      <c r="AF1283" s="105"/>
      <c r="AG1283" s="105"/>
      <c r="AH1283" s="105"/>
      <c r="AI1283" s="105"/>
      <c r="AJ1283" s="105"/>
      <c r="AK1283" s="105"/>
      <c r="AL1283" s="105"/>
      <c r="AM1283" s="105"/>
      <c r="AQ1283" s="147"/>
      <c r="AR1283" s="147"/>
      <c r="AS1283" s="147"/>
      <c r="AT1283" s="147"/>
      <c r="AU1283" s="147"/>
      <c r="AV1283" s="147"/>
      <c r="AW1283" s="147"/>
      <c r="AX1283" s="147"/>
      <c r="AY1283" s="147"/>
      <c r="AZ1283" s="147"/>
      <c r="BA1283" s="147"/>
    </row>
    <row r="1284" spans="1:53" ht="15.75" hidden="1" customHeight="1" outlineLevel="1">
      <c r="A1284" s="407"/>
      <c r="B1284" s="99"/>
      <c r="C1284" s="105"/>
      <c r="D1284" s="105"/>
      <c r="E1284" s="105"/>
      <c r="F1284" s="105"/>
      <c r="G1284" s="105"/>
      <c r="H1284" s="91"/>
      <c r="I1284" s="105"/>
      <c r="J1284" s="105"/>
      <c r="K1284" s="105"/>
      <c r="L1284" s="105"/>
      <c r="M1284" s="105"/>
      <c r="N1284" s="105"/>
      <c r="O1284" s="105"/>
      <c r="P1284" s="91">
        <f>IF($P$1110&gt;0,'Assumptions (Nuclear)'!V$10*Model!$P$1110*AVERAGE('Assumptions (Nuclear)'!$I$2:$N$2)/10^9,0)</f>
        <v>0</v>
      </c>
      <c r="Q1284" s="91">
        <f>IF($P$1110&gt;0,'Assumptions (Nuclear)'!W$10*Model!$P$1110*AVERAGE('Assumptions (Nuclear)'!$I$2:$N$2)/10^9,0)</f>
        <v>0</v>
      </c>
      <c r="R1284" s="91">
        <f>IF($P$1110&gt;0,'Assumptions (Nuclear)'!X$10*Model!$P$1110*AVERAGE('Assumptions (Nuclear)'!$I$2:$N$2)/10^9,0)</f>
        <v>0</v>
      </c>
      <c r="S1284" s="91">
        <f>IF($P$1110&gt;0,'Assumptions (Nuclear)'!Y$10*Model!$P$1110*AVERAGE('Assumptions (Nuclear)'!$I$2:$N$2)/10^9,0)</f>
        <v>0</v>
      </c>
      <c r="T1284" s="91">
        <f>IF($P$1110&gt;0,'Assumptions (Nuclear)'!Z$10*Model!$P$1110*AVERAGE('Assumptions (Nuclear)'!$I$2:$N$2)/10^9,0)</f>
        <v>0</v>
      </c>
      <c r="U1284" s="91">
        <f>IF($P$1110&gt;0,'Assumptions (Nuclear)'!AA$10*Model!$P$1110*AVERAGE('Assumptions (Nuclear)'!$I$2:$N$2)/10^9,0)</f>
        <v>0</v>
      </c>
      <c r="V1284" s="91">
        <f>IF($P$1110&gt;0,'Assumptions (Nuclear)'!AB$10*Model!$P$1110*AVERAGE('Assumptions (Nuclear)'!$I$2:$N$2)/10^9,0)</f>
        <v>0</v>
      </c>
      <c r="W1284" s="91">
        <f>IF($P$1110&gt;0,'Assumptions (Nuclear)'!AC$10*Model!$P$1110*AVERAGE('Assumptions (Nuclear)'!$I$2:$N$2)/10^9,0)</f>
        <v>0</v>
      </c>
      <c r="X1284" s="91">
        <f>IF($P$1110&gt;0,'Assumptions (Nuclear)'!AD$10*Model!$P$1110*AVERAGE('Assumptions (Nuclear)'!$I$2:$N$2)/10^9,0)</f>
        <v>0</v>
      </c>
      <c r="Y1284" s="91">
        <f>IF($P$1110&gt;0,'Assumptions (Nuclear)'!AE$10*Model!$P$1110*AVERAGE('Assumptions (Nuclear)'!$I$2:$N$2)/10^9,0)</f>
        <v>0</v>
      </c>
      <c r="Z1284" s="91">
        <f>IF($P$1110&gt;0,'Assumptions (Nuclear)'!AF$10*Model!$P$1110*AVERAGE('Assumptions (Nuclear)'!$I$2:$N$2)/10^9,0)</f>
        <v>0</v>
      </c>
      <c r="AA1284" s="91">
        <f>IF($P$1110&gt;0,'Assumptions (Nuclear)'!AG$10*Model!$P$1110*AVERAGE('Assumptions (Nuclear)'!$I$2:$N$2)/10^9,0)</f>
        <v>0</v>
      </c>
      <c r="AB1284" s="91">
        <f>IF($P$1110&gt;0,'Assumptions (Nuclear)'!AH$10*Model!$P$1110*AVERAGE('Assumptions (Nuclear)'!$I$2:$N$2)/10^9,0)</f>
        <v>0</v>
      </c>
      <c r="AC1284" s="91">
        <f>IF($P$1110&gt;0,'Assumptions (Nuclear)'!AI$10*Model!$P$1110*AVERAGE('Assumptions (Nuclear)'!$I$2:$N$2)/10^9,0)</f>
        <v>0</v>
      </c>
      <c r="AD1284" s="91">
        <f>IF($P$1110&gt;0,'Assumptions (Nuclear)'!AJ$10*Model!$P$1110*AVERAGE('Assumptions (Nuclear)'!$I$2:$N$2)/10^9,0)</f>
        <v>0</v>
      </c>
      <c r="AE1284" s="91">
        <f>IF($P$1110&gt;0,'Assumptions (Nuclear)'!AK$10*Model!$P$1110*AVERAGE('Assumptions (Nuclear)'!$I$2:$N$2)/10^9,0)</f>
        <v>0</v>
      </c>
      <c r="AF1284" s="91"/>
      <c r="AG1284" s="91"/>
      <c r="AH1284" s="91"/>
      <c r="AI1284" s="91"/>
      <c r="AJ1284" s="91"/>
      <c r="AK1284" s="91"/>
      <c r="AL1284" s="91"/>
      <c r="AM1284" s="91"/>
      <c r="AN1284" s="91"/>
      <c r="AQ1284" s="147"/>
      <c r="AR1284" s="147"/>
      <c r="AS1284" s="147"/>
      <c r="AT1284" s="147"/>
      <c r="AU1284" s="147"/>
      <c r="AV1284" s="147"/>
      <c r="AW1284" s="147"/>
      <c r="AX1284" s="147"/>
      <c r="AY1284" s="147"/>
      <c r="AZ1284" s="147"/>
      <c r="BA1284" s="147"/>
    </row>
    <row r="1285" spans="1:53" ht="15.75" hidden="1" customHeight="1" outlineLevel="1">
      <c r="A1285" s="407"/>
      <c r="B1285" s="99"/>
      <c r="C1285" s="105"/>
      <c r="D1285" s="105"/>
      <c r="E1285" s="105"/>
      <c r="F1285" s="105"/>
      <c r="G1285" s="105"/>
      <c r="H1285" s="105"/>
      <c r="I1285" s="105"/>
      <c r="J1285" s="105"/>
      <c r="K1285" s="105"/>
      <c r="L1285" s="105"/>
      <c r="M1285" s="105"/>
      <c r="N1285" s="105"/>
      <c r="O1285" s="105"/>
      <c r="P1285" s="171"/>
      <c r="Q1285" s="105">
        <f>IF($Q$1110&gt;0,'Assumptions (Nuclear)'!V$10*Model!$Q$1110*AVERAGE('Assumptions (Nuclear)'!$J$2:$O$2)/10^9,0)</f>
        <v>0</v>
      </c>
      <c r="R1285" s="105">
        <f>IF($Q$1110&gt;0,'Assumptions (Nuclear)'!W$10*Model!$Q$1110*AVERAGE('Assumptions (Nuclear)'!$J$2:$O$2)/10^9,0)</f>
        <v>0</v>
      </c>
      <c r="S1285" s="105">
        <f>IF($Q$1110&gt;0,'Assumptions (Nuclear)'!X$10*Model!$Q$1110*AVERAGE('Assumptions (Nuclear)'!$J$2:$O$2)/10^9,0)</f>
        <v>0</v>
      </c>
      <c r="T1285" s="105">
        <f>IF($Q$1110&gt;0,'Assumptions (Nuclear)'!Y$10*Model!$Q$1110*AVERAGE('Assumptions (Nuclear)'!$J$2:$O$2)/10^9,0)</f>
        <v>0</v>
      </c>
      <c r="U1285" s="105">
        <f>IF($Q$1110&gt;0,'Assumptions (Nuclear)'!Z$10*Model!$Q$1110*AVERAGE('Assumptions (Nuclear)'!$J$2:$O$2)/10^9,0)</f>
        <v>0</v>
      </c>
      <c r="V1285" s="105">
        <f>IF($Q$1110&gt;0,'Assumptions (Nuclear)'!AA$10*Model!$Q$1110*AVERAGE('Assumptions (Nuclear)'!$J$2:$O$2)/10^9,0)</f>
        <v>0</v>
      </c>
      <c r="W1285" s="105">
        <f>IF($Q$1110&gt;0,'Assumptions (Nuclear)'!AB$10*Model!$Q$1110*AVERAGE('Assumptions (Nuclear)'!$J$2:$O$2)/10^9,0)</f>
        <v>0</v>
      </c>
      <c r="X1285" s="105">
        <f>IF($Q$1110&gt;0,'Assumptions (Nuclear)'!AC$10*Model!$Q$1110*AVERAGE('Assumptions (Nuclear)'!$J$2:$O$2)/10^9,0)</f>
        <v>0</v>
      </c>
      <c r="Y1285" s="105">
        <f>IF($Q$1110&gt;0,'Assumptions (Nuclear)'!AD$10*Model!$Q$1110*AVERAGE('Assumptions (Nuclear)'!$J$2:$O$2)/10^9,0)</f>
        <v>0</v>
      </c>
      <c r="Z1285" s="105">
        <f>IF($Q$1110&gt;0,'Assumptions (Nuclear)'!AE$10*Model!$Q$1110*AVERAGE('Assumptions (Nuclear)'!$J$2:$O$2)/10^9,0)</f>
        <v>0</v>
      </c>
      <c r="AA1285" s="105">
        <f>IF($Q$1110&gt;0,'Assumptions (Nuclear)'!AF$10*Model!$Q$1110*AVERAGE('Assumptions (Nuclear)'!$J$2:$O$2)/10^9,0)</f>
        <v>0</v>
      </c>
      <c r="AB1285" s="105">
        <f>IF($Q$1110&gt;0,'Assumptions (Nuclear)'!AG$10*Model!$Q$1110*AVERAGE('Assumptions (Nuclear)'!$J$2:$O$2)/10^9,0)</f>
        <v>0</v>
      </c>
      <c r="AC1285" s="105">
        <f>IF($Q$1110&gt;0,'Assumptions (Nuclear)'!AH$10*Model!$Q$1110*AVERAGE('Assumptions (Nuclear)'!$J$2:$O$2)/10^9,0)</f>
        <v>0</v>
      </c>
      <c r="AD1285" s="105">
        <f>IF($Q$1110&gt;0,'Assumptions (Nuclear)'!AI$10*Model!$Q$1110*AVERAGE('Assumptions (Nuclear)'!$J$2:$O$2)/10^9,0)</f>
        <v>0</v>
      </c>
      <c r="AE1285" s="105">
        <f>IF($Q$1110&gt;0,'Assumptions (Nuclear)'!AJ$10*Model!$Q$1110*AVERAGE('Assumptions (Nuclear)'!$J$2:$O$2)/10^9,0)</f>
        <v>0</v>
      </c>
      <c r="AF1285" s="105">
        <f>IF($Q$1110&gt;0,'Assumptions (Nuclear)'!AK$10*Model!$Q$1110*AVERAGE('Assumptions (Nuclear)'!$J$2:$O$2)/10^9,0)</f>
        <v>0</v>
      </c>
      <c r="AG1285" s="105"/>
      <c r="AH1285" s="105"/>
      <c r="AI1285" s="105"/>
      <c r="AJ1285" s="105"/>
      <c r="AK1285" s="105"/>
      <c r="AL1285" s="91"/>
      <c r="AM1285" s="91"/>
      <c r="AN1285" s="91"/>
      <c r="AO1285" s="91"/>
      <c r="AQ1285" s="147"/>
      <c r="AR1285" s="147"/>
      <c r="AS1285" s="147"/>
      <c r="AT1285" s="147"/>
      <c r="AU1285" s="147"/>
      <c r="AV1285" s="147"/>
      <c r="AW1285" s="147"/>
      <c r="AX1285" s="147"/>
      <c r="AY1285" s="147"/>
      <c r="AZ1285" s="147"/>
      <c r="BA1285" s="147"/>
    </row>
    <row r="1286" spans="1:53" ht="15.75" hidden="1" customHeight="1" outlineLevel="1">
      <c r="A1286" s="407"/>
      <c r="B1286" s="99"/>
      <c r="C1286" s="105"/>
      <c r="D1286" s="105"/>
      <c r="E1286" s="105"/>
      <c r="F1286" s="105"/>
      <c r="G1286" s="105"/>
      <c r="H1286" s="105"/>
      <c r="I1286" s="105"/>
      <c r="J1286" s="105"/>
      <c r="K1286" s="105"/>
      <c r="L1286" s="105"/>
      <c r="M1286" s="105"/>
      <c r="N1286" s="105"/>
      <c r="O1286" s="105"/>
      <c r="P1286" s="171"/>
      <c r="Q1286" s="105"/>
      <c r="R1286" s="91">
        <f>IF($R$1110&gt;0,'Assumptions (Nuclear)'!V$10*Model!$R$1110*AVERAGE('Assumptions (Nuclear)'!$K$2:$P$2)/10^9,0)</f>
        <v>0</v>
      </c>
      <c r="S1286" s="91">
        <f>IF($R$1110&gt;0,'Assumptions (Nuclear)'!W$10*Model!$R$1110*AVERAGE('Assumptions (Nuclear)'!$K$2:$P$2)/10^9,0)</f>
        <v>0</v>
      </c>
      <c r="T1286" s="91">
        <f>IF($R$1110&gt;0,'Assumptions (Nuclear)'!X$10*Model!$R$1110*AVERAGE('Assumptions (Nuclear)'!$K$2:$P$2)/10^9,0)</f>
        <v>0</v>
      </c>
      <c r="U1286" s="91">
        <f>IF($R$1110&gt;0,'Assumptions (Nuclear)'!Y$10*Model!$R$1110*AVERAGE('Assumptions (Nuclear)'!$K$2:$P$2)/10^9,0)</f>
        <v>0</v>
      </c>
      <c r="V1286" s="91">
        <f>IF($R$1110&gt;0,'Assumptions (Nuclear)'!Z$10*Model!$R$1110*AVERAGE('Assumptions (Nuclear)'!$K$2:$P$2)/10^9,0)</f>
        <v>0</v>
      </c>
      <c r="W1286" s="91">
        <f>IF($R$1110&gt;0,'Assumptions (Nuclear)'!AA$10*Model!$R$1110*AVERAGE('Assumptions (Nuclear)'!$K$2:$P$2)/10^9,0)</f>
        <v>0</v>
      </c>
      <c r="X1286" s="91">
        <f>IF($R$1110&gt;0,'Assumptions (Nuclear)'!AB$10*Model!$R$1110*AVERAGE('Assumptions (Nuclear)'!$K$2:$P$2)/10^9,0)</f>
        <v>0</v>
      </c>
      <c r="Y1286" s="91">
        <f>IF($R$1110&gt;0,'Assumptions (Nuclear)'!AC$10*Model!$R$1110*AVERAGE('Assumptions (Nuclear)'!$K$2:$P$2)/10^9,0)</f>
        <v>0</v>
      </c>
      <c r="Z1286" s="91">
        <f>IF($R$1110&gt;0,'Assumptions (Nuclear)'!AD$10*Model!$R$1110*AVERAGE('Assumptions (Nuclear)'!$K$2:$P$2)/10^9,0)</f>
        <v>0</v>
      </c>
      <c r="AA1286" s="91">
        <f>IF($R$1110&gt;0,'Assumptions (Nuclear)'!AE$10*Model!$R$1110*AVERAGE('Assumptions (Nuclear)'!$K$2:$P$2)/10^9,0)</f>
        <v>0</v>
      </c>
      <c r="AB1286" s="91">
        <f>IF($R$1110&gt;0,'Assumptions (Nuclear)'!AF$10*Model!$R$1110*AVERAGE('Assumptions (Nuclear)'!$K$2:$P$2)/10^9,0)</f>
        <v>0</v>
      </c>
      <c r="AC1286" s="91">
        <f>IF($R$1110&gt;0,'Assumptions (Nuclear)'!AG$10*Model!$R$1110*AVERAGE('Assumptions (Nuclear)'!$K$2:$P$2)/10^9,0)</f>
        <v>0</v>
      </c>
      <c r="AD1286" s="91">
        <f>IF($R$1110&gt;0,'Assumptions (Nuclear)'!AH$10*Model!$R$1110*AVERAGE('Assumptions (Nuclear)'!$K$2:$P$2)/10^9,0)</f>
        <v>0</v>
      </c>
      <c r="AE1286" s="91">
        <f>IF($R$1110&gt;0,'Assumptions (Nuclear)'!AI$10*Model!$R$1110*AVERAGE('Assumptions (Nuclear)'!$K$2:$P$2)/10^9,0)</f>
        <v>0</v>
      </c>
      <c r="AF1286" s="91">
        <f>IF($R$1110&gt;0,'Assumptions (Nuclear)'!AJ$10*Model!$R$1110*AVERAGE('Assumptions (Nuclear)'!$K$2:$P$2)/10^9,0)</f>
        <v>0</v>
      </c>
      <c r="AG1286" s="91">
        <f>IF($R$1110&gt;0,'Assumptions (Nuclear)'!AK$10*Model!$R$1110*AVERAGE('Assumptions (Nuclear)'!$K$2:$P$2)/10^9,0)</f>
        <v>0</v>
      </c>
      <c r="AH1286" s="91"/>
      <c r="AI1286" s="91"/>
      <c r="AJ1286" s="91"/>
      <c r="AK1286" s="91"/>
      <c r="AL1286" s="91"/>
      <c r="AM1286" s="91"/>
      <c r="AN1286" s="91"/>
      <c r="AO1286" s="91"/>
      <c r="AP1286" s="91"/>
      <c r="AQ1286" s="147"/>
      <c r="AR1286" s="147"/>
      <c r="AS1286" s="147"/>
      <c r="AT1286" s="147"/>
      <c r="AU1286" s="147"/>
      <c r="AV1286" s="147"/>
      <c r="AW1286" s="147"/>
      <c r="AX1286" s="147"/>
      <c r="AY1286" s="147"/>
      <c r="AZ1286" s="147"/>
      <c r="BA1286" s="147"/>
    </row>
    <row r="1287" spans="1:53" ht="15.75" hidden="1" customHeight="1" outlineLevel="1">
      <c r="A1287" s="407"/>
      <c r="B1287" s="99"/>
      <c r="C1287" s="105"/>
      <c r="D1287" s="105"/>
      <c r="E1287" s="105"/>
      <c r="F1287" s="105"/>
      <c r="G1287" s="105"/>
      <c r="H1287" s="105"/>
      <c r="I1287" s="105"/>
      <c r="J1287" s="105"/>
      <c r="K1287" s="105"/>
      <c r="L1287" s="105"/>
      <c r="M1287" s="105"/>
      <c r="N1287" s="105"/>
      <c r="O1287" s="105"/>
      <c r="P1287" s="171"/>
      <c r="Q1287" s="105"/>
      <c r="R1287" s="91"/>
      <c r="S1287" s="105">
        <f>IF($S$1110&gt;0,'Assumptions (Nuclear)'!V$10*Model!$S$1110*AVERAGE('Assumptions (Nuclear)'!$L$2:$Q$2)/10^9,0)</f>
        <v>0.28769665390487076</v>
      </c>
      <c r="T1287" s="105">
        <f>IF($S$1110&gt;0,'Assumptions (Nuclear)'!W$10*Model!$S$1110*AVERAGE('Assumptions (Nuclear)'!$L$2:$Q$2)/10^9,0)</f>
        <v>0.54662364241925443</v>
      </c>
      <c r="U1287" s="105">
        <f>IF($S$1110&gt;0,'Assumptions (Nuclear)'!X$10*Model!$S$1110*AVERAGE('Assumptions (Nuclear)'!$L$2:$Q$2)/10^9,0)</f>
        <v>0.49196127817732904</v>
      </c>
      <c r="V1287" s="105">
        <f>IF($S$1110&gt;0,'Assumptions (Nuclear)'!Y$10*Model!$S$1110*AVERAGE('Assumptions (Nuclear)'!$L$2:$Q$2)/10^9,0)</f>
        <v>0.44305284701350101</v>
      </c>
      <c r="W1287" s="105">
        <f>IF($S$1110&gt;0,'Assumptions (Nuclear)'!Z$10*Model!$S$1110*AVERAGE('Assumptions (Nuclear)'!$L$2:$Q$2)/10^9,0)</f>
        <v>0.39874756231215086</v>
      </c>
      <c r="X1287" s="105">
        <f>IF($S$1110&gt;0,'Assumptions (Nuclear)'!AA$10*Model!$S$1110*AVERAGE('Assumptions (Nuclear)'!$L$2:$Q$2)/10^9,0)</f>
        <v>0.35847003076546896</v>
      </c>
      <c r="Y1287" s="105">
        <f>IF($S$1110&gt;0,'Assumptions (Nuclear)'!AB$10*Model!$S$1110*AVERAGE('Assumptions (Nuclear)'!$L$2:$Q$2)/10^9,0)</f>
        <v>0.33948205160774741</v>
      </c>
      <c r="Z1287" s="105">
        <f>IF($S$1110&gt;0,'Assumptions (Nuclear)'!AC$10*Model!$S$1110*AVERAGE('Assumptions (Nuclear)'!$L$2:$Q$2)/10^9,0)</f>
        <v>0.33948205160774741</v>
      </c>
      <c r="AA1287" s="105">
        <f>IF($S$1110&gt;0,'Assumptions (Nuclear)'!AD$10*Model!$S$1110*AVERAGE('Assumptions (Nuclear)'!$L$2:$Q$2)/10^9,0)</f>
        <v>0.34005744491555723</v>
      </c>
      <c r="AB1287" s="105">
        <f>IF($S$1110&gt;0,'Assumptions (Nuclear)'!AE$10*Model!$S$1110*AVERAGE('Assumptions (Nuclear)'!$L$2:$Q$2)/10^9,0)</f>
        <v>0.33948205160774741</v>
      </c>
      <c r="AC1287" s="105">
        <f>IF($S$1110&gt;0,'Assumptions (Nuclear)'!AF$10*Model!$S$1110*AVERAGE('Assumptions (Nuclear)'!$L$2:$Q$2)/10^9,0)</f>
        <v>0.34005744491555723</v>
      </c>
      <c r="AD1287" s="105">
        <f>IF($S$1110&gt;0,'Assumptions (Nuclear)'!AG$10*Model!$S$1110*AVERAGE('Assumptions (Nuclear)'!$L$2:$Q$2)/10^9,0)</f>
        <v>0.33948205160774741</v>
      </c>
      <c r="AE1287" s="105">
        <f>IF($S$1110&gt;0,'Assumptions (Nuclear)'!AH$10*Model!$S$1110*AVERAGE('Assumptions (Nuclear)'!$L$2:$Q$2)/10^9,0)</f>
        <v>0.34005744491555723</v>
      </c>
      <c r="AF1287" s="105">
        <f>IF($S$1110&gt;0,'Assumptions (Nuclear)'!AI$10*Model!$S$1110*AVERAGE('Assumptions (Nuclear)'!$L$2:$Q$2)/10^9,0)</f>
        <v>0.33948205160774741</v>
      </c>
      <c r="AG1287" s="105">
        <f>IF($S$1110&gt;0,'Assumptions (Nuclear)'!AJ$10*Model!$S$1110*AVERAGE('Assumptions (Nuclear)'!$L$2:$Q$2)/10^9,0)</f>
        <v>0.34005744491555723</v>
      </c>
      <c r="AH1287" s="105">
        <f>IF($S$1110&gt;0,'Assumptions (Nuclear)'!AK$10*Model!$S$1110*AVERAGE('Assumptions (Nuclear)'!$L$2:$Q$2)/10^9,0)</f>
        <v>0.16974102580387371</v>
      </c>
      <c r="AI1287" s="105"/>
      <c r="AJ1287" s="105"/>
      <c r="AK1287" s="105"/>
      <c r="AL1287" s="105"/>
      <c r="AM1287" s="105"/>
      <c r="AN1287" s="105"/>
      <c r="AO1287" s="105"/>
      <c r="AP1287" s="105"/>
      <c r="AQ1287" s="147"/>
      <c r="AR1287" s="147"/>
      <c r="AS1287" s="147"/>
      <c r="AT1287" s="147"/>
      <c r="AU1287" s="147"/>
      <c r="AV1287" s="147"/>
      <c r="AW1287" s="147"/>
      <c r="AX1287" s="147"/>
      <c r="AY1287" s="147"/>
      <c r="AZ1287" s="147"/>
      <c r="BA1287" s="147"/>
    </row>
    <row r="1288" spans="1:53" ht="15.75" hidden="1" customHeight="1" outlineLevel="1">
      <c r="A1288" s="407"/>
      <c r="B1288" s="99"/>
      <c r="C1288" s="105"/>
      <c r="D1288" s="105"/>
      <c r="E1288" s="105"/>
      <c r="F1288" s="105"/>
      <c r="G1288" s="105"/>
      <c r="H1288" s="105"/>
      <c r="I1288" s="105"/>
      <c r="J1288" s="105"/>
      <c r="K1288" s="105"/>
      <c r="L1288" s="105"/>
      <c r="M1288" s="105"/>
      <c r="N1288" s="105"/>
      <c r="O1288" s="105"/>
      <c r="P1288" s="171"/>
      <c r="Q1288" s="105"/>
      <c r="R1288" s="91"/>
      <c r="S1288" s="91"/>
      <c r="T1288" s="105">
        <f>IF($T$1110&gt;0,'Assumptions (Nuclear)'!V$10*Model!$T$1110*AVERAGE('Assumptions (Nuclear)'!$M$2:$R$2)/10^9,0)</f>
        <v>0</v>
      </c>
      <c r="U1288" s="105">
        <f>IF($T$1110&gt;0,'Assumptions (Nuclear)'!W$10*Model!$T$1110*AVERAGE('Assumptions (Nuclear)'!$M$2:$R$2)/10^9,0)</f>
        <v>0</v>
      </c>
      <c r="V1288" s="105">
        <f>IF($T$1110&gt;0,'Assumptions (Nuclear)'!X$10*Model!$T$1110*AVERAGE('Assumptions (Nuclear)'!$M$2:$R$2)/10^9,0)</f>
        <v>0</v>
      </c>
      <c r="W1288" s="105">
        <f>IF($T$1110&gt;0,'Assumptions (Nuclear)'!Y$10*Model!$T$1110*AVERAGE('Assumptions (Nuclear)'!$M$2:$R$2)/10^9,0)</f>
        <v>0</v>
      </c>
      <c r="X1288" s="105">
        <f>IF($T$1110&gt;0,'Assumptions (Nuclear)'!Z$10*Model!$T$1110*AVERAGE('Assumptions (Nuclear)'!$M$2:$R$2)/10^9,0)</f>
        <v>0</v>
      </c>
      <c r="Y1288" s="105">
        <f>IF($T$1110&gt;0,'Assumptions (Nuclear)'!AA$10*Model!$T$1110*AVERAGE('Assumptions (Nuclear)'!$M$2:$R$2)/10^9,0)</f>
        <v>0</v>
      </c>
      <c r="Z1288" s="105">
        <f>IF($T$1110&gt;0,'Assumptions (Nuclear)'!AB$10*Model!$T$1110*AVERAGE('Assumptions (Nuclear)'!$M$2:$R$2)/10^9,0)</f>
        <v>0</v>
      </c>
      <c r="AA1288" s="105">
        <f>IF($T$1110&gt;0,'Assumptions (Nuclear)'!AC$10*Model!$T$1110*AVERAGE('Assumptions (Nuclear)'!$M$2:$R$2)/10^9,0)</f>
        <v>0</v>
      </c>
      <c r="AB1288" s="105">
        <f>IF($T$1110&gt;0,'Assumptions (Nuclear)'!AD$10*Model!$T$1110*AVERAGE('Assumptions (Nuclear)'!$M$2:$R$2)/10^9,0)</f>
        <v>0</v>
      </c>
      <c r="AC1288" s="105">
        <f>IF($T$1110&gt;0,'Assumptions (Nuclear)'!AE$10*Model!$T$1110*AVERAGE('Assumptions (Nuclear)'!$M$2:$R$2)/10^9,0)</f>
        <v>0</v>
      </c>
      <c r="AD1288" s="105">
        <f>IF($T$1110&gt;0,'Assumptions (Nuclear)'!AF$10*Model!$T$1110*AVERAGE('Assumptions (Nuclear)'!$M$2:$R$2)/10^9,0)</f>
        <v>0</v>
      </c>
      <c r="AE1288" s="105">
        <f>IF($T$1110&gt;0,'Assumptions (Nuclear)'!AG$10*Model!$T$1110*AVERAGE('Assumptions (Nuclear)'!$M$2:$R$2)/10^9,0)</f>
        <v>0</v>
      </c>
      <c r="AF1288" s="105">
        <f>IF($T$1110&gt;0,'Assumptions (Nuclear)'!AH$10*Model!$T$1110*AVERAGE('Assumptions (Nuclear)'!$M$2:$R$2)/10^9,0)</f>
        <v>0</v>
      </c>
      <c r="AG1288" s="105">
        <f>IF($T$1110&gt;0,'Assumptions (Nuclear)'!AI$10*Model!$T$1110*AVERAGE('Assumptions (Nuclear)'!$M$2:$R$2)/10^9,0)</f>
        <v>0</v>
      </c>
      <c r="AH1288" s="105">
        <f>IF($T$1110&gt;0,'Assumptions (Nuclear)'!AJ$10*Model!$T$1110*AVERAGE('Assumptions (Nuclear)'!$M$2:$R$2)/10^9,0)</f>
        <v>0</v>
      </c>
      <c r="AI1288" s="105">
        <f>IF($T$1110&gt;0,'Assumptions (Nuclear)'!AK$10*Model!$T$1110*AVERAGE('Assumptions (Nuclear)'!$M$2:$R$2)/10^9,0)</f>
        <v>0</v>
      </c>
      <c r="AJ1288" s="105"/>
      <c r="AK1288" s="105"/>
      <c r="AL1288" s="105"/>
      <c r="AM1288" s="105"/>
      <c r="AN1288" s="105"/>
      <c r="AO1288" s="105"/>
      <c r="AP1288" s="105"/>
      <c r="AQ1288" s="147"/>
      <c r="AR1288" s="147"/>
      <c r="AS1288" s="147"/>
      <c r="AT1288" s="147"/>
      <c r="AU1288" s="147"/>
      <c r="AV1288" s="147"/>
      <c r="AW1288" s="147"/>
      <c r="AX1288" s="147"/>
      <c r="AY1288" s="147"/>
      <c r="AZ1288" s="147"/>
      <c r="BA1288" s="147"/>
    </row>
    <row r="1289" spans="1:53" ht="15.75" hidden="1" customHeight="1" outlineLevel="1">
      <c r="A1289" s="407"/>
      <c r="B1289" s="99"/>
      <c r="C1289" s="105"/>
      <c r="D1289" s="105"/>
      <c r="E1289" s="105"/>
      <c r="F1289" s="105"/>
      <c r="G1289" s="105"/>
      <c r="H1289" s="105"/>
      <c r="I1289" s="105"/>
      <c r="J1289" s="105"/>
      <c r="K1289" s="105"/>
      <c r="L1289" s="105"/>
      <c r="M1289" s="105"/>
      <c r="N1289" s="105"/>
      <c r="O1289" s="105"/>
      <c r="P1289" s="171"/>
      <c r="Q1289" s="105"/>
      <c r="R1289" s="91"/>
      <c r="S1289" s="91"/>
      <c r="T1289" s="91"/>
      <c r="U1289" s="105">
        <f>IF($U$1110&gt;0,'Assumptions (Nuclear)'!V$10*Model!$U$1110*AVERAGE('Assumptions (Nuclear)'!$N$2:$S$2)/10^9,0)</f>
        <v>0</v>
      </c>
      <c r="V1289" s="105">
        <f>IF($U$1110&gt;0,'Assumptions (Nuclear)'!W$10*Model!$U$1110*AVERAGE('Assumptions (Nuclear)'!$N$2:$S$2)/10^9,0)</f>
        <v>0</v>
      </c>
      <c r="W1289" s="105">
        <f>IF($U$1110&gt;0,'Assumptions (Nuclear)'!X$10*Model!$U$1110*AVERAGE('Assumptions (Nuclear)'!$N$2:$S$2)/10^9,0)</f>
        <v>0</v>
      </c>
      <c r="X1289" s="105">
        <f>IF($U$1110&gt;0,'Assumptions (Nuclear)'!Y$10*Model!$U$1110*AVERAGE('Assumptions (Nuclear)'!$N$2:$S$2)/10^9,0)</f>
        <v>0</v>
      </c>
      <c r="Y1289" s="105">
        <f>IF($U$1110&gt;0,'Assumptions (Nuclear)'!Z$10*Model!$U$1110*AVERAGE('Assumptions (Nuclear)'!$N$2:$S$2)/10^9,0)</f>
        <v>0</v>
      </c>
      <c r="Z1289" s="105">
        <f>IF($U$1110&gt;0,'Assumptions (Nuclear)'!AA$10*Model!$U$1110*AVERAGE('Assumptions (Nuclear)'!$N$2:$S$2)/10^9,0)</f>
        <v>0</v>
      </c>
      <c r="AA1289" s="105">
        <f>IF($U$1110&gt;0,'Assumptions (Nuclear)'!AB$10*Model!$U$1110*AVERAGE('Assumptions (Nuclear)'!$N$2:$S$2)/10^9,0)</f>
        <v>0</v>
      </c>
      <c r="AB1289" s="105">
        <f>IF($U$1110&gt;0,'Assumptions (Nuclear)'!AC$10*Model!$U$1110*AVERAGE('Assumptions (Nuclear)'!$N$2:$S$2)/10^9,0)</f>
        <v>0</v>
      </c>
      <c r="AC1289" s="105">
        <f>IF($U$1110&gt;0,'Assumptions (Nuclear)'!AD$10*Model!$U$1110*AVERAGE('Assumptions (Nuclear)'!$N$2:$S$2)/10^9,0)</f>
        <v>0</v>
      </c>
      <c r="AD1289" s="105">
        <f>IF($U$1110&gt;0,'Assumptions (Nuclear)'!AE$10*Model!$U$1110*AVERAGE('Assumptions (Nuclear)'!$N$2:$S$2)/10^9,0)</f>
        <v>0</v>
      </c>
      <c r="AE1289" s="105">
        <f>IF($U$1110&gt;0,'Assumptions (Nuclear)'!AF$10*Model!$U$1110*AVERAGE('Assumptions (Nuclear)'!$N$2:$S$2)/10^9,0)</f>
        <v>0</v>
      </c>
      <c r="AF1289" s="105">
        <f>IF($U$1110&gt;0,'Assumptions (Nuclear)'!AG$10*Model!$U$1110*AVERAGE('Assumptions (Nuclear)'!$N$2:$S$2)/10^9,0)</f>
        <v>0</v>
      </c>
      <c r="AG1289" s="105">
        <f>IF($U$1110&gt;0,'Assumptions (Nuclear)'!AH$10*Model!$U$1110*AVERAGE('Assumptions (Nuclear)'!$N$2:$S$2)/10^9,0)</f>
        <v>0</v>
      </c>
      <c r="AH1289" s="105">
        <f>IF($U$1110&gt;0,'Assumptions (Nuclear)'!AI$10*Model!$U$1110*AVERAGE('Assumptions (Nuclear)'!$N$2:$S$2)/10^9,0)</f>
        <v>0</v>
      </c>
      <c r="AI1289" s="105">
        <f>IF($U$1110&gt;0,'Assumptions (Nuclear)'!AJ$10*Model!$U$1110*AVERAGE('Assumptions (Nuclear)'!$N$2:$S$2)/10^9,0)</f>
        <v>0</v>
      </c>
      <c r="AJ1289" s="105">
        <f>IF($U$1110&gt;0,'Assumptions (Nuclear)'!AK$10*Model!$U$1110*AVERAGE('Assumptions (Nuclear)'!$N$2:$S$2)/10^9,0)</f>
        <v>0</v>
      </c>
      <c r="AK1289" s="105"/>
      <c r="AL1289" s="105"/>
      <c r="AM1289" s="105"/>
      <c r="AN1289" s="105"/>
      <c r="AO1289" s="105"/>
      <c r="AP1289" s="105"/>
      <c r="AQ1289" s="147"/>
      <c r="AR1289" s="147"/>
      <c r="AS1289" s="147"/>
      <c r="AT1289" s="147"/>
      <c r="AU1289" s="147"/>
      <c r="AV1289" s="147"/>
      <c r="AW1289" s="147"/>
      <c r="AX1289" s="147"/>
      <c r="AY1289" s="147"/>
      <c r="AZ1289" s="147"/>
      <c r="BA1289" s="147"/>
    </row>
    <row r="1290" spans="1:53" ht="15.75" hidden="1" customHeight="1" outlineLevel="1">
      <c r="A1290" s="407"/>
      <c r="B1290" s="99"/>
      <c r="C1290" s="105"/>
      <c r="D1290" s="105"/>
      <c r="E1290" s="105"/>
      <c r="F1290" s="105"/>
      <c r="G1290" s="105"/>
      <c r="H1290" s="105"/>
      <c r="I1290" s="105"/>
      <c r="J1290" s="105"/>
      <c r="K1290" s="105"/>
      <c r="L1290" s="105"/>
      <c r="M1290" s="105"/>
      <c r="N1290" s="105"/>
      <c r="O1290" s="105"/>
      <c r="P1290" s="171"/>
      <c r="Q1290" s="105"/>
      <c r="R1290" s="91"/>
      <c r="S1290" s="91"/>
      <c r="T1290" s="91"/>
      <c r="U1290" s="105"/>
      <c r="V1290" s="409">
        <f>IF($V$1110&gt;0,'Assumptions (Nuclear)'!V$10*Model!$V$1110*AVERAGE('Assumptions (Nuclear)'!$O$2:$T$2)/10^9,0)</f>
        <v>0.29931959872262759</v>
      </c>
      <c r="W1290" s="409">
        <f>IF($V$1110&gt;0,'Assumptions (Nuclear)'!W$10*Model!$V$1110*AVERAGE('Assumptions (Nuclear)'!$O$2:$T$2)/10^9,0)</f>
        <v>0.56870723757299246</v>
      </c>
      <c r="X1290" s="409">
        <f>IF($V$1110&gt;0,'Assumptions (Nuclear)'!X$10*Model!$V$1110*AVERAGE('Assumptions (Nuclear)'!$O$2:$T$2)/10^9,0)</f>
        <v>0.51183651381569317</v>
      </c>
      <c r="Y1290" s="409">
        <f>IF($V$1110&gt;0,'Assumptions (Nuclear)'!Y$10*Model!$V$1110*AVERAGE('Assumptions (Nuclear)'!$O$2:$T$2)/10^9,0)</f>
        <v>0.46095218203284649</v>
      </c>
      <c r="Z1290" s="409">
        <f>IF($V$1110&gt;0,'Assumptions (Nuclear)'!Z$10*Model!$V$1110*AVERAGE('Assumptions (Nuclear)'!$O$2:$T$2)/10^9,0)</f>
        <v>0.41485696382956183</v>
      </c>
      <c r="AA1290" s="409">
        <f>IF($V$1110&gt;0,'Assumptions (Nuclear)'!AA$10*Model!$V$1110*AVERAGE('Assumptions (Nuclear)'!$O$2:$T$2)/10^9,0)</f>
        <v>0.37295222000839395</v>
      </c>
      <c r="AB1290" s="409">
        <f>IF($V$1110&gt;0,'Assumptions (Nuclear)'!AB$10*Model!$V$1110*AVERAGE('Assumptions (Nuclear)'!$O$2:$T$2)/10^9,0)</f>
        <v>0.35319712649270052</v>
      </c>
      <c r="AC1290" s="409">
        <f>IF($V$1110&gt;0,'Assumptions (Nuclear)'!AC$10*Model!$V$1110*AVERAGE('Assumptions (Nuclear)'!$O$2:$T$2)/10^9,0)</f>
        <v>0.35319712649270052</v>
      </c>
      <c r="AD1290" s="409">
        <f>IF($V$1110&gt;0,'Assumptions (Nuclear)'!AD$10*Model!$V$1110*AVERAGE('Assumptions (Nuclear)'!$O$2:$T$2)/10^9,0)</f>
        <v>0.35379576569014587</v>
      </c>
      <c r="AE1290" s="409">
        <f>IF($V$1110&gt;0,'Assumptions (Nuclear)'!AE$10*Model!$V$1110*AVERAGE('Assumptions (Nuclear)'!$O$2:$T$2)/10^9,0)</f>
        <v>0.35319712649270052</v>
      </c>
      <c r="AF1290" s="409">
        <f>IF($V$1110&gt;0,'Assumptions (Nuclear)'!AF$10*Model!$V$1110*AVERAGE('Assumptions (Nuclear)'!$O$2:$T$2)/10^9,0)</f>
        <v>0.35379576569014587</v>
      </c>
      <c r="AG1290" s="409">
        <f>IF($V$1110&gt;0,'Assumptions (Nuclear)'!AG$10*Model!$V$1110*AVERAGE('Assumptions (Nuclear)'!$O$2:$T$2)/10^9,0)</f>
        <v>0.35319712649270052</v>
      </c>
      <c r="AH1290" s="409">
        <f>IF($V$1110&gt;0,'Assumptions (Nuclear)'!AH$10*Model!$V$1110*AVERAGE('Assumptions (Nuclear)'!$O$2:$T$2)/10^9,0)</f>
        <v>0.35379576569014587</v>
      </c>
      <c r="AI1290" s="409">
        <f>IF($V$1110&gt;0,'Assumptions (Nuclear)'!AI$10*Model!$V$1110*AVERAGE('Assumptions (Nuclear)'!$O$2:$T$2)/10^9,0)</f>
        <v>0.35319712649270052</v>
      </c>
      <c r="AJ1290" s="409">
        <f>IF($V$1110&gt;0,'Assumptions (Nuclear)'!AJ$10*Model!$V$1110*AVERAGE('Assumptions (Nuclear)'!$O$2:$T$2)/10^9,0)</f>
        <v>0.35379576569014587</v>
      </c>
      <c r="AK1290" s="409">
        <f>IF($V$1110&gt;0,'Assumptions (Nuclear)'!AK$10*Model!$V$1110*AVERAGE('Assumptions (Nuclear)'!$O$2:$T$2)/10^9,0)</f>
        <v>0.17659856324635026</v>
      </c>
      <c r="AL1290" s="105"/>
      <c r="AM1290" s="105"/>
      <c r="AN1290" s="105"/>
      <c r="AO1290" s="105"/>
      <c r="AP1290" s="105"/>
      <c r="AQ1290" s="147"/>
      <c r="AR1290" s="147"/>
      <c r="AS1290" s="147"/>
      <c r="AT1290" s="147"/>
      <c r="AU1290" s="147"/>
      <c r="AV1290" s="147"/>
      <c r="AW1290" s="147"/>
      <c r="AX1290" s="147"/>
      <c r="AY1290" s="147"/>
      <c r="AZ1290" s="147"/>
      <c r="BA1290" s="147"/>
    </row>
    <row r="1291" spans="1:53" ht="15.75" hidden="1" customHeight="1" outlineLevel="1">
      <c r="A1291" s="407"/>
      <c r="B1291" s="99"/>
      <c r="C1291" s="99"/>
      <c r="D1291" s="99"/>
      <c r="E1291" s="99"/>
      <c r="F1291" s="99"/>
      <c r="G1291" s="99"/>
      <c r="H1291" s="99"/>
      <c r="I1291" s="99"/>
      <c r="J1291" s="99"/>
      <c r="K1291" s="99"/>
      <c r="L1291" s="99"/>
      <c r="M1291" s="99"/>
      <c r="N1291" s="99"/>
      <c r="O1291" s="99"/>
      <c r="P1291" s="99"/>
      <c r="Q1291" s="99"/>
      <c r="R1291" s="99"/>
      <c r="S1291" s="99"/>
      <c r="T1291" s="99"/>
      <c r="U1291" s="99"/>
      <c r="V1291" s="99"/>
      <c r="W1291" s="105">
        <f>IF($W$1110&gt;0,'Assumptions (Nuclear)'!V10*Model!$W$1110*AVERAGE('Assumptions (Nuclear)'!$P$2:$U$2)/10^9,0)</f>
        <v>0</v>
      </c>
      <c r="X1291" s="105">
        <f>IF($W$1110&gt;0,'Assumptions (Nuclear)'!W10*Model!$W$1110*AVERAGE('Assumptions (Nuclear)'!$P$2:$U$2)/10^9,0)</f>
        <v>0</v>
      </c>
      <c r="Y1291" s="105">
        <f>IF($W$1110&gt;0,'Assumptions (Nuclear)'!X10*Model!$W$1110*AVERAGE('Assumptions (Nuclear)'!$P$2:$U$2)/10^9,0)</f>
        <v>0</v>
      </c>
      <c r="Z1291" s="105">
        <f>IF($W$1110&gt;0,'Assumptions (Nuclear)'!Y10*Model!$W$1110*AVERAGE('Assumptions (Nuclear)'!$P$2:$U$2)/10^9,0)</f>
        <v>0</v>
      </c>
      <c r="AA1291" s="105">
        <f>IF($W$1110&gt;0,'Assumptions (Nuclear)'!Z10*Model!$W$1110*AVERAGE('Assumptions (Nuclear)'!$P$2:$U$2)/10^9,0)</f>
        <v>0</v>
      </c>
      <c r="AB1291" s="105">
        <f>IF($W$1110&gt;0,'Assumptions (Nuclear)'!AA10*Model!$W$1110*AVERAGE('Assumptions (Nuclear)'!$P$2:$U$2)/10^9,0)</f>
        <v>0</v>
      </c>
      <c r="AC1291" s="105">
        <f>IF($W$1110&gt;0,'Assumptions (Nuclear)'!AB10*Model!$W$1110*AVERAGE('Assumptions (Nuclear)'!$P$2:$U$2)/10^9,0)</f>
        <v>0</v>
      </c>
      <c r="AD1291" s="105">
        <f>IF($W$1110&gt;0,'Assumptions (Nuclear)'!AC10*Model!$W$1110*AVERAGE('Assumptions (Nuclear)'!$P$2:$U$2)/10^9,0)</f>
        <v>0</v>
      </c>
      <c r="AE1291" s="105">
        <f>IF($W$1110&gt;0,'Assumptions (Nuclear)'!AD10*Model!$W$1110*AVERAGE('Assumptions (Nuclear)'!$P$2:$U$2)/10^9,0)</f>
        <v>0</v>
      </c>
      <c r="AF1291" s="105">
        <f>IF($W$1110&gt;0,'Assumptions (Nuclear)'!AE10*Model!$W$1110*AVERAGE('Assumptions (Nuclear)'!$P$2:$U$2)/10^9,0)</f>
        <v>0</v>
      </c>
      <c r="AG1291" s="105">
        <f>IF($W$1110&gt;0,'Assumptions (Nuclear)'!AF10*Model!$W$1110*AVERAGE('Assumptions (Nuclear)'!$P$2:$U$2)/10^9,0)</f>
        <v>0</v>
      </c>
      <c r="AH1291" s="105">
        <f>IF($W$1110&gt;0,'Assumptions (Nuclear)'!AG10*Model!$W$1110*AVERAGE('Assumptions (Nuclear)'!$P$2:$U$2)/10^9,0)</f>
        <v>0</v>
      </c>
      <c r="AI1291" s="105">
        <f>IF($W$1110&gt;0,'Assumptions (Nuclear)'!AH10*Model!$W$1110*AVERAGE('Assumptions (Nuclear)'!$P$2:$U$2)/10^9,0)</f>
        <v>0</v>
      </c>
      <c r="AJ1291" s="105">
        <f>IF($W$1110&gt;0,'Assumptions (Nuclear)'!AI10*Model!$W$1110*AVERAGE('Assumptions (Nuclear)'!$P$2:$U$2)/10^9,0)</f>
        <v>0</v>
      </c>
      <c r="AK1291" s="105">
        <f>IF($W$1110&gt;0,'Assumptions (Nuclear)'!AJ10*Model!$W$1110*AVERAGE('Assumptions (Nuclear)'!$P$2:$U$2)/10^9,0)</f>
        <v>0</v>
      </c>
      <c r="AL1291" s="105">
        <f>IF($W$1110&gt;0,'Assumptions (Nuclear)'!AK10*Model!$W$1110*AVERAGE('Assumptions (Nuclear)'!$P$2:$U$2)/10^9,0)</f>
        <v>0</v>
      </c>
      <c r="AM1291" s="105"/>
      <c r="AN1291" s="105"/>
      <c r="AO1291" s="105"/>
      <c r="AP1291" s="105"/>
      <c r="AQ1291" s="105"/>
      <c r="AR1291" s="105"/>
      <c r="AS1291" s="105"/>
      <c r="AT1291" s="105"/>
      <c r="AU1291" s="105"/>
      <c r="AV1291" s="105"/>
      <c r="AW1291" s="105"/>
      <c r="AX1291" s="105"/>
      <c r="AY1291" s="105"/>
      <c r="AZ1291" s="105"/>
      <c r="BA1291" s="105"/>
    </row>
    <row r="1292" spans="1:53" ht="15.75" hidden="1" customHeight="1" outlineLevel="1">
      <c r="A1292" s="407"/>
      <c r="B1292" s="99"/>
      <c r="C1292" s="99"/>
      <c r="D1292" s="99"/>
      <c r="E1292" s="99"/>
      <c r="F1292" s="99"/>
      <c r="G1292" s="99"/>
      <c r="H1292" s="99"/>
      <c r="I1292" s="99"/>
      <c r="J1292" s="99"/>
      <c r="K1292" s="99"/>
      <c r="L1292" s="99"/>
      <c r="M1292" s="99"/>
      <c r="N1292" s="99"/>
      <c r="O1292" s="99"/>
      <c r="P1292" s="99"/>
      <c r="Q1292" s="99"/>
      <c r="R1292" s="99"/>
      <c r="S1292" s="99"/>
      <c r="T1292" s="99"/>
      <c r="U1292" s="99"/>
      <c r="V1292" s="99"/>
      <c r="W1292" s="105"/>
      <c r="X1292" s="105">
        <f>IF($X$1110&gt;0,'Assumptions (Nuclear)'!V10*Model!$X$1110*AVERAGE('Assumptions (Nuclear)'!$Q$2:$V$2)/10^9,0)</f>
        <v>0</v>
      </c>
      <c r="Y1292" s="105">
        <f>IF($X$1110&gt;0,'Assumptions (Nuclear)'!W10*Model!$X$1110*AVERAGE('Assumptions (Nuclear)'!$Q$2:$V$2)/10^9,0)</f>
        <v>0</v>
      </c>
      <c r="Z1292" s="105">
        <f>IF($X$1110&gt;0,'Assumptions (Nuclear)'!X10*Model!$X$1110*AVERAGE('Assumptions (Nuclear)'!$Q$2:$V$2)/10^9,0)</f>
        <v>0</v>
      </c>
      <c r="AA1292" s="105">
        <f>IF($X$1110&gt;0,'Assumptions (Nuclear)'!Y10*Model!$X$1110*AVERAGE('Assumptions (Nuclear)'!$Q$2:$V$2)/10^9,0)</f>
        <v>0</v>
      </c>
      <c r="AB1292" s="105">
        <f>IF($X$1110&gt;0,'Assumptions (Nuclear)'!Z10*Model!$X$1110*AVERAGE('Assumptions (Nuclear)'!$Q$2:$V$2)/10^9,0)</f>
        <v>0</v>
      </c>
      <c r="AC1292" s="105">
        <f>IF($X$1110&gt;0,'Assumptions (Nuclear)'!AA10*Model!$X$1110*AVERAGE('Assumptions (Nuclear)'!$Q$2:$V$2)/10^9,0)</f>
        <v>0</v>
      </c>
      <c r="AD1292" s="105">
        <f>IF($X$1110&gt;0,'Assumptions (Nuclear)'!AB10*Model!$X$1110*AVERAGE('Assumptions (Nuclear)'!$Q$2:$V$2)/10^9,0)</f>
        <v>0</v>
      </c>
      <c r="AE1292" s="105">
        <f>IF($X$1110&gt;0,'Assumptions (Nuclear)'!AC10*Model!$X$1110*AVERAGE('Assumptions (Nuclear)'!$Q$2:$V$2)/10^9,0)</f>
        <v>0</v>
      </c>
      <c r="AF1292" s="105">
        <f>IF($X$1110&gt;0,'Assumptions (Nuclear)'!AD10*Model!$X$1110*AVERAGE('Assumptions (Nuclear)'!$Q$2:$V$2)/10^9,0)</f>
        <v>0</v>
      </c>
      <c r="AG1292" s="105">
        <f>IF($X$1110&gt;0,'Assumptions (Nuclear)'!AE10*Model!$X$1110*AVERAGE('Assumptions (Nuclear)'!$Q$2:$V$2)/10^9,0)</f>
        <v>0</v>
      </c>
      <c r="AH1292" s="105">
        <f>IF($X$1110&gt;0,'Assumptions (Nuclear)'!AF10*Model!$X$1110*AVERAGE('Assumptions (Nuclear)'!$Q$2:$V$2)/10^9,0)</f>
        <v>0</v>
      </c>
      <c r="AI1292" s="105">
        <f>IF($X$1110&gt;0,'Assumptions (Nuclear)'!AG10*Model!$X$1110*AVERAGE('Assumptions (Nuclear)'!$Q$2:$V$2)/10^9,0)</f>
        <v>0</v>
      </c>
      <c r="AJ1292" s="105">
        <f>IF($X$1110&gt;0,'Assumptions (Nuclear)'!AH10*Model!$X$1110*AVERAGE('Assumptions (Nuclear)'!$Q$2:$V$2)/10^9,0)</f>
        <v>0</v>
      </c>
      <c r="AK1292" s="105">
        <f>IF($X$1110&gt;0,'Assumptions (Nuclear)'!AI10*Model!$X$1110*AVERAGE('Assumptions (Nuclear)'!$Q$2:$V$2)/10^9,0)</f>
        <v>0</v>
      </c>
      <c r="AL1292" s="105">
        <f>IF($X$1110&gt;0,'Assumptions (Nuclear)'!AJ10*Model!$X$1110*AVERAGE('Assumptions (Nuclear)'!$Q$2:$V$2)/10^9,0)</f>
        <v>0</v>
      </c>
      <c r="AM1292" s="105">
        <f>IF($X$1110&gt;0,'Assumptions (Nuclear)'!AK10*Model!$X$1110*AVERAGE('Assumptions (Nuclear)'!$Q$2:$V$2)/10^9,0)</f>
        <v>0</v>
      </c>
      <c r="AN1292" s="105"/>
      <c r="AO1292" s="105"/>
      <c r="AP1292" s="105"/>
      <c r="AQ1292" s="105"/>
      <c r="AR1292" s="105"/>
      <c r="AS1292" s="105"/>
      <c r="AT1292" s="105"/>
      <c r="AU1292" s="105"/>
      <c r="AV1292" s="105"/>
      <c r="AW1292" s="105"/>
      <c r="AX1292" s="105"/>
      <c r="AY1292" s="105"/>
      <c r="AZ1292" s="105"/>
      <c r="BA1292" s="105"/>
    </row>
    <row r="1293" spans="1:53" ht="15.75" hidden="1" customHeight="1" outlineLevel="1">
      <c r="A1293" s="407"/>
      <c r="B1293" s="99"/>
      <c r="C1293" s="99"/>
      <c r="D1293" s="99"/>
      <c r="E1293" s="99"/>
      <c r="F1293" s="99"/>
      <c r="G1293" s="99"/>
      <c r="H1293" s="99"/>
      <c r="I1293" s="99"/>
      <c r="J1293" s="99"/>
      <c r="K1293" s="99"/>
      <c r="L1293" s="99"/>
      <c r="M1293" s="99"/>
      <c r="N1293" s="99"/>
      <c r="O1293" s="99"/>
      <c r="P1293" s="99"/>
      <c r="Q1293" s="99"/>
      <c r="R1293" s="99"/>
      <c r="S1293" s="99"/>
      <c r="T1293" s="99"/>
      <c r="U1293" s="99"/>
      <c r="V1293" s="99"/>
      <c r="W1293" s="105"/>
      <c r="X1293" s="105"/>
      <c r="Y1293" s="105">
        <f>IF($Y$1110&gt;0,'Assumptions (Nuclear)'!V10*Model!$Y$1110*AVERAGE('Assumptions (Nuclear)'!$R$2:$W$2)/10^9,0)</f>
        <v>0</v>
      </c>
      <c r="Z1293" s="105">
        <f>IF($Y$1110&gt;0,'Assumptions (Nuclear)'!W10*Model!$Y$1110*AVERAGE('Assumptions (Nuclear)'!$R$2:$W$2)/10^9,0)</f>
        <v>0</v>
      </c>
      <c r="AA1293" s="105">
        <f>IF($Y$1110&gt;0,'Assumptions (Nuclear)'!X10*Model!$Y$1110*AVERAGE('Assumptions (Nuclear)'!$R$2:$W$2)/10^9,0)</f>
        <v>0</v>
      </c>
      <c r="AB1293" s="105">
        <f>IF($Y$1110&gt;0,'Assumptions (Nuclear)'!Y10*Model!$Y$1110*AVERAGE('Assumptions (Nuclear)'!$R$2:$W$2)/10^9,0)</f>
        <v>0</v>
      </c>
      <c r="AC1293" s="105">
        <f>IF($Y$1110&gt;0,'Assumptions (Nuclear)'!Z10*Model!$Y$1110*AVERAGE('Assumptions (Nuclear)'!$R$2:$W$2)/10^9,0)</f>
        <v>0</v>
      </c>
      <c r="AD1293" s="105">
        <f>IF($Y$1110&gt;0,'Assumptions (Nuclear)'!AA10*Model!$Y$1110*AVERAGE('Assumptions (Nuclear)'!$R$2:$W$2)/10^9,0)</f>
        <v>0</v>
      </c>
      <c r="AE1293" s="105">
        <f>IF($Y$1110&gt;0,'Assumptions (Nuclear)'!AB10*Model!$Y$1110*AVERAGE('Assumptions (Nuclear)'!$R$2:$W$2)/10^9,0)</f>
        <v>0</v>
      </c>
      <c r="AF1293" s="105">
        <f>IF($Y$1110&gt;0,'Assumptions (Nuclear)'!AC10*Model!$Y$1110*AVERAGE('Assumptions (Nuclear)'!$R$2:$W$2)/10^9,0)</f>
        <v>0</v>
      </c>
      <c r="AG1293" s="105">
        <f>IF($Y$1110&gt;0,'Assumptions (Nuclear)'!AD10*Model!$Y$1110*AVERAGE('Assumptions (Nuclear)'!$R$2:$W$2)/10^9,0)</f>
        <v>0</v>
      </c>
      <c r="AH1293" s="105">
        <f>IF($Y$1110&gt;0,'Assumptions (Nuclear)'!AE10*Model!$Y$1110*AVERAGE('Assumptions (Nuclear)'!$R$2:$W$2)/10^9,0)</f>
        <v>0</v>
      </c>
      <c r="AI1293" s="105">
        <f>IF($Y$1110&gt;0,'Assumptions (Nuclear)'!AF10*Model!$Y$1110*AVERAGE('Assumptions (Nuclear)'!$R$2:$W$2)/10^9,0)</f>
        <v>0</v>
      </c>
      <c r="AJ1293" s="105">
        <f>IF($Y$1110&gt;0,'Assumptions (Nuclear)'!AG10*Model!$Y$1110*AVERAGE('Assumptions (Nuclear)'!$R$2:$W$2)/10^9,0)</f>
        <v>0</v>
      </c>
      <c r="AK1293" s="105">
        <f>IF($Y$1110&gt;0,'Assumptions (Nuclear)'!AH10*Model!$Y$1110*AVERAGE('Assumptions (Nuclear)'!$R$2:$W$2)/10^9,0)</f>
        <v>0</v>
      </c>
      <c r="AL1293" s="105">
        <f>IF($Y$1110&gt;0,'Assumptions (Nuclear)'!AI10*Model!$Y$1110*AVERAGE('Assumptions (Nuclear)'!$R$2:$W$2)/10^9,0)</f>
        <v>0</v>
      </c>
      <c r="AM1293" s="105">
        <f>IF($Y$1110&gt;0,'Assumptions (Nuclear)'!AJ10*Model!$Y$1110*AVERAGE('Assumptions (Nuclear)'!$R$2:$W$2)/10^9,0)</f>
        <v>0</v>
      </c>
      <c r="AN1293" s="105">
        <f>IF($Y$1110&gt;0,'Assumptions (Nuclear)'!AK10*Model!$Y$1110*AVERAGE('Assumptions (Nuclear)'!$R$2:$W$2)/10^9,0)</f>
        <v>0</v>
      </c>
      <c r="AO1293" s="105"/>
      <c r="AP1293" s="105"/>
      <c r="AQ1293" s="105"/>
      <c r="AR1293" s="105"/>
      <c r="AS1293" s="105"/>
      <c r="AT1293" s="105"/>
      <c r="AU1293" s="105"/>
      <c r="AV1293" s="105"/>
      <c r="AW1293" s="105"/>
      <c r="AX1293" s="105"/>
      <c r="AY1293" s="105"/>
      <c r="AZ1293" s="105"/>
      <c r="BA1293" s="105"/>
    </row>
    <row r="1294" spans="1:53" ht="15.75" hidden="1" customHeight="1" outlineLevel="1">
      <c r="A1294" s="407"/>
      <c r="B1294" s="99"/>
      <c r="C1294" s="99"/>
      <c r="D1294" s="99"/>
      <c r="E1294" s="99"/>
      <c r="F1294" s="99"/>
      <c r="G1294" s="99"/>
      <c r="H1294" s="99"/>
      <c r="I1294" s="99"/>
      <c r="J1294" s="99"/>
      <c r="K1294" s="99"/>
      <c r="L1294" s="99"/>
      <c r="M1294" s="99"/>
      <c r="N1294" s="99"/>
      <c r="O1294" s="99"/>
      <c r="P1294" s="99"/>
      <c r="Q1294" s="99"/>
      <c r="R1294" s="99"/>
      <c r="S1294" s="99"/>
      <c r="T1294" s="99"/>
      <c r="U1294" s="99"/>
      <c r="V1294" s="99"/>
      <c r="W1294" s="105"/>
      <c r="X1294" s="105"/>
      <c r="Y1294" s="105"/>
      <c r="Z1294" s="105">
        <f>IF($Z$1110&gt;0,'Assumptions (Nuclear)'!V10*Model!$Z$1110*AVERAGE('Assumptions (Nuclear)'!$S$2:$X$2)/10^9,0)</f>
        <v>0</v>
      </c>
      <c r="AA1294" s="105">
        <f>IF($Z$1110&gt;0,'Assumptions (Nuclear)'!W10*Model!$Z$1110*AVERAGE('Assumptions (Nuclear)'!$S$2:$X$2)/10^9,0)</f>
        <v>0</v>
      </c>
      <c r="AB1294" s="105">
        <f>IF($Z$1110&gt;0,'Assumptions (Nuclear)'!X10*Model!$Z$1110*AVERAGE('Assumptions (Nuclear)'!$S$2:$X$2)/10^9,0)</f>
        <v>0</v>
      </c>
      <c r="AC1294" s="105">
        <f>IF($Z$1110&gt;0,'Assumptions (Nuclear)'!Y10*Model!$Z$1110*AVERAGE('Assumptions (Nuclear)'!$S$2:$X$2)/10^9,0)</f>
        <v>0</v>
      </c>
      <c r="AD1294" s="105">
        <f>IF($Z$1110&gt;0,'Assumptions (Nuclear)'!Z10*Model!$Z$1110*AVERAGE('Assumptions (Nuclear)'!$S$2:$X$2)/10^9,0)</f>
        <v>0</v>
      </c>
      <c r="AE1294" s="105">
        <f>IF($Z$1110&gt;0,'Assumptions (Nuclear)'!AA10*Model!$Z$1110*AVERAGE('Assumptions (Nuclear)'!$S$2:$X$2)/10^9,0)</f>
        <v>0</v>
      </c>
      <c r="AF1294" s="105">
        <f>IF($Z$1110&gt;0,'Assumptions (Nuclear)'!AB10*Model!$Z$1110*AVERAGE('Assumptions (Nuclear)'!$S$2:$X$2)/10^9,0)</f>
        <v>0</v>
      </c>
      <c r="AG1294" s="105">
        <f>IF($Z$1110&gt;0,'Assumptions (Nuclear)'!AC10*Model!$Z$1110*AVERAGE('Assumptions (Nuclear)'!$S$2:$X$2)/10^9,0)</f>
        <v>0</v>
      </c>
      <c r="AH1294" s="105">
        <f>IF($Z$1110&gt;0,'Assumptions (Nuclear)'!AD10*Model!$Z$1110*AVERAGE('Assumptions (Nuclear)'!$S$2:$X$2)/10^9,0)</f>
        <v>0</v>
      </c>
      <c r="AI1294" s="105">
        <f>IF($Z$1110&gt;0,'Assumptions (Nuclear)'!AE10*Model!$Z$1110*AVERAGE('Assumptions (Nuclear)'!$S$2:$X$2)/10^9,0)</f>
        <v>0</v>
      </c>
      <c r="AJ1294" s="105">
        <f>IF($Z$1110&gt;0,'Assumptions (Nuclear)'!AF10*Model!$Z$1110*AVERAGE('Assumptions (Nuclear)'!$S$2:$X$2)/10^9,0)</f>
        <v>0</v>
      </c>
      <c r="AK1294" s="105">
        <f>IF($Z$1110&gt;0,'Assumptions (Nuclear)'!AG10*Model!$Z$1110*AVERAGE('Assumptions (Nuclear)'!$S$2:$X$2)/10^9,0)</f>
        <v>0</v>
      </c>
      <c r="AL1294" s="105">
        <f>IF($Z$1110&gt;0,'Assumptions (Nuclear)'!AH10*Model!$Z$1110*AVERAGE('Assumptions (Nuclear)'!$S$2:$X$2)/10^9,0)</f>
        <v>0</v>
      </c>
      <c r="AM1294" s="105">
        <f>IF($Z$1110&gt;0,'Assumptions (Nuclear)'!AI10*Model!$Z$1110*AVERAGE('Assumptions (Nuclear)'!$S$2:$X$2)/10^9,0)</f>
        <v>0</v>
      </c>
      <c r="AN1294" s="105">
        <f>IF($Z$1110&gt;0,'Assumptions (Nuclear)'!AJ10*Model!$Z$1110*AVERAGE('Assumptions (Nuclear)'!$S$2:$X$2)/10^9,0)</f>
        <v>0</v>
      </c>
      <c r="AO1294" s="105">
        <f>IF($Z$1110&gt;0,'Assumptions (Nuclear)'!AK10*Model!$Z$1110*AVERAGE('Assumptions (Nuclear)'!$S$2:$X$2)/10^9,0)</f>
        <v>0</v>
      </c>
      <c r="AP1294" s="105"/>
      <c r="AQ1294" s="105"/>
      <c r="AR1294" s="105"/>
      <c r="AS1294" s="105"/>
      <c r="AT1294" s="105"/>
      <c r="AU1294" s="105"/>
      <c r="AV1294" s="105"/>
      <c r="AW1294" s="105"/>
      <c r="AX1294" s="105"/>
      <c r="AY1294" s="105"/>
      <c r="AZ1294" s="105"/>
      <c r="BA1294" s="105"/>
    </row>
    <row r="1295" spans="1:53" ht="15.75" hidden="1" customHeight="1" outlineLevel="1">
      <c r="A1295" s="407"/>
      <c r="B1295" s="99"/>
      <c r="C1295" s="99"/>
      <c r="D1295" s="99"/>
      <c r="E1295" s="99"/>
      <c r="F1295" s="99"/>
      <c r="G1295" s="99"/>
      <c r="H1295" s="99"/>
      <c r="I1295" s="99"/>
      <c r="J1295" s="99"/>
      <c r="K1295" s="99"/>
      <c r="L1295" s="99"/>
      <c r="M1295" s="99"/>
      <c r="N1295" s="99"/>
      <c r="O1295" s="99"/>
      <c r="P1295" s="99"/>
      <c r="Q1295" s="99"/>
      <c r="R1295" s="99"/>
      <c r="S1295" s="99"/>
      <c r="T1295" s="99"/>
      <c r="U1295" s="99"/>
      <c r="V1295" s="99"/>
      <c r="W1295" s="105"/>
      <c r="X1295" s="105"/>
      <c r="Y1295" s="105"/>
      <c r="Z1295" s="105"/>
      <c r="AA1295" s="105">
        <f>IF($AA$1110&gt;0,'Assumptions (Nuclear)'!V10*Model!$AA$1110*AVERAGE('Assumptions (Nuclear)'!$T$2:$Y$2)/10^9,0)</f>
        <v>0</v>
      </c>
      <c r="AB1295" s="105">
        <f>IF($AA$1110&gt;0,'Assumptions (Nuclear)'!W10*Model!$AA$1110*AVERAGE('Assumptions (Nuclear)'!$T$2:$Y$2)/10^9,0)</f>
        <v>0</v>
      </c>
      <c r="AC1295" s="105">
        <f>IF($AA$1110&gt;0,'Assumptions (Nuclear)'!X10*Model!$AA$1110*AVERAGE('Assumptions (Nuclear)'!$T$2:$Y$2)/10^9,0)</f>
        <v>0</v>
      </c>
      <c r="AD1295" s="105">
        <f>IF($AA$1110&gt;0,'Assumptions (Nuclear)'!Y10*Model!$AA$1110*AVERAGE('Assumptions (Nuclear)'!$T$2:$Y$2)/10^9,0)</f>
        <v>0</v>
      </c>
      <c r="AE1295" s="105">
        <f>IF($AA$1110&gt;0,'Assumptions (Nuclear)'!Z10*Model!$AA$1110*AVERAGE('Assumptions (Nuclear)'!$T$2:$Y$2)/10^9,0)</f>
        <v>0</v>
      </c>
      <c r="AF1295" s="105">
        <f>IF($AA$1110&gt;0,'Assumptions (Nuclear)'!AA10*Model!$AA$1110*AVERAGE('Assumptions (Nuclear)'!$T$2:$Y$2)/10^9,0)</f>
        <v>0</v>
      </c>
      <c r="AG1295" s="105">
        <f>IF($AA$1110&gt;0,'Assumptions (Nuclear)'!AB10*Model!$AA$1110*AVERAGE('Assumptions (Nuclear)'!$T$2:$Y$2)/10^9,0)</f>
        <v>0</v>
      </c>
      <c r="AH1295" s="105">
        <f>IF($AA$1110&gt;0,'Assumptions (Nuclear)'!AC10*Model!$AA$1110*AVERAGE('Assumptions (Nuclear)'!$T$2:$Y$2)/10^9,0)</f>
        <v>0</v>
      </c>
      <c r="AI1295" s="105">
        <f>IF($AA$1110&gt;0,'Assumptions (Nuclear)'!AD10*Model!$AA$1110*AVERAGE('Assumptions (Nuclear)'!$T$2:$Y$2)/10^9,0)</f>
        <v>0</v>
      </c>
      <c r="AJ1295" s="105">
        <f>IF($AA$1110&gt;0,'Assumptions (Nuclear)'!AE10*Model!$AA$1110*AVERAGE('Assumptions (Nuclear)'!$T$2:$Y$2)/10^9,0)</f>
        <v>0</v>
      </c>
      <c r="AK1295" s="105">
        <f>IF($AA$1110&gt;0,'Assumptions (Nuclear)'!AF10*Model!$AA$1110*AVERAGE('Assumptions (Nuclear)'!$T$2:$Y$2)/10^9,0)</f>
        <v>0</v>
      </c>
      <c r="AL1295" s="105">
        <f>IF($AA$1110&gt;0,'Assumptions (Nuclear)'!AG10*Model!$AA$1110*AVERAGE('Assumptions (Nuclear)'!$T$2:$Y$2)/10^9,0)</f>
        <v>0</v>
      </c>
      <c r="AM1295" s="105">
        <f>IF($AA$1110&gt;0,'Assumptions (Nuclear)'!AH10*Model!$AA$1110*AVERAGE('Assumptions (Nuclear)'!$T$2:$Y$2)/10^9,0)</f>
        <v>0</v>
      </c>
      <c r="AN1295" s="105">
        <f>IF($AA$1110&gt;0,'Assumptions (Nuclear)'!AI10*Model!$AA$1110*AVERAGE('Assumptions (Nuclear)'!$T$2:$Y$2)/10^9,0)</f>
        <v>0</v>
      </c>
      <c r="AO1295" s="105">
        <f>IF($AA$1110&gt;0,'Assumptions (Nuclear)'!AJ10*Model!$AA$1110*AVERAGE('Assumptions (Nuclear)'!$T$2:$Y$2)/10^9,0)</f>
        <v>0</v>
      </c>
      <c r="AP1295" s="105">
        <f>IF($AA$1110&gt;0,'Assumptions (Nuclear)'!AK10*Model!$AA$1110*AVERAGE('Assumptions (Nuclear)'!$T$2:$Y$2)/10^9,0)</f>
        <v>0</v>
      </c>
      <c r="AQ1295" s="105"/>
      <c r="AR1295" s="105"/>
      <c r="AS1295" s="105"/>
      <c r="AT1295" s="105"/>
      <c r="AU1295" s="105"/>
      <c r="AV1295" s="105"/>
      <c r="AW1295" s="105"/>
      <c r="AX1295" s="105"/>
      <c r="AY1295" s="105"/>
      <c r="AZ1295" s="105"/>
      <c r="BA1295" s="105"/>
    </row>
    <row r="1296" spans="1:53" ht="15.75" hidden="1" customHeight="1" outlineLevel="1">
      <c r="A1296" s="407"/>
      <c r="B1296" s="99"/>
      <c r="C1296" s="99"/>
      <c r="D1296" s="99"/>
      <c r="E1296" s="99"/>
      <c r="F1296" s="99"/>
      <c r="G1296" s="99"/>
      <c r="H1296" s="99"/>
      <c r="I1296" s="99"/>
      <c r="J1296" s="99"/>
      <c r="K1296" s="99"/>
      <c r="L1296" s="99"/>
      <c r="M1296" s="99"/>
      <c r="N1296" s="99"/>
      <c r="O1296" s="99"/>
      <c r="P1296" s="99"/>
      <c r="Q1296" s="99"/>
      <c r="R1296" s="99"/>
      <c r="S1296" s="99"/>
      <c r="T1296" s="99"/>
      <c r="U1296" s="99"/>
      <c r="V1296" s="99"/>
      <c r="W1296" s="105"/>
      <c r="X1296" s="105"/>
      <c r="Y1296" s="105"/>
      <c r="Z1296" s="105"/>
      <c r="AA1296" s="105"/>
      <c r="AB1296" s="105">
        <f>IF($AB$1110&gt;0,'Assumptions (Nuclear)'!V10*Model!$AB$1110*AVERAGE('Assumptions (Nuclear)'!$U$2:$Z$2)/10^9,0)</f>
        <v>0</v>
      </c>
      <c r="AC1296" s="105">
        <f>IF($AB$1110&gt;0,'Assumptions (Nuclear)'!W10*Model!$AB$1110*AVERAGE('Assumptions (Nuclear)'!$U$2:$Z$2)/10^9,0)</f>
        <v>0</v>
      </c>
      <c r="AD1296" s="105">
        <f>IF($AB$1110&gt;0,'Assumptions (Nuclear)'!X10*Model!$AB$1110*AVERAGE('Assumptions (Nuclear)'!$U$2:$Z$2)/10^9,0)</f>
        <v>0</v>
      </c>
      <c r="AE1296" s="105">
        <f>IF($AB$1110&gt;0,'Assumptions (Nuclear)'!Y10*Model!$AB$1110*AVERAGE('Assumptions (Nuclear)'!$U$2:$Z$2)/10^9,0)</f>
        <v>0</v>
      </c>
      <c r="AF1296" s="105">
        <f>IF($AB$1110&gt;0,'Assumptions (Nuclear)'!Z10*Model!$AB$1110*AVERAGE('Assumptions (Nuclear)'!$U$2:$Z$2)/10^9,0)</f>
        <v>0</v>
      </c>
      <c r="AG1296" s="105">
        <f>IF($AB$1110&gt;0,'Assumptions (Nuclear)'!AA10*Model!$AB$1110*AVERAGE('Assumptions (Nuclear)'!$U$2:$Z$2)/10^9,0)</f>
        <v>0</v>
      </c>
      <c r="AH1296" s="105">
        <f>IF($AB$1110&gt;0,'Assumptions (Nuclear)'!AB10*Model!$AB$1110*AVERAGE('Assumptions (Nuclear)'!$U$2:$Z$2)/10^9,0)</f>
        <v>0</v>
      </c>
      <c r="AI1296" s="105">
        <f>IF($AB$1110&gt;0,'Assumptions (Nuclear)'!AC10*Model!$AB$1110*AVERAGE('Assumptions (Nuclear)'!$U$2:$Z$2)/10^9,0)</f>
        <v>0</v>
      </c>
      <c r="AJ1296" s="105">
        <f>IF($AB$1110&gt;0,'Assumptions (Nuclear)'!AD10*Model!$AB$1110*AVERAGE('Assumptions (Nuclear)'!$U$2:$Z$2)/10^9,0)</f>
        <v>0</v>
      </c>
      <c r="AK1296" s="105">
        <f>IF($AB$1110&gt;0,'Assumptions (Nuclear)'!AE10*Model!$AB$1110*AVERAGE('Assumptions (Nuclear)'!$U$2:$Z$2)/10^9,0)</f>
        <v>0</v>
      </c>
      <c r="AL1296" s="105">
        <f>IF($AB$1110&gt;0,'Assumptions (Nuclear)'!AF10*Model!$AB$1110*AVERAGE('Assumptions (Nuclear)'!$U$2:$Z$2)/10^9,0)</f>
        <v>0</v>
      </c>
      <c r="AM1296" s="105">
        <f>IF($AB$1110&gt;0,'Assumptions (Nuclear)'!AG10*Model!$AB$1110*AVERAGE('Assumptions (Nuclear)'!$U$2:$Z$2)/10^9,0)</f>
        <v>0</v>
      </c>
      <c r="AN1296" s="105">
        <f>IF($AB$1110&gt;0,'Assumptions (Nuclear)'!AH10*Model!$AB$1110*AVERAGE('Assumptions (Nuclear)'!$U$2:$Z$2)/10^9,0)</f>
        <v>0</v>
      </c>
      <c r="AO1296" s="105">
        <f>IF($AB$1110&gt;0,'Assumptions (Nuclear)'!AI10*Model!$AB$1110*AVERAGE('Assumptions (Nuclear)'!$U$2:$Z$2)/10^9,0)</f>
        <v>0</v>
      </c>
      <c r="AP1296" s="105">
        <f>IF($AB$1110&gt;0,'Assumptions (Nuclear)'!AJ10*Model!$AB$1110*AVERAGE('Assumptions (Nuclear)'!$U$2:$Z$2)/10^9,0)</f>
        <v>0</v>
      </c>
      <c r="AQ1296" s="105">
        <f>IF($AB$1110&gt;0,'Assumptions (Nuclear)'!AK10*Model!$AB$1110*AVERAGE('Assumptions (Nuclear)'!$U$2:$Z$2)/10^9,0)</f>
        <v>0</v>
      </c>
      <c r="AR1296" s="105"/>
      <c r="AS1296" s="105"/>
      <c r="AT1296" s="105"/>
      <c r="AU1296" s="105"/>
      <c r="AV1296" s="105"/>
      <c r="AW1296" s="105"/>
      <c r="AX1296" s="105"/>
      <c r="AY1296" s="105"/>
      <c r="AZ1296" s="105"/>
      <c r="BA1296" s="105"/>
    </row>
    <row r="1297" spans="1:68" ht="15.75" hidden="1" customHeight="1" outlineLevel="1">
      <c r="A1297" s="407"/>
      <c r="B1297" s="99"/>
      <c r="C1297" s="99"/>
      <c r="D1297" s="99"/>
      <c r="E1297" s="99"/>
      <c r="F1297" s="99"/>
      <c r="G1297" s="99"/>
      <c r="H1297" s="99"/>
      <c r="I1297" s="99"/>
      <c r="J1297" s="99"/>
      <c r="K1297" s="99"/>
      <c r="L1297" s="99"/>
      <c r="M1297" s="99"/>
      <c r="N1297" s="99"/>
      <c r="O1297" s="99"/>
      <c r="P1297" s="99"/>
      <c r="Q1297" s="99"/>
      <c r="R1297" s="99"/>
      <c r="S1297" s="99"/>
      <c r="T1297" s="99"/>
      <c r="U1297" s="99"/>
      <c r="V1297" s="99"/>
      <c r="W1297" s="105"/>
      <c r="X1297" s="105"/>
      <c r="Y1297" s="105"/>
      <c r="Z1297" s="105"/>
      <c r="AA1297" s="105"/>
      <c r="AB1297" s="105"/>
      <c r="AC1297" s="105">
        <f>IF($AC$1110&gt;0,'Assumptions (Nuclear)'!V10*Model!$AC$1110*AVERAGE('Assumptions (Nuclear)'!$V$2:$AA$2)/10^9,0)</f>
        <v>0</v>
      </c>
      <c r="AD1297" s="105">
        <f>IF($AC$1110&gt;0,'Assumptions (Nuclear)'!W10*Model!$AC$1110*AVERAGE('Assumptions (Nuclear)'!$V$2:$AA$2)/10^9,0)</f>
        <v>0</v>
      </c>
      <c r="AE1297" s="105">
        <f>IF($AC$1110&gt;0,'Assumptions (Nuclear)'!X10*Model!$AC$1110*AVERAGE('Assumptions (Nuclear)'!$V$2:$AA$2)/10^9,0)</f>
        <v>0</v>
      </c>
      <c r="AF1297" s="105">
        <f>IF($AC$1110&gt;0,'Assumptions (Nuclear)'!Y10*Model!$AC$1110*AVERAGE('Assumptions (Nuclear)'!$V$2:$AA$2)/10^9,0)</f>
        <v>0</v>
      </c>
      <c r="AG1297" s="105">
        <f>IF($AC$1110&gt;0,'Assumptions (Nuclear)'!Z10*Model!$AC$1110*AVERAGE('Assumptions (Nuclear)'!$V$2:$AA$2)/10^9,0)</f>
        <v>0</v>
      </c>
      <c r="AH1297" s="105">
        <f>IF($AC$1110&gt;0,'Assumptions (Nuclear)'!AA10*Model!$AC$1110*AVERAGE('Assumptions (Nuclear)'!$V$2:$AA$2)/10^9,0)</f>
        <v>0</v>
      </c>
      <c r="AI1297" s="105">
        <f>IF($AC$1110&gt;0,'Assumptions (Nuclear)'!AB10*Model!$AC$1110*AVERAGE('Assumptions (Nuclear)'!$V$2:$AA$2)/10^9,0)</f>
        <v>0</v>
      </c>
      <c r="AJ1297" s="105">
        <f>IF($AC$1110&gt;0,'Assumptions (Nuclear)'!AC10*Model!$AC$1110*AVERAGE('Assumptions (Nuclear)'!$V$2:$AA$2)/10^9,0)</f>
        <v>0</v>
      </c>
      <c r="AK1297" s="105">
        <f>IF($AC$1110&gt;0,'Assumptions (Nuclear)'!AD10*Model!$AC$1110*AVERAGE('Assumptions (Nuclear)'!$V$2:$AA$2)/10^9,0)</f>
        <v>0</v>
      </c>
      <c r="AL1297" s="105">
        <f>IF($AC$1110&gt;0,'Assumptions (Nuclear)'!AE10*Model!$AC$1110*AVERAGE('Assumptions (Nuclear)'!$V$2:$AA$2)/10^9,0)</f>
        <v>0</v>
      </c>
      <c r="AM1297" s="105">
        <f>IF($AC$1110&gt;0,'Assumptions (Nuclear)'!AF10*Model!$AC$1110*AVERAGE('Assumptions (Nuclear)'!$V$2:$AA$2)/10^9,0)</f>
        <v>0</v>
      </c>
      <c r="AN1297" s="105">
        <f>IF($AC$1110&gt;0,'Assumptions (Nuclear)'!AG10*Model!$AC$1110*AVERAGE('Assumptions (Nuclear)'!$V$2:$AA$2)/10^9,0)</f>
        <v>0</v>
      </c>
      <c r="AO1297" s="105">
        <f>IF($AC$1110&gt;0,'Assumptions (Nuclear)'!AH10*Model!$AC$1110*AVERAGE('Assumptions (Nuclear)'!$V$2:$AA$2)/10^9,0)</f>
        <v>0</v>
      </c>
      <c r="AP1297" s="105">
        <f>IF($AC$1110&gt;0,'Assumptions (Nuclear)'!AI10*Model!$AC$1110*AVERAGE('Assumptions (Nuclear)'!$V$2:$AA$2)/10^9,0)</f>
        <v>0</v>
      </c>
      <c r="AQ1297" s="105">
        <f>IF($AC$1110&gt;0,'Assumptions (Nuclear)'!AJ10*Model!$AC$1110*AVERAGE('Assumptions (Nuclear)'!$V$2:$AA$2)/10^9,0)</f>
        <v>0</v>
      </c>
      <c r="AR1297" s="105">
        <f>IF($AC$1110&gt;0,'Assumptions (Nuclear)'!AK10*Model!$AC$1110*AVERAGE('Assumptions (Nuclear)'!$V$2:$AA$2)/10^9,0)</f>
        <v>0</v>
      </c>
      <c r="AS1297" s="105"/>
      <c r="AT1297" s="105"/>
      <c r="AU1297" s="105"/>
      <c r="AV1297" s="105"/>
      <c r="AW1297" s="105"/>
      <c r="AX1297" s="105"/>
      <c r="AY1297" s="105"/>
      <c r="AZ1297" s="105"/>
      <c r="BA1297" s="105"/>
    </row>
    <row r="1298" spans="1:68" ht="15.75" hidden="1" customHeight="1" outlineLevel="1">
      <c r="A1298" s="407"/>
      <c r="B1298" s="99"/>
      <c r="C1298" s="99"/>
      <c r="D1298" s="99"/>
      <c r="E1298" s="99"/>
      <c r="F1298" s="99"/>
      <c r="G1298" s="99"/>
      <c r="H1298" s="99"/>
      <c r="I1298" s="99"/>
      <c r="J1298" s="99"/>
      <c r="K1298" s="99"/>
      <c r="L1298" s="99"/>
      <c r="M1298" s="99"/>
      <c r="N1298" s="99"/>
      <c r="O1298" s="99"/>
      <c r="P1298" s="99"/>
      <c r="Q1298" s="99"/>
      <c r="R1298" s="99"/>
      <c r="S1298" s="99"/>
      <c r="T1298" s="99"/>
      <c r="U1298" s="99"/>
      <c r="V1298" s="99"/>
      <c r="W1298" s="105"/>
      <c r="X1298" s="105"/>
      <c r="Y1298" s="105"/>
      <c r="Z1298" s="105"/>
      <c r="AA1298" s="105"/>
      <c r="AB1298" s="105"/>
      <c r="AC1298" s="105"/>
      <c r="AD1298" s="105">
        <f>IF($AD$1110&gt;0,'Assumptions (Nuclear)'!V10*Model!$AD$1110*AVERAGE('Assumptions (Nuclear)'!$W$2:$AB$2)/10^9,0)</f>
        <v>0</v>
      </c>
      <c r="AE1298" s="105">
        <f>IF($AD$1110&gt;0,'Assumptions (Nuclear)'!W10*Model!$AD$1110*AVERAGE('Assumptions (Nuclear)'!$W$2:$AB$2)/10^9,0)</f>
        <v>0</v>
      </c>
      <c r="AF1298" s="105">
        <f>IF($AD$1110&gt;0,'Assumptions (Nuclear)'!X10*Model!$AD$1110*AVERAGE('Assumptions (Nuclear)'!$W$2:$AB$2)/10^9,0)</f>
        <v>0</v>
      </c>
      <c r="AG1298" s="105">
        <f>IF($AD$1110&gt;0,'Assumptions (Nuclear)'!Y10*Model!$AD$1110*AVERAGE('Assumptions (Nuclear)'!$W$2:$AB$2)/10^9,0)</f>
        <v>0</v>
      </c>
      <c r="AH1298" s="105">
        <f>IF($AD$1110&gt;0,'Assumptions (Nuclear)'!Z10*Model!$AD$1110*AVERAGE('Assumptions (Nuclear)'!$W$2:$AB$2)/10^9,0)</f>
        <v>0</v>
      </c>
      <c r="AI1298" s="105">
        <f>IF($AD$1110&gt;0,'Assumptions (Nuclear)'!AA10*Model!$AD$1110*AVERAGE('Assumptions (Nuclear)'!$W$2:$AB$2)/10^9,0)</f>
        <v>0</v>
      </c>
      <c r="AJ1298" s="105">
        <f>IF($AD$1110&gt;0,'Assumptions (Nuclear)'!AB10*Model!$AD$1110*AVERAGE('Assumptions (Nuclear)'!$W$2:$AB$2)/10^9,0)</f>
        <v>0</v>
      </c>
      <c r="AK1298" s="105">
        <f>IF($AD$1110&gt;0,'Assumptions (Nuclear)'!AC10*Model!$AD$1110*AVERAGE('Assumptions (Nuclear)'!$W$2:$AB$2)/10^9,0)</f>
        <v>0</v>
      </c>
      <c r="AL1298" s="105">
        <f>IF($AD$1110&gt;0,'Assumptions (Nuclear)'!AD10*Model!$AD$1110*AVERAGE('Assumptions (Nuclear)'!$W$2:$AB$2)/10^9,0)</f>
        <v>0</v>
      </c>
      <c r="AM1298" s="105">
        <f>IF($AD$1110&gt;0,'Assumptions (Nuclear)'!AE10*Model!$AD$1110*AVERAGE('Assumptions (Nuclear)'!$W$2:$AB$2)/10^9,0)</f>
        <v>0</v>
      </c>
      <c r="AN1298" s="105">
        <f>IF($AD$1110&gt;0,'Assumptions (Nuclear)'!AF10*Model!$AD$1110*AVERAGE('Assumptions (Nuclear)'!$W$2:$AB$2)/10^9,0)</f>
        <v>0</v>
      </c>
      <c r="AO1298" s="105">
        <f>IF($AD$1110&gt;0,'Assumptions (Nuclear)'!AG10*Model!$AD$1110*AVERAGE('Assumptions (Nuclear)'!$W$2:$AB$2)/10^9,0)</f>
        <v>0</v>
      </c>
      <c r="AP1298" s="105">
        <f>IF($AD$1110&gt;0,'Assumptions (Nuclear)'!AH10*Model!$AD$1110*AVERAGE('Assumptions (Nuclear)'!$W$2:$AB$2)/10^9,0)</f>
        <v>0</v>
      </c>
      <c r="AQ1298" s="105">
        <f>IF($AD$1110&gt;0,'Assumptions (Nuclear)'!AI10*Model!$AD$1110*AVERAGE('Assumptions (Nuclear)'!$W$2:$AB$2)/10^9,0)</f>
        <v>0</v>
      </c>
      <c r="AR1298" s="105">
        <f>IF($AD$1110&gt;0,'Assumptions (Nuclear)'!AJ10*Model!$AD$1110*AVERAGE('Assumptions (Nuclear)'!$W$2:$AB$2)/10^9,0)</f>
        <v>0</v>
      </c>
      <c r="AS1298" s="105">
        <f>IF($AD$1110&gt;0,'Assumptions (Nuclear)'!AK10*Model!$AD$1110*AVERAGE('Assumptions (Nuclear)'!$W$2:$AB$2)/10^9,0)</f>
        <v>0</v>
      </c>
      <c r="AT1298" s="105"/>
      <c r="AU1298" s="105"/>
      <c r="AV1298" s="105"/>
      <c r="AW1298" s="105"/>
      <c r="AX1298" s="105"/>
      <c r="AY1298" s="105"/>
      <c r="AZ1298" s="105"/>
      <c r="BA1298" s="105"/>
      <c r="BB1298" s="105"/>
    </row>
    <row r="1299" spans="1:68" ht="15.75" hidden="1" customHeight="1" outlineLevel="1">
      <c r="A1299" s="407"/>
      <c r="B1299" s="99"/>
      <c r="C1299" s="99"/>
      <c r="D1299" s="99"/>
      <c r="E1299" s="99"/>
      <c r="F1299" s="99"/>
      <c r="G1299" s="99"/>
      <c r="H1299" s="99"/>
      <c r="I1299" s="99"/>
      <c r="J1299" s="99"/>
      <c r="K1299" s="99"/>
      <c r="L1299" s="99"/>
      <c r="M1299" s="99"/>
      <c r="N1299" s="99"/>
      <c r="O1299" s="99"/>
      <c r="P1299" s="99"/>
      <c r="Q1299" s="99"/>
      <c r="R1299" s="99"/>
      <c r="S1299" s="99"/>
      <c r="T1299" s="99"/>
      <c r="U1299" s="99"/>
      <c r="V1299" s="99"/>
      <c r="W1299" s="105"/>
      <c r="X1299" s="105"/>
      <c r="Y1299" s="105"/>
      <c r="Z1299" s="105"/>
      <c r="AA1299" s="105"/>
      <c r="AB1299" s="105"/>
      <c r="AC1299" s="105"/>
      <c r="AD1299" s="105"/>
      <c r="AE1299" s="105">
        <f>IF($AE$1110&gt;0,'Assumptions (Nuclear)'!V10*Model!$AE$1110*AVERAGE('Assumptions (Nuclear)'!$X$2:$AC$2)/10^9,0)</f>
        <v>0</v>
      </c>
      <c r="AF1299" s="105">
        <f>IF($AE$1110&gt;0,'Assumptions (Nuclear)'!W10*Model!$AE$1110*AVERAGE('Assumptions (Nuclear)'!$X$2:$AC$2)/10^9,0)</f>
        <v>0</v>
      </c>
      <c r="AG1299" s="105">
        <f>IF($AE$1110&gt;0,'Assumptions (Nuclear)'!X10*Model!$AE$1110*AVERAGE('Assumptions (Nuclear)'!$X$2:$AC$2)/10^9,0)</f>
        <v>0</v>
      </c>
      <c r="AH1299" s="105">
        <f>IF($AE$1110&gt;0,'Assumptions (Nuclear)'!Y10*Model!$AE$1110*AVERAGE('Assumptions (Nuclear)'!$X$2:$AC$2)/10^9,0)</f>
        <v>0</v>
      </c>
      <c r="AI1299" s="105">
        <f>IF($AE$1110&gt;0,'Assumptions (Nuclear)'!Z10*Model!$AE$1110*AVERAGE('Assumptions (Nuclear)'!$X$2:$AC$2)/10^9,0)</f>
        <v>0</v>
      </c>
      <c r="AJ1299" s="105">
        <f>IF($AE$1110&gt;0,'Assumptions (Nuclear)'!AA10*Model!$AE$1110*AVERAGE('Assumptions (Nuclear)'!$X$2:$AC$2)/10^9,0)</f>
        <v>0</v>
      </c>
      <c r="AK1299" s="105">
        <f>IF($AE$1110&gt;0,'Assumptions (Nuclear)'!AB10*Model!$AE$1110*AVERAGE('Assumptions (Nuclear)'!$X$2:$AC$2)/10^9,0)</f>
        <v>0</v>
      </c>
      <c r="AL1299" s="105">
        <f>IF($AE$1110&gt;0,'Assumptions (Nuclear)'!AC10*Model!$AE$1110*AVERAGE('Assumptions (Nuclear)'!$X$2:$AC$2)/10^9,0)</f>
        <v>0</v>
      </c>
      <c r="AM1299" s="105">
        <f>IF($AE$1110&gt;0,'Assumptions (Nuclear)'!AD10*Model!$AE$1110*AVERAGE('Assumptions (Nuclear)'!$X$2:$AC$2)/10^9,0)</f>
        <v>0</v>
      </c>
      <c r="AN1299" s="105">
        <f>IF($AE$1110&gt;0,'Assumptions (Nuclear)'!AE10*Model!$AE$1110*AVERAGE('Assumptions (Nuclear)'!$X$2:$AC$2)/10^9,0)</f>
        <v>0</v>
      </c>
      <c r="AO1299" s="105">
        <f>IF($AE$1110&gt;0,'Assumptions (Nuclear)'!AF10*Model!$AE$1110*AVERAGE('Assumptions (Nuclear)'!$X$2:$AC$2)/10^9,0)</f>
        <v>0</v>
      </c>
      <c r="AP1299" s="105">
        <f>IF($AE$1110&gt;0,'Assumptions (Nuclear)'!AG10*Model!$AE$1110*AVERAGE('Assumptions (Nuclear)'!$X$2:$AC$2)/10^9,0)</f>
        <v>0</v>
      </c>
      <c r="AQ1299" s="105">
        <f>IF($AE$1110&gt;0,'Assumptions (Nuclear)'!AH10*Model!$AE$1110*AVERAGE('Assumptions (Nuclear)'!$X$2:$AC$2)/10^9,0)</f>
        <v>0</v>
      </c>
      <c r="AR1299" s="105">
        <f>IF($AE$1110&gt;0,'Assumptions (Nuclear)'!AI10*Model!$AE$1110*AVERAGE('Assumptions (Nuclear)'!$X$2:$AC$2)/10^9,0)</f>
        <v>0</v>
      </c>
      <c r="AS1299" s="105">
        <f>IF($AE$1110&gt;0,'Assumptions (Nuclear)'!AJ10*Model!$AE$1110*AVERAGE('Assumptions (Nuclear)'!$X$2:$AC$2)/10^9,0)</f>
        <v>0</v>
      </c>
      <c r="AT1299" s="105">
        <f>IF($AE$1110&gt;0,'Assumptions (Nuclear)'!AK10*Model!$AE$1110*AVERAGE('Assumptions (Nuclear)'!$X$2:$AC$2)/10^9,0)</f>
        <v>0</v>
      </c>
      <c r="AU1299" s="105"/>
      <c r="AV1299" s="105"/>
      <c r="AW1299" s="105"/>
      <c r="AX1299" s="105"/>
      <c r="AY1299" s="105"/>
      <c r="AZ1299" s="105"/>
      <c r="BA1299" s="105"/>
      <c r="BB1299" s="105"/>
      <c r="BC1299" s="105"/>
    </row>
    <row r="1300" spans="1:68" ht="15.75" hidden="1" customHeight="1" outlineLevel="1">
      <c r="A1300" s="407"/>
      <c r="B1300" s="99"/>
      <c r="C1300" s="99"/>
      <c r="D1300" s="99"/>
      <c r="E1300" s="99"/>
      <c r="F1300" s="99"/>
      <c r="G1300" s="99"/>
      <c r="H1300" s="99"/>
      <c r="I1300" s="99"/>
      <c r="J1300" s="99"/>
      <c r="K1300" s="99"/>
      <c r="L1300" s="99"/>
      <c r="M1300" s="99"/>
      <c r="N1300" s="99"/>
      <c r="O1300" s="99"/>
      <c r="P1300" s="99"/>
      <c r="Q1300" s="99"/>
      <c r="R1300" s="99"/>
      <c r="S1300" s="99"/>
      <c r="T1300" s="99"/>
      <c r="U1300" s="99"/>
      <c r="V1300" s="99"/>
      <c r="W1300" s="105"/>
      <c r="X1300" s="105"/>
      <c r="Y1300" s="105"/>
      <c r="Z1300" s="105"/>
      <c r="AA1300" s="105"/>
      <c r="AB1300" s="105"/>
      <c r="AC1300" s="105"/>
      <c r="AD1300" s="105"/>
      <c r="AE1300" s="105"/>
      <c r="AF1300" s="105">
        <f>IF($AF$1110&gt;0,'Assumptions (Nuclear)'!V10*Model!$AF$1110*AVERAGE('Assumptions (Nuclear)'!$Y$2:$AD$2)/10^9,0)</f>
        <v>0</v>
      </c>
      <c r="AG1300" s="105">
        <f>IF($AF$1110&gt;0,'Assumptions (Nuclear)'!W10*Model!$AF$1110*AVERAGE('Assumptions (Nuclear)'!$Y$2:$AD$2)/10^9,0)</f>
        <v>0</v>
      </c>
      <c r="AH1300" s="105">
        <f>IF($AF$1110&gt;0,'Assumptions (Nuclear)'!X10*Model!$AF$1110*AVERAGE('Assumptions (Nuclear)'!$Y$2:$AD$2)/10^9,0)</f>
        <v>0</v>
      </c>
      <c r="AI1300" s="105">
        <f>IF($AF$1110&gt;0,'Assumptions (Nuclear)'!Y10*Model!$AF$1110*AVERAGE('Assumptions (Nuclear)'!$Y$2:$AD$2)/10^9,0)</f>
        <v>0</v>
      </c>
      <c r="AJ1300" s="105">
        <f>IF($AF$1110&gt;0,'Assumptions (Nuclear)'!Z10*Model!$AF$1110*AVERAGE('Assumptions (Nuclear)'!$Y$2:$AD$2)/10^9,0)</f>
        <v>0</v>
      </c>
      <c r="AK1300" s="105">
        <f>IF($AF$1110&gt;0,'Assumptions (Nuclear)'!AA10*Model!$AF$1110*AVERAGE('Assumptions (Nuclear)'!$Y$2:$AD$2)/10^9,0)</f>
        <v>0</v>
      </c>
      <c r="AL1300" s="105">
        <f>IF($AF$1110&gt;0,'Assumptions (Nuclear)'!AB10*Model!$AF$1110*AVERAGE('Assumptions (Nuclear)'!$Y$2:$AD$2)/10^9,0)</f>
        <v>0</v>
      </c>
      <c r="AM1300" s="105">
        <f>IF($AF$1110&gt;0,'Assumptions (Nuclear)'!AC10*Model!$AF$1110*AVERAGE('Assumptions (Nuclear)'!$Y$2:$AD$2)/10^9,0)</f>
        <v>0</v>
      </c>
      <c r="AN1300" s="105">
        <f>IF($AF$1110&gt;0,'Assumptions (Nuclear)'!AD10*Model!$AF$1110*AVERAGE('Assumptions (Nuclear)'!$Y$2:$AD$2)/10^9,0)</f>
        <v>0</v>
      </c>
      <c r="AO1300" s="105">
        <f>IF($AF$1110&gt;0,'Assumptions (Nuclear)'!AE10*Model!$AF$1110*AVERAGE('Assumptions (Nuclear)'!$Y$2:$AD$2)/10^9,0)</f>
        <v>0</v>
      </c>
      <c r="AP1300" s="105">
        <f>IF($AF$1110&gt;0,'Assumptions (Nuclear)'!AF10*Model!$AF$1110*AVERAGE('Assumptions (Nuclear)'!$Y$2:$AD$2)/10^9,0)</f>
        <v>0</v>
      </c>
      <c r="AQ1300" s="105">
        <f>IF($AF$1110&gt;0,'Assumptions (Nuclear)'!AG10*Model!$AF$1110*AVERAGE('Assumptions (Nuclear)'!$Y$2:$AD$2)/10^9,0)</f>
        <v>0</v>
      </c>
      <c r="AR1300" s="105">
        <f>IF($AF$1110&gt;0,'Assumptions (Nuclear)'!AH10*Model!$AF$1110*AVERAGE('Assumptions (Nuclear)'!$Y$2:$AD$2)/10^9,0)</f>
        <v>0</v>
      </c>
      <c r="AS1300" s="105">
        <f>IF($AF$1110&gt;0,'Assumptions (Nuclear)'!AI10*Model!$AF$1110*AVERAGE('Assumptions (Nuclear)'!$Y$2:$AD$2)/10^9,0)</f>
        <v>0</v>
      </c>
      <c r="AT1300" s="105">
        <f>IF($AF$1110&gt;0,'Assumptions (Nuclear)'!AJ10*Model!$AF$1110*AVERAGE('Assumptions (Nuclear)'!$Y$2:$AD$2)/10^9,0)</f>
        <v>0</v>
      </c>
      <c r="AU1300" s="105">
        <f>IF($AF$1110&gt;0,'Assumptions (Nuclear)'!AK10*Model!$AF$1110*AVERAGE('Assumptions (Nuclear)'!$Y$2:$AD$2)/10^9,0)</f>
        <v>0</v>
      </c>
      <c r="AV1300" s="105"/>
      <c r="AW1300" s="105"/>
      <c r="AX1300" s="105"/>
      <c r="AY1300" s="105"/>
      <c r="AZ1300" s="105"/>
      <c r="BA1300" s="105"/>
      <c r="BB1300" s="105"/>
      <c r="BC1300" s="105"/>
      <c r="BD1300" s="105"/>
    </row>
    <row r="1301" spans="1:68" ht="15.75" hidden="1" customHeight="1" outlineLevel="1">
      <c r="A1301" s="407"/>
      <c r="B1301" s="99"/>
      <c r="C1301" s="99"/>
      <c r="D1301" s="99"/>
      <c r="E1301" s="99"/>
      <c r="F1301" s="99"/>
      <c r="G1301" s="99"/>
      <c r="H1301" s="99"/>
      <c r="I1301" s="99"/>
      <c r="J1301" s="99"/>
      <c r="K1301" s="99"/>
      <c r="L1301" s="99"/>
      <c r="M1301" s="99"/>
      <c r="N1301" s="99"/>
      <c r="O1301" s="99"/>
      <c r="P1301" s="99"/>
      <c r="Q1301" s="99"/>
      <c r="R1301" s="99"/>
      <c r="S1301" s="99"/>
      <c r="T1301" s="99"/>
      <c r="U1301" s="99"/>
      <c r="V1301" s="99"/>
      <c r="W1301" s="105"/>
      <c r="X1301" s="105"/>
      <c r="Y1301" s="105"/>
      <c r="Z1301" s="105"/>
      <c r="AA1301" s="105"/>
      <c r="AB1301" s="105"/>
      <c r="AC1301" s="105"/>
      <c r="AD1301" s="105"/>
      <c r="AE1301" s="105"/>
      <c r="AF1301" s="105"/>
      <c r="AG1301" s="105">
        <f>IF($AG$1110&gt;0,'Assumptions (Nuclear)'!V10*Model!$AG$1110*AVERAGE('Assumptions (Nuclear)'!$Z$2:$AE$2)/10^9,0)</f>
        <v>0</v>
      </c>
      <c r="AH1301" s="105">
        <f>IF($AG$1110&gt;0,'Assumptions (Nuclear)'!W10*Model!$AG$1110*AVERAGE('Assumptions (Nuclear)'!$Z$2:$AE$2)/10^9,0)</f>
        <v>0</v>
      </c>
      <c r="AI1301" s="105">
        <f>IF($AG$1110&gt;0,'Assumptions (Nuclear)'!X10*Model!$AG$1110*AVERAGE('Assumptions (Nuclear)'!$Z$2:$AE$2)/10^9,0)</f>
        <v>0</v>
      </c>
      <c r="AJ1301" s="105">
        <f>IF($AG$1110&gt;0,'Assumptions (Nuclear)'!Y10*Model!$AG$1110*AVERAGE('Assumptions (Nuclear)'!$Z$2:$AE$2)/10^9,0)</f>
        <v>0</v>
      </c>
      <c r="AK1301" s="105">
        <f>IF($AG$1110&gt;0,'Assumptions (Nuclear)'!Z10*Model!$AG$1110*AVERAGE('Assumptions (Nuclear)'!$Z$2:$AE$2)/10^9,0)</f>
        <v>0</v>
      </c>
      <c r="AL1301" s="105">
        <f>IF($AG$1110&gt;0,'Assumptions (Nuclear)'!AA10*Model!$AG$1110*AVERAGE('Assumptions (Nuclear)'!$Z$2:$AE$2)/10^9,0)</f>
        <v>0</v>
      </c>
      <c r="AM1301" s="105">
        <f>IF($AG$1110&gt;0,'Assumptions (Nuclear)'!AB10*Model!$AG$1110*AVERAGE('Assumptions (Nuclear)'!$Z$2:$AE$2)/10^9,0)</f>
        <v>0</v>
      </c>
      <c r="AN1301" s="105">
        <f>IF($AG$1110&gt;0,'Assumptions (Nuclear)'!AC10*Model!$AG$1110*AVERAGE('Assumptions (Nuclear)'!$Z$2:$AE$2)/10^9,0)</f>
        <v>0</v>
      </c>
      <c r="AO1301" s="105">
        <f>IF($AG$1110&gt;0,'Assumptions (Nuclear)'!AD10*Model!$AG$1110*AVERAGE('Assumptions (Nuclear)'!$Z$2:$AE$2)/10^9,0)</f>
        <v>0</v>
      </c>
      <c r="AP1301" s="105">
        <f>IF($AG$1110&gt;0,'Assumptions (Nuclear)'!AE10*Model!$AG$1110*AVERAGE('Assumptions (Nuclear)'!$Z$2:$AE$2)/10^9,0)</f>
        <v>0</v>
      </c>
      <c r="AQ1301" s="105">
        <f>IF($AG$1110&gt;0,'Assumptions (Nuclear)'!AF10*Model!$AG$1110*AVERAGE('Assumptions (Nuclear)'!$Z$2:$AE$2)/10^9,0)</f>
        <v>0</v>
      </c>
      <c r="AR1301" s="105">
        <f>IF($AG$1110&gt;0,'Assumptions (Nuclear)'!AG10*Model!$AG$1110*AVERAGE('Assumptions (Nuclear)'!$Z$2:$AE$2)/10^9,0)</f>
        <v>0</v>
      </c>
      <c r="AS1301" s="105">
        <f>IF($AG$1110&gt;0,'Assumptions (Nuclear)'!AH10*Model!$AG$1110*AVERAGE('Assumptions (Nuclear)'!$Z$2:$AE$2)/10^9,0)</f>
        <v>0</v>
      </c>
      <c r="AT1301" s="105">
        <f>IF($AG$1110&gt;0,'Assumptions (Nuclear)'!AI10*Model!$AG$1110*AVERAGE('Assumptions (Nuclear)'!$Z$2:$AE$2)/10^9,0)</f>
        <v>0</v>
      </c>
      <c r="AU1301" s="105">
        <f>IF($AG$1110&gt;0,'Assumptions (Nuclear)'!AJ10*Model!$AG$1110*AVERAGE('Assumptions (Nuclear)'!$Z$2:$AE$2)/10^9,0)</f>
        <v>0</v>
      </c>
      <c r="AV1301" s="105">
        <f>IF($AG$1110&gt;0,'Assumptions (Nuclear)'!AK10*Model!$AG$1110*AVERAGE('Assumptions (Nuclear)'!$Z$2:$AE$2)/10^9,0)</f>
        <v>0</v>
      </c>
      <c r="AW1301" s="105"/>
      <c r="AX1301" s="105"/>
      <c r="AY1301" s="105"/>
      <c r="AZ1301" s="105"/>
      <c r="BA1301" s="105"/>
      <c r="BB1301" s="105"/>
      <c r="BC1301" s="105"/>
      <c r="BD1301" s="105"/>
      <c r="BE1301" s="105"/>
    </row>
    <row r="1302" spans="1:68" ht="15.75" hidden="1" customHeight="1" outlineLevel="1">
      <c r="A1302" s="407"/>
      <c r="B1302" s="99"/>
      <c r="C1302" s="99"/>
      <c r="D1302" s="99"/>
      <c r="E1302" s="99"/>
      <c r="F1302" s="99"/>
      <c r="G1302" s="99"/>
      <c r="H1302" s="99"/>
      <c r="I1302" s="99"/>
      <c r="J1302" s="99"/>
      <c r="K1302" s="99"/>
      <c r="L1302" s="99"/>
      <c r="M1302" s="99"/>
      <c r="N1302" s="99"/>
      <c r="O1302" s="99"/>
      <c r="P1302" s="99"/>
      <c r="Q1302" s="99"/>
      <c r="R1302" s="99"/>
      <c r="S1302" s="99"/>
      <c r="T1302" s="99"/>
      <c r="U1302" s="99"/>
      <c r="V1302" s="99"/>
      <c r="W1302" s="105"/>
      <c r="X1302" s="105"/>
      <c r="Y1302" s="105"/>
      <c r="Z1302" s="105"/>
      <c r="AA1302" s="105"/>
      <c r="AB1302" s="105"/>
      <c r="AC1302" s="105"/>
      <c r="AD1302" s="105"/>
      <c r="AE1302" s="105"/>
      <c r="AF1302" s="105"/>
      <c r="AG1302" s="105"/>
      <c r="AH1302" s="105">
        <f>IF($AH$1110&gt;0,'Assumptions (Nuclear)'!V10*Model!$AH$1110*AVERAGE('Assumptions (Nuclear)'!$AA$2:$AF$2)/10^9,0)</f>
        <v>0</v>
      </c>
      <c r="AI1302" s="105">
        <f>IF($AH$1110&gt;0,'Assumptions (Nuclear)'!W10*Model!$AH$1110*AVERAGE('Assumptions (Nuclear)'!$AA$2:$AF$2)/10^9,0)</f>
        <v>0</v>
      </c>
      <c r="AJ1302" s="105">
        <f>IF($AH$1110&gt;0,'Assumptions (Nuclear)'!X10*Model!$AH$1110*AVERAGE('Assumptions (Nuclear)'!$AA$2:$AF$2)/10^9,0)</f>
        <v>0</v>
      </c>
      <c r="AK1302" s="105">
        <f>IF($AH$1110&gt;0,'Assumptions (Nuclear)'!Y10*Model!$AH$1110*AVERAGE('Assumptions (Nuclear)'!$AA$2:$AF$2)/10^9,0)</f>
        <v>0</v>
      </c>
      <c r="AL1302" s="105">
        <f>IF($AH$1110&gt;0,'Assumptions (Nuclear)'!Z10*Model!$AH$1110*AVERAGE('Assumptions (Nuclear)'!$AA$2:$AF$2)/10^9,0)</f>
        <v>0</v>
      </c>
      <c r="AM1302" s="105">
        <f>IF($AH$1110&gt;0,'Assumptions (Nuclear)'!AA10*Model!$AH$1110*AVERAGE('Assumptions (Nuclear)'!$AA$2:$AF$2)/10^9,0)</f>
        <v>0</v>
      </c>
      <c r="AN1302" s="105">
        <f>IF($AH$1110&gt;0,'Assumptions (Nuclear)'!AB10*Model!$AH$1110*AVERAGE('Assumptions (Nuclear)'!$AA$2:$AF$2)/10^9,0)</f>
        <v>0</v>
      </c>
      <c r="AO1302" s="105">
        <f>IF($AH$1110&gt;0,'Assumptions (Nuclear)'!AC10*Model!$AH$1110*AVERAGE('Assumptions (Nuclear)'!$AA$2:$AF$2)/10^9,0)</f>
        <v>0</v>
      </c>
      <c r="AP1302" s="105">
        <f>IF($AH$1110&gt;0,'Assumptions (Nuclear)'!AD10*Model!$AH$1110*AVERAGE('Assumptions (Nuclear)'!$AA$2:$AF$2)/10^9,0)</f>
        <v>0</v>
      </c>
      <c r="AQ1302" s="105">
        <f>IF($AH$1110&gt;0,'Assumptions (Nuclear)'!AE10*Model!$AH$1110*AVERAGE('Assumptions (Nuclear)'!$AA$2:$AF$2)/10^9,0)</f>
        <v>0</v>
      </c>
      <c r="AR1302" s="105">
        <f>IF($AH$1110&gt;0,'Assumptions (Nuclear)'!AF10*Model!$AH$1110*AVERAGE('Assumptions (Nuclear)'!$AA$2:$AF$2)/10^9,0)</f>
        <v>0</v>
      </c>
      <c r="AS1302" s="105">
        <f>IF($AH$1110&gt;0,'Assumptions (Nuclear)'!AG10*Model!$AH$1110*AVERAGE('Assumptions (Nuclear)'!$AA$2:$AF$2)/10^9,0)</f>
        <v>0</v>
      </c>
      <c r="AT1302" s="105">
        <f>IF($AH$1110&gt;0,'Assumptions (Nuclear)'!AH10*Model!$AH$1110*AVERAGE('Assumptions (Nuclear)'!$AA$2:$AF$2)/10^9,0)</f>
        <v>0</v>
      </c>
      <c r="AU1302" s="105">
        <f>IF($AH$1110&gt;0,'Assumptions (Nuclear)'!AI10*Model!$AH$1110*AVERAGE('Assumptions (Nuclear)'!$AA$2:$AF$2)/10^9,0)</f>
        <v>0</v>
      </c>
      <c r="AV1302" s="105">
        <f>IF($AH$1110&gt;0,'Assumptions (Nuclear)'!AJ10*Model!$AH$1110*AVERAGE('Assumptions (Nuclear)'!$AA$2:$AF$2)/10^9,0)</f>
        <v>0</v>
      </c>
      <c r="AW1302" s="105">
        <f>IF($AH$1110&gt;0,'Assumptions (Nuclear)'!AK10*Model!$AH$1110*AVERAGE('Assumptions (Nuclear)'!$AA$2:$AF$2)/10^9,0)</f>
        <v>0</v>
      </c>
      <c r="AX1302" s="105"/>
      <c r="AY1302" s="105"/>
      <c r="AZ1302" s="105"/>
      <c r="BA1302" s="105"/>
      <c r="BB1302" s="105"/>
      <c r="BC1302" s="105"/>
      <c r="BD1302" s="105"/>
      <c r="BE1302" s="105"/>
      <c r="BF1302" s="105"/>
    </row>
    <row r="1303" spans="1:68" ht="15.75" hidden="1" customHeight="1" outlineLevel="1">
      <c r="A1303" s="407"/>
      <c r="B1303" s="99"/>
      <c r="C1303" s="99"/>
      <c r="D1303" s="99"/>
      <c r="E1303" s="99"/>
      <c r="F1303" s="99"/>
      <c r="G1303" s="99"/>
      <c r="H1303" s="99"/>
      <c r="I1303" s="99"/>
      <c r="J1303" s="99"/>
      <c r="K1303" s="99"/>
      <c r="L1303" s="99"/>
      <c r="M1303" s="99"/>
      <c r="N1303" s="99"/>
      <c r="O1303" s="99"/>
      <c r="P1303" s="99"/>
      <c r="Q1303" s="99"/>
      <c r="R1303" s="99"/>
      <c r="S1303" s="99"/>
      <c r="T1303" s="99"/>
      <c r="U1303" s="99"/>
      <c r="V1303" s="99"/>
      <c r="W1303" s="105"/>
      <c r="X1303" s="105"/>
      <c r="Y1303" s="105"/>
      <c r="Z1303" s="105"/>
      <c r="AA1303" s="105"/>
      <c r="AB1303" s="105"/>
      <c r="AC1303" s="105"/>
      <c r="AD1303" s="105"/>
      <c r="AE1303" s="105"/>
      <c r="AF1303" s="105"/>
      <c r="AG1303" s="105"/>
      <c r="AH1303" s="105"/>
      <c r="AI1303" s="105">
        <f>IF($AI$1110&gt;0,'Assumptions (Nuclear)'!V10*Model!$AI$1110*AVERAGE('Assumptions (Nuclear)'!$AB$2:$AG$2)/10^9,0)</f>
        <v>0</v>
      </c>
      <c r="AJ1303" s="105">
        <f>IF($AI$1110&gt;0,'Assumptions (Nuclear)'!W10*Model!$AI$1110*AVERAGE('Assumptions (Nuclear)'!$AB$2:$AG$2)/10^9,0)</f>
        <v>0</v>
      </c>
      <c r="AK1303" s="105">
        <f>IF($AI$1110&gt;0,'Assumptions (Nuclear)'!X10*Model!$AI$1110*AVERAGE('Assumptions (Nuclear)'!$AB$2:$AG$2)/10^9,0)</f>
        <v>0</v>
      </c>
      <c r="AL1303" s="105">
        <f>IF($AI$1110&gt;0,'Assumptions (Nuclear)'!Y10*Model!$AI$1110*AVERAGE('Assumptions (Nuclear)'!$AB$2:$AG$2)/10^9,0)</f>
        <v>0</v>
      </c>
      <c r="AM1303" s="105">
        <f>IF($AI$1110&gt;0,'Assumptions (Nuclear)'!Z10*Model!$AI$1110*AVERAGE('Assumptions (Nuclear)'!$AB$2:$AG$2)/10^9,0)</f>
        <v>0</v>
      </c>
      <c r="AN1303" s="105">
        <f>IF($AI$1110&gt;0,'Assumptions (Nuclear)'!AA10*Model!$AI$1110*AVERAGE('Assumptions (Nuclear)'!$AB$2:$AG$2)/10^9,0)</f>
        <v>0</v>
      </c>
      <c r="AO1303" s="105">
        <f>IF($AI$1110&gt;0,'Assumptions (Nuclear)'!AB10*Model!$AI$1110*AVERAGE('Assumptions (Nuclear)'!$AB$2:$AG$2)/10^9,0)</f>
        <v>0</v>
      </c>
      <c r="AP1303" s="105">
        <f>IF($AI$1110&gt;0,'Assumptions (Nuclear)'!AC10*Model!$AI$1110*AVERAGE('Assumptions (Nuclear)'!$AB$2:$AG$2)/10^9,0)</f>
        <v>0</v>
      </c>
      <c r="AQ1303" s="105">
        <f>IF($AI$1110&gt;0,'Assumptions (Nuclear)'!AD10*Model!$AI$1110*AVERAGE('Assumptions (Nuclear)'!$AB$2:$AG$2)/10^9,0)</f>
        <v>0</v>
      </c>
      <c r="AR1303" s="105">
        <f>IF($AI$1110&gt;0,'Assumptions (Nuclear)'!AE10*Model!$AI$1110*AVERAGE('Assumptions (Nuclear)'!$AB$2:$AG$2)/10^9,0)</f>
        <v>0</v>
      </c>
      <c r="AS1303" s="105">
        <f>IF($AI$1110&gt;0,'Assumptions (Nuclear)'!AF10*Model!$AI$1110*AVERAGE('Assumptions (Nuclear)'!$AB$2:$AG$2)/10^9,0)</f>
        <v>0</v>
      </c>
      <c r="AT1303" s="105">
        <f>IF($AI$1110&gt;0,'Assumptions (Nuclear)'!AG10*Model!$AI$1110*AVERAGE('Assumptions (Nuclear)'!$AB$2:$AG$2)/10^9,0)</f>
        <v>0</v>
      </c>
      <c r="AU1303" s="105">
        <f>IF($AI$1110&gt;0,'Assumptions (Nuclear)'!AH10*Model!$AI$1110*AVERAGE('Assumptions (Nuclear)'!$AB$2:$AG$2)/10^9,0)</f>
        <v>0</v>
      </c>
      <c r="AV1303" s="105">
        <f>IF($AI$1110&gt;0,'Assumptions (Nuclear)'!AI10*Model!$AI$1110*AVERAGE('Assumptions (Nuclear)'!$AB$2:$AG$2)/10^9,0)</f>
        <v>0</v>
      </c>
      <c r="AW1303" s="105">
        <f>IF($AI$1110&gt;0,'Assumptions (Nuclear)'!AJ10*Model!$AI$1110*AVERAGE('Assumptions (Nuclear)'!$AB$2:$AG$2)/10^9,0)</f>
        <v>0</v>
      </c>
      <c r="AX1303" s="105">
        <f>IF($AI$1110&gt;0,'Assumptions (Nuclear)'!AK10*Model!$AI$1110*AVERAGE('Assumptions (Nuclear)'!$AB$2:$AG$2)/10^9,0)</f>
        <v>0</v>
      </c>
      <c r="AY1303" s="105"/>
      <c r="AZ1303" s="105"/>
      <c r="BA1303" s="105"/>
      <c r="BB1303" s="105"/>
      <c r="BC1303" s="105"/>
      <c r="BD1303" s="105"/>
      <c r="BE1303" s="105"/>
      <c r="BF1303" s="105"/>
      <c r="BG1303" s="105"/>
    </row>
    <row r="1304" spans="1:68" ht="15.75" hidden="1" customHeight="1" outlineLevel="1">
      <c r="A1304" s="407"/>
      <c r="B1304" s="99"/>
      <c r="C1304" s="99"/>
      <c r="D1304" s="99"/>
      <c r="E1304" s="99"/>
      <c r="F1304" s="99"/>
      <c r="G1304" s="99"/>
      <c r="H1304" s="99"/>
      <c r="I1304" s="99"/>
      <c r="J1304" s="99"/>
      <c r="K1304" s="99"/>
      <c r="L1304" s="99"/>
      <c r="M1304" s="99"/>
      <c r="N1304" s="99"/>
      <c r="O1304" s="99"/>
      <c r="P1304" s="99"/>
      <c r="Q1304" s="99"/>
      <c r="R1304" s="99"/>
      <c r="S1304" s="99"/>
      <c r="T1304" s="99"/>
      <c r="U1304" s="99"/>
      <c r="V1304" s="99"/>
      <c r="W1304" s="105"/>
      <c r="X1304" s="105"/>
      <c r="Y1304" s="105"/>
      <c r="Z1304" s="105"/>
      <c r="AA1304" s="105"/>
      <c r="AB1304" s="91"/>
      <c r="AC1304" s="105"/>
      <c r="AD1304" s="105"/>
      <c r="AE1304" s="105"/>
      <c r="AF1304" s="105"/>
      <c r="AG1304" s="105"/>
      <c r="AH1304" s="105"/>
      <c r="AI1304" s="105"/>
      <c r="AJ1304" s="91">
        <f>IF($AJ$1110&gt;0,'Assumptions (Nuclear)'!V10*Model!$AJ$1110*AVERAGE('Assumptions (Nuclear)'!$AC$2:$AH$2)/10^9,0)</f>
        <v>0</v>
      </c>
      <c r="AK1304" s="105">
        <f>IF($AJ$1110&gt;0,'Assumptions (Nuclear)'!W10*Model!$AJ$1110*AVERAGE('Assumptions (Nuclear)'!$AC$2:$AH$2)/10^9,0)</f>
        <v>0</v>
      </c>
      <c r="AL1304" s="91">
        <f>IF($AJ$1110&gt;0,'Assumptions (Nuclear)'!X10*Model!$AJ$1110*AVERAGE('Assumptions (Nuclear)'!$AC$2:$AH$2)/10^9,0)</f>
        <v>0</v>
      </c>
      <c r="AM1304" s="91">
        <f>IF($AJ$1110&gt;0,'Assumptions (Nuclear)'!Y10*Model!$AJ$1110*AVERAGE('Assumptions (Nuclear)'!$AC$2:$AH$2)/10^9,0)</f>
        <v>0</v>
      </c>
      <c r="AN1304" s="91">
        <f>IF($AJ$1110&gt;0,'Assumptions (Nuclear)'!Z10*Model!$AJ$1110*AVERAGE('Assumptions (Nuclear)'!$AC$2:$AH$2)/10^9,0)</f>
        <v>0</v>
      </c>
      <c r="AO1304" s="91">
        <f>IF($AJ$1110&gt;0,'Assumptions (Nuclear)'!AA10*Model!$AJ$1110*AVERAGE('Assumptions (Nuclear)'!$AC$2:$AH$2)/10^9,0)</f>
        <v>0</v>
      </c>
      <c r="AP1304" s="91">
        <f>IF($AJ$1110&gt;0,'Assumptions (Nuclear)'!AB10*Model!$AJ$1110*AVERAGE('Assumptions (Nuclear)'!$AC$2:$AH$2)/10^9,0)</f>
        <v>0</v>
      </c>
      <c r="AQ1304" s="91">
        <f>IF($AJ$1110&gt;0,'Assumptions (Nuclear)'!AC10*Model!$AJ$1110*AVERAGE('Assumptions (Nuclear)'!$AC$2:$AH$2)/10^9,0)</f>
        <v>0</v>
      </c>
      <c r="AR1304" s="91">
        <f>IF($AJ$1110&gt;0,'Assumptions (Nuclear)'!AD10*Model!$AJ$1110*AVERAGE('Assumptions (Nuclear)'!$AC$2:$AH$2)/10^9,0)</f>
        <v>0</v>
      </c>
      <c r="AS1304" s="91">
        <f>IF($AJ$1110&gt;0,'Assumptions (Nuclear)'!AE10*Model!$AJ$1110*AVERAGE('Assumptions (Nuclear)'!$AC$2:$AH$2)/10^9,0)</f>
        <v>0</v>
      </c>
      <c r="AT1304" s="91">
        <f>IF($AJ$1110&gt;0,'Assumptions (Nuclear)'!AF10*Model!$AJ$1110*AVERAGE('Assumptions (Nuclear)'!$AC$2:$AH$2)/10^9,0)</f>
        <v>0</v>
      </c>
      <c r="AU1304" s="91">
        <f>IF($AJ$1110&gt;0,'Assumptions (Nuclear)'!AG10*Model!$AJ$1110*AVERAGE('Assumptions (Nuclear)'!$AC$2:$AH$2)/10^9,0)</f>
        <v>0</v>
      </c>
      <c r="AV1304" s="91">
        <f>IF($AJ$1110&gt;0,'Assumptions (Nuclear)'!AH10*Model!$AJ$1110*AVERAGE('Assumptions (Nuclear)'!$AC$2:$AH$2)/10^9,0)</f>
        <v>0</v>
      </c>
      <c r="AW1304" s="91">
        <f>IF($AJ$1110&gt;0,'Assumptions (Nuclear)'!AI10*Model!$AJ$1110*AVERAGE('Assumptions (Nuclear)'!$AC$2:$AH$2)/10^9,0)</f>
        <v>0</v>
      </c>
      <c r="AX1304" s="91">
        <f>IF($AJ$1110&gt;0,'Assumptions (Nuclear)'!AJ10*Model!$AJ$1110*AVERAGE('Assumptions (Nuclear)'!$AC$2:$AH$2)/10^9,0)</f>
        <v>0</v>
      </c>
      <c r="AY1304" s="91">
        <f>IF($AJ$1110&gt;0,'Assumptions (Nuclear)'!AK10*Model!$AJ$1110*AVERAGE('Assumptions (Nuclear)'!$AC$2:$AH$2)/10^9,0)</f>
        <v>0</v>
      </c>
      <c r="AZ1304" s="91"/>
      <c r="BA1304" s="91"/>
      <c r="BB1304" s="91"/>
      <c r="BC1304" s="91"/>
      <c r="BD1304" s="91"/>
      <c r="BE1304" s="91"/>
      <c r="BF1304" s="91"/>
      <c r="BG1304" s="91"/>
      <c r="BH1304" s="91"/>
    </row>
    <row r="1305" spans="1:68" ht="15.75" hidden="1" customHeight="1" outlineLevel="1">
      <c r="A1305" s="407"/>
      <c r="B1305" s="99"/>
      <c r="C1305" s="99"/>
      <c r="D1305" s="99"/>
      <c r="E1305" s="99"/>
      <c r="F1305" s="99"/>
      <c r="G1305" s="99"/>
      <c r="H1305" s="99"/>
      <c r="I1305" s="99"/>
      <c r="J1305" s="99"/>
      <c r="K1305" s="99"/>
      <c r="L1305" s="99"/>
      <c r="M1305" s="99"/>
      <c r="N1305" s="99"/>
      <c r="O1305" s="99"/>
      <c r="P1305" s="99"/>
      <c r="Q1305" s="99"/>
      <c r="R1305" s="99"/>
      <c r="S1305" s="99"/>
      <c r="T1305" s="99"/>
      <c r="U1305" s="99"/>
      <c r="V1305" s="99"/>
      <c r="W1305" s="105"/>
      <c r="X1305" s="105"/>
      <c r="Y1305" s="105"/>
      <c r="Z1305" s="105"/>
      <c r="AA1305" s="105"/>
      <c r="AB1305" s="105"/>
      <c r="AC1305" s="105"/>
      <c r="AD1305" s="105"/>
      <c r="AE1305" s="105"/>
      <c r="AF1305" s="105"/>
      <c r="AG1305" s="105"/>
      <c r="AH1305" s="105"/>
      <c r="AI1305" s="105"/>
      <c r="AJ1305" s="171"/>
      <c r="AK1305" s="105">
        <f>IF($AK$1110&gt;0,'Assumptions (Nuclear)'!V10*Model!$AK$1110*AVERAGE('Assumptions (Nuclear)'!$AD$2:$AI$2)/10^9,0)</f>
        <v>0.86936343056772458</v>
      </c>
      <c r="AL1305" s="91">
        <f>IF($AK$1110&gt;0,'Assumptions (Nuclear)'!W10*Model!$AK$1110*AVERAGE('Assumptions (Nuclear)'!$AD$2:$AI$2)/10^9,0)</f>
        <v>1.6517905180786765</v>
      </c>
      <c r="AM1305" s="91">
        <f>IF($AK$1110&gt;0,'Assumptions (Nuclear)'!X10*Model!$AK$1110*AVERAGE('Assumptions (Nuclear)'!$AD$2:$AI$2)/10^9,0)</f>
        <v>1.486611466270809</v>
      </c>
      <c r="AN1305" s="91">
        <f>IF($AK$1110&gt;0,'Assumptions (Nuclear)'!Y10*Model!$AK$1110*AVERAGE('Assumptions (Nuclear)'!$AD$2:$AI$2)/10^9,0)</f>
        <v>1.3388196830742958</v>
      </c>
      <c r="AO1305" s="91">
        <f>IF($AK$1110&gt;0,'Assumptions (Nuclear)'!Z10*Model!$AK$1110*AVERAGE('Assumptions (Nuclear)'!$AD$2:$AI$2)/10^9,0)</f>
        <v>1.2049377147668663</v>
      </c>
      <c r="AP1305" s="91">
        <f>IF($AK$1110&gt;0,'Assumptions (Nuclear)'!AA10*Model!$AK$1110*AVERAGE('Assumptions (Nuclear)'!$AD$2:$AI$2)/10^9,0)</f>
        <v>1.0832268344873848</v>
      </c>
      <c r="AQ1305" s="91">
        <f>IF($AK$1110&gt;0,'Assumptions (Nuclear)'!AB10*Model!$AK$1110*AVERAGE('Assumptions (Nuclear)'!$AD$2:$AI$2)/10^9,0)</f>
        <v>1.0258488480699148</v>
      </c>
      <c r="AR1305" s="91">
        <f>IF($AK$1110&gt;0,'Assumptions (Nuclear)'!AC10*Model!$AK$1110*AVERAGE('Assumptions (Nuclear)'!$AD$2:$AI$2)/10^9,0)</f>
        <v>1.0258488480699148</v>
      </c>
      <c r="AS1305" s="91">
        <f>IF($AK$1110&gt;0,'Assumptions (Nuclear)'!AD10*Model!$AK$1110*AVERAGE('Assumptions (Nuclear)'!$AD$2:$AI$2)/10^9,0)</f>
        <v>1.0275875749310504</v>
      </c>
      <c r="AT1305" s="91">
        <f>IF($AK$1110&gt;0,'Assumptions (Nuclear)'!AE10*Model!$AK$1110*AVERAGE('Assumptions (Nuclear)'!$AD$2:$AI$2)/10^9,0)</f>
        <v>1.0258488480699148</v>
      </c>
      <c r="AU1305" s="91">
        <f>IF($AK$1110&gt;0,'Assumptions (Nuclear)'!AF10*Model!$AK$1110*AVERAGE('Assumptions (Nuclear)'!$AD$2:$AI$2)/10^9,0)</f>
        <v>1.0275875749310504</v>
      </c>
      <c r="AV1305" s="91">
        <f>IF($AK$1110&gt;0,'Assumptions (Nuclear)'!AG10*Model!$AK$1110*AVERAGE('Assumptions (Nuclear)'!$AD$2:$AI$2)/10^9,0)</f>
        <v>1.0258488480699148</v>
      </c>
      <c r="AW1305" s="91">
        <f>IF($AK$1110&gt;0,'Assumptions (Nuclear)'!AH10*Model!$AK$1110*AVERAGE('Assumptions (Nuclear)'!$AD$2:$AI$2)/10^9,0)</f>
        <v>1.0275875749310504</v>
      </c>
      <c r="AX1305" s="91">
        <f>IF($AK$1110&gt;0,'Assumptions (Nuclear)'!AI10*Model!$AK$1110*AVERAGE('Assumptions (Nuclear)'!$AD$2:$AI$2)/10^9,0)</f>
        <v>1.0258488480699148</v>
      </c>
      <c r="AY1305" s="91">
        <f>IF($AK$1110&gt;0,'Assumptions (Nuclear)'!AJ10*Model!$AK$1110*AVERAGE('Assumptions (Nuclear)'!$AD$2:$AI$2)/10^9,0)</f>
        <v>1.0275875749310504</v>
      </c>
      <c r="AZ1305" s="91">
        <f>IF($AK$1110&gt;0,'Assumptions (Nuclear)'!AK10*Model!$AK$1110*AVERAGE('Assumptions (Nuclear)'!$AD$2:$AI$2)/10^9,0)</f>
        <v>0.51292442403495742</v>
      </c>
      <c r="BA1305" s="91"/>
      <c r="BB1305" s="91"/>
      <c r="BC1305" s="91"/>
      <c r="BD1305" s="91"/>
      <c r="BE1305" s="91"/>
      <c r="BF1305" s="91"/>
      <c r="BG1305" s="91"/>
      <c r="BH1305" s="91"/>
      <c r="BI1305" s="91"/>
    </row>
    <row r="1306" spans="1:68" ht="15.75" hidden="1" customHeight="1" outlineLevel="1">
      <c r="A1306" s="407"/>
      <c r="B1306" s="99"/>
      <c r="C1306" s="99"/>
      <c r="D1306" s="99"/>
      <c r="E1306" s="99"/>
      <c r="F1306" s="99"/>
      <c r="G1306" s="99"/>
      <c r="H1306" s="99"/>
      <c r="I1306" s="99"/>
      <c r="J1306" s="99"/>
      <c r="K1306" s="99"/>
      <c r="L1306" s="99"/>
      <c r="M1306" s="99"/>
      <c r="N1306" s="99"/>
      <c r="O1306" s="99"/>
      <c r="P1306" s="99"/>
      <c r="Q1306" s="99"/>
      <c r="R1306" s="99"/>
      <c r="S1306" s="99"/>
      <c r="T1306" s="99"/>
      <c r="U1306" s="99"/>
      <c r="V1306" s="99"/>
      <c r="W1306" s="105"/>
      <c r="X1306" s="105"/>
      <c r="Y1306" s="105"/>
      <c r="Z1306" s="105"/>
      <c r="AA1306" s="105"/>
      <c r="AB1306" s="105"/>
      <c r="AC1306" s="105"/>
      <c r="AD1306" s="105"/>
      <c r="AE1306" s="105"/>
      <c r="AF1306" s="105"/>
      <c r="AG1306" s="105"/>
      <c r="AH1306" s="105"/>
      <c r="AI1306" s="105"/>
      <c r="AJ1306" s="171"/>
      <c r="AK1306" s="105"/>
      <c r="AL1306" s="91">
        <f>IF($AL$1110&gt;0,'Assumptions (Nuclear)'!V10*Model!$AL$1110*AVERAGE('Assumptions (Nuclear)'!$AE$2:$AJ$2)/10^9,0)</f>
        <v>0.12617171470991842</v>
      </c>
      <c r="AM1306" s="91">
        <f>IF($AL$1110&gt;0,'Assumptions (Nuclear)'!W10*Model!$AL$1110*AVERAGE('Assumptions (Nuclear)'!$AE$2:$AJ$2)/10^9,0)</f>
        <v>0.23972625794884497</v>
      </c>
      <c r="AN1306" s="91">
        <f>IF($AL$1110&gt;0,'Assumptions (Nuclear)'!X10*Model!$AL$1110*AVERAGE('Assumptions (Nuclear)'!$AE$2:$AJ$2)/10^9,0)</f>
        <v>0.21575363215396048</v>
      </c>
      <c r="AO1306" s="91">
        <f>IF($AL$1110&gt;0,'Assumptions (Nuclear)'!Y10*Model!$AL$1110*AVERAGE('Assumptions (Nuclear)'!$AE$2:$AJ$2)/10^9,0)</f>
        <v>0.19430444065327432</v>
      </c>
      <c r="AP1306" s="91">
        <f>IF($AL$1110&gt;0,'Assumptions (Nuclear)'!Z10*Model!$AL$1110*AVERAGE('Assumptions (Nuclear)'!$AE$2:$AJ$2)/10^9,0)</f>
        <v>0.17487399658794689</v>
      </c>
      <c r="AQ1306" s="91">
        <f>IF($AL$1110&gt;0,'Assumptions (Nuclear)'!AA10*Model!$AL$1110*AVERAGE('Assumptions (Nuclear)'!$AE$2:$AJ$2)/10^9,0)</f>
        <v>0.15720995652855835</v>
      </c>
      <c r="AR1306" s="91">
        <f>IF($AL$1110&gt;0,'Assumptions (Nuclear)'!AB10*Model!$AL$1110*AVERAGE('Assumptions (Nuclear)'!$AE$2:$AJ$2)/10^9,0)</f>
        <v>0.14888262335770372</v>
      </c>
      <c r="AS1306" s="91">
        <f>IF($AL$1110&gt;0,'Assumptions (Nuclear)'!AC10*Model!$AL$1110*AVERAGE('Assumptions (Nuclear)'!$AE$2:$AJ$2)/10^9,0)</f>
        <v>0.14888262335770372</v>
      </c>
      <c r="AT1306" s="91">
        <f>IF($AL$1110&gt;0,'Assumptions (Nuclear)'!AD10*Model!$AL$1110*AVERAGE('Assumptions (Nuclear)'!$AE$2:$AJ$2)/10^9,0)</f>
        <v>0.14913496678712357</v>
      </c>
      <c r="AU1306" s="91">
        <f>IF($AL$1110&gt;0,'Assumptions (Nuclear)'!AE10*Model!$AL$1110*AVERAGE('Assumptions (Nuclear)'!$AE$2:$AJ$2)/10^9,0)</f>
        <v>0.14888262335770372</v>
      </c>
      <c r="AV1306" s="91">
        <f>IF($AL$1110&gt;0,'Assumptions (Nuclear)'!AF10*Model!$AL$1110*AVERAGE('Assumptions (Nuclear)'!$AE$2:$AJ$2)/10^9,0)</f>
        <v>0.14913496678712357</v>
      </c>
      <c r="AW1306" s="91">
        <f>IF($AL$1110&gt;0,'Assumptions (Nuclear)'!AG10*Model!$AL$1110*AVERAGE('Assumptions (Nuclear)'!$AE$2:$AJ$2)/10^9,0)</f>
        <v>0.14888262335770372</v>
      </c>
      <c r="AX1306" s="91">
        <f>IF($AL$1110&gt;0,'Assumptions (Nuclear)'!AH10*Model!$AL$1110*AVERAGE('Assumptions (Nuclear)'!$AE$2:$AJ$2)/10^9,0)</f>
        <v>0.14913496678712357</v>
      </c>
      <c r="AY1306" s="91">
        <f>IF($AL$1110&gt;0,'Assumptions (Nuclear)'!AI10*Model!$AL$1110*AVERAGE('Assumptions (Nuclear)'!$AE$2:$AJ$2)/10^9,0)</f>
        <v>0.14888262335770372</v>
      </c>
      <c r="AZ1306" s="91">
        <f>IF($AL$1110&gt;0,'Assumptions (Nuclear)'!AJ10*Model!$AL$1110*AVERAGE('Assumptions (Nuclear)'!$AE$2:$AJ$2)/10^9,0)</f>
        <v>0.14913496678712357</v>
      </c>
      <c r="BA1306" s="91">
        <f>IF($AL$1110&gt;0,'Assumptions (Nuclear)'!AK10*Model!$AL$1110*AVERAGE('Assumptions (Nuclear)'!$AE$2:$AJ$2)/10^9,0)</f>
        <v>7.444131167885186E-2</v>
      </c>
      <c r="BB1306" s="91"/>
      <c r="BC1306" s="91"/>
      <c r="BD1306" s="91"/>
      <c r="BE1306" s="91"/>
      <c r="BF1306" s="91"/>
      <c r="BG1306" s="91"/>
      <c r="BH1306" s="91"/>
      <c r="BI1306" s="91"/>
      <c r="BJ1306" s="91"/>
    </row>
    <row r="1307" spans="1:68" ht="15.75" hidden="1" customHeight="1" outlineLevel="1">
      <c r="A1307" s="407"/>
      <c r="B1307" s="99"/>
      <c r="C1307" s="99"/>
      <c r="D1307" s="99"/>
      <c r="E1307" s="99"/>
      <c r="F1307" s="99"/>
      <c r="G1307" s="99"/>
      <c r="H1307" s="99"/>
      <c r="I1307" s="99"/>
      <c r="J1307" s="99"/>
      <c r="K1307" s="99"/>
      <c r="L1307" s="99"/>
      <c r="M1307" s="99"/>
      <c r="N1307" s="99"/>
      <c r="O1307" s="99"/>
      <c r="P1307" s="99"/>
      <c r="Q1307" s="99"/>
      <c r="R1307" s="99"/>
      <c r="S1307" s="99"/>
      <c r="T1307" s="99"/>
      <c r="U1307" s="99"/>
      <c r="V1307" s="99"/>
      <c r="W1307" s="105"/>
      <c r="X1307" s="105"/>
      <c r="Y1307" s="105"/>
      <c r="Z1307" s="105"/>
      <c r="AA1307" s="105"/>
      <c r="AB1307" s="105"/>
      <c r="AC1307" s="105"/>
      <c r="AD1307" s="105"/>
      <c r="AE1307" s="105"/>
      <c r="AF1307" s="105"/>
      <c r="AG1307" s="105"/>
      <c r="AH1307" s="105"/>
      <c r="AI1307" s="105"/>
      <c r="AJ1307" s="171"/>
      <c r="AK1307" s="105"/>
      <c r="AL1307" s="91"/>
      <c r="AM1307" s="105">
        <f>IF($AM$1110&gt;0,'Assumptions (Nuclear)'!V10*Model!$AM$1110*AVERAGE('Assumptions (Nuclear)'!$AF$2:$AK$2)/10^9,0)</f>
        <v>2.1125410948831447</v>
      </c>
      <c r="AN1307" s="105">
        <f>IF($AM$1110&gt;0,'Assumptions (Nuclear)'!W10*Model!$AM$1110*AVERAGE('Assumptions (Nuclear)'!$AF$2:$AK$2)/10^9,0)</f>
        <v>4.0138280802779747</v>
      </c>
      <c r="AO1307" s="105">
        <f>IF($AM$1110&gt;0,'Assumptions (Nuclear)'!X10*Model!$AM$1110*AVERAGE('Assumptions (Nuclear)'!$AF$2:$AK$2)/10^9,0)</f>
        <v>3.6124452722501776</v>
      </c>
      <c r="AP1307" s="105">
        <f>IF($AM$1110&gt;0,'Assumptions (Nuclear)'!Y10*Model!$AM$1110*AVERAGE('Assumptions (Nuclear)'!$AF$2:$AK$2)/10^9,0)</f>
        <v>3.2533132861200431</v>
      </c>
      <c r="AQ1307" s="105">
        <f>IF($AM$1110&gt;0,'Assumptions (Nuclear)'!Z10*Model!$AM$1110*AVERAGE('Assumptions (Nuclear)'!$AF$2:$AK$2)/10^9,0)</f>
        <v>2.9279819575080386</v>
      </c>
      <c r="AR1307" s="105">
        <f>IF($AM$1110&gt;0,'Assumptions (Nuclear)'!AA10*Model!$AM$1110*AVERAGE('Assumptions (Nuclear)'!$AF$2:$AK$2)/10^9,0)</f>
        <v>2.6322262042243985</v>
      </c>
      <c r="AS1307" s="105">
        <f>IF($AM$1110&gt;0,'Assumptions (Nuclear)'!AB10*Model!$AM$1110*AVERAGE('Assumptions (Nuclear)'!$AF$2:$AK$2)/10^9,0)</f>
        <v>2.4927984919621107</v>
      </c>
      <c r="AT1307" s="105">
        <f>IF($AM$1110&gt;0,'Assumptions (Nuclear)'!AC10*Model!$AM$1110*AVERAGE('Assumptions (Nuclear)'!$AF$2:$AK$2)/10^9,0)</f>
        <v>2.4927984919621107</v>
      </c>
      <c r="AU1307" s="105">
        <f>IF($AM$1110&gt;0,'Assumptions (Nuclear)'!AD10*Model!$AM$1110*AVERAGE('Assumptions (Nuclear)'!$AF$2:$AK$2)/10^9,0)</f>
        <v>2.4970235741518776</v>
      </c>
      <c r="AV1307" s="105">
        <f>IF($AM$1110&gt;0,'Assumptions (Nuclear)'!AE10*Model!$AM$1110*AVERAGE('Assumptions (Nuclear)'!$AF$2:$AK$2)/10^9,0)</f>
        <v>2.4927984919621107</v>
      </c>
      <c r="AW1307" s="105">
        <f>IF($AM$1110&gt;0,'Assumptions (Nuclear)'!AF10*Model!$AM$1110*AVERAGE('Assumptions (Nuclear)'!$AF$2:$AK$2)/10^9,0)</f>
        <v>2.4970235741518776</v>
      </c>
      <c r="AX1307" s="105">
        <f>IF($AM$1110&gt;0,'Assumptions (Nuclear)'!AG10*Model!$AM$1110*AVERAGE('Assumptions (Nuclear)'!$AF$2:$AK$2)/10^9,0)</f>
        <v>2.4927984919621107</v>
      </c>
      <c r="AY1307" s="105">
        <f>IF($AM$1110&gt;0,'Assumptions (Nuclear)'!AH10*Model!$AM$1110*AVERAGE('Assumptions (Nuclear)'!$AF$2:$AK$2)/10^9,0)</f>
        <v>2.4970235741518776</v>
      </c>
      <c r="AZ1307" s="105">
        <f>IF($AM$1110&gt;0,'Assumptions (Nuclear)'!AI10*Model!$AM$1110*AVERAGE('Assumptions (Nuclear)'!$AF$2:$AK$2)/10^9,0)</f>
        <v>2.4927984919621107</v>
      </c>
      <c r="BA1307" s="105">
        <f>IF($AM$1110&gt;0,'Assumptions (Nuclear)'!AJ10*Model!$AM$1110*AVERAGE('Assumptions (Nuclear)'!$AF$2:$AK$2)/10^9,0)</f>
        <v>2.4970235741518776</v>
      </c>
      <c r="BB1307" s="105">
        <f>IF($AM$1110&gt;0,'Assumptions (Nuclear)'!AK10*Model!$AM$1110*AVERAGE('Assumptions (Nuclear)'!$AF$2:$AK$2)/10^9,0)</f>
        <v>1.2463992459810553</v>
      </c>
      <c r="BC1307" s="105"/>
      <c r="BD1307" s="105"/>
      <c r="BE1307" s="105"/>
      <c r="BF1307" s="105"/>
      <c r="BG1307" s="105"/>
      <c r="BH1307" s="105"/>
      <c r="BI1307" s="105"/>
      <c r="BJ1307" s="105"/>
      <c r="BK1307" s="105"/>
    </row>
    <row r="1308" spans="1:68" ht="15.75" hidden="1" customHeight="1" outlineLevel="1">
      <c r="A1308" s="407"/>
      <c r="B1308" s="99"/>
      <c r="C1308" s="99"/>
      <c r="D1308" s="99"/>
      <c r="E1308" s="99"/>
      <c r="F1308" s="99"/>
      <c r="G1308" s="99"/>
      <c r="H1308" s="99"/>
      <c r="I1308" s="99"/>
      <c r="J1308" s="99"/>
      <c r="K1308" s="99"/>
      <c r="L1308" s="99"/>
      <c r="M1308" s="99"/>
      <c r="N1308" s="99"/>
      <c r="O1308" s="99"/>
      <c r="P1308" s="99"/>
      <c r="Q1308" s="99"/>
      <c r="R1308" s="99"/>
      <c r="S1308" s="99"/>
      <c r="T1308" s="99"/>
      <c r="U1308" s="99"/>
      <c r="V1308" s="99"/>
      <c r="W1308" s="105"/>
      <c r="X1308" s="105"/>
      <c r="Y1308" s="105"/>
      <c r="Z1308" s="105"/>
      <c r="AA1308" s="105"/>
      <c r="AB1308" s="105"/>
      <c r="AC1308" s="105"/>
      <c r="AD1308" s="105"/>
      <c r="AE1308" s="105"/>
      <c r="AF1308" s="105"/>
      <c r="AG1308" s="105"/>
      <c r="AH1308" s="105"/>
      <c r="AI1308" s="105"/>
      <c r="AJ1308" s="171"/>
      <c r="AK1308" s="105"/>
      <c r="AL1308" s="91"/>
      <c r="AM1308" s="91"/>
      <c r="AN1308" s="105">
        <f>IF($AN$1110&gt;0,'Assumptions (Nuclear)'!V10*Model!$AN$1110*AVERAGE('Assumptions (Nuclear)'!$AG$2:$AL$2)/10^9,0)</f>
        <v>1.2026670264538808</v>
      </c>
      <c r="AO1308" s="105">
        <f>IF($AN$1110&gt;0,'Assumptions (Nuclear)'!W10*Model!$AN$1110*AVERAGE('Assumptions (Nuclear)'!$AG$2:$AL$2)/10^9,0)</f>
        <v>2.2850673502623735</v>
      </c>
      <c r="AP1308" s="105">
        <f>IF($AN$1110&gt;0,'Assumptions (Nuclear)'!X10*Model!$AN$1110*AVERAGE('Assumptions (Nuclear)'!$AG$2:$AL$2)/10^9,0)</f>
        <v>2.0565606152361364</v>
      </c>
      <c r="AQ1308" s="105">
        <f>IF($AN$1110&gt;0,'Assumptions (Nuclear)'!Y10*Model!$AN$1110*AVERAGE('Assumptions (Nuclear)'!$AG$2:$AL$2)/10^9,0)</f>
        <v>1.8521072207389762</v>
      </c>
      <c r="AR1308" s="105">
        <f>IF($AN$1110&gt;0,'Assumptions (Nuclear)'!Z10*Model!$AN$1110*AVERAGE('Assumptions (Nuclear)'!$AG$2:$AL$2)/10^9,0)</f>
        <v>1.6668964986650789</v>
      </c>
      <c r="AS1308" s="105">
        <f>IF($AN$1110&gt;0,'Assumptions (Nuclear)'!AA10*Model!$AN$1110*AVERAGE('Assumptions (Nuclear)'!$AG$2:$AL$2)/10^9,0)</f>
        <v>1.4985231149615355</v>
      </c>
      <c r="AT1308" s="105">
        <f>IF($AN$1110&gt;0,'Assumptions (Nuclear)'!AB10*Model!$AN$1110*AVERAGE('Assumptions (Nuclear)'!$AG$2:$AL$2)/10^9,0)</f>
        <v>1.4191470912155792</v>
      </c>
      <c r="AU1308" s="105">
        <f>IF($AN$1110&gt;0,'Assumptions (Nuclear)'!AC10*Model!$AN$1110*AVERAGE('Assumptions (Nuclear)'!$AG$2:$AL$2)/10^9,0)</f>
        <v>1.4191470912155792</v>
      </c>
      <c r="AV1308" s="105">
        <f>IF($AN$1110&gt;0,'Assumptions (Nuclear)'!AD10*Model!$AN$1110*AVERAGE('Assumptions (Nuclear)'!$AG$2:$AL$2)/10^9,0)</f>
        <v>1.421552425268487</v>
      </c>
      <c r="AW1308" s="105">
        <f>IF($AN$1110&gt;0,'Assumptions (Nuclear)'!AE10*Model!$AN$1110*AVERAGE('Assumptions (Nuclear)'!$AG$2:$AL$2)/10^9,0)</f>
        <v>1.4191470912155792</v>
      </c>
      <c r="AX1308" s="105">
        <f>IF($AN$1110&gt;0,'Assumptions (Nuclear)'!AF10*Model!$AN$1110*AVERAGE('Assumptions (Nuclear)'!$AG$2:$AL$2)/10^9,0)</f>
        <v>1.421552425268487</v>
      </c>
      <c r="AY1308" s="105">
        <f>IF($AN$1110&gt;0,'Assumptions (Nuclear)'!AG10*Model!$AN$1110*AVERAGE('Assumptions (Nuclear)'!$AG$2:$AL$2)/10^9,0)</f>
        <v>1.4191470912155792</v>
      </c>
      <c r="AZ1308" s="105">
        <f>IF($AN$1110&gt;0,'Assumptions (Nuclear)'!AH10*Model!$AN$1110*AVERAGE('Assumptions (Nuclear)'!$AG$2:$AL$2)/10^9,0)</f>
        <v>1.421552425268487</v>
      </c>
      <c r="BA1308" s="105">
        <f>IF($AN$1110&gt;0,'Assumptions (Nuclear)'!AI10*Model!$AN$1110*AVERAGE('Assumptions (Nuclear)'!$AG$2:$AL$2)/10^9,0)</f>
        <v>1.4191470912155792</v>
      </c>
      <c r="BB1308" s="105">
        <f>IF($AN$1110&gt;0,'Assumptions (Nuclear)'!AJ10*Model!$AN$1110*AVERAGE('Assumptions (Nuclear)'!$AG$2:$AL$2)/10^9,0)</f>
        <v>1.421552425268487</v>
      </c>
      <c r="BC1308" s="105">
        <f>IF($AN$1110&gt;0,'Assumptions (Nuclear)'!AK10*Model!$AN$1110*AVERAGE('Assumptions (Nuclear)'!$AG$2:$AL$2)/10^9,0)</f>
        <v>0.70957354560778962</v>
      </c>
      <c r="BD1308" s="105"/>
      <c r="BE1308" s="105"/>
      <c r="BF1308" s="105"/>
      <c r="BG1308" s="105"/>
      <c r="BH1308" s="105"/>
      <c r="BI1308" s="105"/>
      <c r="BJ1308" s="105"/>
      <c r="BK1308" s="105"/>
      <c r="BL1308" s="105"/>
    </row>
    <row r="1309" spans="1:68" ht="15.75" hidden="1" customHeight="1" outlineLevel="1">
      <c r="A1309" s="407"/>
      <c r="B1309" s="99"/>
      <c r="C1309" s="99"/>
      <c r="D1309" s="99"/>
      <c r="E1309" s="99"/>
      <c r="F1309" s="99"/>
      <c r="G1309" s="99"/>
      <c r="H1309" s="99"/>
      <c r="I1309" s="99"/>
      <c r="J1309" s="99"/>
      <c r="K1309" s="99"/>
      <c r="L1309" s="99"/>
      <c r="M1309" s="99"/>
      <c r="N1309" s="99"/>
      <c r="O1309" s="99"/>
      <c r="P1309" s="99"/>
      <c r="Q1309" s="99"/>
      <c r="R1309" s="99"/>
      <c r="S1309" s="99"/>
      <c r="T1309" s="99"/>
      <c r="U1309" s="99"/>
      <c r="V1309" s="99"/>
      <c r="W1309" s="105"/>
      <c r="X1309" s="105"/>
      <c r="Y1309" s="105"/>
      <c r="Z1309" s="105"/>
      <c r="AA1309" s="105"/>
      <c r="AB1309" s="105"/>
      <c r="AC1309" s="105"/>
      <c r="AD1309" s="105"/>
      <c r="AE1309" s="105"/>
      <c r="AF1309" s="105"/>
      <c r="AG1309" s="105"/>
      <c r="AH1309" s="105"/>
      <c r="AI1309" s="105"/>
      <c r="AJ1309" s="171"/>
      <c r="AK1309" s="105"/>
      <c r="AL1309" s="91"/>
      <c r="AM1309" s="91"/>
      <c r="AN1309" s="91"/>
      <c r="AO1309" s="105">
        <f>IF($AO$1110&gt;0,'Assumptions (Nuclear)'!V10*Model!$AO$1110*AVERAGE('Assumptions (Nuclear)'!$AH$2:$AM$2)/10^9,0)</f>
        <v>0.24536521531831593</v>
      </c>
      <c r="AP1309" s="105">
        <f>IF($AO$1110&gt;0,'Assumptions (Nuclear)'!W10*Model!$AO$1110*AVERAGE('Assumptions (Nuclear)'!$AH$2:$AM$2)/10^9,0)</f>
        <v>0.46619390910480024</v>
      </c>
      <c r="AQ1309" s="105">
        <f>IF($AO$1110&gt;0,'Assumptions (Nuclear)'!X10*Model!$AO$1110*AVERAGE('Assumptions (Nuclear)'!$AH$2:$AM$2)/10^9,0)</f>
        <v>0.41957451819432023</v>
      </c>
      <c r="AR1309" s="105">
        <f>IF($AO$1110&gt;0,'Assumptions (Nuclear)'!Y10*Model!$AO$1110*AVERAGE('Assumptions (Nuclear)'!$AH$2:$AM$2)/10^9,0)</f>
        <v>0.37786243159020649</v>
      </c>
      <c r="AS1309" s="105">
        <f>IF($AO$1110&gt;0,'Assumptions (Nuclear)'!Z10*Model!$AO$1110*AVERAGE('Assumptions (Nuclear)'!$AH$2:$AM$2)/10^9,0)</f>
        <v>0.34007618843118587</v>
      </c>
      <c r="AT1309" s="105">
        <f>IF($AO$1110&gt;0,'Assumptions (Nuclear)'!AA10*Model!$AO$1110*AVERAGE('Assumptions (Nuclear)'!$AH$2:$AM$2)/10^9,0)</f>
        <v>0.30572505828662161</v>
      </c>
      <c r="AU1309" s="105">
        <f>IF($AO$1110&gt;0,'Assumptions (Nuclear)'!AB10*Model!$AO$1110*AVERAGE('Assumptions (Nuclear)'!$AH$2:$AM$2)/10^9,0)</f>
        <v>0.28953095407561275</v>
      </c>
      <c r="AV1309" s="105">
        <f>IF($AO$1110&gt;0,'Assumptions (Nuclear)'!AC10*Model!$AO$1110*AVERAGE('Assumptions (Nuclear)'!$AH$2:$AM$2)/10^9,0)</f>
        <v>0.28953095407561275</v>
      </c>
      <c r="AW1309" s="105">
        <f>IF($AO$1110&gt;0,'Assumptions (Nuclear)'!AD10*Model!$AO$1110*AVERAGE('Assumptions (Nuclear)'!$AH$2:$AM$2)/10^9,0)</f>
        <v>0.29002168450624938</v>
      </c>
      <c r="AX1309" s="105">
        <f>IF($AO$1110&gt;0,'Assumptions (Nuclear)'!AE10*Model!$AO$1110*AVERAGE('Assumptions (Nuclear)'!$AH$2:$AM$2)/10^9,0)</f>
        <v>0.28953095407561275</v>
      </c>
      <c r="AY1309" s="105">
        <f>IF($AO$1110&gt;0,'Assumptions (Nuclear)'!AF10*Model!$AO$1110*AVERAGE('Assumptions (Nuclear)'!$AH$2:$AM$2)/10^9,0)</f>
        <v>0.29002168450624938</v>
      </c>
      <c r="AZ1309" s="105">
        <f>IF($AO$1110&gt;0,'Assumptions (Nuclear)'!AG10*Model!$AO$1110*AVERAGE('Assumptions (Nuclear)'!$AH$2:$AM$2)/10^9,0)</f>
        <v>0.28953095407561275</v>
      </c>
      <c r="BA1309" s="105">
        <f>IF($AO$1110&gt;0,'Assumptions (Nuclear)'!AH10*Model!$AO$1110*AVERAGE('Assumptions (Nuclear)'!$AH$2:$AM$2)/10^9,0)</f>
        <v>0.29002168450624938</v>
      </c>
      <c r="BB1309" s="105">
        <f>IF($AO$1110&gt;0,'Assumptions (Nuclear)'!AI10*Model!$AO$1110*AVERAGE('Assumptions (Nuclear)'!$AH$2:$AM$2)/10^9,0)</f>
        <v>0.28953095407561275</v>
      </c>
      <c r="BC1309" s="105">
        <f>IF($AO$1110&gt;0,'Assumptions (Nuclear)'!AJ10*Model!$AO$1110*AVERAGE('Assumptions (Nuclear)'!$AH$2:$AM$2)/10^9,0)</f>
        <v>0.29002168450624938</v>
      </c>
      <c r="BD1309" s="105">
        <f>IF($AO$1110&gt;0,'Assumptions (Nuclear)'!AK10*Model!$AO$1110*AVERAGE('Assumptions (Nuclear)'!$AH$2:$AM$2)/10^9,0)</f>
        <v>0.14476547703780637</v>
      </c>
      <c r="BE1309" s="105"/>
      <c r="BF1309" s="105"/>
      <c r="BG1309" s="105"/>
      <c r="BH1309" s="105"/>
      <c r="BI1309" s="105"/>
      <c r="BJ1309" s="105"/>
      <c r="BK1309" s="105"/>
      <c r="BL1309" s="105"/>
      <c r="BM1309" s="105"/>
    </row>
    <row r="1310" spans="1:68" ht="15.75" hidden="1" customHeight="1" outlineLevel="1">
      <c r="A1310" s="407"/>
      <c r="B1310" s="99"/>
      <c r="C1310" s="99"/>
      <c r="D1310" s="99"/>
      <c r="E1310" s="99"/>
      <c r="F1310" s="99"/>
      <c r="G1310" s="99"/>
      <c r="H1310" s="99"/>
      <c r="I1310" s="99"/>
      <c r="J1310" s="99"/>
      <c r="K1310" s="99"/>
      <c r="L1310" s="99"/>
      <c r="M1310" s="99"/>
      <c r="N1310" s="99"/>
      <c r="O1310" s="99"/>
      <c r="P1310" s="99"/>
      <c r="Q1310" s="99"/>
      <c r="R1310" s="99"/>
      <c r="S1310" s="99"/>
      <c r="T1310" s="99"/>
      <c r="U1310" s="99"/>
      <c r="V1310" s="99"/>
      <c r="W1310" s="105"/>
      <c r="X1310" s="105"/>
      <c r="Y1310" s="105"/>
      <c r="Z1310" s="105"/>
      <c r="AA1310" s="105"/>
      <c r="AB1310" s="105"/>
      <c r="AC1310" s="105"/>
      <c r="AD1310" s="105"/>
      <c r="AE1310" s="105"/>
      <c r="AF1310" s="105"/>
      <c r="AG1310" s="105"/>
      <c r="AH1310" s="105"/>
      <c r="AI1310" s="105"/>
      <c r="AJ1310" s="171"/>
      <c r="AK1310" s="105"/>
      <c r="AL1310" s="91"/>
      <c r="AM1310" s="91"/>
      <c r="AN1310" s="91"/>
      <c r="AO1310" s="105"/>
      <c r="AP1310" s="105">
        <f>IF($AP$1110&gt;0,'Assumptions (Nuclear)'!V10*Model!$AP$1110*AVERAGE('Assumptions (Nuclear)'!$AI$2:$AN$2)/10^9,0)</f>
        <v>1.0761758777786663</v>
      </c>
      <c r="AQ1310" s="105">
        <f>IF($AP$1110&gt;0,'Assumptions (Nuclear)'!W10*Model!$AP$1110*AVERAGE('Assumptions (Nuclear)'!$AI$2:$AN$2)/10^9,0)</f>
        <v>2.0447341677794659</v>
      </c>
      <c r="AR1310" s="105">
        <f>IF($AP$1110&gt;0,'Assumptions (Nuclear)'!X10*Model!$AP$1110*AVERAGE('Assumptions (Nuclear)'!$AI$2:$AN$2)/10^9,0)</f>
        <v>1.8402607510015194</v>
      </c>
      <c r="AS1310" s="105">
        <f>IF($AP$1110&gt;0,'Assumptions (Nuclear)'!Y10*Model!$AP$1110*AVERAGE('Assumptions (Nuclear)'!$AI$2:$AN$2)/10^9,0)</f>
        <v>1.6573108517791462</v>
      </c>
      <c r="AT1310" s="105">
        <f>IF($AP$1110&gt;0,'Assumptions (Nuclear)'!Z10*Model!$AP$1110*AVERAGE('Assumptions (Nuclear)'!$AI$2:$AN$2)/10^9,0)</f>
        <v>1.4915797666012316</v>
      </c>
      <c r="AU1310" s="105">
        <f>IF($AP$1110&gt;0,'Assumptions (Nuclear)'!AA10*Model!$AP$1110*AVERAGE('Assumptions (Nuclear)'!$AI$2:$AN$2)/10^9,0)</f>
        <v>1.3409151437122182</v>
      </c>
      <c r="AV1310" s="105">
        <f>IF($AP$1110&gt;0,'Assumptions (Nuclear)'!AB10*Model!$AP$1110*AVERAGE('Assumptions (Nuclear)'!$AI$2:$AN$2)/10^9,0)</f>
        <v>1.269887535778826</v>
      </c>
      <c r="AW1310" s="105">
        <f>IF($AP$1110&gt;0,'Assumptions (Nuclear)'!AC10*Model!$AP$1110*AVERAGE('Assumptions (Nuclear)'!$AI$2:$AN$2)/10^9,0)</f>
        <v>1.269887535778826</v>
      </c>
      <c r="AX1310" s="105">
        <f>IF($AP$1110&gt;0,'Assumptions (Nuclear)'!AD10*Model!$AP$1110*AVERAGE('Assumptions (Nuclear)'!$AI$2:$AN$2)/10^9,0)</f>
        <v>1.2720398875343835</v>
      </c>
      <c r="AY1310" s="105">
        <f>IF($AP$1110&gt;0,'Assumptions (Nuclear)'!AE10*Model!$AP$1110*AVERAGE('Assumptions (Nuclear)'!$AI$2:$AN$2)/10^9,0)</f>
        <v>1.269887535778826</v>
      </c>
      <c r="AZ1310" s="105">
        <f>IF($AP$1110&gt;0,'Assumptions (Nuclear)'!AF10*Model!$AP$1110*AVERAGE('Assumptions (Nuclear)'!$AI$2:$AN$2)/10^9,0)</f>
        <v>1.2720398875343835</v>
      </c>
      <c r="BA1310" s="105">
        <f>IF($AP$1110&gt;0,'Assumptions (Nuclear)'!AG10*Model!$AP$1110*AVERAGE('Assumptions (Nuclear)'!$AI$2:$AN$2)/10^9,0)</f>
        <v>1.269887535778826</v>
      </c>
      <c r="BB1310" s="105">
        <f>IF($AP$1110&gt;0,'Assumptions (Nuclear)'!AH10*Model!$AP$1110*AVERAGE('Assumptions (Nuclear)'!$AI$2:$AN$2)/10^9,0)</f>
        <v>1.2720398875343835</v>
      </c>
      <c r="BC1310" s="105">
        <f>IF($AP$1110&gt;0,'Assumptions (Nuclear)'!AI10*Model!$AP$1110*AVERAGE('Assumptions (Nuclear)'!$AI$2:$AN$2)/10^9,0)</f>
        <v>1.269887535778826</v>
      </c>
      <c r="BD1310" s="105">
        <f>IF($AP$1110&gt;0,'Assumptions (Nuclear)'!AJ10*Model!$AP$1110*AVERAGE('Assumptions (Nuclear)'!$AI$2:$AN$2)/10^9,0)</f>
        <v>1.2720398875343835</v>
      </c>
      <c r="BE1310" s="105">
        <f>IF($AP$1110&gt;0,'Assumptions (Nuclear)'!AK10*Model!$AP$1110*AVERAGE('Assumptions (Nuclear)'!$AI$2:$AN$2)/10^9,0)</f>
        <v>0.63494376788941298</v>
      </c>
      <c r="BF1310" s="105"/>
      <c r="BG1310" s="105"/>
      <c r="BH1310" s="105"/>
      <c r="BI1310" s="105"/>
      <c r="BJ1310" s="105"/>
      <c r="BK1310" s="105"/>
      <c r="BL1310" s="105"/>
      <c r="BM1310" s="105"/>
      <c r="BN1310" s="105"/>
    </row>
    <row r="1311" spans="1:68" ht="15.75" hidden="1" customHeight="1" outlineLevel="1">
      <c r="A1311" s="407"/>
      <c r="B1311" s="99"/>
      <c r="C1311" s="99"/>
      <c r="D1311" s="99"/>
      <c r="E1311" s="99"/>
      <c r="F1311" s="99"/>
      <c r="G1311" s="99"/>
      <c r="H1311" s="99"/>
      <c r="I1311" s="99"/>
      <c r="J1311" s="99"/>
      <c r="K1311" s="99"/>
      <c r="L1311" s="99"/>
      <c r="M1311" s="99"/>
      <c r="N1311" s="99"/>
      <c r="O1311" s="99"/>
      <c r="P1311" s="99"/>
      <c r="Q1311" s="99"/>
      <c r="R1311" s="99"/>
      <c r="S1311" s="99"/>
      <c r="T1311" s="99"/>
      <c r="U1311" s="99"/>
      <c r="V1311" s="99"/>
      <c r="W1311" s="105"/>
      <c r="X1311" s="105"/>
      <c r="Y1311" s="105"/>
      <c r="Z1311" s="105"/>
      <c r="AA1311" s="105"/>
      <c r="AB1311" s="105"/>
      <c r="AC1311" s="105"/>
      <c r="AD1311" s="105"/>
      <c r="AE1311" s="105"/>
      <c r="AF1311" s="105"/>
      <c r="AG1311" s="105"/>
      <c r="AH1311" s="105"/>
      <c r="AI1311" s="105"/>
      <c r="AJ1311" s="171"/>
      <c r="AK1311" s="105"/>
      <c r="AL1311" s="91"/>
      <c r="AM1311" s="91"/>
      <c r="AN1311" s="91"/>
      <c r="AO1311" s="105"/>
      <c r="AP1311" s="105"/>
      <c r="AQ1311" s="105">
        <f>IF($AQ$1110&gt;0,'Assumptions (Nuclear)'!V10*Model!$AQ$1110*AVERAGE('Assumptions (Nuclear)'!$AJ$2:$AO$2)/10^9,0)</f>
        <v>0</v>
      </c>
      <c r="AR1311" s="105">
        <f>IF($AQ$1110&gt;0,'Assumptions (Nuclear)'!W10*Model!$AQ$1110*AVERAGE('Assumptions (Nuclear)'!$AJ$2:$AO$2)/10^9,0)</f>
        <v>0</v>
      </c>
      <c r="AS1311" s="105">
        <f>IF($AQ$1110&gt;0,'Assumptions (Nuclear)'!X10*Model!$AQ$1110*AVERAGE('Assumptions (Nuclear)'!$AJ$2:$AO$2)/10^9,0)</f>
        <v>0</v>
      </c>
      <c r="AT1311" s="105">
        <f>IF($AQ$1110&gt;0,'Assumptions (Nuclear)'!Y10*Model!$AQ$1110*AVERAGE('Assumptions (Nuclear)'!$AJ$2:$AO$2)/10^9,0)</f>
        <v>0</v>
      </c>
      <c r="AU1311" s="105">
        <f>IF($AQ$1110&gt;0,'Assumptions (Nuclear)'!Z10*Model!$AQ$1110*AVERAGE('Assumptions (Nuclear)'!$AJ$2:$AO$2)/10^9,0)</f>
        <v>0</v>
      </c>
      <c r="AV1311" s="105">
        <f>IF($AQ$1110&gt;0,'Assumptions (Nuclear)'!AA10*Model!$AQ$1110*AVERAGE('Assumptions (Nuclear)'!$AJ$2:$AO$2)/10^9,0)</f>
        <v>0</v>
      </c>
      <c r="AW1311" s="105">
        <f>IF($AQ$1110&gt;0,'Assumptions (Nuclear)'!AB10*Model!$AQ$1110*AVERAGE('Assumptions (Nuclear)'!$AJ$2:$AO$2)/10^9,0)</f>
        <v>0</v>
      </c>
      <c r="AX1311" s="105">
        <f>IF($AQ$1110&gt;0,'Assumptions (Nuclear)'!AC10*Model!$AQ$1110*AVERAGE('Assumptions (Nuclear)'!$AJ$2:$AO$2)/10^9,0)</f>
        <v>0</v>
      </c>
      <c r="AY1311" s="105">
        <f>IF($AQ$1110&gt;0,'Assumptions (Nuclear)'!AD10*Model!$AQ$1110*AVERAGE('Assumptions (Nuclear)'!$AJ$2:$AO$2)/10^9,0)</f>
        <v>0</v>
      </c>
      <c r="AZ1311" s="105">
        <f>IF($AQ$1110&gt;0,'Assumptions (Nuclear)'!AE10*Model!$AQ$1110*AVERAGE('Assumptions (Nuclear)'!$AJ$2:$AO$2)/10^9,0)</f>
        <v>0</v>
      </c>
      <c r="BA1311" s="105">
        <f>IF($AQ$1110&gt;0,'Assumptions (Nuclear)'!AF10*Model!$AQ$1110*AVERAGE('Assumptions (Nuclear)'!$AJ$2:$AO$2)/10^9,0)</f>
        <v>0</v>
      </c>
      <c r="BB1311" s="105">
        <f>IF($AQ$1110&gt;0,'Assumptions (Nuclear)'!AG10*Model!$AQ$1110*AVERAGE('Assumptions (Nuclear)'!$AJ$2:$AO$2)/10^9,0)</f>
        <v>0</v>
      </c>
      <c r="BC1311" s="105">
        <f>IF($AQ$1110&gt;0,'Assumptions (Nuclear)'!AH10*Model!$AQ$1110*AVERAGE('Assumptions (Nuclear)'!$AJ$2:$AO$2)/10^9,0)</f>
        <v>0</v>
      </c>
      <c r="BD1311" s="105">
        <f>IF($AQ$1110&gt;0,'Assumptions (Nuclear)'!AI10*Model!$AQ$1110*AVERAGE('Assumptions (Nuclear)'!$AJ$2:$AO$2)/10^9,0)</f>
        <v>0</v>
      </c>
      <c r="BE1311" s="105">
        <f>IF($AQ$1110&gt;0,'Assumptions (Nuclear)'!AJ10*Model!$AQ$1110*AVERAGE('Assumptions (Nuclear)'!$AJ$2:$AO$2)/10^9,0)</f>
        <v>0</v>
      </c>
      <c r="BF1311" s="105">
        <f>IF($AQ$1110&gt;0,'Assumptions (Nuclear)'!AK10*Model!$AQ$1110*AVERAGE('Assumptions (Nuclear)'!$AJ$2:$AO$2)/10^9,0)</f>
        <v>0</v>
      </c>
      <c r="BG1311" s="105"/>
      <c r="BH1311" s="105"/>
      <c r="BI1311" s="105"/>
      <c r="BJ1311" s="105"/>
      <c r="BK1311" s="105"/>
      <c r="BL1311" s="105"/>
      <c r="BM1311" s="105"/>
      <c r="BN1311" s="105"/>
      <c r="BO1311" s="105"/>
    </row>
    <row r="1312" spans="1:68" ht="15.75" hidden="1" customHeight="1" outlineLevel="1">
      <c r="A1312" s="407"/>
      <c r="B1312" s="99"/>
      <c r="C1312" s="99"/>
      <c r="D1312" s="99"/>
      <c r="E1312" s="99"/>
      <c r="F1312" s="99"/>
      <c r="G1312" s="99"/>
      <c r="H1312" s="99"/>
      <c r="I1312" s="99"/>
      <c r="J1312" s="99"/>
      <c r="K1312" s="99"/>
      <c r="L1312" s="99"/>
      <c r="M1312" s="99"/>
      <c r="N1312" s="99"/>
      <c r="O1312" s="99"/>
      <c r="P1312" s="99"/>
      <c r="Q1312" s="99"/>
      <c r="R1312" s="99"/>
      <c r="S1312" s="99"/>
      <c r="T1312" s="99"/>
      <c r="U1312" s="99"/>
      <c r="V1312" s="99"/>
      <c r="W1312" s="105"/>
      <c r="X1312" s="105"/>
      <c r="Y1312" s="105"/>
      <c r="Z1312" s="105"/>
      <c r="AA1312" s="105"/>
      <c r="AB1312" s="105"/>
      <c r="AC1312" s="105"/>
      <c r="AD1312" s="105"/>
      <c r="AE1312" s="105"/>
      <c r="AF1312" s="105"/>
      <c r="AG1312" s="105"/>
      <c r="AH1312" s="105"/>
      <c r="AI1312" s="105"/>
      <c r="AJ1312" s="171"/>
      <c r="AK1312" s="105"/>
      <c r="AL1312" s="91"/>
      <c r="AM1312" s="91"/>
      <c r="AN1312" s="91"/>
      <c r="AO1312" s="105"/>
      <c r="AP1312" s="105"/>
      <c r="AQ1312" s="105"/>
      <c r="AR1312" s="105">
        <f>IF($AR$1110&gt;0,'Assumptions (Nuclear)'!V10*Model!$AR$1110*AVERAGE('Assumptions (Nuclear)'!$AK$2:$AP$2)/10^9,0)</f>
        <v>0</v>
      </c>
      <c r="AS1312" s="105">
        <f>IF($AR$1110&gt;0,'Assumptions (Nuclear)'!W10*Model!$AR$1110*AVERAGE('Assumptions (Nuclear)'!$AK$2:$AP$2)/10^9,0)</f>
        <v>0</v>
      </c>
      <c r="AT1312" s="105">
        <f>IF($AR$1110&gt;0,'Assumptions (Nuclear)'!X10*Model!$AR$1110*AVERAGE('Assumptions (Nuclear)'!$AK$2:$AP$2)/10^9,0)</f>
        <v>0</v>
      </c>
      <c r="AU1312" s="105">
        <f>IF($AR$1110&gt;0,'Assumptions (Nuclear)'!Y10*Model!$AR$1110*AVERAGE('Assumptions (Nuclear)'!$AK$2:$AP$2)/10^9,0)</f>
        <v>0</v>
      </c>
      <c r="AV1312" s="105">
        <f>IF($AR$1110&gt;0,'Assumptions (Nuclear)'!Z10*Model!$AR$1110*AVERAGE('Assumptions (Nuclear)'!$AK$2:$AP$2)/10^9,0)</f>
        <v>0</v>
      </c>
      <c r="AW1312" s="105">
        <f>IF($AR$1110&gt;0,'Assumptions (Nuclear)'!AA10*Model!$AR$1110*AVERAGE('Assumptions (Nuclear)'!$AK$2:$AP$2)/10^9,0)</f>
        <v>0</v>
      </c>
      <c r="AX1312" s="105">
        <f>IF($AR$1110&gt;0,'Assumptions (Nuclear)'!AB10*Model!$AR$1110*AVERAGE('Assumptions (Nuclear)'!$AK$2:$AP$2)/10^9,0)</f>
        <v>0</v>
      </c>
      <c r="AY1312" s="105">
        <f>IF($AR$1110&gt;0,'Assumptions (Nuclear)'!AC10*Model!$AR$1110*AVERAGE('Assumptions (Nuclear)'!$AK$2:$AP$2)/10^9,0)</f>
        <v>0</v>
      </c>
      <c r="AZ1312" s="105">
        <f>IF($AR$1110&gt;0,'Assumptions (Nuclear)'!AD10*Model!$AR$1110*AVERAGE('Assumptions (Nuclear)'!$AK$2:$AP$2)/10^9,0)</f>
        <v>0</v>
      </c>
      <c r="BA1312" s="105">
        <f>IF($AR$1110&gt;0,'Assumptions (Nuclear)'!AE10*Model!$AR$1110*AVERAGE('Assumptions (Nuclear)'!$AK$2:$AP$2)/10^9,0)</f>
        <v>0</v>
      </c>
      <c r="BB1312" s="105">
        <f>IF($AR$1110&gt;0,'Assumptions (Nuclear)'!AF10*Model!$AR$1110*AVERAGE('Assumptions (Nuclear)'!$AK$2:$AP$2)/10^9,0)</f>
        <v>0</v>
      </c>
      <c r="BC1312" s="105">
        <f>IF($AR$1110&gt;0,'Assumptions (Nuclear)'!AG10*Model!$AR$1110*AVERAGE('Assumptions (Nuclear)'!$AK$2:$AP$2)/10^9,0)</f>
        <v>0</v>
      </c>
      <c r="BD1312" s="105">
        <f>IF($AR$1110&gt;0,'Assumptions (Nuclear)'!AH10*Model!$AR$1110*AVERAGE('Assumptions (Nuclear)'!$AK$2:$AP$2)/10^9,0)</f>
        <v>0</v>
      </c>
      <c r="BE1312" s="105">
        <f>IF($AR$1110&gt;0,'Assumptions (Nuclear)'!AI10*Model!$AR$1110*AVERAGE('Assumptions (Nuclear)'!$AK$2:$AP$2)/10^9,0)</f>
        <v>0</v>
      </c>
      <c r="BF1312" s="105">
        <f>IF($AR$1110&gt;0,'Assumptions (Nuclear)'!AJ10*Model!$AR$1110*AVERAGE('Assumptions (Nuclear)'!$AK$2:$AP$2)/10^9,0)</f>
        <v>0</v>
      </c>
      <c r="BG1312" s="105">
        <f>IF($AR$1110&gt;0,'Assumptions (Nuclear)'!AK10*Model!$AR$1110*AVERAGE('Assumptions (Nuclear)'!$AK$2:$AP$2)/10^9,0)</f>
        <v>0</v>
      </c>
      <c r="BH1312" s="105"/>
      <c r="BI1312" s="105"/>
      <c r="BJ1312" s="105"/>
      <c r="BK1312" s="105"/>
      <c r="BL1312" s="105"/>
      <c r="BM1312" s="105"/>
      <c r="BN1312" s="105"/>
      <c r="BO1312" s="105"/>
      <c r="BP1312" s="105"/>
    </row>
    <row r="1313" spans="1:73" ht="15.75" hidden="1" customHeight="1" outlineLevel="1">
      <c r="A1313" s="407"/>
      <c r="B1313" s="99"/>
      <c r="C1313" s="99"/>
      <c r="D1313" s="99"/>
      <c r="E1313" s="99"/>
      <c r="F1313" s="99"/>
      <c r="G1313" s="99"/>
      <c r="H1313" s="99"/>
      <c r="I1313" s="99"/>
      <c r="J1313" s="99"/>
      <c r="K1313" s="99"/>
      <c r="L1313" s="99"/>
      <c r="M1313" s="99"/>
      <c r="N1313" s="99"/>
      <c r="O1313" s="99"/>
      <c r="P1313" s="99"/>
      <c r="Q1313" s="99"/>
      <c r="R1313" s="99"/>
      <c r="S1313" s="99"/>
      <c r="T1313" s="99"/>
      <c r="U1313" s="99"/>
      <c r="V1313" s="99"/>
      <c r="W1313" s="105"/>
      <c r="X1313" s="105"/>
      <c r="Y1313" s="105"/>
      <c r="Z1313" s="105"/>
      <c r="AA1313" s="105"/>
      <c r="AB1313" s="105"/>
      <c r="AC1313" s="105"/>
      <c r="AD1313" s="105"/>
      <c r="AE1313" s="105"/>
      <c r="AF1313" s="105"/>
      <c r="AG1313" s="105"/>
      <c r="AH1313" s="105"/>
      <c r="AI1313" s="105"/>
      <c r="AJ1313" s="171"/>
      <c r="AK1313" s="105"/>
      <c r="AL1313" s="91"/>
      <c r="AM1313" s="91"/>
      <c r="AN1313" s="91"/>
      <c r="AO1313" s="105"/>
      <c r="AP1313" s="105"/>
      <c r="AQ1313" s="105"/>
      <c r="AR1313" s="105"/>
      <c r="AS1313" s="105">
        <f>IF($AS$1110&gt;0,'Assumptions (Nuclear)'!V10*Model!$AS$1110*AVERAGE('Assumptions (Nuclear)'!$AL$2:$AQ$2)/10^9,0)</f>
        <v>0</v>
      </c>
      <c r="AT1313" s="105">
        <f>IF($AS$1110&gt;0,'Assumptions (Nuclear)'!W10*Model!$AS$1110*AVERAGE('Assumptions (Nuclear)'!$AL$2:$AQ$2)/10^9,0)</f>
        <v>0</v>
      </c>
      <c r="AU1313" s="105">
        <f>IF($AS$1110&gt;0,'Assumptions (Nuclear)'!X10*Model!$AS$1110*AVERAGE('Assumptions (Nuclear)'!$AL$2:$AQ$2)/10^9,0)</f>
        <v>0</v>
      </c>
      <c r="AV1313" s="105">
        <f>IF($AS$1110&gt;0,'Assumptions (Nuclear)'!Y10*Model!$AS$1110*AVERAGE('Assumptions (Nuclear)'!$AL$2:$AQ$2)/10^9,0)</f>
        <v>0</v>
      </c>
      <c r="AW1313" s="105">
        <f>IF($AS$1110&gt;0,'Assumptions (Nuclear)'!Z10*Model!$AS$1110*AVERAGE('Assumptions (Nuclear)'!$AL$2:$AQ$2)/10^9,0)</f>
        <v>0</v>
      </c>
      <c r="AX1313" s="105">
        <f>IF($AS$1110&gt;0,'Assumptions (Nuclear)'!AA10*Model!$AS$1110*AVERAGE('Assumptions (Nuclear)'!$AL$2:$AQ$2)/10^9,0)</f>
        <v>0</v>
      </c>
      <c r="AY1313" s="105">
        <f>IF($AS$1110&gt;0,'Assumptions (Nuclear)'!AB10*Model!$AS$1110*AVERAGE('Assumptions (Nuclear)'!$AL$2:$AQ$2)/10^9,0)</f>
        <v>0</v>
      </c>
      <c r="AZ1313" s="105">
        <f>IF($AS$1110&gt;0,'Assumptions (Nuclear)'!AC10*Model!$AS$1110*AVERAGE('Assumptions (Nuclear)'!$AL$2:$AQ$2)/10^9,0)</f>
        <v>0</v>
      </c>
      <c r="BA1313" s="105">
        <f>IF($AS$1110&gt;0,'Assumptions (Nuclear)'!AD10*Model!$AS$1110*AVERAGE('Assumptions (Nuclear)'!$AL$2:$AQ$2)/10^9,0)</f>
        <v>0</v>
      </c>
      <c r="BB1313" s="105">
        <f>IF($AS$1110&gt;0,'Assumptions (Nuclear)'!AE10*Model!$AS$1110*AVERAGE('Assumptions (Nuclear)'!$AL$2:$AQ$2)/10^9,0)</f>
        <v>0</v>
      </c>
      <c r="BC1313" s="105">
        <f>IF($AS$1110&gt;0,'Assumptions (Nuclear)'!AF10*Model!$AS$1110*AVERAGE('Assumptions (Nuclear)'!$AL$2:$AQ$2)/10^9,0)</f>
        <v>0</v>
      </c>
      <c r="BD1313" s="105">
        <f>IF($AS$1110&gt;0,'Assumptions (Nuclear)'!AG10*Model!$AS$1110*AVERAGE('Assumptions (Nuclear)'!$AL$2:$AQ$2)/10^9,0)</f>
        <v>0</v>
      </c>
      <c r="BE1313" s="105">
        <f>IF($AS$1110&gt;0,'Assumptions (Nuclear)'!AH10*Model!$AS$1110*AVERAGE('Assumptions (Nuclear)'!$AL$2:$AQ$2)/10^9,0)</f>
        <v>0</v>
      </c>
      <c r="BF1313" s="105">
        <f>IF($AS$1110&gt;0,'Assumptions (Nuclear)'!AI10*Model!$AS$1110*AVERAGE('Assumptions (Nuclear)'!$AL$2:$AQ$2)/10^9,0)</f>
        <v>0</v>
      </c>
      <c r="BG1313" s="105">
        <f>IF($AS$1110&gt;0,'Assumptions (Nuclear)'!AJ10*Model!$AS$1110*AVERAGE('Assumptions (Nuclear)'!$AL$2:$AQ$2)/10^9,0)</f>
        <v>0</v>
      </c>
      <c r="BH1313" s="105">
        <f>IF($AS$1110&gt;0,'Assumptions (Nuclear)'!AK10*Model!$AS$1110*AVERAGE('Assumptions (Nuclear)'!$AL$2:$AQ$2)/10^9,0)</f>
        <v>0</v>
      </c>
      <c r="BI1313" s="105"/>
      <c r="BJ1313" s="105"/>
      <c r="BK1313" s="105"/>
      <c r="BL1313" s="105"/>
      <c r="BM1313" s="105"/>
      <c r="BN1313" s="105"/>
      <c r="BO1313" s="105"/>
      <c r="BP1313" s="105"/>
      <c r="BQ1313" s="105"/>
      <c r="BR1313" s="105"/>
    </row>
    <row r="1314" spans="1:73" ht="15.75" hidden="1" customHeight="1" outlineLevel="1">
      <c r="A1314" s="407"/>
      <c r="B1314" s="99"/>
      <c r="C1314" s="99"/>
      <c r="D1314" s="99"/>
      <c r="E1314" s="99"/>
      <c r="F1314" s="99"/>
      <c r="G1314" s="99"/>
      <c r="H1314" s="99"/>
      <c r="I1314" s="99"/>
      <c r="J1314" s="99"/>
      <c r="K1314" s="99"/>
      <c r="L1314" s="99"/>
      <c r="M1314" s="99"/>
      <c r="N1314" s="99"/>
      <c r="O1314" s="99"/>
      <c r="P1314" s="99"/>
      <c r="Q1314" s="99"/>
      <c r="R1314" s="99"/>
      <c r="S1314" s="99"/>
      <c r="T1314" s="99"/>
      <c r="U1314" s="99"/>
      <c r="V1314" s="99"/>
      <c r="W1314" s="105"/>
      <c r="X1314" s="105"/>
      <c r="Y1314" s="105"/>
      <c r="Z1314" s="105"/>
      <c r="AA1314" s="105"/>
      <c r="AB1314" s="105"/>
      <c r="AC1314" s="105"/>
      <c r="AD1314" s="105"/>
      <c r="AE1314" s="105"/>
      <c r="AF1314" s="105"/>
      <c r="AG1314" s="105"/>
      <c r="AH1314" s="105"/>
      <c r="AI1314" s="105"/>
      <c r="AJ1314" s="171"/>
      <c r="AK1314" s="105"/>
      <c r="AL1314" s="91"/>
      <c r="AM1314" s="91"/>
      <c r="AN1314" s="91"/>
      <c r="AO1314" s="105"/>
      <c r="AP1314" s="105"/>
      <c r="AQ1314" s="105"/>
      <c r="AR1314" s="105"/>
      <c r="AS1314" s="105"/>
      <c r="AT1314" s="105">
        <f>IF($AT$1110&gt;0,'Assumptions (Nuclear)'!V10*Model!$AT$1110*AVERAGE('Assumptions (Nuclear)'!$AM$2:$AR$2)/10^9,0)</f>
        <v>0.51805516626919323</v>
      </c>
      <c r="AU1314" s="105">
        <f>IF($AT$1110&gt;0,'Assumptions (Nuclear)'!W10*Model!$AT$1110*AVERAGE('Assumptions (Nuclear)'!$AM$2:$AR$2)/10^9,0)</f>
        <v>0.98430481591146723</v>
      </c>
      <c r="AV1314" s="105">
        <f>IF($AT$1110&gt;0,'Assumptions (Nuclear)'!X10*Model!$AT$1110*AVERAGE('Assumptions (Nuclear)'!$AM$2:$AR$2)/10^9,0)</f>
        <v>0.88587433432032048</v>
      </c>
      <c r="AW1314" s="105">
        <f>IF($AT$1110&gt;0,'Assumptions (Nuclear)'!Y10*Model!$AT$1110*AVERAGE('Assumptions (Nuclear)'!$AM$2:$AR$2)/10^9,0)</f>
        <v>0.79780495605455759</v>
      </c>
      <c r="AX1314" s="105">
        <f>IF($AT$1110&gt;0,'Assumptions (Nuclear)'!Z10*Model!$AT$1110*AVERAGE('Assumptions (Nuclear)'!$AM$2:$AR$2)/10^9,0)</f>
        <v>0.71802446044910184</v>
      </c>
      <c r="AY1314" s="105">
        <f>IF($AT$1110&gt;0,'Assumptions (Nuclear)'!AA10*Model!$AT$1110*AVERAGE('Assumptions (Nuclear)'!$AM$2:$AR$2)/10^9,0)</f>
        <v>0.64549673717141476</v>
      </c>
      <c r="AZ1314" s="105">
        <f>IF($AT$1110&gt;0,'Assumptions (Nuclear)'!AB10*Model!$AT$1110*AVERAGE('Assumptions (Nuclear)'!$AM$2:$AR$2)/10^9,0)</f>
        <v>0.61130509619764795</v>
      </c>
      <c r="BA1314" s="105">
        <f>IF($AT$1110&gt;0,'Assumptions (Nuclear)'!AC10*Model!$AT$1110*AVERAGE('Assumptions (Nuclear)'!$AM$2:$AR$2)/10^9,0)</f>
        <v>0.61130509619764795</v>
      </c>
      <c r="BB1314" s="105">
        <f>IF($AT$1110&gt;0,'Assumptions (Nuclear)'!AD10*Model!$AT$1110*AVERAGE('Assumptions (Nuclear)'!$AM$2:$AR$2)/10^9,0)</f>
        <v>0.61234120653018642</v>
      </c>
      <c r="BC1314" s="105">
        <f>IF($AT$1110&gt;0,'Assumptions (Nuclear)'!AE10*Model!$AT$1110*AVERAGE('Assumptions (Nuclear)'!$AM$2:$AR$2)/10^9,0)</f>
        <v>0.61130509619764795</v>
      </c>
      <c r="BD1314" s="105">
        <f>IF($AT$1110&gt;0,'Assumptions (Nuclear)'!AF10*Model!$AT$1110*AVERAGE('Assumptions (Nuclear)'!$AM$2:$AR$2)/10^9,0)</f>
        <v>0.61234120653018642</v>
      </c>
      <c r="BE1314" s="105">
        <f>IF($AT$1110&gt;0,'Assumptions (Nuclear)'!AG10*Model!$AT$1110*AVERAGE('Assumptions (Nuclear)'!$AM$2:$AR$2)/10^9,0)</f>
        <v>0.61130509619764795</v>
      </c>
      <c r="BF1314" s="105">
        <f>IF($AT$1110&gt;0,'Assumptions (Nuclear)'!AH10*Model!$AT$1110*AVERAGE('Assumptions (Nuclear)'!$AM$2:$AR$2)/10^9,0)</f>
        <v>0.61234120653018642</v>
      </c>
      <c r="BG1314" s="105">
        <f>IF($AT$1110&gt;0,'Assumptions (Nuclear)'!AI10*Model!$AT$1110*AVERAGE('Assumptions (Nuclear)'!$AM$2:$AR$2)/10^9,0)</f>
        <v>0.61130509619764795</v>
      </c>
      <c r="BH1314" s="105">
        <f>IF($AT$1110&gt;0,'Assumptions (Nuclear)'!AJ10*Model!$AT$1110*AVERAGE('Assumptions (Nuclear)'!$AM$2:$AR$2)/10^9,0)</f>
        <v>0.61234120653018642</v>
      </c>
      <c r="BI1314" s="105">
        <f>IF($AT$1110&gt;0,'Assumptions (Nuclear)'!AK10*Model!$AT$1110*AVERAGE('Assumptions (Nuclear)'!$AM$2:$AR$2)/10^9,0)</f>
        <v>0.30565254809882397</v>
      </c>
      <c r="BJ1314" s="105"/>
      <c r="BK1314" s="105"/>
      <c r="BL1314" s="105"/>
      <c r="BM1314" s="105"/>
      <c r="BN1314" s="105"/>
      <c r="BO1314" s="105"/>
      <c r="BP1314" s="105"/>
      <c r="BQ1314" s="105"/>
      <c r="BR1314" s="105"/>
    </row>
    <row r="1315" spans="1:73" ht="15.75" hidden="1" customHeight="1" outlineLevel="1">
      <c r="A1315" s="407"/>
      <c r="B1315" s="99"/>
      <c r="C1315" s="99"/>
      <c r="D1315" s="99"/>
      <c r="E1315" s="99"/>
      <c r="F1315" s="99"/>
      <c r="G1315" s="99"/>
      <c r="H1315" s="99"/>
      <c r="I1315" s="99"/>
      <c r="J1315" s="99"/>
      <c r="K1315" s="99"/>
      <c r="L1315" s="99"/>
      <c r="M1315" s="99"/>
      <c r="N1315" s="99"/>
      <c r="O1315" s="99"/>
      <c r="P1315" s="99"/>
      <c r="Q1315" s="99"/>
      <c r="R1315" s="99"/>
      <c r="S1315" s="99"/>
      <c r="T1315" s="99"/>
      <c r="U1315" s="99"/>
      <c r="V1315" s="99"/>
      <c r="W1315" s="105"/>
      <c r="X1315" s="105"/>
      <c r="Y1315" s="105"/>
      <c r="Z1315" s="105"/>
      <c r="AA1315" s="105"/>
      <c r="AB1315" s="105"/>
      <c r="AC1315" s="105"/>
      <c r="AD1315" s="105"/>
      <c r="AE1315" s="105"/>
      <c r="AF1315" s="105"/>
      <c r="AG1315" s="105"/>
      <c r="AH1315" s="105"/>
      <c r="AI1315" s="105"/>
      <c r="AJ1315" s="171"/>
      <c r="AK1315" s="105"/>
      <c r="AL1315" s="91"/>
      <c r="AM1315" s="91"/>
      <c r="AN1315" s="91"/>
      <c r="AO1315" s="105"/>
      <c r="AP1315" s="105"/>
      <c r="AQ1315" s="105"/>
      <c r="AR1315" s="105"/>
      <c r="AS1315" s="105"/>
      <c r="AT1315" s="105"/>
      <c r="AU1315" s="105">
        <f>IF($AU$1110&gt;0,'Assumptions (Nuclear)'!V10*Model!$AU$1110*AVERAGE('Assumptions (Nuclear)'!$AN$2:$AS$2)/10^9,0)</f>
        <v>0</v>
      </c>
      <c r="AV1315" s="105">
        <f>IF($AU$1110&gt;0,'Assumptions (Nuclear)'!W10*Model!$AU$1110*AVERAGE('Assumptions (Nuclear)'!$AN$2:$AS$2)/10^9,0)</f>
        <v>0</v>
      </c>
      <c r="AW1315" s="105">
        <f>IF($AU$1110&gt;0,'Assumptions (Nuclear)'!X10*Model!$AU$1110*AVERAGE('Assumptions (Nuclear)'!$AN$2:$AS$2)/10^9,0)</f>
        <v>0</v>
      </c>
      <c r="AX1315" s="105">
        <f>IF($AU$1110&gt;0,'Assumptions (Nuclear)'!Y10*Model!$AU$1110*AVERAGE('Assumptions (Nuclear)'!$AN$2:$AS$2)/10^9,0)</f>
        <v>0</v>
      </c>
      <c r="AY1315" s="105">
        <f>IF($AU$1110&gt;0,'Assumptions (Nuclear)'!Z10*Model!$AU$1110*AVERAGE('Assumptions (Nuclear)'!$AN$2:$AS$2)/10^9,0)</f>
        <v>0</v>
      </c>
      <c r="AZ1315" s="105">
        <f>IF($AU$1110&gt;0,'Assumptions (Nuclear)'!AA10*Model!$AU$1110*AVERAGE('Assumptions (Nuclear)'!$AN$2:$AS$2)/10^9,0)</f>
        <v>0</v>
      </c>
      <c r="BA1315" s="105">
        <f>IF($AU$1110&gt;0,'Assumptions (Nuclear)'!AB10*Model!$AU$1110*AVERAGE('Assumptions (Nuclear)'!$AN$2:$AS$2)/10^9,0)</f>
        <v>0</v>
      </c>
      <c r="BB1315" s="105">
        <f>IF($AU$1110&gt;0,'Assumptions (Nuclear)'!AC10*Model!$AU$1110*AVERAGE('Assumptions (Nuclear)'!$AN$2:$AS$2)/10^9,0)</f>
        <v>0</v>
      </c>
      <c r="BC1315" s="105">
        <f>IF($AU$1110&gt;0,'Assumptions (Nuclear)'!AD10*Model!$AU$1110*AVERAGE('Assumptions (Nuclear)'!$AN$2:$AS$2)/10^9,0)</f>
        <v>0</v>
      </c>
      <c r="BD1315" s="105">
        <f>IF($AU$1110&gt;0,'Assumptions (Nuclear)'!AE10*Model!$AU$1110*AVERAGE('Assumptions (Nuclear)'!$AN$2:$AS$2)/10^9,0)</f>
        <v>0</v>
      </c>
      <c r="BE1315" s="105">
        <f>IF($AU$1110&gt;0,'Assumptions (Nuclear)'!AF10*Model!$AU$1110*AVERAGE('Assumptions (Nuclear)'!$AN$2:$AS$2)/10^9,0)</f>
        <v>0</v>
      </c>
      <c r="BF1315" s="105">
        <f>IF($AU$1110&gt;0,'Assumptions (Nuclear)'!AG10*Model!$AU$1110*AVERAGE('Assumptions (Nuclear)'!$AN$2:$AS$2)/10^9,0)</f>
        <v>0</v>
      </c>
      <c r="BG1315" s="105">
        <f>IF($AU$1110&gt;0,'Assumptions (Nuclear)'!AH10*Model!$AU$1110*AVERAGE('Assumptions (Nuclear)'!$AN$2:$AS$2)/10^9,0)</f>
        <v>0</v>
      </c>
      <c r="BH1315" s="105">
        <f>IF($AU$1110&gt;0,'Assumptions (Nuclear)'!AI10*Model!$AU$1110*AVERAGE('Assumptions (Nuclear)'!$AN$2:$AS$2)/10^9,0)</f>
        <v>0</v>
      </c>
      <c r="BI1315" s="105">
        <f>IF($AU$1110&gt;0,'Assumptions (Nuclear)'!AJ10*Model!$AU$1110*AVERAGE('Assumptions (Nuclear)'!$AN$2:$AS$2)/10^9,0)</f>
        <v>0</v>
      </c>
      <c r="BJ1315" s="105">
        <f>IF($AU$1110&gt;0,'Assumptions (Nuclear)'!AK10*Model!$AU$1110*AVERAGE('Assumptions (Nuclear)'!$AN$2:$AS$2)/10^9,0)</f>
        <v>0</v>
      </c>
      <c r="BK1315" s="105"/>
      <c r="BL1315" s="105"/>
      <c r="BM1315" s="105"/>
      <c r="BN1315" s="105"/>
      <c r="BO1315" s="105"/>
      <c r="BP1315" s="105"/>
      <c r="BQ1315" s="105"/>
      <c r="BR1315" s="105"/>
      <c r="BS1315" s="105"/>
    </row>
    <row r="1316" spans="1:73" ht="15.75" hidden="1" customHeight="1" outlineLevel="1">
      <c r="A1316" s="407"/>
      <c r="B1316" s="99"/>
      <c r="C1316" s="99"/>
      <c r="D1316" s="99"/>
      <c r="E1316" s="99"/>
      <c r="F1316" s="99"/>
      <c r="G1316" s="99"/>
      <c r="H1316" s="99"/>
      <c r="I1316" s="99"/>
      <c r="J1316" s="99"/>
      <c r="K1316" s="99"/>
      <c r="L1316" s="99"/>
      <c r="M1316" s="99"/>
      <c r="N1316" s="99"/>
      <c r="O1316" s="99"/>
      <c r="P1316" s="99"/>
      <c r="Q1316" s="99"/>
      <c r="R1316" s="99"/>
      <c r="S1316" s="99"/>
      <c r="T1316" s="99"/>
      <c r="U1316" s="99"/>
      <c r="V1316" s="99"/>
      <c r="W1316" s="105"/>
      <c r="X1316" s="105"/>
      <c r="Y1316" s="105"/>
      <c r="Z1316" s="105"/>
      <c r="AA1316" s="105"/>
      <c r="AB1316" s="105"/>
      <c r="AC1316" s="105"/>
      <c r="AD1316" s="105"/>
      <c r="AE1316" s="105"/>
      <c r="AF1316" s="105"/>
      <c r="AG1316" s="105"/>
      <c r="AH1316" s="105"/>
      <c r="AI1316" s="105"/>
      <c r="AJ1316" s="171"/>
      <c r="AK1316" s="105"/>
      <c r="AL1316" s="91"/>
      <c r="AM1316" s="91"/>
      <c r="AN1316" s="91"/>
      <c r="AO1316" s="105"/>
      <c r="AP1316" s="105"/>
      <c r="AQ1316" s="105"/>
      <c r="AR1316" s="105"/>
      <c r="AS1316" s="105"/>
      <c r="AT1316" s="105"/>
      <c r="AU1316" s="105"/>
      <c r="AV1316" s="105">
        <f>IF($AV$1110&gt;0,'Assumptions (Nuclear)'!V10*Model!$AV$1110*AVERAGE('Assumptions (Nuclear)'!$AO$2:$AT$2)/10^9,0)</f>
        <v>0</v>
      </c>
      <c r="AW1316" s="105">
        <f>IF($AV$1110&gt;0,'Assumptions (Nuclear)'!W10*Model!$AV$1110*AVERAGE('Assumptions (Nuclear)'!$AO$2:$AT$2)/10^9,0)</f>
        <v>0</v>
      </c>
      <c r="AX1316" s="105">
        <f>IF($AV$1110&gt;0,'Assumptions (Nuclear)'!X10*Model!$AV$1110*AVERAGE('Assumptions (Nuclear)'!$AO$2:$AT$2)/10^9,0)</f>
        <v>0</v>
      </c>
      <c r="AY1316" s="105">
        <f>IF($AV$1110&gt;0,'Assumptions (Nuclear)'!Y10*Model!$AV$1110*AVERAGE('Assumptions (Nuclear)'!$AO$2:$AT$2)/10^9,0)</f>
        <v>0</v>
      </c>
      <c r="AZ1316" s="105">
        <f>IF($AV$1110&gt;0,'Assumptions (Nuclear)'!Z10*Model!$AV$1110*AVERAGE('Assumptions (Nuclear)'!$AO$2:$AT$2)/10^9,0)</f>
        <v>0</v>
      </c>
      <c r="BA1316" s="105">
        <f>IF($AV$1110&gt;0,'Assumptions (Nuclear)'!AA10*Model!$AV$1110*AVERAGE('Assumptions (Nuclear)'!$AO$2:$AT$2)/10^9,0)</f>
        <v>0</v>
      </c>
      <c r="BB1316" s="105">
        <f>IF($AV$1110&gt;0,'Assumptions (Nuclear)'!AB10*Model!$AV$1110*AVERAGE('Assumptions (Nuclear)'!$AO$2:$AT$2)/10^9,0)</f>
        <v>0</v>
      </c>
      <c r="BC1316" s="105">
        <f>IF($AV$1110&gt;0,'Assumptions (Nuclear)'!AC10*Model!$AV$1110*AVERAGE('Assumptions (Nuclear)'!$AO$2:$AT$2)/10^9,0)</f>
        <v>0</v>
      </c>
      <c r="BD1316" s="105">
        <f>IF($AV$1110&gt;0,'Assumptions (Nuclear)'!AD10*Model!$AV$1110*AVERAGE('Assumptions (Nuclear)'!$AO$2:$AT$2)/10^9,0)</f>
        <v>0</v>
      </c>
      <c r="BE1316" s="105">
        <f>IF($AV$1110&gt;0,'Assumptions (Nuclear)'!AE10*Model!$AV$1110*AVERAGE('Assumptions (Nuclear)'!$AO$2:$AT$2)/10^9,0)</f>
        <v>0</v>
      </c>
      <c r="BF1316" s="105">
        <f>IF($AV$1110&gt;0,'Assumptions (Nuclear)'!AF10*Model!$AV$1110*AVERAGE('Assumptions (Nuclear)'!$AO$2:$AT$2)/10^9,0)</f>
        <v>0</v>
      </c>
      <c r="BG1316" s="105">
        <f>IF($AV$1110&gt;0,'Assumptions (Nuclear)'!AG10*Model!$AV$1110*AVERAGE('Assumptions (Nuclear)'!$AO$2:$AT$2)/10^9,0)</f>
        <v>0</v>
      </c>
      <c r="BH1316" s="105">
        <f>IF($AV$1110&gt;0,'Assumptions (Nuclear)'!AH10*Model!$AV$1110*AVERAGE('Assumptions (Nuclear)'!$AO$2:$AT$2)/10^9,0)</f>
        <v>0</v>
      </c>
      <c r="BI1316" s="105">
        <f>IF($AV$1110&gt;0,'Assumptions (Nuclear)'!AI10*Model!$AV$1110*AVERAGE('Assumptions (Nuclear)'!$AO$2:$AT$2)/10^9,0)</f>
        <v>0</v>
      </c>
      <c r="BJ1316" s="105">
        <f>IF($AV$1110&gt;0,'Assumptions (Nuclear)'!AJ10*Model!$AV$1110*AVERAGE('Assumptions (Nuclear)'!$AO$2:$AT$2)/10^9,0)</f>
        <v>0</v>
      </c>
      <c r="BK1316" s="105">
        <f>IF($AV$1110&gt;0,'Assumptions (Nuclear)'!AK10*Model!$AV$1110*AVERAGE('Assumptions (Nuclear)'!$AO$2:$AT$2)/10^9,0)</f>
        <v>0</v>
      </c>
      <c r="BL1316" s="105"/>
      <c r="BM1316" s="105"/>
      <c r="BN1316" s="105"/>
      <c r="BO1316" s="105"/>
      <c r="BP1316" s="105"/>
      <c r="BQ1316" s="105"/>
      <c r="BR1316" s="105"/>
      <c r="BS1316" s="105"/>
      <c r="BT1316" s="105"/>
    </row>
    <row r="1317" spans="1:73" ht="15.75" hidden="1" customHeight="1" outlineLevel="1">
      <c r="A1317" s="407"/>
      <c r="B1317" s="99"/>
      <c r="C1317" s="99"/>
      <c r="D1317" s="99"/>
      <c r="E1317" s="99"/>
      <c r="F1317" s="99"/>
      <c r="G1317" s="99"/>
      <c r="H1317" s="99"/>
      <c r="I1317" s="99"/>
      <c r="J1317" s="99"/>
      <c r="K1317" s="99"/>
      <c r="L1317" s="99"/>
      <c r="M1317" s="99"/>
      <c r="N1317" s="99"/>
      <c r="O1317" s="99"/>
      <c r="P1317" s="99"/>
      <c r="Q1317" s="99"/>
      <c r="R1317" s="99"/>
      <c r="S1317" s="99"/>
      <c r="T1317" s="99"/>
      <c r="U1317" s="99"/>
      <c r="V1317" s="99"/>
      <c r="W1317" s="105"/>
      <c r="X1317" s="105"/>
      <c r="Y1317" s="105"/>
      <c r="Z1317" s="105"/>
      <c r="AA1317" s="105"/>
      <c r="AB1317" s="105"/>
      <c r="AC1317" s="105"/>
      <c r="AD1317" s="105"/>
      <c r="AE1317" s="105"/>
      <c r="AF1317" s="105"/>
      <c r="AG1317" s="105"/>
      <c r="AH1317" s="105"/>
      <c r="AI1317" s="105"/>
      <c r="AJ1317" s="171"/>
      <c r="AK1317" s="105"/>
      <c r="AL1317" s="91"/>
      <c r="AM1317" s="91"/>
      <c r="AN1317" s="91"/>
      <c r="AO1317" s="105"/>
      <c r="AP1317" s="105"/>
      <c r="AQ1317" s="105"/>
      <c r="AR1317" s="105"/>
      <c r="AS1317" s="105"/>
      <c r="AT1317" s="105"/>
      <c r="AU1317" s="105"/>
      <c r="AV1317" s="105"/>
      <c r="AW1317" s="105">
        <f>IF($AW$1110&gt;0,'Assumptions (Nuclear)'!V10*Model!$AW$1110*AVERAGE('Assumptions (Nuclear)'!$AP$2:$AU$2)/10^9,0)</f>
        <v>1.6714320589195684</v>
      </c>
      <c r="AX1317" s="105">
        <f>IF($AW$1110&gt;0,'Assumptions (Nuclear)'!W10*Model!$AW$1110*AVERAGE('Assumptions (Nuclear)'!$AP$2:$AU$2)/10^9,0)</f>
        <v>3.1757209119471792</v>
      </c>
      <c r="AY1317" s="105">
        <f>IF($AW$1110&gt;0,'Assumptions (Nuclear)'!X10*Model!$AW$1110*AVERAGE('Assumptions (Nuclear)'!$AP$2:$AU$2)/10^9,0)</f>
        <v>2.8581488207524619</v>
      </c>
      <c r="AZ1317" s="105">
        <f>IF($AW$1110&gt;0,'Assumptions (Nuclear)'!Y10*Model!$AW$1110*AVERAGE('Assumptions (Nuclear)'!$AP$2:$AU$2)/10^9,0)</f>
        <v>2.5740053707361343</v>
      </c>
      <c r="BA1317" s="105">
        <f>IF($AW$1110&gt;0,'Assumptions (Nuclear)'!Z10*Model!$AW$1110*AVERAGE('Assumptions (Nuclear)'!$AP$2:$AU$2)/10^9,0)</f>
        <v>2.3166048336625216</v>
      </c>
      <c r="BB1317" s="105">
        <f>IF($AW$1110&gt;0,'Assumptions (Nuclear)'!AA10*Model!$AW$1110*AVERAGE('Assumptions (Nuclear)'!$AP$2:$AU$2)/10^9,0)</f>
        <v>2.0826043454137819</v>
      </c>
      <c r="BC1317" s="105">
        <f>IF($AW$1110&gt;0,'Assumptions (Nuclear)'!AB10*Model!$AW$1110*AVERAGE('Assumptions (Nuclear)'!$AP$2:$AU$2)/10^9,0)</f>
        <v>1.9722898295250901</v>
      </c>
      <c r="BD1317" s="105">
        <f>IF($AW$1110&gt;0,'Assumptions (Nuclear)'!AC10*Model!$AW$1110*AVERAGE('Assumptions (Nuclear)'!$AP$2:$AU$2)/10^9,0)</f>
        <v>1.9722898295250901</v>
      </c>
      <c r="BE1317" s="105">
        <f>IF($AW$1110&gt;0,'Assumptions (Nuclear)'!AD10*Model!$AW$1110*AVERAGE('Assumptions (Nuclear)'!$AP$2:$AU$2)/10^9,0)</f>
        <v>1.9756326936429296</v>
      </c>
      <c r="BF1317" s="105">
        <f>IF($AW$1110&gt;0,'Assumptions (Nuclear)'!AE10*Model!$AW$1110*AVERAGE('Assumptions (Nuclear)'!$AP$2:$AU$2)/10^9,0)</f>
        <v>1.9722898295250901</v>
      </c>
      <c r="BG1317" s="105">
        <f>IF($AW$1110&gt;0,'Assumptions (Nuclear)'!AF10*Model!$AW$1110*AVERAGE('Assumptions (Nuclear)'!$AP$2:$AU$2)/10^9,0)</f>
        <v>1.9756326936429296</v>
      </c>
      <c r="BH1317" s="105">
        <f>IF($AW$1110&gt;0,'Assumptions (Nuclear)'!AG10*Model!$AW$1110*AVERAGE('Assumptions (Nuclear)'!$AP$2:$AU$2)/10^9,0)</f>
        <v>1.9722898295250901</v>
      </c>
      <c r="BI1317" s="105">
        <f>IF($AW$1110&gt;0,'Assumptions (Nuclear)'!AH10*Model!$AW$1110*AVERAGE('Assumptions (Nuclear)'!$AP$2:$AU$2)/10^9,0)</f>
        <v>1.9756326936429296</v>
      </c>
      <c r="BJ1317" s="105">
        <f>IF($AW$1110&gt;0,'Assumptions (Nuclear)'!AI10*Model!$AW$1110*AVERAGE('Assumptions (Nuclear)'!$AP$2:$AU$2)/10^9,0)</f>
        <v>1.9722898295250901</v>
      </c>
      <c r="BK1317" s="105">
        <f>IF($AW$1110&gt;0,'Assumptions (Nuclear)'!AJ10*Model!$AW$1110*AVERAGE('Assumptions (Nuclear)'!$AP$2:$AU$2)/10^9,0)</f>
        <v>1.9756326936429296</v>
      </c>
      <c r="BL1317" s="105">
        <f>IF($AW$1110&gt;0,'Assumptions (Nuclear)'!AK10*Model!$AW$1110*AVERAGE('Assumptions (Nuclear)'!$AP$2:$AU$2)/10^9,0)</f>
        <v>0.98614491476254507</v>
      </c>
      <c r="BM1317" s="105"/>
      <c r="BN1317" s="105"/>
      <c r="BO1317" s="105"/>
      <c r="BP1317" s="105"/>
      <c r="BQ1317" s="105"/>
      <c r="BR1317" s="105"/>
      <c r="BS1317" s="105"/>
      <c r="BT1317" s="105"/>
      <c r="BU1317" s="105"/>
    </row>
    <row r="1318" spans="1:73" ht="15.75" hidden="1" customHeight="1" outlineLevel="1">
      <c r="A1318" s="407"/>
      <c r="B1318" s="99"/>
      <c r="C1318" s="99"/>
      <c r="D1318" s="99"/>
      <c r="E1318" s="99"/>
      <c r="F1318" s="99"/>
      <c r="G1318" s="99"/>
      <c r="H1318" s="99"/>
      <c r="I1318" s="99"/>
      <c r="J1318" s="99"/>
      <c r="K1318" s="99"/>
      <c r="L1318" s="99"/>
      <c r="M1318" s="99"/>
      <c r="N1318" s="99"/>
      <c r="O1318" s="99"/>
      <c r="P1318" s="99"/>
      <c r="Q1318" s="99"/>
      <c r="R1318" s="99"/>
      <c r="S1318" s="99"/>
      <c r="T1318" s="99"/>
      <c r="U1318" s="99"/>
      <c r="V1318" s="99"/>
      <c r="W1318" s="105"/>
      <c r="X1318" s="105"/>
      <c r="Y1318" s="105"/>
      <c r="Z1318" s="105"/>
      <c r="AA1318" s="105"/>
      <c r="AB1318" s="105"/>
      <c r="AC1318" s="105"/>
      <c r="AD1318" s="105"/>
      <c r="AE1318" s="105"/>
      <c r="AF1318" s="105"/>
      <c r="AG1318" s="105"/>
      <c r="AH1318" s="105"/>
      <c r="AI1318" s="105"/>
      <c r="AJ1318" s="171"/>
      <c r="AK1318" s="105"/>
      <c r="AL1318" s="91"/>
      <c r="AM1318" s="91"/>
      <c r="AN1318" s="91"/>
      <c r="AO1318" s="105"/>
      <c r="AP1318" s="105"/>
      <c r="AQ1318" s="105"/>
      <c r="AR1318" s="105"/>
      <c r="AS1318" s="105"/>
      <c r="AT1318" s="105"/>
      <c r="AU1318" s="105"/>
      <c r="AV1318" s="105"/>
      <c r="AW1318" s="105"/>
      <c r="AX1318" s="105">
        <f>IF($AX$1110&gt;0,'Assumptions (Nuclear)'!V10*Model!$AX$1110*AVERAGE('Assumptions (Nuclear)'!$AQ$2:$AV$2)/10^9,0)</f>
        <v>2.521838917211408</v>
      </c>
      <c r="AY1318" s="105">
        <f>IF($AX$1110&gt;0,'Assumptions (Nuclear)'!W10*Model!$AX$1110*AVERAGE('Assumptions (Nuclear)'!$AQ$2:$AV$2)/10^9,0)</f>
        <v>4.7914939427016758</v>
      </c>
      <c r="AZ1318" s="105">
        <f>IF($AX$1110&gt;0,'Assumptions (Nuclear)'!X10*Model!$AX$1110*AVERAGE('Assumptions (Nuclear)'!$AQ$2:$AV$2)/10^9,0)</f>
        <v>4.3123445484315077</v>
      </c>
      <c r="BA1318" s="105">
        <f>IF($AX$1110&gt;0,'Assumptions (Nuclear)'!Y10*Model!$AX$1110*AVERAGE('Assumptions (Nuclear)'!$AQ$2:$AV$2)/10^9,0)</f>
        <v>3.8836319325055686</v>
      </c>
      <c r="BB1318" s="105">
        <f>IF($AX$1110&gt;0,'Assumptions (Nuclear)'!Z10*Model!$AX$1110*AVERAGE('Assumptions (Nuclear)'!$AQ$2:$AV$2)/10^9,0)</f>
        <v>3.4952687392550121</v>
      </c>
      <c r="BC1318" s="105">
        <f>IF($AX$1110&gt;0,'Assumptions (Nuclear)'!AA10*Model!$AX$1110*AVERAGE('Assumptions (Nuclear)'!$AQ$2:$AV$2)/10^9,0)</f>
        <v>3.1422112908454145</v>
      </c>
      <c r="BD1318" s="105">
        <f>IF($AX$1110&gt;0,'Assumptions (Nuclear)'!AB10*Model!$AX$1110*AVERAGE('Assumptions (Nuclear)'!$AQ$2:$AV$2)/10^9,0)</f>
        <v>2.9757699223094618</v>
      </c>
      <c r="BE1318" s="105">
        <f>IF($AX$1110&gt;0,'Assumptions (Nuclear)'!AC10*Model!$AX$1110*AVERAGE('Assumptions (Nuclear)'!$AQ$2:$AV$2)/10^9,0)</f>
        <v>2.9757699223094618</v>
      </c>
      <c r="BF1318" s="105">
        <f>IF($AX$1110&gt;0,'Assumptions (Nuclear)'!AD10*Model!$AX$1110*AVERAGE('Assumptions (Nuclear)'!$AQ$2:$AV$2)/10^9,0)</f>
        <v>2.9808136001438843</v>
      </c>
      <c r="BG1318" s="105">
        <f>IF($AX$1110&gt;0,'Assumptions (Nuclear)'!AE10*Model!$AX$1110*AVERAGE('Assumptions (Nuclear)'!$AQ$2:$AV$2)/10^9,0)</f>
        <v>2.9757699223094618</v>
      </c>
      <c r="BH1318" s="105">
        <f>IF($AX$1110&gt;0,'Assumptions (Nuclear)'!AF10*Model!$AX$1110*AVERAGE('Assumptions (Nuclear)'!$AQ$2:$AV$2)/10^9,0)</f>
        <v>2.9808136001438843</v>
      </c>
      <c r="BI1318" s="105">
        <f>IF($AX$1110&gt;0,'Assumptions (Nuclear)'!AG10*Model!$AX$1110*AVERAGE('Assumptions (Nuclear)'!$AQ$2:$AV$2)/10^9,0)</f>
        <v>2.9757699223094618</v>
      </c>
      <c r="BJ1318" s="105">
        <f>IF($AX$1110&gt;0,'Assumptions (Nuclear)'!AH10*Model!$AX$1110*AVERAGE('Assumptions (Nuclear)'!$AQ$2:$AV$2)/10^9,0)</f>
        <v>2.9808136001438843</v>
      </c>
      <c r="BK1318" s="105">
        <f>IF($AX$1110&gt;0,'Assumptions (Nuclear)'!AI10*Model!$AX$1110*AVERAGE('Assumptions (Nuclear)'!$AQ$2:$AV$2)/10^9,0)</f>
        <v>2.9757699223094618</v>
      </c>
      <c r="BL1318" s="105">
        <f>IF($AX$1110&gt;0,'Assumptions (Nuclear)'!AJ10*Model!$AX$1110*AVERAGE('Assumptions (Nuclear)'!$AQ$2:$AV$2)/10^9,0)</f>
        <v>2.9808136001438843</v>
      </c>
      <c r="BM1318" s="105">
        <f>IF($AX$1110&gt;0,'Assumptions (Nuclear)'!AK10*Model!$AX$1110*AVERAGE('Assumptions (Nuclear)'!$AQ$2:$AV$2)/10^9,0)</f>
        <v>1.4878849611547309</v>
      </c>
      <c r="BN1318" s="105"/>
      <c r="BO1318" s="105"/>
      <c r="BP1318" s="105"/>
      <c r="BQ1318" s="105"/>
      <c r="BR1318" s="105"/>
      <c r="BS1318" s="105"/>
      <c r="BT1318" s="105"/>
      <c r="BU1318" s="105"/>
    </row>
    <row r="1319" spans="1:73" ht="15.75" hidden="1" customHeight="1" outlineLevel="1">
      <c r="A1319" s="407"/>
      <c r="B1319" s="99"/>
      <c r="C1319" s="99"/>
      <c r="D1319" s="99"/>
      <c r="E1319" s="99"/>
      <c r="F1319" s="99"/>
      <c r="G1319" s="99"/>
      <c r="H1319" s="99"/>
      <c r="I1319" s="99"/>
      <c r="J1319" s="99"/>
      <c r="K1319" s="99"/>
      <c r="L1319" s="99"/>
      <c r="M1319" s="99"/>
      <c r="N1319" s="99"/>
      <c r="O1319" s="99"/>
      <c r="P1319" s="99"/>
      <c r="Q1319" s="99"/>
      <c r="R1319" s="99"/>
      <c r="S1319" s="99"/>
      <c r="T1319" s="99"/>
      <c r="U1319" s="99"/>
      <c r="V1319" s="99"/>
      <c r="W1319" s="105"/>
      <c r="X1319" s="105"/>
      <c r="Y1319" s="105"/>
      <c r="Z1319" s="105"/>
      <c r="AA1319" s="105"/>
      <c r="AB1319" s="105"/>
      <c r="AC1319" s="105"/>
      <c r="AD1319" s="105"/>
      <c r="AE1319" s="105"/>
      <c r="AF1319" s="105"/>
      <c r="AG1319" s="105"/>
      <c r="AH1319" s="105"/>
      <c r="AI1319" s="105"/>
      <c r="AJ1319" s="171"/>
      <c r="AK1319" s="105"/>
      <c r="AL1319" s="91"/>
      <c r="AM1319" s="91"/>
      <c r="AN1319" s="91"/>
      <c r="AO1319" s="105"/>
      <c r="AP1319" s="105"/>
      <c r="AQ1319" s="105"/>
      <c r="AR1319" s="105"/>
      <c r="AS1319" s="105"/>
      <c r="AT1319" s="105"/>
      <c r="AU1319" s="105"/>
      <c r="AV1319" s="105"/>
      <c r="AW1319" s="105"/>
      <c r="AX1319" s="105"/>
      <c r="AY1319" s="105">
        <f>IF($AY$1110&gt;0,'Assumptions (Nuclear)'!V10*Model!$AY$1110*AVERAGE('Assumptions (Nuclear)'!$AR$2:$AW$2)/10^9,0)</f>
        <v>3.0012809297547589</v>
      </c>
      <c r="AZ1319" s="105">
        <f>IF($AY$1110&gt;0,'Assumptions (Nuclear)'!W10*Model!$AY$1110*AVERAGE('Assumptions (Nuclear)'!$AR$2:$AW$2)/10^9,0)</f>
        <v>5.7024337665340417</v>
      </c>
      <c r="BA1319" s="105">
        <f>IF($AY$1110&gt;0,'Assumptions (Nuclear)'!X10*Model!$AY$1110*AVERAGE('Assumptions (Nuclear)'!$AR$2:$AW$2)/10^9,0)</f>
        <v>5.1321903898806376</v>
      </c>
      <c r="BB1319" s="105">
        <f>IF($AY$1110&gt;0,'Assumptions (Nuclear)'!Y10*Model!$AY$1110*AVERAGE('Assumptions (Nuclear)'!$AR$2:$AW$2)/10^9,0)</f>
        <v>4.6219726318223273</v>
      </c>
      <c r="BC1319" s="105">
        <f>IF($AY$1110&gt;0,'Assumptions (Nuclear)'!Z10*Model!$AY$1110*AVERAGE('Assumptions (Nuclear)'!$AR$2:$AW$2)/10^9,0)</f>
        <v>4.1597753686400951</v>
      </c>
      <c r="BD1319" s="105">
        <f>IF($AY$1110&gt;0,'Assumptions (Nuclear)'!AA10*Model!$AY$1110*AVERAGE('Assumptions (Nuclear)'!$AR$2:$AW$2)/10^9,0)</f>
        <v>3.7395960384744291</v>
      </c>
      <c r="BE1319" s="105">
        <f>IF($AY$1110&gt;0,'Assumptions (Nuclear)'!AB10*Model!$AY$1110*AVERAGE('Assumptions (Nuclear)'!$AR$2:$AW$2)/10^9,0)</f>
        <v>3.5415114971106147</v>
      </c>
      <c r="BF1319" s="105">
        <f>IF($AY$1110&gt;0,'Assumptions (Nuclear)'!AC10*Model!$AY$1110*AVERAGE('Assumptions (Nuclear)'!$AR$2:$AW$2)/10^9,0)</f>
        <v>3.5415114971106147</v>
      </c>
      <c r="BG1319" s="105">
        <f>IF($AY$1110&gt;0,'Assumptions (Nuclear)'!AD10*Model!$AY$1110*AVERAGE('Assumptions (Nuclear)'!$AR$2:$AW$2)/10^9,0)</f>
        <v>3.5475140589701248</v>
      </c>
      <c r="BH1319" s="105">
        <f>IF($AY$1110&gt;0,'Assumptions (Nuclear)'!AE10*Model!$AY$1110*AVERAGE('Assumptions (Nuclear)'!$AR$2:$AW$2)/10^9,0)</f>
        <v>3.5415114971106147</v>
      </c>
      <c r="BI1319" s="105">
        <f>IF($AY$1110&gt;0,'Assumptions (Nuclear)'!AF10*Model!$AY$1110*AVERAGE('Assumptions (Nuclear)'!$AR$2:$AW$2)/10^9,0)</f>
        <v>3.5475140589701248</v>
      </c>
      <c r="BJ1319" s="105">
        <f>IF($AY$1110&gt;0,'Assumptions (Nuclear)'!AG10*Model!$AY$1110*AVERAGE('Assumptions (Nuclear)'!$AR$2:$AW$2)/10^9,0)</f>
        <v>3.5415114971106147</v>
      </c>
      <c r="BK1319" s="105">
        <f>IF($AY$1110&gt;0,'Assumptions (Nuclear)'!AH10*Model!$AY$1110*AVERAGE('Assumptions (Nuclear)'!$AR$2:$AW$2)/10^9,0)</f>
        <v>3.5475140589701248</v>
      </c>
      <c r="BL1319" s="105">
        <f>IF($AY$1110&gt;0,'Assumptions (Nuclear)'!AI10*Model!$AY$1110*AVERAGE('Assumptions (Nuclear)'!$AR$2:$AW$2)/10^9,0)</f>
        <v>3.5415114971106147</v>
      </c>
      <c r="BM1319" s="105">
        <f>IF($AY$1110&gt;0,'Assumptions (Nuclear)'!AJ10*Model!$AY$1110*AVERAGE('Assumptions (Nuclear)'!$AR$2:$AW$2)/10^9,0)</f>
        <v>3.5475140589701248</v>
      </c>
      <c r="BN1319" s="105">
        <f>IF($AY$1110&gt;0,'Assumptions (Nuclear)'!AK10*Model!$AY$1110*AVERAGE('Assumptions (Nuclear)'!$AR$2:$AW$2)/10^9,0)</f>
        <v>1.7707557485553074</v>
      </c>
      <c r="BO1319" s="105"/>
      <c r="BP1319" s="105"/>
      <c r="BQ1319" s="105"/>
      <c r="BR1319" s="105"/>
      <c r="BS1319" s="105"/>
      <c r="BT1319" s="105"/>
      <c r="BU1319" s="105"/>
    </row>
    <row r="1320" spans="1:73" ht="15.75" hidden="1" customHeight="1" outlineLevel="1">
      <c r="A1320" s="407"/>
      <c r="B1320" s="99"/>
      <c r="C1320" s="99"/>
      <c r="D1320" s="99"/>
      <c r="E1320" s="99"/>
      <c r="F1320" s="99"/>
      <c r="G1320" s="99"/>
      <c r="H1320" s="99"/>
      <c r="I1320" s="99"/>
      <c r="J1320" s="99"/>
      <c r="K1320" s="99"/>
      <c r="L1320" s="99"/>
      <c r="M1320" s="99"/>
      <c r="N1320" s="99"/>
      <c r="O1320" s="99"/>
      <c r="P1320" s="99"/>
      <c r="Q1320" s="99"/>
      <c r="R1320" s="99"/>
      <c r="S1320" s="99"/>
      <c r="T1320" s="99"/>
      <c r="U1320" s="99"/>
      <c r="V1320" s="99"/>
      <c r="W1320" s="105"/>
      <c r="X1320" s="105"/>
      <c r="Y1320" s="105"/>
      <c r="Z1320" s="105"/>
      <c r="AA1320" s="105"/>
      <c r="AB1320" s="105"/>
      <c r="AC1320" s="105"/>
      <c r="AD1320" s="105"/>
      <c r="AE1320" s="105"/>
      <c r="AF1320" s="105"/>
      <c r="AG1320" s="105"/>
      <c r="AH1320" s="105"/>
      <c r="AI1320" s="105"/>
      <c r="AJ1320" s="171"/>
      <c r="AK1320" s="105"/>
      <c r="AL1320" s="91"/>
      <c r="AM1320" s="91"/>
      <c r="AN1320" s="91"/>
      <c r="AO1320" s="105"/>
      <c r="AP1320" s="105"/>
      <c r="AQ1320" s="105"/>
      <c r="AR1320" s="105"/>
      <c r="AS1320" s="105"/>
      <c r="AT1320" s="105"/>
      <c r="AU1320" s="105"/>
      <c r="AV1320" s="105"/>
      <c r="AW1320" s="105"/>
      <c r="AX1320" s="105"/>
      <c r="AY1320" s="105"/>
      <c r="AZ1320" s="105">
        <f>IF($AZ$1110&gt;0,'Assumptions (Nuclear)'!V10*Model!$AZ$1110*AVERAGE('Assumptions (Nuclear)'!$AS$2:$AX$2)/10^9,0)</f>
        <v>2.2419800009006705</v>
      </c>
      <c r="BA1320" s="105">
        <f>IF($AZ$1110&gt;0,'Assumptions (Nuclear)'!W10*Model!$AZ$1110*AVERAGE('Assumptions (Nuclear)'!$AS$2:$AX$2)/10^9,0)</f>
        <v>4.2597620017112741</v>
      </c>
      <c r="BB1320" s="105">
        <f>IF($AZ$1110&gt;0,'Assumptions (Nuclear)'!X10*Model!$AZ$1110*AVERAGE('Assumptions (Nuclear)'!$AS$2:$AX$2)/10^9,0)</f>
        <v>3.8337858015401474</v>
      </c>
      <c r="BC1320" s="105">
        <f>IF($AZ$1110&gt;0,'Assumptions (Nuclear)'!Y10*Model!$AZ$1110*AVERAGE('Assumptions (Nuclear)'!$AS$2:$AX$2)/10^9,0)</f>
        <v>3.4526492013870329</v>
      </c>
      <c r="BD1320" s="105">
        <f>IF($AZ$1110&gt;0,'Assumptions (Nuclear)'!Z10*Model!$AZ$1110*AVERAGE('Assumptions (Nuclear)'!$AS$2:$AX$2)/10^9,0)</f>
        <v>3.1073842812483292</v>
      </c>
      <c r="BE1320" s="105">
        <f>IF($AZ$1110&gt;0,'Assumptions (Nuclear)'!AA10*Model!$AZ$1110*AVERAGE('Assumptions (Nuclear)'!$AS$2:$AX$2)/10^9,0)</f>
        <v>2.7935070811222351</v>
      </c>
      <c r="BF1320" s="105">
        <f>IF($AZ$1110&gt;0,'Assumptions (Nuclear)'!AB10*Model!$AZ$1110*AVERAGE('Assumptions (Nuclear)'!$AS$2:$AX$2)/10^9,0)</f>
        <v>2.6455364010627909</v>
      </c>
      <c r="BG1320" s="105">
        <f>IF($AZ$1110&gt;0,'Assumptions (Nuclear)'!AC10*Model!$AZ$1110*AVERAGE('Assumptions (Nuclear)'!$AS$2:$AX$2)/10^9,0)</f>
        <v>2.6455364010627909</v>
      </c>
      <c r="BH1320" s="105">
        <f>IF($AZ$1110&gt;0,'Assumptions (Nuclear)'!AD10*Model!$AZ$1110*AVERAGE('Assumptions (Nuclear)'!$AS$2:$AX$2)/10^9,0)</f>
        <v>2.6500203610645929</v>
      </c>
      <c r="BI1320" s="105">
        <f>IF($AZ$1110&gt;0,'Assumptions (Nuclear)'!AE10*Model!$AZ$1110*AVERAGE('Assumptions (Nuclear)'!$AS$2:$AX$2)/10^9,0)</f>
        <v>2.6455364010627909</v>
      </c>
      <c r="BJ1320" s="105">
        <f>IF($AZ$1110&gt;0,'Assumptions (Nuclear)'!AF10*Model!$AZ$1110*AVERAGE('Assumptions (Nuclear)'!$AS$2:$AX$2)/10^9,0)</f>
        <v>2.6500203610645929</v>
      </c>
      <c r="BK1320" s="105">
        <f>IF($AZ$1110&gt;0,'Assumptions (Nuclear)'!AG10*Model!$AZ$1110*AVERAGE('Assumptions (Nuclear)'!$AS$2:$AX$2)/10^9,0)</f>
        <v>2.6455364010627909</v>
      </c>
      <c r="BL1320" s="105">
        <f>IF($AZ$1110&gt;0,'Assumptions (Nuclear)'!AH10*Model!$AZ$1110*AVERAGE('Assumptions (Nuclear)'!$AS$2:$AX$2)/10^9,0)</f>
        <v>2.6500203610645929</v>
      </c>
      <c r="BM1320" s="105">
        <f>IF($AZ$1110&gt;0,'Assumptions (Nuclear)'!AI10*Model!$AZ$1110*AVERAGE('Assumptions (Nuclear)'!$AS$2:$AX$2)/10^9,0)</f>
        <v>2.6455364010627909</v>
      </c>
      <c r="BN1320" s="105">
        <f>IF($AZ$1110&gt;0,'Assumptions (Nuclear)'!AJ10*Model!$AZ$1110*AVERAGE('Assumptions (Nuclear)'!$AS$2:$AX$2)/10^9,0)</f>
        <v>2.6500203610645929</v>
      </c>
      <c r="BO1320" s="105">
        <f>IF($AZ$1110&gt;0,'Assumptions (Nuclear)'!AK10*Model!$AZ$1110*AVERAGE('Assumptions (Nuclear)'!$AS$2:$AX$2)/10^9,0)</f>
        <v>1.3227682005313954</v>
      </c>
      <c r="BP1320" s="105"/>
      <c r="BQ1320" s="105"/>
      <c r="BR1320" s="105"/>
      <c r="BS1320" s="105"/>
      <c r="BT1320" s="105"/>
      <c r="BU1320" s="105"/>
    </row>
    <row r="1321" spans="1:73" ht="15.75" hidden="1" customHeight="1" outlineLevel="1">
      <c r="A1321" s="407"/>
      <c r="B1321" s="99"/>
      <c r="C1321" s="99"/>
      <c r="D1321" s="99"/>
      <c r="E1321" s="99"/>
      <c r="F1321" s="99"/>
      <c r="G1321" s="99"/>
      <c r="H1321" s="99"/>
      <c r="I1321" s="99"/>
      <c r="J1321" s="99"/>
      <c r="K1321" s="99"/>
      <c r="L1321" s="99"/>
      <c r="M1321" s="99"/>
      <c r="N1321" s="99"/>
      <c r="O1321" s="99"/>
      <c r="P1321" s="99"/>
      <c r="Q1321" s="99"/>
      <c r="R1321" s="99"/>
      <c r="S1321" s="99"/>
      <c r="T1321" s="99"/>
      <c r="U1321" s="99"/>
      <c r="V1321" s="99"/>
      <c r="W1321" s="105"/>
      <c r="X1321" s="105"/>
      <c r="Y1321" s="105"/>
      <c r="Z1321" s="105"/>
      <c r="AA1321" s="105"/>
      <c r="AB1321" s="105"/>
      <c r="AC1321" s="105"/>
      <c r="AD1321" s="105"/>
      <c r="AE1321" s="105"/>
      <c r="AF1321" s="105"/>
      <c r="AG1321" s="105"/>
      <c r="AH1321" s="105"/>
      <c r="AI1321" s="105"/>
      <c r="AJ1321" s="171"/>
      <c r="AK1321" s="105"/>
      <c r="AL1321" s="91"/>
      <c r="AM1321" s="91"/>
      <c r="AN1321" s="91"/>
      <c r="AO1321" s="105"/>
      <c r="AP1321" s="105"/>
      <c r="AQ1321" s="105"/>
      <c r="AR1321" s="105"/>
      <c r="AS1321" s="105"/>
      <c r="AT1321" s="105"/>
      <c r="AU1321" s="105"/>
      <c r="AV1321" s="105"/>
      <c r="AW1321" s="105"/>
      <c r="AX1321" s="105"/>
      <c r="AY1321" s="105"/>
      <c r="AZ1321" s="105"/>
      <c r="BA1321" s="105">
        <f>IF($BA$1110&gt;0,'Assumptions (Nuclear)'!V10*Model!$BA$1110*AVERAGE('Assumptions (Nuclear)'!$AT$2:$AY$2)/10^9,0)</f>
        <v>1.4623177368911247</v>
      </c>
      <c r="BB1321" s="105">
        <f>IF($BA$1110&gt;0,'Assumptions (Nuclear)'!W10*Model!$BA$1110*AVERAGE('Assumptions (Nuclear)'!$AT$2:$AY$2)/10^9,0)</f>
        <v>2.7784037000931368</v>
      </c>
      <c r="BC1321" s="105">
        <f>IF($BA$1110&gt;0,'Assumptions (Nuclear)'!X10*Model!$BA$1110*AVERAGE('Assumptions (Nuclear)'!$AT$2:$AY$2)/10^9,0)</f>
        <v>2.500563330083823</v>
      </c>
      <c r="BD1321" s="105">
        <f>IF($BA$1110&gt;0,'Assumptions (Nuclear)'!Y10*Model!$BA$1110*AVERAGE('Assumptions (Nuclear)'!$AT$2:$AY$2)/10^9,0)</f>
        <v>2.2519693148123316</v>
      </c>
      <c r="BE1321" s="105">
        <f>IF($BA$1110&gt;0,'Assumptions (Nuclear)'!Z10*Model!$BA$1110*AVERAGE('Assumptions (Nuclear)'!$AT$2:$AY$2)/10^9,0)</f>
        <v>2.0267723833310987</v>
      </c>
      <c r="BF1321" s="105">
        <f>IF($BA$1110&gt;0,'Assumptions (Nuclear)'!AA10*Model!$BA$1110*AVERAGE('Assumptions (Nuclear)'!$AT$2:$AY$2)/10^9,0)</f>
        <v>1.8220479001663412</v>
      </c>
      <c r="BG1321" s="105">
        <f>IF($BA$1110&gt;0,'Assumptions (Nuclear)'!AB10*Model!$BA$1110*AVERAGE('Assumptions (Nuclear)'!$AT$2:$AY$2)/10^9,0)</f>
        <v>1.7255349295315268</v>
      </c>
      <c r="BH1321" s="105">
        <f>IF($BA$1110&gt;0,'Assumptions (Nuclear)'!AC10*Model!$BA$1110*AVERAGE('Assumptions (Nuclear)'!$AT$2:$AY$2)/10^9,0)</f>
        <v>1.7255349295315268</v>
      </c>
      <c r="BI1321" s="105">
        <f>IF($BA$1110&gt;0,'Assumptions (Nuclear)'!AD10*Model!$BA$1110*AVERAGE('Assumptions (Nuclear)'!$AT$2:$AY$2)/10^9,0)</f>
        <v>1.7284595650053094</v>
      </c>
      <c r="BJ1321" s="105">
        <f>IF($BA$1110&gt;0,'Assumptions (Nuclear)'!AE10*Model!$BA$1110*AVERAGE('Assumptions (Nuclear)'!$AT$2:$AY$2)/10^9,0)</f>
        <v>1.7255349295315268</v>
      </c>
      <c r="BK1321" s="105">
        <f>IF($BA$1110&gt;0,'Assumptions (Nuclear)'!AF10*Model!$BA$1110*AVERAGE('Assumptions (Nuclear)'!$AT$2:$AY$2)/10^9,0)</f>
        <v>1.7284595650053094</v>
      </c>
      <c r="BL1321" s="105">
        <f>IF($BA$1110&gt;0,'Assumptions (Nuclear)'!AG10*Model!$BA$1110*AVERAGE('Assumptions (Nuclear)'!$AT$2:$AY$2)/10^9,0)</f>
        <v>1.7255349295315268</v>
      </c>
      <c r="BM1321" s="105">
        <f>IF($BA$1110&gt;0,'Assumptions (Nuclear)'!AH10*Model!$BA$1110*AVERAGE('Assumptions (Nuclear)'!$AT$2:$AY$2)/10^9,0)</f>
        <v>1.7284595650053094</v>
      </c>
      <c r="BN1321" s="105">
        <f>IF($BA$1110&gt;0,'Assumptions (Nuclear)'!AI10*Model!$BA$1110*AVERAGE('Assumptions (Nuclear)'!$AT$2:$AY$2)/10^9,0)</f>
        <v>1.7255349295315268</v>
      </c>
      <c r="BO1321" s="105">
        <f>IF($BA$1110&gt;0,'Assumptions (Nuclear)'!AJ10*Model!$BA$1110*AVERAGE('Assumptions (Nuclear)'!$AT$2:$AY$2)/10^9,0)</f>
        <v>1.7284595650053094</v>
      </c>
      <c r="BP1321" s="105">
        <f>IF($BA$1110&gt;0,'Assumptions (Nuclear)'!AK10*Model!$BA$1110*AVERAGE('Assumptions (Nuclear)'!$AT$2:$AY$2)/10^9,0)</f>
        <v>0.86276746476576338</v>
      </c>
      <c r="BQ1321" s="105"/>
      <c r="BR1321" s="105"/>
      <c r="BS1321" s="105"/>
      <c r="BT1321" s="105"/>
      <c r="BU1321" s="105"/>
    </row>
    <row r="1322" spans="1:73" ht="15.75" customHeight="1" collapsed="1">
      <c r="A1322" s="407" t="s">
        <v>62</v>
      </c>
      <c r="B1322" s="99" t="s">
        <v>201</v>
      </c>
      <c r="C1322" s="105">
        <f>IF(Model!C1108+Model!C1109-C1105-Model!C1106-Model!C1107-C1270+C1218&gt;0,(1-'Assumptions (Nuclear)'!B27)*(Model!C1108+Model!C1109-C1105-Model!C1106-Model!C1107-C1270+C1218)+C1270-C1165+C1166,Model!C1108+Model!C1109-C1105-Model!C1106-Model!C1107+C1218-C1165+C1166)</f>
        <v>19.805115444664953</v>
      </c>
      <c r="D1322" s="105">
        <f>IF(Model!D1108+Model!D1109-D1105-Model!D1106-Model!D1107-D1270+D1218&gt;0,(1-'Assumptions (Nuclear)'!C27)*(Model!D1108+Model!D1109-D1105-Model!D1106-Model!D1107-D1270+D1218)+D1270-D1165+D1166,Model!D1108+Model!D1109-D1105-Model!D1106-Model!D1107+D1218-D1165+D1166)</f>
        <v>20.827734666287171</v>
      </c>
      <c r="E1322" s="105">
        <f>IF(Model!E1108+Model!E1109-E1105-Model!E1106-Model!E1107-E1270+E1218&gt;0,(1-'Assumptions (Nuclear)'!D27)*(Model!E1108+Model!E1109-E1105-Model!E1106-Model!E1107-E1270+E1218)+E1270-E1165+E1166,Model!E1108+Model!E1109-E1105-Model!E1106-Model!E1107+E1218-E1165+E1166)</f>
        <v>17.610632043134725</v>
      </c>
      <c r="F1322" s="105">
        <f>IF(Model!F1108+Model!F1109-F1105-Model!F1106-Model!F1107-F1270+F1218&gt;0,(1-'Assumptions (Nuclear)'!E27)*(Model!F1108+Model!F1109-F1105-Model!F1106-Model!F1107-F1270+F1218)+F1270-F1165+F1166,Model!F1108+Model!F1109-F1105-Model!F1106-Model!F1107+F1218-F1165+F1166)</f>
        <v>23.688876859265552</v>
      </c>
      <c r="G1322" s="105">
        <f>IF(Model!G1108+Model!G1109-G1105-Model!G1106-Model!G1107-G1270+G1218&gt;0,(1-'Assumptions (Nuclear)'!F27)*(Model!G1108+Model!G1109-G1105-Model!G1106-Model!G1107-G1270+G1218)+G1270-G1165+G1166,Model!G1108+Model!G1109-G1105-Model!G1106-Model!G1107+G1218-G1165+G1166)</f>
        <v>26.219420652455209</v>
      </c>
      <c r="H1322" s="105">
        <f>IF(Model!H1108+Model!H1109-H1105-Model!H1106-Model!H1107-H1270+H1218&gt;0,(1-'Assumptions (Nuclear)'!G27)*(Model!H1108+Model!H1109-H1105-Model!H1106-Model!H1107-H1270+H1218)+H1270-H1165+H1166,Model!H1108+Model!H1109-H1105-Model!H1106-Model!H1107+H1218-H1165+H1166)</f>
        <v>34.286263972930932</v>
      </c>
      <c r="I1322" s="105">
        <f>IF(Model!I1108+Model!I1109-I1105-Model!I1106-Model!I1107-I1270+I1218&gt;0,(1-'Assumptions (Nuclear)'!H27)*(Model!I1108+Model!I1109-I1105-Model!I1106-Model!I1107-I1270+I1218)+I1270-I1165+I1166,Model!I1108+Model!I1109-I1105-Model!I1106-Model!I1107+I1218-I1165+I1166)</f>
        <v>29.394856861169782</v>
      </c>
      <c r="J1322" s="105">
        <f>IF(Model!J1108+Model!J1109-J1105-Model!J1106-Model!J1107-J1270+J1218&gt;0,(1-'Assumptions (Nuclear)'!I27)*(Model!J1108+Model!J1109-J1105-Model!J1106-Model!J1107-J1270+J1218)+J1270-J1165+J1166,Model!J1108+Model!J1109-J1105-Model!J1106-Model!J1107+J1218-J1165+J1166)</f>
        <v>33.468387206545046</v>
      </c>
      <c r="K1322" s="105">
        <f>IF(Model!K1108+Model!K1109-K1105-Model!K1106-Model!K1107-K1270+K1218&gt;0,(1-'Assumptions (Nuclear)'!J27)*(Model!K1108+Model!K1109-K1105-Model!K1106-Model!K1107-K1270+K1218)+K1270-K1165+K1166,Model!K1108+Model!K1109-K1105-Model!K1106-Model!K1107+K1218-K1165+K1166)</f>
        <v>40.533367070959912</v>
      </c>
      <c r="L1322" s="105">
        <f>IF(Model!L1108+Model!L1109-L1105-Model!L1106-Model!L1107-L1270+L1218&gt;0,(1-'Assumptions (Nuclear)'!K27)*(Model!L1108+Model!L1109-L1105-Model!L1106-Model!L1107-L1270+L1218)+L1270-L1165+L1166,Model!L1108+Model!L1109-L1105-Model!L1106-Model!L1107+L1218-L1165+L1166)</f>
        <v>24.542890727130054</v>
      </c>
      <c r="M1322" s="105">
        <f>IF(Model!M1108+Model!M1109-M1105-Model!M1106-Model!M1107-M1270+M1218&gt;0,(1-'Assumptions (Nuclear)'!L27)*(Model!M1108+Model!M1109-M1105-Model!M1106-Model!M1107-M1270+M1218)+M1270-M1165+M1166,Model!M1108+Model!M1109-M1105-Model!M1106-Model!M1107+M1218-M1165+M1166)</f>
        <v>24.247453402858945</v>
      </c>
      <c r="N1322" s="105">
        <f>IF(Model!N1108+Model!N1109-N1105-Model!N1106-Model!N1107-N1270+N1218&gt;0,(1-'Assumptions (Nuclear)'!M27)*(Model!N1108+Model!N1109-N1105-Model!N1106-Model!N1107-N1270+N1218)+N1270-N1165+N1166,Model!N1108+Model!N1109-N1105-Model!N1106-Model!N1107+N1218-N1165+N1166)</f>
        <v>22.25867875163242</v>
      </c>
      <c r="O1322" s="105">
        <f>IF(Model!O1108+Model!O1109-O1105-Model!O1106-Model!O1107-O1270+O1218&gt;0,(1-'Assumptions (Nuclear)'!N27)*(Model!O1108+Model!O1109-O1105-Model!O1106-Model!O1107-O1270+O1218)+O1270-O1165+O1166,Model!O1108+Model!O1109-O1105-Model!O1106-Model!O1107+O1218-O1165+O1166)</f>
        <v>16.643490890831611</v>
      </c>
      <c r="P1322" s="105">
        <f>IF(Model!P1108+Model!P1109-P1105-Model!P1106-Model!P1107-P1270+P1218&gt;0,(1-'Assumptions (Nuclear)'!O27)*(Model!P1108+Model!P1109-P1105-Model!P1106-Model!P1107-P1270+P1218)+P1270-P1165+P1166,Model!P1108+Model!P1109-P1105-Model!P1106-Model!P1107+P1218-P1165+P1166)</f>
        <v>19.294429046770048</v>
      </c>
      <c r="Q1322" s="105">
        <f>IF(Model!Q1108+Model!Q1109-Q1105-Model!Q1106-Model!Q1107-Q1270+Q1218&gt;0,(1-'Assumptions (Nuclear)'!P27)*(Model!Q1108+Model!Q1109-Q1105-Model!Q1106-Model!Q1107-Q1270+Q1218)+Q1270-Q1165+Q1166,Model!Q1108+Model!Q1109-Q1105-Model!Q1106-Model!Q1107+Q1218-Q1165+Q1166)</f>
        <v>22.000735078547677</v>
      </c>
      <c r="R1322" s="105">
        <f>IF(Model!R1108+Model!R1109-R1105-Model!R1106-Model!R1107-R1270+R1218&gt;0,(1-'Assumptions (Nuclear)'!Q27)*(Model!R1108+Model!R1109-R1105-Model!R1106-Model!R1107-R1270+R1218)+R1270-R1165+R1166,Model!R1108+Model!R1109-R1105-Model!R1106-Model!R1107+R1218-R1165+R1166)</f>
        <v>15.276485112288597</v>
      </c>
      <c r="S1322" s="105">
        <f>IF(Model!S1108+Model!S1109-S1105-Model!S1106-Model!S1107-S1270+S1218&gt;0,(1-'Assumptions (Nuclear)'!R27)*(Model!S1108+Model!S1109-S1105-Model!S1106-Model!S1107-S1270+S1218)+S1270-S1165+S1166,Model!S1108+Model!S1109-S1105-Model!S1106-Model!S1107+S1218-S1165+S1166)</f>
        <v>17.479867734438265</v>
      </c>
      <c r="T1322" s="105">
        <f>IF(Model!T1108+Model!T1109-T1105-Model!T1106-Model!T1107-T1270+T1218&gt;0,(1-'Assumptions (Nuclear)'!S27)*(Model!T1108+Model!T1109-T1105-Model!T1106-Model!T1107-T1270+T1218)+T1270-T1165+T1166,Model!T1108+Model!T1109-T1105-Model!T1106-Model!T1107+T1218-T1165+T1166)</f>
        <v>16.422874848769688</v>
      </c>
      <c r="U1322" s="105">
        <f>IF(Model!U1108+Model!U1109-U1105-Model!U1106-Model!U1107-U1270+U1218&gt;0,(1-'Assumptions (Nuclear)'!T27)*(Model!U1108+Model!U1109-U1105-Model!U1106-Model!U1107-U1270+U1218)+U1270-U1165+U1166,Model!U1108+Model!U1109-U1105-Model!U1106-Model!U1107+U1218-U1165+U1166)</f>
        <v>20.755140965792059</v>
      </c>
      <c r="V1322" s="105">
        <f>IF(Model!V1108+Model!V1109-V1105-Model!V1106-Model!V1107-V1270+V1218&gt;0,(1-'Assumptions (Nuclear)'!U27)*(Model!V1108+Model!V1109-V1105-Model!V1106-Model!V1107-V1270+V1218)+V1270-V1165+V1166,Model!V1108+Model!V1109-V1105-Model!V1106-Model!V1107+V1218-V1165+V1166)</f>
        <v>21.493189429091156</v>
      </c>
      <c r="W1322" s="105">
        <f>IF(Model!W1108+Model!W1109-W1105-Model!W1106-Model!W1107-W1270+W1218&gt;0,(1-'Assumptions (Nuclear)'!V27)*(Model!W1108+Model!W1109-W1105-Model!W1106-Model!W1107-W1270+W1218)+W1270-W1165+W1166,Model!W1108+Model!W1109-W1105-Model!W1106-Model!W1107+W1218-W1165+W1166)</f>
        <v>22.508773587322384</v>
      </c>
      <c r="X1322" s="105">
        <f>IF(Model!X1108+Model!X1109-X1105-Model!X1106-Model!X1107-X1270+X1218&gt;0,(1-'Assumptions (Nuclear)'!W27)*(Model!X1108+Model!X1109-X1105-Model!X1106-Model!X1107-X1270+X1218)+X1270-X1165+X1166,Model!X1108+Model!X1109-X1105-Model!X1106-Model!X1107+X1218-X1165+X1166)</f>
        <v>21.930248675843092</v>
      </c>
      <c r="Y1322" s="105">
        <f>IF(Model!Y1108+Model!Y1109-Y1105-Model!Y1106-Model!Y1107-Y1270+Y1218&gt;0,(1-'Assumptions (Nuclear)'!X27)*(Model!Y1108+Model!Y1109-Y1105-Model!Y1106-Model!Y1107-Y1270+Y1218)+Y1270-Y1165+Y1166,Model!Y1108+Model!Y1109-Y1105-Model!Y1106-Model!Y1107+Y1218-Y1165+Y1166)</f>
        <v>21.408728464446561</v>
      </c>
      <c r="Z1322" s="105">
        <f>IF(Model!Z1108+Model!Z1109-Z1105-Model!Z1106-Model!Z1107-Z1270+Z1218&gt;0,(1-'Assumptions (Nuclear)'!Y27)*(Model!Z1108+Model!Z1109-Z1105-Model!Z1106-Model!Z1107-Z1270+Z1218)+Z1270-Z1165+Z1166,Model!Z1108+Model!Z1109-Z1105-Model!Z1106-Model!Z1107+Z1218-Z1165+Z1166)</f>
        <v>21.154170648942305</v>
      </c>
      <c r="AA1322" s="105">
        <f>IF(Model!AA1108+Model!AA1109-AA1105-Model!AA1106-Model!AA1107-AA1270+AA1218&gt;0,(1-'Assumptions (Nuclear)'!Z27)*(Model!AA1108+Model!AA1109-AA1105-Model!AA1106-Model!AA1107-AA1270+AA1218)+AA1270-AA1165+AA1166,Model!AA1108+Model!AA1109-AA1105-Model!AA1106-Model!AA1107+AA1218-AA1165+AA1166)</f>
        <v>20.972192669782459</v>
      </c>
      <c r="AB1322" s="105">
        <f>IF(Model!AB1108+Model!AB1109-AB1105-Model!AB1106-Model!AB1107-AB1270+AB1218&gt;0,(1-'Assumptions (Nuclear)'!AA27)*(Model!AB1108+Model!AB1109-AB1105-Model!AB1106-Model!AB1107-AB1270+AB1218)+AB1270-AB1165+AB1166,Model!AB1108+Model!AB1109-AB1105-Model!AB1106-Model!AB1107+AB1218-AB1165+AB1166)</f>
        <v>21.107282926331081</v>
      </c>
      <c r="AC1322" s="105">
        <f>IF(Model!AC1108+Model!AC1109-AC1105-Model!AC1106-Model!AC1107-AC1270+AC1218&gt;0,(1-'Assumptions (Nuclear)'!AB27)*(Model!AC1108+Model!AC1109-AC1105-Model!AC1106-Model!AC1107-AC1270+AC1218)+AC1270-AC1165+AC1166,Model!AC1108+Model!AC1109-AC1105-Model!AC1106-Model!AC1107+AC1218-AC1165+AC1166)</f>
        <v>20.74103998782908</v>
      </c>
      <c r="AD1322" s="105">
        <f>IF(Model!AD1108+Model!AD1109-AD1105-Model!AD1106-Model!AD1107-AD1270+AD1218&gt;0,(1-'Assumptions (Nuclear)'!AC27)*(Model!AD1108+Model!AD1109-AD1105-Model!AD1106-Model!AD1107-AD1270+AD1218)+AD1270-AD1165+AD1166,Model!AD1108+Model!AD1109-AD1105-Model!AD1106-Model!AD1107+AD1218-AD1165+AD1166)</f>
        <v>20.413577650604459</v>
      </c>
      <c r="AE1322" s="105">
        <f>IF(Model!AE1108+Model!AE1109-AE1105-Model!AE1106-Model!AE1107-AE1270+AE1218&gt;0,(1-'Assumptions (Nuclear)'!AD27)*(Model!AE1108+Model!AE1109-AE1105-Model!AE1106-Model!AE1107-AE1270+AE1218)+AE1270-AE1165+AE1166,Model!AE1108+Model!AE1109-AE1105-Model!AE1106-Model!AE1107+AE1218-AE1165+AE1166)</f>
        <v>18.320951806016399</v>
      </c>
      <c r="AF1322" s="105">
        <f>IF(Model!AF1108+Model!AF1109-AF1105-Model!AF1106-Model!AF1107-AF1270+AF1218&gt;0,(1-'Assumptions (Nuclear)'!AE27)*(Model!AF1108+Model!AF1109-AF1105-Model!AF1106-Model!AF1107-AF1270+AF1218)+AF1270-AF1165+AF1166,Model!AF1108+Model!AF1109-AF1105-Model!AF1106-Model!AF1107+AF1218-AF1165+AF1166)</f>
        <v>17.604772026198859</v>
      </c>
      <c r="AG1322" s="105">
        <f>IF(Model!AG1108+Model!AG1109-AG1105-Model!AG1106-Model!AG1107-AG1270+AG1218&gt;0,(1-'Assumptions (Nuclear)'!AF27)*(Model!AG1108+Model!AG1109-AG1105-Model!AG1106-Model!AG1107-AG1270+AG1218)+AG1270-AG1165+AG1166,Model!AG1108+Model!AG1109-AG1105-Model!AG1106-Model!AG1107+AG1218-AG1165+AG1166)</f>
        <v>13.069291974265155</v>
      </c>
      <c r="AH1322" s="105">
        <f>IF(Model!AH1108+Model!AH1109-AH1105-Model!AH1106-Model!AH1107-AH1270+AH1218&gt;0,(1-'Assumptions (Nuclear)'!AG27)*(Model!AH1108+Model!AH1109-AH1105-Model!AH1106-Model!AH1107-AH1270+AH1218)+AH1270-AH1165+AH1166,Model!AH1108+Model!AH1109-AH1105-Model!AH1106-Model!AH1107+AH1218-AH1165+AH1166)</f>
        <v>10.376353372417624</v>
      </c>
      <c r="AI1322" s="105">
        <f>IF(Model!AI1108+Model!AI1109-AI1105-Model!AI1106-Model!AI1107-AI1270+AI1218&gt;0,(1-'Assumptions (Nuclear)'!AH27)*(Model!AI1108+Model!AI1109-AI1105-Model!AI1106-Model!AI1107-AI1270+AI1218)+AI1270-AI1165+AI1166,Model!AI1108+Model!AI1109-AI1105-Model!AI1106-Model!AI1107+AI1218-AI1165+AI1166)</f>
        <v>9.0641620920016326</v>
      </c>
      <c r="AJ1322" s="105">
        <f>IF(Model!AJ1108+Model!AJ1109-AJ1105-Model!AJ1106-Model!AJ1107-AJ1270+AJ1218&gt;0,(1-'Assumptions (Nuclear)'!AI27)*(Model!AJ1108+Model!AJ1109-AJ1105-Model!AJ1106-Model!AJ1107-AJ1270+AJ1218)+AJ1270-AJ1165+AJ1166,Model!AJ1108+Model!AJ1109-AJ1105-Model!AJ1106-Model!AJ1107+AJ1218-AJ1165+AJ1166)</f>
        <v>6.1445044540422513</v>
      </c>
      <c r="AK1322" s="105">
        <f>IF(Model!AK1108+Model!AK1109-AK1105-Model!AK1106-Model!AK1107-AK1270+AK1218&gt;0,(1-'Assumptions (Nuclear)'!AJ27)*(Model!AK1108+Model!AK1109-AK1105-Model!AK1106-Model!AK1107-AK1270+AK1218)+AK1270-AK1165+AK1166,Model!AK1108+Model!AK1109-AK1105-Model!AK1106-Model!AK1107+AK1218-AK1165+AK1166)</f>
        <v>6.8417677347743924</v>
      </c>
      <c r="AL1322" s="105">
        <f>IF(Model!AL1108+Model!AL1109-AL1105-Model!AL1106-Model!AL1107-AL1270+AL1218&gt;0,(1-'Assumptions (Nuclear)'!AK27)*(Model!AL1108+Model!AL1109-AL1105-Model!AL1106-Model!AL1107-AL1270+AL1218)+AL1270-AL1165+AL1166,Model!AL1108+Model!AL1109-AL1105-Model!AL1106-Model!AL1107+AL1218-AL1165+AL1166)</f>
        <v>6.2712399557873928</v>
      </c>
      <c r="AM1322" s="105">
        <f>IF(Model!AM1108+Model!AM1109-AM1105-Model!AM1106-Model!AM1107-AM1270+AM1218&gt;0,(1-'Assumptions (Nuclear)'!AL27)*(Model!AM1108+Model!AM1109-AM1105-Model!AM1106-Model!AM1107-AM1270+AM1218)+AM1270-AM1165+AM1166,Model!AM1108+Model!AM1109-AM1105-Model!AM1106-Model!AM1107+AM1218-AM1165+AM1166)</f>
        <v>8.9530689648555253</v>
      </c>
      <c r="AN1322" s="105">
        <f>IF(Model!AN1108+Model!AN1109-AN1105-Model!AN1106-Model!AN1107-AN1270+AN1218&gt;0,(1-'Assumptions (Nuclear)'!AM27)*(Model!AN1108+Model!AN1109-AN1105-Model!AN1106-Model!AN1107-AN1270+AN1218)+AN1270-AN1165+AN1166,Model!AN1108+Model!AN1109-AN1105-Model!AN1106-Model!AN1107+AN1218-AN1165+AN1166)</f>
        <v>9.5010679179796096</v>
      </c>
      <c r="AO1322" s="105">
        <f>IF(Model!AO1108+Model!AO1109-AO1105-Model!AO1106-Model!AO1107-AO1270+AO1218&gt;0,(1-'Assumptions (Nuclear)'!AN27)*(Model!AO1108+Model!AO1109-AO1105-Model!AO1106-Model!AO1107-AO1270+AO1218)+AO1270-AO1165+AO1166,Model!AO1108+Model!AO1109-AO1105-Model!AO1106-Model!AO1107+AO1218-AO1165+AO1166)</f>
        <v>9.2174347760184574</v>
      </c>
      <c r="AP1322" s="105">
        <f>IF(Model!AP1108+Model!AP1109-AP1105-Model!AP1106-Model!AP1107-AP1270+AP1218&gt;0,(1-'Assumptions (Nuclear)'!AO27)*(Model!AP1108+Model!AP1109-AP1105-Model!AP1106-Model!AP1107-AP1270+AP1218)+AP1270-AP1165+AP1166,Model!AP1108+Model!AP1109-AP1105-Model!AP1106-Model!AP1107+AP1218-AP1165+AP1166)</f>
        <v>10.052178494234495</v>
      </c>
      <c r="AQ1322" s="105">
        <f>IF(Model!AQ1108+Model!AQ1109-AQ1105-Model!AQ1106-Model!AQ1107-AQ1270+AQ1218&gt;0,(1-'Assumptions (Nuclear)'!AP27)*(Model!AQ1108+Model!AQ1109-AQ1105-Model!AQ1106-Model!AQ1107-AQ1270+AQ1218)+AQ1270-AQ1165+AQ1166,Model!AQ1108+Model!AQ1109-AQ1105-Model!AQ1106-Model!AQ1107+AQ1218-AQ1165+AQ1166)</f>
        <v>6.016657584215233</v>
      </c>
      <c r="AR1322" s="105">
        <f>IF(Model!AR1108+Model!AR1109-AR1105-Model!AR1106-Model!AR1107-AR1270+AR1218&gt;0,(1-'Assumptions (Nuclear)'!AQ27)*(Model!AR1108+Model!AR1109-AR1105-Model!AR1106-Model!AR1107-AR1270+AR1218)+AR1270-AR1165+AR1166,Model!AR1108+Model!AR1109-AR1105-Model!AR1106-Model!AR1107+AR1218-AR1165+AR1166)</f>
        <v>2.7154074636301928E-3</v>
      </c>
      <c r="AS1322" s="105">
        <f>IF(Model!AS1108+Model!AS1109-AS1105-Model!AS1106-Model!AS1107-AS1270+AS1218&gt;0,(1-'Assumptions (Nuclear)'!AR27)*(Model!AS1108+Model!AS1109-AS1105-Model!AS1106-Model!AS1107-AS1270+AS1218)+AS1270-AS1165+AS1166,Model!AS1108+Model!AS1109-AS1105-Model!AS1106-Model!AS1107+AS1218-AS1165+AS1166)</f>
        <v>-7.044593719067783</v>
      </c>
      <c r="AT1322" s="105">
        <f>IF(Model!AT1108+Model!AT1109-AT1105-Model!AT1106-Model!AT1107-AT1270+AT1218&gt;0,(1-'Assumptions (Nuclear)'!AS27)*(Model!AT1108+Model!AT1109-AT1105-Model!AT1106-Model!AT1107-AT1270+AT1218)+AT1270-AT1165+AT1166,Model!AT1108+Model!AT1109-AT1105-Model!AT1106-Model!AT1107+AT1218-AT1165+AT1166)</f>
        <v>-11.893888485647111</v>
      </c>
      <c r="AU1322" s="105">
        <f>IF(Model!AU1108+Model!AU1109-AU1105-Model!AU1106-Model!AU1107-AU1270+AU1218&gt;0,(1-'Assumptions (Nuclear)'!AT27)*(Model!AU1108+Model!AU1109-AU1105-Model!AU1106-Model!AU1107-AU1270+AU1218)+AU1270-AU1165+AU1166,Model!AU1108+Model!AU1109-AU1105-Model!AU1106-Model!AU1107+AU1218-AU1165+AU1166)</f>
        <v>-16.127326490036545</v>
      </c>
      <c r="AV1322" s="105">
        <f>IF(Model!AV1108+Model!AV1109-AV1105-Model!AV1106-Model!AV1107-AV1270+AV1218&gt;0,(1-'Assumptions (Nuclear)'!AU27)*(Model!AV1108+Model!AV1109-AV1105-Model!AV1106-Model!AV1107-AV1270+AV1218)+AV1270-AV1165+AV1166,Model!AV1108+Model!AV1109-AV1105-Model!AV1106-Model!AV1107+AV1218-AV1165+AV1166)</f>
        <v>-17.811017954075034</v>
      </c>
      <c r="AW1322" s="105">
        <f>IF(Model!AW1108+Model!AW1109-AW1105-Model!AW1106-Model!AW1107-AW1270+AW1218&gt;0,(1-'Assumptions (Nuclear)'!AV27)*(Model!AW1108+Model!AW1109-AW1105-Model!AW1106-Model!AW1107-AW1270+AW1218)+AW1270-AW1165+AW1166,Model!AW1108+Model!AW1109-AW1105-Model!AW1106-Model!AW1107+AW1218-AW1165+AW1166)</f>
        <v>-17.533062593395982</v>
      </c>
      <c r="AX1322" s="105">
        <f>IF(Model!AX1108+Model!AX1109-AX1105-Model!AX1106-Model!AX1107-AX1270+AX1218&gt;0,(1-'Assumptions (Nuclear)'!AW27)*(Model!AX1108+Model!AX1109-AX1105-Model!AX1106-Model!AX1107-AX1270+AX1218)+AX1270-AX1165+AX1166,Model!AX1108+Model!AX1109-AX1105-Model!AX1106-Model!AX1107+AX1218-AX1165+AX1166)</f>
        <v>-16.084374817251401</v>
      </c>
      <c r="AY1322" s="105">
        <f>IF(Model!AY1108+Model!AY1109-AY1105-Model!AY1106-Model!AY1107-AY1270+AY1218&gt;0,(1-'Assumptions (Nuclear)'!AX27)*(Model!AY1108+Model!AY1109-AY1105-Model!AY1106-Model!AY1107-AY1270+AY1218)+AY1270-AY1165+AY1166,Model!AY1108+Model!AY1109-AY1105-Model!AY1106-Model!AY1107+AY1218-AY1165+AY1166)</f>
        <v>-13.889381830256838</v>
      </c>
      <c r="AZ1322" s="105">
        <f>IF(Model!AZ1108+Model!AZ1109-AZ1105-Model!AZ1106-Model!AZ1107-AZ1270+AZ1218&gt;0,(1-'Assumptions (Nuclear)'!AY27)*(Model!AZ1108+Model!AZ1109-AZ1105-Model!AZ1106-Model!AZ1107-AZ1270+AZ1218)+AZ1270-AZ1165+AZ1166,Model!AZ1108+Model!AZ1109-AZ1105-Model!AZ1106-Model!AZ1107+AZ1218-AZ1165+AZ1166)</f>
        <v>-12.181756201727534</v>
      </c>
      <c r="BA1322" s="105">
        <f>IF(Model!BA1108+Model!BA1109-BA1105-Model!BA1106-Model!BA1107-BA1270+BA1218&gt;0,(1-'Assumptions (Nuclear)'!AZ27)*(Model!BA1108+Model!BA1109-BA1105-Model!BA1106-Model!BA1107-BA1270+BA1218)+BA1270-BA1165+BA1166,Model!BA1108+Model!BA1109-BA1105-Model!BA1106-Model!BA1107+BA1218-BA1165+BA1166)</f>
        <v>-12.164962565031697</v>
      </c>
    </row>
    <row r="1323" spans="1:73" ht="15.75" customHeight="1">
      <c r="A1323" s="407" t="s">
        <v>64</v>
      </c>
      <c r="B1323" s="99" t="s">
        <v>201</v>
      </c>
      <c r="C1323" s="105">
        <f>IF(Model!C1108+Model!C1109-C1105-Model!C1106-Model!C1107-C1270+C1218&gt;0,'Assumptions (Nuclear)'!B27*(Model!C1108+Model!C1109-C1105-Model!C1106-Model!C1107-C1270+C1218)-'Assumptions (Nuclear)'!B28*Model!C1104/10^3,-'Assumptions (Nuclear)'!B28*Model!C1104/10^3)</f>
        <v>10.664292931742667</v>
      </c>
      <c r="D1323" s="105">
        <f>IF(Model!D1108+Model!D1109-D1105-Model!D1106-Model!D1107-D1270+D1218&gt;0,'Assumptions (Nuclear)'!C27*(Model!D1108+Model!D1109-D1105-Model!D1106-Model!D1107-D1270+D1218)-'Assumptions (Nuclear)'!C28*Model!D1104/10^3,-'Assumptions (Nuclear)'!C28*Model!D1104/10^3)</f>
        <v>11.214934051077705</v>
      </c>
      <c r="E1323" s="105">
        <f>IF(Model!E1108+Model!E1109-E1105-Model!E1106-Model!E1107-E1270+E1218&gt;0,'Assumptions (Nuclear)'!D27*(Model!E1108+Model!E1109-E1105-Model!E1106-Model!E1107-E1270+E1218)-'Assumptions (Nuclear)'!D28*Model!E1104/10^3,-'Assumptions (Nuclear)'!D28*Model!E1104/10^3)</f>
        <v>9.482648023226389</v>
      </c>
      <c r="F1323" s="105">
        <f>IF(Model!F1108+Model!F1109-F1105-Model!F1106-Model!F1107-F1270+F1218&gt;0,'Assumptions (Nuclear)'!E27*(Model!F1108+Model!F1109-F1105-Model!F1106-Model!F1107-F1270+F1218)-'Assumptions (Nuclear)'!E28*Model!F1104/10^3,-'Assumptions (Nuclear)'!E28*Model!F1104/10^3)</f>
        <v>12.755549078066064</v>
      </c>
      <c r="G1323" s="105">
        <f>IF(Model!G1108+Model!G1109-G1105-Model!G1106-Model!G1107-G1270+G1218&gt;0,'Assumptions (Nuclear)'!F27*(Model!G1108+Model!G1109-G1105-Model!G1106-Model!G1107-G1270+G1218)-'Assumptions (Nuclear)'!F28*Model!G1104/10^3,-'Assumptions (Nuclear)'!F28*Model!G1104/10^3)</f>
        <v>14.118149582091265</v>
      </c>
      <c r="H1323" s="105">
        <f>IF(Model!H1108+Model!H1109-H1105-Model!H1106-Model!H1107-H1270+H1218&gt;0,'Assumptions (Nuclear)'!G27*(Model!H1108+Model!H1109-H1105-Model!H1106-Model!H1107-H1270+H1218)-'Assumptions (Nuclear)'!G28*Model!H1104/10^3,-'Assumptions (Nuclear)'!G28*Model!H1104/10^3)</f>
        <v>18.461834446962808</v>
      </c>
      <c r="I1323" s="105">
        <f>IF(Model!I1108+Model!I1109-I1105-Model!I1106-Model!I1107-I1270+I1218&gt;0,'Assumptions (Nuclear)'!H27*(Model!I1108+Model!I1109-I1105-Model!I1106-Model!I1107-I1270+I1218)-'Assumptions (Nuclear)'!H28*Model!I1104/10^3,-'Assumptions (Nuclear)'!H28*Model!I1104/10^3)</f>
        <v>15.82799984832219</v>
      </c>
      <c r="J1323" s="105">
        <f>IF(Model!J1108+Model!J1109-J1105-Model!J1106-Model!J1107-J1270+J1218&gt;0,'Assumptions (Nuclear)'!I27*(Model!J1108+Model!J1109-J1105-Model!J1106-Model!J1107-J1270+J1218)-'Assumptions (Nuclear)'!I28*Model!J1104/10^3,-'Assumptions (Nuclear)'!I28*Model!J1104/10^3)</f>
        <v>18.021439265062714</v>
      </c>
      <c r="K1323" s="105">
        <f>IF(Model!K1108+Model!K1109-K1105-Model!K1106-Model!K1107-K1270+K1218&gt;0,'Assumptions (Nuclear)'!J27*(Model!K1108+Model!K1109-K1105-Model!K1106-Model!K1107-K1270+K1218)-'Assumptions (Nuclear)'!J28*Model!K1104/10^3,-'Assumptions (Nuclear)'!J28*Model!K1104/10^3)</f>
        <v>21.825659192055337</v>
      </c>
      <c r="L1323" s="105">
        <f>IF(Model!L1108+Model!L1109-L1105-Model!L1106-Model!L1107-L1270+L1218&gt;0,'Assumptions (Nuclear)'!K27*(Model!L1108+Model!L1109-L1105-Model!L1106-Model!L1107-L1270+L1218)-'Assumptions (Nuclear)'!K28*Model!L1104/10^3,-'Assumptions (Nuclear)'!K28*Model!L1104/10^3)</f>
        <v>13.215402699223874</v>
      </c>
      <c r="M1323" s="105">
        <f>IF(Model!M1108+Model!M1109-M1105-Model!M1106-Model!M1107-M1270+M1218&gt;0,'Assumptions (Nuclear)'!L27*(Model!M1108+Model!M1109-M1105-Model!M1106-Model!M1107-M1270+M1218)-'Assumptions (Nuclear)'!L28*Model!M1104/10^3,-'Assumptions (Nuclear)'!L28*Model!M1104/10^3)</f>
        <v>13.3510146818761</v>
      </c>
      <c r="N1323" s="105">
        <f>IF(Model!N1108+Model!N1109-N1105-Model!N1106-Model!N1107-N1270+N1218&gt;0,'Assumptions (Nuclear)'!M27*(Model!N1108+Model!N1109-N1105-Model!N1106-Model!N1107-N1270+N1218)-'Assumptions (Nuclear)'!M28*Model!N1104/10^3,-'Assumptions (Nuclear)'!M28*Model!N1104/10^3)</f>
        <v>12.28602989589932</v>
      </c>
      <c r="O1323" s="105">
        <f>IF(Model!O1108+Model!O1109-O1105-Model!O1106-Model!O1107-O1270+O1218&gt;0,'Assumptions (Nuclear)'!N27*(Model!O1108+Model!O1109-O1105-Model!O1106-Model!O1107-O1270+O1218)-'Assumptions (Nuclear)'!N28*Model!O1104/10^3,-'Assumptions (Nuclear)'!N28*Model!O1104/10^3)</f>
        <v>9.2684789514454451</v>
      </c>
      <c r="P1323" s="105">
        <f>IF(Model!P1108+Model!P1109-P1105-Model!P1106-Model!P1107-P1270+P1218&gt;0,'Assumptions (Nuclear)'!O27*(Model!P1108+Model!P1109-P1105-Model!P1106-Model!P1107-P1270+P1218)-'Assumptions (Nuclear)'!O28*Model!P1104/10^3,-'Assumptions (Nuclear)'!O28*Model!P1104/10^3)</f>
        <v>11.008638415076057</v>
      </c>
      <c r="Q1323" s="105">
        <f>IF(Model!Q1108+Model!Q1109-Q1105-Model!Q1106-Model!Q1107-Q1270+Q1218&gt;0,'Assumptions (Nuclear)'!P27*(Model!Q1108+Model!Q1109-Q1105-Model!Q1106-Model!Q1107-Q1270+Q1218)-'Assumptions (Nuclear)'!P28*Model!Q1104/10^3,-'Assumptions (Nuclear)'!P28*Model!Q1104/10^3)</f>
        <v>12.478266733831086</v>
      </c>
      <c r="R1323" s="105">
        <f>IF(Model!R1108+Model!R1109-R1105-Model!R1106-Model!R1107-R1270+R1218&gt;0,'Assumptions (Nuclear)'!Q27*(Model!R1108+Model!R1109-R1105-Model!R1106-Model!R1107-R1270+R1218)-'Assumptions (Nuclear)'!Q28*Model!R1104/10^3,-'Assumptions (Nuclear)'!Q28*Model!R1104/10^3)</f>
        <v>8.8701510935223045</v>
      </c>
      <c r="S1323" s="105">
        <f>IF(Model!S1108+Model!S1109-S1105-Model!S1106-Model!S1107-S1270+S1218&gt;0,'Assumptions (Nuclear)'!R27*(Model!S1108+Model!S1109-S1105-Model!S1106-Model!S1107-S1270+S1218)-'Assumptions (Nuclear)'!R28*Model!S1104/10^3,-'Assumptions (Nuclear)'!R28*Model!S1104/10^3)</f>
        <v>9.6412100178095095</v>
      </c>
      <c r="T1323" s="105">
        <f>IF(Model!T1108+Model!T1109-T1105-Model!T1106-Model!T1107-T1270+T1218&gt;0,'Assumptions (Nuclear)'!S27*(Model!T1108+Model!T1109-T1105-Model!T1106-Model!T1107-T1270+T1218)-'Assumptions (Nuclear)'!S28*Model!T1104/10^3,-'Assumptions (Nuclear)'!S28*Model!T1104/10^3)</f>
        <v>8.9419248633568174</v>
      </c>
      <c r="U1323" s="105">
        <f>IF(Model!U1108+Model!U1109-U1105-Model!U1106-Model!U1107-U1270+U1218&gt;0,'Assumptions (Nuclear)'!T27*(Model!U1108+Model!U1109-U1105-Model!U1106-Model!U1107-U1270+U1218)-'Assumptions (Nuclear)'!T28*Model!U1104/10^3,-'Assumptions (Nuclear)'!T28*Model!U1104/10^3)</f>
        <v>5.5852277132418706</v>
      </c>
      <c r="V1323" s="105">
        <f>IF(Model!V1108+Model!V1109-V1105-Model!V1106-Model!V1107-V1270+V1218&gt;0,'Assumptions (Nuclear)'!U27*(Model!V1108+Model!V1109-V1105-Model!V1106-Model!V1107-V1270+V1218)-'Assumptions (Nuclear)'!U28*Model!V1104/10^3,-'Assumptions (Nuclear)'!U28*Model!V1104/10^3)</f>
        <v>5.5793034398557797</v>
      </c>
      <c r="W1323" s="105">
        <f>IF(Model!W1108+Model!W1109-W1105-Model!W1106-Model!W1107-W1270+W1218&gt;0,'Assumptions (Nuclear)'!V27*(Model!W1108+Model!W1109-W1105-Model!W1106-Model!W1107-W1270+W1218)-'Assumptions (Nuclear)'!V28*Model!W1104/10^3,-'Assumptions (Nuclear)'!V28*Model!W1104/10^3)</f>
        <v>4.9742556462214598</v>
      </c>
      <c r="X1323" s="105">
        <f>IF(Model!X1108+Model!X1109-X1105-Model!X1106-Model!X1107-X1270+X1218&gt;0,'Assumptions (Nuclear)'!W27*(Model!X1108+Model!X1109-X1105-Model!X1106-Model!X1107-X1270+X1218)-'Assumptions (Nuclear)'!W28*Model!X1104/10^3,-'Assumptions (Nuclear)'!W28*Model!X1104/10^3)</f>
        <v>4.8608971233733049</v>
      </c>
      <c r="Y1323" s="105">
        <f>IF(Model!Y1108+Model!Y1109-Y1105-Model!Y1106-Model!Y1107-Y1270+Y1218&gt;0,'Assumptions (Nuclear)'!X27*(Model!Y1108+Model!Y1109-Y1105-Model!Y1106-Model!Y1107-Y1270+Y1218)-'Assumptions (Nuclear)'!X28*Model!Y1104/10^3,-'Assumptions (Nuclear)'!X28*Model!Y1104/10^3)</f>
        <v>4.7563761582092594</v>
      </c>
      <c r="Z1323" s="105">
        <f>IF(Model!Z1108+Model!Z1109-Z1105-Model!Z1106-Model!Z1107-Z1270+Z1218&gt;0,'Assumptions (Nuclear)'!Y27*(Model!Z1108+Model!Z1109-Z1105-Model!Z1106-Model!Z1107-Z1270+Z1218)-'Assumptions (Nuclear)'!Y28*Model!Z1104/10^3,-'Assumptions (Nuclear)'!Y28*Model!Z1104/10^3)</f>
        <v>4.7174683032311258</v>
      </c>
      <c r="AA1323" s="105">
        <f>IF(Model!AA1108+Model!AA1109-AA1105-Model!AA1106-Model!AA1107-AA1270+AA1218&gt;0,'Assumptions (Nuclear)'!Z27*(Model!AA1108+Model!AA1109-AA1105-Model!AA1106-Model!AA1107-AA1270+AA1218)-'Assumptions (Nuclear)'!Z28*Model!AA1104/10^3,-'Assumptions (Nuclear)'!Z28*Model!AA1104/10^3)</f>
        <v>4.6975908971800724</v>
      </c>
      <c r="AB1323" s="105">
        <f>IF(Model!AB1108+Model!AB1109-AB1105-Model!AB1106-Model!AB1107-AB1270+AB1218&gt;0,'Assumptions (Nuclear)'!AA27*(Model!AB1108+Model!AB1109-AB1105-Model!AB1106-Model!AB1107-AB1270+AB1218)-'Assumptions (Nuclear)'!AA28*Model!AB1104/10^3,-'Assumptions (Nuclear)'!AA28*Model!AB1104/10^3)</f>
        <v>4.7574555945683512</v>
      </c>
      <c r="AC1323" s="105">
        <f>IF(Model!AC1108+Model!AC1109-AC1105-Model!AC1106-Model!AC1107-AC1270+AC1218&gt;0,'Assumptions (Nuclear)'!AB27*(Model!AC1108+Model!AC1109-AC1105-Model!AC1106-Model!AC1107-AC1270+AC1218)-'Assumptions (Nuclear)'!AB28*Model!AC1104/10^3,-'Assumptions (Nuclear)'!AB28*Model!AC1104/10^3)</f>
        <v>4.6795747018610996</v>
      </c>
      <c r="AD1323" s="105">
        <f>IF(Model!AD1108+Model!AD1109-AD1105-Model!AD1106-Model!AD1107-AD1270+AD1218&gt;0,'Assumptions (Nuclear)'!AC27*(Model!AD1108+Model!AD1109-AD1105-Model!AD1106-Model!AD1107-AD1270+AD1218)-'Assumptions (Nuclear)'!AC28*Model!AD1104/10^3,-'Assumptions (Nuclear)'!AC28*Model!AD1104/10^3)</f>
        <v>4.6132653492715567</v>
      </c>
      <c r="AE1323" s="105">
        <f>IF(Model!AE1108+Model!AE1109-AE1105-Model!AE1106-Model!AE1107-AE1270+AE1218&gt;0,'Assumptions (Nuclear)'!AD27*(Model!AE1108+Model!AE1109-AE1105-Model!AE1106-Model!AE1107-AE1270+AE1218)-'Assumptions (Nuclear)'!AD28*Model!AE1104/10^3,-'Assumptions (Nuclear)'!AD28*Model!AE1104/10^3)</f>
        <v>4.5185207968199634</v>
      </c>
      <c r="AF1323" s="105">
        <f>IF(Model!AF1108+Model!AF1109-AF1105-Model!AF1106-Model!AF1107-AF1270+AF1218&gt;0,'Assumptions (Nuclear)'!AE27*(Model!AF1108+Model!AF1109-AF1105-Model!AF1106-Model!AF1107-AF1270+AF1218)-'Assumptions (Nuclear)'!AE28*Model!AF1104/10^3,-'Assumptions (Nuclear)'!AE28*Model!AF1104/10^3)</f>
        <v>4.4238286662058277</v>
      </c>
      <c r="AG1323" s="105">
        <f>IF(Model!AG1108+Model!AG1109-AG1105-Model!AG1106-Model!AG1107-AG1270+AG1218&gt;0,'Assumptions (Nuclear)'!AF27*(Model!AG1108+Model!AG1109-AG1105-Model!AG1106-Model!AG1107-AG1270+AG1218)-'Assumptions (Nuclear)'!AF28*Model!AG1104/10^3,-'Assumptions (Nuclear)'!AF28*Model!AG1104/10^3)</f>
        <v>4.3210448833573034</v>
      </c>
      <c r="AH1323" s="105">
        <f>IF(Model!AH1108+Model!AH1109-AH1105-Model!AH1106-Model!AH1107-AH1270+AH1218&gt;0,'Assumptions (Nuclear)'!AG27*(Model!AH1108+Model!AH1109-AH1105-Model!AH1106-Model!AH1107-AH1270+AH1218)-'Assumptions (Nuclear)'!AG28*Model!AH1104/10^3,-'Assumptions (Nuclear)'!AG28*Model!AH1104/10^3)</f>
        <v>4.257958466301484</v>
      </c>
      <c r="AI1323" s="105">
        <f>IF(Model!AI1108+Model!AI1109-AI1105-Model!AI1106-Model!AI1107-AI1270+AI1218&gt;0,'Assumptions (Nuclear)'!AH27*(Model!AI1108+Model!AI1109-AI1105-Model!AI1106-Model!AI1107-AI1270+AI1218)-'Assumptions (Nuclear)'!AH28*Model!AI1104/10^3,-'Assumptions (Nuclear)'!AH28*Model!AI1104/10^3)</f>
        <v>4.1473121709235379</v>
      </c>
      <c r="AJ1323" s="105">
        <f>IF(Model!AJ1108+Model!AJ1109-AJ1105-Model!AJ1106-Model!AJ1107-AJ1270+AJ1218&gt;0,'Assumptions (Nuclear)'!AI27*(Model!AJ1108+Model!AJ1109-AJ1105-Model!AJ1106-Model!AJ1107-AJ1270+AJ1218)-'Assumptions (Nuclear)'!AI28*Model!AJ1104/10^3,-'Assumptions (Nuclear)'!AI28*Model!AJ1104/10^3)</f>
        <v>3.9886654388255329</v>
      </c>
      <c r="AK1323" s="105">
        <f>IF(Model!AK1108+Model!AK1109-AK1105-Model!AK1106-Model!AK1107-AK1270+AK1218&gt;0,'Assumptions (Nuclear)'!AJ27*(Model!AK1108+Model!AK1109-AK1105-Model!AK1106-Model!AK1107-AK1270+AK1218)-'Assumptions (Nuclear)'!AJ28*Model!AK1104/10^3,-'Assumptions (Nuclear)'!AJ28*Model!AK1104/10^3)</f>
        <v>3.6085044573989862</v>
      </c>
      <c r="AL1323" s="105">
        <f>IF(Model!AL1108+Model!AL1109-AL1105-Model!AL1106-Model!AL1107-AL1270+AL1218&gt;0,'Assumptions (Nuclear)'!AK27*(Model!AL1108+Model!AL1109-AL1105-Model!AL1106-Model!AL1107-AL1270+AL1218)-'Assumptions (Nuclear)'!AK28*Model!AL1104/10^3,-'Assumptions (Nuclear)'!AK28*Model!AL1104/10^3)</f>
        <v>3.2835447672459912</v>
      </c>
      <c r="AM1323" s="105">
        <f>IF(Model!AM1108+Model!AM1109-AM1105-Model!AM1106-Model!AM1107-AM1270+AM1218&gt;0,'Assumptions (Nuclear)'!AL27*(Model!AM1108+Model!AM1109-AM1105-Model!AM1106-Model!AM1107-AM1270+AM1218)-'Assumptions (Nuclear)'!AL28*Model!AM1104/10^3,-'Assumptions (Nuclear)'!AL28*Model!AM1104/10^3)</f>
        <v>2.5397848703117147</v>
      </c>
      <c r="AN1323" s="105">
        <f>IF(Model!AN1108+Model!AN1109-AN1105-Model!AN1106-Model!AN1107-AN1270+AN1218&gt;0,'Assumptions (Nuclear)'!AM27*(Model!AN1108+Model!AN1109-AN1105-Model!AN1106-Model!AN1107-AN1270+AN1218)-'Assumptions (Nuclear)'!AM28*Model!AN1104/10^3,-'Assumptions (Nuclear)'!AM28*Model!AN1104/10^3)</f>
        <v>1.6744923323163978</v>
      </c>
      <c r="AO1323" s="105">
        <f>IF(Model!AO1108+Model!AO1109-AO1105-Model!AO1106-Model!AO1107-AO1270+AO1218&gt;0,'Assumptions (Nuclear)'!AN27*(Model!AO1108+Model!AO1109-AO1105-Model!AO1106-Model!AO1107-AO1270+AO1218)-'Assumptions (Nuclear)'!AN28*Model!AO1104/10^3,-'Assumptions (Nuclear)'!AN28*Model!AO1104/10^3)</f>
        <v>1.3495455029626979</v>
      </c>
      <c r="AP1323" s="105">
        <f>IF(Model!AP1108+Model!AP1109-AP1105-Model!AP1106-Model!AP1107-AP1270+AP1218&gt;0,'Assumptions (Nuclear)'!AO27*(Model!AP1108+Model!AP1109-AP1105-Model!AP1106-Model!AP1107-AP1270+AP1218)-'Assumptions (Nuclear)'!AO28*Model!AP1104/10^3,-'Assumptions (Nuclear)'!AO28*Model!AP1104/10^3)</f>
        <v>0.98727092552746032</v>
      </c>
      <c r="AQ1323" s="105">
        <f>IF(Model!AQ1108+Model!AQ1109-AQ1105-Model!AQ1106-Model!AQ1107-AQ1270+AQ1218&gt;0,'Assumptions (Nuclear)'!AP27*(Model!AQ1108+Model!AQ1109-AQ1105-Model!AQ1106-Model!AQ1107-AQ1270+AQ1218)-'Assumptions (Nuclear)'!AP28*Model!AQ1104/10^3,-'Assumptions (Nuclear)'!AP28*Model!AQ1104/10^3)</f>
        <v>0.742873359916847</v>
      </c>
      <c r="AR1323" s="105">
        <f>IF(Model!AR1108+Model!AR1109-AR1105-Model!AR1106-Model!AR1107-AR1270+AR1218&gt;0,'Assumptions (Nuclear)'!AQ27*(Model!AR1108+Model!AR1109-AR1105-Model!AR1106-Model!AR1107-AR1270+AR1218)-'Assumptions (Nuclear)'!AQ28*Model!AR1104/10^3,-'Assumptions (Nuclear)'!AQ28*Model!AR1104/10^3)</f>
        <v>0.70229393758715442</v>
      </c>
      <c r="AS1323" s="105">
        <f>IF(Model!AS1108+Model!AS1109-AS1105-Model!AS1106-Model!AS1107-AS1270+AS1218&gt;0,'Assumptions (Nuclear)'!AR27*(Model!AS1108+Model!AS1109-AS1105-Model!AS1106-Model!AS1107-AS1270+AS1218)-'Assumptions (Nuclear)'!AR28*Model!AS1104/10^3,-'Assumptions (Nuclear)'!AR28*Model!AS1104/10^3)</f>
        <v>0.60294037380291721</v>
      </c>
      <c r="AT1323" s="105">
        <f>IF(Model!AT1108+Model!AT1109-AT1105-Model!AT1106-Model!AT1107-AT1270+AT1218&gt;0,'Assumptions (Nuclear)'!AS27*(Model!AT1108+Model!AT1109-AT1105-Model!AT1106-Model!AT1107-AT1270+AT1218)-'Assumptions (Nuclear)'!AS28*Model!AT1104/10^3,-'Assumptions (Nuclear)'!AS28*Model!AT1104/10^3)</f>
        <v>0.29228019818555162</v>
      </c>
      <c r="AU1323" s="105">
        <f>IF(Model!AU1108+Model!AU1109-AU1105-Model!AU1106-Model!AU1107-AU1270+AU1218&gt;0,'Assumptions (Nuclear)'!AT27*(Model!AU1108+Model!AU1109-AU1105-Model!AU1106-Model!AU1107-AU1270+AU1218)-'Assumptions (Nuclear)'!AT28*Model!AU1104/10^3,-'Assumptions (Nuclear)'!AT28*Model!AU1104/10^3)</f>
        <v>6.7387222666193125E-5</v>
      </c>
      <c r="AV1323" s="105">
        <f>IF(Model!AV1108+Model!AV1109-AV1105-Model!AV1106-Model!AV1107-AV1270+AV1218&gt;0,'Assumptions (Nuclear)'!AU27*(Model!AV1108+Model!AV1109-AV1105-Model!AV1106-Model!AV1107-AV1270+AV1218)-'Assumptions (Nuclear)'!AU28*Model!AV1104/10^3,-'Assumptions (Nuclear)'!AU28*Model!AV1104/10^3)</f>
        <v>-0.20656816160097521</v>
      </c>
      <c r="AW1323" s="105">
        <f>IF(Model!AW1108+Model!AW1109-AW1105-Model!AW1106-Model!AW1107-AW1270+AW1218&gt;0,'Assumptions (Nuclear)'!AV27*(Model!AW1108+Model!AW1109-AW1105-Model!AW1106-Model!AW1107-AW1270+AW1218)-'Assumptions (Nuclear)'!AV28*Model!AW1104/10^3,-'Assumptions (Nuclear)'!AV28*Model!AW1104/10^3)</f>
        <v>-0.18255568106593162</v>
      </c>
      <c r="AX1323" s="105">
        <f>IF(Model!AX1108+Model!AX1109-AX1105-Model!AX1106-Model!AX1107-AX1270+AX1218&gt;0,'Assumptions (Nuclear)'!AW27*(Model!AX1108+Model!AX1109-AX1105-Model!AX1106-Model!AX1107-AX1270+AX1218)-'Assumptions (Nuclear)'!AW28*Model!AX1104/10^3,-'Assumptions (Nuclear)'!AW28*Model!AX1104/10^3)</f>
        <v>-0.13965509601543774</v>
      </c>
      <c r="AY1323" s="105">
        <f>IF(Model!AY1108+Model!AY1109-AY1105-Model!AY1106-Model!AY1107-AY1270+AY1218&gt;0,'Assumptions (Nuclear)'!AX27*(Model!AY1108+Model!AY1109-AY1105-Model!AY1106-Model!AY1107-AY1270+AY1218)-'Assumptions (Nuclear)'!AX28*Model!AY1104/10^3,-'Assumptions (Nuclear)'!AX28*Model!AY1104/10^3)</f>
        <v>-9.496546529049775E-2</v>
      </c>
      <c r="AZ1323" s="105">
        <f>IF(Model!AZ1108+Model!AZ1109-AZ1105-Model!AZ1106-Model!AZ1107-AZ1270+AZ1218&gt;0,'Assumptions (Nuclear)'!AY27*(Model!AZ1108+Model!AZ1109-AZ1105-Model!AZ1106-Model!AZ1107-AZ1270+AZ1218)-'Assumptions (Nuclear)'!AY28*Model!AZ1104/10^3,-'Assumptions (Nuclear)'!AY28*Model!AZ1104/10^3)</f>
        <v>-4.8432387298153967E-2</v>
      </c>
      <c r="BA1323" s="105">
        <f>IF(Model!BA1108+Model!BA1109-BA1105-Model!BA1106-Model!BA1107-BA1270+BA1218&gt;0,'Assumptions (Nuclear)'!AZ27*(Model!BA1108+Model!BA1109-BA1105-Model!BA1106-Model!BA1107-BA1270+BA1218)-'Assumptions (Nuclear)'!AZ28*Model!BA1104/10^3,-'Assumptions (Nuclear)'!AZ28*Model!BA1104/10^3)</f>
        <v>0</v>
      </c>
    </row>
    <row r="1324" spans="1:73" ht="15.75" customHeight="1">
      <c r="A1324" s="407" t="s">
        <v>66</v>
      </c>
      <c r="B1324" s="99" t="s">
        <v>816</v>
      </c>
      <c r="C1324" s="99"/>
      <c r="D1324" s="99"/>
      <c r="E1324" s="99"/>
      <c r="F1324" s="99"/>
      <c r="G1324" s="99"/>
      <c r="H1324" s="99"/>
      <c r="I1324" s="99"/>
      <c r="J1324" s="99"/>
      <c r="K1324" s="99"/>
      <c r="L1324" s="99"/>
      <c r="M1324" s="99"/>
      <c r="N1324" s="99"/>
      <c r="O1324" s="99"/>
      <c r="P1324" s="99"/>
      <c r="Q1324" s="99"/>
      <c r="R1324" s="99"/>
      <c r="S1324" s="99"/>
      <c r="T1324" s="99"/>
      <c r="U1324" s="99"/>
      <c r="V1324" s="99"/>
      <c r="W1324" s="86"/>
    </row>
    <row r="1325" spans="1:73" ht="15.75" customHeight="1">
      <c r="A1325" s="410" t="s">
        <v>866</v>
      </c>
      <c r="B1325" s="42"/>
      <c r="C1325" s="42"/>
      <c r="D1325" s="42"/>
      <c r="E1325" s="42"/>
      <c r="F1325" s="42"/>
      <c r="G1325" s="42"/>
      <c r="H1325" s="42"/>
      <c r="I1325" s="42"/>
      <c r="J1325" s="42"/>
      <c r="K1325" s="42"/>
      <c r="L1325" s="42"/>
      <c r="M1325" s="42"/>
      <c r="N1325" s="42"/>
      <c r="O1325" s="42"/>
      <c r="P1325" s="42"/>
      <c r="Q1325" s="42"/>
      <c r="R1325" s="42"/>
      <c r="S1325" s="42"/>
      <c r="T1325" s="42"/>
      <c r="U1325" s="42"/>
      <c r="V1325" s="42"/>
      <c r="W1325" s="86"/>
    </row>
    <row r="1326" spans="1:73" ht="15.75" customHeight="1">
      <c r="A1326" s="411"/>
      <c r="B1326" s="42"/>
      <c r="C1326" s="42"/>
      <c r="D1326" s="42"/>
      <c r="E1326" s="42"/>
      <c r="F1326" s="42"/>
      <c r="G1326" s="42"/>
      <c r="H1326" s="42"/>
      <c r="I1326" s="42"/>
      <c r="J1326" s="42"/>
      <c r="K1326" s="42"/>
      <c r="L1326" s="42"/>
      <c r="M1326" s="42"/>
      <c r="N1326" s="42"/>
      <c r="O1326" s="42"/>
      <c r="P1326" s="42"/>
      <c r="Q1326" s="42"/>
      <c r="R1326" s="42"/>
      <c r="S1326" s="42"/>
      <c r="T1326" s="42"/>
      <c r="U1326" s="42"/>
      <c r="V1326" s="42"/>
      <c r="W1326" s="86"/>
    </row>
    <row r="1327" spans="1:73" ht="15.75" customHeight="1">
      <c r="A1327" s="410" t="s">
        <v>867</v>
      </c>
      <c r="B1327" s="42"/>
      <c r="C1327" s="42"/>
      <c r="D1327" s="42"/>
      <c r="E1327" s="42"/>
      <c r="F1327" s="42"/>
      <c r="G1327" s="42"/>
      <c r="H1327" s="42"/>
      <c r="I1327" s="42"/>
      <c r="J1327" s="42"/>
      <c r="K1327" s="42"/>
      <c r="L1327" s="42"/>
      <c r="M1327" s="42"/>
      <c r="N1327" s="42"/>
      <c r="O1327" s="42"/>
      <c r="P1327" s="42"/>
      <c r="Q1327" s="42"/>
      <c r="R1327" s="42"/>
      <c r="S1327" s="42"/>
      <c r="T1327" s="42"/>
      <c r="U1327" s="42"/>
      <c r="V1327" s="42"/>
      <c r="W1327" s="86"/>
    </row>
    <row r="1328" spans="1:73" ht="15.75" customHeight="1">
      <c r="A1328" s="411"/>
      <c r="B1328" s="42"/>
      <c r="C1328" s="42"/>
      <c r="D1328" s="42"/>
      <c r="E1328" s="42"/>
      <c r="F1328" s="42"/>
      <c r="G1328" s="42"/>
      <c r="H1328" s="42"/>
      <c r="I1328" s="42"/>
      <c r="J1328" s="42"/>
      <c r="K1328" s="42"/>
      <c r="L1328" s="42"/>
      <c r="M1328" s="42"/>
      <c r="N1328" s="42"/>
      <c r="O1328" s="42"/>
      <c r="P1328" s="42"/>
      <c r="Q1328" s="42"/>
      <c r="R1328" s="42"/>
      <c r="S1328" s="42"/>
      <c r="T1328" s="42"/>
      <c r="U1328" s="42"/>
      <c r="V1328" s="42"/>
      <c r="W1328" s="86"/>
    </row>
    <row r="1329" spans="1:53" ht="15.75" customHeight="1">
      <c r="A1329" s="412" t="s">
        <v>868</v>
      </c>
      <c r="B1329" s="42"/>
      <c r="C1329" s="42"/>
      <c r="D1329" s="42"/>
      <c r="E1329" s="42"/>
      <c r="F1329" s="42"/>
      <c r="G1329" s="42"/>
      <c r="H1329" s="42"/>
      <c r="I1329" s="42"/>
      <c r="J1329" s="42"/>
      <c r="K1329" s="42"/>
      <c r="L1329" s="42"/>
      <c r="M1329" s="42"/>
      <c r="N1329" s="42"/>
      <c r="O1329" s="42"/>
      <c r="P1329" s="42"/>
      <c r="Q1329" s="42"/>
      <c r="R1329" s="42"/>
      <c r="S1329" s="42"/>
      <c r="T1329" s="42"/>
      <c r="U1329" s="42"/>
      <c r="V1329" s="42"/>
      <c r="W1329" s="86"/>
      <c r="X1329" s="94">
        <f t="shared" ref="X1329:BA1329" si="31">X1331/(X1330*0.00876)</f>
        <v>0.42417040127607175</v>
      </c>
      <c r="Y1329" s="94">
        <f t="shared" si="31"/>
        <v>0.42417040127607186</v>
      </c>
      <c r="Z1329" s="94">
        <f t="shared" si="31"/>
        <v>0.42417040127607186</v>
      </c>
      <c r="AA1329" s="94">
        <f t="shared" si="31"/>
        <v>0.42417040127607186</v>
      </c>
      <c r="AB1329" s="94">
        <f t="shared" si="31"/>
        <v>0.42417040127607186</v>
      </c>
      <c r="AC1329" s="94">
        <f t="shared" si="31"/>
        <v>0.42417040127607186</v>
      </c>
      <c r="AD1329" s="94">
        <f t="shared" si="31"/>
        <v>0.42417040127607192</v>
      </c>
      <c r="AE1329" s="94">
        <f t="shared" si="31"/>
        <v>0.42417040127607186</v>
      </c>
      <c r="AF1329" s="94">
        <f t="shared" si="31"/>
        <v>0.42417040127607186</v>
      </c>
      <c r="AG1329" s="94">
        <f t="shared" si="31"/>
        <v>0.42417040127607186</v>
      </c>
      <c r="AH1329" s="94">
        <f t="shared" si="31"/>
        <v>0.42417040127607192</v>
      </c>
      <c r="AI1329" s="94">
        <f t="shared" si="31"/>
        <v>0.42417040127607197</v>
      </c>
      <c r="AJ1329" s="94">
        <f t="shared" si="31"/>
        <v>0.42417040127607197</v>
      </c>
      <c r="AK1329" s="94">
        <f t="shared" si="31"/>
        <v>0.42417040127607197</v>
      </c>
      <c r="AL1329" s="94">
        <f t="shared" si="31"/>
        <v>0.42417040127607197</v>
      </c>
      <c r="AM1329" s="94">
        <f t="shared" si="31"/>
        <v>0.42417040127607197</v>
      </c>
      <c r="AN1329" s="94">
        <f t="shared" si="31"/>
        <v>0.42417040127607197</v>
      </c>
      <c r="AO1329" s="94">
        <f t="shared" si="31"/>
        <v>0.42417040127607197</v>
      </c>
      <c r="AP1329" s="94">
        <f t="shared" si="31"/>
        <v>0.42417040127607203</v>
      </c>
      <c r="AQ1329" s="94">
        <f t="shared" si="31"/>
        <v>0.42417040127607203</v>
      </c>
      <c r="AR1329" s="94">
        <f t="shared" si="31"/>
        <v>0.42417040127607214</v>
      </c>
      <c r="AS1329" s="94">
        <f t="shared" si="31"/>
        <v>0.42417040127607214</v>
      </c>
      <c r="AT1329" s="94">
        <f t="shared" si="31"/>
        <v>0.4241704012760722</v>
      </c>
      <c r="AU1329" s="94">
        <f t="shared" si="31"/>
        <v>0.42417040127607231</v>
      </c>
      <c r="AV1329" s="94">
        <f t="shared" si="31"/>
        <v>0.42417040127607242</v>
      </c>
      <c r="AW1329" s="94">
        <f t="shared" si="31"/>
        <v>0.42417040127607253</v>
      </c>
      <c r="AX1329" s="94">
        <f t="shared" si="31"/>
        <v>0.42417040127607286</v>
      </c>
      <c r="AY1329" s="94">
        <f t="shared" si="31"/>
        <v>0.42417040127607336</v>
      </c>
      <c r="AZ1329" s="94">
        <f t="shared" si="31"/>
        <v>0.42417040127607508</v>
      </c>
      <c r="BA1329" s="94" t="e">
        <f t="shared" si="31"/>
        <v>#DIV/0!</v>
      </c>
    </row>
    <row r="1330" spans="1:53" ht="15.75" customHeight="1">
      <c r="A1330" s="413" t="s">
        <v>25</v>
      </c>
      <c r="B1330" s="99" t="s">
        <v>152</v>
      </c>
      <c r="C1330" s="20">
        <v>78940</v>
      </c>
      <c r="D1330" s="20">
        <v>78492</v>
      </c>
      <c r="E1330" s="20">
        <v>78939</v>
      </c>
      <c r="F1330" s="20">
        <v>78275</v>
      </c>
      <c r="G1330" s="20">
        <v>77226</v>
      </c>
      <c r="H1330" s="20">
        <v>77121</v>
      </c>
      <c r="I1330" s="20">
        <v>77402</v>
      </c>
      <c r="J1330" s="20">
        <v>77466</v>
      </c>
      <c r="K1330" s="20">
        <v>77512</v>
      </c>
      <c r="L1330" s="20">
        <v>78087</v>
      </c>
      <c r="M1330" s="20">
        <v>78388</v>
      </c>
      <c r="N1330" s="20">
        <v>78212.7</v>
      </c>
      <c r="O1330" s="20">
        <v>78297.399999999994</v>
      </c>
      <c r="P1330" s="20">
        <v>78759.399999999994</v>
      </c>
      <c r="Q1330" s="20">
        <v>79216.600000000006</v>
      </c>
      <c r="R1330" s="20">
        <v>79198.099999999991</v>
      </c>
      <c r="S1330" s="20">
        <v>79416.600000000006</v>
      </c>
      <c r="T1330" s="99">
        <v>79248</v>
      </c>
      <c r="U1330" s="99">
        <v>79477</v>
      </c>
      <c r="V1330" s="99">
        <v>79376</v>
      </c>
      <c r="W1330" s="86">
        <v>79376</v>
      </c>
      <c r="X1330" s="101">
        <f t="shared" ref="X1330:AZ1330" si="32">W1330+($BA$1330-$W$1330)/($BA$2-$W$2)</f>
        <v>76730.133333333331</v>
      </c>
      <c r="Y1330" s="101">
        <f t="shared" si="32"/>
        <v>74084.266666666663</v>
      </c>
      <c r="Z1330" s="101">
        <f t="shared" si="32"/>
        <v>71438.399999999994</v>
      </c>
      <c r="AA1330" s="101">
        <f t="shared" si="32"/>
        <v>68792.533333333326</v>
      </c>
      <c r="AB1330" s="101">
        <f t="shared" si="32"/>
        <v>66146.666666666657</v>
      </c>
      <c r="AC1330" s="101">
        <f t="shared" si="32"/>
        <v>63500.799999999988</v>
      </c>
      <c r="AD1330" s="101">
        <f t="shared" si="32"/>
        <v>60854.93333333332</v>
      </c>
      <c r="AE1330" s="101">
        <f t="shared" si="32"/>
        <v>58209.066666666651</v>
      </c>
      <c r="AF1330" s="101">
        <f t="shared" si="32"/>
        <v>55563.199999999983</v>
      </c>
      <c r="AG1330" s="101">
        <f t="shared" si="32"/>
        <v>52917.333333333314</v>
      </c>
      <c r="AH1330" s="101">
        <f t="shared" si="32"/>
        <v>50271.466666666645</v>
      </c>
      <c r="AI1330" s="101">
        <f t="shared" si="32"/>
        <v>47625.599999999977</v>
      </c>
      <c r="AJ1330" s="101">
        <f t="shared" si="32"/>
        <v>44979.733333333308</v>
      </c>
      <c r="AK1330" s="101">
        <f t="shared" si="32"/>
        <v>42333.86666666664</v>
      </c>
      <c r="AL1330" s="101">
        <f t="shared" si="32"/>
        <v>39687.999999999971</v>
      </c>
      <c r="AM1330" s="101">
        <f t="shared" si="32"/>
        <v>37042.133333333302</v>
      </c>
      <c r="AN1330" s="101">
        <f t="shared" si="32"/>
        <v>34396.266666666634</v>
      </c>
      <c r="AO1330" s="101">
        <f t="shared" si="32"/>
        <v>31750.399999999965</v>
      </c>
      <c r="AP1330" s="101">
        <f t="shared" si="32"/>
        <v>29104.533333333296</v>
      </c>
      <c r="AQ1330" s="101">
        <f t="shared" si="32"/>
        <v>26458.666666666628</v>
      </c>
      <c r="AR1330" s="101">
        <f t="shared" si="32"/>
        <v>23812.799999999959</v>
      </c>
      <c r="AS1330" s="101">
        <f t="shared" si="32"/>
        <v>21166.933333333291</v>
      </c>
      <c r="AT1330" s="101">
        <f t="shared" si="32"/>
        <v>18521.066666666622</v>
      </c>
      <c r="AU1330" s="101">
        <f t="shared" si="32"/>
        <v>15875.199999999955</v>
      </c>
      <c r="AV1330" s="101">
        <f t="shared" si="32"/>
        <v>13229.333333333288</v>
      </c>
      <c r="AW1330" s="101">
        <f t="shared" si="32"/>
        <v>10583.466666666622</v>
      </c>
      <c r="AX1330" s="101">
        <f t="shared" si="32"/>
        <v>7937.5999999999549</v>
      </c>
      <c r="AY1330" s="101">
        <f t="shared" si="32"/>
        <v>5291.7333333332881</v>
      </c>
      <c r="AZ1330" s="101">
        <f t="shared" si="32"/>
        <v>2645.8666666666213</v>
      </c>
      <c r="BA1330" s="103">
        <f>Inputs!$H$7</f>
        <v>0</v>
      </c>
    </row>
    <row r="1331" spans="1:53" ht="15.75" customHeight="1">
      <c r="A1331" s="413" t="s">
        <v>28</v>
      </c>
      <c r="B1331" s="99" t="s">
        <v>153</v>
      </c>
      <c r="C1331" s="20">
        <v>274.46732199999997</v>
      </c>
      <c r="D1331" s="20">
        <v>215.51462900000004</v>
      </c>
      <c r="E1331" s="20">
        <v>262.79441300000008</v>
      </c>
      <c r="F1331" s="20">
        <v>274.133286</v>
      </c>
      <c r="G1331" s="20">
        <v>266.82538399999999</v>
      </c>
      <c r="H1331" s="20">
        <v>268.76112500000005</v>
      </c>
      <c r="I1331" s="20">
        <v>287.90272099999993</v>
      </c>
      <c r="J1331" s="20">
        <v>246.12640900000002</v>
      </c>
      <c r="K1331" s="20">
        <v>253.57523999999995</v>
      </c>
      <c r="L1331" s="20">
        <v>272.00870200000003</v>
      </c>
      <c r="M1331" s="20">
        <v>258.69950499999993</v>
      </c>
      <c r="N1331" s="20">
        <v>317.91701698000003</v>
      </c>
      <c r="O1331" s="20">
        <v>274.55059199999994</v>
      </c>
      <c r="P1331" s="20">
        <v>267.05160866999995</v>
      </c>
      <c r="Q1331" s="20">
        <v>257.73380077999991</v>
      </c>
      <c r="R1331" s="20">
        <v>247.38998600000002</v>
      </c>
      <c r="S1331" s="20">
        <v>267.81158399999998</v>
      </c>
      <c r="T1331" s="20">
        <v>296.20327800000001</v>
      </c>
      <c r="U1331" s="20">
        <v>266.266144</v>
      </c>
      <c r="V1331" s="20">
        <v>281.80670199999997</v>
      </c>
      <c r="W1331" s="86">
        <f>'Assumptions (Hydro)'!V14*Model!W1330*0.00876</f>
        <v>294.93999999999977</v>
      </c>
      <c r="X1331" s="101">
        <f t="shared" ref="X1331:AZ1331" si="33">W1331+($BA$1331-$W$1331)/($BA$2-$W$2)</f>
        <v>285.10866666666647</v>
      </c>
      <c r="Y1331" s="101">
        <f t="shared" si="33"/>
        <v>275.27733333333316</v>
      </c>
      <c r="Z1331" s="101">
        <f t="shared" si="33"/>
        <v>265.44599999999986</v>
      </c>
      <c r="AA1331" s="101">
        <f t="shared" si="33"/>
        <v>255.61466666666652</v>
      </c>
      <c r="AB1331" s="101">
        <f t="shared" si="33"/>
        <v>245.78333333333319</v>
      </c>
      <c r="AC1331" s="101">
        <f t="shared" si="33"/>
        <v>235.95199999999986</v>
      </c>
      <c r="AD1331" s="101">
        <f t="shared" si="33"/>
        <v>226.12066666666652</v>
      </c>
      <c r="AE1331" s="101">
        <f t="shared" si="33"/>
        <v>216.28933333333319</v>
      </c>
      <c r="AF1331" s="101">
        <f t="shared" si="33"/>
        <v>206.45799999999986</v>
      </c>
      <c r="AG1331" s="101">
        <f t="shared" si="33"/>
        <v>196.62666666666652</v>
      </c>
      <c r="AH1331" s="101">
        <f t="shared" si="33"/>
        <v>186.79533333333319</v>
      </c>
      <c r="AI1331" s="101">
        <f t="shared" si="33"/>
        <v>176.96399999999986</v>
      </c>
      <c r="AJ1331" s="101">
        <f t="shared" si="33"/>
        <v>167.13266666666652</v>
      </c>
      <c r="AK1331" s="101">
        <f t="shared" si="33"/>
        <v>157.30133333333319</v>
      </c>
      <c r="AL1331" s="101">
        <f t="shared" si="33"/>
        <v>147.46999999999986</v>
      </c>
      <c r="AM1331" s="101">
        <f t="shared" si="33"/>
        <v>137.63866666666652</v>
      </c>
      <c r="AN1331" s="101">
        <f t="shared" si="33"/>
        <v>127.80733333333319</v>
      </c>
      <c r="AO1331" s="101">
        <f t="shared" si="33"/>
        <v>117.97599999999986</v>
      </c>
      <c r="AP1331" s="101">
        <f t="shared" si="33"/>
        <v>108.14466666666652</v>
      </c>
      <c r="AQ1331" s="101">
        <f t="shared" si="33"/>
        <v>98.31333333333319</v>
      </c>
      <c r="AR1331" s="101">
        <f t="shared" si="33"/>
        <v>88.481999999999857</v>
      </c>
      <c r="AS1331" s="101">
        <f t="shared" si="33"/>
        <v>78.650666666666524</v>
      </c>
      <c r="AT1331" s="101">
        <f t="shared" si="33"/>
        <v>68.819333333333191</v>
      </c>
      <c r="AU1331" s="101">
        <f t="shared" si="33"/>
        <v>58.987999999999865</v>
      </c>
      <c r="AV1331" s="101">
        <f t="shared" si="33"/>
        <v>49.156666666666538</v>
      </c>
      <c r="AW1331" s="101">
        <f t="shared" si="33"/>
        <v>39.325333333333212</v>
      </c>
      <c r="AX1331" s="101">
        <f t="shared" si="33"/>
        <v>29.493999999999886</v>
      </c>
      <c r="AY1331" s="101">
        <f t="shared" si="33"/>
        <v>19.66266666666656</v>
      </c>
      <c r="AZ1331" s="101">
        <f t="shared" si="33"/>
        <v>9.8313333333332338</v>
      </c>
      <c r="BA1331" s="104">
        <f>Inputs!$I$7</f>
        <v>0</v>
      </c>
    </row>
    <row r="1332" spans="1:53" ht="15.75" customHeight="1">
      <c r="A1332" s="413" t="s">
        <v>31</v>
      </c>
      <c r="B1332" s="99" t="s">
        <v>201</v>
      </c>
      <c r="C1332" s="105">
        <f>'Assumptions (Hydro)'!B17*Model!C1330/10^9+'Assumptions (Hydro)'!B18*Model!C1331/10^3</f>
        <v>2.4203106485324724</v>
      </c>
      <c r="D1332" s="105">
        <f>'Assumptions (Hydro)'!C17*Model!D1330/10^9+'Assumptions (Hydro)'!C18*Model!D1331/10^3</f>
        <v>2.3989151731319938</v>
      </c>
      <c r="E1332" s="105">
        <f>'Assumptions (Hydro)'!D17*Model!E1330/10^9+'Assumptions (Hydro)'!D18*Model!E1331/10^3</f>
        <v>2.5020640708666724</v>
      </c>
      <c r="F1332" s="105">
        <f>'Assumptions (Hydro)'!E17*Model!F1330/10^9+'Assumptions (Hydro)'!E18*Model!F1331/10^3</f>
        <v>2.5412432459305339</v>
      </c>
      <c r="G1332" s="105">
        <f>'Assumptions (Hydro)'!F17*Model!G1330/10^9+'Assumptions (Hydro)'!F18*Model!G1331/10^3</f>
        <v>2.5512468625758866</v>
      </c>
      <c r="H1332" s="105">
        <f>'Assumptions (Hydro)'!G17*Model!H1330/10^9+'Assumptions (Hydro)'!G18*Model!H1331/10^3</f>
        <v>2.5984909492550159</v>
      </c>
      <c r="I1332" s="105">
        <f>'Assumptions (Hydro)'!H17*Model!I1330/10^9+'Assumptions (Hydro)'!H18*Model!I1331/10^3</f>
        <v>2.6760703800659487</v>
      </c>
      <c r="J1332" s="105">
        <f>'Assumptions (Hydro)'!I17*Model!J1330/10^9+'Assumptions (Hydro)'!I18*Model!J1331/10^3</f>
        <v>2.6854197683834613</v>
      </c>
      <c r="K1332" s="105">
        <f>'Assumptions (Hydro)'!J17*Model!K1330/10^9+'Assumptions (Hydro)'!J18*Model!K1331/10^3</f>
        <v>2.745816631986564</v>
      </c>
      <c r="L1332" s="105">
        <f>'Assumptions (Hydro)'!K17*Model!L1330/10^9+'Assumptions (Hydro)'!K18*Model!L1331/10^3</f>
        <v>2.8366408551430387</v>
      </c>
      <c r="M1332" s="105">
        <f>'Assumptions (Hydro)'!L17*Model!M1330/10^9+'Assumptions (Hydro)'!L18*Model!M1331/10^3</f>
        <v>2.8858595396010638</v>
      </c>
      <c r="N1332" s="105">
        <f>'Assumptions (Hydro)'!M17*Model!N1330/10^9+'Assumptions (Hydro)'!M18*Model!N1331/10^3</f>
        <v>3.0012507211040864</v>
      </c>
      <c r="O1332" s="105">
        <f>'Assumptions (Hydro)'!N17*Model!O1330/10^9+'Assumptions (Hydro)'!N18*Model!O1331/10^3</f>
        <v>3.0115776706852722</v>
      </c>
      <c r="P1332" s="105">
        <f>'Assumptions (Hydro)'!O17*Model!P1330/10^9+'Assumptions (Hydro)'!O18*Model!P1331/10^3</f>
        <v>3.0762742068979358</v>
      </c>
      <c r="Q1332" s="105">
        <f>'Assumptions (Hydro)'!P17*Model!Q1330/10^9+'Assumptions (Hydro)'!P18*Model!Q1331/10^3</f>
        <v>3.1400096064320526</v>
      </c>
      <c r="R1332" s="105">
        <f>'Assumptions (Hydro)'!Q17*Model!R1330/10^9+'Assumptions (Hydro)'!Q18*Model!R1331/10^3</f>
        <v>3.1864737640584551</v>
      </c>
      <c r="S1332" s="105">
        <f>'Assumptions (Hydro)'!R17*Model!S1330/10^9+'Assumptions (Hydro)'!R18*Model!S1331/10^3</f>
        <v>3.2803240041473356</v>
      </c>
      <c r="T1332" s="105">
        <f>'Assumptions (Hydro)'!S17*Model!T1330/10^9+'Assumptions (Hydro)'!S18*Model!T1331/10^3</f>
        <v>3.3719562940636774</v>
      </c>
      <c r="U1332" s="105">
        <f>'Assumptions (Hydro)'!T17*Model!U1330/10^9+'Assumptions (Hydro)'!T18*Model!U1331/10^3</f>
        <v>3.406510665866687</v>
      </c>
      <c r="V1332" s="105">
        <f>'Assumptions (Hydro)'!U17*Model!V1330/10^9+'Assumptions (Hydro)'!U18*Model!V1331/10^3</f>
        <v>3.4875482960353286</v>
      </c>
      <c r="W1332" s="105">
        <f>'Assumptions (Hydro)'!V17*Model!W1330/10^9+'Assumptions (Hydro)'!V18*Model!W1331/10^3</f>
        <v>3.5712789999999996</v>
      </c>
      <c r="X1332" s="105">
        <f>'Assumptions (Hydro)'!W17*Model!X1330/10^9+'Assumptions (Hydro)'!W18*Model!X1331/10^3</f>
        <v>3.517828857633333</v>
      </c>
      <c r="Y1332" s="105">
        <f>'Assumptions (Hydro)'!X17*Model!Y1330/10^9+'Assumptions (Hydro)'!X18*Model!Y1331/10^3</f>
        <v>3.461058378137734</v>
      </c>
      <c r="Z1332" s="105">
        <f>'Assumptions (Hydro)'!Y17*Model!Z1330/10^9+'Assumptions (Hydro)'!Y18*Model!Z1331/10^3</f>
        <v>3.4008606842036961</v>
      </c>
      <c r="AA1332" s="105">
        <f>'Assumptions (Hydro)'!Z17*Model!AA1330/10^9+'Assumptions (Hydro)'!Z18*Model!AA1331/10^3</f>
        <v>3.3371260358256567</v>
      </c>
      <c r="AB1332" s="105">
        <f>'Assumptions (Hydro)'!AA17*Model!AB1330/10^9+'Assumptions (Hydro)'!AA18*Model!AB1331/10^3</f>
        <v>3.2697417601022543</v>
      </c>
      <c r="AC1332" s="105">
        <f>'Assumptions (Hydro)'!AB17*Model!AC1330/10^9+'Assumptions (Hydro)'!AB18*Model!AC1331/10^3</f>
        <v>3.1985921794024295</v>
      </c>
      <c r="AD1332" s="105">
        <f>'Assumptions (Hydro)'!AC17*Model!AD1330/10^9+'Assumptions (Hydro)'!AC18*Model!AD1331/10^3</f>
        <v>3.1235585378606139</v>
      </c>
      <c r="AE1332" s="105">
        <f>'Assumptions (Hydro)'!AD17*Model!AE1330/10^9+'Assumptions (Hydro)'!AD18*Model!AE1331/10^3</f>
        <v>3.0445189261634464</v>
      </c>
      <c r="AF1332" s="105">
        <f>'Assumptions (Hydro)'!AE17*Model!AF1330/10^9+'Assumptions (Hydro)'!AE18*Model!AF1331/10^3</f>
        <v>2.9613482045896178</v>
      </c>
      <c r="AG1332" s="105">
        <f>'Assumptions (Hydro)'!AF17*Model!AG1330/10^9+'Assumptions (Hydro)'!AF18*Model!AG1331/10^3</f>
        <v>2.8739179242636386</v>
      </c>
      <c r="AH1332" s="105">
        <f>'Assumptions (Hydro)'!AG17*Model!AH1330/10^9+'Assumptions (Hydro)'!AG18*Model!AH1331/10^3</f>
        <v>2.7820962465834151</v>
      </c>
      <c r="AI1332" s="105">
        <f>'Assumptions (Hydro)'!AH17*Model!AI1330/10^9+'Assumptions (Hydro)'!AH18*Model!AI1331/10^3</f>
        <v>2.6857478607806846</v>
      </c>
      <c r="AJ1332" s="105">
        <f>'Assumptions (Hydro)'!AI17*Model!AJ1330/10^9+'Assumptions (Hydro)'!AI18*Model!AJ1331/10^3</f>
        <v>2.5847338995724334</v>
      </c>
      <c r="AK1332" s="105">
        <f>'Assumptions (Hydro)'!AJ17*Model!AK1330/10^9+'Assumptions (Hydro)'!AJ18*Model!AK1331/10^3</f>
        <v>2.4789118528605272</v>
      </c>
      <c r="AL1332" s="105">
        <f>'Assumptions (Hydro)'!AK17*Model!AL1330/10^9+'Assumptions (Hydro)'!AK18*Model!AL1331/10^3</f>
        <v>2.3681354794358223</v>
      </c>
      <c r="AM1332" s="105">
        <f>'Assumptions (Hydro)'!AL17*Model!AM1330/10^9+'Assumptions (Hydro)'!AL18*Model!AM1331/10^3</f>
        <v>2.2522547166420961</v>
      </c>
      <c r="AN1332" s="105">
        <f>'Assumptions (Hydro)'!AM17*Model!AN1330/10^9+'Assumptions (Hydro)'!AM18*Model!AN1331/10^3</f>
        <v>2.1311155879541319</v>
      </c>
      <c r="AO1332" s="105">
        <f>'Assumptions (Hydro)'!AN17*Model!AO1330/10^9+'Assumptions (Hydro)'!AN18*Model!AO1331/10^3</f>
        <v>2.0045601084233176</v>
      </c>
      <c r="AP1332" s="105">
        <f>'Assumptions (Hydro)'!AO17*Model!AP1330/10^9+'Assumptions (Hydro)'!AO18*Model!AP1331/10^3</f>
        <v>1.8724261879430808</v>
      </c>
      <c r="AQ1332" s="105">
        <f>'Assumptions (Hydro)'!AP17*Model!AQ1330/10^9+'Assumptions (Hydro)'!AP18*Model!AQ1331/10^3</f>
        <v>1.7345475322854536</v>
      </c>
      <c r="AR1332" s="105">
        <f>'Assumptions (Hydro)'!AQ17*Model!AR1330/10^9+'Assumptions (Hydro)'!AQ18*Model!AR1331/10^3</f>
        <v>1.5907535418589895</v>
      </c>
      <c r="AS1332" s="105">
        <f>'Assumptions (Hydro)'!AR17*Model!AS1330/10^9+'Assumptions (Hydro)'!AR18*Model!AS1331/10^3</f>
        <v>1.4408692081371643</v>
      </c>
      <c r="AT1332" s="105">
        <f>'Assumptions (Hydro)'!AS17*Model!AT1330/10^9+'Assumptions (Hydro)'!AS18*Model!AT1331/10^3</f>
        <v>1.2847150077052989</v>
      </c>
      <c r="AU1332" s="105">
        <f>'Assumptions (Hydro)'!AT17*Model!AU1330/10^9+'Assumptions (Hydro)'!AT18*Model!AU1331/10^3</f>
        <v>1.1221067938728848</v>
      </c>
      <c r="AV1332" s="105">
        <f>'Assumptions (Hydro)'!AU17*Model!AV1330/10^9+'Assumptions (Hydro)'!AU18*Model!AV1331/10^3</f>
        <v>0.95285568579705782</v>
      </c>
      <c r="AW1332" s="105">
        <f>'Assumptions (Hydro)'!AV17*Model!AW1330/10^9+'Assumptions (Hydro)'!AV18*Model!AW1331/10^3</f>
        <v>0.77676795506176088</v>
      </c>
      <c r="AX1332" s="105">
        <f>'Assumptions (Hydro)'!AW17*Model!AX1330/10^9+'Assumptions (Hydro)'!AW18*Model!AX1331/10^3</f>
        <v>0.59364490965595007</v>
      </c>
      <c r="AY1332" s="105">
        <f>'Assumptions (Hydro)'!AX17*Model!AY1330/10^9+'Assumptions (Hydro)'!AX18*Model!AY1331/10^3</f>
        <v>0.4032827752929411</v>
      </c>
      <c r="AZ1332" s="105">
        <f>'Assumptions (Hydro)'!AY17*Model!AZ1330/10^9+'Assumptions (Hydro)'!AY18*Model!AZ1331/10^3</f>
        <v>0.20547257401175181</v>
      </c>
      <c r="BA1332" s="105">
        <f>'Assumptions (Hydro)'!AZ17*Model!BA1330/10^9+'Assumptions (Hydro)'!AZ18*Model!BA1331/10^3</f>
        <v>0</v>
      </c>
    </row>
    <row r="1333" spans="1:53" ht="15.75" customHeight="1">
      <c r="A1333" s="413" t="s">
        <v>36</v>
      </c>
      <c r="B1333" s="99" t="s">
        <v>201</v>
      </c>
      <c r="C1333" s="147">
        <f>C1331*'Assumptions (Hydro)'!B30/10^3</f>
        <v>18.371909345785195</v>
      </c>
      <c r="D1333" s="147">
        <f>D1331*'Assumptions (Hydro)'!C30/10^3</f>
        <v>14.776264853738304</v>
      </c>
      <c r="E1333" s="147">
        <f>E1331*'Assumptions (Hydro)'!D30/10^3</f>
        <v>16.289994955278807</v>
      </c>
      <c r="F1333" s="147">
        <f>F1331*'Assumptions (Hydro)'!E30/10^3</f>
        <v>20.655915686771401</v>
      </c>
      <c r="G1333" s="147">
        <f>G1331*'Assumptions (Hydro)'!F30/10^3</f>
        <v>21.123951952896796</v>
      </c>
      <c r="H1333" s="147">
        <f>H1331*'Assumptions (Hydro)'!G30/10^3</f>
        <v>25.761533238512506</v>
      </c>
      <c r="I1333" s="147">
        <f>I1331*'Assumptions (Hydro)'!H30/10^3</f>
        <v>24.828068482781696</v>
      </c>
      <c r="J1333" s="147">
        <f>J1331*'Assumptions (Hydro)'!I30/10^3</f>
        <v>21.573398163745303</v>
      </c>
      <c r="K1333" s="147">
        <f>K1331*'Assumptions (Hydro)'!J30/10^3</f>
        <v>25.722215910167993</v>
      </c>
      <c r="L1333" s="147">
        <f>L1331*'Assumptions (Hydro)'!K30/10^3</f>
        <v>19.2650435200202</v>
      </c>
      <c r="M1333" s="147">
        <f>M1331*'Assumptions (Hydro)'!L30/10^3</f>
        <v>18.944280181694495</v>
      </c>
      <c r="N1333" s="147">
        <f>N1331*'Assumptions (Hydro)'!M30/10^3</f>
        <v>22.426597586908255</v>
      </c>
      <c r="O1333" s="147">
        <f>O1331*'Assumptions (Hydro)'!N30/10^3</f>
        <v>16.746982100697593</v>
      </c>
      <c r="P1333" s="147">
        <f>P1331*'Assumptions (Hydro)'!O30/10^3</f>
        <v>18.083212744962982</v>
      </c>
      <c r="Q1333" s="147">
        <f>Q1331*'Assumptions (Hydro)'!P30/10^3</f>
        <v>18.727788486217367</v>
      </c>
      <c r="R1333" s="147">
        <f>R1331*'Assumptions (Hydro)'!Q30/10^3</f>
        <v>14.8103973358676</v>
      </c>
      <c r="S1333" s="147">
        <f>S1331*'Assumptions (Hydro)'!R30/10^3</f>
        <v>17.158688186879996</v>
      </c>
      <c r="T1333" s="147">
        <f>T1331*'Assumptions (Hydro)'!S30/10^3</f>
        <v>18.524553006120001</v>
      </c>
      <c r="U1333" s="147">
        <f>U1331*'Assumptions (Hydro)'!T30/10^3</f>
        <v>17.094286444800002</v>
      </c>
      <c r="V1333" s="147">
        <f>V1331*'Assumptions (Hydro)'!U30/10^3</f>
        <v>18.342798233179998</v>
      </c>
      <c r="W1333" s="147">
        <f>W1331*'Assumptions (Hydro)'!V30/10^3</f>
        <v>20.024444003199989</v>
      </c>
      <c r="X1333" s="147">
        <f>X1331*'Assumptions (Hydro)'!W30/10^3</f>
        <v>19.503779244326655</v>
      </c>
      <c r="Y1333" s="147">
        <f>Y1331*'Assumptions (Hydro)'!X30/10^3</f>
        <v>19.005103048959988</v>
      </c>
      <c r="Z1333" s="147">
        <f>Z1331*'Assumptions (Hydro)'!Y30/10^3</f>
        <v>18.625265454779989</v>
      </c>
      <c r="AA1333" s="147">
        <f>AA1331*'Assumptions (Hydro)'!Z30/10^3</f>
        <v>18.276331083919988</v>
      </c>
      <c r="AB1333" s="147">
        <f>AB1331*'Assumptions (Hydro)'!AA30/10^3</f>
        <v>18.069152545499986</v>
      </c>
      <c r="AC1333" s="147">
        <f>AC1331*'Assumptions (Hydro)'!AB30/10^3</f>
        <v>17.626468546239991</v>
      </c>
      <c r="AD1333" s="147">
        <f>AD1331*'Assumptions (Hydro)'!AC30/10^3</f>
        <v>17.223975234273322</v>
      </c>
      <c r="AE1333" s="147">
        <f>AE1331*'Assumptions (Hydro)'!AD30/10^3</f>
        <v>16.764473756213324</v>
      </c>
      <c r="AF1333" s="147">
        <f>AF1331*'Assumptions (Hydro)'!AE30/10^3</f>
        <v>16.297181339739993</v>
      </c>
      <c r="AG1333" s="147">
        <f>AG1331*'Assumptions (Hydro)'!AF30/10^3</f>
        <v>15.807753676266657</v>
      </c>
      <c r="AH1333" s="147">
        <f>AH1331*'Assumptions (Hydro)'!AG30/10^3</f>
        <v>15.317071632973322</v>
      </c>
      <c r="AI1333" s="147">
        <f>AI1331*'Assumptions (Hydro)'!AH30/10^3</f>
        <v>14.739004176599989</v>
      </c>
      <c r="AJ1333" s="147">
        <f>AJ1331*'Assumptions (Hydro)'!AI30/10^3</f>
        <v>14.131431315879988</v>
      </c>
      <c r="AK1333" s="147">
        <f>AK1331*'Assumptions (Hydro)'!AJ30/10^3</f>
        <v>13.503149144746653</v>
      </c>
      <c r="AL1333" s="147">
        <f>AL1331*'Assumptions (Hydro)'!AK30/10^3</f>
        <v>12.871550274999986</v>
      </c>
      <c r="AM1333" s="147">
        <f>AM1331*'Assumptions (Hydro)'!AL30/10^3</f>
        <v>12.26244352965332</v>
      </c>
      <c r="AN1333" s="147">
        <f>AN1331*'Assumptions (Hydro)'!AM30/10^3</f>
        <v>11.610671255473319</v>
      </c>
      <c r="AO1333" s="147">
        <f>AO1331*'Assumptions (Hydro)'!AN30/10^3</f>
        <v>10.958185423119987</v>
      </c>
      <c r="AP1333" s="147">
        <f>AP1331*'Assumptions (Hydro)'!AO30/10^3</f>
        <v>10.269458641639988</v>
      </c>
      <c r="AQ1333" s="147">
        <f>AQ1331*'Assumptions (Hydro)'!AP30/10^3</f>
        <v>9.5263702889999866</v>
      </c>
      <c r="AR1333" s="147">
        <f>AR1331*'Assumptions (Hydro)'!AQ30/10^3</f>
        <v>8.7413951474399862</v>
      </c>
      <c r="AS1333" s="147">
        <f>AS1331*'Assumptions (Hydro)'!AR30/10^3</f>
        <v>7.9181495746133184</v>
      </c>
      <c r="AT1333" s="147">
        <f>AT1331*'Assumptions (Hydro)'!AS30/10^3</f>
        <v>7.0656678776599859</v>
      </c>
      <c r="AU1333" s="147">
        <f>AU1331*'Assumptions (Hydro)'!AT30/10^3</f>
        <v>6.1818326823199854</v>
      </c>
      <c r="AV1333" s="147">
        <f>AV1331*'Assumptions (Hydro)'!AU30/10^3</f>
        <v>5.2588357470333191</v>
      </c>
      <c r="AW1333" s="147">
        <f>AW1331*'Assumptions (Hydro)'!AV30/10^3</f>
        <v>4.2856504449599857</v>
      </c>
      <c r="AX1333" s="147">
        <f>AX1331*'Assumptions (Hydro)'!AW30/10^3</f>
        <v>3.2848830422799868</v>
      </c>
      <c r="AY1333" s="147">
        <f>AY1331*'Assumptions (Hydro)'!AX30/10^3</f>
        <v>2.2688615394266543</v>
      </c>
      <c r="AZ1333" s="147">
        <f>AZ1331*'Assumptions (Hydro)'!AY30/10^3</f>
        <v>1.1646492406666549</v>
      </c>
      <c r="BA1333" s="147">
        <f>BA1331*'Assumptions (Hydro)'!AZ30/10^3</f>
        <v>0</v>
      </c>
    </row>
    <row r="1334" spans="1:53" ht="15.75" customHeight="1">
      <c r="A1334" s="413" t="s">
        <v>38</v>
      </c>
      <c r="B1334" s="99" t="s">
        <v>201</v>
      </c>
      <c r="C1334" s="147">
        <f>C1330*'Assumptions (Hydro)'!B33*'Assumptions (Hydro)'!B32*365/10^9</f>
        <v>0</v>
      </c>
      <c r="D1334" s="147">
        <f>D1330*'Assumptions (Hydro)'!C33*'Assumptions (Hydro)'!C32*365/10^9</f>
        <v>0</v>
      </c>
      <c r="E1334" s="147">
        <f>E1330*'Assumptions (Hydro)'!D33*'Assumptions (Hydro)'!D32*365/10^9</f>
        <v>0</v>
      </c>
      <c r="F1334" s="147">
        <f>F1330*'Assumptions (Hydro)'!E33*'Assumptions (Hydro)'!E32*365/10^9</f>
        <v>0</v>
      </c>
      <c r="G1334" s="147">
        <f>G1330*'Assumptions (Hydro)'!F33*'Assumptions (Hydro)'!F32*365/10^9</f>
        <v>0</v>
      </c>
      <c r="H1334" s="147">
        <f>H1330*'Assumptions (Hydro)'!G33*'Assumptions (Hydro)'!G32*365/10^9</f>
        <v>0</v>
      </c>
      <c r="I1334" s="147">
        <f>I1330*'Assumptions (Hydro)'!H33*'Assumptions (Hydro)'!H32*365/10^9</f>
        <v>0</v>
      </c>
      <c r="J1334" s="147">
        <f>J1330*'Assumptions (Hydro)'!I33*'Assumptions (Hydro)'!I32*365/10^9</f>
        <v>1.1388341274903551</v>
      </c>
      <c r="K1334" s="147">
        <f>K1330*'Assumptions (Hydro)'!J33*'Assumptions (Hydro)'!J32*365/10^9</f>
        <v>1.1581944061631344</v>
      </c>
      <c r="L1334" s="147">
        <f>L1330*'Assumptions (Hydro)'!K33*'Assumptions (Hydro)'!K32*365/10^9</f>
        <v>1.3503067815462653</v>
      </c>
      <c r="M1334" s="147">
        <f>M1330*'Assumptions (Hydro)'!L33*'Assumptions (Hydro)'!L32*365/10^9</f>
        <v>0.94643099967621436</v>
      </c>
      <c r="N1334" s="147">
        <f>N1330*'Assumptions (Hydro)'!M33*'Assumptions (Hydro)'!M32*365/10^9</f>
        <v>0.97636446667821286</v>
      </c>
      <c r="O1334" s="147">
        <f>O1330*'Assumptions (Hydro)'!N33*'Assumptions (Hydro)'!N32*365/10^9</f>
        <v>0.94156245557692297</v>
      </c>
      <c r="P1334" s="147">
        <f>P1330*'Assumptions (Hydro)'!O33*'Assumptions (Hydro)'!O32*365/10^9</f>
        <v>0.81897142164594738</v>
      </c>
      <c r="Q1334" s="147">
        <f>Q1330*'Assumptions (Hydro)'!P33*'Assumptions (Hydro)'!P32*365/10^9</f>
        <v>0.91442642597094004</v>
      </c>
      <c r="R1334" s="147">
        <f>R1330*'Assumptions (Hydro)'!Q33*'Assumptions (Hydro)'!Q32*365/10^9</f>
        <v>0.98102947681370523</v>
      </c>
      <c r="S1334" s="147">
        <f>S1330*'Assumptions (Hydro)'!R33*'Assumptions (Hydro)'!R32*365/10^9</f>
        <v>0.81049074598884252</v>
      </c>
      <c r="T1334" s="147">
        <f>T1330*'Assumptions (Hydro)'!S33*'Assumptions (Hydro)'!S32*365/10^9</f>
        <v>0.86555607955999392</v>
      </c>
      <c r="U1334" s="147">
        <f>U1330*'Assumptions (Hydro)'!T33*'Assumptions (Hydro)'!T32*365/10^9</f>
        <v>0.84732792397726242</v>
      </c>
      <c r="V1334" s="147">
        <f>V1330*'Assumptions (Hydro)'!U33*'Assumptions (Hydro)'!U32*365/10^9</f>
        <v>0.86871318732831482</v>
      </c>
      <c r="W1334" s="147">
        <f>W1330*'Assumptions (Hydro)'!V33*'Assumptions (Hydro)'!V32*365/10^9</f>
        <v>0.88075609600000004</v>
      </c>
      <c r="X1334" s="147">
        <f>X1330*'Assumptions (Hydro)'!W33*'Assumptions (Hydro)'!W32*365/10^9</f>
        <v>0.85785515251928346</v>
      </c>
      <c r="Y1334" s="147">
        <f>Y1330*'Assumptions (Hydro)'!X33*'Assumptions (Hydro)'!X32*365/10^9</f>
        <v>0.83592135506008325</v>
      </c>
      <c r="Z1334" s="147">
        <f>Z1330*'Assumptions (Hydro)'!Y33*'Assumptions (Hydro)'!Y32*365/10^9</f>
        <v>0.8192145602791373</v>
      </c>
      <c r="AA1334" s="147">
        <f>AA1330*'Assumptions (Hydro)'!Z33*'Assumptions (Hydro)'!Z32*365/10^9</f>
        <v>0.80386701434029584</v>
      </c>
      <c r="AB1334" s="147">
        <f>AB1330*'Assumptions (Hydro)'!AA33*'Assumptions (Hydro)'!AA32*365/10^9</f>
        <v>0.79475446366749669</v>
      </c>
      <c r="AC1334" s="147">
        <f>AC1330*'Assumptions (Hydro)'!AB33*'Assumptions (Hydro)'!AB32*365/10^9</f>
        <v>0.77528342962092855</v>
      </c>
      <c r="AD1334" s="147">
        <f>AD1330*'Assumptions (Hydro)'!AC33*'Assumptions (Hydro)'!AC32*365/10^9</f>
        <v>0.757580144672931</v>
      </c>
      <c r="AE1334" s="147">
        <f>AE1330*'Assumptions (Hydro)'!AD33*'Assumptions (Hydro)'!AD32*365/10^9</f>
        <v>0.73736940984015942</v>
      </c>
      <c r="AF1334" s="147">
        <f>AF1330*'Assumptions (Hydro)'!AE33*'Assumptions (Hydro)'!AE32*365/10^9</f>
        <v>0.71681599800222329</v>
      </c>
      <c r="AG1334" s="147">
        <f>AG1330*'Assumptions (Hydro)'!AF33*'Assumptions (Hydro)'!AF32*365/10^9</f>
        <v>0.69528898840903353</v>
      </c>
      <c r="AH1334" s="147">
        <f>AH1330*'Assumptions (Hydro)'!AG33*'Assumptions (Hydro)'!AG32*365/10^9</f>
        <v>0.67370680611427047</v>
      </c>
      <c r="AI1334" s="147">
        <f>AI1330*'Assumptions (Hydro)'!AH33*'Assumptions (Hydro)'!AH32*365/10^9</f>
        <v>0.64828105966065275</v>
      </c>
      <c r="AJ1334" s="147">
        <f>AJ1330*'Assumptions (Hydro)'!AI33*'Assumptions (Hydro)'!AI32*365/10^9</f>
        <v>0.6215575461010362</v>
      </c>
      <c r="AK1334" s="147">
        <f>AK1330*'Assumptions (Hydro)'!AJ33*'Assumptions (Hydro)'!AJ32*365/10^9</f>
        <v>0.59392315324871159</v>
      </c>
      <c r="AL1334" s="147">
        <f>AL1330*'Assumptions (Hydro)'!AK33*'Assumptions (Hydro)'!AK32*365/10^9</f>
        <v>0.56614287856706824</v>
      </c>
      <c r="AM1334" s="147">
        <f>AM1330*'Assumptions (Hydro)'!AL33*'Assumptions (Hydro)'!AL32*365/10^9</f>
        <v>0.53935189855318788</v>
      </c>
      <c r="AN1334" s="147">
        <f>AN1330*'Assumptions (Hydro)'!AM33*'Assumptions (Hydro)'!AM32*365/10^9</f>
        <v>0.51068431589291108</v>
      </c>
      <c r="AO1334" s="147">
        <f>AO1330*'Assumptions (Hydro)'!AN33*'Assumptions (Hydro)'!AN32*365/10^9</f>
        <v>0.48198534805605153</v>
      </c>
      <c r="AP1334" s="147">
        <f>AP1330*'Assumptions (Hydro)'!AO33*'Assumptions (Hydro)'!AO32*365/10^9</f>
        <v>0.45169235659171747</v>
      </c>
      <c r="AQ1334" s="147">
        <f>AQ1330*'Assumptions (Hydro)'!AP33*'Assumptions (Hydro)'!AP32*365/10^9</f>
        <v>0.4190083231998446</v>
      </c>
      <c r="AR1334" s="147">
        <f>AR1330*'Assumptions (Hydro)'!AQ33*'Assumptions (Hydro)'!AQ32*365/10^9</f>
        <v>0.38448193929490576</v>
      </c>
      <c r="AS1334" s="147">
        <f>AS1330*'Assumptions (Hydro)'!AR33*'Assumptions (Hydro)'!AR32*365/10^9</f>
        <v>0.34827226692366642</v>
      </c>
      <c r="AT1334" s="147">
        <f>AT1330*'Assumptions (Hydro)'!AS33*'Assumptions (Hydro)'!AS32*365/10^9</f>
        <v>0.31077667148041277</v>
      </c>
      <c r="AU1334" s="147">
        <f>AU1330*'Assumptions (Hydro)'!AT33*'Assumptions (Hydro)'!AT32*365/10^9</f>
        <v>0.2719020222751386</v>
      </c>
      <c r="AV1334" s="147">
        <f>AV1330*'Assumptions (Hydro)'!AU33*'Assumptions (Hydro)'!AU32*365/10^9</f>
        <v>0.23130488124025458</v>
      </c>
      <c r="AW1334" s="147">
        <f>AW1330*'Assumptions (Hydro)'!AV33*'Assumptions (Hydro)'!AV32*365/10^9</f>
        <v>0.18850025269717419</v>
      </c>
      <c r="AX1334" s="147">
        <f>AX1330*'Assumptions (Hydro)'!AW33*'Assumptions (Hydro)'!AW32*365/10^9</f>
        <v>0.14448245173113289</v>
      </c>
      <c r="AY1334" s="147">
        <f>AY1330*'Assumptions (Hydro)'!AX33*'Assumptions (Hydro)'!AX32*365/10^9</f>
        <v>9.9793713698648659E-2</v>
      </c>
      <c r="AZ1334" s="147">
        <f>AZ1330*'Assumptions (Hydro)'!AY33*'Assumptions (Hydro)'!AY32*365/10^9</f>
        <v>5.1225987510814121E-2</v>
      </c>
      <c r="BA1334" s="147">
        <f>BA1330*'Assumptions (Hydro)'!AZ33*'Assumptions (Hydro)'!AZ32*365/10^9</f>
        <v>0</v>
      </c>
    </row>
    <row r="1335" spans="1:53" ht="15.75" customHeight="1">
      <c r="A1335" s="413" t="s">
        <v>46</v>
      </c>
      <c r="B1335" s="99" t="s">
        <v>152</v>
      </c>
      <c r="C1335" s="20">
        <v>3.6999999999999997</v>
      </c>
      <c r="D1335" s="20">
        <v>132.19999999999999</v>
      </c>
      <c r="E1335" s="20">
        <v>345.1</v>
      </c>
      <c r="F1335" s="20">
        <v>80.799999999999983</v>
      </c>
      <c r="G1335" s="20">
        <v>77.400000000000006</v>
      </c>
      <c r="H1335" s="20">
        <v>25.6</v>
      </c>
      <c r="I1335" s="20">
        <v>20.400000000000002</v>
      </c>
      <c r="J1335" s="20">
        <v>21.599999999999998</v>
      </c>
      <c r="K1335" s="20">
        <v>23.1</v>
      </c>
      <c r="L1335" s="20">
        <v>11.500000000000002</v>
      </c>
      <c r="M1335" s="20">
        <v>20.800000000000004</v>
      </c>
      <c r="N1335" s="20">
        <v>160.80000000000001</v>
      </c>
      <c r="O1335" s="20">
        <v>394</v>
      </c>
      <c r="P1335" s="20">
        <v>425.50000000000006</v>
      </c>
      <c r="Q1335" s="20">
        <v>149.09999999999997</v>
      </c>
      <c r="R1335" s="20">
        <v>135.80000000000001</v>
      </c>
      <c r="S1335" s="20">
        <v>373</v>
      </c>
      <c r="T1335" s="20">
        <v>207.60000000000002</v>
      </c>
      <c r="U1335" s="20">
        <v>150.39999999999998</v>
      </c>
      <c r="V1335" s="20">
        <v>114.19999999999999</v>
      </c>
      <c r="W1335" s="90">
        <f>IF(W1330-V1330+'Assumptions (Hydro)'!V36&gt;0,W1330-V1330+'Assumptions (Hydro)'!V36,0)</f>
        <v>0</v>
      </c>
      <c r="X1335" s="90">
        <f>IF(X1330-W1330+'Assumptions (Hydro)'!W36&gt;0,X1330-W1330+'Assumptions (Hydro)'!W36,0)</f>
        <v>3825.8333333333321</v>
      </c>
      <c r="Y1335" s="90">
        <f>IF(Y1330-X1330+'Assumptions (Hydro)'!X36&gt;0,Y1330-X1330+'Assumptions (Hydro)'!X36,0)</f>
        <v>0</v>
      </c>
      <c r="Z1335" s="90">
        <f>IF(Z1330-Y1330+'Assumptions (Hydro)'!Y36&gt;0,Z1330-Y1330+'Assumptions (Hydro)'!Y36,0)</f>
        <v>0</v>
      </c>
      <c r="AA1335" s="90">
        <f>IF(AA1330-Z1330+'Assumptions (Hydro)'!Z36&gt;0,AA1330-Z1330+'Assumptions (Hydro)'!Z36,0)</f>
        <v>0</v>
      </c>
      <c r="AB1335" s="90">
        <f>IF(AB1330-AA1330+'Assumptions (Hydro)'!AA36&gt;0,AB1330-AA1330+'Assumptions (Hydro)'!AA36,0)</f>
        <v>0</v>
      </c>
      <c r="AC1335" s="90">
        <f>IF(AC1330-AB1330+'Assumptions (Hydro)'!AB36&gt;0,AC1330-AB1330+'Assumptions (Hydro)'!AB36,0)</f>
        <v>0</v>
      </c>
      <c r="AD1335" s="90">
        <f>IF(AD1330-AC1330+'Assumptions (Hydro)'!AC36&gt;0,AD1330-AC1330+'Assumptions (Hydro)'!AC36,0)</f>
        <v>0</v>
      </c>
      <c r="AE1335" s="90">
        <f>IF(AE1330-AD1330+'Assumptions (Hydro)'!AD36&gt;0,AE1330-AD1330+'Assumptions (Hydro)'!AD36,0)</f>
        <v>0</v>
      </c>
      <c r="AF1335" s="90">
        <f>IF(AF1330-AE1330+'Assumptions (Hydro)'!AE36&gt;0,AF1330-AE1330+'Assumptions (Hydro)'!AE36,0)</f>
        <v>0</v>
      </c>
      <c r="AG1335" s="90">
        <f>IF(AG1330-AF1330+'Assumptions (Hydro)'!AF36&gt;0,AG1330-AF1330+'Assumptions (Hydro)'!AF36,0)</f>
        <v>0</v>
      </c>
      <c r="AH1335" s="90">
        <f>IF(AH1330-AG1330+'Assumptions (Hydro)'!AG36&gt;0,AH1330-AG1330+'Assumptions (Hydro)'!AG36,0)</f>
        <v>0</v>
      </c>
      <c r="AI1335" s="90">
        <f>IF(AI1330-AH1330+'Assumptions (Hydro)'!AH36&gt;0,AI1330-AH1330+'Assumptions (Hydro)'!AH36,0)</f>
        <v>0</v>
      </c>
      <c r="AJ1335" s="90">
        <f>IF(AJ1330-AI1330+'Assumptions (Hydro)'!AI36&gt;0,AJ1330-AI1330+'Assumptions (Hydro)'!AI36,0)</f>
        <v>0</v>
      </c>
      <c r="AK1335" s="90">
        <f>IF(AK1330-AJ1330+'Assumptions (Hydro)'!AJ36&gt;0,AK1330-AJ1330+'Assumptions (Hydro)'!AJ36,0)</f>
        <v>0</v>
      </c>
      <c r="AL1335" s="90">
        <f>IF(AL1330-AK1330+'Assumptions (Hydro)'!AK36&gt;0,AL1330-AK1330+'Assumptions (Hydro)'!AK36,0)</f>
        <v>0</v>
      </c>
      <c r="AM1335" s="90">
        <f>IF(AM1330-AL1330+'Assumptions (Hydro)'!AL36&gt;0,AM1330-AL1330+'Assumptions (Hydro)'!AL36,0)</f>
        <v>0</v>
      </c>
      <c r="AN1335" s="90">
        <f>IF(AN1330-AM1330+'Assumptions (Hydro)'!AM36&gt;0,AN1330-AM1330+'Assumptions (Hydro)'!AM36,0)</f>
        <v>0</v>
      </c>
      <c r="AO1335" s="90">
        <f>IF(AO1330-AN1330+'Assumptions (Hydro)'!AN36&gt;0,AO1330-AN1330+'Assumptions (Hydro)'!AN36,0)</f>
        <v>0</v>
      </c>
      <c r="AP1335" s="90">
        <f>IF(AP1330-AO1330+'Assumptions (Hydro)'!AO36&gt;0,AP1330-AO1330+'Assumptions (Hydro)'!AO36,0)</f>
        <v>0</v>
      </c>
      <c r="AQ1335" s="90">
        <f>IF(AQ1330-AP1330+'Assumptions (Hydro)'!AP36&gt;0,AQ1330-AP1330+'Assumptions (Hydro)'!AP36,0)</f>
        <v>0</v>
      </c>
      <c r="AR1335" s="90">
        <f>IF(AR1330-AQ1330+'Assumptions (Hydro)'!AQ36&gt;0,AR1330-AQ1330+'Assumptions (Hydro)'!AQ36,0)</f>
        <v>0</v>
      </c>
      <c r="AS1335" s="90">
        <f>IF(AS1330-AR1330+'Assumptions (Hydro)'!AR36&gt;0,AS1330-AR1330+'Assumptions (Hydro)'!AR36,0)</f>
        <v>0</v>
      </c>
      <c r="AT1335" s="90">
        <f>IF(AT1330-AS1330+'Assumptions (Hydro)'!AS36&gt;0,AT1330-AS1330+'Assumptions (Hydro)'!AS36,0)</f>
        <v>0</v>
      </c>
      <c r="AU1335" s="90">
        <f>IF(AU1330-AT1330+'Assumptions (Hydro)'!AT36&gt;0,AU1330-AT1330+'Assumptions (Hydro)'!AT36,0)</f>
        <v>0</v>
      </c>
      <c r="AV1335" s="90">
        <f>IF(AV1330-AU1330+'Assumptions (Hydro)'!AU36&gt;0,AV1330-AU1330+'Assumptions (Hydro)'!AU36,0)</f>
        <v>0</v>
      </c>
      <c r="AW1335" s="90">
        <f>IF(AW1330-AV1330+'Assumptions (Hydro)'!AV36&gt;0,AW1330-AV1330+'Assumptions (Hydro)'!AV36,0)</f>
        <v>0</v>
      </c>
      <c r="AX1335" s="90">
        <f>IF(AX1330-AW1330+'Assumptions (Hydro)'!AW36&gt;0,AX1330-AW1330+'Assumptions (Hydro)'!AW36,0)</f>
        <v>0</v>
      </c>
      <c r="AY1335" s="90">
        <f>IF(AY1330-AX1330+'Assumptions (Hydro)'!AX36&gt;0,AY1330-AX1330+'Assumptions (Hydro)'!AX36,0)</f>
        <v>0</v>
      </c>
      <c r="AZ1335" s="90">
        <f>IF(AZ1330-AY1330+'Assumptions (Hydro)'!AY36&gt;0,AZ1330-AY1330+'Assumptions (Hydro)'!AY36,0)</f>
        <v>0</v>
      </c>
      <c r="BA1335" s="90">
        <f>IF(BA1330-AZ1330+'Assumptions (Hydro)'!AZ36&gt;0,BA1330-AZ1330+'Assumptions (Hydro)'!AZ36,0)</f>
        <v>46.333333333378505</v>
      </c>
    </row>
    <row r="1336" spans="1:53" ht="15.75" customHeight="1">
      <c r="A1336" s="413" t="s">
        <v>48</v>
      </c>
      <c r="B1336" s="99" t="s">
        <v>153</v>
      </c>
      <c r="C1336" s="20"/>
      <c r="D1336" s="20"/>
      <c r="E1336" s="20"/>
      <c r="F1336" s="20"/>
      <c r="G1336" s="20"/>
      <c r="H1336" s="20"/>
      <c r="I1336" s="20"/>
      <c r="J1336" s="20"/>
      <c r="K1336" s="20"/>
      <c r="L1336" s="20"/>
      <c r="M1336" s="20"/>
      <c r="N1336" s="20"/>
      <c r="O1336" s="20"/>
      <c r="P1336" s="20"/>
      <c r="Q1336" s="20"/>
      <c r="R1336" s="20"/>
      <c r="S1336" s="20"/>
      <c r="T1336" s="20"/>
      <c r="U1336" s="20"/>
      <c r="V1336" s="99"/>
      <c r="W1336" s="90"/>
      <c r="X1336" s="90">
        <f>IF(W1335='Assumptions (Hydro)'!$V$11,Model!X1331-Model!X1330*'Assumptions (Hydro)'!V$15*0.00876,0)</f>
        <v>0</v>
      </c>
      <c r="Y1336" s="90">
        <f>IF(X1335='Assumptions (Hydro)'!$V$11,Model!Y1331-Model!Y1330*'Assumptions (Hydro)'!W$15*0.00876,0)</f>
        <v>0</v>
      </c>
      <c r="Z1336" s="90">
        <f>IF(Y1335='Assumptions (Hydro)'!$V$11,Model!Z1331-Model!Z1330*'Assumptions (Hydro)'!X$15*0.00876,0)</f>
        <v>0</v>
      </c>
      <c r="AA1336" s="90">
        <f>IF(Z1335='Assumptions (Hydro)'!$V$11,Model!AA1331-Model!AA1330*'Assumptions (Hydro)'!Y$15*0.00876,0)</f>
        <v>0</v>
      </c>
      <c r="AB1336" s="90">
        <f>IF(AA1335='Assumptions (Hydro)'!$V$11,Model!AB1331-Model!AB1330*'Assumptions (Hydro)'!Z$15*0.00876,0)</f>
        <v>0</v>
      </c>
      <c r="AC1336" s="90">
        <f>IF(AB1335='Assumptions (Hydro)'!$V$11,Model!AC1331-Model!AC1330*'Assumptions (Hydro)'!AA$15*0.00876,0)</f>
        <v>0</v>
      </c>
      <c r="AD1336" s="90">
        <f>IF(AC1335='Assumptions (Hydro)'!$V$11,Model!AD1331-Model!AD1330*'Assumptions (Hydro)'!AB$15*0.00876,0)</f>
        <v>0</v>
      </c>
      <c r="AE1336" s="90">
        <f>IF(AD1335='Assumptions (Hydro)'!$V$11,Model!AE1331-Model!AE1330*'Assumptions (Hydro)'!AC$15*0.00876,0)</f>
        <v>0</v>
      </c>
      <c r="AF1336" s="90">
        <f>IF(AE1335='Assumptions (Hydro)'!$V$11,Model!AF1331-Model!AF1330*'Assumptions (Hydro)'!AD$15*0.00876,0)</f>
        <v>0</v>
      </c>
      <c r="AG1336" s="90">
        <f>IF(AF1335='Assumptions (Hydro)'!$V$11,Model!AG1331-Model!AG1330*'Assumptions (Hydro)'!AE$15*0.00876,0)</f>
        <v>0</v>
      </c>
      <c r="AH1336" s="90">
        <f>IF(AG1335='Assumptions (Hydro)'!$V$11,Model!AH1331-Model!AH1330*'Assumptions (Hydro)'!AF$15*0.00876,0)</f>
        <v>0</v>
      </c>
      <c r="AI1336" s="90">
        <f>IF(AH1335='Assumptions (Hydro)'!$V$11,Model!AI1331-Model!AI1330*'Assumptions (Hydro)'!AG$15*0.00876,0)</f>
        <v>0</v>
      </c>
      <c r="AJ1336" s="90">
        <f>IF(AI1335='Assumptions (Hydro)'!$V$11,Model!AJ1331-Model!AJ1330*'Assumptions (Hydro)'!AH$15*0.00876,0)</f>
        <v>0</v>
      </c>
      <c r="AK1336" s="90">
        <f>IF(AJ1335='Assumptions (Hydro)'!$V$11,Model!AK1331-Model!AK1330*'Assumptions (Hydro)'!AI$15*0.00876,0)</f>
        <v>0</v>
      </c>
      <c r="AL1336" s="90">
        <f>IF(AK1335='Assumptions (Hydro)'!$V$11,Model!AL1331-Model!AL1330*'Assumptions (Hydro)'!AJ$15*0.00876,0)</f>
        <v>0</v>
      </c>
      <c r="AM1336" s="90">
        <f>IF(AL1335='Assumptions (Hydro)'!$V$11,Model!AM1331-Model!AM1330*'Assumptions (Hydro)'!AK$15*0.00876,0)</f>
        <v>0</v>
      </c>
      <c r="AN1336" s="90">
        <f>IF(AM1335='Assumptions (Hydro)'!$V$11,Model!AN1331-Model!AN1330*'Assumptions (Hydro)'!AL$15*0.00876,0)</f>
        <v>0</v>
      </c>
      <c r="AO1336" s="90">
        <f>IF(AN1335='Assumptions (Hydro)'!$V$11,Model!AO1331-Model!AO1330*'Assumptions (Hydro)'!AM$15*0.00876,0)</f>
        <v>0</v>
      </c>
      <c r="AP1336" s="90">
        <f>IF(AO1335='Assumptions (Hydro)'!$V$11,Model!AP1331-Model!AP1330*'Assumptions (Hydro)'!AN$15*0.00876,0)</f>
        <v>0</v>
      </c>
      <c r="AQ1336" s="90">
        <f>IF(AP1335='Assumptions (Hydro)'!$V$11,Model!AQ1331-Model!AQ1330*'Assumptions (Hydro)'!AO$15*0.00876,0)</f>
        <v>0</v>
      </c>
      <c r="AR1336" s="90">
        <f>IF(AQ1335='Assumptions (Hydro)'!$V$11,Model!AR1331-Model!AR1330*'Assumptions (Hydro)'!AP$15*0.00876,0)</f>
        <v>0</v>
      </c>
      <c r="AS1336" s="90">
        <f>IF(AR1335='Assumptions (Hydro)'!$V$11,Model!AS1331-Model!AS1330*'Assumptions (Hydro)'!AQ$15*0.00876,0)</f>
        <v>0</v>
      </c>
      <c r="AT1336" s="90">
        <f>IF(AS1335='Assumptions (Hydro)'!$V$11,Model!AT1331-Model!AT1330*'Assumptions (Hydro)'!AR$15*0.00876,0)</f>
        <v>0</v>
      </c>
      <c r="AU1336" s="90">
        <f>IF(AT1335='Assumptions (Hydro)'!$V$11,Model!AU1331-Model!AU1330*'Assumptions (Hydro)'!AS$15*0.00876,0)</f>
        <v>0</v>
      </c>
      <c r="AV1336" s="90">
        <f>IF(AU1335='Assumptions (Hydro)'!$V$11,Model!AV1331-Model!AV1330*'Assumptions (Hydro)'!AT$15*0.00876,0)</f>
        <v>0</v>
      </c>
      <c r="AW1336" s="90">
        <f>IF(AV1335='Assumptions (Hydro)'!$V$11,Model!AW1331-Model!AW1330*'Assumptions (Hydro)'!AU$15*0.00876,0)</f>
        <v>0</v>
      </c>
      <c r="AX1336" s="90">
        <f>IF(AW1335='Assumptions (Hydro)'!$V$11,Model!AX1331-Model!AX1330*'Assumptions (Hydro)'!AV$15*0.00876,0)</f>
        <v>0</v>
      </c>
      <c r="AY1336" s="90">
        <f>IF(AX1335='Assumptions (Hydro)'!$V$11,Model!AY1331-Model!AY1330*'Assumptions (Hydro)'!AW$15*0.00876,0)</f>
        <v>0</v>
      </c>
      <c r="AZ1336" s="90">
        <f>IF(AY1335='Assumptions (Hydro)'!$V$11,Model!AZ1331-Model!AZ1330*'Assumptions (Hydro)'!AX$15*0.00876,0)</f>
        <v>0</v>
      </c>
      <c r="BA1336" s="90">
        <f>IF(AZ1335='Assumptions (Hydro)'!$V$11,Model!BA1331-Model!BA1330*'Assumptions (Hydro)'!AY$15*0.00876,0)</f>
        <v>0</v>
      </c>
    </row>
    <row r="1337" spans="1:53" ht="15.75" customHeight="1">
      <c r="A1337" s="414" t="s">
        <v>290</v>
      </c>
      <c r="B1337" s="99" t="s">
        <v>201</v>
      </c>
      <c r="C1337" s="91">
        <f t="shared" ref="C1337:BA1337" si="34">SUM(C1338:C1388)</f>
        <v>0.7662614457830953</v>
      </c>
      <c r="D1337" s="91">
        <f t="shared" si="34"/>
        <v>0.33373426094501102</v>
      </c>
      <c r="E1337" s="91">
        <f t="shared" si="34"/>
        <v>0.12431385715264634</v>
      </c>
      <c r="F1337" s="91">
        <f t="shared" si="34"/>
        <v>8.5131319761095142E-2</v>
      </c>
      <c r="G1337" s="91">
        <f t="shared" si="34"/>
        <v>4.7568677148841436E-2</v>
      </c>
      <c r="H1337" s="91">
        <f t="shared" si="34"/>
        <v>4.6725670118895987E-2</v>
      </c>
      <c r="I1337" s="91">
        <f t="shared" si="34"/>
        <v>4.1144428784878548E-2</v>
      </c>
      <c r="J1337" s="91">
        <f t="shared" si="34"/>
        <v>4.1369917825194259E-2</v>
      </c>
      <c r="K1337" s="91">
        <f t="shared" si="34"/>
        <v>0.14708125910985401</v>
      </c>
      <c r="L1337" s="91">
        <f t="shared" si="34"/>
        <v>0.44719405592182598</v>
      </c>
      <c r="M1337" s="91">
        <f t="shared" si="34"/>
        <v>0.77684506546311571</v>
      </c>
      <c r="N1337" s="91">
        <f t="shared" si="34"/>
        <v>0.78292479140643212</v>
      </c>
      <c r="O1337" s="91">
        <f t="shared" si="34"/>
        <v>0.58570469466387765</v>
      </c>
      <c r="P1337" s="91">
        <f t="shared" si="34"/>
        <v>0.55326832909875057</v>
      </c>
      <c r="Q1337" s="91">
        <f t="shared" si="34"/>
        <v>0.61451384645944951</v>
      </c>
      <c r="R1337" s="91">
        <f t="shared" si="34"/>
        <v>0.63957818843815573</v>
      </c>
      <c r="S1337" s="91">
        <f t="shared" si="34"/>
        <v>0.42140765662394952</v>
      </c>
      <c r="T1337" s="91">
        <f t="shared" si="34"/>
        <v>0.24086098107062892</v>
      </c>
      <c r="U1337" s="91">
        <f t="shared" si="34"/>
        <v>3.6582777777777773</v>
      </c>
      <c r="V1337" s="91">
        <f t="shared" si="34"/>
        <v>3.623289215686273</v>
      </c>
      <c r="W1337" s="91">
        <f t="shared" si="34"/>
        <v>3.6957549999999992</v>
      </c>
      <c r="X1337" s="91">
        <f t="shared" si="34"/>
        <v>0</v>
      </c>
      <c r="Y1337" s="91">
        <f t="shared" si="34"/>
        <v>0</v>
      </c>
      <c r="Z1337" s="91">
        <f t="shared" si="34"/>
        <v>0</v>
      </c>
      <c r="AA1337" s="91">
        <f t="shared" si="34"/>
        <v>0</v>
      </c>
      <c r="AB1337" s="91">
        <f t="shared" si="34"/>
        <v>0</v>
      </c>
      <c r="AC1337" s="91">
        <f t="shared" si="34"/>
        <v>0</v>
      </c>
      <c r="AD1337" s="91">
        <f t="shared" si="34"/>
        <v>0</v>
      </c>
      <c r="AE1337" s="91">
        <f t="shared" si="34"/>
        <v>0</v>
      </c>
      <c r="AF1337" s="91">
        <f t="shared" si="34"/>
        <v>0</v>
      </c>
      <c r="AG1337" s="91">
        <f t="shared" si="34"/>
        <v>0</v>
      </c>
      <c r="AH1337" s="91">
        <f t="shared" si="34"/>
        <v>0</v>
      </c>
      <c r="AI1337" s="91">
        <f t="shared" si="34"/>
        <v>0</v>
      </c>
      <c r="AJ1337" s="91">
        <f t="shared" si="34"/>
        <v>0</v>
      </c>
      <c r="AK1337" s="91">
        <f t="shared" si="34"/>
        <v>0</v>
      </c>
      <c r="AL1337" s="91">
        <f t="shared" si="34"/>
        <v>0</v>
      </c>
      <c r="AM1337" s="91">
        <f t="shared" si="34"/>
        <v>0</v>
      </c>
      <c r="AN1337" s="91">
        <f t="shared" si="34"/>
        <v>0</v>
      </c>
      <c r="AO1337" s="91">
        <f t="shared" si="34"/>
        <v>0</v>
      </c>
      <c r="AP1337" s="91">
        <f t="shared" si="34"/>
        <v>0</v>
      </c>
      <c r="AQ1337" s="91">
        <f t="shared" si="34"/>
        <v>0</v>
      </c>
      <c r="AR1337" s="91">
        <f t="shared" si="34"/>
        <v>0</v>
      </c>
      <c r="AS1337" s="91">
        <f t="shared" si="34"/>
        <v>0</v>
      </c>
      <c r="AT1337" s="91">
        <f t="shared" si="34"/>
        <v>0</v>
      </c>
      <c r="AU1337" s="91">
        <f t="shared" si="34"/>
        <v>0</v>
      </c>
      <c r="AV1337" s="91">
        <f t="shared" si="34"/>
        <v>0</v>
      </c>
      <c r="AW1337" s="91">
        <f t="shared" si="34"/>
        <v>0</v>
      </c>
      <c r="AX1337" s="91">
        <f t="shared" si="34"/>
        <v>7.6396824921577094E-2</v>
      </c>
      <c r="AY1337" s="91">
        <f t="shared" si="34"/>
        <v>7.7924761420008648E-2</v>
      </c>
      <c r="AZ1337" s="91">
        <f t="shared" si="34"/>
        <v>7.9483256648408829E-2</v>
      </c>
      <c r="BA1337" s="91">
        <f t="shared" si="34"/>
        <v>0</v>
      </c>
    </row>
    <row r="1338" spans="1:53" ht="15.75" hidden="1" customHeight="1" outlineLevel="1">
      <c r="A1338" s="413"/>
      <c r="B1338" s="99"/>
      <c r="C1338" s="91">
        <f>IF($C$1335&gt;0,3*'Assumptions (Hydro)'!$V$13*Model!$C$1335*'Assumptions (Hydro)'!B$2/10^9,0)</f>
        <v>7.2160024163844556E-3</v>
      </c>
      <c r="D1338" s="105"/>
      <c r="E1338" s="105"/>
      <c r="F1338" s="105"/>
      <c r="G1338" s="105"/>
      <c r="H1338" s="105"/>
      <c r="I1338" s="105"/>
      <c r="J1338" s="105"/>
      <c r="K1338" s="105"/>
      <c r="L1338" s="105"/>
      <c r="M1338" s="105"/>
      <c r="N1338" s="105"/>
      <c r="O1338" s="105"/>
      <c r="P1338" s="105"/>
      <c r="Q1338" s="105"/>
      <c r="R1338" s="105"/>
      <c r="S1338" s="105"/>
      <c r="T1338" s="105"/>
      <c r="U1338" s="105"/>
      <c r="V1338" s="105"/>
      <c r="W1338" s="105"/>
      <c r="X1338" s="105"/>
      <c r="Y1338" s="105"/>
      <c r="Z1338" s="105"/>
      <c r="AA1338" s="105"/>
      <c r="AB1338" s="105"/>
      <c r="AC1338" s="105"/>
      <c r="AD1338" s="105"/>
      <c r="AE1338" s="105"/>
      <c r="AF1338" s="105"/>
      <c r="AG1338" s="105"/>
      <c r="AH1338" s="105"/>
      <c r="AI1338" s="105"/>
      <c r="AJ1338" s="105"/>
      <c r="AK1338" s="105"/>
      <c r="AL1338" s="105"/>
      <c r="AM1338" s="105"/>
      <c r="AN1338" s="105"/>
      <c r="AO1338" s="105"/>
      <c r="AP1338" s="105"/>
      <c r="AQ1338" s="105"/>
      <c r="AR1338" s="105"/>
      <c r="AS1338" s="105"/>
      <c r="AT1338" s="105"/>
      <c r="AU1338" s="105"/>
      <c r="AV1338" s="105"/>
      <c r="AW1338" s="105"/>
      <c r="AX1338" s="105"/>
      <c r="AY1338" s="105"/>
      <c r="AZ1338" s="105"/>
      <c r="BA1338" s="105"/>
    </row>
    <row r="1339" spans="1:53" ht="15.75" hidden="1" customHeight="1" outlineLevel="1">
      <c r="A1339" s="413"/>
      <c r="B1339" s="99"/>
      <c r="C1339" s="91">
        <f>IF($D$1335&gt;0,3*'Assumptions (Hydro)'!$V$13*Model!$D$1335*'Assumptions (Hydro)'!B$2/10^9,0)</f>
        <v>0.2578258160664933</v>
      </c>
      <c r="D1339" s="91"/>
      <c r="E1339" s="91"/>
      <c r="F1339" s="91"/>
      <c r="G1339" s="91"/>
      <c r="H1339" s="91"/>
      <c r="I1339" s="91"/>
      <c r="J1339" s="91"/>
      <c r="K1339" s="91"/>
      <c r="L1339" s="91"/>
      <c r="M1339" s="105"/>
      <c r="N1339" s="105"/>
      <c r="O1339" s="105"/>
      <c r="P1339" s="105"/>
      <c r="Q1339" s="105"/>
      <c r="R1339" s="105"/>
      <c r="S1339" s="105"/>
      <c r="T1339" s="105"/>
      <c r="U1339" s="105"/>
      <c r="V1339" s="105"/>
      <c r="W1339" s="105"/>
      <c r="X1339" s="105"/>
      <c r="Y1339" s="105"/>
      <c r="Z1339" s="105"/>
      <c r="AA1339" s="105"/>
      <c r="AB1339" s="105"/>
      <c r="AC1339" s="105"/>
      <c r="AD1339" s="105"/>
      <c r="AE1339" s="105"/>
      <c r="AF1339" s="105"/>
      <c r="AG1339" s="105"/>
      <c r="AH1339" s="105"/>
      <c r="AI1339" s="105"/>
      <c r="AJ1339" s="105"/>
      <c r="AK1339" s="105"/>
      <c r="AL1339" s="105"/>
      <c r="AM1339" s="105"/>
      <c r="AN1339" s="105"/>
      <c r="AO1339" s="105"/>
      <c r="AP1339" s="105"/>
      <c r="AQ1339" s="105"/>
      <c r="AR1339" s="105"/>
      <c r="AS1339" s="105"/>
      <c r="AT1339" s="105"/>
      <c r="AU1339" s="105"/>
      <c r="AV1339" s="105"/>
      <c r="AW1339" s="105"/>
      <c r="AX1339" s="105"/>
      <c r="AY1339" s="105"/>
      <c r="AZ1339" s="105"/>
      <c r="BA1339" s="105"/>
    </row>
    <row r="1340" spans="1:53" ht="15.75" hidden="1" customHeight="1" outlineLevel="1">
      <c r="A1340" s="413"/>
      <c r="B1340" s="99"/>
      <c r="C1340" s="91">
        <f>IF($E$1335&gt;0,2*'Assumptions (Hydro)'!$V$13*Model!$E$1335*'Assumptions (Hydro)'!B$2/10^9,0)</f>
        <v>0.44869233043140105</v>
      </c>
      <c r="D1340" s="91">
        <f>IF($E$1335&gt;0,'Assumptions (Hydro)'!$V$13*Model!$E$1335*'Assumptions (Hydro)'!C$2/10^9,0)</f>
        <v>0.22883308852001455</v>
      </c>
      <c r="E1340" s="91"/>
      <c r="F1340" s="91"/>
      <c r="G1340" s="91"/>
      <c r="H1340" s="91"/>
      <c r="I1340" s="91"/>
      <c r="J1340" s="91"/>
      <c r="K1340" s="91"/>
      <c r="L1340" s="91"/>
      <c r="M1340" s="105"/>
      <c r="N1340" s="105"/>
      <c r="O1340" s="105"/>
      <c r="P1340" s="105"/>
      <c r="Q1340" s="105"/>
      <c r="R1340" s="105"/>
      <c r="S1340" s="105"/>
      <c r="T1340" s="105"/>
      <c r="U1340" s="105"/>
      <c r="V1340" s="105"/>
      <c r="W1340" s="105"/>
      <c r="X1340" s="105"/>
      <c r="Y1340" s="105"/>
      <c r="Z1340" s="105"/>
      <c r="AA1340" s="105"/>
      <c r="AB1340" s="105"/>
      <c r="AC1340" s="105"/>
      <c r="AD1340" s="105"/>
      <c r="AE1340" s="105"/>
      <c r="AF1340" s="105"/>
      <c r="AG1340" s="105"/>
      <c r="AH1340" s="105"/>
      <c r="AI1340" s="105"/>
      <c r="AJ1340" s="105"/>
      <c r="AK1340" s="105"/>
      <c r="AL1340" s="105"/>
      <c r="AM1340" s="105"/>
      <c r="AN1340" s="105"/>
      <c r="AO1340" s="105"/>
      <c r="AP1340" s="105"/>
      <c r="AQ1340" s="105"/>
      <c r="AR1340" s="105"/>
      <c r="AS1340" s="105"/>
      <c r="AT1340" s="105"/>
      <c r="AU1340" s="105"/>
      <c r="AV1340" s="105"/>
      <c r="AW1340" s="105"/>
      <c r="AX1340" s="105"/>
      <c r="AY1340" s="105"/>
      <c r="AZ1340" s="105"/>
      <c r="BA1340" s="105"/>
    </row>
    <row r="1341" spans="1:53" ht="15.75" hidden="1" customHeight="1" outlineLevel="1">
      <c r="A1341" s="413"/>
      <c r="B1341" s="99"/>
      <c r="C1341" s="91">
        <f>IF($F$1335&gt;0,'Assumptions (Hydro)'!$V$13*Model!$F$1335*'Assumptions (Hydro)'!B$2/10^9,0)</f>
        <v>5.2527296868816568E-2</v>
      </c>
      <c r="D1341" s="91">
        <f>IF($F$1335&gt;0,'Assumptions (Hydro)'!$V$13*Model!$F$1335*'Assumptions (Hydro)'!C$2/10^9,0)</f>
        <v>5.3577842806192905E-2</v>
      </c>
      <c r="E1341" s="91">
        <f>IF($F$1335&gt;0,'Assumptions (Hydro)'!$V$13*Model!$F$1335*'Assumptions (Hydro)'!D$2/10^9,0)</f>
        <v>5.4649399662316765E-2</v>
      </c>
      <c r="F1341" s="91"/>
      <c r="G1341" s="91"/>
      <c r="H1341" s="91"/>
      <c r="I1341" s="91"/>
      <c r="J1341" s="91"/>
      <c r="K1341" s="91"/>
      <c r="L1341" s="91"/>
      <c r="M1341" s="105"/>
      <c r="N1341" s="105"/>
      <c r="O1341" s="105"/>
      <c r="P1341" s="105"/>
      <c r="Q1341" s="105"/>
      <c r="R1341" s="105"/>
      <c r="S1341" s="105"/>
      <c r="T1341" s="105"/>
      <c r="U1341" s="105"/>
      <c r="V1341" s="105"/>
      <c r="W1341" s="105"/>
      <c r="X1341" s="105"/>
      <c r="Y1341" s="105"/>
      <c r="Z1341" s="105"/>
      <c r="AA1341" s="105"/>
      <c r="AB1341" s="105"/>
      <c r="AC1341" s="105"/>
      <c r="AD1341" s="105"/>
      <c r="AE1341" s="105"/>
      <c r="AF1341" s="105"/>
      <c r="AG1341" s="105"/>
      <c r="AH1341" s="105"/>
      <c r="AI1341" s="105"/>
      <c r="AJ1341" s="105"/>
      <c r="AK1341" s="105"/>
      <c r="AL1341" s="105"/>
      <c r="AM1341" s="105"/>
      <c r="AN1341" s="105"/>
      <c r="AO1341" s="105"/>
      <c r="AP1341" s="105"/>
      <c r="AQ1341" s="105"/>
      <c r="AR1341" s="105"/>
      <c r="AS1341" s="105"/>
      <c r="AT1341" s="105"/>
      <c r="AU1341" s="105"/>
      <c r="AV1341" s="105"/>
      <c r="AW1341" s="105"/>
      <c r="AX1341" s="105"/>
      <c r="AY1341" s="105"/>
      <c r="AZ1341" s="105"/>
      <c r="BA1341" s="105"/>
    </row>
    <row r="1342" spans="1:53" ht="15.75" hidden="1" customHeight="1" outlineLevel="1">
      <c r="A1342" s="413"/>
      <c r="B1342" s="99"/>
      <c r="C1342" s="91"/>
      <c r="D1342" s="91">
        <f>IF($G$1335&gt;0,'Assumptions (Hydro)'!$V$13*Model!$G$1335*'Assumptions (Hydro)'!C$2/10^9,0)</f>
        <v>5.1323329618803613E-2</v>
      </c>
      <c r="E1342" s="91">
        <f>IF($G$1335&gt;0,'Assumptions (Hydro)'!$V$13*Model!$G$1335*'Assumptions (Hydro)'!D$2/10^9,0)</f>
        <v>5.2349796211179689E-2</v>
      </c>
      <c r="F1342" s="91">
        <f>IF($G$1335&gt;0,'Assumptions (Hydro)'!$V$13*Model!$G$1335*'Assumptions (Hydro)'!E$2/10^9,0)</f>
        <v>5.3396792135403284E-2</v>
      </c>
      <c r="G1342" s="91"/>
      <c r="H1342" s="91"/>
      <c r="I1342" s="91"/>
      <c r="J1342" s="91"/>
      <c r="K1342" s="91"/>
      <c r="L1342" s="91"/>
      <c r="M1342" s="105"/>
      <c r="N1342" s="105"/>
      <c r="O1342" s="105"/>
      <c r="P1342" s="105"/>
      <c r="Q1342" s="105"/>
      <c r="R1342" s="105"/>
      <c r="S1342" s="105"/>
      <c r="T1342" s="105"/>
      <c r="U1342" s="105"/>
      <c r="V1342" s="105"/>
      <c r="W1342" s="105"/>
      <c r="X1342" s="105"/>
      <c r="Y1342" s="105"/>
      <c r="Z1342" s="105"/>
      <c r="AA1342" s="105"/>
      <c r="AB1342" s="105"/>
      <c r="AC1342" s="105"/>
      <c r="AD1342" s="105"/>
      <c r="AE1342" s="105"/>
      <c r="AF1342" s="105"/>
      <c r="AG1342" s="105"/>
      <c r="AH1342" s="105"/>
      <c r="AI1342" s="105"/>
      <c r="AJ1342" s="105"/>
      <c r="AK1342" s="105"/>
      <c r="AL1342" s="105"/>
      <c r="AM1342" s="105"/>
      <c r="AN1342" s="105"/>
      <c r="AO1342" s="105"/>
      <c r="AP1342" s="105"/>
      <c r="AQ1342" s="105"/>
      <c r="AR1342" s="105"/>
      <c r="AS1342" s="105"/>
      <c r="AT1342" s="105"/>
      <c r="AU1342" s="105"/>
      <c r="AV1342" s="105"/>
      <c r="AW1342" s="105"/>
      <c r="AX1342" s="105"/>
      <c r="AY1342" s="105"/>
      <c r="AZ1342" s="105"/>
      <c r="BA1342" s="105"/>
    </row>
    <row r="1343" spans="1:53" ht="15.75" hidden="1" customHeight="1" outlineLevel="1">
      <c r="A1343" s="413"/>
      <c r="B1343" s="99"/>
      <c r="C1343" s="91"/>
      <c r="D1343" s="91"/>
      <c r="E1343" s="415">
        <f>IF($H$1335&gt;0,'Assumptions (Hydro)'!$V$13*Model!$H$1335*'Assumptions (Hydro)'!D$2/10^9,0)</f>
        <v>1.7314661279149872E-2</v>
      </c>
      <c r="F1343" s="415">
        <f>IF($H$1335&gt;0,'Assumptions (Hydro)'!$V$13*Model!$H$1335*'Assumptions (Hydro)'!E$2/10^9,0)</f>
        <v>1.7660954504732866E-2</v>
      </c>
      <c r="G1343" s="415">
        <f>IF($H$1335&gt;0,'Assumptions (Hydro)'!$V$13*Model!$H$1335*'Assumptions (Hydro)'!F$2/10^9,0)</f>
        <v>1.8014173594827525E-2</v>
      </c>
      <c r="H1343" s="91"/>
      <c r="I1343" s="91"/>
      <c r="J1343" s="91"/>
      <c r="K1343" s="91"/>
      <c r="L1343" s="91"/>
      <c r="M1343" s="105"/>
      <c r="N1343" s="105"/>
      <c r="O1343" s="105"/>
      <c r="P1343" s="105"/>
      <c r="Q1343" s="105"/>
      <c r="R1343" s="105"/>
      <c r="S1343" s="105"/>
      <c r="T1343" s="105"/>
      <c r="U1343" s="105"/>
      <c r="V1343" s="105"/>
      <c r="W1343" s="105"/>
      <c r="X1343" s="105"/>
      <c r="Y1343" s="105"/>
      <c r="Z1343" s="105"/>
      <c r="AA1343" s="105"/>
      <c r="AB1343" s="105"/>
      <c r="AC1343" s="105"/>
      <c r="AD1343" s="105"/>
      <c r="AE1343" s="105"/>
      <c r="AF1343" s="105"/>
      <c r="AG1343" s="105"/>
      <c r="AH1343" s="105"/>
      <c r="AI1343" s="105"/>
      <c r="AJ1343" s="105"/>
      <c r="AK1343" s="105"/>
      <c r="AL1343" s="105"/>
      <c r="AM1343" s="105"/>
      <c r="AN1343" s="105"/>
      <c r="AO1343" s="105"/>
      <c r="AP1343" s="105"/>
      <c r="AQ1343" s="105"/>
      <c r="AR1343" s="105"/>
      <c r="AS1343" s="105"/>
      <c r="AT1343" s="105"/>
      <c r="AU1343" s="105"/>
      <c r="AV1343" s="105"/>
      <c r="AW1343" s="105"/>
      <c r="AX1343" s="105"/>
      <c r="AY1343" s="105"/>
      <c r="AZ1343" s="105"/>
      <c r="BA1343" s="105"/>
    </row>
    <row r="1344" spans="1:53" ht="15.75" hidden="1" customHeight="1" outlineLevel="1">
      <c r="A1344" s="413"/>
      <c r="B1344" s="99"/>
      <c r="C1344" s="91"/>
      <c r="D1344" s="91"/>
      <c r="E1344" s="91"/>
      <c r="F1344" s="91">
        <f>IF($I$1335&gt;0,'Assumptions (Hydro)'!$V$13*Model!$I$1335*'Assumptions (Hydro)'!E$2/10^9,0)</f>
        <v>1.4073573120959004E-2</v>
      </c>
      <c r="G1344" s="91">
        <f>IF($I$1335&gt;0,'Assumptions (Hydro)'!$V$13*Model!$I$1335*'Assumptions (Hydro)'!F$2/10^9,0)</f>
        <v>1.4355044583378185E-2</v>
      </c>
      <c r="H1344" s="91">
        <f>IF($I$1335&gt;0,'Assumptions (Hydro)'!$V$13*Model!$I$1335*'Assumptions (Hydro)'!G$2/10^9,0)</f>
        <v>1.4642145475045748E-2</v>
      </c>
      <c r="I1344" s="91"/>
      <c r="J1344" s="91"/>
      <c r="K1344" s="91"/>
      <c r="L1344" s="91"/>
      <c r="M1344" s="105"/>
      <c r="N1344" s="105"/>
      <c r="O1344" s="105"/>
      <c r="P1344" s="105"/>
      <c r="Q1344" s="105"/>
      <c r="R1344" s="105"/>
      <c r="S1344" s="105"/>
      <c r="T1344" s="105"/>
      <c r="U1344" s="105"/>
      <c r="V1344" s="105"/>
      <c r="W1344" s="105"/>
      <c r="X1344" s="105"/>
      <c r="Y1344" s="105"/>
      <c r="Z1344" s="105"/>
      <c r="AA1344" s="105"/>
      <c r="AB1344" s="105"/>
      <c r="AC1344" s="105"/>
      <c r="AD1344" s="105"/>
      <c r="AE1344" s="105"/>
      <c r="AF1344" s="105"/>
      <c r="AG1344" s="105"/>
      <c r="AH1344" s="105"/>
      <c r="AI1344" s="105"/>
      <c r="AJ1344" s="105"/>
      <c r="AK1344" s="105"/>
      <c r="AL1344" s="105"/>
      <c r="AM1344" s="105"/>
      <c r="AN1344" s="105"/>
      <c r="AO1344" s="105"/>
      <c r="AP1344" s="105"/>
      <c r="AQ1344" s="105"/>
      <c r="AR1344" s="105"/>
      <c r="AS1344" s="105"/>
      <c r="AT1344" s="105"/>
      <c r="AU1344" s="105"/>
      <c r="AV1344" s="105"/>
      <c r="AW1344" s="105"/>
      <c r="AX1344" s="105"/>
      <c r="AY1344" s="105"/>
      <c r="AZ1344" s="105"/>
      <c r="BA1344" s="105"/>
    </row>
    <row r="1345" spans="1:53" ht="15.75" hidden="1" customHeight="1" outlineLevel="1">
      <c r="A1345" s="413"/>
      <c r="B1345" s="99"/>
      <c r="C1345" s="91"/>
      <c r="D1345" s="91"/>
      <c r="E1345" s="91"/>
      <c r="F1345" s="91"/>
      <c r="G1345" s="91">
        <f>IF($J$1335&gt;0,'Assumptions (Hydro)'!$V$13*Model!$J$1335*'Assumptions (Hydro)'!F$2/10^9,0)</f>
        <v>1.5199458970635724E-2</v>
      </c>
      <c r="H1345" s="91">
        <f>IF($J$1335&gt;0,'Assumptions (Hydro)'!$V$13*Model!$J$1335*'Assumptions (Hydro)'!G$2/10^9,0)</f>
        <v>1.5503448150048437E-2</v>
      </c>
      <c r="I1345" s="91">
        <f>IF($J$1335&gt;0,'Assumptions (Hydro)'!$V$13*Model!$J$1335*'Assumptions (Hydro)'!H$2/10^9,0)</f>
        <v>1.5813517113049406E-2</v>
      </c>
      <c r="J1345" s="91"/>
      <c r="K1345" s="91"/>
      <c r="L1345" s="91"/>
      <c r="M1345" s="105"/>
      <c r="N1345" s="105"/>
      <c r="O1345" s="105"/>
      <c r="P1345" s="105"/>
      <c r="Q1345" s="105"/>
      <c r="R1345" s="105"/>
      <c r="S1345" s="105"/>
      <c r="T1345" s="105"/>
      <c r="U1345" s="105"/>
      <c r="V1345" s="105"/>
      <c r="W1345" s="105"/>
      <c r="X1345" s="105"/>
      <c r="Y1345" s="105"/>
      <c r="Z1345" s="105"/>
      <c r="AA1345" s="105"/>
      <c r="AB1345" s="105"/>
      <c r="AC1345" s="105"/>
      <c r="AD1345" s="105"/>
      <c r="AE1345" s="105"/>
      <c r="AF1345" s="105"/>
      <c r="AG1345" s="105"/>
      <c r="AH1345" s="105"/>
      <c r="AI1345" s="105"/>
      <c r="AJ1345" s="105"/>
      <c r="AK1345" s="105"/>
      <c r="AL1345" s="105"/>
      <c r="AM1345" s="105"/>
      <c r="AN1345" s="105"/>
      <c r="AO1345" s="105"/>
      <c r="AP1345" s="105"/>
      <c r="AQ1345" s="105"/>
      <c r="AR1345" s="105"/>
      <c r="AS1345" s="105"/>
      <c r="AT1345" s="105"/>
      <c r="AU1345" s="105"/>
      <c r="AV1345" s="105"/>
      <c r="AW1345" s="105"/>
      <c r="AX1345" s="105"/>
      <c r="AY1345" s="105"/>
      <c r="AZ1345" s="105"/>
      <c r="BA1345" s="105"/>
    </row>
    <row r="1346" spans="1:53" ht="15.75" hidden="1" customHeight="1" outlineLevel="1">
      <c r="A1346" s="413"/>
      <c r="B1346" s="99"/>
      <c r="C1346" s="91"/>
      <c r="D1346" s="91"/>
      <c r="E1346" s="91"/>
      <c r="F1346" s="91"/>
      <c r="G1346" s="91"/>
      <c r="H1346" s="91">
        <f>IF($K$1335&gt;0,'Assumptions (Hydro)'!$V$13*Model!$K$1335*'Assumptions (Hydro)'!G$2/10^9,0)</f>
        <v>1.6580076493801801E-2</v>
      </c>
      <c r="I1346" s="91">
        <f>IF($K$1335&gt;0,'Assumptions (Hydro)'!$V$13*Model!$K$1335*'Assumptions (Hydro)'!H$2/10^9,0)</f>
        <v>1.6911678023677837E-2</v>
      </c>
      <c r="J1346" s="91">
        <f>IF($K$1335&gt;0,'Assumptions (Hydro)'!$V$13*Model!$K$1335*'Assumptions (Hydro)'!I$2/10^9,0)</f>
        <v>1.7249911584151394E-2</v>
      </c>
      <c r="K1346" s="91"/>
      <c r="L1346" s="91"/>
      <c r="M1346" s="105"/>
      <c r="N1346" s="105"/>
      <c r="O1346" s="105"/>
      <c r="P1346" s="105"/>
      <c r="Q1346" s="105"/>
      <c r="R1346" s="105"/>
      <c r="S1346" s="105"/>
      <c r="T1346" s="105"/>
      <c r="U1346" s="105"/>
      <c r="V1346" s="105"/>
      <c r="W1346" s="105"/>
      <c r="X1346" s="105"/>
      <c r="Y1346" s="105"/>
      <c r="Z1346" s="105"/>
      <c r="AA1346" s="105"/>
      <c r="AB1346" s="105"/>
      <c r="AC1346" s="105"/>
      <c r="AD1346" s="105"/>
      <c r="AE1346" s="105"/>
      <c r="AF1346" s="105"/>
      <c r="AG1346" s="105"/>
      <c r="AH1346" s="105"/>
      <c r="AI1346" s="105"/>
      <c r="AJ1346" s="105"/>
      <c r="AK1346" s="105"/>
      <c r="AL1346" s="105"/>
      <c r="AM1346" s="105"/>
      <c r="AN1346" s="105"/>
      <c r="AO1346" s="105"/>
      <c r="AP1346" s="105"/>
      <c r="AQ1346" s="105"/>
      <c r="AR1346" s="105"/>
      <c r="AS1346" s="105"/>
      <c r="AT1346" s="105"/>
      <c r="AU1346" s="105"/>
      <c r="AV1346" s="105"/>
      <c r="AW1346" s="105"/>
      <c r="AX1346" s="105"/>
      <c r="AY1346" s="105"/>
      <c r="AZ1346" s="105"/>
      <c r="BA1346" s="105"/>
    </row>
    <row r="1347" spans="1:53" ht="15.75" hidden="1" customHeight="1" outlineLevel="1">
      <c r="A1347" s="413"/>
      <c r="B1347" s="99"/>
      <c r="C1347" s="91"/>
      <c r="D1347" s="91"/>
      <c r="E1347" s="91"/>
      <c r="F1347" s="91"/>
      <c r="G1347" s="91"/>
      <c r="H1347" s="91"/>
      <c r="I1347" s="91">
        <f>IF($L$1335&gt;0,'Assumptions (Hydro)'!$V$13*Model!$L$1335*'Assumptions (Hydro)'!H$2/10^9,0)</f>
        <v>8.4192336481513069E-3</v>
      </c>
      <c r="J1347" s="91">
        <f>IF($L$1335&gt;0,'Assumptions (Hydro)'!$V$13*Model!$L$1335*'Assumptions (Hydro)'!I$2/10^9,0)</f>
        <v>8.5876183211143313E-3</v>
      </c>
      <c r="K1347" s="91">
        <f>IF($L$1335&gt;0,'Assumptions (Hydro)'!$V$13*Model!$L$1335*'Assumptions (Hydro)'!J$2/10^9,0)</f>
        <v>8.7593706875366203E-3</v>
      </c>
      <c r="L1347" s="91"/>
      <c r="M1347" s="105"/>
      <c r="N1347" s="105"/>
      <c r="O1347" s="105"/>
      <c r="P1347" s="105"/>
      <c r="Q1347" s="105"/>
      <c r="R1347" s="105"/>
      <c r="S1347" s="105"/>
      <c r="T1347" s="105"/>
      <c r="U1347" s="105"/>
      <c r="V1347" s="105"/>
      <c r="W1347" s="105"/>
      <c r="X1347" s="105"/>
      <c r="Y1347" s="105"/>
      <c r="Z1347" s="105"/>
      <c r="AA1347" s="105"/>
      <c r="AB1347" s="105"/>
      <c r="AC1347" s="105"/>
      <c r="AD1347" s="105"/>
      <c r="AE1347" s="105"/>
      <c r="AF1347" s="105"/>
      <c r="AG1347" s="105"/>
      <c r="AH1347" s="105"/>
      <c r="AI1347" s="105"/>
      <c r="AJ1347" s="105"/>
      <c r="AK1347" s="105"/>
      <c r="AL1347" s="105"/>
      <c r="AM1347" s="105"/>
      <c r="AN1347" s="105"/>
      <c r="AO1347" s="105"/>
      <c r="AP1347" s="105"/>
      <c r="AQ1347" s="105"/>
      <c r="AR1347" s="105"/>
      <c r="AS1347" s="105"/>
      <c r="AT1347" s="105"/>
      <c r="AU1347" s="105"/>
      <c r="AV1347" s="105"/>
      <c r="AW1347" s="105"/>
      <c r="AX1347" s="105"/>
      <c r="AY1347" s="105"/>
      <c r="AZ1347" s="105"/>
      <c r="BA1347" s="105"/>
    </row>
    <row r="1348" spans="1:53" ht="15.75" hidden="1" customHeight="1" outlineLevel="1">
      <c r="A1348" s="413"/>
      <c r="B1348" s="99"/>
      <c r="C1348" s="91"/>
      <c r="D1348" s="91"/>
      <c r="E1348" s="91"/>
      <c r="F1348" s="91"/>
      <c r="G1348" s="91"/>
      <c r="H1348" s="91"/>
      <c r="I1348" s="91"/>
      <c r="J1348" s="91">
        <f>IF($M$1335&gt;0,'Assumptions (Hydro)'!$V$13*Model!$M$1335*'Assumptions (Hydro)'!I$2/10^9,0)</f>
        <v>1.5532387919928533E-2</v>
      </c>
      <c r="K1348" s="91">
        <f>IF($M$1335&gt;0,'Assumptions (Hydro)'!$V$13*Model!$M$1335*'Assumptions (Hydro)'!J$2/10^9,0)</f>
        <v>1.5843035678327101E-2</v>
      </c>
      <c r="L1348" s="91">
        <f>IF($M$1335&gt;0,'Assumptions (Hydro)'!$V$13*Model!$M$1335*'Assumptions (Hydro)'!K$2/10^9,0)</f>
        <v>1.6159896391893646E-2</v>
      </c>
      <c r="M1348" s="105"/>
      <c r="N1348" s="105"/>
      <c r="O1348" s="105"/>
      <c r="P1348" s="105"/>
      <c r="Q1348" s="105"/>
      <c r="R1348" s="105"/>
      <c r="S1348" s="105"/>
      <c r="T1348" s="105"/>
      <c r="U1348" s="105"/>
      <c r="V1348" s="105"/>
      <c r="W1348" s="105"/>
      <c r="X1348" s="105"/>
      <c r="Y1348" s="105"/>
      <c r="Z1348" s="105"/>
      <c r="AA1348" s="105"/>
      <c r="AB1348" s="105"/>
      <c r="AC1348" s="105"/>
      <c r="AD1348" s="105"/>
      <c r="AE1348" s="105"/>
      <c r="AF1348" s="105"/>
      <c r="AG1348" s="105"/>
      <c r="AH1348" s="105"/>
      <c r="AI1348" s="105"/>
      <c r="AJ1348" s="105"/>
      <c r="AK1348" s="105"/>
      <c r="AL1348" s="105"/>
      <c r="AM1348" s="105"/>
      <c r="AN1348" s="105"/>
      <c r="AO1348" s="105"/>
      <c r="AP1348" s="105"/>
      <c r="AQ1348" s="105"/>
      <c r="AR1348" s="105"/>
      <c r="AS1348" s="105"/>
      <c r="AT1348" s="105"/>
      <c r="AU1348" s="105"/>
      <c r="AV1348" s="105"/>
      <c r="AW1348" s="105"/>
      <c r="AX1348" s="105"/>
      <c r="AY1348" s="105"/>
      <c r="AZ1348" s="105"/>
      <c r="BA1348" s="105"/>
    </row>
    <row r="1349" spans="1:53" ht="15.75" hidden="1" customHeight="1" outlineLevel="1">
      <c r="A1349" s="413"/>
      <c r="B1349" s="99"/>
      <c r="C1349" s="105"/>
      <c r="D1349" s="105"/>
      <c r="E1349" s="105"/>
      <c r="F1349" s="105"/>
      <c r="G1349" s="105"/>
      <c r="H1349" s="105"/>
      <c r="I1349" s="105"/>
      <c r="J1349" s="105"/>
      <c r="K1349" s="105">
        <f>IF($N$1335&gt;0,'Assumptions (Hydro)'!$V$13*Model!$N$1335*'Assumptions (Hydro)'!J$2/10^9,0)</f>
        <v>0.12247885274399029</v>
      </c>
      <c r="L1349" s="105">
        <f>IF($N$1335&gt;0,'Assumptions (Hydro)'!$V$13*Model!$N$1335*'Assumptions (Hydro)'!K$2/10^9,0)</f>
        <v>0.12492842979887009</v>
      </c>
      <c r="M1349" s="105">
        <f>IF($N$1335&gt;0,'Assumptions (Hydro)'!$V$13*Model!$N$1335*'Assumptions (Hydro)'!L$2/10^9,0)</f>
        <v>0.1274269983948475</v>
      </c>
      <c r="N1349" s="105"/>
      <c r="O1349" s="105"/>
      <c r="P1349" s="105"/>
      <c r="Q1349" s="105"/>
      <c r="R1349" s="105"/>
      <c r="S1349" s="105"/>
      <c r="T1349" s="105"/>
      <c r="U1349" s="105"/>
      <c r="V1349" s="105"/>
      <c r="W1349" s="105"/>
      <c r="X1349" s="105"/>
      <c r="Y1349" s="105"/>
      <c r="Z1349" s="105"/>
      <c r="AA1349" s="105"/>
      <c r="AB1349" s="105"/>
      <c r="AC1349" s="105"/>
      <c r="AD1349" s="105"/>
      <c r="AE1349" s="105"/>
      <c r="AF1349" s="105"/>
      <c r="AG1349" s="105"/>
      <c r="AH1349" s="105"/>
      <c r="AI1349" s="105"/>
      <c r="AJ1349" s="105"/>
      <c r="AK1349" s="105"/>
      <c r="AL1349" s="105"/>
      <c r="AM1349" s="105"/>
      <c r="AN1349" s="105"/>
      <c r="AO1349" s="105"/>
      <c r="AP1349" s="105"/>
      <c r="AQ1349" s="105"/>
      <c r="AR1349" s="105"/>
      <c r="AS1349" s="105"/>
      <c r="AT1349" s="105"/>
      <c r="AU1349" s="105"/>
      <c r="AV1349" s="105"/>
      <c r="AW1349" s="105"/>
      <c r="AX1349" s="105"/>
      <c r="AY1349" s="105"/>
      <c r="AZ1349" s="105"/>
      <c r="BA1349" s="105"/>
    </row>
    <row r="1350" spans="1:53" ht="15.75" hidden="1" customHeight="1" outlineLevel="1">
      <c r="A1350" s="413"/>
      <c r="B1350" s="99"/>
      <c r="C1350" s="105"/>
      <c r="D1350" s="105"/>
      <c r="E1350" s="105"/>
      <c r="F1350" s="105"/>
      <c r="G1350" s="105"/>
      <c r="H1350" s="105"/>
      <c r="I1350" s="105"/>
      <c r="J1350" s="105"/>
      <c r="K1350" s="105"/>
      <c r="L1350" s="105">
        <f>IF($O$1335&gt;0,'Assumptions (Hydro)'!$V$13*Model!$O$1335*'Assumptions (Hydro)'!K$2/10^9,0)</f>
        <v>0.30610572973106226</v>
      </c>
      <c r="M1350" s="105">
        <f>IF($O$1335&gt;0,'Assumptions (Hydro)'!$V$13*Model!$O$1335*'Assumptions (Hydro)'!L$2/10^9,0)</f>
        <v>0.31222784432568351</v>
      </c>
      <c r="N1350" s="105">
        <f>IF($O$1335&gt;0,'Assumptions (Hydro)'!$V$13*Model!$O$1335*'Assumptions (Hydro)'!M$2/10^9,0)</f>
        <v>0.31847240121219716</v>
      </c>
      <c r="O1350" s="105"/>
      <c r="P1350" s="105"/>
      <c r="Q1350" s="105"/>
      <c r="R1350" s="105"/>
      <c r="S1350" s="105"/>
      <c r="T1350" s="105"/>
      <c r="U1350" s="105"/>
      <c r="V1350" s="105"/>
      <c r="W1350" s="105"/>
      <c r="X1350" s="105"/>
      <c r="Y1350" s="105"/>
      <c r="Z1350" s="105"/>
      <c r="AA1350" s="105"/>
      <c r="AB1350" s="105"/>
      <c r="AC1350" s="105"/>
      <c r="AD1350" s="105"/>
      <c r="AE1350" s="105"/>
      <c r="AF1350" s="105"/>
      <c r="AG1350" s="105"/>
      <c r="AH1350" s="105"/>
      <c r="AI1350" s="105"/>
      <c r="AJ1350" s="105"/>
      <c r="AK1350" s="105"/>
      <c r="AL1350" s="105"/>
      <c r="AM1350" s="105"/>
      <c r="AN1350" s="105"/>
      <c r="AO1350" s="105"/>
      <c r="AP1350" s="105"/>
      <c r="AQ1350" s="105"/>
      <c r="AR1350" s="105"/>
      <c r="AS1350" s="105"/>
      <c r="AT1350" s="105"/>
      <c r="AU1350" s="105"/>
      <c r="AV1350" s="105"/>
      <c r="AW1350" s="105"/>
      <c r="AX1350" s="105"/>
      <c r="AY1350" s="105"/>
      <c r="AZ1350" s="105"/>
      <c r="BA1350" s="105"/>
    </row>
    <row r="1351" spans="1:53" ht="15.75" hidden="1" customHeight="1" outlineLevel="1">
      <c r="A1351" s="413"/>
      <c r="B1351" s="99"/>
      <c r="C1351" s="105"/>
      <c r="D1351" s="105"/>
      <c r="E1351" s="105"/>
      <c r="F1351" s="105"/>
      <c r="G1351" s="105"/>
      <c r="H1351" s="105"/>
      <c r="I1351" s="105"/>
      <c r="J1351" s="91"/>
      <c r="K1351" s="91"/>
      <c r="L1351" s="91"/>
      <c r="M1351" s="91">
        <f>IF($P$1335&gt;0,'Assumptions (Hydro)'!$V$13*Model!$P$1335*'Assumptions (Hydro)'!L$2/10^9,0)</f>
        <v>0.3371902227425847</v>
      </c>
      <c r="N1351" s="91">
        <f>IF($P$1335&gt;0,'Assumptions (Hydro)'!$V$13*Model!$P$1335*'Assumptions (Hydro)'!M$2/10^9,0)</f>
        <v>0.34393402719743638</v>
      </c>
      <c r="O1351" s="91">
        <f>IF($P$1335&gt;0,'Assumptions (Hydro)'!$V$13*Model!$P$1335*'Assumptions (Hydro)'!N$2/10^9,0)</f>
        <v>0.35081270774138512</v>
      </c>
      <c r="P1351" s="91"/>
      <c r="Q1351" s="105"/>
      <c r="R1351" s="91"/>
      <c r="S1351" s="91"/>
      <c r="T1351" s="91"/>
      <c r="U1351" s="91"/>
      <c r="V1351" s="91"/>
      <c r="W1351" s="91"/>
      <c r="X1351" s="91"/>
      <c r="Y1351" s="91"/>
      <c r="Z1351" s="91"/>
      <c r="AA1351" s="91"/>
      <c r="AB1351" s="91"/>
      <c r="AC1351" s="91"/>
      <c r="AD1351" s="91"/>
      <c r="AE1351" s="91"/>
      <c r="AF1351" s="91"/>
      <c r="AG1351" s="91"/>
      <c r="AH1351" s="91"/>
      <c r="AI1351" s="91"/>
      <c r="AJ1351" s="91"/>
      <c r="AK1351" s="91"/>
      <c r="AL1351" s="91"/>
      <c r="AM1351" s="91"/>
      <c r="AN1351" s="91"/>
      <c r="AO1351" s="91"/>
      <c r="AP1351" s="91"/>
      <c r="AQ1351" s="91"/>
      <c r="AR1351" s="91"/>
      <c r="AS1351" s="91"/>
      <c r="AT1351" s="91"/>
      <c r="AU1351" s="91"/>
      <c r="AV1351" s="91"/>
      <c r="AW1351" s="91"/>
      <c r="AX1351" s="91"/>
      <c r="AY1351" s="91"/>
      <c r="AZ1351" s="91"/>
      <c r="BA1351" s="91"/>
    </row>
    <row r="1352" spans="1:53" ht="15.75" hidden="1" customHeight="1" outlineLevel="1">
      <c r="A1352" s="413"/>
      <c r="B1352" s="99"/>
      <c r="C1352" s="105"/>
      <c r="D1352" s="105"/>
      <c r="E1352" s="105"/>
      <c r="F1352" s="105"/>
      <c r="G1352" s="105"/>
      <c r="H1352" s="105"/>
      <c r="I1352" s="105"/>
      <c r="J1352" s="105"/>
      <c r="K1352" s="91"/>
      <c r="L1352" s="91"/>
      <c r="M1352" s="91"/>
      <c r="N1352" s="91">
        <f>IF($Q$1335&gt;0,'Assumptions (Hydro)'!$V$13*Model!$Q$1335*'Assumptions (Hydro)'!M$2/10^9,0)</f>
        <v>0.12051836299679847</v>
      </c>
      <c r="O1352" s="91">
        <f>IF($Q$1335&gt;0,'Assumptions (Hydro)'!$V$13*Model!$Q$1335*'Assumptions (Hydro)'!N$2/10^9,0)</f>
        <v>0.12292873025673443</v>
      </c>
      <c r="P1352" s="91">
        <f>IF($Q$1335&gt;0,'Assumptions (Hydro)'!$V$13*Model!$Q$1335*'Assumptions (Hydro)'!O$2/10^9,0)</f>
        <v>0.12538730486186914</v>
      </c>
      <c r="Q1352" s="105"/>
      <c r="R1352" s="91"/>
      <c r="S1352" s="91"/>
      <c r="T1352" s="91"/>
      <c r="U1352" s="91"/>
      <c r="V1352" s="91"/>
      <c r="W1352" s="91"/>
      <c r="X1352" s="91"/>
      <c r="Y1352" s="91"/>
      <c r="Z1352" s="91"/>
      <c r="AA1352" s="91"/>
      <c r="AB1352" s="91"/>
      <c r="AC1352" s="91"/>
      <c r="AD1352" s="91"/>
      <c r="AE1352" s="91"/>
      <c r="AF1352" s="91"/>
      <c r="AG1352" s="91"/>
      <c r="AH1352" s="91"/>
      <c r="AI1352" s="91"/>
      <c r="AJ1352" s="91"/>
      <c r="AK1352" s="91"/>
      <c r="AL1352" s="91"/>
      <c r="AM1352" s="91"/>
      <c r="AN1352" s="91"/>
      <c r="AO1352" s="91"/>
      <c r="AP1352" s="91"/>
      <c r="AQ1352" s="91"/>
      <c r="AR1352" s="91"/>
      <c r="AS1352" s="91"/>
      <c r="AT1352" s="91"/>
      <c r="AU1352" s="91"/>
      <c r="AV1352" s="91"/>
      <c r="AW1352" s="91"/>
      <c r="AX1352" s="91"/>
      <c r="AY1352" s="91"/>
      <c r="AZ1352" s="91"/>
      <c r="BA1352" s="91"/>
    </row>
    <row r="1353" spans="1:53" ht="15.75" hidden="1" customHeight="1" outlineLevel="1">
      <c r="A1353" s="413"/>
      <c r="B1353" s="99"/>
      <c r="C1353" s="105"/>
      <c r="D1353" s="105"/>
      <c r="E1353" s="105"/>
      <c r="F1353" s="105"/>
      <c r="G1353" s="105"/>
      <c r="H1353" s="105"/>
      <c r="I1353" s="105"/>
      <c r="J1353" s="105"/>
      <c r="K1353" s="105"/>
      <c r="L1353" s="167"/>
      <c r="M1353" s="167"/>
      <c r="N1353" s="167"/>
      <c r="O1353" s="167">
        <f>IF($R$1335&gt;0,'Assumptions (Hydro)'!$V$13*Model!$R$1335*'Assumptions (Hydro)'!N$2/10^9,0)</f>
        <v>0.11196325666575815</v>
      </c>
      <c r="P1353" s="167">
        <f>IF($R$1335&gt;0,'Assumptions (Hydro)'!$V$13*Model!$R$1335*'Assumptions (Hydro)'!O$2/10^9,0)</f>
        <v>0.11420252179907331</v>
      </c>
      <c r="Q1353" s="167">
        <f>IF($R$1335&gt;0,'Assumptions (Hydro)'!$V$13*Model!$R$1335*'Assumptions (Hydro)'!P$2/10^9,0)</f>
        <v>0.11648657223505478</v>
      </c>
      <c r="R1353" s="91"/>
      <c r="S1353" s="91"/>
      <c r="T1353" s="91"/>
      <c r="U1353" s="91"/>
      <c r="V1353" s="91"/>
      <c r="W1353" s="91"/>
      <c r="X1353" s="91"/>
      <c r="Y1353" s="91"/>
      <c r="Z1353" s="91"/>
      <c r="AA1353" s="91"/>
      <c r="AB1353" s="91"/>
      <c r="AC1353" s="91"/>
      <c r="AD1353" s="91"/>
      <c r="AE1353" s="91"/>
      <c r="AF1353" s="91"/>
      <c r="AG1353" s="91"/>
      <c r="AH1353" s="91"/>
      <c r="AI1353" s="91"/>
      <c r="AJ1353" s="91"/>
      <c r="AK1353" s="91"/>
      <c r="AL1353" s="91"/>
      <c r="AM1353" s="91"/>
      <c r="AN1353" s="91"/>
      <c r="AO1353" s="91"/>
      <c r="AP1353" s="91"/>
      <c r="AQ1353" s="91"/>
      <c r="AR1353" s="91"/>
      <c r="AS1353" s="91"/>
      <c r="AT1353" s="91"/>
      <c r="AU1353" s="91"/>
      <c r="AV1353" s="91"/>
      <c r="AW1353" s="91"/>
      <c r="AX1353" s="91"/>
      <c r="AY1353" s="91"/>
      <c r="AZ1353" s="91"/>
      <c r="BA1353" s="91"/>
    </row>
    <row r="1354" spans="1:53" ht="15.75" hidden="1" customHeight="1" outlineLevel="1">
      <c r="A1354" s="413"/>
      <c r="B1354" s="99"/>
      <c r="C1354" s="105"/>
      <c r="D1354" s="105"/>
      <c r="E1354" s="105"/>
      <c r="F1354" s="105"/>
      <c r="G1354" s="105"/>
      <c r="H1354" s="105"/>
      <c r="I1354" s="105"/>
      <c r="J1354" s="105"/>
      <c r="K1354" s="105"/>
      <c r="L1354" s="105"/>
      <c r="M1354" s="105"/>
      <c r="N1354" s="105"/>
      <c r="O1354" s="105"/>
      <c r="P1354" s="105">
        <f>IF($S$1335&gt;0,'Assumptions (Hydro)'!$V$13*Model!$S$1335*'Assumptions (Hydro)'!O$2/10^9,0)</f>
        <v>0.31367850243780809</v>
      </c>
      <c r="Q1354" s="105">
        <f>IF($S$1335&gt;0,'Assumptions (Hydro)'!$V$13*Model!$S$1335*'Assumptions (Hydro)'!P$2/10^9,0)</f>
        <v>0.31995207248656427</v>
      </c>
      <c r="R1354" s="105">
        <f>IF($S$1335&gt;0,'Assumptions (Hydro)'!$V$13*Model!$S$1335*'Assumptions (Hydro)'!Q$2/10^9,0)</f>
        <v>0.32635111393629557</v>
      </c>
      <c r="S1354" s="105"/>
      <c r="T1354" s="105"/>
      <c r="U1354" s="105"/>
      <c r="V1354" s="105"/>
      <c r="W1354" s="105"/>
      <c r="X1354" s="105"/>
      <c r="Y1354" s="105"/>
      <c r="Z1354" s="105"/>
      <c r="AA1354" s="105"/>
      <c r="AB1354" s="105"/>
      <c r="AC1354" s="105"/>
      <c r="AD1354" s="105"/>
      <c r="AE1354" s="105"/>
      <c r="AF1354" s="105"/>
      <c r="AG1354" s="105"/>
      <c r="AH1354" s="105"/>
      <c r="AI1354" s="105"/>
      <c r="AJ1354" s="105"/>
      <c r="AK1354" s="105"/>
      <c r="AL1354" s="105"/>
      <c r="AM1354" s="105"/>
      <c r="AN1354" s="105"/>
      <c r="AO1354" s="105"/>
      <c r="AP1354" s="105"/>
      <c r="AQ1354" s="105"/>
      <c r="AR1354" s="105"/>
      <c r="AS1354" s="105"/>
      <c r="AT1354" s="105"/>
      <c r="AU1354" s="105"/>
      <c r="AV1354" s="105"/>
      <c r="AW1354" s="105"/>
      <c r="AX1354" s="105"/>
      <c r="AY1354" s="105"/>
      <c r="AZ1354" s="105"/>
      <c r="BA1354" s="105"/>
    </row>
    <row r="1355" spans="1:53" ht="15.75" hidden="1" customHeight="1" outlineLevel="1">
      <c r="A1355" s="413"/>
      <c r="B1355" s="99"/>
      <c r="C1355" s="105"/>
      <c r="D1355" s="105"/>
      <c r="E1355" s="105"/>
      <c r="F1355" s="105"/>
      <c r="G1355" s="105"/>
      <c r="H1355" s="105"/>
      <c r="I1355" s="105"/>
      <c r="J1355" s="105"/>
      <c r="K1355" s="105"/>
      <c r="L1355" s="105"/>
      <c r="M1355" s="105"/>
      <c r="N1355" s="105"/>
      <c r="O1355" s="105"/>
      <c r="P1355" s="105"/>
      <c r="Q1355" s="105">
        <f>IF($T$1335&gt;0,'Assumptions (Hydro)'!$V$13*Model!$T$1335*'Assumptions (Hydro)'!P$2/10^9,0)</f>
        <v>0.17807520173783042</v>
      </c>
      <c r="R1355" s="105">
        <f>IF($T$1335&gt;0,'Assumptions (Hydro)'!$V$13*Model!$T$1335*'Assumptions (Hydro)'!Q$2/10^9,0)</f>
        <v>0.18163670577258703</v>
      </c>
      <c r="S1355" s="105">
        <f>IF($T$1335&gt;0,'Assumptions (Hydro)'!$V$13*Model!$T$1335*'Assumptions (Hydro)'!R$2/10^9,0)</f>
        <v>0.18526943988803882</v>
      </c>
      <c r="T1355" s="105"/>
      <c r="U1355" s="105"/>
      <c r="V1355" s="105"/>
      <c r="W1355" s="105"/>
      <c r="X1355" s="105"/>
      <c r="Y1355" s="105"/>
      <c r="Z1355" s="105"/>
      <c r="AA1355" s="105"/>
      <c r="AB1355" s="105"/>
      <c r="AC1355" s="105"/>
      <c r="AD1355" s="105"/>
      <c r="AE1355" s="105"/>
      <c r="AF1355" s="105"/>
      <c r="AG1355" s="105"/>
      <c r="AH1355" s="105"/>
      <c r="AI1355" s="105"/>
      <c r="AJ1355" s="105"/>
      <c r="AK1355" s="105"/>
      <c r="AL1355" s="105"/>
      <c r="AM1355" s="105"/>
      <c r="AN1355" s="105"/>
      <c r="AO1355" s="105"/>
      <c r="AP1355" s="105"/>
      <c r="AQ1355" s="105"/>
      <c r="AR1355" s="105"/>
      <c r="AS1355" s="105"/>
      <c r="AT1355" s="105"/>
      <c r="AU1355" s="105"/>
      <c r="AV1355" s="105"/>
      <c r="AW1355" s="105"/>
      <c r="AX1355" s="105"/>
      <c r="AY1355" s="105"/>
      <c r="AZ1355" s="105"/>
      <c r="BA1355" s="105"/>
    </row>
    <row r="1356" spans="1:53" ht="15.75" hidden="1" customHeight="1" outlineLevel="1">
      <c r="A1356" s="413"/>
      <c r="B1356" s="99"/>
      <c r="C1356" s="105"/>
      <c r="D1356" s="105"/>
      <c r="E1356" s="105"/>
      <c r="F1356" s="105"/>
      <c r="G1356" s="105"/>
      <c r="H1356" s="105"/>
      <c r="I1356" s="105"/>
      <c r="J1356" s="105"/>
      <c r="K1356" s="105"/>
      <c r="L1356" s="105"/>
      <c r="M1356" s="105"/>
      <c r="N1356" s="105"/>
      <c r="O1356" s="91"/>
      <c r="P1356" s="91"/>
      <c r="Q1356" s="91"/>
      <c r="R1356" s="91">
        <f>IF($U$1335&gt;0,'Assumptions (Hydro)'!$V$13*Model!$U$1335*'Assumptions (Hydro)'!Q$2/10^9,0)</f>
        <v>0.13159036872927304</v>
      </c>
      <c r="S1356" s="91">
        <f>IF($U$1335&gt;0,'Assumptions (Hydro)'!$V$13*Model!$U$1335*'Assumptions (Hydro)'!R$2/10^9,0)</f>
        <v>0.13422217610385853</v>
      </c>
      <c r="T1356" s="91">
        <f>IF($U$1335&gt;0,'Assumptions (Hydro)'!$V$13*Model!$U$1335*'Assumptions (Hydro)'!S$2/10^9,0)</f>
        <v>0.1369066196259357</v>
      </c>
      <c r="U1356" s="105"/>
      <c r="V1356" s="105"/>
      <c r="W1356" s="105"/>
      <c r="X1356" s="105"/>
      <c r="Y1356" s="105"/>
      <c r="Z1356" s="105"/>
      <c r="AA1356" s="105"/>
      <c r="AB1356" s="105"/>
      <c r="AC1356" s="105"/>
      <c r="AD1356" s="105"/>
      <c r="AE1356" s="105"/>
      <c r="AF1356" s="105"/>
      <c r="AG1356" s="105"/>
      <c r="AH1356" s="105"/>
      <c r="AI1356" s="105"/>
      <c r="AJ1356" s="105"/>
      <c r="AK1356" s="105"/>
      <c r="AL1356" s="105"/>
      <c r="AM1356" s="105"/>
      <c r="AN1356" s="105"/>
      <c r="AO1356" s="105"/>
      <c r="AP1356" s="105"/>
      <c r="AQ1356" s="105"/>
      <c r="AR1356" s="105"/>
      <c r="AS1356" s="105"/>
      <c r="AT1356" s="105"/>
      <c r="AU1356" s="105"/>
      <c r="AV1356" s="105"/>
      <c r="AW1356" s="105"/>
      <c r="AX1356" s="105"/>
      <c r="AY1356" s="105"/>
      <c r="AZ1356" s="105"/>
      <c r="BA1356" s="105"/>
    </row>
    <row r="1357" spans="1:53" ht="15.75" hidden="1" customHeight="1" outlineLevel="1">
      <c r="A1357" s="413"/>
      <c r="B1357" s="99"/>
      <c r="C1357" s="105"/>
      <c r="D1357" s="105"/>
      <c r="E1357" s="105"/>
      <c r="F1357" s="105"/>
      <c r="G1357" s="105"/>
      <c r="H1357" s="105"/>
      <c r="I1357" s="105"/>
      <c r="J1357" s="105"/>
      <c r="K1357" s="105"/>
      <c r="L1357" s="105"/>
      <c r="M1357" s="105"/>
      <c r="N1357" s="105"/>
      <c r="O1357" s="105"/>
      <c r="P1357" s="105"/>
      <c r="Q1357" s="105"/>
      <c r="R1357" s="105"/>
      <c r="S1357" s="105">
        <f>IF($V$1335&gt;0,'Assumptions (Hydro)'!$V$13*Model!$V$1335*'Assumptions (Hydro)'!R$2/10^9,0)</f>
        <v>0.10191604063205216</v>
      </c>
      <c r="T1357" s="105">
        <f>IF($V$1335&gt;0,'Assumptions (Hydro)'!$V$13*Model!$V$1335*'Assumptions (Hydro)'!S$2/10^9,0)</f>
        <v>0.10395436144469321</v>
      </c>
      <c r="U1357" s="105">
        <f>IF($V$1335&gt;0,'Assumptions (Hydro)'!$V$13*Model!$V$1335*'Assumptions (Hydro)'!T$2/10^9,0)</f>
        <v>0.10603344867358706</v>
      </c>
      <c r="V1357" s="105"/>
      <c r="W1357" s="105"/>
      <c r="X1357" s="105"/>
      <c r="Y1357" s="105"/>
      <c r="Z1357" s="105"/>
      <c r="AA1357" s="105"/>
      <c r="AB1357" s="105"/>
      <c r="AC1357" s="105"/>
      <c r="AD1357" s="105"/>
      <c r="AE1357" s="105"/>
      <c r="AF1357" s="105"/>
      <c r="AG1357" s="105"/>
      <c r="AH1357" s="105"/>
      <c r="AI1357" s="105"/>
      <c r="AJ1357" s="105"/>
      <c r="AK1357" s="105"/>
      <c r="AL1357" s="105"/>
      <c r="AM1357" s="105"/>
      <c r="AN1357" s="105"/>
      <c r="AO1357" s="105"/>
      <c r="AP1357" s="105"/>
      <c r="AQ1357" s="105"/>
      <c r="AR1357" s="105"/>
      <c r="AS1357" s="105"/>
      <c r="AT1357" s="105"/>
      <c r="AU1357" s="105"/>
      <c r="AV1357" s="105"/>
      <c r="AW1357" s="105"/>
      <c r="AX1357" s="105"/>
      <c r="AY1357" s="105"/>
      <c r="AZ1357" s="105"/>
      <c r="BA1357" s="105"/>
    </row>
    <row r="1358" spans="1:53" ht="15.75" hidden="1" customHeight="1" outlineLevel="1">
      <c r="A1358" s="413"/>
      <c r="B1358" s="99"/>
      <c r="C1358" s="99"/>
      <c r="D1358" s="99"/>
      <c r="E1358" s="99"/>
      <c r="F1358" s="99"/>
      <c r="G1358" s="99"/>
      <c r="H1358" s="99"/>
      <c r="I1358" s="99"/>
      <c r="J1358" s="99"/>
      <c r="K1358" s="99"/>
      <c r="L1358" s="99"/>
      <c r="M1358" s="99"/>
      <c r="N1358" s="99"/>
      <c r="O1358" s="99"/>
      <c r="P1358" s="99"/>
      <c r="Q1358" s="99"/>
      <c r="R1358" s="99"/>
      <c r="S1358" s="99"/>
      <c r="T1358" s="105">
        <f>IF($W$1335&gt;0,'Assumptions (Hydro)'!$V$13*Model!$W$1335*'Assumptions (Hydro)'!S$2/10^9,0)</f>
        <v>0</v>
      </c>
      <c r="U1358" s="105">
        <f>IF($W$1335&gt;0,'Assumptions (Hydro)'!$V$13*Model!$W$1335*'Assumptions (Hydro)'!T$2/10^9,0)</f>
        <v>0</v>
      </c>
      <c r="V1358" s="105">
        <f>IF($W$1335&gt;0,'Assumptions (Hydro)'!$V$13*Model!$W$1335*'Assumptions (Hydro)'!U$2/10^9,0)</f>
        <v>0</v>
      </c>
      <c r="W1358" s="105"/>
      <c r="X1358" s="105"/>
      <c r="Y1358" s="105"/>
      <c r="Z1358" s="105"/>
      <c r="AA1358" s="105"/>
      <c r="AB1358" s="105"/>
      <c r="AC1358" s="105"/>
      <c r="AD1358" s="105"/>
      <c r="AE1358" s="105"/>
      <c r="AF1358" s="105"/>
      <c r="AG1358" s="105"/>
      <c r="AH1358" s="105"/>
      <c r="AI1358" s="105"/>
      <c r="AJ1358" s="105"/>
      <c r="AK1358" s="105"/>
      <c r="AL1358" s="105"/>
      <c r="AM1358" s="105"/>
      <c r="AN1358" s="105"/>
      <c r="AO1358" s="105"/>
      <c r="AP1358" s="105"/>
      <c r="AQ1358" s="105"/>
      <c r="AR1358" s="105"/>
      <c r="AS1358" s="105"/>
      <c r="AT1358" s="105"/>
      <c r="AU1358" s="105"/>
      <c r="AV1358" s="105"/>
      <c r="AW1358" s="105"/>
      <c r="AX1358" s="105"/>
      <c r="AY1358" s="105"/>
      <c r="AZ1358" s="105"/>
      <c r="BA1358" s="105"/>
    </row>
    <row r="1359" spans="1:53" ht="15.75" hidden="1" customHeight="1" outlineLevel="1">
      <c r="A1359" s="413"/>
      <c r="B1359" s="99"/>
      <c r="C1359" s="99"/>
      <c r="D1359" s="99"/>
      <c r="E1359" s="99"/>
      <c r="F1359" s="99"/>
      <c r="G1359" s="99"/>
      <c r="H1359" s="99"/>
      <c r="I1359" s="99"/>
      <c r="J1359" s="99"/>
      <c r="K1359" s="99"/>
      <c r="L1359" s="99"/>
      <c r="M1359" s="99"/>
      <c r="N1359" s="99"/>
      <c r="O1359" s="99"/>
      <c r="P1359" s="99"/>
      <c r="Q1359" s="99"/>
      <c r="R1359" s="99"/>
      <c r="S1359" s="99"/>
      <c r="T1359" s="99"/>
      <c r="U1359" s="105">
        <f>IF($X$1335&gt;0,'Assumptions (Hydro)'!$V$13*Model!$X$1335*'Assumptions (Hydro)'!T$2/10^9,0)</f>
        <v>3.5522443291041901</v>
      </c>
      <c r="V1359" s="105">
        <f>IF($X$1335&gt;0,'Assumptions (Hydro)'!$V$13*Model!$X$1335*'Assumptions (Hydro)'!U$2/10^9,0)</f>
        <v>3.623289215686273</v>
      </c>
      <c r="W1359" s="105">
        <f>IF($X$1335&gt;0,'Assumptions (Hydro)'!$V$13*Model!$X$1335*'Assumptions (Hydro)'!V$2/10^9,0)</f>
        <v>3.6957549999999992</v>
      </c>
      <c r="X1359" s="105"/>
      <c r="Y1359" s="105"/>
      <c r="Z1359" s="105"/>
      <c r="AA1359" s="105"/>
      <c r="AB1359" s="105"/>
      <c r="AC1359" s="105"/>
      <c r="AD1359" s="105"/>
      <c r="AE1359" s="105"/>
      <c r="AF1359" s="105"/>
      <c r="AG1359" s="105"/>
      <c r="AH1359" s="105"/>
      <c r="AI1359" s="105"/>
      <c r="AJ1359" s="105"/>
      <c r="AK1359" s="105"/>
      <c r="AL1359" s="105"/>
      <c r="AM1359" s="105"/>
      <c r="AN1359" s="105"/>
      <c r="AO1359" s="105"/>
      <c r="AP1359" s="105"/>
      <c r="AQ1359" s="105"/>
      <c r="AR1359" s="105"/>
      <c r="AS1359" s="105"/>
      <c r="AT1359" s="105"/>
      <c r="AU1359" s="105"/>
      <c r="AV1359" s="105"/>
      <c r="AW1359" s="105"/>
      <c r="AX1359" s="105"/>
      <c r="AY1359" s="105"/>
      <c r="AZ1359" s="105"/>
      <c r="BA1359" s="105"/>
    </row>
    <row r="1360" spans="1:53" ht="15.75" hidden="1" customHeight="1" outlineLevel="1">
      <c r="A1360" s="413"/>
      <c r="B1360" s="99"/>
      <c r="C1360" s="99"/>
      <c r="D1360" s="99"/>
      <c r="E1360" s="99"/>
      <c r="F1360" s="99"/>
      <c r="G1360" s="99"/>
      <c r="H1360" s="99"/>
      <c r="I1360" s="99"/>
      <c r="J1360" s="99"/>
      <c r="K1360" s="99"/>
      <c r="L1360" s="99"/>
      <c r="M1360" s="99"/>
      <c r="N1360" s="99"/>
      <c r="O1360" s="99"/>
      <c r="P1360" s="99"/>
      <c r="Q1360" s="99"/>
      <c r="R1360" s="99"/>
      <c r="S1360" s="99"/>
      <c r="T1360" s="99"/>
      <c r="U1360" s="99"/>
      <c r="V1360" s="105">
        <f>IF($Y$1335&gt;0,'Assumptions (Hydro)'!$V$13*Model!$Y$1335*'Assumptions (Hydro)'!U$2/10^9,0)</f>
        <v>0</v>
      </c>
      <c r="W1360" s="105">
        <f>IF($Y$1335&gt;0,'Assumptions (Hydro)'!$V$13*Model!$Y$1335*'Assumptions (Hydro)'!V$2/10^9,0)</f>
        <v>0</v>
      </c>
      <c r="X1360" s="105">
        <f>IF($Y$1335&gt;0,'Assumptions (Hydro)'!$V$13*Model!$Y$1335*'Assumptions (Hydro)'!W$2/10^9,0)</f>
        <v>0</v>
      </c>
      <c r="Y1360" s="99"/>
      <c r="Z1360" s="99"/>
      <c r="AA1360" s="99"/>
      <c r="AB1360" s="99"/>
      <c r="AC1360" s="99"/>
      <c r="AD1360" s="99"/>
      <c r="AE1360" s="99"/>
      <c r="AF1360" s="99"/>
      <c r="AG1360" s="99"/>
      <c r="AH1360" s="99"/>
      <c r="AI1360" s="99"/>
      <c r="AJ1360" s="99"/>
      <c r="AK1360" s="99"/>
      <c r="AL1360" s="99"/>
      <c r="AM1360" s="99"/>
      <c r="AN1360" s="99"/>
      <c r="AO1360" s="99"/>
      <c r="AP1360" s="99"/>
      <c r="AQ1360" s="99"/>
      <c r="AR1360" s="99"/>
      <c r="AS1360" s="99"/>
      <c r="AT1360" s="99"/>
      <c r="AU1360" s="99"/>
      <c r="AV1360" s="99"/>
      <c r="AW1360" s="99"/>
      <c r="AX1360" s="99"/>
      <c r="AY1360" s="99"/>
      <c r="AZ1360" s="99"/>
      <c r="BA1360" s="99"/>
    </row>
    <row r="1361" spans="1:53" ht="15.75" hidden="1" customHeight="1" outlineLevel="1">
      <c r="A1361" s="413"/>
      <c r="B1361" s="99"/>
      <c r="C1361" s="99"/>
      <c r="D1361" s="99"/>
      <c r="E1361" s="99"/>
      <c r="F1361" s="99"/>
      <c r="G1361" s="99"/>
      <c r="H1361" s="99"/>
      <c r="I1361" s="99"/>
      <c r="J1361" s="99"/>
      <c r="K1361" s="99"/>
      <c r="L1361" s="99"/>
      <c r="M1361" s="99"/>
      <c r="N1361" s="99"/>
      <c r="O1361" s="99"/>
      <c r="P1361" s="99"/>
      <c r="Q1361" s="99"/>
      <c r="R1361" s="99"/>
      <c r="S1361" s="99"/>
      <c r="T1361" s="99"/>
      <c r="U1361" s="99"/>
      <c r="V1361" s="99"/>
      <c r="W1361" s="105">
        <f>IF($Z$1335&gt;0,'Assumptions (Hydro)'!$V$13*Model!$Z$1335*'Assumptions (Hydro)'!V$2/10^9,0)</f>
        <v>0</v>
      </c>
      <c r="X1361" s="105">
        <f>IF($Z$1335&gt;0,'Assumptions (Hydro)'!$V$13*Model!$Z$1335*'Assumptions (Hydro)'!W$2/10^9,0)</f>
        <v>0</v>
      </c>
      <c r="Y1361" s="105">
        <f>IF($Z$1335&gt;0,'Assumptions (Hydro)'!$V$13*Model!$Z$1335*'Assumptions (Hydro)'!X$2/10^9,0)</f>
        <v>0</v>
      </c>
      <c r="Z1361" s="99"/>
      <c r="AA1361" s="99"/>
      <c r="AB1361" s="99"/>
      <c r="AC1361" s="99"/>
      <c r="AD1361" s="99"/>
      <c r="AE1361" s="99"/>
      <c r="AF1361" s="99"/>
      <c r="AG1361" s="99"/>
      <c r="AH1361" s="99"/>
      <c r="AI1361" s="99"/>
      <c r="AJ1361" s="99"/>
      <c r="AK1361" s="99"/>
      <c r="AL1361" s="99"/>
      <c r="AM1361" s="99"/>
      <c r="AN1361" s="99"/>
      <c r="AO1361" s="99"/>
      <c r="AP1361" s="99"/>
      <c r="AQ1361" s="99"/>
      <c r="AR1361" s="99"/>
      <c r="AS1361" s="99"/>
      <c r="AT1361" s="99"/>
      <c r="AU1361" s="99"/>
      <c r="AV1361" s="99"/>
      <c r="AW1361" s="99"/>
      <c r="AX1361" s="99"/>
      <c r="AY1361" s="99"/>
      <c r="AZ1361" s="99"/>
      <c r="BA1361" s="99"/>
    </row>
    <row r="1362" spans="1:53" ht="15.75" hidden="1" customHeight="1" outlineLevel="1">
      <c r="A1362" s="413"/>
      <c r="B1362" s="99"/>
      <c r="C1362" s="99"/>
      <c r="D1362" s="99"/>
      <c r="E1362" s="99"/>
      <c r="F1362" s="99"/>
      <c r="G1362" s="99"/>
      <c r="H1362" s="99"/>
      <c r="I1362" s="99"/>
      <c r="J1362" s="99"/>
      <c r="K1362" s="99"/>
      <c r="L1362" s="99"/>
      <c r="M1362" s="99"/>
      <c r="N1362" s="99"/>
      <c r="O1362" s="99"/>
      <c r="P1362" s="99"/>
      <c r="Q1362" s="99"/>
      <c r="R1362" s="99"/>
      <c r="S1362" s="99"/>
      <c r="T1362" s="99"/>
      <c r="U1362" s="99"/>
      <c r="V1362" s="99"/>
      <c r="W1362" s="99"/>
      <c r="X1362" s="105">
        <f>IF($AA$1335&gt;0,'Assumptions (Hydro)'!$V$13*Model!$AA$1335*'Assumptions (Hydro)'!W$2/10^9,0)</f>
        <v>0</v>
      </c>
      <c r="Y1362" s="105">
        <f>IF($AA$1335&gt;0,'Assumptions (Hydro)'!$V$13*Model!$AA$1335*'Assumptions (Hydro)'!X$2/10^9,0)</f>
        <v>0</v>
      </c>
      <c r="Z1362" s="105">
        <f>IF($AA$1335&gt;0,'Assumptions (Hydro)'!$V$13*Model!$AA$1335*'Assumptions (Hydro)'!Y$2/10^9,0)</f>
        <v>0</v>
      </c>
      <c r="AA1362" s="99"/>
      <c r="AB1362" s="99"/>
      <c r="AC1362" s="99"/>
      <c r="AD1362" s="99"/>
      <c r="AE1362" s="99"/>
      <c r="AF1362" s="99"/>
      <c r="AG1362" s="99"/>
      <c r="AH1362" s="99"/>
      <c r="AI1362" s="99"/>
      <c r="AJ1362" s="99"/>
      <c r="AK1362" s="99"/>
      <c r="AL1362" s="99"/>
      <c r="AM1362" s="99"/>
      <c r="AN1362" s="99"/>
      <c r="AO1362" s="99"/>
      <c r="AP1362" s="99"/>
      <c r="AQ1362" s="99"/>
      <c r="AR1362" s="99"/>
      <c r="AS1362" s="99"/>
      <c r="AT1362" s="99"/>
      <c r="AU1362" s="99"/>
      <c r="AV1362" s="99"/>
      <c r="AW1362" s="99"/>
      <c r="AX1362" s="99"/>
      <c r="AY1362" s="99"/>
      <c r="AZ1362" s="99"/>
      <c r="BA1362" s="99"/>
    </row>
    <row r="1363" spans="1:53" ht="15.75" hidden="1" customHeight="1" outlineLevel="1">
      <c r="A1363" s="413"/>
      <c r="B1363" s="99"/>
      <c r="C1363" s="99"/>
      <c r="D1363" s="99"/>
      <c r="E1363" s="99"/>
      <c r="F1363" s="99"/>
      <c r="G1363" s="99"/>
      <c r="H1363" s="99"/>
      <c r="I1363" s="99"/>
      <c r="J1363" s="99"/>
      <c r="K1363" s="99"/>
      <c r="L1363" s="99"/>
      <c r="M1363" s="99"/>
      <c r="N1363" s="99"/>
      <c r="O1363" s="99"/>
      <c r="P1363" s="99"/>
      <c r="Q1363" s="99"/>
      <c r="R1363" s="99"/>
      <c r="S1363" s="99"/>
      <c r="T1363" s="99"/>
      <c r="U1363" s="99"/>
      <c r="V1363" s="99"/>
      <c r="W1363" s="99"/>
      <c r="X1363" s="99"/>
      <c r="Y1363" s="105">
        <f>IF($AB$1335&gt;0,'Assumptions (Hydro)'!$V$13*Model!$AB$1335*'Assumptions (Hydro)'!X$2/10^9,0)</f>
        <v>0</v>
      </c>
      <c r="Z1363" s="105">
        <f>IF($AB$1335&gt;0,'Assumptions (Hydro)'!$V$13*Model!$AB$1335*'Assumptions (Hydro)'!Y$2/10^9,0)</f>
        <v>0</v>
      </c>
      <c r="AA1363" s="105">
        <f>IF($AB$1335&gt;0,'Assumptions (Hydro)'!$V$13*Model!$AB$1335*'Assumptions (Hydro)'!Z$2/10^9,0)</f>
        <v>0</v>
      </c>
      <c r="AB1363" s="99"/>
      <c r="AC1363" s="99"/>
      <c r="AD1363" s="99"/>
      <c r="AE1363" s="99"/>
      <c r="AF1363" s="99"/>
      <c r="AG1363" s="99"/>
      <c r="AH1363" s="99"/>
      <c r="AI1363" s="99"/>
      <c r="AJ1363" s="99"/>
      <c r="AK1363" s="99"/>
      <c r="AL1363" s="99"/>
      <c r="AM1363" s="99"/>
      <c r="AN1363" s="99"/>
      <c r="AO1363" s="99"/>
      <c r="AP1363" s="99"/>
      <c r="AQ1363" s="99"/>
      <c r="AR1363" s="99"/>
      <c r="AS1363" s="99"/>
      <c r="AT1363" s="99"/>
      <c r="AU1363" s="99"/>
      <c r="AV1363" s="99"/>
      <c r="AW1363" s="99"/>
      <c r="AX1363" s="99"/>
      <c r="AY1363" s="99"/>
      <c r="AZ1363" s="99"/>
      <c r="BA1363" s="99"/>
    </row>
    <row r="1364" spans="1:53" ht="15.75" hidden="1" customHeight="1" outlineLevel="1">
      <c r="A1364" s="413"/>
      <c r="B1364" s="99"/>
      <c r="C1364" s="99"/>
      <c r="D1364" s="99"/>
      <c r="E1364" s="99"/>
      <c r="F1364" s="99"/>
      <c r="G1364" s="99"/>
      <c r="H1364" s="99"/>
      <c r="I1364" s="99"/>
      <c r="J1364" s="99"/>
      <c r="K1364" s="99"/>
      <c r="L1364" s="99"/>
      <c r="M1364" s="99"/>
      <c r="N1364" s="99"/>
      <c r="O1364" s="99"/>
      <c r="P1364" s="99"/>
      <c r="Q1364" s="99"/>
      <c r="R1364" s="99"/>
      <c r="S1364" s="99"/>
      <c r="T1364" s="99"/>
      <c r="U1364" s="99"/>
      <c r="V1364" s="99"/>
      <c r="W1364" s="99"/>
      <c r="X1364" s="99"/>
      <c r="Y1364" s="99"/>
      <c r="Z1364" s="105">
        <f>IF($AC$1335&gt;0,'Assumptions (Hydro)'!$V$13*Model!$AC$1335*'Assumptions (Hydro)'!Y$2/10^9,0)</f>
        <v>0</v>
      </c>
      <c r="AA1364" s="105">
        <f>IF($AC$1335&gt;0,'Assumptions (Hydro)'!$V$13*Model!$AC$1335*'Assumptions (Hydro)'!Z$2/10^9,0)</f>
        <v>0</v>
      </c>
      <c r="AB1364" s="105">
        <f>IF($AC$1335&gt;0,'Assumptions (Hydro)'!$V$13*Model!$AC$1335*'Assumptions (Hydro)'!AA$2/10^9,0)</f>
        <v>0</v>
      </c>
      <c r="AC1364" s="99"/>
      <c r="AD1364" s="99"/>
      <c r="AE1364" s="99"/>
      <c r="AF1364" s="99"/>
      <c r="AG1364" s="99"/>
      <c r="AH1364" s="99"/>
      <c r="AI1364" s="99"/>
      <c r="AJ1364" s="99"/>
      <c r="AK1364" s="99"/>
      <c r="AL1364" s="99"/>
      <c r="AM1364" s="99"/>
      <c r="AN1364" s="99"/>
      <c r="AO1364" s="99"/>
      <c r="AP1364" s="99"/>
      <c r="AQ1364" s="99"/>
      <c r="AR1364" s="99"/>
      <c r="AS1364" s="99"/>
      <c r="AT1364" s="99"/>
      <c r="AU1364" s="99"/>
      <c r="AV1364" s="99"/>
      <c r="AW1364" s="99"/>
      <c r="AX1364" s="99"/>
      <c r="AY1364" s="99"/>
      <c r="AZ1364" s="99"/>
      <c r="BA1364" s="99"/>
    </row>
    <row r="1365" spans="1:53" ht="15.75" hidden="1" customHeight="1" outlineLevel="1">
      <c r="A1365" s="413"/>
      <c r="B1365" s="99"/>
      <c r="C1365" s="99"/>
      <c r="D1365" s="99"/>
      <c r="E1365" s="99"/>
      <c r="F1365" s="99"/>
      <c r="G1365" s="99"/>
      <c r="H1365" s="99"/>
      <c r="I1365" s="99"/>
      <c r="J1365" s="99"/>
      <c r="K1365" s="99"/>
      <c r="L1365" s="99"/>
      <c r="M1365" s="99"/>
      <c r="N1365" s="99"/>
      <c r="O1365" s="99"/>
      <c r="P1365" s="99"/>
      <c r="Q1365" s="99"/>
      <c r="R1365" s="99"/>
      <c r="S1365" s="99"/>
      <c r="T1365" s="99"/>
      <c r="U1365" s="99"/>
      <c r="V1365" s="99"/>
      <c r="W1365" s="99"/>
      <c r="X1365" s="99"/>
      <c r="Y1365" s="99"/>
      <c r="Z1365" s="99"/>
      <c r="AA1365" s="105">
        <f>IF($AD$1335&gt;0,'Assumptions (Hydro)'!$V$13*Model!$AD$1335*'Assumptions (Hydro)'!Z$2/10^9,0)</f>
        <v>0</v>
      </c>
      <c r="AB1365" s="105">
        <f>IF($AD$1335&gt;0,'Assumptions (Hydro)'!$V$13*Model!$AD$1335*'Assumptions (Hydro)'!AA$2/10^9,0)</f>
        <v>0</v>
      </c>
      <c r="AC1365" s="105">
        <f>IF($AD$1335&gt;0,'Assumptions (Hydro)'!$V$13*Model!$AD$1335*'Assumptions (Hydro)'!AB$2/10^9,0)</f>
        <v>0</v>
      </c>
      <c r="AD1365" s="99"/>
      <c r="AE1365" s="99"/>
      <c r="AF1365" s="99"/>
      <c r="AG1365" s="99"/>
      <c r="AH1365" s="99"/>
      <c r="AI1365" s="99"/>
      <c r="AJ1365" s="99"/>
      <c r="AK1365" s="99"/>
      <c r="AL1365" s="99"/>
      <c r="AM1365" s="99"/>
      <c r="AN1365" s="99"/>
      <c r="AO1365" s="99"/>
      <c r="AP1365" s="99"/>
      <c r="AQ1365" s="99"/>
      <c r="AR1365" s="99"/>
      <c r="AS1365" s="99"/>
      <c r="AT1365" s="99"/>
      <c r="AU1365" s="99"/>
      <c r="AV1365" s="99"/>
      <c r="AW1365" s="99"/>
      <c r="AX1365" s="99"/>
      <c r="AY1365" s="99"/>
      <c r="AZ1365" s="99"/>
      <c r="BA1365" s="99"/>
    </row>
    <row r="1366" spans="1:53" ht="15.75" hidden="1" customHeight="1" outlineLevel="1">
      <c r="A1366" s="413"/>
      <c r="B1366" s="99"/>
      <c r="C1366" s="99"/>
      <c r="D1366" s="99"/>
      <c r="E1366" s="99"/>
      <c r="F1366" s="99"/>
      <c r="G1366" s="99"/>
      <c r="H1366" s="99"/>
      <c r="I1366" s="99"/>
      <c r="J1366" s="99"/>
      <c r="K1366" s="99"/>
      <c r="L1366" s="99"/>
      <c r="M1366" s="99"/>
      <c r="N1366" s="99"/>
      <c r="O1366" s="99"/>
      <c r="P1366" s="99"/>
      <c r="Q1366" s="99"/>
      <c r="R1366" s="99"/>
      <c r="S1366" s="99"/>
      <c r="T1366" s="99"/>
      <c r="U1366" s="99"/>
      <c r="V1366" s="99"/>
      <c r="W1366" s="99"/>
      <c r="X1366" s="99"/>
      <c r="Y1366" s="99"/>
      <c r="Z1366" s="99"/>
      <c r="AA1366" s="99"/>
      <c r="AB1366" s="105">
        <f>IF($AE$1335&gt;0,'Assumptions (Hydro)'!$V$13*Model!$AE$1335*'Assumptions (Hydro)'!AA$2/10^9,0)</f>
        <v>0</v>
      </c>
      <c r="AC1366" s="105">
        <f>IF($AE$1335&gt;0,'Assumptions (Hydro)'!$V$13*Model!$AE$1335*'Assumptions (Hydro)'!AB$2/10^9,0)</f>
        <v>0</v>
      </c>
      <c r="AD1366" s="105">
        <f>IF($AE$1335&gt;0,'Assumptions (Hydro)'!$V$13*Model!$AE$1335*'Assumptions (Hydro)'!AC$2/10^9,0)</f>
        <v>0</v>
      </c>
      <c r="AE1366" s="99"/>
      <c r="AF1366" s="99"/>
      <c r="AG1366" s="99"/>
      <c r="AH1366" s="99"/>
      <c r="AI1366" s="99"/>
      <c r="AJ1366" s="99"/>
      <c r="AK1366" s="99"/>
      <c r="AL1366" s="99"/>
      <c r="AM1366" s="99"/>
      <c r="AN1366" s="99"/>
      <c r="AO1366" s="99"/>
      <c r="AP1366" s="99"/>
      <c r="AQ1366" s="99"/>
      <c r="AR1366" s="99"/>
      <c r="AS1366" s="99"/>
      <c r="AT1366" s="99"/>
      <c r="AU1366" s="99"/>
      <c r="AV1366" s="99"/>
      <c r="AW1366" s="99"/>
      <c r="AX1366" s="99"/>
      <c r="AY1366" s="99"/>
      <c r="AZ1366" s="99"/>
      <c r="BA1366" s="99"/>
    </row>
    <row r="1367" spans="1:53" ht="15.75" hidden="1" customHeight="1" outlineLevel="1">
      <c r="A1367" s="413"/>
      <c r="B1367" s="99"/>
      <c r="C1367" s="99"/>
      <c r="D1367" s="99"/>
      <c r="E1367" s="99"/>
      <c r="F1367" s="99"/>
      <c r="G1367" s="99"/>
      <c r="H1367" s="99"/>
      <c r="I1367" s="99"/>
      <c r="J1367" s="99"/>
      <c r="K1367" s="99"/>
      <c r="L1367" s="99"/>
      <c r="M1367" s="99"/>
      <c r="N1367" s="99"/>
      <c r="O1367" s="99"/>
      <c r="P1367" s="99"/>
      <c r="Q1367" s="99"/>
      <c r="R1367" s="99"/>
      <c r="S1367" s="99"/>
      <c r="T1367" s="99"/>
      <c r="U1367" s="99"/>
      <c r="V1367" s="99"/>
      <c r="W1367" s="99"/>
      <c r="X1367" s="99"/>
      <c r="Y1367" s="99"/>
      <c r="Z1367" s="99"/>
      <c r="AA1367" s="99"/>
      <c r="AB1367" s="99"/>
      <c r="AC1367" s="105">
        <f>IF($AF$1335&gt;0,'Assumptions (Hydro)'!$V$13*Model!$AF$1335*'Assumptions (Hydro)'!AB$2/10^9,0)</f>
        <v>0</v>
      </c>
      <c r="AD1367" s="105">
        <f>IF($AF$1335&gt;0,'Assumptions (Hydro)'!$V$13*Model!$AF$1335*'Assumptions (Hydro)'!AC$2/10^9,0)</f>
        <v>0</v>
      </c>
      <c r="AE1367" s="105">
        <f>IF($AF$1335&gt;0,'Assumptions (Hydro)'!$V$13*Model!$AF$1335*'Assumptions (Hydro)'!AD$2/10^9,0)</f>
        <v>0</v>
      </c>
      <c r="AF1367" s="99"/>
      <c r="AG1367" s="99"/>
      <c r="AH1367" s="99"/>
      <c r="AI1367" s="99"/>
      <c r="AJ1367" s="99"/>
      <c r="AK1367" s="99"/>
      <c r="AL1367" s="99"/>
      <c r="AM1367" s="99"/>
      <c r="AN1367" s="99"/>
      <c r="AO1367" s="99"/>
      <c r="AP1367" s="99"/>
      <c r="AQ1367" s="99"/>
      <c r="AR1367" s="99"/>
      <c r="AS1367" s="99"/>
      <c r="AT1367" s="99"/>
      <c r="AU1367" s="99"/>
      <c r="AV1367" s="99"/>
      <c r="AW1367" s="99"/>
      <c r="AX1367" s="99"/>
      <c r="AY1367" s="99"/>
      <c r="AZ1367" s="99"/>
      <c r="BA1367" s="99"/>
    </row>
    <row r="1368" spans="1:53" ht="15.75" hidden="1" customHeight="1" outlineLevel="1">
      <c r="A1368" s="413"/>
      <c r="B1368" s="99"/>
      <c r="C1368" s="99"/>
      <c r="D1368" s="99"/>
      <c r="E1368" s="99"/>
      <c r="F1368" s="99"/>
      <c r="G1368" s="99"/>
      <c r="H1368" s="99"/>
      <c r="I1368" s="99"/>
      <c r="J1368" s="99"/>
      <c r="K1368" s="99"/>
      <c r="L1368" s="99"/>
      <c r="M1368" s="99"/>
      <c r="N1368" s="99"/>
      <c r="O1368" s="99"/>
      <c r="P1368" s="99"/>
      <c r="Q1368" s="99"/>
      <c r="R1368" s="99"/>
      <c r="S1368" s="99"/>
      <c r="T1368" s="99"/>
      <c r="U1368" s="99"/>
      <c r="V1368" s="99"/>
      <c r="W1368" s="99"/>
      <c r="X1368" s="99"/>
      <c r="Y1368" s="99"/>
      <c r="Z1368" s="99"/>
      <c r="AA1368" s="99"/>
      <c r="AB1368" s="99"/>
      <c r="AC1368" s="99"/>
      <c r="AD1368" s="409">
        <f>IF($AG$1335&gt;0,'Assumptions (Hydro)'!$V$13*Model!$AG$1335*'Assumptions (Hydro)'!AC$2/10^9,0)</f>
        <v>0</v>
      </c>
      <c r="AE1368" s="409">
        <f>IF($AG$1335&gt;0,'Assumptions (Hydro)'!$V$13*Model!$AG$1335*'Assumptions (Hydro)'!AD$2/10^9,0)</f>
        <v>0</v>
      </c>
      <c r="AF1368" s="409">
        <f>IF($AG$1335&gt;0,'Assumptions (Hydro)'!$V$13*Model!$AG$1335*'Assumptions (Hydro)'!AE$2/10^9,0)</f>
        <v>0</v>
      </c>
      <c r="AG1368" s="416"/>
      <c r="AH1368" s="416"/>
      <c r="AI1368" s="416"/>
      <c r="AJ1368" s="416"/>
      <c r="AK1368" s="99"/>
      <c r="AL1368" s="99"/>
      <c r="AM1368" s="99"/>
      <c r="AN1368" s="99"/>
      <c r="AO1368" s="99"/>
      <c r="AP1368" s="99"/>
      <c r="AQ1368" s="99"/>
      <c r="AR1368" s="99"/>
      <c r="AS1368" s="99"/>
      <c r="AT1368" s="99"/>
      <c r="AU1368" s="99"/>
      <c r="AV1368" s="99"/>
      <c r="AW1368" s="99"/>
      <c r="AX1368" s="99"/>
      <c r="AY1368" s="99"/>
      <c r="AZ1368" s="99"/>
      <c r="BA1368" s="99"/>
    </row>
    <row r="1369" spans="1:53" ht="15.75" hidden="1" customHeight="1" outlineLevel="1">
      <c r="A1369" s="413"/>
      <c r="B1369" s="99"/>
      <c r="C1369" s="99"/>
      <c r="D1369" s="99"/>
      <c r="E1369" s="99"/>
      <c r="F1369" s="99"/>
      <c r="G1369" s="99"/>
      <c r="H1369" s="99"/>
      <c r="I1369" s="99"/>
      <c r="J1369" s="99"/>
      <c r="K1369" s="99"/>
      <c r="L1369" s="99"/>
      <c r="M1369" s="99"/>
      <c r="N1369" s="99"/>
      <c r="O1369" s="99"/>
      <c r="P1369" s="99"/>
      <c r="Q1369" s="99"/>
      <c r="R1369" s="99"/>
      <c r="S1369" s="99"/>
      <c r="T1369" s="99"/>
      <c r="U1369" s="99"/>
      <c r="V1369" s="99"/>
      <c r="W1369" s="99"/>
      <c r="X1369" s="99"/>
      <c r="Y1369" s="99"/>
      <c r="Z1369" s="99"/>
      <c r="AA1369" s="99"/>
      <c r="AB1369" s="99"/>
      <c r="AC1369" s="99"/>
      <c r="AD1369" s="416"/>
      <c r="AE1369" s="409">
        <f>IF($AH$1335&gt;0,'Assumptions (Hydro)'!$V$13*Model!$AH$1335*'Assumptions (Hydro)'!AD$2/10^9,0)</f>
        <v>0</v>
      </c>
      <c r="AF1369" s="409">
        <f>IF($AH$1335&gt;0,'Assumptions (Hydro)'!$V$13*Model!$AH$1335*'Assumptions (Hydro)'!AE$2/10^9,0)</f>
        <v>0</v>
      </c>
      <c r="AG1369" s="409">
        <f>IF($AH$1335&gt;0,'Assumptions (Hydro)'!$V$13*Model!$AH$1335*'Assumptions (Hydro)'!AF$2/10^9,0)</f>
        <v>0</v>
      </c>
      <c r="AH1369" s="416"/>
      <c r="AI1369" s="416"/>
      <c r="AJ1369" s="416"/>
      <c r="AK1369" s="99"/>
      <c r="AL1369" s="99"/>
      <c r="AM1369" s="99"/>
      <c r="AN1369" s="99"/>
      <c r="AO1369" s="99"/>
      <c r="AP1369" s="99"/>
      <c r="AQ1369" s="99"/>
      <c r="AR1369" s="99"/>
      <c r="AS1369" s="99"/>
      <c r="AT1369" s="99"/>
      <c r="AU1369" s="99"/>
      <c r="AV1369" s="99"/>
      <c r="AW1369" s="99"/>
      <c r="AX1369" s="99"/>
      <c r="AY1369" s="99"/>
      <c r="AZ1369" s="99"/>
      <c r="BA1369" s="99"/>
    </row>
    <row r="1370" spans="1:53" ht="15.75" hidden="1" customHeight="1" outlineLevel="1">
      <c r="A1370" s="413"/>
      <c r="B1370" s="99"/>
      <c r="C1370" s="99"/>
      <c r="D1370" s="99"/>
      <c r="E1370" s="99"/>
      <c r="F1370" s="99"/>
      <c r="G1370" s="99"/>
      <c r="H1370" s="99"/>
      <c r="I1370" s="99"/>
      <c r="J1370" s="99"/>
      <c r="K1370" s="99"/>
      <c r="L1370" s="99"/>
      <c r="M1370" s="99"/>
      <c r="N1370" s="99"/>
      <c r="O1370" s="99"/>
      <c r="P1370" s="99"/>
      <c r="Q1370" s="99"/>
      <c r="R1370" s="99"/>
      <c r="S1370" s="99"/>
      <c r="T1370" s="99"/>
      <c r="U1370" s="99"/>
      <c r="V1370" s="99"/>
      <c r="W1370" s="99"/>
      <c r="X1370" s="99"/>
      <c r="Y1370" s="99"/>
      <c r="Z1370" s="99"/>
      <c r="AA1370" s="99"/>
      <c r="AB1370" s="99"/>
      <c r="AC1370" s="99"/>
      <c r="AD1370" s="416"/>
      <c r="AE1370" s="416"/>
      <c r="AF1370" s="409">
        <f>IF($AI$1335&gt;0,'Assumptions (Hydro)'!$V$13*Model!$AI$1335*'Assumptions (Hydro)'!AE$2/10^9,0)</f>
        <v>0</v>
      </c>
      <c r="AG1370" s="409">
        <f>IF($AI$1335&gt;0,'Assumptions (Hydro)'!$V$13*Model!$AI$1335*'Assumptions (Hydro)'!AF$2/10^9,0)</f>
        <v>0</v>
      </c>
      <c r="AH1370" s="409">
        <f>IF($AI$1335&gt;0,'Assumptions (Hydro)'!$V$13*Model!$AI$1335*'Assumptions (Hydro)'!AG$2/10^9,0)</f>
        <v>0</v>
      </c>
      <c r="AI1370" s="416"/>
      <c r="AJ1370" s="416"/>
      <c r="AK1370" s="99"/>
      <c r="AL1370" s="99"/>
      <c r="AM1370" s="99"/>
      <c r="AN1370" s="99"/>
      <c r="AO1370" s="99"/>
      <c r="AP1370" s="99"/>
      <c r="AQ1370" s="99"/>
      <c r="AR1370" s="99"/>
      <c r="AS1370" s="99"/>
      <c r="AT1370" s="99"/>
      <c r="AU1370" s="99"/>
      <c r="AV1370" s="99"/>
      <c r="AW1370" s="99"/>
      <c r="AX1370" s="99"/>
      <c r="AY1370" s="99"/>
      <c r="AZ1370" s="99"/>
      <c r="BA1370" s="99"/>
    </row>
    <row r="1371" spans="1:53" ht="15.75" hidden="1" customHeight="1" outlineLevel="1">
      <c r="A1371" s="413"/>
      <c r="B1371" s="99"/>
      <c r="C1371" s="99"/>
      <c r="D1371" s="99"/>
      <c r="E1371" s="99"/>
      <c r="F1371" s="99"/>
      <c r="G1371" s="99"/>
      <c r="H1371" s="99"/>
      <c r="I1371" s="99"/>
      <c r="J1371" s="99"/>
      <c r="K1371" s="99"/>
      <c r="L1371" s="99"/>
      <c r="M1371" s="99"/>
      <c r="N1371" s="99"/>
      <c r="O1371" s="99"/>
      <c r="P1371" s="99"/>
      <c r="Q1371" s="99"/>
      <c r="R1371" s="99"/>
      <c r="S1371" s="99"/>
      <c r="T1371" s="99"/>
      <c r="U1371" s="99"/>
      <c r="V1371" s="99"/>
      <c r="W1371" s="99"/>
      <c r="X1371" s="99"/>
      <c r="Y1371" s="99"/>
      <c r="Z1371" s="99"/>
      <c r="AA1371" s="99"/>
      <c r="AB1371" s="99"/>
      <c r="AC1371" s="99"/>
      <c r="AD1371" s="416"/>
      <c r="AE1371" s="416"/>
      <c r="AF1371" s="416"/>
      <c r="AG1371" s="409">
        <f>IF($AJ$1335&gt;0,'Assumptions (Hydro)'!$V$13*Model!$AJ$1335*'Assumptions (Hydro)'!AF$2/10^9,0)</f>
        <v>0</v>
      </c>
      <c r="AH1371" s="409">
        <f>IF($AJ$1335&gt;0,'Assumptions (Hydro)'!$V$13*Model!$AJ$1335*'Assumptions (Hydro)'!AG$2/10^9,0)</f>
        <v>0</v>
      </c>
      <c r="AI1371" s="409">
        <f>IF($AJ$1335&gt;0,'Assumptions (Hydro)'!$V$13*Model!$AJ$1335*'Assumptions (Hydro)'!AH$2/10^9,0)</f>
        <v>0</v>
      </c>
      <c r="AJ1371" s="416"/>
      <c r="AK1371" s="99"/>
      <c r="AL1371" s="99"/>
      <c r="AM1371" s="99"/>
      <c r="AN1371" s="99"/>
      <c r="AO1371" s="99"/>
      <c r="AP1371" s="99"/>
      <c r="AQ1371" s="99"/>
      <c r="AR1371" s="99"/>
      <c r="AS1371" s="99"/>
      <c r="AT1371" s="99"/>
      <c r="AU1371" s="99"/>
      <c r="AV1371" s="99"/>
      <c r="AW1371" s="99"/>
      <c r="AX1371" s="99"/>
      <c r="AY1371" s="99"/>
      <c r="AZ1371" s="99"/>
      <c r="BA1371" s="99"/>
    </row>
    <row r="1372" spans="1:53" ht="15.75" hidden="1" customHeight="1" outlineLevel="1">
      <c r="A1372" s="413"/>
      <c r="B1372" s="99"/>
      <c r="C1372" s="99"/>
      <c r="D1372" s="99"/>
      <c r="E1372" s="99"/>
      <c r="F1372" s="99"/>
      <c r="G1372" s="99"/>
      <c r="H1372" s="99"/>
      <c r="I1372" s="99"/>
      <c r="J1372" s="99"/>
      <c r="K1372" s="99"/>
      <c r="L1372" s="99"/>
      <c r="M1372" s="99"/>
      <c r="N1372" s="99"/>
      <c r="O1372" s="99"/>
      <c r="P1372" s="99"/>
      <c r="Q1372" s="99"/>
      <c r="R1372" s="99"/>
      <c r="S1372" s="99"/>
      <c r="T1372" s="99"/>
      <c r="U1372" s="99"/>
      <c r="V1372" s="99"/>
      <c r="W1372" s="99"/>
      <c r="X1372" s="99"/>
      <c r="Y1372" s="99"/>
      <c r="Z1372" s="99"/>
      <c r="AA1372" s="99"/>
      <c r="AB1372" s="99"/>
      <c r="AC1372" s="99"/>
      <c r="AD1372" s="416"/>
      <c r="AE1372" s="416"/>
      <c r="AF1372" s="416"/>
      <c r="AG1372" s="416"/>
      <c r="AH1372" s="409">
        <f>IF($AK$1335&gt;0,'Assumptions (Hydro)'!$V$13*Model!$AK$1335*'Assumptions (Hydro)'!AG$2/10^9,0)</f>
        <v>0</v>
      </c>
      <c r="AI1372" s="409">
        <f>IF($AK$1335&gt;0,'Assumptions (Hydro)'!$V$13*Model!$AK$1335*'Assumptions (Hydro)'!AH$2/10^9,0)</f>
        <v>0</v>
      </c>
      <c r="AJ1372" s="409">
        <f>IF($AK$1335&gt;0,'Assumptions (Hydro)'!$V$13*Model!$AK$1335*'Assumptions (Hydro)'!AI$2/10^9,0)</f>
        <v>0</v>
      </c>
      <c r="AK1372" s="99"/>
      <c r="AL1372" s="99"/>
      <c r="AM1372" s="99"/>
      <c r="AN1372" s="99"/>
      <c r="AO1372" s="99"/>
      <c r="AP1372" s="99"/>
      <c r="AQ1372" s="99"/>
      <c r="AR1372" s="99"/>
      <c r="AS1372" s="99"/>
      <c r="AT1372" s="99"/>
      <c r="AU1372" s="99"/>
      <c r="AV1372" s="99"/>
      <c r="AW1372" s="99"/>
      <c r="AX1372" s="99"/>
      <c r="AY1372" s="99"/>
      <c r="AZ1372" s="99"/>
      <c r="BA1372" s="99"/>
    </row>
    <row r="1373" spans="1:53" ht="15.75" hidden="1" customHeight="1" outlineLevel="1">
      <c r="A1373" s="413"/>
      <c r="B1373" s="99"/>
      <c r="C1373" s="99"/>
      <c r="D1373" s="99"/>
      <c r="E1373" s="99"/>
      <c r="F1373" s="99"/>
      <c r="G1373" s="99"/>
      <c r="H1373" s="99"/>
      <c r="I1373" s="99"/>
      <c r="J1373" s="99"/>
      <c r="K1373" s="99"/>
      <c r="L1373" s="99"/>
      <c r="M1373" s="99"/>
      <c r="N1373" s="99"/>
      <c r="O1373" s="99"/>
      <c r="P1373" s="99"/>
      <c r="Q1373" s="99"/>
      <c r="R1373" s="99"/>
      <c r="S1373" s="99"/>
      <c r="T1373" s="99"/>
      <c r="U1373" s="99"/>
      <c r="V1373" s="99"/>
      <c r="W1373" s="99"/>
      <c r="X1373" s="99"/>
      <c r="Y1373" s="99"/>
      <c r="Z1373" s="99"/>
      <c r="AA1373" s="99"/>
      <c r="AB1373" s="99"/>
      <c r="AC1373" s="99"/>
      <c r="AD1373" s="99"/>
      <c r="AE1373" s="99"/>
      <c r="AF1373" s="99"/>
      <c r="AG1373" s="99"/>
      <c r="AH1373" s="99"/>
      <c r="AI1373" s="409">
        <f>IF($AL$1335&gt;0,'Assumptions (Hydro)'!$V$13*Model!$AL$1335*'Assumptions (Hydro)'!AH$2/10^9,0)</f>
        <v>0</v>
      </c>
      <c r="AJ1373" s="409">
        <f>IF($AL$1335&gt;0,'Assumptions (Hydro)'!$V$13*Model!$AL$1335*'Assumptions (Hydro)'!AI$2/10^9,0)</f>
        <v>0</v>
      </c>
      <c r="AK1373" s="409">
        <f>IF($AL$1335&gt;0,'Assumptions (Hydro)'!$V$13*Model!$AL$1335*'Assumptions (Hydro)'!AJ$2/10^9,0)</f>
        <v>0</v>
      </c>
      <c r="AL1373" s="99"/>
      <c r="AM1373" s="99"/>
      <c r="AN1373" s="99"/>
      <c r="AO1373" s="99"/>
      <c r="AP1373" s="99"/>
      <c r="AQ1373" s="99"/>
      <c r="AR1373" s="99"/>
      <c r="AS1373" s="99"/>
      <c r="AT1373" s="99"/>
      <c r="AU1373" s="99"/>
      <c r="AV1373" s="99"/>
      <c r="AW1373" s="99"/>
      <c r="AX1373" s="99"/>
      <c r="AY1373" s="99"/>
      <c r="AZ1373" s="99"/>
      <c r="BA1373" s="99"/>
    </row>
    <row r="1374" spans="1:53" ht="15.75" hidden="1" customHeight="1" outlineLevel="1">
      <c r="A1374" s="413"/>
      <c r="B1374" s="99"/>
      <c r="C1374" s="99"/>
      <c r="D1374" s="99"/>
      <c r="E1374" s="99"/>
      <c r="F1374" s="99"/>
      <c r="G1374" s="99"/>
      <c r="H1374" s="99"/>
      <c r="I1374" s="99"/>
      <c r="J1374" s="99"/>
      <c r="K1374" s="99"/>
      <c r="L1374" s="99"/>
      <c r="M1374" s="99"/>
      <c r="N1374" s="99"/>
      <c r="O1374" s="99"/>
      <c r="P1374" s="99"/>
      <c r="Q1374" s="99"/>
      <c r="R1374" s="99"/>
      <c r="S1374" s="99"/>
      <c r="T1374" s="99"/>
      <c r="U1374" s="99"/>
      <c r="V1374" s="99"/>
      <c r="W1374" s="99"/>
      <c r="X1374" s="99"/>
      <c r="Y1374" s="99"/>
      <c r="Z1374" s="99"/>
      <c r="AA1374" s="99"/>
      <c r="AB1374" s="99"/>
      <c r="AC1374" s="99"/>
      <c r="AD1374" s="99"/>
      <c r="AE1374" s="99"/>
      <c r="AF1374" s="99"/>
      <c r="AG1374" s="99"/>
      <c r="AH1374" s="99"/>
      <c r="AI1374" s="99"/>
      <c r="AJ1374" s="409">
        <f>IF($AM$1335&gt;0,'Assumptions (Hydro)'!$V$13*Model!$AM$1335*'Assumptions (Hydro)'!AI$2/10^9,0)</f>
        <v>0</v>
      </c>
      <c r="AK1374" s="409">
        <f>IF($AM$1335&gt;0,'Assumptions (Hydro)'!$V$13*Model!$AM$1335*'Assumptions (Hydro)'!AJ$2/10^9,0)</f>
        <v>0</v>
      </c>
      <c r="AL1374" s="409">
        <f>IF($AM$1335&gt;0,'Assumptions (Hydro)'!$V$13*Model!$AM$1335*'Assumptions (Hydro)'!AK$2/10^9,0)</f>
        <v>0</v>
      </c>
      <c r="AM1374" s="99"/>
      <c r="AN1374" s="99"/>
      <c r="AO1374" s="99"/>
      <c r="AP1374" s="99"/>
      <c r="AQ1374" s="99"/>
      <c r="AR1374" s="99"/>
      <c r="AS1374" s="99"/>
      <c r="AT1374" s="99"/>
      <c r="AU1374" s="99"/>
      <c r="AV1374" s="99"/>
      <c r="AW1374" s="99"/>
      <c r="AX1374" s="99"/>
      <c r="AY1374" s="99"/>
      <c r="AZ1374" s="99"/>
      <c r="BA1374" s="99"/>
    </row>
    <row r="1375" spans="1:53" ht="15.75" hidden="1" customHeight="1" outlineLevel="1">
      <c r="A1375" s="413"/>
      <c r="B1375" s="99"/>
      <c r="C1375" s="99"/>
      <c r="D1375" s="99"/>
      <c r="E1375" s="99"/>
      <c r="F1375" s="99"/>
      <c r="G1375" s="99"/>
      <c r="H1375" s="99"/>
      <c r="I1375" s="99"/>
      <c r="J1375" s="99"/>
      <c r="K1375" s="99"/>
      <c r="L1375" s="99"/>
      <c r="M1375" s="99"/>
      <c r="N1375" s="99"/>
      <c r="O1375" s="99"/>
      <c r="P1375" s="99"/>
      <c r="Q1375" s="99"/>
      <c r="R1375" s="99"/>
      <c r="S1375" s="99"/>
      <c r="T1375" s="99"/>
      <c r="U1375" s="99"/>
      <c r="V1375" s="99"/>
      <c r="W1375" s="99"/>
      <c r="X1375" s="99"/>
      <c r="Y1375" s="99"/>
      <c r="Z1375" s="99"/>
      <c r="AA1375" s="99"/>
      <c r="AB1375" s="99"/>
      <c r="AC1375" s="99"/>
      <c r="AD1375" s="99"/>
      <c r="AE1375" s="99"/>
      <c r="AF1375" s="99"/>
      <c r="AG1375" s="99"/>
      <c r="AH1375" s="99"/>
      <c r="AI1375" s="99"/>
      <c r="AJ1375" s="99"/>
      <c r="AK1375" s="409">
        <f>IF($AN$1335&gt;0,'Assumptions (Hydro)'!$V$13*Model!$AN$1335*'Assumptions (Hydro)'!AJ$2/10^9,0)</f>
        <v>0</v>
      </c>
      <c r="AL1375" s="409">
        <f>IF($AN$1335&gt;0,'Assumptions (Hydro)'!$V$13*Model!$AN$1335*'Assumptions (Hydro)'!AK$2/10^9,0)</f>
        <v>0</v>
      </c>
      <c r="AM1375" s="409">
        <f>IF($AN$1335&gt;0,'Assumptions (Hydro)'!$V$13*Model!$AN$1335*'Assumptions (Hydro)'!AL$2/10^9,0)</f>
        <v>0</v>
      </c>
      <c r="AN1375" s="99"/>
      <c r="AO1375" s="99"/>
      <c r="AP1375" s="99"/>
      <c r="AQ1375" s="99"/>
      <c r="AR1375" s="99"/>
      <c r="AS1375" s="99"/>
      <c r="AT1375" s="99"/>
      <c r="AU1375" s="99"/>
      <c r="AV1375" s="99"/>
      <c r="AW1375" s="99"/>
      <c r="AX1375" s="99"/>
      <c r="AY1375" s="99"/>
      <c r="AZ1375" s="99"/>
      <c r="BA1375" s="99"/>
    </row>
    <row r="1376" spans="1:53" ht="15.75" hidden="1" customHeight="1" outlineLevel="1">
      <c r="A1376" s="413"/>
      <c r="B1376" s="99"/>
      <c r="C1376" s="99"/>
      <c r="D1376" s="99"/>
      <c r="E1376" s="99"/>
      <c r="F1376" s="99"/>
      <c r="G1376" s="99"/>
      <c r="H1376" s="99"/>
      <c r="I1376" s="99"/>
      <c r="J1376" s="99"/>
      <c r="K1376" s="99"/>
      <c r="L1376" s="99"/>
      <c r="M1376" s="99"/>
      <c r="N1376" s="99"/>
      <c r="O1376" s="99"/>
      <c r="P1376" s="99"/>
      <c r="Q1376" s="99"/>
      <c r="R1376" s="99"/>
      <c r="S1376" s="99"/>
      <c r="T1376" s="99"/>
      <c r="U1376" s="99"/>
      <c r="V1376" s="99"/>
      <c r="W1376" s="99"/>
      <c r="X1376" s="99"/>
      <c r="Y1376" s="99"/>
      <c r="Z1376" s="99"/>
      <c r="AA1376" s="99"/>
      <c r="AB1376" s="99"/>
      <c r="AC1376" s="99"/>
      <c r="AD1376" s="99"/>
      <c r="AE1376" s="99"/>
      <c r="AF1376" s="99"/>
      <c r="AG1376" s="99"/>
      <c r="AH1376" s="99"/>
      <c r="AI1376" s="99"/>
      <c r="AJ1376" s="99"/>
      <c r="AK1376" s="99"/>
      <c r="AL1376" s="409">
        <f>IF($AO$1335&gt;0,'Assumptions (Hydro)'!$V$13*Model!$AO$1335*'Assumptions (Hydro)'!AK$2/10^9,0)</f>
        <v>0</v>
      </c>
      <c r="AM1376" s="409">
        <f>IF($AO$1335&gt;0,'Assumptions (Hydro)'!$V$13*Model!$AO$1335*'Assumptions (Hydro)'!AL$2/10^9,0)</f>
        <v>0</v>
      </c>
      <c r="AN1376" s="409">
        <f>IF($AO$1335&gt;0,'Assumptions (Hydro)'!$V$13*Model!$AO$1335*'Assumptions (Hydro)'!AM$2/10^9,0)</f>
        <v>0</v>
      </c>
      <c r="AO1376" s="99"/>
      <c r="AP1376" s="99"/>
      <c r="AQ1376" s="99"/>
      <c r="AR1376" s="99"/>
      <c r="AS1376" s="99"/>
      <c r="AT1376" s="99"/>
      <c r="AU1376" s="99"/>
      <c r="AV1376" s="99"/>
      <c r="AW1376" s="99"/>
      <c r="AX1376" s="99"/>
      <c r="AY1376" s="99"/>
      <c r="AZ1376" s="99"/>
      <c r="BA1376" s="99"/>
    </row>
    <row r="1377" spans="1:68" ht="15.75" hidden="1" customHeight="1" outlineLevel="1">
      <c r="A1377" s="413"/>
      <c r="B1377" s="99"/>
      <c r="C1377" s="99"/>
      <c r="D1377" s="99"/>
      <c r="E1377" s="99"/>
      <c r="F1377" s="99"/>
      <c r="G1377" s="99"/>
      <c r="H1377" s="99"/>
      <c r="I1377" s="99"/>
      <c r="J1377" s="99"/>
      <c r="K1377" s="99"/>
      <c r="L1377" s="99"/>
      <c r="M1377" s="99"/>
      <c r="N1377" s="99"/>
      <c r="O1377" s="99"/>
      <c r="P1377" s="99"/>
      <c r="Q1377" s="99"/>
      <c r="R1377" s="99"/>
      <c r="S1377" s="99"/>
      <c r="T1377" s="99"/>
      <c r="U1377" s="99"/>
      <c r="V1377" s="99"/>
      <c r="W1377" s="99"/>
      <c r="X1377" s="99"/>
      <c r="Y1377" s="99"/>
      <c r="Z1377" s="99"/>
      <c r="AA1377" s="99"/>
      <c r="AB1377" s="99"/>
      <c r="AC1377" s="99"/>
      <c r="AD1377" s="99"/>
      <c r="AE1377" s="99"/>
      <c r="AF1377" s="99"/>
      <c r="AG1377" s="99"/>
      <c r="AH1377" s="99"/>
      <c r="AI1377" s="99"/>
      <c r="AJ1377" s="99"/>
      <c r="AK1377" s="99"/>
      <c r="AL1377" s="99"/>
      <c r="AM1377" s="409">
        <f>IF($AP$1335&gt;0,'Assumptions (Hydro)'!$V$13*Model!$AP$1335*'Assumptions (Hydro)'!AL$2/10^9,0)</f>
        <v>0</v>
      </c>
      <c r="AN1377" s="409">
        <f>IF($AP$1335&gt;0,'Assumptions (Hydro)'!$V$13*Model!$AP$1335*'Assumptions (Hydro)'!AM$2/10^9,0)</f>
        <v>0</v>
      </c>
      <c r="AO1377" s="409">
        <f>IF($AP$1335&gt;0,'Assumptions (Hydro)'!$V$13*Model!$AP$1335*'Assumptions (Hydro)'!AN$2/10^9,0)</f>
        <v>0</v>
      </c>
      <c r="AP1377" s="99"/>
      <c r="AQ1377" s="99"/>
      <c r="AR1377" s="99"/>
      <c r="AS1377" s="99"/>
      <c r="AT1377" s="99"/>
      <c r="AU1377" s="99"/>
      <c r="AV1377" s="99"/>
      <c r="AW1377" s="99"/>
      <c r="AX1377" s="99"/>
      <c r="AY1377" s="99"/>
      <c r="AZ1377" s="99"/>
      <c r="BA1377" s="99"/>
    </row>
    <row r="1378" spans="1:68" ht="15.75" hidden="1" customHeight="1" outlineLevel="1">
      <c r="A1378" s="413"/>
      <c r="B1378" s="99"/>
      <c r="C1378" s="99"/>
      <c r="D1378" s="99"/>
      <c r="E1378" s="99"/>
      <c r="F1378" s="99"/>
      <c r="G1378" s="99"/>
      <c r="H1378" s="99"/>
      <c r="I1378" s="99"/>
      <c r="J1378" s="99"/>
      <c r="K1378" s="99"/>
      <c r="L1378" s="99"/>
      <c r="M1378" s="99"/>
      <c r="N1378" s="99"/>
      <c r="O1378" s="99"/>
      <c r="P1378" s="99"/>
      <c r="Q1378" s="99"/>
      <c r="R1378" s="99"/>
      <c r="S1378" s="99"/>
      <c r="T1378" s="99"/>
      <c r="U1378" s="99"/>
      <c r="V1378" s="99"/>
      <c r="W1378" s="99"/>
      <c r="X1378" s="99"/>
      <c r="Y1378" s="99"/>
      <c r="Z1378" s="99"/>
      <c r="AA1378" s="99"/>
      <c r="AB1378" s="99"/>
      <c r="AC1378" s="99"/>
      <c r="AD1378" s="99"/>
      <c r="AE1378" s="99"/>
      <c r="AF1378" s="99"/>
      <c r="AG1378" s="99"/>
      <c r="AH1378" s="99"/>
      <c r="AI1378" s="99"/>
      <c r="AJ1378" s="99"/>
      <c r="AK1378" s="99"/>
      <c r="AL1378" s="99"/>
      <c r="AM1378" s="99"/>
      <c r="AN1378" s="409">
        <f>IF($AQ$1335&gt;0,'Assumptions (Hydro)'!$V$13*Model!$AQ$1335*'Assumptions (Hydro)'!AM$2/10^9,0)</f>
        <v>0</v>
      </c>
      <c r="AO1378" s="409">
        <f>IF($AQ$1335&gt;0,'Assumptions (Hydro)'!$V$13*Model!$AQ$1335*'Assumptions (Hydro)'!AN$2/10^9,0)</f>
        <v>0</v>
      </c>
      <c r="AP1378" s="409">
        <f>IF($AQ$1335&gt;0,'Assumptions (Hydro)'!$V$13*Model!$AQ$1335*'Assumptions (Hydro)'!AO$2/10^9,0)</f>
        <v>0</v>
      </c>
      <c r="AQ1378" s="99"/>
      <c r="AR1378" s="99"/>
      <c r="AS1378" s="99"/>
      <c r="AT1378" s="99"/>
      <c r="AU1378" s="99"/>
      <c r="AV1378" s="99"/>
      <c r="AW1378" s="99"/>
      <c r="AX1378" s="99"/>
      <c r="AY1378" s="99"/>
      <c r="AZ1378" s="99"/>
      <c r="BA1378" s="99"/>
    </row>
    <row r="1379" spans="1:68" ht="15.75" hidden="1" customHeight="1" outlineLevel="1">
      <c r="A1379" s="413"/>
      <c r="B1379" s="99"/>
      <c r="C1379" s="99"/>
      <c r="D1379" s="99"/>
      <c r="E1379" s="99"/>
      <c r="F1379" s="99"/>
      <c r="G1379" s="99"/>
      <c r="H1379" s="99"/>
      <c r="I1379" s="99"/>
      <c r="J1379" s="99"/>
      <c r="K1379" s="99"/>
      <c r="L1379" s="99"/>
      <c r="M1379" s="99"/>
      <c r="N1379" s="99"/>
      <c r="O1379" s="99"/>
      <c r="P1379" s="99"/>
      <c r="Q1379" s="99"/>
      <c r="R1379" s="99"/>
      <c r="S1379" s="99"/>
      <c r="T1379" s="99"/>
      <c r="U1379" s="99"/>
      <c r="V1379" s="99"/>
      <c r="W1379" s="99"/>
      <c r="X1379" s="99"/>
      <c r="Y1379" s="99"/>
      <c r="Z1379" s="99"/>
      <c r="AA1379" s="99"/>
      <c r="AB1379" s="99"/>
      <c r="AC1379" s="99"/>
      <c r="AD1379" s="99"/>
      <c r="AE1379" s="99"/>
      <c r="AF1379" s="99"/>
      <c r="AG1379" s="99"/>
      <c r="AH1379" s="99"/>
      <c r="AI1379" s="99"/>
      <c r="AJ1379" s="99"/>
      <c r="AK1379" s="99"/>
      <c r="AL1379" s="99"/>
      <c r="AM1379" s="99"/>
      <c r="AN1379" s="99"/>
      <c r="AO1379" s="409">
        <f>IF($AR$1335&gt;0,'Assumptions (Hydro)'!$V$13*Model!$AR$1335*'Assumptions (Hydro)'!AN$2/10^9,0)</f>
        <v>0</v>
      </c>
      <c r="AP1379" s="409">
        <f>IF($AR$1335&gt;0,'Assumptions (Hydro)'!$V$13*Model!$AR$1335*'Assumptions (Hydro)'!AO$2/10^9,0)</f>
        <v>0</v>
      </c>
      <c r="AQ1379" s="409">
        <f>IF($AR$1335&gt;0,'Assumptions (Hydro)'!$V$13*Model!$AR$1335*'Assumptions (Hydro)'!AP$2/10^9,0)</f>
        <v>0</v>
      </c>
      <c r="AR1379" s="99"/>
      <c r="AS1379" s="99"/>
      <c r="AT1379" s="99"/>
      <c r="AU1379" s="99"/>
      <c r="AV1379" s="99"/>
      <c r="AW1379" s="99"/>
      <c r="AX1379" s="99"/>
      <c r="AY1379" s="99"/>
      <c r="AZ1379" s="99"/>
      <c r="BA1379" s="99"/>
    </row>
    <row r="1380" spans="1:68" ht="15.75" hidden="1" customHeight="1" outlineLevel="1">
      <c r="A1380" s="413"/>
      <c r="B1380" s="99"/>
      <c r="C1380" s="99"/>
      <c r="D1380" s="99"/>
      <c r="E1380" s="99"/>
      <c r="F1380" s="99"/>
      <c r="G1380" s="99"/>
      <c r="H1380" s="99"/>
      <c r="I1380" s="99"/>
      <c r="J1380" s="99"/>
      <c r="K1380" s="99"/>
      <c r="L1380" s="99"/>
      <c r="M1380" s="99"/>
      <c r="N1380" s="99"/>
      <c r="O1380" s="99"/>
      <c r="P1380" s="99"/>
      <c r="Q1380" s="99"/>
      <c r="R1380" s="99"/>
      <c r="S1380" s="99"/>
      <c r="T1380" s="99"/>
      <c r="U1380" s="99"/>
      <c r="V1380" s="99"/>
      <c r="W1380" s="99"/>
      <c r="X1380" s="99"/>
      <c r="Y1380" s="99"/>
      <c r="Z1380" s="99"/>
      <c r="AA1380" s="99"/>
      <c r="AB1380" s="99"/>
      <c r="AC1380" s="99"/>
      <c r="AD1380" s="99"/>
      <c r="AE1380" s="99"/>
      <c r="AF1380" s="99"/>
      <c r="AG1380" s="99"/>
      <c r="AH1380" s="99"/>
      <c r="AI1380" s="99"/>
      <c r="AJ1380" s="99"/>
      <c r="AK1380" s="99"/>
      <c r="AL1380" s="99"/>
      <c r="AM1380" s="99"/>
      <c r="AN1380" s="99"/>
      <c r="AO1380" s="99"/>
      <c r="AP1380" s="409">
        <f>IF($AS$1335&gt;0,'Assumptions (Hydro)'!$V$13*Model!$AS$1335*'Assumptions (Hydro)'!AO$2/10^9,0)</f>
        <v>0</v>
      </c>
      <c r="AQ1380" s="409">
        <f>IF($AS$1335&gt;0,'Assumptions (Hydro)'!$V$13*Model!$AS$1335*'Assumptions (Hydro)'!AP$2/10^9,0)</f>
        <v>0</v>
      </c>
      <c r="AR1380" s="409">
        <f>IF($AS$1335&gt;0,'Assumptions (Hydro)'!$V$13*Model!$AS$1335*'Assumptions (Hydro)'!AQ$2/10^9,0)</f>
        <v>0</v>
      </c>
      <c r="AS1380" s="99"/>
      <c r="AT1380" s="99"/>
      <c r="AU1380" s="99"/>
      <c r="AV1380" s="99"/>
      <c r="AW1380" s="99"/>
      <c r="AX1380" s="99"/>
      <c r="AY1380" s="99"/>
      <c r="AZ1380" s="99"/>
      <c r="BA1380" s="99"/>
    </row>
    <row r="1381" spans="1:68" ht="15.75" hidden="1" customHeight="1" outlineLevel="1">
      <c r="A1381" s="413"/>
      <c r="B1381" s="99"/>
      <c r="C1381" s="99"/>
      <c r="D1381" s="99"/>
      <c r="E1381" s="99"/>
      <c r="F1381" s="99"/>
      <c r="G1381" s="99"/>
      <c r="H1381" s="99"/>
      <c r="I1381" s="99"/>
      <c r="J1381" s="99"/>
      <c r="K1381" s="99"/>
      <c r="L1381" s="99"/>
      <c r="M1381" s="99"/>
      <c r="N1381" s="99"/>
      <c r="O1381" s="99"/>
      <c r="P1381" s="99"/>
      <c r="Q1381" s="99"/>
      <c r="R1381" s="99"/>
      <c r="S1381" s="99"/>
      <c r="T1381" s="99"/>
      <c r="U1381" s="99"/>
      <c r="V1381" s="99"/>
      <c r="W1381" s="99"/>
      <c r="X1381" s="99"/>
      <c r="Y1381" s="99"/>
      <c r="Z1381" s="99"/>
      <c r="AA1381" s="99"/>
      <c r="AB1381" s="99"/>
      <c r="AC1381" s="99"/>
      <c r="AD1381" s="99"/>
      <c r="AE1381" s="99"/>
      <c r="AF1381" s="99"/>
      <c r="AG1381" s="99"/>
      <c r="AH1381" s="99"/>
      <c r="AI1381" s="99"/>
      <c r="AJ1381" s="99"/>
      <c r="AK1381" s="99"/>
      <c r="AL1381" s="99"/>
      <c r="AM1381" s="99"/>
      <c r="AN1381" s="99"/>
      <c r="AO1381" s="99"/>
      <c r="AP1381" s="99"/>
      <c r="AQ1381" s="409">
        <f>IF($AT$1335&gt;0,'Assumptions (Hydro)'!$V$13*Model!$AT$1335*'Assumptions (Hydro)'!AP$2/10^9,0)</f>
        <v>0</v>
      </c>
      <c r="AR1381" s="409">
        <f>IF($AT$1335&gt;0,'Assumptions (Hydro)'!$V$13*Model!$AT$1335*'Assumptions (Hydro)'!AQ$2/10^9,0)</f>
        <v>0</v>
      </c>
      <c r="AS1381" s="409">
        <f>IF($AT$1335&gt;0,'Assumptions (Hydro)'!$V$13*Model!$AT$1335*'Assumptions (Hydro)'!AR$2/10^9,0)</f>
        <v>0</v>
      </c>
      <c r="AT1381" s="99"/>
      <c r="AU1381" s="99"/>
      <c r="AV1381" s="99"/>
      <c r="AW1381" s="99"/>
      <c r="AX1381" s="99"/>
      <c r="AY1381" s="99"/>
      <c r="AZ1381" s="99"/>
      <c r="BA1381" s="99"/>
    </row>
    <row r="1382" spans="1:68" ht="15.75" hidden="1" customHeight="1" outlineLevel="1">
      <c r="A1382" s="413"/>
      <c r="B1382" s="99"/>
      <c r="C1382" s="99"/>
      <c r="D1382" s="99"/>
      <c r="E1382" s="99"/>
      <c r="F1382" s="99"/>
      <c r="G1382" s="99"/>
      <c r="H1382" s="99"/>
      <c r="I1382" s="99"/>
      <c r="J1382" s="99"/>
      <c r="K1382" s="99"/>
      <c r="L1382" s="99"/>
      <c r="M1382" s="99"/>
      <c r="N1382" s="99"/>
      <c r="O1382" s="99"/>
      <c r="P1382" s="99"/>
      <c r="Q1382" s="99"/>
      <c r="R1382" s="99"/>
      <c r="S1382" s="99"/>
      <c r="T1382" s="99"/>
      <c r="U1382" s="99"/>
      <c r="V1382" s="99"/>
      <c r="W1382" s="99"/>
      <c r="X1382" s="99"/>
      <c r="Y1382" s="99"/>
      <c r="Z1382" s="99"/>
      <c r="AA1382" s="99"/>
      <c r="AB1382" s="99"/>
      <c r="AC1382" s="99"/>
      <c r="AD1382" s="99"/>
      <c r="AE1382" s="99"/>
      <c r="AF1382" s="99"/>
      <c r="AG1382" s="99"/>
      <c r="AH1382" s="99"/>
      <c r="AI1382" s="99"/>
      <c r="AJ1382" s="99"/>
      <c r="AK1382" s="99"/>
      <c r="AL1382" s="99"/>
      <c r="AM1382" s="99"/>
      <c r="AN1382" s="99"/>
      <c r="AO1382" s="99"/>
      <c r="AP1382" s="99"/>
      <c r="AQ1382" s="99"/>
      <c r="AR1382" s="409">
        <f>IF($AU$1335&gt;0,'Assumptions (Hydro)'!$V$13*Model!$AU$1335*'Assumptions (Hydro)'!AQ$2/10^9,0)</f>
        <v>0</v>
      </c>
      <c r="AS1382" s="409">
        <f>IF($AU$1335&gt;0,'Assumptions (Hydro)'!$V$13*Model!$AU$1335*'Assumptions (Hydro)'!AR$2/10^9,0)</f>
        <v>0</v>
      </c>
      <c r="AT1382" s="409">
        <f>IF($AU$1335&gt;0,'Assumptions (Hydro)'!$V$13*Model!$AU$1335*'Assumptions (Hydro)'!AS$2/10^9,0)</f>
        <v>0</v>
      </c>
      <c r="AU1382" s="99"/>
      <c r="AV1382" s="99"/>
      <c r="AW1382" s="99"/>
      <c r="AX1382" s="99"/>
      <c r="AY1382" s="99"/>
      <c r="AZ1382" s="99"/>
      <c r="BA1382" s="99"/>
    </row>
    <row r="1383" spans="1:68" ht="15.75" hidden="1" customHeight="1" outlineLevel="1">
      <c r="A1383" s="413"/>
      <c r="B1383" s="99"/>
      <c r="C1383" s="99"/>
      <c r="D1383" s="99"/>
      <c r="E1383" s="99"/>
      <c r="F1383" s="99"/>
      <c r="G1383" s="99"/>
      <c r="H1383" s="99"/>
      <c r="I1383" s="99"/>
      <c r="J1383" s="99"/>
      <c r="K1383" s="99"/>
      <c r="L1383" s="99"/>
      <c r="M1383" s="99"/>
      <c r="N1383" s="99"/>
      <c r="O1383" s="99"/>
      <c r="P1383" s="99"/>
      <c r="Q1383" s="99"/>
      <c r="R1383" s="99"/>
      <c r="S1383" s="99"/>
      <c r="T1383" s="99"/>
      <c r="U1383" s="99"/>
      <c r="V1383" s="99"/>
      <c r="W1383" s="99"/>
      <c r="X1383" s="99"/>
      <c r="Y1383" s="99"/>
      <c r="Z1383" s="99"/>
      <c r="AA1383" s="99"/>
      <c r="AB1383" s="99"/>
      <c r="AC1383" s="99"/>
      <c r="AD1383" s="99"/>
      <c r="AE1383" s="99"/>
      <c r="AF1383" s="99"/>
      <c r="AG1383" s="99"/>
      <c r="AH1383" s="99"/>
      <c r="AI1383" s="99"/>
      <c r="AJ1383" s="99"/>
      <c r="AK1383" s="99"/>
      <c r="AL1383" s="99"/>
      <c r="AM1383" s="99"/>
      <c r="AN1383" s="99"/>
      <c r="AO1383" s="99"/>
      <c r="AP1383" s="99"/>
      <c r="AQ1383" s="99"/>
      <c r="AR1383" s="99"/>
      <c r="AS1383" s="409">
        <f>IF($AV$1335&gt;0,'Assumptions (Hydro)'!$V$13*Model!$AV$1335*'Assumptions (Hydro)'!AR$2/10^9,0)</f>
        <v>0</v>
      </c>
      <c r="AT1383" s="409">
        <f>IF($AV$1335&gt;0,'Assumptions (Hydro)'!$V$13*Model!$AV$1335*'Assumptions (Hydro)'!AS$2/10^9,0)</f>
        <v>0</v>
      </c>
      <c r="AU1383" s="409">
        <f>IF($AV$1335&gt;0,'Assumptions (Hydro)'!$V$13*Model!$AV$1335*'Assumptions (Hydro)'!AT$2/10^9,0)</f>
        <v>0</v>
      </c>
      <c r="AV1383" s="99"/>
      <c r="AW1383" s="99"/>
      <c r="AX1383" s="99"/>
      <c r="AY1383" s="99"/>
      <c r="AZ1383" s="99"/>
      <c r="BA1383" s="99"/>
    </row>
    <row r="1384" spans="1:68" ht="15.75" hidden="1" customHeight="1" outlineLevel="1">
      <c r="A1384" s="413"/>
      <c r="B1384" s="99"/>
      <c r="C1384" s="99"/>
      <c r="D1384" s="99"/>
      <c r="E1384" s="99"/>
      <c r="F1384" s="99"/>
      <c r="G1384" s="99"/>
      <c r="H1384" s="99"/>
      <c r="I1384" s="99"/>
      <c r="J1384" s="99"/>
      <c r="K1384" s="99"/>
      <c r="L1384" s="99"/>
      <c r="M1384" s="99"/>
      <c r="N1384" s="99"/>
      <c r="O1384" s="99"/>
      <c r="P1384" s="99"/>
      <c r="Q1384" s="99"/>
      <c r="R1384" s="99"/>
      <c r="S1384" s="99"/>
      <c r="T1384" s="99"/>
      <c r="U1384" s="99"/>
      <c r="V1384" s="99"/>
      <c r="W1384" s="99"/>
      <c r="X1384" s="99"/>
      <c r="Y1384" s="99"/>
      <c r="Z1384" s="99"/>
      <c r="AA1384" s="99"/>
      <c r="AB1384" s="99"/>
      <c r="AC1384" s="99"/>
      <c r="AD1384" s="99"/>
      <c r="AE1384" s="99"/>
      <c r="AF1384" s="99"/>
      <c r="AG1384" s="99"/>
      <c r="AH1384" s="99"/>
      <c r="AI1384" s="99"/>
      <c r="AJ1384" s="99"/>
      <c r="AK1384" s="99"/>
      <c r="AL1384" s="99"/>
      <c r="AM1384" s="99"/>
      <c r="AN1384" s="99"/>
      <c r="AO1384" s="99"/>
      <c r="AP1384" s="99"/>
      <c r="AQ1384" s="99"/>
      <c r="AR1384" s="99"/>
      <c r="AS1384" s="99"/>
      <c r="AT1384" s="409">
        <f>IF($AW$1335&gt;0,'Assumptions (Hydro)'!$V$13*Model!$AW$1335*'Assumptions (Hydro)'!AS$2/10^9,0)</f>
        <v>0</v>
      </c>
      <c r="AU1384" s="409">
        <f>IF($AW$1335&gt;0,'Assumptions (Hydro)'!$V$13*Model!$AW$1335*'Assumptions (Hydro)'!AT$2/10^9,0)</f>
        <v>0</v>
      </c>
      <c r="AV1384" s="409">
        <f>IF($AW$1335&gt;0,'Assumptions (Hydro)'!$V$13*Model!$AW$1335*'Assumptions (Hydro)'!AU$2/10^9,0)</f>
        <v>0</v>
      </c>
      <c r="AW1384" s="99"/>
      <c r="AX1384" s="99"/>
      <c r="AY1384" s="99"/>
      <c r="AZ1384" s="99"/>
      <c r="BA1384" s="99"/>
    </row>
    <row r="1385" spans="1:68" ht="15.75" hidden="1" customHeight="1" outlineLevel="1">
      <c r="A1385" s="413"/>
      <c r="B1385" s="99"/>
      <c r="C1385" s="99"/>
      <c r="D1385" s="99"/>
      <c r="E1385" s="99"/>
      <c r="F1385" s="99"/>
      <c r="G1385" s="99"/>
      <c r="H1385" s="99"/>
      <c r="I1385" s="99"/>
      <c r="J1385" s="99"/>
      <c r="K1385" s="99"/>
      <c r="L1385" s="99"/>
      <c r="M1385" s="99"/>
      <c r="N1385" s="99"/>
      <c r="O1385" s="99"/>
      <c r="P1385" s="99"/>
      <c r="Q1385" s="99"/>
      <c r="R1385" s="99"/>
      <c r="S1385" s="99"/>
      <c r="T1385" s="99"/>
      <c r="U1385" s="99"/>
      <c r="V1385" s="99"/>
      <c r="W1385" s="99"/>
      <c r="X1385" s="99"/>
      <c r="Y1385" s="99"/>
      <c r="Z1385" s="99"/>
      <c r="AA1385" s="99"/>
      <c r="AB1385" s="99"/>
      <c r="AC1385" s="99"/>
      <c r="AD1385" s="99"/>
      <c r="AE1385" s="99"/>
      <c r="AF1385" s="99"/>
      <c r="AG1385" s="99"/>
      <c r="AH1385" s="99"/>
      <c r="AI1385" s="99"/>
      <c r="AJ1385" s="99"/>
      <c r="AK1385" s="99"/>
      <c r="AL1385" s="99"/>
      <c r="AM1385" s="99"/>
      <c r="AN1385" s="99"/>
      <c r="AO1385" s="99"/>
      <c r="AP1385" s="99"/>
      <c r="AQ1385" s="99"/>
      <c r="AR1385" s="99"/>
      <c r="AS1385" s="99"/>
      <c r="AT1385" s="99"/>
      <c r="AU1385" s="409">
        <f>IF($AX$1335&gt;0,'Assumptions (Hydro)'!$V$13*Model!$AX$1335*'Assumptions (Hydro)'!AT$2/10^9,0)</f>
        <v>0</v>
      </c>
      <c r="AV1385" s="409">
        <f>IF($AX$1335&gt;0,'Assumptions (Hydro)'!$V$13*Model!$AX$1335*'Assumptions (Hydro)'!AU$2/10^9,0)</f>
        <v>0</v>
      </c>
      <c r="AW1385" s="409">
        <f>IF($AX$1335&gt;0,'Assumptions (Hydro)'!$V$13*Model!$AX$1335*'Assumptions (Hydro)'!AV$2/10^9,0)</f>
        <v>0</v>
      </c>
      <c r="AX1385" s="99"/>
      <c r="AY1385" s="99"/>
      <c r="AZ1385" s="99"/>
      <c r="BA1385" s="99"/>
    </row>
    <row r="1386" spans="1:68" ht="15.75" hidden="1" customHeight="1" outlineLevel="1">
      <c r="A1386" s="413"/>
      <c r="B1386" s="99"/>
      <c r="C1386" s="99"/>
      <c r="D1386" s="99"/>
      <c r="E1386" s="99"/>
      <c r="F1386" s="99"/>
      <c r="G1386" s="99"/>
      <c r="H1386" s="99"/>
      <c r="I1386" s="99"/>
      <c r="J1386" s="99"/>
      <c r="K1386" s="99"/>
      <c r="L1386" s="99"/>
      <c r="M1386" s="99"/>
      <c r="N1386" s="99"/>
      <c r="O1386" s="99"/>
      <c r="P1386" s="99"/>
      <c r="Q1386" s="99"/>
      <c r="R1386" s="99"/>
      <c r="S1386" s="99"/>
      <c r="T1386" s="99"/>
      <c r="U1386" s="99"/>
      <c r="V1386" s="99"/>
      <c r="W1386" s="99"/>
      <c r="X1386" s="99"/>
      <c r="Y1386" s="99"/>
      <c r="Z1386" s="99"/>
      <c r="AA1386" s="99"/>
      <c r="AB1386" s="99"/>
      <c r="AC1386" s="99"/>
      <c r="AD1386" s="99"/>
      <c r="AE1386" s="99"/>
      <c r="AF1386" s="99"/>
      <c r="AG1386" s="99"/>
      <c r="AH1386" s="99"/>
      <c r="AI1386" s="99"/>
      <c r="AJ1386" s="99"/>
      <c r="AK1386" s="99"/>
      <c r="AL1386" s="99"/>
      <c r="AM1386" s="99"/>
      <c r="AN1386" s="99"/>
      <c r="AO1386" s="99"/>
      <c r="AP1386" s="99"/>
      <c r="AQ1386" s="99"/>
      <c r="AR1386" s="99"/>
      <c r="AS1386" s="99"/>
      <c r="AT1386" s="99"/>
      <c r="AU1386" s="99"/>
      <c r="AV1386" s="409">
        <f>IF($AY$1335&gt;0,'Assumptions (Hydro)'!$V$13*Model!$AY$1335*'Assumptions (Hydro)'!AU$2/10^9,0)</f>
        <v>0</v>
      </c>
      <c r="AW1386" s="409">
        <f>IF($AY$1335&gt;0,'Assumptions (Hydro)'!$V$13*Model!$AY$1335*'Assumptions (Hydro)'!AV$2/10^9,0)</f>
        <v>0</v>
      </c>
      <c r="AX1386" s="409">
        <f>IF($AY$1335&gt;0,'Assumptions (Hydro)'!$V$13*Model!$AY$1335*'Assumptions (Hydro)'!AW$2/10^9,0)</f>
        <v>0</v>
      </c>
      <c r="AY1386" s="99"/>
      <c r="AZ1386" s="99"/>
      <c r="BA1386" s="99"/>
    </row>
    <row r="1387" spans="1:68" ht="15.75" hidden="1" customHeight="1" outlineLevel="1">
      <c r="A1387" s="413"/>
      <c r="B1387" s="99"/>
      <c r="C1387" s="99"/>
      <c r="D1387" s="99"/>
      <c r="E1387" s="99"/>
      <c r="F1387" s="99"/>
      <c r="G1387" s="99"/>
      <c r="H1387" s="99"/>
      <c r="I1387" s="99"/>
      <c r="J1387" s="99"/>
      <c r="K1387" s="99"/>
      <c r="L1387" s="99"/>
      <c r="M1387" s="99"/>
      <c r="N1387" s="99"/>
      <c r="O1387" s="99"/>
      <c r="P1387" s="99"/>
      <c r="Q1387" s="99"/>
      <c r="R1387" s="99"/>
      <c r="S1387" s="99"/>
      <c r="T1387" s="99"/>
      <c r="U1387" s="99"/>
      <c r="V1387" s="99"/>
      <c r="W1387" s="99"/>
      <c r="X1387" s="99"/>
      <c r="Y1387" s="99"/>
      <c r="Z1387" s="99"/>
      <c r="AA1387" s="99"/>
      <c r="AB1387" s="99"/>
      <c r="AC1387" s="99"/>
      <c r="AD1387" s="99"/>
      <c r="AE1387" s="99"/>
      <c r="AF1387" s="99"/>
      <c r="AG1387" s="99"/>
      <c r="AH1387" s="99"/>
      <c r="AI1387" s="99"/>
      <c r="AJ1387" s="99"/>
      <c r="AK1387" s="99"/>
      <c r="AL1387" s="99"/>
      <c r="AM1387" s="99"/>
      <c r="AN1387" s="99"/>
      <c r="AO1387" s="99"/>
      <c r="AP1387" s="99"/>
      <c r="AQ1387" s="99"/>
      <c r="AR1387" s="99"/>
      <c r="AS1387" s="99"/>
      <c r="AT1387" s="99"/>
      <c r="AU1387" s="99"/>
      <c r="AV1387" s="99"/>
      <c r="AW1387" s="409">
        <f>IF($AZ$1335&gt;0,'Assumptions (Hydro)'!$V$13*Model!$AZ$1335*'Assumptions (Hydro)'!AV$2/10^9,0)</f>
        <v>0</v>
      </c>
      <c r="AX1387" s="409">
        <f>IF($AZ$1335&gt;0,'Assumptions (Hydro)'!$V$13*Model!$AZ$1335*'Assumptions (Hydro)'!AW$2/10^9,0)</f>
        <v>0</v>
      </c>
      <c r="AY1387" s="409">
        <f>IF($AZ$1335&gt;0,'Assumptions (Hydro)'!$V$13*Model!$AZ$1335*'Assumptions (Hydro)'!AX$2/10^9,0)</f>
        <v>0</v>
      </c>
      <c r="AZ1387" s="99"/>
      <c r="BA1387" s="99"/>
    </row>
    <row r="1388" spans="1:68" ht="15.75" hidden="1" customHeight="1" outlineLevel="1">
      <c r="A1388" s="413"/>
      <c r="B1388" s="99"/>
      <c r="C1388" s="99"/>
      <c r="D1388" s="99"/>
      <c r="E1388" s="99"/>
      <c r="F1388" s="99"/>
      <c r="G1388" s="99"/>
      <c r="H1388" s="99"/>
      <c r="I1388" s="99"/>
      <c r="J1388" s="99"/>
      <c r="K1388" s="99"/>
      <c r="L1388" s="99"/>
      <c r="M1388" s="99"/>
      <c r="N1388" s="99"/>
      <c r="O1388" s="99"/>
      <c r="P1388" s="99"/>
      <c r="Q1388" s="99"/>
      <c r="R1388" s="99"/>
      <c r="S1388" s="99"/>
      <c r="T1388" s="99"/>
      <c r="U1388" s="99"/>
      <c r="V1388" s="99"/>
      <c r="W1388" s="99"/>
      <c r="X1388" s="99"/>
      <c r="Y1388" s="99"/>
      <c r="Z1388" s="99"/>
      <c r="AA1388" s="99"/>
      <c r="AB1388" s="99"/>
      <c r="AC1388" s="99"/>
      <c r="AD1388" s="99"/>
      <c r="AE1388" s="99"/>
      <c r="AF1388" s="99"/>
      <c r="AG1388" s="99"/>
      <c r="AH1388" s="99"/>
      <c r="AI1388" s="99"/>
      <c r="AJ1388" s="99"/>
      <c r="AK1388" s="99"/>
      <c r="AL1388" s="99"/>
      <c r="AM1388" s="99"/>
      <c r="AN1388" s="99"/>
      <c r="AO1388" s="99"/>
      <c r="AP1388" s="99"/>
      <c r="AQ1388" s="99"/>
      <c r="AR1388" s="99"/>
      <c r="AS1388" s="99"/>
      <c r="AT1388" s="99"/>
      <c r="AU1388" s="99"/>
      <c r="AV1388" s="99"/>
      <c r="AW1388" s="99"/>
      <c r="AX1388" s="409">
        <f>IF($BA$1335&gt;0,'Assumptions (Hydro)'!$V$13*Model!$BA$1335*'Assumptions (Hydro)'!AW$2/10^9,0)</f>
        <v>7.6396824921577094E-2</v>
      </c>
      <c r="AY1388" s="409">
        <f>IF($BA$1335&gt;0,'Assumptions (Hydro)'!$V$13*Model!$BA$1335*'Assumptions (Hydro)'!AX$2/10^9,0)</f>
        <v>7.7924761420008648E-2</v>
      </c>
      <c r="AZ1388" s="409">
        <f>IF($BA$1335&gt;0,'Assumptions (Hydro)'!$V$13*Model!$BA$1335*'Assumptions (Hydro)'!AY$2/10^9,0)</f>
        <v>7.9483256648408829E-2</v>
      </c>
      <c r="BA1388" s="99"/>
    </row>
    <row r="1389" spans="1:68" ht="15.75" customHeight="1" collapsed="1">
      <c r="A1389" s="414" t="s">
        <v>52</v>
      </c>
      <c r="B1389" s="99" t="s">
        <v>201</v>
      </c>
      <c r="C1389" s="417">
        <f>'Assumptions (Hydro)'!$V$4*Model!C1337</f>
        <v>0.45975686746985717</v>
      </c>
      <c r="D1389" s="417">
        <f>'Assumptions (Hydro)'!$V$4*Model!D1337</f>
        <v>0.20024055656700659</v>
      </c>
      <c r="E1389" s="417">
        <f>'Assumptions (Hydro)'!$V$4*Model!E1337</f>
        <v>7.4588314291587798E-2</v>
      </c>
      <c r="F1389" s="417">
        <f>'Assumptions (Hydro)'!$V$4*Model!F1337</f>
        <v>5.1078791856657084E-2</v>
      </c>
      <c r="G1389" s="417">
        <f>'Assumptions (Hydro)'!$V$4*Model!G1337</f>
        <v>2.8541206289304861E-2</v>
      </c>
      <c r="H1389" s="417">
        <f>'Assumptions (Hydro)'!$V$4*Model!H1337</f>
        <v>2.8035402071337593E-2</v>
      </c>
      <c r="I1389" s="417">
        <f>'Assumptions (Hydro)'!$V$4*Model!I1337</f>
        <v>2.4686657270927129E-2</v>
      </c>
      <c r="J1389" s="417">
        <f>'Assumptions (Hydro)'!$V$4*Model!J1337</f>
        <v>2.4821950695116553E-2</v>
      </c>
      <c r="K1389" s="417">
        <f>'Assumptions (Hydro)'!$V$4*Model!K1337</f>
        <v>8.8248755465912404E-2</v>
      </c>
      <c r="L1389" s="417">
        <f>'Assumptions (Hydro)'!$V$4*Model!L1337</f>
        <v>0.26831643355309559</v>
      </c>
      <c r="M1389" s="417">
        <f>'Assumptions (Hydro)'!$V$4*Model!M1337</f>
        <v>0.46610703927786939</v>
      </c>
      <c r="N1389" s="417">
        <f>'Assumptions (Hydro)'!$V$4*Model!N1337</f>
        <v>0.46975487484385925</v>
      </c>
      <c r="O1389" s="417">
        <f>'Assumptions (Hydro)'!$V$4*Model!O1337</f>
        <v>0.3514228167983266</v>
      </c>
      <c r="P1389" s="417">
        <f>'Assumptions (Hydro)'!$V$4*Model!P1337</f>
        <v>0.33196099745925034</v>
      </c>
      <c r="Q1389" s="417">
        <f>'Assumptions (Hydro)'!$V$4*Model!Q1337</f>
        <v>0.36870830787566972</v>
      </c>
      <c r="R1389" s="417">
        <f>'Assumptions (Hydro)'!$V$4*Model!R1337</f>
        <v>0.38374691306289344</v>
      </c>
      <c r="S1389" s="417">
        <f>'Assumptions (Hydro)'!$V$4*Model!S1337</f>
        <v>0.2528445939743697</v>
      </c>
      <c r="T1389" s="417">
        <f>'Assumptions (Hydro)'!$V$4*Model!T1337</f>
        <v>0.14451658864237735</v>
      </c>
      <c r="U1389" s="417">
        <f>'Assumptions (Hydro)'!$V$4*Model!U1337</f>
        <v>2.1949666666666663</v>
      </c>
      <c r="V1389" s="417">
        <f>'Assumptions (Hydro)'!$V$4*Model!V1337</f>
        <v>2.1739735294117639</v>
      </c>
      <c r="W1389" s="417">
        <f>'Assumptions (Hydro)'!$V$4*Model!W1337</f>
        <v>2.2174529999999995</v>
      </c>
      <c r="X1389" s="417">
        <f>'Assumptions (Hydro)'!$V$4*Model!X1337</f>
        <v>0</v>
      </c>
      <c r="Y1389" s="417">
        <f>'Assumptions (Hydro)'!$V$4*Model!Y1337</f>
        <v>0</v>
      </c>
      <c r="Z1389" s="417">
        <f>'Assumptions (Hydro)'!$V$4*Model!Z1337</f>
        <v>0</v>
      </c>
      <c r="AA1389" s="417">
        <f>'Assumptions (Hydro)'!$V$4*Model!AA1337</f>
        <v>0</v>
      </c>
      <c r="AB1389" s="417">
        <f>'Assumptions (Hydro)'!$V$4*Model!AB1337</f>
        <v>0</v>
      </c>
      <c r="AC1389" s="417">
        <f>'Assumptions (Hydro)'!$V$4*Model!AC1337</f>
        <v>0</v>
      </c>
      <c r="AD1389" s="417">
        <f>'Assumptions (Hydro)'!$V$4*Model!AD1337</f>
        <v>0</v>
      </c>
      <c r="AE1389" s="417">
        <f>'Assumptions (Hydro)'!$V$4*Model!AE1337</f>
        <v>0</v>
      </c>
      <c r="AF1389" s="417">
        <f>'Assumptions (Hydro)'!$V$4*Model!AF1337</f>
        <v>0</v>
      </c>
      <c r="AG1389" s="417">
        <f>'Assumptions (Hydro)'!$V$4*Model!AG1337</f>
        <v>0</v>
      </c>
      <c r="AH1389" s="417">
        <f>'Assumptions (Hydro)'!$V$4*Model!AH1337</f>
        <v>0</v>
      </c>
      <c r="AI1389" s="417">
        <f>'Assumptions (Hydro)'!$V$4*Model!AI1337</f>
        <v>0</v>
      </c>
      <c r="AJ1389" s="417">
        <f>'Assumptions (Hydro)'!$V$4*Model!AJ1337</f>
        <v>0</v>
      </c>
      <c r="AK1389" s="417">
        <f>'Assumptions (Hydro)'!$V$4*Model!AK1337</f>
        <v>0</v>
      </c>
      <c r="AL1389" s="417">
        <f>'Assumptions (Hydro)'!$V$4*Model!AL1337</f>
        <v>0</v>
      </c>
      <c r="AM1389" s="417">
        <f>'Assumptions (Hydro)'!$V$4*Model!AM1337</f>
        <v>0</v>
      </c>
      <c r="AN1389" s="417">
        <f>'Assumptions (Hydro)'!$V$4*Model!AN1337</f>
        <v>0</v>
      </c>
      <c r="AO1389" s="417">
        <f>'Assumptions (Hydro)'!$V$4*Model!AO1337</f>
        <v>0</v>
      </c>
      <c r="AP1389" s="417">
        <f>'Assumptions (Hydro)'!$V$4*Model!AP1337</f>
        <v>0</v>
      </c>
      <c r="AQ1389" s="417">
        <f>'Assumptions (Hydro)'!$V$4*Model!AQ1337</f>
        <v>0</v>
      </c>
      <c r="AR1389" s="417">
        <f>'Assumptions (Hydro)'!$V$4*Model!AR1337</f>
        <v>0</v>
      </c>
      <c r="AS1389" s="417">
        <f>'Assumptions (Hydro)'!$V$4*Model!AS1337</f>
        <v>0</v>
      </c>
      <c r="AT1389" s="417">
        <f>'Assumptions (Hydro)'!$V$4*Model!AT1337</f>
        <v>0</v>
      </c>
      <c r="AU1389" s="417">
        <f>'Assumptions (Hydro)'!$V$4*Model!AU1337</f>
        <v>0</v>
      </c>
      <c r="AV1389" s="417">
        <f>'Assumptions (Hydro)'!$V$4*Model!AV1337</f>
        <v>0</v>
      </c>
      <c r="AW1389" s="417">
        <f>'Assumptions (Hydro)'!$V$4*Model!AW1337</f>
        <v>0</v>
      </c>
      <c r="AX1389" s="417">
        <f>'Assumptions (Hydro)'!$V$4*Model!AX1337</f>
        <v>4.5838094952946253E-2</v>
      </c>
      <c r="AY1389" s="417">
        <f>'Assumptions (Hydro)'!$V$4*Model!AY1337</f>
        <v>4.6754856852005186E-2</v>
      </c>
      <c r="AZ1389" s="417">
        <f>'Assumptions (Hydro)'!$V$4*Model!AZ1337</f>
        <v>4.7689953989045297E-2</v>
      </c>
      <c r="BA1389" s="417">
        <f>'Assumptions (Hydro)'!$V$4*Model!BA1337</f>
        <v>0</v>
      </c>
    </row>
    <row r="1390" spans="1:68" ht="15.75" customHeight="1">
      <c r="A1390" s="414" t="s">
        <v>54</v>
      </c>
      <c r="B1390" s="99" t="s">
        <v>201</v>
      </c>
      <c r="C1390" s="150">
        <f>'Assumptions (Hydro)'!$V$5*Model!C1337</f>
        <v>0.30650457831323813</v>
      </c>
      <c r="D1390" s="150">
        <f>'Assumptions (Hydro)'!$V$5*Model!D1337</f>
        <v>0.13349370437800442</v>
      </c>
      <c r="E1390" s="150">
        <f>'Assumptions (Hydro)'!$V$5*Model!E1337</f>
        <v>4.9725542861058541E-2</v>
      </c>
      <c r="F1390" s="150">
        <f>'Assumptions (Hydro)'!$V$5*Model!F1337</f>
        <v>3.4052527904438058E-2</v>
      </c>
      <c r="G1390" s="150">
        <f>'Assumptions (Hydro)'!$V$5*Model!G1337</f>
        <v>1.9027470859536575E-2</v>
      </c>
      <c r="H1390" s="150">
        <f>'Assumptions (Hydro)'!$V$5*Model!H1337</f>
        <v>1.8690268047558394E-2</v>
      </c>
      <c r="I1390" s="150">
        <f>'Assumptions (Hydro)'!$V$5*Model!I1337</f>
        <v>1.6457771513951419E-2</v>
      </c>
      <c r="J1390" s="150">
        <f>'Assumptions (Hydro)'!$V$5*Model!J1337</f>
        <v>1.6547967130077706E-2</v>
      </c>
      <c r="K1390" s="150">
        <f>'Assumptions (Hydro)'!$V$5*Model!K1337</f>
        <v>5.8832503643941603E-2</v>
      </c>
      <c r="L1390" s="150">
        <f>'Assumptions (Hydro)'!$V$5*Model!L1337</f>
        <v>0.17887762236873039</v>
      </c>
      <c r="M1390" s="150">
        <f>'Assumptions (Hydro)'!$V$5*Model!M1337</f>
        <v>0.31073802618524632</v>
      </c>
      <c r="N1390" s="150">
        <f>'Assumptions (Hydro)'!$V$5*Model!N1337</f>
        <v>0.31316991656257287</v>
      </c>
      <c r="O1390" s="150">
        <f>'Assumptions (Hydro)'!$V$5*Model!O1337</f>
        <v>0.23428187786555107</v>
      </c>
      <c r="P1390" s="150">
        <f>'Assumptions (Hydro)'!$V$5*Model!P1337</f>
        <v>0.22130733163950023</v>
      </c>
      <c r="Q1390" s="150">
        <f>'Assumptions (Hydro)'!$V$5*Model!Q1337</f>
        <v>0.24580553858377982</v>
      </c>
      <c r="R1390" s="150">
        <f>'Assumptions (Hydro)'!$V$5*Model!R1337</f>
        <v>0.25583127537526229</v>
      </c>
      <c r="S1390" s="150">
        <f>'Assumptions (Hydro)'!$V$5*Model!S1337</f>
        <v>0.16856306264957982</v>
      </c>
      <c r="T1390" s="150">
        <f>'Assumptions (Hydro)'!$V$5*Model!T1337</f>
        <v>9.6344392428251574E-2</v>
      </c>
      <c r="U1390" s="150">
        <f>'Assumptions (Hydro)'!$V$5*Model!U1337</f>
        <v>1.463311111111111</v>
      </c>
      <c r="V1390" s="150">
        <f>'Assumptions (Hydro)'!$V$5*Model!V1337</f>
        <v>1.4493156862745094</v>
      </c>
      <c r="W1390" s="150">
        <f>'Assumptions (Hydro)'!$V$5*Model!W1337</f>
        <v>1.4783019999999998</v>
      </c>
      <c r="X1390" s="150">
        <f>'Assumptions (Hydro)'!$V$5*Model!X1337</f>
        <v>0</v>
      </c>
      <c r="Y1390" s="150">
        <f>'Assumptions (Hydro)'!$V$5*Model!Y1337</f>
        <v>0</v>
      </c>
      <c r="Z1390" s="150">
        <f>'Assumptions (Hydro)'!$V$5*Model!Z1337</f>
        <v>0</v>
      </c>
      <c r="AA1390" s="150">
        <f>'Assumptions (Hydro)'!$V$5*Model!AA1337</f>
        <v>0</v>
      </c>
      <c r="AB1390" s="150">
        <f>'Assumptions (Hydro)'!$V$5*Model!AB1337</f>
        <v>0</v>
      </c>
      <c r="AC1390" s="150">
        <f>'Assumptions (Hydro)'!$V$5*Model!AC1337</f>
        <v>0</v>
      </c>
      <c r="AD1390" s="150">
        <f>'Assumptions (Hydro)'!$V$5*Model!AD1337</f>
        <v>0</v>
      </c>
      <c r="AE1390" s="150">
        <f>'Assumptions (Hydro)'!$V$5*Model!AE1337</f>
        <v>0</v>
      </c>
      <c r="AF1390" s="150">
        <f>'Assumptions (Hydro)'!$V$5*Model!AF1337</f>
        <v>0</v>
      </c>
      <c r="AG1390" s="150">
        <f>'Assumptions (Hydro)'!$V$5*Model!AG1337</f>
        <v>0</v>
      </c>
      <c r="AH1390" s="150">
        <f>'Assumptions (Hydro)'!$V$5*Model!AH1337</f>
        <v>0</v>
      </c>
      <c r="AI1390" s="150">
        <f>'Assumptions (Hydro)'!$V$5*Model!AI1337</f>
        <v>0</v>
      </c>
      <c r="AJ1390" s="150">
        <f>'Assumptions (Hydro)'!$V$5*Model!AJ1337</f>
        <v>0</v>
      </c>
      <c r="AK1390" s="150">
        <f>'Assumptions (Hydro)'!$V$5*Model!AK1337</f>
        <v>0</v>
      </c>
      <c r="AL1390" s="150">
        <f>'Assumptions (Hydro)'!$V$5*Model!AL1337</f>
        <v>0</v>
      </c>
      <c r="AM1390" s="150">
        <f>'Assumptions (Hydro)'!$V$5*Model!AM1337</f>
        <v>0</v>
      </c>
      <c r="AN1390" s="150">
        <f>'Assumptions (Hydro)'!$V$5*Model!AN1337</f>
        <v>0</v>
      </c>
      <c r="AO1390" s="150">
        <f>'Assumptions (Hydro)'!$V$5*Model!AO1337</f>
        <v>0</v>
      </c>
      <c r="AP1390" s="150">
        <f>'Assumptions (Hydro)'!$V$5*Model!AP1337</f>
        <v>0</v>
      </c>
      <c r="AQ1390" s="150">
        <f>'Assumptions (Hydro)'!$V$5*Model!AQ1337</f>
        <v>0</v>
      </c>
      <c r="AR1390" s="150">
        <f>'Assumptions (Hydro)'!$V$5*Model!AR1337</f>
        <v>0</v>
      </c>
      <c r="AS1390" s="150">
        <f>'Assumptions (Hydro)'!$V$5*Model!AS1337</f>
        <v>0</v>
      </c>
      <c r="AT1390" s="150">
        <f>'Assumptions (Hydro)'!$V$5*Model!AT1337</f>
        <v>0</v>
      </c>
      <c r="AU1390" s="150">
        <f>'Assumptions (Hydro)'!$V$5*Model!AU1337</f>
        <v>0</v>
      </c>
      <c r="AV1390" s="150">
        <f>'Assumptions (Hydro)'!$V$5*Model!AV1337</f>
        <v>0</v>
      </c>
      <c r="AW1390" s="150">
        <f>'Assumptions (Hydro)'!$V$5*Model!AW1337</f>
        <v>0</v>
      </c>
      <c r="AX1390" s="150">
        <f>'Assumptions (Hydro)'!$V$5*Model!AX1337</f>
        <v>3.0558729968630838E-2</v>
      </c>
      <c r="AY1390" s="150">
        <f>'Assumptions (Hydro)'!$V$5*Model!AY1337</f>
        <v>3.1169904568003462E-2</v>
      </c>
      <c r="AZ1390" s="150">
        <f>'Assumptions (Hydro)'!$V$5*Model!AZ1337</f>
        <v>3.1793302659363532E-2</v>
      </c>
      <c r="BA1390" s="150">
        <f>'Assumptions (Hydro)'!$V$5*Model!BA1337</f>
        <v>0</v>
      </c>
    </row>
    <row r="1391" spans="1:68" ht="15.75" customHeight="1">
      <c r="A1391" s="414" t="s">
        <v>336</v>
      </c>
      <c r="B1391" s="99" t="s">
        <v>201</v>
      </c>
      <c r="C1391" s="91">
        <f t="array" ref="C1391">SUM(IF(ISERROR(C1392:C1442),"",C1392:C1442))</f>
        <v>-2.0444869200794937E-4</v>
      </c>
      <c r="D1391" s="91">
        <f t="array" ref="D1391">SUM(IF(ISERROR(D1392:D1442),"",D1392:D1442))</f>
        <v>-7.5190565139191127E-3</v>
      </c>
      <c r="E1391" s="91">
        <f t="array" ref="E1391">SUM(IF(ISERROR(E1392:E1442),"",E1392:E1442))</f>
        <v>-2.7135886305914805E-2</v>
      </c>
      <c r="F1391" s="91">
        <f t="array" ref="F1391">SUM(IF(ISERROR(F1392:F1442),"",F1392:F1442))</f>
        <v>-3.2979447930968929E-2</v>
      </c>
      <c r="G1391" s="91">
        <f t="array" ref="G1391">SUM(IF(ISERROR(G1392:G1442),"",G1392:G1442))</f>
        <v>-3.8996183532578603E-2</v>
      </c>
      <c r="H1391" s="91">
        <f t="array" ref="H1391">SUM(IF(ISERROR(H1392:H1442),"",H1392:H1442))</f>
        <v>-4.2349845030369523E-2</v>
      </c>
      <c r="I1391" s="91">
        <f t="array" ref="I1391">SUM(IF(ISERROR(I1392:I1442),"",I1392:I1442))</f>
        <v>-4.5581772847675506E-2</v>
      </c>
      <c r="J1391" s="91">
        <f t="array" ref="J1391">SUM(IF(ISERROR(J1392:J1442),"",J1392:J1442))</f>
        <v>-4.9064842050572599E-2</v>
      </c>
      <c r="K1391" s="91">
        <f t="array" ref="K1391">SUM(IF(ISERROR(K1392:K1442),"",K1392:K1442))</f>
        <v>-5.2833069469104717E-2</v>
      </c>
      <c r="L1391" s="91">
        <f t="array" ref="L1391">SUM(IF(ISERROR(L1392:L1442),"",L1392:L1442))</f>
        <v>-5.6072666426889559E-2</v>
      </c>
      <c r="M1391" s="91">
        <f t="array" ref="M1391">SUM(IF(ISERROR(M1392:M1442),"",M1392:M1442))</f>
        <v>-6.0082921122877914E-2</v>
      </c>
      <c r="N1391" s="91">
        <f t="array" ref="N1391">SUM(IF(ISERROR(N1392:N1442),"",N1392:N1442))</f>
        <v>-7.3556919853391287E-2</v>
      </c>
      <c r="O1391" s="91">
        <f t="array" ref="O1391">SUM(IF(ISERROR(O1392:O1442),"",O1392:O1442))</f>
        <v>-0.1035930980714756</v>
      </c>
      <c r="P1391" s="91">
        <f t="array" ref="P1391">SUM(IF(ISERROR(P1392:P1442),"",P1392:P1442))</f>
        <v>-0.13775131049920111</v>
      </c>
      <c r="Q1391" s="91">
        <f t="array" ref="Q1391">SUM(IF(ISERROR(Q1392:Q1442),"",Q1392:Q1442))</f>
        <v>-0.15474456496116887</v>
      </c>
      <c r="R1391" s="91">
        <f t="array" ref="R1391">SUM(IF(ISERROR(R1392:R1442),"",R1392:R1442))</f>
        <v>-0.17139308666110928</v>
      </c>
      <c r="S1391" s="91">
        <f t="array" ref="S1391">SUM(IF(ISERROR(S1392:S1442),"",S1392:S1442))</f>
        <v>-0.19208018062757398</v>
      </c>
      <c r="T1391" s="91">
        <f t="array" ref="T1391">SUM(IF(ISERROR(T1392:T1442),"",T1392:T1442))</f>
        <v>-0.17801168397674894</v>
      </c>
      <c r="U1391" s="91">
        <f t="array" ref="U1391">SUM(IF(ISERROR(U1392:U1442),"",U1392:U1442))</f>
        <v>-0.18874124104586032</v>
      </c>
      <c r="V1391" s="91">
        <f t="array" ref="V1391">SUM(IF(ISERROR(V1392:V1442),"",V1392:V1442))</f>
        <v>-0.19761681770436604</v>
      </c>
      <c r="W1391" s="91">
        <f t="array" ref="W1391">SUM(IF(ISERROR(W1392:W1442),"",W1392:W1442))</f>
        <v>-0.20399206476803677</v>
      </c>
      <c r="X1391" s="91">
        <f t="array" ref="X1391">SUM(IF(ISERROR(X1392:X1442),"",X1392:X1442))</f>
        <v>-0.51924660747127993</v>
      </c>
      <c r="Y1391" s="91">
        <f t="array" ref="Y1391">SUM(IF(ISERROR(Y1392:Y1442),"",Y1392:Y1442))</f>
        <v>-0.5412671682428718</v>
      </c>
      <c r="Z1391" s="91">
        <f t="array" ref="Z1391">SUM(IF(ISERROR(Z1392:Z1442),"",Z1392:Z1442))</f>
        <v>-0.56409357382938186</v>
      </c>
      <c r="AA1391" s="91">
        <f t="array" ref="AA1391">SUM(IF(ISERROR(AA1392:AA1442),"",AA1392:AA1442))</f>
        <v>-0.58942365508255623</v>
      </c>
      <c r="AB1391" s="91">
        <f t="array" ref="AB1391">SUM(IF(ISERROR(AB1392:AB1442),"",AB1392:AB1442))</f>
        <v>-0.61471971903854727</v>
      </c>
      <c r="AC1391" s="91">
        <f t="array" ref="AC1391">SUM(IF(ISERROR(AC1392:AC1442),"",AC1392:AC1442))</f>
        <v>-0.62261606870897701</v>
      </c>
      <c r="AD1391" s="91">
        <f t="array" ref="AD1391">SUM(IF(ISERROR(AD1392:AD1442),"",AD1392:AD1442))</f>
        <v>-0.59894913715244025</v>
      </c>
      <c r="AE1391" s="91">
        <f t="array" ref="AE1391">SUM(IF(ISERROR(AE1392:AE1442),"",AE1392:AE1442))</f>
        <v>-0.56875147760393074</v>
      </c>
      <c r="AF1391" s="91">
        <f t="array" ref="AF1391">SUM(IF(ISERROR(AF1392:AF1442),"",AF1392:AF1442))</f>
        <v>-0.57480532523057271</v>
      </c>
      <c r="AG1391" s="91">
        <f t="array" ref="AG1391">SUM(IF(ISERROR(AG1392:AG1442),"",AG1392:AG1442))</f>
        <v>-0.58263472655891835</v>
      </c>
      <c r="AH1391" s="91">
        <f t="array" ref="AH1391">SUM(IF(ISERROR(AH1392:AH1442),"",AH1392:AH1442))</f>
        <v>-0.55575154332094023</v>
      </c>
      <c r="AI1391" s="91">
        <f t="array" ref="AI1391">SUM(IF(ISERROR(AI1392:AI1442),"",AI1392:AI1442))</f>
        <v>-0.55117699075367732</v>
      </c>
      <c r="AJ1391" s="91">
        <f t="array" ref="AJ1391">SUM(IF(ISERROR(AJ1392:AJ1442),"",AJ1392:AJ1442))</f>
        <v>-0.55447028815054067</v>
      </c>
      <c r="AK1391" s="91">
        <f t="array" ref="AK1391">SUM(IF(ISERROR(AK1392:AK1442),"",AK1392:AK1442))</f>
        <v>-0.56308129489557734</v>
      </c>
      <c r="AL1391" s="91">
        <f t="array" ref="AL1391">SUM(IF(ISERROR(AL1392:AL1442),"",AL1392:AL1442))</f>
        <v>-0.5898276564031173</v>
      </c>
      <c r="AM1391" s="91">
        <f t="array" ref="AM1391">SUM(IF(ISERROR(AM1392:AM1442),"",AM1392:AM1442))</f>
        <v>0</v>
      </c>
      <c r="AN1391" s="91">
        <f t="array" ref="AN1391">SUM(IF(ISERROR(AN1392:AN1442),"",AN1392:AN1442))</f>
        <v>0</v>
      </c>
      <c r="AO1391" s="91">
        <f t="array" ref="AO1391">SUM(IF(ISERROR(AO1392:AO1442),"",AO1392:AO1442))</f>
        <v>0</v>
      </c>
      <c r="AP1391" s="91">
        <f t="array" ref="AP1391">SUM(IF(ISERROR(AP1392:AP1442),"",AP1392:AP1442))</f>
        <v>0</v>
      </c>
      <c r="AQ1391" s="91">
        <f t="array" ref="AQ1391">SUM(IF(ISERROR(AQ1392:AQ1442),"",AQ1392:AQ1442))</f>
        <v>0</v>
      </c>
      <c r="AR1391" s="91">
        <f t="array" ref="AR1391">SUM(IF(ISERROR(AR1392:AR1442),"",AR1392:AR1442))</f>
        <v>0</v>
      </c>
      <c r="AS1391" s="91">
        <f t="array" ref="AS1391">SUM(IF(ISERROR(AS1392:AS1442),"",AS1392:AS1442))</f>
        <v>0</v>
      </c>
      <c r="AT1391" s="91">
        <f t="array" ref="AT1391">SUM(IF(ISERROR(AT1392:AT1442),"",AT1392:AT1442))</f>
        <v>0</v>
      </c>
      <c r="AU1391" s="91">
        <f t="array" ref="AU1391">SUM(IF(ISERROR(AU1392:AU1442),"",AU1392:AU1442))</f>
        <v>0</v>
      </c>
      <c r="AV1391" s="91">
        <f t="array" ref="AV1391">SUM(IF(ISERROR(AV1392:AV1442),"",AV1392:AV1442))</f>
        <v>0</v>
      </c>
      <c r="AW1391" s="91">
        <f t="array" ref="AW1391">SUM(IF(ISERROR(AW1392:AW1442),"",AW1392:AW1442))</f>
        <v>0</v>
      </c>
      <c r="AX1391" s="91">
        <f t="array" ref="AX1391">SUM(IF(ISERROR(AX1392:AX1442),"",AX1392:AX1442))</f>
        <v>0</v>
      </c>
      <c r="AY1391" s="91">
        <f t="array" ref="AY1391">SUM(IF(ISERROR(AY1392:AY1442),"",AY1392:AY1442))</f>
        <v>0</v>
      </c>
      <c r="AZ1391" s="91">
        <f t="array" ref="AZ1391">SUM(IF(ISERROR(AZ1392:AZ1442),"",AZ1392:AZ1442))</f>
        <v>0</v>
      </c>
      <c r="BA1391" s="91">
        <f t="array" ref="BA1391">SUM(IF(ISERROR(BA1392:BA1442),"",BA1392:BA1442))</f>
        <v>-6.6243179500456526E-3</v>
      </c>
      <c r="BB1391" s="91">
        <f t="array" ref="BB1391">SUM(IF(ISERROR(BB1392:BB1442),"",BB1392:BB1442))</f>
        <v>-6.9389730526728203E-3</v>
      </c>
      <c r="BC1391" s="91">
        <f t="array" ref="BC1391">SUM(IF(ISERROR(BC1392:BC1442),"",BC1392:BC1442))</f>
        <v>-7.2685742726747802E-3</v>
      </c>
      <c r="BD1391" s="91">
        <f t="array" ref="BD1391">SUM(IF(ISERROR(BD1392:BD1442),"",BD1392:BD1442))</f>
        <v>-7.6138315506268312E-3</v>
      </c>
      <c r="BE1391" s="91">
        <f t="array" ref="BE1391">SUM(IF(ISERROR(BE1392:BE1442),"",BE1392:BE1442))</f>
        <v>-7.9754885492816056E-3</v>
      </c>
      <c r="BF1391" s="91">
        <f t="array" ref="BF1391">SUM(IF(ISERROR(BF1392:BF1442),"",BF1392:BF1442))</f>
        <v>-8.3543242553724816E-3</v>
      </c>
      <c r="BG1391" s="91">
        <f t="array" ref="BG1391">SUM(IF(ISERROR(BG1392:BG1442),"",BG1392:BG1442))</f>
        <v>-8.7511546575026761E-3</v>
      </c>
      <c r="BH1391" s="91">
        <f t="array" ref="BH1391">SUM(IF(ISERROR(BH1392:BH1442),"",BH1392:BH1442))</f>
        <v>-9.1668345037340532E-3</v>
      </c>
      <c r="BI1391" s="91">
        <f t="array" ref="BI1391">SUM(IF(ISERROR(BI1392:BI1442),"",BI1392:BI1442))</f>
        <v>-9.6022591426614193E-3</v>
      </c>
      <c r="BJ1391" s="91">
        <f t="array" ref="BJ1391">SUM(IF(ISERROR(BJ1392:BJ1442),"",BJ1392:BJ1442))</f>
        <v>-1.0058366451937839E-2</v>
      </c>
      <c r="BK1391" s="91">
        <f t="array" ref="BK1391">SUM(IF(ISERROR(BK1392:BK1442),"",BK1392:BK1442))</f>
        <v>-1.0536138858404886E-2</v>
      </c>
      <c r="BL1391" s="91">
        <f t="array" ref="BL1391">SUM(IF(ISERROR(BL1392:BL1442),"",BL1392:BL1442))</f>
        <v>-1.1036605454179116E-2</v>
      </c>
      <c r="BM1391" s="91">
        <f t="array" ref="BM1391">SUM(IF(ISERROR(BM1392:BM1442),"",BM1392:BM1442))</f>
        <v>-1.1560844213252626E-2</v>
      </c>
      <c r="BN1391" s="91">
        <f t="array" ref="BN1391">SUM(IF(ISERROR(BN1392:BN1442),"",BN1392:BN1442))</f>
        <v>-1.2109984313382127E-2</v>
      </c>
      <c r="BO1391" s="91">
        <f t="array" ref="BO1391">SUM(IF(ISERROR(BO1392:BO1442),"",BO1392:BO1442))</f>
        <v>-1.2685208568267776E-2</v>
      </c>
      <c r="BP1391" s="91"/>
    </row>
    <row r="1392" spans="1:68" ht="15.75" hidden="1" customHeight="1" outlineLevel="1">
      <c r="A1392" s="413"/>
      <c r="B1392" s="99"/>
      <c r="C1392" s="91">
        <f>IF($C$1335&gt;0,PPMT('Assumptions (Hydro)'!$V$6,Model!W$1,'Assumptions (Hydro)'!$V$9,'Assumptions (Hydro)'!$V$4*Model!$C$1335*'Assumptions (Hydro)'!$B$2/10^9),0)</f>
        <v>-2.0444869200794937E-4</v>
      </c>
      <c r="D1392" s="91">
        <f>IF($C$1335&gt;0,PPMT('Assumptions (Hydro)'!$V$6,Model!X$1,'Assumptions (Hydro)'!$V$9,'Assumptions (Hydro)'!$V$4*Model!$C$1335*'Assumptions (Hydro)'!$B$2/10^9),0)</f>
        <v>-2.1416000487832699E-4</v>
      </c>
      <c r="E1392" s="91">
        <f>IF($C$1335&gt;0,PPMT('Assumptions (Hydro)'!$V$6,Model!Y$1,'Assumptions (Hydro)'!$V$9,'Assumptions (Hydro)'!$V$4*Model!$C$1335*'Assumptions (Hydro)'!$B$2/10^9),0)</f>
        <v>-2.2433260511004754E-4</v>
      </c>
      <c r="F1392" s="91">
        <f>IF($C$1335&gt;0,PPMT('Assumptions (Hydro)'!$V$6,Model!Z$1,'Assumptions (Hydro)'!$V$9,'Assumptions (Hydro)'!$V$4*Model!$C$1335*'Assumptions (Hydro)'!$B$2/10^9),0)</f>
        <v>-2.3498840385277476E-4</v>
      </c>
      <c r="G1392" s="91">
        <f>IF($C$1335&gt;0,PPMT('Assumptions (Hydro)'!$V$6,Model!AA$1,'Assumptions (Hydro)'!$V$9,'Assumptions (Hydro)'!$V$4*Model!$C$1335*'Assumptions (Hydro)'!$B$2/10^9),0)</f>
        <v>-2.4615035303578154E-4</v>
      </c>
      <c r="H1392" s="91">
        <f>IF($C$1335&gt;0,PPMT('Assumptions (Hydro)'!$V$6,Model!AB$1,'Assumptions (Hydro)'!$V$9,'Assumptions (Hydro)'!$V$4*Model!$C$1335*'Assumptions (Hydro)'!$B$2/10^9),0)</f>
        <v>-2.5784249480498116E-4</v>
      </c>
      <c r="I1392" s="91">
        <f>IF($C$1335&gt;0,PPMT('Assumptions (Hydro)'!$V$6,Model!AC$1,'Assumptions (Hydro)'!$V$9,'Assumptions (Hydro)'!$V$4*Model!$C$1335*'Assumptions (Hydro)'!$B$2/10^9),0)</f>
        <v>-2.7009001330821782E-4</v>
      </c>
      <c r="J1392" s="91">
        <f>IF($C$1335&gt;0,PPMT('Assumptions (Hydro)'!$V$6,Model!AD$1,'Assumptions (Hydro)'!$V$9,'Assumptions (Hydro)'!$V$4*Model!$C$1335*'Assumptions (Hydro)'!$B$2/10^9),0)</f>
        <v>-2.8291928894035815E-4</v>
      </c>
      <c r="K1392" s="91">
        <f>IF($C$1335&gt;0,PPMT('Assumptions (Hydro)'!$V$6,Model!AE$1,'Assumptions (Hydro)'!$V$9,'Assumptions (Hydro)'!$V$4*Model!$C$1335*'Assumptions (Hydro)'!$B$2/10^9),0)</f>
        <v>-2.9635795516502517E-4</v>
      </c>
      <c r="L1392" s="91">
        <f>IF($C$1335&gt;0,PPMT('Assumptions (Hydro)'!$V$6,Model!AF$1,'Assumptions (Hydro)'!$V$9,'Assumptions (Hydro)'!$V$4*Model!$C$1335*'Assumptions (Hydro)'!$B$2/10^9),0)</f>
        <v>-3.1043495803536388E-4</v>
      </c>
      <c r="M1392" s="91">
        <f>IF($C$1335&gt;0,PPMT('Assumptions (Hydro)'!$V$6,Model!AG$1,'Assumptions (Hydro)'!$V$9,'Assumptions (Hydro)'!$V$4*Model!$C$1335*'Assumptions (Hydro)'!$B$2/10^9),0)</f>
        <v>-3.251806185420437E-4</v>
      </c>
      <c r="N1392" s="91">
        <f>IF($C$1335&gt;0,PPMT('Assumptions (Hydro)'!$V$6,Model!AH$1,'Assumptions (Hydro)'!$V$9,'Assumptions (Hydro)'!$V$4*Model!$C$1335*'Assumptions (Hydro)'!$B$2/10^9),0)</f>
        <v>-3.406266979227907E-4</v>
      </c>
      <c r="O1392" s="91">
        <f>IF($C$1335&gt;0,PPMT('Assumptions (Hydro)'!$V$6,Model!AI$1,'Assumptions (Hydro)'!$V$9,'Assumptions (Hydro)'!$V$4*Model!$C$1335*'Assumptions (Hydro)'!$B$2/10^9),0)</f>
        <v>-3.5680646607412329E-4</v>
      </c>
      <c r="P1392" s="91">
        <f>IF($C$1335&gt;0,PPMT('Assumptions (Hydro)'!$V$6,Model!AJ$1,'Assumptions (Hydro)'!$V$9,'Assumptions (Hydro)'!$V$4*Model!$C$1335*'Assumptions (Hydro)'!$B$2/10^9),0)</f>
        <v>-3.7375477321264415E-4</v>
      </c>
      <c r="Q1392" s="91">
        <f>IF($C$1335&gt;0,PPMT('Assumptions (Hydro)'!$V$6,Model!AK$1,'Assumptions (Hydro)'!$V$9,'Assumptions (Hydro)'!$V$4*Model!$C$1335*'Assumptions (Hydro)'!$B$2/10^9),0)</f>
        <v>-3.9150812494024477E-4</v>
      </c>
      <c r="R1392" s="91"/>
      <c r="S1392" s="91"/>
      <c r="T1392" s="91"/>
      <c r="U1392" s="91"/>
      <c r="V1392" s="91"/>
      <c r="W1392" s="91"/>
      <c r="X1392" s="91"/>
      <c r="Y1392" s="91"/>
      <c r="Z1392" s="91"/>
      <c r="AA1392" s="91"/>
      <c r="AB1392" s="105"/>
      <c r="AC1392" s="105"/>
      <c r="AD1392" s="105"/>
      <c r="AE1392" s="105"/>
      <c r="AF1392" s="105"/>
      <c r="AG1392" s="105"/>
    </row>
    <row r="1393" spans="1:43" ht="15.75" hidden="1" customHeight="1" outlineLevel="1">
      <c r="A1393" s="413"/>
      <c r="B1393" s="99"/>
      <c r="C1393" s="105"/>
      <c r="D1393" s="91">
        <f>IF($D$1335&gt;0,PPMT('Assumptions (Hydro)'!$V$6,Model!W$1,'Assumptions (Hydro)'!$V$9,'Assumptions (Hydro)'!$V$4*Model!$D$1335*'Assumptions (Hydro)'!$B$2/10^9),0)</f>
        <v>-7.304896509040786E-3</v>
      </c>
      <c r="E1393" s="91">
        <f>IF($D$1335&gt;0,PPMT('Assumptions (Hydro)'!$V$6,Model!X$1,'Assumptions (Hydro)'!$V$9,'Assumptions (Hydro)'!$V$4*Model!$D$1335*'Assumptions (Hydro)'!$B$2/10^9),0)</f>
        <v>-7.6518790932202235E-3</v>
      </c>
      <c r="F1393" s="91">
        <f>IF($D$1335&gt;0,PPMT('Assumptions (Hydro)'!$V$6,Model!Y$1,'Assumptions (Hydro)'!$V$9,'Assumptions (Hydro)'!$V$4*Model!$D$1335*'Assumptions (Hydro)'!$B$2/10^9),0)</f>
        <v>-8.0153433501481824E-3</v>
      </c>
      <c r="G1393" s="91">
        <f>IF($D$1335&gt;0,PPMT('Assumptions (Hydro)'!$V$6,Model!Z$1,'Assumptions (Hydro)'!$V$9,'Assumptions (Hydro)'!$V$4*Model!$D$1335*'Assumptions (Hydro)'!$B$2/10^9),0)</f>
        <v>-8.3960721592802219E-3</v>
      </c>
      <c r="H1393" s="91">
        <f>IF($D$1335&gt;0,PPMT('Assumptions (Hydro)'!$V$6,Model!AA$1,'Assumptions (Hydro)'!$V$9,'Assumptions (Hydro)'!$V$4*Model!$D$1335*'Assumptions (Hydro)'!$B$2/10^9),0)</f>
        <v>-8.7948855868460307E-3</v>
      </c>
      <c r="I1393" s="91">
        <f>IF($D$1335&gt;0,PPMT('Assumptions (Hydro)'!$V$6,Model!AB$1,'Assumptions (Hydro)'!$V$9,'Assumptions (Hydro)'!$V$4*Model!$D$1335*'Assumptions (Hydro)'!$B$2/10^9),0)</f>
        <v>-9.2126426522212181E-3</v>
      </c>
      <c r="J1393" s="91">
        <f>IF($D$1335&gt;0,PPMT('Assumptions (Hydro)'!$V$6,Model!AC$1,'Assumptions (Hydro)'!$V$9,'Assumptions (Hydro)'!$V$4*Model!$D$1335*'Assumptions (Hydro)'!$B$2/10^9),0)</f>
        <v>-9.650243178201727E-3</v>
      </c>
      <c r="K1393" s="91">
        <f>IF($D$1335&gt;0,PPMT('Assumptions (Hydro)'!$V$6,Model!AD$1,'Assumptions (Hydro)'!$V$9,'Assumptions (Hydro)'!$V$4*Model!$D$1335*'Assumptions (Hydro)'!$B$2/10^9),0)</f>
        <v>-1.0108629729166308E-2</v>
      </c>
      <c r="L1393" s="91">
        <f>IF($D$1335&gt;0,PPMT('Assumptions (Hydro)'!$V$6,Model!AE$1,'Assumptions (Hydro)'!$V$9,'Assumptions (Hydro)'!$V$4*Model!$D$1335*'Assumptions (Hydro)'!$B$2/10^9),0)</f>
        <v>-1.0588789641301709E-2</v>
      </c>
      <c r="M1393" s="91">
        <f>IF($D$1335&gt;0,PPMT('Assumptions (Hydro)'!$V$6,Model!AF$1,'Assumptions (Hydro)'!$V$9,'Assumptions (Hydro)'!$V$4*Model!$D$1335*'Assumptions (Hydro)'!$B$2/10^9),0)</f>
        <v>-1.109175714926354E-2</v>
      </c>
      <c r="N1393" s="91">
        <f>IF($D$1335&gt;0,PPMT('Assumptions (Hydro)'!$V$6,Model!AG$1,'Assumptions (Hydro)'!$V$9,'Assumptions (Hydro)'!$V$4*Model!$D$1335*'Assumptions (Hydro)'!$B$2/10^9),0)</f>
        <v>-1.1618615613853559E-2</v>
      </c>
      <c r="O1393" s="91">
        <f>IF($D$1335&gt;0,PPMT('Assumptions (Hydro)'!$V$6,Model!AH$1,'Assumptions (Hydro)'!$V$9,'Assumptions (Hydro)'!$V$4*Model!$D$1335*'Assumptions (Hydro)'!$B$2/10^9),0)</f>
        <v>-1.2170499855511602E-2</v>
      </c>
      <c r="P1393" s="91">
        <f>IF($D$1335&gt;0,PPMT('Assumptions (Hydro)'!$V$6,Model!AI$1,'Assumptions (Hydro)'!$V$9,'Assumptions (Hydro)'!$V$4*Model!$D$1335*'Assumptions (Hydro)'!$B$2/10^9),0)</f>
        <v>-1.2748598598648403E-2</v>
      </c>
      <c r="Q1393" s="91">
        <f>IF($D$1335&gt;0,PPMT('Assumptions (Hydro)'!$V$6,Model!AJ$1,'Assumptions (Hydro)'!$V$9,'Assumptions (Hydro)'!$V$4*Model!$D$1335*'Assumptions (Hydro)'!$B$2/10^9),0)</f>
        <v>-1.3354157032084202E-2</v>
      </c>
      <c r="R1393" s="91">
        <f>IF($D$1335&gt;0,PPMT('Assumptions (Hydro)'!$V$6,Model!AK$1,'Assumptions (Hydro)'!$V$9,'Assumptions (Hydro)'!$V$4*Model!$D$1335*'Assumptions (Hydro)'!$B$2/10^9),0)</f>
        <v>-1.3988479491108201E-2</v>
      </c>
      <c r="S1393" s="91"/>
      <c r="T1393" s="91"/>
      <c r="U1393" s="91"/>
      <c r="V1393" s="91"/>
      <c r="W1393" s="91"/>
      <c r="X1393" s="91"/>
      <c r="Y1393" s="91"/>
      <c r="Z1393" s="91"/>
      <c r="AA1393" s="91"/>
      <c r="AB1393" s="91"/>
      <c r="AC1393" s="105"/>
      <c r="AD1393" s="105"/>
      <c r="AE1393" s="105"/>
      <c r="AF1393" s="105"/>
      <c r="AG1393" s="105"/>
    </row>
    <row r="1394" spans="1:43" ht="15.75" hidden="1" customHeight="1" outlineLevel="1">
      <c r="A1394" s="413"/>
      <c r="B1394" s="99"/>
      <c r="C1394" s="105"/>
      <c r="D1394" s="105"/>
      <c r="E1394" s="105">
        <f>IF($E$1335&gt;0,PPMT('Assumptions (Hydro)'!$V$6,Model!W$1,'Assumptions (Hydro)'!$V$9,'Assumptions (Hydro)'!$V$4*Model!$E$1335*AVERAGE('Assumptions (Hydro)'!$B$2:$C$2)/10^9),0)</f>
        <v>-1.9259674607584536E-2</v>
      </c>
      <c r="F1394" s="105">
        <f>IF($E$1335&gt;0,PPMT('Assumptions (Hydro)'!$V$6,Model!X$1,'Assumptions (Hydro)'!$V$9,'Assumptions (Hydro)'!$V$4*Model!$E$1335*AVERAGE('Assumptions (Hydro)'!$B$2:$C$2)/10^9),0)</f>
        <v>-2.0174509151444801E-2</v>
      </c>
      <c r="G1394" s="105">
        <f>IF($E$1335&gt;0,PPMT('Assumptions (Hydro)'!$V$6,Model!Y$1,'Assumptions (Hydro)'!$V$9,'Assumptions (Hydro)'!$V$4*Model!$E$1335*AVERAGE('Assumptions (Hydro)'!$B$2:$C$2)/10^9),0)</f>
        <v>-2.1132798336138431E-2</v>
      </c>
      <c r="H1394" s="105">
        <f>IF($E$1335&gt;0,PPMT('Assumptions (Hydro)'!$V$6,Model!Z$1,'Assumptions (Hydro)'!$V$9,'Assumptions (Hydro)'!$V$4*Model!$E$1335*AVERAGE('Assumptions (Hydro)'!$B$2:$C$2)/10^9),0)</f>
        <v>-2.2136606257105004E-2</v>
      </c>
      <c r="I1394" s="105">
        <f>IF($E$1335&gt;0,PPMT('Assumptions (Hydro)'!$V$6,Model!AA$1,'Assumptions (Hydro)'!$V$9,'Assumptions (Hydro)'!$V$4*Model!$E$1335*AVERAGE('Assumptions (Hydro)'!$B$2:$C$2)/10^9),0)</f>
        <v>-2.318809505431749E-2</v>
      </c>
      <c r="J1394" s="105">
        <f>IF($E$1335&gt;0,PPMT('Assumptions (Hydro)'!$V$6,Model!AB$1,'Assumptions (Hydro)'!$V$9,'Assumptions (Hydro)'!$V$4*Model!$E$1335*AVERAGE('Assumptions (Hydro)'!$B$2:$C$2)/10^9),0)</f>
        <v>-2.4289529569397571E-2</v>
      </c>
      <c r="K1394" s="105">
        <f>IF($E$1335&gt;0,PPMT('Assumptions (Hydro)'!$V$6,Model!AC$1,'Assumptions (Hydro)'!$V$9,'Assumptions (Hydro)'!$V$4*Model!$E$1335*AVERAGE('Assumptions (Hydro)'!$B$2:$C$2)/10^9),0)</f>
        <v>-2.5443282223943958E-2</v>
      </c>
      <c r="L1394" s="105">
        <f>IF($E$1335&gt;0,PPMT('Assumptions (Hydro)'!$V$6,Model!AD$1,'Assumptions (Hydro)'!$V$9,'Assumptions (Hydro)'!$V$4*Model!$E$1335*AVERAGE('Assumptions (Hydro)'!$B$2:$C$2)/10^9),0)</f>
        <v>-2.6651838129581298E-2</v>
      </c>
      <c r="M1394" s="105">
        <f>IF($E$1335&gt;0,PPMT('Assumptions (Hydro)'!$V$6,Model!AE$1,'Assumptions (Hydro)'!$V$9,'Assumptions (Hydro)'!$V$4*Model!$E$1335*AVERAGE('Assumptions (Hydro)'!$B$2:$C$2)/10^9),0)</f>
        <v>-2.7917800440736405E-2</v>
      </c>
      <c r="N1394" s="91">
        <f>IF($E$1335&gt;0,PPMT('Assumptions (Hydro)'!$V$6,Model!AF$1,'Assumptions (Hydro)'!$V$9,'Assumptions (Hydro)'!$V$4*Model!$E$1335*AVERAGE('Assumptions (Hydro)'!$B$2:$C$2)/10^9),0)</f>
        <v>-2.9243895961671387E-2</v>
      </c>
      <c r="O1394" s="105">
        <f>IF($E$1335&gt;0,PPMT('Assumptions (Hydro)'!$V$6,Model!AG$1,'Assumptions (Hydro)'!$V$9,'Assumptions (Hydro)'!$V$4*Model!$E$1335*AVERAGE('Assumptions (Hydro)'!$B$2:$C$2)/10^9),0)</f>
        <v>-3.0632981019850781E-2</v>
      </c>
      <c r="P1394" s="105">
        <f>IF($E$1335&gt;0,PPMT('Assumptions (Hydro)'!$V$6,Model!AH$1,'Assumptions (Hydro)'!$V$9,'Assumptions (Hydro)'!$V$4*Model!$E$1335*AVERAGE('Assumptions (Hydro)'!$B$2:$C$2)/10^9),0)</f>
        <v>-3.2088047618293696E-2</v>
      </c>
      <c r="Q1394" s="105">
        <f>IF($E$1335&gt;0,PPMT('Assumptions (Hydro)'!$V$6,Model!AI$1,'Assumptions (Hydro)'!$V$9,'Assumptions (Hydro)'!$V$4*Model!$E$1335*AVERAGE('Assumptions (Hydro)'!$B$2:$C$2)/10^9),0)</f>
        <v>-3.3612229880162645E-2</v>
      </c>
      <c r="R1394" s="105">
        <f>IF($E$1335&gt;0,PPMT('Assumptions (Hydro)'!$V$6,Model!AJ$1,'Assumptions (Hydro)'!$V$9,'Assumptions (Hydro)'!$V$4*Model!$E$1335*AVERAGE('Assumptions (Hydro)'!$B$2:$C$2)/10^9),0)</f>
        <v>-3.5208810799470365E-2</v>
      </c>
      <c r="S1394" s="105">
        <f>IF($E$1335&gt;0,PPMT('Assumptions (Hydro)'!$V$6,Model!AK$1,'Assumptions (Hydro)'!$V$9,'Assumptions (Hydro)'!$V$4*Model!$E$1335*AVERAGE('Assumptions (Hydro)'!$B$2:$C$2)/10^9),0)</f>
        <v>-3.6881229312445203E-2</v>
      </c>
      <c r="T1394" s="105"/>
      <c r="U1394" s="105"/>
      <c r="V1394" s="105"/>
      <c r="W1394" s="105"/>
      <c r="X1394" s="105"/>
      <c r="Y1394" s="105"/>
      <c r="Z1394" s="105"/>
      <c r="AA1394" s="105"/>
      <c r="AB1394" s="105"/>
      <c r="AC1394" s="105"/>
      <c r="AD1394" s="105"/>
      <c r="AE1394" s="105"/>
      <c r="AF1394" s="105"/>
      <c r="AG1394" s="105"/>
    </row>
    <row r="1395" spans="1:43" ht="15.75" hidden="1" customHeight="1" outlineLevel="1">
      <c r="A1395" s="413"/>
      <c r="B1395" s="99"/>
      <c r="C1395" s="105"/>
      <c r="D1395" s="105"/>
      <c r="E1395" s="105"/>
      <c r="F1395" s="105">
        <f>IF($F$1335&gt;0,PPMT('Assumptions (Hydro)'!$V$6,Model!W$1,'Assumptions (Hydro)'!$V$9,'Assumptions (Hydro)'!$V$4*Model!$F$1335*AVERAGE('Assumptions (Hydro)'!$B$2:$D$2)/10^9),0)</f>
        <v>-4.5546070255231674E-3</v>
      </c>
      <c r="G1395" s="105">
        <f>IF($F$1335&gt;0,PPMT('Assumptions (Hydro)'!$V$6,Model!X$1,'Assumptions (Hydro)'!$V$9,'Assumptions (Hydro)'!$V$4*Model!$F$1335*AVERAGE('Assumptions (Hydro)'!$B$2:$D$2)/10^9),0)</f>
        <v>-4.7709508592355182E-3</v>
      </c>
      <c r="H1395" s="105">
        <f>IF($F$1335&gt;0,PPMT('Assumptions (Hydro)'!$V$6,Model!Y$1,'Assumptions (Hydro)'!$V$9,'Assumptions (Hydro)'!$V$4*Model!$F$1335*AVERAGE('Assumptions (Hydro)'!$B$2:$D$2)/10^9),0)</f>
        <v>-4.9975710250492059E-3</v>
      </c>
      <c r="I1395" s="105">
        <f>IF($F$1335&gt;0,PPMT('Assumptions (Hydro)'!$V$6,Model!Z$1,'Assumptions (Hydro)'!$V$9,'Assumptions (Hydro)'!$V$4*Model!$F$1335*AVERAGE('Assumptions (Hydro)'!$B$2:$D$2)/10^9),0)</f>
        <v>-5.234955648739042E-3</v>
      </c>
      <c r="J1395" s="105">
        <f>IF($F$1335&gt;0,PPMT('Assumptions (Hydro)'!$V$6,Model!AA$1,'Assumptions (Hydro)'!$V$9,'Assumptions (Hydro)'!$V$4*Model!$F$1335*AVERAGE('Assumptions (Hydro)'!$B$2:$D$2)/10^9),0)</f>
        <v>-5.4836160420541459E-3</v>
      </c>
      <c r="K1395" s="105">
        <f>IF($F$1335&gt;0,PPMT('Assumptions (Hydro)'!$V$6,Model!AB$1,'Assumptions (Hydro)'!$V$9,'Assumptions (Hydro)'!$V$4*Model!$F$1335*AVERAGE('Assumptions (Hydro)'!$B$2:$D$2)/10^9),0)</f>
        <v>-5.7440878040517186E-3</v>
      </c>
      <c r="L1395" s="105">
        <f>IF($F$1335&gt;0,PPMT('Assumptions (Hydro)'!$V$6,Model!AC$1,'Assumptions (Hydro)'!$V$9,'Assumptions (Hydro)'!$V$4*Model!$F$1335*AVERAGE('Assumptions (Hydro)'!$B$2:$D$2)/10^9),0)</f>
        <v>-6.0169319747441748E-3</v>
      </c>
      <c r="M1395" s="105">
        <f>IF($F$1335&gt;0,PPMT('Assumptions (Hydro)'!$V$6,Model!AD$1,'Assumptions (Hydro)'!$V$9,'Assumptions (Hydro)'!$V$4*Model!$F$1335*AVERAGE('Assumptions (Hydro)'!$B$2:$D$2)/10^9),0)</f>
        <v>-6.3027362435445237E-3</v>
      </c>
      <c r="N1395" s="91">
        <f>IF($F$1335&gt;0,PPMT('Assumptions (Hydro)'!$V$6,Model!AE$1,'Assumptions (Hydro)'!$V$9,'Assumptions (Hydro)'!$V$4*Model!$F$1335*AVERAGE('Assumptions (Hydro)'!$B$2:$D$2)/10^9),0)</f>
        <v>-6.6021162151128883E-3</v>
      </c>
      <c r="O1395" s="105">
        <f>IF($F$1335&gt;0,PPMT('Assumptions (Hydro)'!$V$6,Model!AF$1,'Assumptions (Hydro)'!$V$9,'Assumptions (Hydro)'!$V$4*Model!$F$1335*AVERAGE('Assumptions (Hydro)'!$B$2:$D$2)/10^9),0)</f>
        <v>-6.9157167353307509E-3</v>
      </c>
      <c r="P1395" s="105">
        <f>IF($F$1335&gt;0,PPMT('Assumptions (Hydro)'!$V$6,Model!AG$1,'Assumptions (Hydro)'!$V$9,'Assumptions (Hydro)'!$V$4*Model!$F$1335*AVERAGE('Assumptions (Hydro)'!$B$2:$D$2)/10^9),0)</f>
        <v>-7.244213280258963E-3</v>
      </c>
      <c r="Q1395" s="105">
        <f>IF($F$1335&gt;0,PPMT('Assumptions (Hydro)'!$V$6,Model!AH$1,'Assumptions (Hydro)'!$V$9,'Assumptions (Hydro)'!$V$4*Model!$F$1335*AVERAGE('Assumptions (Hydro)'!$B$2:$D$2)/10^9),0)</f>
        <v>-7.5883134110712623E-3</v>
      </c>
      <c r="R1395" s="105">
        <f>IF($F$1335&gt;0,PPMT('Assumptions (Hydro)'!$V$6,Model!AI$1,'Assumptions (Hydro)'!$V$9,'Assumptions (Hydro)'!$V$4*Model!$F$1335*AVERAGE('Assumptions (Hydro)'!$B$2:$D$2)/10^9),0)</f>
        <v>-7.9487582980971479E-3</v>
      </c>
      <c r="S1395" s="105">
        <f>IF($F$1335&gt;0,PPMT('Assumptions (Hydro)'!$V$6,Model!AJ$1,'Assumptions (Hydro)'!$V$9,'Assumptions (Hydro)'!$V$4*Model!$F$1335*AVERAGE('Assumptions (Hydro)'!$B$2:$D$2)/10^9),0)</f>
        <v>-8.3263243172567621E-3</v>
      </c>
      <c r="T1395" s="105">
        <f>IF($F$1335&gt;0,PPMT('Assumptions (Hydro)'!$V$6,Model!AK$1,'Assumptions (Hydro)'!$V$9,'Assumptions (Hydro)'!$V$4*Model!$F$1335*AVERAGE('Assumptions (Hydro)'!$B$2:$D$2)/10^9),0)</f>
        <v>-8.7218247223264586E-3</v>
      </c>
      <c r="U1395" s="105"/>
      <c r="V1395" s="105"/>
      <c r="W1395" s="105"/>
      <c r="X1395" s="105"/>
      <c r="Y1395" s="105"/>
      <c r="Z1395" s="105"/>
      <c r="AA1395" s="105"/>
      <c r="AB1395" s="105"/>
      <c r="AC1395" s="105"/>
      <c r="AD1395" s="105"/>
      <c r="AE1395" s="105"/>
      <c r="AF1395" s="105"/>
      <c r="AG1395" s="105"/>
    </row>
    <row r="1396" spans="1:43" ht="15.75" hidden="1" customHeight="1" outlineLevel="1">
      <c r="A1396" s="413"/>
      <c r="B1396" s="99"/>
      <c r="C1396" s="105"/>
      <c r="D1396" s="105"/>
      <c r="E1396" s="105"/>
      <c r="F1396" s="105"/>
      <c r="G1396" s="105">
        <f>IF($G$1335&gt;0,PPMT('Assumptions (Hydro)'!$V$6,Model!W$1,'Assumptions (Hydro)'!$V$9,'Assumptions (Hydro)'!$V$4*Model!$G$1335*AVERAGE('Assumptions (Hydro)'!$C$2:$E$2)/10^9),0)</f>
        <v>-4.4502118248886538E-3</v>
      </c>
      <c r="H1396" s="105">
        <f>IF($G$1335&gt;0,PPMT('Assumptions (Hydro)'!$V$6,Model!X$1,'Assumptions (Hydro)'!$V$9,'Assumptions (Hydro)'!$V$4*Model!$G$1335*AVERAGE('Assumptions (Hydro)'!$C$2:$E$2)/10^9),0)</f>
        <v>-4.661596886570865E-3</v>
      </c>
      <c r="I1396" s="105">
        <f>IF($G$1335&gt;0,PPMT('Assumptions (Hydro)'!$V$6,Model!Y$1,'Assumptions (Hydro)'!$V$9,'Assumptions (Hydro)'!$V$4*Model!$G$1335*AVERAGE('Assumptions (Hydro)'!$C$2:$E$2)/10^9),0)</f>
        <v>-4.883022738682981E-3</v>
      </c>
      <c r="J1396" s="105">
        <f>IF($G$1335&gt;0,PPMT('Assumptions (Hydro)'!$V$6,Model!Z$1,'Assumptions (Hydro)'!$V$9,'Assumptions (Hydro)'!$V$4*Model!$G$1335*AVERAGE('Assumptions (Hydro)'!$C$2:$E$2)/10^9),0)</f>
        <v>-5.1149663187704227E-3</v>
      </c>
      <c r="K1396" s="105">
        <f>IF($G$1335&gt;0,PPMT('Assumptions (Hydro)'!$V$6,Model!AA$1,'Assumptions (Hydro)'!$V$9,'Assumptions (Hydro)'!$V$4*Model!$G$1335*AVERAGE('Assumptions (Hydro)'!$C$2:$E$2)/10^9),0)</f>
        <v>-5.3579272189120172E-3</v>
      </c>
      <c r="L1396" s="105">
        <f>IF($G$1335&gt;0,PPMT('Assumptions (Hydro)'!$V$6,Model!AB$1,'Assumptions (Hydro)'!$V$9,'Assumptions (Hydro)'!$V$4*Model!$G$1335*AVERAGE('Assumptions (Hydro)'!$C$2:$E$2)/10^9),0)</f>
        <v>-5.6124287618103379E-3</v>
      </c>
      <c r="M1396" s="105">
        <f>IF($G$1335&gt;0,PPMT('Assumptions (Hydro)'!$V$6,Model!AC$1,'Assumptions (Hydro)'!$V$9,'Assumptions (Hydro)'!$V$4*Model!$G$1335*AVERAGE('Assumptions (Hydro)'!$C$2:$E$2)/10^9),0)</f>
        <v>-5.8790191279963298E-3</v>
      </c>
      <c r="N1396" s="105">
        <f>IF($G$1335&gt;0,PPMT('Assumptions (Hydro)'!$V$6,Model!AD$1,'Assumptions (Hydro)'!$V$9,'Assumptions (Hydro)'!$V$4*Model!$G$1335*AVERAGE('Assumptions (Hydro)'!$C$2:$E$2)/10^9),0)</f>
        <v>-6.1582725365761544E-3</v>
      </c>
      <c r="O1396" s="105">
        <f>IF($G$1335&gt;0,PPMT('Assumptions (Hydro)'!$V$6,Model!AE$1,'Assumptions (Hydro)'!$V$9,'Assumptions (Hydro)'!$V$4*Model!$G$1335*AVERAGE('Assumptions (Hydro)'!$C$2:$E$2)/10^9),0)</f>
        <v>-6.4507904820635224E-3</v>
      </c>
      <c r="P1396" s="105">
        <f>IF($G$1335&gt;0,PPMT('Assumptions (Hydro)'!$V$6,Model!AF$1,'Assumptions (Hydro)'!$V$9,'Assumptions (Hydro)'!$V$4*Model!$G$1335*AVERAGE('Assumptions (Hydro)'!$C$2:$E$2)/10^9),0)</f>
        <v>-6.7572030299615391E-3</v>
      </c>
      <c r="Q1396" s="105">
        <f>IF($G$1335&gt;0,PPMT('Assumptions (Hydro)'!$V$6,Model!AG$1,'Assumptions (Hydro)'!$V$9,'Assumptions (Hydro)'!$V$4*Model!$G$1335*AVERAGE('Assumptions (Hydro)'!$C$2:$E$2)/10^9),0)</f>
        <v>-7.078170173884713E-3</v>
      </c>
      <c r="R1396" s="105">
        <f>IF($G$1335&gt;0,PPMT('Assumptions (Hydro)'!$V$6,Model!AH$1,'Assumptions (Hydro)'!$V$9,'Assumptions (Hydro)'!$V$4*Model!$G$1335*AVERAGE('Assumptions (Hydro)'!$C$2:$E$2)/10^9),0)</f>
        <v>-7.4143832571442365E-3</v>
      </c>
      <c r="S1396" s="105">
        <f>IF($G$1335&gt;0,PPMT('Assumptions (Hydro)'!$V$6,Model!AI$1,'Assumptions (Hydro)'!$V$9,'Assumptions (Hydro)'!$V$4*Model!$G$1335*AVERAGE('Assumptions (Hydro)'!$C$2:$E$2)/10^9),0)</f>
        <v>-7.7665664618585886E-3</v>
      </c>
      <c r="T1396" s="105">
        <f>IF($G$1335&gt;0,PPMT('Assumptions (Hydro)'!$V$6,Model!AJ$1,'Assumptions (Hydro)'!$V$9,'Assumptions (Hydro)'!$V$4*Model!$G$1335*AVERAGE('Assumptions (Hydro)'!$C$2:$E$2)/10^9),0)</f>
        <v>-8.1354783687968713E-3</v>
      </c>
      <c r="U1396" s="105">
        <f>IF($G$1335&gt;0,PPMT('Assumptions (Hydro)'!$V$6,Model!AK$1,'Assumptions (Hydro)'!$V$9,'Assumptions (Hydro)'!$V$4*Model!$G$1335*AVERAGE('Assumptions (Hydro)'!$C$2:$E$2)/10^9),0)</f>
        <v>-8.5219135913147219E-3</v>
      </c>
      <c r="V1396" s="105"/>
      <c r="W1396" s="105"/>
      <c r="X1396" s="105"/>
      <c r="Y1396" s="105"/>
      <c r="Z1396" s="105"/>
      <c r="AA1396" s="105"/>
      <c r="AB1396" s="105"/>
      <c r="AC1396" s="105"/>
      <c r="AD1396" s="105"/>
      <c r="AE1396" s="105"/>
      <c r="AF1396" s="105"/>
      <c r="AG1396" s="105"/>
    </row>
    <row r="1397" spans="1:43" ht="15.75" hidden="1" customHeight="1" outlineLevel="1">
      <c r="A1397" s="413"/>
      <c r="B1397" s="99"/>
      <c r="C1397" s="105"/>
      <c r="D1397" s="105"/>
      <c r="E1397" s="105"/>
      <c r="F1397" s="105"/>
      <c r="G1397" s="105"/>
      <c r="H1397" s="418">
        <f>IF($H$1335&gt;0,PPMT('Assumptions (Hydro)'!$V$6,Model!W$1,'Assumptions (Hydro)'!$V$9,'Assumptions (Hydro)'!$V$4*Model!$H$1335*AVERAGE('Assumptions (Hydro)'!$D$2:$F$2)/10^9),0)</f>
        <v>-1.5013427799934432E-3</v>
      </c>
      <c r="I1397" s="418">
        <f>IF($H$1335&gt;0,PPMT('Assumptions (Hydro)'!$V$6,Model!X$1,'Assumptions (Hydro)'!$V$9,'Assumptions (Hydro)'!$V$4*Model!$H$1335*AVERAGE('Assumptions (Hydro)'!$D$2:$F$2)/10^9),0)</f>
        <v>-1.5726565620431316E-3</v>
      </c>
      <c r="J1397" s="418">
        <f>IF($H$1335&gt;0,PPMT('Assumptions (Hydro)'!$V$6,Model!Y$1,'Assumptions (Hydro)'!$V$9,'Assumptions (Hydro)'!$V$4*Model!$H$1335*AVERAGE('Assumptions (Hydro)'!$D$2:$F$2)/10^9),0)</f>
        <v>-1.6473577487401804E-3</v>
      </c>
      <c r="K1397" s="418">
        <f>IF($H$1335&gt;0,PPMT('Assumptions (Hydro)'!$V$6,Model!Z$1,'Assumptions (Hydro)'!$V$9,'Assumptions (Hydro)'!$V$4*Model!$H$1335*AVERAGE('Assumptions (Hydro)'!$D$2:$F$2)/10^9),0)</f>
        <v>-1.7256072418053389E-3</v>
      </c>
      <c r="L1397" s="418">
        <f>IF($H$1335&gt;0,PPMT('Assumptions (Hydro)'!$V$6,Model!AA$1,'Assumptions (Hydro)'!$V$9,'Assumptions (Hydro)'!$V$4*Model!$H$1335*AVERAGE('Assumptions (Hydro)'!$D$2:$F$2)/10^9),0)</f>
        <v>-1.8075735857910923E-3</v>
      </c>
      <c r="M1397" s="418">
        <f>IF($H$1335&gt;0,PPMT('Assumptions (Hydro)'!$V$6,Model!AB$1,'Assumptions (Hydro)'!$V$9,'Assumptions (Hydro)'!$V$4*Model!$H$1335*AVERAGE('Assumptions (Hydro)'!$D$2:$F$2)/10^9),0)</f>
        <v>-1.8934333311161696E-3</v>
      </c>
      <c r="N1397" s="418">
        <f>IF($H$1335&gt;0,PPMT('Assumptions (Hydro)'!$V$6,Model!AC$1,'Assumptions (Hydro)'!$V$9,'Assumptions (Hydro)'!$V$4*Model!$H$1335*AVERAGE('Assumptions (Hydro)'!$D$2:$F$2)/10^9),0)</f>
        <v>-1.9833714143441877E-3</v>
      </c>
      <c r="O1397" s="418">
        <f>IF($H$1335&gt;0,PPMT('Assumptions (Hydro)'!$V$6,Model!AD$1,'Assumptions (Hydro)'!$V$9,'Assumptions (Hydro)'!$V$4*Model!$H$1335*AVERAGE('Assumptions (Hydro)'!$D$2:$F$2)/10^9),0)</f>
        <v>-2.0775815565255364E-3</v>
      </c>
      <c r="P1397" s="418">
        <f>IF($H$1335&gt;0,PPMT('Assumptions (Hydro)'!$V$6,Model!AE$1,'Assumptions (Hydro)'!$V$9,'Assumptions (Hydro)'!$V$4*Model!$H$1335*AVERAGE('Assumptions (Hydro)'!$D$2:$F$2)/10^9),0)</f>
        <v>-2.1762666804604992E-3</v>
      </c>
      <c r="Q1397" s="418">
        <f>IF($H$1335&gt;0,PPMT('Assumptions (Hydro)'!$V$6,Model!AF$1,'Assumptions (Hydro)'!$V$9,'Assumptions (Hydro)'!$V$4*Model!$H$1335*AVERAGE('Assumptions (Hydro)'!$D$2:$F$2)/10^9),0)</f>
        <v>-2.2796393477823732E-3</v>
      </c>
      <c r="R1397" s="418">
        <f>IF($H$1335&gt;0,PPMT('Assumptions (Hydro)'!$V$6,Model!AG$1,'Assumptions (Hydro)'!$V$9,'Assumptions (Hydro)'!$V$4*Model!$H$1335*AVERAGE('Assumptions (Hydro)'!$D$2:$F$2)/10^9),0)</f>
        <v>-2.3879222168020362E-3</v>
      </c>
      <c r="S1397" s="418">
        <f>IF($H$1335&gt;0,PPMT('Assumptions (Hydro)'!$V$6,Model!AH$1,'Assumptions (Hydro)'!$V$9,'Assumptions (Hydro)'!$V$4*Model!$H$1335*AVERAGE('Assumptions (Hydro)'!$D$2:$F$2)/10^9),0)</f>
        <v>-2.5013485221001327E-3</v>
      </c>
      <c r="T1397" s="418">
        <f>IF($H$1335&gt;0,PPMT('Assumptions (Hydro)'!$V$6,Model!AI$1,'Assumptions (Hydro)'!$V$9,'Assumptions (Hydro)'!$V$4*Model!$H$1335*AVERAGE('Assumptions (Hydro)'!$D$2:$F$2)/10^9),0)</f>
        <v>-2.6201625768998891E-3</v>
      </c>
      <c r="U1397" s="418">
        <f>IF($H$1335&gt;0,PPMT('Assumptions (Hydro)'!$V$6,Model!AJ$1,'Assumptions (Hydro)'!$V$9,'Assumptions (Hydro)'!$V$4*Model!$H$1335*AVERAGE('Assumptions (Hydro)'!$D$2:$F$2)/10^9),0)</f>
        <v>-2.744620299302634E-3</v>
      </c>
      <c r="V1397" s="418">
        <f>IF($H$1335&gt;0,PPMT('Assumptions (Hydro)'!$V$6,Model!AK$1,'Assumptions (Hydro)'!$V$9,'Assumptions (Hydro)'!$V$4*Model!$H$1335*AVERAGE('Assumptions (Hydro)'!$D$2:$F$2)/10^9),0)</f>
        <v>-2.8749897635195086E-3</v>
      </c>
      <c r="W1397" s="105"/>
      <c r="X1397" s="105"/>
      <c r="Y1397" s="105"/>
      <c r="Z1397" s="105"/>
      <c r="AA1397" s="105"/>
      <c r="AB1397" s="105"/>
      <c r="AC1397" s="105"/>
      <c r="AD1397" s="105"/>
      <c r="AE1397" s="105"/>
      <c r="AF1397" s="105"/>
      <c r="AG1397" s="105"/>
    </row>
    <row r="1398" spans="1:43" ht="15.75" hidden="1" customHeight="1" outlineLevel="1">
      <c r="A1398" s="413"/>
      <c r="B1398" s="99"/>
      <c r="C1398" s="105"/>
      <c r="D1398" s="105"/>
      <c r="E1398" s="105"/>
      <c r="F1398" s="105"/>
      <c r="G1398" s="105"/>
      <c r="H1398" s="105"/>
      <c r="I1398" s="105">
        <f>IF($I$1335&gt;0,PPMT('Assumptions (Hydro)'!$V$6,Model!W$1,'Assumptions (Hydro)'!$V$9,'Assumptions (Hydro)'!$V$4*Model!$I$1335*AVERAGE('Assumptions (Hydro)'!$E$2:$G$2)/10^9),0)</f>
        <v>-1.2203101783634204E-3</v>
      </c>
      <c r="J1398" s="105">
        <f>IF($I$1335&gt;0,PPMT('Assumptions (Hydro)'!$V$6,Model!X$1,'Assumptions (Hydro)'!$V$9,'Assumptions (Hydro)'!$V$4*Model!$I$1335*AVERAGE('Assumptions (Hydro)'!$E$2:$G$2)/10^9),0)</f>
        <v>-1.2782749118356829E-3</v>
      </c>
      <c r="K1398" s="105">
        <f>IF($I$1335&gt;0,PPMT('Assumptions (Hydro)'!$V$6,Model!Y$1,'Assumptions (Hydro)'!$V$9,'Assumptions (Hydro)'!$V$4*Model!$I$1335*AVERAGE('Assumptions (Hydro)'!$E$2:$G$2)/10^9),0)</f>
        <v>-1.3389929701478781E-3</v>
      </c>
      <c r="L1398" s="105">
        <f>IF($I$1335&gt;0,PPMT('Assumptions (Hydro)'!$V$6,Model!Z$1,'Assumptions (Hydro)'!$V$9,'Assumptions (Hydro)'!$V$4*Model!$I$1335*AVERAGE('Assumptions (Hydro)'!$E$2:$G$2)/10^9),0)</f>
        <v>-1.4025951362299021E-3</v>
      </c>
      <c r="M1398" s="105">
        <f>IF($I$1335&gt;0,PPMT('Assumptions (Hydro)'!$V$6,Model!AA$1,'Assumptions (Hydro)'!$V$9,'Assumptions (Hydro)'!$V$4*Model!$I$1335*AVERAGE('Assumptions (Hydro)'!$E$2:$G$2)/10^9),0)</f>
        <v>-1.4692184052008223E-3</v>
      </c>
      <c r="N1398" s="105">
        <f>IF($I$1335&gt;0,PPMT('Assumptions (Hydro)'!$V$6,Model!AB$1,'Assumptions (Hydro)'!$V$9,'Assumptions (Hydro)'!$V$4*Model!$I$1335*AVERAGE('Assumptions (Hydro)'!$E$2:$G$2)/10^9),0)</f>
        <v>-1.5390062794478614E-3</v>
      </c>
      <c r="O1398" s="105">
        <f>IF($I$1335&gt;0,PPMT('Assumptions (Hydro)'!$V$6,Model!AC$1,'Assumptions (Hydro)'!$V$9,'Assumptions (Hydro)'!$V$4*Model!$I$1335*AVERAGE('Assumptions (Hydro)'!$E$2:$G$2)/10^9),0)</f>
        <v>-1.6121090777216349E-3</v>
      </c>
      <c r="P1398" s="105">
        <f>IF($I$1335&gt;0,PPMT('Assumptions (Hydro)'!$V$6,Model!AD$1,'Assumptions (Hydro)'!$V$9,'Assumptions (Hydro)'!$V$4*Model!$I$1335*AVERAGE('Assumptions (Hydro)'!$E$2:$G$2)/10^9),0)</f>
        <v>-1.6886842589134126E-3</v>
      </c>
      <c r="Q1398" s="105">
        <f>IF($I$1335&gt;0,PPMT('Assumptions (Hydro)'!$V$6,Model!AE$1,'Assumptions (Hydro)'!$V$9,'Assumptions (Hydro)'!$V$4*Model!$I$1335*AVERAGE('Assumptions (Hydro)'!$E$2:$G$2)/10^9),0)</f>
        <v>-1.7688967612117998E-3</v>
      </c>
      <c r="R1398" s="105">
        <f>IF($I$1335&gt;0,PPMT('Assumptions (Hydro)'!$V$6,Model!AF$1,'Assumptions (Hydro)'!$V$9,'Assumptions (Hydro)'!$V$4*Model!$I$1335*AVERAGE('Assumptions (Hydro)'!$E$2:$G$2)/10^9),0)</f>
        <v>-1.8529193573693602E-3</v>
      </c>
      <c r="S1398" s="105">
        <f>IF($I$1335&gt;0,PPMT('Assumptions (Hydro)'!$V$6,Model!AG$1,'Assumptions (Hydro)'!$V$9,'Assumptions (Hydro)'!$V$4*Model!$I$1335*AVERAGE('Assumptions (Hydro)'!$E$2:$G$2)/10^9),0)</f>
        <v>-1.9409330268444051E-3</v>
      </c>
      <c r="T1398" s="105">
        <f>IF($I$1335&gt;0,PPMT('Assumptions (Hydro)'!$V$6,Model!AH$1,'Assumptions (Hydro)'!$V$9,'Assumptions (Hydro)'!$V$4*Model!$I$1335*AVERAGE('Assumptions (Hydro)'!$E$2:$G$2)/10^9),0)</f>
        <v>-2.0331273456195139E-3</v>
      </c>
      <c r="U1398" s="105">
        <f>IF($I$1335&gt;0,PPMT('Assumptions (Hydro)'!$V$6,Model!AI$1,'Assumptions (Hydro)'!$V$9,'Assumptions (Hydro)'!$V$4*Model!$I$1335*AVERAGE('Assumptions (Hydro)'!$E$2:$G$2)/10^9),0)</f>
        <v>-2.129700894536441E-3</v>
      </c>
      <c r="V1398" s="105">
        <f>IF($I$1335&gt;0,PPMT('Assumptions (Hydro)'!$V$6,Model!AJ$1,'Assumptions (Hydro)'!$V$9,'Assumptions (Hydro)'!$V$4*Model!$I$1335*AVERAGE('Assumptions (Hydro)'!$E$2:$G$2)/10^9),0)</f>
        <v>-2.2308616870269221E-3</v>
      </c>
      <c r="W1398" s="105">
        <f>IF($I$1335&gt;0,PPMT('Assumptions (Hydro)'!$V$6,Model!AK$1,'Assumptions (Hydro)'!$V$9,'Assumptions (Hydro)'!$V$4*Model!$I$1335*AVERAGE('Assumptions (Hydro)'!$E$2:$G$2)/10^9),0)</f>
        <v>-2.3368276171607007E-3</v>
      </c>
      <c r="X1398" s="105"/>
      <c r="Y1398" s="105"/>
      <c r="Z1398" s="105"/>
      <c r="AA1398" s="105"/>
      <c r="AB1398" s="105"/>
      <c r="AC1398" s="105"/>
      <c r="AD1398" s="105"/>
      <c r="AE1398" s="105"/>
      <c r="AF1398" s="105"/>
      <c r="AG1398" s="105"/>
    </row>
    <row r="1399" spans="1:43" ht="15.75" hidden="1" customHeight="1" outlineLevel="1">
      <c r="A1399" s="413"/>
      <c r="B1399" s="99"/>
      <c r="C1399" s="105"/>
      <c r="D1399" s="105"/>
      <c r="E1399" s="105"/>
      <c r="F1399" s="105"/>
      <c r="G1399" s="105"/>
      <c r="H1399" s="105"/>
      <c r="I1399" s="105"/>
      <c r="J1399" s="105">
        <f>IF($J$1335&gt;0,PPMT('Assumptions (Hydro)'!$V$6,Model!W$1,'Assumptions (Hydro)'!$V$9,'Assumptions (Hydro)'!$V$4*Model!$J$1335*AVERAGE('Assumptions (Hydro)'!$F$2:$H$2)/10^9),0)</f>
        <v>-1.3179349926324942E-3</v>
      </c>
      <c r="K1399" s="105">
        <f>IF($J$1335&gt;0,PPMT('Assumptions (Hydro)'!$V$6,Model!X$1,'Assumptions (Hydro)'!$V$9,'Assumptions (Hydro)'!$V$4*Model!$J$1335*AVERAGE('Assumptions (Hydro)'!$F$2:$H$2)/10^9),0)</f>
        <v>-1.3805369047825377E-3</v>
      </c>
      <c r="L1399" s="105">
        <f>IF($J$1335&gt;0,PPMT('Assumptions (Hydro)'!$V$6,Model!Y$1,'Assumptions (Hydro)'!$V$9,'Assumptions (Hydro)'!$V$4*Model!$J$1335*AVERAGE('Assumptions (Hydro)'!$F$2:$H$2)/10^9),0)</f>
        <v>-1.4461124077597082E-3</v>
      </c>
      <c r="M1399" s="105">
        <f>IF($J$1335&gt;0,PPMT('Assumptions (Hydro)'!$V$6,Model!Z$1,'Assumptions (Hydro)'!$V$9,'Assumptions (Hydro)'!$V$4*Model!$J$1335*AVERAGE('Assumptions (Hydro)'!$F$2:$H$2)/10^9),0)</f>
        <v>-1.5148027471282943E-3</v>
      </c>
      <c r="N1399" s="105">
        <f>IF($J$1335&gt;0,PPMT('Assumptions (Hydro)'!$V$6,Model!AA$1,'Assumptions (Hydro)'!$V$9,'Assumptions (Hydro)'!$V$4*Model!$J$1335*AVERAGE('Assumptions (Hydro)'!$F$2:$H$2)/10^9),0)</f>
        <v>-1.586755877616888E-3</v>
      </c>
      <c r="O1399" s="105">
        <f>IF($J$1335&gt;0,PPMT('Assumptions (Hydro)'!$V$6,Model!AB$1,'Assumptions (Hydro)'!$V$9,'Assumptions (Hydro)'!$V$4*Model!$J$1335*AVERAGE('Assumptions (Hydro)'!$F$2:$H$2)/10^9),0)</f>
        <v>-1.6621267818036902E-3</v>
      </c>
      <c r="P1399" s="105">
        <f>IF($J$1335&gt;0,PPMT('Assumptions (Hydro)'!$V$6,Model!AC$1,'Assumptions (Hydro)'!$V$9,'Assumptions (Hydro)'!$V$4*Model!$J$1335*AVERAGE('Assumptions (Hydro)'!$F$2:$H$2)/10^9),0)</f>
        <v>-1.7410778039393655E-3</v>
      </c>
      <c r="Q1399" s="105">
        <f>IF($J$1335&gt;0,PPMT('Assumptions (Hydro)'!$V$6,Model!AD$1,'Assumptions (Hydro)'!$V$9,'Assumptions (Hydro)'!$V$4*Model!$J$1335*AVERAGE('Assumptions (Hydro)'!$F$2:$H$2)/10^9),0)</f>
        <v>-1.8237789996264854E-3</v>
      </c>
      <c r="R1399" s="105">
        <f>IF($J$1335&gt;0,PPMT('Assumptions (Hydro)'!$V$6,Model!AE$1,'Assumptions (Hydro)'!$V$9,'Assumptions (Hydro)'!$V$4*Model!$J$1335*AVERAGE('Assumptions (Hydro)'!$F$2:$H$2)/10^9),0)</f>
        <v>-1.9104085021087434E-3</v>
      </c>
      <c r="S1399" s="105">
        <f>IF($J$1335&gt;0,PPMT('Assumptions (Hydro)'!$V$6,Model!AF$1,'Assumptions (Hydro)'!$V$9,'Assumptions (Hydro)'!$V$4*Model!$J$1335*AVERAGE('Assumptions (Hydro)'!$F$2:$H$2)/10^9),0)</f>
        <v>-2.001152905958909E-3</v>
      </c>
      <c r="T1399" s="105">
        <f>IF($J$1335&gt;0,PPMT('Assumptions (Hydro)'!$V$6,Model!AG$1,'Assumptions (Hydro)'!$V$9,'Assumptions (Hydro)'!$V$4*Model!$J$1335*AVERAGE('Assumptions (Hydro)'!$F$2:$H$2)/10^9),0)</f>
        <v>-2.096207668991957E-3</v>
      </c>
      <c r="U1399" s="105">
        <f>IF($J$1335&gt;0,PPMT('Assumptions (Hydro)'!$V$6,Model!AH$1,'Assumptions (Hydro)'!$V$9,'Assumptions (Hydro)'!$V$4*Model!$J$1335*AVERAGE('Assumptions (Hydro)'!$F$2:$H$2)/10^9),0)</f>
        <v>-2.1957775332690751E-3</v>
      </c>
      <c r="V1399" s="105">
        <f>IF($J$1335&gt;0,PPMT('Assumptions (Hydro)'!$V$6,Model!AI$1,'Assumptions (Hydro)'!$V$9,'Assumptions (Hydro)'!$V$4*Model!$J$1335*AVERAGE('Assumptions (Hydro)'!$F$2:$H$2)/10^9),0)</f>
        <v>-2.3000769660993562E-3</v>
      </c>
      <c r="W1399" s="105">
        <f>IF($J$1335&gt;0,PPMT('Assumptions (Hydro)'!$V$6,Model!AJ$1,'Assumptions (Hydro)'!$V$9,'Assumptions (Hydro)'!$V$4*Model!$J$1335*AVERAGE('Assumptions (Hydro)'!$F$2:$H$2)/10^9),0)</f>
        <v>-2.4093306219890756E-3</v>
      </c>
      <c r="X1399" s="105">
        <f>IF($J$1335&gt;0,PPMT('Assumptions (Hydro)'!$V$6,Model!AK$1,'Assumptions (Hydro)'!$V$9,'Assumptions (Hydro)'!$V$4*Model!$J$1335*AVERAGE('Assumptions (Hydro)'!$F$2:$H$2)/10^9),0)</f>
        <v>-2.5237738265335564E-3</v>
      </c>
      <c r="Y1399" s="105"/>
      <c r="Z1399" s="105"/>
      <c r="AA1399" s="105"/>
      <c r="AB1399" s="105"/>
      <c r="AC1399" s="105"/>
      <c r="AD1399" s="105"/>
      <c r="AE1399" s="105"/>
      <c r="AF1399" s="105"/>
      <c r="AG1399" s="105"/>
      <c r="AH1399" s="105"/>
    </row>
    <row r="1400" spans="1:43" ht="15.75" hidden="1" customHeight="1" outlineLevel="1">
      <c r="A1400" s="413"/>
      <c r="B1400" s="99"/>
      <c r="C1400" s="105"/>
      <c r="D1400" s="105"/>
      <c r="E1400" s="105"/>
      <c r="F1400" s="105"/>
      <c r="G1400" s="105"/>
      <c r="H1400" s="105"/>
      <c r="I1400" s="105"/>
      <c r="J1400" s="105"/>
      <c r="K1400" s="105">
        <f>IF($K$1335&gt;0,PPMT('Assumptions (Hydro)'!$V$6,Model!W$1,'Assumptions (Hydro)'!$V$9,'Assumptions (Hydro)'!$V$4*Model!$K$1335*AVERAGE('Assumptions (Hydro)'!$G$2:$I$2)/10^9),0)</f>
        <v>-1.4376474211299458E-3</v>
      </c>
      <c r="L1400" s="105">
        <f>IF($K$1335&gt;0,PPMT('Assumptions (Hydro)'!$V$6,Model!X$1,'Assumptions (Hydro)'!$V$9,'Assumptions (Hydro)'!$V$4*Model!$K$1335*AVERAGE('Assumptions (Hydro)'!$G$2:$I$2)/10^9),0)</f>
        <v>-1.5059356736336182E-3</v>
      </c>
      <c r="M1400" s="105">
        <f>IF($K$1335&gt;0,PPMT('Assumptions (Hydro)'!$V$6,Model!Y$1,'Assumptions (Hydro)'!$V$9,'Assumptions (Hydro)'!$V$4*Model!$K$1335*AVERAGE('Assumptions (Hydro)'!$G$2:$I$2)/10^9),0)</f>
        <v>-1.5774676181312152E-3</v>
      </c>
      <c r="N1400" s="105">
        <f>IF($K$1335&gt;0,PPMT('Assumptions (Hydro)'!$V$6,Model!Z$1,'Assumptions (Hydro)'!$V$9,'Assumptions (Hydro)'!$V$4*Model!$K$1335*AVERAGE('Assumptions (Hydro)'!$G$2:$I$2)/10^9),0)</f>
        <v>-1.6523973299924475E-3</v>
      </c>
      <c r="O1400" s="105">
        <f>IF($K$1335&gt;0,PPMT('Assumptions (Hydro)'!$V$6,Model!AA$1,'Assumptions (Hydro)'!$V$9,'Assumptions (Hydro)'!$V$4*Model!$K$1335*AVERAGE('Assumptions (Hydro)'!$G$2:$I$2)/10^9),0)</f>
        <v>-1.7308862031670889E-3</v>
      </c>
      <c r="P1400" s="105">
        <f>IF($K$1335&gt;0,PPMT('Assumptions (Hydro)'!$V$6,Model!AB$1,'Assumptions (Hydro)'!$V$9,'Assumptions (Hydro)'!$V$4*Model!$K$1335*AVERAGE('Assumptions (Hydro)'!$G$2:$I$2)/10^9),0)</f>
        <v>-1.8131032978175256E-3</v>
      </c>
      <c r="Q1400" s="105">
        <f>IF($K$1335&gt;0,PPMT('Assumptions (Hydro)'!$V$6,Model!AC$1,'Assumptions (Hydro)'!$V$9,'Assumptions (Hydro)'!$V$4*Model!$K$1335*AVERAGE('Assumptions (Hydro)'!$G$2:$I$2)/10^9),0)</f>
        <v>-1.8992257044638582E-3</v>
      </c>
      <c r="R1400" s="105">
        <f>IF($K$1335&gt;0,PPMT('Assumptions (Hydro)'!$V$6,Model!AD$1,'Assumptions (Hydro)'!$V$9,'Assumptions (Hydro)'!$V$4*Model!$K$1335*AVERAGE('Assumptions (Hydro)'!$G$2:$I$2)/10^9),0)</f>
        <v>-1.9894389254258914E-3</v>
      </c>
      <c r="S1400" s="105">
        <f>IF($K$1335&gt;0,PPMT('Assumptions (Hydro)'!$V$6,Model!AE$1,'Assumptions (Hydro)'!$V$9,'Assumptions (Hydro)'!$V$4*Model!$K$1335*AVERAGE('Assumptions (Hydro)'!$G$2:$I$2)/10^9),0)</f>
        <v>-2.083937274383621E-3</v>
      </c>
      <c r="T1400" s="105">
        <f>IF($K$1335&gt;0,PPMT('Assumptions (Hydro)'!$V$6,Model!AF$1,'Assumptions (Hydro)'!$V$9,'Assumptions (Hydro)'!$V$4*Model!$K$1335*AVERAGE('Assumptions (Hydro)'!$G$2:$I$2)/10^9),0)</f>
        <v>-2.1829242949168433E-3</v>
      </c>
      <c r="U1400" s="105">
        <f>IF($K$1335&gt;0,PPMT('Assumptions (Hydro)'!$V$6,Model!AG$1,'Assumptions (Hydro)'!$V$9,'Assumptions (Hydro)'!$V$4*Model!$K$1335*AVERAGE('Assumptions (Hydro)'!$G$2:$I$2)/10^9),0)</f>
        <v>-2.2866131989253934E-3</v>
      </c>
      <c r="V1400" s="105">
        <f>IF($K$1335&gt;0,PPMT('Assumptions (Hydro)'!$V$6,Model!AH$1,'Assumptions (Hydro)'!$V$9,'Assumptions (Hydro)'!$V$4*Model!$K$1335*AVERAGE('Assumptions (Hydro)'!$G$2:$I$2)/10^9),0)</f>
        <v>-2.3952273258743494E-3</v>
      </c>
      <c r="W1400" s="105">
        <f>IF($K$1335&gt;0,PPMT('Assumptions (Hydro)'!$V$6,Model!AI$1,'Assumptions (Hydro)'!$V$9,'Assumptions (Hydro)'!$V$4*Model!$K$1335*AVERAGE('Assumptions (Hydro)'!$G$2:$I$2)/10^9),0)</f>
        <v>-2.5090006238533812E-3</v>
      </c>
      <c r="X1400" s="105">
        <f>IF($K$1335&gt;0,PPMT('Assumptions (Hydro)'!$V$6,Model!AJ$1,'Assumptions (Hydro)'!$V$9,'Assumptions (Hydro)'!$V$4*Model!$K$1335*AVERAGE('Assumptions (Hydro)'!$G$2:$I$2)/10^9),0)</f>
        <v>-2.6281781534864168E-3</v>
      </c>
      <c r="Y1400" s="105">
        <f>IF($K$1335&gt;0,PPMT('Assumptions (Hydro)'!$V$6,Model!AK$1,'Assumptions (Hydro)'!$V$9,'Assumptions (Hydro)'!$V$4*Model!$K$1335*AVERAGE('Assumptions (Hydro)'!$G$2:$I$2)/10^9),0)</f>
        <v>-2.7530166157770214E-3</v>
      </c>
      <c r="Z1400" s="105"/>
      <c r="AA1400" s="105"/>
      <c r="AB1400" s="105"/>
      <c r="AC1400" s="105"/>
      <c r="AD1400" s="105"/>
      <c r="AE1400" s="105"/>
      <c r="AF1400" s="105"/>
      <c r="AG1400" s="105"/>
      <c r="AH1400" s="105"/>
      <c r="AI1400" s="105"/>
    </row>
    <row r="1401" spans="1:43" ht="15.75" hidden="1" customHeight="1" outlineLevel="1">
      <c r="A1401" s="413"/>
      <c r="B1401" s="99"/>
      <c r="C1401" s="105"/>
      <c r="D1401" s="105"/>
      <c r="E1401" s="105"/>
      <c r="F1401" s="105"/>
      <c r="G1401" s="105"/>
      <c r="H1401" s="105"/>
      <c r="I1401" s="105"/>
      <c r="J1401" s="105"/>
      <c r="K1401" s="105"/>
      <c r="L1401" s="105">
        <f>IF($L$1335&gt;0,PPMT('Assumptions (Hydro)'!$V$6,Model!W$1,'Assumptions (Hydro)'!$V$9,'Assumptions (Hydro)'!$V$4*Model!$L$1335*AVERAGE('Assumptions (Hydro)'!$H$2:$J$2)/10^9),0)</f>
        <v>-7.300261580023491E-4</v>
      </c>
      <c r="M1401" s="105">
        <f>IF($L$1335&gt;0,PPMT('Assumptions (Hydro)'!$V$6,Model!X$1,'Assumptions (Hydro)'!$V$9,'Assumptions (Hydro)'!$V$4*Model!$L$1335*AVERAGE('Assumptions (Hydro)'!$H$2:$J$2)/10^9),0)</f>
        <v>-7.6470240050746066E-4</v>
      </c>
      <c r="N1401" s="105">
        <f>IF($L$1335&gt;0,PPMT('Assumptions (Hydro)'!$V$6,Model!Y$1,'Assumptions (Hydro)'!$V$9,'Assumptions (Hydro)'!$V$4*Model!$L$1335*AVERAGE('Assumptions (Hydro)'!$H$2:$J$2)/10^9),0)</f>
        <v>-8.0102576453156525E-4</v>
      </c>
      <c r="O1401" s="105">
        <f>IF($L$1335&gt;0,PPMT('Assumptions (Hydro)'!$V$6,Model!Z$1,'Assumptions (Hydro)'!$V$9,'Assumptions (Hydro)'!$V$4*Model!$L$1335*AVERAGE('Assumptions (Hydro)'!$H$2:$J$2)/10^9),0)</f>
        <v>-8.3907448834681447E-4</v>
      </c>
      <c r="P1401" s="105">
        <f>IF($L$1335&gt;0,PPMT('Assumptions (Hydro)'!$V$6,Model!AA$1,'Assumptions (Hydro)'!$V$9,'Assumptions (Hydro)'!$V$4*Model!$L$1335*AVERAGE('Assumptions (Hydro)'!$H$2:$J$2)/10^9),0)</f>
        <v>-8.7893052654328813E-4</v>
      </c>
      <c r="Q1401" s="105">
        <f>IF($L$1335&gt;0,PPMT('Assumptions (Hydro)'!$V$6,Model!AB$1,'Assumptions (Hydro)'!$V$9,'Assumptions (Hydro)'!$V$4*Model!$L$1335*AVERAGE('Assumptions (Hydro)'!$H$2:$J$2)/10^9),0)</f>
        <v>-9.2067972655409422E-4</v>
      </c>
      <c r="R1401" s="105">
        <f>IF($L$1335&gt;0,PPMT('Assumptions (Hydro)'!$V$6,Model!AC$1,'Assumptions (Hydro)'!$V$9,'Assumptions (Hydro)'!$V$4*Model!$L$1335*AVERAGE('Assumptions (Hydro)'!$H$2:$J$2)/10^9),0)</f>
        <v>-9.6441201356541376E-4</v>
      </c>
      <c r="S1401" s="105">
        <f>IF($L$1335&gt;0,PPMT('Assumptions (Hydro)'!$V$6,Model!AD$1,'Assumptions (Hydro)'!$V$9,'Assumptions (Hydro)'!$V$4*Model!$L$1335*AVERAGE('Assumptions (Hydro)'!$H$2:$J$2)/10^9),0)</f>
        <v>-1.010221584209771E-3</v>
      </c>
      <c r="T1401" s="105">
        <f>IF($L$1335&gt;0,PPMT('Assumptions (Hydro)'!$V$6,Model!AE$1,'Assumptions (Hydro)'!$V$9,'Assumptions (Hydro)'!$V$4*Model!$L$1335*AVERAGE('Assumptions (Hydro)'!$H$2:$J$2)/10^9),0)</f>
        <v>-1.0582071094597349E-3</v>
      </c>
      <c r="U1401" s="105">
        <f>IF($L$1335&gt;0,PPMT('Assumptions (Hydro)'!$V$6,Model!AF$1,'Assumptions (Hydro)'!$V$9,'Assumptions (Hydro)'!$V$4*Model!$L$1335*AVERAGE('Assumptions (Hydro)'!$H$2:$J$2)/10^9),0)</f>
        <v>-1.1084719471590725E-3</v>
      </c>
      <c r="V1401" s="105">
        <f>IF($L$1335&gt;0,PPMT('Assumptions (Hydro)'!$V$6,Model!AG$1,'Assumptions (Hydro)'!$V$9,'Assumptions (Hydro)'!$V$4*Model!$L$1335*AVERAGE('Assumptions (Hydro)'!$H$2:$J$2)/10^9),0)</f>
        <v>-1.1611243646491285E-3</v>
      </c>
      <c r="W1401" s="105">
        <f>IF($L$1335&gt;0,PPMT('Assumptions (Hydro)'!$V$6,Model!AH$1,'Assumptions (Hydro)'!$V$9,'Assumptions (Hydro)'!$V$4*Model!$L$1335*AVERAGE('Assumptions (Hydro)'!$H$2:$J$2)/10^9),0)</f>
        <v>-1.2162777719699621E-3</v>
      </c>
      <c r="X1401" s="105">
        <f>IF($L$1335&gt;0,PPMT('Assumptions (Hydro)'!$V$6,Model!AI$1,'Assumptions (Hydro)'!$V$9,'Assumptions (Hydro)'!$V$4*Model!$L$1335*AVERAGE('Assumptions (Hydro)'!$H$2:$J$2)/10^9),0)</f>
        <v>-1.2740509661385354E-3</v>
      </c>
      <c r="Y1401" s="105">
        <f>IF($L$1335&gt;0,PPMT('Assumptions (Hydro)'!$V$6,Model!AJ$1,'Assumptions (Hydro)'!$V$9,'Assumptions (Hydro)'!$V$4*Model!$L$1335*AVERAGE('Assumptions (Hydro)'!$H$2:$J$2)/10^9),0)</f>
        <v>-1.3345683870301158E-3</v>
      </c>
      <c r="Z1401" s="105">
        <f>IF($L$1335&gt;0,PPMT('Assumptions (Hydro)'!$V$6,Model!AK$1,'Assumptions (Hydro)'!$V$9,'Assumptions (Hydro)'!$V$4*Model!$L$1335*AVERAGE('Assumptions (Hydro)'!$H$2:$J$2)/10^9),0)</f>
        <v>-1.3979603854140461E-3</v>
      </c>
      <c r="AA1401" s="105"/>
      <c r="AB1401" s="105"/>
      <c r="AC1401" s="105"/>
      <c r="AD1401" s="105"/>
      <c r="AE1401" s="105"/>
      <c r="AF1401" s="105"/>
      <c r="AG1401" s="105"/>
      <c r="AH1401" s="105"/>
      <c r="AI1401" s="105"/>
      <c r="AJ1401" s="105"/>
    </row>
    <row r="1402" spans="1:43" ht="15.75" hidden="1" customHeight="1" outlineLevel="1">
      <c r="A1402" s="413"/>
      <c r="B1402" s="99"/>
      <c r="C1402" s="105"/>
      <c r="D1402" s="105"/>
      <c r="E1402" s="105"/>
      <c r="F1402" s="105"/>
      <c r="G1402" s="105"/>
      <c r="H1402" s="105"/>
      <c r="I1402" s="105"/>
      <c r="J1402" s="105"/>
      <c r="K1402" s="105"/>
      <c r="L1402" s="105"/>
      <c r="M1402" s="105">
        <f>IF($M$1335&gt;0,PPMT('Assumptions (Hydro)'!$V$6,Model!W$1,'Assumptions (Hydro)'!$V$9,'Assumptions (Hydro)'!$V$4*Model!$M$1335*AVERAGE('Assumptions (Hydro)'!$I$2:$K$2)/10^9),0)</f>
        <v>-1.3468030407111165E-3</v>
      </c>
      <c r="N1402" s="105">
        <f>IF($M$1335&gt;0,PPMT('Assumptions (Hydro)'!$V$6,Model!X$1,'Assumptions (Hydro)'!$V$9,'Assumptions (Hydro)'!$V$4*Model!$M$1335*AVERAGE('Assumptions (Hydro)'!$I$2:$K$2)/10^9),0)</f>
        <v>-1.4107761851448945E-3</v>
      </c>
      <c r="O1402" s="105">
        <f>IF($M$1335&gt;0,PPMT('Assumptions (Hydro)'!$V$6,Model!Y$1,'Assumptions (Hydro)'!$V$9,'Assumptions (Hydro)'!$V$4*Model!$M$1335*AVERAGE('Assumptions (Hydro)'!$I$2:$K$2)/10^9),0)</f>
        <v>-1.4777880539392772E-3</v>
      </c>
      <c r="P1402" s="105">
        <f>IF($M$1335&gt;0,PPMT('Assumptions (Hydro)'!$V$6,Model!Z$1,'Assumptions (Hydro)'!$V$9,'Assumptions (Hydro)'!$V$4*Model!$M$1335*AVERAGE('Assumptions (Hydro)'!$I$2:$K$2)/10^9),0)</f>
        <v>-1.5479829865013926E-3</v>
      </c>
      <c r="Q1402" s="105">
        <f>IF($M$1335&gt;0,PPMT('Assumptions (Hydro)'!$V$6,Model!AA$1,'Assumptions (Hydro)'!$V$9,'Assumptions (Hydro)'!$V$4*Model!$M$1335*AVERAGE('Assumptions (Hydro)'!$I$2:$K$2)/10^9),0)</f>
        <v>-1.6215121783602086E-3</v>
      </c>
      <c r="R1402" s="105">
        <f>IF($M$1335&gt;0,PPMT('Assumptions (Hydro)'!$V$6,Model!AB$1,'Assumptions (Hydro)'!$V$9,'Assumptions (Hydro)'!$V$4*Model!$M$1335*AVERAGE('Assumptions (Hydro)'!$I$2:$K$2)/10^9),0)</f>
        <v>-1.6985340068323186E-3</v>
      </c>
      <c r="S1402" s="105">
        <f>IF($M$1335&gt;0,PPMT('Assumptions (Hydro)'!$V$6,Model!AC$1,'Assumptions (Hydro)'!$V$9,'Assumptions (Hydro)'!$V$4*Model!$M$1335*AVERAGE('Assumptions (Hydro)'!$I$2:$K$2)/10^9),0)</f>
        <v>-1.7792143721568538E-3</v>
      </c>
      <c r="T1402" s="105">
        <f>IF($M$1335&gt;0,PPMT('Assumptions (Hydro)'!$V$6,Model!AD$1,'Assumptions (Hydro)'!$V$9,'Assumptions (Hydro)'!$V$4*Model!$M$1335*AVERAGE('Assumptions (Hydro)'!$I$2:$K$2)/10^9),0)</f>
        <v>-1.8637270548343043E-3</v>
      </c>
      <c r="U1402" s="105">
        <f>IF($M$1335&gt;0,PPMT('Assumptions (Hydro)'!$V$6,Model!AE$1,'Assumptions (Hydro)'!$V$9,'Assumptions (Hydro)'!$V$4*Model!$M$1335*AVERAGE('Assumptions (Hydro)'!$I$2:$K$2)/10^9),0)</f>
        <v>-1.9522540899389337E-3</v>
      </c>
      <c r="V1402" s="105">
        <f>IF($M$1335&gt;0,PPMT('Assumptions (Hydro)'!$V$6,Model!AF$1,'Assumptions (Hydro)'!$V$9,'Assumptions (Hydro)'!$V$4*Model!$M$1335*AVERAGE('Assumptions (Hydro)'!$I$2:$K$2)/10^9),0)</f>
        <v>-2.0449861592110332E-3</v>
      </c>
      <c r="W1402" s="105">
        <f>IF($M$1335&gt;0,PPMT('Assumptions (Hydro)'!$V$6,Model!AG$1,'Assumptions (Hydro)'!$V$9,'Assumptions (Hydro)'!$V$4*Model!$M$1335*AVERAGE('Assumptions (Hydro)'!$I$2:$K$2)/10^9),0)</f>
        <v>-2.1421230017735575E-3</v>
      </c>
      <c r="X1402" s="105">
        <f>IF($M$1335&gt;0,PPMT('Assumptions (Hydro)'!$V$6,Model!AH$1,'Assumptions (Hydro)'!$V$9,'Assumptions (Hydro)'!$V$4*Model!$M$1335*AVERAGE('Assumptions (Hydro)'!$I$2:$K$2)/10^9),0)</f>
        <v>-2.2438738443578011E-3</v>
      </c>
      <c r="Y1402" s="105">
        <f>IF($M$1335&gt;0,PPMT('Assumptions (Hydro)'!$V$6,Model!AI$1,'Assumptions (Hydro)'!$V$9,'Assumptions (Hydro)'!$V$4*Model!$M$1335*AVERAGE('Assumptions (Hydro)'!$I$2:$K$2)/10^9),0)</f>
        <v>-2.3504578519647971E-3</v>
      </c>
      <c r="Z1402" s="105">
        <f>IF($M$1335&gt;0,PPMT('Assumptions (Hydro)'!$V$6,Model!AJ$1,'Assumptions (Hydro)'!$V$9,'Assumptions (Hydro)'!$V$4*Model!$M$1335*AVERAGE('Assumptions (Hydro)'!$I$2:$K$2)/10^9),0)</f>
        <v>-2.462104599933125E-3</v>
      </c>
      <c r="AA1402" s="105">
        <f>IF($M$1335&gt;0,PPMT('Assumptions (Hydro)'!$V$6,Model!AK$1,'Assumptions (Hydro)'!$V$9,'Assumptions (Hydro)'!$V$4*Model!$M$1335*AVERAGE('Assumptions (Hydro)'!$I$2:$K$2)/10^9),0)</f>
        <v>-2.579054568429948E-3</v>
      </c>
      <c r="AB1402" s="105"/>
      <c r="AC1402" s="105"/>
      <c r="AD1402" s="105"/>
      <c r="AE1402" s="105"/>
      <c r="AF1402" s="105"/>
      <c r="AG1402" s="105"/>
      <c r="AH1402" s="105"/>
      <c r="AI1402" s="105"/>
      <c r="AJ1402" s="105"/>
      <c r="AK1402" s="105"/>
    </row>
    <row r="1403" spans="1:43" ht="15.75" hidden="1" customHeight="1" outlineLevel="1">
      <c r="A1403" s="413"/>
      <c r="B1403" s="99"/>
      <c r="C1403" s="105"/>
      <c r="D1403" s="105"/>
      <c r="E1403" s="105"/>
      <c r="F1403" s="105"/>
      <c r="G1403" s="105"/>
      <c r="H1403" s="105"/>
      <c r="I1403" s="105"/>
      <c r="J1403" s="105"/>
      <c r="K1403" s="105"/>
      <c r="L1403" s="105"/>
      <c r="M1403" s="105"/>
      <c r="N1403" s="91">
        <f>IF($N$1335&gt;0,PPMT('Assumptions (Hydro)'!$V$6,Model!W$1,'Assumptions (Hydro)'!$V$9,'Assumptions (Hydro)'!$V$4*Model!$N$1335*AVERAGE('Assumptions (Hydro)'!$J$2:$L$2)/10^9),0)</f>
        <v>-1.0620059977176657E-2</v>
      </c>
      <c r="O1403" s="91">
        <f>IF($N$1335&gt;0,PPMT('Assumptions (Hydro)'!$V$6,Model!X$1,'Assumptions (Hydro)'!$V$9,'Assumptions (Hydro)'!$V$4*Model!$N$1335*AVERAGE('Assumptions (Hydro)'!$J$2:$L$2)/10^9),0)</f>
        <v>-1.1124512826092548E-2</v>
      </c>
      <c r="P1403" s="91">
        <f>IF($N$1335&gt;0,PPMT('Assumptions (Hydro)'!$V$6,Model!Y$1,'Assumptions (Hydro)'!$V$9,'Assumptions (Hydro)'!$V$4*Model!$N$1335*AVERAGE('Assumptions (Hydro)'!$J$2:$L$2)/10^9),0)</f>
        <v>-1.1652927185331946E-2</v>
      </c>
      <c r="Q1403" s="91">
        <f>IF($N$1335&gt;0,PPMT('Assumptions (Hydro)'!$V$6,Model!Z$1,'Assumptions (Hydro)'!$V$9,'Assumptions (Hydro)'!$V$4*Model!$N$1335*AVERAGE('Assumptions (Hydro)'!$J$2:$L$2)/10^9),0)</f>
        <v>-1.2206441226635211E-2</v>
      </c>
      <c r="R1403" s="91">
        <f>IF($N$1335&gt;0,PPMT('Assumptions (Hydro)'!$V$6,Model!AA$1,'Assumptions (Hydro)'!$V$9,'Assumptions (Hydro)'!$V$4*Model!$N$1335*AVERAGE('Assumptions (Hydro)'!$J$2:$L$2)/10^9),0)</f>
        <v>-1.2786247184900384E-2</v>
      </c>
      <c r="S1403" s="91">
        <f>IF($N$1335&gt;0,PPMT('Assumptions (Hydro)'!$V$6,Model!AB$1,'Assumptions (Hydro)'!$V$9,'Assumptions (Hydro)'!$V$4*Model!$N$1335*AVERAGE('Assumptions (Hydro)'!$J$2:$L$2)/10^9),0)</f>
        <v>-1.3393593926183153E-2</v>
      </c>
      <c r="T1403" s="91">
        <f>IF($N$1335&gt;0,PPMT('Assumptions (Hydro)'!$V$6,Model!AC$1,'Assumptions (Hydro)'!$V$9,'Assumptions (Hydro)'!$V$4*Model!$N$1335*AVERAGE('Assumptions (Hydro)'!$J$2:$L$2)/10^9),0)</f>
        <v>-1.4029789637676851E-2</v>
      </c>
      <c r="U1403" s="91">
        <f>IF($N$1335&gt;0,PPMT('Assumptions (Hydro)'!$V$6,Model!AD$1,'Assumptions (Hydro)'!$V$9,'Assumptions (Hydro)'!$V$4*Model!$N$1335*AVERAGE('Assumptions (Hydro)'!$J$2:$L$2)/10^9),0)</f>
        <v>-1.4696204645466502E-2</v>
      </c>
      <c r="V1403" s="91">
        <f>IF($N$1335&gt;0,PPMT('Assumptions (Hydro)'!$V$6,Model!AE$1,'Assumptions (Hydro)'!$V$9,'Assumptions (Hydro)'!$V$4*Model!$N$1335*AVERAGE('Assumptions (Hydro)'!$J$2:$L$2)/10^9),0)</f>
        <v>-1.5394274366126162E-2</v>
      </c>
      <c r="W1403" s="91">
        <f>IF($N$1335&gt;0,PPMT('Assumptions (Hydro)'!$V$6,Model!AF$1,'Assumptions (Hydro)'!$V$9,'Assumptions (Hydro)'!$V$4*Model!$N$1335*AVERAGE('Assumptions (Hydro)'!$J$2:$L$2)/10^9),0)</f>
        <v>-1.6125502398517153E-2</v>
      </c>
      <c r="X1403" s="91">
        <f>IF($N$1335&gt;0,PPMT('Assumptions (Hydro)'!$V$6,Model!AG$1,'Assumptions (Hydro)'!$V$9,'Assumptions (Hydro)'!$V$4*Model!$N$1335*AVERAGE('Assumptions (Hydro)'!$J$2:$L$2)/10^9),0)</f>
        <v>-1.6891463762446719E-2</v>
      </c>
      <c r="Y1403" s="91">
        <f>IF($N$1335&gt;0,PPMT('Assumptions (Hydro)'!$V$6,Model!AH$1,'Assumptions (Hydro)'!$V$9,'Assumptions (Hydro)'!$V$4*Model!$N$1335*AVERAGE('Assumptions (Hydro)'!$J$2:$L$2)/10^9),0)</f>
        <v>-1.7693808291162939E-2</v>
      </c>
      <c r="Z1403" s="91">
        <f>IF($N$1335&gt;0,PPMT('Assumptions (Hydro)'!$V$6,Model!AI$1,'Assumptions (Hydro)'!$V$9,'Assumptions (Hydro)'!$V$4*Model!$N$1335*AVERAGE('Assumptions (Hydro)'!$J$2:$L$2)/10^9),0)</f>
        <v>-1.8534264184993179E-2</v>
      </c>
      <c r="AA1403" s="91">
        <f>IF($N$1335&gt;0,PPMT('Assumptions (Hydro)'!$V$6,Model!AJ$1,'Assumptions (Hydro)'!$V$9,'Assumptions (Hydro)'!$V$4*Model!$N$1335*AVERAGE('Assumptions (Hydro)'!$J$2:$L$2)/10^9),0)</f>
        <v>-1.9414641733780356E-2</v>
      </c>
      <c r="AB1403" s="91">
        <f>IF($N$1335&gt;0,PPMT('Assumptions (Hydro)'!$V$6,Model!AK$1,'Assumptions (Hydro)'!$V$9,'Assumptions (Hydro)'!$V$4*Model!$N$1335*AVERAGE('Assumptions (Hydro)'!$J$2:$L$2)/10^9),0)</f>
        <v>-2.0336837216134919E-2</v>
      </c>
      <c r="AC1403" s="91"/>
      <c r="AD1403" s="91"/>
      <c r="AE1403" s="91"/>
      <c r="AF1403" s="91"/>
      <c r="AG1403" s="91"/>
      <c r="AH1403" s="91"/>
      <c r="AI1403" s="91"/>
      <c r="AJ1403" s="91"/>
      <c r="AK1403" s="91"/>
      <c r="AL1403" s="91"/>
    </row>
    <row r="1404" spans="1:43" ht="15.75" hidden="1" customHeight="1" outlineLevel="1">
      <c r="A1404" s="413"/>
      <c r="B1404" s="99"/>
      <c r="C1404" s="105"/>
      <c r="D1404" s="105"/>
      <c r="E1404" s="105"/>
      <c r="F1404" s="105"/>
      <c r="G1404" s="105"/>
      <c r="H1404" s="105"/>
      <c r="I1404" s="105"/>
      <c r="J1404" s="105"/>
      <c r="K1404" s="105"/>
      <c r="L1404" s="105"/>
      <c r="M1404" s="105"/>
      <c r="N1404" s="105"/>
      <c r="O1404" s="105">
        <f>IF($O$1335&gt;0,PPMT('Assumptions (Hydro)'!$V$6,Model!W$1,'Assumptions (Hydro)'!$V$9,'Assumptions (Hydro)'!$V$4*Model!$O$1335*AVERAGE('Assumptions (Hydro)'!$K$2:$M$2)/10^9),0)</f>
        <v>-2.6542224525048223E-2</v>
      </c>
      <c r="P1404" s="105">
        <f>IF($O$1335&gt;0,PPMT('Assumptions (Hydro)'!$V$6,Model!X$1,'Assumptions (Hydro)'!$V$9,'Assumptions (Hydro)'!$V$4*Model!$O$1335*AVERAGE('Assumptions (Hydro)'!$K$2:$M$2)/10^9),0)</f>
        <v>-2.7802980189988016E-2</v>
      </c>
      <c r="Q1404" s="105">
        <f>IF($O$1335&gt;0,PPMT('Assumptions (Hydro)'!$V$6,Model!Y$1,'Assumptions (Hydro)'!$V$9,'Assumptions (Hydro)'!$V$4*Model!$O$1335*AVERAGE('Assumptions (Hydro)'!$K$2:$M$2)/10^9),0)</f>
        <v>-2.9123621749012448E-2</v>
      </c>
      <c r="R1404" s="105">
        <f>IF($O$1335&gt;0,PPMT('Assumptions (Hydro)'!$V$6,Model!Z$1,'Assumptions (Hydro)'!$V$9,'Assumptions (Hydro)'!$V$4*Model!$O$1335*AVERAGE('Assumptions (Hydro)'!$K$2:$M$2)/10^9),0)</f>
        <v>-3.0506993782090538E-2</v>
      </c>
      <c r="S1404" s="105">
        <f>IF($O$1335&gt;0,PPMT('Assumptions (Hydro)'!$V$6,Model!AA$1,'Assumptions (Hydro)'!$V$9,'Assumptions (Hydro)'!$V$4*Model!$O$1335*AVERAGE('Assumptions (Hydro)'!$K$2:$M$2)/10^9),0)</f>
        <v>-3.1956075986739836E-2</v>
      </c>
      <c r="T1404" s="105">
        <f>IF($O$1335&gt;0,PPMT('Assumptions (Hydro)'!$V$6,Model!AB$1,'Assumptions (Hydro)'!$V$9,'Assumptions (Hydro)'!$V$4*Model!$O$1335*AVERAGE('Assumptions (Hydro)'!$K$2:$M$2)/10^9),0)</f>
        <v>-3.3473989596109976E-2</v>
      </c>
      <c r="U1404" s="105">
        <f>IF($O$1335&gt;0,PPMT('Assumptions (Hydro)'!$V$6,Model!AC$1,'Assumptions (Hydro)'!$V$9,'Assumptions (Hydro)'!$V$4*Model!$O$1335*AVERAGE('Assumptions (Hydro)'!$K$2:$M$2)/10^9),0)</f>
        <v>-3.5064004101925207E-2</v>
      </c>
      <c r="V1404" s="105">
        <f>IF($O$1335&gt;0,PPMT('Assumptions (Hydro)'!$V$6,Model!AD$1,'Assumptions (Hydro)'!$V$9,'Assumptions (Hydro)'!$V$4*Model!$O$1335*AVERAGE('Assumptions (Hydro)'!$K$2:$M$2)/10^9),0)</f>
        <v>-3.6729544296766656E-2</v>
      </c>
      <c r="W1404" s="105">
        <f>IF($O$1335&gt;0,PPMT('Assumptions (Hydro)'!$V$6,Model!AE$1,'Assumptions (Hydro)'!$V$9,'Assumptions (Hydro)'!$V$4*Model!$O$1335*AVERAGE('Assumptions (Hydro)'!$K$2:$M$2)/10^9),0)</f>
        <v>-3.8474197650863066E-2</v>
      </c>
      <c r="X1404" s="105">
        <f>IF($O$1335&gt;0,PPMT('Assumptions (Hydro)'!$V$6,Model!AF$1,'Assumptions (Hydro)'!$V$9,'Assumptions (Hydro)'!$V$4*Model!$O$1335*AVERAGE('Assumptions (Hydro)'!$K$2:$M$2)/10^9),0)</f>
        <v>-4.0301722039279064E-2</v>
      </c>
      <c r="Y1404" s="105">
        <f>IF($O$1335&gt;0,PPMT('Assumptions (Hydro)'!$V$6,Model!AG$1,'Assumptions (Hydro)'!$V$9,'Assumptions (Hydro)'!$V$4*Model!$O$1335*AVERAGE('Assumptions (Hydro)'!$K$2:$M$2)/10^9),0)</f>
        <v>-4.2216053836144823E-2</v>
      </c>
      <c r="Z1404" s="105">
        <f>IF($O$1335&gt;0,PPMT('Assumptions (Hydro)'!$V$6,Model!AH$1,'Assumptions (Hydro)'!$V$9,'Assumptions (Hydro)'!$V$4*Model!$O$1335*AVERAGE('Assumptions (Hydro)'!$K$2:$M$2)/10^9),0)</f>
        <v>-4.4221316393361694E-2</v>
      </c>
      <c r="AA1404" s="105">
        <f>IF($O$1335&gt;0,PPMT('Assumptions (Hydro)'!$V$6,Model!AI$1,'Assumptions (Hydro)'!$V$9,'Assumptions (Hydro)'!$V$4*Model!$O$1335*AVERAGE('Assumptions (Hydro)'!$K$2:$M$2)/10^9),0)</f>
        <v>-4.6321828922046379E-2</v>
      </c>
      <c r="AB1404" s="105">
        <f>IF($O$1335&gt;0,PPMT('Assumptions (Hydro)'!$V$6,Model!AJ$1,'Assumptions (Hydro)'!$V$9,'Assumptions (Hydro)'!$V$4*Model!$O$1335*AVERAGE('Assumptions (Hydro)'!$K$2:$M$2)/10^9),0)</f>
        <v>-4.8522115795843583E-2</v>
      </c>
      <c r="AC1404" s="105">
        <f>IF($O$1335&gt;0,PPMT('Assumptions (Hydro)'!$V$6,Model!AK$1,'Assumptions (Hydro)'!$V$9,'Assumptions (Hydro)'!$V$4*Model!$O$1335*AVERAGE('Assumptions (Hydro)'!$K$2:$M$2)/10^9),0)</f>
        <v>-5.0826916296146156E-2</v>
      </c>
      <c r="AD1404" s="105"/>
      <c r="AE1404" s="105"/>
      <c r="AF1404" s="105"/>
      <c r="AG1404" s="105"/>
      <c r="AH1404" s="105"/>
      <c r="AI1404" s="105"/>
      <c r="AJ1404" s="105"/>
      <c r="AK1404" s="105"/>
      <c r="AL1404" s="105"/>
      <c r="AM1404" s="105"/>
    </row>
    <row r="1405" spans="1:43" ht="15.75" hidden="1" customHeight="1" outlineLevel="1">
      <c r="A1405" s="413"/>
      <c r="B1405" s="99"/>
      <c r="C1405" s="105"/>
      <c r="D1405" s="105"/>
      <c r="E1405" s="105"/>
      <c r="F1405" s="105"/>
      <c r="G1405" s="105"/>
      <c r="H1405" s="105"/>
      <c r="I1405" s="105"/>
      <c r="J1405" s="105"/>
      <c r="K1405" s="105"/>
      <c r="L1405" s="105"/>
      <c r="M1405" s="105"/>
      <c r="N1405" s="105"/>
      <c r="O1405" s="105"/>
      <c r="P1405" s="91">
        <f>IF($P$1335&gt;0,PPMT('Assumptions (Hydro)'!$V$6,Model!W$1,'Assumptions (Hydro)'!$V$9,'Assumptions (Hydro)'!$V$4*Model!$P$1335*AVERAGE('Assumptions (Hydro)'!$L$2:$N$2)/10^9),0)</f>
        <v>-2.9237540269330418E-2</v>
      </c>
      <c r="Q1405" s="91">
        <f>IF($P$1335&gt;0,PPMT('Assumptions (Hydro)'!$V$6,Model!X$1,'Assumptions (Hydro)'!$V$9,'Assumptions (Hydro)'!$V$4*Model!$P$1335*AVERAGE('Assumptions (Hydro)'!$L$2:$N$2)/10^9),0)</f>
        <v>-3.0626323432123615E-2</v>
      </c>
      <c r="R1405" s="91">
        <f>IF($P$1335&gt;0,PPMT('Assumptions (Hydro)'!$V$6,Model!Y$1,'Assumptions (Hydro)'!$V$9,'Assumptions (Hydro)'!$V$4*Model!$P$1335*AVERAGE('Assumptions (Hydro)'!$L$2:$N$2)/10^9),0)</f>
        <v>-3.208107379514949E-2</v>
      </c>
      <c r="S1405" s="91">
        <f>IF($P$1335&gt;0,PPMT('Assumptions (Hydro)'!$V$6,Model!Z$1,'Assumptions (Hydro)'!$V$9,'Assumptions (Hydro)'!$V$4*Model!$P$1335*AVERAGE('Assumptions (Hydro)'!$L$2:$N$2)/10^9),0)</f>
        <v>-3.3604924800419093E-2</v>
      </c>
      <c r="T1405" s="91">
        <f>IF($P$1335&gt;0,PPMT('Assumptions (Hydro)'!$V$6,Model!AA$1,'Assumptions (Hydro)'!$V$9,'Assumptions (Hydro)'!$V$4*Model!$P$1335*AVERAGE('Assumptions (Hydro)'!$L$2:$N$2)/10^9),0)</f>
        <v>-3.5201158728438993E-2</v>
      </c>
      <c r="U1405" s="91">
        <f>IF($P$1335&gt;0,PPMT('Assumptions (Hydro)'!$V$6,Model!AB$1,'Assumptions (Hydro)'!$V$9,'Assumptions (Hydro)'!$V$4*Model!$P$1335*AVERAGE('Assumptions (Hydro)'!$L$2:$N$2)/10^9),0)</f>
        <v>-3.6873213768039849E-2</v>
      </c>
      <c r="V1405" s="91">
        <f>IF($P$1335&gt;0,PPMT('Assumptions (Hydro)'!$V$6,Model!AC$1,'Assumptions (Hydro)'!$V$9,'Assumptions (Hydro)'!$V$4*Model!$P$1335*AVERAGE('Assumptions (Hydro)'!$L$2:$N$2)/10^9),0)</f>
        <v>-3.8624691422021747E-2</v>
      </c>
      <c r="W1405" s="91">
        <f>IF($P$1335&gt;0,PPMT('Assumptions (Hydro)'!$V$6,Model!AD$1,'Assumptions (Hydro)'!$V$9,'Assumptions (Hydro)'!$V$4*Model!$P$1335*AVERAGE('Assumptions (Hydro)'!$L$2:$N$2)/10^9),0)</f>
        <v>-4.0459364264567775E-2</v>
      </c>
      <c r="X1405" s="91">
        <f>IF($P$1335&gt;0,PPMT('Assumptions (Hydro)'!$V$6,Model!AE$1,'Assumptions (Hydro)'!$V$9,'Assumptions (Hydro)'!$V$4*Model!$P$1335*AVERAGE('Assumptions (Hydro)'!$L$2:$N$2)/10^9),0)</f>
        <v>-4.2381184067134738E-2</v>
      </c>
      <c r="Y1405" s="91">
        <f>IF($P$1335&gt;0,PPMT('Assumptions (Hydro)'!$V$6,Model!AF$1,'Assumptions (Hydro)'!$V$9,'Assumptions (Hydro)'!$V$4*Model!$P$1335*AVERAGE('Assumptions (Hydro)'!$L$2:$N$2)/10^9),0)</f>
        <v>-4.4394290310323645E-2</v>
      </c>
      <c r="Z1405" s="91">
        <f>IF($P$1335&gt;0,PPMT('Assumptions (Hydro)'!$V$6,Model!AG$1,'Assumptions (Hydro)'!$V$9,'Assumptions (Hydro)'!$V$4*Model!$P$1335*AVERAGE('Assumptions (Hydro)'!$L$2:$N$2)/10^9),0)</f>
        <v>-4.6503019100064019E-2</v>
      </c>
      <c r="AA1405" s="91">
        <f>IF($P$1335&gt;0,PPMT('Assumptions (Hydro)'!$V$6,Model!AH$1,'Assumptions (Hydro)'!$V$9,'Assumptions (Hydro)'!$V$4*Model!$P$1335*AVERAGE('Assumptions (Hydro)'!$L$2:$N$2)/10^9),0)</f>
        <v>-4.8711912507317059E-2</v>
      </c>
      <c r="AB1405" s="91">
        <f>IF($P$1335&gt;0,PPMT('Assumptions (Hydro)'!$V$6,Model!AI$1,'Assumptions (Hydro)'!$V$9,'Assumptions (Hydro)'!$V$4*Model!$P$1335*AVERAGE('Assumptions (Hydro)'!$L$2:$N$2)/10^9),0)</f>
        <v>-5.1025728351414626E-2</v>
      </c>
      <c r="AC1405" s="91">
        <f>IF($P$1335&gt;0,PPMT('Assumptions (Hydro)'!$V$6,Model!AJ$1,'Assumptions (Hydro)'!$V$9,'Assumptions (Hydro)'!$V$4*Model!$P$1335*AVERAGE('Assumptions (Hydro)'!$L$2:$N$2)/10^9),0)</f>
        <v>-5.3449450448106818E-2</v>
      </c>
      <c r="AD1405" s="91">
        <f>IF($P$1335&gt;0,PPMT('Assumptions (Hydro)'!$V$6,Model!AK$1,'Assumptions (Hydro)'!$V$9,'Assumptions (Hydro)'!$V$4*Model!$P$1335*AVERAGE('Assumptions (Hydro)'!$L$2:$N$2)/10^9),0)</f>
        <v>-5.5988299344391888E-2</v>
      </c>
      <c r="AE1405" s="91"/>
      <c r="AF1405" s="91"/>
      <c r="AG1405" s="91"/>
      <c r="AH1405" s="91"/>
      <c r="AI1405" s="91"/>
      <c r="AJ1405" s="91"/>
      <c r="AK1405" s="91"/>
      <c r="AL1405" s="91"/>
      <c r="AM1405" s="91"/>
      <c r="AN1405" s="91"/>
    </row>
    <row r="1406" spans="1:43" ht="15.75" hidden="1" customHeight="1" outlineLevel="1">
      <c r="A1406" s="413"/>
      <c r="B1406" s="99"/>
      <c r="C1406" s="105"/>
      <c r="D1406" s="105"/>
      <c r="E1406" s="105"/>
      <c r="F1406" s="105"/>
      <c r="G1406" s="105"/>
      <c r="H1406" s="105"/>
      <c r="I1406" s="105"/>
      <c r="J1406" s="105"/>
      <c r="K1406" s="105"/>
      <c r="L1406" s="105"/>
      <c r="M1406" s="105"/>
      <c r="N1406" s="105"/>
      <c r="O1406" s="105"/>
      <c r="P1406" s="171"/>
      <c r="Q1406" s="105">
        <f>IF($Q$1335&gt;0,PPMT('Assumptions (Hydro)'!$V$6,Model!W$1,'Assumptions (Hydro)'!$V$9,'Assumptions (Hydro)'!$V$4*Model!$Q$1335*AVERAGE('Assumptions (Hydro)'!$M$2:$O$2)/10^9),0)</f>
        <v>-1.0450067213255714E-2</v>
      </c>
      <c r="R1406" s="105">
        <f>IF($Q$1335&gt;0,PPMT('Assumptions (Hydro)'!$V$6,Model!X$1,'Assumptions (Hydro)'!$V$9,'Assumptions (Hydro)'!$V$4*Model!$Q$1335*AVERAGE('Assumptions (Hydro)'!$M$2:$O$2)/10^9),0)</f>
        <v>-1.0946445405885361E-2</v>
      </c>
      <c r="S1406" s="105">
        <f>IF($Q$1335&gt;0,PPMT('Assumptions (Hydro)'!$V$6,Model!Y$1,'Assumptions (Hydro)'!$V$9,'Assumptions (Hydro)'!$V$4*Model!$Q$1335*AVERAGE('Assumptions (Hydro)'!$M$2:$O$2)/10^9),0)</f>
        <v>-1.1466401562664917E-2</v>
      </c>
      <c r="T1406" s="105">
        <f>IF($Q$1335&gt;0,PPMT('Assumptions (Hydro)'!$V$6,Model!Z$1,'Assumptions (Hydro)'!$V$9,'Assumptions (Hydro)'!$V$4*Model!$Q$1335*AVERAGE('Assumptions (Hydro)'!$M$2:$O$2)/10^9),0)</f>
        <v>-1.2011055636891499E-2</v>
      </c>
      <c r="U1406" s="105">
        <f>IF($Q$1335&gt;0,PPMT('Assumptions (Hydro)'!$V$6,Model!AA$1,'Assumptions (Hydro)'!$V$9,'Assumptions (Hydro)'!$V$4*Model!$Q$1335*AVERAGE('Assumptions (Hydro)'!$M$2:$O$2)/10^9),0)</f>
        <v>-1.2581580779643844E-2</v>
      </c>
      <c r="V1406" s="105">
        <f>IF($Q$1335&gt;0,PPMT('Assumptions (Hydro)'!$V$6,Model!AB$1,'Assumptions (Hydro)'!$V$9,'Assumptions (Hydro)'!$V$4*Model!$Q$1335*AVERAGE('Assumptions (Hydro)'!$M$2:$O$2)/10^9),0)</f>
        <v>-1.3179205866676928E-2</v>
      </c>
      <c r="W1406" s="105">
        <f>IF($Q$1335&gt;0,PPMT('Assumptions (Hydro)'!$V$6,Model!AC$1,'Assumptions (Hydro)'!$V$9,'Assumptions (Hydro)'!$V$4*Model!$Q$1335*AVERAGE('Assumptions (Hydro)'!$M$2:$O$2)/10^9),0)</f>
        <v>-1.3805218145344083E-2</v>
      </c>
      <c r="X1406" s="105">
        <f>IF($Q$1335&gt;0,PPMT('Assumptions (Hydro)'!$V$6,Model!AD$1,'Assumptions (Hydro)'!$V$9,'Assumptions (Hydro)'!$V$4*Model!$Q$1335*AVERAGE('Assumptions (Hydro)'!$M$2:$O$2)/10^9),0)</f>
        <v>-1.4460966007247927E-2</v>
      </c>
      <c r="Y1406" s="105">
        <f>IF($Q$1335&gt;0,PPMT('Assumptions (Hydro)'!$V$6,Model!AE$1,'Assumptions (Hydro)'!$V$9,'Assumptions (Hydro)'!$V$4*Model!$Q$1335*AVERAGE('Assumptions (Hydro)'!$M$2:$O$2)/10^9),0)</f>
        <v>-1.5147861892592202E-2</v>
      </c>
      <c r="Z1406" s="105">
        <f>IF($Q$1335&gt;0,PPMT('Assumptions (Hydro)'!$V$6,Model!AF$1,'Assumptions (Hydro)'!$V$9,'Assumptions (Hydro)'!$V$4*Model!$Q$1335*AVERAGE('Assumptions (Hydro)'!$M$2:$O$2)/10^9),0)</f>
        <v>-1.5867385332490332E-2</v>
      </c>
      <c r="AA1406" s="105">
        <f>IF($Q$1335&gt;0,PPMT('Assumptions (Hydro)'!$V$6,Model!AG$1,'Assumptions (Hydro)'!$V$9,'Assumptions (Hydro)'!$V$4*Model!$Q$1335*AVERAGE('Assumptions (Hydro)'!$M$2:$O$2)/10^9),0)</f>
        <v>-1.6621086135783624E-2</v>
      </c>
      <c r="AB1406" s="105">
        <f>IF($Q$1335&gt;0,PPMT('Assumptions (Hydro)'!$V$6,Model!AH$1,'Assumptions (Hydro)'!$V$9,'Assumptions (Hydro)'!$V$4*Model!$Q$1335*AVERAGE('Assumptions (Hydro)'!$M$2:$O$2)/10^9),0)</f>
        <v>-1.7410587727233348E-2</v>
      </c>
      <c r="AC1406" s="105">
        <f>IF($Q$1335&gt;0,PPMT('Assumptions (Hydro)'!$V$6,Model!AI$1,'Assumptions (Hydro)'!$V$9,'Assumptions (Hydro)'!$V$4*Model!$Q$1335*AVERAGE('Assumptions (Hydro)'!$M$2:$O$2)/10^9),0)</f>
        <v>-1.8237590644276932E-2</v>
      </c>
      <c r="AD1406" s="105">
        <f>IF($Q$1335&gt;0,PPMT('Assumptions (Hydro)'!$V$6,Model!AJ$1,'Assumptions (Hydro)'!$V$9,'Assumptions (Hydro)'!$V$4*Model!$Q$1335*AVERAGE('Assumptions (Hydro)'!$M$2:$O$2)/10^9),0)</f>
        <v>-1.9103876199880087E-2</v>
      </c>
      <c r="AE1406" s="105">
        <f>IF($Q$1335&gt;0,PPMT('Assumptions (Hydro)'!$V$6,Model!AK$1,'Assumptions (Hydro)'!$V$9,'Assumptions (Hydro)'!$V$4*Model!$Q$1335*AVERAGE('Assumptions (Hydro)'!$M$2:$O$2)/10^9),0)</f>
        <v>-2.0011310319374385E-2</v>
      </c>
      <c r="AF1406" s="105"/>
      <c r="AG1406" s="105"/>
      <c r="AH1406" s="105"/>
      <c r="AI1406" s="105"/>
      <c r="AJ1406" s="105"/>
      <c r="AK1406" s="105"/>
      <c r="AL1406" s="105"/>
      <c r="AM1406" s="105"/>
      <c r="AN1406" s="105"/>
      <c r="AO1406" s="105"/>
    </row>
    <row r="1407" spans="1:43" ht="15.75" hidden="1" customHeight="1" outlineLevel="1">
      <c r="A1407" s="413"/>
      <c r="B1407" s="99"/>
      <c r="C1407" s="105"/>
      <c r="D1407" s="105"/>
      <c r="E1407" s="105"/>
      <c r="F1407" s="105"/>
      <c r="G1407" s="105"/>
      <c r="H1407" s="105"/>
      <c r="I1407" s="105"/>
      <c r="J1407" s="105"/>
      <c r="K1407" s="105"/>
      <c r="L1407" s="105"/>
      <c r="M1407" s="105"/>
      <c r="N1407" s="105"/>
      <c r="O1407" s="105"/>
      <c r="P1407" s="171"/>
      <c r="Q1407" s="105"/>
      <c r="R1407" s="91">
        <f>IF($R$1335&gt;0,PPMT('Assumptions (Hydro)'!$V$6,Model!W$1,'Assumptions (Hydro)'!$V$9,'Assumptions (Hydro)'!$V$4*Model!$R$1335*AVERAGE('Assumptions (Hydro)'!$N$2:$P$2)/10^9),0)</f>
        <v>-9.7082596251598201E-3</v>
      </c>
      <c r="S1407" s="91">
        <f>IF($R$1335&gt;0,PPMT('Assumptions (Hydro)'!$V$6,Model!X$1,'Assumptions (Hydro)'!$V$9,'Assumptions (Hydro)'!$V$4*Model!$R$1335*AVERAGE('Assumptions (Hydro)'!$N$2:$P$2)/10^9),0)</f>
        <v>-1.0169401957354912E-2</v>
      </c>
      <c r="T1407" s="91">
        <f>IF($R$1335&gt;0,PPMT('Assumptions (Hydro)'!$V$6,Model!Y$1,'Assumptions (Hydro)'!$V$9,'Assumptions (Hydro)'!$V$4*Model!$R$1335*AVERAGE('Assumptions (Hydro)'!$N$2:$P$2)/10^9),0)</f>
        <v>-1.065244855032927E-2</v>
      </c>
      <c r="U1407" s="91">
        <f>IF($R$1335&gt;0,PPMT('Assumptions (Hydro)'!$V$6,Model!Z$1,'Assumptions (Hydro)'!$V$9,'Assumptions (Hydro)'!$V$4*Model!$R$1335*AVERAGE('Assumptions (Hydro)'!$N$2:$P$2)/10^9),0)</f>
        <v>-1.115843985646991E-2</v>
      </c>
      <c r="V1407" s="91">
        <f>IF($R$1335&gt;0,PPMT('Assumptions (Hydro)'!$V$6,Model!AA$1,'Assumptions (Hydro)'!$V$9,'Assumptions (Hydro)'!$V$4*Model!$R$1335*AVERAGE('Assumptions (Hydro)'!$N$2:$P$2)/10^9),0)</f>
        <v>-1.1688465749652229E-2</v>
      </c>
      <c r="W1407" s="91">
        <f>IF($R$1335&gt;0,PPMT('Assumptions (Hydro)'!$V$6,Model!AB$1,'Assumptions (Hydro)'!$V$9,'Assumptions (Hydro)'!$V$4*Model!$R$1335*AVERAGE('Assumptions (Hydro)'!$N$2:$P$2)/10^9),0)</f>
        <v>-1.2243667872760712E-2</v>
      </c>
      <c r="X1407" s="91">
        <f>IF($R$1335&gt;0,PPMT('Assumptions (Hydro)'!$V$6,Model!AC$1,'Assumptions (Hydro)'!$V$9,'Assumptions (Hydro)'!$V$4*Model!$R$1335*AVERAGE('Assumptions (Hydro)'!$N$2:$P$2)/10^9),0)</f>
        <v>-1.2825242096716847E-2</v>
      </c>
      <c r="Y1407" s="91">
        <f>IF($R$1335&gt;0,PPMT('Assumptions (Hydro)'!$V$6,Model!AD$1,'Assumptions (Hydro)'!$V$9,'Assumptions (Hydro)'!$V$4*Model!$R$1335*AVERAGE('Assumptions (Hydro)'!$N$2:$P$2)/10^9),0)</f>
        <v>-1.3434441096310895E-2</v>
      </c>
      <c r="Z1407" s="91">
        <f>IF($R$1335&gt;0,PPMT('Assumptions (Hydro)'!$V$6,Model!AE$1,'Assumptions (Hydro)'!$V$9,'Assumptions (Hydro)'!$V$4*Model!$R$1335*AVERAGE('Assumptions (Hydro)'!$N$2:$P$2)/10^9),0)</f>
        <v>-1.4072577048385661E-2</v>
      </c>
      <c r="AA1407" s="91">
        <f>IF($R$1335&gt;0,PPMT('Assumptions (Hydro)'!$V$6,Model!AF$1,'Assumptions (Hydro)'!$V$9,'Assumptions (Hydro)'!$V$4*Model!$R$1335*AVERAGE('Assumptions (Hydro)'!$N$2:$P$2)/10^9),0)</f>
        <v>-1.4741024458183982E-2</v>
      </c>
      <c r="AB1407" s="91">
        <f>IF($R$1335&gt;0,PPMT('Assumptions (Hydro)'!$V$6,Model!AG$1,'Assumptions (Hydro)'!$V$9,'Assumptions (Hydro)'!$V$4*Model!$R$1335*AVERAGE('Assumptions (Hydro)'!$N$2:$P$2)/10^9),0)</f>
        <v>-1.5441223119947722E-2</v>
      </c>
      <c r="AC1407" s="91">
        <f>IF($R$1335&gt;0,PPMT('Assumptions (Hydro)'!$V$6,Model!AH$1,'Assumptions (Hydro)'!$V$9,'Assumptions (Hydro)'!$V$4*Model!$R$1335*AVERAGE('Assumptions (Hydro)'!$N$2:$P$2)/10^9),0)</f>
        <v>-1.6174681218145238E-2</v>
      </c>
      <c r="AD1407" s="91">
        <f>IF($R$1335&gt;0,PPMT('Assumptions (Hydro)'!$V$6,Model!AI$1,'Assumptions (Hydro)'!$V$9,'Assumptions (Hydro)'!$V$4*Model!$R$1335*AVERAGE('Assumptions (Hydro)'!$N$2:$P$2)/10^9),0)</f>
        <v>-1.6942978576007139E-2</v>
      </c>
      <c r="AE1407" s="91">
        <f>IF($R$1335&gt;0,PPMT('Assumptions (Hydro)'!$V$6,Model!AJ$1,'Assumptions (Hydro)'!$V$9,'Assumptions (Hydro)'!$V$4*Model!$R$1335*AVERAGE('Assumptions (Hydro)'!$N$2:$P$2)/10^9),0)</f>
        <v>-1.7747770058367477E-2</v>
      </c>
      <c r="AF1407" s="91">
        <f>IF($R$1335&gt;0,PPMT('Assumptions (Hydro)'!$V$6,Model!AK$1,'Assumptions (Hydro)'!$V$9,'Assumptions (Hydro)'!$V$4*Model!$R$1335*AVERAGE('Assumptions (Hydro)'!$N$2:$P$2)/10^9),0)</f>
        <v>-1.8590789136139933E-2</v>
      </c>
      <c r="AG1407" s="91"/>
      <c r="AH1407" s="91"/>
      <c r="AI1407" s="91"/>
      <c r="AJ1407" s="91"/>
      <c r="AK1407" s="91"/>
      <c r="AL1407" s="91"/>
      <c r="AM1407" s="91"/>
      <c r="AN1407" s="91"/>
      <c r="AO1407" s="91"/>
      <c r="AP1407" s="91"/>
    </row>
    <row r="1408" spans="1:43" ht="15.75" hidden="1" customHeight="1" outlineLevel="1">
      <c r="A1408" s="413"/>
      <c r="B1408" s="99"/>
      <c r="C1408" s="105"/>
      <c r="D1408" s="105"/>
      <c r="E1408" s="105"/>
      <c r="F1408" s="105"/>
      <c r="G1408" s="105"/>
      <c r="H1408" s="105"/>
      <c r="I1408" s="105"/>
      <c r="J1408" s="105"/>
      <c r="K1408" s="105"/>
      <c r="L1408" s="105"/>
      <c r="M1408" s="105"/>
      <c r="N1408" s="105"/>
      <c r="O1408" s="105"/>
      <c r="P1408" s="171"/>
      <c r="Q1408" s="105"/>
      <c r="R1408" s="91"/>
      <c r="S1408" s="105">
        <f>IF($S$1335&gt;0,PPMT('Assumptions (Hydro)'!$V$6,Model!W$1,'Assumptions (Hydro)'!$V$9,'Assumptions (Hydro)'!$V$4*Model!$S$1335*AVERAGE('Assumptions (Hydro)'!$O$2:$Q$2)/10^9),0)</f>
        <v>-2.7198854616997819E-2</v>
      </c>
      <c r="T1408" s="105">
        <f>IF($S$1335&gt;0,PPMT('Assumptions (Hydro)'!$V$6,Model!X$1,'Assumptions (Hydro)'!$V$9,'Assumptions (Hydro)'!$V$4*Model!$S$1335*AVERAGE('Assumptions (Hydro)'!$O$2:$Q$2)/10^9),0)</f>
        <v>-2.849080021130522E-2</v>
      </c>
      <c r="U1408" s="105">
        <f>IF($S$1335&gt;0,PPMT('Assumptions (Hydro)'!$V$6,Model!Y$1,'Assumptions (Hydro)'!$V$9,'Assumptions (Hydro)'!$V$4*Model!$S$1335*AVERAGE('Assumptions (Hydro)'!$O$2:$Q$2)/10^9),0)</f>
        <v>-2.9844113221342217E-2</v>
      </c>
      <c r="V1408" s="105">
        <f>IF($S$1335&gt;0,PPMT('Assumptions (Hydro)'!$V$6,Model!Z$1,'Assumptions (Hydro)'!$V$9,'Assumptions (Hydro)'!$V$4*Model!$S$1335*AVERAGE('Assumptions (Hydro)'!$O$2:$Q$2)/10^9),0)</f>
        <v>-3.1261708599355974E-2</v>
      </c>
      <c r="W1408" s="105">
        <f>IF($S$1335&gt;0,PPMT('Assumptions (Hydro)'!$V$6,Model!AA$1,'Assumptions (Hydro)'!$V$9,'Assumptions (Hydro)'!$V$4*Model!$S$1335*AVERAGE('Assumptions (Hydro)'!$O$2:$Q$2)/10^9),0)</f>
        <v>-3.274663975782538E-2</v>
      </c>
      <c r="X1408" s="105">
        <f>IF($S$1335&gt;0,PPMT('Assumptions (Hydro)'!$V$6,Model!AB$1,'Assumptions (Hydro)'!$V$9,'Assumptions (Hydro)'!$V$4*Model!$S$1335*AVERAGE('Assumptions (Hydro)'!$O$2:$Q$2)/10^9),0)</f>
        <v>-3.4302105146322079E-2</v>
      </c>
      <c r="Y1408" s="105">
        <f>IF($S$1335&gt;0,PPMT('Assumptions (Hydro)'!$V$6,Model!AC$1,'Assumptions (Hydro)'!$V$9,'Assumptions (Hydro)'!$V$4*Model!$S$1335*AVERAGE('Assumptions (Hydro)'!$O$2:$Q$2)/10^9),0)</f>
        <v>-3.5931455140772388E-2</v>
      </c>
      <c r="Z1408" s="105">
        <f>IF($S$1335&gt;0,PPMT('Assumptions (Hydro)'!$V$6,Model!AD$1,'Assumptions (Hydro)'!$V$9,'Assumptions (Hydro)'!$V$4*Model!$S$1335*AVERAGE('Assumptions (Hydro)'!$O$2:$Q$2)/10^9),0)</f>
        <v>-3.7638199259959072E-2</v>
      </c>
      <c r="AA1408" s="105">
        <f>IF($S$1335&gt;0,PPMT('Assumptions (Hydro)'!$V$6,Model!AE$1,'Assumptions (Hydro)'!$V$9,'Assumptions (Hydro)'!$V$4*Model!$S$1335*AVERAGE('Assumptions (Hydro)'!$O$2:$Q$2)/10^9),0)</f>
        <v>-3.9426013724807127E-2</v>
      </c>
      <c r="AB1408" s="105">
        <f>IF($S$1335&gt;0,PPMT('Assumptions (Hydro)'!$V$6,Model!AF$1,'Assumptions (Hydro)'!$V$9,'Assumptions (Hydro)'!$V$4*Model!$S$1335*AVERAGE('Assumptions (Hydro)'!$O$2:$Q$2)/10^9),0)</f>
        <v>-4.1298749376735472E-2</v>
      </c>
      <c r="AC1408" s="105">
        <f>IF($S$1335&gt;0,PPMT('Assumptions (Hydro)'!$V$6,Model!AG$1,'Assumptions (Hydro)'!$V$9,'Assumptions (Hydro)'!$V$4*Model!$S$1335*AVERAGE('Assumptions (Hydro)'!$O$2:$Q$2)/10^9),0)</f>
        <v>-4.3260439972130409E-2</v>
      </c>
      <c r="AD1408" s="105">
        <f>IF($S$1335&gt;0,PPMT('Assumptions (Hydro)'!$V$6,Model!AH$1,'Assumptions (Hydro)'!$V$9,'Assumptions (Hydro)'!$V$4*Model!$S$1335*AVERAGE('Assumptions (Hydro)'!$O$2:$Q$2)/10^9),0)</f>
        <v>-4.5315310870806598E-2</v>
      </c>
      <c r="AE1408" s="105">
        <f>IF($S$1335&gt;0,PPMT('Assumptions (Hydro)'!$V$6,Model!AI$1,'Assumptions (Hydro)'!$V$9,'Assumptions (Hydro)'!$V$4*Model!$S$1335*AVERAGE('Assumptions (Hydro)'!$O$2:$Q$2)/10^9),0)</f>
        <v>-4.7467788137169911E-2</v>
      </c>
      <c r="AF1408" s="105">
        <f>IF($S$1335&gt;0,PPMT('Assumptions (Hydro)'!$V$6,Model!AJ$1,'Assumptions (Hydro)'!$V$9,'Assumptions (Hydro)'!$V$4*Model!$S$1335*AVERAGE('Assumptions (Hydro)'!$O$2:$Q$2)/10^9),0)</f>
        <v>-4.9722508073685487E-2</v>
      </c>
      <c r="AG1408" s="105">
        <f>IF($S$1335&gt;0,PPMT('Assumptions (Hydro)'!$V$6,Model!AK$1,'Assumptions (Hydro)'!$V$9,'Assumptions (Hydro)'!$V$4*Model!$S$1335*AVERAGE('Assumptions (Hydro)'!$O$2:$Q$2)/10^9),0)</f>
        <v>-5.2084327207185539E-2</v>
      </c>
      <c r="AH1408" s="105"/>
      <c r="AI1408" s="105"/>
      <c r="AJ1408" s="105"/>
      <c r="AK1408" s="105"/>
      <c r="AL1408" s="105"/>
      <c r="AM1408" s="105"/>
      <c r="AN1408" s="105"/>
      <c r="AO1408" s="105"/>
      <c r="AP1408" s="105"/>
      <c r="AQ1408" s="105"/>
    </row>
    <row r="1409" spans="1:59" ht="15.75" hidden="1" customHeight="1" outlineLevel="1">
      <c r="A1409" s="413"/>
      <c r="B1409" s="99"/>
      <c r="C1409" s="105"/>
      <c r="D1409" s="105"/>
      <c r="E1409" s="105"/>
      <c r="F1409" s="105"/>
      <c r="G1409" s="105"/>
      <c r="H1409" s="105"/>
      <c r="I1409" s="105"/>
      <c r="J1409" s="105"/>
      <c r="K1409" s="105"/>
      <c r="L1409" s="105"/>
      <c r="M1409" s="105"/>
      <c r="N1409" s="105"/>
      <c r="O1409" s="105"/>
      <c r="P1409" s="171"/>
      <c r="Q1409" s="105"/>
      <c r="R1409" s="91"/>
      <c r="S1409" s="91"/>
      <c r="T1409" s="105">
        <f>IF($T$1335&gt;0,PPMT('Assumptions (Hydro)'!$V$6,Model!W$1,'Assumptions (Hydro)'!$V$9,'Assumptions (Hydro)'!$V$4*Model!$T$1335*AVERAGE('Assumptions (Hydro)'!$P$2:$R$2)/10^9),0)</f>
        <v>-1.5440782474151539E-2</v>
      </c>
      <c r="U1409" s="105">
        <f>IF($T$1335&gt;0,PPMT('Assumptions (Hydro)'!$V$6,Model!X$1,'Assumptions (Hydro)'!$V$9,'Assumptions (Hydro)'!$V$4*Model!$T$1335*AVERAGE('Assumptions (Hydro)'!$P$2:$R$2)/10^9),0)</f>
        <v>-1.6174219641673739E-2</v>
      </c>
      <c r="V1409" s="105">
        <f>IF($T$1335&gt;0,PPMT('Assumptions (Hydro)'!$V$6,Model!Y$1,'Assumptions (Hydro)'!$V$9,'Assumptions (Hydro)'!$V$4*Model!$T$1335*AVERAGE('Assumptions (Hydro)'!$P$2:$R$2)/10^9),0)</f>
        <v>-1.694249507465324E-2</v>
      </c>
      <c r="W1409" s="105">
        <f>IF($T$1335&gt;0,PPMT('Assumptions (Hydro)'!$V$6,Model!Z$1,'Assumptions (Hydro)'!$V$9,'Assumptions (Hydro)'!$V$4*Model!$T$1335*AVERAGE('Assumptions (Hydro)'!$P$2:$R$2)/10^9),0)</f>
        <v>-1.774726359069927E-2</v>
      </c>
      <c r="X1409" s="105">
        <f>IF($T$1335&gt;0,PPMT('Assumptions (Hydro)'!$V$6,Model!AA$1,'Assumptions (Hydro)'!$V$9,'Assumptions (Hydro)'!$V$4*Model!$T$1335*AVERAGE('Assumptions (Hydro)'!$P$2:$R$2)/10^9),0)</f>
        <v>-1.8590258611257481E-2</v>
      </c>
      <c r="Y1409" s="105">
        <f>IF($T$1335&gt;0,PPMT('Assumptions (Hydro)'!$V$6,Model!AB$1,'Assumptions (Hydro)'!$V$9,'Assumptions (Hydro)'!$V$4*Model!$T$1335*AVERAGE('Assumptions (Hydro)'!$P$2:$R$2)/10^9),0)</f>
        <v>-1.9473295895292213E-2</v>
      </c>
      <c r="Z1409" s="105">
        <f>IF($T$1335&gt;0,PPMT('Assumptions (Hydro)'!$V$6,Model!AC$1,'Assumptions (Hydro)'!$V$9,'Assumptions (Hydro)'!$V$4*Model!$T$1335*AVERAGE('Assumptions (Hydro)'!$P$2:$R$2)/10^9),0)</f>
        <v>-2.0398277450318594E-2</v>
      </c>
      <c r="AA1409" s="105">
        <f>IF($T$1335&gt;0,PPMT('Assumptions (Hydro)'!$V$6,Model!AD$1,'Assumptions (Hydro)'!$V$9,'Assumptions (Hydro)'!$V$4*Model!$T$1335*AVERAGE('Assumptions (Hydro)'!$P$2:$R$2)/10^9),0)</f>
        <v>-2.1367195629208729E-2</v>
      </c>
      <c r="AB1409" s="105">
        <f>IF($T$1335&gt;0,PPMT('Assumptions (Hydro)'!$V$6,Model!AE$1,'Assumptions (Hydro)'!$V$9,'Assumptions (Hydro)'!$V$4*Model!$T$1335*AVERAGE('Assumptions (Hydro)'!$P$2:$R$2)/10^9),0)</f>
        <v>-2.238213742159614E-2</v>
      </c>
      <c r="AC1409" s="105">
        <f>IF($T$1335&gt;0,PPMT('Assumptions (Hydro)'!$V$6,Model!AF$1,'Assumptions (Hydro)'!$V$9,'Assumptions (Hydro)'!$V$4*Model!$T$1335*AVERAGE('Assumptions (Hydro)'!$P$2:$R$2)/10^9),0)</f>
        <v>-2.344528894912196E-2</v>
      </c>
      <c r="AD1409" s="105">
        <f>IF($T$1335&gt;0,PPMT('Assumptions (Hydro)'!$V$6,Model!AG$1,'Assumptions (Hydro)'!$V$9,'Assumptions (Hydro)'!$V$4*Model!$T$1335*AVERAGE('Assumptions (Hydro)'!$P$2:$R$2)/10^9),0)</f>
        <v>-2.4558940174205252E-2</v>
      </c>
      <c r="AE1409" s="105">
        <f>IF($T$1335&gt;0,PPMT('Assumptions (Hydro)'!$V$6,Model!AH$1,'Assumptions (Hydro)'!$V$9,'Assumptions (Hydro)'!$V$4*Model!$T$1335*AVERAGE('Assumptions (Hydro)'!$P$2:$R$2)/10^9),0)</f>
        <v>-2.5725489832479999E-2</v>
      </c>
      <c r="AF1409" s="105">
        <f>IF($T$1335&gt;0,PPMT('Assumptions (Hydro)'!$V$6,Model!AI$1,'Assumptions (Hydro)'!$V$9,'Assumptions (Hydro)'!$V$4*Model!$T$1335*AVERAGE('Assumptions (Hydro)'!$P$2:$R$2)/10^9),0)</f>
        <v>-2.6947450599522801E-2</v>
      </c>
      <c r="AG1409" s="105">
        <f>IF($T$1335&gt;0,PPMT('Assumptions (Hydro)'!$V$6,Model!AJ$1,'Assumptions (Hydro)'!$V$9,'Assumptions (Hydro)'!$V$4*Model!$T$1335*AVERAGE('Assumptions (Hydro)'!$P$2:$R$2)/10^9),0)</f>
        <v>-2.8227454503000137E-2</v>
      </c>
      <c r="AH1409" s="105">
        <f>IF($T$1335&gt;0,PPMT('Assumptions (Hydro)'!$V$6,Model!AK$1,'Assumptions (Hydro)'!$V$9,'Assumptions (Hydro)'!$V$4*Model!$T$1335*AVERAGE('Assumptions (Hydro)'!$P$2:$R$2)/10^9),0)</f>
        <v>-2.9568258591892639E-2</v>
      </c>
      <c r="AI1409" s="105"/>
      <c r="AJ1409" s="105"/>
      <c r="AK1409" s="105"/>
      <c r="AL1409" s="105"/>
      <c r="AM1409" s="105"/>
      <c r="AN1409" s="105"/>
      <c r="AO1409" s="105"/>
      <c r="AP1409" s="105"/>
      <c r="AQ1409" s="105"/>
      <c r="AR1409" s="105"/>
    </row>
    <row r="1410" spans="1:59" ht="15.75" hidden="1" customHeight="1" outlineLevel="1">
      <c r="A1410" s="413"/>
      <c r="B1410" s="99"/>
      <c r="C1410" s="105"/>
      <c r="D1410" s="105"/>
      <c r="E1410" s="105"/>
      <c r="F1410" s="105"/>
      <c r="G1410" s="105"/>
      <c r="H1410" s="105"/>
      <c r="I1410" s="105"/>
      <c r="J1410" s="105"/>
      <c r="K1410" s="105"/>
      <c r="L1410" s="105"/>
      <c r="M1410" s="105"/>
      <c r="N1410" s="105"/>
      <c r="O1410" s="105"/>
      <c r="P1410" s="171"/>
      <c r="Q1410" s="105"/>
      <c r="R1410" s="91"/>
      <c r="S1410" s="91"/>
      <c r="T1410" s="91"/>
      <c r="U1410" s="105">
        <f>IF($U$1335&gt;0,PPMT('Assumptions (Hydro)'!$V$6,Model!W$1,'Assumptions (Hydro)'!$V$9,'Assumptions (Hydro)'!$V$4*Model!$U$1335*AVERAGE('Assumptions (Hydro)'!$Q$2:$S$2)/10^9),0)</f>
        <v>-1.1410113476852788E-2</v>
      </c>
      <c r="V1410" s="105">
        <f>IF($U$1335&gt;0,PPMT('Assumptions (Hydro)'!$V$6,Model!X$1,'Assumptions (Hydro)'!$V$9,'Assumptions (Hydro)'!$V$4*Model!$U$1335*AVERAGE('Assumptions (Hydro)'!$Q$2:$S$2)/10^9),0)</f>
        <v>-1.1952093867003296E-2</v>
      </c>
      <c r="W1410" s="105">
        <f>IF($U$1335&gt;0,PPMT('Assumptions (Hydro)'!$V$6,Model!Y$1,'Assumptions (Hydro)'!$V$9,'Assumptions (Hydro)'!$V$4*Model!$U$1335*AVERAGE('Assumptions (Hydro)'!$Q$2:$S$2)/10^9),0)</f>
        <v>-1.2519818325685952E-2</v>
      </c>
      <c r="X1410" s="105">
        <f>IF($U$1335&gt;0,PPMT('Assumptions (Hydro)'!$V$6,Model!Z$1,'Assumptions (Hydro)'!$V$9,'Assumptions (Hydro)'!$V$4*Model!$U$1335*AVERAGE('Assumptions (Hydro)'!$Q$2:$S$2)/10^9),0)</f>
        <v>-1.3114509696156035E-2</v>
      </c>
      <c r="Y1410" s="105">
        <f>IF($U$1335&gt;0,PPMT('Assumptions (Hydro)'!$V$6,Model!AA$1,'Assumptions (Hydro)'!$V$9,'Assumptions (Hydro)'!$V$4*Model!$U$1335*AVERAGE('Assumptions (Hydro)'!$Q$2:$S$2)/10^9),0)</f>
        <v>-1.3737448906723446E-2</v>
      </c>
      <c r="Z1410" s="105">
        <f>IF($U$1335&gt;0,PPMT('Assumptions (Hydro)'!$V$6,Model!AB$1,'Assumptions (Hydro)'!$V$9,'Assumptions (Hydro)'!$V$4*Model!$U$1335*AVERAGE('Assumptions (Hydro)'!$Q$2:$S$2)/10^9),0)</f>
        <v>-1.4389977729792811E-2</v>
      </c>
      <c r="AA1410" s="105">
        <f>IF($U$1335&gt;0,PPMT('Assumptions (Hydro)'!$V$6,Model!AC$1,'Assumptions (Hydro)'!$V$9,'Assumptions (Hydro)'!$V$4*Model!$U$1335*AVERAGE('Assumptions (Hydro)'!$Q$2:$S$2)/10^9),0)</f>
        <v>-1.5073501671957968E-2</v>
      </c>
      <c r="AB1410" s="105">
        <f>IF($U$1335&gt;0,PPMT('Assumptions (Hydro)'!$V$6,Model!AD$1,'Assumptions (Hydro)'!$V$9,'Assumptions (Hydro)'!$V$4*Model!$U$1335*AVERAGE('Assumptions (Hydro)'!$Q$2:$S$2)/10^9),0)</f>
        <v>-1.578949300137597E-2</v>
      </c>
      <c r="AC1410" s="105">
        <f>IF($U$1335&gt;0,PPMT('Assumptions (Hydro)'!$V$6,Model!AE$1,'Assumptions (Hydro)'!$V$9,'Assumptions (Hydro)'!$V$4*Model!$U$1335*AVERAGE('Assumptions (Hydro)'!$Q$2:$S$2)/10^9),0)</f>
        <v>-1.6539493918941328E-2</v>
      </c>
      <c r="AD1410" s="105">
        <f>IF($U$1335&gt;0,PPMT('Assumptions (Hydro)'!$V$6,Model!AF$1,'Assumptions (Hydro)'!$V$9,'Assumptions (Hydro)'!$V$4*Model!$U$1335*AVERAGE('Assumptions (Hydro)'!$Q$2:$S$2)/10^9),0)</f>
        <v>-1.7325119880091045E-2</v>
      </c>
      <c r="AE1410" s="105">
        <f>IF($U$1335&gt;0,PPMT('Assumptions (Hydro)'!$V$6,Model!AG$1,'Assumptions (Hydro)'!$V$9,'Assumptions (Hydro)'!$V$4*Model!$U$1335*AVERAGE('Assumptions (Hydro)'!$Q$2:$S$2)/10^9),0)</f>
        <v>-1.8148063074395371E-2</v>
      </c>
      <c r="AF1410" s="105">
        <f>IF($U$1335&gt;0,PPMT('Assumptions (Hydro)'!$V$6,Model!AH$1,'Assumptions (Hydro)'!$V$9,'Assumptions (Hydro)'!$V$4*Model!$U$1335*AVERAGE('Assumptions (Hydro)'!$Q$2:$S$2)/10^9),0)</f>
        <v>-1.9010096070429149E-2</v>
      </c>
      <c r="AG1410" s="105">
        <f>IF($U$1335&gt;0,PPMT('Assumptions (Hydro)'!$V$6,Model!AI$1,'Assumptions (Hydro)'!$V$9,'Assumptions (Hydro)'!$V$4*Model!$U$1335*AVERAGE('Assumptions (Hydro)'!$Q$2:$S$2)/10^9),0)</f>
        <v>-1.9913075633774535E-2</v>
      </c>
      <c r="AH1410" s="105">
        <f>IF($U$1335&gt;0,PPMT('Assumptions (Hydro)'!$V$6,Model!AJ$1,'Assumptions (Hydro)'!$V$9,'Assumptions (Hydro)'!$V$4*Model!$U$1335*AVERAGE('Assumptions (Hydro)'!$Q$2:$S$2)/10^9),0)</f>
        <v>-2.0858946726378825E-2</v>
      </c>
      <c r="AI1410" s="105">
        <f>IF($U$1335&gt;0,PPMT('Assumptions (Hydro)'!$V$6,Model!AK$1,'Assumptions (Hydro)'!$V$9,'Assumptions (Hydro)'!$V$4*Model!$U$1335*AVERAGE('Assumptions (Hydro)'!$Q$2:$S$2)/10^9),0)</f>
        <v>-2.1849746695881817E-2</v>
      </c>
      <c r="AJ1410" s="105"/>
      <c r="AK1410" s="105"/>
      <c r="AL1410" s="105"/>
      <c r="AM1410" s="105"/>
      <c r="AN1410" s="105"/>
      <c r="AO1410" s="105"/>
      <c r="AP1410" s="105"/>
      <c r="AQ1410" s="105"/>
      <c r="AR1410" s="105"/>
      <c r="AS1410" s="105"/>
    </row>
    <row r="1411" spans="1:59" ht="15.75" hidden="1" customHeight="1" outlineLevel="1">
      <c r="A1411" s="413"/>
      <c r="B1411" s="99"/>
      <c r="C1411" s="105"/>
      <c r="D1411" s="105"/>
      <c r="E1411" s="105"/>
      <c r="F1411" s="105"/>
      <c r="G1411" s="105"/>
      <c r="H1411" s="105"/>
      <c r="I1411" s="105"/>
      <c r="J1411" s="105"/>
      <c r="K1411" s="105"/>
      <c r="L1411" s="105"/>
      <c r="M1411" s="105"/>
      <c r="N1411" s="105"/>
      <c r="O1411" s="105"/>
      <c r="P1411" s="171"/>
      <c r="Q1411" s="105"/>
      <c r="R1411" s="91"/>
      <c r="S1411" s="91"/>
      <c r="T1411" s="91"/>
      <c r="U1411" s="105"/>
      <c r="V1411" s="105">
        <f>IF($V$1335&gt;0,PPMT('Assumptions (Hydro)'!$V$6,Model!W$1,'Assumptions (Hydro)'!$V$9,'Assumptions (Hydro)'!$V$4*Model!$V$1335*AVERAGE('Assumptions (Hydro)'!$R$2:$T$2)/10^9),0)</f>
        <v>-8.8370721957295242E-3</v>
      </c>
      <c r="W1411" s="105">
        <f>IF($V$1335&gt;0,PPMT('Assumptions (Hydro)'!$V$6,Model!X$1,'Assumptions (Hydro)'!$V$9,'Assumptions (Hydro)'!$V$4*Model!$V$1335*AVERAGE('Assumptions (Hydro)'!$R$2:$T$2)/10^9),0)</f>
        <v>-9.256833125026679E-3</v>
      </c>
      <c r="X1411" s="105">
        <f>IF($V$1335&gt;0,PPMT('Assumptions (Hydro)'!$V$6,Model!Y$1,'Assumptions (Hydro)'!$V$9,'Assumptions (Hydro)'!$V$4*Model!$V$1335*AVERAGE('Assumptions (Hydro)'!$R$2:$T$2)/10^9),0)</f>
        <v>-9.696532698465446E-3</v>
      </c>
      <c r="Y1411" s="105">
        <f>IF($V$1335&gt;0,PPMT('Assumptions (Hydro)'!$V$6,Model!Z$1,'Assumptions (Hydro)'!$V$9,'Assumptions (Hydro)'!$V$4*Model!$V$1335*AVERAGE('Assumptions (Hydro)'!$R$2:$T$2)/10^9),0)</f>
        <v>-1.0157118001642554E-2</v>
      </c>
      <c r="Z1411" s="105">
        <f>IF($V$1335&gt;0,PPMT('Assumptions (Hydro)'!$V$6,Model!AA$1,'Assumptions (Hydro)'!$V$9,'Assumptions (Hydro)'!$V$4*Model!$V$1335*AVERAGE('Assumptions (Hydro)'!$R$2:$T$2)/10^9),0)</f>
        <v>-1.0639581106720574E-2</v>
      </c>
      <c r="AA1411" s="105">
        <f>IF($V$1335&gt;0,PPMT('Assumptions (Hydro)'!$V$6,Model!AB$1,'Assumptions (Hydro)'!$V$9,'Assumptions (Hydro)'!$V$4*Model!$V$1335*AVERAGE('Assumptions (Hydro)'!$R$2:$T$2)/10^9),0)</f>
        <v>-1.1144961209289803E-2</v>
      </c>
      <c r="AB1411" s="105">
        <f>IF($V$1335&gt;0,PPMT('Assumptions (Hydro)'!$V$6,Model!AC$1,'Assumptions (Hydro)'!$V$9,'Assumptions (Hydro)'!$V$4*Model!$V$1335*AVERAGE('Assumptions (Hydro)'!$R$2:$T$2)/10^9),0)</f>
        <v>-1.1674346866731068E-2</v>
      </c>
      <c r="AC1411" s="105">
        <f>IF($V$1335&gt;0,PPMT('Assumptions (Hydro)'!$V$6,Model!AD$1,'Assumptions (Hydro)'!$V$9,'Assumptions (Hydro)'!$V$4*Model!$V$1335*AVERAGE('Assumptions (Hydro)'!$R$2:$T$2)/10^9),0)</f>
        <v>-1.2228878342900793E-2</v>
      </c>
      <c r="AD1411" s="105">
        <f>IF($V$1335&gt;0,PPMT('Assumptions (Hydro)'!$V$6,Model!AE$1,'Assumptions (Hydro)'!$V$9,'Assumptions (Hydro)'!$V$4*Model!$V$1335*AVERAGE('Assumptions (Hydro)'!$R$2:$T$2)/10^9),0)</f>
        <v>-1.280975006418858E-2</v>
      </c>
      <c r="AE1411" s="105">
        <f>IF($V$1335&gt;0,PPMT('Assumptions (Hydro)'!$V$6,Model!AF$1,'Assumptions (Hydro)'!$V$9,'Assumptions (Hydro)'!$V$4*Model!$V$1335*AVERAGE('Assumptions (Hydro)'!$R$2:$T$2)/10^9),0)</f>
        <v>-1.3418213192237538E-2</v>
      </c>
      <c r="AF1411" s="105">
        <f>IF($V$1335&gt;0,PPMT('Assumptions (Hydro)'!$V$6,Model!AG$1,'Assumptions (Hydro)'!$V$9,'Assumptions (Hydro)'!$V$4*Model!$V$1335*AVERAGE('Assumptions (Hydro)'!$R$2:$T$2)/10^9),0)</f>
        <v>-1.4055578318868823E-2</v>
      </c>
      <c r="AG1411" s="105">
        <f>IF($V$1335&gt;0,PPMT('Assumptions (Hydro)'!$V$6,Model!AH$1,'Assumptions (Hydro)'!$V$9,'Assumptions (Hydro)'!$V$4*Model!$V$1335*AVERAGE('Assumptions (Hydro)'!$R$2:$T$2)/10^9),0)</f>
        <v>-1.4723218289015093E-2</v>
      </c>
      <c r="AH1411" s="105">
        <f>IF($V$1335&gt;0,PPMT('Assumptions (Hydro)'!$V$6,Model!AI$1,'Assumptions (Hydro)'!$V$9,'Assumptions (Hydro)'!$V$4*Model!$V$1335*AVERAGE('Assumptions (Hydro)'!$R$2:$T$2)/10^9),0)</f>
        <v>-1.5422571157743308E-2</v>
      </c>
      <c r="AI1411" s="105">
        <f>IF($V$1335&gt;0,PPMT('Assumptions (Hydro)'!$V$6,Model!AJ$1,'Assumptions (Hydro)'!$V$9,'Assumptions (Hydro)'!$V$4*Model!$V$1335*AVERAGE('Assumptions (Hydro)'!$R$2:$T$2)/10^9),0)</f>
        <v>-1.6155143287736116E-2</v>
      </c>
      <c r="AJ1411" s="105">
        <f>IF($V$1335&gt;0,PPMT('Assumptions (Hydro)'!$V$6,Model!AK$1,'Assumptions (Hydro)'!$V$9,'Assumptions (Hydro)'!$V$4*Model!$V$1335*AVERAGE('Assumptions (Hydro)'!$R$2:$T$2)/10^9),0)</f>
        <v>-1.692251259390358E-2</v>
      </c>
      <c r="AK1411" s="105"/>
      <c r="AL1411" s="105"/>
      <c r="AM1411" s="105"/>
      <c r="AN1411" s="105"/>
      <c r="AO1411" s="105"/>
      <c r="AP1411" s="105"/>
      <c r="AQ1411" s="105"/>
      <c r="AR1411" s="105"/>
      <c r="AS1411" s="105"/>
      <c r="AT1411" s="105"/>
    </row>
    <row r="1412" spans="1:59" ht="15.75" hidden="1" customHeight="1" outlineLevel="1">
      <c r="A1412" s="413"/>
      <c r="B1412" s="99"/>
      <c r="C1412" s="99"/>
      <c r="D1412" s="99"/>
      <c r="E1412" s="99"/>
      <c r="F1412" s="99"/>
      <c r="G1412" s="99"/>
      <c r="H1412" s="99"/>
      <c r="I1412" s="99"/>
      <c r="J1412" s="99"/>
      <c r="K1412" s="99"/>
      <c r="L1412" s="99"/>
      <c r="M1412" s="99"/>
      <c r="N1412" s="99"/>
      <c r="O1412" s="99"/>
      <c r="P1412" s="99"/>
      <c r="Q1412" s="99"/>
      <c r="R1412" s="99"/>
      <c r="S1412" s="99"/>
      <c r="T1412" s="99"/>
      <c r="U1412" s="99"/>
      <c r="V1412" s="99"/>
      <c r="W1412" s="105">
        <f>IF($W$1335&gt;0,PPMT('Assumptions (Hydro)'!$V$6,Model!W$1,'Assumptions (Hydro)'!$V$9,'Assumptions (Hydro)'!$V$4*Model!$W$1335*AVERAGE('Assumptions (Hydro)'!$S$2:$U$2)/10^9),0)</f>
        <v>0</v>
      </c>
      <c r="X1412" s="105">
        <f>IF($W$1335&gt;0,PPMT('Assumptions (Hydro)'!$V$6,Model!X$1,'Assumptions (Hydro)'!$V$9,'Assumptions (Hydro)'!$V$4*Model!$W$1335*AVERAGE('Assumptions (Hydro)'!$S$2:$U$2)/10^9),0)</f>
        <v>0</v>
      </c>
      <c r="Y1412" s="105">
        <f>IF($W$1335&gt;0,PPMT('Assumptions (Hydro)'!$V$6,Model!Y$1,'Assumptions (Hydro)'!$V$9,'Assumptions (Hydro)'!$V$4*Model!$W$1335*AVERAGE('Assumptions (Hydro)'!$S$2:$U$2)/10^9),0)</f>
        <v>0</v>
      </c>
      <c r="Z1412" s="105">
        <f>IF($W$1335&gt;0,PPMT('Assumptions (Hydro)'!$V$6,Model!Z$1,'Assumptions (Hydro)'!$V$9,'Assumptions (Hydro)'!$V$4*Model!$W$1335*AVERAGE('Assumptions (Hydro)'!$S$2:$U$2)/10^9),0)</f>
        <v>0</v>
      </c>
      <c r="AA1412" s="105">
        <f>IF($W$1335&gt;0,PPMT('Assumptions (Hydro)'!$V$6,Model!AA$1,'Assumptions (Hydro)'!$V$9,'Assumptions (Hydro)'!$V$4*Model!$W$1335*AVERAGE('Assumptions (Hydro)'!$S$2:$U$2)/10^9),0)</f>
        <v>0</v>
      </c>
      <c r="AB1412" s="105">
        <f>IF($W$1335&gt;0,PPMT('Assumptions (Hydro)'!$V$6,Model!AB$1,'Assumptions (Hydro)'!$V$9,'Assumptions (Hydro)'!$V$4*Model!$W$1335*AVERAGE('Assumptions (Hydro)'!$S$2:$U$2)/10^9),0)</f>
        <v>0</v>
      </c>
      <c r="AC1412" s="105">
        <f>IF($W$1335&gt;0,PPMT('Assumptions (Hydro)'!$V$6,Model!AC$1,'Assumptions (Hydro)'!$V$9,'Assumptions (Hydro)'!$V$4*Model!$W$1335*AVERAGE('Assumptions (Hydro)'!$S$2:$U$2)/10^9),0)</f>
        <v>0</v>
      </c>
      <c r="AD1412" s="105">
        <f>IF($W$1335&gt;0,PPMT('Assumptions (Hydro)'!$V$6,Model!AD$1,'Assumptions (Hydro)'!$V$9,'Assumptions (Hydro)'!$V$4*Model!$W$1335*AVERAGE('Assumptions (Hydro)'!$S$2:$U$2)/10^9),0)</f>
        <v>0</v>
      </c>
      <c r="AE1412" s="105">
        <f>IF($W$1335&gt;0,PPMT('Assumptions (Hydro)'!$V$6,Model!AE$1,'Assumptions (Hydro)'!$V$9,'Assumptions (Hydro)'!$V$4*Model!$W$1335*AVERAGE('Assumptions (Hydro)'!$S$2:$U$2)/10^9),0)</f>
        <v>0</v>
      </c>
      <c r="AF1412" s="105">
        <f>IF($W$1335&gt;0,PPMT('Assumptions (Hydro)'!$V$6,Model!AF$1,'Assumptions (Hydro)'!$V$9,'Assumptions (Hydro)'!$V$4*Model!$W$1335*AVERAGE('Assumptions (Hydro)'!$S$2:$U$2)/10^9),0)</f>
        <v>0</v>
      </c>
      <c r="AG1412" s="105">
        <f>IF($W$1335&gt;0,PPMT('Assumptions (Hydro)'!$V$6,Model!AG$1,'Assumptions (Hydro)'!$V$9,'Assumptions (Hydro)'!$V$4*Model!$W$1335*AVERAGE('Assumptions (Hydro)'!$S$2:$U$2)/10^9),0)</f>
        <v>0</v>
      </c>
      <c r="AH1412" s="105">
        <f>IF($W$1335&gt;0,PPMT('Assumptions (Hydro)'!$V$6,Model!AH$1,'Assumptions (Hydro)'!$V$9,'Assumptions (Hydro)'!$V$4*Model!$W$1335*AVERAGE('Assumptions (Hydro)'!$S$2:$U$2)/10^9),0)</f>
        <v>0</v>
      </c>
      <c r="AI1412" s="105">
        <f>IF($W$1335&gt;0,PPMT('Assumptions (Hydro)'!$V$6,Model!AI$1,'Assumptions (Hydro)'!$V$9,'Assumptions (Hydro)'!$V$4*Model!$W$1335*AVERAGE('Assumptions (Hydro)'!$S$2:$U$2)/10^9),0)</f>
        <v>0</v>
      </c>
      <c r="AJ1412" s="105">
        <f>IF($W$1335&gt;0,PPMT('Assumptions (Hydro)'!$V$6,Model!AJ$1,'Assumptions (Hydro)'!$V$9,'Assumptions (Hydro)'!$V$4*Model!$W$1335*AVERAGE('Assumptions (Hydro)'!$S$2:$U$2)/10^9),0)</f>
        <v>0</v>
      </c>
      <c r="AK1412" s="105">
        <f>IF($W$1335&gt;0,PPMT('Assumptions (Hydro)'!$V$6,Model!AK$1,'Assumptions (Hydro)'!$V$9,'Assumptions (Hydro)'!$V$4*Model!$W$1335*AVERAGE('Assumptions (Hydro)'!$S$2:$U$2)/10^9),0)</f>
        <v>0</v>
      </c>
      <c r="AL1412" s="105"/>
      <c r="AM1412" s="105"/>
      <c r="AN1412" s="105"/>
      <c r="AO1412" s="105"/>
      <c r="AP1412" s="105"/>
      <c r="AQ1412" s="105"/>
      <c r="AR1412" s="105"/>
      <c r="AS1412" s="105"/>
      <c r="AT1412" s="105"/>
      <c r="AU1412" s="105"/>
      <c r="AV1412" s="105"/>
      <c r="AW1412" s="105"/>
      <c r="AX1412" s="105"/>
      <c r="AY1412" s="105"/>
      <c r="AZ1412" s="105"/>
      <c r="BA1412" s="105"/>
    </row>
    <row r="1413" spans="1:59" ht="15.75" hidden="1" customHeight="1" outlineLevel="1">
      <c r="A1413" s="413"/>
      <c r="B1413" s="99"/>
      <c r="C1413" s="99"/>
      <c r="D1413" s="99"/>
      <c r="E1413" s="99"/>
      <c r="F1413" s="99"/>
      <c r="G1413" s="99"/>
      <c r="H1413" s="99"/>
      <c r="I1413" s="99"/>
      <c r="J1413" s="99"/>
      <c r="K1413" s="99"/>
      <c r="L1413" s="99"/>
      <c r="M1413" s="99"/>
      <c r="N1413" s="99"/>
      <c r="O1413" s="99"/>
      <c r="P1413" s="99"/>
      <c r="Q1413" s="99"/>
      <c r="R1413" s="99"/>
      <c r="S1413" s="99"/>
      <c r="T1413" s="99"/>
      <c r="U1413" s="99"/>
      <c r="V1413" s="99"/>
      <c r="W1413" s="105"/>
      <c r="X1413" s="105">
        <f>IF($X$1335&gt;0,PPMT('Assumptions (Hydro)'!$V$6,Model!W$1,'Assumptions (Hydro)'!$V$9,'Assumptions (Hydro)'!$V$4*Model!$X$1335*AVERAGE('Assumptions (Hydro)'!$T$2:$V$2)/10^9),0)</f>
        <v>-0.30801274655573729</v>
      </c>
      <c r="Y1413" s="105">
        <f>IF($X$1335&gt;0,PPMT('Assumptions (Hydro)'!$V$6,Model!X$1,'Assumptions (Hydro)'!$V$9,'Assumptions (Hydro)'!$V$4*Model!$X$1335*AVERAGE('Assumptions (Hydro)'!$T$2:$V$2)/10^9),0)</f>
        <v>-0.32264335201713479</v>
      </c>
      <c r="Z1413" s="105">
        <f>IF($X$1335&gt;0,PPMT('Assumptions (Hydro)'!$V$6,Model!Y$1,'Assumptions (Hydro)'!$V$9,'Assumptions (Hydro)'!$V$4*Model!$X$1335*AVERAGE('Assumptions (Hydro)'!$T$2:$V$2)/10^9),0)</f>
        <v>-0.33796891123794875</v>
      </c>
      <c r="AA1413" s="105">
        <f>IF($X$1335&gt;0,PPMT('Assumptions (Hydro)'!$V$6,Model!Z$1,'Assumptions (Hydro)'!$V$9,'Assumptions (Hydro)'!$V$4*Model!$X$1335*AVERAGE('Assumptions (Hydro)'!$T$2:$V$2)/10^9),0)</f>
        <v>-0.35402243452175125</v>
      </c>
      <c r="AB1413" s="105">
        <f>IF($X$1335&gt;0,PPMT('Assumptions (Hydro)'!$V$6,Model!AA$1,'Assumptions (Hydro)'!$V$9,'Assumptions (Hydro)'!$V$4*Model!$X$1335*AVERAGE('Assumptions (Hydro)'!$T$2:$V$2)/10^9),0)</f>
        <v>-0.37083850016153441</v>
      </c>
      <c r="AC1413" s="105">
        <f>IF($X$1335&gt;0,PPMT('Assumptions (Hydro)'!$V$6,Model!AB$1,'Assumptions (Hydro)'!$V$9,'Assumptions (Hydro)'!$V$4*Model!$X$1335*AVERAGE('Assumptions (Hydro)'!$T$2:$V$2)/10^9),0)</f>
        <v>-0.38845332891920731</v>
      </c>
      <c r="AD1413" s="105">
        <f>IF($X$1335&gt;0,PPMT('Assumptions (Hydro)'!$V$6,Model!AC$1,'Assumptions (Hydro)'!$V$9,'Assumptions (Hydro)'!$V$4*Model!$X$1335*AVERAGE('Assumptions (Hydro)'!$T$2:$V$2)/10^9),0)</f>
        <v>-0.40690486204286969</v>
      </c>
      <c r="AE1413" s="105">
        <f>IF($X$1335&gt;0,PPMT('Assumptions (Hydro)'!$V$6,Model!AD$1,'Assumptions (Hydro)'!$V$9,'Assumptions (Hydro)'!$V$4*Model!$X$1335*AVERAGE('Assumptions (Hydro)'!$T$2:$V$2)/10^9),0)</f>
        <v>-0.42623284298990605</v>
      </c>
      <c r="AF1413" s="105">
        <f>IF($X$1335&gt;0,PPMT('Assumptions (Hydro)'!$V$6,Model!AE$1,'Assumptions (Hydro)'!$V$9,'Assumptions (Hydro)'!$V$4*Model!$X$1335*AVERAGE('Assumptions (Hydro)'!$T$2:$V$2)/10^9),0)</f>
        <v>-0.4464789030319265</v>
      </c>
      <c r="AG1413" s="105">
        <f>IF($X$1335&gt;0,PPMT('Assumptions (Hydro)'!$V$6,Model!AF$1,'Assumptions (Hydro)'!$V$9,'Assumptions (Hydro)'!$V$4*Model!$X$1335*AVERAGE('Assumptions (Hydro)'!$T$2:$V$2)/10^9),0)</f>
        <v>-0.46768665092594303</v>
      </c>
      <c r="AH1413" s="105">
        <f>IF($X$1335&gt;0,PPMT('Assumptions (Hydro)'!$V$6,Model!AG$1,'Assumptions (Hydro)'!$V$9,'Assumptions (Hydro)'!$V$4*Model!$X$1335*AVERAGE('Assumptions (Hydro)'!$T$2:$V$2)/10^9),0)</f>
        <v>-0.48990176684492542</v>
      </c>
      <c r="AI1413" s="105">
        <f>IF($X$1335&gt;0,PPMT('Assumptions (Hydro)'!$V$6,Model!AH$1,'Assumptions (Hydro)'!$V$9,'Assumptions (Hydro)'!$V$4*Model!$X$1335*AVERAGE('Assumptions (Hydro)'!$T$2:$V$2)/10^9),0)</f>
        <v>-0.51317210077005937</v>
      </c>
      <c r="AJ1413" s="105">
        <f>IF($X$1335&gt;0,PPMT('Assumptions (Hydro)'!$V$6,Model!AI$1,'Assumptions (Hydro)'!$V$9,'Assumptions (Hydro)'!$V$4*Model!$X$1335*AVERAGE('Assumptions (Hydro)'!$T$2:$V$2)/10^9),0)</f>
        <v>-0.53754777555663713</v>
      </c>
      <c r="AK1413" s="105">
        <f>IF($X$1335&gt;0,PPMT('Assumptions (Hydro)'!$V$6,Model!AJ$1,'Assumptions (Hydro)'!$V$9,'Assumptions (Hydro)'!$V$4*Model!$X$1335*AVERAGE('Assumptions (Hydro)'!$T$2:$V$2)/10^9),0)</f>
        <v>-0.56308129489557734</v>
      </c>
      <c r="AL1413" s="105">
        <f>IF($X$1335&gt;0,PPMT('Assumptions (Hydro)'!$V$6,Model!AK$1,'Assumptions (Hydro)'!$V$9,'Assumptions (Hydro)'!$V$4*Model!$X$1335*AVERAGE('Assumptions (Hydro)'!$T$2:$V$2)/10^9),0)</f>
        <v>-0.5898276564031173</v>
      </c>
      <c r="AM1413" s="105"/>
      <c r="AN1413" s="105"/>
      <c r="AO1413" s="105"/>
      <c r="AP1413" s="105"/>
      <c r="AQ1413" s="105"/>
      <c r="AR1413" s="105"/>
      <c r="AS1413" s="105"/>
      <c r="AT1413" s="105"/>
      <c r="AU1413" s="105"/>
      <c r="AV1413" s="105"/>
      <c r="AW1413" s="105"/>
      <c r="AX1413" s="105"/>
      <c r="AY1413" s="105"/>
      <c r="AZ1413" s="105"/>
      <c r="BA1413" s="105"/>
    </row>
    <row r="1414" spans="1:59" ht="15.75" hidden="1" customHeight="1" outlineLevel="1">
      <c r="A1414" s="413"/>
      <c r="B1414" s="99"/>
      <c r="C1414" s="99"/>
      <c r="D1414" s="99"/>
      <c r="E1414" s="99"/>
      <c r="F1414" s="99"/>
      <c r="G1414" s="99"/>
      <c r="H1414" s="99"/>
      <c r="I1414" s="99"/>
      <c r="J1414" s="99"/>
      <c r="K1414" s="99"/>
      <c r="L1414" s="99"/>
      <c r="M1414" s="99"/>
      <c r="N1414" s="99"/>
      <c r="O1414" s="99"/>
      <c r="P1414" s="99"/>
      <c r="Q1414" s="99"/>
      <c r="R1414" s="99"/>
      <c r="S1414" s="99"/>
      <c r="T1414" s="99"/>
      <c r="U1414" s="99"/>
      <c r="V1414" s="99"/>
      <c r="W1414" s="105"/>
      <c r="X1414" s="105"/>
      <c r="Y1414" s="105">
        <f>IF($Y$1335&gt;0,PPMT('Assumptions (Hydro)'!$V$6,Model!W$1,'Assumptions (Hydro)'!$V$9,'Assumptions (Hydro)'!$V$4*Model!$Y$1335*AVERAGE('Assumptions (Hydro)'!$U$2:$W$2)/10^9),0)</f>
        <v>0</v>
      </c>
      <c r="Z1414" s="105">
        <f>IF($Y$1335&gt;0,PPMT('Assumptions (Hydro)'!$V$6,Model!X$1,'Assumptions (Hydro)'!$V$9,'Assumptions (Hydro)'!$V$4*Model!$Y$1335*AVERAGE('Assumptions (Hydro)'!$U$2:$W$2)/10^9),0)</f>
        <v>0</v>
      </c>
      <c r="AA1414" s="105">
        <f>IF($Y$1335&gt;0,PPMT('Assumptions (Hydro)'!$V$6,Model!Y$1,'Assumptions (Hydro)'!$V$9,'Assumptions (Hydro)'!$V$4*Model!$Y$1335*AVERAGE('Assumptions (Hydro)'!$U$2:$W$2)/10^9),0)</f>
        <v>0</v>
      </c>
      <c r="AB1414" s="105">
        <f>IF($Y$1335&gt;0,PPMT('Assumptions (Hydro)'!$V$6,Model!Z$1,'Assumptions (Hydro)'!$V$9,'Assumptions (Hydro)'!$V$4*Model!$Y$1335*AVERAGE('Assumptions (Hydro)'!$U$2:$W$2)/10^9),0)</f>
        <v>0</v>
      </c>
      <c r="AC1414" s="105">
        <f>IF($Y$1335&gt;0,PPMT('Assumptions (Hydro)'!$V$6,Model!AA$1,'Assumptions (Hydro)'!$V$9,'Assumptions (Hydro)'!$V$4*Model!$Y$1335*AVERAGE('Assumptions (Hydro)'!$U$2:$W$2)/10^9),0)</f>
        <v>0</v>
      </c>
      <c r="AD1414" s="105">
        <f>IF($Y$1335&gt;0,PPMT('Assumptions (Hydro)'!$V$6,Model!AB$1,'Assumptions (Hydro)'!$V$9,'Assumptions (Hydro)'!$V$4*Model!$Y$1335*AVERAGE('Assumptions (Hydro)'!$U$2:$W$2)/10^9),0)</f>
        <v>0</v>
      </c>
      <c r="AE1414" s="105">
        <f>IF($Y$1335&gt;0,PPMT('Assumptions (Hydro)'!$V$6,Model!AC$1,'Assumptions (Hydro)'!$V$9,'Assumptions (Hydro)'!$V$4*Model!$Y$1335*AVERAGE('Assumptions (Hydro)'!$U$2:$W$2)/10^9),0)</f>
        <v>0</v>
      </c>
      <c r="AF1414" s="105">
        <f>IF($Y$1335&gt;0,PPMT('Assumptions (Hydro)'!$V$6,Model!AD$1,'Assumptions (Hydro)'!$V$9,'Assumptions (Hydro)'!$V$4*Model!$Y$1335*AVERAGE('Assumptions (Hydro)'!$U$2:$W$2)/10^9),0)</f>
        <v>0</v>
      </c>
      <c r="AG1414" s="105">
        <f>IF($Y$1335&gt;0,PPMT('Assumptions (Hydro)'!$V$6,Model!AE$1,'Assumptions (Hydro)'!$V$9,'Assumptions (Hydro)'!$V$4*Model!$Y$1335*AVERAGE('Assumptions (Hydro)'!$U$2:$W$2)/10^9),0)</f>
        <v>0</v>
      </c>
      <c r="AH1414" s="105">
        <f>IF($Y$1335&gt;0,PPMT('Assumptions (Hydro)'!$V$6,Model!AF$1,'Assumptions (Hydro)'!$V$9,'Assumptions (Hydro)'!$V$4*Model!$Y$1335*AVERAGE('Assumptions (Hydro)'!$U$2:$W$2)/10^9),0)</f>
        <v>0</v>
      </c>
      <c r="AI1414" s="105">
        <f>IF($Y$1335&gt;0,PPMT('Assumptions (Hydro)'!$V$6,Model!AG$1,'Assumptions (Hydro)'!$V$9,'Assumptions (Hydro)'!$V$4*Model!$Y$1335*AVERAGE('Assumptions (Hydro)'!$U$2:$W$2)/10^9),0)</f>
        <v>0</v>
      </c>
      <c r="AJ1414" s="105">
        <f>IF($Y$1335&gt;0,PPMT('Assumptions (Hydro)'!$V$6,Model!AH$1,'Assumptions (Hydro)'!$V$9,'Assumptions (Hydro)'!$V$4*Model!$Y$1335*AVERAGE('Assumptions (Hydro)'!$U$2:$W$2)/10^9),0)</f>
        <v>0</v>
      </c>
      <c r="AK1414" s="105">
        <f>IF($Y$1335&gt;0,PPMT('Assumptions (Hydro)'!$V$6,Model!AI$1,'Assumptions (Hydro)'!$V$9,'Assumptions (Hydro)'!$V$4*Model!$Y$1335*AVERAGE('Assumptions (Hydro)'!$U$2:$W$2)/10^9),0)</f>
        <v>0</v>
      </c>
      <c r="AL1414" s="105">
        <f>IF($Y$1335&gt;0,PPMT('Assumptions (Hydro)'!$V$6,Model!AJ$1,'Assumptions (Hydro)'!$V$9,'Assumptions (Hydro)'!$V$4*Model!$Y$1335*AVERAGE('Assumptions (Hydro)'!$U$2:$W$2)/10^9),0)</f>
        <v>0</v>
      </c>
      <c r="AM1414" s="105">
        <f>IF($Y$1335&gt;0,PPMT('Assumptions (Hydro)'!$V$6,Model!AK$1,'Assumptions (Hydro)'!$V$9,'Assumptions (Hydro)'!$V$4*Model!$Y$1335*AVERAGE('Assumptions (Hydro)'!$U$2:$W$2)/10^9),0)</f>
        <v>0</v>
      </c>
      <c r="AN1414" s="105"/>
      <c r="AO1414" s="105"/>
      <c r="AP1414" s="105"/>
      <c r="AQ1414" s="105"/>
      <c r="AR1414" s="105"/>
      <c r="AS1414" s="105"/>
      <c r="AT1414" s="105"/>
      <c r="AU1414" s="105"/>
      <c r="AV1414" s="105"/>
      <c r="AW1414" s="105"/>
      <c r="AX1414" s="105"/>
      <c r="AY1414" s="105"/>
      <c r="AZ1414" s="105"/>
      <c r="BA1414" s="105"/>
    </row>
    <row r="1415" spans="1:59" ht="15.75" hidden="1" customHeight="1" outlineLevel="1">
      <c r="A1415" s="413"/>
      <c r="B1415" s="99"/>
      <c r="C1415" s="99"/>
      <c r="D1415" s="99"/>
      <c r="E1415" s="99"/>
      <c r="F1415" s="99"/>
      <c r="G1415" s="99"/>
      <c r="H1415" s="99"/>
      <c r="I1415" s="99"/>
      <c r="J1415" s="99"/>
      <c r="K1415" s="99"/>
      <c r="L1415" s="99"/>
      <c r="M1415" s="99"/>
      <c r="N1415" s="99"/>
      <c r="O1415" s="99"/>
      <c r="P1415" s="99"/>
      <c r="Q1415" s="99"/>
      <c r="R1415" s="99"/>
      <c r="S1415" s="99"/>
      <c r="T1415" s="99"/>
      <c r="U1415" s="99"/>
      <c r="V1415" s="99"/>
      <c r="W1415" s="105"/>
      <c r="X1415" s="105"/>
      <c r="Y1415" s="105"/>
      <c r="Z1415" s="105">
        <f>IF($Z$1335&gt;0,PPMT('Assumptions (Hydro)'!$V$6,Model!W$1,'Assumptions (Hydro)'!$V$9,'Assumptions (Hydro)'!$V$4*Model!$Z$1335*AVERAGE('Assumptions (Hydro)'!$V$2:$X$2)/10^9),0)</f>
        <v>0</v>
      </c>
      <c r="AA1415" s="105">
        <f>IF($Z$1335&gt;0,PPMT('Assumptions (Hydro)'!$V$6,Model!X$1,'Assumptions (Hydro)'!$V$9,'Assumptions (Hydro)'!$V$4*Model!$Z$1335*AVERAGE('Assumptions (Hydro)'!$V$2:$X$2)/10^9),0)</f>
        <v>0</v>
      </c>
      <c r="AB1415" s="105">
        <f>IF($Z$1335&gt;0,PPMT('Assumptions (Hydro)'!$V$6,Model!Y$1,'Assumptions (Hydro)'!$V$9,'Assumptions (Hydro)'!$V$4*Model!$Z$1335*AVERAGE('Assumptions (Hydro)'!$V$2:$X$2)/10^9),0)</f>
        <v>0</v>
      </c>
      <c r="AC1415" s="105">
        <f>IF($Z$1335&gt;0,PPMT('Assumptions (Hydro)'!$V$6,Model!Z$1,'Assumptions (Hydro)'!$V$9,'Assumptions (Hydro)'!$V$4*Model!$Z$1335*AVERAGE('Assumptions (Hydro)'!$V$2:$X$2)/10^9),0)</f>
        <v>0</v>
      </c>
      <c r="AD1415" s="105">
        <f>IF($Z$1335&gt;0,PPMT('Assumptions (Hydro)'!$V$6,Model!AA$1,'Assumptions (Hydro)'!$V$9,'Assumptions (Hydro)'!$V$4*Model!$Z$1335*AVERAGE('Assumptions (Hydro)'!$V$2:$X$2)/10^9),0)</f>
        <v>0</v>
      </c>
      <c r="AE1415" s="105">
        <f>IF($Z$1335&gt;0,PPMT('Assumptions (Hydro)'!$V$6,Model!AB$1,'Assumptions (Hydro)'!$V$9,'Assumptions (Hydro)'!$V$4*Model!$Z$1335*AVERAGE('Assumptions (Hydro)'!$V$2:$X$2)/10^9),0)</f>
        <v>0</v>
      </c>
      <c r="AF1415" s="105">
        <f>IF($Z$1335&gt;0,PPMT('Assumptions (Hydro)'!$V$6,Model!AC$1,'Assumptions (Hydro)'!$V$9,'Assumptions (Hydro)'!$V$4*Model!$Z$1335*AVERAGE('Assumptions (Hydro)'!$V$2:$X$2)/10^9),0)</f>
        <v>0</v>
      </c>
      <c r="AG1415" s="105">
        <f>IF($Z$1335&gt;0,PPMT('Assumptions (Hydro)'!$V$6,Model!AD$1,'Assumptions (Hydro)'!$V$9,'Assumptions (Hydro)'!$V$4*Model!$Z$1335*AVERAGE('Assumptions (Hydro)'!$V$2:$X$2)/10^9),0)</f>
        <v>0</v>
      </c>
      <c r="AH1415" s="105">
        <f>IF($Z$1335&gt;0,PPMT('Assumptions (Hydro)'!$V$6,Model!AE$1,'Assumptions (Hydro)'!$V$9,'Assumptions (Hydro)'!$V$4*Model!$Z$1335*AVERAGE('Assumptions (Hydro)'!$V$2:$X$2)/10^9),0)</f>
        <v>0</v>
      </c>
      <c r="AI1415" s="105">
        <f>IF($Z$1335&gt;0,PPMT('Assumptions (Hydro)'!$V$6,Model!AF$1,'Assumptions (Hydro)'!$V$9,'Assumptions (Hydro)'!$V$4*Model!$Z$1335*AVERAGE('Assumptions (Hydro)'!$V$2:$X$2)/10^9),0)</f>
        <v>0</v>
      </c>
      <c r="AJ1415" s="105">
        <f>IF($Z$1335&gt;0,PPMT('Assumptions (Hydro)'!$V$6,Model!AG$1,'Assumptions (Hydro)'!$V$9,'Assumptions (Hydro)'!$V$4*Model!$Z$1335*AVERAGE('Assumptions (Hydro)'!$V$2:$X$2)/10^9),0)</f>
        <v>0</v>
      </c>
      <c r="AK1415" s="105">
        <f>IF($Z$1335&gt;0,PPMT('Assumptions (Hydro)'!$V$6,Model!AH$1,'Assumptions (Hydro)'!$V$9,'Assumptions (Hydro)'!$V$4*Model!$Z$1335*AVERAGE('Assumptions (Hydro)'!$V$2:$X$2)/10^9),0)</f>
        <v>0</v>
      </c>
      <c r="AL1415" s="105">
        <f>IF($Z$1335&gt;0,PPMT('Assumptions (Hydro)'!$V$6,Model!AI$1,'Assumptions (Hydro)'!$V$9,'Assumptions (Hydro)'!$V$4*Model!$Z$1335*AVERAGE('Assumptions (Hydro)'!$V$2:$X$2)/10^9),0)</f>
        <v>0</v>
      </c>
      <c r="AM1415" s="105">
        <f>IF($Z$1335&gt;0,PPMT('Assumptions (Hydro)'!$V$6,Model!AJ$1,'Assumptions (Hydro)'!$V$9,'Assumptions (Hydro)'!$V$4*Model!$Z$1335*AVERAGE('Assumptions (Hydro)'!$V$2:$X$2)/10^9),0)</f>
        <v>0</v>
      </c>
      <c r="AN1415" s="105">
        <f>IF($Z$1335&gt;0,PPMT('Assumptions (Hydro)'!$V$6,Model!AK$1,'Assumptions (Hydro)'!$V$9,'Assumptions (Hydro)'!$V$4*Model!$Z$1335*AVERAGE('Assumptions (Hydro)'!$V$2:$X$2)/10^9),0)</f>
        <v>0</v>
      </c>
      <c r="AO1415" s="105"/>
      <c r="AP1415" s="105"/>
      <c r="AQ1415" s="105"/>
      <c r="AR1415" s="105"/>
      <c r="AS1415" s="105"/>
      <c r="AT1415" s="105"/>
      <c r="AU1415" s="105"/>
      <c r="AV1415" s="105"/>
      <c r="AW1415" s="105"/>
      <c r="AX1415" s="105"/>
      <c r="AY1415" s="105"/>
      <c r="AZ1415" s="105"/>
      <c r="BA1415" s="105"/>
    </row>
    <row r="1416" spans="1:59" ht="15.75" hidden="1" customHeight="1" outlineLevel="1">
      <c r="A1416" s="413"/>
      <c r="B1416" s="99"/>
      <c r="C1416" s="99"/>
      <c r="D1416" s="99"/>
      <c r="E1416" s="99"/>
      <c r="F1416" s="99"/>
      <c r="G1416" s="99"/>
      <c r="H1416" s="99"/>
      <c r="I1416" s="99"/>
      <c r="J1416" s="99"/>
      <c r="K1416" s="99"/>
      <c r="L1416" s="99"/>
      <c r="M1416" s="99"/>
      <c r="N1416" s="99"/>
      <c r="O1416" s="99"/>
      <c r="P1416" s="99"/>
      <c r="Q1416" s="99"/>
      <c r="R1416" s="99"/>
      <c r="S1416" s="99"/>
      <c r="T1416" s="99"/>
      <c r="U1416" s="99"/>
      <c r="V1416" s="99"/>
      <c r="W1416" s="105"/>
      <c r="X1416" s="105"/>
      <c r="Y1416" s="105"/>
      <c r="Z1416" s="105"/>
      <c r="AA1416" s="105">
        <f>IF($AA$1335&gt;0,PPMT('Assumptions (Hydro)'!$V$6,Model!W$1,'Assumptions (Hydro)'!$V$9,'Assumptions (Hydro)'!$V$4*Model!$AA$1335*AVERAGE('Assumptions (Hydro)'!$W$2:$Y$2)/10^9),0)</f>
        <v>0</v>
      </c>
      <c r="AB1416" s="105">
        <f>IF($AA$1335&gt;0,PPMT('Assumptions (Hydro)'!$V$6,Model!X$1,'Assumptions (Hydro)'!$V$9,'Assumptions (Hydro)'!$V$4*Model!$AA$1335*AVERAGE('Assumptions (Hydro)'!$W$2:$Y$2)/10^9),0)</f>
        <v>0</v>
      </c>
      <c r="AC1416" s="105">
        <f>IF($AA$1335&gt;0,PPMT('Assumptions (Hydro)'!$V$6,Model!Y$1,'Assumptions (Hydro)'!$V$9,'Assumptions (Hydro)'!$V$4*Model!$AA$1335*AVERAGE('Assumptions (Hydro)'!$W$2:$Y$2)/10^9),0)</f>
        <v>0</v>
      </c>
      <c r="AD1416" s="105">
        <f>IF($AA$1335&gt;0,PPMT('Assumptions (Hydro)'!$V$6,Model!Z$1,'Assumptions (Hydro)'!$V$9,'Assumptions (Hydro)'!$V$4*Model!$AA$1335*AVERAGE('Assumptions (Hydro)'!$W$2:$Y$2)/10^9),0)</f>
        <v>0</v>
      </c>
      <c r="AE1416" s="105">
        <f>IF($AA$1335&gt;0,PPMT('Assumptions (Hydro)'!$V$6,Model!AA$1,'Assumptions (Hydro)'!$V$9,'Assumptions (Hydro)'!$V$4*Model!$AA$1335*AVERAGE('Assumptions (Hydro)'!$W$2:$Y$2)/10^9),0)</f>
        <v>0</v>
      </c>
      <c r="AF1416" s="105">
        <f>IF($AA$1335&gt;0,PPMT('Assumptions (Hydro)'!$V$6,Model!AB$1,'Assumptions (Hydro)'!$V$9,'Assumptions (Hydro)'!$V$4*Model!$AA$1335*AVERAGE('Assumptions (Hydro)'!$W$2:$Y$2)/10^9),0)</f>
        <v>0</v>
      </c>
      <c r="AG1416" s="105">
        <f>IF($AA$1335&gt;0,PPMT('Assumptions (Hydro)'!$V$6,Model!AC$1,'Assumptions (Hydro)'!$V$9,'Assumptions (Hydro)'!$V$4*Model!$AA$1335*AVERAGE('Assumptions (Hydro)'!$W$2:$Y$2)/10^9),0)</f>
        <v>0</v>
      </c>
      <c r="AH1416" s="105">
        <f>IF($AA$1335&gt;0,PPMT('Assumptions (Hydro)'!$V$6,Model!AD$1,'Assumptions (Hydro)'!$V$9,'Assumptions (Hydro)'!$V$4*Model!$AA$1335*AVERAGE('Assumptions (Hydro)'!$W$2:$Y$2)/10^9),0)</f>
        <v>0</v>
      </c>
      <c r="AI1416" s="105">
        <f>IF($AA$1335&gt;0,PPMT('Assumptions (Hydro)'!$V$6,Model!AE$1,'Assumptions (Hydro)'!$V$9,'Assumptions (Hydro)'!$V$4*Model!$AA$1335*AVERAGE('Assumptions (Hydro)'!$W$2:$Y$2)/10^9),0)</f>
        <v>0</v>
      </c>
      <c r="AJ1416" s="105">
        <f>IF($AA$1335&gt;0,PPMT('Assumptions (Hydro)'!$V$6,Model!AF$1,'Assumptions (Hydro)'!$V$9,'Assumptions (Hydro)'!$V$4*Model!$AA$1335*AVERAGE('Assumptions (Hydro)'!$W$2:$Y$2)/10^9),0)</f>
        <v>0</v>
      </c>
      <c r="AK1416" s="105">
        <f>IF($AA$1335&gt;0,PPMT('Assumptions (Hydro)'!$V$6,Model!AG$1,'Assumptions (Hydro)'!$V$9,'Assumptions (Hydro)'!$V$4*Model!$AA$1335*AVERAGE('Assumptions (Hydro)'!$W$2:$Y$2)/10^9),0)</f>
        <v>0</v>
      </c>
      <c r="AL1416" s="105">
        <f>IF($AA$1335&gt;0,PPMT('Assumptions (Hydro)'!$V$6,Model!AH$1,'Assumptions (Hydro)'!$V$9,'Assumptions (Hydro)'!$V$4*Model!$AA$1335*AVERAGE('Assumptions (Hydro)'!$W$2:$Y$2)/10^9),0)</f>
        <v>0</v>
      </c>
      <c r="AM1416" s="105">
        <f>IF($AA$1335&gt;0,PPMT('Assumptions (Hydro)'!$V$6,Model!AI$1,'Assumptions (Hydro)'!$V$9,'Assumptions (Hydro)'!$V$4*Model!$AA$1335*AVERAGE('Assumptions (Hydro)'!$W$2:$Y$2)/10^9),0)</f>
        <v>0</v>
      </c>
      <c r="AN1416" s="105">
        <f>IF($AA$1335&gt;0,PPMT('Assumptions (Hydro)'!$V$6,Model!AJ$1,'Assumptions (Hydro)'!$V$9,'Assumptions (Hydro)'!$V$4*Model!$AA$1335*AVERAGE('Assumptions (Hydro)'!$W$2:$Y$2)/10^9),0)</f>
        <v>0</v>
      </c>
      <c r="AO1416" s="105">
        <f>IF($AA$1335&gt;0,PPMT('Assumptions (Hydro)'!$V$6,Model!AK$1,'Assumptions (Hydro)'!$V$9,'Assumptions (Hydro)'!$V$4*Model!$AA$1335*AVERAGE('Assumptions (Hydro)'!$W$2:$Y$2)/10^9),0)</f>
        <v>0</v>
      </c>
      <c r="AP1416" s="105"/>
      <c r="AQ1416" s="105"/>
      <c r="AR1416" s="105"/>
      <c r="AS1416" s="105"/>
      <c r="AT1416" s="105"/>
      <c r="AU1416" s="105"/>
      <c r="AV1416" s="105"/>
      <c r="AW1416" s="105"/>
      <c r="AX1416" s="105"/>
      <c r="AY1416" s="105"/>
      <c r="AZ1416" s="105"/>
      <c r="BA1416" s="105"/>
    </row>
    <row r="1417" spans="1:59" ht="15.75" hidden="1" customHeight="1" outlineLevel="1">
      <c r="A1417" s="413"/>
      <c r="B1417" s="99"/>
      <c r="C1417" s="99"/>
      <c r="D1417" s="99"/>
      <c r="E1417" s="99"/>
      <c r="F1417" s="99"/>
      <c r="G1417" s="99"/>
      <c r="H1417" s="99"/>
      <c r="I1417" s="99"/>
      <c r="J1417" s="99"/>
      <c r="K1417" s="99"/>
      <c r="L1417" s="99"/>
      <c r="M1417" s="99"/>
      <c r="N1417" s="99"/>
      <c r="O1417" s="99"/>
      <c r="P1417" s="99"/>
      <c r="Q1417" s="99"/>
      <c r="R1417" s="99"/>
      <c r="S1417" s="99"/>
      <c r="T1417" s="99"/>
      <c r="U1417" s="99"/>
      <c r="V1417" s="99"/>
      <c r="W1417" s="105"/>
      <c r="X1417" s="105"/>
      <c r="Y1417" s="105"/>
      <c r="Z1417" s="105"/>
      <c r="AA1417" s="105"/>
      <c r="AB1417" s="105">
        <f>IF($AB$1335&gt;0,PPMT('Assumptions (Hydro)'!$V$6,Model!W$1,'Assumptions (Hydro)'!$V$9,'Assumptions (Hydro)'!$V$4*Model!$AB$1335*AVERAGE('Assumptions (Hydro)'!$X$2:$Z$2)/10^9),0)</f>
        <v>0</v>
      </c>
      <c r="AC1417" s="105">
        <f>IF($AB$1335&gt;0,PPMT('Assumptions (Hydro)'!$V$6,Model!X$1,'Assumptions (Hydro)'!$V$9,'Assumptions (Hydro)'!$V$4*Model!$AB$1335*AVERAGE('Assumptions (Hydro)'!$X$2:$Z$2)/10^9),0)</f>
        <v>0</v>
      </c>
      <c r="AD1417" s="105">
        <f>IF($AB$1335&gt;0,PPMT('Assumptions (Hydro)'!$V$6,Model!Y$1,'Assumptions (Hydro)'!$V$9,'Assumptions (Hydro)'!$V$4*Model!$AB$1335*AVERAGE('Assumptions (Hydro)'!$X$2:$Z$2)/10^9),0)</f>
        <v>0</v>
      </c>
      <c r="AE1417" s="105">
        <f>IF($AB$1335&gt;0,PPMT('Assumptions (Hydro)'!$V$6,Model!Z$1,'Assumptions (Hydro)'!$V$9,'Assumptions (Hydro)'!$V$4*Model!$AB$1335*AVERAGE('Assumptions (Hydro)'!$X$2:$Z$2)/10^9),0)</f>
        <v>0</v>
      </c>
      <c r="AF1417" s="105">
        <f>IF($AB$1335&gt;0,PPMT('Assumptions (Hydro)'!$V$6,Model!AA$1,'Assumptions (Hydro)'!$V$9,'Assumptions (Hydro)'!$V$4*Model!$AB$1335*AVERAGE('Assumptions (Hydro)'!$X$2:$Z$2)/10^9),0)</f>
        <v>0</v>
      </c>
      <c r="AG1417" s="105">
        <f>IF($AB$1335&gt;0,PPMT('Assumptions (Hydro)'!$V$6,Model!AB$1,'Assumptions (Hydro)'!$V$9,'Assumptions (Hydro)'!$V$4*Model!$AB$1335*AVERAGE('Assumptions (Hydro)'!$X$2:$Z$2)/10^9),0)</f>
        <v>0</v>
      </c>
      <c r="AH1417" s="105">
        <f>IF($AB$1335&gt;0,PPMT('Assumptions (Hydro)'!$V$6,Model!AC$1,'Assumptions (Hydro)'!$V$9,'Assumptions (Hydro)'!$V$4*Model!$AB$1335*AVERAGE('Assumptions (Hydro)'!$X$2:$Z$2)/10^9),0)</f>
        <v>0</v>
      </c>
      <c r="AI1417" s="105">
        <f>IF($AB$1335&gt;0,PPMT('Assumptions (Hydro)'!$V$6,Model!AD$1,'Assumptions (Hydro)'!$V$9,'Assumptions (Hydro)'!$V$4*Model!$AB$1335*AVERAGE('Assumptions (Hydro)'!$X$2:$Z$2)/10^9),0)</f>
        <v>0</v>
      </c>
      <c r="AJ1417" s="105">
        <f>IF($AB$1335&gt;0,PPMT('Assumptions (Hydro)'!$V$6,Model!AE$1,'Assumptions (Hydro)'!$V$9,'Assumptions (Hydro)'!$V$4*Model!$AB$1335*AVERAGE('Assumptions (Hydro)'!$X$2:$Z$2)/10^9),0)</f>
        <v>0</v>
      </c>
      <c r="AK1417" s="105">
        <f>IF($AB$1335&gt;0,PPMT('Assumptions (Hydro)'!$V$6,Model!AF$1,'Assumptions (Hydro)'!$V$9,'Assumptions (Hydro)'!$V$4*Model!$AB$1335*AVERAGE('Assumptions (Hydro)'!$X$2:$Z$2)/10^9),0)</f>
        <v>0</v>
      </c>
      <c r="AL1417" s="105">
        <f>IF($AB$1335&gt;0,PPMT('Assumptions (Hydro)'!$V$6,Model!AG$1,'Assumptions (Hydro)'!$V$9,'Assumptions (Hydro)'!$V$4*Model!$AB$1335*AVERAGE('Assumptions (Hydro)'!$X$2:$Z$2)/10^9),0)</f>
        <v>0</v>
      </c>
      <c r="AM1417" s="105">
        <f>IF($AB$1335&gt;0,PPMT('Assumptions (Hydro)'!$V$6,Model!AH$1,'Assumptions (Hydro)'!$V$9,'Assumptions (Hydro)'!$V$4*Model!$AB$1335*AVERAGE('Assumptions (Hydro)'!$X$2:$Z$2)/10^9),0)</f>
        <v>0</v>
      </c>
      <c r="AN1417" s="105">
        <f>IF($AB$1335&gt;0,PPMT('Assumptions (Hydro)'!$V$6,Model!AI$1,'Assumptions (Hydro)'!$V$9,'Assumptions (Hydro)'!$V$4*Model!$AB$1335*AVERAGE('Assumptions (Hydro)'!$X$2:$Z$2)/10^9),0)</f>
        <v>0</v>
      </c>
      <c r="AO1417" s="105">
        <f>IF($AB$1335&gt;0,PPMT('Assumptions (Hydro)'!$V$6,Model!AJ$1,'Assumptions (Hydro)'!$V$9,'Assumptions (Hydro)'!$V$4*Model!$AB$1335*AVERAGE('Assumptions (Hydro)'!$X$2:$Z$2)/10^9),0)</f>
        <v>0</v>
      </c>
      <c r="AP1417" s="105">
        <f>IF($AB$1335&gt;0,PPMT('Assumptions (Hydro)'!$V$6,Model!AK$1,'Assumptions (Hydro)'!$V$9,'Assumptions (Hydro)'!$V$4*Model!$AB$1335*AVERAGE('Assumptions (Hydro)'!$X$2:$Z$2)/10^9),0)</f>
        <v>0</v>
      </c>
      <c r="AQ1417" s="105"/>
      <c r="AR1417" s="105"/>
      <c r="AS1417" s="105"/>
      <c r="AT1417" s="105"/>
      <c r="AU1417" s="105"/>
      <c r="AV1417" s="105"/>
      <c r="AW1417" s="105"/>
      <c r="AX1417" s="105"/>
      <c r="AY1417" s="105"/>
      <c r="AZ1417" s="105"/>
      <c r="BA1417" s="105"/>
    </row>
    <row r="1418" spans="1:59" ht="15.75" hidden="1" customHeight="1" outlineLevel="1">
      <c r="A1418" s="413"/>
      <c r="B1418" s="99"/>
      <c r="C1418" s="99"/>
      <c r="D1418" s="99"/>
      <c r="E1418" s="99"/>
      <c r="F1418" s="99"/>
      <c r="G1418" s="99"/>
      <c r="H1418" s="99"/>
      <c r="I1418" s="99"/>
      <c r="J1418" s="99"/>
      <c r="K1418" s="99"/>
      <c r="L1418" s="99"/>
      <c r="M1418" s="99"/>
      <c r="N1418" s="99"/>
      <c r="O1418" s="99"/>
      <c r="P1418" s="99"/>
      <c r="Q1418" s="99"/>
      <c r="R1418" s="99"/>
      <c r="S1418" s="99"/>
      <c r="T1418" s="99"/>
      <c r="U1418" s="99"/>
      <c r="V1418" s="99"/>
      <c r="W1418" s="105"/>
      <c r="X1418" s="105"/>
      <c r="Y1418" s="105"/>
      <c r="Z1418" s="105"/>
      <c r="AA1418" s="105"/>
      <c r="AB1418" s="105"/>
      <c r="AC1418" s="105">
        <f>IF($AC$1335&gt;0,PPMT('Assumptions (Hydro)'!$V$6,Model!W$1,'Assumptions (Hydro)'!$V$9,'Assumptions (Hydro)'!$V$4*Model!$AC$1335*AVERAGE('Assumptions (Hydro)'!$Y$2:$AA$2)/10^9),0)</f>
        <v>0</v>
      </c>
      <c r="AD1418" s="105">
        <f>IF($AC$1335&gt;0,PPMT('Assumptions (Hydro)'!$V$6,Model!X$1,'Assumptions (Hydro)'!$V$9,'Assumptions (Hydro)'!$V$4*Model!$AC$1335*AVERAGE('Assumptions (Hydro)'!$Y$2:$AA$2)/10^9),0)</f>
        <v>0</v>
      </c>
      <c r="AE1418" s="105">
        <f>IF($AC$1335&gt;0,PPMT('Assumptions (Hydro)'!$V$6,Model!Y$1,'Assumptions (Hydro)'!$V$9,'Assumptions (Hydro)'!$V$4*Model!$AC$1335*AVERAGE('Assumptions (Hydro)'!$Y$2:$AA$2)/10^9),0)</f>
        <v>0</v>
      </c>
      <c r="AF1418" s="105">
        <f>IF($AC$1335&gt;0,PPMT('Assumptions (Hydro)'!$V$6,Model!Z$1,'Assumptions (Hydro)'!$V$9,'Assumptions (Hydro)'!$V$4*Model!$AC$1335*AVERAGE('Assumptions (Hydro)'!$Y$2:$AA$2)/10^9),0)</f>
        <v>0</v>
      </c>
      <c r="AG1418" s="105">
        <f>IF($AC$1335&gt;0,PPMT('Assumptions (Hydro)'!$V$6,Model!AA$1,'Assumptions (Hydro)'!$V$9,'Assumptions (Hydro)'!$V$4*Model!$AC$1335*AVERAGE('Assumptions (Hydro)'!$Y$2:$AA$2)/10^9),0)</f>
        <v>0</v>
      </c>
      <c r="AH1418" s="105">
        <f>IF($AC$1335&gt;0,PPMT('Assumptions (Hydro)'!$V$6,Model!AB$1,'Assumptions (Hydro)'!$V$9,'Assumptions (Hydro)'!$V$4*Model!$AC$1335*AVERAGE('Assumptions (Hydro)'!$Y$2:$AA$2)/10^9),0)</f>
        <v>0</v>
      </c>
      <c r="AI1418" s="105">
        <f>IF($AC$1335&gt;0,PPMT('Assumptions (Hydro)'!$V$6,Model!AC$1,'Assumptions (Hydro)'!$V$9,'Assumptions (Hydro)'!$V$4*Model!$AC$1335*AVERAGE('Assumptions (Hydro)'!$Y$2:$AA$2)/10^9),0)</f>
        <v>0</v>
      </c>
      <c r="AJ1418" s="105">
        <f>IF($AC$1335&gt;0,PPMT('Assumptions (Hydro)'!$V$6,Model!AD$1,'Assumptions (Hydro)'!$V$9,'Assumptions (Hydro)'!$V$4*Model!$AC$1335*AVERAGE('Assumptions (Hydro)'!$Y$2:$AA$2)/10^9),0)</f>
        <v>0</v>
      </c>
      <c r="AK1418" s="105">
        <f>IF($AC$1335&gt;0,PPMT('Assumptions (Hydro)'!$V$6,Model!AE$1,'Assumptions (Hydro)'!$V$9,'Assumptions (Hydro)'!$V$4*Model!$AC$1335*AVERAGE('Assumptions (Hydro)'!$Y$2:$AA$2)/10^9),0)</f>
        <v>0</v>
      </c>
      <c r="AL1418" s="105">
        <f>IF($AC$1335&gt;0,PPMT('Assumptions (Hydro)'!$V$6,Model!AF$1,'Assumptions (Hydro)'!$V$9,'Assumptions (Hydro)'!$V$4*Model!$AC$1335*AVERAGE('Assumptions (Hydro)'!$Y$2:$AA$2)/10^9),0)</f>
        <v>0</v>
      </c>
      <c r="AM1418" s="105">
        <f>IF($AC$1335&gt;0,PPMT('Assumptions (Hydro)'!$V$6,Model!AG$1,'Assumptions (Hydro)'!$V$9,'Assumptions (Hydro)'!$V$4*Model!$AC$1335*AVERAGE('Assumptions (Hydro)'!$Y$2:$AA$2)/10^9),0)</f>
        <v>0</v>
      </c>
      <c r="AN1418" s="105">
        <f>IF($AC$1335&gt;0,PPMT('Assumptions (Hydro)'!$V$6,Model!AH$1,'Assumptions (Hydro)'!$V$9,'Assumptions (Hydro)'!$V$4*Model!$AC$1335*AVERAGE('Assumptions (Hydro)'!$Y$2:$AA$2)/10^9),0)</f>
        <v>0</v>
      </c>
      <c r="AO1418" s="105">
        <f>IF($AC$1335&gt;0,PPMT('Assumptions (Hydro)'!$V$6,Model!AI$1,'Assumptions (Hydro)'!$V$9,'Assumptions (Hydro)'!$V$4*Model!$AC$1335*AVERAGE('Assumptions (Hydro)'!$Y$2:$AA$2)/10^9),0)</f>
        <v>0</v>
      </c>
      <c r="AP1418" s="105">
        <f>IF($AC$1335&gt;0,PPMT('Assumptions (Hydro)'!$V$6,Model!AJ$1,'Assumptions (Hydro)'!$V$9,'Assumptions (Hydro)'!$V$4*Model!$AC$1335*AVERAGE('Assumptions (Hydro)'!$Y$2:$AA$2)/10^9),0)</f>
        <v>0</v>
      </c>
      <c r="AQ1418" s="105">
        <f>IF($AC$1335&gt;0,PPMT('Assumptions (Hydro)'!$V$6,Model!AK$1,'Assumptions (Hydro)'!$V$9,'Assumptions (Hydro)'!$V$4*Model!$AC$1335*AVERAGE('Assumptions (Hydro)'!$Y$2:$AA$2)/10^9),0)</f>
        <v>0</v>
      </c>
      <c r="AR1418" s="105"/>
      <c r="AS1418" s="105"/>
      <c r="AT1418" s="105"/>
      <c r="AU1418" s="105"/>
      <c r="AV1418" s="105"/>
      <c r="AW1418" s="105"/>
      <c r="AX1418" s="105"/>
      <c r="AY1418" s="105"/>
      <c r="AZ1418" s="105"/>
      <c r="BA1418" s="105"/>
    </row>
    <row r="1419" spans="1:59" ht="15.75" hidden="1" customHeight="1" outlineLevel="1">
      <c r="A1419" s="413"/>
      <c r="B1419" s="99"/>
      <c r="C1419" s="99"/>
      <c r="D1419" s="99"/>
      <c r="E1419" s="99"/>
      <c r="F1419" s="99"/>
      <c r="G1419" s="99"/>
      <c r="H1419" s="99"/>
      <c r="I1419" s="99"/>
      <c r="J1419" s="99"/>
      <c r="K1419" s="99"/>
      <c r="L1419" s="99"/>
      <c r="M1419" s="99"/>
      <c r="N1419" s="99"/>
      <c r="O1419" s="99"/>
      <c r="P1419" s="99"/>
      <c r="Q1419" s="99"/>
      <c r="R1419" s="99"/>
      <c r="S1419" s="99"/>
      <c r="T1419" s="99"/>
      <c r="U1419" s="99"/>
      <c r="V1419" s="99"/>
      <c r="W1419" s="105"/>
      <c r="X1419" s="105"/>
      <c r="Y1419" s="105"/>
      <c r="Z1419" s="105"/>
      <c r="AA1419" s="105"/>
      <c r="AB1419" s="105"/>
      <c r="AC1419" s="105"/>
      <c r="AD1419" s="105">
        <f>IF($AD$1335&gt;0,PPMT('Assumptions (Hydro)'!$V$6,Model!W$1,'Assumptions (Hydro)'!$V$9,'Assumptions (Hydro)'!$V$4*Model!$AD$1335*AVERAGE('Assumptions (Hydro)'!$Z$2:$AB$2)/10^9),0)</f>
        <v>0</v>
      </c>
      <c r="AE1419" s="105">
        <f>IF($AD$1335&gt;0,PPMT('Assumptions (Hydro)'!$V$6,Model!X$1,'Assumptions (Hydro)'!$V$9,'Assumptions (Hydro)'!$V$4*Model!$AD$1335*AVERAGE('Assumptions (Hydro)'!$Z$2:$AB$2)/10^9),0)</f>
        <v>0</v>
      </c>
      <c r="AF1419" s="105">
        <f>IF($AD$1335&gt;0,PPMT('Assumptions (Hydro)'!$V$6,Model!Y$1,'Assumptions (Hydro)'!$V$9,'Assumptions (Hydro)'!$V$4*Model!$AD$1335*AVERAGE('Assumptions (Hydro)'!$Z$2:$AB$2)/10^9),0)</f>
        <v>0</v>
      </c>
      <c r="AG1419" s="105">
        <f>IF($AD$1335&gt;0,PPMT('Assumptions (Hydro)'!$V$6,Model!Z$1,'Assumptions (Hydro)'!$V$9,'Assumptions (Hydro)'!$V$4*Model!$AD$1335*AVERAGE('Assumptions (Hydro)'!$Z$2:$AB$2)/10^9),0)</f>
        <v>0</v>
      </c>
      <c r="AH1419" s="105">
        <f>IF($AD$1335&gt;0,PPMT('Assumptions (Hydro)'!$V$6,Model!AA$1,'Assumptions (Hydro)'!$V$9,'Assumptions (Hydro)'!$V$4*Model!$AD$1335*AVERAGE('Assumptions (Hydro)'!$Z$2:$AB$2)/10^9),0)</f>
        <v>0</v>
      </c>
      <c r="AI1419" s="105">
        <f>IF($AD$1335&gt;0,PPMT('Assumptions (Hydro)'!$V$6,Model!AB$1,'Assumptions (Hydro)'!$V$9,'Assumptions (Hydro)'!$V$4*Model!$AD$1335*AVERAGE('Assumptions (Hydro)'!$Z$2:$AB$2)/10^9),0)</f>
        <v>0</v>
      </c>
      <c r="AJ1419" s="105">
        <f>IF($AD$1335&gt;0,PPMT('Assumptions (Hydro)'!$V$6,Model!AC$1,'Assumptions (Hydro)'!$V$9,'Assumptions (Hydro)'!$V$4*Model!$AD$1335*AVERAGE('Assumptions (Hydro)'!$Z$2:$AB$2)/10^9),0)</f>
        <v>0</v>
      </c>
      <c r="AK1419" s="105">
        <f>IF($AD$1335&gt;0,PPMT('Assumptions (Hydro)'!$V$6,Model!AD$1,'Assumptions (Hydro)'!$V$9,'Assumptions (Hydro)'!$V$4*Model!$AD$1335*AVERAGE('Assumptions (Hydro)'!$Z$2:$AB$2)/10^9),0)</f>
        <v>0</v>
      </c>
      <c r="AL1419" s="105">
        <f>IF($AD$1335&gt;0,PPMT('Assumptions (Hydro)'!$V$6,Model!AE$1,'Assumptions (Hydro)'!$V$9,'Assumptions (Hydro)'!$V$4*Model!$AD$1335*AVERAGE('Assumptions (Hydro)'!$Z$2:$AB$2)/10^9),0)</f>
        <v>0</v>
      </c>
      <c r="AM1419" s="105">
        <f>IF($AD$1335&gt;0,PPMT('Assumptions (Hydro)'!$V$6,Model!AF$1,'Assumptions (Hydro)'!$V$9,'Assumptions (Hydro)'!$V$4*Model!$AD$1335*AVERAGE('Assumptions (Hydro)'!$Z$2:$AB$2)/10^9),0)</f>
        <v>0</v>
      </c>
      <c r="AN1419" s="105">
        <f>IF($AD$1335&gt;0,PPMT('Assumptions (Hydro)'!$V$6,Model!AG$1,'Assumptions (Hydro)'!$V$9,'Assumptions (Hydro)'!$V$4*Model!$AD$1335*AVERAGE('Assumptions (Hydro)'!$Z$2:$AB$2)/10^9),0)</f>
        <v>0</v>
      </c>
      <c r="AO1419" s="105">
        <f>IF($AD$1335&gt;0,PPMT('Assumptions (Hydro)'!$V$6,Model!AH$1,'Assumptions (Hydro)'!$V$9,'Assumptions (Hydro)'!$V$4*Model!$AD$1335*AVERAGE('Assumptions (Hydro)'!$Z$2:$AB$2)/10^9),0)</f>
        <v>0</v>
      </c>
      <c r="AP1419" s="105">
        <f>IF($AD$1335&gt;0,PPMT('Assumptions (Hydro)'!$V$6,Model!AI$1,'Assumptions (Hydro)'!$V$9,'Assumptions (Hydro)'!$V$4*Model!$AD$1335*AVERAGE('Assumptions (Hydro)'!$Z$2:$AB$2)/10^9),0)</f>
        <v>0</v>
      </c>
      <c r="AQ1419" s="105">
        <f>IF($AD$1335&gt;0,PPMT('Assumptions (Hydro)'!$V$6,Model!AJ$1,'Assumptions (Hydro)'!$V$9,'Assumptions (Hydro)'!$V$4*Model!$AD$1335*AVERAGE('Assumptions (Hydro)'!$Z$2:$AB$2)/10^9),0)</f>
        <v>0</v>
      </c>
      <c r="AR1419" s="105">
        <f>IF($AD$1335&gt;0,PPMT('Assumptions (Hydro)'!$V$6,Model!AK$1,'Assumptions (Hydro)'!$V$9,'Assumptions (Hydro)'!$V$4*Model!$AD$1335*AVERAGE('Assumptions (Hydro)'!$Z$2:$AB$2)/10^9),0)</f>
        <v>0</v>
      </c>
      <c r="AS1419" s="105"/>
      <c r="AT1419" s="105"/>
      <c r="AU1419" s="105"/>
      <c r="AV1419" s="105"/>
      <c r="AW1419" s="105"/>
      <c r="AX1419" s="105"/>
      <c r="AY1419" s="105"/>
      <c r="AZ1419" s="105"/>
      <c r="BA1419" s="105"/>
      <c r="BB1419" s="105"/>
    </row>
    <row r="1420" spans="1:59" ht="15.75" hidden="1" customHeight="1" outlineLevel="1">
      <c r="A1420" s="413"/>
      <c r="B1420" s="99"/>
      <c r="C1420" s="99"/>
      <c r="D1420" s="99"/>
      <c r="E1420" s="99"/>
      <c r="F1420" s="99"/>
      <c r="G1420" s="99"/>
      <c r="H1420" s="99"/>
      <c r="I1420" s="99"/>
      <c r="J1420" s="99"/>
      <c r="K1420" s="99"/>
      <c r="L1420" s="99"/>
      <c r="M1420" s="99"/>
      <c r="N1420" s="99"/>
      <c r="O1420" s="99"/>
      <c r="P1420" s="99"/>
      <c r="Q1420" s="99"/>
      <c r="R1420" s="99"/>
      <c r="S1420" s="99"/>
      <c r="T1420" s="99"/>
      <c r="U1420" s="99"/>
      <c r="V1420" s="99"/>
      <c r="W1420" s="105"/>
      <c r="X1420" s="105"/>
      <c r="Y1420" s="105"/>
      <c r="Z1420" s="105"/>
      <c r="AA1420" s="105"/>
      <c r="AB1420" s="105"/>
      <c r="AC1420" s="105"/>
      <c r="AD1420" s="105"/>
      <c r="AE1420" s="105">
        <f>IF($AE$1335&gt;0,PPMT('Assumptions (Hydro)'!$V$6,Model!W$1,'Assumptions (Hydro)'!$V$9,'Assumptions (Hydro)'!$V$4*Model!$AE$1335*AVERAGE('Assumptions (Hydro)'!$AA$2:$AC$2)/10^9),0)</f>
        <v>0</v>
      </c>
      <c r="AF1420" s="105">
        <f>IF($AE$1335&gt;0,PPMT('Assumptions (Hydro)'!$V$6,Model!X$1,'Assumptions (Hydro)'!$V$9,'Assumptions (Hydro)'!$V$4*Model!$AE$1335*AVERAGE('Assumptions (Hydro)'!$AA$2:$AC$2)/10^9),0)</f>
        <v>0</v>
      </c>
      <c r="AG1420" s="105">
        <f>IF($AE$1335&gt;0,PPMT('Assumptions (Hydro)'!$V$6,Model!Y$1,'Assumptions (Hydro)'!$V$9,'Assumptions (Hydro)'!$V$4*Model!$AE$1335*AVERAGE('Assumptions (Hydro)'!$AA$2:$AC$2)/10^9),0)</f>
        <v>0</v>
      </c>
      <c r="AH1420" s="105">
        <f>IF($AE$1335&gt;0,PPMT('Assumptions (Hydro)'!$V$6,Model!Z$1,'Assumptions (Hydro)'!$V$9,'Assumptions (Hydro)'!$V$4*Model!$AE$1335*AVERAGE('Assumptions (Hydro)'!$AA$2:$AC$2)/10^9),0)</f>
        <v>0</v>
      </c>
      <c r="AI1420" s="105">
        <f>IF($AE$1335&gt;0,PPMT('Assumptions (Hydro)'!$V$6,Model!AA$1,'Assumptions (Hydro)'!$V$9,'Assumptions (Hydro)'!$V$4*Model!$AE$1335*AVERAGE('Assumptions (Hydro)'!$AA$2:$AC$2)/10^9),0)</f>
        <v>0</v>
      </c>
      <c r="AJ1420" s="105">
        <f>IF($AE$1335&gt;0,PPMT('Assumptions (Hydro)'!$V$6,Model!AB$1,'Assumptions (Hydro)'!$V$9,'Assumptions (Hydro)'!$V$4*Model!$AE$1335*AVERAGE('Assumptions (Hydro)'!$AA$2:$AC$2)/10^9),0)</f>
        <v>0</v>
      </c>
      <c r="AK1420" s="105">
        <f>IF($AE$1335&gt;0,PPMT('Assumptions (Hydro)'!$V$6,Model!AC$1,'Assumptions (Hydro)'!$V$9,'Assumptions (Hydro)'!$V$4*Model!$AE$1335*AVERAGE('Assumptions (Hydro)'!$AA$2:$AC$2)/10^9),0)</f>
        <v>0</v>
      </c>
      <c r="AL1420" s="105">
        <f>IF($AE$1335&gt;0,PPMT('Assumptions (Hydro)'!$V$6,Model!AD$1,'Assumptions (Hydro)'!$V$9,'Assumptions (Hydro)'!$V$4*Model!$AE$1335*AVERAGE('Assumptions (Hydro)'!$AA$2:$AC$2)/10^9),0)</f>
        <v>0</v>
      </c>
      <c r="AM1420" s="105">
        <f>IF($AE$1335&gt;0,PPMT('Assumptions (Hydro)'!$V$6,Model!AE$1,'Assumptions (Hydro)'!$V$9,'Assumptions (Hydro)'!$V$4*Model!$AE$1335*AVERAGE('Assumptions (Hydro)'!$AA$2:$AC$2)/10^9),0)</f>
        <v>0</v>
      </c>
      <c r="AN1420" s="105">
        <f>IF($AE$1335&gt;0,PPMT('Assumptions (Hydro)'!$V$6,Model!AF$1,'Assumptions (Hydro)'!$V$9,'Assumptions (Hydro)'!$V$4*Model!$AE$1335*AVERAGE('Assumptions (Hydro)'!$AA$2:$AC$2)/10^9),0)</f>
        <v>0</v>
      </c>
      <c r="AO1420" s="105">
        <f>IF($AE$1335&gt;0,PPMT('Assumptions (Hydro)'!$V$6,Model!AG$1,'Assumptions (Hydro)'!$V$9,'Assumptions (Hydro)'!$V$4*Model!$AE$1335*AVERAGE('Assumptions (Hydro)'!$AA$2:$AC$2)/10^9),0)</f>
        <v>0</v>
      </c>
      <c r="AP1420" s="105">
        <f>IF($AE$1335&gt;0,PPMT('Assumptions (Hydro)'!$V$6,Model!AH$1,'Assumptions (Hydro)'!$V$9,'Assumptions (Hydro)'!$V$4*Model!$AE$1335*AVERAGE('Assumptions (Hydro)'!$AA$2:$AC$2)/10^9),0)</f>
        <v>0</v>
      </c>
      <c r="AQ1420" s="105">
        <f>IF($AE$1335&gt;0,PPMT('Assumptions (Hydro)'!$V$6,Model!AI$1,'Assumptions (Hydro)'!$V$9,'Assumptions (Hydro)'!$V$4*Model!$AE$1335*AVERAGE('Assumptions (Hydro)'!$AA$2:$AC$2)/10^9),0)</f>
        <v>0</v>
      </c>
      <c r="AR1420" s="105">
        <f>IF($AE$1335&gt;0,PPMT('Assumptions (Hydro)'!$V$6,Model!AJ$1,'Assumptions (Hydro)'!$V$9,'Assumptions (Hydro)'!$V$4*Model!$AE$1335*AVERAGE('Assumptions (Hydro)'!$AA$2:$AC$2)/10^9),0)</f>
        <v>0</v>
      </c>
      <c r="AS1420" s="105">
        <f>IF($AE$1335&gt;0,PPMT('Assumptions (Hydro)'!$V$6,Model!AK$1,'Assumptions (Hydro)'!$V$9,'Assumptions (Hydro)'!$V$4*Model!$AE$1335*AVERAGE('Assumptions (Hydro)'!$AA$2:$AC$2)/10^9),0)</f>
        <v>0</v>
      </c>
      <c r="AT1420" s="105"/>
      <c r="AU1420" s="105"/>
      <c r="AV1420" s="105"/>
      <c r="AW1420" s="105"/>
      <c r="AX1420" s="105"/>
      <c r="AY1420" s="105"/>
      <c r="AZ1420" s="105"/>
      <c r="BA1420" s="105"/>
      <c r="BB1420" s="105"/>
      <c r="BC1420" s="105"/>
    </row>
    <row r="1421" spans="1:59" ht="15.75" hidden="1" customHeight="1" outlineLevel="1">
      <c r="A1421" s="413"/>
      <c r="B1421" s="99"/>
      <c r="C1421" s="99"/>
      <c r="D1421" s="99"/>
      <c r="E1421" s="99"/>
      <c r="F1421" s="99"/>
      <c r="G1421" s="99"/>
      <c r="H1421" s="99"/>
      <c r="I1421" s="99"/>
      <c r="J1421" s="99"/>
      <c r="K1421" s="99"/>
      <c r="L1421" s="99"/>
      <c r="M1421" s="99"/>
      <c r="N1421" s="99"/>
      <c r="O1421" s="99"/>
      <c r="P1421" s="99"/>
      <c r="Q1421" s="99"/>
      <c r="R1421" s="99"/>
      <c r="S1421" s="99"/>
      <c r="T1421" s="99"/>
      <c r="U1421" s="99"/>
      <c r="V1421" s="99"/>
      <c r="W1421" s="105"/>
      <c r="X1421" s="105"/>
      <c r="Y1421" s="105"/>
      <c r="Z1421" s="105"/>
      <c r="AA1421" s="105"/>
      <c r="AB1421" s="105"/>
      <c r="AC1421" s="105"/>
      <c r="AD1421" s="105"/>
      <c r="AE1421" s="105"/>
      <c r="AF1421" s="105">
        <f>IF($AF$1335&gt;0,PPMT('Assumptions (Hydro)'!$V$6,Model!W$1,'Assumptions (Hydro)'!$V$9,'Assumptions (Hydro)'!$V$4*Model!$AF$1335*AVERAGE('Assumptions (Hydro)'!$AB$2:$AD$2)/10^9),0)</f>
        <v>0</v>
      </c>
      <c r="AG1421" s="105">
        <f>IF($AF$1335&gt;0,PPMT('Assumptions (Hydro)'!$V$6,Model!X$1,'Assumptions (Hydro)'!$V$9,'Assumptions (Hydro)'!$V$4*Model!$AF$1335*AVERAGE('Assumptions (Hydro)'!$AB$2:$AD$2)/10^9),0)</f>
        <v>0</v>
      </c>
      <c r="AH1421" s="105">
        <f>IF($AF$1335&gt;0,PPMT('Assumptions (Hydro)'!$V$6,Model!Y$1,'Assumptions (Hydro)'!$V$9,'Assumptions (Hydro)'!$V$4*Model!$AF$1335*AVERAGE('Assumptions (Hydro)'!$AB$2:$AD$2)/10^9),0)</f>
        <v>0</v>
      </c>
      <c r="AI1421" s="105">
        <f>IF($AF$1335&gt;0,PPMT('Assumptions (Hydro)'!$V$6,Model!Z$1,'Assumptions (Hydro)'!$V$9,'Assumptions (Hydro)'!$V$4*Model!$AF$1335*AVERAGE('Assumptions (Hydro)'!$AB$2:$AD$2)/10^9),0)</f>
        <v>0</v>
      </c>
      <c r="AJ1421" s="105">
        <f>IF($AF$1335&gt;0,PPMT('Assumptions (Hydro)'!$V$6,Model!AA$1,'Assumptions (Hydro)'!$V$9,'Assumptions (Hydro)'!$V$4*Model!$AF$1335*AVERAGE('Assumptions (Hydro)'!$AB$2:$AD$2)/10^9),0)</f>
        <v>0</v>
      </c>
      <c r="AK1421" s="105">
        <f>IF($AF$1335&gt;0,PPMT('Assumptions (Hydro)'!$V$6,Model!AB$1,'Assumptions (Hydro)'!$V$9,'Assumptions (Hydro)'!$V$4*Model!$AF$1335*AVERAGE('Assumptions (Hydro)'!$AB$2:$AD$2)/10^9),0)</f>
        <v>0</v>
      </c>
      <c r="AL1421" s="105">
        <f>IF($AF$1335&gt;0,PPMT('Assumptions (Hydro)'!$V$6,Model!AC$1,'Assumptions (Hydro)'!$V$9,'Assumptions (Hydro)'!$V$4*Model!$AF$1335*AVERAGE('Assumptions (Hydro)'!$AB$2:$AD$2)/10^9),0)</f>
        <v>0</v>
      </c>
      <c r="AM1421" s="105">
        <f>IF($AF$1335&gt;0,PPMT('Assumptions (Hydro)'!$V$6,Model!AD$1,'Assumptions (Hydro)'!$V$9,'Assumptions (Hydro)'!$V$4*Model!$AF$1335*AVERAGE('Assumptions (Hydro)'!$AB$2:$AD$2)/10^9),0)</f>
        <v>0</v>
      </c>
      <c r="AN1421" s="105">
        <f>IF($AF$1335&gt;0,PPMT('Assumptions (Hydro)'!$V$6,Model!AE$1,'Assumptions (Hydro)'!$V$9,'Assumptions (Hydro)'!$V$4*Model!$AF$1335*AVERAGE('Assumptions (Hydro)'!$AB$2:$AD$2)/10^9),0)</f>
        <v>0</v>
      </c>
      <c r="AO1421" s="105">
        <f>IF($AF$1335&gt;0,PPMT('Assumptions (Hydro)'!$V$6,Model!AF$1,'Assumptions (Hydro)'!$V$9,'Assumptions (Hydro)'!$V$4*Model!$AF$1335*AVERAGE('Assumptions (Hydro)'!$AB$2:$AD$2)/10^9),0)</f>
        <v>0</v>
      </c>
      <c r="AP1421" s="105">
        <f>IF($AF$1335&gt;0,PPMT('Assumptions (Hydro)'!$V$6,Model!AG$1,'Assumptions (Hydro)'!$V$9,'Assumptions (Hydro)'!$V$4*Model!$AF$1335*AVERAGE('Assumptions (Hydro)'!$AB$2:$AD$2)/10^9),0)</f>
        <v>0</v>
      </c>
      <c r="AQ1421" s="105">
        <f>IF($AF$1335&gt;0,PPMT('Assumptions (Hydro)'!$V$6,Model!AH$1,'Assumptions (Hydro)'!$V$9,'Assumptions (Hydro)'!$V$4*Model!$AF$1335*AVERAGE('Assumptions (Hydro)'!$AB$2:$AD$2)/10^9),0)</f>
        <v>0</v>
      </c>
      <c r="AR1421" s="105">
        <f>IF($AF$1335&gt;0,PPMT('Assumptions (Hydro)'!$V$6,Model!AI$1,'Assumptions (Hydro)'!$V$9,'Assumptions (Hydro)'!$V$4*Model!$AF$1335*AVERAGE('Assumptions (Hydro)'!$AB$2:$AD$2)/10^9),0)</f>
        <v>0</v>
      </c>
      <c r="AS1421" s="105">
        <f>IF($AF$1335&gt;0,PPMT('Assumptions (Hydro)'!$V$6,Model!AJ$1,'Assumptions (Hydro)'!$V$9,'Assumptions (Hydro)'!$V$4*Model!$AF$1335*AVERAGE('Assumptions (Hydro)'!$AB$2:$AD$2)/10^9),0)</f>
        <v>0</v>
      </c>
      <c r="AT1421" s="105">
        <f>IF($AF$1335&gt;0,PPMT('Assumptions (Hydro)'!$V$6,Model!AK$1,'Assumptions (Hydro)'!$V$9,'Assumptions (Hydro)'!$V$4*Model!$AF$1335*AVERAGE('Assumptions (Hydro)'!$AB$2:$AD$2)/10^9),0)</f>
        <v>0</v>
      </c>
      <c r="AU1421" s="105"/>
      <c r="AV1421" s="105"/>
      <c r="AW1421" s="105"/>
      <c r="AX1421" s="105"/>
      <c r="AY1421" s="105"/>
      <c r="AZ1421" s="105"/>
      <c r="BA1421" s="105"/>
      <c r="BB1421" s="105"/>
      <c r="BC1421" s="105"/>
      <c r="BD1421" s="105"/>
    </row>
    <row r="1422" spans="1:59" ht="15.75" hidden="1" customHeight="1" outlineLevel="1">
      <c r="A1422" s="413"/>
      <c r="B1422" s="99"/>
      <c r="C1422" s="99"/>
      <c r="D1422" s="99"/>
      <c r="E1422" s="99"/>
      <c r="F1422" s="99"/>
      <c r="G1422" s="99"/>
      <c r="H1422" s="99"/>
      <c r="I1422" s="99"/>
      <c r="J1422" s="99"/>
      <c r="K1422" s="99"/>
      <c r="L1422" s="99"/>
      <c r="M1422" s="99"/>
      <c r="N1422" s="99"/>
      <c r="O1422" s="99"/>
      <c r="P1422" s="99"/>
      <c r="Q1422" s="99"/>
      <c r="R1422" s="99"/>
      <c r="S1422" s="99"/>
      <c r="T1422" s="99"/>
      <c r="U1422" s="99"/>
      <c r="V1422" s="99"/>
      <c r="W1422" s="105"/>
      <c r="X1422" s="105"/>
      <c r="Y1422" s="105"/>
      <c r="Z1422" s="105"/>
      <c r="AA1422" s="105"/>
      <c r="AB1422" s="105"/>
      <c r="AC1422" s="105"/>
      <c r="AD1422" s="105"/>
      <c r="AE1422" s="105"/>
      <c r="AF1422" s="105"/>
      <c r="AG1422" s="105">
        <f>IF($AG$1335&gt;0,PPMT('Assumptions (Hydro)'!$V$6,Model!W$1,'Assumptions (Hydro)'!$V$9,'Assumptions (Hydro)'!$V$4*Model!$AG$1335*AVERAGE('Assumptions (Hydro)'!$AC$2:$AE$2)/10^9),0)</f>
        <v>0</v>
      </c>
      <c r="AH1422" s="105">
        <f>IF($AG$1335&gt;0,PPMT('Assumptions (Hydro)'!$V$6,Model!X$1,'Assumptions (Hydro)'!$V$9,'Assumptions (Hydro)'!$V$4*Model!$AG$1335*AVERAGE('Assumptions (Hydro)'!$AC$2:$AE$2)/10^9),0)</f>
        <v>0</v>
      </c>
      <c r="AI1422" s="105">
        <f>IF($AG$1335&gt;0,PPMT('Assumptions (Hydro)'!$V$6,Model!Y$1,'Assumptions (Hydro)'!$V$9,'Assumptions (Hydro)'!$V$4*Model!$AG$1335*AVERAGE('Assumptions (Hydro)'!$AC$2:$AE$2)/10^9),0)</f>
        <v>0</v>
      </c>
      <c r="AJ1422" s="105">
        <f>IF($AG$1335&gt;0,PPMT('Assumptions (Hydro)'!$V$6,Model!Z$1,'Assumptions (Hydro)'!$V$9,'Assumptions (Hydro)'!$V$4*Model!$AG$1335*AVERAGE('Assumptions (Hydro)'!$AC$2:$AE$2)/10^9),0)</f>
        <v>0</v>
      </c>
      <c r="AK1422" s="105">
        <f>IF($AG$1335&gt;0,PPMT('Assumptions (Hydro)'!$V$6,Model!AA$1,'Assumptions (Hydro)'!$V$9,'Assumptions (Hydro)'!$V$4*Model!$AG$1335*AVERAGE('Assumptions (Hydro)'!$AC$2:$AE$2)/10^9),0)</f>
        <v>0</v>
      </c>
      <c r="AL1422" s="105">
        <f>IF($AG$1335&gt;0,PPMT('Assumptions (Hydro)'!$V$6,Model!AB$1,'Assumptions (Hydro)'!$V$9,'Assumptions (Hydro)'!$V$4*Model!$AG$1335*AVERAGE('Assumptions (Hydro)'!$AC$2:$AE$2)/10^9),0)</f>
        <v>0</v>
      </c>
      <c r="AM1422" s="105">
        <f>IF($AG$1335&gt;0,PPMT('Assumptions (Hydro)'!$V$6,Model!AC$1,'Assumptions (Hydro)'!$V$9,'Assumptions (Hydro)'!$V$4*Model!$AG$1335*AVERAGE('Assumptions (Hydro)'!$AC$2:$AE$2)/10^9),0)</f>
        <v>0</v>
      </c>
      <c r="AN1422" s="105">
        <f>IF($AG$1335&gt;0,PPMT('Assumptions (Hydro)'!$V$6,Model!AD$1,'Assumptions (Hydro)'!$V$9,'Assumptions (Hydro)'!$V$4*Model!$AG$1335*AVERAGE('Assumptions (Hydro)'!$AC$2:$AE$2)/10^9),0)</f>
        <v>0</v>
      </c>
      <c r="AO1422" s="105">
        <f>IF($AG$1335&gt;0,PPMT('Assumptions (Hydro)'!$V$6,Model!AE$1,'Assumptions (Hydro)'!$V$9,'Assumptions (Hydro)'!$V$4*Model!$AG$1335*AVERAGE('Assumptions (Hydro)'!$AC$2:$AE$2)/10^9),0)</f>
        <v>0</v>
      </c>
      <c r="AP1422" s="105">
        <f>IF($AG$1335&gt;0,PPMT('Assumptions (Hydro)'!$V$6,Model!AF$1,'Assumptions (Hydro)'!$V$9,'Assumptions (Hydro)'!$V$4*Model!$AG$1335*AVERAGE('Assumptions (Hydro)'!$AC$2:$AE$2)/10^9),0)</f>
        <v>0</v>
      </c>
      <c r="AQ1422" s="105">
        <f>IF($AG$1335&gt;0,PPMT('Assumptions (Hydro)'!$V$6,Model!AG$1,'Assumptions (Hydro)'!$V$9,'Assumptions (Hydro)'!$V$4*Model!$AG$1335*AVERAGE('Assumptions (Hydro)'!$AC$2:$AE$2)/10^9),0)</f>
        <v>0</v>
      </c>
      <c r="AR1422" s="105">
        <f>IF($AG$1335&gt;0,PPMT('Assumptions (Hydro)'!$V$6,Model!AH$1,'Assumptions (Hydro)'!$V$9,'Assumptions (Hydro)'!$V$4*Model!$AG$1335*AVERAGE('Assumptions (Hydro)'!$AC$2:$AE$2)/10^9),0)</f>
        <v>0</v>
      </c>
      <c r="AS1422" s="105">
        <f>IF($AG$1335&gt;0,PPMT('Assumptions (Hydro)'!$V$6,Model!AI$1,'Assumptions (Hydro)'!$V$9,'Assumptions (Hydro)'!$V$4*Model!$AG$1335*AVERAGE('Assumptions (Hydro)'!$AC$2:$AE$2)/10^9),0)</f>
        <v>0</v>
      </c>
      <c r="AT1422" s="105">
        <f>IF($AG$1335&gt;0,PPMT('Assumptions (Hydro)'!$V$6,Model!AJ$1,'Assumptions (Hydro)'!$V$9,'Assumptions (Hydro)'!$V$4*Model!$AG$1335*AVERAGE('Assumptions (Hydro)'!$AC$2:$AE$2)/10^9),0)</f>
        <v>0</v>
      </c>
      <c r="AU1422" s="105">
        <f>IF($AG$1335&gt;0,PPMT('Assumptions (Hydro)'!$V$6,Model!AK$1,'Assumptions (Hydro)'!$V$9,'Assumptions (Hydro)'!$V$4*Model!$AG$1335*AVERAGE('Assumptions (Hydro)'!$AC$2:$AE$2)/10^9),0)</f>
        <v>0</v>
      </c>
      <c r="AV1422" s="105"/>
      <c r="AW1422" s="105"/>
      <c r="AX1422" s="105"/>
      <c r="AY1422" s="105"/>
      <c r="AZ1422" s="105"/>
      <c r="BA1422" s="105"/>
      <c r="BB1422" s="105"/>
      <c r="BC1422" s="105"/>
      <c r="BD1422" s="105"/>
      <c r="BE1422" s="105"/>
    </row>
    <row r="1423" spans="1:59" ht="15.75" hidden="1" customHeight="1" outlineLevel="1">
      <c r="A1423" s="413"/>
      <c r="B1423" s="99"/>
      <c r="C1423" s="99"/>
      <c r="D1423" s="99"/>
      <c r="E1423" s="99"/>
      <c r="F1423" s="99"/>
      <c r="G1423" s="99"/>
      <c r="H1423" s="99"/>
      <c r="I1423" s="99"/>
      <c r="J1423" s="99"/>
      <c r="K1423" s="99"/>
      <c r="L1423" s="99"/>
      <c r="M1423" s="99"/>
      <c r="N1423" s="99"/>
      <c r="O1423" s="99"/>
      <c r="P1423" s="99"/>
      <c r="Q1423" s="99"/>
      <c r="R1423" s="99"/>
      <c r="S1423" s="99"/>
      <c r="T1423" s="99"/>
      <c r="U1423" s="99"/>
      <c r="V1423" s="99"/>
      <c r="W1423" s="105"/>
      <c r="X1423" s="105"/>
      <c r="Y1423" s="105"/>
      <c r="Z1423" s="105"/>
      <c r="AA1423" s="105"/>
      <c r="AB1423" s="105"/>
      <c r="AC1423" s="105"/>
      <c r="AD1423" s="105"/>
      <c r="AE1423" s="105"/>
      <c r="AF1423" s="105"/>
      <c r="AG1423" s="105"/>
      <c r="AH1423" s="105">
        <f>IF($AH$1335&gt;0,PPMT('Assumptions (Hydro)'!$V$6,Model!W$1,'Assumptions (Hydro)'!$V$9,'Assumptions (Hydro)'!$V$4*Model!$AH$1335*AVERAGE('Assumptions (Hydro)'!$AD$2:$AF$2)/10^9),0)</f>
        <v>0</v>
      </c>
      <c r="AI1423" s="105">
        <f>IF($AH$1335&gt;0,PPMT('Assumptions (Hydro)'!$V$6,Model!X$1,'Assumptions (Hydro)'!$V$9,'Assumptions (Hydro)'!$V$4*Model!$AH$1335*AVERAGE('Assumptions (Hydro)'!$AD$2:$AF$2)/10^9),0)</f>
        <v>0</v>
      </c>
      <c r="AJ1423" s="105">
        <f>IF($AH$1335&gt;0,PPMT('Assumptions (Hydro)'!$V$6,Model!Y$1,'Assumptions (Hydro)'!$V$9,'Assumptions (Hydro)'!$V$4*Model!$AH$1335*AVERAGE('Assumptions (Hydro)'!$AD$2:$AF$2)/10^9),0)</f>
        <v>0</v>
      </c>
      <c r="AK1423" s="105">
        <f>IF($AH$1335&gt;0,PPMT('Assumptions (Hydro)'!$V$6,Model!Z$1,'Assumptions (Hydro)'!$V$9,'Assumptions (Hydro)'!$V$4*Model!$AH$1335*AVERAGE('Assumptions (Hydro)'!$AD$2:$AF$2)/10^9),0)</f>
        <v>0</v>
      </c>
      <c r="AL1423" s="105">
        <f>IF($AH$1335&gt;0,PPMT('Assumptions (Hydro)'!$V$6,Model!AA$1,'Assumptions (Hydro)'!$V$9,'Assumptions (Hydro)'!$V$4*Model!$AH$1335*AVERAGE('Assumptions (Hydro)'!$AD$2:$AF$2)/10^9),0)</f>
        <v>0</v>
      </c>
      <c r="AM1423" s="105">
        <f>IF($AH$1335&gt;0,PPMT('Assumptions (Hydro)'!$V$6,Model!AB$1,'Assumptions (Hydro)'!$V$9,'Assumptions (Hydro)'!$V$4*Model!$AH$1335*AVERAGE('Assumptions (Hydro)'!$AD$2:$AF$2)/10^9),0)</f>
        <v>0</v>
      </c>
      <c r="AN1423" s="105">
        <f>IF($AH$1335&gt;0,PPMT('Assumptions (Hydro)'!$V$6,Model!AC$1,'Assumptions (Hydro)'!$V$9,'Assumptions (Hydro)'!$V$4*Model!$AH$1335*AVERAGE('Assumptions (Hydro)'!$AD$2:$AF$2)/10^9),0)</f>
        <v>0</v>
      </c>
      <c r="AO1423" s="105">
        <f>IF($AH$1335&gt;0,PPMT('Assumptions (Hydro)'!$V$6,Model!AD$1,'Assumptions (Hydro)'!$V$9,'Assumptions (Hydro)'!$V$4*Model!$AH$1335*AVERAGE('Assumptions (Hydro)'!$AD$2:$AF$2)/10^9),0)</f>
        <v>0</v>
      </c>
      <c r="AP1423" s="105">
        <f>IF($AH$1335&gt;0,PPMT('Assumptions (Hydro)'!$V$6,Model!AE$1,'Assumptions (Hydro)'!$V$9,'Assumptions (Hydro)'!$V$4*Model!$AH$1335*AVERAGE('Assumptions (Hydro)'!$AD$2:$AF$2)/10^9),0)</f>
        <v>0</v>
      </c>
      <c r="AQ1423" s="105">
        <f>IF($AH$1335&gt;0,PPMT('Assumptions (Hydro)'!$V$6,Model!AF$1,'Assumptions (Hydro)'!$V$9,'Assumptions (Hydro)'!$V$4*Model!$AH$1335*AVERAGE('Assumptions (Hydro)'!$AD$2:$AF$2)/10^9),0)</f>
        <v>0</v>
      </c>
      <c r="AR1423" s="105">
        <f>IF($AH$1335&gt;0,PPMT('Assumptions (Hydro)'!$V$6,Model!AG$1,'Assumptions (Hydro)'!$V$9,'Assumptions (Hydro)'!$V$4*Model!$AH$1335*AVERAGE('Assumptions (Hydro)'!$AD$2:$AF$2)/10^9),0)</f>
        <v>0</v>
      </c>
      <c r="AS1423" s="105">
        <f>IF($AH$1335&gt;0,PPMT('Assumptions (Hydro)'!$V$6,Model!AH$1,'Assumptions (Hydro)'!$V$9,'Assumptions (Hydro)'!$V$4*Model!$AH$1335*AVERAGE('Assumptions (Hydro)'!$AD$2:$AF$2)/10^9),0)</f>
        <v>0</v>
      </c>
      <c r="AT1423" s="105">
        <f>IF($AH$1335&gt;0,PPMT('Assumptions (Hydro)'!$V$6,Model!AI$1,'Assumptions (Hydro)'!$V$9,'Assumptions (Hydro)'!$V$4*Model!$AH$1335*AVERAGE('Assumptions (Hydro)'!$AD$2:$AF$2)/10^9),0)</f>
        <v>0</v>
      </c>
      <c r="AU1423" s="105">
        <f>IF($AH$1335&gt;0,PPMT('Assumptions (Hydro)'!$V$6,Model!AJ$1,'Assumptions (Hydro)'!$V$9,'Assumptions (Hydro)'!$V$4*Model!$AH$1335*AVERAGE('Assumptions (Hydro)'!$AD$2:$AF$2)/10^9),0)</f>
        <v>0</v>
      </c>
      <c r="AV1423" s="105">
        <f>IF($AH$1335&gt;0,PPMT('Assumptions (Hydro)'!$V$6,Model!AK$1,'Assumptions (Hydro)'!$V$9,'Assumptions (Hydro)'!$V$4*Model!$AH$1335*AVERAGE('Assumptions (Hydro)'!$AD$2:$AF$2)/10^9),0)</f>
        <v>0</v>
      </c>
      <c r="AW1423" s="105"/>
      <c r="AX1423" s="105"/>
      <c r="AY1423" s="105"/>
      <c r="AZ1423" s="105"/>
      <c r="BA1423" s="105"/>
      <c r="BB1423" s="105"/>
      <c r="BC1423" s="105"/>
      <c r="BD1423" s="105"/>
      <c r="BE1423" s="105"/>
      <c r="BF1423" s="105"/>
    </row>
    <row r="1424" spans="1:59" ht="15.75" hidden="1" customHeight="1" outlineLevel="1">
      <c r="A1424" s="413"/>
      <c r="B1424" s="99"/>
      <c r="C1424" s="99"/>
      <c r="D1424" s="99"/>
      <c r="E1424" s="99"/>
      <c r="F1424" s="99"/>
      <c r="G1424" s="99"/>
      <c r="H1424" s="99"/>
      <c r="I1424" s="99"/>
      <c r="J1424" s="99"/>
      <c r="K1424" s="99"/>
      <c r="L1424" s="99"/>
      <c r="M1424" s="99"/>
      <c r="N1424" s="99"/>
      <c r="O1424" s="99"/>
      <c r="P1424" s="99"/>
      <c r="Q1424" s="99"/>
      <c r="R1424" s="99"/>
      <c r="S1424" s="99"/>
      <c r="T1424" s="99"/>
      <c r="U1424" s="99"/>
      <c r="V1424" s="99"/>
      <c r="W1424" s="105"/>
      <c r="X1424" s="105"/>
      <c r="Y1424" s="105"/>
      <c r="Z1424" s="105"/>
      <c r="AA1424" s="105"/>
      <c r="AB1424" s="105"/>
      <c r="AC1424" s="105"/>
      <c r="AD1424" s="105"/>
      <c r="AE1424" s="105"/>
      <c r="AF1424" s="105"/>
      <c r="AG1424" s="105"/>
      <c r="AH1424" s="105"/>
      <c r="AI1424" s="105">
        <f>IF($AI$1335&gt;0,PPMT('Assumptions (Hydro)'!$V$6,Model!W$1,'Assumptions (Hydro)'!$V$9,'Assumptions (Hydro)'!$V$4*Model!$AI$1335*AVERAGE('Assumptions (Hydro)'!$AE$2:$AG$2)/10^9),0)</f>
        <v>0</v>
      </c>
      <c r="AJ1424" s="105">
        <f>IF($AI$1335&gt;0,PPMT('Assumptions (Hydro)'!$V$6,Model!X$1,'Assumptions (Hydro)'!$V$9,'Assumptions (Hydro)'!$V$4*Model!$AI$1335*AVERAGE('Assumptions (Hydro)'!$AE$2:$AG$2)/10^9),0)</f>
        <v>0</v>
      </c>
      <c r="AK1424" s="105">
        <f>IF($AI$1335&gt;0,PPMT('Assumptions (Hydro)'!$V$6,Model!Y$1,'Assumptions (Hydro)'!$V$9,'Assumptions (Hydro)'!$V$4*Model!$AI$1335*AVERAGE('Assumptions (Hydro)'!$AE$2:$AG$2)/10^9),0)</f>
        <v>0</v>
      </c>
      <c r="AL1424" s="105">
        <f>IF($AI$1335&gt;0,PPMT('Assumptions (Hydro)'!$V$6,Model!Z$1,'Assumptions (Hydro)'!$V$9,'Assumptions (Hydro)'!$V$4*Model!$AI$1335*AVERAGE('Assumptions (Hydro)'!$AE$2:$AG$2)/10^9),0)</f>
        <v>0</v>
      </c>
      <c r="AM1424" s="105">
        <f>IF($AI$1335&gt;0,PPMT('Assumptions (Hydro)'!$V$6,Model!AA$1,'Assumptions (Hydro)'!$V$9,'Assumptions (Hydro)'!$V$4*Model!$AI$1335*AVERAGE('Assumptions (Hydro)'!$AE$2:$AG$2)/10^9),0)</f>
        <v>0</v>
      </c>
      <c r="AN1424" s="105">
        <f>IF($AI$1335&gt;0,PPMT('Assumptions (Hydro)'!$V$6,Model!AB$1,'Assumptions (Hydro)'!$V$9,'Assumptions (Hydro)'!$V$4*Model!$AI$1335*AVERAGE('Assumptions (Hydro)'!$AE$2:$AG$2)/10^9),0)</f>
        <v>0</v>
      </c>
      <c r="AO1424" s="105">
        <f>IF($AI$1335&gt;0,PPMT('Assumptions (Hydro)'!$V$6,Model!AC$1,'Assumptions (Hydro)'!$V$9,'Assumptions (Hydro)'!$V$4*Model!$AI$1335*AVERAGE('Assumptions (Hydro)'!$AE$2:$AG$2)/10^9),0)</f>
        <v>0</v>
      </c>
      <c r="AP1424" s="105">
        <f>IF($AI$1335&gt;0,PPMT('Assumptions (Hydro)'!$V$6,Model!AD$1,'Assumptions (Hydro)'!$V$9,'Assumptions (Hydro)'!$V$4*Model!$AI$1335*AVERAGE('Assumptions (Hydro)'!$AE$2:$AG$2)/10^9),0)</f>
        <v>0</v>
      </c>
      <c r="AQ1424" s="105">
        <f>IF($AI$1335&gt;0,PPMT('Assumptions (Hydro)'!$V$6,Model!AE$1,'Assumptions (Hydro)'!$V$9,'Assumptions (Hydro)'!$V$4*Model!$AI$1335*AVERAGE('Assumptions (Hydro)'!$AE$2:$AG$2)/10^9),0)</f>
        <v>0</v>
      </c>
      <c r="AR1424" s="105">
        <f>IF($AI$1335&gt;0,PPMT('Assumptions (Hydro)'!$V$6,Model!AF$1,'Assumptions (Hydro)'!$V$9,'Assumptions (Hydro)'!$V$4*Model!$AI$1335*AVERAGE('Assumptions (Hydro)'!$AE$2:$AG$2)/10^9),0)</f>
        <v>0</v>
      </c>
      <c r="AS1424" s="105">
        <f>IF($AI$1335&gt;0,PPMT('Assumptions (Hydro)'!$V$6,Model!AG$1,'Assumptions (Hydro)'!$V$9,'Assumptions (Hydro)'!$V$4*Model!$AI$1335*AVERAGE('Assumptions (Hydro)'!$AE$2:$AG$2)/10^9),0)</f>
        <v>0</v>
      </c>
      <c r="AT1424" s="105">
        <f>IF($AI$1335&gt;0,PPMT('Assumptions (Hydro)'!$V$6,Model!AH$1,'Assumptions (Hydro)'!$V$9,'Assumptions (Hydro)'!$V$4*Model!$AI$1335*AVERAGE('Assumptions (Hydro)'!$AE$2:$AG$2)/10^9),0)</f>
        <v>0</v>
      </c>
      <c r="AU1424" s="105">
        <f>IF($AI$1335&gt;0,PPMT('Assumptions (Hydro)'!$V$6,Model!AI$1,'Assumptions (Hydro)'!$V$9,'Assumptions (Hydro)'!$V$4*Model!$AI$1335*AVERAGE('Assumptions (Hydro)'!$AE$2:$AG$2)/10^9),0)</f>
        <v>0</v>
      </c>
      <c r="AV1424" s="105">
        <f>IF($AI$1335&gt;0,PPMT('Assumptions (Hydro)'!$V$6,Model!AJ$1,'Assumptions (Hydro)'!$V$9,'Assumptions (Hydro)'!$V$4*Model!$AI$1335*AVERAGE('Assumptions (Hydro)'!$AE$2:$AG$2)/10^9),0)</f>
        <v>0</v>
      </c>
      <c r="AW1424" s="105">
        <f>IF($AI$1335&gt;0,PPMT('Assumptions (Hydro)'!$V$6,Model!AK$1,'Assumptions (Hydro)'!$V$9,'Assumptions (Hydro)'!$V$4*Model!$AI$1335*AVERAGE('Assumptions (Hydro)'!$AE$2:$AG$2)/10^9),0)</f>
        <v>0</v>
      </c>
      <c r="AX1424" s="105"/>
      <c r="AY1424" s="105"/>
      <c r="AZ1424" s="105"/>
      <c r="BA1424" s="105"/>
      <c r="BB1424" s="105"/>
      <c r="BC1424" s="105"/>
      <c r="BD1424" s="105"/>
      <c r="BE1424" s="105"/>
      <c r="BF1424" s="105"/>
      <c r="BG1424" s="105"/>
    </row>
    <row r="1425" spans="1:75" ht="15.75" hidden="1" customHeight="1" outlineLevel="1">
      <c r="A1425" s="413"/>
      <c r="B1425" s="99"/>
      <c r="C1425" s="99"/>
      <c r="D1425" s="99"/>
      <c r="E1425" s="99"/>
      <c r="F1425" s="99"/>
      <c r="G1425" s="99"/>
      <c r="H1425" s="99"/>
      <c r="I1425" s="99"/>
      <c r="J1425" s="99"/>
      <c r="K1425" s="99"/>
      <c r="L1425" s="99"/>
      <c r="M1425" s="99"/>
      <c r="N1425" s="99"/>
      <c r="O1425" s="99"/>
      <c r="P1425" s="99"/>
      <c r="Q1425" s="99"/>
      <c r="R1425" s="99"/>
      <c r="S1425" s="99"/>
      <c r="T1425" s="99"/>
      <c r="U1425" s="99"/>
      <c r="V1425" s="99"/>
      <c r="W1425" s="105"/>
      <c r="X1425" s="105"/>
      <c r="Y1425" s="105"/>
      <c r="Z1425" s="105"/>
      <c r="AA1425" s="105"/>
      <c r="AB1425" s="105"/>
      <c r="AC1425" s="105"/>
      <c r="AD1425" s="105"/>
      <c r="AE1425" s="105"/>
      <c r="AF1425" s="105"/>
      <c r="AG1425" s="105"/>
      <c r="AH1425" s="105"/>
      <c r="AI1425" s="105"/>
      <c r="AJ1425" s="91">
        <f>IF($AJ$1335&gt;0,PPMT('Assumptions (Hydro)'!$V$6,Model!W$1,'Assumptions (Hydro)'!$V$9,'Assumptions (Hydro)'!$V$4*Model!$AJ$1335*AVERAGE('Assumptions (Hydro)'!$AF$2:$AH$2)/10^9),0)</f>
        <v>0</v>
      </c>
      <c r="AK1425" s="91">
        <f>IF($AJ$1335&gt;0,PPMT('Assumptions (Hydro)'!$V$6,Model!X$1,'Assumptions (Hydro)'!$V$9,'Assumptions (Hydro)'!$V$4*Model!$AJ$1335*AVERAGE('Assumptions (Hydro)'!$AF$2:$AH$2)/10^9),0)</f>
        <v>0</v>
      </c>
      <c r="AL1425" s="91">
        <f>IF($AJ$1335&gt;0,PPMT('Assumptions (Hydro)'!$V$6,Model!Y$1,'Assumptions (Hydro)'!$V$9,'Assumptions (Hydro)'!$V$4*Model!$AJ$1335*AVERAGE('Assumptions (Hydro)'!$AF$2:$AH$2)/10^9),0)</f>
        <v>0</v>
      </c>
      <c r="AM1425" s="91">
        <f>IF($AJ$1335&gt;0,PPMT('Assumptions (Hydro)'!$V$6,Model!Z$1,'Assumptions (Hydro)'!$V$9,'Assumptions (Hydro)'!$V$4*Model!$AJ$1335*AVERAGE('Assumptions (Hydro)'!$AF$2:$AH$2)/10^9),0)</f>
        <v>0</v>
      </c>
      <c r="AN1425" s="91">
        <f>IF($AJ$1335&gt;0,PPMT('Assumptions (Hydro)'!$V$6,Model!AA$1,'Assumptions (Hydro)'!$V$9,'Assumptions (Hydro)'!$V$4*Model!$AJ$1335*AVERAGE('Assumptions (Hydro)'!$AF$2:$AH$2)/10^9),0)</f>
        <v>0</v>
      </c>
      <c r="AO1425" s="91">
        <f>IF($AJ$1335&gt;0,PPMT('Assumptions (Hydro)'!$V$6,Model!AB$1,'Assumptions (Hydro)'!$V$9,'Assumptions (Hydro)'!$V$4*Model!$AJ$1335*AVERAGE('Assumptions (Hydro)'!$AF$2:$AH$2)/10^9),0)</f>
        <v>0</v>
      </c>
      <c r="AP1425" s="91">
        <f>IF($AJ$1335&gt;0,PPMT('Assumptions (Hydro)'!$V$6,Model!AC$1,'Assumptions (Hydro)'!$V$9,'Assumptions (Hydro)'!$V$4*Model!$AJ$1335*AVERAGE('Assumptions (Hydro)'!$AF$2:$AH$2)/10^9),0)</f>
        <v>0</v>
      </c>
      <c r="AQ1425" s="91">
        <f>IF($AJ$1335&gt;0,PPMT('Assumptions (Hydro)'!$V$6,Model!AD$1,'Assumptions (Hydro)'!$V$9,'Assumptions (Hydro)'!$V$4*Model!$AJ$1335*AVERAGE('Assumptions (Hydro)'!$AF$2:$AH$2)/10^9),0)</f>
        <v>0</v>
      </c>
      <c r="AR1425" s="91">
        <f>IF($AJ$1335&gt;0,PPMT('Assumptions (Hydro)'!$V$6,Model!AE$1,'Assumptions (Hydro)'!$V$9,'Assumptions (Hydro)'!$V$4*Model!$AJ$1335*AVERAGE('Assumptions (Hydro)'!$AF$2:$AH$2)/10^9),0)</f>
        <v>0</v>
      </c>
      <c r="AS1425" s="91">
        <f>IF($AJ$1335&gt;0,PPMT('Assumptions (Hydro)'!$V$6,Model!AF$1,'Assumptions (Hydro)'!$V$9,'Assumptions (Hydro)'!$V$4*Model!$AJ$1335*AVERAGE('Assumptions (Hydro)'!$AF$2:$AH$2)/10^9),0)</f>
        <v>0</v>
      </c>
      <c r="AT1425" s="91">
        <f>IF($AJ$1335&gt;0,PPMT('Assumptions (Hydro)'!$V$6,Model!AG$1,'Assumptions (Hydro)'!$V$9,'Assumptions (Hydro)'!$V$4*Model!$AJ$1335*AVERAGE('Assumptions (Hydro)'!$AF$2:$AH$2)/10^9),0)</f>
        <v>0</v>
      </c>
      <c r="AU1425" s="91">
        <f>IF($AJ$1335&gt;0,PPMT('Assumptions (Hydro)'!$V$6,Model!AH$1,'Assumptions (Hydro)'!$V$9,'Assumptions (Hydro)'!$V$4*Model!$AJ$1335*AVERAGE('Assumptions (Hydro)'!$AF$2:$AH$2)/10^9),0)</f>
        <v>0</v>
      </c>
      <c r="AV1425" s="91">
        <f>IF($AJ$1335&gt;0,PPMT('Assumptions (Hydro)'!$V$6,Model!AI$1,'Assumptions (Hydro)'!$V$9,'Assumptions (Hydro)'!$V$4*Model!$AJ$1335*AVERAGE('Assumptions (Hydro)'!$AF$2:$AH$2)/10^9),0)</f>
        <v>0</v>
      </c>
      <c r="AW1425" s="91">
        <f>IF($AJ$1335&gt;0,PPMT('Assumptions (Hydro)'!$V$6,Model!AJ$1,'Assumptions (Hydro)'!$V$9,'Assumptions (Hydro)'!$V$4*Model!$AJ$1335*AVERAGE('Assumptions (Hydro)'!$AF$2:$AH$2)/10^9),0)</f>
        <v>0</v>
      </c>
      <c r="AX1425" s="91">
        <f>IF($AJ$1335&gt;0,PPMT('Assumptions (Hydro)'!$V$6,Model!AK$1,'Assumptions (Hydro)'!$V$9,'Assumptions (Hydro)'!$V$4*Model!$AJ$1335*AVERAGE('Assumptions (Hydro)'!$AF$2:$AH$2)/10^9),0)</f>
        <v>0</v>
      </c>
      <c r="AY1425" s="91"/>
      <c r="AZ1425" s="91"/>
      <c r="BA1425" s="91"/>
      <c r="BB1425" s="91"/>
      <c r="BC1425" s="91"/>
      <c r="BD1425" s="91"/>
      <c r="BE1425" s="91"/>
      <c r="BF1425" s="91"/>
      <c r="BG1425" s="91"/>
      <c r="BH1425" s="91"/>
    </row>
    <row r="1426" spans="1:75" ht="15.75" hidden="1" customHeight="1" outlineLevel="1">
      <c r="A1426" s="413"/>
      <c r="B1426" s="99"/>
      <c r="C1426" s="99"/>
      <c r="D1426" s="99"/>
      <c r="E1426" s="99"/>
      <c r="F1426" s="99"/>
      <c r="G1426" s="99"/>
      <c r="H1426" s="99"/>
      <c r="I1426" s="99"/>
      <c r="J1426" s="99"/>
      <c r="K1426" s="99"/>
      <c r="L1426" s="99"/>
      <c r="M1426" s="99"/>
      <c r="N1426" s="99"/>
      <c r="O1426" s="99"/>
      <c r="P1426" s="99"/>
      <c r="Q1426" s="99"/>
      <c r="R1426" s="99"/>
      <c r="S1426" s="99"/>
      <c r="T1426" s="99"/>
      <c r="U1426" s="99"/>
      <c r="V1426" s="99"/>
      <c r="W1426" s="105"/>
      <c r="X1426" s="105"/>
      <c r="Y1426" s="105"/>
      <c r="Z1426" s="105"/>
      <c r="AA1426" s="105"/>
      <c r="AB1426" s="105"/>
      <c r="AC1426" s="105"/>
      <c r="AD1426" s="105"/>
      <c r="AE1426" s="105"/>
      <c r="AF1426" s="105"/>
      <c r="AG1426" s="105"/>
      <c r="AH1426" s="105"/>
      <c r="AI1426" s="105"/>
      <c r="AJ1426" s="171"/>
      <c r="AK1426" s="105">
        <f>IF($AK$1335&gt;0,PPMT('Assumptions (Hydro)'!$V$6,Model!W$1,'Assumptions (Hydro)'!$V$9,'Assumptions (Hydro)'!$V$4*Model!$AK$1335*AVERAGE('Assumptions (Hydro)'!$AG$2:$AI$2)/10^9),0)</f>
        <v>0</v>
      </c>
      <c r="AL1426" s="105">
        <f>IF($AK$1335&gt;0,PPMT('Assumptions (Hydro)'!$V$6,Model!X$1,'Assumptions (Hydro)'!$V$9,'Assumptions (Hydro)'!$V$4*Model!$AK$1335*AVERAGE('Assumptions (Hydro)'!$AG$2:$AI$2)/10^9),0)</f>
        <v>0</v>
      </c>
      <c r="AM1426" s="105">
        <f>IF($AK$1335&gt;0,PPMT('Assumptions (Hydro)'!$V$6,Model!Y$1,'Assumptions (Hydro)'!$V$9,'Assumptions (Hydro)'!$V$4*Model!$AK$1335*AVERAGE('Assumptions (Hydro)'!$AG$2:$AI$2)/10^9),0)</f>
        <v>0</v>
      </c>
      <c r="AN1426" s="105">
        <f>IF($AK$1335&gt;0,PPMT('Assumptions (Hydro)'!$V$6,Model!Z$1,'Assumptions (Hydro)'!$V$9,'Assumptions (Hydro)'!$V$4*Model!$AK$1335*AVERAGE('Assumptions (Hydro)'!$AG$2:$AI$2)/10^9),0)</f>
        <v>0</v>
      </c>
      <c r="AO1426" s="105">
        <f>IF($AK$1335&gt;0,PPMT('Assumptions (Hydro)'!$V$6,Model!AA$1,'Assumptions (Hydro)'!$V$9,'Assumptions (Hydro)'!$V$4*Model!$AK$1335*AVERAGE('Assumptions (Hydro)'!$AG$2:$AI$2)/10^9),0)</f>
        <v>0</v>
      </c>
      <c r="AP1426" s="105">
        <f>IF($AK$1335&gt;0,PPMT('Assumptions (Hydro)'!$V$6,Model!AB$1,'Assumptions (Hydro)'!$V$9,'Assumptions (Hydro)'!$V$4*Model!$AK$1335*AVERAGE('Assumptions (Hydro)'!$AG$2:$AI$2)/10^9),0)</f>
        <v>0</v>
      </c>
      <c r="AQ1426" s="105">
        <f>IF($AK$1335&gt;0,PPMT('Assumptions (Hydro)'!$V$6,Model!AC$1,'Assumptions (Hydro)'!$V$9,'Assumptions (Hydro)'!$V$4*Model!$AK$1335*AVERAGE('Assumptions (Hydro)'!$AG$2:$AI$2)/10^9),0)</f>
        <v>0</v>
      </c>
      <c r="AR1426" s="105">
        <f>IF($AK$1335&gt;0,PPMT('Assumptions (Hydro)'!$V$6,Model!AD$1,'Assumptions (Hydro)'!$V$9,'Assumptions (Hydro)'!$V$4*Model!$AK$1335*AVERAGE('Assumptions (Hydro)'!$AG$2:$AI$2)/10^9),0)</f>
        <v>0</v>
      </c>
      <c r="AS1426" s="105">
        <f>IF($AK$1335&gt;0,PPMT('Assumptions (Hydro)'!$V$6,Model!AE$1,'Assumptions (Hydro)'!$V$9,'Assumptions (Hydro)'!$V$4*Model!$AK$1335*AVERAGE('Assumptions (Hydro)'!$AG$2:$AI$2)/10^9),0)</f>
        <v>0</v>
      </c>
      <c r="AT1426" s="105">
        <f>IF($AK$1335&gt;0,PPMT('Assumptions (Hydro)'!$V$6,Model!AF$1,'Assumptions (Hydro)'!$V$9,'Assumptions (Hydro)'!$V$4*Model!$AK$1335*AVERAGE('Assumptions (Hydro)'!$AG$2:$AI$2)/10^9),0)</f>
        <v>0</v>
      </c>
      <c r="AU1426" s="105">
        <f>IF($AK$1335&gt;0,PPMT('Assumptions (Hydro)'!$V$6,Model!AG$1,'Assumptions (Hydro)'!$V$9,'Assumptions (Hydro)'!$V$4*Model!$AK$1335*AVERAGE('Assumptions (Hydro)'!$AG$2:$AI$2)/10^9),0)</f>
        <v>0</v>
      </c>
      <c r="AV1426" s="105">
        <f>IF($AK$1335&gt;0,PPMT('Assumptions (Hydro)'!$V$6,Model!AH$1,'Assumptions (Hydro)'!$V$9,'Assumptions (Hydro)'!$V$4*Model!$AK$1335*AVERAGE('Assumptions (Hydro)'!$AG$2:$AI$2)/10^9),0)</f>
        <v>0</v>
      </c>
      <c r="AW1426" s="105">
        <f>IF($AK$1335&gt;0,PPMT('Assumptions (Hydro)'!$V$6,Model!AI$1,'Assumptions (Hydro)'!$V$9,'Assumptions (Hydro)'!$V$4*Model!$AK$1335*AVERAGE('Assumptions (Hydro)'!$AG$2:$AI$2)/10^9),0)</f>
        <v>0</v>
      </c>
      <c r="AX1426" s="105">
        <f>IF($AK$1335&gt;0,PPMT('Assumptions (Hydro)'!$V$6,Model!AJ$1,'Assumptions (Hydro)'!$V$9,'Assumptions (Hydro)'!$V$4*Model!$AK$1335*AVERAGE('Assumptions (Hydro)'!$AG$2:$AI$2)/10^9),0)</f>
        <v>0</v>
      </c>
      <c r="AY1426" s="105">
        <f>IF($AK$1335&gt;0,PPMT('Assumptions (Hydro)'!$V$6,Model!AK$1,'Assumptions (Hydro)'!$V$9,'Assumptions (Hydro)'!$V$4*Model!$AK$1335*AVERAGE('Assumptions (Hydro)'!$AG$2:$AI$2)/10^9),0)</f>
        <v>0</v>
      </c>
      <c r="AZ1426" s="105"/>
      <c r="BA1426" s="105"/>
      <c r="BB1426" s="105"/>
      <c r="BC1426" s="105"/>
      <c r="BD1426" s="105"/>
      <c r="BE1426" s="105"/>
      <c r="BF1426" s="105"/>
      <c r="BG1426" s="105"/>
      <c r="BH1426" s="105"/>
      <c r="BI1426" s="105"/>
    </row>
    <row r="1427" spans="1:75" ht="15.75" hidden="1" customHeight="1" outlineLevel="1">
      <c r="A1427" s="413"/>
      <c r="B1427" s="99"/>
      <c r="C1427" s="99"/>
      <c r="D1427" s="99"/>
      <c r="E1427" s="99"/>
      <c r="F1427" s="99"/>
      <c r="G1427" s="99"/>
      <c r="H1427" s="99"/>
      <c r="I1427" s="99"/>
      <c r="J1427" s="99"/>
      <c r="K1427" s="99"/>
      <c r="L1427" s="99"/>
      <c r="M1427" s="99"/>
      <c r="N1427" s="99"/>
      <c r="O1427" s="99"/>
      <c r="P1427" s="99"/>
      <c r="Q1427" s="99"/>
      <c r="R1427" s="99"/>
      <c r="S1427" s="99"/>
      <c r="T1427" s="99"/>
      <c r="U1427" s="99"/>
      <c r="V1427" s="99"/>
      <c r="W1427" s="105"/>
      <c r="X1427" s="105"/>
      <c r="Y1427" s="105"/>
      <c r="Z1427" s="105"/>
      <c r="AA1427" s="105"/>
      <c r="AB1427" s="105"/>
      <c r="AC1427" s="105"/>
      <c r="AD1427" s="105"/>
      <c r="AE1427" s="105"/>
      <c r="AF1427" s="105"/>
      <c r="AG1427" s="105"/>
      <c r="AH1427" s="105"/>
      <c r="AI1427" s="105"/>
      <c r="AJ1427" s="171"/>
      <c r="AK1427" s="105"/>
      <c r="AL1427" s="91">
        <f>IF($AL$1335&gt;0,PPMT('Assumptions (Hydro)'!$V$6,Model!W$1,'Assumptions (Hydro)'!$V$9,'Assumptions (Hydro)'!$V$4*Model!$AL$1335*AVERAGE('Assumptions (Hydro)'!$AH$2:$AJ$2)/10^9),0)</f>
        <v>0</v>
      </c>
      <c r="AM1427" s="91">
        <f>IF($AL$1335&gt;0,PPMT('Assumptions (Hydro)'!$V$6,Model!X$1,'Assumptions (Hydro)'!$V$9,'Assumptions (Hydro)'!$V$4*Model!$AL$1335*AVERAGE('Assumptions (Hydro)'!$AH$2:$AJ$2)/10^9),0)</f>
        <v>0</v>
      </c>
      <c r="AN1427" s="91">
        <f>IF($AL$1335&gt;0,PPMT('Assumptions (Hydro)'!$V$6,Model!Y$1,'Assumptions (Hydro)'!$V$9,'Assumptions (Hydro)'!$V$4*Model!$AL$1335*AVERAGE('Assumptions (Hydro)'!$AH$2:$AJ$2)/10^9),0)</f>
        <v>0</v>
      </c>
      <c r="AO1427" s="91">
        <f>IF($AL$1335&gt;0,PPMT('Assumptions (Hydro)'!$V$6,Model!Z$1,'Assumptions (Hydro)'!$V$9,'Assumptions (Hydro)'!$V$4*Model!$AL$1335*AVERAGE('Assumptions (Hydro)'!$AH$2:$AJ$2)/10^9),0)</f>
        <v>0</v>
      </c>
      <c r="AP1427" s="91">
        <f>IF($AL$1335&gt;0,PPMT('Assumptions (Hydro)'!$V$6,Model!AA$1,'Assumptions (Hydro)'!$V$9,'Assumptions (Hydro)'!$V$4*Model!$AL$1335*AVERAGE('Assumptions (Hydro)'!$AH$2:$AJ$2)/10^9),0)</f>
        <v>0</v>
      </c>
      <c r="AQ1427" s="91">
        <f>IF($AL$1335&gt;0,PPMT('Assumptions (Hydro)'!$V$6,Model!AB$1,'Assumptions (Hydro)'!$V$9,'Assumptions (Hydro)'!$V$4*Model!$AL$1335*AVERAGE('Assumptions (Hydro)'!$AH$2:$AJ$2)/10^9),0)</f>
        <v>0</v>
      </c>
      <c r="AR1427" s="91">
        <f>IF($AL$1335&gt;0,PPMT('Assumptions (Hydro)'!$V$6,Model!AC$1,'Assumptions (Hydro)'!$V$9,'Assumptions (Hydro)'!$V$4*Model!$AL$1335*AVERAGE('Assumptions (Hydro)'!$AH$2:$AJ$2)/10^9),0)</f>
        <v>0</v>
      </c>
      <c r="AS1427" s="91">
        <f>IF($AL$1335&gt;0,PPMT('Assumptions (Hydro)'!$V$6,Model!AD$1,'Assumptions (Hydro)'!$V$9,'Assumptions (Hydro)'!$V$4*Model!$AL$1335*AVERAGE('Assumptions (Hydro)'!$AH$2:$AJ$2)/10^9),0)</f>
        <v>0</v>
      </c>
      <c r="AT1427" s="91">
        <f>IF($AL$1335&gt;0,PPMT('Assumptions (Hydro)'!$V$6,Model!AE$1,'Assumptions (Hydro)'!$V$9,'Assumptions (Hydro)'!$V$4*Model!$AL$1335*AVERAGE('Assumptions (Hydro)'!$AH$2:$AJ$2)/10^9),0)</f>
        <v>0</v>
      </c>
      <c r="AU1427" s="91">
        <f>IF($AL$1335&gt;0,PPMT('Assumptions (Hydro)'!$V$6,Model!AF$1,'Assumptions (Hydro)'!$V$9,'Assumptions (Hydro)'!$V$4*Model!$AL$1335*AVERAGE('Assumptions (Hydro)'!$AH$2:$AJ$2)/10^9),0)</f>
        <v>0</v>
      </c>
      <c r="AV1427" s="91">
        <f>IF($AL$1335&gt;0,PPMT('Assumptions (Hydro)'!$V$6,Model!AG$1,'Assumptions (Hydro)'!$V$9,'Assumptions (Hydro)'!$V$4*Model!$AL$1335*AVERAGE('Assumptions (Hydro)'!$AH$2:$AJ$2)/10^9),0)</f>
        <v>0</v>
      </c>
      <c r="AW1427" s="91">
        <f>IF($AL$1335&gt;0,PPMT('Assumptions (Hydro)'!$V$6,Model!AH$1,'Assumptions (Hydro)'!$V$9,'Assumptions (Hydro)'!$V$4*Model!$AL$1335*AVERAGE('Assumptions (Hydro)'!$AH$2:$AJ$2)/10^9),0)</f>
        <v>0</v>
      </c>
      <c r="AX1427" s="91">
        <f>IF($AL$1335&gt;0,PPMT('Assumptions (Hydro)'!$V$6,Model!AI$1,'Assumptions (Hydro)'!$V$9,'Assumptions (Hydro)'!$V$4*Model!$AL$1335*AVERAGE('Assumptions (Hydro)'!$AH$2:$AJ$2)/10^9),0)</f>
        <v>0</v>
      </c>
      <c r="AY1427" s="91">
        <f>IF($AL$1335&gt;0,PPMT('Assumptions (Hydro)'!$V$6,Model!AJ$1,'Assumptions (Hydro)'!$V$9,'Assumptions (Hydro)'!$V$4*Model!$AL$1335*AVERAGE('Assumptions (Hydro)'!$AH$2:$AJ$2)/10^9),0)</f>
        <v>0</v>
      </c>
      <c r="AZ1427" s="91">
        <f>IF($AL$1335&gt;0,PPMT('Assumptions (Hydro)'!$V$6,Model!AK$1,'Assumptions (Hydro)'!$V$9,'Assumptions (Hydro)'!$V$4*Model!$AL$1335*AVERAGE('Assumptions (Hydro)'!$AH$2:$AJ$2)/10^9),0)</f>
        <v>0</v>
      </c>
      <c r="BA1427" s="91"/>
      <c r="BB1427" s="91"/>
      <c r="BC1427" s="91"/>
      <c r="BD1427" s="91"/>
      <c r="BE1427" s="91"/>
      <c r="BF1427" s="91"/>
      <c r="BG1427" s="91"/>
      <c r="BH1427" s="91"/>
      <c r="BI1427" s="91"/>
      <c r="BJ1427" s="91"/>
    </row>
    <row r="1428" spans="1:75" ht="15.75" hidden="1" customHeight="1" outlineLevel="1">
      <c r="A1428" s="413"/>
      <c r="B1428" s="99"/>
      <c r="C1428" s="99"/>
      <c r="D1428" s="99"/>
      <c r="E1428" s="99"/>
      <c r="F1428" s="99"/>
      <c r="G1428" s="99"/>
      <c r="H1428" s="99"/>
      <c r="I1428" s="99"/>
      <c r="J1428" s="99"/>
      <c r="K1428" s="99"/>
      <c r="L1428" s="99"/>
      <c r="M1428" s="99"/>
      <c r="N1428" s="99"/>
      <c r="O1428" s="99"/>
      <c r="P1428" s="99"/>
      <c r="Q1428" s="99"/>
      <c r="R1428" s="99"/>
      <c r="S1428" s="99"/>
      <c r="T1428" s="99"/>
      <c r="U1428" s="99"/>
      <c r="V1428" s="99"/>
      <c r="W1428" s="105"/>
      <c r="X1428" s="105"/>
      <c r="Y1428" s="105"/>
      <c r="Z1428" s="105"/>
      <c r="AA1428" s="105"/>
      <c r="AB1428" s="105"/>
      <c r="AC1428" s="105"/>
      <c r="AD1428" s="105"/>
      <c r="AE1428" s="105"/>
      <c r="AF1428" s="105"/>
      <c r="AG1428" s="105"/>
      <c r="AH1428" s="105"/>
      <c r="AI1428" s="105"/>
      <c r="AJ1428" s="171"/>
      <c r="AK1428" s="105"/>
      <c r="AL1428" s="91"/>
      <c r="AM1428" s="105">
        <f>IF($AM$1335&gt;0,PPMT('Assumptions (Hydro)'!$V$6,Model!W$1,'Assumptions (Hydro)'!$V$9,'Assumptions (Hydro)'!$V$4*Model!$AM$1335*AVERAGE('Assumptions (Hydro)'!$AI$2:$AK$2)/10^9),0)</f>
        <v>0</v>
      </c>
      <c r="AN1428" s="105">
        <f>IF($AM$1335&gt;0,PPMT('Assumptions (Hydro)'!$V$6,Model!X$1,'Assumptions (Hydro)'!$V$9,'Assumptions (Hydro)'!$V$4*Model!$AM$1335*AVERAGE('Assumptions (Hydro)'!$AI$2:$AK$2)/10^9),0)</f>
        <v>0</v>
      </c>
      <c r="AO1428" s="105">
        <f>IF($AM$1335&gt;0,PPMT('Assumptions (Hydro)'!$V$6,Model!Y$1,'Assumptions (Hydro)'!$V$9,'Assumptions (Hydro)'!$V$4*Model!$AM$1335*AVERAGE('Assumptions (Hydro)'!$AI$2:$AK$2)/10^9),0)</f>
        <v>0</v>
      </c>
      <c r="AP1428" s="105">
        <f>IF($AM$1335&gt;0,PPMT('Assumptions (Hydro)'!$V$6,Model!Z$1,'Assumptions (Hydro)'!$V$9,'Assumptions (Hydro)'!$V$4*Model!$AM$1335*AVERAGE('Assumptions (Hydro)'!$AI$2:$AK$2)/10^9),0)</f>
        <v>0</v>
      </c>
      <c r="AQ1428" s="105">
        <f>IF($AM$1335&gt;0,PPMT('Assumptions (Hydro)'!$V$6,Model!AA$1,'Assumptions (Hydro)'!$V$9,'Assumptions (Hydro)'!$V$4*Model!$AM$1335*AVERAGE('Assumptions (Hydro)'!$AI$2:$AK$2)/10^9),0)</f>
        <v>0</v>
      </c>
      <c r="AR1428" s="105">
        <f>IF($AM$1335&gt;0,PPMT('Assumptions (Hydro)'!$V$6,Model!AB$1,'Assumptions (Hydro)'!$V$9,'Assumptions (Hydro)'!$V$4*Model!$AM$1335*AVERAGE('Assumptions (Hydro)'!$AI$2:$AK$2)/10^9),0)</f>
        <v>0</v>
      </c>
      <c r="AS1428" s="105">
        <f>IF($AM$1335&gt;0,PPMT('Assumptions (Hydro)'!$V$6,Model!AC$1,'Assumptions (Hydro)'!$V$9,'Assumptions (Hydro)'!$V$4*Model!$AM$1335*AVERAGE('Assumptions (Hydro)'!$AI$2:$AK$2)/10^9),0)</f>
        <v>0</v>
      </c>
      <c r="AT1428" s="105">
        <f>IF($AM$1335&gt;0,PPMT('Assumptions (Hydro)'!$V$6,Model!AD$1,'Assumptions (Hydro)'!$V$9,'Assumptions (Hydro)'!$V$4*Model!$AM$1335*AVERAGE('Assumptions (Hydro)'!$AI$2:$AK$2)/10^9),0)</f>
        <v>0</v>
      </c>
      <c r="AU1428" s="105">
        <f>IF($AM$1335&gt;0,PPMT('Assumptions (Hydro)'!$V$6,Model!AE$1,'Assumptions (Hydro)'!$V$9,'Assumptions (Hydro)'!$V$4*Model!$AM$1335*AVERAGE('Assumptions (Hydro)'!$AI$2:$AK$2)/10^9),0)</f>
        <v>0</v>
      </c>
      <c r="AV1428" s="105">
        <f>IF($AM$1335&gt;0,PPMT('Assumptions (Hydro)'!$V$6,Model!AF$1,'Assumptions (Hydro)'!$V$9,'Assumptions (Hydro)'!$V$4*Model!$AM$1335*AVERAGE('Assumptions (Hydro)'!$AI$2:$AK$2)/10^9),0)</f>
        <v>0</v>
      </c>
      <c r="AW1428" s="105">
        <f>IF($AM$1335&gt;0,PPMT('Assumptions (Hydro)'!$V$6,Model!AG$1,'Assumptions (Hydro)'!$V$9,'Assumptions (Hydro)'!$V$4*Model!$AM$1335*AVERAGE('Assumptions (Hydro)'!$AI$2:$AK$2)/10^9),0)</f>
        <v>0</v>
      </c>
      <c r="AX1428" s="105">
        <f>IF($AM$1335&gt;0,PPMT('Assumptions (Hydro)'!$V$6,Model!AH$1,'Assumptions (Hydro)'!$V$9,'Assumptions (Hydro)'!$V$4*Model!$AM$1335*AVERAGE('Assumptions (Hydro)'!$AI$2:$AK$2)/10^9),0)</f>
        <v>0</v>
      </c>
      <c r="AY1428" s="105">
        <f>IF($AM$1335&gt;0,PPMT('Assumptions (Hydro)'!$V$6,Model!AI$1,'Assumptions (Hydro)'!$V$9,'Assumptions (Hydro)'!$V$4*Model!$AM$1335*AVERAGE('Assumptions (Hydro)'!$AI$2:$AK$2)/10^9),0)</f>
        <v>0</v>
      </c>
      <c r="AZ1428" s="105">
        <f>IF($AM$1335&gt;0,PPMT('Assumptions (Hydro)'!$V$6,Model!AJ$1,'Assumptions (Hydro)'!$V$9,'Assumptions (Hydro)'!$V$4*Model!$AM$1335*AVERAGE('Assumptions (Hydro)'!$AI$2:$AK$2)/10^9),0)</f>
        <v>0</v>
      </c>
      <c r="BA1428" s="105">
        <f>IF($AM$1335&gt;0,PPMT('Assumptions (Hydro)'!$V$6,Model!AK$1,'Assumptions (Hydro)'!$V$9,'Assumptions (Hydro)'!$V$4*Model!$AM$1335*AVERAGE('Assumptions (Hydro)'!$AI$2:$AK$2)/10^9),0)</f>
        <v>0</v>
      </c>
      <c r="BB1428" s="105"/>
      <c r="BC1428" s="105"/>
      <c r="BD1428" s="105"/>
      <c r="BE1428" s="105"/>
      <c r="BF1428" s="105"/>
      <c r="BG1428" s="105"/>
      <c r="BH1428" s="105"/>
      <c r="BI1428" s="105"/>
      <c r="BJ1428" s="105"/>
      <c r="BK1428" s="105"/>
    </row>
    <row r="1429" spans="1:75" ht="15.75" hidden="1" customHeight="1" outlineLevel="1">
      <c r="A1429" s="413"/>
      <c r="B1429" s="99"/>
      <c r="C1429" s="99"/>
      <c r="D1429" s="99"/>
      <c r="E1429" s="99"/>
      <c r="F1429" s="99"/>
      <c r="G1429" s="99"/>
      <c r="H1429" s="99"/>
      <c r="I1429" s="99"/>
      <c r="J1429" s="99"/>
      <c r="K1429" s="99"/>
      <c r="L1429" s="99"/>
      <c r="M1429" s="99"/>
      <c r="N1429" s="99"/>
      <c r="O1429" s="99"/>
      <c r="P1429" s="99"/>
      <c r="Q1429" s="99"/>
      <c r="R1429" s="99"/>
      <c r="S1429" s="99"/>
      <c r="T1429" s="99"/>
      <c r="U1429" s="99"/>
      <c r="V1429" s="99"/>
      <c r="W1429" s="105"/>
      <c r="X1429" s="105"/>
      <c r="Y1429" s="105"/>
      <c r="Z1429" s="105"/>
      <c r="AA1429" s="105"/>
      <c r="AB1429" s="105"/>
      <c r="AC1429" s="105"/>
      <c r="AD1429" s="105"/>
      <c r="AE1429" s="105"/>
      <c r="AF1429" s="105"/>
      <c r="AG1429" s="105"/>
      <c r="AH1429" s="105"/>
      <c r="AI1429" s="105"/>
      <c r="AJ1429" s="171"/>
      <c r="AK1429" s="105"/>
      <c r="AL1429" s="91"/>
      <c r="AM1429" s="91"/>
      <c r="AN1429" s="105">
        <f>IF($AN$1335&gt;0,PPMT('Assumptions (Hydro)'!$V$6,Model!W$1,'Assumptions (Hydro)'!$V$9,'Assumptions (Hydro)'!$V$4*Model!$AN$1335*AVERAGE('Assumptions (Hydro)'!$AJ$2:$AL$2)/10^9),0)</f>
        <v>0</v>
      </c>
      <c r="AO1429" s="105">
        <f>IF($AN$1335&gt;0,PPMT('Assumptions (Hydro)'!$V$6,Model!X$1,'Assumptions (Hydro)'!$V$9,'Assumptions (Hydro)'!$V$4*Model!$AN$1335*AVERAGE('Assumptions (Hydro)'!$AJ$2:$AL$2)/10^9),0)</f>
        <v>0</v>
      </c>
      <c r="AP1429" s="105">
        <f>IF($AN$1335&gt;0,PPMT('Assumptions (Hydro)'!$V$6,Model!Y$1,'Assumptions (Hydro)'!$V$9,'Assumptions (Hydro)'!$V$4*Model!$AN$1335*AVERAGE('Assumptions (Hydro)'!$AJ$2:$AL$2)/10^9),0)</f>
        <v>0</v>
      </c>
      <c r="AQ1429" s="105">
        <f>IF($AN$1335&gt;0,PPMT('Assumptions (Hydro)'!$V$6,Model!Z$1,'Assumptions (Hydro)'!$V$9,'Assumptions (Hydro)'!$V$4*Model!$AN$1335*AVERAGE('Assumptions (Hydro)'!$AJ$2:$AL$2)/10^9),0)</f>
        <v>0</v>
      </c>
      <c r="AR1429" s="105">
        <f>IF($AN$1335&gt;0,PPMT('Assumptions (Hydro)'!$V$6,Model!AA$1,'Assumptions (Hydro)'!$V$9,'Assumptions (Hydro)'!$V$4*Model!$AN$1335*AVERAGE('Assumptions (Hydro)'!$AJ$2:$AL$2)/10^9),0)</f>
        <v>0</v>
      </c>
      <c r="AS1429" s="105">
        <f>IF($AN$1335&gt;0,PPMT('Assumptions (Hydro)'!$V$6,Model!AB$1,'Assumptions (Hydro)'!$V$9,'Assumptions (Hydro)'!$V$4*Model!$AN$1335*AVERAGE('Assumptions (Hydro)'!$AJ$2:$AL$2)/10^9),0)</f>
        <v>0</v>
      </c>
      <c r="AT1429" s="105">
        <f>IF($AN$1335&gt;0,PPMT('Assumptions (Hydro)'!$V$6,Model!AC$1,'Assumptions (Hydro)'!$V$9,'Assumptions (Hydro)'!$V$4*Model!$AN$1335*AVERAGE('Assumptions (Hydro)'!$AJ$2:$AL$2)/10^9),0)</f>
        <v>0</v>
      </c>
      <c r="AU1429" s="105">
        <f>IF($AN$1335&gt;0,PPMT('Assumptions (Hydro)'!$V$6,Model!AD$1,'Assumptions (Hydro)'!$V$9,'Assumptions (Hydro)'!$V$4*Model!$AN$1335*AVERAGE('Assumptions (Hydro)'!$AJ$2:$AL$2)/10^9),0)</f>
        <v>0</v>
      </c>
      <c r="AV1429" s="105">
        <f>IF($AN$1335&gt;0,PPMT('Assumptions (Hydro)'!$V$6,Model!AE$1,'Assumptions (Hydro)'!$V$9,'Assumptions (Hydro)'!$V$4*Model!$AN$1335*AVERAGE('Assumptions (Hydro)'!$AJ$2:$AL$2)/10^9),0)</f>
        <v>0</v>
      </c>
      <c r="AW1429" s="105">
        <f>IF($AN$1335&gt;0,PPMT('Assumptions (Hydro)'!$V$6,Model!AF$1,'Assumptions (Hydro)'!$V$9,'Assumptions (Hydro)'!$V$4*Model!$AN$1335*AVERAGE('Assumptions (Hydro)'!$AJ$2:$AL$2)/10^9),0)</f>
        <v>0</v>
      </c>
      <c r="AX1429" s="105">
        <f>IF($AN$1335&gt;0,PPMT('Assumptions (Hydro)'!$V$6,Model!AG$1,'Assumptions (Hydro)'!$V$9,'Assumptions (Hydro)'!$V$4*Model!$AN$1335*AVERAGE('Assumptions (Hydro)'!$AJ$2:$AL$2)/10^9),0)</f>
        <v>0</v>
      </c>
      <c r="AY1429" s="105">
        <f>IF($AN$1335&gt;0,PPMT('Assumptions (Hydro)'!$V$6,Model!AH$1,'Assumptions (Hydro)'!$V$9,'Assumptions (Hydro)'!$V$4*Model!$AN$1335*AVERAGE('Assumptions (Hydro)'!$AJ$2:$AL$2)/10^9),0)</f>
        <v>0</v>
      </c>
      <c r="AZ1429" s="105">
        <f>IF($AN$1335&gt;0,PPMT('Assumptions (Hydro)'!$V$6,Model!AI$1,'Assumptions (Hydro)'!$V$9,'Assumptions (Hydro)'!$V$4*Model!$AN$1335*AVERAGE('Assumptions (Hydro)'!$AJ$2:$AL$2)/10^9),0)</f>
        <v>0</v>
      </c>
      <c r="BA1429" s="105">
        <f>IF($AN$1335&gt;0,PPMT('Assumptions (Hydro)'!$V$6,Model!AJ$1,'Assumptions (Hydro)'!$V$9,'Assumptions (Hydro)'!$V$4*Model!$AN$1335*AVERAGE('Assumptions (Hydro)'!$AJ$2:$AL$2)/10^9),0)</f>
        <v>0</v>
      </c>
      <c r="BB1429" s="105">
        <f>IF($AN$1335&gt;0,PPMT('Assumptions (Hydro)'!$V$6,Model!AK$1,'Assumptions (Hydro)'!$V$9,'Assumptions (Hydro)'!$V$4*Model!$AN$1335*AVERAGE('Assumptions (Hydro)'!$AJ$2:$AL$2)/10^9),0)</f>
        <v>0</v>
      </c>
      <c r="BC1429" s="105"/>
      <c r="BD1429" s="105"/>
      <c r="BE1429" s="105"/>
      <c r="BF1429" s="105"/>
      <c r="BG1429" s="105"/>
      <c r="BH1429" s="105"/>
      <c r="BI1429" s="105"/>
      <c r="BJ1429" s="105"/>
      <c r="BK1429" s="105"/>
      <c r="BL1429" s="105"/>
    </row>
    <row r="1430" spans="1:75" ht="15.75" hidden="1" customHeight="1" outlineLevel="1">
      <c r="A1430" s="413"/>
      <c r="B1430" s="99"/>
      <c r="C1430" s="99"/>
      <c r="D1430" s="99"/>
      <c r="E1430" s="99"/>
      <c r="F1430" s="99"/>
      <c r="G1430" s="99"/>
      <c r="H1430" s="99"/>
      <c r="I1430" s="99"/>
      <c r="J1430" s="99"/>
      <c r="K1430" s="99"/>
      <c r="L1430" s="99"/>
      <c r="M1430" s="99"/>
      <c r="N1430" s="99"/>
      <c r="O1430" s="99"/>
      <c r="P1430" s="99"/>
      <c r="Q1430" s="99"/>
      <c r="R1430" s="99"/>
      <c r="S1430" s="99"/>
      <c r="T1430" s="99"/>
      <c r="U1430" s="99"/>
      <c r="V1430" s="99"/>
      <c r="W1430" s="105"/>
      <c r="X1430" s="105"/>
      <c r="Y1430" s="105"/>
      <c r="Z1430" s="105"/>
      <c r="AA1430" s="105"/>
      <c r="AB1430" s="105"/>
      <c r="AC1430" s="105"/>
      <c r="AD1430" s="105"/>
      <c r="AE1430" s="105"/>
      <c r="AF1430" s="105"/>
      <c r="AG1430" s="105"/>
      <c r="AH1430" s="105"/>
      <c r="AI1430" s="105"/>
      <c r="AJ1430" s="171"/>
      <c r="AK1430" s="105"/>
      <c r="AL1430" s="91"/>
      <c r="AM1430" s="91"/>
      <c r="AN1430" s="91"/>
      <c r="AO1430" s="105">
        <f>IF($AO$1335&gt;0,PPMT('Assumptions (Hydro)'!$V$6,Model!W$1,'Assumptions (Hydro)'!$V$9,'Assumptions (Hydro)'!$V$4*Model!$AO$1335*AVERAGE('Assumptions (Hydro)'!$AK$2:$AM$2)/10^9),0)</f>
        <v>0</v>
      </c>
      <c r="AP1430" s="105">
        <f>IF($AO$1335&gt;0,PPMT('Assumptions (Hydro)'!$V$6,Model!X$1,'Assumptions (Hydro)'!$V$9,'Assumptions (Hydro)'!$V$4*Model!$AO$1335*AVERAGE('Assumptions (Hydro)'!$AK$2:$AM$2)/10^9),0)</f>
        <v>0</v>
      </c>
      <c r="AQ1430" s="105">
        <f>IF($AO$1335&gt;0,PPMT('Assumptions (Hydro)'!$V$6,Model!Y$1,'Assumptions (Hydro)'!$V$9,'Assumptions (Hydro)'!$V$4*Model!$AO$1335*AVERAGE('Assumptions (Hydro)'!$AK$2:$AM$2)/10^9),0)</f>
        <v>0</v>
      </c>
      <c r="AR1430" s="105">
        <f>IF($AO$1335&gt;0,PPMT('Assumptions (Hydro)'!$V$6,Model!Z$1,'Assumptions (Hydro)'!$V$9,'Assumptions (Hydro)'!$V$4*Model!$AO$1335*AVERAGE('Assumptions (Hydro)'!$AK$2:$AM$2)/10^9),0)</f>
        <v>0</v>
      </c>
      <c r="AS1430" s="105">
        <f>IF($AO$1335&gt;0,PPMT('Assumptions (Hydro)'!$V$6,Model!AA$1,'Assumptions (Hydro)'!$V$9,'Assumptions (Hydro)'!$V$4*Model!$AO$1335*AVERAGE('Assumptions (Hydro)'!$AK$2:$AM$2)/10^9),0)</f>
        <v>0</v>
      </c>
      <c r="AT1430" s="105">
        <f>IF($AO$1335&gt;0,PPMT('Assumptions (Hydro)'!$V$6,Model!AB$1,'Assumptions (Hydro)'!$V$9,'Assumptions (Hydro)'!$V$4*Model!$AO$1335*AVERAGE('Assumptions (Hydro)'!$AK$2:$AM$2)/10^9),0)</f>
        <v>0</v>
      </c>
      <c r="AU1430" s="105">
        <f>IF($AO$1335&gt;0,PPMT('Assumptions (Hydro)'!$V$6,Model!AC$1,'Assumptions (Hydro)'!$V$9,'Assumptions (Hydro)'!$V$4*Model!$AO$1335*AVERAGE('Assumptions (Hydro)'!$AK$2:$AM$2)/10^9),0)</f>
        <v>0</v>
      </c>
      <c r="AV1430" s="105">
        <f>IF($AO$1335&gt;0,PPMT('Assumptions (Hydro)'!$V$6,Model!AD$1,'Assumptions (Hydro)'!$V$9,'Assumptions (Hydro)'!$V$4*Model!$AO$1335*AVERAGE('Assumptions (Hydro)'!$AK$2:$AM$2)/10^9),0)</f>
        <v>0</v>
      </c>
      <c r="AW1430" s="105">
        <f>IF($AO$1335&gt;0,PPMT('Assumptions (Hydro)'!$V$6,Model!AE$1,'Assumptions (Hydro)'!$V$9,'Assumptions (Hydro)'!$V$4*Model!$AO$1335*AVERAGE('Assumptions (Hydro)'!$AK$2:$AM$2)/10^9),0)</f>
        <v>0</v>
      </c>
      <c r="AX1430" s="105">
        <f>IF($AO$1335&gt;0,PPMT('Assumptions (Hydro)'!$V$6,Model!AF$1,'Assumptions (Hydro)'!$V$9,'Assumptions (Hydro)'!$V$4*Model!$AO$1335*AVERAGE('Assumptions (Hydro)'!$AK$2:$AM$2)/10^9),0)</f>
        <v>0</v>
      </c>
      <c r="AY1430" s="105">
        <f>IF($AO$1335&gt;0,PPMT('Assumptions (Hydro)'!$V$6,Model!AG$1,'Assumptions (Hydro)'!$V$9,'Assumptions (Hydro)'!$V$4*Model!$AO$1335*AVERAGE('Assumptions (Hydro)'!$AK$2:$AM$2)/10^9),0)</f>
        <v>0</v>
      </c>
      <c r="AZ1430" s="105">
        <f>IF($AO$1335&gt;0,PPMT('Assumptions (Hydro)'!$V$6,Model!AH$1,'Assumptions (Hydro)'!$V$9,'Assumptions (Hydro)'!$V$4*Model!$AO$1335*AVERAGE('Assumptions (Hydro)'!$AK$2:$AM$2)/10^9),0)</f>
        <v>0</v>
      </c>
      <c r="BA1430" s="105">
        <f>IF($AO$1335&gt;0,PPMT('Assumptions (Hydro)'!$V$6,Model!AI$1,'Assumptions (Hydro)'!$V$9,'Assumptions (Hydro)'!$V$4*Model!$AO$1335*AVERAGE('Assumptions (Hydro)'!$AK$2:$AM$2)/10^9),0)</f>
        <v>0</v>
      </c>
      <c r="BB1430" s="105">
        <f>IF($AO$1335&gt;0,PPMT('Assumptions (Hydro)'!$V$6,Model!AJ$1,'Assumptions (Hydro)'!$V$9,'Assumptions (Hydro)'!$V$4*Model!$AO$1335*AVERAGE('Assumptions (Hydro)'!$AK$2:$AM$2)/10^9),0)</f>
        <v>0</v>
      </c>
      <c r="BC1430" s="105">
        <f>IF($AO$1335&gt;0,PPMT('Assumptions (Hydro)'!$V$6,Model!AK$1,'Assumptions (Hydro)'!$V$9,'Assumptions (Hydro)'!$V$4*Model!$AO$1335*AVERAGE('Assumptions (Hydro)'!$AK$2:$AM$2)/10^9),0)</f>
        <v>0</v>
      </c>
      <c r="BD1430" s="105"/>
      <c r="BE1430" s="105"/>
      <c r="BF1430" s="105"/>
      <c r="BG1430" s="105"/>
      <c r="BH1430" s="105"/>
      <c r="BI1430" s="105"/>
      <c r="BJ1430" s="105"/>
      <c r="BK1430" s="105"/>
      <c r="BL1430" s="105"/>
      <c r="BM1430" s="105"/>
    </row>
    <row r="1431" spans="1:75" ht="15.75" hidden="1" customHeight="1" outlineLevel="1">
      <c r="A1431" s="413"/>
      <c r="B1431" s="99"/>
      <c r="C1431" s="99"/>
      <c r="D1431" s="99"/>
      <c r="E1431" s="99"/>
      <c r="F1431" s="99"/>
      <c r="G1431" s="99"/>
      <c r="H1431" s="99"/>
      <c r="I1431" s="99"/>
      <c r="J1431" s="99"/>
      <c r="K1431" s="99"/>
      <c r="L1431" s="99"/>
      <c r="M1431" s="99"/>
      <c r="N1431" s="99"/>
      <c r="O1431" s="99"/>
      <c r="P1431" s="99"/>
      <c r="Q1431" s="99"/>
      <c r="R1431" s="99"/>
      <c r="S1431" s="99"/>
      <c r="T1431" s="99"/>
      <c r="U1431" s="99"/>
      <c r="V1431" s="99"/>
      <c r="W1431" s="105"/>
      <c r="X1431" s="105"/>
      <c r="Y1431" s="105"/>
      <c r="Z1431" s="105"/>
      <c r="AA1431" s="105"/>
      <c r="AB1431" s="105"/>
      <c r="AC1431" s="105"/>
      <c r="AD1431" s="105"/>
      <c r="AE1431" s="105"/>
      <c r="AF1431" s="105"/>
      <c r="AG1431" s="105"/>
      <c r="AH1431" s="105"/>
      <c r="AI1431" s="105"/>
      <c r="AJ1431" s="171"/>
      <c r="AK1431" s="105"/>
      <c r="AL1431" s="91"/>
      <c r="AM1431" s="91"/>
      <c r="AN1431" s="91"/>
      <c r="AO1431" s="105"/>
      <c r="AP1431" s="105">
        <f>IF($AP$1335&gt;0,PPMT('Assumptions (Hydro)'!$V$6,Model!W$1,'Assumptions (Hydro)'!$V$9,'Assumptions (Hydro)'!$V$4*Model!$AP$1335*AVERAGE('Assumptions (Hydro)'!$AL$2:$AN$2)/10^9),0)</f>
        <v>0</v>
      </c>
      <c r="AQ1431" s="105">
        <f>IF($AP$1335&gt;0,PPMT('Assumptions (Hydro)'!$V$6,Model!X$1,'Assumptions (Hydro)'!$V$9,'Assumptions (Hydro)'!$V$4*Model!$AP$1335*AVERAGE('Assumptions (Hydro)'!$AL$2:$AN$2)/10^9),0)</f>
        <v>0</v>
      </c>
      <c r="AR1431" s="105">
        <f>IF($AP$1335&gt;0,PPMT('Assumptions (Hydro)'!$V$6,Model!Y$1,'Assumptions (Hydro)'!$V$9,'Assumptions (Hydro)'!$V$4*Model!$AP$1335*AVERAGE('Assumptions (Hydro)'!$AL$2:$AN$2)/10^9),0)</f>
        <v>0</v>
      </c>
      <c r="AS1431" s="105">
        <f>IF($AP$1335&gt;0,PPMT('Assumptions (Hydro)'!$V$6,Model!Z$1,'Assumptions (Hydro)'!$V$9,'Assumptions (Hydro)'!$V$4*Model!$AP$1335*AVERAGE('Assumptions (Hydro)'!$AL$2:$AN$2)/10^9),0)</f>
        <v>0</v>
      </c>
      <c r="AT1431" s="105">
        <f>IF($AP$1335&gt;0,PPMT('Assumptions (Hydro)'!$V$6,Model!AA$1,'Assumptions (Hydro)'!$V$9,'Assumptions (Hydro)'!$V$4*Model!$AP$1335*AVERAGE('Assumptions (Hydro)'!$AL$2:$AN$2)/10^9),0)</f>
        <v>0</v>
      </c>
      <c r="AU1431" s="105">
        <f>IF($AP$1335&gt;0,PPMT('Assumptions (Hydro)'!$V$6,Model!AB$1,'Assumptions (Hydro)'!$V$9,'Assumptions (Hydro)'!$V$4*Model!$AP$1335*AVERAGE('Assumptions (Hydro)'!$AL$2:$AN$2)/10^9),0)</f>
        <v>0</v>
      </c>
      <c r="AV1431" s="105">
        <f>IF($AP$1335&gt;0,PPMT('Assumptions (Hydro)'!$V$6,Model!AC$1,'Assumptions (Hydro)'!$V$9,'Assumptions (Hydro)'!$V$4*Model!$AP$1335*AVERAGE('Assumptions (Hydro)'!$AL$2:$AN$2)/10^9),0)</f>
        <v>0</v>
      </c>
      <c r="AW1431" s="105">
        <f>IF($AP$1335&gt;0,PPMT('Assumptions (Hydro)'!$V$6,Model!AD$1,'Assumptions (Hydro)'!$V$9,'Assumptions (Hydro)'!$V$4*Model!$AP$1335*AVERAGE('Assumptions (Hydro)'!$AL$2:$AN$2)/10^9),0)</f>
        <v>0</v>
      </c>
      <c r="AX1431" s="105">
        <f>IF($AP$1335&gt;0,PPMT('Assumptions (Hydro)'!$V$6,Model!AE$1,'Assumptions (Hydro)'!$V$9,'Assumptions (Hydro)'!$V$4*Model!$AP$1335*AVERAGE('Assumptions (Hydro)'!$AL$2:$AN$2)/10^9),0)</f>
        <v>0</v>
      </c>
      <c r="AY1431" s="105">
        <f>IF($AP$1335&gt;0,PPMT('Assumptions (Hydro)'!$V$6,Model!AF$1,'Assumptions (Hydro)'!$V$9,'Assumptions (Hydro)'!$V$4*Model!$AP$1335*AVERAGE('Assumptions (Hydro)'!$AL$2:$AN$2)/10^9),0)</f>
        <v>0</v>
      </c>
      <c r="AZ1431" s="105">
        <f>IF($AP$1335&gt;0,PPMT('Assumptions (Hydro)'!$V$6,Model!AG$1,'Assumptions (Hydro)'!$V$9,'Assumptions (Hydro)'!$V$4*Model!$AP$1335*AVERAGE('Assumptions (Hydro)'!$AL$2:$AN$2)/10^9),0)</f>
        <v>0</v>
      </c>
      <c r="BA1431" s="105">
        <f>IF($AP$1335&gt;0,PPMT('Assumptions (Hydro)'!$V$6,Model!AH$1,'Assumptions (Hydro)'!$V$9,'Assumptions (Hydro)'!$V$4*Model!$AP$1335*AVERAGE('Assumptions (Hydro)'!$AL$2:$AN$2)/10^9),0)</f>
        <v>0</v>
      </c>
      <c r="BB1431" s="105">
        <f>IF($AP$1335&gt;0,PPMT('Assumptions (Hydro)'!$V$6,Model!AI$1,'Assumptions (Hydro)'!$V$9,'Assumptions (Hydro)'!$V$4*Model!$AP$1335*AVERAGE('Assumptions (Hydro)'!$AL$2:$AN$2)/10^9),0)</f>
        <v>0</v>
      </c>
      <c r="BC1431" s="105">
        <f>IF($AP$1335&gt;0,PPMT('Assumptions (Hydro)'!$V$6,Model!AJ$1,'Assumptions (Hydro)'!$V$9,'Assumptions (Hydro)'!$V$4*Model!$AP$1335*AVERAGE('Assumptions (Hydro)'!$AL$2:$AN$2)/10^9),0)</f>
        <v>0</v>
      </c>
      <c r="BD1431" s="105">
        <f>IF($AP$1335&gt;0,PPMT('Assumptions (Hydro)'!$V$6,Model!AK$1,'Assumptions (Hydro)'!$V$9,'Assumptions (Hydro)'!$V$4*Model!$AP$1335*AVERAGE('Assumptions (Hydro)'!$AL$2:$AN$2)/10^9),0)</f>
        <v>0</v>
      </c>
      <c r="BE1431" s="105"/>
      <c r="BF1431" s="105"/>
      <c r="BG1431" s="105"/>
      <c r="BH1431" s="105"/>
      <c r="BI1431" s="105"/>
      <c r="BJ1431" s="105"/>
      <c r="BK1431" s="105"/>
      <c r="BL1431" s="105"/>
      <c r="BM1431" s="105"/>
      <c r="BN1431" s="105"/>
    </row>
    <row r="1432" spans="1:75" ht="15.75" hidden="1" customHeight="1" outlineLevel="1">
      <c r="A1432" s="413"/>
      <c r="B1432" s="99"/>
      <c r="C1432" s="99"/>
      <c r="D1432" s="99"/>
      <c r="E1432" s="99"/>
      <c r="F1432" s="99"/>
      <c r="G1432" s="99"/>
      <c r="H1432" s="99"/>
      <c r="I1432" s="99"/>
      <c r="J1432" s="99"/>
      <c r="K1432" s="99"/>
      <c r="L1432" s="99"/>
      <c r="M1432" s="99"/>
      <c r="N1432" s="99"/>
      <c r="O1432" s="99"/>
      <c r="P1432" s="99"/>
      <c r="Q1432" s="99"/>
      <c r="R1432" s="99"/>
      <c r="S1432" s="99"/>
      <c r="T1432" s="99"/>
      <c r="U1432" s="99"/>
      <c r="V1432" s="99"/>
      <c r="W1432" s="105"/>
      <c r="X1432" s="105"/>
      <c r="Y1432" s="105"/>
      <c r="Z1432" s="105"/>
      <c r="AA1432" s="105"/>
      <c r="AB1432" s="105"/>
      <c r="AC1432" s="105"/>
      <c r="AD1432" s="105"/>
      <c r="AE1432" s="105"/>
      <c r="AF1432" s="105"/>
      <c r="AG1432" s="105"/>
      <c r="AH1432" s="105"/>
      <c r="AI1432" s="105"/>
      <c r="AJ1432" s="171"/>
      <c r="AK1432" s="105"/>
      <c r="AL1432" s="91"/>
      <c r="AM1432" s="91"/>
      <c r="AN1432" s="91"/>
      <c r="AO1432" s="105"/>
      <c r="AP1432" s="105"/>
      <c r="AQ1432" s="105">
        <f>IF($AQ$1335&gt;0,PPMT('Assumptions (Hydro)'!$V$6,Model!W$1,'Assumptions (Hydro)'!$V$9,'Assumptions (Hydro)'!$V$4*Model!$AQ$1335*AVERAGE('Assumptions (Hydro)'!$AM$2:$AO$2)/10^9),0)</f>
        <v>0</v>
      </c>
      <c r="AR1432" s="105">
        <f>IF($AQ$1335&gt;0,PPMT('Assumptions (Hydro)'!$V$6,Model!X$1,'Assumptions (Hydro)'!$V$9,'Assumptions (Hydro)'!$V$4*Model!$AQ$1335*AVERAGE('Assumptions (Hydro)'!$AM$2:$AO$2)/10^9),0)</f>
        <v>0</v>
      </c>
      <c r="AS1432" s="105">
        <f>IF($AQ$1335&gt;0,PPMT('Assumptions (Hydro)'!$V$6,Model!Y$1,'Assumptions (Hydro)'!$V$9,'Assumptions (Hydro)'!$V$4*Model!$AQ$1335*AVERAGE('Assumptions (Hydro)'!$AM$2:$AO$2)/10^9),0)</f>
        <v>0</v>
      </c>
      <c r="AT1432" s="105">
        <f>IF($AQ$1335&gt;0,PPMT('Assumptions (Hydro)'!$V$6,Model!Z$1,'Assumptions (Hydro)'!$V$9,'Assumptions (Hydro)'!$V$4*Model!$AQ$1335*AVERAGE('Assumptions (Hydro)'!$AM$2:$AO$2)/10^9),0)</f>
        <v>0</v>
      </c>
      <c r="AU1432" s="105">
        <f>IF($AQ$1335&gt;0,PPMT('Assumptions (Hydro)'!$V$6,Model!AA$1,'Assumptions (Hydro)'!$V$9,'Assumptions (Hydro)'!$V$4*Model!$AQ$1335*AVERAGE('Assumptions (Hydro)'!$AM$2:$AO$2)/10^9),0)</f>
        <v>0</v>
      </c>
      <c r="AV1432" s="105">
        <f>IF($AQ$1335&gt;0,PPMT('Assumptions (Hydro)'!$V$6,Model!AB$1,'Assumptions (Hydro)'!$V$9,'Assumptions (Hydro)'!$V$4*Model!$AQ$1335*AVERAGE('Assumptions (Hydro)'!$AM$2:$AO$2)/10^9),0)</f>
        <v>0</v>
      </c>
      <c r="AW1432" s="105">
        <f>IF($AQ$1335&gt;0,PPMT('Assumptions (Hydro)'!$V$6,Model!AC$1,'Assumptions (Hydro)'!$V$9,'Assumptions (Hydro)'!$V$4*Model!$AQ$1335*AVERAGE('Assumptions (Hydro)'!$AM$2:$AO$2)/10^9),0)</f>
        <v>0</v>
      </c>
      <c r="AX1432" s="105">
        <f>IF($AQ$1335&gt;0,PPMT('Assumptions (Hydro)'!$V$6,Model!AD$1,'Assumptions (Hydro)'!$V$9,'Assumptions (Hydro)'!$V$4*Model!$AQ$1335*AVERAGE('Assumptions (Hydro)'!$AM$2:$AO$2)/10^9),0)</f>
        <v>0</v>
      </c>
      <c r="AY1432" s="105">
        <f>IF($AQ$1335&gt;0,PPMT('Assumptions (Hydro)'!$V$6,Model!AE$1,'Assumptions (Hydro)'!$V$9,'Assumptions (Hydro)'!$V$4*Model!$AQ$1335*AVERAGE('Assumptions (Hydro)'!$AM$2:$AO$2)/10^9),0)</f>
        <v>0</v>
      </c>
      <c r="AZ1432" s="105">
        <f>IF($AQ$1335&gt;0,PPMT('Assumptions (Hydro)'!$V$6,Model!AF$1,'Assumptions (Hydro)'!$V$9,'Assumptions (Hydro)'!$V$4*Model!$AQ$1335*AVERAGE('Assumptions (Hydro)'!$AM$2:$AO$2)/10^9),0)</f>
        <v>0</v>
      </c>
      <c r="BA1432" s="105">
        <f>IF($AQ$1335&gt;0,PPMT('Assumptions (Hydro)'!$V$6,Model!AG$1,'Assumptions (Hydro)'!$V$9,'Assumptions (Hydro)'!$V$4*Model!$AQ$1335*AVERAGE('Assumptions (Hydro)'!$AM$2:$AO$2)/10^9),0)</f>
        <v>0</v>
      </c>
      <c r="BB1432" s="105">
        <f>IF($AQ$1335&gt;0,PPMT('Assumptions (Hydro)'!$V$6,Model!AH$1,'Assumptions (Hydro)'!$V$9,'Assumptions (Hydro)'!$V$4*Model!$AQ$1335*AVERAGE('Assumptions (Hydro)'!$AM$2:$AO$2)/10^9),0)</f>
        <v>0</v>
      </c>
      <c r="BC1432" s="105">
        <f>IF($AQ$1335&gt;0,PPMT('Assumptions (Hydro)'!$V$6,Model!AI$1,'Assumptions (Hydro)'!$V$9,'Assumptions (Hydro)'!$V$4*Model!$AQ$1335*AVERAGE('Assumptions (Hydro)'!$AM$2:$AO$2)/10^9),0)</f>
        <v>0</v>
      </c>
      <c r="BD1432" s="105">
        <f>IF($AQ$1335&gt;0,PPMT('Assumptions (Hydro)'!$V$6,Model!AJ$1,'Assumptions (Hydro)'!$V$9,'Assumptions (Hydro)'!$V$4*Model!$AQ$1335*AVERAGE('Assumptions (Hydro)'!$AM$2:$AO$2)/10^9),0)</f>
        <v>0</v>
      </c>
      <c r="BE1432" s="105">
        <f>IF($AQ$1335&gt;0,PPMT('Assumptions (Hydro)'!$V$6,Model!AK$1,'Assumptions (Hydro)'!$V$9,'Assumptions (Hydro)'!$V$4*Model!$AQ$1335*AVERAGE('Assumptions (Hydro)'!$AM$2:$AO$2)/10^9),0)</f>
        <v>0</v>
      </c>
      <c r="BF1432" s="105"/>
      <c r="BG1432" s="105"/>
      <c r="BH1432" s="105"/>
      <c r="BI1432" s="105"/>
      <c r="BJ1432" s="105"/>
      <c r="BK1432" s="105"/>
      <c r="BL1432" s="105"/>
      <c r="BM1432" s="105"/>
      <c r="BN1432" s="105"/>
      <c r="BO1432" s="105"/>
    </row>
    <row r="1433" spans="1:75" ht="15.75" hidden="1" customHeight="1" outlineLevel="1">
      <c r="A1433" s="413"/>
      <c r="B1433" s="99"/>
      <c r="C1433" s="99"/>
      <c r="D1433" s="99"/>
      <c r="E1433" s="99"/>
      <c r="F1433" s="99"/>
      <c r="G1433" s="99"/>
      <c r="H1433" s="99"/>
      <c r="I1433" s="99"/>
      <c r="J1433" s="99"/>
      <c r="K1433" s="99"/>
      <c r="L1433" s="99"/>
      <c r="M1433" s="99"/>
      <c r="N1433" s="99"/>
      <c r="O1433" s="99"/>
      <c r="P1433" s="99"/>
      <c r="Q1433" s="99"/>
      <c r="R1433" s="99"/>
      <c r="S1433" s="99"/>
      <c r="T1433" s="99"/>
      <c r="U1433" s="99"/>
      <c r="V1433" s="99"/>
      <c r="W1433" s="105"/>
      <c r="X1433" s="105"/>
      <c r="Y1433" s="105"/>
      <c r="Z1433" s="105"/>
      <c r="AA1433" s="105"/>
      <c r="AB1433" s="105"/>
      <c r="AC1433" s="105"/>
      <c r="AD1433" s="105"/>
      <c r="AE1433" s="105"/>
      <c r="AF1433" s="105"/>
      <c r="AG1433" s="105"/>
      <c r="AH1433" s="105"/>
      <c r="AI1433" s="105"/>
      <c r="AJ1433" s="171"/>
      <c r="AK1433" s="105"/>
      <c r="AL1433" s="91"/>
      <c r="AM1433" s="91"/>
      <c r="AN1433" s="91"/>
      <c r="AO1433" s="105"/>
      <c r="AP1433" s="105"/>
      <c r="AQ1433" s="105"/>
      <c r="AR1433" s="105">
        <f>IF($AR$1335&gt;0,PPMT('Assumptions (Hydro)'!$V$6,Model!W$1,'Assumptions (Hydro)'!$V$9,'Assumptions (Hydro)'!$V$4*Model!$AR$1335*AVERAGE('Assumptions (Hydro)'!$AN$2:$AP$2)/10^9),0)</f>
        <v>0</v>
      </c>
      <c r="AS1433" s="105">
        <f>IF($AR$1335&gt;0,PPMT('Assumptions (Hydro)'!$V$6,Model!X$1,'Assumptions (Hydro)'!$V$9,'Assumptions (Hydro)'!$V$4*Model!$AR$1335*AVERAGE('Assumptions (Hydro)'!$AN$2:$AP$2)/10^9),0)</f>
        <v>0</v>
      </c>
      <c r="AT1433" s="105">
        <f>IF($AR$1335&gt;0,PPMT('Assumptions (Hydro)'!$V$6,Model!Y$1,'Assumptions (Hydro)'!$V$9,'Assumptions (Hydro)'!$V$4*Model!$AR$1335*AVERAGE('Assumptions (Hydro)'!$AN$2:$AP$2)/10^9),0)</f>
        <v>0</v>
      </c>
      <c r="AU1433" s="105">
        <f>IF($AR$1335&gt;0,PPMT('Assumptions (Hydro)'!$V$6,Model!Z$1,'Assumptions (Hydro)'!$V$9,'Assumptions (Hydro)'!$V$4*Model!$AR$1335*AVERAGE('Assumptions (Hydro)'!$AN$2:$AP$2)/10^9),0)</f>
        <v>0</v>
      </c>
      <c r="AV1433" s="105">
        <f>IF($AR$1335&gt;0,PPMT('Assumptions (Hydro)'!$V$6,Model!AA$1,'Assumptions (Hydro)'!$V$9,'Assumptions (Hydro)'!$V$4*Model!$AR$1335*AVERAGE('Assumptions (Hydro)'!$AN$2:$AP$2)/10^9),0)</f>
        <v>0</v>
      </c>
      <c r="AW1433" s="105">
        <f>IF($AR$1335&gt;0,PPMT('Assumptions (Hydro)'!$V$6,Model!AB$1,'Assumptions (Hydro)'!$V$9,'Assumptions (Hydro)'!$V$4*Model!$AR$1335*AVERAGE('Assumptions (Hydro)'!$AN$2:$AP$2)/10^9),0)</f>
        <v>0</v>
      </c>
      <c r="AX1433" s="105">
        <f>IF($AR$1335&gt;0,PPMT('Assumptions (Hydro)'!$V$6,Model!AC$1,'Assumptions (Hydro)'!$V$9,'Assumptions (Hydro)'!$V$4*Model!$AR$1335*AVERAGE('Assumptions (Hydro)'!$AN$2:$AP$2)/10^9),0)</f>
        <v>0</v>
      </c>
      <c r="AY1433" s="105">
        <f>IF($AR$1335&gt;0,PPMT('Assumptions (Hydro)'!$V$6,Model!AD$1,'Assumptions (Hydro)'!$V$9,'Assumptions (Hydro)'!$V$4*Model!$AR$1335*AVERAGE('Assumptions (Hydro)'!$AN$2:$AP$2)/10^9),0)</f>
        <v>0</v>
      </c>
      <c r="AZ1433" s="105">
        <f>IF($AR$1335&gt;0,PPMT('Assumptions (Hydro)'!$V$6,Model!AE$1,'Assumptions (Hydro)'!$V$9,'Assumptions (Hydro)'!$V$4*Model!$AR$1335*AVERAGE('Assumptions (Hydro)'!$AN$2:$AP$2)/10^9),0)</f>
        <v>0</v>
      </c>
      <c r="BA1433" s="105">
        <f>IF($AR$1335&gt;0,PPMT('Assumptions (Hydro)'!$V$6,Model!AF$1,'Assumptions (Hydro)'!$V$9,'Assumptions (Hydro)'!$V$4*Model!$AR$1335*AVERAGE('Assumptions (Hydro)'!$AN$2:$AP$2)/10^9),0)</f>
        <v>0</v>
      </c>
      <c r="BB1433" s="105">
        <f>IF($AR$1335&gt;0,PPMT('Assumptions (Hydro)'!$V$6,Model!AG$1,'Assumptions (Hydro)'!$V$9,'Assumptions (Hydro)'!$V$4*Model!$AR$1335*AVERAGE('Assumptions (Hydro)'!$AN$2:$AP$2)/10^9),0)</f>
        <v>0</v>
      </c>
      <c r="BC1433" s="105">
        <f>IF($AR$1335&gt;0,PPMT('Assumptions (Hydro)'!$V$6,Model!AH$1,'Assumptions (Hydro)'!$V$9,'Assumptions (Hydro)'!$V$4*Model!$AR$1335*AVERAGE('Assumptions (Hydro)'!$AN$2:$AP$2)/10^9),0)</f>
        <v>0</v>
      </c>
      <c r="BD1433" s="105">
        <f>IF($AR$1335&gt;0,PPMT('Assumptions (Hydro)'!$V$6,Model!AI$1,'Assumptions (Hydro)'!$V$9,'Assumptions (Hydro)'!$V$4*Model!$AR$1335*AVERAGE('Assumptions (Hydro)'!$AN$2:$AP$2)/10^9),0)</f>
        <v>0</v>
      </c>
      <c r="BE1433" s="105">
        <f>IF($AR$1335&gt;0,PPMT('Assumptions (Hydro)'!$V$6,Model!AJ$1,'Assumptions (Hydro)'!$V$9,'Assumptions (Hydro)'!$V$4*Model!$AR$1335*AVERAGE('Assumptions (Hydro)'!$AN$2:$AP$2)/10^9),0)</f>
        <v>0</v>
      </c>
      <c r="BF1433" s="105">
        <f>IF($AR$1335&gt;0,PPMT('Assumptions (Hydro)'!$V$6,Model!AK$1,'Assumptions (Hydro)'!$V$9,'Assumptions (Hydro)'!$V$4*Model!$AR$1335*AVERAGE('Assumptions (Hydro)'!$AN$2:$AP$2)/10^9),0)</f>
        <v>0</v>
      </c>
      <c r="BG1433" s="105"/>
      <c r="BH1433" s="105"/>
      <c r="BI1433" s="105"/>
      <c r="BJ1433" s="105"/>
      <c r="BK1433" s="105"/>
      <c r="BL1433" s="105"/>
      <c r="BM1433" s="105"/>
      <c r="BN1433" s="105"/>
      <c r="BO1433" s="105"/>
      <c r="BP1433" s="105"/>
    </row>
    <row r="1434" spans="1:75" ht="15.75" hidden="1" customHeight="1" outlineLevel="1">
      <c r="A1434" s="413"/>
      <c r="B1434" s="99"/>
      <c r="C1434" s="99"/>
      <c r="D1434" s="99"/>
      <c r="E1434" s="99"/>
      <c r="F1434" s="99"/>
      <c r="G1434" s="99"/>
      <c r="H1434" s="99"/>
      <c r="I1434" s="99"/>
      <c r="J1434" s="99"/>
      <c r="K1434" s="99"/>
      <c r="L1434" s="99"/>
      <c r="M1434" s="99"/>
      <c r="N1434" s="99"/>
      <c r="O1434" s="99"/>
      <c r="P1434" s="99"/>
      <c r="Q1434" s="99"/>
      <c r="R1434" s="99"/>
      <c r="S1434" s="99"/>
      <c r="T1434" s="99"/>
      <c r="U1434" s="99"/>
      <c r="V1434" s="99"/>
      <c r="W1434" s="105"/>
      <c r="X1434" s="105"/>
      <c r="Y1434" s="105"/>
      <c r="Z1434" s="105"/>
      <c r="AA1434" s="105"/>
      <c r="AB1434" s="105"/>
      <c r="AC1434" s="105"/>
      <c r="AD1434" s="105"/>
      <c r="AE1434" s="105"/>
      <c r="AF1434" s="105"/>
      <c r="AG1434" s="105"/>
      <c r="AH1434" s="105"/>
      <c r="AI1434" s="105"/>
      <c r="AJ1434" s="171"/>
      <c r="AK1434" s="105"/>
      <c r="AL1434" s="91"/>
      <c r="AM1434" s="91"/>
      <c r="AN1434" s="91"/>
      <c r="AO1434" s="105"/>
      <c r="AP1434" s="105"/>
      <c r="AQ1434" s="105"/>
      <c r="AR1434" s="105"/>
      <c r="AS1434" s="105">
        <f>IF($AS$1335&gt;0,PPMT('Assumptions (Hydro)'!$V$6,Model!W$1,'Assumptions (Hydro)'!$V$9,'Assumptions (Hydro)'!$V$4*Model!$AS$1335*AVERAGE('Assumptions (Hydro)'!$AO$2:$AQ$2)/10^9),0)</f>
        <v>0</v>
      </c>
      <c r="AT1434" s="105">
        <f>IF($AS$1335&gt;0,PPMT('Assumptions (Hydro)'!$V$6,Model!X$1,'Assumptions (Hydro)'!$V$9,'Assumptions (Hydro)'!$V$4*Model!$AS$1335*AVERAGE('Assumptions (Hydro)'!$AO$2:$AQ$2)/10^9),0)</f>
        <v>0</v>
      </c>
      <c r="AU1434" s="105">
        <f>IF($AS$1335&gt;0,PPMT('Assumptions (Hydro)'!$V$6,Model!Y$1,'Assumptions (Hydro)'!$V$9,'Assumptions (Hydro)'!$V$4*Model!$AS$1335*AVERAGE('Assumptions (Hydro)'!$AO$2:$AQ$2)/10^9),0)</f>
        <v>0</v>
      </c>
      <c r="AV1434" s="105">
        <f>IF($AS$1335&gt;0,PPMT('Assumptions (Hydro)'!$V$6,Model!Z$1,'Assumptions (Hydro)'!$V$9,'Assumptions (Hydro)'!$V$4*Model!$AS$1335*AVERAGE('Assumptions (Hydro)'!$AO$2:$AQ$2)/10^9),0)</f>
        <v>0</v>
      </c>
      <c r="AW1434" s="105">
        <f>IF($AS$1335&gt;0,PPMT('Assumptions (Hydro)'!$V$6,Model!AA$1,'Assumptions (Hydro)'!$V$9,'Assumptions (Hydro)'!$V$4*Model!$AS$1335*AVERAGE('Assumptions (Hydro)'!$AO$2:$AQ$2)/10^9),0)</f>
        <v>0</v>
      </c>
      <c r="AX1434" s="105">
        <f>IF($AS$1335&gt;0,PPMT('Assumptions (Hydro)'!$V$6,Model!AB$1,'Assumptions (Hydro)'!$V$9,'Assumptions (Hydro)'!$V$4*Model!$AS$1335*AVERAGE('Assumptions (Hydro)'!$AO$2:$AQ$2)/10^9),0)</f>
        <v>0</v>
      </c>
      <c r="AY1434" s="105">
        <f>IF($AS$1335&gt;0,PPMT('Assumptions (Hydro)'!$V$6,Model!AC$1,'Assumptions (Hydro)'!$V$9,'Assumptions (Hydro)'!$V$4*Model!$AS$1335*AVERAGE('Assumptions (Hydro)'!$AO$2:$AQ$2)/10^9),0)</f>
        <v>0</v>
      </c>
      <c r="AZ1434" s="105">
        <f>IF($AS$1335&gt;0,PPMT('Assumptions (Hydro)'!$V$6,Model!AD$1,'Assumptions (Hydro)'!$V$9,'Assumptions (Hydro)'!$V$4*Model!$AS$1335*AVERAGE('Assumptions (Hydro)'!$AO$2:$AQ$2)/10^9),0)</f>
        <v>0</v>
      </c>
      <c r="BA1434" s="105">
        <f>IF($AS$1335&gt;0,PPMT('Assumptions (Hydro)'!$V$6,Model!AE$1,'Assumptions (Hydro)'!$V$9,'Assumptions (Hydro)'!$V$4*Model!$AS$1335*AVERAGE('Assumptions (Hydro)'!$AO$2:$AQ$2)/10^9),0)</f>
        <v>0</v>
      </c>
      <c r="BB1434" s="105">
        <f>IF($AS$1335&gt;0,PPMT('Assumptions (Hydro)'!$V$6,Model!AF$1,'Assumptions (Hydro)'!$V$9,'Assumptions (Hydro)'!$V$4*Model!$AS$1335*AVERAGE('Assumptions (Hydro)'!$AO$2:$AQ$2)/10^9),0)</f>
        <v>0</v>
      </c>
      <c r="BC1434" s="105">
        <f>IF($AS$1335&gt;0,PPMT('Assumptions (Hydro)'!$V$6,Model!AG$1,'Assumptions (Hydro)'!$V$9,'Assumptions (Hydro)'!$V$4*Model!$AS$1335*AVERAGE('Assumptions (Hydro)'!$AO$2:$AQ$2)/10^9),0)</f>
        <v>0</v>
      </c>
      <c r="BD1434" s="105">
        <f>IF($AS$1335&gt;0,PPMT('Assumptions (Hydro)'!$V$6,Model!AH$1,'Assumptions (Hydro)'!$V$9,'Assumptions (Hydro)'!$V$4*Model!$AS$1335*AVERAGE('Assumptions (Hydro)'!$AO$2:$AQ$2)/10^9),0)</f>
        <v>0</v>
      </c>
      <c r="BE1434" s="105">
        <f>IF($AS$1335&gt;0,PPMT('Assumptions (Hydro)'!$V$6,Model!AI$1,'Assumptions (Hydro)'!$V$9,'Assumptions (Hydro)'!$V$4*Model!$AS$1335*AVERAGE('Assumptions (Hydro)'!$AO$2:$AQ$2)/10^9),0)</f>
        <v>0</v>
      </c>
      <c r="BF1434" s="105">
        <f>IF($AS$1335&gt;0,PPMT('Assumptions (Hydro)'!$V$6,Model!AJ$1,'Assumptions (Hydro)'!$V$9,'Assumptions (Hydro)'!$V$4*Model!$AS$1335*AVERAGE('Assumptions (Hydro)'!$AO$2:$AQ$2)/10^9),0)</f>
        <v>0</v>
      </c>
      <c r="BG1434" s="105">
        <f>IF($AS$1335&gt;0,PPMT('Assumptions (Hydro)'!$V$6,Model!AK$1,'Assumptions (Hydro)'!$V$9,'Assumptions (Hydro)'!$V$4*Model!$AS$1335*AVERAGE('Assumptions (Hydro)'!$AO$2:$AQ$2)/10^9),0)</f>
        <v>0</v>
      </c>
      <c r="BH1434" s="105"/>
      <c r="BI1434" s="105"/>
      <c r="BJ1434" s="105"/>
      <c r="BK1434" s="105"/>
      <c r="BL1434" s="105"/>
      <c r="BM1434" s="105"/>
      <c r="BN1434" s="105"/>
      <c r="BO1434" s="105"/>
      <c r="BP1434" s="105"/>
      <c r="BQ1434" s="105"/>
      <c r="BR1434" s="105"/>
    </row>
    <row r="1435" spans="1:75" ht="15.75" hidden="1" customHeight="1" outlineLevel="1">
      <c r="A1435" s="413"/>
      <c r="B1435" s="99"/>
      <c r="C1435" s="99"/>
      <c r="D1435" s="99"/>
      <c r="E1435" s="99"/>
      <c r="F1435" s="99"/>
      <c r="G1435" s="99"/>
      <c r="H1435" s="99"/>
      <c r="I1435" s="99"/>
      <c r="J1435" s="99"/>
      <c r="K1435" s="99"/>
      <c r="L1435" s="99"/>
      <c r="M1435" s="99"/>
      <c r="N1435" s="99"/>
      <c r="O1435" s="99"/>
      <c r="P1435" s="99"/>
      <c r="Q1435" s="99"/>
      <c r="R1435" s="99"/>
      <c r="S1435" s="99"/>
      <c r="T1435" s="99"/>
      <c r="U1435" s="99"/>
      <c r="V1435" s="99"/>
      <c r="W1435" s="105"/>
      <c r="X1435" s="105"/>
      <c r="Y1435" s="105"/>
      <c r="Z1435" s="105"/>
      <c r="AA1435" s="105"/>
      <c r="AB1435" s="105"/>
      <c r="AC1435" s="105"/>
      <c r="AD1435" s="105"/>
      <c r="AE1435" s="105"/>
      <c r="AF1435" s="105"/>
      <c r="AG1435" s="105"/>
      <c r="AH1435" s="105"/>
      <c r="AI1435" s="105"/>
      <c r="AJ1435" s="171"/>
      <c r="AK1435" s="105"/>
      <c r="AL1435" s="91"/>
      <c r="AM1435" s="91"/>
      <c r="AN1435" s="91"/>
      <c r="AO1435" s="105"/>
      <c r="AP1435" s="105"/>
      <c r="AQ1435" s="105"/>
      <c r="AR1435" s="105"/>
      <c r="AS1435" s="105"/>
      <c r="AT1435" s="105">
        <f>IF($AT$1335&gt;0,PPMT('Assumptions (Hydro)'!$V$6,Model!W$1,'Assumptions (Hydro)'!$V$9,'Assumptions (Hydro)'!$V$4*Model!$AT$1335*AVERAGE('Assumptions (Hydro)'!$AP$2:$AR$2)/10^9),0)</f>
        <v>0</v>
      </c>
      <c r="AU1435" s="105">
        <f>IF($AT$1335&gt;0,PPMT('Assumptions (Hydro)'!$V$6,Model!X$1,'Assumptions (Hydro)'!$V$9,'Assumptions (Hydro)'!$V$4*Model!$AT$1335*AVERAGE('Assumptions (Hydro)'!$AP$2:$AR$2)/10^9),0)</f>
        <v>0</v>
      </c>
      <c r="AV1435" s="105">
        <f>IF($AT$1335&gt;0,PPMT('Assumptions (Hydro)'!$V$6,Model!Y$1,'Assumptions (Hydro)'!$V$9,'Assumptions (Hydro)'!$V$4*Model!$AT$1335*AVERAGE('Assumptions (Hydro)'!$AP$2:$AR$2)/10^9),0)</f>
        <v>0</v>
      </c>
      <c r="AW1435" s="105">
        <f>IF($AT$1335&gt;0,PPMT('Assumptions (Hydro)'!$V$6,Model!Z$1,'Assumptions (Hydro)'!$V$9,'Assumptions (Hydro)'!$V$4*Model!$AT$1335*AVERAGE('Assumptions (Hydro)'!$AP$2:$AR$2)/10^9),0)</f>
        <v>0</v>
      </c>
      <c r="AX1435" s="105">
        <f>IF($AT$1335&gt;0,PPMT('Assumptions (Hydro)'!$V$6,Model!AA$1,'Assumptions (Hydro)'!$V$9,'Assumptions (Hydro)'!$V$4*Model!$AT$1335*AVERAGE('Assumptions (Hydro)'!$AP$2:$AR$2)/10^9),0)</f>
        <v>0</v>
      </c>
      <c r="AY1435" s="105">
        <f>IF($AT$1335&gt;0,PPMT('Assumptions (Hydro)'!$V$6,Model!AB$1,'Assumptions (Hydro)'!$V$9,'Assumptions (Hydro)'!$V$4*Model!$AT$1335*AVERAGE('Assumptions (Hydro)'!$AP$2:$AR$2)/10^9),0)</f>
        <v>0</v>
      </c>
      <c r="AZ1435" s="105">
        <f>IF($AT$1335&gt;0,PPMT('Assumptions (Hydro)'!$V$6,Model!AC$1,'Assumptions (Hydro)'!$V$9,'Assumptions (Hydro)'!$V$4*Model!$AT$1335*AVERAGE('Assumptions (Hydro)'!$AP$2:$AR$2)/10^9),0)</f>
        <v>0</v>
      </c>
      <c r="BA1435" s="105">
        <f>IF($AT$1335&gt;0,PPMT('Assumptions (Hydro)'!$V$6,Model!AD$1,'Assumptions (Hydro)'!$V$9,'Assumptions (Hydro)'!$V$4*Model!$AT$1335*AVERAGE('Assumptions (Hydro)'!$AP$2:$AR$2)/10^9),0)</f>
        <v>0</v>
      </c>
      <c r="BB1435" s="105">
        <f>IF($AT$1335&gt;0,PPMT('Assumptions (Hydro)'!$V$6,Model!AE$1,'Assumptions (Hydro)'!$V$9,'Assumptions (Hydro)'!$V$4*Model!$AT$1335*AVERAGE('Assumptions (Hydro)'!$AP$2:$AR$2)/10^9),0)</f>
        <v>0</v>
      </c>
      <c r="BC1435" s="105">
        <f>IF($AT$1335&gt;0,PPMT('Assumptions (Hydro)'!$V$6,Model!AF$1,'Assumptions (Hydro)'!$V$9,'Assumptions (Hydro)'!$V$4*Model!$AT$1335*AVERAGE('Assumptions (Hydro)'!$AP$2:$AR$2)/10^9),0)</f>
        <v>0</v>
      </c>
      <c r="BD1435" s="105">
        <f>IF($AT$1335&gt;0,PPMT('Assumptions (Hydro)'!$V$6,Model!AG$1,'Assumptions (Hydro)'!$V$9,'Assumptions (Hydro)'!$V$4*Model!$AT$1335*AVERAGE('Assumptions (Hydro)'!$AP$2:$AR$2)/10^9),0)</f>
        <v>0</v>
      </c>
      <c r="BE1435" s="105">
        <f>IF($AT$1335&gt;0,PPMT('Assumptions (Hydro)'!$V$6,Model!AH$1,'Assumptions (Hydro)'!$V$9,'Assumptions (Hydro)'!$V$4*Model!$AT$1335*AVERAGE('Assumptions (Hydro)'!$AP$2:$AR$2)/10^9),0)</f>
        <v>0</v>
      </c>
      <c r="BF1435" s="105">
        <f>IF($AT$1335&gt;0,PPMT('Assumptions (Hydro)'!$V$6,Model!AI$1,'Assumptions (Hydro)'!$V$9,'Assumptions (Hydro)'!$V$4*Model!$AT$1335*AVERAGE('Assumptions (Hydro)'!$AP$2:$AR$2)/10^9),0)</f>
        <v>0</v>
      </c>
      <c r="BG1435" s="105">
        <f>IF($AT$1335&gt;0,PPMT('Assumptions (Hydro)'!$V$6,Model!AJ$1,'Assumptions (Hydro)'!$V$9,'Assumptions (Hydro)'!$V$4*Model!$AT$1335*AVERAGE('Assumptions (Hydro)'!$AP$2:$AR$2)/10^9),0)</f>
        <v>0</v>
      </c>
      <c r="BH1435" s="105">
        <f>IF($AT$1335&gt;0,PPMT('Assumptions (Hydro)'!$V$6,Model!AK$1,'Assumptions (Hydro)'!$V$9,'Assumptions (Hydro)'!$V$4*Model!$AT$1335*AVERAGE('Assumptions (Hydro)'!$AP$2:$AR$2)/10^9),0)</f>
        <v>0</v>
      </c>
      <c r="BI1435" s="105"/>
      <c r="BJ1435" s="105"/>
      <c r="BK1435" s="105"/>
      <c r="BL1435" s="105"/>
      <c r="BM1435" s="105"/>
      <c r="BN1435" s="105"/>
      <c r="BO1435" s="105"/>
      <c r="BP1435" s="105"/>
      <c r="BQ1435" s="105"/>
      <c r="BR1435" s="105"/>
    </row>
    <row r="1436" spans="1:75" ht="15.75" hidden="1" customHeight="1" outlineLevel="1">
      <c r="A1436" s="413"/>
      <c r="B1436" s="99"/>
      <c r="C1436" s="99"/>
      <c r="D1436" s="99"/>
      <c r="E1436" s="99"/>
      <c r="F1436" s="99"/>
      <c r="G1436" s="99"/>
      <c r="H1436" s="99"/>
      <c r="I1436" s="99"/>
      <c r="J1436" s="99"/>
      <c r="K1436" s="99"/>
      <c r="L1436" s="99"/>
      <c r="M1436" s="99"/>
      <c r="N1436" s="99"/>
      <c r="O1436" s="99"/>
      <c r="P1436" s="99"/>
      <c r="Q1436" s="99"/>
      <c r="R1436" s="99"/>
      <c r="S1436" s="99"/>
      <c r="T1436" s="99"/>
      <c r="U1436" s="99"/>
      <c r="V1436" s="99"/>
      <c r="W1436" s="105"/>
      <c r="X1436" s="105"/>
      <c r="Y1436" s="105"/>
      <c r="Z1436" s="105"/>
      <c r="AA1436" s="105"/>
      <c r="AB1436" s="105"/>
      <c r="AC1436" s="105"/>
      <c r="AD1436" s="105"/>
      <c r="AE1436" s="105"/>
      <c r="AF1436" s="105"/>
      <c r="AG1436" s="105"/>
      <c r="AH1436" s="105"/>
      <c r="AI1436" s="105"/>
      <c r="AJ1436" s="171"/>
      <c r="AK1436" s="105"/>
      <c r="AL1436" s="91"/>
      <c r="AM1436" s="91"/>
      <c r="AN1436" s="91"/>
      <c r="AO1436" s="105"/>
      <c r="AP1436" s="105"/>
      <c r="AQ1436" s="105"/>
      <c r="AR1436" s="105"/>
      <c r="AS1436" s="105"/>
      <c r="AT1436" s="105"/>
      <c r="AU1436" s="105">
        <f>IF($AU$1335&gt;0,PPMT('Assumptions (Hydro)'!$V$6,Model!W$1,'Assumptions (Hydro)'!$V$9,'Assumptions (Hydro)'!$V$4*Model!$AU$1335*AVERAGE('Assumptions (Hydro)'!$AQ$2:$AS$2)/10^9),0)</f>
        <v>0</v>
      </c>
      <c r="AV1436" s="105">
        <f>IF($AU$1335&gt;0,PPMT('Assumptions (Hydro)'!$V$6,Model!X$1,'Assumptions (Hydro)'!$V$9,'Assumptions (Hydro)'!$V$4*Model!$AU$1335*AVERAGE('Assumptions (Hydro)'!$AQ$2:$AS$2)/10^9),0)</f>
        <v>0</v>
      </c>
      <c r="AW1436" s="105">
        <f>IF($AU$1335&gt;0,PPMT('Assumptions (Hydro)'!$V$6,Model!Y$1,'Assumptions (Hydro)'!$V$9,'Assumptions (Hydro)'!$V$4*Model!$AU$1335*AVERAGE('Assumptions (Hydro)'!$AQ$2:$AS$2)/10^9),0)</f>
        <v>0</v>
      </c>
      <c r="AX1436" s="105">
        <f>IF($AU$1335&gt;0,PPMT('Assumptions (Hydro)'!$V$6,Model!Z$1,'Assumptions (Hydro)'!$V$9,'Assumptions (Hydro)'!$V$4*Model!$AU$1335*AVERAGE('Assumptions (Hydro)'!$AQ$2:$AS$2)/10^9),0)</f>
        <v>0</v>
      </c>
      <c r="AY1436" s="105">
        <f>IF($AU$1335&gt;0,PPMT('Assumptions (Hydro)'!$V$6,Model!AA$1,'Assumptions (Hydro)'!$V$9,'Assumptions (Hydro)'!$V$4*Model!$AU$1335*AVERAGE('Assumptions (Hydro)'!$AQ$2:$AS$2)/10^9),0)</f>
        <v>0</v>
      </c>
      <c r="AZ1436" s="105">
        <f>IF($AU$1335&gt;0,PPMT('Assumptions (Hydro)'!$V$6,Model!AB$1,'Assumptions (Hydro)'!$V$9,'Assumptions (Hydro)'!$V$4*Model!$AU$1335*AVERAGE('Assumptions (Hydro)'!$AQ$2:$AS$2)/10^9),0)</f>
        <v>0</v>
      </c>
      <c r="BA1436" s="105">
        <f>IF($AU$1335&gt;0,PPMT('Assumptions (Hydro)'!$V$6,Model!AC$1,'Assumptions (Hydro)'!$V$9,'Assumptions (Hydro)'!$V$4*Model!$AU$1335*AVERAGE('Assumptions (Hydro)'!$AQ$2:$AS$2)/10^9),0)</f>
        <v>0</v>
      </c>
      <c r="BB1436" s="105">
        <f>IF($AU$1335&gt;0,PPMT('Assumptions (Hydro)'!$V$6,Model!AD$1,'Assumptions (Hydro)'!$V$9,'Assumptions (Hydro)'!$V$4*Model!$AU$1335*AVERAGE('Assumptions (Hydro)'!$AQ$2:$AS$2)/10^9),0)</f>
        <v>0</v>
      </c>
      <c r="BC1436" s="105">
        <f>IF($AU$1335&gt;0,PPMT('Assumptions (Hydro)'!$V$6,Model!AE$1,'Assumptions (Hydro)'!$V$9,'Assumptions (Hydro)'!$V$4*Model!$AU$1335*AVERAGE('Assumptions (Hydro)'!$AQ$2:$AS$2)/10^9),0)</f>
        <v>0</v>
      </c>
      <c r="BD1436" s="105">
        <f>IF($AU$1335&gt;0,PPMT('Assumptions (Hydro)'!$V$6,Model!AF$1,'Assumptions (Hydro)'!$V$9,'Assumptions (Hydro)'!$V$4*Model!$AU$1335*AVERAGE('Assumptions (Hydro)'!$AQ$2:$AS$2)/10^9),0)</f>
        <v>0</v>
      </c>
      <c r="BE1436" s="105">
        <f>IF($AU$1335&gt;0,PPMT('Assumptions (Hydro)'!$V$6,Model!AG$1,'Assumptions (Hydro)'!$V$9,'Assumptions (Hydro)'!$V$4*Model!$AU$1335*AVERAGE('Assumptions (Hydro)'!$AQ$2:$AS$2)/10^9),0)</f>
        <v>0</v>
      </c>
      <c r="BF1436" s="105">
        <f>IF($AU$1335&gt;0,PPMT('Assumptions (Hydro)'!$V$6,Model!AH$1,'Assumptions (Hydro)'!$V$9,'Assumptions (Hydro)'!$V$4*Model!$AU$1335*AVERAGE('Assumptions (Hydro)'!$AQ$2:$AS$2)/10^9),0)</f>
        <v>0</v>
      </c>
      <c r="BG1436" s="105">
        <f>IF($AU$1335&gt;0,PPMT('Assumptions (Hydro)'!$V$6,Model!AI$1,'Assumptions (Hydro)'!$V$9,'Assumptions (Hydro)'!$V$4*Model!$AU$1335*AVERAGE('Assumptions (Hydro)'!$AQ$2:$AS$2)/10^9),0)</f>
        <v>0</v>
      </c>
      <c r="BH1436" s="105">
        <f>IF($AU$1335&gt;0,PPMT('Assumptions (Hydro)'!$V$6,Model!AJ$1,'Assumptions (Hydro)'!$V$9,'Assumptions (Hydro)'!$V$4*Model!$AU$1335*AVERAGE('Assumptions (Hydro)'!$AQ$2:$AS$2)/10^9),0)</f>
        <v>0</v>
      </c>
      <c r="BI1436" s="105">
        <f>IF($AU$1335&gt;0,PPMT('Assumptions (Hydro)'!$V$6,Model!AK$1,'Assumptions (Hydro)'!$V$9,'Assumptions (Hydro)'!$V$4*Model!$AU$1335*AVERAGE('Assumptions (Hydro)'!$AQ$2:$AS$2)/10^9),0)</f>
        <v>0</v>
      </c>
      <c r="BJ1436" s="105"/>
      <c r="BK1436" s="105"/>
      <c r="BL1436" s="105"/>
      <c r="BM1436" s="105"/>
      <c r="BN1436" s="105"/>
      <c r="BO1436" s="105"/>
      <c r="BP1436" s="105"/>
      <c r="BQ1436" s="105"/>
      <c r="BR1436" s="105"/>
      <c r="BS1436" s="105"/>
    </row>
    <row r="1437" spans="1:75" ht="15.75" hidden="1" customHeight="1" outlineLevel="1">
      <c r="A1437" s="413"/>
      <c r="B1437" s="99"/>
      <c r="C1437" s="99"/>
      <c r="D1437" s="99"/>
      <c r="E1437" s="99"/>
      <c r="F1437" s="99"/>
      <c r="G1437" s="99"/>
      <c r="H1437" s="99"/>
      <c r="I1437" s="99"/>
      <c r="J1437" s="99"/>
      <c r="K1437" s="99"/>
      <c r="L1437" s="99"/>
      <c r="M1437" s="99"/>
      <c r="N1437" s="99"/>
      <c r="O1437" s="99"/>
      <c r="P1437" s="99"/>
      <c r="Q1437" s="99"/>
      <c r="R1437" s="99"/>
      <c r="S1437" s="99"/>
      <c r="T1437" s="99"/>
      <c r="U1437" s="99"/>
      <c r="V1437" s="99"/>
      <c r="W1437" s="105"/>
      <c r="X1437" s="105"/>
      <c r="Y1437" s="105"/>
      <c r="Z1437" s="105"/>
      <c r="AA1437" s="105"/>
      <c r="AB1437" s="105"/>
      <c r="AC1437" s="105"/>
      <c r="AD1437" s="105"/>
      <c r="AE1437" s="105"/>
      <c r="AF1437" s="105"/>
      <c r="AG1437" s="105"/>
      <c r="AH1437" s="105"/>
      <c r="AI1437" s="105"/>
      <c r="AJ1437" s="171"/>
      <c r="AK1437" s="105"/>
      <c r="AL1437" s="91"/>
      <c r="AM1437" s="91"/>
      <c r="AN1437" s="91"/>
      <c r="AO1437" s="105"/>
      <c r="AP1437" s="105"/>
      <c r="AQ1437" s="105"/>
      <c r="AR1437" s="105"/>
      <c r="AS1437" s="105"/>
      <c r="AT1437" s="105"/>
      <c r="AU1437" s="105"/>
      <c r="AV1437" s="105">
        <f>IF($AV$1335&gt;0,PPMT('Assumptions (Hydro)'!$V$6,Model!W$1,'Assumptions (Hydro)'!$V$9,'Assumptions (Hydro)'!$V$4*Model!$AV$1335*AVERAGE('Assumptions (Hydro)'!$AR$2:$AT$2)/10^9),0)</f>
        <v>0</v>
      </c>
      <c r="AW1437" s="105">
        <f>IF($AV$1335&gt;0,PPMT('Assumptions (Hydro)'!$V$6,Model!X$1,'Assumptions (Hydro)'!$V$9,'Assumptions (Hydro)'!$V$4*Model!$AV$1335*AVERAGE('Assumptions (Hydro)'!$AR$2:$AT$2)/10^9),0)</f>
        <v>0</v>
      </c>
      <c r="AX1437" s="105">
        <f>IF($AV$1335&gt;0,PPMT('Assumptions (Hydro)'!$V$6,Model!Y$1,'Assumptions (Hydro)'!$V$9,'Assumptions (Hydro)'!$V$4*Model!$AV$1335*AVERAGE('Assumptions (Hydro)'!$AR$2:$AT$2)/10^9),0)</f>
        <v>0</v>
      </c>
      <c r="AY1437" s="105">
        <f>IF($AV$1335&gt;0,PPMT('Assumptions (Hydro)'!$V$6,Model!Z$1,'Assumptions (Hydro)'!$V$9,'Assumptions (Hydro)'!$V$4*Model!$AV$1335*AVERAGE('Assumptions (Hydro)'!$AR$2:$AT$2)/10^9),0)</f>
        <v>0</v>
      </c>
      <c r="AZ1437" s="105">
        <f>IF($AV$1335&gt;0,PPMT('Assumptions (Hydro)'!$V$6,Model!AA$1,'Assumptions (Hydro)'!$V$9,'Assumptions (Hydro)'!$V$4*Model!$AV$1335*AVERAGE('Assumptions (Hydro)'!$AR$2:$AT$2)/10^9),0)</f>
        <v>0</v>
      </c>
      <c r="BA1437" s="105">
        <f>IF($AV$1335&gt;0,PPMT('Assumptions (Hydro)'!$V$6,Model!AB$1,'Assumptions (Hydro)'!$V$9,'Assumptions (Hydro)'!$V$4*Model!$AV$1335*AVERAGE('Assumptions (Hydro)'!$AR$2:$AT$2)/10^9),0)</f>
        <v>0</v>
      </c>
      <c r="BB1437" s="105">
        <f>IF($AV$1335&gt;0,PPMT('Assumptions (Hydro)'!$V$6,Model!AC$1,'Assumptions (Hydro)'!$V$9,'Assumptions (Hydro)'!$V$4*Model!$AV$1335*AVERAGE('Assumptions (Hydro)'!$AR$2:$AT$2)/10^9),0)</f>
        <v>0</v>
      </c>
      <c r="BC1437" s="105">
        <f>IF($AV$1335&gt;0,PPMT('Assumptions (Hydro)'!$V$6,Model!AD$1,'Assumptions (Hydro)'!$V$9,'Assumptions (Hydro)'!$V$4*Model!$AV$1335*AVERAGE('Assumptions (Hydro)'!$AR$2:$AT$2)/10^9),0)</f>
        <v>0</v>
      </c>
      <c r="BD1437" s="105">
        <f>IF($AV$1335&gt;0,PPMT('Assumptions (Hydro)'!$V$6,Model!AE$1,'Assumptions (Hydro)'!$V$9,'Assumptions (Hydro)'!$V$4*Model!$AV$1335*AVERAGE('Assumptions (Hydro)'!$AR$2:$AT$2)/10^9),0)</f>
        <v>0</v>
      </c>
      <c r="BE1437" s="105">
        <f>IF($AV$1335&gt;0,PPMT('Assumptions (Hydro)'!$V$6,Model!AF$1,'Assumptions (Hydro)'!$V$9,'Assumptions (Hydro)'!$V$4*Model!$AV$1335*AVERAGE('Assumptions (Hydro)'!$AR$2:$AT$2)/10^9),0)</f>
        <v>0</v>
      </c>
      <c r="BF1437" s="105">
        <f>IF($AV$1335&gt;0,PPMT('Assumptions (Hydro)'!$V$6,Model!AG$1,'Assumptions (Hydro)'!$V$9,'Assumptions (Hydro)'!$V$4*Model!$AV$1335*AVERAGE('Assumptions (Hydro)'!$AR$2:$AT$2)/10^9),0)</f>
        <v>0</v>
      </c>
      <c r="BG1437" s="105">
        <f>IF($AV$1335&gt;0,PPMT('Assumptions (Hydro)'!$V$6,Model!AH$1,'Assumptions (Hydro)'!$V$9,'Assumptions (Hydro)'!$V$4*Model!$AV$1335*AVERAGE('Assumptions (Hydro)'!$AR$2:$AT$2)/10^9),0)</f>
        <v>0</v>
      </c>
      <c r="BH1437" s="105">
        <f>IF($AV$1335&gt;0,PPMT('Assumptions (Hydro)'!$V$6,Model!AI$1,'Assumptions (Hydro)'!$V$9,'Assumptions (Hydro)'!$V$4*Model!$AV$1335*AVERAGE('Assumptions (Hydro)'!$AR$2:$AT$2)/10^9),0)</f>
        <v>0</v>
      </c>
      <c r="BI1437" s="105">
        <f>IF($AV$1335&gt;0,PPMT('Assumptions (Hydro)'!$V$6,Model!AJ$1,'Assumptions (Hydro)'!$V$9,'Assumptions (Hydro)'!$V$4*Model!$AV$1335*AVERAGE('Assumptions (Hydro)'!$AR$2:$AT$2)/10^9),0)</f>
        <v>0</v>
      </c>
      <c r="BJ1437" s="105">
        <f>IF($AV$1335&gt;0,PPMT('Assumptions (Hydro)'!$V$6,Model!AK$1,'Assumptions (Hydro)'!$V$9,'Assumptions (Hydro)'!$V$4*Model!$AV$1335*AVERAGE('Assumptions (Hydro)'!$AR$2:$AT$2)/10^9),0)</f>
        <v>0</v>
      </c>
      <c r="BK1437" s="105"/>
      <c r="BL1437" s="105"/>
      <c r="BM1437" s="105"/>
      <c r="BN1437" s="105"/>
      <c r="BO1437" s="105"/>
      <c r="BP1437" s="105"/>
      <c r="BQ1437" s="105"/>
      <c r="BR1437" s="105"/>
      <c r="BS1437" s="105"/>
      <c r="BT1437" s="105"/>
    </row>
    <row r="1438" spans="1:75" ht="15.75" hidden="1" customHeight="1" outlineLevel="1">
      <c r="A1438" s="413"/>
      <c r="B1438" s="99"/>
      <c r="C1438" s="99"/>
      <c r="D1438" s="99"/>
      <c r="E1438" s="99"/>
      <c r="F1438" s="99"/>
      <c r="G1438" s="99"/>
      <c r="H1438" s="99"/>
      <c r="I1438" s="99"/>
      <c r="J1438" s="99"/>
      <c r="K1438" s="99"/>
      <c r="L1438" s="99"/>
      <c r="M1438" s="99"/>
      <c r="N1438" s="99"/>
      <c r="O1438" s="99"/>
      <c r="P1438" s="99"/>
      <c r="Q1438" s="99"/>
      <c r="R1438" s="99"/>
      <c r="S1438" s="99"/>
      <c r="T1438" s="99"/>
      <c r="U1438" s="99"/>
      <c r="V1438" s="99"/>
      <c r="W1438" s="105"/>
      <c r="X1438" s="105"/>
      <c r="Y1438" s="105"/>
      <c r="Z1438" s="105"/>
      <c r="AA1438" s="105"/>
      <c r="AB1438" s="105"/>
      <c r="AC1438" s="105"/>
      <c r="AD1438" s="105"/>
      <c r="AE1438" s="105"/>
      <c r="AF1438" s="105"/>
      <c r="AG1438" s="105"/>
      <c r="AH1438" s="105"/>
      <c r="AI1438" s="105"/>
      <c r="AJ1438" s="171"/>
      <c r="AK1438" s="105"/>
      <c r="AL1438" s="91"/>
      <c r="AM1438" s="91"/>
      <c r="AN1438" s="91"/>
      <c r="AO1438" s="105"/>
      <c r="AP1438" s="105"/>
      <c r="AQ1438" s="105"/>
      <c r="AR1438" s="105"/>
      <c r="AS1438" s="105"/>
      <c r="AT1438" s="105"/>
      <c r="AU1438" s="105"/>
      <c r="AV1438" s="105"/>
      <c r="AW1438" s="105">
        <f>IF($AW$1335&gt;0,PPMT('Assumptions (Hydro)'!$V$6,Model!W$1,'Assumptions (Hydro)'!$V$9,'Assumptions (Hydro)'!$V$4*Model!$AW$1335*AVERAGE('Assumptions (Hydro)'!$AS$2:$AU$2)/10^9),0)</f>
        <v>0</v>
      </c>
      <c r="AX1438" s="105">
        <f>IF($AW$1335&gt;0,PPMT('Assumptions (Hydro)'!$V$6,Model!X$1,'Assumptions (Hydro)'!$V$9,'Assumptions (Hydro)'!$V$4*Model!$AW$1335*AVERAGE('Assumptions (Hydro)'!$AS$2:$AU$2)/10^9),0)</f>
        <v>0</v>
      </c>
      <c r="AY1438" s="105">
        <f>IF($AW$1335&gt;0,PPMT('Assumptions (Hydro)'!$V$6,Model!Y$1,'Assumptions (Hydro)'!$V$9,'Assumptions (Hydro)'!$V$4*Model!$AW$1335*AVERAGE('Assumptions (Hydro)'!$AS$2:$AU$2)/10^9),0)</f>
        <v>0</v>
      </c>
      <c r="AZ1438" s="105">
        <f>IF($AW$1335&gt;0,PPMT('Assumptions (Hydro)'!$V$6,Model!Z$1,'Assumptions (Hydro)'!$V$9,'Assumptions (Hydro)'!$V$4*Model!$AW$1335*AVERAGE('Assumptions (Hydro)'!$AS$2:$AU$2)/10^9),0)</f>
        <v>0</v>
      </c>
      <c r="BA1438" s="105">
        <f>IF($AW$1335&gt;0,PPMT('Assumptions (Hydro)'!$V$6,Model!AA$1,'Assumptions (Hydro)'!$V$9,'Assumptions (Hydro)'!$V$4*Model!$AW$1335*AVERAGE('Assumptions (Hydro)'!$AS$2:$AU$2)/10^9),0)</f>
        <v>0</v>
      </c>
      <c r="BB1438" s="105">
        <f>IF($AW$1335&gt;0,PPMT('Assumptions (Hydro)'!$V$6,Model!AB$1,'Assumptions (Hydro)'!$V$9,'Assumptions (Hydro)'!$V$4*Model!$AW$1335*AVERAGE('Assumptions (Hydro)'!$AS$2:$AU$2)/10^9),0)</f>
        <v>0</v>
      </c>
      <c r="BC1438" s="105">
        <f>IF($AW$1335&gt;0,PPMT('Assumptions (Hydro)'!$V$6,Model!AC$1,'Assumptions (Hydro)'!$V$9,'Assumptions (Hydro)'!$V$4*Model!$AW$1335*AVERAGE('Assumptions (Hydro)'!$AS$2:$AU$2)/10^9),0)</f>
        <v>0</v>
      </c>
      <c r="BD1438" s="105">
        <f>IF($AW$1335&gt;0,PPMT('Assumptions (Hydro)'!$V$6,Model!AD$1,'Assumptions (Hydro)'!$V$9,'Assumptions (Hydro)'!$V$4*Model!$AW$1335*AVERAGE('Assumptions (Hydro)'!$AS$2:$AU$2)/10^9),0)</f>
        <v>0</v>
      </c>
      <c r="BE1438" s="105">
        <f>IF($AW$1335&gt;0,PPMT('Assumptions (Hydro)'!$V$6,Model!AE$1,'Assumptions (Hydro)'!$V$9,'Assumptions (Hydro)'!$V$4*Model!$AW$1335*AVERAGE('Assumptions (Hydro)'!$AS$2:$AU$2)/10^9),0)</f>
        <v>0</v>
      </c>
      <c r="BF1438" s="105">
        <f>IF($AW$1335&gt;0,PPMT('Assumptions (Hydro)'!$V$6,Model!AF$1,'Assumptions (Hydro)'!$V$9,'Assumptions (Hydro)'!$V$4*Model!$AW$1335*AVERAGE('Assumptions (Hydro)'!$AS$2:$AU$2)/10^9),0)</f>
        <v>0</v>
      </c>
      <c r="BG1438" s="105">
        <f>IF($AW$1335&gt;0,PPMT('Assumptions (Hydro)'!$V$6,Model!AG$1,'Assumptions (Hydro)'!$V$9,'Assumptions (Hydro)'!$V$4*Model!$AW$1335*AVERAGE('Assumptions (Hydro)'!$AS$2:$AU$2)/10^9),0)</f>
        <v>0</v>
      </c>
      <c r="BH1438" s="105">
        <f>IF($AW$1335&gt;0,PPMT('Assumptions (Hydro)'!$V$6,Model!AH$1,'Assumptions (Hydro)'!$V$9,'Assumptions (Hydro)'!$V$4*Model!$AW$1335*AVERAGE('Assumptions (Hydro)'!$AS$2:$AU$2)/10^9),0)</f>
        <v>0</v>
      </c>
      <c r="BI1438" s="105">
        <f>IF($AW$1335&gt;0,PPMT('Assumptions (Hydro)'!$V$6,Model!AI$1,'Assumptions (Hydro)'!$V$9,'Assumptions (Hydro)'!$V$4*Model!$AW$1335*AVERAGE('Assumptions (Hydro)'!$AS$2:$AU$2)/10^9),0)</f>
        <v>0</v>
      </c>
      <c r="BJ1438" s="105">
        <f>IF($AW$1335&gt;0,PPMT('Assumptions (Hydro)'!$V$6,Model!AJ$1,'Assumptions (Hydro)'!$V$9,'Assumptions (Hydro)'!$V$4*Model!$AW$1335*AVERAGE('Assumptions (Hydro)'!$AS$2:$AU$2)/10^9),0)</f>
        <v>0</v>
      </c>
      <c r="BK1438" s="105">
        <f>IF($AW$1335&gt;0,PPMT('Assumptions (Hydro)'!$V$6,Model!AK$1,'Assumptions (Hydro)'!$V$9,'Assumptions (Hydro)'!$V$4*Model!$AW$1335*AVERAGE('Assumptions (Hydro)'!$AS$2:$AU$2)/10^9),0)</f>
        <v>0</v>
      </c>
      <c r="BL1438" s="105"/>
      <c r="BM1438" s="105"/>
      <c r="BN1438" s="105"/>
      <c r="BO1438" s="105"/>
      <c r="BP1438" s="105"/>
      <c r="BQ1438" s="105"/>
      <c r="BR1438" s="105"/>
      <c r="BS1438" s="105"/>
      <c r="BT1438" s="105"/>
      <c r="BU1438" s="105"/>
    </row>
    <row r="1439" spans="1:75" ht="15.75" hidden="1" customHeight="1" outlineLevel="1">
      <c r="A1439" s="413"/>
      <c r="B1439" s="99"/>
      <c r="C1439" s="99"/>
      <c r="D1439" s="99"/>
      <c r="E1439" s="99"/>
      <c r="F1439" s="99"/>
      <c r="G1439" s="99"/>
      <c r="H1439" s="99"/>
      <c r="I1439" s="99"/>
      <c r="J1439" s="99"/>
      <c r="K1439" s="99"/>
      <c r="L1439" s="99"/>
      <c r="M1439" s="99"/>
      <c r="N1439" s="99"/>
      <c r="O1439" s="99"/>
      <c r="P1439" s="99"/>
      <c r="Q1439" s="99"/>
      <c r="R1439" s="99"/>
      <c r="S1439" s="99"/>
      <c r="T1439" s="99"/>
      <c r="U1439" s="99"/>
      <c r="V1439" s="99"/>
      <c r="W1439" s="105"/>
      <c r="X1439" s="105"/>
      <c r="Y1439" s="105"/>
      <c r="Z1439" s="105"/>
      <c r="AA1439" s="105"/>
      <c r="AB1439" s="105"/>
      <c r="AC1439" s="105"/>
      <c r="AD1439" s="105"/>
      <c r="AE1439" s="105"/>
      <c r="AF1439" s="105"/>
      <c r="AG1439" s="105"/>
      <c r="AH1439" s="105"/>
      <c r="AI1439" s="105"/>
      <c r="AJ1439" s="171"/>
      <c r="AK1439" s="105"/>
      <c r="AL1439" s="91"/>
      <c r="AM1439" s="91"/>
      <c r="AN1439" s="91"/>
      <c r="AO1439" s="105"/>
      <c r="AP1439" s="105"/>
      <c r="AQ1439" s="105"/>
      <c r="AR1439" s="105"/>
      <c r="AS1439" s="105"/>
      <c r="AT1439" s="105"/>
      <c r="AU1439" s="105"/>
      <c r="AV1439" s="105"/>
      <c r="AW1439" s="105"/>
      <c r="AX1439" s="105">
        <f>IF($AX$1335&gt;0,PPMT('Assumptions (Hydro)'!$V$6,Model!W$1,'Assumptions (Hydro)'!$V$9,'Assumptions (Hydro)'!$V$4*Model!$AX$1335*AVERAGE('Assumptions (Hydro)'!$AT$2:$AV$2)/10^9),0)</f>
        <v>0</v>
      </c>
      <c r="AY1439" s="105">
        <f>IF($AX$1335&gt;0,PPMT('Assumptions (Hydro)'!$V$6,Model!X$1,'Assumptions (Hydro)'!$V$9,'Assumptions (Hydro)'!$V$4*Model!$AX$1335*AVERAGE('Assumptions (Hydro)'!$AT$2:$AV$2)/10^9),0)</f>
        <v>0</v>
      </c>
      <c r="AZ1439" s="105">
        <f>IF($AX$1335&gt;0,PPMT('Assumptions (Hydro)'!$V$6,Model!Y$1,'Assumptions (Hydro)'!$V$9,'Assumptions (Hydro)'!$V$4*Model!$AX$1335*AVERAGE('Assumptions (Hydro)'!$AT$2:$AV$2)/10^9),0)</f>
        <v>0</v>
      </c>
      <c r="BA1439" s="105">
        <f>IF($AX$1335&gt;0,PPMT('Assumptions (Hydro)'!$V$6,Model!Z$1,'Assumptions (Hydro)'!$V$9,'Assumptions (Hydro)'!$V$4*Model!$AX$1335*AVERAGE('Assumptions (Hydro)'!$AT$2:$AV$2)/10^9),0)</f>
        <v>0</v>
      </c>
      <c r="BB1439" s="105">
        <f>IF($AX$1335&gt;0,PPMT('Assumptions (Hydro)'!$V$6,Model!AA$1,'Assumptions (Hydro)'!$V$9,'Assumptions (Hydro)'!$V$4*Model!$AX$1335*AVERAGE('Assumptions (Hydro)'!$AT$2:$AV$2)/10^9),0)</f>
        <v>0</v>
      </c>
      <c r="BC1439" s="105">
        <f>IF($AX$1335&gt;0,PPMT('Assumptions (Hydro)'!$V$6,Model!AB$1,'Assumptions (Hydro)'!$V$9,'Assumptions (Hydro)'!$V$4*Model!$AX$1335*AVERAGE('Assumptions (Hydro)'!$AT$2:$AV$2)/10^9),0)</f>
        <v>0</v>
      </c>
      <c r="BD1439" s="105">
        <f>IF($AX$1335&gt;0,PPMT('Assumptions (Hydro)'!$V$6,Model!AC$1,'Assumptions (Hydro)'!$V$9,'Assumptions (Hydro)'!$V$4*Model!$AX$1335*AVERAGE('Assumptions (Hydro)'!$AT$2:$AV$2)/10^9),0)</f>
        <v>0</v>
      </c>
      <c r="BE1439" s="105">
        <f>IF($AX$1335&gt;0,PPMT('Assumptions (Hydro)'!$V$6,Model!AD$1,'Assumptions (Hydro)'!$V$9,'Assumptions (Hydro)'!$V$4*Model!$AX$1335*AVERAGE('Assumptions (Hydro)'!$AT$2:$AV$2)/10^9),0)</f>
        <v>0</v>
      </c>
      <c r="BF1439" s="105">
        <f>IF($AX$1335&gt;0,PPMT('Assumptions (Hydro)'!$V$6,Model!AE$1,'Assumptions (Hydro)'!$V$9,'Assumptions (Hydro)'!$V$4*Model!$AX$1335*AVERAGE('Assumptions (Hydro)'!$AT$2:$AV$2)/10^9),0)</f>
        <v>0</v>
      </c>
      <c r="BG1439" s="105">
        <f>IF($AX$1335&gt;0,PPMT('Assumptions (Hydro)'!$V$6,Model!AF$1,'Assumptions (Hydro)'!$V$9,'Assumptions (Hydro)'!$V$4*Model!$AX$1335*AVERAGE('Assumptions (Hydro)'!$AT$2:$AV$2)/10^9),0)</f>
        <v>0</v>
      </c>
      <c r="BH1439" s="105">
        <f>IF($AX$1335&gt;0,PPMT('Assumptions (Hydro)'!$V$6,Model!AG$1,'Assumptions (Hydro)'!$V$9,'Assumptions (Hydro)'!$V$4*Model!$AX$1335*AVERAGE('Assumptions (Hydro)'!$AT$2:$AV$2)/10^9),0)</f>
        <v>0</v>
      </c>
      <c r="BI1439" s="105">
        <f>IF($AX$1335&gt;0,PPMT('Assumptions (Hydro)'!$V$6,Model!AH$1,'Assumptions (Hydro)'!$V$9,'Assumptions (Hydro)'!$V$4*Model!$AX$1335*AVERAGE('Assumptions (Hydro)'!$AT$2:$AV$2)/10^9),0)</f>
        <v>0</v>
      </c>
      <c r="BJ1439" s="105">
        <f>IF($AX$1335&gt;0,PPMT('Assumptions (Hydro)'!$V$6,Model!AI$1,'Assumptions (Hydro)'!$V$9,'Assumptions (Hydro)'!$V$4*Model!$AX$1335*AVERAGE('Assumptions (Hydro)'!$AT$2:$AV$2)/10^9),0)</f>
        <v>0</v>
      </c>
      <c r="BK1439" s="105">
        <f>IF($AX$1335&gt;0,PPMT('Assumptions (Hydro)'!$V$6,Model!AJ$1,'Assumptions (Hydro)'!$V$9,'Assumptions (Hydro)'!$V$4*Model!$AX$1335*AVERAGE('Assumptions (Hydro)'!$AT$2:$AV$2)/10^9),0)</f>
        <v>0</v>
      </c>
      <c r="BL1439" s="105">
        <f>IF($AX$1335&gt;0,PPMT('Assumptions (Hydro)'!$V$6,Model!AK$1,'Assumptions (Hydro)'!$V$9,'Assumptions (Hydro)'!$V$4*Model!$AX$1335*AVERAGE('Assumptions (Hydro)'!$AT$2:$AV$2)/10^9),0)</f>
        <v>0</v>
      </c>
      <c r="BM1439" s="105"/>
      <c r="BN1439" s="105"/>
      <c r="BO1439" s="105"/>
      <c r="BP1439" s="105"/>
      <c r="BQ1439" s="105"/>
      <c r="BR1439" s="105"/>
      <c r="BS1439" s="105"/>
      <c r="BT1439" s="105"/>
      <c r="BU1439" s="105"/>
      <c r="BV1439" s="105"/>
    </row>
    <row r="1440" spans="1:75" ht="15.75" hidden="1" customHeight="1" outlineLevel="1">
      <c r="A1440" s="413"/>
      <c r="B1440" s="99"/>
      <c r="C1440" s="99"/>
      <c r="D1440" s="99"/>
      <c r="E1440" s="99"/>
      <c r="F1440" s="99"/>
      <c r="G1440" s="99"/>
      <c r="H1440" s="99"/>
      <c r="I1440" s="99"/>
      <c r="J1440" s="99"/>
      <c r="K1440" s="99"/>
      <c r="L1440" s="99"/>
      <c r="M1440" s="99"/>
      <c r="N1440" s="99"/>
      <c r="O1440" s="99"/>
      <c r="P1440" s="99"/>
      <c r="Q1440" s="99"/>
      <c r="R1440" s="99"/>
      <c r="S1440" s="99"/>
      <c r="T1440" s="99"/>
      <c r="U1440" s="99"/>
      <c r="V1440" s="99"/>
      <c r="W1440" s="105"/>
      <c r="X1440" s="105"/>
      <c r="Y1440" s="105"/>
      <c r="Z1440" s="105"/>
      <c r="AA1440" s="105"/>
      <c r="AB1440" s="105"/>
      <c r="AC1440" s="105"/>
      <c r="AD1440" s="105"/>
      <c r="AE1440" s="105"/>
      <c r="AF1440" s="105"/>
      <c r="AG1440" s="105"/>
      <c r="AH1440" s="105"/>
      <c r="AI1440" s="105"/>
      <c r="AJ1440" s="171"/>
      <c r="AK1440" s="105"/>
      <c r="AL1440" s="91"/>
      <c r="AM1440" s="91"/>
      <c r="AN1440" s="91"/>
      <c r="AO1440" s="105"/>
      <c r="AP1440" s="105"/>
      <c r="AQ1440" s="105"/>
      <c r="AR1440" s="105"/>
      <c r="AS1440" s="105"/>
      <c r="AT1440" s="105"/>
      <c r="AU1440" s="105"/>
      <c r="AV1440" s="105"/>
      <c r="AW1440" s="105"/>
      <c r="AX1440" s="105"/>
      <c r="AY1440" s="105">
        <f>IF($AY$1335&gt;0,PPMT('Assumptions (Hydro)'!$V$6,Model!W$1,'Assumptions (Hydro)'!$V$9,'Assumptions (Hydro)'!$V$4*Model!$AY$1335*AVERAGE('Assumptions (Hydro)'!$AU$2:$AW$2)/10^9),0)</f>
        <v>0</v>
      </c>
      <c r="AZ1440" s="105">
        <f>IF($AY$1335&gt;0,PPMT('Assumptions (Hydro)'!$V$6,Model!X$1,'Assumptions (Hydro)'!$V$9,'Assumptions (Hydro)'!$V$4*Model!$AY$1335*AVERAGE('Assumptions (Hydro)'!$AU$2:$AW$2)/10^9),0)</f>
        <v>0</v>
      </c>
      <c r="BA1440" s="105">
        <f>IF($AY$1335&gt;0,PPMT('Assumptions (Hydro)'!$V$6,Model!Y$1,'Assumptions (Hydro)'!$V$9,'Assumptions (Hydro)'!$V$4*Model!$AY$1335*AVERAGE('Assumptions (Hydro)'!$AU$2:$AW$2)/10^9),0)</f>
        <v>0</v>
      </c>
      <c r="BB1440" s="105">
        <f>IF($AY$1335&gt;0,PPMT('Assumptions (Hydro)'!$V$6,Model!Z$1,'Assumptions (Hydro)'!$V$9,'Assumptions (Hydro)'!$V$4*Model!$AY$1335*AVERAGE('Assumptions (Hydro)'!$AU$2:$AW$2)/10^9),0)</f>
        <v>0</v>
      </c>
      <c r="BC1440" s="105">
        <f>IF($AY$1335&gt;0,PPMT('Assumptions (Hydro)'!$V$6,Model!AA$1,'Assumptions (Hydro)'!$V$9,'Assumptions (Hydro)'!$V$4*Model!$AY$1335*AVERAGE('Assumptions (Hydro)'!$AU$2:$AW$2)/10^9),0)</f>
        <v>0</v>
      </c>
      <c r="BD1440" s="105">
        <f>IF($AY$1335&gt;0,PPMT('Assumptions (Hydro)'!$V$6,Model!AB$1,'Assumptions (Hydro)'!$V$9,'Assumptions (Hydro)'!$V$4*Model!$AY$1335*AVERAGE('Assumptions (Hydro)'!$AU$2:$AW$2)/10^9),0)</f>
        <v>0</v>
      </c>
      <c r="BE1440" s="105">
        <f>IF($AY$1335&gt;0,PPMT('Assumptions (Hydro)'!$V$6,Model!AC$1,'Assumptions (Hydro)'!$V$9,'Assumptions (Hydro)'!$V$4*Model!$AY$1335*AVERAGE('Assumptions (Hydro)'!$AU$2:$AW$2)/10^9),0)</f>
        <v>0</v>
      </c>
      <c r="BF1440" s="105">
        <f>IF($AY$1335&gt;0,PPMT('Assumptions (Hydro)'!$V$6,Model!AD$1,'Assumptions (Hydro)'!$V$9,'Assumptions (Hydro)'!$V$4*Model!$AY$1335*AVERAGE('Assumptions (Hydro)'!$AU$2:$AW$2)/10^9),0)</f>
        <v>0</v>
      </c>
      <c r="BG1440" s="105">
        <f>IF($AY$1335&gt;0,PPMT('Assumptions (Hydro)'!$V$6,Model!AE$1,'Assumptions (Hydro)'!$V$9,'Assumptions (Hydro)'!$V$4*Model!$AY$1335*AVERAGE('Assumptions (Hydro)'!$AU$2:$AW$2)/10^9),0)</f>
        <v>0</v>
      </c>
      <c r="BH1440" s="105">
        <f>IF($AY$1335&gt;0,PPMT('Assumptions (Hydro)'!$V$6,Model!AF$1,'Assumptions (Hydro)'!$V$9,'Assumptions (Hydro)'!$V$4*Model!$AY$1335*AVERAGE('Assumptions (Hydro)'!$AU$2:$AW$2)/10^9),0)</f>
        <v>0</v>
      </c>
      <c r="BI1440" s="105">
        <f>IF($AY$1335&gt;0,PPMT('Assumptions (Hydro)'!$V$6,Model!AG$1,'Assumptions (Hydro)'!$V$9,'Assumptions (Hydro)'!$V$4*Model!$AY$1335*AVERAGE('Assumptions (Hydro)'!$AU$2:$AW$2)/10^9),0)</f>
        <v>0</v>
      </c>
      <c r="BJ1440" s="105">
        <f>IF($AY$1335&gt;0,PPMT('Assumptions (Hydro)'!$V$6,Model!AH$1,'Assumptions (Hydro)'!$V$9,'Assumptions (Hydro)'!$V$4*Model!$AY$1335*AVERAGE('Assumptions (Hydro)'!$AU$2:$AW$2)/10^9),0)</f>
        <v>0</v>
      </c>
      <c r="BK1440" s="105">
        <f>IF($AY$1335&gt;0,PPMT('Assumptions (Hydro)'!$V$6,Model!AI$1,'Assumptions (Hydro)'!$V$9,'Assumptions (Hydro)'!$V$4*Model!$AY$1335*AVERAGE('Assumptions (Hydro)'!$AU$2:$AW$2)/10^9),0)</f>
        <v>0</v>
      </c>
      <c r="BL1440" s="105">
        <f>IF($AY$1335&gt;0,PPMT('Assumptions (Hydro)'!$V$6,Model!AJ$1,'Assumptions (Hydro)'!$V$9,'Assumptions (Hydro)'!$V$4*Model!$AY$1335*AVERAGE('Assumptions (Hydro)'!$AU$2:$AW$2)/10^9),0)</f>
        <v>0</v>
      </c>
      <c r="BM1440" s="105">
        <f>IF($AY$1335&gt;0,PPMT('Assumptions (Hydro)'!$V$6,Model!AK$1,'Assumptions (Hydro)'!$V$9,'Assumptions (Hydro)'!$V$4*Model!$AY$1335*AVERAGE('Assumptions (Hydro)'!$AU$2:$AW$2)/10^9),0)</f>
        <v>0</v>
      </c>
      <c r="BN1440" s="105"/>
      <c r="BO1440" s="105"/>
      <c r="BP1440" s="105"/>
      <c r="BQ1440" s="105"/>
      <c r="BR1440" s="105"/>
      <c r="BS1440" s="105"/>
      <c r="BT1440" s="105"/>
      <c r="BU1440" s="105"/>
      <c r="BV1440" s="105"/>
      <c r="BW1440" s="105"/>
    </row>
    <row r="1441" spans="1:77" ht="15.75" hidden="1" customHeight="1" outlineLevel="1">
      <c r="A1441" s="413"/>
      <c r="B1441" s="99"/>
      <c r="C1441" s="99"/>
      <c r="D1441" s="99"/>
      <c r="E1441" s="99"/>
      <c r="F1441" s="99"/>
      <c r="G1441" s="99"/>
      <c r="H1441" s="99"/>
      <c r="I1441" s="99"/>
      <c r="J1441" s="99"/>
      <c r="K1441" s="99"/>
      <c r="L1441" s="99"/>
      <c r="M1441" s="99"/>
      <c r="N1441" s="99"/>
      <c r="O1441" s="99"/>
      <c r="P1441" s="99"/>
      <c r="Q1441" s="99"/>
      <c r="R1441" s="99"/>
      <c r="S1441" s="99"/>
      <c r="T1441" s="99"/>
      <c r="U1441" s="99"/>
      <c r="V1441" s="99"/>
      <c r="W1441" s="105"/>
      <c r="X1441" s="105"/>
      <c r="Y1441" s="105"/>
      <c r="Z1441" s="105"/>
      <c r="AA1441" s="105"/>
      <c r="AB1441" s="105"/>
      <c r="AC1441" s="105"/>
      <c r="AD1441" s="105"/>
      <c r="AE1441" s="105"/>
      <c r="AF1441" s="105"/>
      <c r="AG1441" s="105"/>
      <c r="AH1441" s="105"/>
      <c r="AI1441" s="105"/>
      <c r="AJ1441" s="171"/>
      <c r="AK1441" s="105"/>
      <c r="AL1441" s="91"/>
      <c r="AM1441" s="91"/>
      <c r="AN1441" s="91"/>
      <c r="AO1441" s="105"/>
      <c r="AP1441" s="105"/>
      <c r="AQ1441" s="105"/>
      <c r="AR1441" s="105"/>
      <c r="AS1441" s="105"/>
      <c r="AT1441" s="105"/>
      <c r="AU1441" s="105"/>
      <c r="AV1441" s="105"/>
      <c r="AW1441" s="105"/>
      <c r="AX1441" s="105"/>
      <c r="AY1441" s="105"/>
      <c r="AZ1441" s="105">
        <f>IF($AZ$1335&gt;0,PPMT('Assumptions (Hydro)'!$V$6,Model!W$1,'Assumptions (Hydro)'!$V$9,'Assumptions (Hydro)'!$V$4*Model!$AZ$1335*AVERAGE('Assumptions (Hydro)'!$AV$2:$AX$2)/10^9),0)</f>
        <v>0</v>
      </c>
      <c r="BA1441" s="105">
        <f>IF($AZ$1335&gt;0,PPMT('Assumptions (Hydro)'!$V$6,Model!X$1,'Assumptions (Hydro)'!$V$9,'Assumptions (Hydro)'!$V$4*Model!$AZ$1335*AVERAGE('Assumptions (Hydro)'!$AV$2:$AX$2)/10^9),0)</f>
        <v>0</v>
      </c>
      <c r="BB1441" s="105">
        <f>IF($AZ$1335&gt;0,PPMT('Assumptions (Hydro)'!$V$6,Model!Y$1,'Assumptions (Hydro)'!$V$9,'Assumptions (Hydro)'!$V$4*Model!$AZ$1335*AVERAGE('Assumptions (Hydro)'!$AV$2:$AX$2)/10^9),0)</f>
        <v>0</v>
      </c>
      <c r="BC1441" s="105">
        <f>IF($AZ$1335&gt;0,PPMT('Assumptions (Hydro)'!$V$6,Model!Z$1,'Assumptions (Hydro)'!$V$9,'Assumptions (Hydro)'!$V$4*Model!$AZ$1335*AVERAGE('Assumptions (Hydro)'!$AV$2:$AX$2)/10^9),0)</f>
        <v>0</v>
      </c>
      <c r="BD1441" s="105">
        <f>IF($AZ$1335&gt;0,PPMT('Assumptions (Hydro)'!$V$6,Model!AA$1,'Assumptions (Hydro)'!$V$9,'Assumptions (Hydro)'!$V$4*Model!$AZ$1335*AVERAGE('Assumptions (Hydro)'!$AV$2:$AX$2)/10^9),0)</f>
        <v>0</v>
      </c>
      <c r="BE1441" s="105">
        <f>IF($AZ$1335&gt;0,PPMT('Assumptions (Hydro)'!$V$6,Model!AB$1,'Assumptions (Hydro)'!$V$9,'Assumptions (Hydro)'!$V$4*Model!$AZ$1335*AVERAGE('Assumptions (Hydro)'!$AV$2:$AX$2)/10^9),0)</f>
        <v>0</v>
      </c>
      <c r="BF1441" s="105">
        <f>IF($AZ$1335&gt;0,PPMT('Assumptions (Hydro)'!$V$6,Model!AC$1,'Assumptions (Hydro)'!$V$9,'Assumptions (Hydro)'!$V$4*Model!$AZ$1335*AVERAGE('Assumptions (Hydro)'!$AV$2:$AX$2)/10^9),0)</f>
        <v>0</v>
      </c>
      <c r="BG1441" s="105">
        <f>IF($AZ$1335&gt;0,PPMT('Assumptions (Hydro)'!$V$6,Model!AD$1,'Assumptions (Hydro)'!$V$9,'Assumptions (Hydro)'!$V$4*Model!$AZ$1335*AVERAGE('Assumptions (Hydro)'!$AV$2:$AX$2)/10^9),0)</f>
        <v>0</v>
      </c>
      <c r="BH1441" s="105">
        <f>IF($AZ$1335&gt;0,PPMT('Assumptions (Hydro)'!$V$6,Model!AE$1,'Assumptions (Hydro)'!$V$9,'Assumptions (Hydro)'!$V$4*Model!$AZ$1335*AVERAGE('Assumptions (Hydro)'!$AV$2:$AX$2)/10^9),0)</f>
        <v>0</v>
      </c>
      <c r="BI1441" s="105">
        <f>IF($AZ$1335&gt;0,PPMT('Assumptions (Hydro)'!$V$6,Model!AF$1,'Assumptions (Hydro)'!$V$9,'Assumptions (Hydro)'!$V$4*Model!$AZ$1335*AVERAGE('Assumptions (Hydro)'!$AV$2:$AX$2)/10^9),0)</f>
        <v>0</v>
      </c>
      <c r="BJ1441" s="105">
        <f>IF($AZ$1335&gt;0,PPMT('Assumptions (Hydro)'!$V$6,Model!AG$1,'Assumptions (Hydro)'!$V$9,'Assumptions (Hydro)'!$V$4*Model!$AZ$1335*AVERAGE('Assumptions (Hydro)'!$AV$2:$AX$2)/10^9),0)</f>
        <v>0</v>
      </c>
      <c r="BK1441" s="105">
        <f>IF($AZ$1335&gt;0,PPMT('Assumptions (Hydro)'!$V$6,Model!AH$1,'Assumptions (Hydro)'!$V$9,'Assumptions (Hydro)'!$V$4*Model!$AZ$1335*AVERAGE('Assumptions (Hydro)'!$AV$2:$AX$2)/10^9),0)</f>
        <v>0</v>
      </c>
      <c r="BL1441" s="105">
        <f>IF($AZ$1335&gt;0,PPMT('Assumptions (Hydro)'!$V$6,Model!AI$1,'Assumptions (Hydro)'!$V$9,'Assumptions (Hydro)'!$V$4*Model!$AZ$1335*AVERAGE('Assumptions (Hydro)'!$AV$2:$AX$2)/10^9),0)</f>
        <v>0</v>
      </c>
      <c r="BM1441" s="105">
        <f>IF($AZ$1335&gt;0,PPMT('Assumptions (Hydro)'!$V$6,Model!AJ$1,'Assumptions (Hydro)'!$V$9,'Assumptions (Hydro)'!$V$4*Model!$AZ$1335*AVERAGE('Assumptions (Hydro)'!$AV$2:$AX$2)/10^9),0)</f>
        <v>0</v>
      </c>
      <c r="BN1441" s="105">
        <f>IF($AZ$1335&gt;0,PPMT('Assumptions (Hydro)'!$V$6,Model!AK$1,'Assumptions (Hydro)'!$V$9,'Assumptions (Hydro)'!$V$4*Model!$AZ$1335*AVERAGE('Assumptions (Hydro)'!$AV$2:$AX$2)/10^9),0)</f>
        <v>0</v>
      </c>
      <c r="BO1441" s="105"/>
      <c r="BP1441" s="105"/>
      <c r="BQ1441" s="105"/>
      <c r="BR1441" s="105"/>
      <c r="BS1441" s="105"/>
      <c r="BT1441" s="105"/>
      <c r="BU1441" s="105"/>
      <c r="BV1441" s="105"/>
      <c r="BW1441" s="105"/>
      <c r="BX1441" s="105"/>
    </row>
    <row r="1442" spans="1:77" ht="15.75" hidden="1" customHeight="1" outlineLevel="1">
      <c r="A1442" s="413"/>
      <c r="B1442" s="99"/>
      <c r="C1442" s="99"/>
      <c r="D1442" s="99"/>
      <c r="E1442" s="99"/>
      <c r="F1442" s="99"/>
      <c r="G1442" s="99"/>
      <c r="H1442" s="99"/>
      <c r="I1442" s="99"/>
      <c r="J1442" s="99"/>
      <c r="K1442" s="99"/>
      <c r="L1442" s="99"/>
      <c r="M1442" s="99"/>
      <c r="N1442" s="99"/>
      <c r="O1442" s="99"/>
      <c r="P1442" s="99"/>
      <c r="Q1442" s="99"/>
      <c r="R1442" s="99"/>
      <c r="S1442" s="99"/>
      <c r="T1442" s="99"/>
      <c r="U1442" s="99"/>
      <c r="V1442" s="99"/>
      <c r="W1442" s="105"/>
      <c r="X1442" s="105"/>
      <c r="Y1442" s="105"/>
      <c r="Z1442" s="105"/>
      <c r="AA1442" s="105"/>
      <c r="AB1442" s="105"/>
      <c r="AC1442" s="105"/>
      <c r="AD1442" s="105"/>
      <c r="AE1442" s="105"/>
      <c r="AF1442" s="105"/>
      <c r="AG1442" s="105"/>
      <c r="AH1442" s="105"/>
      <c r="AI1442" s="105"/>
      <c r="AJ1442" s="171"/>
      <c r="AK1442" s="105"/>
      <c r="AL1442" s="91"/>
      <c r="AM1442" s="91"/>
      <c r="AN1442" s="91"/>
      <c r="AO1442" s="105"/>
      <c r="AP1442" s="105"/>
      <c r="AQ1442" s="105"/>
      <c r="AR1442" s="105"/>
      <c r="AS1442" s="105"/>
      <c r="AT1442" s="105"/>
      <c r="AU1442" s="105"/>
      <c r="AV1442" s="105"/>
      <c r="AW1442" s="105"/>
      <c r="AX1442" s="105"/>
      <c r="AY1442" s="105"/>
      <c r="AZ1442" s="105"/>
      <c r="BA1442" s="105">
        <f>IF($BA$1335&gt;0,PPMT('Assumptions (Hydro)'!$V$6,Model!W$1,'Assumptions (Hydro)'!$V$9,'Assumptions (Hydro)'!$V$4*Model!$BA$1335*AVERAGE('Assumptions (Hydro)'!$AW$2:$AY$2)/10^9),0)</f>
        <v>-6.6243179500456526E-3</v>
      </c>
      <c r="BB1442" s="105">
        <f>IF($BA$1335&gt;0,PPMT('Assumptions (Hydro)'!$V$6,Model!X$1,'Assumptions (Hydro)'!$V$9,'Assumptions (Hydro)'!$V$4*Model!$BA$1335*AVERAGE('Assumptions (Hydro)'!$AW$2:$AY$2)/10^9),0)</f>
        <v>-6.9389730526728203E-3</v>
      </c>
      <c r="BC1442" s="105">
        <f>IF($BA$1335&gt;0,PPMT('Assumptions (Hydro)'!$V$6,Model!Y$1,'Assumptions (Hydro)'!$V$9,'Assumptions (Hydro)'!$V$4*Model!$BA$1335*AVERAGE('Assumptions (Hydro)'!$AW$2:$AY$2)/10^9),0)</f>
        <v>-7.2685742726747802E-3</v>
      </c>
      <c r="BD1442" s="105">
        <f>IF($BA$1335&gt;0,PPMT('Assumptions (Hydro)'!$V$6,Model!Z$1,'Assumptions (Hydro)'!$V$9,'Assumptions (Hydro)'!$V$4*Model!$BA$1335*AVERAGE('Assumptions (Hydro)'!$AW$2:$AY$2)/10^9),0)</f>
        <v>-7.6138315506268312E-3</v>
      </c>
      <c r="BE1442" s="105">
        <f>IF($BA$1335&gt;0,PPMT('Assumptions (Hydro)'!$V$6,Model!AA$1,'Assumptions (Hydro)'!$V$9,'Assumptions (Hydro)'!$V$4*Model!$BA$1335*AVERAGE('Assumptions (Hydro)'!$AW$2:$AY$2)/10^9),0)</f>
        <v>-7.9754885492816056E-3</v>
      </c>
      <c r="BF1442" s="105">
        <f>IF($BA$1335&gt;0,PPMT('Assumptions (Hydro)'!$V$6,Model!AB$1,'Assumptions (Hydro)'!$V$9,'Assumptions (Hydro)'!$V$4*Model!$BA$1335*AVERAGE('Assumptions (Hydro)'!$AW$2:$AY$2)/10^9),0)</f>
        <v>-8.3543242553724816E-3</v>
      </c>
      <c r="BG1442" s="105">
        <f>IF($BA$1335&gt;0,PPMT('Assumptions (Hydro)'!$V$6,Model!AC$1,'Assumptions (Hydro)'!$V$9,'Assumptions (Hydro)'!$V$4*Model!$BA$1335*AVERAGE('Assumptions (Hydro)'!$AW$2:$AY$2)/10^9),0)</f>
        <v>-8.7511546575026761E-3</v>
      </c>
      <c r="BH1442" s="105">
        <f>IF($BA$1335&gt;0,PPMT('Assumptions (Hydro)'!$V$6,Model!AD$1,'Assumptions (Hydro)'!$V$9,'Assumptions (Hydro)'!$V$4*Model!$BA$1335*AVERAGE('Assumptions (Hydro)'!$AW$2:$AY$2)/10^9),0)</f>
        <v>-9.1668345037340532E-3</v>
      </c>
      <c r="BI1442" s="105">
        <f>IF($BA$1335&gt;0,PPMT('Assumptions (Hydro)'!$V$6,Model!AE$1,'Assumptions (Hydro)'!$V$9,'Assumptions (Hydro)'!$V$4*Model!$BA$1335*AVERAGE('Assumptions (Hydro)'!$AW$2:$AY$2)/10^9),0)</f>
        <v>-9.6022591426614193E-3</v>
      </c>
      <c r="BJ1442" s="105">
        <f>IF($BA$1335&gt;0,PPMT('Assumptions (Hydro)'!$V$6,Model!AF$1,'Assumptions (Hydro)'!$V$9,'Assumptions (Hydro)'!$V$4*Model!$BA$1335*AVERAGE('Assumptions (Hydro)'!$AW$2:$AY$2)/10^9),0)</f>
        <v>-1.0058366451937839E-2</v>
      </c>
      <c r="BK1442" s="105">
        <f>IF($BA$1335&gt;0,PPMT('Assumptions (Hydro)'!$V$6,Model!AG$1,'Assumptions (Hydro)'!$V$9,'Assumptions (Hydro)'!$V$4*Model!$BA$1335*AVERAGE('Assumptions (Hydro)'!$AW$2:$AY$2)/10^9),0)</f>
        <v>-1.0536138858404886E-2</v>
      </c>
      <c r="BL1442" s="105">
        <f>IF($BA$1335&gt;0,PPMT('Assumptions (Hydro)'!$V$6,Model!AH$1,'Assumptions (Hydro)'!$V$9,'Assumptions (Hydro)'!$V$4*Model!$BA$1335*AVERAGE('Assumptions (Hydro)'!$AW$2:$AY$2)/10^9),0)</f>
        <v>-1.1036605454179116E-2</v>
      </c>
      <c r="BM1442" s="105">
        <f>IF($BA$1335&gt;0,PPMT('Assumptions (Hydro)'!$V$6,Model!AI$1,'Assumptions (Hydro)'!$V$9,'Assumptions (Hydro)'!$V$4*Model!$BA$1335*AVERAGE('Assumptions (Hydro)'!$AW$2:$AY$2)/10^9),0)</f>
        <v>-1.1560844213252626E-2</v>
      </c>
      <c r="BN1442" s="105">
        <f>IF($BA$1335&gt;0,PPMT('Assumptions (Hydro)'!$V$6,Model!AJ$1,'Assumptions (Hydro)'!$V$9,'Assumptions (Hydro)'!$V$4*Model!$BA$1335*AVERAGE('Assumptions (Hydro)'!$AW$2:$AY$2)/10^9),0)</f>
        <v>-1.2109984313382127E-2</v>
      </c>
      <c r="BO1442" s="105">
        <f>IF($BA$1335&gt;0,PPMT('Assumptions (Hydro)'!$V$6,Model!AK$1,'Assumptions (Hydro)'!$V$9,'Assumptions (Hydro)'!$V$4*Model!$BA$1335*AVERAGE('Assumptions (Hydro)'!$AW$2:$AY$2)/10^9),0)</f>
        <v>-1.2685208568267776E-2</v>
      </c>
      <c r="BP1442" s="105"/>
      <c r="BQ1442" s="105"/>
      <c r="BR1442" s="105"/>
      <c r="BS1442" s="105"/>
      <c r="BT1442" s="105"/>
      <c r="BU1442" s="105"/>
      <c r="BV1442" s="105"/>
      <c r="BW1442" s="105"/>
      <c r="BX1442" s="105"/>
      <c r="BY1442" s="105"/>
    </row>
    <row r="1443" spans="1:77" ht="15.75" customHeight="1" collapsed="1">
      <c r="A1443" s="414" t="s">
        <v>709</v>
      </c>
      <c r="B1443" s="99" t="s">
        <v>201</v>
      </c>
      <c r="C1443" s="91">
        <f t="array" ref="C1443">SUM(IF(ISERROR(C1444:C1494),"",C1444:C1494))</f>
        <v>-2.0565606886695697E-4</v>
      </c>
      <c r="D1443" s="91">
        <f t="array" ref="D1443">SUM(IF(ISERROR(D1444:D1494),"",D1444:D1494))</f>
        <v>-7.5439805138916363E-3</v>
      </c>
      <c r="E1443" s="91">
        <f t="array" ref="E1443">SUM(IF(ISERROR(E1444:E1494),"",E1444:E1494))</f>
        <v>-2.6560238426682301E-2</v>
      </c>
      <c r="F1443" s="91">
        <f t="array" ref="F1443">SUM(IF(ISERROR(F1444:F1494),"",F1444:F1494))</f>
        <v>-2.9852788198265139E-2</v>
      </c>
      <c r="G1443" s="91">
        <f t="array" ref="G1443">SUM(IF(ISERROR(G1444:G1494),"",G1444:G1494))</f>
        <v>-3.276275708355763E-2</v>
      </c>
      <c r="H1443" s="91">
        <f t="array" ref="H1443">SUM(IF(ISERROR(H1444:H1494),"",H1444:H1494))</f>
        <v>-3.242064736305339E-2</v>
      </c>
      <c r="I1443" s="91">
        <f t="array" ref="I1443">SUM(IF(ISERROR(I1444:I1494),"",I1444:I1494))</f>
        <v>-3.1636546474723248E-2</v>
      </c>
      <c r="J1443" s="91">
        <f t="array" ref="J1443">SUM(IF(ISERROR(J1444:J1494),"",J1444:J1494))</f>
        <v>-3.0797130355120071E-2</v>
      </c>
      <c r="K1443" s="91">
        <f t="array" ref="K1443">SUM(IF(ISERROR(K1444:K1494),"",K1444:K1494))</f>
        <v>-2.9912687841614362E-2</v>
      </c>
      <c r="L1443" s="91">
        <f t="array" ref="L1443">SUM(IF(ISERROR(L1444:L1494),"",L1444:L1494))</f>
        <v>-2.8137454387550744E-2</v>
      </c>
      <c r="M1443" s="91">
        <f t="array" ref="M1443">SUM(IF(ISERROR(M1444:M1494),"",M1444:M1494))</f>
        <v>-2.6828759351992752E-2</v>
      </c>
      <c r="N1443" s="91">
        <f t="array" ref="N1443">SUM(IF(ISERROR(N1444:N1494),"",N1444:N1494))</f>
        <v>-3.4657597605380723E-2</v>
      </c>
      <c r="O1443" s="91">
        <f t="array" ref="O1443">SUM(IF(ISERROR(O1444:O1494),"",O1444:O1494))</f>
        <v>-5.7862614207509502E-2</v>
      </c>
      <c r="P1443" s="91">
        <f t="array" ref="P1443">SUM(IF(ISERROR(P1444:P1494),"",P1444:P1494))</f>
        <v>-8.2352145343034491E-2</v>
      </c>
      <c r="Q1443" s="91">
        <f t="array" ref="Q1443">SUM(IF(ISERROR(Q1444:Q1494),"",Q1444:Q1494))</f>
        <v>-8.6320738440611403E-2</v>
      </c>
      <c r="R1443" s="91">
        <f t="array" ref="R1443">SUM(IF(ISERROR(R1444:R1494),"",R1444:R1494))</f>
        <v>-8.8735963599902629E-2</v>
      </c>
      <c r="S1443" s="91">
        <f t="array" ref="S1443">SUM(IF(ISERROR(S1444:S1494),"",S1444:S1494))</f>
        <v>-0.10795427011602897</v>
      </c>
      <c r="T1443" s="91">
        <f t="array" ref="T1443">SUM(IF(ISERROR(T1444:T1494),"",T1444:T1494))</f>
        <v>-0.11436242993707522</v>
      </c>
      <c r="U1443" s="91">
        <f t="array" ref="U1443">SUM(IF(ISERROR(U1444:U1494),"",U1444:U1494))</f>
        <v>-0.11738437113526304</v>
      </c>
      <c r="V1443" s="91">
        <f t="array" ref="V1443">SUM(IF(ISERROR(V1444:V1494),"",V1444:V1494))</f>
        <v>-0.11730842193196916</v>
      </c>
      <c r="W1443" s="91">
        <f t="array" ref="W1443">SUM(IF(ISERROR(W1444:W1494),"",W1444:W1494))</f>
        <v>-0.10792162309101176</v>
      </c>
      <c r="X1443" s="91">
        <f t="array" ref="X1443">SUM(IF(ISERROR(X1444:X1494),"",X1444:X1494))</f>
        <v>-0.40806372354105819</v>
      </c>
      <c r="Y1443" s="91">
        <f t="array" ref="Y1443">SUM(IF(ISERROR(Y1444:Y1494),"",Y1444:Y1494))</f>
        <v>-0.38339950968617237</v>
      </c>
      <c r="Z1443" s="91">
        <f t="array" ref="Z1443">SUM(IF(ISERROR(Z1444:Z1494),"",Z1444:Z1494))</f>
        <v>-0.35768931919463587</v>
      </c>
      <c r="AA1443" s="91">
        <f t="array" ref="AA1443">SUM(IF(ISERROR(AA1444:AA1494),"",AA1444:AA1494))</f>
        <v>-0.33089487443774024</v>
      </c>
      <c r="AB1443" s="91">
        <f t="array" ref="AB1443">SUM(IF(ISERROR(AB1444:AB1494),"",AB1444:AB1494))</f>
        <v>-0.30289725082131885</v>
      </c>
      <c r="AC1443" s="91">
        <f t="array" ref="AC1443">SUM(IF(ISERROR(AC1444:AC1494),"",AC1444:AC1494))</f>
        <v>-0.27369806416698783</v>
      </c>
      <c r="AD1443" s="91">
        <f t="array" ref="AD1443">SUM(IF(ISERROR(AD1444:AD1494),"",AD1444:AD1494))</f>
        <v>-0.24412380090331143</v>
      </c>
      <c r="AE1443" s="91">
        <f t="array" ref="AE1443">SUM(IF(ISERROR(AE1444:AE1494),"",AE1444:AE1494))</f>
        <v>-0.21567371688857054</v>
      </c>
      <c r="AF1443" s="91">
        <f t="array" ref="AF1443">SUM(IF(ISERROR(AF1444:AF1494),"",AF1444:AF1494))</f>
        <v>-0.18865802170238385</v>
      </c>
      <c r="AG1443" s="91">
        <f t="array" ref="AG1443">SUM(IF(ISERROR(AG1444:AG1494),"",AG1444:AG1494))</f>
        <v>-0.16135476875393162</v>
      </c>
      <c r="AH1443" s="91">
        <f t="array" ref="AH1443">SUM(IF(ISERROR(AH1444:AH1494),"",AH1444:AH1494))</f>
        <v>-0.133679619242383</v>
      </c>
      <c r="AI1443" s="91">
        <f t="array" ref="AI1443">SUM(IF(ISERROR(AI1444:AI1494),"",AI1444:AI1494))</f>
        <v>-0.10728142093463837</v>
      </c>
      <c r="AJ1443" s="91">
        <f t="array" ref="AJ1443">SUM(IF(ISERROR(AJ1444:AJ1494),"",AJ1444:AJ1494))</f>
        <v>-8.1100513873838681E-2</v>
      </c>
      <c r="AK1443" s="91">
        <f t="array" ref="AK1443">SUM(IF(ISERROR(AK1444:AK1494),"",AK1444:AK1494))</f>
        <v>-5.4763175186688003E-2</v>
      </c>
      <c r="AL1443" s="91">
        <f t="array" ref="AL1443">SUM(IF(ISERROR(AL1444:AL1494),"",AL1444:AL1494))</f>
        <v>-2.8016813679148073E-2</v>
      </c>
      <c r="AM1443" s="91">
        <f t="array" ref="AM1443">SUM(IF(ISERROR(AM1444:AM1494),"",AM1444:AM1494))</f>
        <v>0</v>
      </c>
      <c r="AN1443" s="91">
        <f t="array" ref="AN1443">SUM(IF(ISERROR(AN1444:AN1494),"",AN1444:AN1494))</f>
        <v>0</v>
      </c>
      <c r="AO1443" s="91">
        <f t="array" ref="AO1443">SUM(IF(ISERROR(AO1444:AO1494),"",AO1444:AO1494))</f>
        <v>0</v>
      </c>
      <c r="AP1443" s="91">
        <f t="array" ref="AP1443">SUM(IF(ISERROR(AP1444:AP1494),"",AP1444:AP1494))</f>
        <v>0</v>
      </c>
      <c r="AQ1443" s="91">
        <f t="array" ref="AQ1443">SUM(IF(ISERROR(AQ1444:AQ1494),"",AQ1444:AQ1494))</f>
        <v>0</v>
      </c>
      <c r="AR1443" s="91">
        <f t="array" ref="AR1443">SUM(IF(ISERROR(AR1444:AR1494),"",AR1444:AR1494))</f>
        <v>0</v>
      </c>
      <c r="AS1443" s="91">
        <f t="array" ref="AS1443">SUM(IF(ISERROR(AS1444:AS1494),"",AS1444:AS1494))</f>
        <v>0</v>
      </c>
      <c r="AT1443" s="91">
        <f t="array" ref="AT1443">SUM(IF(ISERROR(AT1444:AT1494),"",AT1444:AT1494))</f>
        <v>0</v>
      </c>
      <c r="AU1443" s="91">
        <f t="array" ref="AU1443">SUM(IF(ISERROR(AU1444:AU1494),"",AU1444:AU1494))</f>
        <v>0</v>
      </c>
      <c r="AV1443" s="91">
        <f t="array" ref="AV1443">SUM(IF(ISERROR(AV1444:AV1494),"",AV1444:AV1494))</f>
        <v>0</v>
      </c>
      <c r="AW1443" s="91">
        <f t="array" ref="AW1443">SUM(IF(ISERROR(AW1444:AW1494),"",AW1444:AW1494))</f>
        <v>0</v>
      </c>
      <c r="AX1443" s="91">
        <f t="array" ref="AX1443">SUM(IF(ISERROR(AX1444:AX1494),"",AX1444:AX1494))</f>
        <v>0</v>
      </c>
      <c r="AY1443" s="91">
        <f t="array" ref="AY1443">SUM(IF(ISERROR(AY1444:AY1494),"",AY1444:AY1494))</f>
        <v>0</v>
      </c>
      <c r="AZ1443" s="91">
        <f t="array" ref="AZ1443">SUM(IF(ISERROR(AZ1444:AZ1494),"",AZ1444:AZ1494))</f>
        <v>0</v>
      </c>
      <c r="BA1443" s="91">
        <f t="array" ref="BA1443">SUM(IF(ISERROR(BA1444:BA1494),"",BA1444:BA1494))</f>
        <v>-6.6634380252148439E-3</v>
      </c>
      <c r="BB1443" s="91">
        <f t="array" ref="BB1443">SUM(IF(ISERROR(BB1444:BB1494),"",BB1444:BB1494))</f>
        <v>-6.3487829225876745E-3</v>
      </c>
      <c r="BC1443" s="91">
        <f t="array" ref="BC1443">SUM(IF(ISERROR(BC1444:BC1494),"",BC1444:BC1494))</f>
        <v>-6.0191817025857138E-3</v>
      </c>
      <c r="BD1443" s="91">
        <f t="array" ref="BD1443">SUM(IF(ISERROR(BD1444:BD1494),"",BD1444:BD1494))</f>
        <v>-5.6739244246336628E-3</v>
      </c>
      <c r="BE1443" s="91">
        <f t="array" ref="BE1443">SUM(IF(ISERROR(BE1444:BE1494),"",BE1444:BE1494))</f>
        <v>-5.3122674259788883E-3</v>
      </c>
      <c r="BF1443" s="91">
        <f t="array" ref="BF1443">SUM(IF(ISERROR(BF1444:BF1494),"",BF1444:BF1494))</f>
        <v>-4.9334317198880123E-3</v>
      </c>
      <c r="BG1443" s="91">
        <f t="array" ref="BG1443">SUM(IF(ISERROR(BG1444:BG1494),"",BG1444:BG1494))</f>
        <v>-4.5366013177578187E-3</v>
      </c>
      <c r="BH1443" s="91">
        <f t="array" ref="BH1443">SUM(IF(ISERROR(BH1444:BH1494),"",BH1444:BH1494))</f>
        <v>-4.1209214715264416E-3</v>
      </c>
      <c r="BI1443" s="91">
        <f t="array" ref="BI1443">SUM(IF(ISERROR(BI1444:BI1494),"",BI1444:BI1494))</f>
        <v>-3.6854968325990751E-3</v>
      </c>
      <c r="BJ1443" s="91">
        <f t="array" ref="BJ1443">SUM(IF(ISERROR(BJ1444:BJ1494),"",BJ1444:BJ1494))</f>
        <v>-3.2293895233226574E-3</v>
      </c>
      <c r="BK1443" s="91">
        <f t="array" ref="BK1443">SUM(IF(ISERROR(BK1444:BK1494),"",BK1444:BK1494))</f>
        <v>-2.7516171168556103E-3</v>
      </c>
      <c r="BL1443" s="91">
        <f t="array" ref="BL1443">SUM(IF(ISERROR(BL1444:BL1494),"",BL1444:BL1494))</f>
        <v>-2.2511505210813781E-3</v>
      </c>
      <c r="BM1443" s="91">
        <f t="array" ref="BM1443">SUM(IF(ISERROR(BM1444:BM1494),"",BM1444:BM1494))</f>
        <v>-1.7269117620078698E-3</v>
      </c>
      <c r="BN1443" s="91">
        <f t="array" ref="BN1443">SUM(IF(ISERROR(BN1444:BN1494),"",BN1444:BN1494))</f>
        <v>-1.1777716618783702E-3</v>
      </c>
      <c r="BO1443" s="91">
        <f t="array" ref="BO1443">SUM(IF(ISERROR(BO1444:BO1494),"",BO1444:BO1494))</f>
        <v>-6.025474069927193E-4</v>
      </c>
      <c r="BP1443" s="91"/>
    </row>
    <row r="1444" spans="1:77" ht="15.75" hidden="1" customHeight="1" outlineLevel="1">
      <c r="A1444" s="413"/>
      <c r="B1444" s="99"/>
      <c r="C1444" s="91">
        <f>IF($C$1335&gt;0,IPMT('Assumptions (Hydro)'!$V$6,Model!W$1,'Assumptions (Hydro)'!$V$9,'Assumptions (Hydro)'!$V$4*Model!$C$1335*'Assumptions (Hydro)'!$B$2/10^9),0)</f>
        <v>-2.0565606886695697E-4</v>
      </c>
      <c r="D1444" s="91">
        <f>IF($C$1335&gt;0,IPMT('Assumptions (Hydro)'!$V$6,Model!X$1,'Assumptions (Hydro)'!$V$9,'Assumptions (Hydro)'!$V$4*Model!$C$1335*'Assumptions (Hydro)'!$B$2/10^9),0)</f>
        <v>-1.9594475599657939E-4</v>
      </c>
      <c r="E1444" s="91">
        <f>IF($C$1335&gt;0,IPMT('Assumptions (Hydro)'!$V$6,Model!Y$1,'Assumptions (Hydro)'!$V$9,'Assumptions (Hydro)'!$V$4*Model!$C$1335*'Assumptions (Hydro)'!$B$2/10^9),0)</f>
        <v>-1.8577215576485878E-4</v>
      </c>
      <c r="F1444" s="91">
        <f>IF($C$1335&gt;0,IPMT('Assumptions (Hydro)'!$V$6,Model!Z$1,'Assumptions (Hydro)'!$V$9,'Assumptions (Hydro)'!$V$4*Model!$C$1335*'Assumptions (Hydro)'!$B$2/10^9),0)</f>
        <v>-1.7511635702213157E-4</v>
      </c>
      <c r="G1444" s="91">
        <f>IF($C$1335&gt;0,IPMT('Assumptions (Hydro)'!$V$6,Model!AA$1,'Assumptions (Hydro)'!$V$9,'Assumptions (Hydro)'!$V$4*Model!$C$1335*'Assumptions (Hydro)'!$B$2/10^9),0)</f>
        <v>-1.6395440783912476E-4</v>
      </c>
      <c r="H1444" s="91">
        <f>IF($C$1335&gt;0,IPMT('Assumptions (Hydro)'!$V$6,Model!AB$1,'Assumptions (Hydro)'!$V$9,'Assumptions (Hydro)'!$V$4*Model!$C$1335*'Assumptions (Hydro)'!$B$2/10^9),0)</f>
        <v>-1.5226226606992514E-4</v>
      </c>
      <c r="I1444" s="91">
        <f>IF($C$1335&gt;0,IPMT('Assumptions (Hydro)'!$V$6,Model!AC$1,'Assumptions (Hydro)'!$V$9,'Assumptions (Hydro)'!$V$4*Model!$C$1335*'Assumptions (Hydro)'!$B$2/10^9),0)</f>
        <v>-1.4001474756668853E-4</v>
      </c>
      <c r="J1444" s="91">
        <f>IF($C$1335&gt;0,IPMT('Assumptions (Hydro)'!$V$6,Model!AD$1,'Assumptions (Hydro)'!$V$9,'Assumptions (Hydro)'!$V$4*Model!$C$1335*'Assumptions (Hydro)'!$B$2/10^9),0)</f>
        <v>-1.2718547193454817E-4</v>
      </c>
      <c r="K1444" s="91">
        <f>IF($C$1335&gt;0,IPMT('Assumptions (Hydro)'!$V$6,Model!AE$1,'Assumptions (Hydro)'!$V$9,'Assumptions (Hydro)'!$V$4*Model!$C$1335*'Assumptions (Hydro)'!$B$2/10^9),0)</f>
        <v>-1.137468057098812E-4</v>
      </c>
      <c r="L1444" s="91">
        <f>IF($C$1335&gt;0,IPMT('Assumptions (Hydro)'!$V$6,Model!AF$1,'Assumptions (Hydro)'!$V$9,'Assumptions (Hydro)'!$V$4*Model!$C$1335*'Assumptions (Hydro)'!$B$2/10^9),0)</f>
        <v>-9.9669802839542484E-5</v>
      </c>
      <c r="M1444" s="91">
        <f>IF($C$1335&gt;0,IPMT('Assumptions (Hydro)'!$V$6,Model!AG$1,'Assumptions (Hydro)'!$V$9,'Assumptions (Hydro)'!$V$4*Model!$C$1335*'Assumptions (Hydro)'!$B$2/10^9),0)</f>
        <v>-8.4924142332862715E-5</v>
      </c>
      <c r="N1444" s="91">
        <f>IF($C$1335&gt;0,IPMT('Assumptions (Hydro)'!$V$6,Model!AH$1,'Assumptions (Hydro)'!$V$9,'Assumptions (Hydro)'!$V$4*Model!$C$1335*'Assumptions (Hydro)'!$B$2/10^9),0)</f>
        <v>-6.9478062952115649E-5</v>
      </c>
      <c r="O1444" s="91">
        <f>IF($C$1335&gt;0,IPMT('Assumptions (Hydro)'!$V$6,Model!AI$1,'Assumptions (Hydro)'!$V$9,'Assumptions (Hydro)'!$V$4*Model!$C$1335*'Assumptions (Hydro)'!$B$2/10^9),0)</f>
        <v>-5.3298294800783073E-5</v>
      </c>
      <c r="P1444" s="91">
        <f>IF($C$1335&gt;0,IPMT('Assumptions (Hydro)'!$V$6,Model!AJ$1,'Assumptions (Hydro)'!$V$9,'Assumptions (Hydro)'!$V$4*Model!$C$1335*'Assumptions (Hydro)'!$B$2/10^9),0)</f>
        <v>-3.6349987662262217E-5</v>
      </c>
      <c r="Q1444" s="91">
        <f>IF($C$1335&gt;0,IPMT('Assumptions (Hydro)'!$V$6,Model!AK$1,'Assumptions (Hydro)'!$V$9,'Assumptions (Hydro)'!$V$4*Model!$C$1335*'Assumptions (Hydro)'!$B$2/10^9),0)</f>
        <v>-1.8596635934661626E-5</v>
      </c>
      <c r="R1444" s="91"/>
      <c r="S1444" s="91"/>
      <c r="T1444" s="91"/>
      <c r="U1444" s="91"/>
      <c r="V1444" s="91"/>
      <c r="W1444" s="91"/>
      <c r="X1444" s="91"/>
      <c r="Y1444" s="91"/>
      <c r="Z1444" s="91"/>
      <c r="AA1444" s="91"/>
      <c r="AB1444" s="105"/>
      <c r="AC1444" s="105"/>
      <c r="AD1444" s="105"/>
      <c r="AE1444" s="105"/>
      <c r="AF1444" s="105"/>
      <c r="AG1444" s="105"/>
    </row>
    <row r="1445" spans="1:77" ht="15.75" hidden="1" customHeight="1" outlineLevel="1">
      <c r="A1445" s="413"/>
      <c r="B1445" s="99"/>
      <c r="C1445" s="105"/>
      <c r="D1445" s="91">
        <f>IF($D$1335&gt;0,IPMT('Assumptions (Hydro)'!$V$6,Model!W$1,'Assumptions (Hydro)'!$V$9,'Assumptions (Hydro)'!$V$4*Model!$D$1335*'Assumptions (Hydro)'!$B$2/10^9),0)</f>
        <v>-7.3480357578950568E-3</v>
      </c>
      <c r="E1445" s="91">
        <f>IF($D$1335&gt;0,IPMT('Assumptions (Hydro)'!$V$6,Model!X$1,'Assumptions (Hydro)'!$V$9,'Assumptions (Hydro)'!$V$4*Model!$D$1335*'Assumptions (Hydro)'!$B$2/10^9),0)</f>
        <v>-7.0010531737156184E-3</v>
      </c>
      <c r="F1445" s="91">
        <f>IF($D$1335&gt;0,IPMT('Assumptions (Hydro)'!$V$6,Model!Y$1,'Assumptions (Hydro)'!$V$9,'Assumptions (Hydro)'!$V$4*Model!$D$1335*'Assumptions (Hydro)'!$B$2/10^9),0)</f>
        <v>-6.6375889167876569E-3</v>
      </c>
      <c r="G1445" s="91">
        <f>IF($D$1335&gt;0,IPMT('Assumptions (Hydro)'!$V$6,Model!Z$1,'Assumptions (Hydro)'!$V$9,'Assumptions (Hydro)'!$V$4*Model!$D$1335*'Assumptions (Hydro)'!$B$2/10^9),0)</f>
        <v>-6.2568601076556192E-3</v>
      </c>
      <c r="H1445" s="91">
        <f>IF($D$1335&gt;0,IPMT('Assumptions (Hydro)'!$V$6,Model!AA$1,'Assumptions (Hydro)'!$V$9,'Assumptions (Hydro)'!$V$4*Model!$D$1335*'Assumptions (Hydro)'!$B$2/10^9),0)</f>
        <v>-5.8580466800898087E-3</v>
      </c>
      <c r="I1445" s="91">
        <f>IF($D$1335&gt;0,IPMT('Assumptions (Hydro)'!$V$6,Model!AB$1,'Assumptions (Hydro)'!$V$9,'Assumptions (Hydro)'!$V$4*Model!$D$1335*'Assumptions (Hydro)'!$B$2/10^9),0)</f>
        <v>-5.4402896147146221E-3</v>
      </c>
      <c r="J1445" s="91">
        <f>IF($D$1335&gt;0,IPMT('Assumptions (Hydro)'!$V$6,Model!AC$1,'Assumptions (Hydro)'!$V$9,'Assumptions (Hydro)'!$V$4*Model!$D$1335*'Assumptions (Hydro)'!$B$2/10^9),0)</f>
        <v>-5.0026890887341141E-3</v>
      </c>
      <c r="K1445" s="91">
        <f>IF($D$1335&gt;0,IPMT('Assumptions (Hydro)'!$V$6,Model!AD$1,'Assumptions (Hydro)'!$V$9,'Assumptions (Hydro)'!$V$4*Model!$D$1335*'Assumptions (Hydro)'!$B$2/10^9),0)</f>
        <v>-4.5443025377695321E-3</v>
      </c>
      <c r="L1445" s="91">
        <f>IF($D$1335&gt;0,IPMT('Assumptions (Hydro)'!$V$6,Model!AE$1,'Assumptions (Hydro)'!$V$9,'Assumptions (Hydro)'!$V$4*Model!$D$1335*'Assumptions (Hydro)'!$B$2/10^9),0)</f>
        <v>-4.0641426256341328E-3</v>
      </c>
      <c r="M1445" s="91">
        <f>IF($D$1335&gt;0,IPMT('Assumptions (Hydro)'!$V$6,Model!AF$1,'Assumptions (Hydro)'!$V$9,'Assumptions (Hydro)'!$V$4*Model!$D$1335*'Assumptions (Hydro)'!$B$2/10^9),0)</f>
        <v>-3.5611751176723022E-3</v>
      </c>
      <c r="N1445" s="91">
        <f>IF($D$1335&gt;0,IPMT('Assumptions (Hydro)'!$V$6,Model!AG$1,'Assumptions (Hydro)'!$V$9,'Assumptions (Hydro)'!$V$4*Model!$D$1335*'Assumptions (Hydro)'!$B$2/10^9),0)</f>
        <v>-3.0343166530822831E-3</v>
      </c>
      <c r="O1445" s="91">
        <f>IF($D$1335&gt;0,IPMT('Assumptions (Hydro)'!$V$6,Model!AH$1,'Assumptions (Hydro)'!$V$9,'Assumptions (Hydro)'!$V$4*Model!$D$1335*'Assumptions (Hydro)'!$B$2/10^9),0)</f>
        <v>-2.4824324114242399E-3</v>
      </c>
      <c r="P1445" s="91">
        <f>IF($D$1335&gt;0,IPMT('Assumptions (Hydro)'!$V$6,Model!AI$1,'Assumptions (Hydro)'!$V$9,'Assumptions (Hydro)'!$V$4*Model!$D$1335*'Assumptions (Hydro)'!$B$2/10^9),0)</f>
        <v>-1.9043336682874382E-3</v>
      </c>
      <c r="Q1445" s="91">
        <f>IF($D$1335&gt;0,IPMT('Assumptions (Hydro)'!$V$6,Model!AJ$1,'Assumptions (Hydro)'!$V$9,'Assumptions (Hydro)'!$V$4*Model!$D$1335*'Assumptions (Hydro)'!$B$2/10^9),0)</f>
        <v>-1.2987752348516391E-3</v>
      </c>
      <c r="R1445" s="91">
        <f>IF($D$1335&gt;0,IPMT('Assumptions (Hydro)'!$V$6,Model!AK$1,'Assumptions (Hydro)'!$V$9,'Assumptions (Hydro)'!$V$4*Model!$D$1335*'Assumptions (Hydro)'!$B$2/10^9),0)</f>
        <v>-6.644527758276396E-4</v>
      </c>
      <c r="S1445" s="91"/>
      <c r="T1445" s="91"/>
      <c r="U1445" s="91"/>
      <c r="V1445" s="91"/>
      <c r="W1445" s="91"/>
      <c r="X1445" s="91"/>
      <c r="Y1445" s="91"/>
      <c r="Z1445" s="91"/>
      <c r="AA1445" s="91"/>
      <c r="AB1445" s="91"/>
      <c r="AC1445" s="105"/>
      <c r="AD1445" s="105"/>
      <c r="AE1445" s="105"/>
      <c r="AF1445" s="105"/>
      <c r="AG1445" s="105"/>
    </row>
    <row r="1446" spans="1:77" ht="15.75" hidden="1" customHeight="1" outlineLevel="1">
      <c r="A1446" s="413"/>
      <c r="B1446" s="99"/>
      <c r="C1446" s="105"/>
      <c r="D1446" s="105"/>
      <c r="E1446" s="105">
        <f>IF($E$1335&gt;0,IPMT('Assumptions (Hydro)'!$V$6,Model!W$1,'Assumptions (Hydro)'!$V$9,'Assumptions (Hydro)'!$V$4*Model!$E$1335*AVERAGE('Assumptions (Hydro)'!$B$2:$C$2)/10^9),0)</f>
        <v>-1.9373413097201822E-2</v>
      </c>
      <c r="F1446" s="105">
        <f>IF($E$1335&gt;0,IPMT('Assumptions (Hydro)'!$V$6,Model!X$1,'Assumptions (Hydro)'!$V$9,'Assumptions (Hydro)'!$V$4*Model!$E$1335*AVERAGE('Assumptions (Hydro)'!$B$2:$C$2)/10^9),0)</f>
        <v>-1.8458578553341553E-2</v>
      </c>
      <c r="G1446" s="105">
        <f>IF($E$1335&gt;0,IPMT('Assumptions (Hydro)'!$V$6,Model!Y$1,'Assumptions (Hydro)'!$V$9,'Assumptions (Hydro)'!$V$4*Model!$E$1335*AVERAGE('Assumptions (Hydro)'!$B$2:$C$2)/10^9),0)</f>
        <v>-1.7500289368647923E-2</v>
      </c>
      <c r="H1446" s="105">
        <f>IF($E$1335&gt;0,IPMT('Assumptions (Hydro)'!$V$6,Model!Z$1,'Assumptions (Hydro)'!$V$9,'Assumptions (Hydro)'!$V$4*Model!$E$1335*AVERAGE('Assumptions (Hydro)'!$B$2:$C$2)/10^9),0)</f>
        <v>-1.6496481447681351E-2</v>
      </c>
      <c r="I1446" s="105">
        <f>IF($E$1335&gt;0,IPMT('Assumptions (Hydro)'!$V$6,Model!AA$1,'Assumptions (Hydro)'!$V$9,'Assumptions (Hydro)'!$V$4*Model!$E$1335*AVERAGE('Assumptions (Hydro)'!$B$2:$C$2)/10^9),0)</f>
        <v>-1.544499265046886E-2</v>
      </c>
      <c r="J1446" s="105">
        <f>IF($E$1335&gt;0,IPMT('Assumptions (Hydro)'!$V$6,Model!AB$1,'Assumptions (Hydro)'!$V$9,'Assumptions (Hydro)'!$V$4*Model!$E$1335*AVERAGE('Assumptions (Hydro)'!$B$2:$C$2)/10^9),0)</f>
        <v>-1.4343558135388781E-2</v>
      </c>
      <c r="K1446" s="105">
        <f>IF($E$1335&gt;0,IPMT('Assumptions (Hydro)'!$V$6,Model!AC$1,'Assumptions (Hydro)'!$V$9,'Assumptions (Hydro)'!$V$4*Model!$E$1335*AVERAGE('Assumptions (Hydro)'!$B$2:$C$2)/10^9),0)</f>
        <v>-1.3189805480842398E-2</v>
      </c>
      <c r="L1446" s="105">
        <f>IF($E$1335&gt;0,IPMT('Assumptions (Hydro)'!$V$6,Model!AD$1,'Assumptions (Hydro)'!$V$9,'Assumptions (Hydro)'!$V$4*Model!$E$1335*AVERAGE('Assumptions (Hydro)'!$B$2:$C$2)/10^9),0)</f>
        <v>-1.1981249575205058E-2</v>
      </c>
      <c r="M1446" s="105">
        <f>IF($E$1335&gt;0,IPMT('Assumptions (Hydro)'!$V$6,Model!AE$1,'Assumptions (Hydro)'!$V$9,'Assumptions (Hydro)'!$V$4*Model!$E$1335*AVERAGE('Assumptions (Hydro)'!$B$2:$C$2)/10^9),0)</f>
        <v>-1.0715287264049949E-2</v>
      </c>
      <c r="N1446" s="91">
        <f>IF($E$1335&gt;0,IPMT('Assumptions (Hydro)'!$V$6,Model!AF$1,'Assumptions (Hydro)'!$V$9,'Assumptions (Hydro)'!$V$4*Model!$E$1335*AVERAGE('Assumptions (Hydro)'!$B$2:$C$2)/10^9),0)</f>
        <v>-9.3891917431149687E-3</v>
      </c>
      <c r="O1446" s="105">
        <f>IF($E$1335&gt;0,IPMT('Assumptions (Hydro)'!$V$6,Model!AG$1,'Assumptions (Hydro)'!$V$9,'Assumptions (Hydro)'!$V$4*Model!$E$1335*AVERAGE('Assumptions (Hydro)'!$B$2:$C$2)/10^9),0)</f>
        <v>-8.0001066849355769E-3</v>
      </c>
      <c r="P1446" s="105">
        <f>IF($E$1335&gt;0,IPMT('Assumptions (Hydro)'!$V$6,Model!AH$1,'Assumptions (Hydro)'!$V$9,'Assumptions (Hydro)'!$V$4*Model!$E$1335*AVERAGE('Assumptions (Hydro)'!$B$2:$C$2)/10^9),0)</f>
        <v>-6.5450400864926657E-3</v>
      </c>
      <c r="Q1446" s="105">
        <f>IF($E$1335&gt;0,IPMT('Assumptions (Hydro)'!$V$6,Model!AI$1,'Assumptions (Hydro)'!$V$9,'Assumptions (Hydro)'!$V$4*Model!$E$1335*AVERAGE('Assumptions (Hydro)'!$B$2:$C$2)/10^9),0)</f>
        <v>-5.0208578246237149E-3</v>
      </c>
      <c r="R1446" s="105">
        <f>IF($E$1335&gt;0,IPMT('Assumptions (Hydro)'!$V$6,Model!AJ$1,'Assumptions (Hydro)'!$V$9,'Assumptions (Hydro)'!$V$4*Model!$E$1335*AVERAGE('Assumptions (Hydro)'!$B$2:$C$2)/10^9),0)</f>
        <v>-3.4242769053159897E-3</v>
      </c>
      <c r="S1446" s="105">
        <f>IF($E$1335&gt;0,IPMT('Assumptions (Hydro)'!$V$6,Model!AK$1,'Assumptions (Hydro)'!$V$9,'Assumptions (Hydro)'!$V$4*Model!$E$1335*AVERAGE('Assumptions (Hydro)'!$B$2:$C$2)/10^9),0)</f>
        <v>-1.7518583923411474E-3</v>
      </c>
      <c r="T1446" s="105"/>
      <c r="U1446" s="105"/>
      <c r="V1446" s="105"/>
      <c r="W1446" s="105"/>
      <c r="X1446" s="105"/>
      <c r="Y1446" s="105"/>
      <c r="Z1446" s="105"/>
      <c r="AA1446" s="105"/>
      <c r="AB1446" s="105"/>
      <c r="AC1446" s="105"/>
      <c r="AD1446" s="105"/>
      <c r="AE1446" s="105"/>
      <c r="AF1446" s="105"/>
      <c r="AG1446" s="105"/>
    </row>
    <row r="1447" spans="1:77" ht="15.75" hidden="1" customHeight="1" outlineLevel="1">
      <c r="A1447" s="413"/>
      <c r="B1447" s="99"/>
      <c r="C1447" s="105"/>
      <c r="D1447" s="105"/>
      <c r="E1447" s="105"/>
      <c r="F1447" s="105">
        <f>IF($F$1335&gt;0,IPMT('Assumptions (Hydro)'!$V$6,Model!W$1,'Assumptions (Hydro)'!$V$9,'Assumptions (Hydro)'!$V$4*Model!$F$1335*AVERAGE('Assumptions (Hydro)'!$B$2:$D$2)/10^9),0)</f>
        <v>-4.5815043711137978E-3</v>
      </c>
      <c r="G1447" s="105">
        <f>IF($F$1335&gt;0,IPMT('Assumptions (Hydro)'!$V$6,Model!X$1,'Assumptions (Hydro)'!$V$9,'Assumptions (Hydro)'!$V$4*Model!$F$1335*AVERAGE('Assumptions (Hydro)'!$B$2:$D$2)/10^9),0)</f>
        <v>-4.365160537401447E-3</v>
      </c>
      <c r="H1447" s="105">
        <f>IF($F$1335&gt;0,IPMT('Assumptions (Hydro)'!$V$6,Model!Y$1,'Assumptions (Hydro)'!$V$9,'Assumptions (Hydro)'!$V$4*Model!$F$1335*AVERAGE('Assumptions (Hydro)'!$B$2:$D$2)/10^9),0)</f>
        <v>-4.1385403715877584E-3</v>
      </c>
      <c r="I1447" s="105">
        <f>IF($F$1335&gt;0,IPMT('Assumptions (Hydro)'!$V$6,Model!Z$1,'Assumptions (Hydro)'!$V$9,'Assumptions (Hydro)'!$V$4*Model!$F$1335*AVERAGE('Assumptions (Hydro)'!$B$2:$D$2)/10^9),0)</f>
        <v>-3.9011557478979223E-3</v>
      </c>
      <c r="J1447" s="105">
        <f>IF($F$1335&gt;0,IPMT('Assumptions (Hydro)'!$V$6,Model!AA$1,'Assumptions (Hydro)'!$V$9,'Assumptions (Hydro)'!$V$4*Model!$F$1335*AVERAGE('Assumptions (Hydro)'!$B$2:$D$2)/10^9),0)</f>
        <v>-3.6524953545828175E-3</v>
      </c>
      <c r="K1447" s="105">
        <f>IF($F$1335&gt;0,IPMT('Assumptions (Hydro)'!$V$6,Model!AB$1,'Assumptions (Hydro)'!$V$9,'Assumptions (Hydro)'!$V$4*Model!$F$1335*AVERAGE('Assumptions (Hydro)'!$B$2:$D$2)/10^9),0)</f>
        <v>-3.3920235925852462E-3</v>
      </c>
      <c r="L1447" s="105">
        <f>IF($F$1335&gt;0,IPMT('Assumptions (Hydro)'!$V$6,Model!AC$1,'Assumptions (Hydro)'!$V$9,'Assumptions (Hydro)'!$V$4*Model!$F$1335*AVERAGE('Assumptions (Hydro)'!$B$2:$D$2)/10^9),0)</f>
        <v>-3.1191794218927891E-3</v>
      </c>
      <c r="M1447" s="105">
        <f>IF($F$1335&gt;0,IPMT('Assumptions (Hydro)'!$V$6,Model!AD$1,'Assumptions (Hydro)'!$V$9,'Assumptions (Hydro)'!$V$4*Model!$F$1335*AVERAGE('Assumptions (Hydro)'!$B$2:$D$2)/10^9),0)</f>
        <v>-2.8333751530924406E-3</v>
      </c>
      <c r="N1447" s="91">
        <f>IF($F$1335&gt;0,IPMT('Assumptions (Hydro)'!$V$6,Model!AE$1,'Assumptions (Hydro)'!$V$9,'Assumptions (Hydro)'!$V$4*Model!$F$1335*AVERAGE('Assumptions (Hydro)'!$B$2:$D$2)/10^9),0)</f>
        <v>-2.533995181524076E-3</v>
      </c>
      <c r="O1447" s="105">
        <f>IF($F$1335&gt;0,IPMT('Assumptions (Hydro)'!$V$6,Model!AF$1,'Assumptions (Hydro)'!$V$9,'Assumptions (Hydro)'!$V$4*Model!$F$1335*AVERAGE('Assumptions (Hydro)'!$B$2:$D$2)/10^9),0)</f>
        <v>-2.2203946613062139E-3</v>
      </c>
      <c r="P1447" s="105">
        <f>IF($F$1335&gt;0,IPMT('Assumptions (Hydro)'!$V$6,Model!AG$1,'Assumptions (Hydro)'!$V$9,'Assumptions (Hydro)'!$V$4*Model!$F$1335*AVERAGE('Assumptions (Hydro)'!$B$2:$D$2)/10^9),0)</f>
        <v>-1.8918981163780031E-3</v>
      </c>
      <c r="Q1447" s="105">
        <f>IF($F$1335&gt;0,IPMT('Assumptions (Hydro)'!$V$6,Model!AH$1,'Assumptions (Hydro)'!$V$9,'Assumptions (Hydro)'!$V$4*Model!$F$1335*AVERAGE('Assumptions (Hydro)'!$B$2:$D$2)/10^9),0)</f>
        <v>-1.5477979855657027E-3</v>
      </c>
      <c r="R1447" s="105">
        <f>IF($F$1335&gt;0,IPMT('Assumptions (Hydro)'!$V$6,Model!AI$1,'Assumptions (Hydro)'!$V$9,'Assumptions (Hydro)'!$V$4*Model!$F$1335*AVERAGE('Assumptions (Hydro)'!$B$2:$D$2)/10^9),0)</f>
        <v>-1.1873530985398175E-3</v>
      </c>
      <c r="S1447" s="105">
        <f>IF($F$1335&gt;0,IPMT('Assumptions (Hydro)'!$V$6,Model!AJ$1,'Assumptions (Hydro)'!$V$9,'Assumptions (Hydro)'!$V$4*Model!$F$1335*AVERAGE('Assumptions (Hydro)'!$B$2:$D$2)/10^9),0)</f>
        <v>-8.09787079380203E-4</v>
      </c>
      <c r="T1447" s="105">
        <f>IF($F$1335&gt;0,IPMT('Assumptions (Hydro)'!$V$6,Model!AK$1,'Assumptions (Hydro)'!$V$9,'Assumptions (Hydro)'!$V$4*Model!$F$1335*AVERAGE('Assumptions (Hydro)'!$B$2:$D$2)/10^9),0)</f>
        <v>-4.1428667431050672E-4</v>
      </c>
      <c r="U1447" s="105"/>
      <c r="V1447" s="105"/>
      <c r="W1447" s="105"/>
      <c r="X1447" s="105"/>
      <c r="Y1447" s="105"/>
      <c r="Z1447" s="105"/>
      <c r="AA1447" s="105"/>
      <c r="AB1447" s="105"/>
      <c r="AC1447" s="105"/>
      <c r="AD1447" s="105"/>
      <c r="AE1447" s="105"/>
      <c r="AF1447" s="105"/>
      <c r="AG1447" s="105"/>
    </row>
    <row r="1448" spans="1:77" ht="15.75" hidden="1" customHeight="1" outlineLevel="1">
      <c r="A1448" s="413"/>
      <c r="B1448" s="99"/>
      <c r="C1448" s="105"/>
      <c r="D1448" s="105"/>
      <c r="E1448" s="105"/>
      <c r="F1448" s="105"/>
      <c r="G1448" s="105">
        <f>IF($G$1335&gt;0,IPMT('Assumptions (Hydro)'!$V$6,Model!W$1,'Assumptions (Hydro)'!$V$9,'Assumptions (Hydro)'!$V$4*Model!$G$1335*AVERAGE('Assumptions (Hydro)'!$C$2:$E$2)/10^9),0)</f>
        <v>-4.4764926620135181E-3</v>
      </c>
      <c r="H1448" s="105">
        <f>IF($G$1335&gt;0,IPMT('Assumptions (Hydro)'!$V$6,Model!X$1,'Assumptions (Hydro)'!$V$9,'Assumptions (Hydro)'!$V$4*Model!$G$1335*AVERAGE('Assumptions (Hydro)'!$C$2:$E$2)/10^9),0)</f>
        <v>-4.265107600331307E-3</v>
      </c>
      <c r="I1448" s="105">
        <f>IF($G$1335&gt;0,IPMT('Assumptions (Hydro)'!$V$6,Model!Y$1,'Assumptions (Hydro)'!$V$9,'Assumptions (Hydro)'!$V$4*Model!$G$1335*AVERAGE('Assumptions (Hydro)'!$C$2:$E$2)/10^9),0)</f>
        <v>-4.0436817482191901E-3</v>
      </c>
      <c r="J1448" s="105">
        <f>IF($G$1335&gt;0,IPMT('Assumptions (Hydro)'!$V$6,Model!Z$1,'Assumptions (Hydro)'!$V$9,'Assumptions (Hydro)'!$V$4*Model!$G$1335*AVERAGE('Assumptions (Hydro)'!$C$2:$E$2)/10^9),0)</f>
        <v>-3.8117381681317493E-3</v>
      </c>
      <c r="K1448" s="105">
        <f>IF($G$1335&gt;0,IPMT('Assumptions (Hydro)'!$V$6,Model!AA$1,'Assumptions (Hydro)'!$V$9,'Assumptions (Hydro)'!$V$4*Model!$G$1335*AVERAGE('Assumptions (Hydro)'!$C$2:$E$2)/10^9),0)</f>
        <v>-3.5687772679901539E-3</v>
      </c>
      <c r="L1448" s="105">
        <f>IF($G$1335&gt;0,IPMT('Assumptions (Hydro)'!$V$6,Model!AB$1,'Assumptions (Hydro)'!$V$9,'Assumptions (Hydro)'!$V$4*Model!$G$1335*AVERAGE('Assumptions (Hydro)'!$C$2:$E$2)/10^9),0)</f>
        <v>-3.3142757250918336E-3</v>
      </c>
      <c r="M1448" s="105">
        <f>IF($G$1335&gt;0,IPMT('Assumptions (Hydro)'!$V$6,Model!AC$1,'Assumptions (Hydro)'!$V$9,'Assumptions (Hydro)'!$V$4*Model!$G$1335*AVERAGE('Assumptions (Hydro)'!$C$2:$E$2)/10^9),0)</f>
        <v>-3.0476853589058417E-3</v>
      </c>
      <c r="N1448" s="105">
        <f>IF($G$1335&gt;0,IPMT('Assumptions (Hydro)'!$V$6,Model!AD$1,'Assumptions (Hydro)'!$V$9,'Assumptions (Hydro)'!$V$4*Model!$G$1335*AVERAGE('Assumptions (Hydro)'!$C$2:$E$2)/10^9),0)</f>
        <v>-2.7684319503260162E-3</v>
      </c>
      <c r="O1448" s="105">
        <f>IF($G$1335&gt;0,IPMT('Assumptions (Hydro)'!$V$6,Model!AE$1,'Assumptions (Hydro)'!$V$9,'Assumptions (Hydro)'!$V$4*Model!$G$1335*AVERAGE('Assumptions (Hydro)'!$C$2:$E$2)/10^9),0)</f>
        <v>-2.4759140048386491E-3</v>
      </c>
      <c r="P1448" s="105">
        <f>IF($G$1335&gt;0,IPMT('Assumptions (Hydro)'!$V$6,Model!AF$1,'Assumptions (Hydro)'!$V$9,'Assumptions (Hydro)'!$V$4*Model!$G$1335*AVERAGE('Assumptions (Hydro)'!$C$2:$E$2)/10^9),0)</f>
        <v>-2.1695014569406319E-3</v>
      </c>
      <c r="Q1448" s="105">
        <f>IF($G$1335&gt;0,IPMT('Assumptions (Hydro)'!$V$6,Model!AG$1,'Assumptions (Hydro)'!$V$9,'Assumptions (Hydro)'!$V$4*Model!$G$1335*AVERAGE('Assumptions (Hydro)'!$C$2:$E$2)/10^9),0)</f>
        <v>-1.8485343130174587E-3</v>
      </c>
      <c r="R1448" s="105">
        <f>IF($G$1335&gt;0,IPMT('Assumptions (Hydro)'!$V$6,Model!AH$1,'Assumptions (Hydro)'!$V$9,'Assumptions (Hydro)'!$V$4*Model!$G$1335*AVERAGE('Assumptions (Hydro)'!$C$2:$E$2)/10^9),0)</f>
        <v>-1.5123212297579352E-3</v>
      </c>
      <c r="S1448" s="105">
        <f>IF($G$1335&gt;0,IPMT('Assumptions (Hydro)'!$V$6,Model!AI$1,'Assumptions (Hydro)'!$V$9,'Assumptions (Hydro)'!$V$4*Model!$G$1335*AVERAGE('Assumptions (Hydro)'!$C$2:$E$2)/10^9),0)</f>
        <v>-1.1601380250435835E-3</v>
      </c>
      <c r="T1448" s="105">
        <f>IF($G$1335&gt;0,IPMT('Assumptions (Hydro)'!$V$6,Model!AJ$1,'Assumptions (Hydro)'!$V$9,'Assumptions (Hydro)'!$V$4*Model!$G$1335*AVERAGE('Assumptions (Hydro)'!$C$2:$E$2)/10^9),0)</f>
        <v>-7.9122611810530062E-4</v>
      </c>
      <c r="U1448" s="105">
        <f>IF($G$1335&gt;0,IPMT('Assumptions (Hydro)'!$V$6,Model!AK$1,'Assumptions (Hydro)'!$V$9,'Assumptions (Hydro)'!$V$4*Model!$G$1335*AVERAGE('Assumptions (Hydro)'!$C$2:$E$2)/10^9),0)</f>
        <v>-4.0479089558744929E-4</v>
      </c>
      <c r="V1448" s="105"/>
      <c r="W1448" s="105"/>
      <c r="X1448" s="105"/>
      <c r="Y1448" s="105"/>
      <c r="Z1448" s="105"/>
      <c r="AA1448" s="105"/>
      <c r="AB1448" s="105"/>
      <c r="AC1448" s="105"/>
      <c r="AD1448" s="105"/>
      <c r="AE1448" s="105"/>
      <c r="AF1448" s="105"/>
      <c r="AG1448" s="105"/>
    </row>
    <row r="1449" spans="1:77" ht="15.75" hidden="1" customHeight="1" outlineLevel="1">
      <c r="A1449" s="413"/>
      <c r="B1449" s="99"/>
      <c r="C1449" s="105"/>
      <c r="D1449" s="105"/>
      <c r="E1449" s="105"/>
      <c r="F1449" s="105"/>
      <c r="G1449" s="105"/>
      <c r="H1449" s="105">
        <f>IF($H$1335&gt;0,IPMT('Assumptions (Hydro)'!$V$6,Model!W$1,'Assumptions (Hydro)'!$V$9,'Assumptions (Hydro)'!$V$4*Model!$H$1335*AVERAGE('Assumptions (Hydro)'!$D$2:$F$2)/10^9),0)</f>
        <v>-1.5102089972932426E-3</v>
      </c>
      <c r="I1449" s="105">
        <f>IF($H$1335&gt;0,IPMT('Assumptions (Hydro)'!$V$6,Model!X$1,'Assumptions (Hydro)'!$V$9,'Assumptions (Hydro)'!$V$4*Model!$H$1335*AVERAGE('Assumptions (Hydro)'!$D$2:$F$2)/10^9),0)</f>
        <v>-1.4388952152435538E-3</v>
      </c>
      <c r="J1449" s="105">
        <f>IF($H$1335&gt;0,IPMT('Assumptions (Hydro)'!$V$6,Model!Y$1,'Assumptions (Hydro)'!$V$9,'Assumptions (Hydro)'!$V$4*Model!$H$1335*AVERAGE('Assumptions (Hydro)'!$D$2:$F$2)/10^9),0)</f>
        <v>-1.3641940285465048E-3</v>
      </c>
      <c r="K1449" s="105">
        <f>IF($H$1335&gt;0,IPMT('Assumptions (Hydro)'!$V$6,Model!Z$1,'Assumptions (Hydro)'!$V$9,'Assumptions (Hydro)'!$V$4*Model!$H$1335*AVERAGE('Assumptions (Hydro)'!$D$2:$F$2)/10^9),0)</f>
        <v>-1.2859445354813463E-3</v>
      </c>
      <c r="L1449" s="105">
        <f>IF($H$1335&gt;0,IPMT('Assumptions (Hydro)'!$V$6,Model!AA$1,'Assumptions (Hydro)'!$V$9,'Assumptions (Hydro)'!$V$4*Model!$H$1335*AVERAGE('Assumptions (Hydro)'!$D$2:$F$2)/10^9),0)</f>
        <v>-1.2039781914955927E-3</v>
      </c>
      <c r="M1449" s="105">
        <f>IF($H$1335&gt;0,IPMT('Assumptions (Hydro)'!$V$6,Model!AB$1,'Assumptions (Hydro)'!$V$9,'Assumptions (Hydro)'!$V$4*Model!$H$1335*AVERAGE('Assumptions (Hydro)'!$D$2:$F$2)/10^9),0)</f>
        <v>-1.1181184461705159E-3</v>
      </c>
      <c r="N1449" s="105">
        <f>IF($H$1335&gt;0,IPMT('Assumptions (Hydro)'!$V$6,Model!AC$1,'Assumptions (Hydro)'!$V$9,'Assumptions (Hydro)'!$V$4*Model!$H$1335*AVERAGE('Assumptions (Hydro)'!$D$2:$F$2)/10^9),0)</f>
        <v>-1.0281803629424977E-3</v>
      </c>
      <c r="O1449" s="105">
        <f>IF($H$1335&gt;0,IPMT('Assumptions (Hydro)'!$V$6,Model!AD$1,'Assumptions (Hydro)'!$V$9,'Assumptions (Hydro)'!$V$4*Model!$H$1335*AVERAGE('Assumptions (Hydro)'!$D$2:$F$2)/10^9),0)</f>
        <v>-9.3397022076114884E-4</v>
      </c>
      <c r="P1449" s="105">
        <f>IF($H$1335&gt;0,IPMT('Assumptions (Hydro)'!$V$6,Model!AE$1,'Assumptions (Hydro)'!$V$9,'Assumptions (Hydro)'!$V$4*Model!$H$1335*AVERAGE('Assumptions (Hydro)'!$D$2:$F$2)/10^9),0)</f>
        <v>-8.3528509682618602E-4</v>
      </c>
      <c r="Q1449" s="105">
        <f>IF($H$1335&gt;0,IPMT('Assumptions (Hydro)'!$V$6,Model!AF$1,'Assumptions (Hydro)'!$V$9,'Assumptions (Hydro)'!$V$4*Model!$H$1335*AVERAGE('Assumptions (Hydro)'!$D$2:$F$2)/10^9),0)</f>
        <v>-7.3191242950431225E-4</v>
      </c>
      <c r="R1449" s="105">
        <f>IF($H$1335&gt;0,IPMT('Assumptions (Hydro)'!$V$6,Model!AG$1,'Assumptions (Hydro)'!$V$9,'Assumptions (Hydro)'!$V$4*Model!$H$1335*AVERAGE('Assumptions (Hydro)'!$D$2:$F$2)/10^9),0)</f>
        <v>-6.2362956048464958E-4</v>
      </c>
      <c r="S1449" s="105">
        <f>IF($H$1335&gt;0,IPMT('Assumptions (Hydro)'!$V$6,Model!AH$1,'Assumptions (Hydro)'!$V$9,'Assumptions (Hydro)'!$V$4*Model!$H$1335*AVERAGE('Assumptions (Hydro)'!$D$2:$F$2)/10^9),0)</f>
        <v>-5.1020325518655286E-4</v>
      </c>
      <c r="T1449" s="105">
        <f>IF($H$1335&gt;0,IPMT('Assumptions (Hydro)'!$V$6,Model!AI$1,'Assumptions (Hydro)'!$V$9,'Assumptions (Hydro)'!$V$4*Model!$H$1335*AVERAGE('Assumptions (Hydro)'!$D$2:$F$2)/10^9),0)</f>
        <v>-3.9138920038679653E-4</v>
      </c>
      <c r="U1449" s="105">
        <f>IF($H$1335&gt;0,IPMT('Assumptions (Hydro)'!$V$6,Model!AJ$1,'Assumptions (Hydro)'!$V$9,'Assumptions (Hydro)'!$V$4*Model!$H$1335*AVERAGE('Assumptions (Hydro)'!$D$2:$F$2)/10^9),0)</f>
        <v>-2.6693147798405174E-4</v>
      </c>
      <c r="V1449" s="105">
        <f>IF($H$1335&gt;0,IPMT('Assumptions (Hydro)'!$V$6,Model!AK$1,'Assumptions (Hydro)'!$V$9,'Assumptions (Hydro)'!$V$4*Model!$H$1335*AVERAGE('Assumptions (Hydro)'!$D$2:$F$2)/10^9),0)</f>
        <v>-1.3656201376717665E-4</v>
      </c>
      <c r="W1449" s="105"/>
      <c r="X1449" s="105"/>
      <c r="Y1449" s="105"/>
      <c r="Z1449" s="105"/>
      <c r="AA1449" s="105"/>
      <c r="AB1449" s="105"/>
      <c r="AC1449" s="105"/>
      <c r="AD1449" s="105"/>
      <c r="AE1449" s="105"/>
      <c r="AF1449" s="105"/>
      <c r="AG1449" s="105"/>
    </row>
    <row r="1450" spans="1:77" ht="15.75" hidden="1" customHeight="1" outlineLevel="1">
      <c r="A1450" s="413"/>
      <c r="B1450" s="99"/>
      <c r="C1450" s="105"/>
      <c r="D1450" s="105"/>
      <c r="E1450" s="105"/>
      <c r="F1450" s="105"/>
      <c r="G1450" s="105"/>
      <c r="H1450" s="105"/>
      <c r="I1450" s="105">
        <f>IF($I$1335&gt;0,IPMT('Assumptions (Hydro)'!$V$6,Model!W$1,'Assumptions (Hydro)'!$V$9,'Assumptions (Hydro)'!$V$4*Model!$I$1335*AVERAGE('Assumptions (Hydro)'!$E$2:$G$2)/10^9),0)</f>
        <v>-1.2275167506124137E-3</v>
      </c>
      <c r="J1450" s="105">
        <f>IF($I$1335&gt;0,IPMT('Assumptions (Hydro)'!$V$6,Model!X$1,'Assumptions (Hydro)'!$V$9,'Assumptions (Hydro)'!$V$4*Model!$I$1335*AVERAGE('Assumptions (Hydro)'!$E$2:$G$2)/10^9),0)</f>
        <v>-1.1695520171401512E-3</v>
      </c>
      <c r="K1450" s="105">
        <f>IF($I$1335&gt;0,IPMT('Assumptions (Hydro)'!$V$6,Model!Y$1,'Assumptions (Hydro)'!$V$9,'Assumptions (Hydro)'!$V$4*Model!$I$1335*AVERAGE('Assumptions (Hydro)'!$E$2:$G$2)/10^9),0)</f>
        <v>-1.1088339588279559E-3</v>
      </c>
      <c r="L1450" s="105">
        <f>IF($I$1335&gt;0,IPMT('Assumptions (Hydro)'!$V$6,Model!Z$1,'Assumptions (Hydro)'!$V$9,'Assumptions (Hydro)'!$V$4*Model!$I$1335*AVERAGE('Assumptions (Hydro)'!$E$2:$G$2)/10^9),0)</f>
        <v>-1.0452317927459318E-3</v>
      </c>
      <c r="M1450" s="105">
        <f>IF($I$1335&gt;0,IPMT('Assumptions (Hydro)'!$V$6,Model!AA$1,'Assumptions (Hydro)'!$V$9,'Assumptions (Hydro)'!$V$4*Model!$I$1335*AVERAGE('Assumptions (Hydro)'!$E$2:$G$2)/10^9),0)</f>
        <v>-9.7860852377501138E-4</v>
      </c>
      <c r="N1450" s="105">
        <f>IF($I$1335&gt;0,IPMT('Assumptions (Hydro)'!$V$6,Model!AB$1,'Assumptions (Hydro)'!$V$9,'Assumptions (Hydro)'!$V$4*Model!$I$1335*AVERAGE('Assumptions (Hydro)'!$E$2:$G$2)/10^9),0)</f>
        <v>-9.0882064952797238E-4</v>
      </c>
      <c r="O1450" s="105">
        <f>IF($I$1335&gt;0,IPMT('Assumptions (Hydro)'!$V$6,Model!AC$1,'Assumptions (Hydro)'!$V$9,'Assumptions (Hydro)'!$V$4*Model!$I$1335*AVERAGE('Assumptions (Hydro)'!$E$2:$G$2)/10^9),0)</f>
        <v>-8.35717851254199E-4</v>
      </c>
      <c r="P1450" s="105">
        <f>IF($I$1335&gt;0,IPMT('Assumptions (Hydro)'!$V$6,Model!AD$1,'Assumptions (Hydro)'!$V$9,'Assumptions (Hydro)'!$V$4*Model!$I$1335*AVERAGE('Assumptions (Hydro)'!$E$2:$G$2)/10^9),0)</f>
        <v>-7.5914267006242132E-4</v>
      </c>
      <c r="Q1450" s="105">
        <f>IF($I$1335&gt;0,IPMT('Assumptions (Hydro)'!$V$6,Model!AE$1,'Assumptions (Hydro)'!$V$9,'Assumptions (Hydro)'!$V$4*Model!$I$1335*AVERAGE('Assumptions (Hydro)'!$E$2:$G$2)/10^9),0)</f>
        <v>-6.7893016776403433E-4</v>
      </c>
      <c r="R1450" s="105">
        <f>IF($I$1335&gt;0,IPMT('Assumptions (Hydro)'!$V$6,Model!AF$1,'Assumptions (Hydro)'!$V$9,'Assumptions (Hydro)'!$V$4*Model!$I$1335*AVERAGE('Assumptions (Hydro)'!$E$2:$G$2)/10^9),0)</f>
        <v>-5.9490757160647373E-4</v>
      </c>
      <c r="S1450" s="105">
        <f>IF($I$1335&gt;0,IPMT('Assumptions (Hydro)'!$V$6,Model!AG$1,'Assumptions (Hydro)'!$V$9,'Assumptions (Hydro)'!$V$4*Model!$I$1335*AVERAGE('Assumptions (Hydro)'!$E$2:$G$2)/10^9),0)</f>
        <v>-5.0689390213142925E-4</v>
      </c>
      <c r="T1450" s="105">
        <f>IF($I$1335&gt;0,IPMT('Assumptions (Hydro)'!$V$6,Model!AH$1,'Assumptions (Hydro)'!$V$9,'Assumptions (Hydro)'!$V$4*Model!$I$1335*AVERAGE('Assumptions (Hydro)'!$E$2:$G$2)/10^9),0)</f>
        <v>-4.1469958335631999E-4</v>
      </c>
      <c r="U1450" s="105">
        <f>IF($I$1335&gt;0,IPMT('Assumptions (Hydro)'!$V$6,Model!AI$1,'Assumptions (Hydro)'!$V$9,'Assumptions (Hydro)'!$V$4*Model!$I$1335*AVERAGE('Assumptions (Hydro)'!$E$2:$G$2)/10^9),0)</f>
        <v>-3.1812603443939302E-4</v>
      </c>
      <c r="V1450" s="105">
        <f>IF($I$1335&gt;0,IPMT('Assumptions (Hydro)'!$V$6,Model!AJ$1,'Assumptions (Hydro)'!$V$9,'Assumptions (Hydro)'!$V$4*Model!$I$1335*AVERAGE('Assumptions (Hydro)'!$E$2:$G$2)/10^9),0)</f>
        <v>-2.1696524194891208E-4</v>
      </c>
      <c r="W1450" s="105">
        <f>IF($I$1335&gt;0,IPMT('Assumptions (Hydro)'!$V$6,Model!AK$1,'Assumptions (Hydro)'!$V$9,'Assumptions (Hydro)'!$V$4*Model!$I$1335*AVERAGE('Assumptions (Hydro)'!$E$2:$G$2)/10^9),0)</f>
        <v>-1.1099931181513328E-4</v>
      </c>
      <c r="X1450" s="105"/>
      <c r="Y1450" s="105"/>
      <c r="Z1450" s="105"/>
      <c r="AA1450" s="105"/>
      <c r="AB1450" s="105"/>
      <c r="AC1450" s="105"/>
      <c r="AD1450" s="105"/>
      <c r="AE1450" s="105"/>
      <c r="AF1450" s="105"/>
      <c r="AG1450" s="105"/>
    </row>
    <row r="1451" spans="1:77" ht="15.75" hidden="1" customHeight="1" outlineLevel="1">
      <c r="A1451" s="413"/>
      <c r="B1451" s="99"/>
      <c r="C1451" s="105"/>
      <c r="D1451" s="105"/>
      <c r="E1451" s="105"/>
      <c r="F1451" s="105"/>
      <c r="G1451" s="105"/>
      <c r="H1451" s="105"/>
      <c r="I1451" s="105"/>
      <c r="J1451" s="105">
        <f>IF($J$1335&gt;0,IPMT('Assumptions (Hydro)'!$V$6,Model!W$1,'Assumptions (Hydro)'!$V$9,'Assumptions (Hydro)'!$V$4*Model!$J$1335*AVERAGE('Assumptions (Hydro)'!$F$2:$H$2)/10^9),0)</f>
        <v>-1.3257180906614066E-3</v>
      </c>
      <c r="K1451" s="105">
        <f>IF($J$1335&gt;0,IPMT('Assumptions (Hydro)'!$V$6,Model!X$1,'Assumptions (Hydro)'!$V$9,'Assumptions (Hydro)'!$V$4*Model!$J$1335*AVERAGE('Assumptions (Hydro)'!$F$2:$H$2)/10^9),0)</f>
        <v>-1.2631161785113629E-3</v>
      </c>
      <c r="L1451" s="105">
        <f>IF($J$1335&gt;0,IPMT('Assumptions (Hydro)'!$V$6,Model!Y$1,'Assumptions (Hydro)'!$V$9,'Assumptions (Hydro)'!$V$4*Model!$J$1335*AVERAGE('Assumptions (Hydro)'!$F$2:$H$2)/10^9),0)</f>
        <v>-1.1975406755341921E-3</v>
      </c>
      <c r="M1451" s="105">
        <f>IF($J$1335&gt;0,IPMT('Assumptions (Hydro)'!$V$6,Model!Z$1,'Assumptions (Hydro)'!$V$9,'Assumptions (Hydro)'!$V$4*Model!$J$1335*AVERAGE('Assumptions (Hydro)'!$F$2:$H$2)/10^9),0)</f>
        <v>-1.1288503361656062E-3</v>
      </c>
      <c r="N1451" s="105">
        <f>IF($J$1335&gt;0,IPMT('Assumptions (Hydro)'!$V$6,Model!AA$1,'Assumptions (Hydro)'!$V$9,'Assumptions (Hydro)'!$V$4*Model!$J$1335*AVERAGE('Assumptions (Hydro)'!$F$2:$H$2)/10^9),0)</f>
        <v>-1.0568972056770123E-3</v>
      </c>
      <c r="O1451" s="105">
        <f>IF($J$1335&gt;0,IPMT('Assumptions (Hydro)'!$V$6,Model!AB$1,'Assumptions (Hydro)'!$V$9,'Assumptions (Hydro)'!$V$4*Model!$J$1335*AVERAGE('Assumptions (Hydro)'!$F$2:$H$2)/10^9),0)</f>
        <v>-9.8152630149021011E-4</v>
      </c>
      <c r="P1451" s="105">
        <f>IF($J$1335&gt;0,IPMT('Assumptions (Hydro)'!$V$6,Model!AC$1,'Assumptions (Hydro)'!$V$9,'Assumptions (Hydro)'!$V$4*Model!$J$1335*AVERAGE('Assumptions (Hydro)'!$F$2:$H$2)/10^9),0)</f>
        <v>-9.0257527935453481E-4</v>
      </c>
      <c r="Q1451" s="105">
        <f>IF($J$1335&gt;0,IPMT('Assumptions (Hydro)'!$V$6,Model!AD$1,'Assumptions (Hydro)'!$V$9,'Assumptions (Hydro)'!$V$4*Model!$J$1335*AVERAGE('Assumptions (Hydro)'!$F$2:$H$2)/10^9),0)</f>
        <v>-8.1987408366741496E-4</v>
      </c>
      <c r="R1451" s="105">
        <f>IF($J$1335&gt;0,IPMT('Assumptions (Hydro)'!$V$6,Model!AE$1,'Assumptions (Hydro)'!$V$9,'Assumptions (Hydro)'!$V$4*Model!$J$1335*AVERAGE('Assumptions (Hydro)'!$F$2:$H$2)/10^9),0)</f>
        <v>-7.3324458118515705E-4</v>
      </c>
      <c r="S1451" s="105">
        <f>IF($J$1335&gt;0,IPMT('Assumptions (Hydro)'!$V$6,Model!AF$1,'Assumptions (Hydro)'!$V$9,'Assumptions (Hydro)'!$V$4*Model!$J$1335*AVERAGE('Assumptions (Hydro)'!$F$2:$H$2)/10^9),0)</f>
        <v>-6.4250017733499169E-4</v>
      </c>
      <c r="T1451" s="105">
        <f>IF($J$1335&gt;0,IPMT('Assumptions (Hydro)'!$V$6,Model!AG$1,'Assumptions (Hydro)'!$V$9,'Assumptions (Hydro)'!$V$4*Model!$J$1335*AVERAGE('Assumptions (Hydro)'!$F$2:$H$2)/10^9),0)</f>
        <v>-5.4744541430194347E-4</v>
      </c>
      <c r="U1451" s="105">
        <f>IF($J$1335&gt;0,IPMT('Assumptions (Hydro)'!$V$6,Model!AH$1,'Assumptions (Hydro)'!$V$9,'Assumptions (Hydro)'!$V$4*Model!$J$1335*AVERAGE('Assumptions (Hydro)'!$F$2:$H$2)/10^9),0)</f>
        <v>-4.4787555002482563E-4</v>
      </c>
      <c r="V1451" s="105">
        <f>IF($J$1335&gt;0,IPMT('Assumptions (Hydro)'!$V$6,Model!AI$1,'Assumptions (Hydro)'!$V$9,'Assumptions (Hydro)'!$V$4*Model!$J$1335*AVERAGE('Assumptions (Hydro)'!$F$2:$H$2)/10^9),0)</f>
        <v>-3.4357611719454444E-4</v>
      </c>
      <c r="W1451" s="105">
        <f>IF($J$1335&gt;0,IPMT('Assumptions (Hydro)'!$V$6,Model!AJ$1,'Assumptions (Hydro)'!$V$9,'Assumptions (Hydro)'!$V$4*Model!$J$1335*AVERAGE('Assumptions (Hydro)'!$F$2:$H$2)/10^9),0)</f>
        <v>-2.3432246130482501E-4</v>
      </c>
      <c r="X1451" s="105">
        <f>IF($J$1335&gt;0,IPMT('Assumptions (Hydro)'!$V$6,Model!AK$1,'Assumptions (Hydro)'!$V$9,'Assumptions (Hydro)'!$V$4*Model!$J$1335*AVERAGE('Assumptions (Hydro)'!$F$2:$H$2)/10^9),0)</f>
        <v>-1.1987925676034394E-4</v>
      </c>
      <c r="Y1451" s="105"/>
      <c r="Z1451" s="105"/>
      <c r="AA1451" s="105"/>
      <c r="AB1451" s="105"/>
      <c r="AC1451" s="105"/>
      <c r="AD1451" s="105"/>
      <c r="AE1451" s="105"/>
      <c r="AF1451" s="105"/>
      <c r="AG1451" s="105"/>
      <c r="AH1451" s="105"/>
    </row>
    <row r="1452" spans="1:77" ht="15.75" hidden="1" customHeight="1" outlineLevel="1">
      <c r="A1452" s="413"/>
      <c r="B1452" s="99"/>
      <c r="C1452" s="105"/>
      <c r="D1452" s="105"/>
      <c r="E1452" s="105"/>
      <c r="F1452" s="105"/>
      <c r="G1452" s="105"/>
      <c r="H1452" s="105"/>
      <c r="I1452" s="105"/>
      <c r="J1452" s="105"/>
      <c r="K1452" s="105">
        <f>IF($K$1335&gt;0,IPMT('Assumptions (Hydro)'!$V$6,Model!W$1,'Assumptions (Hydro)'!$V$9,'Assumptions (Hydro)'!$V$4*Model!$K$1335*AVERAGE('Assumptions (Hydro)'!$G$2:$I$2)/10^9),0)</f>
        <v>-1.4461374838964844E-3</v>
      </c>
      <c r="L1452" s="105">
        <f>IF($K$1335&gt;0,IPMT('Assumptions (Hydro)'!$V$6,Model!X$1,'Assumptions (Hydro)'!$V$9,'Assumptions (Hydro)'!$V$4*Model!$K$1335*AVERAGE('Assumptions (Hydro)'!$G$2:$I$2)/10^9),0)</f>
        <v>-1.377849231392812E-3</v>
      </c>
      <c r="M1452" s="105">
        <f>IF($K$1335&gt;0,IPMT('Assumptions (Hydro)'!$V$6,Model!Y$1,'Assumptions (Hydro)'!$V$9,'Assumptions (Hydro)'!$V$4*Model!$K$1335*AVERAGE('Assumptions (Hydro)'!$G$2:$I$2)/10^9),0)</f>
        <v>-1.3063172868952148E-3</v>
      </c>
      <c r="N1452" s="105">
        <f>IF($K$1335&gt;0,IPMT('Assumptions (Hydro)'!$V$6,Model!Z$1,'Assumptions (Hydro)'!$V$9,'Assumptions (Hydro)'!$V$4*Model!$K$1335*AVERAGE('Assumptions (Hydro)'!$G$2:$I$2)/10^9),0)</f>
        <v>-1.2313875750339823E-3</v>
      </c>
      <c r="O1452" s="105">
        <f>IF($K$1335&gt;0,IPMT('Assumptions (Hydro)'!$V$6,Model!AA$1,'Assumptions (Hydro)'!$V$9,'Assumptions (Hydro)'!$V$4*Model!$K$1335*AVERAGE('Assumptions (Hydro)'!$G$2:$I$2)/10^9),0)</f>
        <v>-1.1528987018593411E-3</v>
      </c>
      <c r="P1452" s="105">
        <f>IF($K$1335&gt;0,IPMT('Assumptions (Hydro)'!$V$6,Model!AB$1,'Assumptions (Hydro)'!$V$9,'Assumptions (Hydro)'!$V$4*Model!$K$1335*AVERAGE('Assumptions (Hydro)'!$G$2:$I$2)/10^9),0)</f>
        <v>-1.0706816072089042E-3</v>
      </c>
      <c r="Q1452" s="105">
        <f>IF($K$1335&gt;0,IPMT('Assumptions (Hydro)'!$V$6,Model!AC$1,'Assumptions (Hydro)'!$V$9,'Assumptions (Hydro)'!$V$4*Model!$K$1335*AVERAGE('Assumptions (Hydro)'!$G$2:$I$2)/10^9),0)</f>
        <v>-9.8455920056257184E-4</v>
      </c>
      <c r="R1452" s="105">
        <f>IF($K$1335&gt;0,IPMT('Assumptions (Hydro)'!$V$6,Model!AD$1,'Assumptions (Hydro)'!$V$9,'Assumptions (Hydro)'!$V$4*Model!$K$1335*AVERAGE('Assumptions (Hydro)'!$G$2:$I$2)/10^9),0)</f>
        <v>-8.9434597960053844E-4</v>
      </c>
      <c r="S1452" s="105">
        <f>IF($K$1335&gt;0,IPMT('Assumptions (Hydro)'!$V$6,Model!AE$1,'Assumptions (Hydro)'!$V$9,'Assumptions (Hydro)'!$V$4*Model!$K$1335*AVERAGE('Assumptions (Hydro)'!$G$2:$I$2)/10^9),0)</f>
        <v>-7.9984763064280871E-4</v>
      </c>
      <c r="T1452" s="105">
        <f>IF($K$1335&gt;0,IPMT('Assumptions (Hydro)'!$V$6,Model!AF$1,'Assumptions (Hydro)'!$V$9,'Assumptions (Hydro)'!$V$4*Model!$K$1335*AVERAGE('Assumptions (Hydro)'!$G$2:$I$2)/10^9),0)</f>
        <v>-7.0086061010958686E-4</v>
      </c>
      <c r="U1452" s="105">
        <f>IF($K$1335&gt;0,IPMT('Assumptions (Hydro)'!$V$6,Model!AG$1,'Assumptions (Hydro)'!$V$9,'Assumptions (Hydro)'!$V$4*Model!$K$1335*AVERAGE('Assumptions (Hydro)'!$G$2:$I$2)/10^9),0)</f>
        <v>-5.9717170610103676E-4</v>
      </c>
      <c r="V1452" s="105">
        <f>IF($K$1335&gt;0,IPMT('Assumptions (Hydro)'!$V$6,Model!AH$1,'Assumptions (Hydro)'!$V$9,'Assumptions (Hydro)'!$V$4*Model!$K$1335*AVERAGE('Assumptions (Hydro)'!$G$2:$I$2)/10^9),0)</f>
        <v>-4.885575791520806E-4</v>
      </c>
      <c r="W1452" s="105">
        <f>IF($K$1335&gt;0,IPMT('Assumptions (Hydro)'!$V$6,Model!AI$1,'Assumptions (Hydro)'!$V$9,'Assumptions (Hydro)'!$V$4*Model!$K$1335*AVERAGE('Assumptions (Hydro)'!$G$2:$I$2)/10^9),0)</f>
        <v>-3.7478428117304895E-4</v>
      </c>
      <c r="X1452" s="105">
        <f>IF($K$1335&gt;0,IPMT('Assumptions (Hydro)'!$V$6,Model!AJ$1,'Assumptions (Hydro)'!$V$9,'Assumptions (Hydro)'!$V$4*Model!$K$1335*AVERAGE('Assumptions (Hydro)'!$G$2:$I$2)/10^9),0)</f>
        <v>-2.5560675154001335E-4</v>
      </c>
      <c r="Y1452" s="105">
        <f>IF($K$1335&gt;0,IPMT('Assumptions (Hydro)'!$V$6,Model!AK$1,'Assumptions (Hydro)'!$V$9,'Assumptions (Hydro)'!$V$4*Model!$K$1335*AVERAGE('Assumptions (Hydro)'!$G$2:$I$2)/10^9),0)</f>
        <v>-1.3076828924940852E-4</v>
      </c>
      <c r="Z1452" s="105"/>
      <c r="AA1452" s="105"/>
      <c r="AB1452" s="105"/>
      <c r="AC1452" s="105"/>
      <c r="AD1452" s="105"/>
      <c r="AE1452" s="105"/>
      <c r="AF1452" s="105"/>
      <c r="AG1452" s="105"/>
      <c r="AH1452" s="105"/>
      <c r="AI1452" s="105"/>
    </row>
    <row r="1453" spans="1:77" ht="15.75" hidden="1" customHeight="1" outlineLevel="1">
      <c r="A1453" s="413"/>
      <c r="B1453" s="99"/>
      <c r="C1453" s="105"/>
      <c r="D1453" s="105"/>
      <c r="E1453" s="105"/>
      <c r="F1453" s="105"/>
      <c r="G1453" s="105"/>
      <c r="H1453" s="105"/>
      <c r="I1453" s="105"/>
      <c r="J1453" s="105"/>
      <c r="K1453" s="105"/>
      <c r="L1453" s="105">
        <f>IF($L$1335&gt;0,IPMT('Assumptions (Hydro)'!$V$6,Model!W$1,'Assumptions (Hydro)'!$V$9,'Assumptions (Hydro)'!$V$4*Model!$L$1335*AVERAGE('Assumptions (Hydro)'!$H$2:$J$2)/10^9),0)</f>
        <v>-7.343373457188644E-4</v>
      </c>
      <c r="M1453" s="105">
        <f>IF($L$1335&gt;0,IPMT('Assumptions (Hydro)'!$V$6,Model!X$1,'Assumptions (Hydro)'!$V$9,'Assumptions (Hydro)'!$V$4*Model!$L$1335*AVERAGE('Assumptions (Hydro)'!$H$2:$J$2)/10^9),0)</f>
        <v>-6.9966110321375262E-4</v>
      </c>
      <c r="N1453" s="105">
        <f>IF($L$1335&gt;0,IPMT('Assumptions (Hydro)'!$V$6,Model!Y$1,'Assumptions (Hydro)'!$V$9,'Assumptions (Hydro)'!$V$4*Model!$L$1335*AVERAGE('Assumptions (Hydro)'!$H$2:$J$2)/10^9),0)</f>
        <v>-6.6333773918964814E-4</v>
      </c>
      <c r="O1453" s="105">
        <f>IF($L$1335&gt;0,IPMT('Assumptions (Hydro)'!$V$6,Model!Z$1,'Assumptions (Hydro)'!$V$9,'Assumptions (Hydro)'!$V$4*Model!$L$1335*AVERAGE('Assumptions (Hydro)'!$H$2:$J$2)/10^9),0)</f>
        <v>-6.2528901537439892E-4</v>
      </c>
      <c r="P1453" s="105">
        <f>IF($L$1335&gt;0,IPMT('Assumptions (Hydro)'!$V$6,Model!AA$1,'Assumptions (Hydro)'!$V$9,'Assumptions (Hydro)'!$V$4*Model!$L$1335*AVERAGE('Assumptions (Hydro)'!$H$2:$J$2)/10^9),0)</f>
        <v>-5.8543297717792515E-4</v>
      </c>
      <c r="Q1453" s="105">
        <f>IF($L$1335&gt;0,IPMT('Assumptions (Hydro)'!$V$6,Model!AB$1,'Assumptions (Hydro)'!$V$9,'Assumptions (Hydro)'!$V$4*Model!$L$1335*AVERAGE('Assumptions (Hydro)'!$H$2:$J$2)/10^9),0)</f>
        <v>-5.4368377716711895E-4</v>
      </c>
      <c r="R1453" s="105">
        <f>IF($L$1335&gt;0,IPMT('Assumptions (Hydro)'!$V$6,Model!AC$1,'Assumptions (Hydro)'!$V$9,'Assumptions (Hydro)'!$V$4*Model!$L$1335*AVERAGE('Assumptions (Hydro)'!$H$2:$J$2)/10^9),0)</f>
        <v>-4.9995149015579952E-4</v>
      </c>
      <c r="S1453" s="105">
        <f>IF($L$1335&gt;0,IPMT('Assumptions (Hydro)'!$V$6,Model!AD$1,'Assumptions (Hydro)'!$V$9,'Assumptions (Hydro)'!$V$4*Model!$L$1335*AVERAGE('Assumptions (Hydro)'!$H$2:$J$2)/10^9),0)</f>
        <v>-4.5414191951144238E-4</v>
      </c>
      <c r="T1453" s="105">
        <f>IF($L$1335&gt;0,IPMT('Assumptions (Hydro)'!$V$6,Model!AE$1,'Assumptions (Hydro)'!$V$9,'Assumptions (Hydro)'!$V$4*Model!$L$1335*AVERAGE('Assumptions (Hydro)'!$H$2:$J$2)/10^9),0)</f>
        <v>-4.061563942614783E-4</v>
      </c>
      <c r="U1453" s="105">
        <f>IF($L$1335&gt;0,IPMT('Assumptions (Hydro)'!$V$6,Model!AF$1,'Assumptions (Hydro)'!$V$9,'Assumptions (Hydro)'!$V$4*Model!$L$1335*AVERAGE('Assumptions (Hydro)'!$H$2:$J$2)/10^9),0)</f>
        <v>-3.5589155656214088E-4</v>
      </c>
      <c r="V1453" s="105">
        <f>IF($L$1335&gt;0,IPMT('Assumptions (Hydro)'!$V$6,Model!AG$1,'Assumptions (Hydro)'!$V$9,'Assumptions (Hydro)'!$V$4*Model!$L$1335*AVERAGE('Assumptions (Hydro)'!$H$2:$J$2)/10^9),0)</f>
        <v>-3.0323913907208492E-4</v>
      </c>
      <c r="W1453" s="105">
        <f>IF($L$1335&gt;0,IPMT('Assumptions (Hydro)'!$V$6,Model!AH$1,'Assumptions (Hydro)'!$V$9,'Assumptions (Hydro)'!$V$4*Model!$L$1335*AVERAGE('Assumptions (Hydro)'!$H$2:$J$2)/10^9),0)</f>
        <v>-2.4808573175125133E-4</v>
      </c>
      <c r="X1453" s="105">
        <f>IF($L$1335&gt;0,IPMT('Assumptions (Hydro)'!$V$6,Model!AI$1,'Assumptions (Hydro)'!$V$9,'Assumptions (Hydro)'!$V$4*Model!$L$1335*AVERAGE('Assumptions (Hydro)'!$H$2:$J$2)/10^9),0)</f>
        <v>-1.9031253758267812E-4</v>
      </c>
      <c r="Y1453" s="105">
        <f>IF($L$1335&gt;0,IPMT('Assumptions (Hydro)'!$V$6,Model!AJ$1,'Assumptions (Hydro)'!$V$9,'Assumptions (Hydro)'!$V$4*Model!$L$1335*AVERAGE('Assumptions (Hydro)'!$H$2:$J$2)/10^9),0)</f>
        <v>-1.2979511669109769E-4</v>
      </c>
      <c r="Z1453" s="105">
        <f>IF($L$1335&gt;0,IPMT('Assumptions (Hydro)'!$V$6,Model!AK$1,'Assumptions (Hydro)'!$V$9,'Assumptions (Hydro)'!$V$4*Model!$L$1335*AVERAGE('Assumptions (Hydro)'!$H$2:$J$2)/10^9),0)</f>
        <v>-6.6403118307167185E-5</v>
      </c>
      <c r="AA1453" s="105"/>
      <c r="AB1453" s="105"/>
      <c r="AC1453" s="105"/>
      <c r="AD1453" s="105"/>
      <c r="AE1453" s="105"/>
      <c r="AF1453" s="105"/>
      <c r="AG1453" s="105"/>
      <c r="AH1453" s="105"/>
      <c r="AI1453" s="105"/>
      <c r="AJ1453" s="105"/>
    </row>
    <row r="1454" spans="1:77" ht="15.75" hidden="1" customHeight="1" outlineLevel="1">
      <c r="A1454" s="413"/>
      <c r="B1454" s="99"/>
      <c r="C1454" s="105"/>
      <c r="D1454" s="105"/>
      <c r="E1454" s="105"/>
      <c r="F1454" s="105"/>
      <c r="G1454" s="105"/>
      <c r="H1454" s="105"/>
      <c r="I1454" s="105"/>
      <c r="J1454" s="105"/>
      <c r="K1454" s="105"/>
      <c r="L1454" s="105"/>
      <c r="M1454" s="105">
        <f>IF($M$1335&gt;0,IPMT('Assumptions (Hydro)'!$V$6,Model!W$1,'Assumptions (Hydro)'!$V$9,'Assumptions (Hydro)'!$V$4*Model!$M$1335*AVERAGE('Assumptions (Hydro)'!$I$2:$K$2)/10^9),0)</f>
        <v>-1.3547566197192544E-3</v>
      </c>
      <c r="N1454" s="105">
        <f>IF($M$1335&gt;0,IPMT('Assumptions (Hydro)'!$V$6,Model!X$1,'Assumptions (Hydro)'!$V$9,'Assumptions (Hydro)'!$V$4*Model!$M$1335*AVERAGE('Assumptions (Hydro)'!$I$2:$K$2)/10^9),0)</f>
        <v>-1.2907834752854761E-3</v>
      </c>
      <c r="O1454" s="105">
        <f>IF($M$1335&gt;0,IPMT('Assumptions (Hydro)'!$V$6,Model!Y$1,'Assumptions (Hydro)'!$V$9,'Assumptions (Hydro)'!$V$4*Model!$M$1335*AVERAGE('Assumptions (Hydro)'!$I$2:$K$2)/10^9),0)</f>
        <v>-1.2237716064910935E-3</v>
      </c>
      <c r="P1454" s="105">
        <f>IF($M$1335&gt;0,IPMT('Assumptions (Hydro)'!$V$6,Model!Z$1,'Assumptions (Hydro)'!$V$9,'Assumptions (Hydro)'!$V$4*Model!$M$1335*AVERAGE('Assumptions (Hydro)'!$I$2:$K$2)/10^9),0)</f>
        <v>-1.1535766739289781E-3</v>
      </c>
      <c r="Q1454" s="105">
        <f>IF($M$1335&gt;0,IPMT('Assumptions (Hydro)'!$V$6,Model!AA$1,'Assumptions (Hydro)'!$V$9,'Assumptions (Hydro)'!$V$4*Model!$M$1335*AVERAGE('Assumptions (Hydro)'!$I$2:$K$2)/10^9),0)</f>
        <v>-1.0800474820701618E-3</v>
      </c>
      <c r="R1454" s="105">
        <f>IF($M$1335&gt;0,IPMT('Assumptions (Hydro)'!$V$6,Model!AB$1,'Assumptions (Hydro)'!$V$9,'Assumptions (Hydro)'!$V$4*Model!$M$1335*AVERAGE('Assumptions (Hydro)'!$I$2:$K$2)/10^9),0)</f>
        <v>-1.003025653598052E-3</v>
      </c>
      <c r="S1454" s="105">
        <f>IF($M$1335&gt;0,IPMT('Assumptions (Hydro)'!$V$6,Model!AC$1,'Assumptions (Hydro)'!$V$9,'Assumptions (Hydro)'!$V$4*Model!$M$1335*AVERAGE('Assumptions (Hydro)'!$I$2:$K$2)/10^9),0)</f>
        <v>-9.2234528827351669E-4</v>
      </c>
      <c r="T1454" s="105">
        <f>IF($M$1335&gt;0,IPMT('Assumptions (Hydro)'!$V$6,Model!AD$1,'Assumptions (Hydro)'!$V$9,'Assumptions (Hydro)'!$V$4*Model!$M$1335*AVERAGE('Assumptions (Hydro)'!$I$2:$K$2)/10^9),0)</f>
        <v>-8.3783260559606608E-4</v>
      </c>
      <c r="U1454" s="105">
        <f>IF($M$1335&gt;0,IPMT('Assumptions (Hydro)'!$V$6,Model!AE$1,'Assumptions (Hydro)'!$V$9,'Assumptions (Hydro)'!$V$4*Model!$M$1335*AVERAGE('Assumptions (Hydro)'!$I$2:$K$2)/10^9),0)</f>
        <v>-7.4930557049143688E-4</v>
      </c>
      <c r="V1454" s="105">
        <f>IF($M$1335&gt;0,IPMT('Assumptions (Hydro)'!$V$6,Model!AF$1,'Assumptions (Hydro)'!$V$9,'Assumptions (Hydro)'!$V$4*Model!$M$1335*AVERAGE('Assumptions (Hydro)'!$I$2:$K$2)/10^9),0)</f>
        <v>-6.5657350121933744E-4</v>
      </c>
      <c r="W1454" s="105">
        <f>IF($M$1335&gt;0,IPMT('Assumptions (Hydro)'!$V$6,Model!AG$1,'Assumptions (Hydro)'!$V$9,'Assumptions (Hydro)'!$V$4*Model!$M$1335*AVERAGE('Assumptions (Hydro)'!$I$2:$K$2)/10^9),0)</f>
        <v>-5.594366586568134E-4</v>
      </c>
      <c r="X1454" s="105">
        <f>IF($M$1335&gt;0,IPMT('Assumptions (Hydro)'!$V$6,Model!AH$1,'Assumptions (Hydro)'!$V$9,'Assumptions (Hydro)'!$V$4*Model!$M$1335*AVERAGE('Assumptions (Hydro)'!$I$2:$K$2)/10^9),0)</f>
        <v>-4.5768581607256943E-4</v>
      </c>
      <c r="Y1454" s="105">
        <f>IF($M$1335&gt;0,IPMT('Assumptions (Hydro)'!$V$6,Model!AI$1,'Assumptions (Hydro)'!$V$9,'Assumptions (Hydro)'!$V$4*Model!$M$1335*AVERAGE('Assumptions (Hydro)'!$I$2:$K$2)/10^9),0)</f>
        <v>-3.5110180846557382E-4</v>
      </c>
      <c r="Z1454" s="105">
        <f>IF($M$1335&gt;0,IPMT('Assumptions (Hydro)'!$V$6,Model!AJ$1,'Assumptions (Hydro)'!$V$9,'Assumptions (Hydro)'!$V$4*Model!$M$1335*AVERAGE('Assumptions (Hydro)'!$I$2:$K$2)/10^9),0)</f>
        <v>-2.3945506049724596E-4</v>
      </c>
      <c r="AA1454" s="105">
        <f>IF($M$1335&gt;0,IPMT('Assumptions (Hydro)'!$V$6,Model!AK$1,'Assumptions (Hydro)'!$V$9,'Assumptions (Hydro)'!$V$4*Model!$M$1335*AVERAGE('Assumptions (Hydro)'!$I$2:$K$2)/10^9),0)</f>
        <v>-1.2250509200042252E-4</v>
      </c>
      <c r="AB1454" s="105"/>
      <c r="AC1454" s="105"/>
      <c r="AD1454" s="105"/>
      <c r="AE1454" s="105"/>
      <c r="AF1454" s="105"/>
      <c r="AG1454" s="105"/>
      <c r="AH1454" s="105"/>
      <c r="AI1454" s="105"/>
      <c r="AJ1454" s="105"/>
      <c r="AK1454" s="105"/>
    </row>
    <row r="1455" spans="1:77" ht="15.75" hidden="1" customHeight="1" outlineLevel="1">
      <c r="A1455" s="413"/>
      <c r="B1455" s="99"/>
      <c r="C1455" s="105"/>
      <c r="D1455" s="105"/>
      <c r="E1455" s="105"/>
      <c r="F1455" s="105"/>
      <c r="G1455" s="105"/>
      <c r="H1455" s="105"/>
      <c r="I1455" s="105"/>
      <c r="J1455" s="105"/>
      <c r="K1455" s="105"/>
      <c r="L1455" s="105"/>
      <c r="M1455" s="105"/>
      <c r="N1455" s="91">
        <f>IF($N$1335&gt;0,IPMT('Assumptions (Hydro)'!$V$6,Model!W$1,'Assumptions (Hydro)'!$V$9,'Assumptions (Hydro)'!$V$4*Model!$N$1335*AVERAGE('Assumptions (Hydro)'!$J$2:$L$2)/10^9),0)</f>
        <v>-1.0682777006724674E-2</v>
      </c>
      <c r="O1455" s="91">
        <f>IF($N$1335&gt;0,IPMT('Assumptions (Hydro)'!$V$6,Model!X$1,'Assumptions (Hydro)'!$V$9,'Assumptions (Hydro)'!$V$4*Model!$N$1335*AVERAGE('Assumptions (Hydro)'!$J$2:$L$2)/10^9),0)</f>
        <v>-1.0178324157808782E-2</v>
      </c>
      <c r="P1455" s="91">
        <f>IF($N$1335&gt;0,IPMT('Assumptions (Hydro)'!$V$6,Model!Y$1,'Assumptions (Hydro)'!$V$9,'Assumptions (Hydro)'!$V$4*Model!$N$1335*AVERAGE('Assumptions (Hydro)'!$J$2:$L$2)/10^9),0)</f>
        <v>-9.6499097985693841E-3</v>
      </c>
      <c r="Q1455" s="91">
        <f>IF($N$1335&gt;0,IPMT('Assumptions (Hydro)'!$V$6,Model!Z$1,'Assumptions (Hydro)'!$V$9,'Assumptions (Hydro)'!$V$4*Model!$N$1335*AVERAGE('Assumptions (Hydro)'!$J$2:$L$2)/10^9),0)</f>
        <v>-9.096395757266118E-3</v>
      </c>
      <c r="R1455" s="91">
        <f>IF($N$1335&gt;0,IPMT('Assumptions (Hydro)'!$V$6,Model!AA$1,'Assumptions (Hydro)'!$V$9,'Assumptions (Hydro)'!$V$4*Model!$N$1335*AVERAGE('Assumptions (Hydro)'!$J$2:$L$2)/10^9),0)</f>
        <v>-8.516589799000945E-3</v>
      </c>
      <c r="S1455" s="91">
        <f>IF($N$1335&gt;0,IPMT('Assumptions (Hydro)'!$V$6,Model!AB$1,'Assumptions (Hydro)'!$V$9,'Assumptions (Hydro)'!$V$4*Model!$N$1335*AVERAGE('Assumptions (Hydro)'!$J$2:$L$2)/10^9),0)</f>
        <v>-7.9092430577181773E-3</v>
      </c>
      <c r="T1455" s="91">
        <f>IF($N$1335&gt;0,IPMT('Assumptions (Hydro)'!$V$6,Model!AC$1,'Assumptions (Hydro)'!$V$9,'Assumptions (Hydro)'!$V$4*Model!$N$1335*AVERAGE('Assumptions (Hydro)'!$J$2:$L$2)/10^9),0)</f>
        <v>-7.2730473462244757E-3</v>
      </c>
      <c r="U1455" s="91">
        <f>IF($N$1335&gt;0,IPMT('Assumptions (Hydro)'!$V$6,Model!AD$1,'Assumptions (Hydro)'!$V$9,'Assumptions (Hydro)'!$V$4*Model!$N$1335*AVERAGE('Assumptions (Hydro)'!$J$2:$L$2)/10^9),0)</f>
        <v>-6.6066323384348265E-3</v>
      </c>
      <c r="V1455" s="91">
        <f>IF($N$1335&gt;0,IPMT('Assumptions (Hydro)'!$V$6,Model!AE$1,'Assumptions (Hydro)'!$V$9,'Assumptions (Hydro)'!$V$4*Model!$N$1335*AVERAGE('Assumptions (Hydro)'!$J$2:$L$2)/10^9),0)</f>
        <v>-5.9085626177751678E-3</v>
      </c>
      <c r="W1455" s="91">
        <f>IF($N$1335&gt;0,IPMT('Assumptions (Hydro)'!$V$6,Model!AF$1,'Assumptions (Hydro)'!$V$9,'Assumptions (Hydro)'!$V$4*Model!$N$1335*AVERAGE('Assumptions (Hydro)'!$J$2:$L$2)/10^9),0)</f>
        <v>-5.1773345853841756E-3</v>
      </c>
      <c r="X1455" s="91">
        <f>IF($N$1335&gt;0,IPMT('Assumptions (Hydro)'!$V$6,Model!AG$1,'Assumptions (Hydro)'!$V$9,'Assumptions (Hydro)'!$V$4*Model!$N$1335*AVERAGE('Assumptions (Hydro)'!$J$2:$L$2)/10^9),0)</f>
        <v>-4.4113732214546104E-3</v>
      </c>
      <c r="Y1455" s="91">
        <f>IF($N$1335&gt;0,IPMT('Assumptions (Hydro)'!$V$6,Model!AH$1,'Assumptions (Hydro)'!$V$9,'Assumptions (Hydro)'!$V$4*Model!$N$1335*AVERAGE('Assumptions (Hydro)'!$J$2:$L$2)/10^9),0)</f>
        <v>-3.6090286927383921E-3</v>
      </c>
      <c r="Z1455" s="91">
        <f>IF($N$1335&gt;0,IPMT('Assumptions (Hydro)'!$V$6,Model!AI$1,'Assumptions (Hydro)'!$V$9,'Assumptions (Hydro)'!$V$4*Model!$N$1335*AVERAGE('Assumptions (Hydro)'!$J$2:$L$2)/10^9),0)</f>
        <v>-2.7685727989081514E-3</v>
      </c>
      <c r="AA1455" s="91">
        <f>IF($N$1335&gt;0,IPMT('Assumptions (Hydro)'!$V$6,Model!AJ$1,'Assumptions (Hydro)'!$V$9,'Assumptions (Hydro)'!$V$4*Model!$N$1335*AVERAGE('Assumptions (Hydro)'!$J$2:$L$2)/10^9),0)</f>
        <v>-1.8881952501209754E-3</v>
      </c>
      <c r="AB1455" s="91">
        <f>IF($N$1335&gt;0,IPMT('Assumptions (Hydro)'!$V$6,Model!AK$1,'Assumptions (Hydro)'!$V$9,'Assumptions (Hydro)'!$V$4*Model!$N$1335*AVERAGE('Assumptions (Hydro)'!$J$2:$L$2)/10^9),0)</f>
        <v>-9.6599976776640865E-4</v>
      </c>
      <c r="AC1455" s="91"/>
      <c r="AD1455" s="91"/>
      <c r="AE1455" s="91"/>
      <c r="AF1455" s="91"/>
      <c r="AG1455" s="91"/>
      <c r="AH1455" s="91"/>
      <c r="AI1455" s="91"/>
      <c r="AJ1455" s="91"/>
      <c r="AK1455" s="91"/>
      <c r="AL1455" s="91"/>
    </row>
    <row r="1456" spans="1:77" ht="15.75" hidden="1" customHeight="1" outlineLevel="1">
      <c r="A1456" s="413"/>
      <c r="B1456" s="99"/>
      <c r="C1456" s="105"/>
      <c r="D1456" s="105"/>
      <c r="E1456" s="105"/>
      <c r="F1456" s="105"/>
      <c r="G1456" s="105"/>
      <c r="H1456" s="105"/>
      <c r="I1456" s="105"/>
      <c r="J1456" s="105"/>
      <c r="K1456" s="105"/>
      <c r="L1456" s="105"/>
      <c r="M1456" s="105"/>
      <c r="N1456" s="105"/>
      <c r="O1456" s="105">
        <f>IF($O$1335&gt;0,IPMT('Assumptions (Hydro)'!$V$6,Model!W$1,'Assumptions (Hydro)'!$V$9,'Assumptions (Hydro)'!$V$4*Model!$O$1335*AVERAGE('Assumptions (Hydro)'!$K$2:$M$2)/10^9),0)</f>
        <v>-2.6698970295164871E-2</v>
      </c>
      <c r="P1456" s="105">
        <f>IF($O$1335&gt;0,IPMT('Assumptions (Hydro)'!$V$6,Model!X$1,'Assumptions (Hydro)'!$V$9,'Assumptions (Hydro)'!$V$4*Model!$O$1335*AVERAGE('Assumptions (Hydro)'!$K$2:$M$2)/10^9),0)</f>
        <v>-2.5438214630225078E-2</v>
      </c>
      <c r="Q1456" s="105">
        <f>IF($O$1335&gt;0,IPMT('Assumptions (Hydro)'!$V$6,Model!Y$1,'Assumptions (Hydro)'!$V$9,'Assumptions (Hydro)'!$V$4*Model!$O$1335*AVERAGE('Assumptions (Hydro)'!$K$2:$M$2)/10^9),0)</f>
        <v>-2.4117573071200646E-2</v>
      </c>
      <c r="R1456" s="105">
        <f>IF($O$1335&gt;0,IPMT('Assumptions (Hydro)'!$V$6,Model!Z$1,'Assumptions (Hydro)'!$V$9,'Assumptions (Hydro)'!$V$4*Model!$O$1335*AVERAGE('Assumptions (Hydro)'!$K$2:$M$2)/10^9),0)</f>
        <v>-2.2734201038122556E-2</v>
      </c>
      <c r="S1456" s="105">
        <f>IF($O$1335&gt;0,IPMT('Assumptions (Hydro)'!$V$6,Model!AA$1,'Assumptions (Hydro)'!$V$9,'Assumptions (Hydro)'!$V$4*Model!$O$1335*AVERAGE('Assumptions (Hydro)'!$K$2:$M$2)/10^9),0)</f>
        <v>-2.1285118833473251E-2</v>
      </c>
      <c r="T1456" s="105">
        <f>IF($O$1335&gt;0,IPMT('Assumptions (Hydro)'!$V$6,Model!AB$1,'Assumptions (Hydro)'!$V$9,'Assumptions (Hydro)'!$V$4*Model!$O$1335*AVERAGE('Assumptions (Hydro)'!$K$2:$M$2)/10^9),0)</f>
        <v>-1.9767205224103114E-2</v>
      </c>
      <c r="U1456" s="105">
        <f>IF($O$1335&gt;0,IPMT('Assumptions (Hydro)'!$V$6,Model!AC$1,'Assumptions (Hydro)'!$V$9,'Assumptions (Hydro)'!$V$4*Model!$O$1335*AVERAGE('Assumptions (Hydro)'!$K$2:$M$2)/10^9),0)</f>
        <v>-1.8177190718287887E-2</v>
      </c>
      <c r="V1456" s="105">
        <f>IF($O$1335&gt;0,IPMT('Assumptions (Hydro)'!$V$6,Model!AD$1,'Assumptions (Hydro)'!$V$9,'Assumptions (Hydro)'!$V$4*Model!$O$1335*AVERAGE('Assumptions (Hydro)'!$K$2:$M$2)/10^9),0)</f>
        <v>-1.6511650523446442E-2</v>
      </c>
      <c r="W1456" s="105">
        <f>IF($O$1335&gt;0,IPMT('Assumptions (Hydro)'!$V$6,Model!AE$1,'Assumptions (Hydro)'!$V$9,'Assumptions (Hydro)'!$V$4*Model!$O$1335*AVERAGE('Assumptions (Hydro)'!$K$2:$M$2)/10^9),0)</f>
        <v>-1.4766997169350026E-2</v>
      </c>
      <c r="X1456" s="105">
        <f>IF($O$1335&gt;0,IPMT('Assumptions (Hydro)'!$V$6,Model!AF$1,'Assumptions (Hydro)'!$V$9,'Assumptions (Hydro)'!$V$4*Model!$O$1335*AVERAGE('Assumptions (Hydro)'!$K$2:$M$2)/10^9),0)</f>
        <v>-1.293947278093403E-2</v>
      </c>
      <c r="Y1456" s="105">
        <f>IF($O$1335&gt;0,IPMT('Assumptions (Hydro)'!$V$6,Model!AG$1,'Assumptions (Hydro)'!$V$9,'Assumptions (Hydro)'!$V$4*Model!$O$1335*AVERAGE('Assumptions (Hydro)'!$K$2:$M$2)/10^9),0)</f>
        <v>-1.1025140984068276E-2</v>
      </c>
      <c r="Z1456" s="105">
        <f>IF($O$1335&gt;0,IPMT('Assumptions (Hydro)'!$V$6,Model!AH$1,'Assumptions (Hydro)'!$V$9,'Assumptions (Hydro)'!$V$4*Model!$O$1335*AVERAGE('Assumptions (Hydro)'!$K$2:$M$2)/10^9),0)</f>
        <v>-9.0198784268513965E-3</v>
      </c>
      <c r="AA1456" s="105">
        <f>IF($O$1335&gt;0,IPMT('Assumptions (Hydro)'!$V$6,Model!AI$1,'Assumptions (Hydro)'!$V$9,'Assumptions (Hydro)'!$V$4*Model!$O$1335*AVERAGE('Assumptions (Hydro)'!$K$2:$M$2)/10^9),0)</f>
        <v>-6.9193658981667157E-3</v>
      </c>
      <c r="AB1456" s="105">
        <f>IF($O$1335&gt;0,IPMT('Assumptions (Hydro)'!$V$6,Model!AJ$1,'Assumptions (Hydro)'!$V$9,'Assumptions (Hydro)'!$V$4*Model!$O$1335*AVERAGE('Assumptions (Hydro)'!$K$2:$M$2)/10^9),0)</f>
        <v>-4.7190790243695118E-3</v>
      </c>
      <c r="AC1456" s="105">
        <f>IF($O$1335&gt;0,IPMT('Assumptions (Hydro)'!$V$6,Model!AK$1,'Assumptions (Hydro)'!$V$9,'Assumptions (Hydro)'!$V$4*Model!$O$1335*AVERAGE('Assumptions (Hydro)'!$K$2:$M$2)/10^9),0)</f>
        <v>-2.4142785240669419E-3</v>
      </c>
      <c r="AD1456" s="105"/>
      <c r="AE1456" s="105"/>
      <c r="AF1456" s="105"/>
      <c r="AG1456" s="105"/>
      <c r="AH1456" s="105"/>
      <c r="AI1456" s="105"/>
      <c r="AJ1456" s="105"/>
      <c r="AK1456" s="105"/>
      <c r="AL1456" s="105"/>
      <c r="AM1456" s="105"/>
    </row>
    <row r="1457" spans="1:55" ht="15.75" hidden="1" customHeight="1" outlineLevel="1">
      <c r="A1457" s="413"/>
      <c r="B1457" s="99"/>
      <c r="C1457" s="105"/>
      <c r="D1457" s="105"/>
      <c r="E1457" s="105"/>
      <c r="F1457" s="105"/>
      <c r="G1457" s="105"/>
      <c r="H1457" s="105"/>
      <c r="I1457" s="105"/>
      <c r="J1457" s="105"/>
      <c r="K1457" s="105"/>
      <c r="L1457" s="105"/>
      <c r="M1457" s="105"/>
      <c r="N1457" s="105"/>
      <c r="O1457" s="105"/>
      <c r="P1457" s="91">
        <f>IF($P$1335&gt;0,IPMT('Assumptions (Hydro)'!$V$6,Model!W$1,'Assumptions (Hydro)'!$V$9,'Assumptions (Hydro)'!$V$4*Model!$P$1335*AVERAGE('Assumptions (Hydro)'!$L$2:$N$2)/10^9),0)</f>
        <v>-2.9410203293920082E-2</v>
      </c>
      <c r="Q1457" s="91">
        <f>IF($P$1335&gt;0,IPMT('Assumptions (Hydro)'!$V$6,Model!X$1,'Assumptions (Hydro)'!$V$9,'Assumptions (Hydro)'!$V$4*Model!$P$1335*AVERAGE('Assumptions (Hydro)'!$L$2:$N$2)/10^9),0)</f>
        <v>-2.8021420131126885E-2</v>
      </c>
      <c r="R1457" s="91">
        <f>IF($P$1335&gt;0,IPMT('Assumptions (Hydro)'!$V$6,Model!Y$1,'Assumptions (Hydro)'!$V$9,'Assumptions (Hydro)'!$V$4*Model!$P$1335*AVERAGE('Assumptions (Hydro)'!$L$2:$N$2)/10^9),0)</f>
        <v>-2.6566669768101004E-2</v>
      </c>
      <c r="S1457" s="91">
        <f>IF($P$1335&gt;0,IPMT('Assumptions (Hydro)'!$V$6,Model!Z$1,'Assumptions (Hydro)'!$V$9,'Assumptions (Hydro)'!$V$4*Model!$P$1335*AVERAGE('Assumptions (Hydro)'!$L$2:$N$2)/10^9),0)</f>
        <v>-2.5042818762831411E-2</v>
      </c>
      <c r="T1457" s="91">
        <f>IF($P$1335&gt;0,IPMT('Assumptions (Hydro)'!$V$6,Model!AA$1,'Assumptions (Hydro)'!$V$9,'Assumptions (Hydro)'!$V$4*Model!$P$1335*AVERAGE('Assumptions (Hydro)'!$L$2:$N$2)/10^9),0)</f>
        <v>-2.3446584834811501E-2</v>
      </c>
      <c r="U1457" s="91">
        <f>IF($P$1335&gt;0,IPMT('Assumptions (Hydro)'!$V$6,Model!AB$1,'Assumptions (Hydro)'!$V$9,'Assumptions (Hydro)'!$V$4*Model!$P$1335*AVERAGE('Assumptions (Hydro)'!$L$2:$N$2)/10^9),0)</f>
        <v>-2.1774529795210652E-2</v>
      </c>
      <c r="V1457" s="91">
        <f>IF($P$1335&gt;0,IPMT('Assumptions (Hydro)'!$V$6,Model!AC$1,'Assumptions (Hydro)'!$V$9,'Assumptions (Hydro)'!$V$4*Model!$P$1335*AVERAGE('Assumptions (Hydro)'!$L$2:$N$2)/10^9),0)</f>
        <v>-2.0023052141228757E-2</v>
      </c>
      <c r="W1457" s="91">
        <f>IF($P$1335&gt;0,IPMT('Assumptions (Hydro)'!$V$6,Model!AD$1,'Assumptions (Hydro)'!$V$9,'Assumptions (Hydro)'!$V$4*Model!$P$1335*AVERAGE('Assumptions (Hydro)'!$L$2:$N$2)/10^9),0)</f>
        <v>-1.8188379298682725E-2</v>
      </c>
      <c r="X1457" s="91">
        <f>IF($P$1335&gt;0,IPMT('Assumptions (Hydro)'!$V$6,Model!AE$1,'Assumptions (Hydro)'!$V$9,'Assumptions (Hydro)'!$V$4*Model!$P$1335*AVERAGE('Assumptions (Hydro)'!$L$2:$N$2)/10^9),0)</f>
        <v>-1.6266559496115756E-2</v>
      </c>
      <c r="Y1457" s="91">
        <f>IF($P$1335&gt;0,IPMT('Assumptions (Hydro)'!$V$6,Model!AF$1,'Assumptions (Hydro)'!$V$9,'Assumptions (Hydro)'!$V$4*Model!$P$1335*AVERAGE('Assumptions (Hydro)'!$L$2:$N$2)/10^9),0)</f>
        <v>-1.4253453252926859E-2</v>
      </c>
      <c r="Z1457" s="91">
        <f>IF($P$1335&gt;0,IPMT('Assumptions (Hydro)'!$V$6,Model!AG$1,'Assumptions (Hydro)'!$V$9,'Assumptions (Hydro)'!$V$4*Model!$P$1335*AVERAGE('Assumptions (Hydro)'!$L$2:$N$2)/10^9),0)</f>
        <v>-1.2144724463186485E-2</v>
      </c>
      <c r="AA1457" s="91">
        <f>IF($P$1335&gt;0,IPMT('Assumptions (Hydro)'!$V$6,Model!AH$1,'Assumptions (Hydro)'!$V$9,'Assumptions (Hydro)'!$V$4*Model!$P$1335*AVERAGE('Assumptions (Hydro)'!$L$2:$N$2)/10^9),0)</f>
        <v>-9.9358310559334445E-3</v>
      </c>
      <c r="AB1457" s="91">
        <f>IF($P$1335&gt;0,IPMT('Assumptions (Hydro)'!$V$6,Model!AI$1,'Assumptions (Hydro)'!$V$9,'Assumptions (Hydro)'!$V$4*Model!$P$1335*AVERAGE('Assumptions (Hydro)'!$L$2:$N$2)/10^9),0)</f>
        <v>-7.6220152118358824E-3</v>
      </c>
      <c r="AC1457" s="91">
        <f>IF($P$1335&gt;0,IPMT('Assumptions (Hydro)'!$V$6,Model!AJ$1,'Assumptions (Hydro)'!$V$9,'Assumptions (Hydro)'!$V$4*Model!$P$1335*AVERAGE('Assumptions (Hydro)'!$L$2:$N$2)/10^9),0)</f>
        <v>-5.1982931151436877E-3</v>
      </c>
      <c r="AD1457" s="91">
        <f>IF($P$1335&gt;0,IPMT('Assumptions (Hydro)'!$V$6,Model!AK$1,'Assumptions (Hydro)'!$V$9,'Assumptions (Hydro)'!$V$4*Model!$P$1335*AVERAGE('Assumptions (Hydro)'!$L$2:$N$2)/10^9),0)</f>
        <v>-2.6594442188586143E-3</v>
      </c>
      <c r="AE1457" s="91"/>
      <c r="AF1457" s="91"/>
      <c r="AG1457" s="91"/>
      <c r="AH1457" s="91"/>
      <c r="AI1457" s="91"/>
      <c r="AJ1457" s="91"/>
      <c r="AK1457" s="91"/>
      <c r="AL1457" s="91"/>
      <c r="AM1457" s="91"/>
      <c r="AN1457" s="91"/>
    </row>
    <row r="1458" spans="1:55" ht="15.75" hidden="1" customHeight="1" outlineLevel="1">
      <c r="A1458" s="413"/>
      <c r="B1458" s="99"/>
      <c r="C1458" s="105"/>
      <c r="D1458" s="105"/>
      <c r="E1458" s="105"/>
      <c r="F1458" s="105"/>
      <c r="G1458" s="105"/>
      <c r="H1458" s="105"/>
      <c r="I1458" s="105"/>
      <c r="J1458" s="105"/>
      <c r="K1458" s="105"/>
      <c r="L1458" s="105"/>
      <c r="M1458" s="105"/>
      <c r="N1458" s="105"/>
      <c r="O1458" s="105"/>
      <c r="P1458" s="171"/>
      <c r="Q1458" s="105">
        <f>IF($Q$1335&gt;0,IPMT('Assumptions (Hydro)'!$V$6,Model!W$1,'Assumptions (Hydro)'!$V$9,'Assumptions (Hydro)'!$V$4*Model!$Q$1335*AVERAGE('Assumptions (Hydro)'!$M$2:$O$2)/10^9),0)</f>
        <v>-1.0511780346288958E-2</v>
      </c>
      <c r="R1458" s="105">
        <f>IF($Q$1335&gt;0,IPMT('Assumptions (Hydro)'!$V$6,Model!X$1,'Assumptions (Hydro)'!$V$9,'Assumptions (Hydro)'!$V$4*Model!$Q$1335*AVERAGE('Assumptions (Hydro)'!$M$2:$O$2)/10^9),0)</f>
        <v>-1.0015402153659311E-2</v>
      </c>
      <c r="S1458" s="105">
        <f>IF($Q$1335&gt;0,IPMT('Assumptions (Hydro)'!$V$6,Model!Y$1,'Assumptions (Hydro)'!$V$9,'Assumptions (Hydro)'!$V$4*Model!$Q$1335*AVERAGE('Assumptions (Hydro)'!$M$2:$O$2)/10^9),0)</f>
        <v>-9.495445996879754E-3</v>
      </c>
      <c r="T1458" s="105">
        <f>IF($Q$1335&gt;0,IPMT('Assumptions (Hydro)'!$V$6,Model!Z$1,'Assumptions (Hydro)'!$V$9,'Assumptions (Hydro)'!$V$4*Model!$Q$1335*AVERAGE('Assumptions (Hydro)'!$M$2:$O$2)/10^9),0)</f>
        <v>-8.9507919226531722E-3</v>
      </c>
      <c r="U1458" s="105">
        <f>IF($Q$1335&gt;0,IPMT('Assumptions (Hydro)'!$V$6,Model!AA$1,'Assumptions (Hydro)'!$V$9,'Assumptions (Hydro)'!$V$4*Model!$Q$1335*AVERAGE('Assumptions (Hydro)'!$M$2:$O$2)/10^9),0)</f>
        <v>-8.3802667799008253E-3</v>
      </c>
      <c r="V1458" s="105">
        <f>IF($Q$1335&gt;0,IPMT('Assumptions (Hydro)'!$V$6,Model!AB$1,'Assumptions (Hydro)'!$V$9,'Assumptions (Hydro)'!$V$4*Model!$Q$1335*AVERAGE('Assumptions (Hydro)'!$M$2:$O$2)/10^9),0)</f>
        <v>-7.7826416928677422E-3</v>
      </c>
      <c r="W1458" s="105">
        <f>IF($Q$1335&gt;0,IPMT('Assumptions (Hydro)'!$V$6,Model!AC$1,'Assumptions (Hydro)'!$V$9,'Assumptions (Hydro)'!$V$4*Model!$Q$1335*AVERAGE('Assumptions (Hydro)'!$M$2:$O$2)/10^9),0)</f>
        <v>-7.1566294142005882E-3</v>
      </c>
      <c r="X1458" s="105">
        <f>IF($Q$1335&gt;0,IPMT('Assumptions (Hydro)'!$V$6,Model!AD$1,'Assumptions (Hydro)'!$V$9,'Assumptions (Hydro)'!$V$4*Model!$Q$1335*AVERAGE('Assumptions (Hydro)'!$M$2:$O$2)/10^9),0)</f>
        <v>-6.5008815522967448E-3</v>
      </c>
      <c r="Y1458" s="105">
        <f>IF($Q$1335&gt;0,IPMT('Assumptions (Hydro)'!$V$6,Model!AE$1,'Assumptions (Hydro)'!$V$9,'Assumptions (Hydro)'!$V$4*Model!$Q$1335*AVERAGE('Assumptions (Hydro)'!$M$2:$O$2)/10^9),0)</f>
        <v>-5.8139856669524688E-3</v>
      </c>
      <c r="Z1458" s="105">
        <f>IF($Q$1335&gt;0,IPMT('Assumptions (Hydro)'!$V$6,Model!AF$1,'Assumptions (Hydro)'!$V$9,'Assumptions (Hydro)'!$V$4*Model!$Q$1335*AVERAGE('Assumptions (Hydro)'!$M$2:$O$2)/10^9),0)</f>
        <v>-5.0944622270543381E-3</v>
      </c>
      <c r="AA1458" s="105">
        <f>IF($Q$1335&gt;0,IPMT('Assumptions (Hydro)'!$V$6,Model!AG$1,'Assumptions (Hydro)'!$V$9,'Assumptions (Hydro)'!$V$4*Model!$Q$1335*AVERAGE('Assumptions (Hydro)'!$M$2:$O$2)/10^9),0)</f>
        <v>-4.3407614237610474E-3</v>
      </c>
      <c r="AB1458" s="105">
        <f>IF($Q$1335&gt;0,IPMT('Assumptions (Hydro)'!$V$6,Model!AH$1,'Assumptions (Hydro)'!$V$9,'Assumptions (Hydro)'!$V$4*Model!$Q$1335*AVERAGE('Assumptions (Hydro)'!$M$2:$O$2)/10^9),0)</f>
        <v>-3.5512598323113264E-3</v>
      </c>
      <c r="AC1458" s="105">
        <f>IF($Q$1335&gt;0,IPMT('Assumptions (Hydro)'!$V$6,Model!AI$1,'Assumptions (Hydro)'!$V$9,'Assumptions (Hydro)'!$V$4*Model!$Q$1335*AVERAGE('Assumptions (Hydro)'!$M$2:$O$2)/10^9),0)</f>
        <v>-2.7242569152677418E-3</v>
      </c>
      <c r="AD1458" s="105">
        <f>IF($Q$1335&gt;0,IPMT('Assumptions (Hydro)'!$V$6,Model!AJ$1,'Assumptions (Hydro)'!$V$9,'Assumptions (Hydro)'!$V$4*Model!$Q$1335*AVERAGE('Assumptions (Hydro)'!$M$2:$O$2)/10^9),0)</f>
        <v>-1.8579713596645873E-3</v>
      </c>
      <c r="AE1458" s="105">
        <f>IF($Q$1335&gt;0,IPMT('Assumptions (Hydro)'!$V$6,Model!AK$1,'Assumptions (Hydro)'!$V$9,'Assumptions (Hydro)'!$V$4*Model!$Q$1335*AVERAGE('Assumptions (Hydro)'!$M$2:$O$2)/10^9),0)</f>
        <v>-9.5053724017028329E-4</v>
      </c>
      <c r="AF1458" s="105"/>
      <c r="AG1458" s="105"/>
      <c r="AH1458" s="105"/>
      <c r="AI1458" s="105"/>
      <c r="AJ1458" s="105"/>
      <c r="AK1458" s="105"/>
      <c r="AL1458" s="105"/>
      <c r="AM1458" s="105"/>
      <c r="AN1458" s="105"/>
      <c r="AO1458" s="105"/>
    </row>
    <row r="1459" spans="1:55" ht="15.75" hidden="1" customHeight="1" outlineLevel="1">
      <c r="A1459" s="413"/>
      <c r="B1459" s="99"/>
      <c r="C1459" s="105"/>
      <c r="D1459" s="105"/>
      <c r="E1459" s="105"/>
      <c r="F1459" s="105"/>
      <c r="G1459" s="105"/>
      <c r="H1459" s="105"/>
      <c r="I1459" s="105"/>
      <c r="J1459" s="105"/>
      <c r="K1459" s="105"/>
      <c r="L1459" s="105"/>
      <c r="M1459" s="105"/>
      <c r="N1459" s="105"/>
      <c r="O1459" s="105"/>
      <c r="P1459" s="171"/>
      <c r="Q1459" s="105"/>
      <c r="R1459" s="91">
        <f>IF($R$1335&gt;0,IPMT('Assumptions (Hydro)'!$V$6,Model!W$1,'Assumptions (Hydro)'!$V$9,'Assumptions (Hydro)'!$V$4*Model!$R$1335*AVERAGE('Assumptions (Hydro)'!$N$2:$P$2)/10^9),0)</f>
        <v>-9.7655919949467592E-3</v>
      </c>
      <c r="S1459" s="91">
        <f>IF($R$1335&gt;0,IPMT('Assumptions (Hydro)'!$V$6,Model!X$1,'Assumptions (Hydro)'!$V$9,'Assumptions (Hydro)'!$V$4*Model!$R$1335*AVERAGE('Assumptions (Hydro)'!$N$2:$P$2)/10^9),0)</f>
        <v>-9.3044496627516671E-3</v>
      </c>
      <c r="T1459" s="91">
        <f>IF($R$1335&gt;0,IPMT('Assumptions (Hydro)'!$V$6,Model!Y$1,'Assumptions (Hydro)'!$V$9,'Assumptions (Hydro)'!$V$4*Model!$R$1335*AVERAGE('Assumptions (Hydro)'!$N$2:$P$2)/10^9),0)</f>
        <v>-8.8214030697773074E-3</v>
      </c>
      <c r="U1459" s="91">
        <f>IF($R$1335&gt;0,IPMT('Assumptions (Hydro)'!$V$6,Model!Z$1,'Assumptions (Hydro)'!$V$9,'Assumptions (Hydro)'!$V$4*Model!$R$1335*AVERAGE('Assumptions (Hydro)'!$N$2:$P$2)/10^9),0)</f>
        <v>-8.3154117636366678E-3</v>
      </c>
      <c r="V1459" s="91">
        <f>IF($R$1335&gt;0,IPMT('Assumptions (Hydro)'!$V$6,Model!AA$1,'Assumptions (Hydro)'!$V$9,'Assumptions (Hydro)'!$V$4*Model!$R$1335*AVERAGE('Assumptions (Hydro)'!$N$2:$P$2)/10^9),0)</f>
        <v>-7.7853858704543455E-3</v>
      </c>
      <c r="W1459" s="91">
        <f>IF($R$1335&gt;0,IPMT('Assumptions (Hydro)'!$V$6,Model!AB$1,'Assumptions (Hydro)'!$V$9,'Assumptions (Hydro)'!$V$4*Model!$R$1335*AVERAGE('Assumptions (Hydro)'!$N$2:$P$2)/10^9),0)</f>
        <v>-7.230183747345866E-3</v>
      </c>
      <c r="X1459" s="91">
        <f>IF($R$1335&gt;0,IPMT('Assumptions (Hydro)'!$V$6,Model!AC$1,'Assumptions (Hydro)'!$V$9,'Assumptions (Hydro)'!$V$4*Model!$R$1335*AVERAGE('Assumptions (Hydro)'!$N$2:$P$2)/10^9),0)</f>
        <v>-6.6486095233897324E-3</v>
      </c>
      <c r="Y1459" s="91">
        <f>IF($R$1335&gt;0,IPMT('Assumptions (Hydro)'!$V$6,Model!AD$1,'Assumptions (Hydro)'!$V$9,'Assumptions (Hydro)'!$V$4*Model!$R$1335*AVERAGE('Assumptions (Hydro)'!$N$2:$P$2)/10^9),0)</f>
        <v>-6.0394105237956816E-3</v>
      </c>
      <c r="Z1459" s="91">
        <f>IF($R$1335&gt;0,IPMT('Assumptions (Hydro)'!$V$6,Model!AE$1,'Assumptions (Hydro)'!$V$9,'Assumptions (Hydro)'!$V$4*Model!$R$1335*AVERAGE('Assumptions (Hydro)'!$N$2:$P$2)/10^9),0)</f>
        <v>-5.4012745717209147E-3</v>
      </c>
      <c r="AA1459" s="91">
        <f>IF($R$1335&gt;0,IPMT('Assumptions (Hydro)'!$V$6,Model!AF$1,'Assumptions (Hydro)'!$V$9,'Assumptions (Hydro)'!$V$4*Model!$R$1335*AVERAGE('Assumptions (Hydro)'!$N$2:$P$2)/10^9),0)</f>
        <v>-4.7328271619225953E-3</v>
      </c>
      <c r="AB1459" s="91">
        <f>IF($R$1335&gt;0,IPMT('Assumptions (Hydro)'!$V$6,Model!AG$1,'Assumptions (Hydro)'!$V$9,'Assumptions (Hydro)'!$V$4*Model!$R$1335*AVERAGE('Assumptions (Hydro)'!$N$2:$P$2)/10^9),0)</f>
        <v>-4.0326285001588561E-3</v>
      </c>
      <c r="AC1459" s="91">
        <f>IF($R$1335&gt;0,IPMT('Assumptions (Hydro)'!$V$6,Model!AH$1,'Assumptions (Hydro)'!$V$9,'Assumptions (Hydro)'!$V$4*Model!$R$1335*AVERAGE('Assumptions (Hydro)'!$N$2:$P$2)/10^9),0)</f>
        <v>-3.2991704019613402E-3</v>
      </c>
      <c r="AD1459" s="91">
        <f>IF($R$1335&gt;0,IPMT('Assumptions (Hydro)'!$V$6,Model!AI$1,'Assumptions (Hydro)'!$V$9,'Assumptions (Hydro)'!$V$4*Model!$R$1335*AVERAGE('Assumptions (Hydro)'!$N$2:$P$2)/10^9),0)</f>
        <v>-2.530873044099441E-3</v>
      </c>
      <c r="AE1459" s="91">
        <f>IF($R$1335&gt;0,IPMT('Assumptions (Hydro)'!$V$6,Model!AJ$1,'Assumptions (Hydro)'!$V$9,'Assumptions (Hydro)'!$V$4*Model!$R$1335*AVERAGE('Assumptions (Hydro)'!$N$2:$P$2)/10^9),0)</f>
        <v>-1.726081561739102E-3</v>
      </c>
      <c r="AF1459" s="91">
        <f>IF($R$1335&gt;0,IPMT('Assumptions (Hydro)'!$V$6,Model!AK$1,'Assumptions (Hydro)'!$V$9,'Assumptions (Hydro)'!$V$4*Model!$R$1335*AVERAGE('Assumptions (Hydro)'!$N$2:$P$2)/10^9),0)</f>
        <v>-8.8306248396664659E-4</v>
      </c>
      <c r="AG1459" s="91"/>
      <c r="AH1459" s="91"/>
      <c r="AI1459" s="91"/>
      <c r="AJ1459" s="91"/>
      <c r="AK1459" s="91"/>
      <c r="AL1459" s="91"/>
      <c r="AM1459" s="91"/>
      <c r="AN1459" s="91"/>
      <c r="AO1459" s="91"/>
      <c r="AP1459" s="91"/>
    </row>
    <row r="1460" spans="1:55" ht="15.75" hidden="1" customHeight="1" outlineLevel="1">
      <c r="A1460" s="413"/>
      <c r="B1460" s="99"/>
      <c r="C1460" s="105"/>
      <c r="D1460" s="105"/>
      <c r="E1460" s="105"/>
      <c r="F1460" s="105"/>
      <c r="G1460" s="105"/>
      <c r="H1460" s="105"/>
      <c r="I1460" s="105"/>
      <c r="J1460" s="105"/>
      <c r="K1460" s="105"/>
      <c r="L1460" s="105"/>
      <c r="M1460" s="105"/>
      <c r="N1460" s="105"/>
      <c r="O1460" s="105"/>
      <c r="P1460" s="171"/>
      <c r="Q1460" s="105"/>
      <c r="R1460" s="91"/>
      <c r="S1460" s="105">
        <f>IF($S$1335&gt;0,IPMT('Assumptions (Hydro)'!$V$6,Model!W$1,'Assumptions (Hydro)'!$V$9,'Assumptions (Hydro)'!$V$4*Model!$S$1335*AVERAGE('Assumptions (Hydro)'!$O$2:$Q$2)/10^9),0)</f>
        <v>-2.7359478132529036E-2</v>
      </c>
      <c r="T1460" s="105">
        <f>IF($S$1335&gt;0,IPMT('Assumptions (Hydro)'!$V$6,Model!X$1,'Assumptions (Hydro)'!$V$9,'Assumptions (Hydro)'!$V$4*Model!$S$1335*AVERAGE('Assumptions (Hydro)'!$O$2:$Q$2)/10^9),0)</f>
        <v>-2.6067532538221635E-2</v>
      </c>
      <c r="U1460" s="105">
        <f>IF($S$1335&gt;0,IPMT('Assumptions (Hydro)'!$V$6,Model!Y$1,'Assumptions (Hydro)'!$V$9,'Assumptions (Hydro)'!$V$4*Model!$S$1335*AVERAGE('Assumptions (Hydro)'!$O$2:$Q$2)/10^9),0)</f>
        <v>-2.4714219528184631E-2</v>
      </c>
      <c r="V1460" s="105">
        <f>IF($S$1335&gt;0,IPMT('Assumptions (Hydro)'!$V$6,Model!Z$1,'Assumptions (Hydro)'!$V$9,'Assumptions (Hydro)'!$V$4*Model!$S$1335*AVERAGE('Assumptions (Hydro)'!$O$2:$Q$2)/10^9),0)</f>
        <v>-2.3296624150170881E-2</v>
      </c>
      <c r="W1460" s="105">
        <f>IF($S$1335&gt;0,IPMT('Assumptions (Hydro)'!$V$6,Model!AA$1,'Assumptions (Hydro)'!$V$9,'Assumptions (Hydro)'!$V$4*Model!$S$1335*AVERAGE('Assumptions (Hydro)'!$O$2:$Q$2)/10^9),0)</f>
        <v>-2.1811692991701472E-2</v>
      </c>
      <c r="X1460" s="105">
        <f>IF($S$1335&gt;0,IPMT('Assumptions (Hydro)'!$V$6,Model!AB$1,'Assumptions (Hydro)'!$V$9,'Assumptions (Hydro)'!$V$4*Model!$S$1335*AVERAGE('Assumptions (Hydro)'!$O$2:$Q$2)/10^9),0)</f>
        <v>-2.0256227603204769E-2</v>
      </c>
      <c r="Y1460" s="105">
        <f>IF($S$1335&gt;0,IPMT('Assumptions (Hydro)'!$V$6,Model!AC$1,'Assumptions (Hydro)'!$V$9,'Assumptions (Hydro)'!$V$4*Model!$S$1335*AVERAGE('Assumptions (Hydro)'!$O$2:$Q$2)/10^9),0)</f>
        <v>-1.8626877608754467E-2</v>
      </c>
      <c r="Z1460" s="105">
        <f>IF($S$1335&gt;0,IPMT('Assumptions (Hydro)'!$V$6,Model!AD$1,'Assumptions (Hydro)'!$V$9,'Assumptions (Hydro)'!$V$4*Model!$S$1335*AVERAGE('Assumptions (Hydro)'!$O$2:$Q$2)/10^9),0)</f>
        <v>-1.6920133489567779E-2</v>
      </c>
      <c r="AA1460" s="105">
        <f>IF($S$1335&gt;0,IPMT('Assumptions (Hydro)'!$V$6,Model!AE$1,'Assumptions (Hydro)'!$V$9,'Assumptions (Hydro)'!$V$4*Model!$S$1335*AVERAGE('Assumptions (Hydro)'!$O$2:$Q$2)/10^9),0)</f>
        <v>-1.5132319024719725E-2</v>
      </c>
      <c r="AB1460" s="105">
        <f>IF($S$1335&gt;0,IPMT('Assumptions (Hydro)'!$V$6,Model!AF$1,'Assumptions (Hydro)'!$V$9,'Assumptions (Hydro)'!$V$4*Model!$S$1335*AVERAGE('Assumptions (Hydro)'!$O$2:$Q$2)/10^9),0)</f>
        <v>-1.3259583372791386E-2</v>
      </c>
      <c r="AC1460" s="105">
        <f>IF($S$1335&gt;0,IPMT('Assumptions (Hydro)'!$V$6,Model!AG$1,'Assumptions (Hydro)'!$V$9,'Assumptions (Hydro)'!$V$4*Model!$S$1335*AVERAGE('Assumptions (Hydro)'!$O$2:$Q$2)/10^9),0)</f>
        <v>-1.1297892777396451E-2</v>
      </c>
      <c r="AD1460" s="105">
        <f>IF($S$1335&gt;0,IPMT('Assumptions (Hydro)'!$V$6,Model!AH$1,'Assumptions (Hydro)'!$V$9,'Assumptions (Hydro)'!$V$4*Model!$S$1335*AVERAGE('Assumptions (Hydro)'!$O$2:$Q$2)/10^9),0)</f>
        <v>-9.2430218787202586E-3</v>
      </c>
      <c r="AE1460" s="105">
        <f>IF($S$1335&gt;0,IPMT('Assumptions (Hydro)'!$V$6,Model!AI$1,'Assumptions (Hydro)'!$V$9,'Assumptions (Hydro)'!$V$4*Model!$S$1335*AVERAGE('Assumptions (Hydro)'!$O$2:$Q$2)/10^9),0)</f>
        <v>-7.0905446123569445E-3</v>
      </c>
      <c r="AF1460" s="105">
        <f>IF($S$1335&gt;0,IPMT('Assumptions (Hydro)'!$V$6,Model!AJ$1,'Assumptions (Hydro)'!$V$9,'Assumptions (Hydro)'!$V$4*Model!$S$1335*AVERAGE('Assumptions (Hydro)'!$O$2:$Q$2)/10^9),0)</f>
        <v>-4.8358246758413732E-3</v>
      </c>
      <c r="AG1460" s="105">
        <f>IF($S$1335&gt;0,IPMT('Assumptions (Hydro)'!$V$6,Model!AK$1,'Assumptions (Hydro)'!$V$9,'Assumptions (Hydro)'!$V$4*Model!$S$1335*AVERAGE('Assumptions (Hydro)'!$O$2:$Q$2)/10^9),0)</f>
        <v>-2.474005542341313E-3</v>
      </c>
      <c r="AH1460" s="105"/>
      <c r="AI1460" s="105"/>
      <c r="AJ1460" s="105"/>
      <c r="AK1460" s="105"/>
      <c r="AL1460" s="105"/>
      <c r="AM1460" s="105"/>
      <c r="AN1460" s="105"/>
      <c r="AO1460" s="105"/>
      <c r="AP1460" s="105"/>
      <c r="AQ1460" s="105"/>
    </row>
    <row r="1461" spans="1:55" ht="15.75" hidden="1" customHeight="1" outlineLevel="1">
      <c r="A1461" s="413"/>
      <c r="B1461" s="99"/>
      <c r="C1461" s="105"/>
      <c r="D1461" s="105"/>
      <c r="E1461" s="105"/>
      <c r="F1461" s="105"/>
      <c r="G1461" s="105"/>
      <c r="H1461" s="105"/>
      <c r="I1461" s="105"/>
      <c r="J1461" s="105"/>
      <c r="K1461" s="105"/>
      <c r="L1461" s="105"/>
      <c r="M1461" s="105"/>
      <c r="N1461" s="105"/>
      <c r="O1461" s="105"/>
      <c r="P1461" s="171"/>
      <c r="Q1461" s="105"/>
      <c r="R1461" s="91"/>
      <c r="S1461" s="91"/>
      <c r="T1461" s="105">
        <f>IF($T$1335&gt;0,IPMT('Assumptions (Hydro)'!$V$6,Model!W$1,'Assumptions (Hydro)'!$V$9,'Assumptions (Hydro)'!$V$4*Model!$T$1335*AVERAGE('Assumptions (Hydro)'!$P$2:$R$2)/10^9),0)</f>
        <v>-1.5531968400856005E-2</v>
      </c>
      <c r="U1461" s="105">
        <f>IF($T$1335&gt;0,IPMT('Assumptions (Hydro)'!$V$6,Model!X$1,'Assumptions (Hydro)'!$V$9,'Assumptions (Hydro)'!$V$4*Model!$T$1335*AVERAGE('Assumptions (Hydro)'!$P$2:$R$2)/10^9),0)</f>
        <v>-1.4798531233333806E-2</v>
      </c>
      <c r="V1461" s="105">
        <f>IF($T$1335&gt;0,IPMT('Assumptions (Hydro)'!$V$6,Model!Y$1,'Assumptions (Hydro)'!$V$9,'Assumptions (Hydro)'!$V$4*Model!$T$1335*AVERAGE('Assumptions (Hydro)'!$P$2:$R$2)/10^9),0)</f>
        <v>-1.4030255800354299E-2</v>
      </c>
      <c r="W1461" s="105">
        <f>IF($T$1335&gt;0,IPMT('Assumptions (Hydro)'!$V$6,Model!Z$1,'Assumptions (Hydro)'!$V$9,'Assumptions (Hydro)'!$V$4*Model!$T$1335*AVERAGE('Assumptions (Hydro)'!$P$2:$R$2)/10^9),0)</f>
        <v>-1.3225487284308272E-2</v>
      </c>
      <c r="X1461" s="105">
        <f>IF($T$1335&gt;0,IPMT('Assumptions (Hydro)'!$V$6,Model!AA$1,'Assumptions (Hydro)'!$V$9,'Assumptions (Hydro)'!$V$4*Model!$T$1335*AVERAGE('Assumptions (Hydro)'!$P$2:$R$2)/10^9),0)</f>
        <v>-1.2382492263750057E-2</v>
      </c>
      <c r="Y1461" s="105">
        <f>IF($T$1335&gt;0,IPMT('Assumptions (Hydro)'!$V$6,Model!AB$1,'Assumptions (Hydro)'!$V$9,'Assumptions (Hydro)'!$V$4*Model!$T$1335*AVERAGE('Assumptions (Hydro)'!$P$2:$R$2)/10^9),0)</f>
        <v>-1.1499454979715327E-2</v>
      </c>
      <c r="Z1461" s="105">
        <f>IF($T$1335&gt;0,IPMT('Assumptions (Hydro)'!$V$6,Model!AC$1,'Assumptions (Hydro)'!$V$9,'Assumptions (Hydro)'!$V$4*Model!$T$1335*AVERAGE('Assumptions (Hydro)'!$P$2:$R$2)/10^9),0)</f>
        <v>-1.0574473424688945E-2</v>
      </c>
      <c r="AA1461" s="105">
        <f>IF($T$1335&gt;0,IPMT('Assumptions (Hydro)'!$V$6,Model!AD$1,'Assumptions (Hydro)'!$V$9,'Assumptions (Hydro)'!$V$4*Model!$T$1335*AVERAGE('Assumptions (Hydro)'!$P$2:$R$2)/10^9),0)</f>
        <v>-9.6055552457988136E-3</v>
      </c>
      <c r="AB1461" s="105">
        <f>IF($T$1335&gt;0,IPMT('Assumptions (Hydro)'!$V$6,Model!AE$1,'Assumptions (Hydro)'!$V$9,'Assumptions (Hydro)'!$V$4*Model!$T$1335*AVERAGE('Assumptions (Hydro)'!$P$2:$R$2)/10^9),0)</f>
        <v>-8.5906134534113991E-3</v>
      </c>
      <c r="AC1461" s="105">
        <f>IF($T$1335&gt;0,IPMT('Assumptions (Hydro)'!$V$6,Model!AF$1,'Assumptions (Hydro)'!$V$9,'Assumptions (Hydro)'!$V$4*Model!$T$1335*AVERAGE('Assumptions (Hydro)'!$P$2:$R$2)/10^9),0)</f>
        <v>-7.5274619258855835E-3</v>
      </c>
      <c r="AD1461" s="105">
        <f>IF($T$1335&gt;0,IPMT('Assumptions (Hydro)'!$V$6,Model!AG$1,'Assumptions (Hydro)'!$V$9,'Assumptions (Hydro)'!$V$4*Model!$T$1335*AVERAGE('Assumptions (Hydro)'!$P$2:$R$2)/10^9),0)</f>
        <v>-6.4138107008022893E-3</v>
      </c>
      <c r="AE1461" s="105">
        <f>IF($T$1335&gt;0,IPMT('Assumptions (Hydro)'!$V$6,Model!AH$1,'Assumptions (Hydro)'!$V$9,'Assumptions (Hydro)'!$V$4*Model!$T$1335*AVERAGE('Assumptions (Hydro)'!$P$2:$R$2)/10^9),0)</f>
        <v>-5.247261042527541E-3</v>
      </c>
      <c r="AF1461" s="105">
        <f>IF($T$1335&gt;0,IPMT('Assumptions (Hydro)'!$V$6,Model!AI$1,'Assumptions (Hydro)'!$V$9,'Assumptions (Hydro)'!$V$4*Model!$T$1335*AVERAGE('Assumptions (Hydro)'!$P$2:$R$2)/10^9),0)</f>
        <v>-4.0253002754847399E-3</v>
      </c>
      <c r="AG1461" s="105">
        <f>IF($T$1335&gt;0,IPMT('Assumptions (Hydro)'!$V$6,Model!AJ$1,'Assumptions (Hydro)'!$V$9,'Assumptions (Hydro)'!$V$4*Model!$T$1335*AVERAGE('Assumptions (Hydro)'!$P$2:$R$2)/10^9),0)</f>
        <v>-2.7452963720074066E-3</v>
      </c>
      <c r="AH1461" s="105">
        <f>IF($T$1335&gt;0,IPMT('Assumptions (Hydro)'!$V$6,Model!AK$1,'Assumptions (Hydro)'!$V$9,'Assumptions (Hydro)'!$V$4*Model!$T$1335*AVERAGE('Assumptions (Hydro)'!$P$2:$R$2)/10^9),0)</f>
        <v>-1.4044922831149005E-3</v>
      </c>
      <c r="AI1461" s="105"/>
      <c r="AJ1461" s="105"/>
      <c r="AK1461" s="105"/>
      <c r="AL1461" s="105"/>
      <c r="AM1461" s="105"/>
      <c r="AN1461" s="105"/>
      <c r="AO1461" s="105"/>
      <c r="AP1461" s="105"/>
      <c r="AQ1461" s="105"/>
      <c r="AR1461" s="105"/>
    </row>
    <row r="1462" spans="1:55" ht="15.75" hidden="1" customHeight="1" outlineLevel="1">
      <c r="A1462" s="413"/>
      <c r="B1462" s="99"/>
      <c r="C1462" s="105"/>
      <c r="D1462" s="105"/>
      <c r="E1462" s="105"/>
      <c r="F1462" s="105"/>
      <c r="G1462" s="105"/>
      <c r="H1462" s="105"/>
      <c r="I1462" s="105"/>
      <c r="J1462" s="105"/>
      <c r="K1462" s="105"/>
      <c r="L1462" s="105"/>
      <c r="M1462" s="105"/>
      <c r="N1462" s="105"/>
      <c r="O1462" s="105"/>
      <c r="P1462" s="171"/>
      <c r="Q1462" s="105"/>
      <c r="R1462" s="91"/>
      <c r="S1462" s="91"/>
      <c r="T1462" s="91"/>
      <c r="U1462" s="105">
        <f>IF($U$1335&gt;0,IPMT('Assumptions (Hydro)'!$V$6,Model!W$1,'Assumptions (Hydro)'!$V$9,'Assumptions (Hydro)'!$V$4*Model!$U$1335*AVERAGE('Assumptions (Hydro)'!$Q$2:$S$2)/10^9),0)</f>
        <v>-1.1477496187083418E-2</v>
      </c>
      <c r="V1462" s="105">
        <f>IF($U$1335&gt;0,IPMT('Assumptions (Hydro)'!$V$6,Model!X$1,'Assumptions (Hydro)'!$V$9,'Assumptions (Hydro)'!$V$4*Model!$U$1335*AVERAGE('Assumptions (Hydro)'!$Q$2:$S$2)/10^9),0)</f>
        <v>-1.093551579693291E-2</v>
      </c>
      <c r="W1462" s="105">
        <f>IF($U$1335&gt;0,IPMT('Assumptions (Hydro)'!$V$6,Model!Y$1,'Assumptions (Hydro)'!$V$9,'Assumptions (Hydro)'!$V$4*Model!$U$1335*AVERAGE('Assumptions (Hydro)'!$Q$2:$S$2)/10^9),0)</f>
        <v>-1.036779133825025E-2</v>
      </c>
      <c r="X1462" s="105">
        <f>IF($U$1335&gt;0,IPMT('Assumptions (Hydro)'!$V$6,Model!Z$1,'Assumptions (Hydro)'!$V$9,'Assumptions (Hydro)'!$V$4*Model!$U$1335*AVERAGE('Assumptions (Hydro)'!$Q$2:$S$2)/10^9),0)</f>
        <v>-9.7730999677801689E-3</v>
      </c>
      <c r="Y1462" s="105">
        <f>IF($U$1335&gt;0,IPMT('Assumptions (Hydro)'!$V$6,Model!AA$1,'Assumptions (Hydro)'!$V$9,'Assumptions (Hydro)'!$V$4*Model!$U$1335*AVERAGE('Assumptions (Hydro)'!$Q$2:$S$2)/10^9),0)</f>
        <v>-9.150160757212757E-3</v>
      </c>
      <c r="Z1462" s="105">
        <f>IF($U$1335&gt;0,IPMT('Assumptions (Hydro)'!$V$6,Model!AB$1,'Assumptions (Hydro)'!$V$9,'Assumptions (Hydro)'!$V$4*Model!$U$1335*AVERAGE('Assumptions (Hydro)'!$Q$2:$S$2)/10^9),0)</f>
        <v>-8.4976319341433949E-3</v>
      </c>
      <c r="AA1462" s="105">
        <f>IF($U$1335&gt;0,IPMT('Assumptions (Hydro)'!$V$6,Model!AC$1,'Assumptions (Hydro)'!$V$9,'Assumptions (Hydro)'!$V$4*Model!$U$1335*AVERAGE('Assumptions (Hydro)'!$Q$2:$S$2)/10^9),0)</f>
        <v>-7.8141079919782346E-3</v>
      </c>
      <c r="AB1462" s="105">
        <f>IF($U$1335&gt;0,IPMT('Assumptions (Hydro)'!$V$6,Model!AD$1,'Assumptions (Hydro)'!$V$9,'Assumptions (Hydro)'!$V$4*Model!$U$1335*AVERAGE('Assumptions (Hydro)'!$Q$2:$S$2)/10^9),0)</f>
        <v>-7.0981166625602313E-3</v>
      </c>
      <c r="AC1462" s="105">
        <f>IF($U$1335&gt;0,IPMT('Assumptions (Hydro)'!$V$6,Model!AE$1,'Assumptions (Hydro)'!$V$9,'Assumptions (Hydro)'!$V$4*Model!$U$1335*AVERAGE('Assumptions (Hydro)'!$Q$2:$S$2)/10^9),0)</f>
        <v>-6.3481157449948727E-3</v>
      </c>
      <c r="AD1462" s="105">
        <f>IF($U$1335&gt;0,IPMT('Assumptions (Hydro)'!$V$6,Model!AF$1,'Assumptions (Hydro)'!$V$9,'Assumptions (Hydro)'!$V$4*Model!$U$1335*AVERAGE('Assumptions (Hydro)'!$Q$2:$S$2)/10^9),0)</f>
        <v>-5.5624897838451601E-3</v>
      </c>
      <c r="AE1462" s="105">
        <f>IF($U$1335&gt;0,IPMT('Assumptions (Hydro)'!$V$6,Model!AG$1,'Assumptions (Hydro)'!$V$9,'Assumptions (Hydro)'!$V$4*Model!$U$1335*AVERAGE('Assumptions (Hydro)'!$Q$2:$S$2)/10^9),0)</f>
        <v>-4.7395465895408353E-3</v>
      </c>
      <c r="AF1462" s="105">
        <f>IF($U$1335&gt;0,IPMT('Assumptions (Hydro)'!$V$6,Model!AH$1,'Assumptions (Hydro)'!$V$9,'Assumptions (Hydro)'!$V$4*Model!$U$1335*AVERAGE('Assumptions (Hydro)'!$Q$2:$S$2)/10^9),0)</f>
        <v>-3.877513593507056E-3</v>
      </c>
      <c r="AG1462" s="105">
        <f>IF($U$1335&gt;0,IPMT('Assumptions (Hydro)'!$V$6,Model!AI$1,'Assumptions (Hydro)'!$V$9,'Assumptions (Hydro)'!$V$4*Model!$U$1335*AVERAGE('Assumptions (Hydro)'!$Q$2:$S$2)/10^9),0)</f>
        <v>-2.9745340301616705E-3</v>
      </c>
      <c r="AH1462" s="105">
        <f>IF($U$1335&gt;0,IPMT('Assumptions (Hydro)'!$V$6,Model!AJ$1,'Assumptions (Hydro)'!$V$9,'Assumptions (Hydro)'!$V$4*Model!$U$1335*AVERAGE('Assumptions (Hydro)'!$Q$2:$S$2)/10^9),0)</f>
        <v>-2.0286629375573803E-3</v>
      </c>
      <c r="AI1462" s="105">
        <f>IF($U$1335&gt;0,IPMT('Assumptions (Hydro)'!$V$6,Model!AK$1,'Assumptions (Hydro)'!$V$9,'Assumptions (Hydro)'!$V$4*Model!$U$1335*AVERAGE('Assumptions (Hydro)'!$Q$2:$S$2)/10^9),0)</f>
        <v>-1.0378629680543863E-3</v>
      </c>
      <c r="AJ1462" s="105"/>
      <c r="AK1462" s="105"/>
      <c r="AL1462" s="105"/>
      <c r="AM1462" s="105"/>
      <c r="AN1462" s="105"/>
      <c r="AO1462" s="105"/>
      <c r="AP1462" s="105"/>
      <c r="AQ1462" s="105"/>
      <c r="AR1462" s="105"/>
      <c r="AS1462" s="105"/>
    </row>
    <row r="1463" spans="1:55" ht="15.75" hidden="1" customHeight="1" outlineLevel="1">
      <c r="A1463" s="413"/>
      <c r="B1463" s="99"/>
      <c r="C1463" s="105"/>
      <c r="D1463" s="105"/>
      <c r="E1463" s="105"/>
      <c r="F1463" s="105"/>
      <c r="G1463" s="105"/>
      <c r="H1463" s="105"/>
      <c r="I1463" s="105"/>
      <c r="J1463" s="105"/>
      <c r="K1463" s="105"/>
      <c r="L1463" s="105"/>
      <c r="M1463" s="105"/>
      <c r="N1463" s="105"/>
      <c r="O1463" s="105"/>
      <c r="P1463" s="171"/>
      <c r="Q1463" s="105"/>
      <c r="R1463" s="91"/>
      <c r="S1463" s="91"/>
      <c r="T1463" s="91"/>
      <c r="U1463" s="105"/>
      <c r="V1463" s="105">
        <f>IF($V$1335&gt;0,IPMT('Assumptions (Hydro)'!$V$6,Model!W$1,'Assumptions (Hydro)'!$V$9,'Assumptions (Hydro)'!$V$4*Model!$V$1335*AVERAGE('Assumptions (Hydro)'!$R$2:$T$2)/10^9),0)</f>
        <v>-8.8892597463844768E-3</v>
      </c>
      <c r="W1463" s="105">
        <f>IF($V$1335&gt;0,IPMT('Assumptions (Hydro)'!$V$6,Model!X$1,'Assumptions (Hydro)'!$V$9,'Assumptions (Hydro)'!$V$4*Model!$V$1335*AVERAGE('Assumptions (Hydro)'!$R$2:$T$2)/10^9),0)</f>
        <v>-8.4694988170873221E-3</v>
      </c>
      <c r="X1463" s="105">
        <f>IF($V$1335&gt;0,IPMT('Assumptions (Hydro)'!$V$6,Model!Y$1,'Assumptions (Hydro)'!$V$9,'Assumptions (Hydro)'!$V$4*Model!$V$1335*AVERAGE('Assumptions (Hydro)'!$R$2:$T$2)/10^9),0)</f>
        <v>-8.0297992436485551E-3</v>
      </c>
      <c r="Y1463" s="105">
        <f>IF($V$1335&gt;0,IPMT('Assumptions (Hydro)'!$V$6,Model!Z$1,'Assumptions (Hydro)'!$V$9,'Assumptions (Hydro)'!$V$4*Model!$V$1335*AVERAGE('Assumptions (Hydro)'!$R$2:$T$2)/10^9),0)</f>
        <v>-7.5692139404714464E-3</v>
      </c>
      <c r="Z1463" s="105">
        <f>IF($V$1335&gt;0,IPMT('Assumptions (Hydro)'!$V$6,Model!AA$1,'Assumptions (Hydro)'!$V$9,'Assumptions (Hydro)'!$V$4*Model!$V$1335*AVERAGE('Assumptions (Hydro)'!$R$2:$T$2)/10^9),0)</f>
        <v>-7.0867508353934256E-3</v>
      </c>
      <c r="AA1463" s="105">
        <f>IF($V$1335&gt;0,IPMT('Assumptions (Hydro)'!$V$6,Model!AB$1,'Assumptions (Hydro)'!$V$9,'Assumptions (Hydro)'!$V$4*Model!$V$1335*AVERAGE('Assumptions (Hydro)'!$R$2:$T$2)/10^9),0)</f>
        <v>-6.5813707328241976E-3</v>
      </c>
      <c r="AB1463" s="105">
        <f>IF($V$1335&gt;0,IPMT('Assumptions (Hydro)'!$V$6,Model!AC$1,'Assumptions (Hydro)'!$V$9,'Assumptions (Hydro)'!$V$4*Model!$V$1335*AVERAGE('Assumptions (Hydro)'!$R$2:$T$2)/10^9),0)</f>
        <v>-6.0519850753829318E-3</v>
      </c>
      <c r="AC1463" s="105">
        <f>IF($V$1335&gt;0,IPMT('Assumptions (Hydro)'!$V$6,Model!AD$1,'Assumptions (Hydro)'!$V$9,'Assumptions (Hydro)'!$V$4*Model!$V$1335*AVERAGE('Assumptions (Hydro)'!$R$2:$T$2)/10^9),0)</f>
        <v>-5.4974535992132062E-3</v>
      </c>
      <c r="AD1463" s="105">
        <f>IF($V$1335&gt;0,IPMT('Assumptions (Hydro)'!$V$6,Model!AE$1,'Assumptions (Hydro)'!$V$9,'Assumptions (Hydro)'!$V$4*Model!$V$1335*AVERAGE('Assumptions (Hydro)'!$R$2:$T$2)/10^9),0)</f>
        <v>-4.9165818779254196E-3</v>
      </c>
      <c r="AE1463" s="105">
        <f>IF($V$1335&gt;0,IPMT('Assumptions (Hydro)'!$V$6,Model!AF$1,'Assumptions (Hydro)'!$V$9,'Assumptions (Hydro)'!$V$4*Model!$V$1335*AVERAGE('Assumptions (Hydro)'!$R$2:$T$2)/10^9),0)</f>
        <v>-4.3081187498764618E-3</v>
      </c>
      <c r="AF1463" s="105">
        <f>IF($V$1335&gt;0,IPMT('Assumptions (Hydro)'!$V$6,Model!AG$1,'Assumptions (Hydro)'!$V$9,'Assumptions (Hydro)'!$V$4*Model!$V$1335*AVERAGE('Assumptions (Hydro)'!$R$2:$T$2)/10^9),0)</f>
        <v>-3.6707536232451787E-3</v>
      </c>
      <c r="AG1463" s="105">
        <f>IF($V$1335&gt;0,IPMT('Assumptions (Hydro)'!$V$6,Model!AH$1,'Assumptions (Hydro)'!$V$9,'Assumptions (Hydro)'!$V$4*Model!$V$1335*AVERAGE('Assumptions (Hydro)'!$R$2:$T$2)/10^9),0)</f>
        <v>-3.00311365309891E-3</v>
      </c>
      <c r="AH1463" s="105">
        <f>IF($V$1335&gt;0,IPMT('Assumptions (Hydro)'!$V$6,Model!AI$1,'Assumptions (Hydro)'!$V$9,'Assumptions (Hydro)'!$V$4*Model!$V$1335*AVERAGE('Assumptions (Hydro)'!$R$2:$T$2)/10^9),0)</f>
        <v>-2.3037607843706927E-3</v>
      </c>
      <c r="AI1463" s="105">
        <f>IF($V$1335&gt;0,IPMT('Assumptions (Hydro)'!$V$6,Model!AJ$1,'Assumptions (Hydro)'!$V$9,'Assumptions (Hydro)'!$V$4*Model!$V$1335*AVERAGE('Assumptions (Hydro)'!$R$2:$T$2)/10^9),0)</f>
        <v>-1.5711886543778855E-3</v>
      </c>
      <c r="AJ1463" s="105">
        <f>IF($V$1335&gt;0,IPMT('Assumptions (Hydro)'!$V$6,Model!AK$1,'Assumptions (Hydro)'!$V$9,'Assumptions (Hydro)'!$V$4*Model!$V$1335*AVERAGE('Assumptions (Hydro)'!$R$2:$T$2)/10^9),0)</f>
        <v>-8.0381934821042002E-4</v>
      </c>
      <c r="AK1463" s="105"/>
      <c r="AL1463" s="105"/>
      <c r="AM1463" s="105"/>
      <c r="AN1463" s="105"/>
      <c r="AO1463" s="105"/>
      <c r="AP1463" s="105"/>
      <c r="AQ1463" s="105"/>
      <c r="AR1463" s="105"/>
      <c r="AS1463" s="105"/>
      <c r="AT1463" s="105"/>
    </row>
    <row r="1464" spans="1:55" ht="15.75" hidden="1" customHeight="1" outlineLevel="1">
      <c r="A1464" s="413"/>
      <c r="B1464" s="99"/>
      <c r="C1464" s="99"/>
      <c r="D1464" s="99"/>
      <c r="E1464" s="99"/>
      <c r="F1464" s="99"/>
      <c r="G1464" s="99"/>
      <c r="H1464" s="99"/>
      <c r="I1464" s="99"/>
      <c r="J1464" s="99"/>
      <c r="K1464" s="99"/>
      <c r="L1464" s="99"/>
      <c r="M1464" s="99"/>
      <c r="N1464" s="99"/>
      <c r="O1464" s="99"/>
      <c r="P1464" s="99"/>
      <c r="Q1464" s="99"/>
      <c r="R1464" s="99"/>
      <c r="S1464" s="99"/>
      <c r="T1464" s="99"/>
      <c r="U1464" s="99"/>
      <c r="V1464" s="99"/>
      <c r="W1464" s="105">
        <f>IF($W$1335&gt;0,IPMT('Assumptions (Hydro)'!$V$6,Model!W$1,'Assumptions (Hydro)'!$V$9,'Assumptions (Hydro)'!$V$4*Model!$W$1335*AVERAGE('Assumptions (Hydro)'!$S$2:$U$2)/10^9),0)</f>
        <v>0</v>
      </c>
      <c r="X1464" s="105">
        <f>IF($W$1335&gt;0,IPMT('Assumptions (Hydro)'!$V$6,Model!X$1,'Assumptions (Hydro)'!$V$9,'Assumptions (Hydro)'!$V$4*Model!$W$1335*AVERAGE('Assumptions (Hydro)'!$S$2:$U$2)/10^9),0)</f>
        <v>0</v>
      </c>
      <c r="Y1464" s="105">
        <f>IF($W$1335&gt;0,IPMT('Assumptions (Hydro)'!$V$6,Model!Y$1,'Assumptions (Hydro)'!$V$9,'Assumptions (Hydro)'!$V$4*Model!$W$1335*AVERAGE('Assumptions (Hydro)'!$S$2:$U$2)/10^9),0)</f>
        <v>0</v>
      </c>
      <c r="Z1464" s="105">
        <f>IF($W$1335&gt;0,IPMT('Assumptions (Hydro)'!$V$6,Model!Z$1,'Assumptions (Hydro)'!$V$9,'Assumptions (Hydro)'!$V$4*Model!$W$1335*AVERAGE('Assumptions (Hydro)'!$S$2:$U$2)/10^9),0)</f>
        <v>0</v>
      </c>
      <c r="AA1464" s="105">
        <f>IF($W$1335&gt;0,IPMT('Assumptions (Hydro)'!$V$6,Model!AA$1,'Assumptions (Hydro)'!$V$9,'Assumptions (Hydro)'!$V$4*Model!$W$1335*AVERAGE('Assumptions (Hydro)'!$S$2:$U$2)/10^9),0)</f>
        <v>0</v>
      </c>
      <c r="AB1464" s="105">
        <f>IF($W$1335&gt;0,IPMT('Assumptions (Hydro)'!$V$6,Model!AB$1,'Assumptions (Hydro)'!$V$9,'Assumptions (Hydro)'!$V$4*Model!$W$1335*AVERAGE('Assumptions (Hydro)'!$S$2:$U$2)/10^9),0)</f>
        <v>0</v>
      </c>
      <c r="AC1464" s="105">
        <f>IF($W$1335&gt;0,IPMT('Assumptions (Hydro)'!$V$6,Model!AC$1,'Assumptions (Hydro)'!$V$9,'Assumptions (Hydro)'!$V$4*Model!$W$1335*AVERAGE('Assumptions (Hydro)'!$S$2:$U$2)/10^9),0)</f>
        <v>0</v>
      </c>
      <c r="AD1464" s="105">
        <f>IF($W$1335&gt;0,IPMT('Assumptions (Hydro)'!$V$6,Model!AD$1,'Assumptions (Hydro)'!$V$9,'Assumptions (Hydro)'!$V$4*Model!$W$1335*AVERAGE('Assumptions (Hydro)'!$S$2:$U$2)/10^9),0)</f>
        <v>0</v>
      </c>
      <c r="AE1464" s="105">
        <f>IF($W$1335&gt;0,IPMT('Assumptions (Hydro)'!$V$6,Model!AE$1,'Assumptions (Hydro)'!$V$9,'Assumptions (Hydro)'!$V$4*Model!$W$1335*AVERAGE('Assumptions (Hydro)'!$S$2:$U$2)/10^9),0)</f>
        <v>0</v>
      </c>
      <c r="AF1464" s="105">
        <f>IF($W$1335&gt;0,IPMT('Assumptions (Hydro)'!$V$6,Model!AF$1,'Assumptions (Hydro)'!$V$9,'Assumptions (Hydro)'!$V$4*Model!$W$1335*AVERAGE('Assumptions (Hydro)'!$S$2:$U$2)/10^9),0)</f>
        <v>0</v>
      </c>
      <c r="AG1464" s="105">
        <f>IF($W$1335&gt;0,IPMT('Assumptions (Hydro)'!$V$6,Model!AG$1,'Assumptions (Hydro)'!$V$9,'Assumptions (Hydro)'!$V$4*Model!$W$1335*AVERAGE('Assumptions (Hydro)'!$S$2:$U$2)/10^9),0)</f>
        <v>0</v>
      </c>
      <c r="AH1464" s="105">
        <f>IF($W$1335&gt;0,IPMT('Assumptions (Hydro)'!$V$6,Model!AH$1,'Assumptions (Hydro)'!$V$9,'Assumptions (Hydro)'!$V$4*Model!$W$1335*AVERAGE('Assumptions (Hydro)'!$S$2:$U$2)/10^9),0)</f>
        <v>0</v>
      </c>
      <c r="AI1464" s="105">
        <f>IF($W$1335&gt;0,IPMT('Assumptions (Hydro)'!$V$6,Model!AI$1,'Assumptions (Hydro)'!$V$9,'Assumptions (Hydro)'!$V$4*Model!$W$1335*AVERAGE('Assumptions (Hydro)'!$S$2:$U$2)/10^9),0)</f>
        <v>0</v>
      </c>
      <c r="AJ1464" s="105">
        <f>IF($W$1335&gt;0,IPMT('Assumptions (Hydro)'!$V$6,Model!AJ$1,'Assumptions (Hydro)'!$V$9,'Assumptions (Hydro)'!$V$4*Model!$W$1335*AVERAGE('Assumptions (Hydro)'!$S$2:$U$2)/10^9),0)</f>
        <v>0</v>
      </c>
      <c r="AK1464" s="105">
        <f>IF($W$1335&gt;0,IPMT('Assumptions (Hydro)'!$V$6,Model!AK$1,'Assumptions (Hydro)'!$V$9,'Assumptions (Hydro)'!$V$4*Model!$W$1335*AVERAGE('Assumptions (Hydro)'!$S$2:$U$2)/10^9),0)</f>
        <v>0</v>
      </c>
      <c r="AL1464" s="105"/>
      <c r="AM1464" s="105"/>
      <c r="AN1464" s="105"/>
      <c r="AO1464" s="105"/>
      <c r="AP1464" s="105"/>
      <c r="AQ1464" s="105"/>
      <c r="AR1464" s="105"/>
      <c r="AS1464" s="105"/>
      <c r="AT1464" s="105"/>
      <c r="AU1464" s="105"/>
      <c r="AV1464" s="105"/>
      <c r="AW1464" s="105"/>
      <c r="AX1464" s="105"/>
      <c r="AY1464" s="105"/>
      <c r="AZ1464" s="105"/>
      <c r="BA1464" s="105"/>
    </row>
    <row r="1465" spans="1:55" ht="15.75" hidden="1" customHeight="1" outlineLevel="1">
      <c r="A1465" s="413"/>
      <c r="B1465" s="99"/>
      <c r="C1465" s="99"/>
      <c r="D1465" s="99"/>
      <c r="E1465" s="99"/>
      <c r="F1465" s="99"/>
      <c r="G1465" s="99"/>
      <c r="H1465" s="99"/>
      <c r="I1465" s="99"/>
      <c r="J1465" s="99"/>
      <c r="K1465" s="99"/>
      <c r="L1465" s="99"/>
      <c r="M1465" s="99"/>
      <c r="N1465" s="99"/>
      <c r="O1465" s="99"/>
      <c r="P1465" s="99"/>
      <c r="Q1465" s="99"/>
      <c r="R1465" s="99"/>
      <c r="S1465" s="99"/>
      <c r="T1465" s="99"/>
      <c r="U1465" s="99"/>
      <c r="V1465" s="99"/>
      <c r="W1465" s="105"/>
      <c r="X1465" s="105">
        <f>IF($X$1335&gt;0,IPMT('Assumptions (Hydro)'!$V$6,Model!W$1,'Assumptions (Hydro)'!$V$9,'Assumptions (Hydro)'!$V$4*Model!$X$1335*AVERAGE('Assumptions (Hydro)'!$T$2:$V$2)/10^9),0)</f>
        <v>-0.30983172352652816</v>
      </c>
      <c r="Y1465" s="105">
        <f>IF($X$1335&gt;0,IPMT('Assumptions (Hydro)'!$V$6,Model!X$1,'Assumptions (Hydro)'!$V$9,'Assumptions (Hydro)'!$V$4*Model!$X$1335*AVERAGE('Assumptions (Hydro)'!$T$2:$V$2)/10^9),0)</f>
        <v>-0.29520111806513061</v>
      </c>
      <c r="Z1465" s="105">
        <f>IF($X$1335&gt;0,IPMT('Assumptions (Hydro)'!$V$6,Model!Y$1,'Assumptions (Hydro)'!$V$9,'Assumptions (Hydro)'!$V$4*Model!$X$1335*AVERAGE('Assumptions (Hydro)'!$T$2:$V$2)/10^9),0)</f>
        <v>-0.27987555884431664</v>
      </c>
      <c r="AA1465" s="105">
        <f>IF($X$1335&gt;0,IPMT('Assumptions (Hydro)'!$V$6,Model!Z$1,'Assumptions (Hydro)'!$V$9,'Assumptions (Hydro)'!$V$4*Model!$X$1335*AVERAGE('Assumptions (Hydro)'!$T$2:$V$2)/10^9),0)</f>
        <v>-0.26382203556051409</v>
      </c>
      <c r="AB1465" s="105">
        <f>IF($X$1335&gt;0,IPMT('Assumptions (Hydro)'!$V$6,Model!AA$1,'Assumptions (Hydro)'!$V$9,'Assumptions (Hydro)'!$V$4*Model!$X$1335*AVERAGE('Assumptions (Hydro)'!$T$2:$V$2)/10^9),0)</f>
        <v>-0.2470059699207309</v>
      </c>
      <c r="AC1465" s="105">
        <f>IF($X$1335&gt;0,IPMT('Assumptions (Hydro)'!$V$6,Model!AB$1,'Assumptions (Hydro)'!$V$9,'Assumptions (Hydro)'!$V$4*Model!$X$1335*AVERAGE('Assumptions (Hydro)'!$T$2:$V$2)/10^9),0)</f>
        <v>-0.229391141163058</v>
      </c>
      <c r="AD1465" s="105">
        <f>IF($X$1335&gt;0,IPMT('Assumptions (Hydro)'!$V$6,Model!AC$1,'Assumptions (Hydro)'!$V$9,'Assumptions (Hydro)'!$V$4*Model!$X$1335*AVERAGE('Assumptions (Hydro)'!$T$2:$V$2)/10^9),0)</f>
        <v>-0.21093960803939565</v>
      </c>
      <c r="AE1465" s="105">
        <f>IF($X$1335&gt;0,IPMT('Assumptions (Hydro)'!$V$6,Model!AD$1,'Assumptions (Hydro)'!$V$9,'Assumptions (Hydro)'!$V$4*Model!$X$1335*AVERAGE('Assumptions (Hydro)'!$T$2:$V$2)/10^9),0)</f>
        <v>-0.19161162709235938</v>
      </c>
      <c r="AF1465" s="105">
        <f>IF($X$1335&gt;0,IPMT('Assumptions (Hydro)'!$V$6,Model!AE$1,'Assumptions (Hydro)'!$V$9,'Assumptions (Hydro)'!$V$4*Model!$X$1335*AVERAGE('Assumptions (Hydro)'!$T$2:$V$2)/10^9),0)</f>
        <v>-0.17136556705033887</v>
      </c>
      <c r="AG1465" s="105">
        <f>IF($X$1335&gt;0,IPMT('Assumptions (Hydro)'!$V$6,Model!AF$1,'Assumptions (Hydro)'!$V$9,'Assumptions (Hydro)'!$V$4*Model!$X$1335*AVERAGE('Assumptions (Hydro)'!$T$2:$V$2)/10^9),0)</f>
        <v>-0.15015781915632231</v>
      </c>
      <c r="AH1465" s="105">
        <f>IF($X$1335&gt;0,IPMT('Assumptions (Hydro)'!$V$6,Model!AG$1,'Assumptions (Hydro)'!$V$9,'Assumptions (Hydro)'!$V$4*Model!$X$1335*AVERAGE('Assumptions (Hydro)'!$T$2:$V$2)/10^9),0)</f>
        <v>-0.12794270323734003</v>
      </c>
      <c r="AI1465" s="105">
        <f>IF($X$1335&gt;0,IPMT('Assumptions (Hydro)'!$V$6,Model!AH$1,'Assumptions (Hydro)'!$V$9,'Assumptions (Hydro)'!$V$4*Model!$X$1335*AVERAGE('Assumptions (Hydro)'!$T$2:$V$2)/10^9),0)</f>
        <v>-0.1046723693122061</v>
      </c>
      <c r="AJ1465" s="105">
        <f>IF($X$1335&gt;0,IPMT('Assumptions (Hydro)'!$V$6,Model!AI$1,'Assumptions (Hydro)'!$V$9,'Assumptions (Hydro)'!$V$4*Model!$X$1335*AVERAGE('Assumptions (Hydro)'!$T$2:$V$2)/10^9),0)</f>
        <v>-8.0296694525628265E-2</v>
      </c>
      <c r="AK1465" s="105">
        <f>IF($X$1335&gt;0,IPMT('Assumptions (Hydro)'!$V$6,Model!AJ$1,'Assumptions (Hydro)'!$V$9,'Assumptions (Hydro)'!$V$4*Model!$X$1335*AVERAGE('Assumptions (Hydro)'!$T$2:$V$2)/10^9),0)</f>
        <v>-5.4763175186688003E-2</v>
      </c>
      <c r="AL1465" s="105">
        <f>IF($X$1335&gt;0,IPMT('Assumptions (Hydro)'!$V$6,Model!AK$1,'Assumptions (Hydro)'!$V$9,'Assumptions (Hydro)'!$V$4*Model!$X$1335*AVERAGE('Assumptions (Hydro)'!$T$2:$V$2)/10^9),0)</f>
        <v>-2.8016813679148073E-2</v>
      </c>
      <c r="AM1465" s="105"/>
      <c r="AN1465" s="105"/>
      <c r="AO1465" s="105"/>
      <c r="AP1465" s="105"/>
      <c r="AQ1465" s="105"/>
      <c r="AR1465" s="105"/>
      <c r="AS1465" s="105"/>
      <c r="AT1465" s="105"/>
      <c r="AU1465" s="105"/>
      <c r="AV1465" s="105"/>
      <c r="AW1465" s="105"/>
      <c r="AX1465" s="105"/>
      <c r="AY1465" s="105"/>
      <c r="AZ1465" s="105"/>
      <c r="BA1465" s="105"/>
    </row>
    <row r="1466" spans="1:55" ht="15.75" hidden="1" customHeight="1" outlineLevel="1">
      <c r="A1466" s="413"/>
      <c r="B1466" s="99"/>
      <c r="C1466" s="99"/>
      <c r="D1466" s="99"/>
      <c r="E1466" s="99"/>
      <c r="F1466" s="99"/>
      <c r="G1466" s="99"/>
      <c r="H1466" s="99"/>
      <c r="I1466" s="99"/>
      <c r="J1466" s="99"/>
      <c r="K1466" s="99"/>
      <c r="L1466" s="99"/>
      <c r="M1466" s="99"/>
      <c r="N1466" s="99"/>
      <c r="O1466" s="99"/>
      <c r="P1466" s="99"/>
      <c r="Q1466" s="99"/>
      <c r="R1466" s="99"/>
      <c r="S1466" s="99"/>
      <c r="T1466" s="99"/>
      <c r="U1466" s="99"/>
      <c r="V1466" s="99"/>
      <c r="W1466" s="105"/>
      <c r="X1466" s="105"/>
      <c r="Y1466" s="105">
        <f>IF($Y$1335&gt;0,IPMT('Assumptions (Hydro)'!$V$6,Model!W$1,'Assumptions (Hydro)'!$V$9,'Assumptions (Hydro)'!$V$4*Model!$Y$1335*AVERAGE('Assumptions (Hydro)'!$U$2:$W$2)/10^9),0)</f>
        <v>0</v>
      </c>
      <c r="Z1466" s="105">
        <f>IF($Y$1335&gt;0,IPMT('Assumptions (Hydro)'!$V$6,Model!X$1,'Assumptions (Hydro)'!$V$9,'Assumptions (Hydro)'!$V$4*Model!$Y$1335*AVERAGE('Assumptions (Hydro)'!$U$2:$W$2)/10^9),0)</f>
        <v>0</v>
      </c>
      <c r="AA1466" s="105">
        <f>IF($Y$1335&gt;0,IPMT('Assumptions (Hydro)'!$V$6,Model!Y$1,'Assumptions (Hydro)'!$V$9,'Assumptions (Hydro)'!$V$4*Model!$Y$1335*AVERAGE('Assumptions (Hydro)'!$U$2:$W$2)/10^9),0)</f>
        <v>0</v>
      </c>
      <c r="AB1466" s="105">
        <f>IF($Y$1335&gt;0,IPMT('Assumptions (Hydro)'!$V$6,Model!Z$1,'Assumptions (Hydro)'!$V$9,'Assumptions (Hydro)'!$V$4*Model!$Y$1335*AVERAGE('Assumptions (Hydro)'!$U$2:$W$2)/10^9),0)</f>
        <v>0</v>
      </c>
      <c r="AC1466" s="105">
        <f>IF($Y$1335&gt;0,IPMT('Assumptions (Hydro)'!$V$6,Model!AA$1,'Assumptions (Hydro)'!$V$9,'Assumptions (Hydro)'!$V$4*Model!$Y$1335*AVERAGE('Assumptions (Hydro)'!$U$2:$W$2)/10^9),0)</f>
        <v>0</v>
      </c>
      <c r="AD1466" s="105">
        <f>IF($Y$1335&gt;0,IPMT('Assumptions (Hydro)'!$V$6,Model!AB$1,'Assumptions (Hydro)'!$V$9,'Assumptions (Hydro)'!$V$4*Model!$Y$1335*AVERAGE('Assumptions (Hydro)'!$U$2:$W$2)/10^9),0)</f>
        <v>0</v>
      </c>
      <c r="AE1466" s="105">
        <f>IF($Y$1335&gt;0,IPMT('Assumptions (Hydro)'!$V$6,Model!AC$1,'Assumptions (Hydro)'!$V$9,'Assumptions (Hydro)'!$V$4*Model!$Y$1335*AVERAGE('Assumptions (Hydro)'!$U$2:$W$2)/10^9),0)</f>
        <v>0</v>
      </c>
      <c r="AF1466" s="105">
        <f>IF($Y$1335&gt;0,IPMT('Assumptions (Hydro)'!$V$6,Model!AD$1,'Assumptions (Hydro)'!$V$9,'Assumptions (Hydro)'!$V$4*Model!$Y$1335*AVERAGE('Assumptions (Hydro)'!$U$2:$W$2)/10^9),0)</f>
        <v>0</v>
      </c>
      <c r="AG1466" s="105">
        <f>IF($Y$1335&gt;0,IPMT('Assumptions (Hydro)'!$V$6,Model!AE$1,'Assumptions (Hydro)'!$V$9,'Assumptions (Hydro)'!$V$4*Model!$Y$1335*AVERAGE('Assumptions (Hydro)'!$U$2:$W$2)/10^9),0)</f>
        <v>0</v>
      </c>
      <c r="AH1466" s="105">
        <f>IF($Y$1335&gt;0,IPMT('Assumptions (Hydro)'!$V$6,Model!AF$1,'Assumptions (Hydro)'!$V$9,'Assumptions (Hydro)'!$V$4*Model!$Y$1335*AVERAGE('Assumptions (Hydro)'!$U$2:$W$2)/10^9),0)</f>
        <v>0</v>
      </c>
      <c r="AI1466" s="105">
        <f>IF($Y$1335&gt;0,IPMT('Assumptions (Hydro)'!$V$6,Model!AG$1,'Assumptions (Hydro)'!$V$9,'Assumptions (Hydro)'!$V$4*Model!$Y$1335*AVERAGE('Assumptions (Hydro)'!$U$2:$W$2)/10^9),0)</f>
        <v>0</v>
      </c>
      <c r="AJ1466" s="105">
        <f>IF($Y$1335&gt;0,IPMT('Assumptions (Hydro)'!$V$6,Model!AH$1,'Assumptions (Hydro)'!$V$9,'Assumptions (Hydro)'!$V$4*Model!$Y$1335*AVERAGE('Assumptions (Hydro)'!$U$2:$W$2)/10^9),0)</f>
        <v>0</v>
      </c>
      <c r="AK1466" s="105">
        <f>IF($Y$1335&gt;0,IPMT('Assumptions (Hydro)'!$V$6,Model!AI$1,'Assumptions (Hydro)'!$V$9,'Assumptions (Hydro)'!$V$4*Model!$Y$1335*AVERAGE('Assumptions (Hydro)'!$U$2:$W$2)/10^9),0)</f>
        <v>0</v>
      </c>
      <c r="AL1466" s="105">
        <f>IF($Y$1335&gt;0,IPMT('Assumptions (Hydro)'!$V$6,Model!AJ$1,'Assumptions (Hydro)'!$V$9,'Assumptions (Hydro)'!$V$4*Model!$Y$1335*AVERAGE('Assumptions (Hydro)'!$U$2:$W$2)/10^9),0)</f>
        <v>0</v>
      </c>
      <c r="AM1466" s="105">
        <f>IF($Y$1335&gt;0,IPMT('Assumptions (Hydro)'!$V$6,Model!AK$1,'Assumptions (Hydro)'!$V$9,'Assumptions (Hydro)'!$V$4*Model!$Y$1335*AVERAGE('Assumptions (Hydro)'!$U$2:$W$2)/10^9),0)</f>
        <v>0</v>
      </c>
      <c r="AN1466" s="105"/>
      <c r="AO1466" s="105"/>
      <c r="AP1466" s="105"/>
      <c r="AQ1466" s="105"/>
      <c r="AR1466" s="105"/>
      <c r="AS1466" s="105"/>
      <c r="AT1466" s="105"/>
      <c r="AU1466" s="105"/>
      <c r="AV1466" s="105"/>
      <c r="AW1466" s="105"/>
      <c r="AX1466" s="105"/>
      <c r="AY1466" s="105"/>
      <c r="AZ1466" s="105"/>
      <c r="BA1466" s="105"/>
    </row>
    <row r="1467" spans="1:55" ht="15.75" hidden="1" customHeight="1" outlineLevel="1">
      <c r="A1467" s="413"/>
      <c r="B1467" s="99"/>
      <c r="C1467" s="99"/>
      <c r="D1467" s="99"/>
      <c r="E1467" s="99"/>
      <c r="F1467" s="99"/>
      <c r="G1467" s="99"/>
      <c r="H1467" s="99"/>
      <c r="I1467" s="99"/>
      <c r="J1467" s="99"/>
      <c r="K1467" s="99"/>
      <c r="L1467" s="99"/>
      <c r="M1467" s="99"/>
      <c r="N1467" s="99"/>
      <c r="O1467" s="99"/>
      <c r="P1467" s="99"/>
      <c r="Q1467" s="99"/>
      <c r="R1467" s="99"/>
      <c r="S1467" s="99"/>
      <c r="T1467" s="99"/>
      <c r="U1467" s="99"/>
      <c r="V1467" s="99"/>
      <c r="W1467" s="105"/>
      <c r="X1467" s="105"/>
      <c r="Y1467" s="105"/>
      <c r="Z1467" s="105">
        <f>IF($Z$1335&gt;0,IPMT('Assumptions (Hydro)'!$V$6,Model!W$1,'Assumptions (Hydro)'!$V$9,'Assumptions (Hydro)'!$V$4*Model!$Z$1335*AVERAGE('Assumptions (Hydro)'!$V$2:$X$2)/10^9),0)</f>
        <v>0</v>
      </c>
      <c r="AA1467" s="105">
        <f>IF($Z$1335&gt;0,IPMT('Assumptions (Hydro)'!$V$6,Model!X$1,'Assumptions (Hydro)'!$V$9,'Assumptions (Hydro)'!$V$4*Model!$Z$1335*AVERAGE('Assumptions (Hydro)'!$V$2:$X$2)/10^9),0)</f>
        <v>0</v>
      </c>
      <c r="AB1467" s="105">
        <f>IF($Z$1335&gt;0,IPMT('Assumptions (Hydro)'!$V$6,Model!Y$1,'Assumptions (Hydro)'!$V$9,'Assumptions (Hydro)'!$V$4*Model!$Z$1335*AVERAGE('Assumptions (Hydro)'!$V$2:$X$2)/10^9),0)</f>
        <v>0</v>
      </c>
      <c r="AC1467" s="105">
        <f>IF($Z$1335&gt;0,IPMT('Assumptions (Hydro)'!$V$6,Model!Z$1,'Assumptions (Hydro)'!$V$9,'Assumptions (Hydro)'!$V$4*Model!$Z$1335*AVERAGE('Assumptions (Hydro)'!$V$2:$X$2)/10^9),0)</f>
        <v>0</v>
      </c>
      <c r="AD1467" s="105">
        <f>IF($Z$1335&gt;0,IPMT('Assumptions (Hydro)'!$V$6,Model!AA$1,'Assumptions (Hydro)'!$V$9,'Assumptions (Hydro)'!$V$4*Model!$Z$1335*AVERAGE('Assumptions (Hydro)'!$V$2:$X$2)/10^9),0)</f>
        <v>0</v>
      </c>
      <c r="AE1467" s="105">
        <f>IF($Z$1335&gt;0,IPMT('Assumptions (Hydro)'!$V$6,Model!AB$1,'Assumptions (Hydro)'!$V$9,'Assumptions (Hydro)'!$V$4*Model!$Z$1335*AVERAGE('Assumptions (Hydro)'!$V$2:$X$2)/10^9),0)</f>
        <v>0</v>
      </c>
      <c r="AF1467" s="105">
        <f>IF($Z$1335&gt;0,IPMT('Assumptions (Hydro)'!$V$6,Model!AC$1,'Assumptions (Hydro)'!$V$9,'Assumptions (Hydro)'!$V$4*Model!$Z$1335*AVERAGE('Assumptions (Hydro)'!$V$2:$X$2)/10^9),0)</f>
        <v>0</v>
      </c>
      <c r="AG1467" s="105">
        <f>IF($Z$1335&gt;0,IPMT('Assumptions (Hydro)'!$V$6,Model!AD$1,'Assumptions (Hydro)'!$V$9,'Assumptions (Hydro)'!$V$4*Model!$Z$1335*AVERAGE('Assumptions (Hydro)'!$V$2:$X$2)/10^9),0)</f>
        <v>0</v>
      </c>
      <c r="AH1467" s="105">
        <f>IF($Z$1335&gt;0,IPMT('Assumptions (Hydro)'!$V$6,Model!AE$1,'Assumptions (Hydro)'!$V$9,'Assumptions (Hydro)'!$V$4*Model!$Z$1335*AVERAGE('Assumptions (Hydro)'!$V$2:$X$2)/10^9),0)</f>
        <v>0</v>
      </c>
      <c r="AI1467" s="105">
        <f>IF($Z$1335&gt;0,IPMT('Assumptions (Hydro)'!$V$6,Model!AF$1,'Assumptions (Hydro)'!$V$9,'Assumptions (Hydro)'!$V$4*Model!$Z$1335*AVERAGE('Assumptions (Hydro)'!$V$2:$X$2)/10^9),0)</f>
        <v>0</v>
      </c>
      <c r="AJ1467" s="105">
        <f>IF($Z$1335&gt;0,IPMT('Assumptions (Hydro)'!$V$6,Model!AG$1,'Assumptions (Hydro)'!$V$9,'Assumptions (Hydro)'!$V$4*Model!$Z$1335*AVERAGE('Assumptions (Hydro)'!$V$2:$X$2)/10^9),0)</f>
        <v>0</v>
      </c>
      <c r="AK1467" s="105">
        <f>IF($Z$1335&gt;0,IPMT('Assumptions (Hydro)'!$V$6,Model!AH$1,'Assumptions (Hydro)'!$V$9,'Assumptions (Hydro)'!$V$4*Model!$Z$1335*AVERAGE('Assumptions (Hydro)'!$V$2:$X$2)/10^9),0)</f>
        <v>0</v>
      </c>
      <c r="AL1467" s="105">
        <f>IF($Z$1335&gt;0,IPMT('Assumptions (Hydro)'!$V$6,Model!AI$1,'Assumptions (Hydro)'!$V$9,'Assumptions (Hydro)'!$V$4*Model!$Z$1335*AVERAGE('Assumptions (Hydro)'!$V$2:$X$2)/10^9),0)</f>
        <v>0</v>
      </c>
      <c r="AM1467" s="105">
        <f>IF($Z$1335&gt;0,IPMT('Assumptions (Hydro)'!$V$6,Model!AJ$1,'Assumptions (Hydro)'!$V$9,'Assumptions (Hydro)'!$V$4*Model!$Z$1335*AVERAGE('Assumptions (Hydro)'!$V$2:$X$2)/10^9),0)</f>
        <v>0</v>
      </c>
      <c r="AN1467" s="105">
        <f>IF($Z$1335&gt;0,IPMT('Assumptions (Hydro)'!$V$6,Model!AK$1,'Assumptions (Hydro)'!$V$9,'Assumptions (Hydro)'!$V$4*Model!$Z$1335*AVERAGE('Assumptions (Hydro)'!$V$2:$X$2)/10^9),0)</f>
        <v>0</v>
      </c>
      <c r="AO1467" s="105"/>
      <c r="AP1467" s="105"/>
      <c r="AQ1467" s="105"/>
      <c r="AR1467" s="105"/>
      <c r="AS1467" s="105"/>
      <c r="AT1467" s="105"/>
      <c r="AU1467" s="105"/>
      <c r="AV1467" s="105"/>
      <c r="AW1467" s="105"/>
      <c r="AX1467" s="105"/>
      <c r="AY1467" s="105"/>
      <c r="AZ1467" s="105"/>
      <c r="BA1467" s="105"/>
    </row>
    <row r="1468" spans="1:55" ht="15.75" hidden="1" customHeight="1" outlineLevel="1">
      <c r="A1468" s="413"/>
      <c r="B1468" s="99"/>
      <c r="C1468" s="99"/>
      <c r="D1468" s="99"/>
      <c r="E1468" s="99"/>
      <c r="F1468" s="99"/>
      <c r="G1468" s="99"/>
      <c r="H1468" s="99"/>
      <c r="I1468" s="99"/>
      <c r="J1468" s="99"/>
      <c r="K1468" s="99"/>
      <c r="L1468" s="99"/>
      <c r="M1468" s="99"/>
      <c r="N1468" s="99"/>
      <c r="O1468" s="99"/>
      <c r="P1468" s="99"/>
      <c r="Q1468" s="99"/>
      <c r="R1468" s="99"/>
      <c r="S1468" s="99"/>
      <c r="T1468" s="99"/>
      <c r="U1468" s="99"/>
      <c r="V1468" s="99"/>
      <c r="W1468" s="105"/>
      <c r="X1468" s="105"/>
      <c r="Y1468" s="105"/>
      <c r="Z1468" s="105"/>
      <c r="AA1468" s="105">
        <f>IF($AA$1335&gt;0,IPMT('Assumptions (Hydro)'!$V$6,Model!W$1,'Assumptions (Hydro)'!$V$9,'Assumptions (Hydro)'!$V$4*Model!$AA$1335*AVERAGE('Assumptions (Hydro)'!$W$2:$Y$2)/10^9),0)</f>
        <v>0</v>
      </c>
      <c r="AB1468" s="105">
        <f>IF($AA$1335&gt;0,IPMT('Assumptions (Hydro)'!$V$6,Model!X$1,'Assumptions (Hydro)'!$V$9,'Assumptions (Hydro)'!$V$4*Model!$AA$1335*AVERAGE('Assumptions (Hydro)'!$W$2:$Y$2)/10^9),0)</f>
        <v>0</v>
      </c>
      <c r="AC1468" s="105">
        <f>IF($AA$1335&gt;0,IPMT('Assumptions (Hydro)'!$V$6,Model!Y$1,'Assumptions (Hydro)'!$V$9,'Assumptions (Hydro)'!$V$4*Model!$AA$1335*AVERAGE('Assumptions (Hydro)'!$W$2:$Y$2)/10^9),0)</f>
        <v>0</v>
      </c>
      <c r="AD1468" s="105">
        <f>IF($AA$1335&gt;0,IPMT('Assumptions (Hydro)'!$V$6,Model!Z$1,'Assumptions (Hydro)'!$V$9,'Assumptions (Hydro)'!$V$4*Model!$AA$1335*AVERAGE('Assumptions (Hydro)'!$W$2:$Y$2)/10^9),0)</f>
        <v>0</v>
      </c>
      <c r="AE1468" s="105">
        <f>IF($AA$1335&gt;0,IPMT('Assumptions (Hydro)'!$V$6,Model!AA$1,'Assumptions (Hydro)'!$V$9,'Assumptions (Hydro)'!$V$4*Model!$AA$1335*AVERAGE('Assumptions (Hydro)'!$W$2:$Y$2)/10^9),0)</f>
        <v>0</v>
      </c>
      <c r="AF1468" s="105">
        <f>IF($AA$1335&gt;0,IPMT('Assumptions (Hydro)'!$V$6,Model!AB$1,'Assumptions (Hydro)'!$V$9,'Assumptions (Hydro)'!$V$4*Model!$AA$1335*AVERAGE('Assumptions (Hydro)'!$W$2:$Y$2)/10^9),0)</f>
        <v>0</v>
      </c>
      <c r="AG1468" s="105">
        <f>IF($AA$1335&gt;0,IPMT('Assumptions (Hydro)'!$V$6,Model!AC$1,'Assumptions (Hydro)'!$V$9,'Assumptions (Hydro)'!$V$4*Model!$AA$1335*AVERAGE('Assumptions (Hydro)'!$W$2:$Y$2)/10^9),0)</f>
        <v>0</v>
      </c>
      <c r="AH1468" s="105">
        <f>IF($AA$1335&gt;0,IPMT('Assumptions (Hydro)'!$V$6,Model!AD$1,'Assumptions (Hydro)'!$V$9,'Assumptions (Hydro)'!$V$4*Model!$AA$1335*AVERAGE('Assumptions (Hydro)'!$W$2:$Y$2)/10^9),0)</f>
        <v>0</v>
      </c>
      <c r="AI1468" s="105">
        <f>IF($AA$1335&gt;0,IPMT('Assumptions (Hydro)'!$V$6,Model!AE$1,'Assumptions (Hydro)'!$V$9,'Assumptions (Hydro)'!$V$4*Model!$AA$1335*AVERAGE('Assumptions (Hydro)'!$W$2:$Y$2)/10^9),0)</f>
        <v>0</v>
      </c>
      <c r="AJ1468" s="105">
        <f>IF($AA$1335&gt;0,IPMT('Assumptions (Hydro)'!$V$6,Model!AF$1,'Assumptions (Hydro)'!$V$9,'Assumptions (Hydro)'!$V$4*Model!$AA$1335*AVERAGE('Assumptions (Hydro)'!$W$2:$Y$2)/10^9),0)</f>
        <v>0</v>
      </c>
      <c r="AK1468" s="105">
        <f>IF($AA$1335&gt;0,IPMT('Assumptions (Hydro)'!$V$6,Model!AG$1,'Assumptions (Hydro)'!$V$9,'Assumptions (Hydro)'!$V$4*Model!$AA$1335*AVERAGE('Assumptions (Hydro)'!$W$2:$Y$2)/10^9),0)</f>
        <v>0</v>
      </c>
      <c r="AL1468" s="105">
        <f>IF($AA$1335&gt;0,IPMT('Assumptions (Hydro)'!$V$6,Model!AH$1,'Assumptions (Hydro)'!$V$9,'Assumptions (Hydro)'!$V$4*Model!$AA$1335*AVERAGE('Assumptions (Hydro)'!$W$2:$Y$2)/10^9),0)</f>
        <v>0</v>
      </c>
      <c r="AM1468" s="105">
        <f>IF($AA$1335&gt;0,IPMT('Assumptions (Hydro)'!$V$6,Model!AI$1,'Assumptions (Hydro)'!$V$9,'Assumptions (Hydro)'!$V$4*Model!$AA$1335*AVERAGE('Assumptions (Hydro)'!$W$2:$Y$2)/10^9),0)</f>
        <v>0</v>
      </c>
      <c r="AN1468" s="105">
        <f>IF($AA$1335&gt;0,IPMT('Assumptions (Hydro)'!$V$6,Model!AJ$1,'Assumptions (Hydro)'!$V$9,'Assumptions (Hydro)'!$V$4*Model!$AA$1335*AVERAGE('Assumptions (Hydro)'!$W$2:$Y$2)/10^9),0)</f>
        <v>0</v>
      </c>
      <c r="AO1468" s="105">
        <f>IF($AA$1335&gt;0,IPMT('Assumptions (Hydro)'!$V$6,Model!AK$1,'Assumptions (Hydro)'!$V$9,'Assumptions (Hydro)'!$V$4*Model!$AA$1335*AVERAGE('Assumptions (Hydro)'!$W$2:$Y$2)/10^9),0)</f>
        <v>0</v>
      </c>
      <c r="AP1468" s="105"/>
      <c r="AQ1468" s="105"/>
      <c r="AR1468" s="105"/>
      <c r="AS1468" s="105"/>
      <c r="AT1468" s="105"/>
      <c r="AU1468" s="105"/>
      <c r="AV1468" s="105"/>
      <c r="AW1468" s="105"/>
      <c r="AX1468" s="105"/>
      <c r="AY1468" s="105"/>
      <c r="AZ1468" s="105"/>
      <c r="BA1468" s="105"/>
    </row>
    <row r="1469" spans="1:55" ht="15.75" hidden="1" customHeight="1" outlineLevel="1">
      <c r="A1469" s="413"/>
      <c r="B1469" s="99"/>
      <c r="C1469" s="99"/>
      <c r="D1469" s="99"/>
      <c r="E1469" s="99"/>
      <c r="F1469" s="99"/>
      <c r="G1469" s="99"/>
      <c r="H1469" s="99"/>
      <c r="I1469" s="99"/>
      <c r="J1469" s="99"/>
      <c r="K1469" s="99"/>
      <c r="L1469" s="99"/>
      <c r="M1469" s="99"/>
      <c r="N1469" s="99"/>
      <c r="O1469" s="99"/>
      <c r="P1469" s="99"/>
      <c r="Q1469" s="99"/>
      <c r="R1469" s="99"/>
      <c r="S1469" s="99"/>
      <c r="T1469" s="99"/>
      <c r="U1469" s="99"/>
      <c r="V1469" s="99"/>
      <c r="W1469" s="105"/>
      <c r="X1469" s="105"/>
      <c r="Y1469" s="105"/>
      <c r="Z1469" s="105"/>
      <c r="AA1469" s="105"/>
      <c r="AB1469" s="105">
        <f>IF($AB$1335&gt;0,IPMT('Assumptions (Hydro)'!$V$6,Model!W$1,'Assumptions (Hydro)'!$V$9,'Assumptions (Hydro)'!$V$4*Model!$AB$1335*AVERAGE('Assumptions (Hydro)'!$X$2:$Z$2)/10^9),0)</f>
        <v>0</v>
      </c>
      <c r="AC1469" s="105">
        <f>IF($AB$1335&gt;0,IPMT('Assumptions (Hydro)'!$V$6,Model!X$1,'Assumptions (Hydro)'!$V$9,'Assumptions (Hydro)'!$V$4*Model!$AB$1335*AVERAGE('Assumptions (Hydro)'!$X$2:$Z$2)/10^9),0)</f>
        <v>0</v>
      </c>
      <c r="AD1469" s="105">
        <f>IF($AB$1335&gt;0,IPMT('Assumptions (Hydro)'!$V$6,Model!Y$1,'Assumptions (Hydro)'!$V$9,'Assumptions (Hydro)'!$V$4*Model!$AB$1335*AVERAGE('Assumptions (Hydro)'!$X$2:$Z$2)/10^9),0)</f>
        <v>0</v>
      </c>
      <c r="AE1469" s="105">
        <f>IF($AB$1335&gt;0,IPMT('Assumptions (Hydro)'!$V$6,Model!Z$1,'Assumptions (Hydro)'!$V$9,'Assumptions (Hydro)'!$V$4*Model!$AB$1335*AVERAGE('Assumptions (Hydro)'!$X$2:$Z$2)/10^9),0)</f>
        <v>0</v>
      </c>
      <c r="AF1469" s="105">
        <f>IF($AB$1335&gt;0,IPMT('Assumptions (Hydro)'!$V$6,Model!AA$1,'Assumptions (Hydro)'!$V$9,'Assumptions (Hydro)'!$V$4*Model!$AB$1335*AVERAGE('Assumptions (Hydro)'!$X$2:$Z$2)/10^9),0)</f>
        <v>0</v>
      </c>
      <c r="AG1469" s="105">
        <f>IF($AB$1335&gt;0,IPMT('Assumptions (Hydro)'!$V$6,Model!AB$1,'Assumptions (Hydro)'!$V$9,'Assumptions (Hydro)'!$V$4*Model!$AB$1335*AVERAGE('Assumptions (Hydro)'!$X$2:$Z$2)/10^9),0)</f>
        <v>0</v>
      </c>
      <c r="AH1469" s="105">
        <f>IF($AB$1335&gt;0,IPMT('Assumptions (Hydro)'!$V$6,Model!AC$1,'Assumptions (Hydro)'!$V$9,'Assumptions (Hydro)'!$V$4*Model!$AB$1335*AVERAGE('Assumptions (Hydro)'!$X$2:$Z$2)/10^9),0)</f>
        <v>0</v>
      </c>
      <c r="AI1469" s="105">
        <f>IF($AB$1335&gt;0,IPMT('Assumptions (Hydro)'!$V$6,Model!AD$1,'Assumptions (Hydro)'!$V$9,'Assumptions (Hydro)'!$V$4*Model!$AB$1335*AVERAGE('Assumptions (Hydro)'!$X$2:$Z$2)/10^9),0)</f>
        <v>0</v>
      </c>
      <c r="AJ1469" s="105">
        <f>IF($AB$1335&gt;0,IPMT('Assumptions (Hydro)'!$V$6,Model!AE$1,'Assumptions (Hydro)'!$V$9,'Assumptions (Hydro)'!$V$4*Model!$AB$1335*AVERAGE('Assumptions (Hydro)'!$X$2:$Z$2)/10^9),0)</f>
        <v>0</v>
      </c>
      <c r="AK1469" s="105">
        <f>IF($AB$1335&gt;0,IPMT('Assumptions (Hydro)'!$V$6,Model!AF$1,'Assumptions (Hydro)'!$V$9,'Assumptions (Hydro)'!$V$4*Model!$AB$1335*AVERAGE('Assumptions (Hydro)'!$X$2:$Z$2)/10^9),0)</f>
        <v>0</v>
      </c>
      <c r="AL1469" s="105">
        <f>IF($AB$1335&gt;0,IPMT('Assumptions (Hydro)'!$V$6,Model!AG$1,'Assumptions (Hydro)'!$V$9,'Assumptions (Hydro)'!$V$4*Model!$AB$1335*AVERAGE('Assumptions (Hydro)'!$X$2:$Z$2)/10^9),0)</f>
        <v>0</v>
      </c>
      <c r="AM1469" s="105">
        <f>IF($AB$1335&gt;0,IPMT('Assumptions (Hydro)'!$V$6,Model!AH$1,'Assumptions (Hydro)'!$V$9,'Assumptions (Hydro)'!$V$4*Model!$AB$1335*AVERAGE('Assumptions (Hydro)'!$X$2:$Z$2)/10^9),0)</f>
        <v>0</v>
      </c>
      <c r="AN1469" s="105">
        <f>IF($AB$1335&gt;0,IPMT('Assumptions (Hydro)'!$V$6,Model!AI$1,'Assumptions (Hydro)'!$V$9,'Assumptions (Hydro)'!$V$4*Model!$AB$1335*AVERAGE('Assumptions (Hydro)'!$X$2:$Z$2)/10^9),0)</f>
        <v>0</v>
      </c>
      <c r="AO1469" s="105">
        <f>IF($AB$1335&gt;0,IPMT('Assumptions (Hydro)'!$V$6,Model!AJ$1,'Assumptions (Hydro)'!$V$9,'Assumptions (Hydro)'!$V$4*Model!$AB$1335*AVERAGE('Assumptions (Hydro)'!$X$2:$Z$2)/10^9),0)</f>
        <v>0</v>
      </c>
      <c r="AP1469" s="105">
        <f>IF($AB$1335&gt;0,IPMT('Assumptions (Hydro)'!$V$6,Model!AK$1,'Assumptions (Hydro)'!$V$9,'Assumptions (Hydro)'!$V$4*Model!$AB$1335*AVERAGE('Assumptions (Hydro)'!$X$2:$Z$2)/10^9),0)</f>
        <v>0</v>
      </c>
      <c r="AQ1469" s="105"/>
      <c r="AR1469" s="105"/>
      <c r="AS1469" s="105"/>
      <c r="AT1469" s="105"/>
      <c r="AU1469" s="105"/>
      <c r="AV1469" s="105"/>
      <c r="AW1469" s="105"/>
      <c r="AX1469" s="105"/>
      <c r="AY1469" s="105"/>
      <c r="AZ1469" s="105"/>
      <c r="BA1469" s="105"/>
    </row>
    <row r="1470" spans="1:55" ht="15.75" hidden="1" customHeight="1" outlineLevel="1">
      <c r="A1470" s="413"/>
      <c r="B1470" s="99"/>
      <c r="C1470" s="99"/>
      <c r="D1470" s="99"/>
      <c r="E1470" s="99"/>
      <c r="F1470" s="99"/>
      <c r="G1470" s="99"/>
      <c r="H1470" s="99"/>
      <c r="I1470" s="99"/>
      <c r="J1470" s="99"/>
      <c r="K1470" s="99"/>
      <c r="L1470" s="99"/>
      <c r="M1470" s="99"/>
      <c r="N1470" s="99"/>
      <c r="O1470" s="99"/>
      <c r="P1470" s="99"/>
      <c r="Q1470" s="99"/>
      <c r="R1470" s="99"/>
      <c r="S1470" s="99"/>
      <c r="T1470" s="99"/>
      <c r="U1470" s="99"/>
      <c r="V1470" s="99"/>
      <c r="W1470" s="105"/>
      <c r="X1470" s="105"/>
      <c r="Y1470" s="105"/>
      <c r="Z1470" s="105"/>
      <c r="AA1470" s="105"/>
      <c r="AB1470" s="105"/>
      <c r="AC1470" s="105">
        <f>IF($AC$1335&gt;0,IPMT('Assumptions (Hydro)'!$V$6,Model!W$1,'Assumptions (Hydro)'!$V$9,'Assumptions (Hydro)'!$V$4*Model!$AC$1335*AVERAGE('Assumptions (Hydro)'!$Y$2:$AA$2)/10^9),0)</f>
        <v>0</v>
      </c>
      <c r="AD1470" s="105">
        <f>IF($AC$1335&gt;0,IPMT('Assumptions (Hydro)'!$V$6,Model!X$1,'Assumptions (Hydro)'!$V$9,'Assumptions (Hydro)'!$V$4*Model!$AC$1335*AVERAGE('Assumptions (Hydro)'!$Y$2:$AA$2)/10^9),0)</f>
        <v>0</v>
      </c>
      <c r="AE1470" s="105">
        <f>IF($AC$1335&gt;0,IPMT('Assumptions (Hydro)'!$V$6,Model!Y$1,'Assumptions (Hydro)'!$V$9,'Assumptions (Hydro)'!$V$4*Model!$AC$1335*AVERAGE('Assumptions (Hydro)'!$Y$2:$AA$2)/10^9),0)</f>
        <v>0</v>
      </c>
      <c r="AF1470" s="105">
        <f>IF($AC$1335&gt;0,IPMT('Assumptions (Hydro)'!$V$6,Model!Z$1,'Assumptions (Hydro)'!$V$9,'Assumptions (Hydro)'!$V$4*Model!$AC$1335*AVERAGE('Assumptions (Hydro)'!$Y$2:$AA$2)/10^9),0)</f>
        <v>0</v>
      </c>
      <c r="AG1470" s="105">
        <f>IF($AC$1335&gt;0,IPMT('Assumptions (Hydro)'!$V$6,Model!AA$1,'Assumptions (Hydro)'!$V$9,'Assumptions (Hydro)'!$V$4*Model!$AC$1335*AVERAGE('Assumptions (Hydro)'!$Y$2:$AA$2)/10^9),0)</f>
        <v>0</v>
      </c>
      <c r="AH1470" s="105">
        <f>IF($AC$1335&gt;0,IPMT('Assumptions (Hydro)'!$V$6,Model!AB$1,'Assumptions (Hydro)'!$V$9,'Assumptions (Hydro)'!$V$4*Model!$AC$1335*AVERAGE('Assumptions (Hydro)'!$Y$2:$AA$2)/10^9),0)</f>
        <v>0</v>
      </c>
      <c r="AI1470" s="105">
        <f>IF($AC$1335&gt;0,IPMT('Assumptions (Hydro)'!$V$6,Model!AC$1,'Assumptions (Hydro)'!$V$9,'Assumptions (Hydro)'!$V$4*Model!$AC$1335*AVERAGE('Assumptions (Hydro)'!$Y$2:$AA$2)/10^9),0)</f>
        <v>0</v>
      </c>
      <c r="AJ1470" s="105">
        <f>IF($AC$1335&gt;0,IPMT('Assumptions (Hydro)'!$V$6,Model!AD$1,'Assumptions (Hydro)'!$V$9,'Assumptions (Hydro)'!$V$4*Model!$AC$1335*AVERAGE('Assumptions (Hydro)'!$Y$2:$AA$2)/10^9),0)</f>
        <v>0</v>
      </c>
      <c r="AK1470" s="105">
        <f>IF($AC$1335&gt;0,IPMT('Assumptions (Hydro)'!$V$6,Model!AE$1,'Assumptions (Hydro)'!$V$9,'Assumptions (Hydro)'!$V$4*Model!$AC$1335*AVERAGE('Assumptions (Hydro)'!$Y$2:$AA$2)/10^9),0)</f>
        <v>0</v>
      </c>
      <c r="AL1470" s="105">
        <f>IF($AC$1335&gt;0,IPMT('Assumptions (Hydro)'!$V$6,Model!AF$1,'Assumptions (Hydro)'!$V$9,'Assumptions (Hydro)'!$V$4*Model!$AC$1335*AVERAGE('Assumptions (Hydro)'!$Y$2:$AA$2)/10^9),0)</f>
        <v>0</v>
      </c>
      <c r="AM1470" s="105">
        <f>IF($AC$1335&gt;0,IPMT('Assumptions (Hydro)'!$V$6,Model!AG$1,'Assumptions (Hydro)'!$V$9,'Assumptions (Hydro)'!$V$4*Model!$AC$1335*AVERAGE('Assumptions (Hydro)'!$Y$2:$AA$2)/10^9),0)</f>
        <v>0</v>
      </c>
      <c r="AN1470" s="105">
        <f>IF($AC$1335&gt;0,IPMT('Assumptions (Hydro)'!$V$6,Model!AH$1,'Assumptions (Hydro)'!$V$9,'Assumptions (Hydro)'!$V$4*Model!$AC$1335*AVERAGE('Assumptions (Hydro)'!$Y$2:$AA$2)/10^9),0)</f>
        <v>0</v>
      </c>
      <c r="AO1470" s="105">
        <f>IF($AC$1335&gt;0,IPMT('Assumptions (Hydro)'!$V$6,Model!AI$1,'Assumptions (Hydro)'!$V$9,'Assumptions (Hydro)'!$V$4*Model!$AC$1335*AVERAGE('Assumptions (Hydro)'!$Y$2:$AA$2)/10^9),0)</f>
        <v>0</v>
      </c>
      <c r="AP1470" s="105">
        <f>IF($AC$1335&gt;0,IPMT('Assumptions (Hydro)'!$V$6,Model!AJ$1,'Assumptions (Hydro)'!$V$9,'Assumptions (Hydro)'!$V$4*Model!$AC$1335*AVERAGE('Assumptions (Hydro)'!$Y$2:$AA$2)/10^9),0)</f>
        <v>0</v>
      </c>
      <c r="AQ1470" s="105">
        <f>IF($AC$1335&gt;0,IPMT('Assumptions (Hydro)'!$V$6,Model!AK$1,'Assumptions (Hydro)'!$V$9,'Assumptions (Hydro)'!$V$4*Model!$AC$1335*AVERAGE('Assumptions (Hydro)'!$Y$2:$AA$2)/10^9),0)</f>
        <v>0</v>
      </c>
      <c r="AR1470" s="105"/>
      <c r="AS1470" s="105"/>
      <c r="AT1470" s="105"/>
      <c r="AU1470" s="105"/>
      <c r="AV1470" s="105"/>
      <c r="AW1470" s="105"/>
      <c r="AX1470" s="105"/>
      <c r="AY1470" s="105"/>
      <c r="AZ1470" s="105"/>
      <c r="BA1470" s="105"/>
    </row>
    <row r="1471" spans="1:55" ht="15.75" hidden="1" customHeight="1" outlineLevel="1">
      <c r="A1471" s="413"/>
      <c r="B1471" s="99"/>
      <c r="C1471" s="99"/>
      <c r="D1471" s="99"/>
      <c r="E1471" s="99"/>
      <c r="F1471" s="99"/>
      <c r="G1471" s="99"/>
      <c r="H1471" s="99"/>
      <c r="I1471" s="99"/>
      <c r="J1471" s="99"/>
      <c r="K1471" s="99"/>
      <c r="L1471" s="99"/>
      <c r="M1471" s="99"/>
      <c r="N1471" s="99"/>
      <c r="O1471" s="99"/>
      <c r="P1471" s="99"/>
      <c r="Q1471" s="99"/>
      <c r="R1471" s="99"/>
      <c r="S1471" s="99"/>
      <c r="T1471" s="99"/>
      <c r="U1471" s="99"/>
      <c r="V1471" s="99"/>
      <c r="W1471" s="105"/>
      <c r="X1471" s="105"/>
      <c r="Y1471" s="105"/>
      <c r="Z1471" s="105"/>
      <c r="AA1471" s="105"/>
      <c r="AB1471" s="105"/>
      <c r="AC1471" s="105"/>
      <c r="AD1471" s="105">
        <f>IF($AD$1335&gt;0,IPMT('Assumptions (Hydro)'!$V$6,Model!W$1,'Assumptions (Hydro)'!$V$9,'Assumptions (Hydro)'!$V$4*Model!$AD$1335*AVERAGE('Assumptions (Hydro)'!$Z$2:$AB$2)/10^9),0)</f>
        <v>0</v>
      </c>
      <c r="AE1471" s="105">
        <f>IF($AD$1335&gt;0,IPMT('Assumptions (Hydro)'!$V$6,Model!X$1,'Assumptions (Hydro)'!$V$9,'Assumptions (Hydro)'!$V$4*Model!$AD$1335*AVERAGE('Assumptions (Hydro)'!$Z$2:$AB$2)/10^9),0)</f>
        <v>0</v>
      </c>
      <c r="AF1471" s="105">
        <f>IF($AD$1335&gt;0,IPMT('Assumptions (Hydro)'!$V$6,Model!Y$1,'Assumptions (Hydro)'!$V$9,'Assumptions (Hydro)'!$V$4*Model!$AD$1335*AVERAGE('Assumptions (Hydro)'!$Z$2:$AB$2)/10^9),0)</f>
        <v>0</v>
      </c>
      <c r="AG1471" s="105">
        <f>IF($AD$1335&gt;0,IPMT('Assumptions (Hydro)'!$V$6,Model!Z$1,'Assumptions (Hydro)'!$V$9,'Assumptions (Hydro)'!$V$4*Model!$AD$1335*AVERAGE('Assumptions (Hydro)'!$Z$2:$AB$2)/10^9),0)</f>
        <v>0</v>
      </c>
      <c r="AH1471" s="105">
        <f>IF($AD$1335&gt;0,IPMT('Assumptions (Hydro)'!$V$6,Model!AA$1,'Assumptions (Hydro)'!$V$9,'Assumptions (Hydro)'!$V$4*Model!$AD$1335*AVERAGE('Assumptions (Hydro)'!$Z$2:$AB$2)/10^9),0)</f>
        <v>0</v>
      </c>
      <c r="AI1471" s="105">
        <f>IF($AD$1335&gt;0,IPMT('Assumptions (Hydro)'!$V$6,Model!AB$1,'Assumptions (Hydro)'!$V$9,'Assumptions (Hydro)'!$V$4*Model!$AD$1335*AVERAGE('Assumptions (Hydro)'!$Z$2:$AB$2)/10^9),0)</f>
        <v>0</v>
      </c>
      <c r="AJ1471" s="105">
        <f>IF($AD$1335&gt;0,IPMT('Assumptions (Hydro)'!$V$6,Model!AC$1,'Assumptions (Hydro)'!$V$9,'Assumptions (Hydro)'!$V$4*Model!$AD$1335*AVERAGE('Assumptions (Hydro)'!$Z$2:$AB$2)/10^9),0)</f>
        <v>0</v>
      </c>
      <c r="AK1471" s="105">
        <f>IF($AD$1335&gt;0,IPMT('Assumptions (Hydro)'!$V$6,Model!AD$1,'Assumptions (Hydro)'!$V$9,'Assumptions (Hydro)'!$V$4*Model!$AD$1335*AVERAGE('Assumptions (Hydro)'!$Z$2:$AB$2)/10^9),0)</f>
        <v>0</v>
      </c>
      <c r="AL1471" s="105">
        <f>IF($AD$1335&gt;0,IPMT('Assumptions (Hydro)'!$V$6,Model!AE$1,'Assumptions (Hydro)'!$V$9,'Assumptions (Hydro)'!$V$4*Model!$AD$1335*AVERAGE('Assumptions (Hydro)'!$Z$2:$AB$2)/10^9),0)</f>
        <v>0</v>
      </c>
      <c r="AM1471" s="105">
        <f>IF($AD$1335&gt;0,IPMT('Assumptions (Hydro)'!$V$6,Model!AF$1,'Assumptions (Hydro)'!$V$9,'Assumptions (Hydro)'!$V$4*Model!$AD$1335*AVERAGE('Assumptions (Hydro)'!$Z$2:$AB$2)/10^9),0)</f>
        <v>0</v>
      </c>
      <c r="AN1471" s="105">
        <f>IF($AD$1335&gt;0,IPMT('Assumptions (Hydro)'!$V$6,Model!AG$1,'Assumptions (Hydro)'!$V$9,'Assumptions (Hydro)'!$V$4*Model!$AD$1335*AVERAGE('Assumptions (Hydro)'!$Z$2:$AB$2)/10^9),0)</f>
        <v>0</v>
      </c>
      <c r="AO1471" s="105">
        <f>IF($AD$1335&gt;0,IPMT('Assumptions (Hydro)'!$V$6,Model!AH$1,'Assumptions (Hydro)'!$V$9,'Assumptions (Hydro)'!$V$4*Model!$AD$1335*AVERAGE('Assumptions (Hydro)'!$Z$2:$AB$2)/10^9),0)</f>
        <v>0</v>
      </c>
      <c r="AP1471" s="105">
        <f>IF($AD$1335&gt;0,IPMT('Assumptions (Hydro)'!$V$6,Model!AI$1,'Assumptions (Hydro)'!$V$9,'Assumptions (Hydro)'!$V$4*Model!$AD$1335*AVERAGE('Assumptions (Hydro)'!$Z$2:$AB$2)/10^9),0)</f>
        <v>0</v>
      </c>
      <c r="AQ1471" s="105">
        <f>IF($AD$1335&gt;0,IPMT('Assumptions (Hydro)'!$V$6,Model!AJ$1,'Assumptions (Hydro)'!$V$9,'Assumptions (Hydro)'!$V$4*Model!$AD$1335*AVERAGE('Assumptions (Hydro)'!$Z$2:$AB$2)/10^9),0)</f>
        <v>0</v>
      </c>
      <c r="AR1471" s="105">
        <f>IF($AD$1335&gt;0,IPMT('Assumptions (Hydro)'!$V$6,Model!AK$1,'Assumptions (Hydro)'!$V$9,'Assumptions (Hydro)'!$V$4*Model!$AD$1335*AVERAGE('Assumptions (Hydro)'!$Z$2:$AB$2)/10^9),0)</f>
        <v>0</v>
      </c>
      <c r="AS1471" s="105"/>
      <c r="AT1471" s="105"/>
      <c r="AU1471" s="105"/>
      <c r="AV1471" s="105"/>
      <c r="AW1471" s="105"/>
      <c r="AX1471" s="105"/>
      <c r="AY1471" s="105"/>
      <c r="AZ1471" s="105"/>
      <c r="BA1471" s="105"/>
      <c r="BB1471" s="105"/>
    </row>
    <row r="1472" spans="1:55" ht="15.75" hidden="1" customHeight="1" outlineLevel="1">
      <c r="A1472" s="413"/>
      <c r="B1472" s="99"/>
      <c r="C1472" s="99"/>
      <c r="D1472" s="99"/>
      <c r="E1472" s="99"/>
      <c r="F1472" s="99"/>
      <c r="G1472" s="99"/>
      <c r="H1472" s="99"/>
      <c r="I1472" s="99"/>
      <c r="J1472" s="99"/>
      <c r="K1472" s="99"/>
      <c r="L1472" s="99"/>
      <c r="M1472" s="99"/>
      <c r="N1472" s="99"/>
      <c r="O1472" s="99"/>
      <c r="P1472" s="99"/>
      <c r="Q1472" s="99"/>
      <c r="R1472" s="99"/>
      <c r="S1472" s="99"/>
      <c r="T1472" s="99"/>
      <c r="U1472" s="99"/>
      <c r="V1472" s="99"/>
      <c r="W1472" s="105"/>
      <c r="X1472" s="105"/>
      <c r="Y1472" s="105"/>
      <c r="Z1472" s="105"/>
      <c r="AA1472" s="105"/>
      <c r="AB1472" s="105"/>
      <c r="AC1472" s="105"/>
      <c r="AD1472" s="105"/>
      <c r="AE1472" s="105">
        <f>IF($AE$1335&gt;0,IPMT('Assumptions (Hydro)'!$V$6,Model!W$1,'Assumptions (Hydro)'!$V$9,'Assumptions (Hydro)'!$V$4*Model!$AE$1335*AVERAGE('Assumptions (Hydro)'!$AA$2:$AC$2)/10^9),0)</f>
        <v>0</v>
      </c>
      <c r="AF1472" s="105">
        <f>IF($AE$1335&gt;0,IPMT('Assumptions (Hydro)'!$V$6,Model!X$1,'Assumptions (Hydro)'!$V$9,'Assumptions (Hydro)'!$V$4*Model!$AE$1335*AVERAGE('Assumptions (Hydro)'!$AA$2:$AC$2)/10^9),0)</f>
        <v>0</v>
      </c>
      <c r="AG1472" s="105">
        <f>IF($AE$1335&gt;0,IPMT('Assumptions (Hydro)'!$V$6,Model!Y$1,'Assumptions (Hydro)'!$V$9,'Assumptions (Hydro)'!$V$4*Model!$AE$1335*AVERAGE('Assumptions (Hydro)'!$AA$2:$AC$2)/10^9),0)</f>
        <v>0</v>
      </c>
      <c r="AH1472" s="105">
        <f>IF($AE$1335&gt;0,IPMT('Assumptions (Hydro)'!$V$6,Model!Z$1,'Assumptions (Hydro)'!$V$9,'Assumptions (Hydro)'!$V$4*Model!$AE$1335*AVERAGE('Assumptions (Hydro)'!$AA$2:$AC$2)/10^9),0)</f>
        <v>0</v>
      </c>
      <c r="AI1472" s="105">
        <f>IF($AE$1335&gt;0,IPMT('Assumptions (Hydro)'!$V$6,Model!AA$1,'Assumptions (Hydro)'!$V$9,'Assumptions (Hydro)'!$V$4*Model!$AE$1335*AVERAGE('Assumptions (Hydro)'!$AA$2:$AC$2)/10^9),0)</f>
        <v>0</v>
      </c>
      <c r="AJ1472" s="105">
        <f>IF($AE$1335&gt;0,IPMT('Assumptions (Hydro)'!$V$6,Model!AB$1,'Assumptions (Hydro)'!$V$9,'Assumptions (Hydro)'!$V$4*Model!$AE$1335*AVERAGE('Assumptions (Hydro)'!$AA$2:$AC$2)/10^9),0)</f>
        <v>0</v>
      </c>
      <c r="AK1472" s="105">
        <f>IF($AE$1335&gt;0,IPMT('Assumptions (Hydro)'!$V$6,Model!AC$1,'Assumptions (Hydro)'!$V$9,'Assumptions (Hydro)'!$V$4*Model!$AE$1335*AVERAGE('Assumptions (Hydro)'!$AA$2:$AC$2)/10^9),0)</f>
        <v>0</v>
      </c>
      <c r="AL1472" s="105">
        <f>IF($AE$1335&gt;0,IPMT('Assumptions (Hydro)'!$V$6,Model!AD$1,'Assumptions (Hydro)'!$V$9,'Assumptions (Hydro)'!$V$4*Model!$AE$1335*AVERAGE('Assumptions (Hydro)'!$AA$2:$AC$2)/10^9),0)</f>
        <v>0</v>
      </c>
      <c r="AM1472" s="105">
        <f>IF($AE$1335&gt;0,IPMT('Assumptions (Hydro)'!$V$6,Model!AE$1,'Assumptions (Hydro)'!$V$9,'Assumptions (Hydro)'!$V$4*Model!$AE$1335*AVERAGE('Assumptions (Hydro)'!$AA$2:$AC$2)/10^9),0)</f>
        <v>0</v>
      </c>
      <c r="AN1472" s="105">
        <f>IF($AE$1335&gt;0,IPMT('Assumptions (Hydro)'!$V$6,Model!AF$1,'Assumptions (Hydro)'!$V$9,'Assumptions (Hydro)'!$V$4*Model!$AE$1335*AVERAGE('Assumptions (Hydro)'!$AA$2:$AC$2)/10^9),0)</f>
        <v>0</v>
      </c>
      <c r="AO1472" s="105">
        <f>IF($AE$1335&gt;0,IPMT('Assumptions (Hydro)'!$V$6,Model!AG$1,'Assumptions (Hydro)'!$V$9,'Assumptions (Hydro)'!$V$4*Model!$AE$1335*AVERAGE('Assumptions (Hydro)'!$AA$2:$AC$2)/10^9),0)</f>
        <v>0</v>
      </c>
      <c r="AP1472" s="105">
        <f>IF($AE$1335&gt;0,IPMT('Assumptions (Hydro)'!$V$6,Model!AH$1,'Assumptions (Hydro)'!$V$9,'Assumptions (Hydro)'!$V$4*Model!$AE$1335*AVERAGE('Assumptions (Hydro)'!$AA$2:$AC$2)/10^9),0)</f>
        <v>0</v>
      </c>
      <c r="AQ1472" s="105">
        <f>IF($AE$1335&gt;0,IPMT('Assumptions (Hydro)'!$V$6,Model!AI$1,'Assumptions (Hydro)'!$V$9,'Assumptions (Hydro)'!$V$4*Model!$AE$1335*AVERAGE('Assumptions (Hydro)'!$AA$2:$AC$2)/10^9),0)</f>
        <v>0</v>
      </c>
      <c r="AR1472" s="105">
        <f>IF($AE$1335&gt;0,IPMT('Assumptions (Hydro)'!$V$6,Model!AJ$1,'Assumptions (Hydro)'!$V$9,'Assumptions (Hydro)'!$V$4*Model!$AE$1335*AVERAGE('Assumptions (Hydro)'!$AA$2:$AC$2)/10^9),0)</f>
        <v>0</v>
      </c>
      <c r="AS1472" s="105">
        <f>IF($AE$1335&gt;0,IPMT('Assumptions (Hydro)'!$V$6,Model!AK$1,'Assumptions (Hydro)'!$V$9,'Assumptions (Hydro)'!$V$4*Model!$AE$1335*AVERAGE('Assumptions (Hydro)'!$AA$2:$AC$2)/10^9),0)</f>
        <v>0</v>
      </c>
      <c r="AT1472" s="105"/>
      <c r="AU1472" s="105"/>
      <c r="AV1472" s="105"/>
      <c r="AW1472" s="105"/>
      <c r="AX1472" s="105"/>
      <c r="AY1472" s="105"/>
      <c r="AZ1472" s="105"/>
      <c r="BA1472" s="105"/>
      <c r="BB1472" s="105"/>
      <c r="BC1472" s="105"/>
    </row>
    <row r="1473" spans="1:71" ht="15.75" hidden="1" customHeight="1" outlineLevel="1">
      <c r="A1473" s="413"/>
      <c r="B1473" s="99"/>
      <c r="C1473" s="99"/>
      <c r="D1473" s="99"/>
      <c r="E1473" s="99"/>
      <c r="F1473" s="99"/>
      <c r="G1473" s="99"/>
      <c r="H1473" s="99"/>
      <c r="I1473" s="99"/>
      <c r="J1473" s="99"/>
      <c r="K1473" s="99"/>
      <c r="L1473" s="99"/>
      <c r="M1473" s="99"/>
      <c r="N1473" s="99"/>
      <c r="O1473" s="99"/>
      <c r="P1473" s="99"/>
      <c r="Q1473" s="99"/>
      <c r="R1473" s="99"/>
      <c r="S1473" s="99"/>
      <c r="T1473" s="99"/>
      <c r="U1473" s="99"/>
      <c r="V1473" s="99"/>
      <c r="W1473" s="105"/>
      <c r="X1473" s="105"/>
      <c r="Y1473" s="105"/>
      <c r="Z1473" s="105"/>
      <c r="AA1473" s="105"/>
      <c r="AB1473" s="105"/>
      <c r="AC1473" s="105"/>
      <c r="AD1473" s="105"/>
      <c r="AE1473" s="105"/>
      <c r="AF1473" s="105">
        <f>IF($AF$1335&gt;0,IPMT('Assumptions (Hydro)'!$V$6,Model!W$1,'Assumptions (Hydro)'!$V$9,'Assumptions (Hydro)'!$V$4*Model!$AF$1335*AVERAGE('Assumptions (Hydro)'!$AB$2:$AD$2)/10^9),0)</f>
        <v>0</v>
      </c>
      <c r="AG1473" s="105">
        <f>IF($AF$1335&gt;0,IPMT('Assumptions (Hydro)'!$V$6,Model!X$1,'Assumptions (Hydro)'!$V$9,'Assumptions (Hydro)'!$V$4*Model!$AF$1335*AVERAGE('Assumptions (Hydro)'!$AB$2:$AD$2)/10^9),0)</f>
        <v>0</v>
      </c>
      <c r="AH1473" s="105">
        <f>IF($AF$1335&gt;0,IPMT('Assumptions (Hydro)'!$V$6,Model!Y$1,'Assumptions (Hydro)'!$V$9,'Assumptions (Hydro)'!$V$4*Model!$AF$1335*AVERAGE('Assumptions (Hydro)'!$AB$2:$AD$2)/10^9),0)</f>
        <v>0</v>
      </c>
      <c r="AI1473" s="105">
        <f>IF($AF$1335&gt;0,IPMT('Assumptions (Hydro)'!$V$6,Model!Z$1,'Assumptions (Hydro)'!$V$9,'Assumptions (Hydro)'!$V$4*Model!$AF$1335*AVERAGE('Assumptions (Hydro)'!$AB$2:$AD$2)/10^9),0)</f>
        <v>0</v>
      </c>
      <c r="AJ1473" s="105">
        <f>IF($AF$1335&gt;0,IPMT('Assumptions (Hydro)'!$V$6,Model!AA$1,'Assumptions (Hydro)'!$V$9,'Assumptions (Hydro)'!$V$4*Model!$AF$1335*AVERAGE('Assumptions (Hydro)'!$AB$2:$AD$2)/10^9),0)</f>
        <v>0</v>
      </c>
      <c r="AK1473" s="105">
        <f>IF($AF$1335&gt;0,IPMT('Assumptions (Hydro)'!$V$6,Model!AB$1,'Assumptions (Hydro)'!$V$9,'Assumptions (Hydro)'!$V$4*Model!$AF$1335*AVERAGE('Assumptions (Hydro)'!$AB$2:$AD$2)/10^9),0)</f>
        <v>0</v>
      </c>
      <c r="AL1473" s="105">
        <f>IF($AF$1335&gt;0,IPMT('Assumptions (Hydro)'!$V$6,Model!AC$1,'Assumptions (Hydro)'!$V$9,'Assumptions (Hydro)'!$V$4*Model!$AF$1335*AVERAGE('Assumptions (Hydro)'!$AB$2:$AD$2)/10^9),0)</f>
        <v>0</v>
      </c>
      <c r="AM1473" s="105">
        <f>IF($AF$1335&gt;0,IPMT('Assumptions (Hydro)'!$V$6,Model!AD$1,'Assumptions (Hydro)'!$V$9,'Assumptions (Hydro)'!$V$4*Model!$AF$1335*AVERAGE('Assumptions (Hydro)'!$AB$2:$AD$2)/10^9),0)</f>
        <v>0</v>
      </c>
      <c r="AN1473" s="105">
        <f>IF($AF$1335&gt;0,IPMT('Assumptions (Hydro)'!$V$6,Model!AE$1,'Assumptions (Hydro)'!$V$9,'Assumptions (Hydro)'!$V$4*Model!$AF$1335*AVERAGE('Assumptions (Hydro)'!$AB$2:$AD$2)/10^9),0)</f>
        <v>0</v>
      </c>
      <c r="AO1473" s="105">
        <f>IF($AF$1335&gt;0,IPMT('Assumptions (Hydro)'!$V$6,Model!AF$1,'Assumptions (Hydro)'!$V$9,'Assumptions (Hydro)'!$V$4*Model!$AF$1335*AVERAGE('Assumptions (Hydro)'!$AB$2:$AD$2)/10^9),0)</f>
        <v>0</v>
      </c>
      <c r="AP1473" s="105">
        <f>IF($AF$1335&gt;0,IPMT('Assumptions (Hydro)'!$V$6,Model!AG$1,'Assumptions (Hydro)'!$V$9,'Assumptions (Hydro)'!$V$4*Model!$AF$1335*AVERAGE('Assumptions (Hydro)'!$AB$2:$AD$2)/10^9),0)</f>
        <v>0</v>
      </c>
      <c r="AQ1473" s="105">
        <f>IF($AF$1335&gt;0,IPMT('Assumptions (Hydro)'!$V$6,Model!AH$1,'Assumptions (Hydro)'!$V$9,'Assumptions (Hydro)'!$V$4*Model!$AF$1335*AVERAGE('Assumptions (Hydro)'!$AB$2:$AD$2)/10^9),0)</f>
        <v>0</v>
      </c>
      <c r="AR1473" s="105">
        <f>IF($AF$1335&gt;0,IPMT('Assumptions (Hydro)'!$V$6,Model!AI$1,'Assumptions (Hydro)'!$V$9,'Assumptions (Hydro)'!$V$4*Model!$AF$1335*AVERAGE('Assumptions (Hydro)'!$AB$2:$AD$2)/10^9),0)</f>
        <v>0</v>
      </c>
      <c r="AS1473" s="105">
        <f>IF($AF$1335&gt;0,IPMT('Assumptions (Hydro)'!$V$6,Model!AJ$1,'Assumptions (Hydro)'!$V$9,'Assumptions (Hydro)'!$V$4*Model!$AF$1335*AVERAGE('Assumptions (Hydro)'!$AB$2:$AD$2)/10^9),0)</f>
        <v>0</v>
      </c>
      <c r="AT1473" s="105">
        <f>IF($AF$1335&gt;0,IPMT('Assumptions (Hydro)'!$V$6,Model!AK$1,'Assumptions (Hydro)'!$V$9,'Assumptions (Hydro)'!$V$4*Model!$AF$1335*AVERAGE('Assumptions (Hydro)'!$AB$2:$AD$2)/10^9),0)</f>
        <v>0</v>
      </c>
      <c r="AU1473" s="105"/>
      <c r="AV1473" s="105"/>
      <c r="AW1473" s="105"/>
      <c r="AX1473" s="105"/>
      <c r="AY1473" s="105"/>
      <c r="AZ1473" s="105"/>
      <c r="BA1473" s="105"/>
      <c r="BB1473" s="105"/>
      <c r="BC1473" s="105"/>
      <c r="BD1473" s="105"/>
    </row>
    <row r="1474" spans="1:71" ht="15.75" hidden="1" customHeight="1" outlineLevel="1">
      <c r="A1474" s="413"/>
      <c r="B1474" s="99"/>
      <c r="C1474" s="99"/>
      <c r="D1474" s="99"/>
      <c r="E1474" s="99"/>
      <c r="F1474" s="99"/>
      <c r="G1474" s="99"/>
      <c r="H1474" s="99"/>
      <c r="I1474" s="99"/>
      <c r="J1474" s="99"/>
      <c r="K1474" s="99"/>
      <c r="L1474" s="99"/>
      <c r="M1474" s="99"/>
      <c r="N1474" s="99"/>
      <c r="O1474" s="99"/>
      <c r="P1474" s="99"/>
      <c r="Q1474" s="99"/>
      <c r="R1474" s="99"/>
      <c r="S1474" s="99"/>
      <c r="T1474" s="99"/>
      <c r="U1474" s="99"/>
      <c r="V1474" s="99"/>
      <c r="W1474" s="105"/>
      <c r="X1474" s="105"/>
      <c r="Y1474" s="105"/>
      <c r="Z1474" s="105"/>
      <c r="AA1474" s="105"/>
      <c r="AB1474" s="105"/>
      <c r="AC1474" s="105"/>
      <c r="AD1474" s="105"/>
      <c r="AE1474" s="105"/>
      <c r="AF1474" s="105"/>
      <c r="AG1474" s="105">
        <f>IF($AG$1335&gt;0,IPMT('Assumptions (Hydro)'!$V$6,Model!W$1,'Assumptions (Hydro)'!$V$9,'Assumptions (Hydro)'!$V$4*Model!$AG$1335*AVERAGE('Assumptions (Hydro)'!$AC$2:$AE$2)/10^9),0)</f>
        <v>0</v>
      </c>
      <c r="AH1474" s="105">
        <f>IF($AG$1335&gt;0,IPMT('Assumptions (Hydro)'!$V$6,Model!X$1,'Assumptions (Hydro)'!$V$9,'Assumptions (Hydro)'!$V$4*Model!$AG$1335*AVERAGE('Assumptions (Hydro)'!$AC$2:$AE$2)/10^9),0)</f>
        <v>0</v>
      </c>
      <c r="AI1474" s="105">
        <f>IF($AG$1335&gt;0,IPMT('Assumptions (Hydro)'!$V$6,Model!Y$1,'Assumptions (Hydro)'!$V$9,'Assumptions (Hydro)'!$V$4*Model!$AG$1335*AVERAGE('Assumptions (Hydro)'!$AC$2:$AE$2)/10^9),0)</f>
        <v>0</v>
      </c>
      <c r="AJ1474" s="105">
        <f>IF($AG$1335&gt;0,IPMT('Assumptions (Hydro)'!$V$6,Model!Z$1,'Assumptions (Hydro)'!$V$9,'Assumptions (Hydro)'!$V$4*Model!$AG$1335*AVERAGE('Assumptions (Hydro)'!$AC$2:$AE$2)/10^9),0)</f>
        <v>0</v>
      </c>
      <c r="AK1474" s="105">
        <f>IF($AG$1335&gt;0,IPMT('Assumptions (Hydro)'!$V$6,Model!AA$1,'Assumptions (Hydro)'!$V$9,'Assumptions (Hydro)'!$V$4*Model!$AG$1335*AVERAGE('Assumptions (Hydro)'!$AC$2:$AE$2)/10^9),0)</f>
        <v>0</v>
      </c>
      <c r="AL1474" s="105">
        <f>IF($AG$1335&gt;0,IPMT('Assumptions (Hydro)'!$V$6,Model!AB$1,'Assumptions (Hydro)'!$V$9,'Assumptions (Hydro)'!$V$4*Model!$AG$1335*AVERAGE('Assumptions (Hydro)'!$AC$2:$AE$2)/10^9),0)</f>
        <v>0</v>
      </c>
      <c r="AM1474" s="105">
        <f>IF($AG$1335&gt;0,IPMT('Assumptions (Hydro)'!$V$6,Model!AC$1,'Assumptions (Hydro)'!$V$9,'Assumptions (Hydro)'!$V$4*Model!$AG$1335*AVERAGE('Assumptions (Hydro)'!$AC$2:$AE$2)/10^9),0)</f>
        <v>0</v>
      </c>
      <c r="AN1474" s="105">
        <f>IF($AG$1335&gt;0,IPMT('Assumptions (Hydro)'!$V$6,Model!AD$1,'Assumptions (Hydro)'!$V$9,'Assumptions (Hydro)'!$V$4*Model!$AG$1335*AVERAGE('Assumptions (Hydro)'!$AC$2:$AE$2)/10^9),0)</f>
        <v>0</v>
      </c>
      <c r="AO1474" s="105">
        <f>IF($AG$1335&gt;0,IPMT('Assumptions (Hydro)'!$V$6,Model!AE$1,'Assumptions (Hydro)'!$V$9,'Assumptions (Hydro)'!$V$4*Model!$AG$1335*AVERAGE('Assumptions (Hydro)'!$AC$2:$AE$2)/10^9),0)</f>
        <v>0</v>
      </c>
      <c r="AP1474" s="105">
        <f>IF($AG$1335&gt;0,IPMT('Assumptions (Hydro)'!$V$6,Model!AF$1,'Assumptions (Hydro)'!$V$9,'Assumptions (Hydro)'!$V$4*Model!$AG$1335*AVERAGE('Assumptions (Hydro)'!$AC$2:$AE$2)/10^9),0)</f>
        <v>0</v>
      </c>
      <c r="AQ1474" s="105">
        <f>IF($AG$1335&gt;0,IPMT('Assumptions (Hydro)'!$V$6,Model!AG$1,'Assumptions (Hydro)'!$V$9,'Assumptions (Hydro)'!$V$4*Model!$AG$1335*AVERAGE('Assumptions (Hydro)'!$AC$2:$AE$2)/10^9),0)</f>
        <v>0</v>
      </c>
      <c r="AR1474" s="105">
        <f>IF($AG$1335&gt;0,IPMT('Assumptions (Hydro)'!$V$6,Model!AH$1,'Assumptions (Hydro)'!$V$9,'Assumptions (Hydro)'!$V$4*Model!$AG$1335*AVERAGE('Assumptions (Hydro)'!$AC$2:$AE$2)/10^9),0)</f>
        <v>0</v>
      </c>
      <c r="AS1474" s="105">
        <f>IF($AG$1335&gt;0,IPMT('Assumptions (Hydro)'!$V$6,Model!AI$1,'Assumptions (Hydro)'!$V$9,'Assumptions (Hydro)'!$V$4*Model!$AG$1335*AVERAGE('Assumptions (Hydro)'!$AC$2:$AE$2)/10^9),0)</f>
        <v>0</v>
      </c>
      <c r="AT1474" s="105">
        <f>IF($AG$1335&gt;0,IPMT('Assumptions (Hydro)'!$V$6,Model!AJ$1,'Assumptions (Hydro)'!$V$9,'Assumptions (Hydro)'!$V$4*Model!$AG$1335*AVERAGE('Assumptions (Hydro)'!$AC$2:$AE$2)/10^9),0)</f>
        <v>0</v>
      </c>
      <c r="AU1474" s="105">
        <f>IF($AG$1335&gt;0,IPMT('Assumptions (Hydro)'!$V$6,Model!AK$1,'Assumptions (Hydro)'!$V$9,'Assumptions (Hydro)'!$V$4*Model!$AG$1335*AVERAGE('Assumptions (Hydro)'!$AC$2:$AE$2)/10^9),0)</f>
        <v>0</v>
      </c>
      <c r="AV1474" s="105"/>
      <c r="AW1474" s="105"/>
      <c r="AX1474" s="105"/>
      <c r="AY1474" s="105"/>
      <c r="AZ1474" s="105"/>
      <c r="BA1474" s="105"/>
      <c r="BB1474" s="105"/>
      <c r="BC1474" s="105"/>
      <c r="BD1474" s="105"/>
      <c r="BE1474" s="105"/>
    </row>
    <row r="1475" spans="1:71" ht="15.75" hidden="1" customHeight="1" outlineLevel="1">
      <c r="A1475" s="413"/>
      <c r="B1475" s="99"/>
      <c r="C1475" s="99"/>
      <c r="D1475" s="99"/>
      <c r="E1475" s="99"/>
      <c r="F1475" s="99"/>
      <c r="G1475" s="99"/>
      <c r="H1475" s="99"/>
      <c r="I1475" s="99"/>
      <c r="J1475" s="99"/>
      <c r="K1475" s="99"/>
      <c r="L1475" s="99"/>
      <c r="M1475" s="99"/>
      <c r="N1475" s="99"/>
      <c r="O1475" s="99"/>
      <c r="P1475" s="99"/>
      <c r="Q1475" s="99"/>
      <c r="R1475" s="99"/>
      <c r="S1475" s="99"/>
      <c r="T1475" s="99"/>
      <c r="U1475" s="99"/>
      <c r="V1475" s="99"/>
      <c r="W1475" s="105"/>
      <c r="X1475" s="105"/>
      <c r="Y1475" s="105"/>
      <c r="Z1475" s="105"/>
      <c r="AA1475" s="105"/>
      <c r="AB1475" s="105"/>
      <c r="AC1475" s="105"/>
      <c r="AD1475" s="105"/>
      <c r="AE1475" s="105"/>
      <c r="AF1475" s="105"/>
      <c r="AG1475" s="105"/>
      <c r="AH1475" s="105">
        <f>IF($AH$1335&gt;0,IPMT('Assumptions (Hydro)'!$V$6,Model!W$1,'Assumptions (Hydro)'!$V$9,'Assumptions (Hydro)'!$V$4*Model!$AH$1335*AVERAGE('Assumptions (Hydro)'!$AD$2:$AF$2)/10^9),0)</f>
        <v>0</v>
      </c>
      <c r="AI1475" s="105">
        <f>IF($AH$1335&gt;0,IPMT('Assumptions (Hydro)'!$V$6,Model!X$1,'Assumptions (Hydro)'!$V$9,'Assumptions (Hydro)'!$V$4*Model!$AH$1335*AVERAGE('Assumptions (Hydro)'!$AD$2:$AF$2)/10^9),0)</f>
        <v>0</v>
      </c>
      <c r="AJ1475" s="105">
        <f>IF($AH$1335&gt;0,IPMT('Assumptions (Hydro)'!$V$6,Model!Y$1,'Assumptions (Hydro)'!$V$9,'Assumptions (Hydro)'!$V$4*Model!$AH$1335*AVERAGE('Assumptions (Hydro)'!$AD$2:$AF$2)/10^9),0)</f>
        <v>0</v>
      </c>
      <c r="AK1475" s="105">
        <f>IF($AH$1335&gt;0,IPMT('Assumptions (Hydro)'!$V$6,Model!Z$1,'Assumptions (Hydro)'!$V$9,'Assumptions (Hydro)'!$V$4*Model!$AH$1335*AVERAGE('Assumptions (Hydro)'!$AD$2:$AF$2)/10^9),0)</f>
        <v>0</v>
      </c>
      <c r="AL1475" s="105">
        <f>IF($AH$1335&gt;0,IPMT('Assumptions (Hydro)'!$V$6,Model!AA$1,'Assumptions (Hydro)'!$V$9,'Assumptions (Hydro)'!$V$4*Model!$AH$1335*AVERAGE('Assumptions (Hydro)'!$AD$2:$AF$2)/10^9),0)</f>
        <v>0</v>
      </c>
      <c r="AM1475" s="105">
        <f>IF($AH$1335&gt;0,IPMT('Assumptions (Hydro)'!$V$6,Model!AB$1,'Assumptions (Hydro)'!$V$9,'Assumptions (Hydro)'!$V$4*Model!$AH$1335*AVERAGE('Assumptions (Hydro)'!$AD$2:$AF$2)/10^9),0)</f>
        <v>0</v>
      </c>
      <c r="AN1475" s="105">
        <f>IF($AH$1335&gt;0,IPMT('Assumptions (Hydro)'!$V$6,Model!AC$1,'Assumptions (Hydro)'!$V$9,'Assumptions (Hydro)'!$V$4*Model!$AH$1335*AVERAGE('Assumptions (Hydro)'!$AD$2:$AF$2)/10^9),0)</f>
        <v>0</v>
      </c>
      <c r="AO1475" s="105">
        <f>IF($AH$1335&gt;0,IPMT('Assumptions (Hydro)'!$V$6,Model!AD$1,'Assumptions (Hydro)'!$V$9,'Assumptions (Hydro)'!$V$4*Model!$AH$1335*AVERAGE('Assumptions (Hydro)'!$AD$2:$AF$2)/10^9),0)</f>
        <v>0</v>
      </c>
      <c r="AP1475" s="105">
        <f>IF($AH$1335&gt;0,IPMT('Assumptions (Hydro)'!$V$6,Model!AE$1,'Assumptions (Hydro)'!$V$9,'Assumptions (Hydro)'!$V$4*Model!$AH$1335*AVERAGE('Assumptions (Hydro)'!$AD$2:$AF$2)/10^9),0)</f>
        <v>0</v>
      </c>
      <c r="AQ1475" s="105">
        <f>IF($AH$1335&gt;0,IPMT('Assumptions (Hydro)'!$V$6,Model!AF$1,'Assumptions (Hydro)'!$V$9,'Assumptions (Hydro)'!$V$4*Model!$AH$1335*AVERAGE('Assumptions (Hydro)'!$AD$2:$AF$2)/10^9),0)</f>
        <v>0</v>
      </c>
      <c r="AR1475" s="105">
        <f>IF($AH$1335&gt;0,IPMT('Assumptions (Hydro)'!$V$6,Model!AG$1,'Assumptions (Hydro)'!$V$9,'Assumptions (Hydro)'!$V$4*Model!$AH$1335*AVERAGE('Assumptions (Hydro)'!$AD$2:$AF$2)/10^9),0)</f>
        <v>0</v>
      </c>
      <c r="AS1475" s="105">
        <f>IF($AH$1335&gt;0,IPMT('Assumptions (Hydro)'!$V$6,Model!AH$1,'Assumptions (Hydro)'!$V$9,'Assumptions (Hydro)'!$V$4*Model!$AH$1335*AVERAGE('Assumptions (Hydro)'!$AD$2:$AF$2)/10^9),0)</f>
        <v>0</v>
      </c>
      <c r="AT1475" s="105">
        <f>IF($AH$1335&gt;0,IPMT('Assumptions (Hydro)'!$V$6,Model!AI$1,'Assumptions (Hydro)'!$V$9,'Assumptions (Hydro)'!$V$4*Model!$AH$1335*AVERAGE('Assumptions (Hydro)'!$AD$2:$AF$2)/10^9),0)</f>
        <v>0</v>
      </c>
      <c r="AU1475" s="105">
        <f>IF($AH$1335&gt;0,IPMT('Assumptions (Hydro)'!$V$6,Model!AJ$1,'Assumptions (Hydro)'!$V$9,'Assumptions (Hydro)'!$V$4*Model!$AH$1335*AVERAGE('Assumptions (Hydro)'!$AD$2:$AF$2)/10^9),0)</f>
        <v>0</v>
      </c>
      <c r="AV1475" s="105">
        <f>IF($AH$1335&gt;0,IPMT('Assumptions (Hydro)'!$V$6,Model!AK$1,'Assumptions (Hydro)'!$V$9,'Assumptions (Hydro)'!$V$4*Model!$AH$1335*AVERAGE('Assumptions (Hydro)'!$AD$2:$AF$2)/10^9),0)</f>
        <v>0</v>
      </c>
      <c r="AW1475" s="105"/>
      <c r="AX1475" s="105"/>
      <c r="AY1475" s="105"/>
      <c r="AZ1475" s="105"/>
      <c r="BA1475" s="105"/>
      <c r="BB1475" s="105"/>
      <c r="BC1475" s="105"/>
      <c r="BD1475" s="105"/>
      <c r="BE1475" s="105"/>
      <c r="BF1475" s="105"/>
    </row>
    <row r="1476" spans="1:71" ht="15.75" hidden="1" customHeight="1" outlineLevel="1">
      <c r="A1476" s="413"/>
      <c r="B1476" s="99"/>
      <c r="C1476" s="99"/>
      <c r="D1476" s="99"/>
      <c r="E1476" s="99"/>
      <c r="F1476" s="99"/>
      <c r="G1476" s="99"/>
      <c r="H1476" s="99"/>
      <c r="I1476" s="99"/>
      <c r="J1476" s="99"/>
      <c r="K1476" s="99"/>
      <c r="L1476" s="99"/>
      <c r="M1476" s="99"/>
      <c r="N1476" s="99"/>
      <c r="O1476" s="99"/>
      <c r="P1476" s="99"/>
      <c r="Q1476" s="99"/>
      <c r="R1476" s="99"/>
      <c r="S1476" s="99"/>
      <c r="T1476" s="99"/>
      <c r="U1476" s="99"/>
      <c r="V1476" s="99"/>
      <c r="W1476" s="105"/>
      <c r="X1476" s="105"/>
      <c r="Y1476" s="105"/>
      <c r="Z1476" s="105"/>
      <c r="AA1476" s="105"/>
      <c r="AB1476" s="105"/>
      <c r="AC1476" s="105"/>
      <c r="AD1476" s="105"/>
      <c r="AE1476" s="105"/>
      <c r="AF1476" s="105"/>
      <c r="AG1476" s="105"/>
      <c r="AH1476" s="105"/>
      <c r="AI1476" s="105">
        <f>IF($AI$1335&gt;0,IPMT('Assumptions (Hydro)'!$V$6,Model!W$1,'Assumptions (Hydro)'!$V$9,'Assumptions (Hydro)'!$V$4*Model!$AI$1335*AVERAGE('Assumptions (Hydro)'!$AE$2:$AG$2)/10^9),0)</f>
        <v>0</v>
      </c>
      <c r="AJ1476" s="105">
        <f>IF($AI$1335&gt;0,IPMT('Assumptions (Hydro)'!$V$6,Model!X$1,'Assumptions (Hydro)'!$V$9,'Assumptions (Hydro)'!$V$4*Model!$AI$1335*AVERAGE('Assumptions (Hydro)'!$AE$2:$AG$2)/10^9),0)</f>
        <v>0</v>
      </c>
      <c r="AK1476" s="105">
        <f>IF($AI$1335&gt;0,IPMT('Assumptions (Hydro)'!$V$6,Model!Y$1,'Assumptions (Hydro)'!$V$9,'Assumptions (Hydro)'!$V$4*Model!$AI$1335*AVERAGE('Assumptions (Hydro)'!$AE$2:$AG$2)/10^9),0)</f>
        <v>0</v>
      </c>
      <c r="AL1476" s="105">
        <f>IF($AI$1335&gt;0,IPMT('Assumptions (Hydro)'!$V$6,Model!Z$1,'Assumptions (Hydro)'!$V$9,'Assumptions (Hydro)'!$V$4*Model!$AI$1335*AVERAGE('Assumptions (Hydro)'!$AE$2:$AG$2)/10^9),0)</f>
        <v>0</v>
      </c>
      <c r="AM1476" s="105">
        <f>IF($AI$1335&gt;0,IPMT('Assumptions (Hydro)'!$V$6,Model!AA$1,'Assumptions (Hydro)'!$V$9,'Assumptions (Hydro)'!$V$4*Model!$AI$1335*AVERAGE('Assumptions (Hydro)'!$AE$2:$AG$2)/10^9),0)</f>
        <v>0</v>
      </c>
      <c r="AN1476" s="105">
        <f>IF($AI$1335&gt;0,IPMT('Assumptions (Hydro)'!$V$6,Model!AB$1,'Assumptions (Hydro)'!$V$9,'Assumptions (Hydro)'!$V$4*Model!$AI$1335*AVERAGE('Assumptions (Hydro)'!$AE$2:$AG$2)/10^9),0)</f>
        <v>0</v>
      </c>
      <c r="AO1476" s="105">
        <f>IF($AI$1335&gt;0,IPMT('Assumptions (Hydro)'!$V$6,Model!AC$1,'Assumptions (Hydro)'!$V$9,'Assumptions (Hydro)'!$V$4*Model!$AI$1335*AVERAGE('Assumptions (Hydro)'!$AE$2:$AG$2)/10^9),0)</f>
        <v>0</v>
      </c>
      <c r="AP1476" s="105">
        <f>IF($AI$1335&gt;0,IPMT('Assumptions (Hydro)'!$V$6,Model!AD$1,'Assumptions (Hydro)'!$V$9,'Assumptions (Hydro)'!$V$4*Model!$AI$1335*AVERAGE('Assumptions (Hydro)'!$AE$2:$AG$2)/10^9),0)</f>
        <v>0</v>
      </c>
      <c r="AQ1476" s="105">
        <f>IF($AI$1335&gt;0,IPMT('Assumptions (Hydro)'!$V$6,Model!AE$1,'Assumptions (Hydro)'!$V$9,'Assumptions (Hydro)'!$V$4*Model!$AI$1335*AVERAGE('Assumptions (Hydro)'!$AE$2:$AG$2)/10^9),0)</f>
        <v>0</v>
      </c>
      <c r="AR1476" s="105">
        <f>IF($AI$1335&gt;0,IPMT('Assumptions (Hydro)'!$V$6,Model!AF$1,'Assumptions (Hydro)'!$V$9,'Assumptions (Hydro)'!$V$4*Model!$AI$1335*AVERAGE('Assumptions (Hydro)'!$AE$2:$AG$2)/10^9),0)</f>
        <v>0</v>
      </c>
      <c r="AS1476" s="105">
        <f>IF($AI$1335&gt;0,IPMT('Assumptions (Hydro)'!$V$6,Model!AG$1,'Assumptions (Hydro)'!$V$9,'Assumptions (Hydro)'!$V$4*Model!$AI$1335*AVERAGE('Assumptions (Hydro)'!$AE$2:$AG$2)/10^9),0)</f>
        <v>0</v>
      </c>
      <c r="AT1476" s="105">
        <f>IF($AI$1335&gt;0,IPMT('Assumptions (Hydro)'!$V$6,Model!AH$1,'Assumptions (Hydro)'!$V$9,'Assumptions (Hydro)'!$V$4*Model!$AI$1335*AVERAGE('Assumptions (Hydro)'!$AE$2:$AG$2)/10^9),0)</f>
        <v>0</v>
      </c>
      <c r="AU1476" s="105">
        <f>IF($AI$1335&gt;0,IPMT('Assumptions (Hydro)'!$V$6,Model!AI$1,'Assumptions (Hydro)'!$V$9,'Assumptions (Hydro)'!$V$4*Model!$AI$1335*AVERAGE('Assumptions (Hydro)'!$AE$2:$AG$2)/10^9),0)</f>
        <v>0</v>
      </c>
      <c r="AV1476" s="105">
        <f>IF($AI$1335&gt;0,IPMT('Assumptions (Hydro)'!$V$6,Model!AJ$1,'Assumptions (Hydro)'!$V$9,'Assumptions (Hydro)'!$V$4*Model!$AI$1335*AVERAGE('Assumptions (Hydro)'!$AE$2:$AG$2)/10^9),0)</f>
        <v>0</v>
      </c>
      <c r="AW1476" s="105">
        <f>IF($AI$1335&gt;0,IPMT('Assumptions (Hydro)'!$V$6,Model!AK$1,'Assumptions (Hydro)'!$V$9,'Assumptions (Hydro)'!$V$4*Model!$AI$1335*AVERAGE('Assumptions (Hydro)'!$AE$2:$AG$2)/10^9),0)</f>
        <v>0</v>
      </c>
      <c r="AX1476" s="105"/>
      <c r="AY1476" s="105"/>
      <c r="AZ1476" s="105"/>
      <c r="BA1476" s="105"/>
      <c r="BB1476" s="105"/>
      <c r="BC1476" s="105"/>
      <c r="BD1476" s="105"/>
      <c r="BE1476" s="105"/>
      <c r="BF1476" s="105"/>
      <c r="BG1476" s="105"/>
    </row>
    <row r="1477" spans="1:71" ht="15.75" hidden="1" customHeight="1" outlineLevel="1">
      <c r="A1477" s="413"/>
      <c r="B1477" s="99"/>
      <c r="C1477" s="99"/>
      <c r="D1477" s="99"/>
      <c r="E1477" s="99"/>
      <c r="F1477" s="99"/>
      <c r="G1477" s="99"/>
      <c r="H1477" s="99"/>
      <c r="I1477" s="99"/>
      <c r="J1477" s="99"/>
      <c r="K1477" s="99"/>
      <c r="L1477" s="99"/>
      <c r="M1477" s="99"/>
      <c r="N1477" s="99"/>
      <c r="O1477" s="99"/>
      <c r="P1477" s="99"/>
      <c r="Q1477" s="99"/>
      <c r="R1477" s="99"/>
      <c r="S1477" s="99"/>
      <c r="T1477" s="99"/>
      <c r="U1477" s="99"/>
      <c r="V1477" s="99"/>
      <c r="W1477" s="105"/>
      <c r="X1477" s="105"/>
      <c r="Y1477" s="105"/>
      <c r="Z1477" s="105"/>
      <c r="AA1477" s="105"/>
      <c r="AB1477" s="105"/>
      <c r="AC1477" s="105"/>
      <c r="AD1477" s="105"/>
      <c r="AE1477" s="105"/>
      <c r="AF1477" s="105"/>
      <c r="AG1477" s="105"/>
      <c r="AH1477" s="105"/>
      <c r="AI1477" s="105"/>
      <c r="AJ1477" s="91">
        <f>IF($AJ$1335&gt;0,IPMT('Assumptions (Hydro)'!$V$6,Model!W$1,'Assumptions (Hydro)'!$V$9,'Assumptions (Hydro)'!$V$4*Model!$AJ$1335*AVERAGE('Assumptions (Hydro)'!$AF$2:$AH$2)/10^9),0)</f>
        <v>0</v>
      </c>
      <c r="AK1477" s="91">
        <f>IF($AJ$1335&gt;0,IPMT('Assumptions (Hydro)'!$V$6,Model!X$1,'Assumptions (Hydro)'!$V$9,'Assumptions (Hydro)'!$V$4*Model!$AJ$1335*AVERAGE('Assumptions (Hydro)'!$AF$2:$AH$2)/10^9),0)</f>
        <v>0</v>
      </c>
      <c r="AL1477" s="91">
        <f>IF($AJ$1335&gt;0,IPMT('Assumptions (Hydro)'!$V$6,Model!Y$1,'Assumptions (Hydro)'!$V$9,'Assumptions (Hydro)'!$V$4*Model!$AJ$1335*AVERAGE('Assumptions (Hydro)'!$AF$2:$AH$2)/10^9),0)</f>
        <v>0</v>
      </c>
      <c r="AM1477" s="91">
        <f>IF($AJ$1335&gt;0,IPMT('Assumptions (Hydro)'!$V$6,Model!Z$1,'Assumptions (Hydro)'!$V$9,'Assumptions (Hydro)'!$V$4*Model!$AJ$1335*AVERAGE('Assumptions (Hydro)'!$AF$2:$AH$2)/10^9),0)</f>
        <v>0</v>
      </c>
      <c r="AN1477" s="91">
        <f>IF($AJ$1335&gt;0,IPMT('Assumptions (Hydro)'!$V$6,Model!AA$1,'Assumptions (Hydro)'!$V$9,'Assumptions (Hydro)'!$V$4*Model!$AJ$1335*AVERAGE('Assumptions (Hydro)'!$AF$2:$AH$2)/10^9),0)</f>
        <v>0</v>
      </c>
      <c r="AO1477" s="91">
        <f>IF($AJ$1335&gt;0,IPMT('Assumptions (Hydro)'!$V$6,Model!AB$1,'Assumptions (Hydro)'!$V$9,'Assumptions (Hydro)'!$V$4*Model!$AJ$1335*AVERAGE('Assumptions (Hydro)'!$AF$2:$AH$2)/10^9),0)</f>
        <v>0</v>
      </c>
      <c r="AP1477" s="91">
        <f>IF($AJ$1335&gt;0,IPMT('Assumptions (Hydro)'!$V$6,Model!AC$1,'Assumptions (Hydro)'!$V$9,'Assumptions (Hydro)'!$V$4*Model!$AJ$1335*AVERAGE('Assumptions (Hydro)'!$AF$2:$AH$2)/10^9),0)</f>
        <v>0</v>
      </c>
      <c r="AQ1477" s="91">
        <f>IF($AJ$1335&gt;0,IPMT('Assumptions (Hydro)'!$V$6,Model!AD$1,'Assumptions (Hydro)'!$V$9,'Assumptions (Hydro)'!$V$4*Model!$AJ$1335*AVERAGE('Assumptions (Hydro)'!$AF$2:$AH$2)/10^9),0)</f>
        <v>0</v>
      </c>
      <c r="AR1477" s="91">
        <f>IF($AJ$1335&gt;0,IPMT('Assumptions (Hydro)'!$V$6,Model!AE$1,'Assumptions (Hydro)'!$V$9,'Assumptions (Hydro)'!$V$4*Model!$AJ$1335*AVERAGE('Assumptions (Hydro)'!$AF$2:$AH$2)/10^9),0)</f>
        <v>0</v>
      </c>
      <c r="AS1477" s="91">
        <f>IF($AJ$1335&gt;0,IPMT('Assumptions (Hydro)'!$V$6,Model!AF$1,'Assumptions (Hydro)'!$V$9,'Assumptions (Hydro)'!$V$4*Model!$AJ$1335*AVERAGE('Assumptions (Hydro)'!$AF$2:$AH$2)/10^9),0)</f>
        <v>0</v>
      </c>
      <c r="AT1477" s="91">
        <f>IF($AJ$1335&gt;0,IPMT('Assumptions (Hydro)'!$V$6,Model!AG$1,'Assumptions (Hydro)'!$V$9,'Assumptions (Hydro)'!$V$4*Model!$AJ$1335*AVERAGE('Assumptions (Hydro)'!$AF$2:$AH$2)/10^9),0)</f>
        <v>0</v>
      </c>
      <c r="AU1477" s="91">
        <f>IF($AJ$1335&gt;0,IPMT('Assumptions (Hydro)'!$V$6,Model!AH$1,'Assumptions (Hydro)'!$V$9,'Assumptions (Hydro)'!$V$4*Model!$AJ$1335*AVERAGE('Assumptions (Hydro)'!$AF$2:$AH$2)/10^9),0)</f>
        <v>0</v>
      </c>
      <c r="AV1477" s="91">
        <f>IF($AJ$1335&gt;0,IPMT('Assumptions (Hydro)'!$V$6,Model!AI$1,'Assumptions (Hydro)'!$V$9,'Assumptions (Hydro)'!$V$4*Model!$AJ$1335*AVERAGE('Assumptions (Hydro)'!$AF$2:$AH$2)/10^9),0)</f>
        <v>0</v>
      </c>
      <c r="AW1477" s="91">
        <f>IF($AJ$1335&gt;0,IPMT('Assumptions (Hydro)'!$V$6,Model!AJ$1,'Assumptions (Hydro)'!$V$9,'Assumptions (Hydro)'!$V$4*Model!$AJ$1335*AVERAGE('Assumptions (Hydro)'!$AF$2:$AH$2)/10^9),0)</f>
        <v>0</v>
      </c>
      <c r="AX1477" s="91">
        <f>IF($AJ$1335&gt;0,IPMT('Assumptions (Hydro)'!$V$6,Model!AK$1,'Assumptions (Hydro)'!$V$9,'Assumptions (Hydro)'!$V$4*Model!$AJ$1335*AVERAGE('Assumptions (Hydro)'!$AF$2:$AH$2)/10^9),0)</f>
        <v>0</v>
      </c>
      <c r="AY1477" s="91"/>
      <c r="AZ1477" s="91"/>
      <c r="BA1477" s="91"/>
      <c r="BB1477" s="91"/>
      <c r="BC1477" s="91"/>
      <c r="BD1477" s="91"/>
      <c r="BE1477" s="91"/>
      <c r="BF1477" s="91"/>
      <c r="BG1477" s="91"/>
      <c r="BH1477" s="91"/>
    </row>
    <row r="1478" spans="1:71" ht="15.75" hidden="1" customHeight="1" outlineLevel="1">
      <c r="A1478" s="413"/>
      <c r="B1478" s="99"/>
      <c r="C1478" s="99"/>
      <c r="D1478" s="99"/>
      <c r="E1478" s="99"/>
      <c r="F1478" s="99"/>
      <c r="G1478" s="99"/>
      <c r="H1478" s="99"/>
      <c r="I1478" s="99"/>
      <c r="J1478" s="99"/>
      <c r="K1478" s="99"/>
      <c r="L1478" s="99"/>
      <c r="M1478" s="99"/>
      <c r="N1478" s="99"/>
      <c r="O1478" s="99"/>
      <c r="P1478" s="99"/>
      <c r="Q1478" s="99"/>
      <c r="R1478" s="99"/>
      <c r="S1478" s="99"/>
      <c r="T1478" s="99"/>
      <c r="U1478" s="99"/>
      <c r="V1478" s="99"/>
      <c r="W1478" s="105"/>
      <c r="X1478" s="105"/>
      <c r="Y1478" s="105"/>
      <c r="Z1478" s="105"/>
      <c r="AA1478" s="105"/>
      <c r="AB1478" s="105"/>
      <c r="AC1478" s="105"/>
      <c r="AD1478" s="105"/>
      <c r="AE1478" s="105"/>
      <c r="AF1478" s="105"/>
      <c r="AG1478" s="105"/>
      <c r="AH1478" s="105"/>
      <c r="AI1478" s="105"/>
      <c r="AJ1478" s="171"/>
      <c r="AK1478" s="105">
        <f>IF($AK$1335&gt;0,IPMT('Assumptions (Hydro)'!$V$6,Model!W$1,'Assumptions (Hydro)'!$V$9,'Assumptions (Hydro)'!$V$4*Model!$AK$1335*AVERAGE('Assumptions (Hydro)'!$AG$2:$AI$2)/10^9),0)</f>
        <v>0</v>
      </c>
      <c r="AL1478" s="105">
        <f>IF($AK$1335&gt;0,IPMT('Assumptions (Hydro)'!$V$6,Model!X$1,'Assumptions (Hydro)'!$V$9,'Assumptions (Hydro)'!$V$4*Model!$AK$1335*AVERAGE('Assumptions (Hydro)'!$AG$2:$AI$2)/10^9),0)</f>
        <v>0</v>
      </c>
      <c r="AM1478" s="105">
        <f>IF($AK$1335&gt;0,IPMT('Assumptions (Hydro)'!$V$6,Model!Y$1,'Assumptions (Hydro)'!$V$9,'Assumptions (Hydro)'!$V$4*Model!$AK$1335*AVERAGE('Assumptions (Hydro)'!$AG$2:$AI$2)/10^9),0)</f>
        <v>0</v>
      </c>
      <c r="AN1478" s="105">
        <f>IF($AK$1335&gt;0,IPMT('Assumptions (Hydro)'!$V$6,Model!Z$1,'Assumptions (Hydro)'!$V$9,'Assumptions (Hydro)'!$V$4*Model!$AK$1335*AVERAGE('Assumptions (Hydro)'!$AG$2:$AI$2)/10^9),0)</f>
        <v>0</v>
      </c>
      <c r="AO1478" s="105">
        <f>IF($AK$1335&gt;0,IPMT('Assumptions (Hydro)'!$V$6,Model!AA$1,'Assumptions (Hydro)'!$V$9,'Assumptions (Hydro)'!$V$4*Model!$AK$1335*AVERAGE('Assumptions (Hydro)'!$AG$2:$AI$2)/10^9),0)</f>
        <v>0</v>
      </c>
      <c r="AP1478" s="105">
        <f>IF($AK$1335&gt;0,IPMT('Assumptions (Hydro)'!$V$6,Model!AB$1,'Assumptions (Hydro)'!$V$9,'Assumptions (Hydro)'!$V$4*Model!$AK$1335*AVERAGE('Assumptions (Hydro)'!$AG$2:$AI$2)/10^9),0)</f>
        <v>0</v>
      </c>
      <c r="AQ1478" s="105">
        <f>IF($AK$1335&gt;0,IPMT('Assumptions (Hydro)'!$V$6,Model!AC$1,'Assumptions (Hydro)'!$V$9,'Assumptions (Hydro)'!$V$4*Model!$AK$1335*AVERAGE('Assumptions (Hydro)'!$AG$2:$AI$2)/10^9),0)</f>
        <v>0</v>
      </c>
      <c r="AR1478" s="105">
        <f>IF($AK$1335&gt;0,IPMT('Assumptions (Hydro)'!$V$6,Model!AD$1,'Assumptions (Hydro)'!$V$9,'Assumptions (Hydro)'!$V$4*Model!$AK$1335*AVERAGE('Assumptions (Hydro)'!$AG$2:$AI$2)/10^9),0)</f>
        <v>0</v>
      </c>
      <c r="AS1478" s="105">
        <f>IF($AK$1335&gt;0,IPMT('Assumptions (Hydro)'!$V$6,Model!AE$1,'Assumptions (Hydro)'!$V$9,'Assumptions (Hydro)'!$V$4*Model!$AK$1335*AVERAGE('Assumptions (Hydro)'!$AG$2:$AI$2)/10^9),0)</f>
        <v>0</v>
      </c>
      <c r="AT1478" s="105">
        <f>IF($AK$1335&gt;0,IPMT('Assumptions (Hydro)'!$V$6,Model!AF$1,'Assumptions (Hydro)'!$V$9,'Assumptions (Hydro)'!$V$4*Model!$AK$1335*AVERAGE('Assumptions (Hydro)'!$AG$2:$AI$2)/10^9),0)</f>
        <v>0</v>
      </c>
      <c r="AU1478" s="105">
        <f>IF($AK$1335&gt;0,IPMT('Assumptions (Hydro)'!$V$6,Model!AG$1,'Assumptions (Hydro)'!$V$9,'Assumptions (Hydro)'!$V$4*Model!$AK$1335*AVERAGE('Assumptions (Hydro)'!$AG$2:$AI$2)/10^9),0)</f>
        <v>0</v>
      </c>
      <c r="AV1478" s="105">
        <f>IF($AK$1335&gt;0,IPMT('Assumptions (Hydro)'!$V$6,Model!AH$1,'Assumptions (Hydro)'!$V$9,'Assumptions (Hydro)'!$V$4*Model!$AK$1335*AVERAGE('Assumptions (Hydro)'!$AG$2:$AI$2)/10^9),0)</f>
        <v>0</v>
      </c>
      <c r="AW1478" s="105">
        <f>IF($AK$1335&gt;0,IPMT('Assumptions (Hydro)'!$V$6,Model!AI$1,'Assumptions (Hydro)'!$V$9,'Assumptions (Hydro)'!$V$4*Model!$AK$1335*AVERAGE('Assumptions (Hydro)'!$AG$2:$AI$2)/10^9),0)</f>
        <v>0</v>
      </c>
      <c r="AX1478" s="105">
        <f>IF($AK$1335&gt;0,IPMT('Assumptions (Hydro)'!$V$6,Model!AJ$1,'Assumptions (Hydro)'!$V$9,'Assumptions (Hydro)'!$V$4*Model!$AK$1335*AVERAGE('Assumptions (Hydro)'!$AG$2:$AI$2)/10^9),0)</f>
        <v>0</v>
      </c>
      <c r="AY1478" s="105">
        <f>IF($AK$1335&gt;0,IPMT('Assumptions (Hydro)'!$V$6,Model!AK$1,'Assumptions (Hydro)'!$V$9,'Assumptions (Hydro)'!$V$4*Model!$AK$1335*AVERAGE('Assumptions (Hydro)'!$AG$2:$AI$2)/10^9),0)</f>
        <v>0</v>
      </c>
      <c r="AZ1478" s="105"/>
      <c r="BA1478" s="105"/>
      <c r="BB1478" s="105"/>
      <c r="BC1478" s="105"/>
      <c r="BD1478" s="105"/>
      <c r="BE1478" s="105"/>
      <c r="BF1478" s="105"/>
      <c r="BG1478" s="105"/>
      <c r="BH1478" s="105"/>
      <c r="BI1478" s="105"/>
    </row>
    <row r="1479" spans="1:71" ht="15.75" hidden="1" customHeight="1" outlineLevel="1">
      <c r="A1479" s="413"/>
      <c r="B1479" s="99"/>
      <c r="C1479" s="99"/>
      <c r="D1479" s="99"/>
      <c r="E1479" s="99"/>
      <c r="F1479" s="99"/>
      <c r="G1479" s="99"/>
      <c r="H1479" s="99"/>
      <c r="I1479" s="99"/>
      <c r="J1479" s="99"/>
      <c r="K1479" s="99"/>
      <c r="L1479" s="99"/>
      <c r="M1479" s="99"/>
      <c r="N1479" s="99"/>
      <c r="O1479" s="99"/>
      <c r="P1479" s="99"/>
      <c r="Q1479" s="99"/>
      <c r="R1479" s="99"/>
      <c r="S1479" s="99"/>
      <c r="T1479" s="99"/>
      <c r="U1479" s="99"/>
      <c r="V1479" s="99"/>
      <c r="W1479" s="105"/>
      <c r="X1479" s="105"/>
      <c r="Y1479" s="105"/>
      <c r="Z1479" s="105"/>
      <c r="AA1479" s="105"/>
      <c r="AB1479" s="105"/>
      <c r="AC1479" s="105"/>
      <c r="AD1479" s="105"/>
      <c r="AE1479" s="105"/>
      <c r="AF1479" s="105"/>
      <c r="AG1479" s="105"/>
      <c r="AH1479" s="105"/>
      <c r="AI1479" s="105"/>
      <c r="AJ1479" s="171"/>
      <c r="AK1479" s="105"/>
      <c r="AL1479" s="91">
        <f>IF($AL$1335&gt;0,IPMT('Assumptions (Hydro)'!$V$6,Model!W$1,'Assumptions (Hydro)'!$V$9,'Assumptions (Hydro)'!$V$4*Model!$AL$1335*AVERAGE('Assumptions (Hydro)'!$AH$2:$AJ$2)/10^9),0)</f>
        <v>0</v>
      </c>
      <c r="AM1479" s="91">
        <f>IF($AL$1335&gt;0,IPMT('Assumptions (Hydro)'!$V$6,Model!X$1,'Assumptions (Hydro)'!$V$9,'Assumptions (Hydro)'!$V$4*Model!$AL$1335*AVERAGE('Assumptions (Hydro)'!$AH$2:$AJ$2)/10^9),0)</f>
        <v>0</v>
      </c>
      <c r="AN1479" s="91">
        <f>IF($AL$1335&gt;0,IPMT('Assumptions (Hydro)'!$V$6,Model!Y$1,'Assumptions (Hydro)'!$V$9,'Assumptions (Hydro)'!$V$4*Model!$AL$1335*AVERAGE('Assumptions (Hydro)'!$AH$2:$AJ$2)/10^9),0)</f>
        <v>0</v>
      </c>
      <c r="AO1479" s="91">
        <f>IF($AL$1335&gt;0,IPMT('Assumptions (Hydro)'!$V$6,Model!Z$1,'Assumptions (Hydro)'!$V$9,'Assumptions (Hydro)'!$V$4*Model!$AL$1335*AVERAGE('Assumptions (Hydro)'!$AH$2:$AJ$2)/10^9),0)</f>
        <v>0</v>
      </c>
      <c r="AP1479" s="91">
        <f>IF($AL$1335&gt;0,IPMT('Assumptions (Hydro)'!$V$6,Model!AA$1,'Assumptions (Hydro)'!$V$9,'Assumptions (Hydro)'!$V$4*Model!$AL$1335*AVERAGE('Assumptions (Hydro)'!$AH$2:$AJ$2)/10^9),0)</f>
        <v>0</v>
      </c>
      <c r="AQ1479" s="91">
        <f>IF($AL$1335&gt;0,IPMT('Assumptions (Hydro)'!$V$6,Model!AB$1,'Assumptions (Hydro)'!$V$9,'Assumptions (Hydro)'!$V$4*Model!$AL$1335*AVERAGE('Assumptions (Hydro)'!$AH$2:$AJ$2)/10^9),0)</f>
        <v>0</v>
      </c>
      <c r="AR1479" s="91">
        <f>IF($AL$1335&gt;0,IPMT('Assumptions (Hydro)'!$V$6,Model!AC$1,'Assumptions (Hydro)'!$V$9,'Assumptions (Hydro)'!$V$4*Model!$AL$1335*AVERAGE('Assumptions (Hydro)'!$AH$2:$AJ$2)/10^9),0)</f>
        <v>0</v>
      </c>
      <c r="AS1479" s="91">
        <f>IF($AL$1335&gt;0,IPMT('Assumptions (Hydro)'!$V$6,Model!AD$1,'Assumptions (Hydro)'!$V$9,'Assumptions (Hydro)'!$V$4*Model!$AL$1335*AVERAGE('Assumptions (Hydro)'!$AH$2:$AJ$2)/10^9),0)</f>
        <v>0</v>
      </c>
      <c r="AT1479" s="91">
        <f>IF($AL$1335&gt;0,IPMT('Assumptions (Hydro)'!$V$6,Model!AE$1,'Assumptions (Hydro)'!$V$9,'Assumptions (Hydro)'!$V$4*Model!$AL$1335*AVERAGE('Assumptions (Hydro)'!$AH$2:$AJ$2)/10^9),0)</f>
        <v>0</v>
      </c>
      <c r="AU1479" s="91">
        <f>IF($AL$1335&gt;0,IPMT('Assumptions (Hydro)'!$V$6,Model!AF$1,'Assumptions (Hydro)'!$V$9,'Assumptions (Hydro)'!$V$4*Model!$AL$1335*AVERAGE('Assumptions (Hydro)'!$AH$2:$AJ$2)/10^9),0)</f>
        <v>0</v>
      </c>
      <c r="AV1479" s="91">
        <f>IF($AL$1335&gt;0,IPMT('Assumptions (Hydro)'!$V$6,Model!AG$1,'Assumptions (Hydro)'!$V$9,'Assumptions (Hydro)'!$V$4*Model!$AL$1335*AVERAGE('Assumptions (Hydro)'!$AH$2:$AJ$2)/10^9),0)</f>
        <v>0</v>
      </c>
      <c r="AW1479" s="91">
        <f>IF($AL$1335&gt;0,IPMT('Assumptions (Hydro)'!$V$6,Model!AH$1,'Assumptions (Hydro)'!$V$9,'Assumptions (Hydro)'!$V$4*Model!$AL$1335*AVERAGE('Assumptions (Hydro)'!$AH$2:$AJ$2)/10^9),0)</f>
        <v>0</v>
      </c>
      <c r="AX1479" s="91">
        <f>IF($AL$1335&gt;0,IPMT('Assumptions (Hydro)'!$V$6,Model!AI$1,'Assumptions (Hydro)'!$V$9,'Assumptions (Hydro)'!$V$4*Model!$AL$1335*AVERAGE('Assumptions (Hydro)'!$AH$2:$AJ$2)/10^9),0)</f>
        <v>0</v>
      </c>
      <c r="AY1479" s="91">
        <f>IF($AL$1335&gt;0,IPMT('Assumptions (Hydro)'!$V$6,Model!AJ$1,'Assumptions (Hydro)'!$V$9,'Assumptions (Hydro)'!$V$4*Model!$AL$1335*AVERAGE('Assumptions (Hydro)'!$AH$2:$AJ$2)/10^9),0)</f>
        <v>0</v>
      </c>
      <c r="AZ1479" s="91">
        <f>IF($AL$1335&gt;0,IPMT('Assumptions (Hydro)'!$V$6,Model!AK$1,'Assumptions (Hydro)'!$V$9,'Assumptions (Hydro)'!$V$4*Model!$AL$1335*AVERAGE('Assumptions (Hydro)'!$AH$2:$AJ$2)/10^9),0)</f>
        <v>0</v>
      </c>
      <c r="BA1479" s="91"/>
      <c r="BB1479" s="91"/>
      <c r="BC1479" s="91"/>
      <c r="BD1479" s="91"/>
      <c r="BE1479" s="91"/>
      <c r="BF1479" s="91"/>
      <c r="BG1479" s="91"/>
      <c r="BH1479" s="91"/>
      <c r="BI1479" s="91"/>
      <c r="BJ1479" s="91"/>
    </row>
    <row r="1480" spans="1:71" ht="15.75" hidden="1" customHeight="1" outlineLevel="1">
      <c r="A1480" s="413"/>
      <c r="B1480" s="99"/>
      <c r="C1480" s="99"/>
      <c r="D1480" s="99"/>
      <c r="E1480" s="99"/>
      <c r="F1480" s="99"/>
      <c r="G1480" s="99"/>
      <c r="H1480" s="99"/>
      <c r="I1480" s="99"/>
      <c r="J1480" s="99"/>
      <c r="K1480" s="99"/>
      <c r="L1480" s="99"/>
      <c r="M1480" s="99"/>
      <c r="N1480" s="99"/>
      <c r="O1480" s="99"/>
      <c r="P1480" s="99"/>
      <c r="Q1480" s="99"/>
      <c r="R1480" s="99"/>
      <c r="S1480" s="99"/>
      <c r="T1480" s="99"/>
      <c r="U1480" s="99"/>
      <c r="V1480" s="99"/>
      <c r="W1480" s="105"/>
      <c r="X1480" s="105"/>
      <c r="Y1480" s="105"/>
      <c r="Z1480" s="105"/>
      <c r="AA1480" s="105"/>
      <c r="AB1480" s="105"/>
      <c r="AC1480" s="105"/>
      <c r="AD1480" s="105"/>
      <c r="AE1480" s="105"/>
      <c r="AF1480" s="105"/>
      <c r="AG1480" s="105"/>
      <c r="AH1480" s="105"/>
      <c r="AI1480" s="105"/>
      <c r="AJ1480" s="171"/>
      <c r="AK1480" s="105"/>
      <c r="AL1480" s="91"/>
      <c r="AM1480" s="105">
        <f>IF($AM$1335&gt;0,IPMT('Assumptions (Hydro)'!$V$6,Model!W$1,'Assumptions (Hydro)'!$V$9,'Assumptions (Hydro)'!$V$4*Model!$AM$1335*AVERAGE('Assumptions (Hydro)'!$AI$2:$AK$2)/10^9),0)</f>
        <v>0</v>
      </c>
      <c r="AN1480" s="105">
        <f>IF($AM$1335&gt;0,IPMT('Assumptions (Hydro)'!$V$6,Model!X$1,'Assumptions (Hydro)'!$V$9,'Assumptions (Hydro)'!$V$4*Model!$AM$1335*AVERAGE('Assumptions (Hydro)'!$AI$2:$AK$2)/10^9),0)</f>
        <v>0</v>
      </c>
      <c r="AO1480" s="105">
        <f>IF($AM$1335&gt;0,IPMT('Assumptions (Hydro)'!$V$6,Model!Y$1,'Assumptions (Hydro)'!$V$9,'Assumptions (Hydro)'!$V$4*Model!$AM$1335*AVERAGE('Assumptions (Hydro)'!$AI$2:$AK$2)/10^9),0)</f>
        <v>0</v>
      </c>
      <c r="AP1480" s="105">
        <f>IF($AM$1335&gt;0,IPMT('Assumptions (Hydro)'!$V$6,Model!Z$1,'Assumptions (Hydro)'!$V$9,'Assumptions (Hydro)'!$V$4*Model!$AM$1335*AVERAGE('Assumptions (Hydro)'!$AI$2:$AK$2)/10^9),0)</f>
        <v>0</v>
      </c>
      <c r="AQ1480" s="105">
        <f>IF($AM$1335&gt;0,IPMT('Assumptions (Hydro)'!$V$6,Model!AA$1,'Assumptions (Hydro)'!$V$9,'Assumptions (Hydro)'!$V$4*Model!$AM$1335*AVERAGE('Assumptions (Hydro)'!$AI$2:$AK$2)/10^9),0)</f>
        <v>0</v>
      </c>
      <c r="AR1480" s="105">
        <f>IF($AM$1335&gt;0,IPMT('Assumptions (Hydro)'!$V$6,Model!AB$1,'Assumptions (Hydro)'!$V$9,'Assumptions (Hydro)'!$V$4*Model!$AM$1335*AVERAGE('Assumptions (Hydro)'!$AI$2:$AK$2)/10^9),0)</f>
        <v>0</v>
      </c>
      <c r="AS1480" s="105">
        <f>IF($AM$1335&gt;0,IPMT('Assumptions (Hydro)'!$V$6,Model!AC$1,'Assumptions (Hydro)'!$V$9,'Assumptions (Hydro)'!$V$4*Model!$AM$1335*AVERAGE('Assumptions (Hydro)'!$AI$2:$AK$2)/10^9),0)</f>
        <v>0</v>
      </c>
      <c r="AT1480" s="105">
        <f>IF($AM$1335&gt;0,IPMT('Assumptions (Hydro)'!$V$6,Model!AD$1,'Assumptions (Hydro)'!$V$9,'Assumptions (Hydro)'!$V$4*Model!$AM$1335*AVERAGE('Assumptions (Hydro)'!$AI$2:$AK$2)/10^9),0)</f>
        <v>0</v>
      </c>
      <c r="AU1480" s="105">
        <f>IF($AM$1335&gt;0,IPMT('Assumptions (Hydro)'!$V$6,Model!AE$1,'Assumptions (Hydro)'!$V$9,'Assumptions (Hydro)'!$V$4*Model!$AM$1335*AVERAGE('Assumptions (Hydro)'!$AI$2:$AK$2)/10^9),0)</f>
        <v>0</v>
      </c>
      <c r="AV1480" s="105">
        <f>IF($AM$1335&gt;0,IPMT('Assumptions (Hydro)'!$V$6,Model!AF$1,'Assumptions (Hydro)'!$V$9,'Assumptions (Hydro)'!$V$4*Model!$AM$1335*AVERAGE('Assumptions (Hydro)'!$AI$2:$AK$2)/10^9),0)</f>
        <v>0</v>
      </c>
      <c r="AW1480" s="105">
        <f>IF($AM$1335&gt;0,IPMT('Assumptions (Hydro)'!$V$6,Model!AG$1,'Assumptions (Hydro)'!$V$9,'Assumptions (Hydro)'!$V$4*Model!$AM$1335*AVERAGE('Assumptions (Hydro)'!$AI$2:$AK$2)/10^9),0)</f>
        <v>0</v>
      </c>
      <c r="AX1480" s="105">
        <f>IF($AM$1335&gt;0,IPMT('Assumptions (Hydro)'!$V$6,Model!AH$1,'Assumptions (Hydro)'!$V$9,'Assumptions (Hydro)'!$V$4*Model!$AM$1335*AVERAGE('Assumptions (Hydro)'!$AI$2:$AK$2)/10^9),0)</f>
        <v>0</v>
      </c>
      <c r="AY1480" s="105">
        <f>IF($AM$1335&gt;0,IPMT('Assumptions (Hydro)'!$V$6,Model!AI$1,'Assumptions (Hydro)'!$V$9,'Assumptions (Hydro)'!$V$4*Model!$AM$1335*AVERAGE('Assumptions (Hydro)'!$AI$2:$AK$2)/10^9),0)</f>
        <v>0</v>
      </c>
      <c r="AZ1480" s="105">
        <f>IF($AM$1335&gt;0,IPMT('Assumptions (Hydro)'!$V$6,Model!AJ$1,'Assumptions (Hydro)'!$V$9,'Assumptions (Hydro)'!$V$4*Model!$AM$1335*AVERAGE('Assumptions (Hydro)'!$AI$2:$AK$2)/10^9),0)</f>
        <v>0</v>
      </c>
      <c r="BA1480" s="105">
        <f>IF($AM$1335&gt;0,IPMT('Assumptions (Hydro)'!$V$6,Model!AK$1,'Assumptions (Hydro)'!$V$9,'Assumptions (Hydro)'!$V$4*Model!$AM$1335*AVERAGE('Assumptions (Hydro)'!$AI$2:$AK$2)/10^9),0)</f>
        <v>0</v>
      </c>
      <c r="BB1480" s="105"/>
      <c r="BC1480" s="105"/>
      <c r="BD1480" s="105"/>
      <c r="BE1480" s="105"/>
      <c r="BF1480" s="105"/>
      <c r="BG1480" s="105"/>
      <c r="BH1480" s="105"/>
      <c r="BI1480" s="105"/>
      <c r="BJ1480" s="105"/>
      <c r="BK1480" s="105"/>
    </row>
    <row r="1481" spans="1:71" ht="15.75" hidden="1" customHeight="1" outlineLevel="1">
      <c r="A1481" s="413"/>
      <c r="B1481" s="99"/>
      <c r="C1481" s="99"/>
      <c r="D1481" s="99"/>
      <c r="E1481" s="99"/>
      <c r="F1481" s="99"/>
      <c r="G1481" s="99"/>
      <c r="H1481" s="99"/>
      <c r="I1481" s="99"/>
      <c r="J1481" s="99"/>
      <c r="K1481" s="99"/>
      <c r="L1481" s="99"/>
      <c r="M1481" s="99"/>
      <c r="N1481" s="99"/>
      <c r="O1481" s="99"/>
      <c r="P1481" s="99"/>
      <c r="Q1481" s="99"/>
      <c r="R1481" s="99"/>
      <c r="S1481" s="99"/>
      <c r="T1481" s="99"/>
      <c r="U1481" s="99"/>
      <c r="V1481" s="99"/>
      <c r="W1481" s="105"/>
      <c r="X1481" s="105"/>
      <c r="Y1481" s="105"/>
      <c r="Z1481" s="105"/>
      <c r="AA1481" s="105"/>
      <c r="AB1481" s="105"/>
      <c r="AC1481" s="105"/>
      <c r="AD1481" s="105"/>
      <c r="AE1481" s="105"/>
      <c r="AF1481" s="105"/>
      <c r="AG1481" s="105"/>
      <c r="AH1481" s="105"/>
      <c r="AI1481" s="105"/>
      <c r="AJ1481" s="171"/>
      <c r="AK1481" s="105"/>
      <c r="AL1481" s="91"/>
      <c r="AM1481" s="91"/>
      <c r="AN1481" s="105">
        <f>IF($AN$1335&gt;0,IPMT('Assumptions (Hydro)'!$V$6,Model!W$1,'Assumptions (Hydro)'!$V$9,'Assumptions (Hydro)'!$V$4*Model!$AN$1335*AVERAGE('Assumptions (Hydro)'!$AJ$2:$AL$2)/10^9),0)</f>
        <v>0</v>
      </c>
      <c r="AO1481" s="105">
        <f>IF($AN$1335&gt;0,IPMT('Assumptions (Hydro)'!$V$6,Model!X$1,'Assumptions (Hydro)'!$V$9,'Assumptions (Hydro)'!$V$4*Model!$AN$1335*AVERAGE('Assumptions (Hydro)'!$AJ$2:$AL$2)/10^9),0)</f>
        <v>0</v>
      </c>
      <c r="AP1481" s="105">
        <f>IF($AN$1335&gt;0,IPMT('Assumptions (Hydro)'!$V$6,Model!Y$1,'Assumptions (Hydro)'!$V$9,'Assumptions (Hydro)'!$V$4*Model!$AN$1335*AVERAGE('Assumptions (Hydro)'!$AJ$2:$AL$2)/10^9),0)</f>
        <v>0</v>
      </c>
      <c r="AQ1481" s="105">
        <f>IF($AN$1335&gt;0,IPMT('Assumptions (Hydro)'!$V$6,Model!Z$1,'Assumptions (Hydro)'!$V$9,'Assumptions (Hydro)'!$V$4*Model!$AN$1335*AVERAGE('Assumptions (Hydro)'!$AJ$2:$AL$2)/10^9),0)</f>
        <v>0</v>
      </c>
      <c r="AR1481" s="105">
        <f>IF($AN$1335&gt;0,IPMT('Assumptions (Hydro)'!$V$6,Model!AA$1,'Assumptions (Hydro)'!$V$9,'Assumptions (Hydro)'!$V$4*Model!$AN$1335*AVERAGE('Assumptions (Hydro)'!$AJ$2:$AL$2)/10^9),0)</f>
        <v>0</v>
      </c>
      <c r="AS1481" s="105">
        <f>IF($AN$1335&gt;0,IPMT('Assumptions (Hydro)'!$V$6,Model!AB$1,'Assumptions (Hydro)'!$V$9,'Assumptions (Hydro)'!$V$4*Model!$AN$1335*AVERAGE('Assumptions (Hydro)'!$AJ$2:$AL$2)/10^9),0)</f>
        <v>0</v>
      </c>
      <c r="AT1481" s="105">
        <f>IF($AN$1335&gt;0,IPMT('Assumptions (Hydro)'!$V$6,Model!AC$1,'Assumptions (Hydro)'!$V$9,'Assumptions (Hydro)'!$V$4*Model!$AN$1335*AVERAGE('Assumptions (Hydro)'!$AJ$2:$AL$2)/10^9),0)</f>
        <v>0</v>
      </c>
      <c r="AU1481" s="105">
        <f>IF($AN$1335&gt;0,IPMT('Assumptions (Hydro)'!$V$6,Model!AD$1,'Assumptions (Hydro)'!$V$9,'Assumptions (Hydro)'!$V$4*Model!$AN$1335*AVERAGE('Assumptions (Hydro)'!$AJ$2:$AL$2)/10^9),0)</f>
        <v>0</v>
      </c>
      <c r="AV1481" s="105">
        <f>IF($AN$1335&gt;0,IPMT('Assumptions (Hydro)'!$V$6,Model!AE$1,'Assumptions (Hydro)'!$V$9,'Assumptions (Hydro)'!$V$4*Model!$AN$1335*AVERAGE('Assumptions (Hydro)'!$AJ$2:$AL$2)/10^9),0)</f>
        <v>0</v>
      </c>
      <c r="AW1481" s="105">
        <f>IF($AN$1335&gt;0,IPMT('Assumptions (Hydro)'!$V$6,Model!AF$1,'Assumptions (Hydro)'!$V$9,'Assumptions (Hydro)'!$V$4*Model!$AN$1335*AVERAGE('Assumptions (Hydro)'!$AJ$2:$AL$2)/10^9),0)</f>
        <v>0</v>
      </c>
      <c r="AX1481" s="105">
        <f>IF($AN$1335&gt;0,IPMT('Assumptions (Hydro)'!$V$6,Model!AG$1,'Assumptions (Hydro)'!$V$9,'Assumptions (Hydro)'!$V$4*Model!$AN$1335*AVERAGE('Assumptions (Hydro)'!$AJ$2:$AL$2)/10^9),0)</f>
        <v>0</v>
      </c>
      <c r="AY1481" s="105">
        <f>IF($AN$1335&gt;0,IPMT('Assumptions (Hydro)'!$V$6,Model!AH$1,'Assumptions (Hydro)'!$V$9,'Assumptions (Hydro)'!$V$4*Model!$AN$1335*AVERAGE('Assumptions (Hydro)'!$AJ$2:$AL$2)/10^9),0)</f>
        <v>0</v>
      </c>
      <c r="AZ1481" s="105">
        <f>IF($AN$1335&gt;0,IPMT('Assumptions (Hydro)'!$V$6,Model!AI$1,'Assumptions (Hydro)'!$V$9,'Assumptions (Hydro)'!$V$4*Model!$AN$1335*AVERAGE('Assumptions (Hydro)'!$AJ$2:$AL$2)/10^9),0)</f>
        <v>0</v>
      </c>
      <c r="BA1481" s="105">
        <f>IF($AN$1335&gt;0,IPMT('Assumptions (Hydro)'!$V$6,Model!AJ$1,'Assumptions (Hydro)'!$V$9,'Assumptions (Hydro)'!$V$4*Model!$AN$1335*AVERAGE('Assumptions (Hydro)'!$AJ$2:$AL$2)/10^9),0)</f>
        <v>0</v>
      </c>
      <c r="BB1481" s="105">
        <f>IF($AN$1335&gt;0,IPMT('Assumptions (Hydro)'!$V$6,Model!AK$1,'Assumptions (Hydro)'!$V$9,'Assumptions (Hydro)'!$V$4*Model!$AN$1335*AVERAGE('Assumptions (Hydro)'!$AJ$2:$AL$2)/10^9),0)</f>
        <v>0</v>
      </c>
      <c r="BC1481" s="105"/>
      <c r="BD1481" s="105"/>
      <c r="BE1481" s="105"/>
      <c r="BF1481" s="105"/>
      <c r="BG1481" s="105"/>
      <c r="BH1481" s="105"/>
      <c r="BI1481" s="105"/>
      <c r="BJ1481" s="105"/>
      <c r="BK1481" s="105"/>
      <c r="BL1481" s="105"/>
    </row>
    <row r="1482" spans="1:71" ht="15.75" hidden="1" customHeight="1" outlineLevel="1">
      <c r="A1482" s="413"/>
      <c r="B1482" s="99"/>
      <c r="C1482" s="99"/>
      <c r="D1482" s="99"/>
      <c r="E1482" s="99"/>
      <c r="F1482" s="99"/>
      <c r="G1482" s="99"/>
      <c r="H1482" s="99"/>
      <c r="I1482" s="99"/>
      <c r="J1482" s="99"/>
      <c r="K1482" s="99"/>
      <c r="L1482" s="99"/>
      <c r="M1482" s="99"/>
      <c r="N1482" s="99"/>
      <c r="O1482" s="99"/>
      <c r="P1482" s="99"/>
      <c r="Q1482" s="99"/>
      <c r="R1482" s="99"/>
      <c r="S1482" s="99"/>
      <c r="T1482" s="99"/>
      <c r="U1482" s="99"/>
      <c r="V1482" s="99"/>
      <c r="W1482" s="105"/>
      <c r="X1482" s="105"/>
      <c r="Y1482" s="105"/>
      <c r="Z1482" s="105"/>
      <c r="AA1482" s="105"/>
      <c r="AB1482" s="105"/>
      <c r="AC1482" s="105"/>
      <c r="AD1482" s="105"/>
      <c r="AE1482" s="105"/>
      <c r="AF1482" s="105"/>
      <c r="AG1482" s="105"/>
      <c r="AH1482" s="105"/>
      <c r="AI1482" s="105"/>
      <c r="AJ1482" s="171"/>
      <c r="AK1482" s="105"/>
      <c r="AL1482" s="91"/>
      <c r="AM1482" s="91"/>
      <c r="AN1482" s="91"/>
      <c r="AO1482" s="105">
        <f>IF($AO$1335&gt;0,IPMT('Assumptions (Hydro)'!$V$6,Model!W$1,'Assumptions (Hydro)'!$V$9,'Assumptions (Hydro)'!$V$4*Model!$AO$1335*AVERAGE('Assumptions (Hydro)'!$AK$2:$AM$2)/10^9),0)</f>
        <v>0</v>
      </c>
      <c r="AP1482" s="105">
        <f>IF($AO$1335&gt;0,IPMT('Assumptions (Hydro)'!$V$6,Model!X$1,'Assumptions (Hydro)'!$V$9,'Assumptions (Hydro)'!$V$4*Model!$AO$1335*AVERAGE('Assumptions (Hydro)'!$AK$2:$AM$2)/10^9),0)</f>
        <v>0</v>
      </c>
      <c r="AQ1482" s="105">
        <f>IF($AO$1335&gt;0,IPMT('Assumptions (Hydro)'!$V$6,Model!Y$1,'Assumptions (Hydro)'!$V$9,'Assumptions (Hydro)'!$V$4*Model!$AO$1335*AVERAGE('Assumptions (Hydro)'!$AK$2:$AM$2)/10^9),0)</f>
        <v>0</v>
      </c>
      <c r="AR1482" s="105">
        <f>IF($AO$1335&gt;0,IPMT('Assumptions (Hydro)'!$V$6,Model!Z$1,'Assumptions (Hydro)'!$V$9,'Assumptions (Hydro)'!$V$4*Model!$AO$1335*AVERAGE('Assumptions (Hydro)'!$AK$2:$AM$2)/10^9),0)</f>
        <v>0</v>
      </c>
      <c r="AS1482" s="105">
        <f>IF($AO$1335&gt;0,IPMT('Assumptions (Hydro)'!$V$6,Model!AA$1,'Assumptions (Hydro)'!$V$9,'Assumptions (Hydro)'!$V$4*Model!$AO$1335*AVERAGE('Assumptions (Hydro)'!$AK$2:$AM$2)/10^9),0)</f>
        <v>0</v>
      </c>
      <c r="AT1482" s="105">
        <f>IF($AO$1335&gt;0,IPMT('Assumptions (Hydro)'!$V$6,Model!AB$1,'Assumptions (Hydro)'!$V$9,'Assumptions (Hydro)'!$V$4*Model!$AO$1335*AVERAGE('Assumptions (Hydro)'!$AK$2:$AM$2)/10^9),0)</f>
        <v>0</v>
      </c>
      <c r="AU1482" s="105">
        <f>IF($AO$1335&gt;0,IPMT('Assumptions (Hydro)'!$V$6,Model!AC$1,'Assumptions (Hydro)'!$V$9,'Assumptions (Hydro)'!$V$4*Model!$AO$1335*AVERAGE('Assumptions (Hydro)'!$AK$2:$AM$2)/10^9),0)</f>
        <v>0</v>
      </c>
      <c r="AV1482" s="105">
        <f>IF($AO$1335&gt;0,IPMT('Assumptions (Hydro)'!$V$6,Model!AD$1,'Assumptions (Hydro)'!$V$9,'Assumptions (Hydro)'!$V$4*Model!$AO$1335*AVERAGE('Assumptions (Hydro)'!$AK$2:$AM$2)/10^9),0)</f>
        <v>0</v>
      </c>
      <c r="AW1482" s="105">
        <f>IF($AO$1335&gt;0,IPMT('Assumptions (Hydro)'!$V$6,Model!AE$1,'Assumptions (Hydro)'!$V$9,'Assumptions (Hydro)'!$V$4*Model!$AO$1335*AVERAGE('Assumptions (Hydro)'!$AK$2:$AM$2)/10^9),0)</f>
        <v>0</v>
      </c>
      <c r="AX1482" s="105">
        <f>IF($AO$1335&gt;0,IPMT('Assumptions (Hydro)'!$V$6,Model!AF$1,'Assumptions (Hydro)'!$V$9,'Assumptions (Hydro)'!$V$4*Model!$AO$1335*AVERAGE('Assumptions (Hydro)'!$AK$2:$AM$2)/10^9),0)</f>
        <v>0</v>
      </c>
      <c r="AY1482" s="105">
        <f>IF($AO$1335&gt;0,IPMT('Assumptions (Hydro)'!$V$6,Model!AG$1,'Assumptions (Hydro)'!$V$9,'Assumptions (Hydro)'!$V$4*Model!$AO$1335*AVERAGE('Assumptions (Hydro)'!$AK$2:$AM$2)/10^9),0)</f>
        <v>0</v>
      </c>
      <c r="AZ1482" s="105">
        <f>IF($AO$1335&gt;0,IPMT('Assumptions (Hydro)'!$V$6,Model!AH$1,'Assumptions (Hydro)'!$V$9,'Assumptions (Hydro)'!$V$4*Model!$AO$1335*AVERAGE('Assumptions (Hydro)'!$AK$2:$AM$2)/10^9),0)</f>
        <v>0</v>
      </c>
      <c r="BA1482" s="105">
        <f>IF($AO$1335&gt;0,IPMT('Assumptions (Hydro)'!$V$6,Model!AI$1,'Assumptions (Hydro)'!$V$9,'Assumptions (Hydro)'!$V$4*Model!$AO$1335*AVERAGE('Assumptions (Hydro)'!$AK$2:$AM$2)/10^9),0)</f>
        <v>0</v>
      </c>
      <c r="BB1482" s="105">
        <f>IF($AO$1335&gt;0,IPMT('Assumptions (Hydro)'!$V$6,Model!AJ$1,'Assumptions (Hydro)'!$V$9,'Assumptions (Hydro)'!$V$4*Model!$AO$1335*AVERAGE('Assumptions (Hydro)'!$AK$2:$AM$2)/10^9),0)</f>
        <v>0</v>
      </c>
      <c r="BC1482" s="105">
        <f>IF($AO$1335&gt;0,IPMT('Assumptions (Hydro)'!$V$6,Model!AK$1,'Assumptions (Hydro)'!$V$9,'Assumptions (Hydro)'!$V$4*Model!$AO$1335*AVERAGE('Assumptions (Hydro)'!$AK$2:$AM$2)/10^9),0)</f>
        <v>0</v>
      </c>
      <c r="BD1482" s="105"/>
      <c r="BE1482" s="105"/>
      <c r="BF1482" s="105"/>
      <c r="BG1482" s="105"/>
      <c r="BH1482" s="105"/>
      <c r="BI1482" s="105"/>
      <c r="BJ1482" s="105"/>
      <c r="BK1482" s="105"/>
      <c r="BL1482" s="105"/>
      <c r="BM1482" s="105"/>
    </row>
    <row r="1483" spans="1:71" ht="15.75" hidden="1" customHeight="1" outlineLevel="1">
      <c r="A1483" s="413"/>
      <c r="B1483" s="99"/>
      <c r="C1483" s="99"/>
      <c r="D1483" s="99"/>
      <c r="E1483" s="99"/>
      <c r="F1483" s="99"/>
      <c r="G1483" s="99"/>
      <c r="H1483" s="99"/>
      <c r="I1483" s="99"/>
      <c r="J1483" s="99"/>
      <c r="K1483" s="99"/>
      <c r="L1483" s="99"/>
      <c r="M1483" s="99"/>
      <c r="N1483" s="99"/>
      <c r="O1483" s="99"/>
      <c r="P1483" s="99"/>
      <c r="Q1483" s="99"/>
      <c r="R1483" s="99"/>
      <c r="S1483" s="99"/>
      <c r="T1483" s="99"/>
      <c r="U1483" s="99"/>
      <c r="V1483" s="99"/>
      <c r="W1483" s="105"/>
      <c r="X1483" s="105"/>
      <c r="Y1483" s="105"/>
      <c r="Z1483" s="105"/>
      <c r="AA1483" s="105"/>
      <c r="AB1483" s="105"/>
      <c r="AC1483" s="105"/>
      <c r="AD1483" s="105"/>
      <c r="AE1483" s="105"/>
      <c r="AF1483" s="105"/>
      <c r="AG1483" s="105"/>
      <c r="AH1483" s="105"/>
      <c r="AI1483" s="105"/>
      <c r="AJ1483" s="171"/>
      <c r="AK1483" s="105"/>
      <c r="AL1483" s="91"/>
      <c r="AM1483" s="91"/>
      <c r="AN1483" s="91"/>
      <c r="AO1483" s="105"/>
      <c r="AP1483" s="105">
        <f>IF($AP$1335&gt;0,IPMT('Assumptions (Hydro)'!$V$6,Model!W$1,'Assumptions (Hydro)'!$V$9,'Assumptions (Hydro)'!$V$4*Model!$AP$1335*AVERAGE('Assumptions (Hydro)'!$AL$2:$AN$2)/10^9),0)</f>
        <v>0</v>
      </c>
      <c r="AQ1483" s="105">
        <f>IF($AP$1335&gt;0,IPMT('Assumptions (Hydro)'!$V$6,Model!X$1,'Assumptions (Hydro)'!$V$9,'Assumptions (Hydro)'!$V$4*Model!$AP$1335*AVERAGE('Assumptions (Hydro)'!$AL$2:$AN$2)/10^9),0)</f>
        <v>0</v>
      </c>
      <c r="AR1483" s="105">
        <f>IF($AP$1335&gt;0,IPMT('Assumptions (Hydro)'!$V$6,Model!Y$1,'Assumptions (Hydro)'!$V$9,'Assumptions (Hydro)'!$V$4*Model!$AP$1335*AVERAGE('Assumptions (Hydro)'!$AL$2:$AN$2)/10^9),0)</f>
        <v>0</v>
      </c>
      <c r="AS1483" s="105">
        <f>IF($AP$1335&gt;0,IPMT('Assumptions (Hydro)'!$V$6,Model!Z$1,'Assumptions (Hydro)'!$V$9,'Assumptions (Hydro)'!$V$4*Model!$AP$1335*AVERAGE('Assumptions (Hydro)'!$AL$2:$AN$2)/10^9),0)</f>
        <v>0</v>
      </c>
      <c r="AT1483" s="105">
        <f>IF($AP$1335&gt;0,IPMT('Assumptions (Hydro)'!$V$6,Model!AA$1,'Assumptions (Hydro)'!$V$9,'Assumptions (Hydro)'!$V$4*Model!$AP$1335*AVERAGE('Assumptions (Hydro)'!$AL$2:$AN$2)/10^9),0)</f>
        <v>0</v>
      </c>
      <c r="AU1483" s="105">
        <f>IF($AP$1335&gt;0,IPMT('Assumptions (Hydro)'!$V$6,Model!AB$1,'Assumptions (Hydro)'!$V$9,'Assumptions (Hydro)'!$V$4*Model!$AP$1335*AVERAGE('Assumptions (Hydro)'!$AL$2:$AN$2)/10^9),0)</f>
        <v>0</v>
      </c>
      <c r="AV1483" s="105">
        <f>IF($AP$1335&gt;0,IPMT('Assumptions (Hydro)'!$V$6,Model!AC$1,'Assumptions (Hydro)'!$V$9,'Assumptions (Hydro)'!$V$4*Model!$AP$1335*AVERAGE('Assumptions (Hydro)'!$AL$2:$AN$2)/10^9),0)</f>
        <v>0</v>
      </c>
      <c r="AW1483" s="105">
        <f>IF($AP$1335&gt;0,IPMT('Assumptions (Hydro)'!$V$6,Model!AD$1,'Assumptions (Hydro)'!$V$9,'Assumptions (Hydro)'!$V$4*Model!$AP$1335*AVERAGE('Assumptions (Hydro)'!$AL$2:$AN$2)/10^9),0)</f>
        <v>0</v>
      </c>
      <c r="AX1483" s="105">
        <f>IF($AP$1335&gt;0,IPMT('Assumptions (Hydro)'!$V$6,Model!AE$1,'Assumptions (Hydro)'!$V$9,'Assumptions (Hydro)'!$V$4*Model!$AP$1335*AVERAGE('Assumptions (Hydro)'!$AL$2:$AN$2)/10^9),0)</f>
        <v>0</v>
      </c>
      <c r="AY1483" s="105">
        <f>IF($AP$1335&gt;0,IPMT('Assumptions (Hydro)'!$V$6,Model!AF$1,'Assumptions (Hydro)'!$V$9,'Assumptions (Hydro)'!$V$4*Model!$AP$1335*AVERAGE('Assumptions (Hydro)'!$AL$2:$AN$2)/10^9),0)</f>
        <v>0</v>
      </c>
      <c r="AZ1483" s="105">
        <f>IF($AP$1335&gt;0,IPMT('Assumptions (Hydro)'!$V$6,Model!AG$1,'Assumptions (Hydro)'!$V$9,'Assumptions (Hydro)'!$V$4*Model!$AP$1335*AVERAGE('Assumptions (Hydro)'!$AL$2:$AN$2)/10^9),0)</f>
        <v>0</v>
      </c>
      <c r="BA1483" s="105">
        <f>IF($AP$1335&gt;0,IPMT('Assumptions (Hydro)'!$V$6,Model!AH$1,'Assumptions (Hydro)'!$V$9,'Assumptions (Hydro)'!$V$4*Model!$AP$1335*AVERAGE('Assumptions (Hydro)'!$AL$2:$AN$2)/10^9),0)</f>
        <v>0</v>
      </c>
      <c r="BB1483" s="105">
        <f>IF($AP$1335&gt;0,IPMT('Assumptions (Hydro)'!$V$6,Model!AI$1,'Assumptions (Hydro)'!$V$9,'Assumptions (Hydro)'!$V$4*Model!$AP$1335*AVERAGE('Assumptions (Hydro)'!$AL$2:$AN$2)/10^9),0)</f>
        <v>0</v>
      </c>
      <c r="BC1483" s="105">
        <f>IF($AP$1335&gt;0,IPMT('Assumptions (Hydro)'!$V$6,Model!AJ$1,'Assumptions (Hydro)'!$V$9,'Assumptions (Hydro)'!$V$4*Model!$AP$1335*AVERAGE('Assumptions (Hydro)'!$AL$2:$AN$2)/10^9),0)</f>
        <v>0</v>
      </c>
      <c r="BD1483" s="105">
        <f>IF($AP$1335&gt;0,IPMT('Assumptions (Hydro)'!$V$6,Model!AK$1,'Assumptions (Hydro)'!$V$9,'Assumptions (Hydro)'!$V$4*Model!$AP$1335*AVERAGE('Assumptions (Hydro)'!$AL$2:$AN$2)/10^9),0)</f>
        <v>0</v>
      </c>
      <c r="BE1483" s="105"/>
      <c r="BF1483" s="105"/>
      <c r="BG1483" s="105"/>
      <c r="BH1483" s="105"/>
      <c r="BI1483" s="105"/>
      <c r="BJ1483" s="105"/>
      <c r="BK1483" s="105"/>
      <c r="BL1483" s="105"/>
      <c r="BM1483" s="105"/>
      <c r="BN1483" s="105"/>
    </row>
    <row r="1484" spans="1:71" ht="15.75" hidden="1" customHeight="1" outlineLevel="1">
      <c r="A1484" s="413"/>
      <c r="B1484" s="99"/>
      <c r="C1484" s="99"/>
      <c r="D1484" s="99"/>
      <c r="E1484" s="99"/>
      <c r="F1484" s="99"/>
      <c r="G1484" s="99"/>
      <c r="H1484" s="99"/>
      <c r="I1484" s="99"/>
      <c r="J1484" s="99"/>
      <c r="K1484" s="99"/>
      <c r="L1484" s="99"/>
      <c r="M1484" s="99"/>
      <c r="N1484" s="99"/>
      <c r="O1484" s="99"/>
      <c r="P1484" s="99"/>
      <c r="Q1484" s="99"/>
      <c r="R1484" s="99"/>
      <c r="S1484" s="99"/>
      <c r="T1484" s="99"/>
      <c r="U1484" s="99"/>
      <c r="V1484" s="99"/>
      <c r="W1484" s="105"/>
      <c r="X1484" s="105"/>
      <c r="Y1484" s="105"/>
      <c r="Z1484" s="105"/>
      <c r="AA1484" s="105"/>
      <c r="AB1484" s="105"/>
      <c r="AC1484" s="105"/>
      <c r="AD1484" s="105"/>
      <c r="AE1484" s="105"/>
      <c r="AF1484" s="105"/>
      <c r="AG1484" s="105"/>
      <c r="AH1484" s="105"/>
      <c r="AI1484" s="105"/>
      <c r="AJ1484" s="171"/>
      <c r="AK1484" s="105"/>
      <c r="AL1484" s="91"/>
      <c r="AM1484" s="91"/>
      <c r="AN1484" s="91"/>
      <c r="AO1484" s="105"/>
      <c r="AP1484" s="105"/>
      <c r="AQ1484" s="105">
        <f>IF($AQ$1335&gt;0,IPMT('Assumptions (Hydro)'!$V$6,Model!W$1,'Assumptions (Hydro)'!$V$9,'Assumptions (Hydro)'!$V$4*Model!$AQ$1335*AVERAGE('Assumptions (Hydro)'!$AM$2:$AO$2)/10^9),0)</f>
        <v>0</v>
      </c>
      <c r="AR1484" s="105">
        <f>IF($AQ$1335&gt;0,IPMT('Assumptions (Hydro)'!$V$6,Model!X$1,'Assumptions (Hydro)'!$V$9,'Assumptions (Hydro)'!$V$4*Model!$AQ$1335*AVERAGE('Assumptions (Hydro)'!$AM$2:$AO$2)/10^9),0)</f>
        <v>0</v>
      </c>
      <c r="AS1484" s="105">
        <f>IF($AQ$1335&gt;0,IPMT('Assumptions (Hydro)'!$V$6,Model!Y$1,'Assumptions (Hydro)'!$V$9,'Assumptions (Hydro)'!$V$4*Model!$AQ$1335*AVERAGE('Assumptions (Hydro)'!$AM$2:$AO$2)/10^9),0)</f>
        <v>0</v>
      </c>
      <c r="AT1484" s="105">
        <f>IF($AQ$1335&gt;0,IPMT('Assumptions (Hydro)'!$V$6,Model!Z$1,'Assumptions (Hydro)'!$V$9,'Assumptions (Hydro)'!$V$4*Model!$AQ$1335*AVERAGE('Assumptions (Hydro)'!$AM$2:$AO$2)/10^9),0)</f>
        <v>0</v>
      </c>
      <c r="AU1484" s="105">
        <f>IF($AQ$1335&gt;0,IPMT('Assumptions (Hydro)'!$V$6,Model!AA$1,'Assumptions (Hydro)'!$V$9,'Assumptions (Hydro)'!$V$4*Model!$AQ$1335*AVERAGE('Assumptions (Hydro)'!$AM$2:$AO$2)/10^9),0)</f>
        <v>0</v>
      </c>
      <c r="AV1484" s="105">
        <f>IF($AQ$1335&gt;0,IPMT('Assumptions (Hydro)'!$V$6,Model!AB$1,'Assumptions (Hydro)'!$V$9,'Assumptions (Hydro)'!$V$4*Model!$AQ$1335*AVERAGE('Assumptions (Hydro)'!$AM$2:$AO$2)/10^9),0)</f>
        <v>0</v>
      </c>
      <c r="AW1484" s="105">
        <f>IF($AQ$1335&gt;0,IPMT('Assumptions (Hydro)'!$V$6,Model!AC$1,'Assumptions (Hydro)'!$V$9,'Assumptions (Hydro)'!$V$4*Model!$AQ$1335*AVERAGE('Assumptions (Hydro)'!$AM$2:$AO$2)/10^9),0)</f>
        <v>0</v>
      </c>
      <c r="AX1484" s="105">
        <f>IF($AQ$1335&gt;0,IPMT('Assumptions (Hydro)'!$V$6,Model!AD$1,'Assumptions (Hydro)'!$V$9,'Assumptions (Hydro)'!$V$4*Model!$AQ$1335*AVERAGE('Assumptions (Hydro)'!$AM$2:$AO$2)/10^9),0)</f>
        <v>0</v>
      </c>
      <c r="AY1484" s="105">
        <f>IF($AQ$1335&gt;0,IPMT('Assumptions (Hydro)'!$V$6,Model!AE$1,'Assumptions (Hydro)'!$V$9,'Assumptions (Hydro)'!$V$4*Model!$AQ$1335*AVERAGE('Assumptions (Hydro)'!$AM$2:$AO$2)/10^9),0)</f>
        <v>0</v>
      </c>
      <c r="AZ1484" s="105">
        <f>IF($AQ$1335&gt;0,IPMT('Assumptions (Hydro)'!$V$6,Model!AF$1,'Assumptions (Hydro)'!$V$9,'Assumptions (Hydro)'!$V$4*Model!$AQ$1335*AVERAGE('Assumptions (Hydro)'!$AM$2:$AO$2)/10^9),0)</f>
        <v>0</v>
      </c>
      <c r="BA1484" s="105">
        <f>IF($AQ$1335&gt;0,IPMT('Assumptions (Hydro)'!$V$6,Model!AG$1,'Assumptions (Hydro)'!$V$9,'Assumptions (Hydro)'!$V$4*Model!$AQ$1335*AVERAGE('Assumptions (Hydro)'!$AM$2:$AO$2)/10^9),0)</f>
        <v>0</v>
      </c>
      <c r="BB1484" s="105">
        <f>IF($AQ$1335&gt;0,IPMT('Assumptions (Hydro)'!$V$6,Model!AH$1,'Assumptions (Hydro)'!$V$9,'Assumptions (Hydro)'!$V$4*Model!$AQ$1335*AVERAGE('Assumptions (Hydro)'!$AM$2:$AO$2)/10^9),0)</f>
        <v>0</v>
      </c>
      <c r="BC1484" s="105">
        <f>IF($AQ$1335&gt;0,IPMT('Assumptions (Hydro)'!$V$6,Model!AI$1,'Assumptions (Hydro)'!$V$9,'Assumptions (Hydro)'!$V$4*Model!$AQ$1335*AVERAGE('Assumptions (Hydro)'!$AM$2:$AO$2)/10^9),0)</f>
        <v>0</v>
      </c>
      <c r="BD1484" s="105">
        <f>IF($AQ$1335&gt;0,IPMT('Assumptions (Hydro)'!$V$6,Model!AJ$1,'Assumptions (Hydro)'!$V$9,'Assumptions (Hydro)'!$V$4*Model!$AQ$1335*AVERAGE('Assumptions (Hydro)'!$AM$2:$AO$2)/10^9),0)</f>
        <v>0</v>
      </c>
      <c r="BE1484" s="105">
        <f>IF($AQ$1335&gt;0,IPMT('Assumptions (Hydro)'!$V$6,Model!AK$1,'Assumptions (Hydro)'!$V$9,'Assumptions (Hydro)'!$V$4*Model!$AQ$1335*AVERAGE('Assumptions (Hydro)'!$AM$2:$AO$2)/10^9),0)</f>
        <v>0</v>
      </c>
      <c r="BF1484" s="105"/>
      <c r="BG1484" s="105"/>
      <c r="BH1484" s="105"/>
      <c r="BI1484" s="105"/>
      <c r="BJ1484" s="105"/>
      <c r="BK1484" s="105"/>
      <c r="BL1484" s="105"/>
      <c r="BM1484" s="105"/>
      <c r="BN1484" s="105"/>
      <c r="BO1484" s="105"/>
    </row>
    <row r="1485" spans="1:71" ht="15.75" hidden="1" customHeight="1" outlineLevel="1">
      <c r="A1485" s="413"/>
      <c r="B1485" s="99"/>
      <c r="C1485" s="99"/>
      <c r="D1485" s="99"/>
      <c r="E1485" s="99"/>
      <c r="F1485" s="99"/>
      <c r="G1485" s="99"/>
      <c r="H1485" s="99"/>
      <c r="I1485" s="99"/>
      <c r="J1485" s="99"/>
      <c r="K1485" s="99"/>
      <c r="L1485" s="99"/>
      <c r="M1485" s="99"/>
      <c r="N1485" s="99"/>
      <c r="O1485" s="99"/>
      <c r="P1485" s="99"/>
      <c r="Q1485" s="99"/>
      <c r="R1485" s="99"/>
      <c r="S1485" s="99"/>
      <c r="T1485" s="99"/>
      <c r="U1485" s="99"/>
      <c r="V1485" s="99"/>
      <c r="W1485" s="105"/>
      <c r="X1485" s="105"/>
      <c r="Y1485" s="105"/>
      <c r="Z1485" s="105"/>
      <c r="AA1485" s="105"/>
      <c r="AB1485" s="105"/>
      <c r="AC1485" s="105"/>
      <c r="AD1485" s="105"/>
      <c r="AE1485" s="105"/>
      <c r="AF1485" s="105"/>
      <c r="AG1485" s="105"/>
      <c r="AH1485" s="105"/>
      <c r="AI1485" s="105"/>
      <c r="AJ1485" s="171"/>
      <c r="AK1485" s="105"/>
      <c r="AL1485" s="91"/>
      <c r="AM1485" s="91"/>
      <c r="AN1485" s="91"/>
      <c r="AO1485" s="105"/>
      <c r="AP1485" s="105"/>
      <c r="AQ1485" s="105"/>
      <c r="AR1485" s="105">
        <f>IF($AR$1335&gt;0,IPMT('Assumptions (Hydro)'!$V$6,Model!W$1,'Assumptions (Hydro)'!$V$9,'Assumptions (Hydro)'!$V$4*Model!$AR$1335*AVERAGE('Assumptions (Hydro)'!$AN$2:$AP$2)/10^9),0)</f>
        <v>0</v>
      </c>
      <c r="AS1485" s="105">
        <f>IF($AR$1335&gt;0,IPMT('Assumptions (Hydro)'!$V$6,Model!X$1,'Assumptions (Hydro)'!$V$9,'Assumptions (Hydro)'!$V$4*Model!$AR$1335*AVERAGE('Assumptions (Hydro)'!$AN$2:$AP$2)/10^9),0)</f>
        <v>0</v>
      </c>
      <c r="AT1485" s="105">
        <f>IF($AR$1335&gt;0,IPMT('Assumptions (Hydro)'!$V$6,Model!Y$1,'Assumptions (Hydro)'!$V$9,'Assumptions (Hydro)'!$V$4*Model!$AR$1335*AVERAGE('Assumptions (Hydro)'!$AN$2:$AP$2)/10^9),0)</f>
        <v>0</v>
      </c>
      <c r="AU1485" s="105">
        <f>IF($AR$1335&gt;0,IPMT('Assumptions (Hydro)'!$V$6,Model!Z$1,'Assumptions (Hydro)'!$V$9,'Assumptions (Hydro)'!$V$4*Model!$AR$1335*AVERAGE('Assumptions (Hydro)'!$AN$2:$AP$2)/10^9),0)</f>
        <v>0</v>
      </c>
      <c r="AV1485" s="105">
        <f>IF($AR$1335&gt;0,IPMT('Assumptions (Hydro)'!$V$6,Model!AA$1,'Assumptions (Hydro)'!$V$9,'Assumptions (Hydro)'!$V$4*Model!$AR$1335*AVERAGE('Assumptions (Hydro)'!$AN$2:$AP$2)/10^9),0)</f>
        <v>0</v>
      </c>
      <c r="AW1485" s="105">
        <f>IF($AR$1335&gt;0,IPMT('Assumptions (Hydro)'!$V$6,Model!AB$1,'Assumptions (Hydro)'!$V$9,'Assumptions (Hydro)'!$V$4*Model!$AR$1335*AVERAGE('Assumptions (Hydro)'!$AN$2:$AP$2)/10^9),0)</f>
        <v>0</v>
      </c>
      <c r="AX1485" s="105">
        <f>IF($AR$1335&gt;0,IPMT('Assumptions (Hydro)'!$V$6,Model!AC$1,'Assumptions (Hydro)'!$V$9,'Assumptions (Hydro)'!$V$4*Model!$AR$1335*AVERAGE('Assumptions (Hydro)'!$AN$2:$AP$2)/10^9),0)</f>
        <v>0</v>
      </c>
      <c r="AY1485" s="105">
        <f>IF($AR$1335&gt;0,IPMT('Assumptions (Hydro)'!$V$6,Model!AD$1,'Assumptions (Hydro)'!$V$9,'Assumptions (Hydro)'!$V$4*Model!$AR$1335*AVERAGE('Assumptions (Hydro)'!$AN$2:$AP$2)/10^9),0)</f>
        <v>0</v>
      </c>
      <c r="AZ1485" s="105">
        <f>IF($AR$1335&gt;0,IPMT('Assumptions (Hydro)'!$V$6,Model!AE$1,'Assumptions (Hydro)'!$V$9,'Assumptions (Hydro)'!$V$4*Model!$AR$1335*AVERAGE('Assumptions (Hydro)'!$AN$2:$AP$2)/10^9),0)</f>
        <v>0</v>
      </c>
      <c r="BA1485" s="105">
        <f>IF($AR$1335&gt;0,IPMT('Assumptions (Hydro)'!$V$6,Model!AF$1,'Assumptions (Hydro)'!$V$9,'Assumptions (Hydro)'!$V$4*Model!$AR$1335*AVERAGE('Assumptions (Hydro)'!$AN$2:$AP$2)/10^9),0)</f>
        <v>0</v>
      </c>
      <c r="BB1485" s="105">
        <f>IF($AR$1335&gt;0,IPMT('Assumptions (Hydro)'!$V$6,Model!AG$1,'Assumptions (Hydro)'!$V$9,'Assumptions (Hydro)'!$V$4*Model!$AR$1335*AVERAGE('Assumptions (Hydro)'!$AN$2:$AP$2)/10^9),0)</f>
        <v>0</v>
      </c>
      <c r="BC1485" s="105">
        <f>IF($AR$1335&gt;0,IPMT('Assumptions (Hydro)'!$V$6,Model!AH$1,'Assumptions (Hydro)'!$V$9,'Assumptions (Hydro)'!$V$4*Model!$AR$1335*AVERAGE('Assumptions (Hydro)'!$AN$2:$AP$2)/10^9),0)</f>
        <v>0</v>
      </c>
      <c r="BD1485" s="105">
        <f>IF($AR$1335&gt;0,IPMT('Assumptions (Hydro)'!$V$6,Model!AI$1,'Assumptions (Hydro)'!$V$9,'Assumptions (Hydro)'!$V$4*Model!$AR$1335*AVERAGE('Assumptions (Hydro)'!$AN$2:$AP$2)/10^9),0)</f>
        <v>0</v>
      </c>
      <c r="BE1485" s="105">
        <f>IF($AR$1335&gt;0,IPMT('Assumptions (Hydro)'!$V$6,Model!AJ$1,'Assumptions (Hydro)'!$V$9,'Assumptions (Hydro)'!$V$4*Model!$AR$1335*AVERAGE('Assumptions (Hydro)'!$AN$2:$AP$2)/10^9),0)</f>
        <v>0</v>
      </c>
      <c r="BF1485" s="105">
        <f>IF($AR$1335&gt;0,IPMT('Assumptions (Hydro)'!$V$6,Model!AK$1,'Assumptions (Hydro)'!$V$9,'Assumptions (Hydro)'!$V$4*Model!$AR$1335*AVERAGE('Assumptions (Hydro)'!$AN$2:$AP$2)/10^9),0)</f>
        <v>0</v>
      </c>
      <c r="BG1485" s="105"/>
      <c r="BH1485" s="105"/>
      <c r="BI1485" s="105"/>
      <c r="BJ1485" s="105"/>
      <c r="BK1485" s="105"/>
      <c r="BL1485" s="105"/>
      <c r="BM1485" s="105"/>
      <c r="BN1485" s="105"/>
      <c r="BO1485" s="105"/>
      <c r="BP1485" s="105"/>
    </row>
    <row r="1486" spans="1:71" ht="15.75" hidden="1" customHeight="1" outlineLevel="1">
      <c r="A1486" s="413"/>
      <c r="B1486" s="99"/>
      <c r="C1486" s="99"/>
      <c r="D1486" s="99"/>
      <c r="E1486" s="99"/>
      <c r="F1486" s="99"/>
      <c r="G1486" s="99"/>
      <c r="H1486" s="99"/>
      <c r="I1486" s="99"/>
      <c r="J1486" s="99"/>
      <c r="K1486" s="99"/>
      <c r="L1486" s="99"/>
      <c r="M1486" s="99"/>
      <c r="N1486" s="99"/>
      <c r="O1486" s="99"/>
      <c r="P1486" s="99"/>
      <c r="Q1486" s="99"/>
      <c r="R1486" s="99"/>
      <c r="S1486" s="99"/>
      <c r="T1486" s="99"/>
      <c r="U1486" s="99"/>
      <c r="V1486" s="99"/>
      <c r="W1486" s="105"/>
      <c r="X1486" s="105"/>
      <c r="Y1486" s="105"/>
      <c r="Z1486" s="105"/>
      <c r="AA1486" s="105"/>
      <c r="AB1486" s="105"/>
      <c r="AC1486" s="105"/>
      <c r="AD1486" s="105"/>
      <c r="AE1486" s="105"/>
      <c r="AF1486" s="105"/>
      <c r="AG1486" s="105"/>
      <c r="AH1486" s="105"/>
      <c r="AI1486" s="105"/>
      <c r="AJ1486" s="171"/>
      <c r="AK1486" s="105"/>
      <c r="AL1486" s="91"/>
      <c r="AM1486" s="91"/>
      <c r="AN1486" s="91"/>
      <c r="AO1486" s="105"/>
      <c r="AP1486" s="105"/>
      <c r="AQ1486" s="105"/>
      <c r="AR1486" s="105"/>
      <c r="AS1486" s="105">
        <f>IF($AS$1335&gt;0,IPMT('Assumptions (Hydro)'!$V$6,Model!W$1,'Assumptions (Hydro)'!$V$9,'Assumptions (Hydro)'!$V$4*Model!$AS$1335*AVERAGE('Assumptions (Hydro)'!$AO$2:$AQ$2)/10^9),0)</f>
        <v>0</v>
      </c>
      <c r="AT1486" s="105">
        <f>IF($AS$1335&gt;0,IPMT('Assumptions (Hydro)'!$V$6,Model!X$1,'Assumptions (Hydro)'!$V$9,'Assumptions (Hydro)'!$V$4*Model!$AS$1335*AVERAGE('Assumptions (Hydro)'!$AO$2:$AQ$2)/10^9),0)</f>
        <v>0</v>
      </c>
      <c r="AU1486" s="105">
        <f>IF($AS$1335&gt;0,IPMT('Assumptions (Hydro)'!$V$6,Model!Y$1,'Assumptions (Hydro)'!$V$9,'Assumptions (Hydro)'!$V$4*Model!$AS$1335*AVERAGE('Assumptions (Hydro)'!$AO$2:$AQ$2)/10^9),0)</f>
        <v>0</v>
      </c>
      <c r="AV1486" s="105">
        <f>IF($AS$1335&gt;0,IPMT('Assumptions (Hydro)'!$V$6,Model!Z$1,'Assumptions (Hydro)'!$V$9,'Assumptions (Hydro)'!$V$4*Model!$AS$1335*AVERAGE('Assumptions (Hydro)'!$AO$2:$AQ$2)/10^9),0)</f>
        <v>0</v>
      </c>
      <c r="AW1486" s="105">
        <f>IF($AS$1335&gt;0,IPMT('Assumptions (Hydro)'!$V$6,Model!AA$1,'Assumptions (Hydro)'!$V$9,'Assumptions (Hydro)'!$V$4*Model!$AS$1335*AVERAGE('Assumptions (Hydro)'!$AO$2:$AQ$2)/10^9),0)</f>
        <v>0</v>
      </c>
      <c r="AX1486" s="105">
        <f>IF($AS$1335&gt;0,IPMT('Assumptions (Hydro)'!$V$6,Model!AB$1,'Assumptions (Hydro)'!$V$9,'Assumptions (Hydro)'!$V$4*Model!$AS$1335*AVERAGE('Assumptions (Hydro)'!$AO$2:$AQ$2)/10^9),0)</f>
        <v>0</v>
      </c>
      <c r="AY1486" s="105">
        <f>IF($AS$1335&gt;0,IPMT('Assumptions (Hydro)'!$V$6,Model!AC$1,'Assumptions (Hydro)'!$V$9,'Assumptions (Hydro)'!$V$4*Model!$AS$1335*AVERAGE('Assumptions (Hydro)'!$AO$2:$AQ$2)/10^9),0)</f>
        <v>0</v>
      </c>
      <c r="AZ1486" s="105">
        <f>IF($AS$1335&gt;0,IPMT('Assumptions (Hydro)'!$V$6,Model!AD$1,'Assumptions (Hydro)'!$V$9,'Assumptions (Hydro)'!$V$4*Model!$AS$1335*AVERAGE('Assumptions (Hydro)'!$AO$2:$AQ$2)/10^9),0)</f>
        <v>0</v>
      </c>
      <c r="BA1486" s="105">
        <f>IF($AS$1335&gt;0,IPMT('Assumptions (Hydro)'!$V$6,Model!AE$1,'Assumptions (Hydro)'!$V$9,'Assumptions (Hydro)'!$V$4*Model!$AS$1335*AVERAGE('Assumptions (Hydro)'!$AO$2:$AQ$2)/10^9),0)</f>
        <v>0</v>
      </c>
      <c r="BB1486" s="105">
        <f>IF($AS$1335&gt;0,IPMT('Assumptions (Hydro)'!$V$6,Model!AF$1,'Assumptions (Hydro)'!$V$9,'Assumptions (Hydro)'!$V$4*Model!$AS$1335*AVERAGE('Assumptions (Hydro)'!$AO$2:$AQ$2)/10^9),0)</f>
        <v>0</v>
      </c>
      <c r="BC1486" s="105">
        <f>IF($AS$1335&gt;0,IPMT('Assumptions (Hydro)'!$V$6,Model!AG$1,'Assumptions (Hydro)'!$V$9,'Assumptions (Hydro)'!$V$4*Model!$AS$1335*AVERAGE('Assumptions (Hydro)'!$AO$2:$AQ$2)/10^9),0)</f>
        <v>0</v>
      </c>
      <c r="BD1486" s="105">
        <f>IF($AS$1335&gt;0,IPMT('Assumptions (Hydro)'!$V$6,Model!AH$1,'Assumptions (Hydro)'!$V$9,'Assumptions (Hydro)'!$V$4*Model!$AS$1335*AVERAGE('Assumptions (Hydro)'!$AO$2:$AQ$2)/10^9),0)</f>
        <v>0</v>
      </c>
      <c r="BE1486" s="105">
        <f>IF($AS$1335&gt;0,IPMT('Assumptions (Hydro)'!$V$6,Model!AI$1,'Assumptions (Hydro)'!$V$9,'Assumptions (Hydro)'!$V$4*Model!$AS$1335*AVERAGE('Assumptions (Hydro)'!$AO$2:$AQ$2)/10^9),0)</f>
        <v>0</v>
      </c>
      <c r="BF1486" s="105">
        <f>IF($AS$1335&gt;0,IPMT('Assumptions (Hydro)'!$V$6,Model!AJ$1,'Assumptions (Hydro)'!$V$9,'Assumptions (Hydro)'!$V$4*Model!$AS$1335*AVERAGE('Assumptions (Hydro)'!$AO$2:$AQ$2)/10^9),0)</f>
        <v>0</v>
      </c>
      <c r="BG1486" s="105">
        <f>IF($AS$1335&gt;0,IPMT('Assumptions (Hydro)'!$V$6,Model!AK$1,'Assumptions (Hydro)'!$V$9,'Assumptions (Hydro)'!$V$4*Model!$AS$1335*AVERAGE('Assumptions (Hydro)'!$AO$2:$AQ$2)/10^9),0)</f>
        <v>0</v>
      </c>
      <c r="BH1486" s="105"/>
      <c r="BI1486" s="105"/>
      <c r="BJ1486" s="105"/>
      <c r="BK1486" s="105"/>
      <c r="BL1486" s="105"/>
      <c r="BM1486" s="105"/>
      <c r="BN1486" s="105"/>
      <c r="BO1486" s="105"/>
      <c r="BP1486" s="105"/>
      <c r="BQ1486" s="105"/>
      <c r="BR1486" s="105"/>
    </row>
    <row r="1487" spans="1:71" ht="15.75" hidden="1" customHeight="1" outlineLevel="1">
      <c r="A1487" s="413"/>
      <c r="B1487" s="99"/>
      <c r="C1487" s="99"/>
      <c r="D1487" s="99"/>
      <c r="E1487" s="99"/>
      <c r="F1487" s="99"/>
      <c r="G1487" s="99"/>
      <c r="H1487" s="99"/>
      <c r="I1487" s="99"/>
      <c r="J1487" s="99"/>
      <c r="K1487" s="99"/>
      <c r="L1487" s="99"/>
      <c r="M1487" s="99"/>
      <c r="N1487" s="99"/>
      <c r="O1487" s="99"/>
      <c r="P1487" s="99"/>
      <c r="Q1487" s="99"/>
      <c r="R1487" s="99"/>
      <c r="S1487" s="99"/>
      <c r="T1487" s="99"/>
      <c r="U1487" s="99"/>
      <c r="V1487" s="99"/>
      <c r="W1487" s="105"/>
      <c r="X1487" s="105"/>
      <c r="Y1487" s="105"/>
      <c r="Z1487" s="105"/>
      <c r="AA1487" s="105"/>
      <c r="AB1487" s="105"/>
      <c r="AC1487" s="105"/>
      <c r="AD1487" s="105"/>
      <c r="AE1487" s="105"/>
      <c r="AF1487" s="105"/>
      <c r="AG1487" s="105"/>
      <c r="AH1487" s="105"/>
      <c r="AI1487" s="105"/>
      <c r="AJ1487" s="171"/>
      <c r="AK1487" s="105"/>
      <c r="AL1487" s="91"/>
      <c r="AM1487" s="91"/>
      <c r="AN1487" s="91"/>
      <c r="AO1487" s="105"/>
      <c r="AP1487" s="105"/>
      <c r="AQ1487" s="105"/>
      <c r="AR1487" s="105"/>
      <c r="AS1487" s="105"/>
      <c r="AT1487" s="105">
        <f>IF($AT$1335&gt;0,IPMT('Assumptions (Hydro)'!$V$6,Model!W$1,'Assumptions (Hydro)'!$V$9,'Assumptions (Hydro)'!$V$4*Model!$AT$1335*AVERAGE('Assumptions (Hydro)'!$AP$2:$AR$2)/10^9),0)</f>
        <v>0</v>
      </c>
      <c r="AU1487" s="105">
        <f>IF($AT$1335&gt;0,IPMT('Assumptions (Hydro)'!$V$6,Model!X$1,'Assumptions (Hydro)'!$V$9,'Assumptions (Hydro)'!$V$4*Model!$AT$1335*AVERAGE('Assumptions (Hydro)'!$AP$2:$AR$2)/10^9),0)</f>
        <v>0</v>
      </c>
      <c r="AV1487" s="105">
        <f>IF($AT$1335&gt;0,IPMT('Assumptions (Hydro)'!$V$6,Model!Y$1,'Assumptions (Hydro)'!$V$9,'Assumptions (Hydro)'!$V$4*Model!$AT$1335*AVERAGE('Assumptions (Hydro)'!$AP$2:$AR$2)/10^9),0)</f>
        <v>0</v>
      </c>
      <c r="AW1487" s="105">
        <f>IF($AT$1335&gt;0,IPMT('Assumptions (Hydro)'!$V$6,Model!Z$1,'Assumptions (Hydro)'!$V$9,'Assumptions (Hydro)'!$V$4*Model!$AT$1335*AVERAGE('Assumptions (Hydro)'!$AP$2:$AR$2)/10^9),0)</f>
        <v>0</v>
      </c>
      <c r="AX1487" s="105">
        <f>IF($AT$1335&gt;0,IPMT('Assumptions (Hydro)'!$V$6,Model!AA$1,'Assumptions (Hydro)'!$V$9,'Assumptions (Hydro)'!$V$4*Model!$AT$1335*AVERAGE('Assumptions (Hydro)'!$AP$2:$AR$2)/10^9),0)</f>
        <v>0</v>
      </c>
      <c r="AY1487" s="105">
        <f>IF($AT$1335&gt;0,IPMT('Assumptions (Hydro)'!$V$6,Model!AB$1,'Assumptions (Hydro)'!$V$9,'Assumptions (Hydro)'!$V$4*Model!$AT$1335*AVERAGE('Assumptions (Hydro)'!$AP$2:$AR$2)/10^9),0)</f>
        <v>0</v>
      </c>
      <c r="AZ1487" s="105">
        <f>IF($AT$1335&gt;0,IPMT('Assumptions (Hydro)'!$V$6,Model!AC$1,'Assumptions (Hydro)'!$V$9,'Assumptions (Hydro)'!$V$4*Model!$AT$1335*AVERAGE('Assumptions (Hydro)'!$AP$2:$AR$2)/10^9),0)</f>
        <v>0</v>
      </c>
      <c r="BA1487" s="105">
        <f>IF($AT$1335&gt;0,IPMT('Assumptions (Hydro)'!$V$6,Model!AD$1,'Assumptions (Hydro)'!$V$9,'Assumptions (Hydro)'!$V$4*Model!$AT$1335*AVERAGE('Assumptions (Hydro)'!$AP$2:$AR$2)/10^9),0)</f>
        <v>0</v>
      </c>
      <c r="BB1487" s="105">
        <f>IF($AT$1335&gt;0,IPMT('Assumptions (Hydro)'!$V$6,Model!AE$1,'Assumptions (Hydro)'!$V$9,'Assumptions (Hydro)'!$V$4*Model!$AT$1335*AVERAGE('Assumptions (Hydro)'!$AP$2:$AR$2)/10^9),0)</f>
        <v>0</v>
      </c>
      <c r="BC1487" s="105">
        <f>IF($AT$1335&gt;0,IPMT('Assumptions (Hydro)'!$V$6,Model!AF$1,'Assumptions (Hydro)'!$V$9,'Assumptions (Hydro)'!$V$4*Model!$AT$1335*AVERAGE('Assumptions (Hydro)'!$AP$2:$AR$2)/10^9),0)</f>
        <v>0</v>
      </c>
      <c r="BD1487" s="105">
        <f>IF($AT$1335&gt;0,IPMT('Assumptions (Hydro)'!$V$6,Model!AG$1,'Assumptions (Hydro)'!$V$9,'Assumptions (Hydro)'!$V$4*Model!$AT$1335*AVERAGE('Assumptions (Hydro)'!$AP$2:$AR$2)/10^9),0)</f>
        <v>0</v>
      </c>
      <c r="BE1487" s="105">
        <f>IF($AT$1335&gt;0,IPMT('Assumptions (Hydro)'!$V$6,Model!AH$1,'Assumptions (Hydro)'!$V$9,'Assumptions (Hydro)'!$V$4*Model!$AT$1335*AVERAGE('Assumptions (Hydro)'!$AP$2:$AR$2)/10^9),0)</f>
        <v>0</v>
      </c>
      <c r="BF1487" s="105">
        <f>IF($AT$1335&gt;0,IPMT('Assumptions (Hydro)'!$V$6,Model!AI$1,'Assumptions (Hydro)'!$V$9,'Assumptions (Hydro)'!$V$4*Model!$AT$1335*AVERAGE('Assumptions (Hydro)'!$AP$2:$AR$2)/10^9),0)</f>
        <v>0</v>
      </c>
      <c r="BG1487" s="105">
        <f>IF($AT$1335&gt;0,IPMT('Assumptions (Hydro)'!$V$6,Model!AJ$1,'Assumptions (Hydro)'!$V$9,'Assumptions (Hydro)'!$V$4*Model!$AT$1335*AVERAGE('Assumptions (Hydro)'!$AP$2:$AR$2)/10^9),0)</f>
        <v>0</v>
      </c>
      <c r="BH1487" s="105">
        <f>IF($AT$1335&gt;0,IPMT('Assumptions (Hydro)'!$V$6,Model!AK$1,'Assumptions (Hydro)'!$V$9,'Assumptions (Hydro)'!$V$4*Model!$AT$1335*AVERAGE('Assumptions (Hydro)'!$AP$2:$AR$2)/10^9),0)</f>
        <v>0</v>
      </c>
      <c r="BI1487" s="105"/>
      <c r="BJ1487" s="105"/>
      <c r="BK1487" s="105"/>
      <c r="BL1487" s="105"/>
      <c r="BM1487" s="105"/>
      <c r="BN1487" s="105"/>
      <c r="BO1487" s="105"/>
      <c r="BP1487" s="105"/>
      <c r="BQ1487" s="105"/>
      <c r="BR1487" s="105"/>
    </row>
    <row r="1488" spans="1:71" ht="15.75" hidden="1" customHeight="1" outlineLevel="1">
      <c r="A1488" s="413"/>
      <c r="B1488" s="99"/>
      <c r="C1488" s="99"/>
      <c r="D1488" s="99"/>
      <c r="E1488" s="99"/>
      <c r="F1488" s="99"/>
      <c r="G1488" s="99"/>
      <c r="H1488" s="99"/>
      <c r="I1488" s="99"/>
      <c r="J1488" s="99"/>
      <c r="K1488" s="99"/>
      <c r="L1488" s="99"/>
      <c r="M1488" s="99"/>
      <c r="N1488" s="99"/>
      <c r="O1488" s="99"/>
      <c r="P1488" s="99"/>
      <c r="Q1488" s="99"/>
      <c r="R1488" s="99"/>
      <c r="S1488" s="99"/>
      <c r="T1488" s="99"/>
      <c r="U1488" s="99"/>
      <c r="V1488" s="99"/>
      <c r="W1488" s="105"/>
      <c r="X1488" s="105"/>
      <c r="Y1488" s="105"/>
      <c r="Z1488" s="105"/>
      <c r="AA1488" s="105"/>
      <c r="AB1488" s="105"/>
      <c r="AC1488" s="105"/>
      <c r="AD1488" s="105"/>
      <c r="AE1488" s="105"/>
      <c r="AF1488" s="105"/>
      <c r="AG1488" s="105"/>
      <c r="AH1488" s="105"/>
      <c r="AI1488" s="105"/>
      <c r="AJ1488" s="171"/>
      <c r="AK1488" s="105"/>
      <c r="AL1488" s="91"/>
      <c r="AM1488" s="91"/>
      <c r="AN1488" s="91"/>
      <c r="AO1488" s="105"/>
      <c r="AP1488" s="105"/>
      <c r="AQ1488" s="105"/>
      <c r="AR1488" s="105"/>
      <c r="AS1488" s="105"/>
      <c r="AT1488" s="105"/>
      <c r="AU1488" s="105">
        <f>IF($AU$1335&gt;0,IPMT('Assumptions (Hydro)'!$V$6,Model!W$1,'Assumptions (Hydro)'!$V$9,'Assumptions (Hydro)'!$V$4*Model!$AU$1335*AVERAGE('Assumptions (Hydro)'!$AQ$2:$AS$2)/10^9),0)</f>
        <v>0</v>
      </c>
      <c r="AV1488" s="105">
        <f>IF($AU$1335&gt;0,IPMT('Assumptions (Hydro)'!$V$6,Model!X$1,'Assumptions (Hydro)'!$V$9,'Assumptions (Hydro)'!$V$4*Model!$AU$1335*AVERAGE('Assumptions (Hydro)'!$AQ$2:$AS$2)/10^9),0)</f>
        <v>0</v>
      </c>
      <c r="AW1488" s="105">
        <f>IF($AU$1335&gt;0,IPMT('Assumptions (Hydro)'!$V$6,Model!Y$1,'Assumptions (Hydro)'!$V$9,'Assumptions (Hydro)'!$V$4*Model!$AU$1335*AVERAGE('Assumptions (Hydro)'!$AQ$2:$AS$2)/10^9),0)</f>
        <v>0</v>
      </c>
      <c r="AX1488" s="105">
        <f>IF($AU$1335&gt;0,IPMT('Assumptions (Hydro)'!$V$6,Model!Z$1,'Assumptions (Hydro)'!$V$9,'Assumptions (Hydro)'!$V$4*Model!$AU$1335*AVERAGE('Assumptions (Hydro)'!$AQ$2:$AS$2)/10^9),0)</f>
        <v>0</v>
      </c>
      <c r="AY1488" s="105">
        <f>IF($AU$1335&gt;0,IPMT('Assumptions (Hydro)'!$V$6,Model!AA$1,'Assumptions (Hydro)'!$V$9,'Assumptions (Hydro)'!$V$4*Model!$AU$1335*AVERAGE('Assumptions (Hydro)'!$AQ$2:$AS$2)/10^9),0)</f>
        <v>0</v>
      </c>
      <c r="AZ1488" s="105">
        <f>IF($AU$1335&gt;0,IPMT('Assumptions (Hydro)'!$V$6,Model!AB$1,'Assumptions (Hydro)'!$V$9,'Assumptions (Hydro)'!$V$4*Model!$AU$1335*AVERAGE('Assumptions (Hydro)'!$AQ$2:$AS$2)/10^9),0)</f>
        <v>0</v>
      </c>
      <c r="BA1488" s="105">
        <f>IF($AU$1335&gt;0,IPMT('Assumptions (Hydro)'!$V$6,Model!AC$1,'Assumptions (Hydro)'!$V$9,'Assumptions (Hydro)'!$V$4*Model!$AU$1335*AVERAGE('Assumptions (Hydro)'!$AQ$2:$AS$2)/10^9),0)</f>
        <v>0</v>
      </c>
      <c r="BB1488" s="105">
        <f>IF($AU$1335&gt;0,IPMT('Assumptions (Hydro)'!$V$6,Model!AD$1,'Assumptions (Hydro)'!$V$9,'Assumptions (Hydro)'!$V$4*Model!$AU$1335*AVERAGE('Assumptions (Hydro)'!$AQ$2:$AS$2)/10^9),0)</f>
        <v>0</v>
      </c>
      <c r="BC1488" s="105">
        <f>IF($AU$1335&gt;0,IPMT('Assumptions (Hydro)'!$V$6,Model!AE$1,'Assumptions (Hydro)'!$V$9,'Assumptions (Hydro)'!$V$4*Model!$AU$1335*AVERAGE('Assumptions (Hydro)'!$AQ$2:$AS$2)/10^9),0)</f>
        <v>0</v>
      </c>
      <c r="BD1488" s="105">
        <f>IF($AU$1335&gt;0,IPMT('Assumptions (Hydro)'!$V$6,Model!AF$1,'Assumptions (Hydro)'!$V$9,'Assumptions (Hydro)'!$V$4*Model!$AU$1335*AVERAGE('Assumptions (Hydro)'!$AQ$2:$AS$2)/10^9),0)</f>
        <v>0</v>
      </c>
      <c r="BE1488" s="105">
        <f>IF($AU$1335&gt;0,IPMT('Assumptions (Hydro)'!$V$6,Model!AG$1,'Assumptions (Hydro)'!$V$9,'Assumptions (Hydro)'!$V$4*Model!$AU$1335*AVERAGE('Assumptions (Hydro)'!$AQ$2:$AS$2)/10^9),0)</f>
        <v>0</v>
      </c>
      <c r="BF1488" s="105">
        <f>IF($AU$1335&gt;0,IPMT('Assumptions (Hydro)'!$V$6,Model!AH$1,'Assumptions (Hydro)'!$V$9,'Assumptions (Hydro)'!$V$4*Model!$AU$1335*AVERAGE('Assumptions (Hydro)'!$AQ$2:$AS$2)/10^9),0)</f>
        <v>0</v>
      </c>
      <c r="BG1488" s="105">
        <f>IF($AU$1335&gt;0,IPMT('Assumptions (Hydro)'!$V$6,Model!AI$1,'Assumptions (Hydro)'!$V$9,'Assumptions (Hydro)'!$V$4*Model!$AU$1335*AVERAGE('Assumptions (Hydro)'!$AQ$2:$AS$2)/10^9),0)</f>
        <v>0</v>
      </c>
      <c r="BH1488" s="105">
        <f>IF($AU$1335&gt;0,IPMT('Assumptions (Hydro)'!$V$6,Model!AJ$1,'Assumptions (Hydro)'!$V$9,'Assumptions (Hydro)'!$V$4*Model!$AU$1335*AVERAGE('Assumptions (Hydro)'!$AQ$2:$AS$2)/10^9),0)</f>
        <v>0</v>
      </c>
      <c r="BI1488" s="105">
        <f>IF($AU$1335&gt;0,IPMT('Assumptions (Hydro)'!$V$6,Model!AK$1,'Assumptions (Hydro)'!$V$9,'Assumptions (Hydro)'!$V$4*Model!$AU$1335*AVERAGE('Assumptions (Hydro)'!$AQ$2:$AS$2)/10^9),0)</f>
        <v>0</v>
      </c>
      <c r="BJ1488" s="105"/>
      <c r="BK1488" s="105"/>
      <c r="BL1488" s="105"/>
      <c r="BM1488" s="105"/>
      <c r="BN1488" s="105"/>
      <c r="BO1488" s="105"/>
      <c r="BP1488" s="105"/>
      <c r="BQ1488" s="105"/>
      <c r="BR1488" s="105"/>
      <c r="BS1488" s="105"/>
    </row>
    <row r="1489" spans="1:77" ht="15.75" hidden="1" customHeight="1" outlineLevel="1">
      <c r="A1489" s="413"/>
      <c r="B1489" s="99"/>
      <c r="C1489" s="99"/>
      <c r="D1489" s="99"/>
      <c r="E1489" s="99"/>
      <c r="F1489" s="99"/>
      <c r="G1489" s="99"/>
      <c r="H1489" s="99"/>
      <c r="I1489" s="99"/>
      <c r="J1489" s="99"/>
      <c r="K1489" s="99"/>
      <c r="L1489" s="99"/>
      <c r="M1489" s="99"/>
      <c r="N1489" s="99"/>
      <c r="O1489" s="99"/>
      <c r="P1489" s="99"/>
      <c r="Q1489" s="99"/>
      <c r="R1489" s="99"/>
      <c r="S1489" s="99"/>
      <c r="T1489" s="99"/>
      <c r="U1489" s="99"/>
      <c r="V1489" s="99"/>
      <c r="W1489" s="105"/>
      <c r="X1489" s="105"/>
      <c r="Y1489" s="105"/>
      <c r="Z1489" s="105"/>
      <c r="AA1489" s="105"/>
      <c r="AB1489" s="105"/>
      <c r="AC1489" s="105"/>
      <c r="AD1489" s="105"/>
      <c r="AE1489" s="105"/>
      <c r="AF1489" s="105"/>
      <c r="AG1489" s="105"/>
      <c r="AH1489" s="105"/>
      <c r="AI1489" s="105"/>
      <c r="AJ1489" s="171"/>
      <c r="AK1489" s="105"/>
      <c r="AL1489" s="91"/>
      <c r="AM1489" s="91"/>
      <c r="AN1489" s="91"/>
      <c r="AO1489" s="105"/>
      <c r="AP1489" s="105"/>
      <c r="AQ1489" s="105"/>
      <c r="AR1489" s="105"/>
      <c r="AS1489" s="105"/>
      <c r="AT1489" s="105"/>
      <c r="AU1489" s="105"/>
      <c r="AV1489" s="105">
        <f>IF($AV$1335&gt;0,IPMT('Assumptions (Hydro)'!$V$6,Model!W$1,'Assumptions (Hydro)'!$V$9,'Assumptions (Hydro)'!$V$4*Model!$AV$1335*AVERAGE('Assumptions (Hydro)'!$AR$2:$AT$2)/10^9),0)</f>
        <v>0</v>
      </c>
      <c r="AW1489" s="105">
        <f>IF($AV$1335&gt;0,IPMT('Assumptions (Hydro)'!$V$6,Model!X$1,'Assumptions (Hydro)'!$V$9,'Assumptions (Hydro)'!$V$4*Model!$AV$1335*AVERAGE('Assumptions (Hydro)'!$AR$2:$AT$2)/10^9),0)</f>
        <v>0</v>
      </c>
      <c r="AX1489" s="105">
        <f>IF($AV$1335&gt;0,IPMT('Assumptions (Hydro)'!$V$6,Model!Y$1,'Assumptions (Hydro)'!$V$9,'Assumptions (Hydro)'!$V$4*Model!$AV$1335*AVERAGE('Assumptions (Hydro)'!$AR$2:$AT$2)/10^9),0)</f>
        <v>0</v>
      </c>
      <c r="AY1489" s="105">
        <f>IF($AV$1335&gt;0,IPMT('Assumptions (Hydro)'!$V$6,Model!Z$1,'Assumptions (Hydro)'!$V$9,'Assumptions (Hydro)'!$V$4*Model!$AV$1335*AVERAGE('Assumptions (Hydro)'!$AR$2:$AT$2)/10^9),0)</f>
        <v>0</v>
      </c>
      <c r="AZ1489" s="105">
        <f>IF($AV$1335&gt;0,IPMT('Assumptions (Hydro)'!$V$6,Model!AA$1,'Assumptions (Hydro)'!$V$9,'Assumptions (Hydro)'!$V$4*Model!$AV$1335*AVERAGE('Assumptions (Hydro)'!$AR$2:$AT$2)/10^9),0)</f>
        <v>0</v>
      </c>
      <c r="BA1489" s="105">
        <f>IF($AV$1335&gt;0,IPMT('Assumptions (Hydro)'!$V$6,Model!AB$1,'Assumptions (Hydro)'!$V$9,'Assumptions (Hydro)'!$V$4*Model!$AV$1335*AVERAGE('Assumptions (Hydro)'!$AR$2:$AT$2)/10^9),0)</f>
        <v>0</v>
      </c>
      <c r="BB1489" s="105">
        <f>IF($AV$1335&gt;0,IPMT('Assumptions (Hydro)'!$V$6,Model!AC$1,'Assumptions (Hydro)'!$V$9,'Assumptions (Hydro)'!$V$4*Model!$AV$1335*AVERAGE('Assumptions (Hydro)'!$AR$2:$AT$2)/10^9),0)</f>
        <v>0</v>
      </c>
      <c r="BC1489" s="105">
        <f>IF($AV$1335&gt;0,IPMT('Assumptions (Hydro)'!$V$6,Model!AD$1,'Assumptions (Hydro)'!$V$9,'Assumptions (Hydro)'!$V$4*Model!$AV$1335*AVERAGE('Assumptions (Hydro)'!$AR$2:$AT$2)/10^9),0)</f>
        <v>0</v>
      </c>
      <c r="BD1489" s="105">
        <f>IF($AV$1335&gt;0,IPMT('Assumptions (Hydro)'!$V$6,Model!AE$1,'Assumptions (Hydro)'!$V$9,'Assumptions (Hydro)'!$V$4*Model!$AV$1335*AVERAGE('Assumptions (Hydro)'!$AR$2:$AT$2)/10^9),0)</f>
        <v>0</v>
      </c>
      <c r="BE1489" s="105">
        <f>IF($AV$1335&gt;0,IPMT('Assumptions (Hydro)'!$V$6,Model!AF$1,'Assumptions (Hydro)'!$V$9,'Assumptions (Hydro)'!$V$4*Model!$AV$1335*AVERAGE('Assumptions (Hydro)'!$AR$2:$AT$2)/10^9),0)</f>
        <v>0</v>
      </c>
      <c r="BF1489" s="105">
        <f>IF($AV$1335&gt;0,IPMT('Assumptions (Hydro)'!$V$6,Model!AG$1,'Assumptions (Hydro)'!$V$9,'Assumptions (Hydro)'!$V$4*Model!$AV$1335*AVERAGE('Assumptions (Hydro)'!$AR$2:$AT$2)/10^9),0)</f>
        <v>0</v>
      </c>
      <c r="BG1489" s="105">
        <f>IF($AV$1335&gt;0,IPMT('Assumptions (Hydro)'!$V$6,Model!AH$1,'Assumptions (Hydro)'!$V$9,'Assumptions (Hydro)'!$V$4*Model!$AV$1335*AVERAGE('Assumptions (Hydro)'!$AR$2:$AT$2)/10^9),0)</f>
        <v>0</v>
      </c>
      <c r="BH1489" s="105">
        <f>IF($AV$1335&gt;0,IPMT('Assumptions (Hydro)'!$V$6,Model!AI$1,'Assumptions (Hydro)'!$V$9,'Assumptions (Hydro)'!$V$4*Model!$AV$1335*AVERAGE('Assumptions (Hydro)'!$AR$2:$AT$2)/10^9),0)</f>
        <v>0</v>
      </c>
      <c r="BI1489" s="105">
        <f>IF($AV$1335&gt;0,IPMT('Assumptions (Hydro)'!$V$6,Model!AJ$1,'Assumptions (Hydro)'!$V$9,'Assumptions (Hydro)'!$V$4*Model!$AV$1335*AVERAGE('Assumptions (Hydro)'!$AR$2:$AT$2)/10^9),0)</f>
        <v>0</v>
      </c>
      <c r="BJ1489" s="105">
        <f>IF($AV$1335&gt;0,IPMT('Assumptions (Hydro)'!$V$6,Model!AK$1,'Assumptions (Hydro)'!$V$9,'Assumptions (Hydro)'!$V$4*Model!$AV$1335*AVERAGE('Assumptions (Hydro)'!$AR$2:$AT$2)/10^9),0)</f>
        <v>0</v>
      </c>
      <c r="BK1489" s="105"/>
      <c r="BL1489" s="105"/>
      <c r="BM1489" s="105"/>
      <c r="BN1489" s="105"/>
      <c r="BO1489" s="105"/>
      <c r="BP1489" s="105"/>
      <c r="BQ1489" s="105"/>
      <c r="BR1489" s="105"/>
      <c r="BS1489" s="105"/>
      <c r="BT1489" s="105"/>
    </row>
    <row r="1490" spans="1:77" ht="15.75" hidden="1" customHeight="1" outlineLevel="1">
      <c r="A1490" s="413"/>
      <c r="B1490" s="99"/>
      <c r="C1490" s="99"/>
      <c r="D1490" s="99"/>
      <c r="E1490" s="99"/>
      <c r="F1490" s="99"/>
      <c r="G1490" s="99"/>
      <c r="H1490" s="99"/>
      <c r="I1490" s="99"/>
      <c r="J1490" s="99"/>
      <c r="K1490" s="99"/>
      <c r="L1490" s="99"/>
      <c r="M1490" s="99"/>
      <c r="N1490" s="99"/>
      <c r="O1490" s="99"/>
      <c r="P1490" s="99"/>
      <c r="Q1490" s="99"/>
      <c r="R1490" s="99"/>
      <c r="S1490" s="99"/>
      <c r="T1490" s="99"/>
      <c r="U1490" s="99"/>
      <c r="V1490" s="99"/>
      <c r="W1490" s="105"/>
      <c r="X1490" s="105"/>
      <c r="Y1490" s="105"/>
      <c r="Z1490" s="105"/>
      <c r="AA1490" s="105"/>
      <c r="AB1490" s="105"/>
      <c r="AC1490" s="105"/>
      <c r="AD1490" s="105"/>
      <c r="AE1490" s="105"/>
      <c r="AF1490" s="105"/>
      <c r="AG1490" s="105"/>
      <c r="AH1490" s="105"/>
      <c r="AI1490" s="105"/>
      <c r="AJ1490" s="171"/>
      <c r="AK1490" s="105"/>
      <c r="AL1490" s="91"/>
      <c r="AM1490" s="91"/>
      <c r="AN1490" s="91"/>
      <c r="AO1490" s="105"/>
      <c r="AP1490" s="105"/>
      <c r="AQ1490" s="105"/>
      <c r="AR1490" s="105"/>
      <c r="AS1490" s="105"/>
      <c r="AT1490" s="105"/>
      <c r="AU1490" s="105"/>
      <c r="AV1490" s="105"/>
      <c r="AW1490" s="105">
        <f>IF($AW$1335&gt;0,IPMT('Assumptions (Hydro)'!$V$6,Model!W$1,'Assumptions (Hydro)'!$V$9,'Assumptions (Hydro)'!$V$4*Model!$AW$1335*AVERAGE('Assumptions (Hydro)'!$AS$2:$AU$2)/10^9),0)</f>
        <v>0</v>
      </c>
      <c r="AX1490" s="105">
        <f>IF($AW$1335&gt;0,IPMT('Assumptions (Hydro)'!$V$6,Model!X$1,'Assumptions (Hydro)'!$V$9,'Assumptions (Hydro)'!$V$4*Model!$AW$1335*AVERAGE('Assumptions (Hydro)'!$AS$2:$AU$2)/10^9),0)</f>
        <v>0</v>
      </c>
      <c r="AY1490" s="105">
        <f>IF($AW$1335&gt;0,IPMT('Assumptions (Hydro)'!$V$6,Model!Y$1,'Assumptions (Hydro)'!$V$9,'Assumptions (Hydro)'!$V$4*Model!$AW$1335*AVERAGE('Assumptions (Hydro)'!$AS$2:$AU$2)/10^9),0)</f>
        <v>0</v>
      </c>
      <c r="AZ1490" s="105">
        <f>IF($AW$1335&gt;0,IPMT('Assumptions (Hydro)'!$V$6,Model!Z$1,'Assumptions (Hydro)'!$V$9,'Assumptions (Hydro)'!$V$4*Model!$AW$1335*AVERAGE('Assumptions (Hydro)'!$AS$2:$AU$2)/10^9),0)</f>
        <v>0</v>
      </c>
      <c r="BA1490" s="105">
        <f>IF($AW$1335&gt;0,IPMT('Assumptions (Hydro)'!$V$6,Model!AA$1,'Assumptions (Hydro)'!$V$9,'Assumptions (Hydro)'!$V$4*Model!$AW$1335*AVERAGE('Assumptions (Hydro)'!$AS$2:$AU$2)/10^9),0)</f>
        <v>0</v>
      </c>
      <c r="BB1490" s="105">
        <f>IF($AW$1335&gt;0,IPMT('Assumptions (Hydro)'!$V$6,Model!AB$1,'Assumptions (Hydro)'!$V$9,'Assumptions (Hydro)'!$V$4*Model!$AW$1335*AVERAGE('Assumptions (Hydro)'!$AS$2:$AU$2)/10^9),0)</f>
        <v>0</v>
      </c>
      <c r="BC1490" s="105">
        <f>IF($AW$1335&gt;0,IPMT('Assumptions (Hydro)'!$V$6,Model!AC$1,'Assumptions (Hydro)'!$V$9,'Assumptions (Hydro)'!$V$4*Model!$AW$1335*AVERAGE('Assumptions (Hydro)'!$AS$2:$AU$2)/10^9),0)</f>
        <v>0</v>
      </c>
      <c r="BD1490" s="105">
        <f>IF($AW$1335&gt;0,IPMT('Assumptions (Hydro)'!$V$6,Model!AD$1,'Assumptions (Hydro)'!$V$9,'Assumptions (Hydro)'!$V$4*Model!$AW$1335*AVERAGE('Assumptions (Hydro)'!$AS$2:$AU$2)/10^9),0)</f>
        <v>0</v>
      </c>
      <c r="BE1490" s="105">
        <f>IF($AW$1335&gt;0,IPMT('Assumptions (Hydro)'!$V$6,Model!AE$1,'Assumptions (Hydro)'!$V$9,'Assumptions (Hydro)'!$V$4*Model!$AW$1335*AVERAGE('Assumptions (Hydro)'!$AS$2:$AU$2)/10^9),0)</f>
        <v>0</v>
      </c>
      <c r="BF1490" s="105">
        <f>IF($AW$1335&gt;0,IPMT('Assumptions (Hydro)'!$V$6,Model!AF$1,'Assumptions (Hydro)'!$V$9,'Assumptions (Hydro)'!$V$4*Model!$AW$1335*AVERAGE('Assumptions (Hydro)'!$AS$2:$AU$2)/10^9),0)</f>
        <v>0</v>
      </c>
      <c r="BG1490" s="105">
        <f>IF($AW$1335&gt;0,IPMT('Assumptions (Hydro)'!$V$6,Model!AG$1,'Assumptions (Hydro)'!$V$9,'Assumptions (Hydro)'!$V$4*Model!$AW$1335*AVERAGE('Assumptions (Hydro)'!$AS$2:$AU$2)/10^9),0)</f>
        <v>0</v>
      </c>
      <c r="BH1490" s="105">
        <f>IF($AW$1335&gt;0,IPMT('Assumptions (Hydro)'!$V$6,Model!AH$1,'Assumptions (Hydro)'!$V$9,'Assumptions (Hydro)'!$V$4*Model!$AW$1335*AVERAGE('Assumptions (Hydro)'!$AS$2:$AU$2)/10^9),0)</f>
        <v>0</v>
      </c>
      <c r="BI1490" s="105">
        <f>IF($AW$1335&gt;0,IPMT('Assumptions (Hydro)'!$V$6,Model!AI$1,'Assumptions (Hydro)'!$V$9,'Assumptions (Hydro)'!$V$4*Model!$AW$1335*AVERAGE('Assumptions (Hydro)'!$AS$2:$AU$2)/10^9),0)</f>
        <v>0</v>
      </c>
      <c r="BJ1490" s="105">
        <f>IF($AW$1335&gt;0,IPMT('Assumptions (Hydro)'!$V$6,Model!AJ$1,'Assumptions (Hydro)'!$V$9,'Assumptions (Hydro)'!$V$4*Model!$AW$1335*AVERAGE('Assumptions (Hydro)'!$AS$2:$AU$2)/10^9),0)</f>
        <v>0</v>
      </c>
      <c r="BK1490" s="105">
        <f>IF($AW$1335&gt;0,IPMT('Assumptions (Hydro)'!$V$6,Model!AK$1,'Assumptions (Hydro)'!$V$9,'Assumptions (Hydro)'!$V$4*Model!$AW$1335*AVERAGE('Assumptions (Hydro)'!$AS$2:$AU$2)/10^9),0)</f>
        <v>0</v>
      </c>
      <c r="BL1490" s="105"/>
      <c r="BM1490" s="105"/>
      <c r="BN1490" s="105"/>
      <c r="BO1490" s="105"/>
      <c r="BP1490" s="105"/>
      <c r="BQ1490" s="105"/>
      <c r="BR1490" s="105"/>
      <c r="BS1490" s="105"/>
      <c r="BT1490" s="105"/>
      <c r="BU1490" s="105"/>
    </row>
    <row r="1491" spans="1:77" ht="15.75" hidden="1" customHeight="1" outlineLevel="1">
      <c r="A1491" s="413"/>
      <c r="B1491" s="99"/>
      <c r="C1491" s="99"/>
      <c r="D1491" s="99"/>
      <c r="E1491" s="99"/>
      <c r="F1491" s="99"/>
      <c r="G1491" s="99"/>
      <c r="H1491" s="99"/>
      <c r="I1491" s="99"/>
      <c r="J1491" s="99"/>
      <c r="K1491" s="99"/>
      <c r="L1491" s="99"/>
      <c r="M1491" s="99"/>
      <c r="N1491" s="99"/>
      <c r="O1491" s="99"/>
      <c r="P1491" s="99"/>
      <c r="Q1491" s="99"/>
      <c r="R1491" s="99"/>
      <c r="S1491" s="99"/>
      <c r="T1491" s="99"/>
      <c r="U1491" s="99"/>
      <c r="V1491" s="99"/>
      <c r="W1491" s="105"/>
      <c r="X1491" s="105"/>
      <c r="Y1491" s="105"/>
      <c r="Z1491" s="105"/>
      <c r="AA1491" s="105"/>
      <c r="AB1491" s="105"/>
      <c r="AC1491" s="105"/>
      <c r="AD1491" s="105"/>
      <c r="AE1491" s="105"/>
      <c r="AF1491" s="105"/>
      <c r="AG1491" s="105"/>
      <c r="AH1491" s="105"/>
      <c r="AI1491" s="105"/>
      <c r="AJ1491" s="171"/>
      <c r="AK1491" s="105"/>
      <c r="AL1491" s="91"/>
      <c r="AM1491" s="91"/>
      <c r="AN1491" s="91"/>
      <c r="AO1491" s="105"/>
      <c r="AP1491" s="105"/>
      <c r="AQ1491" s="105"/>
      <c r="AR1491" s="105"/>
      <c r="AS1491" s="105"/>
      <c r="AT1491" s="105"/>
      <c r="AU1491" s="105"/>
      <c r="AV1491" s="105"/>
      <c r="AW1491" s="105"/>
      <c r="AX1491" s="105">
        <f>IF($AX$1335&gt;0,IPMT('Assumptions (Hydro)'!$V$6,Model!W$1,'Assumptions (Hydro)'!$V$9,'Assumptions (Hydro)'!$V$4*Model!$AX$1335*AVERAGE('Assumptions (Hydro)'!$AT$2:$AV$2)/10^9),0)</f>
        <v>0</v>
      </c>
      <c r="AY1491" s="105">
        <f>IF($AX$1335&gt;0,IPMT('Assumptions (Hydro)'!$V$6,Model!X$1,'Assumptions (Hydro)'!$V$9,'Assumptions (Hydro)'!$V$4*Model!$AX$1335*AVERAGE('Assumptions (Hydro)'!$AT$2:$AV$2)/10^9),0)</f>
        <v>0</v>
      </c>
      <c r="AZ1491" s="105">
        <f>IF($AX$1335&gt;0,IPMT('Assumptions (Hydro)'!$V$6,Model!Y$1,'Assumptions (Hydro)'!$V$9,'Assumptions (Hydro)'!$V$4*Model!$AX$1335*AVERAGE('Assumptions (Hydro)'!$AT$2:$AV$2)/10^9),0)</f>
        <v>0</v>
      </c>
      <c r="BA1491" s="105">
        <f>IF($AX$1335&gt;0,IPMT('Assumptions (Hydro)'!$V$6,Model!Z$1,'Assumptions (Hydro)'!$V$9,'Assumptions (Hydro)'!$V$4*Model!$AX$1335*AVERAGE('Assumptions (Hydro)'!$AT$2:$AV$2)/10^9),0)</f>
        <v>0</v>
      </c>
      <c r="BB1491" s="105">
        <f>IF($AX$1335&gt;0,IPMT('Assumptions (Hydro)'!$V$6,Model!AA$1,'Assumptions (Hydro)'!$V$9,'Assumptions (Hydro)'!$V$4*Model!$AX$1335*AVERAGE('Assumptions (Hydro)'!$AT$2:$AV$2)/10^9),0)</f>
        <v>0</v>
      </c>
      <c r="BC1491" s="105">
        <f>IF($AX$1335&gt;0,IPMT('Assumptions (Hydro)'!$V$6,Model!AB$1,'Assumptions (Hydro)'!$V$9,'Assumptions (Hydro)'!$V$4*Model!$AX$1335*AVERAGE('Assumptions (Hydro)'!$AT$2:$AV$2)/10^9),0)</f>
        <v>0</v>
      </c>
      <c r="BD1491" s="105">
        <f>IF($AX$1335&gt;0,IPMT('Assumptions (Hydro)'!$V$6,Model!AC$1,'Assumptions (Hydro)'!$V$9,'Assumptions (Hydro)'!$V$4*Model!$AX$1335*AVERAGE('Assumptions (Hydro)'!$AT$2:$AV$2)/10^9),0)</f>
        <v>0</v>
      </c>
      <c r="BE1491" s="105">
        <f>IF($AX$1335&gt;0,IPMT('Assumptions (Hydro)'!$V$6,Model!AD$1,'Assumptions (Hydro)'!$V$9,'Assumptions (Hydro)'!$V$4*Model!$AX$1335*AVERAGE('Assumptions (Hydro)'!$AT$2:$AV$2)/10^9),0)</f>
        <v>0</v>
      </c>
      <c r="BF1491" s="105">
        <f>IF($AX$1335&gt;0,IPMT('Assumptions (Hydro)'!$V$6,Model!AE$1,'Assumptions (Hydro)'!$V$9,'Assumptions (Hydro)'!$V$4*Model!$AX$1335*AVERAGE('Assumptions (Hydro)'!$AT$2:$AV$2)/10^9),0)</f>
        <v>0</v>
      </c>
      <c r="BG1491" s="105">
        <f>IF($AX$1335&gt;0,IPMT('Assumptions (Hydro)'!$V$6,Model!AF$1,'Assumptions (Hydro)'!$V$9,'Assumptions (Hydro)'!$V$4*Model!$AX$1335*AVERAGE('Assumptions (Hydro)'!$AT$2:$AV$2)/10^9),0)</f>
        <v>0</v>
      </c>
      <c r="BH1491" s="105">
        <f>IF($AX$1335&gt;0,IPMT('Assumptions (Hydro)'!$V$6,Model!AG$1,'Assumptions (Hydro)'!$V$9,'Assumptions (Hydro)'!$V$4*Model!$AX$1335*AVERAGE('Assumptions (Hydro)'!$AT$2:$AV$2)/10^9),0)</f>
        <v>0</v>
      </c>
      <c r="BI1491" s="105">
        <f>IF($AX$1335&gt;0,IPMT('Assumptions (Hydro)'!$V$6,Model!AH$1,'Assumptions (Hydro)'!$V$9,'Assumptions (Hydro)'!$V$4*Model!$AX$1335*AVERAGE('Assumptions (Hydro)'!$AT$2:$AV$2)/10^9),0)</f>
        <v>0</v>
      </c>
      <c r="BJ1491" s="105">
        <f>IF($AX$1335&gt;0,IPMT('Assumptions (Hydro)'!$V$6,Model!AI$1,'Assumptions (Hydro)'!$V$9,'Assumptions (Hydro)'!$V$4*Model!$AX$1335*AVERAGE('Assumptions (Hydro)'!$AT$2:$AV$2)/10^9),0)</f>
        <v>0</v>
      </c>
      <c r="BK1491" s="105">
        <f>IF($AX$1335&gt;0,IPMT('Assumptions (Hydro)'!$V$6,Model!AJ$1,'Assumptions (Hydro)'!$V$9,'Assumptions (Hydro)'!$V$4*Model!$AX$1335*AVERAGE('Assumptions (Hydro)'!$AT$2:$AV$2)/10^9),0)</f>
        <v>0</v>
      </c>
      <c r="BL1491" s="105">
        <f>IF($AX$1335&gt;0,IPMT('Assumptions (Hydro)'!$V$6,Model!AK$1,'Assumptions (Hydro)'!$V$9,'Assumptions (Hydro)'!$V$4*Model!$AX$1335*AVERAGE('Assumptions (Hydro)'!$AT$2:$AV$2)/10^9),0)</f>
        <v>0</v>
      </c>
      <c r="BM1491" s="105"/>
      <c r="BN1491" s="105"/>
      <c r="BO1491" s="105"/>
      <c r="BP1491" s="105"/>
      <c r="BQ1491" s="105"/>
      <c r="BR1491" s="105"/>
      <c r="BS1491" s="105"/>
      <c r="BT1491" s="105"/>
      <c r="BU1491" s="105"/>
      <c r="BV1491" s="105"/>
    </row>
    <row r="1492" spans="1:77" ht="15.75" hidden="1" customHeight="1" outlineLevel="1">
      <c r="A1492" s="413"/>
      <c r="B1492" s="99"/>
      <c r="C1492" s="99"/>
      <c r="D1492" s="99"/>
      <c r="E1492" s="99"/>
      <c r="F1492" s="99"/>
      <c r="G1492" s="99"/>
      <c r="H1492" s="99"/>
      <c r="I1492" s="99"/>
      <c r="J1492" s="99"/>
      <c r="K1492" s="99"/>
      <c r="L1492" s="99"/>
      <c r="M1492" s="99"/>
      <c r="N1492" s="99"/>
      <c r="O1492" s="99"/>
      <c r="P1492" s="99"/>
      <c r="Q1492" s="99"/>
      <c r="R1492" s="99"/>
      <c r="S1492" s="99"/>
      <c r="T1492" s="99"/>
      <c r="U1492" s="99"/>
      <c r="V1492" s="99"/>
      <c r="W1492" s="105"/>
      <c r="X1492" s="105"/>
      <c r="Y1492" s="105"/>
      <c r="Z1492" s="105"/>
      <c r="AA1492" s="105"/>
      <c r="AB1492" s="105"/>
      <c r="AC1492" s="105"/>
      <c r="AD1492" s="105"/>
      <c r="AE1492" s="105"/>
      <c r="AF1492" s="105"/>
      <c r="AG1492" s="105"/>
      <c r="AH1492" s="105"/>
      <c r="AI1492" s="105"/>
      <c r="AJ1492" s="171"/>
      <c r="AK1492" s="105"/>
      <c r="AL1492" s="91"/>
      <c r="AM1492" s="91"/>
      <c r="AN1492" s="91"/>
      <c r="AO1492" s="105"/>
      <c r="AP1492" s="105"/>
      <c r="AQ1492" s="105"/>
      <c r="AR1492" s="105"/>
      <c r="AS1492" s="105"/>
      <c r="AT1492" s="105"/>
      <c r="AU1492" s="105"/>
      <c r="AV1492" s="105"/>
      <c r="AW1492" s="105"/>
      <c r="AX1492" s="105"/>
      <c r="AY1492" s="105">
        <f>IF($AY$1335&gt;0,IPMT('Assumptions (Hydro)'!$V$6,Model!W$1,'Assumptions (Hydro)'!$V$9,'Assumptions (Hydro)'!$V$4*Model!$AY$1335*AVERAGE('Assumptions (Hydro)'!$AU$2:$AW$2)/10^9),0)</f>
        <v>0</v>
      </c>
      <c r="AZ1492" s="105">
        <f>IF($AY$1335&gt;0,IPMT('Assumptions (Hydro)'!$V$6,Model!X$1,'Assumptions (Hydro)'!$V$9,'Assumptions (Hydro)'!$V$4*Model!$AY$1335*AVERAGE('Assumptions (Hydro)'!$AU$2:$AW$2)/10^9),0)</f>
        <v>0</v>
      </c>
      <c r="BA1492" s="105">
        <f>IF($AY$1335&gt;0,IPMT('Assumptions (Hydro)'!$V$6,Model!Y$1,'Assumptions (Hydro)'!$V$9,'Assumptions (Hydro)'!$V$4*Model!$AY$1335*AVERAGE('Assumptions (Hydro)'!$AU$2:$AW$2)/10^9),0)</f>
        <v>0</v>
      </c>
      <c r="BB1492" s="105">
        <f>IF($AY$1335&gt;0,IPMT('Assumptions (Hydro)'!$V$6,Model!Z$1,'Assumptions (Hydro)'!$V$9,'Assumptions (Hydro)'!$V$4*Model!$AY$1335*AVERAGE('Assumptions (Hydro)'!$AU$2:$AW$2)/10^9),0)</f>
        <v>0</v>
      </c>
      <c r="BC1492" s="105">
        <f>IF($AY$1335&gt;0,IPMT('Assumptions (Hydro)'!$V$6,Model!AA$1,'Assumptions (Hydro)'!$V$9,'Assumptions (Hydro)'!$V$4*Model!$AY$1335*AVERAGE('Assumptions (Hydro)'!$AU$2:$AW$2)/10^9),0)</f>
        <v>0</v>
      </c>
      <c r="BD1492" s="105">
        <f>IF($AY$1335&gt;0,IPMT('Assumptions (Hydro)'!$V$6,Model!AB$1,'Assumptions (Hydro)'!$V$9,'Assumptions (Hydro)'!$V$4*Model!$AY$1335*AVERAGE('Assumptions (Hydro)'!$AU$2:$AW$2)/10^9),0)</f>
        <v>0</v>
      </c>
      <c r="BE1492" s="105">
        <f>IF($AY$1335&gt;0,IPMT('Assumptions (Hydro)'!$V$6,Model!AC$1,'Assumptions (Hydro)'!$V$9,'Assumptions (Hydro)'!$V$4*Model!$AY$1335*AVERAGE('Assumptions (Hydro)'!$AU$2:$AW$2)/10^9),0)</f>
        <v>0</v>
      </c>
      <c r="BF1492" s="105">
        <f>IF($AY$1335&gt;0,IPMT('Assumptions (Hydro)'!$V$6,Model!AD$1,'Assumptions (Hydro)'!$V$9,'Assumptions (Hydro)'!$V$4*Model!$AY$1335*AVERAGE('Assumptions (Hydro)'!$AU$2:$AW$2)/10^9),0)</f>
        <v>0</v>
      </c>
      <c r="BG1492" s="105">
        <f>IF($AY$1335&gt;0,IPMT('Assumptions (Hydro)'!$V$6,Model!AE$1,'Assumptions (Hydro)'!$V$9,'Assumptions (Hydro)'!$V$4*Model!$AY$1335*AVERAGE('Assumptions (Hydro)'!$AU$2:$AW$2)/10^9),0)</f>
        <v>0</v>
      </c>
      <c r="BH1492" s="105">
        <f>IF($AY$1335&gt;0,IPMT('Assumptions (Hydro)'!$V$6,Model!AF$1,'Assumptions (Hydro)'!$V$9,'Assumptions (Hydro)'!$V$4*Model!$AY$1335*AVERAGE('Assumptions (Hydro)'!$AU$2:$AW$2)/10^9),0)</f>
        <v>0</v>
      </c>
      <c r="BI1492" s="105">
        <f>IF($AY$1335&gt;0,IPMT('Assumptions (Hydro)'!$V$6,Model!AG$1,'Assumptions (Hydro)'!$V$9,'Assumptions (Hydro)'!$V$4*Model!$AY$1335*AVERAGE('Assumptions (Hydro)'!$AU$2:$AW$2)/10^9),0)</f>
        <v>0</v>
      </c>
      <c r="BJ1492" s="105">
        <f>IF($AY$1335&gt;0,IPMT('Assumptions (Hydro)'!$V$6,Model!AH$1,'Assumptions (Hydro)'!$V$9,'Assumptions (Hydro)'!$V$4*Model!$AY$1335*AVERAGE('Assumptions (Hydro)'!$AU$2:$AW$2)/10^9),0)</f>
        <v>0</v>
      </c>
      <c r="BK1492" s="105">
        <f>IF($AY$1335&gt;0,IPMT('Assumptions (Hydro)'!$V$6,Model!AI$1,'Assumptions (Hydro)'!$V$9,'Assumptions (Hydro)'!$V$4*Model!$AY$1335*AVERAGE('Assumptions (Hydro)'!$AU$2:$AW$2)/10^9),0)</f>
        <v>0</v>
      </c>
      <c r="BL1492" s="105">
        <f>IF($AY$1335&gt;0,IPMT('Assumptions (Hydro)'!$V$6,Model!AJ$1,'Assumptions (Hydro)'!$V$9,'Assumptions (Hydro)'!$V$4*Model!$AY$1335*AVERAGE('Assumptions (Hydro)'!$AU$2:$AW$2)/10^9),0)</f>
        <v>0</v>
      </c>
      <c r="BM1492" s="105">
        <f>IF($AY$1335&gt;0,IPMT('Assumptions (Hydro)'!$V$6,Model!AK$1,'Assumptions (Hydro)'!$V$9,'Assumptions (Hydro)'!$V$4*Model!$AY$1335*AVERAGE('Assumptions (Hydro)'!$AU$2:$AW$2)/10^9),0)</f>
        <v>0</v>
      </c>
      <c r="BN1492" s="105"/>
      <c r="BO1492" s="105"/>
      <c r="BP1492" s="105"/>
      <c r="BQ1492" s="105"/>
      <c r="BR1492" s="105"/>
      <c r="BS1492" s="105"/>
      <c r="BT1492" s="105"/>
      <c r="BU1492" s="105"/>
      <c r="BV1492" s="105"/>
      <c r="BW1492" s="105"/>
    </row>
    <row r="1493" spans="1:77" ht="15.75" hidden="1" customHeight="1" outlineLevel="1">
      <c r="A1493" s="413"/>
      <c r="B1493" s="99"/>
      <c r="C1493" s="99"/>
      <c r="D1493" s="99"/>
      <c r="E1493" s="99"/>
      <c r="F1493" s="99"/>
      <c r="G1493" s="99"/>
      <c r="H1493" s="99"/>
      <c r="I1493" s="99"/>
      <c r="J1493" s="99"/>
      <c r="K1493" s="99"/>
      <c r="L1493" s="99"/>
      <c r="M1493" s="99"/>
      <c r="N1493" s="99"/>
      <c r="O1493" s="99"/>
      <c r="P1493" s="99"/>
      <c r="Q1493" s="99"/>
      <c r="R1493" s="99"/>
      <c r="S1493" s="99"/>
      <c r="T1493" s="99"/>
      <c r="U1493" s="99"/>
      <c r="V1493" s="99"/>
      <c r="W1493" s="105"/>
      <c r="X1493" s="105"/>
      <c r="Y1493" s="105"/>
      <c r="Z1493" s="105"/>
      <c r="AA1493" s="105"/>
      <c r="AB1493" s="105"/>
      <c r="AC1493" s="105"/>
      <c r="AD1493" s="105"/>
      <c r="AE1493" s="105"/>
      <c r="AF1493" s="105"/>
      <c r="AG1493" s="105"/>
      <c r="AH1493" s="105"/>
      <c r="AI1493" s="105"/>
      <c r="AJ1493" s="171"/>
      <c r="AK1493" s="105"/>
      <c r="AL1493" s="91"/>
      <c r="AM1493" s="91"/>
      <c r="AN1493" s="91"/>
      <c r="AO1493" s="105"/>
      <c r="AP1493" s="105"/>
      <c r="AQ1493" s="105"/>
      <c r="AR1493" s="105"/>
      <c r="AS1493" s="105"/>
      <c r="AT1493" s="105"/>
      <c r="AU1493" s="105"/>
      <c r="AV1493" s="105"/>
      <c r="AW1493" s="105"/>
      <c r="AX1493" s="105"/>
      <c r="AY1493" s="105"/>
      <c r="AZ1493" s="105">
        <f>IF($AZ$1335&gt;0,IPMT('Assumptions (Hydro)'!$V$6,Model!W$1,'Assumptions (Hydro)'!$V$9,'Assumptions (Hydro)'!$V$4*Model!$AZ$1335*AVERAGE('Assumptions (Hydro)'!$AV$2:$AX$2)/10^9),0)</f>
        <v>0</v>
      </c>
      <c r="BA1493" s="105">
        <f>IF($AZ$1335&gt;0,IPMT('Assumptions (Hydro)'!$V$6,Model!X$1,'Assumptions (Hydro)'!$V$9,'Assumptions (Hydro)'!$V$4*Model!$AZ$1335*AVERAGE('Assumptions (Hydro)'!$AV$2:$AX$2)/10^9),0)</f>
        <v>0</v>
      </c>
      <c r="BB1493" s="105">
        <f>IF($AZ$1335&gt;0,IPMT('Assumptions (Hydro)'!$V$6,Model!Y$1,'Assumptions (Hydro)'!$V$9,'Assumptions (Hydro)'!$V$4*Model!$AZ$1335*AVERAGE('Assumptions (Hydro)'!$AV$2:$AX$2)/10^9),0)</f>
        <v>0</v>
      </c>
      <c r="BC1493" s="105">
        <f>IF($AZ$1335&gt;0,IPMT('Assumptions (Hydro)'!$V$6,Model!Z$1,'Assumptions (Hydro)'!$V$9,'Assumptions (Hydro)'!$V$4*Model!$AZ$1335*AVERAGE('Assumptions (Hydro)'!$AV$2:$AX$2)/10^9),0)</f>
        <v>0</v>
      </c>
      <c r="BD1493" s="105">
        <f>IF($AZ$1335&gt;0,IPMT('Assumptions (Hydro)'!$V$6,Model!AA$1,'Assumptions (Hydro)'!$V$9,'Assumptions (Hydro)'!$V$4*Model!$AZ$1335*AVERAGE('Assumptions (Hydro)'!$AV$2:$AX$2)/10^9),0)</f>
        <v>0</v>
      </c>
      <c r="BE1493" s="105">
        <f>IF($AZ$1335&gt;0,IPMT('Assumptions (Hydro)'!$V$6,Model!AB$1,'Assumptions (Hydro)'!$V$9,'Assumptions (Hydro)'!$V$4*Model!$AZ$1335*AVERAGE('Assumptions (Hydro)'!$AV$2:$AX$2)/10^9),0)</f>
        <v>0</v>
      </c>
      <c r="BF1493" s="105">
        <f>IF($AZ$1335&gt;0,IPMT('Assumptions (Hydro)'!$V$6,Model!AC$1,'Assumptions (Hydro)'!$V$9,'Assumptions (Hydro)'!$V$4*Model!$AZ$1335*AVERAGE('Assumptions (Hydro)'!$AV$2:$AX$2)/10^9),0)</f>
        <v>0</v>
      </c>
      <c r="BG1493" s="105">
        <f>IF($AZ$1335&gt;0,IPMT('Assumptions (Hydro)'!$V$6,Model!AD$1,'Assumptions (Hydro)'!$V$9,'Assumptions (Hydro)'!$V$4*Model!$AZ$1335*AVERAGE('Assumptions (Hydro)'!$AV$2:$AX$2)/10^9),0)</f>
        <v>0</v>
      </c>
      <c r="BH1493" s="105">
        <f>IF($AZ$1335&gt;0,IPMT('Assumptions (Hydro)'!$V$6,Model!AE$1,'Assumptions (Hydro)'!$V$9,'Assumptions (Hydro)'!$V$4*Model!$AZ$1335*AVERAGE('Assumptions (Hydro)'!$AV$2:$AX$2)/10^9),0)</f>
        <v>0</v>
      </c>
      <c r="BI1493" s="105">
        <f>IF($AZ$1335&gt;0,IPMT('Assumptions (Hydro)'!$V$6,Model!AF$1,'Assumptions (Hydro)'!$V$9,'Assumptions (Hydro)'!$V$4*Model!$AZ$1335*AVERAGE('Assumptions (Hydro)'!$AV$2:$AX$2)/10^9),0)</f>
        <v>0</v>
      </c>
      <c r="BJ1493" s="105">
        <f>IF($AZ$1335&gt;0,IPMT('Assumptions (Hydro)'!$V$6,Model!AG$1,'Assumptions (Hydro)'!$V$9,'Assumptions (Hydro)'!$V$4*Model!$AZ$1335*AVERAGE('Assumptions (Hydro)'!$AV$2:$AX$2)/10^9),0)</f>
        <v>0</v>
      </c>
      <c r="BK1493" s="105">
        <f>IF($AZ$1335&gt;0,IPMT('Assumptions (Hydro)'!$V$6,Model!AH$1,'Assumptions (Hydro)'!$V$9,'Assumptions (Hydro)'!$V$4*Model!$AZ$1335*AVERAGE('Assumptions (Hydro)'!$AV$2:$AX$2)/10^9),0)</f>
        <v>0</v>
      </c>
      <c r="BL1493" s="105">
        <f>IF($AZ$1335&gt;0,IPMT('Assumptions (Hydro)'!$V$6,Model!AI$1,'Assumptions (Hydro)'!$V$9,'Assumptions (Hydro)'!$V$4*Model!$AZ$1335*AVERAGE('Assumptions (Hydro)'!$AV$2:$AX$2)/10^9),0)</f>
        <v>0</v>
      </c>
      <c r="BM1493" s="105">
        <f>IF($AZ$1335&gt;0,IPMT('Assumptions (Hydro)'!$V$6,Model!AJ$1,'Assumptions (Hydro)'!$V$9,'Assumptions (Hydro)'!$V$4*Model!$AZ$1335*AVERAGE('Assumptions (Hydro)'!$AV$2:$AX$2)/10^9),0)</f>
        <v>0</v>
      </c>
      <c r="BN1493" s="105">
        <f>IF($AZ$1335&gt;0,IPMT('Assumptions (Hydro)'!$V$6,Model!AK$1,'Assumptions (Hydro)'!$V$9,'Assumptions (Hydro)'!$V$4*Model!$AZ$1335*AVERAGE('Assumptions (Hydro)'!$AV$2:$AX$2)/10^9),0)</f>
        <v>0</v>
      </c>
      <c r="BO1493" s="105"/>
      <c r="BP1493" s="105"/>
      <c r="BQ1493" s="105"/>
      <c r="BR1493" s="105"/>
      <c r="BS1493" s="105"/>
      <c r="BT1493" s="105"/>
      <c r="BU1493" s="105"/>
      <c r="BV1493" s="105"/>
      <c r="BW1493" s="105"/>
      <c r="BX1493" s="105"/>
    </row>
    <row r="1494" spans="1:77" ht="15.75" hidden="1" customHeight="1" outlineLevel="1">
      <c r="A1494" s="413"/>
      <c r="B1494" s="99"/>
      <c r="C1494" s="99"/>
      <c r="D1494" s="99"/>
      <c r="E1494" s="99"/>
      <c r="F1494" s="99"/>
      <c r="G1494" s="99"/>
      <c r="H1494" s="99"/>
      <c r="I1494" s="99"/>
      <c r="J1494" s="99"/>
      <c r="K1494" s="99"/>
      <c r="L1494" s="99"/>
      <c r="M1494" s="99"/>
      <c r="N1494" s="99"/>
      <c r="O1494" s="99"/>
      <c r="P1494" s="99"/>
      <c r="Q1494" s="99"/>
      <c r="R1494" s="99"/>
      <c r="S1494" s="99"/>
      <c r="T1494" s="99"/>
      <c r="U1494" s="99"/>
      <c r="V1494" s="99"/>
      <c r="W1494" s="105"/>
      <c r="X1494" s="105"/>
      <c r="Y1494" s="105"/>
      <c r="Z1494" s="105"/>
      <c r="AA1494" s="105"/>
      <c r="AB1494" s="105"/>
      <c r="AC1494" s="105"/>
      <c r="AD1494" s="105"/>
      <c r="AE1494" s="105"/>
      <c r="AF1494" s="105"/>
      <c r="AG1494" s="105"/>
      <c r="AH1494" s="105"/>
      <c r="AI1494" s="105"/>
      <c r="AJ1494" s="171"/>
      <c r="AK1494" s="105"/>
      <c r="AL1494" s="91"/>
      <c r="AM1494" s="91"/>
      <c r="AN1494" s="91"/>
      <c r="AO1494" s="105"/>
      <c r="AP1494" s="105"/>
      <c r="AQ1494" s="105"/>
      <c r="AR1494" s="105"/>
      <c r="AS1494" s="105"/>
      <c r="AT1494" s="105"/>
      <c r="AU1494" s="105"/>
      <c r="AV1494" s="105"/>
      <c r="AW1494" s="105"/>
      <c r="AX1494" s="105"/>
      <c r="AY1494" s="105"/>
      <c r="AZ1494" s="105"/>
      <c r="BA1494" s="105">
        <f>IF($BA$1335&gt;0,IPMT('Assumptions (Hydro)'!$V$6,Model!W$1,'Assumptions (Hydro)'!$V$9,'Assumptions (Hydro)'!$V$4*Model!$BA$1335*AVERAGE('Assumptions (Hydro)'!$AW$2:$AY$2)/10^9),0)</f>
        <v>-6.6634380252148439E-3</v>
      </c>
      <c r="BB1494" s="105">
        <f>IF($BA$1335&gt;0,IPMT('Assumptions (Hydro)'!$V$6,Model!X$1,'Assumptions (Hydro)'!$V$9,'Assumptions (Hydro)'!$V$4*Model!$BA$1335*AVERAGE('Assumptions (Hydro)'!$AW$2:$AY$2)/10^9),0)</f>
        <v>-6.3487829225876745E-3</v>
      </c>
      <c r="BC1494" s="105">
        <f>IF($BA$1335&gt;0,IPMT('Assumptions (Hydro)'!$V$6,Model!Y$1,'Assumptions (Hydro)'!$V$9,'Assumptions (Hydro)'!$V$4*Model!$BA$1335*AVERAGE('Assumptions (Hydro)'!$AW$2:$AY$2)/10^9),0)</f>
        <v>-6.0191817025857138E-3</v>
      </c>
      <c r="BD1494" s="105">
        <f>IF($BA$1335&gt;0,IPMT('Assumptions (Hydro)'!$V$6,Model!Z$1,'Assumptions (Hydro)'!$V$9,'Assumptions (Hydro)'!$V$4*Model!$BA$1335*AVERAGE('Assumptions (Hydro)'!$AW$2:$AY$2)/10^9),0)</f>
        <v>-5.6739244246336628E-3</v>
      </c>
      <c r="BE1494" s="105">
        <f>IF($BA$1335&gt;0,IPMT('Assumptions (Hydro)'!$V$6,Model!AA$1,'Assumptions (Hydro)'!$V$9,'Assumptions (Hydro)'!$V$4*Model!$BA$1335*AVERAGE('Assumptions (Hydro)'!$AW$2:$AY$2)/10^9),0)</f>
        <v>-5.3122674259788883E-3</v>
      </c>
      <c r="BF1494" s="105">
        <f>IF($BA$1335&gt;0,IPMT('Assumptions (Hydro)'!$V$6,Model!AB$1,'Assumptions (Hydro)'!$V$9,'Assumptions (Hydro)'!$V$4*Model!$BA$1335*AVERAGE('Assumptions (Hydro)'!$AW$2:$AY$2)/10^9),0)</f>
        <v>-4.9334317198880123E-3</v>
      </c>
      <c r="BG1494" s="105">
        <f>IF($BA$1335&gt;0,IPMT('Assumptions (Hydro)'!$V$6,Model!AC$1,'Assumptions (Hydro)'!$V$9,'Assumptions (Hydro)'!$V$4*Model!$BA$1335*AVERAGE('Assumptions (Hydro)'!$AW$2:$AY$2)/10^9),0)</f>
        <v>-4.5366013177578187E-3</v>
      </c>
      <c r="BH1494" s="105">
        <f>IF($BA$1335&gt;0,IPMT('Assumptions (Hydro)'!$V$6,Model!AD$1,'Assumptions (Hydro)'!$V$9,'Assumptions (Hydro)'!$V$4*Model!$BA$1335*AVERAGE('Assumptions (Hydro)'!$AW$2:$AY$2)/10^9),0)</f>
        <v>-4.1209214715264416E-3</v>
      </c>
      <c r="BI1494" s="105">
        <f>IF($BA$1335&gt;0,IPMT('Assumptions (Hydro)'!$V$6,Model!AE$1,'Assumptions (Hydro)'!$V$9,'Assumptions (Hydro)'!$V$4*Model!$BA$1335*AVERAGE('Assumptions (Hydro)'!$AW$2:$AY$2)/10^9),0)</f>
        <v>-3.6854968325990751E-3</v>
      </c>
      <c r="BJ1494" s="105">
        <f>IF($BA$1335&gt;0,IPMT('Assumptions (Hydro)'!$V$6,Model!AF$1,'Assumptions (Hydro)'!$V$9,'Assumptions (Hydro)'!$V$4*Model!$BA$1335*AVERAGE('Assumptions (Hydro)'!$AW$2:$AY$2)/10^9),0)</f>
        <v>-3.2293895233226574E-3</v>
      </c>
      <c r="BK1494" s="105">
        <f>IF($BA$1335&gt;0,IPMT('Assumptions (Hydro)'!$V$6,Model!AG$1,'Assumptions (Hydro)'!$V$9,'Assumptions (Hydro)'!$V$4*Model!$BA$1335*AVERAGE('Assumptions (Hydro)'!$AW$2:$AY$2)/10^9),0)</f>
        <v>-2.7516171168556103E-3</v>
      </c>
      <c r="BL1494" s="105">
        <f>IF($BA$1335&gt;0,IPMT('Assumptions (Hydro)'!$V$6,Model!AH$1,'Assumptions (Hydro)'!$V$9,'Assumptions (Hydro)'!$V$4*Model!$BA$1335*AVERAGE('Assumptions (Hydro)'!$AW$2:$AY$2)/10^9),0)</f>
        <v>-2.2511505210813781E-3</v>
      </c>
      <c r="BM1494" s="105">
        <f>IF($BA$1335&gt;0,IPMT('Assumptions (Hydro)'!$V$6,Model!AI$1,'Assumptions (Hydro)'!$V$9,'Assumptions (Hydro)'!$V$4*Model!$BA$1335*AVERAGE('Assumptions (Hydro)'!$AW$2:$AY$2)/10^9),0)</f>
        <v>-1.7269117620078698E-3</v>
      </c>
      <c r="BN1494" s="105">
        <f>IF($BA$1335&gt;0,IPMT('Assumptions (Hydro)'!$V$6,Model!AJ$1,'Assumptions (Hydro)'!$V$9,'Assumptions (Hydro)'!$V$4*Model!$BA$1335*AVERAGE('Assumptions (Hydro)'!$AW$2:$AY$2)/10^9),0)</f>
        <v>-1.1777716618783702E-3</v>
      </c>
      <c r="BO1494" s="105">
        <f>IF($BA$1335&gt;0,IPMT('Assumptions (Hydro)'!$V$6,Model!AK$1,'Assumptions (Hydro)'!$V$9,'Assumptions (Hydro)'!$V$4*Model!$BA$1335*AVERAGE('Assumptions (Hydro)'!$AW$2:$AY$2)/10^9),0)</f>
        <v>-6.025474069927193E-4</v>
      </c>
      <c r="BP1494" s="105"/>
      <c r="BQ1494" s="105"/>
      <c r="BR1494" s="105"/>
      <c r="BS1494" s="105"/>
      <c r="BT1494" s="105"/>
      <c r="BU1494" s="105"/>
      <c r="BV1494" s="105"/>
      <c r="BW1494" s="105"/>
      <c r="BX1494" s="105"/>
      <c r="BY1494" s="105"/>
    </row>
    <row r="1495" spans="1:77" ht="15.75" customHeight="1" collapsed="1">
      <c r="A1495" s="414" t="s">
        <v>869</v>
      </c>
      <c r="B1495" s="99" t="s">
        <v>201</v>
      </c>
      <c r="C1495" s="91">
        <f t="shared" ref="C1495:BP1495" si="35">SUM(C1496:C1546)</f>
        <v>3.6080012081922283E-4</v>
      </c>
      <c r="D1495" s="91">
        <f t="shared" si="35"/>
        <v>1.3576811032881187E-2</v>
      </c>
      <c r="E1495" s="91">
        <f t="shared" si="35"/>
        <v>5.9098864763096372E-2</v>
      </c>
      <c r="F1495" s="91">
        <f t="shared" si="35"/>
        <v>9.5215510083952487E-2</v>
      </c>
      <c r="G1495" s="91">
        <f t="shared" si="35"/>
        <v>0.10159807323149622</v>
      </c>
      <c r="H1495" s="91">
        <f t="shared" si="35"/>
        <v>0.10197473459941248</v>
      </c>
      <c r="I1495" s="91">
        <f t="shared" si="35"/>
        <v>9.6591421574298106E-2</v>
      </c>
      <c r="J1495" s="91">
        <f t="shared" si="35"/>
        <v>9.2169912517111624E-2</v>
      </c>
      <c r="K1495" s="91">
        <f t="shared" si="35"/>
        <v>9.1363413603343116E-2</v>
      </c>
      <c r="L1495" s="91">
        <f t="shared" si="35"/>
        <v>9.2114152391089443E-2</v>
      </c>
      <c r="M1495" s="91">
        <f t="shared" si="35"/>
        <v>9.3594974751478127E-2</v>
      </c>
      <c r="N1495" s="91">
        <f t="shared" si="35"/>
        <v>0.11293831635424996</v>
      </c>
      <c r="O1495" s="91">
        <f t="shared" si="35"/>
        <v>0.17515964745485224</v>
      </c>
      <c r="P1495" s="91">
        <f t="shared" si="35"/>
        <v>0.26420344409444013</v>
      </c>
      <c r="Q1495" s="91">
        <f t="shared" si="35"/>
        <v>0.31614469365668652</v>
      </c>
      <c r="R1495" s="91">
        <f t="shared" si="35"/>
        <v>0.3282263263008976</v>
      </c>
      <c r="S1495" s="91">
        <f t="shared" si="35"/>
        <v>0.36148173901046637</v>
      </c>
      <c r="T1495" s="91">
        <f t="shared" si="35"/>
        <v>0.38213791354037185</v>
      </c>
      <c r="U1495" s="91">
        <f t="shared" si="35"/>
        <v>0.37687244175781337</v>
      </c>
      <c r="V1495" s="91">
        <f t="shared" si="35"/>
        <v>0.37932236236060179</v>
      </c>
      <c r="W1495" s="91">
        <f t="shared" si="35"/>
        <v>0.36778854075117751</v>
      </c>
      <c r="X1495" s="91">
        <f t="shared" si="35"/>
        <v>0.89013710391206591</v>
      </c>
      <c r="Y1495" s="91">
        <f t="shared" si="35"/>
        <v>1.3639594642279893</v>
      </c>
      <c r="Z1495" s="91">
        <f t="shared" si="35"/>
        <v>1.2508311298836803</v>
      </c>
      <c r="AA1495" s="91">
        <f t="shared" si="35"/>
        <v>1.1527096655943969</v>
      </c>
      <c r="AB1495" s="91">
        <f t="shared" si="35"/>
        <v>1.0658072158386467</v>
      </c>
      <c r="AC1495" s="91">
        <f t="shared" si="35"/>
        <v>0.97728566092749114</v>
      </c>
      <c r="AD1495" s="91">
        <f t="shared" si="35"/>
        <v>0.90267335999881815</v>
      </c>
      <c r="AE1495" s="91">
        <f t="shared" si="35"/>
        <v>0.84454542405202404</v>
      </c>
      <c r="AF1495" s="91">
        <f t="shared" si="35"/>
        <v>0.80436259224587903</v>
      </c>
      <c r="AG1495" s="91">
        <f t="shared" si="35"/>
        <v>0.78250766928240578</v>
      </c>
      <c r="AH1495" s="91">
        <f t="shared" si="35"/>
        <v>0.74521495873218424</v>
      </c>
      <c r="AI1495" s="91">
        <f t="shared" si="35"/>
        <v>0.69968600370469214</v>
      </c>
      <c r="AJ1495" s="91">
        <f t="shared" si="35"/>
        <v>0.67280688592800331</v>
      </c>
      <c r="AK1495" s="91">
        <f t="shared" si="35"/>
        <v>0.650607187739772</v>
      </c>
      <c r="AL1495" s="91">
        <f t="shared" si="35"/>
        <v>0.64249315299711618</v>
      </c>
      <c r="AM1495" s="91">
        <f t="shared" si="35"/>
        <v>0.32070301207131857</v>
      </c>
      <c r="AN1495" s="91">
        <f t="shared" si="35"/>
        <v>0</v>
      </c>
      <c r="AO1495" s="91">
        <f t="shared" si="35"/>
        <v>0</v>
      </c>
      <c r="AP1495" s="91">
        <f t="shared" si="35"/>
        <v>0</v>
      </c>
      <c r="AQ1495" s="91">
        <f t="shared" si="35"/>
        <v>0</v>
      </c>
      <c r="AR1495" s="91">
        <f t="shared" si="35"/>
        <v>0</v>
      </c>
      <c r="AS1495" s="91">
        <f t="shared" si="35"/>
        <v>0</v>
      </c>
      <c r="AT1495" s="91">
        <f t="shared" si="35"/>
        <v>0</v>
      </c>
      <c r="AU1495" s="91">
        <f t="shared" si="35"/>
        <v>0</v>
      </c>
      <c r="AV1495" s="91">
        <f t="shared" si="35"/>
        <v>0</v>
      </c>
      <c r="AW1495" s="91">
        <f t="shared" si="35"/>
        <v>0</v>
      </c>
      <c r="AX1495" s="91">
        <f t="shared" si="35"/>
        <v>0</v>
      </c>
      <c r="AY1495" s="91">
        <f t="shared" si="35"/>
        <v>0</v>
      </c>
      <c r="AZ1495" s="91">
        <f t="shared" si="35"/>
        <v>0</v>
      </c>
      <c r="BA1495" s="91">
        <f t="shared" si="35"/>
        <v>1.1690242149499729E-2</v>
      </c>
      <c r="BB1495" s="91">
        <f t="shared" si="35"/>
        <v>2.2211460084049485E-2</v>
      </c>
      <c r="BC1495" s="91">
        <f t="shared" si="35"/>
        <v>1.9990314075644538E-2</v>
      </c>
      <c r="BD1495" s="91">
        <f t="shared" si="35"/>
        <v>1.8002972910229582E-2</v>
      </c>
      <c r="BE1495" s="91">
        <f t="shared" si="35"/>
        <v>1.6202675619206623E-2</v>
      </c>
      <c r="BF1495" s="91">
        <f t="shared" si="35"/>
        <v>1.456604171827666E-2</v>
      </c>
      <c r="BG1495" s="91">
        <f t="shared" si="35"/>
        <v>1.3794485736409678E-2</v>
      </c>
      <c r="BH1495" s="91">
        <f t="shared" si="35"/>
        <v>1.3794485736409678E-2</v>
      </c>
      <c r="BI1495" s="91">
        <f t="shared" si="35"/>
        <v>1.3817866220708679E-2</v>
      </c>
      <c r="BJ1495" s="91">
        <f t="shared" si="35"/>
        <v>1.3794485736409678E-2</v>
      </c>
      <c r="BK1495" s="91">
        <f t="shared" si="35"/>
        <v>1.3817866220708679E-2</v>
      </c>
      <c r="BL1495" s="91">
        <f t="shared" si="35"/>
        <v>1.3794485736409678E-2</v>
      </c>
      <c r="BM1495" s="91">
        <f t="shared" si="35"/>
        <v>1.3817866220708679E-2</v>
      </c>
      <c r="BN1495" s="91">
        <f t="shared" si="35"/>
        <v>1.3794485736409678E-2</v>
      </c>
      <c r="BO1495" s="91">
        <f t="shared" si="35"/>
        <v>1.3817866220708679E-2</v>
      </c>
      <c r="BP1495" s="91">
        <f t="shared" si="35"/>
        <v>6.8972428682048392E-3</v>
      </c>
      <c r="BQ1495" s="91"/>
      <c r="BR1495" s="91"/>
      <c r="BS1495" s="91"/>
    </row>
    <row r="1496" spans="1:77" ht="15.75" hidden="1" customHeight="1" outlineLevel="1">
      <c r="A1496" s="413"/>
      <c r="B1496" s="99"/>
      <c r="C1496" s="167">
        <f>IF($C$1335&gt;0,'Assumptions (Hydro)'!V$10*Model!$C$1335*'Assumptions (Hydro)'!$B$2/10^9,0)</f>
        <v>3.6080012081922283E-4</v>
      </c>
      <c r="D1496" s="167">
        <f>IF($C$1335&gt;0,'Assumptions (Hydro)'!W$10*Model!$C$1335*'Assumptions (Hydro)'!$B$2/10^9,0)</f>
        <v>6.8552022955652343E-4</v>
      </c>
      <c r="E1496" s="167">
        <f>IF($C$1335&gt;0,'Assumptions (Hydro)'!X$10*Model!$C$1335*'Assumptions (Hydro)'!$B$2/10^9,0)</f>
        <v>6.1696820660087103E-4</v>
      </c>
      <c r="F1496" s="167">
        <f>IF($C$1335&gt;0,'Assumptions (Hydro)'!Y$10*Model!$C$1335*'Assumptions (Hydro)'!$B$2/10^9,0)</f>
        <v>5.556321860616031E-4</v>
      </c>
      <c r="G1496" s="167">
        <f>IF($C$1335&gt;0,'Assumptions (Hydro)'!Z$10*Model!$C$1335*'Assumptions (Hydro)'!$B$2/10^9,0)</f>
        <v>5.0006896745544279E-4</v>
      </c>
      <c r="H1496" s="167">
        <f>IF($C$1335&gt;0,'Assumptions (Hydro)'!AA$10*Model!$C$1335*'Assumptions (Hydro)'!$B$2/10^9,0)</f>
        <v>4.4955695054075162E-4</v>
      </c>
      <c r="I1496" s="167">
        <f>IF($C$1335&gt;0,'Assumptions (Hydro)'!AB$10*Model!$C$1335*'Assumptions (Hydro)'!$B$2/10^9,0)</f>
        <v>4.2574414256668289E-4</v>
      </c>
      <c r="J1496" s="167">
        <f>IF($C$1335&gt;0,'Assumptions (Hydro)'!AC$10*Model!$C$1335*'Assumptions (Hydro)'!$B$2/10^9,0)</f>
        <v>4.2574414256668289E-4</v>
      </c>
      <c r="K1496" s="167">
        <f>IF($C$1335&gt;0,'Assumptions (Hydro)'!AD$10*Model!$C$1335*'Assumptions (Hydro)'!$B$2/10^9,0)</f>
        <v>4.2646574280832131E-4</v>
      </c>
      <c r="L1496" s="167">
        <f>IF($C$1335&gt;0,'Assumptions (Hydro)'!AE$10*Model!$C$1335*'Assumptions (Hydro)'!$B$2/10^9,0)</f>
        <v>4.2574414256668289E-4</v>
      </c>
      <c r="M1496" s="167">
        <f>IF($C$1335&gt;0,'Assumptions (Hydro)'!AF$10*Model!$C$1335*'Assumptions (Hydro)'!$B$2/10^9,0)</f>
        <v>4.2646574280832131E-4</v>
      </c>
      <c r="N1496" s="167">
        <f>IF($C$1335&gt;0,'Assumptions (Hydro)'!AG$10*Model!$C$1335*'Assumptions (Hydro)'!$B$2/10^9,0)</f>
        <v>4.2574414256668289E-4</v>
      </c>
      <c r="O1496" s="167">
        <f>IF($C$1335&gt;0,'Assumptions (Hydro)'!AH$10*Model!$C$1335*'Assumptions (Hydro)'!$B$2/10^9,0)</f>
        <v>4.2646574280832131E-4</v>
      </c>
      <c r="P1496" s="167">
        <f>IF($C$1335&gt;0,'Assumptions (Hydro)'!AI$10*Model!$C$1335*'Assumptions (Hydro)'!$B$2/10^9,0)</f>
        <v>4.2574414256668289E-4</v>
      </c>
      <c r="Q1496" s="167">
        <f>IF($C$1335&gt;0,'Assumptions (Hydro)'!AJ$10*Model!$C$1335*'Assumptions (Hydro)'!$B$2/10^9,0)</f>
        <v>4.2646574280832131E-4</v>
      </c>
      <c r="R1496" s="167">
        <f>IF($C$1335&gt;0,'Assumptions (Hydro)'!AK$10*Model!$C$1335*'Assumptions (Hydro)'!$B$2/10^9,0)</f>
        <v>2.1287207128334144E-4</v>
      </c>
      <c r="S1496" s="91"/>
      <c r="T1496" s="91"/>
      <c r="U1496" s="91"/>
      <c r="V1496" s="91"/>
      <c r="W1496" s="91"/>
      <c r="X1496" s="105"/>
      <c r="Y1496" s="105"/>
      <c r="Z1496" s="105"/>
      <c r="AA1496" s="105"/>
      <c r="AB1496" s="105"/>
      <c r="AC1496" s="105"/>
      <c r="AD1496" s="105"/>
      <c r="AE1496" s="105"/>
      <c r="AF1496" s="105"/>
      <c r="AG1496" s="105"/>
    </row>
    <row r="1497" spans="1:77" ht="15.75" hidden="1" customHeight="1" outlineLevel="1">
      <c r="A1497" s="413"/>
      <c r="B1497" s="99"/>
      <c r="C1497" s="105"/>
      <c r="D1497" s="105">
        <f>IF($D$1335&gt;0,'Assumptions (Hydro)'!V$10*Model!$D$1335*'Assumptions (Hydro)'!$B$2/10^9,0)</f>
        <v>1.2891290803324663E-2</v>
      </c>
      <c r="E1497" s="105">
        <f>IF($D$1335&gt;0,'Assumptions (Hydro)'!W$10*Model!$D$1335*'Assumptions (Hydro)'!$B$2/10^9,0)</f>
        <v>2.4493452526316864E-2</v>
      </c>
      <c r="F1497" s="105">
        <f>IF($D$1335&gt;0,'Assumptions (Hydro)'!X$10*Model!$D$1335*'Assumptions (Hydro)'!$B$2/10^9,0)</f>
        <v>2.2044107273685176E-2</v>
      </c>
      <c r="G1497" s="105">
        <f>IF($D$1335&gt;0,'Assumptions (Hydro)'!Y$10*Model!$D$1335*'Assumptions (Hydro)'!$B$2/10^9,0)</f>
        <v>1.9852587837119982E-2</v>
      </c>
      <c r="H1497" s="105">
        <f>IF($D$1335&gt;0,'Assumptions (Hydro)'!Z$10*Model!$D$1335*'Assumptions (Hydro)'!$B$2/10^9,0)</f>
        <v>1.7867329053407984E-2</v>
      </c>
      <c r="I1497" s="105">
        <f>IF($D$1335&gt;0,'Assumptions (Hydro)'!AA$10*Model!$D$1335*'Assumptions (Hydro)'!$B$2/10^9,0)</f>
        <v>1.6062548340942531E-2</v>
      </c>
      <c r="J1497" s="105">
        <f>IF($D$1335&gt;0,'Assumptions (Hydro)'!AB$10*Model!$D$1335*'Assumptions (Hydro)'!$B$2/10^9,0)</f>
        <v>1.5211723147923101E-2</v>
      </c>
      <c r="K1497" s="105">
        <f>IF($D$1335&gt;0,'Assumptions (Hydro)'!AC$10*Model!$D$1335*'Assumptions (Hydro)'!$B$2/10^9,0)</f>
        <v>1.5211723147923101E-2</v>
      </c>
      <c r="L1497" s="105">
        <f>IF($D$1335&gt;0,'Assumptions (Hydro)'!AD$10*Model!$D$1335*'Assumptions (Hydro)'!$B$2/10^9,0)</f>
        <v>1.5237505729529751E-2</v>
      </c>
      <c r="M1497" s="105">
        <f>IF($D$1335&gt;0,'Assumptions (Hydro)'!AE$10*Model!$D$1335*'Assumptions (Hydro)'!$B$2/10^9,0)</f>
        <v>1.5211723147923101E-2</v>
      </c>
      <c r="N1497" s="105">
        <f>IF($D$1335&gt;0,'Assumptions (Hydro)'!AF$10*Model!$D$1335*'Assumptions (Hydro)'!$B$2/10^9,0)</f>
        <v>1.5237505729529751E-2</v>
      </c>
      <c r="O1497" s="105">
        <f>IF($D$1335&gt;0,'Assumptions (Hydro)'!AG$10*Model!$D$1335*'Assumptions (Hydro)'!$B$2/10^9,0)</f>
        <v>1.5211723147923101E-2</v>
      </c>
      <c r="P1497" s="105">
        <f>IF($D$1335&gt;0,'Assumptions (Hydro)'!AH$10*Model!$D$1335*'Assumptions (Hydro)'!$B$2/10^9,0)</f>
        <v>1.5237505729529751E-2</v>
      </c>
      <c r="Q1497" s="105">
        <f>IF($D$1335&gt;0,'Assumptions (Hydro)'!AI$10*Model!$D$1335*'Assumptions (Hydro)'!$B$2/10^9,0)</f>
        <v>1.5211723147923101E-2</v>
      </c>
      <c r="R1497" s="105">
        <f>IF($D$1335&gt;0,'Assumptions (Hydro)'!AJ$10*Model!$D$1335*'Assumptions (Hydro)'!$B$2/10^9,0)</f>
        <v>1.5237505729529751E-2</v>
      </c>
      <c r="S1497" s="105">
        <f>IF($D$1335&gt;0,'Assumptions (Hydro)'!AK$10*Model!$D$1335*'Assumptions (Hydro)'!$B$2/10^9,0)</f>
        <v>7.6058615739615504E-3</v>
      </c>
      <c r="T1497" s="105"/>
      <c r="U1497" s="105"/>
      <c r="V1497" s="105"/>
      <c r="W1497" s="105"/>
      <c r="X1497" s="105"/>
      <c r="Y1497" s="105"/>
      <c r="Z1497" s="105"/>
      <c r="AA1497" s="105"/>
      <c r="AB1497" s="105"/>
      <c r="AC1497" s="105"/>
      <c r="AD1497" s="105"/>
      <c r="AE1497" s="105"/>
      <c r="AF1497" s="105"/>
      <c r="AG1497" s="105"/>
    </row>
    <row r="1498" spans="1:77" ht="15.75" hidden="1" customHeight="1" outlineLevel="1">
      <c r="A1498" s="413"/>
      <c r="B1498" s="99"/>
      <c r="C1498" s="105"/>
      <c r="D1498" s="105"/>
      <c r="E1498" s="105">
        <f>IF($E$1335&gt;0,'Assumptions (Hydro)'!V$10*Model!$E$1335*AVERAGE('Assumptions (Hydro)'!$B$2:$C$2)/10^9,0)</f>
        <v>3.3988444030178637E-2</v>
      </c>
      <c r="F1498" s="105">
        <f>IF($E$1335&gt;0,'Assumptions (Hydro)'!W$10*Model!$E$1335*AVERAGE('Assumptions (Hydro)'!$B$2:$C$2)/10^9,0)</f>
        <v>6.4578043657339407E-2</v>
      </c>
      <c r="G1498" s="105">
        <f>IF($E$1335&gt;0,'Assumptions (Hydro)'!X$10*Model!$E$1335*AVERAGE('Assumptions (Hydro)'!$B$2:$C$2)/10^9,0)</f>
        <v>5.8120239291605473E-2</v>
      </c>
      <c r="H1498" s="105">
        <f>IF($E$1335&gt;0,'Assumptions (Hydro)'!Y$10*Model!$E$1335*AVERAGE('Assumptions (Hydro)'!$B$2:$C$2)/10^9,0)</f>
        <v>5.2342203806475099E-2</v>
      </c>
      <c r="I1498" s="105">
        <f>IF($E$1335&gt;0,'Assumptions (Hydro)'!Z$10*Model!$E$1335*AVERAGE('Assumptions (Hydro)'!$B$2:$C$2)/10^9,0)</f>
        <v>4.7107983425827588E-2</v>
      </c>
      <c r="J1498" s="105">
        <f>IF($E$1335&gt;0,'Assumptions (Hydro)'!AA$10*Model!$E$1335*AVERAGE('Assumptions (Hydro)'!$B$2:$C$2)/10^9,0)</f>
        <v>4.2349601261602587E-2</v>
      </c>
      <c r="K1498" s="105">
        <f>IF($E$1335&gt;0,'Assumptions (Hydro)'!AB$10*Model!$E$1335*AVERAGE('Assumptions (Hydro)'!$B$2:$C$2)/10^9,0)</f>
        <v>4.0106363955610791E-2</v>
      </c>
      <c r="L1498" s="105">
        <f>IF($E$1335&gt;0,'Assumptions (Hydro)'!AC$10*Model!$E$1335*AVERAGE('Assumptions (Hydro)'!$B$2:$C$2)/10^9,0)</f>
        <v>4.0106363955610791E-2</v>
      </c>
      <c r="M1498" s="105">
        <f>IF($E$1335&gt;0,'Assumptions (Hydro)'!AD$10*Model!$E$1335*AVERAGE('Assumptions (Hydro)'!$B$2:$C$2)/10^9,0)</f>
        <v>4.017434084367115E-2</v>
      </c>
      <c r="N1498" s="105">
        <f>IF($E$1335&gt;0,'Assumptions (Hydro)'!AE$10*Model!$E$1335*AVERAGE('Assumptions (Hydro)'!$B$2:$C$2)/10^9,0)</f>
        <v>4.0106363955610791E-2</v>
      </c>
      <c r="O1498" s="105">
        <f>IF($E$1335&gt;0,'Assumptions (Hydro)'!AF$10*Model!$E$1335*AVERAGE('Assumptions (Hydro)'!$B$2:$C$2)/10^9,0)</f>
        <v>4.017434084367115E-2</v>
      </c>
      <c r="P1498" s="105">
        <f>IF($E$1335&gt;0,'Assumptions (Hydro)'!AG$10*Model!$E$1335*AVERAGE('Assumptions (Hydro)'!$B$2:$C$2)/10^9,0)</f>
        <v>4.0106363955610791E-2</v>
      </c>
      <c r="Q1498" s="105">
        <f>IF($E$1335&gt;0,'Assumptions (Hydro)'!AH$10*Model!$E$1335*AVERAGE('Assumptions (Hydro)'!$B$2:$C$2)/10^9,0)</f>
        <v>4.017434084367115E-2</v>
      </c>
      <c r="R1498" s="105">
        <f>IF($E$1335&gt;0,'Assumptions (Hydro)'!AI$10*Model!$E$1335*AVERAGE('Assumptions (Hydro)'!$B$2:$C$2)/10^9,0)</f>
        <v>4.0106363955610791E-2</v>
      </c>
      <c r="S1498" s="105">
        <f>IF($E$1335&gt;0,'Assumptions (Hydro)'!AJ$10*Model!$E$1335*AVERAGE('Assumptions (Hydro)'!$B$2:$C$2)/10^9,0)</f>
        <v>4.017434084367115E-2</v>
      </c>
      <c r="T1498" s="105">
        <f>IF($E$1335&gt;0,'Assumptions (Hydro)'!AK$10*Model!$E$1335*AVERAGE('Assumptions (Hydro)'!$B$2:$C$2)/10^9,0)</f>
        <v>2.0053181977805395E-2</v>
      </c>
      <c r="U1498" s="105"/>
      <c r="V1498" s="105"/>
      <c r="W1498" s="105"/>
      <c r="X1498" s="105"/>
      <c r="Y1498" s="105"/>
      <c r="Z1498" s="105"/>
      <c r="AA1498" s="105"/>
      <c r="AB1498" s="105"/>
      <c r="AC1498" s="105"/>
      <c r="AD1498" s="105"/>
      <c r="AE1498" s="105"/>
      <c r="AF1498" s="105"/>
      <c r="AG1498" s="105"/>
    </row>
    <row r="1499" spans="1:77" ht="15.75" hidden="1" customHeight="1" outlineLevel="1">
      <c r="A1499" s="413"/>
      <c r="B1499" s="99"/>
      <c r="C1499" s="105"/>
      <c r="D1499" s="105"/>
      <c r="E1499" s="105"/>
      <c r="F1499" s="105">
        <f>IF($F$1335&gt;0,'Assumptions (Hydro)'!V$10*Model!$F$1335*AVERAGE('Assumptions (Hydro)'!$B$2:$D$2)/10^9,0)</f>
        <v>8.0377269668663112E-3</v>
      </c>
      <c r="G1499" s="105">
        <f>IF($F$1335&gt;0,'Assumptions (Hydro)'!W$10*Model!$F$1335*AVERAGE('Assumptions (Hydro)'!$B$2:$D$2)/10^9,0)</f>
        <v>1.5271681237045993E-2</v>
      </c>
      <c r="H1499" s="105">
        <f>IF($F$1335&gt;0,'Assumptions (Hydro)'!X$10*Model!$F$1335*AVERAGE('Assumptions (Hydro)'!$B$2:$D$2)/10^9,0)</f>
        <v>1.3744513113341395E-2</v>
      </c>
      <c r="I1499" s="105">
        <f>IF($F$1335&gt;0,'Assumptions (Hydro)'!Y$10*Model!$F$1335*AVERAGE('Assumptions (Hydro)'!$B$2:$D$2)/10^9,0)</f>
        <v>1.237809952897412E-2</v>
      </c>
      <c r="J1499" s="105">
        <f>IF($F$1335&gt;0,'Assumptions (Hydro)'!Z$10*Model!$F$1335*AVERAGE('Assumptions (Hydro)'!$B$2:$D$2)/10^9,0)</f>
        <v>1.1140289576076707E-2</v>
      </c>
      <c r="K1499" s="105">
        <f>IF($F$1335&gt;0,'Assumptions (Hydro)'!AA$10*Model!$F$1335*AVERAGE('Assumptions (Hydro)'!$B$2:$D$2)/10^9,0)</f>
        <v>1.0015007800715424E-2</v>
      </c>
      <c r="L1499" s="105">
        <f>IF($F$1335&gt;0,'Assumptions (Hydro)'!AB$10*Model!$F$1335*AVERAGE('Assumptions (Hydro)'!$B$2:$D$2)/10^9,0)</f>
        <v>9.4845178209022468E-3</v>
      </c>
      <c r="M1499" s="105">
        <f>IF($F$1335&gt;0,'Assumptions (Hydro)'!AC$10*Model!$F$1335*AVERAGE('Assumptions (Hydro)'!$B$2:$D$2)/10^9,0)</f>
        <v>9.4845178209022468E-3</v>
      </c>
      <c r="N1499" s="105">
        <f>IF($F$1335&gt;0,'Assumptions (Hydro)'!AD$10*Model!$F$1335*AVERAGE('Assumptions (Hydro)'!$B$2:$D$2)/10^9,0)</f>
        <v>9.5005932748359802E-3</v>
      </c>
      <c r="O1499" s="105">
        <f>IF($F$1335&gt;0,'Assumptions (Hydro)'!AE$10*Model!$F$1335*AVERAGE('Assumptions (Hydro)'!$B$2:$D$2)/10^9,0)</f>
        <v>9.4845178209022468E-3</v>
      </c>
      <c r="P1499" s="105">
        <f>IF($F$1335&gt;0,'Assumptions (Hydro)'!AF$10*Model!$F$1335*AVERAGE('Assumptions (Hydro)'!$B$2:$D$2)/10^9,0)</f>
        <v>9.5005932748359802E-3</v>
      </c>
      <c r="Q1499" s="105">
        <f>IF($F$1335&gt;0,'Assumptions (Hydro)'!AG$10*Model!$F$1335*AVERAGE('Assumptions (Hydro)'!$B$2:$D$2)/10^9,0)</f>
        <v>9.4845178209022468E-3</v>
      </c>
      <c r="R1499" s="105">
        <f>IF($F$1335&gt;0,'Assumptions (Hydro)'!AH$10*Model!$F$1335*AVERAGE('Assumptions (Hydro)'!$B$2:$D$2)/10^9,0)</f>
        <v>9.5005932748359802E-3</v>
      </c>
      <c r="S1499" s="105">
        <f>IF($F$1335&gt;0,'Assumptions (Hydro)'!AI$10*Model!$F$1335*AVERAGE('Assumptions (Hydro)'!$B$2:$D$2)/10^9,0)</f>
        <v>9.4845178209022468E-3</v>
      </c>
      <c r="T1499" s="105">
        <f>IF($F$1335&gt;0,'Assumptions (Hydro)'!AJ$10*Model!$F$1335*AVERAGE('Assumptions (Hydro)'!$B$2:$D$2)/10^9,0)</f>
        <v>9.5005932748359802E-3</v>
      </c>
      <c r="U1499" s="105">
        <f>IF($F$1335&gt;0,'Assumptions (Hydro)'!AK$10*Model!$F$1335*AVERAGE('Assumptions (Hydro)'!$B$2:$D$2)/10^9,0)</f>
        <v>4.7422589104511234E-3</v>
      </c>
      <c r="V1499" s="105"/>
      <c r="W1499" s="105"/>
      <c r="X1499" s="105"/>
      <c r="Y1499" s="105"/>
      <c r="Z1499" s="105"/>
      <c r="AA1499" s="105"/>
      <c r="AB1499" s="105"/>
      <c r="AC1499" s="105"/>
      <c r="AD1499" s="105"/>
      <c r="AE1499" s="105"/>
      <c r="AF1499" s="105"/>
      <c r="AG1499" s="105"/>
    </row>
    <row r="1500" spans="1:77" ht="15.75" hidden="1" customHeight="1" outlineLevel="1">
      <c r="A1500" s="413"/>
      <c r="B1500" s="99"/>
      <c r="C1500" s="105"/>
      <c r="D1500" s="105"/>
      <c r="E1500" s="105"/>
      <c r="F1500" s="105"/>
      <c r="G1500" s="105">
        <f>IF($G$1335&gt;0,'Assumptions (Hydro)'!V$10*Model!$G$1335*AVERAGE('Assumptions (Hydro)'!$C$2:$E$2)/10^9,0)</f>
        <v>7.8534958982693307E-3</v>
      </c>
      <c r="H1500" s="105">
        <f>IF($G$1335&gt;0,'Assumptions (Hydro)'!W$10*Model!$G$1335*AVERAGE('Assumptions (Hydro)'!$C$2:$E$2)/10^9,0)</f>
        <v>1.4921642206711728E-2</v>
      </c>
      <c r="I1500" s="105">
        <f>IF($G$1335&gt;0,'Assumptions (Hydro)'!X$10*Model!$G$1335*AVERAGE('Assumptions (Hydro)'!$C$2:$E$2)/10^9,0)</f>
        <v>1.3429477986040557E-2</v>
      </c>
      <c r="J1500" s="105">
        <f>IF($G$1335&gt;0,'Assumptions (Hydro)'!Y$10*Model!$G$1335*AVERAGE('Assumptions (Hydro)'!$C$2:$E$2)/10^9,0)</f>
        <v>1.2094383683334769E-2</v>
      </c>
      <c r="K1500" s="105">
        <f>IF($G$1335&gt;0,'Assumptions (Hydro)'!Z$10*Model!$G$1335*AVERAGE('Assumptions (Hydro)'!$C$2:$E$2)/10^9,0)</f>
        <v>1.0884945315001292E-2</v>
      </c>
      <c r="L1500" s="105">
        <f>IF($G$1335&gt;0,'Assumptions (Hydro)'!AA$10*Model!$G$1335*AVERAGE('Assumptions (Hydro)'!$C$2:$E$2)/10^9,0)</f>
        <v>9.7854558892435852E-3</v>
      </c>
      <c r="M1500" s="105">
        <f>IF($G$1335&gt;0,'Assumptions (Hydro)'!AB$10*Model!$G$1335*AVERAGE('Assumptions (Hydro)'!$C$2:$E$2)/10^9,0)</f>
        <v>9.2671251599578102E-3</v>
      </c>
      <c r="N1500" s="105">
        <f>IF($G$1335&gt;0,'Assumptions (Hydro)'!AC$10*Model!$G$1335*AVERAGE('Assumptions (Hydro)'!$C$2:$E$2)/10^9,0)</f>
        <v>9.2671251599578102E-3</v>
      </c>
      <c r="O1500" s="105">
        <f>IF($G$1335&gt;0,'Assumptions (Hydro)'!AD$10*Model!$G$1335*AVERAGE('Assumptions (Hydro)'!$C$2:$E$2)/10^9,0)</f>
        <v>9.2828321517543499E-3</v>
      </c>
      <c r="P1500" s="105">
        <f>IF($G$1335&gt;0,'Assumptions (Hydro)'!AE$10*Model!$G$1335*AVERAGE('Assumptions (Hydro)'!$C$2:$E$2)/10^9,0)</f>
        <v>9.2671251599578102E-3</v>
      </c>
      <c r="Q1500" s="105">
        <f>IF($G$1335&gt;0,'Assumptions (Hydro)'!AF$10*Model!$G$1335*AVERAGE('Assumptions (Hydro)'!$C$2:$E$2)/10^9,0)</f>
        <v>9.2828321517543499E-3</v>
      </c>
      <c r="R1500" s="105">
        <f>IF($G$1335&gt;0,'Assumptions (Hydro)'!AG$10*Model!$G$1335*AVERAGE('Assumptions (Hydro)'!$C$2:$E$2)/10^9,0)</f>
        <v>9.2671251599578102E-3</v>
      </c>
      <c r="S1500" s="105">
        <f>IF($G$1335&gt;0,'Assumptions (Hydro)'!AH$10*Model!$G$1335*AVERAGE('Assumptions (Hydro)'!$C$2:$E$2)/10^9,0)</f>
        <v>9.2828321517543499E-3</v>
      </c>
      <c r="T1500" s="105">
        <f>IF($G$1335&gt;0,'Assumptions (Hydro)'!AI$10*Model!$G$1335*AVERAGE('Assumptions (Hydro)'!$C$2:$E$2)/10^9,0)</f>
        <v>9.2671251599578102E-3</v>
      </c>
      <c r="U1500" s="105">
        <f>IF($G$1335&gt;0,'Assumptions (Hydro)'!AJ$10*Model!$G$1335*AVERAGE('Assumptions (Hydro)'!$C$2:$E$2)/10^9,0)</f>
        <v>9.2828321517543499E-3</v>
      </c>
      <c r="V1500" s="105">
        <f>IF($G$1335&gt;0,'Assumptions (Hydro)'!AK$10*Model!$G$1335*AVERAGE('Assumptions (Hydro)'!$C$2:$E$2)/10^9,0)</f>
        <v>4.6335625799789051E-3</v>
      </c>
      <c r="W1500" s="105"/>
      <c r="X1500" s="105"/>
      <c r="Y1500" s="105"/>
      <c r="Z1500" s="105"/>
      <c r="AA1500" s="105"/>
      <c r="AB1500" s="105"/>
      <c r="AC1500" s="105"/>
      <c r="AD1500" s="105"/>
      <c r="AE1500" s="105"/>
      <c r="AF1500" s="105"/>
      <c r="AG1500" s="105"/>
    </row>
    <row r="1501" spans="1:77" ht="15.75" hidden="1" customHeight="1" outlineLevel="1">
      <c r="A1501" s="413"/>
      <c r="B1501" s="99"/>
      <c r="C1501" s="105"/>
      <c r="D1501" s="105"/>
      <c r="E1501" s="105"/>
      <c r="F1501" s="105"/>
      <c r="G1501" s="105"/>
      <c r="H1501" s="105">
        <f>IF($H$1335&gt;0,'Assumptions (Hydro)'!V$10*Model!$H$1335*AVERAGE('Assumptions (Hydro)'!$D$2:$F$2)/10^9,0)</f>
        <v>2.6494894689355138E-3</v>
      </c>
      <c r="I1501" s="105">
        <f>IF($H$1335&gt;0,'Assumptions (Hydro)'!W$10*Model!$H$1335*AVERAGE('Assumptions (Hydro)'!$D$2:$F$2)/10^9,0)</f>
        <v>5.0340299909774752E-3</v>
      </c>
      <c r="J1501" s="105">
        <f>IF($H$1335&gt;0,'Assumptions (Hydro)'!X$10*Model!$H$1335*AVERAGE('Assumptions (Hydro)'!$D$2:$F$2)/10^9,0)</f>
        <v>4.5306269918797279E-3</v>
      </c>
      <c r="K1501" s="105">
        <f>IF($H$1335&gt;0,'Assumptions (Hydro)'!Y$10*Model!$H$1335*AVERAGE('Assumptions (Hydro)'!$D$2:$F$2)/10^9,0)</f>
        <v>4.0802137821606905E-3</v>
      </c>
      <c r="L1501" s="105">
        <f>IF($H$1335&gt;0,'Assumptions (Hydro)'!Z$10*Model!$H$1335*AVERAGE('Assumptions (Hydro)'!$D$2:$F$2)/10^9,0)</f>
        <v>3.6721924039446211E-3</v>
      </c>
      <c r="M1501" s="105">
        <f>IF($H$1335&gt;0,'Assumptions (Hydro)'!AA$10*Model!$H$1335*AVERAGE('Assumptions (Hydro)'!$D$2:$F$2)/10^9,0)</f>
        <v>3.3012638782936496E-3</v>
      </c>
      <c r="N1501" s="105">
        <f>IF($H$1335&gt;0,'Assumptions (Hydro)'!AB$10*Model!$H$1335*AVERAGE('Assumptions (Hydro)'!$D$2:$F$2)/10^9,0)</f>
        <v>3.1263975733439057E-3</v>
      </c>
      <c r="O1501" s="105">
        <f>IF($H$1335&gt;0,'Assumptions (Hydro)'!AC$10*Model!$H$1335*AVERAGE('Assumptions (Hydro)'!$D$2:$F$2)/10^9,0)</f>
        <v>3.1263975733439057E-3</v>
      </c>
      <c r="P1501" s="105">
        <f>IF($H$1335&gt;0,'Assumptions (Hydro)'!AD$10*Model!$H$1335*AVERAGE('Assumptions (Hydro)'!$D$2:$F$2)/10^9,0)</f>
        <v>3.131696552281777E-3</v>
      </c>
      <c r="Q1501" s="105">
        <f>IF($H$1335&gt;0,'Assumptions (Hydro)'!AE$10*Model!$H$1335*AVERAGE('Assumptions (Hydro)'!$D$2:$F$2)/10^9,0)</f>
        <v>3.1263975733439057E-3</v>
      </c>
      <c r="R1501" s="105">
        <f>IF($H$1335&gt;0,'Assumptions (Hydro)'!AF$10*Model!$H$1335*AVERAGE('Assumptions (Hydro)'!$D$2:$F$2)/10^9,0)</f>
        <v>3.131696552281777E-3</v>
      </c>
      <c r="S1501" s="105">
        <f>IF($H$1335&gt;0,'Assumptions (Hydro)'!AG$10*Model!$H$1335*AVERAGE('Assumptions (Hydro)'!$D$2:$F$2)/10^9,0)</f>
        <v>3.1263975733439057E-3</v>
      </c>
      <c r="T1501" s="105">
        <f>IF($H$1335&gt;0,'Assumptions (Hydro)'!AH$10*Model!$H$1335*AVERAGE('Assumptions (Hydro)'!$D$2:$F$2)/10^9,0)</f>
        <v>3.131696552281777E-3</v>
      </c>
      <c r="U1501" s="105">
        <f>IF($H$1335&gt;0,'Assumptions (Hydro)'!AI$10*Model!$H$1335*AVERAGE('Assumptions (Hydro)'!$D$2:$F$2)/10^9,0)</f>
        <v>3.1263975733439057E-3</v>
      </c>
      <c r="V1501" s="105">
        <f>IF($H$1335&gt;0,'Assumptions (Hydro)'!AJ$10*Model!$H$1335*AVERAGE('Assumptions (Hydro)'!$D$2:$F$2)/10^9,0)</f>
        <v>3.131696552281777E-3</v>
      </c>
      <c r="W1501" s="105">
        <f>IF($H$1335&gt;0,'Assumptions (Hydro)'!AK$10*Model!$H$1335*AVERAGE('Assumptions (Hydro)'!$D$2:$F$2)/10^9,0)</f>
        <v>1.5631987866719529E-3</v>
      </c>
      <c r="X1501" s="105"/>
      <c r="Y1501" s="105"/>
      <c r="Z1501" s="105"/>
      <c r="AA1501" s="105"/>
      <c r="AB1501" s="105"/>
      <c r="AC1501" s="105"/>
      <c r="AD1501" s="105"/>
      <c r="AE1501" s="105"/>
      <c r="AF1501" s="105"/>
      <c r="AG1501" s="105"/>
    </row>
    <row r="1502" spans="1:77" ht="15.75" hidden="1" customHeight="1" outlineLevel="1">
      <c r="A1502" s="413"/>
      <c r="B1502" s="99"/>
      <c r="C1502" s="105"/>
      <c r="D1502" s="105"/>
      <c r="E1502" s="105"/>
      <c r="F1502" s="105"/>
      <c r="G1502" s="105"/>
      <c r="H1502" s="105"/>
      <c r="I1502" s="105">
        <f>IF($I$1335&gt;0,'Assumptions (Hydro)'!V$10*Model!$I$1335*AVERAGE('Assumptions (Hydro)'!$E$2:$G$2)/10^9,0)</f>
        <v>2.1535381589691473E-3</v>
      </c>
      <c r="J1502" s="105">
        <f>IF($I$1335&gt;0,'Assumptions (Hydro)'!W$10*Model!$I$1335*AVERAGE('Assumptions (Hydro)'!$E$2:$G$2)/10^9,0)</f>
        <v>4.0917225020413788E-3</v>
      </c>
      <c r="K1502" s="105">
        <f>IF($I$1335&gt;0,'Assumptions (Hydro)'!X$10*Model!$I$1335*AVERAGE('Assumptions (Hydro)'!$E$2:$G$2)/10^9,0)</f>
        <v>3.6825502518372417E-3</v>
      </c>
      <c r="L1502" s="105">
        <f>IF($I$1335&gt;0,'Assumptions (Hydro)'!Y$10*Model!$I$1335*AVERAGE('Assumptions (Hydro)'!$E$2:$G$2)/10^9,0)</f>
        <v>3.3164487648124864E-3</v>
      </c>
      <c r="M1502" s="105">
        <f>IF($I$1335&gt;0,'Assumptions (Hydro)'!Z$10*Model!$I$1335*AVERAGE('Assumptions (Hydro)'!$E$2:$G$2)/10^9,0)</f>
        <v>2.9848038883312378E-3</v>
      </c>
      <c r="N1502" s="105">
        <f>IF($I$1335&gt;0,'Assumptions (Hydro)'!AA$10*Model!$I$1335*AVERAGE('Assumptions (Hydro)'!$E$2:$G$2)/10^9,0)</f>
        <v>2.6833085460755569E-3</v>
      </c>
      <c r="O1502" s="105">
        <f>IF($I$1335&gt;0,'Assumptions (Hydro)'!AB$10*Model!$I$1335*AVERAGE('Assumptions (Hydro)'!$E$2:$G$2)/10^9,0)</f>
        <v>2.5411750275835931E-3</v>
      </c>
      <c r="P1502" s="105">
        <f>IF($I$1335&gt;0,'Assumptions (Hydro)'!AC$10*Model!$I$1335*AVERAGE('Assumptions (Hydro)'!$E$2:$G$2)/10^9,0)</f>
        <v>2.5411750275835931E-3</v>
      </c>
      <c r="Q1502" s="105">
        <f>IF($I$1335&gt;0,'Assumptions (Hydro)'!AD$10*Model!$I$1335*AVERAGE('Assumptions (Hydro)'!$E$2:$G$2)/10^9,0)</f>
        <v>2.5454821039015314E-3</v>
      </c>
      <c r="R1502" s="105">
        <f>IF($I$1335&gt;0,'Assumptions (Hydro)'!AE$10*Model!$I$1335*AVERAGE('Assumptions (Hydro)'!$E$2:$G$2)/10^9,0)</f>
        <v>2.5411750275835931E-3</v>
      </c>
      <c r="S1502" s="105">
        <f>IF($I$1335&gt;0,'Assumptions (Hydro)'!AF$10*Model!$I$1335*AVERAGE('Assumptions (Hydro)'!$E$2:$G$2)/10^9,0)</f>
        <v>2.5454821039015314E-3</v>
      </c>
      <c r="T1502" s="105">
        <f>IF($I$1335&gt;0,'Assumptions (Hydro)'!AG$10*Model!$I$1335*AVERAGE('Assumptions (Hydro)'!$E$2:$G$2)/10^9,0)</f>
        <v>2.5411750275835931E-3</v>
      </c>
      <c r="U1502" s="105">
        <f>IF($I$1335&gt;0,'Assumptions (Hydro)'!AH$10*Model!$I$1335*AVERAGE('Assumptions (Hydro)'!$E$2:$G$2)/10^9,0)</f>
        <v>2.5454821039015314E-3</v>
      </c>
      <c r="V1502" s="105">
        <f>IF($I$1335&gt;0,'Assumptions (Hydro)'!AI$10*Model!$I$1335*AVERAGE('Assumptions (Hydro)'!$E$2:$G$2)/10^9,0)</f>
        <v>2.5411750275835931E-3</v>
      </c>
      <c r="W1502" s="105">
        <f>IF($I$1335&gt;0,'Assumptions (Hydro)'!AJ$10*Model!$I$1335*AVERAGE('Assumptions (Hydro)'!$E$2:$G$2)/10^9,0)</f>
        <v>2.5454821039015314E-3</v>
      </c>
      <c r="X1502" s="105">
        <f>IF($I$1335&gt;0,'Assumptions (Hydro)'!AK$10*Model!$I$1335*AVERAGE('Assumptions (Hydro)'!$E$2:$G$2)/10^9,0)</f>
        <v>1.2705875137917965E-3</v>
      </c>
      <c r="Y1502" s="105"/>
      <c r="Z1502" s="105"/>
      <c r="AA1502" s="105"/>
      <c r="AB1502" s="105"/>
      <c r="AC1502" s="105"/>
      <c r="AD1502" s="105"/>
      <c r="AE1502" s="105"/>
      <c r="AF1502" s="105"/>
      <c r="AG1502" s="105"/>
    </row>
    <row r="1503" spans="1:77" ht="15.75" hidden="1" customHeight="1" outlineLevel="1">
      <c r="A1503" s="413"/>
      <c r="B1503" s="99"/>
      <c r="C1503" s="105"/>
      <c r="D1503" s="105"/>
      <c r="E1503" s="105"/>
      <c r="F1503" s="105"/>
      <c r="G1503" s="105"/>
      <c r="H1503" s="105"/>
      <c r="I1503" s="105"/>
      <c r="J1503" s="105">
        <f>IF($J$1335&gt;0,'Assumptions (Hydro)'!V$10*Model!$J$1335*AVERAGE('Assumptions (Hydro)'!$F$2:$H$2)/10^9,0)</f>
        <v>2.3258212116866782E-3</v>
      </c>
      <c r="K1503" s="105">
        <f>IF($J$1335&gt;0,'Assumptions (Hydro)'!W$10*Model!$J$1335*AVERAGE('Assumptions (Hydro)'!$F$2:$H$2)/10^9,0)</f>
        <v>4.4190603022046882E-3</v>
      </c>
      <c r="L1503" s="105">
        <f>IF($J$1335&gt;0,'Assumptions (Hydro)'!X$10*Model!$J$1335*AVERAGE('Assumptions (Hydro)'!$F$2:$H$2)/10^9,0)</f>
        <v>3.97715427198422E-3</v>
      </c>
      <c r="M1503" s="105">
        <f>IF($J$1335&gt;0,'Assumptions (Hydro)'!Y$10*Model!$J$1335*AVERAGE('Assumptions (Hydro)'!$F$2:$H$2)/10^9,0)</f>
        <v>3.581764665997484E-3</v>
      </c>
      <c r="N1503" s="105">
        <f>IF($J$1335&gt;0,'Assumptions (Hydro)'!Z$10*Model!$J$1335*AVERAGE('Assumptions (Hydro)'!$F$2:$H$2)/10^9,0)</f>
        <v>3.2235881993977356E-3</v>
      </c>
      <c r="O1503" s="105">
        <f>IF($J$1335&gt;0,'Assumptions (Hydro)'!AA$10*Model!$J$1335*AVERAGE('Assumptions (Hydro)'!$F$2:$H$2)/10^9,0)</f>
        <v>2.8979732297616015E-3</v>
      </c>
      <c r="P1503" s="105">
        <f>IF($J$1335&gt;0,'Assumptions (Hydro)'!AB$10*Model!$J$1335*AVERAGE('Assumptions (Hydro)'!$F$2:$H$2)/10^9,0)</f>
        <v>2.7444690297902799E-3</v>
      </c>
      <c r="Q1503" s="105">
        <f>IF($J$1335&gt;0,'Assumptions (Hydro)'!AC$10*Model!$J$1335*AVERAGE('Assumptions (Hydro)'!$F$2:$H$2)/10^9,0)</f>
        <v>2.7444690297902799E-3</v>
      </c>
      <c r="R1503" s="105">
        <f>IF($J$1335&gt;0,'Assumptions (Hydro)'!AD$10*Model!$J$1335*AVERAGE('Assumptions (Hydro)'!$F$2:$H$2)/10^9,0)</f>
        <v>2.7491206722136535E-3</v>
      </c>
      <c r="S1503" s="105">
        <f>IF($J$1335&gt;0,'Assumptions (Hydro)'!AE$10*Model!$J$1335*AVERAGE('Assumptions (Hydro)'!$F$2:$H$2)/10^9,0)</f>
        <v>2.7444690297902799E-3</v>
      </c>
      <c r="T1503" s="105">
        <f>IF($J$1335&gt;0,'Assumptions (Hydro)'!AF$10*Model!$J$1335*AVERAGE('Assumptions (Hydro)'!$F$2:$H$2)/10^9,0)</f>
        <v>2.7491206722136535E-3</v>
      </c>
      <c r="U1503" s="105">
        <f>IF($J$1335&gt;0,'Assumptions (Hydro)'!AG$10*Model!$J$1335*AVERAGE('Assumptions (Hydro)'!$F$2:$H$2)/10^9,0)</f>
        <v>2.7444690297902799E-3</v>
      </c>
      <c r="V1503" s="105">
        <f>IF($J$1335&gt;0,'Assumptions (Hydro)'!AH$10*Model!$J$1335*AVERAGE('Assumptions (Hydro)'!$F$2:$H$2)/10^9,0)</f>
        <v>2.7491206722136535E-3</v>
      </c>
      <c r="W1503" s="105">
        <f>IF($J$1335&gt;0,'Assumptions (Hydro)'!AI$10*Model!$J$1335*AVERAGE('Assumptions (Hydro)'!$F$2:$H$2)/10^9,0)</f>
        <v>2.7444690297902799E-3</v>
      </c>
      <c r="X1503" s="105">
        <f>IF($J$1335&gt;0,'Assumptions (Hydro)'!AJ$10*Model!$J$1335*AVERAGE('Assumptions (Hydro)'!$F$2:$H$2)/10^9,0)</f>
        <v>2.7491206722136535E-3</v>
      </c>
      <c r="Y1503" s="105">
        <f>IF($J$1335&gt;0,'Assumptions (Hydro)'!AK$10*Model!$J$1335*AVERAGE('Assumptions (Hydro)'!$F$2:$H$2)/10^9,0)</f>
        <v>1.3722345148951399E-3</v>
      </c>
      <c r="Z1503" s="105"/>
      <c r="AA1503" s="105"/>
      <c r="AB1503" s="105"/>
      <c r="AC1503" s="105"/>
      <c r="AD1503" s="105"/>
      <c r="AE1503" s="105"/>
      <c r="AF1503" s="105"/>
      <c r="AG1503" s="105"/>
      <c r="AH1503" s="105"/>
    </row>
    <row r="1504" spans="1:77" ht="15.75" hidden="1" customHeight="1" outlineLevel="1">
      <c r="A1504" s="413"/>
      <c r="B1504" s="99"/>
      <c r="C1504" s="105"/>
      <c r="D1504" s="105"/>
      <c r="E1504" s="105"/>
      <c r="F1504" s="105"/>
      <c r="G1504" s="105"/>
      <c r="H1504" s="105"/>
      <c r="I1504" s="105"/>
      <c r="J1504" s="105"/>
      <c r="K1504" s="105">
        <f>IF($K$1335&gt;0,'Assumptions (Hydro)'!V$10*Model!$K$1335*AVERAGE('Assumptions (Hydro)'!$G$2:$I$2)/10^9,0)</f>
        <v>2.5370833050815515E-3</v>
      </c>
      <c r="L1504" s="105">
        <f>IF($K$1335&gt;0,'Assumptions (Hydro)'!W$10*Model!$K$1335*AVERAGE('Assumptions (Hydro)'!$G$2:$I$2)/10^9,0)</f>
        <v>4.8204582796549482E-3</v>
      </c>
      <c r="M1504" s="105">
        <f>IF($K$1335&gt;0,'Assumptions (Hydro)'!X$10*Model!$K$1335*AVERAGE('Assumptions (Hydro)'!$G$2:$I$2)/10^9,0)</f>
        <v>4.3384124516894539E-3</v>
      </c>
      <c r="N1504" s="105">
        <f>IF($K$1335&gt;0,'Assumptions (Hydro)'!Y$10*Model!$K$1335*AVERAGE('Assumptions (Hydro)'!$G$2:$I$2)/10^9,0)</f>
        <v>3.90710828982559E-3</v>
      </c>
      <c r="O1504" s="105">
        <f>IF($K$1335&gt;0,'Assumptions (Hydro)'!Z$10*Model!$K$1335*AVERAGE('Assumptions (Hydro)'!$G$2:$I$2)/10^9,0)</f>
        <v>3.5163974608430309E-3</v>
      </c>
      <c r="P1504" s="105">
        <f>IF($K$1335&gt;0,'Assumptions (Hydro)'!AA$10*Model!$K$1335*AVERAGE('Assumptions (Hydro)'!$G$2:$I$2)/10^9,0)</f>
        <v>3.1612057981316131E-3</v>
      </c>
      <c r="Q1504" s="105">
        <f>IF($K$1335&gt;0,'Assumptions (Hydro)'!AB$10*Model!$K$1335*AVERAGE('Assumptions (Hydro)'!$G$2:$I$2)/10^9,0)</f>
        <v>2.9937582999962306E-3</v>
      </c>
      <c r="R1504" s="105">
        <f>IF($K$1335&gt;0,'Assumptions (Hydro)'!AC$10*Model!$K$1335*AVERAGE('Assumptions (Hydro)'!$G$2:$I$2)/10^9,0)</f>
        <v>2.9937582999962306E-3</v>
      </c>
      <c r="S1504" s="105">
        <f>IF($K$1335&gt;0,'Assumptions (Hydro)'!AD$10*Model!$K$1335*AVERAGE('Assumptions (Hydro)'!$G$2:$I$2)/10^9,0)</f>
        <v>2.998832466606394E-3</v>
      </c>
      <c r="T1504" s="105">
        <f>IF($K$1335&gt;0,'Assumptions (Hydro)'!AE$10*Model!$K$1335*AVERAGE('Assumptions (Hydro)'!$G$2:$I$2)/10^9,0)</f>
        <v>2.9937582999962306E-3</v>
      </c>
      <c r="U1504" s="105">
        <f>IF($K$1335&gt;0,'Assumptions (Hydro)'!AF$10*Model!$K$1335*AVERAGE('Assumptions (Hydro)'!$G$2:$I$2)/10^9,0)</f>
        <v>2.998832466606394E-3</v>
      </c>
      <c r="V1504" s="105">
        <f>IF($K$1335&gt;0,'Assumptions (Hydro)'!AG$10*Model!$K$1335*AVERAGE('Assumptions (Hydro)'!$G$2:$I$2)/10^9,0)</f>
        <v>2.9937582999962306E-3</v>
      </c>
      <c r="W1504" s="105">
        <f>IF($K$1335&gt;0,'Assumptions (Hydro)'!AH$10*Model!$K$1335*AVERAGE('Assumptions (Hydro)'!$G$2:$I$2)/10^9,0)</f>
        <v>2.998832466606394E-3</v>
      </c>
      <c r="X1504" s="105">
        <f>IF($K$1335&gt;0,'Assumptions (Hydro)'!AI$10*Model!$K$1335*AVERAGE('Assumptions (Hydro)'!$G$2:$I$2)/10^9,0)</f>
        <v>2.9937582999962306E-3</v>
      </c>
      <c r="Y1504" s="105">
        <f>IF($K$1335&gt;0,'Assumptions (Hydro)'!AJ$10*Model!$K$1335*AVERAGE('Assumptions (Hydro)'!$G$2:$I$2)/10^9,0)</f>
        <v>2.998832466606394E-3</v>
      </c>
      <c r="Z1504" s="105">
        <f>IF($K$1335&gt;0,'Assumptions (Hydro)'!AK$10*Model!$K$1335*AVERAGE('Assumptions (Hydro)'!$G$2:$I$2)/10^9,0)</f>
        <v>1.4968791499981153E-3</v>
      </c>
      <c r="AA1504" s="105"/>
      <c r="AB1504" s="105"/>
      <c r="AC1504" s="105"/>
      <c r="AD1504" s="105"/>
      <c r="AE1504" s="105"/>
      <c r="AF1504" s="105"/>
      <c r="AG1504" s="105"/>
      <c r="AH1504" s="105"/>
      <c r="AI1504" s="105"/>
    </row>
    <row r="1505" spans="1:53" ht="15.75" hidden="1" customHeight="1" outlineLevel="1">
      <c r="A1505" s="413"/>
      <c r="B1505" s="99"/>
      <c r="C1505" s="105"/>
      <c r="D1505" s="105"/>
      <c r="E1505" s="105"/>
      <c r="F1505" s="105"/>
      <c r="G1505" s="105"/>
      <c r="H1505" s="105"/>
      <c r="I1505" s="105"/>
      <c r="J1505" s="105"/>
      <c r="K1505" s="105"/>
      <c r="L1505" s="105">
        <f>IF($L$1335&gt;0,'Assumptions (Hydro)'!V$10*Model!$L$1335*AVERAGE('Assumptions (Hydro)'!$H$2:$J$2)/10^9,0)</f>
        <v>1.2883111328401127E-3</v>
      </c>
      <c r="M1505" s="105">
        <f>IF($L$1335&gt;0,'Assumptions (Hydro)'!W$10*Model!$L$1335*AVERAGE('Assumptions (Hydro)'!$H$2:$J$2)/10^9,0)</f>
        <v>2.4477911523962145E-3</v>
      </c>
      <c r="N1505" s="105">
        <f>IF($L$1335&gt;0,'Assumptions (Hydro)'!X$10*Model!$L$1335*AVERAGE('Assumptions (Hydro)'!$H$2:$J$2)/10^9,0)</f>
        <v>2.2030120371565932E-3</v>
      </c>
      <c r="O1505" s="105">
        <f>IF($L$1335&gt;0,'Assumptions (Hydro)'!Y$10*Model!$L$1335*AVERAGE('Assumptions (Hydro)'!$H$2:$J$2)/10^9,0)</f>
        <v>1.9839991445737741E-3</v>
      </c>
      <c r="P1505" s="105">
        <f>IF($L$1335&gt;0,'Assumptions (Hydro)'!Z$10*Model!$L$1335*AVERAGE('Assumptions (Hydro)'!$H$2:$J$2)/10^9,0)</f>
        <v>1.7855992301163966E-3</v>
      </c>
      <c r="Q1505" s="105">
        <f>IF($L$1335&gt;0,'Assumptions (Hydro)'!AA$10*Model!$L$1335*AVERAGE('Assumptions (Hydro)'!$H$2:$J$2)/10^9,0)</f>
        <v>1.6052356715187807E-3</v>
      </c>
      <c r="R1505" s="105">
        <f>IF($L$1335&gt;0,'Assumptions (Hydro)'!AB$10*Model!$L$1335*AVERAGE('Assumptions (Hydro)'!$H$2:$J$2)/10^9,0)</f>
        <v>1.5202071367513333E-3</v>
      </c>
      <c r="S1505" s="105">
        <f>IF($L$1335&gt;0,'Assumptions (Hydro)'!AC$10*Model!$L$1335*AVERAGE('Assumptions (Hydro)'!$H$2:$J$2)/10^9,0)</f>
        <v>1.5202071367513333E-3</v>
      </c>
      <c r="T1505" s="105">
        <f>IF($L$1335&gt;0,'Assumptions (Hydro)'!AD$10*Model!$L$1335*AVERAGE('Assumptions (Hydro)'!$H$2:$J$2)/10^9,0)</f>
        <v>1.5227837590170135E-3</v>
      </c>
      <c r="U1505" s="105">
        <f>IF($L$1335&gt;0,'Assumptions (Hydro)'!AE$10*Model!$L$1335*AVERAGE('Assumptions (Hydro)'!$H$2:$J$2)/10^9,0)</f>
        <v>1.5202071367513333E-3</v>
      </c>
      <c r="V1505" s="105">
        <f>IF($L$1335&gt;0,'Assumptions (Hydro)'!AF$10*Model!$L$1335*AVERAGE('Assumptions (Hydro)'!$H$2:$J$2)/10^9,0)</f>
        <v>1.5227837590170135E-3</v>
      </c>
      <c r="W1505" s="105">
        <f>IF($L$1335&gt;0,'Assumptions (Hydro)'!AG$10*Model!$L$1335*AVERAGE('Assumptions (Hydro)'!$H$2:$J$2)/10^9,0)</f>
        <v>1.5202071367513333E-3</v>
      </c>
      <c r="X1505" s="105">
        <f>IF($L$1335&gt;0,'Assumptions (Hydro)'!AH$10*Model!$L$1335*AVERAGE('Assumptions (Hydro)'!$H$2:$J$2)/10^9,0)</f>
        <v>1.5227837590170135E-3</v>
      </c>
      <c r="Y1505" s="105">
        <f>IF($L$1335&gt;0,'Assumptions (Hydro)'!AI$10*Model!$L$1335*AVERAGE('Assumptions (Hydro)'!$H$2:$J$2)/10^9,0)</f>
        <v>1.5202071367513333E-3</v>
      </c>
      <c r="Z1505" s="105">
        <f>IF($L$1335&gt;0,'Assumptions (Hydro)'!AJ$10*Model!$L$1335*AVERAGE('Assumptions (Hydro)'!$H$2:$J$2)/10^9,0)</f>
        <v>1.5227837590170135E-3</v>
      </c>
      <c r="AA1505" s="105">
        <f>IF($L$1335&gt;0,'Assumptions (Hydro)'!AK$10*Model!$L$1335*AVERAGE('Assumptions (Hydro)'!$H$2:$J$2)/10^9,0)</f>
        <v>7.6010356837566666E-4</v>
      </c>
      <c r="AB1505" s="105"/>
      <c r="AC1505" s="105"/>
      <c r="AD1505" s="105"/>
      <c r="AE1505" s="105"/>
      <c r="AF1505" s="105"/>
      <c r="AG1505" s="105"/>
      <c r="AH1505" s="105"/>
      <c r="AI1505" s="105"/>
      <c r="AJ1505" s="105"/>
    </row>
    <row r="1506" spans="1:53" ht="15.75" hidden="1" customHeight="1" outlineLevel="1">
      <c r="A1506" s="413"/>
      <c r="B1506" s="99"/>
      <c r="C1506" s="105"/>
      <c r="D1506" s="105"/>
      <c r="E1506" s="105"/>
      <c r="F1506" s="105"/>
      <c r="G1506" s="105"/>
      <c r="H1506" s="105"/>
      <c r="I1506" s="105"/>
      <c r="J1506" s="105"/>
      <c r="K1506" s="105"/>
      <c r="L1506" s="105"/>
      <c r="M1506" s="105">
        <f>IF($M$1335&gt;0,'Assumptions (Hydro)'!V$10*Model!$M$1335*AVERAGE('Assumptions (Hydro)'!$I$2:$K$2)/10^9,0)</f>
        <v>2.3767659995074641E-3</v>
      </c>
      <c r="N1506" s="105">
        <f>IF($M$1335&gt;0,'Assumptions (Hydro)'!W$10*Model!$M$1335*AVERAGE('Assumptions (Hydro)'!$I$2:$K$2)/10^9,0)</f>
        <v>4.515855399064181E-3</v>
      </c>
      <c r="O1506" s="105">
        <f>IF($M$1335&gt;0,'Assumptions (Hydro)'!X$10*Model!$M$1335*AVERAGE('Assumptions (Hydro)'!$I$2:$K$2)/10^9,0)</f>
        <v>4.0642698591577637E-3</v>
      </c>
      <c r="P1506" s="105">
        <f>IF($M$1335&gt;0,'Assumptions (Hydro)'!Y$10*Model!$M$1335*AVERAGE('Assumptions (Hydro)'!$I$2:$K$2)/10^9,0)</f>
        <v>3.6602196392414941E-3</v>
      </c>
      <c r="Q1506" s="105">
        <f>IF($M$1335&gt;0,'Assumptions (Hydro)'!Z$10*Model!$M$1335*AVERAGE('Assumptions (Hydro)'!$I$2:$K$2)/10^9,0)</f>
        <v>3.2941976753173446E-3</v>
      </c>
      <c r="R1506" s="105">
        <f>IF($M$1335&gt;0,'Assumptions (Hydro)'!AA$10*Model!$M$1335*AVERAGE('Assumptions (Hydro)'!$I$2:$K$2)/10^9,0)</f>
        <v>2.9614504353862999E-3</v>
      </c>
      <c r="S1506" s="105">
        <f>IF($M$1335&gt;0,'Assumptions (Hydro)'!AB$10*Model!$M$1335*AVERAGE('Assumptions (Hydro)'!$I$2:$K$2)/10^9,0)</f>
        <v>2.8045838794188076E-3</v>
      </c>
      <c r="T1506" s="105">
        <f>IF($M$1335&gt;0,'Assumptions (Hydro)'!AC$10*Model!$M$1335*AVERAGE('Assumptions (Hydro)'!$I$2:$K$2)/10^9,0)</f>
        <v>2.8045838794188076E-3</v>
      </c>
      <c r="U1506" s="105">
        <f>IF($M$1335&gt;0,'Assumptions (Hydro)'!AD$10*Model!$M$1335*AVERAGE('Assumptions (Hydro)'!$I$2:$K$2)/10^9,0)</f>
        <v>2.809337411417822E-3</v>
      </c>
      <c r="V1506" s="105">
        <f>IF($M$1335&gt;0,'Assumptions (Hydro)'!AE$10*Model!$M$1335*AVERAGE('Assumptions (Hydro)'!$I$2:$K$2)/10^9,0)</f>
        <v>2.8045838794188076E-3</v>
      </c>
      <c r="W1506" s="105">
        <f>IF($M$1335&gt;0,'Assumptions (Hydro)'!AF$10*Model!$M$1335*AVERAGE('Assumptions (Hydro)'!$I$2:$K$2)/10^9,0)</f>
        <v>2.809337411417822E-3</v>
      </c>
      <c r="X1506" s="105">
        <f>IF($M$1335&gt;0,'Assumptions (Hydro)'!AG$10*Model!$M$1335*AVERAGE('Assumptions (Hydro)'!$I$2:$K$2)/10^9,0)</f>
        <v>2.8045838794188076E-3</v>
      </c>
      <c r="Y1506" s="105">
        <f>IF($M$1335&gt;0,'Assumptions (Hydro)'!AH$10*Model!$M$1335*AVERAGE('Assumptions (Hydro)'!$I$2:$K$2)/10^9,0)</f>
        <v>2.809337411417822E-3</v>
      </c>
      <c r="Z1506" s="105">
        <f>IF($M$1335&gt;0,'Assumptions (Hydro)'!AI$10*Model!$M$1335*AVERAGE('Assumptions (Hydro)'!$I$2:$K$2)/10^9,0)</f>
        <v>2.8045838794188076E-3</v>
      </c>
      <c r="AA1506" s="105">
        <f>IF($M$1335&gt;0,'Assumptions (Hydro)'!AJ$10*Model!$M$1335*AVERAGE('Assumptions (Hydro)'!$I$2:$K$2)/10^9,0)</f>
        <v>2.809337411417822E-3</v>
      </c>
      <c r="AB1506" s="105">
        <f>IF($M$1335&gt;0,'Assumptions (Hydro)'!AK$10*Model!$M$1335*AVERAGE('Assumptions (Hydro)'!$I$2:$K$2)/10^9,0)</f>
        <v>1.4022919397094038E-3</v>
      </c>
      <c r="AC1506" s="105"/>
      <c r="AD1506" s="105"/>
      <c r="AE1506" s="105"/>
      <c r="AF1506" s="105"/>
      <c r="AG1506" s="105"/>
      <c r="AH1506" s="105"/>
      <c r="AI1506" s="105"/>
      <c r="AJ1506" s="105"/>
      <c r="AK1506" s="105"/>
    </row>
    <row r="1507" spans="1:53" ht="15.75" hidden="1" customHeight="1" outlineLevel="1">
      <c r="A1507" s="413"/>
      <c r="B1507" s="99"/>
      <c r="C1507" s="105"/>
      <c r="D1507" s="105"/>
      <c r="E1507" s="105"/>
      <c r="F1507" s="105"/>
      <c r="G1507" s="105"/>
      <c r="H1507" s="105"/>
      <c r="I1507" s="105"/>
      <c r="J1507" s="105"/>
      <c r="K1507" s="105"/>
      <c r="L1507" s="105"/>
      <c r="M1507" s="105"/>
      <c r="N1507" s="105">
        <f>IF($N$1335&gt;0,'Assumptions (Hydro)'!V$10*Model!$N$1335*AVERAGE('Assumptions (Hydro)'!$J$2:$L$2)/10^9,0)</f>
        <v>1.8741714046885394E-2</v>
      </c>
      <c r="O1507" s="105">
        <f>IF($N$1335&gt;0,'Assumptions (Hydro)'!W$10*Model!$N$1335*AVERAGE('Assumptions (Hydro)'!$J$2:$L$2)/10^9,0)</f>
        <v>3.5609256689082248E-2</v>
      </c>
      <c r="P1507" s="105">
        <f>IF($N$1335&gt;0,'Assumptions (Hydro)'!X$10*Model!$N$1335*AVERAGE('Assumptions (Hydro)'!$J$2:$L$2)/10^9,0)</f>
        <v>3.2048331020174028E-2</v>
      </c>
      <c r="Q1507" s="105">
        <f>IF($N$1335&gt;0,'Assumptions (Hydro)'!Y$10*Model!$N$1335*AVERAGE('Assumptions (Hydro)'!$J$2:$L$2)/10^9,0)</f>
        <v>2.8862239632203506E-2</v>
      </c>
      <c r="R1507" s="105">
        <f>IF($N$1335&gt;0,'Assumptions (Hydro)'!Z$10*Model!$N$1335*AVERAGE('Assumptions (Hydro)'!$J$2:$L$2)/10^9,0)</f>
        <v>2.5976015668983155E-2</v>
      </c>
      <c r="S1507" s="105">
        <f>IF($N$1335&gt;0,'Assumptions (Hydro)'!AA$10*Model!$N$1335*AVERAGE('Assumptions (Hydro)'!$J$2:$L$2)/10^9,0)</f>
        <v>2.3352175702419202E-2</v>
      </c>
      <c r="T1507" s="105">
        <f>IF($N$1335&gt;0,'Assumptions (Hydro)'!AB$10*Model!$N$1335*AVERAGE('Assumptions (Hydro)'!$J$2:$L$2)/10^9,0)</f>
        <v>2.2115222575324764E-2</v>
      </c>
      <c r="U1507" s="105">
        <f>IF($N$1335&gt;0,'Assumptions (Hydro)'!AC$10*Model!$N$1335*AVERAGE('Assumptions (Hydro)'!$J$2:$L$2)/10^9,0)</f>
        <v>2.2115222575324764E-2</v>
      </c>
      <c r="V1507" s="105">
        <f>IF($N$1335&gt;0,'Assumptions (Hydro)'!AD$10*Model!$N$1335*AVERAGE('Assumptions (Hydro)'!$J$2:$L$2)/10^9,0)</f>
        <v>2.2152706003418534E-2</v>
      </c>
      <c r="W1507" s="105">
        <f>IF($N$1335&gt;0,'Assumptions (Hydro)'!AE$10*Model!$N$1335*AVERAGE('Assumptions (Hydro)'!$J$2:$L$2)/10^9,0)</f>
        <v>2.2115222575324764E-2</v>
      </c>
      <c r="X1507" s="105">
        <f>IF($N$1335&gt;0,'Assumptions (Hydro)'!AF$10*Model!$N$1335*AVERAGE('Assumptions (Hydro)'!$J$2:$L$2)/10^9,0)</f>
        <v>2.2152706003418534E-2</v>
      </c>
      <c r="Y1507" s="105">
        <f>IF($N$1335&gt;0,'Assumptions (Hydro)'!AG$10*Model!$N$1335*AVERAGE('Assumptions (Hydro)'!$J$2:$L$2)/10^9,0)</f>
        <v>2.2115222575324764E-2</v>
      </c>
      <c r="Z1507" s="105">
        <f>IF($N$1335&gt;0,'Assumptions (Hydro)'!AH$10*Model!$N$1335*AVERAGE('Assumptions (Hydro)'!$J$2:$L$2)/10^9,0)</f>
        <v>2.2152706003418534E-2</v>
      </c>
      <c r="AA1507" s="105">
        <f>IF($N$1335&gt;0,'Assumptions (Hydro)'!AI$10*Model!$N$1335*AVERAGE('Assumptions (Hydro)'!$J$2:$L$2)/10^9,0)</f>
        <v>2.2115222575324764E-2</v>
      </c>
      <c r="AB1507" s="105">
        <f>IF($N$1335&gt;0,'Assumptions (Hydro)'!AJ$10*Model!$N$1335*AVERAGE('Assumptions (Hydro)'!$J$2:$L$2)/10^9,0)</f>
        <v>2.2152706003418534E-2</v>
      </c>
      <c r="AC1507" s="105">
        <f>IF($N$1335&gt;0,'Assumptions (Hydro)'!AK$10*Model!$N$1335*AVERAGE('Assumptions (Hydro)'!$J$2:$L$2)/10^9,0)</f>
        <v>1.1057611287662382E-2</v>
      </c>
      <c r="AD1507" s="105"/>
      <c r="AE1507" s="105"/>
      <c r="AF1507" s="105"/>
      <c r="AG1507" s="105"/>
      <c r="AH1507" s="105"/>
      <c r="AI1507" s="105"/>
      <c r="AJ1507" s="105"/>
      <c r="AK1507" s="105"/>
    </row>
    <row r="1508" spans="1:53" ht="15.75" hidden="1" customHeight="1" outlineLevel="1">
      <c r="A1508" s="413"/>
      <c r="B1508" s="99"/>
      <c r="C1508" s="105"/>
      <c r="D1508" s="105"/>
      <c r="E1508" s="105"/>
      <c r="F1508" s="105"/>
      <c r="G1508" s="105"/>
      <c r="H1508" s="105"/>
      <c r="I1508" s="105"/>
      <c r="J1508" s="105"/>
      <c r="K1508" s="105"/>
      <c r="L1508" s="105"/>
      <c r="M1508" s="105"/>
      <c r="N1508" s="105"/>
      <c r="O1508" s="105">
        <f>IF($O$1335&gt;0,'Assumptions (Hydro)'!V$10*Model!$O$1335*AVERAGE('Assumptions (Hydro)'!$K$2:$M$2)/10^9,0)</f>
        <v>4.6840298763447155E-2</v>
      </c>
      <c r="P1508" s="105">
        <f>IF($O$1335&gt;0,'Assumptions (Hydro)'!W$10*Model!$O$1335*AVERAGE('Assumptions (Hydro)'!$K$2:$M$2)/10^9,0)</f>
        <v>8.8996567650549585E-2</v>
      </c>
      <c r="Q1508" s="105">
        <f>IF($O$1335&gt;0,'Assumptions (Hydro)'!X$10*Model!$O$1335*AVERAGE('Assumptions (Hydro)'!$K$2:$M$2)/10^9,0)</f>
        <v>8.0096910885494629E-2</v>
      </c>
      <c r="R1508" s="105">
        <f>IF($O$1335&gt;0,'Assumptions (Hydro)'!Y$10*Model!$O$1335*AVERAGE('Assumptions (Hydro)'!$K$2:$M$2)/10^9,0)</f>
        <v>7.2134060095708608E-2</v>
      </c>
      <c r="S1508" s="105">
        <f>IF($O$1335&gt;0,'Assumptions (Hydro)'!Z$10*Model!$O$1335*AVERAGE('Assumptions (Hydro)'!$K$2:$M$2)/10^9,0)</f>
        <v>6.4920654086137758E-2</v>
      </c>
      <c r="T1508" s="105">
        <f>IF($O$1335&gt;0,'Assumptions (Hydro)'!AA$10*Model!$O$1335*AVERAGE('Assumptions (Hydro)'!$K$2:$M$2)/10^9,0)</f>
        <v>5.8363012259255151E-2</v>
      </c>
      <c r="U1508" s="105">
        <f>IF($O$1335&gt;0,'Assumptions (Hydro)'!AB$10*Model!$O$1335*AVERAGE('Assumptions (Hydro)'!$K$2:$M$2)/10^9,0)</f>
        <v>5.5271552540867637E-2</v>
      </c>
      <c r="V1508" s="105">
        <f>IF($O$1335&gt;0,'Assumptions (Hydro)'!AC$10*Model!$O$1335*AVERAGE('Assumptions (Hydro)'!$K$2:$M$2)/10^9,0)</f>
        <v>5.5271552540867637E-2</v>
      </c>
      <c r="W1508" s="105">
        <f>IF($O$1335&gt;0,'Assumptions (Hydro)'!AD$10*Model!$O$1335*AVERAGE('Assumptions (Hydro)'!$K$2:$M$2)/10^9,0)</f>
        <v>5.5365233138394532E-2</v>
      </c>
      <c r="X1508" s="105">
        <f>IF($O$1335&gt;0,'Assumptions (Hydro)'!AE$10*Model!$O$1335*AVERAGE('Assumptions (Hydro)'!$K$2:$M$2)/10^9,0)</f>
        <v>5.5271552540867637E-2</v>
      </c>
      <c r="Y1508" s="105">
        <f>IF($O$1335&gt;0,'Assumptions (Hydro)'!AF$10*Model!$O$1335*AVERAGE('Assumptions (Hydro)'!$K$2:$M$2)/10^9,0)</f>
        <v>5.5365233138394532E-2</v>
      </c>
      <c r="Z1508" s="105">
        <f>IF($O$1335&gt;0,'Assumptions (Hydro)'!AG$10*Model!$O$1335*AVERAGE('Assumptions (Hydro)'!$K$2:$M$2)/10^9,0)</f>
        <v>5.5271552540867637E-2</v>
      </c>
      <c r="AA1508" s="105">
        <f>IF($O$1335&gt;0,'Assumptions (Hydro)'!AH$10*Model!$O$1335*AVERAGE('Assumptions (Hydro)'!$K$2:$M$2)/10^9,0)</f>
        <v>5.5365233138394532E-2</v>
      </c>
      <c r="AB1508" s="105">
        <f>IF($O$1335&gt;0,'Assumptions (Hydro)'!AI$10*Model!$O$1335*AVERAGE('Assumptions (Hydro)'!$K$2:$M$2)/10^9,0)</f>
        <v>5.5271552540867637E-2</v>
      </c>
      <c r="AC1508" s="105">
        <f>IF($O$1335&gt;0,'Assumptions (Hydro)'!AJ$10*Model!$O$1335*AVERAGE('Assumptions (Hydro)'!$K$2:$M$2)/10^9,0)</f>
        <v>5.5365233138394532E-2</v>
      </c>
      <c r="AD1508" s="105">
        <f>IF($O$1335&gt;0,'Assumptions (Hydro)'!AK$10*Model!$O$1335*AVERAGE('Assumptions (Hydro)'!$K$2:$M$2)/10^9,0)</f>
        <v>2.7635776270433818E-2</v>
      </c>
      <c r="AE1508" s="105"/>
      <c r="AF1508" s="105"/>
      <c r="AG1508" s="105"/>
      <c r="AH1508" s="105"/>
      <c r="AI1508" s="105"/>
      <c r="AJ1508" s="105"/>
      <c r="AK1508" s="105"/>
    </row>
    <row r="1509" spans="1:53" ht="15.75" hidden="1" customHeight="1" outlineLevel="1">
      <c r="A1509" s="413"/>
      <c r="B1509" s="99"/>
      <c r="C1509" s="105"/>
      <c r="D1509" s="105"/>
      <c r="E1509" s="105"/>
      <c r="F1509" s="105"/>
      <c r="G1509" s="105"/>
      <c r="H1509" s="91"/>
      <c r="I1509" s="105"/>
      <c r="J1509" s="105"/>
      <c r="K1509" s="105"/>
      <c r="L1509" s="105"/>
      <c r="M1509" s="105"/>
      <c r="N1509" s="105"/>
      <c r="O1509" s="105"/>
      <c r="P1509" s="91">
        <f>IF($P$1335&gt;0,'Assumptions (Hydro)'!V$10*Model!$P$1335*AVERAGE('Assumptions (Hydro)'!$L$2:$N$2)/10^9,0)</f>
        <v>5.1596847884070325E-2</v>
      </c>
      <c r="Q1509" s="91">
        <f>IF($P$1335&gt;0,'Assumptions (Hydro)'!W$10*Model!$P$1335*AVERAGE('Assumptions (Hydro)'!$L$2:$N$2)/10^9,0)</f>
        <v>9.8034010979733605E-2</v>
      </c>
      <c r="R1509" s="91">
        <f>IF($P$1335&gt;0,'Assumptions (Hydro)'!X$10*Model!$P$1335*AVERAGE('Assumptions (Hydro)'!$L$2:$N$2)/10^9,0)</f>
        <v>8.823060988176025E-2</v>
      </c>
      <c r="S1509" s="91">
        <f>IF($P$1335&gt;0,'Assumptions (Hydro)'!Y$10*Model!$P$1335*AVERAGE('Assumptions (Hydro)'!$L$2:$N$2)/10^9,0)</f>
        <v>7.9459145741468284E-2</v>
      </c>
      <c r="T1509" s="91">
        <f>IF($P$1335&gt;0,'Assumptions (Hydro)'!Z$10*Model!$P$1335*AVERAGE('Assumptions (Hydro)'!$L$2:$N$2)/10^9,0)</f>
        <v>7.1513231167321459E-2</v>
      </c>
      <c r="U1509" s="91">
        <f>IF($P$1335&gt;0,'Assumptions (Hydro)'!AA$10*Model!$P$1335*AVERAGE('Assumptions (Hydro)'!$L$2:$N$2)/10^9,0)</f>
        <v>6.428967246355162E-2</v>
      </c>
      <c r="V1509" s="91">
        <f>IF($P$1335&gt;0,'Assumptions (Hydro)'!AB$10*Model!$P$1335*AVERAGE('Assumptions (Hydro)'!$L$2:$N$2)/10^9,0)</f>
        <v>6.0884280503202978E-2</v>
      </c>
      <c r="W1509" s="91">
        <f>IF($P$1335&gt;0,'Assumptions (Hydro)'!AC$10*Model!$P$1335*AVERAGE('Assumptions (Hydro)'!$L$2:$N$2)/10^9,0)</f>
        <v>6.0884280503202978E-2</v>
      </c>
      <c r="X1509" s="91">
        <f>IF($P$1335&gt;0,'Assumptions (Hydro)'!AD$10*Model!$P$1335*AVERAGE('Assumptions (Hydro)'!$L$2:$N$2)/10^9,0)</f>
        <v>6.0987474198971117E-2</v>
      </c>
      <c r="Y1509" s="91">
        <f>IF($P$1335&gt;0,'Assumptions (Hydro)'!AE$10*Model!$P$1335*AVERAGE('Assumptions (Hydro)'!$L$2:$N$2)/10^9,0)</f>
        <v>6.0884280503202978E-2</v>
      </c>
      <c r="Z1509" s="91">
        <f>IF($P$1335&gt;0,'Assumptions (Hydro)'!AF$10*Model!$P$1335*AVERAGE('Assumptions (Hydro)'!$L$2:$N$2)/10^9,0)</f>
        <v>6.0987474198971117E-2</v>
      </c>
      <c r="AA1509" s="91">
        <f>IF($P$1335&gt;0,'Assumptions (Hydro)'!AG$10*Model!$P$1335*AVERAGE('Assumptions (Hydro)'!$L$2:$N$2)/10^9,0)</f>
        <v>6.0884280503202978E-2</v>
      </c>
      <c r="AB1509" s="91">
        <f>IF($P$1335&gt;0,'Assumptions (Hydro)'!AH$10*Model!$P$1335*AVERAGE('Assumptions (Hydro)'!$L$2:$N$2)/10^9,0)</f>
        <v>6.0987474198971117E-2</v>
      </c>
      <c r="AC1509" s="91">
        <f>IF($P$1335&gt;0,'Assumptions (Hydro)'!AI$10*Model!$P$1335*AVERAGE('Assumptions (Hydro)'!$L$2:$N$2)/10^9,0)</f>
        <v>6.0884280503202978E-2</v>
      </c>
      <c r="AD1509" s="91">
        <f>IF($P$1335&gt;0,'Assumptions (Hydro)'!AJ$10*Model!$P$1335*AVERAGE('Assumptions (Hydro)'!$L$2:$N$2)/10^9,0)</f>
        <v>6.0987474198971117E-2</v>
      </c>
      <c r="AE1509" s="91">
        <f>IF($P$1335&gt;0,'Assumptions (Hydro)'!AK$10*Model!$P$1335*AVERAGE('Assumptions (Hydro)'!$L$2:$N$2)/10^9,0)</f>
        <v>3.0442140251601489E-2</v>
      </c>
      <c r="AF1509" s="91"/>
      <c r="AG1509" s="91"/>
      <c r="AH1509" s="91"/>
      <c r="AI1509" s="91"/>
      <c r="AJ1509" s="91"/>
      <c r="AK1509" s="91"/>
    </row>
    <row r="1510" spans="1:53" ht="15.75" hidden="1" customHeight="1" outlineLevel="1">
      <c r="A1510" s="413"/>
      <c r="B1510" s="99"/>
      <c r="C1510" s="105"/>
      <c r="D1510" s="105"/>
      <c r="E1510" s="105"/>
      <c r="F1510" s="105"/>
      <c r="G1510" s="105"/>
      <c r="H1510" s="105"/>
      <c r="I1510" s="105"/>
      <c r="J1510" s="105"/>
      <c r="K1510" s="105"/>
      <c r="L1510" s="105"/>
      <c r="M1510" s="105"/>
      <c r="N1510" s="105"/>
      <c r="O1510" s="105"/>
      <c r="P1510" s="171"/>
      <c r="Q1510" s="105">
        <f>IF($Q$1335&gt;0,'Assumptions (Hydro)'!V$10*Model!$Q$1335*AVERAGE('Assumptions (Hydro)'!$L$2:$O$2)/10^9,0)</f>
        <v>1.8262112098327517E-2</v>
      </c>
      <c r="R1510" s="105">
        <f>IF($Q$1335&gt;0,'Assumptions (Hydro)'!W$10*Model!$Q$1335*AVERAGE('Assumptions (Hydro)'!$L$2:$O$2)/10^9,0)</f>
        <v>3.4698012986822284E-2</v>
      </c>
      <c r="S1510" s="105">
        <f>IF($Q$1335&gt;0,'Assumptions (Hydro)'!X$10*Model!$Q$1335*AVERAGE('Assumptions (Hydro)'!$L$2:$O$2)/10^9,0)</f>
        <v>3.1228211688140058E-2</v>
      </c>
      <c r="T1510" s="105">
        <f>IF($Q$1335&gt;0,'Assumptions (Hydro)'!Y$10*Model!$Q$1335*AVERAGE('Assumptions (Hydro)'!$L$2:$O$2)/10^9,0)</f>
        <v>2.8123652631424377E-2</v>
      </c>
      <c r="U1510" s="105">
        <f>IF($Q$1335&gt;0,'Assumptions (Hydro)'!Z$10*Model!$Q$1335*AVERAGE('Assumptions (Hydro)'!$L$2:$O$2)/10^9,0)</f>
        <v>2.5311287368281941E-2</v>
      </c>
      <c r="V1510" s="105">
        <f>IF($Q$1335&gt;0,'Assumptions (Hydro)'!AA$10*Model!$Q$1335*AVERAGE('Assumptions (Hydro)'!$L$2:$O$2)/10^9,0)</f>
        <v>2.275459167451609E-2</v>
      </c>
      <c r="W1510" s="105">
        <f>IF($Q$1335&gt;0,'Assumptions (Hydro)'!AB$10*Model!$Q$1335*AVERAGE('Assumptions (Hydro)'!$L$2:$O$2)/10^9,0)</f>
        <v>2.1549292276026474E-2</v>
      </c>
      <c r="X1510" s="105">
        <f>IF($Q$1335&gt;0,'Assumptions (Hydro)'!AC$10*Model!$Q$1335*AVERAGE('Assumptions (Hydro)'!$L$2:$O$2)/10^9,0)</f>
        <v>2.1549292276026474E-2</v>
      </c>
      <c r="Y1510" s="105">
        <f>IF($Q$1335&gt;0,'Assumptions (Hydro)'!AD$10*Model!$Q$1335*AVERAGE('Assumptions (Hydro)'!$L$2:$O$2)/10^9,0)</f>
        <v>2.1585816500223128E-2</v>
      </c>
      <c r="Z1510" s="105">
        <f>IF($Q$1335&gt;0,'Assumptions (Hydro)'!AE$10*Model!$Q$1335*AVERAGE('Assumptions (Hydro)'!$L$2:$O$2)/10^9,0)</f>
        <v>2.1549292276026474E-2</v>
      </c>
      <c r="AA1510" s="105">
        <f>IF($Q$1335&gt;0,'Assumptions (Hydro)'!AF$10*Model!$Q$1335*AVERAGE('Assumptions (Hydro)'!$L$2:$O$2)/10^9,0)</f>
        <v>2.1585816500223128E-2</v>
      </c>
      <c r="AB1510" s="105">
        <f>IF($Q$1335&gt;0,'Assumptions (Hydro)'!AG$10*Model!$Q$1335*AVERAGE('Assumptions (Hydro)'!$L$2:$O$2)/10^9,0)</f>
        <v>2.1549292276026474E-2</v>
      </c>
      <c r="AC1510" s="105">
        <f>IF($Q$1335&gt;0,'Assumptions (Hydro)'!AH$10*Model!$Q$1335*AVERAGE('Assumptions (Hydro)'!$L$2:$O$2)/10^9,0)</f>
        <v>2.1585816500223128E-2</v>
      </c>
      <c r="AD1510" s="105">
        <f>IF($Q$1335&gt;0,'Assumptions (Hydro)'!AI$10*Model!$Q$1335*AVERAGE('Assumptions (Hydro)'!$L$2:$O$2)/10^9,0)</f>
        <v>2.1549292276026474E-2</v>
      </c>
      <c r="AE1510" s="105">
        <f>IF($Q$1335&gt;0,'Assumptions (Hydro)'!AJ$10*Model!$Q$1335*AVERAGE('Assumptions (Hydro)'!$L$2:$O$2)/10^9,0)</f>
        <v>2.1585816500223128E-2</v>
      </c>
      <c r="AF1510" s="105">
        <f>IF($Q$1335&gt;0,'Assumptions (Hydro)'!AK$10*Model!$Q$1335*AVERAGE('Assumptions (Hydro)'!$L$2:$O$2)/10^9,0)</f>
        <v>1.0774646138013237E-2</v>
      </c>
      <c r="AG1510" s="105"/>
      <c r="AH1510" s="105"/>
      <c r="AI1510" s="105"/>
      <c r="AJ1510" s="105"/>
      <c r="AK1510" s="105"/>
    </row>
    <row r="1511" spans="1:53" ht="15.75" hidden="1" customHeight="1" outlineLevel="1">
      <c r="A1511" s="413"/>
      <c r="B1511" s="99"/>
      <c r="C1511" s="105"/>
      <c r="D1511" s="105"/>
      <c r="E1511" s="105"/>
      <c r="F1511" s="105"/>
      <c r="G1511" s="105"/>
      <c r="H1511" s="105"/>
      <c r="I1511" s="105"/>
      <c r="J1511" s="105"/>
      <c r="K1511" s="105"/>
      <c r="L1511" s="105"/>
      <c r="M1511" s="105"/>
      <c r="N1511" s="105"/>
      <c r="O1511" s="105"/>
      <c r="P1511" s="171"/>
      <c r="Q1511" s="105"/>
      <c r="R1511" s="91">
        <f>IF($R$1335&gt;0,'Assumptions (Hydro)'!V$10*Model!$R$1335*AVERAGE('Assumptions (Hydro)'!$M$2:$P$2)/10^9,0)</f>
        <v>1.696575935219273E-2</v>
      </c>
      <c r="S1511" s="91">
        <f>IF($R$1335&gt;0,'Assumptions (Hydro)'!W$10*Model!$R$1335*AVERAGE('Assumptions (Hydro)'!$M$2:$P$2)/10^9,0)</f>
        <v>3.2234942769166185E-2</v>
      </c>
      <c r="T1511" s="91">
        <f>IF($R$1335&gt;0,'Assumptions (Hydro)'!X$10*Model!$R$1335*AVERAGE('Assumptions (Hydro)'!$M$2:$P$2)/10^9,0)</f>
        <v>2.901144849224957E-2</v>
      </c>
      <c r="U1511" s="91">
        <f>IF($R$1335&gt;0,'Assumptions (Hydro)'!Y$10*Model!$R$1335*AVERAGE('Assumptions (Hydro)'!$M$2:$P$2)/10^9,0)</f>
        <v>2.61272694023768E-2</v>
      </c>
      <c r="V1511" s="91">
        <f>IF($R$1335&gt;0,'Assumptions (Hydro)'!Z$10*Model!$R$1335*AVERAGE('Assumptions (Hydro)'!$M$2:$P$2)/10^9,0)</f>
        <v>2.3514542462139118E-2</v>
      </c>
      <c r="W1511" s="91">
        <f>IF($R$1335&gt;0,'Assumptions (Hydro)'!AA$10*Model!$R$1335*AVERAGE('Assumptions (Hydro)'!$M$2:$P$2)/10^9,0)</f>
        <v>2.1139336152832141E-2</v>
      </c>
      <c r="X1511" s="91">
        <f>IF($R$1335&gt;0,'Assumptions (Hydro)'!AB$10*Model!$R$1335*AVERAGE('Assumptions (Hydro)'!$M$2:$P$2)/10^9,0)</f>
        <v>2.0019596035587419E-2</v>
      </c>
      <c r="Y1511" s="91">
        <f>IF($R$1335&gt;0,'Assumptions (Hydro)'!AC$10*Model!$R$1335*AVERAGE('Assumptions (Hydro)'!$M$2:$P$2)/10^9,0)</f>
        <v>2.0019596035587419E-2</v>
      </c>
      <c r="Z1511" s="91">
        <f>IF($R$1335&gt;0,'Assumptions (Hydro)'!AD$10*Model!$R$1335*AVERAGE('Assumptions (Hydro)'!$M$2:$P$2)/10^9,0)</f>
        <v>2.0053527554291808E-2</v>
      </c>
      <c r="AA1511" s="91">
        <f>IF($R$1335&gt;0,'Assumptions (Hydro)'!AE$10*Model!$R$1335*AVERAGE('Assumptions (Hydro)'!$M$2:$P$2)/10^9,0)</f>
        <v>2.0019596035587419E-2</v>
      </c>
      <c r="AB1511" s="91">
        <f>IF($R$1335&gt;0,'Assumptions (Hydro)'!AF$10*Model!$R$1335*AVERAGE('Assumptions (Hydro)'!$M$2:$P$2)/10^9,0)</f>
        <v>2.0053527554291808E-2</v>
      </c>
      <c r="AC1511" s="91">
        <f>IF($R$1335&gt;0,'Assumptions (Hydro)'!AG$10*Model!$R$1335*AVERAGE('Assumptions (Hydro)'!$M$2:$P$2)/10^9,0)</f>
        <v>2.0019596035587419E-2</v>
      </c>
      <c r="AD1511" s="91">
        <f>IF($R$1335&gt;0,'Assumptions (Hydro)'!AH$10*Model!$R$1335*AVERAGE('Assumptions (Hydro)'!$M$2:$P$2)/10^9,0)</f>
        <v>2.0053527554291808E-2</v>
      </c>
      <c r="AE1511" s="91">
        <f>IF($R$1335&gt;0,'Assumptions (Hydro)'!AI$10*Model!$R$1335*AVERAGE('Assumptions (Hydro)'!$M$2:$P$2)/10^9,0)</f>
        <v>2.0019596035587419E-2</v>
      </c>
      <c r="AF1511" s="91">
        <f>IF($R$1335&gt;0,'Assumptions (Hydro)'!AJ$10*Model!$R$1335*AVERAGE('Assumptions (Hydro)'!$M$2:$P$2)/10^9,0)</f>
        <v>2.0053527554291808E-2</v>
      </c>
      <c r="AG1511" s="91">
        <f>IF($R$1335&gt;0,'Assumptions (Hydro)'!AK$10*Model!$R$1335*AVERAGE('Assumptions (Hydro)'!$M$2:$P$2)/10^9,0)</f>
        <v>1.000979801779371E-2</v>
      </c>
      <c r="AH1511" s="91"/>
      <c r="AI1511" s="91"/>
      <c r="AJ1511" s="91"/>
      <c r="AK1511" s="91"/>
    </row>
    <row r="1512" spans="1:53" ht="15.75" hidden="1" customHeight="1" outlineLevel="1">
      <c r="A1512" s="413"/>
      <c r="B1512" s="99"/>
      <c r="C1512" s="105"/>
      <c r="D1512" s="105"/>
      <c r="E1512" s="105"/>
      <c r="F1512" s="105"/>
      <c r="G1512" s="105"/>
      <c r="H1512" s="105"/>
      <c r="I1512" s="105"/>
      <c r="J1512" s="105"/>
      <c r="K1512" s="105"/>
      <c r="L1512" s="105"/>
      <c r="M1512" s="105"/>
      <c r="N1512" s="105"/>
      <c r="O1512" s="105"/>
      <c r="P1512" s="171"/>
      <c r="Q1512" s="105"/>
      <c r="R1512" s="91"/>
      <c r="S1512" s="105">
        <f>IF($S$1335&gt;0,'Assumptions (Hydro)'!V$10*Model!$S$1335*AVERAGE('Assumptions (Hydro)'!$O$2:$Q$2)/10^9,0)</f>
        <v>4.7999084443033406E-2</v>
      </c>
      <c r="T1512" s="105">
        <f>IF($S$1335&gt;0,'Assumptions (Hydro)'!W$10*Model!$S$1335*AVERAGE('Assumptions (Hydro)'!$O$2:$Q$2)/10^9,0)</f>
        <v>9.1198260441763476E-2</v>
      </c>
      <c r="U1512" s="105">
        <f>IF($S$1335&gt;0,'Assumptions (Hydro)'!X$10*Model!$S$1335*AVERAGE('Assumptions (Hydro)'!$O$2:$Q$2)/10^9,0)</f>
        <v>8.2078434397587122E-2</v>
      </c>
      <c r="V1512" s="105">
        <f>IF($S$1335&gt;0,'Assumptions (Hydro)'!Y$10*Model!$S$1335*AVERAGE('Assumptions (Hydro)'!$O$2:$Q$2)/10^9,0)</f>
        <v>7.3918590042271429E-2</v>
      </c>
      <c r="W1512" s="105">
        <f>IF($S$1335&gt;0,'Assumptions (Hydro)'!Z$10*Model!$S$1335*AVERAGE('Assumptions (Hydro)'!$O$2:$Q$2)/10^9,0)</f>
        <v>6.6526731038044296E-2</v>
      </c>
      <c r="X1512" s="105">
        <f>IF($S$1335&gt;0,'Assumptions (Hydro)'!AA$10*Model!$S$1335*AVERAGE('Assumptions (Hydro)'!$O$2:$Q$2)/10^9,0)</f>
        <v>5.9806859216019616E-2</v>
      </c>
      <c r="Y1512" s="105">
        <f>IF($S$1335&gt;0,'Assumptions (Hydro)'!AB$10*Model!$S$1335*AVERAGE('Assumptions (Hydro)'!$O$2:$Q$2)/10^9,0)</f>
        <v>5.6638919642779409E-2</v>
      </c>
      <c r="Z1512" s="105">
        <f>IF($S$1335&gt;0,'Assumptions (Hydro)'!AC$10*Model!$S$1335*AVERAGE('Assumptions (Hydro)'!$O$2:$Q$2)/10^9,0)</f>
        <v>5.6638919642779409E-2</v>
      </c>
      <c r="AA1512" s="105">
        <f>IF($S$1335&gt;0,'Assumptions (Hydro)'!AD$10*Model!$S$1335*AVERAGE('Assumptions (Hydro)'!$O$2:$Q$2)/10^9,0)</f>
        <v>5.6734917811665481E-2</v>
      </c>
      <c r="AB1512" s="105">
        <f>IF($S$1335&gt;0,'Assumptions (Hydro)'!AE$10*Model!$S$1335*AVERAGE('Assumptions (Hydro)'!$O$2:$Q$2)/10^9,0)</f>
        <v>5.6638919642779409E-2</v>
      </c>
      <c r="AC1512" s="105">
        <f>IF($S$1335&gt;0,'Assumptions (Hydro)'!AF$10*Model!$S$1335*AVERAGE('Assumptions (Hydro)'!$O$2:$Q$2)/10^9,0)</f>
        <v>5.6734917811665481E-2</v>
      </c>
      <c r="AD1512" s="105">
        <f>IF($S$1335&gt;0,'Assumptions (Hydro)'!AG$10*Model!$S$1335*AVERAGE('Assumptions (Hydro)'!$O$2:$Q$2)/10^9,0)</f>
        <v>5.6638919642779409E-2</v>
      </c>
      <c r="AE1512" s="105">
        <f>IF($S$1335&gt;0,'Assumptions (Hydro)'!AH$10*Model!$S$1335*AVERAGE('Assumptions (Hydro)'!$O$2:$Q$2)/10^9,0)</f>
        <v>5.6734917811665481E-2</v>
      </c>
      <c r="AF1512" s="105">
        <f>IF($S$1335&gt;0,'Assumptions (Hydro)'!AI$10*Model!$S$1335*AVERAGE('Assumptions (Hydro)'!$O$2:$Q$2)/10^9,0)</f>
        <v>5.6638919642779409E-2</v>
      </c>
      <c r="AG1512" s="105">
        <f>IF($S$1335&gt;0,'Assumptions (Hydro)'!AJ$10*Model!$S$1335*AVERAGE('Assumptions (Hydro)'!$O$2:$Q$2)/10^9,0)</f>
        <v>5.6734917811665481E-2</v>
      </c>
      <c r="AH1512" s="105">
        <f>IF($S$1335&gt;0,'Assumptions (Hydro)'!AK$10*Model!$S$1335*AVERAGE('Assumptions (Hydro)'!$O$2:$Q$2)/10^9,0)</f>
        <v>2.8319459821389704E-2</v>
      </c>
      <c r="AI1512" s="105"/>
      <c r="AJ1512" s="105"/>
      <c r="AK1512" s="105"/>
    </row>
    <row r="1513" spans="1:53" ht="15.75" hidden="1" customHeight="1" outlineLevel="1">
      <c r="A1513" s="413"/>
      <c r="B1513" s="99"/>
      <c r="C1513" s="105"/>
      <c r="D1513" s="105"/>
      <c r="E1513" s="105"/>
      <c r="F1513" s="105"/>
      <c r="G1513" s="105"/>
      <c r="H1513" s="105"/>
      <c r="I1513" s="105"/>
      <c r="J1513" s="105"/>
      <c r="K1513" s="105"/>
      <c r="L1513" s="105"/>
      <c r="M1513" s="105"/>
      <c r="N1513" s="105"/>
      <c r="O1513" s="105"/>
      <c r="P1513" s="171"/>
      <c r="Q1513" s="105"/>
      <c r="R1513" s="91"/>
      <c r="S1513" s="91"/>
      <c r="T1513" s="105">
        <f>IF($T$1335&gt;0,'Assumptions (Hydro)'!V$10*Model!$T$1335*AVERAGE('Assumptions (Hydro)'!$P$2:$R$2)/10^9,0)</f>
        <v>2.7249067369922823E-2</v>
      </c>
      <c r="U1513" s="105">
        <f>IF($T$1335&gt;0,'Assumptions (Hydro)'!W$10*Model!$T$1335*AVERAGE('Assumptions (Hydro)'!$P$2:$R$2)/10^9,0)</f>
        <v>5.1773228002853354E-2</v>
      </c>
      <c r="V1513" s="105">
        <f>IF($T$1335&gt;0,'Assumptions (Hydro)'!X$10*Model!$T$1335*AVERAGE('Assumptions (Hydro)'!$P$2:$R$2)/10^9,0)</f>
        <v>4.6595905202568025E-2</v>
      </c>
      <c r="W1513" s="105">
        <f>IF($T$1335&gt;0,'Assumptions (Hydro)'!Y$10*Model!$T$1335*AVERAGE('Assumptions (Hydro)'!$P$2:$R$2)/10^9,0)</f>
        <v>4.1963563749681139E-2</v>
      </c>
      <c r="X1513" s="105">
        <f>IF($T$1335&gt;0,'Assumptions (Hydro)'!Z$10*Model!$T$1335*AVERAGE('Assumptions (Hydro)'!$P$2:$R$2)/10^9,0)</f>
        <v>3.7767207374713029E-2</v>
      </c>
      <c r="Y1513" s="105">
        <f>IF($T$1335&gt;0,'Assumptions (Hydro)'!AA$10*Model!$T$1335*AVERAGE('Assumptions (Hydro)'!$P$2:$R$2)/10^9,0)</f>
        <v>3.3952337942923828E-2</v>
      </c>
      <c r="Z1513" s="105">
        <f>IF($T$1335&gt;0,'Assumptions (Hydro)'!AB$10*Model!$T$1335*AVERAGE('Assumptions (Hydro)'!$P$2:$R$2)/10^9,0)</f>
        <v>3.2153899496508924E-2</v>
      </c>
      <c r="AA1513" s="105">
        <f>IF($T$1335&gt;0,'Assumptions (Hydro)'!AC$10*Model!$T$1335*AVERAGE('Assumptions (Hydro)'!$P$2:$R$2)/10^9,0)</f>
        <v>3.2153899496508924E-2</v>
      </c>
      <c r="AB1513" s="105">
        <f>IF($T$1335&gt;0,'Assumptions (Hydro)'!AD$10*Model!$T$1335*AVERAGE('Assumptions (Hydro)'!$P$2:$R$2)/10^9,0)</f>
        <v>3.2208397631248775E-2</v>
      </c>
      <c r="AC1513" s="105">
        <f>IF($T$1335&gt;0,'Assumptions (Hydro)'!AE$10*Model!$T$1335*AVERAGE('Assumptions (Hydro)'!$P$2:$R$2)/10^9,0)</f>
        <v>3.2153899496508924E-2</v>
      </c>
      <c r="AD1513" s="105">
        <f>IF($T$1335&gt;0,'Assumptions (Hydro)'!AF$10*Model!$T$1335*AVERAGE('Assumptions (Hydro)'!$P$2:$R$2)/10^9,0)</f>
        <v>3.2208397631248775E-2</v>
      </c>
      <c r="AE1513" s="105">
        <f>IF($T$1335&gt;0,'Assumptions (Hydro)'!AG$10*Model!$T$1335*AVERAGE('Assumptions (Hydro)'!$P$2:$R$2)/10^9,0)</f>
        <v>3.2153899496508924E-2</v>
      </c>
      <c r="AF1513" s="105">
        <f>IF($T$1335&gt;0,'Assumptions (Hydro)'!AH$10*Model!$T$1335*AVERAGE('Assumptions (Hydro)'!$P$2:$R$2)/10^9,0)</f>
        <v>3.2208397631248775E-2</v>
      </c>
      <c r="AG1513" s="105">
        <f>IF($T$1335&gt;0,'Assumptions (Hydro)'!AI$10*Model!$T$1335*AVERAGE('Assumptions (Hydro)'!$P$2:$R$2)/10^9,0)</f>
        <v>3.2153899496508924E-2</v>
      </c>
      <c r="AH1513" s="105">
        <f>IF($T$1335&gt;0,'Assumptions (Hydro)'!AJ$10*Model!$T$1335*AVERAGE('Assumptions (Hydro)'!$P$2:$R$2)/10^9,0)</f>
        <v>3.2208397631248775E-2</v>
      </c>
      <c r="AI1513" s="105">
        <f>IF($T$1335&gt;0,'Assumptions (Hydro)'!AK$10*Model!$T$1335*AVERAGE('Assumptions (Hydro)'!$P$2:$R$2)/10^9,0)</f>
        <v>1.6076949748254462E-2</v>
      </c>
      <c r="AJ1513" s="105"/>
      <c r="AK1513" s="105"/>
    </row>
    <row r="1514" spans="1:53" ht="15.75" hidden="1" customHeight="1" outlineLevel="1">
      <c r="A1514" s="413"/>
      <c r="B1514" s="99"/>
      <c r="C1514" s="105"/>
      <c r="D1514" s="105"/>
      <c r="E1514" s="105"/>
      <c r="F1514" s="105"/>
      <c r="G1514" s="105"/>
      <c r="H1514" s="105"/>
      <c r="I1514" s="105"/>
      <c r="J1514" s="105"/>
      <c r="K1514" s="105"/>
      <c r="L1514" s="105"/>
      <c r="M1514" s="105"/>
      <c r="N1514" s="105"/>
      <c r="O1514" s="105"/>
      <c r="P1514" s="171"/>
      <c r="Q1514" s="105"/>
      <c r="R1514" s="91"/>
      <c r="S1514" s="91"/>
      <c r="T1514" s="91"/>
      <c r="U1514" s="105">
        <f>IF($U$1335&gt;0,'Assumptions (Hydro)'!V$10*Model!$U$1335*AVERAGE('Assumptions (Hydro)'!$Q$2:$S$2)/10^9,0)</f>
        <v>2.0135958222953367E-2</v>
      </c>
      <c r="V1514" s="105">
        <f>IF($U$1335&gt;0,'Assumptions (Hydro)'!W$10*Model!$U$1335*AVERAGE('Assumptions (Hydro)'!$Q$2:$S$2)/10^9,0)</f>
        <v>3.8258320623611397E-2</v>
      </c>
      <c r="W1514" s="105">
        <f>IF($U$1335&gt;0,'Assumptions (Hydro)'!X$10*Model!$U$1335*AVERAGE('Assumptions (Hydro)'!$Q$2:$S$2)/10^9,0)</f>
        <v>3.4432488561250252E-2</v>
      </c>
      <c r="X1514" s="105">
        <f>IF($U$1335&gt;0,'Assumptions (Hydro)'!Y$10*Model!$U$1335*AVERAGE('Assumptions (Hydro)'!$Q$2:$S$2)/10^9,0)</f>
        <v>3.1009375663348184E-2</v>
      </c>
      <c r="Y1514" s="105">
        <f>IF($U$1335&gt;0,'Assumptions (Hydro)'!Z$10*Model!$U$1335*AVERAGE('Assumptions (Hydro)'!$Q$2:$S$2)/10^9,0)</f>
        <v>2.7908438097013363E-2</v>
      </c>
      <c r="Z1514" s="105">
        <f>IF($U$1335&gt;0,'Assumptions (Hydro)'!AA$10*Model!$U$1335*AVERAGE('Assumptions (Hydro)'!$Q$2:$S$2)/10^9,0)</f>
        <v>2.5089403945799893E-2</v>
      </c>
      <c r="AA1514" s="105">
        <f>IF($U$1335&gt;0,'Assumptions (Hydro)'!AB$10*Model!$U$1335*AVERAGE('Assumptions (Hydro)'!$Q$2:$S$2)/10^9,0)</f>
        <v>2.3760430703084968E-2</v>
      </c>
      <c r="AB1514" s="105">
        <f>IF($U$1335&gt;0,'Assumptions (Hydro)'!AC$10*Model!$U$1335*AVERAGE('Assumptions (Hydro)'!$Q$2:$S$2)/10^9,0)</f>
        <v>2.3760430703084968E-2</v>
      </c>
      <c r="AC1514" s="105">
        <f>IF($U$1335&gt;0,'Assumptions (Hydro)'!AD$10*Model!$U$1335*AVERAGE('Assumptions (Hydro)'!$Q$2:$S$2)/10^9,0)</f>
        <v>2.3800702619530878E-2</v>
      </c>
      <c r="AD1514" s="105">
        <f>IF($U$1335&gt;0,'Assumptions (Hydro)'!AE$10*Model!$U$1335*AVERAGE('Assumptions (Hydro)'!$Q$2:$S$2)/10^9,0)</f>
        <v>2.3760430703084968E-2</v>
      </c>
      <c r="AE1514" s="105">
        <f>IF($U$1335&gt;0,'Assumptions (Hydro)'!AF$10*Model!$U$1335*AVERAGE('Assumptions (Hydro)'!$Q$2:$S$2)/10^9,0)</f>
        <v>2.3800702619530878E-2</v>
      </c>
      <c r="AF1514" s="105">
        <f>IF($U$1335&gt;0,'Assumptions (Hydro)'!AG$10*Model!$U$1335*AVERAGE('Assumptions (Hydro)'!$Q$2:$S$2)/10^9,0)</f>
        <v>2.3760430703084968E-2</v>
      </c>
      <c r="AG1514" s="105">
        <f>IF($U$1335&gt;0,'Assumptions (Hydro)'!AH$10*Model!$U$1335*AVERAGE('Assumptions (Hydro)'!$Q$2:$S$2)/10^9,0)</f>
        <v>2.3800702619530878E-2</v>
      </c>
      <c r="AH1514" s="105">
        <f>IF($U$1335&gt;0,'Assumptions (Hydro)'!AI$10*Model!$U$1335*AVERAGE('Assumptions (Hydro)'!$Q$2:$S$2)/10^9,0)</f>
        <v>2.3760430703084968E-2</v>
      </c>
      <c r="AI1514" s="105">
        <f>IF($U$1335&gt;0,'Assumptions (Hydro)'!AJ$10*Model!$U$1335*AVERAGE('Assumptions (Hydro)'!$Q$2:$S$2)/10^9,0)</f>
        <v>2.3800702619530878E-2</v>
      </c>
      <c r="AJ1514" s="105">
        <f>IF($U$1335&gt;0,'Assumptions (Hydro)'!AK$10*Model!$U$1335*AVERAGE('Assumptions (Hydro)'!$Q$2:$S$2)/10^9,0)</f>
        <v>1.1880215351542484E-2</v>
      </c>
      <c r="AK1514" s="105"/>
    </row>
    <row r="1515" spans="1:53" ht="15.75" hidden="1" customHeight="1" outlineLevel="1">
      <c r="A1515" s="413"/>
      <c r="B1515" s="99"/>
      <c r="C1515" s="105"/>
      <c r="D1515" s="105"/>
      <c r="E1515" s="105"/>
      <c r="F1515" s="105"/>
      <c r="G1515" s="105"/>
      <c r="H1515" s="105"/>
      <c r="I1515" s="105"/>
      <c r="J1515" s="105"/>
      <c r="K1515" s="105"/>
      <c r="L1515" s="105"/>
      <c r="M1515" s="105"/>
      <c r="N1515" s="105"/>
      <c r="O1515" s="105"/>
      <c r="P1515" s="171"/>
      <c r="Q1515" s="105"/>
      <c r="R1515" s="91"/>
      <c r="S1515" s="91"/>
      <c r="T1515" s="91"/>
      <c r="U1515" s="105"/>
      <c r="V1515" s="105">
        <f>IF($V$1335&gt;0,'Assumptions (Hydro)'!V$10*Model!$V$1335*AVERAGE('Assumptions (Hydro)'!$R$2:$T$2)/10^9,0)</f>
        <v>1.5595192537516624E-2</v>
      </c>
      <c r="W1515" s="105">
        <f>IF($V$1335&gt;0,'Assumptions (Hydro)'!W$10*Model!$V$1335*AVERAGE('Assumptions (Hydro)'!$R$2:$T$2)/10^9,0)</f>
        <v>2.9630865821281584E-2</v>
      </c>
      <c r="X1515" s="105">
        <f>IF($V$1335&gt;0,'Assumptions (Hydro)'!X$10*Model!$V$1335*AVERAGE('Assumptions (Hydro)'!$R$2:$T$2)/10^9,0)</f>
        <v>2.6667779239153425E-2</v>
      </c>
      <c r="Y1515" s="105">
        <f>IF($V$1335&gt;0,'Assumptions (Hydro)'!Y$10*Model!$V$1335*AVERAGE('Assumptions (Hydro)'!$R$2:$T$2)/10^9,0)</f>
        <v>2.4016596507775597E-2</v>
      </c>
      <c r="Z1515" s="105">
        <f>IF($V$1335&gt;0,'Assumptions (Hydro)'!Z$10*Model!$V$1335*AVERAGE('Assumptions (Hydro)'!$R$2:$T$2)/10^9,0)</f>
        <v>2.1614936856998036E-2</v>
      </c>
      <c r="AA1515" s="105">
        <f>IF($V$1335&gt;0,'Assumptions (Hydro)'!AA$10*Model!$V$1335*AVERAGE('Assumptions (Hydro)'!$R$2:$T$2)/10^9,0)</f>
        <v>1.9431609901745715E-2</v>
      </c>
      <c r="AB1515" s="105">
        <f>IF($V$1335&gt;0,'Assumptions (Hydro)'!AB$10*Model!$V$1335*AVERAGE('Assumptions (Hydro)'!$R$2:$T$2)/10^9,0)</f>
        <v>1.8402327194269614E-2</v>
      </c>
      <c r="AC1515" s="105">
        <f>IF($V$1335&gt;0,'Assumptions (Hydro)'!AC$10*Model!$V$1335*AVERAGE('Assumptions (Hydro)'!$R$2:$T$2)/10^9,0)</f>
        <v>1.8402327194269614E-2</v>
      </c>
      <c r="AD1515" s="105">
        <f>IF($V$1335&gt;0,'Assumptions (Hydro)'!AD$10*Model!$V$1335*AVERAGE('Assumptions (Hydro)'!$R$2:$T$2)/10^9,0)</f>
        <v>1.8433517579344649E-2</v>
      </c>
      <c r="AE1515" s="105">
        <f>IF($V$1335&gt;0,'Assumptions (Hydro)'!AE$10*Model!$V$1335*AVERAGE('Assumptions (Hydro)'!$R$2:$T$2)/10^9,0)</f>
        <v>1.8402327194269614E-2</v>
      </c>
      <c r="AF1515" s="105">
        <f>IF($V$1335&gt;0,'Assumptions (Hydro)'!AF$10*Model!$V$1335*AVERAGE('Assumptions (Hydro)'!$R$2:$T$2)/10^9,0)</f>
        <v>1.8433517579344649E-2</v>
      </c>
      <c r="AG1515" s="105">
        <f>IF($V$1335&gt;0,'Assumptions (Hydro)'!AG$10*Model!$V$1335*AVERAGE('Assumptions (Hydro)'!$R$2:$T$2)/10^9,0)</f>
        <v>1.8402327194269614E-2</v>
      </c>
      <c r="AH1515" s="105">
        <f>IF($V$1335&gt;0,'Assumptions (Hydro)'!AH$10*Model!$V$1335*AVERAGE('Assumptions (Hydro)'!$R$2:$T$2)/10^9,0)</f>
        <v>1.8433517579344649E-2</v>
      </c>
      <c r="AI1515" s="105">
        <f>IF($V$1335&gt;0,'Assumptions (Hydro)'!AI$10*Model!$V$1335*AVERAGE('Assumptions (Hydro)'!$R$2:$T$2)/10^9,0)</f>
        <v>1.8402327194269614E-2</v>
      </c>
      <c r="AJ1515" s="105">
        <f>IF($V$1335&gt;0,'Assumptions (Hydro)'!AJ$10*Model!$V$1335*AVERAGE('Assumptions (Hydro)'!$R$2:$T$2)/10^9,0)</f>
        <v>1.8433517579344649E-2</v>
      </c>
      <c r="AK1515" s="105">
        <f>IF($V$1335&gt;0,'Assumptions (Hydro)'!AK$10*Model!$V$1335*AVERAGE('Assumptions (Hydro)'!$R$2:$T$2)/10^9,0)</f>
        <v>9.2011635971348069E-3</v>
      </c>
    </row>
    <row r="1516" spans="1:53" ht="15.75" hidden="1" customHeight="1" outlineLevel="1">
      <c r="A1516" s="413"/>
      <c r="B1516" s="99"/>
      <c r="C1516" s="99"/>
      <c r="D1516" s="99"/>
      <c r="E1516" s="99"/>
      <c r="F1516" s="99"/>
      <c r="G1516" s="99"/>
      <c r="H1516" s="99"/>
      <c r="I1516" s="99"/>
      <c r="J1516" s="99"/>
      <c r="K1516" s="99"/>
      <c r="L1516" s="99"/>
      <c r="M1516" s="99"/>
      <c r="N1516" s="99"/>
      <c r="O1516" s="99"/>
      <c r="P1516" s="99"/>
      <c r="Q1516" s="99"/>
      <c r="R1516" s="99"/>
      <c r="S1516" s="99"/>
      <c r="T1516" s="99"/>
      <c r="U1516" s="99"/>
      <c r="V1516" s="99"/>
      <c r="W1516" s="105">
        <f>IF($W$1335&gt;0,'Assumptions (Hydro)'!V10*Model!$W$1335*AVERAGE('Assumptions (Hydro)'!$S$2:$U$2)/10^9,0)</f>
        <v>0</v>
      </c>
      <c r="X1516" s="105">
        <f>IF($W$1335&gt;0,'Assumptions (Hydro)'!W10*Model!$W$1335*AVERAGE('Assumptions (Hydro)'!$S$2:$U$2)/10^9,0)</f>
        <v>0</v>
      </c>
      <c r="Y1516" s="105">
        <f>IF($W$1335&gt;0,'Assumptions (Hydro)'!X10*Model!$W$1335*AVERAGE('Assumptions (Hydro)'!$S$2:$U$2)/10^9,0)</f>
        <v>0</v>
      </c>
      <c r="Z1516" s="105">
        <f>IF($W$1335&gt;0,'Assumptions (Hydro)'!Y10*Model!$W$1335*AVERAGE('Assumptions (Hydro)'!$S$2:$U$2)/10^9,0)</f>
        <v>0</v>
      </c>
      <c r="AA1516" s="105">
        <f>IF($W$1335&gt;0,'Assumptions (Hydro)'!Z10*Model!$W$1335*AVERAGE('Assumptions (Hydro)'!$S$2:$U$2)/10^9,0)</f>
        <v>0</v>
      </c>
      <c r="AB1516" s="105">
        <f>IF($W$1335&gt;0,'Assumptions (Hydro)'!AA10*Model!$W$1335*AVERAGE('Assumptions (Hydro)'!$S$2:$U$2)/10^9,0)</f>
        <v>0</v>
      </c>
      <c r="AC1516" s="105">
        <f>IF($W$1335&gt;0,'Assumptions (Hydro)'!AB10*Model!$W$1335*AVERAGE('Assumptions (Hydro)'!$S$2:$U$2)/10^9,0)</f>
        <v>0</v>
      </c>
      <c r="AD1516" s="105">
        <f>IF($W$1335&gt;0,'Assumptions (Hydro)'!AC10*Model!$W$1335*AVERAGE('Assumptions (Hydro)'!$S$2:$U$2)/10^9,0)</f>
        <v>0</v>
      </c>
      <c r="AE1516" s="105">
        <f>IF($W$1335&gt;0,'Assumptions (Hydro)'!AD10*Model!$W$1335*AVERAGE('Assumptions (Hydro)'!$S$2:$U$2)/10^9,0)</f>
        <v>0</v>
      </c>
      <c r="AF1516" s="105">
        <f>IF($W$1335&gt;0,'Assumptions (Hydro)'!AE10*Model!$W$1335*AVERAGE('Assumptions (Hydro)'!$S$2:$U$2)/10^9,0)</f>
        <v>0</v>
      </c>
      <c r="AG1516" s="105">
        <f>IF($W$1335&gt;0,'Assumptions (Hydro)'!AF10*Model!$W$1335*AVERAGE('Assumptions (Hydro)'!$S$2:$U$2)/10^9,0)</f>
        <v>0</v>
      </c>
      <c r="AH1516" s="105">
        <f>IF($W$1335&gt;0,'Assumptions (Hydro)'!AG10*Model!$W$1335*AVERAGE('Assumptions (Hydro)'!$S$2:$U$2)/10^9,0)</f>
        <v>0</v>
      </c>
      <c r="AI1516" s="105">
        <f>IF($W$1335&gt;0,'Assumptions (Hydro)'!AH10*Model!$W$1335*AVERAGE('Assumptions (Hydro)'!$S$2:$U$2)/10^9,0)</f>
        <v>0</v>
      </c>
      <c r="AJ1516" s="105">
        <f>IF($W$1335&gt;0,'Assumptions (Hydro)'!AI10*Model!$W$1335*AVERAGE('Assumptions (Hydro)'!$S$2:$U$2)/10^9,0)</f>
        <v>0</v>
      </c>
      <c r="AK1516" s="105">
        <f>IF($W$1335&gt;0,'Assumptions (Hydro)'!AJ10*Model!$W$1335*AVERAGE('Assumptions (Hydro)'!$S$2:$U$2)/10^9,0)</f>
        <v>0</v>
      </c>
      <c r="AL1516" s="105">
        <f>IF($W$1335&gt;0,'Assumptions (Hydro)'!AK10*Model!$W$1335*AVERAGE('Assumptions (Hydro)'!$S$2:$U$2)/10^9,0)</f>
        <v>0</v>
      </c>
      <c r="AM1516" s="105"/>
      <c r="AN1516" s="105"/>
      <c r="AO1516" s="105"/>
      <c r="AP1516" s="105"/>
      <c r="AQ1516" s="105"/>
      <c r="AR1516" s="105"/>
      <c r="AS1516" s="105"/>
      <c r="AT1516" s="105"/>
      <c r="AU1516" s="105"/>
      <c r="AV1516" s="105"/>
      <c r="AW1516" s="105"/>
      <c r="AX1516" s="105"/>
      <c r="AY1516" s="105"/>
      <c r="AZ1516" s="105"/>
      <c r="BA1516" s="105"/>
    </row>
    <row r="1517" spans="1:53" ht="15.75" hidden="1" customHeight="1" outlineLevel="1">
      <c r="A1517" s="413"/>
      <c r="B1517" s="99"/>
      <c r="C1517" s="99"/>
      <c r="D1517" s="99"/>
      <c r="E1517" s="99"/>
      <c r="F1517" s="99"/>
      <c r="G1517" s="99"/>
      <c r="H1517" s="99"/>
      <c r="I1517" s="99"/>
      <c r="J1517" s="99"/>
      <c r="K1517" s="99"/>
      <c r="L1517" s="99"/>
      <c r="M1517" s="99"/>
      <c r="N1517" s="99"/>
      <c r="O1517" s="99"/>
      <c r="P1517" s="99"/>
      <c r="Q1517" s="99"/>
      <c r="R1517" s="99"/>
      <c r="S1517" s="99"/>
      <c r="T1517" s="99"/>
      <c r="U1517" s="99"/>
      <c r="V1517" s="99"/>
      <c r="W1517" s="105"/>
      <c r="X1517" s="105">
        <f>IF($X$1335&gt;0,'Assumptions (Hydro)'!V10*Model!$X$1335*AVERAGE('Assumptions (Hydro)'!$T$2:$V$2)/10^9,0)</f>
        <v>0.54356442723952303</v>
      </c>
      <c r="Y1517" s="105">
        <f>IF($X$1335&gt;0,'Assumptions (Hydro)'!W10*Model!$X$1335*AVERAGE('Assumptions (Hydro)'!$T$2:$V$2)/10^9,0)</f>
        <v>1.0327724117550936</v>
      </c>
      <c r="Z1517" s="105">
        <f>IF($X$1335&gt;0,'Assumptions (Hydro)'!X10*Model!$X$1335*AVERAGE('Assumptions (Hydro)'!$T$2:$V$2)/10^9,0)</f>
        <v>0.92949517057958453</v>
      </c>
      <c r="AA1517" s="105">
        <f>IF($X$1335&gt;0,'Assumptions (Hydro)'!Y10*Model!$X$1335*AVERAGE('Assumptions (Hydro)'!$T$2:$V$2)/10^9,0)</f>
        <v>0.83708921794886548</v>
      </c>
      <c r="AB1517" s="105">
        <f>IF($X$1335&gt;0,'Assumptions (Hydro)'!Z10*Model!$X$1335*AVERAGE('Assumptions (Hydro)'!$T$2:$V$2)/10^9,0)</f>
        <v>0.75338029615397895</v>
      </c>
      <c r="AC1517" s="105">
        <f>IF($X$1335&gt;0,'Assumptions (Hydro)'!AA10*Model!$X$1335*AVERAGE('Assumptions (Hydro)'!$T$2:$V$2)/10^9,0)</f>
        <v>0.67728127634044577</v>
      </c>
      <c r="AD1517" s="105">
        <f>IF($X$1335&gt;0,'Assumptions (Hydro)'!AB10*Model!$X$1335*AVERAGE('Assumptions (Hydro)'!$T$2:$V$2)/10^9,0)</f>
        <v>0.64140602414263714</v>
      </c>
      <c r="AE1517" s="105">
        <f>IF($X$1335&gt;0,'Assumptions (Hydro)'!AC10*Model!$X$1335*AVERAGE('Assumptions (Hydro)'!$T$2:$V$2)/10^9,0)</f>
        <v>0.64140602414263714</v>
      </c>
      <c r="AF1517" s="105">
        <f>IF($X$1335&gt;0,'Assumptions (Hydro)'!AD10*Model!$X$1335*AVERAGE('Assumptions (Hydro)'!$T$2:$V$2)/10^9,0)</f>
        <v>0.64249315299711618</v>
      </c>
      <c r="AG1517" s="105">
        <f>IF($X$1335&gt;0,'Assumptions (Hydro)'!AE10*Model!$X$1335*AVERAGE('Assumptions (Hydro)'!$T$2:$V$2)/10^9,0)</f>
        <v>0.64140602414263714</v>
      </c>
      <c r="AH1517" s="105">
        <f>IF($X$1335&gt;0,'Assumptions (Hydro)'!AF10*Model!$X$1335*AVERAGE('Assumptions (Hydro)'!$T$2:$V$2)/10^9,0)</f>
        <v>0.64249315299711618</v>
      </c>
      <c r="AI1517" s="105">
        <f>IF($X$1335&gt;0,'Assumptions (Hydro)'!AG10*Model!$X$1335*AVERAGE('Assumptions (Hydro)'!$T$2:$V$2)/10^9,0)</f>
        <v>0.64140602414263714</v>
      </c>
      <c r="AJ1517" s="105">
        <f>IF($X$1335&gt;0,'Assumptions (Hydro)'!AH10*Model!$X$1335*AVERAGE('Assumptions (Hydro)'!$T$2:$V$2)/10^9,0)</f>
        <v>0.64249315299711618</v>
      </c>
      <c r="AK1517" s="105">
        <f>IF($X$1335&gt;0,'Assumptions (Hydro)'!AI10*Model!$X$1335*AVERAGE('Assumptions (Hydro)'!$T$2:$V$2)/10^9,0)</f>
        <v>0.64140602414263714</v>
      </c>
      <c r="AL1517" s="105">
        <f>IF($X$1335&gt;0,'Assumptions (Hydro)'!AJ10*Model!$X$1335*AVERAGE('Assumptions (Hydro)'!$T$2:$V$2)/10^9,0)</f>
        <v>0.64249315299711618</v>
      </c>
      <c r="AM1517" s="105">
        <f>IF($X$1335&gt;0,'Assumptions (Hydro)'!AK10*Model!$X$1335*AVERAGE('Assumptions (Hydro)'!$T$2:$V$2)/10^9,0)</f>
        <v>0.32070301207131857</v>
      </c>
      <c r="AN1517" s="105"/>
      <c r="AO1517" s="105"/>
      <c r="AP1517" s="105"/>
      <c r="AQ1517" s="105"/>
      <c r="AR1517" s="105"/>
      <c r="AS1517" s="105"/>
      <c r="AT1517" s="105"/>
      <c r="AU1517" s="105"/>
      <c r="AV1517" s="105"/>
      <c r="AW1517" s="105"/>
      <c r="AX1517" s="105"/>
      <c r="AY1517" s="105"/>
      <c r="AZ1517" s="105"/>
      <c r="BA1517" s="105"/>
    </row>
    <row r="1518" spans="1:53" ht="15.75" hidden="1" customHeight="1" outlineLevel="1">
      <c r="A1518" s="413"/>
      <c r="B1518" s="99"/>
      <c r="C1518" s="99"/>
      <c r="D1518" s="99"/>
      <c r="E1518" s="99"/>
      <c r="F1518" s="99"/>
      <c r="G1518" s="99"/>
      <c r="H1518" s="99"/>
      <c r="I1518" s="99"/>
      <c r="J1518" s="99"/>
      <c r="K1518" s="99"/>
      <c r="L1518" s="99"/>
      <c r="M1518" s="99"/>
      <c r="N1518" s="99"/>
      <c r="O1518" s="99"/>
      <c r="P1518" s="99"/>
      <c r="Q1518" s="99"/>
      <c r="R1518" s="99"/>
      <c r="S1518" s="99"/>
      <c r="T1518" s="99"/>
      <c r="U1518" s="99"/>
      <c r="V1518" s="99"/>
      <c r="W1518" s="105"/>
      <c r="X1518" s="105"/>
      <c r="Y1518" s="105">
        <f>IF($Y$1335&gt;0,'Assumptions (Hydro)'!V10*Model!$Y$1335*AVERAGE('Assumptions (Hydro)'!$U$2:$W$2)/10^9,0)</f>
        <v>0</v>
      </c>
      <c r="Z1518" s="105">
        <f>IF($Y$1335&gt;0,'Assumptions (Hydro)'!W10*Model!$Y$1335*AVERAGE('Assumptions (Hydro)'!$U$2:$W$2)/10^9,0)</f>
        <v>0</v>
      </c>
      <c r="AA1518" s="105">
        <f>IF($Y$1335&gt;0,'Assumptions (Hydro)'!X10*Model!$Y$1335*AVERAGE('Assumptions (Hydro)'!$U$2:$W$2)/10^9,0)</f>
        <v>0</v>
      </c>
      <c r="AB1518" s="105">
        <f>IF($Y$1335&gt;0,'Assumptions (Hydro)'!Y10*Model!$Y$1335*AVERAGE('Assumptions (Hydro)'!$U$2:$W$2)/10^9,0)</f>
        <v>0</v>
      </c>
      <c r="AC1518" s="105">
        <f>IF($Y$1335&gt;0,'Assumptions (Hydro)'!Z10*Model!$Y$1335*AVERAGE('Assumptions (Hydro)'!$U$2:$W$2)/10^9,0)</f>
        <v>0</v>
      </c>
      <c r="AD1518" s="105">
        <f>IF($Y$1335&gt;0,'Assumptions (Hydro)'!AA10*Model!$Y$1335*AVERAGE('Assumptions (Hydro)'!$U$2:$W$2)/10^9,0)</f>
        <v>0</v>
      </c>
      <c r="AE1518" s="105">
        <f>IF($Y$1335&gt;0,'Assumptions (Hydro)'!AB10*Model!$Y$1335*AVERAGE('Assumptions (Hydro)'!$U$2:$W$2)/10^9,0)</f>
        <v>0</v>
      </c>
      <c r="AF1518" s="105">
        <f>IF($Y$1335&gt;0,'Assumptions (Hydro)'!AC10*Model!$Y$1335*AVERAGE('Assumptions (Hydro)'!$U$2:$W$2)/10^9,0)</f>
        <v>0</v>
      </c>
      <c r="AG1518" s="105">
        <f>IF($Y$1335&gt;0,'Assumptions (Hydro)'!AD10*Model!$Y$1335*AVERAGE('Assumptions (Hydro)'!$U$2:$W$2)/10^9,0)</f>
        <v>0</v>
      </c>
      <c r="AH1518" s="105">
        <f>IF($Y$1335&gt;0,'Assumptions (Hydro)'!AE10*Model!$Y$1335*AVERAGE('Assumptions (Hydro)'!$U$2:$W$2)/10^9,0)</f>
        <v>0</v>
      </c>
      <c r="AI1518" s="105">
        <f>IF($Y$1335&gt;0,'Assumptions (Hydro)'!AF10*Model!$Y$1335*AVERAGE('Assumptions (Hydro)'!$U$2:$W$2)/10^9,0)</f>
        <v>0</v>
      </c>
      <c r="AJ1518" s="105">
        <f>IF($Y$1335&gt;0,'Assumptions (Hydro)'!AG10*Model!$Y$1335*AVERAGE('Assumptions (Hydro)'!$U$2:$W$2)/10^9,0)</f>
        <v>0</v>
      </c>
      <c r="AK1518" s="105">
        <f>IF($Y$1335&gt;0,'Assumptions (Hydro)'!AH10*Model!$Y$1335*AVERAGE('Assumptions (Hydro)'!$U$2:$W$2)/10^9,0)</f>
        <v>0</v>
      </c>
      <c r="AL1518" s="105">
        <f>IF($Y$1335&gt;0,'Assumptions (Hydro)'!AI10*Model!$Y$1335*AVERAGE('Assumptions (Hydro)'!$U$2:$W$2)/10^9,0)</f>
        <v>0</v>
      </c>
      <c r="AM1518" s="105">
        <f>IF($Y$1335&gt;0,'Assumptions (Hydro)'!AJ10*Model!$Y$1335*AVERAGE('Assumptions (Hydro)'!$U$2:$W$2)/10^9,0)</f>
        <v>0</v>
      </c>
      <c r="AN1518" s="105">
        <f>IF($Y$1335&gt;0,'Assumptions (Hydro)'!AK10*Model!$Y$1335*AVERAGE('Assumptions (Hydro)'!$U$2:$W$2)/10^9,0)</f>
        <v>0</v>
      </c>
      <c r="AO1518" s="105"/>
      <c r="AP1518" s="105"/>
      <c r="AQ1518" s="105"/>
      <c r="AR1518" s="105"/>
      <c r="AS1518" s="105"/>
      <c r="AT1518" s="105"/>
      <c r="AU1518" s="105"/>
      <c r="AV1518" s="105"/>
      <c r="AW1518" s="105"/>
      <c r="AX1518" s="105"/>
      <c r="AY1518" s="105"/>
      <c r="AZ1518" s="105"/>
      <c r="BA1518" s="105"/>
    </row>
    <row r="1519" spans="1:53" ht="15.75" hidden="1" customHeight="1" outlineLevel="1">
      <c r="A1519" s="413"/>
      <c r="B1519" s="99"/>
      <c r="C1519" s="99"/>
      <c r="D1519" s="99"/>
      <c r="E1519" s="99"/>
      <c r="F1519" s="99"/>
      <c r="G1519" s="99"/>
      <c r="H1519" s="99"/>
      <c r="I1519" s="99"/>
      <c r="J1519" s="99"/>
      <c r="K1519" s="99"/>
      <c r="L1519" s="99"/>
      <c r="M1519" s="99"/>
      <c r="N1519" s="99"/>
      <c r="O1519" s="99"/>
      <c r="P1519" s="99"/>
      <c r="Q1519" s="99"/>
      <c r="R1519" s="99"/>
      <c r="S1519" s="99"/>
      <c r="T1519" s="99"/>
      <c r="U1519" s="99"/>
      <c r="V1519" s="99"/>
      <c r="W1519" s="105"/>
      <c r="X1519" s="105"/>
      <c r="Y1519" s="105"/>
      <c r="Z1519" s="105">
        <f>IF($Z$1335&gt;0,'Assumptions (Hydro)'!V10*Model!$Z$1335*AVERAGE('Assumptions (Hydro)'!$V$2:$X$2)/10^9,0)</f>
        <v>0</v>
      </c>
      <c r="AA1519" s="105">
        <f>IF($Z$1335&gt;0,'Assumptions (Hydro)'!W10*Model!$Z$1335*AVERAGE('Assumptions (Hydro)'!$V$2:$X$2)/10^9,0)</f>
        <v>0</v>
      </c>
      <c r="AB1519" s="105">
        <f>IF($Z$1335&gt;0,'Assumptions (Hydro)'!X10*Model!$Z$1335*AVERAGE('Assumptions (Hydro)'!$V$2:$X$2)/10^9,0)</f>
        <v>0</v>
      </c>
      <c r="AC1519" s="105">
        <f>IF($Z$1335&gt;0,'Assumptions (Hydro)'!Y10*Model!$Z$1335*AVERAGE('Assumptions (Hydro)'!$V$2:$X$2)/10^9,0)</f>
        <v>0</v>
      </c>
      <c r="AD1519" s="105">
        <f>IF($Z$1335&gt;0,'Assumptions (Hydro)'!Z10*Model!$Z$1335*AVERAGE('Assumptions (Hydro)'!$V$2:$X$2)/10^9,0)</f>
        <v>0</v>
      </c>
      <c r="AE1519" s="105">
        <f>IF($Z$1335&gt;0,'Assumptions (Hydro)'!AA10*Model!$Z$1335*AVERAGE('Assumptions (Hydro)'!$V$2:$X$2)/10^9,0)</f>
        <v>0</v>
      </c>
      <c r="AF1519" s="105">
        <f>IF($Z$1335&gt;0,'Assumptions (Hydro)'!AB10*Model!$Z$1335*AVERAGE('Assumptions (Hydro)'!$V$2:$X$2)/10^9,0)</f>
        <v>0</v>
      </c>
      <c r="AG1519" s="105">
        <f>IF($Z$1335&gt;0,'Assumptions (Hydro)'!AC10*Model!$Z$1335*AVERAGE('Assumptions (Hydro)'!$V$2:$X$2)/10^9,0)</f>
        <v>0</v>
      </c>
      <c r="AH1519" s="105">
        <f>IF($Z$1335&gt;0,'Assumptions (Hydro)'!AD10*Model!$Z$1335*AVERAGE('Assumptions (Hydro)'!$V$2:$X$2)/10^9,0)</f>
        <v>0</v>
      </c>
      <c r="AI1519" s="105">
        <f>IF($Z$1335&gt;0,'Assumptions (Hydro)'!AE10*Model!$Z$1335*AVERAGE('Assumptions (Hydro)'!$V$2:$X$2)/10^9,0)</f>
        <v>0</v>
      </c>
      <c r="AJ1519" s="105">
        <f>IF($Z$1335&gt;0,'Assumptions (Hydro)'!AF10*Model!$Z$1335*AVERAGE('Assumptions (Hydro)'!$V$2:$X$2)/10^9,0)</f>
        <v>0</v>
      </c>
      <c r="AK1519" s="105">
        <f>IF($Z$1335&gt;0,'Assumptions (Hydro)'!AG10*Model!$Z$1335*AVERAGE('Assumptions (Hydro)'!$V$2:$X$2)/10^9,0)</f>
        <v>0</v>
      </c>
      <c r="AL1519" s="105">
        <f>IF($Z$1335&gt;0,'Assumptions (Hydro)'!AH10*Model!$Z$1335*AVERAGE('Assumptions (Hydro)'!$V$2:$X$2)/10^9,0)</f>
        <v>0</v>
      </c>
      <c r="AM1519" s="105">
        <f>IF($Z$1335&gt;0,'Assumptions (Hydro)'!AI10*Model!$Z$1335*AVERAGE('Assumptions (Hydro)'!$V$2:$X$2)/10^9,0)</f>
        <v>0</v>
      </c>
      <c r="AN1519" s="105">
        <f>IF($Z$1335&gt;0,'Assumptions (Hydro)'!AJ10*Model!$Z$1335*AVERAGE('Assumptions (Hydro)'!$V$2:$X$2)/10^9,0)</f>
        <v>0</v>
      </c>
      <c r="AO1519" s="105">
        <f>IF($Z$1335&gt;0,'Assumptions (Hydro)'!AK10*Model!$Z$1335*AVERAGE('Assumptions (Hydro)'!$V$2:$X$2)/10^9,0)</f>
        <v>0</v>
      </c>
      <c r="AP1519" s="105"/>
      <c r="AQ1519" s="105"/>
      <c r="AR1519" s="105"/>
      <c r="AS1519" s="105"/>
      <c r="AT1519" s="105"/>
      <c r="AU1519" s="105"/>
      <c r="AV1519" s="105"/>
      <c r="AW1519" s="105"/>
      <c r="AX1519" s="105"/>
      <c r="AY1519" s="105"/>
      <c r="AZ1519" s="105"/>
      <c r="BA1519" s="105"/>
    </row>
    <row r="1520" spans="1:53" ht="15.75" hidden="1" customHeight="1" outlineLevel="1">
      <c r="A1520" s="413"/>
      <c r="B1520" s="99"/>
      <c r="C1520" s="99"/>
      <c r="D1520" s="99"/>
      <c r="E1520" s="99"/>
      <c r="F1520" s="99"/>
      <c r="G1520" s="99"/>
      <c r="H1520" s="99"/>
      <c r="I1520" s="99"/>
      <c r="J1520" s="99"/>
      <c r="K1520" s="99"/>
      <c r="L1520" s="99"/>
      <c r="M1520" s="99"/>
      <c r="N1520" s="99"/>
      <c r="O1520" s="99"/>
      <c r="P1520" s="99"/>
      <c r="Q1520" s="99"/>
      <c r="R1520" s="99"/>
      <c r="S1520" s="99"/>
      <c r="T1520" s="99"/>
      <c r="U1520" s="99"/>
      <c r="V1520" s="99"/>
      <c r="W1520" s="105"/>
      <c r="X1520" s="105"/>
      <c r="Y1520" s="105"/>
      <c r="Z1520" s="105"/>
      <c r="AA1520" s="105">
        <f>IF($AA$1335&gt;0,'Assumptions (Hydro)'!V10*Model!$AA$1335*AVERAGE('Assumptions (Hydro)'!$W$2:$Y$2)/10^9,0)</f>
        <v>0</v>
      </c>
      <c r="AB1520" s="105">
        <f>IF($AA$1335&gt;0,'Assumptions (Hydro)'!W10*Model!$AA$1335*AVERAGE('Assumptions (Hydro)'!$W$2:$Y$2)/10^9,0)</f>
        <v>0</v>
      </c>
      <c r="AC1520" s="105">
        <f>IF($AA$1335&gt;0,'Assumptions (Hydro)'!X10*Model!$AA$1335*AVERAGE('Assumptions (Hydro)'!$W$2:$Y$2)/10^9,0)</f>
        <v>0</v>
      </c>
      <c r="AD1520" s="105">
        <f>IF($AA$1335&gt;0,'Assumptions (Hydro)'!Y10*Model!$AA$1335*AVERAGE('Assumptions (Hydro)'!$W$2:$Y$2)/10^9,0)</f>
        <v>0</v>
      </c>
      <c r="AE1520" s="105">
        <f>IF($AA$1335&gt;0,'Assumptions (Hydro)'!Z10*Model!$AA$1335*AVERAGE('Assumptions (Hydro)'!$W$2:$Y$2)/10^9,0)</f>
        <v>0</v>
      </c>
      <c r="AF1520" s="105">
        <f>IF($AA$1335&gt;0,'Assumptions (Hydro)'!AA10*Model!$AA$1335*AVERAGE('Assumptions (Hydro)'!$W$2:$Y$2)/10^9,0)</f>
        <v>0</v>
      </c>
      <c r="AG1520" s="105">
        <f>IF($AA$1335&gt;0,'Assumptions (Hydro)'!AB10*Model!$AA$1335*AVERAGE('Assumptions (Hydro)'!$W$2:$Y$2)/10^9,0)</f>
        <v>0</v>
      </c>
      <c r="AH1520" s="105">
        <f>IF($AA$1335&gt;0,'Assumptions (Hydro)'!AC10*Model!$AA$1335*AVERAGE('Assumptions (Hydro)'!$W$2:$Y$2)/10^9,0)</f>
        <v>0</v>
      </c>
      <c r="AI1520" s="105">
        <f>IF($AA$1335&gt;0,'Assumptions (Hydro)'!AD10*Model!$AA$1335*AVERAGE('Assumptions (Hydro)'!$W$2:$Y$2)/10^9,0)</f>
        <v>0</v>
      </c>
      <c r="AJ1520" s="105">
        <f>IF($AA$1335&gt;0,'Assumptions (Hydro)'!AE10*Model!$AA$1335*AVERAGE('Assumptions (Hydro)'!$W$2:$Y$2)/10^9,0)</f>
        <v>0</v>
      </c>
      <c r="AK1520" s="105">
        <f>IF($AA$1335&gt;0,'Assumptions (Hydro)'!AF10*Model!$AA$1335*AVERAGE('Assumptions (Hydro)'!$W$2:$Y$2)/10^9,0)</f>
        <v>0</v>
      </c>
      <c r="AL1520" s="105">
        <f>IF($AA$1335&gt;0,'Assumptions (Hydro)'!AG10*Model!$AA$1335*AVERAGE('Assumptions (Hydro)'!$W$2:$Y$2)/10^9,0)</f>
        <v>0</v>
      </c>
      <c r="AM1520" s="105">
        <f>IF($AA$1335&gt;0,'Assumptions (Hydro)'!AH10*Model!$AA$1335*AVERAGE('Assumptions (Hydro)'!$W$2:$Y$2)/10^9,0)</f>
        <v>0</v>
      </c>
      <c r="AN1520" s="105">
        <f>IF($AA$1335&gt;0,'Assumptions (Hydro)'!AI10*Model!$AA$1335*AVERAGE('Assumptions (Hydro)'!$W$2:$Y$2)/10^9,0)</f>
        <v>0</v>
      </c>
      <c r="AO1520" s="105">
        <f>IF($AA$1335&gt;0,'Assumptions (Hydro)'!AJ10*Model!$AA$1335*AVERAGE('Assumptions (Hydro)'!$W$2:$Y$2)/10^9,0)</f>
        <v>0</v>
      </c>
      <c r="AP1520" s="105">
        <f>IF($AA$1335&gt;0,'Assumptions (Hydro)'!AK10*Model!$AA$1335*AVERAGE('Assumptions (Hydro)'!$W$2:$Y$2)/10^9,0)</f>
        <v>0</v>
      </c>
      <c r="AQ1520" s="105"/>
      <c r="AR1520" s="105"/>
      <c r="AS1520" s="105"/>
      <c r="AT1520" s="105"/>
      <c r="AU1520" s="105"/>
      <c r="AV1520" s="105"/>
      <c r="AW1520" s="105"/>
      <c r="AX1520" s="105"/>
      <c r="AY1520" s="105"/>
      <c r="AZ1520" s="105"/>
      <c r="BA1520" s="105"/>
    </row>
    <row r="1521" spans="1:67" ht="15.75" hidden="1" customHeight="1" outlineLevel="1">
      <c r="A1521" s="413"/>
      <c r="B1521" s="99"/>
      <c r="C1521" s="99"/>
      <c r="D1521" s="99"/>
      <c r="E1521" s="99"/>
      <c r="F1521" s="99"/>
      <c r="G1521" s="99"/>
      <c r="H1521" s="99"/>
      <c r="I1521" s="99"/>
      <c r="J1521" s="99"/>
      <c r="K1521" s="99"/>
      <c r="L1521" s="99"/>
      <c r="M1521" s="99"/>
      <c r="N1521" s="99"/>
      <c r="O1521" s="99"/>
      <c r="P1521" s="99"/>
      <c r="Q1521" s="99"/>
      <c r="R1521" s="99"/>
      <c r="S1521" s="99"/>
      <c r="T1521" s="99"/>
      <c r="U1521" s="99"/>
      <c r="V1521" s="99"/>
      <c r="W1521" s="105"/>
      <c r="X1521" s="105"/>
      <c r="Y1521" s="105"/>
      <c r="Z1521" s="105"/>
      <c r="AA1521" s="105"/>
      <c r="AB1521" s="105">
        <f>IF($AB$1335&gt;0,'Assumptions (Hydro)'!V10*Model!$AB$1335*AVERAGE('Assumptions (Hydro)'!$X$2:$Z$2)/10^9,0)</f>
        <v>0</v>
      </c>
      <c r="AC1521" s="105">
        <f>IF($AB$1335&gt;0,'Assumptions (Hydro)'!W10*Model!$AB$1335*AVERAGE('Assumptions (Hydro)'!$X$2:$Z$2)/10^9,0)</f>
        <v>0</v>
      </c>
      <c r="AD1521" s="105">
        <f>IF($AB$1335&gt;0,'Assumptions (Hydro)'!X10*Model!$AB$1335*AVERAGE('Assumptions (Hydro)'!$X$2:$Z$2)/10^9,0)</f>
        <v>0</v>
      </c>
      <c r="AE1521" s="105">
        <f>IF($AB$1335&gt;0,'Assumptions (Hydro)'!Y10*Model!$AB$1335*AVERAGE('Assumptions (Hydro)'!$X$2:$Z$2)/10^9,0)</f>
        <v>0</v>
      </c>
      <c r="AF1521" s="105">
        <f>IF($AB$1335&gt;0,'Assumptions (Hydro)'!Z10*Model!$AB$1335*AVERAGE('Assumptions (Hydro)'!$X$2:$Z$2)/10^9,0)</f>
        <v>0</v>
      </c>
      <c r="AG1521" s="105">
        <f>IF($AB$1335&gt;0,'Assumptions (Hydro)'!AA10*Model!$AB$1335*AVERAGE('Assumptions (Hydro)'!$X$2:$Z$2)/10^9,0)</f>
        <v>0</v>
      </c>
      <c r="AH1521" s="105">
        <f>IF($AB$1335&gt;0,'Assumptions (Hydro)'!AB10*Model!$AB$1335*AVERAGE('Assumptions (Hydro)'!$X$2:$Z$2)/10^9,0)</f>
        <v>0</v>
      </c>
      <c r="AI1521" s="105">
        <f>IF($AB$1335&gt;0,'Assumptions (Hydro)'!AC10*Model!$AB$1335*AVERAGE('Assumptions (Hydro)'!$X$2:$Z$2)/10^9,0)</f>
        <v>0</v>
      </c>
      <c r="AJ1521" s="105">
        <f>IF($AB$1335&gt;0,'Assumptions (Hydro)'!AD10*Model!$AB$1335*AVERAGE('Assumptions (Hydro)'!$X$2:$Z$2)/10^9,0)</f>
        <v>0</v>
      </c>
      <c r="AK1521" s="105">
        <f>IF($AB$1335&gt;0,'Assumptions (Hydro)'!AE10*Model!$AB$1335*AVERAGE('Assumptions (Hydro)'!$X$2:$Z$2)/10^9,0)</f>
        <v>0</v>
      </c>
      <c r="AL1521" s="105">
        <f>IF($AB$1335&gt;0,'Assumptions (Hydro)'!AF10*Model!$AB$1335*AVERAGE('Assumptions (Hydro)'!$X$2:$Z$2)/10^9,0)</f>
        <v>0</v>
      </c>
      <c r="AM1521" s="105">
        <f>IF($AB$1335&gt;0,'Assumptions (Hydro)'!AG10*Model!$AB$1335*AVERAGE('Assumptions (Hydro)'!$X$2:$Z$2)/10^9,0)</f>
        <v>0</v>
      </c>
      <c r="AN1521" s="105">
        <f>IF($AB$1335&gt;0,'Assumptions (Hydro)'!AH10*Model!$AB$1335*AVERAGE('Assumptions (Hydro)'!$X$2:$Z$2)/10^9,0)</f>
        <v>0</v>
      </c>
      <c r="AO1521" s="105">
        <f>IF($AB$1335&gt;0,'Assumptions (Hydro)'!AI10*Model!$AB$1335*AVERAGE('Assumptions (Hydro)'!$X$2:$Z$2)/10^9,0)</f>
        <v>0</v>
      </c>
      <c r="AP1521" s="105">
        <f>IF($AB$1335&gt;0,'Assumptions (Hydro)'!AJ10*Model!$AB$1335*AVERAGE('Assumptions (Hydro)'!$X$2:$Z$2)/10^9,0)</f>
        <v>0</v>
      </c>
      <c r="AQ1521" s="105">
        <f>IF($AB$1335&gt;0,'Assumptions (Hydro)'!AK10*Model!$AB$1335*AVERAGE('Assumptions (Hydro)'!$X$2:$Z$2)/10^9,0)</f>
        <v>0</v>
      </c>
      <c r="AR1521" s="105"/>
      <c r="AS1521" s="105"/>
      <c r="AT1521" s="105"/>
      <c r="AU1521" s="105"/>
      <c r="AV1521" s="105"/>
      <c r="AW1521" s="105"/>
      <c r="AX1521" s="105"/>
      <c r="AY1521" s="105"/>
      <c r="AZ1521" s="105"/>
      <c r="BA1521" s="105"/>
    </row>
    <row r="1522" spans="1:67" ht="15.75" hidden="1" customHeight="1" outlineLevel="1">
      <c r="A1522" s="413"/>
      <c r="B1522" s="99"/>
      <c r="C1522" s="99"/>
      <c r="D1522" s="99"/>
      <c r="E1522" s="99"/>
      <c r="F1522" s="99"/>
      <c r="G1522" s="99"/>
      <c r="H1522" s="99"/>
      <c r="I1522" s="99"/>
      <c r="J1522" s="99"/>
      <c r="K1522" s="99"/>
      <c r="L1522" s="99"/>
      <c r="M1522" s="99"/>
      <c r="N1522" s="99"/>
      <c r="O1522" s="99"/>
      <c r="P1522" s="99"/>
      <c r="Q1522" s="99"/>
      <c r="R1522" s="99"/>
      <c r="S1522" s="99"/>
      <c r="T1522" s="99"/>
      <c r="U1522" s="99"/>
      <c r="V1522" s="99"/>
      <c r="W1522" s="105"/>
      <c r="X1522" s="105"/>
      <c r="Y1522" s="105"/>
      <c r="Z1522" s="105"/>
      <c r="AA1522" s="105"/>
      <c r="AB1522" s="105"/>
      <c r="AC1522" s="105">
        <f>IF($AC$1335&gt;0,'Assumptions (Hydro)'!V10*Model!$AC$1335*AVERAGE('Assumptions (Hydro)'!$Y$2:$AA$2)/10^9,0)</f>
        <v>0</v>
      </c>
      <c r="AD1522" s="105">
        <f>IF($AC$1335&gt;0,'Assumptions (Hydro)'!W10*Model!$AC$1335*AVERAGE('Assumptions (Hydro)'!$Y$2:$AA$2)/10^9,0)</f>
        <v>0</v>
      </c>
      <c r="AE1522" s="105">
        <f>IF($AC$1335&gt;0,'Assumptions (Hydro)'!X10*Model!$AC$1335*AVERAGE('Assumptions (Hydro)'!$Y$2:$AA$2)/10^9,0)</f>
        <v>0</v>
      </c>
      <c r="AF1522" s="105">
        <f>IF($AC$1335&gt;0,'Assumptions (Hydro)'!Y10*Model!$AC$1335*AVERAGE('Assumptions (Hydro)'!$Y$2:$AA$2)/10^9,0)</f>
        <v>0</v>
      </c>
      <c r="AG1522" s="105">
        <f>IF($AC$1335&gt;0,'Assumptions (Hydro)'!Z10*Model!$AC$1335*AVERAGE('Assumptions (Hydro)'!$Y$2:$AA$2)/10^9,0)</f>
        <v>0</v>
      </c>
      <c r="AH1522" s="105">
        <f>IF($AC$1335&gt;0,'Assumptions (Hydro)'!AA10*Model!$AC$1335*AVERAGE('Assumptions (Hydro)'!$Y$2:$AA$2)/10^9,0)</f>
        <v>0</v>
      </c>
      <c r="AI1522" s="105">
        <f>IF($AC$1335&gt;0,'Assumptions (Hydro)'!AB10*Model!$AC$1335*AVERAGE('Assumptions (Hydro)'!$Y$2:$AA$2)/10^9,0)</f>
        <v>0</v>
      </c>
      <c r="AJ1522" s="105">
        <f>IF($AC$1335&gt;0,'Assumptions (Hydro)'!AC10*Model!$AC$1335*AVERAGE('Assumptions (Hydro)'!$Y$2:$AA$2)/10^9,0)</f>
        <v>0</v>
      </c>
      <c r="AK1522" s="105">
        <f>IF($AC$1335&gt;0,'Assumptions (Hydro)'!AD10*Model!$AC$1335*AVERAGE('Assumptions (Hydro)'!$Y$2:$AA$2)/10^9,0)</f>
        <v>0</v>
      </c>
      <c r="AL1522" s="105">
        <f>IF($AC$1335&gt;0,'Assumptions (Hydro)'!AE10*Model!$AC$1335*AVERAGE('Assumptions (Hydro)'!$Y$2:$AA$2)/10^9,0)</f>
        <v>0</v>
      </c>
      <c r="AM1522" s="105">
        <f>IF($AC$1335&gt;0,'Assumptions (Hydro)'!AF10*Model!$AC$1335*AVERAGE('Assumptions (Hydro)'!$Y$2:$AA$2)/10^9,0)</f>
        <v>0</v>
      </c>
      <c r="AN1522" s="105">
        <f>IF($AC$1335&gt;0,'Assumptions (Hydro)'!AG10*Model!$AC$1335*AVERAGE('Assumptions (Hydro)'!$Y$2:$AA$2)/10^9,0)</f>
        <v>0</v>
      </c>
      <c r="AO1522" s="105">
        <f>IF($AC$1335&gt;0,'Assumptions (Hydro)'!AH10*Model!$AC$1335*AVERAGE('Assumptions (Hydro)'!$Y$2:$AA$2)/10^9,0)</f>
        <v>0</v>
      </c>
      <c r="AP1522" s="105">
        <f>IF($AC$1335&gt;0,'Assumptions (Hydro)'!AI10*Model!$AC$1335*AVERAGE('Assumptions (Hydro)'!$Y$2:$AA$2)/10^9,0)</f>
        <v>0</v>
      </c>
      <c r="AQ1522" s="105">
        <f>IF($AC$1335&gt;0,'Assumptions (Hydro)'!AJ10*Model!$AC$1335*AVERAGE('Assumptions (Hydro)'!$Y$2:$AA$2)/10^9,0)</f>
        <v>0</v>
      </c>
      <c r="AR1522" s="105">
        <f>IF($AC$1335&gt;0,'Assumptions (Hydro)'!AK10*Model!$AC$1335*AVERAGE('Assumptions (Hydro)'!$Y$2:$AA$2)/10^9,0)</f>
        <v>0</v>
      </c>
      <c r="AS1522" s="105"/>
      <c r="AT1522" s="105"/>
      <c r="AU1522" s="105"/>
      <c r="AV1522" s="105"/>
      <c r="AW1522" s="105"/>
      <c r="AX1522" s="105"/>
      <c r="AY1522" s="105"/>
      <c r="AZ1522" s="105"/>
      <c r="BA1522" s="105"/>
    </row>
    <row r="1523" spans="1:67" ht="15.75" hidden="1" customHeight="1" outlineLevel="1">
      <c r="A1523" s="413"/>
      <c r="B1523" s="99"/>
      <c r="C1523" s="99"/>
      <c r="D1523" s="99"/>
      <c r="E1523" s="99"/>
      <c r="F1523" s="99"/>
      <c r="G1523" s="99"/>
      <c r="H1523" s="99"/>
      <c r="I1523" s="99"/>
      <c r="J1523" s="99"/>
      <c r="K1523" s="99"/>
      <c r="L1523" s="99"/>
      <c r="M1523" s="99"/>
      <c r="N1523" s="99"/>
      <c r="O1523" s="99"/>
      <c r="P1523" s="99"/>
      <c r="Q1523" s="99"/>
      <c r="R1523" s="99"/>
      <c r="S1523" s="99"/>
      <c r="T1523" s="99"/>
      <c r="U1523" s="99"/>
      <c r="V1523" s="99"/>
      <c r="W1523" s="105"/>
      <c r="X1523" s="105"/>
      <c r="Y1523" s="105"/>
      <c r="Z1523" s="105"/>
      <c r="AA1523" s="105"/>
      <c r="AB1523" s="105"/>
      <c r="AC1523" s="105"/>
      <c r="AD1523" s="105">
        <f>IF($AD$1335&gt;0,'Assumptions (Hydro)'!V10*Model!$AD$1335*AVERAGE('Assumptions (Hydro)'!$Z$2:$AB$2)/10^9,0)</f>
        <v>0</v>
      </c>
      <c r="AE1523" s="105">
        <f>IF($AD$1335&gt;0,'Assumptions (Hydro)'!W10*Model!$AD$1335*AVERAGE('Assumptions (Hydro)'!$Z$2:$AB$2)/10^9,0)</f>
        <v>0</v>
      </c>
      <c r="AF1523" s="105">
        <f>IF($AD$1335&gt;0,'Assumptions (Hydro)'!X10*Model!$AD$1335*AVERAGE('Assumptions (Hydro)'!$Z$2:$AB$2)/10^9,0)</f>
        <v>0</v>
      </c>
      <c r="AG1523" s="105">
        <f>IF($AD$1335&gt;0,'Assumptions (Hydro)'!Y10*Model!$AD$1335*AVERAGE('Assumptions (Hydro)'!$Z$2:$AB$2)/10^9,0)</f>
        <v>0</v>
      </c>
      <c r="AH1523" s="105">
        <f>IF($AD$1335&gt;0,'Assumptions (Hydro)'!Z10*Model!$AD$1335*AVERAGE('Assumptions (Hydro)'!$Z$2:$AB$2)/10^9,0)</f>
        <v>0</v>
      </c>
      <c r="AI1523" s="105">
        <f>IF($AD$1335&gt;0,'Assumptions (Hydro)'!AA10*Model!$AD$1335*AVERAGE('Assumptions (Hydro)'!$Z$2:$AB$2)/10^9,0)</f>
        <v>0</v>
      </c>
      <c r="AJ1523" s="105">
        <f>IF($AD$1335&gt;0,'Assumptions (Hydro)'!AB10*Model!$AD$1335*AVERAGE('Assumptions (Hydro)'!$Z$2:$AB$2)/10^9,0)</f>
        <v>0</v>
      </c>
      <c r="AK1523" s="105">
        <f>IF($AD$1335&gt;0,'Assumptions (Hydro)'!AC10*Model!$AD$1335*AVERAGE('Assumptions (Hydro)'!$Z$2:$AB$2)/10^9,0)</f>
        <v>0</v>
      </c>
      <c r="AL1523" s="105">
        <f>IF($AD$1335&gt;0,'Assumptions (Hydro)'!AD10*Model!$AD$1335*AVERAGE('Assumptions (Hydro)'!$Z$2:$AB$2)/10^9,0)</f>
        <v>0</v>
      </c>
      <c r="AM1523" s="105">
        <f>IF($AD$1335&gt;0,'Assumptions (Hydro)'!AE10*Model!$AD$1335*AVERAGE('Assumptions (Hydro)'!$Z$2:$AB$2)/10^9,0)</f>
        <v>0</v>
      </c>
      <c r="AN1523" s="105">
        <f>IF($AD$1335&gt;0,'Assumptions (Hydro)'!AF10*Model!$AD$1335*AVERAGE('Assumptions (Hydro)'!$Z$2:$AB$2)/10^9,0)</f>
        <v>0</v>
      </c>
      <c r="AO1523" s="105">
        <f>IF($AD$1335&gt;0,'Assumptions (Hydro)'!AG10*Model!$AD$1335*AVERAGE('Assumptions (Hydro)'!$Z$2:$AB$2)/10^9,0)</f>
        <v>0</v>
      </c>
      <c r="AP1523" s="105">
        <f>IF($AD$1335&gt;0,'Assumptions (Hydro)'!AH10*Model!$AD$1335*AVERAGE('Assumptions (Hydro)'!$Z$2:$AB$2)/10^9,0)</f>
        <v>0</v>
      </c>
      <c r="AQ1523" s="105">
        <f>IF($AD$1335&gt;0,'Assumptions (Hydro)'!AI10*Model!$AD$1335*AVERAGE('Assumptions (Hydro)'!$Z$2:$AB$2)/10^9,0)</f>
        <v>0</v>
      </c>
      <c r="AR1523" s="105">
        <f>IF($AD$1335&gt;0,'Assumptions (Hydro)'!AJ10*Model!$AD$1335*AVERAGE('Assumptions (Hydro)'!$Z$2:$AB$2)/10^9,0)</f>
        <v>0</v>
      </c>
      <c r="AS1523" s="105">
        <f>IF($AD$1335&gt;0,'Assumptions (Hydro)'!AK10*Model!$AD$1335*AVERAGE('Assumptions (Hydro)'!$Z$2:$AB$2)/10^9,0)</f>
        <v>0</v>
      </c>
      <c r="AT1523" s="105"/>
      <c r="AU1523" s="105"/>
      <c r="AV1523" s="105"/>
      <c r="AW1523" s="105"/>
      <c r="AX1523" s="105"/>
      <c r="AY1523" s="105"/>
      <c r="AZ1523" s="105"/>
      <c r="BA1523" s="105"/>
      <c r="BB1523" s="105"/>
    </row>
    <row r="1524" spans="1:67" ht="15.75" hidden="1" customHeight="1" outlineLevel="1">
      <c r="A1524" s="413"/>
      <c r="B1524" s="99"/>
      <c r="C1524" s="99"/>
      <c r="D1524" s="99"/>
      <c r="E1524" s="99"/>
      <c r="F1524" s="99"/>
      <c r="G1524" s="99"/>
      <c r="H1524" s="99"/>
      <c r="I1524" s="99"/>
      <c r="J1524" s="99"/>
      <c r="K1524" s="99"/>
      <c r="L1524" s="99"/>
      <c r="M1524" s="99"/>
      <c r="N1524" s="99"/>
      <c r="O1524" s="99"/>
      <c r="P1524" s="99"/>
      <c r="Q1524" s="99"/>
      <c r="R1524" s="99"/>
      <c r="S1524" s="99"/>
      <c r="T1524" s="99"/>
      <c r="U1524" s="99"/>
      <c r="V1524" s="99"/>
      <c r="W1524" s="105"/>
      <c r="X1524" s="105"/>
      <c r="Y1524" s="105"/>
      <c r="Z1524" s="105"/>
      <c r="AA1524" s="105"/>
      <c r="AB1524" s="105"/>
      <c r="AC1524" s="105"/>
      <c r="AD1524" s="105"/>
      <c r="AE1524" s="105">
        <f>IF($AE$1335&gt;0,'Assumptions (Hydro)'!V10*Model!$AE$1335*AVERAGE('Assumptions (Hydro)'!$AA$2:$AC$2)/10^9,0)</f>
        <v>0</v>
      </c>
      <c r="AF1524" s="105">
        <f>IF($AE$1335&gt;0,'Assumptions (Hydro)'!W10*Model!$AE$1335*AVERAGE('Assumptions (Hydro)'!$AA$2:$AC$2)/10^9,0)</f>
        <v>0</v>
      </c>
      <c r="AG1524" s="105">
        <f>IF($AE$1335&gt;0,'Assumptions (Hydro)'!X10*Model!$AE$1335*AVERAGE('Assumptions (Hydro)'!$AA$2:$AC$2)/10^9,0)</f>
        <v>0</v>
      </c>
      <c r="AH1524" s="105">
        <f>IF($AE$1335&gt;0,'Assumptions (Hydro)'!Y10*Model!$AE$1335*AVERAGE('Assumptions (Hydro)'!$AA$2:$AC$2)/10^9,0)</f>
        <v>0</v>
      </c>
      <c r="AI1524" s="105">
        <f>IF($AE$1335&gt;0,'Assumptions (Hydro)'!Z10*Model!$AE$1335*AVERAGE('Assumptions (Hydro)'!$AA$2:$AC$2)/10^9,0)</f>
        <v>0</v>
      </c>
      <c r="AJ1524" s="105">
        <f>IF($AE$1335&gt;0,'Assumptions (Hydro)'!AA10*Model!$AE$1335*AVERAGE('Assumptions (Hydro)'!$AA$2:$AC$2)/10^9,0)</f>
        <v>0</v>
      </c>
      <c r="AK1524" s="105">
        <f>IF($AE$1335&gt;0,'Assumptions (Hydro)'!AB10*Model!$AE$1335*AVERAGE('Assumptions (Hydro)'!$AA$2:$AC$2)/10^9,0)</f>
        <v>0</v>
      </c>
      <c r="AL1524" s="105">
        <f>IF($AE$1335&gt;0,'Assumptions (Hydro)'!AC10*Model!$AE$1335*AVERAGE('Assumptions (Hydro)'!$AA$2:$AC$2)/10^9,0)</f>
        <v>0</v>
      </c>
      <c r="AM1524" s="105">
        <f>IF($AE$1335&gt;0,'Assumptions (Hydro)'!AD10*Model!$AE$1335*AVERAGE('Assumptions (Hydro)'!$AA$2:$AC$2)/10^9,0)</f>
        <v>0</v>
      </c>
      <c r="AN1524" s="105">
        <f>IF($AE$1335&gt;0,'Assumptions (Hydro)'!AE10*Model!$AE$1335*AVERAGE('Assumptions (Hydro)'!$AA$2:$AC$2)/10^9,0)</f>
        <v>0</v>
      </c>
      <c r="AO1524" s="105">
        <f>IF($AE$1335&gt;0,'Assumptions (Hydro)'!AF10*Model!$AE$1335*AVERAGE('Assumptions (Hydro)'!$AA$2:$AC$2)/10^9,0)</f>
        <v>0</v>
      </c>
      <c r="AP1524" s="105">
        <f>IF($AE$1335&gt;0,'Assumptions (Hydro)'!AG10*Model!$AE$1335*AVERAGE('Assumptions (Hydro)'!$AA$2:$AC$2)/10^9,0)</f>
        <v>0</v>
      </c>
      <c r="AQ1524" s="105">
        <f>IF($AE$1335&gt;0,'Assumptions (Hydro)'!AH10*Model!$AE$1335*AVERAGE('Assumptions (Hydro)'!$AA$2:$AC$2)/10^9,0)</f>
        <v>0</v>
      </c>
      <c r="AR1524" s="105">
        <f>IF($AE$1335&gt;0,'Assumptions (Hydro)'!AI10*Model!$AE$1335*AVERAGE('Assumptions (Hydro)'!$AA$2:$AC$2)/10^9,0)</f>
        <v>0</v>
      </c>
      <c r="AS1524" s="105">
        <f>IF($AE$1335&gt;0,'Assumptions (Hydro)'!AJ10*Model!$AE$1335*AVERAGE('Assumptions (Hydro)'!$AA$2:$AC$2)/10^9,0)</f>
        <v>0</v>
      </c>
      <c r="AT1524" s="105">
        <f>IF($AE$1335&gt;0,'Assumptions (Hydro)'!AK10*Model!$AE$1335*AVERAGE('Assumptions (Hydro)'!$AA$2:$AC$2)/10^9,0)</f>
        <v>0</v>
      </c>
      <c r="AU1524" s="105"/>
      <c r="AV1524" s="105"/>
      <c r="AW1524" s="105"/>
      <c r="AX1524" s="105"/>
      <c r="AY1524" s="105"/>
      <c r="AZ1524" s="105"/>
      <c r="BA1524" s="105"/>
      <c r="BB1524" s="105"/>
      <c r="BC1524" s="105"/>
    </row>
    <row r="1525" spans="1:67" ht="15.75" hidden="1" customHeight="1" outlineLevel="1">
      <c r="A1525" s="413"/>
      <c r="B1525" s="99"/>
      <c r="C1525" s="99"/>
      <c r="D1525" s="99"/>
      <c r="E1525" s="99"/>
      <c r="F1525" s="99"/>
      <c r="G1525" s="99"/>
      <c r="H1525" s="99"/>
      <c r="I1525" s="99"/>
      <c r="J1525" s="99"/>
      <c r="K1525" s="99"/>
      <c r="L1525" s="99"/>
      <c r="M1525" s="99"/>
      <c r="N1525" s="99"/>
      <c r="O1525" s="99"/>
      <c r="P1525" s="99"/>
      <c r="Q1525" s="99"/>
      <c r="R1525" s="99"/>
      <c r="S1525" s="99"/>
      <c r="T1525" s="99"/>
      <c r="U1525" s="99"/>
      <c r="V1525" s="99"/>
      <c r="W1525" s="105"/>
      <c r="X1525" s="105"/>
      <c r="Y1525" s="105"/>
      <c r="Z1525" s="105"/>
      <c r="AA1525" s="105"/>
      <c r="AB1525" s="105"/>
      <c r="AC1525" s="105"/>
      <c r="AD1525" s="105"/>
      <c r="AE1525" s="105"/>
      <c r="AF1525" s="105">
        <f>IF($AF$1335&gt;0,'Assumptions (Hydro)'!V10*Model!$AF$1335*AVERAGE('Assumptions (Hydro)'!$AB$2:$AD$2)/10^9,0)</f>
        <v>0</v>
      </c>
      <c r="AG1525" s="105">
        <f>IF($AF$1335&gt;0,'Assumptions (Hydro)'!W10*Model!$AF$1335*AVERAGE('Assumptions (Hydro)'!$AB$2:$AD$2)/10^9,0)</f>
        <v>0</v>
      </c>
      <c r="AH1525" s="105">
        <f>IF($AF$1335&gt;0,'Assumptions (Hydro)'!X10*Model!$AF$1335*AVERAGE('Assumptions (Hydro)'!$AB$2:$AD$2)/10^9,0)</f>
        <v>0</v>
      </c>
      <c r="AI1525" s="105">
        <f>IF($AF$1335&gt;0,'Assumptions (Hydro)'!Y10*Model!$AF$1335*AVERAGE('Assumptions (Hydro)'!$AB$2:$AD$2)/10^9,0)</f>
        <v>0</v>
      </c>
      <c r="AJ1525" s="105">
        <f>IF($AF$1335&gt;0,'Assumptions (Hydro)'!Z10*Model!$AF$1335*AVERAGE('Assumptions (Hydro)'!$AB$2:$AD$2)/10^9,0)</f>
        <v>0</v>
      </c>
      <c r="AK1525" s="105">
        <f>IF($AF$1335&gt;0,'Assumptions (Hydro)'!AA10*Model!$AF$1335*AVERAGE('Assumptions (Hydro)'!$AB$2:$AD$2)/10^9,0)</f>
        <v>0</v>
      </c>
      <c r="AL1525" s="105">
        <f>IF($AF$1335&gt;0,'Assumptions (Hydro)'!AB10*Model!$AF$1335*AVERAGE('Assumptions (Hydro)'!$AB$2:$AD$2)/10^9,0)</f>
        <v>0</v>
      </c>
      <c r="AM1525" s="105">
        <f>IF($AF$1335&gt;0,'Assumptions (Hydro)'!AC10*Model!$AF$1335*AVERAGE('Assumptions (Hydro)'!$AB$2:$AD$2)/10^9,0)</f>
        <v>0</v>
      </c>
      <c r="AN1525" s="105">
        <f>IF($AF$1335&gt;0,'Assumptions (Hydro)'!AD10*Model!$AF$1335*AVERAGE('Assumptions (Hydro)'!$AB$2:$AD$2)/10^9,0)</f>
        <v>0</v>
      </c>
      <c r="AO1525" s="105">
        <f>IF($AF$1335&gt;0,'Assumptions (Hydro)'!AE10*Model!$AF$1335*AVERAGE('Assumptions (Hydro)'!$AB$2:$AD$2)/10^9,0)</f>
        <v>0</v>
      </c>
      <c r="AP1525" s="105">
        <f>IF($AF$1335&gt;0,'Assumptions (Hydro)'!AF10*Model!$AF$1335*AVERAGE('Assumptions (Hydro)'!$AB$2:$AD$2)/10^9,0)</f>
        <v>0</v>
      </c>
      <c r="AQ1525" s="105">
        <f>IF($AF$1335&gt;0,'Assumptions (Hydro)'!AG10*Model!$AF$1335*AVERAGE('Assumptions (Hydro)'!$AB$2:$AD$2)/10^9,0)</f>
        <v>0</v>
      </c>
      <c r="AR1525" s="105">
        <f>IF($AF$1335&gt;0,'Assumptions (Hydro)'!AH10*Model!$AF$1335*AVERAGE('Assumptions (Hydro)'!$AB$2:$AD$2)/10^9,0)</f>
        <v>0</v>
      </c>
      <c r="AS1525" s="105">
        <f>IF($AF$1335&gt;0,'Assumptions (Hydro)'!AI10*Model!$AF$1335*AVERAGE('Assumptions (Hydro)'!$AB$2:$AD$2)/10^9,0)</f>
        <v>0</v>
      </c>
      <c r="AT1525" s="105">
        <f>IF($AF$1335&gt;0,'Assumptions (Hydro)'!AJ10*Model!$AF$1335*AVERAGE('Assumptions (Hydro)'!$AB$2:$AD$2)/10^9,0)</f>
        <v>0</v>
      </c>
      <c r="AU1525" s="105">
        <f>IF($AF$1335&gt;0,'Assumptions (Hydro)'!AK10*Model!$AF$1335*AVERAGE('Assumptions (Hydro)'!$AB$2:$AD$2)/10^9,0)</f>
        <v>0</v>
      </c>
      <c r="AV1525" s="105"/>
      <c r="AW1525" s="105"/>
      <c r="AX1525" s="105"/>
      <c r="AY1525" s="105"/>
      <c r="AZ1525" s="105"/>
      <c r="BA1525" s="105"/>
      <c r="BB1525" s="105"/>
      <c r="BC1525" s="105"/>
      <c r="BD1525" s="105"/>
    </row>
    <row r="1526" spans="1:67" ht="15.75" hidden="1" customHeight="1" outlineLevel="1">
      <c r="A1526" s="413"/>
      <c r="B1526" s="99"/>
      <c r="C1526" s="99"/>
      <c r="D1526" s="99"/>
      <c r="E1526" s="99"/>
      <c r="F1526" s="99"/>
      <c r="G1526" s="99"/>
      <c r="H1526" s="99"/>
      <c r="I1526" s="99"/>
      <c r="J1526" s="99"/>
      <c r="K1526" s="99"/>
      <c r="L1526" s="99"/>
      <c r="M1526" s="99"/>
      <c r="N1526" s="99"/>
      <c r="O1526" s="99"/>
      <c r="P1526" s="99"/>
      <c r="Q1526" s="99"/>
      <c r="R1526" s="99"/>
      <c r="S1526" s="99"/>
      <c r="T1526" s="99"/>
      <c r="U1526" s="99"/>
      <c r="V1526" s="99"/>
      <c r="W1526" s="105"/>
      <c r="X1526" s="105"/>
      <c r="Y1526" s="105"/>
      <c r="Z1526" s="105"/>
      <c r="AA1526" s="105"/>
      <c r="AB1526" s="105"/>
      <c r="AC1526" s="105"/>
      <c r="AD1526" s="105"/>
      <c r="AE1526" s="105"/>
      <c r="AF1526" s="105"/>
      <c r="AG1526" s="105">
        <f>IF($AG$1335&gt;0,'Assumptions (Hydro)'!V10*Model!$AG$1335*AVERAGE('Assumptions (Hydro)'!$AC$2:$AE$2)/10^9,0)</f>
        <v>0</v>
      </c>
      <c r="AH1526" s="105">
        <f>IF($AG$1335&gt;0,'Assumptions (Hydro)'!W10*Model!$AG$1335*AVERAGE('Assumptions (Hydro)'!$AC$2:$AE$2)/10^9,0)</f>
        <v>0</v>
      </c>
      <c r="AI1526" s="105">
        <f>IF($AG$1335&gt;0,'Assumptions (Hydro)'!X10*Model!$AG$1335*AVERAGE('Assumptions (Hydro)'!$AC$2:$AE$2)/10^9,0)</f>
        <v>0</v>
      </c>
      <c r="AJ1526" s="105">
        <f>IF($AG$1335&gt;0,'Assumptions (Hydro)'!Y10*Model!$AG$1335*AVERAGE('Assumptions (Hydro)'!$AC$2:$AE$2)/10^9,0)</f>
        <v>0</v>
      </c>
      <c r="AK1526" s="105">
        <f>IF($AG$1335&gt;0,'Assumptions (Hydro)'!Z10*Model!$AG$1335*AVERAGE('Assumptions (Hydro)'!$AC$2:$AE$2)/10^9,0)</f>
        <v>0</v>
      </c>
      <c r="AL1526" s="105">
        <f>IF($AG$1335&gt;0,'Assumptions (Hydro)'!AA10*Model!$AG$1335*AVERAGE('Assumptions (Hydro)'!$AC$2:$AE$2)/10^9,0)</f>
        <v>0</v>
      </c>
      <c r="AM1526" s="105">
        <f>IF($AG$1335&gt;0,'Assumptions (Hydro)'!AB10*Model!$AG$1335*AVERAGE('Assumptions (Hydro)'!$AC$2:$AE$2)/10^9,0)</f>
        <v>0</v>
      </c>
      <c r="AN1526" s="105">
        <f>IF($AG$1335&gt;0,'Assumptions (Hydro)'!AC10*Model!$AG$1335*AVERAGE('Assumptions (Hydro)'!$AC$2:$AE$2)/10^9,0)</f>
        <v>0</v>
      </c>
      <c r="AO1526" s="105">
        <f>IF($AG$1335&gt;0,'Assumptions (Hydro)'!AD10*Model!$AG$1335*AVERAGE('Assumptions (Hydro)'!$AC$2:$AE$2)/10^9,0)</f>
        <v>0</v>
      </c>
      <c r="AP1526" s="105">
        <f>IF($AG$1335&gt;0,'Assumptions (Hydro)'!AE10*Model!$AG$1335*AVERAGE('Assumptions (Hydro)'!$AC$2:$AE$2)/10^9,0)</f>
        <v>0</v>
      </c>
      <c r="AQ1526" s="105">
        <f>IF($AG$1335&gt;0,'Assumptions (Hydro)'!AF10*Model!$AG$1335*AVERAGE('Assumptions (Hydro)'!$AC$2:$AE$2)/10^9,0)</f>
        <v>0</v>
      </c>
      <c r="AR1526" s="105">
        <f>IF($AG$1335&gt;0,'Assumptions (Hydro)'!AG10*Model!$AG$1335*AVERAGE('Assumptions (Hydro)'!$AC$2:$AE$2)/10^9,0)</f>
        <v>0</v>
      </c>
      <c r="AS1526" s="105">
        <f>IF($AG$1335&gt;0,'Assumptions (Hydro)'!AH10*Model!$AG$1335*AVERAGE('Assumptions (Hydro)'!$AC$2:$AE$2)/10^9,0)</f>
        <v>0</v>
      </c>
      <c r="AT1526" s="105">
        <f>IF($AG$1335&gt;0,'Assumptions (Hydro)'!AI10*Model!$AG$1335*AVERAGE('Assumptions (Hydro)'!$AC$2:$AE$2)/10^9,0)</f>
        <v>0</v>
      </c>
      <c r="AU1526" s="105">
        <f>IF($AG$1335&gt;0,'Assumptions (Hydro)'!AJ10*Model!$AG$1335*AVERAGE('Assumptions (Hydro)'!$AC$2:$AE$2)/10^9,0)</f>
        <v>0</v>
      </c>
      <c r="AV1526" s="105">
        <f>IF($AG$1335&gt;0,'Assumptions (Hydro)'!AK10*Model!$AG$1335*AVERAGE('Assumptions (Hydro)'!$AC$2:$AE$2)/10^9,0)</f>
        <v>0</v>
      </c>
      <c r="AW1526" s="105"/>
      <c r="AX1526" s="105"/>
      <c r="AY1526" s="105"/>
      <c r="AZ1526" s="105"/>
      <c r="BA1526" s="105"/>
      <c r="BB1526" s="105"/>
      <c r="BC1526" s="105"/>
      <c r="BD1526" s="105"/>
      <c r="BE1526" s="105"/>
    </row>
    <row r="1527" spans="1:67" ht="15.75" hidden="1" customHeight="1" outlineLevel="1">
      <c r="A1527" s="413"/>
      <c r="B1527" s="99"/>
      <c r="C1527" s="99"/>
      <c r="D1527" s="99"/>
      <c r="E1527" s="99"/>
      <c r="F1527" s="99"/>
      <c r="G1527" s="99"/>
      <c r="H1527" s="99"/>
      <c r="I1527" s="99"/>
      <c r="J1527" s="99"/>
      <c r="K1527" s="99"/>
      <c r="L1527" s="99"/>
      <c r="M1527" s="99"/>
      <c r="N1527" s="99"/>
      <c r="O1527" s="99"/>
      <c r="P1527" s="99"/>
      <c r="Q1527" s="99"/>
      <c r="R1527" s="99"/>
      <c r="S1527" s="99"/>
      <c r="T1527" s="99"/>
      <c r="U1527" s="99"/>
      <c r="V1527" s="99"/>
      <c r="W1527" s="105"/>
      <c r="X1527" s="105"/>
      <c r="Y1527" s="105"/>
      <c r="Z1527" s="105"/>
      <c r="AA1527" s="105"/>
      <c r="AB1527" s="105"/>
      <c r="AC1527" s="105"/>
      <c r="AD1527" s="105"/>
      <c r="AE1527" s="105"/>
      <c r="AF1527" s="105"/>
      <c r="AG1527" s="105"/>
      <c r="AH1527" s="105">
        <f>IF($AH$1335&gt;0,'Assumptions (Hydro)'!V10*Model!$AH$1335*AVERAGE('Assumptions (Hydro)'!$AD$2:$AF$2)/10^9,0)</f>
        <v>0</v>
      </c>
      <c r="AI1527" s="105">
        <f>IF($AH$1335&gt;0,'Assumptions (Hydro)'!W10*Model!$AH$1335*AVERAGE('Assumptions (Hydro)'!$AD$2:$AF$2)/10^9,0)</f>
        <v>0</v>
      </c>
      <c r="AJ1527" s="105">
        <f>IF($AH$1335&gt;0,'Assumptions (Hydro)'!X10*Model!$AH$1335*AVERAGE('Assumptions (Hydro)'!$AD$2:$AF$2)/10^9,0)</f>
        <v>0</v>
      </c>
      <c r="AK1527" s="105">
        <f>IF($AH$1335&gt;0,'Assumptions (Hydro)'!Y10*Model!$AH$1335*AVERAGE('Assumptions (Hydro)'!$AD$2:$AF$2)/10^9,0)</f>
        <v>0</v>
      </c>
      <c r="AL1527" s="105">
        <f>IF($AH$1335&gt;0,'Assumptions (Hydro)'!Z10*Model!$AH$1335*AVERAGE('Assumptions (Hydro)'!$AD$2:$AF$2)/10^9,0)</f>
        <v>0</v>
      </c>
      <c r="AM1527" s="105">
        <f>IF($AH$1335&gt;0,'Assumptions (Hydro)'!AA10*Model!$AH$1335*AVERAGE('Assumptions (Hydro)'!$AD$2:$AF$2)/10^9,0)</f>
        <v>0</v>
      </c>
      <c r="AN1527" s="105">
        <f>IF($AH$1335&gt;0,'Assumptions (Hydro)'!AB10*Model!$AH$1335*AVERAGE('Assumptions (Hydro)'!$AD$2:$AF$2)/10^9,0)</f>
        <v>0</v>
      </c>
      <c r="AO1527" s="105">
        <f>IF($AH$1335&gt;0,'Assumptions (Hydro)'!AC10*Model!$AH$1335*AVERAGE('Assumptions (Hydro)'!$AD$2:$AF$2)/10^9,0)</f>
        <v>0</v>
      </c>
      <c r="AP1527" s="105">
        <f>IF($AH$1335&gt;0,'Assumptions (Hydro)'!AD10*Model!$AH$1335*AVERAGE('Assumptions (Hydro)'!$AD$2:$AF$2)/10^9,0)</f>
        <v>0</v>
      </c>
      <c r="AQ1527" s="105">
        <f>IF($AH$1335&gt;0,'Assumptions (Hydro)'!AE10*Model!$AH$1335*AVERAGE('Assumptions (Hydro)'!$AD$2:$AF$2)/10^9,0)</f>
        <v>0</v>
      </c>
      <c r="AR1527" s="105">
        <f>IF($AH$1335&gt;0,'Assumptions (Hydro)'!AF10*Model!$AH$1335*AVERAGE('Assumptions (Hydro)'!$AD$2:$AF$2)/10^9,0)</f>
        <v>0</v>
      </c>
      <c r="AS1527" s="105">
        <f>IF($AH$1335&gt;0,'Assumptions (Hydro)'!AG10*Model!$AH$1335*AVERAGE('Assumptions (Hydro)'!$AD$2:$AF$2)/10^9,0)</f>
        <v>0</v>
      </c>
      <c r="AT1527" s="105">
        <f>IF($AH$1335&gt;0,'Assumptions (Hydro)'!AH10*Model!$AH$1335*AVERAGE('Assumptions (Hydro)'!$AD$2:$AF$2)/10^9,0)</f>
        <v>0</v>
      </c>
      <c r="AU1527" s="105">
        <f>IF($AH$1335&gt;0,'Assumptions (Hydro)'!AI10*Model!$AH$1335*AVERAGE('Assumptions (Hydro)'!$AD$2:$AF$2)/10^9,0)</f>
        <v>0</v>
      </c>
      <c r="AV1527" s="105">
        <f>IF($AH$1335&gt;0,'Assumptions (Hydro)'!AJ10*Model!$AH$1335*AVERAGE('Assumptions (Hydro)'!$AD$2:$AF$2)/10^9,0)</f>
        <v>0</v>
      </c>
      <c r="AW1527" s="105">
        <f>IF($AH$1335&gt;0,'Assumptions (Hydro)'!AK10*Model!$AH$1335*AVERAGE('Assumptions (Hydro)'!$AD$2:$AF$2)/10^9,0)</f>
        <v>0</v>
      </c>
      <c r="AX1527" s="105"/>
      <c r="AY1527" s="105"/>
      <c r="AZ1527" s="105"/>
      <c r="BA1527" s="105"/>
      <c r="BB1527" s="105"/>
      <c r="BC1527" s="105"/>
      <c r="BD1527" s="105"/>
      <c r="BE1527" s="105"/>
      <c r="BF1527" s="105"/>
    </row>
    <row r="1528" spans="1:67" ht="15.75" hidden="1" customHeight="1" outlineLevel="1">
      <c r="A1528" s="413"/>
      <c r="B1528" s="99"/>
      <c r="C1528" s="99"/>
      <c r="D1528" s="99"/>
      <c r="E1528" s="99"/>
      <c r="F1528" s="99"/>
      <c r="G1528" s="99"/>
      <c r="H1528" s="99"/>
      <c r="I1528" s="99"/>
      <c r="J1528" s="99"/>
      <c r="K1528" s="99"/>
      <c r="L1528" s="99"/>
      <c r="M1528" s="99"/>
      <c r="N1528" s="99"/>
      <c r="O1528" s="99"/>
      <c r="P1528" s="99"/>
      <c r="Q1528" s="99"/>
      <c r="R1528" s="99"/>
      <c r="S1528" s="99"/>
      <c r="T1528" s="99"/>
      <c r="U1528" s="99"/>
      <c r="V1528" s="99"/>
      <c r="W1528" s="105"/>
      <c r="X1528" s="105"/>
      <c r="Y1528" s="105"/>
      <c r="Z1528" s="105"/>
      <c r="AA1528" s="105"/>
      <c r="AB1528" s="105"/>
      <c r="AC1528" s="105"/>
      <c r="AD1528" s="105"/>
      <c r="AE1528" s="105"/>
      <c r="AF1528" s="105"/>
      <c r="AG1528" s="105"/>
      <c r="AH1528" s="105"/>
      <c r="AI1528" s="105">
        <f>IF($AI$1335&gt;0,'Assumptions (Hydro)'!V10*Model!$AI$1335*AVERAGE('Assumptions (Hydro)'!$AE$2:$AG$2)/10^9,0)</f>
        <v>0</v>
      </c>
      <c r="AJ1528" s="105">
        <f>IF($AI$1335&gt;0,'Assumptions (Hydro)'!W10*Model!$AI$1335*AVERAGE('Assumptions (Hydro)'!$AE$2:$AG$2)/10^9,0)</f>
        <v>0</v>
      </c>
      <c r="AK1528" s="105">
        <f>IF($AI$1335&gt;0,'Assumptions (Hydro)'!X10*Model!$AI$1335*AVERAGE('Assumptions (Hydro)'!$AE$2:$AG$2)/10^9,0)</f>
        <v>0</v>
      </c>
      <c r="AL1528" s="105">
        <f>IF($AI$1335&gt;0,'Assumptions (Hydro)'!Y10*Model!$AI$1335*AVERAGE('Assumptions (Hydro)'!$AE$2:$AG$2)/10^9,0)</f>
        <v>0</v>
      </c>
      <c r="AM1528" s="105">
        <f>IF($AI$1335&gt;0,'Assumptions (Hydro)'!Z10*Model!$AI$1335*AVERAGE('Assumptions (Hydro)'!$AE$2:$AG$2)/10^9,0)</f>
        <v>0</v>
      </c>
      <c r="AN1528" s="105">
        <f>IF($AI$1335&gt;0,'Assumptions (Hydro)'!AA10*Model!$AI$1335*AVERAGE('Assumptions (Hydro)'!$AE$2:$AG$2)/10^9,0)</f>
        <v>0</v>
      </c>
      <c r="AO1528" s="105">
        <f>IF($AI$1335&gt;0,'Assumptions (Hydro)'!AB10*Model!$AI$1335*AVERAGE('Assumptions (Hydro)'!$AE$2:$AG$2)/10^9,0)</f>
        <v>0</v>
      </c>
      <c r="AP1528" s="105">
        <f>IF($AI$1335&gt;0,'Assumptions (Hydro)'!AC10*Model!$AI$1335*AVERAGE('Assumptions (Hydro)'!$AE$2:$AG$2)/10^9,0)</f>
        <v>0</v>
      </c>
      <c r="AQ1528" s="105">
        <f>IF($AI$1335&gt;0,'Assumptions (Hydro)'!AD10*Model!$AI$1335*AVERAGE('Assumptions (Hydro)'!$AE$2:$AG$2)/10^9,0)</f>
        <v>0</v>
      </c>
      <c r="AR1528" s="105">
        <f>IF($AI$1335&gt;0,'Assumptions (Hydro)'!AE10*Model!$AI$1335*AVERAGE('Assumptions (Hydro)'!$AE$2:$AG$2)/10^9,0)</f>
        <v>0</v>
      </c>
      <c r="AS1528" s="105">
        <f>IF($AI$1335&gt;0,'Assumptions (Hydro)'!AF10*Model!$AI$1335*AVERAGE('Assumptions (Hydro)'!$AE$2:$AG$2)/10^9,0)</f>
        <v>0</v>
      </c>
      <c r="AT1528" s="105">
        <f>IF($AI$1335&gt;0,'Assumptions (Hydro)'!AG10*Model!$AI$1335*AVERAGE('Assumptions (Hydro)'!$AE$2:$AG$2)/10^9,0)</f>
        <v>0</v>
      </c>
      <c r="AU1528" s="105">
        <f>IF($AI$1335&gt;0,'Assumptions (Hydro)'!AH10*Model!$AI$1335*AVERAGE('Assumptions (Hydro)'!$AE$2:$AG$2)/10^9,0)</f>
        <v>0</v>
      </c>
      <c r="AV1528" s="105">
        <f>IF($AI$1335&gt;0,'Assumptions (Hydro)'!AI10*Model!$AI$1335*AVERAGE('Assumptions (Hydro)'!$AE$2:$AG$2)/10^9,0)</f>
        <v>0</v>
      </c>
      <c r="AW1528" s="105">
        <f>IF($AI$1335&gt;0,'Assumptions (Hydro)'!AJ10*Model!$AI$1335*AVERAGE('Assumptions (Hydro)'!$AE$2:$AG$2)/10^9,0)</f>
        <v>0</v>
      </c>
      <c r="AX1528" s="105">
        <f>IF($AI$1335&gt;0,'Assumptions (Hydro)'!AK10*Model!$AI$1335*AVERAGE('Assumptions (Hydro)'!$AE$2:$AG$2)/10^9,0)</f>
        <v>0</v>
      </c>
      <c r="AY1528" s="105"/>
      <c r="AZ1528" s="105"/>
      <c r="BA1528" s="105"/>
      <c r="BB1528" s="105"/>
      <c r="BC1528" s="105"/>
      <c r="BD1528" s="105"/>
      <c r="BE1528" s="105"/>
      <c r="BF1528" s="105"/>
      <c r="BG1528" s="105"/>
    </row>
    <row r="1529" spans="1:67" ht="15.75" hidden="1" customHeight="1" outlineLevel="1">
      <c r="A1529" s="413"/>
      <c r="B1529" s="99"/>
      <c r="C1529" s="99"/>
      <c r="D1529" s="99"/>
      <c r="E1529" s="99"/>
      <c r="F1529" s="99"/>
      <c r="G1529" s="99"/>
      <c r="H1529" s="99"/>
      <c r="I1529" s="99"/>
      <c r="J1529" s="99"/>
      <c r="K1529" s="99"/>
      <c r="L1529" s="99"/>
      <c r="M1529" s="99"/>
      <c r="N1529" s="99"/>
      <c r="O1529" s="99"/>
      <c r="P1529" s="99"/>
      <c r="Q1529" s="99"/>
      <c r="R1529" s="99"/>
      <c r="S1529" s="99"/>
      <c r="T1529" s="99"/>
      <c r="U1529" s="99"/>
      <c r="V1529" s="99"/>
      <c r="W1529" s="105"/>
      <c r="X1529" s="105"/>
      <c r="Y1529" s="105"/>
      <c r="Z1529" s="105"/>
      <c r="AA1529" s="105"/>
      <c r="AB1529" s="91"/>
      <c r="AC1529" s="105"/>
      <c r="AD1529" s="105"/>
      <c r="AE1529" s="105"/>
      <c r="AF1529" s="105"/>
      <c r="AG1529" s="105"/>
      <c r="AH1529" s="105"/>
      <c r="AI1529" s="105"/>
      <c r="AJ1529" s="91">
        <f>IF($AJ$1335&gt;0,'Assumptions (Hydro)'!V10*Model!$AJ$1335*AVERAGE('Assumptions (Hydro)'!$AF$2:$AH$2)/10^9,0)</f>
        <v>0</v>
      </c>
      <c r="AK1529" s="91">
        <f>IF($AJ$1335&gt;0,'Assumptions (Hydro)'!W10*Model!$AJ$1335*AVERAGE('Assumptions (Hydro)'!$AF$2:$AH$2)/10^9,0)</f>
        <v>0</v>
      </c>
      <c r="AL1529" s="91">
        <f>IF($AJ$1335&gt;0,'Assumptions (Hydro)'!X10*Model!$AJ$1335*AVERAGE('Assumptions (Hydro)'!$AF$2:$AH$2)/10^9,0)</f>
        <v>0</v>
      </c>
      <c r="AM1529" s="91">
        <f>IF($AJ$1335&gt;0,'Assumptions (Hydro)'!Y10*Model!$AJ$1335*AVERAGE('Assumptions (Hydro)'!$AF$2:$AH$2)/10^9,0)</f>
        <v>0</v>
      </c>
      <c r="AN1529" s="91">
        <f>IF($AJ$1335&gt;0,'Assumptions (Hydro)'!Z10*Model!$AJ$1335*AVERAGE('Assumptions (Hydro)'!$AF$2:$AH$2)/10^9,0)</f>
        <v>0</v>
      </c>
      <c r="AO1529" s="91">
        <f>IF($AJ$1335&gt;0,'Assumptions (Hydro)'!AA10*Model!$AJ$1335*AVERAGE('Assumptions (Hydro)'!$AF$2:$AH$2)/10^9,0)</f>
        <v>0</v>
      </c>
      <c r="AP1529" s="91">
        <f>IF($AJ$1335&gt;0,'Assumptions (Hydro)'!AB10*Model!$AJ$1335*AVERAGE('Assumptions (Hydro)'!$AF$2:$AH$2)/10^9,0)</f>
        <v>0</v>
      </c>
      <c r="AQ1529" s="91">
        <f>IF($AJ$1335&gt;0,'Assumptions (Hydro)'!AC10*Model!$AJ$1335*AVERAGE('Assumptions (Hydro)'!$AF$2:$AH$2)/10^9,0)</f>
        <v>0</v>
      </c>
      <c r="AR1529" s="91">
        <f>IF($AJ$1335&gt;0,'Assumptions (Hydro)'!AD10*Model!$AJ$1335*AVERAGE('Assumptions (Hydro)'!$AF$2:$AH$2)/10^9,0)</f>
        <v>0</v>
      </c>
      <c r="AS1529" s="91">
        <f>IF($AJ$1335&gt;0,'Assumptions (Hydro)'!AE10*Model!$AJ$1335*AVERAGE('Assumptions (Hydro)'!$AF$2:$AH$2)/10^9,0)</f>
        <v>0</v>
      </c>
      <c r="AT1529" s="91">
        <f>IF($AJ$1335&gt;0,'Assumptions (Hydro)'!AF10*Model!$AJ$1335*AVERAGE('Assumptions (Hydro)'!$AF$2:$AH$2)/10^9,0)</f>
        <v>0</v>
      </c>
      <c r="AU1529" s="91">
        <f>IF($AJ$1335&gt;0,'Assumptions (Hydro)'!AG10*Model!$AJ$1335*AVERAGE('Assumptions (Hydro)'!$AF$2:$AH$2)/10^9,0)</f>
        <v>0</v>
      </c>
      <c r="AV1529" s="91">
        <f>IF($AJ$1335&gt;0,'Assumptions (Hydro)'!AH10*Model!$AJ$1335*AVERAGE('Assumptions (Hydro)'!$AF$2:$AH$2)/10^9,0)</f>
        <v>0</v>
      </c>
      <c r="AW1529" s="91">
        <f>IF($AJ$1335&gt;0,'Assumptions (Hydro)'!AI10*Model!$AJ$1335*AVERAGE('Assumptions (Hydro)'!$AF$2:$AH$2)/10^9,0)</f>
        <v>0</v>
      </c>
      <c r="AX1529" s="91">
        <f>IF($AJ$1335&gt;0,'Assumptions (Hydro)'!AJ10*Model!$AJ$1335*AVERAGE('Assumptions (Hydro)'!$AF$2:$AH$2)/10^9,0)</f>
        <v>0</v>
      </c>
      <c r="AY1529" s="91">
        <f>IF($AJ$1335&gt;0,'Assumptions (Hydro)'!AK10*Model!$AJ$1335*AVERAGE('Assumptions (Hydro)'!$AF$2:$AH$2)/10^9,0)</f>
        <v>0</v>
      </c>
      <c r="AZ1529" s="91"/>
      <c r="BA1529" s="91"/>
      <c r="BB1529" s="91"/>
      <c r="BC1529" s="91"/>
      <c r="BD1529" s="91"/>
      <c r="BE1529" s="91"/>
      <c r="BF1529" s="91"/>
      <c r="BG1529" s="91"/>
      <c r="BH1529" s="91"/>
    </row>
    <row r="1530" spans="1:67" ht="15.75" hidden="1" customHeight="1" outlineLevel="1">
      <c r="A1530" s="413"/>
      <c r="B1530" s="99"/>
      <c r="C1530" s="99"/>
      <c r="D1530" s="99"/>
      <c r="E1530" s="99"/>
      <c r="F1530" s="99"/>
      <c r="G1530" s="99"/>
      <c r="H1530" s="99"/>
      <c r="I1530" s="99"/>
      <c r="J1530" s="99"/>
      <c r="K1530" s="99"/>
      <c r="L1530" s="99"/>
      <c r="M1530" s="99"/>
      <c r="N1530" s="99"/>
      <c r="O1530" s="99"/>
      <c r="P1530" s="99"/>
      <c r="Q1530" s="99"/>
      <c r="R1530" s="99"/>
      <c r="S1530" s="99"/>
      <c r="T1530" s="99"/>
      <c r="U1530" s="99"/>
      <c r="V1530" s="99"/>
      <c r="W1530" s="105"/>
      <c r="X1530" s="105"/>
      <c r="Y1530" s="105"/>
      <c r="Z1530" s="105"/>
      <c r="AA1530" s="105"/>
      <c r="AB1530" s="105"/>
      <c r="AC1530" s="105"/>
      <c r="AD1530" s="105"/>
      <c r="AE1530" s="105"/>
      <c r="AF1530" s="105"/>
      <c r="AG1530" s="105"/>
      <c r="AH1530" s="105"/>
      <c r="AI1530" s="105"/>
      <c r="AJ1530" s="171"/>
      <c r="AK1530" s="91">
        <f>IF($AK$1335&gt;0,'Assumptions (Hydro)'!V10*Model!$AK$1335*AVERAGE('Assumptions (Hydro)'!$AG$2:$AI$2)/10^9,0)</f>
        <v>0</v>
      </c>
      <c r="AL1530" s="91">
        <f>IF($AK$1335&gt;0,'Assumptions (Hydro)'!W10*Model!$AK$1335*AVERAGE('Assumptions (Hydro)'!$AG$2:$AI$2)/10^9,0)</f>
        <v>0</v>
      </c>
      <c r="AM1530" s="91">
        <f>IF($AK$1335&gt;0,'Assumptions (Hydro)'!X10*Model!$AK$1335*AVERAGE('Assumptions (Hydro)'!$AG$2:$AI$2)/10^9,0)</f>
        <v>0</v>
      </c>
      <c r="AN1530" s="91">
        <f>IF($AK$1335&gt;0,'Assumptions (Hydro)'!Y10*Model!$AK$1335*AVERAGE('Assumptions (Hydro)'!$AG$2:$AI$2)/10^9,0)</f>
        <v>0</v>
      </c>
      <c r="AO1530" s="91">
        <f>IF($AK$1335&gt;0,'Assumptions (Hydro)'!Z10*Model!$AK$1335*AVERAGE('Assumptions (Hydro)'!$AG$2:$AI$2)/10^9,0)</f>
        <v>0</v>
      </c>
      <c r="AP1530" s="91">
        <f>IF($AK$1335&gt;0,'Assumptions (Hydro)'!AA10*Model!$AK$1335*AVERAGE('Assumptions (Hydro)'!$AG$2:$AI$2)/10^9,0)</f>
        <v>0</v>
      </c>
      <c r="AQ1530" s="91">
        <f>IF($AK$1335&gt;0,'Assumptions (Hydro)'!AB10*Model!$AK$1335*AVERAGE('Assumptions (Hydro)'!$AG$2:$AI$2)/10^9,0)</f>
        <v>0</v>
      </c>
      <c r="AR1530" s="91">
        <f>IF($AK$1335&gt;0,'Assumptions (Hydro)'!AC10*Model!$AK$1335*AVERAGE('Assumptions (Hydro)'!$AG$2:$AI$2)/10^9,0)</f>
        <v>0</v>
      </c>
      <c r="AS1530" s="91">
        <f>IF($AK$1335&gt;0,'Assumptions (Hydro)'!AD10*Model!$AK$1335*AVERAGE('Assumptions (Hydro)'!$AG$2:$AI$2)/10^9,0)</f>
        <v>0</v>
      </c>
      <c r="AT1530" s="91">
        <f>IF($AK$1335&gt;0,'Assumptions (Hydro)'!AE10*Model!$AK$1335*AVERAGE('Assumptions (Hydro)'!$AG$2:$AI$2)/10^9,0)</f>
        <v>0</v>
      </c>
      <c r="AU1530" s="91">
        <f>IF($AK$1335&gt;0,'Assumptions (Hydro)'!AF10*Model!$AK$1335*AVERAGE('Assumptions (Hydro)'!$AG$2:$AI$2)/10^9,0)</f>
        <v>0</v>
      </c>
      <c r="AV1530" s="91">
        <f>IF($AK$1335&gt;0,'Assumptions (Hydro)'!AG10*Model!$AK$1335*AVERAGE('Assumptions (Hydro)'!$AG$2:$AI$2)/10^9,0)</f>
        <v>0</v>
      </c>
      <c r="AW1530" s="91">
        <f>IF($AK$1335&gt;0,'Assumptions (Hydro)'!AH10*Model!$AK$1335*AVERAGE('Assumptions (Hydro)'!$AG$2:$AI$2)/10^9,0)</f>
        <v>0</v>
      </c>
      <c r="AX1530" s="91">
        <f>IF($AK$1335&gt;0,'Assumptions (Hydro)'!AI10*Model!$AK$1335*AVERAGE('Assumptions (Hydro)'!$AG$2:$AI$2)/10^9,0)</f>
        <v>0</v>
      </c>
      <c r="AY1530" s="91">
        <f>IF($AK$1335&gt;0,'Assumptions (Hydro)'!AJ10*Model!$AK$1335*AVERAGE('Assumptions (Hydro)'!$AG$2:$AI$2)/10^9,0)</f>
        <v>0</v>
      </c>
      <c r="AZ1530" s="91">
        <f>IF($AK$1335&gt;0,'Assumptions (Hydro)'!AK10*Model!$AK$1335*AVERAGE('Assumptions (Hydro)'!$AG$2:$AI$2)/10^9,0)</f>
        <v>0</v>
      </c>
      <c r="BA1530" s="91"/>
      <c r="BB1530" s="91"/>
      <c r="BC1530" s="91"/>
      <c r="BD1530" s="91"/>
      <c r="BE1530" s="91"/>
      <c r="BF1530" s="91"/>
      <c r="BG1530" s="91"/>
      <c r="BH1530" s="91"/>
      <c r="BI1530" s="91"/>
    </row>
    <row r="1531" spans="1:67" ht="15.75" hidden="1" customHeight="1" outlineLevel="1">
      <c r="A1531" s="413"/>
      <c r="B1531" s="99"/>
      <c r="C1531" s="99"/>
      <c r="D1531" s="99"/>
      <c r="E1531" s="99"/>
      <c r="F1531" s="99"/>
      <c r="G1531" s="99"/>
      <c r="H1531" s="99"/>
      <c r="I1531" s="99"/>
      <c r="J1531" s="99"/>
      <c r="K1531" s="99"/>
      <c r="L1531" s="99"/>
      <c r="M1531" s="99"/>
      <c r="N1531" s="99"/>
      <c r="O1531" s="99"/>
      <c r="P1531" s="99"/>
      <c r="Q1531" s="99"/>
      <c r="R1531" s="99"/>
      <c r="S1531" s="99"/>
      <c r="T1531" s="99"/>
      <c r="U1531" s="99"/>
      <c r="V1531" s="99"/>
      <c r="W1531" s="105"/>
      <c r="X1531" s="105"/>
      <c r="Y1531" s="105"/>
      <c r="Z1531" s="105"/>
      <c r="AA1531" s="105"/>
      <c r="AB1531" s="105"/>
      <c r="AC1531" s="105"/>
      <c r="AD1531" s="105"/>
      <c r="AE1531" s="105"/>
      <c r="AF1531" s="105"/>
      <c r="AG1531" s="105"/>
      <c r="AH1531" s="105"/>
      <c r="AI1531" s="105"/>
      <c r="AJ1531" s="171"/>
      <c r="AK1531" s="105"/>
      <c r="AL1531" s="91">
        <f>IF($AL$1335&gt;0,'Assumptions (Hydro)'!V10*Model!$AL$1335*AVERAGE('Assumptions (Hydro)'!$AH$2:$AJ$2)/10^9,0)</f>
        <v>0</v>
      </c>
      <c r="AM1531" s="91">
        <f>IF($AL$1335&gt;0,'Assumptions (Hydro)'!W10*Model!$AL$1335*AVERAGE('Assumptions (Hydro)'!$AH$2:$AJ$2)/10^9,0)</f>
        <v>0</v>
      </c>
      <c r="AN1531" s="91">
        <f>IF($AL$1335&gt;0,'Assumptions (Hydro)'!X10*Model!$AL$1335*AVERAGE('Assumptions (Hydro)'!$AH$2:$AJ$2)/10^9,0)</f>
        <v>0</v>
      </c>
      <c r="AO1531" s="91">
        <f>IF($AL$1335&gt;0,'Assumptions (Hydro)'!Y10*Model!$AL$1335*AVERAGE('Assumptions (Hydro)'!$AH$2:$AJ$2)/10^9,0)</f>
        <v>0</v>
      </c>
      <c r="AP1531" s="91">
        <f>IF($AL$1335&gt;0,'Assumptions (Hydro)'!Z10*Model!$AL$1335*AVERAGE('Assumptions (Hydro)'!$AH$2:$AJ$2)/10^9,0)</f>
        <v>0</v>
      </c>
      <c r="AQ1531" s="91">
        <f>IF($AL$1335&gt;0,'Assumptions (Hydro)'!AA10*Model!$AL$1335*AVERAGE('Assumptions (Hydro)'!$AH$2:$AJ$2)/10^9,0)</f>
        <v>0</v>
      </c>
      <c r="AR1531" s="91">
        <f>IF($AL$1335&gt;0,'Assumptions (Hydro)'!AB10*Model!$AL$1335*AVERAGE('Assumptions (Hydro)'!$AH$2:$AJ$2)/10^9,0)</f>
        <v>0</v>
      </c>
      <c r="AS1531" s="91">
        <f>IF($AL$1335&gt;0,'Assumptions (Hydro)'!AC10*Model!$AL$1335*AVERAGE('Assumptions (Hydro)'!$AH$2:$AJ$2)/10^9,0)</f>
        <v>0</v>
      </c>
      <c r="AT1531" s="91">
        <f>IF($AL$1335&gt;0,'Assumptions (Hydro)'!AD10*Model!$AL$1335*AVERAGE('Assumptions (Hydro)'!$AH$2:$AJ$2)/10^9,0)</f>
        <v>0</v>
      </c>
      <c r="AU1531" s="91">
        <f>IF($AL$1335&gt;0,'Assumptions (Hydro)'!AE10*Model!$AL$1335*AVERAGE('Assumptions (Hydro)'!$AH$2:$AJ$2)/10^9,0)</f>
        <v>0</v>
      </c>
      <c r="AV1531" s="91">
        <f>IF($AL$1335&gt;0,'Assumptions (Hydro)'!AF10*Model!$AL$1335*AVERAGE('Assumptions (Hydro)'!$AH$2:$AJ$2)/10^9,0)</f>
        <v>0</v>
      </c>
      <c r="AW1531" s="91">
        <f>IF($AL$1335&gt;0,'Assumptions (Hydro)'!AG10*Model!$AL$1335*AVERAGE('Assumptions (Hydro)'!$AH$2:$AJ$2)/10^9,0)</f>
        <v>0</v>
      </c>
      <c r="AX1531" s="91">
        <f>IF($AL$1335&gt;0,'Assumptions (Hydro)'!AH10*Model!$AL$1335*AVERAGE('Assumptions (Hydro)'!$AH$2:$AJ$2)/10^9,0)</f>
        <v>0</v>
      </c>
      <c r="AY1531" s="91">
        <f>IF($AL$1335&gt;0,'Assumptions (Hydro)'!AI10*Model!$AL$1335*AVERAGE('Assumptions (Hydro)'!$AH$2:$AJ$2)/10^9,0)</f>
        <v>0</v>
      </c>
      <c r="AZ1531" s="91">
        <f>IF($AL$1335&gt;0,'Assumptions (Hydro)'!AJ10*Model!$AL$1335*AVERAGE('Assumptions (Hydro)'!$AH$2:$AJ$2)/10^9,0)</f>
        <v>0</v>
      </c>
      <c r="BA1531" s="91">
        <f>IF($AL$1335&gt;0,'Assumptions (Hydro)'!AK10*Model!$AL$1335*AVERAGE('Assumptions (Hydro)'!$AH$2:$AJ$2)/10^9,0)</f>
        <v>0</v>
      </c>
      <c r="BB1531" s="91"/>
      <c r="BC1531" s="91"/>
      <c r="BD1531" s="91"/>
      <c r="BE1531" s="91"/>
      <c r="BF1531" s="91"/>
      <c r="BG1531" s="91"/>
      <c r="BH1531" s="91"/>
      <c r="BI1531" s="91"/>
      <c r="BJ1531" s="91"/>
    </row>
    <row r="1532" spans="1:67" ht="15.75" hidden="1" customHeight="1" outlineLevel="1">
      <c r="A1532" s="413"/>
      <c r="B1532" s="99"/>
      <c r="C1532" s="99"/>
      <c r="D1532" s="99"/>
      <c r="E1532" s="99"/>
      <c r="F1532" s="99"/>
      <c r="G1532" s="99"/>
      <c r="H1532" s="99"/>
      <c r="I1532" s="99"/>
      <c r="J1532" s="99"/>
      <c r="K1532" s="99"/>
      <c r="L1532" s="99"/>
      <c r="M1532" s="99"/>
      <c r="N1532" s="99"/>
      <c r="O1532" s="99"/>
      <c r="P1532" s="99"/>
      <c r="Q1532" s="99"/>
      <c r="R1532" s="99"/>
      <c r="S1532" s="99"/>
      <c r="T1532" s="99"/>
      <c r="U1532" s="99"/>
      <c r="V1532" s="99"/>
      <c r="W1532" s="105"/>
      <c r="X1532" s="105"/>
      <c r="Y1532" s="105"/>
      <c r="Z1532" s="105"/>
      <c r="AA1532" s="105"/>
      <c r="AB1532" s="105"/>
      <c r="AC1532" s="105"/>
      <c r="AD1532" s="105"/>
      <c r="AE1532" s="105"/>
      <c r="AF1532" s="105"/>
      <c r="AG1532" s="105"/>
      <c r="AH1532" s="105"/>
      <c r="AI1532" s="105"/>
      <c r="AJ1532" s="171"/>
      <c r="AK1532" s="105"/>
      <c r="AL1532" s="91"/>
      <c r="AM1532" s="105">
        <f>IF($AM$1335&gt;0,'Assumptions (Hydro)'!V10*Model!$AM$1335*AVERAGE('Assumptions (Hydro)'!$AI$2:$AK$2)/10^9,0)</f>
        <v>0</v>
      </c>
      <c r="AN1532" s="105">
        <f>IF($AM$1335&gt;0,'Assumptions (Hydro)'!W10*Model!$AM$1335*AVERAGE('Assumptions (Hydro)'!$AI$2:$AK$2)/10^9,0)</f>
        <v>0</v>
      </c>
      <c r="AO1532" s="105">
        <f>IF($AM$1335&gt;0,'Assumptions (Hydro)'!X10*Model!$AM$1335*AVERAGE('Assumptions (Hydro)'!$AI$2:$AK$2)/10^9,0)</f>
        <v>0</v>
      </c>
      <c r="AP1532" s="105">
        <f>IF($AM$1335&gt;0,'Assumptions (Hydro)'!Y10*Model!$AM$1335*AVERAGE('Assumptions (Hydro)'!$AI$2:$AK$2)/10^9,0)</f>
        <v>0</v>
      </c>
      <c r="AQ1532" s="105">
        <f>IF($AM$1335&gt;0,'Assumptions (Hydro)'!Z10*Model!$AM$1335*AVERAGE('Assumptions (Hydro)'!$AI$2:$AK$2)/10^9,0)</f>
        <v>0</v>
      </c>
      <c r="AR1532" s="105">
        <f>IF($AM$1335&gt;0,'Assumptions (Hydro)'!AA10*Model!$AM$1335*AVERAGE('Assumptions (Hydro)'!$AI$2:$AK$2)/10^9,0)</f>
        <v>0</v>
      </c>
      <c r="AS1532" s="105">
        <f>IF($AM$1335&gt;0,'Assumptions (Hydro)'!AB10*Model!$AM$1335*AVERAGE('Assumptions (Hydro)'!$AI$2:$AK$2)/10^9,0)</f>
        <v>0</v>
      </c>
      <c r="AT1532" s="105">
        <f>IF($AM$1335&gt;0,'Assumptions (Hydro)'!AC10*Model!$AM$1335*AVERAGE('Assumptions (Hydro)'!$AI$2:$AK$2)/10^9,0)</f>
        <v>0</v>
      </c>
      <c r="AU1532" s="105">
        <f>IF($AM$1335&gt;0,'Assumptions (Hydro)'!AD10*Model!$AM$1335*AVERAGE('Assumptions (Hydro)'!$AI$2:$AK$2)/10^9,0)</f>
        <v>0</v>
      </c>
      <c r="AV1532" s="105">
        <f>IF($AM$1335&gt;0,'Assumptions (Hydro)'!AE10*Model!$AM$1335*AVERAGE('Assumptions (Hydro)'!$AI$2:$AK$2)/10^9,0)</f>
        <v>0</v>
      </c>
      <c r="AW1532" s="105">
        <f>IF($AM$1335&gt;0,'Assumptions (Hydro)'!AF10*Model!$AM$1335*AVERAGE('Assumptions (Hydro)'!$AI$2:$AK$2)/10^9,0)</f>
        <v>0</v>
      </c>
      <c r="AX1532" s="105">
        <f>IF($AM$1335&gt;0,'Assumptions (Hydro)'!AG10*Model!$AM$1335*AVERAGE('Assumptions (Hydro)'!$AI$2:$AK$2)/10^9,0)</f>
        <v>0</v>
      </c>
      <c r="AY1532" s="105">
        <f>IF($AM$1335&gt;0,'Assumptions (Hydro)'!AH10*Model!$AM$1335*AVERAGE('Assumptions (Hydro)'!$AI$2:$AK$2)/10^9,0)</f>
        <v>0</v>
      </c>
      <c r="AZ1532" s="105">
        <f>IF($AM$1335&gt;0,'Assumptions (Hydro)'!AI10*Model!$AM$1335*AVERAGE('Assumptions (Hydro)'!$AI$2:$AK$2)/10^9,0)</f>
        <v>0</v>
      </c>
      <c r="BA1532" s="105">
        <f>IF($AM$1335&gt;0,'Assumptions (Hydro)'!AJ10*Model!$AM$1335*AVERAGE('Assumptions (Hydro)'!$AI$2:$AK$2)/10^9,0)</f>
        <v>0</v>
      </c>
      <c r="BB1532" s="105">
        <f>IF($AM$1335&gt;0,'Assumptions (Hydro)'!AK10*Model!$AM$1335*AVERAGE('Assumptions (Hydro)'!$AI$2:$AK$2)/10^9,0)</f>
        <v>0</v>
      </c>
      <c r="BC1532" s="105"/>
      <c r="BD1532" s="105"/>
      <c r="BE1532" s="105"/>
      <c r="BF1532" s="105"/>
      <c r="BG1532" s="105"/>
      <c r="BH1532" s="105"/>
      <c r="BI1532" s="105"/>
      <c r="BJ1532" s="105"/>
      <c r="BK1532" s="105"/>
    </row>
    <row r="1533" spans="1:67" ht="15.75" hidden="1" customHeight="1" outlineLevel="1">
      <c r="A1533" s="413"/>
      <c r="B1533" s="99"/>
      <c r="C1533" s="99"/>
      <c r="D1533" s="99"/>
      <c r="E1533" s="99"/>
      <c r="F1533" s="99"/>
      <c r="G1533" s="99"/>
      <c r="H1533" s="99"/>
      <c r="I1533" s="99"/>
      <c r="J1533" s="99"/>
      <c r="K1533" s="99"/>
      <c r="L1533" s="99"/>
      <c r="M1533" s="99"/>
      <c r="N1533" s="99"/>
      <c r="O1533" s="99"/>
      <c r="P1533" s="99"/>
      <c r="Q1533" s="99"/>
      <c r="R1533" s="99"/>
      <c r="S1533" s="99"/>
      <c r="T1533" s="99"/>
      <c r="U1533" s="99"/>
      <c r="V1533" s="99"/>
      <c r="W1533" s="105"/>
      <c r="X1533" s="105"/>
      <c r="Y1533" s="105"/>
      <c r="Z1533" s="105"/>
      <c r="AA1533" s="105"/>
      <c r="AB1533" s="105"/>
      <c r="AC1533" s="105"/>
      <c r="AD1533" s="105"/>
      <c r="AE1533" s="105"/>
      <c r="AF1533" s="105"/>
      <c r="AG1533" s="105"/>
      <c r="AH1533" s="105"/>
      <c r="AI1533" s="105"/>
      <c r="AJ1533" s="171"/>
      <c r="AK1533" s="105"/>
      <c r="AL1533" s="91"/>
      <c r="AM1533" s="91"/>
      <c r="AN1533" s="105">
        <f>IF($AN$1335&gt;0,'Assumptions (Hydro)'!V10*Model!$AN$1335*AVERAGE('Assumptions (Hydro)'!$AJ$2:$AL$2)/10^9,0)</f>
        <v>0</v>
      </c>
      <c r="AO1533" s="105">
        <f>IF($AN$1335&gt;0,'Assumptions (Hydro)'!W10*Model!$AN$1335*AVERAGE('Assumptions (Hydro)'!$AJ$2:$AL$2)/10^9,0)</f>
        <v>0</v>
      </c>
      <c r="AP1533" s="105">
        <f>IF($AN$1335&gt;0,'Assumptions (Hydro)'!X10*Model!$AN$1335*AVERAGE('Assumptions (Hydro)'!$AJ$2:$AL$2)/10^9,0)</f>
        <v>0</v>
      </c>
      <c r="AQ1533" s="105">
        <f>IF($AN$1335&gt;0,'Assumptions (Hydro)'!Y10*Model!$AN$1335*AVERAGE('Assumptions (Hydro)'!$AJ$2:$AL$2)/10^9,0)</f>
        <v>0</v>
      </c>
      <c r="AR1533" s="105">
        <f>IF($AN$1335&gt;0,'Assumptions (Hydro)'!Z10*Model!$AN$1335*AVERAGE('Assumptions (Hydro)'!$AJ$2:$AL$2)/10^9,0)</f>
        <v>0</v>
      </c>
      <c r="AS1533" s="105">
        <f>IF($AN$1335&gt;0,'Assumptions (Hydro)'!AA10*Model!$AN$1335*AVERAGE('Assumptions (Hydro)'!$AJ$2:$AL$2)/10^9,0)</f>
        <v>0</v>
      </c>
      <c r="AT1533" s="105">
        <f>IF($AN$1335&gt;0,'Assumptions (Hydro)'!AB10*Model!$AN$1335*AVERAGE('Assumptions (Hydro)'!$AJ$2:$AL$2)/10^9,0)</f>
        <v>0</v>
      </c>
      <c r="AU1533" s="105">
        <f>IF($AN$1335&gt;0,'Assumptions (Hydro)'!AC10*Model!$AN$1335*AVERAGE('Assumptions (Hydro)'!$AJ$2:$AL$2)/10^9,0)</f>
        <v>0</v>
      </c>
      <c r="AV1533" s="105">
        <f>IF($AN$1335&gt;0,'Assumptions (Hydro)'!AD10*Model!$AN$1335*AVERAGE('Assumptions (Hydro)'!$AJ$2:$AL$2)/10^9,0)</f>
        <v>0</v>
      </c>
      <c r="AW1533" s="105">
        <f>IF($AN$1335&gt;0,'Assumptions (Hydro)'!AE10*Model!$AN$1335*AVERAGE('Assumptions (Hydro)'!$AJ$2:$AL$2)/10^9,0)</f>
        <v>0</v>
      </c>
      <c r="AX1533" s="105">
        <f>IF($AN$1335&gt;0,'Assumptions (Hydro)'!AF10*Model!$AN$1335*AVERAGE('Assumptions (Hydro)'!$AJ$2:$AL$2)/10^9,0)</f>
        <v>0</v>
      </c>
      <c r="AY1533" s="105">
        <f>IF($AN$1335&gt;0,'Assumptions (Hydro)'!AG10*Model!$AN$1335*AVERAGE('Assumptions (Hydro)'!$AJ$2:$AL$2)/10^9,0)</f>
        <v>0</v>
      </c>
      <c r="AZ1533" s="105">
        <f>IF($AN$1335&gt;0,'Assumptions (Hydro)'!AH10*Model!$AN$1335*AVERAGE('Assumptions (Hydro)'!$AJ$2:$AL$2)/10^9,0)</f>
        <v>0</v>
      </c>
      <c r="BA1533" s="105">
        <f>IF($AN$1335&gt;0,'Assumptions (Hydro)'!AI10*Model!$AN$1335*AVERAGE('Assumptions (Hydro)'!$AJ$2:$AL$2)/10^9,0)</f>
        <v>0</v>
      </c>
      <c r="BB1533" s="105">
        <f>IF($AN$1335&gt;0,'Assumptions (Hydro)'!AJ10*Model!$AN$1335*AVERAGE('Assumptions (Hydro)'!$AJ$2:$AL$2)/10^9,0)</f>
        <v>0</v>
      </c>
      <c r="BC1533" s="105">
        <f>IF($AN$1335&gt;0,'Assumptions (Hydro)'!AK10*Model!$AN$1335*AVERAGE('Assumptions (Hydro)'!$AJ$2:$AL$2)/10^9,0)</f>
        <v>0</v>
      </c>
      <c r="BD1533" s="105"/>
      <c r="BE1533" s="105"/>
      <c r="BF1533" s="105"/>
      <c r="BG1533" s="105"/>
      <c r="BH1533" s="105"/>
      <c r="BI1533" s="105"/>
      <c r="BJ1533" s="105"/>
      <c r="BK1533" s="105"/>
      <c r="BL1533" s="105"/>
    </row>
    <row r="1534" spans="1:67" ht="15.75" hidden="1" customHeight="1" outlineLevel="1">
      <c r="A1534" s="413"/>
      <c r="B1534" s="99"/>
      <c r="C1534" s="99"/>
      <c r="D1534" s="99"/>
      <c r="E1534" s="99"/>
      <c r="F1534" s="99"/>
      <c r="G1534" s="99"/>
      <c r="H1534" s="99"/>
      <c r="I1534" s="99"/>
      <c r="J1534" s="99"/>
      <c r="K1534" s="99"/>
      <c r="L1534" s="99"/>
      <c r="M1534" s="99"/>
      <c r="N1534" s="99"/>
      <c r="O1534" s="99"/>
      <c r="P1534" s="99"/>
      <c r="Q1534" s="99"/>
      <c r="R1534" s="99"/>
      <c r="S1534" s="99"/>
      <c r="T1534" s="99"/>
      <c r="U1534" s="99"/>
      <c r="V1534" s="99"/>
      <c r="W1534" s="105"/>
      <c r="X1534" s="105"/>
      <c r="Y1534" s="105"/>
      <c r="Z1534" s="105"/>
      <c r="AA1534" s="105"/>
      <c r="AB1534" s="105"/>
      <c r="AC1534" s="105"/>
      <c r="AD1534" s="105"/>
      <c r="AE1534" s="105"/>
      <c r="AF1534" s="105"/>
      <c r="AG1534" s="105"/>
      <c r="AH1534" s="105"/>
      <c r="AI1534" s="105"/>
      <c r="AJ1534" s="171"/>
      <c r="AK1534" s="105"/>
      <c r="AL1534" s="91"/>
      <c r="AM1534" s="91"/>
      <c r="AN1534" s="91"/>
      <c r="AO1534" s="105">
        <f>IF($AO$1335&gt;0,'Assumptions (Hydro)'!V10*Model!$AO$1335*AVERAGE('Assumptions (Hydro)'!$AK$2:$AM$2)/10^9,0)</f>
        <v>0</v>
      </c>
      <c r="AP1534" s="105">
        <f>IF($AO$1335&gt;0,'Assumptions (Hydro)'!W10*Model!$AO$1335*AVERAGE('Assumptions (Hydro)'!$AK$2:$AM$2)/10^9,0)</f>
        <v>0</v>
      </c>
      <c r="AQ1534" s="105">
        <f>IF($AO$1335&gt;0,'Assumptions (Hydro)'!X10*Model!$AO$1335*AVERAGE('Assumptions (Hydro)'!$AK$2:$AM$2)/10^9,0)</f>
        <v>0</v>
      </c>
      <c r="AR1534" s="105">
        <f>IF($AO$1335&gt;0,'Assumptions (Hydro)'!Y10*Model!$AO$1335*AVERAGE('Assumptions (Hydro)'!$AK$2:$AM$2)/10^9,0)</f>
        <v>0</v>
      </c>
      <c r="AS1534" s="105">
        <f>IF($AO$1335&gt;0,'Assumptions (Hydro)'!Z10*Model!$AO$1335*AVERAGE('Assumptions (Hydro)'!$AK$2:$AM$2)/10^9,0)</f>
        <v>0</v>
      </c>
      <c r="AT1534" s="105">
        <f>IF($AO$1335&gt;0,'Assumptions (Hydro)'!AA10*Model!$AO$1335*AVERAGE('Assumptions (Hydro)'!$AK$2:$AM$2)/10^9,0)</f>
        <v>0</v>
      </c>
      <c r="AU1534" s="105">
        <f>IF($AO$1335&gt;0,'Assumptions (Hydro)'!AB10*Model!$AO$1335*AVERAGE('Assumptions (Hydro)'!$AK$2:$AM$2)/10^9,0)</f>
        <v>0</v>
      </c>
      <c r="AV1534" s="105">
        <f>IF($AO$1335&gt;0,'Assumptions (Hydro)'!AC10*Model!$AO$1335*AVERAGE('Assumptions (Hydro)'!$AK$2:$AM$2)/10^9,0)</f>
        <v>0</v>
      </c>
      <c r="AW1534" s="105">
        <f>IF($AO$1335&gt;0,'Assumptions (Hydro)'!AD10*Model!$AO$1335*AVERAGE('Assumptions (Hydro)'!$AK$2:$AM$2)/10^9,0)</f>
        <v>0</v>
      </c>
      <c r="AX1534" s="105">
        <f>IF($AO$1335&gt;0,'Assumptions (Hydro)'!AE10*Model!$AO$1335*AVERAGE('Assumptions (Hydro)'!$AK$2:$AM$2)/10^9,0)</f>
        <v>0</v>
      </c>
      <c r="AY1534" s="105">
        <f>IF($AO$1335&gt;0,'Assumptions (Hydro)'!AF10*Model!$AO$1335*AVERAGE('Assumptions (Hydro)'!$AK$2:$AM$2)/10^9,0)</f>
        <v>0</v>
      </c>
      <c r="AZ1534" s="105">
        <f>IF($AO$1335&gt;0,'Assumptions (Hydro)'!AG10*Model!$AO$1335*AVERAGE('Assumptions (Hydro)'!$AK$2:$AM$2)/10^9,0)</f>
        <v>0</v>
      </c>
      <c r="BA1534" s="105">
        <f>IF($AO$1335&gt;0,'Assumptions (Hydro)'!AH10*Model!$AO$1335*AVERAGE('Assumptions (Hydro)'!$AK$2:$AM$2)/10^9,0)</f>
        <v>0</v>
      </c>
      <c r="BB1534" s="105">
        <f>IF($AO$1335&gt;0,'Assumptions (Hydro)'!AI10*Model!$AO$1335*AVERAGE('Assumptions (Hydro)'!$AK$2:$AM$2)/10^9,0)</f>
        <v>0</v>
      </c>
      <c r="BC1534" s="105">
        <f>IF($AO$1335&gt;0,'Assumptions (Hydro)'!AJ10*Model!$AO$1335*AVERAGE('Assumptions (Hydro)'!$AK$2:$AM$2)/10^9,0)</f>
        <v>0</v>
      </c>
      <c r="BD1534" s="105">
        <f>IF($AO$1335&gt;0,'Assumptions (Hydro)'!AK10*Model!$AO$1335*AVERAGE('Assumptions (Hydro)'!$AK$2:$AM$2)/10^9,0)</f>
        <v>0</v>
      </c>
      <c r="BE1534" s="105"/>
      <c r="BF1534" s="105"/>
      <c r="BG1534" s="105"/>
      <c r="BH1534" s="105"/>
      <c r="BI1534" s="105"/>
      <c r="BJ1534" s="105"/>
      <c r="BK1534" s="105"/>
      <c r="BL1534" s="105"/>
      <c r="BM1534" s="105"/>
    </row>
    <row r="1535" spans="1:67" ht="15.75" hidden="1" customHeight="1" outlineLevel="1">
      <c r="A1535" s="413"/>
      <c r="B1535" s="99"/>
      <c r="C1535" s="99"/>
      <c r="D1535" s="99"/>
      <c r="E1535" s="99"/>
      <c r="F1535" s="99"/>
      <c r="G1535" s="99"/>
      <c r="H1535" s="99"/>
      <c r="I1535" s="99"/>
      <c r="J1535" s="99"/>
      <c r="K1535" s="99"/>
      <c r="L1535" s="99"/>
      <c r="M1535" s="99"/>
      <c r="N1535" s="99"/>
      <c r="O1535" s="99"/>
      <c r="P1535" s="99"/>
      <c r="Q1535" s="99"/>
      <c r="R1535" s="99"/>
      <c r="S1535" s="99"/>
      <c r="T1535" s="99"/>
      <c r="U1535" s="99"/>
      <c r="V1535" s="99"/>
      <c r="W1535" s="105"/>
      <c r="X1535" s="105"/>
      <c r="Y1535" s="105"/>
      <c r="Z1535" s="105"/>
      <c r="AA1535" s="105"/>
      <c r="AB1535" s="105"/>
      <c r="AC1535" s="105"/>
      <c r="AD1535" s="105"/>
      <c r="AE1535" s="105"/>
      <c r="AF1535" s="105"/>
      <c r="AG1535" s="105"/>
      <c r="AH1535" s="105"/>
      <c r="AI1535" s="105"/>
      <c r="AJ1535" s="171"/>
      <c r="AK1535" s="105"/>
      <c r="AL1535" s="91"/>
      <c r="AM1535" s="91"/>
      <c r="AN1535" s="91"/>
      <c r="AO1535" s="105"/>
      <c r="AP1535" s="105">
        <f>IF($AP$1335&gt;0,'Assumptions (Hydro)'!V10*Model!$AP$1335*AVERAGE('Assumptions (Hydro)'!$AL$2:$AN$2)/10^9,0)</f>
        <v>0</v>
      </c>
      <c r="AQ1535" s="105">
        <f>IF($AP$1335&gt;0,'Assumptions (Hydro)'!W10*Model!$AP$1335*AVERAGE('Assumptions (Hydro)'!$AL$2:$AN$2)/10^9,0)</f>
        <v>0</v>
      </c>
      <c r="AR1535" s="105">
        <f>IF($AP$1335&gt;0,'Assumptions (Hydro)'!X10*Model!$AP$1335*AVERAGE('Assumptions (Hydro)'!$AL$2:$AN$2)/10^9,0)</f>
        <v>0</v>
      </c>
      <c r="AS1535" s="105">
        <f>IF($AP$1335&gt;0,'Assumptions (Hydro)'!Y10*Model!$AP$1335*AVERAGE('Assumptions (Hydro)'!$AL$2:$AN$2)/10^9,0)</f>
        <v>0</v>
      </c>
      <c r="AT1535" s="105">
        <f>IF($AP$1335&gt;0,'Assumptions (Hydro)'!Z10*Model!$AP$1335*AVERAGE('Assumptions (Hydro)'!$AL$2:$AN$2)/10^9,0)</f>
        <v>0</v>
      </c>
      <c r="AU1535" s="105">
        <f>IF($AP$1335&gt;0,'Assumptions (Hydro)'!AA10*Model!$AP$1335*AVERAGE('Assumptions (Hydro)'!$AL$2:$AN$2)/10^9,0)</f>
        <v>0</v>
      </c>
      <c r="AV1535" s="105">
        <f>IF($AP$1335&gt;0,'Assumptions (Hydro)'!AB10*Model!$AP$1335*AVERAGE('Assumptions (Hydro)'!$AL$2:$AN$2)/10^9,0)</f>
        <v>0</v>
      </c>
      <c r="AW1535" s="105">
        <f>IF($AP$1335&gt;0,'Assumptions (Hydro)'!AC10*Model!$AP$1335*AVERAGE('Assumptions (Hydro)'!$AL$2:$AN$2)/10^9,0)</f>
        <v>0</v>
      </c>
      <c r="AX1535" s="105">
        <f>IF($AP$1335&gt;0,'Assumptions (Hydro)'!AD10*Model!$AP$1335*AVERAGE('Assumptions (Hydro)'!$AL$2:$AN$2)/10^9,0)</f>
        <v>0</v>
      </c>
      <c r="AY1535" s="105">
        <f>IF($AP$1335&gt;0,'Assumptions (Hydro)'!AE10*Model!$AP$1335*AVERAGE('Assumptions (Hydro)'!$AL$2:$AN$2)/10^9,0)</f>
        <v>0</v>
      </c>
      <c r="AZ1535" s="105">
        <f>IF($AP$1335&gt;0,'Assumptions (Hydro)'!AF10*Model!$AP$1335*AVERAGE('Assumptions (Hydro)'!$AL$2:$AN$2)/10^9,0)</f>
        <v>0</v>
      </c>
      <c r="BA1535" s="105">
        <f>IF($AP$1335&gt;0,'Assumptions (Hydro)'!AG10*Model!$AP$1335*AVERAGE('Assumptions (Hydro)'!$AL$2:$AN$2)/10^9,0)</f>
        <v>0</v>
      </c>
      <c r="BB1535" s="105">
        <f>IF($AP$1335&gt;0,'Assumptions (Hydro)'!AH10*Model!$AP$1335*AVERAGE('Assumptions (Hydro)'!$AL$2:$AN$2)/10^9,0)</f>
        <v>0</v>
      </c>
      <c r="BC1535" s="105">
        <f>IF($AP$1335&gt;0,'Assumptions (Hydro)'!AI10*Model!$AP$1335*AVERAGE('Assumptions (Hydro)'!$AL$2:$AN$2)/10^9,0)</f>
        <v>0</v>
      </c>
      <c r="BD1535" s="105">
        <f>IF($AP$1335&gt;0,'Assumptions (Hydro)'!AJ10*Model!$AP$1335*AVERAGE('Assumptions (Hydro)'!$AL$2:$AN$2)/10^9,0)</f>
        <v>0</v>
      </c>
      <c r="BE1535" s="105">
        <f>IF($AP$1335&gt;0,'Assumptions (Hydro)'!AK10*Model!$AP$1335*AVERAGE('Assumptions (Hydro)'!$AL$2:$AN$2)/10^9,0)</f>
        <v>0</v>
      </c>
      <c r="BF1535" s="105"/>
      <c r="BG1535" s="105"/>
      <c r="BH1535" s="105"/>
      <c r="BI1535" s="105"/>
      <c r="BJ1535" s="105"/>
      <c r="BK1535" s="105"/>
      <c r="BL1535" s="105"/>
      <c r="BM1535" s="105"/>
      <c r="BN1535" s="105"/>
    </row>
    <row r="1536" spans="1:67" ht="15.75" hidden="1" customHeight="1" outlineLevel="1">
      <c r="A1536" s="413"/>
      <c r="B1536" s="99"/>
      <c r="C1536" s="99"/>
      <c r="D1536" s="99"/>
      <c r="E1536" s="99"/>
      <c r="F1536" s="99"/>
      <c r="G1536" s="99"/>
      <c r="H1536" s="99"/>
      <c r="I1536" s="99"/>
      <c r="J1536" s="99"/>
      <c r="K1536" s="99"/>
      <c r="L1536" s="99"/>
      <c r="M1536" s="99"/>
      <c r="N1536" s="99"/>
      <c r="O1536" s="99"/>
      <c r="P1536" s="99"/>
      <c r="Q1536" s="99"/>
      <c r="R1536" s="99"/>
      <c r="S1536" s="99"/>
      <c r="T1536" s="99"/>
      <c r="U1536" s="99"/>
      <c r="V1536" s="99"/>
      <c r="W1536" s="105"/>
      <c r="X1536" s="105"/>
      <c r="Y1536" s="105"/>
      <c r="Z1536" s="105"/>
      <c r="AA1536" s="105"/>
      <c r="AB1536" s="105"/>
      <c r="AC1536" s="105"/>
      <c r="AD1536" s="105"/>
      <c r="AE1536" s="105"/>
      <c r="AF1536" s="105"/>
      <c r="AG1536" s="105"/>
      <c r="AH1536" s="105"/>
      <c r="AI1536" s="105"/>
      <c r="AJ1536" s="171"/>
      <c r="AK1536" s="105"/>
      <c r="AL1536" s="91"/>
      <c r="AM1536" s="91"/>
      <c r="AN1536" s="91"/>
      <c r="AO1536" s="105"/>
      <c r="AP1536" s="105"/>
      <c r="AQ1536" s="105">
        <f>IF($AQ$1335&gt;0,'Assumptions (Hydro)'!V10*Model!$AQ$1335*AVERAGE('Assumptions (Hydro)'!$AM$2:$AO$2)/10^9,0)</f>
        <v>0</v>
      </c>
      <c r="AR1536" s="105">
        <f>IF($AQ$1335&gt;0,'Assumptions (Hydro)'!W10*Model!$AQ$1335*AVERAGE('Assumptions (Hydro)'!$AM$2:$AO$2)/10^9,0)</f>
        <v>0</v>
      </c>
      <c r="AS1536" s="105">
        <f>IF($AQ$1335&gt;0,'Assumptions (Hydro)'!X10*Model!$AQ$1335*AVERAGE('Assumptions (Hydro)'!$AM$2:$AO$2)/10^9,0)</f>
        <v>0</v>
      </c>
      <c r="AT1536" s="105">
        <f>IF($AQ$1335&gt;0,'Assumptions (Hydro)'!Y10*Model!$AQ$1335*AVERAGE('Assumptions (Hydro)'!$AM$2:$AO$2)/10^9,0)</f>
        <v>0</v>
      </c>
      <c r="AU1536" s="105">
        <f>IF($AQ$1335&gt;0,'Assumptions (Hydro)'!Z10*Model!$AQ$1335*AVERAGE('Assumptions (Hydro)'!$AM$2:$AO$2)/10^9,0)</f>
        <v>0</v>
      </c>
      <c r="AV1536" s="105">
        <f>IF($AQ$1335&gt;0,'Assumptions (Hydro)'!AA10*Model!$AQ$1335*AVERAGE('Assumptions (Hydro)'!$AM$2:$AO$2)/10^9,0)</f>
        <v>0</v>
      </c>
      <c r="AW1536" s="105">
        <f>IF($AQ$1335&gt;0,'Assumptions (Hydro)'!AB10*Model!$AQ$1335*AVERAGE('Assumptions (Hydro)'!$AM$2:$AO$2)/10^9,0)</f>
        <v>0</v>
      </c>
      <c r="AX1536" s="105">
        <f>IF($AQ$1335&gt;0,'Assumptions (Hydro)'!AC10*Model!$AQ$1335*AVERAGE('Assumptions (Hydro)'!$AM$2:$AO$2)/10^9,0)</f>
        <v>0</v>
      </c>
      <c r="AY1536" s="105">
        <f>IF($AQ$1335&gt;0,'Assumptions (Hydro)'!AD10*Model!$AQ$1335*AVERAGE('Assumptions (Hydro)'!$AM$2:$AO$2)/10^9,0)</f>
        <v>0</v>
      </c>
      <c r="AZ1536" s="105">
        <f>IF($AQ$1335&gt;0,'Assumptions (Hydro)'!AE10*Model!$AQ$1335*AVERAGE('Assumptions (Hydro)'!$AM$2:$AO$2)/10^9,0)</f>
        <v>0</v>
      </c>
      <c r="BA1536" s="105">
        <f>IF($AQ$1335&gt;0,'Assumptions (Hydro)'!AF10*Model!$AQ$1335*AVERAGE('Assumptions (Hydro)'!$AM$2:$AO$2)/10^9,0)</f>
        <v>0</v>
      </c>
      <c r="BB1536" s="105">
        <f>IF($AQ$1335&gt;0,'Assumptions (Hydro)'!AG10*Model!$AQ$1335*AVERAGE('Assumptions (Hydro)'!$AM$2:$AO$2)/10^9,0)</f>
        <v>0</v>
      </c>
      <c r="BC1536" s="105">
        <f>IF($AQ$1335&gt;0,'Assumptions (Hydro)'!AH10*Model!$AQ$1335*AVERAGE('Assumptions (Hydro)'!$AM$2:$AO$2)/10^9,0)</f>
        <v>0</v>
      </c>
      <c r="BD1536" s="105">
        <f>IF($AQ$1335&gt;0,'Assumptions (Hydro)'!AI10*Model!$AQ$1335*AVERAGE('Assumptions (Hydro)'!$AM$2:$AO$2)/10^9,0)</f>
        <v>0</v>
      </c>
      <c r="BE1536" s="105">
        <f>IF($AQ$1335&gt;0,'Assumptions (Hydro)'!AJ10*Model!$AQ$1335*AVERAGE('Assumptions (Hydro)'!$AM$2:$AO$2)/10^9,0)</f>
        <v>0</v>
      </c>
      <c r="BF1536" s="105">
        <f>IF($AQ$1335&gt;0,'Assumptions (Hydro)'!AK10*Model!$AQ$1335*AVERAGE('Assumptions (Hydro)'!$AM$2:$AO$2)/10^9,0)</f>
        <v>0</v>
      </c>
      <c r="BG1536" s="105"/>
      <c r="BH1536" s="105"/>
      <c r="BI1536" s="105"/>
      <c r="BJ1536" s="105"/>
      <c r="BK1536" s="105"/>
      <c r="BL1536" s="105"/>
      <c r="BM1536" s="105"/>
      <c r="BN1536" s="105"/>
      <c r="BO1536" s="105"/>
    </row>
    <row r="1537" spans="1:73" ht="15.75" hidden="1" customHeight="1" outlineLevel="1">
      <c r="A1537" s="413"/>
      <c r="B1537" s="99"/>
      <c r="C1537" s="99"/>
      <c r="D1537" s="99"/>
      <c r="E1537" s="99"/>
      <c r="F1537" s="99"/>
      <c r="G1537" s="99"/>
      <c r="H1537" s="99"/>
      <c r="I1537" s="99"/>
      <c r="J1537" s="99"/>
      <c r="K1537" s="99"/>
      <c r="L1537" s="99"/>
      <c r="M1537" s="99"/>
      <c r="N1537" s="99"/>
      <c r="O1537" s="99"/>
      <c r="P1537" s="99"/>
      <c r="Q1537" s="99"/>
      <c r="R1537" s="99"/>
      <c r="S1537" s="99"/>
      <c r="T1537" s="99"/>
      <c r="U1537" s="99"/>
      <c r="V1537" s="99"/>
      <c r="W1537" s="105"/>
      <c r="X1537" s="105"/>
      <c r="Y1537" s="105"/>
      <c r="Z1537" s="105"/>
      <c r="AA1537" s="105"/>
      <c r="AB1537" s="105"/>
      <c r="AC1537" s="105"/>
      <c r="AD1537" s="105"/>
      <c r="AE1537" s="105"/>
      <c r="AF1537" s="105"/>
      <c r="AG1537" s="105"/>
      <c r="AH1537" s="105"/>
      <c r="AI1537" s="105"/>
      <c r="AJ1537" s="171"/>
      <c r="AK1537" s="105"/>
      <c r="AL1537" s="91"/>
      <c r="AM1537" s="91"/>
      <c r="AN1537" s="91"/>
      <c r="AO1537" s="105"/>
      <c r="AP1537" s="105"/>
      <c r="AQ1537" s="105"/>
      <c r="AR1537" s="105">
        <f>IF($AR$1335&gt;0,'Assumptions (Hydro)'!V10*Model!$AR$1335*AVERAGE('Assumptions (Hydro)'!$AN$2:$AP$2)/10^9,0)</f>
        <v>0</v>
      </c>
      <c r="AS1537" s="105">
        <f>IF($AR$1335&gt;0,'Assumptions (Hydro)'!W10*Model!$AR$1335*AVERAGE('Assumptions (Hydro)'!$AN$2:$AP$2)/10^9,0)</f>
        <v>0</v>
      </c>
      <c r="AT1537" s="105">
        <f>IF($AR$1335&gt;0,'Assumptions (Hydro)'!X10*Model!$AR$1335*AVERAGE('Assumptions (Hydro)'!$AN$2:$AP$2)/10^9,0)</f>
        <v>0</v>
      </c>
      <c r="AU1537" s="105">
        <f>IF($AR$1335&gt;0,'Assumptions (Hydro)'!Y10*Model!$AR$1335*AVERAGE('Assumptions (Hydro)'!$AN$2:$AP$2)/10^9,0)</f>
        <v>0</v>
      </c>
      <c r="AV1537" s="105">
        <f>IF($AR$1335&gt;0,'Assumptions (Hydro)'!Z10*Model!$AR$1335*AVERAGE('Assumptions (Hydro)'!$AN$2:$AP$2)/10^9,0)</f>
        <v>0</v>
      </c>
      <c r="AW1537" s="105">
        <f>IF($AR$1335&gt;0,'Assumptions (Hydro)'!AA10*Model!$AR$1335*AVERAGE('Assumptions (Hydro)'!$AN$2:$AP$2)/10^9,0)</f>
        <v>0</v>
      </c>
      <c r="AX1537" s="105">
        <f>IF($AR$1335&gt;0,'Assumptions (Hydro)'!AB10*Model!$AR$1335*AVERAGE('Assumptions (Hydro)'!$AN$2:$AP$2)/10^9,0)</f>
        <v>0</v>
      </c>
      <c r="AY1537" s="105">
        <f>IF($AR$1335&gt;0,'Assumptions (Hydro)'!AC10*Model!$AR$1335*AVERAGE('Assumptions (Hydro)'!$AN$2:$AP$2)/10^9,0)</f>
        <v>0</v>
      </c>
      <c r="AZ1537" s="105">
        <f>IF($AR$1335&gt;0,'Assumptions (Hydro)'!AD10*Model!$AR$1335*AVERAGE('Assumptions (Hydro)'!$AN$2:$AP$2)/10^9,0)</f>
        <v>0</v>
      </c>
      <c r="BA1537" s="105">
        <f>IF($AR$1335&gt;0,'Assumptions (Hydro)'!AE10*Model!$AR$1335*AVERAGE('Assumptions (Hydro)'!$AN$2:$AP$2)/10^9,0)</f>
        <v>0</v>
      </c>
      <c r="BB1537" s="105">
        <f>IF($AR$1335&gt;0,'Assumptions (Hydro)'!AF10*Model!$AR$1335*AVERAGE('Assumptions (Hydro)'!$AN$2:$AP$2)/10^9,0)</f>
        <v>0</v>
      </c>
      <c r="BC1537" s="105">
        <f>IF($AR$1335&gt;0,'Assumptions (Hydro)'!AG10*Model!$AR$1335*AVERAGE('Assumptions (Hydro)'!$AN$2:$AP$2)/10^9,0)</f>
        <v>0</v>
      </c>
      <c r="BD1537" s="105">
        <f>IF($AR$1335&gt;0,'Assumptions (Hydro)'!AH10*Model!$AR$1335*AVERAGE('Assumptions (Hydro)'!$AN$2:$AP$2)/10^9,0)</f>
        <v>0</v>
      </c>
      <c r="BE1537" s="105">
        <f>IF($AR$1335&gt;0,'Assumptions (Hydro)'!AI10*Model!$AR$1335*AVERAGE('Assumptions (Hydro)'!$AN$2:$AP$2)/10^9,0)</f>
        <v>0</v>
      </c>
      <c r="BF1537" s="105">
        <f>IF($AR$1335&gt;0,'Assumptions (Hydro)'!AJ10*Model!$AR$1335*AVERAGE('Assumptions (Hydro)'!$AN$2:$AP$2)/10^9,0)</f>
        <v>0</v>
      </c>
      <c r="BG1537" s="105">
        <f>IF($AR$1335&gt;0,'Assumptions (Hydro)'!AK10*Model!$AR$1335*AVERAGE('Assumptions (Hydro)'!$AN$2:$AP$2)/10^9,0)</f>
        <v>0</v>
      </c>
      <c r="BH1537" s="105"/>
      <c r="BI1537" s="105"/>
      <c r="BJ1537" s="105"/>
      <c r="BK1537" s="105"/>
      <c r="BL1537" s="105"/>
      <c r="BM1537" s="105"/>
      <c r="BN1537" s="105"/>
      <c r="BO1537" s="105"/>
      <c r="BP1537" s="105"/>
    </row>
    <row r="1538" spans="1:73" ht="15.75" hidden="1" customHeight="1" outlineLevel="1">
      <c r="A1538" s="413"/>
      <c r="B1538" s="99"/>
      <c r="C1538" s="99"/>
      <c r="D1538" s="99"/>
      <c r="E1538" s="99"/>
      <c r="F1538" s="99"/>
      <c r="G1538" s="99"/>
      <c r="H1538" s="99"/>
      <c r="I1538" s="99"/>
      <c r="J1538" s="99"/>
      <c r="K1538" s="99"/>
      <c r="L1538" s="99"/>
      <c r="M1538" s="99"/>
      <c r="N1538" s="99"/>
      <c r="O1538" s="99"/>
      <c r="P1538" s="99"/>
      <c r="Q1538" s="99"/>
      <c r="R1538" s="99"/>
      <c r="S1538" s="99"/>
      <c r="T1538" s="99"/>
      <c r="U1538" s="99"/>
      <c r="V1538" s="99"/>
      <c r="W1538" s="105"/>
      <c r="X1538" s="105"/>
      <c r="Y1538" s="105"/>
      <c r="Z1538" s="105"/>
      <c r="AA1538" s="105"/>
      <c r="AB1538" s="105"/>
      <c r="AC1538" s="105"/>
      <c r="AD1538" s="105"/>
      <c r="AE1538" s="105"/>
      <c r="AF1538" s="105"/>
      <c r="AG1538" s="105"/>
      <c r="AH1538" s="105"/>
      <c r="AI1538" s="105"/>
      <c r="AJ1538" s="171"/>
      <c r="AK1538" s="105"/>
      <c r="AL1538" s="91"/>
      <c r="AM1538" s="91"/>
      <c r="AN1538" s="91"/>
      <c r="AO1538" s="105"/>
      <c r="AP1538" s="105"/>
      <c r="AQ1538" s="105"/>
      <c r="AR1538" s="105"/>
      <c r="AS1538" s="105">
        <f>IF($AS$1335&gt;0,'Assumptions (Hydro)'!V10*Model!$AS$1335*AVERAGE('Assumptions (Hydro)'!$AO$2:$AQ$2)/10^9,0)</f>
        <v>0</v>
      </c>
      <c r="AT1538" s="105">
        <f>IF($AS$1335&gt;0,'Assumptions (Hydro)'!W10*Model!$AS$1335*AVERAGE('Assumptions (Hydro)'!$AO$2:$AQ$2)/10^9,0)</f>
        <v>0</v>
      </c>
      <c r="AU1538" s="105">
        <f>IF($AS$1335&gt;0,'Assumptions (Hydro)'!X10*Model!$AS$1335*AVERAGE('Assumptions (Hydro)'!$AO$2:$AQ$2)/10^9,0)</f>
        <v>0</v>
      </c>
      <c r="AV1538" s="105">
        <f>IF($AS$1335&gt;0,'Assumptions (Hydro)'!Y10*Model!$AS$1335*AVERAGE('Assumptions (Hydro)'!$AO$2:$AQ$2)/10^9,0)</f>
        <v>0</v>
      </c>
      <c r="AW1538" s="105">
        <f>IF($AS$1335&gt;0,'Assumptions (Hydro)'!Z10*Model!$AS$1335*AVERAGE('Assumptions (Hydro)'!$AO$2:$AQ$2)/10^9,0)</f>
        <v>0</v>
      </c>
      <c r="AX1538" s="105">
        <f>IF($AS$1335&gt;0,'Assumptions (Hydro)'!AA10*Model!$AS$1335*AVERAGE('Assumptions (Hydro)'!$AO$2:$AQ$2)/10^9,0)</f>
        <v>0</v>
      </c>
      <c r="AY1538" s="105">
        <f>IF($AS$1335&gt;0,'Assumptions (Hydro)'!AB10*Model!$AS$1335*AVERAGE('Assumptions (Hydro)'!$AO$2:$AQ$2)/10^9,0)</f>
        <v>0</v>
      </c>
      <c r="AZ1538" s="105">
        <f>IF($AS$1335&gt;0,'Assumptions (Hydro)'!AC10*Model!$AS$1335*AVERAGE('Assumptions (Hydro)'!$AO$2:$AQ$2)/10^9,0)</f>
        <v>0</v>
      </c>
      <c r="BA1538" s="105">
        <f>IF($AS$1335&gt;0,'Assumptions (Hydro)'!AD10*Model!$AS$1335*AVERAGE('Assumptions (Hydro)'!$AO$2:$AQ$2)/10^9,0)</f>
        <v>0</v>
      </c>
      <c r="BB1538" s="105">
        <f>IF($AS$1335&gt;0,'Assumptions (Hydro)'!AE10*Model!$AS$1335*AVERAGE('Assumptions (Hydro)'!$AO$2:$AQ$2)/10^9,0)</f>
        <v>0</v>
      </c>
      <c r="BC1538" s="105">
        <f>IF($AS$1335&gt;0,'Assumptions (Hydro)'!AF10*Model!$AS$1335*AVERAGE('Assumptions (Hydro)'!$AO$2:$AQ$2)/10^9,0)</f>
        <v>0</v>
      </c>
      <c r="BD1538" s="105">
        <f>IF($AS$1335&gt;0,'Assumptions (Hydro)'!AG10*Model!$AS$1335*AVERAGE('Assumptions (Hydro)'!$AO$2:$AQ$2)/10^9,0)</f>
        <v>0</v>
      </c>
      <c r="BE1538" s="105">
        <f>IF($AS$1335&gt;0,'Assumptions (Hydro)'!AH10*Model!$AS$1335*AVERAGE('Assumptions (Hydro)'!$AO$2:$AQ$2)/10^9,0)</f>
        <v>0</v>
      </c>
      <c r="BF1538" s="105">
        <f>IF($AS$1335&gt;0,'Assumptions (Hydro)'!AI10*Model!$AS$1335*AVERAGE('Assumptions (Hydro)'!$AO$2:$AQ$2)/10^9,0)</f>
        <v>0</v>
      </c>
      <c r="BG1538" s="105">
        <f>IF($AS$1335&gt;0,'Assumptions (Hydro)'!AJ10*Model!$AS$1335*AVERAGE('Assumptions (Hydro)'!$AO$2:$AQ$2)/10^9,0)</f>
        <v>0</v>
      </c>
      <c r="BH1538" s="105">
        <f>IF($AS$1335&gt;0,'Assumptions (Hydro)'!AK10*Model!$AS$1335*AVERAGE('Assumptions (Hydro)'!$AO$2:$AQ$2)/10^9,0)</f>
        <v>0</v>
      </c>
      <c r="BI1538" s="105"/>
      <c r="BJ1538" s="105"/>
      <c r="BK1538" s="105"/>
      <c r="BL1538" s="105"/>
      <c r="BM1538" s="105"/>
      <c r="BN1538" s="105"/>
      <c r="BO1538" s="105"/>
      <c r="BP1538" s="105"/>
      <c r="BQ1538" s="105"/>
      <c r="BR1538" s="105"/>
    </row>
    <row r="1539" spans="1:73" ht="15.75" hidden="1" customHeight="1" outlineLevel="1">
      <c r="A1539" s="413"/>
      <c r="B1539" s="99"/>
      <c r="C1539" s="99"/>
      <c r="D1539" s="99"/>
      <c r="E1539" s="99"/>
      <c r="F1539" s="99"/>
      <c r="G1539" s="99"/>
      <c r="H1539" s="99"/>
      <c r="I1539" s="99"/>
      <c r="J1539" s="99"/>
      <c r="K1539" s="99"/>
      <c r="L1539" s="99"/>
      <c r="M1539" s="99"/>
      <c r="N1539" s="99"/>
      <c r="O1539" s="99"/>
      <c r="P1539" s="99"/>
      <c r="Q1539" s="99"/>
      <c r="R1539" s="99"/>
      <c r="S1539" s="99"/>
      <c r="T1539" s="99"/>
      <c r="U1539" s="99"/>
      <c r="V1539" s="99"/>
      <c r="W1539" s="105"/>
      <c r="X1539" s="105"/>
      <c r="Y1539" s="105"/>
      <c r="Z1539" s="105"/>
      <c r="AA1539" s="105"/>
      <c r="AB1539" s="105"/>
      <c r="AC1539" s="105"/>
      <c r="AD1539" s="105"/>
      <c r="AE1539" s="105"/>
      <c r="AF1539" s="105"/>
      <c r="AG1539" s="105"/>
      <c r="AH1539" s="105"/>
      <c r="AI1539" s="105"/>
      <c r="AJ1539" s="171"/>
      <c r="AK1539" s="105"/>
      <c r="AL1539" s="91"/>
      <c r="AM1539" s="91"/>
      <c r="AN1539" s="91"/>
      <c r="AO1539" s="105"/>
      <c r="AP1539" s="105"/>
      <c r="AQ1539" s="105"/>
      <c r="AR1539" s="105"/>
      <c r="AS1539" s="105"/>
      <c r="AT1539" s="105">
        <f>IF($AT$1335&gt;0,'Assumptions (Hydro)'!V10*Model!$AT$1335*AVERAGE('Assumptions (Hydro)'!$AP$2:$AR$2)/10^9,0)</f>
        <v>0</v>
      </c>
      <c r="AU1539" s="105">
        <f>IF($AT$1335&gt;0,'Assumptions (Hydro)'!W10*Model!$AT$1335*AVERAGE('Assumptions (Hydro)'!$AP$2:$AR$2)/10^9,0)</f>
        <v>0</v>
      </c>
      <c r="AV1539" s="105">
        <f>IF($AT$1335&gt;0,'Assumptions (Hydro)'!X10*Model!$AT$1335*AVERAGE('Assumptions (Hydro)'!$AP$2:$AR$2)/10^9,0)</f>
        <v>0</v>
      </c>
      <c r="AW1539" s="105">
        <f>IF($AT$1335&gt;0,'Assumptions (Hydro)'!Y10*Model!$AT$1335*AVERAGE('Assumptions (Hydro)'!$AP$2:$AR$2)/10^9,0)</f>
        <v>0</v>
      </c>
      <c r="AX1539" s="105">
        <f>IF($AT$1335&gt;0,'Assumptions (Hydro)'!Z10*Model!$AT$1335*AVERAGE('Assumptions (Hydro)'!$AP$2:$AR$2)/10^9,0)</f>
        <v>0</v>
      </c>
      <c r="AY1539" s="105">
        <f>IF($AT$1335&gt;0,'Assumptions (Hydro)'!AA10*Model!$AT$1335*AVERAGE('Assumptions (Hydro)'!$AP$2:$AR$2)/10^9,0)</f>
        <v>0</v>
      </c>
      <c r="AZ1539" s="105">
        <f>IF($AT$1335&gt;0,'Assumptions (Hydro)'!AB10*Model!$AT$1335*AVERAGE('Assumptions (Hydro)'!$AP$2:$AR$2)/10^9,0)</f>
        <v>0</v>
      </c>
      <c r="BA1539" s="105">
        <f>IF($AT$1335&gt;0,'Assumptions (Hydro)'!AC10*Model!$AT$1335*AVERAGE('Assumptions (Hydro)'!$AP$2:$AR$2)/10^9,0)</f>
        <v>0</v>
      </c>
      <c r="BB1539" s="105">
        <f>IF($AT$1335&gt;0,'Assumptions (Hydro)'!AD10*Model!$AT$1335*AVERAGE('Assumptions (Hydro)'!$AP$2:$AR$2)/10^9,0)</f>
        <v>0</v>
      </c>
      <c r="BC1539" s="105">
        <f>IF($AT$1335&gt;0,'Assumptions (Hydro)'!AE10*Model!$AT$1335*AVERAGE('Assumptions (Hydro)'!$AP$2:$AR$2)/10^9,0)</f>
        <v>0</v>
      </c>
      <c r="BD1539" s="105">
        <f>IF($AT$1335&gt;0,'Assumptions (Hydro)'!AF10*Model!$AT$1335*AVERAGE('Assumptions (Hydro)'!$AP$2:$AR$2)/10^9,0)</f>
        <v>0</v>
      </c>
      <c r="BE1539" s="105">
        <f>IF($AT$1335&gt;0,'Assumptions (Hydro)'!AG10*Model!$AT$1335*AVERAGE('Assumptions (Hydro)'!$AP$2:$AR$2)/10^9,0)</f>
        <v>0</v>
      </c>
      <c r="BF1539" s="105">
        <f>IF($AT$1335&gt;0,'Assumptions (Hydro)'!AH10*Model!$AT$1335*AVERAGE('Assumptions (Hydro)'!$AP$2:$AR$2)/10^9,0)</f>
        <v>0</v>
      </c>
      <c r="BG1539" s="105">
        <f>IF($AT$1335&gt;0,'Assumptions (Hydro)'!AI10*Model!$AT$1335*AVERAGE('Assumptions (Hydro)'!$AP$2:$AR$2)/10^9,0)</f>
        <v>0</v>
      </c>
      <c r="BH1539" s="105">
        <f>IF($AT$1335&gt;0,'Assumptions (Hydro)'!AJ10*Model!$AT$1335*AVERAGE('Assumptions (Hydro)'!$AP$2:$AR$2)/10^9,0)</f>
        <v>0</v>
      </c>
      <c r="BI1539" s="105">
        <f>IF($AT$1335&gt;0,'Assumptions (Hydro)'!AK10*Model!$AT$1335*AVERAGE('Assumptions (Hydro)'!$AP$2:$AR$2)/10^9,0)</f>
        <v>0</v>
      </c>
      <c r="BJ1539" s="105"/>
      <c r="BK1539" s="105"/>
      <c r="BL1539" s="105"/>
      <c r="BM1539" s="105"/>
      <c r="BN1539" s="105"/>
      <c r="BO1539" s="105"/>
      <c r="BP1539" s="105"/>
      <c r="BQ1539" s="105"/>
      <c r="BR1539" s="105"/>
    </row>
    <row r="1540" spans="1:73" ht="15.75" hidden="1" customHeight="1" outlineLevel="1">
      <c r="A1540" s="413"/>
      <c r="B1540" s="99"/>
      <c r="C1540" s="99"/>
      <c r="D1540" s="99"/>
      <c r="E1540" s="99"/>
      <c r="F1540" s="99"/>
      <c r="G1540" s="99"/>
      <c r="H1540" s="99"/>
      <c r="I1540" s="99"/>
      <c r="J1540" s="99"/>
      <c r="K1540" s="99"/>
      <c r="L1540" s="99"/>
      <c r="M1540" s="99"/>
      <c r="N1540" s="99"/>
      <c r="O1540" s="99"/>
      <c r="P1540" s="99"/>
      <c r="Q1540" s="99"/>
      <c r="R1540" s="99"/>
      <c r="S1540" s="99"/>
      <c r="T1540" s="99"/>
      <c r="U1540" s="99"/>
      <c r="V1540" s="99"/>
      <c r="W1540" s="105"/>
      <c r="X1540" s="105"/>
      <c r="Y1540" s="105"/>
      <c r="Z1540" s="105"/>
      <c r="AA1540" s="105"/>
      <c r="AB1540" s="105"/>
      <c r="AC1540" s="105"/>
      <c r="AD1540" s="105"/>
      <c r="AE1540" s="105"/>
      <c r="AF1540" s="105"/>
      <c r="AG1540" s="105"/>
      <c r="AH1540" s="105"/>
      <c r="AI1540" s="105"/>
      <c r="AJ1540" s="171"/>
      <c r="AK1540" s="105"/>
      <c r="AL1540" s="91"/>
      <c r="AM1540" s="91"/>
      <c r="AN1540" s="91"/>
      <c r="AO1540" s="105"/>
      <c r="AP1540" s="105"/>
      <c r="AQ1540" s="105"/>
      <c r="AR1540" s="105"/>
      <c r="AS1540" s="105"/>
      <c r="AT1540" s="105"/>
      <c r="AU1540" s="105">
        <f>IF($AU$1335&gt;0,'Assumptions (Hydro)'!V10*Model!$AU$1335*AVERAGE('Assumptions (Hydro)'!$AQ$2:$AS$2)/10^9,0)</f>
        <v>0</v>
      </c>
      <c r="AV1540" s="105">
        <f>IF($AU$1335&gt;0,'Assumptions (Hydro)'!W10*Model!$AU$1335*AVERAGE('Assumptions (Hydro)'!$AQ$2:$AS$2)/10^9,0)</f>
        <v>0</v>
      </c>
      <c r="AW1540" s="105">
        <f>IF($AU$1335&gt;0,'Assumptions (Hydro)'!X10*Model!$AU$1335*AVERAGE('Assumptions (Hydro)'!$AQ$2:$AS$2)/10^9,0)</f>
        <v>0</v>
      </c>
      <c r="AX1540" s="105">
        <f>IF($AU$1335&gt;0,'Assumptions (Hydro)'!Y10*Model!$AU$1335*AVERAGE('Assumptions (Hydro)'!$AQ$2:$AS$2)/10^9,0)</f>
        <v>0</v>
      </c>
      <c r="AY1540" s="105">
        <f>IF($AU$1335&gt;0,'Assumptions (Hydro)'!Z10*Model!$AU$1335*AVERAGE('Assumptions (Hydro)'!$AQ$2:$AS$2)/10^9,0)</f>
        <v>0</v>
      </c>
      <c r="AZ1540" s="105">
        <f>IF($AU$1335&gt;0,'Assumptions (Hydro)'!AA10*Model!$AU$1335*AVERAGE('Assumptions (Hydro)'!$AQ$2:$AS$2)/10^9,0)</f>
        <v>0</v>
      </c>
      <c r="BA1540" s="105">
        <f>IF($AU$1335&gt;0,'Assumptions (Hydro)'!AB10*Model!$AU$1335*AVERAGE('Assumptions (Hydro)'!$AQ$2:$AS$2)/10^9,0)</f>
        <v>0</v>
      </c>
      <c r="BB1540" s="105">
        <f>IF($AU$1335&gt;0,'Assumptions (Hydro)'!AC10*Model!$AU$1335*AVERAGE('Assumptions (Hydro)'!$AQ$2:$AS$2)/10^9,0)</f>
        <v>0</v>
      </c>
      <c r="BC1540" s="105">
        <f>IF($AU$1335&gt;0,'Assumptions (Hydro)'!AD10*Model!$AU$1335*AVERAGE('Assumptions (Hydro)'!$AQ$2:$AS$2)/10^9,0)</f>
        <v>0</v>
      </c>
      <c r="BD1540" s="105">
        <f>IF($AU$1335&gt;0,'Assumptions (Hydro)'!AE10*Model!$AU$1335*AVERAGE('Assumptions (Hydro)'!$AQ$2:$AS$2)/10^9,0)</f>
        <v>0</v>
      </c>
      <c r="BE1540" s="105">
        <f>IF($AU$1335&gt;0,'Assumptions (Hydro)'!AF10*Model!$AU$1335*AVERAGE('Assumptions (Hydro)'!$AQ$2:$AS$2)/10^9,0)</f>
        <v>0</v>
      </c>
      <c r="BF1540" s="105">
        <f>IF($AU$1335&gt;0,'Assumptions (Hydro)'!AG10*Model!$AU$1335*AVERAGE('Assumptions (Hydro)'!$AQ$2:$AS$2)/10^9,0)</f>
        <v>0</v>
      </c>
      <c r="BG1540" s="105">
        <f>IF($AU$1335&gt;0,'Assumptions (Hydro)'!AH10*Model!$AU$1335*AVERAGE('Assumptions (Hydro)'!$AQ$2:$AS$2)/10^9,0)</f>
        <v>0</v>
      </c>
      <c r="BH1540" s="105">
        <f>IF($AU$1335&gt;0,'Assumptions (Hydro)'!AI10*Model!$AU$1335*AVERAGE('Assumptions (Hydro)'!$AQ$2:$AS$2)/10^9,0)</f>
        <v>0</v>
      </c>
      <c r="BI1540" s="105">
        <f>IF($AU$1335&gt;0,'Assumptions (Hydro)'!AJ10*Model!$AU$1335*AVERAGE('Assumptions (Hydro)'!$AQ$2:$AS$2)/10^9,0)</f>
        <v>0</v>
      </c>
      <c r="BJ1540" s="105">
        <f>IF($AU$1335&gt;0,'Assumptions (Hydro)'!AK10*Model!$AU$1335*AVERAGE('Assumptions (Hydro)'!$AQ$2:$AS$2)/10^9,0)</f>
        <v>0</v>
      </c>
      <c r="BK1540" s="105"/>
      <c r="BL1540" s="105"/>
      <c r="BM1540" s="105"/>
      <c r="BN1540" s="105"/>
      <c r="BO1540" s="105"/>
      <c r="BP1540" s="105"/>
      <c r="BQ1540" s="105"/>
      <c r="BR1540" s="105"/>
      <c r="BS1540" s="105"/>
    </row>
    <row r="1541" spans="1:73" ht="15.75" hidden="1" customHeight="1" outlineLevel="1">
      <c r="A1541" s="413"/>
      <c r="B1541" s="99"/>
      <c r="C1541" s="99"/>
      <c r="D1541" s="99"/>
      <c r="E1541" s="99"/>
      <c r="F1541" s="99"/>
      <c r="G1541" s="99"/>
      <c r="H1541" s="99"/>
      <c r="I1541" s="99"/>
      <c r="J1541" s="99"/>
      <c r="K1541" s="99"/>
      <c r="L1541" s="99"/>
      <c r="M1541" s="99"/>
      <c r="N1541" s="99"/>
      <c r="O1541" s="99"/>
      <c r="P1541" s="99"/>
      <c r="Q1541" s="99"/>
      <c r="R1541" s="99"/>
      <c r="S1541" s="99"/>
      <c r="T1541" s="99"/>
      <c r="U1541" s="99"/>
      <c r="V1541" s="99"/>
      <c r="W1541" s="105"/>
      <c r="X1541" s="105"/>
      <c r="Y1541" s="105"/>
      <c r="Z1541" s="105"/>
      <c r="AA1541" s="105"/>
      <c r="AB1541" s="105"/>
      <c r="AC1541" s="105"/>
      <c r="AD1541" s="105"/>
      <c r="AE1541" s="105"/>
      <c r="AF1541" s="105"/>
      <c r="AG1541" s="105"/>
      <c r="AH1541" s="105"/>
      <c r="AI1541" s="105"/>
      <c r="AJ1541" s="171"/>
      <c r="AK1541" s="105"/>
      <c r="AL1541" s="91"/>
      <c r="AM1541" s="91"/>
      <c r="AN1541" s="91"/>
      <c r="AO1541" s="105"/>
      <c r="AP1541" s="105"/>
      <c r="AQ1541" s="105"/>
      <c r="AR1541" s="105"/>
      <c r="AS1541" s="105"/>
      <c r="AT1541" s="105"/>
      <c r="AU1541" s="105"/>
      <c r="AV1541" s="105">
        <f>IF($AV$1335&gt;0,'Assumptions (Hydro)'!V10*Model!$AV$1335*AVERAGE('Assumptions (Hydro)'!$AR$2:$AT$2)/10^9,0)</f>
        <v>0</v>
      </c>
      <c r="AW1541" s="105">
        <f>IF($AV$1335&gt;0,'Assumptions (Hydro)'!W10*Model!$AV$1335*AVERAGE('Assumptions (Hydro)'!$AR$2:$AT$2)/10^9,0)</f>
        <v>0</v>
      </c>
      <c r="AX1541" s="105">
        <f>IF($AV$1335&gt;0,'Assumptions (Hydro)'!X10*Model!$AV$1335*AVERAGE('Assumptions (Hydro)'!$AR$2:$AT$2)/10^9,0)</f>
        <v>0</v>
      </c>
      <c r="AY1541" s="105">
        <f>IF($AV$1335&gt;0,'Assumptions (Hydro)'!Y10*Model!$AV$1335*AVERAGE('Assumptions (Hydro)'!$AR$2:$AT$2)/10^9,0)</f>
        <v>0</v>
      </c>
      <c r="AZ1541" s="105">
        <f>IF($AV$1335&gt;0,'Assumptions (Hydro)'!Z10*Model!$AV$1335*AVERAGE('Assumptions (Hydro)'!$AR$2:$AT$2)/10^9,0)</f>
        <v>0</v>
      </c>
      <c r="BA1541" s="105">
        <f>IF($AV$1335&gt;0,'Assumptions (Hydro)'!AA10*Model!$AV$1335*AVERAGE('Assumptions (Hydro)'!$AR$2:$AT$2)/10^9,0)</f>
        <v>0</v>
      </c>
      <c r="BB1541" s="105">
        <f>IF($AV$1335&gt;0,'Assumptions (Hydro)'!AB10*Model!$AV$1335*AVERAGE('Assumptions (Hydro)'!$AR$2:$AT$2)/10^9,0)</f>
        <v>0</v>
      </c>
      <c r="BC1541" s="105">
        <f>IF($AV$1335&gt;0,'Assumptions (Hydro)'!AC10*Model!$AV$1335*AVERAGE('Assumptions (Hydro)'!$AR$2:$AT$2)/10^9,0)</f>
        <v>0</v>
      </c>
      <c r="BD1541" s="105">
        <f>IF($AV$1335&gt;0,'Assumptions (Hydro)'!AD10*Model!$AV$1335*AVERAGE('Assumptions (Hydro)'!$AR$2:$AT$2)/10^9,0)</f>
        <v>0</v>
      </c>
      <c r="BE1541" s="105">
        <f>IF($AV$1335&gt;0,'Assumptions (Hydro)'!AE10*Model!$AV$1335*AVERAGE('Assumptions (Hydro)'!$AR$2:$AT$2)/10^9,0)</f>
        <v>0</v>
      </c>
      <c r="BF1541" s="105">
        <f>IF($AV$1335&gt;0,'Assumptions (Hydro)'!AF10*Model!$AV$1335*AVERAGE('Assumptions (Hydro)'!$AR$2:$AT$2)/10^9,0)</f>
        <v>0</v>
      </c>
      <c r="BG1541" s="105">
        <f>IF($AV$1335&gt;0,'Assumptions (Hydro)'!AG10*Model!$AV$1335*AVERAGE('Assumptions (Hydro)'!$AR$2:$AT$2)/10^9,0)</f>
        <v>0</v>
      </c>
      <c r="BH1541" s="105">
        <f>IF($AV$1335&gt;0,'Assumptions (Hydro)'!AH10*Model!$AV$1335*AVERAGE('Assumptions (Hydro)'!$AR$2:$AT$2)/10^9,0)</f>
        <v>0</v>
      </c>
      <c r="BI1541" s="105">
        <f>IF($AV$1335&gt;0,'Assumptions (Hydro)'!AI10*Model!$AV$1335*AVERAGE('Assumptions (Hydro)'!$AR$2:$AT$2)/10^9,0)</f>
        <v>0</v>
      </c>
      <c r="BJ1541" s="105">
        <f>IF($AV$1335&gt;0,'Assumptions (Hydro)'!AJ10*Model!$AV$1335*AVERAGE('Assumptions (Hydro)'!$AR$2:$AT$2)/10^9,0)</f>
        <v>0</v>
      </c>
      <c r="BK1541" s="105">
        <f>IF($AV$1335&gt;0,'Assumptions (Hydro)'!AK10*Model!$AV$1335*AVERAGE('Assumptions (Hydro)'!$AR$2:$AT$2)/10^9,0)</f>
        <v>0</v>
      </c>
      <c r="BL1541" s="105"/>
      <c r="BM1541" s="105"/>
      <c r="BN1541" s="105"/>
      <c r="BO1541" s="105"/>
      <c r="BP1541" s="105"/>
      <c r="BQ1541" s="105"/>
      <c r="BR1541" s="105"/>
      <c r="BS1541" s="105"/>
      <c r="BT1541" s="105"/>
    </row>
    <row r="1542" spans="1:73" ht="15.75" hidden="1" customHeight="1" outlineLevel="1">
      <c r="A1542" s="413"/>
      <c r="B1542" s="99"/>
      <c r="C1542" s="99"/>
      <c r="D1542" s="99"/>
      <c r="E1542" s="99"/>
      <c r="F1542" s="99"/>
      <c r="G1542" s="99"/>
      <c r="H1542" s="99"/>
      <c r="I1542" s="99"/>
      <c r="J1542" s="99"/>
      <c r="K1542" s="99"/>
      <c r="L1542" s="99"/>
      <c r="M1542" s="99"/>
      <c r="N1542" s="99"/>
      <c r="O1542" s="99"/>
      <c r="P1542" s="99"/>
      <c r="Q1542" s="99"/>
      <c r="R1542" s="99"/>
      <c r="S1542" s="99"/>
      <c r="T1542" s="99"/>
      <c r="U1542" s="99"/>
      <c r="V1542" s="99"/>
      <c r="W1542" s="105"/>
      <c r="X1542" s="105"/>
      <c r="Y1542" s="105"/>
      <c r="Z1542" s="105"/>
      <c r="AA1542" s="105"/>
      <c r="AB1542" s="105"/>
      <c r="AC1542" s="105"/>
      <c r="AD1542" s="105"/>
      <c r="AE1542" s="105"/>
      <c r="AF1542" s="105"/>
      <c r="AG1542" s="105"/>
      <c r="AH1542" s="105"/>
      <c r="AI1542" s="105"/>
      <c r="AJ1542" s="171"/>
      <c r="AK1542" s="105"/>
      <c r="AL1542" s="91"/>
      <c r="AM1542" s="91"/>
      <c r="AN1542" s="91"/>
      <c r="AO1542" s="105"/>
      <c r="AP1542" s="105"/>
      <c r="AQ1542" s="105"/>
      <c r="AR1542" s="105"/>
      <c r="AS1542" s="105"/>
      <c r="AT1542" s="105"/>
      <c r="AU1542" s="105"/>
      <c r="AV1542" s="105"/>
      <c r="AW1542" s="105">
        <f>IF($AW$1335&gt;0,'Assumptions (Hydro)'!V10*Model!$AW$1335*AVERAGE('Assumptions (Hydro)'!$AS$2:$AU$2)/10^9,0)</f>
        <v>0</v>
      </c>
      <c r="AX1542" s="105">
        <f>IF($AW$1335&gt;0,'Assumptions (Hydro)'!W10*Model!$AW$1335*AVERAGE('Assumptions (Hydro)'!$AS$2:$AU$2)/10^9,0)</f>
        <v>0</v>
      </c>
      <c r="AY1542" s="105">
        <f>IF($AW$1335&gt;0,'Assumptions (Hydro)'!X10*Model!$AW$1335*AVERAGE('Assumptions (Hydro)'!$AS$2:$AU$2)/10^9,0)</f>
        <v>0</v>
      </c>
      <c r="AZ1542" s="105">
        <f>IF($AW$1335&gt;0,'Assumptions (Hydro)'!Y10*Model!$AW$1335*AVERAGE('Assumptions (Hydro)'!$AS$2:$AU$2)/10^9,0)</f>
        <v>0</v>
      </c>
      <c r="BA1542" s="105">
        <f>IF($AW$1335&gt;0,'Assumptions (Hydro)'!Z10*Model!$AW$1335*AVERAGE('Assumptions (Hydro)'!$AS$2:$AU$2)/10^9,0)</f>
        <v>0</v>
      </c>
      <c r="BB1542" s="105">
        <f>IF($AW$1335&gt;0,'Assumptions (Hydro)'!AA10*Model!$AW$1335*AVERAGE('Assumptions (Hydro)'!$AS$2:$AU$2)/10^9,0)</f>
        <v>0</v>
      </c>
      <c r="BC1542" s="105">
        <f>IF($AW$1335&gt;0,'Assumptions (Hydro)'!AB10*Model!$AW$1335*AVERAGE('Assumptions (Hydro)'!$AS$2:$AU$2)/10^9,0)</f>
        <v>0</v>
      </c>
      <c r="BD1542" s="105">
        <f>IF($AW$1335&gt;0,'Assumptions (Hydro)'!AC10*Model!$AW$1335*AVERAGE('Assumptions (Hydro)'!$AS$2:$AU$2)/10^9,0)</f>
        <v>0</v>
      </c>
      <c r="BE1542" s="105">
        <f>IF($AW$1335&gt;0,'Assumptions (Hydro)'!AD10*Model!$AW$1335*AVERAGE('Assumptions (Hydro)'!$AS$2:$AU$2)/10^9,0)</f>
        <v>0</v>
      </c>
      <c r="BF1542" s="105">
        <f>IF($AW$1335&gt;0,'Assumptions (Hydro)'!AE10*Model!$AW$1335*AVERAGE('Assumptions (Hydro)'!$AS$2:$AU$2)/10^9,0)</f>
        <v>0</v>
      </c>
      <c r="BG1542" s="105">
        <f>IF($AW$1335&gt;0,'Assumptions (Hydro)'!AF10*Model!$AW$1335*AVERAGE('Assumptions (Hydro)'!$AS$2:$AU$2)/10^9,0)</f>
        <v>0</v>
      </c>
      <c r="BH1542" s="105">
        <f>IF($AW$1335&gt;0,'Assumptions (Hydro)'!AG10*Model!$AW$1335*AVERAGE('Assumptions (Hydro)'!$AS$2:$AU$2)/10^9,0)</f>
        <v>0</v>
      </c>
      <c r="BI1542" s="105">
        <f>IF($AW$1335&gt;0,'Assumptions (Hydro)'!AH10*Model!$AW$1335*AVERAGE('Assumptions (Hydro)'!$AS$2:$AU$2)/10^9,0)</f>
        <v>0</v>
      </c>
      <c r="BJ1542" s="105">
        <f>IF($AW$1335&gt;0,'Assumptions (Hydro)'!AI10*Model!$AW$1335*AVERAGE('Assumptions (Hydro)'!$AS$2:$AU$2)/10^9,0)</f>
        <v>0</v>
      </c>
      <c r="BK1542" s="105">
        <f>IF($AW$1335&gt;0,'Assumptions (Hydro)'!AJ10*Model!$AW$1335*AVERAGE('Assumptions (Hydro)'!$AS$2:$AU$2)/10^9,0)</f>
        <v>0</v>
      </c>
      <c r="BL1542" s="105">
        <f>IF($AW$1335&gt;0,'Assumptions (Hydro)'!AK10*Model!$AW$1335*AVERAGE('Assumptions (Hydro)'!$AS$2:$AU$2)/10^9,0)</f>
        <v>0</v>
      </c>
      <c r="BM1542" s="105"/>
      <c r="BN1542" s="105"/>
      <c r="BO1542" s="105"/>
      <c r="BP1542" s="105"/>
      <c r="BQ1542" s="105"/>
      <c r="BR1542" s="105"/>
      <c r="BS1542" s="105"/>
      <c r="BT1542" s="105"/>
      <c r="BU1542" s="105"/>
    </row>
    <row r="1543" spans="1:73" ht="15.75" hidden="1" customHeight="1" outlineLevel="1">
      <c r="A1543" s="413"/>
      <c r="B1543" s="99"/>
      <c r="C1543" s="99"/>
      <c r="D1543" s="99"/>
      <c r="E1543" s="99"/>
      <c r="F1543" s="99"/>
      <c r="G1543" s="99"/>
      <c r="H1543" s="99"/>
      <c r="I1543" s="99"/>
      <c r="J1543" s="99"/>
      <c r="K1543" s="99"/>
      <c r="L1543" s="99"/>
      <c r="M1543" s="99"/>
      <c r="N1543" s="99"/>
      <c r="O1543" s="99"/>
      <c r="P1543" s="99"/>
      <c r="Q1543" s="99"/>
      <c r="R1543" s="99"/>
      <c r="S1543" s="99"/>
      <c r="T1543" s="99"/>
      <c r="U1543" s="99"/>
      <c r="V1543" s="99"/>
      <c r="W1543" s="105"/>
      <c r="X1543" s="105"/>
      <c r="Y1543" s="105"/>
      <c r="Z1543" s="105"/>
      <c r="AA1543" s="105"/>
      <c r="AB1543" s="105"/>
      <c r="AC1543" s="105"/>
      <c r="AD1543" s="105"/>
      <c r="AE1543" s="105"/>
      <c r="AF1543" s="105"/>
      <c r="AG1543" s="105"/>
      <c r="AH1543" s="105"/>
      <c r="AI1543" s="105"/>
      <c r="AJ1543" s="171"/>
      <c r="AK1543" s="105"/>
      <c r="AL1543" s="91"/>
      <c r="AM1543" s="91"/>
      <c r="AN1543" s="91"/>
      <c r="AO1543" s="105"/>
      <c r="AP1543" s="105"/>
      <c r="AQ1543" s="105"/>
      <c r="AR1543" s="105"/>
      <c r="AS1543" s="105"/>
      <c r="AT1543" s="105"/>
      <c r="AU1543" s="105"/>
      <c r="AV1543" s="105"/>
      <c r="AW1543" s="105"/>
      <c r="AX1543" s="105">
        <f>IF($AX$1335&gt;0,'Assumptions (Hydro)'!V10*Model!$AX$1335*AVERAGE('Assumptions (Hydro)'!$AT$2:$AV$2)/10^9,0)</f>
        <v>0</v>
      </c>
      <c r="AY1543" s="105">
        <f>IF($AX$1335&gt;0,'Assumptions (Hydro)'!W10*Model!$AX$1335*AVERAGE('Assumptions (Hydro)'!$AT$2:$AV$2)/10^9,0)</f>
        <v>0</v>
      </c>
      <c r="AZ1543" s="105">
        <f>IF($AX$1335&gt;0,'Assumptions (Hydro)'!X10*Model!$AX$1335*AVERAGE('Assumptions (Hydro)'!$AT$2:$AV$2)/10^9,0)</f>
        <v>0</v>
      </c>
      <c r="BA1543" s="105">
        <f>IF($AX$1335&gt;0,'Assumptions (Hydro)'!Y10*Model!$AX$1335*AVERAGE('Assumptions (Hydro)'!$AT$2:$AV$2)/10^9,0)</f>
        <v>0</v>
      </c>
      <c r="BB1543" s="105">
        <f>IF($AX$1335&gt;0,'Assumptions (Hydro)'!Z10*Model!$AX$1335*AVERAGE('Assumptions (Hydro)'!$AT$2:$AV$2)/10^9,0)</f>
        <v>0</v>
      </c>
      <c r="BC1543" s="105">
        <f>IF($AX$1335&gt;0,'Assumptions (Hydro)'!AA10*Model!$AX$1335*AVERAGE('Assumptions (Hydro)'!$AT$2:$AV$2)/10^9,0)</f>
        <v>0</v>
      </c>
      <c r="BD1543" s="105">
        <f>IF($AX$1335&gt;0,'Assumptions (Hydro)'!AB10*Model!$AX$1335*AVERAGE('Assumptions (Hydro)'!$AT$2:$AV$2)/10^9,0)</f>
        <v>0</v>
      </c>
      <c r="BE1543" s="105">
        <f>IF($AX$1335&gt;0,'Assumptions (Hydro)'!AC10*Model!$AX$1335*AVERAGE('Assumptions (Hydro)'!$AT$2:$AV$2)/10^9,0)</f>
        <v>0</v>
      </c>
      <c r="BF1543" s="105">
        <f>IF($AX$1335&gt;0,'Assumptions (Hydro)'!AD10*Model!$AX$1335*AVERAGE('Assumptions (Hydro)'!$AT$2:$AV$2)/10^9,0)</f>
        <v>0</v>
      </c>
      <c r="BG1543" s="105">
        <f>IF($AX$1335&gt;0,'Assumptions (Hydro)'!AE10*Model!$AX$1335*AVERAGE('Assumptions (Hydro)'!$AT$2:$AV$2)/10^9,0)</f>
        <v>0</v>
      </c>
      <c r="BH1543" s="105">
        <f>IF($AX$1335&gt;0,'Assumptions (Hydro)'!AF10*Model!$AX$1335*AVERAGE('Assumptions (Hydro)'!$AT$2:$AV$2)/10^9,0)</f>
        <v>0</v>
      </c>
      <c r="BI1543" s="105">
        <f>IF($AX$1335&gt;0,'Assumptions (Hydro)'!AG10*Model!$AX$1335*AVERAGE('Assumptions (Hydro)'!$AT$2:$AV$2)/10^9,0)</f>
        <v>0</v>
      </c>
      <c r="BJ1543" s="105">
        <f>IF($AX$1335&gt;0,'Assumptions (Hydro)'!AH10*Model!$AX$1335*AVERAGE('Assumptions (Hydro)'!$AT$2:$AV$2)/10^9,0)</f>
        <v>0</v>
      </c>
      <c r="BK1543" s="105">
        <f>IF($AX$1335&gt;0,'Assumptions (Hydro)'!AI10*Model!$AX$1335*AVERAGE('Assumptions (Hydro)'!$AT$2:$AV$2)/10^9,0)</f>
        <v>0</v>
      </c>
      <c r="BL1543" s="105">
        <f>IF($AX$1335&gt;0,'Assumptions (Hydro)'!AJ10*Model!$AX$1335*AVERAGE('Assumptions (Hydro)'!$AT$2:$AV$2)/10^9,0)</f>
        <v>0</v>
      </c>
      <c r="BM1543" s="105">
        <f>IF($AX$1335&gt;0,'Assumptions (Hydro)'!AK10*Model!$AX$1335*AVERAGE('Assumptions (Hydro)'!$AT$2:$AV$2)/10^9,0)</f>
        <v>0</v>
      </c>
      <c r="BN1543" s="105"/>
      <c r="BO1543" s="105"/>
      <c r="BP1543" s="105"/>
      <c r="BQ1543" s="105"/>
      <c r="BR1543" s="105"/>
      <c r="BS1543" s="105"/>
      <c r="BT1543" s="105"/>
      <c r="BU1543" s="105"/>
    </row>
    <row r="1544" spans="1:73" ht="15.75" hidden="1" customHeight="1" outlineLevel="1">
      <c r="A1544" s="413"/>
      <c r="B1544" s="99"/>
      <c r="C1544" s="99"/>
      <c r="D1544" s="99"/>
      <c r="E1544" s="99"/>
      <c r="F1544" s="99"/>
      <c r="G1544" s="99"/>
      <c r="H1544" s="99"/>
      <c r="I1544" s="99"/>
      <c r="J1544" s="99"/>
      <c r="K1544" s="99"/>
      <c r="L1544" s="99"/>
      <c r="M1544" s="99"/>
      <c r="N1544" s="99"/>
      <c r="O1544" s="99"/>
      <c r="P1544" s="99"/>
      <c r="Q1544" s="99"/>
      <c r="R1544" s="99"/>
      <c r="S1544" s="99"/>
      <c r="T1544" s="99"/>
      <c r="U1544" s="99"/>
      <c r="V1544" s="99"/>
      <c r="W1544" s="105"/>
      <c r="X1544" s="105"/>
      <c r="Y1544" s="105"/>
      <c r="Z1544" s="105"/>
      <c r="AA1544" s="105"/>
      <c r="AB1544" s="105"/>
      <c r="AC1544" s="105"/>
      <c r="AD1544" s="105"/>
      <c r="AE1544" s="105"/>
      <c r="AF1544" s="105"/>
      <c r="AG1544" s="105"/>
      <c r="AH1544" s="105"/>
      <c r="AI1544" s="105"/>
      <c r="AJ1544" s="171"/>
      <c r="AK1544" s="105"/>
      <c r="AL1544" s="91"/>
      <c r="AM1544" s="91"/>
      <c r="AN1544" s="91"/>
      <c r="AO1544" s="105"/>
      <c r="AP1544" s="105"/>
      <c r="AQ1544" s="105"/>
      <c r="AR1544" s="105"/>
      <c r="AS1544" s="105"/>
      <c r="AT1544" s="105"/>
      <c r="AU1544" s="105"/>
      <c r="AV1544" s="105"/>
      <c r="AW1544" s="105"/>
      <c r="AX1544" s="105"/>
      <c r="AY1544" s="105">
        <f>IF($AY$1335&gt;0,'Assumptions (Hydro)'!V10*Model!$AY$1335*AVERAGE('Assumptions (Hydro)'!$AU$2:$AW$2)/10^9,0)</f>
        <v>0</v>
      </c>
      <c r="AZ1544" s="105">
        <f>IF($AY$1335&gt;0,'Assumptions (Hydro)'!W10*Model!$AY$1335*AVERAGE('Assumptions (Hydro)'!$AU$2:$AW$2)/10^9,0)</f>
        <v>0</v>
      </c>
      <c r="BA1544" s="105">
        <f>IF($AY$1335&gt;0,'Assumptions (Hydro)'!X10*Model!$AY$1335*AVERAGE('Assumptions (Hydro)'!$AU$2:$AW$2)/10^9,0)</f>
        <v>0</v>
      </c>
      <c r="BB1544" s="105">
        <f>IF($AY$1335&gt;0,'Assumptions (Hydro)'!Y10*Model!$AY$1335*AVERAGE('Assumptions (Hydro)'!$AU$2:$AW$2)/10^9,0)</f>
        <v>0</v>
      </c>
      <c r="BC1544" s="105">
        <f>IF($AY$1335&gt;0,'Assumptions (Hydro)'!Z10*Model!$AY$1335*AVERAGE('Assumptions (Hydro)'!$AU$2:$AW$2)/10^9,0)</f>
        <v>0</v>
      </c>
      <c r="BD1544" s="105">
        <f>IF($AY$1335&gt;0,'Assumptions (Hydro)'!AA10*Model!$AY$1335*AVERAGE('Assumptions (Hydro)'!$AU$2:$AW$2)/10^9,0)</f>
        <v>0</v>
      </c>
      <c r="BE1544" s="105">
        <f>IF($AY$1335&gt;0,'Assumptions (Hydro)'!AB10*Model!$AY$1335*AVERAGE('Assumptions (Hydro)'!$AU$2:$AW$2)/10^9,0)</f>
        <v>0</v>
      </c>
      <c r="BF1544" s="105">
        <f>IF($AY$1335&gt;0,'Assumptions (Hydro)'!AC10*Model!$AY$1335*AVERAGE('Assumptions (Hydro)'!$AU$2:$AW$2)/10^9,0)</f>
        <v>0</v>
      </c>
      <c r="BG1544" s="105">
        <f>IF($AY$1335&gt;0,'Assumptions (Hydro)'!AD10*Model!$AY$1335*AVERAGE('Assumptions (Hydro)'!$AU$2:$AW$2)/10^9,0)</f>
        <v>0</v>
      </c>
      <c r="BH1544" s="105">
        <f>IF($AY$1335&gt;0,'Assumptions (Hydro)'!AE10*Model!$AY$1335*AVERAGE('Assumptions (Hydro)'!$AU$2:$AW$2)/10^9,0)</f>
        <v>0</v>
      </c>
      <c r="BI1544" s="105">
        <f>IF($AY$1335&gt;0,'Assumptions (Hydro)'!AF10*Model!$AY$1335*AVERAGE('Assumptions (Hydro)'!$AU$2:$AW$2)/10^9,0)</f>
        <v>0</v>
      </c>
      <c r="BJ1544" s="105">
        <f>IF($AY$1335&gt;0,'Assumptions (Hydro)'!AG10*Model!$AY$1335*AVERAGE('Assumptions (Hydro)'!$AU$2:$AW$2)/10^9,0)</f>
        <v>0</v>
      </c>
      <c r="BK1544" s="105">
        <f>IF($AY$1335&gt;0,'Assumptions (Hydro)'!AH10*Model!$AY$1335*AVERAGE('Assumptions (Hydro)'!$AU$2:$AW$2)/10^9,0)</f>
        <v>0</v>
      </c>
      <c r="BL1544" s="105">
        <f>IF($AY$1335&gt;0,'Assumptions (Hydro)'!AI10*Model!$AY$1335*AVERAGE('Assumptions (Hydro)'!$AU$2:$AW$2)/10^9,0)</f>
        <v>0</v>
      </c>
      <c r="BM1544" s="105">
        <f>IF($AY$1335&gt;0,'Assumptions (Hydro)'!AJ10*Model!$AY$1335*AVERAGE('Assumptions (Hydro)'!$AU$2:$AW$2)/10^9,0)</f>
        <v>0</v>
      </c>
      <c r="BN1544" s="105">
        <f>IF($AY$1335&gt;0,'Assumptions (Hydro)'!AK10*Model!$AY$1335*AVERAGE('Assumptions (Hydro)'!$AU$2:$AW$2)/10^9,0)</f>
        <v>0</v>
      </c>
      <c r="BO1544" s="105"/>
      <c r="BP1544" s="105"/>
      <c r="BQ1544" s="105"/>
      <c r="BR1544" s="105"/>
      <c r="BS1544" s="105"/>
      <c r="BT1544" s="105"/>
      <c r="BU1544" s="105"/>
    </row>
    <row r="1545" spans="1:73" ht="15.75" hidden="1" customHeight="1" outlineLevel="1">
      <c r="A1545" s="413"/>
      <c r="B1545" s="99"/>
      <c r="C1545" s="99"/>
      <c r="D1545" s="99"/>
      <c r="E1545" s="99"/>
      <c r="F1545" s="99"/>
      <c r="G1545" s="99"/>
      <c r="H1545" s="99"/>
      <c r="I1545" s="99"/>
      <c r="J1545" s="99"/>
      <c r="K1545" s="99"/>
      <c r="L1545" s="99"/>
      <c r="M1545" s="99"/>
      <c r="N1545" s="99"/>
      <c r="O1545" s="99"/>
      <c r="P1545" s="99"/>
      <c r="Q1545" s="99"/>
      <c r="R1545" s="99"/>
      <c r="S1545" s="99"/>
      <c r="T1545" s="99"/>
      <c r="U1545" s="99"/>
      <c r="V1545" s="99"/>
      <c r="W1545" s="105"/>
      <c r="X1545" s="105"/>
      <c r="Y1545" s="105"/>
      <c r="Z1545" s="105"/>
      <c r="AA1545" s="105"/>
      <c r="AB1545" s="105"/>
      <c r="AC1545" s="105"/>
      <c r="AD1545" s="105"/>
      <c r="AE1545" s="105"/>
      <c r="AF1545" s="105"/>
      <c r="AG1545" s="105"/>
      <c r="AH1545" s="105"/>
      <c r="AI1545" s="105"/>
      <c r="AJ1545" s="171"/>
      <c r="AK1545" s="105"/>
      <c r="AL1545" s="91"/>
      <c r="AM1545" s="91"/>
      <c r="AN1545" s="91"/>
      <c r="AO1545" s="105"/>
      <c r="AP1545" s="105"/>
      <c r="AQ1545" s="105"/>
      <c r="AR1545" s="105"/>
      <c r="AS1545" s="105"/>
      <c r="AT1545" s="105"/>
      <c r="AU1545" s="105"/>
      <c r="AV1545" s="105"/>
      <c r="AW1545" s="105"/>
      <c r="AX1545" s="105"/>
      <c r="AY1545" s="105"/>
      <c r="AZ1545" s="105">
        <f>IF($AZ$1335&gt;0,'Assumptions (Hydro)'!V10*Model!$AZ$1335*AVERAGE('Assumptions (Hydro)'!$AV$2:$AX$2)/10^9,0)</f>
        <v>0</v>
      </c>
      <c r="BA1545" s="105">
        <f>IF($AZ$1335&gt;0,'Assumptions (Hydro)'!W10*Model!$AZ$1335*AVERAGE('Assumptions (Hydro)'!$AV$2:$AX$2)/10^9,0)</f>
        <v>0</v>
      </c>
      <c r="BB1545" s="105">
        <f>IF($AZ$1335&gt;0,'Assumptions (Hydro)'!X10*Model!$AZ$1335*AVERAGE('Assumptions (Hydro)'!$AV$2:$AX$2)/10^9,0)</f>
        <v>0</v>
      </c>
      <c r="BC1545" s="105">
        <f>IF($AZ$1335&gt;0,'Assumptions (Hydro)'!Y10*Model!$AZ$1335*AVERAGE('Assumptions (Hydro)'!$AV$2:$AX$2)/10^9,0)</f>
        <v>0</v>
      </c>
      <c r="BD1545" s="105">
        <f>IF($AZ$1335&gt;0,'Assumptions (Hydro)'!Z10*Model!$AZ$1335*AVERAGE('Assumptions (Hydro)'!$AV$2:$AX$2)/10^9,0)</f>
        <v>0</v>
      </c>
      <c r="BE1545" s="105">
        <f>IF($AZ$1335&gt;0,'Assumptions (Hydro)'!AA10*Model!$AZ$1335*AVERAGE('Assumptions (Hydro)'!$AV$2:$AX$2)/10^9,0)</f>
        <v>0</v>
      </c>
      <c r="BF1545" s="105">
        <f>IF($AZ$1335&gt;0,'Assumptions (Hydro)'!AB10*Model!$AZ$1335*AVERAGE('Assumptions (Hydro)'!$AV$2:$AX$2)/10^9,0)</f>
        <v>0</v>
      </c>
      <c r="BG1545" s="105">
        <f>IF($AZ$1335&gt;0,'Assumptions (Hydro)'!AC10*Model!$AZ$1335*AVERAGE('Assumptions (Hydro)'!$AV$2:$AX$2)/10^9,0)</f>
        <v>0</v>
      </c>
      <c r="BH1545" s="105">
        <f>IF($AZ$1335&gt;0,'Assumptions (Hydro)'!AD10*Model!$AZ$1335*AVERAGE('Assumptions (Hydro)'!$AV$2:$AX$2)/10^9,0)</f>
        <v>0</v>
      </c>
      <c r="BI1545" s="105">
        <f>IF($AZ$1335&gt;0,'Assumptions (Hydro)'!AE10*Model!$AZ$1335*AVERAGE('Assumptions (Hydro)'!$AV$2:$AX$2)/10^9,0)</f>
        <v>0</v>
      </c>
      <c r="BJ1545" s="105">
        <f>IF($AZ$1335&gt;0,'Assumptions (Hydro)'!AF10*Model!$AZ$1335*AVERAGE('Assumptions (Hydro)'!$AV$2:$AX$2)/10^9,0)</f>
        <v>0</v>
      </c>
      <c r="BK1545" s="105">
        <f>IF($AZ$1335&gt;0,'Assumptions (Hydro)'!AG10*Model!$AZ$1335*AVERAGE('Assumptions (Hydro)'!$AV$2:$AX$2)/10^9,0)</f>
        <v>0</v>
      </c>
      <c r="BL1545" s="105">
        <f>IF($AZ$1335&gt;0,'Assumptions (Hydro)'!AH10*Model!$AZ$1335*AVERAGE('Assumptions (Hydro)'!$AV$2:$AX$2)/10^9,0)</f>
        <v>0</v>
      </c>
      <c r="BM1545" s="105">
        <f>IF($AZ$1335&gt;0,'Assumptions (Hydro)'!AI10*Model!$AZ$1335*AVERAGE('Assumptions (Hydro)'!$AV$2:$AX$2)/10^9,0)</f>
        <v>0</v>
      </c>
      <c r="BN1545" s="105">
        <f>IF($AZ$1335&gt;0,'Assumptions (Hydro)'!AJ10*Model!$AZ$1335*AVERAGE('Assumptions (Hydro)'!$AV$2:$AX$2)/10^9,0)</f>
        <v>0</v>
      </c>
      <c r="BO1545" s="105">
        <f>IF($AZ$1335&gt;0,'Assumptions (Hydro)'!AK10*Model!$AZ$1335*AVERAGE('Assumptions (Hydro)'!$AV$2:$AX$2)/10^9,0)</f>
        <v>0</v>
      </c>
      <c r="BP1545" s="105"/>
      <c r="BQ1545" s="105"/>
      <c r="BR1545" s="105"/>
      <c r="BS1545" s="105"/>
      <c r="BT1545" s="105"/>
      <c r="BU1545" s="105"/>
    </row>
    <row r="1546" spans="1:73" ht="15.75" hidden="1" customHeight="1" outlineLevel="1">
      <c r="A1546" s="413"/>
      <c r="B1546" s="99"/>
      <c r="C1546" s="99"/>
      <c r="D1546" s="99"/>
      <c r="E1546" s="99"/>
      <c r="F1546" s="99"/>
      <c r="G1546" s="99"/>
      <c r="H1546" s="99"/>
      <c r="I1546" s="99"/>
      <c r="J1546" s="99"/>
      <c r="K1546" s="99"/>
      <c r="L1546" s="99"/>
      <c r="M1546" s="99"/>
      <c r="N1546" s="99"/>
      <c r="O1546" s="99"/>
      <c r="P1546" s="99"/>
      <c r="Q1546" s="99"/>
      <c r="R1546" s="99"/>
      <c r="S1546" s="99"/>
      <c r="T1546" s="99"/>
      <c r="U1546" s="99"/>
      <c r="V1546" s="99"/>
      <c r="W1546" s="105"/>
      <c r="X1546" s="105"/>
      <c r="Y1546" s="105"/>
      <c r="Z1546" s="105"/>
      <c r="AA1546" s="105"/>
      <c r="AB1546" s="105"/>
      <c r="AC1546" s="105"/>
      <c r="AD1546" s="105"/>
      <c r="AE1546" s="105"/>
      <c r="AF1546" s="105"/>
      <c r="AG1546" s="105"/>
      <c r="AH1546" s="105"/>
      <c r="AI1546" s="105"/>
      <c r="AJ1546" s="171"/>
      <c r="AK1546" s="105"/>
      <c r="AL1546" s="91"/>
      <c r="AM1546" s="91"/>
      <c r="AN1546" s="91"/>
      <c r="AO1546" s="105"/>
      <c r="AP1546" s="105"/>
      <c r="AQ1546" s="105"/>
      <c r="AR1546" s="105"/>
      <c r="AS1546" s="105"/>
      <c r="AT1546" s="105"/>
      <c r="AU1546" s="105"/>
      <c r="AV1546" s="105"/>
      <c r="AW1546" s="105"/>
      <c r="AX1546" s="105"/>
      <c r="AY1546" s="105"/>
      <c r="AZ1546" s="105"/>
      <c r="BA1546" s="105">
        <f>IF($BA$1335&gt;0,'Assumptions (Hydro)'!V10*Model!$BA$1335*AVERAGE('Assumptions (Hydro)'!$AW$2:$AY$2)/10^9,0)</f>
        <v>1.1690242149499729E-2</v>
      </c>
      <c r="BB1546" s="105">
        <f>IF($BA$1335&gt;0,'Assumptions (Hydro)'!W10*Model!$BA$1335*AVERAGE('Assumptions (Hydro)'!$AW$2:$AY$2)/10^9,0)</f>
        <v>2.2211460084049485E-2</v>
      </c>
      <c r="BC1546" s="105">
        <f>IF($BA$1335&gt;0,'Assumptions (Hydro)'!X10*Model!$BA$1335*AVERAGE('Assumptions (Hydro)'!$AW$2:$AY$2)/10^9,0)</f>
        <v>1.9990314075644538E-2</v>
      </c>
      <c r="BD1546" s="105">
        <f>IF($BA$1335&gt;0,'Assumptions (Hydro)'!Y10*Model!$BA$1335*AVERAGE('Assumptions (Hydro)'!$AW$2:$AY$2)/10^9,0)</f>
        <v>1.8002972910229582E-2</v>
      </c>
      <c r="BE1546" s="105">
        <f>IF($BA$1335&gt;0,'Assumptions (Hydro)'!Z10*Model!$BA$1335*AVERAGE('Assumptions (Hydro)'!$AW$2:$AY$2)/10^9,0)</f>
        <v>1.6202675619206623E-2</v>
      </c>
      <c r="BF1546" s="105">
        <f>IF($BA$1335&gt;0,'Assumptions (Hydro)'!AA10*Model!$BA$1335*AVERAGE('Assumptions (Hydro)'!$AW$2:$AY$2)/10^9,0)</f>
        <v>1.456604171827666E-2</v>
      </c>
      <c r="BG1546" s="105">
        <f>IF($BA$1335&gt;0,'Assumptions (Hydro)'!AB10*Model!$BA$1335*AVERAGE('Assumptions (Hydro)'!$AW$2:$AY$2)/10^9,0)</f>
        <v>1.3794485736409678E-2</v>
      </c>
      <c r="BH1546" s="105">
        <f>IF($BA$1335&gt;0,'Assumptions (Hydro)'!AC10*Model!$BA$1335*AVERAGE('Assumptions (Hydro)'!$AW$2:$AY$2)/10^9,0)</f>
        <v>1.3794485736409678E-2</v>
      </c>
      <c r="BI1546" s="105">
        <f>IF($BA$1335&gt;0,'Assumptions (Hydro)'!AD10*Model!$BA$1335*AVERAGE('Assumptions (Hydro)'!$AW$2:$AY$2)/10^9,0)</f>
        <v>1.3817866220708679E-2</v>
      </c>
      <c r="BJ1546" s="105">
        <f>IF($BA$1335&gt;0,'Assumptions (Hydro)'!AE10*Model!$BA$1335*AVERAGE('Assumptions (Hydro)'!$AW$2:$AY$2)/10^9,0)</f>
        <v>1.3794485736409678E-2</v>
      </c>
      <c r="BK1546" s="105">
        <f>IF($BA$1335&gt;0,'Assumptions (Hydro)'!AF10*Model!$BA$1335*AVERAGE('Assumptions (Hydro)'!$AW$2:$AY$2)/10^9,0)</f>
        <v>1.3817866220708679E-2</v>
      </c>
      <c r="BL1546" s="105">
        <f>IF($BA$1335&gt;0,'Assumptions (Hydro)'!AG10*Model!$BA$1335*AVERAGE('Assumptions (Hydro)'!$AW$2:$AY$2)/10^9,0)</f>
        <v>1.3794485736409678E-2</v>
      </c>
      <c r="BM1546" s="105">
        <f>IF($BA$1335&gt;0,'Assumptions (Hydro)'!AH10*Model!$BA$1335*AVERAGE('Assumptions (Hydro)'!$AW$2:$AY$2)/10^9,0)</f>
        <v>1.3817866220708679E-2</v>
      </c>
      <c r="BN1546" s="105">
        <f>IF($BA$1335&gt;0,'Assumptions (Hydro)'!AI10*Model!$BA$1335*AVERAGE('Assumptions (Hydro)'!$AW$2:$AY$2)/10^9,0)</f>
        <v>1.3794485736409678E-2</v>
      </c>
      <c r="BO1546" s="105">
        <f>IF($BA$1335&gt;0,'Assumptions (Hydro)'!AJ10*Model!$BA$1335*AVERAGE('Assumptions (Hydro)'!$AW$2:$AY$2)/10^9,0)</f>
        <v>1.3817866220708679E-2</v>
      </c>
      <c r="BP1546" s="105">
        <f>IF($BA$1335&gt;0,'Assumptions (Hydro)'!AK10*Model!$BA$1335*AVERAGE('Assumptions (Hydro)'!$AW$2:$AY$2)/10^9,0)</f>
        <v>6.8972428682048392E-3</v>
      </c>
      <c r="BQ1546" s="105"/>
      <c r="BR1546" s="105"/>
      <c r="BS1546" s="105"/>
      <c r="BT1546" s="105"/>
      <c r="BU1546" s="105"/>
    </row>
    <row r="1547" spans="1:73" ht="15.75" customHeight="1" collapsed="1">
      <c r="A1547" s="413" t="s">
        <v>62</v>
      </c>
      <c r="B1547" s="99" t="s">
        <v>201</v>
      </c>
      <c r="C1547" s="105">
        <f>IF(Model!C1333+Model!C1334-C1332-C1495+C1443&gt;0,(1-'Assumptions (Hydro)'!B22)*(Model!C1333+Model!C1334-C1332-C1495+C1443)+Model!C1495-C1390-+Model!C1391,Model!C1333+Model!C1334-C1332+C1443-C1390+Model!C1391)</f>
        <v>10.062231627190563</v>
      </c>
      <c r="D1547" s="105">
        <f>IF(Model!D1333+Model!D1334-D1332-D1495+D1443&gt;0,(1-'Assumptions (Hydro)'!C22)*(Model!D1333+Model!D1334-D1332-D1495+D1443)+Model!D1495-D1390-+Model!D1391,Model!D1333+Model!D1334-D1332+D1443-D1390+Model!D1391)</f>
        <v>7.9191509410574952</v>
      </c>
      <c r="E1547" s="105">
        <f>IF(Model!E1333+Model!E1334-E1332-E1495+E1443&gt;0,(1-'Assumptions (Hydro)'!D22)*(Model!E1333+Model!E1334-E1332-E1495+E1443)+Model!E1495-E1390-+Model!E1391,Model!E1333+Model!E1334-E1332+E1443-E1390+Model!E1391)</f>
        <v>8.9429858660024841</v>
      </c>
      <c r="F1547" s="105">
        <f>IF(Model!F1333+Model!F1334-F1332-F1495+F1443&gt;0,(1-'Assumptions (Hydro)'!E22)*(Model!F1333+Model!F1334-F1332-F1495+F1443)+Model!F1495-F1390-+Model!F1391,Model!F1333+Model!F1334-F1332+F1443-F1390+Model!F1391)</f>
        <v>11.787385122773607</v>
      </c>
      <c r="G1547" s="105">
        <f>IF(Model!G1333+Model!G1334-G1332-G1495+G1443&gt;0,(1-'Assumptions (Hydro)'!F22)*(Model!G1333+Model!G1334-G1332-G1495+G1443)+Model!G1495-G1390-+Model!G1391,Model!G1333+Model!G1334-G1332+G1443-G1390+Model!G1391)</f>
        <v>12.106490554908346</v>
      </c>
      <c r="H1547" s="105">
        <f>IF(Model!H1333+Model!H1334-H1332-H1495+H1443&gt;0,(1-'Assumptions (Hydro)'!G22)*(Model!H1333+Model!H1334-H1332-H1495+H1443)+Model!H1495-H1390-+Model!H1391,Model!H1333+Model!H1334-H1332+H1443-H1390+Model!H1391)</f>
        <v>15.094254801323988</v>
      </c>
      <c r="I1547" s="105">
        <f>IF(Model!I1333+Model!I1334-I1332-I1495+I1443&gt;0,(1-'Assumptions (Hydro)'!H22)*(Model!I1333+Model!I1334-I1332-I1495+I1443)+Model!I1495-I1390-+Model!I1391,Model!I1333+Model!I1334-I1332+I1443-I1390+Model!I1391)</f>
        <v>14.441166010441394</v>
      </c>
      <c r="J1547" s="105">
        <f>IF(Model!J1333+Model!J1334-J1332-J1495+J1443&gt;0,(1-'Assumptions (Hydro)'!I22)*(Model!J1333+Model!J1334-J1332-J1495+J1443)+Model!J1495-J1390-+Model!J1391,Model!J1333+Model!J1334-J1332+J1443-J1390+Model!J1391)</f>
        <v>13.062186349424584</v>
      </c>
      <c r="K1547" s="105">
        <f>IF(Model!K1333+Model!K1334-K1332-K1495+K1443&gt;0,(1-'Assumptions (Hydro)'!J22)*(Model!K1333+Model!K1334-K1332-K1495+K1443)+Model!K1495-K1390-+Model!K1391,Model!K1333+Model!K1334-K1332+K1443-K1390+Model!K1391)</f>
        <v>15.694020408313248</v>
      </c>
      <c r="L1547" s="105">
        <f>IF(Model!L1333+Model!L1334-L1332-L1495+L1443&gt;0,(1-'Assumptions (Hydro)'!K22)*(Model!L1333+Model!L1334-L1332-L1495+L1443)+Model!L1495-L1390-+Model!L1391,Model!L1333+Model!L1334-L1332+L1443-L1390+Model!L1391)</f>
        <v>11.447306792218358</v>
      </c>
      <c r="M1547" s="105">
        <f>IF(Model!M1333+Model!M1334-M1332-M1495+M1443&gt;0,(1-'Assumptions (Hydro)'!L22)*(Model!M1333+Model!M1334-M1332-M1495+M1443)+Model!M1495-M1390-+Model!M1391,Model!M1333+Model!M1334-M1332+M1443-M1390+Model!M1391)</f>
        <v>10.81781800967212</v>
      </c>
      <c r="N1547" s="105">
        <f>IF(Model!N1333+Model!N1334-N1332-N1495+N1443&gt;0,(1-'Assumptions (Hydro)'!M22)*(Model!N1333+Model!N1334-N1332-N1495+N1443)+Model!N1495-N1390-+Model!N1391,Model!N1333+Model!N1334-N1332+N1443-N1390+Model!N1391)</f>
        <v>13.038500341684855</v>
      </c>
      <c r="O1547" s="105">
        <f>IF(Model!O1333+Model!O1334-O1332-O1495+O1443&gt;0,(1-'Assumptions (Hydro)'!N22)*(Model!O1333+Model!O1334-O1332-O1495+O1443)+Model!O1495-O1390-+Model!O1391,Model!O1333+Model!O1334-O1332+O1443-O1390+Model!O1391)</f>
        <v>9.4330348732132521</v>
      </c>
      <c r="P1547" s="105">
        <f>IF(Model!P1333+Model!P1334-P1332-P1495+P1443&gt;0,(1-'Assumptions (Hydro)'!O22)*(Model!P1333+Model!P1334-P1332-P1495+P1443)+Model!P1495-P1390-+Model!P1391,Model!P1333+Model!P1334-P1332+P1443-P1390+Model!P1391)</f>
        <v>10.242227763631931</v>
      </c>
      <c r="Q1547" s="105">
        <f>IF(Model!Q1333+Model!Q1334-Q1332-Q1495+Q1443&gt;0,(1-'Assumptions (Hydro)'!P22)*(Model!Q1333+Model!Q1334-Q1332-Q1495+Q1443)+Model!Q1495-Q1390-+Model!Q1391,Model!Q1333+Model!Q1334-Q1332+Q1443-Q1390+Model!Q1391)</f>
        <v>10.6899146379124</v>
      </c>
      <c r="R1547" s="105">
        <f>IF(Model!R1333+Model!R1334-R1332-R1495+R1443&gt;0,(1-'Assumptions (Hydro)'!Q22)*(Model!R1333+Model!R1334-R1332-R1495+R1443)+Model!R1495-R1390-+Model!R1391,Model!R1333+Model!R1334-R1332+R1443-R1390+Model!R1391)</f>
        <v>8.1659821307560758</v>
      </c>
      <c r="S1547" s="105">
        <f>IF(Model!S1333+Model!S1334-S1332-S1495+S1443&gt;0,(1-'Assumptions (Hydro)'!R22)*(Model!S1333+Model!S1334-S1332-S1495+S1443)+Model!S1495-S1390-+Model!S1391,Model!S1333+Model!S1334-S1332+S1443-S1390+Model!S1391)</f>
        <v>9.6276211547252171</v>
      </c>
      <c r="T1547" s="105">
        <f>IF(Model!T1333+Model!T1334-T1332-T1495+T1443&gt;0,(1-'Assumptions (Hydro)'!S22)*(Model!T1333+Model!T1334-T1332-T1495+T1443)+Model!T1495-T1390-+Model!T1391,Model!T1333+Model!T1334-T1332+T1443-T1390+Model!T1391)</f>
        <v>10.552879296379134</v>
      </c>
      <c r="U1547" s="105">
        <f>IF(Model!U1333+Model!U1334-U1332-U1495+U1443&gt;0,(1-'Assumptions (Hydro)'!T22)*(Model!U1333+Model!U1334-U1332-U1495+U1443)+Model!U1495-U1390-+Model!U1391,Model!U1333+Model!U1334-U1332+U1443-U1390+Model!U1391)</f>
        <v>10.194571614806389</v>
      </c>
      <c r="V1547" s="105">
        <f>IF(Model!V1333+Model!V1334-V1332-V1495+V1443&gt;0,(1-'Assumptions (Hydro)'!U22)*(Model!V1333+Model!V1334-V1332-V1495+V1443)+Model!V1495-V1390-+Model!V1391,Model!V1333+Model!V1334-V1332+V1443-V1390+Model!V1391)</f>
        <v>11.157216042532985</v>
      </c>
      <c r="W1547" s="105">
        <f>IF(Model!W1333+Model!W1334-W1332-W1495+W1443&gt;0,(1-'Assumptions (Hydro)'!V22)*(Model!W1333+Model!W1334-W1332-W1495+W1443)+Model!W1495-W1390-+Model!W1391,Model!W1333+Model!W1334-W1332+W1443-W1390+Model!W1391)</f>
        <v>12.411465244451875</v>
      </c>
      <c r="X1547" s="105">
        <f>IF(Model!X1333+Model!X1334-X1332-X1495+X1443&gt;0,(1-'Assumptions (Hydro)'!W22)*(Model!X1333+Model!X1334-X1332-X1495+X1443)+Model!X1495-X1390-+Model!X1391,Model!X1333+Model!X1334-X1332+X1443-X1390+Model!X1391)</f>
        <v>13.690411433673336</v>
      </c>
      <c r="Y1547" s="105">
        <f>IF(Model!Y1333+Model!Y1334-Y1332-Y1495+Y1443&gt;0,(1-'Assumptions (Hydro)'!X22)*(Model!Y1333+Model!Y1334-Y1332-Y1495+Y1443)+Model!Y1495-Y1390-+Model!Y1391,Model!Y1333+Model!Y1334-Y1332+Y1443-Y1390+Model!Y1391)</f>
        <v>13.46498620352572</v>
      </c>
      <c r="Z1547" s="105">
        <f>IF(Model!Z1333+Model!Z1334-Z1332-Z1495+Z1443&gt;0,(1-'Assumptions (Hydro)'!Y22)*(Model!Z1333+Model!Z1334-Z1332-Z1495+Z1443)+Model!Z1495-Z1390-+Model!Z1391,Model!Z1333+Model!Z1334-Z1332+Z1443-Z1390+Model!Z1391)</f>
        <v>13.218652820316981</v>
      </c>
      <c r="AA1547" s="105">
        <f>IF(Model!AA1333+Model!AA1334-AA1332-AA1495+AA1443&gt;0,(1-'Assumptions (Hydro)'!Z22)*(Model!AA1333+Model!AA1334-AA1332-AA1495+AA1443)+Model!AA1495-AA1390-+Model!AA1391,Model!AA1333+Model!AA1334-AA1332+AA1443-AA1390+Model!AA1391)</f>
        <v>13.007112663374919</v>
      </c>
      <c r="AB1547" s="105">
        <f>IF(Model!AB1333+Model!AB1334-AB1332-AB1495+AB1443&gt;0,(1-'Assumptions (Hydro)'!AA22)*(Model!AB1333+Model!AB1334-AB1332-AB1495+AB1443)+Model!AB1495-AB1390-+Model!AB1391,Model!AB1333+Model!AB1334-AB1332+AB1443-AB1390+Model!AB1391)</f>
        <v>12.918640952977352</v>
      </c>
      <c r="AC1547" s="105">
        <f>IF(Model!AC1333+Model!AC1334-AC1332-AC1495+AC1443&gt;0,(1-'Assumptions (Hydro)'!AB22)*(Model!AC1333+Model!AC1334-AC1332-AC1495+AC1443)+Model!AC1495-AC1390-+Model!AC1391,Model!AC1333+Model!AC1334-AC1332+AC1443-AC1390+Model!AC1391)</f>
        <v>12.622120826014037</v>
      </c>
      <c r="AD1547" s="105">
        <f>IF(Model!AD1333+Model!AD1334-AD1332-AD1495+AD1443&gt;0,(1-'Assumptions (Hydro)'!AC22)*(Model!AD1333+Model!AD1334-AD1332-AD1495+AD1443)+Model!AD1495-AD1390-+Model!AD1391,Model!AD1333+Model!AD1334-AD1332+AD1443-AD1390+Model!AD1391)</f>
        <v>12.333470244496231</v>
      </c>
      <c r="AE1547" s="105">
        <f>IF(Model!AE1333+Model!AE1334-AE1332-AE1495+AE1443&gt;0,(1-'Assumptions (Hydro)'!AD22)*(Model!AE1333+Model!AE1334-AE1332-AE1495+AE1443)+Model!AE1495-AE1390-+Model!AE1391,Model!AE1333+Model!AE1334-AE1332+AE1443-AE1390+Model!AE1391)</f>
        <v>11.997009929826014</v>
      </c>
      <c r="AF1547" s="105">
        <f>IF(Model!AF1333+Model!AF1334-AF1332-AF1495+AF1443&gt;0,(1-'Assumptions (Hydro)'!AE22)*(Model!AF1333+Model!AF1334-AF1332-AF1495+AF1443)+Model!AF1495-AF1390-+Model!AF1391,Model!AF1333+Model!AF1334-AF1332+AF1443-AF1390+Model!AF1391)</f>
        <v>11.696274447647875</v>
      </c>
      <c r="AG1547" s="105">
        <f>IF(Model!AG1333+Model!AG1334-AG1332-AG1495+AG1443&gt;0,(1-'Assumptions (Hydro)'!AF22)*(Model!AG1333+Model!AG1334-AG1332-AG1495+AG1443)+Model!AG1495-AG1390-+Model!AG1391,Model!AG1333+Model!AG1334-AG1332+AG1443-AG1390+Model!AG1391)</f>
        <v>11.386499614718138</v>
      </c>
      <c r="AH1547" s="105">
        <f>IF(Model!AH1333+Model!AH1334-AH1332-AH1495+AH1443&gt;0,(1-'Assumptions (Hydro)'!AG22)*(Model!AH1333+Model!AH1334-AH1332-AH1495+AH1443)+Model!AH1495-AH1390-+Model!AH1391,Model!AH1333+Model!AH1334-AH1332+AH1443-AH1390+Model!AH1391)</f>
        <v>11.041498717531518</v>
      </c>
      <c r="AI1547" s="105">
        <f>IF(Model!AI1333+Model!AI1334-AI1332-AI1495+AI1443&gt;0,(1-'Assumptions (Hydro)'!AH22)*(Model!AI1333+Model!AI1334-AI1332-AI1495+AI1443)+Model!AI1495-AI1390-+Model!AI1391,Model!AI1333+Model!AI1334-AI1332+AI1443-AI1390+Model!AI1391)</f>
        <v>10.647573255622465</v>
      </c>
      <c r="AJ1547" s="105">
        <f>IF(Model!AJ1333+Model!AJ1334-AJ1332-AJ1495+AJ1443&gt;0,(1-'Assumptions (Hydro)'!AI22)*(Model!AJ1333+Model!AJ1334-AJ1332-AJ1495+AJ1443)+Model!AJ1495-AJ1390-+Model!AJ1391,Model!AJ1333+Model!AJ1334-AJ1332+AJ1443-AJ1390+Model!AJ1391)</f>
        <v>10.244611748537874</v>
      </c>
      <c r="AK1547" s="105">
        <f>IF(Model!AK1333+Model!AK1334-AK1332-AK1495+AK1443&gt;0,(1-'Assumptions (Hydro)'!AJ22)*(Model!AK1333+Model!AK1334-AK1332-AK1495+AK1443)+Model!AK1495-AK1390-+Model!AK1391,Model!AK1333+Model!AK1334-AK1332+AK1443-AK1390+Model!AK1391)</f>
        <v>9.8347926475799667</v>
      </c>
      <c r="AL1547" s="105">
        <f>IF(Model!AL1333+Model!AL1334-AL1332-AL1495+AL1443&gt;0,(1-'Assumptions (Hydro)'!AK22)*(Model!AL1333+Model!AL1334-AL1332-AL1495+AL1443)+Model!AL1495-AL1390-+Model!AL1391,Model!AL1333+Model!AL1334-AL1332+AL1443-AL1390+Model!AL1391)</f>
        <v>9.4475684982896588</v>
      </c>
      <c r="AM1547" s="105">
        <f>IF(Model!AM1333+Model!AM1334-AM1332-AM1495+AM1443&gt;0,(1-'Assumptions (Hydro)'!AL22)*(Model!AM1333+Model!AM1334-AM1332-AM1495+AM1443)+Model!AM1495-AM1390-+Model!AM1391,Model!AM1333+Model!AM1334-AM1332+AM1443-AM1390+Model!AM1391)</f>
        <v>8.4014847946708624</v>
      </c>
      <c r="AN1547" s="105">
        <f>IF(Model!AN1333+Model!AN1334-AN1332-AN1495+AN1443&gt;0,(1-'Assumptions (Hydro)'!AM22)*(Model!AN1333+Model!AN1334-AN1332-AN1495+AN1443)+Model!AN1495-AN1390-+Model!AN1391,Model!AN1333+Model!AN1334-AN1332+AN1443-AN1390+Model!AN1391)</f>
        <v>7.8922895868955587</v>
      </c>
      <c r="AO1547" s="105">
        <f>IF(Model!AO1333+Model!AO1334-AO1332-AO1495+AO1443&gt;0,(1-'Assumptions (Hydro)'!AN22)*(Model!AO1333+Model!AO1334-AO1332-AO1495+AO1443)+Model!AO1495-AO1390-+Model!AO1391,Model!AO1333+Model!AO1334-AO1332+AO1443-AO1390+Model!AO1391)</f>
        <v>7.4541324235746496</v>
      </c>
      <c r="AP1547" s="105">
        <f>IF(Model!AP1333+Model!AP1334-AP1332-AP1495+AP1443&gt;0,(1-'Assumptions (Hydro)'!AO22)*(Model!AP1333+Model!AP1334-AP1332-AP1495+AP1443)+Model!AP1495-AP1390-+Model!AP1391,Model!AP1333+Model!AP1334-AP1332+AP1443-AP1390+Model!AP1391)</f>
        <v>6.9904926001280137</v>
      </c>
      <c r="AQ1547" s="105">
        <f>IF(Model!AQ1333+Model!AQ1334-AQ1332-AQ1495+AQ1443&gt;0,(1-'Assumptions (Hydro)'!AP22)*(Model!AQ1333+Model!AQ1334-AQ1332-AQ1495+AQ1443)+Model!AQ1495-AQ1390-+Model!AQ1391,Model!AQ1333+Model!AQ1334-AQ1332+AQ1443-AQ1390+Model!AQ1391)</f>
        <v>6.4865565531323588</v>
      </c>
      <c r="AR1547" s="105">
        <f>IF(Model!AR1333+Model!AR1334-AR1332-AR1495+AR1443&gt;0,(1-'Assumptions (Hydro)'!AQ22)*(Model!AR1333+Model!AR1334-AR1332-AR1495+AR1443)+Model!AR1495-AR1390-+Model!AR1391,Model!AR1333+Model!AR1334-AR1332+AR1443-AR1390+Model!AR1391)</f>
        <v>5.9527476004519633</v>
      </c>
      <c r="AS1547" s="105">
        <f>IF(Model!AS1333+Model!AS1334-AS1332-AS1495+AS1443&gt;0,(1-'Assumptions (Hydro)'!AR22)*(Model!AS1333+Model!AS1334-AS1332-AS1495+AS1443)+Model!AS1495-AS1390-+Model!AS1391,Model!AS1333+Model!AS1334-AS1332+AS1443-AS1390+Model!AS1391)</f>
        <v>5.3921865803858582</v>
      </c>
      <c r="AT1547" s="105">
        <f>IF(Model!AT1333+Model!AT1334-AT1332-AT1495+AT1443&gt;0,(1-'Assumptions (Hydro)'!AS22)*(Model!AT1333+Model!AT1334-AT1332-AT1495+AT1443)+Model!AT1495-AT1390-+Model!AT1391,Model!AT1333+Model!AT1334-AT1332+AT1443-AT1390+Model!AT1391)</f>
        <v>4.8124663377337287</v>
      </c>
      <c r="AU1547" s="105">
        <f>IF(Model!AU1333+Model!AU1334-AU1332-AU1495+AU1443&gt;0,(1-'Assumptions (Hydro)'!AT22)*(Model!AU1333+Model!AU1334-AU1332-AU1495+AU1443)+Model!AU1495-AU1390-+Model!AU1391,Model!AU1333+Model!AU1334-AU1332+AU1443-AU1390+Model!AU1391)</f>
        <v>4.2119860494705694</v>
      </c>
      <c r="AV1547" s="105">
        <f>IF(Model!AV1333+Model!AV1334-AV1332-AV1495+AV1443&gt;0,(1-'Assumptions (Hydro)'!AU22)*(Model!AV1333+Model!AV1334-AV1332-AV1495+AV1443)+Model!AV1495-AV1390-+Model!AV1391,Model!AV1333+Model!AV1334-AV1332+AV1443-AV1390+Model!AV1391)</f>
        <v>3.5844551045564477</v>
      </c>
      <c r="AW1547" s="105">
        <f>IF(Model!AW1333+Model!AW1334-AW1332-AW1495+AW1443&gt;0,(1-'Assumptions (Hydro)'!AV22)*(Model!AW1333+Model!AW1334-AW1332-AW1495+AW1443)+Model!AW1495-AW1390-+Model!AW1391,Model!AW1333+Model!AW1334-AW1332+AW1443-AW1390+Model!AW1391)</f>
        <v>2.9209323666503657</v>
      </c>
      <c r="AX1547" s="105">
        <f>IF(Model!AX1333+Model!AX1334-AX1332-AX1495+AX1443&gt;0,(1-'Assumptions (Hydro)'!AW22)*(Model!AX1333+Model!AX1334-AX1332-AX1495+AX1443)+Model!AX1495-AX1390-+Model!AX1391,Model!AX1333+Model!AX1334-AX1332+AX1443-AX1390+Model!AX1391)</f>
        <v>2.2096605316719531</v>
      </c>
      <c r="AY1547" s="105">
        <f>IF(Model!AY1333+Model!AY1334-AY1332-AY1495+AY1443&gt;0,(1-'Assumptions (Hydro)'!AX22)*(Model!AY1333+Model!AY1334-AY1332-AY1495+AY1443)+Model!AY1495-AY1390-+Model!AY1391,Model!AY1333+Model!AY1334-AY1332+AY1443-AY1390+Model!AY1391)</f>
        <v>1.5214743529195625</v>
      </c>
      <c r="AZ1547" s="105">
        <f>IF(Model!AZ1333+Model!AZ1334-AZ1332-AZ1495+AZ1443&gt;0,(1-'Assumptions (Hydro)'!AY22)*(Model!AZ1333+Model!AZ1334-AZ1332-AZ1495+AZ1443)+Model!AZ1495-AZ1390-+Model!AZ1391,Model!AZ1333+Model!AZ1334-AZ1332+AZ1443-AZ1390+Model!AZ1391)</f>
        <v>0.76642479413155307</v>
      </c>
      <c r="BA1547" s="105">
        <f>IF(Model!BA1333+Model!BA1334-BA1332-BA1495+BA1443&gt;0,(1-'Assumptions (Hydro)'!AZ22)*(Model!BA1333+Model!BA1334-BA1332-BA1495+BA1443)+Model!BA1495-BA1390-+Model!BA1391,Model!BA1333+Model!BA1334-BA1332+BA1443-BA1390+Model!BA1391)</f>
        <v>-1.3287755975260496E-2</v>
      </c>
    </row>
    <row r="1548" spans="1:73" ht="15.75" customHeight="1">
      <c r="A1548" s="413" t="s">
        <v>64</v>
      </c>
      <c r="B1548" s="99" t="s">
        <v>201</v>
      </c>
      <c r="C1548" s="105">
        <f>IF(C1333+C1334-C1332-C1495+C1443&gt;0,'Assumptions (Hydro)'!B22*(C1333+C1334-C1332-C1495+C1443)-'Assumptions (Hydro)'!B23*Model!C1331/10^3,'Assumptions (Hydro)'!B23*Model!C1331/10^3)</f>
        <v>5.5828612843720622</v>
      </c>
      <c r="D1548" s="105">
        <f>IF(D1333+D1334-D1332-D1495+D1443&gt;0,'Assumptions (Hydro)'!C22*(D1333+D1334-D1332-D1495+D1443)-'Assumptions (Hydro)'!C23*Model!D1331/10^3,'Assumptions (Hydro)'!C23*Model!D1331/10^3)</f>
        <v>4.3246801111708386</v>
      </c>
      <c r="E1548" s="105">
        <f>IF(E1333+E1334-E1332-E1495+E1443&gt;0,'Assumptions (Hydro)'!D22*(E1333+E1334-E1332-E1495+E1443)-'Assumptions (Hydro)'!D23*Model!E1331/10^3,'Assumptions (Hydro)'!D23*Model!E1331/10^3)</f>
        <v>4.7957951234278235</v>
      </c>
      <c r="F1548" s="105">
        <f>IF(F1333+F1334-F1332-F1495+F1443&gt;0,'Assumptions (Hydro)'!E22*(F1333+F1334-F1332-F1495+F1443)-'Assumptions (Hydro)'!E23*Model!F1331/10^3,'Assumptions (Hydro)'!E23*Model!F1331/10^3)</f>
        <v>6.2963614498955263</v>
      </c>
      <c r="G1548" s="105">
        <f>IF(G1333+G1334-G1332-G1495+G1443&gt;0,'Assumptions (Hydro)'!F22*(G1333+G1334-G1332-G1495+G1443)-'Assumptions (Hydro)'!F23*Model!G1331/10^3,'Assumptions (Hydro)'!F23*Model!G1331/10^3)</f>
        <v>6.4534204910020492</v>
      </c>
      <c r="H1548" s="105">
        <f>IF(H1333+H1334-H1332-H1495+H1443&gt;0,'Assumptions (Hydro)'!G22*(H1333+H1334-H1332-H1495+H1443)-'Assumptions (Hydro)'!G23*Model!H1331/10^3,'Assumptions (Hydro)'!G23*Model!H1331/10^3)</f>
        <v>8.0600264175532583</v>
      </c>
      <c r="I1548" s="105">
        <f>IF(I1333+I1334-I1332-I1495+I1443&gt;0,'Assumptions (Hydro)'!H22*(I1333+I1334-I1332-I1495+I1443)-'Assumptions (Hydro)'!H23*Model!I1331/10^3,'Assumptions (Hydro)'!H23*Model!I1331/10^3)</f>
        <v>7.7083195471333541</v>
      </c>
      <c r="J1548" s="105">
        <f>IF(J1333+J1334-J1332-J1495+J1443&gt;0,'Assumptions (Hydro)'!I22*(J1333+J1334-J1332-J1495+J1443)-'Assumptions (Hydro)'!I23*Model!J1331/10^3,'Assumptions (Hydro)'!I23*Model!J1331/10^3)</f>
        <v>6.9663459179929879</v>
      </c>
      <c r="K1548" s="105">
        <f>IF(K1333+K1334-K1332-K1495+K1443&gt;0,'Assumptions (Hydro)'!J22*(K1333+K1334-K1332-K1495+K1443)-'Assumptions (Hydro)'!J23*Model!K1331/10^3,'Assumptions (Hydro)'!J23*Model!K1331/10^3)</f>
        <v>8.4046611540148604</v>
      </c>
      <c r="L1548" s="105">
        <f>IF(L1333+L1334-L1332-L1495+L1443&gt;0,'Assumptions (Hydro)'!K22*(L1333+L1334-L1332-L1495+L1443)-'Assumptions (Hydro)'!K23*Model!L1331/10^3,'Assumptions (Hydro)'!K23*Model!L1331/10^3)</f>
        <v>6.1804602438756744</v>
      </c>
      <c r="M1548" s="105">
        <f>IF(M1333+M1334-M1332-M1495+M1443&gt;0,'Assumptions (Hydro)'!L22*(M1333+M1334-M1332-M1495+M1443)-'Assumptions (Hydro)'!L23*Model!M1331/10^3,'Assumptions (Hydro)'!L23*Model!M1331/10^3)</f>
        <v>5.9095497676831599</v>
      </c>
      <c r="N1548" s="105">
        <f>IF(N1333+N1334-N1332-N1495+N1443&gt;0,'Assumptions (Hydro)'!M22*(N1333+N1334-N1332-N1495+N1443)-'Assumptions (Hydro)'!M23*Model!N1331/10^3,'Assumptions (Hydro)'!M23*Model!N1331/10^3)</f>
        <v>7.088940396482962</v>
      </c>
      <c r="O1548" s="105">
        <f>IF(O1333+O1334-O1332-O1495+O1443&gt;0,'Assumptions (Hydro)'!N22*(O1333+O1334-O1332-O1495+O1443)-'Assumptions (Hydro)'!N23*Model!O1331/10^3,'Assumptions (Hydro)'!N23*Model!O1331/10^3)</f>
        <v>5.0553806183744081</v>
      </c>
      <c r="P1548" s="105">
        <f>IF(P1333+P1334-P1332-P1495+P1443&gt;0,'Assumptions (Hydro)'!O22*(P1333+P1334-P1332-P1495+P1443)-'Assumptions (Hydro)'!O23*Model!P1331/10^3,'Assumptions (Hydro)'!O23*Model!P1331/10^3)</f>
        <v>5.4177740295957317</v>
      </c>
      <c r="Q1548" s="105">
        <f>IF(Q1333+Q1334-Q1332-Q1495+Q1443&gt;0,'Assumptions (Hydro)'!P22*(Q1333+Q1334-Q1332-Q1495+Q1443)-'Assumptions (Hydro)'!P23*Model!Q1331/10^3,'Assumptions (Hydro)'!P23*Model!Q1331/10^3)</f>
        <v>5.6349089557806353</v>
      </c>
      <c r="R1548" s="105">
        <f>IF(R1333+R1334-R1332-R1495+R1443&gt;0,'Assumptions (Hydro)'!Q22*(R1333+R1334-R1332-R1495+R1443)-'Assumptions (Hydro)'!Q23*Model!R1331/10^3,'Assumptions (Hydro)'!Q23*Model!R1331/10^3)</f>
        <v>4.2657967655527171</v>
      </c>
      <c r="S1548" s="105">
        <f>IF(S1333+S1334-S1332-S1495+S1443&gt;0,'Assumptions (Hydro)'!R22*(S1333+S1334-S1332-S1495+S1443)-'Assumptions (Hydro)'!R23*Model!S1331/10^3,'Assumptions (Hydro)'!R23*Model!S1331/10^3)</f>
        <v>4.9767966218582531</v>
      </c>
      <c r="T1548" s="105">
        <f>IF(T1333+T1334-T1332-T1495+T1443&gt;0,'Assumptions (Hydro)'!S22*(T1333+T1334-T1332-T1495+T1443)-'Assumptions (Hydro)'!S23*Model!T1331/10^3,'Assumptions (Hydro)'!S23*Model!T1331/10^3)</f>
        <v>5.4325783568486035</v>
      </c>
      <c r="U1548" s="105">
        <f>IF(U1333+U1334-U1332-U1495+U1443&gt;0,'Assumptions (Hydro)'!T22*(U1333+U1334-U1332-U1495+U1443)-'Assumptions (Hydro)'!T23*Model!U1331/10^3,'Assumptions (Hydro)'!T23*Model!U1331/10^3)</f>
        <v>2.948577846903675</v>
      </c>
      <c r="V1548" s="105">
        <f>IF(V1333+V1334-V1332-V1495+V1443&gt;0,'Assumptions (Hydro)'!U22*(V1333+V1334-V1332-V1495+V1443)-'Assumptions (Hydro)'!U23*Model!V1331/10^3,'Assumptions (Hydro)'!U23*Model!V1331/10^3)</f>
        <v>3.1977397914378867</v>
      </c>
      <c r="W1548" s="105">
        <f>IF(W1333+W1334-W1332-W1495+W1443&gt;0,'Assumptions (Hydro)'!V22*(W1333+W1334-W1332-W1495+W1443)-'Assumptions (Hydro)'!V23*Model!W1331/10^3,'Assumptions (Hydro)'!V23*Model!W1331/10^3)</f>
        <v>3.5402242964251371</v>
      </c>
      <c r="X1548" s="105">
        <f>IF(X1333+X1334-X1332-X1495+X1443&gt;0,'Assumptions (Hydro)'!W22*(X1333+X1334-X1332-X1495+X1443)-'Assumptions (Hydro)'!W23*Model!X1331/10^3,'Assumptions (Hydro)'!W23*Model!X1331/10^3)</f>
        <v>3.2645769894694912</v>
      </c>
      <c r="Y1548" s="105">
        <f>IF(Y1333+Y1334-Y1332-Y1495+Y1443&gt;0,'Assumptions (Hydro)'!X22*(Y1333+Y1334-Y1332-Y1495+Y1443)-'Assumptions (Hydro)'!X23*Model!Y1331/10^3,'Assumptions (Hydro)'!X23*Model!Y1331/10^3)</f>
        <v>3.0728474809133171</v>
      </c>
      <c r="Z1548" s="105">
        <f>IF(Z1333+Z1334-Z1332-Z1495+Z1443&gt;0,'Assumptions (Hydro)'!Y22*(Z1333+Z1334-Z1332-Z1495+Z1443)-'Assumptions (Hydro)'!Y23*Model!Z1331/10^3,'Assumptions (Hydro)'!Y23*Model!Z1331/10^3)</f>
        <v>3.0313707651731931</v>
      </c>
      <c r="AA1548" s="105">
        <f>IF(AA1333+AA1334-AA1332-AA1495+AA1443&gt;0,'Assumptions (Hydro)'!Z22*(AA1333+AA1334-AA1332-AA1495+AA1443)-'Assumptions (Hydro)'!Z23*Model!AA1331/10^3,'Assumptions (Hydro)'!Z23*Model!AA1331/10^3)</f>
        <v>2.9944881797045224</v>
      </c>
      <c r="AB1548" s="105">
        <f>IF(AB1333+AB1334-AB1332-AB1495+AB1443&gt;0,'Assumptions (Hydro)'!AA22*(AB1333+AB1334-AB1332-AB1495+AB1443)-'Assumptions (Hydro)'!AA23*Model!AB1331/10^3,'Assumptions (Hydro)'!AA23*Model!AB1331/10^3)</f>
        <v>2.9873467643051055</v>
      </c>
      <c r="AC1548" s="105">
        <f>IF(AC1333+AC1334-AC1332-AC1495+AC1443&gt;0,'Assumptions (Hydro)'!AB22*(AC1333+AC1334-AC1332-AC1495+AC1443)-'Assumptions (Hydro)'!AB23*Model!AC1331/10^3,'Assumptions (Hydro)'!AB23*Model!AC1331/10^3)</f>
        <v>2.9299569749864425</v>
      </c>
      <c r="AD1548" s="105">
        <f>IF(AD1333+AD1334-AD1332-AD1495+AD1443&gt;0,'Assumptions (Hydro)'!AC22*(AD1333+AD1334-AD1332-AD1495+AD1443)-'Assumptions (Hydro)'!AC23*Model!AD1331/10^3,'Assumptions (Hydro)'!AC23*Model!AD1331/10^3)</f>
        <v>2.8793519328385369</v>
      </c>
      <c r="AE1548" s="105">
        <f>IF(AE1333+AE1334-AE1332-AE1495+AE1443&gt;0,'Assumptions (Hydro)'!AD22*(AE1333+AE1334-AE1332-AE1495+AE1443)-'Assumptions (Hydro)'!AD23*Model!AE1331/10^3,'Assumptions (Hydro)'!AD23*Model!AE1331/10^3)</f>
        <v>2.8133920707793827</v>
      </c>
      <c r="AF1548" s="105">
        <f>IF(AF1333+AF1334-AF1332-AF1495+AF1443&gt;0,'Assumptions (Hydro)'!AE22*(AF1333+AF1334-AF1332-AF1495+AF1443)-'Assumptions (Hydro)'!AE23*Model!AF1331/10^3,'Assumptions (Hydro)'!AE23*Model!AF1331/10^3)</f>
        <v>2.7425219890329102</v>
      </c>
      <c r="AG1548" s="105">
        <f>IF(AG1333+AG1334-AG1332-AG1495+AG1443&gt;0,'Assumptions (Hydro)'!AF22*(AG1333+AG1334-AG1332-AG1495+AG1443)-'Assumptions (Hydro)'!AF23*Model!AG1331/10^3,'Assumptions (Hydro)'!AF23*Model!AG1331/10^3)</f>
        <v>2.6639050834988995</v>
      </c>
      <c r="AH1548" s="105">
        <f>IF(AH1333+AH1334-AH1332-AH1495+AH1443&gt;0,'Assumptions (Hydro)'!AG22*(AH1333+AH1334-AH1332-AH1495+AH1443)-'Assumptions (Hydro)'!AG23*Model!AH1331/10^3,'Assumptions (Hydro)'!AG23*Model!AH1331/10^3)</f>
        <v>2.5892553990512184</v>
      </c>
      <c r="AI1548" s="105">
        <f>IF(AI1333+AI1334-AI1332-AI1495+AI1443&gt;0,'Assumptions (Hydro)'!AH22*(AI1333+AI1334-AI1332-AI1495+AI1443)-'Assumptions (Hydro)'!AH23*Model!AI1331/10^3,'Assumptions (Hydro)'!AH23*Model!AI1331/10^3)</f>
        <v>2.4978596896765315</v>
      </c>
      <c r="AJ1548" s="105">
        <f>IF(AJ1333+AJ1334-AJ1332-AJ1495+AJ1443&gt;0,'Assumptions (Hydro)'!AI22*(AJ1333+AJ1334-AJ1332-AJ1495+AJ1443)-'Assumptions (Hydro)'!AI23*Model!AJ1331/10^3,'Assumptions (Hydro)'!AI23*Model!AJ1331/10^3)</f>
        <v>2.3970129881474169</v>
      </c>
      <c r="AK1548" s="105">
        <f>IF(AK1333+AK1334-AK1332-AK1495+AK1443&gt;0,'Assumptions (Hydro)'!AJ22*(AK1333+AK1334-AK1332-AK1495+AK1443)-'Assumptions (Hydro)'!AJ23*Model!AK1331/10^3,'Assumptions (Hydro)'!AJ23*Model!AK1331/10^3)</f>
        <v>2.2916859172637594</v>
      </c>
      <c r="AL1548" s="105">
        <f>IF(AL1333+AL1334-AL1332-AL1495+AL1443&gt;0,'Assumptions (Hydro)'!AK22*(AL1333+AL1334-AL1332-AL1495+AL1443)-'Assumptions (Hydro)'!AK23*Model!AL1331/10^3,'Assumptions (Hydro)'!AK23*Model!AL1331/10^3)</f>
        <v>2.1838000185655435</v>
      </c>
      <c r="AM1548" s="105">
        <f>IF(AM1333+AM1334-AM1332-AM1495+AM1443&gt;0,'Assumptions (Hydro)'!AL22*(AM1333+AM1334-AM1332-AM1495+AM1443)-'Assumptions (Hydro)'!AL23*Model!AM1331/10^3,'Assumptions (Hydro)'!AL23*Model!AM1331/10^3)</f>
        <v>2.1480559168935494</v>
      </c>
      <c r="AN1548" s="105">
        <f>IF(AN1333+AN1334-AN1332-AN1495+AN1443&gt;0,'Assumptions (Hydro)'!AM22*(AN1333+AN1334-AN1332-AN1495+AN1443)-'Assumptions (Hydro)'!AM23*Model!AN1331/10^3,'Assumptions (Hydro)'!AM23*Model!AN1331/10^3)</f>
        <v>2.0979503965165409</v>
      </c>
      <c r="AO1548" s="105">
        <f>IF(AO1333+AO1334-AO1332-AO1495+AO1443&gt;0,'Assumptions (Hydro)'!AN22*(AO1333+AO1334-AO1332-AO1495+AO1443)-'Assumptions (Hydro)'!AN23*Model!AO1331/10^3,'Assumptions (Hydro)'!AN23*Model!AO1331/10^3)</f>
        <v>1.9814782391780712</v>
      </c>
      <c r="AP1548" s="105">
        <f>IF(AP1333+AP1334-AP1332-AP1495+AP1443&gt;0,'Assumptions (Hydro)'!AO22*(AP1333+AP1334-AP1332-AP1495+AP1443)-'Assumptions (Hydro)'!AO23*Model!AP1331/10^3,'Assumptions (Hydro)'!AO23*Model!AP1331/10^3)</f>
        <v>1.858232210160611</v>
      </c>
      <c r="AQ1548" s="105">
        <f>IF(AQ1333+AQ1334-AQ1332-AQ1495+AQ1443&gt;0,'Assumptions (Hydro)'!AP22*(AQ1333+AQ1334-AQ1332-AQ1495+AQ1443)-'Assumptions (Hydro)'!AP23*Model!AQ1331/10^3,'Assumptions (Hydro)'!AP23*Model!AQ1331/10^3)</f>
        <v>1.7242745267820194</v>
      </c>
      <c r="AR1548" s="105">
        <f>IF(AR1333+AR1334-AR1332-AR1495+AR1443&gt;0,'Assumptions (Hydro)'!AQ22*(AR1333+AR1334-AR1332-AR1495+AR1443)-'Assumptions (Hydro)'!AQ23*Model!AR1331/10^3,'Assumptions (Hydro)'!AQ23*Model!AR1331/10^3)</f>
        <v>1.5823759444239396</v>
      </c>
      <c r="AS1548" s="105">
        <f>IF(AS1333+AS1334-AS1332-AS1495+AS1443&gt;0,'Assumptions (Hydro)'!AR22*(AS1333+AS1334-AS1332-AS1495+AS1443)-'Assumptions (Hydro)'!AR23*Model!AS1331/10^3,'Assumptions (Hydro)'!AR23*Model!AS1331/10^3)</f>
        <v>1.4333660530139622</v>
      </c>
      <c r="AT1548" s="105">
        <f>IF(AT1333+AT1334-AT1332-AT1495+AT1443&gt;0,'Assumptions (Hydro)'!AS22*(AT1333+AT1334-AT1332-AT1495+AT1443)-'Assumptions (Hydro)'!AS23*Model!AT1331/10^3,'Assumptions (Hydro)'!AS23*Model!AT1331/10^3)</f>
        <v>1.2792632037013709</v>
      </c>
      <c r="AU1548" s="105">
        <f>IF(AU1333+AU1334-AU1332-AU1495+AU1443&gt;0,'Assumptions (Hydro)'!AT22*(AU1333+AU1334-AU1332-AU1495+AU1443)-'Assumptions (Hydro)'!AT23*Model!AU1331/10^3,'Assumptions (Hydro)'!AT23*Model!AU1331/10^3)</f>
        <v>1.1196418612516703</v>
      </c>
      <c r="AV1548" s="105">
        <f>IF(AV1333+AV1334-AV1332-AV1495+AV1443&gt;0,'Assumptions (Hydro)'!AU22*(AV1333+AV1334-AV1332-AV1495+AV1443)-'Assumptions (Hydro)'!AU23*Model!AV1331/10^3,'Assumptions (Hydro)'!AU23*Model!AV1331/10^3)</f>
        <v>0.95282983792006837</v>
      </c>
      <c r="AW1548" s="105">
        <f>IF(AW1333+AW1334-AW1332-AW1495+AW1443&gt;0,'Assumptions (Hydro)'!AV22*(AW1333+AW1334-AW1332-AW1495+AW1443)-'Assumptions (Hydro)'!AV23*Model!AW1331/10^3,'Assumptions (Hydro)'!AV23*Model!AW1331/10^3)</f>
        <v>0.77645037594503385</v>
      </c>
      <c r="AX1548" s="105">
        <f>IF(AX1333+AX1334-AX1332-AX1495+AX1443&gt;0,'Assumptions (Hydro)'!AW22*(AX1333+AX1334-AX1332-AX1495+AX1443)-'Assumptions (Hydro)'!AW23*Model!AX1331/10^3,'Assumptions (Hydro)'!AW23*Model!AX1331/10^3)</f>
        <v>0.59550132271458567</v>
      </c>
      <c r="AY1548" s="105">
        <f>IF(AY1333+AY1334-AY1332-AY1495+AY1443&gt;0,'Assumptions (Hydro)'!AX22*(AY1333+AY1334-AY1332-AY1495+AY1443)-'Assumptions (Hydro)'!AX23*Model!AY1331/10^3,'Assumptions (Hydro)'!AX23*Model!AY1331/10^3)</f>
        <v>0.41272822034479595</v>
      </c>
      <c r="AZ1548" s="105">
        <f>IF(AZ1333+AZ1334-AZ1332-AZ1495+AZ1443&gt;0,'Assumptions (Hydro)'!AY22*(AZ1333+AZ1334-AZ1332-AZ1495+AZ1443)-'Assumptions (Hydro)'!AY23*Model!AZ1331/10^3,'Assumptions (Hydro)'!AY23*Model!AZ1331/10^3)</f>
        <v>0.2121845573748006</v>
      </c>
      <c r="BA1548" s="105">
        <f>IF(BA1333+BA1334-BA1332-BA1495+BA1443&gt;0,'Assumptions (Hydro)'!AZ22*(BA1333+BA1334-BA1332-BA1495+BA1443)-'Assumptions (Hydro)'!AZ23*Model!BA1331/10^3,'Assumptions (Hydro)'!AZ23*Model!BA1331/10^3)</f>
        <v>0</v>
      </c>
    </row>
    <row r="1549" spans="1:73" ht="15.75" customHeight="1">
      <c r="A1549" s="419" t="s">
        <v>66</v>
      </c>
      <c r="B1549" s="99" t="s">
        <v>816</v>
      </c>
      <c r="C1549" s="99"/>
      <c r="D1549" s="99"/>
      <c r="E1549" s="99"/>
      <c r="F1549" s="99"/>
      <c r="G1549" s="99"/>
      <c r="H1549" s="99"/>
      <c r="I1549" s="99"/>
      <c r="J1549" s="99"/>
      <c r="K1549" s="99"/>
      <c r="L1549" s="99"/>
      <c r="M1549" s="99"/>
      <c r="N1549" s="99"/>
      <c r="O1549" s="99"/>
      <c r="P1549" s="99"/>
      <c r="Q1549" s="99"/>
      <c r="R1549" s="99"/>
      <c r="S1549" s="99"/>
      <c r="T1549" s="99"/>
      <c r="U1549" s="99"/>
      <c r="V1549" s="99"/>
      <c r="W1549" s="86"/>
    </row>
    <row r="1550" spans="1:73" ht="15.75" customHeight="1">
      <c r="A1550" s="420" t="s">
        <v>870</v>
      </c>
      <c r="C1550" s="127"/>
      <c r="D1550" s="127"/>
      <c r="E1550" s="127"/>
      <c r="F1550" s="127"/>
      <c r="G1550" s="127"/>
      <c r="H1550" s="127"/>
      <c r="I1550" s="127"/>
      <c r="J1550" s="127"/>
      <c r="K1550" s="127"/>
      <c r="L1550" s="127"/>
      <c r="M1550" s="127"/>
      <c r="N1550" s="127"/>
      <c r="O1550" s="127"/>
      <c r="P1550" s="127"/>
      <c r="Q1550" s="127"/>
      <c r="R1550" s="127"/>
      <c r="S1550" s="127"/>
      <c r="T1550" s="43"/>
      <c r="U1550" s="43"/>
      <c r="V1550" s="43"/>
      <c r="W1550" s="421"/>
      <c r="X1550" s="383"/>
      <c r="Y1550" s="383"/>
      <c r="Z1550" s="383"/>
      <c r="AA1550" s="383"/>
      <c r="AB1550" s="383"/>
      <c r="AC1550" s="383"/>
      <c r="AD1550" s="383"/>
      <c r="AE1550" s="383"/>
      <c r="AF1550" s="383"/>
      <c r="AG1550" s="383"/>
      <c r="AH1550" s="383"/>
      <c r="AI1550" s="383"/>
      <c r="AJ1550" s="383"/>
      <c r="AK1550" s="383"/>
      <c r="AL1550" s="383"/>
      <c r="AM1550" s="383"/>
      <c r="AN1550" s="383"/>
      <c r="AO1550" s="383"/>
      <c r="AP1550" s="383"/>
      <c r="AQ1550" s="383"/>
      <c r="AR1550" s="383"/>
      <c r="AS1550" s="383"/>
      <c r="AT1550" s="383"/>
      <c r="AU1550" s="383"/>
      <c r="AV1550" s="383"/>
      <c r="AW1550" s="383"/>
      <c r="AX1550" s="383"/>
      <c r="AY1550" s="383"/>
      <c r="AZ1550" s="383"/>
      <c r="BA1550" s="383"/>
    </row>
    <row r="1551" spans="1:73" ht="15.75" customHeight="1">
      <c r="A1551" s="422"/>
      <c r="C1551" s="423"/>
      <c r="D1551" s="423"/>
      <c r="E1551" s="423"/>
      <c r="F1551" s="423"/>
      <c r="G1551" s="423"/>
      <c r="H1551" s="423"/>
      <c r="I1551" s="423"/>
      <c r="J1551" s="423"/>
      <c r="K1551" s="423"/>
      <c r="L1551" s="423"/>
      <c r="M1551" s="423"/>
      <c r="N1551" s="423"/>
      <c r="O1551" s="423"/>
      <c r="P1551" s="423"/>
      <c r="Q1551" s="423"/>
      <c r="R1551" s="423"/>
      <c r="S1551" s="423"/>
      <c r="T1551" s="63"/>
      <c r="U1551" s="63"/>
      <c r="V1551" s="63"/>
      <c r="W1551" s="421"/>
      <c r="X1551" s="101"/>
      <c r="Y1551" s="101"/>
      <c r="Z1551" s="101"/>
      <c r="AA1551" s="101"/>
      <c r="AB1551" s="101"/>
      <c r="AC1551" s="101"/>
      <c r="AD1551" s="101"/>
      <c r="AE1551" s="101"/>
      <c r="AF1551" s="101"/>
      <c r="AG1551" s="101"/>
      <c r="AH1551" s="101"/>
      <c r="AI1551" s="101"/>
      <c r="AJ1551" s="101"/>
      <c r="AK1551" s="101"/>
      <c r="AL1551" s="101"/>
      <c r="AM1551" s="101"/>
      <c r="AN1551" s="101"/>
      <c r="AO1551" s="101"/>
      <c r="AP1551" s="101"/>
      <c r="AQ1551" s="101"/>
      <c r="AR1551" s="101"/>
      <c r="AS1551" s="101"/>
      <c r="AT1551" s="101"/>
      <c r="AU1551" s="101"/>
      <c r="AV1551" s="101"/>
      <c r="AW1551" s="101"/>
      <c r="AX1551" s="101"/>
      <c r="AY1551" s="101"/>
      <c r="AZ1551" s="101"/>
      <c r="BA1551" s="424"/>
    </row>
    <row r="1552" spans="1:73" ht="15.75" customHeight="1">
      <c r="A1552" s="420" t="s">
        <v>871</v>
      </c>
      <c r="C1552" s="105"/>
      <c r="D1552" s="105"/>
      <c r="E1552" s="105"/>
      <c r="F1552" s="105"/>
      <c r="G1552" s="105"/>
      <c r="H1552" s="105"/>
      <c r="I1552" s="105"/>
      <c r="J1552" s="105"/>
      <c r="K1552" s="105"/>
      <c r="L1552" s="105"/>
      <c r="M1552" s="105"/>
      <c r="N1552" s="105"/>
      <c r="O1552" s="105"/>
      <c r="P1552" s="105"/>
      <c r="Q1552" s="105"/>
      <c r="R1552" s="105"/>
      <c r="S1552" s="105"/>
      <c r="T1552" s="105"/>
      <c r="U1552" s="105"/>
      <c r="V1552" s="105"/>
      <c r="W1552" s="105"/>
      <c r="X1552" s="105"/>
      <c r="Y1552" s="105"/>
      <c r="Z1552" s="105"/>
      <c r="AA1552" s="105"/>
      <c r="AB1552" s="105"/>
      <c r="AC1552" s="105"/>
      <c r="AD1552" s="105"/>
      <c r="AE1552" s="105"/>
      <c r="AF1552" s="105"/>
      <c r="AG1552" s="105"/>
      <c r="AH1552" s="105"/>
      <c r="AI1552" s="105"/>
      <c r="AJ1552" s="105"/>
      <c r="AK1552" s="105"/>
      <c r="AL1552" s="105"/>
      <c r="AM1552" s="105"/>
      <c r="AN1552" s="105"/>
      <c r="AO1552" s="105"/>
      <c r="AP1552" s="105"/>
      <c r="AQ1552" s="105"/>
      <c r="AR1552" s="105"/>
      <c r="AS1552" s="105"/>
      <c r="AT1552" s="105"/>
      <c r="AU1552" s="105"/>
      <c r="AV1552" s="105"/>
      <c r="AW1552" s="105"/>
      <c r="AX1552" s="105"/>
      <c r="AY1552" s="105"/>
      <c r="AZ1552" s="105"/>
      <c r="BA1552" s="105"/>
    </row>
    <row r="1553" spans="1:53" ht="15.75" customHeight="1">
      <c r="A1553" s="422"/>
      <c r="C1553" s="147"/>
      <c r="D1553" s="147"/>
      <c r="E1553" s="147"/>
      <c r="F1553" s="147"/>
      <c r="G1553" s="147"/>
      <c r="H1553" s="147"/>
      <c r="I1553" s="147"/>
      <c r="J1553" s="147"/>
      <c r="K1553" s="147"/>
      <c r="L1553" s="147"/>
      <c r="M1553" s="147"/>
      <c r="N1553" s="147"/>
      <c r="O1553" s="147"/>
      <c r="P1553" s="147"/>
      <c r="Q1553" s="147"/>
      <c r="R1553" s="147"/>
      <c r="S1553" s="147"/>
      <c r="T1553" s="147"/>
      <c r="U1553" s="147"/>
      <c r="V1553" s="147"/>
      <c r="W1553" s="147"/>
      <c r="X1553" s="147"/>
      <c r="Y1553" s="147"/>
      <c r="Z1553" s="147"/>
      <c r="AA1553" s="147"/>
      <c r="AB1553" s="147"/>
      <c r="AC1553" s="147"/>
      <c r="AD1553" s="147"/>
      <c r="AE1553" s="147"/>
      <c r="AF1553" s="147"/>
      <c r="AG1553" s="147"/>
      <c r="AH1553" s="147"/>
      <c r="AI1553" s="147"/>
      <c r="AJ1553" s="147"/>
      <c r="AK1553" s="147"/>
      <c r="AL1553" s="147"/>
      <c r="AM1553" s="147"/>
      <c r="AN1553" s="147"/>
      <c r="AO1553" s="147"/>
      <c r="AP1553" s="147"/>
      <c r="AQ1553" s="147"/>
      <c r="AR1553" s="147"/>
      <c r="AS1553" s="147"/>
      <c r="AT1553" s="147"/>
      <c r="AU1553" s="147"/>
      <c r="AV1553" s="147"/>
      <c r="AW1553" s="147"/>
      <c r="AX1553" s="147"/>
      <c r="AY1553" s="147"/>
      <c r="AZ1553" s="147"/>
      <c r="BA1553" s="147"/>
    </row>
    <row r="1554" spans="1:53" ht="15.75" customHeight="1">
      <c r="A1554" s="420" t="s">
        <v>872</v>
      </c>
      <c r="C1554" s="147"/>
      <c r="D1554" s="147"/>
      <c r="E1554" s="147"/>
      <c r="F1554" s="147"/>
      <c r="G1554" s="147"/>
      <c r="H1554" s="147"/>
      <c r="I1554" s="147"/>
      <c r="J1554" s="147"/>
      <c r="K1554" s="147"/>
      <c r="L1554" s="147"/>
      <c r="M1554" s="147"/>
      <c r="N1554" s="147"/>
      <c r="O1554" s="147"/>
      <c r="P1554" s="147"/>
      <c r="Q1554" s="147"/>
      <c r="R1554" s="147"/>
      <c r="S1554" s="147"/>
      <c r="T1554" s="147"/>
      <c r="U1554" s="147"/>
      <c r="V1554" s="147"/>
      <c r="W1554" s="147"/>
      <c r="X1554" s="94">
        <f t="shared" ref="X1554:BA1554" si="36">X1556/(X1555*0.00876)</f>
        <v>0.76684464230060445</v>
      </c>
      <c r="Y1554" s="94">
        <f t="shared" si="36"/>
        <v>0.76684350282354652</v>
      </c>
      <c r="Z1554" s="94">
        <f t="shared" si="36"/>
        <v>0.76684227894455326</v>
      </c>
      <c r="AA1554" s="94">
        <f t="shared" si="36"/>
        <v>0.76684096092539145</v>
      </c>
      <c r="AB1554" s="94">
        <f t="shared" si="36"/>
        <v>0.7668395374697865</v>
      </c>
      <c r="AC1554" s="94">
        <f t="shared" si="36"/>
        <v>0.76683799539884545</v>
      </c>
      <c r="AD1554" s="94">
        <f t="shared" si="36"/>
        <v>0.76683631924181461</v>
      </c>
      <c r="AE1554" s="94">
        <f t="shared" si="36"/>
        <v>0.76683449071523013</v>
      </c>
      <c r="AF1554" s="94">
        <f t="shared" si="36"/>
        <v>0.76683248805326354</v>
      </c>
      <c r="AG1554" s="94">
        <f t="shared" si="36"/>
        <v>0.76683028513718376</v>
      </c>
      <c r="AH1554" s="94">
        <f t="shared" si="36"/>
        <v>0.76682785034992851</v>
      </c>
      <c r="AI1554" s="94">
        <f t="shared" si="36"/>
        <v>0.76682514504889243</v>
      </c>
      <c r="AJ1554" s="94">
        <f t="shared" si="36"/>
        <v>0.76682212149973816</v>
      </c>
      <c r="AK1554" s="94">
        <f t="shared" si="36"/>
        <v>0.76681872003544416</v>
      </c>
      <c r="AL1554" s="94">
        <f t="shared" si="36"/>
        <v>0.76681486507906271</v>
      </c>
      <c r="AM1554" s="94">
        <f t="shared" si="36"/>
        <v>0.76681045946209392</v>
      </c>
      <c r="AN1554" s="94">
        <f t="shared" si="36"/>
        <v>0.76680537612081312</v>
      </c>
      <c r="AO1554" s="94">
        <f t="shared" si="36"/>
        <v>0.76679944564118008</v>
      </c>
      <c r="AP1554" s="94">
        <f t="shared" si="36"/>
        <v>0.76679243701080635</v>
      </c>
      <c r="AQ1554" s="94">
        <f t="shared" si="36"/>
        <v>0.76678402682349867</v>
      </c>
      <c r="AR1554" s="94">
        <f t="shared" si="36"/>
        <v>0.76677374795624864</v>
      </c>
      <c r="AS1554" s="94">
        <f t="shared" si="36"/>
        <v>0.76676089975977157</v>
      </c>
      <c r="AT1554" s="94">
        <f t="shared" si="36"/>
        <v>0.76674438128277489</v>
      </c>
      <c r="AU1554" s="94">
        <f t="shared" si="36"/>
        <v>0.76672235775403474</v>
      </c>
      <c r="AV1554" s="94">
        <f t="shared" si="36"/>
        <v>0.76669152693953613</v>
      </c>
      <c r="AW1554" s="94">
        <f t="shared" si="36"/>
        <v>0.76664528536723842</v>
      </c>
      <c r="AX1554" s="94">
        <f t="shared" si="36"/>
        <v>0.76656822847611694</v>
      </c>
      <c r="AY1554" s="94">
        <f t="shared" si="36"/>
        <v>0.76641416116220873</v>
      </c>
      <c r="AZ1554" s="94">
        <f t="shared" si="36"/>
        <v>0.76595233063110113</v>
      </c>
      <c r="BA1554" s="94">
        <f t="shared" si="36"/>
        <v>1.1415525114155249E-4</v>
      </c>
    </row>
    <row r="1555" spans="1:53" ht="15.75" customHeight="1">
      <c r="A1555" s="425" t="s">
        <v>25</v>
      </c>
      <c r="B1555" s="99" t="s">
        <v>152</v>
      </c>
      <c r="C1555" s="63">
        <v>2760</v>
      </c>
      <c r="D1555" s="63">
        <v>2184</v>
      </c>
      <c r="E1555" s="63">
        <v>2219</v>
      </c>
      <c r="F1555" s="63">
        <v>2101</v>
      </c>
      <c r="G1555" s="63">
        <v>2121</v>
      </c>
      <c r="H1555" s="63">
        <v>2254</v>
      </c>
      <c r="I1555" s="63">
        <v>2243</v>
      </c>
      <c r="J1555" s="63">
        <v>2184</v>
      </c>
      <c r="K1555" s="63">
        <v>2199</v>
      </c>
      <c r="L1555" s="63">
        <v>2351</v>
      </c>
      <c r="M1555" s="63">
        <v>2375</v>
      </c>
      <c r="N1555" s="63">
        <v>2378.1999999999998</v>
      </c>
      <c r="O1555" s="63">
        <v>2549.1</v>
      </c>
      <c r="P1555" s="63">
        <v>2564</v>
      </c>
      <c r="Q1555" s="63">
        <v>2471.3000000000002</v>
      </c>
      <c r="R1555" s="63">
        <v>2498.5</v>
      </c>
      <c r="S1555" s="63">
        <v>2473.6</v>
      </c>
      <c r="T1555" s="43">
        <v>2451</v>
      </c>
      <c r="U1555" s="43">
        <v>2451</v>
      </c>
      <c r="V1555" s="43">
        <v>2486</v>
      </c>
      <c r="W1555" s="421">
        <v>2486</v>
      </c>
      <c r="X1555" s="101">
        <f t="shared" ref="X1555:AZ1555" si="37">W1555+($BA$1555-$W$1555)/($BA$2-$W$2)</f>
        <v>2403.1366666666668</v>
      </c>
      <c r="Y1555" s="101">
        <f t="shared" si="37"/>
        <v>2320.2733333333335</v>
      </c>
      <c r="Z1555" s="101">
        <f t="shared" si="37"/>
        <v>2237.4100000000003</v>
      </c>
      <c r="AA1555" s="101">
        <f t="shared" si="37"/>
        <v>2154.5466666666671</v>
      </c>
      <c r="AB1555" s="101">
        <f t="shared" si="37"/>
        <v>2071.6833333333338</v>
      </c>
      <c r="AC1555" s="101">
        <f t="shared" si="37"/>
        <v>1988.8200000000006</v>
      </c>
      <c r="AD1555" s="101">
        <f t="shared" si="37"/>
        <v>1905.9566666666674</v>
      </c>
      <c r="AE1555" s="101">
        <f t="shared" si="37"/>
        <v>1823.0933333333342</v>
      </c>
      <c r="AF1555" s="101">
        <f t="shared" si="37"/>
        <v>1740.2300000000009</v>
      </c>
      <c r="AG1555" s="101">
        <f t="shared" si="37"/>
        <v>1657.3666666666677</v>
      </c>
      <c r="AH1555" s="101">
        <f t="shared" si="37"/>
        <v>1574.5033333333345</v>
      </c>
      <c r="AI1555" s="101">
        <f t="shared" si="37"/>
        <v>1491.6400000000012</v>
      </c>
      <c r="AJ1555" s="101">
        <f t="shared" si="37"/>
        <v>1408.776666666668</v>
      </c>
      <c r="AK1555" s="101">
        <f t="shared" si="37"/>
        <v>1325.9133333333348</v>
      </c>
      <c r="AL1555" s="101">
        <f t="shared" si="37"/>
        <v>1243.0500000000015</v>
      </c>
      <c r="AM1555" s="101">
        <f t="shared" si="37"/>
        <v>1160.1866666666683</v>
      </c>
      <c r="AN1555" s="101">
        <f t="shared" si="37"/>
        <v>1077.3233333333351</v>
      </c>
      <c r="AO1555" s="101">
        <f t="shared" si="37"/>
        <v>994.46000000000174</v>
      </c>
      <c r="AP1555" s="101">
        <f t="shared" si="37"/>
        <v>911.5966666666684</v>
      </c>
      <c r="AQ1555" s="101">
        <f t="shared" si="37"/>
        <v>828.73333333333505</v>
      </c>
      <c r="AR1555" s="101">
        <f t="shared" si="37"/>
        <v>745.87000000000171</v>
      </c>
      <c r="AS1555" s="101">
        <f t="shared" si="37"/>
        <v>663.00666666666837</v>
      </c>
      <c r="AT1555" s="101">
        <f t="shared" si="37"/>
        <v>580.14333333333502</v>
      </c>
      <c r="AU1555" s="101">
        <f t="shared" si="37"/>
        <v>497.28000000000168</v>
      </c>
      <c r="AV1555" s="101">
        <f t="shared" si="37"/>
        <v>414.41666666666833</v>
      </c>
      <c r="AW1555" s="101">
        <f t="shared" si="37"/>
        <v>331.55333333333499</v>
      </c>
      <c r="AX1555" s="101">
        <f t="shared" si="37"/>
        <v>248.69000000000165</v>
      </c>
      <c r="AY1555" s="101">
        <f t="shared" si="37"/>
        <v>165.8266666666683</v>
      </c>
      <c r="AZ1555" s="101">
        <f t="shared" si="37"/>
        <v>82.963333333334973</v>
      </c>
      <c r="BA1555" s="103">
        <f>Inputs!$H$10</f>
        <v>0.1</v>
      </c>
    </row>
    <row r="1556" spans="1:53" ht="15.75" customHeight="1">
      <c r="A1556" s="425" t="s">
        <v>28</v>
      </c>
      <c r="B1556" s="99" t="s">
        <v>153</v>
      </c>
      <c r="C1556" s="63">
        <v>13.83</v>
      </c>
      <c r="D1556" s="63">
        <v>13.53</v>
      </c>
      <c r="E1556" s="63">
        <v>14.42</v>
      </c>
      <c r="F1556" s="63">
        <v>14.25</v>
      </c>
      <c r="G1556" s="63">
        <v>14.6</v>
      </c>
      <c r="H1556" s="63">
        <v>14.47</v>
      </c>
      <c r="I1556" s="63">
        <v>14.36</v>
      </c>
      <c r="J1556" s="63">
        <v>14.41</v>
      </c>
      <c r="K1556" s="63">
        <v>14.61</v>
      </c>
      <c r="L1556" s="63">
        <v>14.84</v>
      </c>
      <c r="M1556" s="63">
        <v>15.02</v>
      </c>
      <c r="N1556" s="63">
        <v>15.09</v>
      </c>
      <c r="O1556" s="63">
        <v>15.3</v>
      </c>
      <c r="P1556" s="63">
        <v>15.5</v>
      </c>
      <c r="Q1556" s="63">
        <v>15.62</v>
      </c>
      <c r="R1556" s="63">
        <v>15.69</v>
      </c>
      <c r="S1556" s="63">
        <v>15.57</v>
      </c>
      <c r="T1556" s="423">
        <v>17.082756</v>
      </c>
      <c r="U1556" s="423">
        <v>16.800308000000001</v>
      </c>
      <c r="V1556" s="423">
        <v>16.77319</v>
      </c>
      <c r="W1556" s="426">
        <v>16.699874999999999</v>
      </c>
      <c r="X1556" s="101">
        <f t="shared" ref="X1556:AZ1556" si="38">W1556+($BA$1556-$W$1556)/($BA$2-$W$2)</f>
        <v>16.143212503333331</v>
      </c>
      <c r="Y1556" s="101">
        <f t="shared" si="38"/>
        <v>15.586550006666664</v>
      </c>
      <c r="Z1556" s="101">
        <f t="shared" si="38"/>
        <v>15.029887509999998</v>
      </c>
      <c r="AA1556" s="101">
        <f t="shared" si="38"/>
        <v>14.473225013333332</v>
      </c>
      <c r="AB1556" s="101">
        <f t="shared" si="38"/>
        <v>13.916562516666666</v>
      </c>
      <c r="AC1556" s="101">
        <f t="shared" si="38"/>
        <v>13.35990002</v>
      </c>
      <c r="AD1556" s="101">
        <f t="shared" si="38"/>
        <v>12.803237523333333</v>
      </c>
      <c r="AE1556" s="101">
        <f t="shared" si="38"/>
        <v>12.246575026666667</v>
      </c>
      <c r="AF1556" s="101">
        <f t="shared" si="38"/>
        <v>11.689912530000001</v>
      </c>
      <c r="AG1556" s="101">
        <f t="shared" si="38"/>
        <v>11.133250033333335</v>
      </c>
      <c r="AH1556" s="101">
        <f t="shared" si="38"/>
        <v>10.576587536666668</v>
      </c>
      <c r="AI1556" s="101">
        <f t="shared" si="38"/>
        <v>10.019925040000002</v>
      </c>
      <c r="AJ1556" s="101">
        <f t="shared" si="38"/>
        <v>9.4632625433333359</v>
      </c>
      <c r="AK1556" s="101">
        <f t="shared" si="38"/>
        <v>8.9066000466666697</v>
      </c>
      <c r="AL1556" s="101">
        <f t="shared" si="38"/>
        <v>8.3499375500000035</v>
      </c>
      <c r="AM1556" s="101">
        <f t="shared" si="38"/>
        <v>7.7932750533333373</v>
      </c>
      <c r="AN1556" s="101">
        <f t="shared" si="38"/>
        <v>7.236612556666671</v>
      </c>
      <c r="AO1556" s="101">
        <f t="shared" si="38"/>
        <v>6.6799500600000048</v>
      </c>
      <c r="AP1556" s="101">
        <f t="shared" si="38"/>
        <v>6.1232875633333386</v>
      </c>
      <c r="AQ1556" s="101">
        <f t="shared" si="38"/>
        <v>5.5666250666666723</v>
      </c>
      <c r="AR1556" s="101">
        <f t="shared" si="38"/>
        <v>5.0099625700000061</v>
      </c>
      <c r="AS1556" s="101">
        <f t="shared" si="38"/>
        <v>4.4533000733333399</v>
      </c>
      <c r="AT1556" s="101">
        <f t="shared" si="38"/>
        <v>3.8966375766666732</v>
      </c>
      <c r="AU1556" s="101">
        <f t="shared" si="38"/>
        <v>3.3399750800000065</v>
      </c>
      <c r="AV1556" s="101">
        <f t="shared" si="38"/>
        <v>2.7833125833333399</v>
      </c>
      <c r="AW1556" s="101">
        <f t="shared" si="38"/>
        <v>2.2266500866666732</v>
      </c>
      <c r="AX1556" s="101">
        <f t="shared" si="38"/>
        <v>1.6699875900000065</v>
      </c>
      <c r="AY1556" s="101">
        <f t="shared" si="38"/>
        <v>1.1133250933333398</v>
      </c>
      <c r="AZ1556" s="101">
        <f t="shared" si="38"/>
        <v>0.55666259666667328</v>
      </c>
      <c r="BA1556" s="104">
        <f>Inputs!$I$10</f>
        <v>9.9999999999999995E-8</v>
      </c>
    </row>
    <row r="1557" spans="1:53" ht="15.75" customHeight="1">
      <c r="A1557" s="425" t="s">
        <v>31</v>
      </c>
      <c r="B1557" s="99" t="s">
        <v>201</v>
      </c>
      <c r="C1557" s="409">
        <f>'Assumptions (Geo)'!B17*Model!C1555/10^9+'Assumptions (Geo)'!B18*Model!C1556/10^3</f>
        <v>0.22705752901027162</v>
      </c>
      <c r="D1557" s="409">
        <f>'Assumptions (Geo)'!C17*Model!D1555/10^9+'Assumptions (Geo)'!C18*Model!D1556/10^3</f>
        <v>0.18308537050081286</v>
      </c>
      <c r="E1557" s="409">
        <f>'Assumptions (Geo)'!D17*Model!E1555/10^9+'Assumptions (Geo)'!D18*Model!E1556/10^3</f>
        <v>0.18955380011309</v>
      </c>
      <c r="F1557" s="409">
        <f>'Assumptions (Geo)'!E17*Model!F1555/10^9+'Assumptions (Geo)'!E18*Model!F1556/10^3</f>
        <v>0.18288388111055279</v>
      </c>
      <c r="G1557" s="409">
        <f>'Assumptions (Geo)'!F17*Model!G1555/10^9+'Assumptions (Geo)'!F18*Model!G1556/10^3</f>
        <v>0.18813267461225924</v>
      </c>
      <c r="H1557" s="409">
        <f>'Assumptions (Geo)'!G17*Model!H1555/10^9+'Assumptions (Geo)'!G18*Model!H1556/10^3</f>
        <v>0.20372843870767421</v>
      </c>
      <c r="I1557" s="409">
        <f>'Assumptions (Geo)'!H17*Model!I1555/10^9+'Assumptions (Geo)'!H18*Model!I1556/10^3</f>
        <v>0.20658615035213765</v>
      </c>
      <c r="J1557" s="409">
        <f>'Assumptions (Geo)'!I17*Model!J1555/10^9+'Assumptions (Geo)'!I18*Model!J1556/10^3</f>
        <v>0.2049739862969599</v>
      </c>
      <c r="K1557" s="409">
        <f>'Assumptions (Geo)'!J17*Model!K1555/10^9+'Assumptions (Geo)'!J18*Model!K1556/10^3</f>
        <v>0.21030302838300741</v>
      </c>
      <c r="L1557" s="409">
        <f>'Assumptions (Geo)'!K17*Model!L1555/10^9+'Assumptions (Geo)'!K18*Model!L1556/10^3</f>
        <v>0.22911161696375218</v>
      </c>
      <c r="M1557" s="409">
        <f>'Assumptions (Geo)'!L17*Model!M1555/10^9+'Assumptions (Geo)'!L18*Model!M1556/10^3</f>
        <v>0.235848044238367</v>
      </c>
      <c r="N1557" s="409">
        <f>'Assumptions (Geo)'!M17*Model!N1555/10^9+'Assumptions (Geo)'!M18*Model!N1556/10^3</f>
        <v>0.24065296899580224</v>
      </c>
      <c r="O1557" s="409">
        <f>'Assumptions (Geo)'!N17*Model!O1555/10^9+'Assumptions (Geo)'!N18*Model!O1556/10^3</f>
        <v>0.26284753361755803</v>
      </c>
      <c r="P1557" s="409">
        <f>'Assumptions (Geo)'!O17*Model!P1555/10^9+'Assumptions (Geo)'!O18*Model!P1556/10^3</f>
        <v>0.26940722476290918</v>
      </c>
      <c r="Q1557" s="409">
        <f>'Assumptions (Geo)'!P17*Model!Q1555/10^9+'Assumptions (Geo)'!P18*Model!Q1556/10^3</f>
        <v>0.26460062791464606</v>
      </c>
      <c r="R1557" s="409">
        <f>'Assumptions (Geo)'!Q17*Model!R1555/10^9+'Assumptions (Geo)'!Q18*Model!R1556/10^3</f>
        <v>0.2725956612118291</v>
      </c>
      <c r="S1557" s="409">
        <f>'Assumptions (Geo)'!R17*Model!S1555/10^9+'Assumptions (Geo)'!R18*Model!S1556/10^3</f>
        <v>0.27500667900639536</v>
      </c>
      <c r="T1557" s="409">
        <f>'Assumptions (Geo)'!S17*Model!T1555/10^9+'Assumptions (Geo)'!S18*Model!T1556/10^3</f>
        <v>0.27767147326945496</v>
      </c>
      <c r="U1557" s="409">
        <f>'Assumptions (Geo)'!T17*Model!U1555/10^9+'Assumptions (Geo)'!T18*Model!U1556/10^3</f>
        <v>0.28294723126157467</v>
      </c>
      <c r="V1557" s="409">
        <f>'Assumptions (Geo)'!U17*Model!V1555/10^9+'Assumptions (Geo)'!U18*Model!V1556/10^3</f>
        <v>0.29244045142296365</v>
      </c>
      <c r="W1557" s="409">
        <f>'Assumptions (Geo)'!V17*Model!W1555/10^9+'Assumptions (Geo)'!V18*Model!W1556/10^3</f>
        <v>0.29799682</v>
      </c>
      <c r="X1557" s="409">
        <f>'Assumptions (Geo)'!W17*Model!X1555/10^9+'Assumptions (Geo)'!W18*Model!X1556/10^3</f>
        <v>0.29353720808576672</v>
      </c>
      <c r="Y1557" s="409">
        <f>'Assumptions (Geo)'!X17*Model!Y1555/10^9+'Assumptions (Geo)'!X18*Model!Y1556/10^3</f>
        <v>0.28880055406677252</v>
      </c>
      <c r="Z1557" s="409">
        <f>'Assumptions (Geo)'!Y17*Model!Z1555/10^9+'Assumptions (Geo)'!Y18*Model!Z1556/10^3</f>
        <v>0.28377794026293768</v>
      </c>
      <c r="AA1557" s="409">
        <f>'Assumptions (Geo)'!Z17*Model!AA1555/10^9+'Assumptions (Geo)'!Z18*Model!AA1556/10^3</f>
        <v>0.27846021013453892</v>
      </c>
      <c r="AB1557" s="409">
        <f>'Assumptions (Geo)'!AA17*Model!AB1555/10^9+'Assumptions (Geo)'!AA18*Model!AB1556/10^3</f>
        <v>0.27283796242482611</v>
      </c>
      <c r="AC1557" s="409">
        <f>'Assumptions (Geo)'!AB17*Model!AC1555/10^9+'Assumptions (Geo)'!AB18*Model!AC1556/10^3</f>
        <v>0.26690154516628567</v>
      </c>
      <c r="AD1557" s="409">
        <f>'Assumptions (Geo)'!AC17*Model!AD1555/10^9+'Assumptions (Geo)'!AC18*Model!AD1556/10^3</f>
        <v>0.26064104954748535</v>
      </c>
      <c r="AE1557" s="409">
        <f>'Assumptions (Geo)'!AD17*Model!AE1555/10^9+'Assumptions (Geo)'!AD18*Model!AE1556/10^3</f>
        <v>0.25404630363736552</v>
      </c>
      <c r="AF1557" s="409">
        <f>'Assumptions (Geo)'!AE17*Model!AF1555/10^9+'Assumptions (Geo)'!AE18*Model!AF1556/10^3</f>
        <v>0.24710686596377451</v>
      </c>
      <c r="AG1557" s="409">
        <f>'Assumptions (Geo)'!AF17*Model!AG1555/10^9+'Assumptions (Geo)'!AF18*Model!AG1556/10^3</f>
        <v>0.23981201894297396</v>
      </c>
      <c r="AH1557" s="409">
        <f>'Assumptions (Geo)'!AG17*Model!AH1555/10^9+'Assumptions (Geo)'!AG18*Model!AH1556/10^3</f>
        <v>0.23215076215677005</v>
      </c>
      <c r="AI1557" s="409">
        <f>'Assumptions (Geo)'!AH17*Model!AI1555/10^9+'Assumptions (Geo)'!AH18*Model!AI1556/10^3</f>
        <v>0.22411180547385198</v>
      </c>
      <c r="AJ1557" s="409">
        <f>'Assumptions (Geo)'!AI17*Model!AJ1555/10^9+'Assumptions (Geo)'!AI18*Model!AJ1556/10^3</f>
        <v>0.21568356201184444</v>
      </c>
      <c r="AK1557" s="409">
        <f>'Assumptions (Geo)'!AJ17*Model!AK1555/10^9+'Assumptions (Geo)'!AJ18*Model!AK1556/10^3</f>
        <v>0.2068541409365045</v>
      </c>
      <c r="AL1557" s="409">
        <f>'Assumptions (Geo)'!AK17*Model!AL1555/10^9+'Assumptions (Geo)'!AK18*Model!AL1556/10^3</f>
        <v>0.19761134009441542</v>
      </c>
      <c r="AM1557" s="409">
        <f>'Assumptions (Geo)'!AL17*Model!AM1555/10^9+'Assumptions (Geo)'!AL18*Model!AM1556/10^3</f>
        <v>0.18794263847544884</v>
      </c>
      <c r="AN1557" s="409">
        <f>'Assumptions (Geo)'!AM17*Model!AN1555/10^9+'Assumptions (Geo)'!AM18*Model!AN1556/10^3</f>
        <v>0.17783518850118743</v>
      </c>
      <c r="AO1557" s="409">
        <f>'Assumptions (Geo)'!AN17*Model!AO1555/10^9+'Assumptions (Geo)'!AN18*Model!AO1556/10^3</f>
        <v>0.16727580813541448</v>
      </c>
      <c r="AP1557" s="409">
        <f>'Assumptions (Geo)'!AO17*Model!AP1555/10^9+'Assumptions (Geo)'!AO18*Model!AP1556/10^3</f>
        <v>0.15625097281269321</v>
      </c>
      <c r="AQ1557" s="409">
        <f>'Assumptions (Geo)'!AP17*Model!AQ1555/10^9+'Assumptions (Geo)'!AP18*Model!AQ1556/10^3</f>
        <v>0.14474680718097163</v>
      </c>
      <c r="AR1557" s="409">
        <f>'Assumptions (Geo)'!AQ17*Model!AR1555/10^9+'Assumptions (Geo)'!AQ18*Model!AR1556/10^3</f>
        <v>0.13274907665405924</v>
      </c>
      <c r="AS1557" s="409">
        <f>'Assumptions (Geo)'!AR17*Model!AS1555/10^9+'Assumptions (Geo)'!AR18*Model!AS1556/10^3</f>
        <v>0.12024317876973187</v>
      </c>
      <c r="AT1557" s="409">
        <f>'Assumptions (Geo)'!AS17*Model!AT1555/10^9+'Assumptions (Geo)'!AS18*Model!AT1556/10^3</f>
        <v>0.10721413434912791</v>
      </c>
      <c r="AU1557" s="409">
        <f>'Assumptions (Geo)'!AT17*Model!AU1555/10^9+'Assumptions (Geo)'!AT18*Model!AU1556/10^3</f>
        <v>9.3646578453005141E-2</v>
      </c>
      <c r="AV1557" s="409">
        <f>'Assumptions (Geo)'!AU17*Model!AV1555/10^9+'Assumptions (Geo)'!AU18*Model!AV1556/10^3</f>
        <v>7.9524751130329654E-2</v>
      </c>
      <c r="AW1557" s="409">
        <f>'Assumptions (Geo)'!AV17*Model!AW1555/10^9+'Assumptions (Geo)'!AV18*Model!AW1556/10^3</f>
        <v>6.4832487954570972E-2</v>
      </c>
      <c r="AX1557" s="409">
        <f>'Assumptions (Geo)'!AW17*Model!AX1555/10^9+'Assumptions (Geo)'!AW18*Model!AX1556/10^3</f>
        <v>4.9553210342975405E-2</v>
      </c>
      <c r="AY1557" s="409">
        <f>'Assumptions (Geo)'!AX17*Model!AY1555/10^9+'Assumptions (Geo)'!AX18*Model!AY1556/10^3</f>
        <v>3.3669915653987609E-2</v>
      </c>
      <c r="AZ1557" s="409">
        <f>'Assumptions (Geo)'!AY17*Model!AZ1555/10^9+'Assumptions (Geo)'!AY18*Model!AZ1556/10^3</f>
        <v>1.716516705788446E-2</v>
      </c>
      <c r="BA1557" s="409">
        <f>'Assumptions (Geo)'!AZ17*Model!BA1555/10^9+'Assumptions (Geo)'!AZ18*Model!BA1556/10^3</f>
        <v>2.1083175577946789E-5</v>
      </c>
    </row>
    <row r="1558" spans="1:53" ht="15.75" customHeight="1">
      <c r="A1558" s="425" t="s">
        <v>36</v>
      </c>
      <c r="B1558" s="99" t="s">
        <v>201</v>
      </c>
      <c r="C1558" s="427">
        <f>C1556*'Assumptions (Geo)'!B30/10^3</f>
        <v>0.92573317799999999</v>
      </c>
      <c r="D1558" s="427">
        <f>D1556*'Assumptions (Geo)'!C30/10^3</f>
        <v>0.92765333100000014</v>
      </c>
      <c r="E1558" s="427">
        <f>E1556*'Assumptions (Geo)'!D30/10^3</f>
        <v>0.89386119199999992</v>
      </c>
      <c r="F1558" s="427">
        <f>F1556*'Assumptions (Geo)'!E30/10^3</f>
        <v>1.073736075</v>
      </c>
      <c r="G1558" s="427">
        <f>G1556*'Assumptions (Geo)'!F30/10^3</f>
        <v>1.1558484200000001</v>
      </c>
      <c r="H1558" s="427">
        <f>H1556*'Assumptions (Geo)'!G30/10^3</f>
        <v>1.386991463</v>
      </c>
      <c r="I1558" s="427">
        <f>I1556*'Assumptions (Geo)'!H30/10^3</f>
        <v>1.2383733720000001</v>
      </c>
      <c r="J1558" s="427">
        <f>J1556*'Assumptions (Geo)'!I30/10^3</f>
        <v>1.263060997</v>
      </c>
      <c r="K1558" s="427">
        <f>K1556*'Assumptions (Geo)'!J30/10^3</f>
        <v>1.4820121019999999</v>
      </c>
      <c r="L1558" s="427">
        <f>L1556*'Assumptions (Geo)'!K30/10^3</f>
        <v>1.0510444839999997</v>
      </c>
      <c r="M1558" s="427">
        <f>M1556*'Assumptions (Geo)'!L30/10^3</f>
        <v>1.0998980779999998</v>
      </c>
      <c r="N1558" s="427">
        <f>N1556*'Assumptions (Geo)'!M30/10^3</f>
        <v>1.0644833069999999</v>
      </c>
      <c r="O1558" s="427">
        <f>O1556*'Assumptions (Geo)'!N30/10^3</f>
        <v>0.93326633999999997</v>
      </c>
      <c r="P1558" s="427">
        <f>P1556*'Assumptions (Geo)'!O30/10^3</f>
        <v>1.0495716500000001</v>
      </c>
      <c r="Q1558" s="427">
        <f>Q1556*'Assumptions (Geo)'!P30/10^3</f>
        <v>1.135000746</v>
      </c>
      <c r="R1558" s="427">
        <f>R1556*'Assumptions (Geo)'!Q30/10^3</f>
        <v>0.93930695399999986</v>
      </c>
      <c r="S1558" s="427">
        <f>S1556*'Assumptions (Geo)'!R30/10^3</f>
        <v>0.99756990000000001</v>
      </c>
      <c r="T1558" s="427">
        <f>T1556*'Assumptions (Geo)'!S30/10^3</f>
        <v>1.0683555602399999</v>
      </c>
      <c r="U1558" s="427">
        <f>U1556*'Assumptions (Geo)'!T30/10^3</f>
        <v>1.0785797736000002</v>
      </c>
      <c r="V1558" s="427">
        <f>V1556*'Assumptions (Geo)'!U30/10^3</f>
        <v>1.0917669371000001</v>
      </c>
      <c r="W1558" s="427">
        <f>W1556*'Assumptions (Geo)'!V30/10^3</f>
        <v>1.13380928934</v>
      </c>
      <c r="X1558" s="427">
        <f>X1556*'Assumptions (Geo)'!W30/10^3</f>
        <v>1.1043285938669023</v>
      </c>
      <c r="Y1558" s="427">
        <f>Y1556*'Assumptions (Geo)'!X30/10^3</f>
        <v>1.0760929186122654</v>
      </c>
      <c r="Z1558" s="427">
        <f>Z1556*'Assumptions (Geo)'!Y30/10^3</f>
        <v>1.0545860349345342</v>
      </c>
      <c r="AA1558" s="427">
        <f>AA1556*'Assumptions (Geo)'!Z30/10^3</f>
        <v>1.0348289307698271</v>
      </c>
      <c r="AB1558" s="427">
        <f>AB1556*'Assumptions (Geo)'!AA30/10^3</f>
        <v>1.0230982207471513</v>
      </c>
      <c r="AC1558" s="427">
        <f>AC1556*'Assumptions (Geo)'!AB30/10^3</f>
        <v>0.99803289433207243</v>
      </c>
      <c r="AD1558" s="427">
        <f>AD1556*'Assumptions (Geo)'!AC30/10^3</f>
        <v>0.97524321536471259</v>
      </c>
      <c r="AE1558" s="427">
        <f>AE1556*'Assumptions (Geo)'!AD30/10^3</f>
        <v>0.94922566209791948</v>
      </c>
      <c r="AF1558" s="427">
        <f>AF1556*'Assumptions (Geo)'!AE30/10^3</f>
        <v>0.92276697607798608</v>
      </c>
      <c r="AG1558" s="427">
        <f>AG1556*'Assumptions (Geo)'!AF30/10^3</f>
        <v>0.89505496444982557</v>
      </c>
      <c r="AH1558" s="427">
        <f>AH1556*'Assumptions (Geo)'!AG30/10^3</f>
        <v>0.86727192826838828</v>
      </c>
      <c r="AI1558" s="427">
        <f>AI1556*'Assumptions (Geo)'!AH30/10^3</f>
        <v>0.83454101972027617</v>
      </c>
      <c r="AJ1558" s="427">
        <f>AJ1556*'Assumptions (Geo)'!AI30/10^3</f>
        <v>0.80013947795117801</v>
      </c>
      <c r="AK1558" s="427">
        <f>AK1556*'Assumptions (Geo)'!AJ30/10^3</f>
        <v>0.76456534890198635</v>
      </c>
      <c r="AL1558" s="427">
        <f>AL1556*'Assumptions (Geo)'!AK30/10^3</f>
        <v>0.72880342420787536</v>
      </c>
      <c r="AM1558" s="427">
        <f>AM1556*'Assumptions (Geo)'!AL30/10^3</f>
        <v>0.69431503201055011</v>
      </c>
      <c r="AN1558" s="427">
        <f>AN1556*'Assumptions (Geo)'!AM30/10^3</f>
        <v>0.65741086373776492</v>
      </c>
      <c r="AO1558" s="427">
        <f>AO1556*'Assumptions (Geo)'!AN30/10^3</f>
        <v>0.62046629292959266</v>
      </c>
      <c r="AP1558" s="427">
        <f>AP1556*'Assumptions (Geo)'!AO30/10^3</f>
        <v>0.58146971386340796</v>
      </c>
      <c r="AQ1558" s="427">
        <f>AQ1556*'Assumptions (Geo)'!AP30/10^3</f>
        <v>0.53939511404112062</v>
      </c>
      <c r="AR1558" s="427">
        <f>AR1556*'Assumptions (Geo)'!AQ30/10^3</f>
        <v>0.49494883138100498</v>
      </c>
      <c r="AS1558" s="427">
        <f>AS1556*'Assumptions (Geo)'!AR30/10^3</f>
        <v>0.44833562861882814</v>
      </c>
      <c r="AT1558" s="427">
        <f>AT1556*'Assumptions (Geo)'!AS30/10^3</f>
        <v>0.40006703963522777</v>
      </c>
      <c r="AU1558" s="427">
        <f>AU1556*'Assumptions (Geo)'!AT30/10^3</f>
        <v>0.35002317603035188</v>
      </c>
      <c r="AV1558" s="427">
        <f>AV1556*'Assumptions (Geo)'!AU30/10^3</f>
        <v>0.29776192530821988</v>
      </c>
      <c r="AW1558" s="427">
        <f>AW1556*'Assumptions (Geo)'!AV30/10^3</f>
        <v>0.24265894592188031</v>
      </c>
      <c r="AX1558" s="427">
        <f>AX1556*'Assumptions (Geo)'!AW30/10^3</f>
        <v>0.18599423324096651</v>
      </c>
      <c r="AY1558" s="427">
        <f>AY1556*'Assumptions (Geo)'!AX30/10^3</f>
        <v>0.12846581432541967</v>
      </c>
      <c r="AZ1558" s="427">
        <f>AZ1556*'Assumptions (Geo)'!AY30/10^3</f>
        <v>6.5943921188924101E-2</v>
      </c>
      <c r="BA1558" s="427">
        <f>BA1556*'Assumptions (Geo)'!AZ30/10^3</f>
        <v>1.2087941E-8</v>
      </c>
    </row>
    <row r="1559" spans="1:53" ht="15.75" customHeight="1">
      <c r="A1559" s="425" t="s">
        <v>38</v>
      </c>
      <c r="B1559" s="99" t="s">
        <v>201</v>
      </c>
      <c r="C1559" s="427">
        <f>C1555*'Assumptions (Geo)'!B33*'Assumptions (Geo)'!B32*365/10^9</f>
        <v>0</v>
      </c>
      <c r="D1559" s="427">
        <f>D1555*'Assumptions (Geo)'!C33*'Assumptions (Geo)'!C32*365/10^9</f>
        <v>0</v>
      </c>
      <c r="E1559" s="427">
        <f>E1555*'Assumptions (Geo)'!D33*'Assumptions (Geo)'!D32*365/10^9</f>
        <v>0</v>
      </c>
      <c r="F1559" s="427">
        <f>F1555*'Assumptions (Geo)'!E33*'Assumptions (Geo)'!E32*365/10^9</f>
        <v>0</v>
      </c>
      <c r="G1559" s="427">
        <f>G1555*'Assumptions (Geo)'!F33*'Assumptions (Geo)'!F32*365/10^9</f>
        <v>0</v>
      </c>
      <c r="H1559" s="427">
        <f>H1555*'Assumptions (Geo)'!G33*'Assumptions (Geo)'!G32*365/10^9</f>
        <v>0</v>
      </c>
      <c r="I1559" s="427">
        <f>I1555*'Assumptions (Geo)'!H33*'Assumptions (Geo)'!H32*365/10^9</f>
        <v>0</v>
      </c>
      <c r="J1559" s="427">
        <f>J1555*'Assumptions (Geo)'!I33*'Assumptions (Geo)'!I32*365/10^9</f>
        <v>0</v>
      </c>
      <c r="K1559" s="427">
        <f>K1555*'Assumptions (Geo)'!J33*'Assumptions (Geo)'!J32*365/10^9</f>
        <v>0</v>
      </c>
      <c r="L1559" s="427">
        <f>L1555*'Assumptions (Geo)'!K33*'Assumptions (Geo)'!K32*365/10^9</f>
        <v>0</v>
      </c>
      <c r="M1559" s="427">
        <f>M1555*'Assumptions (Geo)'!L33*'Assumptions (Geo)'!L32*365/10^9</f>
        <v>0</v>
      </c>
      <c r="N1559" s="427">
        <f>N1555*'Assumptions (Geo)'!M33*'Assumptions (Geo)'!M32*365/10^9</f>
        <v>0</v>
      </c>
      <c r="O1559" s="427">
        <f>O1555*'Assumptions (Geo)'!N33*'Assumptions (Geo)'!N32*365/10^9</f>
        <v>0</v>
      </c>
      <c r="P1559" s="427">
        <f>P1555*'Assumptions (Geo)'!O33*'Assumptions (Geo)'!O32*365/10^9</f>
        <v>0</v>
      </c>
      <c r="Q1559" s="427">
        <f>Q1555*'Assumptions (Geo)'!P33*'Assumptions (Geo)'!P32*365/10^9</f>
        <v>0</v>
      </c>
      <c r="R1559" s="427">
        <f>R1555*'Assumptions (Geo)'!Q33*'Assumptions (Geo)'!Q32*365/10^9</f>
        <v>0</v>
      </c>
      <c r="S1559" s="427">
        <f>S1555*'Assumptions (Geo)'!R33*'Assumptions (Geo)'!R32*365/10^9</f>
        <v>0</v>
      </c>
      <c r="T1559" s="427">
        <f>T1555*'Assumptions (Geo)'!S33*'Assumptions (Geo)'!S32*365/10^9</f>
        <v>0</v>
      </c>
      <c r="U1559" s="427">
        <f>U1555*'Assumptions (Geo)'!T33*'Assumptions (Geo)'!T32*365/10^9</f>
        <v>0</v>
      </c>
      <c r="V1559" s="427">
        <f>V1555*'Assumptions (Geo)'!U33*'Assumptions (Geo)'!U32*365/10^9</f>
        <v>0</v>
      </c>
      <c r="W1559" s="427">
        <f>W1555*'Assumptions (Geo)'!V33*'Assumptions (Geo)'!V32*365/10^9</f>
        <v>0</v>
      </c>
      <c r="X1559" s="427">
        <f>X1555*'Assumptions (Geo)'!W33*'Assumptions (Geo)'!W32*365/10^9</f>
        <v>0</v>
      </c>
      <c r="Y1559" s="427">
        <f>Y1555*'Assumptions (Geo)'!X33*'Assumptions (Geo)'!X32*365/10^9</f>
        <v>0</v>
      </c>
      <c r="Z1559" s="427">
        <f>Z1555*'Assumptions (Geo)'!Y33*'Assumptions (Geo)'!Y32*365/10^9</f>
        <v>0</v>
      </c>
      <c r="AA1559" s="427">
        <f>AA1555*'Assumptions (Geo)'!Z33*'Assumptions (Geo)'!Z32*365/10^9</f>
        <v>0</v>
      </c>
      <c r="AB1559" s="427">
        <f>AB1555*'Assumptions (Geo)'!AA33*'Assumptions (Geo)'!AA32*365/10^9</f>
        <v>0</v>
      </c>
      <c r="AC1559" s="427">
        <f>AC1555*'Assumptions (Geo)'!AB33*'Assumptions (Geo)'!AB32*365/10^9</f>
        <v>0</v>
      </c>
      <c r="AD1559" s="427">
        <f>AD1555*'Assumptions (Geo)'!AC33*'Assumptions (Geo)'!AC32*365/10^9</f>
        <v>0</v>
      </c>
      <c r="AE1559" s="427">
        <f>AE1555*'Assumptions (Geo)'!AD33*'Assumptions (Geo)'!AD32*365/10^9</f>
        <v>0</v>
      </c>
      <c r="AF1559" s="427">
        <f>AF1555*'Assumptions (Geo)'!AE33*'Assumptions (Geo)'!AE32*365/10^9</f>
        <v>0</v>
      </c>
      <c r="AG1559" s="427">
        <f>AG1555*'Assumptions (Geo)'!AF33*'Assumptions (Geo)'!AF32*365/10^9</f>
        <v>0</v>
      </c>
      <c r="AH1559" s="427">
        <f>AH1555*'Assumptions (Geo)'!AG33*'Assumptions (Geo)'!AG32*365/10^9</f>
        <v>0</v>
      </c>
      <c r="AI1559" s="427">
        <f>AI1555*'Assumptions (Geo)'!AH33*'Assumptions (Geo)'!AH32*365/10^9</f>
        <v>0</v>
      </c>
      <c r="AJ1559" s="427">
        <f>AJ1555*'Assumptions (Geo)'!AI33*'Assumptions (Geo)'!AI32*365/10^9</f>
        <v>0</v>
      </c>
      <c r="AK1559" s="427">
        <f>AK1555*'Assumptions (Geo)'!AJ33*'Assumptions (Geo)'!AJ32*365/10^9</f>
        <v>0</v>
      </c>
      <c r="AL1559" s="427">
        <f>AL1555*'Assumptions (Geo)'!AK33*'Assumptions (Geo)'!AK32*365/10^9</f>
        <v>0</v>
      </c>
      <c r="AM1559" s="427">
        <f>AM1555*'Assumptions (Geo)'!AL33*'Assumptions (Geo)'!AL32*365/10^9</f>
        <v>0</v>
      </c>
      <c r="AN1559" s="427">
        <f>AN1555*'Assumptions (Geo)'!AM33*'Assumptions (Geo)'!AM32*365/10^9</f>
        <v>0</v>
      </c>
      <c r="AO1559" s="427">
        <f>AO1555*'Assumptions (Geo)'!AN33*'Assumptions (Geo)'!AN32*365/10^9</f>
        <v>0</v>
      </c>
      <c r="AP1559" s="427">
        <f>AP1555*'Assumptions (Geo)'!AO33*'Assumptions (Geo)'!AO32*365/10^9</f>
        <v>0</v>
      </c>
      <c r="AQ1559" s="427">
        <f>AQ1555*'Assumptions (Geo)'!AP33*'Assumptions (Geo)'!AP32*365/10^9</f>
        <v>0</v>
      </c>
      <c r="AR1559" s="427">
        <f>AR1555*'Assumptions (Geo)'!AQ33*'Assumptions (Geo)'!AQ32*365/10^9</f>
        <v>0</v>
      </c>
      <c r="AS1559" s="427">
        <f>AS1555*'Assumptions (Geo)'!AR33*'Assumptions (Geo)'!AR32*365/10^9</f>
        <v>0</v>
      </c>
      <c r="AT1559" s="427">
        <f>AT1555*'Assumptions (Geo)'!AS33*'Assumptions (Geo)'!AS32*365/10^9</f>
        <v>0</v>
      </c>
      <c r="AU1559" s="427">
        <f>AU1555*'Assumptions (Geo)'!AT33*'Assumptions (Geo)'!AT32*365/10^9</f>
        <v>0</v>
      </c>
      <c r="AV1559" s="427">
        <f>AV1555*'Assumptions (Geo)'!AU33*'Assumptions (Geo)'!AU32*365/10^9</f>
        <v>0</v>
      </c>
      <c r="AW1559" s="427">
        <f>AW1555*'Assumptions (Geo)'!AV33*'Assumptions (Geo)'!AV32*365/10^9</f>
        <v>0</v>
      </c>
      <c r="AX1559" s="427">
        <f>AX1555*'Assumptions (Geo)'!AW33*'Assumptions (Geo)'!AW32*365/10^9</f>
        <v>0</v>
      </c>
      <c r="AY1559" s="427">
        <f>AY1555*'Assumptions (Geo)'!AX33*'Assumptions (Geo)'!AX32*365/10^9</f>
        <v>0</v>
      </c>
      <c r="AZ1559" s="427">
        <f>AZ1555*'Assumptions (Geo)'!AY33*'Assumptions (Geo)'!AY32*365/10^9</f>
        <v>0</v>
      </c>
      <c r="BA1559" s="427">
        <f>BA1555*'Assumptions (Geo)'!AZ33*'Assumptions (Geo)'!AZ32*365/10^9</f>
        <v>0</v>
      </c>
    </row>
    <row r="1560" spans="1:53" ht="15.75" customHeight="1">
      <c r="A1560" s="428" t="s">
        <v>46</v>
      </c>
      <c r="B1560" s="43" t="s">
        <v>152</v>
      </c>
      <c r="C1560" s="127">
        <v>56.9</v>
      </c>
      <c r="D1560" s="429">
        <v>0</v>
      </c>
      <c r="E1560" s="127">
        <v>5.6</v>
      </c>
      <c r="F1560" s="127">
        <v>20</v>
      </c>
      <c r="G1560" s="429">
        <v>0</v>
      </c>
      <c r="H1560" s="127">
        <v>15.6</v>
      </c>
      <c r="I1560" s="127">
        <v>27</v>
      </c>
      <c r="J1560" s="127">
        <v>34</v>
      </c>
      <c r="K1560" s="127">
        <v>37.799999999999997</v>
      </c>
      <c r="L1560" s="127">
        <v>163.6</v>
      </c>
      <c r="M1560" s="127">
        <v>12.5</v>
      </c>
      <c r="N1560" s="127">
        <v>2.9</v>
      </c>
      <c r="O1560" s="127">
        <v>122.9</v>
      </c>
      <c r="P1560" s="127">
        <v>70.599999999999994</v>
      </c>
      <c r="Q1560" s="127">
        <v>11.5</v>
      </c>
      <c r="R1560" s="127">
        <v>48</v>
      </c>
      <c r="S1560" s="429">
        <v>0</v>
      </c>
      <c r="T1560" s="127">
        <v>37</v>
      </c>
      <c r="U1560" s="127">
        <v>16</v>
      </c>
      <c r="V1560" s="63">
        <v>72</v>
      </c>
      <c r="W1560" s="90">
        <f>IF(W1555-V1555+'Assumptions (Geo)'!V36&gt;0,W1555-V1555+'Assumptions (Geo)'!V36,0)</f>
        <v>0</v>
      </c>
      <c r="X1560" s="90">
        <f>IF(X1555-W1555+'Assumptions (Geo)'!W36&gt;0,X1555-W1555+'Assumptions (Geo)'!W36,0)</f>
        <v>0</v>
      </c>
      <c r="Y1560" s="90">
        <f>IF(Y1555-X1555+'Assumptions (Geo)'!X36&gt;0,Y1555-X1555+'Assumptions (Geo)'!X36,0)</f>
        <v>0</v>
      </c>
      <c r="Z1560" s="90">
        <f>IF(Z1555-Y1555+'Assumptions (Geo)'!Y36&gt;0,Z1555-Y1555+'Assumptions (Geo)'!Y36,0)</f>
        <v>7.1366666666667697</v>
      </c>
      <c r="AA1560" s="90">
        <f>IF(AA1555-Z1555+'Assumptions (Geo)'!Z36&gt;0,AA1555-Z1555+'Assumptions (Geo)'!Z36,0)</f>
        <v>0</v>
      </c>
      <c r="AB1560" s="90">
        <f>IF(AB1555-AA1555+'Assumptions (Geo)'!AA36&gt;0,AB1555-AA1555+'Assumptions (Geo)'!AA36,0)</f>
        <v>0</v>
      </c>
      <c r="AC1560" s="90">
        <f>IF(AC1555-AB1555+'Assumptions (Geo)'!AB36&gt;0,AC1555-AB1555+'Assumptions (Geo)'!AB36,0)</f>
        <v>0</v>
      </c>
      <c r="AD1560" s="90">
        <f>IF(AD1555-AC1555+'Assumptions (Geo)'!AC36&gt;0,AD1555-AC1555+'Assumptions (Geo)'!AC36,0)</f>
        <v>0</v>
      </c>
      <c r="AE1560" s="90">
        <f>IF(AE1555-AD1555+'Assumptions (Geo)'!AD36&gt;0,AE1555-AD1555+'Assumptions (Geo)'!AD36,0)</f>
        <v>0</v>
      </c>
      <c r="AF1560" s="90">
        <f>IF(AF1555-AE1555+'Assumptions (Geo)'!AE36&gt;0,AF1555-AE1555+'Assumptions (Geo)'!AE36,0)</f>
        <v>0</v>
      </c>
      <c r="AG1560" s="90">
        <f>IF(AG1555-AF1555+'Assumptions (Geo)'!AF36&gt;0,AG1555-AF1555+'Assumptions (Geo)'!AF36,0)</f>
        <v>0</v>
      </c>
      <c r="AH1560" s="90">
        <f>IF(AH1555-AG1555+'Assumptions (Geo)'!AG36&gt;0,AH1555-AG1555+'Assumptions (Geo)'!AG36,0)</f>
        <v>0</v>
      </c>
      <c r="AI1560" s="90">
        <f>IF(AI1555-AH1555+'Assumptions (Geo)'!AH36&gt;0,AI1555-AH1555+'Assumptions (Geo)'!AH36,0)</f>
        <v>42.13666666666677</v>
      </c>
      <c r="AJ1560" s="90">
        <f>IF(AJ1555-AI1555+'Assumptions (Geo)'!AI36&gt;0,AJ1555-AI1555+'Assumptions (Geo)'!AI36,0)</f>
        <v>0</v>
      </c>
      <c r="AK1560" s="90">
        <f>IF(AK1555-AJ1555+'Assumptions (Geo)'!AJ36&gt;0,AK1555-AJ1555+'Assumptions (Geo)'!AJ36,0)</f>
        <v>0</v>
      </c>
      <c r="AL1560" s="90">
        <f>IF(AL1555-AK1555+'Assumptions (Geo)'!AK36&gt;0,AL1555-AK1555+'Assumptions (Geo)'!AK36,0)</f>
        <v>81.13666666666677</v>
      </c>
      <c r="AM1560" s="90">
        <f>IF(AM1555-AL1555+'Assumptions (Geo)'!AL36&gt;0,AM1555-AL1555+'Assumptions (Geo)'!AL36,0)</f>
        <v>46.936666666666781</v>
      </c>
      <c r="AN1560" s="90">
        <f>IF(AN1555-AM1555+'Assumptions (Geo)'!AM36&gt;0,AN1555-AM1555+'Assumptions (Geo)'!AM36,0)</f>
        <v>146.53666666666678</v>
      </c>
      <c r="AO1560" s="90">
        <f>IF(AO1555-AN1555+'Assumptions (Geo)'!AN36&gt;0,AO1555-AN1555+'Assumptions (Geo)'!AN36,0)</f>
        <v>0</v>
      </c>
      <c r="AP1560" s="90">
        <f>IF(AP1555-AO1555+'Assumptions (Geo)'!AO36&gt;0,AP1555-AO1555+'Assumptions (Geo)'!AO36,0)</f>
        <v>0</v>
      </c>
      <c r="AQ1560" s="90">
        <f>IF(AQ1555-AP1555+'Assumptions (Geo)'!AP36&gt;0,AQ1555-AP1555+'Assumptions (Geo)'!AP36,0)</f>
        <v>111.43666666666667</v>
      </c>
      <c r="AR1560" s="90">
        <f>IF(AR1555-AQ1555+'Assumptions (Geo)'!AQ36&gt;0,AR1555-AQ1555+'Assumptions (Geo)'!AQ36,0)</f>
        <v>168.13666666666666</v>
      </c>
      <c r="AS1560" s="90">
        <f>IF(AS1555-AR1555+'Assumptions (Geo)'!AR36&gt;0,AS1555-AR1555+'Assumptions (Geo)'!AR36,0)</f>
        <v>0</v>
      </c>
      <c r="AT1560" s="90">
        <f>IF(AT1555-AS1555+'Assumptions (Geo)'!AS36&gt;0,AT1555-AS1555+'Assumptions (Geo)'!AS36,0)</f>
        <v>0</v>
      </c>
      <c r="AU1560" s="90">
        <f>IF(AU1555-AT1555+'Assumptions (Geo)'!AT36&gt;0,AU1555-AT1555+'Assumptions (Geo)'!AT36,0)</f>
        <v>0</v>
      </c>
      <c r="AV1560" s="90">
        <f>IF(AV1555-AU1555+'Assumptions (Geo)'!AU36&gt;0,AV1555-AU1555+'Assumptions (Geo)'!AU36,0)</f>
        <v>0</v>
      </c>
      <c r="AW1560" s="90">
        <f>IF(AW1555-AV1555+'Assumptions (Geo)'!AV36&gt;0,AW1555-AV1555+'Assumptions (Geo)'!AV36,0)</f>
        <v>0</v>
      </c>
      <c r="AX1560" s="90">
        <f>IF(AX1555-AW1555+'Assumptions (Geo)'!AW36&gt;0,AX1555-AW1555+'Assumptions (Geo)'!AW36,0)</f>
        <v>0</v>
      </c>
      <c r="AY1560" s="90">
        <f>IF(AY1555-AX1555+'Assumptions (Geo)'!AX36&gt;0,AY1555-AX1555+'Assumptions (Geo)'!AX36,0)</f>
        <v>0</v>
      </c>
      <c r="AZ1560" s="90">
        <f>IF(AZ1555-AY1555+'Assumptions (Geo)'!AY36&gt;0,AZ1555-AY1555+'Assumptions (Geo)'!AY36,0)</f>
        <v>0</v>
      </c>
      <c r="BA1560" s="90">
        <f>IF(BA1555-AZ1555+'Assumptions (Geo)'!AZ36&gt;0,BA1555-AZ1555+'Assumptions (Geo)'!AZ36,0)</f>
        <v>0</v>
      </c>
    </row>
    <row r="1561" spans="1:53" ht="15.75" customHeight="1">
      <c r="A1561" s="428" t="s">
        <v>48</v>
      </c>
      <c r="B1561" s="43" t="s">
        <v>152</v>
      </c>
      <c r="C1561" s="20"/>
      <c r="D1561" s="20"/>
      <c r="E1561" s="20"/>
      <c r="F1561" s="20"/>
      <c r="G1561" s="20"/>
      <c r="H1561" s="20"/>
      <c r="I1561" s="20"/>
      <c r="J1561" s="20"/>
      <c r="K1561" s="20"/>
      <c r="L1561" s="20"/>
      <c r="M1561" s="20"/>
      <c r="N1561" s="20"/>
      <c r="O1561" s="20"/>
      <c r="P1561" s="20"/>
      <c r="Q1561" s="20"/>
      <c r="R1561" s="20"/>
      <c r="S1561" s="20"/>
      <c r="T1561" s="20"/>
      <c r="U1561" s="20"/>
      <c r="V1561" s="99"/>
      <c r="W1561" s="90"/>
      <c r="X1561" s="90">
        <f>IF(W1560='Assumptions (Geo)'!$V$11,Model!X1556-Model!X1555*'Assumptions (Geo)'!V$15*0.00876,0)</f>
        <v>0</v>
      </c>
      <c r="Y1561" s="90">
        <f>IF(X1560='Assumptions (Geo)'!$V$11,Model!Y1556-Model!Y1555*'Assumptions (Geo)'!W$15*0.00876,0)</f>
        <v>0</v>
      </c>
      <c r="Z1561" s="90">
        <f>IF(Y1560='Assumptions (Geo)'!$V$11,Model!Z1556-Model!Z1555*'Assumptions (Geo)'!X$15*0.00876,0)</f>
        <v>0</v>
      </c>
      <c r="AA1561" s="90">
        <f>IF(Z1560='Assumptions (Geo)'!$V$11,Model!AA1556-Model!AA1555*'Assumptions (Geo)'!Y$15*0.00876,0)</f>
        <v>0</v>
      </c>
      <c r="AB1561" s="90">
        <f>IF(AA1560='Assumptions (Geo)'!$V$11,Model!AB1556-Model!AB1555*'Assumptions (Geo)'!Z$15*0.00876,0)</f>
        <v>0</v>
      </c>
      <c r="AC1561" s="90">
        <f>IF(AB1560='Assumptions (Geo)'!$V$11,Model!AC1556-Model!AC1555*'Assumptions (Geo)'!AA$15*0.00876,0)</f>
        <v>0</v>
      </c>
      <c r="AD1561" s="90">
        <f>IF(AC1560='Assumptions (Geo)'!$V$11,Model!AD1556-Model!AD1555*'Assumptions (Geo)'!AB$15*0.00876,0)</f>
        <v>0</v>
      </c>
      <c r="AE1561" s="90">
        <f>IF(AD1560='Assumptions (Geo)'!$V$11,Model!AE1556-Model!AE1555*'Assumptions (Geo)'!AC$15*0.00876,0)</f>
        <v>0</v>
      </c>
      <c r="AF1561" s="90">
        <f>IF(AE1560='Assumptions (Geo)'!$V$11,Model!AF1556-Model!AF1555*'Assumptions (Geo)'!AD$15*0.00876,0)</f>
        <v>0</v>
      </c>
      <c r="AG1561" s="90">
        <f>IF(AF1560='Assumptions (Geo)'!$V$11,Model!AG1556-Model!AG1555*'Assumptions (Geo)'!AE$15*0.00876,0)</f>
        <v>0</v>
      </c>
      <c r="AH1561" s="90">
        <f>IF(AG1560='Assumptions (Geo)'!$V$11,Model!AH1556-Model!AH1555*'Assumptions (Geo)'!AF$15*0.00876,0)</f>
        <v>0</v>
      </c>
      <c r="AI1561" s="90">
        <f>IF(AH1560='Assumptions (Geo)'!$V$11,Model!AI1556-Model!AI1555*'Assumptions (Geo)'!AG$15*0.00876,0)</f>
        <v>0</v>
      </c>
      <c r="AJ1561" s="90">
        <f>IF(AI1560='Assumptions (Geo)'!$V$11,Model!AJ1556-Model!AJ1555*'Assumptions (Geo)'!AH$15*0.00876,0)</f>
        <v>0</v>
      </c>
      <c r="AK1561" s="90">
        <f>IF(AJ1560='Assumptions (Geo)'!$V$11,Model!AK1556-Model!AK1555*'Assumptions (Geo)'!AI$15*0.00876,0)</f>
        <v>0</v>
      </c>
      <c r="AL1561" s="90">
        <f>IF(AK1560='Assumptions (Geo)'!$V$11,Model!AL1556-Model!AL1555*'Assumptions (Geo)'!AJ$15*0.00876,0)</f>
        <v>0</v>
      </c>
      <c r="AM1561" s="90">
        <f>IF(AL1560='Assumptions (Geo)'!$V$11,Model!AM1556-Model!AM1555*'Assumptions (Geo)'!AK$15*0.00876,0)</f>
        <v>0</v>
      </c>
      <c r="AN1561" s="90">
        <f>IF(AM1560='Assumptions (Geo)'!$V$11,Model!AN1556-Model!AN1555*'Assumptions (Geo)'!AL$15*0.00876,0)</f>
        <v>0</v>
      </c>
      <c r="AO1561" s="90">
        <f>IF(AN1560='Assumptions (Geo)'!$V$11,Model!AO1556-Model!AO1555*'Assumptions (Geo)'!AM$15*0.00876,0)</f>
        <v>0</v>
      </c>
      <c r="AP1561" s="90">
        <f>IF(AO1560='Assumptions (Geo)'!$V$11,Model!AP1556-Model!AP1555*'Assumptions (Geo)'!AN$15*0.00876,0)</f>
        <v>0</v>
      </c>
      <c r="AQ1561" s="90">
        <f>IF(AP1560='Assumptions (Geo)'!$V$11,Model!AQ1556-Model!AQ1555*'Assumptions (Geo)'!AO$15*0.00876,0)</f>
        <v>0</v>
      </c>
      <c r="AR1561" s="90">
        <f>IF(AQ1560='Assumptions (Geo)'!$V$11,Model!AR1556-Model!AR1555*'Assumptions (Geo)'!AP$15*0.00876,0)</f>
        <v>0</v>
      </c>
      <c r="AS1561" s="90">
        <f>IF(AR1560='Assumptions (Geo)'!$V$11,Model!AS1556-Model!AS1555*'Assumptions (Geo)'!AQ$15*0.00876,0)</f>
        <v>0</v>
      </c>
      <c r="AT1561" s="90">
        <f>IF(AS1560='Assumptions (Geo)'!$V$11,Model!AT1556-Model!AT1555*'Assumptions (Geo)'!AR$15*0.00876,0)</f>
        <v>0</v>
      </c>
      <c r="AU1561" s="90">
        <f>IF(AT1560='Assumptions (Geo)'!$V$11,Model!AU1556-Model!AU1555*'Assumptions (Geo)'!AS$15*0.00876,0)</f>
        <v>0</v>
      </c>
      <c r="AV1561" s="90">
        <f>IF(AU1560='Assumptions (Geo)'!$V$11,Model!AV1556-Model!AV1555*'Assumptions (Geo)'!AT$15*0.00876,0)</f>
        <v>0</v>
      </c>
      <c r="AW1561" s="90">
        <f>IF(AV1560='Assumptions (Geo)'!$V$11,Model!AW1556-Model!AW1555*'Assumptions (Geo)'!AU$15*0.00876,0)</f>
        <v>0</v>
      </c>
      <c r="AX1561" s="90">
        <f>IF(AW1560='Assumptions (Geo)'!$V$11,Model!AX1556-Model!AX1555*'Assumptions (Geo)'!AV$15*0.00876,0)</f>
        <v>0</v>
      </c>
      <c r="AY1561" s="90">
        <f>IF(AX1560='Assumptions (Geo)'!$V$11,Model!AY1556-Model!AY1555*'Assumptions (Geo)'!AW$15*0.00876,0)</f>
        <v>0</v>
      </c>
      <c r="AZ1561" s="90">
        <f>IF(AY1560='Assumptions (Geo)'!$V$11,Model!AZ1556-Model!AZ1555*'Assumptions (Geo)'!AX$15*0.00876,0)</f>
        <v>0</v>
      </c>
      <c r="BA1561" s="90">
        <f>IF(AZ1560='Assumptions (Geo)'!$V$11,Model!BA1556-Model!BA1555*'Assumptions (Geo)'!AY$15*0.00876,0)</f>
        <v>0</v>
      </c>
    </row>
    <row r="1562" spans="1:53" ht="15.75" customHeight="1">
      <c r="A1562" s="430" t="s">
        <v>290</v>
      </c>
      <c r="B1562" s="99" t="s">
        <v>201</v>
      </c>
      <c r="C1562" s="91">
        <f t="shared" ref="C1562:BA1562" si="39">SUM(C1563:C1613)</f>
        <v>0.12436900559210108</v>
      </c>
      <c r="D1562" s="91">
        <f t="shared" si="39"/>
        <v>1.6084811659340975E-2</v>
      </c>
      <c r="E1562" s="91">
        <f t="shared" si="39"/>
        <v>2.2815300038046465E-2</v>
      </c>
      <c r="F1562" s="91">
        <f t="shared" si="39"/>
        <v>2.7847483630707721E-2</v>
      </c>
      <c r="G1562" s="91">
        <f t="shared" si="39"/>
        <v>5.1074638287193802E-2</v>
      </c>
      <c r="H1562" s="91">
        <f t="shared" si="39"/>
        <v>6.7194487572196371E-2</v>
      </c>
      <c r="I1562" s="91">
        <f t="shared" si="39"/>
        <v>0.16329892734802559</v>
      </c>
      <c r="J1562" s="91">
        <f t="shared" si="39"/>
        <v>0.15135188347891898</v>
      </c>
      <c r="K1562" s="91">
        <f t="shared" si="39"/>
        <v>0.12919040152211797</v>
      </c>
      <c r="L1562" s="91">
        <f t="shared" si="39"/>
        <v>0.10181214067664296</v>
      </c>
      <c r="M1562" s="91">
        <f t="shared" si="39"/>
        <v>0.14747521704606315</v>
      </c>
      <c r="N1562" s="91">
        <f t="shared" si="39"/>
        <v>0.15701154727256519</v>
      </c>
      <c r="O1562" s="91">
        <f t="shared" si="39"/>
        <v>0.10163778705445828</v>
      </c>
      <c r="P1562" s="91">
        <f t="shared" si="39"/>
        <v>4.7412738634397177E-2</v>
      </c>
      <c r="Q1562" s="91">
        <f t="shared" si="39"/>
        <v>6.9087133438693021E-2</v>
      </c>
      <c r="R1562" s="91">
        <f t="shared" si="39"/>
        <v>4.3939416867008758E-2</v>
      </c>
      <c r="S1562" s="91">
        <f t="shared" si="39"/>
        <v>0.10570331416120032</v>
      </c>
      <c r="T1562" s="91">
        <f t="shared" si="39"/>
        <v>7.5903435832874733E-2</v>
      </c>
      <c r="U1562" s="91">
        <f t="shared" si="39"/>
        <v>6.3344867358708187E-2</v>
      </c>
      <c r="V1562" s="91">
        <f t="shared" si="39"/>
        <v>0</v>
      </c>
      <c r="W1562" s="91">
        <f t="shared" si="39"/>
        <v>6.5324288888889831E-3</v>
      </c>
      <c r="X1562" s="91">
        <f t="shared" si="39"/>
        <v>6.6630774666667624E-3</v>
      </c>
      <c r="Y1562" s="91">
        <f t="shared" si="39"/>
        <v>6.7963390160000973E-3</v>
      </c>
      <c r="Z1562" s="91">
        <f t="shared" si="39"/>
        <v>0</v>
      </c>
      <c r="AA1562" s="91">
        <f t="shared" si="39"/>
        <v>0</v>
      </c>
      <c r="AB1562" s="91">
        <f t="shared" si="39"/>
        <v>0</v>
      </c>
      <c r="AC1562" s="91">
        <f t="shared" si="39"/>
        <v>0</v>
      </c>
      <c r="AD1562" s="91">
        <f t="shared" si="39"/>
        <v>0</v>
      </c>
      <c r="AE1562" s="91">
        <f t="shared" si="39"/>
        <v>0</v>
      </c>
      <c r="AF1562" s="91">
        <f t="shared" si="39"/>
        <v>4.6093639476928364E-2</v>
      </c>
      <c r="AG1562" s="91">
        <f t="shared" si="39"/>
        <v>4.7015512266466927E-2</v>
      </c>
      <c r="AH1562" s="91">
        <f t="shared" si="39"/>
        <v>4.7955822511796267E-2</v>
      </c>
      <c r="AI1562" s="91">
        <f t="shared" si="39"/>
        <v>9.4188634544325939E-2</v>
      </c>
      <c r="AJ1562" s="91">
        <f t="shared" si="39"/>
        <v>0.15164923506804712</v>
      </c>
      <c r="AK1562" s="91">
        <f t="shared" si="39"/>
        <v>0.3316637684468049</v>
      </c>
      <c r="AL1562" s="91">
        <f t="shared" si="39"/>
        <v>0.23834331132822595</v>
      </c>
      <c r="AM1562" s="91">
        <f t="shared" si="39"/>
        <v>0.18413160324396366</v>
      </c>
      <c r="AN1562" s="91">
        <f t="shared" si="39"/>
        <v>0.14282699894474474</v>
      </c>
      <c r="AO1562" s="91">
        <f t="shared" si="39"/>
        <v>0.36549220114873926</v>
      </c>
      <c r="AP1562" s="91">
        <f t="shared" si="39"/>
        <v>0.372802045171714</v>
      </c>
      <c r="AQ1562" s="91">
        <f t="shared" si="39"/>
        <v>0.22868893217899364</v>
      </c>
      <c r="AR1562" s="91">
        <f t="shared" si="39"/>
        <v>0</v>
      </c>
      <c r="AS1562" s="91">
        <f t="shared" si="39"/>
        <v>0</v>
      </c>
      <c r="AT1562" s="91">
        <f t="shared" si="39"/>
        <v>0</v>
      </c>
      <c r="AU1562" s="91">
        <f t="shared" si="39"/>
        <v>0</v>
      </c>
      <c r="AV1562" s="91">
        <f t="shared" si="39"/>
        <v>0</v>
      </c>
      <c r="AW1562" s="91">
        <f t="shared" si="39"/>
        <v>0</v>
      </c>
      <c r="AX1562" s="91">
        <f t="shared" si="39"/>
        <v>0</v>
      </c>
      <c r="AY1562" s="91">
        <f t="shared" si="39"/>
        <v>0</v>
      </c>
      <c r="AZ1562" s="91">
        <f t="shared" si="39"/>
        <v>0</v>
      </c>
      <c r="BA1562" s="91">
        <f t="shared" si="39"/>
        <v>0</v>
      </c>
    </row>
    <row r="1563" spans="1:53" ht="15.75" hidden="1" customHeight="1" outlineLevel="1">
      <c r="A1563" s="428"/>
      <c r="B1563" s="99"/>
      <c r="C1563" s="91">
        <f>IF($C$1560&gt;0,3*'Assumptions (Geo)'!$V$13*Model!$C$1560*'Assumptions (Geo)'!B$2/10^9,0)</f>
        <v>0.10515002107266792</v>
      </c>
      <c r="D1563" s="105"/>
      <c r="E1563" s="105"/>
      <c r="F1563" s="105"/>
      <c r="G1563" s="105"/>
      <c r="H1563" s="105"/>
      <c r="I1563" s="105"/>
      <c r="J1563" s="105"/>
      <c r="K1563" s="105"/>
      <c r="L1563" s="105"/>
      <c r="M1563" s="105"/>
      <c r="N1563" s="105"/>
      <c r="O1563" s="105"/>
      <c r="P1563" s="105"/>
      <c r="Q1563" s="105"/>
      <c r="R1563" s="105"/>
      <c r="S1563" s="105"/>
      <c r="T1563" s="105"/>
      <c r="U1563" s="105"/>
      <c r="V1563" s="99"/>
      <c r="W1563" s="147"/>
      <c r="X1563" s="147"/>
      <c r="Y1563" s="147"/>
      <c r="Z1563" s="147"/>
      <c r="AA1563" s="147"/>
      <c r="AB1563" s="147"/>
      <c r="AC1563" s="147"/>
      <c r="AD1563" s="147"/>
      <c r="AE1563" s="147"/>
      <c r="AF1563" s="147"/>
      <c r="AG1563" s="147"/>
      <c r="AH1563" s="147"/>
      <c r="AI1563" s="147"/>
      <c r="AJ1563" s="147"/>
      <c r="AK1563" s="147"/>
      <c r="AL1563" s="147"/>
      <c r="AM1563" s="147"/>
      <c r="AN1563" s="147"/>
      <c r="AO1563" s="147"/>
      <c r="AP1563" s="147"/>
      <c r="AQ1563" s="147"/>
      <c r="AR1563" s="147"/>
      <c r="AS1563" s="147"/>
      <c r="AT1563" s="147"/>
      <c r="AU1563" s="147"/>
      <c r="AV1563" s="147"/>
      <c r="AW1563" s="147"/>
      <c r="AX1563" s="147"/>
      <c r="AY1563" s="147"/>
      <c r="AZ1563" s="147"/>
      <c r="BA1563" s="147"/>
    </row>
    <row r="1564" spans="1:53" ht="15.75" hidden="1" customHeight="1" outlineLevel="1">
      <c r="A1564" s="428"/>
      <c r="B1564" s="99"/>
      <c r="C1564" s="91">
        <f>IF($D$1560&gt;0,3*'Assumptions (Geo)'!$V$13*Model!$D$1560*'Assumptions (Geo)'!B$2/10^9,0)</f>
        <v>0</v>
      </c>
      <c r="D1564" s="91"/>
      <c r="E1564" s="91"/>
      <c r="F1564" s="91"/>
      <c r="G1564" s="91"/>
      <c r="H1564" s="91"/>
      <c r="I1564" s="91"/>
      <c r="J1564" s="91"/>
      <c r="K1564" s="91"/>
      <c r="L1564" s="91"/>
      <c r="M1564" s="105"/>
      <c r="N1564" s="105"/>
      <c r="O1564" s="105"/>
      <c r="P1564" s="105"/>
      <c r="Q1564" s="105"/>
      <c r="R1564" s="105"/>
      <c r="S1564" s="105"/>
      <c r="T1564" s="105"/>
      <c r="U1564" s="105"/>
      <c r="V1564" s="99"/>
      <c r="W1564" s="147"/>
      <c r="X1564" s="147"/>
      <c r="Y1564" s="147"/>
      <c r="Z1564" s="147"/>
      <c r="AA1564" s="147"/>
      <c r="AB1564" s="147"/>
      <c r="AC1564" s="147"/>
      <c r="AD1564" s="147"/>
      <c r="AE1564" s="147"/>
      <c r="AF1564" s="147"/>
      <c r="AG1564" s="147"/>
      <c r="AH1564" s="147"/>
      <c r="AI1564" s="147"/>
      <c r="AJ1564" s="147"/>
      <c r="AK1564" s="147"/>
      <c r="AL1564" s="147"/>
      <c r="AM1564" s="147"/>
      <c r="AN1564" s="147"/>
      <c r="AO1564" s="147"/>
      <c r="AP1564" s="147"/>
      <c r="AQ1564" s="147"/>
      <c r="AR1564" s="147"/>
      <c r="AS1564" s="147"/>
      <c r="AT1564" s="147"/>
      <c r="AU1564" s="147"/>
      <c r="AV1564" s="147"/>
      <c r="AW1564" s="147"/>
      <c r="AX1564" s="147"/>
      <c r="AY1564" s="147"/>
      <c r="AZ1564" s="147"/>
      <c r="BA1564" s="147"/>
    </row>
    <row r="1565" spans="1:53" ht="15.75" hidden="1" customHeight="1" outlineLevel="1">
      <c r="A1565" s="428"/>
      <c r="B1565" s="99"/>
      <c r="C1565" s="91">
        <f>IF($E$1560&gt;0,2*'Assumptions (Geo)'!$V$13*Model!$E$1560*'Assumptions (Geo)'!B$2/10^9,0)</f>
        <v>6.8991226480016443E-3</v>
      </c>
      <c r="D1565" s="91">
        <f>IF($E$1560&gt;0,'Assumptions (Geo)'!$V$13*Model!$E$1560*'Assumptions (Geo)'!C$2/10^9,0)</f>
        <v>3.5185525504808383E-3</v>
      </c>
      <c r="E1565" s="91"/>
      <c r="F1565" s="91"/>
      <c r="G1565" s="91"/>
      <c r="H1565" s="91"/>
      <c r="I1565" s="91"/>
      <c r="J1565" s="91"/>
      <c r="K1565" s="91"/>
      <c r="L1565" s="91"/>
      <c r="M1565" s="105"/>
      <c r="N1565" s="105"/>
      <c r="O1565" s="105"/>
      <c r="P1565" s="105"/>
      <c r="Q1565" s="105"/>
      <c r="R1565" s="105"/>
      <c r="S1565" s="105"/>
      <c r="T1565" s="105"/>
      <c r="U1565" s="105"/>
      <c r="V1565" s="99"/>
      <c r="W1565" s="147"/>
      <c r="X1565" s="147"/>
      <c r="Y1565" s="147"/>
      <c r="Z1565" s="147"/>
      <c r="AA1565" s="147"/>
      <c r="AB1565" s="147"/>
      <c r="AC1565" s="147"/>
      <c r="AD1565" s="147"/>
      <c r="AE1565" s="147"/>
      <c r="AF1565" s="147"/>
      <c r="AG1565" s="147"/>
      <c r="AH1565" s="147"/>
      <c r="AI1565" s="147"/>
      <c r="AJ1565" s="147"/>
      <c r="AK1565" s="147"/>
      <c r="AL1565" s="147"/>
      <c r="AM1565" s="147"/>
      <c r="AN1565" s="147"/>
      <c r="AO1565" s="147"/>
      <c r="AP1565" s="147"/>
      <c r="AQ1565" s="147"/>
      <c r="AR1565" s="147"/>
      <c r="AS1565" s="147"/>
      <c r="AT1565" s="147"/>
      <c r="AU1565" s="147"/>
      <c r="AV1565" s="147"/>
      <c r="AW1565" s="147"/>
      <c r="AX1565" s="147"/>
      <c r="AY1565" s="147"/>
      <c r="AZ1565" s="147"/>
      <c r="BA1565" s="147"/>
    </row>
    <row r="1566" spans="1:53" ht="15.75" hidden="1" customHeight="1" outlineLevel="1">
      <c r="A1566" s="428"/>
      <c r="B1566" s="99"/>
      <c r="C1566" s="91">
        <f>IF($F$1560&gt;0,'Assumptions (Geo)'!$V$13*Model!$F$1560*'Assumptions (Geo)'!B$2/10^9,0)</f>
        <v>1.2319861871431506E-2</v>
      </c>
      <c r="D1566" s="91">
        <f>IF($F$1560&gt;0,'Assumptions (Geo)'!$V$13*Model!$F$1560*'Assumptions (Geo)'!C$2/10^9,0)</f>
        <v>1.2566259108860138E-2</v>
      </c>
      <c r="E1566" s="91">
        <f>IF($F$1560&gt;0,'Assumptions (Geo)'!$V$13*Model!$F$1560*'Assumptions (Geo)'!D$2/10^9,0)</f>
        <v>1.281758429103734E-2</v>
      </c>
      <c r="F1566" s="91"/>
      <c r="G1566" s="91"/>
      <c r="H1566" s="91"/>
      <c r="I1566" s="91"/>
      <c r="J1566" s="91"/>
      <c r="K1566" s="91"/>
      <c r="L1566" s="91"/>
      <c r="M1566" s="105"/>
      <c r="N1566" s="105"/>
      <c r="O1566" s="105"/>
      <c r="P1566" s="105"/>
      <c r="Q1566" s="105"/>
      <c r="R1566" s="105"/>
      <c r="S1566" s="105"/>
      <c r="T1566" s="105"/>
      <c r="U1566" s="105"/>
      <c r="V1566" s="99"/>
      <c r="W1566" s="147"/>
      <c r="X1566" s="147"/>
      <c r="Y1566" s="147"/>
      <c r="Z1566" s="147"/>
      <c r="AA1566" s="147"/>
      <c r="AB1566" s="147"/>
      <c r="AC1566" s="147"/>
      <c r="AD1566" s="147"/>
      <c r="AE1566" s="147"/>
      <c r="AF1566" s="147"/>
      <c r="AG1566" s="147"/>
      <c r="AH1566" s="147"/>
      <c r="AI1566" s="147"/>
      <c r="AJ1566" s="147"/>
      <c r="AK1566" s="147"/>
      <c r="AL1566" s="147"/>
      <c r="AM1566" s="147"/>
      <c r="AN1566" s="147"/>
      <c r="AO1566" s="147"/>
      <c r="AP1566" s="147"/>
      <c r="AQ1566" s="147"/>
      <c r="AR1566" s="147"/>
      <c r="AS1566" s="147"/>
      <c r="AT1566" s="147"/>
      <c r="AU1566" s="147"/>
      <c r="AV1566" s="147"/>
      <c r="AW1566" s="147"/>
      <c r="AX1566" s="147"/>
      <c r="AY1566" s="147"/>
      <c r="AZ1566" s="147"/>
      <c r="BA1566" s="147"/>
    </row>
    <row r="1567" spans="1:53" ht="15.75" hidden="1" customHeight="1" outlineLevel="1">
      <c r="A1567" s="428"/>
      <c r="B1567" s="99"/>
      <c r="C1567" s="91"/>
      <c r="D1567" s="91">
        <f>IF($G$1560&gt;0,'Assumptions (Geo)'!$V$13*Model!$G$1560*'Assumptions (Geo)'!C$2/10^9,0)</f>
        <v>0</v>
      </c>
      <c r="E1567" s="91">
        <f>IF($G$1560&gt;0,'Assumptions (Geo)'!$V$13*Model!$G$1560*'Assumptions (Geo)'!D$2/10^9,0)</f>
        <v>0</v>
      </c>
      <c r="F1567" s="91">
        <f>IF($G$1560&gt;0,'Assumptions (Geo)'!$V$13*Model!$G$1560*'Assumptions (Geo)'!E$2/10^9,0)</f>
        <v>0</v>
      </c>
      <c r="G1567" s="91"/>
      <c r="H1567" s="91"/>
      <c r="I1567" s="91"/>
      <c r="J1567" s="91"/>
      <c r="K1567" s="91"/>
      <c r="L1567" s="91"/>
      <c r="M1567" s="105"/>
      <c r="N1567" s="105"/>
      <c r="O1567" s="105"/>
      <c r="P1567" s="105"/>
      <c r="Q1567" s="105"/>
      <c r="R1567" s="105"/>
      <c r="S1567" s="105"/>
      <c r="T1567" s="105"/>
      <c r="U1567" s="105"/>
      <c r="V1567" s="99"/>
      <c r="W1567" s="147"/>
      <c r="X1567" s="147"/>
      <c r="Y1567" s="147"/>
      <c r="Z1567" s="147"/>
      <c r="AA1567" s="147"/>
      <c r="AB1567" s="147"/>
      <c r="AC1567" s="147"/>
      <c r="AD1567" s="147"/>
      <c r="AE1567" s="147"/>
      <c r="AF1567" s="147"/>
      <c r="AG1567" s="147"/>
      <c r="AH1567" s="147"/>
      <c r="AI1567" s="147"/>
      <c r="AJ1567" s="147"/>
      <c r="AK1567" s="147"/>
      <c r="AL1567" s="147"/>
      <c r="AM1567" s="147"/>
      <c r="AN1567" s="147"/>
      <c r="AO1567" s="147"/>
      <c r="AP1567" s="147"/>
      <c r="AQ1567" s="147"/>
      <c r="AR1567" s="147"/>
      <c r="AS1567" s="147"/>
      <c r="AT1567" s="147"/>
      <c r="AU1567" s="147"/>
      <c r="AV1567" s="147"/>
      <c r="AW1567" s="147"/>
      <c r="AX1567" s="147"/>
      <c r="AY1567" s="147"/>
      <c r="AZ1567" s="147"/>
      <c r="BA1567" s="147"/>
    </row>
    <row r="1568" spans="1:53" ht="15.75" hidden="1" customHeight="1" outlineLevel="1">
      <c r="A1568" s="428"/>
      <c r="B1568" s="99"/>
      <c r="C1568" s="91"/>
      <c r="D1568" s="91"/>
      <c r="E1568" s="91">
        <f>IF($H$1560&gt;0,'Assumptions (Geo)'!$V$13*Model!$H$1560*'Assumptions (Geo)'!D$2/10^9,0)</f>
        <v>9.9977157470091255E-3</v>
      </c>
      <c r="F1568" s="91">
        <f>IF($H$1560&gt;0,'Assumptions (Geo)'!$V$13*Model!$H$1560*'Assumptions (Geo)'!E$2/10^9,0)</f>
        <v>1.0197670061949307E-2</v>
      </c>
      <c r="G1568" s="91">
        <f>IF($H$1560&gt;0,'Assumptions (Geo)'!$V$13*Model!$H$1560*'Assumptions (Geo)'!F$2/10^9,0)</f>
        <v>1.0401623463188292E-2</v>
      </c>
      <c r="H1568" s="91"/>
      <c r="I1568" s="91"/>
      <c r="J1568" s="91"/>
      <c r="K1568" s="91"/>
      <c r="L1568" s="91"/>
      <c r="M1568" s="105"/>
      <c r="N1568" s="105"/>
      <c r="O1568" s="105"/>
      <c r="P1568" s="105"/>
      <c r="Q1568" s="105"/>
      <c r="R1568" s="105"/>
      <c r="S1568" s="105"/>
      <c r="T1568" s="105"/>
      <c r="U1568" s="105"/>
      <c r="V1568" s="99"/>
      <c r="W1568" s="147"/>
      <c r="X1568" s="147"/>
      <c r="Y1568" s="147"/>
      <c r="Z1568" s="147"/>
      <c r="AA1568" s="147"/>
      <c r="AB1568" s="147"/>
      <c r="AC1568" s="147"/>
      <c r="AD1568" s="147"/>
      <c r="AE1568" s="147"/>
      <c r="AF1568" s="147"/>
      <c r="AG1568" s="147"/>
      <c r="AH1568" s="147"/>
      <c r="AI1568" s="147"/>
      <c r="AJ1568" s="147"/>
      <c r="AK1568" s="147"/>
      <c r="AL1568" s="147"/>
      <c r="AM1568" s="147"/>
      <c r="AN1568" s="147"/>
      <c r="AO1568" s="147"/>
      <c r="AP1568" s="147"/>
      <c r="AQ1568" s="147"/>
      <c r="AR1568" s="147"/>
      <c r="AS1568" s="147"/>
      <c r="AT1568" s="147"/>
      <c r="AU1568" s="147"/>
      <c r="AV1568" s="147"/>
      <c r="AW1568" s="147"/>
      <c r="AX1568" s="147"/>
      <c r="AY1568" s="147"/>
      <c r="AZ1568" s="147"/>
      <c r="BA1568" s="147"/>
    </row>
    <row r="1569" spans="1:53" ht="15.75" hidden="1" customHeight="1" outlineLevel="1">
      <c r="A1569" s="428"/>
      <c r="B1569" s="99"/>
      <c r="C1569" s="91"/>
      <c r="D1569" s="91"/>
      <c r="E1569" s="91"/>
      <c r="F1569" s="91">
        <f>IF($I$1560&gt;0,'Assumptions (Geo)'!$V$13*Model!$I$1560*'Assumptions (Geo)'!E$2/10^9,0)</f>
        <v>1.7649813568758416E-2</v>
      </c>
      <c r="G1569" s="91">
        <f>IF($I$1560&gt;0,'Assumptions (Geo)'!$V$13*Model!$I$1560*'Assumptions (Geo)'!F$2/10^9,0)</f>
        <v>1.8002809840133589E-2</v>
      </c>
      <c r="H1569" s="91">
        <f>IF($I$1560&gt;0,'Assumptions (Geo)'!$V$13*Model!$I$1560*'Assumptions (Geo)'!G$2/10^9,0)</f>
        <v>1.8362866036936258E-2</v>
      </c>
      <c r="I1569" s="91"/>
      <c r="J1569" s="91"/>
      <c r="K1569" s="91"/>
      <c r="L1569" s="91"/>
      <c r="M1569" s="105"/>
      <c r="N1569" s="105"/>
      <c r="O1569" s="105"/>
      <c r="P1569" s="105"/>
      <c r="Q1569" s="105"/>
      <c r="R1569" s="105"/>
      <c r="S1569" s="105"/>
      <c r="T1569" s="105"/>
      <c r="U1569" s="105"/>
      <c r="V1569" s="99"/>
      <c r="W1569" s="147"/>
      <c r="X1569" s="147"/>
      <c r="Y1569" s="147"/>
      <c r="Z1569" s="147"/>
      <c r="AA1569" s="147"/>
      <c r="AB1569" s="147"/>
      <c r="AC1569" s="147"/>
      <c r="AD1569" s="147"/>
      <c r="AE1569" s="147"/>
      <c r="AF1569" s="147"/>
      <c r="AG1569" s="147"/>
      <c r="AH1569" s="147"/>
      <c r="AI1569" s="147"/>
      <c r="AJ1569" s="147"/>
      <c r="AK1569" s="147"/>
      <c r="AL1569" s="147"/>
      <c r="AM1569" s="147"/>
      <c r="AN1569" s="147"/>
      <c r="AO1569" s="147"/>
      <c r="AP1569" s="147"/>
      <c r="AQ1569" s="147"/>
      <c r="AR1569" s="147"/>
      <c r="AS1569" s="147"/>
      <c r="AT1569" s="147"/>
      <c r="AU1569" s="147"/>
      <c r="AV1569" s="147"/>
      <c r="AW1569" s="147"/>
      <c r="AX1569" s="147"/>
      <c r="AY1569" s="147"/>
      <c r="AZ1569" s="147"/>
      <c r="BA1569" s="147"/>
    </row>
    <row r="1570" spans="1:53" ht="15.75" hidden="1" customHeight="1" outlineLevel="1">
      <c r="A1570" s="428"/>
      <c r="B1570" s="99"/>
      <c r="C1570" s="91"/>
      <c r="D1570" s="91"/>
      <c r="E1570" s="91"/>
      <c r="F1570" s="91"/>
      <c r="G1570" s="91">
        <f>IF($J$1560&gt;0,'Assumptions (Geo)'!$V$13*Model!$J$1560*'Assumptions (Geo)'!F$2/10^9,0)</f>
        <v>2.2670204983871921E-2</v>
      </c>
      <c r="H1570" s="91">
        <f>IF($J$1560&gt;0,'Assumptions (Geo)'!$V$13*Model!$J$1560*'Assumptions (Geo)'!G$2/10^9,0)</f>
        <v>2.3123609083549362E-2</v>
      </c>
      <c r="I1570" s="91">
        <f>IF($J$1560&gt;0,'Assumptions (Geo)'!$V$13*Model!$J$1560*'Assumptions (Geo)'!H$2/10^9,0)</f>
        <v>2.3586081265220347E-2</v>
      </c>
      <c r="J1570" s="91"/>
      <c r="K1570" s="91"/>
      <c r="L1570" s="91"/>
      <c r="M1570" s="105"/>
      <c r="N1570" s="105"/>
      <c r="O1570" s="105"/>
      <c r="P1570" s="105"/>
      <c r="Q1570" s="105"/>
      <c r="R1570" s="105"/>
      <c r="S1570" s="105"/>
      <c r="T1570" s="105"/>
      <c r="U1570" s="105"/>
      <c r="V1570" s="99"/>
      <c r="W1570" s="147"/>
      <c r="X1570" s="147"/>
      <c r="Y1570" s="147"/>
      <c r="Z1570" s="147"/>
      <c r="AA1570" s="147"/>
      <c r="AB1570" s="147"/>
      <c r="AC1570" s="147"/>
      <c r="AD1570" s="147"/>
      <c r="AE1570" s="147"/>
      <c r="AF1570" s="147"/>
      <c r="AG1570" s="147"/>
      <c r="AH1570" s="147"/>
      <c r="AI1570" s="147"/>
      <c r="AJ1570" s="147"/>
      <c r="AK1570" s="147"/>
      <c r="AL1570" s="147"/>
      <c r="AM1570" s="147"/>
      <c r="AN1570" s="147"/>
      <c r="AO1570" s="147"/>
      <c r="AP1570" s="147"/>
      <c r="AQ1570" s="147"/>
      <c r="AR1570" s="147"/>
      <c r="AS1570" s="147"/>
      <c r="AT1570" s="147"/>
      <c r="AU1570" s="147"/>
      <c r="AV1570" s="147"/>
      <c r="AW1570" s="147"/>
      <c r="AX1570" s="147"/>
      <c r="AY1570" s="147"/>
      <c r="AZ1570" s="147"/>
      <c r="BA1570" s="147"/>
    </row>
    <row r="1571" spans="1:53" ht="15.75" hidden="1" customHeight="1" outlineLevel="1">
      <c r="A1571" s="428"/>
      <c r="B1571" s="99"/>
      <c r="C1571" s="91"/>
      <c r="D1571" s="91"/>
      <c r="E1571" s="91"/>
      <c r="F1571" s="91"/>
      <c r="G1571" s="91"/>
      <c r="H1571" s="91">
        <f>IF($K$1560&gt;0,'Assumptions (Geo)'!$V$13*Model!$K$1560*'Assumptions (Geo)'!G$2/10^9,0)</f>
        <v>2.5708012451710758E-2</v>
      </c>
      <c r="I1571" s="91">
        <f>IF($K$1560&gt;0,'Assumptions (Geo)'!$V$13*Model!$K$1560*'Assumptions (Geo)'!H$2/10^9,0)</f>
        <v>2.6222172700744971E-2</v>
      </c>
      <c r="J1571" s="91">
        <f>IF($K$1560&gt;0,'Assumptions (Geo)'!$V$13*Model!$K$1560*'Assumptions (Geo)'!I$2/10^9,0)</f>
        <v>2.6746616154759872E-2</v>
      </c>
      <c r="K1571" s="91"/>
      <c r="L1571" s="91"/>
      <c r="M1571" s="105"/>
      <c r="N1571" s="105"/>
      <c r="O1571" s="105"/>
      <c r="P1571" s="105"/>
      <c r="Q1571" s="105"/>
      <c r="R1571" s="105"/>
      <c r="S1571" s="105"/>
      <c r="T1571" s="105"/>
      <c r="U1571" s="105"/>
      <c r="V1571" s="99"/>
      <c r="W1571" s="147"/>
      <c r="X1571" s="147"/>
      <c r="Y1571" s="147"/>
      <c r="Z1571" s="147"/>
      <c r="AA1571" s="147"/>
      <c r="AB1571" s="147"/>
      <c r="AC1571" s="147"/>
      <c r="AD1571" s="147"/>
      <c r="AE1571" s="147"/>
      <c r="AF1571" s="147"/>
      <c r="AG1571" s="147"/>
      <c r="AH1571" s="147"/>
      <c r="AI1571" s="147"/>
      <c r="AJ1571" s="147"/>
      <c r="AK1571" s="147"/>
      <c r="AL1571" s="147"/>
      <c r="AM1571" s="147"/>
      <c r="AN1571" s="147"/>
      <c r="AO1571" s="147"/>
      <c r="AP1571" s="147"/>
      <c r="AQ1571" s="147"/>
      <c r="AR1571" s="147"/>
      <c r="AS1571" s="147"/>
      <c r="AT1571" s="147"/>
      <c r="AU1571" s="147"/>
      <c r="AV1571" s="147"/>
      <c r="AW1571" s="147"/>
      <c r="AX1571" s="147"/>
      <c r="AY1571" s="147"/>
      <c r="AZ1571" s="147"/>
      <c r="BA1571" s="147"/>
    </row>
    <row r="1572" spans="1:53" ht="15.75" hidden="1" customHeight="1" outlineLevel="1">
      <c r="A1572" s="428"/>
      <c r="B1572" s="99"/>
      <c r="C1572" s="91"/>
      <c r="D1572" s="91"/>
      <c r="E1572" s="91"/>
      <c r="F1572" s="91"/>
      <c r="G1572" s="91"/>
      <c r="H1572" s="91"/>
      <c r="I1572" s="91">
        <f>IF($L$1560&gt;0,'Assumptions (Geo)'!$V$13*Model!$L$1560*'Assumptions (Geo)'!H$2/10^9,0)</f>
        <v>0.11349067338206027</v>
      </c>
      <c r="J1572" s="91">
        <f>IF($L$1560&gt;0,'Assumptions (Geo)'!$V$13*Model!$L$1560*'Assumptions (Geo)'!I$2/10^9,0)</f>
        <v>0.11576048684970149</v>
      </c>
      <c r="K1572" s="91">
        <f>IF($L$1560&gt;0,'Assumptions (Geo)'!$V$13*Model!$L$1560*'Assumptions (Geo)'!J$2/10^9,0)</f>
        <v>0.11807569658669552</v>
      </c>
      <c r="L1572" s="91"/>
      <c r="M1572" s="105"/>
      <c r="N1572" s="105"/>
      <c r="O1572" s="105"/>
      <c r="P1572" s="105"/>
      <c r="Q1572" s="105"/>
      <c r="R1572" s="105"/>
      <c r="S1572" s="105"/>
      <c r="T1572" s="105"/>
      <c r="U1572" s="105"/>
      <c r="V1572" s="99"/>
      <c r="W1572" s="147"/>
      <c r="X1572" s="147"/>
      <c r="Y1572" s="147"/>
      <c r="Z1572" s="147"/>
      <c r="AA1572" s="147"/>
      <c r="AB1572" s="147"/>
      <c r="AC1572" s="147"/>
      <c r="AD1572" s="147"/>
      <c r="AE1572" s="147"/>
      <c r="AF1572" s="147"/>
      <c r="AG1572" s="147"/>
      <c r="AH1572" s="147"/>
      <c r="AI1572" s="147"/>
      <c r="AJ1572" s="147"/>
      <c r="AK1572" s="147"/>
      <c r="AL1572" s="147"/>
      <c r="AM1572" s="147"/>
      <c r="AN1572" s="147"/>
      <c r="AO1572" s="147"/>
      <c r="AP1572" s="147"/>
      <c r="AQ1572" s="147"/>
      <c r="AR1572" s="147"/>
      <c r="AS1572" s="147"/>
      <c r="AT1572" s="147"/>
      <c r="AU1572" s="147"/>
      <c r="AV1572" s="147"/>
      <c r="AW1572" s="147"/>
      <c r="AX1572" s="147"/>
      <c r="AY1572" s="147"/>
      <c r="AZ1572" s="147"/>
      <c r="BA1572" s="147"/>
    </row>
    <row r="1573" spans="1:53" ht="15.75" hidden="1" customHeight="1" outlineLevel="1">
      <c r="A1573" s="428"/>
      <c r="B1573" s="99"/>
      <c r="C1573" s="91"/>
      <c r="D1573" s="91"/>
      <c r="E1573" s="91"/>
      <c r="F1573" s="91"/>
      <c r="G1573" s="91"/>
      <c r="H1573" s="91"/>
      <c r="I1573" s="91"/>
      <c r="J1573" s="91">
        <f>IF($M$1560&gt;0,'Assumptions (Geo)'!$V$13*Model!$M$1560*'Assumptions (Geo)'!I$2/10^9,0)</f>
        <v>8.8447804744576312E-3</v>
      </c>
      <c r="K1573" s="91">
        <f>IF($M$1560&gt;0,'Assumptions (Geo)'!$V$13*Model!$M$1560*'Assumptions (Geo)'!J$2/10^9,0)</f>
        <v>9.0216760839467829E-3</v>
      </c>
      <c r="L1573" s="91">
        <f>IF($M$1560&gt;0,'Assumptions (Geo)'!$V$13*Model!$M$1560*'Assumptions (Geo)'!K$2/10^9,0)</f>
        <v>9.2021096056257197E-3</v>
      </c>
      <c r="M1573" s="105"/>
      <c r="N1573" s="105"/>
      <c r="O1573" s="105"/>
      <c r="P1573" s="105"/>
      <c r="Q1573" s="105"/>
      <c r="R1573" s="105"/>
      <c r="S1573" s="105"/>
      <c r="T1573" s="105"/>
      <c r="U1573" s="105"/>
      <c r="V1573" s="99"/>
      <c r="W1573" s="147"/>
      <c r="X1573" s="147"/>
      <c r="Y1573" s="147"/>
      <c r="Z1573" s="147"/>
      <c r="AA1573" s="147"/>
      <c r="AB1573" s="147"/>
      <c r="AC1573" s="147"/>
      <c r="AD1573" s="147"/>
      <c r="AE1573" s="147"/>
      <c r="AF1573" s="147"/>
      <c r="AG1573" s="147"/>
      <c r="AH1573" s="147"/>
      <c r="AI1573" s="147"/>
      <c r="AJ1573" s="147"/>
      <c r="AK1573" s="147"/>
      <c r="AL1573" s="147"/>
      <c r="AM1573" s="147"/>
      <c r="AN1573" s="147"/>
      <c r="AO1573" s="147"/>
      <c r="AP1573" s="147"/>
      <c r="AQ1573" s="147"/>
      <c r="AR1573" s="147"/>
      <c r="AS1573" s="147"/>
      <c r="AT1573" s="147"/>
      <c r="AU1573" s="147"/>
      <c r="AV1573" s="147"/>
      <c r="AW1573" s="147"/>
      <c r="AX1573" s="147"/>
      <c r="AY1573" s="147"/>
      <c r="AZ1573" s="147"/>
      <c r="BA1573" s="147"/>
    </row>
    <row r="1574" spans="1:53" ht="15.75" hidden="1" customHeight="1" outlineLevel="1">
      <c r="A1574" s="428"/>
      <c r="B1574" s="99"/>
      <c r="C1574" s="105"/>
      <c r="D1574" s="105"/>
      <c r="E1574" s="105"/>
      <c r="F1574" s="105"/>
      <c r="G1574" s="105"/>
      <c r="H1574" s="105"/>
      <c r="I1574" s="105"/>
      <c r="J1574" s="105"/>
      <c r="K1574" s="105">
        <f>IF($N$1560&gt;0,'Assumptions (Geo)'!$V$13*Model!$N$1560*'Assumptions (Geo)'!J$2/10^9,0)</f>
        <v>2.0930288514756541E-3</v>
      </c>
      <c r="L1574" s="105">
        <f>IF($N$1560&gt;0,'Assumptions (Geo)'!$V$13*Model!$N$1560*'Assumptions (Geo)'!K$2/10^9,0)</f>
        <v>2.1348894285051667E-3</v>
      </c>
      <c r="M1574" s="105">
        <f>IF($N$1560&gt;0,'Assumptions (Geo)'!$V$13*Model!$N$1560*'Assumptions (Geo)'!L$2/10^9,0)</f>
        <v>2.17758721707527E-3</v>
      </c>
      <c r="N1574" s="105"/>
      <c r="O1574" s="105"/>
      <c r="P1574" s="105"/>
      <c r="Q1574" s="105"/>
      <c r="R1574" s="105"/>
      <c r="S1574" s="105"/>
      <c r="T1574" s="105"/>
      <c r="U1574" s="105"/>
      <c r="V1574" s="99"/>
      <c r="W1574" s="147"/>
      <c r="X1574" s="147"/>
      <c r="Y1574" s="147"/>
      <c r="Z1574" s="147"/>
      <c r="AA1574" s="147"/>
      <c r="AB1574" s="147"/>
      <c r="AC1574" s="147"/>
      <c r="AD1574" s="147"/>
      <c r="AE1574" s="147"/>
      <c r="AF1574" s="147"/>
      <c r="AG1574" s="147"/>
      <c r="AH1574" s="147"/>
      <c r="AI1574" s="147"/>
      <c r="AJ1574" s="147"/>
      <c r="AK1574" s="147"/>
      <c r="AL1574" s="147"/>
      <c r="AM1574" s="147"/>
      <c r="AN1574" s="147"/>
      <c r="AO1574" s="147"/>
      <c r="AP1574" s="147"/>
      <c r="AQ1574" s="147"/>
      <c r="AR1574" s="147"/>
      <c r="AS1574" s="147"/>
      <c r="AT1574" s="147"/>
      <c r="AU1574" s="147"/>
      <c r="AV1574" s="147"/>
      <c r="AW1574" s="147"/>
      <c r="AX1574" s="147"/>
      <c r="AY1574" s="147"/>
      <c r="AZ1574" s="147"/>
      <c r="BA1574" s="147"/>
    </row>
    <row r="1575" spans="1:53" ht="15.75" hidden="1" customHeight="1" outlineLevel="1">
      <c r="A1575" s="428"/>
      <c r="B1575" s="99"/>
      <c r="C1575" s="105"/>
      <c r="D1575" s="105"/>
      <c r="E1575" s="105"/>
      <c r="F1575" s="105"/>
      <c r="G1575" s="105"/>
      <c r="H1575" s="105"/>
      <c r="I1575" s="105"/>
      <c r="J1575" s="105"/>
      <c r="K1575" s="105"/>
      <c r="L1575" s="105">
        <f>IF($O$1560&gt;0,'Assumptions (Geo)'!$V$13*Model!$O$1560*'Assumptions (Geo)'!K$2/10^9,0)</f>
        <v>9.047514164251208E-2</v>
      </c>
      <c r="M1575" s="105">
        <f>IF($O$1560&gt;0,'Assumptions (Geo)'!$V$13*Model!$O$1560*'Assumptions (Geo)'!L$2/10^9,0)</f>
        <v>9.2284644475362332E-2</v>
      </c>
      <c r="N1575" s="105">
        <f>IF($O$1560&gt;0,'Assumptions (Geo)'!$V$13*Model!$O$1560*'Assumptions (Geo)'!M$2/10^9,0)</f>
        <v>9.4130337364869573E-2</v>
      </c>
      <c r="O1575" s="105"/>
      <c r="P1575" s="105"/>
      <c r="Q1575" s="105"/>
      <c r="R1575" s="105"/>
      <c r="S1575" s="105"/>
      <c r="T1575" s="105"/>
      <c r="U1575" s="105"/>
      <c r="V1575" s="99"/>
      <c r="W1575" s="147"/>
      <c r="X1575" s="147"/>
      <c r="Y1575" s="147"/>
      <c r="Z1575" s="147"/>
      <c r="AA1575" s="147"/>
      <c r="AB1575" s="147"/>
      <c r="AC1575" s="147"/>
      <c r="AD1575" s="147"/>
      <c r="AE1575" s="147"/>
      <c r="AF1575" s="147"/>
      <c r="AG1575" s="147"/>
      <c r="AH1575" s="147"/>
      <c r="AI1575" s="147"/>
      <c r="AJ1575" s="147"/>
      <c r="AK1575" s="147"/>
      <c r="AL1575" s="147"/>
      <c r="AM1575" s="147"/>
      <c r="AN1575" s="147"/>
      <c r="AO1575" s="147"/>
      <c r="AP1575" s="147"/>
      <c r="AQ1575" s="147"/>
      <c r="AR1575" s="147"/>
      <c r="AS1575" s="147"/>
      <c r="AT1575" s="147"/>
      <c r="AU1575" s="147"/>
      <c r="AV1575" s="147"/>
      <c r="AW1575" s="147"/>
      <c r="AX1575" s="147"/>
      <c r="AY1575" s="147"/>
      <c r="AZ1575" s="147"/>
      <c r="BA1575" s="147"/>
    </row>
    <row r="1576" spans="1:53" ht="15.75" hidden="1" customHeight="1" outlineLevel="1">
      <c r="A1576" s="428"/>
      <c r="B1576" s="99"/>
      <c r="C1576" s="105"/>
      <c r="D1576" s="105"/>
      <c r="E1576" s="105"/>
      <c r="F1576" s="105"/>
      <c r="G1576" s="105"/>
      <c r="H1576" s="105"/>
      <c r="I1576" s="105"/>
      <c r="J1576" s="91"/>
      <c r="K1576" s="91"/>
      <c r="L1576" s="91"/>
      <c r="M1576" s="91">
        <f>IF($P$1560&gt;0,'Assumptions (Geo)'!$V$13*Model!$P$1560*'Assumptions (Geo)'!L$2/10^9,0)</f>
        <v>5.3012985353625544E-2</v>
      </c>
      <c r="N1576" s="91">
        <f>IF($P$1560&gt;0,'Assumptions (Geo)'!$V$13*Model!$P$1560*'Assumptions (Geo)'!M$2/10^9,0)</f>
        <v>5.4073245060698064E-2</v>
      </c>
      <c r="O1576" s="91">
        <f>IF($P$1560&gt;0,'Assumptions (Geo)'!$V$13*Model!$P$1560*'Assumptions (Geo)'!N$2/10^9,0)</f>
        <v>5.5154709961912018E-2</v>
      </c>
      <c r="P1576" s="91"/>
      <c r="Q1576" s="105"/>
      <c r="R1576" s="91"/>
      <c r="S1576" s="91"/>
      <c r="T1576" s="91"/>
      <c r="U1576" s="91"/>
      <c r="V1576" s="99"/>
      <c r="W1576" s="147"/>
      <c r="X1576" s="147"/>
      <c r="Y1576" s="147"/>
      <c r="Z1576" s="147"/>
      <c r="AA1576" s="147"/>
      <c r="AB1576" s="147"/>
      <c r="AC1576" s="147"/>
      <c r="AD1576" s="147"/>
      <c r="AE1576" s="147"/>
      <c r="AF1576" s="147"/>
      <c r="AG1576" s="147"/>
      <c r="AH1576" s="147"/>
      <c r="AI1576" s="147"/>
      <c r="AJ1576" s="147"/>
      <c r="AK1576" s="147"/>
      <c r="AL1576" s="147"/>
      <c r="AM1576" s="147"/>
      <c r="AN1576" s="147"/>
      <c r="AO1576" s="147"/>
      <c r="AP1576" s="147"/>
      <c r="AQ1576" s="147"/>
      <c r="AR1576" s="147"/>
      <c r="AS1576" s="147"/>
      <c r="AT1576" s="147"/>
      <c r="AU1576" s="147"/>
      <c r="AV1576" s="147"/>
      <c r="AW1576" s="147"/>
      <c r="AX1576" s="147"/>
      <c r="AY1576" s="147"/>
      <c r="AZ1576" s="147"/>
      <c r="BA1576" s="147"/>
    </row>
    <row r="1577" spans="1:53" ht="15.75" hidden="1" customHeight="1" outlineLevel="1">
      <c r="A1577" s="428"/>
      <c r="B1577" s="99"/>
      <c r="C1577" s="105"/>
      <c r="D1577" s="105"/>
      <c r="E1577" s="105"/>
      <c r="F1577" s="105"/>
      <c r="G1577" s="105"/>
      <c r="H1577" s="105"/>
      <c r="I1577" s="105"/>
      <c r="J1577" s="105"/>
      <c r="K1577" s="91"/>
      <c r="L1577" s="91"/>
      <c r="M1577" s="91"/>
      <c r="N1577" s="91">
        <f>IF($Q$1560&gt;0,'Assumptions (Geo)'!$V$13*Model!$Q$1560*'Assumptions (Geo)'!M$2/10^9,0)</f>
        <v>8.8079648469975586E-3</v>
      </c>
      <c r="O1577" s="91">
        <f>IF($Q$1560&gt;0,'Assumptions (Geo)'!$V$13*Model!$Q$1560*'Assumptions (Geo)'!N$2/10^9,0)</f>
        <v>8.9841241439375091E-3</v>
      </c>
      <c r="P1577" s="91">
        <f>IF($Q$1560&gt;0,'Assumptions (Geo)'!$V$13*Model!$Q$1560*'Assumptions (Geo)'!O$2/10^9,0)</f>
        <v>9.1638066268162604E-3</v>
      </c>
      <c r="Q1577" s="105"/>
      <c r="R1577" s="91"/>
      <c r="S1577" s="91"/>
      <c r="T1577" s="91"/>
      <c r="U1577" s="91"/>
      <c r="V1577" s="99"/>
      <c r="W1577" s="147"/>
      <c r="X1577" s="147"/>
      <c r="Y1577" s="147"/>
      <c r="Z1577" s="147"/>
      <c r="AA1577" s="147"/>
      <c r="AB1577" s="147"/>
      <c r="AC1577" s="147"/>
      <c r="AD1577" s="147"/>
      <c r="AE1577" s="147"/>
      <c r="AF1577" s="147"/>
      <c r="AG1577" s="147"/>
      <c r="AH1577" s="147"/>
      <c r="AI1577" s="147"/>
      <c r="AJ1577" s="147"/>
      <c r="AK1577" s="147"/>
      <c r="AL1577" s="147"/>
      <c r="AM1577" s="147"/>
      <c r="AN1577" s="147"/>
      <c r="AO1577" s="147"/>
      <c r="AP1577" s="147"/>
      <c r="AQ1577" s="147"/>
      <c r="AR1577" s="147"/>
      <c r="AS1577" s="147"/>
      <c r="AT1577" s="147"/>
      <c r="AU1577" s="147"/>
      <c r="AV1577" s="147"/>
      <c r="AW1577" s="147"/>
      <c r="AX1577" s="147"/>
      <c r="AY1577" s="147"/>
      <c r="AZ1577" s="147"/>
      <c r="BA1577" s="147"/>
    </row>
    <row r="1578" spans="1:53" ht="15.75" hidden="1" customHeight="1" outlineLevel="1">
      <c r="A1578" s="428"/>
      <c r="B1578" s="99"/>
      <c r="C1578" s="105"/>
      <c r="D1578" s="105"/>
      <c r="E1578" s="105"/>
      <c r="F1578" s="105"/>
      <c r="G1578" s="105"/>
      <c r="H1578" s="105"/>
      <c r="I1578" s="105"/>
      <c r="J1578" s="105"/>
      <c r="K1578" s="105"/>
      <c r="L1578" s="167"/>
      <c r="M1578" s="167"/>
      <c r="N1578" s="167"/>
      <c r="O1578" s="167">
        <f>IF($R$1560&gt;0,'Assumptions (Geo)'!$V$13*Model!$R$1560*'Assumptions (Geo)'!N$2/10^9,0)</f>
        <v>3.7498952948608742E-2</v>
      </c>
      <c r="P1578" s="167">
        <f>IF($R$1560&gt;0,'Assumptions (Geo)'!$V$13*Model!$R$1560*'Assumptions (Geo)'!O$2/10^9,0)</f>
        <v>3.8248932007580914E-2</v>
      </c>
      <c r="Q1578" s="167">
        <f>IF($R$1560&gt;0,'Assumptions (Geo)'!$V$13*Model!$R$1560*'Assumptions (Geo)'!P$2/10^9,0)</f>
        <v>3.9013910647732533E-2</v>
      </c>
      <c r="R1578" s="91"/>
      <c r="S1578" s="91"/>
      <c r="T1578" s="91"/>
      <c r="U1578" s="91"/>
      <c r="V1578" s="99"/>
      <c r="W1578" s="147"/>
      <c r="X1578" s="147"/>
      <c r="Y1578" s="147"/>
      <c r="Z1578" s="147"/>
      <c r="AA1578" s="147"/>
      <c r="AB1578" s="147"/>
      <c r="AC1578" s="147"/>
      <c r="AD1578" s="147"/>
      <c r="AE1578" s="147"/>
      <c r="AF1578" s="147"/>
      <c r="AG1578" s="147"/>
      <c r="AH1578" s="147"/>
      <c r="AI1578" s="147"/>
      <c r="AJ1578" s="147"/>
      <c r="AK1578" s="147"/>
      <c r="AL1578" s="147"/>
      <c r="AM1578" s="147"/>
      <c r="AN1578" s="147"/>
      <c r="AO1578" s="147"/>
      <c r="AP1578" s="147"/>
      <c r="AQ1578" s="147"/>
      <c r="AR1578" s="147"/>
      <c r="AS1578" s="147"/>
      <c r="AT1578" s="147"/>
      <c r="AU1578" s="147"/>
      <c r="AV1578" s="147"/>
      <c r="AW1578" s="147"/>
      <c r="AX1578" s="147"/>
      <c r="AY1578" s="147"/>
      <c r="AZ1578" s="147"/>
      <c r="BA1578" s="147"/>
    </row>
    <row r="1579" spans="1:53" ht="15.75" hidden="1" customHeight="1" outlineLevel="1">
      <c r="A1579" s="428"/>
      <c r="B1579" s="99"/>
      <c r="C1579" s="105"/>
      <c r="D1579" s="105"/>
      <c r="E1579" s="105"/>
      <c r="F1579" s="105"/>
      <c r="G1579" s="105"/>
      <c r="H1579" s="105"/>
      <c r="I1579" s="105"/>
      <c r="J1579" s="105"/>
      <c r="K1579" s="105"/>
      <c r="L1579" s="105"/>
      <c r="M1579" s="105"/>
      <c r="N1579" s="105"/>
      <c r="O1579" s="105"/>
      <c r="P1579" s="105">
        <f>IF($S$1560&gt;0,'Assumptions (Geo)'!$V$13*Model!$S$1560*'Assumptions (Geo)'!O$2/10^9,0)</f>
        <v>0</v>
      </c>
      <c r="Q1579" s="105">
        <f>IF($S$1560&gt;0,'Assumptions (Geo)'!$V$13*Model!$S$1560*'Assumptions (Geo)'!P$2/10^9,0)</f>
        <v>0</v>
      </c>
      <c r="R1579" s="105">
        <f>IF($S$1560&gt;0,'Assumptions (Geo)'!$V$13*Model!$S$1560*'Assumptions (Geo)'!Q$2/10^9,0)</f>
        <v>0</v>
      </c>
      <c r="S1579" s="105"/>
      <c r="T1579" s="105"/>
      <c r="U1579" s="105"/>
      <c r="V1579" s="99"/>
      <c r="W1579" s="147"/>
      <c r="X1579" s="147"/>
      <c r="Y1579" s="147"/>
      <c r="Z1579" s="147"/>
      <c r="AA1579" s="147"/>
      <c r="AB1579" s="147"/>
      <c r="AC1579" s="147"/>
      <c r="AD1579" s="147"/>
      <c r="AE1579" s="147"/>
      <c r="AF1579" s="147"/>
      <c r="AG1579" s="147"/>
      <c r="AH1579" s="147"/>
      <c r="AI1579" s="147"/>
      <c r="AJ1579" s="147"/>
      <c r="AK1579" s="147"/>
      <c r="AL1579" s="147"/>
      <c r="AM1579" s="147"/>
      <c r="AN1579" s="147"/>
      <c r="AO1579" s="147"/>
      <c r="AP1579" s="147"/>
      <c r="AQ1579" s="147"/>
      <c r="AR1579" s="147"/>
      <c r="AS1579" s="147"/>
      <c r="AT1579" s="147"/>
      <c r="AU1579" s="147"/>
      <c r="AV1579" s="147"/>
      <c r="AW1579" s="147"/>
      <c r="AX1579" s="147"/>
      <c r="AY1579" s="147"/>
      <c r="AZ1579" s="147"/>
      <c r="BA1579" s="147"/>
    </row>
    <row r="1580" spans="1:53" ht="15.75" hidden="1" customHeight="1" outlineLevel="1">
      <c r="A1580" s="428"/>
      <c r="B1580" s="99"/>
      <c r="C1580" s="105"/>
      <c r="D1580" s="105"/>
      <c r="E1580" s="105"/>
      <c r="F1580" s="105"/>
      <c r="G1580" s="105"/>
      <c r="H1580" s="105"/>
      <c r="I1580" s="105"/>
      <c r="J1580" s="105"/>
      <c r="K1580" s="105"/>
      <c r="L1580" s="105"/>
      <c r="M1580" s="105"/>
      <c r="N1580" s="105"/>
      <c r="O1580" s="105"/>
      <c r="P1580" s="105"/>
      <c r="Q1580" s="105">
        <f>IF($T$1560&gt;0,'Assumptions (Geo)'!$V$13*Model!$T$1560*'Assumptions (Geo)'!P$2/10^9,0)</f>
        <v>3.0073222790960492E-2</v>
      </c>
      <c r="R1580" s="105">
        <f>IF($T$1560&gt;0,'Assumptions (Geo)'!$V$13*Model!$T$1560*'Assumptions (Geo)'!Q$2/10^9,0)</f>
        <v>3.06746872467797E-2</v>
      </c>
      <c r="S1580" s="105">
        <f>IF($T$1560&gt;0,'Assumptions (Geo)'!$V$13*Model!$T$1560*'Assumptions (Geo)'!R$2/10^9,0)</f>
        <v>3.1288180991715292E-2</v>
      </c>
      <c r="T1580" s="105"/>
      <c r="U1580" s="105"/>
      <c r="V1580" s="99"/>
      <c r="W1580" s="147"/>
      <c r="X1580" s="147"/>
      <c r="Y1580" s="147"/>
      <c r="Z1580" s="147"/>
      <c r="AA1580" s="147"/>
      <c r="AB1580" s="147"/>
      <c r="AC1580" s="147"/>
      <c r="AD1580" s="147"/>
      <c r="AE1580" s="147"/>
      <c r="AF1580" s="147"/>
      <c r="AG1580" s="147"/>
      <c r="AH1580" s="147"/>
      <c r="AI1580" s="147"/>
      <c r="AJ1580" s="147"/>
      <c r="AK1580" s="147"/>
      <c r="AL1580" s="147"/>
      <c r="AM1580" s="147"/>
      <c r="AN1580" s="147"/>
      <c r="AO1580" s="147"/>
      <c r="AP1580" s="147"/>
      <c r="AQ1580" s="147"/>
      <c r="AR1580" s="147"/>
      <c r="AS1580" s="147"/>
      <c r="AT1580" s="147"/>
      <c r="AU1580" s="147"/>
      <c r="AV1580" s="147"/>
      <c r="AW1580" s="147"/>
      <c r="AX1580" s="147"/>
      <c r="AY1580" s="147"/>
      <c r="AZ1580" s="147"/>
      <c r="BA1580" s="147"/>
    </row>
    <row r="1581" spans="1:53" ht="15.75" hidden="1" customHeight="1" outlineLevel="1">
      <c r="A1581" s="428"/>
      <c r="B1581" s="99"/>
      <c r="C1581" s="105"/>
      <c r="D1581" s="105"/>
      <c r="E1581" s="105"/>
      <c r="F1581" s="105"/>
      <c r="G1581" s="105"/>
      <c r="H1581" s="105"/>
      <c r="I1581" s="105"/>
      <c r="J1581" s="105"/>
      <c r="K1581" s="105"/>
      <c r="L1581" s="105"/>
      <c r="M1581" s="105"/>
      <c r="N1581" s="105"/>
      <c r="O1581" s="91"/>
      <c r="P1581" s="91"/>
      <c r="Q1581" s="91"/>
      <c r="R1581" s="91">
        <f>IF($U$1560&gt;0,'Assumptions (Geo)'!$V$13*Model!$U$1560*'Assumptions (Geo)'!Q$2/10^9,0)</f>
        <v>1.326472962022906E-2</v>
      </c>
      <c r="S1581" s="91">
        <f>IF($U$1560&gt;0,'Assumptions (Geo)'!$V$13*Model!$U$1560*'Assumptions (Geo)'!R$2/10^9,0)</f>
        <v>1.3530024212633641E-2</v>
      </c>
      <c r="T1581" s="91">
        <f>IF($U$1560&gt;0,'Assumptions (Geo)'!$V$13*Model!$U$1560*'Assumptions (Geo)'!S$2/10^9,0)</f>
        <v>1.3800624696886315E-2</v>
      </c>
      <c r="U1581" s="105"/>
      <c r="V1581" s="99"/>
      <c r="W1581" s="147"/>
      <c r="X1581" s="147"/>
      <c r="Y1581" s="147"/>
      <c r="Z1581" s="147"/>
      <c r="AA1581" s="147"/>
      <c r="AB1581" s="147"/>
      <c r="AC1581" s="147"/>
      <c r="AD1581" s="147"/>
      <c r="AE1581" s="147"/>
      <c r="AF1581" s="147"/>
      <c r="AG1581" s="147"/>
      <c r="AH1581" s="147"/>
      <c r="AI1581" s="147"/>
      <c r="AJ1581" s="147"/>
      <c r="AK1581" s="147"/>
      <c r="AL1581" s="147"/>
      <c r="AM1581" s="147"/>
      <c r="AN1581" s="147"/>
      <c r="AO1581" s="147"/>
      <c r="AP1581" s="147"/>
      <c r="AQ1581" s="147"/>
      <c r="AR1581" s="147"/>
      <c r="AS1581" s="147"/>
      <c r="AT1581" s="147"/>
      <c r="AU1581" s="147"/>
      <c r="AV1581" s="147"/>
      <c r="AW1581" s="147"/>
      <c r="AX1581" s="147"/>
      <c r="AY1581" s="147"/>
      <c r="AZ1581" s="147"/>
      <c r="BA1581" s="147"/>
    </row>
    <row r="1582" spans="1:53" ht="15.75" hidden="1" customHeight="1" outlineLevel="1">
      <c r="A1582" s="428"/>
      <c r="B1582" s="99"/>
      <c r="C1582" s="105"/>
      <c r="D1582" s="105"/>
      <c r="E1582" s="105"/>
      <c r="F1582" s="105"/>
      <c r="G1582" s="105"/>
      <c r="H1582" s="105"/>
      <c r="I1582" s="105"/>
      <c r="J1582" s="105"/>
      <c r="K1582" s="105"/>
      <c r="L1582" s="105"/>
      <c r="M1582" s="105"/>
      <c r="N1582" s="105"/>
      <c r="O1582" s="105"/>
      <c r="P1582" s="105"/>
      <c r="Q1582" s="105"/>
      <c r="R1582" s="105"/>
      <c r="S1582" s="105">
        <f>IF($V$1560&gt;0,'Assumptions (Geo)'!$V$13*Model!$V$1560*'Assumptions (Geo)'!R$2/10^9,0)</f>
        <v>6.088510895685139E-2</v>
      </c>
      <c r="T1582" s="105">
        <f>IF($V$1560&gt;0,'Assumptions (Geo)'!$V$13*Model!$V$1560*'Assumptions (Geo)'!S$2/10^9,0)</f>
        <v>6.2102811135988423E-2</v>
      </c>
      <c r="U1582" s="105">
        <f>IF($V$1560&gt;0,'Assumptions (Geo)'!$V$13*Model!$V$1560*'Assumptions (Geo)'!T$2/10^9,0)</f>
        <v>6.3344867358708187E-2</v>
      </c>
      <c r="V1582" s="99"/>
      <c r="W1582" s="147"/>
      <c r="X1582" s="147"/>
      <c r="Y1582" s="147"/>
      <c r="Z1582" s="147"/>
      <c r="AA1582" s="147"/>
      <c r="AB1582" s="147"/>
      <c r="AC1582" s="147"/>
      <c r="AD1582" s="147"/>
      <c r="AE1582" s="147"/>
      <c r="AF1582" s="147"/>
      <c r="AG1582" s="147"/>
      <c r="AH1582" s="147"/>
      <c r="AI1582" s="147"/>
      <c r="AJ1582" s="147"/>
      <c r="AK1582" s="147"/>
      <c r="AL1582" s="147"/>
      <c r="AM1582" s="147"/>
      <c r="AN1582" s="147"/>
      <c r="AO1582" s="147"/>
      <c r="AP1582" s="147"/>
      <c r="AQ1582" s="147"/>
      <c r="AR1582" s="147"/>
      <c r="AS1582" s="147"/>
      <c r="AT1582" s="147"/>
      <c r="AU1582" s="147"/>
      <c r="AV1582" s="147"/>
      <c r="AW1582" s="147"/>
      <c r="AX1582" s="147"/>
      <c r="AY1582" s="147"/>
      <c r="AZ1582" s="147"/>
      <c r="BA1582" s="147"/>
    </row>
    <row r="1583" spans="1:53" ht="15.75" hidden="1" customHeight="1" outlineLevel="1">
      <c r="A1583" s="428"/>
      <c r="B1583" s="99"/>
      <c r="C1583" s="99"/>
      <c r="D1583" s="99"/>
      <c r="E1583" s="99"/>
      <c r="F1583" s="99"/>
      <c r="G1583" s="99"/>
      <c r="H1583" s="99"/>
      <c r="I1583" s="99"/>
      <c r="J1583" s="99"/>
      <c r="K1583" s="99"/>
      <c r="L1583" s="99"/>
      <c r="M1583" s="99"/>
      <c r="N1583" s="99"/>
      <c r="O1583" s="99"/>
      <c r="P1583" s="99"/>
      <c r="Q1583" s="99"/>
      <c r="R1583" s="99"/>
      <c r="S1583" s="99"/>
      <c r="T1583" s="105">
        <f>IF($W$1560&gt;0,'Assumptions (Geo)'!$V$13*Model!$W$1560*'Assumptions (Geo)'!S$2/10^9,0)</f>
        <v>0</v>
      </c>
      <c r="U1583" s="105">
        <f>IF($W$1560&gt;0,'Assumptions (Geo)'!$V$13*Model!$W$1560*'Assumptions (Geo)'!T$2/10^9,0)</f>
        <v>0</v>
      </c>
      <c r="V1583" s="105">
        <f>IF($W$1560&gt;0,'Assumptions (Geo)'!$V$13*Model!$W$1560*'Assumptions (Geo)'!U$2/10^9,0)</f>
        <v>0</v>
      </c>
      <c r="W1583" s="91"/>
      <c r="X1583" s="91"/>
      <c r="Y1583" s="91"/>
      <c r="Z1583" s="91"/>
      <c r="AA1583" s="91"/>
      <c r="AB1583" s="91"/>
      <c r="AC1583" s="91"/>
      <c r="AD1583" s="91"/>
      <c r="AE1583" s="91"/>
      <c r="AF1583" s="91"/>
      <c r="AG1583" s="91"/>
      <c r="AH1583" s="91"/>
      <c r="AI1583" s="91"/>
      <c r="AJ1583" s="91"/>
      <c r="AK1583" s="91"/>
      <c r="AL1583" s="91"/>
      <c r="AM1583" s="91"/>
      <c r="AN1583" s="91"/>
      <c r="AO1583" s="91"/>
      <c r="AP1583" s="91"/>
      <c r="AQ1583" s="91"/>
      <c r="AR1583" s="91"/>
      <c r="AS1583" s="91"/>
      <c r="AT1583" s="91"/>
      <c r="AU1583" s="91"/>
      <c r="AV1583" s="91"/>
      <c r="AW1583" s="91"/>
      <c r="AX1583" s="91"/>
      <c r="AY1583" s="91"/>
      <c r="AZ1583" s="91"/>
      <c r="BA1583" s="91"/>
    </row>
    <row r="1584" spans="1:53" ht="15.75" hidden="1" customHeight="1" outlineLevel="1">
      <c r="A1584" s="428"/>
      <c r="B1584" s="99"/>
      <c r="C1584" s="99"/>
      <c r="D1584" s="99"/>
      <c r="E1584" s="99"/>
      <c r="F1584" s="99"/>
      <c r="G1584" s="99"/>
      <c r="H1584" s="99"/>
      <c r="I1584" s="99"/>
      <c r="J1584" s="99"/>
      <c r="K1584" s="99"/>
      <c r="L1584" s="99"/>
      <c r="M1584" s="99"/>
      <c r="N1584" s="99"/>
      <c r="O1584" s="99"/>
      <c r="P1584" s="99"/>
      <c r="Q1584" s="99"/>
      <c r="R1584" s="99"/>
      <c r="S1584" s="99"/>
      <c r="T1584" s="99"/>
      <c r="U1584" s="409">
        <f>IF($X$1560&gt;0,'Assumptions (Geo)'!$V$13*Model!$X$1560*'Assumptions (Geo)'!T$2/10^9,0)</f>
        <v>0</v>
      </c>
      <c r="V1584" s="409">
        <f>IF($X$1560&gt;0,'Assumptions (Geo)'!$V$13*Model!$X$1560*'Assumptions (Geo)'!U$2/10^9,0)</f>
        <v>0</v>
      </c>
      <c r="W1584" s="409">
        <f>IF($X$1560&gt;0,'Assumptions (Geo)'!$V$13*Model!$X$1560*'Assumptions (Geo)'!V$2/10^9,0)</f>
        <v>0</v>
      </c>
      <c r="X1584" s="91"/>
      <c r="Y1584" s="91"/>
      <c r="Z1584" s="91"/>
      <c r="AA1584" s="91"/>
      <c r="AB1584" s="91"/>
      <c r="AC1584" s="91"/>
      <c r="AD1584" s="91"/>
      <c r="AE1584" s="91"/>
      <c r="AF1584" s="91"/>
      <c r="AG1584" s="91"/>
      <c r="AH1584" s="91"/>
      <c r="AI1584" s="91"/>
      <c r="AJ1584" s="91"/>
      <c r="AK1584" s="91"/>
      <c r="AL1584" s="91"/>
      <c r="AM1584" s="91"/>
      <c r="AN1584" s="91"/>
      <c r="AO1584" s="91"/>
      <c r="AP1584" s="91"/>
      <c r="AQ1584" s="91"/>
      <c r="AR1584" s="91"/>
      <c r="AS1584" s="91"/>
      <c r="AT1584" s="91"/>
      <c r="AU1584" s="91"/>
      <c r="AV1584" s="91"/>
      <c r="AW1584" s="91"/>
      <c r="AX1584" s="91"/>
      <c r="AY1584" s="91"/>
      <c r="AZ1584" s="91"/>
      <c r="BA1584" s="91"/>
    </row>
    <row r="1585" spans="1:53" ht="15.75" hidden="1" customHeight="1" outlineLevel="1">
      <c r="A1585" s="428"/>
      <c r="B1585" s="99"/>
      <c r="C1585" s="99"/>
      <c r="D1585" s="99"/>
      <c r="E1585" s="99"/>
      <c r="F1585" s="99"/>
      <c r="G1585" s="99"/>
      <c r="H1585" s="99"/>
      <c r="I1585" s="99"/>
      <c r="J1585" s="99"/>
      <c r="K1585" s="99"/>
      <c r="L1585" s="99"/>
      <c r="M1585" s="99"/>
      <c r="N1585" s="99"/>
      <c r="O1585" s="99"/>
      <c r="P1585" s="99"/>
      <c r="Q1585" s="99"/>
      <c r="R1585" s="99"/>
      <c r="S1585" s="99"/>
      <c r="T1585" s="99"/>
      <c r="U1585" s="99"/>
      <c r="V1585" s="409">
        <f>IF($Y$1560&gt;0,'Assumptions (Geo)'!$V$13*Model!$Y$1560*'Assumptions (Geo)'!U$2/10^9,0)</f>
        <v>0</v>
      </c>
      <c r="W1585" s="409">
        <f>IF($Y$1560&gt;0,'Assumptions (Geo)'!$V$13*Model!$Y$1560*'Assumptions (Geo)'!V$2/10^9,0)</f>
        <v>0</v>
      </c>
      <c r="X1585" s="409">
        <f>IF($Y$1560&gt;0,'Assumptions (Geo)'!$V$13*Model!$Y$1560*'Assumptions (Geo)'!W$2/10^9,0)</f>
        <v>0</v>
      </c>
      <c r="Y1585" s="91"/>
      <c r="Z1585" s="91"/>
      <c r="AA1585" s="91"/>
      <c r="AB1585" s="91"/>
      <c r="AC1585" s="91"/>
      <c r="AD1585" s="91"/>
      <c r="AE1585" s="91"/>
      <c r="AF1585" s="91"/>
      <c r="AG1585" s="91"/>
      <c r="AH1585" s="91"/>
      <c r="AI1585" s="91"/>
      <c r="AJ1585" s="91"/>
      <c r="AK1585" s="91"/>
      <c r="AL1585" s="91"/>
      <c r="AM1585" s="91"/>
      <c r="AN1585" s="91"/>
      <c r="AO1585" s="91"/>
      <c r="AP1585" s="91"/>
      <c r="AQ1585" s="91"/>
      <c r="AR1585" s="91"/>
      <c r="AS1585" s="91"/>
      <c r="AT1585" s="91"/>
      <c r="AU1585" s="91"/>
      <c r="AV1585" s="91"/>
      <c r="AW1585" s="91"/>
      <c r="AX1585" s="91"/>
      <c r="AY1585" s="91"/>
      <c r="AZ1585" s="91"/>
      <c r="BA1585" s="91"/>
    </row>
    <row r="1586" spans="1:53" ht="15.75" hidden="1" customHeight="1" outlineLevel="1">
      <c r="A1586" s="428"/>
      <c r="B1586" s="99"/>
      <c r="C1586" s="99"/>
      <c r="D1586" s="99"/>
      <c r="E1586" s="99"/>
      <c r="F1586" s="99"/>
      <c r="G1586" s="99"/>
      <c r="H1586" s="99"/>
      <c r="I1586" s="99"/>
      <c r="J1586" s="99"/>
      <c r="K1586" s="99"/>
      <c r="L1586" s="99"/>
      <c r="M1586" s="99"/>
      <c r="N1586" s="99"/>
      <c r="O1586" s="99"/>
      <c r="P1586" s="99"/>
      <c r="Q1586" s="99"/>
      <c r="R1586" s="99"/>
      <c r="S1586" s="99"/>
      <c r="T1586" s="99"/>
      <c r="U1586" s="99"/>
      <c r="V1586" s="99"/>
      <c r="W1586" s="91">
        <f>IF($Z$1560&gt;0,'Assumptions (Geo)'!$V$13*Model!$Z$1560*'Assumptions (Geo)'!V$2/10^9,0)</f>
        <v>6.5324288888889831E-3</v>
      </c>
      <c r="X1586" s="91">
        <f>IF($Z$1560&gt;0,'Assumptions (Geo)'!$V$13*Model!$Z$1560*'Assumptions (Geo)'!W$2/10^9,0)</f>
        <v>6.6630774666667624E-3</v>
      </c>
      <c r="Y1586" s="91">
        <f>IF($Z$1560&gt;0,'Assumptions (Geo)'!$V$13*Model!$Z$1560*'Assumptions (Geo)'!X$2/10^9,0)</f>
        <v>6.7963390160000973E-3</v>
      </c>
      <c r="Z1586" s="91"/>
      <c r="AA1586" s="91"/>
      <c r="AB1586" s="91"/>
      <c r="AC1586" s="91"/>
      <c r="AD1586" s="91"/>
      <c r="AE1586" s="91"/>
      <c r="AF1586" s="91"/>
      <c r="AG1586" s="91"/>
      <c r="AH1586" s="91"/>
      <c r="AI1586" s="91"/>
      <c r="AJ1586" s="91"/>
      <c r="AK1586" s="91"/>
      <c r="AL1586" s="91"/>
      <c r="AM1586" s="91"/>
      <c r="AN1586" s="91"/>
      <c r="AO1586" s="91"/>
      <c r="AP1586" s="91"/>
      <c r="AQ1586" s="91"/>
      <c r="AR1586" s="91"/>
      <c r="AS1586" s="91"/>
      <c r="AT1586" s="91"/>
      <c r="AU1586" s="91"/>
      <c r="AV1586" s="91"/>
      <c r="AW1586" s="91"/>
      <c r="AX1586" s="91"/>
      <c r="AY1586" s="91"/>
      <c r="AZ1586" s="91"/>
      <c r="BA1586" s="91"/>
    </row>
    <row r="1587" spans="1:53" ht="15.75" hidden="1" customHeight="1" outlineLevel="1">
      <c r="A1587" s="428"/>
      <c r="B1587" s="99"/>
      <c r="C1587" s="99"/>
      <c r="D1587" s="99"/>
      <c r="E1587" s="99"/>
      <c r="F1587" s="99"/>
      <c r="G1587" s="99"/>
      <c r="H1587" s="99"/>
      <c r="I1587" s="99"/>
      <c r="J1587" s="99"/>
      <c r="K1587" s="99"/>
      <c r="L1587" s="99"/>
      <c r="M1587" s="99"/>
      <c r="N1587" s="99"/>
      <c r="O1587" s="99"/>
      <c r="P1587" s="99"/>
      <c r="Q1587" s="99"/>
      <c r="R1587" s="99"/>
      <c r="S1587" s="99"/>
      <c r="T1587" s="99"/>
      <c r="U1587" s="99"/>
      <c r="V1587" s="99"/>
      <c r="W1587" s="91"/>
      <c r="X1587" s="91">
        <f>IF($AA$1560&gt;0,'Assumptions (Geo)'!$V$13*Model!$AA$1560*'Assumptions (Geo)'!W$2/10^9,0)</f>
        <v>0</v>
      </c>
      <c r="Y1587" s="91">
        <f>IF($AA$1560&gt;0,'Assumptions (Geo)'!$V$13*Model!$AA$1560*'Assumptions (Geo)'!X$2/10^9,0)</f>
        <v>0</v>
      </c>
      <c r="Z1587" s="91">
        <f>IF($AA$1560&gt;0,'Assumptions (Geo)'!$V$13*Model!$AA$1560*'Assumptions (Geo)'!Y$2/10^9,0)</f>
        <v>0</v>
      </c>
      <c r="AA1587" s="91"/>
      <c r="AB1587" s="91"/>
      <c r="AC1587" s="91"/>
      <c r="AD1587" s="91"/>
      <c r="AE1587" s="91"/>
      <c r="AF1587" s="91"/>
      <c r="AG1587" s="91"/>
      <c r="AH1587" s="91"/>
      <c r="AI1587" s="91"/>
      <c r="AJ1587" s="91"/>
      <c r="AK1587" s="91"/>
      <c r="AL1587" s="91"/>
      <c r="AM1587" s="91"/>
      <c r="AN1587" s="91"/>
      <c r="AO1587" s="91"/>
      <c r="AP1587" s="91"/>
      <c r="AQ1587" s="91"/>
      <c r="AR1587" s="91"/>
      <c r="AS1587" s="91"/>
      <c r="AT1587" s="91"/>
      <c r="AU1587" s="91"/>
      <c r="AV1587" s="91"/>
      <c r="AW1587" s="91"/>
      <c r="AX1587" s="91"/>
      <c r="AY1587" s="91"/>
      <c r="AZ1587" s="91"/>
      <c r="BA1587" s="91"/>
    </row>
    <row r="1588" spans="1:53" ht="15.75" hidden="1" customHeight="1" outlineLevel="1">
      <c r="A1588" s="428"/>
      <c r="B1588" s="99"/>
      <c r="C1588" s="99"/>
      <c r="D1588" s="99"/>
      <c r="E1588" s="99"/>
      <c r="F1588" s="99"/>
      <c r="G1588" s="99"/>
      <c r="H1588" s="99"/>
      <c r="I1588" s="99"/>
      <c r="J1588" s="99"/>
      <c r="K1588" s="99"/>
      <c r="L1588" s="99"/>
      <c r="M1588" s="99"/>
      <c r="N1588" s="99"/>
      <c r="O1588" s="99"/>
      <c r="P1588" s="99"/>
      <c r="Q1588" s="99"/>
      <c r="R1588" s="99"/>
      <c r="S1588" s="99"/>
      <c r="T1588" s="99"/>
      <c r="U1588" s="99"/>
      <c r="V1588" s="99"/>
      <c r="W1588" s="86"/>
      <c r="Y1588" s="91">
        <f>IF($AB$1560&gt;0,'Assumptions (Geo)'!$V$13*Model!$AB$1560*'Assumptions (Geo)'!X$2/10^9,0)</f>
        <v>0</v>
      </c>
      <c r="Z1588" s="91">
        <f>IF($AB$1560&gt;0,'Assumptions (Geo)'!$V$13*Model!$AB$1560*'Assumptions (Geo)'!Y$2/10^9,0)</f>
        <v>0</v>
      </c>
      <c r="AA1588" s="91">
        <f>IF($AB$1560&gt;0,'Assumptions (Geo)'!$V$13*Model!$AB$1560*'Assumptions (Geo)'!Z$2/10^9,0)</f>
        <v>0</v>
      </c>
    </row>
    <row r="1589" spans="1:53" ht="15.75" hidden="1" customHeight="1" outlineLevel="1">
      <c r="A1589" s="428"/>
      <c r="B1589" s="99"/>
      <c r="C1589" s="99"/>
      <c r="D1589" s="99"/>
      <c r="E1589" s="99"/>
      <c r="F1589" s="99"/>
      <c r="G1589" s="99"/>
      <c r="H1589" s="99"/>
      <c r="I1589" s="99"/>
      <c r="J1589" s="99"/>
      <c r="K1589" s="99"/>
      <c r="L1589" s="99"/>
      <c r="M1589" s="99"/>
      <c r="N1589" s="99"/>
      <c r="O1589" s="99"/>
      <c r="P1589" s="99"/>
      <c r="Q1589" s="99"/>
      <c r="R1589" s="99"/>
      <c r="S1589" s="99"/>
      <c r="T1589" s="99"/>
      <c r="U1589" s="99"/>
      <c r="V1589" s="99"/>
      <c r="W1589" s="86"/>
      <c r="Z1589" s="91">
        <f>IF($AC$1560&gt;0,'Assumptions (Geo)'!$V$13*Model!$AC$1560*'Assumptions (Geo)'!Y$2/10^9,0)</f>
        <v>0</v>
      </c>
      <c r="AA1589" s="91">
        <f>IF($AC$1560&gt;0,'Assumptions (Geo)'!$V$13*Model!$AC$1560*'Assumptions (Geo)'!Z$2/10^9,0)</f>
        <v>0</v>
      </c>
      <c r="AB1589" s="91">
        <f>IF($AC$1560&gt;0,'Assumptions (Geo)'!$V$13*Model!$AC$1560*'Assumptions (Geo)'!AA$2/10^9,0)</f>
        <v>0</v>
      </c>
    </row>
    <row r="1590" spans="1:53" ht="15.75" hidden="1" customHeight="1" outlineLevel="1">
      <c r="A1590" s="428"/>
      <c r="B1590" s="99"/>
      <c r="C1590" s="99"/>
      <c r="D1590" s="99"/>
      <c r="E1590" s="99"/>
      <c r="F1590" s="99"/>
      <c r="G1590" s="99"/>
      <c r="H1590" s="99"/>
      <c r="I1590" s="99"/>
      <c r="J1590" s="99"/>
      <c r="K1590" s="99"/>
      <c r="L1590" s="99"/>
      <c r="M1590" s="99"/>
      <c r="N1590" s="99"/>
      <c r="O1590" s="99"/>
      <c r="P1590" s="99"/>
      <c r="Q1590" s="99"/>
      <c r="R1590" s="99"/>
      <c r="S1590" s="99"/>
      <c r="T1590" s="99"/>
      <c r="U1590" s="99"/>
      <c r="V1590" s="99"/>
      <c r="W1590" s="86"/>
      <c r="AA1590" s="91">
        <f>IF($AD$1560&gt;0,'Assumptions (Geo)'!$V$13*Model!$AD$1560*'Assumptions (Geo)'!Z$2/10^9,0)</f>
        <v>0</v>
      </c>
      <c r="AB1590" s="91">
        <f>IF($AD$1560&gt;0,'Assumptions (Geo)'!$V$13*Model!$AD$1560*'Assumptions (Geo)'!AA$2/10^9,0)</f>
        <v>0</v>
      </c>
      <c r="AC1590" s="91">
        <f>IF($AD$1560&gt;0,'Assumptions (Geo)'!$V$13*Model!$AD$1560*'Assumptions (Geo)'!AB$2/10^9,0)</f>
        <v>0</v>
      </c>
    </row>
    <row r="1591" spans="1:53" ht="15.75" hidden="1" customHeight="1" outlineLevel="1">
      <c r="A1591" s="428"/>
      <c r="B1591" s="99"/>
      <c r="C1591" s="99"/>
      <c r="D1591" s="99"/>
      <c r="E1591" s="99"/>
      <c r="F1591" s="99"/>
      <c r="G1591" s="99"/>
      <c r="H1591" s="99"/>
      <c r="I1591" s="99"/>
      <c r="J1591" s="99"/>
      <c r="K1591" s="99"/>
      <c r="L1591" s="99"/>
      <c r="M1591" s="99"/>
      <c r="N1591" s="99"/>
      <c r="O1591" s="99"/>
      <c r="P1591" s="99"/>
      <c r="Q1591" s="99"/>
      <c r="R1591" s="99"/>
      <c r="S1591" s="99"/>
      <c r="T1591" s="99"/>
      <c r="U1591" s="99"/>
      <c r="V1591" s="99"/>
      <c r="W1591" s="86"/>
      <c r="AB1591" s="91">
        <f>IF($AE$1560&gt;0,'Assumptions (Geo)'!$V$13*Model!$AE$1560*'Assumptions (Geo)'!AA$2/10^9,0)</f>
        <v>0</v>
      </c>
      <c r="AC1591" s="91">
        <f>IF($AE$1560&gt;0,'Assumptions (Geo)'!$V$13*Model!$AE$1560*'Assumptions (Geo)'!AB$2/10^9,0)</f>
        <v>0</v>
      </c>
      <c r="AD1591" s="91">
        <f>IF($AE$1560&gt;0,'Assumptions (Geo)'!$V$13*Model!$AE$1560*'Assumptions (Geo)'!AC$2/10^9,0)</f>
        <v>0</v>
      </c>
    </row>
    <row r="1592" spans="1:53" ht="15.75" hidden="1" customHeight="1" outlineLevel="1">
      <c r="A1592" s="428"/>
      <c r="B1592" s="99"/>
      <c r="C1592" s="99"/>
      <c r="D1592" s="99"/>
      <c r="E1592" s="99"/>
      <c r="F1592" s="99"/>
      <c r="G1592" s="99"/>
      <c r="H1592" s="99"/>
      <c r="I1592" s="99"/>
      <c r="J1592" s="99"/>
      <c r="K1592" s="99"/>
      <c r="L1592" s="99"/>
      <c r="M1592" s="99"/>
      <c r="N1592" s="99"/>
      <c r="O1592" s="99"/>
      <c r="P1592" s="99"/>
      <c r="Q1592" s="99"/>
      <c r="R1592" s="99"/>
      <c r="S1592" s="99"/>
      <c r="T1592" s="99"/>
      <c r="U1592" s="99"/>
      <c r="V1592" s="99"/>
      <c r="W1592" s="86"/>
      <c r="AC1592" s="91">
        <f>IF($AF$1560&gt;0,'Assumptions (Geo)'!$V$13*Model!$AF$1560*'Assumptions (Geo)'!AB$2/10^9,0)</f>
        <v>0</v>
      </c>
      <c r="AD1592" s="91">
        <f>IF($AF$1560&gt;0,'Assumptions (Geo)'!$V$13*Model!$AF$1560*'Assumptions (Geo)'!AC$2/10^9,0)</f>
        <v>0</v>
      </c>
      <c r="AE1592" s="91">
        <f>IF($AF$1560&gt;0,'Assumptions (Geo)'!$V$13*Model!$AF$1560*'Assumptions (Geo)'!AD$2/10^9,0)</f>
        <v>0</v>
      </c>
    </row>
    <row r="1593" spans="1:53" ht="15.75" hidden="1" customHeight="1" outlineLevel="1">
      <c r="A1593" s="428"/>
      <c r="B1593" s="99"/>
      <c r="C1593" s="99"/>
      <c r="D1593" s="99"/>
      <c r="E1593" s="99"/>
      <c r="F1593" s="99"/>
      <c r="G1593" s="99"/>
      <c r="H1593" s="99"/>
      <c r="I1593" s="99"/>
      <c r="J1593" s="99"/>
      <c r="K1593" s="99"/>
      <c r="L1593" s="99"/>
      <c r="M1593" s="99"/>
      <c r="N1593" s="99"/>
      <c r="O1593" s="99"/>
      <c r="P1593" s="99"/>
      <c r="Q1593" s="99"/>
      <c r="R1593" s="99"/>
      <c r="S1593" s="99"/>
      <c r="T1593" s="99"/>
      <c r="U1593" s="99"/>
      <c r="V1593" s="99"/>
      <c r="W1593" s="86"/>
      <c r="AD1593" s="91">
        <f>IF($AG$1560&gt;0,'Assumptions (Geo)'!$V$13*Model!$AG$1560*'Assumptions (Geo)'!AC$2/10^9,0)</f>
        <v>0</v>
      </c>
      <c r="AE1593" s="91">
        <f>IF($AG$1560&gt;0,'Assumptions (Geo)'!$V$13*Model!$AG$1560*'Assumptions (Geo)'!AD$2/10^9,0)</f>
        <v>0</v>
      </c>
      <c r="AF1593" s="91">
        <f>IF($AG$1560&gt;0,'Assumptions (Geo)'!$V$13*Model!$AG$1560*'Assumptions (Geo)'!AE$2/10^9,0)</f>
        <v>0</v>
      </c>
    </row>
    <row r="1594" spans="1:53" ht="15.75" hidden="1" customHeight="1" outlineLevel="1">
      <c r="A1594" s="428"/>
      <c r="B1594" s="99"/>
      <c r="C1594" s="99"/>
      <c r="D1594" s="99"/>
      <c r="E1594" s="99"/>
      <c r="F1594" s="99"/>
      <c r="G1594" s="99"/>
      <c r="H1594" s="99"/>
      <c r="I1594" s="99"/>
      <c r="J1594" s="99"/>
      <c r="K1594" s="99"/>
      <c r="L1594" s="99"/>
      <c r="M1594" s="99"/>
      <c r="N1594" s="99"/>
      <c r="O1594" s="99"/>
      <c r="P1594" s="99"/>
      <c r="Q1594" s="99"/>
      <c r="R1594" s="99"/>
      <c r="S1594" s="99"/>
      <c r="T1594" s="99"/>
      <c r="U1594" s="99"/>
      <c r="V1594" s="99"/>
      <c r="W1594" s="86"/>
      <c r="AE1594" s="91">
        <f>IF($AH$1560&gt;0,'Assumptions (Geo)'!$V$13*Model!$AH$1560*'Assumptions (Geo)'!AD$2/10^9,0)</f>
        <v>0</v>
      </c>
      <c r="AF1594" s="91">
        <f>IF($AH$1560&gt;0,'Assumptions (Geo)'!$V$13*Model!$AH$1560*'Assumptions (Geo)'!AE$2/10^9,0)</f>
        <v>0</v>
      </c>
      <c r="AG1594" s="91">
        <f>IF($AH$1560&gt;0,'Assumptions (Geo)'!$V$13*Model!$AH$1560*'Assumptions (Geo)'!AF$2/10^9,0)</f>
        <v>0</v>
      </c>
    </row>
    <row r="1595" spans="1:53" ht="15.75" hidden="1" customHeight="1" outlineLevel="1">
      <c r="A1595" s="428"/>
      <c r="B1595" s="99"/>
      <c r="C1595" s="99"/>
      <c r="D1595" s="99"/>
      <c r="E1595" s="99"/>
      <c r="F1595" s="99"/>
      <c r="G1595" s="99"/>
      <c r="H1595" s="99"/>
      <c r="I1595" s="99"/>
      <c r="J1595" s="99"/>
      <c r="K1595" s="99"/>
      <c r="L1595" s="99"/>
      <c r="M1595" s="99"/>
      <c r="N1595" s="99"/>
      <c r="O1595" s="99"/>
      <c r="P1595" s="99"/>
      <c r="Q1595" s="99"/>
      <c r="R1595" s="99"/>
      <c r="S1595" s="99"/>
      <c r="T1595" s="99"/>
      <c r="U1595" s="99"/>
      <c r="V1595" s="99"/>
      <c r="W1595" s="86"/>
      <c r="AF1595" s="91">
        <f>IF($AI$1560&gt;0,'Assumptions (Geo)'!$V$13*Model!$AI$1560*'Assumptions (Geo)'!AE$2/10^9,0)</f>
        <v>4.6093639476928364E-2</v>
      </c>
      <c r="AG1595" s="91">
        <f>IF($AI$1560&gt;0,'Assumptions (Geo)'!$V$13*Model!$AI$1560*'Assumptions (Geo)'!AF$2/10^9,0)</f>
        <v>4.7015512266466927E-2</v>
      </c>
      <c r="AH1595" s="91">
        <f>IF($AI$1560&gt;0,'Assumptions (Geo)'!$V$13*Model!$AI$1560*'Assumptions (Geo)'!AG$2/10^9,0)</f>
        <v>4.7955822511796267E-2</v>
      </c>
    </row>
    <row r="1596" spans="1:53" ht="15.75" hidden="1" customHeight="1" outlineLevel="1">
      <c r="A1596" s="428"/>
      <c r="B1596" s="99"/>
      <c r="C1596" s="99"/>
      <c r="D1596" s="99"/>
      <c r="E1596" s="99"/>
      <c r="F1596" s="99"/>
      <c r="G1596" s="99"/>
      <c r="H1596" s="99"/>
      <c r="I1596" s="99"/>
      <c r="J1596" s="99"/>
      <c r="K1596" s="99"/>
      <c r="L1596" s="99"/>
      <c r="M1596" s="99"/>
      <c r="N1596" s="99"/>
      <c r="O1596" s="99"/>
      <c r="P1596" s="99"/>
      <c r="Q1596" s="99"/>
      <c r="R1596" s="99"/>
      <c r="S1596" s="99"/>
      <c r="T1596" s="99"/>
      <c r="U1596" s="99"/>
      <c r="V1596" s="99"/>
      <c r="W1596" s="86"/>
      <c r="AG1596" s="91">
        <f>IF($AJ$1560&gt;0,'Assumptions (Geo)'!$V$13*Model!$AJ$1560*'Assumptions (Geo)'!AF$2/10^9,0)</f>
        <v>0</v>
      </c>
      <c r="AH1596" s="91">
        <f>IF($AJ$1560&gt;0,'Assumptions (Geo)'!$V$13*Model!$AJ$1560*'Assumptions (Geo)'!AG$2/10^9,0)</f>
        <v>0</v>
      </c>
      <c r="AI1596" s="91">
        <f>IF($AJ$1560&gt;0,'Assumptions (Geo)'!$V$13*Model!$AJ$1560*'Assumptions (Geo)'!AH$2/10^9,0)</f>
        <v>0</v>
      </c>
    </row>
    <row r="1597" spans="1:53" ht="15.75" hidden="1" customHeight="1" outlineLevel="1">
      <c r="A1597" s="428"/>
      <c r="B1597" s="99"/>
      <c r="C1597" s="99"/>
      <c r="D1597" s="99"/>
      <c r="E1597" s="99"/>
      <c r="F1597" s="99"/>
      <c r="G1597" s="99"/>
      <c r="H1597" s="99"/>
      <c r="I1597" s="99"/>
      <c r="J1597" s="99"/>
      <c r="K1597" s="99"/>
      <c r="L1597" s="99"/>
      <c r="M1597" s="99"/>
      <c r="N1597" s="99"/>
      <c r="O1597" s="99"/>
      <c r="P1597" s="99"/>
      <c r="Q1597" s="99"/>
      <c r="R1597" s="99"/>
      <c r="S1597" s="99"/>
      <c r="T1597" s="99"/>
      <c r="U1597" s="99"/>
      <c r="V1597" s="99"/>
      <c r="W1597" s="86"/>
      <c r="AH1597" s="91">
        <f>IF($AK$1560&gt;0,'Assumptions (Geo)'!$V$13*Model!$AK$1560*'Assumptions (Geo)'!AG$2/10^9,0)</f>
        <v>0</v>
      </c>
      <c r="AI1597" s="91">
        <f>IF($AK$1560&gt;0,'Assumptions (Geo)'!$V$13*Model!$AK$1560*'Assumptions (Geo)'!AH$2/10^9,0)</f>
        <v>0</v>
      </c>
      <c r="AJ1597" s="91">
        <f>IF($AK$1560&gt;0,'Assumptions (Geo)'!$V$13*Model!$AK$1560*'Assumptions (Geo)'!AI$2/10^9,0)</f>
        <v>0</v>
      </c>
    </row>
    <row r="1598" spans="1:53" ht="15.75" hidden="1" customHeight="1" outlineLevel="1">
      <c r="A1598" s="428"/>
      <c r="B1598" s="99"/>
      <c r="C1598" s="99"/>
      <c r="D1598" s="99"/>
      <c r="E1598" s="99"/>
      <c r="F1598" s="99"/>
      <c r="G1598" s="99"/>
      <c r="H1598" s="99"/>
      <c r="I1598" s="99"/>
      <c r="J1598" s="99"/>
      <c r="K1598" s="99"/>
      <c r="L1598" s="99"/>
      <c r="M1598" s="99"/>
      <c r="N1598" s="99"/>
      <c r="O1598" s="99"/>
      <c r="P1598" s="99"/>
      <c r="Q1598" s="99"/>
      <c r="R1598" s="99"/>
      <c r="S1598" s="99"/>
      <c r="T1598" s="99"/>
      <c r="U1598" s="99"/>
      <c r="V1598" s="99"/>
      <c r="W1598" s="86"/>
      <c r="AI1598" s="91">
        <f>IF($AL$1560&gt;0,'Assumptions (Geo)'!$V$13*Model!$AL$1560*'Assumptions (Geo)'!AH$2/10^9,0)</f>
        <v>9.4188634544325939E-2</v>
      </c>
      <c r="AJ1598" s="91">
        <f>IF($AL$1560&gt;0,'Assumptions (Geo)'!$V$13*Model!$AL$1560*'Assumptions (Geo)'!AI$2/10^9,0)</f>
        <v>9.6072407235212459E-2</v>
      </c>
      <c r="AK1598" s="91">
        <f>IF($AL$1560&gt;0,'Assumptions (Geo)'!$V$13*Model!$AL$1560*'Assumptions (Geo)'!AJ$2/10^9,0)</f>
        <v>9.7993855379916714E-2</v>
      </c>
    </row>
    <row r="1599" spans="1:53" ht="15.75" hidden="1" customHeight="1" outlineLevel="1">
      <c r="A1599" s="428"/>
      <c r="B1599" s="99"/>
      <c r="C1599" s="99"/>
      <c r="D1599" s="99"/>
      <c r="E1599" s="99"/>
      <c r="F1599" s="99"/>
      <c r="G1599" s="99"/>
      <c r="H1599" s="99"/>
      <c r="I1599" s="99"/>
      <c r="J1599" s="99"/>
      <c r="K1599" s="99"/>
      <c r="L1599" s="99"/>
      <c r="M1599" s="99"/>
      <c r="N1599" s="99"/>
      <c r="O1599" s="99"/>
      <c r="P1599" s="99"/>
      <c r="Q1599" s="99"/>
      <c r="R1599" s="99"/>
      <c r="S1599" s="99"/>
      <c r="T1599" s="99"/>
      <c r="U1599" s="99"/>
      <c r="V1599" s="99"/>
      <c r="W1599" s="86"/>
      <c r="AJ1599" s="91">
        <f>IF($AM$1560&gt;0,'Assumptions (Geo)'!$V$13*Model!$AM$1560*'Assumptions (Geo)'!AI$2/10^9,0)</f>
        <v>5.5576827832834651E-2</v>
      </c>
      <c r="AK1599" s="91">
        <f>IF($AM$1560&gt;0,'Assumptions (Geo)'!$V$13*Model!$AM$1560*'Assumptions (Geo)'!AJ$2/10^9,0)</f>
        <v>5.668836438949134E-2</v>
      </c>
      <c r="AL1599" s="91">
        <f>IF($AM$1560&gt;0,'Assumptions (Geo)'!$V$13*Model!$AM$1560*'Assumptions (Geo)'!AK$2/10^9,0)</f>
        <v>5.7822131677281161E-2</v>
      </c>
    </row>
    <row r="1600" spans="1:53" ht="15.75" hidden="1" customHeight="1" outlineLevel="1">
      <c r="A1600" s="428"/>
      <c r="B1600" s="99"/>
      <c r="C1600" s="99"/>
      <c r="D1600" s="99"/>
      <c r="E1600" s="99"/>
      <c r="F1600" s="99"/>
      <c r="G1600" s="99"/>
      <c r="H1600" s="99"/>
      <c r="I1600" s="99"/>
      <c r="J1600" s="99"/>
      <c r="K1600" s="99"/>
      <c r="L1600" s="99"/>
      <c r="M1600" s="99"/>
      <c r="N1600" s="99"/>
      <c r="O1600" s="99"/>
      <c r="P1600" s="99"/>
      <c r="Q1600" s="99"/>
      <c r="R1600" s="99"/>
      <c r="S1600" s="99"/>
      <c r="T1600" s="99"/>
      <c r="U1600" s="99"/>
      <c r="V1600" s="99"/>
      <c r="W1600" s="86"/>
      <c r="AK1600" s="91">
        <f>IF($AN$1560&gt;0,'Assumptions (Geo)'!$V$13*Model!$AN$1560*'Assumptions (Geo)'!AJ$2/10^9,0)</f>
        <v>0.17698154867739682</v>
      </c>
      <c r="AL1600" s="91">
        <f>IF($AN$1560&gt;0,'Assumptions (Geo)'!$V$13*Model!$AN$1560*'Assumptions (Geo)'!AK$2/10^9,0)</f>
        <v>0.18052117965094477</v>
      </c>
      <c r="AM1600" s="91">
        <f>IF($AN$1560&gt;0,'Assumptions (Geo)'!$V$13*Model!$AN$1560*'Assumptions (Geo)'!AL$2/10^9,0)</f>
        <v>0.18413160324396366</v>
      </c>
    </row>
    <row r="1601" spans="1:68" ht="15.75" hidden="1" customHeight="1" outlineLevel="1">
      <c r="A1601" s="428"/>
      <c r="B1601" s="99"/>
      <c r="C1601" s="99"/>
      <c r="D1601" s="99"/>
      <c r="E1601" s="99"/>
      <c r="F1601" s="99"/>
      <c r="G1601" s="99"/>
      <c r="H1601" s="99"/>
      <c r="I1601" s="99"/>
      <c r="J1601" s="99"/>
      <c r="K1601" s="99"/>
      <c r="L1601" s="99"/>
      <c r="M1601" s="99"/>
      <c r="N1601" s="99"/>
      <c r="O1601" s="99"/>
      <c r="P1601" s="99"/>
      <c r="Q1601" s="99"/>
      <c r="R1601" s="99"/>
      <c r="S1601" s="99"/>
      <c r="T1601" s="99"/>
      <c r="U1601" s="99"/>
      <c r="V1601" s="99"/>
      <c r="W1601" s="86"/>
      <c r="AL1601" s="91">
        <f>IF($AO$1560&gt;0,'Assumptions (Geo)'!$V$13*Model!$AO$1560*'Assumptions (Geo)'!AK$2/10^9,0)</f>
        <v>0</v>
      </c>
      <c r="AM1601" s="91">
        <f>IF($AO$1560&gt;0,'Assumptions (Geo)'!$V$13*Model!$AO$1560*'Assumptions (Geo)'!AL$2/10^9,0)</f>
        <v>0</v>
      </c>
      <c r="AN1601" s="91">
        <f>IF($AO$1560&gt;0,'Assumptions (Geo)'!$V$13*Model!$AO$1560*'Assumptions (Geo)'!AM$2/10^9,0)</f>
        <v>0</v>
      </c>
    </row>
    <row r="1602" spans="1:68" ht="15.75" hidden="1" customHeight="1" outlineLevel="1">
      <c r="A1602" s="428"/>
      <c r="B1602" s="99"/>
      <c r="C1602" s="99"/>
      <c r="D1602" s="99"/>
      <c r="E1602" s="99"/>
      <c r="F1602" s="99"/>
      <c r="G1602" s="99"/>
      <c r="H1602" s="99"/>
      <c r="I1602" s="99"/>
      <c r="J1602" s="99"/>
      <c r="K1602" s="99"/>
      <c r="L1602" s="99"/>
      <c r="M1602" s="99"/>
      <c r="N1602" s="99"/>
      <c r="O1602" s="99"/>
      <c r="P1602" s="99"/>
      <c r="Q1602" s="99"/>
      <c r="R1602" s="99"/>
      <c r="S1602" s="99"/>
      <c r="T1602" s="99"/>
      <c r="U1602" s="99"/>
      <c r="V1602" s="99"/>
      <c r="W1602" s="86"/>
      <c r="AM1602" s="91">
        <f>IF($AP$1560&gt;0,'Assumptions (Geo)'!$V$13*Model!$AP$1560*'Assumptions (Geo)'!AL$2/10^9,0)</f>
        <v>0</v>
      </c>
      <c r="AN1602" s="91">
        <f>IF($AP$1560&gt;0,'Assumptions (Geo)'!$V$13*Model!$AP$1560*'Assumptions (Geo)'!AM$2/10^9,0)</f>
        <v>0</v>
      </c>
      <c r="AO1602" s="91">
        <f>IF($AP$1560&gt;0,'Assumptions (Geo)'!$V$13*Model!$AP$1560*'Assumptions (Geo)'!AN$2/10^9,0)</f>
        <v>0</v>
      </c>
    </row>
    <row r="1603" spans="1:68" ht="15.75" hidden="1" customHeight="1" outlineLevel="1">
      <c r="A1603" s="428"/>
      <c r="B1603" s="99"/>
      <c r="C1603" s="99"/>
      <c r="D1603" s="99"/>
      <c r="E1603" s="99"/>
      <c r="F1603" s="99"/>
      <c r="G1603" s="99"/>
      <c r="H1603" s="99"/>
      <c r="I1603" s="99"/>
      <c r="J1603" s="99"/>
      <c r="K1603" s="99"/>
      <c r="L1603" s="99"/>
      <c r="M1603" s="99"/>
      <c r="N1603" s="99"/>
      <c r="O1603" s="99"/>
      <c r="P1603" s="99"/>
      <c r="Q1603" s="99"/>
      <c r="R1603" s="99"/>
      <c r="S1603" s="99"/>
      <c r="T1603" s="99"/>
      <c r="U1603" s="99"/>
      <c r="V1603" s="99"/>
      <c r="W1603" s="86"/>
      <c r="AN1603" s="91">
        <f>IF($AQ$1560&gt;0,'Assumptions (Geo)'!$V$13*Model!$AQ$1560*'Assumptions (Geo)'!AM$2/10^9,0)</f>
        <v>0.14282699894474474</v>
      </c>
      <c r="AO1603" s="91">
        <f>IF($AQ$1560&gt;0,'Assumptions (Geo)'!$V$13*Model!$AQ$1560*'Assumptions (Geo)'!AN$2/10^9,0)</f>
        <v>0.14568353892363964</v>
      </c>
      <c r="AP1603" s="91">
        <f>IF($AQ$1560&gt;0,'Assumptions (Geo)'!$V$13*Model!$AQ$1560*'Assumptions (Geo)'!AO$2/10^9,0)</f>
        <v>0.1485972097021124</v>
      </c>
    </row>
    <row r="1604" spans="1:68" ht="15.75" hidden="1" customHeight="1" outlineLevel="1">
      <c r="A1604" s="428"/>
      <c r="B1604" s="99"/>
      <c r="C1604" s="99"/>
      <c r="D1604" s="99"/>
      <c r="E1604" s="99"/>
      <c r="F1604" s="99"/>
      <c r="G1604" s="99"/>
      <c r="H1604" s="99"/>
      <c r="I1604" s="99"/>
      <c r="J1604" s="99"/>
      <c r="K1604" s="99"/>
      <c r="L1604" s="99"/>
      <c r="M1604" s="99"/>
      <c r="N1604" s="99"/>
      <c r="O1604" s="99"/>
      <c r="P1604" s="99"/>
      <c r="Q1604" s="99"/>
      <c r="R1604" s="99"/>
      <c r="S1604" s="99"/>
      <c r="T1604" s="99"/>
      <c r="U1604" s="99"/>
      <c r="V1604" s="99"/>
      <c r="W1604" s="86"/>
      <c r="AO1604" s="91">
        <f>IF($AR$1560&gt;0,'Assumptions (Geo)'!$V$13*Model!$AR$1560*'Assumptions (Geo)'!AN$2/10^9,0)</f>
        <v>0.21980866222509965</v>
      </c>
      <c r="AP1604" s="91">
        <f>IF($AR$1560&gt;0,'Assumptions (Geo)'!$V$13*Model!$AR$1560*'Assumptions (Geo)'!AO$2/10^9,0)</f>
        <v>0.22420483546960163</v>
      </c>
      <c r="AQ1604" s="91">
        <f>IF($AR$1560&gt;0,'Assumptions (Geo)'!$V$13*Model!$AR$1560*'Assumptions (Geo)'!AP$2/10^9,0)</f>
        <v>0.22868893217899364</v>
      </c>
    </row>
    <row r="1605" spans="1:68" ht="15.75" hidden="1" customHeight="1" outlineLevel="1">
      <c r="A1605" s="428"/>
      <c r="B1605" s="99"/>
      <c r="C1605" s="99"/>
      <c r="D1605" s="99"/>
      <c r="E1605" s="99"/>
      <c r="F1605" s="99"/>
      <c r="G1605" s="99"/>
      <c r="H1605" s="99"/>
      <c r="I1605" s="99"/>
      <c r="J1605" s="99"/>
      <c r="K1605" s="99"/>
      <c r="L1605" s="99"/>
      <c r="M1605" s="99"/>
      <c r="N1605" s="99"/>
      <c r="O1605" s="99"/>
      <c r="P1605" s="99"/>
      <c r="Q1605" s="99"/>
      <c r="R1605" s="99"/>
      <c r="S1605" s="99"/>
      <c r="T1605" s="99"/>
      <c r="U1605" s="99"/>
      <c r="V1605" s="99"/>
      <c r="W1605" s="86"/>
      <c r="AP1605" s="91">
        <f>IF($AS$1560&gt;0,'Assumptions (Geo)'!$V$13*Model!$AS$1560*'Assumptions (Geo)'!AO$2/10^9,0)</f>
        <v>0</v>
      </c>
      <c r="AQ1605" s="91">
        <f>IF($AS$1560&gt;0,'Assumptions (Geo)'!$V$13*Model!$AS$1560*'Assumptions (Geo)'!AP$2/10^9,0)</f>
        <v>0</v>
      </c>
      <c r="AR1605" s="91">
        <f>IF($AS$1560&gt;0,'Assumptions (Geo)'!$V$13*Model!$AS$1560*'Assumptions (Geo)'!AQ$2/10^9,0)</f>
        <v>0</v>
      </c>
    </row>
    <row r="1606" spans="1:68" ht="15.75" hidden="1" customHeight="1" outlineLevel="1">
      <c r="A1606" s="428"/>
      <c r="B1606" s="99"/>
      <c r="C1606" s="99"/>
      <c r="D1606" s="99"/>
      <c r="E1606" s="99"/>
      <c r="F1606" s="99"/>
      <c r="G1606" s="99"/>
      <c r="H1606" s="99"/>
      <c r="I1606" s="99"/>
      <c r="J1606" s="99"/>
      <c r="K1606" s="99"/>
      <c r="L1606" s="99"/>
      <c r="M1606" s="99"/>
      <c r="N1606" s="99"/>
      <c r="O1606" s="99"/>
      <c r="P1606" s="99"/>
      <c r="Q1606" s="99"/>
      <c r="R1606" s="99"/>
      <c r="S1606" s="99"/>
      <c r="T1606" s="99"/>
      <c r="U1606" s="99"/>
      <c r="V1606" s="99"/>
      <c r="W1606" s="86"/>
      <c r="AQ1606" s="91">
        <f>IF($AT$1560&gt;0,'Assumptions (Geo)'!$V$13*Model!$AT$1560*'Assumptions (Geo)'!AP$2/10^9,0)</f>
        <v>0</v>
      </c>
      <c r="AR1606" s="91">
        <f>IF($AT$1560&gt;0,'Assumptions (Geo)'!$V$13*Model!$AT$1560*'Assumptions (Geo)'!AQ$2/10^9,0)</f>
        <v>0</v>
      </c>
      <c r="AS1606" s="91">
        <f>IF($AT$1560&gt;0,'Assumptions (Geo)'!$V$13*Model!$AT$1560*'Assumptions (Geo)'!AR$2/10^9,0)</f>
        <v>0</v>
      </c>
    </row>
    <row r="1607" spans="1:68" ht="15.75" hidden="1" customHeight="1" outlineLevel="1">
      <c r="A1607" s="428"/>
      <c r="B1607" s="99"/>
      <c r="C1607" s="99"/>
      <c r="D1607" s="99"/>
      <c r="E1607" s="99"/>
      <c r="F1607" s="99"/>
      <c r="G1607" s="99"/>
      <c r="H1607" s="99"/>
      <c r="I1607" s="99"/>
      <c r="J1607" s="99"/>
      <c r="K1607" s="99"/>
      <c r="L1607" s="99"/>
      <c r="M1607" s="99"/>
      <c r="N1607" s="99"/>
      <c r="O1607" s="99"/>
      <c r="P1607" s="99"/>
      <c r="Q1607" s="99"/>
      <c r="R1607" s="99"/>
      <c r="S1607" s="99"/>
      <c r="T1607" s="99"/>
      <c r="U1607" s="99"/>
      <c r="V1607" s="99"/>
      <c r="W1607" s="86"/>
      <c r="AR1607" s="91">
        <f>IF($AU$1560&gt;0,'Assumptions (Geo)'!$V$13*Model!$AU$1560*'Assumptions (Geo)'!AQ$2/10^9,0)</f>
        <v>0</v>
      </c>
      <c r="AS1607" s="91">
        <f>IF($AU$1560&gt;0,'Assumptions (Geo)'!$V$13*Model!$AU$1560*'Assumptions (Geo)'!AR$2/10^9,0)</f>
        <v>0</v>
      </c>
      <c r="AT1607" s="91">
        <f>IF($AU$1560&gt;0,'Assumptions (Geo)'!$V$13*Model!$AU$1560*'Assumptions (Geo)'!AS$2/10^9,0)</f>
        <v>0</v>
      </c>
    </row>
    <row r="1608" spans="1:68" ht="15.75" hidden="1" customHeight="1" outlineLevel="1">
      <c r="A1608" s="428"/>
      <c r="B1608" s="99"/>
      <c r="C1608" s="99"/>
      <c r="D1608" s="99"/>
      <c r="E1608" s="99"/>
      <c r="F1608" s="99"/>
      <c r="G1608" s="99"/>
      <c r="H1608" s="99"/>
      <c r="I1608" s="99"/>
      <c r="J1608" s="99"/>
      <c r="K1608" s="99"/>
      <c r="L1608" s="99"/>
      <c r="M1608" s="99"/>
      <c r="N1608" s="99"/>
      <c r="O1608" s="99"/>
      <c r="P1608" s="99"/>
      <c r="Q1608" s="99"/>
      <c r="R1608" s="99"/>
      <c r="S1608" s="99"/>
      <c r="T1608" s="99"/>
      <c r="U1608" s="99"/>
      <c r="V1608" s="99"/>
      <c r="W1608" s="86"/>
      <c r="AS1608" s="91">
        <f>IF($AV$1560&gt;0,'Assumptions (Geo)'!$V$13*Model!$AV$1560*'Assumptions (Geo)'!AR$2/10^9,0)</f>
        <v>0</v>
      </c>
      <c r="AT1608" s="91">
        <f>IF($AV$1560&gt;0,'Assumptions (Geo)'!$V$13*Model!$AV$1560*'Assumptions (Geo)'!AS$2/10^9,0)</f>
        <v>0</v>
      </c>
      <c r="AU1608" s="91">
        <f>IF($AV$1560&gt;0,'Assumptions (Geo)'!$V$13*Model!$AV$1560*'Assumptions (Geo)'!AT$2/10^9,0)</f>
        <v>0</v>
      </c>
    </row>
    <row r="1609" spans="1:68" ht="15.75" hidden="1" customHeight="1" outlineLevel="1">
      <c r="A1609" s="428"/>
      <c r="B1609" s="99"/>
      <c r="C1609" s="99"/>
      <c r="D1609" s="99"/>
      <c r="E1609" s="99"/>
      <c r="F1609" s="99"/>
      <c r="G1609" s="99"/>
      <c r="H1609" s="99"/>
      <c r="I1609" s="99"/>
      <c r="J1609" s="99"/>
      <c r="K1609" s="99"/>
      <c r="L1609" s="99"/>
      <c r="M1609" s="99"/>
      <c r="N1609" s="99"/>
      <c r="O1609" s="99"/>
      <c r="P1609" s="99"/>
      <c r="Q1609" s="99"/>
      <c r="R1609" s="99"/>
      <c r="S1609" s="99"/>
      <c r="T1609" s="99"/>
      <c r="U1609" s="99"/>
      <c r="V1609" s="99"/>
      <c r="W1609" s="86"/>
      <c r="AT1609" s="91">
        <f>IF($AW$1560&gt;0,'Assumptions (Geo)'!$V$13*Model!$AW$1560*'Assumptions (Geo)'!AS$2/10^9,0)</f>
        <v>0</v>
      </c>
      <c r="AU1609" s="91">
        <f>IF($AW$1560&gt;0,'Assumptions (Geo)'!$V$13*Model!$AW$1560*'Assumptions (Geo)'!AT$2/10^9,0)</f>
        <v>0</v>
      </c>
      <c r="AV1609" s="91">
        <f>IF($AW$1560&gt;0,'Assumptions (Geo)'!$V$13*Model!$AW$1560*'Assumptions (Geo)'!AU$2/10^9,0)</f>
        <v>0</v>
      </c>
    </row>
    <row r="1610" spans="1:68" ht="15.75" hidden="1" customHeight="1" outlineLevel="1">
      <c r="A1610" s="428"/>
      <c r="B1610" s="99"/>
      <c r="C1610" s="99"/>
      <c r="D1610" s="99"/>
      <c r="E1610" s="99"/>
      <c r="F1610" s="99"/>
      <c r="G1610" s="99"/>
      <c r="H1610" s="99"/>
      <c r="I1610" s="99"/>
      <c r="J1610" s="99"/>
      <c r="K1610" s="99"/>
      <c r="L1610" s="99"/>
      <c r="M1610" s="99"/>
      <c r="N1610" s="99"/>
      <c r="O1610" s="99"/>
      <c r="P1610" s="99"/>
      <c r="Q1610" s="99"/>
      <c r="R1610" s="99"/>
      <c r="S1610" s="99"/>
      <c r="T1610" s="99"/>
      <c r="U1610" s="99"/>
      <c r="V1610" s="99"/>
      <c r="W1610" s="86"/>
      <c r="AU1610" s="91">
        <f>IF($AX$1560&gt;0,'Assumptions (Geo)'!$V$13*Model!$AX$1560*'Assumptions (Geo)'!AT$2/10^9,0)</f>
        <v>0</v>
      </c>
      <c r="AV1610" s="91">
        <f>IF($AX$1560&gt;0,'Assumptions (Geo)'!$V$13*Model!$AX$1560*'Assumptions (Geo)'!AU$2/10^9,0)</f>
        <v>0</v>
      </c>
      <c r="AW1610" s="91">
        <f>IF($AX$1560&gt;0,'Assumptions (Geo)'!$V$13*Model!$AX$1560*'Assumptions (Geo)'!AV$2/10^9,0)</f>
        <v>0</v>
      </c>
    </row>
    <row r="1611" spans="1:68" ht="15.75" hidden="1" customHeight="1" outlineLevel="1">
      <c r="A1611" s="428"/>
      <c r="B1611" s="99"/>
      <c r="C1611" s="99"/>
      <c r="D1611" s="99"/>
      <c r="E1611" s="99"/>
      <c r="F1611" s="99"/>
      <c r="G1611" s="99"/>
      <c r="H1611" s="99"/>
      <c r="I1611" s="99"/>
      <c r="J1611" s="99"/>
      <c r="K1611" s="99"/>
      <c r="L1611" s="99"/>
      <c r="M1611" s="99"/>
      <c r="N1611" s="99"/>
      <c r="O1611" s="99"/>
      <c r="P1611" s="99"/>
      <c r="Q1611" s="99"/>
      <c r="R1611" s="99"/>
      <c r="S1611" s="99"/>
      <c r="T1611" s="99"/>
      <c r="U1611" s="99"/>
      <c r="V1611" s="99"/>
      <c r="W1611" s="86"/>
      <c r="AV1611" s="91">
        <f>IF($AY$1560&gt;0,'Assumptions (Geo)'!$V$13*Model!$AY$1560*'Assumptions (Geo)'!AU$2/10^9,0)</f>
        <v>0</v>
      </c>
      <c r="AW1611" s="91">
        <f>IF($AY$1560&gt;0,'Assumptions (Geo)'!$V$13*Model!$AY$1560*'Assumptions (Geo)'!AV$2/10^9,0)</f>
        <v>0</v>
      </c>
      <c r="AX1611" s="91">
        <f>IF($AY$1560&gt;0,'Assumptions (Geo)'!$V$13*Model!$AY$1560*'Assumptions (Geo)'!AW$2/10^9,0)</f>
        <v>0</v>
      </c>
    </row>
    <row r="1612" spans="1:68" ht="15.75" hidden="1" customHeight="1" outlineLevel="1">
      <c r="A1612" s="428"/>
      <c r="B1612" s="99"/>
      <c r="C1612" s="99"/>
      <c r="D1612" s="99"/>
      <c r="E1612" s="99"/>
      <c r="F1612" s="99"/>
      <c r="G1612" s="99"/>
      <c r="H1612" s="99"/>
      <c r="I1612" s="99"/>
      <c r="J1612" s="99"/>
      <c r="K1612" s="99"/>
      <c r="L1612" s="99"/>
      <c r="M1612" s="99"/>
      <c r="N1612" s="99"/>
      <c r="O1612" s="99"/>
      <c r="P1612" s="99"/>
      <c r="Q1612" s="99"/>
      <c r="R1612" s="99"/>
      <c r="S1612" s="99"/>
      <c r="T1612" s="99"/>
      <c r="U1612" s="99"/>
      <c r="V1612" s="99"/>
      <c r="W1612" s="86"/>
      <c r="AW1612" s="91">
        <f>IF($AZ$1560&gt;0,'Assumptions (Geo)'!$V$13*Model!$AZ$1560*'Assumptions (Geo)'!AV$2/10^9,0)</f>
        <v>0</v>
      </c>
      <c r="AX1612" s="91">
        <f>IF($AZ$1560&gt;0,'Assumptions (Geo)'!$V$13*Model!$AZ$1560*'Assumptions (Geo)'!AW$2/10^9,0)</f>
        <v>0</v>
      </c>
      <c r="AY1612" s="91">
        <f>IF($AZ$1560&gt;0,'Assumptions (Geo)'!$V$13*Model!$AZ$1560*'Assumptions (Geo)'!AX$2/10^9,0)</f>
        <v>0</v>
      </c>
    </row>
    <row r="1613" spans="1:68" ht="15.75" hidden="1" customHeight="1" outlineLevel="1">
      <c r="A1613" s="428"/>
      <c r="B1613" s="99"/>
      <c r="C1613" s="99"/>
      <c r="D1613" s="99"/>
      <c r="E1613" s="99"/>
      <c r="F1613" s="99"/>
      <c r="G1613" s="99"/>
      <c r="H1613" s="99"/>
      <c r="I1613" s="99"/>
      <c r="J1613" s="99"/>
      <c r="K1613" s="99"/>
      <c r="L1613" s="99"/>
      <c r="M1613" s="99"/>
      <c r="N1613" s="99"/>
      <c r="O1613" s="99"/>
      <c r="P1613" s="99"/>
      <c r="Q1613" s="99"/>
      <c r="R1613" s="99"/>
      <c r="S1613" s="99"/>
      <c r="T1613" s="99"/>
      <c r="U1613" s="99"/>
      <c r="V1613" s="99"/>
      <c r="W1613" s="86"/>
      <c r="AX1613" s="91">
        <f>IF($BA$1560&gt;0,'Assumptions (Geo)'!$V$13*Model!$BA$1560*'Assumptions (Geo)'!AW$2/10^9,0)</f>
        <v>0</v>
      </c>
      <c r="AY1613" s="91">
        <f>IF($BA$1560&gt;0,'Assumptions (Geo)'!$V$13*Model!$BA$1560*'Assumptions (Geo)'!AX$2/10^9,0)</f>
        <v>0</v>
      </c>
      <c r="AZ1613" s="91">
        <f>IF($BA$1560&gt;0,'Assumptions (Geo)'!$V$13*Model!$BA$1560*'Assumptions (Geo)'!AY$2/10^9,0)</f>
        <v>0</v>
      </c>
    </row>
    <row r="1614" spans="1:68" ht="15.75" customHeight="1" collapsed="1">
      <c r="A1614" s="431" t="s">
        <v>52</v>
      </c>
      <c r="B1614" s="43" t="s">
        <v>201</v>
      </c>
      <c r="C1614" s="417">
        <f>'Assumptions (Geo)'!$V$4*Model!C1562</f>
        <v>7.4621403355260643E-2</v>
      </c>
      <c r="D1614" s="417">
        <f>'Assumptions (Geo)'!$V$4*Model!D1562</f>
        <v>9.650886995604584E-3</v>
      </c>
      <c r="E1614" s="417">
        <f>'Assumptions (Geo)'!$V$4*Model!E1562</f>
        <v>1.3689180022827879E-2</v>
      </c>
      <c r="F1614" s="417">
        <f>'Assumptions (Geo)'!$V$4*Model!F1562</f>
        <v>1.6708490178424632E-2</v>
      </c>
      <c r="G1614" s="417">
        <f>'Assumptions (Geo)'!$V$4*Model!G1562</f>
        <v>3.0644782972316278E-2</v>
      </c>
      <c r="H1614" s="417">
        <f>'Assumptions (Geo)'!$V$4*Model!H1562</f>
        <v>4.0316692543317822E-2</v>
      </c>
      <c r="I1614" s="417">
        <f>'Assumptions (Geo)'!$V$4*Model!I1562</f>
        <v>9.7979356408815346E-2</v>
      </c>
      <c r="J1614" s="417">
        <f>'Assumptions (Geo)'!$V$4*Model!J1562</f>
        <v>9.081113008735138E-2</v>
      </c>
      <c r="K1614" s="417">
        <f>'Assumptions (Geo)'!$V$4*Model!K1562</f>
        <v>7.7514240913270777E-2</v>
      </c>
      <c r="L1614" s="417">
        <f>'Assumptions (Geo)'!$V$4*Model!L1562</f>
        <v>6.1087284405985771E-2</v>
      </c>
      <c r="M1614" s="417">
        <f>'Assumptions (Geo)'!$V$4*Model!M1562</f>
        <v>8.848513022763789E-2</v>
      </c>
      <c r="N1614" s="417">
        <f>'Assumptions (Geo)'!$V$4*Model!N1562</f>
        <v>9.4206928363539111E-2</v>
      </c>
      <c r="O1614" s="417">
        <f>'Assumptions (Geo)'!$V$4*Model!O1562</f>
        <v>6.0982672232674964E-2</v>
      </c>
      <c r="P1614" s="417">
        <f>'Assumptions (Geo)'!$V$4*Model!P1562</f>
        <v>2.8447643180638305E-2</v>
      </c>
      <c r="Q1614" s="417">
        <f>'Assumptions (Geo)'!$V$4*Model!Q1562</f>
        <v>4.1452280063215809E-2</v>
      </c>
      <c r="R1614" s="417">
        <f>'Assumptions (Geo)'!$V$4*Model!R1562</f>
        <v>2.6363650120205254E-2</v>
      </c>
      <c r="S1614" s="417">
        <f>'Assumptions (Geo)'!$V$4*Model!S1562</f>
        <v>6.3421988496720191E-2</v>
      </c>
      <c r="T1614" s="417">
        <f>'Assumptions (Geo)'!$V$4*Model!T1562</f>
        <v>4.554206149972484E-2</v>
      </c>
      <c r="U1614" s="417">
        <f>'Assumptions (Geo)'!$V$4*Model!U1562</f>
        <v>3.800692041522491E-2</v>
      </c>
      <c r="V1614" s="417">
        <f>'Assumptions (Geo)'!$V$4*Model!V1562</f>
        <v>0</v>
      </c>
      <c r="W1614" s="417">
        <f>'Assumptions (Geo)'!$V$4*Model!W1562</f>
        <v>3.9194573333333899E-3</v>
      </c>
      <c r="X1614" s="417">
        <f>'Assumptions (Geo)'!$V$4*Model!X1562</f>
        <v>3.9978464800000573E-3</v>
      </c>
      <c r="Y1614" s="417">
        <f>'Assumptions (Geo)'!$V$4*Model!Y1562</f>
        <v>4.0778034096000584E-3</v>
      </c>
      <c r="Z1614" s="417">
        <f>'Assumptions (Geo)'!$V$4*Model!Z1562</f>
        <v>0</v>
      </c>
      <c r="AA1614" s="417">
        <f>'Assumptions (Geo)'!$V$4*Model!AA1562</f>
        <v>0</v>
      </c>
      <c r="AB1614" s="417">
        <f>'Assumptions (Geo)'!$V$4*Model!AB1562</f>
        <v>0</v>
      </c>
      <c r="AC1614" s="417">
        <f>'Assumptions (Geo)'!$V$4*Model!AC1562</f>
        <v>0</v>
      </c>
      <c r="AD1614" s="417">
        <f>'Assumptions (Geo)'!$V$4*Model!AD1562</f>
        <v>0</v>
      </c>
      <c r="AE1614" s="417">
        <f>'Assumptions (Geo)'!$V$4*Model!AE1562</f>
        <v>0</v>
      </c>
      <c r="AF1614" s="417">
        <f>'Assumptions (Geo)'!$V$4*Model!AF1562</f>
        <v>2.7656183686157017E-2</v>
      </c>
      <c r="AG1614" s="417">
        <f>'Assumptions (Geo)'!$V$4*Model!AG1562</f>
        <v>2.8209307359880156E-2</v>
      </c>
      <c r="AH1614" s="417">
        <f>'Assumptions (Geo)'!$V$4*Model!AH1562</f>
        <v>2.8773493507077759E-2</v>
      </c>
      <c r="AI1614" s="417">
        <f>'Assumptions (Geo)'!$V$4*Model!AI1562</f>
        <v>5.6513180726595558E-2</v>
      </c>
      <c r="AJ1614" s="417">
        <f>'Assumptions (Geo)'!$V$4*Model!AJ1562</f>
        <v>9.0989541040828265E-2</v>
      </c>
      <c r="AK1614" s="417">
        <f>'Assumptions (Geo)'!$V$4*Model!AK1562</f>
        <v>0.19899826106808294</v>
      </c>
      <c r="AL1614" s="417">
        <f>'Assumptions (Geo)'!$V$4*Model!AL1562</f>
        <v>0.14300598679693557</v>
      </c>
      <c r="AM1614" s="417">
        <f>'Assumptions (Geo)'!$V$4*Model!AM1562</f>
        <v>0.1104789619463782</v>
      </c>
      <c r="AN1614" s="417">
        <f>'Assumptions (Geo)'!$V$4*Model!AN1562</f>
        <v>8.5696199366846845E-2</v>
      </c>
      <c r="AO1614" s="417">
        <f>'Assumptions (Geo)'!$V$4*Model!AO1562</f>
        <v>0.21929532068924354</v>
      </c>
      <c r="AP1614" s="417">
        <f>'Assumptions (Geo)'!$V$4*Model!AP1562</f>
        <v>0.2236812271030284</v>
      </c>
      <c r="AQ1614" s="417">
        <f>'Assumptions (Geo)'!$V$4*Model!AQ1562</f>
        <v>0.13721335930739617</v>
      </c>
      <c r="AR1614" s="417">
        <f>'Assumptions (Geo)'!$V$4*Model!AR1562</f>
        <v>0</v>
      </c>
      <c r="AS1614" s="417">
        <f>'Assumptions (Geo)'!$V$4*Model!AS1562</f>
        <v>0</v>
      </c>
      <c r="AT1614" s="417">
        <f>'Assumptions (Geo)'!$V$4*Model!AT1562</f>
        <v>0</v>
      </c>
      <c r="AU1614" s="417">
        <f>'Assumptions (Geo)'!$V$4*Model!AU1562</f>
        <v>0</v>
      </c>
      <c r="AV1614" s="417">
        <f>'Assumptions (Geo)'!$V$4*Model!AV1562</f>
        <v>0</v>
      </c>
      <c r="AW1614" s="417">
        <f>'Assumptions (Geo)'!$V$4*Model!AW1562</f>
        <v>0</v>
      </c>
      <c r="AX1614" s="417">
        <f>'Assumptions (Geo)'!$V$4*Model!AX1562</f>
        <v>0</v>
      </c>
      <c r="AY1614" s="417">
        <f>'Assumptions (Geo)'!$V$4*Model!AY1562</f>
        <v>0</v>
      </c>
      <c r="AZ1614" s="417">
        <f>'Assumptions (Geo)'!$V$4*Model!AZ1562</f>
        <v>0</v>
      </c>
      <c r="BA1614" s="417">
        <f>'Assumptions (Geo)'!$V$4*Model!BA1562</f>
        <v>0</v>
      </c>
    </row>
    <row r="1615" spans="1:68" ht="15.75" customHeight="1">
      <c r="A1615" s="431" t="s">
        <v>54</v>
      </c>
      <c r="B1615" s="43" t="s">
        <v>201</v>
      </c>
      <c r="C1615" s="150">
        <f>'Assumptions (Geo)'!$V$5*Model!C1562</f>
        <v>4.9747602236840438E-2</v>
      </c>
      <c r="D1615" s="150">
        <f>'Assumptions (Geo)'!$V$5*Model!D1562</f>
        <v>6.4339246637363902E-3</v>
      </c>
      <c r="E1615" s="150">
        <f>'Assumptions (Geo)'!$V$5*Model!E1562</f>
        <v>9.1261200152185865E-3</v>
      </c>
      <c r="F1615" s="150">
        <f>'Assumptions (Geo)'!$V$5*Model!F1562</f>
        <v>1.1138993452283089E-2</v>
      </c>
      <c r="G1615" s="150">
        <f>'Assumptions (Geo)'!$V$5*Model!G1562</f>
        <v>2.0429855314877524E-2</v>
      </c>
      <c r="H1615" s="150">
        <f>'Assumptions (Geo)'!$V$5*Model!H1562</f>
        <v>2.6877795028878548E-2</v>
      </c>
      <c r="I1615" s="150">
        <f>'Assumptions (Geo)'!$V$5*Model!I1562</f>
        <v>6.5319570939210245E-2</v>
      </c>
      <c r="J1615" s="150">
        <f>'Assumptions (Geo)'!$V$5*Model!J1562</f>
        <v>6.0540753391567594E-2</v>
      </c>
      <c r="K1615" s="150">
        <f>'Assumptions (Geo)'!$V$5*Model!K1562</f>
        <v>5.1676160608847194E-2</v>
      </c>
      <c r="L1615" s="150">
        <f>'Assumptions (Geo)'!$V$5*Model!L1562</f>
        <v>4.0724856270657188E-2</v>
      </c>
      <c r="M1615" s="150">
        <f>'Assumptions (Geo)'!$V$5*Model!M1562</f>
        <v>5.8990086818425262E-2</v>
      </c>
      <c r="N1615" s="150">
        <f>'Assumptions (Geo)'!$V$5*Model!N1562</f>
        <v>6.2804618909026083E-2</v>
      </c>
      <c r="O1615" s="150">
        <f>'Assumptions (Geo)'!$V$5*Model!O1562</f>
        <v>4.0655114821783314E-2</v>
      </c>
      <c r="P1615" s="150">
        <f>'Assumptions (Geo)'!$V$5*Model!P1562</f>
        <v>1.8965095453758872E-2</v>
      </c>
      <c r="Q1615" s="150">
        <f>'Assumptions (Geo)'!$V$5*Model!Q1562</f>
        <v>2.7634853375477209E-2</v>
      </c>
      <c r="R1615" s="150">
        <f>'Assumptions (Geo)'!$V$5*Model!R1562</f>
        <v>1.7575766746803504E-2</v>
      </c>
      <c r="S1615" s="150">
        <f>'Assumptions (Geo)'!$V$5*Model!S1562</f>
        <v>4.2281325664480132E-2</v>
      </c>
      <c r="T1615" s="150">
        <f>'Assumptions (Geo)'!$V$5*Model!T1562</f>
        <v>3.0361374333149893E-2</v>
      </c>
      <c r="U1615" s="150">
        <f>'Assumptions (Geo)'!$V$5*Model!U1562</f>
        <v>2.5337946943483278E-2</v>
      </c>
      <c r="V1615" s="150">
        <f>'Assumptions (Geo)'!$V$5*Model!V1562</f>
        <v>0</v>
      </c>
      <c r="W1615" s="150">
        <f>'Assumptions (Geo)'!$V$5*Model!W1562</f>
        <v>2.6129715555555932E-3</v>
      </c>
      <c r="X1615" s="150">
        <f>'Assumptions (Geo)'!$V$5*Model!X1562</f>
        <v>2.6652309866667051E-3</v>
      </c>
      <c r="Y1615" s="150">
        <f>'Assumptions (Geo)'!$V$5*Model!Y1562</f>
        <v>2.7185356064000389E-3</v>
      </c>
      <c r="Z1615" s="150">
        <f>'Assumptions (Geo)'!$V$5*Model!Z1562</f>
        <v>0</v>
      </c>
      <c r="AA1615" s="150">
        <f>'Assumptions (Geo)'!$V$5*Model!AA1562</f>
        <v>0</v>
      </c>
      <c r="AB1615" s="150">
        <f>'Assumptions (Geo)'!$V$5*Model!AB1562</f>
        <v>0</v>
      </c>
      <c r="AC1615" s="150">
        <f>'Assumptions (Geo)'!$V$5*Model!AC1562</f>
        <v>0</v>
      </c>
      <c r="AD1615" s="150">
        <f>'Assumptions (Geo)'!$V$5*Model!AD1562</f>
        <v>0</v>
      </c>
      <c r="AE1615" s="150">
        <f>'Assumptions (Geo)'!$V$5*Model!AE1562</f>
        <v>0</v>
      </c>
      <c r="AF1615" s="150">
        <f>'Assumptions (Geo)'!$V$5*Model!AF1562</f>
        <v>1.8437455790771346E-2</v>
      </c>
      <c r="AG1615" s="150">
        <f>'Assumptions (Geo)'!$V$5*Model!AG1562</f>
        <v>1.8806204906586771E-2</v>
      </c>
      <c r="AH1615" s="150">
        <f>'Assumptions (Geo)'!$V$5*Model!AH1562</f>
        <v>1.9182329004718508E-2</v>
      </c>
      <c r="AI1615" s="150">
        <f>'Assumptions (Geo)'!$V$5*Model!AI1562</f>
        <v>3.7675453817730381E-2</v>
      </c>
      <c r="AJ1615" s="150">
        <f>'Assumptions (Geo)'!$V$5*Model!AJ1562</f>
        <v>6.0659694027218852E-2</v>
      </c>
      <c r="AK1615" s="150">
        <f>'Assumptions (Geo)'!$V$5*Model!AK1562</f>
        <v>0.13266550737872196</v>
      </c>
      <c r="AL1615" s="150">
        <f>'Assumptions (Geo)'!$V$5*Model!AL1562</f>
        <v>9.5337324531290388E-2</v>
      </c>
      <c r="AM1615" s="150">
        <f>'Assumptions (Geo)'!$V$5*Model!AM1562</f>
        <v>7.3652641297585461E-2</v>
      </c>
      <c r="AN1615" s="150">
        <f>'Assumptions (Geo)'!$V$5*Model!AN1562</f>
        <v>5.7130799577897899E-2</v>
      </c>
      <c r="AO1615" s="150">
        <f>'Assumptions (Geo)'!$V$5*Model!AO1562</f>
        <v>0.14619688045949572</v>
      </c>
      <c r="AP1615" s="150">
        <f>'Assumptions (Geo)'!$V$5*Model!AP1562</f>
        <v>0.1491208180686856</v>
      </c>
      <c r="AQ1615" s="150">
        <f>'Assumptions (Geo)'!$V$5*Model!AQ1562</f>
        <v>9.1475572871597466E-2</v>
      </c>
      <c r="AR1615" s="150">
        <f>'Assumptions (Geo)'!$V$5*Model!AR1562</f>
        <v>0</v>
      </c>
      <c r="AS1615" s="150">
        <f>'Assumptions (Geo)'!$V$5*Model!AS1562</f>
        <v>0</v>
      </c>
      <c r="AT1615" s="150">
        <f>'Assumptions (Geo)'!$V$5*Model!AT1562</f>
        <v>0</v>
      </c>
      <c r="AU1615" s="150">
        <f>'Assumptions (Geo)'!$V$5*Model!AU1562</f>
        <v>0</v>
      </c>
      <c r="AV1615" s="150">
        <f>'Assumptions (Geo)'!$V$5*Model!AV1562</f>
        <v>0</v>
      </c>
      <c r="AW1615" s="150">
        <f>'Assumptions (Geo)'!$V$5*Model!AW1562</f>
        <v>0</v>
      </c>
      <c r="AX1615" s="150">
        <f>'Assumptions (Geo)'!$V$5*Model!AX1562</f>
        <v>0</v>
      </c>
      <c r="AY1615" s="150">
        <f>'Assumptions (Geo)'!$V$5*Model!AY1562</f>
        <v>0</v>
      </c>
      <c r="AZ1615" s="150">
        <f>'Assumptions (Geo)'!$V$5*Model!AZ1562</f>
        <v>0</v>
      </c>
      <c r="BA1615" s="150">
        <f>'Assumptions (Geo)'!$V$5*Model!BA1562</f>
        <v>0</v>
      </c>
    </row>
    <row r="1616" spans="1:68" ht="15.75" customHeight="1">
      <c r="A1616" s="431" t="s">
        <v>336</v>
      </c>
      <c r="B1616" s="43" t="s">
        <v>201</v>
      </c>
      <c r="C1616" s="91">
        <f t="array" ref="C1616">SUM(IF(ISERROR(C1617:C1667),"",C1617:C1667))</f>
        <v>-2.9791819670269234E-3</v>
      </c>
      <c r="D1616" s="91">
        <f t="array" ref="D1616">SUM(IF(ISERROR(D1617:D1667),"",D1617:D1667))</f>
        <v>-3.1206931104607026E-3</v>
      </c>
      <c r="E1616" s="91">
        <f t="array" ref="E1616">SUM(IF(ISERROR(E1617:E1667),"",E1617:E1667))</f>
        <v>-3.5650640508790143E-3</v>
      </c>
      <c r="F1616" s="91">
        <f t="array" ref="F1616">SUM(IF(ISERROR(F1617:F1667),"",F1617:F1667))</f>
        <v>-4.8026516339389064E-3</v>
      </c>
      <c r="G1616" s="91">
        <f t="array" ref="G1616">SUM(IF(ISERROR(G1617:G1667),"",G1617:G1667))</f>
        <v>-5.0307775865510041E-3</v>
      </c>
      <c r="H1616" s="91">
        <f t="array" ref="H1616">SUM(IF(ISERROR(H1617:H1667),"",H1617:H1667))</f>
        <v>-6.1366348143585729E-3</v>
      </c>
      <c r="I1616" s="91">
        <f t="array" ref="I1616">SUM(IF(ISERROR(I1617:I1667),"",I1617:I1667))</f>
        <v>-7.958528580474817E-3</v>
      </c>
      <c r="J1616" s="91">
        <f t="array" ref="J1616">SUM(IF(ISERROR(J1617:J1667),"",J1617:J1667))</f>
        <v>-1.0302277105796207E-2</v>
      </c>
      <c r="K1616" s="91">
        <f t="array" ref="K1616">SUM(IF(ISERROR(K1617:K1667),"",K1617:K1667))</f>
        <v>-1.3020759954048703E-2</v>
      </c>
      <c r="L1616" s="91">
        <f t="array" ref="L1616">SUM(IF(ISERROR(L1617:L1667),"",L1617:L1667))</f>
        <v>-2.3479946966063519E-2</v>
      </c>
      <c r="M1616" s="91">
        <f t="array" ref="M1616">SUM(IF(ISERROR(M1617:M1667),"",M1617:M1667))</f>
        <v>-2.5362169487636241E-2</v>
      </c>
      <c r="N1616" s="91">
        <f t="array" ref="N1616">SUM(IF(ISERROR(N1617:N1667),"",N1617:N1667))</f>
        <v>-2.6748357679926595E-2</v>
      </c>
      <c r="O1616" s="91">
        <f t="array" ref="O1616">SUM(IF(ISERROR(O1617:O1667),"",O1617:O1667))</f>
        <v>-3.5863944112535635E-2</v>
      </c>
      <c r="P1616" s="91">
        <f t="array" ref="P1616">SUM(IF(ISERROR(P1617:P1667),"",P1617:P1667))</f>
        <v>-4.2164202209352325E-2</v>
      </c>
      <c r="Q1616" s="91">
        <f t="array" ref="Q1616">SUM(IF(ISERROR(Q1617:Q1667),"",Q1617:Q1667))</f>
        <v>-4.4930734596375276E-2</v>
      </c>
      <c r="R1616" s="91">
        <f t="array" ref="R1616">SUM(IF(ISERROR(R1617:R1667),"",R1617:R1667))</f>
        <v>-4.4340496227372468E-2</v>
      </c>
      <c r="S1616" s="91">
        <f t="array" ref="S1616">SUM(IF(ISERROR(S1617:S1667),"",S1617:S1667))</f>
        <v>-4.644666979817267E-2</v>
      </c>
      <c r="T1616" s="91">
        <f t="array" ref="T1616">SUM(IF(ISERROR(T1617:T1667),"",T1617:T1667))</f>
        <v>-5.0666490902872105E-2</v>
      </c>
      <c r="U1616" s="91">
        <f t="array" ref="U1616">SUM(IF(ISERROR(U1617:U1667),"",U1617:U1667))</f>
        <v>-5.2080522475490561E-2</v>
      </c>
      <c r="V1616" s="91">
        <f t="array" ref="V1616">SUM(IF(ISERROR(V1617:V1667),"",V1617:V1667))</f>
        <v>-5.9833654653917261E-2</v>
      </c>
      <c r="W1616" s="91">
        <f t="array" ref="W1616">SUM(IF(ISERROR(W1617:W1667),"",W1617:W1667))</f>
        <v>-6.0936843193275754E-2</v>
      </c>
      <c r="X1616" s="91">
        <f t="array" ref="X1616">SUM(IF(ISERROR(X1617:X1667),"",X1617:X1667))</f>
        <v>-6.076149818331604E-2</v>
      </c>
      <c r="Y1616" s="91">
        <f t="array" ref="Y1616">SUM(IF(ISERROR(Y1617:Y1667),"",Y1617:Y1667))</f>
        <v>-5.9704623912294426E-2</v>
      </c>
      <c r="Z1616" s="91">
        <f t="array" ref="Z1616">SUM(IF(ISERROR(Z1617:Z1667),"",Z1617:Z1667))</f>
        <v>-5.8635602595592529E-2</v>
      </c>
      <c r="AA1616" s="91">
        <f t="array" ref="AA1616">SUM(IF(ISERROR(AA1617:AA1667),"",AA1617:AA1667))</f>
        <v>-4.1681277385359636E-2</v>
      </c>
      <c r="AB1616" s="91">
        <f t="array" ref="AB1616">SUM(IF(ISERROR(AB1617:AB1667),"",AB1617:AB1667))</f>
        <v>-4.2122758884804656E-2</v>
      </c>
      <c r="AC1616" s="91">
        <f t="array" ref="AC1616">SUM(IF(ISERROR(AC1617:AC1667),"",AC1617:AC1667))</f>
        <v>-4.3759547883539147E-2</v>
      </c>
      <c r="AD1616" s="91">
        <f t="array" ref="AD1616">SUM(IF(ISERROR(AD1617:AD1667),"",AD1617:AD1667))</f>
        <v>-3.0101718445936523E-2</v>
      </c>
      <c r="AE1616" s="91">
        <f t="array" ref="AE1616">SUM(IF(ISERROR(AE1617:AE1667),"",AE1617:AE1667))</f>
        <v>-2.2310962519924551E-2</v>
      </c>
      <c r="AF1616" s="91">
        <f t="array" ref="AF1616">SUM(IF(ISERROR(AF1617:AF1667),"",AF1617:AF1667))</f>
        <v>-2.1838757432436334E-2</v>
      </c>
      <c r="AG1616" s="91">
        <f t="array" ref="AG1616">SUM(IF(ISERROR(AG1617:AG1667),"",AG1617:AG1667))</f>
        <v>-1.6353877930497952E-2</v>
      </c>
      <c r="AH1616" s="91">
        <f t="array" ref="AH1616">SUM(IF(ISERROR(AH1617:AH1667),"",AH1617:AH1667))</f>
        <v>-1.713068713219661E-2</v>
      </c>
      <c r="AI1616" s="91">
        <f t="array" ref="AI1616">SUM(IF(ISERROR(AI1617:AI1667),"",AI1617:AI1667))</f>
        <v>-1.6710485867526846E-2</v>
      </c>
      <c r="AJ1616" s="91">
        <f t="array" ref="AJ1616">SUM(IF(ISERROR(AJ1617:AJ1667),"",AJ1617:AJ1667))</f>
        <v>-1.5197089762528485E-2</v>
      </c>
      <c r="AK1616" s="91">
        <f t="array" ref="AK1616">SUM(IF(ISERROR(AK1617:AK1667),"",AK1617:AK1667))</f>
        <v>-5.329159723038563E-3</v>
      </c>
      <c r="AL1616" s="91">
        <f t="array" ref="AL1616">SUM(IF(ISERROR(AL1617:AL1667),"",AL1617:AL1667))</f>
        <v>-1.3749328755897679E-2</v>
      </c>
      <c r="AM1616" s="91">
        <f t="array" ref="AM1616">SUM(IF(ISERROR(AM1617:AM1667),"",AM1617:AM1667))</f>
        <v>-1.9221451701871881E-2</v>
      </c>
      <c r="AN1616" s="91">
        <f t="array" ref="AN1616">SUM(IF(ISERROR(AN1617:AN1667),"",AN1617:AN1667))</f>
        <v>-3.5480423201341142E-2</v>
      </c>
      <c r="AO1616" s="91">
        <f t="array" ref="AO1616">SUM(IF(ISERROR(AO1617:AO1667),"",AO1617:AO1667))</f>
        <v>-3.6029553139868567E-2</v>
      </c>
      <c r="AP1616" s="91">
        <f t="array" ref="AP1616">SUM(IF(ISERROR(AP1617:AP1667),"",AP1617:AP1667))</f>
        <v>-3.774095691401233E-2</v>
      </c>
      <c r="AQ1616" s="91">
        <f t="array" ref="AQ1616">SUM(IF(ISERROR(AQ1617:AQ1667),"",AQ1617:AQ1667))</f>
        <v>-5.1918086587463198E-2</v>
      </c>
      <c r="AR1616" s="91">
        <f t="array" ref="AR1616">SUM(IF(ISERROR(AR1617:AR1667),"",AR1617:AR1667))</f>
        <v>-7.3443658816118237E-2</v>
      </c>
      <c r="AS1616" s="91">
        <f t="array" ref="AS1616">SUM(IF(ISERROR(AS1617:AS1667),"",AS1617:AS1667))</f>
        <v>-7.6932232609883855E-2</v>
      </c>
      <c r="AT1616" s="91">
        <f t="array" ref="AT1616">SUM(IF(ISERROR(AT1617:AT1667),"",AT1617:AT1667))</f>
        <v>-8.0586513658853332E-2</v>
      </c>
      <c r="AU1616" s="91">
        <f t="array" ref="AU1616">SUM(IF(ISERROR(AU1617:AU1667),"",AU1617:AU1667))</f>
        <v>-8.4414373057648873E-2</v>
      </c>
      <c r="AV1616" s="91">
        <f t="array" ref="AV1616">SUM(IF(ISERROR(AV1617:AV1667),"",AV1617:AV1667))</f>
        <v>-8.8424055777887187E-2</v>
      </c>
      <c r="AW1616" s="91">
        <f t="array" ref="AW1616">SUM(IF(ISERROR(AW1617:AW1667),"",AW1617:AW1667))</f>
        <v>-9.2624198427336824E-2</v>
      </c>
      <c r="AX1616" s="91">
        <f t="array" ref="AX1616">SUM(IF(ISERROR(AX1617:AX1667),"",AX1617:AX1667))</f>
        <v>-8.9006747220380239E-2</v>
      </c>
      <c r="AY1616" s="91">
        <f t="array" ref="AY1616">SUM(IF(ISERROR(AY1617:AY1667),"",AY1617:AY1667))</f>
        <v>-9.3234567713348288E-2</v>
      </c>
      <c r="AZ1616" s="91">
        <f t="array" ref="AZ1616">SUM(IF(ISERROR(AZ1617:AZ1667),"",AZ1617:AZ1667))</f>
        <v>-9.7663209679732327E-2</v>
      </c>
      <c r="BA1616" s="91">
        <f t="array" ref="BA1616">SUM(IF(ISERROR(BA1617:BA1667),"",BA1617:BA1667))</f>
        <v>-8.5919913624460359E-2</v>
      </c>
      <c r="BB1616" s="91">
        <f t="array" ref="BB1616">SUM(IF(ISERROR(BB1617:BB1667),"",BB1617:BB1667))</f>
        <v>-8.033459096041437E-2</v>
      </c>
      <c r="BC1616" s="91">
        <f t="array" ref="BC1616">SUM(IF(ISERROR(BC1617:BC1667),"",BC1617:BC1667))</f>
        <v>-5.3367953037593008E-2</v>
      </c>
      <c r="BD1616" s="91">
        <f t="array" ref="BD1616">SUM(IF(ISERROR(BD1617:BD1667),"",BD1617:BD1667))</f>
        <v>-5.5902930806878678E-2</v>
      </c>
      <c r="BE1616" s="91">
        <f t="array" ref="BE1616">SUM(IF(ISERROR(BE1617:BE1667),"",BE1617:BE1667))</f>
        <v>-5.8558320020205404E-2</v>
      </c>
      <c r="BF1616" s="91">
        <f t="array" ref="BF1616">SUM(IF(ISERROR(BF1617:BF1667),"",BF1617:BF1667))</f>
        <v>-3.6497835195370726E-2</v>
      </c>
      <c r="BG1616" s="91">
        <f t="array" ref="BG1616">SUM(IF(ISERROR(BG1617:BG1667),"",BG1617:BG1667))</f>
        <v>0</v>
      </c>
      <c r="BH1616" s="91">
        <f t="array" ref="BH1616">SUM(IF(ISERROR(BH1617:BH1667),"",BH1617:BH1667))</f>
        <v>0</v>
      </c>
      <c r="BI1616" s="91">
        <f t="array" ref="BI1616">SUM(IF(ISERROR(BI1617:BI1667),"",BI1617:BI1667))</f>
        <v>0</v>
      </c>
      <c r="BJ1616" s="91">
        <f t="array" ref="BJ1616">SUM(IF(ISERROR(BJ1617:BJ1667),"",BJ1617:BJ1667))</f>
        <v>0</v>
      </c>
      <c r="BK1616" s="91">
        <f t="array" ref="BK1616">SUM(IF(ISERROR(BK1617:BK1667),"",BK1617:BK1667))</f>
        <v>0</v>
      </c>
      <c r="BL1616" s="91">
        <f t="array" ref="BL1616">SUM(IF(ISERROR(BL1617:BL1667),"",BL1617:BL1667))</f>
        <v>0</v>
      </c>
      <c r="BM1616" s="91">
        <f t="array" ref="BM1616">SUM(IF(ISERROR(BM1617:BM1667),"",BM1617:BM1667))</f>
        <v>0</v>
      </c>
      <c r="BN1616" s="91">
        <f t="array" ref="BN1616">SUM(IF(ISERROR(BN1617:BN1667),"",BN1617:BN1667))</f>
        <v>0</v>
      </c>
      <c r="BO1616" s="91">
        <f t="array" ref="BO1616">SUM(IF(ISERROR(BO1617:BO1667),"",BO1617:BO1667))</f>
        <v>0</v>
      </c>
      <c r="BP1616" s="91"/>
    </row>
    <row r="1617" spans="1:42" ht="15.75" hidden="1" customHeight="1" outlineLevel="1">
      <c r="A1617" s="428"/>
      <c r="B1617" s="99"/>
      <c r="C1617" s="91">
        <f>IF($C$1560&gt;0,PPMT('Assumptions (Geo)'!$V$6,Model!W$1,'Assumptions (Geo)'!$V$9,'Assumptions (Geo)'!$V$4*Model!$C$1560*'Assumptions (Geo)'!$B$2/10^9),0)</f>
        <v>-2.9791819670269234E-3</v>
      </c>
      <c r="D1617" s="91">
        <f>IF($C$1560&gt;0,PPMT('Assumptions (Geo)'!$V$6,Model!X$1,'Assumptions (Geo)'!$V$9,'Assumptions (Geo)'!$V$4*Model!$C$1560*'Assumptions (Geo)'!$B$2/10^9),0)</f>
        <v>-3.1206931104607026E-3</v>
      </c>
      <c r="E1617" s="91">
        <f>IF($C$1560&gt;0,PPMT('Assumptions (Geo)'!$V$6,Model!Y$1,'Assumptions (Geo)'!$V$9,'Assumptions (Geo)'!$V$4*Model!$C$1560*'Assumptions (Geo)'!$B$2/10^9),0)</f>
        <v>-3.2689260332075857E-3</v>
      </c>
      <c r="F1617" s="91">
        <f>IF($C$1560&gt;0,PPMT('Assumptions (Geo)'!$V$6,Model!Z$1,'Assumptions (Geo)'!$V$9,'Assumptions (Geo)'!$V$4*Model!$C$1560*'Assumptions (Geo)'!$B$2/10^9),0)</f>
        <v>-3.4242000197849459E-3</v>
      </c>
      <c r="G1617" s="91">
        <f>IF($C$1560&gt;0,PPMT('Assumptions (Geo)'!$V$6,Model!AA$1,'Assumptions (Geo)'!$V$9,'Assumptions (Geo)'!$V$4*Model!$C$1560*'Assumptions (Geo)'!$B$2/10^9),0)</f>
        <v>-3.5868495207247307E-3</v>
      </c>
      <c r="H1617" s="91">
        <f>IF($C$1560&gt;0,PPMT('Assumptions (Geo)'!$V$6,Model!AB$1,'Assumptions (Geo)'!$V$9,'Assumptions (Geo)'!$V$4*Model!$C$1560*'Assumptions (Geo)'!$B$2/10^9),0)</f>
        <v>-3.757224872959155E-3</v>
      </c>
      <c r="I1617" s="91">
        <f>IF($C$1560&gt;0,PPMT('Assumptions (Geo)'!$V$6,Model!AC$1,'Assumptions (Geo)'!$V$9,'Assumptions (Geo)'!$V$4*Model!$C$1560*'Assumptions (Geo)'!$B$2/10^9),0)</f>
        <v>-3.9356930544247153E-3</v>
      </c>
      <c r="J1617" s="91">
        <f>IF($C$1560&gt;0,PPMT('Assumptions (Geo)'!$V$6,Model!AD$1,'Assumptions (Geo)'!$V$9,'Assumptions (Geo)'!$V$4*Model!$C$1560*'Assumptions (Geo)'!$B$2/10^9),0)</f>
        <v>-4.1226384745098894E-3</v>
      </c>
      <c r="K1617" s="91">
        <f>IF($C$1560&gt;0,PPMT('Assumptions (Geo)'!$V$6,Model!AE$1,'Assumptions (Geo)'!$V$9,'Assumptions (Geo)'!$V$4*Model!$C$1560*'Assumptions (Geo)'!$B$2/10^9),0)</f>
        <v>-4.3184638020491084E-3</v>
      </c>
      <c r="L1617" s="91">
        <f>IF($C$1560&gt;0,PPMT('Assumptions (Geo)'!$V$6,Model!AF$1,'Assumptions (Geo)'!$V$9,'Assumptions (Geo)'!$V$4*Model!$C$1560*'Assumptions (Geo)'!$B$2/10^9),0)</f>
        <v>-4.5235908326464415E-3</v>
      </c>
      <c r="M1617" s="91">
        <f>IF($C$1560&gt;0,PPMT('Assumptions (Geo)'!$V$6,Model!AG$1,'Assumptions (Geo)'!$V$9,'Assumptions (Geo)'!$V$4*Model!$C$1560*'Assumptions (Geo)'!$B$2/10^9),0)</f>
        <v>-4.7384613971971478E-3</v>
      </c>
      <c r="N1617" s="91">
        <f>IF($C$1560&gt;0,PPMT('Assumptions (Geo)'!$V$6,Model!AH$1,'Assumptions (Geo)'!$V$9,'Assumptions (Geo)'!$V$4*Model!$C$1560*'Assumptions (Geo)'!$B$2/10^9),0)</f>
        <v>-4.9635383135640124E-3</v>
      </c>
      <c r="O1617" s="91">
        <f>IF($C$1560&gt;0,PPMT('Assumptions (Geo)'!$V$6,Model!AI$1,'Assumptions (Geo)'!$V$9,'Assumptions (Geo)'!$V$4*Model!$C$1560*'Assumptions (Geo)'!$B$2/10^9),0)</f>
        <v>-5.1993063834583032E-3</v>
      </c>
      <c r="P1617" s="91">
        <f>IF($C$1560&gt;0,PPMT('Assumptions (Geo)'!$V$6,Model!AJ$1,'Assumptions (Geo)'!$V$9,'Assumptions (Geo)'!$V$4*Model!$C$1560*'Assumptions (Geo)'!$B$2/10^9),0)</f>
        <v>-5.4462734366725728E-3</v>
      </c>
      <c r="Q1617" s="91">
        <f>IF($C$1560&gt;0,PPMT('Assumptions (Geo)'!$V$6,Model!AK$1,'Assumptions (Geo)'!$V$9,'Assumptions (Geo)'!$V$4*Model!$C$1560*'Assumptions (Geo)'!$B$2/10^9),0)</f>
        <v>-5.704971424914519E-3</v>
      </c>
      <c r="R1617" s="91"/>
      <c r="S1617" s="91"/>
      <c r="T1617" s="91"/>
      <c r="U1617" s="91"/>
      <c r="V1617" s="91"/>
      <c r="W1617" s="91"/>
      <c r="X1617" s="91"/>
      <c r="Y1617" s="91"/>
      <c r="Z1617" s="91"/>
      <c r="AA1617" s="91"/>
      <c r="AB1617" s="105"/>
      <c r="AC1617" s="105"/>
      <c r="AD1617" s="105"/>
      <c r="AE1617" s="105"/>
      <c r="AF1617" s="105"/>
      <c r="AG1617" s="105"/>
    </row>
    <row r="1618" spans="1:42" ht="15.75" hidden="1" customHeight="1" outlineLevel="1">
      <c r="A1618" s="428"/>
      <c r="B1618" s="99"/>
      <c r="C1618" s="105"/>
      <c r="D1618" s="91">
        <f>IF($D$1560&gt;0,PPMT('Assumptions (Geo)'!$V$6,Model!W$1,'Assumptions (Geo)'!$V$9,'Assumptions (Geo)'!$V$4*Model!$D$1560*'Assumptions (Geo)'!$B$2/10^9),0)</f>
        <v>0</v>
      </c>
      <c r="E1618" s="91">
        <f>IF($D$1560&gt;0,PPMT('Assumptions (Geo)'!$V$6,Model!X$1,'Assumptions (Geo)'!$V$9,'Assumptions (Geo)'!$V$4*Model!$D$1560*'Assumptions (Geo)'!$B$2/10^9),0)</f>
        <v>0</v>
      </c>
      <c r="F1618" s="91">
        <f>IF($D$1560&gt;0,PPMT('Assumptions (Geo)'!$V$6,Model!Y$1,'Assumptions (Geo)'!$V$9,'Assumptions (Geo)'!$V$4*Model!$D$1560*'Assumptions (Geo)'!$B$2/10^9),0)</f>
        <v>0</v>
      </c>
      <c r="G1618" s="91">
        <f>IF($D$1560&gt;0,PPMT('Assumptions (Geo)'!$V$6,Model!Z$1,'Assumptions (Geo)'!$V$9,'Assumptions (Geo)'!$V$4*Model!$D$1560*'Assumptions (Geo)'!$B$2/10^9),0)</f>
        <v>0</v>
      </c>
      <c r="H1618" s="91">
        <f>IF($D$1560&gt;0,PPMT('Assumptions (Geo)'!$V$6,Model!AA$1,'Assumptions (Geo)'!$V$9,'Assumptions (Geo)'!$V$4*Model!$D$1560*'Assumptions (Geo)'!$B$2/10^9),0)</f>
        <v>0</v>
      </c>
      <c r="I1618" s="91">
        <f>IF($D$1560&gt;0,PPMT('Assumptions (Geo)'!$V$6,Model!AB$1,'Assumptions (Geo)'!$V$9,'Assumptions (Geo)'!$V$4*Model!$D$1560*'Assumptions (Geo)'!$B$2/10^9),0)</f>
        <v>0</v>
      </c>
      <c r="J1618" s="91">
        <f>IF($D$1560&gt;0,PPMT('Assumptions (Geo)'!$V$6,Model!AC$1,'Assumptions (Geo)'!$V$9,'Assumptions (Geo)'!$V$4*Model!$D$1560*'Assumptions (Geo)'!$B$2/10^9),0)</f>
        <v>0</v>
      </c>
      <c r="K1618" s="91">
        <f>IF($D$1560&gt;0,PPMT('Assumptions (Geo)'!$V$6,Model!AD$1,'Assumptions (Geo)'!$V$9,'Assumptions (Geo)'!$V$4*Model!$D$1560*'Assumptions (Geo)'!$B$2/10^9),0)</f>
        <v>0</v>
      </c>
      <c r="L1618" s="91">
        <f>IF($D$1560&gt;0,PPMT('Assumptions (Geo)'!$V$6,Model!AE$1,'Assumptions (Geo)'!$V$9,'Assumptions (Geo)'!$V$4*Model!$D$1560*'Assumptions (Geo)'!$B$2/10^9),0)</f>
        <v>0</v>
      </c>
      <c r="M1618" s="91">
        <f>IF($D$1560&gt;0,PPMT('Assumptions (Geo)'!$V$6,Model!AF$1,'Assumptions (Geo)'!$V$9,'Assumptions (Geo)'!$V$4*Model!$D$1560*'Assumptions (Geo)'!$B$2/10^9),0)</f>
        <v>0</v>
      </c>
      <c r="N1618" s="91">
        <f>IF($D$1560&gt;0,PPMT('Assumptions (Geo)'!$V$6,Model!AG$1,'Assumptions (Geo)'!$V$9,'Assumptions (Geo)'!$V$4*Model!$D$1560*'Assumptions (Geo)'!$B$2/10^9),0)</f>
        <v>0</v>
      </c>
      <c r="O1618" s="91">
        <f>IF($D$1560&gt;0,PPMT('Assumptions (Geo)'!$V$6,Model!AH$1,'Assumptions (Geo)'!$V$9,'Assumptions (Geo)'!$V$4*Model!$D$1560*'Assumptions (Geo)'!$B$2/10^9),0)</f>
        <v>0</v>
      </c>
      <c r="P1618" s="91">
        <f>IF($D$1560&gt;0,PPMT('Assumptions (Geo)'!$V$6,Model!AI$1,'Assumptions (Geo)'!$V$9,'Assumptions (Geo)'!$V$4*Model!$D$1560*'Assumptions (Geo)'!$B$2/10^9),0)</f>
        <v>0</v>
      </c>
      <c r="Q1618" s="91">
        <f>IF($D$1560&gt;0,PPMT('Assumptions (Geo)'!$V$6,Model!AJ$1,'Assumptions (Geo)'!$V$9,'Assumptions (Geo)'!$V$4*Model!$D$1560*'Assumptions (Geo)'!$B$2/10^9),0)</f>
        <v>0</v>
      </c>
      <c r="R1618" s="91">
        <f>IF($D$1560&gt;0,PPMT('Assumptions (Geo)'!$V$6,Model!AK$1,'Assumptions (Geo)'!$V$9,'Assumptions (Geo)'!$V$4*Model!$D$1560*'Assumptions (Geo)'!$B$2/10^9),0)</f>
        <v>0</v>
      </c>
      <c r="S1618" s="91"/>
      <c r="T1618" s="91"/>
      <c r="U1618" s="91"/>
      <c r="V1618" s="91"/>
      <c r="W1618" s="91"/>
      <c r="X1618" s="91"/>
      <c r="Y1618" s="91"/>
      <c r="Z1618" s="91"/>
      <c r="AA1618" s="91"/>
      <c r="AB1618" s="91"/>
      <c r="AC1618" s="105"/>
      <c r="AD1618" s="105"/>
      <c r="AE1618" s="105"/>
      <c r="AF1618" s="105"/>
      <c r="AG1618" s="105"/>
    </row>
    <row r="1619" spans="1:42" ht="15.75" hidden="1" customHeight="1" outlineLevel="1">
      <c r="A1619" s="428"/>
      <c r="B1619" s="99"/>
      <c r="C1619" s="105"/>
      <c r="D1619" s="105"/>
      <c r="E1619" s="105">
        <f>IF($E$1560&gt;0,PPMT('Assumptions (Geo)'!$V$6,Model!W$1,'Assumptions (Geo)'!$V$9,'Assumptions (Geo)'!$V$4*Model!$E$1560*AVERAGE('Assumptions (Geo)'!$B$2:$C$2)/10^9),0)</f>
        <v>-2.9613801767142838E-4</v>
      </c>
      <c r="F1619" s="105">
        <f>IF($E$1560&gt;0,PPMT('Assumptions (Geo)'!$V$6,Model!X$1,'Assumptions (Geo)'!$V$9,'Assumptions (Geo)'!$V$4*Model!$E$1560*AVERAGE('Assumptions (Geo)'!$B$2:$C$2)/10^9),0)</f>
        <v>-3.1020457351082126E-4</v>
      </c>
      <c r="G1619" s="105">
        <f>IF($E$1560&gt;0,PPMT('Assumptions (Geo)'!$V$6,Model!Y$1,'Assumptions (Geo)'!$V$9,'Assumptions (Geo)'!$V$4*Model!$E$1560*AVERAGE('Assumptions (Geo)'!$B$2:$C$2)/10^9),0)</f>
        <v>-3.2493929075258531E-4</v>
      </c>
      <c r="H1619" s="105">
        <f>IF($E$1560&gt;0,PPMT('Assumptions (Geo)'!$V$6,Model!Z$1,'Assumptions (Geo)'!$V$9,'Assumptions (Geo)'!$V$4*Model!$E$1560*AVERAGE('Assumptions (Geo)'!$B$2:$C$2)/10^9),0)</f>
        <v>-3.4037390706333307E-4</v>
      </c>
      <c r="I1619" s="105">
        <f>IF($E$1560&gt;0,PPMT('Assumptions (Geo)'!$V$6,Model!AA$1,'Assumptions (Geo)'!$V$9,'Assumptions (Geo)'!$V$4*Model!$E$1560*AVERAGE('Assumptions (Geo)'!$B$2:$C$2)/10^9),0)</f>
        <v>-3.5654166764884131E-4</v>
      </c>
      <c r="J1619" s="105">
        <f>IF($E$1560&gt;0,PPMT('Assumptions (Geo)'!$V$6,Model!AB$1,'Assumptions (Geo)'!$V$9,'Assumptions (Geo)'!$V$4*Model!$E$1560*AVERAGE('Assumptions (Geo)'!$B$2:$C$2)/10^9),0)</f>
        <v>-3.7347739686216134E-4</v>
      </c>
      <c r="K1619" s="105">
        <f>IF($E$1560&gt;0,PPMT('Assumptions (Geo)'!$V$6,Model!AC$1,'Assumptions (Geo)'!$V$9,'Assumptions (Geo)'!$V$4*Model!$E$1560*AVERAGE('Assumptions (Geo)'!$B$2:$C$2)/10^9),0)</f>
        <v>-3.9121757321311404E-4</v>
      </c>
      <c r="L1619" s="105">
        <f>IF($E$1560&gt;0,PPMT('Assumptions (Geo)'!$V$6,Model!AD$1,'Assumptions (Geo)'!$V$9,'Assumptions (Geo)'!$V$4*Model!$E$1560*AVERAGE('Assumptions (Geo)'!$B$2:$C$2)/10^9),0)</f>
        <v>-4.098004079407369E-4</v>
      </c>
      <c r="M1619" s="105">
        <f>IF($E$1560&gt;0,PPMT('Assumptions (Geo)'!$V$6,Model!AE$1,'Assumptions (Geo)'!$V$9,'Assumptions (Geo)'!$V$4*Model!$E$1560*AVERAGE('Assumptions (Geo)'!$B$2:$C$2)/10^9),0)</f>
        <v>-4.292659273179219E-4</v>
      </c>
      <c r="N1619" s="91">
        <f>IF($E$1560&gt;0,PPMT('Assumptions (Geo)'!$V$6,Model!AF$1,'Assumptions (Geo)'!$V$9,'Assumptions (Geo)'!$V$4*Model!$E$1560*AVERAGE('Assumptions (Geo)'!$B$2:$C$2)/10^9),0)</f>
        <v>-4.4965605886552323E-4</v>
      </c>
      <c r="O1619" s="105">
        <f>IF($E$1560&gt;0,PPMT('Assumptions (Geo)'!$V$6,Model!AG$1,'Assumptions (Geo)'!$V$9,'Assumptions (Geo)'!$V$4*Model!$E$1560*AVERAGE('Assumptions (Geo)'!$B$2:$C$2)/10^9),0)</f>
        <v>-4.7101472166163563E-4</v>
      </c>
      <c r="P1619" s="105">
        <f>IF($E$1560&gt;0,PPMT('Assumptions (Geo)'!$V$6,Model!AH$1,'Assumptions (Geo)'!$V$9,'Assumptions (Geo)'!$V$4*Model!$E$1560*AVERAGE('Assumptions (Geo)'!$B$2:$C$2)/10^9),0)</f>
        <v>-4.9338792094056325E-4</v>
      </c>
      <c r="Q1619" s="105">
        <f>IF($E$1560&gt;0,PPMT('Assumptions (Geo)'!$V$6,Model!AI$1,'Assumptions (Geo)'!$V$9,'Assumptions (Geo)'!$V$4*Model!$E$1560*AVERAGE('Assumptions (Geo)'!$B$2:$C$2)/10^9),0)</f>
        <v>-5.1682384718524006E-4</v>
      </c>
      <c r="R1619" s="105">
        <f>IF($E$1560&gt;0,PPMT('Assumptions (Geo)'!$V$6,Model!AJ$1,'Assumptions (Geo)'!$V$9,'Assumptions (Geo)'!$V$4*Model!$E$1560*AVERAGE('Assumptions (Geo)'!$B$2:$C$2)/10^9),0)</f>
        <v>-5.4137297992653893E-4</v>
      </c>
      <c r="S1619" s="105">
        <f>IF($E$1560&gt;0,PPMT('Assumptions (Geo)'!$V$6,Model!AK$1,'Assumptions (Geo)'!$V$9,'Assumptions (Geo)'!$V$4*Model!$E$1560*AVERAGE('Assumptions (Geo)'!$B$2:$C$2)/10^9),0)</f>
        <v>-5.6708819647304952E-4</v>
      </c>
      <c r="T1619" s="105"/>
      <c r="U1619" s="105"/>
      <c r="V1619" s="105"/>
      <c r="W1619" s="105"/>
      <c r="X1619" s="105"/>
      <c r="Y1619" s="105"/>
      <c r="Z1619" s="105"/>
      <c r="AA1619" s="105"/>
      <c r="AB1619" s="105"/>
      <c r="AC1619" s="105"/>
      <c r="AD1619" s="105"/>
      <c r="AE1619" s="105"/>
      <c r="AF1619" s="105"/>
      <c r="AG1619" s="105"/>
    </row>
    <row r="1620" spans="1:42" ht="15.75" hidden="1" customHeight="1" outlineLevel="1">
      <c r="A1620" s="428"/>
      <c r="B1620" s="99"/>
      <c r="C1620" s="105"/>
      <c r="D1620" s="105"/>
      <c r="E1620" s="105"/>
      <c r="F1620" s="105">
        <f>IF($F$1560&gt;0,PPMT('Assumptions (Geo)'!$V$6,Model!W$1,'Assumptions (Geo)'!$V$9,'Assumptions (Geo)'!$V$4*Model!$F$1560*AVERAGE('Assumptions (Geo)'!$B$2:$D$2)/10^9),0)</f>
        <v>-1.0682470406431393E-3</v>
      </c>
      <c r="G1620" s="105">
        <f>IF($F$1560&gt;0,PPMT('Assumptions (Geo)'!$V$6,Model!X$1,'Assumptions (Geo)'!$V$9,'Assumptions (Geo)'!$V$4*Model!$F$1560*AVERAGE('Assumptions (Geo)'!$B$2:$D$2)/10^9),0)</f>
        <v>-1.1189887750736884E-3</v>
      </c>
      <c r="H1620" s="105">
        <f>IF($F$1560&gt;0,PPMT('Assumptions (Geo)'!$V$6,Model!Y$1,'Assumptions (Geo)'!$V$9,'Assumptions (Geo)'!$V$4*Model!$F$1560*AVERAGE('Assumptions (Geo)'!$B$2:$D$2)/10^9),0)</f>
        <v>-1.1721407418896887E-3</v>
      </c>
      <c r="I1620" s="105">
        <f>IF($F$1560&gt;0,PPMT('Assumptions (Geo)'!$V$6,Model!Z$1,'Assumptions (Geo)'!$V$9,'Assumptions (Geo)'!$V$4*Model!$F$1560*AVERAGE('Assumptions (Geo)'!$B$2:$D$2)/10^9),0)</f>
        <v>-1.2278174271294488E-3</v>
      </c>
      <c r="J1620" s="105">
        <f>IF($F$1560&gt;0,PPMT('Assumptions (Geo)'!$V$6,Model!AA$1,'Assumptions (Geo)'!$V$9,'Assumptions (Geo)'!$V$4*Model!$F$1560*AVERAGE('Assumptions (Geo)'!$B$2:$D$2)/10^9),0)</f>
        <v>-1.2861387549180977E-3</v>
      </c>
      <c r="K1620" s="105">
        <f>IF($F$1560&gt;0,PPMT('Assumptions (Geo)'!$V$6,Model!AB$1,'Assumptions (Geo)'!$V$9,'Assumptions (Geo)'!$V$4*Model!$F$1560*AVERAGE('Assumptions (Geo)'!$B$2:$D$2)/10^9),0)</f>
        <v>-1.3472303457767072E-3</v>
      </c>
      <c r="L1620" s="105">
        <f>IF($F$1560&gt;0,PPMT('Assumptions (Geo)'!$V$6,Model!AC$1,'Assumptions (Geo)'!$V$9,'Assumptions (Geo)'!$V$4*Model!$F$1560*AVERAGE('Assumptions (Geo)'!$B$2:$D$2)/10^9),0)</f>
        <v>-1.4112237872011008E-3</v>
      </c>
      <c r="M1620" s="105">
        <f>IF($F$1560&gt;0,PPMT('Assumptions (Geo)'!$V$6,Model!AD$1,'Assumptions (Geo)'!$V$9,'Assumptions (Geo)'!$V$4*Model!$F$1560*AVERAGE('Assumptions (Geo)'!$B$2:$D$2)/10^9),0)</f>
        <v>-1.4782569170931532E-3</v>
      </c>
      <c r="N1620" s="91">
        <f>IF($F$1560&gt;0,PPMT('Assumptions (Geo)'!$V$6,Model!AE$1,'Assumptions (Geo)'!$V$9,'Assumptions (Geo)'!$V$4*Model!$F$1560*AVERAGE('Assumptions (Geo)'!$B$2:$D$2)/10^9),0)</f>
        <v>-1.5484741206550779E-3</v>
      </c>
      <c r="O1620" s="105">
        <f>IF($F$1560&gt;0,PPMT('Assumptions (Geo)'!$V$6,Model!AF$1,'Assumptions (Geo)'!$V$9,'Assumptions (Geo)'!$V$4*Model!$F$1560*AVERAGE('Assumptions (Geo)'!$B$2:$D$2)/10^9),0)</f>
        <v>-1.6220266413861941E-3</v>
      </c>
      <c r="P1620" s="105">
        <f>IF($F$1560&gt;0,PPMT('Assumptions (Geo)'!$V$6,Model!AG$1,'Assumptions (Geo)'!$V$9,'Assumptions (Geo)'!$V$4*Model!$F$1560*AVERAGE('Assumptions (Geo)'!$B$2:$D$2)/10^9),0)</f>
        <v>-1.6990729068520386E-3</v>
      </c>
      <c r="Q1620" s="105">
        <f>IF($F$1560&gt;0,PPMT('Assumptions (Geo)'!$V$6,Model!AH$1,'Assumptions (Geo)'!$V$9,'Assumptions (Geo)'!$V$4*Model!$F$1560*AVERAGE('Assumptions (Geo)'!$B$2:$D$2)/10^9),0)</f>
        <v>-1.7797788699275103E-3</v>
      </c>
      <c r="R1620" s="105">
        <f>IF($F$1560&gt;0,PPMT('Assumptions (Geo)'!$V$6,Model!AI$1,'Assumptions (Geo)'!$V$9,'Assumptions (Geo)'!$V$4*Model!$F$1560*AVERAGE('Assumptions (Geo)'!$B$2:$D$2)/10^9),0)</f>
        <v>-1.8643183662490673E-3</v>
      </c>
      <c r="S1620" s="105">
        <f>IF($F$1560&gt;0,PPMT('Assumptions (Geo)'!$V$6,Model!AJ$1,'Assumptions (Geo)'!$V$9,'Assumptions (Geo)'!$V$4*Model!$F$1560*AVERAGE('Assumptions (Geo)'!$B$2:$D$2)/10^9),0)</f>
        <v>-1.9528734886458978E-3</v>
      </c>
      <c r="T1620" s="105">
        <f>IF($F$1560&gt;0,PPMT('Assumptions (Geo)'!$V$6,Model!AK$1,'Assumptions (Geo)'!$V$9,'Assumptions (Geo)'!$V$4*Model!$F$1560*AVERAGE('Assumptions (Geo)'!$B$2:$D$2)/10^9),0)</f>
        <v>-2.0456349793565778E-3</v>
      </c>
      <c r="U1620" s="105"/>
      <c r="V1620" s="105"/>
      <c r="W1620" s="105"/>
      <c r="X1620" s="105"/>
      <c r="Y1620" s="105"/>
      <c r="Z1620" s="105"/>
      <c r="AA1620" s="105"/>
      <c r="AB1620" s="105"/>
      <c r="AC1620" s="105"/>
      <c r="AD1620" s="105"/>
      <c r="AE1620" s="105"/>
      <c r="AF1620" s="105"/>
      <c r="AG1620" s="105"/>
    </row>
    <row r="1621" spans="1:42" ht="15.75" hidden="1" customHeight="1" outlineLevel="1">
      <c r="A1621" s="428"/>
      <c r="B1621" s="99"/>
      <c r="C1621" s="105"/>
      <c r="D1621" s="105"/>
      <c r="E1621" s="105"/>
      <c r="F1621" s="105"/>
      <c r="G1621" s="105">
        <f>IF($G$1560&gt;0,PPMT('Assumptions (Geo)'!$V$6,Model!W$1,'Assumptions (Geo)'!$V$9,'Assumptions (Geo)'!$V$4*Model!$G$1560*AVERAGE('Assumptions (Geo)'!$C$2:$E$2)/10^9),0)</f>
        <v>0</v>
      </c>
      <c r="H1621" s="105">
        <f>IF($G$1560&gt;0,PPMT('Assumptions (Geo)'!$V$6,Model!X$1,'Assumptions (Geo)'!$V$9,'Assumptions (Geo)'!$V$4*Model!$G$1560*AVERAGE('Assumptions (Geo)'!$C$2:$E$2)/10^9),0)</f>
        <v>0</v>
      </c>
      <c r="I1621" s="105">
        <f>IF($G$1560&gt;0,PPMT('Assumptions (Geo)'!$V$6,Model!Y$1,'Assumptions (Geo)'!$V$9,'Assumptions (Geo)'!$V$4*Model!$G$1560*AVERAGE('Assumptions (Geo)'!$C$2:$E$2)/10^9),0)</f>
        <v>0</v>
      </c>
      <c r="J1621" s="105">
        <f>IF($G$1560&gt;0,PPMT('Assumptions (Geo)'!$V$6,Model!Z$1,'Assumptions (Geo)'!$V$9,'Assumptions (Geo)'!$V$4*Model!$G$1560*AVERAGE('Assumptions (Geo)'!$C$2:$E$2)/10^9),0)</f>
        <v>0</v>
      </c>
      <c r="K1621" s="105">
        <f>IF($G$1560&gt;0,PPMT('Assumptions (Geo)'!$V$6,Model!AA$1,'Assumptions (Geo)'!$V$9,'Assumptions (Geo)'!$V$4*Model!$G$1560*AVERAGE('Assumptions (Geo)'!$C$2:$E$2)/10^9),0)</f>
        <v>0</v>
      </c>
      <c r="L1621" s="105">
        <f>IF($G$1560&gt;0,PPMT('Assumptions (Geo)'!$V$6,Model!AB$1,'Assumptions (Geo)'!$V$9,'Assumptions (Geo)'!$V$4*Model!$G$1560*AVERAGE('Assumptions (Geo)'!$C$2:$E$2)/10^9),0)</f>
        <v>0</v>
      </c>
      <c r="M1621" s="105">
        <f>IF($G$1560&gt;0,PPMT('Assumptions (Geo)'!$V$6,Model!AC$1,'Assumptions (Geo)'!$V$9,'Assumptions (Geo)'!$V$4*Model!$G$1560*AVERAGE('Assumptions (Geo)'!$C$2:$E$2)/10^9),0)</f>
        <v>0</v>
      </c>
      <c r="N1621" s="105">
        <f>IF($G$1560&gt;0,PPMT('Assumptions (Geo)'!$V$6,Model!AD$1,'Assumptions (Geo)'!$V$9,'Assumptions (Geo)'!$V$4*Model!$G$1560*AVERAGE('Assumptions (Geo)'!$C$2:$E$2)/10^9),0)</f>
        <v>0</v>
      </c>
      <c r="O1621" s="105">
        <f>IF($G$1560&gt;0,PPMT('Assumptions (Geo)'!$V$6,Model!AE$1,'Assumptions (Geo)'!$V$9,'Assumptions (Geo)'!$V$4*Model!$G$1560*AVERAGE('Assumptions (Geo)'!$C$2:$E$2)/10^9),0)</f>
        <v>0</v>
      </c>
      <c r="P1621" s="105">
        <f>IF($G$1560&gt;0,PPMT('Assumptions (Geo)'!$V$6,Model!AF$1,'Assumptions (Geo)'!$V$9,'Assumptions (Geo)'!$V$4*Model!$G$1560*AVERAGE('Assumptions (Geo)'!$C$2:$E$2)/10^9),0)</f>
        <v>0</v>
      </c>
      <c r="Q1621" s="105">
        <f>IF($G$1560&gt;0,PPMT('Assumptions (Geo)'!$V$6,Model!AG$1,'Assumptions (Geo)'!$V$9,'Assumptions (Geo)'!$V$4*Model!$G$1560*AVERAGE('Assumptions (Geo)'!$C$2:$E$2)/10^9),0)</f>
        <v>0</v>
      </c>
      <c r="R1621" s="105">
        <f>IF($G$1560&gt;0,PPMT('Assumptions (Geo)'!$V$6,Model!AH$1,'Assumptions (Geo)'!$V$9,'Assumptions (Geo)'!$V$4*Model!$G$1560*AVERAGE('Assumptions (Geo)'!$C$2:$E$2)/10^9),0)</f>
        <v>0</v>
      </c>
      <c r="S1621" s="105">
        <f>IF($G$1560&gt;0,PPMT('Assumptions (Geo)'!$V$6,Model!AI$1,'Assumptions (Geo)'!$V$9,'Assumptions (Geo)'!$V$4*Model!$G$1560*AVERAGE('Assumptions (Geo)'!$C$2:$E$2)/10^9),0)</f>
        <v>0</v>
      </c>
      <c r="T1621" s="105">
        <f>IF($G$1560&gt;0,PPMT('Assumptions (Geo)'!$V$6,Model!AJ$1,'Assumptions (Geo)'!$V$9,'Assumptions (Geo)'!$V$4*Model!$G$1560*AVERAGE('Assumptions (Geo)'!$C$2:$E$2)/10^9),0)</f>
        <v>0</v>
      </c>
      <c r="U1621" s="105">
        <f>IF($G$1560&gt;0,PPMT('Assumptions (Geo)'!$V$6,Model!AK$1,'Assumptions (Geo)'!$V$9,'Assumptions (Geo)'!$V$4*Model!$G$1560*AVERAGE('Assumptions (Geo)'!$C$2:$E$2)/10^9),0)</f>
        <v>0</v>
      </c>
      <c r="V1621" s="105"/>
      <c r="W1621" s="105"/>
      <c r="X1621" s="105"/>
      <c r="Y1621" s="105"/>
      <c r="Z1621" s="105"/>
      <c r="AA1621" s="105"/>
      <c r="AB1621" s="105"/>
      <c r="AC1621" s="105"/>
      <c r="AD1621" s="105"/>
      <c r="AE1621" s="105"/>
      <c r="AF1621" s="105"/>
      <c r="AG1621" s="105"/>
    </row>
    <row r="1622" spans="1:42" ht="15.75" hidden="1" customHeight="1" outlineLevel="1">
      <c r="A1622" s="428"/>
      <c r="B1622" s="99"/>
      <c r="C1622" s="105"/>
      <c r="D1622" s="105"/>
      <c r="E1622" s="105"/>
      <c r="F1622" s="105"/>
      <c r="G1622" s="105"/>
      <c r="H1622" s="105">
        <f>IF($H$1560&gt;0,PPMT('Assumptions (Geo)'!$V$6,Model!W$1,'Assumptions (Geo)'!$V$9,'Assumptions (Geo)'!$V$4*Model!$H$1560*AVERAGE('Assumptions (Geo)'!$D$2:$F$2)/10^9),0)</f>
        <v>-8.6689529244639524E-4</v>
      </c>
      <c r="I1622" s="105">
        <f>IF($H$1560&gt;0,PPMT('Assumptions (Geo)'!$V$6,Model!X$1,'Assumptions (Geo)'!$V$9,'Assumptions (Geo)'!$V$4*Model!$H$1560*AVERAGE('Assumptions (Geo)'!$D$2:$F$2)/10^9),0)</f>
        <v>-9.0807281883759907E-4</v>
      </c>
      <c r="J1622" s="105">
        <f>IF($H$1560&gt;0,PPMT('Assumptions (Geo)'!$V$6,Model!Y$1,'Assumptions (Geo)'!$V$9,'Assumptions (Geo)'!$V$4*Model!$H$1560*AVERAGE('Assumptions (Geo)'!$D$2:$F$2)/10^9),0)</f>
        <v>-9.5120627773238506E-4</v>
      </c>
      <c r="K1622" s="105">
        <f>IF($H$1560&gt;0,PPMT('Assumptions (Geo)'!$V$6,Model!Z$1,'Assumptions (Geo)'!$V$9,'Assumptions (Geo)'!$V$4*Model!$H$1560*AVERAGE('Assumptions (Geo)'!$D$2:$F$2)/10^9),0)</f>
        <v>-9.9638857592467315E-4</v>
      </c>
      <c r="L1622" s="105">
        <f>IF($H$1560&gt;0,PPMT('Assumptions (Geo)'!$V$6,Model!AA$1,'Assumptions (Geo)'!$V$9,'Assumptions (Geo)'!$V$4*Model!$H$1560*AVERAGE('Assumptions (Geo)'!$D$2:$F$2)/10^9),0)</f>
        <v>-1.0437170332810951E-3</v>
      </c>
      <c r="M1622" s="105">
        <f>IF($H$1560&gt;0,PPMT('Assumptions (Geo)'!$V$6,Model!AB$1,'Assumptions (Geo)'!$V$9,'Assumptions (Geo)'!$V$4*Model!$H$1560*AVERAGE('Assumptions (Geo)'!$D$2:$F$2)/10^9),0)</f>
        <v>-1.0932935923619472E-3</v>
      </c>
      <c r="N1622" s="105">
        <f>IF($H$1560&gt;0,PPMT('Assumptions (Geo)'!$V$6,Model!AC$1,'Assumptions (Geo)'!$V$9,'Assumptions (Geo)'!$V$4*Model!$H$1560*AVERAGE('Assumptions (Geo)'!$D$2:$F$2)/10^9),0)</f>
        <v>-1.1452250379991398E-3</v>
      </c>
      <c r="O1622" s="105">
        <f>IF($H$1560&gt;0,PPMT('Assumptions (Geo)'!$V$6,Model!AD$1,'Assumptions (Geo)'!$V$9,'Assumptions (Geo)'!$V$4*Model!$H$1560*AVERAGE('Assumptions (Geo)'!$D$2:$F$2)/10^9),0)</f>
        <v>-1.1996232273040989E-3</v>
      </c>
      <c r="P1622" s="105">
        <f>IF($H$1560&gt;0,PPMT('Assumptions (Geo)'!$V$6,Model!AE$1,'Assumptions (Geo)'!$V$9,'Assumptions (Geo)'!$V$4*Model!$H$1560*AVERAGE('Assumptions (Geo)'!$D$2:$F$2)/10^9),0)</f>
        <v>-1.2566053306010436E-3</v>
      </c>
      <c r="Q1622" s="105">
        <f>IF($H$1560&gt;0,PPMT('Assumptions (Geo)'!$V$6,Model!AF$1,'Assumptions (Geo)'!$V$9,'Assumptions (Geo)'!$V$4*Model!$H$1560*AVERAGE('Assumptions (Geo)'!$D$2:$F$2)/10^9),0)</f>
        <v>-1.3162940838045932E-3</v>
      </c>
      <c r="R1622" s="105">
        <f>IF($H$1560&gt;0,PPMT('Assumptions (Geo)'!$V$6,Model!AG$1,'Assumptions (Geo)'!$V$9,'Assumptions (Geo)'!$V$4*Model!$H$1560*AVERAGE('Assumptions (Geo)'!$D$2:$F$2)/10^9),0)</f>
        <v>-1.3788180527853115E-3</v>
      </c>
      <c r="S1622" s="105">
        <f>IF($H$1560&gt;0,PPMT('Assumptions (Geo)'!$V$6,Model!AH$1,'Assumptions (Geo)'!$V$9,'Assumptions (Geo)'!$V$4*Model!$H$1560*AVERAGE('Assumptions (Geo)'!$D$2:$F$2)/10^9),0)</f>
        <v>-1.4443119102926136E-3</v>
      </c>
      <c r="T1622" s="105">
        <f>IF($H$1560&gt;0,PPMT('Assumptions (Geo)'!$V$6,Model!AI$1,'Assumptions (Geo)'!$V$9,'Assumptions (Geo)'!$V$4*Model!$H$1560*AVERAGE('Assumptions (Geo)'!$D$2:$F$2)/10^9),0)</f>
        <v>-1.5129167260315127E-3</v>
      </c>
      <c r="U1622" s="105">
        <f>IF($H$1560&gt;0,PPMT('Assumptions (Geo)'!$V$6,Model!AJ$1,'Assumptions (Geo)'!$V$9,'Assumptions (Geo)'!$V$4*Model!$H$1560*AVERAGE('Assumptions (Geo)'!$D$2:$F$2)/10^9),0)</f>
        <v>-1.5847802705180097E-3</v>
      </c>
      <c r="V1622" s="105">
        <f>IF($H$1560&gt;0,PPMT('Assumptions (Geo)'!$V$6,Model!AK$1,'Assumptions (Geo)'!$V$9,'Assumptions (Geo)'!$V$4*Model!$H$1560*AVERAGE('Assumptions (Geo)'!$D$2:$F$2)/10^9),0)</f>
        <v>-1.6600573333676149E-3</v>
      </c>
      <c r="W1622" s="105"/>
      <c r="X1622" s="105"/>
      <c r="Y1622" s="105"/>
      <c r="Z1622" s="105"/>
      <c r="AA1622" s="105"/>
      <c r="AB1622" s="105"/>
      <c r="AC1622" s="105"/>
      <c r="AD1622" s="105"/>
      <c r="AE1622" s="105"/>
      <c r="AF1622" s="105"/>
      <c r="AG1622" s="105"/>
    </row>
    <row r="1623" spans="1:42" ht="15.75" hidden="1" customHeight="1" outlineLevel="1">
      <c r="A1623" s="428"/>
      <c r="B1623" s="99"/>
      <c r="C1623" s="105"/>
      <c r="D1623" s="105"/>
      <c r="E1623" s="105"/>
      <c r="F1623" s="105"/>
      <c r="G1623" s="105"/>
      <c r="H1623" s="105"/>
      <c r="I1623" s="105">
        <f>IF($I$1560&gt;0,PPMT('Assumptions (Geo)'!$V$6,Model!W$1,'Assumptions (Geo)'!$V$9,'Assumptions (Geo)'!$V$4*Model!$I$1560*AVERAGE('Assumptions (Geo)'!$E$2:$G$2)/10^9),0)</f>
        <v>-1.5304036124342132E-3</v>
      </c>
      <c r="J1623" s="105">
        <f>IF($I$1560&gt;0,PPMT('Assumptions (Geo)'!$V$6,Model!X$1,'Assumptions (Geo)'!$V$9,'Assumptions (Geo)'!$V$4*Model!$I$1560*AVERAGE('Assumptions (Geo)'!$E$2:$G$2)/10^9),0)</f>
        <v>-1.6030977840248385E-3</v>
      </c>
      <c r="K1623" s="105">
        <f>IF($I$1560&gt;0,PPMT('Assumptions (Geo)'!$V$6,Model!Y$1,'Assumptions (Geo)'!$V$9,'Assumptions (Geo)'!$V$4*Model!$I$1560*AVERAGE('Assumptions (Geo)'!$E$2:$G$2)/10^9),0)</f>
        <v>-1.6792449287660184E-3</v>
      </c>
      <c r="L1623" s="105">
        <f>IF($I$1560&gt;0,PPMT('Assumptions (Geo)'!$V$6,Model!Z$1,'Assumptions (Geo)'!$V$9,'Assumptions (Geo)'!$V$4*Model!$I$1560*AVERAGE('Assumptions (Geo)'!$E$2:$G$2)/10^9),0)</f>
        <v>-1.7590090628824041E-3</v>
      </c>
      <c r="M1623" s="105">
        <f>IF($I$1560&gt;0,PPMT('Assumptions (Geo)'!$V$6,Model!AA$1,'Assumptions (Geo)'!$V$9,'Assumptions (Geo)'!$V$4*Model!$I$1560*AVERAGE('Assumptions (Geo)'!$E$2:$G$2)/10^9),0)</f>
        <v>-1.8425619933693179E-3</v>
      </c>
      <c r="N1623" s="105">
        <f>IF($I$1560&gt;0,PPMT('Assumptions (Geo)'!$V$6,Model!AB$1,'Assumptions (Geo)'!$V$9,'Assumptions (Geo)'!$V$4*Model!$I$1560*AVERAGE('Assumptions (Geo)'!$E$2:$G$2)/10^9),0)</f>
        <v>-1.9300836880543609E-3</v>
      </c>
      <c r="O1623" s="105">
        <f>IF($I$1560&gt;0,PPMT('Assumptions (Geo)'!$V$6,Model!AC$1,'Assumptions (Geo)'!$V$9,'Assumptions (Geo)'!$V$4*Model!$I$1560*AVERAGE('Assumptions (Geo)'!$E$2:$G$2)/10^9),0)</f>
        <v>-2.0217626632369431E-3</v>
      </c>
      <c r="P1623" s="105">
        <f>IF($I$1560&gt;0,PPMT('Assumptions (Geo)'!$V$6,Model!AD$1,'Assumptions (Geo)'!$V$9,'Assumptions (Geo)'!$V$4*Model!$I$1560*AVERAGE('Assumptions (Geo)'!$E$2:$G$2)/10^9),0)</f>
        <v>-2.117796389740698E-3</v>
      </c>
      <c r="Q1623" s="105">
        <f>IF($I$1560&gt;0,PPMT('Assumptions (Geo)'!$V$6,Model!AE$1,'Assumptions (Geo)'!$V$9,'Assumptions (Geo)'!$V$4*Model!$I$1560*AVERAGE('Assumptions (Geo)'!$E$2:$G$2)/10^9),0)</f>
        <v>-2.2183917182533809E-3</v>
      </c>
      <c r="R1623" s="105">
        <f>IF($I$1560&gt;0,PPMT('Assumptions (Geo)'!$V$6,Model!AF$1,'Assumptions (Geo)'!$V$9,'Assumptions (Geo)'!$V$4*Model!$I$1560*AVERAGE('Assumptions (Geo)'!$E$2:$G$2)/10^9),0)</f>
        <v>-2.3237653248704164E-3</v>
      </c>
      <c r="S1623" s="105">
        <f>IF($I$1560&gt;0,PPMT('Assumptions (Geo)'!$V$6,Model!AG$1,'Assumptions (Geo)'!$V$9,'Assumptions (Geo)'!$V$4*Model!$I$1560*AVERAGE('Assumptions (Geo)'!$E$2:$G$2)/10^9),0)</f>
        <v>-2.4341441778017617E-3</v>
      </c>
      <c r="T1623" s="105">
        <f>IF($I$1560&gt;0,PPMT('Assumptions (Geo)'!$V$6,Model!AH$1,'Assumptions (Geo)'!$V$9,'Assumptions (Geo)'!$V$4*Model!$I$1560*AVERAGE('Assumptions (Geo)'!$E$2:$G$2)/10^9),0)</f>
        <v>-2.5497660262473452E-3</v>
      </c>
      <c r="U1623" s="105">
        <f>IF($I$1560&gt;0,PPMT('Assumptions (Geo)'!$V$6,Model!AI$1,'Assumptions (Geo)'!$V$9,'Assumptions (Geo)'!$V$4*Model!$I$1560*AVERAGE('Assumptions (Geo)'!$E$2:$G$2)/10^9),0)</f>
        <v>-2.6708799124940939E-3</v>
      </c>
      <c r="V1623" s="105">
        <f>IF($I$1560&gt;0,PPMT('Assumptions (Geo)'!$V$6,Model!AJ$1,'Assumptions (Geo)'!$V$9,'Assumptions (Geo)'!$V$4*Model!$I$1560*AVERAGE('Assumptions (Geo)'!$E$2:$G$2)/10^9),0)</f>
        <v>-2.7977467083375633E-3</v>
      </c>
      <c r="W1623" s="105">
        <f>IF($I$1560&gt;0,PPMT('Assumptions (Geo)'!$V$6,Model!AK$1,'Assumptions (Geo)'!$V$9,'Assumptions (Geo)'!$V$4*Model!$I$1560*AVERAGE('Assumptions (Geo)'!$E$2:$G$2)/10^9),0)</f>
        <v>-2.9306396769835977E-3</v>
      </c>
      <c r="X1623" s="105"/>
      <c r="Y1623" s="105"/>
      <c r="Z1623" s="105"/>
      <c r="AA1623" s="105"/>
      <c r="AB1623" s="105"/>
      <c r="AC1623" s="105"/>
      <c r="AD1623" s="105"/>
      <c r="AE1623" s="105"/>
      <c r="AF1623" s="105"/>
      <c r="AG1623" s="105"/>
    </row>
    <row r="1624" spans="1:42" ht="15.75" hidden="1" customHeight="1" outlineLevel="1">
      <c r="A1624" s="428"/>
      <c r="B1624" s="99"/>
      <c r="C1624" s="105"/>
      <c r="D1624" s="105"/>
      <c r="E1624" s="105"/>
      <c r="F1624" s="105"/>
      <c r="G1624" s="105"/>
      <c r="H1624" s="105"/>
      <c r="I1624" s="105"/>
      <c r="J1624" s="105">
        <f>IF($J$1560&gt;0,PPMT('Assumptions (Geo)'!$V$6,Model!W$1,'Assumptions (Geo)'!$V$9,'Assumptions (Geo)'!$V$4*Model!$J$1560*AVERAGE('Assumptions (Geo)'!$F$2:$H$2)/10^9),0)</f>
        <v>-1.9657184177488342E-3</v>
      </c>
      <c r="K1624" s="105">
        <f>IF($J$1560&gt;0,PPMT('Assumptions (Geo)'!$V$6,Model!X$1,'Assumptions (Geo)'!$V$9,'Assumptions (Geo)'!$V$4*Model!$J$1560*AVERAGE('Assumptions (Geo)'!$F$2:$H$2)/10^9),0)</f>
        <v>-2.0590900425919039E-3</v>
      </c>
      <c r="L1624" s="105">
        <f>IF($J$1560&gt;0,PPMT('Assumptions (Geo)'!$V$6,Model!Y$1,'Assumptions (Geo)'!$V$9,'Assumptions (Geo)'!$V$4*Model!$J$1560*AVERAGE('Assumptions (Geo)'!$F$2:$H$2)/10^9),0)</f>
        <v>-2.1568968196150192E-3</v>
      </c>
      <c r="M1624" s="105">
        <f>IF($J$1560&gt;0,PPMT('Assumptions (Geo)'!$V$6,Model!Z$1,'Assumptions (Geo)'!$V$9,'Assumptions (Geo)'!$V$4*Model!$J$1560*AVERAGE('Assumptions (Geo)'!$F$2:$H$2)/10^9),0)</f>
        <v>-2.2593494185467323E-3</v>
      </c>
      <c r="N1624" s="105">
        <f>IF($J$1560&gt;0,PPMT('Assumptions (Geo)'!$V$6,Model!AA$1,'Assumptions (Geo)'!$V$9,'Assumptions (Geo)'!$V$4*Model!$J$1560*AVERAGE('Assumptions (Geo)'!$F$2:$H$2)/10^9),0)</f>
        <v>-2.3666685159277022E-3</v>
      </c>
      <c r="O1624" s="105">
        <f>IF($J$1560&gt;0,PPMT('Assumptions (Geo)'!$V$6,Model!AB$1,'Assumptions (Geo)'!$V$9,'Assumptions (Geo)'!$V$4*Model!$J$1560*AVERAGE('Assumptions (Geo)'!$F$2:$H$2)/10^9),0)</f>
        <v>-2.4790852704342681E-3</v>
      </c>
      <c r="P1624" s="105">
        <f>IF($J$1560&gt;0,PPMT('Assumptions (Geo)'!$V$6,Model!AC$1,'Assumptions (Geo)'!$V$9,'Assumptions (Geo)'!$V$4*Model!$J$1560*AVERAGE('Assumptions (Geo)'!$F$2:$H$2)/10^9),0)</f>
        <v>-2.5968418207798962E-3</v>
      </c>
      <c r="Q1624" s="105">
        <f>IF($J$1560&gt;0,PPMT('Assumptions (Geo)'!$V$6,Model!AD$1,'Assumptions (Geo)'!$V$9,'Assumptions (Geo)'!$V$4*Model!$J$1560*AVERAGE('Assumptions (Geo)'!$F$2:$H$2)/10^9),0)</f>
        <v>-2.7201918072669411E-3</v>
      </c>
      <c r="R1624" s="105">
        <f>IF($J$1560&gt;0,PPMT('Assumptions (Geo)'!$V$6,Model!AE$1,'Assumptions (Geo)'!$V$9,'Assumptions (Geo)'!$V$4*Model!$J$1560*AVERAGE('Assumptions (Geo)'!$F$2:$H$2)/10^9),0)</f>
        <v>-2.8494009181121204E-3</v>
      </c>
      <c r="S1624" s="105">
        <f>IF($J$1560&gt;0,PPMT('Assumptions (Geo)'!$V$6,Model!AF$1,'Assumptions (Geo)'!$V$9,'Assumptions (Geo)'!$V$4*Model!$J$1560*AVERAGE('Assumptions (Geo)'!$F$2:$H$2)/10^9),0)</f>
        <v>-2.9847474617224466E-3</v>
      </c>
      <c r="T1624" s="105">
        <f>IF($J$1560&gt;0,PPMT('Assumptions (Geo)'!$V$6,Model!AG$1,'Assumptions (Geo)'!$V$9,'Assumptions (Geo)'!$V$4*Model!$J$1560*AVERAGE('Assumptions (Geo)'!$F$2:$H$2)/10^9),0)</f>
        <v>-3.126522966154263E-3</v>
      </c>
      <c r="U1624" s="105">
        <f>IF($J$1560&gt;0,PPMT('Assumptions (Geo)'!$V$6,Model!AH$1,'Assumptions (Geo)'!$V$9,'Assumptions (Geo)'!$V$4*Model!$J$1560*AVERAGE('Assumptions (Geo)'!$F$2:$H$2)/10^9),0)</f>
        <v>-3.2750328070465904E-3</v>
      </c>
      <c r="V1624" s="105">
        <f>IF($J$1560&gt;0,PPMT('Assumptions (Geo)'!$V$6,Model!AI$1,'Assumptions (Geo)'!$V$9,'Assumptions (Geo)'!$V$4*Model!$J$1560*AVERAGE('Assumptions (Geo)'!$F$2:$H$2)/10^9),0)</f>
        <v>-3.4305968653813037E-3</v>
      </c>
      <c r="W1624" s="105">
        <f>IF($J$1560&gt;0,PPMT('Assumptions (Geo)'!$V$6,Model!AJ$1,'Assumptions (Geo)'!$V$9,'Assumptions (Geo)'!$V$4*Model!$J$1560*AVERAGE('Assumptions (Geo)'!$F$2:$H$2)/10^9),0)</f>
        <v>-3.5935502164869152E-3</v>
      </c>
      <c r="X1624" s="105">
        <f>IF($J$1560&gt;0,PPMT('Assumptions (Geo)'!$V$6,Model!AK$1,'Assumptions (Geo)'!$V$9,'Assumptions (Geo)'!$V$4*Model!$J$1560*AVERAGE('Assumptions (Geo)'!$F$2:$H$2)/10^9),0)</f>
        <v>-3.7642438517700438E-3</v>
      </c>
      <c r="Y1624" s="105"/>
      <c r="Z1624" s="105"/>
      <c r="AA1624" s="105"/>
      <c r="AB1624" s="105"/>
      <c r="AC1624" s="105"/>
      <c r="AD1624" s="105"/>
      <c r="AE1624" s="105"/>
      <c r="AF1624" s="105"/>
      <c r="AG1624" s="105"/>
      <c r="AH1624" s="105"/>
    </row>
    <row r="1625" spans="1:42" ht="15.75" hidden="1" customHeight="1" outlineLevel="1">
      <c r="A1625" s="428"/>
      <c r="B1625" s="99"/>
      <c r="C1625" s="105"/>
      <c r="D1625" s="105"/>
      <c r="E1625" s="105"/>
      <c r="F1625" s="105"/>
      <c r="G1625" s="105"/>
      <c r="H1625" s="105"/>
      <c r="I1625" s="105"/>
      <c r="J1625" s="105"/>
      <c r="K1625" s="105">
        <f>IF($K$1560&gt;0,PPMT('Assumptions (Geo)'!$V$6,Model!W$1,'Assumptions (Geo)'!$V$9,'Assumptions (Geo)'!$V$4*Model!$K$1560*AVERAGE('Assumptions (Geo)'!$G$2:$I$2)/10^9),0)</f>
        <v>-2.2291246857271772E-3</v>
      </c>
      <c r="L1625" s="105">
        <f>IF($K$1560&gt;0,PPMT('Assumptions (Geo)'!$V$6,Model!X$1,'Assumptions (Geo)'!$V$9,'Assumptions (Geo)'!$V$4*Model!$K$1560*AVERAGE('Assumptions (Geo)'!$G$2:$I$2)/10^9),0)</f>
        <v>-2.3350081082992176E-3</v>
      </c>
      <c r="M1625" s="105">
        <f>IF($K$1560&gt;0,PPMT('Assumptions (Geo)'!$V$6,Model!Y$1,'Assumptions (Geo)'!$V$9,'Assumptions (Geo)'!$V$4*Model!$K$1560*AVERAGE('Assumptions (Geo)'!$G$2:$I$2)/10^9),0)</f>
        <v>-2.4459209934434311E-3</v>
      </c>
      <c r="N1625" s="105">
        <f>IF($K$1560&gt;0,PPMT('Assumptions (Geo)'!$V$6,Model!Z$1,'Assumptions (Geo)'!$V$9,'Assumptions (Geo)'!$V$4*Model!$K$1560*AVERAGE('Assumptions (Geo)'!$G$2:$I$2)/10^9),0)</f>
        <v>-2.5621022406319936E-3</v>
      </c>
      <c r="O1625" s="105">
        <f>IF($K$1560&gt;0,PPMT('Assumptions (Geo)'!$V$6,Model!AA$1,'Assumptions (Geo)'!$V$9,'Assumptions (Geo)'!$V$4*Model!$K$1560*AVERAGE('Assumptions (Geo)'!$G$2:$I$2)/10^9),0)</f>
        <v>-2.6838020970620128E-3</v>
      </c>
      <c r="P1625" s="105">
        <f>IF($K$1560&gt;0,PPMT('Assumptions (Geo)'!$V$6,Model!AB$1,'Assumptions (Geo)'!$V$9,'Assumptions (Geo)'!$V$4*Model!$K$1560*AVERAGE('Assumptions (Geo)'!$G$2:$I$2)/10^9),0)</f>
        <v>-2.8112826966724589E-3</v>
      </c>
      <c r="Q1625" s="105">
        <f>IF($K$1560&gt;0,PPMT('Assumptions (Geo)'!$V$6,Model!AC$1,'Assumptions (Geo)'!$V$9,'Assumptions (Geo)'!$V$4*Model!$K$1560*AVERAGE('Assumptions (Geo)'!$G$2:$I$2)/10^9),0)</f>
        <v>-2.9448186247644009E-3</v>
      </c>
      <c r="R1625" s="105">
        <f>IF($K$1560&gt;0,PPMT('Assumptions (Geo)'!$V$6,Model!AD$1,'Assumptions (Geo)'!$V$9,'Assumptions (Geo)'!$V$4*Model!$K$1560*AVERAGE('Assumptions (Geo)'!$G$2:$I$2)/10^9),0)</f>
        <v>-3.0846975094407101E-3</v>
      </c>
      <c r="S1625" s="105">
        <f>IF($K$1560&gt;0,PPMT('Assumptions (Geo)'!$V$6,Model!AE$1,'Assumptions (Geo)'!$V$9,'Assumptions (Geo)'!$V$4*Model!$K$1560*AVERAGE('Assumptions (Geo)'!$G$2:$I$2)/10^9),0)</f>
        <v>-3.231220641139143E-3</v>
      </c>
      <c r="T1625" s="105">
        <f>IF($K$1560&gt;0,PPMT('Assumptions (Geo)'!$V$6,Model!AF$1,'Assumptions (Geo)'!$V$9,'Assumptions (Geo)'!$V$4*Model!$K$1560*AVERAGE('Assumptions (Geo)'!$G$2:$I$2)/10^9),0)</f>
        <v>-3.3847036215932528E-3</v>
      </c>
      <c r="U1625" s="105">
        <f>IF($K$1560&gt;0,PPMT('Assumptions (Geo)'!$V$6,Model!AG$1,'Assumptions (Geo)'!$V$9,'Assumptions (Geo)'!$V$4*Model!$K$1560*AVERAGE('Assumptions (Geo)'!$G$2:$I$2)/10^9),0)</f>
        <v>-3.5454770436189327E-3</v>
      </c>
      <c r="V1625" s="105">
        <f>IF($K$1560&gt;0,PPMT('Assumptions (Geo)'!$V$6,Model!AH$1,'Assumptions (Geo)'!$V$9,'Assumptions (Geo)'!$V$4*Model!$K$1560*AVERAGE('Assumptions (Geo)'!$G$2:$I$2)/10^9),0)</f>
        <v>-3.7138872031908317E-3</v>
      </c>
      <c r="W1625" s="105">
        <f>IF($K$1560&gt;0,PPMT('Assumptions (Geo)'!$V$6,Model!AI$1,'Assumptions (Geo)'!$V$9,'Assumptions (Geo)'!$V$4*Model!$K$1560*AVERAGE('Assumptions (Geo)'!$G$2:$I$2)/10^9),0)</f>
        <v>-3.8902968453423965E-3</v>
      </c>
      <c r="X1625" s="105">
        <f>IF($K$1560&gt;0,PPMT('Assumptions (Geo)'!$V$6,Model!AJ$1,'Assumptions (Geo)'!$V$9,'Assumptions (Geo)'!$V$4*Model!$K$1560*AVERAGE('Assumptions (Geo)'!$G$2:$I$2)/10^9),0)</f>
        <v>-4.0750859454961597E-3</v>
      </c>
      <c r="Y1625" s="105">
        <f>IF($K$1560&gt;0,PPMT('Assumptions (Geo)'!$V$6,Model!AK$1,'Assumptions (Geo)'!$V$9,'Assumptions (Geo)'!$V$4*Model!$K$1560*AVERAGE('Assumptions (Geo)'!$G$2:$I$2)/10^9),0)</f>
        <v>-4.2686525279072279E-3</v>
      </c>
      <c r="Z1625" s="105"/>
      <c r="AA1625" s="105"/>
      <c r="AB1625" s="105"/>
      <c r="AC1625" s="105"/>
      <c r="AD1625" s="105"/>
      <c r="AE1625" s="105"/>
      <c r="AF1625" s="105"/>
      <c r="AG1625" s="105"/>
      <c r="AH1625" s="105"/>
      <c r="AI1625" s="105"/>
    </row>
    <row r="1626" spans="1:42" ht="15.75" hidden="1" customHeight="1" outlineLevel="1">
      <c r="A1626" s="428"/>
      <c r="B1626" s="99"/>
      <c r="C1626" s="105"/>
      <c r="D1626" s="105"/>
      <c r="E1626" s="105"/>
      <c r="F1626" s="105"/>
      <c r="G1626" s="105"/>
      <c r="H1626" s="105"/>
      <c r="I1626" s="105"/>
      <c r="J1626" s="105"/>
      <c r="K1626" s="105"/>
      <c r="L1626" s="105">
        <f>IF($L$1560&gt;0,PPMT('Assumptions (Geo)'!$V$6,Model!W$1,'Assumptions (Geo)'!$V$9,'Assumptions (Geo)'!$V$4*Model!$L$1560*AVERAGE('Assumptions (Geo)'!$H$2:$J$2)/10^9),0)</f>
        <v>-9.8407009141975015E-3</v>
      </c>
      <c r="M1626" s="105">
        <f>IF($L$1560&gt;0,PPMT('Assumptions (Geo)'!$V$6,Model!X$1,'Assumptions (Geo)'!$V$9,'Assumptions (Geo)'!$V$4*Model!$L$1560*AVERAGE('Assumptions (Geo)'!$H$2:$J$2)/10^9),0)</f>
        <v>-1.0308134207621883E-2</v>
      </c>
      <c r="N1626" s="105">
        <f>IF($L$1560&gt;0,PPMT('Assumptions (Geo)'!$V$6,Model!Y$1,'Assumptions (Geo)'!$V$9,'Assumptions (Geo)'!$V$4*Model!$L$1560*AVERAGE('Assumptions (Geo)'!$H$2:$J$2)/10^9),0)</f>
        <v>-1.0797770582483924E-2</v>
      </c>
      <c r="O1626" s="105">
        <f>IF($L$1560&gt;0,PPMT('Assumptions (Geo)'!$V$6,Model!Z$1,'Assumptions (Geo)'!$V$9,'Assumptions (Geo)'!$V$4*Model!$L$1560*AVERAGE('Assumptions (Geo)'!$H$2:$J$2)/10^9),0)</f>
        <v>-1.1310664685151907E-2</v>
      </c>
      <c r="P1626" s="105">
        <f>IF($L$1560&gt;0,PPMT('Assumptions (Geo)'!$V$6,Model!AA$1,'Assumptions (Geo)'!$V$9,'Assumptions (Geo)'!$V$4*Model!$L$1560*AVERAGE('Assumptions (Geo)'!$H$2:$J$2)/10^9),0)</f>
        <v>-1.1847921257696624E-2</v>
      </c>
      <c r="Q1626" s="105">
        <f>IF($L$1560&gt;0,PPMT('Assumptions (Geo)'!$V$6,Model!AB$1,'Assumptions (Geo)'!$V$9,'Assumptions (Geo)'!$V$4*Model!$L$1560*AVERAGE('Assumptions (Geo)'!$H$2:$J$2)/10^9),0)</f>
        <v>-1.2410697517437215E-2</v>
      </c>
      <c r="R1626" s="105">
        <f>IF($L$1560&gt;0,PPMT('Assumptions (Geo)'!$V$6,Model!AC$1,'Assumptions (Geo)'!$V$9,'Assumptions (Geo)'!$V$4*Model!$L$1560*AVERAGE('Assumptions (Geo)'!$H$2:$J$2)/10^9),0)</f>
        <v>-1.300020564951548E-2</v>
      </c>
      <c r="S1626" s="105">
        <f>IF($L$1560&gt;0,PPMT('Assumptions (Geo)'!$V$6,Model!AD$1,'Assumptions (Geo)'!$V$9,'Assumptions (Geo)'!$V$4*Model!$L$1560*AVERAGE('Assumptions (Geo)'!$H$2:$J$2)/10^9),0)</f>
        <v>-1.3617715417867465E-2</v>
      </c>
      <c r="T1626" s="105">
        <f>IF($L$1560&gt;0,PPMT('Assumptions (Geo)'!$V$6,Model!AE$1,'Assumptions (Geo)'!$V$9,'Assumptions (Geo)'!$V$4*Model!$L$1560*AVERAGE('Assumptions (Geo)'!$H$2:$J$2)/10^9),0)</f>
        <v>-1.4264556900216172E-2</v>
      </c>
      <c r="U1626" s="105">
        <f>IF($L$1560&gt;0,PPMT('Assumptions (Geo)'!$V$6,Model!AF$1,'Assumptions (Geo)'!$V$9,'Assumptions (Geo)'!$V$4*Model!$L$1560*AVERAGE('Assumptions (Geo)'!$H$2:$J$2)/10^9),0)</f>
        <v>-1.494212335297644E-2</v>
      </c>
      <c r="V1626" s="105">
        <f>IF($L$1560&gt;0,PPMT('Assumptions (Geo)'!$V$6,Model!AG$1,'Assumptions (Geo)'!$V$9,'Assumptions (Geo)'!$V$4*Model!$L$1560*AVERAGE('Assumptions (Geo)'!$H$2:$J$2)/10^9),0)</f>
        <v>-1.565187421224282E-2</v>
      </c>
      <c r="W1626" s="105">
        <f>IF($L$1560&gt;0,PPMT('Assumptions (Geo)'!$V$6,Model!AH$1,'Assumptions (Geo)'!$V$9,'Assumptions (Geo)'!$V$4*Model!$L$1560*AVERAGE('Assumptions (Geo)'!$H$2:$J$2)/10^9),0)</f>
        <v>-1.6395338237324353E-2</v>
      </c>
      <c r="X1626" s="105">
        <f>IF($L$1560&gt;0,PPMT('Assumptions (Geo)'!$V$6,Model!AI$1,'Assumptions (Geo)'!$V$9,'Assumptions (Geo)'!$V$4*Model!$L$1560*AVERAGE('Assumptions (Geo)'!$H$2:$J$2)/10^9),0)</f>
        <v>-1.7174116803597265E-2</v>
      </c>
      <c r="Y1626" s="105">
        <f>IF($L$1560&gt;0,PPMT('Assumptions (Geo)'!$V$6,Model!AJ$1,'Assumptions (Geo)'!$V$9,'Assumptions (Geo)'!$V$4*Model!$L$1560*AVERAGE('Assumptions (Geo)'!$H$2:$J$2)/10^9),0)</f>
        <v>-1.7989887351768135E-2</v>
      </c>
      <c r="Z1626" s="105">
        <f>IF($L$1560&gt;0,PPMT('Assumptions (Geo)'!$V$6,Model!AK$1,'Assumptions (Geo)'!$V$9,'Assumptions (Geo)'!$V$4*Model!$L$1560*AVERAGE('Assumptions (Geo)'!$H$2:$J$2)/10^9),0)</f>
        <v>-1.8844407000977118E-2</v>
      </c>
      <c r="AA1626" s="105"/>
      <c r="AB1626" s="105"/>
      <c r="AC1626" s="105"/>
      <c r="AD1626" s="105"/>
      <c r="AE1626" s="105"/>
      <c r="AF1626" s="105"/>
      <c r="AG1626" s="105"/>
      <c r="AH1626" s="105"/>
      <c r="AI1626" s="105"/>
      <c r="AJ1626" s="105"/>
    </row>
    <row r="1627" spans="1:42" ht="15.75" hidden="1" customHeight="1" outlineLevel="1">
      <c r="A1627" s="428"/>
      <c r="B1627" s="99"/>
      <c r="C1627" s="105"/>
      <c r="D1627" s="105"/>
      <c r="E1627" s="105"/>
      <c r="F1627" s="105"/>
      <c r="G1627" s="105"/>
      <c r="H1627" s="105"/>
      <c r="I1627" s="105"/>
      <c r="J1627" s="105"/>
      <c r="K1627" s="105"/>
      <c r="L1627" s="105"/>
      <c r="M1627" s="105">
        <f>IF($M$1560&gt;0,PPMT('Assumptions (Geo)'!$V$6,Model!W$1,'Assumptions (Geo)'!$V$9,'Assumptions (Geo)'!$V$4*Model!$M$1560*AVERAGE('Assumptions (Geo)'!$I$2:$K$2)/10^9),0)</f>
        <v>-7.6692504068470767E-4</v>
      </c>
      <c r="N1627" s="105">
        <f>IF($M$1560&gt;0,PPMT('Assumptions (Geo)'!$V$6,Model!X$1,'Assumptions (Geo)'!$V$9,'Assumptions (Geo)'!$V$4*Model!$M$1560*AVERAGE('Assumptions (Geo)'!$I$2:$K$2)/10^9),0)</f>
        <v>-8.0335398011723122E-4</v>
      </c>
      <c r="O1627" s="105">
        <f>IF($M$1560&gt;0,PPMT('Assumptions (Geo)'!$V$6,Model!Y$1,'Assumptions (Geo)'!$V$9,'Assumptions (Geo)'!$V$4*Model!$M$1560*AVERAGE('Assumptions (Geo)'!$I$2:$K$2)/10^9),0)</f>
        <v>-8.4151329417279984E-4</v>
      </c>
      <c r="P1627" s="105">
        <f>IF($M$1560&gt;0,PPMT('Assumptions (Geo)'!$V$6,Model!Z$1,'Assumptions (Geo)'!$V$9,'Assumptions (Geo)'!$V$4*Model!$M$1560*AVERAGE('Assumptions (Geo)'!$I$2:$K$2)/10^9),0)</f>
        <v>-8.8148517564600782E-4</v>
      </c>
      <c r="Q1627" s="105">
        <f>IF($M$1560&gt;0,PPMT('Assumptions (Geo)'!$V$6,Model!AA$1,'Assumptions (Geo)'!$V$9,'Assumptions (Geo)'!$V$4*Model!$M$1560*AVERAGE('Assumptions (Geo)'!$I$2:$K$2)/10^9),0)</f>
        <v>-9.2335572148919309E-4</v>
      </c>
      <c r="R1627" s="105">
        <f>IF($M$1560&gt;0,PPMT('Assumptions (Geo)'!$V$6,Model!AB$1,'Assumptions (Geo)'!$V$9,'Assumptions (Geo)'!$V$4*Model!$M$1560*AVERAGE('Assumptions (Geo)'!$I$2:$K$2)/10^9),0)</f>
        <v>-9.6721511825992985E-4</v>
      </c>
      <c r="S1627" s="105">
        <f>IF($M$1560&gt;0,PPMT('Assumptions (Geo)'!$V$6,Model!AC$1,'Assumptions (Geo)'!$V$9,'Assumptions (Geo)'!$V$4*Model!$M$1560*AVERAGE('Assumptions (Geo)'!$I$2:$K$2)/10^9),0)</f>
        <v>-1.0131578363772765E-3</v>
      </c>
      <c r="T1627" s="105">
        <f>IF($M$1560&gt;0,PPMT('Assumptions (Geo)'!$V$6,Model!AD$1,'Assumptions (Geo)'!$V$9,'Assumptions (Geo)'!$V$4*Model!$M$1560*AVERAGE('Assumptions (Geo)'!$I$2:$K$2)/10^9),0)</f>
        <v>-1.061282833605197E-3</v>
      </c>
      <c r="U1627" s="105">
        <f>IF($M$1560&gt;0,PPMT('Assumptions (Geo)'!$V$6,Model!AE$1,'Assumptions (Geo)'!$V$9,'Assumptions (Geo)'!$V$4*Model!$M$1560*AVERAGE('Assumptions (Geo)'!$I$2:$K$2)/10^9),0)</f>
        <v>-1.1116937682014438E-3</v>
      </c>
      <c r="V1627" s="105">
        <f>IF($M$1560&gt;0,PPMT('Assumptions (Geo)'!$V$6,Model!AF$1,'Assumptions (Geo)'!$V$9,'Assumptions (Geo)'!$V$4*Model!$M$1560*AVERAGE('Assumptions (Geo)'!$I$2:$K$2)/10^9),0)</f>
        <v>-1.1644992221910126E-3</v>
      </c>
      <c r="W1627" s="105">
        <f>IF($M$1560&gt;0,PPMT('Assumptions (Geo)'!$V$6,Model!AG$1,'Assumptions (Geo)'!$V$9,'Assumptions (Geo)'!$V$4*Model!$M$1560*AVERAGE('Assumptions (Geo)'!$I$2:$K$2)/10^9),0)</f>
        <v>-1.2198129352450858E-3</v>
      </c>
      <c r="X1627" s="105">
        <f>IF($M$1560&gt;0,PPMT('Assumptions (Geo)'!$V$6,Model!AH$1,'Assumptions (Geo)'!$V$9,'Assumptions (Geo)'!$V$4*Model!$M$1560*AVERAGE('Assumptions (Geo)'!$I$2:$K$2)/10^9),0)</f>
        <v>-1.2777540496692272E-3</v>
      </c>
      <c r="Y1627" s="105">
        <f>IF($M$1560&gt;0,PPMT('Assumptions (Geo)'!$V$6,Model!AI$1,'Assumptions (Geo)'!$V$9,'Assumptions (Geo)'!$V$4*Model!$M$1560*AVERAGE('Assumptions (Geo)'!$I$2:$K$2)/10^9),0)</f>
        <v>-1.3384473670285156E-3</v>
      </c>
      <c r="Z1627" s="105">
        <f>IF($M$1560&gt;0,PPMT('Assumptions (Geo)'!$V$6,Model!AJ$1,'Assumptions (Geo)'!$V$9,'Assumptions (Geo)'!$V$4*Model!$M$1560*AVERAGE('Assumptions (Geo)'!$I$2:$K$2)/10^9),0)</f>
        <v>-1.4020236169623702E-3</v>
      </c>
      <c r="AA1627" s="105">
        <f>IF($M$1560&gt;0,PPMT('Assumptions (Geo)'!$V$6,Model!AK$1,'Assumptions (Geo)'!$V$9,'Assumptions (Geo)'!$V$4*Model!$M$1560*AVERAGE('Assumptions (Geo)'!$I$2:$K$2)/10^9),0)</f>
        <v>-1.4686197387680825E-3</v>
      </c>
      <c r="AB1627" s="105"/>
      <c r="AC1627" s="105"/>
      <c r="AD1627" s="105"/>
      <c r="AE1627" s="105"/>
      <c r="AF1627" s="105"/>
      <c r="AG1627" s="105"/>
      <c r="AH1627" s="105"/>
      <c r="AI1627" s="105"/>
      <c r="AJ1627" s="105"/>
      <c r="AK1627" s="105"/>
    </row>
    <row r="1628" spans="1:42" ht="15.75" hidden="1" customHeight="1" outlineLevel="1">
      <c r="A1628" s="428"/>
      <c r="B1628" s="99"/>
      <c r="C1628" s="105"/>
      <c r="D1628" s="105"/>
      <c r="E1628" s="105"/>
      <c r="F1628" s="105"/>
      <c r="G1628" s="105"/>
      <c r="H1628" s="105"/>
      <c r="I1628" s="105"/>
      <c r="J1628" s="105"/>
      <c r="K1628" s="105"/>
      <c r="L1628" s="105"/>
      <c r="M1628" s="105"/>
      <c r="N1628" s="91">
        <f>IF($N$1560&gt;0,PPMT('Assumptions (Geo)'!$V$6,Model!W$1,'Assumptions (Geo)'!$V$9,'Assumptions (Geo)'!$V$4*Model!$N$1560*AVERAGE('Assumptions (Geo)'!$J$2:$L$2)/10^9),0)</f>
        <v>-1.8148514162762919E-4</v>
      </c>
      <c r="O1628" s="91">
        <f>IF($N$1560&gt;0,PPMT('Assumptions (Geo)'!$V$6,Model!X$1,'Assumptions (Geo)'!$V$9,'Assumptions (Geo)'!$V$4*Model!$N$1560*AVERAGE('Assumptions (Geo)'!$J$2:$L$2)/10^9),0)</f>
        <v>-1.9010568585494159E-4</v>
      </c>
      <c r="P1628" s="91">
        <f>IF($N$1560&gt;0,PPMT('Assumptions (Geo)'!$V$6,Model!Y$1,'Assumptions (Geo)'!$V$9,'Assumptions (Geo)'!$V$4*Model!$N$1560*AVERAGE('Assumptions (Geo)'!$J$2:$L$2)/10^9),0)</f>
        <v>-1.9913570593305132E-4</v>
      </c>
      <c r="Q1628" s="91">
        <f>IF($N$1560&gt;0,PPMT('Assumptions (Geo)'!$V$6,Model!Z$1,'Assumptions (Geo)'!$V$9,'Assumptions (Geo)'!$V$4*Model!$N$1560*AVERAGE('Assumptions (Geo)'!$J$2:$L$2)/10^9),0)</f>
        <v>-2.0859465196487124E-4</v>
      </c>
      <c r="R1628" s="91">
        <f>IF($N$1560&gt;0,PPMT('Assumptions (Geo)'!$V$6,Model!AA$1,'Assumptions (Geo)'!$V$9,'Assumptions (Geo)'!$V$4*Model!$N$1560*AVERAGE('Assumptions (Geo)'!$J$2:$L$2)/10^9),0)</f>
        <v>-2.1850289793320259E-4</v>
      </c>
      <c r="S1628" s="91">
        <f>IF($N$1560&gt;0,PPMT('Assumptions (Geo)'!$V$6,Model!AB$1,'Assumptions (Geo)'!$V$9,'Assumptions (Geo)'!$V$4*Model!$N$1560*AVERAGE('Assumptions (Geo)'!$J$2:$L$2)/10^9),0)</f>
        <v>-2.2888178558502973E-4</v>
      </c>
      <c r="T1628" s="91">
        <f>IF($N$1560&gt;0,PPMT('Assumptions (Geo)'!$V$6,Model!AC$1,'Assumptions (Geo)'!$V$9,'Assumptions (Geo)'!$V$4*Model!$N$1560*AVERAGE('Assumptions (Geo)'!$J$2:$L$2)/10^9),0)</f>
        <v>-2.3975367040031864E-4</v>
      </c>
      <c r="U1628" s="91">
        <f>IF($N$1560&gt;0,PPMT('Assumptions (Geo)'!$V$6,Model!AD$1,'Assumptions (Geo)'!$V$9,'Assumptions (Geo)'!$V$4*Model!$N$1560*AVERAGE('Assumptions (Geo)'!$J$2:$L$2)/10^9),0)</f>
        <v>-2.511419697443338E-4</v>
      </c>
      <c r="V1628" s="91">
        <f>IF($N$1560&gt;0,PPMT('Assumptions (Geo)'!$V$6,Model!AE$1,'Assumptions (Geo)'!$V$9,'Assumptions (Geo)'!$V$4*Model!$N$1560*AVERAGE('Assumptions (Geo)'!$J$2:$L$2)/10^9),0)</f>
        <v>-2.6307121330718965E-4</v>
      </c>
      <c r="W1628" s="91">
        <f>IF($N$1560&gt;0,PPMT('Assumptions (Geo)'!$V$6,Model!AF$1,'Assumptions (Geo)'!$V$9,'Assumptions (Geo)'!$V$4*Model!$N$1560*AVERAGE('Assumptions (Geo)'!$J$2:$L$2)/10^9),0)</f>
        <v>-2.7556709593928115E-4</v>
      </c>
      <c r="X1628" s="91">
        <f>IF($N$1560&gt;0,PPMT('Assumptions (Geo)'!$V$6,Model!AG$1,'Assumptions (Geo)'!$V$9,'Assumptions (Geo)'!$V$4*Model!$N$1560*AVERAGE('Assumptions (Geo)'!$J$2:$L$2)/10^9),0)</f>
        <v>-2.8865653299639705E-4</v>
      </c>
      <c r="Y1628" s="91">
        <f>IF($N$1560&gt;0,PPMT('Assumptions (Geo)'!$V$6,Model!AH$1,'Assumptions (Geo)'!$V$9,'Assumptions (Geo)'!$V$4*Model!$N$1560*AVERAGE('Assumptions (Geo)'!$J$2:$L$2)/10^9),0)</f>
        <v>-3.0236771831372588E-4</v>
      </c>
      <c r="Z1628" s="91">
        <f>IF($N$1560&gt;0,PPMT('Assumptions (Geo)'!$V$6,Model!AI$1,'Assumptions (Geo)'!$V$9,'Assumptions (Geo)'!$V$4*Model!$N$1560*AVERAGE('Assumptions (Geo)'!$J$2:$L$2)/10^9),0)</f>
        <v>-3.1673018493362791E-4</v>
      </c>
      <c r="AA1628" s="91">
        <f>IF($N$1560&gt;0,PPMT('Assumptions (Geo)'!$V$6,Model!AJ$1,'Assumptions (Geo)'!$V$9,'Assumptions (Geo)'!$V$4*Model!$N$1560*AVERAGE('Assumptions (Geo)'!$J$2:$L$2)/10^9),0)</f>
        <v>-3.3177486871797523E-4</v>
      </c>
      <c r="AB1628" s="91">
        <f>IF($N$1560&gt;0,PPMT('Assumptions (Geo)'!$V$6,Model!AK$1,'Assumptions (Geo)'!$V$9,'Assumptions (Geo)'!$V$4*Model!$N$1560*AVERAGE('Assumptions (Geo)'!$J$2:$L$2)/10^9),0)</f>
        <v>-3.4753417498207899E-4</v>
      </c>
      <c r="AC1628" s="91"/>
      <c r="AD1628" s="91"/>
      <c r="AE1628" s="91"/>
      <c r="AF1628" s="91"/>
      <c r="AG1628" s="91"/>
      <c r="AH1628" s="91"/>
      <c r="AI1628" s="91"/>
      <c r="AJ1628" s="91"/>
      <c r="AK1628" s="91"/>
      <c r="AL1628" s="91"/>
    </row>
    <row r="1629" spans="1:42" ht="15.75" hidden="1" customHeight="1" outlineLevel="1">
      <c r="A1629" s="428"/>
      <c r="B1629" s="99"/>
      <c r="C1629" s="105"/>
      <c r="D1629" s="105"/>
      <c r="E1629" s="105"/>
      <c r="F1629" s="105"/>
      <c r="G1629" s="105"/>
      <c r="H1629" s="105"/>
      <c r="I1629" s="105"/>
      <c r="J1629" s="105"/>
      <c r="K1629" s="105"/>
      <c r="L1629" s="105"/>
      <c r="M1629" s="105"/>
      <c r="N1629" s="105"/>
      <c r="O1629" s="105">
        <f>IF($O$1560&gt;0,PPMT('Assumptions (Geo)'!$V$6,Model!W$1,'Assumptions (Geo)'!$V$9,'Assumptions (Geo)'!$V$4*Model!$O$1560*AVERAGE('Assumptions (Geo)'!$K$2:$M$2)/10^9),0)</f>
        <v>-7.8450394428125313E-3</v>
      </c>
      <c r="P1629" s="105">
        <f>IF($O$1560&gt;0,PPMT('Assumptions (Geo)'!$V$6,Model!X$1,'Assumptions (Geo)'!$V$9,'Assumptions (Geo)'!$V$4*Model!$O$1560*AVERAGE('Assumptions (Geo)'!$K$2:$M$2)/10^9),0)</f>
        <v>-8.2176788163461269E-3</v>
      </c>
      <c r="Q1629" s="105">
        <f>IF($O$1560&gt;0,PPMT('Assumptions (Geo)'!$V$6,Model!Y$1,'Assumptions (Geo)'!$V$9,'Assumptions (Geo)'!$V$4*Model!$O$1560*AVERAGE('Assumptions (Geo)'!$K$2:$M$2)/10^9),0)</f>
        <v>-8.6080185601225684E-3</v>
      </c>
      <c r="R1629" s="105">
        <f>IF($O$1560&gt;0,PPMT('Assumptions (Geo)'!$V$6,Model!Z$1,'Assumptions (Geo)'!$V$9,'Assumptions (Geo)'!$V$4*Model!$O$1560*AVERAGE('Assumptions (Geo)'!$K$2:$M$2)/10^9),0)</f>
        <v>-9.0168994417283901E-3</v>
      </c>
      <c r="S1629" s="105">
        <f>IF($O$1560&gt;0,PPMT('Assumptions (Geo)'!$V$6,Model!AA$1,'Assumptions (Geo)'!$V$9,'Assumptions (Geo)'!$V$4*Model!$O$1560*AVERAGE('Assumptions (Geo)'!$K$2:$M$2)/10^9),0)</f>
        <v>-9.4452021652104874E-3</v>
      </c>
      <c r="T1629" s="105">
        <f>IF($O$1560&gt;0,PPMT('Assumptions (Geo)'!$V$6,Model!AB$1,'Assumptions (Geo)'!$V$9,'Assumptions (Geo)'!$V$4*Model!$O$1560*AVERAGE('Assumptions (Geo)'!$K$2:$M$2)/10^9),0)</f>
        <v>-9.8938492680579852E-3</v>
      </c>
      <c r="U1629" s="105">
        <f>IF($O$1560&gt;0,PPMT('Assumptions (Geo)'!$V$6,Model!AC$1,'Assumptions (Geo)'!$V$9,'Assumptions (Geo)'!$V$4*Model!$O$1560*AVERAGE('Assumptions (Geo)'!$K$2:$M$2)/10^9),0)</f>
        <v>-1.036380710829074E-2</v>
      </c>
      <c r="V1629" s="105">
        <f>IF($O$1560&gt;0,PPMT('Assumptions (Geo)'!$V$6,Model!AD$1,'Assumptions (Geo)'!$V$9,'Assumptions (Geo)'!$V$4*Model!$O$1560*AVERAGE('Assumptions (Geo)'!$K$2:$M$2)/10^9),0)</f>
        <v>-1.0856087945934552E-2</v>
      </c>
      <c r="W1629" s="105">
        <f>IF($O$1560&gt;0,PPMT('Assumptions (Geo)'!$V$6,Model!AE$1,'Assumptions (Geo)'!$V$9,'Assumptions (Geo)'!$V$4*Model!$O$1560*AVERAGE('Assumptions (Geo)'!$K$2:$M$2)/10^9),0)</f>
        <v>-1.1371752123366441E-2</v>
      </c>
      <c r="X1629" s="105">
        <f>IF($O$1560&gt;0,PPMT('Assumptions (Geo)'!$V$6,Model!AF$1,'Assumptions (Geo)'!$V$9,'Assumptions (Geo)'!$V$4*Model!$O$1560*AVERAGE('Assumptions (Geo)'!$K$2:$M$2)/10^9),0)</f>
        <v>-1.1911910349226347E-2</v>
      </c>
      <c r="Y1629" s="105">
        <f>IF($O$1560&gt;0,PPMT('Assumptions (Geo)'!$V$6,Model!AG$1,'Assumptions (Geo)'!$V$9,'Assumptions (Geo)'!$V$4*Model!$O$1560*AVERAGE('Assumptions (Geo)'!$K$2:$M$2)/10^9),0)</f>
        <v>-1.2477726090814602E-2</v>
      </c>
      <c r="Z1629" s="105">
        <f>IF($O$1560&gt;0,PPMT('Assumptions (Geo)'!$V$6,Model!AH$1,'Assumptions (Geo)'!$V$9,'Assumptions (Geo)'!$V$4*Model!$O$1560*AVERAGE('Assumptions (Geo)'!$K$2:$M$2)/10^9),0)</f>
        <v>-1.3070418080128295E-2</v>
      </c>
      <c r="AA1629" s="105">
        <f>IF($O$1560&gt;0,PPMT('Assumptions (Geo)'!$V$6,Model!AI$1,'Assumptions (Geo)'!$V$9,'Assumptions (Geo)'!$V$4*Model!$O$1560*AVERAGE('Assumptions (Geo)'!$K$2:$M$2)/10^9),0)</f>
        <v>-1.3691262938934388E-2</v>
      </c>
      <c r="AB1629" s="105">
        <f>IF($O$1560&gt;0,PPMT('Assumptions (Geo)'!$V$6,Model!AJ$1,'Assumptions (Geo)'!$V$9,'Assumptions (Geo)'!$V$4*Model!$O$1560*AVERAGE('Assumptions (Geo)'!$K$2:$M$2)/10^9),0)</f>
        <v>-1.4341597928533772E-2</v>
      </c>
      <c r="AC1629" s="105">
        <f>IF($O$1560&gt;0,PPMT('Assumptions (Geo)'!$V$6,Model!AK$1,'Assumptions (Geo)'!$V$9,'Assumptions (Geo)'!$V$4*Model!$O$1560*AVERAGE('Assumptions (Geo)'!$K$2:$M$2)/10^9),0)</f>
        <v>-1.5022823830139125E-2</v>
      </c>
      <c r="AD1629" s="105"/>
      <c r="AE1629" s="105"/>
      <c r="AF1629" s="105"/>
      <c r="AG1629" s="105"/>
      <c r="AH1629" s="105"/>
      <c r="AI1629" s="105"/>
      <c r="AJ1629" s="105"/>
      <c r="AK1629" s="105"/>
      <c r="AL1629" s="105"/>
      <c r="AM1629" s="105"/>
    </row>
    <row r="1630" spans="1:42" ht="15.75" hidden="1" customHeight="1" outlineLevel="1">
      <c r="A1630" s="428"/>
      <c r="B1630" s="99"/>
      <c r="C1630" s="105"/>
      <c r="D1630" s="105"/>
      <c r="E1630" s="105"/>
      <c r="F1630" s="105"/>
      <c r="G1630" s="105"/>
      <c r="H1630" s="105"/>
      <c r="I1630" s="105"/>
      <c r="J1630" s="105"/>
      <c r="K1630" s="105"/>
      <c r="L1630" s="105"/>
      <c r="M1630" s="105"/>
      <c r="N1630" s="105"/>
      <c r="O1630" s="105"/>
      <c r="P1630" s="91">
        <f>IF($P$1560&gt;0,PPMT('Assumptions (Geo)'!$V$6,Model!W$1,'Assumptions (Geo)'!$V$9,'Assumptions (Geo)'!$V$4*Model!$P$1560*AVERAGE('Assumptions (Geo)'!$L$2:$N$2)/10^9),0)</f>
        <v>-4.5967207514712441E-3</v>
      </c>
      <c r="Q1630" s="91">
        <f>IF($P$1560&gt;0,PPMT('Assumptions (Geo)'!$V$6,Model!X$1,'Assumptions (Geo)'!$V$9,'Assumptions (Geo)'!$V$4*Model!$P$1560*AVERAGE('Assumptions (Geo)'!$L$2:$N$2)/10^9),0)</f>
        <v>-4.8150649871661283E-3</v>
      </c>
      <c r="R1630" s="91">
        <f>IF($P$1560&gt;0,PPMT('Assumptions (Geo)'!$V$6,Model!Y$1,'Assumptions (Geo)'!$V$9,'Assumptions (Geo)'!$V$4*Model!$P$1560*AVERAGE('Assumptions (Geo)'!$L$2:$N$2)/10^9),0)</f>
        <v>-5.0437805740565196E-3</v>
      </c>
      <c r="S1630" s="91">
        <f>IF($P$1560&gt;0,PPMT('Assumptions (Geo)'!$V$6,Model!Z$1,'Assumptions (Geo)'!$V$9,'Assumptions (Geo)'!$V$4*Model!$P$1560*AVERAGE('Assumptions (Geo)'!$L$2:$N$2)/10^9),0)</f>
        <v>-5.283360151324204E-3</v>
      </c>
      <c r="T1630" s="91">
        <f>IF($P$1560&gt;0,PPMT('Assumptions (Geo)'!$V$6,Model!AA$1,'Assumptions (Geo)'!$V$9,'Assumptions (Geo)'!$V$4*Model!$P$1560*AVERAGE('Assumptions (Geo)'!$L$2:$N$2)/10^9),0)</f>
        <v>-5.534319758512104E-3</v>
      </c>
      <c r="U1630" s="91">
        <f>IF($P$1560&gt;0,PPMT('Assumptions (Geo)'!$V$6,Model!AB$1,'Assumptions (Geo)'!$V$9,'Assumptions (Geo)'!$V$4*Model!$P$1560*AVERAGE('Assumptions (Geo)'!$L$2:$N$2)/10^9),0)</f>
        <v>-5.7971999470414291E-3</v>
      </c>
      <c r="V1630" s="91">
        <f>IF($P$1560&gt;0,PPMT('Assumptions (Geo)'!$V$6,Model!AC$1,'Assumptions (Geo)'!$V$9,'Assumptions (Geo)'!$V$4*Model!$P$1560*AVERAGE('Assumptions (Geo)'!$L$2:$N$2)/10^9),0)</f>
        <v>-6.0725669445258965E-3</v>
      </c>
      <c r="W1630" s="91">
        <f>IF($P$1560&gt;0,PPMT('Assumptions (Geo)'!$V$6,Model!AD$1,'Assumptions (Geo)'!$V$9,'Assumptions (Geo)'!$V$4*Model!$P$1560*AVERAGE('Assumptions (Geo)'!$L$2:$N$2)/10^9),0)</f>
        <v>-6.361013874390877E-3</v>
      </c>
      <c r="X1630" s="91">
        <f>IF($P$1560&gt;0,PPMT('Assumptions (Geo)'!$V$6,Model!AE$1,'Assumptions (Geo)'!$V$9,'Assumptions (Geo)'!$V$4*Model!$P$1560*AVERAGE('Assumptions (Geo)'!$L$2:$N$2)/10^9),0)</f>
        <v>-6.6631620334244432E-3</v>
      </c>
      <c r="Y1630" s="91">
        <f>IF($P$1560&gt;0,PPMT('Assumptions (Geo)'!$V$6,Model!AF$1,'Assumptions (Geo)'!$V$9,'Assumptions (Geo)'!$V$4*Model!$P$1560*AVERAGE('Assumptions (Geo)'!$L$2:$N$2)/10^9),0)</f>
        <v>-6.979662230012105E-3</v>
      </c>
      <c r="Z1630" s="91">
        <f>IF($P$1560&gt;0,PPMT('Assumptions (Geo)'!$V$6,Model!AG$1,'Assumptions (Geo)'!$V$9,'Assumptions (Geo)'!$V$4*Model!$P$1560*AVERAGE('Assumptions (Geo)'!$L$2:$N$2)/10^9),0)</f>
        <v>-7.31119618593768E-3</v>
      </c>
      <c r="AA1630" s="91">
        <f>IF($P$1560&gt;0,PPMT('Assumptions (Geo)'!$V$6,Model!AH$1,'Assumptions (Geo)'!$V$9,'Assumptions (Geo)'!$V$4*Model!$P$1560*AVERAGE('Assumptions (Geo)'!$L$2:$N$2)/10^9),0)</f>
        <v>-7.65847800476972E-3</v>
      </c>
      <c r="AB1630" s="91">
        <f>IF($P$1560&gt;0,PPMT('Assumptions (Geo)'!$V$6,Model!AI$1,'Assumptions (Geo)'!$V$9,'Assumptions (Geo)'!$V$4*Model!$P$1560*AVERAGE('Assumptions (Geo)'!$L$2:$N$2)/10^9),0)</f>
        <v>-8.022255709996283E-3</v>
      </c>
      <c r="AC1630" s="91">
        <f>IF($P$1560&gt;0,PPMT('Assumptions (Geo)'!$V$6,Model!AJ$1,'Assumptions (Geo)'!$V$9,'Assumptions (Geo)'!$V$4*Model!$P$1560*AVERAGE('Assumptions (Geo)'!$L$2:$N$2)/10^9),0)</f>
        <v>-8.403312856221104E-3</v>
      </c>
      <c r="AD1630" s="91">
        <f>IF($P$1560&gt;0,PPMT('Assumptions (Geo)'!$V$6,Model!AK$1,'Assumptions (Geo)'!$V$9,'Assumptions (Geo)'!$V$4*Model!$P$1560*AVERAGE('Assumptions (Geo)'!$L$2:$N$2)/10^9),0)</f>
        <v>-8.8024702168916068E-3</v>
      </c>
      <c r="AE1630" s="91"/>
      <c r="AF1630" s="91"/>
      <c r="AG1630" s="91"/>
      <c r="AH1630" s="91"/>
      <c r="AI1630" s="91"/>
      <c r="AJ1630" s="91"/>
      <c r="AK1630" s="91"/>
      <c r="AL1630" s="91"/>
      <c r="AM1630" s="91"/>
      <c r="AN1630" s="91"/>
    </row>
    <row r="1631" spans="1:42" ht="15.75" hidden="1" customHeight="1" outlineLevel="1">
      <c r="A1631" s="428"/>
      <c r="B1631" s="99"/>
      <c r="C1631" s="105"/>
      <c r="D1631" s="105"/>
      <c r="E1631" s="105"/>
      <c r="F1631" s="105"/>
      <c r="G1631" s="105"/>
      <c r="H1631" s="105"/>
      <c r="I1631" s="105"/>
      <c r="J1631" s="105"/>
      <c r="K1631" s="105"/>
      <c r="L1631" s="105"/>
      <c r="M1631" s="105"/>
      <c r="N1631" s="105"/>
      <c r="O1631" s="105"/>
      <c r="P1631" s="171"/>
      <c r="Q1631" s="105">
        <f>IF($Q$1560&gt;0,PPMT('Assumptions (Geo)'!$V$6,Model!W$1,'Assumptions (Geo)'!$V$9,'Assumptions (Geo)'!$V$4*Model!$Q$1560*AVERAGE('Assumptions (Geo)'!$M$2:$O$2)/10^9),0)</f>
        <v>-7.6373278207872094E-4</v>
      </c>
      <c r="R1631" s="105">
        <f>IF($Q$1560&gt;0,PPMT('Assumptions (Geo)'!$V$6,Model!X$1,'Assumptions (Geo)'!$V$9,'Assumptions (Geo)'!$V$4*Model!$Q$1560*AVERAGE('Assumptions (Geo)'!$M$2:$O$2)/10^9),0)</f>
        <v>-8.0001008922746025E-4</v>
      </c>
      <c r="S1631" s="105">
        <f>IF($Q$1560&gt;0,PPMT('Assumptions (Geo)'!$V$6,Model!Y$1,'Assumptions (Geo)'!$V$9,'Assumptions (Geo)'!$V$4*Model!$Q$1560*AVERAGE('Assumptions (Geo)'!$M$2:$O$2)/10^9),0)</f>
        <v>-8.3801056846576462E-4</v>
      </c>
      <c r="T1631" s="105">
        <f>IF($Q$1560&gt;0,PPMT('Assumptions (Geo)'!$V$6,Model!Z$1,'Assumptions (Geo)'!$V$9,'Assumptions (Geo)'!$V$4*Model!$Q$1560*AVERAGE('Assumptions (Geo)'!$M$2:$O$2)/10^9),0)</f>
        <v>-8.7781607046788848E-4</v>
      </c>
      <c r="U1631" s="105">
        <f>IF($Q$1560&gt;0,PPMT('Assumptions (Geo)'!$V$6,Model!AA$1,'Assumptions (Geo)'!$V$9,'Assumptions (Geo)'!$V$4*Model!$Q$1560*AVERAGE('Assumptions (Geo)'!$M$2:$O$2)/10^9),0)</f>
        <v>-9.1951233381511296E-4</v>
      </c>
      <c r="V1631" s="105">
        <f>IF($Q$1560&gt;0,PPMT('Assumptions (Geo)'!$V$6,Model!AB$1,'Assumptions (Geo)'!$V$9,'Assumptions (Geo)'!$V$4*Model!$Q$1560*AVERAGE('Assumptions (Geo)'!$M$2:$O$2)/10^9),0)</f>
        <v>-9.6318916967133095E-4</v>
      </c>
      <c r="W1631" s="105">
        <f>IF($Q$1560&gt;0,PPMT('Assumptions (Geo)'!$V$6,Model!AC$1,'Assumptions (Geo)'!$V$9,'Assumptions (Geo)'!$V$4*Model!$Q$1560*AVERAGE('Assumptions (Geo)'!$M$2:$O$2)/10^9),0)</f>
        <v>-1.0089406552307193E-3</v>
      </c>
      <c r="X1631" s="105">
        <f>IF($Q$1560&gt;0,PPMT('Assumptions (Geo)'!$V$6,Model!AD$1,'Assumptions (Geo)'!$V$9,'Assumptions (Geo)'!$V$4*Model!$Q$1560*AVERAGE('Assumptions (Geo)'!$M$2:$O$2)/10^9),0)</f>
        <v>-1.0568653363541784E-3</v>
      </c>
      <c r="Y1631" s="105">
        <f>IF($Q$1560&gt;0,PPMT('Assumptions (Geo)'!$V$6,Model!AE$1,'Assumptions (Geo)'!$V$9,'Assumptions (Geo)'!$V$4*Model!$Q$1560*AVERAGE('Assumptions (Geo)'!$M$2:$O$2)/10^9),0)</f>
        <v>-1.1070664398310018E-3</v>
      </c>
      <c r="Z1631" s="105">
        <f>IF($Q$1560&gt;0,PPMT('Assumptions (Geo)'!$V$6,Model!AF$1,'Assumptions (Geo)'!$V$9,'Assumptions (Geo)'!$V$4*Model!$Q$1560*AVERAGE('Assumptions (Geo)'!$M$2:$O$2)/10^9),0)</f>
        <v>-1.1596520957229744E-3</v>
      </c>
      <c r="AA1631" s="105">
        <f>IF($Q$1560&gt;0,PPMT('Assumptions (Geo)'!$V$6,Model!AG$1,'Assumptions (Geo)'!$V$9,'Assumptions (Geo)'!$V$4*Model!$Q$1560*AVERAGE('Assumptions (Geo)'!$M$2:$O$2)/10^9),0)</f>
        <v>-1.2147355702698157E-3</v>
      </c>
      <c r="AB1631" s="105">
        <f>IF($Q$1560&gt;0,PPMT('Assumptions (Geo)'!$V$6,Model!AH$1,'Assumptions (Geo)'!$V$9,'Assumptions (Geo)'!$V$4*Model!$Q$1560*AVERAGE('Assumptions (Geo)'!$M$2:$O$2)/10^9),0)</f>
        <v>-1.2724355098576322E-3</v>
      </c>
      <c r="AC1631" s="105">
        <f>IF($Q$1560&gt;0,PPMT('Assumptions (Geo)'!$V$6,Model!AI$1,'Assumptions (Geo)'!$V$9,'Assumptions (Geo)'!$V$4*Model!$Q$1560*AVERAGE('Assumptions (Geo)'!$M$2:$O$2)/10^9),0)</f>
        <v>-1.3328761965758697E-3</v>
      </c>
      <c r="AD1631" s="105">
        <f>IF($Q$1560&gt;0,PPMT('Assumptions (Geo)'!$V$6,Model!AJ$1,'Assumptions (Geo)'!$V$9,'Assumptions (Geo)'!$V$4*Model!$Q$1560*AVERAGE('Assumptions (Geo)'!$M$2:$O$2)/10^9),0)</f>
        <v>-1.3961878159132234E-3</v>
      </c>
      <c r="AE1631" s="105">
        <f>IF($Q$1560&gt;0,PPMT('Assumptions (Geo)'!$V$6,Model!AK$1,'Assumptions (Geo)'!$V$9,'Assumptions (Geo)'!$V$4*Model!$Q$1560*AVERAGE('Assumptions (Geo)'!$M$2:$O$2)/10^9),0)</f>
        <v>-1.4625067371691015E-3</v>
      </c>
      <c r="AF1631" s="105"/>
      <c r="AG1631" s="105"/>
      <c r="AH1631" s="105"/>
      <c r="AI1631" s="105"/>
      <c r="AJ1631" s="105"/>
      <c r="AK1631" s="105"/>
      <c r="AL1631" s="105"/>
      <c r="AM1631" s="105"/>
      <c r="AN1631" s="105"/>
      <c r="AO1631" s="105"/>
    </row>
    <row r="1632" spans="1:42" ht="15.75" hidden="1" customHeight="1" outlineLevel="1">
      <c r="A1632" s="428"/>
      <c r="B1632" s="99"/>
      <c r="C1632" s="105"/>
      <c r="D1632" s="105"/>
      <c r="E1632" s="105"/>
      <c r="F1632" s="105"/>
      <c r="G1632" s="105"/>
      <c r="H1632" s="105"/>
      <c r="I1632" s="105"/>
      <c r="J1632" s="105"/>
      <c r="K1632" s="105"/>
      <c r="L1632" s="105"/>
      <c r="M1632" s="105"/>
      <c r="N1632" s="105"/>
      <c r="O1632" s="105"/>
      <c r="P1632" s="171"/>
      <c r="Q1632" s="105"/>
      <c r="R1632" s="91">
        <f>IF($R$1560&gt;0,PPMT('Assumptions (Geo)'!$V$6,Model!W$1,'Assumptions (Geo)'!$V$9,'Assumptions (Geo)'!$V$4*Model!$R$1560*AVERAGE('Assumptions (Geo)'!$N$2:$P$2)/10^9),0)</f>
        <v>-3.2515093052673206E-3</v>
      </c>
      <c r="S1632" s="91">
        <f>IF($R$1560&gt;0,PPMT('Assumptions (Geo)'!$V$6,Model!X$1,'Assumptions (Geo)'!$V$9,'Assumptions (Geo)'!$V$4*Model!$R$1560*AVERAGE('Assumptions (Geo)'!$N$2:$P$2)/10^9),0)</f>
        <v>-3.4059559972675186E-3</v>
      </c>
      <c r="T1632" s="91">
        <f>IF($R$1560&gt;0,PPMT('Assumptions (Geo)'!$V$6,Model!Y$1,'Assumptions (Geo)'!$V$9,'Assumptions (Geo)'!$V$4*Model!$R$1560*AVERAGE('Assumptions (Geo)'!$N$2:$P$2)/10^9),0)</f>
        <v>-3.567738907137726E-3</v>
      </c>
      <c r="U1632" s="91">
        <f>IF($R$1560&gt;0,PPMT('Assumptions (Geo)'!$V$6,Model!Z$1,'Assumptions (Geo)'!$V$9,'Assumptions (Geo)'!$V$4*Model!$R$1560*AVERAGE('Assumptions (Geo)'!$N$2:$P$2)/10^9),0)</f>
        <v>-3.7372065052267674E-3</v>
      </c>
      <c r="V1632" s="91">
        <f>IF($R$1560&gt;0,PPMT('Assumptions (Geo)'!$V$6,Model!AA$1,'Assumptions (Geo)'!$V$9,'Assumptions (Geo)'!$V$4*Model!$R$1560*AVERAGE('Assumptions (Geo)'!$N$2:$P$2)/10^9),0)</f>
        <v>-3.9147238142250391E-3</v>
      </c>
      <c r="W1632" s="91">
        <f>IF($R$1560&gt;0,PPMT('Assumptions (Geo)'!$V$6,Model!AB$1,'Assumptions (Geo)'!$V$9,'Assumptions (Geo)'!$V$4*Model!$R$1560*AVERAGE('Assumptions (Geo)'!$N$2:$P$2)/10^9),0)</f>
        <v>-4.1006731954007286E-3</v>
      </c>
      <c r="X1632" s="91">
        <f>IF($R$1560&gt;0,PPMT('Assumptions (Geo)'!$V$6,Model!AC$1,'Assumptions (Geo)'!$V$9,'Assumptions (Geo)'!$V$4*Model!$R$1560*AVERAGE('Assumptions (Geo)'!$N$2:$P$2)/10^9),0)</f>
        <v>-4.2954551721822633E-3</v>
      </c>
      <c r="Y1632" s="91">
        <f>IF($R$1560&gt;0,PPMT('Assumptions (Geo)'!$V$6,Model!AD$1,'Assumptions (Geo)'!$V$9,'Assumptions (Geo)'!$V$4*Model!$R$1560*AVERAGE('Assumptions (Geo)'!$N$2:$P$2)/10^9),0)</f>
        <v>-4.499489292860921E-3</v>
      </c>
      <c r="Z1632" s="91">
        <f>IF($R$1560&gt;0,PPMT('Assumptions (Geo)'!$V$6,Model!AE$1,'Assumptions (Geo)'!$V$9,'Assumptions (Geo)'!$V$4*Model!$R$1560*AVERAGE('Assumptions (Geo)'!$N$2:$P$2)/10^9),0)</f>
        <v>-4.7132150342718143E-3</v>
      </c>
      <c r="AA1632" s="91">
        <f>IF($R$1560&gt;0,PPMT('Assumptions (Geo)'!$V$6,Model!AF$1,'Assumptions (Geo)'!$V$9,'Assumptions (Geo)'!$V$4*Model!$R$1560*AVERAGE('Assumptions (Geo)'!$N$2:$P$2)/10^9),0)</f>
        <v>-4.9370927483997256E-3</v>
      </c>
      <c r="AB1632" s="91">
        <f>IF($R$1560&gt;0,PPMT('Assumptions (Geo)'!$V$6,Model!AG$1,'Assumptions (Geo)'!$V$9,'Assumptions (Geo)'!$V$4*Model!$R$1560*AVERAGE('Assumptions (Geo)'!$N$2:$P$2)/10^9),0)</f>
        <v>-5.1716046539487135E-3</v>
      </c>
      <c r="AC1632" s="91">
        <f>IF($R$1560&gt;0,PPMT('Assumptions (Geo)'!$V$6,Model!AH$1,'Assumptions (Geo)'!$V$9,'Assumptions (Geo)'!$V$4*Model!$R$1560*AVERAGE('Assumptions (Geo)'!$N$2:$P$2)/10^9),0)</f>
        <v>-5.4172558750112763E-3</v>
      </c>
      <c r="AD1632" s="91">
        <f>IF($R$1560&gt;0,PPMT('Assumptions (Geo)'!$V$6,Model!AI$1,'Assumptions (Geo)'!$V$9,'Assumptions (Geo)'!$V$4*Model!$R$1560*AVERAGE('Assumptions (Geo)'!$N$2:$P$2)/10^9),0)</f>
        <v>-5.6745755290743124E-3</v>
      </c>
      <c r="AE1632" s="91">
        <f>IF($R$1560&gt;0,PPMT('Assumptions (Geo)'!$V$6,Model!AJ$1,'Assumptions (Geo)'!$V$9,'Assumptions (Geo)'!$V$4*Model!$R$1560*AVERAGE('Assumptions (Geo)'!$N$2:$P$2)/10^9),0)</f>
        <v>-5.9441178667053417E-3</v>
      </c>
      <c r="AF1632" s="91">
        <f>IF($R$1560&gt;0,PPMT('Assumptions (Geo)'!$V$6,Model!AK$1,'Assumptions (Geo)'!$V$9,'Assumptions (Geo)'!$V$4*Model!$R$1560*AVERAGE('Assumptions (Geo)'!$N$2:$P$2)/10^9),0)</f>
        <v>-6.2264634653738443E-3</v>
      </c>
      <c r="AG1632" s="91"/>
      <c r="AH1632" s="91"/>
      <c r="AI1632" s="91"/>
      <c r="AJ1632" s="91"/>
      <c r="AK1632" s="91"/>
      <c r="AL1632" s="91"/>
      <c r="AM1632" s="91"/>
      <c r="AN1632" s="91"/>
      <c r="AO1632" s="91"/>
      <c r="AP1632" s="91"/>
    </row>
    <row r="1633" spans="1:58" ht="15.75" hidden="1" customHeight="1" outlineLevel="1">
      <c r="A1633" s="428"/>
      <c r="B1633" s="99"/>
      <c r="C1633" s="105"/>
      <c r="D1633" s="105"/>
      <c r="E1633" s="105"/>
      <c r="F1633" s="105"/>
      <c r="G1633" s="105"/>
      <c r="H1633" s="105"/>
      <c r="I1633" s="105"/>
      <c r="J1633" s="105"/>
      <c r="K1633" s="105"/>
      <c r="L1633" s="105"/>
      <c r="M1633" s="105"/>
      <c r="N1633" s="105"/>
      <c r="O1633" s="105"/>
      <c r="P1633" s="171"/>
      <c r="Q1633" s="105"/>
      <c r="R1633" s="91"/>
      <c r="S1633" s="105">
        <f>IF($S$1560&gt;0,PPMT('Assumptions (Geo)'!$V$6,Model!W$1,'Assumptions (Geo)'!$V$9,'Assumptions (Geo)'!$V$4*Model!$S$1560*AVERAGE('Assumptions (Geo)'!$O$2:$Q$2)/10^9),0)</f>
        <v>0</v>
      </c>
      <c r="T1633" s="105">
        <f>IF($S$1560&gt;0,PPMT('Assumptions (Geo)'!$V$6,Model!X$1,'Assumptions (Geo)'!$V$9,'Assumptions (Geo)'!$V$4*Model!$S$1560*AVERAGE('Assumptions (Geo)'!$O$2:$Q$2)/10^9),0)</f>
        <v>0</v>
      </c>
      <c r="U1633" s="105">
        <f>IF($S$1560&gt;0,PPMT('Assumptions (Geo)'!$V$6,Model!Y$1,'Assumptions (Geo)'!$V$9,'Assumptions (Geo)'!$V$4*Model!$S$1560*AVERAGE('Assumptions (Geo)'!$O$2:$Q$2)/10^9),0)</f>
        <v>0</v>
      </c>
      <c r="V1633" s="105">
        <f>IF($S$1560&gt;0,PPMT('Assumptions (Geo)'!$V$6,Model!Z$1,'Assumptions (Geo)'!$V$9,'Assumptions (Geo)'!$V$4*Model!$S$1560*AVERAGE('Assumptions (Geo)'!$O$2:$Q$2)/10^9),0)</f>
        <v>0</v>
      </c>
      <c r="W1633" s="105">
        <f>IF($S$1560&gt;0,PPMT('Assumptions (Geo)'!$V$6,Model!AA$1,'Assumptions (Geo)'!$V$9,'Assumptions (Geo)'!$V$4*Model!$S$1560*AVERAGE('Assumptions (Geo)'!$O$2:$Q$2)/10^9),0)</f>
        <v>0</v>
      </c>
      <c r="X1633" s="105">
        <f>IF($S$1560&gt;0,PPMT('Assumptions (Geo)'!$V$6,Model!AB$1,'Assumptions (Geo)'!$V$9,'Assumptions (Geo)'!$V$4*Model!$S$1560*AVERAGE('Assumptions (Geo)'!$O$2:$Q$2)/10^9),0)</f>
        <v>0</v>
      </c>
      <c r="Y1633" s="105">
        <f>IF($S$1560&gt;0,PPMT('Assumptions (Geo)'!$V$6,Model!AC$1,'Assumptions (Geo)'!$V$9,'Assumptions (Geo)'!$V$4*Model!$S$1560*AVERAGE('Assumptions (Geo)'!$O$2:$Q$2)/10^9),0)</f>
        <v>0</v>
      </c>
      <c r="Z1633" s="105">
        <f>IF($S$1560&gt;0,PPMT('Assumptions (Geo)'!$V$6,Model!AD$1,'Assumptions (Geo)'!$V$9,'Assumptions (Geo)'!$V$4*Model!$S$1560*AVERAGE('Assumptions (Geo)'!$O$2:$Q$2)/10^9),0)</f>
        <v>0</v>
      </c>
      <c r="AA1633" s="105">
        <f>IF($S$1560&gt;0,PPMT('Assumptions (Geo)'!$V$6,Model!AE$1,'Assumptions (Geo)'!$V$9,'Assumptions (Geo)'!$V$4*Model!$S$1560*AVERAGE('Assumptions (Geo)'!$O$2:$Q$2)/10^9),0)</f>
        <v>0</v>
      </c>
      <c r="AB1633" s="105">
        <f>IF($S$1560&gt;0,PPMT('Assumptions (Geo)'!$V$6,Model!AF$1,'Assumptions (Geo)'!$V$9,'Assumptions (Geo)'!$V$4*Model!$S$1560*AVERAGE('Assumptions (Geo)'!$O$2:$Q$2)/10^9),0)</f>
        <v>0</v>
      </c>
      <c r="AC1633" s="105">
        <f>IF($S$1560&gt;0,PPMT('Assumptions (Geo)'!$V$6,Model!AG$1,'Assumptions (Geo)'!$V$9,'Assumptions (Geo)'!$V$4*Model!$S$1560*AVERAGE('Assumptions (Geo)'!$O$2:$Q$2)/10^9),0)</f>
        <v>0</v>
      </c>
      <c r="AD1633" s="105">
        <f>IF($S$1560&gt;0,PPMT('Assumptions (Geo)'!$V$6,Model!AH$1,'Assumptions (Geo)'!$V$9,'Assumptions (Geo)'!$V$4*Model!$S$1560*AVERAGE('Assumptions (Geo)'!$O$2:$Q$2)/10^9),0)</f>
        <v>0</v>
      </c>
      <c r="AE1633" s="105">
        <f>IF($S$1560&gt;0,PPMT('Assumptions (Geo)'!$V$6,Model!AI$1,'Assumptions (Geo)'!$V$9,'Assumptions (Geo)'!$V$4*Model!$S$1560*AVERAGE('Assumptions (Geo)'!$O$2:$Q$2)/10^9),0)</f>
        <v>0</v>
      </c>
      <c r="AF1633" s="105">
        <f>IF($S$1560&gt;0,PPMT('Assumptions (Geo)'!$V$6,Model!AJ$1,'Assumptions (Geo)'!$V$9,'Assumptions (Geo)'!$V$4*Model!$S$1560*AVERAGE('Assumptions (Geo)'!$O$2:$Q$2)/10^9),0)</f>
        <v>0</v>
      </c>
      <c r="AG1633" s="105">
        <f>IF($S$1560&gt;0,PPMT('Assumptions (Geo)'!$V$6,Model!AK$1,'Assumptions (Geo)'!$V$9,'Assumptions (Geo)'!$V$4*Model!$S$1560*AVERAGE('Assumptions (Geo)'!$O$2:$Q$2)/10^9),0)</f>
        <v>0</v>
      </c>
      <c r="AH1633" s="105"/>
      <c r="AI1633" s="105"/>
      <c r="AJ1633" s="105"/>
      <c r="AK1633" s="105"/>
      <c r="AL1633" s="105"/>
      <c r="AM1633" s="105"/>
      <c r="AN1633" s="105"/>
      <c r="AO1633" s="105"/>
      <c r="AP1633" s="105"/>
      <c r="AQ1633" s="105"/>
    </row>
    <row r="1634" spans="1:58" ht="15.75" hidden="1" customHeight="1" outlineLevel="1">
      <c r="A1634" s="428"/>
      <c r="B1634" s="99"/>
      <c r="C1634" s="105"/>
      <c r="D1634" s="105"/>
      <c r="E1634" s="105"/>
      <c r="F1634" s="105"/>
      <c r="G1634" s="105"/>
      <c r="H1634" s="105"/>
      <c r="I1634" s="105"/>
      <c r="J1634" s="105"/>
      <c r="K1634" s="105"/>
      <c r="L1634" s="105"/>
      <c r="M1634" s="105"/>
      <c r="N1634" s="105"/>
      <c r="O1634" s="105"/>
      <c r="P1634" s="171"/>
      <c r="Q1634" s="105"/>
      <c r="R1634" s="91"/>
      <c r="S1634" s="91"/>
      <c r="T1634" s="105">
        <f>IF($T$1560&gt;0,PPMT('Assumptions (Geo)'!$V$6,Model!W$1,'Assumptions (Geo)'!$V$9,'Assumptions (Geo)'!$V$4*Model!$T$1560*AVERAGE('Assumptions (Geo)'!$P$2:$R$2)/10^9),0)</f>
        <v>-2.6076291750917586E-3</v>
      </c>
      <c r="U1634" s="105">
        <f>IF($T$1560&gt;0,PPMT('Assumptions (Geo)'!$V$6,Model!X$1,'Assumptions (Geo)'!$V$9,'Assumptions (Geo)'!$V$4*Model!$T$1560*AVERAGE('Assumptions (Geo)'!$P$2:$R$2)/10^9),0)</f>
        <v>-2.7314915609086172E-3</v>
      </c>
      <c r="V1634" s="105">
        <f>IF($T$1560&gt;0,PPMT('Assumptions (Geo)'!$V$6,Model!Y$1,'Assumptions (Geo)'!$V$9,'Assumptions (Geo)'!$V$4*Model!$T$1560*AVERAGE('Assumptions (Geo)'!$P$2:$R$2)/10^9),0)</f>
        <v>-2.8612374100517768E-3</v>
      </c>
      <c r="W1634" s="105">
        <f>IF($T$1560&gt;0,PPMT('Assumptions (Geo)'!$V$6,Model!Z$1,'Assumptions (Geo)'!$V$9,'Assumptions (Geo)'!$V$4*Model!$T$1560*AVERAGE('Assumptions (Geo)'!$P$2:$R$2)/10^9),0)</f>
        <v>-2.9971461870292359E-3</v>
      </c>
      <c r="X1634" s="105">
        <f>IF($T$1560&gt;0,PPMT('Assumptions (Geo)'!$V$6,Model!AA$1,'Assumptions (Geo)'!$V$9,'Assumptions (Geo)'!$V$4*Model!$T$1560*AVERAGE('Assumptions (Geo)'!$P$2:$R$2)/10^9),0)</f>
        <v>-3.1395106309131241E-3</v>
      </c>
      <c r="Y1634" s="105">
        <f>IF($T$1560&gt;0,PPMT('Assumptions (Geo)'!$V$6,Model!AB$1,'Assumptions (Geo)'!$V$9,'Assumptions (Geo)'!$V$4*Model!$T$1560*AVERAGE('Assumptions (Geo)'!$P$2:$R$2)/10^9),0)</f>
        <v>-3.2886373858814983E-3</v>
      </c>
      <c r="Z1634" s="105">
        <f>IF($T$1560&gt;0,PPMT('Assumptions (Geo)'!$V$6,Model!AC$1,'Assumptions (Geo)'!$V$9,'Assumptions (Geo)'!$V$4*Model!$T$1560*AVERAGE('Assumptions (Geo)'!$P$2:$R$2)/10^9),0)</f>
        <v>-3.4448476617108693E-3</v>
      </c>
      <c r="AA1634" s="105">
        <f>IF($T$1560&gt;0,PPMT('Assumptions (Geo)'!$V$6,Model!AD$1,'Assumptions (Geo)'!$V$9,'Assumptions (Geo)'!$V$4*Model!$T$1560*AVERAGE('Assumptions (Geo)'!$P$2:$R$2)/10^9),0)</f>
        <v>-3.6084779256421355E-3</v>
      </c>
      <c r="AB1634" s="105">
        <f>IF($T$1560&gt;0,PPMT('Assumptions (Geo)'!$V$6,Model!AE$1,'Assumptions (Geo)'!$V$9,'Assumptions (Geo)'!$V$4*Model!$T$1560*AVERAGE('Assumptions (Geo)'!$P$2:$R$2)/10^9),0)</f>
        <v>-3.7798806271101366E-3</v>
      </c>
      <c r="AC1634" s="105">
        <f>IF($T$1560&gt;0,PPMT('Assumptions (Geo)'!$V$6,Model!AF$1,'Assumptions (Geo)'!$V$9,'Assumptions (Geo)'!$V$4*Model!$T$1560*AVERAGE('Assumptions (Geo)'!$P$2:$R$2)/10^9),0)</f>
        <v>-3.9594249568978687E-3</v>
      </c>
      <c r="AD1634" s="105">
        <f>IF($T$1560&gt;0,PPMT('Assumptions (Geo)'!$V$6,Model!AG$1,'Assumptions (Geo)'!$V$9,'Assumptions (Geo)'!$V$4*Model!$T$1560*AVERAGE('Assumptions (Geo)'!$P$2:$R$2)/10^9),0)</f>
        <v>-4.1474976423505174E-3</v>
      </c>
      <c r="AE1634" s="105">
        <f>IF($T$1560&gt;0,PPMT('Assumptions (Geo)'!$V$6,Model!AH$1,'Assumptions (Geo)'!$V$9,'Assumptions (Geo)'!$V$4*Model!$T$1560*AVERAGE('Assumptions (Geo)'!$P$2:$R$2)/10^9),0)</f>
        <v>-4.3445037803621668E-3</v>
      </c>
      <c r="AF1634" s="105">
        <f>IF($T$1560&gt;0,PPMT('Assumptions (Geo)'!$V$6,Model!AI$1,'Assumptions (Geo)'!$V$9,'Assumptions (Geo)'!$V$4*Model!$T$1560*AVERAGE('Assumptions (Geo)'!$P$2:$R$2)/10^9),0)</f>
        <v>-4.5508677099293706E-3</v>
      </c>
      <c r="AG1634" s="105">
        <f>IF($T$1560&gt;0,PPMT('Assumptions (Geo)'!$V$6,Model!AJ$1,'Assumptions (Geo)'!$V$9,'Assumptions (Geo)'!$V$4*Model!$T$1560*AVERAGE('Assumptions (Geo)'!$P$2:$R$2)/10^9),0)</f>
        <v>-4.7670339261510148E-3</v>
      </c>
      <c r="AH1634" s="105">
        <f>IF($T$1560&gt;0,PPMT('Assumptions (Geo)'!$V$6,Model!AK$1,'Assumptions (Geo)'!$V$9,'Assumptions (Geo)'!$V$4*Model!$T$1560*AVERAGE('Assumptions (Geo)'!$P$2:$R$2)/10^9),0)</f>
        <v>-4.9934680376431881E-3</v>
      </c>
      <c r="AI1634" s="105"/>
      <c r="AJ1634" s="105"/>
      <c r="AK1634" s="105"/>
      <c r="AL1634" s="105"/>
      <c r="AM1634" s="105"/>
      <c r="AN1634" s="105"/>
      <c r="AO1634" s="105"/>
      <c r="AP1634" s="105"/>
      <c r="AQ1634" s="105"/>
      <c r="AR1634" s="105"/>
    </row>
    <row r="1635" spans="1:58" ht="15.75" hidden="1" customHeight="1" outlineLevel="1">
      <c r="A1635" s="428"/>
      <c r="B1635" s="99"/>
      <c r="C1635" s="105"/>
      <c r="D1635" s="105"/>
      <c r="E1635" s="105"/>
      <c r="F1635" s="105"/>
      <c r="G1635" s="105"/>
      <c r="H1635" s="105"/>
      <c r="I1635" s="105"/>
      <c r="J1635" s="105"/>
      <c r="K1635" s="105"/>
      <c r="L1635" s="105"/>
      <c r="M1635" s="105"/>
      <c r="N1635" s="105"/>
      <c r="O1635" s="105"/>
      <c r="P1635" s="171"/>
      <c r="Q1635" s="105"/>
      <c r="R1635" s="91"/>
      <c r="S1635" s="91"/>
      <c r="T1635" s="91"/>
      <c r="U1635" s="105">
        <f>IF($U$1560&gt;0,PPMT('Assumptions (Geo)'!$V$6,Model!W$1,'Assumptions (Geo)'!$V$9,'Assumptions (Geo)'!$V$4*Model!$U$1560*AVERAGE('Assumptions (Geo)'!$Q$2:$S$2)/10^9),0)</f>
        <v>-1.1501758956080411E-3</v>
      </c>
      <c r="V1635" s="105">
        <f>IF($U$1560&gt;0,PPMT('Assumptions (Geo)'!$V$6,Model!X$1,'Assumptions (Geo)'!$V$9,'Assumptions (Geo)'!$V$4*Model!$U$1560*AVERAGE('Assumptions (Geo)'!$Q$2:$S$2)/10^9),0)</f>
        <v>-1.2048092506494229E-3</v>
      </c>
      <c r="W1635" s="105">
        <f>IF($U$1560&gt;0,PPMT('Assumptions (Geo)'!$V$6,Model!Y$1,'Assumptions (Geo)'!$V$9,'Assumptions (Geo)'!$V$4*Model!$U$1560*AVERAGE('Assumptions (Geo)'!$Q$2:$S$2)/10^9),0)</f>
        <v>-1.2620376900552707E-3</v>
      </c>
      <c r="X1635" s="105">
        <f>IF($U$1560&gt;0,PPMT('Assumptions (Geo)'!$V$6,Model!Z$1,'Assumptions (Geo)'!$V$9,'Assumptions (Geo)'!$V$4*Model!$U$1560*AVERAGE('Assumptions (Geo)'!$Q$2:$S$2)/10^9),0)</f>
        <v>-1.3219844803328959E-3</v>
      </c>
      <c r="Y1635" s="105">
        <f>IF($U$1560&gt;0,PPMT('Assumptions (Geo)'!$V$6,Model!AA$1,'Assumptions (Geo)'!$V$9,'Assumptions (Geo)'!$V$4*Model!$U$1560*AVERAGE('Assumptions (Geo)'!$Q$2:$S$2)/10^9),0)</f>
        <v>-1.3847787431487083E-3</v>
      </c>
      <c r="Z1635" s="105">
        <f>IF($U$1560&gt;0,PPMT('Assumptions (Geo)'!$V$6,Model!AB$1,'Assumptions (Geo)'!$V$9,'Assumptions (Geo)'!$V$4*Model!$U$1560*AVERAGE('Assumptions (Geo)'!$Q$2:$S$2)/10^9),0)</f>
        <v>-1.450555733448272E-3</v>
      </c>
      <c r="AA1635" s="105">
        <f>IF($U$1560&gt;0,PPMT('Assumptions (Geo)'!$V$6,Model!AC$1,'Assumptions (Geo)'!$V$9,'Assumptions (Geo)'!$V$4*Model!$U$1560*AVERAGE('Assumptions (Geo)'!$Q$2:$S$2)/10^9),0)</f>
        <v>-1.5194571307870651E-3</v>
      </c>
      <c r="AB1635" s="105">
        <f>IF($U$1560&gt;0,PPMT('Assumptions (Geo)'!$V$6,Model!AD$1,'Assumptions (Geo)'!$V$9,'Assumptions (Geo)'!$V$4*Model!$U$1560*AVERAGE('Assumptions (Geo)'!$Q$2:$S$2)/10^9),0)</f>
        <v>-1.5916313444994505E-3</v>
      </c>
      <c r="AC1635" s="105">
        <f>IF($U$1560&gt;0,PPMT('Assumptions (Geo)'!$V$6,Model!AE$1,'Assumptions (Geo)'!$V$9,'Assumptions (Geo)'!$V$4*Model!$U$1560*AVERAGE('Assumptions (Geo)'!$Q$2:$S$2)/10^9),0)</f>
        <v>-1.6672338333631742E-3</v>
      </c>
      <c r="AD1635" s="105">
        <f>IF($U$1560&gt;0,PPMT('Assumptions (Geo)'!$V$6,Model!AF$1,'Assumptions (Geo)'!$V$9,'Assumptions (Geo)'!$V$4*Model!$U$1560*AVERAGE('Assumptions (Geo)'!$Q$2:$S$2)/10^9),0)</f>
        <v>-1.7464274404479254E-3</v>
      </c>
      <c r="AE1635" s="105">
        <f>IF($U$1560&gt;0,PPMT('Assumptions (Geo)'!$V$6,Model!AG$1,'Assumptions (Geo)'!$V$9,'Assumptions (Geo)'!$V$4*Model!$U$1560*AVERAGE('Assumptions (Geo)'!$Q$2:$S$2)/10^9),0)</f>
        <v>-1.8293827438692018E-3</v>
      </c>
      <c r="AF1635" s="105">
        <f>IF($U$1560&gt;0,PPMT('Assumptions (Geo)'!$V$6,Model!AH$1,'Assumptions (Geo)'!$V$9,'Assumptions (Geo)'!$V$4*Model!$U$1560*AVERAGE('Assumptions (Geo)'!$Q$2:$S$2)/10^9),0)</f>
        <v>-1.9162784242029887E-3</v>
      </c>
      <c r="AG1635" s="105">
        <f>IF($U$1560&gt;0,PPMT('Assumptions (Geo)'!$V$6,Model!AI$1,'Assumptions (Geo)'!$V$9,'Assumptions (Geo)'!$V$4*Model!$U$1560*AVERAGE('Assumptions (Geo)'!$Q$2:$S$2)/10^9),0)</f>
        <v>-2.0073016493526307E-3</v>
      </c>
      <c r="AH1635" s="105">
        <f>IF($U$1560&gt;0,PPMT('Assumptions (Geo)'!$V$6,Model!AJ$1,'Assumptions (Geo)'!$V$9,'Assumptions (Geo)'!$V$4*Model!$U$1560*AVERAGE('Assumptions (Geo)'!$Q$2:$S$2)/10^9),0)</f>
        <v>-2.1026484776968807E-3</v>
      </c>
      <c r="AI1635" s="105">
        <f>IF($U$1560&gt;0,PPMT('Assumptions (Geo)'!$V$6,Model!AK$1,'Assumptions (Geo)'!$V$9,'Assumptions (Geo)'!$V$4*Model!$U$1560*AVERAGE('Assumptions (Geo)'!$Q$2:$S$2)/10^9),0)</f>
        <v>-2.2025242803874823E-3</v>
      </c>
      <c r="AJ1635" s="105"/>
      <c r="AK1635" s="105"/>
      <c r="AL1635" s="105"/>
      <c r="AM1635" s="105"/>
      <c r="AN1635" s="105"/>
      <c r="AO1635" s="105"/>
      <c r="AP1635" s="105"/>
      <c r="AQ1635" s="105"/>
      <c r="AR1635" s="105"/>
      <c r="AS1635" s="105"/>
    </row>
    <row r="1636" spans="1:58" ht="15.75" hidden="1" customHeight="1" outlineLevel="1">
      <c r="A1636" s="428"/>
      <c r="B1636" s="99"/>
      <c r="C1636" s="105"/>
      <c r="D1636" s="105"/>
      <c r="E1636" s="105"/>
      <c r="F1636" s="105"/>
      <c r="G1636" s="105"/>
      <c r="H1636" s="105"/>
      <c r="I1636" s="105"/>
      <c r="J1636" s="105"/>
      <c r="K1636" s="105"/>
      <c r="L1636" s="105"/>
      <c r="M1636" s="105"/>
      <c r="N1636" s="105"/>
      <c r="O1636" s="105"/>
      <c r="P1636" s="171"/>
      <c r="Q1636" s="105"/>
      <c r="R1636" s="91"/>
      <c r="S1636" s="91"/>
      <c r="T1636" s="91"/>
      <c r="U1636" s="105"/>
      <c r="V1636" s="105">
        <f>IF($V$1560&gt;0,PPMT('Assumptions (Geo)'!$V$6,Model!W$1,'Assumptions (Geo)'!$V$9,'Assumptions (Geo)'!$V$4*Model!$V$1560*AVERAGE('Assumptions (Geo)'!$R$2:$T$2)/10^9),0)</f>
        <v>-5.2793073608409071E-3</v>
      </c>
      <c r="W1636" s="105">
        <f>IF($V$1560&gt;0,PPMT('Assumptions (Geo)'!$V$6,Model!X$1,'Assumptions (Geo)'!$V$9,'Assumptions (Geo)'!$V$4*Model!$V$1560*AVERAGE('Assumptions (Geo)'!$R$2:$T$2)/10^9),0)</f>
        <v>-5.5300744604808499E-3</v>
      </c>
      <c r="X1636" s="105">
        <f>IF($V$1560&gt;0,PPMT('Assumptions (Geo)'!$V$6,Model!Y$1,'Assumptions (Geo)'!$V$9,'Assumptions (Geo)'!$V$4*Model!$V$1560*AVERAGE('Assumptions (Geo)'!$R$2:$T$2)/10^9),0)</f>
        <v>-5.7927529973536909E-3</v>
      </c>
      <c r="Y1636" s="105">
        <f>IF($V$1560&gt;0,PPMT('Assumptions (Geo)'!$V$6,Model!Z$1,'Assumptions (Geo)'!$V$9,'Assumptions (Geo)'!$V$4*Model!$V$1560*AVERAGE('Assumptions (Geo)'!$R$2:$T$2)/10^9),0)</f>
        <v>-6.0679087647279905E-3</v>
      </c>
      <c r="Z1636" s="105">
        <f>IF($V$1560&gt;0,PPMT('Assumptions (Geo)'!$V$6,Model!AA$1,'Assumptions (Geo)'!$V$9,'Assumptions (Geo)'!$V$4*Model!$V$1560*AVERAGE('Assumptions (Geo)'!$R$2:$T$2)/10^9),0)</f>
        <v>-6.3561344310525698E-3</v>
      </c>
      <c r="AA1636" s="105">
        <f>IF($V$1560&gt;0,PPMT('Assumptions (Geo)'!$V$6,Model!AB$1,'Assumptions (Geo)'!$V$9,'Assumptions (Geo)'!$V$4*Model!$V$1560*AVERAGE('Assumptions (Geo)'!$R$2:$T$2)/10^9),0)</f>
        <v>-6.6580508165275665E-3</v>
      </c>
      <c r="AB1636" s="105">
        <f>IF($V$1560&gt;0,PPMT('Assumptions (Geo)'!$V$6,Model!AC$1,'Assumptions (Geo)'!$V$9,'Assumptions (Geo)'!$V$4*Model!$V$1560*AVERAGE('Assumptions (Geo)'!$R$2:$T$2)/10^9),0)</f>
        <v>-6.9743082303126269E-3</v>
      </c>
      <c r="AC1636" s="105">
        <f>IF($V$1560&gt;0,PPMT('Assumptions (Geo)'!$V$6,Model!AD$1,'Assumptions (Geo)'!$V$9,'Assumptions (Geo)'!$V$4*Model!$V$1560*AVERAGE('Assumptions (Geo)'!$R$2:$T$2)/10^9),0)</f>
        <v>-7.3055878712524761E-3</v>
      </c>
      <c r="AD1636" s="105">
        <f>IF($V$1560&gt;0,PPMT('Assumptions (Geo)'!$V$6,Model!AE$1,'Assumptions (Geo)'!$V$9,'Assumptions (Geo)'!$V$4*Model!$V$1560*AVERAGE('Assumptions (Geo)'!$R$2:$T$2)/10^9),0)</f>
        <v>-7.6526032951369687E-3</v>
      </c>
      <c r="AE1636" s="105">
        <f>IF($V$1560&gt;0,PPMT('Assumptions (Geo)'!$V$6,Model!AF$1,'Assumptions (Geo)'!$V$9,'Assumptions (Geo)'!$V$4*Model!$V$1560*AVERAGE('Assumptions (Geo)'!$R$2:$T$2)/10^9),0)</f>
        <v>-8.0161019516559757E-3</v>
      </c>
      <c r="AF1636" s="105">
        <f>IF($V$1560&gt;0,PPMT('Assumptions (Geo)'!$V$6,Model!AG$1,'Assumptions (Geo)'!$V$9,'Assumptions (Geo)'!$V$4*Model!$V$1560*AVERAGE('Assumptions (Geo)'!$R$2:$T$2)/10^9),0)</f>
        <v>-8.3968667943596347E-3</v>
      </c>
      <c r="AG1636" s="105">
        <f>IF($V$1560&gt;0,PPMT('Assumptions (Geo)'!$V$6,Model!AH$1,'Assumptions (Geo)'!$V$9,'Assumptions (Geo)'!$V$4*Model!$V$1560*AVERAGE('Assumptions (Geo)'!$R$2:$T$2)/10^9),0)</f>
        <v>-8.7957179670917155E-3</v>
      </c>
      <c r="AH1636" s="105">
        <f>IF($V$1560&gt;0,PPMT('Assumptions (Geo)'!$V$6,Model!AI$1,'Assumptions (Geo)'!$V$9,'Assumptions (Geo)'!$V$4*Model!$V$1560*AVERAGE('Assumptions (Geo)'!$R$2:$T$2)/10^9),0)</f>
        <v>-9.2135145705285748E-3</v>
      </c>
      <c r="AI1636" s="105">
        <f>IF($V$1560&gt;0,PPMT('Assumptions (Geo)'!$V$6,Model!AJ$1,'Assumptions (Geo)'!$V$9,'Assumptions (Geo)'!$V$4*Model!$V$1560*AVERAGE('Assumptions (Geo)'!$R$2:$T$2)/10^9),0)</f>
        <v>-9.6511565126286801E-3</v>
      </c>
      <c r="AJ1636" s="105">
        <f>IF($V$1560&gt;0,PPMT('Assumptions (Geo)'!$V$6,Model!AK$1,'Assumptions (Geo)'!$V$9,'Assumptions (Geo)'!$V$4*Model!$V$1560*AVERAGE('Assumptions (Geo)'!$R$2:$T$2)/10^9),0)</f>
        <v>-1.0109586446978543E-2</v>
      </c>
      <c r="AK1636" s="105"/>
      <c r="AL1636" s="105"/>
      <c r="AM1636" s="105"/>
      <c r="AN1636" s="105"/>
      <c r="AO1636" s="105"/>
      <c r="AP1636" s="105"/>
      <c r="AQ1636" s="105"/>
      <c r="AR1636" s="105"/>
      <c r="AS1636" s="105"/>
      <c r="AT1636" s="105"/>
    </row>
    <row r="1637" spans="1:58" ht="15.75" hidden="1" customHeight="1" outlineLevel="1">
      <c r="A1637" s="428"/>
      <c r="B1637" s="99"/>
      <c r="C1637" s="99"/>
      <c r="D1637" s="99"/>
      <c r="E1637" s="99"/>
      <c r="F1637" s="99"/>
      <c r="G1637" s="99"/>
      <c r="H1637" s="99"/>
      <c r="I1637" s="99"/>
      <c r="J1637" s="99"/>
      <c r="K1637" s="99"/>
      <c r="L1637" s="99"/>
      <c r="M1637" s="99"/>
      <c r="N1637" s="99"/>
      <c r="O1637" s="99"/>
      <c r="P1637" s="99"/>
      <c r="Q1637" s="99"/>
      <c r="R1637" s="99"/>
      <c r="S1637" s="99"/>
      <c r="T1637" s="99"/>
      <c r="U1637" s="99"/>
      <c r="V1637" s="99"/>
      <c r="W1637" s="105">
        <f>IF($W$1560&gt;0,PPMT('Assumptions (Geo)'!$V$6,Model!W$1,'Assumptions (Geo)'!$V$9,'Assumptions (Geo)'!$V$4*Model!$W$1560*AVERAGE('Assumptions (Geo)'!$S$2:$U$2)/10^9),0)</f>
        <v>0</v>
      </c>
      <c r="X1637" s="105">
        <f>IF($W$1560&gt;0,PPMT('Assumptions (Geo)'!$V$6,Model!X$1,'Assumptions (Geo)'!$V$9,'Assumptions (Geo)'!$V$4*Model!$W$1560*AVERAGE('Assumptions (Geo)'!$S$2:$U$2)/10^9),0)</f>
        <v>0</v>
      </c>
      <c r="Y1637" s="105">
        <f>IF($W$1560&gt;0,PPMT('Assumptions (Geo)'!$V$6,Model!Y$1,'Assumptions (Geo)'!$V$9,'Assumptions (Geo)'!$V$4*Model!$W$1560*AVERAGE('Assumptions (Geo)'!$S$2:$U$2)/10^9),0)</f>
        <v>0</v>
      </c>
      <c r="Z1637" s="105">
        <f>IF($W$1560&gt;0,PPMT('Assumptions (Geo)'!$V$6,Model!Z$1,'Assumptions (Geo)'!$V$9,'Assumptions (Geo)'!$V$4*Model!$W$1560*AVERAGE('Assumptions (Geo)'!$S$2:$U$2)/10^9),0)</f>
        <v>0</v>
      </c>
      <c r="AA1637" s="105">
        <f>IF($W$1560&gt;0,PPMT('Assumptions (Geo)'!$V$6,Model!AA$1,'Assumptions (Geo)'!$V$9,'Assumptions (Geo)'!$V$4*Model!$W$1560*AVERAGE('Assumptions (Geo)'!$S$2:$U$2)/10^9),0)</f>
        <v>0</v>
      </c>
      <c r="AB1637" s="105">
        <f>IF($W$1560&gt;0,PPMT('Assumptions (Geo)'!$V$6,Model!AB$1,'Assumptions (Geo)'!$V$9,'Assumptions (Geo)'!$V$4*Model!$W$1560*AVERAGE('Assumptions (Geo)'!$S$2:$U$2)/10^9),0)</f>
        <v>0</v>
      </c>
      <c r="AC1637" s="105">
        <f>IF($W$1560&gt;0,PPMT('Assumptions (Geo)'!$V$6,Model!AC$1,'Assumptions (Geo)'!$V$9,'Assumptions (Geo)'!$V$4*Model!$W$1560*AVERAGE('Assumptions (Geo)'!$S$2:$U$2)/10^9),0)</f>
        <v>0</v>
      </c>
      <c r="AD1637" s="105">
        <f>IF($W$1560&gt;0,PPMT('Assumptions (Geo)'!$V$6,Model!AD$1,'Assumptions (Geo)'!$V$9,'Assumptions (Geo)'!$V$4*Model!$W$1560*AVERAGE('Assumptions (Geo)'!$S$2:$U$2)/10^9),0)</f>
        <v>0</v>
      </c>
      <c r="AE1637" s="105">
        <f>IF($W$1560&gt;0,PPMT('Assumptions (Geo)'!$V$6,Model!AE$1,'Assumptions (Geo)'!$V$9,'Assumptions (Geo)'!$V$4*Model!$W$1560*AVERAGE('Assumptions (Geo)'!$S$2:$U$2)/10^9),0)</f>
        <v>0</v>
      </c>
      <c r="AF1637" s="105">
        <f>IF($W$1560&gt;0,PPMT('Assumptions (Geo)'!$V$6,Model!AF$1,'Assumptions (Geo)'!$V$9,'Assumptions (Geo)'!$V$4*Model!$W$1560*AVERAGE('Assumptions (Geo)'!$S$2:$U$2)/10^9),0)</f>
        <v>0</v>
      </c>
      <c r="AG1637" s="105">
        <f>IF($W$1560&gt;0,PPMT('Assumptions (Geo)'!$V$6,Model!AG$1,'Assumptions (Geo)'!$V$9,'Assumptions (Geo)'!$V$4*Model!$W$1560*AVERAGE('Assumptions (Geo)'!$S$2:$U$2)/10^9),0)</f>
        <v>0</v>
      </c>
      <c r="AH1637" s="105">
        <f>IF($W$1560&gt;0,PPMT('Assumptions (Geo)'!$V$6,Model!AH$1,'Assumptions (Geo)'!$V$9,'Assumptions (Geo)'!$V$4*Model!$W$1560*AVERAGE('Assumptions (Geo)'!$S$2:$U$2)/10^9),0)</f>
        <v>0</v>
      </c>
      <c r="AI1637" s="105">
        <f>IF($W$1560&gt;0,PPMT('Assumptions (Geo)'!$V$6,Model!AI$1,'Assumptions (Geo)'!$V$9,'Assumptions (Geo)'!$V$4*Model!$W$1560*AVERAGE('Assumptions (Geo)'!$S$2:$U$2)/10^9),0)</f>
        <v>0</v>
      </c>
      <c r="AJ1637" s="105">
        <f>IF($W$1560&gt;0,PPMT('Assumptions (Geo)'!$V$6,Model!AJ$1,'Assumptions (Geo)'!$V$9,'Assumptions (Geo)'!$V$4*Model!$W$1560*AVERAGE('Assumptions (Geo)'!$S$2:$U$2)/10^9),0)</f>
        <v>0</v>
      </c>
      <c r="AK1637" s="105">
        <f>IF($W$1560&gt;0,PPMT('Assumptions (Geo)'!$V$6,Model!AK$1,'Assumptions (Geo)'!$V$9,'Assumptions (Geo)'!$V$4*Model!$W$1560*AVERAGE('Assumptions (Geo)'!$S$2:$U$2)/10^9),0)</f>
        <v>0</v>
      </c>
      <c r="AL1637" s="105"/>
      <c r="AM1637" s="105"/>
      <c r="AN1637" s="105"/>
      <c r="AO1637" s="105"/>
      <c r="AP1637" s="105"/>
      <c r="AQ1637" s="105"/>
      <c r="AR1637" s="105"/>
      <c r="AS1637" s="105"/>
      <c r="AT1637" s="105"/>
      <c r="AU1637" s="105"/>
      <c r="AV1637" s="105"/>
      <c r="AW1637" s="105"/>
      <c r="AX1637" s="105"/>
      <c r="AY1637" s="105"/>
      <c r="AZ1637" s="105"/>
      <c r="BA1637" s="105"/>
    </row>
    <row r="1638" spans="1:58" ht="15.75" hidden="1" customHeight="1" outlineLevel="1">
      <c r="A1638" s="428"/>
      <c r="B1638" s="99"/>
      <c r="C1638" s="99"/>
      <c r="D1638" s="99"/>
      <c r="E1638" s="99"/>
      <c r="F1638" s="99"/>
      <c r="G1638" s="99"/>
      <c r="H1638" s="99"/>
      <c r="I1638" s="99"/>
      <c r="J1638" s="99"/>
      <c r="K1638" s="99"/>
      <c r="L1638" s="99"/>
      <c r="M1638" s="99"/>
      <c r="N1638" s="99"/>
      <c r="O1638" s="99"/>
      <c r="P1638" s="99"/>
      <c r="Q1638" s="99"/>
      <c r="R1638" s="99"/>
      <c r="S1638" s="99"/>
      <c r="T1638" s="99"/>
      <c r="U1638" s="99"/>
      <c r="V1638" s="99"/>
      <c r="W1638" s="105"/>
      <c r="X1638" s="105">
        <f>IF($X$1560&gt;0,PPMT('Assumptions (Geo)'!$V$6,Model!W$1,'Assumptions (Geo)'!$V$9,'Assumptions (Geo)'!$V$4*Model!$X$1560*AVERAGE('Assumptions (Geo)'!$T$2:$V$2)/10^9),0)</f>
        <v>0</v>
      </c>
      <c r="Y1638" s="105">
        <f>IF($X$1560&gt;0,PPMT('Assumptions (Geo)'!$V$6,Model!X$1,'Assumptions (Geo)'!$V$9,'Assumptions (Geo)'!$V$4*Model!$X$1560*AVERAGE('Assumptions (Geo)'!$T$2:$V$2)/10^9),0)</f>
        <v>0</v>
      </c>
      <c r="Z1638" s="105">
        <f>IF($X$1560&gt;0,PPMT('Assumptions (Geo)'!$V$6,Model!Y$1,'Assumptions (Geo)'!$V$9,'Assumptions (Geo)'!$V$4*Model!$X$1560*AVERAGE('Assumptions (Geo)'!$T$2:$V$2)/10^9),0)</f>
        <v>0</v>
      </c>
      <c r="AA1638" s="105">
        <f>IF($X$1560&gt;0,PPMT('Assumptions (Geo)'!$V$6,Model!Z$1,'Assumptions (Geo)'!$V$9,'Assumptions (Geo)'!$V$4*Model!$X$1560*AVERAGE('Assumptions (Geo)'!$T$2:$V$2)/10^9),0)</f>
        <v>0</v>
      </c>
      <c r="AB1638" s="105">
        <f>IF($X$1560&gt;0,PPMT('Assumptions (Geo)'!$V$6,Model!AA$1,'Assumptions (Geo)'!$V$9,'Assumptions (Geo)'!$V$4*Model!$X$1560*AVERAGE('Assumptions (Geo)'!$T$2:$V$2)/10^9),0)</f>
        <v>0</v>
      </c>
      <c r="AC1638" s="105">
        <f>IF($X$1560&gt;0,PPMT('Assumptions (Geo)'!$V$6,Model!AB$1,'Assumptions (Geo)'!$V$9,'Assumptions (Geo)'!$V$4*Model!$X$1560*AVERAGE('Assumptions (Geo)'!$T$2:$V$2)/10^9),0)</f>
        <v>0</v>
      </c>
      <c r="AD1638" s="105">
        <f>IF($X$1560&gt;0,PPMT('Assumptions (Geo)'!$V$6,Model!AC$1,'Assumptions (Geo)'!$V$9,'Assumptions (Geo)'!$V$4*Model!$X$1560*AVERAGE('Assumptions (Geo)'!$T$2:$V$2)/10^9),0)</f>
        <v>0</v>
      </c>
      <c r="AE1638" s="105">
        <f>IF($X$1560&gt;0,PPMT('Assumptions (Geo)'!$V$6,Model!AD$1,'Assumptions (Geo)'!$V$9,'Assumptions (Geo)'!$V$4*Model!$X$1560*AVERAGE('Assumptions (Geo)'!$T$2:$V$2)/10^9),0)</f>
        <v>0</v>
      </c>
      <c r="AF1638" s="105">
        <f>IF($X$1560&gt;0,PPMT('Assumptions (Geo)'!$V$6,Model!AE$1,'Assumptions (Geo)'!$V$9,'Assumptions (Geo)'!$V$4*Model!$X$1560*AVERAGE('Assumptions (Geo)'!$T$2:$V$2)/10^9),0)</f>
        <v>0</v>
      </c>
      <c r="AG1638" s="105">
        <f>IF($X$1560&gt;0,PPMT('Assumptions (Geo)'!$V$6,Model!AF$1,'Assumptions (Geo)'!$V$9,'Assumptions (Geo)'!$V$4*Model!$X$1560*AVERAGE('Assumptions (Geo)'!$T$2:$V$2)/10^9),0)</f>
        <v>0</v>
      </c>
      <c r="AH1638" s="105">
        <f>IF($X$1560&gt;0,PPMT('Assumptions (Geo)'!$V$6,Model!AG$1,'Assumptions (Geo)'!$V$9,'Assumptions (Geo)'!$V$4*Model!$X$1560*AVERAGE('Assumptions (Geo)'!$T$2:$V$2)/10^9),0)</f>
        <v>0</v>
      </c>
      <c r="AI1638" s="105">
        <f>IF($X$1560&gt;0,PPMT('Assumptions (Geo)'!$V$6,Model!AH$1,'Assumptions (Geo)'!$V$9,'Assumptions (Geo)'!$V$4*Model!$X$1560*AVERAGE('Assumptions (Geo)'!$T$2:$V$2)/10^9),0)</f>
        <v>0</v>
      </c>
      <c r="AJ1638" s="105">
        <f>IF($X$1560&gt;0,PPMT('Assumptions (Geo)'!$V$6,Model!AI$1,'Assumptions (Geo)'!$V$9,'Assumptions (Geo)'!$V$4*Model!$X$1560*AVERAGE('Assumptions (Geo)'!$T$2:$V$2)/10^9),0)</f>
        <v>0</v>
      </c>
      <c r="AK1638" s="105">
        <f>IF($X$1560&gt;0,PPMT('Assumptions (Geo)'!$V$6,Model!AJ$1,'Assumptions (Geo)'!$V$9,'Assumptions (Geo)'!$V$4*Model!$X$1560*AVERAGE('Assumptions (Geo)'!$T$2:$V$2)/10^9),0)</f>
        <v>0</v>
      </c>
      <c r="AL1638" s="105">
        <f>IF($X$1560&gt;0,PPMT('Assumptions (Geo)'!$V$6,Model!AK$1,'Assumptions (Geo)'!$V$9,'Assumptions (Geo)'!$V$4*Model!$X$1560*AVERAGE('Assumptions (Geo)'!$T$2:$V$2)/10^9),0)</f>
        <v>0</v>
      </c>
      <c r="AM1638" s="105"/>
      <c r="AN1638" s="105"/>
      <c r="AO1638" s="105"/>
      <c r="AP1638" s="105"/>
      <c r="AQ1638" s="105"/>
      <c r="AR1638" s="105"/>
      <c r="AS1638" s="105"/>
      <c r="AT1638" s="105"/>
      <c r="AU1638" s="105"/>
      <c r="AV1638" s="105"/>
      <c r="AW1638" s="105"/>
      <c r="AX1638" s="105"/>
      <c r="AY1638" s="105"/>
      <c r="AZ1638" s="105"/>
      <c r="BA1638" s="105"/>
    </row>
    <row r="1639" spans="1:58" ht="15.75" hidden="1" customHeight="1" outlineLevel="1">
      <c r="A1639" s="428"/>
      <c r="B1639" s="99"/>
      <c r="C1639" s="99"/>
      <c r="D1639" s="99"/>
      <c r="E1639" s="99"/>
      <c r="F1639" s="99"/>
      <c r="G1639" s="99"/>
      <c r="H1639" s="99"/>
      <c r="I1639" s="99"/>
      <c r="J1639" s="99"/>
      <c r="K1639" s="99"/>
      <c r="L1639" s="99"/>
      <c r="M1639" s="99"/>
      <c r="N1639" s="99"/>
      <c r="O1639" s="99"/>
      <c r="P1639" s="99"/>
      <c r="Q1639" s="99"/>
      <c r="R1639" s="99"/>
      <c r="S1639" s="99"/>
      <c r="T1639" s="99"/>
      <c r="U1639" s="99"/>
      <c r="V1639" s="99"/>
      <c r="W1639" s="105"/>
      <c r="X1639" s="105"/>
      <c r="Y1639" s="105">
        <f>IF($Y$1560&gt;0,PPMT('Assumptions (Geo)'!$V$6,Model!W$1,'Assumptions (Geo)'!$V$9,'Assumptions (Geo)'!$V$4*Model!$Y$1560*AVERAGE('Assumptions (Geo)'!$U$2:$W$2)/10^9),0)</f>
        <v>0</v>
      </c>
      <c r="Z1639" s="105">
        <f>IF($Y$1560&gt;0,PPMT('Assumptions (Geo)'!$V$6,Model!X$1,'Assumptions (Geo)'!$V$9,'Assumptions (Geo)'!$V$4*Model!$Y$1560*AVERAGE('Assumptions (Geo)'!$U$2:$W$2)/10^9),0)</f>
        <v>0</v>
      </c>
      <c r="AA1639" s="105">
        <f>IF($Y$1560&gt;0,PPMT('Assumptions (Geo)'!$V$6,Model!Y$1,'Assumptions (Geo)'!$V$9,'Assumptions (Geo)'!$V$4*Model!$Y$1560*AVERAGE('Assumptions (Geo)'!$U$2:$W$2)/10^9),0)</f>
        <v>0</v>
      </c>
      <c r="AB1639" s="105">
        <f>IF($Y$1560&gt;0,PPMT('Assumptions (Geo)'!$V$6,Model!Z$1,'Assumptions (Geo)'!$V$9,'Assumptions (Geo)'!$V$4*Model!$Y$1560*AVERAGE('Assumptions (Geo)'!$U$2:$W$2)/10^9),0)</f>
        <v>0</v>
      </c>
      <c r="AC1639" s="105">
        <f>IF($Y$1560&gt;0,PPMT('Assumptions (Geo)'!$V$6,Model!AA$1,'Assumptions (Geo)'!$V$9,'Assumptions (Geo)'!$V$4*Model!$Y$1560*AVERAGE('Assumptions (Geo)'!$U$2:$W$2)/10^9),0)</f>
        <v>0</v>
      </c>
      <c r="AD1639" s="105">
        <f>IF($Y$1560&gt;0,PPMT('Assumptions (Geo)'!$V$6,Model!AB$1,'Assumptions (Geo)'!$V$9,'Assumptions (Geo)'!$V$4*Model!$Y$1560*AVERAGE('Assumptions (Geo)'!$U$2:$W$2)/10^9),0)</f>
        <v>0</v>
      </c>
      <c r="AE1639" s="105">
        <f>IF($Y$1560&gt;0,PPMT('Assumptions (Geo)'!$V$6,Model!AC$1,'Assumptions (Geo)'!$V$9,'Assumptions (Geo)'!$V$4*Model!$Y$1560*AVERAGE('Assumptions (Geo)'!$U$2:$W$2)/10^9),0)</f>
        <v>0</v>
      </c>
      <c r="AF1639" s="105">
        <f>IF($Y$1560&gt;0,PPMT('Assumptions (Geo)'!$V$6,Model!AD$1,'Assumptions (Geo)'!$V$9,'Assumptions (Geo)'!$V$4*Model!$Y$1560*AVERAGE('Assumptions (Geo)'!$U$2:$W$2)/10^9),0)</f>
        <v>0</v>
      </c>
      <c r="AG1639" s="105">
        <f>IF($Y$1560&gt;0,PPMT('Assumptions (Geo)'!$V$6,Model!AE$1,'Assumptions (Geo)'!$V$9,'Assumptions (Geo)'!$V$4*Model!$Y$1560*AVERAGE('Assumptions (Geo)'!$U$2:$W$2)/10^9),0)</f>
        <v>0</v>
      </c>
      <c r="AH1639" s="105">
        <f>IF($Y$1560&gt;0,PPMT('Assumptions (Geo)'!$V$6,Model!AF$1,'Assumptions (Geo)'!$V$9,'Assumptions (Geo)'!$V$4*Model!$Y$1560*AVERAGE('Assumptions (Geo)'!$U$2:$W$2)/10^9),0)</f>
        <v>0</v>
      </c>
      <c r="AI1639" s="105">
        <f>IF($Y$1560&gt;0,PPMT('Assumptions (Geo)'!$V$6,Model!AG$1,'Assumptions (Geo)'!$V$9,'Assumptions (Geo)'!$V$4*Model!$Y$1560*AVERAGE('Assumptions (Geo)'!$U$2:$W$2)/10^9),0)</f>
        <v>0</v>
      </c>
      <c r="AJ1639" s="105">
        <f>IF($Y$1560&gt;0,PPMT('Assumptions (Geo)'!$V$6,Model!AH$1,'Assumptions (Geo)'!$V$9,'Assumptions (Geo)'!$V$4*Model!$Y$1560*AVERAGE('Assumptions (Geo)'!$U$2:$W$2)/10^9),0)</f>
        <v>0</v>
      </c>
      <c r="AK1639" s="105">
        <f>IF($Y$1560&gt;0,PPMT('Assumptions (Geo)'!$V$6,Model!AI$1,'Assumptions (Geo)'!$V$9,'Assumptions (Geo)'!$V$4*Model!$Y$1560*AVERAGE('Assumptions (Geo)'!$U$2:$W$2)/10^9),0)</f>
        <v>0</v>
      </c>
      <c r="AL1639" s="105">
        <f>IF($Y$1560&gt;0,PPMT('Assumptions (Geo)'!$V$6,Model!AJ$1,'Assumptions (Geo)'!$V$9,'Assumptions (Geo)'!$V$4*Model!$Y$1560*AVERAGE('Assumptions (Geo)'!$U$2:$W$2)/10^9),0)</f>
        <v>0</v>
      </c>
      <c r="AM1639" s="105">
        <f>IF($Y$1560&gt;0,PPMT('Assumptions (Geo)'!$V$6,Model!AK$1,'Assumptions (Geo)'!$V$9,'Assumptions (Geo)'!$V$4*Model!$Y$1560*AVERAGE('Assumptions (Geo)'!$U$2:$W$2)/10^9),0)</f>
        <v>0</v>
      </c>
      <c r="AN1639" s="105"/>
      <c r="AO1639" s="105"/>
      <c r="AP1639" s="105"/>
      <c r="AQ1639" s="105"/>
      <c r="AR1639" s="105"/>
      <c r="AS1639" s="105"/>
      <c r="AT1639" s="105"/>
      <c r="AU1639" s="105"/>
      <c r="AV1639" s="105"/>
      <c r="AW1639" s="105"/>
      <c r="AX1639" s="105"/>
      <c r="AY1639" s="105"/>
      <c r="AZ1639" s="105"/>
      <c r="BA1639" s="105"/>
    </row>
    <row r="1640" spans="1:58" ht="15.75" hidden="1" customHeight="1" outlineLevel="1">
      <c r="A1640" s="428"/>
      <c r="B1640" s="99"/>
      <c r="C1640" s="99"/>
      <c r="D1640" s="99"/>
      <c r="E1640" s="99"/>
      <c r="F1640" s="99"/>
      <c r="G1640" s="99"/>
      <c r="H1640" s="99"/>
      <c r="I1640" s="99"/>
      <c r="J1640" s="99"/>
      <c r="K1640" s="99"/>
      <c r="L1640" s="99"/>
      <c r="M1640" s="99"/>
      <c r="N1640" s="99"/>
      <c r="O1640" s="99"/>
      <c r="P1640" s="99"/>
      <c r="Q1640" s="99"/>
      <c r="R1640" s="99"/>
      <c r="S1640" s="99"/>
      <c r="T1640" s="99"/>
      <c r="U1640" s="99"/>
      <c r="V1640" s="99"/>
      <c r="W1640" s="105"/>
      <c r="X1640" s="105"/>
      <c r="Y1640" s="105"/>
      <c r="Z1640" s="105">
        <f>IF($Z$1560&gt;0,PPMT('Assumptions (Geo)'!$V$6,Model!W$1,'Assumptions (Geo)'!$V$9,'Assumptions (Geo)'!$V$4*Model!$Z$1560*AVERAGE('Assumptions (Geo)'!$V$2:$X$2)/10^9),0)</f>
        <v>-5.6642257044693385E-4</v>
      </c>
      <c r="AA1640" s="105">
        <f>IF($Z$1560&gt;0,PPMT('Assumptions (Geo)'!$V$6,Model!X$1,'Assumptions (Geo)'!$V$9,'Assumptions (Geo)'!$V$4*Model!$Z$1560*AVERAGE('Assumptions (Geo)'!$V$2:$X$2)/10^9),0)</f>
        <v>-5.9332764254316315E-4</v>
      </c>
      <c r="AB1640" s="105">
        <f>IF($Z$1560&gt;0,PPMT('Assumptions (Geo)'!$V$6,Model!Y$1,'Assumptions (Geo)'!$V$9,'Assumptions (Geo)'!$V$4*Model!$Z$1560*AVERAGE('Assumptions (Geo)'!$V$2:$X$2)/10^9),0)</f>
        <v>-6.2151070556396341E-4</v>
      </c>
      <c r="AC1640" s="105">
        <f>IF($Z$1560&gt;0,PPMT('Assumptions (Geo)'!$V$6,Model!Z$1,'Assumptions (Geo)'!$V$9,'Assumptions (Geo)'!$V$4*Model!$Z$1560*AVERAGE('Assumptions (Geo)'!$V$2:$X$2)/10^9),0)</f>
        <v>-6.5103246407825159E-4</v>
      </c>
      <c r="AD1640" s="105">
        <f>IF($Z$1560&gt;0,PPMT('Assumptions (Geo)'!$V$6,Model!AA$1,'Assumptions (Geo)'!$V$9,'Assumptions (Geo)'!$V$4*Model!$Z$1560*AVERAGE('Assumptions (Geo)'!$V$2:$X$2)/10^9),0)</f>
        <v>-6.819565061219685E-4</v>
      </c>
      <c r="AE1640" s="105">
        <f>IF($Z$1560&gt;0,PPMT('Assumptions (Geo)'!$V$6,Model!AB$1,'Assumptions (Geo)'!$V$9,'Assumptions (Geo)'!$V$4*Model!$Z$1560*AVERAGE('Assumptions (Geo)'!$V$2:$X$2)/10^9),0)</f>
        <v>-7.1434944016276212E-4</v>
      </c>
      <c r="AF1640" s="105">
        <f>IF($Z$1560&gt;0,PPMT('Assumptions (Geo)'!$V$6,Model!AC$1,'Assumptions (Geo)'!$V$9,'Assumptions (Geo)'!$V$4*Model!$Z$1560*AVERAGE('Assumptions (Geo)'!$V$2:$X$2)/10^9),0)</f>
        <v>-7.4828103857049332E-4</v>
      </c>
      <c r="AG1640" s="105">
        <f>IF($Z$1560&gt;0,PPMT('Assumptions (Geo)'!$V$6,Model!AD$1,'Assumptions (Geo)'!$V$9,'Assumptions (Geo)'!$V$4*Model!$Z$1560*AVERAGE('Assumptions (Geo)'!$V$2:$X$2)/10^9),0)</f>
        <v>-7.838243879025918E-4</v>
      </c>
      <c r="AH1640" s="105">
        <f>IF($Z$1560&gt;0,PPMT('Assumptions (Geo)'!$V$6,Model!AE$1,'Assumptions (Geo)'!$V$9,'Assumptions (Geo)'!$V$4*Model!$Z$1560*AVERAGE('Assumptions (Geo)'!$V$2:$X$2)/10^9),0)</f>
        <v>-8.2105604632796481E-4</v>
      </c>
      <c r="AI1640" s="105">
        <f>IF($Z$1560&gt;0,PPMT('Assumptions (Geo)'!$V$6,Model!AF$1,'Assumptions (Geo)'!$V$9,'Assumptions (Geo)'!$V$4*Model!$Z$1560*AVERAGE('Assumptions (Geo)'!$V$2:$X$2)/10^9),0)</f>
        <v>-8.6005620852854317E-4</v>
      </c>
      <c r="AJ1640" s="105">
        <f>IF($Z$1560&gt;0,PPMT('Assumptions (Geo)'!$V$6,Model!AG$1,'Assumptions (Geo)'!$V$9,'Assumptions (Geo)'!$V$4*Model!$Z$1560*AVERAGE('Assumptions (Geo)'!$V$2:$X$2)/10^9),0)</f>
        <v>-9.0090887843364902E-4</v>
      </c>
      <c r="AK1640" s="105">
        <f>IF($Z$1560&gt;0,PPMT('Assumptions (Geo)'!$V$6,Model!AH$1,'Assumptions (Geo)'!$V$9,'Assumptions (Geo)'!$V$4*Model!$Z$1560*AVERAGE('Assumptions (Geo)'!$V$2:$X$2)/10^9),0)</f>
        <v>-9.4370205015924724E-4</v>
      </c>
      <c r="AL1640" s="105">
        <f>IF($Z$1560&gt;0,PPMT('Assumptions (Geo)'!$V$6,Model!AI$1,'Assumptions (Geo)'!$V$9,'Assumptions (Geo)'!$V$4*Model!$Z$1560*AVERAGE('Assumptions (Geo)'!$V$2:$X$2)/10^9),0)</f>
        <v>-9.885278975418116E-4</v>
      </c>
      <c r="AM1640" s="105">
        <f>IF($Z$1560&gt;0,PPMT('Assumptions (Geo)'!$V$6,Model!AJ$1,'Assumptions (Geo)'!$V$9,'Assumptions (Geo)'!$V$4*Model!$Z$1560*AVERAGE('Assumptions (Geo)'!$V$2:$X$2)/10^9),0)</f>
        <v>-1.0354829726750476E-3</v>
      </c>
      <c r="AN1640" s="105">
        <f>IF($Z$1560&gt;0,PPMT('Assumptions (Geo)'!$V$6,Model!AK$1,'Assumptions (Geo)'!$V$9,'Assumptions (Geo)'!$V$4*Model!$Z$1560*AVERAGE('Assumptions (Geo)'!$V$2:$X$2)/10^9),0)</f>
        <v>-1.0846684138771123E-3</v>
      </c>
      <c r="AO1640" s="105"/>
      <c r="AP1640" s="105"/>
      <c r="AQ1640" s="105"/>
      <c r="AR1640" s="105"/>
      <c r="AS1640" s="105"/>
      <c r="AT1640" s="105"/>
      <c r="AU1640" s="105"/>
      <c r="AV1640" s="105"/>
      <c r="AW1640" s="105"/>
      <c r="AX1640" s="105"/>
      <c r="AY1640" s="105"/>
      <c r="AZ1640" s="105"/>
      <c r="BA1640" s="105"/>
    </row>
    <row r="1641" spans="1:58" ht="15.75" hidden="1" customHeight="1" outlineLevel="1">
      <c r="A1641" s="428"/>
      <c r="B1641" s="99"/>
      <c r="C1641" s="99"/>
      <c r="D1641" s="99"/>
      <c r="E1641" s="99"/>
      <c r="F1641" s="99"/>
      <c r="G1641" s="99"/>
      <c r="H1641" s="99"/>
      <c r="I1641" s="99"/>
      <c r="J1641" s="99"/>
      <c r="K1641" s="99"/>
      <c r="L1641" s="99"/>
      <c r="M1641" s="99"/>
      <c r="N1641" s="99"/>
      <c r="O1641" s="99"/>
      <c r="P1641" s="99"/>
      <c r="Q1641" s="99"/>
      <c r="R1641" s="99"/>
      <c r="S1641" s="99"/>
      <c r="T1641" s="99"/>
      <c r="U1641" s="99"/>
      <c r="V1641" s="99"/>
      <c r="W1641" s="105"/>
      <c r="X1641" s="105"/>
      <c r="Y1641" s="105"/>
      <c r="Z1641" s="105"/>
      <c r="AA1641" s="105">
        <f>IF($AA$1560&gt;0,PPMT('Assumptions (Geo)'!$V$6,Model!W$1,'Assumptions (Geo)'!$V$9,'Assumptions (Geo)'!$V$4*Model!$AA$1560*AVERAGE('Assumptions (Geo)'!$W$2:$Y$2)/10^9),0)</f>
        <v>0</v>
      </c>
      <c r="AB1641" s="105">
        <f>IF($AA$1560&gt;0,PPMT('Assumptions (Geo)'!$V$6,Model!X$1,'Assumptions (Geo)'!$V$9,'Assumptions (Geo)'!$V$4*Model!$AA$1560*AVERAGE('Assumptions (Geo)'!$W$2:$Y$2)/10^9),0)</f>
        <v>0</v>
      </c>
      <c r="AC1641" s="105">
        <f>IF($AA$1560&gt;0,PPMT('Assumptions (Geo)'!$V$6,Model!Y$1,'Assumptions (Geo)'!$V$9,'Assumptions (Geo)'!$V$4*Model!$AA$1560*AVERAGE('Assumptions (Geo)'!$W$2:$Y$2)/10^9),0)</f>
        <v>0</v>
      </c>
      <c r="AD1641" s="105">
        <f>IF($AA$1560&gt;0,PPMT('Assumptions (Geo)'!$V$6,Model!Z$1,'Assumptions (Geo)'!$V$9,'Assumptions (Geo)'!$V$4*Model!$AA$1560*AVERAGE('Assumptions (Geo)'!$W$2:$Y$2)/10^9),0)</f>
        <v>0</v>
      </c>
      <c r="AE1641" s="105">
        <f>IF($AA$1560&gt;0,PPMT('Assumptions (Geo)'!$V$6,Model!AA$1,'Assumptions (Geo)'!$V$9,'Assumptions (Geo)'!$V$4*Model!$AA$1560*AVERAGE('Assumptions (Geo)'!$W$2:$Y$2)/10^9),0)</f>
        <v>0</v>
      </c>
      <c r="AF1641" s="105">
        <f>IF($AA$1560&gt;0,PPMT('Assumptions (Geo)'!$V$6,Model!AB$1,'Assumptions (Geo)'!$V$9,'Assumptions (Geo)'!$V$4*Model!$AA$1560*AVERAGE('Assumptions (Geo)'!$W$2:$Y$2)/10^9),0)</f>
        <v>0</v>
      </c>
      <c r="AG1641" s="105">
        <f>IF($AA$1560&gt;0,PPMT('Assumptions (Geo)'!$V$6,Model!AC$1,'Assumptions (Geo)'!$V$9,'Assumptions (Geo)'!$V$4*Model!$AA$1560*AVERAGE('Assumptions (Geo)'!$W$2:$Y$2)/10^9),0)</f>
        <v>0</v>
      </c>
      <c r="AH1641" s="105">
        <f>IF($AA$1560&gt;0,PPMT('Assumptions (Geo)'!$V$6,Model!AD$1,'Assumptions (Geo)'!$V$9,'Assumptions (Geo)'!$V$4*Model!$AA$1560*AVERAGE('Assumptions (Geo)'!$W$2:$Y$2)/10^9),0)</f>
        <v>0</v>
      </c>
      <c r="AI1641" s="105">
        <f>IF($AA$1560&gt;0,PPMT('Assumptions (Geo)'!$V$6,Model!AE$1,'Assumptions (Geo)'!$V$9,'Assumptions (Geo)'!$V$4*Model!$AA$1560*AVERAGE('Assumptions (Geo)'!$W$2:$Y$2)/10^9),0)</f>
        <v>0</v>
      </c>
      <c r="AJ1641" s="105">
        <f>IF($AA$1560&gt;0,PPMT('Assumptions (Geo)'!$V$6,Model!AF$1,'Assumptions (Geo)'!$V$9,'Assumptions (Geo)'!$V$4*Model!$AA$1560*AVERAGE('Assumptions (Geo)'!$W$2:$Y$2)/10^9),0)</f>
        <v>0</v>
      </c>
      <c r="AK1641" s="105">
        <f>IF($AA$1560&gt;0,PPMT('Assumptions (Geo)'!$V$6,Model!AG$1,'Assumptions (Geo)'!$V$9,'Assumptions (Geo)'!$V$4*Model!$AA$1560*AVERAGE('Assumptions (Geo)'!$W$2:$Y$2)/10^9),0)</f>
        <v>0</v>
      </c>
      <c r="AL1641" s="105">
        <f>IF($AA$1560&gt;0,PPMT('Assumptions (Geo)'!$V$6,Model!AH$1,'Assumptions (Geo)'!$V$9,'Assumptions (Geo)'!$V$4*Model!$AA$1560*AVERAGE('Assumptions (Geo)'!$W$2:$Y$2)/10^9),0)</f>
        <v>0</v>
      </c>
      <c r="AM1641" s="105">
        <f>IF($AA$1560&gt;0,PPMT('Assumptions (Geo)'!$V$6,Model!AI$1,'Assumptions (Geo)'!$V$9,'Assumptions (Geo)'!$V$4*Model!$AA$1560*AVERAGE('Assumptions (Geo)'!$W$2:$Y$2)/10^9),0)</f>
        <v>0</v>
      </c>
      <c r="AN1641" s="105">
        <f>IF($AA$1560&gt;0,PPMT('Assumptions (Geo)'!$V$6,Model!AJ$1,'Assumptions (Geo)'!$V$9,'Assumptions (Geo)'!$V$4*Model!$AA$1560*AVERAGE('Assumptions (Geo)'!$W$2:$Y$2)/10^9),0)</f>
        <v>0</v>
      </c>
      <c r="AO1641" s="105">
        <f>IF($AA$1560&gt;0,PPMT('Assumptions (Geo)'!$V$6,Model!AK$1,'Assumptions (Geo)'!$V$9,'Assumptions (Geo)'!$V$4*Model!$AA$1560*AVERAGE('Assumptions (Geo)'!$W$2:$Y$2)/10^9),0)</f>
        <v>0</v>
      </c>
      <c r="AP1641" s="105"/>
      <c r="AQ1641" s="105"/>
      <c r="AR1641" s="105"/>
      <c r="AS1641" s="105"/>
      <c r="AT1641" s="105"/>
      <c r="AU1641" s="105"/>
      <c r="AV1641" s="105"/>
      <c r="AW1641" s="105"/>
      <c r="AX1641" s="105"/>
      <c r="AY1641" s="105"/>
      <c r="AZ1641" s="105"/>
      <c r="BA1641" s="105"/>
    </row>
    <row r="1642" spans="1:58" ht="15.75" hidden="1" customHeight="1" outlineLevel="1">
      <c r="A1642" s="428"/>
      <c r="B1642" s="99"/>
      <c r="C1642" s="99"/>
      <c r="D1642" s="99"/>
      <c r="E1642" s="99"/>
      <c r="F1642" s="99"/>
      <c r="G1642" s="99"/>
      <c r="H1642" s="99"/>
      <c r="I1642" s="99"/>
      <c r="J1642" s="99"/>
      <c r="K1642" s="99"/>
      <c r="L1642" s="99"/>
      <c r="M1642" s="99"/>
      <c r="N1642" s="99"/>
      <c r="O1642" s="99"/>
      <c r="P1642" s="99"/>
      <c r="Q1642" s="99"/>
      <c r="R1642" s="99"/>
      <c r="S1642" s="99"/>
      <c r="T1642" s="99"/>
      <c r="U1642" s="99"/>
      <c r="V1642" s="99"/>
      <c r="W1642" s="105"/>
      <c r="X1642" s="105"/>
      <c r="Y1642" s="105"/>
      <c r="Z1642" s="105"/>
      <c r="AA1642" s="105"/>
      <c r="AB1642" s="105">
        <f>IF($AB$1560&gt;0,PPMT('Assumptions (Geo)'!$V$6,Model!W$1,'Assumptions (Geo)'!$V$9,'Assumptions (Geo)'!$V$4*Model!$AB$1560*AVERAGE('Assumptions (Geo)'!$X$2:$Z$2)/10^9),0)</f>
        <v>0</v>
      </c>
      <c r="AC1642" s="105">
        <f>IF($AB$1560&gt;0,PPMT('Assumptions (Geo)'!$V$6,Model!X$1,'Assumptions (Geo)'!$V$9,'Assumptions (Geo)'!$V$4*Model!$AB$1560*AVERAGE('Assumptions (Geo)'!$X$2:$Z$2)/10^9),0)</f>
        <v>0</v>
      </c>
      <c r="AD1642" s="105">
        <f>IF($AB$1560&gt;0,PPMT('Assumptions (Geo)'!$V$6,Model!Y$1,'Assumptions (Geo)'!$V$9,'Assumptions (Geo)'!$V$4*Model!$AB$1560*AVERAGE('Assumptions (Geo)'!$X$2:$Z$2)/10^9),0)</f>
        <v>0</v>
      </c>
      <c r="AE1642" s="105">
        <f>IF($AB$1560&gt;0,PPMT('Assumptions (Geo)'!$V$6,Model!Z$1,'Assumptions (Geo)'!$V$9,'Assumptions (Geo)'!$V$4*Model!$AB$1560*AVERAGE('Assumptions (Geo)'!$X$2:$Z$2)/10^9),0)</f>
        <v>0</v>
      </c>
      <c r="AF1642" s="105">
        <f>IF($AB$1560&gt;0,PPMT('Assumptions (Geo)'!$V$6,Model!AA$1,'Assumptions (Geo)'!$V$9,'Assumptions (Geo)'!$V$4*Model!$AB$1560*AVERAGE('Assumptions (Geo)'!$X$2:$Z$2)/10^9),0)</f>
        <v>0</v>
      </c>
      <c r="AG1642" s="105">
        <f>IF($AB$1560&gt;0,PPMT('Assumptions (Geo)'!$V$6,Model!AB$1,'Assumptions (Geo)'!$V$9,'Assumptions (Geo)'!$V$4*Model!$AB$1560*AVERAGE('Assumptions (Geo)'!$X$2:$Z$2)/10^9),0)</f>
        <v>0</v>
      </c>
      <c r="AH1642" s="105">
        <f>IF($AB$1560&gt;0,PPMT('Assumptions (Geo)'!$V$6,Model!AC$1,'Assumptions (Geo)'!$V$9,'Assumptions (Geo)'!$V$4*Model!$AB$1560*AVERAGE('Assumptions (Geo)'!$X$2:$Z$2)/10^9),0)</f>
        <v>0</v>
      </c>
      <c r="AI1642" s="105">
        <f>IF($AB$1560&gt;0,PPMT('Assumptions (Geo)'!$V$6,Model!AD$1,'Assumptions (Geo)'!$V$9,'Assumptions (Geo)'!$V$4*Model!$AB$1560*AVERAGE('Assumptions (Geo)'!$X$2:$Z$2)/10^9),0)</f>
        <v>0</v>
      </c>
      <c r="AJ1642" s="105">
        <f>IF($AB$1560&gt;0,PPMT('Assumptions (Geo)'!$V$6,Model!AE$1,'Assumptions (Geo)'!$V$9,'Assumptions (Geo)'!$V$4*Model!$AB$1560*AVERAGE('Assumptions (Geo)'!$X$2:$Z$2)/10^9),0)</f>
        <v>0</v>
      </c>
      <c r="AK1642" s="105">
        <f>IF($AB$1560&gt;0,PPMT('Assumptions (Geo)'!$V$6,Model!AF$1,'Assumptions (Geo)'!$V$9,'Assumptions (Geo)'!$V$4*Model!$AB$1560*AVERAGE('Assumptions (Geo)'!$X$2:$Z$2)/10^9),0)</f>
        <v>0</v>
      </c>
      <c r="AL1642" s="105">
        <f>IF($AB$1560&gt;0,PPMT('Assumptions (Geo)'!$V$6,Model!AG$1,'Assumptions (Geo)'!$V$9,'Assumptions (Geo)'!$V$4*Model!$AB$1560*AVERAGE('Assumptions (Geo)'!$X$2:$Z$2)/10^9),0)</f>
        <v>0</v>
      </c>
      <c r="AM1642" s="105">
        <f>IF($AB$1560&gt;0,PPMT('Assumptions (Geo)'!$V$6,Model!AH$1,'Assumptions (Geo)'!$V$9,'Assumptions (Geo)'!$V$4*Model!$AB$1560*AVERAGE('Assumptions (Geo)'!$X$2:$Z$2)/10^9),0)</f>
        <v>0</v>
      </c>
      <c r="AN1642" s="105">
        <f>IF($AB$1560&gt;0,PPMT('Assumptions (Geo)'!$V$6,Model!AI$1,'Assumptions (Geo)'!$V$9,'Assumptions (Geo)'!$V$4*Model!$AB$1560*AVERAGE('Assumptions (Geo)'!$X$2:$Z$2)/10^9),0)</f>
        <v>0</v>
      </c>
      <c r="AO1642" s="105">
        <f>IF($AB$1560&gt;0,PPMT('Assumptions (Geo)'!$V$6,Model!AJ$1,'Assumptions (Geo)'!$V$9,'Assumptions (Geo)'!$V$4*Model!$AB$1560*AVERAGE('Assumptions (Geo)'!$X$2:$Z$2)/10^9),0)</f>
        <v>0</v>
      </c>
      <c r="AP1642" s="105">
        <f>IF($AB$1560&gt;0,PPMT('Assumptions (Geo)'!$V$6,Model!AK$1,'Assumptions (Geo)'!$V$9,'Assumptions (Geo)'!$V$4*Model!$AB$1560*AVERAGE('Assumptions (Geo)'!$X$2:$Z$2)/10^9),0)</f>
        <v>0</v>
      </c>
      <c r="AQ1642" s="105"/>
      <c r="AR1642" s="105"/>
      <c r="AS1642" s="105"/>
      <c r="AT1642" s="105"/>
      <c r="AU1642" s="105"/>
      <c r="AV1642" s="105"/>
      <c r="AW1642" s="105"/>
      <c r="AX1642" s="105"/>
      <c r="AY1642" s="105"/>
      <c r="AZ1642" s="105"/>
      <c r="BA1642" s="105"/>
    </row>
    <row r="1643" spans="1:58" ht="15.75" hidden="1" customHeight="1" outlineLevel="1">
      <c r="A1643" s="428"/>
      <c r="B1643" s="99"/>
      <c r="C1643" s="99"/>
      <c r="D1643" s="99"/>
      <c r="E1643" s="99"/>
      <c r="F1643" s="99"/>
      <c r="G1643" s="99"/>
      <c r="H1643" s="99"/>
      <c r="I1643" s="99"/>
      <c r="J1643" s="99"/>
      <c r="K1643" s="99"/>
      <c r="L1643" s="99"/>
      <c r="M1643" s="99"/>
      <c r="N1643" s="99"/>
      <c r="O1643" s="99"/>
      <c r="P1643" s="99"/>
      <c r="Q1643" s="99"/>
      <c r="R1643" s="99"/>
      <c r="S1643" s="99"/>
      <c r="T1643" s="99"/>
      <c r="U1643" s="99"/>
      <c r="V1643" s="99"/>
      <c r="W1643" s="105"/>
      <c r="X1643" s="105"/>
      <c r="Y1643" s="105"/>
      <c r="Z1643" s="105"/>
      <c r="AA1643" s="105"/>
      <c r="AB1643" s="105"/>
      <c r="AC1643" s="105">
        <f>IF($AC$1560&gt;0,PPMT('Assumptions (Geo)'!$V$6,Model!W$1,'Assumptions (Geo)'!$V$9,'Assumptions (Geo)'!$V$4*Model!$AC$1560*AVERAGE('Assumptions (Geo)'!$Y$2:$AA$2)/10^9),0)</f>
        <v>0</v>
      </c>
      <c r="AD1643" s="105">
        <f>IF($AC$1560&gt;0,PPMT('Assumptions (Geo)'!$V$6,Model!X$1,'Assumptions (Geo)'!$V$9,'Assumptions (Geo)'!$V$4*Model!$AC$1560*AVERAGE('Assumptions (Geo)'!$Y$2:$AA$2)/10^9),0)</f>
        <v>0</v>
      </c>
      <c r="AE1643" s="105">
        <f>IF($AC$1560&gt;0,PPMT('Assumptions (Geo)'!$V$6,Model!Y$1,'Assumptions (Geo)'!$V$9,'Assumptions (Geo)'!$V$4*Model!$AC$1560*AVERAGE('Assumptions (Geo)'!$Y$2:$AA$2)/10^9),0)</f>
        <v>0</v>
      </c>
      <c r="AF1643" s="105">
        <f>IF($AC$1560&gt;0,PPMT('Assumptions (Geo)'!$V$6,Model!Z$1,'Assumptions (Geo)'!$V$9,'Assumptions (Geo)'!$V$4*Model!$AC$1560*AVERAGE('Assumptions (Geo)'!$Y$2:$AA$2)/10^9),0)</f>
        <v>0</v>
      </c>
      <c r="AG1643" s="105">
        <f>IF($AC$1560&gt;0,PPMT('Assumptions (Geo)'!$V$6,Model!AA$1,'Assumptions (Geo)'!$V$9,'Assumptions (Geo)'!$V$4*Model!$AC$1560*AVERAGE('Assumptions (Geo)'!$Y$2:$AA$2)/10^9),0)</f>
        <v>0</v>
      </c>
      <c r="AH1643" s="105">
        <f>IF($AC$1560&gt;0,PPMT('Assumptions (Geo)'!$V$6,Model!AB$1,'Assumptions (Geo)'!$V$9,'Assumptions (Geo)'!$V$4*Model!$AC$1560*AVERAGE('Assumptions (Geo)'!$Y$2:$AA$2)/10^9),0)</f>
        <v>0</v>
      </c>
      <c r="AI1643" s="105">
        <f>IF($AC$1560&gt;0,PPMT('Assumptions (Geo)'!$V$6,Model!AC$1,'Assumptions (Geo)'!$V$9,'Assumptions (Geo)'!$V$4*Model!$AC$1560*AVERAGE('Assumptions (Geo)'!$Y$2:$AA$2)/10^9),0)</f>
        <v>0</v>
      </c>
      <c r="AJ1643" s="105">
        <f>IF($AC$1560&gt;0,PPMT('Assumptions (Geo)'!$V$6,Model!AD$1,'Assumptions (Geo)'!$V$9,'Assumptions (Geo)'!$V$4*Model!$AC$1560*AVERAGE('Assumptions (Geo)'!$Y$2:$AA$2)/10^9),0)</f>
        <v>0</v>
      </c>
      <c r="AK1643" s="105">
        <f>IF($AC$1560&gt;0,PPMT('Assumptions (Geo)'!$V$6,Model!AE$1,'Assumptions (Geo)'!$V$9,'Assumptions (Geo)'!$V$4*Model!$AC$1560*AVERAGE('Assumptions (Geo)'!$Y$2:$AA$2)/10^9),0)</f>
        <v>0</v>
      </c>
      <c r="AL1643" s="105">
        <f>IF($AC$1560&gt;0,PPMT('Assumptions (Geo)'!$V$6,Model!AF$1,'Assumptions (Geo)'!$V$9,'Assumptions (Geo)'!$V$4*Model!$AC$1560*AVERAGE('Assumptions (Geo)'!$Y$2:$AA$2)/10^9),0)</f>
        <v>0</v>
      </c>
      <c r="AM1643" s="105">
        <f>IF($AC$1560&gt;0,PPMT('Assumptions (Geo)'!$V$6,Model!AG$1,'Assumptions (Geo)'!$V$9,'Assumptions (Geo)'!$V$4*Model!$AC$1560*AVERAGE('Assumptions (Geo)'!$Y$2:$AA$2)/10^9),0)</f>
        <v>0</v>
      </c>
      <c r="AN1643" s="105">
        <f>IF($AC$1560&gt;0,PPMT('Assumptions (Geo)'!$V$6,Model!AH$1,'Assumptions (Geo)'!$V$9,'Assumptions (Geo)'!$V$4*Model!$AC$1560*AVERAGE('Assumptions (Geo)'!$Y$2:$AA$2)/10^9),0)</f>
        <v>0</v>
      </c>
      <c r="AO1643" s="105">
        <f>IF($AC$1560&gt;0,PPMT('Assumptions (Geo)'!$V$6,Model!AI$1,'Assumptions (Geo)'!$V$9,'Assumptions (Geo)'!$V$4*Model!$AC$1560*AVERAGE('Assumptions (Geo)'!$Y$2:$AA$2)/10^9),0)</f>
        <v>0</v>
      </c>
      <c r="AP1643" s="105">
        <f>IF($AC$1560&gt;0,PPMT('Assumptions (Geo)'!$V$6,Model!AJ$1,'Assumptions (Geo)'!$V$9,'Assumptions (Geo)'!$V$4*Model!$AC$1560*AVERAGE('Assumptions (Geo)'!$Y$2:$AA$2)/10^9),0)</f>
        <v>0</v>
      </c>
      <c r="AQ1643" s="105">
        <f>IF($AC$1560&gt;0,PPMT('Assumptions (Geo)'!$V$6,Model!AK$1,'Assumptions (Geo)'!$V$9,'Assumptions (Geo)'!$V$4*Model!$AC$1560*AVERAGE('Assumptions (Geo)'!$Y$2:$AA$2)/10^9),0)</f>
        <v>0</v>
      </c>
      <c r="AR1643" s="105"/>
      <c r="AS1643" s="105"/>
      <c r="AT1643" s="105"/>
      <c r="AU1643" s="105"/>
      <c r="AV1643" s="105"/>
      <c r="AW1643" s="105"/>
      <c r="AX1643" s="105"/>
      <c r="AY1643" s="105"/>
      <c r="AZ1643" s="105"/>
      <c r="BA1643" s="105"/>
    </row>
    <row r="1644" spans="1:58" ht="15.75" hidden="1" customHeight="1" outlineLevel="1">
      <c r="A1644" s="428"/>
      <c r="B1644" s="99"/>
      <c r="C1644" s="99"/>
      <c r="D1644" s="99"/>
      <c r="E1644" s="99"/>
      <c r="F1644" s="99"/>
      <c r="G1644" s="99"/>
      <c r="H1644" s="99"/>
      <c r="I1644" s="99"/>
      <c r="J1644" s="99"/>
      <c r="K1644" s="99"/>
      <c r="L1644" s="99"/>
      <c r="M1644" s="99"/>
      <c r="N1644" s="99"/>
      <c r="O1644" s="99"/>
      <c r="P1644" s="99"/>
      <c r="Q1644" s="99"/>
      <c r="R1644" s="99"/>
      <c r="S1644" s="99"/>
      <c r="T1644" s="99"/>
      <c r="U1644" s="99"/>
      <c r="V1644" s="99"/>
      <c r="W1644" s="105"/>
      <c r="X1644" s="105"/>
      <c r="Y1644" s="105"/>
      <c r="Z1644" s="105"/>
      <c r="AA1644" s="105"/>
      <c r="AB1644" s="105"/>
      <c r="AC1644" s="105"/>
      <c r="AD1644" s="105">
        <f>IF($AD$1560&gt;0,PPMT('Assumptions (Geo)'!$V$6,Model!W$1,'Assumptions (Geo)'!$V$9,'Assumptions (Geo)'!$V$4*Model!$AD$1560*AVERAGE('Assumptions (Geo)'!$Z$2:$AB$2)/10^9),0)</f>
        <v>0</v>
      </c>
      <c r="AE1644" s="105">
        <f>IF($AD$1560&gt;0,PPMT('Assumptions (Geo)'!$V$6,Model!X$1,'Assumptions (Geo)'!$V$9,'Assumptions (Geo)'!$V$4*Model!$AD$1560*AVERAGE('Assumptions (Geo)'!$Z$2:$AB$2)/10^9),0)</f>
        <v>0</v>
      </c>
      <c r="AF1644" s="105">
        <f>IF($AD$1560&gt;0,PPMT('Assumptions (Geo)'!$V$6,Model!Y$1,'Assumptions (Geo)'!$V$9,'Assumptions (Geo)'!$V$4*Model!$AD$1560*AVERAGE('Assumptions (Geo)'!$Z$2:$AB$2)/10^9),0)</f>
        <v>0</v>
      </c>
      <c r="AG1644" s="105">
        <f>IF($AD$1560&gt;0,PPMT('Assumptions (Geo)'!$V$6,Model!Z$1,'Assumptions (Geo)'!$V$9,'Assumptions (Geo)'!$V$4*Model!$AD$1560*AVERAGE('Assumptions (Geo)'!$Z$2:$AB$2)/10^9),0)</f>
        <v>0</v>
      </c>
      <c r="AH1644" s="105">
        <f>IF($AD$1560&gt;0,PPMT('Assumptions (Geo)'!$V$6,Model!AA$1,'Assumptions (Geo)'!$V$9,'Assumptions (Geo)'!$V$4*Model!$AD$1560*AVERAGE('Assumptions (Geo)'!$Z$2:$AB$2)/10^9),0)</f>
        <v>0</v>
      </c>
      <c r="AI1644" s="105">
        <f>IF($AD$1560&gt;0,PPMT('Assumptions (Geo)'!$V$6,Model!AB$1,'Assumptions (Geo)'!$V$9,'Assumptions (Geo)'!$V$4*Model!$AD$1560*AVERAGE('Assumptions (Geo)'!$Z$2:$AB$2)/10^9),0)</f>
        <v>0</v>
      </c>
      <c r="AJ1644" s="105">
        <f>IF($AD$1560&gt;0,PPMT('Assumptions (Geo)'!$V$6,Model!AC$1,'Assumptions (Geo)'!$V$9,'Assumptions (Geo)'!$V$4*Model!$AD$1560*AVERAGE('Assumptions (Geo)'!$Z$2:$AB$2)/10^9),0)</f>
        <v>0</v>
      </c>
      <c r="AK1644" s="105">
        <f>IF($AD$1560&gt;0,PPMT('Assumptions (Geo)'!$V$6,Model!AD$1,'Assumptions (Geo)'!$V$9,'Assumptions (Geo)'!$V$4*Model!$AD$1560*AVERAGE('Assumptions (Geo)'!$Z$2:$AB$2)/10^9),0)</f>
        <v>0</v>
      </c>
      <c r="AL1644" s="105">
        <f>IF($AD$1560&gt;0,PPMT('Assumptions (Geo)'!$V$6,Model!AE$1,'Assumptions (Geo)'!$V$9,'Assumptions (Geo)'!$V$4*Model!$AD$1560*AVERAGE('Assumptions (Geo)'!$Z$2:$AB$2)/10^9),0)</f>
        <v>0</v>
      </c>
      <c r="AM1644" s="105">
        <f>IF($AD$1560&gt;0,PPMT('Assumptions (Geo)'!$V$6,Model!AF$1,'Assumptions (Geo)'!$V$9,'Assumptions (Geo)'!$V$4*Model!$AD$1560*AVERAGE('Assumptions (Geo)'!$Z$2:$AB$2)/10^9),0)</f>
        <v>0</v>
      </c>
      <c r="AN1644" s="105">
        <f>IF($AD$1560&gt;0,PPMT('Assumptions (Geo)'!$V$6,Model!AG$1,'Assumptions (Geo)'!$V$9,'Assumptions (Geo)'!$V$4*Model!$AD$1560*AVERAGE('Assumptions (Geo)'!$Z$2:$AB$2)/10^9),0)</f>
        <v>0</v>
      </c>
      <c r="AO1644" s="105">
        <f>IF($AD$1560&gt;0,PPMT('Assumptions (Geo)'!$V$6,Model!AH$1,'Assumptions (Geo)'!$V$9,'Assumptions (Geo)'!$V$4*Model!$AD$1560*AVERAGE('Assumptions (Geo)'!$Z$2:$AB$2)/10^9),0)</f>
        <v>0</v>
      </c>
      <c r="AP1644" s="105">
        <f>IF($AD$1560&gt;0,PPMT('Assumptions (Geo)'!$V$6,Model!AI$1,'Assumptions (Geo)'!$V$9,'Assumptions (Geo)'!$V$4*Model!$AD$1560*AVERAGE('Assumptions (Geo)'!$Z$2:$AB$2)/10^9),0)</f>
        <v>0</v>
      </c>
      <c r="AQ1644" s="105">
        <f>IF($AD$1560&gt;0,PPMT('Assumptions (Geo)'!$V$6,Model!AJ$1,'Assumptions (Geo)'!$V$9,'Assumptions (Geo)'!$V$4*Model!$AD$1560*AVERAGE('Assumptions (Geo)'!$Z$2:$AB$2)/10^9),0)</f>
        <v>0</v>
      </c>
      <c r="AR1644" s="105">
        <f>IF($AD$1560&gt;0,PPMT('Assumptions (Geo)'!$V$6,Model!AK$1,'Assumptions (Geo)'!$V$9,'Assumptions (Geo)'!$V$4*Model!$AD$1560*AVERAGE('Assumptions (Geo)'!$Z$2:$AB$2)/10^9),0)</f>
        <v>0</v>
      </c>
      <c r="AS1644" s="105"/>
      <c r="AT1644" s="105"/>
      <c r="AU1644" s="105"/>
      <c r="AV1644" s="105"/>
      <c r="AW1644" s="105"/>
      <c r="AX1644" s="105"/>
      <c r="AY1644" s="105"/>
      <c r="AZ1644" s="105"/>
      <c r="BA1644" s="105"/>
      <c r="BB1644" s="105"/>
    </row>
    <row r="1645" spans="1:58" ht="15.75" hidden="1" customHeight="1" outlineLevel="1">
      <c r="A1645" s="428"/>
      <c r="B1645" s="99"/>
      <c r="C1645" s="99"/>
      <c r="D1645" s="99"/>
      <c r="E1645" s="99"/>
      <c r="F1645" s="99"/>
      <c r="G1645" s="99"/>
      <c r="H1645" s="99"/>
      <c r="I1645" s="99"/>
      <c r="J1645" s="99"/>
      <c r="K1645" s="99"/>
      <c r="L1645" s="99"/>
      <c r="M1645" s="99"/>
      <c r="N1645" s="99"/>
      <c r="O1645" s="99"/>
      <c r="P1645" s="99"/>
      <c r="Q1645" s="99"/>
      <c r="R1645" s="99"/>
      <c r="S1645" s="99"/>
      <c r="T1645" s="99"/>
      <c r="U1645" s="99"/>
      <c r="V1645" s="99"/>
      <c r="W1645" s="105"/>
      <c r="X1645" s="105"/>
      <c r="Y1645" s="105"/>
      <c r="Z1645" s="105"/>
      <c r="AA1645" s="105"/>
      <c r="AB1645" s="105"/>
      <c r="AC1645" s="105"/>
      <c r="AD1645" s="105"/>
      <c r="AE1645" s="105">
        <f>IF($AE$1560&gt;0,PPMT('Assumptions (Geo)'!$V$6,Model!W$1,'Assumptions (Geo)'!$V$9,'Assumptions (Geo)'!$V$4*Model!$AE$1560*AVERAGE('Assumptions (Geo)'!$AA$2:$AC$2)/10^9),0)</f>
        <v>0</v>
      </c>
      <c r="AF1645" s="105">
        <f>IF($AE$1560&gt;0,PPMT('Assumptions (Geo)'!$V$6,Model!X$1,'Assumptions (Geo)'!$V$9,'Assumptions (Geo)'!$V$4*Model!$AE$1560*AVERAGE('Assumptions (Geo)'!$AA$2:$AC$2)/10^9),0)</f>
        <v>0</v>
      </c>
      <c r="AG1645" s="105">
        <f>IF($AE$1560&gt;0,PPMT('Assumptions (Geo)'!$V$6,Model!Y$1,'Assumptions (Geo)'!$V$9,'Assumptions (Geo)'!$V$4*Model!$AE$1560*AVERAGE('Assumptions (Geo)'!$AA$2:$AC$2)/10^9),0)</f>
        <v>0</v>
      </c>
      <c r="AH1645" s="105">
        <f>IF($AE$1560&gt;0,PPMT('Assumptions (Geo)'!$V$6,Model!Z$1,'Assumptions (Geo)'!$V$9,'Assumptions (Geo)'!$V$4*Model!$AE$1560*AVERAGE('Assumptions (Geo)'!$AA$2:$AC$2)/10^9),0)</f>
        <v>0</v>
      </c>
      <c r="AI1645" s="105">
        <f>IF($AE$1560&gt;0,PPMT('Assumptions (Geo)'!$V$6,Model!AA$1,'Assumptions (Geo)'!$V$9,'Assumptions (Geo)'!$V$4*Model!$AE$1560*AVERAGE('Assumptions (Geo)'!$AA$2:$AC$2)/10^9),0)</f>
        <v>0</v>
      </c>
      <c r="AJ1645" s="105">
        <f>IF($AE$1560&gt;0,PPMT('Assumptions (Geo)'!$V$6,Model!AB$1,'Assumptions (Geo)'!$V$9,'Assumptions (Geo)'!$V$4*Model!$AE$1560*AVERAGE('Assumptions (Geo)'!$AA$2:$AC$2)/10^9),0)</f>
        <v>0</v>
      </c>
      <c r="AK1645" s="105">
        <f>IF($AE$1560&gt;0,PPMT('Assumptions (Geo)'!$V$6,Model!AC$1,'Assumptions (Geo)'!$V$9,'Assumptions (Geo)'!$V$4*Model!$AE$1560*AVERAGE('Assumptions (Geo)'!$AA$2:$AC$2)/10^9),0)</f>
        <v>0</v>
      </c>
      <c r="AL1645" s="105">
        <f>IF($AE$1560&gt;0,PPMT('Assumptions (Geo)'!$V$6,Model!AD$1,'Assumptions (Geo)'!$V$9,'Assumptions (Geo)'!$V$4*Model!$AE$1560*AVERAGE('Assumptions (Geo)'!$AA$2:$AC$2)/10^9),0)</f>
        <v>0</v>
      </c>
      <c r="AM1645" s="105">
        <f>IF($AE$1560&gt;0,PPMT('Assumptions (Geo)'!$V$6,Model!AE$1,'Assumptions (Geo)'!$V$9,'Assumptions (Geo)'!$V$4*Model!$AE$1560*AVERAGE('Assumptions (Geo)'!$AA$2:$AC$2)/10^9),0)</f>
        <v>0</v>
      </c>
      <c r="AN1645" s="105">
        <f>IF($AE$1560&gt;0,PPMT('Assumptions (Geo)'!$V$6,Model!AF$1,'Assumptions (Geo)'!$V$9,'Assumptions (Geo)'!$V$4*Model!$AE$1560*AVERAGE('Assumptions (Geo)'!$AA$2:$AC$2)/10^9),0)</f>
        <v>0</v>
      </c>
      <c r="AO1645" s="105">
        <f>IF($AE$1560&gt;0,PPMT('Assumptions (Geo)'!$V$6,Model!AG$1,'Assumptions (Geo)'!$V$9,'Assumptions (Geo)'!$V$4*Model!$AE$1560*AVERAGE('Assumptions (Geo)'!$AA$2:$AC$2)/10^9),0)</f>
        <v>0</v>
      </c>
      <c r="AP1645" s="105">
        <f>IF($AE$1560&gt;0,PPMT('Assumptions (Geo)'!$V$6,Model!AH$1,'Assumptions (Geo)'!$V$9,'Assumptions (Geo)'!$V$4*Model!$AE$1560*AVERAGE('Assumptions (Geo)'!$AA$2:$AC$2)/10^9),0)</f>
        <v>0</v>
      </c>
      <c r="AQ1645" s="105">
        <f>IF($AE$1560&gt;0,PPMT('Assumptions (Geo)'!$V$6,Model!AI$1,'Assumptions (Geo)'!$V$9,'Assumptions (Geo)'!$V$4*Model!$AE$1560*AVERAGE('Assumptions (Geo)'!$AA$2:$AC$2)/10^9),0)</f>
        <v>0</v>
      </c>
      <c r="AR1645" s="105">
        <f>IF($AE$1560&gt;0,PPMT('Assumptions (Geo)'!$V$6,Model!AJ$1,'Assumptions (Geo)'!$V$9,'Assumptions (Geo)'!$V$4*Model!$AE$1560*AVERAGE('Assumptions (Geo)'!$AA$2:$AC$2)/10^9),0)</f>
        <v>0</v>
      </c>
      <c r="AS1645" s="105">
        <f>IF($AE$1560&gt;0,PPMT('Assumptions (Geo)'!$V$6,Model!AK$1,'Assumptions (Geo)'!$V$9,'Assumptions (Geo)'!$V$4*Model!$AE$1560*AVERAGE('Assumptions (Geo)'!$AA$2:$AC$2)/10^9),0)</f>
        <v>0</v>
      </c>
      <c r="AT1645" s="105"/>
      <c r="AU1645" s="105"/>
      <c r="AV1645" s="105"/>
      <c r="AW1645" s="105"/>
      <c r="AX1645" s="105"/>
      <c r="AY1645" s="105"/>
      <c r="AZ1645" s="105"/>
      <c r="BA1645" s="105"/>
      <c r="BB1645" s="105"/>
      <c r="BC1645" s="105"/>
    </row>
    <row r="1646" spans="1:58" ht="15.75" hidden="1" customHeight="1" outlineLevel="1">
      <c r="A1646" s="428"/>
      <c r="B1646" s="99"/>
      <c r="C1646" s="99"/>
      <c r="D1646" s="99"/>
      <c r="E1646" s="99"/>
      <c r="F1646" s="99"/>
      <c r="G1646" s="99"/>
      <c r="H1646" s="99"/>
      <c r="I1646" s="99"/>
      <c r="J1646" s="99"/>
      <c r="K1646" s="99"/>
      <c r="L1646" s="99"/>
      <c r="M1646" s="99"/>
      <c r="N1646" s="99"/>
      <c r="O1646" s="99"/>
      <c r="P1646" s="99"/>
      <c r="Q1646" s="99"/>
      <c r="R1646" s="99"/>
      <c r="S1646" s="99"/>
      <c r="T1646" s="99"/>
      <c r="U1646" s="99"/>
      <c r="V1646" s="99"/>
      <c r="W1646" s="105"/>
      <c r="X1646" s="105"/>
      <c r="Y1646" s="105"/>
      <c r="Z1646" s="105"/>
      <c r="AA1646" s="105"/>
      <c r="AB1646" s="105"/>
      <c r="AC1646" s="105"/>
      <c r="AD1646" s="105"/>
      <c r="AE1646" s="105"/>
      <c r="AF1646" s="105">
        <f>IF($AF$1560&gt;0,PPMT('Assumptions (Geo)'!$V$6,Model!W$1,'Assumptions (Geo)'!$V$9,'Assumptions (Geo)'!$V$4*Model!$AF$1560*AVERAGE('Assumptions (Geo)'!$AB$2:$AD$2)/10^9),0)</f>
        <v>0</v>
      </c>
      <c r="AG1646" s="105">
        <f>IF($AF$1560&gt;0,PPMT('Assumptions (Geo)'!$V$6,Model!X$1,'Assumptions (Geo)'!$V$9,'Assumptions (Geo)'!$V$4*Model!$AF$1560*AVERAGE('Assumptions (Geo)'!$AB$2:$AD$2)/10^9),0)</f>
        <v>0</v>
      </c>
      <c r="AH1646" s="105">
        <f>IF($AF$1560&gt;0,PPMT('Assumptions (Geo)'!$V$6,Model!Y$1,'Assumptions (Geo)'!$V$9,'Assumptions (Geo)'!$V$4*Model!$AF$1560*AVERAGE('Assumptions (Geo)'!$AB$2:$AD$2)/10^9),0)</f>
        <v>0</v>
      </c>
      <c r="AI1646" s="105">
        <f>IF($AF$1560&gt;0,PPMT('Assumptions (Geo)'!$V$6,Model!Z$1,'Assumptions (Geo)'!$V$9,'Assumptions (Geo)'!$V$4*Model!$AF$1560*AVERAGE('Assumptions (Geo)'!$AB$2:$AD$2)/10^9),0)</f>
        <v>0</v>
      </c>
      <c r="AJ1646" s="105">
        <f>IF($AF$1560&gt;0,PPMT('Assumptions (Geo)'!$V$6,Model!AA$1,'Assumptions (Geo)'!$V$9,'Assumptions (Geo)'!$V$4*Model!$AF$1560*AVERAGE('Assumptions (Geo)'!$AB$2:$AD$2)/10^9),0)</f>
        <v>0</v>
      </c>
      <c r="AK1646" s="105">
        <f>IF($AF$1560&gt;0,PPMT('Assumptions (Geo)'!$V$6,Model!AB$1,'Assumptions (Geo)'!$V$9,'Assumptions (Geo)'!$V$4*Model!$AF$1560*AVERAGE('Assumptions (Geo)'!$AB$2:$AD$2)/10^9),0)</f>
        <v>0</v>
      </c>
      <c r="AL1646" s="105">
        <f>IF($AF$1560&gt;0,PPMT('Assumptions (Geo)'!$V$6,Model!AC$1,'Assumptions (Geo)'!$V$9,'Assumptions (Geo)'!$V$4*Model!$AF$1560*AVERAGE('Assumptions (Geo)'!$AB$2:$AD$2)/10^9),0)</f>
        <v>0</v>
      </c>
      <c r="AM1646" s="105">
        <f>IF($AF$1560&gt;0,PPMT('Assumptions (Geo)'!$V$6,Model!AD$1,'Assumptions (Geo)'!$V$9,'Assumptions (Geo)'!$V$4*Model!$AF$1560*AVERAGE('Assumptions (Geo)'!$AB$2:$AD$2)/10^9),0)</f>
        <v>0</v>
      </c>
      <c r="AN1646" s="105">
        <f>IF($AF$1560&gt;0,PPMT('Assumptions (Geo)'!$V$6,Model!AE$1,'Assumptions (Geo)'!$V$9,'Assumptions (Geo)'!$V$4*Model!$AF$1560*AVERAGE('Assumptions (Geo)'!$AB$2:$AD$2)/10^9),0)</f>
        <v>0</v>
      </c>
      <c r="AO1646" s="105">
        <f>IF($AF$1560&gt;0,PPMT('Assumptions (Geo)'!$V$6,Model!AF$1,'Assumptions (Geo)'!$V$9,'Assumptions (Geo)'!$V$4*Model!$AF$1560*AVERAGE('Assumptions (Geo)'!$AB$2:$AD$2)/10^9),0)</f>
        <v>0</v>
      </c>
      <c r="AP1646" s="105">
        <f>IF($AF$1560&gt;0,PPMT('Assumptions (Geo)'!$V$6,Model!AG$1,'Assumptions (Geo)'!$V$9,'Assumptions (Geo)'!$V$4*Model!$AF$1560*AVERAGE('Assumptions (Geo)'!$AB$2:$AD$2)/10^9),0)</f>
        <v>0</v>
      </c>
      <c r="AQ1646" s="105">
        <f>IF($AF$1560&gt;0,PPMT('Assumptions (Geo)'!$V$6,Model!AH$1,'Assumptions (Geo)'!$V$9,'Assumptions (Geo)'!$V$4*Model!$AF$1560*AVERAGE('Assumptions (Geo)'!$AB$2:$AD$2)/10^9),0)</f>
        <v>0</v>
      </c>
      <c r="AR1646" s="105">
        <f>IF($AF$1560&gt;0,PPMT('Assumptions (Geo)'!$V$6,Model!AI$1,'Assumptions (Geo)'!$V$9,'Assumptions (Geo)'!$V$4*Model!$AF$1560*AVERAGE('Assumptions (Geo)'!$AB$2:$AD$2)/10^9),0)</f>
        <v>0</v>
      </c>
      <c r="AS1646" s="105">
        <f>IF($AF$1560&gt;0,PPMT('Assumptions (Geo)'!$V$6,Model!AJ$1,'Assumptions (Geo)'!$V$9,'Assumptions (Geo)'!$V$4*Model!$AF$1560*AVERAGE('Assumptions (Geo)'!$AB$2:$AD$2)/10^9),0)</f>
        <v>0</v>
      </c>
      <c r="AT1646" s="105">
        <f>IF($AF$1560&gt;0,PPMT('Assumptions (Geo)'!$V$6,Model!AK$1,'Assumptions (Geo)'!$V$9,'Assumptions (Geo)'!$V$4*Model!$AF$1560*AVERAGE('Assumptions (Geo)'!$AB$2:$AD$2)/10^9),0)</f>
        <v>0</v>
      </c>
      <c r="AU1646" s="105"/>
      <c r="AV1646" s="105"/>
      <c r="AW1646" s="105"/>
      <c r="AX1646" s="105"/>
      <c r="AY1646" s="105"/>
      <c r="AZ1646" s="105"/>
      <c r="BA1646" s="105"/>
      <c r="BB1646" s="105"/>
      <c r="BC1646" s="105"/>
      <c r="BD1646" s="105"/>
    </row>
    <row r="1647" spans="1:58" ht="15.75" hidden="1" customHeight="1" outlineLevel="1">
      <c r="A1647" s="428"/>
      <c r="B1647" s="99"/>
      <c r="C1647" s="99"/>
      <c r="D1647" s="99"/>
      <c r="E1647" s="99"/>
      <c r="F1647" s="99"/>
      <c r="G1647" s="99"/>
      <c r="H1647" s="99"/>
      <c r="I1647" s="99"/>
      <c r="J1647" s="99"/>
      <c r="K1647" s="99"/>
      <c r="L1647" s="99"/>
      <c r="M1647" s="99"/>
      <c r="N1647" s="99"/>
      <c r="O1647" s="99"/>
      <c r="P1647" s="99"/>
      <c r="Q1647" s="99"/>
      <c r="R1647" s="99"/>
      <c r="S1647" s="99"/>
      <c r="T1647" s="99"/>
      <c r="U1647" s="99"/>
      <c r="V1647" s="99"/>
      <c r="W1647" s="105"/>
      <c r="X1647" s="105"/>
      <c r="Y1647" s="105"/>
      <c r="Z1647" s="105"/>
      <c r="AA1647" s="105"/>
      <c r="AB1647" s="105"/>
      <c r="AC1647" s="105"/>
      <c r="AD1647" s="105"/>
      <c r="AE1647" s="105"/>
      <c r="AF1647" s="105"/>
      <c r="AG1647" s="105">
        <f>IF($AG$1560&gt;0,PPMT('Assumptions (Geo)'!$V$6,Model!W$1,'Assumptions (Geo)'!$V$9,'Assumptions (Geo)'!$V$4*Model!$AG$1560*AVERAGE('Assumptions (Geo)'!$AC$2:$AE$2)/10^9),0)</f>
        <v>0</v>
      </c>
      <c r="AH1647" s="105">
        <f>IF($AG$1560&gt;0,PPMT('Assumptions (Geo)'!$V$6,Model!X$1,'Assumptions (Geo)'!$V$9,'Assumptions (Geo)'!$V$4*Model!$AG$1560*AVERAGE('Assumptions (Geo)'!$AC$2:$AE$2)/10^9),0)</f>
        <v>0</v>
      </c>
      <c r="AI1647" s="105">
        <f>IF($AG$1560&gt;0,PPMT('Assumptions (Geo)'!$V$6,Model!Y$1,'Assumptions (Geo)'!$V$9,'Assumptions (Geo)'!$V$4*Model!$AG$1560*AVERAGE('Assumptions (Geo)'!$AC$2:$AE$2)/10^9),0)</f>
        <v>0</v>
      </c>
      <c r="AJ1647" s="105">
        <f>IF($AG$1560&gt;0,PPMT('Assumptions (Geo)'!$V$6,Model!Z$1,'Assumptions (Geo)'!$V$9,'Assumptions (Geo)'!$V$4*Model!$AG$1560*AVERAGE('Assumptions (Geo)'!$AC$2:$AE$2)/10^9),0)</f>
        <v>0</v>
      </c>
      <c r="AK1647" s="105">
        <f>IF($AG$1560&gt;0,PPMT('Assumptions (Geo)'!$V$6,Model!AA$1,'Assumptions (Geo)'!$V$9,'Assumptions (Geo)'!$V$4*Model!$AG$1560*AVERAGE('Assumptions (Geo)'!$AC$2:$AE$2)/10^9),0)</f>
        <v>0</v>
      </c>
      <c r="AL1647" s="105">
        <f>IF($AG$1560&gt;0,PPMT('Assumptions (Geo)'!$V$6,Model!AB$1,'Assumptions (Geo)'!$V$9,'Assumptions (Geo)'!$V$4*Model!$AG$1560*AVERAGE('Assumptions (Geo)'!$AC$2:$AE$2)/10^9),0)</f>
        <v>0</v>
      </c>
      <c r="AM1647" s="105">
        <f>IF($AG$1560&gt;0,PPMT('Assumptions (Geo)'!$V$6,Model!AC$1,'Assumptions (Geo)'!$V$9,'Assumptions (Geo)'!$V$4*Model!$AG$1560*AVERAGE('Assumptions (Geo)'!$AC$2:$AE$2)/10^9),0)</f>
        <v>0</v>
      </c>
      <c r="AN1647" s="105">
        <f>IF($AG$1560&gt;0,PPMT('Assumptions (Geo)'!$V$6,Model!AD$1,'Assumptions (Geo)'!$V$9,'Assumptions (Geo)'!$V$4*Model!$AG$1560*AVERAGE('Assumptions (Geo)'!$AC$2:$AE$2)/10^9),0)</f>
        <v>0</v>
      </c>
      <c r="AO1647" s="105">
        <f>IF($AG$1560&gt;0,PPMT('Assumptions (Geo)'!$V$6,Model!AE$1,'Assumptions (Geo)'!$V$9,'Assumptions (Geo)'!$V$4*Model!$AG$1560*AVERAGE('Assumptions (Geo)'!$AC$2:$AE$2)/10^9),0)</f>
        <v>0</v>
      </c>
      <c r="AP1647" s="105">
        <f>IF($AG$1560&gt;0,PPMT('Assumptions (Geo)'!$V$6,Model!AF$1,'Assumptions (Geo)'!$V$9,'Assumptions (Geo)'!$V$4*Model!$AG$1560*AVERAGE('Assumptions (Geo)'!$AC$2:$AE$2)/10^9),0)</f>
        <v>0</v>
      </c>
      <c r="AQ1647" s="105">
        <f>IF($AG$1560&gt;0,PPMT('Assumptions (Geo)'!$V$6,Model!AG$1,'Assumptions (Geo)'!$V$9,'Assumptions (Geo)'!$V$4*Model!$AG$1560*AVERAGE('Assumptions (Geo)'!$AC$2:$AE$2)/10^9),0)</f>
        <v>0</v>
      </c>
      <c r="AR1647" s="105">
        <f>IF($AG$1560&gt;0,PPMT('Assumptions (Geo)'!$V$6,Model!AH$1,'Assumptions (Geo)'!$V$9,'Assumptions (Geo)'!$V$4*Model!$AG$1560*AVERAGE('Assumptions (Geo)'!$AC$2:$AE$2)/10^9),0)</f>
        <v>0</v>
      </c>
      <c r="AS1647" s="105">
        <f>IF($AG$1560&gt;0,PPMT('Assumptions (Geo)'!$V$6,Model!AI$1,'Assumptions (Geo)'!$V$9,'Assumptions (Geo)'!$V$4*Model!$AG$1560*AVERAGE('Assumptions (Geo)'!$AC$2:$AE$2)/10^9),0)</f>
        <v>0</v>
      </c>
      <c r="AT1647" s="105">
        <f>IF($AG$1560&gt;0,PPMT('Assumptions (Geo)'!$V$6,Model!AJ$1,'Assumptions (Geo)'!$V$9,'Assumptions (Geo)'!$V$4*Model!$AG$1560*AVERAGE('Assumptions (Geo)'!$AC$2:$AE$2)/10^9),0)</f>
        <v>0</v>
      </c>
      <c r="AU1647" s="105">
        <f>IF($AG$1560&gt;0,PPMT('Assumptions (Geo)'!$V$6,Model!AK$1,'Assumptions (Geo)'!$V$9,'Assumptions (Geo)'!$V$4*Model!$AG$1560*AVERAGE('Assumptions (Geo)'!$AC$2:$AE$2)/10^9),0)</f>
        <v>0</v>
      </c>
      <c r="AV1647" s="105"/>
      <c r="AW1647" s="105"/>
      <c r="AX1647" s="105"/>
      <c r="AY1647" s="105"/>
      <c r="AZ1647" s="105"/>
      <c r="BA1647" s="105"/>
      <c r="BB1647" s="105"/>
      <c r="BC1647" s="105"/>
      <c r="BD1647" s="105"/>
      <c r="BE1647" s="105"/>
    </row>
    <row r="1648" spans="1:58" ht="15.75" hidden="1" customHeight="1" outlineLevel="1">
      <c r="A1648" s="428"/>
      <c r="B1648" s="99"/>
      <c r="C1648" s="99"/>
      <c r="D1648" s="99"/>
      <c r="E1648" s="99"/>
      <c r="F1648" s="99"/>
      <c r="G1648" s="99"/>
      <c r="H1648" s="99"/>
      <c r="I1648" s="99"/>
      <c r="J1648" s="99"/>
      <c r="K1648" s="99"/>
      <c r="L1648" s="99"/>
      <c r="M1648" s="99"/>
      <c r="N1648" s="99"/>
      <c r="O1648" s="99"/>
      <c r="P1648" s="99"/>
      <c r="Q1648" s="99"/>
      <c r="R1648" s="99"/>
      <c r="S1648" s="99"/>
      <c r="T1648" s="99"/>
      <c r="U1648" s="99"/>
      <c r="V1648" s="99"/>
      <c r="W1648" s="105"/>
      <c r="X1648" s="105"/>
      <c r="Y1648" s="105"/>
      <c r="Z1648" s="105"/>
      <c r="AA1648" s="105"/>
      <c r="AB1648" s="105"/>
      <c r="AC1648" s="105"/>
      <c r="AD1648" s="105"/>
      <c r="AE1648" s="105"/>
      <c r="AF1648" s="105"/>
      <c r="AG1648" s="105"/>
      <c r="AH1648" s="105">
        <f>IF($AH$1560&gt;0,PPMT('Assumptions (Geo)'!$V$6,Model!W$1,'Assumptions (Geo)'!$V$9,'Assumptions (Geo)'!$V$4*Model!$AH$1560*AVERAGE('Assumptions (Geo)'!$AD$2:$AF$2)/10^9),0)</f>
        <v>0</v>
      </c>
      <c r="AI1648" s="105">
        <f>IF($AH$1560&gt;0,PPMT('Assumptions (Geo)'!$V$6,Model!X$1,'Assumptions (Geo)'!$V$9,'Assumptions (Geo)'!$V$4*Model!$AH$1560*AVERAGE('Assumptions (Geo)'!$AD$2:$AF$2)/10^9),0)</f>
        <v>0</v>
      </c>
      <c r="AJ1648" s="105">
        <f>IF($AH$1560&gt;0,PPMT('Assumptions (Geo)'!$V$6,Model!Y$1,'Assumptions (Geo)'!$V$9,'Assumptions (Geo)'!$V$4*Model!$AH$1560*AVERAGE('Assumptions (Geo)'!$AD$2:$AF$2)/10^9),0)</f>
        <v>0</v>
      </c>
      <c r="AK1648" s="105">
        <f>IF($AH$1560&gt;0,PPMT('Assumptions (Geo)'!$V$6,Model!Z$1,'Assumptions (Geo)'!$V$9,'Assumptions (Geo)'!$V$4*Model!$AH$1560*AVERAGE('Assumptions (Geo)'!$AD$2:$AF$2)/10^9),0)</f>
        <v>0</v>
      </c>
      <c r="AL1648" s="105">
        <f>IF($AH$1560&gt;0,PPMT('Assumptions (Geo)'!$V$6,Model!AA$1,'Assumptions (Geo)'!$V$9,'Assumptions (Geo)'!$V$4*Model!$AH$1560*AVERAGE('Assumptions (Geo)'!$AD$2:$AF$2)/10^9),0)</f>
        <v>0</v>
      </c>
      <c r="AM1648" s="105">
        <f>IF($AH$1560&gt;0,PPMT('Assumptions (Geo)'!$V$6,Model!AB$1,'Assumptions (Geo)'!$V$9,'Assumptions (Geo)'!$V$4*Model!$AH$1560*AVERAGE('Assumptions (Geo)'!$AD$2:$AF$2)/10^9),0)</f>
        <v>0</v>
      </c>
      <c r="AN1648" s="105">
        <f>IF($AH$1560&gt;0,PPMT('Assumptions (Geo)'!$V$6,Model!AC$1,'Assumptions (Geo)'!$V$9,'Assumptions (Geo)'!$V$4*Model!$AH$1560*AVERAGE('Assumptions (Geo)'!$AD$2:$AF$2)/10^9),0)</f>
        <v>0</v>
      </c>
      <c r="AO1648" s="105">
        <f>IF($AH$1560&gt;0,PPMT('Assumptions (Geo)'!$V$6,Model!AD$1,'Assumptions (Geo)'!$V$9,'Assumptions (Geo)'!$V$4*Model!$AH$1560*AVERAGE('Assumptions (Geo)'!$AD$2:$AF$2)/10^9),0)</f>
        <v>0</v>
      </c>
      <c r="AP1648" s="105">
        <f>IF($AH$1560&gt;0,PPMT('Assumptions (Geo)'!$V$6,Model!AE$1,'Assumptions (Geo)'!$V$9,'Assumptions (Geo)'!$V$4*Model!$AH$1560*AVERAGE('Assumptions (Geo)'!$AD$2:$AF$2)/10^9),0)</f>
        <v>0</v>
      </c>
      <c r="AQ1648" s="105">
        <f>IF($AH$1560&gt;0,PPMT('Assumptions (Geo)'!$V$6,Model!AF$1,'Assumptions (Geo)'!$V$9,'Assumptions (Geo)'!$V$4*Model!$AH$1560*AVERAGE('Assumptions (Geo)'!$AD$2:$AF$2)/10^9),0)</f>
        <v>0</v>
      </c>
      <c r="AR1648" s="105">
        <f>IF($AH$1560&gt;0,PPMT('Assumptions (Geo)'!$V$6,Model!AG$1,'Assumptions (Geo)'!$V$9,'Assumptions (Geo)'!$V$4*Model!$AH$1560*AVERAGE('Assumptions (Geo)'!$AD$2:$AF$2)/10^9),0)</f>
        <v>0</v>
      </c>
      <c r="AS1648" s="105">
        <f>IF($AH$1560&gt;0,PPMT('Assumptions (Geo)'!$V$6,Model!AH$1,'Assumptions (Geo)'!$V$9,'Assumptions (Geo)'!$V$4*Model!$AH$1560*AVERAGE('Assumptions (Geo)'!$AD$2:$AF$2)/10^9),0)</f>
        <v>0</v>
      </c>
      <c r="AT1648" s="105">
        <f>IF($AH$1560&gt;0,PPMT('Assumptions (Geo)'!$V$6,Model!AI$1,'Assumptions (Geo)'!$V$9,'Assumptions (Geo)'!$V$4*Model!$AH$1560*AVERAGE('Assumptions (Geo)'!$AD$2:$AF$2)/10^9),0)</f>
        <v>0</v>
      </c>
      <c r="AU1648" s="105">
        <f>IF($AH$1560&gt;0,PPMT('Assumptions (Geo)'!$V$6,Model!AJ$1,'Assumptions (Geo)'!$V$9,'Assumptions (Geo)'!$V$4*Model!$AH$1560*AVERAGE('Assumptions (Geo)'!$AD$2:$AF$2)/10^9),0)</f>
        <v>0</v>
      </c>
      <c r="AV1648" s="105">
        <f>IF($AH$1560&gt;0,PPMT('Assumptions (Geo)'!$V$6,Model!AK$1,'Assumptions (Geo)'!$V$9,'Assumptions (Geo)'!$V$4*Model!$AH$1560*AVERAGE('Assumptions (Geo)'!$AD$2:$AF$2)/10^9),0)</f>
        <v>0</v>
      </c>
      <c r="AW1648" s="105"/>
      <c r="AX1648" s="105"/>
      <c r="AY1648" s="105"/>
      <c r="AZ1648" s="105"/>
      <c r="BA1648" s="105"/>
      <c r="BB1648" s="105"/>
      <c r="BC1648" s="105"/>
      <c r="BD1648" s="105"/>
      <c r="BE1648" s="105"/>
      <c r="BF1648" s="105"/>
    </row>
    <row r="1649" spans="1:68" ht="15.75" hidden="1" customHeight="1" outlineLevel="1">
      <c r="A1649" s="428"/>
      <c r="B1649" s="99"/>
      <c r="C1649" s="99"/>
      <c r="D1649" s="99"/>
      <c r="E1649" s="99"/>
      <c r="F1649" s="99"/>
      <c r="G1649" s="99"/>
      <c r="H1649" s="99"/>
      <c r="I1649" s="99"/>
      <c r="J1649" s="99"/>
      <c r="K1649" s="99"/>
      <c r="L1649" s="99"/>
      <c r="M1649" s="99"/>
      <c r="N1649" s="99"/>
      <c r="O1649" s="99"/>
      <c r="P1649" s="99"/>
      <c r="Q1649" s="99"/>
      <c r="R1649" s="99"/>
      <c r="S1649" s="99"/>
      <c r="T1649" s="99"/>
      <c r="U1649" s="99"/>
      <c r="V1649" s="99"/>
      <c r="W1649" s="105"/>
      <c r="X1649" s="105"/>
      <c r="Y1649" s="105"/>
      <c r="Z1649" s="105"/>
      <c r="AA1649" s="105"/>
      <c r="AB1649" s="105"/>
      <c r="AC1649" s="105"/>
      <c r="AD1649" s="105"/>
      <c r="AE1649" s="105"/>
      <c r="AF1649" s="105"/>
      <c r="AG1649" s="105"/>
      <c r="AH1649" s="105"/>
      <c r="AI1649" s="105">
        <f>IF($AI$1560&gt;0,PPMT('Assumptions (Geo)'!$V$6,Model!W$1,'Assumptions (Geo)'!$V$9,'Assumptions (Geo)'!$V$4*Model!$AI$1560*AVERAGE('Assumptions (Geo)'!$AE$2:$AG$2)/10^9),0)</f>
        <v>-3.9967488659821407E-3</v>
      </c>
      <c r="AJ1649" s="105">
        <f>IF($AI$1560&gt;0,PPMT('Assumptions (Geo)'!$V$6,Model!X$1,'Assumptions (Geo)'!$V$9,'Assumptions (Geo)'!$V$4*Model!$AI$1560*AVERAGE('Assumptions (Geo)'!$AE$2:$AG$2)/10^9),0)</f>
        <v>-4.186594437116292E-3</v>
      </c>
      <c r="AK1649" s="105">
        <f>IF($AI$1560&gt;0,PPMT('Assumptions (Geo)'!$V$6,Model!Y$1,'Assumptions (Geo)'!$V$9,'Assumptions (Geo)'!$V$4*Model!$AI$1560*AVERAGE('Assumptions (Geo)'!$AE$2:$AG$2)/10^9),0)</f>
        <v>-4.3854576728793162E-3</v>
      </c>
      <c r="AL1649" s="105">
        <f>IF($AI$1560&gt;0,PPMT('Assumptions (Geo)'!$V$6,Model!Z$1,'Assumptions (Geo)'!$V$9,'Assumptions (Geo)'!$V$4*Model!$AI$1560*AVERAGE('Assumptions (Geo)'!$AE$2:$AG$2)/10^9),0)</f>
        <v>-4.5937669123410838E-3</v>
      </c>
      <c r="AM1649" s="105">
        <f>IF($AI$1560&gt;0,PPMT('Assumptions (Geo)'!$V$6,Model!AA$1,'Assumptions (Geo)'!$V$9,'Assumptions (Geo)'!$V$4*Model!$AI$1560*AVERAGE('Assumptions (Geo)'!$AE$2:$AG$2)/10^9),0)</f>
        <v>-4.8119708406772843E-3</v>
      </c>
      <c r="AN1649" s="105">
        <f>IF($AI$1560&gt;0,PPMT('Assumptions (Geo)'!$V$6,Model!AB$1,'Assumptions (Geo)'!$V$9,'Assumptions (Geo)'!$V$4*Model!$AI$1560*AVERAGE('Assumptions (Geo)'!$AE$2:$AG$2)/10^9),0)</f>
        <v>-5.0405394556094557E-3</v>
      </c>
      <c r="AO1649" s="105">
        <f>IF($AI$1560&gt;0,PPMT('Assumptions (Geo)'!$V$6,Model!AC$1,'Assumptions (Geo)'!$V$9,'Assumptions (Geo)'!$V$4*Model!$AI$1560*AVERAGE('Assumptions (Geo)'!$AE$2:$AG$2)/10^9),0)</f>
        <v>-5.2799650797509057E-3</v>
      </c>
      <c r="AP1649" s="105">
        <f>IF($AI$1560&gt;0,PPMT('Assumptions (Geo)'!$V$6,Model!AD$1,'Assumptions (Geo)'!$V$9,'Assumptions (Geo)'!$V$4*Model!$AI$1560*AVERAGE('Assumptions (Geo)'!$AE$2:$AG$2)/10^9),0)</f>
        <v>-5.5307634210390727E-3</v>
      </c>
      <c r="AQ1649" s="105">
        <f>IF($AI$1560&gt;0,PPMT('Assumptions (Geo)'!$V$6,Model!AE$1,'Assumptions (Geo)'!$V$9,'Assumptions (Geo)'!$V$4*Model!$AI$1560*AVERAGE('Assumptions (Geo)'!$AE$2:$AG$2)/10^9),0)</f>
        <v>-5.7934746835384288E-3</v>
      </c>
      <c r="AR1649" s="105">
        <f>IF($AI$1560&gt;0,PPMT('Assumptions (Geo)'!$V$6,Model!AF$1,'Assumptions (Geo)'!$V$9,'Assumptions (Geo)'!$V$4*Model!$AI$1560*AVERAGE('Assumptions (Geo)'!$AE$2:$AG$2)/10^9),0)</f>
        <v>-6.068664731006505E-3</v>
      </c>
      <c r="AS1649" s="105">
        <f>IF($AI$1560&gt;0,PPMT('Assumptions (Geo)'!$V$6,Model!AG$1,'Assumptions (Geo)'!$V$9,'Assumptions (Geo)'!$V$4*Model!$AI$1560*AVERAGE('Assumptions (Geo)'!$AE$2:$AG$2)/10^9),0)</f>
        <v>-6.356926305729314E-3</v>
      </c>
      <c r="AT1649" s="105">
        <f>IF($AI$1560&gt;0,PPMT('Assumptions (Geo)'!$V$6,Model!AH$1,'Assumptions (Geo)'!$V$9,'Assumptions (Geo)'!$V$4*Model!$AI$1560*AVERAGE('Assumptions (Geo)'!$AE$2:$AG$2)/10^9),0)</f>
        <v>-6.6588803052514568E-3</v>
      </c>
      <c r="AU1649" s="105">
        <f>IF($AI$1560&gt;0,PPMT('Assumptions (Geo)'!$V$6,Model!AI$1,'Assumptions (Geo)'!$V$9,'Assumptions (Geo)'!$V$4*Model!$AI$1560*AVERAGE('Assumptions (Geo)'!$AE$2:$AG$2)/10^9),0)</f>
        <v>-6.975177119750901E-3</v>
      </c>
      <c r="AV1649" s="105">
        <f>IF($AI$1560&gt;0,PPMT('Assumptions (Geo)'!$V$6,Model!AJ$1,'Assumptions (Geo)'!$V$9,'Assumptions (Geo)'!$V$4*Model!$AI$1560*AVERAGE('Assumptions (Geo)'!$AE$2:$AG$2)/10^9),0)</f>
        <v>-7.306498032939068E-3</v>
      </c>
      <c r="AW1649" s="105">
        <f>IF($AI$1560&gt;0,PPMT('Assumptions (Geo)'!$V$6,Model!AK$1,'Assumptions (Geo)'!$V$9,'Assumptions (Geo)'!$V$4*Model!$AI$1560*AVERAGE('Assumptions (Geo)'!$AE$2:$AG$2)/10^9),0)</f>
        <v>-7.6535566895036735E-3</v>
      </c>
      <c r="AX1649" s="105"/>
      <c r="AY1649" s="105"/>
      <c r="AZ1649" s="105"/>
      <c r="BA1649" s="105"/>
      <c r="BB1649" s="105"/>
      <c r="BC1649" s="105"/>
      <c r="BD1649" s="105"/>
      <c r="BE1649" s="105"/>
      <c r="BF1649" s="105"/>
      <c r="BG1649" s="105"/>
    </row>
    <row r="1650" spans="1:68" ht="15.75" hidden="1" customHeight="1" outlineLevel="1">
      <c r="A1650" s="428"/>
      <c r="B1650" s="99"/>
      <c r="C1650" s="99"/>
      <c r="D1650" s="99"/>
      <c r="E1650" s="99"/>
      <c r="F1650" s="99"/>
      <c r="G1650" s="99"/>
      <c r="H1650" s="99"/>
      <c r="I1650" s="99"/>
      <c r="J1650" s="99"/>
      <c r="K1650" s="99"/>
      <c r="L1650" s="99"/>
      <c r="M1650" s="99"/>
      <c r="N1650" s="99"/>
      <c r="O1650" s="99"/>
      <c r="P1650" s="99"/>
      <c r="Q1650" s="99"/>
      <c r="R1650" s="99"/>
      <c r="S1650" s="99"/>
      <c r="T1650" s="99"/>
      <c r="U1650" s="99"/>
      <c r="V1650" s="99"/>
      <c r="W1650" s="105"/>
      <c r="X1650" s="105"/>
      <c r="Y1650" s="105"/>
      <c r="Z1650" s="105"/>
      <c r="AA1650" s="105"/>
      <c r="AB1650" s="105"/>
      <c r="AC1650" s="105"/>
      <c r="AD1650" s="105"/>
      <c r="AE1650" s="105"/>
      <c r="AF1650" s="105"/>
      <c r="AG1650" s="105"/>
      <c r="AH1650" s="105"/>
      <c r="AI1650" s="105"/>
      <c r="AJ1650" s="91">
        <f>IF($AJ$1560&gt;0,PPMT('Assumptions (Geo)'!$V$6,Model!W$1,'Assumptions (Geo)'!$V$9,'Assumptions (Geo)'!$V$4*Model!$AJ$1560*AVERAGE('Assumptions (Geo)'!$AF$2:$AH$2)/10^9),0)</f>
        <v>0</v>
      </c>
      <c r="AK1650" s="91">
        <f>IF($AJ$1560&gt;0,PPMT('Assumptions (Geo)'!$V$6,Model!X$1,'Assumptions (Geo)'!$V$9,'Assumptions (Geo)'!$V$4*Model!$AJ$1560*AVERAGE('Assumptions (Geo)'!$AF$2:$AH$2)/10^9),0)</f>
        <v>0</v>
      </c>
      <c r="AL1650" s="91">
        <f>IF($AJ$1560&gt;0,PPMT('Assumptions (Geo)'!$V$6,Model!Y$1,'Assumptions (Geo)'!$V$9,'Assumptions (Geo)'!$V$4*Model!$AJ$1560*AVERAGE('Assumptions (Geo)'!$AF$2:$AH$2)/10^9),0)</f>
        <v>0</v>
      </c>
      <c r="AM1650" s="91">
        <f>IF($AJ$1560&gt;0,PPMT('Assumptions (Geo)'!$V$6,Model!Z$1,'Assumptions (Geo)'!$V$9,'Assumptions (Geo)'!$V$4*Model!$AJ$1560*AVERAGE('Assumptions (Geo)'!$AF$2:$AH$2)/10^9),0)</f>
        <v>0</v>
      </c>
      <c r="AN1650" s="91">
        <f>IF($AJ$1560&gt;0,PPMT('Assumptions (Geo)'!$V$6,Model!AA$1,'Assumptions (Geo)'!$V$9,'Assumptions (Geo)'!$V$4*Model!$AJ$1560*AVERAGE('Assumptions (Geo)'!$AF$2:$AH$2)/10^9),0)</f>
        <v>0</v>
      </c>
      <c r="AO1650" s="91">
        <f>IF($AJ$1560&gt;0,PPMT('Assumptions (Geo)'!$V$6,Model!AB$1,'Assumptions (Geo)'!$V$9,'Assumptions (Geo)'!$V$4*Model!$AJ$1560*AVERAGE('Assumptions (Geo)'!$AF$2:$AH$2)/10^9),0)</f>
        <v>0</v>
      </c>
      <c r="AP1650" s="91">
        <f>IF($AJ$1560&gt;0,PPMT('Assumptions (Geo)'!$V$6,Model!AC$1,'Assumptions (Geo)'!$V$9,'Assumptions (Geo)'!$V$4*Model!$AJ$1560*AVERAGE('Assumptions (Geo)'!$AF$2:$AH$2)/10^9),0)</f>
        <v>0</v>
      </c>
      <c r="AQ1650" s="91">
        <f>IF($AJ$1560&gt;0,PPMT('Assumptions (Geo)'!$V$6,Model!AD$1,'Assumptions (Geo)'!$V$9,'Assumptions (Geo)'!$V$4*Model!$AJ$1560*AVERAGE('Assumptions (Geo)'!$AF$2:$AH$2)/10^9),0)</f>
        <v>0</v>
      </c>
      <c r="AR1650" s="91">
        <f>IF($AJ$1560&gt;0,PPMT('Assumptions (Geo)'!$V$6,Model!AE$1,'Assumptions (Geo)'!$V$9,'Assumptions (Geo)'!$V$4*Model!$AJ$1560*AVERAGE('Assumptions (Geo)'!$AF$2:$AH$2)/10^9),0)</f>
        <v>0</v>
      </c>
      <c r="AS1650" s="91">
        <f>IF($AJ$1560&gt;0,PPMT('Assumptions (Geo)'!$V$6,Model!AF$1,'Assumptions (Geo)'!$V$9,'Assumptions (Geo)'!$V$4*Model!$AJ$1560*AVERAGE('Assumptions (Geo)'!$AF$2:$AH$2)/10^9),0)</f>
        <v>0</v>
      </c>
      <c r="AT1650" s="91">
        <f>IF($AJ$1560&gt;0,PPMT('Assumptions (Geo)'!$V$6,Model!AG$1,'Assumptions (Geo)'!$V$9,'Assumptions (Geo)'!$V$4*Model!$AJ$1560*AVERAGE('Assumptions (Geo)'!$AF$2:$AH$2)/10^9),0)</f>
        <v>0</v>
      </c>
      <c r="AU1650" s="91">
        <f>IF($AJ$1560&gt;0,PPMT('Assumptions (Geo)'!$V$6,Model!AH$1,'Assumptions (Geo)'!$V$9,'Assumptions (Geo)'!$V$4*Model!$AJ$1560*AVERAGE('Assumptions (Geo)'!$AF$2:$AH$2)/10^9),0)</f>
        <v>0</v>
      </c>
      <c r="AV1650" s="91">
        <f>IF($AJ$1560&gt;0,PPMT('Assumptions (Geo)'!$V$6,Model!AI$1,'Assumptions (Geo)'!$V$9,'Assumptions (Geo)'!$V$4*Model!$AJ$1560*AVERAGE('Assumptions (Geo)'!$AF$2:$AH$2)/10^9),0)</f>
        <v>0</v>
      </c>
      <c r="AW1650" s="91">
        <f>IF($AJ$1560&gt;0,PPMT('Assumptions (Geo)'!$V$6,Model!AJ$1,'Assumptions (Geo)'!$V$9,'Assumptions (Geo)'!$V$4*Model!$AJ$1560*AVERAGE('Assumptions (Geo)'!$AF$2:$AH$2)/10^9),0)</f>
        <v>0</v>
      </c>
      <c r="AX1650" s="91">
        <f>IF($AJ$1560&gt;0,PPMT('Assumptions (Geo)'!$V$6,Model!AK$1,'Assumptions (Geo)'!$V$9,'Assumptions (Geo)'!$V$4*Model!$AJ$1560*AVERAGE('Assumptions (Geo)'!$AF$2:$AH$2)/10^9),0)</f>
        <v>0</v>
      </c>
      <c r="AY1650" s="91"/>
      <c r="AZ1650" s="91"/>
      <c r="BA1650" s="91"/>
      <c r="BB1650" s="91"/>
      <c r="BC1650" s="91"/>
      <c r="BD1650" s="91"/>
      <c r="BE1650" s="91"/>
      <c r="BF1650" s="91"/>
      <c r="BG1650" s="91"/>
      <c r="BH1650" s="91"/>
    </row>
    <row r="1651" spans="1:68" ht="15.75" hidden="1" customHeight="1" outlineLevel="1">
      <c r="A1651" s="428"/>
      <c r="B1651" s="99"/>
      <c r="C1651" s="99"/>
      <c r="D1651" s="99"/>
      <c r="E1651" s="99"/>
      <c r="F1651" s="99"/>
      <c r="G1651" s="99"/>
      <c r="H1651" s="99"/>
      <c r="I1651" s="99"/>
      <c r="J1651" s="99"/>
      <c r="K1651" s="99"/>
      <c r="L1651" s="99"/>
      <c r="M1651" s="99"/>
      <c r="N1651" s="99"/>
      <c r="O1651" s="99"/>
      <c r="P1651" s="99"/>
      <c r="Q1651" s="99"/>
      <c r="R1651" s="99"/>
      <c r="S1651" s="99"/>
      <c r="T1651" s="99"/>
      <c r="U1651" s="99"/>
      <c r="V1651" s="99"/>
      <c r="W1651" s="105"/>
      <c r="X1651" s="105"/>
      <c r="Y1651" s="105"/>
      <c r="Z1651" s="105"/>
      <c r="AA1651" s="105"/>
      <c r="AB1651" s="105"/>
      <c r="AC1651" s="105"/>
      <c r="AD1651" s="105"/>
      <c r="AE1651" s="105"/>
      <c r="AF1651" s="105"/>
      <c r="AG1651" s="105"/>
      <c r="AH1651" s="105"/>
      <c r="AI1651" s="105"/>
      <c r="AJ1651" s="171"/>
      <c r="AK1651" s="105">
        <f>IF($AK$1560&gt;0,PPMT('Assumptions (Geo)'!$V$6,Model!W$1,'Assumptions (Geo)'!$V$9,'Assumptions (Geo)'!$V$4*Model!$AK$1560*AVERAGE('Assumptions (Geo)'!$AG$2:$AI$2)/10^9),0)</f>
        <v>0</v>
      </c>
      <c r="AL1651" s="105">
        <f>IF($AK$1560&gt;0,PPMT('Assumptions (Geo)'!$V$6,Model!X$1,'Assumptions (Geo)'!$V$9,'Assumptions (Geo)'!$V$4*Model!$AK$1560*AVERAGE('Assumptions (Geo)'!$AG$2:$AI$2)/10^9),0)</f>
        <v>0</v>
      </c>
      <c r="AM1651" s="105">
        <f>IF($AK$1560&gt;0,PPMT('Assumptions (Geo)'!$V$6,Model!Y$1,'Assumptions (Geo)'!$V$9,'Assumptions (Geo)'!$V$4*Model!$AK$1560*AVERAGE('Assumptions (Geo)'!$AG$2:$AI$2)/10^9),0)</f>
        <v>0</v>
      </c>
      <c r="AN1651" s="105">
        <f>IF($AK$1560&gt;0,PPMT('Assumptions (Geo)'!$V$6,Model!Z$1,'Assumptions (Geo)'!$V$9,'Assumptions (Geo)'!$V$4*Model!$AK$1560*AVERAGE('Assumptions (Geo)'!$AG$2:$AI$2)/10^9),0)</f>
        <v>0</v>
      </c>
      <c r="AO1651" s="105">
        <f>IF($AK$1560&gt;0,PPMT('Assumptions (Geo)'!$V$6,Model!AA$1,'Assumptions (Geo)'!$V$9,'Assumptions (Geo)'!$V$4*Model!$AK$1560*AVERAGE('Assumptions (Geo)'!$AG$2:$AI$2)/10^9),0)</f>
        <v>0</v>
      </c>
      <c r="AP1651" s="105">
        <f>IF($AK$1560&gt;0,PPMT('Assumptions (Geo)'!$V$6,Model!AB$1,'Assumptions (Geo)'!$V$9,'Assumptions (Geo)'!$V$4*Model!$AK$1560*AVERAGE('Assumptions (Geo)'!$AG$2:$AI$2)/10^9),0)</f>
        <v>0</v>
      </c>
      <c r="AQ1651" s="105">
        <f>IF($AK$1560&gt;0,PPMT('Assumptions (Geo)'!$V$6,Model!AC$1,'Assumptions (Geo)'!$V$9,'Assumptions (Geo)'!$V$4*Model!$AK$1560*AVERAGE('Assumptions (Geo)'!$AG$2:$AI$2)/10^9),0)</f>
        <v>0</v>
      </c>
      <c r="AR1651" s="105">
        <f>IF($AK$1560&gt;0,PPMT('Assumptions (Geo)'!$V$6,Model!AD$1,'Assumptions (Geo)'!$V$9,'Assumptions (Geo)'!$V$4*Model!$AK$1560*AVERAGE('Assumptions (Geo)'!$AG$2:$AI$2)/10^9),0)</f>
        <v>0</v>
      </c>
      <c r="AS1651" s="105">
        <f>IF($AK$1560&gt;0,PPMT('Assumptions (Geo)'!$V$6,Model!AE$1,'Assumptions (Geo)'!$V$9,'Assumptions (Geo)'!$V$4*Model!$AK$1560*AVERAGE('Assumptions (Geo)'!$AG$2:$AI$2)/10^9),0)</f>
        <v>0</v>
      </c>
      <c r="AT1651" s="105">
        <f>IF($AK$1560&gt;0,PPMT('Assumptions (Geo)'!$V$6,Model!AF$1,'Assumptions (Geo)'!$V$9,'Assumptions (Geo)'!$V$4*Model!$AK$1560*AVERAGE('Assumptions (Geo)'!$AG$2:$AI$2)/10^9),0)</f>
        <v>0</v>
      </c>
      <c r="AU1651" s="105">
        <f>IF($AK$1560&gt;0,PPMT('Assumptions (Geo)'!$V$6,Model!AG$1,'Assumptions (Geo)'!$V$9,'Assumptions (Geo)'!$V$4*Model!$AK$1560*AVERAGE('Assumptions (Geo)'!$AG$2:$AI$2)/10^9),0)</f>
        <v>0</v>
      </c>
      <c r="AV1651" s="105">
        <f>IF($AK$1560&gt;0,PPMT('Assumptions (Geo)'!$V$6,Model!AH$1,'Assumptions (Geo)'!$V$9,'Assumptions (Geo)'!$V$4*Model!$AK$1560*AVERAGE('Assumptions (Geo)'!$AG$2:$AI$2)/10^9),0)</f>
        <v>0</v>
      </c>
      <c r="AW1651" s="105">
        <f>IF($AK$1560&gt;0,PPMT('Assumptions (Geo)'!$V$6,Model!AI$1,'Assumptions (Geo)'!$V$9,'Assumptions (Geo)'!$V$4*Model!$AK$1560*AVERAGE('Assumptions (Geo)'!$AG$2:$AI$2)/10^9),0)</f>
        <v>0</v>
      </c>
      <c r="AX1651" s="105">
        <f>IF($AK$1560&gt;0,PPMT('Assumptions (Geo)'!$V$6,Model!AJ$1,'Assumptions (Geo)'!$V$9,'Assumptions (Geo)'!$V$4*Model!$AK$1560*AVERAGE('Assumptions (Geo)'!$AG$2:$AI$2)/10^9),0)</f>
        <v>0</v>
      </c>
      <c r="AY1651" s="105">
        <f>IF($AK$1560&gt;0,PPMT('Assumptions (Geo)'!$V$6,Model!AK$1,'Assumptions (Geo)'!$V$9,'Assumptions (Geo)'!$V$4*Model!$AK$1560*AVERAGE('Assumptions (Geo)'!$AG$2:$AI$2)/10^9),0)</f>
        <v>0</v>
      </c>
      <c r="AZ1651" s="105"/>
      <c r="BA1651" s="105"/>
      <c r="BB1651" s="105"/>
      <c r="BC1651" s="105"/>
      <c r="BD1651" s="105"/>
      <c r="BE1651" s="105"/>
      <c r="BF1651" s="105"/>
      <c r="BG1651" s="105"/>
      <c r="BH1651" s="105"/>
      <c r="BI1651" s="105"/>
    </row>
    <row r="1652" spans="1:68" ht="15.75" hidden="1" customHeight="1" outlineLevel="1">
      <c r="A1652" s="428"/>
      <c r="B1652" s="99"/>
      <c r="C1652" s="99"/>
      <c r="D1652" s="99"/>
      <c r="E1652" s="99"/>
      <c r="F1652" s="99"/>
      <c r="G1652" s="99"/>
      <c r="H1652" s="99"/>
      <c r="I1652" s="99"/>
      <c r="J1652" s="99"/>
      <c r="K1652" s="99"/>
      <c r="L1652" s="99"/>
      <c r="M1652" s="99"/>
      <c r="N1652" s="99"/>
      <c r="O1652" s="99"/>
      <c r="P1652" s="99"/>
      <c r="Q1652" s="99"/>
      <c r="R1652" s="99"/>
      <c r="S1652" s="99"/>
      <c r="T1652" s="99"/>
      <c r="U1652" s="99"/>
      <c r="V1652" s="99"/>
      <c r="W1652" s="105"/>
      <c r="X1652" s="105"/>
      <c r="Y1652" s="105"/>
      <c r="Z1652" s="105"/>
      <c r="AA1652" s="105"/>
      <c r="AB1652" s="105"/>
      <c r="AC1652" s="105"/>
      <c r="AD1652" s="105"/>
      <c r="AE1652" s="105"/>
      <c r="AF1652" s="105"/>
      <c r="AG1652" s="105"/>
      <c r="AH1652" s="105"/>
      <c r="AI1652" s="105"/>
      <c r="AJ1652" s="171"/>
      <c r="AK1652" s="105"/>
      <c r="AL1652" s="91">
        <f>IF($AL$1560&gt;0,PPMT('Assumptions (Geo)'!$V$6,Model!W$1,'Assumptions (Geo)'!$V$9,'Assumptions (Geo)'!$V$4*Model!$AL$1560*AVERAGE('Assumptions (Geo)'!$AH$2:$AJ$2)/10^9),0)</f>
        <v>-8.1670339460147845E-3</v>
      </c>
      <c r="AM1652" s="91">
        <f>IF($AL$1560&gt;0,PPMT('Assumptions (Geo)'!$V$6,Model!X$1,'Assumptions (Geo)'!$V$9,'Assumptions (Geo)'!$V$4*Model!$AL$1560*AVERAGE('Assumptions (Geo)'!$AH$2:$AJ$2)/10^9),0)</f>
        <v>-8.5549680584504871E-3</v>
      </c>
      <c r="AN1652" s="91">
        <f>IF($AL$1560&gt;0,PPMT('Assumptions (Geo)'!$V$6,Model!Y$1,'Assumptions (Geo)'!$V$9,'Assumptions (Geo)'!$V$4*Model!$AL$1560*AVERAGE('Assumptions (Geo)'!$AH$2:$AJ$2)/10^9),0)</f>
        <v>-8.9613290412268853E-3</v>
      </c>
      <c r="AO1652" s="91">
        <f>IF($AL$1560&gt;0,PPMT('Assumptions (Geo)'!$V$6,Model!Z$1,'Assumptions (Geo)'!$V$9,'Assumptions (Geo)'!$V$4*Model!$AL$1560*AVERAGE('Assumptions (Geo)'!$AH$2:$AJ$2)/10^9),0)</f>
        <v>-9.3869921706851624E-3</v>
      </c>
      <c r="AP1652" s="91">
        <f>IF($AL$1560&gt;0,PPMT('Assumptions (Geo)'!$V$6,Model!AA$1,'Assumptions (Geo)'!$V$9,'Assumptions (Geo)'!$V$4*Model!$AL$1560*AVERAGE('Assumptions (Geo)'!$AH$2:$AJ$2)/10^9),0)</f>
        <v>-9.832874298792706E-3</v>
      </c>
      <c r="AQ1652" s="91">
        <f>IF($AL$1560&gt;0,PPMT('Assumptions (Geo)'!$V$6,Model!AB$1,'Assumptions (Geo)'!$V$9,'Assumptions (Geo)'!$V$4*Model!$AL$1560*AVERAGE('Assumptions (Geo)'!$AH$2:$AJ$2)/10^9),0)</f>
        <v>-1.029993582798536E-2</v>
      </c>
      <c r="AR1652" s="91">
        <f>IF($AL$1560&gt;0,PPMT('Assumptions (Geo)'!$V$6,Model!AC$1,'Assumptions (Geo)'!$V$9,'Assumptions (Geo)'!$V$4*Model!$AL$1560*AVERAGE('Assumptions (Geo)'!$AH$2:$AJ$2)/10^9),0)</f>
        <v>-1.0789182779814666E-2</v>
      </c>
      <c r="AS1652" s="91">
        <f>IF($AL$1560&gt;0,PPMT('Assumptions (Geo)'!$V$6,Model!AD$1,'Assumptions (Geo)'!$V$9,'Assumptions (Geo)'!$V$4*Model!$AL$1560*AVERAGE('Assumptions (Geo)'!$AH$2:$AJ$2)/10^9),0)</f>
        <v>-1.1301668961855861E-2</v>
      </c>
      <c r="AT1652" s="91">
        <f>IF($AL$1560&gt;0,PPMT('Assumptions (Geo)'!$V$6,Model!AE$1,'Assumptions (Geo)'!$V$9,'Assumptions (Geo)'!$V$4*Model!$AL$1560*AVERAGE('Assumptions (Geo)'!$AH$2:$AJ$2)/10^9),0)</f>
        <v>-1.1838498237544013E-2</v>
      </c>
      <c r="AU1652" s="91">
        <f>IF($AL$1560&gt;0,PPMT('Assumptions (Geo)'!$V$6,Model!AF$1,'Assumptions (Geo)'!$V$9,'Assumptions (Geo)'!$V$4*Model!$AL$1560*AVERAGE('Assumptions (Geo)'!$AH$2:$AJ$2)/10^9),0)</f>
        <v>-1.2400826903827357E-2</v>
      </c>
      <c r="AV1652" s="91">
        <f>IF($AL$1560&gt;0,PPMT('Assumptions (Geo)'!$V$6,Model!AG$1,'Assumptions (Geo)'!$V$9,'Assumptions (Geo)'!$V$4*Model!$AL$1560*AVERAGE('Assumptions (Geo)'!$AH$2:$AJ$2)/10^9),0)</f>
        <v>-1.2989866181759157E-2</v>
      </c>
      <c r="AW1652" s="91">
        <f>IF($AL$1560&gt;0,PPMT('Assumptions (Geo)'!$V$6,Model!AH$1,'Assumptions (Geo)'!$V$9,'Assumptions (Geo)'!$V$4*Model!$AL$1560*AVERAGE('Assumptions (Geo)'!$AH$2:$AJ$2)/10^9),0)</f>
        <v>-1.3606884825392716E-2</v>
      </c>
      <c r="AX1652" s="91">
        <f>IF($AL$1560&gt;0,PPMT('Assumptions (Geo)'!$V$6,Model!AI$1,'Assumptions (Geo)'!$V$9,'Assumptions (Geo)'!$V$4*Model!$AL$1560*AVERAGE('Assumptions (Geo)'!$AH$2:$AJ$2)/10^9),0)</f>
        <v>-1.4253211854598871E-2</v>
      </c>
      <c r="AY1652" s="91">
        <f>IF($AL$1560&gt;0,PPMT('Assumptions (Geo)'!$V$6,Model!AJ$1,'Assumptions (Geo)'!$V$9,'Assumptions (Geo)'!$V$4*Model!$AL$1560*AVERAGE('Assumptions (Geo)'!$AH$2:$AJ$2)/10^9),0)</f>
        <v>-1.4930239417692316E-2</v>
      </c>
      <c r="AZ1652" s="91">
        <f>IF($AL$1560&gt;0,PPMT('Assumptions (Geo)'!$V$6,Model!AK$1,'Assumptions (Geo)'!$V$9,'Assumptions (Geo)'!$V$4*Model!$AL$1560*AVERAGE('Assumptions (Geo)'!$AH$2:$AJ$2)/10^9),0)</f>
        <v>-1.5639425790032697E-2</v>
      </c>
      <c r="BA1652" s="91"/>
      <c r="BB1652" s="91"/>
      <c r="BC1652" s="91"/>
      <c r="BD1652" s="91"/>
      <c r="BE1652" s="91"/>
      <c r="BF1652" s="91"/>
      <c r="BG1652" s="91"/>
      <c r="BH1652" s="91"/>
      <c r="BI1652" s="91"/>
      <c r="BJ1652" s="91"/>
    </row>
    <row r="1653" spans="1:68" ht="15.75" hidden="1" customHeight="1" outlineLevel="1">
      <c r="A1653" s="428"/>
      <c r="B1653" s="99"/>
      <c r="C1653" s="99"/>
      <c r="D1653" s="99"/>
      <c r="E1653" s="99"/>
      <c r="F1653" s="99"/>
      <c r="G1653" s="99"/>
      <c r="H1653" s="99"/>
      <c r="I1653" s="99"/>
      <c r="J1653" s="99"/>
      <c r="K1653" s="99"/>
      <c r="L1653" s="99"/>
      <c r="M1653" s="99"/>
      <c r="N1653" s="99"/>
      <c r="O1653" s="99"/>
      <c r="P1653" s="99"/>
      <c r="Q1653" s="99"/>
      <c r="R1653" s="99"/>
      <c r="S1653" s="99"/>
      <c r="T1653" s="99"/>
      <c r="U1653" s="99"/>
      <c r="V1653" s="99"/>
      <c r="W1653" s="105"/>
      <c r="X1653" s="105"/>
      <c r="Y1653" s="105"/>
      <c r="Z1653" s="105"/>
      <c r="AA1653" s="105"/>
      <c r="AB1653" s="105"/>
      <c r="AC1653" s="105"/>
      <c r="AD1653" s="105"/>
      <c r="AE1653" s="105"/>
      <c r="AF1653" s="105"/>
      <c r="AG1653" s="105"/>
      <c r="AH1653" s="105"/>
      <c r="AI1653" s="105"/>
      <c r="AJ1653" s="171"/>
      <c r="AK1653" s="105"/>
      <c r="AL1653" s="91"/>
      <c r="AM1653" s="105">
        <f>IF($AM$1560&gt;0,PPMT('Assumptions (Geo)'!$V$6,Model!W$1,'Assumptions (Geo)'!$V$9,'Assumptions (Geo)'!$V$4*Model!$AM$1560*AVERAGE('Assumptions (Geo)'!$AI$2:$AK$2)/10^9),0)</f>
        <v>-4.8190298300690602E-3</v>
      </c>
      <c r="AN1653" s="105">
        <f>IF($AM$1560&gt;0,PPMT('Assumptions (Geo)'!$V$6,Model!X$1,'Assumptions (Geo)'!$V$9,'Assumptions (Geo)'!$V$4*Model!$AM$1560*AVERAGE('Assumptions (Geo)'!$AI$2:$AK$2)/10^9),0)</f>
        <v>-5.04793374699734E-3</v>
      </c>
      <c r="AO1653" s="105">
        <f>IF($AM$1560&gt;0,PPMT('Assumptions (Geo)'!$V$6,Model!Y$1,'Assumptions (Geo)'!$V$9,'Assumptions (Geo)'!$V$4*Model!$AM$1560*AVERAGE('Assumptions (Geo)'!$AI$2:$AK$2)/10^9),0)</f>
        <v>-5.2877105999797145E-3</v>
      </c>
      <c r="AP1653" s="105">
        <f>IF($AM$1560&gt;0,PPMT('Assumptions (Geo)'!$V$6,Model!Z$1,'Assumptions (Geo)'!$V$9,'Assumptions (Geo)'!$V$4*Model!$AM$1560*AVERAGE('Assumptions (Geo)'!$AI$2:$AK$2)/10^9),0)</f>
        <v>-5.5388768534787502E-3</v>
      </c>
      <c r="AQ1653" s="105">
        <f>IF($AM$1560&gt;0,PPMT('Assumptions (Geo)'!$V$6,Model!AA$1,'Assumptions (Geo)'!$V$9,'Assumptions (Geo)'!$V$4*Model!$AM$1560*AVERAGE('Assumptions (Geo)'!$AI$2:$AK$2)/10^9),0)</f>
        <v>-5.8019735040189899E-3</v>
      </c>
      <c r="AR1653" s="105">
        <f>IF($AM$1560&gt;0,PPMT('Assumptions (Geo)'!$V$6,Model!AB$1,'Assumptions (Geo)'!$V$9,'Assumptions (Geo)'!$V$4*Model!$AM$1560*AVERAGE('Assumptions (Geo)'!$AI$2:$AK$2)/10^9),0)</f>
        <v>-6.0775672454598936E-3</v>
      </c>
      <c r="AS1653" s="105">
        <f>IF($AM$1560&gt;0,PPMT('Assumptions (Geo)'!$V$6,Model!AC$1,'Assumptions (Geo)'!$V$9,'Assumptions (Geo)'!$V$4*Model!$AM$1560*AVERAGE('Assumptions (Geo)'!$AI$2:$AK$2)/10^9),0)</f>
        <v>-6.3662516896192374E-3</v>
      </c>
      <c r="AT1653" s="105">
        <f>IF($AM$1560&gt;0,PPMT('Assumptions (Geo)'!$V$6,Model!AD$1,'Assumptions (Geo)'!$V$9,'Assumptions (Geo)'!$V$4*Model!$AM$1560*AVERAGE('Assumptions (Geo)'!$AI$2:$AK$2)/10^9),0)</f>
        <v>-6.6686486448761517E-3</v>
      </c>
      <c r="AU1653" s="105">
        <f>IF($AM$1560&gt;0,PPMT('Assumptions (Geo)'!$V$6,Model!AE$1,'Assumptions (Geo)'!$V$9,'Assumptions (Geo)'!$V$4*Model!$AM$1560*AVERAGE('Assumptions (Geo)'!$AI$2:$AK$2)/10^9),0)</f>
        <v>-6.9854094555077684E-3</v>
      </c>
      <c r="AV1653" s="105">
        <f>IF($AM$1560&gt;0,PPMT('Assumptions (Geo)'!$V$6,Model!AF$1,'Assumptions (Geo)'!$V$9,'Assumptions (Geo)'!$V$4*Model!$AM$1560*AVERAGE('Assumptions (Geo)'!$AI$2:$AK$2)/10^9),0)</f>
        <v>-7.317216404644388E-3</v>
      </c>
      <c r="AW1653" s="105">
        <f>IF($AM$1560&gt;0,PPMT('Assumptions (Geo)'!$V$6,Model!AG$1,'Assumptions (Geo)'!$V$9,'Assumptions (Geo)'!$V$4*Model!$AM$1560*AVERAGE('Assumptions (Geo)'!$AI$2:$AK$2)/10^9),0)</f>
        <v>-7.6647841838649979E-3</v>
      </c>
      <c r="AX1653" s="105">
        <f>IF($AM$1560&gt;0,PPMT('Assumptions (Geo)'!$V$6,Model!AH$1,'Assumptions (Geo)'!$V$9,'Assumptions (Geo)'!$V$4*Model!$AM$1560*AVERAGE('Assumptions (Geo)'!$AI$2:$AK$2)/10^9),0)</f>
        <v>-8.0288614325985837E-3</v>
      </c>
      <c r="AY1653" s="105">
        <f>IF($AM$1560&gt;0,PPMT('Assumptions (Geo)'!$V$6,Model!AI$1,'Assumptions (Geo)'!$V$9,'Assumptions (Geo)'!$V$4*Model!$AM$1560*AVERAGE('Assumptions (Geo)'!$AI$2:$AK$2)/10^9),0)</f>
        <v>-8.4102323506470168E-3</v>
      </c>
      <c r="AZ1653" s="105">
        <f>IF($AM$1560&gt;0,PPMT('Assumptions (Geo)'!$V$6,Model!AJ$1,'Assumptions (Geo)'!$V$9,'Assumptions (Geo)'!$V$4*Model!$AM$1560*AVERAGE('Assumptions (Geo)'!$AI$2:$AK$2)/10^9),0)</f>
        <v>-8.80971838730275E-3</v>
      </c>
      <c r="BA1653" s="105">
        <f>IF($AM$1560&gt;0,PPMT('Assumptions (Geo)'!$V$6,Model!AK$1,'Assumptions (Geo)'!$V$9,'Assumptions (Geo)'!$V$4*Model!$AM$1560*AVERAGE('Assumptions (Geo)'!$AI$2:$AK$2)/10^9),0)</f>
        <v>-9.2281800106996294E-3</v>
      </c>
      <c r="BB1653" s="105"/>
      <c r="BC1653" s="105"/>
      <c r="BD1653" s="105"/>
      <c r="BE1653" s="105"/>
      <c r="BF1653" s="105"/>
      <c r="BG1653" s="105"/>
      <c r="BH1653" s="105"/>
      <c r="BI1653" s="105"/>
      <c r="BJ1653" s="105"/>
      <c r="BK1653" s="105"/>
    </row>
    <row r="1654" spans="1:68" ht="15.75" hidden="1" customHeight="1" outlineLevel="1">
      <c r="A1654" s="428"/>
      <c r="B1654" s="99"/>
      <c r="C1654" s="99"/>
      <c r="D1654" s="99"/>
      <c r="E1654" s="99"/>
      <c r="F1654" s="99"/>
      <c r="G1654" s="99"/>
      <c r="H1654" s="99"/>
      <c r="I1654" s="99"/>
      <c r="J1654" s="99"/>
      <c r="K1654" s="99"/>
      <c r="L1654" s="99"/>
      <c r="M1654" s="99"/>
      <c r="N1654" s="99"/>
      <c r="O1654" s="99"/>
      <c r="P1654" s="99"/>
      <c r="Q1654" s="99"/>
      <c r="R1654" s="99"/>
      <c r="S1654" s="99"/>
      <c r="T1654" s="99"/>
      <c r="U1654" s="99"/>
      <c r="V1654" s="99"/>
      <c r="W1654" s="105"/>
      <c r="X1654" s="105"/>
      <c r="Y1654" s="105"/>
      <c r="Z1654" s="105"/>
      <c r="AA1654" s="105"/>
      <c r="AB1654" s="105"/>
      <c r="AC1654" s="105"/>
      <c r="AD1654" s="105"/>
      <c r="AE1654" s="105"/>
      <c r="AF1654" s="105"/>
      <c r="AG1654" s="105"/>
      <c r="AH1654" s="105"/>
      <c r="AI1654" s="105"/>
      <c r="AJ1654" s="171"/>
      <c r="AK1654" s="105"/>
      <c r="AL1654" s="91"/>
      <c r="AM1654" s="91"/>
      <c r="AN1654" s="105">
        <f>IF($AN$1560&gt;0,PPMT('Assumptions (Geo)'!$V$6,Model!W$1,'Assumptions (Geo)'!$V$9,'Assumptions (Geo)'!$V$4*Model!$AN$1560*AVERAGE('Assumptions (Geo)'!$AJ$2:$AL$2)/10^9),0)</f>
        <v>-1.5345952543630349E-2</v>
      </c>
      <c r="AO1654" s="105">
        <f>IF($AN$1560&gt;0,PPMT('Assumptions (Geo)'!$V$6,Model!X$1,'Assumptions (Geo)'!$V$9,'Assumptions (Geo)'!$V$4*Model!$AN$1560*AVERAGE('Assumptions (Geo)'!$AJ$2:$AL$2)/10^9),0)</f>
        <v>-1.6074885289452789E-2</v>
      </c>
      <c r="AP1654" s="105">
        <f>IF($AN$1560&gt;0,PPMT('Assumptions (Geo)'!$V$6,Model!Y$1,'Assumptions (Geo)'!$V$9,'Assumptions (Geo)'!$V$4*Model!$AN$1560*AVERAGE('Assumptions (Geo)'!$AJ$2:$AL$2)/10^9),0)</f>
        <v>-1.6838442340701799E-2</v>
      </c>
      <c r="AQ1654" s="105">
        <f>IF($AN$1560&gt;0,PPMT('Assumptions (Geo)'!$V$6,Model!Z$1,'Assumptions (Geo)'!$V$9,'Assumptions (Geo)'!$V$4*Model!$AN$1560*AVERAGE('Assumptions (Geo)'!$AJ$2:$AL$2)/10^9),0)</f>
        <v>-1.7638268351885134E-2</v>
      </c>
      <c r="AR1654" s="105">
        <f>IF($AN$1560&gt;0,PPMT('Assumptions (Geo)'!$V$6,Model!AA$1,'Assumptions (Geo)'!$V$9,'Assumptions (Geo)'!$V$4*Model!$AN$1560*AVERAGE('Assumptions (Geo)'!$AJ$2:$AL$2)/10^9),0)</f>
        <v>-1.8476086098599676E-2</v>
      </c>
      <c r="AS1654" s="105">
        <f>IF($AN$1560&gt;0,PPMT('Assumptions (Geo)'!$V$6,Model!AB$1,'Assumptions (Geo)'!$V$9,'Assumptions (Geo)'!$V$4*Model!$AN$1560*AVERAGE('Assumptions (Geo)'!$AJ$2:$AL$2)/10^9),0)</f>
        <v>-1.9353700188283161E-2</v>
      </c>
      <c r="AT1654" s="105">
        <f>IF($AN$1560&gt;0,PPMT('Assumptions (Geo)'!$V$6,Model!AC$1,'Assumptions (Geo)'!$V$9,'Assumptions (Geo)'!$V$4*Model!$AN$1560*AVERAGE('Assumptions (Geo)'!$AJ$2:$AL$2)/10^9),0)</f>
        <v>-2.0273000947226612E-2</v>
      </c>
      <c r="AU1654" s="105">
        <f>IF($AN$1560&gt;0,PPMT('Assumptions (Geo)'!$V$6,Model!AD$1,'Assumptions (Geo)'!$V$9,'Assumptions (Geo)'!$V$4*Model!$AN$1560*AVERAGE('Assumptions (Geo)'!$AJ$2:$AL$2)/10^9),0)</f>
        <v>-2.1235968492219877E-2</v>
      </c>
      <c r="AV1654" s="105">
        <f>IF($AN$1560&gt;0,PPMT('Assumptions (Geo)'!$V$6,Model!AE$1,'Assumptions (Geo)'!$V$9,'Assumptions (Geo)'!$V$4*Model!$AN$1560*AVERAGE('Assumptions (Geo)'!$AJ$2:$AL$2)/10^9),0)</f>
        <v>-2.2244676995600319E-2</v>
      </c>
      <c r="AW1654" s="105">
        <f>IF($AN$1560&gt;0,PPMT('Assumptions (Geo)'!$V$6,Model!AF$1,'Assumptions (Geo)'!$V$9,'Assumptions (Geo)'!$V$4*Model!$AN$1560*AVERAGE('Assumptions (Geo)'!$AJ$2:$AL$2)/10^9),0)</f>
        <v>-2.3301299152891336E-2</v>
      </c>
      <c r="AX1654" s="105">
        <f>IF($AN$1560&gt;0,PPMT('Assumptions (Geo)'!$V$6,Model!AG$1,'Assumptions (Geo)'!$V$9,'Assumptions (Geo)'!$V$4*Model!$AN$1560*AVERAGE('Assumptions (Geo)'!$AJ$2:$AL$2)/10^9),0)</f>
        <v>-2.4408110862653674E-2</v>
      </c>
      <c r="AY1654" s="105">
        <f>IF($AN$1560&gt;0,PPMT('Assumptions (Geo)'!$V$6,Model!AH$1,'Assumptions (Geo)'!$V$9,'Assumptions (Geo)'!$V$4*Model!$AN$1560*AVERAGE('Assumptions (Geo)'!$AJ$2:$AL$2)/10^9),0)</f>
        <v>-2.5567496128629724E-2</v>
      </c>
      <c r="AZ1654" s="105">
        <f>IF($AN$1560&gt;0,PPMT('Assumptions (Geo)'!$V$6,Model!AI$1,'Assumptions (Geo)'!$V$9,'Assumptions (Geo)'!$V$4*Model!$AN$1560*AVERAGE('Assumptions (Geo)'!$AJ$2:$AL$2)/10^9),0)</f>
        <v>-2.6781952194739639E-2</v>
      </c>
      <c r="BA1654" s="105">
        <f>IF($AN$1560&gt;0,PPMT('Assumptions (Geo)'!$V$6,Model!AJ$1,'Assumptions (Geo)'!$V$9,'Assumptions (Geo)'!$V$4*Model!$AN$1560*AVERAGE('Assumptions (Geo)'!$AJ$2:$AL$2)/10^9),0)</f>
        <v>-2.8054094923989772E-2</v>
      </c>
      <c r="BB1654" s="105">
        <f>IF($AN$1560&gt;0,PPMT('Assumptions (Geo)'!$V$6,Model!AK$1,'Assumptions (Geo)'!$V$9,'Assumptions (Geo)'!$V$4*Model!$AN$1560*AVERAGE('Assumptions (Geo)'!$AJ$2:$AL$2)/10^9),0)</f>
        <v>-2.9386664432879281E-2</v>
      </c>
      <c r="BC1654" s="105"/>
      <c r="BD1654" s="105"/>
      <c r="BE1654" s="105"/>
      <c r="BF1654" s="105"/>
      <c r="BG1654" s="105"/>
      <c r="BH1654" s="105"/>
      <c r="BI1654" s="105"/>
      <c r="BJ1654" s="105"/>
      <c r="BK1654" s="105"/>
      <c r="BL1654" s="105"/>
    </row>
    <row r="1655" spans="1:68" ht="15.75" hidden="1" customHeight="1" outlineLevel="1">
      <c r="A1655" s="428"/>
      <c r="B1655" s="99"/>
      <c r="C1655" s="99"/>
      <c r="D1655" s="99"/>
      <c r="E1655" s="99"/>
      <c r="F1655" s="99"/>
      <c r="G1655" s="99"/>
      <c r="H1655" s="99"/>
      <c r="I1655" s="99"/>
      <c r="J1655" s="99"/>
      <c r="K1655" s="99"/>
      <c r="L1655" s="99"/>
      <c r="M1655" s="99"/>
      <c r="N1655" s="99"/>
      <c r="O1655" s="99"/>
      <c r="P1655" s="99"/>
      <c r="Q1655" s="99"/>
      <c r="R1655" s="99"/>
      <c r="S1655" s="99"/>
      <c r="T1655" s="99"/>
      <c r="U1655" s="99"/>
      <c r="V1655" s="99"/>
      <c r="W1655" s="105"/>
      <c r="X1655" s="105"/>
      <c r="Y1655" s="105"/>
      <c r="Z1655" s="105"/>
      <c r="AA1655" s="105"/>
      <c r="AB1655" s="105"/>
      <c r="AC1655" s="105"/>
      <c r="AD1655" s="105"/>
      <c r="AE1655" s="105"/>
      <c r="AF1655" s="105"/>
      <c r="AG1655" s="105"/>
      <c r="AH1655" s="105"/>
      <c r="AI1655" s="105"/>
      <c r="AJ1655" s="171"/>
      <c r="AK1655" s="105"/>
      <c r="AL1655" s="91"/>
      <c r="AM1655" s="91"/>
      <c r="AN1655" s="91"/>
      <c r="AO1655" s="105">
        <f>IF($AO$1560&gt;0,PPMT('Assumptions (Geo)'!$V$6,Model!W$1,'Assumptions (Geo)'!$V$9,'Assumptions (Geo)'!$V$4*Model!$AO$1560*AVERAGE('Assumptions (Geo)'!$AK$2:$AM$2)/10^9),0)</f>
        <v>0</v>
      </c>
      <c r="AP1655" s="105">
        <f>IF($AO$1560&gt;0,PPMT('Assumptions (Geo)'!$V$6,Model!X$1,'Assumptions (Geo)'!$V$9,'Assumptions (Geo)'!$V$4*Model!$AO$1560*AVERAGE('Assumptions (Geo)'!$AK$2:$AM$2)/10^9),0)</f>
        <v>0</v>
      </c>
      <c r="AQ1655" s="105">
        <f>IF($AO$1560&gt;0,PPMT('Assumptions (Geo)'!$V$6,Model!Y$1,'Assumptions (Geo)'!$V$9,'Assumptions (Geo)'!$V$4*Model!$AO$1560*AVERAGE('Assumptions (Geo)'!$AK$2:$AM$2)/10^9),0)</f>
        <v>0</v>
      </c>
      <c r="AR1655" s="105">
        <f>IF($AO$1560&gt;0,PPMT('Assumptions (Geo)'!$V$6,Model!Z$1,'Assumptions (Geo)'!$V$9,'Assumptions (Geo)'!$V$4*Model!$AO$1560*AVERAGE('Assumptions (Geo)'!$AK$2:$AM$2)/10^9),0)</f>
        <v>0</v>
      </c>
      <c r="AS1655" s="105">
        <f>IF($AO$1560&gt;0,PPMT('Assumptions (Geo)'!$V$6,Model!AA$1,'Assumptions (Geo)'!$V$9,'Assumptions (Geo)'!$V$4*Model!$AO$1560*AVERAGE('Assumptions (Geo)'!$AK$2:$AM$2)/10^9),0)</f>
        <v>0</v>
      </c>
      <c r="AT1655" s="105">
        <f>IF($AO$1560&gt;0,PPMT('Assumptions (Geo)'!$V$6,Model!AB$1,'Assumptions (Geo)'!$V$9,'Assumptions (Geo)'!$V$4*Model!$AO$1560*AVERAGE('Assumptions (Geo)'!$AK$2:$AM$2)/10^9),0)</f>
        <v>0</v>
      </c>
      <c r="AU1655" s="105">
        <f>IF($AO$1560&gt;0,PPMT('Assumptions (Geo)'!$V$6,Model!AC$1,'Assumptions (Geo)'!$V$9,'Assumptions (Geo)'!$V$4*Model!$AO$1560*AVERAGE('Assumptions (Geo)'!$AK$2:$AM$2)/10^9),0)</f>
        <v>0</v>
      </c>
      <c r="AV1655" s="105">
        <f>IF($AO$1560&gt;0,PPMT('Assumptions (Geo)'!$V$6,Model!AD$1,'Assumptions (Geo)'!$V$9,'Assumptions (Geo)'!$V$4*Model!$AO$1560*AVERAGE('Assumptions (Geo)'!$AK$2:$AM$2)/10^9),0)</f>
        <v>0</v>
      </c>
      <c r="AW1655" s="105">
        <f>IF($AO$1560&gt;0,PPMT('Assumptions (Geo)'!$V$6,Model!AE$1,'Assumptions (Geo)'!$V$9,'Assumptions (Geo)'!$V$4*Model!$AO$1560*AVERAGE('Assumptions (Geo)'!$AK$2:$AM$2)/10^9),0)</f>
        <v>0</v>
      </c>
      <c r="AX1655" s="105">
        <f>IF($AO$1560&gt;0,PPMT('Assumptions (Geo)'!$V$6,Model!AF$1,'Assumptions (Geo)'!$V$9,'Assumptions (Geo)'!$V$4*Model!$AO$1560*AVERAGE('Assumptions (Geo)'!$AK$2:$AM$2)/10^9),0)</f>
        <v>0</v>
      </c>
      <c r="AY1655" s="105">
        <f>IF($AO$1560&gt;0,PPMT('Assumptions (Geo)'!$V$6,Model!AG$1,'Assumptions (Geo)'!$V$9,'Assumptions (Geo)'!$V$4*Model!$AO$1560*AVERAGE('Assumptions (Geo)'!$AK$2:$AM$2)/10^9),0)</f>
        <v>0</v>
      </c>
      <c r="AZ1655" s="105">
        <f>IF($AO$1560&gt;0,PPMT('Assumptions (Geo)'!$V$6,Model!AH$1,'Assumptions (Geo)'!$V$9,'Assumptions (Geo)'!$V$4*Model!$AO$1560*AVERAGE('Assumptions (Geo)'!$AK$2:$AM$2)/10^9),0)</f>
        <v>0</v>
      </c>
      <c r="BA1655" s="105">
        <f>IF($AO$1560&gt;0,PPMT('Assumptions (Geo)'!$V$6,Model!AI$1,'Assumptions (Geo)'!$V$9,'Assumptions (Geo)'!$V$4*Model!$AO$1560*AVERAGE('Assumptions (Geo)'!$AK$2:$AM$2)/10^9),0)</f>
        <v>0</v>
      </c>
      <c r="BB1655" s="105">
        <f>IF($AO$1560&gt;0,PPMT('Assumptions (Geo)'!$V$6,Model!AJ$1,'Assumptions (Geo)'!$V$9,'Assumptions (Geo)'!$V$4*Model!$AO$1560*AVERAGE('Assumptions (Geo)'!$AK$2:$AM$2)/10^9),0)</f>
        <v>0</v>
      </c>
      <c r="BC1655" s="105">
        <f>IF($AO$1560&gt;0,PPMT('Assumptions (Geo)'!$V$6,Model!AK$1,'Assumptions (Geo)'!$V$9,'Assumptions (Geo)'!$V$4*Model!$AO$1560*AVERAGE('Assumptions (Geo)'!$AK$2:$AM$2)/10^9),0)</f>
        <v>0</v>
      </c>
      <c r="BD1655" s="105"/>
      <c r="BE1655" s="105"/>
      <c r="BF1655" s="105"/>
      <c r="BG1655" s="105"/>
      <c r="BH1655" s="105"/>
      <c r="BI1655" s="105"/>
      <c r="BJ1655" s="105"/>
      <c r="BK1655" s="105"/>
      <c r="BL1655" s="105"/>
      <c r="BM1655" s="105"/>
    </row>
    <row r="1656" spans="1:68" ht="15.75" hidden="1" customHeight="1" outlineLevel="1">
      <c r="A1656" s="428"/>
      <c r="B1656" s="99"/>
      <c r="C1656" s="99"/>
      <c r="D1656" s="99"/>
      <c r="E1656" s="99"/>
      <c r="F1656" s="99"/>
      <c r="G1656" s="99"/>
      <c r="H1656" s="99"/>
      <c r="I1656" s="99"/>
      <c r="J1656" s="99"/>
      <c r="K1656" s="99"/>
      <c r="L1656" s="99"/>
      <c r="M1656" s="99"/>
      <c r="N1656" s="99"/>
      <c r="O1656" s="99"/>
      <c r="P1656" s="99"/>
      <c r="Q1656" s="99"/>
      <c r="R1656" s="99"/>
      <c r="S1656" s="99"/>
      <c r="T1656" s="99"/>
      <c r="U1656" s="99"/>
      <c r="V1656" s="99"/>
      <c r="W1656" s="105"/>
      <c r="X1656" s="105"/>
      <c r="Y1656" s="105"/>
      <c r="Z1656" s="105"/>
      <c r="AA1656" s="105"/>
      <c r="AB1656" s="105"/>
      <c r="AC1656" s="105"/>
      <c r="AD1656" s="105"/>
      <c r="AE1656" s="105"/>
      <c r="AF1656" s="105"/>
      <c r="AG1656" s="105"/>
      <c r="AH1656" s="105"/>
      <c r="AI1656" s="105"/>
      <c r="AJ1656" s="171"/>
      <c r="AK1656" s="105"/>
      <c r="AL1656" s="91"/>
      <c r="AM1656" s="91"/>
      <c r="AN1656" s="91"/>
      <c r="AO1656" s="105"/>
      <c r="AP1656" s="105">
        <f>IF($AP$1560&gt;0,PPMT('Assumptions (Geo)'!$V$6,Model!W$1,'Assumptions (Geo)'!$V$9,'Assumptions (Geo)'!$V$4*Model!$AP$1560*AVERAGE('Assumptions (Geo)'!$AL$2:$AN$2)/10^9),0)</f>
        <v>0</v>
      </c>
      <c r="AQ1656" s="105">
        <f>IF($AP$1560&gt;0,PPMT('Assumptions (Geo)'!$V$6,Model!X$1,'Assumptions (Geo)'!$V$9,'Assumptions (Geo)'!$V$4*Model!$AP$1560*AVERAGE('Assumptions (Geo)'!$AL$2:$AN$2)/10^9),0)</f>
        <v>0</v>
      </c>
      <c r="AR1656" s="105">
        <f>IF($AP$1560&gt;0,PPMT('Assumptions (Geo)'!$V$6,Model!Y$1,'Assumptions (Geo)'!$V$9,'Assumptions (Geo)'!$V$4*Model!$AP$1560*AVERAGE('Assumptions (Geo)'!$AL$2:$AN$2)/10^9),0)</f>
        <v>0</v>
      </c>
      <c r="AS1656" s="105">
        <f>IF($AP$1560&gt;0,PPMT('Assumptions (Geo)'!$V$6,Model!Z$1,'Assumptions (Geo)'!$V$9,'Assumptions (Geo)'!$V$4*Model!$AP$1560*AVERAGE('Assumptions (Geo)'!$AL$2:$AN$2)/10^9),0)</f>
        <v>0</v>
      </c>
      <c r="AT1656" s="105">
        <f>IF($AP$1560&gt;0,PPMT('Assumptions (Geo)'!$V$6,Model!AA$1,'Assumptions (Geo)'!$V$9,'Assumptions (Geo)'!$V$4*Model!$AP$1560*AVERAGE('Assumptions (Geo)'!$AL$2:$AN$2)/10^9),0)</f>
        <v>0</v>
      </c>
      <c r="AU1656" s="105">
        <f>IF($AP$1560&gt;0,PPMT('Assumptions (Geo)'!$V$6,Model!AB$1,'Assumptions (Geo)'!$V$9,'Assumptions (Geo)'!$V$4*Model!$AP$1560*AVERAGE('Assumptions (Geo)'!$AL$2:$AN$2)/10^9),0)</f>
        <v>0</v>
      </c>
      <c r="AV1656" s="105">
        <f>IF($AP$1560&gt;0,PPMT('Assumptions (Geo)'!$V$6,Model!AC$1,'Assumptions (Geo)'!$V$9,'Assumptions (Geo)'!$V$4*Model!$AP$1560*AVERAGE('Assumptions (Geo)'!$AL$2:$AN$2)/10^9),0)</f>
        <v>0</v>
      </c>
      <c r="AW1656" s="105">
        <f>IF($AP$1560&gt;0,PPMT('Assumptions (Geo)'!$V$6,Model!AD$1,'Assumptions (Geo)'!$V$9,'Assumptions (Geo)'!$V$4*Model!$AP$1560*AVERAGE('Assumptions (Geo)'!$AL$2:$AN$2)/10^9),0)</f>
        <v>0</v>
      </c>
      <c r="AX1656" s="105">
        <f>IF($AP$1560&gt;0,PPMT('Assumptions (Geo)'!$V$6,Model!AE$1,'Assumptions (Geo)'!$V$9,'Assumptions (Geo)'!$V$4*Model!$AP$1560*AVERAGE('Assumptions (Geo)'!$AL$2:$AN$2)/10^9),0)</f>
        <v>0</v>
      </c>
      <c r="AY1656" s="105">
        <f>IF($AP$1560&gt;0,PPMT('Assumptions (Geo)'!$V$6,Model!AF$1,'Assumptions (Geo)'!$V$9,'Assumptions (Geo)'!$V$4*Model!$AP$1560*AVERAGE('Assumptions (Geo)'!$AL$2:$AN$2)/10^9),0)</f>
        <v>0</v>
      </c>
      <c r="AZ1656" s="105">
        <f>IF($AP$1560&gt;0,PPMT('Assumptions (Geo)'!$V$6,Model!AG$1,'Assumptions (Geo)'!$V$9,'Assumptions (Geo)'!$V$4*Model!$AP$1560*AVERAGE('Assumptions (Geo)'!$AL$2:$AN$2)/10^9),0)</f>
        <v>0</v>
      </c>
      <c r="BA1656" s="105">
        <f>IF($AP$1560&gt;0,PPMT('Assumptions (Geo)'!$V$6,Model!AH$1,'Assumptions (Geo)'!$V$9,'Assumptions (Geo)'!$V$4*Model!$AP$1560*AVERAGE('Assumptions (Geo)'!$AL$2:$AN$2)/10^9),0)</f>
        <v>0</v>
      </c>
      <c r="BB1656" s="105">
        <f>IF($AP$1560&gt;0,PPMT('Assumptions (Geo)'!$V$6,Model!AI$1,'Assumptions (Geo)'!$V$9,'Assumptions (Geo)'!$V$4*Model!$AP$1560*AVERAGE('Assumptions (Geo)'!$AL$2:$AN$2)/10^9),0)</f>
        <v>0</v>
      </c>
      <c r="BC1656" s="105">
        <f>IF($AP$1560&gt;0,PPMT('Assumptions (Geo)'!$V$6,Model!AJ$1,'Assumptions (Geo)'!$V$9,'Assumptions (Geo)'!$V$4*Model!$AP$1560*AVERAGE('Assumptions (Geo)'!$AL$2:$AN$2)/10^9),0)</f>
        <v>0</v>
      </c>
      <c r="BD1656" s="105">
        <f>IF($AP$1560&gt;0,PPMT('Assumptions (Geo)'!$V$6,Model!AK$1,'Assumptions (Geo)'!$V$9,'Assumptions (Geo)'!$V$4*Model!$AP$1560*AVERAGE('Assumptions (Geo)'!$AL$2:$AN$2)/10^9),0)</f>
        <v>0</v>
      </c>
      <c r="BE1656" s="105"/>
      <c r="BF1656" s="105"/>
      <c r="BG1656" s="105"/>
      <c r="BH1656" s="105"/>
      <c r="BI1656" s="105"/>
      <c r="BJ1656" s="105"/>
      <c r="BK1656" s="105"/>
      <c r="BL1656" s="105"/>
      <c r="BM1656" s="105"/>
      <c r="BN1656" s="105"/>
    </row>
    <row r="1657" spans="1:68" ht="15.75" hidden="1" customHeight="1" outlineLevel="1">
      <c r="A1657" s="428"/>
      <c r="B1657" s="99"/>
      <c r="C1657" s="99"/>
      <c r="D1657" s="99"/>
      <c r="E1657" s="99"/>
      <c r="F1657" s="99"/>
      <c r="G1657" s="99"/>
      <c r="H1657" s="99"/>
      <c r="I1657" s="99"/>
      <c r="J1657" s="99"/>
      <c r="K1657" s="99"/>
      <c r="L1657" s="99"/>
      <c r="M1657" s="99"/>
      <c r="N1657" s="99"/>
      <c r="O1657" s="99"/>
      <c r="P1657" s="99"/>
      <c r="Q1657" s="99"/>
      <c r="R1657" s="99"/>
      <c r="S1657" s="99"/>
      <c r="T1657" s="99"/>
      <c r="U1657" s="99"/>
      <c r="V1657" s="99"/>
      <c r="W1657" s="105"/>
      <c r="X1657" s="105"/>
      <c r="Y1657" s="105"/>
      <c r="Z1657" s="105"/>
      <c r="AA1657" s="105"/>
      <c r="AB1657" s="105"/>
      <c r="AC1657" s="105"/>
      <c r="AD1657" s="105"/>
      <c r="AE1657" s="105"/>
      <c r="AF1657" s="105"/>
      <c r="AG1657" s="105"/>
      <c r="AH1657" s="105"/>
      <c r="AI1657" s="105"/>
      <c r="AJ1657" s="171"/>
      <c r="AK1657" s="105"/>
      <c r="AL1657" s="91"/>
      <c r="AM1657" s="91"/>
      <c r="AN1657" s="91"/>
      <c r="AO1657" s="105"/>
      <c r="AP1657" s="105"/>
      <c r="AQ1657" s="105">
        <f>IF($AQ$1560&gt;0,PPMT('Assumptions (Geo)'!$V$6,Model!W$1,'Assumptions (Geo)'!$V$9,'Assumptions (Geo)'!$V$4*Model!$AQ$1560*AVERAGE('Assumptions (Geo)'!$AM$2:$AO$2)/10^9),0)</f>
        <v>-1.2384434220035287E-2</v>
      </c>
      <c r="AR1657" s="105">
        <f>IF($AQ$1560&gt;0,PPMT('Assumptions (Geo)'!$V$6,Model!X$1,'Assumptions (Geo)'!$V$9,'Assumptions (Geo)'!$V$4*Model!$AQ$1560*AVERAGE('Assumptions (Geo)'!$AM$2:$AO$2)/10^9),0)</f>
        <v>-1.2972694845486962E-2</v>
      </c>
      <c r="AS1657" s="105">
        <f>IF($AQ$1560&gt;0,PPMT('Assumptions (Geo)'!$V$6,Model!Y$1,'Assumptions (Geo)'!$V$9,'Assumptions (Geo)'!$V$4*Model!$AQ$1560*AVERAGE('Assumptions (Geo)'!$AM$2:$AO$2)/10^9),0)</f>
        <v>-1.3588897850647595E-2</v>
      </c>
      <c r="AT1657" s="105">
        <f>IF($AQ$1560&gt;0,PPMT('Assumptions (Geo)'!$V$6,Model!Z$1,'Assumptions (Geo)'!$V$9,'Assumptions (Geo)'!$V$4*Model!$AQ$1560*AVERAGE('Assumptions (Geo)'!$AM$2:$AO$2)/10^9),0)</f>
        <v>-1.4234370498553353E-2</v>
      </c>
      <c r="AU1657" s="105">
        <f>IF($AQ$1560&gt;0,PPMT('Assumptions (Geo)'!$V$6,Model!AA$1,'Assumptions (Geo)'!$V$9,'Assumptions (Geo)'!$V$4*Model!$AQ$1560*AVERAGE('Assumptions (Geo)'!$AM$2:$AO$2)/10^9),0)</f>
        <v>-1.4910503097234636E-2</v>
      </c>
      <c r="AV1657" s="105">
        <f>IF($AQ$1560&gt;0,PPMT('Assumptions (Geo)'!$V$6,Model!AB$1,'Assumptions (Geo)'!$V$9,'Assumptions (Geo)'!$V$4*Model!$AQ$1560*AVERAGE('Assumptions (Geo)'!$AM$2:$AO$2)/10^9),0)</f>
        <v>-1.5618751994353282E-2</v>
      </c>
      <c r="AW1657" s="105">
        <f>IF($AQ$1560&gt;0,PPMT('Assumptions (Geo)'!$V$6,Model!AC$1,'Assumptions (Geo)'!$V$9,'Assumptions (Geo)'!$V$4*Model!$AQ$1560*AVERAGE('Assumptions (Geo)'!$AM$2:$AO$2)/10^9),0)</f>
        <v>-1.6360642714085064E-2</v>
      </c>
      <c r="AX1657" s="105">
        <f>IF($AQ$1560&gt;0,PPMT('Assumptions (Geo)'!$V$6,Model!AD$1,'Assumptions (Geo)'!$V$9,'Assumptions (Geo)'!$V$4*Model!$AQ$1560*AVERAGE('Assumptions (Geo)'!$AM$2:$AO$2)/10^9),0)</f>
        <v>-1.7137773243004105E-2</v>
      </c>
      <c r="AY1657" s="105">
        <f>IF($AQ$1560&gt;0,PPMT('Assumptions (Geo)'!$V$6,Model!AE$1,'Assumptions (Geo)'!$V$9,'Assumptions (Geo)'!$V$4*Model!$AQ$1560*AVERAGE('Assumptions (Geo)'!$AM$2:$AO$2)/10^9),0)</f>
        <v>-1.7951817472046799E-2</v>
      </c>
      <c r="AZ1657" s="105">
        <f>IF($AQ$1560&gt;0,PPMT('Assumptions (Geo)'!$V$6,Model!AF$1,'Assumptions (Geo)'!$V$9,'Assumptions (Geo)'!$V$4*Model!$AQ$1560*AVERAGE('Assumptions (Geo)'!$AM$2:$AO$2)/10^9),0)</f>
        <v>-1.8804528801969023E-2</v>
      </c>
      <c r="BA1657" s="105">
        <f>IF($AQ$1560&gt;0,PPMT('Assumptions (Geo)'!$V$6,Model!AG$1,'Assumptions (Geo)'!$V$9,'Assumptions (Geo)'!$V$4*Model!$AQ$1560*AVERAGE('Assumptions (Geo)'!$AM$2:$AO$2)/10^9),0)</f>
        <v>-1.9697743920062551E-2</v>
      </c>
      <c r="BB1657" s="105">
        <f>IF($AQ$1560&gt;0,PPMT('Assumptions (Geo)'!$V$6,Model!AH$1,'Assumptions (Geo)'!$V$9,'Assumptions (Geo)'!$V$4*Model!$AQ$1560*AVERAGE('Assumptions (Geo)'!$AM$2:$AO$2)/10^9),0)</f>
        <v>-2.0633386756265523E-2</v>
      </c>
      <c r="BC1657" s="105">
        <f>IF($AQ$1560&gt;0,PPMT('Assumptions (Geo)'!$V$6,Model!AI$1,'Assumptions (Geo)'!$V$9,'Assumptions (Geo)'!$V$4*Model!$AQ$1560*AVERAGE('Assumptions (Geo)'!$AM$2:$AO$2)/10^9),0)</f>
        <v>-2.1613472627188136E-2</v>
      </c>
      <c r="BD1657" s="105">
        <f>IF($AQ$1560&gt;0,PPMT('Assumptions (Geo)'!$V$6,Model!AJ$1,'Assumptions (Geo)'!$V$9,'Assumptions (Geo)'!$V$4*Model!$AQ$1560*AVERAGE('Assumptions (Geo)'!$AM$2:$AO$2)/10^9),0)</f>
        <v>-2.2640112576979572E-2</v>
      </c>
      <c r="BE1657" s="105">
        <f>IF($AQ$1560&gt;0,PPMT('Assumptions (Geo)'!$V$6,Model!AK$1,'Assumptions (Geo)'!$V$9,'Assumptions (Geo)'!$V$4*Model!$AQ$1560*AVERAGE('Assumptions (Geo)'!$AM$2:$AO$2)/10^9),0)</f>
        <v>-2.3715517924386097E-2</v>
      </c>
      <c r="BF1657" s="105"/>
      <c r="BG1657" s="105"/>
      <c r="BH1657" s="105"/>
      <c r="BI1657" s="105"/>
      <c r="BJ1657" s="105"/>
      <c r="BK1657" s="105"/>
      <c r="BL1657" s="105"/>
      <c r="BM1657" s="105"/>
      <c r="BN1657" s="105"/>
      <c r="BO1657" s="105"/>
    </row>
    <row r="1658" spans="1:68" ht="15.75" hidden="1" customHeight="1" outlineLevel="1">
      <c r="A1658" s="428"/>
      <c r="B1658" s="99"/>
      <c r="C1658" s="99"/>
      <c r="D1658" s="99"/>
      <c r="E1658" s="99"/>
      <c r="F1658" s="99"/>
      <c r="G1658" s="99"/>
      <c r="H1658" s="99"/>
      <c r="I1658" s="99"/>
      <c r="J1658" s="99"/>
      <c r="K1658" s="99"/>
      <c r="L1658" s="99"/>
      <c r="M1658" s="99"/>
      <c r="N1658" s="99"/>
      <c r="O1658" s="99"/>
      <c r="P1658" s="99"/>
      <c r="Q1658" s="99"/>
      <c r="R1658" s="99"/>
      <c r="S1658" s="99"/>
      <c r="T1658" s="99"/>
      <c r="U1658" s="99"/>
      <c r="V1658" s="99"/>
      <c r="W1658" s="105"/>
      <c r="X1658" s="105"/>
      <c r="Y1658" s="105"/>
      <c r="Z1658" s="105"/>
      <c r="AA1658" s="105"/>
      <c r="AB1658" s="105"/>
      <c r="AC1658" s="105"/>
      <c r="AD1658" s="105"/>
      <c r="AE1658" s="105"/>
      <c r="AF1658" s="105"/>
      <c r="AG1658" s="105"/>
      <c r="AH1658" s="105"/>
      <c r="AI1658" s="105"/>
      <c r="AJ1658" s="171"/>
      <c r="AK1658" s="105"/>
      <c r="AL1658" s="91"/>
      <c r="AM1658" s="91"/>
      <c r="AN1658" s="91"/>
      <c r="AO1658" s="105"/>
      <c r="AP1658" s="105"/>
      <c r="AQ1658" s="105"/>
      <c r="AR1658" s="105">
        <f>IF($AR$1560&gt;0,PPMT('Assumptions (Geo)'!$V$6,Model!W$1,'Assumptions (Geo)'!$V$9,'Assumptions (Geo)'!$V$4*Model!$AR$1560*AVERAGE('Assumptions (Geo)'!$AN$2:$AP$2)/10^9),0)</f>
        <v>-1.9059463115750533E-2</v>
      </c>
      <c r="AS1658" s="105">
        <f>IF($AR$1560&gt;0,PPMT('Assumptions (Geo)'!$V$6,Model!X$1,'Assumptions (Geo)'!$V$9,'Assumptions (Geo)'!$V$4*Model!$AR$1560*AVERAGE('Assumptions (Geo)'!$AN$2:$AP$2)/10^9),0)</f>
        <v>-1.9964787613748682E-2</v>
      </c>
      <c r="AT1658" s="105">
        <f>IF($AR$1560&gt;0,PPMT('Assumptions (Geo)'!$V$6,Model!Y$1,'Assumptions (Geo)'!$V$9,'Assumptions (Geo)'!$V$4*Model!$AR$1560*AVERAGE('Assumptions (Geo)'!$AN$2:$AP$2)/10^9),0)</f>
        <v>-2.0913115025401746E-2</v>
      </c>
      <c r="AU1658" s="105">
        <f>IF($AR$1560&gt;0,PPMT('Assumptions (Geo)'!$V$6,Model!Z$1,'Assumptions (Geo)'!$V$9,'Assumptions (Geo)'!$V$4*Model!$AR$1560*AVERAGE('Assumptions (Geo)'!$AN$2:$AP$2)/10^9),0)</f>
        <v>-2.1906487989108325E-2</v>
      </c>
      <c r="AV1658" s="105">
        <f>IF($AR$1560&gt;0,PPMT('Assumptions (Geo)'!$V$6,Model!AA$1,'Assumptions (Geo)'!$V$9,'Assumptions (Geo)'!$V$4*Model!$AR$1560*AVERAGE('Assumptions (Geo)'!$AN$2:$AP$2)/10^9),0)</f>
        <v>-2.294704616859097E-2</v>
      </c>
      <c r="AW1658" s="105">
        <f>IF($AR$1560&gt;0,PPMT('Assumptions (Geo)'!$V$6,Model!AB$1,'Assumptions (Geo)'!$V$9,'Assumptions (Geo)'!$V$4*Model!$AR$1560*AVERAGE('Assumptions (Geo)'!$AN$2:$AP$2)/10^9),0)</f>
        <v>-2.4037030861599043E-2</v>
      </c>
      <c r="AX1658" s="105">
        <f>IF($AR$1560&gt;0,PPMT('Assumptions (Geo)'!$V$6,Model!AC$1,'Assumptions (Geo)'!$V$9,'Assumptions (Geo)'!$V$4*Model!$AR$1560*AVERAGE('Assumptions (Geo)'!$AN$2:$AP$2)/10^9),0)</f>
        <v>-2.5178789827524996E-2</v>
      </c>
      <c r="AY1658" s="105">
        <f>IF($AR$1560&gt;0,PPMT('Assumptions (Geo)'!$V$6,Model!AD$1,'Assumptions (Geo)'!$V$9,'Assumptions (Geo)'!$V$4*Model!$AR$1560*AVERAGE('Assumptions (Geo)'!$AN$2:$AP$2)/10^9),0)</f>
        <v>-2.6374782344332437E-2</v>
      </c>
      <c r="AZ1658" s="105">
        <f>IF($AR$1560&gt;0,PPMT('Assumptions (Geo)'!$V$6,Model!AE$1,'Assumptions (Geo)'!$V$9,'Assumptions (Geo)'!$V$4*Model!$AR$1560*AVERAGE('Assumptions (Geo)'!$AN$2:$AP$2)/10^9),0)</f>
        <v>-2.7627584505688224E-2</v>
      </c>
      <c r="BA1658" s="105">
        <f>IF($AR$1560&gt;0,PPMT('Assumptions (Geo)'!$V$6,Model!AF$1,'Assumptions (Geo)'!$V$9,'Assumptions (Geo)'!$V$4*Model!$AR$1560*AVERAGE('Assumptions (Geo)'!$AN$2:$AP$2)/10^9),0)</f>
        <v>-2.8939894769708416E-2</v>
      </c>
      <c r="BB1658" s="105">
        <f>IF($AR$1560&gt;0,PPMT('Assumptions (Geo)'!$V$6,Model!AG$1,'Assumptions (Geo)'!$V$9,'Assumptions (Geo)'!$V$4*Model!$AR$1560*AVERAGE('Assumptions (Geo)'!$AN$2:$AP$2)/10^9),0)</f>
        <v>-3.0314539771269567E-2</v>
      </c>
      <c r="BC1658" s="105">
        <f>IF($AR$1560&gt;0,PPMT('Assumptions (Geo)'!$V$6,Model!AH$1,'Assumptions (Geo)'!$V$9,'Assumptions (Geo)'!$V$4*Model!$AR$1560*AVERAGE('Assumptions (Geo)'!$AN$2:$AP$2)/10^9),0)</f>
        <v>-3.1754480410404871E-2</v>
      </c>
      <c r="BD1658" s="105">
        <f>IF($AR$1560&gt;0,PPMT('Assumptions (Geo)'!$V$6,Model!AI$1,'Assumptions (Geo)'!$V$9,'Assumptions (Geo)'!$V$4*Model!$AR$1560*AVERAGE('Assumptions (Geo)'!$AN$2:$AP$2)/10^9),0)</f>
        <v>-3.3262818229899106E-2</v>
      </c>
      <c r="BE1658" s="105">
        <f>IF($AR$1560&gt;0,PPMT('Assumptions (Geo)'!$V$6,Model!AJ$1,'Assumptions (Geo)'!$V$9,'Assumptions (Geo)'!$V$4*Model!$AR$1560*AVERAGE('Assumptions (Geo)'!$AN$2:$AP$2)/10^9),0)</f>
        <v>-3.484280209581931E-2</v>
      </c>
      <c r="BF1658" s="105">
        <f>IF($AR$1560&gt;0,PPMT('Assumptions (Geo)'!$V$6,Model!AK$1,'Assumptions (Geo)'!$V$9,'Assumptions (Geo)'!$V$4*Model!$AR$1560*AVERAGE('Assumptions (Geo)'!$AN$2:$AP$2)/10^9),0)</f>
        <v>-3.6497835195370726E-2</v>
      </c>
      <c r="BG1658" s="105"/>
      <c r="BH1658" s="105"/>
      <c r="BI1658" s="105"/>
      <c r="BJ1658" s="105"/>
      <c r="BK1658" s="105"/>
      <c r="BL1658" s="105"/>
      <c r="BM1658" s="105"/>
      <c r="BN1658" s="105"/>
      <c r="BO1658" s="105"/>
      <c r="BP1658" s="105"/>
    </row>
    <row r="1659" spans="1:68" ht="15.75" hidden="1" customHeight="1" outlineLevel="1">
      <c r="A1659" s="428"/>
      <c r="B1659" s="99"/>
      <c r="C1659" s="99"/>
      <c r="D1659" s="99"/>
      <c r="E1659" s="99"/>
      <c r="F1659" s="99"/>
      <c r="G1659" s="99"/>
      <c r="H1659" s="99"/>
      <c r="I1659" s="99"/>
      <c r="J1659" s="99"/>
      <c r="K1659" s="99"/>
      <c r="L1659" s="99"/>
      <c r="M1659" s="99"/>
      <c r="N1659" s="99"/>
      <c r="O1659" s="99"/>
      <c r="P1659" s="99"/>
      <c r="Q1659" s="99"/>
      <c r="R1659" s="99"/>
      <c r="S1659" s="99"/>
      <c r="T1659" s="99"/>
      <c r="U1659" s="99"/>
      <c r="V1659" s="99"/>
      <c r="W1659" s="105"/>
      <c r="X1659" s="105"/>
      <c r="Y1659" s="105"/>
      <c r="Z1659" s="105"/>
      <c r="AA1659" s="105"/>
      <c r="AB1659" s="105"/>
      <c r="AC1659" s="105"/>
      <c r="AD1659" s="105"/>
      <c r="AE1659" s="105"/>
      <c r="AF1659" s="105"/>
      <c r="AG1659" s="105"/>
      <c r="AH1659" s="105"/>
      <c r="AI1659" s="105"/>
      <c r="AJ1659" s="171"/>
      <c r="AK1659" s="105"/>
      <c r="AL1659" s="91"/>
      <c r="AM1659" s="91"/>
      <c r="AN1659" s="91"/>
      <c r="AO1659" s="105"/>
      <c r="AP1659" s="105"/>
      <c r="AQ1659" s="105"/>
      <c r="AR1659" s="105"/>
      <c r="AS1659" s="105">
        <f>IF($AS$1560&gt;0,PPMT('Assumptions (Geo)'!$V$6,Model!W$1,'Assumptions (Geo)'!$V$9,'Assumptions (Geo)'!$V$4*Model!$AS$1560*AVERAGE('Assumptions (Geo)'!$AO$2:$AQ$2)/10^9),0)</f>
        <v>0</v>
      </c>
      <c r="AT1659" s="105">
        <f>IF($AS$1560&gt;0,PPMT('Assumptions (Geo)'!$V$6,Model!X$1,'Assumptions (Geo)'!$V$9,'Assumptions (Geo)'!$V$4*Model!$AS$1560*AVERAGE('Assumptions (Geo)'!$AO$2:$AQ$2)/10^9),0)</f>
        <v>0</v>
      </c>
      <c r="AU1659" s="105">
        <f>IF($AS$1560&gt;0,PPMT('Assumptions (Geo)'!$V$6,Model!Y$1,'Assumptions (Geo)'!$V$9,'Assumptions (Geo)'!$V$4*Model!$AS$1560*AVERAGE('Assumptions (Geo)'!$AO$2:$AQ$2)/10^9),0)</f>
        <v>0</v>
      </c>
      <c r="AV1659" s="105">
        <f>IF($AS$1560&gt;0,PPMT('Assumptions (Geo)'!$V$6,Model!Z$1,'Assumptions (Geo)'!$V$9,'Assumptions (Geo)'!$V$4*Model!$AS$1560*AVERAGE('Assumptions (Geo)'!$AO$2:$AQ$2)/10^9),0)</f>
        <v>0</v>
      </c>
      <c r="AW1659" s="105">
        <f>IF($AS$1560&gt;0,PPMT('Assumptions (Geo)'!$V$6,Model!AA$1,'Assumptions (Geo)'!$V$9,'Assumptions (Geo)'!$V$4*Model!$AS$1560*AVERAGE('Assumptions (Geo)'!$AO$2:$AQ$2)/10^9),0)</f>
        <v>0</v>
      </c>
      <c r="AX1659" s="105">
        <f>IF($AS$1560&gt;0,PPMT('Assumptions (Geo)'!$V$6,Model!AB$1,'Assumptions (Geo)'!$V$9,'Assumptions (Geo)'!$V$4*Model!$AS$1560*AVERAGE('Assumptions (Geo)'!$AO$2:$AQ$2)/10^9),0)</f>
        <v>0</v>
      </c>
      <c r="AY1659" s="105">
        <f>IF($AS$1560&gt;0,PPMT('Assumptions (Geo)'!$V$6,Model!AC$1,'Assumptions (Geo)'!$V$9,'Assumptions (Geo)'!$V$4*Model!$AS$1560*AVERAGE('Assumptions (Geo)'!$AO$2:$AQ$2)/10^9),0)</f>
        <v>0</v>
      </c>
      <c r="AZ1659" s="105">
        <f>IF($AS$1560&gt;0,PPMT('Assumptions (Geo)'!$V$6,Model!AD$1,'Assumptions (Geo)'!$V$9,'Assumptions (Geo)'!$V$4*Model!$AS$1560*AVERAGE('Assumptions (Geo)'!$AO$2:$AQ$2)/10^9),0)</f>
        <v>0</v>
      </c>
      <c r="BA1659" s="105">
        <f>IF($AS$1560&gt;0,PPMT('Assumptions (Geo)'!$V$6,Model!AE$1,'Assumptions (Geo)'!$V$9,'Assumptions (Geo)'!$V$4*Model!$AS$1560*AVERAGE('Assumptions (Geo)'!$AO$2:$AQ$2)/10^9),0)</f>
        <v>0</v>
      </c>
      <c r="BB1659" s="105">
        <f>IF($AS$1560&gt;0,PPMT('Assumptions (Geo)'!$V$6,Model!AF$1,'Assumptions (Geo)'!$V$9,'Assumptions (Geo)'!$V$4*Model!$AS$1560*AVERAGE('Assumptions (Geo)'!$AO$2:$AQ$2)/10^9),0)</f>
        <v>0</v>
      </c>
      <c r="BC1659" s="105">
        <f>IF($AS$1560&gt;0,PPMT('Assumptions (Geo)'!$V$6,Model!AG$1,'Assumptions (Geo)'!$V$9,'Assumptions (Geo)'!$V$4*Model!$AS$1560*AVERAGE('Assumptions (Geo)'!$AO$2:$AQ$2)/10^9),0)</f>
        <v>0</v>
      </c>
      <c r="BD1659" s="105">
        <f>IF($AS$1560&gt;0,PPMT('Assumptions (Geo)'!$V$6,Model!AH$1,'Assumptions (Geo)'!$V$9,'Assumptions (Geo)'!$V$4*Model!$AS$1560*AVERAGE('Assumptions (Geo)'!$AO$2:$AQ$2)/10^9),0)</f>
        <v>0</v>
      </c>
      <c r="BE1659" s="105">
        <f>IF($AS$1560&gt;0,PPMT('Assumptions (Geo)'!$V$6,Model!AI$1,'Assumptions (Geo)'!$V$9,'Assumptions (Geo)'!$V$4*Model!$AS$1560*AVERAGE('Assumptions (Geo)'!$AO$2:$AQ$2)/10^9),0)</f>
        <v>0</v>
      </c>
      <c r="BF1659" s="105">
        <f>IF($AS$1560&gt;0,PPMT('Assumptions (Geo)'!$V$6,Model!AJ$1,'Assumptions (Geo)'!$V$9,'Assumptions (Geo)'!$V$4*Model!$AS$1560*AVERAGE('Assumptions (Geo)'!$AO$2:$AQ$2)/10^9),0)</f>
        <v>0</v>
      </c>
      <c r="BG1659" s="105">
        <f>IF($AS$1560&gt;0,PPMT('Assumptions (Geo)'!$V$6,Model!AK$1,'Assumptions (Geo)'!$V$9,'Assumptions (Geo)'!$V$4*Model!$AS$1560*AVERAGE('Assumptions (Geo)'!$AO$2:$AQ$2)/10^9),0)</f>
        <v>0</v>
      </c>
      <c r="BH1659" s="105"/>
      <c r="BI1659" s="105"/>
      <c r="BJ1659" s="105"/>
      <c r="BK1659" s="105"/>
      <c r="BL1659" s="105"/>
      <c r="BM1659" s="105"/>
      <c r="BN1659" s="105"/>
      <c r="BO1659" s="105"/>
      <c r="BP1659" s="105"/>
    </row>
    <row r="1660" spans="1:68" ht="15.75" hidden="1" customHeight="1" outlineLevel="1">
      <c r="A1660" s="428"/>
      <c r="B1660" s="99"/>
      <c r="C1660" s="99"/>
      <c r="D1660" s="99"/>
      <c r="E1660" s="99"/>
      <c r="F1660" s="99"/>
      <c r="G1660" s="99"/>
      <c r="H1660" s="99"/>
      <c r="I1660" s="99"/>
      <c r="J1660" s="99"/>
      <c r="K1660" s="99"/>
      <c r="L1660" s="99"/>
      <c r="M1660" s="99"/>
      <c r="N1660" s="99"/>
      <c r="O1660" s="99"/>
      <c r="P1660" s="99"/>
      <c r="Q1660" s="99"/>
      <c r="R1660" s="99"/>
      <c r="S1660" s="99"/>
      <c r="T1660" s="99"/>
      <c r="U1660" s="99"/>
      <c r="V1660" s="99"/>
      <c r="W1660" s="105"/>
      <c r="X1660" s="105"/>
      <c r="Y1660" s="105"/>
      <c r="Z1660" s="105"/>
      <c r="AA1660" s="105"/>
      <c r="AB1660" s="105"/>
      <c r="AC1660" s="105"/>
      <c r="AD1660" s="105"/>
      <c r="AE1660" s="105"/>
      <c r="AF1660" s="105"/>
      <c r="AG1660" s="105"/>
      <c r="AH1660" s="105"/>
      <c r="AI1660" s="105"/>
      <c r="AJ1660" s="171"/>
      <c r="AK1660" s="105"/>
      <c r="AL1660" s="91"/>
      <c r="AM1660" s="91"/>
      <c r="AN1660" s="91"/>
      <c r="AO1660" s="105"/>
      <c r="AP1660" s="105"/>
      <c r="AQ1660" s="105"/>
      <c r="AR1660" s="105"/>
      <c r="AS1660" s="105"/>
      <c r="AT1660" s="105">
        <f>IF($AT$1560&gt;0,PPMT('Assumptions (Geo)'!$V$6,Model!W$1,'Assumptions (Geo)'!$V$9,'Assumptions (Geo)'!$V$4*Model!$AT$1560*AVERAGE('Assumptions (Geo)'!$AP$2:$AR$2)/10^9),0)</f>
        <v>0</v>
      </c>
      <c r="AU1660" s="105">
        <f>IF($AT$1560&gt;0,PPMT('Assumptions (Geo)'!$V$6,Model!X$1,'Assumptions (Geo)'!$V$9,'Assumptions (Geo)'!$V$4*Model!$AT$1560*AVERAGE('Assumptions (Geo)'!$AP$2:$AR$2)/10^9),0)</f>
        <v>0</v>
      </c>
      <c r="AV1660" s="105">
        <f>IF($AT$1560&gt;0,PPMT('Assumptions (Geo)'!$V$6,Model!Y$1,'Assumptions (Geo)'!$V$9,'Assumptions (Geo)'!$V$4*Model!$AT$1560*AVERAGE('Assumptions (Geo)'!$AP$2:$AR$2)/10^9),0)</f>
        <v>0</v>
      </c>
      <c r="AW1660" s="105">
        <f>IF($AT$1560&gt;0,PPMT('Assumptions (Geo)'!$V$6,Model!Z$1,'Assumptions (Geo)'!$V$9,'Assumptions (Geo)'!$V$4*Model!$AT$1560*AVERAGE('Assumptions (Geo)'!$AP$2:$AR$2)/10^9),0)</f>
        <v>0</v>
      </c>
      <c r="AX1660" s="105">
        <f>IF($AT$1560&gt;0,PPMT('Assumptions (Geo)'!$V$6,Model!AA$1,'Assumptions (Geo)'!$V$9,'Assumptions (Geo)'!$V$4*Model!$AT$1560*AVERAGE('Assumptions (Geo)'!$AP$2:$AR$2)/10^9),0)</f>
        <v>0</v>
      </c>
      <c r="AY1660" s="105">
        <f>IF($AT$1560&gt;0,PPMT('Assumptions (Geo)'!$V$6,Model!AB$1,'Assumptions (Geo)'!$V$9,'Assumptions (Geo)'!$V$4*Model!$AT$1560*AVERAGE('Assumptions (Geo)'!$AP$2:$AR$2)/10^9),0)</f>
        <v>0</v>
      </c>
      <c r="AZ1660" s="105">
        <f>IF($AT$1560&gt;0,PPMT('Assumptions (Geo)'!$V$6,Model!AC$1,'Assumptions (Geo)'!$V$9,'Assumptions (Geo)'!$V$4*Model!$AT$1560*AVERAGE('Assumptions (Geo)'!$AP$2:$AR$2)/10^9),0)</f>
        <v>0</v>
      </c>
      <c r="BA1660" s="105">
        <f>IF($AT$1560&gt;0,PPMT('Assumptions (Geo)'!$V$6,Model!AD$1,'Assumptions (Geo)'!$V$9,'Assumptions (Geo)'!$V$4*Model!$AT$1560*AVERAGE('Assumptions (Geo)'!$AP$2:$AR$2)/10^9),0)</f>
        <v>0</v>
      </c>
      <c r="BB1660" s="105">
        <f>IF($AT$1560&gt;0,PPMT('Assumptions (Geo)'!$V$6,Model!AE$1,'Assumptions (Geo)'!$V$9,'Assumptions (Geo)'!$V$4*Model!$AT$1560*AVERAGE('Assumptions (Geo)'!$AP$2:$AR$2)/10^9),0)</f>
        <v>0</v>
      </c>
      <c r="BC1660" s="105">
        <f>IF($AT$1560&gt;0,PPMT('Assumptions (Geo)'!$V$6,Model!AF$1,'Assumptions (Geo)'!$V$9,'Assumptions (Geo)'!$V$4*Model!$AT$1560*AVERAGE('Assumptions (Geo)'!$AP$2:$AR$2)/10^9),0)</f>
        <v>0</v>
      </c>
      <c r="BD1660" s="105">
        <f>IF($AT$1560&gt;0,PPMT('Assumptions (Geo)'!$V$6,Model!AG$1,'Assumptions (Geo)'!$V$9,'Assumptions (Geo)'!$V$4*Model!$AT$1560*AVERAGE('Assumptions (Geo)'!$AP$2:$AR$2)/10^9),0)</f>
        <v>0</v>
      </c>
      <c r="BE1660" s="105">
        <f>IF($AT$1560&gt;0,PPMT('Assumptions (Geo)'!$V$6,Model!AH$1,'Assumptions (Geo)'!$V$9,'Assumptions (Geo)'!$V$4*Model!$AT$1560*AVERAGE('Assumptions (Geo)'!$AP$2:$AR$2)/10^9),0)</f>
        <v>0</v>
      </c>
      <c r="BF1660" s="105">
        <f>IF($AT$1560&gt;0,PPMT('Assumptions (Geo)'!$V$6,Model!AI$1,'Assumptions (Geo)'!$V$9,'Assumptions (Geo)'!$V$4*Model!$AT$1560*AVERAGE('Assumptions (Geo)'!$AP$2:$AR$2)/10^9),0)</f>
        <v>0</v>
      </c>
      <c r="BG1660" s="105">
        <f>IF($AT$1560&gt;0,PPMT('Assumptions (Geo)'!$V$6,Model!AJ$1,'Assumptions (Geo)'!$V$9,'Assumptions (Geo)'!$V$4*Model!$AT$1560*AVERAGE('Assumptions (Geo)'!$AP$2:$AR$2)/10^9),0)</f>
        <v>0</v>
      </c>
      <c r="BH1660" s="105">
        <f>IF($AT$1560&gt;0,PPMT('Assumptions (Geo)'!$V$6,Model!AK$1,'Assumptions (Geo)'!$V$9,'Assumptions (Geo)'!$V$4*Model!$AT$1560*AVERAGE('Assumptions (Geo)'!$AP$2:$AR$2)/10^9),0)</f>
        <v>0</v>
      </c>
      <c r="BI1660" s="105"/>
      <c r="BJ1660" s="105"/>
      <c r="BK1660" s="105"/>
      <c r="BL1660" s="105"/>
      <c r="BM1660" s="105"/>
      <c r="BN1660" s="105"/>
      <c r="BO1660" s="105"/>
      <c r="BP1660" s="105"/>
    </row>
    <row r="1661" spans="1:68" ht="15.75" hidden="1" customHeight="1" outlineLevel="1">
      <c r="A1661" s="428"/>
      <c r="B1661" s="99"/>
      <c r="C1661" s="99"/>
      <c r="D1661" s="99"/>
      <c r="E1661" s="99"/>
      <c r="F1661" s="99"/>
      <c r="G1661" s="99"/>
      <c r="H1661" s="99"/>
      <c r="I1661" s="99"/>
      <c r="J1661" s="99"/>
      <c r="K1661" s="99"/>
      <c r="L1661" s="99"/>
      <c r="M1661" s="99"/>
      <c r="N1661" s="99"/>
      <c r="O1661" s="99"/>
      <c r="P1661" s="99"/>
      <c r="Q1661" s="99"/>
      <c r="R1661" s="99"/>
      <c r="S1661" s="99"/>
      <c r="T1661" s="99"/>
      <c r="U1661" s="99"/>
      <c r="V1661" s="99"/>
      <c r="W1661" s="105"/>
      <c r="X1661" s="105"/>
      <c r="Y1661" s="105"/>
      <c r="Z1661" s="105"/>
      <c r="AA1661" s="105"/>
      <c r="AB1661" s="105"/>
      <c r="AC1661" s="105"/>
      <c r="AD1661" s="105"/>
      <c r="AE1661" s="105"/>
      <c r="AF1661" s="105"/>
      <c r="AG1661" s="105"/>
      <c r="AH1661" s="105"/>
      <c r="AI1661" s="105"/>
      <c r="AJ1661" s="171"/>
      <c r="AK1661" s="105"/>
      <c r="AL1661" s="91"/>
      <c r="AM1661" s="91"/>
      <c r="AN1661" s="91"/>
      <c r="AO1661" s="105"/>
      <c r="AP1661" s="105"/>
      <c r="AQ1661" s="105"/>
      <c r="AR1661" s="105"/>
      <c r="AS1661" s="105"/>
      <c r="AT1661" s="105"/>
      <c r="AU1661" s="105">
        <f>IF($AU$1560&gt;0,PPMT('Assumptions (Geo)'!$V$6,Model!W$1,'Assumptions (Geo)'!$V$9,'Assumptions (Geo)'!$V$4*Model!$AU$1560*AVERAGE('Assumptions (Geo)'!$AQ$2:$AS$2)/10^9),0)</f>
        <v>0</v>
      </c>
      <c r="AV1661" s="105">
        <f>IF($AU$1560&gt;0,PPMT('Assumptions (Geo)'!$V$6,Model!X$1,'Assumptions (Geo)'!$V$9,'Assumptions (Geo)'!$V$4*Model!$AU$1560*AVERAGE('Assumptions (Geo)'!$AQ$2:$AS$2)/10^9),0)</f>
        <v>0</v>
      </c>
      <c r="AW1661" s="105">
        <f>IF($AU$1560&gt;0,PPMT('Assumptions (Geo)'!$V$6,Model!Y$1,'Assumptions (Geo)'!$V$9,'Assumptions (Geo)'!$V$4*Model!$AU$1560*AVERAGE('Assumptions (Geo)'!$AQ$2:$AS$2)/10^9),0)</f>
        <v>0</v>
      </c>
      <c r="AX1661" s="105">
        <f>IF($AU$1560&gt;0,PPMT('Assumptions (Geo)'!$V$6,Model!Z$1,'Assumptions (Geo)'!$V$9,'Assumptions (Geo)'!$V$4*Model!$AU$1560*AVERAGE('Assumptions (Geo)'!$AQ$2:$AS$2)/10^9),0)</f>
        <v>0</v>
      </c>
      <c r="AY1661" s="105">
        <f>IF($AU$1560&gt;0,PPMT('Assumptions (Geo)'!$V$6,Model!AA$1,'Assumptions (Geo)'!$V$9,'Assumptions (Geo)'!$V$4*Model!$AU$1560*AVERAGE('Assumptions (Geo)'!$AQ$2:$AS$2)/10^9),0)</f>
        <v>0</v>
      </c>
      <c r="AZ1661" s="105">
        <f>IF($AU$1560&gt;0,PPMT('Assumptions (Geo)'!$V$6,Model!AB$1,'Assumptions (Geo)'!$V$9,'Assumptions (Geo)'!$V$4*Model!$AU$1560*AVERAGE('Assumptions (Geo)'!$AQ$2:$AS$2)/10^9),0)</f>
        <v>0</v>
      </c>
      <c r="BA1661" s="105">
        <f>IF($AU$1560&gt;0,PPMT('Assumptions (Geo)'!$V$6,Model!AC$1,'Assumptions (Geo)'!$V$9,'Assumptions (Geo)'!$V$4*Model!$AU$1560*AVERAGE('Assumptions (Geo)'!$AQ$2:$AS$2)/10^9),0)</f>
        <v>0</v>
      </c>
      <c r="BB1661" s="105">
        <f>IF($AU$1560&gt;0,PPMT('Assumptions (Geo)'!$V$6,Model!AD$1,'Assumptions (Geo)'!$V$9,'Assumptions (Geo)'!$V$4*Model!$AU$1560*AVERAGE('Assumptions (Geo)'!$AQ$2:$AS$2)/10^9),0)</f>
        <v>0</v>
      </c>
      <c r="BC1661" s="105">
        <f>IF($AU$1560&gt;0,PPMT('Assumptions (Geo)'!$V$6,Model!AE$1,'Assumptions (Geo)'!$V$9,'Assumptions (Geo)'!$V$4*Model!$AU$1560*AVERAGE('Assumptions (Geo)'!$AQ$2:$AS$2)/10^9),0)</f>
        <v>0</v>
      </c>
      <c r="BD1661" s="105">
        <f>IF($AU$1560&gt;0,PPMT('Assumptions (Geo)'!$V$6,Model!AF$1,'Assumptions (Geo)'!$V$9,'Assumptions (Geo)'!$V$4*Model!$AU$1560*AVERAGE('Assumptions (Geo)'!$AQ$2:$AS$2)/10^9),0)</f>
        <v>0</v>
      </c>
      <c r="BE1661" s="105">
        <f>IF($AU$1560&gt;0,PPMT('Assumptions (Geo)'!$V$6,Model!AG$1,'Assumptions (Geo)'!$V$9,'Assumptions (Geo)'!$V$4*Model!$AU$1560*AVERAGE('Assumptions (Geo)'!$AQ$2:$AS$2)/10^9),0)</f>
        <v>0</v>
      </c>
      <c r="BF1661" s="105">
        <f>IF($AU$1560&gt;0,PPMT('Assumptions (Geo)'!$V$6,Model!AH$1,'Assumptions (Geo)'!$V$9,'Assumptions (Geo)'!$V$4*Model!$AU$1560*AVERAGE('Assumptions (Geo)'!$AQ$2:$AS$2)/10^9),0)</f>
        <v>0</v>
      </c>
      <c r="BG1661" s="105">
        <f>IF($AU$1560&gt;0,PPMT('Assumptions (Geo)'!$V$6,Model!AI$1,'Assumptions (Geo)'!$V$9,'Assumptions (Geo)'!$V$4*Model!$AU$1560*AVERAGE('Assumptions (Geo)'!$AQ$2:$AS$2)/10^9),0)</f>
        <v>0</v>
      </c>
      <c r="BH1661" s="105">
        <f>IF($AU$1560&gt;0,PPMT('Assumptions (Geo)'!$V$6,Model!AJ$1,'Assumptions (Geo)'!$V$9,'Assumptions (Geo)'!$V$4*Model!$AU$1560*AVERAGE('Assumptions (Geo)'!$AQ$2:$AS$2)/10^9),0)</f>
        <v>0</v>
      </c>
      <c r="BI1661" s="105">
        <f>IF($AU$1560&gt;0,PPMT('Assumptions (Geo)'!$V$6,Model!AK$1,'Assumptions (Geo)'!$V$9,'Assumptions (Geo)'!$V$4*Model!$AU$1560*AVERAGE('Assumptions (Geo)'!$AQ$2:$AS$2)/10^9),0)</f>
        <v>0</v>
      </c>
      <c r="BJ1661" s="105"/>
      <c r="BK1661" s="105"/>
      <c r="BL1661" s="105"/>
      <c r="BM1661" s="105"/>
      <c r="BN1661" s="105"/>
      <c r="BO1661" s="105"/>
      <c r="BP1661" s="105"/>
    </row>
    <row r="1662" spans="1:68" ht="15.75" hidden="1" customHeight="1" outlineLevel="1">
      <c r="A1662" s="428"/>
      <c r="B1662" s="99"/>
      <c r="C1662" s="99"/>
      <c r="D1662" s="99"/>
      <c r="E1662" s="99"/>
      <c r="F1662" s="99"/>
      <c r="G1662" s="99"/>
      <c r="H1662" s="99"/>
      <c r="I1662" s="99"/>
      <c r="J1662" s="99"/>
      <c r="K1662" s="99"/>
      <c r="L1662" s="99"/>
      <c r="M1662" s="99"/>
      <c r="N1662" s="99"/>
      <c r="O1662" s="99"/>
      <c r="P1662" s="99"/>
      <c r="Q1662" s="99"/>
      <c r="R1662" s="99"/>
      <c r="S1662" s="99"/>
      <c r="T1662" s="99"/>
      <c r="U1662" s="99"/>
      <c r="V1662" s="99"/>
      <c r="W1662" s="105"/>
      <c r="X1662" s="105"/>
      <c r="Y1662" s="105"/>
      <c r="Z1662" s="105"/>
      <c r="AA1662" s="105"/>
      <c r="AB1662" s="105"/>
      <c r="AC1662" s="105"/>
      <c r="AD1662" s="105"/>
      <c r="AE1662" s="105"/>
      <c r="AF1662" s="105"/>
      <c r="AG1662" s="105"/>
      <c r="AH1662" s="105"/>
      <c r="AI1662" s="105"/>
      <c r="AJ1662" s="171"/>
      <c r="AK1662" s="105"/>
      <c r="AL1662" s="91"/>
      <c r="AM1662" s="91"/>
      <c r="AN1662" s="91"/>
      <c r="AO1662" s="105"/>
      <c r="AP1662" s="105"/>
      <c r="AQ1662" s="105"/>
      <c r="AR1662" s="105"/>
      <c r="AS1662" s="105"/>
      <c r="AT1662" s="105"/>
      <c r="AU1662" s="105"/>
      <c r="AV1662" s="105">
        <f>IF($AV$1560&gt;0,PPMT('Assumptions (Geo)'!$V$6,Model!W$1,'Assumptions (Geo)'!$V$9,'Assumptions (Geo)'!$V$4*Model!$AV$1560*AVERAGE('Assumptions (Geo)'!$AR$2:$AT$2)/10^9),0)</f>
        <v>0</v>
      </c>
      <c r="AW1662" s="105">
        <f>IF($AV$1560&gt;0,PPMT('Assumptions (Geo)'!$V$6,Model!X$1,'Assumptions (Geo)'!$V$9,'Assumptions (Geo)'!$V$4*Model!$AV$1560*AVERAGE('Assumptions (Geo)'!$AR$2:$AT$2)/10^9),0)</f>
        <v>0</v>
      </c>
      <c r="AX1662" s="105">
        <f>IF($AV$1560&gt;0,PPMT('Assumptions (Geo)'!$V$6,Model!Y$1,'Assumptions (Geo)'!$V$9,'Assumptions (Geo)'!$V$4*Model!$AV$1560*AVERAGE('Assumptions (Geo)'!$AR$2:$AT$2)/10^9),0)</f>
        <v>0</v>
      </c>
      <c r="AY1662" s="105">
        <f>IF($AV$1560&gt;0,PPMT('Assumptions (Geo)'!$V$6,Model!Z$1,'Assumptions (Geo)'!$V$9,'Assumptions (Geo)'!$V$4*Model!$AV$1560*AVERAGE('Assumptions (Geo)'!$AR$2:$AT$2)/10^9),0)</f>
        <v>0</v>
      </c>
      <c r="AZ1662" s="105">
        <f>IF($AV$1560&gt;0,PPMT('Assumptions (Geo)'!$V$6,Model!AA$1,'Assumptions (Geo)'!$V$9,'Assumptions (Geo)'!$V$4*Model!$AV$1560*AVERAGE('Assumptions (Geo)'!$AR$2:$AT$2)/10^9),0)</f>
        <v>0</v>
      </c>
      <c r="BA1662" s="105">
        <f>IF($AV$1560&gt;0,PPMT('Assumptions (Geo)'!$V$6,Model!AB$1,'Assumptions (Geo)'!$V$9,'Assumptions (Geo)'!$V$4*Model!$AV$1560*AVERAGE('Assumptions (Geo)'!$AR$2:$AT$2)/10^9),0)</f>
        <v>0</v>
      </c>
      <c r="BB1662" s="105">
        <f>IF($AV$1560&gt;0,PPMT('Assumptions (Geo)'!$V$6,Model!AC$1,'Assumptions (Geo)'!$V$9,'Assumptions (Geo)'!$V$4*Model!$AV$1560*AVERAGE('Assumptions (Geo)'!$AR$2:$AT$2)/10^9),0)</f>
        <v>0</v>
      </c>
      <c r="BC1662" s="105">
        <f>IF($AV$1560&gt;0,PPMT('Assumptions (Geo)'!$V$6,Model!AD$1,'Assumptions (Geo)'!$V$9,'Assumptions (Geo)'!$V$4*Model!$AV$1560*AVERAGE('Assumptions (Geo)'!$AR$2:$AT$2)/10^9),0)</f>
        <v>0</v>
      </c>
      <c r="BD1662" s="105">
        <f>IF($AV$1560&gt;0,PPMT('Assumptions (Geo)'!$V$6,Model!AE$1,'Assumptions (Geo)'!$V$9,'Assumptions (Geo)'!$V$4*Model!$AV$1560*AVERAGE('Assumptions (Geo)'!$AR$2:$AT$2)/10^9),0)</f>
        <v>0</v>
      </c>
      <c r="BE1662" s="105">
        <f>IF($AV$1560&gt;0,PPMT('Assumptions (Geo)'!$V$6,Model!AF$1,'Assumptions (Geo)'!$V$9,'Assumptions (Geo)'!$V$4*Model!$AV$1560*AVERAGE('Assumptions (Geo)'!$AR$2:$AT$2)/10^9),0)</f>
        <v>0</v>
      </c>
      <c r="BF1662" s="105">
        <f>IF($AV$1560&gt;0,PPMT('Assumptions (Geo)'!$V$6,Model!AG$1,'Assumptions (Geo)'!$V$9,'Assumptions (Geo)'!$V$4*Model!$AV$1560*AVERAGE('Assumptions (Geo)'!$AR$2:$AT$2)/10^9),0)</f>
        <v>0</v>
      </c>
      <c r="BG1662" s="105">
        <f>IF($AV$1560&gt;0,PPMT('Assumptions (Geo)'!$V$6,Model!AH$1,'Assumptions (Geo)'!$V$9,'Assumptions (Geo)'!$V$4*Model!$AV$1560*AVERAGE('Assumptions (Geo)'!$AR$2:$AT$2)/10^9),0)</f>
        <v>0</v>
      </c>
      <c r="BH1662" s="105">
        <f>IF($AV$1560&gt;0,PPMT('Assumptions (Geo)'!$V$6,Model!AI$1,'Assumptions (Geo)'!$V$9,'Assumptions (Geo)'!$V$4*Model!$AV$1560*AVERAGE('Assumptions (Geo)'!$AR$2:$AT$2)/10^9),0)</f>
        <v>0</v>
      </c>
      <c r="BI1662" s="105">
        <f>IF($AV$1560&gt;0,PPMT('Assumptions (Geo)'!$V$6,Model!AJ$1,'Assumptions (Geo)'!$V$9,'Assumptions (Geo)'!$V$4*Model!$AV$1560*AVERAGE('Assumptions (Geo)'!$AR$2:$AT$2)/10^9),0)</f>
        <v>0</v>
      </c>
      <c r="BJ1662" s="105">
        <f>IF($AV$1560&gt;0,PPMT('Assumptions (Geo)'!$V$6,Model!AK$1,'Assumptions (Geo)'!$V$9,'Assumptions (Geo)'!$V$4*Model!$AV$1560*AVERAGE('Assumptions (Geo)'!$AR$2:$AT$2)/10^9),0)</f>
        <v>0</v>
      </c>
      <c r="BK1662" s="105"/>
      <c r="BL1662" s="105"/>
      <c r="BM1662" s="105"/>
      <c r="BN1662" s="105"/>
      <c r="BO1662" s="105"/>
      <c r="BP1662" s="105"/>
    </row>
    <row r="1663" spans="1:68" ht="15.75" hidden="1" customHeight="1" outlineLevel="1">
      <c r="A1663" s="428"/>
      <c r="B1663" s="99"/>
      <c r="C1663" s="99"/>
      <c r="D1663" s="99"/>
      <c r="E1663" s="99"/>
      <c r="F1663" s="99"/>
      <c r="G1663" s="99"/>
      <c r="H1663" s="99"/>
      <c r="I1663" s="99"/>
      <c r="J1663" s="99"/>
      <c r="K1663" s="99"/>
      <c r="L1663" s="99"/>
      <c r="M1663" s="99"/>
      <c r="N1663" s="99"/>
      <c r="O1663" s="99"/>
      <c r="P1663" s="99"/>
      <c r="Q1663" s="99"/>
      <c r="R1663" s="99"/>
      <c r="S1663" s="99"/>
      <c r="T1663" s="99"/>
      <c r="U1663" s="99"/>
      <c r="V1663" s="99"/>
      <c r="W1663" s="105"/>
      <c r="X1663" s="105"/>
      <c r="Y1663" s="105"/>
      <c r="Z1663" s="105"/>
      <c r="AA1663" s="105"/>
      <c r="AB1663" s="105"/>
      <c r="AC1663" s="105"/>
      <c r="AD1663" s="105"/>
      <c r="AE1663" s="105"/>
      <c r="AF1663" s="105"/>
      <c r="AG1663" s="105"/>
      <c r="AH1663" s="105"/>
      <c r="AI1663" s="105"/>
      <c r="AJ1663" s="171"/>
      <c r="AK1663" s="105"/>
      <c r="AL1663" s="91"/>
      <c r="AM1663" s="91"/>
      <c r="AN1663" s="91"/>
      <c r="AO1663" s="105"/>
      <c r="AP1663" s="105"/>
      <c r="AQ1663" s="105"/>
      <c r="AR1663" s="105"/>
      <c r="AS1663" s="105"/>
      <c r="AT1663" s="105"/>
      <c r="AU1663" s="105"/>
      <c r="AV1663" s="105"/>
      <c r="AW1663" s="105">
        <f>IF($AW$1560&gt;0,PPMT('Assumptions (Geo)'!$V$6,Model!W$1,'Assumptions (Geo)'!$V$9,'Assumptions (Geo)'!$V$4*Model!$AW$1560*AVERAGE('Assumptions (Geo)'!$AS$2:$AU$2)/10^9),0)</f>
        <v>0</v>
      </c>
      <c r="AX1663" s="105">
        <f>IF($AW$1560&gt;0,PPMT('Assumptions (Geo)'!$V$6,Model!X$1,'Assumptions (Geo)'!$V$9,'Assumptions (Geo)'!$V$4*Model!$AW$1560*AVERAGE('Assumptions (Geo)'!$AS$2:$AU$2)/10^9),0)</f>
        <v>0</v>
      </c>
      <c r="AY1663" s="105">
        <f>IF($AW$1560&gt;0,PPMT('Assumptions (Geo)'!$V$6,Model!Y$1,'Assumptions (Geo)'!$V$9,'Assumptions (Geo)'!$V$4*Model!$AW$1560*AVERAGE('Assumptions (Geo)'!$AS$2:$AU$2)/10^9),0)</f>
        <v>0</v>
      </c>
      <c r="AZ1663" s="105">
        <f>IF($AW$1560&gt;0,PPMT('Assumptions (Geo)'!$V$6,Model!Z$1,'Assumptions (Geo)'!$V$9,'Assumptions (Geo)'!$V$4*Model!$AW$1560*AVERAGE('Assumptions (Geo)'!$AS$2:$AU$2)/10^9),0)</f>
        <v>0</v>
      </c>
      <c r="BA1663" s="105">
        <f>IF($AW$1560&gt;0,PPMT('Assumptions (Geo)'!$V$6,Model!AA$1,'Assumptions (Geo)'!$V$9,'Assumptions (Geo)'!$V$4*Model!$AW$1560*AVERAGE('Assumptions (Geo)'!$AS$2:$AU$2)/10^9),0)</f>
        <v>0</v>
      </c>
      <c r="BB1663" s="105">
        <f>IF($AW$1560&gt;0,PPMT('Assumptions (Geo)'!$V$6,Model!AB$1,'Assumptions (Geo)'!$V$9,'Assumptions (Geo)'!$V$4*Model!$AW$1560*AVERAGE('Assumptions (Geo)'!$AS$2:$AU$2)/10^9),0)</f>
        <v>0</v>
      </c>
      <c r="BC1663" s="105">
        <f>IF($AW$1560&gt;0,PPMT('Assumptions (Geo)'!$V$6,Model!AC$1,'Assumptions (Geo)'!$V$9,'Assumptions (Geo)'!$V$4*Model!$AW$1560*AVERAGE('Assumptions (Geo)'!$AS$2:$AU$2)/10^9),0)</f>
        <v>0</v>
      </c>
      <c r="BD1663" s="105">
        <f>IF($AW$1560&gt;0,PPMT('Assumptions (Geo)'!$V$6,Model!AD$1,'Assumptions (Geo)'!$V$9,'Assumptions (Geo)'!$V$4*Model!$AW$1560*AVERAGE('Assumptions (Geo)'!$AS$2:$AU$2)/10^9),0)</f>
        <v>0</v>
      </c>
      <c r="BE1663" s="105">
        <f>IF($AW$1560&gt;0,PPMT('Assumptions (Geo)'!$V$6,Model!AE$1,'Assumptions (Geo)'!$V$9,'Assumptions (Geo)'!$V$4*Model!$AW$1560*AVERAGE('Assumptions (Geo)'!$AS$2:$AU$2)/10^9),0)</f>
        <v>0</v>
      </c>
      <c r="BF1663" s="105">
        <f>IF($AW$1560&gt;0,PPMT('Assumptions (Geo)'!$V$6,Model!AF$1,'Assumptions (Geo)'!$V$9,'Assumptions (Geo)'!$V$4*Model!$AW$1560*AVERAGE('Assumptions (Geo)'!$AS$2:$AU$2)/10^9),0)</f>
        <v>0</v>
      </c>
      <c r="BG1663" s="105">
        <f>IF($AW$1560&gt;0,PPMT('Assumptions (Geo)'!$V$6,Model!AG$1,'Assumptions (Geo)'!$V$9,'Assumptions (Geo)'!$V$4*Model!$AW$1560*AVERAGE('Assumptions (Geo)'!$AS$2:$AU$2)/10^9),0)</f>
        <v>0</v>
      </c>
      <c r="BH1663" s="105">
        <f>IF($AW$1560&gt;0,PPMT('Assumptions (Geo)'!$V$6,Model!AH$1,'Assumptions (Geo)'!$V$9,'Assumptions (Geo)'!$V$4*Model!$AW$1560*AVERAGE('Assumptions (Geo)'!$AS$2:$AU$2)/10^9),0)</f>
        <v>0</v>
      </c>
      <c r="BI1663" s="105">
        <f>IF($AW$1560&gt;0,PPMT('Assumptions (Geo)'!$V$6,Model!AI$1,'Assumptions (Geo)'!$V$9,'Assumptions (Geo)'!$V$4*Model!$AW$1560*AVERAGE('Assumptions (Geo)'!$AS$2:$AU$2)/10^9),0)</f>
        <v>0</v>
      </c>
      <c r="BJ1663" s="105">
        <f>IF($AW$1560&gt;0,PPMT('Assumptions (Geo)'!$V$6,Model!AJ$1,'Assumptions (Geo)'!$V$9,'Assumptions (Geo)'!$V$4*Model!$AW$1560*AVERAGE('Assumptions (Geo)'!$AS$2:$AU$2)/10^9),0)</f>
        <v>0</v>
      </c>
      <c r="BK1663" s="105">
        <f>IF($AW$1560&gt;0,PPMT('Assumptions (Geo)'!$V$6,Model!AK$1,'Assumptions (Geo)'!$V$9,'Assumptions (Geo)'!$V$4*Model!$AW$1560*AVERAGE('Assumptions (Geo)'!$AS$2:$AU$2)/10^9),0)</f>
        <v>0</v>
      </c>
      <c r="BL1663" s="105"/>
      <c r="BM1663" s="105"/>
      <c r="BN1663" s="105"/>
      <c r="BO1663" s="105"/>
      <c r="BP1663" s="105"/>
    </row>
    <row r="1664" spans="1:68" ht="15.75" hidden="1" customHeight="1" outlineLevel="1">
      <c r="A1664" s="428"/>
      <c r="B1664" s="99"/>
      <c r="C1664" s="99"/>
      <c r="D1664" s="99"/>
      <c r="E1664" s="99"/>
      <c r="F1664" s="99"/>
      <c r="G1664" s="99"/>
      <c r="H1664" s="99"/>
      <c r="I1664" s="99"/>
      <c r="J1664" s="99"/>
      <c r="K1664" s="99"/>
      <c r="L1664" s="99"/>
      <c r="M1664" s="99"/>
      <c r="N1664" s="99"/>
      <c r="O1664" s="99"/>
      <c r="P1664" s="99"/>
      <c r="Q1664" s="99"/>
      <c r="R1664" s="99"/>
      <c r="S1664" s="99"/>
      <c r="T1664" s="99"/>
      <c r="U1664" s="99"/>
      <c r="V1664" s="99"/>
      <c r="W1664" s="105"/>
      <c r="X1664" s="105"/>
      <c r="Y1664" s="105"/>
      <c r="Z1664" s="105"/>
      <c r="AA1664" s="105"/>
      <c r="AB1664" s="105"/>
      <c r="AC1664" s="105"/>
      <c r="AD1664" s="105"/>
      <c r="AE1664" s="105"/>
      <c r="AF1664" s="105"/>
      <c r="AG1664" s="105"/>
      <c r="AH1664" s="105"/>
      <c r="AI1664" s="105"/>
      <c r="AJ1664" s="171"/>
      <c r="AK1664" s="105"/>
      <c r="AL1664" s="91"/>
      <c r="AM1664" s="91"/>
      <c r="AN1664" s="91"/>
      <c r="AO1664" s="105"/>
      <c r="AP1664" s="105"/>
      <c r="AQ1664" s="105"/>
      <c r="AR1664" s="105"/>
      <c r="AS1664" s="105"/>
      <c r="AT1664" s="105"/>
      <c r="AU1664" s="105"/>
      <c r="AV1664" s="105"/>
      <c r="AW1664" s="105"/>
      <c r="AX1664" s="105">
        <f>IF($AX$1560&gt;0,PPMT('Assumptions (Geo)'!$V$6,Model!W$1,'Assumptions (Geo)'!$V$9,'Assumptions (Geo)'!$V$4*Model!$AX$1560*AVERAGE('Assumptions (Geo)'!$AT$2:$AV$2)/10^9),0)</f>
        <v>0</v>
      </c>
      <c r="AY1664" s="105">
        <f>IF($AX$1560&gt;0,PPMT('Assumptions (Geo)'!$V$6,Model!X$1,'Assumptions (Geo)'!$V$9,'Assumptions (Geo)'!$V$4*Model!$AX$1560*AVERAGE('Assumptions (Geo)'!$AT$2:$AV$2)/10^9),0)</f>
        <v>0</v>
      </c>
      <c r="AZ1664" s="105">
        <f>IF($AX$1560&gt;0,PPMT('Assumptions (Geo)'!$V$6,Model!Y$1,'Assumptions (Geo)'!$V$9,'Assumptions (Geo)'!$V$4*Model!$AX$1560*AVERAGE('Assumptions (Geo)'!$AT$2:$AV$2)/10^9),0)</f>
        <v>0</v>
      </c>
      <c r="BA1664" s="105">
        <f>IF($AX$1560&gt;0,PPMT('Assumptions (Geo)'!$V$6,Model!Z$1,'Assumptions (Geo)'!$V$9,'Assumptions (Geo)'!$V$4*Model!$AX$1560*AVERAGE('Assumptions (Geo)'!$AT$2:$AV$2)/10^9),0)</f>
        <v>0</v>
      </c>
      <c r="BB1664" s="105">
        <f>IF($AX$1560&gt;0,PPMT('Assumptions (Geo)'!$V$6,Model!AA$1,'Assumptions (Geo)'!$V$9,'Assumptions (Geo)'!$V$4*Model!$AX$1560*AVERAGE('Assumptions (Geo)'!$AT$2:$AV$2)/10^9),0)</f>
        <v>0</v>
      </c>
      <c r="BC1664" s="105">
        <f>IF($AX$1560&gt;0,PPMT('Assumptions (Geo)'!$V$6,Model!AB$1,'Assumptions (Geo)'!$V$9,'Assumptions (Geo)'!$V$4*Model!$AX$1560*AVERAGE('Assumptions (Geo)'!$AT$2:$AV$2)/10^9),0)</f>
        <v>0</v>
      </c>
      <c r="BD1664" s="105">
        <f>IF($AX$1560&gt;0,PPMT('Assumptions (Geo)'!$V$6,Model!AC$1,'Assumptions (Geo)'!$V$9,'Assumptions (Geo)'!$V$4*Model!$AX$1560*AVERAGE('Assumptions (Geo)'!$AT$2:$AV$2)/10^9),0)</f>
        <v>0</v>
      </c>
      <c r="BE1664" s="105">
        <f>IF($AX$1560&gt;0,PPMT('Assumptions (Geo)'!$V$6,Model!AD$1,'Assumptions (Geo)'!$V$9,'Assumptions (Geo)'!$V$4*Model!$AX$1560*AVERAGE('Assumptions (Geo)'!$AT$2:$AV$2)/10^9),0)</f>
        <v>0</v>
      </c>
      <c r="BF1664" s="105">
        <f>IF($AX$1560&gt;0,PPMT('Assumptions (Geo)'!$V$6,Model!AE$1,'Assumptions (Geo)'!$V$9,'Assumptions (Geo)'!$V$4*Model!$AX$1560*AVERAGE('Assumptions (Geo)'!$AT$2:$AV$2)/10^9),0)</f>
        <v>0</v>
      </c>
      <c r="BG1664" s="105">
        <f>IF($AX$1560&gt;0,PPMT('Assumptions (Geo)'!$V$6,Model!AF$1,'Assumptions (Geo)'!$V$9,'Assumptions (Geo)'!$V$4*Model!$AX$1560*AVERAGE('Assumptions (Geo)'!$AT$2:$AV$2)/10^9),0)</f>
        <v>0</v>
      </c>
      <c r="BH1664" s="105">
        <f>IF($AX$1560&gt;0,PPMT('Assumptions (Geo)'!$V$6,Model!AG$1,'Assumptions (Geo)'!$V$9,'Assumptions (Geo)'!$V$4*Model!$AX$1560*AVERAGE('Assumptions (Geo)'!$AT$2:$AV$2)/10^9),0)</f>
        <v>0</v>
      </c>
      <c r="BI1664" s="105">
        <f>IF($AX$1560&gt;0,PPMT('Assumptions (Geo)'!$V$6,Model!AH$1,'Assumptions (Geo)'!$V$9,'Assumptions (Geo)'!$V$4*Model!$AX$1560*AVERAGE('Assumptions (Geo)'!$AT$2:$AV$2)/10^9),0)</f>
        <v>0</v>
      </c>
      <c r="BJ1664" s="105">
        <f>IF($AX$1560&gt;0,PPMT('Assumptions (Geo)'!$V$6,Model!AI$1,'Assumptions (Geo)'!$V$9,'Assumptions (Geo)'!$V$4*Model!$AX$1560*AVERAGE('Assumptions (Geo)'!$AT$2:$AV$2)/10^9),0)</f>
        <v>0</v>
      </c>
      <c r="BK1664" s="105">
        <f>IF($AX$1560&gt;0,PPMT('Assumptions (Geo)'!$V$6,Model!AJ$1,'Assumptions (Geo)'!$V$9,'Assumptions (Geo)'!$V$4*Model!$AX$1560*AVERAGE('Assumptions (Geo)'!$AT$2:$AV$2)/10^9),0)</f>
        <v>0</v>
      </c>
      <c r="BL1664" s="105">
        <f>IF($AX$1560&gt;0,PPMT('Assumptions (Geo)'!$V$6,Model!AK$1,'Assumptions (Geo)'!$V$9,'Assumptions (Geo)'!$V$4*Model!$AX$1560*AVERAGE('Assumptions (Geo)'!$AT$2:$AV$2)/10^9),0)</f>
        <v>0</v>
      </c>
      <c r="BM1664" s="105"/>
      <c r="BN1664" s="105"/>
      <c r="BO1664" s="105"/>
      <c r="BP1664" s="105"/>
    </row>
    <row r="1665" spans="1:68" ht="15.75" hidden="1" customHeight="1" outlineLevel="1">
      <c r="A1665" s="428"/>
      <c r="B1665" s="99"/>
      <c r="C1665" s="99"/>
      <c r="D1665" s="99"/>
      <c r="E1665" s="99"/>
      <c r="F1665" s="99"/>
      <c r="G1665" s="99"/>
      <c r="H1665" s="99"/>
      <c r="I1665" s="99"/>
      <c r="J1665" s="99"/>
      <c r="K1665" s="99"/>
      <c r="L1665" s="99"/>
      <c r="M1665" s="99"/>
      <c r="N1665" s="99"/>
      <c r="O1665" s="99"/>
      <c r="P1665" s="99"/>
      <c r="Q1665" s="99"/>
      <c r="R1665" s="99"/>
      <c r="S1665" s="99"/>
      <c r="T1665" s="99"/>
      <c r="U1665" s="99"/>
      <c r="V1665" s="99"/>
      <c r="W1665" s="105"/>
      <c r="X1665" s="105"/>
      <c r="Y1665" s="105"/>
      <c r="Z1665" s="105"/>
      <c r="AA1665" s="105"/>
      <c r="AB1665" s="105"/>
      <c r="AC1665" s="105"/>
      <c r="AD1665" s="105"/>
      <c r="AE1665" s="105"/>
      <c r="AF1665" s="105"/>
      <c r="AG1665" s="105"/>
      <c r="AH1665" s="105"/>
      <c r="AI1665" s="105"/>
      <c r="AJ1665" s="171"/>
      <c r="AK1665" s="105"/>
      <c r="AL1665" s="91"/>
      <c r="AM1665" s="91"/>
      <c r="AN1665" s="91"/>
      <c r="AO1665" s="105"/>
      <c r="AP1665" s="105"/>
      <c r="AQ1665" s="105"/>
      <c r="AR1665" s="105"/>
      <c r="AS1665" s="105"/>
      <c r="AT1665" s="105"/>
      <c r="AU1665" s="105"/>
      <c r="AV1665" s="105"/>
      <c r="AW1665" s="105"/>
      <c r="AX1665" s="105"/>
      <c r="AY1665" s="105">
        <f>IF($AY$1560&gt;0,PPMT('Assumptions (Geo)'!$V$6,Model!W$1,'Assumptions (Geo)'!$V$9,'Assumptions (Geo)'!$V$4*Model!$AY$1560*AVERAGE('Assumptions (Geo)'!$AU$2:$AW$2)/10^9),0)</f>
        <v>0</v>
      </c>
      <c r="AZ1665" s="105">
        <f>IF($AY$1560&gt;0,PPMT('Assumptions (Geo)'!$V$6,Model!X$1,'Assumptions (Geo)'!$V$9,'Assumptions (Geo)'!$V$4*Model!$AY$1560*AVERAGE('Assumptions (Geo)'!$AU$2:$AW$2)/10^9),0)</f>
        <v>0</v>
      </c>
      <c r="BA1665" s="105">
        <f>IF($AY$1560&gt;0,PPMT('Assumptions (Geo)'!$V$6,Model!Y$1,'Assumptions (Geo)'!$V$9,'Assumptions (Geo)'!$V$4*Model!$AY$1560*AVERAGE('Assumptions (Geo)'!$AU$2:$AW$2)/10^9),0)</f>
        <v>0</v>
      </c>
      <c r="BB1665" s="105">
        <f>IF($AY$1560&gt;0,PPMT('Assumptions (Geo)'!$V$6,Model!Z$1,'Assumptions (Geo)'!$V$9,'Assumptions (Geo)'!$V$4*Model!$AY$1560*AVERAGE('Assumptions (Geo)'!$AU$2:$AW$2)/10^9),0)</f>
        <v>0</v>
      </c>
      <c r="BC1665" s="105">
        <f>IF($AY$1560&gt;0,PPMT('Assumptions (Geo)'!$V$6,Model!AA$1,'Assumptions (Geo)'!$V$9,'Assumptions (Geo)'!$V$4*Model!$AY$1560*AVERAGE('Assumptions (Geo)'!$AU$2:$AW$2)/10^9),0)</f>
        <v>0</v>
      </c>
      <c r="BD1665" s="105">
        <f>IF($AY$1560&gt;0,PPMT('Assumptions (Geo)'!$V$6,Model!AB$1,'Assumptions (Geo)'!$V$9,'Assumptions (Geo)'!$V$4*Model!$AY$1560*AVERAGE('Assumptions (Geo)'!$AU$2:$AW$2)/10^9),0)</f>
        <v>0</v>
      </c>
      <c r="BE1665" s="105">
        <f>IF($AY$1560&gt;0,PPMT('Assumptions (Geo)'!$V$6,Model!AC$1,'Assumptions (Geo)'!$V$9,'Assumptions (Geo)'!$V$4*Model!$AY$1560*AVERAGE('Assumptions (Geo)'!$AU$2:$AW$2)/10^9),0)</f>
        <v>0</v>
      </c>
      <c r="BF1665" s="105">
        <f>IF($AY$1560&gt;0,PPMT('Assumptions (Geo)'!$V$6,Model!AD$1,'Assumptions (Geo)'!$V$9,'Assumptions (Geo)'!$V$4*Model!$AY$1560*AVERAGE('Assumptions (Geo)'!$AU$2:$AW$2)/10^9),0)</f>
        <v>0</v>
      </c>
      <c r="BG1665" s="105">
        <f>IF($AY$1560&gt;0,PPMT('Assumptions (Geo)'!$V$6,Model!AE$1,'Assumptions (Geo)'!$V$9,'Assumptions (Geo)'!$V$4*Model!$AY$1560*AVERAGE('Assumptions (Geo)'!$AU$2:$AW$2)/10^9),0)</f>
        <v>0</v>
      </c>
      <c r="BH1665" s="105">
        <f>IF($AY$1560&gt;0,PPMT('Assumptions (Geo)'!$V$6,Model!AF$1,'Assumptions (Geo)'!$V$9,'Assumptions (Geo)'!$V$4*Model!$AY$1560*AVERAGE('Assumptions (Geo)'!$AU$2:$AW$2)/10^9),0)</f>
        <v>0</v>
      </c>
      <c r="BI1665" s="105">
        <f>IF($AY$1560&gt;0,PPMT('Assumptions (Geo)'!$V$6,Model!AG$1,'Assumptions (Geo)'!$V$9,'Assumptions (Geo)'!$V$4*Model!$AY$1560*AVERAGE('Assumptions (Geo)'!$AU$2:$AW$2)/10^9),0)</f>
        <v>0</v>
      </c>
      <c r="BJ1665" s="105">
        <f>IF($AY$1560&gt;0,PPMT('Assumptions (Geo)'!$V$6,Model!AH$1,'Assumptions (Geo)'!$V$9,'Assumptions (Geo)'!$V$4*Model!$AY$1560*AVERAGE('Assumptions (Geo)'!$AU$2:$AW$2)/10^9),0)</f>
        <v>0</v>
      </c>
      <c r="BK1665" s="105">
        <f>IF($AY$1560&gt;0,PPMT('Assumptions (Geo)'!$V$6,Model!AI$1,'Assumptions (Geo)'!$V$9,'Assumptions (Geo)'!$V$4*Model!$AY$1560*AVERAGE('Assumptions (Geo)'!$AU$2:$AW$2)/10^9),0)</f>
        <v>0</v>
      </c>
      <c r="BL1665" s="105">
        <f>IF($AY$1560&gt;0,PPMT('Assumptions (Geo)'!$V$6,Model!AJ$1,'Assumptions (Geo)'!$V$9,'Assumptions (Geo)'!$V$4*Model!$AY$1560*AVERAGE('Assumptions (Geo)'!$AU$2:$AW$2)/10^9),0)</f>
        <v>0</v>
      </c>
      <c r="BM1665" s="105">
        <f>IF($AY$1560&gt;0,PPMT('Assumptions (Geo)'!$V$6,Model!AK$1,'Assumptions (Geo)'!$V$9,'Assumptions (Geo)'!$V$4*Model!$AY$1560*AVERAGE('Assumptions (Geo)'!$AU$2:$AW$2)/10^9),0)</f>
        <v>0</v>
      </c>
      <c r="BN1665" s="105"/>
      <c r="BO1665" s="105"/>
      <c r="BP1665" s="105"/>
    </row>
    <row r="1666" spans="1:68" ht="15.75" hidden="1" customHeight="1" outlineLevel="1">
      <c r="A1666" s="428"/>
      <c r="B1666" s="99"/>
      <c r="C1666" s="99"/>
      <c r="D1666" s="99"/>
      <c r="E1666" s="99"/>
      <c r="F1666" s="99"/>
      <c r="G1666" s="99"/>
      <c r="H1666" s="99"/>
      <c r="I1666" s="99"/>
      <c r="J1666" s="99"/>
      <c r="K1666" s="99"/>
      <c r="L1666" s="99"/>
      <c r="M1666" s="99"/>
      <c r="N1666" s="99"/>
      <c r="O1666" s="99"/>
      <c r="P1666" s="99"/>
      <c r="Q1666" s="99"/>
      <c r="R1666" s="99"/>
      <c r="S1666" s="99"/>
      <c r="T1666" s="99"/>
      <c r="U1666" s="99"/>
      <c r="V1666" s="99"/>
      <c r="W1666" s="105"/>
      <c r="X1666" s="105"/>
      <c r="Y1666" s="105"/>
      <c r="Z1666" s="105"/>
      <c r="AA1666" s="105"/>
      <c r="AB1666" s="105"/>
      <c r="AC1666" s="105"/>
      <c r="AD1666" s="105"/>
      <c r="AE1666" s="105"/>
      <c r="AF1666" s="105"/>
      <c r="AG1666" s="105"/>
      <c r="AH1666" s="105"/>
      <c r="AI1666" s="105"/>
      <c r="AJ1666" s="171"/>
      <c r="AK1666" s="105"/>
      <c r="AL1666" s="91"/>
      <c r="AM1666" s="91"/>
      <c r="AN1666" s="91"/>
      <c r="AO1666" s="105"/>
      <c r="AP1666" s="105"/>
      <c r="AQ1666" s="105"/>
      <c r="AR1666" s="105"/>
      <c r="AS1666" s="105"/>
      <c r="AT1666" s="105"/>
      <c r="AU1666" s="105"/>
      <c r="AV1666" s="105"/>
      <c r="AW1666" s="105"/>
      <c r="AX1666" s="105"/>
      <c r="AY1666" s="105"/>
      <c r="AZ1666" s="105">
        <f>IF($AZ$1560&gt;0,PPMT('Assumptions (Geo)'!$V$6,Model!W$1,'Assumptions (Geo)'!$V$9,'Assumptions (Geo)'!$V$4*Model!$AZ$1560*AVERAGE('Assumptions (Geo)'!$AV$2:$AX$2)/10^9),0)</f>
        <v>0</v>
      </c>
      <c r="BA1666" s="105">
        <f>IF($AZ$1560&gt;0,PPMT('Assumptions (Geo)'!$V$6,Model!X$1,'Assumptions (Geo)'!$V$9,'Assumptions (Geo)'!$V$4*Model!$AZ$1560*AVERAGE('Assumptions (Geo)'!$AV$2:$AX$2)/10^9),0)</f>
        <v>0</v>
      </c>
      <c r="BB1666" s="105">
        <f>IF($AZ$1560&gt;0,PPMT('Assumptions (Geo)'!$V$6,Model!Y$1,'Assumptions (Geo)'!$V$9,'Assumptions (Geo)'!$V$4*Model!$AZ$1560*AVERAGE('Assumptions (Geo)'!$AV$2:$AX$2)/10^9),0)</f>
        <v>0</v>
      </c>
      <c r="BC1666" s="105">
        <f>IF($AZ$1560&gt;0,PPMT('Assumptions (Geo)'!$V$6,Model!Z$1,'Assumptions (Geo)'!$V$9,'Assumptions (Geo)'!$V$4*Model!$AZ$1560*AVERAGE('Assumptions (Geo)'!$AV$2:$AX$2)/10^9),0)</f>
        <v>0</v>
      </c>
      <c r="BD1666" s="105">
        <f>IF($AZ$1560&gt;0,PPMT('Assumptions (Geo)'!$V$6,Model!AA$1,'Assumptions (Geo)'!$V$9,'Assumptions (Geo)'!$V$4*Model!$AZ$1560*AVERAGE('Assumptions (Geo)'!$AV$2:$AX$2)/10^9),0)</f>
        <v>0</v>
      </c>
      <c r="BE1666" s="105">
        <f>IF($AZ$1560&gt;0,PPMT('Assumptions (Geo)'!$V$6,Model!AB$1,'Assumptions (Geo)'!$V$9,'Assumptions (Geo)'!$V$4*Model!$AZ$1560*AVERAGE('Assumptions (Geo)'!$AV$2:$AX$2)/10^9),0)</f>
        <v>0</v>
      </c>
      <c r="BF1666" s="105">
        <f>IF($AZ$1560&gt;0,PPMT('Assumptions (Geo)'!$V$6,Model!AC$1,'Assumptions (Geo)'!$V$9,'Assumptions (Geo)'!$V$4*Model!$AZ$1560*AVERAGE('Assumptions (Geo)'!$AV$2:$AX$2)/10^9),0)</f>
        <v>0</v>
      </c>
      <c r="BG1666" s="105">
        <f>IF($AZ$1560&gt;0,PPMT('Assumptions (Geo)'!$V$6,Model!AD$1,'Assumptions (Geo)'!$V$9,'Assumptions (Geo)'!$V$4*Model!$AZ$1560*AVERAGE('Assumptions (Geo)'!$AV$2:$AX$2)/10^9),0)</f>
        <v>0</v>
      </c>
      <c r="BH1666" s="105">
        <f>IF($AZ$1560&gt;0,PPMT('Assumptions (Geo)'!$V$6,Model!AE$1,'Assumptions (Geo)'!$V$9,'Assumptions (Geo)'!$V$4*Model!$AZ$1560*AVERAGE('Assumptions (Geo)'!$AV$2:$AX$2)/10^9),0)</f>
        <v>0</v>
      </c>
      <c r="BI1666" s="105">
        <f>IF($AZ$1560&gt;0,PPMT('Assumptions (Geo)'!$V$6,Model!AF$1,'Assumptions (Geo)'!$V$9,'Assumptions (Geo)'!$V$4*Model!$AZ$1560*AVERAGE('Assumptions (Geo)'!$AV$2:$AX$2)/10^9),0)</f>
        <v>0</v>
      </c>
      <c r="BJ1666" s="105">
        <f>IF($AZ$1560&gt;0,PPMT('Assumptions (Geo)'!$V$6,Model!AG$1,'Assumptions (Geo)'!$V$9,'Assumptions (Geo)'!$V$4*Model!$AZ$1560*AVERAGE('Assumptions (Geo)'!$AV$2:$AX$2)/10^9),0)</f>
        <v>0</v>
      </c>
      <c r="BK1666" s="105">
        <f>IF($AZ$1560&gt;0,PPMT('Assumptions (Geo)'!$V$6,Model!AH$1,'Assumptions (Geo)'!$V$9,'Assumptions (Geo)'!$V$4*Model!$AZ$1560*AVERAGE('Assumptions (Geo)'!$AV$2:$AX$2)/10^9),0)</f>
        <v>0</v>
      </c>
      <c r="BL1666" s="105">
        <f>IF($AZ$1560&gt;0,PPMT('Assumptions (Geo)'!$V$6,Model!AI$1,'Assumptions (Geo)'!$V$9,'Assumptions (Geo)'!$V$4*Model!$AZ$1560*AVERAGE('Assumptions (Geo)'!$AV$2:$AX$2)/10^9),0)</f>
        <v>0</v>
      </c>
      <c r="BM1666" s="105">
        <f>IF($AZ$1560&gt;0,PPMT('Assumptions (Geo)'!$V$6,Model!AJ$1,'Assumptions (Geo)'!$V$9,'Assumptions (Geo)'!$V$4*Model!$AZ$1560*AVERAGE('Assumptions (Geo)'!$AV$2:$AX$2)/10^9),0)</f>
        <v>0</v>
      </c>
      <c r="BN1666" s="105">
        <f>IF($AZ$1560&gt;0,PPMT('Assumptions (Geo)'!$V$6,Model!AK$1,'Assumptions (Geo)'!$V$9,'Assumptions (Geo)'!$V$4*Model!$AZ$1560*AVERAGE('Assumptions (Geo)'!$AV$2:$AX$2)/10^9),0)</f>
        <v>0</v>
      </c>
      <c r="BO1666" s="105"/>
      <c r="BP1666" s="105"/>
    </row>
    <row r="1667" spans="1:68" ht="15.75" hidden="1" customHeight="1" outlineLevel="1">
      <c r="A1667" s="428"/>
      <c r="B1667" s="99"/>
      <c r="C1667" s="99"/>
      <c r="D1667" s="99"/>
      <c r="E1667" s="99"/>
      <c r="F1667" s="99"/>
      <c r="G1667" s="99"/>
      <c r="H1667" s="99"/>
      <c r="I1667" s="99"/>
      <c r="J1667" s="99"/>
      <c r="K1667" s="99"/>
      <c r="L1667" s="99"/>
      <c r="M1667" s="99"/>
      <c r="N1667" s="99"/>
      <c r="O1667" s="99"/>
      <c r="P1667" s="99"/>
      <c r="Q1667" s="99"/>
      <c r="R1667" s="99"/>
      <c r="S1667" s="99"/>
      <c r="T1667" s="99"/>
      <c r="U1667" s="99"/>
      <c r="V1667" s="99"/>
      <c r="W1667" s="105"/>
      <c r="X1667" s="105"/>
      <c r="Y1667" s="105"/>
      <c r="Z1667" s="105"/>
      <c r="AA1667" s="105"/>
      <c r="AB1667" s="105"/>
      <c r="AC1667" s="105"/>
      <c r="AD1667" s="105"/>
      <c r="AE1667" s="105"/>
      <c r="AF1667" s="105"/>
      <c r="AG1667" s="105"/>
      <c r="AH1667" s="105"/>
      <c r="AI1667" s="105"/>
      <c r="AJ1667" s="171"/>
      <c r="AK1667" s="105"/>
      <c r="AL1667" s="91"/>
      <c r="AM1667" s="91"/>
      <c r="AN1667" s="91"/>
      <c r="AO1667" s="105"/>
      <c r="AP1667" s="105"/>
      <c r="AQ1667" s="105"/>
      <c r="AR1667" s="105"/>
      <c r="AS1667" s="105"/>
      <c r="AT1667" s="105"/>
      <c r="AU1667" s="105"/>
      <c r="AV1667" s="105"/>
      <c r="AW1667" s="105"/>
      <c r="AX1667" s="105"/>
      <c r="AY1667" s="105"/>
      <c r="AZ1667" s="105"/>
      <c r="BA1667" s="105">
        <f>IF($BA$1560&gt;0,PPMT('Assumptions (Geo)'!$V$6,Model!W$1,'Assumptions (Geo)'!$V$9,'Assumptions (Geo)'!$V$4*Model!$BA$1560*AVERAGE('Assumptions (Geo)'!$AW$2:$AY$2)/10^9),0)</f>
        <v>0</v>
      </c>
      <c r="BB1667" s="105">
        <f>IF($BA$1560&gt;0,PPMT('Assumptions (Geo)'!$V$6,Model!X$1,'Assumptions (Geo)'!$V$9,'Assumptions (Geo)'!$V$4*Model!$BA$1560*AVERAGE('Assumptions (Geo)'!$AW$2:$AY$2)/10^9),0)</f>
        <v>0</v>
      </c>
      <c r="BC1667" s="105">
        <f>IF($BA$1560&gt;0,PPMT('Assumptions (Geo)'!$V$6,Model!Y$1,'Assumptions (Geo)'!$V$9,'Assumptions (Geo)'!$V$4*Model!$BA$1560*AVERAGE('Assumptions (Geo)'!$AW$2:$AY$2)/10^9),0)</f>
        <v>0</v>
      </c>
      <c r="BD1667" s="105">
        <f>IF($BA$1560&gt;0,PPMT('Assumptions (Geo)'!$V$6,Model!Z$1,'Assumptions (Geo)'!$V$9,'Assumptions (Geo)'!$V$4*Model!$BA$1560*AVERAGE('Assumptions (Geo)'!$AW$2:$AY$2)/10^9),0)</f>
        <v>0</v>
      </c>
      <c r="BE1667" s="105">
        <f>IF($BA$1560&gt;0,PPMT('Assumptions (Geo)'!$V$6,Model!AA$1,'Assumptions (Geo)'!$V$9,'Assumptions (Geo)'!$V$4*Model!$BA$1560*AVERAGE('Assumptions (Geo)'!$AW$2:$AY$2)/10^9),0)</f>
        <v>0</v>
      </c>
      <c r="BF1667" s="105">
        <f>IF($BA$1560&gt;0,PPMT('Assumptions (Geo)'!$V$6,Model!AB$1,'Assumptions (Geo)'!$V$9,'Assumptions (Geo)'!$V$4*Model!$BA$1560*AVERAGE('Assumptions (Geo)'!$AW$2:$AY$2)/10^9),0)</f>
        <v>0</v>
      </c>
      <c r="BG1667" s="105">
        <f>IF($BA$1560&gt;0,PPMT('Assumptions (Geo)'!$V$6,Model!AC$1,'Assumptions (Geo)'!$V$9,'Assumptions (Geo)'!$V$4*Model!$BA$1560*AVERAGE('Assumptions (Geo)'!$AW$2:$AY$2)/10^9),0)</f>
        <v>0</v>
      </c>
      <c r="BH1667" s="105">
        <f>IF($BA$1560&gt;0,PPMT('Assumptions (Geo)'!$V$6,Model!AD$1,'Assumptions (Geo)'!$V$9,'Assumptions (Geo)'!$V$4*Model!$BA$1560*AVERAGE('Assumptions (Geo)'!$AW$2:$AY$2)/10^9),0)</f>
        <v>0</v>
      </c>
      <c r="BI1667" s="105">
        <f>IF($BA$1560&gt;0,PPMT('Assumptions (Geo)'!$V$6,Model!AE$1,'Assumptions (Geo)'!$V$9,'Assumptions (Geo)'!$V$4*Model!$BA$1560*AVERAGE('Assumptions (Geo)'!$AW$2:$AY$2)/10^9),0)</f>
        <v>0</v>
      </c>
      <c r="BJ1667" s="105">
        <f>IF($BA$1560&gt;0,PPMT('Assumptions (Geo)'!$V$6,Model!AF$1,'Assumptions (Geo)'!$V$9,'Assumptions (Geo)'!$V$4*Model!$BA$1560*AVERAGE('Assumptions (Geo)'!$AW$2:$AY$2)/10^9),0)</f>
        <v>0</v>
      </c>
      <c r="BK1667" s="105">
        <f>IF($BA$1560&gt;0,PPMT('Assumptions (Geo)'!$V$6,Model!AG$1,'Assumptions (Geo)'!$V$9,'Assumptions (Geo)'!$V$4*Model!$BA$1560*AVERAGE('Assumptions (Geo)'!$AW$2:$AY$2)/10^9),0)</f>
        <v>0</v>
      </c>
      <c r="BL1667" s="105">
        <f>IF($BA$1560&gt;0,PPMT('Assumptions (Geo)'!$V$6,Model!AH$1,'Assumptions (Geo)'!$V$9,'Assumptions (Geo)'!$V$4*Model!$BA$1560*AVERAGE('Assumptions (Geo)'!$AW$2:$AY$2)/10^9),0)</f>
        <v>0</v>
      </c>
      <c r="BM1667" s="105">
        <f>IF($BA$1560&gt;0,PPMT('Assumptions (Geo)'!$V$6,Model!AI$1,'Assumptions (Geo)'!$V$9,'Assumptions (Geo)'!$V$4*Model!$BA$1560*AVERAGE('Assumptions (Geo)'!$AW$2:$AY$2)/10^9),0)</f>
        <v>0</v>
      </c>
      <c r="BN1667" s="105">
        <f>IF($BA$1560&gt;0,PPMT('Assumptions (Geo)'!$V$6,Model!AJ$1,'Assumptions (Geo)'!$V$9,'Assumptions (Geo)'!$V$4*Model!$BA$1560*AVERAGE('Assumptions (Geo)'!$AW$2:$AY$2)/10^9),0)</f>
        <v>0</v>
      </c>
      <c r="BO1667" s="105">
        <f>IF($BA$1560&gt;0,PPMT('Assumptions (Geo)'!$V$6,Model!AK$1,'Assumptions (Geo)'!$V$9,'Assumptions (Geo)'!$V$4*Model!$BA$1560*AVERAGE('Assumptions (Geo)'!$AW$2:$AY$2)/10^9),0)</f>
        <v>0</v>
      </c>
      <c r="BP1667" s="105"/>
    </row>
    <row r="1668" spans="1:68" ht="15.75" customHeight="1" collapsed="1">
      <c r="A1668" s="431" t="s">
        <v>709</v>
      </c>
      <c r="B1668" s="43" t="s">
        <v>201</v>
      </c>
      <c r="C1668" s="91">
        <f t="array" ref="C1668">SUM(IF(ISERROR(C1669:C1719),"",C1669:C1719))</f>
        <v>-2.9967756005710362E-3</v>
      </c>
      <c r="D1668" s="91">
        <f t="array" ref="D1668">SUM(IF(ISERROR(D1669:D1719),"",D1669:D1719))</f>
        <v>-2.855264457137257E-3</v>
      </c>
      <c r="E1668" s="91">
        <f t="array" ref="E1668">SUM(IF(ISERROR(E1669:E1719),"",E1669:E1719))</f>
        <v>-3.0049184025244639E-3</v>
      </c>
      <c r="F1668" s="91">
        <f t="array" ref="F1668">SUM(IF(ISERROR(F1669:F1719),"",F1669:F1719))</f>
        <v>-3.9101334603405874E-3</v>
      </c>
      <c r="G1668" s="91">
        <f t="array" ref="G1668">SUM(IF(ISERROR(G1669:G1719),"",G1669:G1719))</f>
        <v>-3.6820075077284888E-3</v>
      </c>
      <c r="H1668" s="91">
        <f t="array" ref="H1668">SUM(IF(ISERROR(H1669:H1719),"",H1669:H1719))</f>
        <v>-4.3150603366234981E-3</v>
      </c>
      <c r="I1668" s="91">
        <f t="array" ref="I1668">SUM(IF(ISERROR(I1669:I1719),"",I1669:I1719))</f>
        <v>-5.5630116321475709E-3</v>
      </c>
      <c r="J1668" s="91">
        <f t="array" ref="J1668">SUM(IF(ISERROR(J1669:J1719),"",J1669:J1719))</f>
        <v>-7.1623085415553032E-3</v>
      </c>
      <c r="K1668" s="91">
        <f t="array" ref="K1668">SUM(IF(ISERROR(K1669:K1719),"",K1669:K1719))</f>
        <v>-8.9152392162856267E-3</v>
      </c>
      <c r="L1668" s="91">
        <f t="array" ref="L1668">SUM(IF(ISERROR(L1669:L1719),"",L1669:L1719))</f>
        <v>-1.8195568537794346E-2</v>
      </c>
      <c r="M1668" s="91">
        <f t="array" ref="M1668">SUM(IF(ISERROR(M1669:M1719),"",M1669:M1719))</f>
        <v>-1.7851725192581186E-2</v>
      </c>
      <c r="N1668" s="91">
        <f t="array" ref="N1668">SUM(IF(ISERROR(N1669:N1719),"",N1669:N1719))</f>
        <v>-1.6829579048584561E-2</v>
      </c>
      <c r="O1668" s="91">
        <f t="array" ref="O1668">SUM(IF(ISERROR(O1669:O1719),"",O1669:O1719))</f>
        <v>-2.3450400578046249E-2</v>
      </c>
      <c r="P1668" s="91">
        <f t="array" ref="P1668">SUM(IF(ISERROR(P1669:P1719),"",P1669:P1719))</f>
        <v>-2.6370730033423523E-2</v>
      </c>
      <c r="Q1668" s="91">
        <f t="array" ref="Q1668">SUM(IF(ISERROR(Q1669:Q1719),"",Q1669:Q1719))</f>
        <v>-2.5136173453585202E-2</v>
      </c>
      <c r="R1668" s="91">
        <f t="array" ref="R1668">SUM(IF(ISERROR(R1669:R1719),"",R1669:R1719))</f>
        <v>-2.6272674734969151E-2</v>
      </c>
      <c r="S1668" s="91">
        <f t="array" ref="S1668">SUM(IF(ISERROR(S1669:S1719),"",S1669:S1719))</f>
        <v>-2.4166501164168963E-2</v>
      </c>
      <c r="T1668" s="91">
        <f t="array" ref="T1668">SUM(IF(ISERROR(T1669:T1719),"",T1669:T1719))</f>
        <v>-2.458331294309524E-2</v>
      </c>
      <c r="U1668" s="91">
        <f t="array" ref="U1668">SUM(IF(ISERROR(U1669:U1719),"",U1669:U1719))</f>
        <v>-2.3333622913306665E-2</v>
      </c>
      <c r="V1668" s="91">
        <f t="array" ref="V1668">SUM(IF(ISERROR(V1669:V1719),"",V1669:V1719))</f>
        <v>-2.6170282538089982E-2</v>
      </c>
      <c r="W1668" s="91">
        <f t="array" ref="W1668">SUM(IF(ISERROR(W1669:W1719),"",W1669:W1719))</f>
        <v>-2.3328183942028912E-2</v>
      </c>
      <c r="X1668" s="91">
        <f t="array" ref="X1668">SUM(IF(ISERROR(X1669:X1719),"",X1669:X1719))</f>
        <v>-2.0433683890348314E-2</v>
      </c>
      <c r="Y1668" s="91">
        <f t="array" ref="Y1668">SUM(IF(ISERROR(Y1669:Y1719),"",Y1669:Y1719))</f>
        <v>-1.7547512726640797E-2</v>
      </c>
      <c r="Z1668" s="91">
        <f t="array" ref="Z1668">SUM(IF(ISERROR(Z1669:Z1719),"",Z1669:Z1719))</f>
        <v>-1.5281310683896158E-2</v>
      </c>
      <c r="AA1668" s="91">
        <f t="array" ref="AA1668">SUM(IF(ISERROR(AA1669:AA1719),"",AA1669:AA1719))</f>
        <v>-1.2496119560605512E-2</v>
      </c>
      <c r="AB1668" s="91">
        <f t="array" ref="AB1668">SUM(IF(ISERROR(AB1669:AB1719),"",AB1669:AB1719))</f>
        <v>-1.0516258884800929E-2</v>
      </c>
      <c r="AC1668" s="91">
        <f t="array" ref="AC1668">SUM(IF(ISERROR(AC1669:AC1719),"",AC1669:AC1719))</f>
        <v>-8.5154278377727079E-3</v>
      </c>
      <c r="AD1668" s="91">
        <f t="array" ref="AD1668">SUM(IF(ISERROR(AD1669:AD1719),"",AD1669:AD1719))</f>
        <v>-6.4368493133045981E-3</v>
      </c>
      <c r="AE1668" s="91">
        <f t="array" ref="AE1668">SUM(IF(ISERROR(AE1669:AE1719),"",AE1669:AE1719))</f>
        <v>-5.0070176871226139E-3</v>
      </c>
      <c r="AF1668" s="91">
        <f t="array" ref="AF1668">SUM(IF(ISERROR(AF1669:AF1719),"",AF1669:AF1719))</f>
        <v>-3.9472469674261979E-3</v>
      </c>
      <c r="AG1668" s="91">
        <f t="array" ref="AG1668">SUM(IF(ISERROR(AG1669:AG1719),"",AG1669:AG1719))</f>
        <v>-2.9099059893854728E-3</v>
      </c>
      <c r="AH1668" s="91">
        <f t="array" ref="AH1668">SUM(IF(ISERROR(AH1669:AH1719),"",AH1669:AH1719))</f>
        <v>-2.1330967876868191E-3</v>
      </c>
      <c r="AI1668" s="91">
        <f t="array" ref="AI1668">SUM(IF(ISERROR(AI1669:AI1719),"",AI1669:AI1719))</f>
        <v>-5.3397409151804392E-3</v>
      </c>
      <c r="AJ1668" s="91">
        <f t="array" ref="AJ1668">SUM(IF(ISERROR(AJ1669:AJ1719),"",AJ1669:AJ1719))</f>
        <v>-4.5459928364729131E-3</v>
      </c>
      <c r="AK1668" s="91">
        <f t="array" ref="AK1668">SUM(IF(ISERROR(AK1669:AK1719),"",AK1669:AK1719))</f>
        <v>-3.8241310727528096E-3</v>
      </c>
      <c r="AL1668" s="91">
        <f t="array" ref="AL1668">SUM(IF(ISERROR(AL1669:AL1719),"",AL1669:AL1719))</f>
        <v>-1.1786260554952948E-2</v>
      </c>
      <c r="AM1668" s="91">
        <f t="array" ref="AM1668">SUM(IF(ISERROR(AM1669:AM1719),"",AM1669:AM1719))</f>
        <v>-1.5980656170186611E-2</v>
      </c>
      <c r="AN1668" s="91">
        <f t="array" ref="AN1668">SUM(IF(ISERROR(AN1669:AN1719),"",AN1669:AN1719))</f>
        <v>-3.0504215664158396E-2</v>
      </c>
      <c r="AO1668" s="91">
        <f t="array" ref="AO1668">SUM(IF(ISERROR(AO1669:AO1719),"",AO1669:AO1719))</f>
        <v>-2.8818895562094691E-2</v>
      </c>
      <c r="AP1668" s="91">
        <f t="array" ref="AP1668">SUM(IF(ISERROR(AP1669:AP1719),"",AP1669:AP1719))</f>
        <v>-2.7107491787950931E-2</v>
      </c>
      <c r="AQ1668" s="91">
        <f t="array" ref="AQ1668">SUM(IF(ISERROR(AQ1669:AQ1719),"",AQ1669:AQ1719))</f>
        <v>-3.7772367140294506E-2</v>
      </c>
      <c r="AR1668" s="91">
        <f t="array" ref="AR1668">SUM(IF(ISERROR(AR1669:AR1719),"",AR1669:AR1719))</f>
        <v>-5.4478277278790309E-2</v>
      </c>
      <c r="AS1668" s="91">
        <f t="array" ref="AS1668">SUM(IF(ISERROR(AS1669:AS1719),"",AS1669:AS1719))</f>
        <v>-5.0989703485024684E-2</v>
      </c>
      <c r="AT1668" s="91">
        <f t="array" ref="AT1668">SUM(IF(ISERROR(AT1669:AT1719),"",AT1669:AT1719))</f>
        <v>-4.7335422436055201E-2</v>
      </c>
      <c r="AU1668" s="91">
        <f t="array" ref="AU1668">SUM(IF(ISERROR(AU1669:AU1719),"",AU1669:AU1719))</f>
        <v>-4.3507563037259667E-2</v>
      </c>
      <c r="AV1668" s="91">
        <f t="array" ref="AV1668">SUM(IF(ISERROR(AV1669:AV1719),"",AV1669:AV1719))</f>
        <v>-3.9497880317021353E-2</v>
      </c>
      <c r="AW1668" s="91">
        <f t="array" ref="AW1668">SUM(IF(ISERROR(AW1669:AW1719),"",AW1669:AW1719))</f>
        <v>-3.5297737667571709E-2</v>
      </c>
      <c r="AX1668" s="91">
        <f t="array" ref="AX1668">SUM(IF(ISERROR(AX1669:AX1719),"",AX1669:AX1719))</f>
        <v>-3.0898088242273209E-2</v>
      </c>
      <c r="AY1668" s="91">
        <f t="array" ref="AY1668">SUM(IF(ISERROR(AY1669:AY1719),"",AY1669:AY1719))</f>
        <v>-2.667026774930515E-2</v>
      </c>
      <c r="AZ1668" s="91">
        <f t="array" ref="AZ1668">SUM(IF(ISERROR(AZ1669:AZ1719),"",AZ1669:AZ1719))</f>
        <v>-2.2241625782921107E-2</v>
      </c>
      <c r="BA1668" s="91">
        <f t="array" ref="BA1668">SUM(IF(ISERROR(BA1669:BA1719),"",BA1669:BA1719))</f>
        <v>-1.7602623323133823E-2</v>
      </c>
      <c r="BB1668" s="91">
        <f t="array" ref="BB1668">SUM(IF(ISERROR(BB1669:BB1719),"",BB1669:BB1719))</f>
        <v>-1.3521427425971955E-2</v>
      </c>
      <c r="BC1668" s="91">
        <f t="array" ref="BC1668">SUM(IF(ISERROR(BC1669:BC1719),"",BC1669:BC1719))</f>
        <v>-9.7055343553522737E-3</v>
      </c>
      <c r="BD1668" s="91">
        <f t="array" ref="BD1668">SUM(IF(ISERROR(BD1669:BD1719),"",BD1669:BD1719))</f>
        <v>-7.170556586066603E-3</v>
      </c>
      <c r="BE1668" s="91">
        <f t="array" ref="BE1668">SUM(IF(ISERROR(BE1669:BE1719),"",BE1669:BE1719))</f>
        <v>-4.5151673727398664E-3</v>
      </c>
      <c r="BF1668" s="91">
        <f t="array" ref="BF1668">SUM(IF(ISERROR(BF1669:BF1719),"",BF1669:BF1719))</f>
        <v>-1.7336471717801095E-3</v>
      </c>
      <c r="BG1668" s="91">
        <f t="array" ref="BG1668">SUM(IF(ISERROR(BG1669:BG1719),"",BG1669:BG1719))</f>
        <v>0</v>
      </c>
      <c r="BH1668" s="91">
        <f t="array" ref="BH1668">SUM(IF(ISERROR(BH1669:BH1719),"",BH1669:BH1719))</f>
        <v>0</v>
      </c>
      <c r="BI1668" s="91">
        <f t="array" ref="BI1668">SUM(IF(ISERROR(BI1669:BI1719),"",BI1669:BI1719))</f>
        <v>0</v>
      </c>
      <c r="BJ1668" s="91">
        <f t="array" ref="BJ1668">SUM(IF(ISERROR(BJ1669:BJ1719),"",BJ1669:BJ1719))</f>
        <v>0</v>
      </c>
      <c r="BK1668" s="91">
        <f t="array" ref="BK1668">SUM(IF(ISERROR(BK1669:BK1719),"",BK1669:BK1719))</f>
        <v>0</v>
      </c>
      <c r="BL1668" s="91">
        <f t="array" ref="BL1668">SUM(IF(ISERROR(BL1669:BL1719),"",BL1669:BL1719))</f>
        <v>0</v>
      </c>
      <c r="BM1668" s="91">
        <f t="array" ref="BM1668">SUM(IF(ISERROR(BM1669:BM1719),"",BM1669:BM1719))</f>
        <v>0</v>
      </c>
      <c r="BN1668" s="91">
        <f t="array" ref="BN1668">SUM(IF(ISERROR(BN1669:BN1719),"",BN1669:BN1719))</f>
        <v>0</v>
      </c>
      <c r="BO1668" s="91">
        <f t="array" ref="BO1668">SUM(IF(ISERROR(BO1669:BO1719),"",BO1669:BO1719))</f>
        <v>0</v>
      </c>
    </row>
    <row r="1669" spans="1:68" ht="15.75" hidden="1" customHeight="1" outlineLevel="1">
      <c r="A1669" s="428"/>
      <c r="B1669" s="99"/>
      <c r="C1669" s="91">
        <f>IF($C$1560&gt;0,IPMT('Assumptions (Geo)'!$V$6,Model!W$1,'Assumptions (Geo)'!$V$9,'Assumptions (Geo)'!$V$4*Model!$C$1560*'Assumptions (Geo)'!$B$2/10^9),0)</f>
        <v>-2.9967756005710362E-3</v>
      </c>
      <c r="D1669" s="91">
        <f>IF($C$1560&gt;0,IPMT('Assumptions (Geo)'!$V$6,Model!X$1,'Assumptions (Geo)'!$V$9,'Assumptions (Geo)'!$V$4*Model!$C$1560*'Assumptions (Geo)'!$B$2/10^9),0)</f>
        <v>-2.855264457137257E-3</v>
      </c>
      <c r="E1669" s="91">
        <f>IF($C$1560&gt;0,IPMT('Assumptions (Geo)'!$V$6,Model!Y$1,'Assumptions (Geo)'!$V$9,'Assumptions (Geo)'!$V$4*Model!$C$1560*'Assumptions (Geo)'!$B$2/10^9),0)</f>
        <v>-2.707031534390373E-3</v>
      </c>
      <c r="F1669" s="91">
        <f>IF($C$1560&gt;0,IPMT('Assumptions (Geo)'!$V$6,Model!Z$1,'Assumptions (Geo)'!$V$9,'Assumptions (Geo)'!$V$4*Model!$C$1560*'Assumptions (Geo)'!$B$2/10^9),0)</f>
        <v>-2.5517575478130133E-3</v>
      </c>
      <c r="G1669" s="91">
        <f>IF($C$1560&gt;0,IPMT('Assumptions (Geo)'!$V$6,Model!AA$1,'Assumptions (Geo)'!$V$9,'Assumptions (Geo)'!$V$4*Model!$C$1560*'Assumptions (Geo)'!$B$2/10^9),0)</f>
        <v>-2.389108046873228E-3</v>
      </c>
      <c r="H1669" s="91">
        <f>IF($C$1560&gt;0,IPMT('Assumptions (Geo)'!$V$6,Model!AB$1,'Assumptions (Geo)'!$V$9,'Assumptions (Geo)'!$V$4*Model!$C$1560*'Assumptions (Geo)'!$B$2/10^9),0)</f>
        <v>-2.2187326946388032E-3</v>
      </c>
      <c r="I1669" s="91">
        <f>IF($C$1560&gt;0,IPMT('Assumptions (Geo)'!$V$6,Model!AC$1,'Assumptions (Geo)'!$V$9,'Assumptions (Geo)'!$V$4*Model!$C$1560*'Assumptions (Geo)'!$B$2/10^9),0)</f>
        <v>-2.0402645131732434E-3</v>
      </c>
      <c r="J1669" s="91">
        <f>IF($C$1560&gt;0,IPMT('Assumptions (Geo)'!$V$6,Model!AD$1,'Assumptions (Geo)'!$V$9,'Assumptions (Geo)'!$V$4*Model!$C$1560*'Assumptions (Geo)'!$B$2/10^9),0)</f>
        <v>-1.8533190930880696E-3</v>
      </c>
      <c r="K1669" s="91">
        <f>IF($C$1560&gt;0,IPMT('Assumptions (Geo)'!$V$6,Model!AE$1,'Assumptions (Geo)'!$V$9,'Assumptions (Geo)'!$V$4*Model!$C$1560*'Assumptions (Geo)'!$B$2/10^9),0)</f>
        <v>-1.6574937655488501E-3</v>
      </c>
      <c r="L1669" s="91">
        <f>IF($C$1560&gt;0,IPMT('Assumptions (Geo)'!$V$6,Model!AF$1,'Assumptions (Geo)'!$V$9,'Assumptions (Geo)'!$V$4*Model!$C$1560*'Assumptions (Geo)'!$B$2/10^9),0)</f>
        <v>-1.4523667349515175E-3</v>
      </c>
      <c r="M1669" s="91">
        <f>IF($C$1560&gt;0,IPMT('Assumptions (Geo)'!$V$6,Model!AG$1,'Assumptions (Geo)'!$V$9,'Assumptions (Geo)'!$V$4*Model!$C$1560*'Assumptions (Geo)'!$B$2/10^9),0)</f>
        <v>-1.2374961704008113E-3</v>
      </c>
      <c r="N1669" s="91">
        <f>IF($C$1560&gt;0,IPMT('Assumptions (Geo)'!$V$6,Model!AH$1,'Assumptions (Geo)'!$V$9,'Assumptions (Geo)'!$V$4*Model!$C$1560*'Assumptions (Geo)'!$B$2/10^9),0)</f>
        <v>-1.012419254033947E-3</v>
      </c>
      <c r="O1669" s="91">
        <f>IF($C$1560&gt;0,IPMT('Assumptions (Geo)'!$V$6,Model!AI$1,'Assumptions (Geo)'!$V$9,'Assumptions (Geo)'!$V$4*Model!$C$1560*'Assumptions (Geo)'!$B$2/10^9),0)</f>
        <v>-7.7665118413965627E-4</v>
      </c>
      <c r="P1669" s="91">
        <f>IF($C$1560&gt;0,IPMT('Assumptions (Geo)'!$V$6,Model!AJ$1,'Assumptions (Geo)'!$V$9,'Assumptions (Geo)'!$V$4*Model!$C$1560*'Assumptions (Geo)'!$B$2/10^9),0)</f>
        <v>-5.2968413092538684E-4</v>
      </c>
      <c r="Q1669" s="91">
        <f>IF($C$1560&gt;0,IPMT('Assumptions (Geo)'!$V$6,Model!AK$1,'Assumptions (Geo)'!$V$9,'Assumptions (Geo)'!$V$4*Model!$C$1560*'Assumptions (Geo)'!$B$2/10^9),0)</f>
        <v>-2.7098614268343963E-4</v>
      </c>
      <c r="R1669" s="91"/>
      <c r="S1669" s="91"/>
      <c r="T1669" s="91"/>
      <c r="U1669" s="91"/>
      <c r="V1669" s="91"/>
      <c r="W1669" s="91"/>
      <c r="X1669" s="91"/>
      <c r="Y1669" s="91"/>
      <c r="Z1669" s="91"/>
      <c r="AA1669" s="91"/>
      <c r="AB1669" s="105"/>
      <c r="AC1669" s="105"/>
      <c r="AD1669" s="105"/>
      <c r="AE1669" s="105"/>
      <c r="AF1669" s="105"/>
      <c r="AG1669" s="105"/>
    </row>
    <row r="1670" spans="1:68" ht="15.75" hidden="1" customHeight="1" outlineLevel="1">
      <c r="A1670" s="428"/>
      <c r="B1670" s="99"/>
      <c r="C1670" s="105"/>
      <c r="D1670" s="91">
        <f>IF($D$1560&gt;0,IPMT('Assumptions (Geo)'!$V$6,Model!W$1,'Assumptions (Geo)'!$V$9,'Assumptions (Geo)'!$V$4*Model!$D$1560*'Assumptions (Geo)'!$B$2/10^9),0)</f>
        <v>0</v>
      </c>
      <c r="E1670" s="91">
        <f>IF($D$1560&gt;0,IPMT('Assumptions (Geo)'!$V$6,Model!X$1,'Assumptions (Geo)'!$V$9,'Assumptions (Geo)'!$V$4*Model!$D$1560*'Assumptions (Geo)'!$B$2/10^9),0)</f>
        <v>0</v>
      </c>
      <c r="F1670" s="91">
        <f>IF($D$1560&gt;0,IPMT('Assumptions (Geo)'!$V$6,Model!Y$1,'Assumptions (Geo)'!$V$9,'Assumptions (Geo)'!$V$4*Model!$D$1560*'Assumptions (Geo)'!$B$2/10^9),0)</f>
        <v>0</v>
      </c>
      <c r="G1670" s="91">
        <f>IF($D$1560&gt;0,IPMT('Assumptions (Geo)'!$V$6,Model!Z$1,'Assumptions (Geo)'!$V$9,'Assumptions (Geo)'!$V$4*Model!$D$1560*'Assumptions (Geo)'!$B$2/10^9),0)</f>
        <v>0</v>
      </c>
      <c r="H1670" s="91">
        <f>IF($D$1560&gt;0,IPMT('Assumptions (Geo)'!$V$6,Model!AA$1,'Assumptions (Geo)'!$V$9,'Assumptions (Geo)'!$V$4*Model!$D$1560*'Assumptions (Geo)'!$B$2/10^9),0)</f>
        <v>0</v>
      </c>
      <c r="I1670" s="91">
        <f>IF($D$1560&gt;0,IPMT('Assumptions (Geo)'!$V$6,Model!AB$1,'Assumptions (Geo)'!$V$9,'Assumptions (Geo)'!$V$4*Model!$D$1560*'Assumptions (Geo)'!$B$2/10^9),0)</f>
        <v>0</v>
      </c>
      <c r="J1670" s="91">
        <f>IF($D$1560&gt;0,IPMT('Assumptions (Geo)'!$V$6,Model!AC$1,'Assumptions (Geo)'!$V$9,'Assumptions (Geo)'!$V$4*Model!$D$1560*'Assumptions (Geo)'!$B$2/10^9),0)</f>
        <v>0</v>
      </c>
      <c r="K1670" s="91">
        <f>IF($D$1560&gt;0,IPMT('Assumptions (Geo)'!$V$6,Model!AD$1,'Assumptions (Geo)'!$V$9,'Assumptions (Geo)'!$V$4*Model!$D$1560*'Assumptions (Geo)'!$B$2/10^9),0)</f>
        <v>0</v>
      </c>
      <c r="L1670" s="91">
        <f>IF($D$1560&gt;0,IPMT('Assumptions (Geo)'!$V$6,Model!AE$1,'Assumptions (Geo)'!$V$9,'Assumptions (Geo)'!$V$4*Model!$D$1560*'Assumptions (Geo)'!$B$2/10^9),0)</f>
        <v>0</v>
      </c>
      <c r="M1670" s="91">
        <f>IF($D$1560&gt;0,IPMT('Assumptions (Geo)'!$V$6,Model!AF$1,'Assumptions (Geo)'!$V$9,'Assumptions (Geo)'!$V$4*Model!$D$1560*'Assumptions (Geo)'!$B$2/10^9),0)</f>
        <v>0</v>
      </c>
      <c r="N1670" s="91">
        <f>IF($D$1560&gt;0,IPMT('Assumptions (Geo)'!$V$6,Model!AG$1,'Assumptions (Geo)'!$V$9,'Assumptions (Geo)'!$V$4*Model!$D$1560*'Assumptions (Geo)'!$B$2/10^9),0)</f>
        <v>0</v>
      </c>
      <c r="O1670" s="91">
        <f>IF($D$1560&gt;0,IPMT('Assumptions (Geo)'!$V$6,Model!AH$1,'Assumptions (Geo)'!$V$9,'Assumptions (Geo)'!$V$4*Model!$D$1560*'Assumptions (Geo)'!$B$2/10^9),0)</f>
        <v>0</v>
      </c>
      <c r="P1670" s="91">
        <f>IF($D$1560&gt;0,IPMT('Assumptions (Geo)'!$V$6,Model!AI$1,'Assumptions (Geo)'!$V$9,'Assumptions (Geo)'!$V$4*Model!$D$1560*'Assumptions (Geo)'!$B$2/10^9),0)</f>
        <v>0</v>
      </c>
      <c r="Q1670" s="91">
        <f>IF($D$1560&gt;0,IPMT('Assumptions (Geo)'!$V$6,Model!AJ$1,'Assumptions (Geo)'!$V$9,'Assumptions (Geo)'!$V$4*Model!$D$1560*'Assumptions (Geo)'!$B$2/10^9),0)</f>
        <v>0</v>
      </c>
      <c r="R1670" s="91">
        <f>IF($D$1560&gt;0,IPMT('Assumptions (Geo)'!$V$6,Model!AK$1,'Assumptions (Geo)'!$V$9,'Assumptions (Geo)'!$V$4*Model!$D$1560*'Assumptions (Geo)'!$B$2/10^9),0)</f>
        <v>0</v>
      </c>
      <c r="S1670" s="91"/>
      <c r="T1670" s="91"/>
      <c r="U1670" s="91"/>
      <c r="V1670" s="91"/>
      <c r="W1670" s="91"/>
      <c r="X1670" s="91"/>
      <c r="Y1670" s="91"/>
      <c r="Z1670" s="91"/>
      <c r="AA1670" s="91"/>
      <c r="AB1670" s="91"/>
      <c r="AC1670" s="105"/>
      <c r="AD1670" s="105"/>
      <c r="AE1670" s="105"/>
      <c r="AF1670" s="105"/>
      <c r="AG1670" s="105"/>
    </row>
    <row r="1671" spans="1:68" ht="15.75" hidden="1" customHeight="1" outlineLevel="1">
      <c r="A1671" s="428"/>
      <c r="B1671" s="99"/>
      <c r="C1671" s="105"/>
      <c r="D1671" s="105"/>
      <c r="E1671" s="105">
        <f>IF($E$1560&gt;0,IPMT('Assumptions (Geo)'!$V$6,Model!W$1,'Assumptions (Geo)'!$V$9,'Assumptions (Geo)'!$V$4*Model!$E$1560*AVERAGE('Assumptions (Geo)'!$B$2:$C$2)/10^9),0)</f>
        <v>-2.9788686813409101E-4</v>
      </c>
      <c r="F1671" s="105">
        <f>IF($E$1560&gt;0,IPMT('Assumptions (Geo)'!$V$6,Model!X$1,'Assumptions (Geo)'!$V$9,'Assumptions (Geo)'!$V$4*Model!$E$1560*AVERAGE('Assumptions (Geo)'!$B$2:$C$2)/10^9),0)</f>
        <v>-2.8382031229469813E-4</v>
      </c>
      <c r="G1671" s="105">
        <f>IF($E$1560&gt;0,IPMT('Assumptions (Geo)'!$V$6,Model!Y$1,'Assumptions (Geo)'!$V$9,'Assumptions (Geo)'!$V$4*Model!$E$1560*AVERAGE('Assumptions (Geo)'!$B$2:$C$2)/10^9),0)</f>
        <v>-2.6908559505293408E-4</v>
      </c>
      <c r="H1671" s="105">
        <f>IF($E$1560&gt;0,IPMT('Assumptions (Geo)'!$V$6,Model!Z$1,'Assumptions (Geo)'!$V$9,'Assumptions (Geo)'!$V$4*Model!$E$1560*AVERAGE('Assumptions (Geo)'!$B$2:$C$2)/10^9),0)</f>
        <v>-2.5365097874218627E-4</v>
      </c>
      <c r="I1671" s="105">
        <f>IF($E$1560&gt;0,IPMT('Assumptions (Geo)'!$V$6,Model!AA$1,'Assumptions (Geo)'!$V$9,'Assumptions (Geo)'!$V$4*Model!$E$1560*AVERAGE('Assumptions (Geo)'!$B$2:$C$2)/10^9),0)</f>
        <v>-2.3748321815667797E-4</v>
      </c>
      <c r="J1671" s="105">
        <f>IF($E$1560&gt;0,IPMT('Assumptions (Geo)'!$V$6,Model!AB$1,'Assumptions (Geo)'!$V$9,'Assumptions (Geo)'!$V$4*Model!$E$1560*AVERAGE('Assumptions (Geo)'!$B$2:$C$2)/10^9),0)</f>
        <v>-2.2054748894335802E-4</v>
      </c>
      <c r="K1671" s="105">
        <f>IF($E$1560&gt;0,IPMT('Assumptions (Geo)'!$V$6,Model!AC$1,'Assumptions (Geo)'!$V$9,'Assumptions (Geo)'!$V$4*Model!$E$1560*AVERAGE('Assumptions (Geo)'!$B$2:$C$2)/10^9),0)</f>
        <v>-2.0280731259240535E-4</v>
      </c>
      <c r="L1671" s="105">
        <f>IF($E$1560&gt;0,IPMT('Assumptions (Geo)'!$V$6,Model!AD$1,'Assumptions (Geo)'!$V$9,'Assumptions (Geo)'!$V$4*Model!$E$1560*AVERAGE('Assumptions (Geo)'!$B$2:$C$2)/10^9),0)</f>
        <v>-1.8422447786478242E-4</v>
      </c>
      <c r="M1671" s="105">
        <f>IF($E$1560&gt;0,IPMT('Assumptions (Geo)'!$V$6,Model!AE$1,'Assumptions (Geo)'!$V$9,'Assumptions (Geo)'!$V$4*Model!$E$1560*AVERAGE('Assumptions (Geo)'!$B$2:$C$2)/10^9),0)</f>
        <v>-1.6475895848759743E-4</v>
      </c>
      <c r="N1671" s="91">
        <f>IF($E$1560&gt;0,IPMT('Assumptions (Geo)'!$V$6,Model!AF$1,'Assumptions (Geo)'!$V$9,'Assumptions (Geo)'!$V$4*Model!$E$1560*AVERAGE('Assumptions (Geo)'!$B$2:$C$2)/10^9),0)</f>
        <v>-1.4436882693999616E-4</v>
      </c>
      <c r="O1671" s="105">
        <f>IF($E$1560&gt;0,IPMT('Assumptions (Geo)'!$V$6,Model!AG$1,'Assumptions (Geo)'!$V$9,'Assumptions (Geo)'!$V$4*Model!$E$1560*AVERAGE('Assumptions (Geo)'!$B$2:$C$2)/10^9),0)</f>
        <v>-1.2301016414388379E-4</v>
      </c>
      <c r="P1671" s="105">
        <f>IF($E$1560&gt;0,IPMT('Assumptions (Geo)'!$V$6,Model!AH$1,'Assumptions (Geo)'!$V$9,'Assumptions (Geo)'!$V$4*Model!$E$1560*AVERAGE('Assumptions (Geo)'!$B$2:$C$2)/10^9),0)</f>
        <v>-1.0063696486495612E-4</v>
      </c>
      <c r="Q1671" s="105">
        <f>IF($E$1560&gt;0,IPMT('Assumptions (Geo)'!$V$6,Model!AI$1,'Assumptions (Geo)'!$V$9,'Assumptions (Geo)'!$V$4*Model!$E$1560*AVERAGE('Assumptions (Geo)'!$B$2:$C$2)/10^9),0)</f>
        <v>-7.720103862027936E-5</v>
      </c>
      <c r="R1671" s="105">
        <f>IF($E$1560&gt;0,IPMT('Assumptions (Geo)'!$V$6,Model!AJ$1,'Assumptions (Geo)'!$V$9,'Assumptions (Geo)'!$V$4*Model!$E$1560*AVERAGE('Assumptions (Geo)'!$B$2:$C$2)/10^9),0)</f>
        <v>-5.2651905878980445E-5</v>
      </c>
      <c r="S1671" s="105">
        <f>IF($E$1560&gt;0,IPMT('Assumptions (Geo)'!$V$6,Model!AK$1,'Assumptions (Geo)'!$V$9,'Assumptions (Geo)'!$V$4*Model!$E$1560*AVERAGE('Assumptions (Geo)'!$B$2:$C$2)/10^9),0)</f>
        <v>-2.6936689332469853E-5</v>
      </c>
      <c r="T1671" s="105"/>
      <c r="U1671" s="105"/>
      <c r="V1671" s="105"/>
      <c r="W1671" s="105"/>
      <c r="X1671" s="105"/>
      <c r="Y1671" s="105"/>
      <c r="Z1671" s="105"/>
      <c r="AA1671" s="105"/>
      <c r="AB1671" s="105"/>
      <c r="AC1671" s="105"/>
      <c r="AD1671" s="105"/>
      <c r="AE1671" s="105"/>
      <c r="AF1671" s="105"/>
      <c r="AG1671" s="105"/>
    </row>
    <row r="1672" spans="1:68" ht="15.75" hidden="1" customHeight="1" outlineLevel="1">
      <c r="A1672" s="428"/>
      <c r="B1672" s="99"/>
      <c r="C1672" s="105"/>
      <c r="D1672" s="105"/>
      <c r="E1672" s="105"/>
      <c r="F1672" s="105">
        <f>IF($F$1560&gt;0,IPMT('Assumptions (Geo)'!$V$6,Model!W$1,'Assumptions (Geo)'!$V$9,'Assumptions (Geo)'!$V$4*Model!$F$1560*AVERAGE('Assumptions (Geo)'!$B$2:$D$2)/10^9),0)</f>
        <v>-1.074555600232876E-3</v>
      </c>
      <c r="G1672" s="105">
        <f>IF($F$1560&gt;0,IPMT('Assumptions (Geo)'!$V$6,Model!X$1,'Assumptions (Geo)'!$V$9,'Assumptions (Geo)'!$V$4*Model!$F$1560*AVERAGE('Assumptions (Geo)'!$B$2:$D$2)/10^9),0)</f>
        <v>-1.0238138658023267E-3</v>
      </c>
      <c r="H1672" s="105">
        <f>IF($F$1560&gt;0,IPMT('Assumptions (Geo)'!$V$6,Model!Y$1,'Assumptions (Geo)'!$V$9,'Assumptions (Geo)'!$V$4*Model!$F$1560*AVERAGE('Assumptions (Geo)'!$B$2:$D$2)/10^9),0)</f>
        <v>-9.7066189898632651E-4</v>
      </c>
      <c r="I1672" s="105">
        <f>IF($F$1560&gt;0,IPMT('Assumptions (Geo)'!$V$6,Model!Z$1,'Assumptions (Geo)'!$V$9,'Assumptions (Geo)'!$V$4*Model!$F$1560*AVERAGE('Assumptions (Geo)'!$B$2:$D$2)/10^9),0)</f>
        <v>-9.1498521374656634E-4</v>
      </c>
      <c r="J1672" s="105">
        <f>IF($F$1560&gt;0,IPMT('Assumptions (Geo)'!$V$6,Model!AA$1,'Assumptions (Geo)'!$V$9,'Assumptions (Geo)'!$V$4*Model!$F$1560*AVERAGE('Assumptions (Geo)'!$B$2:$D$2)/10^9),0)</f>
        <v>-8.5666388595791751E-4</v>
      </c>
      <c r="K1672" s="105">
        <f>IF($F$1560&gt;0,IPMT('Assumptions (Geo)'!$V$6,Model!AB$1,'Assumptions (Geo)'!$V$9,'Assumptions (Geo)'!$V$4*Model!$F$1560*AVERAGE('Assumptions (Geo)'!$B$2:$D$2)/10^9),0)</f>
        <v>-7.9557229509930798E-4</v>
      </c>
      <c r="L1672" s="105">
        <f>IF($F$1560&gt;0,IPMT('Assumptions (Geo)'!$V$6,Model!AC$1,'Assumptions (Geo)'!$V$9,'Assumptions (Geo)'!$V$4*Model!$F$1560*AVERAGE('Assumptions (Geo)'!$B$2:$D$2)/10^9),0)</f>
        <v>-7.3157885367491427E-4</v>
      </c>
      <c r="M1672" s="105">
        <f>IF($F$1560&gt;0,IPMT('Assumptions (Geo)'!$V$6,Model!AD$1,'Assumptions (Geo)'!$V$9,'Assumptions (Geo)'!$V$4*Model!$F$1560*AVERAGE('Assumptions (Geo)'!$B$2:$D$2)/10^9),0)</f>
        <v>-6.6454572378286199E-4</v>
      </c>
      <c r="N1672" s="91">
        <f>IF($F$1560&gt;0,IPMT('Assumptions (Geo)'!$V$6,Model!AE$1,'Assumptions (Geo)'!$V$9,'Assumptions (Geo)'!$V$4*Model!$F$1560*AVERAGE('Assumptions (Geo)'!$B$2:$D$2)/10^9),0)</f>
        <v>-5.9432852022093727E-4</v>
      </c>
      <c r="O1672" s="105">
        <f>IF($F$1560&gt;0,IPMT('Assumptions (Geo)'!$V$6,Model!AF$1,'Assumptions (Geo)'!$V$9,'Assumptions (Geo)'!$V$4*Model!$F$1560*AVERAGE('Assumptions (Geo)'!$B$2:$D$2)/10^9),0)</f>
        <v>-5.2077599948982111E-4</v>
      </c>
      <c r="P1672" s="105">
        <f>IF($F$1560&gt;0,IPMT('Assumptions (Geo)'!$V$6,Model!AG$1,'Assumptions (Geo)'!$V$9,'Assumptions (Geo)'!$V$4*Model!$F$1560*AVERAGE('Assumptions (Geo)'!$B$2:$D$2)/10^9),0)</f>
        <v>-4.4372973402397682E-4</v>
      </c>
      <c r="Q1672" s="105">
        <f>IF($F$1560&gt;0,IPMT('Assumptions (Geo)'!$V$6,Model!AH$1,'Assumptions (Geo)'!$V$9,'Assumptions (Geo)'!$V$4*Model!$F$1560*AVERAGE('Assumptions (Geo)'!$B$2:$D$2)/10^9),0)</f>
        <v>-3.6302377094850504E-4</v>
      </c>
      <c r="R1672" s="105">
        <f>IF($F$1560&gt;0,IPMT('Assumptions (Geo)'!$V$6,Model!AI$1,'Assumptions (Geo)'!$V$9,'Assumptions (Geo)'!$V$4*Model!$F$1560*AVERAGE('Assumptions (Geo)'!$B$2:$D$2)/10^9),0)</f>
        <v>-2.7848427462694826E-4</v>
      </c>
      <c r="S1672" s="105">
        <f>IF($F$1560&gt;0,IPMT('Assumptions (Geo)'!$V$6,Model!AJ$1,'Assumptions (Geo)'!$V$9,'Assumptions (Geo)'!$V$4*Model!$F$1560*AVERAGE('Assumptions (Geo)'!$B$2:$D$2)/10^9),0)</f>
        <v>-1.8992915223011759E-4</v>
      </c>
      <c r="T1672" s="105">
        <f>IF($F$1560&gt;0,IPMT('Assumptions (Geo)'!$V$6,Model!AK$1,'Assumptions (Geo)'!$V$9,'Assumptions (Geo)'!$V$4*Model!$F$1560*AVERAGE('Assumptions (Geo)'!$B$2:$D$2)/10^9),0)</f>
        <v>-9.716766151943744E-5</v>
      </c>
      <c r="U1672" s="105"/>
      <c r="V1672" s="105"/>
      <c r="W1672" s="105"/>
      <c r="X1672" s="105"/>
      <c r="Y1672" s="105"/>
      <c r="Z1672" s="105"/>
      <c r="AA1672" s="105"/>
      <c r="AB1672" s="105"/>
      <c r="AC1672" s="105"/>
      <c r="AD1672" s="105"/>
      <c r="AE1672" s="105"/>
      <c r="AF1672" s="105"/>
      <c r="AG1672" s="105"/>
    </row>
    <row r="1673" spans="1:68" ht="15.75" hidden="1" customHeight="1" outlineLevel="1">
      <c r="A1673" s="428"/>
      <c r="B1673" s="99"/>
      <c r="C1673" s="105"/>
      <c r="D1673" s="105"/>
      <c r="E1673" s="105"/>
      <c r="F1673" s="105"/>
      <c r="G1673" s="105">
        <f>IF($G$1560&gt;0,IPMT('Assumptions (Geo)'!$V$6,Model!W$1,'Assumptions (Geo)'!$V$9,'Assumptions (Geo)'!$V$4*Model!$G$1560*AVERAGE('Assumptions (Geo)'!$C$2:$E$2)/10^9),0)</f>
        <v>0</v>
      </c>
      <c r="H1673" s="105">
        <f>IF($G$1560&gt;0,IPMT('Assumptions (Geo)'!$V$6,Model!X$1,'Assumptions (Geo)'!$V$9,'Assumptions (Geo)'!$V$4*Model!$G$1560*AVERAGE('Assumptions (Geo)'!$C$2:$E$2)/10^9),0)</f>
        <v>0</v>
      </c>
      <c r="I1673" s="105">
        <f>IF($G$1560&gt;0,IPMT('Assumptions (Geo)'!$V$6,Model!Y$1,'Assumptions (Geo)'!$V$9,'Assumptions (Geo)'!$V$4*Model!$G$1560*AVERAGE('Assumptions (Geo)'!$C$2:$E$2)/10^9),0)</f>
        <v>0</v>
      </c>
      <c r="J1673" s="105">
        <f>IF($G$1560&gt;0,IPMT('Assumptions (Geo)'!$V$6,Model!Z$1,'Assumptions (Geo)'!$V$9,'Assumptions (Geo)'!$V$4*Model!$G$1560*AVERAGE('Assumptions (Geo)'!$C$2:$E$2)/10^9),0)</f>
        <v>0</v>
      </c>
      <c r="K1673" s="105">
        <f>IF($G$1560&gt;0,IPMT('Assumptions (Geo)'!$V$6,Model!AA$1,'Assumptions (Geo)'!$V$9,'Assumptions (Geo)'!$V$4*Model!$G$1560*AVERAGE('Assumptions (Geo)'!$C$2:$E$2)/10^9),0)</f>
        <v>0</v>
      </c>
      <c r="L1673" s="105">
        <f>IF($G$1560&gt;0,IPMT('Assumptions (Geo)'!$V$6,Model!AB$1,'Assumptions (Geo)'!$V$9,'Assumptions (Geo)'!$V$4*Model!$G$1560*AVERAGE('Assumptions (Geo)'!$C$2:$E$2)/10^9),0)</f>
        <v>0</v>
      </c>
      <c r="M1673" s="105">
        <f>IF($G$1560&gt;0,IPMT('Assumptions (Geo)'!$V$6,Model!AC$1,'Assumptions (Geo)'!$V$9,'Assumptions (Geo)'!$V$4*Model!$G$1560*AVERAGE('Assumptions (Geo)'!$C$2:$E$2)/10^9),0)</f>
        <v>0</v>
      </c>
      <c r="N1673" s="105">
        <f>IF($G$1560&gt;0,IPMT('Assumptions (Geo)'!$V$6,Model!AD$1,'Assumptions (Geo)'!$V$9,'Assumptions (Geo)'!$V$4*Model!$G$1560*AVERAGE('Assumptions (Geo)'!$C$2:$E$2)/10^9),0)</f>
        <v>0</v>
      </c>
      <c r="O1673" s="105">
        <f>IF($G$1560&gt;0,IPMT('Assumptions (Geo)'!$V$6,Model!AE$1,'Assumptions (Geo)'!$V$9,'Assumptions (Geo)'!$V$4*Model!$G$1560*AVERAGE('Assumptions (Geo)'!$C$2:$E$2)/10^9),0)</f>
        <v>0</v>
      </c>
      <c r="P1673" s="105">
        <f>IF($G$1560&gt;0,IPMT('Assumptions (Geo)'!$V$6,Model!AF$1,'Assumptions (Geo)'!$V$9,'Assumptions (Geo)'!$V$4*Model!$G$1560*AVERAGE('Assumptions (Geo)'!$C$2:$E$2)/10^9),0)</f>
        <v>0</v>
      </c>
      <c r="Q1673" s="105">
        <f>IF($G$1560&gt;0,IPMT('Assumptions (Geo)'!$V$6,Model!AG$1,'Assumptions (Geo)'!$V$9,'Assumptions (Geo)'!$V$4*Model!$G$1560*AVERAGE('Assumptions (Geo)'!$C$2:$E$2)/10^9),0)</f>
        <v>0</v>
      </c>
      <c r="R1673" s="105">
        <f>IF($G$1560&gt;0,IPMT('Assumptions (Geo)'!$V$6,Model!AH$1,'Assumptions (Geo)'!$V$9,'Assumptions (Geo)'!$V$4*Model!$G$1560*AVERAGE('Assumptions (Geo)'!$C$2:$E$2)/10^9),0)</f>
        <v>0</v>
      </c>
      <c r="S1673" s="105">
        <f>IF($G$1560&gt;0,IPMT('Assumptions (Geo)'!$V$6,Model!AI$1,'Assumptions (Geo)'!$V$9,'Assumptions (Geo)'!$V$4*Model!$G$1560*AVERAGE('Assumptions (Geo)'!$C$2:$E$2)/10^9),0)</f>
        <v>0</v>
      </c>
      <c r="T1673" s="105">
        <f>IF($G$1560&gt;0,IPMT('Assumptions (Geo)'!$V$6,Model!AJ$1,'Assumptions (Geo)'!$V$9,'Assumptions (Geo)'!$V$4*Model!$G$1560*AVERAGE('Assumptions (Geo)'!$C$2:$E$2)/10^9),0)</f>
        <v>0</v>
      </c>
      <c r="U1673" s="105">
        <f>IF($G$1560&gt;0,IPMT('Assumptions (Geo)'!$V$6,Model!AK$1,'Assumptions (Geo)'!$V$9,'Assumptions (Geo)'!$V$4*Model!$G$1560*AVERAGE('Assumptions (Geo)'!$C$2:$E$2)/10^9),0)</f>
        <v>0</v>
      </c>
      <c r="V1673" s="105"/>
      <c r="W1673" s="105"/>
      <c r="X1673" s="105"/>
      <c r="Y1673" s="105"/>
      <c r="Z1673" s="105"/>
      <c r="AA1673" s="105"/>
      <c r="AB1673" s="105"/>
      <c r="AC1673" s="105"/>
      <c r="AD1673" s="105"/>
      <c r="AE1673" s="105"/>
      <c r="AF1673" s="105"/>
      <c r="AG1673" s="105"/>
    </row>
    <row r="1674" spans="1:68" ht="15.75" hidden="1" customHeight="1" outlineLevel="1">
      <c r="A1674" s="428"/>
      <c r="B1674" s="99"/>
      <c r="C1674" s="105"/>
      <c r="D1674" s="105"/>
      <c r="E1674" s="105"/>
      <c r="F1674" s="105"/>
      <c r="G1674" s="105"/>
      <c r="H1674" s="105">
        <f>IF($H$1560&gt;0,IPMT('Assumptions (Geo)'!$V$6,Model!W$1,'Assumptions (Geo)'!$V$9,'Assumptions (Geo)'!$V$4*Model!$H$1560*AVERAGE('Assumptions (Geo)'!$D$2:$F$2)/10^9),0)</f>
        <v>-8.7201476425618173E-4</v>
      </c>
      <c r="I1674" s="105">
        <f>IF($H$1560&gt;0,IPMT('Assumptions (Geo)'!$V$6,Model!X$1,'Assumptions (Geo)'!$V$9,'Assumptions (Geo)'!$V$4*Model!$H$1560*AVERAGE('Assumptions (Geo)'!$D$2:$F$2)/10^9),0)</f>
        <v>-8.3083723786497778E-4</v>
      </c>
      <c r="J1674" s="105">
        <f>IF($H$1560&gt;0,IPMT('Assumptions (Geo)'!$V$6,Model!Y$1,'Assumptions (Geo)'!$V$9,'Assumptions (Geo)'!$V$4*Model!$H$1560*AVERAGE('Assumptions (Geo)'!$D$2:$F$2)/10^9),0)</f>
        <v>-7.8770377897019169E-4</v>
      </c>
      <c r="K1674" s="105">
        <f>IF($H$1560&gt;0,IPMT('Assumptions (Geo)'!$V$6,Model!Z$1,'Assumptions (Geo)'!$V$9,'Assumptions (Geo)'!$V$4*Model!$H$1560*AVERAGE('Assumptions (Geo)'!$D$2:$F$2)/10^9),0)</f>
        <v>-7.425214807779036E-4</v>
      </c>
      <c r="L1674" s="105">
        <f>IF($H$1560&gt;0,IPMT('Assumptions (Geo)'!$V$6,Model!AA$1,'Assumptions (Geo)'!$V$9,'Assumptions (Geo)'!$V$4*Model!$H$1560*AVERAGE('Assumptions (Geo)'!$D$2:$F$2)/10^9),0)</f>
        <v>-6.9519302342148153E-4</v>
      </c>
      <c r="M1674" s="105">
        <f>IF($H$1560&gt;0,IPMT('Assumptions (Geo)'!$V$6,Model!AB$1,'Assumptions (Geo)'!$V$9,'Assumptions (Geo)'!$V$4*Model!$H$1560*AVERAGE('Assumptions (Geo)'!$D$2:$F$2)/10^9),0)</f>
        <v>-6.4561646434062954E-4</v>
      </c>
      <c r="N1674" s="105">
        <f>IF($H$1560&gt;0,IPMT('Assumptions (Geo)'!$V$6,Model!AC$1,'Assumptions (Geo)'!$V$9,'Assumptions (Geo)'!$V$4*Model!$H$1560*AVERAGE('Assumptions (Geo)'!$D$2:$F$2)/10^9),0)</f>
        <v>-5.9368501870343696E-4</v>
      </c>
      <c r="O1674" s="105">
        <f>IF($H$1560&gt;0,IPMT('Assumptions (Geo)'!$V$6,Model!AD$1,'Assumptions (Geo)'!$V$9,'Assumptions (Geo)'!$V$4*Model!$H$1560*AVERAGE('Assumptions (Geo)'!$D$2:$F$2)/10^9),0)</f>
        <v>-5.3928682939847778E-4</v>
      </c>
      <c r="P1674" s="105">
        <f>IF($H$1560&gt;0,IPMT('Assumptions (Geo)'!$V$6,Model!AE$1,'Assumptions (Geo)'!$V$9,'Assumptions (Geo)'!$V$4*Model!$H$1560*AVERAGE('Assumptions (Geo)'!$D$2:$F$2)/10^9),0)</f>
        <v>-4.8230472610153325E-4</v>
      </c>
      <c r="Q1674" s="105">
        <f>IF($H$1560&gt;0,IPMT('Assumptions (Geo)'!$V$6,Model!AF$1,'Assumptions (Geo)'!$V$9,'Assumptions (Geo)'!$V$4*Model!$H$1560*AVERAGE('Assumptions (Geo)'!$D$2:$F$2)/10^9),0)</f>
        <v>-4.2261597289798368E-4</v>
      </c>
      <c r="R1674" s="105">
        <f>IF($H$1560&gt;0,IPMT('Assumptions (Geo)'!$V$6,Model!AG$1,'Assumptions (Geo)'!$V$9,'Assumptions (Geo)'!$V$4*Model!$H$1560*AVERAGE('Assumptions (Geo)'!$D$2:$F$2)/10^9),0)</f>
        <v>-3.600920039172655E-4</v>
      </c>
      <c r="S1674" s="105">
        <f>IF($H$1560&gt;0,IPMT('Assumptions (Geo)'!$V$6,Model!AH$1,'Assumptions (Geo)'!$V$9,'Assumptions (Geo)'!$V$4*Model!$H$1560*AVERAGE('Assumptions (Geo)'!$D$2:$F$2)/10^9),0)</f>
        <v>-2.9459814640996323E-4</v>
      </c>
      <c r="T1674" s="105">
        <f>IF($H$1560&gt;0,IPMT('Assumptions (Geo)'!$V$6,Model!AI$1,'Assumptions (Geo)'!$V$9,'Assumptions (Geo)'!$V$4*Model!$H$1560*AVERAGE('Assumptions (Geo)'!$D$2:$F$2)/10^9),0)</f>
        <v>-2.2599333067106403E-4</v>
      </c>
      <c r="U1674" s="105">
        <f>IF($H$1560&gt;0,IPMT('Assumptions (Geo)'!$V$6,Model!AJ$1,'Assumptions (Geo)'!$V$9,'Assumptions (Geo)'!$V$4*Model!$H$1560*AVERAGE('Assumptions (Geo)'!$D$2:$F$2)/10^9),0)</f>
        <v>-1.5412978618456718E-4</v>
      </c>
      <c r="V1674" s="105">
        <f>IF($H$1560&gt;0,IPMT('Assumptions (Geo)'!$V$6,Model!AK$1,'Assumptions (Geo)'!$V$9,'Assumptions (Geo)'!$V$4*Model!$H$1560*AVERAGE('Assumptions (Geo)'!$D$2:$F$2)/10^9),0)</f>
        <v>-7.8852723334961708E-5</v>
      </c>
      <c r="W1674" s="105"/>
      <c r="X1674" s="105"/>
      <c r="Y1674" s="105"/>
      <c r="Z1674" s="105"/>
      <c r="AA1674" s="105"/>
      <c r="AB1674" s="105"/>
      <c r="AC1674" s="105"/>
      <c r="AD1674" s="105"/>
      <c r="AE1674" s="105"/>
      <c r="AF1674" s="105"/>
      <c r="AG1674" s="105"/>
    </row>
    <row r="1675" spans="1:68" ht="15.75" hidden="1" customHeight="1" outlineLevel="1">
      <c r="A1675" s="428"/>
      <c r="B1675" s="99"/>
      <c r="C1675" s="105"/>
      <c r="D1675" s="105"/>
      <c r="E1675" s="105"/>
      <c r="F1675" s="105"/>
      <c r="G1675" s="105"/>
      <c r="H1675" s="105"/>
      <c r="I1675" s="105">
        <f>IF($I$1560&gt;0,IPMT('Assumptions (Geo)'!$V$6,Model!W$1,'Assumptions (Geo)'!$V$9,'Assumptions (Geo)'!$V$4*Model!$I$1560*AVERAGE('Assumptions (Geo)'!$E$2:$G$2)/10^9),0)</f>
        <v>-1.5394414492061056E-3</v>
      </c>
      <c r="J1675" s="105">
        <f>IF($I$1560&gt;0,IPMT('Assumptions (Geo)'!$V$6,Model!X$1,'Assumptions (Geo)'!$V$9,'Assumptions (Geo)'!$V$4*Model!$I$1560*AVERAGE('Assumptions (Geo)'!$E$2:$G$2)/10^9),0)</f>
        <v>-1.4667472776154801E-3</v>
      </c>
      <c r="K1675" s="105">
        <f>IF($I$1560&gt;0,IPMT('Assumptions (Geo)'!$V$6,Model!Y$1,'Assumptions (Geo)'!$V$9,'Assumptions (Geo)'!$V$4*Model!$I$1560*AVERAGE('Assumptions (Geo)'!$E$2:$G$2)/10^9),0)</f>
        <v>-1.3906001328743E-3</v>
      </c>
      <c r="L1675" s="105">
        <f>IF($I$1560&gt;0,IPMT('Assumptions (Geo)'!$V$6,Model!Z$1,'Assumptions (Geo)'!$V$9,'Assumptions (Geo)'!$V$4*Model!$I$1560*AVERAGE('Assumptions (Geo)'!$E$2:$G$2)/10^9),0)</f>
        <v>-1.3108359987579143E-3</v>
      </c>
      <c r="M1675" s="105">
        <f>IF($I$1560&gt;0,IPMT('Assumptions (Geo)'!$V$6,Model!AA$1,'Assumptions (Geo)'!$V$9,'Assumptions (Geo)'!$V$4*Model!$I$1560*AVERAGE('Assumptions (Geo)'!$E$2:$G$2)/10^9),0)</f>
        <v>-1.2272830682710002E-3</v>
      </c>
      <c r="N1675" s="105">
        <f>IF($I$1560&gt;0,IPMT('Assumptions (Geo)'!$V$6,Model!AB$1,'Assumptions (Geo)'!$V$9,'Assumptions (Geo)'!$V$4*Model!$I$1560*AVERAGE('Assumptions (Geo)'!$E$2:$G$2)/10^9),0)</f>
        <v>-1.1397613735859577E-3</v>
      </c>
      <c r="O1675" s="105">
        <f>IF($I$1560&gt;0,IPMT('Assumptions (Geo)'!$V$6,Model!AC$1,'Assumptions (Geo)'!$V$9,'Assumptions (Geo)'!$V$4*Model!$I$1560*AVERAGE('Assumptions (Geo)'!$E$2:$G$2)/10^9),0)</f>
        <v>-1.0480823984033755E-3</v>
      </c>
      <c r="P1675" s="105">
        <f>IF($I$1560&gt;0,IPMT('Assumptions (Geo)'!$V$6,Model!AD$1,'Assumptions (Geo)'!$V$9,'Assumptions (Geo)'!$V$4*Model!$I$1560*AVERAGE('Assumptions (Geo)'!$E$2:$G$2)/10^9),0)</f>
        <v>-9.5204867189962051E-4</v>
      </c>
      <c r="Q1675" s="105">
        <f>IF($I$1560&gt;0,IPMT('Assumptions (Geo)'!$V$6,Model!AE$1,'Assumptions (Geo)'!$V$9,'Assumptions (Geo)'!$V$4*Model!$I$1560*AVERAGE('Assumptions (Geo)'!$E$2:$G$2)/10^9),0)</f>
        <v>-8.5145334338693765E-4</v>
      </c>
      <c r="R1675" s="105">
        <f>IF($I$1560&gt;0,IPMT('Assumptions (Geo)'!$V$6,Model!AF$1,'Assumptions (Geo)'!$V$9,'Assumptions (Geo)'!$V$4*Model!$I$1560*AVERAGE('Assumptions (Geo)'!$E$2:$G$2)/10^9),0)</f>
        <v>-7.4607973676990189E-4</v>
      </c>
      <c r="S1675" s="105">
        <f>IF($I$1560&gt;0,IPMT('Assumptions (Geo)'!$V$6,Model!AG$1,'Assumptions (Geo)'!$V$9,'Assumptions (Geo)'!$V$4*Model!$I$1560*AVERAGE('Assumptions (Geo)'!$E$2:$G$2)/10^9),0)</f>
        <v>-6.3570088383855714E-4</v>
      </c>
      <c r="T1675" s="105">
        <f>IF($I$1560&gt;0,IPMT('Assumptions (Geo)'!$V$6,Model!AH$1,'Assumptions (Geo)'!$V$9,'Assumptions (Geo)'!$V$4*Model!$I$1560*AVERAGE('Assumptions (Geo)'!$E$2:$G$2)/10^9),0)</f>
        <v>-5.2007903539297361E-4</v>
      </c>
      <c r="U1675" s="105">
        <f>IF($I$1560&gt;0,IPMT('Assumptions (Geo)'!$V$6,Model!AI$1,'Assumptions (Geo)'!$V$9,'Assumptions (Geo)'!$V$4*Model!$I$1560*AVERAGE('Assumptions (Geo)'!$E$2:$G$2)/10^9),0)</f>
        <v>-3.989651491462246E-4</v>
      </c>
      <c r="V1675" s="105">
        <f>IF($I$1560&gt;0,IPMT('Assumptions (Geo)'!$V$6,Model!AJ$1,'Assumptions (Geo)'!$V$9,'Assumptions (Geo)'!$V$4*Model!$I$1560*AVERAGE('Assumptions (Geo)'!$E$2:$G$2)/10^9),0)</f>
        <v>-2.7209835330275513E-4</v>
      </c>
      <c r="W1675" s="105">
        <f>IF($I$1560&gt;0,IPMT('Assumptions (Geo)'!$V$6,Model!AK$1,'Assumptions (Geo)'!$V$9,'Assumptions (Geo)'!$V$4*Model!$I$1560*AVERAGE('Assumptions (Geo)'!$E$2:$G$2)/10^9),0)</f>
        <v>-1.3920538465672088E-4</v>
      </c>
      <c r="X1675" s="105"/>
      <c r="Y1675" s="105"/>
      <c r="Z1675" s="105"/>
      <c r="AA1675" s="105"/>
      <c r="AB1675" s="105"/>
      <c r="AC1675" s="105"/>
      <c r="AD1675" s="105"/>
      <c r="AE1675" s="105"/>
      <c r="AF1675" s="105"/>
      <c r="AG1675" s="105"/>
    </row>
    <row r="1676" spans="1:68" ht="15.75" hidden="1" customHeight="1" outlineLevel="1">
      <c r="A1676" s="428"/>
      <c r="B1676" s="99"/>
      <c r="C1676" s="105"/>
      <c r="D1676" s="105"/>
      <c r="E1676" s="105"/>
      <c r="F1676" s="105"/>
      <c r="G1676" s="105"/>
      <c r="H1676" s="105"/>
      <c r="I1676" s="105"/>
      <c r="J1676" s="105">
        <f>IF($J$1560&gt;0,IPMT('Assumptions (Geo)'!$V$6,Model!W$1,'Assumptions (Geo)'!$V$9,'Assumptions (Geo)'!$V$4*Model!$J$1560*AVERAGE('Assumptions (Geo)'!$F$2:$H$2)/10^9),0)</f>
        <v>-1.9773270169802866E-3</v>
      </c>
      <c r="K1676" s="105">
        <f>IF($J$1560&gt;0,IPMT('Assumptions (Geo)'!$V$6,Model!X$1,'Assumptions (Geo)'!$V$9,'Assumptions (Geo)'!$V$4*Model!$J$1560*AVERAGE('Assumptions (Geo)'!$F$2:$H$2)/10^9),0)</f>
        <v>-1.8839553921372169E-3</v>
      </c>
      <c r="L1676" s="105">
        <f>IF($J$1560&gt;0,IPMT('Assumptions (Geo)'!$V$6,Model!Y$1,'Assumptions (Geo)'!$V$9,'Assumptions (Geo)'!$V$4*Model!$J$1560*AVERAGE('Assumptions (Geo)'!$F$2:$H$2)/10^9),0)</f>
        <v>-1.7861486151141011E-3</v>
      </c>
      <c r="M1676" s="105">
        <f>IF($J$1560&gt;0,IPMT('Assumptions (Geo)'!$V$6,Model!Z$1,'Assumptions (Geo)'!$V$9,'Assumptions (Geo)'!$V$4*Model!$J$1560*AVERAGE('Assumptions (Geo)'!$F$2:$H$2)/10^9),0)</f>
        <v>-1.683696016182388E-3</v>
      </c>
      <c r="N1676" s="105">
        <f>IF($J$1560&gt;0,IPMT('Assumptions (Geo)'!$V$6,Model!AA$1,'Assumptions (Geo)'!$V$9,'Assumptions (Geo)'!$V$4*Model!$J$1560*AVERAGE('Assumptions (Geo)'!$F$2:$H$2)/10^9),0)</f>
        <v>-1.5763769188014182E-3</v>
      </c>
      <c r="O1676" s="105">
        <f>IF($J$1560&gt;0,IPMT('Assumptions (Geo)'!$V$6,Model!AB$1,'Assumptions (Geo)'!$V$9,'Assumptions (Geo)'!$V$4*Model!$J$1560*AVERAGE('Assumptions (Geo)'!$F$2:$H$2)/10^9),0)</f>
        <v>-1.4639601642948523E-3</v>
      </c>
      <c r="P1676" s="105">
        <f>IF($J$1560&gt;0,IPMT('Assumptions (Geo)'!$V$6,Model!AC$1,'Assumptions (Geo)'!$V$9,'Assumptions (Geo)'!$V$4*Model!$J$1560*AVERAGE('Assumptions (Geo)'!$F$2:$H$2)/10^9),0)</f>
        <v>-1.3462036139492246E-3</v>
      </c>
      <c r="Q1676" s="105">
        <f>IF($J$1560&gt;0,IPMT('Assumptions (Geo)'!$V$6,Model!AD$1,'Assumptions (Geo)'!$V$9,'Assumptions (Geo)'!$V$4*Model!$J$1560*AVERAGE('Assumptions (Geo)'!$F$2:$H$2)/10^9),0)</f>
        <v>-1.2228536274621795E-3</v>
      </c>
      <c r="R1676" s="105">
        <f>IF($J$1560&gt;0,IPMT('Assumptions (Geo)'!$V$6,Model!AE$1,'Assumptions (Geo)'!$V$9,'Assumptions (Geo)'!$V$4*Model!$J$1560*AVERAGE('Assumptions (Geo)'!$F$2:$H$2)/10^9),0)</f>
        <v>-1.093644516617E-3</v>
      </c>
      <c r="S1676" s="105">
        <f>IF($J$1560&gt;0,IPMT('Assumptions (Geo)'!$V$6,Model!AF$1,'Assumptions (Geo)'!$V$9,'Assumptions (Geo)'!$V$4*Model!$J$1560*AVERAGE('Assumptions (Geo)'!$F$2:$H$2)/10^9),0)</f>
        <v>-9.5829797300667435E-4</v>
      </c>
      <c r="T1676" s="105">
        <f>IF($J$1560&gt;0,IPMT('Assumptions (Geo)'!$V$6,Model!AG$1,'Assumptions (Geo)'!$V$9,'Assumptions (Geo)'!$V$4*Model!$J$1560*AVERAGE('Assumptions (Geo)'!$F$2:$H$2)/10^9),0)</f>
        <v>-8.1652246857485803E-4</v>
      </c>
      <c r="U1676" s="105">
        <f>IF($J$1560&gt;0,IPMT('Assumptions (Geo)'!$V$6,Model!AH$1,'Assumptions (Geo)'!$V$9,'Assumptions (Geo)'!$V$4*Model!$J$1560*AVERAGE('Assumptions (Geo)'!$F$2:$H$2)/10^9),0)</f>
        <v>-6.6801262768253057E-4</v>
      </c>
      <c r="V1676" s="105">
        <f>IF($J$1560&gt;0,IPMT('Assumptions (Geo)'!$V$6,Model!AI$1,'Assumptions (Geo)'!$V$9,'Assumptions (Geo)'!$V$4*Model!$J$1560*AVERAGE('Assumptions (Geo)'!$F$2:$H$2)/10^9),0)</f>
        <v>-5.1244856934781746E-4</v>
      </c>
      <c r="W1676" s="105">
        <f>IF($J$1560&gt;0,IPMT('Assumptions (Geo)'!$V$6,Model!AJ$1,'Assumptions (Geo)'!$V$9,'Assumptions (Geo)'!$V$4*Model!$J$1560*AVERAGE('Assumptions (Geo)'!$F$2:$H$2)/10^9),0)</f>
        <v>-3.4949521824220557E-4</v>
      </c>
      <c r="X1676" s="105">
        <f>IF($J$1560&gt;0,IPMT('Assumptions (Geo)'!$V$6,Model!AK$1,'Assumptions (Geo)'!$V$9,'Assumptions (Geo)'!$V$4*Model!$J$1560*AVERAGE('Assumptions (Geo)'!$F$2:$H$2)/10^9),0)</f>
        <v>-1.7880158295907706E-4</v>
      </c>
      <c r="Y1676" s="105"/>
      <c r="Z1676" s="105"/>
      <c r="AA1676" s="105"/>
      <c r="AB1676" s="105"/>
      <c r="AC1676" s="105"/>
      <c r="AD1676" s="105"/>
      <c r="AE1676" s="105"/>
      <c r="AF1676" s="105"/>
      <c r="AG1676" s="105"/>
      <c r="AH1676" s="105"/>
    </row>
    <row r="1677" spans="1:68" ht="15.75" hidden="1" customHeight="1" outlineLevel="1">
      <c r="A1677" s="428"/>
      <c r="B1677" s="99"/>
      <c r="C1677" s="105"/>
      <c r="D1677" s="105"/>
      <c r="E1677" s="105"/>
      <c r="F1677" s="105"/>
      <c r="G1677" s="105"/>
      <c r="H1677" s="105"/>
      <c r="I1677" s="105"/>
      <c r="J1677" s="105"/>
      <c r="K1677" s="105">
        <f>IF($K$1560&gt;0,IPMT('Assumptions (Geo)'!$V$6,Model!W$1,'Assumptions (Geo)'!$V$9,'Assumptions (Geo)'!$V$4*Model!$K$1560*AVERAGE('Assumptions (Geo)'!$G$2:$I$2)/10^9),0)</f>
        <v>-2.2422888372556444E-3</v>
      </c>
      <c r="L1677" s="105">
        <f>IF($K$1560&gt;0,IPMT('Assumptions (Geo)'!$V$6,Model!X$1,'Assumptions (Geo)'!$V$9,'Assumptions (Geo)'!$V$4*Model!$K$1560*AVERAGE('Assumptions (Geo)'!$G$2:$I$2)/10^9),0)</f>
        <v>-2.1364054146836031E-3</v>
      </c>
      <c r="M1677" s="105">
        <f>IF($K$1560&gt;0,IPMT('Assumptions (Geo)'!$V$6,Model!Y$1,'Assumptions (Geo)'!$V$9,'Assumptions (Geo)'!$V$4*Model!$K$1560*AVERAGE('Assumptions (Geo)'!$G$2:$I$2)/10^9),0)</f>
        <v>-2.02549252953939E-3</v>
      </c>
      <c r="N1677" s="105">
        <f>IF($K$1560&gt;0,IPMT('Assumptions (Geo)'!$V$6,Model!Z$1,'Assumptions (Geo)'!$V$9,'Assumptions (Geo)'!$V$4*Model!$K$1560*AVERAGE('Assumptions (Geo)'!$G$2:$I$2)/10^9),0)</f>
        <v>-1.9093112823508273E-3</v>
      </c>
      <c r="O1677" s="105">
        <f>IF($K$1560&gt;0,IPMT('Assumptions (Geo)'!$V$6,Model!AA$1,'Assumptions (Geo)'!$V$9,'Assumptions (Geo)'!$V$4*Model!$K$1560*AVERAGE('Assumptions (Geo)'!$G$2:$I$2)/10^9),0)</f>
        <v>-1.7876114259208075E-3</v>
      </c>
      <c r="P1677" s="105">
        <f>IF($K$1560&gt;0,IPMT('Assumptions (Geo)'!$V$6,Model!AB$1,'Assumptions (Geo)'!$V$9,'Assumptions (Geo)'!$V$4*Model!$K$1560*AVERAGE('Assumptions (Geo)'!$G$2:$I$2)/10^9),0)</f>
        <v>-1.6601308263103618E-3</v>
      </c>
      <c r="Q1677" s="105">
        <f>IF($K$1560&gt;0,IPMT('Assumptions (Geo)'!$V$6,Model!AC$1,'Assumptions (Geo)'!$V$9,'Assumptions (Geo)'!$V$4*Model!$K$1560*AVERAGE('Assumptions (Geo)'!$G$2:$I$2)/10^9),0)</f>
        <v>-1.52659489821842E-3</v>
      </c>
      <c r="R1677" s="105">
        <f>IF($K$1560&gt;0,IPMT('Assumptions (Geo)'!$V$6,Model!AD$1,'Assumptions (Geo)'!$V$9,'Assumptions (Geo)'!$V$4*Model!$K$1560*AVERAGE('Assumptions (Geo)'!$G$2:$I$2)/10^9),0)</f>
        <v>-1.3867160135421109E-3</v>
      </c>
      <c r="S1677" s="105">
        <f>IF($K$1560&gt;0,IPMT('Assumptions (Geo)'!$V$6,Model!AE$1,'Assumptions (Geo)'!$V$9,'Assumptions (Geo)'!$V$4*Model!$K$1560*AVERAGE('Assumptions (Geo)'!$G$2:$I$2)/10^9),0)</f>
        <v>-1.2401928818436775E-3</v>
      </c>
      <c r="T1677" s="105">
        <f>IF($K$1560&gt;0,IPMT('Assumptions (Geo)'!$V$6,Model!AF$1,'Assumptions (Geo)'!$V$9,'Assumptions (Geo)'!$V$4*Model!$K$1560*AVERAGE('Assumptions (Geo)'!$G$2:$I$2)/10^9),0)</f>
        <v>-1.0867099013895682E-3</v>
      </c>
      <c r="U1677" s="105">
        <f>IF($K$1560&gt;0,IPMT('Assumptions (Geo)'!$V$6,Model!AG$1,'Assumptions (Geo)'!$V$9,'Assumptions (Geo)'!$V$4*Model!$K$1560*AVERAGE('Assumptions (Geo)'!$G$2:$I$2)/10^9),0)</f>
        <v>-9.2593647936388857E-4</v>
      </c>
      <c r="V1677" s="105">
        <f>IF($K$1560&gt;0,IPMT('Assumptions (Geo)'!$V$6,Model!AH$1,'Assumptions (Geo)'!$V$9,'Assumptions (Geo)'!$V$4*Model!$K$1560*AVERAGE('Assumptions (Geo)'!$G$2:$I$2)/10^9),0)</f>
        <v>-7.5752631979198945E-4</v>
      </c>
      <c r="W1677" s="105">
        <f>IF($K$1560&gt;0,IPMT('Assumptions (Geo)'!$V$6,Model!AI$1,'Assumptions (Geo)'!$V$9,'Assumptions (Geo)'!$V$4*Model!$K$1560*AVERAGE('Assumptions (Geo)'!$G$2:$I$2)/10^9),0)</f>
        <v>-5.811166776404248E-4</v>
      </c>
      <c r="X1677" s="105">
        <f>IF($K$1560&gt;0,IPMT('Assumptions (Geo)'!$V$6,Model!AJ$1,'Assumptions (Geo)'!$V$9,'Assumptions (Geo)'!$V$4*Model!$K$1560*AVERAGE('Assumptions (Geo)'!$G$2:$I$2)/10^9),0)</f>
        <v>-3.963275774866609E-4</v>
      </c>
      <c r="Y1677" s="105">
        <f>IF($K$1560&gt;0,IPMT('Assumptions (Geo)'!$V$6,Model!AK$1,'Assumptions (Geo)'!$V$9,'Assumptions (Geo)'!$V$4*Model!$K$1560*AVERAGE('Assumptions (Geo)'!$G$2:$I$2)/10^9),0)</f>
        <v>-2.0276099507559334E-4</v>
      </c>
      <c r="Z1677" s="105"/>
      <c r="AA1677" s="105"/>
      <c r="AB1677" s="105"/>
      <c r="AC1677" s="105"/>
      <c r="AD1677" s="105"/>
      <c r="AE1677" s="105"/>
      <c r="AF1677" s="105"/>
      <c r="AG1677" s="105"/>
      <c r="AH1677" s="105"/>
      <c r="AI1677" s="105"/>
    </row>
    <row r="1678" spans="1:68" ht="15.75" hidden="1" customHeight="1" outlineLevel="1">
      <c r="A1678" s="428"/>
      <c r="B1678" s="99"/>
      <c r="C1678" s="105"/>
      <c r="D1678" s="105"/>
      <c r="E1678" s="105"/>
      <c r="F1678" s="105"/>
      <c r="G1678" s="105"/>
      <c r="H1678" s="105"/>
      <c r="I1678" s="105"/>
      <c r="J1678" s="105"/>
      <c r="K1678" s="105"/>
      <c r="L1678" s="105">
        <f>IF($L$1560&gt;0,IPMT('Assumptions (Geo)'!$V$6,Model!W$1,'Assumptions (Geo)'!$V$9,'Assumptions (Geo)'!$V$4*Model!$L$1560*AVERAGE('Assumptions (Geo)'!$H$2:$J$2)/10^9),0)</f>
        <v>-9.8988154193260305E-3</v>
      </c>
      <c r="M1678" s="105">
        <f>IF($L$1560&gt;0,IPMT('Assumptions (Geo)'!$V$6,Model!X$1,'Assumptions (Geo)'!$V$9,'Assumptions (Geo)'!$V$4*Model!$L$1560*AVERAGE('Assumptions (Geo)'!$H$2:$J$2)/10^9),0)</f>
        <v>-9.4313821259016488E-3</v>
      </c>
      <c r="N1678" s="105">
        <f>IF($L$1560&gt;0,IPMT('Assumptions (Geo)'!$V$6,Model!Y$1,'Assumptions (Geo)'!$V$9,'Assumptions (Geo)'!$V$4*Model!$L$1560*AVERAGE('Assumptions (Geo)'!$H$2:$J$2)/10^9),0)</f>
        <v>-8.9417457510396064E-3</v>
      </c>
      <c r="O1678" s="105">
        <f>IF($L$1560&gt;0,IPMT('Assumptions (Geo)'!$V$6,Model!Z$1,'Assumptions (Geo)'!$V$9,'Assumptions (Geo)'!$V$4*Model!$L$1560*AVERAGE('Assumptions (Geo)'!$H$2:$J$2)/10^9),0)</f>
        <v>-8.4288516483716214E-3</v>
      </c>
      <c r="P1678" s="105">
        <f>IF($L$1560&gt;0,IPMT('Assumptions (Geo)'!$V$6,Model!AA$1,'Assumptions (Geo)'!$V$9,'Assumptions (Geo)'!$V$4*Model!$L$1560*AVERAGE('Assumptions (Geo)'!$H$2:$J$2)/10^9),0)</f>
        <v>-7.8915950758269068E-3</v>
      </c>
      <c r="Q1678" s="105">
        <f>IF($L$1560&gt;0,IPMT('Assumptions (Geo)'!$V$6,Model!AB$1,'Assumptions (Geo)'!$V$9,'Assumptions (Geo)'!$V$4*Model!$L$1560*AVERAGE('Assumptions (Geo)'!$H$2:$J$2)/10^9),0)</f>
        <v>-7.3288188160863165E-3</v>
      </c>
      <c r="R1678" s="105">
        <f>IF($L$1560&gt;0,IPMT('Assumptions (Geo)'!$V$6,Model!AC$1,'Assumptions (Geo)'!$V$9,'Assumptions (Geo)'!$V$4*Model!$L$1560*AVERAGE('Assumptions (Geo)'!$H$2:$J$2)/10^9),0)</f>
        <v>-6.7393106840080482E-3</v>
      </c>
      <c r="S1678" s="105">
        <f>IF($L$1560&gt;0,IPMT('Assumptions (Geo)'!$V$6,Model!AD$1,'Assumptions (Geo)'!$V$9,'Assumptions (Geo)'!$V$4*Model!$L$1560*AVERAGE('Assumptions (Geo)'!$H$2:$J$2)/10^9),0)</f>
        <v>-6.1218009156560624E-3</v>
      </c>
      <c r="T1678" s="105">
        <f>IF($L$1560&gt;0,IPMT('Assumptions (Geo)'!$V$6,Model!AE$1,'Assumptions (Geo)'!$V$9,'Assumptions (Geo)'!$V$4*Model!$L$1560*AVERAGE('Assumptions (Geo)'!$H$2:$J$2)/10^9),0)</f>
        <v>-5.4749594333073593E-3</v>
      </c>
      <c r="U1678" s="105">
        <f>IF($L$1560&gt;0,IPMT('Assumptions (Geo)'!$V$6,Model!AF$1,'Assumptions (Geo)'!$V$9,'Assumptions (Geo)'!$V$4*Model!$L$1560*AVERAGE('Assumptions (Geo)'!$H$2:$J$2)/10^9),0)</f>
        <v>-4.7973929805470907E-3</v>
      </c>
      <c r="V1678" s="105">
        <f>IF($L$1560&gt;0,IPMT('Assumptions (Geo)'!$V$6,Model!AG$1,'Assumptions (Geo)'!$V$9,'Assumptions (Geo)'!$V$4*Model!$L$1560*AVERAGE('Assumptions (Geo)'!$H$2:$J$2)/10^9),0)</f>
        <v>-4.0876421212807101E-3</v>
      </c>
      <c r="W1678" s="105">
        <f>IF($L$1560&gt;0,IPMT('Assumptions (Geo)'!$V$6,Model!AH$1,'Assumptions (Geo)'!$V$9,'Assumptions (Geo)'!$V$4*Model!$L$1560*AVERAGE('Assumptions (Geo)'!$H$2:$J$2)/10^9),0)</f>
        <v>-3.3441780961991768E-3</v>
      </c>
      <c r="X1678" s="105">
        <f>IF($L$1560&gt;0,IPMT('Assumptions (Geo)'!$V$6,Model!AI$1,'Assumptions (Geo)'!$V$9,'Assumptions (Geo)'!$V$4*Model!$L$1560*AVERAGE('Assumptions (Geo)'!$H$2:$J$2)/10^9),0)</f>
        <v>-2.5653995299262694E-3</v>
      </c>
      <c r="Y1678" s="105">
        <f>IF($L$1560&gt;0,IPMT('Assumptions (Geo)'!$V$6,Model!AJ$1,'Assumptions (Geo)'!$V$9,'Assumptions (Geo)'!$V$4*Model!$L$1560*AVERAGE('Assumptions (Geo)'!$H$2:$J$2)/10^9),0)</f>
        <v>-1.7496289817553992E-3</v>
      </c>
      <c r="Z1678" s="105">
        <f>IF($L$1560&gt;0,IPMT('Assumptions (Geo)'!$V$6,Model!AK$1,'Assumptions (Geo)'!$V$9,'Assumptions (Geo)'!$V$4*Model!$L$1560*AVERAGE('Assumptions (Geo)'!$H$2:$J$2)/10^9),0)</f>
        <v>-8.9510933254641309E-4</v>
      </c>
      <c r="AA1678" s="105"/>
      <c r="AB1678" s="105"/>
      <c r="AC1678" s="105"/>
      <c r="AD1678" s="105"/>
      <c r="AE1678" s="105"/>
      <c r="AF1678" s="105"/>
      <c r="AG1678" s="105"/>
      <c r="AH1678" s="105"/>
      <c r="AI1678" s="105"/>
      <c r="AJ1678" s="105"/>
    </row>
    <row r="1679" spans="1:68" ht="15.75" hidden="1" customHeight="1" outlineLevel="1">
      <c r="A1679" s="428"/>
      <c r="B1679" s="99"/>
      <c r="C1679" s="105"/>
      <c r="D1679" s="105"/>
      <c r="E1679" s="105"/>
      <c r="F1679" s="105"/>
      <c r="G1679" s="105"/>
      <c r="H1679" s="105"/>
      <c r="I1679" s="105"/>
      <c r="J1679" s="105"/>
      <c r="K1679" s="105"/>
      <c r="L1679" s="105"/>
      <c r="M1679" s="105">
        <f>IF($M$1560&gt;0,IPMT('Assumptions (Geo)'!$V$6,Model!W$1,'Assumptions (Geo)'!$V$9,'Assumptions (Geo)'!$V$4*Model!$M$1560*AVERAGE('Assumptions (Geo)'!$I$2:$K$2)/10^9),0)</f>
        <v>-7.7145413567485891E-4</v>
      </c>
      <c r="N1679" s="105">
        <f>IF($M$1560&gt;0,IPMT('Assumptions (Geo)'!$V$6,Model!X$1,'Assumptions (Geo)'!$V$9,'Assumptions (Geo)'!$V$4*Model!$M$1560*AVERAGE('Assumptions (Geo)'!$I$2:$K$2)/10^9),0)</f>
        <v>-7.3502519624233525E-4</v>
      </c>
      <c r="O1679" s="105">
        <f>IF($M$1560&gt;0,IPMT('Assumptions (Geo)'!$V$6,Model!Y$1,'Assumptions (Geo)'!$V$9,'Assumptions (Geo)'!$V$4*Model!$M$1560*AVERAGE('Assumptions (Geo)'!$I$2:$K$2)/10^9),0)</f>
        <v>-6.9686588218676663E-4</v>
      </c>
      <c r="P1679" s="105">
        <f>IF($M$1560&gt;0,IPMT('Assumptions (Geo)'!$V$6,Model!Z$1,'Assumptions (Geo)'!$V$9,'Assumptions (Geo)'!$V$4*Model!$M$1560*AVERAGE('Assumptions (Geo)'!$I$2:$K$2)/10^9),0)</f>
        <v>-6.5689400071355876E-4</v>
      </c>
      <c r="Q1679" s="105">
        <f>IF($M$1560&gt;0,IPMT('Assumptions (Geo)'!$V$6,Model!AA$1,'Assumptions (Geo)'!$V$9,'Assumptions (Geo)'!$V$4*Model!$M$1560*AVERAGE('Assumptions (Geo)'!$I$2:$K$2)/10^9),0)</f>
        <v>-6.1502345487037327E-4</v>
      </c>
      <c r="R1679" s="105">
        <f>IF($M$1560&gt;0,IPMT('Assumptions (Geo)'!$V$6,Model!AB$1,'Assumptions (Geo)'!$V$9,'Assumptions (Geo)'!$V$4*Model!$M$1560*AVERAGE('Assumptions (Geo)'!$I$2:$K$2)/10^9),0)</f>
        <v>-5.7116405809963663E-4</v>
      </c>
      <c r="S1679" s="105">
        <f>IF($M$1560&gt;0,IPMT('Assumptions (Geo)'!$V$6,Model!AC$1,'Assumptions (Geo)'!$V$9,'Assumptions (Geo)'!$V$4*Model!$M$1560*AVERAGE('Assumptions (Geo)'!$I$2:$K$2)/10^9),0)</f>
        <v>-5.2522133998229002E-4</v>
      </c>
      <c r="T1679" s="105">
        <f>IF($M$1560&gt;0,IPMT('Assumptions (Geo)'!$V$6,Model!AD$1,'Assumptions (Geo)'!$V$9,'Assumptions (Geo)'!$V$4*Model!$M$1560*AVERAGE('Assumptions (Geo)'!$I$2:$K$2)/10^9),0)</f>
        <v>-4.7709634275436931E-4</v>
      </c>
      <c r="U1679" s="105">
        <f>IF($M$1560&gt;0,IPMT('Assumptions (Geo)'!$V$6,Model!AE$1,'Assumptions (Geo)'!$V$9,'Assumptions (Geo)'!$V$4*Model!$M$1560*AVERAGE('Assumptions (Geo)'!$I$2:$K$2)/10^9),0)</f>
        <v>-4.2668540815812253E-4</v>
      </c>
      <c r="V1679" s="105">
        <f>IF($M$1560&gt;0,IPMT('Assumptions (Geo)'!$V$6,Model!AF$1,'Assumptions (Geo)'!$V$9,'Assumptions (Geo)'!$V$4*Model!$M$1560*AVERAGE('Assumptions (Geo)'!$I$2:$K$2)/10^9),0)</f>
        <v>-3.7387995416855399E-4</v>
      </c>
      <c r="W1679" s="105">
        <f>IF($M$1560&gt;0,IPMT('Assumptions (Geo)'!$V$6,Model!AG$1,'Assumptions (Geo)'!$V$9,'Assumptions (Geo)'!$V$4*Model!$M$1560*AVERAGE('Assumptions (Geo)'!$I$2:$K$2)/10^9),0)</f>
        <v>-3.1856624111448086E-4</v>
      </c>
      <c r="X1679" s="105">
        <f>IF($M$1560&gt;0,IPMT('Assumptions (Geo)'!$V$6,Model!AH$1,'Assumptions (Geo)'!$V$9,'Assumptions (Geo)'!$V$4*Model!$M$1560*AVERAGE('Assumptions (Geo)'!$I$2:$K$2)/10^9),0)</f>
        <v>-2.6062512669033932E-4</v>
      </c>
      <c r="Y1679" s="105">
        <f>IF($M$1560&gt;0,IPMT('Assumptions (Geo)'!$V$6,Model!AI$1,'Assumptions (Geo)'!$V$9,'Assumptions (Geo)'!$V$4*Model!$M$1560*AVERAGE('Assumptions (Geo)'!$I$2:$K$2)/10^9),0)</f>
        <v>-1.99931809331051E-4</v>
      </c>
      <c r="Z1679" s="105">
        <f>IF($M$1560&gt;0,IPMT('Assumptions (Geo)'!$V$6,Model!AJ$1,'Assumptions (Geo)'!$V$9,'Assumptions (Geo)'!$V$4*Model!$M$1560*AVERAGE('Assumptions (Geo)'!$I$2:$K$2)/10^9),0)</f>
        <v>-1.3635555939719648E-4</v>
      </c>
      <c r="AA1679" s="105">
        <f>IF($M$1560&gt;0,IPMT('Assumptions (Geo)'!$V$6,Model!AK$1,'Assumptions (Geo)'!$V$9,'Assumptions (Geo)'!$V$4*Model!$M$1560*AVERAGE('Assumptions (Geo)'!$I$2:$K$2)/10^9),0)</f>
        <v>-6.9759437591483916E-5</v>
      </c>
      <c r="AB1679" s="105"/>
      <c r="AC1679" s="105"/>
      <c r="AD1679" s="105"/>
      <c r="AE1679" s="105"/>
      <c r="AF1679" s="105"/>
      <c r="AG1679" s="105"/>
      <c r="AH1679" s="105"/>
      <c r="AI1679" s="105"/>
      <c r="AJ1679" s="105"/>
      <c r="AK1679" s="105"/>
    </row>
    <row r="1680" spans="1:68" ht="15.75" hidden="1" customHeight="1" outlineLevel="1">
      <c r="A1680" s="428"/>
      <c r="B1680" s="99"/>
      <c r="C1680" s="105"/>
      <c r="D1680" s="105"/>
      <c r="E1680" s="105"/>
      <c r="F1680" s="105"/>
      <c r="G1680" s="105"/>
      <c r="H1680" s="105"/>
      <c r="I1680" s="105"/>
      <c r="J1680" s="105"/>
      <c r="K1680" s="105"/>
      <c r="L1680" s="105"/>
      <c r="M1680" s="105"/>
      <c r="N1680" s="91">
        <f>IF($N$1560&gt;0,IPMT('Assumptions (Geo)'!$V$6,Model!W$1,'Assumptions (Geo)'!$V$9,'Assumptions (Geo)'!$V$4*Model!$N$1560*AVERAGE('Assumptions (Geo)'!$J$2:$L$2)/10^9),0)</f>
        <v>-1.825569066660986E-4</v>
      </c>
      <c r="O1680" s="91">
        <f>IF($N$1560&gt;0,IPMT('Assumptions (Geo)'!$V$6,Model!X$1,'Assumptions (Geo)'!$V$9,'Assumptions (Geo)'!$V$4*Model!$N$1560*AVERAGE('Assumptions (Geo)'!$J$2:$L$2)/10^9),0)</f>
        <v>-1.7393636243878617E-4</v>
      </c>
      <c r="P1680" s="91">
        <f>IF($N$1560&gt;0,IPMT('Assumptions (Geo)'!$V$6,Model!Y$1,'Assumptions (Geo)'!$V$9,'Assumptions (Geo)'!$V$4*Model!$N$1560*AVERAGE('Assumptions (Geo)'!$J$2:$L$2)/10^9),0)</f>
        <v>-1.6490634236067644E-4</v>
      </c>
      <c r="Q1680" s="91">
        <f>IF($N$1560&gt;0,IPMT('Assumptions (Geo)'!$V$6,Model!Z$1,'Assumptions (Geo)'!$V$9,'Assumptions (Geo)'!$V$4*Model!$N$1560*AVERAGE('Assumptions (Geo)'!$J$2:$L$2)/10^9),0)</f>
        <v>-1.554473963288565E-4</v>
      </c>
      <c r="R1680" s="91">
        <f>IF($N$1560&gt;0,IPMT('Assumptions (Geo)'!$V$6,Model!AA$1,'Assumptions (Geo)'!$V$9,'Assumptions (Geo)'!$V$4*Model!$N$1560*AVERAGE('Assumptions (Geo)'!$J$2:$L$2)/10^9),0)</f>
        <v>-1.4553915036052511E-4</v>
      </c>
      <c r="S1680" s="91">
        <f>IF($N$1560&gt;0,IPMT('Assumptions (Geo)'!$V$6,Model!AB$1,'Assumptions (Geo)'!$V$9,'Assumptions (Geo)'!$V$4*Model!$N$1560*AVERAGE('Assumptions (Geo)'!$J$2:$L$2)/10^9),0)</f>
        <v>-1.35160262708698E-4</v>
      </c>
      <c r="T1680" s="91">
        <f>IF($N$1560&gt;0,IPMT('Assumptions (Geo)'!$V$6,Model!AC$1,'Assumptions (Geo)'!$V$9,'Assumptions (Geo)'!$V$4*Model!$N$1560*AVERAGE('Assumptions (Geo)'!$J$2:$L$2)/10^9),0)</f>
        <v>-1.2428837789340907E-4</v>
      </c>
      <c r="U1680" s="91">
        <f>IF($N$1560&gt;0,IPMT('Assumptions (Geo)'!$V$6,Model!AD$1,'Assumptions (Geo)'!$V$9,'Assumptions (Geo)'!$V$4*Model!$N$1560*AVERAGE('Assumptions (Geo)'!$J$2:$L$2)/10^9),0)</f>
        <v>-1.1290007854939394E-4</v>
      </c>
      <c r="V1680" s="91">
        <f>IF($N$1560&gt;0,IPMT('Assumptions (Geo)'!$V$6,Model!AE$1,'Assumptions (Geo)'!$V$9,'Assumptions (Geo)'!$V$4*Model!$N$1560*AVERAGE('Assumptions (Geo)'!$J$2:$L$2)/10^9),0)</f>
        <v>-1.009708349865381E-4</v>
      </c>
      <c r="W1680" s="91">
        <f>IF($N$1560&gt;0,IPMT('Assumptions (Geo)'!$V$6,Model!AF$1,'Assumptions (Geo)'!$V$9,'Assumptions (Geo)'!$V$4*Model!$N$1560*AVERAGE('Assumptions (Geo)'!$J$2:$L$2)/10^9),0)</f>
        <v>-8.8474952354446586E-5</v>
      </c>
      <c r="X1680" s="91">
        <f>IF($N$1560&gt;0,IPMT('Assumptions (Geo)'!$V$6,Model!AG$1,'Assumptions (Geo)'!$V$9,'Assumptions (Geo)'!$V$4*Model!$N$1560*AVERAGE('Assumptions (Geo)'!$J$2:$L$2)/10^9),0)</f>
        <v>-7.5385515297330736E-5</v>
      </c>
      <c r="Y1680" s="91">
        <f>IF($N$1560&gt;0,IPMT('Assumptions (Geo)'!$V$6,Model!AH$1,'Assumptions (Geo)'!$V$9,'Assumptions (Geo)'!$V$4*Model!$N$1560*AVERAGE('Assumptions (Geo)'!$J$2:$L$2)/10^9),0)</f>
        <v>-6.167432998000188E-5</v>
      </c>
      <c r="Z1680" s="91">
        <f>IF($N$1560&gt;0,IPMT('Assumptions (Geo)'!$V$6,Model!AI$1,'Assumptions (Geo)'!$V$9,'Assumptions (Geo)'!$V$4*Model!$N$1560*AVERAGE('Assumptions (Geo)'!$J$2:$L$2)/10^9),0)</f>
        <v>-4.7311863360099898E-5</v>
      </c>
      <c r="AA1680" s="91">
        <f>IF($N$1560&gt;0,IPMT('Assumptions (Geo)'!$V$6,Model!AJ$1,'Assumptions (Geo)'!$V$9,'Assumptions (Geo)'!$V$4*Model!$N$1560*AVERAGE('Assumptions (Geo)'!$J$2:$L$2)/10^9),0)</f>
        <v>-3.2267179575752578E-5</v>
      </c>
      <c r="AB1680" s="91">
        <f>IF($N$1560&gt;0,IPMT('Assumptions (Geo)'!$V$6,Model!AK$1,'Assumptions (Geo)'!$V$9,'Assumptions (Geo)'!$V$4*Model!$N$1560*AVERAGE('Assumptions (Geo)'!$J$2:$L$2)/10^9),0)</f>
        <v>-1.6507873311648752E-5</v>
      </c>
      <c r="AC1680" s="91"/>
      <c r="AD1680" s="91"/>
      <c r="AE1680" s="91"/>
      <c r="AF1680" s="91"/>
      <c r="AG1680" s="91"/>
      <c r="AH1680" s="91"/>
      <c r="AI1680" s="91"/>
      <c r="AJ1680" s="91"/>
      <c r="AK1680" s="91"/>
      <c r="AL1680" s="91"/>
    </row>
    <row r="1681" spans="1:54" ht="15.75" hidden="1" customHeight="1" outlineLevel="1">
      <c r="A1681" s="428"/>
      <c r="B1681" s="99"/>
      <c r="C1681" s="105"/>
      <c r="D1681" s="105"/>
      <c r="E1681" s="105"/>
      <c r="F1681" s="105"/>
      <c r="G1681" s="105"/>
      <c r="H1681" s="105"/>
      <c r="I1681" s="105"/>
      <c r="J1681" s="105"/>
      <c r="K1681" s="105"/>
      <c r="L1681" s="105"/>
      <c r="M1681" s="105"/>
      <c r="N1681" s="105"/>
      <c r="O1681" s="105">
        <f>IF($O$1560&gt;0,IPMT('Assumptions (Geo)'!$V$6,Model!W$1,'Assumptions (Geo)'!$V$9,'Assumptions (Geo)'!$V$4*Model!$O$1560*AVERAGE('Assumptions (Geo)'!$K$2:$M$2)/10^9),0)</f>
        <v>-7.8913685192582017E-3</v>
      </c>
      <c r="P1681" s="105">
        <f>IF($O$1560&gt;0,IPMT('Assumptions (Geo)'!$V$6,Model!X$1,'Assumptions (Geo)'!$V$9,'Assumptions (Geo)'!$V$4*Model!$O$1560*AVERAGE('Assumptions (Geo)'!$K$2:$M$2)/10^9),0)</f>
        <v>-7.5187291457246069E-3</v>
      </c>
      <c r="Q1681" s="105">
        <f>IF($O$1560&gt;0,IPMT('Assumptions (Geo)'!$V$6,Model!Y$1,'Assumptions (Geo)'!$V$9,'Assumptions (Geo)'!$V$4*Model!$O$1560*AVERAGE('Assumptions (Geo)'!$K$2:$M$2)/10^9),0)</f>
        <v>-7.1283894019481646E-3</v>
      </c>
      <c r="R1681" s="105">
        <f>IF($O$1560&gt;0,IPMT('Assumptions (Geo)'!$V$6,Model!Z$1,'Assumptions (Geo)'!$V$9,'Assumptions (Geo)'!$V$4*Model!$O$1560*AVERAGE('Assumptions (Geo)'!$K$2:$M$2)/10^9),0)</f>
        <v>-6.7195085203423429E-3</v>
      </c>
      <c r="S1681" s="105">
        <f>IF($O$1560&gt;0,IPMT('Assumptions (Geo)'!$V$6,Model!AA$1,'Assumptions (Geo)'!$V$9,'Assumptions (Geo)'!$V$4*Model!$O$1560*AVERAGE('Assumptions (Geo)'!$K$2:$M$2)/10^9),0)</f>
        <v>-6.2912057968602438E-3</v>
      </c>
      <c r="T1681" s="105">
        <f>IF($O$1560&gt;0,IPMT('Assumptions (Geo)'!$V$6,Model!AB$1,'Assumptions (Geo)'!$V$9,'Assumptions (Geo)'!$V$4*Model!$O$1560*AVERAGE('Assumptions (Geo)'!$K$2:$M$2)/10^9),0)</f>
        <v>-5.8425586940127469E-3</v>
      </c>
      <c r="U1681" s="105">
        <f>IF($O$1560&gt;0,IPMT('Assumptions (Geo)'!$V$6,Model!AC$1,'Assumptions (Geo)'!$V$9,'Assumptions (Geo)'!$V$4*Model!$O$1560*AVERAGE('Assumptions (Geo)'!$K$2:$M$2)/10^9),0)</f>
        <v>-5.372600853779992E-3</v>
      </c>
      <c r="V1681" s="105">
        <f>IF($O$1560&gt;0,IPMT('Assumptions (Geo)'!$V$6,Model!AD$1,'Assumptions (Geo)'!$V$9,'Assumptions (Geo)'!$V$4*Model!$O$1560*AVERAGE('Assumptions (Geo)'!$K$2:$M$2)/10^9),0)</f>
        <v>-4.8803200161361814E-3</v>
      </c>
      <c r="W1681" s="105">
        <f>IF($O$1560&gt;0,IPMT('Assumptions (Geo)'!$V$6,Model!AE$1,'Assumptions (Geo)'!$V$9,'Assumptions (Geo)'!$V$4*Model!$O$1560*AVERAGE('Assumptions (Geo)'!$K$2:$M$2)/10^9),0)</f>
        <v>-4.3646558387042912E-3</v>
      </c>
      <c r="X1681" s="105">
        <f>IF($O$1560&gt;0,IPMT('Assumptions (Geo)'!$V$6,Model!AF$1,'Assumptions (Geo)'!$V$9,'Assumptions (Geo)'!$V$4*Model!$O$1560*AVERAGE('Assumptions (Geo)'!$K$2:$M$2)/10^9),0)</f>
        <v>-3.8244976128443855E-3</v>
      </c>
      <c r="Y1681" s="105">
        <f>IF($O$1560&gt;0,IPMT('Assumptions (Geo)'!$V$6,Model!AG$1,'Assumptions (Geo)'!$V$9,'Assumptions (Geo)'!$V$4*Model!$O$1560*AVERAGE('Assumptions (Geo)'!$K$2:$M$2)/10^9),0)</f>
        <v>-3.2586818712561335E-3</v>
      </c>
      <c r="Z1681" s="105">
        <f>IF($O$1560&gt;0,IPMT('Assumptions (Geo)'!$V$6,Model!AH$1,'Assumptions (Geo)'!$V$9,'Assumptions (Geo)'!$V$4*Model!$O$1560*AVERAGE('Assumptions (Geo)'!$K$2:$M$2)/10^9),0)</f>
        <v>-2.6659898819424406E-3</v>
      </c>
      <c r="AA1681" s="105">
        <f>IF($O$1560&gt;0,IPMT('Assumptions (Geo)'!$V$6,Model!AI$1,'Assumptions (Geo)'!$V$9,'Assumptions (Geo)'!$V$4*Model!$O$1560*AVERAGE('Assumptions (Geo)'!$K$2:$M$2)/10^9),0)</f>
        <v>-2.0451450231363461E-3</v>
      </c>
      <c r="AB1681" s="105">
        <f>IF($O$1560&gt;0,IPMT('Assumptions (Geo)'!$V$6,Model!AJ$1,'Assumptions (Geo)'!$V$9,'Assumptions (Geo)'!$V$4*Model!$O$1560*AVERAGE('Assumptions (Geo)'!$K$2:$M$2)/10^9),0)</f>
        <v>-1.3948100335369627E-3</v>
      </c>
      <c r="AC1681" s="105">
        <f>IF($O$1560&gt;0,IPMT('Assumptions (Geo)'!$V$6,Model!AK$1,'Assumptions (Geo)'!$V$9,'Assumptions (Geo)'!$V$4*Model!$O$1560*AVERAGE('Assumptions (Geo)'!$K$2:$M$2)/10^9),0)</f>
        <v>-7.135841319316085E-4</v>
      </c>
      <c r="AD1681" s="105"/>
      <c r="AE1681" s="105"/>
      <c r="AF1681" s="105"/>
      <c r="AG1681" s="105"/>
      <c r="AH1681" s="105"/>
      <c r="AI1681" s="105"/>
      <c r="AJ1681" s="105"/>
      <c r="AK1681" s="105"/>
      <c r="AL1681" s="105"/>
      <c r="AM1681" s="105"/>
    </row>
    <row r="1682" spans="1:54" ht="15.75" hidden="1" customHeight="1" outlineLevel="1">
      <c r="A1682" s="428"/>
      <c r="B1682" s="99"/>
      <c r="C1682" s="105"/>
      <c r="D1682" s="105"/>
      <c r="E1682" s="105"/>
      <c r="F1682" s="105"/>
      <c r="G1682" s="105"/>
      <c r="H1682" s="105"/>
      <c r="I1682" s="105"/>
      <c r="J1682" s="105"/>
      <c r="K1682" s="105"/>
      <c r="L1682" s="105"/>
      <c r="M1682" s="105"/>
      <c r="N1682" s="105"/>
      <c r="O1682" s="105"/>
      <c r="P1682" s="91">
        <f>IF($P$1560&gt;0,IPMT('Assumptions (Geo)'!$V$6,Model!W$1,'Assumptions (Geo)'!$V$9,'Assumptions (Geo)'!$V$4*Model!$P$1560*AVERAGE('Assumptions (Geo)'!$L$2:$N$2)/10^9),0)</f>
        <v>-4.6238668007227146E-3</v>
      </c>
      <c r="Q1682" s="91">
        <f>IF($P$1560&gt;0,IPMT('Assumptions (Geo)'!$V$6,Model!X$1,'Assumptions (Geo)'!$V$9,'Assumptions (Geo)'!$V$4*Model!$P$1560*AVERAGE('Assumptions (Geo)'!$L$2:$N$2)/10^9),0)</f>
        <v>-4.4055225650278303E-3</v>
      </c>
      <c r="R1682" s="91">
        <f>IF($P$1560&gt;0,IPMT('Assumptions (Geo)'!$V$6,Model!Y$1,'Assumptions (Geo)'!$V$9,'Assumptions (Geo)'!$V$4*Model!$P$1560*AVERAGE('Assumptions (Geo)'!$L$2:$N$2)/10^9),0)</f>
        <v>-4.1768069781374382E-3</v>
      </c>
      <c r="S1682" s="91">
        <f>IF($P$1560&gt;0,IPMT('Assumptions (Geo)'!$V$6,Model!Z$1,'Assumptions (Geo)'!$V$9,'Assumptions (Geo)'!$V$4*Model!$P$1560*AVERAGE('Assumptions (Geo)'!$L$2:$N$2)/10^9),0)</f>
        <v>-3.9372274008697538E-3</v>
      </c>
      <c r="T1682" s="91">
        <f>IF($P$1560&gt;0,IPMT('Assumptions (Geo)'!$V$6,Model!AA$1,'Assumptions (Geo)'!$V$9,'Assumptions (Geo)'!$V$4*Model!$P$1560*AVERAGE('Assumptions (Geo)'!$L$2:$N$2)/10^9),0)</f>
        <v>-3.6862677936818542E-3</v>
      </c>
      <c r="U1682" s="91">
        <f>IF($P$1560&gt;0,IPMT('Assumptions (Geo)'!$V$6,Model!AB$1,'Assumptions (Geo)'!$V$9,'Assumptions (Geo)'!$V$4*Model!$P$1560*AVERAGE('Assumptions (Geo)'!$L$2:$N$2)/10^9),0)</f>
        <v>-3.4233876051525287E-3</v>
      </c>
      <c r="V1682" s="91">
        <f>IF($P$1560&gt;0,IPMT('Assumptions (Geo)'!$V$6,Model!AC$1,'Assumptions (Geo)'!$V$9,'Assumptions (Geo)'!$V$4*Model!$P$1560*AVERAGE('Assumptions (Geo)'!$L$2:$N$2)/10^9),0)</f>
        <v>-3.1480206076680613E-3</v>
      </c>
      <c r="W1682" s="91">
        <f>IF($P$1560&gt;0,IPMT('Assumptions (Geo)'!$V$6,Model!AD$1,'Assumptions (Geo)'!$V$9,'Assumptions (Geo)'!$V$4*Model!$P$1560*AVERAGE('Assumptions (Geo)'!$L$2:$N$2)/10^9),0)</f>
        <v>-2.8595736778030813E-3</v>
      </c>
      <c r="X1682" s="91">
        <f>IF($P$1560&gt;0,IPMT('Assumptions (Geo)'!$V$6,Model!AE$1,'Assumptions (Geo)'!$V$9,'Assumptions (Geo)'!$V$4*Model!$P$1560*AVERAGE('Assumptions (Geo)'!$L$2:$N$2)/10^9),0)</f>
        <v>-2.5574255187695151E-3</v>
      </c>
      <c r="Y1682" s="91">
        <f>IF($P$1560&gt;0,IPMT('Assumptions (Geo)'!$V$6,Model!AF$1,'Assumptions (Geo)'!$V$9,'Assumptions (Geo)'!$V$4*Model!$P$1560*AVERAGE('Assumptions (Geo)'!$L$2:$N$2)/10^9),0)</f>
        <v>-2.2409253221818536E-3</v>
      </c>
      <c r="Z1682" s="91">
        <f>IF($P$1560&gt;0,IPMT('Assumptions (Geo)'!$V$6,Model!AG$1,'Assumptions (Geo)'!$V$9,'Assumptions (Geo)'!$V$4*Model!$P$1560*AVERAGE('Assumptions (Geo)'!$L$2:$N$2)/10^9),0)</f>
        <v>-1.9093913662562786E-3</v>
      </c>
      <c r="AA1682" s="91">
        <f>IF($P$1560&gt;0,IPMT('Assumptions (Geo)'!$V$6,Model!AH$1,'Assumptions (Geo)'!$V$9,'Assumptions (Geo)'!$V$4*Model!$P$1560*AVERAGE('Assumptions (Geo)'!$L$2:$N$2)/10^9),0)</f>
        <v>-1.5621095474242391E-3</v>
      </c>
      <c r="AB1682" s="91">
        <f>IF($P$1560&gt;0,IPMT('Assumptions (Geo)'!$V$6,Model!AI$1,'Assumptions (Geo)'!$V$9,'Assumptions (Geo)'!$V$4*Model!$P$1560*AVERAGE('Assumptions (Geo)'!$L$2:$N$2)/10^9),0)</f>
        <v>-1.1983318421976772E-3</v>
      </c>
      <c r="AC1682" s="91">
        <f>IF($P$1560&gt;0,IPMT('Assumptions (Geo)'!$V$6,Model!AJ$1,'Assumptions (Geo)'!$V$9,'Assumptions (Geo)'!$V$4*Model!$P$1560*AVERAGE('Assumptions (Geo)'!$L$2:$N$2)/10^9),0)</f>
        <v>-8.1727469597285389E-4</v>
      </c>
      <c r="AD1682" s="91">
        <f>IF($P$1560&gt;0,IPMT('Assumptions (Geo)'!$V$6,Model!AK$1,'Assumptions (Geo)'!$V$9,'Assumptions (Geo)'!$V$4*Model!$P$1560*AVERAGE('Assumptions (Geo)'!$L$2:$N$2)/10^9),0)</f>
        <v>-4.1811733530235134E-4</v>
      </c>
      <c r="AE1682" s="91"/>
      <c r="AF1682" s="91"/>
      <c r="AG1682" s="91"/>
      <c r="AH1682" s="91"/>
      <c r="AI1682" s="91"/>
      <c r="AJ1682" s="91"/>
      <c r="AK1682" s="91"/>
      <c r="AL1682" s="91"/>
      <c r="AM1682" s="91"/>
      <c r="AN1682" s="91"/>
    </row>
    <row r="1683" spans="1:54" ht="15.75" hidden="1" customHeight="1" outlineLevel="1">
      <c r="A1683" s="428"/>
      <c r="B1683" s="99"/>
      <c r="C1683" s="105"/>
      <c r="D1683" s="105"/>
      <c r="E1683" s="105"/>
      <c r="F1683" s="105"/>
      <c r="G1683" s="105"/>
      <c r="H1683" s="105"/>
      <c r="I1683" s="105"/>
      <c r="J1683" s="105"/>
      <c r="K1683" s="105"/>
      <c r="L1683" s="105"/>
      <c r="M1683" s="105"/>
      <c r="N1683" s="105"/>
      <c r="O1683" s="105"/>
      <c r="P1683" s="171"/>
      <c r="Q1683" s="105">
        <f>IF($Q$1560&gt;0,IPMT('Assumptions (Geo)'!$V$6,Model!W$1,'Assumptions (Geo)'!$V$9,'Assumptions (Geo)'!$V$4*Model!$Q$1560*AVERAGE('Assumptions (Geo)'!$M$2:$O$2)/10^9),0)</f>
        <v>-7.6824302510591284E-4</v>
      </c>
      <c r="R1683" s="105">
        <f>IF($Q$1560&gt;0,IPMT('Assumptions (Geo)'!$V$6,Model!X$1,'Assumptions (Geo)'!$V$9,'Assumptions (Geo)'!$V$4*Model!$Q$1560*AVERAGE('Assumptions (Geo)'!$M$2:$O$2)/10^9),0)</f>
        <v>-7.3196571795717353E-4</v>
      </c>
      <c r="S1683" s="105">
        <f>IF($Q$1560&gt;0,IPMT('Assumptions (Geo)'!$V$6,Model!Y$1,'Assumptions (Geo)'!$V$9,'Assumptions (Geo)'!$V$4*Model!$Q$1560*AVERAGE('Assumptions (Geo)'!$M$2:$O$2)/10^9),0)</f>
        <v>-6.9396523871886905E-4</v>
      </c>
      <c r="T1683" s="105">
        <f>IF($Q$1560&gt;0,IPMT('Assumptions (Geo)'!$V$6,Model!Z$1,'Assumptions (Geo)'!$V$9,'Assumptions (Geo)'!$V$4*Model!$Q$1560*AVERAGE('Assumptions (Geo)'!$M$2:$O$2)/10^9),0)</f>
        <v>-6.541597367167453E-4</v>
      </c>
      <c r="U1683" s="105">
        <f>IF($Q$1560&gt;0,IPMT('Assumptions (Geo)'!$V$6,Model!AA$1,'Assumptions (Geo)'!$V$9,'Assumptions (Geo)'!$V$4*Model!$Q$1560*AVERAGE('Assumptions (Geo)'!$M$2:$O$2)/10^9),0)</f>
        <v>-6.124634733695205E-4</v>
      </c>
      <c r="V1683" s="105">
        <f>IF($Q$1560&gt;0,IPMT('Assumptions (Geo)'!$V$6,Model!AB$1,'Assumptions (Geo)'!$V$9,'Assumptions (Geo)'!$V$4*Model!$Q$1560*AVERAGE('Assumptions (Geo)'!$M$2:$O$2)/10^9),0)</f>
        <v>-5.6878663751330273E-4</v>
      </c>
      <c r="W1683" s="105">
        <f>IF($Q$1560&gt;0,IPMT('Assumptions (Geo)'!$V$6,Model!AC$1,'Assumptions (Geo)'!$V$9,'Assumptions (Geo)'!$V$4*Model!$Q$1560*AVERAGE('Assumptions (Geo)'!$M$2:$O$2)/10^9),0)</f>
        <v>-5.2303515195391444E-4</v>
      </c>
      <c r="X1683" s="105">
        <f>IF($Q$1560&gt;0,IPMT('Assumptions (Geo)'!$V$6,Model!AD$1,'Assumptions (Geo)'!$V$9,'Assumptions (Geo)'!$V$4*Model!$Q$1560*AVERAGE('Assumptions (Geo)'!$M$2:$O$2)/10^9),0)</f>
        <v>-4.7511047083045535E-4</v>
      </c>
      <c r="Y1683" s="105">
        <f>IF($Q$1560&gt;0,IPMT('Assumptions (Geo)'!$V$6,Model!AE$1,'Assumptions (Geo)'!$V$9,'Assumptions (Geo)'!$V$4*Model!$Q$1560*AVERAGE('Assumptions (Geo)'!$M$2:$O$2)/10^9),0)</f>
        <v>-4.249093673536319E-4</v>
      </c>
      <c r="Z1683" s="105">
        <f>IF($Q$1560&gt;0,IPMT('Assumptions (Geo)'!$V$6,Model!AF$1,'Assumptions (Geo)'!$V$9,'Assumptions (Geo)'!$V$4*Model!$Q$1560*AVERAGE('Assumptions (Geo)'!$M$2:$O$2)/10^9),0)</f>
        <v>-3.7232371146165931E-4</v>
      </c>
      <c r="AA1683" s="105">
        <f>IF($Q$1560&gt;0,IPMT('Assumptions (Geo)'!$V$6,Model!AG$1,'Assumptions (Geo)'!$V$9,'Assumptions (Geo)'!$V$4*Model!$Q$1560*AVERAGE('Assumptions (Geo)'!$M$2:$O$2)/10^9),0)</f>
        <v>-3.17240236914818E-4</v>
      </c>
      <c r="AB1683" s="105">
        <f>IF($Q$1560&gt;0,IPMT('Assumptions (Geo)'!$V$6,Model!AH$1,'Assumptions (Geo)'!$V$9,'Assumptions (Geo)'!$V$4*Model!$Q$1560*AVERAGE('Assumptions (Geo)'!$M$2:$O$2)/10^9),0)</f>
        <v>-2.5954029732700183E-4</v>
      </c>
      <c r="AC1683" s="105">
        <f>IF($Q$1560&gt;0,IPMT('Assumptions (Geo)'!$V$6,Model!AI$1,'Assumptions (Geo)'!$V$9,'Assumptions (Geo)'!$V$4*Model!$Q$1560*AVERAGE('Assumptions (Geo)'!$M$2:$O$2)/10^9),0)</f>
        <v>-1.9909961060876423E-4</v>
      </c>
      <c r="AD1683" s="105">
        <f>IF($Q$1560&gt;0,IPMT('Assumptions (Geo)'!$V$6,Model!AJ$1,'Assumptions (Geo)'!$V$9,'Assumptions (Geo)'!$V$4*Model!$Q$1560*AVERAGE('Assumptions (Geo)'!$M$2:$O$2)/10^9),0)</f>
        <v>-1.3578799127141042E-4</v>
      </c>
      <c r="AE1683" s="105">
        <f>IF($Q$1560&gt;0,IPMT('Assumptions (Geo)'!$V$6,Model!AK$1,'Assumptions (Geo)'!$V$9,'Assumptions (Geo)'!$V$4*Model!$Q$1560*AVERAGE('Assumptions (Geo)'!$M$2:$O$2)/10^9),0)</f>
        <v>-6.9469070015532321E-5</v>
      </c>
      <c r="AF1683" s="105"/>
      <c r="AG1683" s="105"/>
      <c r="AH1683" s="105"/>
      <c r="AI1683" s="105"/>
      <c r="AJ1683" s="105"/>
      <c r="AK1683" s="105"/>
      <c r="AL1683" s="105"/>
      <c r="AM1683" s="105"/>
      <c r="AN1683" s="105"/>
      <c r="AO1683" s="105"/>
    </row>
    <row r="1684" spans="1:54" ht="15.75" hidden="1" customHeight="1" outlineLevel="1">
      <c r="A1684" s="428"/>
      <c r="B1684" s="99"/>
      <c r="C1684" s="105"/>
      <c r="D1684" s="105"/>
      <c r="E1684" s="105"/>
      <c r="F1684" s="105"/>
      <c r="G1684" s="105"/>
      <c r="H1684" s="105"/>
      <c r="I1684" s="105"/>
      <c r="J1684" s="105"/>
      <c r="K1684" s="105"/>
      <c r="L1684" s="105"/>
      <c r="M1684" s="105"/>
      <c r="N1684" s="105"/>
      <c r="O1684" s="105"/>
      <c r="P1684" s="171"/>
      <c r="Q1684" s="105"/>
      <c r="R1684" s="91">
        <f>IF($R$1560&gt;0,IPMT('Assumptions (Geo)'!$V$6,Model!W$1,'Assumptions (Geo)'!$V$9,'Assumptions (Geo)'!$V$4*Model!$R$1560*AVERAGE('Assumptions (Geo)'!$N$2:$P$2)/10^9),0)</f>
        <v>-3.2707111747117827E-3</v>
      </c>
      <c r="S1684" s="91">
        <f>IF($R$1560&gt;0,IPMT('Assumptions (Geo)'!$V$6,Model!X$1,'Assumptions (Geo)'!$V$9,'Assumptions (Geo)'!$V$4*Model!$R$1560*AVERAGE('Assumptions (Geo)'!$N$2:$P$2)/10^9),0)</f>
        <v>-3.1162644827115848E-3</v>
      </c>
      <c r="T1684" s="91">
        <f>IF($R$1560&gt;0,IPMT('Assumptions (Geo)'!$V$6,Model!Y$1,'Assumptions (Geo)'!$V$9,'Assumptions (Geo)'!$V$4*Model!$R$1560*AVERAGE('Assumptions (Geo)'!$N$2:$P$2)/10^9),0)</f>
        <v>-2.9544815728413769E-3</v>
      </c>
      <c r="U1684" s="91">
        <f>IF($R$1560&gt;0,IPMT('Assumptions (Geo)'!$V$6,Model!Z$1,'Assumptions (Geo)'!$V$9,'Assumptions (Geo)'!$V$4*Model!$R$1560*AVERAGE('Assumptions (Geo)'!$N$2:$P$2)/10^9),0)</f>
        <v>-2.7850139747523355E-3</v>
      </c>
      <c r="V1684" s="91">
        <f>IF($R$1560&gt;0,IPMT('Assumptions (Geo)'!$V$6,Model!AA$1,'Assumptions (Geo)'!$V$9,'Assumptions (Geo)'!$V$4*Model!$R$1560*AVERAGE('Assumptions (Geo)'!$N$2:$P$2)/10^9),0)</f>
        <v>-2.6074966657540638E-3</v>
      </c>
      <c r="W1684" s="91">
        <f>IF($R$1560&gt;0,IPMT('Assumptions (Geo)'!$V$6,Model!AB$1,'Assumptions (Geo)'!$V$9,'Assumptions (Geo)'!$V$4*Model!$R$1560*AVERAGE('Assumptions (Geo)'!$N$2:$P$2)/10^9),0)</f>
        <v>-2.4215472845783748E-3</v>
      </c>
      <c r="X1684" s="91">
        <f>IF($R$1560&gt;0,IPMT('Assumptions (Geo)'!$V$6,Model!AC$1,'Assumptions (Geo)'!$V$9,'Assumptions (Geo)'!$V$4*Model!$R$1560*AVERAGE('Assumptions (Geo)'!$N$2:$P$2)/10^9),0)</f>
        <v>-2.22676530779684E-3</v>
      </c>
      <c r="Y1684" s="91">
        <f>IF($R$1560&gt;0,IPMT('Assumptions (Geo)'!$V$6,Model!AD$1,'Assumptions (Geo)'!$V$9,'Assumptions (Geo)'!$V$4*Model!$R$1560*AVERAGE('Assumptions (Geo)'!$N$2:$P$2)/10^9),0)</f>
        <v>-2.0227311871181823E-3</v>
      </c>
      <c r="Z1684" s="91">
        <f>IF($R$1560&gt;0,IPMT('Assumptions (Geo)'!$V$6,Model!AE$1,'Assumptions (Geo)'!$V$9,'Assumptions (Geo)'!$V$4*Model!$R$1560*AVERAGE('Assumptions (Geo)'!$N$2:$P$2)/10^9),0)</f>
        <v>-1.809005445707289E-3</v>
      </c>
      <c r="AA1684" s="91">
        <f>IF($R$1560&gt;0,IPMT('Assumptions (Geo)'!$V$6,Model!AF$1,'Assumptions (Geo)'!$V$9,'Assumptions (Geo)'!$V$4*Model!$R$1560*AVERAGE('Assumptions (Geo)'!$N$2:$P$2)/10^9),0)</f>
        <v>-1.5851277315793778E-3</v>
      </c>
      <c r="AB1684" s="91">
        <f>IF($R$1560&gt;0,IPMT('Assumptions (Geo)'!$V$6,Model!AG$1,'Assumptions (Geo)'!$V$9,'Assumptions (Geo)'!$V$4*Model!$R$1560*AVERAGE('Assumptions (Geo)'!$N$2:$P$2)/10^9),0)</f>
        <v>-1.3506158260303907E-3</v>
      </c>
      <c r="AC1684" s="91">
        <f>IF($R$1560&gt;0,IPMT('Assumptions (Geo)'!$V$6,Model!AH$1,'Assumptions (Geo)'!$V$9,'Assumptions (Geo)'!$V$4*Model!$R$1560*AVERAGE('Assumptions (Geo)'!$N$2:$P$2)/10^9),0)</f>
        <v>-1.1049646049678269E-3</v>
      </c>
      <c r="AD1684" s="91">
        <f>IF($R$1560&gt;0,IPMT('Assumptions (Geo)'!$V$6,Model!AI$1,'Assumptions (Geo)'!$V$9,'Assumptions (Geo)'!$V$4*Model!$R$1560*AVERAGE('Assumptions (Geo)'!$N$2:$P$2)/10^9),0)</f>
        <v>-8.4764495090479126E-4</v>
      </c>
      <c r="AE1684" s="91">
        <f>IF($R$1560&gt;0,IPMT('Assumptions (Geo)'!$V$6,Model!AJ$1,'Assumptions (Geo)'!$V$9,'Assumptions (Geo)'!$V$4*Model!$R$1560*AVERAGE('Assumptions (Geo)'!$N$2:$P$2)/10^9),0)</f>
        <v>-5.7810261327376135E-4</v>
      </c>
      <c r="AF1684" s="91">
        <f>IF($R$1560&gt;0,IPMT('Assumptions (Geo)'!$V$6,Model!AK$1,'Assumptions (Geo)'!$V$9,'Assumptions (Geo)'!$V$4*Model!$R$1560*AVERAGE('Assumptions (Geo)'!$N$2:$P$2)/10^9),0)</f>
        <v>-2.9575701460525766E-4</v>
      </c>
      <c r="AG1684" s="91"/>
      <c r="AH1684" s="91"/>
      <c r="AI1684" s="91"/>
      <c r="AJ1684" s="91"/>
      <c r="AK1684" s="91"/>
      <c r="AL1684" s="91"/>
      <c r="AM1684" s="91"/>
      <c r="AN1684" s="91"/>
      <c r="AO1684" s="91"/>
      <c r="AP1684" s="91"/>
    </row>
    <row r="1685" spans="1:54" ht="15.75" hidden="1" customHeight="1" outlineLevel="1">
      <c r="A1685" s="428"/>
      <c r="B1685" s="99"/>
      <c r="C1685" s="105"/>
      <c r="D1685" s="105"/>
      <c r="E1685" s="105"/>
      <c r="F1685" s="105"/>
      <c r="G1685" s="105"/>
      <c r="H1685" s="105"/>
      <c r="I1685" s="105"/>
      <c r="J1685" s="105"/>
      <c r="K1685" s="105"/>
      <c r="L1685" s="105"/>
      <c r="M1685" s="105"/>
      <c r="N1685" s="105"/>
      <c r="O1685" s="105"/>
      <c r="P1685" s="171"/>
      <c r="Q1685" s="105"/>
      <c r="R1685" s="91"/>
      <c r="S1685" s="105">
        <f>IF($S$1560&gt;0,IPMT('Assumptions (Geo)'!$V$6,Model!W$1,'Assumptions (Geo)'!$V$9,'Assumptions (Geo)'!$V$4*Model!$S$1560*AVERAGE('Assumptions (Geo)'!$O$2:$Q$2)/10^9),0)</f>
        <v>0</v>
      </c>
      <c r="T1685" s="105">
        <f>IF($S$1560&gt;0,IPMT('Assumptions (Geo)'!$V$6,Model!X$1,'Assumptions (Geo)'!$V$9,'Assumptions (Geo)'!$V$4*Model!$S$1560*AVERAGE('Assumptions (Geo)'!$O$2:$Q$2)/10^9),0)</f>
        <v>0</v>
      </c>
      <c r="U1685" s="105">
        <f>IF($S$1560&gt;0,IPMT('Assumptions (Geo)'!$V$6,Model!Y$1,'Assumptions (Geo)'!$V$9,'Assumptions (Geo)'!$V$4*Model!$S$1560*AVERAGE('Assumptions (Geo)'!$O$2:$Q$2)/10^9),0)</f>
        <v>0</v>
      </c>
      <c r="V1685" s="105">
        <f>IF($S$1560&gt;0,IPMT('Assumptions (Geo)'!$V$6,Model!Z$1,'Assumptions (Geo)'!$V$9,'Assumptions (Geo)'!$V$4*Model!$S$1560*AVERAGE('Assumptions (Geo)'!$O$2:$Q$2)/10^9),0)</f>
        <v>0</v>
      </c>
      <c r="W1685" s="105">
        <f>IF($S$1560&gt;0,IPMT('Assumptions (Geo)'!$V$6,Model!AA$1,'Assumptions (Geo)'!$V$9,'Assumptions (Geo)'!$V$4*Model!$S$1560*AVERAGE('Assumptions (Geo)'!$O$2:$Q$2)/10^9),0)</f>
        <v>0</v>
      </c>
      <c r="X1685" s="105">
        <f>IF($S$1560&gt;0,IPMT('Assumptions (Geo)'!$V$6,Model!AB$1,'Assumptions (Geo)'!$V$9,'Assumptions (Geo)'!$V$4*Model!$S$1560*AVERAGE('Assumptions (Geo)'!$O$2:$Q$2)/10^9),0)</f>
        <v>0</v>
      </c>
      <c r="Y1685" s="105">
        <f>IF($S$1560&gt;0,IPMT('Assumptions (Geo)'!$V$6,Model!AC$1,'Assumptions (Geo)'!$V$9,'Assumptions (Geo)'!$V$4*Model!$S$1560*AVERAGE('Assumptions (Geo)'!$O$2:$Q$2)/10^9),0)</f>
        <v>0</v>
      </c>
      <c r="Z1685" s="105">
        <f>IF($S$1560&gt;0,IPMT('Assumptions (Geo)'!$V$6,Model!AD$1,'Assumptions (Geo)'!$V$9,'Assumptions (Geo)'!$V$4*Model!$S$1560*AVERAGE('Assumptions (Geo)'!$O$2:$Q$2)/10^9),0)</f>
        <v>0</v>
      </c>
      <c r="AA1685" s="105">
        <f>IF($S$1560&gt;0,IPMT('Assumptions (Geo)'!$V$6,Model!AE$1,'Assumptions (Geo)'!$V$9,'Assumptions (Geo)'!$V$4*Model!$S$1560*AVERAGE('Assumptions (Geo)'!$O$2:$Q$2)/10^9),0)</f>
        <v>0</v>
      </c>
      <c r="AB1685" s="105">
        <f>IF($S$1560&gt;0,IPMT('Assumptions (Geo)'!$V$6,Model!AF$1,'Assumptions (Geo)'!$V$9,'Assumptions (Geo)'!$V$4*Model!$S$1560*AVERAGE('Assumptions (Geo)'!$O$2:$Q$2)/10^9),0)</f>
        <v>0</v>
      </c>
      <c r="AC1685" s="105">
        <f>IF($S$1560&gt;0,IPMT('Assumptions (Geo)'!$V$6,Model!AG$1,'Assumptions (Geo)'!$V$9,'Assumptions (Geo)'!$V$4*Model!$S$1560*AVERAGE('Assumptions (Geo)'!$O$2:$Q$2)/10^9),0)</f>
        <v>0</v>
      </c>
      <c r="AD1685" s="105">
        <f>IF($S$1560&gt;0,IPMT('Assumptions (Geo)'!$V$6,Model!AH$1,'Assumptions (Geo)'!$V$9,'Assumptions (Geo)'!$V$4*Model!$S$1560*AVERAGE('Assumptions (Geo)'!$O$2:$Q$2)/10^9),0)</f>
        <v>0</v>
      </c>
      <c r="AE1685" s="105">
        <f>IF($S$1560&gt;0,IPMT('Assumptions (Geo)'!$V$6,Model!AI$1,'Assumptions (Geo)'!$V$9,'Assumptions (Geo)'!$V$4*Model!$S$1560*AVERAGE('Assumptions (Geo)'!$O$2:$Q$2)/10^9),0)</f>
        <v>0</v>
      </c>
      <c r="AF1685" s="105">
        <f>IF($S$1560&gt;0,IPMT('Assumptions (Geo)'!$V$6,Model!AJ$1,'Assumptions (Geo)'!$V$9,'Assumptions (Geo)'!$V$4*Model!$S$1560*AVERAGE('Assumptions (Geo)'!$O$2:$Q$2)/10^9),0)</f>
        <v>0</v>
      </c>
      <c r="AG1685" s="105">
        <f>IF($S$1560&gt;0,IPMT('Assumptions (Geo)'!$V$6,Model!AK$1,'Assumptions (Geo)'!$V$9,'Assumptions (Geo)'!$V$4*Model!$S$1560*AVERAGE('Assumptions (Geo)'!$O$2:$Q$2)/10^9),0)</f>
        <v>0</v>
      </c>
      <c r="AH1685" s="105"/>
      <c r="AI1685" s="105"/>
      <c r="AJ1685" s="105"/>
      <c r="AK1685" s="105"/>
      <c r="AL1685" s="105"/>
      <c r="AM1685" s="105"/>
      <c r="AN1685" s="105"/>
      <c r="AO1685" s="105"/>
      <c r="AP1685" s="105"/>
      <c r="AQ1685" s="105"/>
    </row>
    <row r="1686" spans="1:54" ht="15.75" hidden="1" customHeight="1" outlineLevel="1">
      <c r="A1686" s="428"/>
      <c r="B1686" s="99"/>
      <c r="C1686" s="105"/>
      <c r="D1686" s="105"/>
      <c r="E1686" s="105"/>
      <c r="F1686" s="105"/>
      <c r="G1686" s="105"/>
      <c r="H1686" s="105"/>
      <c r="I1686" s="105"/>
      <c r="J1686" s="105"/>
      <c r="K1686" s="105"/>
      <c r="L1686" s="105"/>
      <c r="M1686" s="105"/>
      <c r="N1686" s="105"/>
      <c r="O1686" s="105"/>
      <c r="P1686" s="171"/>
      <c r="Q1686" s="105"/>
      <c r="R1686" s="91"/>
      <c r="S1686" s="91"/>
      <c r="T1686" s="105">
        <f>IF($T$1560&gt;0,IPMT('Assumptions (Geo)'!$V$6,Model!W$1,'Assumptions (Geo)'!$V$9,'Assumptions (Geo)'!$V$4*Model!$T$1560*AVERAGE('Assumptions (Geo)'!$P$2:$R$2)/10^9),0)</f>
        <v>-2.6230285943394812E-3</v>
      </c>
      <c r="U1686" s="105">
        <f>IF($T$1560&gt;0,IPMT('Assumptions (Geo)'!$V$6,Model!X$1,'Assumptions (Geo)'!$V$9,'Assumptions (Geo)'!$V$4*Model!$T$1560*AVERAGE('Assumptions (Geo)'!$P$2:$R$2)/10^9),0)</f>
        <v>-2.4991662085226225E-3</v>
      </c>
      <c r="V1686" s="105">
        <f>IF($T$1560&gt;0,IPMT('Assumptions (Geo)'!$V$6,Model!Y$1,'Assumptions (Geo)'!$V$9,'Assumptions (Geo)'!$V$4*Model!$T$1560*AVERAGE('Assumptions (Geo)'!$P$2:$R$2)/10^9),0)</f>
        <v>-2.3694203593794625E-3</v>
      </c>
      <c r="W1686" s="105">
        <f>IF($T$1560&gt;0,IPMT('Assumptions (Geo)'!$V$6,Model!Z$1,'Assumptions (Geo)'!$V$9,'Assumptions (Geo)'!$V$4*Model!$T$1560*AVERAGE('Assumptions (Geo)'!$P$2:$R$2)/10^9),0)</f>
        <v>-2.2335115824020035E-3</v>
      </c>
      <c r="X1686" s="105">
        <f>IF($T$1560&gt;0,IPMT('Assumptions (Geo)'!$V$6,Model!AA$1,'Assumptions (Geo)'!$V$9,'Assumptions (Geo)'!$V$4*Model!$T$1560*AVERAGE('Assumptions (Geo)'!$P$2:$R$2)/10^9),0)</f>
        <v>-2.0911471385181147E-3</v>
      </c>
      <c r="Y1686" s="105">
        <f>IF($T$1560&gt;0,IPMT('Assumptions (Geo)'!$V$6,Model!AB$1,'Assumptions (Geo)'!$V$9,'Assumptions (Geo)'!$V$4*Model!$T$1560*AVERAGE('Assumptions (Geo)'!$P$2:$R$2)/10^9),0)</f>
        <v>-1.9420203835497413E-3</v>
      </c>
      <c r="Z1686" s="105">
        <f>IF($T$1560&gt;0,IPMT('Assumptions (Geo)'!$V$6,Model!AC$1,'Assumptions (Geo)'!$V$9,'Assumptions (Geo)'!$V$4*Model!$T$1560*AVERAGE('Assumptions (Geo)'!$P$2:$R$2)/10^9),0)</f>
        <v>-1.7858101077203703E-3</v>
      </c>
      <c r="AA1686" s="105">
        <f>IF($T$1560&gt;0,IPMT('Assumptions (Geo)'!$V$6,Model!AD$1,'Assumptions (Geo)'!$V$9,'Assumptions (Geo)'!$V$4*Model!$T$1560*AVERAGE('Assumptions (Geo)'!$P$2:$R$2)/10^9),0)</f>
        <v>-1.6221798437891038E-3</v>
      </c>
      <c r="AB1686" s="105">
        <f>IF($T$1560&gt;0,IPMT('Assumptions (Geo)'!$V$6,Model!AE$1,'Assumptions (Geo)'!$V$9,'Assumptions (Geo)'!$V$4*Model!$T$1560*AVERAGE('Assumptions (Geo)'!$P$2:$R$2)/10^9),0)</f>
        <v>-1.4507771423211025E-3</v>
      </c>
      <c r="AC1686" s="105">
        <f>IF($T$1560&gt;0,IPMT('Assumptions (Geo)'!$V$6,Model!AF$1,'Assumptions (Geo)'!$V$9,'Assumptions (Geo)'!$V$4*Model!$T$1560*AVERAGE('Assumptions (Geo)'!$P$2:$R$2)/10^9),0)</f>
        <v>-1.2712328125333711E-3</v>
      </c>
      <c r="AD1686" s="105">
        <f>IF($T$1560&gt;0,IPMT('Assumptions (Geo)'!$V$6,Model!AG$1,'Assumptions (Geo)'!$V$9,'Assumptions (Geo)'!$V$4*Model!$T$1560*AVERAGE('Assumptions (Geo)'!$P$2:$R$2)/10^9),0)</f>
        <v>-1.0831601270807221E-3</v>
      </c>
      <c r="AE1686" s="105">
        <f>IF($T$1560&gt;0,IPMT('Assumptions (Geo)'!$V$6,Model!AH$1,'Assumptions (Geo)'!$V$9,'Assumptions (Geo)'!$V$4*Model!$T$1560*AVERAGE('Assumptions (Geo)'!$P$2:$R$2)/10^9),0)</f>
        <v>-8.8615398906907283E-4</v>
      </c>
      <c r="AF1686" s="105">
        <f>IF($T$1560&gt;0,IPMT('Assumptions (Geo)'!$V$6,Model!AI$1,'Assumptions (Geo)'!$V$9,'Assumptions (Geo)'!$V$4*Model!$T$1560*AVERAGE('Assumptions (Geo)'!$P$2:$R$2)/10^9),0)</f>
        <v>-6.7979005950186968E-4</v>
      </c>
      <c r="AG1686" s="105">
        <f>IF($T$1560&gt;0,IPMT('Assumptions (Geo)'!$V$6,Model!AJ$1,'Assumptions (Geo)'!$V$9,'Assumptions (Geo)'!$V$4*Model!$T$1560*AVERAGE('Assumptions (Geo)'!$P$2:$R$2)/10^9),0)</f>
        <v>-4.636238432802247E-4</v>
      </c>
      <c r="AH1686" s="105">
        <f>IF($T$1560&gt;0,IPMT('Assumptions (Geo)'!$V$6,Model!AK$1,'Assumptions (Geo)'!$V$9,'Assumptions (Geo)'!$V$4*Model!$T$1560*AVERAGE('Assumptions (Geo)'!$P$2:$R$2)/10^9),0)</f>
        <v>-2.3718973178805144E-4</v>
      </c>
      <c r="AI1686" s="105"/>
      <c r="AJ1686" s="105"/>
      <c r="AK1686" s="105"/>
      <c r="AL1686" s="105"/>
      <c r="AM1686" s="105"/>
      <c r="AN1686" s="105"/>
      <c r="AO1686" s="105"/>
      <c r="AP1686" s="105"/>
      <c r="AQ1686" s="105"/>
      <c r="AR1686" s="105"/>
    </row>
    <row r="1687" spans="1:54" ht="15.75" hidden="1" customHeight="1" outlineLevel="1">
      <c r="A1687" s="428"/>
      <c r="B1687" s="99"/>
      <c r="C1687" s="105"/>
      <c r="D1687" s="105"/>
      <c r="E1687" s="105"/>
      <c r="F1687" s="105"/>
      <c r="G1687" s="105"/>
      <c r="H1687" s="105"/>
      <c r="I1687" s="105"/>
      <c r="J1687" s="105"/>
      <c r="K1687" s="105"/>
      <c r="L1687" s="105"/>
      <c r="M1687" s="105"/>
      <c r="N1687" s="105"/>
      <c r="O1687" s="105"/>
      <c r="P1687" s="171"/>
      <c r="Q1687" s="105"/>
      <c r="R1687" s="91"/>
      <c r="S1687" s="91"/>
      <c r="T1687" s="91"/>
      <c r="U1687" s="105">
        <f>IF($U$1560&gt;0,IPMT('Assumptions (Geo)'!$V$6,Model!W$1,'Assumptions (Geo)'!$V$9,'Assumptions (Geo)'!$V$4*Model!$U$1560*AVERAGE('Assumptions (Geo)'!$Q$2:$S$2)/10^9),0)</f>
        <v>-1.1569682880978472E-3</v>
      </c>
      <c r="V1687" s="105">
        <f>IF($U$1560&gt;0,IPMT('Assumptions (Geo)'!$V$6,Model!X$1,'Assumptions (Geo)'!$V$9,'Assumptions (Geo)'!$V$4*Model!$U$1560*AVERAGE('Assumptions (Geo)'!$Q$2:$S$2)/10^9),0)</f>
        <v>-1.1023349330564652E-3</v>
      </c>
      <c r="W1687" s="105">
        <f>IF($U$1560&gt;0,IPMT('Assumptions (Geo)'!$V$6,Model!Y$1,'Assumptions (Geo)'!$V$9,'Assumptions (Geo)'!$V$4*Model!$U$1560*AVERAGE('Assumptions (Geo)'!$Q$2:$S$2)/10^9),0)</f>
        <v>-1.0451064936506172E-3</v>
      </c>
      <c r="X1687" s="105">
        <f>IF($U$1560&gt;0,IPMT('Assumptions (Geo)'!$V$6,Model!Z$1,'Assumptions (Geo)'!$V$9,'Assumptions (Geo)'!$V$4*Model!$U$1560*AVERAGE('Assumptions (Geo)'!$Q$2:$S$2)/10^9),0)</f>
        <v>-9.85159703372992E-4</v>
      </c>
      <c r="Y1687" s="105">
        <f>IF($U$1560&gt;0,IPMT('Assumptions (Geo)'!$V$6,Model!AA$1,'Assumptions (Geo)'!$V$9,'Assumptions (Geo)'!$V$4*Model!$U$1560*AVERAGE('Assumptions (Geo)'!$Q$2:$S$2)/10^9),0)</f>
        <v>-9.2236544055717946E-4</v>
      </c>
      <c r="Z1687" s="105">
        <f>IF($U$1560&gt;0,IPMT('Assumptions (Geo)'!$V$6,Model!AB$1,'Assumptions (Geo)'!$V$9,'Assumptions (Geo)'!$V$4*Model!$U$1560*AVERAGE('Assumptions (Geo)'!$Q$2:$S$2)/10^9),0)</f>
        <v>-8.5658845025761595E-4</v>
      </c>
      <c r="AA1687" s="105">
        <f>IF($U$1560&gt;0,IPMT('Assumptions (Geo)'!$V$6,Model!AC$1,'Assumptions (Geo)'!$V$9,'Assumptions (Geo)'!$V$4*Model!$U$1560*AVERAGE('Assumptions (Geo)'!$Q$2:$S$2)/10^9),0)</f>
        <v>-7.8768705291882288E-4</v>
      </c>
      <c r="AB1687" s="105">
        <f>IF($U$1560&gt;0,IPMT('Assumptions (Geo)'!$V$6,Model!AD$1,'Assumptions (Geo)'!$V$9,'Assumptions (Geo)'!$V$4*Model!$U$1560*AVERAGE('Assumptions (Geo)'!$Q$2:$S$2)/10^9),0)</f>
        <v>-7.1551283920643738E-4</v>
      </c>
      <c r="AC1687" s="105">
        <f>IF($U$1560&gt;0,IPMT('Assumptions (Geo)'!$V$6,Model!AE$1,'Assumptions (Geo)'!$V$9,'Assumptions (Geo)'!$V$4*Model!$U$1560*AVERAGE('Assumptions (Geo)'!$Q$2:$S$2)/10^9),0)</f>
        <v>-6.3991035034271354E-4</v>
      </c>
      <c r="AD1687" s="105">
        <f>IF($U$1560&gt;0,IPMT('Assumptions (Geo)'!$V$6,Model!AF$1,'Assumptions (Geo)'!$V$9,'Assumptions (Geo)'!$V$4*Model!$U$1560*AVERAGE('Assumptions (Geo)'!$Q$2:$S$2)/10^9),0)</f>
        <v>-5.6071674325796272E-4</v>
      </c>
      <c r="AE1687" s="105">
        <f>IF($U$1560&gt;0,IPMT('Assumptions (Geo)'!$V$6,Model!AG$1,'Assumptions (Geo)'!$V$9,'Assumptions (Geo)'!$V$4*Model!$U$1560*AVERAGE('Assumptions (Geo)'!$Q$2:$S$2)/10^9),0)</f>
        <v>-4.7776143983668627E-4</v>
      </c>
      <c r="AF1687" s="105">
        <f>IF($U$1560&gt;0,IPMT('Assumptions (Geo)'!$V$6,Model!AH$1,'Assumptions (Geo)'!$V$9,'Assumptions (Geo)'!$V$4*Model!$U$1560*AVERAGE('Assumptions (Geo)'!$Q$2:$S$2)/10^9),0)</f>
        <v>-3.9086575950289922E-4</v>
      </c>
      <c r="AG1687" s="105">
        <f>IF($U$1560&gt;0,IPMT('Assumptions (Geo)'!$V$6,Model!AI$1,'Assumptions (Geo)'!$V$9,'Assumptions (Geo)'!$V$4*Model!$U$1560*AVERAGE('Assumptions (Geo)'!$Q$2:$S$2)/10^9),0)</f>
        <v>-2.9984253435325721E-4</v>
      </c>
      <c r="AH1687" s="105">
        <f>IF($U$1560&gt;0,IPMT('Assumptions (Geo)'!$V$6,Model!AJ$1,'Assumptions (Geo)'!$V$9,'Assumptions (Geo)'!$V$4*Model!$U$1560*AVERAGE('Assumptions (Geo)'!$Q$2:$S$2)/10^9),0)</f>
        <v>-2.0449570600900724E-4</v>
      </c>
      <c r="AI1687" s="105">
        <f>IF($U$1560&gt;0,IPMT('Assumptions (Geo)'!$V$6,Model!AK$1,'Assumptions (Geo)'!$V$9,'Assumptions (Geo)'!$V$4*Model!$U$1560*AVERAGE('Assumptions (Geo)'!$Q$2:$S$2)/10^9),0)</f>
        <v>-1.0461990331840541E-4</v>
      </c>
      <c r="AJ1687" s="105"/>
      <c r="AK1687" s="105"/>
      <c r="AL1687" s="105"/>
      <c r="AM1687" s="105"/>
      <c r="AN1687" s="105"/>
      <c r="AO1687" s="105"/>
      <c r="AP1687" s="105"/>
      <c r="AQ1687" s="105"/>
      <c r="AR1687" s="105"/>
      <c r="AS1687" s="105"/>
    </row>
    <row r="1688" spans="1:54" ht="15.75" hidden="1" customHeight="1" outlineLevel="1">
      <c r="A1688" s="428"/>
      <c r="B1688" s="99"/>
      <c r="C1688" s="105"/>
      <c r="D1688" s="105"/>
      <c r="E1688" s="105"/>
      <c r="F1688" s="105"/>
      <c r="G1688" s="105"/>
      <c r="H1688" s="105"/>
      <c r="I1688" s="105"/>
      <c r="J1688" s="105"/>
      <c r="K1688" s="105"/>
      <c r="L1688" s="105"/>
      <c r="M1688" s="105"/>
      <c r="N1688" s="105"/>
      <c r="O1688" s="105"/>
      <c r="P1688" s="171"/>
      <c r="Q1688" s="105"/>
      <c r="R1688" s="91"/>
      <c r="S1688" s="91"/>
      <c r="T1688" s="91"/>
      <c r="U1688" s="105"/>
      <c r="V1688" s="105">
        <f>IF($V$1560&gt;0,IPMT('Assumptions (Geo)'!$V$6,Model!W$1,'Assumptions (Geo)'!$V$9,'Assumptions (Geo)'!$V$4*Model!$V$1560*AVERAGE('Assumptions (Geo)'!$R$2:$T$2)/10^9),0)</f>
        <v>-5.3104844423691178E-3</v>
      </c>
      <c r="W1688" s="105">
        <f>IF($V$1560&gt;0,IPMT('Assumptions (Geo)'!$V$6,Model!X$1,'Assumptions (Geo)'!$V$9,'Assumptions (Geo)'!$V$4*Model!$V$1560*AVERAGE('Assumptions (Geo)'!$R$2:$T$2)/10^9),0)</f>
        <v>-5.0597173427291732E-3</v>
      </c>
      <c r="X1688" s="105">
        <f>IF($V$1560&gt;0,IPMT('Assumptions (Geo)'!$V$6,Model!Y$1,'Assumptions (Geo)'!$V$9,'Assumptions (Geo)'!$V$4*Model!$V$1560*AVERAGE('Assumptions (Geo)'!$R$2:$T$2)/10^9),0)</f>
        <v>-4.7970388058563322E-3</v>
      </c>
      <c r="Y1688" s="105">
        <f>IF($V$1560&gt;0,IPMT('Assumptions (Geo)'!$V$6,Model!Z$1,'Assumptions (Geo)'!$V$9,'Assumptions (Geo)'!$V$4*Model!$V$1560*AVERAGE('Assumptions (Geo)'!$R$2:$T$2)/10^9),0)</f>
        <v>-4.5218830384820326E-3</v>
      </c>
      <c r="Z1688" s="105">
        <f>IF($V$1560&gt;0,IPMT('Assumptions (Geo)'!$V$6,Model!AA$1,'Assumptions (Geo)'!$V$9,'Assumptions (Geo)'!$V$4*Model!$V$1560*AVERAGE('Assumptions (Geo)'!$R$2:$T$2)/10^9),0)</f>
        <v>-4.2336573721574525E-3</v>
      </c>
      <c r="AA1688" s="105">
        <f>IF($V$1560&gt;0,IPMT('Assumptions (Geo)'!$V$6,Model!AB$1,'Assumptions (Geo)'!$V$9,'Assumptions (Geo)'!$V$4*Model!$V$1560*AVERAGE('Assumptions (Geo)'!$R$2:$T$2)/10^9),0)</f>
        <v>-3.9317409866824558E-3</v>
      </c>
      <c r="AB1688" s="105">
        <f>IF($V$1560&gt;0,IPMT('Assumptions (Geo)'!$V$6,Model!AC$1,'Assumptions (Geo)'!$V$9,'Assumptions (Geo)'!$V$4*Model!$V$1560*AVERAGE('Assumptions (Geo)'!$R$2:$T$2)/10^9),0)</f>
        <v>-3.6154835728973963E-3</v>
      </c>
      <c r="AC1688" s="105">
        <f>IF($V$1560&gt;0,IPMT('Assumptions (Geo)'!$V$6,Model!AD$1,'Assumptions (Geo)'!$V$9,'Assumptions (Geo)'!$V$4*Model!$V$1560*AVERAGE('Assumptions (Geo)'!$R$2:$T$2)/10^9),0)</f>
        <v>-3.2842039319575466E-3</v>
      </c>
      <c r="AD1688" s="105">
        <f>IF($V$1560&gt;0,IPMT('Assumptions (Geo)'!$V$6,Model!AE$1,'Assumptions (Geo)'!$V$9,'Assumptions (Geo)'!$V$4*Model!$V$1560*AVERAGE('Assumptions (Geo)'!$R$2:$T$2)/10^9),0)</f>
        <v>-2.9371885080730544E-3</v>
      </c>
      <c r="AE1688" s="105">
        <f>IF($V$1560&gt;0,IPMT('Assumptions (Geo)'!$V$6,Model!AF$1,'Assumptions (Geo)'!$V$9,'Assumptions (Geo)'!$V$4*Model!$V$1560*AVERAGE('Assumptions (Geo)'!$R$2:$T$2)/10^9),0)</f>
        <v>-2.5736898515540483E-3</v>
      </c>
      <c r="AF1688" s="105">
        <f>IF($V$1560&gt;0,IPMT('Assumptions (Geo)'!$V$6,Model!AG$1,'Assumptions (Geo)'!$V$9,'Assumptions (Geo)'!$V$4*Model!$V$1560*AVERAGE('Assumptions (Geo)'!$R$2:$T$2)/10^9),0)</f>
        <v>-2.1929250088503897E-3</v>
      </c>
      <c r="AG1688" s="105">
        <f>IF($V$1560&gt;0,IPMT('Assumptions (Geo)'!$V$6,Model!AH$1,'Assumptions (Geo)'!$V$9,'Assumptions (Geo)'!$V$4*Model!$V$1560*AVERAGE('Assumptions (Geo)'!$R$2:$T$2)/10^9),0)</f>
        <v>-1.7940738361183072E-3</v>
      </c>
      <c r="AH1688" s="105">
        <f>IF($V$1560&gt;0,IPMT('Assumptions (Geo)'!$V$6,Model!AI$1,'Assumptions (Geo)'!$V$9,'Assumptions (Geo)'!$V$4*Model!$V$1560*AVERAGE('Assumptions (Geo)'!$R$2:$T$2)/10^9),0)</f>
        <v>-1.3762772326814502E-3</v>
      </c>
      <c r="AI1688" s="105">
        <f>IF($V$1560&gt;0,IPMT('Assumptions (Geo)'!$V$6,Model!AJ$1,'Assumptions (Geo)'!$V$9,'Assumptions (Geo)'!$V$4*Model!$V$1560*AVERAGE('Assumptions (Geo)'!$R$2:$T$2)/10^9),0)</f>
        <v>-9.3863529058134301E-4</v>
      </c>
      <c r="AJ1688" s="105">
        <f>IF($V$1560&gt;0,IPMT('Assumptions (Geo)'!$V$6,Model!AK$1,'Assumptions (Geo)'!$V$9,'Assumptions (Geo)'!$V$4*Model!$V$1560*AVERAGE('Assumptions (Geo)'!$R$2:$T$2)/10^9),0)</f>
        <v>-4.8020535623148082E-4</v>
      </c>
      <c r="AK1688" s="105"/>
      <c r="AL1688" s="105"/>
      <c r="AM1688" s="105"/>
      <c r="AN1688" s="105"/>
      <c r="AO1688" s="105"/>
      <c r="AP1688" s="105"/>
      <c r="AQ1688" s="105"/>
      <c r="AR1688" s="105"/>
      <c r="AS1688" s="105"/>
      <c r="AT1688" s="105"/>
    </row>
    <row r="1689" spans="1:54" ht="15.75" hidden="1" customHeight="1" outlineLevel="1">
      <c r="A1689" s="428"/>
      <c r="B1689" s="99"/>
      <c r="C1689" s="99"/>
      <c r="D1689" s="99"/>
      <c r="E1689" s="99"/>
      <c r="F1689" s="99"/>
      <c r="G1689" s="99"/>
      <c r="H1689" s="99"/>
      <c r="I1689" s="99"/>
      <c r="J1689" s="99"/>
      <c r="K1689" s="99"/>
      <c r="L1689" s="99"/>
      <c r="M1689" s="99"/>
      <c r="N1689" s="99"/>
      <c r="O1689" s="99"/>
      <c r="P1689" s="99"/>
      <c r="Q1689" s="99"/>
      <c r="R1689" s="99"/>
      <c r="S1689" s="99"/>
      <c r="T1689" s="99"/>
      <c r="U1689" s="99"/>
      <c r="V1689" s="99"/>
      <c r="W1689" s="105">
        <f>IF($W$1560&gt;0,IPMT('Assumptions (Geo)'!$V$6,Model!W$1,'Assumptions (Geo)'!$V$9,'Assumptions (Geo)'!$V$4*Model!$W$1560*AVERAGE('Assumptions (Geo)'!$S$2:$U$2)/10^9),0)</f>
        <v>0</v>
      </c>
      <c r="X1689" s="105">
        <f>IF($W$1560&gt;0,IPMT('Assumptions (Geo)'!$V$6,Model!X$1,'Assumptions (Geo)'!$V$9,'Assumptions (Geo)'!$V$4*Model!$W$1560*AVERAGE('Assumptions (Geo)'!$S$2:$U$2)/10^9),0)</f>
        <v>0</v>
      </c>
      <c r="Y1689" s="105">
        <f>IF($W$1560&gt;0,IPMT('Assumptions (Geo)'!$V$6,Model!Y$1,'Assumptions (Geo)'!$V$9,'Assumptions (Geo)'!$V$4*Model!$W$1560*AVERAGE('Assumptions (Geo)'!$S$2:$U$2)/10^9),0)</f>
        <v>0</v>
      </c>
      <c r="Z1689" s="105">
        <f>IF($W$1560&gt;0,IPMT('Assumptions (Geo)'!$V$6,Model!Z$1,'Assumptions (Geo)'!$V$9,'Assumptions (Geo)'!$V$4*Model!$W$1560*AVERAGE('Assumptions (Geo)'!$S$2:$U$2)/10^9),0)</f>
        <v>0</v>
      </c>
      <c r="AA1689" s="105">
        <f>IF($W$1560&gt;0,IPMT('Assumptions (Geo)'!$V$6,Model!AA$1,'Assumptions (Geo)'!$V$9,'Assumptions (Geo)'!$V$4*Model!$W$1560*AVERAGE('Assumptions (Geo)'!$S$2:$U$2)/10^9),0)</f>
        <v>0</v>
      </c>
      <c r="AB1689" s="105">
        <f>IF($W$1560&gt;0,IPMT('Assumptions (Geo)'!$V$6,Model!AB$1,'Assumptions (Geo)'!$V$9,'Assumptions (Geo)'!$V$4*Model!$W$1560*AVERAGE('Assumptions (Geo)'!$S$2:$U$2)/10^9),0)</f>
        <v>0</v>
      </c>
      <c r="AC1689" s="105">
        <f>IF($W$1560&gt;0,IPMT('Assumptions (Geo)'!$V$6,Model!AC$1,'Assumptions (Geo)'!$V$9,'Assumptions (Geo)'!$V$4*Model!$W$1560*AVERAGE('Assumptions (Geo)'!$S$2:$U$2)/10^9),0)</f>
        <v>0</v>
      </c>
      <c r="AD1689" s="105">
        <f>IF($W$1560&gt;0,IPMT('Assumptions (Geo)'!$V$6,Model!AD$1,'Assumptions (Geo)'!$V$9,'Assumptions (Geo)'!$V$4*Model!$W$1560*AVERAGE('Assumptions (Geo)'!$S$2:$U$2)/10^9),0)</f>
        <v>0</v>
      </c>
      <c r="AE1689" s="105">
        <f>IF($W$1560&gt;0,IPMT('Assumptions (Geo)'!$V$6,Model!AE$1,'Assumptions (Geo)'!$V$9,'Assumptions (Geo)'!$V$4*Model!$W$1560*AVERAGE('Assumptions (Geo)'!$S$2:$U$2)/10^9),0)</f>
        <v>0</v>
      </c>
      <c r="AF1689" s="105">
        <f>IF($W$1560&gt;0,IPMT('Assumptions (Geo)'!$V$6,Model!AF$1,'Assumptions (Geo)'!$V$9,'Assumptions (Geo)'!$V$4*Model!$W$1560*AVERAGE('Assumptions (Geo)'!$S$2:$U$2)/10^9),0)</f>
        <v>0</v>
      </c>
      <c r="AG1689" s="105">
        <f>IF($W$1560&gt;0,IPMT('Assumptions (Geo)'!$V$6,Model!AG$1,'Assumptions (Geo)'!$V$9,'Assumptions (Geo)'!$V$4*Model!$W$1560*AVERAGE('Assumptions (Geo)'!$S$2:$U$2)/10^9),0)</f>
        <v>0</v>
      </c>
      <c r="AH1689" s="105">
        <f>IF($W$1560&gt;0,IPMT('Assumptions (Geo)'!$V$6,Model!AH$1,'Assumptions (Geo)'!$V$9,'Assumptions (Geo)'!$V$4*Model!$W$1560*AVERAGE('Assumptions (Geo)'!$S$2:$U$2)/10^9),0)</f>
        <v>0</v>
      </c>
      <c r="AI1689" s="105">
        <f>IF($W$1560&gt;0,IPMT('Assumptions (Geo)'!$V$6,Model!AI$1,'Assumptions (Geo)'!$V$9,'Assumptions (Geo)'!$V$4*Model!$W$1560*AVERAGE('Assumptions (Geo)'!$S$2:$U$2)/10^9),0)</f>
        <v>0</v>
      </c>
      <c r="AJ1689" s="105">
        <f>IF($W$1560&gt;0,IPMT('Assumptions (Geo)'!$V$6,Model!AJ$1,'Assumptions (Geo)'!$V$9,'Assumptions (Geo)'!$V$4*Model!$W$1560*AVERAGE('Assumptions (Geo)'!$S$2:$U$2)/10^9),0)</f>
        <v>0</v>
      </c>
      <c r="AK1689" s="105">
        <f>IF($W$1560&gt;0,IPMT('Assumptions (Geo)'!$V$6,Model!AK$1,'Assumptions (Geo)'!$V$9,'Assumptions (Geo)'!$V$4*Model!$W$1560*AVERAGE('Assumptions (Geo)'!$S$2:$U$2)/10^9),0)</f>
        <v>0</v>
      </c>
      <c r="AL1689" s="105"/>
      <c r="AM1689" s="105"/>
      <c r="AN1689" s="105"/>
      <c r="AO1689" s="105"/>
      <c r="AP1689" s="105"/>
      <c r="AQ1689" s="105"/>
      <c r="AR1689" s="105"/>
      <c r="AS1689" s="105"/>
      <c r="AT1689" s="105"/>
      <c r="AU1689" s="105"/>
      <c r="AV1689" s="105"/>
      <c r="AW1689" s="105"/>
      <c r="AX1689" s="105"/>
      <c r="AY1689" s="105"/>
      <c r="AZ1689" s="105"/>
      <c r="BA1689" s="105"/>
    </row>
    <row r="1690" spans="1:54" ht="15.75" hidden="1" customHeight="1" outlineLevel="1">
      <c r="A1690" s="428"/>
      <c r="B1690" s="99"/>
      <c r="C1690" s="99"/>
      <c r="D1690" s="99"/>
      <c r="E1690" s="99"/>
      <c r="F1690" s="99"/>
      <c r="G1690" s="99"/>
      <c r="H1690" s="99"/>
      <c r="I1690" s="99"/>
      <c r="J1690" s="99"/>
      <c r="K1690" s="99"/>
      <c r="L1690" s="99"/>
      <c r="M1690" s="99"/>
      <c r="N1690" s="99"/>
      <c r="O1690" s="99"/>
      <c r="P1690" s="99"/>
      <c r="Q1690" s="99"/>
      <c r="R1690" s="99"/>
      <c r="S1690" s="99"/>
      <c r="T1690" s="99"/>
      <c r="U1690" s="99"/>
      <c r="V1690" s="99"/>
      <c r="W1690" s="105"/>
      <c r="X1690" s="105">
        <f>IF($X$1560&gt;0,IPMT('Assumptions (Geo)'!$V$6,Model!W$1,'Assumptions (Geo)'!$V$9,'Assumptions (Geo)'!$V$4*Model!$X$1560*AVERAGE('Assumptions (Geo)'!$T$2:$V$2)/10^9),0)</f>
        <v>0</v>
      </c>
      <c r="Y1690" s="105">
        <f>IF($X$1560&gt;0,IPMT('Assumptions (Geo)'!$V$6,Model!X$1,'Assumptions (Geo)'!$V$9,'Assumptions (Geo)'!$V$4*Model!$X$1560*AVERAGE('Assumptions (Geo)'!$T$2:$V$2)/10^9),0)</f>
        <v>0</v>
      </c>
      <c r="Z1690" s="105">
        <f>IF($X$1560&gt;0,IPMT('Assumptions (Geo)'!$V$6,Model!Y$1,'Assumptions (Geo)'!$V$9,'Assumptions (Geo)'!$V$4*Model!$X$1560*AVERAGE('Assumptions (Geo)'!$T$2:$V$2)/10^9),0)</f>
        <v>0</v>
      </c>
      <c r="AA1690" s="105">
        <f>IF($X$1560&gt;0,IPMT('Assumptions (Geo)'!$V$6,Model!Z$1,'Assumptions (Geo)'!$V$9,'Assumptions (Geo)'!$V$4*Model!$X$1560*AVERAGE('Assumptions (Geo)'!$T$2:$V$2)/10^9),0)</f>
        <v>0</v>
      </c>
      <c r="AB1690" s="105">
        <f>IF($X$1560&gt;0,IPMT('Assumptions (Geo)'!$V$6,Model!AA$1,'Assumptions (Geo)'!$V$9,'Assumptions (Geo)'!$V$4*Model!$X$1560*AVERAGE('Assumptions (Geo)'!$T$2:$V$2)/10^9),0)</f>
        <v>0</v>
      </c>
      <c r="AC1690" s="105">
        <f>IF($X$1560&gt;0,IPMT('Assumptions (Geo)'!$V$6,Model!AB$1,'Assumptions (Geo)'!$V$9,'Assumptions (Geo)'!$V$4*Model!$X$1560*AVERAGE('Assumptions (Geo)'!$T$2:$V$2)/10^9),0)</f>
        <v>0</v>
      </c>
      <c r="AD1690" s="105">
        <f>IF($X$1560&gt;0,IPMT('Assumptions (Geo)'!$V$6,Model!AC$1,'Assumptions (Geo)'!$V$9,'Assumptions (Geo)'!$V$4*Model!$X$1560*AVERAGE('Assumptions (Geo)'!$T$2:$V$2)/10^9),0)</f>
        <v>0</v>
      </c>
      <c r="AE1690" s="105">
        <f>IF($X$1560&gt;0,IPMT('Assumptions (Geo)'!$V$6,Model!AD$1,'Assumptions (Geo)'!$V$9,'Assumptions (Geo)'!$V$4*Model!$X$1560*AVERAGE('Assumptions (Geo)'!$T$2:$V$2)/10^9),0)</f>
        <v>0</v>
      </c>
      <c r="AF1690" s="105">
        <f>IF($X$1560&gt;0,IPMT('Assumptions (Geo)'!$V$6,Model!AE$1,'Assumptions (Geo)'!$V$9,'Assumptions (Geo)'!$V$4*Model!$X$1560*AVERAGE('Assumptions (Geo)'!$T$2:$V$2)/10^9),0)</f>
        <v>0</v>
      </c>
      <c r="AG1690" s="105">
        <f>IF($X$1560&gt;0,IPMT('Assumptions (Geo)'!$V$6,Model!AF$1,'Assumptions (Geo)'!$V$9,'Assumptions (Geo)'!$V$4*Model!$X$1560*AVERAGE('Assumptions (Geo)'!$T$2:$V$2)/10^9),0)</f>
        <v>0</v>
      </c>
      <c r="AH1690" s="105">
        <f>IF($X$1560&gt;0,IPMT('Assumptions (Geo)'!$V$6,Model!AG$1,'Assumptions (Geo)'!$V$9,'Assumptions (Geo)'!$V$4*Model!$X$1560*AVERAGE('Assumptions (Geo)'!$T$2:$V$2)/10^9),0)</f>
        <v>0</v>
      </c>
      <c r="AI1690" s="105">
        <f>IF($X$1560&gt;0,IPMT('Assumptions (Geo)'!$V$6,Model!AH$1,'Assumptions (Geo)'!$V$9,'Assumptions (Geo)'!$V$4*Model!$X$1560*AVERAGE('Assumptions (Geo)'!$T$2:$V$2)/10^9),0)</f>
        <v>0</v>
      </c>
      <c r="AJ1690" s="105">
        <f>IF($X$1560&gt;0,IPMT('Assumptions (Geo)'!$V$6,Model!AI$1,'Assumptions (Geo)'!$V$9,'Assumptions (Geo)'!$V$4*Model!$X$1560*AVERAGE('Assumptions (Geo)'!$T$2:$V$2)/10^9),0)</f>
        <v>0</v>
      </c>
      <c r="AK1690" s="105">
        <f>IF($X$1560&gt;0,IPMT('Assumptions (Geo)'!$V$6,Model!AJ$1,'Assumptions (Geo)'!$V$9,'Assumptions (Geo)'!$V$4*Model!$X$1560*AVERAGE('Assumptions (Geo)'!$T$2:$V$2)/10^9),0)</f>
        <v>0</v>
      </c>
      <c r="AL1690" s="105">
        <f>IF($X$1560&gt;0,IPMT('Assumptions (Geo)'!$V$6,Model!AK$1,'Assumptions (Geo)'!$V$9,'Assumptions (Geo)'!$V$4*Model!$X$1560*AVERAGE('Assumptions (Geo)'!$T$2:$V$2)/10^9),0)</f>
        <v>0</v>
      </c>
      <c r="AM1690" s="105"/>
      <c r="AN1690" s="105"/>
      <c r="AO1690" s="105"/>
      <c r="AP1690" s="105"/>
      <c r="AQ1690" s="105"/>
      <c r="AR1690" s="105"/>
      <c r="AS1690" s="105"/>
      <c r="AT1690" s="105"/>
      <c r="AU1690" s="105"/>
      <c r="AV1690" s="105"/>
      <c r="AW1690" s="105"/>
      <c r="AX1690" s="105"/>
      <c r="AY1690" s="105"/>
      <c r="AZ1690" s="105"/>
      <c r="BA1690" s="105"/>
    </row>
    <row r="1691" spans="1:54" ht="15.75" hidden="1" customHeight="1" outlineLevel="1">
      <c r="A1691" s="428"/>
      <c r="B1691" s="99"/>
      <c r="C1691" s="99"/>
      <c r="D1691" s="99"/>
      <c r="E1691" s="99"/>
      <c r="F1691" s="99"/>
      <c r="G1691" s="99"/>
      <c r="H1691" s="99"/>
      <c r="I1691" s="99"/>
      <c r="J1691" s="99"/>
      <c r="K1691" s="99"/>
      <c r="L1691" s="99"/>
      <c r="M1691" s="99"/>
      <c r="N1691" s="99"/>
      <c r="O1691" s="99"/>
      <c r="P1691" s="99"/>
      <c r="Q1691" s="99"/>
      <c r="R1691" s="99"/>
      <c r="S1691" s="99"/>
      <c r="T1691" s="99"/>
      <c r="U1691" s="99"/>
      <c r="V1691" s="99"/>
      <c r="W1691" s="105"/>
      <c r="X1691" s="105"/>
      <c r="Y1691" s="105">
        <f>IF($Y$1560&gt;0,IPMT('Assumptions (Geo)'!$V$6,Model!W$1,'Assumptions (Geo)'!$V$9,'Assumptions (Geo)'!$V$4*Model!$Y$1560*AVERAGE('Assumptions (Geo)'!$U$2:$W$2)/10^9),0)</f>
        <v>0</v>
      </c>
      <c r="Z1691" s="105">
        <f>IF($Y$1560&gt;0,IPMT('Assumptions (Geo)'!$V$6,Model!X$1,'Assumptions (Geo)'!$V$9,'Assumptions (Geo)'!$V$4*Model!$Y$1560*AVERAGE('Assumptions (Geo)'!$U$2:$W$2)/10^9),0)</f>
        <v>0</v>
      </c>
      <c r="AA1691" s="105">
        <f>IF($Y$1560&gt;0,IPMT('Assumptions (Geo)'!$V$6,Model!Y$1,'Assumptions (Geo)'!$V$9,'Assumptions (Geo)'!$V$4*Model!$Y$1560*AVERAGE('Assumptions (Geo)'!$U$2:$W$2)/10^9),0)</f>
        <v>0</v>
      </c>
      <c r="AB1691" s="105">
        <f>IF($Y$1560&gt;0,IPMT('Assumptions (Geo)'!$V$6,Model!Z$1,'Assumptions (Geo)'!$V$9,'Assumptions (Geo)'!$V$4*Model!$Y$1560*AVERAGE('Assumptions (Geo)'!$U$2:$W$2)/10^9),0)</f>
        <v>0</v>
      </c>
      <c r="AC1691" s="105">
        <f>IF($Y$1560&gt;0,IPMT('Assumptions (Geo)'!$V$6,Model!AA$1,'Assumptions (Geo)'!$V$9,'Assumptions (Geo)'!$V$4*Model!$Y$1560*AVERAGE('Assumptions (Geo)'!$U$2:$W$2)/10^9),0)</f>
        <v>0</v>
      </c>
      <c r="AD1691" s="105">
        <f>IF($Y$1560&gt;0,IPMT('Assumptions (Geo)'!$V$6,Model!AB$1,'Assumptions (Geo)'!$V$9,'Assumptions (Geo)'!$V$4*Model!$Y$1560*AVERAGE('Assumptions (Geo)'!$U$2:$W$2)/10^9),0)</f>
        <v>0</v>
      </c>
      <c r="AE1691" s="105">
        <f>IF($Y$1560&gt;0,IPMT('Assumptions (Geo)'!$V$6,Model!AC$1,'Assumptions (Geo)'!$V$9,'Assumptions (Geo)'!$V$4*Model!$Y$1560*AVERAGE('Assumptions (Geo)'!$U$2:$W$2)/10^9),0)</f>
        <v>0</v>
      </c>
      <c r="AF1691" s="105">
        <f>IF($Y$1560&gt;0,IPMT('Assumptions (Geo)'!$V$6,Model!AD$1,'Assumptions (Geo)'!$V$9,'Assumptions (Geo)'!$V$4*Model!$Y$1560*AVERAGE('Assumptions (Geo)'!$U$2:$W$2)/10^9),0)</f>
        <v>0</v>
      </c>
      <c r="AG1691" s="105">
        <f>IF($Y$1560&gt;0,IPMT('Assumptions (Geo)'!$V$6,Model!AE$1,'Assumptions (Geo)'!$V$9,'Assumptions (Geo)'!$V$4*Model!$Y$1560*AVERAGE('Assumptions (Geo)'!$U$2:$W$2)/10^9),0)</f>
        <v>0</v>
      </c>
      <c r="AH1691" s="105">
        <f>IF($Y$1560&gt;0,IPMT('Assumptions (Geo)'!$V$6,Model!AF$1,'Assumptions (Geo)'!$V$9,'Assumptions (Geo)'!$V$4*Model!$Y$1560*AVERAGE('Assumptions (Geo)'!$U$2:$W$2)/10^9),0)</f>
        <v>0</v>
      </c>
      <c r="AI1691" s="105">
        <f>IF($Y$1560&gt;0,IPMT('Assumptions (Geo)'!$V$6,Model!AG$1,'Assumptions (Geo)'!$V$9,'Assumptions (Geo)'!$V$4*Model!$Y$1560*AVERAGE('Assumptions (Geo)'!$U$2:$W$2)/10^9),0)</f>
        <v>0</v>
      </c>
      <c r="AJ1691" s="105">
        <f>IF($Y$1560&gt;0,IPMT('Assumptions (Geo)'!$V$6,Model!AH$1,'Assumptions (Geo)'!$V$9,'Assumptions (Geo)'!$V$4*Model!$Y$1560*AVERAGE('Assumptions (Geo)'!$U$2:$W$2)/10^9),0)</f>
        <v>0</v>
      </c>
      <c r="AK1691" s="105">
        <f>IF($Y$1560&gt;0,IPMT('Assumptions (Geo)'!$V$6,Model!AI$1,'Assumptions (Geo)'!$V$9,'Assumptions (Geo)'!$V$4*Model!$Y$1560*AVERAGE('Assumptions (Geo)'!$U$2:$W$2)/10^9),0)</f>
        <v>0</v>
      </c>
      <c r="AL1691" s="105">
        <f>IF($Y$1560&gt;0,IPMT('Assumptions (Geo)'!$V$6,Model!AJ$1,'Assumptions (Geo)'!$V$9,'Assumptions (Geo)'!$V$4*Model!$Y$1560*AVERAGE('Assumptions (Geo)'!$U$2:$W$2)/10^9),0)</f>
        <v>0</v>
      </c>
      <c r="AM1691" s="105">
        <f>IF($Y$1560&gt;0,IPMT('Assumptions (Geo)'!$V$6,Model!AK$1,'Assumptions (Geo)'!$V$9,'Assumptions (Geo)'!$V$4*Model!$Y$1560*AVERAGE('Assumptions (Geo)'!$U$2:$W$2)/10^9),0)</f>
        <v>0</v>
      </c>
      <c r="AN1691" s="105"/>
      <c r="AO1691" s="105"/>
      <c r="AP1691" s="105"/>
      <c r="AQ1691" s="105"/>
      <c r="AR1691" s="105"/>
      <c r="AS1691" s="105"/>
      <c r="AT1691" s="105"/>
      <c r="AU1691" s="105"/>
      <c r="AV1691" s="105"/>
      <c r="AW1691" s="105"/>
      <c r="AX1691" s="105"/>
      <c r="AY1691" s="105"/>
      <c r="AZ1691" s="105"/>
      <c r="BA1691" s="105"/>
    </row>
    <row r="1692" spans="1:54" ht="15.75" hidden="1" customHeight="1" outlineLevel="1">
      <c r="A1692" s="428"/>
      <c r="B1692" s="99"/>
      <c r="C1692" s="99"/>
      <c r="D1692" s="99"/>
      <c r="E1692" s="99"/>
      <c r="F1692" s="99"/>
      <c r="G1692" s="99"/>
      <c r="H1692" s="99"/>
      <c r="I1692" s="99"/>
      <c r="J1692" s="99"/>
      <c r="K1692" s="99"/>
      <c r="L1692" s="99"/>
      <c r="M1692" s="99"/>
      <c r="N1692" s="99"/>
      <c r="O1692" s="99"/>
      <c r="P1692" s="99"/>
      <c r="Q1692" s="99"/>
      <c r="R1692" s="99"/>
      <c r="S1692" s="99"/>
      <c r="T1692" s="99"/>
      <c r="U1692" s="99"/>
      <c r="V1692" s="99"/>
      <c r="W1692" s="105"/>
      <c r="X1692" s="105"/>
      <c r="Y1692" s="105"/>
      <c r="Z1692" s="105">
        <f>IF($Z$1560&gt;0,IPMT('Assumptions (Geo)'!$V$6,Model!W$1,'Assumptions (Geo)'!$V$9,'Assumptions (Geo)'!$V$4*Model!$Z$1560*AVERAGE('Assumptions (Geo)'!$V$2:$X$2)/10^9),0)</f>
        <v>-5.6976759308934152E-4</v>
      </c>
      <c r="AA1692" s="105">
        <f>IF($Z$1560&gt;0,IPMT('Assumptions (Geo)'!$V$6,Model!X$1,'Assumptions (Geo)'!$V$9,'Assumptions (Geo)'!$V$4*Model!$Z$1560*AVERAGE('Assumptions (Geo)'!$V$2:$X$2)/10^9),0)</f>
        <v>-5.4286252099311212E-4</v>
      </c>
      <c r="AB1692" s="105">
        <f>IF($Z$1560&gt;0,IPMT('Assumptions (Geo)'!$V$6,Model!Y$1,'Assumptions (Geo)'!$V$9,'Assumptions (Geo)'!$V$4*Model!$Z$1560*AVERAGE('Assumptions (Geo)'!$V$2:$X$2)/10^9),0)</f>
        <v>-5.1467945797231175E-4</v>
      </c>
      <c r="AC1692" s="105">
        <f>IF($Z$1560&gt;0,IPMT('Assumptions (Geo)'!$V$6,Model!Z$1,'Assumptions (Geo)'!$V$9,'Assumptions (Geo)'!$V$4*Model!$Z$1560*AVERAGE('Assumptions (Geo)'!$V$2:$X$2)/10^9),0)</f>
        <v>-4.8515769945802351E-4</v>
      </c>
      <c r="AD1692" s="105">
        <f>IF($Z$1560&gt;0,IPMT('Assumptions (Geo)'!$V$6,Model!AA$1,'Assumptions (Geo)'!$V$9,'Assumptions (Geo)'!$V$4*Model!$Z$1560*AVERAGE('Assumptions (Geo)'!$V$2:$X$2)/10^9),0)</f>
        <v>-4.542336574143066E-4</v>
      </c>
      <c r="AE1692" s="105">
        <f>IF($Z$1560&gt;0,IPMT('Assumptions (Geo)'!$V$6,Model!AB$1,'Assumptions (Geo)'!$V$9,'Assumptions (Geo)'!$V$4*Model!$Z$1560*AVERAGE('Assumptions (Geo)'!$V$2:$X$2)/10^9),0)</f>
        <v>-4.2184072337351309E-4</v>
      </c>
      <c r="AF1692" s="105">
        <f>IF($Z$1560&gt;0,IPMT('Assumptions (Geo)'!$V$6,Model!AC$1,'Assumptions (Geo)'!$V$9,'Assumptions (Geo)'!$V$4*Model!$Z$1560*AVERAGE('Assumptions (Geo)'!$V$2:$X$2)/10^9),0)</f>
        <v>-3.8790912496578184E-4</v>
      </c>
      <c r="AG1692" s="105">
        <f>IF($Z$1560&gt;0,IPMT('Assumptions (Geo)'!$V$6,Model!AD$1,'Assumptions (Geo)'!$V$9,'Assumptions (Geo)'!$V$4*Model!$Z$1560*AVERAGE('Assumptions (Geo)'!$V$2:$X$2)/10^9),0)</f>
        <v>-3.5236577563368341E-4</v>
      </c>
      <c r="AH1692" s="105">
        <f>IF($Z$1560&gt;0,IPMT('Assumptions (Geo)'!$V$6,Model!AE$1,'Assumptions (Geo)'!$V$9,'Assumptions (Geo)'!$V$4*Model!$Z$1560*AVERAGE('Assumptions (Geo)'!$V$2:$X$2)/10^9),0)</f>
        <v>-3.1513411720831034E-4</v>
      </c>
      <c r="AI1692" s="105">
        <f>IF($Z$1560&gt;0,IPMT('Assumptions (Geo)'!$V$6,Model!AF$1,'Assumptions (Geo)'!$V$9,'Assumptions (Geo)'!$V$4*Model!$Z$1560*AVERAGE('Assumptions (Geo)'!$V$2:$X$2)/10^9),0)</f>
        <v>-2.7613395500773204E-4</v>
      </c>
      <c r="AJ1692" s="105">
        <f>IF($Z$1560&gt;0,IPMT('Assumptions (Geo)'!$V$6,Model!AG$1,'Assumptions (Geo)'!$V$9,'Assumptions (Geo)'!$V$4*Model!$Z$1560*AVERAGE('Assumptions (Geo)'!$V$2:$X$2)/10^9),0)</f>
        <v>-2.3528128510262624E-4</v>
      </c>
      <c r="AK1692" s="105">
        <f>IF($Z$1560&gt;0,IPMT('Assumptions (Geo)'!$V$6,Model!AH$1,'Assumptions (Geo)'!$V$9,'Assumptions (Geo)'!$V$4*Model!$Z$1560*AVERAGE('Assumptions (Geo)'!$V$2:$X$2)/10^9),0)</f>
        <v>-1.9248811337702794E-4</v>
      </c>
      <c r="AL1692" s="105">
        <f>IF($Z$1560&gt;0,IPMT('Assumptions (Geo)'!$V$6,Model!AI$1,'Assumptions (Geo)'!$V$9,'Assumptions (Geo)'!$V$4*Model!$Z$1560*AVERAGE('Assumptions (Geo)'!$V$2:$X$2)/10^9),0)</f>
        <v>-1.4766226599446363E-4</v>
      </c>
      <c r="AM1692" s="105">
        <f>IF($Z$1560&gt;0,IPMT('Assumptions (Geo)'!$V$6,Model!AJ$1,'Assumptions (Geo)'!$V$9,'Assumptions (Geo)'!$V$4*Model!$Z$1560*AVERAGE('Assumptions (Geo)'!$V$2:$X$2)/10^9),0)</f>
        <v>-1.0070719086122759E-4</v>
      </c>
      <c r="AN1692" s="105">
        <f>IF($Z$1560&gt;0,IPMT('Assumptions (Geo)'!$V$6,Model!AK$1,'Assumptions (Geo)'!$V$9,'Assumptions (Geo)'!$V$4*Model!$Z$1560*AVERAGE('Assumptions (Geo)'!$V$2:$X$2)/10^9),0)</f>
        <v>-5.1521749659162834E-5</v>
      </c>
      <c r="AO1692" s="105"/>
      <c r="AP1692" s="105"/>
      <c r="AQ1692" s="105"/>
      <c r="AR1692" s="105"/>
      <c r="AS1692" s="105"/>
      <c r="AT1692" s="105"/>
      <c r="AU1692" s="105"/>
      <c r="AV1692" s="105"/>
      <c r="AW1692" s="105"/>
      <c r="AX1692" s="105"/>
      <c r="AY1692" s="105"/>
      <c r="AZ1692" s="105"/>
      <c r="BA1692" s="105"/>
    </row>
    <row r="1693" spans="1:54" ht="15.75" hidden="1" customHeight="1" outlineLevel="1">
      <c r="A1693" s="428"/>
      <c r="B1693" s="99"/>
      <c r="C1693" s="99"/>
      <c r="D1693" s="99"/>
      <c r="E1693" s="99"/>
      <c r="F1693" s="99"/>
      <c r="G1693" s="99"/>
      <c r="H1693" s="99"/>
      <c r="I1693" s="99"/>
      <c r="J1693" s="99"/>
      <c r="K1693" s="99"/>
      <c r="L1693" s="99"/>
      <c r="M1693" s="99"/>
      <c r="N1693" s="99"/>
      <c r="O1693" s="99"/>
      <c r="P1693" s="99"/>
      <c r="Q1693" s="99"/>
      <c r="R1693" s="99"/>
      <c r="S1693" s="99"/>
      <c r="T1693" s="99"/>
      <c r="U1693" s="99"/>
      <c r="V1693" s="99"/>
      <c r="W1693" s="105"/>
      <c r="X1693" s="105"/>
      <c r="Y1693" s="105"/>
      <c r="Z1693" s="105"/>
      <c r="AA1693" s="105">
        <f>IF($AA$1560&gt;0,IPMT('Assumptions (Geo)'!$V$6,Model!W$1,'Assumptions (Geo)'!$V$9,'Assumptions (Geo)'!$V$4*Model!$AA$1560*AVERAGE('Assumptions (Geo)'!$W$2:$Y$2)/10^9),0)</f>
        <v>0</v>
      </c>
      <c r="AB1693" s="105">
        <f>IF($AA$1560&gt;0,IPMT('Assumptions (Geo)'!$V$6,Model!X$1,'Assumptions (Geo)'!$V$9,'Assumptions (Geo)'!$V$4*Model!$AA$1560*AVERAGE('Assumptions (Geo)'!$W$2:$Y$2)/10^9),0)</f>
        <v>0</v>
      </c>
      <c r="AC1693" s="105">
        <f>IF($AA$1560&gt;0,IPMT('Assumptions (Geo)'!$V$6,Model!Y$1,'Assumptions (Geo)'!$V$9,'Assumptions (Geo)'!$V$4*Model!$AA$1560*AVERAGE('Assumptions (Geo)'!$W$2:$Y$2)/10^9),0)</f>
        <v>0</v>
      </c>
      <c r="AD1693" s="105">
        <f>IF($AA$1560&gt;0,IPMT('Assumptions (Geo)'!$V$6,Model!Z$1,'Assumptions (Geo)'!$V$9,'Assumptions (Geo)'!$V$4*Model!$AA$1560*AVERAGE('Assumptions (Geo)'!$W$2:$Y$2)/10^9),0)</f>
        <v>0</v>
      </c>
      <c r="AE1693" s="105">
        <f>IF($AA$1560&gt;0,IPMT('Assumptions (Geo)'!$V$6,Model!AA$1,'Assumptions (Geo)'!$V$9,'Assumptions (Geo)'!$V$4*Model!$AA$1560*AVERAGE('Assumptions (Geo)'!$W$2:$Y$2)/10^9),0)</f>
        <v>0</v>
      </c>
      <c r="AF1693" s="105">
        <f>IF($AA$1560&gt;0,IPMT('Assumptions (Geo)'!$V$6,Model!AB$1,'Assumptions (Geo)'!$V$9,'Assumptions (Geo)'!$V$4*Model!$AA$1560*AVERAGE('Assumptions (Geo)'!$W$2:$Y$2)/10^9),0)</f>
        <v>0</v>
      </c>
      <c r="AG1693" s="105">
        <f>IF($AA$1560&gt;0,IPMT('Assumptions (Geo)'!$V$6,Model!AC$1,'Assumptions (Geo)'!$V$9,'Assumptions (Geo)'!$V$4*Model!$AA$1560*AVERAGE('Assumptions (Geo)'!$W$2:$Y$2)/10^9),0)</f>
        <v>0</v>
      </c>
      <c r="AH1693" s="105">
        <f>IF($AA$1560&gt;0,IPMT('Assumptions (Geo)'!$V$6,Model!AD$1,'Assumptions (Geo)'!$V$9,'Assumptions (Geo)'!$V$4*Model!$AA$1560*AVERAGE('Assumptions (Geo)'!$W$2:$Y$2)/10^9),0)</f>
        <v>0</v>
      </c>
      <c r="AI1693" s="105">
        <f>IF($AA$1560&gt;0,IPMT('Assumptions (Geo)'!$V$6,Model!AE$1,'Assumptions (Geo)'!$V$9,'Assumptions (Geo)'!$V$4*Model!$AA$1560*AVERAGE('Assumptions (Geo)'!$W$2:$Y$2)/10^9),0)</f>
        <v>0</v>
      </c>
      <c r="AJ1693" s="105">
        <f>IF($AA$1560&gt;0,IPMT('Assumptions (Geo)'!$V$6,Model!AF$1,'Assumptions (Geo)'!$V$9,'Assumptions (Geo)'!$V$4*Model!$AA$1560*AVERAGE('Assumptions (Geo)'!$W$2:$Y$2)/10^9),0)</f>
        <v>0</v>
      </c>
      <c r="AK1693" s="105">
        <f>IF($AA$1560&gt;0,IPMT('Assumptions (Geo)'!$V$6,Model!AG$1,'Assumptions (Geo)'!$V$9,'Assumptions (Geo)'!$V$4*Model!$AA$1560*AVERAGE('Assumptions (Geo)'!$W$2:$Y$2)/10^9),0)</f>
        <v>0</v>
      </c>
      <c r="AL1693" s="105">
        <f>IF($AA$1560&gt;0,IPMT('Assumptions (Geo)'!$V$6,Model!AH$1,'Assumptions (Geo)'!$V$9,'Assumptions (Geo)'!$V$4*Model!$AA$1560*AVERAGE('Assumptions (Geo)'!$W$2:$Y$2)/10^9),0)</f>
        <v>0</v>
      </c>
      <c r="AM1693" s="105">
        <f>IF($AA$1560&gt;0,IPMT('Assumptions (Geo)'!$V$6,Model!AI$1,'Assumptions (Geo)'!$V$9,'Assumptions (Geo)'!$V$4*Model!$AA$1560*AVERAGE('Assumptions (Geo)'!$W$2:$Y$2)/10^9),0)</f>
        <v>0</v>
      </c>
      <c r="AN1693" s="105">
        <f>IF($AA$1560&gt;0,IPMT('Assumptions (Geo)'!$V$6,Model!AJ$1,'Assumptions (Geo)'!$V$9,'Assumptions (Geo)'!$V$4*Model!$AA$1560*AVERAGE('Assumptions (Geo)'!$W$2:$Y$2)/10^9),0)</f>
        <v>0</v>
      </c>
      <c r="AO1693" s="105">
        <f>IF($AA$1560&gt;0,IPMT('Assumptions (Geo)'!$V$6,Model!AK$1,'Assumptions (Geo)'!$V$9,'Assumptions (Geo)'!$V$4*Model!$AA$1560*AVERAGE('Assumptions (Geo)'!$W$2:$Y$2)/10^9),0)</f>
        <v>0</v>
      </c>
      <c r="AP1693" s="105"/>
      <c r="AQ1693" s="105"/>
      <c r="AR1693" s="105"/>
      <c r="AS1693" s="105"/>
      <c r="AT1693" s="105"/>
      <c r="AU1693" s="105"/>
      <c r="AV1693" s="105"/>
      <c r="AW1693" s="105"/>
      <c r="AX1693" s="105"/>
      <c r="AY1693" s="105"/>
      <c r="AZ1693" s="105"/>
      <c r="BA1693" s="105"/>
    </row>
    <row r="1694" spans="1:54" ht="15.75" hidden="1" customHeight="1" outlineLevel="1">
      <c r="A1694" s="428"/>
      <c r="B1694" s="99"/>
      <c r="C1694" s="99"/>
      <c r="D1694" s="99"/>
      <c r="E1694" s="99"/>
      <c r="F1694" s="99"/>
      <c r="G1694" s="99"/>
      <c r="H1694" s="99"/>
      <c r="I1694" s="99"/>
      <c r="J1694" s="99"/>
      <c r="K1694" s="99"/>
      <c r="L1694" s="99"/>
      <c r="M1694" s="99"/>
      <c r="N1694" s="99"/>
      <c r="O1694" s="99"/>
      <c r="P1694" s="99"/>
      <c r="Q1694" s="99"/>
      <c r="R1694" s="99"/>
      <c r="S1694" s="99"/>
      <c r="T1694" s="99"/>
      <c r="U1694" s="99"/>
      <c r="V1694" s="99"/>
      <c r="W1694" s="105"/>
      <c r="X1694" s="105"/>
      <c r="Y1694" s="105"/>
      <c r="Z1694" s="105"/>
      <c r="AA1694" s="105"/>
      <c r="AB1694" s="105">
        <f>IF($AB$1560&gt;0,IPMT('Assumptions (Geo)'!$V$6,Model!W$1,'Assumptions (Geo)'!$V$9,'Assumptions (Geo)'!$V$4*Model!$AB$1560*AVERAGE('Assumptions (Geo)'!$X$2:$Z$2)/10^9),0)</f>
        <v>0</v>
      </c>
      <c r="AC1694" s="105">
        <f>IF($AB$1560&gt;0,IPMT('Assumptions (Geo)'!$V$6,Model!X$1,'Assumptions (Geo)'!$V$9,'Assumptions (Geo)'!$V$4*Model!$AB$1560*AVERAGE('Assumptions (Geo)'!$X$2:$Z$2)/10^9),0)</f>
        <v>0</v>
      </c>
      <c r="AD1694" s="105">
        <f>IF($AB$1560&gt;0,IPMT('Assumptions (Geo)'!$V$6,Model!Y$1,'Assumptions (Geo)'!$V$9,'Assumptions (Geo)'!$V$4*Model!$AB$1560*AVERAGE('Assumptions (Geo)'!$X$2:$Z$2)/10^9),0)</f>
        <v>0</v>
      </c>
      <c r="AE1694" s="105">
        <f>IF($AB$1560&gt;0,IPMT('Assumptions (Geo)'!$V$6,Model!Z$1,'Assumptions (Geo)'!$V$9,'Assumptions (Geo)'!$V$4*Model!$AB$1560*AVERAGE('Assumptions (Geo)'!$X$2:$Z$2)/10^9),0)</f>
        <v>0</v>
      </c>
      <c r="AF1694" s="105">
        <f>IF($AB$1560&gt;0,IPMT('Assumptions (Geo)'!$V$6,Model!AA$1,'Assumptions (Geo)'!$V$9,'Assumptions (Geo)'!$V$4*Model!$AB$1560*AVERAGE('Assumptions (Geo)'!$X$2:$Z$2)/10^9),0)</f>
        <v>0</v>
      </c>
      <c r="AG1694" s="105">
        <f>IF($AB$1560&gt;0,IPMT('Assumptions (Geo)'!$V$6,Model!AB$1,'Assumptions (Geo)'!$V$9,'Assumptions (Geo)'!$V$4*Model!$AB$1560*AVERAGE('Assumptions (Geo)'!$X$2:$Z$2)/10^9),0)</f>
        <v>0</v>
      </c>
      <c r="AH1694" s="105">
        <f>IF($AB$1560&gt;0,IPMT('Assumptions (Geo)'!$V$6,Model!AC$1,'Assumptions (Geo)'!$V$9,'Assumptions (Geo)'!$V$4*Model!$AB$1560*AVERAGE('Assumptions (Geo)'!$X$2:$Z$2)/10^9),0)</f>
        <v>0</v>
      </c>
      <c r="AI1694" s="105">
        <f>IF($AB$1560&gt;0,IPMT('Assumptions (Geo)'!$V$6,Model!AD$1,'Assumptions (Geo)'!$V$9,'Assumptions (Geo)'!$V$4*Model!$AB$1560*AVERAGE('Assumptions (Geo)'!$X$2:$Z$2)/10^9),0)</f>
        <v>0</v>
      </c>
      <c r="AJ1694" s="105">
        <f>IF($AB$1560&gt;0,IPMT('Assumptions (Geo)'!$V$6,Model!AE$1,'Assumptions (Geo)'!$V$9,'Assumptions (Geo)'!$V$4*Model!$AB$1560*AVERAGE('Assumptions (Geo)'!$X$2:$Z$2)/10^9),0)</f>
        <v>0</v>
      </c>
      <c r="AK1694" s="105">
        <f>IF($AB$1560&gt;0,IPMT('Assumptions (Geo)'!$V$6,Model!AF$1,'Assumptions (Geo)'!$V$9,'Assumptions (Geo)'!$V$4*Model!$AB$1560*AVERAGE('Assumptions (Geo)'!$X$2:$Z$2)/10^9),0)</f>
        <v>0</v>
      </c>
      <c r="AL1694" s="105">
        <f>IF($AB$1560&gt;0,IPMT('Assumptions (Geo)'!$V$6,Model!AG$1,'Assumptions (Geo)'!$V$9,'Assumptions (Geo)'!$V$4*Model!$AB$1560*AVERAGE('Assumptions (Geo)'!$X$2:$Z$2)/10^9),0)</f>
        <v>0</v>
      </c>
      <c r="AM1694" s="105">
        <f>IF($AB$1560&gt;0,IPMT('Assumptions (Geo)'!$V$6,Model!AH$1,'Assumptions (Geo)'!$V$9,'Assumptions (Geo)'!$V$4*Model!$AB$1560*AVERAGE('Assumptions (Geo)'!$X$2:$Z$2)/10^9),0)</f>
        <v>0</v>
      </c>
      <c r="AN1694" s="105">
        <f>IF($AB$1560&gt;0,IPMT('Assumptions (Geo)'!$V$6,Model!AI$1,'Assumptions (Geo)'!$V$9,'Assumptions (Geo)'!$V$4*Model!$AB$1560*AVERAGE('Assumptions (Geo)'!$X$2:$Z$2)/10^9),0)</f>
        <v>0</v>
      </c>
      <c r="AO1694" s="105">
        <f>IF($AB$1560&gt;0,IPMT('Assumptions (Geo)'!$V$6,Model!AJ$1,'Assumptions (Geo)'!$V$9,'Assumptions (Geo)'!$V$4*Model!$AB$1560*AVERAGE('Assumptions (Geo)'!$X$2:$Z$2)/10^9),0)</f>
        <v>0</v>
      </c>
      <c r="AP1694" s="105">
        <f>IF($AB$1560&gt;0,IPMT('Assumptions (Geo)'!$V$6,Model!AK$1,'Assumptions (Geo)'!$V$9,'Assumptions (Geo)'!$V$4*Model!$AB$1560*AVERAGE('Assumptions (Geo)'!$X$2:$Z$2)/10^9),0)</f>
        <v>0</v>
      </c>
      <c r="AQ1694" s="105"/>
      <c r="AR1694" s="105"/>
      <c r="AS1694" s="105"/>
      <c r="AT1694" s="105"/>
      <c r="AU1694" s="105"/>
      <c r="AV1694" s="105"/>
      <c r="AW1694" s="105"/>
      <c r="AX1694" s="105"/>
      <c r="AY1694" s="105"/>
      <c r="AZ1694" s="105"/>
      <c r="BA1694" s="105"/>
    </row>
    <row r="1695" spans="1:54" ht="15.75" hidden="1" customHeight="1" outlineLevel="1">
      <c r="A1695" s="428"/>
      <c r="B1695" s="99"/>
      <c r="C1695" s="99"/>
      <c r="D1695" s="99"/>
      <c r="E1695" s="99"/>
      <c r="F1695" s="99"/>
      <c r="G1695" s="99"/>
      <c r="H1695" s="99"/>
      <c r="I1695" s="99"/>
      <c r="J1695" s="99"/>
      <c r="K1695" s="99"/>
      <c r="L1695" s="99"/>
      <c r="M1695" s="99"/>
      <c r="N1695" s="99"/>
      <c r="O1695" s="99"/>
      <c r="P1695" s="99"/>
      <c r="Q1695" s="99"/>
      <c r="R1695" s="99"/>
      <c r="S1695" s="99"/>
      <c r="T1695" s="99"/>
      <c r="U1695" s="99"/>
      <c r="V1695" s="99"/>
      <c r="W1695" s="105"/>
      <c r="X1695" s="105"/>
      <c r="Y1695" s="105"/>
      <c r="Z1695" s="105"/>
      <c r="AA1695" s="105"/>
      <c r="AB1695" s="105"/>
      <c r="AC1695" s="105">
        <f>IF($AC$1560&gt;0,IPMT('Assumptions (Geo)'!$V$6,Model!W$1,'Assumptions (Geo)'!$V$9,'Assumptions (Geo)'!$V$4*Model!$AC$1560*AVERAGE('Assumptions (Geo)'!$Y$2:$AA$2)/10^9),0)</f>
        <v>0</v>
      </c>
      <c r="AD1695" s="105">
        <f>IF($AC$1560&gt;0,IPMT('Assumptions (Geo)'!$V$6,Model!X$1,'Assumptions (Geo)'!$V$9,'Assumptions (Geo)'!$V$4*Model!$AC$1560*AVERAGE('Assumptions (Geo)'!$Y$2:$AA$2)/10^9),0)</f>
        <v>0</v>
      </c>
      <c r="AE1695" s="105">
        <f>IF($AC$1560&gt;0,IPMT('Assumptions (Geo)'!$V$6,Model!Y$1,'Assumptions (Geo)'!$V$9,'Assumptions (Geo)'!$V$4*Model!$AC$1560*AVERAGE('Assumptions (Geo)'!$Y$2:$AA$2)/10^9),0)</f>
        <v>0</v>
      </c>
      <c r="AF1695" s="105">
        <f>IF($AC$1560&gt;0,IPMT('Assumptions (Geo)'!$V$6,Model!Z$1,'Assumptions (Geo)'!$V$9,'Assumptions (Geo)'!$V$4*Model!$AC$1560*AVERAGE('Assumptions (Geo)'!$Y$2:$AA$2)/10^9),0)</f>
        <v>0</v>
      </c>
      <c r="AG1695" s="105">
        <f>IF($AC$1560&gt;0,IPMT('Assumptions (Geo)'!$V$6,Model!AA$1,'Assumptions (Geo)'!$V$9,'Assumptions (Geo)'!$V$4*Model!$AC$1560*AVERAGE('Assumptions (Geo)'!$Y$2:$AA$2)/10^9),0)</f>
        <v>0</v>
      </c>
      <c r="AH1695" s="105">
        <f>IF($AC$1560&gt;0,IPMT('Assumptions (Geo)'!$V$6,Model!AB$1,'Assumptions (Geo)'!$V$9,'Assumptions (Geo)'!$V$4*Model!$AC$1560*AVERAGE('Assumptions (Geo)'!$Y$2:$AA$2)/10^9),0)</f>
        <v>0</v>
      </c>
      <c r="AI1695" s="105">
        <f>IF($AC$1560&gt;0,IPMT('Assumptions (Geo)'!$V$6,Model!AC$1,'Assumptions (Geo)'!$V$9,'Assumptions (Geo)'!$V$4*Model!$AC$1560*AVERAGE('Assumptions (Geo)'!$Y$2:$AA$2)/10^9),0)</f>
        <v>0</v>
      </c>
      <c r="AJ1695" s="105">
        <f>IF($AC$1560&gt;0,IPMT('Assumptions (Geo)'!$V$6,Model!AD$1,'Assumptions (Geo)'!$V$9,'Assumptions (Geo)'!$V$4*Model!$AC$1560*AVERAGE('Assumptions (Geo)'!$Y$2:$AA$2)/10^9),0)</f>
        <v>0</v>
      </c>
      <c r="AK1695" s="105">
        <f>IF($AC$1560&gt;0,IPMT('Assumptions (Geo)'!$V$6,Model!AE$1,'Assumptions (Geo)'!$V$9,'Assumptions (Geo)'!$V$4*Model!$AC$1560*AVERAGE('Assumptions (Geo)'!$Y$2:$AA$2)/10^9),0)</f>
        <v>0</v>
      </c>
      <c r="AL1695" s="105">
        <f>IF($AC$1560&gt;0,IPMT('Assumptions (Geo)'!$V$6,Model!AF$1,'Assumptions (Geo)'!$V$9,'Assumptions (Geo)'!$V$4*Model!$AC$1560*AVERAGE('Assumptions (Geo)'!$Y$2:$AA$2)/10^9),0)</f>
        <v>0</v>
      </c>
      <c r="AM1695" s="105">
        <f>IF($AC$1560&gt;0,IPMT('Assumptions (Geo)'!$V$6,Model!AG$1,'Assumptions (Geo)'!$V$9,'Assumptions (Geo)'!$V$4*Model!$AC$1560*AVERAGE('Assumptions (Geo)'!$Y$2:$AA$2)/10^9),0)</f>
        <v>0</v>
      </c>
      <c r="AN1695" s="105">
        <f>IF($AC$1560&gt;0,IPMT('Assumptions (Geo)'!$V$6,Model!AH$1,'Assumptions (Geo)'!$V$9,'Assumptions (Geo)'!$V$4*Model!$AC$1560*AVERAGE('Assumptions (Geo)'!$Y$2:$AA$2)/10^9),0)</f>
        <v>0</v>
      </c>
      <c r="AO1695" s="105">
        <f>IF($AC$1560&gt;0,IPMT('Assumptions (Geo)'!$V$6,Model!AI$1,'Assumptions (Geo)'!$V$9,'Assumptions (Geo)'!$V$4*Model!$AC$1560*AVERAGE('Assumptions (Geo)'!$Y$2:$AA$2)/10^9),0)</f>
        <v>0</v>
      </c>
      <c r="AP1695" s="105">
        <f>IF($AC$1560&gt;0,IPMT('Assumptions (Geo)'!$V$6,Model!AJ$1,'Assumptions (Geo)'!$V$9,'Assumptions (Geo)'!$V$4*Model!$AC$1560*AVERAGE('Assumptions (Geo)'!$Y$2:$AA$2)/10^9),0)</f>
        <v>0</v>
      </c>
      <c r="AQ1695" s="105">
        <f>IF($AC$1560&gt;0,IPMT('Assumptions (Geo)'!$V$6,Model!AK$1,'Assumptions (Geo)'!$V$9,'Assumptions (Geo)'!$V$4*Model!$AC$1560*AVERAGE('Assumptions (Geo)'!$Y$2:$AA$2)/10^9),0)</f>
        <v>0</v>
      </c>
      <c r="AR1695" s="105"/>
      <c r="AS1695" s="105"/>
      <c r="AT1695" s="105"/>
      <c r="AU1695" s="105"/>
      <c r="AV1695" s="105"/>
      <c r="AW1695" s="105"/>
      <c r="AX1695" s="105"/>
      <c r="AY1695" s="105"/>
      <c r="AZ1695" s="105"/>
      <c r="BA1695" s="105"/>
    </row>
    <row r="1696" spans="1:54" ht="15.75" hidden="1" customHeight="1" outlineLevel="1">
      <c r="A1696" s="428"/>
      <c r="B1696" s="99"/>
      <c r="C1696" s="99"/>
      <c r="D1696" s="99"/>
      <c r="E1696" s="99"/>
      <c r="F1696" s="99"/>
      <c r="G1696" s="99"/>
      <c r="H1696" s="99"/>
      <c r="I1696" s="99"/>
      <c r="J1696" s="99"/>
      <c r="K1696" s="99"/>
      <c r="L1696" s="99"/>
      <c r="M1696" s="99"/>
      <c r="N1696" s="99"/>
      <c r="O1696" s="99"/>
      <c r="P1696" s="99"/>
      <c r="Q1696" s="99"/>
      <c r="R1696" s="99"/>
      <c r="S1696" s="99"/>
      <c r="T1696" s="99"/>
      <c r="U1696" s="99"/>
      <c r="V1696" s="99"/>
      <c r="W1696" s="105"/>
      <c r="X1696" s="105"/>
      <c r="Y1696" s="105"/>
      <c r="Z1696" s="105"/>
      <c r="AA1696" s="105"/>
      <c r="AB1696" s="105"/>
      <c r="AC1696" s="105"/>
      <c r="AD1696" s="105">
        <f>IF($AD$1560&gt;0,IPMT('Assumptions (Geo)'!$V$6,Model!W$1,'Assumptions (Geo)'!$V$9,'Assumptions (Geo)'!$V$4*Model!$AD$1560*AVERAGE('Assumptions (Geo)'!$Z$2:$AB$2)/10^9),0)</f>
        <v>0</v>
      </c>
      <c r="AE1696" s="105">
        <f>IF($AD$1560&gt;0,IPMT('Assumptions (Geo)'!$V$6,Model!X$1,'Assumptions (Geo)'!$V$9,'Assumptions (Geo)'!$V$4*Model!$AD$1560*AVERAGE('Assumptions (Geo)'!$Z$2:$AB$2)/10^9),0)</f>
        <v>0</v>
      </c>
      <c r="AF1696" s="105">
        <f>IF($AD$1560&gt;0,IPMT('Assumptions (Geo)'!$V$6,Model!Y$1,'Assumptions (Geo)'!$V$9,'Assumptions (Geo)'!$V$4*Model!$AD$1560*AVERAGE('Assumptions (Geo)'!$Z$2:$AB$2)/10^9),0)</f>
        <v>0</v>
      </c>
      <c r="AG1696" s="105">
        <f>IF($AD$1560&gt;0,IPMT('Assumptions (Geo)'!$V$6,Model!Z$1,'Assumptions (Geo)'!$V$9,'Assumptions (Geo)'!$V$4*Model!$AD$1560*AVERAGE('Assumptions (Geo)'!$Z$2:$AB$2)/10^9),0)</f>
        <v>0</v>
      </c>
      <c r="AH1696" s="105">
        <f>IF($AD$1560&gt;0,IPMT('Assumptions (Geo)'!$V$6,Model!AA$1,'Assumptions (Geo)'!$V$9,'Assumptions (Geo)'!$V$4*Model!$AD$1560*AVERAGE('Assumptions (Geo)'!$Z$2:$AB$2)/10^9),0)</f>
        <v>0</v>
      </c>
      <c r="AI1696" s="105">
        <f>IF($AD$1560&gt;0,IPMT('Assumptions (Geo)'!$V$6,Model!AB$1,'Assumptions (Geo)'!$V$9,'Assumptions (Geo)'!$V$4*Model!$AD$1560*AVERAGE('Assumptions (Geo)'!$Z$2:$AB$2)/10^9),0)</f>
        <v>0</v>
      </c>
      <c r="AJ1696" s="105">
        <f>IF($AD$1560&gt;0,IPMT('Assumptions (Geo)'!$V$6,Model!AC$1,'Assumptions (Geo)'!$V$9,'Assumptions (Geo)'!$V$4*Model!$AD$1560*AVERAGE('Assumptions (Geo)'!$Z$2:$AB$2)/10^9),0)</f>
        <v>0</v>
      </c>
      <c r="AK1696" s="105">
        <f>IF($AD$1560&gt;0,IPMT('Assumptions (Geo)'!$V$6,Model!AD$1,'Assumptions (Geo)'!$V$9,'Assumptions (Geo)'!$V$4*Model!$AD$1560*AVERAGE('Assumptions (Geo)'!$Z$2:$AB$2)/10^9),0)</f>
        <v>0</v>
      </c>
      <c r="AL1696" s="105">
        <f>IF($AD$1560&gt;0,IPMT('Assumptions (Geo)'!$V$6,Model!AE$1,'Assumptions (Geo)'!$V$9,'Assumptions (Geo)'!$V$4*Model!$AD$1560*AVERAGE('Assumptions (Geo)'!$Z$2:$AB$2)/10^9),0)</f>
        <v>0</v>
      </c>
      <c r="AM1696" s="105">
        <f>IF($AD$1560&gt;0,IPMT('Assumptions (Geo)'!$V$6,Model!AF$1,'Assumptions (Geo)'!$V$9,'Assumptions (Geo)'!$V$4*Model!$AD$1560*AVERAGE('Assumptions (Geo)'!$Z$2:$AB$2)/10^9),0)</f>
        <v>0</v>
      </c>
      <c r="AN1696" s="105">
        <f>IF($AD$1560&gt;0,IPMT('Assumptions (Geo)'!$V$6,Model!AG$1,'Assumptions (Geo)'!$V$9,'Assumptions (Geo)'!$V$4*Model!$AD$1560*AVERAGE('Assumptions (Geo)'!$Z$2:$AB$2)/10^9),0)</f>
        <v>0</v>
      </c>
      <c r="AO1696" s="105">
        <f>IF($AD$1560&gt;0,IPMT('Assumptions (Geo)'!$V$6,Model!AH$1,'Assumptions (Geo)'!$V$9,'Assumptions (Geo)'!$V$4*Model!$AD$1560*AVERAGE('Assumptions (Geo)'!$Z$2:$AB$2)/10^9),0)</f>
        <v>0</v>
      </c>
      <c r="AP1696" s="105">
        <f>IF($AD$1560&gt;0,IPMT('Assumptions (Geo)'!$V$6,Model!AI$1,'Assumptions (Geo)'!$V$9,'Assumptions (Geo)'!$V$4*Model!$AD$1560*AVERAGE('Assumptions (Geo)'!$Z$2:$AB$2)/10^9),0)</f>
        <v>0</v>
      </c>
      <c r="AQ1696" s="105">
        <f>IF($AD$1560&gt;0,IPMT('Assumptions (Geo)'!$V$6,Model!AJ$1,'Assumptions (Geo)'!$V$9,'Assumptions (Geo)'!$V$4*Model!$AD$1560*AVERAGE('Assumptions (Geo)'!$Z$2:$AB$2)/10^9),0)</f>
        <v>0</v>
      </c>
      <c r="AR1696" s="105">
        <f>IF($AD$1560&gt;0,IPMT('Assumptions (Geo)'!$V$6,Model!AK$1,'Assumptions (Geo)'!$V$9,'Assumptions (Geo)'!$V$4*Model!$AD$1560*AVERAGE('Assumptions (Geo)'!$Z$2:$AB$2)/10^9),0)</f>
        <v>0</v>
      </c>
      <c r="AS1696" s="105"/>
      <c r="AT1696" s="105"/>
      <c r="AU1696" s="105"/>
      <c r="AV1696" s="105"/>
      <c r="AW1696" s="105"/>
      <c r="AX1696" s="105"/>
      <c r="AY1696" s="105"/>
      <c r="AZ1696" s="105"/>
      <c r="BA1696" s="105"/>
      <c r="BB1696" s="105"/>
    </row>
    <row r="1697" spans="1:68" ht="15.75" hidden="1" customHeight="1" outlineLevel="1">
      <c r="A1697" s="428"/>
      <c r="B1697" s="99"/>
      <c r="C1697" s="99"/>
      <c r="D1697" s="99"/>
      <c r="E1697" s="99"/>
      <c r="F1697" s="99"/>
      <c r="G1697" s="99"/>
      <c r="H1697" s="99"/>
      <c r="I1697" s="99"/>
      <c r="J1697" s="99"/>
      <c r="K1697" s="99"/>
      <c r="L1697" s="99"/>
      <c r="M1697" s="99"/>
      <c r="N1697" s="99"/>
      <c r="O1697" s="99"/>
      <c r="P1697" s="99"/>
      <c r="Q1697" s="99"/>
      <c r="R1697" s="99"/>
      <c r="S1697" s="99"/>
      <c r="T1697" s="99"/>
      <c r="U1697" s="99"/>
      <c r="V1697" s="99"/>
      <c r="W1697" s="105"/>
      <c r="X1697" s="105"/>
      <c r="Y1697" s="105"/>
      <c r="Z1697" s="105"/>
      <c r="AA1697" s="105"/>
      <c r="AB1697" s="105"/>
      <c r="AC1697" s="105"/>
      <c r="AD1697" s="105"/>
      <c r="AE1697" s="105">
        <f>IF($AE$1560&gt;0,IPMT('Assumptions (Geo)'!$V$6,Model!W$1,'Assumptions (Geo)'!$V$9,'Assumptions (Geo)'!$V$4*Model!$AE$1560*AVERAGE('Assumptions (Geo)'!$AA$2:$AC$2)/10^9),0)</f>
        <v>0</v>
      </c>
      <c r="AF1697" s="105">
        <f>IF($AE$1560&gt;0,IPMT('Assumptions (Geo)'!$V$6,Model!X$1,'Assumptions (Geo)'!$V$9,'Assumptions (Geo)'!$V$4*Model!$AE$1560*AVERAGE('Assumptions (Geo)'!$AA$2:$AC$2)/10^9),0)</f>
        <v>0</v>
      </c>
      <c r="AG1697" s="105">
        <f>IF($AE$1560&gt;0,IPMT('Assumptions (Geo)'!$V$6,Model!Y$1,'Assumptions (Geo)'!$V$9,'Assumptions (Geo)'!$V$4*Model!$AE$1560*AVERAGE('Assumptions (Geo)'!$AA$2:$AC$2)/10^9),0)</f>
        <v>0</v>
      </c>
      <c r="AH1697" s="105">
        <f>IF($AE$1560&gt;0,IPMT('Assumptions (Geo)'!$V$6,Model!Z$1,'Assumptions (Geo)'!$V$9,'Assumptions (Geo)'!$V$4*Model!$AE$1560*AVERAGE('Assumptions (Geo)'!$AA$2:$AC$2)/10^9),0)</f>
        <v>0</v>
      </c>
      <c r="AI1697" s="105">
        <f>IF($AE$1560&gt;0,IPMT('Assumptions (Geo)'!$V$6,Model!AA$1,'Assumptions (Geo)'!$V$9,'Assumptions (Geo)'!$V$4*Model!$AE$1560*AVERAGE('Assumptions (Geo)'!$AA$2:$AC$2)/10^9),0)</f>
        <v>0</v>
      </c>
      <c r="AJ1697" s="105">
        <f>IF($AE$1560&gt;0,IPMT('Assumptions (Geo)'!$V$6,Model!AB$1,'Assumptions (Geo)'!$V$9,'Assumptions (Geo)'!$V$4*Model!$AE$1560*AVERAGE('Assumptions (Geo)'!$AA$2:$AC$2)/10^9),0)</f>
        <v>0</v>
      </c>
      <c r="AK1697" s="105">
        <f>IF($AE$1560&gt;0,IPMT('Assumptions (Geo)'!$V$6,Model!AC$1,'Assumptions (Geo)'!$V$9,'Assumptions (Geo)'!$V$4*Model!$AE$1560*AVERAGE('Assumptions (Geo)'!$AA$2:$AC$2)/10^9),0)</f>
        <v>0</v>
      </c>
      <c r="AL1697" s="105">
        <f>IF($AE$1560&gt;0,IPMT('Assumptions (Geo)'!$V$6,Model!AD$1,'Assumptions (Geo)'!$V$9,'Assumptions (Geo)'!$V$4*Model!$AE$1560*AVERAGE('Assumptions (Geo)'!$AA$2:$AC$2)/10^9),0)</f>
        <v>0</v>
      </c>
      <c r="AM1697" s="105">
        <f>IF($AE$1560&gt;0,IPMT('Assumptions (Geo)'!$V$6,Model!AE$1,'Assumptions (Geo)'!$V$9,'Assumptions (Geo)'!$V$4*Model!$AE$1560*AVERAGE('Assumptions (Geo)'!$AA$2:$AC$2)/10^9),0)</f>
        <v>0</v>
      </c>
      <c r="AN1697" s="105">
        <f>IF($AE$1560&gt;0,IPMT('Assumptions (Geo)'!$V$6,Model!AF$1,'Assumptions (Geo)'!$V$9,'Assumptions (Geo)'!$V$4*Model!$AE$1560*AVERAGE('Assumptions (Geo)'!$AA$2:$AC$2)/10^9),0)</f>
        <v>0</v>
      </c>
      <c r="AO1697" s="105">
        <f>IF($AE$1560&gt;0,IPMT('Assumptions (Geo)'!$V$6,Model!AG$1,'Assumptions (Geo)'!$V$9,'Assumptions (Geo)'!$V$4*Model!$AE$1560*AVERAGE('Assumptions (Geo)'!$AA$2:$AC$2)/10^9),0)</f>
        <v>0</v>
      </c>
      <c r="AP1697" s="105">
        <f>IF($AE$1560&gt;0,IPMT('Assumptions (Geo)'!$V$6,Model!AH$1,'Assumptions (Geo)'!$V$9,'Assumptions (Geo)'!$V$4*Model!$AE$1560*AVERAGE('Assumptions (Geo)'!$AA$2:$AC$2)/10^9),0)</f>
        <v>0</v>
      </c>
      <c r="AQ1697" s="105">
        <f>IF($AE$1560&gt;0,IPMT('Assumptions (Geo)'!$V$6,Model!AI$1,'Assumptions (Geo)'!$V$9,'Assumptions (Geo)'!$V$4*Model!$AE$1560*AVERAGE('Assumptions (Geo)'!$AA$2:$AC$2)/10^9),0)</f>
        <v>0</v>
      </c>
      <c r="AR1697" s="105">
        <f>IF($AE$1560&gt;0,IPMT('Assumptions (Geo)'!$V$6,Model!AJ$1,'Assumptions (Geo)'!$V$9,'Assumptions (Geo)'!$V$4*Model!$AE$1560*AVERAGE('Assumptions (Geo)'!$AA$2:$AC$2)/10^9),0)</f>
        <v>0</v>
      </c>
      <c r="AS1697" s="105">
        <f>IF($AE$1560&gt;0,IPMT('Assumptions (Geo)'!$V$6,Model!AK$1,'Assumptions (Geo)'!$V$9,'Assumptions (Geo)'!$V$4*Model!$AE$1560*AVERAGE('Assumptions (Geo)'!$AA$2:$AC$2)/10^9),0)</f>
        <v>0</v>
      </c>
      <c r="AT1697" s="105"/>
      <c r="AU1697" s="105"/>
      <c r="AV1697" s="105"/>
      <c r="AW1697" s="105"/>
      <c r="AX1697" s="105"/>
      <c r="AY1697" s="105"/>
      <c r="AZ1697" s="105"/>
      <c r="BA1697" s="105"/>
      <c r="BB1697" s="105"/>
      <c r="BC1697" s="105"/>
    </row>
    <row r="1698" spans="1:68" ht="15.75" hidden="1" customHeight="1" outlineLevel="1">
      <c r="A1698" s="428"/>
      <c r="B1698" s="99"/>
      <c r="C1698" s="99"/>
      <c r="D1698" s="99"/>
      <c r="E1698" s="99"/>
      <c r="F1698" s="99"/>
      <c r="G1698" s="99"/>
      <c r="H1698" s="99"/>
      <c r="I1698" s="99"/>
      <c r="J1698" s="99"/>
      <c r="K1698" s="99"/>
      <c r="L1698" s="99"/>
      <c r="M1698" s="99"/>
      <c r="N1698" s="99"/>
      <c r="O1698" s="99"/>
      <c r="P1698" s="99"/>
      <c r="Q1698" s="99"/>
      <c r="R1698" s="99"/>
      <c r="S1698" s="99"/>
      <c r="T1698" s="99"/>
      <c r="U1698" s="99"/>
      <c r="V1698" s="99"/>
      <c r="W1698" s="105"/>
      <c r="X1698" s="105"/>
      <c r="Y1698" s="105"/>
      <c r="Z1698" s="105"/>
      <c r="AA1698" s="105"/>
      <c r="AB1698" s="105"/>
      <c r="AC1698" s="105"/>
      <c r="AD1698" s="105"/>
      <c r="AE1698" s="105"/>
      <c r="AF1698" s="105">
        <f>IF($AF$1560&gt;0,IPMT('Assumptions (Geo)'!$V$6,Model!W$1,'Assumptions (Geo)'!$V$9,'Assumptions (Geo)'!$V$4*Model!$AF$1560*AVERAGE('Assumptions (Geo)'!$AB$2:$AD$2)/10^9),0)</f>
        <v>0</v>
      </c>
      <c r="AG1698" s="105">
        <f>IF($AF$1560&gt;0,IPMT('Assumptions (Geo)'!$V$6,Model!X$1,'Assumptions (Geo)'!$V$9,'Assumptions (Geo)'!$V$4*Model!$AF$1560*AVERAGE('Assumptions (Geo)'!$AB$2:$AD$2)/10^9),0)</f>
        <v>0</v>
      </c>
      <c r="AH1698" s="105">
        <f>IF($AF$1560&gt;0,IPMT('Assumptions (Geo)'!$V$6,Model!Y$1,'Assumptions (Geo)'!$V$9,'Assumptions (Geo)'!$V$4*Model!$AF$1560*AVERAGE('Assumptions (Geo)'!$AB$2:$AD$2)/10^9),0)</f>
        <v>0</v>
      </c>
      <c r="AI1698" s="105">
        <f>IF($AF$1560&gt;0,IPMT('Assumptions (Geo)'!$V$6,Model!Z$1,'Assumptions (Geo)'!$V$9,'Assumptions (Geo)'!$V$4*Model!$AF$1560*AVERAGE('Assumptions (Geo)'!$AB$2:$AD$2)/10^9),0)</f>
        <v>0</v>
      </c>
      <c r="AJ1698" s="105">
        <f>IF($AF$1560&gt;0,IPMT('Assumptions (Geo)'!$V$6,Model!AA$1,'Assumptions (Geo)'!$V$9,'Assumptions (Geo)'!$V$4*Model!$AF$1560*AVERAGE('Assumptions (Geo)'!$AB$2:$AD$2)/10^9),0)</f>
        <v>0</v>
      </c>
      <c r="AK1698" s="105">
        <f>IF($AF$1560&gt;0,IPMT('Assumptions (Geo)'!$V$6,Model!AB$1,'Assumptions (Geo)'!$V$9,'Assumptions (Geo)'!$V$4*Model!$AF$1560*AVERAGE('Assumptions (Geo)'!$AB$2:$AD$2)/10^9),0)</f>
        <v>0</v>
      </c>
      <c r="AL1698" s="105">
        <f>IF($AF$1560&gt;0,IPMT('Assumptions (Geo)'!$V$6,Model!AC$1,'Assumptions (Geo)'!$V$9,'Assumptions (Geo)'!$V$4*Model!$AF$1560*AVERAGE('Assumptions (Geo)'!$AB$2:$AD$2)/10^9),0)</f>
        <v>0</v>
      </c>
      <c r="AM1698" s="105">
        <f>IF($AF$1560&gt;0,IPMT('Assumptions (Geo)'!$V$6,Model!AD$1,'Assumptions (Geo)'!$V$9,'Assumptions (Geo)'!$V$4*Model!$AF$1560*AVERAGE('Assumptions (Geo)'!$AB$2:$AD$2)/10^9),0)</f>
        <v>0</v>
      </c>
      <c r="AN1698" s="105">
        <f>IF($AF$1560&gt;0,IPMT('Assumptions (Geo)'!$V$6,Model!AE$1,'Assumptions (Geo)'!$V$9,'Assumptions (Geo)'!$V$4*Model!$AF$1560*AVERAGE('Assumptions (Geo)'!$AB$2:$AD$2)/10^9),0)</f>
        <v>0</v>
      </c>
      <c r="AO1698" s="105">
        <f>IF($AF$1560&gt;0,IPMT('Assumptions (Geo)'!$V$6,Model!AF$1,'Assumptions (Geo)'!$V$9,'Assumptions (Geo)'!$V$4*Model!$AF$1560*AVERAGE('Assumptions (Geo)'!$AB$2:$AD$2)/10^9),0)</f>
        <v>0</v>
      </c>
      <c r="AP1698" s="105">
        <f>IF($AF$1560&gt;0,IPMT('Assumptions (Geo)'!$V$6,Model!AG$1,'Assumptions (Geo)'!$V$9,'Assumptions (Geo)'!$V$4*Model!$AF$1560*AVERAGE('Assumptions (Geo)'!$AB$2:$AD$2)/10^9),0)</f>
        <v>0</v>
      </c>
      <c r="AQ1698" s="105">
        <f>IF($AF$1560&gt;0,IPMT('Assumptions (Geo)'!$V$6,Model!AH$1,'Assumptions (Geo)'!$V$9,'Assumptions (Geo)'!$V$4*Model!$AF$1560*AVERAGE('Assumptions (Geo)'!$AB$2:$AD$2)/10^9),0)</f>
        <v>0</v>
      </c>
      <c r="AR1698" s="105">
        <f>IF($AF$1560&gt;0,IPMT('Assumptions (Geo)'!$V$6,Model!AI$1,'Assumptions (Geo)'!$V$9,'Assumptions (Geo)'!$V$4*Model!$AF$1560*AVERAGE('Assumptions (Geo)'!$AB$2:$AD$2)/10^9),0)</f>
        <v>0</v>
      </c>
      <c r="AS1698" s="105">
        <f>IF($AF$1560&gt;0,IPMT('Assumptions (Geo)'!$V$6,Model!AJ$1,'Assumptions (Geo)'!$V$9,'Assumptions (Geo)'!$V$4*Model!$AF$1560*AVERAGE('Assumptions (Geo)'!$AB$2:$AD$2)/10^9),0)</f>
        <v>0</v>
      </c>
      <c r="AT1698" s="105">
        <f>IF($AF$1560&gt;0,IPMT('Assumptions (Geo)'!$V$6,Model!AK$1,'Assumptions (Geo)'!$V$9,'Assumptions (Geo)'!$V$4*Model!$AF$1560*AVERAGE('Assumptions (Geo)'!$AB$2:$AD$2)/10^9),0)</f>
        <v>0</v>
      </c>
      <c r="AU1698" s="105"/>
      <c r="AV1698" s="105"/>
      <c r="AW1698" s="105"/>
      <c r="AX1698" s="105"/>
      <c r="AY1698" s="105"/>
      <c r="AZ1698" s="105"/>
      <c r="BA1698" s="105"/>
      <c r="BB1698" s="105"/>
      <c r="BC1698" s="105"/>
      <c r="BD1698" s="105"/>
    </row>
    <row r="1699" spans="1:68" ht="15.75" hidden="1" customHeight="1" outlineLevel="1">
      <c r="A1699" s="428"/>
      <c r="B1699" s="99"/>
      <c r="C1699" s="99"/>
      <c r="D1699" s="99"/>
      <c r="E1699" s="99"/>
      <c r="F1699" s="99"/>
      <c r="G1699" s="99"/>
      <c r="H1699" s="99"/>
      <c r="I1699" s="99"/>
      <c r="J1699" s="99"/>
      <c r="K1699" s="99"/>
      <c r="L1699" s="99"/>
      <c r="M1699" s="99"/>
      <c r="N1699" s="99"/>
      <c r="O1699" s="99"/>
      <c r="P1699" s="99"/>
      <c r="Q1699" s="99"/>
      <c r="R1699" s="99"/>
      <c r="S1699" s="99"/>
      <c r="T1699" s="99"/>
      <c r="U1699" s="99"/>
      <c r="V1699" s="99"/>
      <c r="W1699" s="105"/>
      <c r="X1699" s="105"/>
      <c r="Y1699" s="105"/>
      <c r="Z1699" s="105"/>
      <c r="AA1699" s="105"/>
      <c r="AB1699" s="105"/>
      <c r="AC1699" s="105"/>
      <c r="AD1699" s="105"/>
      <c r="AE1699" s="105"/>
      <c r="AF1699" s="105"/>
      <c r="AG1699" s="105">
        <f>IF($AG$1560&gt;0,IPMT('Assumptions (Geo)'!$V$6,Model!W$1,'Assumptions (Geo)'!$V$9,'Assumptions (Geo)'!$V$4*Model!$AG$1560*AVERAGE('Assumptions (Geo)'!$AC$2:$AE$2)/10^9),0)</f>
        <v>0</v>
      </c>
      <c r="AH1699" s="105">
        <f>IF($AG$1560&gt;0,IPMT('Assumptions (Geo)'!$V$6,Model!X$1,'Assumptions (Geo)'!$V$9,'Assumptions (Geo)'!$V$4*Model!$AG$1560*AVERAGE('Assumptions (Geo)'!$AC$2:$AE$2)/10^9),0)</f>
        <v>0</v>
      </c>
      <c r="AI1699" s="105">
        <f>IF($AG$1560&gt;0,IPMT('Assumptions (Geo)'!$V$6,Model!Y$1,'Assumptions (Geo)'!$V$9,'Assumptions (Geo)'!$V$4*Model!$AG$1560*AVERAGE('Assumptions (Geo)'!$AC$2:$AE$2)/10^9),0)</f>
        <v>0</v>
      </c>
      <c r="AJ1699" s="105">
        <f>IF($AG$1560&gt;0,IPMT('Assumptions (Geo)'!$V$6,Model!Z$1,'Assumptions (Geo)'!$V$9,'Assumptions (Geo)'!$V$4*Model!$AG$1560*AVERAGE('Assumptions (Geo)'!$AC$2:$AE$2)/10^9),0)</f>
        <v>0</v>
      </c>
      <c r="AK1699" s="105">
        <f>IF($AG$1560&gt;0,IPMT('Assumptions (Geo)'!$V$6,Model!AA$1,'Assumptions (Geo)'!$V$9,'Assumptions (Geo)'!$V$4*Model!$AG$1560*AVERAGE('Assumptions (Geo)'!$AC$2:$AE$2)/10^9),0)</f>
        <v>0</v>
      </c>
      <c r="AL1699" s="105">
        <f>IF($AG$1560&gt;0,IPMT('Assumptions (Geo)'!$V$6,Model!AB$1,'Assumptions (Geo)'!$V$9,'Assumptions (Geo)'!$V$4*Model!$AG$1560*AVERAGE('Assumptions (Geo)'!$AC$2:$AE$2)/10^9),0)</f>
        <v>0</v>
      </c>
      <c r="AM1699" s="105">
        <f>IF($AG$1560&gt;0,IPMT('Assumptions (Geo)'!$V$6,Model!AC$1,'Assumptions (Geo)'!$V$9,'Assumptions (Geo)'!$V$4*Model!$AG$1560*AVERAGE('Assumptions (Geo)'!$AC$2:$AE$2)/10^9),0)</f>
        <v>0</v>
      </c>
      <c r="AN1699" s="105">
        <f>IF($AG$1560&gt;0,IPMT('Assumptions (Geo)'!$V$6,Model!AD$1,'Assumptions (Geo)'!$V$9,'Assumptions (Geo)'!$V$4*Model!$AG$1560*AVERAGE('Assumptions (Geo)'!$AC$2:$AE$2)/10^9),0)</f>
        <v>0</v>
      </c>
      <c r="AO1699" s="105">
        <f>IF($AG$1560&gt;0,IPMT('Assumptions (Geo)'!$V$6,Model!AE$1,'Assumptions (Geo)'!$V$9,'Assumptions (Geo)'!$V$4*Model!$AG$1560*AVERAGE('Assumptions (Geo)'!$AC$2:$AE$2)/10^9),0)</f>
        <v>0</v>
      </c>
      <c r="AP1699" s="105">
        <f>IF($AG$1560&gt;0,IPMT('Assumptions (Geo)'!$V$6,Model!AF$1,'Assumptions (Geo)'!$V$9,'Assumptions (Geo)'!$V$4*Model!$AG$1560*AVERAGE('Assumptions (Geo)'!$AC$2:$AE$2)/10^9),0)</f>
        <v>0</v>
      </c>
      <c r="AQ1699" s="105">
        <f>IF($AG$1560&gt;0,IPMT('Assumptions (Geo)'!$V$6,Model!AG$1,'Assumptions (Geo)'!$V$9,'Assumptions (Geo)'!$V$4*Model!$AG$1560*AVERAGE('Assumptions (Geo)'!$AC$2:$AE$2)/10^9),0)</f>
        <v>0</v>
      </c>
      <c r="AR1699" s="105">
        <f>IF($AG$1560&gt;0,IPMT('Assumptions (Geo)'!$V$6,Model!AH$1,'Assumptions (Geo)'!$V$9,'Assumptions (Geo)'!$V$4*Model!$AG$1560*AVERAGE('Assumptions (Geo)'!$AC$2:$AE$2)/10^9),0)</f>
        <v>0</v>
      </c>
      <c r="AS1699" s="105">
        <f>IF($AG$1560&gt;0,IPMT('Assumptions (Geo)'!$V$6,Model!AI$1,'Assumptions (Geo)'!$V$9,'Assumptions (Geo)'!$V$4*Model!$AG$1560*AVERAGE('Assumptions (Geo)'!$AC$2:$AE$2)/10^9),0)</f>
        <v>0</v>
      </c>
      <c r="AT1699" s="105">
        <f>IF($AG$1560&gt;0,IPMT('Assumptions (Geo)'!$V$6,Model!AJ$1,'Assumptions (Geo)'!$V$9,'Assumptions (Geo)'!$V$4*Model!$AG$1560*AVERAGE('Assumptions (Geo)'!$AC$2:$AE$2)/10^9),0)</f>
        <v>0</v>
      </c>
      <c r="AU1699" s="105">
        <f>IF($AG$1560&gt;0,IPMT('Assumptions (Geo)'!$V$6,Model!AK$1,'Assumptions (Geo)'!$V$9,'Assumptions (Geo)'!$V$4*Model!$AG$1560*AVERAGE('Assumptions (Geo)'!$AC$2:$AE$2)/10^9),0)</f>
        <v>0</v>
      </c>
      <c r="AV1699" s="105"/>
      <c r="AW1699" s="105"/>
      <c r="AX1699" s="105"/>
      <c r="AY1699" s="105"/>
      <c r="AZ1699" s="105"/>
      <c r="BA1699" s="105"/>
      <c r="BB1699" s="105"/>
      <c r="BC1699" s="105"/>
      <c r="BD1699" s="105"/>
      <c r="BE1699" s="105"/>
    </row>
    <row r="1700" spans="1:68" ht="15.75" hidden="1" customHeight="1" outlineLevel="1">
      <c r="A1700" s="428"/>
      <c r="B1700" s="99"/>
      <c r="C1700" s="99"/>
      <c r="D1700" s="99"/>
      <c r="E1700" s="99"/>
      <c r="F1700" s="99"/>
      <c r="G1700" s="99"/>
      <c r="H1700" s="99"/>
      <c r="I1700" s="99"/>
      <c r="J1700" s="99"/>
      <c r="K1700" s="99"/>
      <c r="L1700" s="99"/>
      <c r="M1700" s="99"/>
      <c r="N1700" s="99"/>
      <c r="O1700" s="99"/>
      <c r="P1700" s="99"/>
      <c r="Q1700" s="99"/>
      <c r="R1700" s="99"/>
      <c r="S1700" s="99"/>
      <c r="T1700" s="99"/>
      <c r="U1700" s="99"/>
      <c r="V1700" s="99"/>
      <c r="W1700" s="105"/>
      <c r="X1700" s="105"/>
      <c r="Y1700" s="105"/>
      <c r="Z1700" s="105"/>
      <c r="AA1700" s="105"/>
      <c r="AB1700" s="105"/>
      <c r="AC1700" s="105"/>
      <c r="AD1700" s="105"/>
      <c r="AE1700" s="105"/>
      <c r="AF1700" s="105"/>
      <c r="AG1700" s="105"/>
      <c r="AH1700" s="105">
        <f>IF($AH$1560&gt;0,IPMT('Assumptions (Geo)'!$V$6,Model!W$1,'Assumptions (Geo)'!$V$9,'Assumptions (Geo)'!$V$4*Model!$AH$1560*AVERAGE('Assumptions (Geo)'!$AD$2:$AF$2)/10^9),0)</f>
        <v>0</v>
      </c>
      <c r="AI1700" s="105">
        <f>IF($AH$1560&gt;0,IPMT('Assumptions (Geo)'!$V$6,Model!X$1,'Assumptions (Geo)'!$V$9,'Assumptions (Geo)'!$V$4*Model!$AH$1560*AVERAGE('Assumptions (Geo)'!$AD$2:$AF$2)/10^9),0)</f>
        <v>0</v>
      </c>
      <c r="AJ1700" s="105">
        <f>IF($AH$1560&gt;0,IPMT('Assumptions (Geo)'!$V$6,Model!Y$1,'Assumptions (Geo)'!$V$9,'Assumptions (Geo)'!$V$4*Model!$AH$1560*AVERAGE('Assumptions (Geo)'!$AD$2:$AF$2)/10^9),0)</f>
        <v>0</v>
      </c>
      <c r="AK1700" s="105">
        <f>IF($AH$1560&gt;0,IPMT('Assumptions (Geo)'!$V$6,Model!Z$1,'Assumptions (Geo)'!$V$9,'Assumptions (Geo)'!$V$4*Model!$AH$1560*AVERAGE('Assumptions (Geo)'!$AD$2:$AF$2)/10^9),0)</f>
        <v>0</v>
      </c>
      <c r="AL1700" s="105">
        <f>IF($AH$1560&gt;0,IPMT('Assumptions (Geo)'!$V$6,Model!AA$1,'Assumptions (Geo)'!$V$9,'Assumptions (Geo)'!$V$4*Model!$AH$1560*AVERAGE('Assumptions (Geo)'!$AD$2:$AF$2)/10^9),0)</f>
        <v>0</v>
      </c>
      <c r="AM1700" s="105">
        <f>IF($AH$1560&gt;0,IPMT('Assumptions (Geo)'!$V$6,Model!AB$1,'Assumptions (Geo)'!$V$9,'Assumptions (Geo)'!$V$4*Model!$AH$1560*AVERAGE('Assumptions (Geo)'!$AD$2:$AF$2)/10^9),0)</f>
        <v>0</v>
      </c>
      <c r="AN1700" s="105">
        <f>IF($AH$1560&gt;0,IPMT('Assumptions (Geo)'!$V$6,Model!AC$1,'Assumptions (Geo)'!$V$9,'Assumptions (Geo)'!$V$4*Model!$AH$1560*AVERAGE('Assumptions (Geo)'!$AD$2:$AF$2)/10^9),0)</f>
        <v>0</v>
      </c>
      <c r="AO1700" s="105">
        <f>IF($AH$1560&gt;0,IPMT('Assumptions (Geo)'!$V$6,Model!AD$1,'Assumptions (Geo)'!$V$9,'Assumptions (Geo)'!$V$4*Model!$AH$1560*AVERAGE('Assumptions (Geo)'!$AD$2:$AF$2)/10^9),0)</f>
        <v>0</v>
      </c>
      <c r="AP1700" s="105">
        <f>IF($AH$1560&gt;0,IPMT('Assumptions (Geo)'!$V$6,Model!AE$1,'Assumptions (Geo)'!$V$9,'Assumptions (Geo)'!$V$4*Model!$AH$1560*AVERAGE('Assumptions (Geo)'!$AD$2:$AF$2)/10^9),0)</f>
        <v>0</v>
      </c>
      <c r="AQ1700" s="105">
        <f>IF($AH$1560&gt;0,IPMT('Assumptions (Geo)'!$V$6,Model!AF$1,'Assumptions (Geo)'!$V$9,'Assumptions (Geo)'!$V$4*Model!$AH$1560*AVERAGE('Assumptions (Geo)'!$AD$2:$AF$2)/10^9),0)</f>
        <v>0</v>
      </c>
      <c r="AR1700" s="105">
        <f>IF($AH$1560&gt;0,IPMT('Assumptions (Geo)'!$V$6,Model!AG$1,'Assumptions (Geo)'!$V$9,'Assumptions (Geo)'!$V$4*Model!$AH$1560*AVERAGE('Assumptions (Geo)'!$AD$2:$AF$2)/10^9),0)</f>
        <v>0</v>
      </c>
      <c r="AS1700" s="105">
        <f>IF($AH$1560&gt;0,IPMT('Assumptions (Geo)'!$V$6,Model!AH$1,'Assumptions (Geo)'!$V$9,'Assumptions (Geo)'!$V$4*Model!$AH$1560*AVERAGE('Assumptions (Geo)'!$AD$2:$AF$2)/10^9),0)</f>
        <v>0</v>
      </c>
      <c r="AT1700" s="105">
        <f>IF($AH$1560&gt;0,IPMT('Assumptions (Geo)'!$V$6,Model!AI$1,'Assumptions (Geo)'!$V$9,'Assumptions (Geo)'!$V$4*Model!$AH$1560*AVERAGE('Assumptions (Geo)'!$AD$2:$AF$2)/10^9),0)</f>
        <v>0</v>
      </c>
      <c r="AU1700" s="105">
        <f>IF($AH$1560&gt;0,IPMT('Assumptions (Geo)'!$V$6,Model!AJ$1,'Assumptions (Geo)'!$V$9,'Assumptions (Geo)'!$V$4*Model!$AH$1560*AVERAGE('Assumptions (Geo)'!$AD$2:$AF$2)/10^9),0)</f>
        <v>0</v>
      </c>
      <c r="AV1700" s="105">
        <f>IF($AH$1560&gt;0,IPMT('Assumptions (Geo)'!$V$6,Model!AK$1,'Assumptions (Geo)'!$V$9,'Assumptions (Geo)'!$V$4*Model!$AH$1560*AVERAGE('Assumptions (Geo)'!$AD$2:$AF$2)/10^9),0)</f>
        <v>0</v>
      </c>
      <c r="AW1700" s="105"/>
      <c r="AX1700" s="105"/>
      <c r="AY1700" s="105"/>
      <c r="AZ1700" s="105"/>
      <c r="BA1700" s="105"/>
      <c r="BB1700" s="105"/>
      <c r="BC1700" s="105"/>
      <c r="BD1700" s="105"/>
      <c r="BE1700" s="105"/>
      <c r="BF1700" s="105"/>
    </row>
    <row r="1701" spans="1:68" ht="15.75" hidden="1" customHeight="1" outlineLevel="1">
      <c r="A1701" s="428"/>
      <c r="B1701" s="99"/>
      <c r="C1701" s="99"/>
      <c r="D1701" s="99"/>
      <c r="E1701" s="99"/>
      <c r="F1701" s="99"/>
      <c r="G1701" s="99"/>
      <c r="H1701" s="99"/>
      <c r="I1701" s="99"/>
      <c r="J1701" s="99"/>
      <c r="K1701" s="99"/>
      <c r="L1701" s="99"/>
      <c r="M1701" s="99"/>
      <c r="N1701" s="99"/>
      <c r="O1701" s="99"/>
      <c r="P1701" s="99"/>
      <c r="Q1701" s="99"/>
      <c r="R1701" s="99"/>
      <c r="S1701" s="99"/>
      <c r="T1701" s="99"/>
      <c r="U1701" s="99"/>
      <c r="V1701" s="99"/>
      <c r="W1701" s="105"/>
      <c r="X1701" s="105"/>
      <c r="Y1701" s="105"/>
      <c r="Z1701" s="105"/>
      <c r="AA1701" s="105"/>
      <c r="AB1701" s="105"/>
      <c r="AC1701" s="105"/>
      <c r="AD1701" s="105"/>
      <c r="AE1701" s="105"/>
      <c r="AF1701" s="105"/>
      <c r="AG1701" s="105"/>
      <c r="AH1701" s="105"/>
      <c r="AI1701" s="105">
        <f>IF($AI$1560&gt;0,IPMT('Assumptions (Geo)'!$V$6,Model!W$1,'Assumptions (Geo)'!$V$9,'Assumptions (Geo)'!$V$4*Model!$AI$1560*AVERAGE('Assumptions (Geo)'!$AE$2:$AG$2)/10^9),0)</f>
        <v>-4.0203517662729584E-3</v>
      </c>
      <c r="AJ1701" s="105">
        <f>IF($AI$1560&gt;0,IPMT('Assumptions (Geo)'!$V$6,Model!X$1,'Assumptions (Geo)'!$V$9,'Assumptions (Geo)'!$V$4*Model!$AI$1560*AVERAGE('Assumptions (Geo)'!$AE$2:$AG$2)/10^9),0)</f>
        <v>-3.8305061951388062E-3</v>
      </c>
      <c r="AK1701" s="105">
        <f>IF($AI$1560&gt;0,IPMT('Assumptions (Geo)'!$V$6,Model!Y$1,'Assumptions (Geo)'!$V$9,'Assumptions (Geo)'!$V$4*Model!$AI$1560*AVERAGE('Assumptions (Geo)'!$AE$2:$AG$2)/10^9),0)</f>
        <v>-3.6316429593757815E-3</v>
      </c>
      <c r="AL1701" s="105">
        <f>IF($AI$1560&gt;0,IPMT('Assumptions (Geo)'!$V$6,Model!Z$1,'Assumptions (Geo)'!$V$9,'Assumptions (Geo)'!$V$4*Model!$AI$1560*AVERAGE('Assumptions (Geo)'!$AE$2:$AG$2)/10^9),0)</f>
        <v>-3.423333719914014E-3</v>
      </c>
      <c r="AM1701" s="105">
        <f>IF($AI$1560&gt;0,IPMT('Assumptions (Geo)'!$V$6,Model!AA$1,'Assumptions (Geo)'!$V$9,'Assumptions (Geo)'!$V$4*Model!$AI$1560*AVERAGE('Assumptions (Geo)'!$AE$2:$AG$2)/10^9),0)</f>
        <v>-3.205129791577813E-3</v>
      </c>
      <c r="AN1701" s="105">
        <f>IF($AI$1560&gt;0,IPMT('Assumptions (Geo)'!$V$6,Model!AB$1,'Assumptions (Geo)'!$V$9,'Assumptions (Geo)'!$V$4*Model!$AI$1560*AVERAGE('Assumptions (Geo)'!$AE$2:$AG$2)/10^9),0)</f>
        <v>-2.9765611766456417E-3</v>
      </c>
      <c r="AO1701" s="105">
        <f>IF($AI$1560&gt;0,IPMT('Assumptions (Geo)'!$V$6,Model!AC$1,'Assumptions (Geo)'!$V$9,'Assumptions (Geo)'!$V$4*Model!$AI$1560*AVERAGE('Assumptions (Geo)'!$AE$2:$AG$2)/10^9),0)</f>
        <v>-2.7371355525041925E-3</v>
      </c>
      <c r="AP1701" s="105">
        <f>IF($AI$1560&gt;0,IPMT('Assumptions (Geo)'!$V$6,Model!AD$1,'Assumptions (Geo)'!$V$9,'Assumptions (Geo)'!$V$4*Model!$AI$1560*AVERAGE('Assumptions (Geo)'!$AE$2:$AG$2)/10^9),0)</f>
        <v>-2.4863372112160246E-3</v>
      </c>
      <c r="AQ1701" s="105">
        <f>IF($AI$1560&gt;0,IPMT('Assumptions (Geo)'!$V$6,Model!AE$1,'Assumptions (Geo)'!$V$9,'Assumptions (Geo)'!$V$4*Model!$AI$1560*AVERAGE('Assumptions (Geo)'!$AE$2:$AG$2)/10^9),0)</f>
        <v>-2.2236259487166689E-3</v>
      </c>
      <c r="AR1701" s="105">
        <f>IF($AI$1560&gt;0,IPMT('Assumptions (Geo)'!$V$6,Model!AF$1,'Assumptions (Geo)'!$V$9,'Assumptions (Geo)'!$V$4*Model!$AI$1560*AVERAGE('Assumptions (Geo)'!$AE$2:$AG$2)/10^9),0)</f>
        <v>-1.9484359012485936E-3</v>
      </c>
      <c r="AS1701" s="105">
        <f>IF($AI$1560&gt;0,IPMT('Assumptions (Geo)'!$V$6,Model!AG$1,'Assumptions (Geo)'!$V$9,'Assumptions (Geo)'!$V$4*Model!$AI$1560*AVERAGE('Assumptions (Geo)'!$AE$2:$AG$2)/10^9),0)</f>
        <v>-1.6601743265257846E-3</v>
      </c>
      <c r="AT1701" s="105">
        <f>IF($AI$1560&gt;0,IPMT('Assumptions (Geo)'!$V$6,Model!AH$1,'Assumptions (Geo)'!$V$9,'Assumptions (Geo)'!$V$4*Model!$AI$1560*AVERAGE('Assumptions (Geo)'!$AE$2:$AG$2)/10^9),0)</f>
        <v>-1.3582203270036423E-3</v>
      </c>
      <c r="AU1701" s="105">
        <f>IF($AI$1560&gt;0,IPMT('Assumptions (Geo)'!$V$6,Model!AI$1,'Assumptions (Geo)'!$V$9,'Assumptions (Geo)'!$V$4*Model!$AI$1560*AVERAGE('Assumptions (Geo)'!$AE$2:$AG$2)/10^9),0)</f>
        <v>-1.0419235125041979E-3</v>
      </c>
      <c r="AV1701" s="105">
        <f>IF($AI$1560&gt;0,IPMT('Assumptions (Geo)'!$V$6,Model!AJ$1,'Assumptions (Geo)'!$V$9,'Assumptions (Geo)'!$V$4*Model!$AI$1560*AVERAGE('Assumptions (Geo)'!$AE$2:$AG$2)/10^9),0)</f>
        <v>-7.1060259931603025E-4</v>
      </c>
      <c r="AW1701" s="105">
        <f>IF($AI$1560&gt;0,IPMT('Assumptions (Geo)'!$V$6,Model!AK$1,'Assumptions (Geo)'!$V$9,'Assumptions (Geo)'!$V$4*Model!$AI$1560*AVERAGE('Assumptions (Geo)'!$AE$2:$AG$2)/10^9),0)</f>
        <v>-3.6354394275142448E-4</v>
      </c>
      <c r="AX1701" s="105"/>
      <c r="AY1701" s="105"/>
      <c r="AZ1701" s="105"/>
      <c r="BA1701" s="105"/>
      <c r="BB1701" s="105"/>
      <c r="BC1701" s="105"/>
      <c r="BD1701" s="105"/>
      <c r="BE1701" s="105"/>
      <c r="BF1701" s="105"/>
      <c r="BG1701" s="105"/>
    </row>
    <row r="1702" spans="1:68" ht="15.75" hidden="1" customHeight="1" outlineLevel="1">
      <c r="A1702" s="428"/>
      <c r="B1702" s="99"/>
      <c r="C1702" s="99"/>
      <c r="D1702" s="99"/>
      <c r="E1702" s="99"/>
      <c r="F1702" s="99"/>
      <c r="G1702" s="99"/>
      <c r="H1702" s="99"/>
      <c r="I1702" s="99"/>
      <c r="J1702" s="99"/>
      <c r="K1702" s="99"/>
      <c r="L1702" s="99"/>
      <c r="M1702" s="99"/>
      <c r="N1702" s="99"/>
      <c r="O1702" s="99"/>
      <c r="P1702" s="99"/>
      <c r="Q1702" s="99"/>
      <c r="R1702" s="99"/>
      <c r="S1702" s="99"/>
      <c r="T1702" s="99"/>
      <c r="U1702" s="99"/>
      <c r="V1702" s="99"/>
      <c r="W1702" s="105"/>
      <c r="X1702" s="105"/>
      <c r="Y1702" s="105"/>
      <c r="Z1702" s="105"/>
      <c r="AA1702" s="105"/>
      <c r="AB1702" s="105"/>
      <c r="AC1702" s="105"/>
      <c r="AD1702" s="105"/>
      <c r="AE1702" s="105"/>
      <c r="AF1702" s="105"/>
      <c r="AG1702" s="105"/>
      <c r="AH1702" s="105"/>
      <c r="AI1702" s="105"/>
      <c r="AJ1702" s="91">
        <f>IF($AJ$1560&gt;0,IPMT('Assumptions (Geo)'!$V$6,Model!W$1,'Assumptions (Geo)'!$V$9,'Assumptions (Geo)'!$V$4*Model!$AJ$1560*AVERAGE('Assumptions (Geo)'!$AF$2:$AH$2)/10^9),0)</f>
        <v>0</v>
      </c>
      <c r="AK1702" s="91">
        <f>IF($AJ$1560&gt;0,IPMT('Assumptions (Geo)'!$V$6,Model!X$1,'Assumptions (Geo)'!$V$9,'Assumptions (Geo)'!$V$4*Model!$AJ$1560*AVERAGE('Assumptions (Geo)'!$AF$2:$AH$2)/10^9),0)</f>
        <v>0</v>
      </c>
      <c r="AL1702" s="91">
        <f>IF($AJ$1560&gt;0,IPMT('Assumptions (Geo)'!$V$6,Model!Y$1,'Assumptions (Geo)'!$V$9,'Assumptions (Geo)'!$V$4*Model!$AJ$1560*AVERAGE('Assumptions (Geo)'!$AF$2:$AH$2)/10^9),0)</f>
        <v>0</v>
      </c>
      <c r="AM1702" s="91">
        <f>IF($AJ$1560&gt;0,IPMT('Assumptions (Geo)'!$V$6,Model!Z$1,'Assumptions (Geo)'!$V$9,'Assumptions (Geo)'!$V$4*Model!$AJ$1560*AVERAGE('Assumptions (Geo)'!$AF$2:$AH$2)/10^9),0)</f>
        <v>0</v>
      </c>
      <c r="AN1702" s="91">
        <f>IF($AJ$1560&gt;0,IPMT('Assumptions (Geo)'!$V$6,Model!AA$1,'Assumptions (Geo)'!$V$9,'Assumptions (Geo)'!$V$4*Model!$AJ$1560*AVERAGE('Assumptions (Geo)'!$AF$2:$AH$2)/10^9),0)</f>
        <v>0</v>
      </c>
      <c r="AO1702" s="91">
        <f>IF($AJ$1560&gt;0,IPMT('Assumptions (Geo)'!$V$6,Model!AB$1,'Assumptions (Geo)'!$V$9,'Assumptions (Geo)'!$V$4*Model!$AJ$1560*AVERAGE('Assumptions (Geo)'!$AF$2:$AH$2)/10^9),0)</f>
        <v>0</v>
      </c>
      <c r="AP1702" s="91">
        <f>IF($AJ$1560&gt;0,IPMT('Assumptions (Geo)'!$V$6,Model!AC$1,'Assumptions (Geo)'!$V$9,'Assumptions (Geo)'!$V$4*Model!$AJ$1560*AVERAGE('Assumptions (Geo)'!$AF$2:$AH$2)/10^9),0)</f>
        <v>0</v>
      </c>
      <c r="AQ1702" s="91">
        <f>IF($AJ$1560&gt;0,IPMT('Assumptions (Geo)'!$V$6,Model!AD$1,'Assumptions (Geo)'!$V$9,'Assumptions (Geo)'!$V$4*Model!$AJ$1560*AVERAGE('Assumptions (Geo)'!$AF$2:$AH$2)/10^9),0)</f>
        <v>0</v>
      </c>
      <c r="AR1702" s="91">
        <f>IF($AJ$1560&gt;0,IPMT('Assumptions (Geo)'!$V$6,Model!AE$1,'Assumptions (Geo)'!$V$9,'Assumptions (Geo)'!$V$4*Model!$AJ$1560*AVERAGE('Assumptions (Geo)'!$AF$2:$AH$2)/10^9),0)</f>
        <v>0</v>
      </c>
      <c r="AS1702" s="91">
        <f>IF($AJ$1560&gt;0,IPMT('Assumptions (Geo)'!$V$6,Model!AF$1,'Assumptions (Geo)'!$V$9,'Assumptions (Geo)'!$V$4*Model!$AJ$1560*AVERAGE('Assumptions (Geo)'!$AF$2:$AH$2)/10^9),0)</f>
        <v>0</v>
      </c>
      <c r="AT1702" s="91">
        <f>IF($AJ$1560&gt;0,IPMT('Assumptions (Geo)'!$V$6,Model!AG$1,'Assumptions (Geo)'!$V$9,'Assumptions (Geo)'!$V$4*Model!$AJ$1560*AVERAGE('Assumptions (Geo)'!$AF$2:$AH$2)/10^9),0)</f>
        <v>0</v>
      </c>
      <c r="AU1702" s="91">
        <f>IF($AJ$1560&gt;0,IPMT('Assumptions (Geo)'!$V$6,Model!AH$1,'Assumptions (Geo)'!$V$9,'Assumptions (Geo)'!$V$4*Model!$AJ$1560*AVERAGE('Assumptions (Geo)'!$AF$2:$AH$2)/10^9),0)</f>
        <v>0</v>
      </c>
      <c r="AV1702" s="91">
        <f>IF($AJ$1560&gt;0,IPMT('Assumptions (Geo)'!$V$6,Model!AI$1,'Assumptions (Geo)'!$V$9,'Assumptions (Geo)'!$V$4*Model!$AJ$1560*AVERAGE('Assumptions (Geo)'!$AF$2:$AH$2)/10^9),0)</f>
        <v>0</v>
      </c>
      <c r="AW1702" s="91">
        <f>IF($AJ$1560&gt;0,IPMT('Assumptions (Geo)'!$V$6,Model!AJ$1,'Assumptions (Geo)'!$V$9,'Assumptions (Geo)'!$V$4*Model!$AJ$1560*AVERAGE('Assumptions (Geo)'!$AF$2:$AH$2)/10^9),0)</f>
        <v>0</v>
      </c>
      <c r="AX1702" s="91">
        <f>IF($AJ$1560&gt;0,IPMT('Assumptions (Geo)'!$V$6,Model!AK$1,'Assumptions (Geo)'!$V$9,'Assumptions (Geo)'!$V$4*Model!$AJ$1560*AVERAGE('Assumptions (Geo)'!$AF$2:$AH$2)/10^9),0)</f>
        <v>0</v>
      </c>
      <c r="AY1702" s="91"/>
      <c r="AZ1702" s="91"/>
      <c r="BA1702" s="91"/>
      <c r="BB1702" s="91"/>
      <c r="BC1702" s="91"/>
      <c r="BD1702" s="91"/>
      <c r="BE1702" s="91"/>
      <c r="BF1702" s="91"/>
      <c r="BG1702" s="91"/>
      <c r="BH1702" s="91"/>
    </row>
    <row r="1703" spans="1:68" ht="15.75" hidden="1" customHeight="1" outlineLevel="1">
      <c r="A1703" s="428"/>
      <c r="B1703" s="99"/>
      <c r="C1703" s="99"/>
      <c r="D1703" s="99"/>
      <c r="E1703" s="99"/>
      <c r="F1703" s="99"/>
      <c r="G1703" s="99"/>
      <c r="H1703" s="99"/>
      <c r="I1703" s="99"/>
      <c r="J1703" s="99"/>
      <c r="K1703" s="99"/>
      <c r="L1703" s="99"/>
      <c r="M1703" s="99"/>
      <c r="N1703" s="99"/>
      <c r="O1703" s="99"/>
      <c r="P1703" s="99"/>
      <c r="Q1703" s="99"/>
      <c r="R1703" s="99"/>
      <c r="S1703" s="99"/>
      <c r="T1703" s="99"/>
      <c r="U1703" s="99"/>
      <c r="V1703" s="99"/>
      <c r="W1703" s="105"/>
      <c r="X1703" s="105"/>
      <c r="Y1703" s="105"/>
      <c r="Z1703" s="105"/>
      <c r="AA1703" s="105"/>
      <c r="AB1703" s="105"/>
      <c r="AC1703" s="105"/>
      <c r="AD1703" s="105"/>
      <c r="AE1703" s="105"/>
      <c r="AF1703" s="105"/>
      <c r="AG1703" s="105"/>
      <c r="AH1703" s="105"/>
      <c r="AI1703" s="105"/>
      <c r="AJ1703" s="171"/>
      <c r="AK1703" s="105">
        <f>IF($AK$1560&gt;0,IPMT('Assumptions (Geo)'!$V$6,Model!W$1,'Assumptions (Geo)'!$V$9,'Assumptions (Geo)'!$V$4*Model!$AK$1560*AVERAGE('Assumptions (Geo)'!$AG$2:$AI$2)/10^9),0)</f>
        <v>0</v>
      </c>
      <c r="AL1703" s="105">
        <f>IF($AK$1560&gt;0,IPMT('Assumptions (Geo)'!$V$6,Model!X$1,'Assumptions (Geo)'!$V$9,'Assumptions (Geo)'!$V$4*Model!$AK$1560*AVERAGE('Assumptions (Geo)'!$AG$2:$AI$2)/10^9),0)</f>
        <v>0</v>
      </c>
      <c r="AM1703" s="105">
        <f>IF($AK$1560&gt;0,IPMT('Assumptions (Geo)'!$V$6,Model!Y$1,'Assumptions (Geo)'!$V$9,'Assumptions (Geo)'!$V$4*Model!$AK$1560*AVERAGE('Assumptions (Geo)'!$AG$2:$AI$2)/10^9),0)</f>
        <v>0</v>
      </c>
      <c r="AN1703" s="105">
        <f>IF($AK$1560&gt;0,IPMT('Assumptions (Geo)'!$V$6,Model!Z$1,'Assumptions (Geo)'!$V$9,'Assumptions (Geo)'!$V$4*Model!$AK$1560*AVERAGE('Assumptions (Geo)'!$AG$2:$AI$2)/10^9),0)</f>
        <v>0</v>
      </c>
      <c r="AO1703" s="105">
        <f>IF($AK$1560&gt;0,IPMT('Assumptions (Geo)'!$V$6,Model!AA$1,'Assumptions (Geo)'!$V$9,'Assumptions (Geo)'!$V$4*Model!$AK$1560*AVERAGE('Assumptions (Geo)'!$AG$2:$AI$2)/10^9),0)</f>
        <v>0</v>
      </c>
      <c r="AP1703" s="105">
        <f>IF($AK$1560&gt;0,IPMT('Assumptions (Geo)'!$V$6,Model!AB$1,'Assumptions (Geo)'!$V$9,'Assumptions (Geo)'!$V$4*Model!$AK$1560*AVERAGE('Assumptions (Geo)'!$AG$2:$AI$2)/10^9),0)</f>
        <v>0</v>
      </c>
      <c r="AQ1703" s="105">
        <f>IF($AK$1560&gt;0,IPMT('Assumptions (Geo)'!$V$6,Model!AC$1,'Assumptions (Geo)'!$V$9,'Assumptions (Geo)'!$V$4*Model!$AK$1560*AVERAGE('Assumptions (Geo)'!$AG$2:$AI$2)/10^9),0)</f>
        <v>0</v>
      </c>
      <c r="AR1703" s="105">
        <f>IF($AK$1560&gt;0,IPMT('Assumptions (Geo)'!$V$6,Model!AD$1,'Assumptions (Geo)'!$V$9,'Assumptions (Geo)'!$V$4*Model!$AK$1560*AVERAGE('Assumptions (Geo)'!$AG$2:$AI$2)/10^9),0)</f>
        <v>0</v>
      </c>
      <c r="AS1703" s="105">
        <f>IF($AK$1560&gt;0,IPMT('Assumptions (Geo)'!$V$6,Model!AE$1,'Assumptions (Geo)'!$V$9,'Assumptions (Geo)'!$V$4*Model!$AK$1560*AVERAGE('Assumptions (Geo)'!$AG$2:$AI$2)/10^9),0)</f>
        <v>0</v>
      </c>
      <c r="AT1703" s="105">
        <f>IF($AK$1560&gt;0,IPMT('Assumptions (Geo)'!$V$6,Model!AF$1,'Assumptions (Geo)'!$V$9,'Assumptions (Geo)'!$V$4*Model!$AK$1560*AVERAGE('Assumptions (Geo)'!$AG$2:$AI$2)/10^9),0)</f>
        <v>0</v>
      </c>
      <c r="AU1703" s="105">
        <f>IF($AK$1560&gt;0,IPMT('Assumptions (Geo)'!$V$6,Model!AG$1,'Assumptions (Geo)'!$V$9,'Assumptions (Geo)'!$V$4*Model!$AK$1560*AVERAGE('Assumptions (Geo)'!$AG$2:$AI$2)/10^9),0)</f>
        <v>0</v>
      </c>
      <c r="AV1703" s="105">
        <f>IF($AK$1560&gt;0,IPMT('Assumptions (Geo)'!$V$6,Model!AH$1,'Assumptions (Geo)'!$V$9,'Assumptions (Geo)'!$V$4*Model!$AK$1560*AVERAGE('Assumptions (Geo)'!$AG$2:$AI$2)/10^9),0)</f>
        <v>0</v>
      </c>
      <c r="AW1703" s="105">
        <f>IF($AK$1560&gt;0,IPMT('Assumptions (Geo)'!$V$6,Model!AI$1,'Assumptions (Geo)'!$V$9,'Assumptions (Geo)'!$V$4*Model!$AK$1560*AVERAGE('Assumptions (Geo)'!$AG$2:$AI$2)/10^9),0)</f>
        <v>0</v>
      </c>
      <c r="AX1703" s="105">
        <f>IF($AK$1560&gt;0,IPMT('Assumptions (Geo)'!$V$6,Model!AJ$1,'Assumptions (Geo)'!$V$9,'Assumptions (Geo)'!$V$4*Model!$AK$1560*AVERAGE('Assumptions (Geo)'!$AG$2:$AI$2)/10^9),0)</f>
        <v>0</v>
      </c>
      <c r="AY1703" s="105">
        <f>IF($AK$1560&gt;0,IPMT('Assumptions (Geo)'!$V$6,Model!AK$1,'Assumptions (Geo)'!$V$9,'Assumptions (Geo)'!$V$4*Model!$AK$1560*AVERAGE('Assumptions (Geo)'!$AG$2:$AI$2)/10^9),0)</f>
        <v>0</v>
      </c>
      <c r="AZ1703" s="105"/>
      <c r="BA1703" s="105"/>
      <c r="BB1703" s="105"/>
      <c r="BC1703" s="105"/>
      <c r="BD1703" s="105"/>
      <c r="BE1703" s="105"/>
      <c r="BF1703" s="105"/>
      <c r="BG1703" s="105"/>
      <c r="BH1703" s="105"/>
      <c r="BI1703" s="105"/>
    </row>
    <row r="1704" spans="1:68" ht="15.75" hidden="1" customHeight="1" outlineLevel="1">
      <c r="A1704" s="428"/>
      <c r="B1704" s="99"/>
      <c r="C1704" s="99"/>
      <c r="D1704" s="99"/>
      <c r="E1704" s="99"/>
      <c r="F1704" s="99"/>
      <c r="G1704" s="99"/>
      <c r="H1704" s="99"/>
      <c r="I1704" s="99"/>
      <c r="J1704" s="99"/>
      <c r="K1704" s="99"/>
      <c r="L1704" s="99"/>
      <c r="M1704" s="99"/>
      <c r="N1704" s="99"/>
      <c r="O1704" s="99"/>
      <c r="P1704" s="99"/>
      <c r="Q1704" s="99"/>
      <c r="R1704" s="99"/>
      <c r="S1704" s="99"/>
      <c r="T1704" s="99"/>
      <c r="U1704" s="99"/>
      <c r="V1704" s="99"/>
      <c r="W1704" s="105"/>
      <c r="X1704" s="105"/>
      <c r="Y1704" s="105"/>
      <c r="Z1704" s="105"/>
      <c r="AA1704" s="105"/>
      <c r="AB1704" s="105"/>
      <c r="AC1704" s="105"/>
      <c r="AD1704" s="105"/>
      <c r="AE1704" s="105"/>
      <c r="AF1704" s="105"/>
      <c r="AG1704" s="105"/>
      <c r="AH1704" s="105"/>
      <c r="AI1704" s="105"/>
      <c r="AJ1704" s="171"/>
      <c r="AK1704" s="105"/>
      <c r="AL1704" s="91">
        <f>IF($AL$1560&gt;0,IPMT('Assumptions (Geo)'!$V$6,Model!W$1,'Assumptions (Geo)'!$V$9,'Assumptions (Geo)'!$V$4*Model!$AL$1560*AVERAGE('Assumptions (Geo)'!$AH$2:$AJ$2)/10^9),0)</f>
        <v>-8.2152645690444712E-3</v>
      </c>
      <c r="AM1704" s="91">
        <f>IF($AL$1560&gt;0,IPMT('Assumptions (Geo)'!$V$6,Model!X$1,'Assumptions (Geo)'!$V$9,'Assumptions (Geo)'!$V$4*Model!$AL$1560*AVERAGE('Assumptions (Geo)'!$AH$2:$AJ$2)/10^9),0)</f>
        <v>-7.8273304566087668E-3</v>
      </c>
      <c r="AN1704" s="91">
        <f>IF($AL$1560&gt;0,IPMT('Assumptions (Geo)'!$V$6,Model!Y$1,'Assumptions (Geo)'!$V$9,'Assumptions (Geo)'!$V$4*Model!$AL$1560*AVERAGE('Assumptions (Geo)'!$AH$2:$AJ$2)/10^9),0)</f>
        <v>-7.4209694738323678E-3</v>
      </c>
      <c r="AO1704" s="91">
        <f>IF($AL$1560&gt;0,IPMT('Assumptions (Geo)'!$V$6,Model!Z$1,'Assumptions (Geo)'!$V$9,'Assumptions (Geo)'!$V$4*Model!$AL$1560*AVERAGE('Assumptions (Geo)'!$AH$2:$AJ$2)/10^9),0)</f>
        <v>-6.9953063443740915E-3</v>
      </c>
      <c r="AP1704" s="91">
        <f>IF($AL$1560&gt;0,IPMT('Assumptions (Geo)'!$V$6,Model!AA$1,'Assumptions (Geo)'!$V$9,'Assumptions (Geo)'!$V$4*Model!$AL$1560*AVERAGE('Assumptions (Geo)'!$AH$2:$AJ$2)/10^9),0)</f>
        <v>-6.5494242162665471E-3</v>
      </c>
      <c r="AQ1704" s="91">
        <f>IF($AL$1560&gt;0,IPMT('Assumptions (Geo)'!$V$6,Model!AB$1,'Assumptions (Geo)'!$V$9,'Assumptions (Geo)'!$V$4*Model!$AL$1560*AVERAGE('Assumptions (Geo)'!$AH$2:$AJ$2)/10^9),0)</f>
        <v>-6.0823626870738935E-3</v>
      </c>
      <c r="AR1704" s="91">
        <f>IF($AL$1560&gt;0,IPMT('Assumptions (Geo)'!$V$6,Model!AC$1,'Assumptions (Geo)'!$V$9,'Assumptions (Geo)'!$V$4*Model!$AL$1560*AVERAGE('Assumptions (Geo)'!$AH$2:$AJ$2)/10^9),0)</f>
        <v>-5.5931157352445884E-3</v>
      </c>
      <c r="AS1704" s="91">
        <f>IF($AL$1560&gt;0,IPMT('Assumptions (Geo)'!$V$6,Model!AD$1,'Assumptions (Geo)'!$V$9,'Assumptions (Geo)'!$V$4*Model!$AL$1560*AVERAGE('Assumptions (Geo)'!$AH$2:$AJ$2)/10^9),0)</f>
        <v>-5.0806295532033917E-3</v>
      </c>
      <c r="AT1704" s="91">
        <f>IF($AL$1560&gt;0,IPMT('Assumptions (Geo)'!$V$6,Model!AE$1,'Assumptions (Geo)'!$V$9,'Assumptions (Geo)'!$V$4*Model!$AL$1560*AVERAGE('Assumptions (Geo)'!$AH$2:$AJ$2)/10^9),0)</f>
        <v>-4.5438002775152388E-3</v>
      </c>
      <c r="AU1704" s="91">
        <f>IF($AL$1560&gt;0,IPMT('Assumptions (Geo)'!$V$6,Model!AF$1,'Assumptions (Geo)'!$V$9,'Assumptions (Geo)'!$V$4*Model!$AL$1560*AVERAGE('Assumptions (Geo)'!$AH$2:$AJ$2)/10^9),0)</f>
        <v>-3.9814716112318979E-3</v>
      </c>
      <c r="AV1704" s="91">
        <f>IF($AL$1560&gt;0,IPMT('Assumptions (Geo)'!$V$6,Model!AG$1,'Assumptions (Geo)'!$V$9,'Assumptions (Geo)'!$V$4*Model!$AL$1560*AVERAGE('Assumptions (Geo)'!$AH$2:$AJ$2)/10^9),0)</f>
        <v>-3.3924323333000984E-3</v>
      </c>
      <c r="AW1704" s="91">
        <f>IF($AL$1560&gt;0,IPMT('Assumptions (Geo)'!$V$6,Model!AH$1,'Assumptions (Geo)'!$V$9,'Assumptions (Geo)'!$V$4*Model!$AL$1560*AVERAGE('Assumptions (Geo)'!$AH$2:$AJ$2)/10^9),0)</f>
        <v>-2.7754136896665392E-3</v>
      </c>
      <c r="AX1704" s="91">
        <f>IF($AL$1560&gt;0,IPMT('Assumptions (Geo)'!$V$6,Model!AI$1,'Assumptions (Geo)'!$V$9,'Assumptions (Geo)'!$V$4*Model!$AL$1560*AVERAGE('Assumptions (Geo)'!$AH$2:$AJ$2)/10^9),0)</f>
        <v>-2.1290866604603848E-3</v>
      </c>
      <c r="AY1704" s="91">
        <f>IF($AL$1560&gt;0,IPMT('Assumptions (Geo)'!$V$6,Model!AJ$1,'Assumptions (Geo)'!$V$9,'Assumptions (Geo)'!$V$4*Model!$AL$1560*AVERAGE('Assumptions (Geo)'!$AH$2:$AJ$2)/10^9),0)</f>
        <v>-1.4520590973669384E-3</v>
      </c>
      <c r="AZ1704" s="91">
        <f>IF($AL$1560&gt;0,IPMT('Assumptions (Geo)'!$V$6,Model!AK$1,'Assumptions (Geo)'!$V$9,'Assumptions (Geo)'!$V$4*Model!$AL$1560*AVERAGE('Assumptions (Geo)'!$AH$2:$AJ$2)/10^9),0)</f>
        <v>-7.4287272502655333E-4</v>
      </c>
      <c r="BA1704" s="91"/>
      <c r="BB1704" s="91"/>
      <c r="BC1704" s="91"/>
      <c r="BD1704" s="91"/>
      <c r="BE1704" s="91"/>
      <c r="BF1704" s="91"/>
      <c r="BG1704" s="91"/>
      <c r="BH1704" s="91"/>
      <c r="BI1704" s="91"/>
      <c r="BJ1704" s="91"/>
    </row>
    <row r="1705" spans="1:68" ht="15.75" hidden="1" customHeight="1" outlineLevel="1">
      <c r="A1705" s="428"/>
      <c r="B1705" s="99"/>
      <c r="C1705" s="99"/>
      <c r="D1705" s="99"/>
      <c r="E1705" s="99"/>
      <c r="F1705" s="99"/>
      <c r="G1705" s="99"/>
      <c r="H1705" s="99"/>
      <c r="I1705" s="99"/>
      <c r="J1705" s="99"/>
      <c r="K1705" s="99"/>
      <c r="L1705" s="99"/>
      <c r="M1705" s="99"/>
      <c r="N1705" s="99"/>
      <c r="O1705" s="99"/>
      <c r="P1705" s="99"/>
      <c r="Q1705" s="99"/>
      <c r="R1705" s="99"/>
      <c r="S1705" s="99"/>
      <c r="T1705" s="99"/>
      <c r="U1705" s="99"/>
      <c r="V1705" s="99"/>
      <c r="W1705" s="105"/>
      <c r="X1705" s="105"/>
      <c r="Y1705" s="105"/>
      <c r="Z1705" s="105"/>
      <c r="AA1705" s="105"/>
      <c r="AB1705" s="105"/>
      <c r="AC1705" s="105"/>
      <c r="AD1705" s="105"/>
      <c r="AE1705" s="105"/>
      <c r="AF1705" s="105"/>
      <c r="AG1705" s="105"/>
      <c r="AH1705" s="105"/>
      <c r="AI1705" s="105"/>
      <c r="AJ1705" s="171"/>
      <c r="AK1705" s="105"/>
      <c r="AL1705" s="91"/>
      <c r="AM1705" s="105">
        <f>IF($AM$1560&gt;0,IPMT('Assumptions (Geo)'!$V$6,Model!W$1,'Assumptions (Geo)'!$V$9,'Assumptions (Geo)'!$V$4*Model!$AM$1560*AVERAGE('Assumptions (Geo)'!$AI$2:$AK$2)/10^9),0)</f>
        <v>-4.8474887311388036E-3</v>
      </c>
      <c r="AN1705" s="105">
        <f>IF($AM$1560&gt;0,IPMT('Assumptions (Geo)'!$V$6,Model!X$1,'Assumptions (Geo)'!$V$9,'Assumptions (Geo)'!$V$4*Model!$AM$1560*AVERAGE('Assumptions (Geo)'!$AI$2:$AK$2)/10^9),0)</f>
        <v>-4.618584814210523E-3</v>
      </c>
      <c r="AO1705" s="105">
        <f>IF($AM$1560&gt;0,IPMT('Assumptions (Geo)'!$V$6,Model!Y$1,'Assumptions (Geo)'!$V$9,'Assumptions (Geo)'!$V$4*Model!$AM$1560*AVERAGE('Assumptions (Geo)'!$AI$2:$AK$2)/10^9),0)</f>
        <v>-4.3788079612281476E-3</v>
      </c>
      <c r="AP1705" s="105">
        <f>IF($AM$1560&gt;0,IPMT('Assumptions (Geo)'!$V$6,Model!Z$1,'Assumptions (Geo)'!$V$9,'Assumptions (Geo)'!$V$4*Model!$AM$1560*AVERAGE('Assumptions (Geo)'!$AI$2:$AK$2)/10^9),0)</f>
        <v>-4.1276417077291128E-3</v>
      </c>
      <c r="AQ1705" s="105">
        <f>IF($AM$1560&gt;0,IPMT('Assumptions (Geo)'!$V$6,Model!AA$1,'Assumptions (Geo)'!$V$9,'Assumptions (Geo)'!$V$4*Model!$AM$1560*AVERAGE('Assumptions (Geo)'!$AI$2:$AK$2)/10^9),0)</f>
        <v>-3.8645450571888713E-3</v>
      </c>
      <c r="AR1705" s="105">
        <f>IF($AM$1560&gt;0,IPMT('Assumptions (Geo)'!$V$6,Model!AB$1,'Assumptions (Geo)'!$V$9,'Assumptions (Geo)'!$V$4*Model!$AM$1560*AVERAGE('Assumptions (Geo)'!$AI$2:$AK$2)/10^9),0)</f>
        <v>-3.5889513157479698E-3</v>
      </c>
      <c r="AS1705" s="105">
        <f>IF($AM$1560&gt;0,IPMT('Assumptions (Geo)'!$V$6,Model!AC$1,'Assumptions (Geo)'!$V$9,'Assumptions (Geo)'!$V$4*Model!$AM$1560*AVERAGE('Assumptions (Geo)'!$AI$2:$AK$2)/10^9),0)</f>
        <v>-3.3002668715886247E-3</v>
      </c>
      <c r="AT1705" s="105">
        <f>IF($AM$1560&gt;0,IPMT('Assumptions (Geo)'!$V$6,Model!AD$1,'Assumptions (Geo)'!$V$9,'Assumptions (Geo)'!$V$4*Model!$AM$1560*AVERAGE('Assumptions (Geo)'!$AI$2:$AK$2)/10^9),0)</f>
        <v>-2.9978699163317108E-3</v>
      </c>
      <c r="AU1705" s="105">
        <f>IF($AM$1560&gt;0,IPMT('Assumptions (Geo)'!$V$6,Model!AE$1,'Assumptions (Geo)'!$V$9,'Assumptions (Geo)'!$V$4*Model!$AM$1560*AVERAGE('Assumptions (Geo)'!$AI$2:$AK$2)/10^9),0)</f>
        <v>-2.6811091057000942E-3</v>
      </c>
      <c r="AV1705" s="105">
        <f>IF($AM$1560&gt;0,IPMT('Assumptions (Geo)'!$V$6,Model!AF$1,'Assumptions (Geo)'!$V$9,'Assumptions (Geo)'!$V$4*Model!$AM$1560*AVERAGE('Assumptions (Geo)'!$AI$2:$AK$2)/10^9),0)</f>
        <v>-2.349302156563475E-3</v>
      </c>
      <c r="AW1705" s="105">
        <f>IF($AM$1560&gt;0,IPMT('Assumptions (Geo)'!$V$6,Model!AG$1,'Assumptions (Geo)'!$V$9,'Assumptions (Geo)'!$V$4*Model!$AM$1560*AVERAGE('Assumptions (Geo)'!$AI$2:$AK$2)/10^9),0)</f>
        <v>-2.0017343773428664E-3</v>
      </c>
      <c r="AX1705" s="105">
        <f>IF($AM$1560&gt;0,IPMT('Assumptions (Geo)'!$V$6,Model!AH$1,'Assumptions (Geo)'!$V$9,'Assumptions (Geo)'!$V$4*Model!$AM$1560*AVERAGE('Assumptions (Geo)'!$AI$2:$AK$2)/10^9),0)</f>
        <v>-1.6376571286092793E-3</v>
      </c>
      <c r="AY1705" s="105">
        <f>IF($AM$1560&gt;0,IPMT('Assumptions (Geo)'!$V$6,Model!AI$1,'Assumptions (Geo)'!$V$9,'Assumptions (Geo)'!$V$4*Model!$AM$1560*AVERAGE('Assumptions (Geo)'!$AI$2:$AK$2)/10^9),0)</f>
        <v>-1.2562862105608464E-3</v>
      </c>
      <c r="AZ1705" s="105">
        <f>IF($AM$1560&gt;0,IPMT('Assumptions (Geo)'!$V$6,Model!AJ$1,'Assumptions (Geo)'!$V$9,'Assumptions (Geo)'!$V$4*Model!$AM$1560*AVERAGE('Assumptions (Geo)'!$AI$2:$AK$2)/10^9),0)</f>
        <v>-8.5680017390511308E-4</v>
      </c>
      <c r="BA1705" s="105">
        <f>IF($AM$1560&gt;0,IPMT('Assumptions (Geo)'!$V$6,Model!AK$1,'Assumptions (Geo)'!$V$9,'Assumptions (Geo)'!$V$4*Model!$AM$1560*AVERAGE('Assumptions (Geo)'!$AI$2:$AK$2)/10^9),0)</f>
        <v>-4.383385505082324E-4</v>
      </c>
      <c r="BB1705" s="105"/>
      <c r="BC1705" s="105"/>
      <c r="BD1705" s="105"/>
      <c r="BE1705" s="105"/>
      <c r="BF1705" s="105"/>
      <c r="BG1705" s="105"/>
      <c r="BH1705" s="105"/>
      <c r="BI1705" s="105"/>
      <c r="BJ1705" s="105"/>
      <c r="BK1705" s="105"/>
    </row>
    <row r="1706" spans="1:68" ht="15.75" hidden="1" customHeight="1" outlineLevel="1">
      <c r="A1706" s="428"/>
      <c r="B1706" s="99"/>
      <c r="C1706" s="99"/>
      <c r="D1706" s="99"/>
      <c r="E1706" s="99"/>
      <c r="F1706" s="99"/>
      <c r="G1706" s="99"/>
      <c r="H1706" s="99"/>
      <c r="I1706" s="99"/>
      <c r="J1706" s="99"/>
      <c r="K1706" s="99"/>
      <c r="L1706" s="99"/>
      <c r="M1706" s="99"/>
      <c r="N1706" s="99"/>
      <c r="O1706" s="99"/>
      <c r="P1706" s="99"/>
      <c r="Q1706" s="99"/>
      <c r="R1706" s="99"/>
      <c r="S1706" s="99"/>
      <c r="T1706" s="99"/>
      <c r="U1706" s="99"/>
      <c r="V1706" s="99"/>
      <c r="W1706" s="105"/>
      <c r="X1706" s="105"/>
      <c r="Y1706" s="105"/>
      <c r="Z1706" s="105"/>
      <c r="AA1706" s="105"/>
      <c r="AB1706" s="105"/>
      <c r="AC1706" s="105"/>
      <c r="AD1706" s="105"/>
      <c r="AE1706" s="105"/>
      <c r="AF1706" s="105"/>
      <c r="AG1706" s="105"/>
      <c r="AH1706" s="105"/>
      <c r="AI1706" s="105"/>
      <c r="AJ1706" s="171"/>
      <c r="AK1706" s="105"/>
      <c r="AL1706" s="91"/>
      <c r="AM1706" s="91"/>
      <c r="AN1706" s="105">
        <f>IF($AN$1560&gt;0,IPMT('Assumptions (Geo)'!$V$6,Model!W$1,'Assumptions (Geo)'!$V$9,'Assumptions (Geo)'!$V$4*Model!$AN$1560*AVERAGE('Assumptions (Geo)'!$AJ$2:$AL$2)/10^9),0)</f>
        <v>-1.54365784498107E-2</v>
      </c>
      <c r="AO1706" s="105">
        <f>IF($AN$1560&gt;0,IPMT('Assumptions (Geo)'!$V$6,Model!X$1,'Assumptions (Geo)'!$V$9,'Assumptions (Geo)'!$V$4*Model!$AN$1560*AVERAGE('Assumptions (Geo)'!$AJ$2:$AL$2)/10^9),0)</f>
        <v>-1.4707645703988258E-2</v>
      </c>
      <c r="AP1706" s="105">
        <f>IF($AN$1560&gt;0,IPMT('Assumptions (Geo)'!$V$6,Model!Y$1,'Assumptions (Geo)'!$V$9,'Assumptions (Geo)'!$V$4*Model!$AN$1560*AVERAGE('Assumptions (Geo)'!$AJ$2:$AL$2)/10^9),0)</f>
        <v>-1.3944088652739248E-2</v>
      </c>
      <c r="AQ1706" s="105">
        <f>IF($AN$1560&gt;0,IPMT('Assumptions (Geo)'!$V$6,Model!Z$1,'Assumptions (Geo)'!$V$9,'Assumptions (Geo)'!$V$4*Model!$AN$1560*AVERAGE('Assumptions (Geo)'!$AJ$2:$AL$2)/10^9),0)</f>
        <v>-1.3144262641555915E-2</v>
      </c>
      <c r="AR1706" s="105">
        <f>IF($AN$1560&gt;0,IPMT('Assumptions (Geo)'!$V$6,Model!AA$1,'Assumptions (Geo)'!$V$9,'Assumptions (Geo)'!$V$4*Model!$AN$1560*AVERAGE('Assumptions (Geo)'!$AJ$2:$AL$2)/10^9),0)</f>
        <v>-1.2306444894841371E-2</v>
      </c>
      <c r="AS1706" s="105">
        <f>IF($AN$1560&gt;0,IPMT('Assumptions (Geo)'!$V$6,Model!AB$1,'Assumptions (Geo)'!$V$9,'Assumptions (Geo)'!$V$4*Model!$AN$1560*AVERAGE('Assumptions (Geo)'!$AJ$2:$AL$2)/10^9),0)</f>
        <v>-1.1428830805157886E-2</v>
      </c>
      <c r="AT1706" s="105">
        <f>IF($AN$1560&gt;0,IPMT('Assumptions (Geo)'!$V$6,Model!AC$1,'Assumptions (Geo)'!$V$9,'Assumptions (Geo)'!$V$4*Model!$AN$1560*AVERAGE('Assumptions (Geo)'!$AJ$2:$AL$2)/10^9),0)</f>
        <v>-1.0509530046214435E-2</v>
      </c>
      <c r="AU1706" s="105">
        <f>IF($AN$1560&gt;0,IPMT('Assumptions (Geo)'!$V$6,Model!AD$1,'Assumptions (Geo)'!$V$9,'Assumptions (Geo)'!$V$4*Model!$AN$1560*AVERAGE('Assumptions (Geo)'!$AJ$2:$AL$2)/10^9),0)</f>
        <v>-9.5465625012211702E-3</v>
      </c>
      <c r="AV1706" s="105">
        <f>IF($AN$1560&gt;0,IPMT('Assumptions (Geo)'!$V$6,Model!AE$1,'Assumptions (Geo)'!$V$9,'Assumptions (Geo)'!$V$4*Model!$AN$1560*AVERAGE('Assumptions (Geo)'!$AJ$2:$AL$2)/10^9),0)</f>
        <v>-8.5378539978407282E-3</v>
      </c>
      <c r="AW1706" s="105">
        <f>IF($AN$1560&gt;0,IPMT('Assumptions (Geo)'!$V$6,Model!AF$1,'Assumptions (Geo)'!$V$9,'Assumptions (Geo)'!$V$4*Model!$AN$1560*AVERAGE('Assumptions (Geo)'!$AJ$2:$AL$2)/10^9),0)</f>
        <v>-7.4812318405497119E-3</v>
      </c>
      <c r="AX1706" s="105">
        <f>IF($AN$1560&gt;0,IPMT('Assumptions (Geo)'!$V$6,Model!AG$1,'Assumptions (Geo)'!$V$9,'Assumptions (Geo)'!$V$4*Model!$AN$1560*AVERAGE('Assumptions (Geo)'!$AJ$2:$AL$2)/10^9),0)</f>
        <v>-6.3744201307873736E-3</v>
      </c>
      <c r="AY1706" s="105">
        <f>IF($AN$1560&gt;0,IPMT('Assumptions (Geo)'!$V$6,Model!AH$1,'Assumptions (Geo)'!$V$9,'Assumptions (Geo)'!$V$4*Model!$AN$1560*AVERAGE('Assumptions (Geo)'!$AJ$2:$AL$2)/10^9),0)</f>
        <v>-5.2150348648113253E-3</v>
      </c>
      <c r="AZ1706" s="105">
        <f>IF($AN$1560&gt;0,IPMT('Assumptions (Geo)'!$V$6,Model!AI$1,'Assumptions (Geo)'!$V$9,'Assumptions (Geo)'!$V$4*Model!$AN$1560*AVERAGE('Assumptions (Geo)'!$AJ$2:$AL$2)/10^9),0)</f>
        <v>-4.0005787987014126E-3</v>
      </c>
      <c r="BA1706" s="105">
        <f>IF($AN$1560&gt;0,IPMT('Assumptions (Geo)'!$V$6,Model!AJ$1,'Assumptions (Geo)'!$V$9,'Assumptions (Geo)'!$V$4*Model!$AN$1560*AVERAGE('Assumptions (Geo)'!$AJ$2:$AL$2)/10^9),0)</f>
        <v>-2.7284360694512797E-3</v>
      </c>
      <c r="BB1706" s="105">
        <f>IF($AN$1560&gt;0,IPMT('Assumptions (Geo)'!$V$6,Model!AK$1,'Assumptions (Geo)'!$V$9,'Assumptions (Geo)'!$V$4*Model!$AN$1560*AVERAGE('Assumptions (Geo)'!$AJ$2:$AL$2)/10^9),0)</f>
        <v>-1.3958665605617658E-3</v>
      </c>
      <c r="BC1706" s="105"/>
      <c r="BD1706" s="105"/>
      <c r="BE1706" s="105"/>
      <c r="BF1706" s="105"/>
      <c r="BG1706" s="105"/>
      <c r="BH1706" s="105"/>
      <c r="BI1706" s="105"/>
      <c r="BJ1706" s="105"/>
      <c r="BK1706" s="105"/>
      <c r="BL1706" s="105"/>
    </row>
    <row r="1707" spans="1:68" ht="15.75" hidden="1" customHeight="1" outlineLevel="1">
      <c r="A1707" s="428"/>
      <c r="B1707" s="99"/>
      <c r="C1707" s="99"/>
      <c r="D1707" s="99"/>
      <c r="E1707" s="99"/>
      <c r="F1707" s="99"/>
      <c r="G1707" s="99"/>
      <c r="H1707" s="99"/>
      <c r="I1707" s="99"/>
      <c r="J1707" s="99"/>
      <c r="K1707" s="99"/>
      <c r="L1707" s="99"/>
      <c r="M1707" s="99"/>
      <c r="N1707" s="99"/>
      <c r="O1707" s="99"/>
      <c r="P1707" s="99"/>
      <c r="Q1707" s="99"/>
      <c r="R1707" s="99"/>
      <c r="S1707" s="99"/>
      <c r="T1707" s="99"/>
      <c r="U1707" s="99"/>
      <c r="V1707" s="99"/>
      <c r="W1707" s="105"/>
      <c r="X1707" s="105"/>
      <c r="Y1707" s="105"/>
      <c r="Z1707" s="105"/>
      <c r="AA1707" s="105"/>
      <c r="AB1707" s="105"/>
      <c r="AC1707" s="105"/>
      <c r="AD1707" s="105"/>
      <c r="AE1707" s="105"/>
      <c r="AF1707" s="105"/>
      <c r="AG1707" s="105"/>
      <c r="AH1707" s="105"/>
      <c r="AI1707" s="105"/>
      <c r="AJ1707" s="171"/>
      <c r="AK1707" s="105"/>
      <c r="AL1707" s="91"/>
      <c r="AM1707" s="91"/>
      <c r="AN1707" s="91"/>
      <c r="AO1707" s="105">
        <f>IF($AO$1560&gt;0,IPMT('Assumptions (Geo)'!$V$6,Model!W$1,'Assumptions (Geo)'!$V$9,'Assumptions (Geo)'!$V$4*Model!$AO$1560*AVERAGE('Assumptions (Geo)'!$AK$2:$AM$2)/10^9),0)</f>
        <v>0</v>
      </c>
      <c r="AP1707" s="105">
        <f>IF($AO$1560&gt;0,IPMT('Assumptions (Geo)'!$V$6,Model!X$1,'Assumptions (Geo)'!$V$9,'Assumptions (Geo)'!$V$4*Model!$AO$1560*AVERAGE('Assumptions (Geo)'!$AK$2:$AM$2)/10^9),0)</f>
        <v>0</v>
      </c>
      <c r="AQ1707" s="105">
        <f>IF($AO$1560&gt;0,IPMT('Assumptions (Geo)'!$V$6,Model!Y$1,'Assumptions (Geo)'!$V$9,'Assumptions (Geo)'!$V$4*Model!$AO$1560*AVERAGE('Assumptions (Geo)'!$AK$2:$AM$2)/10^9),0)</f>
        <v>0</v>
      </c>
      <c r="AR1707" s="105">
        <f>IF($AO$1560&gt;0,IPMT('Assumptions (Geo)'!$V$6,Model!Z$1,'Assumptions (Geo)'!$V$9,'Assumptions (Geo)'!$V$4*Model!$AO$1560*AVERAGE('Assumptions (Geo)'!$AK$2:$AM$2)/10^9),0)</f>
        <v>0</v>
      </c>
      <c r="AS1707" s="105">
        <f>IF($AO$1560&gt;0,IPMT('Assumptions (Geo)'!$V$6,Model!AA$1,'Assumptions (Geo)'!$V$9,'Assumptions (Geo)'!$V$4*Model!$AO$1560*AVERAGE('Assumptions (Geo)'!$AK$2:$AM$2)/10^9),0)</f>
        <v>0</v>
      </c>
      <c r="AT1707" s="105">
        <f>IF($AO$1560&gt;0,IPMT('Assumptions (Geo)'!$V$6,Model!AB$1,'Assumptions (Geo)'!$V$9,'Assumptions (Geo)'!$V$4*Model!$AO$1560*AVERAGE('Assumptions (Geo)'!$AK$2:$AM$2)/10^9),0)</f>
        <v>0</v>
      </c>
      <c r="AU1707" s="105">
        <f>IF($AO$1560&gt;0,IPMT('Assumptions (Geo)'!$V$6,Model!AC$1,'Assumptions (Geo)'!$V$9,'Assumptions (Geo)'!$V$4*Model!$AO$1560*AVERAGE('Assumptions (Geo)'!$AK$2:$AM$2)/10^9),0)</f>
        <v>0</v>
      </c>
      <c r="AV1707" s="105">
        <f>IF($AO$1560&gt;0,IPMT('Assumptions (Geo)'!$V$6,Model!AD$1,'Assumptions (Geo)'!$V$9,'Assumptions (Geo)'!$V$4*Model!$AO$1560*AVERAGE('Assumptions (Geo)'!$AK$2:$AM$2)/10^9),0)</f>
        <v>0</v>
      </c>
      <c r="AW1707" s="105">
        <f>IF($AO$1560&gt;0,IPMT('Assumptions (Geo)'!$V$6,Model!AE$1,'Assumptions (Geo)'!$V$9,'Assumptions (Geo)'!$V$4*Model!$AO$1560*AVERAGE('Assumptions (Geo)'!$AK$2:$AM$2)/10^9),0)</f>
        <v>0</v>
      </c>
      <c r="AX1707" s="105">
        <f>IF($AO$1560&gt;0,IPMT('Assumptions (Geo)'!$V$6,Model!AF$1,'Assumptions (Geo)'!$V$9,'Assumptions (Geo)'!$V$4*Model!$AO$1560*AVERAGE('Assumptions (Geo)'!$AK$2:$AM$2)/10^9),0)</f>
        <v>0</v>
      </c>
      <c r="AY1707" s="105">
        <f>IF($AO$1560&gt;0,IPMT('Assumptions (Geo)'!$V$6,Model!AG$1,'Assumptions (Geo)'!$V$9,'Assumptions (Geo)'!$V$4*Model!$AO$1560*AVERAGE('Assumptions (Geo)'!$AK$2:$AM$2)/10^9),0)</f>
        <v>0</v>
      </c>
      <c r="AZ1707" s="105">
        <f>IF($AO$1560&gt;0,IPMT('Assumptions (Geo)'!$V$6,Model!AH$1,'Assumptions (Geo)'!$V$9,'Assumptions (Geo)'!$V$4*Model!$AO$1560*AVERAGE('Assumptions (Geo)'!$AK$2:$AM$2)/10^9),0)</f>
        <v>0</v>
      </c>
      <c r="BA1707" s="105">
        <f>IF($AO$1560&gt;0,IPMT('Assumptions (Geo)'!$V$6,Model!AI$1,'Assumptions (Geo)'!$V$9,'Assumptions (Geo)'!$V$4*Model!$AO$1560*AVERAGE('Assumptions (Geo)'!$AK$2:$AM$2)/10^9),0)</f>
        <v>0</v>
      </c>
      <c r="BB1707" s="105">
        <f>IF($AO$1560&gt;0,IPMT('Assumptions (Geo)'!$V$6,Model!AJ$1,'Assumptions (Geo)'!$V$9,'Assumptions (Geo)'!$V$4*Model!$AO$1560*AVERAGE('Assumptions (Geo)'!$AK$2:$AM$2)/10^9),0)</f>
        <v>0</v>
      </c>
      <c r="BC1707" s="105">
        <f>IF($AO$1560&gt;0,IPMT('Assumptions (Geo)'!$V$6,Model!AK$1,'Assumptions (Geo)'!$V$9,'Assumptions (Geo)'!$V$4*Model!$AO$1560*AVERAGE('Assumptions (Geo)'!$AK$2:$AM$2)/10^9),0)</f>
        <v>0</v>
      </c>
      <c r="BD1707" s="105"/>
      <c r="BE1707" s="105"/>
      <c r="BF1707" s="105"/>
      <c r="BG1707" s="105"/>
      <c r="BH1707" s="105"/>
      <c r="BI1707" s="105"/>
      <c r="BJ1707" s="105"/>
      <c r="BK1707" s="105"/>
      <c r="BL1707" s="105"/>
      <c r="BM1707" s="105"/>
    </row>
    <row r="1708" spans="1:68" ht="15.75" hidden="1" customHeight="1" outlineLevel="1">
      <c r="A1708" s="428"/>
      <c r="B1708" s="99"/>
      <c r="C1708" s="99"/>
      <c r="D1708" s="99"/>
      <c r="E1708" s="99"/>
      <c r="F1708" s="99"/>
      <c r="G1708" s="99"/>
      <c r="H1708" s="99"/>
      <c r="I1708" s="99"/>
      <c r="J1708" s="99"/>
      <c r="K1708" s="99"/>
      <c r="L1708" s="99"/>
      <c r="M1708" s="99"/>
      <c r="N1708" s="99"/>
      <c r="O1708" s="99"/>
      <c r="P1708" s="99"/>
      <c r="Q1708" s="99"/>
      <c r="R1708" s="99"/>
      <c r="S1708" s="99"/>
      <c r="T1708" s="99"/>
      <c r="U1708" s="99"/>
      <c r="V1708" s="99"/>
      <c r="W1708" s="105"/>
      <c r="X1708" s="105"/>
      <c r="Y1708" s="105"/>
      <c r="Z1708" s="105"/>
      <c r="AA1708" s="105"/>
      <c r="AB1708" s="105"/>
      <c r="AC1708" s="105"/>
      <c r="AD1708" s="105"/>
      <c r="AE1708" s="105"/>
      <c r="AF1708" s="105"/>
      <c r="AG1708" s="105"/>
      <c r="AH1708" s="105"/>
      <c r="AI1708" s="105"/>
      <c r="AJ1708" s="171"/>
      <c r="AK1708" s="105"/>
      <c r="AL1708" s="91"/>
      <c r="AM1708" s="91"/>
      <c r="AN1708" s="91"/>
      <c r="AO1708" s="105"/>
      <c r="AP1708" s="105">
        <f>IF($AP$1560&gt;0,IPMT('Assumptions (Geo)'!$V$6,Model!W$1,'Assumptions (Geo)'!$V$9,'Assumptions (Geo)'!$V$4*Model!$AP$1560*AVERAGE('Assumptions (Geo)'!$AL$2:$AN$2)/10^9),0)</f>
        <v>0</v>
      </c>
      <c r="AQ1708" s="105">
        <f>IF($AP$1560&gt;0,IPMT('Assumptions (Geo)'!$V$6,Model!X$1,'Assumptions (Geo)'!$V$9,'Assumptions (Geo)'!$V$4*Model!$AP$1560*AVERAGE('Assumptions (Geo)'!$AL$2:$AN$2)/10^9),0)</f>
        <v>0</v>
      </c>
      <c r="AR1708" s="105">
        <f>IF($AP$1560&gt;0,IPMT('Assumptions (Geo)'!$V$6,Model!Y$1,'Assumptions (Geo)'!$V$9,'Assumptions (Geo)'!$V$4*Model!$AP$1560*AVERAGE('Assumptions (Geo)'!$AL$2:$AN$2)/10^9),0)</f>
        <v>0</v>
      </c>
      <c r="AS1708" s="105">
        <f>IF($AP$1560&gt;0,IPMT('Assumptions (Geo)'!$V$6,Model!Z$1,'Assumptions (Geo)'!$V$9,'Assumptions (Geo)'!$V$4*Model!$AP$1560*AVERAGE('Assumptions (Geo)'!$AL$2:$AN$2)/10^9),0)</f>
        <v>0</v>
      </c>
      <c r="AT1708" s="105">
        <f>IF($AP$1560&gt;0,IPMT('Assumptions (Geo)'!$V$6,Model!AA$1,'Assumptions (Geo)'!$V$9,'Assumptions (Geo)'!$V$4*Model!$AP$1560*AVERAGE('Assumptions (Geo)'!$AL$2:$AN$2)/10^9),0)</f>
        <v>0</v>
      </c>
      <c r="AU1708" s="105">
        <f>IF($AP$1560&gt;0,IPMT('Assumptions (Geo)'!$V$6,Model!AB$1,'Assumptions (Geo)'!$V$9,'Assumptions (Geo)'!$V$4*Model!$AP$1560*AVERAGE('Assumptions (Geo)'!$AL$2:$AN$2)/10^9),0)</f>
        <v>0</v>
      </c>
      <c r="AV1708" s="105">
        <f>IF($AP$1560&gt;0,IPMT('Assumptions (Geo)'!$V$6,Model!AC$1,'Assumptions (Geo)'!$V$9,'Assumptions (Geo)'!$V$4*Model!$AP$1560*AVERAGE('Assumptions (Geo)'!$AL$2:$AN$2)/10^9),0)</f>
        <v>0</v>
      </c>
      <c r="AW1708" s="105">
        <f>IF($AP$1560&gt;0,IPMT('Assumptions (Geo)'!$V$6,Model!AD$1,'Assumptions (Geo)'!$V$9,'Assumptions (Geo)'!$V$4*Model!$AP$1560*AVERAGE('Assumptions (Geo)'!$AL$2:$AN$2)/10^9),0)</f>
        <v>0</v>
      </c>
      <c r="AX1708" s="105">
        <f>IF($AP$1560&gt;0,IPMT('Assumptions (Geo)'!$V$6,Model!AE$1,'Assumptions (Geo)'!$V$9,'Assumptions (Geo)'!$V$4*Model!$AP$1560*AVERAGE('Assumptions (Geo)'!$AL$2:$AN$2)/10^9),0)</f>
        <v>0</v>
      </c>
      <c r="AY1708" s="105">
        <f>IF($AP$1560&gt;0,IPMT('Assumptions (Geo)'!$V$6,Model!AF$1,'Assumptions (Geo)'!$V$9,'Assumptions (Geo)'!$V$4*Model!$AP$1560*AVERAGE('Assumptions (Geo)'!$AL$2:$AN$2)/10^9),0)</f>
        <v>0</v>
      </c>
      <c r="AZ1708" s="105">
        <f>IF($AP$1560&gt;0,IPMT('Assumptions (Geo)'!$V$6,Model!AG$1,'Assumptions (Geo)'!$V$9,'Assumptions (Geo)'!$V$4*Model!$AP$1560*AVERAGE('Assumptions (Geo)'!$AL$2:$AN$2)/10^9),0)</f>
        <v>0</v>
      </c>
      <c r="BA1708" s="105">
        <f>IF($AP$1560&gt;0,IPMT('Assumptions (Geo)'!$V$6,Model!AH$1,'Assumptions (Geo)'!$V$9,'Assumptions (Geo)'!$V$4*Model!$AP$1560*AVERAGE('Assumptions (Geo)'!$AL$2:$AN$2)/10^9),0)</f>
        <v>0</v>
      </c>
      <c r="BB1708" s="105">
        <f>IF($AP$1560&gt;0,IPMT('Assumptions (Geo)'!$V$6,Model!AI$1,'Assumptions (Geo)'!$V$9,'Assumptions (Geo)'!$V$4*Model!$AP$1560*AVERAGE('Assumptions (Geo)'!$AL$2:$AN$2)/10^9),0)</f>
        <v>0</v>
      </c>
      <c r="BC1708" s="105">
        <f>IF($AP$1560&gt;0,IPMT('Assumptions (Geo)'!$V$6,Model!AJ$1,'Assumptions (Geo)'!$V$9,'Assumptions (Geo)'!$V$4*Model!$AP$1560*AVERAGE('Assumptions (Geo)'!$AL$2:$AN$2)/10^9),0)</f>
        <v>0</v>
      </c>
      <c r="BD1708" s="105">
        <f>IF($AP$1560&gt;0,IPMT('Assumptions (Geo)'!$V$6,Model!AK$1,'Assumptions (Geo)'!$V$9,'Assumptions (Geo)'!$V$4*Model!$AP$1560*AVERAGE('Assumptions (Geo)'!$AL$2:$AN$2)/10^9),0)</f>
        <v>0</v>
      </c>
      <c r="BE1708" s="105"/>
      <c r="BF1708" s="105"/>
      <c r="BG1708" s="105"/>
      <c r="BH1708" s="105"/>
      <c r="BI1708" s="105"/>
      <c r="BJ1708" s="105"/>
      <c r="BK1708" s="105"/>
      <c r="BL1708" s="105"/>
      <c r="BM1708" s="105"/>
      <c r="BN1708" s="105"/>
    </row>
    <row r="1709" spans="1:68" ht="15.75" hidden="1" customHeight="1" outlineLevel="1">
      <c r="A1709" s="428"/>
      <c r="B1709" s="99"/>
      <c r="C1709" s="99"/>
      <c r="D1709" s="99"/>
      <c r="E1709" s="99"/>
      <c r="F1709" s="99"/>
      <c r="G1709" s="99"/>
      <c r="H1709" s="99"/>
      <c r="I1709" s="99"/>
      <c r="J1709" s="99"/>
      <c r="K1709" s="99"/>
      <c r="L1709" s="99"/>
      <c r="M1709" s="99"/>
      <c r="N1709" s="99"/>
      <c r="O1709" s="99"/>
      <c r="P1709" s="99"/>
      <c r="Q1709" s="99"/>
      <c r="R1709" s="99"/>
      <c r="S1709" s="99"/>
      <c r="T1709" s="99"/>
      <c r="U1709" s="99"/>
      <c r="V1709" s="99"/>
      <c r="W1709" s="105"/>
      <c r="X1709" s="105"/>
      <c r="Y1709" s="105"/>
      <c r="Z1709" s="105"/>
      <c r="AA1709" s="105"/>
      <c r="AB1709" s="105"/>
      <c r="AC1709" s="105"/>
      <c r="AD1709" s="105"/>
      <c r="AE1709" s="105"/>
      <c r="AF1709" s="105"/>
      <c r="AG1709" s="105"/>
      <c r="AH1709" s="105"/>
      <c r="AI1709" s="105"/>
      <c r="AJ1709" s="171"/>
      <c r="AK1709" s="105"/>
      <c r="AL1709" s="91"/>
      <c r="AM1709" s="91"/>
      <c r="AN1709" s="91"/>
      <c r="AO1709" s="105"/>
      <c r="AP1709" s="105"/>
      <c r="AQ1709" s="105">
        <f>IF($AQ$1560&gt;0,IPMT('Assumptions (Geo)'!$V$6,Model!W$1,'Assumptions (Geo)'!$V$9,'Assumptions (Geo)'!$V$4*Model!$AQ$1560*AVERAGE('Assumptions (Geo)'!$AM$2:$AO$2)/10^9),0)</f>
        <v>-1.2457570805759157E-2</v>
      </c>
      <c r="AR1709" s="105">
        <f>IF($AQ$1560&gt;0,IPMT('Assumptions (Geo)'!$V$6,Model!X$1,'Assumptions (Geo)'!$V$9,'Assumptions (Geo)'!$V$4*Model!$AQ$1560*AVERAGE('Assumptions (Geo)'!$AM$2:$AO$2)/10^9),0)</f>
        <v>-1.1869310180307478E-2</v>
      </c>
      <c r="AS1709" s="105">
        <f>IF($AQ$1560&gt;0,IPMT('Assumptions (Geo)'!$V$6,Model!Y$1,'Assumptions (Geo)'!$V$9,'Assumptions (Geo)'!$V$4*Model!$AQ$1560*AVERAGE('Assumptions (Geo)'!$AM$2:$AO$2)/10^9),0)</f>
        <v>-1.1253107175146845E-2</v>
      </c>
      <c r="AT1709" s="105">
        <f>IF($AQ$1560&gt;0,IPMT('Assumptions (Geo)'!$V$6,Model!Z$1,'Assumptions (Geo)'!$V$9,'Assumptions (Geo)'!$V$4*Model!$AQ$1560*AVERAGE('Assumptions (Geo)'!$AM$2:$AO$2)/10^9),0)</f>
        <v>-1.0607634527241085E-2</v>
      </c>
      <c r="AU1709" s="105">
        <f>IF($AQ$1560&gt;0,IPMT('Assumptions (Geo)'!$V$6,Model!AA$1,'Assumptions (Geo)'!$V$9,'Assumptions (Geo)'!$V$4*Model!$AQ$1560*AVERAGE('Assumptions (Geo)'!$AM$2:$AO$2)/10^9),0)</f>
        <v>-9.9315019285598008E-3</v>
      </c>
      <c r="AV1709" s="105">
        <f>IF($AQ$1560&gt;0,IPMT('Assumptions (Geo)'!$V$6,Model!AB$1,'Assumptions (Geo)'!$V$9,'Assumptions (Geo)'!$V$4*Model!$AQ$1560*AVERAGE('Assumptions (Geo)'!$AM$2:$AO$2)/10^9),0)</f>
        <v>-9.2232530314411559E-3</v>
      </c>
      <c r="AW1709" s="105">
        <f>IF($AQ$1560&gt;0,IPMT('Assumptions (Geo)'!$V$6,Model!AC$1,'Assumptions (Geo)'!$V$9,'Assumptions (Geo)'!$V$4*Model!$AQ$1560*AVERAGE('Assumptions (Geo)'!$AM$2:$AO$2)/10^9),0)</f>
        <v>-8.4813623117093746E-3</v>
      </c>
      <c r="AX1709" s="105">
        <f>IF($AQ$1560&gt;0,IPMT('Assumptions (Geo)'!$V$6,Model!AD$1,'Assumptions (Geo)'!$V$9,'Assumptions (Geo)'!$V$4*Model!$AQ$1560*AVERAGE('Assumptions (Geo)'!$AM$2:$AO$2)/10^9),0)</f>
        <v>-7.704231782790334E-3</v>
      </c>
      <c r="AY1709" s="105">
        <f>IF($AQ$1560&gt;0,IPMT('Assumptions (Geo)'!$V$6,Model!AE$1,'Assumptions (Geo)'!$V$9,'Assumptions (Geo)'!$V$4*Model!$AQ$1560*AVERAGE('Assumptions (Geo)'!$AM$2:$AO$2)/10^9),0)</f>
        <v>-6.8901875537476414E-3</v>
      </c>
      <c r="AZ1709" s="105">
        <f>IF($AQ$1560&gt;0,IPMT('Assumptions (Geo)'!$V$6,Model!AF$1,'Assumptions (Geo)'!$V$9,'Assumptions (Geo)'!$V$4*Model!$AQ$1560*AVERAGE('Assumptions (Geo)'!$AM$2:$AO$2)/10^9),0)</f>
        <v>-6.0374762238254182E-3</v>
      </c>
      <c r="BA1709" s="105">
        <f>IF($AQ$1560&gt;0,IPMT('Assumptions (Geo)'!$V$6,Model!AG$1,'Assumptions (Geo)'!$V$9,'Assumptions (Geo)'!$V$4*Model!$AQ$1560*AVERAGE('Assumptions (Geo)'!$AM$2:$AO$2)/10^9),0)</f>
        <v>-5.1442611057318892E-3</v>
      </c>
      <c r="BB1709" s="105">
        <f>IF($AQ$1560&gt;0,IPMT('Assumptions (Geo)'!$V$6,Model!AH$1,'Assumptions (Geo)'!$V$9,'Assumptions (Geo)'!$V$4*Model!$AQ$1560*AVERAGE('Assumptions (Geo)'!$AM$2:$AO$2)/10^9),0)</f>
        <v>-4.2086182695289182E-3</v>
      </c>
      <c r="BC1709" s="105">
        <f>IF($AQ$1560&gt;0,IPMT('Assumptions (Geo)'!$V$6,Model!AI$1,'Assumptions (Geo)'!$V$9,'Assumptions (Geo)'!$V$4*Model!$AQ$1560*AVERAGE('Assumptions (Geo)'!$AM$2:$AO$2)/10^9),0)</f>
        <v>-3.2285323986063061E-3</v>
      </c>
      <c r="BD1709" s="105">
        <f>IF($AQ$1560&gt;0,IPMT('Assumptions (Geo)'!$V$6,Model!AJ$1,'Assumptions (Geo)'!$V$9,'Assumptions (Geo)'!$V$4*Model!$AQ$1560*AVERAGE('Assumptions (Geo)'!$AM$2:$AO$2)/10^9),0)</f>
        <v>-2.2018924488148689E-3</v>
      </c>
      <c r="BE1709" s="105">
        <f>IF($AQ$1560&gt;0,IPMT('Assumptions (Geo)'!$V$6,Model!AK$1,'Assumptions (Geo)'!$V$9,'Assumptions (Geo)'!$V$4*Model!$AQ$1560*AVERAGE('Assumptions (Geo)'!$AM$2:$AO$2)/10^9),0)</f>
        <v>-1.1264871014083396E-3</v>
      </c>
      <c r="BF1709" s="105"/>
      <c r="BG1709" s="105"/>
      <c r="BH1709" s="105"/>
      <c r="BI1709" s="105"/>
      <c r="BJ1709" s="105"/>
      <c r="BK1709" s="105"/>
      <c r="BL1709" s="105"/>
      <c r="BM1709" s="105"/>
      <c r="BN1709" s="105"/>
      <c r="BO1709" s="105"/>
    </row>
    <row r="1710" spans="1:68" ht="15.75" hidden="1" customHeight="1" outlineLevel="1">
      <c r="A1710" s="428"/>
      <c r="B1710" s="99"/>
      <c r="C1710" s="99"/>
      <c r="D1710" s="99"/>
      <c r="E1710" s="99"/>
      <c r="F1710" s="99"/>
      <c r="G1710" s="99"/>
      <c r="H1710" s="99"/>
      <c r="I1710" s="99"/>
      <c r="J1710" s="99"/>
      <c r="K1710" s="99"/>
      <c r="L1710" s="99"/>
      <c r="M1710" s="99"/>
      <c r="N1710" s="99"/>
      <c r="O1710" s="99"/>
      <c r="P1710" s="99"/>
      <c r="Q1710" s="99"/>
      <c r="R1710" s="99"/>
      <c r="S1710" s="99"/>
      <c r="T1710" s="99"/>
      <c r="U1710" s="99"/>
      <c r="V1710" s="99"/>
      <c r="W1710" s="105"/>
      <c r="X1710" s="105"/>
      <c r="Y1710" s="105"/>
      <c r="Z1710" s="105"/>
      <c r="AA1710" s="105"/>
      <c r="AB1710" s="105"/>
      <c r="AC1710" s="105"/>
      <c r="AD1710" s="105"/>
      <c r="AE1710" s="105"/>
      <c r="AF1710" s="105"/>
      <c r="AG1710" s="105"/>
      <c r="AH1710" s="105"/>
      <c r="AI1710" s="105"/>
      <c r="AJ1710" s="171"/>
      <c r="AK1710" s="105"/>
      <c r="AL1710" s="91"/>
      <c r="AM1710" s="91"/>
      <c r="AN1710" s="91"/>
      <c r="AO1710" s="105"/>
      <c r="AP1710" s="105"/>
      <c r="AQ1710" s="105"/>
      <c r="AR1710" s="105">
        <f>IF($AR$1560&gt;0,IPMT('Assumptions (Geo)'!$V$6,Model!W$1,'Assumptions (Geo)'!$V$9,'Assumptions (Geo)'!$V$4*Model!$AR$1560*AVERAGE('Assumptions (Geo)'!$AN$2:$AP$2)/10^9),0)</f>
        <v>-1.9172019251400309E-2</v>
      </c>
      <c r="AS1710" s="105">
        <f>IF($AR$1560&gt;0,IPMT('Assumptions (Geo)'!$V$6,Model!X$1,'Assumptions (Geo)'!$V$9,'Assumptions (Geo)'!$V$4*Model!$AR$1560*AVERAGE('Assumptions (Geo)'!$AN$2:$AP$2)/10^9),0)</f>
        <v>-1.8266694753402157E-2</v>
      </c>
      <c r="AT1710" s="105">
        <f>IF($AR$1560&gt;0,IPMT('Assumptions (Geo)'!$V$6,Model!Y$1,'Assumptions (Geo)'!$V$9,'Assumptions (Geo)'!$V$4*Model!$AR$1560*AVERAGE('Assumptions (Geo)'!$AN$2:$AP$2)/10^9),0)</f>
        <v>-1.7318367341749089E-2</v>
      </c>
      <c r="AU1710" s="105">
        <f>IF($AR$1560&gt;0,IPMT('Assumptions (Geo)'!$V$6,Model!Z$1,'Assumptions (Geo)'!$V$9,'Assumptions (Geo)'!$V$4*Model!$AR$1560*AVERAGE('Assumptions (Geo)'!$AN$2:$AP$2)/10^9),0)</f>
        <v>-1.6324994378042509E-2</v>
      </c>
      <c r="AV1710" s="105">
        <f>IF($AR$1560&gt;0,IPMT('Assumptions (Geo)'!$V$6,Model!AA$1,'Assumptions (Geo)'!$V$9,'Assumptions (Geo)'!$V$4*Model!$AR$1560*AVERAGE('Assumptions (Geo)'!$AN$2:$AP$2)/10^9),0)</f>
        <v>-1.5284436198559861E-2</v>
      </c>
      <c r="AW1710" s="105">
        <f>IF($AR$1560&gt;0,IPMT('Assumptions (Geo)'!$V$6,Model!AB$1,'Assumptions (Geo)'!$V$9,'Assumptions (Geo)'!$V$4*Model!$AR$1560*AVERAGE('Assumptions (Geo)'!$AN$2:$AP$2)/10^9),0)</f>
        <v>-1.4194451505551792E-2</v>
      </c>
      <c r="AX1710" s="105">
        <f>IF($AR$1560&gt;0,IPMT('Assumptions (Geo)'!$V$6,Model!AC$1,'Assumptions (Geo)'!$V$9,'Assumptions (Geo)'!$V$4*Model!$AR$1560*AVERAGE('Assumptions (Geo)'!$AN$2:$AP$2)/10^9),0)</f>
        <v>-1.3052692539625838E-2</v>
      </c>
      <c r="AY1710" s="105">
        <f>IF($AR$1560&gt;0,IPMT('Assumptions (Geo)'!$V$6,Model!AD$1,'Assumptions (Geo)'!$V$9,'Assumptions (Geo)'!$V$4*Model!$AR$1560*AVERAGE('Assumptions (Geo)'!$AN$2:$AP$2)/10^9),0)</f>
        <v>-1.1856700022818399E-2</v>
      </c>
      <c r="AZ1710" s="105">
        <f>IF($AR$1560&gt;0,IPMT('Assumptions (Geo)'!$V$6,Model!AE$1,'Assumptions (Geo)'!$V$9,'Assumptions (Geo)'!$V$4*Model!$AR$1560*AVERAGE('Assumptions (Geo)'!$AN$2:$AP$2)/10^9),0)</f>
        <v>-1.0603897861462611E-2</v>
      </c>
      <c r="BA1710" s="105">
        <f>IF($AR$1560&gt;0,IPMT('Assumptions (Geo)'!$V$6,Model!AF$1,'Assumptions (Geo)'!$V$9,'Assumptions (Geo)'!$V$4*Model!$AR$1560*AVERAGE('Assumptions (Geo)'!$AN$2:$AP$2)/10^9),0)</f>
        <v>-9.2915875974424206E-3</v>
      </c>
      <c r="BB1710" s="105">
        <f>IF($AR$1560&gt;0,IPMT('Assumptions (Geo)'!$V$6,Model!AG$1,'Assumptions (Geo)'!$V$9,'Assumptions (Geo)'!$V$4*Model!$AR$1560*AVERAGE('Assumptions (Geo)'!$AN$2:$AP$2)/10^9),0)</f>
        <v>-7.9169425958812711E-3</v>
      </c>
      <c r="BC1710" s="105">
        <f>IF($AR$1560&gt;0,IPMT('Assumptions (Geo)'!$V$6,Model!AH$1,'Assumptions (Geo)'!$V$9,'Assumptions (Geo)'!$V$4*Model!$AR$1560*AVERAGE('Assumptions (Geo)'!$AN$2:$AP$2)/10^9),0)</f>
        <v>-6.4770019567459668E-3</v>
      </c>
      <c r="BD1710" s="105">
        <f>IF($AR$1560&gt;0,IPMT('Assumptions (Geo)'!$V$6,Model!AI$1,'Assumptions (Geo)'!$V$9,'Assumptions (Geo)'!$V$4*Model!$AR$1560*AVERAGE('Assumptions (Geo)'!$AN$2:$AP$2)/10^9),0)</f>
        <v>-4.9686641372517345E-3</v>
      </c>
      <c r="BE1710" s="105">
        <f>IF($AR$1560&gt;0,IPMT('Assumptions (Geo)'!$V$6,Model!AJ$1,'Assumptions (Geo)'!$V$9,'Assumptions (Geo)'!$V$4*Model!$AR$1560*AVERAGE('Assumptions (Geo)'!$AN$2:$AP$2)/10^9),0)</f>
        <v>-3.3886802713315265E-3</v>
      </c>
      <c r="BF1710" s="105">
        <f>IF($AR$1560&gt;0,IPMT('Assumptions (Geo)'!$V$6,Model!AK$1,'Assumptions (Geo)'!$V$9,'Assumptions (Geo)'!$V$4*Model!$AR$1560*AVERAGE('Assumptions (Geo)'!$AN$2:$AP$2)/10^9),0)</f>
        <v>-1.7336471717801095E-3</v>
      </c>
      <c r="BG1710" s="105"/>
      <c r="BH1710" s="105"/>
      <c r="BI1710" s="105"/>
      <c r="BJ1710" s="105"/>
      <c r="BK1710" s="105"/>
      <c r="BL1710" s="105"/>
      <c r="BM1710" s="105"/>
      <c r="BN1710" s="105"/>
      <c r="BO1710" s="105"/>
      <c r="BP1710" s="105"/>
    </row>
    <row r="1711" spans="1:68" ht="15.75" hidden="1" customHeight="1" outlineLevel="1">
      <c r="A1711" s="428"/>
      <c r="B1711" s="99"/>
      <c r="C1711" s="99"/>
      <c r="D1711" s="99"/>
      <c r="E1711" s="99"/>
      <c r="F1711" s="99"/>
      <c r="G1711" s="99"/>
      <c r="H1711" s="99"/>
      <c r="I1711" s="99"/>
      <c r="J1711" s="99"/>
      <c r="K1711" s="99"/>
      <c r="L1711" s="99"/>
      <c r="M1711" s="99"/>
      <c r="N1711" s="99"/>
      <c r="O1711" s="99"/>
      <c r="P1711" s="99"/>
      <c r="Q1711" s="99"/>
      <c r="R1711" s="99"/>
      <c r="S1711" s="99"/>
      <c r="T1711" s="99"/>
      <c r="U1711" s="99"/>
      <c r="V1711" s="99"/>
      <c r="W1711" s="105"/>
      <c r="X1711" s="105"/>
      <c r="Y1711" s="105"/>
      <c r="Z1711" s="105"/>
      <c r="AA1711" s="105"/>
      <c r="AB1711" s="105"/>
      <c r="AC1711" s="105"/>
      <c r="AD1711" s="105"/>
      <c r="AE1711" s="105"/>
      <c r="AF1711" s="105"/>
      <c r="AG1711" s="105"/>
      <c r="AH1711" s="105"/>
      <c r="AI1711" s="105"/>
      <c r="AJ1711" s="171"/>
      <c r="AK1711" s="105"/>
      <c r="AL1711" s="91"/>
      <c r="AM1711" s="91"/>
      <c r="AN1711" s="91"/>
      <c r="AO1711" s="105"/>
      <c r="AP1711" s="105"/>
      <c r="AQ1711" s="105"/>
      <c r="AR1711" s="105"/>
      <c r="AS1711" s="105">
        <f>IF($AS$1560&gt;0,IPMT('Assumptions (Geo)'!$V$6,Model!W$1,'Assumptions (Geo)'!$V$9,'Assumptions (Geo)'!$V$4*Model!$AS$1560*AVERAGE('Assumptions (Geo)'!$AO$2:$AQ$2)/10^9),0)</f>
        <v>0</v>
      </c>
      <c r="AT1711" s="105">
        <f>IF($AS$1560&gt;0,IPMT('Assumptions (Geo)'!$V$6,Model!X$1,'Assumptions (Geo)'!$V$9,'Assumptions (Geo)'!$V$4*Model!$AS$1560*AVERAGE('Assumptions (Geo)'!$AO$2:$AQ$2)/10^9),0)</f>
        <v>0</v>
      </c>
      <c r="AU1711" s="105">
        <f>IF($AS$1560&gt;0,IPMT('Assumptions (Geo)'!$V$6,Model!Y$1,'Assumptions (Geo)'!$V$9,'Assumptions (Geo)'!$V$4*Model!$AS$1560*AVERAGE('Assumptions (Geo)'!$AO$2:$AQ$2)/10^9),0)</f>
        <v>0</v>
      </c>
      <c r="AV1711" s="105">
        <f>IF($AS$1560&gt;0,IPMT('Assumptions (Geo)'!$V$6,Model!Z$1,'Assumptions (Geo)'!$V$9,'Assumptions (Geo)'!$V$4*Model!$AS$1560*AVERAGE('Assumptions (Geo)'!$AO$2:$AQ$2)/10^9),0)</f>
        <v>0</v>
      </c>
      <c r="AW1711" s="105">
        <f>IF($AS$1560&gt;0,IPMT('Assumptions (Geo)'!$V$6,Model!AA$1,'Assumptions (Geo)'!$V$9,'Assumptions (Geo)'!$V$4*Model!$AS$1560*AVERAGE('Assumptions (Geo)'!$AO$2:$AQ$2)/10^9),0)</f>
        <v>0</v>
      </c>
      <c r="AX1711" s="105">
        <f>IF($AS$1560&gt;0,IPMT('Assumptions (Geo)'!$V$6,Model!AB$1,'Assumptions (Geo)'!$V$9,'Assumptions (Geo)'!$V$4*Model!$AS$1560*AVERAGE('Assumptions (Geo)'!$AO$2:$AQ$2)/10^9),0)</f>
        <v>0</v>
      </c>
      <c r="AY1711" s="105">
        <f>IF($AS$1560&gt;0,IPMT('Assumptions (Geo)'!$V$6,Model!AC$1,'Assumptions (Geo)'!$V$9,'Assumptions (Geo)'!$V$4*Model!$AS$1560*AVERAGE('Assumptions (Geo)'!$AO$2:$AQ$2)/10^9),0)</f>
        <v>0</v>
      </c>
      <c r="AZ1711" s="105">
        <f>IF($AS$1560&gt;0,IPMT('Assumptions (Geo)'!$V$6,Model!AD$1,'Assumptions (Geo)'!$V$9,'Assumptions (Geo)'!$V$4*Model!$AS$1560*AVERAGE('Assumptions (Geo)'!$AO$2:$AQ$2)/10^9),0)</f>
        <v>0</v>
      </c>
      <c r="BA1711" s="105">
        <f>IF($AS$1560&gt;0,IPMT('Assumptions (Geo)'!$V$6,Model!AE$1,'Assumptions (Geo)'!$V$9,'Assumptions (Geo)'!$V$4*Model!$AS$1560*AVERAGE('Assumptions (Geo)'!$AO$2:$AQ$2)/10^9),0)</f>
        <v>0</v>
      </c>
      <c r="BB1711" s="105">
        <f>IF($AS$1560&gt;0,IPMT('Assumptions (Geo)'!$V$6,Model!AF$1,'Assumptions (Geo)'!$V$9,'Assumptions (Geo)'!$V$4*Model!$AS$1560*AVERAGE('Assumptions (Geo)'!$AO$2:$AQ$2)/10^9),0)</f>
        <v>0</v>
      </c>
      <c r="BC1711" s="105">
        <f>IF($AS$1560&gt;0,IPMT('Assumptions (Geo)'!$V$6,Model!AG$1,'Assumptions (Geo)'!$V$9,'Assumptions (Geo)'!$V$4*Model!$AS$1560*AVERAGE('Assumptions (Geo)'!$AO$2:$AQ$2)/10^9),0)</f>
        <v>0</v>
      </c>
      <c r="BD1711" s="105">
        <f>IF($AS$1560&gt;0,IPMT('Assumptions (Geo)'!$V$6,Model!AH$1,'Assumptions (Geo)'!$V$9,'Assumptions (Geo)'!$V$4*Model!$AS$1560*AVERAGE('Assumptions (Geo)'!$AO$2:$AQ$2)/10^9),0)</f>
        <v>0</v>
      </c>
      <c r="BE1711" s="105">
        <f>IF($AS$1560&gt;0,IPMT('Assumptions (Geo)'!$V$6,Model!AI$1,'Assumptions (Geo)'!$V$9,'Assumptions (Geo)'!$V$4*Model!$AS$1560*AVERAGE('Assumptions (Geo)'!$AO$2:$AQ$2)/10^9),0)</f>
        <v>0</v>
      </c>
      <c r="BF1711" s="105">
        <f>IF($AS$1560&gt;0,IPMT('Assumptions (Geo)'!$V$6,Model!AJ$1,'Assumptions (Geo)'!$V$9,'Assumptions (Geo)'!$V$4*Model!$AS$1560*AVERAGE('Assumptions (Geo)'!$AO$2:$AQ$2)/10^9),0)</f>
        <v>0</v>
      </c>
      <c r="BG1711" s="105">
        <f>IF($AS$1560&gt;0,IPMT('Assumptions (Geo)'!$V$6,Model!AK$1,'Assumptions (Geo)'!$V$9,'Assumptions (Geo)'!$V$4*Model!$AS$1560*AVERAGE('Assumptions (Geo)'!$AO$2:$AQ$2)/10^9),0)</f>
        <v>0</v>
      </c>
      <c r="BH1711" s="105"/>
      <c r="BI1711" s="105"/>
      <c r="BJ1711" s="105"/>
      <c r="BK1711" s="105"/>
      <c r="BL1711" s="105"/>
      <c r="BM1711" s="105"/>
      <c r="BN1711" s="105"/>
      <c r="BO1711" s="105"/>
      <c r="BP1711" s="105"/>
    </row>
    <row r="1712" spans="1:68" ht="15.75" hidden="1" customHeight="1" outlineLevel="1">
      <c r="A1712" s="428"/>
      <c r="B1712" s="99"/>
      <c r="C1712" s="99"/>
      <c r="D1712" s="99"/>
      <c r="E1712" s="99"/>
      <c r="F1712" s="99"/>
      <c r="G1712" s="99"/>
      <c r="H1712" s="99"/>
      <c r="I1712" s="99"/>
      <c r="J1712" s="99"/>
      <c r="K1712" s="99"/>
      <c r="L1712" s="99"/>
      <c r="M1712" s="99"/>
      <c r="N1712" s="99"/>
      <c r="O1712" s="99"/>
      <c r="P1712" s="99"/>
      <c r="Q1712" s="99"/>
      <c r="R1712" s="99"/>
      <c r="S1712" s="99"/>
      <c r="T1712" s="99"/>
      <c r="U1712" s="99"/>
      <c r="V1712" s="99"/>
      <c r="W1712" s="105"/>
      <c r="X1712" s="105"/>
      <c r="Y1712" s="105"/>
      <c r="Z1712" s="105"/>
      <c r="AA1712" s="105"/>
      <c r="AB1712" s="105"/>
      <c r="AC1712" s="105"/>
      <c r="AD1712" s="105"/>
      <c r="AE1712" s="105"/>
      <c r="AF1712" s="105"/>
      <c r="AG1712" s="105"/>
      <c r="AH1712" s="105"/>
      <c r="AI1712" s="105"/>
      <c r="AJ1712" s="171"/>
      <c r="AK1712" s="105"/>
      <c r="AL1712" s="91"/>
      <c r="AM1712" s="91"/>
      <c r="AN1712" s="91"/>
      <c r="AO1712" s="105"/>
      <c r="AP1712" s="105"/>
      <c r="AQ1712" s="105"/>
      <c r="AR1712" s="105"/>
      <c r="AS1712" s="105"/>
      <c r="AT1712" s="105">
        <f>IF($AT$1560&gt;0,IPMT('Assumptions (Geo)'!$V$6,Model!W$1,'Assumptions (Geo)'!$V$9,'Assumptions (Geo)'!$V$4*Model!$AT$1560*AVERAGE('Assumptions (Geo)'!$AP$2:$AR$2)/10^9),0)</f>
        <v>0</v>
      </c>
      <c r="AU1712" s="105">
        <f>IF($AT$1560&gt;0,IPMT('Assumptions (Geo)'!$V$6,Model!X$1,'Assumptions (Geo)'!$V$9,'Assumptions (Geo)'!$V$4*Model!$AT$1560*AVERAGE('Assumptions (Geo)'!$AP$2:$AR$2)/10^9),0)</f>
        <v>0</v>
      </c>
      <c r="AV1712" s="105">
        <f>IF($AT$1560&gt;0,IPMT('Assumptions (Geo)'!$V$6,Model!Y$1,'Assumptions (Geo)'!$V$9,'Assumptions (Geo)'!$V$4*Model!$AT$1560*AVERAGE('Assumptions (Geo)'!$AP$2:$AR$2)/10^9),0)</f>
        <v>0</v>
      </c>
      <c r="AW1712" s="105">
        <f>IF($AT$1560&gt;0,IPMT('Assumptions (Geo)'!$V$6,Model!Z$1,'Assumptions (Geo)'!$V$9,'Assumptions (Geo)'!$V$4*Model!$AT$1560*AVERAGE('Assumptions (Geo)'!$AP$2:$AR$2)/10^9),0)</f>
        <v>0</v>
      </c>
      <c r="AX1712" s="105">
        <f>IF($AT$1560&gt;0,IPMT('Assumptions (Geo)'!$V$6,Model!AA$1,'Assumptions (Geo)'!$V$9,'Assumptions (Geo)'!$V$4*Model!$AT$1560*AVERAGE('Assumptions (Geo)'!$AP$2:$AR$2)/10^9),0)</f>
        <v>0</v>
      </c>
      <c r="AY1712" s="105">
        <f>IF($AT$1560&gt;0,IPMT('Assumptions (Geo)'!$V$6,Model!AB$1,'Assumptions (Geo)'!$V$9,'Assumptions (Geo)'!$V$4*Model!$AT$1560*AVERAGE('Assumptions (Geo)'!$AP$2:$AR$2)/10^9),0)</f>
        <v>0</v>
      </c>
      <c r="AZ1712" s="105">
        <f>IF($AT$1560&gt;0,IPMT('Assumptions (Geo)'!$V$6,Model!AC$1,'Assumptions (Geo)'!$V$9,'Assumptions (Geo)'!$V$4*Model!$AT$1560*AVERAGE('Assumptions (Geo)'!$AP$2:$AR$2)/10^9),0)</f>
        <v>0</v>
      </c>
      <c r="BA1712" s="105">
        <f>IF($AT$1560&gt;0,IPMT('Assumptions (Geo)'!$V$6,Model!AD$1,'Assumptions (Geo)'!$V$9,'Assumptions (Geo)'!$V$4*Model!$AT$1560*AVERAGE('Assumptions (Geo)'!$AP$2:$AR$2)/10^9),0)</f>
        <v>0</v>
      </c>
      <c r="BB1712" s="105">
        <f>IF($AT$1560&gt;0,IPMT('Assumptions (Geo)'!$V$6,Model!AE$1,'Assumptions (Geo)'!$V$9,'Assumptions (Geo)'!$V$4*Model!$AT$1560*AVERAGE('Assumptions (Geo)'!$AP$2:$AR$2)/10^9),0)</f>
        <v>0</v>
      </c>
      <c r="BC1712" s="105">
        <f>IF($AT$1560&gt;0,IPMT('Assumptions (Geo)'!$V$6,Model!AF$1,'Assumptions (Geo)'!$V$9,'Assumptions (Geo)'!$V$4*Model!$AT$1560*AVERAGE('Assumptions (Geo)'!$AP$2:$AR$2)/10^9),0)</f>
        <v>0</v>
      </c>
      <c r="BD1712" s="105">
        <f>IF($AT$1560&gt;0,IPMT('Assumptions (Geo)'!$V$6,Model!AG$1,'Assumptions (Geo)'!$V$9,'Assumptions (Geo)'!$V$4*Model!$AT$1560*AVERAGE('Assumptions (Geo)'!$AP$2:$AR$2)/10^9),0)</f>
        <v>0</v>
      </c>
      <c r="BE1712" s="105">
        <f>IF($AT$1560&gt;0,IPMT('Assumptions (Geo)'!$V$6,Model!AH$1,'Assumptions (Geo)'!$V$9,'Assumptions (Geo)'!$V$4*Model!$AT$1560*AVERAGE('Assumptions (Geo)'!$AP$2:$AR$2)/10^9),0)</f>
        <v>0</v>
      </c>
      <c r="BF1712" s="105">
        <f>IF($AT$1560&gt;0,IPMT('Assumptions (Geo)'!$V$6,Model!AI$1,'Assumptions (Geo)'!$V$9,'Assumptions (Geo)'!$V$4*Model!$AT$1560*AVERAGE('Assumptions (Geo)'!$AP$2:$AR$2)/10^9),0)</f>
        <v>0</v>
      </c>
      <c r="BG1712" s="105">
        <f>IF($AT$1560&gt;0,IPMT('Assumptions (Geo)'!$V$6,Model!AJ$1,'Assumptions (Geo)'!$V$9,'Assumptions (Geo)'!$V$4*Model!$AT$1560*AVERAGE('Assumptions (Geo)'!$AP$2:$AR$2)/10^9),0)</f>
        <v>0</v>
      </c>
      <c r="BH1712" s="105">
        <f>IF($AT$1560&gt;0,IPMT('Assumptions (Geo)'!$V$6,Model!AK$1,'Assumptions (Geo)'!$V$9,'Assumptions (Geo)'!$V$4*Model!$AT$1560*AVERAGE('Assumptions (Geo)'!$AP$2:$AR$2)/10^9),0)</f>
        <v>0</v>
      </c>
      <c r="BI1712" s="105"/>
      <c r="BJ1712" s="105"/>
      <c r="BK1712" s="105"/>
      <c r="BL1712" s="105"/>
      <c r="BM1712" s="105"/>
      <c r="BN1712" s="105"/>
      <c r="BO1712" s="105"/>
      <c r="BP1712" s="105"/>
    </row>
    <row r="1713" spans="1:70" ht="15.75" hidden="1" customHeight="1" outlineLevel="1">
      <c r="A1713" s="428"/>
      <c r="B1713" s="99"/>
      <c r="C1713" s="99"/>
      <c r="D1713" s="99"/>
      <c r="E1713" s="99"/>
      <c r="F1713" s="99"/>
      <c r="G1713" s="99"/>
      <c r="H1713" s="99"/>
      <c r="I1713" s="99"/>
      <c r="J1713" s="99"/>
      <c r="K1713" s="99"/>
      <c r="L1713" s="99"/>
      <c r="M1713" s="99"/>
      <c r="N1713" s="99"/>
      <c r="O1713" s="99"/>
      <c r="P1713" s="99"/>
      <c r="Q1713" s="99"/>
      <c r="R1713" s="99"/>
      <c r="S1713" s="99"/>
      <c r="T1713" s="99"/>
      <c r="U1713" s="99"/>
      <c r="V1713" s="99"/>
      <c r="W1713" s="105"/>
      <c r="X1713" s="105"/>
      <c r="Y1713" s="105"/>
      <c r="Z1713" s="105"/>
      <c r="AA1713" s="105"/>
      <c r="AB1713" s="105"/>
      <c r="AC1713" s="105"/>
      <c r="AD1713" s="105"/>
      <c r="AE1713" s="105"/>
      <c r="AF1713" s="105"/>
      <c r="AG1713" s="105"/>
      <c r="AH1713" s="105"/>
      <c r="AI1713" s="105"/>
      <c r="AJ1713" s="171"/>
      <c r="AK1713" s="105"/>
      <c r="AL1713" s="91"/>
      <c r="AM1713" s="91"/>
      <c r="AN1713" s="91"/>
      <c r="AO1713" s="105"/>
      <c r="AP1713" s="105"/>
      <c r="AQ1713" s="105"/>
      <c r="AR1713" s="105"/>
      <c r="AS1713" s="105"/>
      <c r="AT1713" s="105"/>
      <c r="AU1713" s="105">
        <f>IF($AU$1560&gt;0,IPMT('Assumptions (Geo)'!$V$6,Model!W$1,'Assumptions (Geo)'!$V$9,'Assumptions (Geo)'!$V$4*Model!$AU$1560*AVERAGE('Assumptions (Geo)'!$AQ$2:$AS$2)/10^9),0)</f>
        <v>0</v>
      </c>
      <c r="AV1713" s="105">
        <f>IF($AU$1560&gt;0,IPMT('Assumptions (Geo)'!$V$6,Model!X$1,'Assumptions (Geo)'!$V$9,'Assumptions (Geo)'!$V$4*Model!$AU$1560*AVERAGE('Assumptions (Geo)'!$AQ$2:$AS$2)/10^9),0)</f>
        <v>0</v>
      </c>
      <c r="AW1713" s="105">
        <f>IF($AU$1560&gt;0,IPMT('Assumptions (Geo)'!$V$6,Model!Y$1,'Assumptions (Geo)'!$V$9,'Assumptions (Geo)'!$V$4*Model!$AU$1560*AVERAGE('Assumptions (Geo)'!$AQ$2:$AS$2)/10^9),0)</f>
        <v>0</v>
      </c>
      <c r="AX1713" s="105">
        <f>IF($AU$1560&gt;0,IPMT('Assumptions (Geo)'!$V$6,Model!Z$1,'Assumptions (Geo)'!$V$9,'Assumptions (Geo)'!$V$4*Model!$AU$1560*AVERAGE('Assumptions (Geo)'!$AQ$2:$AS$2)/10^9),0)</f>
        <v>0</v>
      </c>
      <c r="AY1713" s="105">
        <f>IF($AU$1560&gt;0,IPMT('Assumptions (Geo)'!$V$6,Model!AA$1,'Assumptions (Geo)'!$V$9,'Assumptions (Geo)'!$V$4*Model!$AU$1560*AVERAGE('Assumptions (Geo)'!$AQ$2:$AS$2)/10^9),0)</f>
        <v>0</v>
      </c>
      <c r="AZ1713" s="105">
        <f>IF($AU$1560&gt;0,IPMT('Assumptions (Geo)'!$V$6,Model!AB$1,'Assumptions (Geo)'!$V$9,'Assumptions (Geo)'!$V$4*Model!$AU$1560*AVERAGE('Assumptions (Geo)'!$AQ$2:$AS$2)/10^9),0)</f>
        <v>0</v>
      </c>
      <c r="BA1713" s="105">
        <f>IF($AU$1560&gt;0,IPMT('Assumptions (Geo)'!$V$6,Model!AC$1,'Assumptions (Geo)'!$V$9,'Assumptions (Geo)'!$V$4*Model!$AU$1560*AVERAGE('Assumptions (Geo)'!$AQ$2:$AS$2)/10^9),0)</f>
        <v>0</v>
      </c>
      <c r="BB1713" s="105">
        <f>IF($AU$1560&gt;0,IPMT('Assumptions (Geo)'!$V$6,Model!AD$1,'Assumptions (Geo)'!$V$9,'Assumptions (Geo)'!$V$4*Model!$AU$1560*AVERAGE('Assumptions (Geo)'!$AQ$2:$AS$2)/10^9),0)</f>
        <v>0</v>
      </c>
      <c r="BC1713" s="105">
        <f>IF($AU$1560&gt;0,IPMT('Assumptions (Geo)'!$V$6,Model!AE$1,'Assumptions (Geo)'!$V$9,'Assumptions (Geo)'!$V$4*Model!$AU$1560*AVERAGE('Assumptions (Geo)'!$AQ$2:$AS$2)/10^9),0)</f>
        <v>0</v>
      </c>
      <c r="BD1713" s="105">
        <f>IF($AU$1560&gt;0,IPMT('Assumptions (Geo)'!$V$6,Model!AF$1,'Assumptions (Geo)'!$V$9,'Assumptions (Geo)'!$V$4*Model!$AU$1560*AVERAGE('Assumptions (Geo)'!$AQ$2:$AS$2)/10^9),0)</f>
        <v>0</v>
      </c>
      <c r="BE1713" s="105">
        <f>IF($AU$1560&gt;0,IPMT('Assumptions (Geo)'!$V$6,Model!AG$1,'Assumptions (Geo)'!$V$9,'Assumptions (Geo)'!$V$4*Model!$AU$1560*AVERAGE('Assumptions (Geo)'!$AQ$2:$AS$2)/10^9),0)</f>
        <v>0</v>
      </c>
      <c r="BF1713" s="105">
        <f>IF($AU$1560&gt;0,IPMT('Assumptions (Geo)'!$V$6,Model!AH$1,'Assumptions (Geo)'!$V$9,'Assumptions (Geo)'!$V$4*Model!$AU$1560*AVERAGE('Assumptions (Geo)'!$AQ$2:$AS$2)/10^9),0)</f>
        <v>0</v>
      </c>
      <c r="BG1713" s="105">
        <f>IF($AU$1560&gt;0,IPMT('Assumptions (Geo)'!$V$6,Model!AI$1,'Assumptions (Geo)'!$V$9,'Assumptions (Geo)'!$V$4*Model!$AU$1560*AVERAGE('Assumptions (Geo)'!$AQ$2:$AS$2)/10^9),0)</f>
        <v>0</v>
      </c>
      <c r="BH1713" s="105">
        <f>IF($AU$1560&gt;0,IPMT('Assumptions (Geo)'!$V$6,Model!AJ$1,'Assumptions (Geo)'!$V$9,'Assumptions (Geo)'!$V$4*Model!$AU$1560*AVERAGE('Assumptions (Geo)'!$AQ$2:$AS$2)/10^9),0)</f>
        <v>0</v>
      </c>
      <c r="BI1713" s="105">
        <f>IF($AU$1560&gt;0,IPMT('Assumptions (Geo)'!$V$6,Model!AK$1,'Assumptions (Geo)'!$V$9,'Assumptions (Geo)'!$V$4*Model!$AU$1560*AVERAGE('Assumptions (Geo)'!$AQ$2:$AS$2)/10^9),0)</f>
        <v>0</v>
      </c>
      <c r="BJ1713" s="105"/>
      <c r="BK1713" s="105"/>
      <c r="BL1713" s="105"/>
      <c r="BM1713" s="105"/>
      <c r="BN1713" s="105"/>
      <c r="BO1713" s="105"/>
      <c r="BP1713" s="105"/>
    </row>
    <row r="1714" spans="1:70" ht="15.75" hidden="1" customHeight="1" outlineLevel="1">
      <c r="A1714" s="428"/>
      <c r="B1714" s="99"/>
      <c r="C1714" s="99"/>
      <c r="D1714" s="99"/>
      <c r="E1714" s="99"/>
      <c r="F1714" s="99"/>
      <c r="G1714" s="99"/>
      <c r="H1714" s="99"/>
      <c r="I1714" s="99"/>
      <c r="J1714" s="99"/>
      <c r="K1714" s="99"/>
      <c r="L1714" s="99"/>
      <c r="M1714" s="99"/>
      <c r="N1714" s="99"/>
      <c r="O1714" s="99"/>
      <c r="P1714" s="99"/>
      <c r="Q1714" s="99"/>
      <c r="R1714" s="99"/>
      <c r="S1714" s="99"/>
      <c r="T1714" s="99"/>
      <c r="U1714" s="99"/>
      <c r="V1714" s="99"/>
      <c r="W1714" s="105"/>
      <c r="X1714" s="105"/>
      <c r="Y1714" s="105"/>
      <c r="Z1714" s="105"/>
      <c r="AA1714" s="105"/>
      <c r="AB1714" s="105"/>
      <c r="AC1714" s="105"/>
      <c r="AD1714" s="105"/>
      <c r="AE1714" s="105"/>
      <c r="AF1714" s="105"/>
      <c r="AG1714" s="105"/>
      <c r="AH1714" s="105"/>
      <c r="AI1714" s="105"/>
      <c r="AJ1714" s="171"/>
      <c r="AK1714" s="105"/>
      <c r="AL1714" s="91"/>
      <c r="AM1714" s="91"/>
      <c r="AN1714" s="91"/>
      <c r="AO1714" s="105"/>
      <c r="AP1714" s="105"/>
      <c r="AQ1714" s="105"/>
      <c r="AR1714" s="105"/>
      <c r="AS1714" s="105"/>
      <c r="AT1714" s="105"/>
      <c r="AU1714" s="105"/>
      <c r="AV1714" s="105">
        <f>IF($AV$1560&gt;0,IPMT('Assumptions (Geo)'!$V$6,Model!W$1,'Assumptions (Geo)'!$V$9,'Assumptions (Geo)'!$V$4*Model!$AV$1560*AVERAGE('Assumptions (Geo)'!$AR$2:$AT$2)/10^9),0)</f>
        <v>0</v>
      </c>
      <c r="AW1714" s="105">
        <f>IF($AV$1560&gt;0,IPMT('Assumptions (Geo)'!$V$6,Model!X$1,'Assumptions (Geo)'!$V$9,'Assumptions (Geo)'!$V$4*Model!$AV$1560*AVERAGE('Assumptions (Geo)'!$AR$2:$AT$2)/10^9),0)</f>
        <v>0</v>
      </c>
      <c r="AX1714" s="105">
        <f>IF($AV$1560&gt;0,IPMT('Assumptions (Geo)'!$V$6,Model!Y$1,'Assumptions (Geo)'!$V$9,'Assumptions (Geo)'!$V$4*Model!$AV$1560*AVERAGE('Assumptions (Geo)'!$AR$2:$AT$2)/10^9),0)</f>
        <v>0</v>
      </c>
      <c r="AY1714" s="105">
        <f>IF($AV$1560&gt;0,IPMT('Assumptions (Geo)'!$V$6,Model!Z$1,'Assumptions (Geo)'!$V$9,'Assumptions (Geo)'!$V$4*Model!$AV$1560*AVERAGE('Assumptions (Geo)'!$AR$2:$AT$2)/10^9),0)</f>
        <v>0</v>
      </c>
      <c r="AZ1714" s="105">
        <f>IF($AV$1560&gt;0,IPMT('Assumptions (Geo)'!$V$6,Model!AA$1,'Assumptions (Geo)'!$V$9,'Assumptions (Geo)'!$V$4*Model!$AV$1560*AVERAGE('Assumptions (Geo)'!$AR$2:$AT$2)/10^9),0)</f>
        <v>0</v>
      </c>
      <c r="BA1714" s="105">
        <f>IF($AV$1560&gt;0,IPMT('Assumptions (Geo)'!$V$6,Model!AB$1,'Assumptions (Geo)'!$V$9,'Assumptions (Geo)'!$V$4*Model!$AV$1560*AVERAGE('Assumptions (Geo)'!$AR$2:$AT$2)/10^9),0)</f>
        <v>0</v>
      </c>
      <c r="BB1714" s="105">
        <f>IF($AV$1560&gt;0,IPMT('Assumptions (Geo)'!$V$6,Model!AC$1,'Assumptions (Geo)'!$V$9,'Assumptions (Geo)'!$V$4*Model!$AV$1560*AVERAGE('Assumptions (Geo)'!$AR$2:$AT$2)/10^9),0)</f>
        <v>0</v>
      </c>
      <c r="BC1714" s="105">
        <f>IF($AV$1560&gt;0,IPMT('Assumptions (Geo)'!$V$6,Model!AD$1,'Assumptions (Geo)'!$V$9,'Assumptions (Geo)'!$V$4*Model!$AV$1560*AVERAGE('Assumptions (Geo)'!$AR$2:$AT$2)/10^9),0)</f>
        <v>0</v>
      </c>
      <c r="BD1714" s="105">
        <f>IF($AV$1560&gt;0,IPMT('Assumptions (Geo)'!$V$6,Model!AE$1,'Assumptions (Geo)'!$V$9,'Assumptions (Geo)'!$V$4*Model!$AV$1560*AVERAGE('Assumptions (Geo)'!$AR$2:$AT$2)/10^9),0)</f>
        <v>0</v>
      </c>
      <c r="BE1714" s="105">
        <f>IF($AV$1560&gt;0,IPMT('Assumptions (Geo)'!$V$6,Model!AF$1,'Assumptions (Geo)'!$V$9,'Assumptions (Geo)'!$V$4*Model!$AV$1560*AVERAGE('Assumptions (Geo)'!$AR$2:$AT$2)/10^9),0)</f>
        <v>0</v>
      </c>
      <c r="BF1714" s="105">
        <f>IF($AV$1560&gt;0,IPMT('Assumptions (Geo)'!$V$6,Model!AG$1,'Assumptions (Geo)'!$V$9,'Assumptions (Geo)'!$V$4*Model!$AV$1560*AVERAGE('Assumptions (Geo)'!$AR$2:$AT$2)/10^9),0)</f>
        <v>0</v>
      </c>
      <c r="BG1714" s="105">
        <f>IF($AV$1560&gt;0,IPMT('Assumptions (Geo)'!$V$6,Model!AH$1,'Assumptions (Geo)'!$V$9,'Assumptions (Geo)'!$V$4*Model!$AV$1560*AVERAGE('Assumptions (Geo)'!$AR$2:$AT$2)/10^9),0)</f>
        <v>0</v>
      </c>
      <c r="BH1714" s="105">
        <f>IF($AV$1560&gt;0,IPMT('Assumptions (Geo)'!$V$6,Model!AI$1,'Assumptions (Geo)'!$V$9,'Assumptions (Geo)'!$V$4*Model!$AV$1560*AVERAGE('Assumptions (Geo)'!$AR$2:$AT$2)/10^9),0)</f>
        <v>0</v>
      </c>
      <c r="BI1714" s="105">
        <f>IF($AV$1560&gt;0,IPMT('Assumptions (Geo)'!$V$6,Model!AJ$1,'Assumptions (Geo)'!$V$9,'Assumptions (Geo)'!$V$4*Model!$AV$1560*AVERAGE('Assumptions (Geo)'!$AR$2:$AT$2)/10^9),0)</f>
        <v>0</v>
      </c>
      <c r="BJ1714" s="105">
        <f>IF($AV$1560&gt;0,IPMT('Assumptions (Geo)'!$V$6,Model!AK$1,'Assumptions (Geo)'!$V$9,'Assumptions (Geo)'!$V$4*Model!$AV$1560*AVERAGE('Assumptions (Geo)'!$AR$2:$AT$2)/10^9),0)</f>
        <v>0</v>
      </c>
      <c r="BK1714" s="105"/>
      <c r="BL1714" s="105"/>
      <c r="BM1714" s="105"/>
      <c r="BN1714" s="105"/>
      <c r="BO1714" s="105"/>
      <c r="BP1714" s="105"/>
    </row>
    <row r="1715" spans="1:70" ht="15.75" hidden="1" customHeight="1" outlineLevel="1">
      <c r="A1715" s="428"/>
      <c r="B1715" s="99"/>
      <c r="C1715" s="99"/>
      <c r="D1715" s="99"/>
      <c r="E1715" s="99"/>
      <c r="F1715" s="99"/>
      <c r="G1715" s="99"/>
      <c r="H1715" s="99"/>
      <c r="I1715" s="99"/>
      <c r="J1715" s="99"/>
      <c r="K1715" s="99"/>
      <c r="L1715" s="99"/>
      <c r="M1715" s="99"/>
      <c r="N1715" s="99"/>
      <c r="O1715" s="99"/>
      <c r="P1715" s="99"/>
      <c r="Q1715" s="99"/>
      <c r="R1715" s="99"/>
      <c r="S1715" s="99"/>
      <c r="T1715" s="99"/>
      <c r="U1715" s="99"/>
      <c r="V1715" s="99"/>
      <c r="W1715" s="105"/>
      <c r="X1715" s="105"/>
      <c r="Y1715" s="105"/>
      <c r="Z1715" s="105"/>
      <c r="AA1715" s="105"/>
      <c r="AB1715" s="105"/>
      <c r="AC1715" s="105"/>
      <c r="AD1715" s="105"/>
      <c r="AE1715" s="105"/>
      <c r="AF1715" s="105"/>
      <c r="AG1715" s="105"/>
      <c r="AH1715" s="105"/>
      <c r="AI1715" s="105"/>
      <c r="AJ1715" s="171"/>
      <c r="AK1715" s="105"/>
      <c r="AL1715" s="91"/>
      <c r="AM1715" s="91"/>
      <c r="AN1715" s="91"/>
      <c r="AO1715" s="105"/>
      <c r="AP1715" s="105"/>
      <c r="AQ1715" s="105"/>
      <c r="AR1715" s="105"/>
      <c r="AS1715" s="105"/>
      <c r="AT1715" s="105"/>
      <c r="AU1715" s="105"/>
      <c r="AV1715" s="105"/>
      <c r="AW1715" s="105">
        <f>IF($AW$1560&gt;0,IPMT('Assumptions (Geo)'!$V$6,Model!W$1,'Assumptions (Geo)'!$V$9,'Assumptions (Geo)'!$V$4*Model!$AW$1560*AVERAGE('Assumptions (Geo)'!$AS$2:$AU$2)/10^9),0)</f>
        <v>0</v>
      </c>
      <c r="AX1715" s="105">
        <f>IF($AW$1560&gt;0,IPMT('Assumptions (Geo)'!$V$6,Model!X$1,'Assumptions (Geo)'!$V$9,'Assumptions (Geo)'!$V$4*Model!$AW$1560*AVERAGE('Assumptions (Geo)'!$AS$2:$AU$2)/10^9),0)</f>
        <v>0</v>
      </c>
      <c r="AY1715" s="105">
        <f>IF($AW$1560&gt;0,IPMT('Assumptions (Geo)'!$V$6,Model!Y$1,'Assumptions (Geo)'!$V$9,'Assumptions (Geo)'!$V$4*Model!$AW$1560*AVERAGE('Assumptions (Geo)'!$AS$2:$AU$2)/10^9),0)</f>
        <v>0</v>
      </c>
      <c r="AZ1715" s="105">
        <f>IF($AW$1560&gt;0,IPMT('Assumptions (Geo)'!$V$6,Model!Z$1,'Assumptions (Geo)'!$V$9,'Assumptions (Geo)'!$V$4*Model!$AW$1560*AVERAGE('Assumptions (Geo)'!$AS$2:$AU$2)/10^9),0)</f>
        <v>0</v>
      </c>
      <c r="BA1715" s="105">
        <f>IF($AW$1560&gt;0,IPMT('Assumptions (Geo)'!$V$6,Model!AA$1,'Assumptions (Geo)'!$V$9,'Assumptions (Geo)'!$V$4*Model!$AW$1560*AVERAGE('Assumptions (Geo)'!$AS$2:$AU$2)/10^9),0)</f>
        <v>0</v>
      </c>
      <c r="BB1715" s="105">
        <f>IF($AW$1560&gt;0,IPMT('Assumptions (Geo)'!$V$6,Model!AB$1,'Assumptions (Geo)'!$V$9,'Assumptions (Geo)'!$V$4*Model!$AW$1560*AVERAGE('Assumptions (Geo)'!$AS$2:$AU$2)/10^9),0)</f>
        <v>0</v>
      </c>
      <c r="BC1715" s="105">
        <f>IF($AW$1560&gt;0,IPMT('Assumptions (Geo)'!$V$6,Model!AC$1,'Assumptions (Geo)'!$V$9,'Assumptions (Geo)'!$V$4*Model!$AW$1560*AVERAGE('Assumptions (Geo)'!$AS$2:$AU$2)/10^9),0)</f>
        <v>0</v>
      </c>
      <c r="BD1715" s="105">
        <f>IF($AW$1560&gt;0,IPMT('Assumptions (Geo)'!$V$6,Model!AD$1,'Assumptions (Geo)'!$V$9,'Assumptions (Geo)'!$V$4*Model!$AW$1560*AVERAGE('Assumptions (Geo)'!$AS$2:$AU$2)/10^9),0)</f>
        <v>0</v>
      </c>
      <c r="BE1715" s="105">
        <f>IF($AW$1560&gt;0,IPMT('Assumptions (Geo)'!$V$6,Model!AE$1,'Assumptions (Geo)'!$V$9,'Assumptions (Geo)'!$V$4*Model!$AW$1560*AVERAGE('Assumptions (Geo)'!$AS$2:$AU$2)/10^9),0)</f>
        <v>0</v>
      </c>
      <c r="BF1715" s="105">
        <f>IF($AW$1560&gt;0,IPMT('Assumptions (Geo)'!$V$6,Model!AF$1,'Assumptions (Geo)'!$V$9,'Assumptions (Geo)'!$V$4*Model!$AW$1560*AVERAGE('Assumptions (Geo)'!$AS$2:$AU$2)/10^9),0)</f>
        <v>0</v>
      </c>
      <c r="BG1715" s="105">
        <f>IF($AW$1560&gt;0,IPMT('Assumptions (Geo)'!$V$6,Model!AG$1,'Assumptions (Geo)'!$V$9,'Assumptions (Geo)'!$V$4*Model!$AW$1560*AVERAGE('Assumptions (Geo)'!$AS$2:$AU$2)/10^9),0)</f>
        <v>0</v>
      </c>
      <c r="BH1715" s="105">
        <f>IF($AW$1560&gt;0,IPMT('Assumptions (Geo)'!$V$6,Model!AH$1,'Assumptions (Geo)'!$V$9,'Assumptions (Geo)'!$V$4*Model!$AW$1560*AVERAGE('Assumptions (Geo)'!$AS$2:$AU$2)/10^9),0)</f>
        <v>0</v>
      </c>
      <c r="BI1715" s="105">
        <f>IF($AW$1560&gt;0,IPMT('Assumptions (Geo)'!$V$6,Model!AI$1,'Assumptions (Geo)'!$V$9,'Assumptions (Geo)'!$V$4*Model!$AW$1560*AVERAGE('Assumptions (Geo)'!$AS$2:$AU$2)/10^9),0)</f>
        <v>0</v>
      </c>
      <c r="BJ1715" s="105">
        <f>IF($AW$1560&gt;0,IPMT('Assumptions (Geo)'!$V$6,Model!AJ$1,'Assumptions (Geo)'!$V$9,'Assumptions (Geo)'!$V$4*Model!$AW$1560*AVERAGE('Assumptions (Geo)'!$AS$2:$AU$2)/10^9),0)</f>
        <v>0</v>
      </c>
      <c r="BK1715" s="105">
        <f>IF($AW$1560&gt;0,IPMT('Assumptions (Geo)'!$V$6,Model!AK$1,'Assumptions (Geo)'!$V$9,'Assumptions (Geo)'!$V$4*Model!$AW$1560*AVERAGE('Assumptions (Geo)'!$AS$2:$AU$2)/10^9),0)</f>
        <v>0</v>
      </c>
      <c r="BL1715" s="105"/>
      <c r="BM1715" s="105"/>
      <c r="BN1715" s="105"/>
      <c r="BO1715" s="105"/>
      <c r="BP1715" s="105"/>
    </row>
    <row r="1716" spans="1:70" ht="15.75" hidden="1" customHeight="1" outlineLevel="1">
      <c r="A1716" s="428"/>
      <c r="B1716" s="99"/>
      <c r="C1716" s="99"/>
      <c r="D1716" s="99"/>
      <c r="E1716" s="99"/>
      <c r="F1716" s="99"/>
      <c r="G1716" s="99"/>
      <c r="H1716" s="99"/>
      <c r="I1716" s="99"/>
      <c r="J1716" s="99"/>
      <c r="K1716" s="99"/>
      <c r="L1716" s="99"/>
      <c r="M1716" s="99"/>
      <c r="N1716" s="99"/>
      <c r="O1716" s="99"/>
      <c r="P1716" s="99"/>
      <c r="Q1716" s="99"/>
      <c r="R1716" s="99"/>
      <c r="S1716" s="99"/>
      <c r="T1716" s="99"/>
      <c r="U1716" s="99"/>
      <c r="V1716" s="99"/>
      <c r="W1716" s="105"/>
      <c r="X1716" s="105"/>
      <c r="Y1716" s="105"/>
      <c r="Z1716" s="105"/>
      <c r="AA1716" s="105"/>
      <c r="AB1716" s="105"/>
      <c r="AC1716" s="105"/>
      <c r="AD1716" s="105"/>
      <c r="AE1716" s="105"/>
      <c r="AF1716" s="105"/>
      <c r="AG1716" s="105"/>
      <c r="AH1716" s="105"/>
      <c r="AI1716" s="105"/>
      <c r="AJ1716" s="171"/>
      <c r="AK1716" s="105"/>
      <c r="AL1716" s="91"/>
      <c r="AM1716" s="91"/>
      <c r="AN1716" s="91"/>
      <c r="AO1716" s="105"/>
      <c r="AP1716" s="105"/>
      <c r="AQ1716" s="105"/>
      <c r="AR1716" s="105"/>
      <c r="AS1716" s="105"/>
      <c r="AT1716" s="105"/>
      <c r="AU1716" s="105"/>
      <c r="AV1716" s="105"/>
      <c r="AW1716" s="105"/>
      <c r="AX1716" s="105">
        <f>IF($AX$1560&gt;0,IPMT('Assumptions (Geo)'!$V$6,Model!W$1,'Assumptions (Geo)'!$V$9,'Assumptions (Geo)'!$V$4*Model!$AX$1560*AVERAGE('Assumptions (Geo)'!$AT$2:$AV$2)/10^9),0)</f>
        <v>0</v>
      </c>
      <c r="AY1716" s="105">
        <f>IF($AX$1560&gt;0,IPMT('Assumptions (Geo)'!$V$6,Model!X$1,'Assumptions (Geo)'!$V$9,'Assumptions (Geo)'!$V$4*Model!$AX$1560*AVERAGE('Assumptions (Geo)'!$AT$2:$AV$2)/10^9),0)</f>
        <v>0</v>
      </c>
      <c r="AZ1716" s="105">
        <f>IF($AX$1560&gt;0,IPMT('Assumptions (Geo)'!$V$6,Model!Y$1,'Assumptions (Geo)'!$V$9,'Assumptions (Geo)'!$V$4*Model!$AX$1560*AVERAGE('Assumptions (Geo)'!$AT$2:$AV$2)/10^9),0)</f>
        <v>0</v>
      </c>
      <c r="BA1716" s="105">
        <f>IF($AX$1560&gt;0,IPMT('Assumptions (Geo)'!$V$6,Model!Z$1,'Assumptions (Geo)'!$V$9,'Assumptions (Geo)'!$V$4*Model!$AX$1560*AVERAGE('Assumptions (Geo)'!$AT$2:$AV$2)/10^9),0)</f>
        <v>0</v>
      </c>
      <c r="BB1716" s="105">
        <f>IF($AX$1560&gt;0,IPMT('Assumptions (Geo)'!$V$6,Model!AA$1,'Assumptions (Geo)'!$V$9,'Assumptions (Geo)'!$V$4*Model!$AX$1560*AVERAGE('Assumptions (Geo)'!$AT$2:$AV$2)/10^9),0)</f>
        <v>0</v>
      </c>
      <c r="BC1716" s="105">
        <f>IF($AX$1560&gt;0,IPMT('Assumptions (Geo)'!$V$6,Model!AB$1,'Assumptions (Geo)'!$V$9,'Assumptions (Geo)'!$V$4*Model!$AX$1560*AVERAGE('Assumptions (Geo)'!$AT$2:$AV$2)/10^9),0)</f>
        <v>0</v>
      </c>
      <c r="BD1716" s="105">
        <f>IF($AX$1560&gt;0,IPMT('Assumptions (Geo)'!$V$6,Model!AC$1,'Assumptions (Geo)'!$V$9,'Assumptions (Geo)'!$V$4*Model!$AX$1560*AVERAGE('Assumptions (Geo)'!$AT$2:$AV$2)/10^9),0)</f>
        <v>0</v>
      </c>
      <c r="BE1716" s="105">
        <f>IF($AX$1560&gt;0,IPMT('Assumptions (Geo)'!$V$6,Model!AD$1,'Assumptions (Geo)'!$V$9,'Assumptions (Geo)'!$V$4*Model!$AX$1560*AVERAGE('Assumptions (Geo)'!$AT$2:$AV$2)/10^9),0)</f>
        <v>0</v>
      </c>
      <c r="BF1716" s="105">
        <f>IF($AX$1560&gt;0,IPMT('Assumptions (Geo)'!$V$6,Model!AE$1,'Assumptions (Geo)'!$V$9,'Assumptions (Geo)'!$V$4*Model!$AX$1560*AVERAGE('Assumptions (Geo)'!$AT$2:$AV$2)/10^9),0)</f>
        <v>0</v>
      </c>
      <c r="BG1716" s="105">
        <f>IF($AX$1560&gt;0,IPMT('Assumptions (Geo)'!$V$6,Model!AF$1,'Assumptions (Geo)'!$V$9,'Assumptions (Geo)'!$V$4*Model!$AX$1560*AVERAGE('Assumptions (Geo)'!$AT$2:$AV$2)/10^9),0)</f>
        <v>0</v>
      </c>
      <c r="BH1716" s="105">
        <f>IF($AX$1560&gt;0,IPMT('Assumptions (Geo)'!$V$6,Model!AG$1,'Assumptions (Geo)'!$V$9,'Assumptions (Geo)'!$V$4*Model!$AX$1560*AVERAGE('Assumptions (Geo)'!$AT$2:$AV$2)/10^9),0)</f>
        <v>0</v>
      </c>
      <c r="BI1716" s="105">
        <f>IF($AX$1560&gt;0,IPMT('Assumptions (Geo)'!$V$6,Model!AH$1,'Assumptions (Geo)'!$V$9,'Assumptions (Geo)'!$V$4*Model!$AX$1560*AVERAGE('Assumptions (Geo)'!$AT$2:$AV$2)/10^9),0)</f>
        <v>0</v>
      </c>
      <c r="BJ1716" s="105">
        <f>IF($AX$1560&gt;0,IPMT('Assumptions (Geo)'!$V$6,Model!AI$1,'Assumptions (Geo)'!$V$9,'Assumptions (Geo)'!$V$4*Model!$AX$1560*AVERAGE('Assumptions (Geo)'!$AT$2:$AV$2)/10^9),0)</f>
        <v>0</v>
      </c>
      <c r="BK1716" s="105">
        <f>IF($AX$1560&gt;0,IPMT('Assumptions (Geo)'!$V$6,Model!AJ$1,'Assumptions (Geo)'!$V$9,'Assumptions (Geo)'!$V$4*Model!$AX$1560*AVERAGE('Assumptions (Geo)'!$AT$2:$AV$2)/10^9),0)</f>
        <v>0</v>
      </c>
      <c r="BL1716" s="105">
        <f>IF($AX$1560&gt;0,IPMT('Assumptions (Geo)'!$V$6,Model!AK$1,'Assumptions (Geo)'!$V$9,'Assumptions (Geo)'!$V$4*Model!$AX$1560*AVERAGE('Assumptions (Geo)'!$AT$2:$AV$2)/10^9),0)</f>
        <v>0</v>
      </c>
      <c r="BM1716" s="105"/>
      <c r="BN1716" s="105"/>
      <c r="BO1716" s="105"/>
      <c r="BP1716" s="105"/>
    </row>
    <row r="1717" spans="1:70" ht="15.75" hidden="1" customHeight="1" outlineLevel="1">
      <c r="A1717" s="428"/>
      <c r="B1717" s="99"/>
      <c r="C1717" s="99"/>
      <c r="D1717" s="99"/>
      <c r="E1717" s="99"/>
      <c r="F1717" s="99"/>
      <c r="G1717" s="99"/>
      <c r="H1717" s="99"/>
      <c r="I1717" s="99"/>
      <c r="J1717" s="99"/>
      <c r="K1717" s="99"/>
      <c r="L1717" s="99"/>
      <c r="M1717" s="99"/>
      <c r="N1717" s="99"/>
      <c r="O1717" s="99"/>
      <c r="P1717" s="99"/>
      <c r="Q1717" s="99"/>
      <c r="R1717" s="99"/>
      <c r="S1717" s="99"/>
      <c r="T1717" s="99"/>
      <c r="U1717" s="99"/>
      <c r="V1717" s="99"/>
      <c r="W1717" s="105"/>
      <c r="X1717" s="105"/>
      <c r="Y1717" s="105"/>
      <c r="Z1717" s="105"/>
      <c r="AA1717" s="105"/>
      <c r="AB1717" s="105"/>
      <c r="AC1717" s="105"/>
      <c r="AD1717" s="105"/>
      <c r="AE1717" s="105"/>
      <c r="AF1717" s="105"/>
      <c r="AG1717" s="105"/>
      <c r="AH1717" s="105"/>
      <c r="AI1717" s="105"/>
      <c r="AJ1717" s="171"/>
      <c r="AK1717" s="105"/>
      <c r="AL1717" s="91"/>
      <c r="AM1717" s="91"/>
      <c r="AN1717" s="91"/>
      <c r="AO1717" s="105"/>
      <c r="AP1717" s="105"/>
      <c r="AQ1717" s="105"/>
      <c r="AR1717" s="105"/>
      <c r="AS1717" s="105"/>
      <c r="AT1717" s="105"/>
      <c r="AU1717" s="105"/>
      <c r="AV1717" s="105"/>
      <c r="AW1717" s="105"/>
      <c r="AX1717" s="105"/>
      <c r="AY1717" s="105">
        <f>IF($AY$1560&gt;0,IPMT('Assumptions (Geo)'!$V$6,Model!W$1,'Assumptions (Geo)'!$V$9,'Assumptions (Geo)'!$V$4*Model!$AY$1560*AVERAGE('Assumptions (Geo)'!$AU$2:$AW$2)/10^9),0)</f>
        <v>0</v>
      </c>
      <c r="AZ1717" s="105">
        <f>IF($AY$1560&gt;0,IPMT('Assumptions (Geo)'!$V$6,Model!X$1,'Assumptions (Geo)'!$V$9,'Assumptions (Geo)'!$V$4*Model!$AY$1560*AVERAGE('Assumptions (Geo)'!$AU$2:$AW$2)/10^9),0)</f>
        <v>0</v>
      </c>
      <c r="BA1717" s="105">
        <f>IF($AY$1560&gt;0,IPMT('Assumptions (Geo)'!$V$6,Model!Y$1,'Assumptions (Geo)'!$V$9,'Assumptions (Geo)'!$V$4*Model!$AY$1560*AVERAGE('Assumptions (Geo)'!$AU$2:$AW$2)/10^9),0)</f>
        <v>0</v>
      </c>
      <c r="BB1717" s="105">
        <f>IF($AY$1560&gt;0,IPMT('Assumptions (Geo)'!$V$6,Model!Z$1,'Assumptions (Geo)'!$V$9,'Assumptions (Geo)'!$V$4*Model!$AY$1560*AVERAGE('Assumptions (Geo)'!$AU$2:$AW$2)/10^9),0)</f>
        <v>0</v>
      </c>
      <c r="BC1717" s="105">
        <f>IF($AY$1560&gt;0,IPMT('Assumptions (Geo)'!$V$6,Model!AA$1,'Assumptions (Geo)'!$V$9,'Assumptions (Geo)'!$V$4*Model!$AY$1560*AVERAGE('Assumptions (Geo)'!$AU$2:$AW$2)/10^9),0)</f>
        <v>0</v>
      </c>
      <c r="BD1717" s="105">
        <f>IF($AY$1560&gt;0,IPMT('Assumptions (Geo)'!$V$6,Model!AB$1,'Assumptions (Geo)'!$V$9,'Assumptions (Geo)'!$V$4*Model!$AY$1560*AVERAGE('Assumptions (Geo)'!$AU$2:$AW$2)/10^9),0)</f>
        <v>0</v>
      </c>
      <c r="BE1717" s="105">
        <f>IF($AY$1560&gt;0,IPMT('Assumptions (Geo)'!$V$6,Model!AC$1,'Assumptions (Geo)'!$V$9,'Assumptions (Geo)'!$V$4*Model!$AY$1560*AVERAGE('Assumptions (Geo)'!$AU$2:$AW$2)/10^9),0)</f>
        <v>0</v>
      </c>
      <c r="BF1717" s="105">
        <f>IF($AY$1560&gt;0,IPMT('Assumptions (Geo)'!$V$6,Model!AD$1,'Assumptions (Geo)'!$V$9,'Assumptions (Geo)'!$V$4*Model!$AY$1560*AVERAGE('Assumptions (Geo)'!$AU$2:$AW$2)/10^9),0)</f>
        <v>0</v>
      </c>
      <c r="BG1717" s="105">
        <f>IF($AY$1560&gt;0,IPMT('Assumptions (Geo)'!$V$6,Model!AE$1,'Assumptions (Geo)'!$V$9,'Assumptions (Geo)'!$V$4*Model!$AY$1560*AVERAGE('Assumptions (Geo)'!$AU$2:$AW$2)/10^9),0)</f>
        <v>0</v>
      </c>
      <c r="BH1717" s="105">
        <f>IF($AY$1560&gt;0,IPMT('Assumptions (Geo)'!$V$6,Model!AF$1,'Assumptions (Geo)'!$V$9,'Assumptions (Geo)'!$V$4*Model!$AY$1560*AVERAGE('Assumptions (Geo)'!$AU$2:$AW$2)/10^9),0)</f>
        <v>0</v>
      </c>
      <c r="BI1717" s="105">
        <f>IF($AY$1560&gt;0,IPMT('Assumptions (Geo)'!$V$6,Model!AG$1,'Assumptions (Geo)'!$V$9,'Assumptions (Geo)'!$V$4*Model!$AY$1560*AVERAGE('Assumptions (Geo)'!$AU$2:$AW$2)/10^9),0)</f>
        <v>0</v>
      </c>
      <c r="BJ1717" s="105">
        <f>IF($AY$1560&gt;0,IPMT('Assumptions (Geo)'!$V$6,Model!AH$1,'Assumptions (Geo)'!$V$9,'Assumptions (Geo)'!$V$4*Model!$AY$1560*AVERAGE('Assumptions (Geo)'!$AU$2:$AW$2)/10^9),0)</f>
        <v>0</v>
      </c>
      <c r="BK1717" s="105">
        <f>IF($AY$1560&gt;0,IPMT('Assumptions (Geo)'!$V$6,Model!AI$1,'Assumptions (Geo)'!$V$9,'Assumptions (Geo)'!$V$4*Model!$AY$1560*AVERAGE('Assumptions (Geo)'!$AU$2:$AW$2)/10^9),0)</f>
        <v>0</v>
      </c>
      <c r="BL1717" s="105">
        <f>IF($AY$1560&gt;0,IPMT('Assumptions (Geo)'!$V$6,Model!AJ$1,'Assumptions (Geo)'!$V$9,'Assumptions (Geo)'!$V$4*Model!$AY$1560*AVERAGE('Assumptions (Geo)'!$AU$2:$AW$2)/10^9),0)</f>
        <v>0</v>
      </c>
      <c r="BM1717" s="105">
        <f>IF($AY$1560&gt;0,IPMT('Assumptions (Geo)'!$V$6,Model!AK$1,'Assumptions (Geo)'!$V$9,'Assumptions (Geo)'!$V$4*Model!$AY$1560*AVERAGE('Assumptions (Geo)'!$AU$2:$AW$2)/10^9),0)</f>
        <v>0</v>
      </c>
      <c r="BN1717" s="105"/>
      <c r="BO1717" s="105"/>
      <c r="BP1717" s="105"/>
    </row>
    <row r="1718" spans="1:70" ht="15.75" hidden="1" customHeight="1" outlineLevel="1">
      <c r="A1718" s="428"/>
      <c r="B1718" s="99"/>
      <c r="C1718" s="99"/>
      <c r="D1718" s="99"/>
      <c r="E1718" s="99"/>
      <c r="F1718" s="99"/>
      <c r="G1718" s="99"/>
      <c r="H1718" s="99"/>
      <c r="I1718" s="99"/>
      <c r="J1718" s="99"/>
      <c r="K1718" s="99"/>
      <c r="L1718" s="99"/>
      <c r="M1718" s="99"/>
      <c r="N1718" s="99"/>
      <c r="O1718" s="99"/>
      <c r="P1718" s="99"/>
      <c r="Q1718" s="99"/>
      <c r="R1718" s="99"/>
      <c r="S1718" s="99"/>
      <c r="T1718" s="99"/>
      <c r="U1718" s="99"/>
      <c r="V1718" s="99"/>
      <c r="W1718" s="105"/>
      <c r="X1718" s="105"/>
      <c r="Y1718" s="105"/>
      <c r="Z1718" s="105"/>
      <c r="AA1718" s="105"/>
      <c r="AB1718" s="105"/>
      <c r="AC1718" s="105"/>
      <c r="AD1718" s="105"/>
      <c r="AE1718" s="105"/>
      <c r="AF1718" s="105"/>
      <c r="AG1718" s="105"/>
      <c r="AH1718" s="105"/>
      <c r="AI1718" s="105"/>
      <c r="AJ1718" s="171"/>
      <c r="AK1718" s="105"/>
      <c r="AL1718" s="91"/>
      <c r="AM1718" s="91"/>
      <c r="AN1718" s="91"/>
      <c r="AO1718" s="105"/>
      <c r="AP1718" s="105"/>
      <c r="AQ1718" s="105"/>
      <c r="AR1718" s="105"/>
      <c r="AS1718" s="105"/>
      <c r="AT1718" s="105"/>
      <c r="AU1718" s="105"/>
      <c r="AV1718" s="105"/>
      <c r="AW1718" s="105"/>
      <c r="AX1718" s="105"/>
      <c r="AY1718" s="105"/>
      <c r="AZ1718" s="105">
        <f>IF($AZ$1560&gt;0,IPMT('Assumptions (Geo)'!$V$6,Model!W$1,'Assumptions (Geo)'!$V$9,'Assumptions (Geo)'!$V$4*Model!$AZ$1560*AVERAGE('Assumptions (Geo)'!$AV$2:$AX$2)/10^9),0)</f>
        <v>0</v>
      </c>
      <c r="BA1718" s="105">
        <f>IF($AZ$1560&gt;0,IPMT('Assumptions (Geo)'!$V$6,Model!X$1,'Assumptions (Geo)'!$V$9,'Assumptions (Geo)'!$V$4*Model!$AZ$1560*AVERAGE('Assumptions (Geo)'!$AV$2:$AX$2)/10^9),0)</f>
        <v>0</v>
      </c>
      <c r="BB1718" s="105">
        <f>IF($AZ$1560&gt;0,IPMT('Assumptions (Geo)'!$V$6,Model!Y$1,'Assumptions (Geo)'!$V$9,'Assumptions (Geo)'!$V$4*Model!$AZ$1560*AVERAGE('Assumptions (Geo)'!$AV$2:$AX$2)/10^9),0)</f>
        <v>0</v>
      </c>
      <c r="BC1718" s="105">
        <f>IF($AZ$1560&gt;0,IPMT('Assumptions (Geo)'!$V$6,Model!Z$1,'Assumptions (Geo)'!$V$9,'Assumptions (Geo)'!$V$4*Model!$AZ$1560*AVERAGE('Assumptions (Geo)'!$AV$2:$AX$2)/10^9),0)</f>
        <v>0</v>
      </c>
      <c r="BD1718" s="105">
        <f>IF($AZ$1560&gt;0,IPMT('Assumptions (Geo)'!$V$6,Model!AA$1,'Assumptions (Geo)'!$V$9,'Assumptions (Geo)'!$V$4*Model!$AZ$1560*AVERAGE('Assumptions (Geo)'!$AV$2:$AX$2)/10^9),0)</f>
        <v>0</v>
      </c>
      <c r="BE1718" s="105">
        <f>IF($AZ$1560&gt;0,IPMT('Assumptions (Geo)'!$V$6,Model!AB$1,'Assumptions (Geo)'!$V$9,'Assumptions (Geo)'!$V$4*Model!$AZ$1560*AVERAGE('Assumptions (Geo)'!$AV$2:$AX$2)/10^9),0)</f>
        <v>0</v>
      </c>
      <c r="BF1718" s="105">
        <f>IF($AZ$1560&gt;0,IPMT('Assumptions (Geo)'!$V$6,Model!AC$1,'Assumptions (Geo)'!$V$9,'Assumptions (Geo)'!$V$4*Model!$AZ$1560*AVERAGE('Assumptions (Geo)'!$AV$2:$AX$2)/10^9),0)</f>
        <v>0</v>
      </c>
      <c r="BG1718" s="105">
        <f>IF($AZ$1560&gt;0,IPMT('Assumptions (Geo)'!$V$6,Model!AD$1,'Assumptions (Geo)'!$V$9,'Assumptions (Geo)'!$V$4*Model!$AZ$1560*AVERAGE('Assumptions (Geo)'!$AV$2:$AX$2)/10^9),0)</f>
        <v>0</v>
      </c>
      <c r="BH1718" s="105">
        <f>IF($AZ$1560&gt;0,IPMT('Assumptions (Geo)'!$V$6,Model!AE$1,'Assumptions (Geo)'!$V$9,'Assumptions (Geo)'!$V$4*Model!$AZ$1560*AVERAGE('Assumptions (Geo)'!$AV$2:$AX$2)/10^9),0)</f>
        <v>0</v>
      </c>
      <c r="BI1718" s="105">
        <f>IF($AZ$1560&gt;0,IPMT('Assumptions (Geo)'!$V$6,Model!AF$1,'Assumptions (Geo)'!$V$9,'Assumptions (Geo)'!$V$4*Model!$AZ$1560*AVERAGE('Assumptions (Geo)'!$AV$2:$AX$2)/10^9),0)</f>
        <v>0</v>
      </c>
      <c r="BJ1718" s="105">
        <f>IF($AZ$1560&gt;0,IPMT('Assumptions (Geo)'!$V$6,Model!AG$1,'Assumptions (Geo)'!$V$9,'Assumptions (Geo)'!$V$4*Model!$AZ$1560*AVERAGE('Assumptions (Geo)'!$AV$2:$AX$2)/10^9),0)</f>
        <v>0</v>
      </c>
      <c r="BK1718" s="105">
        <f>IF($AZ$1560&gt;0,IPMT('Assumptions (Geo)'!$V$6,Model!AH$1,'Assumptions (Geo)'!$V$9,'Assumptions (Geo)'!$V$4*Model!$AZ$1560*AVERAGE('Assumptions (Geo)'!$AV$2:$AX$2)/10^9),0)</f>
        <v>0</v>
      </c>
      <c r="BL1718" s="105">
        <f>IF($AZ$1560&gt;0,IPMT('Assumptions (Geo)'!$V$6,Model!AI$1,'Assumptions (Geo)'!$V$9,'Assumptions (Geo)'!$V$4*Model!$AZ$1560*AVERAGE('Assumptions (Geo)'!$AV$2:$AX$2)/10^9),0)</f>
        <v>0</v>
      </c>
      <c r="BM1718" s="105">
        <f>IF($AZ$1560&gt;0,IPMT('Assumptions (Geo)'!$V$6,Model!AJ$1,'Assumptions (Geo)'!$V$9,'Assumptions (Geo)'!$V$4*Model!$AZ$1560*AVERAGE('Assumptions (Geo)'!$AV$2:$AX$2)/10^9),0)</f>
        <v>0</v>
      </c>
      <c r="BN1718" s="105">
        <f>IF($AZ$1560&gt;0,IPMT('Assumptions (Geo)'!$V$6,Model!AK$1,'Assumptions (Geo)'!$V$9,'Assumptions (Geo)'!$V$4*Model!$AZ$1560*AVERAGE('Assumptions (Geo)'!$AV$2:$AX$2)/10^9),0)</f>
        <v>0</v>
      </c>
      <c r="BO1718" s="105"/>
      <c r="BP1718" s="105"/>
    </row>
    <row r="1719" spans="1:70" ht="15.75" hidden="1" customHeight="1" outlineLevel="1">
      <c r="A1719" s="428"/>
      <c r="B1719" s="99"/>
      <c r="C1719" s="99"/>
      <c r="D1719" s="99"/>
      <c r="E1719" s="99"/>
      <c r="F1719" s="99"/>
      <c r="G1719" s="99"/>
      <c r="H1719" s="99"/>
      <c r="I1719" s="99"/>
      <c r="J1719" s="99"/>
      <c r="K1719" s="99"/>
      <c r="L1719" s="99"/>
      <c r="M1719" s="99"/>
      <c r="N1719" s="99"/>
      <c r="O1719" s="99"/>
      <c r="P1719" s="99"/>
      <c r="Q1719" s="99"/>
      <c r="R1719" s="99"/>
      <c r="S1719" s="99"/>
      <c r="T1719" s="99"/>
      <c r="U1719" s="99"/>
      <c r="V1719" s="99"/>
      <c r="W1719" s="105"/>
      <c r="X1719" s="105"/>
      <c r="Y1719" s="105"/>
      <c r="Z1719" s="105"/>
      <c r="AA1719" s="105"/>
      <c r="AB1719" s="105"/>
      <c r="AC1719" s="105"/>
      <c r="AD1719" s="105"/>
      <c r="AE1719" s="105"/>
      <c r="AF1719" s="105"/>
      <c r="AG1719" s="105"/>
      <c r="AH1719" s="105"/>
      <c r="AI1719" s="105"/>
      <c r="AJ1719" s="171"/>
      <c r="AK1719" s="105"/>
      <c r="AL1719" s="91"/>
      <c r="AM1719" s="91"/>
      <c r="AN1719" s="91"/>
      <c r="AO1719" s="105"/>
      <c r="AP1719" s="105"/>
      <c r="AQ1719" s="105"/>
      <c r="AR1719" s="105"/>
      <c r="AS1719" s="105"/>
      <c r="AT1719" s="105"/>
      <c r="AU1719" s="105"/>
      <c r="AV1719" s="105"/>
      <c r="AW1719" s="105"/>
      <c r="AX1719" s="105"/>
      <c r="AY1719" s="105"/>
      <c r="AZ1719" s="105"/>
      <c r="BA1719" s="105">
        <f>IF($BA$1560&gt;0,IPMT('Assumptions (Geo)'!$V$6,Model!W$1,'Assumptions (Geo)'!$V$9,'Assumptions (Geo)'!$V$4*Model!$BA$1560*AVERAGE('Assumptions (Geo)'!$AW$2:$AY$2)/10^9),0)</f>
        <v>0</v>
      </c>
      <c r="BB1719" s="105">
        <f>IF($BA$1560&gt;0,IPMT('Assumptions (Geo)'!$V$6,Model!X$1,'Assumptions (Geo)'!$V$9,'Assumptions (Geo)'!$V$4*Model!$BA$1560*AVERAGE('Assumptions (Geo)'!$AW$2:$AY$2)/10^9),0)</f>
        <v>0</v>
      </c>
      <c r="BC1719" s="105">
        <f>IF($BA$1560&gt;0,IPMT('Assumptions (Geo)'!$V$6,Model!Y$1,'Assumptions (Geo)'!$V$9,'Assumptions (Geo)'!$V$4*Model!$BA$1560*AVERAGE('Assumptions (Geo)'!$AW$2:$AY$2)/10^9),0)</f>
        <v>0</v>
      </c>
      <c r="BD1719" s="105">
        <f>IF($BA$1560&gt;0,IPMT('Assumptions (Geo)'!$V$6,Model!Z$1,'Assumptions (Geo)'!$V$9,'Assumptions (Geo)'!$V$4*Model!$BA$1560*AVERAGE('Assumptions (Geo)'!$AW$2:$AY$2)/10^9),0)</f>
        <v>0</v>
      </c>
      <c r="BE1719" s="105">
        <f>IF($BA$1560&gt;0,IPMT('Assumptions (Geo)'!$V$6,Model!AA$1,'Assumptions (Geo)'!$V$9,'Assumptions (Geo)'!$V$4*Model!$BA$1560*AVERAGE('Assumptions (Geo)'!$AW$2:$AY$2)/10^9),0)</f>
        <v>0</v>
      </c>
      <c r="BF1719" s="105">
        <f>IF($BA$1560&gt;0,IPMT('Assumptions (Geo)'!$V$6,Model!AB$1,'Assumptions (Geo)'!$V$9,'Assumptions (Geo)'!$V$4*Model!$BA$1560*AVERAGE('Assumptions (Geo)'!$AW$2:$AY$2)/10^9),0)</f>
        <v>0</v>
      </c>
      <c r="BG1719" s="105">
        <f>IF($BA$1560&gt;0,IPMT('Assumptions (Geo)'!$V$6,Model!AC$1,'Assumptions (Geo)'!$V$9,'Assumptions (Geo)'!$V$4*Model!$BA$1560*AVERAGE('Assumptions (Geo)'!$AW$2:$AY$2)/10^9),0)</f>
        <v>0</v>
      </c>
      <c r="BH1719" s="105">
        <f>IF($BA$1560&gt;0,IPMT('Assumptions (Geo)'!$V$6,Model!AD$1,'Assumptions (Geo)'!$V$9,'Assumptions (Geo)'!$V$4*Model!$BA$1560*AVERAGE('Assumptions (Geo)'!$AW$2:$AY$2)/10^9),0)</f>
        <v>0</v>
      </c>
      <c r="BI1719" s="105">
        <f>IF($BA$1560&gt;0,IPMT('Assumptions (Geo)'!$V$6,Model!AE$1,'Assumptions (Geo)'!$V$9,'Assumptions (Geo)'!$V$4*Model!$BA$1560*AVERAGE('Assumptions (Geo)'!$AW$2:$AY$2)/10^9),0)</f>
        <v>0</v>
      </c>
      <c r="BJ1719" s="105">
        <f>IF($BA$1560&gt;0,IPMT('Assumptions (Geo)'!$V$6,Model!AF$1,'Assumptions (Geo)'!$V$9,'Assumptions (Geo)'!$V$4*Model!$BA$1560*AVERAGE('Assumptions (Geo)'!$AW$2:$AY$2)/10^9),0)</f>
        <v>0</v>
      </c>
      <c r="BK1719" s="105">
        <f>IF($BA$1560&gt;0,IPMT('Assumptions (Geo)'!$V$6,Model!AG$1,'Assumptions (Geo)'!$V$9,'Assumptions (Geo)'!$V$4*Model!$BA$1560*AVERAGE('Assumptions (Geo)'!$AW$2:$AY$2)/10^9),0)</f>
        <v>0</v>
      </c>
      <c r="BL1719" s="105">
        <f>IF($BA$1560&gt;0,IPMT('Assumptions (Geo)'!$V$6,Model!AH$1,'Assumptions (Geo)'!$V$9,'Assumptions (Geo)'!$V$4*Model!$BA$1560*AVERAGE('Assumptions (Geo)'!$AW$2:$AY$2)/10^9),0)</f>
        <v>0</v>
      </c>
      <c r="BM1719" s="105">
        <f>IF($BA$1560&gt;0,IPMT('Assumptions (Geo)'!$V$6,Model!AI$1,'Assumptions (Geo)'!$V$9,'Assumptions (Geo)'!$V$4*Model!$BA$1560*AVERAGE('Assumptions (Geo)'!$AW$2:$AY$2)/10^9),0)</f>
        <v>0</v>
      </c>
      <c r="BN1719" s="105">
        <f>IF($BA$1560&gt;0,IPMT('Assumptions (Geo)'!$V$6,Model!AJ$1,'Assumptions (Geo)'!$V$9,'Assumptions (Geo)'!$V$4*Model!$BA$1560*AVERAGE('Assumptions (Geo)'!$AW$2:$AY$2)/10^9),0)</f>
        <v>0</v>
      </c>
      <c r="BO1719" s="105">
        <f>IF($BA$1560&gt;0,IPMT('Assumptions (Geo)'!$V$6,Model!AK$1,'Assumptions (Geo)'!$V$9,'Assumptions (Geo)'!$V$4*Model!$BA$1560*AVERAGE('Assumptions (Geo)'!$AW$2:$AY$2)/10^9),0)</f>
        <v>0</v>
      </c>
      <c r="BP1719" s="105"/>
    </row>
    <row r="1720" spans="1:70" ht="15.75" customHeight="1" collapsed="1">
      <c r="A1720" s="431" t="s">
        <v>806</v>
      </c>
      <c r="B1720" s="43" t="s">
        <v>201</v>
      </c>
      <c r="C1720" s="91">
        <f t="shared" ref="C1720:BP1720" si="40">SUM(C1721:C1771)</f>
        <v>5.2575010536333967E-3</v>
      </c>
      <c r="D1720" s="91">
        <f t="shared" si="40"/>
        <v>9.9892520019034536E-3</v>
      </c>
      <c r="E1720" s="91">
        <f t="shared" si="40"/>
        <v>9.5129353422992342E-3</v>
      </c>
      <c r="F1720" s="91">
        <f t="shared" si="40"/>
        <v>1.0974693113275515E-2</v>
      </c>
      <c r="G1720" s="91">
        <f t="shared" si="40"/>
        <v>1.1762409065514413E-2</v>
      </c>
      <c r="H1720" s="91">
        <f t="shared" si="40"/>
        <v>1.2109180729635809E-2</v>
      </c>
      <c r="I1720" s="91">
        <f t="shared" si="40"/>
        <v>1.5438862339577459E-2</v>
      </c>
      <c r="J1720" s="91">
        <f t="shared" si="40"/>
        <v>2.0684398816915132E-2</v>
      </c>
      <c r="K1720" s="91">
        <f t="shared" si="40"/>
        <v>2.6679209345225448E-2</v>
      </c>
      <c r="L1720" s="91">
        <f t="shared" si="40"/>
        <v>4.6097233378125192E-2</v>
      </c>
      <c r="M1720" s="91">
        <f t="shared" si="40"/>
        <v>6.112467340596181E-2</v>
      </c>
      <c r="N1720" s="91">
        <f t="shared" si="40"/>
        <v>5.7673582607867757E-2</v>
      </c>
      <c r="O1720" s="91">
        <f t="shared" si="40"/>
        <v>6.733497496395334E-2</v>
      </c>
      <c r="P1720" s="91">
        <f t="shared" si="40"/>
        <v>8.4157304215887865E-2</v>
      </c>
      <c r="Q1720" s="91">
        <f t="shared" si="40"/>
        <v>8.7218694180867709E-2</v>
      </c>
      <c r="R1720" s="91">
        <f t="shared" si="40"/>
        <v>8.5717145687542309E-2</v>
      </c>
      <c r="S1720" s="91">
        <f t="shared" si="40"/>
        <v>8.3830897498999996E-2</v>
      </c>
      <c r="T1720" s="91">
        <f t="shared" si="40"/>
        <v>8.364341241463874E-2</v>
      </c>
      <c r="U1720" s="91">
        <f t="shared" si="40"/>
        <v>8.5140744617299521E-2</v>
      </c>
      <c r="V1720" s="91">
        <f t="shared" si="40"/>
        <v>9.2729660408089443E-2</v>
      </c>
      <c r="W1720" s="91">
        <f t="shared" si="40"/>
        <v>9.8158758518580497E-2</v>
      </c>
      <c r="X1720" s="91">
        <f t="shared" si="40"/>
        <v>9.2478634378404201E-2</v>
      </c>
      <c r="Y1720" s="91">
        <f t="shared" si="40"/>
        <v>8.6280202348154242E-2</v>
      </c>
      <c r="Z1720" s="91">
        <f t="shared" si="40"/>
        <v>8.0911501707524702E-2</v>
      </c>
      <c r="AA1720" s="91">
        <f t="shared" si="40"/>
        <v>6.7775836037946832E-2</v>
      </c>
      <c r="AB1720" s="91">
        <f t="shared" si="40"/>
        <v>5.5930717789046173E-2</v>
      </c>
      <c r="AC1720" s="91">
        <f t="shared" si="40"/>
        <v>5.4770287211919871E-2</v>
      </c>
      <c r="AD1720" s="91">
        <f t="shared" si="40"/>
        <v>4.628013645331628E-2</v>
      </c>
      <c r="AE1720" s="91">
        <f t="shared" si="40"/>
        <v>3.3137130633865718E-2</v>
      </c>
      <c r="AF1720" s="91">
        <f t="shared" si="40"/>
        <v>2.7530067916627078E-2</v>
      </c>
      <c r="AG1720" s="91">
        <f t="shared" si="40"/>
        <v>2.3354970712016504E-2</v>
      </c>
      <c r="AH1720" s="91">
        <f t="shared" si="40"/>
        <v>2.0028246112941451E-2</v>
      </c>
      <c r="AI1720" s="91">
        <f t="shared" si="40"/>
        <v>2.434065360579981E-2</v>
      </c>
      <c r="AJ1720" s="91">
        <f t="shared" si="40"/>
        <v>2.6792522020716233E-2</v>
      </c>
      <c r="AK1720" s="91">
        <f t="shared" si="40"/>
        <v>1.8737391405561341E-2</v>
      </c>
      <c r="AL1720" s="91">
        <f t="shared" si="40"/>
        <v>2.6456265937081461E-2</v>
      </c>
      <c r="AM1720" s="91">
        <f t="shared" si="40"/>
        <v>4.6843903017935166E-2</v>
      </c>
      <c r="AN1720" s="91">
        <f t="shared" si="40"/>
        <v>7.7855672013768751E-2</v>
      </c>
      <c r="AO1720" s="91">
        <f t="shared" si="40"/>
        <v>9.7105947693580663E-2</v>
      </c>
      <c r="AP1720" s="91">
        <f t="shared" si="40"/>
        <v>8.7705357143908397E-2</v>
      </c>
      <c r="AQ1720" s="91">
        <f t="shared" si="40"/>
        <v>0.10164350252735098</v>
      </c>
      <c r="AR1720" s="91">
        <f t="shared" si="40"/>
        <v>0.14862192938325239</v>
      </c>
      <c r="AS1720" s="91">
        <f t="shared" si="40"/>
        <v>0.1704023931331996</v>
      </c>
      <c r="AT1720" s="91">
        <f t="shared" si="40"/>
        <v>0.15852362989315211</v>
      </c>
      <c r="AU1720" s="91">
        <f t="shared" si="40"/>
        <v>0.14944221932303239</v>
      </c>
      <c r="AV1720" s="91">
        <f t="shared" si="40"/>
        <v>0.14125453007306918</v>
      </c>
      <c r="AW1720" s="91">
        <f t="shared" si="40"/>
        <v>0.13505128380391296</v>
      </c>
      <c r="AX1720" s="91">
        <f t="shared" si="40"/>
        <v>0.12872182273785931</v>
      </c>
      <c r="AY1720" s="91">
        <f t="shared" si="40"/>
        <v>0.12453813658160501</v>
      </c>
      <c r="AZ1720" s="91">
        <f t="shared" si="40"/>
        <v>0.12462767624031854</v>
      </c>
      <c r="BA1720" s="91">
        <f t="shared" si="40"/>
        <v>0.11603461711540108</v>
      </c>
      <c r="BB1720" s="91">
        <f t="shared" si="40"/>
        <v>0.10257423576315633</v>
      </c>
      <c r="BC1720" s="91">
        <f t="shared" si="40"/>
        <v>8.150072402534736E-2</v>
      </c>
      <c r="BD1720" s="91">
        <f t="shared" si="40"/>
        <v>6.5546070712194676E-2</v>
      </c>
      <c r="BE1720" s="91">
        <f t="shared" si="40"/>
        <v>6.5522511243964354E-2</v>
      </c>
      <c r="BF1720" s="91">
        <f t="shared" si="40"/>
        <v>5.2651392158865024E-2</v>
      </c>
      <c r="BG1720" s="91">
        <f t="shared" si="40"/>
        <v>1.9844721681274002E-2</v>
      </c>
      <c r="BH1720" s="91">
        <f t="shared" si="40"/>
        <v>0</v>
      </c>
      <c r="BI1720" s="91">
        <f t="shared" si="40"/>
        <v>0</v>
      </c>
      <c r="BJ1720" s="91">
        <f t="shared" si="40"/>
        <v>0</v>
      </c>
      <c r="BK1720" s="91">
        <f t="shared" si="40"/>
        <v>0</v>
      </c>
      <c r="BL1720" s="91">
        <f t="shared" si="40"/>
        <v>0</v>
      </c>
      <c r="BM1720" s="91">
        <f t="shared" si="40"/>
        <v>0</v>
      </c>
      <c r="BN1720" s="91">
        <f t="shared" si="40"/>
        <v>0</v>
      </c>
      <c r="BO1720" s="91">
        <f t="shared" si="40"/>
        <v>0</v>
      </c>
      <c r="BP1720" s="91">
        <f t="shared" si="40"/>
        <v>0</v>
      </c>
      <c r="BQ1720" s="91"/>
      <c r="BR1720" s="91"/>
    </row>
    <row r="1721" spans="1:70" ht="15.75" hidden="1" customHeight="1" outlineLevel="1">
      <c r="A1721" s="428"/>
      <c r="B1721" s="99"/>
      <c r="C1721" s="167">
        <f>IF($C$1560&gt;0,'Assumptions (Geo)'!V$10*Model!$C$1560*'Assumptions (Geo)'!$B$2/10^9,0)</f>
        <v>5.2575010536333967E-3</v>
      </c>
      <c r="D1721" s="167">
        <f>IF($C$1560&gt;0,'Assumptions (Geo)'!W$10*Model!$C$1560*'Assumptions (Geo)'!$B$2/10^9,0)</f>
        <v>9.9892520019034536E-3</v>
      </c>
      <c r="E1721" s="167">
        <f>IF($C$1560&gt;0,'Assumptions (Geo)'!X$10*Model!$C$1560*'Assumptions (Geo)'!$B$2/10^9,0)</f>
        <v>8.990326801713109E-3</v>
      </c>
      <c r="F1721" s="167">
        <f>IF($C$1560&gt;0,'Assumptions (Geo)'!Y$10*Model!$C$1560*'Assumptions (Geo)'!$B$2/10^9,0)</f>
        <v>8.0965516225954288E-3</v>
      </c>
      <c r="G1721" s="167">
        <f>IF($C$1560&gt;0,'Assumptions (Geo)'!Z$10*Model!$C$1560*'Assumptions (Geo)'!$B$2/10^9,0)</f>
        <v>7.2868964603358868E-3</v>
      </c>
      <c r="H1721" s="167">
        <f>IF($C$1560&gt;0,'Assumptions (Geo)'!AA$10*Model!$C$1560*'Assumptions (Geo)'!$B$2/10^9,0)</f>
        <v>6.550846312827212E-3</v>
      </c>
      <c r="I1721" s="167">
        <f>IF($C$1560&gt;0,'Assumptions (Geo)'!AB$10*Model!$C$1560*'Assumptions (Geo)'!$B$2/10^9,0)</f>
        <v>6.2038512432874065E-3</v>
      </c>
      <c r="J1721" s="167">
        <f>IF($C$1560&gt;0,'Assumptions (Geo)'!AC$10*Model!$C$1560*'Assumptions (Geo)'!$B$2/10^9,0)</f>
        <v>6.2038512432874065E-3</v>
      </c>
      <c r="K1721" s="167">
        <f>IF($C$1560&gt;0,'Assumptions (Geo)'!AD$10*Model!$C$1560*'Assumptions (Geo)'!$B$2/10^9,0)</f>
        <v>6.214366245394674E-3</v>
      </c>
      <c r="L1721" s="167">
        <f>IF($C$1560&gt;0,'Assumptions (Geo)'!AE$10*Model!$C$1560*'Assumptions (Geo)'!$B$2/10^9,0)</f>
        <v>6.2038512432874065E-3</v>
      </c>
      <c r="M1721" s="167">
        <f>IF($C$1560&gt;0,'Assumptions (Geo)'!AF$10*Model!$C$1560*'Assumptions (Geo)'!$B$2/10^9,0)</f>
        <v>6.214366245394674E-3</v>
      </c>
      <c r="N1721" s="167">
        <f>IF($C$1560&gt;0,'Assumptions (Geo)'!AG$10*Model!$C$1560*'Assumptions (Geo)'!$B$2/10^9,0)</f>
        <v>6.2038512432874065E-3</v>
      </c>
      <c r="O1721" s="167">
        <f>IF($C$1560&gt;0,'Assumptions (Geo)'!AH$10*Model!$C$1560*'Assumptions (Geo)'!$B$2/10^9,0)</f>
        <v>6.214366245394674E-3</v>
      </c>
      <c r="P1721" s="167">
        <f>IF($C$1560&gt;0,'Assumptions (Geo)'!AI$10*Model!$C$1560*'Assumptions (Geo)'!$B$2/10^9,0)</f>
        <v>6.2038512432874065E-3</v>
      </c>
      <c r="Q1721" s="167">
        <f>IF($C$1560&gt;0,'Assumptions (Geo)'!AJ$10*Model!$C$1560*'Assumptions (Geo)'!$B$2/10^9,0)</f>
        <v>6.214366245394674E-3</v>
      </c>
      <c r="R1721" s="167">
        <f>IF($C$1560&gt;0,'Assumptions (Geo)'!AK$10*Model!$C$1560*'Assumptions (Geo)'!$B$2/10^9,0)</f>
        <v>3.1019256216437033E-3</v>
      </c>
      <c r="S1721" s="91"/>
      <c r="T1721" s="91"/>
      <c r="U1721" s="91"/>
      <c r="V1721" s="91"/>
      <c r="W1721" s="91"/>
      <c r="X1721" s="105"/>
      <c r="Y1721" s="105"/>
      <c r="Z1721" s="105"/>
      <c r="AA1721" s="105"/>
      <c r="AB1721" s="105"/>
      <c r="AC1721" s="105"/>
      <c r="AD1721" s="105"/>
      <c r="AE1721" s="105"/>
      <c r="AF1721" s="105"/>
      <c r="AG1721" s="105"/>
    </row>
    <row r="1722" spans="1:70" ht="15.75" hidden="1" customHeight="1" outlineLevel="1">
      <c r="A1722" s="428"/>
      <c r="B1722" s="99"/>
      <c r="C1722" s="105"/>
      <c r="D1722" s="105">
        <f>IF($D$1560&gt;0,'Assumptions (Geo)'!V$10*Model!$D$1560*'Assumptions (Geo)'!$B$2/10^9,0)</f>
        <v>0</v>
      </c>
      <c r="E1722" s="105">
        <f>IF($D$1560&gt;0,'Assumptions (Geo)'!W$10*Model!$D$1560*'Assumptions (Geo)'!$B$2/10^9,0)</f>
        <v>0</v>
      </c>
      <c r="F1722" s="105">
        <f>IF($D$1560&gt;0,'Assumptions (Geo)'!X$10*Model!$D$1560*'Assumptions (Geo)'!$B$2/10^9,0)</f>
        <v>0</v>
      </c>
      <c r="G1722" s="105">
        <f>IF($D$1560&gt;0,'Assumptions (Geo)'!Y$10*Model!$D$1560*'Assumptions (Geo)'!$B$2/10^9,0)</f>
        <v>0</v>
      </c>
      <c r="H1722" s="105">
        <f>IF($D$1560&gt;0,'Assumptions (Geo)'!Z$10*Model!$D$1560*'Assumptions (Geo)'!$B$2/10^9,0)</f>
        <v>0</v>
      </c>
      <c r="I1722" s="105">
        <f>IF($D$1560&gt;0,'Assumptions (Geo)'!AA$10*Model!$D$1560*'Assumptions (Geo)'!$B$2/10^9,0)</f>
        <v>0</v>
      </c>
      <c r="J1722" s="105">
        <f>IF($D$1560&gt;0,'Assumptions (Geo)'!AB$10*Model!$D$1560*'Assumptions (Geo)'!$B$2/10^9,0)</f>
        <v>0</v>
      </c>
      <c r="K1722" s="105">
        <f>IF($D$1560&gt;0,'Assumptions (Geo)'!AC$10*Model!$D$1560*'Assumptions (Geo)'!$B$2/10^9,0)</f>
        <v>0</v>
      </c>
      <c r="L1722" s="105">
        <f>IF($D$1560&gt;0,'Assumptions (Geo)'!AD$10*Model!$D$1560*'Assumptions (Geo)'!$B$2/10^9,0)</f>
        <v>0</v>
      </c>
      <c r="M1722" s="105">
        <f>IF($D$1560&gt;0,'Assumptions (Geo)'!AE$10*Model!$D$1560*'Assumptions (Geo)'!$B$2/10^9,0)</f>
        <v>0</v>
      </c>
      <c r="N1722" s="105">
        <f>IF($D$1560&gt;0,'Assumptions (Geo)'!AF$10*Model!$D$1560*'Assumptions (Geo)'!$B$2/10^9,0)</f>
        <v>0</v>
      </c>
      <c r="O1722" s="105">
        <f>IF($D$1560&gt;0,'Assumptions (Geo)'!AG$10*Model!$D$1560*'Assumptions (Geo)'!$B$2/10^9,0)</f>
        <v>0</v>
      </c>
      <c r="P1722" s="105">
        <f>IF($D$1560&gt;0,'Assumptions (Geo)'!AH$10*Model!$D$1560*'Assumptions (Geo)'!$B$2/10^9,0)</f>
        <v>0</v>
      </c>
      <c r="Q1722" s="105">
        <f>IF($D$1560&gt;0,'Assumptions (Geo)'!AI$10*Model!$D$1560*'Assumptions (Geo)'!$B$2/10^9,0)</f>
        <v>0</v>
      </c>
      <c r="R1722" s="105">
        <f>IF($D$1560&gt;0,'Assumptions (Geo)'!AJ$10*Model!$D$1560*'Assumptions (Geo)'!$B$2/10^9,0)</f>
        <v>0</v>
      </c>
      <c r="S1722" s="105">
        <f>IF($D$1560&gt;0,'Assumptions (Geo)'!AK$10*Model!$D$1560*'Assumptions (Geo)'!$B$2/10^9,0)</f>
        <v>0</v>
      </c>
      <c r="T1722" s="105"/>
      <c r="U1722" s="105"/>
      <c r="V1722" s="105"/>
      <c r="W1722" s="105"/>
      <c r="X1722" s="105"/>
      <c r="Y1722" s="105"/>
      <c r="Z1722" s="105"/>
      <c r="AA1722" s="105"/>
      <c r="AB1722" s="105"/>
      <c r="AC1722" s="105"/>
      <c r="AD1722" s="105"/>
      <c r="AE1722" s="105"/>
      <c r="AF1722" s="105"/>
      <c r="AG1722" s="105"/>
    </row>
    <row r="1723" spans="1:70" ht="15.75" hidden="1" customHeight="1" outlineLevel="1">
      <c r="A1723" s="428"/>
      <c r="B1723" s="99"/>
      <c r="C1723" s="105"/>
      <c r="D1723" s="105"/>
      <c r="E1723" s="105">
        <f>IF($E$1560&gt;0,'Assumptions (Geo)'!V$10*Model!$E$1560*AVERAGE('Assumptions (Geo)'!$B$2:$C$2)/10^9,0)</f>
        <v>5.2260854058612451E-4</v>
      </c>
      <c r="F1723" s="105">
        <f>IF($E$1560&gt;0,'Assumptions (Geo)'!W$10*Model!$E$1560*AVERAGE('Assumptions (Geo)'!$B$2:$C$2)/10^9,0)</f>
        <v>9.9295622711363662E-4</v>
      </c>
      <c r="G1723" s="105">
        <f>IF($E$1560&gt;0,'Assumptions (Geo)'!X$10*Model!$E$1560*AVERAGE('Assumptions (Geo)'!$B$2:$C$2)/10^9,0)</f>
        <v>8.9366060440227292E-4</v>
      </c>
      <c r="H1723" s="105">
        <f>IF($E$1560&gt;0,'Assumptions (Geo)'!Y$10*Model!$E$1560*AVERAGE('Assumptions (Geo)'!$B$2:$C$2)/10^9,0)</f>
        <v>8.0481715250263182E-4</v>
      </c>
      <c r="I1723" s="105">
        <f>IF($E$1560&gt;0,'Assumptions (Geo)'!Z$10*Model!$E$1560*AVERAGE('Assumptions (Geo)'!$B$2:$C$2)/10^9,0)</f>
        <v>7.2433543725236864E-4</v>
      </c>
      <c r="J1723" s="105">
        <f>IF($E$1560&gt;0,'Assumptions (Geo)'!AA$10*Model!$E$1560*AVERAGE('Assumptions (Geo)'!$B$2:$C$2)/10^9,0)</f>
        <v>6.5117024157031113E-4</v>
      </c>
      <c r="K1723" s="105">
        <f>IF($E$1560&gt;0,'Assumptions (Geo)'!AB$10*Model!$E$1560*AVERAGE('Assumptions (Geo)'!$B$2:$C$2)/10^9,0)</f>
        <v>6.1667807789162702E-4</v>
      </c>
      <c r="L1723" s="105">
        <f>IF($E$1560&gt;0,'Assumptions (Geo)'!AC$10*Model!$E$1560*AVERAGE('Assumptions (Geo)'!$B$2:$C$2)/10^9,0)</f>
        <v>6.1667807789162702E-4</v>
      </c>
      <c r="M1723" s="105">
        <f>IF($E$1560&gt;0,'Assumptions (Geo)'!AD$10*Model!$E$1560*AVERAGE('Assumptions (Geo)'!$B$2:$C$2)/10^9,0)</f>
        <v>6.1772329497279915E-4</v>
      </c>
      <c r="N1723" s="105">
        <f>IF($E$1560&gt;0,'Assumptions (Geo)'!AE$10*Model!$E$1560*AVERAGE('Assumptions (Geo)'!$B$2:$C$2)/10^9,0)</f>
        <v>6.1667807789162702E-4</v>
      </c>
      <c r="O1723" s="105">
        <f>IF($E$1560&gt;0,'Assumptions (Geo)'!AF$10*Model!$E$1560*AVERAGE('Assumptions (Geo)'!$B$2:$C$2)/10^9,0)</f>
        <v>6.1772329497279915E-4</v>
      </c>
      <c r="P1723" s="105">
        <f>IF($E$1560&gt;0,'Assumptions (Geo)'!AG$10*Model!$E$1560*AVERAGE('Assumptions (Geo)'!$B$2:$C$2)/10^9,0)</f>
        <v>6.1667807789162702E-4</v>
      </c>
      <c r="Q1723" s="105">
        <f>IF($E$1560&gt;0,'Assumptions (Geo)'!AH$10*Model!$E$1560*AVERAGE('Assumptions (Geo)'!$B$2:$C$2)/10^9,0)</f>
        <v>6.1772329497279915E-4</v>
      </c>
      <c r="R1723" s="105">
        <f>IF($E$1560&gt;0,'Assumptions (Geo)'!AI$10*Model!$E$1560*AVERAGE('Assumptions (Geo)'!$B$2:$C$2)/10^9,0)</f>
        <v>6.1667807789162702E-4</v>
      </c>
      <c r="S1723" s="105">
        <f>IF($E$1560&gt;0,'Assumptions (Geo)'!AJ$10*Model!$E$1560*AVERAGE('Assumptions (Geo)'!$B$2:$C$2)/10^9,0)</f>
        <v>6.1772329497279915E-4</v>
      </c>
      <c r="T1723" s="105">
        <f>IF($E$1560&gt;0,'Assumptions (Geo)'!AK$10*Model!$E$1560*AVERAGE('Assumptions (Geo)'!$B$2:$C$2)/10^9,0)</f>
        <v>3.0833903894581351E-4</v>
      </c>
      <c r="U1723" s="105"/>
      <c r="V1723" s="105"/>
      <c r="W1723" s="105"/>
      <c r="X1723" s="105"/>
      <c r="Y1723" s="105"/>
      <c r="Z1723" s="105"/>
      <c r="AA1723" s="105"/>
      <c r="AB1723" s="105"/>
      <c r="AC1723" s="105"/>
      <c r="AD1723" s="105"/>
      <c r="AE1723" s="105"/>
      <c r="AF1723" s="105"/>
      <c r="AG1723" s="105"/>
    </row>
    <row r="1724" spans="1:70" ht="15.75" hidden="1" customHeight="1" outlineLevel="1">
      <c r="A1724" s="428"/>
      <c r="B1724" s="99"/>
      <c r="C1724" s="105"/>
      <c r="D1724" s="105"/>
      <c r="E1724" s="105"/>
      <c r="F1724" s="105">
        <f>IF($F$1560&gt;0,'Assumptions (Geo)'!V$10*Model!$F$1560*AVERAGE('Assumptions (Geo)'!$B$2:$D$2)/10^9,0)</f>
        <v>1.8851852635664492E-3</v>
      </c>
      <c r="G1724" s="105">
        <f>IF($F$1560&gt;0,'Assumptions (Geo)'!W$10*Model!$F$1560*AVERAGE('Assumptions (Geo)'!$B$2:$D$2)/10^9,0)</f>
        <v>3.5818520007762536E-3</v>
      </c>
      <c r="H1724" s="105">
        <f>IF($F$1560&gt;0,'Assumptions (Geo)'!X$10*Model!$F$1560*AVERAGE('Assumptions (Geo)'!$B$2:$D$2)/10^9,0)</f>
        <v>3.2236668006986285E-3</v>
      </c>
      <c r="I1724" s="105">
        <f>IF($F$1560&gt;0,'Assumptions (Geo)'!Y$10*Model!$F$1560*AVERAGE('Assumptions (Geo)'!$B$2:$D$2)/10^9,0)</f>
        <v>2.9031853058923318E-3</v>
      </c>
      <c r="J1724" s="105">
        <f>IF($F$1560&gt;0,'Assumptions (Geo)'!Z$10*Model!$F$1560*AVERAGE('Assumptions (Geo)'!$B$2:$D$2)/10^9,0)</f>
        <v>2.6128667753030988E-3</v>
      </c>
      <c r="K1724" s="105">
        <f>IF($F$1560&gt;0,'Assumptions (Geo)'!AA$10*Model!$F$1560*AVERAGE('Assumptions (Geo)'!$B$2:$D$2)/10^9,0)</f>
        <v>2.3489408384037959E-3</v>
      </c>
      <c r="L1724" s="105">
        <f>IF($F$1560&gt;0,'Assumptions (Geo)'!AB$10*Model!$F$1560*AVERAGE('Assumptions (Geo)'!$B$2:$D$2)/10^9,0)</f>
        <v>2.2245186110084101E-3</v>
      </c>
      <c r="M1724" s="105">
        <f>IF($F$1560&gt;0,'Assumptions (Geo)'!AC$10*Model!$F$1560*AVERAGE('Assumptions (Geo)'!$B$2:$D$2)/10^9,0)</f>
        <v>2.2245186110084101E-3</v>
      </c>
      <c r="N1724" s="105">
        <f>IF($F$1560&gt;0,'Assumptions (Geo)'!AD$10*Model!$F$1560*AVERAGE('Assumptions (Geo)'!$B$2:$D$2)/10^9,0)</f>
        <v>2.2282889815355427E-3</v>
      </c>
      <c r="O1724" s="105">
        <f>IF($F$1560&gt;0,'Assumptions (Geo)'!AE$10*Model!$F$1560*AVERAGE('Assumptions (Geo)'!$B$2:$D$2)/10^9,0)</f>
        <v>2.2245186110084101E-3</v>
      </c>
      <c r="P1724" s="105">
        <f>IF($F$1560&gt;0,'Assumptions (Geo)'!AF$10*Model!$F$1560*AVERAGE('Assumptions (Geo)'!$B$2:$D$2)/10^9,0)</f>
        <v>2.2282889815355427E-3</v>
      </c>
      <c r="Q1724" s="105">
        <f>IF($F$1560&gt;0,'Assumptions (Geo)'!AG$10*Model!$F$1560*AVERAGE('Assumptions (Geo)'!$B$2:$D$2)/10^9,0)</f>
        <v>2.2245186110084101E-3</v>
      </c>
      <c r="R1724" s="105">
        <f>IF($F$1560&gt;0,'Assumptions (Geo)'!AH$10*Model!$F$1560*AVERAGE('Assumptions (Geo)'!$B$2:$D$2)/10^9,0)</f>
        <v>2.2282889815355427E-3</v>
      </c>
      <c r="S1724" s="105">
        <f>IF($F$1560&gt;0,'Assumptions (Geo)'!AI$10*Model!$F$1560*AVERAGE('Assumptions (Geo)'!$B$2:$D$2)/10^9,0)</f>
        <v>2.2245186110084101E-3</v>
      </c>
      <c r="T1724" s="105">
        <f>IF($F$1560&gt;0,'Assumptions (Geo)'!AJ$10*Model!$F$1560*AVERAGE('Assumptions (Geo)'!$B$2:$D$2)/10^9,0)</f>
        <v>2.2282889815355427E-3</v>
      </c>
      <c r="U1724" s="105">
        <f>IF($F$1560&gt;0,'Assumptions (Geo)'!AK$10*Model!$F$1560*AVERAGE('Assumptions (Geo)'!$B$2:$D$2)/10^9,0)</f>
        <v>1.112259305504205E-3</v>
      </c>
      <c r="V1724" s="105"/>
      <c r="W1724" s="105"/>
      <c r="X1724" s="105"/>
      <c r="Y1724" s="105"/>
      <c r="Z1724" s="105"/>
      <c r="AA1724" s="105"/>
      <c r="AB1724" s="105"/>
      <c r="AC1724" s="105"/>
      <c r="AD1724" s="105"/>
      <c r="AE1724" s="105"/>
      <c r="AF1724" s="105"/>
      <c r="AG1724" s="105"/>
    </row>
    <row r="1725" spans="1:70" ht="15.75" hidden="1" customHeight="1" outlineLevel="1">
      <c r="A1725" s="428"/>
      <c r="B1725" s="99"/>
      <c r="C1725" s="105"/>
      <c r="D1725" s="105"/>
      <c r="E1725" s="105"/>
      <c r="F1725" s="105"/>
      <c r="G1725" s="105">
        <f>IF($G$1560&gt;0,'Assumptions (Geo)'!V$10*Model!$G$1560*AVERAGE('Assumptions (Geo)'!$C$2:$E$2)/10^9,0)</f>
        <v>0</v>
      </c>
      <c r="H1725" s="105">
        <f>IF($G$1560&gt;0,'Assumptions (Geo)'!W$10*Model!$G$1560*AVERAGE('Assumptions (Geo)'!$C$2:$E$2)/10^9,0)</f>
        <v>0</v>
      </c>
      <c r="I1725" s="105">
        <f>IF($G$1560&gt;0,'Assumptions (Geo)'!X$10*Model!$G$1560*AVERAGE('Assumptions (Geo)'!$C$2:$E$2)/10^9,0)</f>
        <v>0</v>
      </c>
      <c r="J1725" s="105">
        <f>IF($G$1560&gt;0,'Assumptions (Geo)'!Y$10*Model!$G$1560*AVERAGE('Assumptions (Geo)'!$C$2:$E$2)/10^9,0)</f>
        <v>0</v>
      </c>
      <c r="K1725" s="105">
        <f>IF($G$1560&gt;0,'Assumptions (Geo)'!Z$10*Model!$G$1560*AVERAGE('Assumptions (Geo)'!$C$2:$E$2)/10^9,0)</f>
        <v>0</v>
      </c>
      <c r="L1725" s="105">
        <f>IF($G$1560&gt;0,'Assumptions (Geo)'!AA$10*Model!$G$1560*AVERAGE('Assumptions (Geo)'!$C$2:$E$2)/10^9,0)</f>
        <v>0</v>
      </c>
      <c r="M1725" s="105">
        <f>IF($G$1560&gt;0,'Assumptions (Geo)'!AB$10*Model!$G$1560*AVERAGE('Assumptions (Geo)'!$C$2:$E$2)/10^9,0)</f>
        <v>0</v>
      </c>
      <c r="N1725" s="105">
        <f>IF($G$1560&gt;0,'Assumptions (Geo)'!AC$10*Model!$G$1560*AVERAGE('Assumptions (Geo)'!$C$2:$E$2)/10^9,0)</f>
        <v>0</v>
      </c>
      <c r="O1725" s="105">
        <f>IF($G$1560&gt;0,'Assumptions (Geo)'!AD$10*Model!$G$1560*AVERAGE('Assumptions (Geo)'!$C$2:$E$2)/10^9,0)</f>
        <v>0</v>
      </c>
      <c r="P1725" s="105">
        <f>IF($G$1560&gt;0,'Assumptions (Geo)'!AE$10*Model!$G$1560*AVERAGE('Assumptions (Geo)'!$C$2:$E$2)/10^9,0)</f>
        <v>0</v>
      </c>
      <c r="Q1725" s="105">
        <f>IF($G$1560&gt;0,'Assumptions (Geo)'!AF$10*Model!$G$1560*AVERAGE('Assumptions (Geo)'!$C$2:$E$2)/10^9,0)</f>
        <v>0</v>
      </c>
      <c r="R1725" s="105">
        <f>IF($G$1560&gt;0,'Assumptions (Geo)'!AG$10*Model!$G$1560*AVERAGE('Assumptions (Geo)'!$C$2:$E$2)/10^9,0)</f>
        <v>0</v>
      </c>
      <c r="S1725" s="105">
        <f>IF($G$1560&gt;0,'Assumptions (Geo)'!AH$10*Model!$G$1560*AVERAGE('Assumptions (Geo)'!$C$2:$E$2)/10^9,0)</f>
        <v>0</v>
      </c>
      <c r="T1725" s="105">
        <f>IF($G$1560&gt;0,'Assumptions (Geo)'!AI$10*Model!$G$1560*AVERAGE('Assumptions (Geo)'!$C$2:$E$2)/10^9,0)</f>
        <v>0</v>
      </c>
      <c r="U1725" s="105">
        <f>IF($G$1560&gt;0,'Assumptions (Geo)'!AJ$10*Model!$G$1560*AVERAGE('Assumptions (Geo)'!$C$2:$E$2)/10^9,0)</f>
        <v>0</v>
      </c>
      <c r="V1725" s="105">
        <f>IF($G$1560&gt;0,'Assumptions (Geo)'!AK$10*Model!$G$1560*AVERAGE('Assumptions (Geo)'!$C$2:$E$2)/10^9,0)</f>
        <v>0</v>
      </c>
      <c r="W1725" s="105"/>
      <c r="X1725" s="105"/>
      <c r="Y1725" s="105"/>
      <c r="Z1725" s="105"/>
      <c r="AA1725" s="105"/>
      <c r="AB1725" s="105"/>
      <c r="AC1725" s="105"/>
      <c r="AD1725" s="105"/>
      <c r="AE1725" s="105"/>
      <c r="AF1725" s="105"/>
      <c r="AG1725" s="105"/>
    </row>
    <row r="1726" spans="1:70" ht="15.75" hidden="1" customHeight="1" outlineLevel="1">
      <c r="A1726" s="428"/>
      <c r="B1726" s="99"/>
      <c r="C1726" s="105"/>
      <c r="D1726" s="105"/>
      <c r="E1726" s="105"/>
      <c r="F1726" s="105"/>
      <c r="G1726" s="105"/>
      <c r="H1726" s="105">
        <f>IF($H$1560&gt;0,'Assumptions (Geo)'!V$10*Model!$H$1560*AVERAGE('Assumptions (Geo)'!$D$2:$F$2)/10^9,0)</f>
        <v>1.5298504636073365E-3</v>
      </c>
      <c r="I1726" s="105">
        <f>IF($H$1560&gt;0,'Assumptions (Geo)'!W$10*Model!$H$1560*AVERAGE('Assumptions (Geo)'!$D$2:$F$2)/10^9,0)</f>
        <v>2.9067158808539387E-3</v>
      </c>
      <c r="J1726" s="105">
        <f>IF($H$1560&gt;0,'Assumptions (Geo)'!X$10*Model!$H$1560*AVERAGE('Assumptions (Geo)'!$D$2:$F$2)/10^9,0)</f>
        <v>2.6160442927685456E-3</v>
      </c>
      <c r="K1726" s="105">
        <f>IF($H$1560&gt;0,'Assumptions (Geo)'!Y$10*Model!$H$1560*AVERAGE('Assumptions (Geo)'!$D$2:$F$2)/10^9,0)</f>
        <v>2.355969713955298E-3</v>
      </c>
      <c r="L1726" s="105">
        <f>IF($H$1560&gt;0,'Assumptions (Geo)'!Z$10*Model!$H$1560*AVERAGE('Assumptions (Geo)'!$D$2:$F$2)/10^9,0)</f>
        <v>2.1203727425597682E-3</v>
      </c>
      <c r="M1726" s="105">
        <f>IF($H$1560&gt;0,'Assumptions (Geo)'!AA$10*Model!$H$1560*AVERAGE('Assumptions (Geo)'!$D$2:$F$2)/10^9,0)</f>
        <v>1.9061936776547412E-3</v>
      </c>
      <c r="N1726" s="105">
        <f>IF($H$1560&gt;0,'Assumptions (Geo)'!AB$10*Model!$H$1560*AVERAGE('Assumptions (Geo)'!$D$2:$F$2)/10^9,0)</f>
        <v>1.8052235470566566E-3</v>
      </c>
      <c r="O1726" s="105">
        <f>IF($H$1560&gt;0,'Assumptions (Geo)'!AC$10*Model!$H$1560*AVERAGE('Assumptions (Geo)'!$D$2:$F$2)/10^9,0)</f>
        <v>1.8052235470566566E-3</v>
      </c>
      <c r="P1726" s="105">
        <f>IF($H$1560&gt;0,'Assumptions (Geo)'!AD$10*Model!$H$1560*AVERAGE('Assumptions (Geo)'!$D$2:$F$2)/10^9,0)</f>
        <v>1.8082832479838714E-3</v>
      </c>
      <c r="Q1726" s="105">
        <f>IF($H$1560&gt;0,'Assumptions (Geo)'!AE$10*Model!$H$1560*AVERAGE('Assumptions (Geo)'!$D$2:$F$2)/10^9,0)</f>
        <v>1.8052235470566566E-3</v>
      </c>
      <c r="R1726" s="105">
        <f>IF($H$1560&gt;0,'Assumptions (Geo)'!AF$10*Model!$H$1560*AVERAGE('Assumptions (Geo)'!$D$2:$F$2)/10^9,0)</f>
        <v>1.8082832479838714E-3</v>
      </c>
      <c r="S1726" s="105">
        <f>IF($H$1560&gt;0,'Assumptions (Geo)'!AG$10*Model!$H$1560*AVERAGE('Assumptions (Geo)'!$D$2:$F$2)/10^9,0)</f>
        <v>1.8052235470566566E-3</v>
      </c>
      <c r="T1726" s="105">
        <f>IF($H$1560&gt;0,'Assumptions (Geo)'!AH$10*Model!$H$1560*AVERAGE('Assumptions (Geo)'!$D$2:$F$2)/10^9,0)</f>
        <v>1.8082832479838714E-3</v>
      </c>
      <c r="U1726" s="105">
        <f>IF($H$1560&gt;0,'Assumptions (Geo)'!AI$10*Model!$H$1560*AVERAGE('Assumptions (Geo)'!$D$2:$F$2)/10^9,0)</f>
        <v>1.8052235470566566E-3</v>
      </c>
      <c r="V1726" s="105">
        <f>IF($H$1560&gt;0,'Assumptions (Geo)'!AJ$10*Model!$H$1560*AVERAGE('Assumptions (Geo)'!$D$2:$F$2)/10^9,0)</f>
        <v>1.8082832479838714E-3</v>
      </c>
      <c r="W1726" s="105">
        <f>IF($H$1560&gt;0,'Assumptions (Geo)'!AK$10*Model!$H$1560*AVERAGE('Assumptions (Geo)'!$D$2:$F$2)/10^9,0)</f>
        <v>9.026117735283283E-4</v>
      </c>
      <c r="X1726" s="105"/>
      <c r="Y1726" s="105"/>
      <c r="Z1726" s="105"/>
      <c r="AA1726" s="105"/>
      <c r="AB1726" s="105"/>
      <c r="AC1726" s="105"/>
      <c r="AD1726" s="105"/>
      <c r="AE1726" s="105"/>
      <c r="AF1726" s="105"/>
      <c r="AG1726" s="105"/>
    </row>
    <row r="1727" spans="1:70" ht="15.75" hidden="1" customHeight="1" outlineLevel="1">
      <c r="A1727" s="428"/>
      <c r="B1727" s="99"/>
      <c r="C1727" s="105"/>
      <c r="D1727" s="105"/>
      <c r="E1727" s="105"/>
      <c r="F1727" s="105"/>
      <c r="G1727" s="105"/>
      <c r="H1727" s="105"/>
      <c r="I1727" s="105">
        <f>IF($I$1560&gt;0,'Assumptions (Geo)'!V$10*Model!$I$1560*AVERAGE('Assumptions (Geo)'!$E$2:$G$2)/10^9,0)</f>
        <v>2.7007744722914134E-3</v>
      </c>
      <c r="J1727" s="105">
        <f>IF($I$1560&gt;0,'Assumptions (Geo)'!W$10*Model!$I$1560*AVERAGE('Assumptions (Geo)'!$E$2:$G$2)/10^9,0)</f>
        <v>5.1314714973536854E-3</v>
      </c>
      <c r="K1727" s="105">
        <f>IF($I$1560&gt;0,'Assumptions (Geo)'!X$10*Model!$I$1560*AVERAGE('Assumptions (Geo)'!$E$2:$G$2)/10^9,0)</f>
        <v>4.6183243476183161E-3</v>
      </c>
      <c r="L1727" s="105">
        <f>IF($I$1560&gt;0,'Assumptions (Geo)'!Y$10*Model!$I$1560*AVERAGE('Assumptions (Geo)'!$E$2:$G$2)/10^9,0)</f>
        <v>4.1591926873287772E-3</v>
      </c>
      <c r="M1727" s="105">
        <f>IF($I$1560&gt;0,'Assumptions (Geo)'!Z$10*Model!$I$1560*AVERAGE('Assumptions (Geo)'!$E$2:$G$2)/10^9,0)</f>
        <v>3.7432734185958989E-3</v>
      </c>
      <c r="N1727" s="105">
        <f>IF($I$1560&gt;0,'Assumptions (Geo)'!AA$10*Model!$I$1560*AVERAGE('Assumptions (Geo)'!$E$2:$G$2)/10^9,0)</f>
        <v>3.3651649924751007E-3</v>
      </c>
      <c r="O1727" s="105">
        <f>IF($I$1560&gt;0,'Assumptions (Geo)'!AB$10*Model!$I$1560*AVERAGE('Assumptions (Geo)'!$E$2:$G$2)/10^9,0)</f>
        <v>3.1869138773038676E-3</v>
      </c>
      <c r="P1727" s="105">
        <f>IF($I$1560&gt;0,'Assumptions (Geo)'!AC$10*Model!$I$1560*AVERAGE('Assumptions (Geo)'!$E$2:$G$2)/10^9,0)</f>
        <v>3.1869138773038676E-3</v>
      </c>
      <c r="Q1727" s="105">
        <f>IF($I$1560&gt;0,'Assumptions (Geo)'!AD$10*Model!$I$1560*AVERAGE('Assumptions (Geo)'!$E$2:$G$2)/10^9,0)</f>
        <v>3.1923154262484504E-3</v>
      </c>
      <c r="R1727" s="105">
        <f>IF($I$1560&gt;0,'Assumptions (Geo)'!AE$10*Model!$I$1560*AVERAGE('Assumptions (Geo)'!$E$2:$G$2)/10^9,0)</f>
        <v>3.1869138773038676E-3</v>
      </c>
      <c r="S1727" s="105">
        <f>IF($I$1560&gt;0,'Assumptions (Geo)'!AF$10*Model!$I$1560*AVERAGE('Assumptions (Geo)'!$E$2:$G$2)/10^9,0)</f>
        <v>3.1923154262484504E-3</v>
      </c>
      <c r="T1727" s="105">
        <f>IF($I$1560&gt;0,'Assumptions (Geo)'!AG$10*Model!$I$1560*AVERAGE('Assumptions (Geo)'!$E$2:$G$2)/10^9,0)</f>
        <v>3.1869138773038676E-3</v>
      </c>
      <c r="U1727" s="105">
        <f>IF($I$1560&gt;0,'Assumptions (Geo)'!AH$10*Model!$I$1560*AVERAGE('Assumptions (Geo)'!$E$2:$G$2)/10^9,0)</f>
        <v>3.1923154262484504E-3</v>
      </c>
      <c r="V1727" s="105">
        <f>IF($I$1560&gt;0,'Assumptions (Geo)'!AI$10*Model!$I$1560*AVERAGE('Assumptions (Geo)'!$E$2:$G$2)/10^9,0)</f>
        <v>3.1869138773038676E-3</v>
      </c>
      <c r="W1727" s="105">
        <f>IF($I$1560&gt;0,'Assumptions (Geo)'!AJ$10*Model!$I$1560*AVERAGE('Assumptions (Geo)'!$E$2:$G$2)/10^9,0)</f>
        <v>3.1923154262484504E-3</v>
      </c>
      <c r="X1727" s="105">
        <f>IF($I$1560&gt;0,'Assumptions (Geo)'!AK$10*Model!$I$1560*AVERAGE('Assumptions (Geo)'!$E$2:$G$2)/10^9,0)</f>
        <v>1.5934569386519338E-3</v>
      </c>
      <c r="Y1727" s="105"/>
      <c r="Z1727" s="105"/>
      <c r="AA1727" s="105"/>
      <c r="AB1727" s="105"/>
      <c r="AC1727" s="105"/>
      <c r="AD1727" s="105"/>
      <c r="AE1727" s="105"/>
      <c r="AF1727" s="105"/>
      <c r="AG1727" s="105"/>
    </row>
    <row r="1728" spans="1:70" ht="15.75" hidden="1" customHeight="1" outlineLevel="1">
      <c r="A1728" s="428"/>
      <c r="B1728" s="99"/>
      <c r="C1728" s="105"/>
      <c r="D1728" s="105"/>
      <c r="E1728" s="105"/>
      <c r="F1728" s="105"/>
      <c r="G1728" s="105"/>
      <c r="H1728" s="105"/>
      <c r="I1728" s="105"/>
      <c r="J1728" s="105">
        <f>IF($J$1560&gt;0,'Assumptions (Geo)'!V$10*Model!$J$1560*AVERAGE('Assumptions (Geo)'!$F$2:$H$2)/10^9,0)</f>
        <v>3.4689947666320825E-3</v>
      </c>
      <c r="K1728" s="105">
        <f>IF($J$1560&gt;0,'Assumptions (Geo)'!W$10*Model!$J$1560*AVERAGE('Assumptions (Geo)'!$F$2:$H$2)/10^9,0)</f>
        <v>6.5910900566009565E-3</v>
      </c>
      <c r="L1728" s="105">
        <f>IF($J$1560&gt;0,'Assumptions (Geo)'!X$10*Model!$J$1560*AVERAGE('Assumptions (Geo)'!$F$2:$H$2)/10^9,0)</f>
        <v>5.9319810509408603E-3</v>
      </c>
      <c r="M1728" s="105">
        <f>IF($J$1560&gt;0,'Assumptions (Geo)'!Y$10*Model!$J$1560*AVERAGE('Assumptions (Geo)'!$F$2:$H$2)/10^9,0)</f>
        <v>5.3422519406134059E-3</v>
      </c>
      <c r="N1728" s="105">
        <f>IF($J$1560&gt;0,'Assumptions (Geo)'!Z$10*Model!$J$1560*AVERAGE('Assumptions (Geo)'!$F$2:$H$2)/10^9,0)</f>
        <v>4.8080267465520658E-3</v>
      </c>
      <c r="O1728" s="105">
        <f>IF($J$1560&gt;0,'Assumptions (Geo)'!AA$10*Model!$J$1560*AVERAGE('Assumptions (Geo)'!$F$2:$H$2)/10^9,0)</f>
        <v>4.3223674792235737E-3</v>
      </c>
      <c r="P1728" s="105">
        <f>IF($J$1560&gt;0,'Assumptions (Geo)'!AB$10*Model!$J$1560*AVERAGE('Assumptions (Geo)'!$F$2:$H$2)/10^9,0)</f>
        <v>4.0934138246258561E-3</v>
      </c>
      <c r="Q1728" s="105">
        <f>IF($J$1560&gt;0,'Assumptions (Geo)'!AC$10*Model!$J$1560*AVERAGE('Assumptions (Geo)'!$F$2:$H$2)/10^9,0)</f>
        <v>4.0934138246258561E-3</v>
      </c>
      <c r="R1728" s="105">
        <f>IF($J$1560&gt;0,'Assumptions (Geo)'!AD$10*Model!$J$1560*AVERAGE('Assumptions (Geo)'!$F$2:$H$2)/10^9,0)</f>
        <v>4.1003518141591207E-3</v>
      </c>
      <c r="S1728" s="105">
        <f>IF($J$1560&gt;0,'Assumptions (Geo)'!AE$10*Model!$J$1560*AVERAGE('Assumptions (Geo)'!$F$2:$H$2)/10^9,0)</f>
        <v>4.0934138246258561E-3</v>
      </c>
      <c r="T1728" s="105">
        <f>IF($J$1560&gt;0,'Assumptions (Geo)'!AF$10*Model!$J$1560*AVERAGE('Assumptions (Geo)'!$F$2:$H$2)/10^9,0)</f>
        <v>4.1003518141591207E-3</v>
      </c>
      <c r="U1728" s="105">
        <f>IF($J$1560&gt;0,'Assumptions (Geo)'!AG$10*Model!$J$1560*AVERAGE('Assumptions (Geo)'!$F$2:$H$2)/10^9,0)</f>
        <v>4.0934138246258561E-3</v>
      </c>
      <c r="V1728" s="105">
        <f>IF($J$1560&gt;0,'Assumptions (Geo)'!AH$10*Model!$J$1560*AVERAGE('Assumptions (Geo)'!$F$2:$H$2)/10^9,0)</f>
        <v>4.1003518141591207E-3</v>
      </c>
      <c r="W1728" s="105">
        <f>IF($J$1560&gt;0,'Assumptions (Geo)'!AI$10*Model!$J$1560*AVERAGE('Assumptions (Geo)'!$F$2:$H$2)/10^9,0)</f>
        <v>4.0934138246258561E-3</v>
      </c>
      <c r="X1728" s="105">
        <f>IF($J$1560&gt;0,'Assumptions (Geo)'!AJ$10*Model!$J$1560*AVERAGE('Assumptions (Geo)'!$F$2:$H$2)/10^9,0)</f>
        <v>4.1003518141591207E-3</v>
      </c>
      <c r="Y1728" s="105">
        <f>IF($J$1560&gt;0,'Assumptions (Geo)'!AK$10*Model!$J$1560*AVERAGE('Assumptions (Geo)'!$F$2:$H$2)/10^9,0)</f>
        <v>2.046706912312928E-3</v>
      </c>
      <c r="Z1728" s="105"/>
      <c r="AA1728" s="105"/>
      <c r="AB1728" s="105"/>
      <c r="AC1728" s="105"/>
      <c r="AD1728" s="105"/>
      <c r="AE1728" s="105"/>
      <c r="AF1728" s="105"/>
      <c r="AG1728" s="105"/>
      <c r="AH1728" s="105"/>
    </row>
    <row r="1729" spans="1:53" ht="15.75" hidden="1" customHeight="1" outlineLevel="1">
      <c r="A1729" s="428"/>
      <c r="B1729" s="99"/>
      <c r="C1729" s="105"/>
      <c r="D1729" s="105"/>
      <c r="E1729" s="105"/>
      <c r="F1729" s="105"/>
      <c r="G1729" s="105"/>
      <c r="H1729" s="105"/>
      <c r="I1729" s="105"/>
      <c r="J1729" s="105"/>
      <c r="K1729" s="105">
        <f>IF($K$1560&gt;0,'Assumptions (Geo)'!V$10*Model!$K$1560*AVERAGE('Assumptions (Geo)'!$G$2:$I$2)/10^9,0)</f>
        <v>3.9338400653607802E-3</v>
      </c>
      <c r="L1729" s="105">
        <f>IF($K$1560&gt;0,'Assumptions (Geo)'!W$10*Model!$K$1560*AVERAGE('Assumptions (Geo)'!$G$2:$I$2)/10^9,0)</f>
        <v>7.4742961241854823E-3</v>
      </c>
      <c r="M1729" s="105">
        <f>IF($K$1560&gt;0,'Assumptions (Geo)'!X$10*Model!$K$1560*AVERAGE('Assumptions (Geo)'!$G$2:$I$2)/10^9,0)</f>
        <v>6.726866511766935E-3</v>
      </c>
      <c r="N1729" s="105">
        <f>IF($K$1560&gt;0,'Assumptions (Geo)'!Y$10*Model!$K$1560*AVERAGE('Assumptions (Geo)'!$G$2:$I$2)/10^9,0)</f>
        <v>6.0581137006556008E-3</v>
      </c>
      <c r="O1729" s="105">
        <f>IF($K$1560&gt;0,'Assumptions (Geo)'!Z$10*Model!$K$1560*AVERAGE('Assumptions (Geo)'!$G$2:$I$2)/10^9,0)</f>
        <v>5.4523023305900415E-3</v>
      </c>
      <c r="P1729" s="105">
        <f>IF($K$1560&gt;0,'Assumptions (Geo)'!AA$10*Model!$K$1560*AVERAGE('Assumptions (Geo)'!$G$2:$I$2)/10^9,0)</f>
        <v>4.901564721439532E-3</v>
      </c>
      <c r="Q1729" s="105">
        <f>IF($K$1560&gt;0,'Assumptions (Geo)'!AB$10*Model!$K$1560*AVERAGE('Assumptions (Geo)'!$G$2:$I$2)/10^9,0)</f>
        <v>4.6419312771257201E-3</v>
      </c>
      <c r="R1729" s="105">
        <f>IF($K$1560&gt;0,'Assumptions (Geo)'!AC$10*Model!$K$1560*AVERAGE('Assumptions (Geo)'!$G$2:$I$2)/10^9,0)</f>
        <v>4.6419312771257201E-3</v>
      </c>
      <c r="S1729" s="105">
        <f>IF($K$1560&gt;0,'Assumptions (Geo)'!AD$10*Model!$K$1560*AVERAGE('Assumptions (Geo)'!$G$2:$I$2)/10^9,0)</f>
        <v>4.6497989572564418E-3</v>
      </c>
      <c r="T1729" s="105">
        <f>IF($K$1560&gt;0,'Assumptions (Geo)'!AE$10*Model!$K$1560*AVERAGE('Assumptions (Geo)'!$G$2:$I$2)/10^9,0)</f>
        <v>4.6419312771257201E-3</v>
      </c>
      <c r="U1729" s="105">
        <f>IF($K$1560&gt;0,'Assumptions (Geo)'!AF$10*Model!$K$1560*AVERAGE('Assumptions (Geo)'!$G$2:$I$2)/10^9,0)</f>
        <v>4.6497989572564418E-3</v>
      </c>
      <c r="V1729" s="105">
        <f>IF($K$1560&gt;0,'Assumptions (Geo)'!AG$10*Model!$K$1560*AVERAGE('Assumptions (Geo)'!$G$2:$I$2)/10^9,0)</f>
        <v>4.6419312771257201E-3</v>
      </c>
      <c r="W1729" s="105">
        <f>IF($K$1560&gt;0,'Assumptions (Geo)'!AH$10*Model!$K$1560*AVERAGE('Assumptions (Geo)'!$G$2:$I$2)/10^9,0)</f>
        <v>4.6497989572564418E-3</v>
      </c>
      <c r="X1729" s="105">
        <f>IF($K$1560&gt;0,'Assumptions (Geo)'!AI$10*Model!$K$1560*AVERAGE('Assumptions (Geo)'!$G$2:$I$2)/10^9,0)</f>
        <v>4.6419312771257201E-3</v>
      </c>
      <c r="Y1729" s="105">
        <f>IF($K$1560&gt;0,'Assumptions (Geo)'!AJ$10*Model!$K$1560*AVERAGE('Assumptions (Geo)'!$G$2:$I$2)/10^9,0)</f>
        <v>4.6497989572564418E-3</v>
      </c>
      <c r="Z1729" s="105">
        <f>IF($K$1560&gt;0,'Assumptions (Geo)'!AK$10*Model!$K$1560*AVERAGE('Assumptions (Geo)'!$G$2:$I$2)/10^9,0)</f>
        <v>2.3209656385628601E-3</v>
      </c>
      <c r="AA1729" s="105"/>
      <c r="AB1729" s="105"/>
      <c r="AC1729" s="105"/>
      <c r="AD1729" s="105"/>
      <c r="AE1729" s="105"/>
      <c r="AF1729" s="105"/>
      <c r="AG1729" s="105"/>
      <c r="AH1729" s="105"/>
      <c r="AI1729" s="105"/>
    </row>
    <row r="1730" spans="1:53" ht="15.75" hidden="1" customHeight="1" outlineLevel="1">
      <c r="A1730" s="428"/>
      <c r="B1730" s="99"/>
      <c r="C1730" s="105"/>
      <c r="D1730" s="105"/>
      <c r="E1730" s="105"/>
      <c r="F1730" s="105"/>
      <c r="G1730" s="105"/>
      <c r="H1730" s="105"/>
      <c r="I1730" s="105"/>
      <c r="J1730" s="105"/>
      <c r="K1730" s="105"/>
      <c r="L1730" s="105">
        <f>IF($L$1560&gt;0,'Assumptions (Geo)'!V$10*Model!$L$1560*AVERAGE('Assumptions (Geo)'!$H$2:$J$2)/10^9,0)</f>
        <v>1.7366342840922862E-2</v>
      </c>
      <c r="M1730" s="105">
        <f>IF($L$1560&gt;0,'Assumptions (Geo)'!W$10*Model!$L$1560*AVERAGE('Assumptions (Geo)'!$H$2:$J$2)/10^9,0)</f>
        <v>3.299605139775344E-2</v>
      </c>
      <c r="N1730" s="105">
        <f>IF($L$1560&gt;0,'Assumptions (Geo)'!X$10*Model!$L$1560*AVERAGE('Assumptions (Geo)'!$H$2:$J$2)/10^9,0)</f>
        <v>2.9696446257978095E-2</v>
      </c>
      <c r="O1730" s="105">
        <f>IF($L$1560&gt;0,'Assumptions (Geo)'!Y$10*Model!$L$1560*AVERAGE('Assumptions (Geo)'!$H$2:$J$2)/10^9,0)</f>
        <v>2.6744167975021209E-2</v>
      </c>
      <c r="P1730" s="105">
        <f>IF($L$1560&gt;0,'Assumptions (Geo)'!Z$10*Model!$L$1560*AVERAGE('Assumptions (Geo)'!$H$2:$J$2)/10^9,0)</f>
        <v>2.4069751177519087E-2</v>
      </c>
      <c r="Q1730" s="105">
        <f>IF($L$1560&gt;0,'Assumptions (Geo)'!AA$10*Model!$L$1560*AVERAGE('Assumptions (Geo)'!$H$2:$J$2)/10^9,0)</f>
        <v>2.1638463179789888E-2</v>
      </c>
      <c r="R1730" s="105">
        <f>IF($L$1560&gt;0,'Assumptions (Geo)'!AB$10*Model!$L$1560*AVERAGE('Assumptions (Geo)'!$H$2:$J$2)/10^9,0)</f>
        <v>2.0492284552288974E-2</v>
      </c>
      <c r="S1730" s="105">
        <f>IF($L$1560&gt;0,'Assumptions (Geo)'!AC$10*Model!$L$1560*AVERAGE('Assumptions (Geo)'!$H$2:$J$2)/10^9,0)</f>
        <v>2.0492284552288974E-2</v>
      </c>
      <c r="T1730" s="105">
        <f>IF($L$1560&gt;0,'Assumptions (Geo)'!AD$10*Model!$L$1560*AVERAGE('Assumptions (Geo)'!$H$2:$J$2)/10^9,0)</f>
        <v>2.0527017237970822E-2</v>
      </c>
      <c r="U1730" s="105">
        <f>IF($L$1560&gt;0,'Assumptions (Geo)'!AE$10*Model!$L$1560*AVERAGE('Assumptions (Geo)'!$H$2:$J$2)/10^9,0)</f>
        <v>2.0492284552288974E-2</v>
      </c>
      <c r="V1730" s="105">
        <f>IF($L$1560&gt;0,'Assumptions (Geo)'!AF$10*Model!$L$1560*AVERAGE('Assumptions (Geo)'!$H$2:$J$2)/10^9,0)</f>
        <v>2.0527017237970822E-2</v>
      </c>
      <c r="W1730" s="105">
        <f>IF($L$1560&gt;0,'Assumptions (Geo)'!AG$10*Model!$L$1560*AVERAGE('Assumptions (Geo)'!$H$2:$J$2)/10^9,0)</f>
        <v>2.0492284552288974E-2</v>
      </c>
      <c r="X1730" s="105">
        <f>IF($L$1560&gt;0,'Assumptions (Geo)'!AH$10*Model!$L$1560*AVERAGE('Assumptions (Geo)'!$H$2:$J$2)/10^9,0)</f>
        <v>2.0527017237970822E-2</v>
      </c>
      <c r="Y1730" s="105">
        <f>IF($L$1560&gt;0,'Assumptions (Geo)'!AI$10*Model!$L$1560*AVERAGE('Assumptions (Geo)'!$H$2:$J$2)/10^9,0)</f>
        <v>2.0492284552288974E-2</v>
      </c>
      <c r="Z1730" s="105">
        <f>IF($L$1560&gt;0,'Assumptions (Geo)'!AJ$10*Model!$L$1560*AVERAGE('Assumptions (Geo)'!$H$2:$J$2)/10^9,0)</f>
        <v>2.0527017237970822E-2</v>
      </c>
      <c r="AA1730" s="105">
        <f>IF($L$1560&gt;0,'Assumptions (Geo)'!AK$10*Model!$L$1560*AVERAGE('Assumptions (Geo)'!$H$2:$J$2)/10^9,0)</f>
        <v>1.0246142276144487E-2</v>
      </c>
      <c r="AB1730" s="105"/>
      <c r="AC1730" s="105"/>
      <c r="AD1730" s="105"/>
      <c r="AE1730" s="105"/>
      <c r="AF1730" s="105"/>
      <c r="AG1730" s="105"/>
      <c r="AH1730" s="105"/>
      <c r="AI1730" s="105"/>
      <c r="AJ1730" s="105"/>
    </row>
    <row r="1731" spans="1:53" ht="15.75" hidden="1" customHeight="1" outlineLevel="1">
      <c r="A1731" s="428"/>
      <c r="B1731" s="99"/>
      <c r="C1731" s="105"/>
      <c r="D1731" s="105"/>
      <c r="E1731" s="105"/>
      <c r="F1731" s="105"/>
      <c r="G1731" s="105"/>
      <c r="H1731" s="105"/>
      <c r="I1731" s="105"/>
      <c r="J1731" s="105"/>
      <c r="K1731" s="105"/>
      <c r="L1731" s="105"/>
      <c r="M1731" s="105">
        <f>IF($M$1560&gt;0,'Assumptions (Geo)'!V$10*Model!$M$1560*AVERAGE('Assumptions (Geo)'!$I$2:$K$2)/10^9,0)</f>
        <v>1.3534283082015067E-3</v>
      </c>
      <c r="N1731" s="105">
        <f>IF($M$1560&gt;0,'Assumptions (Geo)'!W$10*Model!$M$1560*AVERAGE('Assumptions (Geo)'!$I$2:$K$2)/10^9,0)</f>
        <v>2.5715137855828627E-3</v>
      </c>
      <c r="O1731" s="105">
        <f>IF($M$1560&gt;0,'Assumptions (Geo)'!X$10*Model!$M$1560*AVERAGE('Assumptions (Geo)'!$I$2:$K$2)/10^9,0)</f>
        <v>2.3143624070245767E-3</v>
      </c>
      <c r="P1731" s="105">
        <f>IF($M$1560&gt;0,'Assumptions (Geo)'!Y$10*Model!$M$1560*AVERAGE('Assumptions (Geo)'!$I$2:$K$2)/10^9,0)</f>
        <v>2.0842795946303203E-3</v>
      </c>
      <c r="Q1731" s="105">
        <f>IF($M$1560&gt;0,'Assumptions (Geo)'!Z$10*Model!$M$1560*AVERAGE('Assumptions (Geo)'!$I$2:$K$2)/10^9,0)</f>
        <v>1.8758516351672883E-3</v>
      </c>
      <c r="R1731" s="105">
        <f>IF($M$1560&gt;0,'Assumptions (Geo)'!AA$10*Model!$M$1560*AVERAGE('Assumptions (Geo)'!$I$2:$K$2)/10^9,0)</f>
        <v>1.6863716720190774E-3</v>
      </c>
      <c r="S1731" s="105">
        <f>IF($M$1560&gt;0,'Assumptions (Geo)'!AB$10*Model!$M$1560*AVERAGE('Assumptions (Geo)'!$I$2:$K$2)/10^9,0)</f>
        <v>1.5970454036777779E-3</v>
      </c>
      <c r="T1731" s="105">
        <f>IF($M$1560&gt;0,'Assumptions (Geo)'!AC$10*Model!$M$1560*AVERAGE('Assumptions (Geo)'!$I$2:$K$2)/10^9,0)</f>
        <v>1.5970454036777779E-3</v>
      </c>
      <c r="U1731" s="105">
        <f>IF($M$1560&gt;0,'Assumptions (Geo)'!AD$10*Model!$M$1560*AVERAGE('Assumptions (Geo)'!$I$2:$K$2)/10^9,0)</f>
        <v>1.599752260294181E-3</v>
      </c>
      <c r="V1731" s="105">
        <f>IF($M$1560&gt;0,'Assumptions (Geo)'!AE$10*Model!$M$1560*AVERAGE('Assumptions (Geo)'!$I$2:$K$2)/10^9,0)</f>
        <v>1.5970454036777779E-3</v>
      </c>
      <c r="W1731" s="105">
        <f>IF($M$1560&gt;0,'Assumptions (Geo)'!AF$10*Model!$M$1560*AVERAGE('Assumptions (Geo)'!$I$2:$K$2)/10^9,0)</f>
        <v>1.599752260294181E-3</v>
      </c>
      <c r="X1731" s="105">
        <f>IF($M$1560&gt;0,'Assumptions (Geo)'!AG$10*Model!$M$1560*AVERAGE('Assumptions (Geo)'!$I$2:$K$2)/10^9,0)</f>
        <v>1.5970454036777779E-3</v>
      </c>
      <c r="Y1731" s="105">
        <f>IF($M$1560&gt;0,'Assumptions (Geo)'!AH$10*Model!$M$1560*AVERAGE('Assumptions (Geo)'!$I$2:$K$2)/10^9,0)</f>
        <v>1.599752260294181E-3</v>
      </c>
      <c r="Z1731" s="105">
        <f>IF($M$1560&gt;0,'Assumptions (Geo)'!AI$10*Model!$M$1560*AVERAGE('Assumptions (Geo)'!$I$2:$K$2)/10^9,0)</f>
        <v>1.5970454036777779E-3</v>
      </c>
      <c r="AA1731" s="105">
        <f>IF($M$1560&gt;0,'Assumptions (Geo)'!AJ$10*Model!$M$1560*AVERAGE('Assumptions (Geo)'!$I$2:$K$2)/10^9,0)</f>
        <v>1.599752260294181E-3</v>
      </c>
      <c r="AB1731" s="105">
        <f>IF($M$1560&gt;0,'Assumptions (Geo)'!AK$10*Model!$M$1560*AVERAGE('Assumptions (Geo)'!$I$2:$K$2)/10^9,0)</f>
        <v>7.9852270183888895E-4</v>
      </c>
      <c r="AC1731" s="105"/>
      <c r="AD1731" s="105"/>
      <c r="AE1731" s="105"/>
      <c r="AF1731" s="105"/>
      <c r="AG1731" s="105"/>
      <c r="AH1731" s="105"/>
      <c r="AI1731" s="105"/>
      <c r="AJ1731" s="105"/>
      <c r="AK1731" s="105"/>
    </row>
    <row r="1732" spans="1:53" ht="15.75" hidden="1" customHeight="1" outlineLevel="1">
      <c r="A1732" s="428"/>
      <c r="B1732" s="99"/>
      <c r="C1732" s="105"/>
      <c r="D1732" s="105"/>
      <c r="E1732" s="105"/>
      <c r="F1732" s="105"/>
      <c r="G1732" s="105"/>
      <c r="H1732" s="105"/>
      <c r="I1732" s="105"/>
      <c r="J1732" s="105"/>
      <c r="K1732" s="105"/>
      <c r="L1732" s="105"/>
      <c r="M1732" s="105"/>
      <c r="N1732" s="105">
        <f>IF($N$1560&gt;0,'Assumptions (Geo)'!V$10*Model!$N$1560*AVERAGE('Assumptions (Geo)'!$J$2:$L$2)/10^9,0)</f>
        <v>3.2027527485280449E-4</v>
      </c>
      <c r="O1732" s="105">
        <f>IF($N$1560&gt;0,'Assumptions (Geo)'!W$10*Model!$N$1560*AVERAGE('Assumptions (Geo)'!$J$2:$L$2)/10^9,0)</f>
        <v>6.0852302222032858E-4</v>
      </c>
      <c r="P1732" s="105">
        <f>IF($N$1560&gt;0,'Assumptions (Geo)'!X$10*Model!$N$1560*AVERAGE('Assumptions (Geo)'!$J$2:$L$2)/10^9,0)</f>
        <v>5.4767071999829579E-4</v>
      </c>
      <c r="Q1732" s="105">
        <f>IF($N$1560&gt;0,'Assumptions (Geo)'!Y$10*Model!$N$1560*AVERAGE('Assumptions (Geo)'!$J$2:$L$2)/10^9,0)</f>
        <v>4.9322392327331901E-4</v>
      </c>
      <c r="R1732" s="105">
        <f>IF($N$1560&gt;0,'Assumptions (Geo)'!Z$10*Model!$N$1560*AVERAGE('Assumptions (Geo)'!$J$2:$L$2)/10^9,0)</f>
        <v>4.4390153094598701E-4</v>
      </c>
      <c r="S1732" s="105">
        <f>IF($N$1560&gt;0,'Assumptions (Geo)'!AA$10*Model!$N$1560*AVERAGE('Assumptions (Geo)'!$J$2:$L$2)/10^9,0)</f>
        <v>3.9906299246659442E-4</v>
      </c>
      <c r="T1732" s="105">
        <f>IF($N$1560&gt;0,'Assumptions (Geo)'!AB$10*Model!$N$1560*AVERAGE('Assumptions (Geo)'!$J$2:$L$2)/10^9,0)</f>
        <v>3.7792482432630933E-4</v>
      </c>
      <c r="U1732" s="105">
        <f>IF($N$1560&gt;0,'Assumptions (Geo)'!AC$10*Model!$N$1560*AVERAGE('Assumptions (Geo)'!$J$2:$L$2)/10^9,0)</f>
        <v>3.7792482432630933E-4</v>
      </c>
      <c r="V1732" s="105">
        <f>IF($N$1560&gt;0,'Assumptions (Geo)'!AD$10*Model!$N$1560*AVERAGE('Assumptions (Geo)'!$J$2:$L$2)/10^9,0)</f>
        <v>3.7856537487601492E-4</v>
      </c>
      <c r="W1732" s="105">
        <f>IF($N$1560&gt;0,'Assumptions (Geo)'!AE$10*Model!$N$1560*AVERAGE('Assumptions (Geo)'!$J$2:$L$2)/10^9,0)</f>
        <v>3.7792482432630933E-4</v>
      </c>
      <c r="X1732" s="105">
        <f>IF($N$1560&gt;0,'Assumptions (Geo)'!AF$10*Model!$N$1560*AVERAGE('Assumptions (Geo)'!$J$2:$L$2)/10^9,0)</f>
        <v>3.7856537487601492E-4</v>
      </c>
      <c r="Y1732" s="105">
        <f>IF($N$1560&gt;0,'Assumptions (Geo)'!AG$10*Model!$N$1560*AVERAGE('Assumptions (Geo)'!$J$2:$L$2)/10^9,0)</f>
        <v>3.7792482432630933E-4</v>
      </c>
      <c r="Z1732" s="105">
        <f>IF($N$1560&gt;0,'Assumptions (Geo)'!AH$10*Model!$N$1560*AVERAGE('Assumptions (Geo)'!$J$2:$L$2)/10^9,0)</f>
        <v>3.7856537487601492E-4</v>
      </c>
      <c r="AA1732" s="105">
        <f>IF($N$1560&gt;0,'Assumptions (Geo)'!AI$10*Model!$N$1560*AVERAGE('Assumptions (Geo)'!$J$2:$L$2)/10^9,0)</f>
        <v>3.7792482432630933E-4</v>
      </c>
      <c r="AB1732" s="105">
        <f>IF($N$1560&gt;0,'Assumptions (Geo)'!AJ$10*Model!$N$1560*AVERAGE('Assumptions (Geo)'!$J$2:$L$2)/10^9,0)</f>
        <v>3.7856537487601492E-4</v>
      </c>
      <c r="AC1732" s="105">
        <f>IF($N$1560&gt;0,'Assumptions (Geo)'!AK$10*Model!$N$1560*AVERAGE('Assumptions (Geo)'!$J$2:$L$2)/10^9,0)</f>
        <v>1.8896241216315466E-4</v>
      </c>
      <c r="AD1732" s="105"/>
      <c r="AE1732" s="105"/>
      <c r="AF1732" s="105"/>
      <c r="AG1732" s="105"/>
      <c r="AH1732" s="105"/>
      <c r="AI1732" s="105"/>
      <c r="AJ1732" s="105"/>
      <c r="AK1732" s="105"/>
    </row>
    <row r="1733" spans="1:53" ht="15.75" hidden="1" customHeight="1" outlineLevel="1">
      <c r="A1733" s="428"/>
      <c r="B1733" s="99"/>
      <c r="C1733" s="105"/>
      <c r="D1733" s="105"/>
      <c r="E1733" s="105"/>
      <c r="F1733" s="105"/>
      <c r="G1733" s="105"/>
      <c r="H1733" s="105"/>
      <c r="I1733" s="105"/>
      <c r="J1733" s="105"/>
      <c r="K1733" s="105"/>
      <c r="L1733" s="105"/>
      <c r="M1733" s="105"/>
      <c r="N1733" s="105"/>
      <c r="O1733" s="105">
        <f>IF($O$1560&gt;0,'Assumptions (Geo)'!V$10*Model!$O$1560*AVERAGE('Assumptions (Geo)'!$K$2:$M$2)/10^9,0)</f>
        <v>1.3844506174137199E-2</v>
      </c>
      <c r="P1733" s="105">
        <f>IF($O$1560&gt;0,'Assumptions (Geo)'!W$10*Model!$O$1560*AVERAGE('Assumptions (Geo)'!$K$2:$M$2)/10^9,0)</f>
        <v>2.6304561730860682E-2</v>
      </c>
      <c r="Q1733" s="105">
        <f>IF($O$1560&gt;0,'Assumptions (Geo)'!X$10*Model!$O$1560*AVERAGE('Assumptions (Geo)'!$K$2:$M$2)/10^9,0)</f>
        <v>2.3674105557774616E-2</v>
      </c>
      <c r="R1733" s="105">
        <f>IF($O$1560&gt;0,'Assumptions (Geo)'!Y$10*Model!$O$1560*AVERAGE('Assumptions (Geo)'!$K$2:$M$2)/10^9,0)</f>
        <v>2.1320539508171286E-2</v>
      </c>
      <c r="S1733" s="105">
        <f>IF($O$1560&gt;0,'Assumptions (Geo)'!Z$10*Model!$O$1560*AVERAGE('Assumptions (Geo)'!$K$2:$M$2)/10^9,0)</f>
        <v>1.9188485557354161E-2</v>
      </c>
      <c r="T1733" s="105">
        <f>IF($O$1560&gt;0,'Assumptions (Geo)'!AA$10*Model!$O$1560*AVERAGE('Assumptions (Geo)'!$K$2:$M$2)/10^9,0)</f>
        <v>1.7250254692974951E-2</v>
      </c>
      <c r="U1733" s="105">
        <f>IF($O$1560&gt;0,'Assumptions (Geo)'!AB$10*Model!$O$1560*AVERAGE('Assumptions (Geo)'!$K$2:$M$2)/10^9,0)</f>
        <v>1.6336517285481893E-2</v>
      </c>
      <c r="V1733" s="105">
        <f>IF($O$1560&gt;0,'Assumptions (Geo)'!AC$10*Model!$O$1560*AVERAGE('Assumptions (Geo)'!$K$2:$M$2)/10^9,0)</f>
        <v>1.6336517285481893E-2</v>
      </c>
      <c r="W1733" s="105">
        <f>IF($O$1560&gt;0,'Assumptions (Geo)'!AD$10*Model!$O$1560*AVERAGE('Assumptions (Geo)'!$K$2:$M$2)/10^9,0)</f>
        <v>1.6364206297830169E-2</v>
      </c>
      <c r="X1733" s="105">
        <f>IF($O$1560&gt;0,'Assumptions (Geo)'!AE$10*Model!$O$1560*AVERAGE('Assumptions (Geo)'!$K$2:$M$2)/10^9,0)</f>
        <v>1.6336517285481893E-2</v>
      </c>
      <c r="Y1733" s="105">
        <f>IF($O$1560&gt;0,'Assumptions (Geo)'!AF$10*Model!$O$1560*AVERAGE('Assumptions (Geo)'!$K$2:$M$2)/10^9,0)</f>
        <v>1.6364206297830169E-2</v>
      </c>
      <c r="Z1733" s="105">
        <f>IF($O$1560&gt;0,'Assumptions (Geo)'!AG$10*Model!$O$1560*AVERAGE('Assumptions (Geo)'!$K$2:$M$2)/10^9,0)</f>
        <v>1.6336517285481893E-2</v>
      </c>
      <c r="AA1733" s="105">
        <f>IF($O$1560&gt;0,'Assumptions (Geo)'!AH$10*Model!$O$1560*AVERAGE('Assumptions (Geo)'!$K$2:$M$2)/10^9,0)</f>
        <v>1.6364206297830169E-2</v>
      </c>
      <c r="AB1733" s="105">
        <f>IF($O$1560&gt;0,'Assumptions (Geo)'!AI$10*Model!$O$1560*AVERAGE('Assumptions (Geo)'!$K$2:$M$2)/10^9,0)</f>
        <v>1.6336517285481893E-2</v>
      </c>
      <c r="AC1733" s="105">
        <f>IF($O$1560&gt;0,'Assumptions (Geo)'!AJ$10*Model!$O$1560*AVERAGE('Assumptions (Geo)'!$K$2:$M$2)/10^9,0)</f>
        <v>1.6364206297830169E-2</v>
      </c>
      <c r="AD1733" s="105">
        <f>IF($O$1560&gt;0,'Assumptions (Geo)'!AK$10*Model!$O$1560*AVERAGE('Assumptions (Geo)'!$K$2:$M$2)/10^9,0)</f>
        <v>8.1682586427409467E-3</v>
      </c>
      <c r="AE1733" s="105"/>
      <c r="AF1733" s="105"/>
      <c r="AG1733" s="105"/>
      <c r="AH1733" s="105"/>
      <c r="AI1733" s="105"/>
      <c r="AJ1733" s="105"/>
      <c r="AK1733" s="105"/>
    </row>
    <row r="1734" spans="1:53" ht="15.75" hidden="1" customHeight="1" outlineLevel="1">
      <c r="A1734" s="428"/>
      <c r="B1734" s="99"/>
      <c r="C1734" s="105"/>
      <c r="D1734" s="105"/>
      <c r="E1734" s="105"/>
      <c r="F1734" s="105"/>
      <c r="G1734" s="105"/>
      <c r="H1734" s="91"/>
      <c r="I1734" s="105"/>
      <c r="J1734" s="105"/>
      <c r="K1734" s="105"/>
      <c r="L1734" s="105"/>
      <c r="M1734" s="105"/>
      <c r="N1734" s="105"/>
      <c r="O1734" s="105"/>
      <c r="P1734" s="91">
        <f>IF($P$1560&gt;0,'Assumptions (Geo)'!V$10*Model!$P$1560*AVERAGE('Assumptions (Geo)'!$L$2:$N$2)/10^9,0)</f>
        <v>8.1120470188117827E-3</v>
      </c>
      <c r="Q1734" s="91">
        <f>IF($P$1560&gt;0,'Assumptions (Geo)'!W$10*Model!$P$1560*AVERAGE('Assumptions (Geo)'!$L$2:$N$2)/10^9,0)</f>
        <v>1.5412889335742386E-2</v>
      </c>
      <c r="R1734" s="91">
        <f>IF($P$1560&gt;0,'Assumptions (Geo)'!X$10*Model!$P$1560*AVERAGE('Assumptions (Geo)'!$L$2:$N$2)/10^9,0)</f>
        <v>1.3871600402168147E-2</v>
      </c>
      <c r="S1734" s="91">
        <f>IF($P$1560&gt;0,'Assumptions (Geo)'!Y$10*Model!$P$1560*AVERAGE('Assumptions (Geo)'!$L$2:$N$2)/10^9,0)</f>
        <v>1.2492552408970143E-2</v>
      </c>
      <c r="T1734" s="91">
        <f>IF($P$1560&gt;0,'Assumptions (Geo)'!Z$10*Model!$P$1560*AVERAGE('Assumptions (Geo)'!$L$2:$N$2)/10^9,0)</f>
        <v>1.1243297168073129E-2</v>
      </c>
      <c r="U1734" s="91">
        <f>IF($P$1560&gt;0,'Assumptions (Geo)'!AA$10*Model!$P$1560*AVERAGE('Assumptions (Geo)'!$L$2:$N$2)/10^9,0)</f>
        <v>1.0107610585439479E-2</v>
      </c>
      <c r="V1734" s="91">
        <f>IF($P$1560&gt;0,'Assumptions (Geo)'!AB$10*Model!$P$1560*AVERAGE('Assumptions (Geo)'!$L$2:$N$2)/10^9,0)</f>
        <v>9.5722154821979016E-3</v>
      </c>
      <c r="W1734" s="91">
        <f>IF($P$1560&gt;0,'Assumptions (Geo)'!AC$10*Model!$P$1560*AVERAGE('Assumptions (Geo)'!$L$2:$N$2)/10^9,0)</f>
        <v>9.5722154821979016E-3</v>
      </c>
      <c r="X1734" s="91">
        <f>IF($P$1560&gt;0,'Assumptions (Geo)'!AD$10*Model!$P$1560*AVERAGE('Assumptions (Geo)'!$L$2:$N$2)/10^9,0)</f>
        <v>9.588439576235527E-3</v>
      </c>
      <c r="Y1734" s="91">
        <f>IF($P$1560&gt;0,'Assumptions (Geo)'!AE$10*Model!$P$1560*AVERAGE('Assumptions (Geo)'!$L$2:$N$2)/10^9,0)</f>
        <v>9.5722154821979016E-3</v>
      </c>
      <c r="Z1734" s="91">
        <f>IF($P$1560&gt;0,'Assumptions (Geo)'!AF$10*Model!$P$1560*AVERAGE('Assumptions (Geo)'!$L$2:$N$2)/10^9,0)</f>
        <v>9.588439576235527E-3</v>
      </c>
      <c r="AA1734" s="91">
        <f>IF($P$1560&gt;0,'Assumptions (Geo)'!AG$10*Model!$P$1560*AVERAGE('Assumptions (Geo)'!$L$2:$N$2)/10^9,0)</f>
        <v>9.5722154821979016E-3</v>
      </c>
      <c r="AB1734" s="91">
        <f>IF($P$1560&gt;0,'Assumptions (Geo)'!AH$10*Model!$P$1560*AVERAGE('Assumptions (Geo)'!$L$2:$N$2)/10^9,0)</f>
        <v>9.588439576235527E-3</v>
      </c>
      <c r="AC1734" s="91">
        <f>IF($P$1560&gt;0,'Assumptions (Geo)'!AI$10*Model!$P$1560*AVERAGE('Assumptions (Geo)'!$L$2:$N$2)/10^9,0)</f>
        <v>9.5722154821979016E-3</v>
      </c>
      <c r="AD1734" s="91">
        <f>IF($P$1560&gt;0,'Assumptions (Geo)'!AJ$10*Model!$P$1560*AVERAGE('Assumptions (Geo)'!$L$2:$N$2)/10^9,0)</f>
        <v>9.588439576235527E-3</v>
      </c>
      <c r="AE1734" s="91">
        <f>IF($P$1560&gt;0,'Assumptions (Geo)'!AK$10*Model!$P$1560*AVERAGE('Assumptions (Geo)'!$L$2:$N$2)/10^9,0)</f>
        <v>4.7861077410989508E-3</v>
      </c>
      <c r="AF1734" s="91"/>
      <c r="AG1734" s="91"/>
      <c r="AH1734" s="91"/>
      <c r="AI1734" s="91"/>
      <c r="AJ1734" s="91"/>
      <c r="AK1734" s="91"/>
    </row>
    <row r="1735" spans="1:53" ht="15.75" hidden="1" customHeight="1" outlineLevel="1">
      <c r="A1735" s="428"/>
      <c r="B1735" s="99"/>
      <c r="C1735" s="105"/>
      <c r="D1735" s="105"/>
      <c r="E1735" s="105"/>
      <c r="F1735" s="105"/>
      <c r="G1735" s="105"/>
      <c r="H1735" s="105"/>
      <c r="I1735" s="105"/>
      <c r="J1735" s="105"/>
      <c r="K1735" s="105"/>
      <c r="L1735" s="105"/>
      <c r="M1735" s="105"/>
      <c r="N1735" s="105"/>
      <c r="O1735" s="105"/>
      <c r="P1735" s="171"/>
      <c r="Q1735" s="105">
        <f>IF($Q$1560&gt;0,'Assumptions (Geo)'!V$10*Model!$Q$1560*AVERAGE('Assumptions (Geo)'!$L$2:$O$2)/10^9,0)</f>
        <v>1.3346683226876442E-3</v>
      </c>
      <c r="R1735" s="105">
        <f>IF($Q$1560&gt;0,'Assumptions (Geo)'!W$10*Model!$Q$1560*AVERAGE('Assumptions (Geo)'!$L$2:$O$2)/10^9,0)</f>
        <v>2.535869813106524E-3</v>
      </c>
      <c r="S1735" s="105">
        <f>IF($Q$1560&gt;0,'Assumptions (Geo)'!X$10*Model!$Q$1560*AVERAGE('Assumptions (Geo)'!$L$2:$O$2)/10^9,0)</f>
        <v>2.2822828317958718E-3</v>
      </c>
      <c r="T1735" s="105">
        <f>IF($Q$1560&gt;0,'Assumptions (Geo)'!Y$10*Model!$Q$1560*AVERAGE('Assumptions (Geo)'!$L$2:$O$2)/10^9,0)</f>
        <v>2.0553892169389719E-3</v>
      </c>
      <c r="U1735" s="105">
        <f>IF($Q$1560&gt;0,'Assumptions (Geo)'!Z$10*Model!$Q$1560*AVERAGE('Assumptions (Geo)'!$L$2:$O$2)/10^9,0)</f>
        <v>1.8498502952450748E-3</v>
      </c>
      <c r="V1735" s="105">
        <f>IF($Q$1560&gt;0,'Assumptions (Geo)'!AA$10*Model!$Q$1560*AVERAGE('Assumptions (Geo)'!$L$2:$O$2)/10^9,0)</f>
        <v>1.6629967300688046E-3</v>
      </c>
      <c r="W1735" s="105">
        <f>IF($Q$1560&gt;0,'Assumptions (Geo)'!AB$10*Model!$Q$1560*AVERAGE('Assumptions (Geo)'!$L$2:$O$2)/10^9,0)</f>
        <v>1.57490862077142E-3</v>
      </c>
      <c r="X1735" s="105">
        <f>IF($Q$1560&gt;0,'Assumptions (Geo)'!AC$10*Model!$Q$1560*AVERAGE('Assumptions (Geo)'!$L$2:$O$2)/10^9,0)</f>
        <v>1.57490862077142E-3</v>
      </c>
      <c r="Y1735" s="105">
        <f>IF($Q$1560&gt;0,'Assumptions (Geo)'!AD$10*Model!$Q$1560*AVERAGE('Assumptions (Geo)'!$L$2:$O$2)/10^9,0)</f>
        <v>1.5775779574167953E-3</v>
      </c>
      <c r="Z1735" s="105">
        <f>IF($Q$1560&gt;0,'Assumptions (Geo)'!AE$10*Model!$Q$1560*AVERAGE('Assumptions (Geo)'!$L$2:$O$2)/10^9,0)</f>
        <v>1.57490862077142E-3</v>
      </c>
      <c r="AA1735" s="105">
        <f>IF($Q$1560&gt;0,'Assumptions (Geo)'!AF$10*Model!$Q$1560*AVERAGE('Assumptions (Geo)'!$L$2:$O$2)/10^9,0)</f>
        <v>1.5775779574167953E-3</v>
      </c>
      <c r="AB1735" s="105">
        <f>IF($Q$1560&gt;0,'Assumptions (Geo)'!AG$10*Model!$Q$1560*AVERAGE('Assumptions (Geo)'!$L$2:$O$2)/10^9,0)</f>
        <v>1.57490862077142E-3</v>
      </c>
      <c r="AC1735" s="105">
        <f>IF($Q$1560&gt;0,'Assumptions (Geo)'!AH$10*Model!$Q$1560*AVERAGE('Assumptions (Geo)'!$L$2:$O$2)/10^9,0)</f>
        <v>1.5775779574167953E-3</v>
      </c>
      <c r="AD1735" s="105">
        <f>IF($Q$1560&gt;0,'Assumptions (Geo)'!AI$10*Model!$Q$1560*AVERAGE('Assumptions (Geo)'!$L$2:$O$2)/10^9,0)</f>
        <v>1.57490862077142E-3</v>
      </c>
      <c r="AE1735" s="105">
        <f>IF($Q$1560&gt;0,'Assumptions (Geo)'!AJ$10*Model!$Q$1560*AVERAGE('Assumptions (Geo)'!$L$2:$O$2)/10^9,0)</f>
        <v>1.5775779574167953E-3</v>
      </c>
      <c r="AF1735" s="105">
        <f>IF($Q$1560&gt;0,'Assumptions (Geo)'!AK$10*Model!$Q$1560*AVERAGE('Assumptions (Geo)'!$L$2:$O$2)/10^9,0)</f>
        <v>7.8745431038571001E-4</v>
      </c>
      <c r="AG1735" s="105"/>
      <c r="AH1735" s="105"/>
      <c r="AI1735" s="105"/>
      <c r="AJ1735" s="105"/>
      <c r="AK1735" s="105"/>
    </row>
    <row r="1736" spans="1:53" ht="15.75" hidden="1" customHeight="1" outlineLevel="1">
      <c r="A1736" s="428"/>
      <c r="B1736" s="99"/>
      <c r="C1736" s="105"/>
      <c r="D1736" s="105"/>
      <c r="E1736" s="105"/>
      <c r="F1736" s="105"/>
      <c r="G1736" s="105"/>
      <c r="H1736" s="105"/>
      <c r="I1736" s="105"/>
      <c r="J1736" s="105"/>
      <c r="K1736" s="105"/>
      <c r="L1736" s="105"/>
      <c r="M1736" s="105"/>
      <c r="N1736" s="105"/>
      <c r="O1736" s="105"/>
      <c r="P1736" s="171"/>
      <c r="Q1736" s="105"/>
      <c r="R1736" s="91">
        <f>IF($R$1560&gt;0,'Assumptions (Geo)'!V$10*Model!$R$1560*AVERAGE('Assumptions (Geo)'!$M$2:$P$2)/10^9,0)</f>
        <v>5.682205311198874E-3</v>
      </c>
      <c r="S1736" s="91">
        <f>IF($R$1560&gt;0,'Assumptions (Geo)'!W$10*Model!$R$1560*AVERAGE('Assumptions (Geo)'!$M$2:$P$2)/10^9,0)</f>
        <v>1.0796190091277863E-2</v>
      </c>
      <c r="T1736" s="91">
        <f>IF($R$1560&gt;0,'Assumptions (Geo)'!X$10*Model!$R$1560*AVERAGE('Assumptions (Geo)'!$M$2:$P$2)/10^9,0)</f>
        <v>9.7165710821500734E-3</v>
      </c>
      <c r="U1736" s="91">
        <f>IF($R$1560&gt;0,'Assumptions (Geo)'!Y$10*Model!$R$1560*AVERAGE('Assumptions (Geo)'!$M$2:$P$2)/10^9,0)</f>
        <v>8.7505961792462648E-3</v>
      </c>
      <c r="V1736" s="91">
        <f>IF($R$1560&gt;0,'Assumptions (Geo)'!Z$10*Model!$R$1560*AVERAGE('Assumptions (Geo)'!$M$2:$P$2)/10^9,0)</f>
        <v>7.8755365613216392E-3</v>
      </c>
      <c r="W1736" s="91">
        <f>IF($R$1560&gt;0,'Assumptions (Geo)'!AA$10*Model!$R$1560*AVERAGE('Assumptions (Geo)'!$M$2:$P$2)/10^9,0)</f>
        <v>7.080027817753797E-3</v>
      </c>
      <c r="X1736" s="91">
        <f>IF($R$1560&gt;0,'Assumptions (Geo)'!AB$10*Model!$R$1560*AVERAGE('Assumptions (Geo)'!$M$2:$P$2)/10^9,0)</f>
        <v>6.7050022672146704E-3</v>
      </c>
      <c r="Y1736" s="91">
        <f>IF($R$1560&gt;0,'Assumptions (Geo)'!AC$10*Model!$R$1560*AVERAGE('Assumptions (Geo)'!$M$2:$P$2)/10^9,0)</f>
        <v>6.7050022672146704E-3</v>
      </c>
      <c r="Z1736" s="91">
        <f>IF($R$1560&gt;0,'Assumptions (Geo)'!AD$10*Model!$R$1560*AVERAGE('Assumptions (Geo)'!$M$2:$P$2)/10^9,0)</f>
        <v>6.7163666778370691E-3</v>
      </c>
      <c r="AA1736" s="91">
        <f>IF($R$1560&gt;0,'Assumptions (Geo)'!AE$10*Model!$R$1560*AVERAGE('Assumptions (Geo)'!$M$2:$P$2)/10^9,0)</f>
        <v>6.7050022672146704E-3</v>
      </c>
      <c r="AB1736" s="91">
        <f>IF($R$1560&gt;0,'Assumptions (Geo)'!AF$10*Model!$R$1560*AVERAGE('Assumptions (Geo)'!$M$2:$P$2)/10^9,0)</f>
        <v>6.7163666778370691E-3</v>
      </c>
      <c r="AC1736" s="91">
        <f>IF($R$1560&gt;0,'Assumptions (Geo)'!AG$10*Model!$R$1560*AVERAGE('Assumptions (Geo)'!$M$2:$P$2)/10^9,0)</f>
        <v>6.7050022672146704E-3</v>
      </c>
      <c r="AD1736" s="91">
        <f>IF($R$1560&gt;0,'Assumptions (Geo)'!AH$10*Model!$R$1560*AVERAGE('Assumptions (Geo)'!$M$2:$P$2)/10^9,0)</f>
        <v>6.7163666778370691E-3</v>
      </c>
      <c r="AE1736" s="91">
        <f>IF($R$1560&gt;0,'Assumptions (Geo)'!AI$10*Model!$R$1560*AVERAGE('Assumptions (Geo)'!$M$2:$P$2)/10^9,0)</f>
        <v>6.7050022672146704E-3</v>
      </c>
      <c r="AF1736" s="91">
        <f>IF($R$1560&gt;0,'Assumptions (Geo)'!AJ$10*Model!$R$1560*AVERAGE('Assumptions (Geo)'!$M$2:$P$2)/10^9,0)</f>
        <v>6.7163666778370691E-3</v>
      </c>
      <c r="AG1736" s="91">
        <f>IF($R$1560&gt;0,'Assumptions (Geo)'!AK$10*Model!$R$1560*AVERAGE('Assumptions (Geo)'!$M$2:$P$2)/10^9,0)</f>
        <v>3.3525011336073352E-3</v>
      </c>
      <c r="AH1736" s="91"/>
      <c r="AI1736" s="91"/>
      <c r="AJ1736" s="91"/>
      <c r="AK1736" s="91"/>
    </row>
    <row r="1737" spans="1:53" ht="15.75" hidden="1" customHeight="1" outlineLevel="1">
      <c r="A1737" s="428"/>
      <c r="B1737" s="99"/>
      <c r="C1737" s="105"/>
      <c r="D1737" s="105"/>
      <c r="E1737" s="105"/>
      <c r="F1737" s="105"/>
      <c r="G1737" s="105"/>
      <c r="H1737" s="105"/>
      <c r="I1737" s="105"/>
      <c r="J1737" s="105"/>
      <c r="K1737" s="105"/>
      <c r="L1737" s="105"/>
      <c r="M1737" s="105"/>
      <c r="N1737" s="105"/>
      <c r="O1737" s="105"/>
      <c r="P1737" s="171"/>
      <c r="Q1737" s="105"/>
      <c r="R1737" s="91"/>
      <c r="S1737" s="105">
        <f>IF($S$1560&gt;0,'Assumptions (Geo)'!V$10*Model!$S$1560*AVERAGE('Assumptions (Geo)'!$O$2:$Q$2)/10^9,0)</f>
        <v>0</v>
      </c>
      <c r="T1737" s="105">
        <f>IF($S$1560&gt;0,'Assumptions (Geo)'!W$10*Model!$S$1560*AVERAGE('Assumptions (Geo)'!$O$2:$Q$2)/10^9,0)</f>
        <v>0</v>
      </c>
      <c r="U1737" s="105">
        <f>IF($S$1560&gt;0,'Assumptions (Geo)'!X$10*Model!$S$1560*AVERAGE('Assumptions (Geo)'!$O$2:$Q$2)/10^9,0)</f>
        <v>0</v>
      </c>
      <c r="V1737" s="105">
        <f>IF($S$1560&gt;0,'Assumptions (Geo)'!Y$10*Model!$S$1560*AVERAGE('Assumptions (Geo)'!$O$2:$Q$2)/10^9,0)</f>
        <v>0</v>
      </c>
      <c r="W1737" s="105">
        <f>IF($S$1560&gt;0,'Assumptions (Geo)'!Z$10*Model!$S$1560*AVERAGE('Assumptions (Geo)'!$O$2:$Q$2)/10^9,0)</f>
        <v>0</v>
      </c>
      <c r="X1737" s="105">
        <f>IF($S$1560&gt;0,'Assumptions (Geo)'!AA$10*Model!$S$1560*AVERAGE('Assumptions (Geo)'!$O$2:$Q$2)/10^9,0)</f>
        <v>0</v>
      </c>
      <c r="Y1737" s="105">
        <f>IF($S$1560&gt;0,'Assumptions (Geo)'!AB$10*Model!$S$1560*AVERAGE('Assumptions (Geo)'!$O$2:$Q$2)/10^9,0)</f>
        <v>0</v>
      </c>
      <c r="Z1737" s="105">
        <f>IF($S$1560&gt;0,'Assumptions (Geo)'!AC$10*Model!$S$1560*AVERAGE('Assumptions (Geo)'!$O$2:$Q$2)/10^9,0)</f>
        <v>0</v>
      </c>
      <c r="AA1737" s="105">
        <f>IF($S$1560&gt;0,'Assumptions (Geo)'!AD$10*Model!$S$1560*AVERAGE('Assumptions (Geo)'!$O$2:$Q$2)/10^9,0)</f>
        <v>0</v>
      </c>
      <c r="AB1737" s="105">
        <f>IF($S$1560&gt;0,'Assumptions (Geo)'!AE$10*Model!$S$1560*AVERAGE('Assumptions (Geo)'!$O$2:$Q$2)/10^9,0)</f>
        <v>0</v>
      </c>
      <c r="AC1737" s="105">
        <f>IF($S$1560&gt;0,'Assumptions (Geo)'!AF$10*Model!$S$1560*AVERAGE('Assumptions (Geo)'!$O$2:$Q$2)/10^9,0)</f>
        <v>0</v>
      </c>
      <c r="AD1737" s="105">
        <f>IF($S$1560&gt;0,'Assumptions (Geo)'!AG$10*Model!$S$1560*AVERAGE('Assumptions (Geo)'!$O$2:$Q$2)/10^9,0)</f>
        <v>0</v>
      </c>
      <c r="AE1737" s="105">
        <f>IF($S$1560&gt;0,'Assumptions (Geo)'!AH$10*Model!$S$1560*AVERAGE('Assumptions (Geo)'!$O$2:$Q$2)/10^9,0)</f>
        <v>0</v>
      </c>
      <c r="AF1737" s="105">
        <f>IF($S$1560&gt;0,'Assumptions (Geo)'!AI$10*Model!$S$1560*AVERAGE('Assumptions (Geo)'!$O$2:$Q$2)/10^9,0)</f>
        <v>0</v>
      </c>
      <c r="AG1737" s="105">
        <f>IF($S$1560&gt;0,'Assumptions (Geo)'!AJ$10*Model!$S$1560*AVERAGE('Assumptions (Geo)'!$O$2:$Q$2)/10^9,0)</f>
        <v>0</v>
      </c>
      <c r="AH1737" s="105">
        <f>IF($S$1560&gt;0,'Assumptions (Geo)'!AK$10*Model!$S$1560*AVERAGE('Assumptions (Geo)'!$O$2:$Q$2)/10^9,0)</f>
        <v>0</v>
      </c>
      <c r="AI1737" s="105"/>
      <c r="AJ1737" s="105"/>
      <c r="AK1737" s="105"/>
    </row>
    <row r="1738" spans="1:53" ht="15.75" hidden="1" customHeight="1" outlineLevel="1">
      <c r="A1738" s="428"/>
      <c r="B1738" s="99"/>
      <c r="C1738" s="105"/>
      <c r="D1738" s="105"/>
      <c r="E1738" s="105"/>
      <c r="F1738" s="105"/>
      <c r="G1738" s="105"/>
      <c r="H1738" s="105"/>
      <c r="I1738" s="105"/>
      <c r="J1738" s="105"/>
      <c r="K1738" s="105"/>
      <c r="L1738" s="105"/>
      <c r="M1738" s="105"/>
      <c r="N1738" s="105"/>
      <c r="O1738" s="105"/>
      <c r="P1738" s="171"/>
      <c r="Q1738" s="105"/>
      <c r="R1738" s="91"/>
      <c r="S1738" s="91"/>
      <c r="T1738" s="105">
        <f>IF($T$1560&gt;0,'Assumptions (Geo)'!V$10*Model!$T$1560*AVERAGE('Assumptions (Geo)'!$P$2:$R$2)/10^9,0)</f>
        <v>4.6018045514727747E-3</v>
      </c>
      <c r="U1738" s="105">
        <f>IF($T$1560&gt;0,'Assumptions (Geo)'!W$10*Model!$T$1560*AVERAGE('Assumptions (Geo)'!$P$2:$R$2)/10^9,0)</f>
        <v>8.7434286477982726E-3</v>
      </c>
      <c r="V1738" s="105">
        <f>IF($T$1560&gt;0,'Assumptions (Geo)'!X$10*Model!$T$1560*AVERAGE('Assumptions (Geo)'!$P$2:$R$2)/10^9,0)</f>
        <v>7.8690857830184448E-3</v>
      </c>
      <c r="W1738" s="105">
        <f>IF($T$1560&gt;0,'Assumptions (Geo)'!Y$10*Model!$T$1560*AVERAGE('Assumptions (Geo)'!$P$2:$R$2)/10^9,0)</f>
        <v>7.0867790092680721E-3</v>
      </c>
      <c r="X1738" s="105">
        <f>IF($T$1560&gt;0,'Assumptions (Geo)'!Z$10*Model!$T$1560*AVERAGE('Assumptions (Geo)'!$P$2:$R$2)/10^9,0)</f>
        <v>6.3781011083412654E-3</v>
      </c>
      <c r="Y1738" s="105">
        <f>IF($T$1560&gt;0,'Assumptions (Geo)'!AA$10*Model!$T$1560*AVERAGE('Assumptions (Geo)'!$P$2:$R$2)/10^9,0)</f>
        <v>5.7338484711350769E-3</v>
      </c>
      <c r="Z1738" s="105">
        <f>IF($T$1560&gt;0,'Assumptions (Geo)'!AB$10*Model!$T$1560*AVERAGE('Assumptions (Geo)'!$P$2:$R$2)/10^9,0)</f>
        <v>5.4301293707378741E-3</v>
      </c>
      <c r="AA1738" s="105">
        <f>IF($T$1560&gt;0,'Assumptions (Geo)'!AC$10*Model!$T$1560*AVERAGE('Assumptions (Geo)'!$P$2:$R$2)/10^9,0)</f>
        <v>5.4301293707378741E-3</v>
      </c>
      <c r="AB1738" s="105">
        <f>IF($T$1560&gt;0,'Assumptions (Geo)'!AD$10*Model!$T$1560*AVERAGE('Assumptions (Geo)'!$P$2:$R$2)/10^9,0)</f>
        <v>5.4393329798408194E-3</v>
      </c>
      <c r="AC1738" s="105">
        <f>IF($T$1560&gt;0,'Assumptions (Geo)'!AE$10*Model!$T$1560*AVERAGE('Assumptions (Geo)'!$P$2:$R$2)/10^9,0)</f>
        <v>5.4301293707378741E-3</v>
      </c>
      <c r="AD1738" s="105">
        <f>IF($T$1560&gt;0,'Assumptions (Geo)'!AF$10*Model!$T$1560*AVERAGE('Assumptions (Geo)'!$P$2:$R$2)/10^9,0)</f>
        <v>5.4393329798408194E-3</v>
      </c>
      <c r="AE1738" s="105">
        <f>IF($T$1560&gt;0,'Assumptions (Geo)'!AG$10*Model!$T$1560*AVERAGE('Assumptions (Geo)'!$P$2:$R$2)/10^9,0)</f>
        <v>5.4301293707378741E-3</v>
      </c>
      <c r="AF1738" s="105">
        <f>IF($T$1560&gt;0,'Assumptions (Geo)'!AH$10*Model!$T$1560*AVERAGE('Assumptions (Geo)'!$P$2:$R$2)/10^9,0)</f>
        <v>5.4393329798408194E-3</v>
      </c>
      <c r="AG1738" s="105">
        <f>IF($T$1560&gt;0,'Assumptions (Geo)'!AI$10*Model!$T$1560*AVERAGE('Assumptions (Geo)'!$P$2:$R$2)/10^9,0)</f>
        <v>5.4301293707378741E-3</v>
      </c>
      <c r="AH1738" s="105">
        <f>IF($T$1560&gt;0,'Assumptions (Geo)'!AJ$10*Model!$T$1560*AVERAGE('Assumptions (Geo)'!$P$2:$R$2)/10^9,0)</f>
        <v>5.4393329798408194E-3</v>
      </c>
      <c r="AI1738" s="105">
        <f>IF($T$1560&gt;0,'Assumptions (Geo)'!AK$10*Model!$T$1560*AVERAGE('Assumptions (Geo)'!$P$2:$R$2)/10^9,0)</f>
        <v>2.7150646853689371E-3</v>
      </c>
      <c r="AJ1738" s="105"/>
      <c r="AK1738" s="105"/>
    </row>
    <row r="1739" spans="1:53" ht="15.75" hidden="1" customHeight="1" outlineLevel="1">
      <c r="A1739" s="428"/>
      <c r="B1739" s="99"/>
      <c r="C1739" s="105"/>
      <c r="D1739" s="105"/>
      <c r="E1739" s="105"/>
      <c r="F1739" s="105"/>
      <c r="G1739" s="105"/>
      <c r="H1739" s="105"/>
      <c r="I1739" s="105"/>
      <c r="J1739" s="105"/>
      <c r="K1739" s="105"/>
      <c r="L1739" s="105"/>
      <c r="M1739" s="105"/>
      <c r="N1739" s="105"/>
      <c r="O1739" s="105"/>
      <c r="P1739" s="171"/>
      <c r="Q1739" s="105"/>
      <c r="R1739" s="91"/>
      <c r="S1739" s="91"/>
      <c r="T1739" s="91"/>
      <c r="U1739" s="105">
        <f>IF($U$1560&gt;0,'Assumptions (Geo)'!V$10*Model!$U$1560*AVERAGE('Assumptions (Geo)'!$Q$2:$S$2)/10^9,0)</f>
        <v>2.0297689264874514E-3</v>
      </c>
      <c r="V1739" s="105">
        <f>IF($U$1560&gt;0,'Assumptions (Geo)'!W$10*Model!$U$1560*AVERAGE('Assumptions (Geo)'!$Q$2:$S$2)/10^9,0)</f>
        <v>3.8565609603261569E-3</v>
      </c>
      <c r="W1739" s="105">
        <f>IF($U$1560&gt;0,'Assumptions (Geo)'!X$10*Model!$U$1560*AVERAGE('Assumptions (Geo)'!$Q$2:$S$2)/10^9,0)</f>
        <v>3.4709048642935416E-3</v>
      </c>
      <c r="X1739" s="105">
        <f>IF($U$1560&gt;0,'Assumptions (Geo)'!Y$10*Model!$U$1560*AVERAGE('Assumptions (Geo)'!$Q$2:$S$2)/10^9,0)</f>
        <v>3.1258441467906743E-3</v>
      </c>
      <c r="Y1739" s="105">
        <f>IF($U$1560&gt;0,'Assumptions (Geo)'!Z$10*Model!$U$1560*AVERAGE('Assumptions (Geo)'!$Q$2:$S$2)/10^9,0)</f>
        <v>2.8132597321116073E-3</v>
      </c>
      <c r="Z1739" s="105">
        <f>IF($U$1560&gt;0,'Assumptions (Geo)'!AA$10*Model!$U$1560*AVERAGE('Assumptions (Geo)'!$Q$2:$S$2)/10^9,0)</f>
        <v>2.5290920824033642E-3</v>
      </c>
      <c r="AA1739" s="105">
        <f>IF($U$1560&gt;0,'Assumptions (Geo)'!AB$10*Model!$U$1560*AVERAGE('Assumptions (Geo)'!$Q$2:$S$2)/10^9,0)</f>
        <v>2.3951273332551925E-3</v>
      </c>
      <c r="AB1739" s="105">
        <f>IF($U$1560&gt;0,'Assumptions (Geo)'!AC$10*Model!$U$1560*AVERAGE('Assumptions (Geo)'!$Q$2:$S$2)/10^9,0)</f>
        <v>2.3951273332551925E-3</v>
      </c>
      <c r="AC1739" s="105">
        <f>IF($U$1560&gt;0,'Assumptions (Geo)'!AD$10*Model!$U$1560*AVERAGE('Assumptions (Geo)'!$Q$2:$S$2)/10^9,0)</f>
        <v>2.3991868711081671E-3</v>
      </c>
      <c r="AD1739" s="105">
        <f>IF($U$1560&gt;0,'Assumptions (Geo)'!AE$10*Model!$U$1560*AVERAGE('Assumptions (Geo)'!$Q$2:$S$2)/10^9,0)</f>
        <v>2.3951273332551925E-3</v>
      </c>
      <c r="AE1739" s="105">
        <f>IF($U$1560&gt;0,'Assumptions (Geo)'!AF$10*Model!$U$1560*AVERAGE('Assumptions (Geo)'!$Q$2:$S$2)/10^9,0)</f>
        <v>2.3991868711081671E-3</v>
      </c>
      <c r="AF1739" s="105">
        <f>IF($U$1560&gt;0,'Assumptions (Geo)'!AG$10*Model!$U$1560*AVERAGE('Assumptions (Geo)'!$Q$2:$S$2)/10^9,0)</f>
        <v>2.3951273332551925E-3</v>
      </c>
      <c r="AG1739" s="105">
        <f>IF($U$1560&gt;0,'Assumptions (Geo)'!AH$10*Model!$U$1560*AVERAGE('Assumptions (Geo)'!$Q$2:$S$2)/10^9,0)</f>
        <v>2.3991868711081671E-3</v>
      </c>
      <c r="AH1739" s="105">
        <f>IF($U$1560&gt;0,'Assumptions (Geo)'!AI$10*Model!$U$1560*AVERAGE('Assumptions (Geo)'!$Q$2:$S$2)/10^9,0)</f>
        <v>2.3951273332551925E-3</v>
      </c>
      <c r="AI1739" s="105">
        <f>IF($U$1560&gt;0,'Assumptions (Geo)'!AJ$10*Model!$U$1560*AVERAGE('Assumptions (Geo)'!$Q$2:$S$2)/10^9,0)</f>
        <v>2.3991868711081671E-3</v>
      </c>
      <c r="AJ1739" s="105">
        <f>IF($U$1560&gt;0,'Assumptions (Geo)'!AK$10*Model!$U$1560*AVERAGE('Assumptions (Geo)'!$Q$2:$S$2)/10^9,0)</f>
        <v>1.1975636666275962E-3</v>
      </c>
      <c r="AK1739" s="105"/>
    </row>
    <row r="1740" spans="1:53" ht="15.75" hidden="1" customHeight="1" outlineLevel="1">
      <c r="A1740" s="428"/>
      <c r="B1740" s="99"/>
      <c r="C1740" s="105"/>
      <c r="D1740" s="105"/>
      <c r="E1740" s="105"/>
      <c r="F1740" s="105"/>
      <c r="G1740" s="105"/>
      <c r="H1740" s="105"/>
      <c r="I1740" s="105"/>
      <c r="J1740" s="105"/>
      <c r="K1740" s="105"/>
      <c r="L1740" s="105"/>
      <c r="M1740" s="105"/>
      <c r="N1740" s="105"/>
      <c r="O1740" s="105"/>
      <c r="P1740" s="171"/>
      <c r="Q1740" s="105"/>
      <c r="R1740" s="91"/>
      <c r="S1740" s="91"/>
      <c r="T1740" s="91"/>
      <c r="U1740" s="105"/>
      <c r="V1740" s="105">
        <f>IF($V$1560&gt;0,'Assumptions (Geo)'!V$10*Model!$V$1560*AVERAGE('Assumptions (Geo)'!$R$2:$T$2)/10^9,0)</f>
        <v>9.316639372577401E-3</v>
      </c>
      <c r="W1740" s="105">
        <f>IF($V$1560&gt;0,'Assumptions (Geo)'!W$10*Model!$V$1560*AVERAGE('Assumptions (Geo)'!$R$2:$T$2)/10^9,0)</f>
        <v>1.7701614807897063E-2</v>
      </c>
      <c r="X1740" s="105">
        <f>IF($V$1560&gt;0,'Assumptions (Geo)'!X$10*Model!$V$1560*AVERAGE('Assumptions (Geo)'!$R$2:$T$2)/10^9,0)</f>
        <v>1.5931453327107357E-2</v>
      </c>
      <c r="Y1740" s="105">
        <f>IF($V$1560&gt;0,'Assumptions (Geo)'!Y$10*Model!$V$1560*AVERAGE('Assumptions (Geo)'!$R$2:$T$2)/10^9,0)</f>
        <v>1.4347624633769195E-2</v>
      </c>
      <c r="Z1740" s="105">
        <f>IF($V$1560&gt;0,'Assumptions (Geo)'!Z$10*Model!$V$1560*AVERAGE('Assumptions (Geo)'!$R$2:$T$2)/10^9,0)</f>
        <v>1.2912862170392279E-2</v>
      </c>
      <c r="AA1740" s="105">
        <f>IF($V$1560&gt;0,'Assumptions (Geo)'!AA$10*Model!$V$1560*AVERAGE('Assumptions (Geo)'!$R$2:$T$2)/10^9,0)</f>
        <v>1.1608532658231441E-2</v>
      </c>
      <c r="AB1740" s="105">
        <f>IF($V$1560&gt;0,'Assumptions (Geo)'!AB$10*Model!$V$1560*AVERAGE('Assumptions (Geo)'!$R$2:$T$2)/10^9,0)</f>
        <v>1.0993634459641331E-2</v>
      </c>
      <c r="AC1740" s="105">
        <f>IF($V$1560&gt;0,'Assumptions (Geo)'!AC$10*Model!$V$1560*AVERAGE('Assumptions (Geo)'!$R$2:$T$2)/10^9,0)</f>
        <v>1.0993634459641331E-2</v>
      </c>
      <c r="AD1740" s="105">
        <f>IF($V$1560&gt;0,'Assumptions (Geo)'!AD$10*Model!$V$1560*AVERAGE('Assumptions (Geo)'!$R$2:$T$2)/10^9,0)</f>
        <v>1.1012267738386488E-2</v>
      </c>
      <c r="AE1740" s="105">
        <f>IF($V$1560&gt;0,'Assumptions (Geo)'!AE$10*Model!$V$1560*AVERAGE('Assumptions (Geo)'!$R$2:$T$2)/10^9,0)</f>
        <v>1.0993634459641331E-2</v>
      </c>
      <c r="AF1740" s="105">
        <f>IF($V$1560&gt;0,'Assumptions (Geo)'!AF$10*Model!$V$1560*AVERAGE('Assumptions (Geo)'!$R$2:$T$2)/10^9,0)</f>
        <v>1.1012267738386488E-2</v>
      </c>
      <c r="AG1740" s="105">
        <f>IF($V$1560&gt;0,'Assumptions (Geo)'!AG$10*Model!$V$1560*AVERAGE('Assumptions (Geo)'!$R$2:$T$2)/10^9,0)</f>
        <v>1.0993634459641331E-2</v>
      </c>
      <c r="AH1740" s="105">
        <f>IF($V$1560&gt;0,'Assumptions (Geo)'!AH$10*Model!$V$1560*AVERAGE('Assumptions (Geo)'!$R$2:$T$2)/10^9,0)</f>
        <v>1.1012267738386488E-2</v>
      </c>
      <c r="AI1740" s="105">
        <f>IF($V$1560&gt;0,'Assumptions (Geo)'!AI$10*Model!$V$1560*AVERAGE('Assumptions (Geo)'!$R$2:$T$2)/10^9,0)</f>
        <v>1.0993634459641331E-2</v>
      </c>
      <c r="AJ1740" s="105">
        <f>IF($V$1560&gt;0,'Assumptions (Geo)'!AJ$10*Model!$V$1560*AVERAGE('Assumptions (Geo)'!$R$2:$T$2)/10^9,0)</f>
        <v>1.1012267738386488E-2</v>
      </c>
      <c r="AK1740" s="105">
        <f>IF($V$1560&gt;0,'Assumptions (Geo)'!AK$10*Model!$V$1560*AVERAGE('Assumptions (Geo)'!$R$2:$T$2)/10^9,0)</f>
        <v>5.4968172298206653E-3</v>
      </c>
    </row>
    <row r="1741" spans="1:53" ht="15.75" hidden="1" customHeight="1" outlineLevel="1">
      <c r="A1741" s="428"/>
      <c r="B1741" s="99"/>
      <c r="C1741" s="99"/>
      <c r="D1741" s="99"/>
      <c r="E1741" s="99"/>
      <c r="F1741" s="99"/>
      <c r="G1741" s="99"/>
      <c r="H1741" s="99"/>
      <c r="I1741" s="99"/>
      <c r="J1741" s="99"/>
      <c r="K1741" s="99"/>
      <c r="L1741" s="99"/>
      <c r="M1741" s="99"/>
      <c r="N1741" s="99"/>
      <c r="O1741" s="99"/>
      <c r="P1741" s="99"/>
      <c r="Q1741" s="99"/>
      <c r="R1741" s="99"/>
      <c r="S1741" s="99"/>
      <c r="T1741" s="99"/>
      <c r="U1741" s="99"/>
      <c r="V1741" s="99"/>
      <c r="W1741" s="105">
        <f>IF($W$1560&gt;0,'Assumptions (Geo)'!V10*Model!$W$1560*AVERAGE('Assumptions (Geo)'!$S$2:$U$2)/10^9,0)</f>
        <v>0</v>
      </c>
      <c r="X1741" s="105">
        <f>IF($W$1560&gt;0,'Assumptions (Geo)'!W10*Model!$W$1560*AVERAGE('Assumptions (Geo)'!$S$2:$U$2)/10^9,0)</f>
        <v>0</v>
      </c>
      <c r="Y1741" s="105">
        <f>IF($W$1560&gt;0,'Assumptions (Geo)'!X10*Model!$W$1560*AVERAGE('Assumptions (Geo)'!$S$2:$U$2)/10^9,0)</f>
        <v>0</v>
      </c>
      <c r="Z1741" s="105">
        <f>IF($W$1560&gt;0,'Assumptions (Geo)'!Y10*Model!$W$1560*AVERAGE('Assumptions (Geo)'!$S$2:$U$2)/10^9,0)</f>
        <v>0</v>
      </c>
      <c r="AA1741" s="105">
        <f>IF($W$1560&gt;0,'Assumptions (Geo)'!Z10*Model!$W$1560*AVERAGE('Assumptions (Geo)'!$S$2:$U$2)/10^9,0)</f>
        <v>0</v>
      </c>
      <c r="AB1741" s="105">
        <f>IF($W$1560&gt;0,'Assumptions (Geo)'!AA10*Model!$W$1560*AVERAGE('Assumptions (Geo)'!$S$2:$U$2)/10^9,0)</f>
        <v>0</v>
      </c>
      <c r="AC1741" s="105">
        <f>IF($W$1560&gt;0,'Assumptions (Geo)'!AB10*Model!$W$1560*AVERAGE('Assumptions (Geo)'!$S$2:$U$2)/10^9,0)</f>
        <v>0</v>
      </c>
      <c r="AD1741" s="105">
        <f>IF($W$1560&gt;0,'Assumptions (Geo)'!AC10*Model!$W$1560*AVERAGE('Assumptions (Geo)'!$S$2:$U$2)/10^9,0)</f>
        <v>0</v>
      </c>
      <c r="AE1741" s="105">
        <f>IF($W$1560&gt;0,'Assumptions (Geo)'!AD10*Model!$W$1560*AVERAGE('Assumptions (Geo)'!$S$2:$U$2)/10^9,0)</f>
        <v>0</v>
      </c>
      <c r="AF1741" s="105">
        <f>IF($W$1560&gt;0,'Assumptions (Geo)'!AE10*Model!$W$1560*AVERAGE('Assumptions (Geo)'!$S$2:$U$2)/10^9,0)</f>
        <v>0</v>
      </c>
      <c r="AG1741" s="105">
        <f>IF($W$1560&gt;0,'Assumptions (Geo)'!AF10*Model!$W$1560*AVERAGE('Assumptions (Geo)'!$S$2:$U$2)/10^9,0)</f>
        <v>0</v>
      </c>
      <c r="AH1741" s="105">
        <f>IF($W$1560&gt;0,'Assumptions (Geo)'!AG10*Model!$W$1560*AVERAGE('Assumptions (Geo)'!$S$2:$U$2)/10^9,0)</f>
        <v>0</v>
      </c>
      <c r="AI1741" s="105">
        <f>IF($W$1560&gt;0,'Assumptions (Geo)'!AH10*Model!$W$1560*AVERAGE('Assumptions (Geo)'!$S$2:$U$2)/10^9,0)</f>
        <v>0</v>
      </c>
      <c r="AJ1741" s="105">
        <f>IF($W$1560&gt;0,'Assumptions (Geo)'!AI10*Model!$W$1560*AVERAGE('Assumptions (Geo)'!$S$2:$U$2)/10^9,0)</f>
        <v>0</v>
      </c>
      <c r="AK1741" s="105">
        <f>IF($W$1560&gt;0,'Assumptions (Geo)'!AJ10*Model!$W$1560*AVERAGE('Assumptions (Geo)'!$S$2:$U$2)/10^9,0)</f>
        <v>0</v>
      </c>
      <c r="AL1741" s="105">
        <f>IF($W$1560&gt;0,'Assumptions (Geo)'!AK10*Model!$W$1560*AVERAGE('Assumptions (Geo)'!$S$2:$U$2)/10^9,0)</f>
        <v>0</v>
      </c>
      <c r="AM1741" s="105"/>
      <c r="AN1741" s="105"/>
      <c r="AO1741" s="105"/>
      <c r="AP1741" s="105"/>
      <c r="AQ1741" s="105"/>
      <c r="AR1741" s="105"/>
      <c r="AS1741" s="105"/>
      <c r="AT1741" s="105"/>
      <c r="AU1741" s="105"/>
      <c r="AV1741" s="105"/>
      <c r="AW1741" s="105"/>
      <c r="AX1741" s="105"/>
      <c r="AY1741" s="105"/>
      <c r="AZ1741" s="105"/>
      <c r="BA1741" s="105"/>
    </row>
    <row r="1742" spans="1:53" ht="15.75" hidden="1" customHeight="1" outlineLevel="1">
      <c r="A1742" s="428"/>
      <c r="B1742" s="99"/>
      <c r="C1742" s="99"/>
      <c r="D1742" s="99"/>
      <c r="E1742" s="99"/>
      <c r="F1742" s="99"/>
      <c r="G1742" s="99"/>
      <c r="H1742" s="99"/>
      <c r="I1742" s="99"/>
      <c r="J1742" s="99"/>
      <c r="K1742" s="99"/>
      <c r="L1742" s="99"/>
      <c r="M1742" s="99"/>
      <c r="N1742" s="99"/>
      <c r="O1742" s="99"/>
      <c r="P1742" s="99"/>
      <c r="Q1742" s="99"/>
      <c r="R1742" s="99"/>
      <c r="S1742" s="99"/>
      <c r="T1742" s="99"/>
      <c r="U1742" s="99"/>
      <c r="V1742" s="99"/>
      <c r="W1742" s="105"/>
      <c r="X1742" s="105">
        <f>IF($X$1560&gt;0,'Assumptions (Geo)'!V10*Model!$X$1560*AVERAGE('Assumptions (Geo)'!$T$2:$V$2)/10^9,0)</f>
        <v>0</v>
      </c>
      <c r="Y1742" s="105">
        <f>IF($X$1560&gt;0,'Assumptions (Geo)'!W10*Model!$X$1560*AVERAGE('Assumptions (Geo)'!$T$2:$V$2)/10^9,0)</f>
        <v>0</v>
      </c>
      <c r="Z1742" s="105">
        <f>IF($X$1560&gt;0,'Assumptions (Geo)'!X10*Model!$X$1560*AVERAGE('Assumptions (Geo)'!$T$2:$V$2)/10^9,0)</f>
        <v>0</v>
      </c>
      <c r="AA1742" s="105">
        <f>IF($X$1560&gt;0,'Assumptions (Geo)'!Y10*Model!$X$1560*AVERAGE('Assumptions (Geo)'!$T$2:$V$2)/10^9,0)</f>
        <v>0</v>
      </c>
      <c r="AB1742" s="105">
        <f>IF($X$1560&gt;0,'Assumptions (Geo)'!Z10*Model!$X$1560*AVERAGE('Assumptions (Geo)'!$T$2:$V$2)/10^9,0)</f>
        <v>0</v>
      </c>
      <c r="AC1742" s="105">
        <f>IF($X$1560&gt;0,'Assumptions (Geo)'!AA10*Model!$X$1560*AVERAGE('Assumptions (Geo)'!$T$2:$V$2)/10^9,0)</f>
        <v>0</v>
      </c>
      <c r="AD1742" s="105">
        <f>IF($X$1560&gt;0,'Assumptions (Geo)'!AB10*Model!$X$1560*AVERAGE('Assumptions (Geo)'!$T$2:$V$2)/10^9,0)</f>
        <v>0</v>
      </c>
      <c r="AE1742" s="105">
        <f>IF($X$1560&gt;0,'Assumptions (Geo)'!AC10*Model!$X$1560*AVERAGE('Assumptions (Geo)'!$T$2:$V$2)/10^9,0)</f>
        <v>0</v>
      </c>
      <c r="AF1742" s="105">
        <f>IF($X$1560&gt;0,'Assumptions (Geo)'!AD10*Model!$X$1560*AVERAGE('Assumptions (Geo)'!$T$2:$V$2)/10^9,0)</f>
        <v>0</v>
      </c>
      <c r="AG1742" s="105">
        <f>IF($X$1560&gt;0,'Assumptions (Geo)'!AE10*Model!$X$1560*AVERAGE('Assumptions (Geo)'!$T$2:$V$2)/10^9,0)</f>
        <v>0</v>
      </c>
      <c r="AH1742" s="105">
        <f>IF($X$1560&gt;0,'Assumptions (Geo)'!AF10*Model!$X$1560*AVERAGE('Assumptions (Geo)'!$T$2:$V$2)/10^9,0)</f>
        <v>0</v>
      </c>
      <c r="AI1742" s="105">
        <f>IF($X$1560&gt;0,'Assumptions (Geo)'!AG10*Model!$X$1560*AVERAGE('Assumptions (Geo)'!$T$2:$V$2)/10^9,0)</f>
        <v>0</v>
      </c>
      <c r="AJ1742" s="105">
        <f>IF($X$1560&gt;0,'Assumptions (Geo)'!AH10*Model!$X$1560*AVERAGE('Assumptions (Geo)'!$T$2:$V$2)/10^9,0)</f>
        <v>0</v>
      </c>
      <c r="AK1742" s="105">
        <f>IF($X$1560&gt;0,'Assumptions (Geo)'!AI10*Model!$X$1560*AVERAGE('Assumptions (Geo)'!$T$2:$V$2)/10^9,0)</f>
        <v>0</v>
      </c>
      <c r="AL1742" s="105">
        <f>IF($X$1560&gt;0,'Assumptions (Geo)'!AJ10*Model!$X$1560*AVERAGE('Assumptions (Geo)'!$T$2:$V$2)/10^9,0)</f>
        <v>0</v>
      </c>
      <c r="AM1742" s="105">
        <f>IF($X$1560&gt;0,'Assumptions (Geo)'!AK10*Model!$X$1560*AVERAGE('Assumptions (Geo)'!$T$2:$V$2)/10^9,0)</f>
        <v>0</v>
      </c>
      <c r="AN1742" s="105"/>
      <c r="AO1742" s="105"/>
      <c r="AP1742" s="105"/>
      <c r="AQ1742" s="105"/>
      <c r="AR1742" s="105"/>
      <c r="AS1742" s="105"/>
      <c r="AT1742" s="105"/>
      <c r="AU1742" s="105"/>
      <c r="AV1742" s="105"/>
      <c r="AW1742" s="105"/>
      <c r="AX1742" s="105"/>
      <c r="AY1742" s="105"/>
      <c r="AZ1742" s="105"/>
      <c r="BA1742" s="105"/>
    </row>
    <row r="1743" spans="1:53" ht="15.75" hidden="1" customHeight="1" outlineLevel="1">
      <c r="A1743" s="428"/>
      <c r="B1743" s="99"/>
      <c r="C1743" s="99"/>
      <c r="D1743" s="99"/>
      <c r="E1743" s="99"/>
      <c r="F1743" s="99"/>
      <c r="G1743" s="99"/>
      <c r="H1743" s="99"/>
      <c r="I1743" s="99"/>
      <c r="J1743" s="99"/>
      <c r="K1743" s="99"/>
      <c r="L1743" s="99"/>
      <c r="M1743" s="99"/>
      <c r="N1743" s="99"/>
      <c r="O1743" s="99"/>
      <c r="P1743" s="99"/>
      <c r="Q1743" s="99"/>
      <c r="R1743" s="99"/>
      <c r="S1743" s="99"/>
      <c r="T1743" s="99"/>
      <c r="U1743" s="99"/>
      <c r="V1743" s="99"/>
      <c r="W1743" s="105"/>
      <c r="X1743" s="105"/>
      <c r="Y1743" s="105">
        <f>IF($Y$1560&gt;0,'Assumptions (Geo)'!V10*Model!$Y$1560*AVERAGE('Assumptions (Geo)'!$U$2:$W$2)/10^9,0)</f>
        <v>0</v>
      </c>
      <c r="Z1743" s="105">
        <f>IF($Y$1560&gt;0,'Assumptions (Geo)'!W10*Model!$Y$1560*AVERAGE('Assumptions (Geo)'!$U$2:$W$2)/10^9,0)</f>
        <v>0</v>
      </c>
      <c r="AA1743" s="105">
        <f>IF($Y$1560&gt;0,'Assumptions (Geo)'!X10*Model!$Y$1560*AVERAGE('Assumptions (Geo)'!$U$2:$W$2)/10^9,0)</f>
        <v>0</v>
      </c>
      <c r="AB1743" s="105">
        <f>IF($Y$1560&gt;0,'Assumptions (Geo)'!Y10*Model!$Y$1560*AVERAGE('Assumptions (Geo)'!$U$2:$W$2)/10^9,0)</f>
        <v>0</v>
      </c>
      <c r="AC1743" s="105">
        <f>IF($Y$1560&gt;0,'Assumptions (Geo)'!Z10*Model!$Y$1560*AVERAGE('Assumptions (Geo)'!$U$2:$W$2)/10^9,0)</f>
        <v>0</v>
      </c>
      <c r="AD1743" s="105">
        <f>IF($Y$1560&gt;0,'Assumptions (Geo)'!AA10*Model!$Y$1560*AVERAGE('Assumptions (Geo)'!$U$2:$W$2)/10^9,0)</f>
        <v>0</v>
      </c>
      <c r="AE1743" s="105">
        <f>IF($Y$1560&gt;0,'Assumptions (Geo)'!AB10*Model!$Y$1560*AVERAGE('Assumptions (Geo)'!$U$2:$W$2)/10^9,0)</f>
        <v>0</v>
      </c>
      <c r="AF1743" s="105">
        <f>IF($Y$1560&gt;0,'Assumptions (Geo)'!AC10*Model!$Y$1560*AVERAGE('Assumptions (Geo)'!$U$2:$W$2)/10^9,0)</f>
        <v>0</v>
      </c>
      <c r="AG1743" s="105">
        <f>IF($Y$1560&gt;0,'Assumptions (Geo)'!AD10*Model!$Y$1560*AVERAGE('Assumptions (Geo)'!$U$2:$W$2)/10^9,0)</f>
        <v>0</v>
      </c>
      <c r="AH1743" s="105">
        <f>IF($Y$1560&gt;0,'Assumptions (Geo)'!AE10*Model!$Y$1560*AVERAGE('Assumptions (Geo)'!$U$2:$W$2)/10^9,0)</f>
        <v>0</v>
      </c>
      <c r="AI1743" s="105">
        <f>IF($Y$1560&gt;0,'Assumptions (Geo)'!AF10*Model!$Y$1560*AVERAGE('Assumptions (Geo)'!$U$2:$W$2)/10^9,0)</f>
        <v>0</v>
      </c>
      <c r="AJ1743" s="105">
        <f>IF($Y$1560&gt;0,'Assumptions (Geo)'!AG10*Model!$Y$1560*AVERAGE('Assumptions (Geo)'!$U$2:$W$2)/10^9,0)</f>
        <v>0</v>
      </c>
      <c r="AK1743" s="105">
        <f>IF($Y$1560&gt;0,'Assumptions (Geo)'!AH10*Model!$Y$1560*AVERAGE('Assumptions (Geo)'!$U$2:$W$2)/10^9,0)</f>
        <v>0</v>
      </c>
      <c r="AL1743" s="105">
        <f>IF($Y$1560&gt;0,'Assumptions (Geo)'!AI10*Model!$Y$1560*AVERAGE('Assumptions (Geo)'!$U$2:$W$2)/10^9,0)</f>
        <v>0</v>
      </c>
      <c r="AM1743" s="105">
        <f>IF($Y$1560&gt;0,'Assumptions (Geo)'!AJ10*Model!$Y$1560*AVERAGE('Assumptions (Geo)'!$U$2:$W$2)/10^9,0)</f>
        <v>0</v>
      </c>
      <c r="AN1743" s="105">
        <f>IF($Y$1560&gt;0,'Assumptions (Geo)'!AK10*Model!$Y$1560*AVERAGE('Assumptions (Geo)'!$U$2:$W$2)/10^9,0)</f>
        <v>0</v>
      </c>
      <c r="AO1743" s="105"/>
      <c r="AP1743" s="105"/>
      <c r="AQ1743" s="105"/>
      <c r="AR1743" s="105"/>
      <c r="AS1743" s="105"/>
      <c r="AT1743" s="105"/>
      <c r="AU1743" s="105"/>
      <c r="AV1743" s="105"/>
      <c r="AW1743" s="105"/>
      <c r="AX1743" s="105"/>
      <c r="AY1743" s="105"/>
      <c r="AZ1743" s="105"/>
      <c r="BA1743" s="105"/>
    </row>
    <row r="1744" spans="1:53" ht="15.75" hidden="1" customHeight="1" outlineLevel="1">
      <c r="A1744" s="428"/>
      <c r="B1744" s="99"/>
      <c r="C1744" s="99"/>
      <c r="D1744" s="99"/>
      <c r="E1744" s="99"/>
      <c r="F1744" s="99"/>
      <c r="G1744" s="99"/>
      <c r="H1744" s="99"/>
      <c r="I1744" s="99"/>
      <c r="J1744" s="99"/>
      <c r="K1744" s="99"/>
      <c r="L1744" s="99"/>
      <c r="M1744" s="99"/>
      <c r="N1744" s="99"/>
      <c r="O1744" s="99"/>
      <c r="P1744" s="99"/>
      <c r="Q1744" s="99"/>
      <c r="R1744" s="99"/>
      <c r="S1744" s="99"/>
      <c r="T1744" s="99"/>
      <c r="U1744" s="99"/>
      <c r="V1744" s="99"/>
      <c r="W1744" s="105"/>
      <c r="X1744" s="105"/>
      <c r="Y1744" s="105"/>
      <c r="Z1744" s="105">
        <f>IF($Z$1560&gt;0,'Assumptions (Geo)'!V10*Model!$Z$1560*AVERAGE('Assumptions (Geo)'!$V$2:$X$2)/10^9,0)</f>
        <v>9.9959226857779227E-4</v>
      </c>
      <c r="AA1744" s="105">
        <f>IF($Z$1560&gt;0,'Assumptions (Geo)'!W10*Model!$Z$1560*AVERAGE('Assumptions (Geo)'!$V$2:$X$2)/10^9,0)</f>
        <v>1.8992253102978053E-3</v>
      </c>
      <c r="AB1744" s="105">
        <f>IF($Z$1560&gt;0,'Assumptions (Geo)'!X10*Model!$Z$1560*AVERAGE('Assumptions (Geo)'!$V$2:$X$2)/10^9,0)</f>
        <v>1.7093027792680247E-3</v>
      </c>
      <c r="AC1744" s="105">
        <f>IF($Z$1560&gt;0,'Assumptions (Geo)'!Y10*Model!$Z$1560*AVERAGE('Assumptions (Geo)'!$V$2:$X$2)/10^9,0)</f>
        <v>1.5393720936097998E-3</v>
      </c>
      <c r="AD1744" s="105">
        <f>IF($Z$1560&gt;0,'Assumptions (Geo)'!Z10*Model!$Z$1560*AVERAGE('Assumptions (Geo)'!$V$2:$X$2)/10^9,0)</f>
        <v>1.3854348842488198E-3</v>
      </c>
      <c r="AE1744" s="105">
        <f>IF($Z$1560&gt;0,'Assumptions (Geo)'!AA10*Model!$Z$1560*AVERAGE('Assumptions (Geo)'!$V$2:$X$2)/10^9,0)</f>
        <v>1.2454919666479291E-3</v>
      </c>
      <c r="AF1744" s="105">
        <f>IF($Z$1560&gt;0,'Assumptions (Geo)'!AB10*Model!$Z$1560*AVERAGE('Assumptions (Geo)'!$V$2:$X$2)/10^9,0)</f>
        <v>1.1795188769217948E-3</v>
      </c>
      <c r="AG1744" s="105">
        <f>IF($Z$1560&gt;0,'Assumptions (Geo)'!AC10*Model!$Z$1560*AVERAGE('Assumptions (Geo)'!$V$2:$X$2)/10^9,0)</f>
        <v>1.1795188769217948E-3</v>
      </c>
      <c r="AH1744" s="105">
        <f>IF($Z$1560&gt;0,'Assumptions (Geo)'!AD10*Model!$Z$1560*AVERAGE('Assumptions (Geo)'!$V$2:$X$2)/10^9,0)</f>
        <v>1.1815180614589505E-3</v>
      </c>
      <c r="AI1744" s="105">
        <f>IF($Z$1560&gt;0,'Assumptions (Geo)'!AE10*Model!$Z$1560*AVERAGE('Assumptions (Geo)'!$V$2:$X$2)/10^9,0)</f>
        <v>1.1795188769217948E-3</v>
      </c>
      <c r="AJ1744" s="105">
        <f>IF($Z$1560&gt;0,'Assumptions (Geo)'!AF10*Model!$Z$1560*AVERAGE('Assumptions (Geo)'!$V$2:$X$2)/10^9,0)</f>
        <v>1.1815180614589505E-3</v>
      </c>
      <c r="AK1744" s="105">
        <f>IF($Z$1560&gt;0,'Assumptions (Geo)'!AG10*Model!$Z$1560*AVERAGE('Assumptions (Geo)'!$V$2:$X$2)/10^9,0)</f>
        <v>1.1795188769217948E-3</v>
      </c>
      <c r="AL1744" s="105">
        <f>IF($Z$1560&gt;0,'Assumptions (Geo)'!AH10*Model!$Z$1560*AVERAGE('Assumptions (Geo)'!$V$2:$X$2)/10^9,0)</f>
        <v>1.1815180614589505E-3</v>
      </c>
      <c r="AM1744" s="105">
        <f>IF($Z$1560&gt;0,'Assumptions (Geo)'!AI10*Model!$Z$1560*AVERAGE('Assumptions (Geo)'!$V$2:$X$2)/10^9,0)</f>
        <v>1.1795188769217948E-3</v>
      </c>
      <c r="AN1744" s="105">
        <f>IF($Z$1560&gt;0,'Assumptions (Geo)'!AJ10*Model!$Z$1560*AVERAGE('Assumptions (Geo)'!$V$2:$X$2)/10^9,0)</f>
        <v>1.1815180614589505E-3</v>
      </c>
      <c r="AO1744" s="105">
        <f>IF($Z$1560&gt;0,'Assumptions (Geo)'!AK10*Model!$Z$1560*AVERAGE('Assumptions (Geo)'!$V$2:$X$2)/10^9,0)</f>
        <v>5.8975943846089739E-4</v>
      </c>
      <c r="AP1744" s="105"/>
      <c r="AQ1744" s="105"/>
      <c r="AR1744" s="105"/>
      <c r="AS1744" s="105"/>
      <c r="AT1744" s="105"/>
      <c r="AU1744" s="105"/>
      <c r="AV1744" s="105"/>
      <c r="AW1744" s="105"/>
      <c r="AX1744" s="105"/>
      <c r="AY1744" s="105"/>
      <c r="AZ1744" s="105"/>
      <c r="BA1744" s="105"/>
    </row>
    <row r="1745" spans="1:66" ht="15.75" hidden="1" customHeight="1" outlineLevel="1">
      <c r="A1745" s="428"/>
      <c r="B1745" s="99"/>
      <c r="C1745" s="99"/>
      <c r="D1745" s="99"/>
      <c r="E1745" s="99"/>
      <c r="F1745" s="99"/>
      <c r="G1745" s="99"/>
      <c r="H1745" s="99"/>
      <c r="I1745" s="99"/>
      <c r="J1745" s="99"/>
      <c r="K1745" s="99"/>
      <c r="L1745" s="99"/>
      <c r="M1745" s="99"/>
      <c r="N1745" s="99"/>
      <c r="O1745" s="99"/>
      <c r="P1745" s="99"/>
      <c r="Q1745" s="99"/>
      <c r="R1745" s="99"/>
      <c r="S1745" s="99"/>
      <c r="T1745" s="99"/>
      <c r="U1745" s="99"/>
      <c r="V1745" s="99"/>
      <c r="W1745" s="105"/>
      <c r="X1745" s="105"/>
      <c r="Y1745" s="105"/>
      <c r="Z1745" s="105"/>
      <c r="AA1745" s="105">
        <f>IF($AA$1560&gt;0,'Assumptions (Geo)'!V10*Model!$AA$1560*AVERAGE('Assumptions (Geo)'!$W$2:$Y$2)/10^9,0)</f>
        <v>0</v>
      </c>
      <c r="AB1745" s="105">
        <f>IF($AA$1560&gt;0,'Assumptions (Geo)'!W10*Model!$AA$1560*AVERAGE('Assumptions (Geo)'!$W$2:$Y$2)/10^9,0)</f>
        <v>0</v>
      </c>
      <c r="AC1745" s="105">
        <f>IF($AA$1560&gt;0,'Assumptions (Geo)'!X10*Model!$AA$1560*AVERAGE('Assumptions (Geo)'!$W$2:$Y$2)/10^9,0)</f>
        <v>0</v>
      </c>
      <c r="AD1745" s="105">
        <f>IF($AA$1560&gt;0,'Assumptions (Geo)'!Y10*Model!$AA$1560*AVERAGE('Assumptions (Geo)'!$W$2:$Y$2)/10^9,0)</f>
        <v>0</v>
      </c>
      <c r="AE1745" s="105">
        <f>IF($AA$1560&gt;0,'Assumptions (Geo)'!Z10*Model!$AA$1560*AVERAGE('Assumptions (Geo)'!$W$2:$Y$2)/10^9,0)</f>
        <v>0</v>
      </c>
      <c r="AF1745" s="105">
        <f>IF($AA$1560&gt;0,'Assumptions (Geo)'!AA10*Model!$AA$1560*AVERAGE('Assumptions (Geo)'!$W$2:$Y$2)/10^9,0)</f>
        <v>0</v>
      </c>
      <c r="AG1745" s="105">
        <f>IF($AA$1560&gt;0,'Assumptions (Geo)'!AB10*Model!$AA$1560*AVERAGE('Assumptions (Geo)'!$W$2:$Y$2)/10^9,0)</f>
        <v>0</v>
      </c>
      <c r="AH1745" s="105">
        <f>IF($AA$1560&gt;0,'Assumptions (Geo)'!AC10*Model!$AA$1560*AVERAGE('Assumptions (Geo)'!$W$2:$Y$2)/10^9,0)</f>
        <v>0</v>
      </c>
      <c r="AI1745" s="105">
        <f>IF($AA$1560&gt;0,'Assumptions (Geo)'!AD10*Model!$AA$1560*AVERAGE('Assumptions (Geo)'!$W$2:$Y$2)/10^9,0)</f>
        <v>0</v>
      </c>
      <c r="AJ1745" s="105">
        <f>IF($AA$1560&gt;0,'Assumptions (Geo)'!AE10*Model!$AA$1560*AVERAGE('Assumptions (Geo)'!$W$2:$Y$2)/10^9,0)</f>
        <v>0</v>
      </c>
      <c r="AK1745" s="105">
        <f>IF($AA$1560&gt;0,'Assumptions (Geo)'!AF10*Model!$AA$1560*AVERAGE('Assumptions (Geo)'!$W$2:$Y$2)/10^9,0)</f>
        <v>0</v>
      </c>
      <c r="AL1745" s="105">
        <f>IF($AA$1560&gt;0,'Assumptions (Geo)'!AG10*Model!$AA$1560*AVERAGE('Assumptions (Geo)'!$W$2:$Y$2)/10^9,0)</f>
        <v>0</v>
      </c>
      <c r="AM1745" s="105">
        <f>IF($AA$1560&gt;0,'Assumptions (Geo)'!AH10*Model!$AA$1560*AVERAGE('Assumptions (Geo)'!$W$2:$Y$2)/10^9,0)</f>
        <v>0</v>
      </c>
      <c r="AN1745" s="105">
        <f>IF($AA$1560&gt;0,'Assumptions (Geo)'!AI10*Model!$AA$1560*AVERAGE('Assumptions (Geo)'!$W$2:$Y$2)/10^9,0)</f>
        <v>0</v>
      </c>
      <c r="AO1745" s="105">
        <f>IF($AA$1560&gt;0,'Assumptions (Geo)'!AJ10*Model!$AA$1560*AVERAGE('Assumptions (Geo)'!$W$2:$Y$2)/10^9,0)</f>
        <v>0</v>
      </c>
      <c r="AP1745" s="105">
        <f>IF($AA$1560&gt;0,'Assumptions (Geo)'!AK10*Model!$AA$1560*AVERAGE('Assumptions (Geo)'!$W$2:$Y$2)/10^9,0)</f>
        <v>0</v>
      </c>
      <c r="AQ1745" s="105"/>
      <c r="AR1745" s="105"/>
      <c r="AS1745" s="105"/>
      <c r="AT1745" s="105"/>
      <c r="AU1745" s="105"/>
      <c r="AV1745" s="105"/>
      <c r="AW1745" s="105"/>
      <c r="AX1745" s="105"/>
      <c r="AY1745" s="105"/>
      <c r="AZ1745" s="105"/>
      <c r="BA1745" s="105"/>
    </row>
    <row r="1746" spans="1:66" ht="15.75" hidden="1" customHeight="1" outlineLevel="1">
      <c r="A1746" s="428"/>
      <c r="B1746" s="99"/>
      <c r="C1746" s="99"/>
      <c r="D1746" s="99"/>
      <c r="E1746" s="99"/>
      <c r="F1746" s="99"/>
      <c r="G1746" s="99"/>
      <c r="H1746" s="99"/>
      <c r="I1746" s="99"/>
      <c r="J1746" s="99"/>
      <c r="K1746" s="99"/>
      <c r="L1746" s="99"/>
      <c r="M1746" s="99"/>
      <c r="N1746" s="99"/>
      <c r="O1746" s="99"/>
      <c r="P1746" s="99"/>
      <c r="Q1746" s="99"/>
      <c r="R1746" s="99"/>
      <c r="S1746" s="99"/>
      <c r="T1746" s="99"/>
      <c r="U1746" s="99"/>
      <c r="V1746" s="99"/>
      <c r="W1746" s="105"/>
      <c r="X1746" s="105"/>
      <c r="Y1746" s="105"/>
      <c r="Z1746" s="105"/>
      <c r="AA1746" s="105"/>
      <c r="AB1746" s="105">
        <f>IF($AB$1560&gt;0,'Assumptions (Geo)'!V10*Model!$AB$1560*AVERAGE('Assumptions (Geo)'!$X$2:$Z$2)/10^9,0)</f>
        <v>0</v>
      </c>
      <c r="AC1746" s="105">
        <f>IF($AB$1560&gt;0,'Assumptions (Geo)'!W10*Model!$AB$1560*AVERAGE('Assumptions (Geo)'!$X$2:$Z$2)/10^9,0)</f>
        <v>0</v>
      </c>
      <c r="AD1746" s="105">
        <f>IF($AB$1560&gt;0,'Assumptions (Geo)'!X10*Model!$AB$1560*AVERAGE('Assumptions (Geo)'!$X$2:$Z$2)/10^9,0)</f>
        <v>0</v>
      </c>
      <c r="AE1746" s="105">
        <f>IF($AB$1560&gt;0,'Assumptions (Geo)'!Y10*Model!$AB$1560*AVERAGE('Assumptions (Geo)'!$X$2:$Z$2)/10^9,0)</f>
        <v>0</v>
      </c>
      <c r="AF1746" s="105">
        <f>IF($AB$1560&gt;0,'Assumptions (Geo)'!Z10*Model!$AB$1560*AVERAGE('Assumptions (Geo)'!$X$2:$Z$2)/10^9,0)</f>
        <v>0</v>
      </c>
      <c r="AG1746" s="105">
        <f>IF($AB$1560&gt;0,'Assumptions (Geo)'!AA10*Model!$AB$1560*AVERAGE('Assumptions (Geo)'!$X$2:$Z$2)/10^9,0)</f>
        <v>0</v>
      </c>
      <c r="AH1746" s="105">
        <f>IF($AB$1560&gt;0,'Assumptions (Geo)'!AB10*Model!$AB$1560*AVERAGE('Assumptions (Geo)'!$X$2:$Z$2)/10^9,0)</f>
        <v>0</v>
      </c>
      <c r="AI1746" s="105">
        <f>IF($AB$1560&gt;0,'Assumptions (Geo)'!AC10*Model!$AB$1560*AVERAGE('Assumptions (Geo)'!$X$2:$Z$2)/10^9,0)</f>
        <v>0</v>
      </c>
      <c r="AJ1746" s="105">
        <f>IF($AB$1560&gt;0,'Assumptions (Geo)'!AD10*Model!$AB$1560*AVERAGE('Assumptions (Geo)'!$X$2:$Z$2)/10^9,0)</f>
        <v>0</v>
      </c>
      <c r="AK1746" s="105">
        <f>IF($AB$1560&gt;0,'Assumptions (Geo)'!AE10*Model!$AB$1560*AVERAGE('Assumptions (Geo)'!$X$2:$Z$2)/10^9,0)</f>
        <v>0</v>
      </c>
      <c r="AL1746" s="105">
        <f>IF($AB$1560&gt;0,'Assumptions (Geo)'!AF10*Model!$AB$1560*AVERAGE('Assumptions (Geo)'!$X$2:$Z$2)/10^9,0)</f>
        <v>0</v>
      </c>
      <c r="AM1746" s="105">
        <f>IF($AB$1560&gt;0,'Assumptions (Geo)'!AG10*Model!$AB$1560*AVERAGE('Assumptions (Geo)'!$X$2:$Z$2)/10^9,0)</f>
        <v>0</v>
      </c>
      <c r="AN1746" s="105">
        <f>IF($AB$1560&gt;0,'Assumptions (Geo)'!AH10*Model!$AB$1560*AVERAGE('Assumptions (Geo)'!$X$2:$Z$2)/10^9,0)</f>
        <v>0</v>
      </c>
      <c r="AO1746" s="105">
        <f>IF($AB$1560&gt;0,'Assumptions (Geo)'!AI10*Model!$AB$1560*AVERAGE('Assumptions (Geo)'!$X$2:$Z$2)/10^9,0)</f>
        <v>0</v>
      </c>
      <c r="AP1746" s="105">
        <f>IF($AB$1560&gt;0,'Assumptions (Geo)'!AJ10*Model!$AB$1560*AVERAGE('Assumptions (Geo)'!$X$2:$Z$2)/10^9,0)</f>
        <v>0</v>
      </c>
      <c r="AQ1746" s="105">
        <f>IF($AB$1560&gt;0,'Assumptions (Geo)'!AK10*Model!$AB$1560*AVERAGE('Assumptions (Geo)'!$X$2:$Z$2)/10^9,0)</f>
        <v>0</v>
      </c>
      <c r="AR1746" s="105"/>
      <c r="AS1746" s="105"/>
      <c r="AT1746" s="105"/>
      <c r="AU1746" s="105"/>
      <c r="AV1746" s="105"/>
      <c r="AW1746" s="105"/>
      <c r="AX1746" s="105"/>
      <c r="AY1746" s="105"/>
      <c r="AZ1746" s="105"/>
      <c r="BA1746" s="105"/>
    </row>
    <row r="1747" spans="1:66" ht="15.75" hidden="1" customHeight="1" outlineLevel="1">
      <c r="A1747" s="428"/>
      <c r="B1747" s="99"/>
      <c r="C1747" s="99"/>
      <c r="D1747" s="99"/>
      <c r="E1747" s="99"/>
      <c r="F1747" s="99"/>
      <c r="G1747" s="99"/>
      <c r="H1747" s="99"/>
      <c r="I1747" s="99"/>
      <c r="J1747" s="99"/>
      <c r="K1747" s="99"/>
      <c r="L1747" s="99"/>
      <c r="M1747" s="99"/>
      <c r="N1747" s="99"/>
      <c r="O1747" s="99"/>
      <c r="P1747" s="99"/>
      <c r="Q1747" s="99"/>
      <c r="R1747" s="99"/>
      <c r="S1747" s="99"/>
      <c r="T1747" s="99"/>
      <c r="U1747" s="99"/>
      <c r="V1747" s="99"/>
      <c r="W1747" s="105"/>
      <c r="X1747" s="105"/>
      <c r="Y1747" s="105"/>
      <c r="Z1747" s="105"/>
      <c r="AA1747" s="105"/>
      <c r="AB1747" s="105"/>
      <c r="AC1747" s="105">
        <f>IF($AC$1560&gt;0,'Assumptions (Geo)'!V10*Model!$AC$1560*AVERAGE('Assumptions (Geo)'!$Y$2:$AA$2)/10^9,0)</f>
        <v>0</v>
      </c>
      <c r="AD1747" s="105">
        <f>IF($AC$1560&gt;0,'Assumptions (Geo)'!W10*Model!$AC$1560*AVERAGE('Assumptions (Geo)'!$Y$2:$AA$2)/10^9,0)</f>
        <v>0</v>
      </c>
      <c r="AE1747" s="105">
        <f>IF($AC$1560&gt;0,'Assumptions (Geo)'!X10*Model!$AC$1560*AVERAGE('Assumptions (Geo)'!$Y$2:$AA$2)/10^9,0)</f>
        <v>0</v>
      </c>
      <c r="AF1747" s="105">
        <f>IF($AC$1560&gt;0,'Assumptions (Geo)'!Y10*Model!$AC$1560*AVERAGE('Assumptions (Geo)'!$Y$2:$AA$2)/10^9,0)</f>
        <v>0</v>
      </c>
      <c r="AG1747" s="105">
        <f>IF($AC$1560&gt;0,'Assumptions (Geo)'!Z10*Model!$AC$1560*AVERAGE('Assumptions (Geo)'!$Y$2:$AA$2)/10^9,0)</f>
        <v>0</v>
      </c>
      <c r="AH1747" s="105">
        <f>IF($AC$1560&gt;0,'Assumptions (Geo)'!AA10*Model!$AC$1560*AVERAGE('Assumptions (Geo)'!$Y$2:$AA$2)/10^9,0)</f>
        <v>0</v>
      </c>
      <c r="AI1747" s="105">
        <f>IF($AC$1560&gt;0,'Assumptions (Geo)'!AB10*Model!$AC$1560*AVERAGE('Assumptions (Geo)'!$Y$2:$AA$2)/10^9,0)</f>
        <v>0</v>
      </c>
      <c r="AJ1747" s="105">
        <f>IF($AC$1560&gt;0,'Assumptions (Geo)'!AC10*Model!$AC$1560*AVERAGE('Assumptions (Geo)'!$Y$2:$AA$2)/10^9,0)</f>
        <v>0</v>
      </c>
      <c r="AK1747" s="105">
        <f>IF($AC$1560&gt;0,'Assumptions (Geo)'!AD10*Model!$AC$1560*AVERAGE('Assumptions (Geo)'!$Y$2:$AA$2)/10^9,0)</f>
        <v>0</v>
      </c>
      <c r="AL1747" s="105">
        <f>IF($AC$1560&gt;0,'Assumptions (Geo)'!AE10*Model!$AC$1560*AVERAGE('Assumptions (Geo)'!$Y$2:$AA$2)/10^9,0)</f>
        <v>0</v>
      </c>
      <c r="AM1747" s="105">
        <f>IF($AC$1560&gt;0,'Assumptions (Geo)'!AF10*Model!$AC$1560*AVERAGE('Assumptions (Geo)'!$Y$2:$AA$2)/10^9,0)</f>
        <v>0</v>
      </c>
      <c r="AN1747" s="105">
        <f>IF($AC$1560&gt;0,'Assumptions (Geo)'!AG10*Model!$AC$1560*AVERAGE('Assumptions (Geo)'!$Y$2:$AA$2)/10^9,0)</f>
        <v>0</v>
      </c>
      <c r="AO1747" s="105">
        <f>IF($AC$1560&gt;0,'Assumptions (Geo)'!AH10*Model!$AC$1560*AVERAGE('Assumptions (Geo)'!$Y$2:$AA$2)/10^9,0)</f>
        <v>0</v>
      </c>
      <c r="AP1747" s="105">
        <f>IF($AC$1560&gt;0,'Assumptions (Geo)'!AI10*Model!$AC$1560*AVERAGE('Assumptions (Geo)'!$Y$2:$AA$2)/10^9,0)</f>
        <v>0</v>
      </c>
      <c r="AQ1747" s="105">
        <f>IF($AC$1560&gt;0,'Assumptions (Geo)'!AJ10*Model!$AC$1560*AVERAGE('Assumptions (Geo)'!$Y$2:$AA$2)/10^9,0)</f>
        <v>0</v>
      </c>
      <c r="AR1747" s="105">
        <f>IF($AC$1560&gt;0,'Assumptions (Geo)'!AK10*Model!$AC$1560*AVERAGE('Assumptions (Geo)'!$Y$2:$AA$2)/10^9,0)</f>
        <v>0</v>
      </c>
      <c r="AS1747" s="105"/>
      <c r="AT1747" s="105"/>
      <c r="AU1747" s="105"/>
      <c r="AV1747" s="105"/>
      <c r="AW1747" s="105"/>
      <c r="AX1747" s="105"/>
      <c r="AY1747" s="105"/>
      <c r="AZ1747" s="105"/>
      <c r="BA1747" s="105"/>
    </row>
    <row r="1748" spans="1:66" ht="15.75" hidden="1" customHeight="1" outlineLevel="1">
      <c r="A1748" s="428"/>
      <c r="B1748" s="99"/>
      <c r="C1748" s="99"/>
      <c r="D1748" s="99"/>
      <c r="E1748" s="99"/>
      <c r="F1748" s="99"/>
      <c r="G1748" s="99"/>
      <c r="H1748" s="99"/>
      <c r="I1748" s="99"/>
      <c r="J1748" s="99"/>
      <c r="K1748" s="99"/>
      <c r="L1748" s="99"/>
      <c r="M1748" s="99"/>
      <c r="N1748" s="99"/>
      <c r="O1748" s="99"/>
      <c r="P1748" s="99"/>
      <c r="Q1748" s="99"/>
      <c r="R1748" s="99"/>
      <c r="S1748" s="99"/>
      <c r="T1748" s="99"/>
      <c r="U1748" s="99"/>
      <c r="V1748" s="99"/>
      <c r="W1748" s="105"/>
      <c r="X1748" s="105"/>
      <c r="Y1748" s="105"/>
      <c r="Z1748" s="105"/>
      <c r="AA1748" s="105"/>
      <c r="AB1748" s="105"/>
      <c r="AC1748" s="105"/>
      <c r="AD1748" s="105">
        <f>IF($AD$1560&gt;0,'Assumptions (Geo)'!V10*Model!$AD$1560*AVERAGE('Assumptions (Geo)'!$Z$2:$AB$2)/10^9,0)</f>
        <v>0</v>
      </c>
      <c r="AE1748" s="105">
        <f>IF($AD$1560&gt;0,'Assumptions (Geo)'!W10*Model!$AD$1560*AVERAGE('Assumptions (Geo)'!$Z$2:$AB$2)/10^9,0)</f>
        <v>0</v>
      </c>
      <c r="AF1748" s="105">
        <f>IF($AD$1560&gt;0,'Assumptions (Geo)'!X10*Model!$AD$1560*AVERAGE('Assumptions (Geo)'!$Z$2:$AB$2)/10^9,0)</f>
        <v>0</v>
      </c>
      <c r="AG1748" s="105">
        <f>IF($AD$1560&gt;0,'Assumptions (Geo)'!Y10*Model!$AD$1560*AVERAGE('Assumptions (Geo)'!$Z$2:$AB$2)/10^9,0)</f>
        <v>0</v>
      </c>
      <c r="AH1748" s="105">
        <f>IF($AD$1560&gt;0,'Assumptions (Geo)'!Z10*Model!$AD$1560*AVERAGE('Assumptions (Geo)'!$Z$2:$AB$2)/10^9,0)</f>
        <v>0</v>
      </c>
      <c r="AI1748" s="105">
        <f>IF($AD$1560&gt;0,'Assumptions (Geo)'!AA10*Model!$AD$1560*AVERAGE('Assumptions (Geo)'!$Z$2:$AB$2)/10^9,0)</f>
        <v>0</v>
      </c>
      <c r="AJ1748" s="105">
        <f>IF($AD$1560&gt;0,'Assumptions (Geo)'!AB10*Model!$AD$1560*AVERAGE('Assumptions (Geo)'!$Z$2:$AB$2)/10^9,0)</f>
        <v>0</v>
      </c>
      <c r="AK1748" s="105">
        <f>IF($AD$1560&gt;0,'Assumptions (Geo)'!AC10*Model!$AD$1560*AVERAGE('Assumptions (Geo)'!$Z$2:$AB$2)/10^9,0)</f>
        <v>0</v>
      </c>
      <c r="AL1748" s="105">
        <f>IF($AD$1560&gt;0,'Assumptions (Geo)'!AD10*Model!$AD$1560*AVERAGE('Assumptions (Geo)'!$Z$2:$AB$2)/10^9,0)</f>
        <v>0</v>
      </c>
      <c r="AM1748" s="105">
        <f>IF($AD$1560&gt;0,'Assumptions (Geo)'!AE10*Model!$AD$1560*AVERAGE('Assumptions (Geo)'!$Z$2:$AB$2)/10^9,0)</f>
        <v>0</v>
      </c>
      <c r="AN1748" s="105">
        <f>IF($AD$1560&gt;0,'Assumptions (Geo)'!AF10*Model!$AD$1560*AVERAGE('Assumptions (Geo)'!$Z$2:$AB$2)/10^9,0)</f>
        <v>0</v>
      </c>
      <c r="AO1748" s="105">
        <f>IF($AD$1560&gt;0,'Assumptions (Geo)'!AG10*Model!$AD$1560*AVERAGE('Assumptions (Geo)'!$Z$2:$AB$2)/10^9,0)</f>
        <v>0</v>
      </c>
      <c r="AP1748" s="105">
        <f>IF($AD$1560&gt;0,'Assumptions (Geo)'!AH10*Model!$AD$1560*AVERAGE('Assumptions (Geo)'!$Z$2:$AB$2)/10^9,0)</f>
        <v>0</v>
      </c>
      <c r="AQ1748" s="105">
        <f>IF($AD$1560&gt;0,'Assumptions (Geo)'!AI10*Model!$AD$1560*AVERAGE('Assumptions (Geo)'!$Z$2:$AB$2)/10^9,0)</f>
        <v>0</v>
      </c>
      <c r="AR1748" s="105">
        <f>IF($AD$1560&gt;0,'Assumptions (Geo)'!AJ10*Model!$AD$1560*AVERAGE('Assumptions (Geo)'!$Z$2:$AB$2)/10^9,0)</f>
        <v>0</v>
      </c>
      <c r="AS1748" s="105">
        <f>IF($AD$1560&gt;0,'Assumptions (Geo)'!AK10*Model!$AD$1560*AVERAGE('Assumptions (Geo)'!$Z$2:$AB$2)/10^9,0)</f>
        <v>0</v>
      </c>
      <c r="AT1748" s="105"/>
      <c r="AU1748" s="105"/>
      <c r="AV1748" s="105"/>
      <c r="AW1748" s="105"/>
      <c r="AX1748" s="105"/>
      <c r="AY1748" s="105"/>
      <c r="AZ1748" s="105"/>
      <c r="BA1748" s="105"/>
      <c r="BB1748" s="105"/>
    </row>
    <row r="1749" spans="1:66" ht="15.75" hidden="1" customHeight="1" outlineLevel="1">
      <c r="A1749" s="428"/>
      <c r="B1749" s="99"/>
      <c r="C1749" s="99"/>
      <c r="D1749" s="99"/>
      <c r="E1749" s="99"/>
      <c r="F1749" s="99"/>
      <c r="G1749" s="99"/>
      <c r="H1749" s="99"/>
      <c r="I1749" s="99"/>
      <c r="J1749" s="99"/>
      <c r="K1749" s="99"/>
      <c r="L1749" s="99"/>
      <c r="M1749" s="99"/>
      <c r="N1749" s="99"/>
      <c r="O1749" s="99"/>
      <c r="P1749" s="99"/>
      <c r="Q1749" s="99"/>
      <c r="R1749" s="99"/>
      <c r="S1749" s="99"/>
      <c r="T1749" s="99"/>
      <c r="U1749" s="99"/>
      <c r="V1749" s="99"/>
      <c r="W1749" s="105"/>
      <c r="X1749" s="105"/>
      <c r="Y1749" s="105"/>
      <c r="Z1749" s="105"/>
      <c r="AA1749" s="105"/>
      <c r="AB1749" s="105"/>
      <c r="AC1749" s="105"/>
      <c r="AD1749" s="105"/>
      <c r="AE1749" s="105">
        <f>IF($AE$1560&gt;0,'Assumptions (Geo)'!V10*Model!$AE$1560*AVERAGE('Assumptions (Geo)'!$AA$2:$AC$2)/10^9,0)</f>
        <v>0</v>
      </c>
      <c r="AF1749" s="105">
        <f>IF($AE$1560&gt;0,'Assumptions (Geo)'!W10*Model!$AE$1560*AVERAGE('Assumptions (Geo)'!$AA$2:$AC$2)/10^9,0)</f>
        <v>0</v>
      </c>
      <c r="AG1749" s="105">
        <f>IF($AE$1560&gt;0,'Assumptions (Geo)'!X10*Model!$AE$1560*AVERAGE('Assumptions (Geo)'!$AA$2:$AC$2)/10^9,0)</f>
        <v>0</v>
      </c>
      <c r="AH1749" s="105">
        <f>IF($AE$1560&gt;0,'Assumptions (Geo)'!Y10*Model!$AE$1560*AVERAGE('Assumptions (Geo)'!$AA$2:$AC$2)/10^9,0)</f>
        <v>0</v>
      </c>
      <c r="AI1749" s="105">
        <f>IF($AE$1560&gt;0,'Assumptions (Geo)'!Z10*Model!$AE$1560*AVERAGE('Assumptions (Geo)'!$AA$2:$AC$2)/10^9,0)</f>
        <v>0</v>
      </c>
      <c r="AJ1749" s="105">
        <f>IF($AE$1560&gt;0,'Assumptions (Geo)'!AA10*Model!$AE$1560*AVERAGE('Assumptions (Geo)'!$AA$2:$AC$2)/10^9,0)</f>
        <v>0</v>
      </c>
      <c r="AK1749" s="105">
        <f>IF($AE$1560&gt;0,'Assumptions (Geo)'!AB10*Model!$AE$1560*AVERAGE('Assumptions (Geo)'!$AA$2:$AC$2)/10^9,0)</f>
        <v>0</v>
      </c>
      <c r="AL1749" s="105">
        <f>IF($AE$1560&gt;0,'Assumptions (Geo)'!AC10*Model!$AE$1560*AVERAGE('Assumptions (Geo)'!$AA$2:$AC$2)/10^9,0)</f>
        <v>0</v>
      </c>
      <c r="AM1749" s="105">
        <f>IF($AE$1560&gt;0,'Assumptions (Geo)'!AD10*Model!$AE$1560*AVERAGE('Assumptions (Geo)'!$AA$2:$AC$2)/10^9,0)</f>
        <v>0</v>
      </c>
      <c r="AN1749" s="105">
        <f>IF($AE$1560&gt;0,'Assumptions (Geo)'!AE10*Model!$AE$1560*AVERAGE('Assumptions (Geo)'!$AA$2:$AC$2)/10^9,0)</f>
        <v>0</v>
      </c>
      <c r="AO1749" s="105">
        <f>IF($AE$1560&gt;0,'Assumptions (Geo)'!AF10*Model!$AE$1560*AVERAGE('Assumptions (Geo)'!$AA$2:$AC$2)/10^9,0)</f>
        <v>0</v>
      </c>
      <c r="AP1749" s="105">
        <f>IF($AE$1560&gt;0,'Assumptions (Geo)'!AG10*Model!$AE$1560*AVERAGE('Assumptions (Geo)'!$AA$2:$AC$2)/10^9,0)</f>
        <v>0</v>
      </c>
      <c r="AQ1749" s="105">
        <f>IF($AE$1560&gt;0,'Assumptions (Geo)'!AH10*Model!$AE$1560*AVERAGE('Assumptions (Geo)'!$AA$2:$AC$2)/10^9,0)</f>
        <v>0</v>
      </c>
      <c r="AR1749" s="105">
        <f>IF($AE$1560&gt;0,'Assumptions (Geo)'!AI10*Model!$AE$1560*AVERAGE('Assumptions (Geo)'!$AA$2:$AC$2)/10^9,0)</f>
        <v>0</v>
      </c>
      <c r="AS1749" s="105">
        <f>IF($AE$1560&gt;0,'Assumptions (Geo)'!AJ10*Model!$AE$1560*AVERAGE('Assumptions (Geo)'!$AA$2:$AC$2)/10^9,0)</f>
        <v>0</v>
      </c>
      <c r="AT1749" s="105">
        <f>IF($AE$1560&gt;0,'Assumptions (Geo)'!AK10*Model!$AE$1560*AVERAGE('Assumptions (Geo)'!$AA$2:$AC$2)/10^9,0)</f>
        <v>0</v>
      </c>
      <c r="AU1749" s="105"/>
      <c r="AV1749" s="105"/>
      <c r="AW1749" s="105"/>
      <c r="AX1749" s="105"/>
      <c r="AY1749" s="105"/>
      <c r="AZ1749" s="105"/>
      <c r="BA1749" s="105"/>
      <c r="BB1749" s="105"/>
      <c r="BC1749" s="105"/>
    </row>
    <row r="1750" spans="1:66" ht="15.75" hidden="1" customHeight="1" outlineLevel="1">
      <c r="A1750" s="428"/>
      <c r="B1750" s="99"/>
      <c r="C1750" s="99"/>
      <c r="D1750" s="99"/>
      <c r="E1750" s="99"/>
      <c r="F1750" s="99"/>
      <c r="G1750" s="99"/>
      <c r="H1750" s="99"/>
      <c r="I1750" s="99"/>
      <c r="J1750" s="99"/>
      <c r="K1750" s="99"/>
      <c r="L1750" s="99"/>
      <c r="M1750" s="99"/>
      <c r="N1750" s="99"/>
      <c r="O1750" s="99"/>
      <c r="P1750" s="99"/>
      <c r="Q1750" s="99"/>
      <c r="R1750" s="99"/>
      <c r="S1750" s="99"/>
      <c r="T1750" s="99"/>
      <c r="U1750" s="99"/>
      <c r="V1750" s="99"/>
      <c r="W1750" s="105"/>
      <c r="X1750" s="105"/>
      <c r="Y1750" s="105"/>
      <c r="Z1750" s="105"/>
      <c r="AA1750" s="105"/>
      <c r="AB1750" s="105"/>
      <c r="AC1750" s="105"/>
      <c r="AD1750" s="105"/>
      <c r="AE1750" s="105"/>
      <c r="AF1750" s="105">
        <f>IF($AF$1560&gt;0,'Assumptions (Geo)'!V10*Model!$AF$1560*AVERAGE('Assumptions (Geo)'!$AB$2:$AD$2)/10^9,0)</f>
        <v>0</v>
      </c>
      <c r="AG1750" s="105">
        <f>IF($AF$1560&gt;0,'Assumptions (Geo)'!W10*Model!$AF$1560*AVERAGE('Assumptions (Geo)'!$AB$2:$AD$2)/10^9,0)</f>
        <v>0</v>
      </c>
      <c r="AH1750" s="105">
        <f>IF($AF$1560&gt;0,'Assumptions (Geo)'!X10*Model!$AF$1560*AVERAGE('Assumptions (Geo)'!$AB$2:$AD$2)/10^9,0)</f>
        <v>0</v>
      </c>
      <c r="AI1750" s="105">
        <f>IF($AF$1560&gt;0,'Assumptions (Geo)'!Y10*Model!$AF$1560*AVERAGE('Assumptions (Geo)'!$AB$2:$AD$2)/10^9,0)</f>
        <v>0</v>
      </c>
      <c r="AJ1750" s="105">
        <f>IF($AF$1560&gt;0,'Assumptions (Geo)'!Z10*Model!$AF$1560*AVERAGE('Assumptions (Geo)'!$AB$2:$AD$2)/10^9,0)</f>
        <v>0</v>
      </c>
      <c r="AK1750" s="105">
        <f>IF($AF$1560&gt;0,'Assumptions (Geo)'!AA10*Model!$AF$1560*AVERAGE('Assumptions (Geo)'!$AB$2:$AD$2)/10^9,0)</f>
        <v>0</v>
      </c>
      <c r="AL1750" s="105">
        <f>IF($AF$1560&gt;0,'Assumptions (Geo)'!AB10*Model!$AF$1560*AVERAGE('Assumptions (Geo)'!$AB$2:$AD$2)/10^9,0)</f>
        <v>0</v>
      </c>
      <c r="AM1750" s="105">
        <f>IF($AF$1560&gt;0,'Assumptions (Geo)'!AC10*Model!$AF$1560*AVERAGE('Assumptions (Geo)'!$AB$2:$AD$2)/10^9,0)</f>
        <v>0</v>
      </c>
      <c r="AN1750" s="105">
        <f>IF($AF$1560&gt;0,'Assumptions (Geo)'!AD10*Model!$AF$1560*AVERAGE('Assumptions (Geo)'!$AB$2:$AD$2)/10^9,0)</f>
        <v>0</v>
      </c>
      <c r="AO1750" s="105">
        <f>IF($AF$1560&gt;0,'Assumptions (Geo)'!AE10*Model!$AF$1560*AVERAGE('Assumptions (Geo)'!$AB$2:$AD$2)/10^9,0)</f>
        <v>0</v>
      </c>
      <c r="AP1750" s="105">
        <f>IF($AF$1560&gt;0,'Assumptions (Geo)'!AF10*Model!$AF$1560*AVERAGE('Assumptions (Geo)'!$AB$2:$AD$2)/10^9,0)</f>
        <v>0</v>
      </c>
      <c r="AQ1750" s="105">
        <f>IF($AF$1560&gt;0,'Assumptions (Geo)'!AG10*Model!$AF$1560*AVERAGE('Assumptions (Geo)'!$AB$2:$AD$2)/10^9,0)</f>
        <v>0</v>
      </c>
      <c r="AR1750" s="105">
        <f>IF($AF$1560&gt;0,'Assumptions (Geo)'!AH10*Model!$AF$1560*AVERAGE('Assumptions (Geo)'!$AB$2:$AD$2)/10^9,0)</f>
        <v>0</v>
      </c>
      <c r="AS1750" s="105">
        <f>IF($AF$1560&gt;0,'Assumptions (Geo)'!AI10*Model!$AF$1560*AVERAGE('Assumptions (Geo)'!$AB$2:$AD$2)/10^9,0)</f>
        <v>0</v>
      </c>
      <c r="AT1750" s="105">
        <f>IF($AF$1560&gt;0,'Assumptions (Geo)'!AJ10*Model!$AF$1560*AVERAGE('Assumptions (Geo)'!$AB$2:$AD$2)/10^9,0)</f>
        <v>0</v>
      </c>
      <c r="AU1750" s="105">
        <f>IF($AF$1560&gt;0,'Assumptions (Geo)'!AK10*Model!$AF$1560*AVERAGE('Assumptions (Geo)'!$AB$2:$AD$2)/10^9,0)</f>
        <v>0</v>
      </c>
      <c r="AV1750" s="105"/>
      <c r="AW1750" s="105"/>
      <c r="AX1750" s="105"/>
      <c r="AY1750" s="105"/>
      <c r="AZ1750" s="105"/>
      <c r="BA1750" s="105"/>
      <c r="BB1750" s="105"/>
      <c r="BC1750" s="105"/>
      <c r="BD1750" s="105"/>
    </row>
    <row r="1751" spans="1:66" ht="15.75" hidden="1" customHeight="1" outlineLevel="1">
      <c r="A1751" s="428"/>
      <c r="B1751" s="99"/>
      <c r="C1751" s="99"/>
      <c r="D1751" s="99"/>
      <c r="E1751" s="99"/>
      <c r="F1751" s="99"/>
      <c r="G1751" s="99"/>
      <c r="H1751" s="99"/>
      <c r="I1751" s="99"/>
      <c r="J1751" s="99"/>
      <c r="K1751" s="99"/>
      <c r="L1751" s="99"/>
      <c r="M1751" s="99"/>
      <c r="N1751" s="99"/>
      <c r="O1751" s="99"/>
      <c r="P1751" s="99"/>
      <c r="Q1751" s="99"/>
      <c r="R1751" s="99"/>
      <c r="S1751" s="99"/>
      <c r="T1751" s="99"/>
      <c r="U1751" s="99"/>
      <c r="V1751" s="99"/>
      <c r="W1751" s="105"/>
      <c r="X1751" s="105"/>
      <c r="Y1751" s="105"/>
      <c r="Z1751" s="105"/>
      <c r="AA1751" s="105"/>
      <c r="AB1751" s="105"/>
      <c r="AC1751" s="105"/>
      <c r="AD1751" s="105"/>
      <c r="AE1751" s="105"/>
      <c r="AF1751" s="105"/>
      <c r="AG1751" s="105">
        <f>IF($AG$1560&gt;0,'Assumptions (Geo)'!V10*Model!$AG$1560*AVERAGE('Assumptions (Geo)'!$AC$2:$AE$2)/10^9,0)</f>
        <v>0</v>
      </c>
      <c r="AH1751" s="105">
        <f>IF($AG$1560&gt;0,'Assumptions (Geo)'!W10*Model!$AG$1560*AVERAGE('Assumptions (Geo)'!$AC$2:$AE$2)/10^9,0)</f>
        <v>0</v>
      </c>
      <c r="AI1751" s="105">
        <f>IF($AG$1560&gt;0,'Assumptions (Geo)'!X10*Model!$AG$1560*AVERAGE('Assumptions (Geo)'!$AC$2:$AE$2)/10^9,0)</f>
        <v>0</v>
      </c>
      <c r="AJ1751" s="105">
        <f>IF($AG$1560&gt;0,'Assumptions (Geo)'!Y10*Model!$AG$1560*AVERAGE('Assumptions (Geo)'!$AC$2:$AE$2)/10^9,0)</f>
        <v>0</v>
      </c>
      <c r="AK1751" s="105">
        <f>IF($AG$1560&gt;0,'Assumptions (Geo)'!Z10*Model!$AG$1560*AVERAGE('Assumptions (Geo)'!$AC$2:$AE$2)/10^9,0)</f>
        <v>0</v>
      </c>
      <c r="AL1751" s="105">
        <f>IF($AG$1560&gt;0,'Assumptions (Geo)'!AA10*Model!$AG$1560*AVERAGE('Assumptions (Geo)'!$AC$2:$AE$2)/10^9,0)</f>
        <v>0</v>
      </c>
      <c r="AM1751" s="105">
        <f>IF($AG$1560&gt;0,'Assumptions (Geo)'!AB10*Model!$AG$1560*AVERAGE('Assumptions (Geo)'!$AC$2:$AE$2)/10^9,0)</f>
        <v>0</v>
      </c>
      <c r="AN1751" s="105">
        <f>IF($AG$1560&gt;0,'Assumptions (Geo)'!AC10*Model!$AG$1560*AVERAGE('Assumptions (Geo)'!$AC$2:$AE$2)/10^9,0)</f>
        <v>0</v>
      </c>
      <c r="AO1751" s="105">
        <f>IF($AG$1560&gt;0,'Assumptions (Geo)'!AD10*Model!$AG$1560*AVERAGE('Assumptions (Geo)'!$AC$2:$AE$2)/10^9,0)</f>
        <v>0</v>
      </c>
      <c r="AP1751" s="105">
        <f>IF($AG$1560&gt;0,'Assumptions (Geo)'!AE10*Model!$AG$1560*AVERAGE('Assumptions (Geo)'!$AC$2:$AE$2)/10^9,0)</f>
        <v>0</v>
      </c>
      <c r="AQ1751" s="105">
        <f>IF($AG$1560&gt;0,'Assumptions (Geo)'!AF10*Model!$AG$1560*AVERAGE('Assumptions (Geo)'!$AC$2:$AE$2)/10^9,0)</f>
        <v>0</v>
      </c>
      <c r="AR1751" s="105">
        <f>IF($AG$1560&gt;0,'Assumptions (Geo)'!AG10*Model!$AG$1560*AVERAGE('Assumptions (Geo)'!$AC$2:$AE$2)/10^9,0)</f>
        <v>0</v>
      </c>
      <c r="AS1751" s="105">
        <f>IF($AG$1560&gt;0,'Assumptions (Geo)'!AH10*Model!$AG$1560*AVERAGE('Assumptions (Geo)'!$AC$2:$AE$2)/10^9,0)</f>
        <v>0</v>
      </c>
      <c r="AT1751" s="105">
        <f>IF($AG$1560&gt;0,'Assumptions (Geo)'!AI10*Model!$AG$1560*AVERAGE('Assumptions (Geo)'!$AC$2:$AE$2)/10^9,0)</f>
        <v>0</v>
      </c>
      <c r="AU1751" s="105">
        <f>IF($AG$1560&gt;0,'Assumptions (Geo)'!AJ10*Model!$AG$1560*AVERAGE('Assumptions (Geo)'!$AC$2:$AE$2)/10^9,0)</f>
        <v>0</v>
      </c>
      <c r="AV1751" s="105">
        <f>IF($AG$1560&gt;0,'Assumptions (Geo)'!AK10*Model!$AG$1560*AVERAGE('Assumptions (Geo)'!$AC$2:$AE$2)/10^9,0)</f>
        <v>0</v>
      </c>
      <c r="AW1751" s="105"/>
      <c r="AX1751" s="105"/>
      <c r="AY1751" s="105"/>
      <c r="AZ1751" s="105"/>
      <c r="BA1751" s="105"/>
      <c r="BB1751" s="105"/>
      <c r="BC1751" s="105"/>
      <c r="BD1751" s="105"/>
      <c r="BE1751" s="105"/>
    </row>
    <row r="1752" spans="1:66" ht="15.75" hidden="1" customHeight="1" outlineLevel="1">
      <c r="A1752" s="428"/>
      <c r="B1752" s="99"/>
      <c r="C1752" s="99"/>
      <c r="D1752" s="99"/>
      <c r="E1752" s="99"/>
      <c r="F1752" s="99"/>
      <c r="G1752" s="99"/>
      <c r="H1752" s="99"/>
      <c r="I1752" s="99"/>
      <c r="J1752" s="99"/>
      <c r="K1752" s="99"/>
      <c r="L1752" s="99"/>
      <c r="M1752" s="99"/>
      <c r="N1752" s="99"/>
      <c r="O1752" s="99"/>
      <c r="P1752" s="99"/>
      <c r="Q1752" s="99"/>
      <c r="R1752" s="99"/>
      <c r="S1752" s="99"/>
      <c r="T1752" s="99"/>
      <c r="U1752" s="99"/>
      <c r="V1752" s="99"/>
      <c r="W1752" s="105"/>
      <c r="X1752" s="105"/>
      <c r="Y1752" s="105"/>
      <c r="Z1752" s="105"/>
      <c r="AA1752" s="105"/>
      <c r="AB1752" s="105"/>
      <c r="AC1752" s="105"/>
      <c r="AD1752" s="105"/>
      <c r="AE1752" s="105"/>
      <c r="AF1752" s="105"/>
      <c r="AG1752" s="105"/>
      <c r="AH1752" s="105">
        <f>IF($AH$1560&gt;0,'Assumptions (Geo)'!V10*Model!$AH$1560*AVERAGE('Assumptions (Geo)'!$AD$2:$AF$2)/10^9,0)</f>
        <v>0</v>
      </c>
      <c r="AI1752" s="105">
        <f>IF($AH$1560&gt;0,'Assumptions (Geo)'!W10*Model!$AH$1560*AVERAGE('Assumptions (Geo)'!$AD$2:$AF$2)/10^9,0)</f>
        <v>0</v>
      </c>
      <c r="AJ1752" s="105">
        <f>IF($AH$1560&gt;0,'Assumptions (Geo)'!X10*Model!$AH$1560*AVERAGE('Assumptions (Geo)'!$AD$2:$AF$2)/10^9,0)</f>
        <v>0</v>
      </c>
      <c r="AK1752" s="105">
        <f>IF($AH$1560&gt;0,'Assumptions (Geo)'!Y10*Model!$AH$1560*AVERAGE('Assumptions (Geo)'!$AD$2:$AF$2)/10^9,0)</f>
        <v>0</v>
      </c>
      <c r="AL1752" s="105">
        <f>IF($AH$1560&gt;0,'Assumptions (Geo)'!Z10*Model!$AH$1560*AVERAGE('Assumptions (Geo)'!$AD$2:$AF$2)/10^9,0)</f>
        <v>0</v>
      </c>
      <c r="AM1752" s="105">
        <f>IF($AH$1560&gt;0,'Assumptions (Geo)'!AA10*Model!$AH$1560*AVERAGE('Assumptions (Geo)'!$AD$2:$AF$2)/10^9,0)</f>
        <v>0</v>
      </c>
      <c r="AN1752" s="105">
        <f>IF($AH$1560&gt;0,'Assumptions (Geo)'!AB10*Model!$AH$1560*AVERAGE('Assumptions (Geo)'!$AD$2:$AF$2)/10^9,0)</f>
        <v>0</v>
      </c>
      <c r="AO1752" s="105">
        <f>IF($AH$1560&gt;0,'Assumptions (Geo)'!AC10*Model!$AH$1560*AVERAGE('Assumptions (Geo)'!$AD$2:$AF$2)/10^9,0)</f>
        <v>0</v>
      </c>
      <c r="AP1752" s="105">
        <f>IF($AH$1560&gt;0,'Assumptions (Geo)'!AD10*Model!$AH$1560*AVERAGE('Assumptions (Geo)'!$AD$2:$AF$2)/10^9,0)</f>
        <v>0</v>
      </c>
      <c r="AQ1752" s="105">
        <f>IF($AH$1560&gt;0,'Assumptions (Geo)'!AE10*Model!$AH$1560*AVERAGE('Assumptions (Geo)'!$AD$2:$AF$2)/10^9,0)</f>
        <v>0</v>
      </c>
      <c r="AR1752" s="105">
        <f>IF($AH$1560&gt;0,'Assumptions (Geo)'!AF10*Model!$AH$1560*AVERAGE('Assumptions (Geo)'!$AD$2:$AF$2)/10^9,0)</f>
        <v>0</v>
      </c>
      <c r="AS1752" s="105">
        <f>IF($AH$1560&gt;0,'Assumptions (Geo)'!AG10*Model!$AH$1560*AVERAGE('Assumptions (Geo)'!$AD$2:$AF$2)/10^9,0)</f>
        <v>0</v>
      </c>
      <c r="AT1752" s="105">
        <f>IF($AH$1560&gt;0,'Assumptions (Geo)'!AH10*Model!$AH$1560*AVERAGE('Assumptions (Geo)'!$AD$2:$AF$2)/10^9,0)</f>
        <v>0</v>
      </c>
      <c r="AU1752" s="105">
        <f>IF($AH$1560&gt;0,'Assumptions (Geo)'!AI10*Model!$AH$1560*AVERAGE('Assumptions (Geo)'!$AD$2:$AF$2)/10^9,0)</f>
        <v>0</v>
      </c>
      <c r="AV1752" s="105">
        <f>IF($AH$1560&gt;0,'Assumptions (Geo)'!AJ10*Model!$AH$1560*AVERAGE('Assumptions (Geo)'!$AD$2:$AF$2)/10^9,0)</f>
        <v>0</v>
      </c>
      <c r="AW1752" s="105">
        <f>IF($AH$1560&gt;0,'Assumptions (Geo)'!AK10*Model!$AH$1560*AVERAGE('Assumptions (Geo)'!$AD$2:$AF$2)/10^9,0)</f>
        <v>0</v>
      </c>
      <c r="AX1752" s="105"/>
      <c r="AY1752" s="105"/>
      <c r="AZ1752" s="105"/>
      <c r="BA1752" s="105"/>
      <c r="BB1752" s="105"/>
      <c r="BC1752" s="105"/>
      <c r="BD1752" s="105"/>
      <c r="BE1752" s="105"/>
      <c r="BF1752" s="105"/>
    </row>
    <row r="1753" spans="1:66" ht="15.75" hidden="1" customHeight="1" outlineLevel="1">
      <c r="A1753" s="428"/>
      <c r="B1753" s="99"/>
      <c r="C1753" s="99"/>
      <c r="D1753" s="99"/>
      <c r="E1753" s="99"/>
      <c r="F1753" s="99"/>
      <c r="G1753" s="99"/>
      <c r="H1753" s="99"/>
      <c r="I1753" s="99"/>
      <c r="J1753" s="99"/>
      <c r="K1753" s="99"/>
      <c r="L1753" s="99"/>
      <c r="M1753" s="99"/>
      <c r="N1753" s="99"/>
      <c r="O1753" s="99"/>
      <c r="P1753" s="99"/>
      <c r="Q1753" s="99"/>
      <c r="R1753" s="99"/>
      <c r="S1753" s="99"/>
      <c r="T1753" s="99"/>
      <c r="U1753" s="99"/>
      <c r="V1753" s="99"/>
      <c r="W1753" s="105"/>
      <c r="X1753" s="105"/>
      <c r="Y1753" s="105"/>
      <c r="Z1753" s="105"/>
      <c r="AA1753" s="105"/>
      <c r="AB1753" s="105"/>
      <c r="AC1753" s="105"/>
      <c r="AD1753" s="105"/>
      <c r="AE1753" s="105"/>
      <c r="AF1753" s="105"/>
      <c r="AG1753" s="105"/>
      <c r="AH1753" s="105"/>
      <c r="AI1753" s="105">
        <f>IF($AI$1560&gt;0,'Assumptions (Geo)'!V10*Model!$AI$1560*AVERAGE('Assumptions (Geo)'!$AE$2:$AG$2)/10^9,0)</f>
        <v>7.0532487127595777E-3</v>
      </c>
      <c r="AJ1753" s="105">
        <f>IF($AI$1560&gt;0,'Assumptions (Geo)'!W10*Model!$AI$1560*AVERAGE('Assumptions (Geo)'!$AE$2:$AG$2)/10^9,0)</f>
        <v>1.3401172554243198E-2</v>
      </c>
      <c r="AK1753" s="105">
        <f>IF($AI$1560&gt;0,'Assumptions (Geo)'!X10*Model!$AI$1560*AVERAGE('Assumptions (Geo)'!$AE$2:$AG$2)/10^9,0)</f>
        <v>1.2061055298818879E-2</v>
      </c>
      <c r="AL1753" s="105">
        <f>IF($AI$1560&gt;0,'Assumptions (Geo)'!Y10*Model!$AI$1560*AVERAGE('Assumptions (Geo)'!$AE$2:$AG$2)/10^9,0)</f>
        <v>1.086200301764975E-2</v>
      </c>
      <c r="AM1753" s="105">
        <f>IF($AI$1560&gt;0,'Assumptions (Geo)'!Z10*Model!$AI$1560*AVERAGE('Assumptions (Geo)'!$AE$2:$AG$2)/10^9,0)</f>
        <v>9.7758027158847752E-3</v>
      </c>
      <c r="AN1753" s="105">
        <f>IF($AI$1560&gt;0,'Assumptions (Geo)'!AA10*Model!$AI$1560*AVERAGE('Assumptions (Geo)'!$AE$2:$AG$2)/10^9,0)</f>
        <v>8.7883478960984352E-3</v>
      </c>
      <c r="AO1753" s="105">
        <f>IF($AI$1560&gt;0,'Assumptions (Geo)'!AB10*Model!$AI$1560*AVERAGE('Assumptions (Geo)'!$AE$2:$AG$2)/10^9,0)</f>
        <v>8.3228334810563007E-3</v>
      </c>
      <c r="AP1753" s="105">
        <f>IF($AI$1560&gt;0,'Assumptions (Geo)'!AC10*Model!$AI$1560*AVERAGE('Assumptions (Geo)'!$AE$2:$AG$2)/10^9,0)</f>
        <v>8.3228334810563007E-3</v>
      </c>
      <c r="AQ1753" s="105">
        <f>IF($AI$1560&gt;0,'Assumptions (Geo)'!AD10*Model!$AI$1560*AVERAGE('Assumptions (Geo)'!$AE$2:$AG$2)/10^9,0)</f>
        <v>8.3369399784818214E-3</v>
      </c>
      <c r="AR1753" s="105">
        <f>IF($AI$1560&gt;0,'Assumptions (Geo)'!AE10*Model!$AI$1560*AVERAGE('Assumptions (Geo)'!$AE$2:$AG$2)/10^9,0)</f>
        <v>8.3228334810563007E-3</v>
      </c>
      <c r="AS1753" s="105">
        <f>IF($AI$1560&gt;0,'Assumptions (Geo)'!AF10*Model!$AI$1560*AVERAGE('Assumptions (Geo)'!$AE$2:$AG$2)/10^9,0)</f>
        <v>8.3369399784818214E-3</v>
      </c>
      <c r="AT1753" s="105">
        <f>IF($AI$1560&gt;0,'Assumptions (Geo)'!AG10*Model!$AI$1560*AVERAGE('Assumptions (Geo)'!$AE$2:$AG$2)/10^9,0)</f>
        <v>8.3228334810563007E-3</v>
      </c>
      <c r="AU1753" s="105">
        <f>IF($AI$1560&gt;0,'Assumptions (Geo)'!AH10*Model!$AI$1560*AVERAGE('Assumptions (Geo)'!$AE$2:$AG$2)/10^9,0)</f>
        <v>8.3369399784818214E-3</v>
      </c>
      <c r="AV1753" s="105">
        <f>IF($AI$1560&gt;0,'Assumptions (Geo)'!AI10*Model!$AI$1560*AVERAGE('Assumptions (Geo)'!$AE$2:$AG$2)/10^9,0)</f>
        <v>8.3228334810563007E-3</v>
      </c>
      <c r="AW1753" s="105">
        <f>IF($AI$1560&gt;0,'Assumptions (Geo)'!AJ10*Model!$AI$1560*AVERAGE('Assumptions (Geo)'!$AE$2:$AG$2)/10^9,0)</f>
        <v>8.3369399784818214E-3</v>
      </c>
      <c r="AX1753" s="105">
        <f>IF($AI$1560&gt;0,'Assumptions (Geo)'!AK10*Model!$AI$1560*AVERAGE('Assumptions (Geo)'!$AE$2:$AG$2)/10^9,0)</f>
        <v>4.1614167405281503E-3</v>
      </c>
      <c r="AY1753" s="105"/>
      <c r="AZ1753" s="105"/>
      <c r="BA1753" s="105"/>
      <c r="BB1753" s="105"/>
      <c r="BC1753" s="105"/>
      <c r="BD1753" s="105"/>
      <c r="BE1753" s="105"/>
      <c r="BF1753" s="105"/>
      <c r="BG1753" s="105"/>
    </row>
    <row r="1754" spans="1:66" ht="15.75" hidden="1" customHeight="1" outlineLevel="1">
      <c r="A1754" s="428"/>
      <c r="B1754" s="99"/>
      <c r="C1754" s="99"/>
      <c r="D1754" s="99"/>
      <c r="E1754" s="99"/>
      <c r="F1754" s="99"/>
      <c r="G1754" s="99"/>
      <c r="H1754" s="99"/>
      <c r="I1754" s="99"/>
      <c r="J1754" s="99"/>
      <c r="K1754" s="99"/>
      <c r="L1754" s="99"/>
      <c r="M1754" s="99"/>
      <c r="N1754" s="99"/>
      <c r="O1754" s="99"/>
      <c r="P1754" s="99"/>
      <c r="Q1754" s="99"/>
      <c r="R1754" s="99"/>
      <c r="S1754" s="99"/>
      <c r="T1754" s="99"/>
      <c r="U1754" s="99"/>
      <c r="V1754" s="99"/>
      <c r="W1754" s="105"/>
      <c r="X1754" s="105"/>
      <c r="Y1754" s="105"/>
      <c r="Z1754" s="105"/>
      <c r="AA1754" s="105"/>
      <c r="AB1754" s="91"/>
      <c r="AC1754" s="105"/>
      <c r="AD1754" s="105"/>
      <c r="AE1754" s="105"/>
      <c r="AF1754" s="105"/>
      <c r="AG1754" s="105"/>
      <c r="AH1754" s="105"/>
      <c r="AI1754" s="105"/>
      <c r="AJ1754" s="91">
        <f>IF($AJ$1560&gt;0,'Assumptions (Geo)'!V10*Model!$AJ$1560*AVERAGE('Assumptions (Geo)'!$AF$2:$AH$2)/10^9,0)</f>
        <v>0</v>
      </c>
      <c r="AK1754" s="91">
        <f>IF($AJ$1560&gt;0,'Assumptions (Geo)'!W10*Model!$AJ$1560*AVERAGE('Assumptions (Geo)'!$AF$2:$AH$2)/10^9,0)</f>
        <v>0</v>
      </c>
      <c r="AL1754" s="91">
        <f>IF($AJ$1560&gt;0,'Assumptions (Geo)'!X10*Model!$AJ$1560*AVERAGE('Assumptions (Geo)'!$AF$2:$AH$2)/10^9,0)</f>
        <v>0</v>
      </c>
      <c r="AM1754" s="91">
        <f>IF($AJ$1560&gt;0,'Assumptions (Geo)'!Y10*Model!$AJ$1560*AVERAGE('Assumptions (Geo)'!$AF$2:$AH$2)/10^9,0)</f>
        <v>0</v>
      </c>
      <c r="AN1754" s="91">
        <f>IF($AJ$1560&gt;0,'Assumptions (Geo)'!Z10*Model!$AJ$1560*AVERAGE('Assumptions (Geo)'!$AF$2:$AH$2)/10^9,0)</f>
        <v>0</v>
      </c>
      <c r="AO1754" s="91">
        <f>IF($AJ$1560&gt;0,'Assumptions (Geo)'!AA10*Model!$AJ$1560*AVERAGE('Assumptions (Geo)'!$AF$2:$AH$2)/10^9,0)</f>
        <v>0</v>
      </c>
      <c r="AP1754" s="91">
        <f>IF($AJ$1560&gt;0,'Assumptions (Geo)'!AB10*Model!$AJ$1560*AVERAGE('Assumptions (Geo)'!$AF$2:$AH$2)/10^9,0)</f>
        <v>0</v>
      </c>
      <c r="AQ1754" s="91">
        <f>IF($AJ$1560&gt;0,'Assumptions (Geo)'!AC10*Model!$AJ$1560*AVERAGE('Assumptions (Geo)'!$AF$2:$AH$2)/10^9,0)</f>
        <v>0</v>
      </c>
      <c r="AR1754" s="91">
        <f>IF($AJ$1560&gt;0,'Assumptions (Geo)'!AD10*Model!$AJ$1560*AVERAGE('Assumptions (Geo)'!$AF$2:$AH$2)/10^9,0)</f>
        <v>0</v>
      </c>
      <c r="AS1754" s="91">
        <f>IF($AJ$1560&gt;0,'Assumptions (Geo)'!AE10*Model!$AJ$1560*AVERAGE('Assumptions (Geo)'!$AF$2:$AH$2)/10^9,0)</f>
        <v>0</v>
      </c>
      <c r="AT1754" s="91">
        <f>IF($AJ$1560&gt;0,'Assumptions (Geo)'!AF10*Model!$AJ$1560*AVERAGE('Assumptions (Geo)'!$AF$2:$AH$2)/10^9,0)</f>
        <v>0</v>
      </c>
      <c r="AU1754" s="91">
        <f>IF($AJ$1560&gt;0,'Assumptions (Geo)'!AG10*Model!$AJ$1560*AVERAGE('Assumptions (Geo)'!$AF$2:$AH$2)/10^9,0)</f>
        <v>0</v>
      </c>
      <c r="AV1754" s="91">
        <f>IF($AJ$1560&gt;0,'Assumptions (Geo)'!AH10*Model!$AJ$1560*AVERAGE('Assumptions (Geo)'!$AF$2:$AH$2)/10^9,0)</f>
        <v>0</v>
      </c>
      <c r="AW1754" s="91">
        <f>IF($AJ$1560&gt;0,'Assumptions (Geo)'!AI10*Model!$AJ$1560*AVERAGE('Assumptions (Geo)'!$AF$2:$AH$2)/10^9,0)</f>
        <v>0</v>
      </c>
      <c r="AX1754" s="91">
        <f>IF($AJ$1560&gt;0,'Assumptions (Geo)'!AJ10*Model!$AJ$1560*AVERAGE('Assumptions (Geo)'!$AF$2:$AH$2)/10^9,0)</f>
        <v>0</v>
      </c>
      <c r="AY1754" s="91">
        <f>IF($AJ$1560&gt;0,'Assumptions (Geo)'!AK10*Model!$AJ$1560*AVERAGE('Assumptions (Geo)'!$AF$2:$AH$2)/10^9,0)</f>
        <v>0</v>
      </c>
      <c r="AZ1754" s="91"/>
      <c r="BA1754" s="91"/>
      <c r="BB1754" s="91"/>
      <c r="BC1754" s="91"/>
      <c r="BD1754" s="91"/>
      <c r="BE1754" s="91"/>
      <c r="BF1754" s="91"/>
      <c r="BG1754" s="91"/>
      <c r="BH1754" s="91"/>
    </row>
    <row r="1755" spans="1:66" ht="15.75" hidden="1" customHeight="1" outlineLevel="1">
      <c r="A1755" s="428"/>
      <c r="B1755" s="99"/>
      <c r="C1755" s="99"/>
      <c r="D1755" s="99"/>
      <c r="E1755" s="99"/>
      <c r="F1755" s="99"/>
      <c r="G1755" s="99"/>
      <c r="H1755" s="99"/>
      <c r="I1755" s="99"/>
      <c r="J1755" s="99"/>
      <c r="K1755" s="99"/>
      <c r="L1755" s="99"/>
      <c r="M1755" s="99"/>
      <c r="N1755" s="99"/>
      <c r="O1755" s="99"/>
      <c r="P1755" s="99"/>
      <c r="Q1755" s="99"/>
      <c r="R1755" s="99"/>
      <c r="S1755" s="99"/>
      <c r="T1755" s="99"/>
      <c r="U1755" s="99"/>
      <c r="V1755" s="99"/>
      <c r="W1755" s="105"/>
      <c r="X1755" s="105"/>
      <c r="Y1755" s="105"/>
      <c r="Z1755" s="105"/>
      <c r="AA1755" s="105"/>
      <c r="AB1755" s="105"/>
      <c r="AC1755" s="105"/>
      <c r="AD1755" s="105"/>
      <c r="AE1755" s="105"/>
      <c r="AF1755" s="105"/>
      <c r="AG1755" s="105"/>
      <c r="AH1755" s="105"/>
      <c r="AI1755" s="105"/>
      <c r="AJ1755" s="171"/>
      <c r="AK1755" s="91">
        <f>IF($AK$1560&gt;0,'Assumptions (Geo)'!V10*Model!$AK$1560*AVERAGE('Assumptions (Geo)'!$AG$2:$AI$2)/10^9,0)</f>
        <v>0</v>
      </c>
      <c r="AL1755" s="91">
        <f>IF($AK$1560&gt;0,'Assumptions (Geo)'!W10*Model!$AK$1560*AVERAGE('Assumptions (Geo)'!$AG$2:$AI$2)/10^9,0)</f>
        <v>0</v>
      </c>
      <c r="AM1755" s="91">
        <f>IF($AK$1560&gt;0,'Assumptions (Geo)'!X10*Model!$AK$1560*AVERAGE('Assumptions (Geo)'!$AG$2:$AI$2)/10^9,0)</f>
        <v>0</v>
      </c>
      <c r="AN1755" s="91">
        <f>IF($AK$1560&gt;0,'Assumptions (Geo)'!Y10*Model!$AK$1560*AVERAGE('Assumptions (Geo)'!$AG$2:$AI$2)/10^9,0)</f>
        <v>0</v>
      </c>
      <c r="AO1755" s="91">
        <f>IF($AK$1560&gt;0,'Assumptions (Geo)'!Z10*Model!$AK$1560*AVERAGE('Assumptions (Geo)'!$AG$2:$AI$2)/10^9,0)</f>
        <v>0</v>
      </c>
      <c r="AP1755" s="91">
        <f>IF($AK$1560&gt;0,'Assumptions (Geo)'!AA10*Model!$AK$1560*AVERAGE('Assumptions (Geo)'!$AG$2:$AI$2)/10^9,0)</f>
        <v>0</v>
      </c>
      <c r="AQ1755" s="91">
        <f>IF($AK$1560&gt;0,'Assumptions (Geo)'!AB10*Model!$AK$1560*AVERAGE('Assumptions (Geo)'!$AG$2:$AI$2)/10^9,0)</f>
        <v>0</v>
      </c>
      <c r="AR1755" s="91">
        <f>IF($AK$1560&gt;0,'Assumptions (Geo)'!AC10*Model!$AK$1560*AVERAGE('Assumptions (Geo)'!$AG$2:$AI$2)/10^9,0)</f>
        <v>0</v>
      </c>
      <c r="AS1755" s="91">
        <f>IF($AK$1560&gt;0,'Assumptions (Geo)'!AD10*Model!$AK$1560*AVERAGE('Assumptions (Geo)'!$AG$2:$AI$2)/10^9,0)</f>
        <v>0</v>
      </c>
      <c r="AT1755" s="91">
        <f>IF($AK$1560&gt;0,'Assumptions (Geo)'!AE10*Model!$AK$1560*AVERAGE('Assumptions (Geo)'!$AG$2:$AI$2)/10^9,0)</f>
        <v>0</v>
      </c>
      <c r="AU1755" s="91">
        <f>IF($AK$1560&gt;0,'Assumptions (Geo)'!AF10*Model!$AK$1560*AVERAGE('Assumptions (Geo)'!$AG$2:$AI$2)/10^9,0)</f>
        <v>0</v>
      </c>
      <c r="AV1755" s="91">
        <f>IF($AK$1560&gt;0,'Assumptions (Geo)'!AG10*Model!$AK$1560*AVERAGE('Assumptions (Geo)'!$AG$2:$AI$2)/10^9,0)</f>
        <v>0</v>
      </c>
      <c r="AW1755" s="91">
        <f>IF($AK$1560&gt;0,'Assumptions (Geo)'!AH10*Model!$AK$1560*AVERAGE('Assumptions (Geo)'!$AG$2:$AI$2)/10^9,0)</f>
        <v>0</v>
      </c>
      <c r="AX1755" s="91">
        <f>IF($AK$1560&gt;0,'Assumptions (Geo)'!AI10*Model!$AK$1560*AVERAGE('Assumptions (Geo)'!$AG$2:$AI$2)/10^9,0)</f>
        <v>0</v>
      </c>
      <c r="AY1755" s="91">
        <f>IF($AK$1560&gt;0,'Assumptions (Geo)'!AJ10*Model!$AK$1560*AVERAGE('Assumptions (Geo)'!$AG$2:$AI$2)/10^9,0)</f>
        <v>0</v>
      </c>
      <c r="AZ1755" s="91">
        <f>IF($AK$1560&gt;0,'Assumptions (Geo)'!AK10*Model!$AK$1560*AVERAGE('Assumptions (Geo)'!$AG$2:$AI$2)/10^9,0)</f>
        <v>0</v>
      </c>
      <c r="BA1755" s="91"/>
      <c r="BB1755" s="91"/>
      <c r="BC1755" s="91"/>
      <c r="BD1755" s="91"/>
      <c r="BE1755" s="91"/>
      <c r="BF1755" s="91"/>
      <c r="BG1755" s="91"/>
      <c r="BH1755" s="91"/>
      <c r="BI1755" s="91"/>
    </row>
    <row r="1756" spans="1:66" ht="15.75" hidden="1" customHeight="1" outlineLevel="1">
      <c r="A1756" s="428"/>
      <c r="B1756" s="99"/>
      <c r="C1756" s="99"/>
      <c r="D1756" s="99"/>
      <c r="E1756" s="99"/>
      <c r="F1756" s="99"/>
      <c r="G1756" s="99"/>
      <c r="H1756" s="99"/>
      <c r="I1756" s="99"/>
      <c r="J1756" s="99"/>
      <c r="K1756" s="99"/>
      <c r="L1756" s="99"/>
      <c r="M1756" s="99"/>
      <c r="N1756" s="99"/>
      <c r="O1756" s="99"/>
      <c r="P1756" s="99"/>
      <c r="Q1756" s="99"/>
      <c r="R1756" s="99"/>
      <c r="S1756" s="99"/>
      <c r="T1756" s="99"/>
      <c r="U1756" s="99"/>
      <c r="V1756" s="99"/>
      <c r="W1756" s="105"/>
      <c r="X1756" s="105"/>
      <c r="Y1756" s="105"/>
      <c r="Z1756" s="105"/>
      <c r="AA1756" s="105"/>
      <c r="AB1756" s="105"/>
      <c r="AC1756" s="105"/>
      <c r="AD1756" s="105"/>
      <c r="AE1756" s="105"/>
      <c r="AF1756" s="105"/>
      <c r="AG1756" s="105"/>
      <c r="AH1756" s="105"/>
      <c r="AI1756" s="105"/>
      <c r="AJ1756" s="171"/>
      <c r="AK1756" s="105"/>
      <c r="AL1756" s="91">
        <f>IF($AL$1560&gt;0,'Assumptions (Geo)'!V10*Model!$AL$1560*AVERAGE('Assumptions (Geo)'!$AH$2:$AJ$2)/10^9,0)</f>
        <v>1.4412744857972759E-2</v>
      </c>
      <c r="AM1756" s="91">
        <f>IF($AL$1560&gt;0,'Assumptions (Geo)'!W10*Model!$AL$1560*AVERAGE('Assumptions (Geo)'!$AH$2:$AJ$2)/10^9,0)</f>
        <v>2.7384215230148237E-2</v>
      </c>
      <c r="AN1756" s="91">
        <f>IF($AL$1560&gt;0,'Assumptions (Geo)'!X10*Model!$AL$1560*AVERAGE('Assumptions (Geo)'!$AH$2:$AJ$2)/10^9,0)</f>
        <v>2.4645793707133413E-2</v>
      </c>
      <c r="AO1756" s="91">
        <f>IF($AL$1560&gt;0,'Assumptions (Geo)'!Y10*Model!$AL$1560*AVERAGE('Assumptions (Geo)'!$AH$2:$AJ$2)/10^9,0)</f>
        <v>2.2195627081278046E-2</v>
      </c>
      <c r="AP1756" s="91">
        <f>IF($AL$1560&gt;0,'Assumptions (Geo)'!Z10*Model!$AL$1560*AVERAGE('Assumptions (Geo)'!$AH$2:$AJ$2)/10^9,0)</f>
        <v>1.9976064373150242E-2</v>
      </c>
      <c r="AQ1756" s="91">
        <f>IF($AL$1560&gt;0,'Assumptions (Geo)'!AA10*Model!$AL$1560*AVERAGE('Assumptions (Geo)'!$AH$2:$AJ$2)/10^9,0)</f>
        <v>1.7958280093034056E-2</v>
      </c>
      <c r="AR1756" s="91">
        <f>IF($AL$1560&gt;0,'Assumptions (Geo)'!AB10*Model!$AL$1560*AVERAGE('Assumptions (Geo)'!$AH$2:$AJ$2)/10^9,0)</f>
        <v>1.7007038932407851E-2</v>
      </c>
      <c r="AS1756" s="91">
        <f>IF($AL$1560&gt;0,'Assumptions (Geo)'!AC10*Model!$AL$1560*AVERAGE('Assumptions (Geo)'!$AH$2:$AJ$2)/10^9,0)</f>
        <v>1.7007038932407851E-2</v>
      </c>
      <c r="AT1756" s="91">
        <f>IF($AL$1560&gt;0,'Assumptions (Geo)'!AD10*Model!$AL$1560*AVERAGE('Assumptions (Geo)'!$AH$2:$AJ$2)/10^9,0)</f>
        <v>1.7035864422123796E-2</v>
      </c>
      <c r="AU1756" s="91">
        <f>IF($AL$1560&gt;0,'Assumptions (Geo)'!AE10*Model!$AL$1560*AVERAGE('Assumptions (Geo)'!$AH$2:$AJ$2)/10^9,0)</f>
        <v>1.7007038932407851E-2</v>
      </c>
      <c r="AV1756" s="91">
        <f>IF($AL$1560&gt;0,'Assumptions (Geo)'!AF10*Model!$AL$1560*AVERAGE('Assumptions (Geo)'!$AH$2:$AJ$2)/10^9,0)</f>
        <v>1.7035864422123796E-2</v>
      </c>
      <c r="AW1756" s="91">
        <f>IF($AL$1560&gt;0,'Assumptions (Geo)'!AG10*Model!$AL$1560*AVERAGE('Assumptions (Geo)'!$AH$2:$AJ$2)/10^9,0)</f>
        <v>1.7007038932407851E-2</v>
      </c>
      <c r="AX1756" s="91">
        <f>IF($AL$1560&gt;0,'Assumptions (Geo)'!AH10*Model!$AL$1560*AVERAGE('Assumptions (Geo)'!$AH$2:$AJ$2)/10^9,0)</f>
        <v>1.7035864422123796E-2</v>
      </c>
      <c r="AY1756" s="91">
        <f>IF($AL$1560&gt;0,'Assumptions (Geo)'!AI10*Model!$AL$1560*AVERAGE('Assumptions (Geo)'!$AH$2:$AJ$2)/10^9,0)</f>
        <v>1.7007038932407851E-2</v>
      </c>
      <c r="AZ1756" s="91">
        <f>IF($AL$1560&gt;0,'Assumptions (Geo)'!AJ10*Model!$AL$1560*AVERAGE('Assumptions (Geo)'!$AH$2:$AJ$2)/10^9,0)</f>
        <v>1.7035864422123796E-2</v>
      </c>
      <c r="BA1756" s="91">
        <f>IF($AL$1560&gt;0,'Assumptions (Geo)'!AK10*Model!$AL$1560*AVERAGE('Assumptions (Geo)'!$AH$2:$AJ$2)/10^9,0)</f>
        <v>8.5035194662039255E-3</v>
      </c>
      <c r="BB1756" s="91"/>
      <c r="BC1756" s="91"/>
      <c r="BD1756" s="91"/>
      <c r="BE1756" s="91"/>
      <c r="BF1756" s="91"/>
      <c r="BG1756" s="91"/>
      <c r="BH1756" s="91"/>
      <c r="BI1756" s="91"/>
      <c r="BJ1756" s="91"/>
    </row>
    <row r="1757" spans="1:66" ht="15.75" hidden="1" customHeight="1" outlineLevel="1">
      <c r="A1757" s="428"/>
      <c r="B1757" s="99"/>
      <c r="C1757" s="99"/>
      <c r="D1757" s="99"/>
      <c r="E1757" s="99"/>
      <c r="F1757" s="99"/>
      <c r="G1757" s="99"/>
      <c r="H1757" s="99"/>
      <c r="I1757" s="99"/>
      <c r="J1757" s="99"/>
      <c r="K1757" s="99"/>
      <c r="L1757" s="99"/>
      <c r="M1757" s="99"/>
      <c r="N1757" s="99"/>
      <c r="O1757" s="99"/>
      <c r="P1757" s="99"/>
      <c r="Q1757" s="99"/>
      <c r="R1757" s="99"/>
      <c r="S1757" s="99"/>
      <c r="T1757" s="99"/>
      <c r="U1757" s="99"/>
      <c r="V1757" s="99"/>
      <c r="W1757" s="105"/>
      <c r="X1757" s="105"/>
      <c r="Y1757" s="105"/>
      <c r="Z1757" s="105"/>
      <c r="AA1757" s="105"/>
      <c r="AB1757" s="105"/>
      <c r="AC1757" s="105"/>
      <c r="AD1757" s="105"/>
      <c r="AE1757" s="105"/>
      <c r="AF1757" s="105"/>
      <c r="AG1757" s="105"/>
      <c r="AH1757" s="105"/>
      <c r="AI1757" s="105"/>
      <c r="AJ1757" s="171"/>
      <c r="AK1757" s="105"/>
      <c r="AL1757" s="91"/>
      <c r="AM1757" s="105">
        <f>IF($AM$1560&gt;0,'Assumptions (Geo)'!V10*Model!$AM$1560*AVERAGE('Assumptions (Geo)'!$AI$2:$AK$2)/10^9,0)</f>
        <v>8.5043661949803593E-3</v>
      </c>
      <c r="AN1757" s="105">
        <f>IF($AM$1560&gt;0,'Assumptions (Geo)'!W10*Model!$AM$1560*AVERAGE('Assumptions (Geo)'!$AI$2:$AK$2)/10^9,0)</f>
        <v>1.6158295770462679E-2</v>
      </c>
      <c r="AO1757" s="105">
        <f>IF($AM$1560&gt;0,'Assumptions (Geo)'!X10*Model!$AM$1560*AVERAGE('Assumptions (Geo)'!$AI$2:$AK$2)/10^9,0)</f>
        <v>1.4542466193416415E-2</v>
      </c>
      <c r="AP1757" s="105">
        <f>IF($AM$1560&gt;0,'Assumptions (Geo)'!Y10*Model!$AM$1560*AVERAGE('Assumptions (Geo)'!$AI$2:$AK$2)/10^9,0)</f>
        <v>1.3096723940269752E-2</v>
      </c>
      <c r="AQ1757" s="105">
        <f>IF($AM$1560&gt;0,'Assumptions (Geo)'!Z10*Model!$AM$1560*AVERAGE('Assumptions (Geo)'!$AI$2:$AK$2)/10^9,0)</f>
        <v>1.1787051546242776E-2</v>
      </c>
      <c r="AR1757" s="105">
        <f>IF($AM$1560&gt;0,'Assumptions (Geo)'!AA10*Model!$AM$1560*AVERAGE('Assumptions (Geo)'!$AI$2:$AK$2)/10^9,0)</f>
        <v>1.0596440278945529E-2</v>
      </c>
      <c r="AS1757" s="105">
        <f>IF($AM$1560&gt;0,'Assumptions (Geo)'!AB10*Model!$AM$1560*AVERAGE('Assumptions (Geo)'!$AI$2:$AK$2)/10^9,0)</f>
        <v>1.0035152110076823E-2</v>
      </c>
      <c r="AT1757" s="105">
        <f>IF($AM$1560&gt;0,'Assumptions (Geo)'!AC10*Model!$AM$1560*AVERAGE('Assumptions (Geo)'!$AI$2:$AK$2)/10^9,0)</f>
        <v>1.0035152110076823E-2</v>
      </c>
      <c r="AU1757" s="105">
        <f>IF($AM$1560&gt;0,'Assumptions (Geo)'!AD10*Model!$AM$1560*AVERAGE('Assumptions (Geo)'!$AI$2:$AK$2)/10^9,0)</f>
        <v>1.0052160842466785E-2</v>
      </c>
      <c r="AV1757" s="105">
        <f>IF($AM$1560&gt;0,'Assumptions (Geo)'!AE10*Model!$AM$1560*AVERAGE('Assumptions (Geo)'!$AI$2:$AK$2)/10^9,0)</f>
        <v>1.0035152110076823E-2</v>
      </c>
      <c r="AW1757" s="105">
        <f>IF($AM$1560&gt;0,'Assumptions (Geo)'!AF10*Model!$AM$1560*AVERAGE('Assumptions (Geo)'!$AI$2:$AK$2)/10^9,0)</f>
        <v>1.0052160842466785E-2</v>
      </c>
      <c r="AX1757" s="105">
        <f>IF($AM$1560&gt;0,'Assumptions (Geo)'!AG10*Model!$AM$1560*AVERAGE('Assumptions (Geo)'!$AI$2:$AK$2)/10^9,0)</f>
        <v>1.0035152110076823E-2</v>
      </c>
      <c r="AY1757" s="105">
        <f>IF($AM$1560&gt;0,'Assumptions (Geo)'!AH10*Model!$AM$1560*AVERAGE('Assumptions (Geo)'!$AI$2:$AK$2)/10^9,0)</f>
        <v>1.0052160842466785E-2</v>
      </c>
      <c r="AZ1757" s="105">
        <f>IF($AM$1560&gt;0,'Assumptions (Geo)'!AI10*Model!$AM$1560*AVERAGE('Assumptions (Geo)'!$AI$2:$AK$2)/10^9,0)</f>
        <v>1.0035152110076823E-2</v>
      </c>
      <c r="BA1757" s="105">
        <f>IF($AM$1560&gt;0,'Assumptions (Geo)'!AJ10*Model!$AM$1560*AVERAGE('Assumptions (Geo)'!$AI$2:$AK$2)/10^9,0)</f>
        <v>1.0052160842466785E-2</v>
      </c>
      <c r="BB1757" s="105">
        <f>IF($AM$1560&gt;0,'Assumptions (Geo)'!AK10*Model!$AM$1560*AVERAGE('Assumptions (Geo)'!$AI$2:$AK$2)/10^9,0)</f>
        <v>5.0175760550384115E-3</v>
      </c>
      <c r="BC1757" s="105"/>
      <c r="BD1757" s="105"/>
      <c r="BE1757" s="105"/>
      <c r="BF1757" s="105"/>
      <c r="BG1757" s="105"/>
      <c r="BH1757" s="105"/>
      <c r="BI1757" s="105"/>
      <c r="BJ1757" s="105"/>
      <c r="BK1757" s="105"/>
    </row>
    <row r="1758" spans="1:66" ht="15.75" hidden="1" customHeight="1" outlineLevel="1">
      <c r="A1758" s="428"/>
      <c r="B1758" s="99"/>
      <c r="C1758" s="99"/>
      <c r="D1758" s="99"/>
      <c r="E1758" s="99"/>
      <c r="F1758" s="99"/>
      <c r="G1758" s="99"/>
      <c r="H1758" s="99"/>
      <c r="I1758" s="99"/>
      <c r="J1758" s="99"/>
      <c r="K1758" s="99"/>
      <c r="L1758" s="99"/>
      <c r="M1758" s="99"/>
      <c r="N1758" s="99"/>
      <c r="O1758" s="99"/>
      <c r="P1758" s="99"/>
      <c r="Q1758" s="99"/>
      <c r="R1758" s="99"/>
      <c r="S1758" s="99"/>
      <c r="T1758" s="99"/>
      <c r="U1758" s="99"/>
      <c r="V1758" s="99"/>
      <c r="W1758" s="105"/>
      <c r="X1758" s="105"/>
      <c r="Y1758" s="105"/>
      <c r="Z1758" s="105"/>
      <c r="AA1758" s="105"/>
      <c r="AB1758" s="105"/>
      <c r="AC1758" s="105"/>
      <c r="AD1758" s="105"/>
      <c r="AE1758" s="105"/>
      <c r="AF1758" s="105"/>
      <c r="AG1758" s="105"/>
      <c r="AH1758" s="105"/>
      <c r="AI1758" s="105"/>
      <c r="AJ1758" s="171"/>
      <c r="AK1758" s="105"/>
      <c r="AL1758" s="91"/>
      <c r="AM1758" s="91"/>
      <c r="AN1758" s="105">
        <f>IF($AN$1560&gt;0,'Assumptions (Geo)'!V10*Model!$AN$1560*AVERAGE('Assumptions (Geo)'!$AJ$2:$AL$2)/10^9,0)</f>
        <v>2.7081716578615266E-2</v>
      </c>
      <c r="AO1758" s="105">
        <f>IF($AN$1560&gt;0,'Assumptions (Geo)'!W10*Model!$AN$1560*AVERAGE('Assumptions (Geo)'!$AJ$2:$AL$2)/10^9,0)</f>
        <v>5.1455261499369E-2</v>
      </c>
      <c r="AP1758" s="105">
        <f>IF($AN$1560&gt;0,'Assumptions (Geo)'!X10*Model!$AN$1560*AVERAGE('Assumptions (Geo)'!$AJ$2:$AL$2)/10^9,0)</f>
        <v>4.6309735349432106E-2</v>
      </c>
      <c r="AQ1758" s="105">
        <f>IF($AN$1560&gt;0,'Assumptions (Geo)'!Y10*Model!$AN$1560*AVERAGE('Assumptions (Geo)'!$AJ$2:$AL$2)/10^9,0)</f>
        <v>4.1705843531067495E-2</v>
      </c>
      <c r="AR1758" s="105">
        <f>IF($AN$1560&gt;0,'Assumptions (Geo)'!Z10*Model!$AN$1560*AVERAGE('Assumptions (Geo)'!$AJ$2:$AL$2)/10^9,0)</f>
        <v>3.7535259177960752E-2</v>
      </c>
      <c r="AS1758" s="105">
        <f>IF($AN$1560&gt;0,'Assumptions (Geo)'!AA10*Model!$AN$1560*AVERAGE('Assumptions (Geo)'!$AJ$2:$AL$2)/10^9,0)</f>
        <v>3.374381885695462E-2</v>
      </c>
      <c r="AT1758" s="105">
        <f>IF($AN$1560&gt;0,'Assumptions (Geo)'!AB10*Model!$AN$1560*AVERAGE('Assumptions (Geo)'!$AJ$2:$AL$2)/10^9,0)</f>
        <v>3.1956425562766004E-2</v>
      </c>
      <c r="AU1758" s="105">
        <f>IF($AN$1560&gt;0,'Assumptions (Geo)'!AC10*Model!$AN$1560*AVERAGE('Assumptions (Geo)'!$AJ$2:$AL$2)/10^9,0)</f>
        <v>3.1956425562766004E-2</v>
      </c>
      <c r="AV1758" s="105">
        <f>IF($AN$1560&gt;0,'Assumptions (Geo)'!AD10*Model!$AN$1560*AVERAGE('Assumptions (Geo)'!$AJ$2:$AL$2)/10^9,0)</f>
        <v>3.2010588995923239E-2</v>
      </c>
      <c r="AW1758" s="105">
        <f>IF($AN$1560&gt;0,'Assumptions (Geo)'!AE10*Model!$AN$1560*AVERAGE('Assumptions (Geo)'!$AJ$2:$AL$2)/10^9,0)</f>
        <v>3.1956425562766004E-2</v>
      </c>
      <c r="AX1758" s="105">
        <f>IF($AN$1560&gt;0,'Assumptions (Geo)'!AF10*Model!$AN$1560*AVERAGE('Assumptions (Geo)'!$AJ$2:$AL$2)/10^9,0)</f>
        <v>3.2010588995923239E-2</v>
      </c>
      <c r="AY1758" s="105">
        <f>IF($AN$1560&gt;0,'Assumptions (Geo)'!AG10*Model!$AN$1560*AVERAGE('Assumptions (Geo)'!$AJ$2:$AL$2)/10^9,0)</f>
        <v>3.1956425562766004E-2</v>
      </c>
      <c r="AZ1758" s="105">
        <f>IF($AN$1560&gt;0,'Assumptions (Geo)'!AH10*Model!$AN$1560*AVERAGE('Assumptions (Geo)'!$AJ$2:$AL$2)/10^9,0)</f>
        <v>3.2010588995923239E-2</v>
      </c>
      <c r="BA1758" s="105">
        <f>IF($AN$1560&gt;0,'Assumptions (Geo)'!AI10*Model!$AN$1560*AVERAGE('Assumptions (Geo)'!$AJ$2:$AL$2)/10^9,0)</f>
        <v>3.1956425562766004E-2</v>
      </c>
      <c r="BB1758" s="105">
        <f>IF($AN$1560&gt;0,'Assumptions (Geo)'!AJ10*Model!$AN$1560*AVERAGE('Assumptions (Geo)'!$AJ$2:$AL$2)/10^9,0)</f>
        <v>3.2010588995923239E-2</v>
      </c>
      <c r="BC1758" s="105">
        <f>IF($AN$1560&gt;0,'Assumptions (Geo)'!AK10*Model!$AN$1560*AVERAGE('Assumptions (Geo)'!$AJ$2:$AL$2)/10^9,0)</f>
        <v>1.5978212781383002E-2</v>
      </c>
      <c r="BD1758" s="105"/>
      <c r="BE1758" s="105"/>
      <c r="BF1758" s="105"/>
      <c r="BG1758" s="105"/>
      <c r="BH1758" s="105"/>
      <c r="BI1758" s="105"/>
      <c r="BJ1758" s="105"/>
      <c r="BK1758" s="105"/>
      <c r="BL1758" s="105"/>
    </row>
    <row r="1759" spans="1:66" ht="15.75" hidden="1" customHeight="1" outlineLevel="1">
      <c r="A1759" s="428"/>
      <c r="B1759" s="99"/>
      <c r="C1759" s="99"/>
      <c r="D1759" s="99"/>
      <c r="E1759" s="99"/>
      <c r="F1759" s="99"/>
      <c r="G1759" s="99"/>
      <c r="H1759" s="99"/>
      <c r="I1759" s="99"/>
      <c r="J1759" s="99"/>
      <c r="K1759" s="99"/>
      <c r="L1759" s="99"/>
      <c r="M1759" s="99"/>
      <c r="N1759" s="99"/>
      <c r="O1759" s="99"/>
      <c r="P1759" s="99"/>
      <c r="Q1759" s="99"/>
      <c r="R1759" s="99"/>
      <c r="S1759" s="99"/>
      <c r="T1759" s="99"/>
      <c r="U1759" s="99"/>
      <c r="V1759" s="99"/>
      <c r="W1759" s="105"/>
      <c r="X1759" s="105"/>
      <c r="Y1759" s="105"/>
      <c r="Z1759" s="105"/>
      <c r="AA1759" s="105"/>
      <c r="AB1759" s="105"/>
      <c r="AC1759" s="105"/>
      <c r="AD1759" s="105"/>
      <c r="AE1759" s="105"/>
      <c r="AF1759" s="105"/>
      <c r="AG1759" s="105"/>
      <c r="AH1759" s="105"/>
      <c r="AI1759" s="105"/>
      <c r="AJ1759" s="171"/>
      <c r="AK1759" s="105"/>
      <c r="AL1759" s="91"/>
      <c r="AM1759" s="91"/>
      <c r="AN1759" s="91"/>
      <c r="AO1759" s="105">
        <f>IF($AO$1560&gt;0,'Assumptions (Geo)'!V10*Model!$AO$1560*AVERAGE('Assumptions (Geo)'!$AK$2:$AM$2)/10^9,0)</f>
        <v>0</v>
      </c>
      <c r="AP1759" s="105">
        <f>IF($AO$1560&gt;0,'Assumptions (Geo)'!W10*Model!$AO$1560*AVERAGE('Assumptions (Geo)'!$AK$2:$AM$2)/10^9,0)</f>
        <v>0</v>
      </c>
      <c r="AQ1759" s="105">
        <f>IF($AO$1560&gt;0,'Assumptions (Geo)'!X10*Model!$AO$1560*AVERAGE('Assumptions (Geo)'!$AK$2:$AM$2)/10^9,0)</f>
        <v>0</v>
      </c>
      <c r="AR1759" s="105">
        <f>IF($AO$1560&gt;0,'Assumptions (Geo)'!Y10*Model!$AO$1560*AVERAGE('Assumptions (Geo)'!$AK$2:$AM$2)/10^9,0)</f>
        <v>0</v>
      </c>
      <c r="AS1759" s="105">
        <f>IF($AO$1560&gt;0,'Assumptions (Geo)'!Z10*Model!$AO$1560*AVERAGE('Assumptions (Geo)'!$AK$2:$AM$2)/10^9,0)</f>
        <v>0</v>
      </c>
      <c r="AT1759" s="105">
        <f>IF($AO$1560&gt;0,'Assumptions (Geo)'!AA10*Model!$AO$1560*AVERAGE('Assumptions (Geo)'!$AK$2:$AM$2)/10^9,0)</f>
        <v>0</v>
      </c>
      <c r="AU1759" s="105">
        <f>IF($AO$1560&gt;0,'Assumptions (Geo)'!AB10*Model!$AO$1560*AVERAGE('Assumptions (Geo)'!$AK$2:$AM$2)/10^9,0)</f>
        <v>0</v>
      </c>
      <c r="AV1759" s="105">
        <f>IF($AO$1560&gt;0,'Assumptions (Geo)'!AC10*Model!$AO$1560*AVERAGE('Assumptions (Geo)'!$AK$2:$AM$2)/10^9,0)</f>
        <v>0</v>
      </c>
      <c r="AW1759" s="105">
        <f>IF($AO$1560&gt;0,'Assumptions (Geo)'!AD10*Model!$AO$1560*AVERAGE('Assumptions (Geo)'!$AK$2:$AM$2)/10^9,0)</f>
        <v>0</v>
      </c>
      <c r="AX1759" s="105">
        <f>IF($AO$1560&gt;0,'Assumptions (Geo)'!AE10*Model!$AO$1560*AVERAGE('Assumptions (Geo)'!$AK$2:$AM$2)/10^9,0)</f>
        <v>0</v>
      </c>
      <c r="AY1759" s="105">
        <f>IF($AO$1560&gt;0,'Assumptions (Geo)'!AF10*Model!$AO$1560*AVERAGE('Assumptions (Geo)'!$AK$2:$AM$2)/10^9,0)</f>
        <v>0</v>
      </c>
      <c r="AZ1759" s="105">
        <f>IF($AO$1560&gt;0,'Assumptions (Geo)'!AG10*Model!$AO$1560*AVERAGE('Assumptions (Geo)'!$AK$2:$AM$2)/10^9,0)</f>
        <v>0</v>
      </c>
      <c r="BA1759" s="105">
        <f>IF($AO$1560&gt;0,'Assumptions (Geo)'!AH10*Model!$AO$1560*AVERAGE('Assumptions (Geo)'!$AK$2:$AM$2)/10^9,0)</f>
        <v>0</v>
      </c>
      <c r="BB1759" s="105">
        <f>IF($AO$1560&gt;0,'Assumptions (Geo)'!AI10*Model!$AO$1560*AVERAGE('Assumptions (Geo)'!$AK$2:$AM$2)/10^9,0)</f>
        <v>0</v>
      </c>
      <c r="BC1759" s="105">
        <f>IF($AO$1560&gt;0,'Assumptions (Geo)'!AJ10*Model!$AO$1560*AVERAGE('Assumptions (Geo)'!$AK$2:$AM$2)/10^9,0)</f>
        <v>0</v>
      </c>
      <c r="BD1759" s="105">
        <f>IF($AO$1560&gt;0,'Assumptions (Geo)'!AK10*Model!$AO$1560*AVERAGE('Assumptions (Geo)'!$AK$2:$AM$2)/10^9,0)</f>
        <v>0</v>
      </c>
      <c r="BE1759" s="105"/>
      <c r="BF1759" s="105"/>
      <c r="BG1759" s="105"/>
      <c r="BH1759" s="105"/>
      <c r="BI1759" s="105"/>
      <c r="BJ1759" s="105"/>
      <c r="BK1759" s="105"/>
      <c r="BL1759" s="105"/>
      <c r="BM1759" s="105"/>
    </row>
    <row r="1760" spans="1:66" ht="15.75" hidden="1" customHeight="1" outlineLevel="1">
      <c r="A1760" s="428"/>
      <c r="B1760" s="99"/>
      <c r="C1760" s="99"/>
      <c r="D1760" s="99"/>
      <c r="E1760" s="99"/>
      <c r="F1760" s="99"/>
      <c r="G1760" s="99"/>
      <c r="H1760" s="99"/>
      <c r="I1760" s="99"/>
      <c r="J1760" s="99"/>
      <c r="K1760" s="99"/>
      <c r="L1760" s="99"/>
      <c r="M1760" s="99"/>
      <c r="N1760" s="99"/>
      <c r="O1760" s="99"/>
      <c r="P1760" s="99"/>
      <c r="Q1760" s="99"/>
      <c r="R1760" s="99"/>
      <c r="S1760" s="99"/>
      <c r="T1760" s="99"/>
      <c r="U1760" s="99"/>
      <c r="V1760" s="99"/>
      <c r="W1760" s="105"/>
      <c r="X1760" s="105"/>
      <c r="Y1760" s="105"/>
      <c r="Z1760" s="105"/>
      <c r="AA1760" s="105"/>
      <c r="AB1760" s="105"/>
      <c r="AC1760" s="105"/>
      <c r="AD1760" s="105"/>
      <c r="AE1760" s="105"/>
      <c r="AF1760" s="105"/>
      <c r="AG1760" s="105"/>
      <c r="AH1760" s="105"/>
      <c r="AI1760" s="105"/>
      <c r="AJ1760" s="171"/>
      <c r="AK1760" s="105"/>
      <c r="AL1760" s="91"/>
      <c r="AM1760" s="91"/>
      <c r="AN1760" s="91"/>
      <c r="AO1760" s="105"/>
      <c r="AP1760" s="105">
        <f>IF($AP$1560&gt;0,'Assumptions (Geo)'!V10*Model!$AP$1560*AVERAGE('Assumptions (Geo)'!$AL$2:$AN$2)/10^9,0)</f>
        <v>0</v>
      </c>
      <c r="AQ1760" s="105">
        <f>IF($AP$1560&gt;0,'Assumptions (Geo)'!W10*Model!$AP$1560*AVERAGE('Assumptions (Geo)'!$AL$2:$AN$2)/10^9,0)</f>
        <v>0</v>
      </c>
      <c r="AR1760" s="105">
        <f>IF($AP$1560&gt;0,'Assumptions (Geo)'!X10*Model!$AP$1560*AVERAGE('Assumptions (Geo)'!$AL$2:$AN$2)/10^9,0)</f>
        <v>0</v>
      </c>
      <c r="AS1760" s="105">
        <f>IF($AP$1560&gt;0,'Assumptions (Geo)'!Y10*Model!$AP$1560*AVERAGE('Assumptions (Geo)'!$AL$2:$AN$2)/10^9,0)</f>
        <v>0</v>
      </c>
      <c r="AT1760" s="105">
        <f>IF($AP$1560&gt;0,'Assumptions (Geo)'!Z10*Model!$AP$1560*AVERAGE('Assumptions (Geo)'!$AL$2:$AN$2)/10^9,0)</f>
        <v>0</v>
      </c>
      <c r="AU1760" s="105">
        <f>IF($AP$1560&gt;0,'Assumptions (Geo)'!AA10*Model!$AP$1560*AVERAGE('Assumptions (Geo)'!$AL$2:$AN$2)/10^9,0)</f>
        <v>0</v>
      </c>
      <c r="AV1760" s="105">
        <f>IF($AP$1560&gt;0,'Assumptions (Geo)'!AB10*Model!$AP$1560*AVERAGE('Assumptions (Geo)'!$AL$2:$AN$2)/10^9,0)</f>
        <v>0</v>
      </c>
      <c r="AW1760" s="105">
        <f>IF($AP$1560&gt;0,'Assumptions (Geo)'!AC10*Model!$AP$1560*AVERAGE('Assumptions (Geo)'!$AL$2:$AN$2)/10^9,0)</f>
        <v>0</v>
      </c>
      <c r="AX1760" s="105">
        <f>IF($AP$1560&gt;0,'Assumptions (Geo)'!AD10*Model!$AP$1560*AVERAGE('Assumptions (Geo)'!$AL$2:$AN$2)/10^9,0)</f>
        <v>0</v>
      </c>
      <c r="AY1760" s="105">
        <f>IF($AP$1560&gt;0,'Assumptions (Geo)'!AE10*Model!$AP$1560*AVERAGE('Assumptions (Geo)'!$AL$2:$AN$2)/10^9,0)</f>
        <v>0</v>
      </c>
      <c r="AZ1760" s="105">
        <f>IF($AP$1560&gt;0,'Assumptions (Geo)'!AF10*Model!$AP$1560*AVERAGE('Assumptions (Geo)'!$AL$2:$AN$2)/10^9,0)</f>
        <v>0</v>
      </c>
      <c r="BA1760" s="105">
        <f>IF($AP$1560&gt;0,'Assumptions (Geo)'!AG10*Model!$AP$1560*AVERAGE('Assumptions (Geo)'!$AL$2:$AN$2)/10^9,0)</f>
        <v>0</v>
      </c>
      <c r="BB1760" s="105">
        <f>IF($AP$1560&gt;0,'Assumptions (Geo)'!AH10*Model!$AP$1560*AVERAGE('Assumptions (Geo)'!$AL$2:$AN$2)/10^9,0)</f>
        <v>0</v>
      </c>
      <c r="BC1760" s="105">
        <f>IF($AP$1560&gt;0,'Assumptions (Geo)'!AI10*Model!$AP$1560*AVERAGE('Assumptions (Geo)'!$AL$2:$AN$2)/10^9,0)</f>
        <v>0</v>
      </c>
      <c r="BD1760" s="105">
        <f>IF($AP$1560&gt;0,'Assumptions (Geo)'!AJ10*Model!$AP$1560*AVERAGE('Assumptions (Geo)'!$AL$2:$AN$2)/10^9,0)</f>
        <v>0</v>
      </c>
      <c r="BE1760" s="105">
        <f>IF($AP$1560&gt;0,'Assumptions (Geo)'!AK10*Model!$AP$1560*AVERAGE('Assumptions (Geo)'!$AL$2:$AN$2)/10^9,0)</f>
        <v>0</v>
      </c>
      <c r="BF1760" s="105"/>
      <c r="BG1760" s="105"/>
      <c r="BH1760" s="105"/>
      <c r="BI1760" s="105"/>
      <c r="BJ1760" s="105"/>
      <c r="BK1760" s="105"/>
      <c r="BL1760" s="105"/>
      <c r="BM1760" s="105"/>
      <c r="BN1760" s="105"/>
    </row>
    <row r="1761" spans="1:68" ht="15.75" hidden="1" customHeight="1" outlineLevel="1">
      <c r="A1761" s="428"/>
      <c r="B1761" s="99"/>
      <c r="C1761" s="99"/>
      <c r="D1761" s="99"/>
      <c r="E1761" s="99"/>
      <c r="F1761" s="99"/>
      <c r="G1761" s="99"/>
      <c r="H1761" s="99"/>
      <c r="I1761" s="99"/>
      <c r="J1761" s="99"/>
      <c r="K1761" s="99"/>
      <c r="L1761" s="99"/>
      <c r="M1761" s="99"/>
      <c r="N1761" s="99"/>
      <c r="O1761" s="99"/>
      <c r="P1761" s="99"/>
      <c r="Q1761" s="99"/>
      <c r="R1761" s="99"/>
      <c r="S1761" s="99"/>
      <c r="T1761" s="99"/>
      <c r="U1761" s="99"/>
      <c r="V1761" s="99"/>
      <c r="W1761" s="105"/>
      <c r="X1761" s="105"/>
      <c r="Y1761" s="105"/>
      <c r="Z1761" s="105"/>
      <c r="AA1761" s="105"/>
      <c r="AB1761" s="105"/>
      <c r="AC1761" s="105"/>
      <c r="AD1761" s="105"/>
      <c r="AE1761" s="105"/>
      <c r="AF1761" s="105"/>
      <c r="AG1761" s="105"/>
      <c r="AH1761" s="105"/>
      <c r="AI1761" s="105"/>
      <c r="AJ1761" s="171"/>
      <c r="AK1761" s="105"/>
      <c r="AL1761" s="91"/>
      <c r="AM1761" s="91"/>
      <c r="AN1761" s="91"/>
      <c r="AO1761" s="105"/>
      <c r="AP1761" s="105"/>
      <c r="AQ1761" s="105">
        <f>IF($AQ$1560&gt;0,'Assumptions (Geo)'!V10*Model!$AQ$1560*AVERAGE('Assumptions (Geo)'!$AM$2:$AO$2)/10^9,0)</f>
        <v>2.185538737852484E-2</v>
      </c>
      <c r="AR1761" s="105">
        <f>IF($AQ$1560&gt;0,'Assumptions (Geo)'!W10*Model!$AQ$1560*AVERAGE('Assumptions (Geo)'!$AM$2:$AO$2)/10^9,0)</f>
        <v>4.1525236019197193E-2</v>
      </c>
      <c r="AS1761" s="105">
        <f>IF($AQ$1560&gt;0,'Assumptions (Geo)'!X10*Model!$AQ$1560*AVERAGE('Assumptions (Geo)'!$AM$2:$AO$2)/10^9,0)</f>
        <v>3.7372712417277479E-2</v>
      </c>
      <c r="AT1761" s="105">
        <f>IF($AQ$1560&gt;0,'Assumptions (Geo)'!Y10*Model!$AQ$1560*AVERAGE('Assumptions (Geo)'!$AM$2:$AO$2)/10^9,0)</f>
        <v>3.3657296562928249E-2</v>
      </c>
      <c r="AU1761" s="105">
        <f>IF($AQ$1560&gt;0,'Assumptions (Geo)'!Z10*Model!$AQ$1560*AVERAGE('Assumptions (Geo)'!$AM$2:$AO$2)/10^9,0)</f>
        <v>3.0291566906635425E-2</v>
      </c>
      <c r="AV1761" s="105">
        <f>IF($AQ$1560&gt;0,'Assumptions (Geo)'!AA10*Model!$AQ$1560*AVERAGE('Assumptions (Geo)'!$AM$2:$AO$2)/10^9,0)</f>
        <v>2.7231812673641949E-2</v>
      </c>
      <c r="AW1761" s="105">
        <f>IF($AQ$1560&gt;0,'Assumptions (Geo)'!AB10*Model!$AQ$1560*AVERAGE('Assumptions (Geo)'!$AM$2:$AO$2)/10^9,0)</f>
        <v>2.5789357106659309E-2</v>
      </c>
      <c r="AX1761" s="105">
        <f>IF($AQ$1560&gt;0,'Assumptions (Geo)'!AC10*Model!$AQ$1560*AVERAGE('Assumptions (Geo)'!$AM$2:$AO$2)/10^9,0)</f>
        <v>2.5789357106659309E-2</v>
      </c>
      <c r="AY1761" s="105">
        <f>IF($AQ$1560&gt;0,'Assumptions (Geo)'!AD10*Model!$AQ$1560*AVERAGE('Assumptions (Geo)'!$AM$2:$AO$2)/10^9,0)</f>
        <v>2.5833067881416358E-2</v>
      </c>
      <c r="AZ1761" s="105">
        <f>IF($AQ$1560&gt;0,'Assumptions (Geo)'!AE10*Model!$AQ$1560*AVERAGE('Assumptions (Geo)'!$AM$2:$AO$2)/10^9,0)</f>
        <v>2.5789357106659309E-2</v>
      </c>
      <c r="BA1761" s="105">
        <f>IF($AQ$1560&gt;0,'Assumptions (Geo)'!AF10*Model!$AQ$1560*AVERAGE('Assumptions (Geo)'!$AM$2:$AO$2)/10^9,0)</f>
        <v>2.5833067881416358E-2</v>
      </c>
      <c r="BB1761" s="105">
        <f>IF($AQ$1560&gt;0,'Assumptions (Geo)'!AG10*Model!$AQ$1560*AVERAGE('Assumptions (Geo)'!$AM$2:$AO$2)/10^9,0)</f>
        <v>2.5789357106659309E-2</v>
      </c>
      <c r="BC1761" s="105">
        <f>IF($AQ$1560&gt;0,'Assumptions (Geo)'!AH10*Model!$AQ$1560*AVERAGE('Assumptions (Geo)'!$AM$2:$AO$2)/10^9,0)</f>
        <v>2.5833067881416358E-2</v>
      </c>
      <c r="BD1761" s="105">
        <f>IF($AQ$1560&gt;0,'Assumptions (Geo)'!AI10*Model!$AQ$1560*AVERAGE('Assumptions (Geo)'!$AM$2:$AO$2)/10^9,0)</f>
        <v>2.5789357106659309E-2</v>
      </c>
      <c r="BE1761" s="105">
        <f>IF($AQ$1560&gt;0,'Assumptions (Geo)'!AJ10*Model!$AQ$1560*AVERAGE('Assumptions (Geo)'!$AM$2:$AO$2)/10^9,0)</f>
        <v>2.5833067881416358E-2</v>
      </c>
      <c r="BF1761" s="105">
        <f>IF($AQ$1560&gt;0,'Assumptions (Geo)'!AK10*Model!$AQ$1560*AVERAGE('Assumptions (Geo)'!$AM$2:$AO$2)/10^9,0)</f>
        <v>1.2894678553329654E-2</v>
      </c>
      <c r="BG1761" s="105"/>
      <c r="BH1761" s="105"/>
      <c r="BI1761" s="105"/>
      <c r="BJ1761" s="105"/>
      <c r="BK1761" s="105"/>
      <c r="BL1761" s="105"/>
      <c r="BM1761" s="105"/>
      <c r="BN1761" s="105"/>
      <c r="BO1761" s="105"/>
    </row>
    <row r="1762" spans="1:68" ht="15.75" hidden="1" customHeight="1" outlineLevel="1">
      <c r="A1762" s="428"/>
      <c r="B1762" s="99"/>
      <c r="C1762" s="99"/>
      <c r="D1762" s="99"/>
      <c r="E1762" s="99"/>
      <c r="F1762" s="99"/>
      <c r="G1762" s="99"/>
      <c r="H1762" s="99"/>
      <c r="I1762" s="99"/>
      <c r="J1762" s="99"/>
      <c r="K1762" s="99"/>
      <c r="L1762" s="99"/>
      <c r="M1762" s="99"/>
      <c r="N1762" s="99"/>
      <c r="O1762" s="99"/>
      <c r="P1762" s="99"/>
      <c r="Q1762" s="99"/>
      <c r="R1762" s="99"/>
      <c r="S1762" s="99"/>
      <c r="T1762" s="99"/>
      <c r="U1762" s="99"/>
      <c r="V1762" s="99"/>
      <c r="W1762" s="105"/>
      <c r="X1762" s="105"/>
      <c r="Y1762" s="105"/>
      <c r="Z1762" s="105"/>
      <c r="AA1762" s="105"/>
      <c r="AB1762" s="105"/>
      <c r="AC1762" s="105"/>
      <c r="AD1762" s="105"/>
      <c r="AE1762" s="105"/>
      <c r="AF1762" s="105"/>
      <c r="AG1762" s="105"/>
      <c r="AH1762" s="105"/>
      <c r="AI1762" s="105"/>
      <c r="AJ1762" s="171"/>
      <c r="AK1762" s="105"/>
      <c r="AL1762" s="91"/>
      <c r="AM1762" s="91"/>
      <c r="AN1762" s="91"/>
      <c r="AO1762" s="105"/>
      <c r="AP1762" s="105"/>
      <c r="AQ1762" s="105"/>
      <c r="AR1762" s="105">
        <f>IF($AR$1560&gt;0,'Assumptions (Geo)'!V10*Model!$AR$1560*AVERAGE('Assumptions (Geo)'!$AN$2:$AP$2)/10^9,0)</f>
        <v>3.3635121493684757E-2</v>
      </c>
      <c r="AS1762" s="105">
        <f>IF($AR$1560&gt;0,'Assumptions (Geo)'!W10*Model!$AR$1560*AVERAGE('Assumptions (Geo)'!$AN$2:$AP$2)/10^9,0)</f>
        <v>6.3906730838001025E-2</v>
      </c>
      <c r="AT1762" s="105">
        <f>IF($AR$1560&gt;0,'Assumptions (Geo)'!X10*Model!$AR$1560*AVERAGE('Assumptions (Geo)'!$AN$2:$AP$2)/10^9,0)</f>
        <v>5.7516057754200926E-2</v>
      </c>
      <c r="AU1762" s="105">
        <f>IF($AR$1560&gt;0,'Assumptions (Geo)'!Y10*Model!$AR$1560*AVERAGE('Assumptions (Geo)'!$AN$2:$AP$2)/10^9,0)</f>
        <v>5.1798087100274511E-2</v>
      </c>
      <c r="AV1762" s="105">
        <f>IF($AR$1560&gt;0,'Assumptions (Geo)'!Z10*Model!$AR$1560*AVERAGE('Assumptions (Geo)'!$AN$2:$AP$2)/10^9,0)</f>
        <v>4.6618278390247063E-2</v>
      </c>
      <c r="AW1762" s="105">
        <f>IF($AR$1560&gt;0,'Assumptions (Geo)'!AA10*Model!$AR$1560*AVERAGE('Assumptions (Geo)'!$AN$2:$AP$2)/10^9,0)</f>
        <v>4.1909361381131195E-2</v>
      </c>
      <c r="AX1762" s="105">
        <f>IF($AR$1560&gt;0,'Assumptions (Geo)'!AB10*Model!$AR$1560*AVERAGE('Assumptions (Geo)'!$AN$2:$AP$2)/10^9,0)</f>
        <v>3.9689443362548003E-2</v>
      </c>
      <c r="AY1762" s="105">
        <f>IF($AR$1560&gt;0,'Assumptions (Geo)'!AC10*Model!$AR$1560*AVERAGE('Assumptions (Geo)'!$AN$2:$AP$2)/10^9,0)</f>
        <v>3.9689443362548003E-2</v>
      </c>
      <c r="AZ1762" s="105">
        <f>IF($AR$1560&gt;0,'Assumptions (Geo)'!AD10*Model!$AR$1560*AVERAGE('Assumptions (Geo)'!$AN$2:$AP$2)/10^9,0)</f>
        <v>3.9756713605535371E-2</v>
      </c>
      <c r="BA1762" s="105">
        <f>IF($AR$1560&gt;0,'Assumptions (Geo)'!AE10*Model!$AR$1560*AVERAGE('Assumptions (Geo)'!$AN$2:$AP$2)/10^9,0)</f>
        <v>3.9689443362548003E-2</v>
      </c>
      <c r="BB1762" s="105">
        <f>IF($AR$1560&gt;0,'Assumptions (Geo)'!AF10*Model!$AR$1560*AVERAGE('Assumptions (Geo)'!$AN$2:$AP$2)/10^9,0)</f>
        <v>3.9756713605535371E-2</v>
      </c>
      <c r="BC1762" s="105">
        <f>IF($AR$1560&gt;0,'Assumptions (Geo)'!AG10*Model!$AR$1560*AVERAGE('Assumptions (Geo)'!$AN$2:$AP$2)/10^9,0)</f>
        <v>3.9689443362548003E-2</v>
      </c>
      <c r="BD1762" s="105">
        <f>IF($AR$1560&gt;0,'Assumptions (Geo)'!AH10*Model!$AR$1560*AVERAGE('Assumptions (Geo)'!$AN$2:$AP$2)/10^9,0)</f>
        <v>3.9756713605535371E-2</v>
      </c>
      <c r="BE1762" s="105">
        <f>IF($AR$1560&gt;0,'Assumptions (Geo)'!AI10*Model!$AR$1560*AVERAGE('Assumptions (Geo)'!$AN$2:$AP$2)/10^9,0)</f>
        <v>3.9689443362548003E-2</v>
      </c>
      <c r="BF1762" s="105">
        <f>IF($AR$1560&gt;0,'Assumptions (Geo)'!AJ10*Model!$AR$1560*AVERAGE('Assumptions (Geo)'!$AN$2:$AP$2)/10^9,0)</f>
        <v>3.9756713605535371E-2</v>
      </c>
      <c r="BG1762" s="105">
        <f>IF($AR$1560&gt;0,'Assumptions (Geo)'!AK10*Model!$AR$1560*AVERAGE('Assumptions (Geo)'!$AN$2:$AP$2)/10^9,0)</f>
        <v>1.9844721681274002E-2</v>
      </c>
      <c r="BH1762" s="105"/>
      <c r="BI1762" s="105"/>
      <c r="BJ1762" s="105"/>
      <c r="BK1762" s="105"/>
      <c r="BL1762" s="105"/>
      <c r="BM1762" s="105"/>
      <c r="BN1762" s="105"/>
      <c r="BO1762" s="105"/>
      <c r="BP1762" s="105"/>
    </row>
    <row r="1763" spans="1:68" ht="15.75" hidden="1" customHeight="1" outlineLevel="1">
      <c r="A1763" s="428"/>
      <c r="B1763" s="99"/>
      <c r="C1763" s="99"/>
      <c r="D1763" s="99"/>
      <c r="E1763" s="99"/>
      <c r="F1763" s="99"/>
      <c r="G1763" s="99"/>
      <c r="H1763" s="99"/>
      <c r="I1763" s="99"/>
      <c r="J1763" s="99"/>
      <c r="K1763" s="99"/>
      <c r="L1763" s="99"/>
      <c r="M1763" s="99"/>
      <c r="N1763" s="99"/>
      <c r="O1763" s="99"/>
      <c r="P1763" s="99"/>
      <c r="Q1763" s="99"/>
      <c r="R1763" s="99"/>
      <c r="S1763" s="99"/>
      <c r="T1763" s="99"/>
      <c r="U1763" s="99"/>
      <c r="V1763" s="99"/>
      <c r="W1763" s="105"/>
      <c r="X1763" s="105"/>
      <c r="Y1763" s="105"/>
      <c r="Z1763" s="105"/>
      <c r="AA1763" s="105"/>
      <c r="AB1763" s="105"/>
      <c r="AC1763" s="105"/>
      <c r="AD1763" s="105"/>
      <c r="AE1763" s="105"/>
      <c r="AF1763" s="105"/>
      <c r="AG1763" s="105"/>
      <c r="AH1763" s="105"/>
      <c r="AI1763" s="105"/>
      <c r="AJ1763" s="171"/>
      <c r="AK1763" s="105"/>
      <c r="AL1763" s="91"/>
      <c r="AM1763" s="91"/>
      <c r="AN1763" s="91"/>
      <c r="AO1763" s="105"/>
      <c r="AP1763" s="105"/>
      <c r="AQ1763" s="105"/>
      <c r="AR1763" s="105"/>
      <c r="AS1763" s="105">
        <f>IF($AS$1560&gt;0,'Assumptions (Geo)'!V10*Model!$AS$1560*AVERAGE('Assumptions (Geo)'!$AO$2:$AQ$2)/10^9,0)</f>
        <v>0</v>
      </c>
      <c r="AT1763" s="105">
        <f>IF($AS$1560&gt;0,'Assumptions (Geo)'!W10*Model!$AS$1560*AVERAGE('Assumptions (Geo)'!$AO$2:$AQ$2)/10^9,0)</f>
        <v>0</v>
      </c>
      <c r="AU1763" s="105">
        <f>IF($AS$1560&gt;0,'Assumptions (Geo)'!X10*Model!$AS$1560*AVERAGE('Assumptions (Geo)'!$AO$2:$AQ$2)/10^9,0)</f>
        <v>0</v>
      </c>
      <c r="AV1763" s="105">
        <f>IF($AS$1560&gt;0,'Assumptions (Geo)'!Y10*Model!$AS$1560*AVERAGE('Assumptions (Geo)'!$AO$2:$AQ$2)/10^9,0)</f>
        <v>0</v>
      </c>
      <c r="AW1763" s="105">
        <f>IF($AS$1560&gt;0,'Assumptions (Geo)'!Z10*Model!$AS$1560*AVERAGE('Assumptions (Geo)'!$AO$2:$AQ$2)/10^9,0)</f>
        <v>0</v>
      </c>
      <c r="AX1763" s="105">
        <f>IF($AS$1560&gt;0,'Assumptions (Geo)'!AA10*Model!$AS$1560*AVERAGE('Assumptions (Geo)'!$AO$2:$AQ$2)/10^9,0)</f>
        <v>0</v>
      </c>
      <c r="AY1763" s="105">
        <f>IF($AS$1560&gt;0,'Assumptions (Geo)'!AB10*Model!$AS$1560*AVERAGE('Assumptions (Geo)'!$AO$2:$AQ$2)/10^9,0)</f>
        <v>0</v>
      </c>
      <c r="AZ1763" s="105">
        <f>IF($AS$1560&gt;0,'Assumptions (Geo)'!AC10*Model!$AS$1560*AVERAGE('Assumptions (Geo)'!$AO$2:$AQ$2)/10^9,0)</f>
        <v>0</v>
      </c>
      <c r="BA1763" s="105">
        <f>IF($AS$1560&gt;0,'Assumptions (Geo)'!AD10*Model!$AS$1560*AVERAGE('Assumptions (Geo)'!$AO$2:$AQ$2)/10^9,0)</f>
        <v>0</v>
      </c>
      <c r="BB1763" s="105">
        <f>IF($AS$1560&gt;0,'Assumptions (Geo)'!AE10*Model!$AS$1560*AVERAGE('Assumptions (Geo)'!$AO$2:$AQ$2)/10^9,0)</f>
        <v>0</v>
      </c>
      <c r="BC1763" s="105">
        <f>IF($AS$1560&gt;0,'Assumptions (Geo)'!AF10*Model!$AS$1560*AVERAGE('Assumptions (Geo)'!$AO$2:$AQ$2)/10^9,0)</f>
        <v>0</v>
      </c>
      <c r="BD1763" s="105">
        <f>IF($AS$1560&gt;0,'Assumptions (Geo)'!AG10*Model!$AS$1560*AVERAGE('Assumptions (Geo)'!$AO$2:$AQ$2)/10^9,0)</f>
        <v>0</v>
      </c>
      <c r="BE1763" s="105">
        <f>IF($AS$1560&gt;0,'Assumptions (Geo)'!AH10*Model!$AS$1560*AVERAGE('Assumptions (Geo)'!$AO$2:$AQ$2)/10^9,0)</f>
        <v>0</v>
      </c>
      <c r="BF1763" s="105">
        <f>IF($AS$1560&gt;0,'Assumptions (Geo)'!AI10*Model!$AS$1560*AVERAGE('Assumptions (Geo)'!$AO$2:$AQ$2)/10^9,0)</f>
        <v>0</v>
      </c>
      <c r="BG1763" s="105">
        <f>IF($AS$1560&gt;0,'Assumptions (Geo)'!AJ10*Model!$AS$1560*AVERAGE('Assumptions (Geo)'!$AO$2:$AQ$2)/10^9,0)</f>
        <v>0</v>
      </c>
      <c r="BH1763" s="105">
        <f>IF($AS$1560&gt;0,'Assumptions (Geo)'!AK10*Model!$AS$1560*AVERAGE('Assumptions (Geo)'!$AO$2:$AQ$2)/10^9,0)</f>
        <v>0</v>
      </c>
      <c r="BI1763" s="105"/>
      <c r="BJ1763" s="105"/>
      <c r="BK1763" s="105"/>
      <c r="BL1763" s="105"/>
      <c r="BM1763" s="105"/>
      <c r="BN1763" s="105"/>
      <c r="BO1763" s="105"/>
      <c r="BP1763" s="105"/>
    </row>
    <row r="1764" spans="1:68" ht="15.75" hidden="1" customHeight="1" outlineLevel="1">
      <c r="A1764" s="428"/>
      <c r="B1764" s="99"/>
      <c r="C1764" s="99"/>
      <c r="D1764" s="99"/>
      <c r="E1764" s="99"/>
      <c r="F1764" s="99"/>
      <c r="G1764" s="99"/>
      <c r="H1764" s="99"/>
      <c r="I1764" s="99"/>
      <c r="J1764" s="99"/>
      <c r="K1764" s="99"/>
      <c r="L1764" s="99"/>
      <c r="M1764" s="99"/>
      <c r="N1764" s="99"/>
      <c r="O1764" s="99"/>
      <c r="P1764" s="99"/>
      <c r="Q1764" s="99"/>
      <c r="R1764" s="99"/>
      <c r="S1764" s="99"/>
      <c r="T1764" s="99"/>
      <c r="U1764" s="99"/>
      <c r="V1764" s="99"/>
      <c r="W1764" s="105"/>
      <c r="X1764" s="105"/>
      <c r="Y1764" s="105"/>
      <c r="Z1764" s="105"/>
      <c r="AA1764" s="105"/>
      <c r="AB1764" s="105"/>
      <c r="AC1764" s="105"/>
      <c r="AD1764" s="105"/>
      <c r="AE1764" s="105"/>
      <c r="AF1764" s="105"/>
      <c r="AG1764" s="105"/>
      <c r="AH1764" s="105"/>
      <c r="AI1764" s="105"/>
      <c r="AJ1764" s="171"/>
      <c r="AK1764" s="105"/>
      <c r="AL1764" s="91"/>
      <c r="AM1764" s="91"/>
      <c r="AN1764" s="91"/>
      <c r="AO1764" s="105"/>
      <c r="AP1764" s="105"/>
      <c r="AQ1764" s="105"/>
      <c r="AR1764" s="105"/>
      <c r="AS1764" s="105"/>
      <c r="AT1764" s="105">
        <f>IF($AT$1560&gt;0,'Assumptions (Geo)'!V10*Model!$AT$1560*AVERAGE('Assumptions (Geo)'!$AP$2:$AR$2)/10^9,0)</f>
        <v>0</v>
      </c>
      <c r="AU1764" s="105">
        <f>IF($AT$1560&gt;0,'Assumptions (Geo)'!W10*Model!$AT$1560*AVERAGE('Assumptions (Geo)'!$AP$2:$AR$2)/10^9,0)</f>
        <v>0</v>
      </c>
      <c r="AV1764" s="105">
        <f>IF($AT$1560&gt;0,'Assumptions (Geo)'!X10*Model!$AT$1560*AVERAGE('Assumptions (Geo)'!$AP$2:$AR$2)/10^9,0)</f>
        <v>0</v>
      </c>
      <c r="AW1764" s="105">
        <f>IF($AT$1560&gt;0,'Assumptions (Geo)'!Y10*Model!$AT$1560*AVERAGE('Assumptions (Geo)'!$AP$2:$AR$2)/10^9,0)</f>
        <v>0</v>
      </c>
      <c r="AX1764" s="105">
        <f>IF($AT$1560&gt;0,'Assumptions (Geo)'!Z10*Model!$AT$1560*AVERAGE('Assumptions (Geo)'!$AP$2:$AR$2)/10^9,0)</f>
        <v>0</v>
      </c>
      <c r="AY1764" s="105">
        <f>IF($AT$1560&gt;0,'Assumptions (Geo)'!AA10*Model!$AT$1560*AVERAGE('Assumptions (Geo)'!$AP$2:$AR$2)/10^9,0)</f>
        <v>0</v>
      </c>
      <c r="AZ1764" s="105">
        <f>IF($AT$1560&gt;0,'Assumptions (Geo)'!AB10*Model!$AT$1560*AVERAGE('Assumptions (Geo)'!$AP$2:$AR$2)/10^9,0)</f>
        <v>0</v>
      </c>
      <c r="BA1764" s="105">
        <f>IF($AT$1560&gt;0,'Assumptions (Geo)'!AC10*Model!$AT$1560*AVERAGE('Assumptions (Geo)'!$AP$2:$AR$2)/10^9,0)</f>
        <v>0</v>
      </c>
      <c r="BB1764" s="105">
        <f>IF($AT$1560&gt;0,'Assumptions (Geo)'!AD10*Model!$AT$1560*AVERAGE('Assumptions (Geo)'!$AP$2:$AR$2)/10^9,0)</f>
        <v>0</v>
      </c>
      <c r="BC1764" s="105">
        <f>IF($AT$1560&gt;0,'Assumptions (Geo)'!AE10*Model!$AT$1560*AVERAGE('Assumptions (Geo)'!$AP$2:$AR$2)/10^9,0)</f>
        <v>0</v>
      </c>
      <c r="BD1764" s="105">
        <f>IF($AT$1560&gt;0,'Assumptions (Geo)'!AF10*Model!$AT$1560*AVERAGE('Assumptions (Geo)'!$AP$2:$AR$2)/10^9,0)</f>
        <v>0</v>
      </c>
      <c r="BE1764" s="105">
        <f>IF($AT$1560&gt;0,'Assumptions (Geo)'!AG10*Model!$AT$1560*AVERAGE('Assumptions (Geo)'!$AP$2:$AR$2)/10^9,0)</f>
        <v>0</v>
      </c>
      <c r="BF1764" s="105">
        <f>IF($AT$1560&gt;0,'Assumptions (Geo)'!AH10*Model!$AT$1560*AVERAGE('Assumptions (Geo)'!$AP$2:$AR$2)/10^9,0)</f>
        <v>0</v>
      </c>
      <c r="BG1764" s="105">
        <f>IF($AT$1560&gt;0,'Assumptions (Geo)'!AI10*Model!$AT$1560*AVERAGE('Assumptions (Geo)'!$AP$2:$AR$2)/10^9,0)</f>
        <v>0</v>
      </c>
      <c r="BH1764" s="105">
        <f>IF($AT$1560&gt;0,'Assumptions (Geo)'!AJ10*Model!$AT$1560*AVERAGE('Assumptions (Geo)'!$AP$2:$AR$2)/10^9,0)</f>
        <v>0</v>
      </c>
      <c r="BI1764" s="105">
        <f>IF($AT$1560&gt;0,'Assumptions (Geo)'!AK10*Model!$AT$1560*AVERAGE('Assumptions (Geo)'!$AP$2:$AR$2)/10^9,0)</f>
        <v>0</v>
      </c>
      <c r="BJ1764" s="105"/>
      <c r="BK1764" s="105"/>
      <c r="BL1764" s="105"/>
      <c r="BM1764" s="105"/>
      <c r="BN1764" s="105"/>
      <c r="BO1764" s="105"/>
      <c r="BP1764" s="105"/>
    </row>
    <row r="1765" spans="1:68" ht="15.75" hidden="1" customHeight="1" outlineLevel="1">
      <c r="A1765" s="428"/>
      <c r="B1765" s="99"/>
      <c r="C1765" s="99"/>
      <c r="D1765" s="99"/>
      <c r="E1765" s="99"/>
      <c r="F1765" s="99"/>
      <c r="G1765" s="99"/>
      <c r="H1765" s="99"/>
      <c r="I1765" s="99"/>
      <c r="J1765" s="99"/>
      <c r="K1765" s="99"/>
      <c r="L1765" s="99"/>
      <c r="M1765" s="99"/>
      <c r="N1765" s="99"/>
      <c r="O1765" s="99"/>
      <c r="P1765" s="99"/>
      <c r="Q1765" s="99"/>
      <c r="R1765" s="99"/>
      <c r="S1765" s="99"/>
      <c r="T1765" s="99"/>
      <c r="U1765" s="99"/>
      <c r="V1765" s="99"/>
      <c r="W1765" s="105"/>
      <c r="X1765" s="105"/>
      <c r="Y1765" s="105"/>
      <c r="Z1765" s="105"/>
      <c r="AA1765" s="105"/>
      <c r="AB1765" s="105"/>
      <c r="AC1765" s="105"/>
      <c r="AD1765" s="105"/>
      <c r="AE1765" s="105"/>
      <c r="AF1765" s="105"/>
      <c r="AG1765" s="105"/>
      <c r="AH1765" s="105"/>
      <c r="AI1765" s="105"/>
      <c r="AJ1765" s="171"/>
      <c r="AK1765" s="105"/>
      <c r="AL1765" s="91"/>
      <c r="AM1765" s="91"/>
      <c r="AN1765" s="91"/>
      <c r="AO1765" s="105"/>
      <c r="AP1765" s="105"/>
      <c r="AQ1765" s="105"/>
      <c r="AR1765" s="105"/>
      <c r="AS1765" s="105"/>
      <c r="AT1765" s="105"/>
      <c r="AU1765" s="105">
        <f>IF($AU$1560&gt;0,'Assumptions (Geo)'!V10*Model!$AU$1560*AVERAGE('Assumptions (Geo)'!$AQ$2:$AS$2)/10^9,0)</f>
        <v>0</v>
      </c>
      <c r="AV1765" s="105">
        <f>IF($AU$1560&gt;0,'Assumptions (Geo)'!W10*Model!$AU$1560*AVERAGE('Assumptions (Geo)'!$AQ$2:$AS$2)/10^9,0)</f>
        <v>0</v>
      </c>
      <c r="AW1765" s="105">
        <f>IF($AU$1560&gt;0,'Assumptions (Geo)'!X10*Model!$AU$1560*AVERAGE('Assumptions (Geo)'!$AQ$2:$AS$2)/10^9,0)</f>
        <v>0</v>
      </c>
      <c r="AX1765" s="105">
        <f>IF($AU$1560&gt;0,'Assumptions (Geo)'!Y10*Model!$AU$1560*AVERAGE('Assumptions (Geo)'!$AQ$2:$AS$2)/10^9,0)</f>
        <v>0</v>
      </c>
      <c r="AY1765" s="105">
        <f>IF($AU$1560&gt;0,'Assumptions (Geo)'!Z10*Model!$AU$1560*AVERAGE('Assumptions (Geo)'!$AQ$2:$AS$2)/10^9,0)</f>
        <v>0</v>
      </c>
      <c r="AZ1765" s="105">
        <f>IF($AU$1560&gt;0,'Assumptions (Geo)'!AA10*Model!$AU$1560*AVERAGE('Assumptions (Geo)'!$AQ$2:$AS$2)/10^9,0)</f>
        <v>0</v>
      </c>
      <c r="BA1765" s="105">
        <f>IF($AU$1560&gt;0,'Assumptions (Geo)'!AB10*Model!$AU$1560*AVERAGE('Assumptions (Geo)'!$AQ$2:$AS$2)/10^9,0)</f>
        <v>0</v>
      </c>
      <c r="BB1765" s="105">
        <f>IF($AU$1560&gt;0,'Assumptions (Geo)'!AC10*Model!$AU$1560*AVERAGE('Assumptions (Geo)'!$AQ$2:$AS$2)/10^9,0)</f>
        <v>0</v>
      </c>
      <c r="BC1765" s="105">
        <f>IF($AU$1560&gt;0,'Assumptions (Geo)'!AD10*Model!$AU$1560*AVERAGE('Assumptions (Geo)'!$AQ$2:$AS$2)/10^9,0)</f>
        <v>0</v>
      </c>
      <c r="BD1765" s="105">
        <f>IF($AU$1560&gt;0,'Assumptions (Geo)'!AE10*Model!$AU$1560*AVERAGE('Assumptions (Geo)'!$AQ$2:$AS$2)/10^9,0)</f>
        <v>0</v>
      </c>
      <c r="BE1765" s="105">
        <f>IF($AU$1560&gt;0,'Assumptions (Geo)'!AF10*Model!$AU$1560*AVERAGE('Assumptions (Geo)'!$AQ$2:$AS$2)/10^9,0)</f>
        <v>0</v>
      </c>
      <c r="BF1765" s="105">
        <f>IF($AU$1560&gt;0,'Assumptions (Geo)'!AG10*Model!$AU$1560*AVERAGE('Assumptions (Geo)'!$AQ$2:$AS$2)/10^9,0)</f>
        <v>0</v>
      </c>
      <c r="BG1765" s="105">
        <f>IF($AU$1560&gt;0,'Assumptions (Geo)'!AH10*Model!$AU$1560*AVERAGE('Assumptions (Geo)'!$AQ$2:$AS$2)/10^9,0)</f>
        <v>0</v>
      </c>
      <c r="BH1765" s="105">
        <f>IF($AU$1560&gt;0,'Assumptions (Geo)'!AI10*Model!$AU$1560*AVERAGE('Assumptions (Geo)'!$AQ$2:$AS$2)/10^9,0)</f>
        <v>0</v>
      </c>
      <c r="BI1765" s="105">
        <f>IF($AU$1560&gt;0,'Assumptions (Geo)'!AJ10*Model!$AU$1560*AVERAGE('Assumptions (Geo)'!$AQ$2:$AS$2)/10^9,0)</f>
        <v>0</v>
      </c>
      <c r="BJ1765" s="105">
        <f>IF($AU$1560&gt;0,'Assumptions (Geo)'!AK10*Model!$AU$1560*AVERAGE('Assumptions (Geo)'!$AQ$2:$AS$2)/10^9,0)</f>
        <v>0</v>
      </c>
      <c r="BK1765" s="105"/>
      <c r="BL1765" s="105"/>
      <c r="BM1765" s="105"/>
      <c r="BN1765" s="105"/>
      <c r="BO1765" s="105"/>
      <c r="BP1765" s="105"/>
    </row>
    <row r="1766" spans="1:68" ht="15.75" hidden="1" customHeight="1" outlineLevel="1">
      <c r="A1766" s="428"/>
      <c r="B1766" s="99"/>
      <c r="C1766" s="99"/>
      <c r="D1766" s="99"/>
      <c r="E1766" s="99"/>
      <c r="F1766" s="99"/>
      <c r="G1766" s="99"/>
      <c r="H1766" s="99"/>
      <c r="I1766" s="99"/>
      <c r="J1766" s="99"/>
      <c r="K1766" s="99"/>
      <c r="L1766" s="99"/>
      <c r="M1766" s="99"/>
      <c r="N1766" s="99"/>
      <c r="O1766" s="99"/>
      <c r="P1766" s="99"/>
      <c r="Q1766" s="99"/>
      <c r="R1766" s="99"/>
      <c r="S1766" s="99"/>
      <c r="T1766" s="99"/>
      <c r="U1766" s="99"/>
      <c r="V1766" s="99"/>
      <c r="W1766" s="105"/>
      <c r="X1766" s="105"/>
      <c r="Y1766" s="105"/>
      <c r="Z1766" s="105"/>
      <c r="AA1766" s="105"/>
      <c r="AB1766" s="105"/>
      <c r="AC1766" s="105"/>
      <c r="AD1766" s="105"/>
      <c r="AE1766" s="105"/>
      <c r="AF1766" s="105"/>
      <c r="AG1766" s="105"/>
      <c r="AH1766" s="105"/>
      <c r="AI1766" s="105"/>
      <c r="AJ1766" s="171"/>
      <c r="AK1766" s="105"/>
      <c r="AL1766" s="91"/>
      <c r="AM1766" s="91"/>
      <c r="AN1766" s="91"/>
      <c r="AO1766" s="105"/>
      <c r="AP1766" s="105"/>
      <c r="AQ1766" s="105"/>
      <c r="AR1766" s="105"/>
      <c r="AS1766" s="105"/>
      <c r="AT1766" s="105"/>
      <c r="AU1766" s="105"/>
      <c r="AV1766" s="105">
        <f>IF($AV$1560&gt;0,'Assumptions (Geo)'!V10*Model!$AV$1560*AVERAGE('Assumptions (Geo)'!$AR$2:$AT$2)/10^9,0)</f>
        <v>0</v>
      </c>
      <c r="AW1766" s="105">
        <f>IF($AV$1560&gt;0,'Assumptions (Geo)'!W10*Model!$AV$1560*AVERAGE('Assumptions (Geo)'!$AR$2:$AT$2)/10^9,0)</f>
        <v>0</v>
      </c>
      <c r="AX1766" s="105">
        <f>IF($AV$1560&gt;0,'Assumptions (Geo)'!X10*Model!$AV$1560*AVERAGE('Assumptions (Geo)'!$AR$2:$AT$2)/10^9,0)</f>
        <v>0</v>
      </c>
      <c r="AY1766" s="105">
        <f>IF($AV$1560&gt;0,'Assumptions (Geo)'!Y10*Model!$AV$1560*AVERAGE('Assumptions (Geo)'!$AR$2:$AT$2)/10^9,0)</f>
        <v>0</v>
      </c>
      <c r="AZ1766" s="105">
        <f>IF($AV$1560&gt;0,'Assumptions (Geo)'!Z10*Model!$AV$1560*AVERAGE('Assumptions (Geo)'!$AR$2:$AT$2)/10^9,0)</f>
        <v>0</v>
      </c>
      <c r="BA1766" s="105">
        <f>IF($AV$1560&gt;0,'Assumptions (Geo)'!AA10*Model!$AV$1560*AVERAGE('Assumptions (Geo)'!$AR$2:$AT$2)/10^9,0)</f>
        <v>0</v>
      </c>
      <c r="BB1766" s="105">
        <f>IF($AV$1560&gt;0,'Assumptions (Geo)'!AB10*Model!$AV$1560*AVERAGE('Assumptions (Geo)'!$AR$2:$AT$2)/10^9,0)</f>
        <v>0</v>
      </c>
      <c r="BC1766" s="105">
        <f>IF($AV$1560&gt;0,'Assumptions (Geo)'!AC10*Model!$AV$1560*AVERAGE('Assumptions (Geo)'!$AR$2:$AT$2)/10^9,0)</f>
        <v>0</v>
      </c>
      <c r="BD1766" s="105">
        <f>IF($AV$1560&gt;0,'Assumptions (Geo)'!AD10*Model!$AV$1560*AVERAGE('Assumptions (Geo)'!$AR$2:$AT$2)/10^9,0)</f>
        <v>0</v>
      </c>
      <c r="BE1766" s="105">
        <f>IF($AV$1560&gt;0,'Assumptions (Geo)'!AE10*Model!$AV$1560*AVERAGE('Assumptions (Geo)'!$AR$2:$AT$2)/10^9,0)</f>
        <v>0</v>
      </c>
      <c r="BF1766" s="105">
        <f>IF($AV$1560&gt;0,'Assumptions (Geo)'!AF10*Model!$AV$1560*AVERAGE('Assumptions (Geo)'!$AR$2:$AT$2)/10^9,0)</f>
        <v>0</v>
      </c>
      <c r="BG1766" s="105">
        <f>IF($AV$1560&gt;0,'Assumptions (Geo)'!AG10*Model!$AV$1560*AVERAGE('Assumptions (Geo)'!$AR$2:$AT$2)/10^9,0)</f>
        <v>0</v>
      </c>
      <c r="BH1766" s="105">
        <f>IF($AV$1560&gt;0,'Assumptions (Geo)'!AH10*Model!$AV$1560*AVERAGE('Assumptions (Geo)'!$AR$2:$AT$2)/10^9,0)</f>
        <v>0</v>
      </c>
      <c r="BI1766" s="105">
        <f>IF($AV$1560&gt;0,'Assumptions (Geo)'!AI10*Model!$AV$1560*AVERAGE('Assumptions (Geo)'!$AR$2:$AT$2)/10^9,0)</f>
        <v>0</v>
      </c>
      <c r="BJ1766" s="105">
        <f>IF($AV$1560&gt;0,'Assumptions (Geo)'!AJ10*Model!$AV$1560*AVERAGE('Assumptions (Geo)'!$AR$2:$AT$2)/10^9,0)</f>
        <v>0</v>
      </c>
      <c r="BK1766" s="105">
        <f>IF($AV$1560&gt;0,'Assumptions (Geo)'!AK10*Model!$AV$1560*AVERAGE('Assumptions (Geo)'!$AR$2:$AT$2)/10^9,0)</f>
        <v>0</v>
      </c>
      <c r="BL1766" s="105"/>
      <c r="BM1766" s="105"/>
      <c r="BN1766" s="105"/>
      <c r="BO1766" s="105"/>
      <c r="BP1766" s="105"/>
    </row>
    <row r="1767" spans="1:68" ht="15.75" hidden="1" customHeight="1" outlineLevel="1">
      <c r="A1767" s="428"/>
      <c r="B1767" s="99"/>
      <c r="C1767" s="99"/>
      <c r="D1767" s="99"/>
      <c r="E1767" s="99"/>
      <c r="F1767" s="99"/>
      <c r="G1767" s="99"/>
      <c r="H1767" s="99"/>
      <c r="I1767" s="99"/>
      <c r="J1767" s="99"/>
      <c r="K1767" s="99"/>
      <c r="L1767" s="99"/>
      <c r="M1767" s="99"/>
      <c r="N1767" s="99"/>
      <c r="O1767" s="99"/>
      <c r="P1767" s="99"/>
      <c r="Q1767" s="99"/>
      <c r="R1767" s="99"/>
      <c r="S1767" s="99"/>
      <c r="T1767" s="99"/>
      <c r="U1767" s="99"/>
      <c r="V1767" s="99"/>
      <c r="W1767" s="105"/>
      <c r="X1767" s="105"/>
      <c r="Y1767" s="105"/>
      <c r="Z1767" s="105"/>
      <c r="AA1767" s="105"/>
      <c r="AB1767" s="105"/>
      <c r="AC1767" s="105"/>
      <c r="AD1767" s="105"/>
      <c r="AE1767" s="105"/>
      <c r="AF1767" s="105"/>
      <c r="AG1767" s="105"/>
      <c r="AH1767" s="105"/>
      <c r="AI1767" s="105"/>
      <c r="AJ1767" s="171"/>
      <c r="AK1767" s="105"/>
      <c r="AL1767" s="91"/>
      <c r="AM1767" s="91"/>
      <c r="AN1767" s="91"/>
      <c r="AO1767" s="105"/>
      <c r="AP1767" s="105"/>
      <c r="AQ1767" s="105"/>
      <c r="AR1767" s="105"/>
      <c r="AS1767" s="105"/>
      <c r="AT1767" s="105"/>
      <c r="AU1767" s="105"/>
      <c r="AV1767" s="105"/>
      <c r="AW1767" s="105">
        <f>IF($AW$1560&gt;0,'Assumptions (Geo)'!V10*Model!$AW$1560*AVERAGE('Assumptions (Geo)'!$AS$2:$AU$2)/10^9,0)</f>
        <v>0</v>
      </c>
      <c r="AX1767" s="105">
        <f>IF($AW$1560&gt;0,'Assumptions (Geo)'!W10*Model!$AW$1560*AVERAGE('Assumptions (Geo)'!$AS$2:$AU$2)/10^9,0)</f>
        <v>0</v>
      </c>
      <c r="AY1767" s="105">
        <f>IF($AW$1560&gt;0,'Assumptions (Geo)'!X10*Model!$AW$1560*AVERAGE('Assumptions (Geo)'!$AS$2:$AU$2)/10^9,0)</f>
        <v>0</v>
      </c>
      <c r="AZ1767" s="105">
        <f>IF($AW$1560&gt;0,'Assumptions (Geo)'!Y10*Model!$AW$1560*AVERAGE('Assumptions (Geo)'!$AS$2:$AU$2)/10^9,0)</f>
        <v>0</v>
      </c>
      <c r="BA1767" s="105">
        <f>IF($AW$1560&gt;0,'Assumptions (Geo)'!Z10*Model!$AW$1560*AVERAGE('Assumptions (Geo)'!$AS$2:$AU$2)/10^9,0)</f>
        <v>0</v>
      </c>
      <c r="BB1767" s="105">
        <f>IF($AW$1560&gt;0,'Assumptions (Geo)'!AA10*Model!$AW$1560*AVERAGE('Assumptions (Geo)'!$AS$2:$AU$2)/10^9,0)</f>
        <v>0</v>
      </c>
      <c r="BC1767" s="105">
        <f>IF($AW$1560&gt;0,'Assumptions (Geo)'!AB10*Model!$AW$1560*AVERAGE('Assumptions (Geo)'!$AS$2:$AU$2)/10^9,0)</f>
        <v>0</v>
      </c>
      <c r="BD1767" s="105">
        <f>IF($AW$1560&gt;0,'Assumptions (Geo)'!AC10*Model!$AW$1560*AVERAGE('Assumptions (Geo)'!$AS$2:$AU$2)/10^9,0)</f>
        <v>0</v>
      </c>
      <c r="BE1767" s="105">
        <f>IF($AW$1560&gt;0,'Assumptions (Geo)'!AD10*Model!$AW$1560*AVERAGE('Assumptions (Geo)'!$AS$2:$AU$2)/10^9,0)</f>
        <v>0</v>
      </c>
      <c r="BF1767" s="105">
        <f>IF($AW$1560&gt;0,'Assumptions (Geo)'!AE10*Model!$AW$1560*AVERAGE('Assumptions (Geo)'!$AS$2:$AU$2)/10^9,0)</f>
        <v>0</v>
      </c>
      <c r="BG1767" s="105">
        <f>IF($AW$1560&gt;0,'Assumptions (Geo)'!AF10*Model!$AW$1560*AVERAGE('Assumptions (Geo)'!$AS$2:$AU$2)/10^9,0)</f>
        <v>0</v>
      </c>
      <c r="BH1767" s="105">
        <f>IF($AW$1560&gt;0,'Assumptions (Geo)'!AG10*Model!$AW$1560*AVERAGE('Assumptions (Geo)'!$AS$2:$AU$2)/10^9,0)</f>
        <v>0</v>
      </c>
      <c r="BI1767" s="105">
        <f>IF($AW$1560&gt;0,'Assumptions (Geo)'!AH10*Model!$AW$1560*AVERAGE('Assumptions (Geo)'!$AS$2:$AU$2)/10^9,0)</f>
        <v>0</v>
      </c>
      <c r="BJ1767" s="105">
        <f>IF($AW$1560&gt;0,'Assumptions (Geo)'!AI10*Model!$AW$1560*AVERAGE('Assumptions (Geo)'!$AS$2:$AU$2)/10^9,0)</f>
        <v>0</v>
      </c>
      <c r="BK1767" s="105">
        <f>IF($AW$1560&gt;0,'Assumptions (Geo)'!AJ10*Model!$AW$1560*AVERAGE('Assumptions (Geo)'!$AS$2:$AU$2)/10^9,0)</f>
        <v>0</v>
      </c>
      <c r="BL1767" s="105">
        <f>IF($AW$1560&gt;0,'Assumptions (Geo)'!AK10*Model!$AW$1560*AVERAGE('Assumptions (Geo)'!$AS$2:$AU$2)/10^9,0)</f>
        <v>0</v>
      </c>
      <c r="BM1767" s="105"/>
      <c r="BN1767" s="105"/>
      <c r="BO1767" s="105"/>
      <c r="BP1767" s="105"/>
    </row>
    <row r="1768" spans="1:68" ht="15.75" hidden="1" customHeight="1" outlineLevel="1">
      <c r="A1768" s="428"/>
      <c r="B1768" s="99"/>
      <c r="C1768" s="99"/>
      <c r="D1768" s="99"/>
      <c r="E1768" s="99"/>
      <c r="F1768" s="99"/>
      <c r="G1768" s="99"/>
      <c r="H1768" s="99"/>
      <c r="I1768" s="99"/>
      <c r="J1768" s="99"/>
      <c r="K1768" s="99"/>
      <c r="L1768" s="99"/>
      <c r="M1768" s="99"/>
      <c r="N1768" s="99"/>
      <c r="O1768" s="99"/>
      <c r="P1768" s="99"/>
      <c r="Q1768" s="99"/>
      <c r="R1768" s="99"/>
      <c r="S1768" s="99"/>
      <c r="T1768" s="99"/>
      <c r="U1768" s="99"/>
      <c r="V1768" s="99"/>
      <c r="W1768" s="105"/>
      <c r="X1768" s="105"/>
      <c r="Y1768" s="105"/>
      <c r="Z1768" s="105"/>
      <c r="AA1768" s="105"/>
      <c r="AB1768" s="105"/>
      <c r="AC1768" s="105"/>
      <c r="AD1768" s="105"/>
      <c r="AE1768" s="105"/>
      <c r="AF1768" s="105"/>
      <c r="AG1768" s="105"/>
      <c r="AH1768" s="105"/>
      <c r="AI1768" s="105"/>
      <c r="AJ1768" s="171"/>
      <c r="AK1768" s="105"/>
      <c r="AL1768" s="91"/>
      <c r="AM1768" s="91"/>
      <c r="AN1768" s="91"/>
      <c r="AO1768" s="105"/>
      <c r="AP1768" s="105"/>
      <c r="AQ1768" s="105"/>
      <c r="AR1768" s="105"/>
      <c r="AS1768" s="105"/>
      <c r="AT1768" s="105"/>
      <c r="AU1768" s="105"/>
      <c r="AV1768" s="105"/>
      <c r="AW1768" s="105"/>
      <c r="AX1768" s="105">
        <f>IF($AX$1560&gt;0,'Assumptions (Geo)'!V10*Model!$AX$1560*AVERAGE('Assumptions (Geo)'!$AT$2:$AV$2)/10^9,0)</f>
        <v>0</v>
      </c>
      <c r="AY1768" s="105">
        <f>IF($AX$1560&gt;0,'Assumptions (Geo)'!W10*Model!$AX$1560*AVERAGE('Assumptions (Geo)'!$AT$2:$AV$2)/10^9,0)</f>
        <v>0</v>
      </c>
      <c r="AZ1768" s="105">
        <f>IF($AX$1560&gt;0,'Assumptions (Geo)'!X10*Model!$AX$1560*AVERAGE('Assumptions (Geo)'!$AT$2:$AV$2)/10^9,0)</f>
        <v>0</v>
      </c>
      <c r="BA1768" s="105">
        <f>IF($AX$1560&gt;0,'Assumptions (Geo)'!Y10*Model!$AX$1560*AVERAGE('Assumptions (Geo)'!$AT$2:$AV$2)/10^9,0)</f>
        <v>0</v>
      </c>
      <c r="BB1768" s="105">
        <f>IF($AX$1560&gt;0,'Assumptions (Geo)'!Z10*Model!$AX$1560*AVERAGE('Assumptions (Geo)'!$AT$2:$AV$2)/10^9,0)</f>
        <v>0</v>
      </c>
      <c r="BC1768" s="105">
        <f>IF($AX$1560&gt;0,'Assumptions (Geo)'!AA10*Model!$AX$1560*AVERAGE('Assumptions (Geo)'!$AT$2:$AV$2)/10^9,0)</f>
        <v>0</v>
      </c>
      <c r="BD1768" s="105">
        <f>IF($AX$1560&gt;0,'Assumptions (Geo)'!AB10*Model!$AX$1560*AVERAGE('Assumptions (Geo)'!$AT$2:$AV$2)/10^9,0)</f>
        <v>0</v>
      </c>
      <c r="BE1768" s="105">
        <f>IF($AX$1560&gt;0,'Assumptions (Geo)'!AC10*Model!$AX$1560*AVERAGE('Assumptions (Geo)'!$AT$2:$AV$2)/10^9,0)</f>
        <v>0</v>
      </c>
      <c r="BF1768" s="105">
        <f>IF($AX$1560&gt;0,'Assumptions (Geo)'!AD10*Model!$AX$1560*AVERAGE('Assumptions (Geo)'!$AT$2:$AV$2)/10^9,0)</f>
        <v>0</v>
      </c>
      <c r="BG1768" s="105">
        <f>IF($AX$1560&gt;0,'Assumptions (Geo)'!AE10*Model!$AX$1560*AVERAGE('Assumptions (Geo)'!$AT$2:$AV$2)/10^9,0)</f>
        <v>0</v>
      </c>
      <c r="BH1768" s="105">
        <f>IF($AX$1560&gt;0,'Assumptions (Geo)'!AF10*Model!$AX$1560*AVERAGE('Assumptions (Geo)'!$AT$2:$AV$2)/10^9,0)</f>
        <v>0</v>
      </c>
      <c r="BI1768" s="105">
        <f>IF($AX$1560&gt;0,'Assumptions (Geo)'!AG10*Model!$AX$1560*AVERAGE('Assumptions (Geo)'!$AT$2:$AV$2)/10^9,0)</f>
        <v>0</v>
      </c>
      <c r="BJ1768" s="105">
        <f>IF($AX$1560&gt;0,'Assumptions (Geo)'!AH10*Model!$AX$1560*AVERAGE('Assumptions (Geo)'!$AT$2:$AV$2)/10^9,0)</f>
        <v>0</v>
      </c>
      <c r="BK1768" s="105">
        <f>IF($AX$1560&gt;0,'Assumptions (Geo)'!AI10*Model!$AX$1560*AVERAGE('Assumptions (Geo)'!$AT$2:$AV$2)/10^9,0)</f>
        <v>0</v>
      </c>
      <c r="BL1768" s="105">
        <f>IF($AX$1560&gt;0,'Assumptions (Geo)'!AJ10*Model!$AX$1560*AVERAGE('Assumptions (Geo)'!$AT$2:$AV$2)/10^9,0)</f>
        <v>0</v>
      </c>
      <c r="BM1768" s="105">
        <f>IF($AX$1560&gt;0,'Assumptions (Geo)'!AK10*Model!$AX$1560*AVERAGE('Assumptions (Geo)'!$AT$2:$AV$2)/10^9,0)</f>
        <v>0</v>
      </c>
      <c r="BN1768" s="105"/>
      <c r="BO1768" s="105"/>
      <c r="BP1768" s="105"/>
    </row>
    <row r="1769" spans="1:68" ht="15.75" hidden="1" customHeight="1" outlineLevel="1">
      <c r="A1769" s="428"/>
      <c r="B1769" s="99"/>
      <c r="C1769" s="99"/>
      <c r="D1769" s="99"/>
      <c r="E1769" s="99"/>
      <c r="F1769" s="99"/>
      <c r="G1769" s="99"/>
      <c r="H1769" s="99"/>
      <c r="I1769" s="99"/>
      <c r="J1769" s="99"/>
      <c r="K1769" s="99"/>
      <c r="L1769" s="99"/>
      <c r="M1769" s="99"/>
      <c r="N1769" s="99"/>
      <c r="O1769" s="99"/>
      <c r="P1769" s="99"/>
      <c r="Q1769" s="99"/>
      <c r="R1769" s="99"/>
      <c r="S1769" s="99"/>
      <c r="T1769" s="99"/>
      <c r="U1769" s="99"/>
      <c r="V1769" s="99"/>
      <c r="W1769" s="105"/>
      <c r="X1769" s="105"/>
      <c r="Y1769" s="105"/>
      <c r="Z1769" s="105"/>
      <c r="AA1769" s="105"/>
      <c r="AB1769" s="105"/>
      <c r="AC1769" s="105"/>
      <c r="AD1769" s="105"/>
      <c r="AE1769" s="105"/>
      <c r="AF1769" s="105"/>
      <c r="AG1769" s="105"/>
      <c r="AH1769" s="105"/>
      <c r="AI1769" s="105"/>
      <c r="AJ1769" s="171"/>
      <c r="AK1769" s="105"/>
      <c r="AL1769" s="91"/>
      <c r="AM1769" s="91"/>
      <c r="AN1769" s="91"/>
      <c r="AO1769" s="105"/>
      <c r="AP1769" s="105"/>
      <c r="AQ1769" s="105"/>
      <c r="AR1769" s="105"/>
      <c r="AS1769" s="105"/>
      <c r="AT1769" s="105"/>
      <c r="AU1769" s="105"/>
      <c r="AV1769" s="105"/>
      <c r="AW1769" s="105"/>
      <c r="AX1769" s="105"/>
      <c r="AY1769" s="105">
        <f>IF($AY$1560&gt;0,'Assumptions (Geo)'!V10*Model!$AY$1560*AVERAGE('Assumptions (Geo)'!$AU$2:$AW$2)/10^9,0)</f>
        <v>0</v>
      </c>
      <c r="AZ1769" s="105">
        <f>IF($AY$1560&gt;0,'Assumptions (Geo)'!W10*Model!$AY$1560*AVERAGE('Assumptions (Geo)'!$AU$2:$AW$2)/10^9,0)</f>
        <v>0</v>
      </c>
      <c r="BA1769" s="105">
        <f>IF($AY$1560&gt;0,'Assumptions (Geo)'!X10*Model!$AY$1560*AVERAGE('Assumptions (Geo)'!$AU$2:$AW$2)/10^9,0)</f>
        <v>0</v>
      </c>
      <c r="BB1769" s="105">
        <f>IF($AY$1560&gt;0,'Assumptions (Geo)'!Y10*Model!$AY$1560*AVERAGE('Assumptions (Geo)'!$AU$2:$AW$2)/10^9,0)</f>
        <v>0</v>
      </c>
      <c r="BC1769" s="105">
        <f>IF($AY$1560&gt;0,'Assumptions (Geo)'!Z10*Model!$AY$1560*AVERAGE('Assumptions (Geo)'!$AU$2:$AW$2)/10^9,0)</f>
        <v>0</v>
      </c>
      <c r="BD1769" s="105">
        <f>IF($AY$1560&gt;0,'Assumptions (Geo)'!AA10*Model!$AY$1560*AVERAGE('Assumptions (Geo)'!$AU$2:$AW$2)/10^9,0)</f>
        <v>0</v>
      </c>
      <c r="BE1769" s="105">
        <f>IF($AY$1560&gt;0,'Assumptions (Geo)'!AB10*Model!$AY$1560*AVERAGE('Assumptions (Geo)'!$AU$2:$AW$2)/10^9,0)</f>
        <v>0</v>
      </c>
      <c r="BF1769" s="105">
        <f>IF($AY$1560&gt;0,'Assumptions (Geo)'!AC10*Model!$AY$1560*AVERAGE('Assumptions (Geo)'!$AU$2:$AW$2)/10^9,0)</f>
        <v>0</v>
      </c>
      <c r="BG1769" s="105">
        <f>IF($AY$1560&gt;0,'Assumptions (Geo)'!AD10*Model!$AY$1560*AVERAGE('Assumptions (Geo)'!$AU$2:$AW$2)/10^9,0)</f>
        <v>0</v>
      </c>
      <c r="BH1769" s="105">
        <f>IF($AY$1560&gt;0,'Assumptions (Geo)'!AE10*Model!$AY$1560*AVERAGE('Assumptions (Geo)'!$AU$2:$AW$2)/10^9,0)</f>
        <v>0</v>
      </c>
      <c r="BI1769" s="105">
        <f>IF($AY$1560&gt;0,'Assumptions (Geo)'!AF10*Model!$AY$1560*AVERAGE('Assumptions (Geo)'!$AU$2:$AW$2)/10^9,0)</f>
        <v>0</v>
      </c>
      <c r="BJ1769" s="105">
        <f>IF($AY$1560&gt;0,'Assumptions (Geo)'!AG10*Model!$AY$1560*AVERAGE('Assumptions (Geo)'!$AU$2:$AW$2)/10^9,0)</f>
        <v>0</v>
      </c>
      <c r="BK1769" s="105">
        <f>IF($AY$1560&gt;0,'Assumptions (Geo)'!AH10*Model!$AY$1560*AVERAGE('Assumptions (Geo)'!$AU$2:$AW$2)/10^9,0)</f>
        <v>0</v>
      </c>
      <c r="BL1769" s="105">
        <f>IF($AY$1560&gt;0,'Assumptions (Geo)'!AI10*Model!$AY$1560*AVERAGE('Assumptions (Geo)'!$AU$2:$AW$2)/10^9,0)</f>
        <v>0</v>
      </c>
      <c r="BM1769" s="105">
        <f>IF($AY$1560&gt;0,'Assumptions (Geo)'!AJ10*Model!$AY$1560*AVERAGE('Assumptions (Geo)'!$AU$2:$AW$2)/10^9,0)</f>
        <v>0</v>
      </c>
      <c r="BN1769" s="105">
        <f>IF($AY$1560&gt;0,'Assumptions (Geo)'!AK10*Model!$AY$1560*AVERAGE('Assumptions (Geo)'!$AU$2:$AW$2)/10^9,0)</f>
        <v>0</v>
      </c>
      <c r="BO1769" s="105"/>
      <c r="BP1769" s="105"/>
    </row>
    <row r="1770" spans="1:68" ht="15.75" hidden="1" customHeight="1" outlineLevel="1">
      <c r="A1770" s="428"/>
      <c r="B1770" s="99"/>
      <c r="C1770" s="99"/>
      <c r="D1770" s="99"/>
      <c r="E1770" s="99"/>
      <c r="F1770" s="99"/>
      <c r="G1770" s="99"/>
      <c r="H1770" s="99"/>
      <c r="I1770" s="99"/>
      <c r="J1770" s="99"/>
      <c r="K1770" s="99"/>
      <c r="L1770" s="99"/>
      <c r="M1770" s="99"/>
      <c r="N1770" s="99"/>
      <c r="O1770" s="99"/>
      <c r="P1770" s="99"/>
      <c r="Q1770" s="99"/>
      <c r="R1770" s="99"/>
      <c r="S1770" s="99"/>
      <c r="T1770" s="99"/>
      <c r="U1770" s="99"/>
      <c r="V1770" s="99"/>
      <c r="W1770" s="105"/>
      <c r="X1770" s="105"/>
      <c r="Y1770" s="105"/>
      <c r="Z1770" s="105"/>
      <c r="AA1770" s="105"/>
      <c r="AB1770" s="105"/>
      <c r="AC1770" s="105"/>
      <c r="AD1770" s="105"/>
      <c r="AE1770" s="105"/>
      <c r="AF1770" s="105"/>
      <c r="AG1770" s="105"/>
      <c r="AH1770" s="105"/>
      <c r="AI1770" s="105"/>
      <c r="AJ1770" s="171"/>
      <c r="AK1770" s="105"/>
      <c r="AL1770" s="91"/>
      <c r="AM1770" s="91"/>
      <c r="AN1770" s="91"/>
      <c r="AO1770" s="105"/>
      <c r="AP1770" s="105"/>
      <c r="AQ1770" s="105"/>
      <c r="AR1770" s="105"/>
      <c r="AS1770" s="105"/>
      <c r="AT1770" s="105"/>
      <c r="AU1770" s="105"/>
      <c r="AV1770" s="105"/>
      <c r="AW1770" s="105"/>
      <c r="AX1770" s="105"/>
      <c r="AY1770" s="105"/>
      <c r="AZ1770" s="105">
        <f>IF($AZ$1560&gt;0,'Assumptions (Geo)'!V10*Model!$AZ$1560*AVERAGE('Assumptions (Geo)'!$AV$2:$AX$2)/10^9,0)</f>
        <v>0</v>
      </c>
      <c r="BA1770" s="105">
        <f>IF($AZ$1560&gt;0,'Assumptions (Geo)'!W10*Model!$AZ$1560*AVERAGE('Assumptions (Geo)'!$AV$2:$AX$2)/10^9,0)</f>
        <v>0</v>
      </c>
      <c r="BB1770" s="105">
        <f>IF($AZ$1560&gt;0,'Assumptions (Geo)'!X10*Model!$AZ$1560*AVERAGE('Assumptions (Geo)'!$AV$2:$AX$2)/10^9,0)</f>
        <v>0</v>
      </c>
      <c r="BC1770" s="105">
        <f>IF($AZ$1560&gt;0,'Assumptions (Geo)'!Y10*Model!$AZ$1560*AVERAGE('Assumptions (Geo)'!$AV$2:$AX$2)/10^9,0)</f>
        <v>0</v>
      </c>
      <c r="BD1770" s="105">
        <f>IF($AZ$1560&gt;0,'Assumptions (Geo)'!Z10*Model!$AZ$1560*AVERAGE('Assumptions (Geo)'!$AV$2:$AX$2)/10^9,0)</f>
        <v>0</v>
      </c>
      <c r="BE1770" s="105">
        <f>IF($AZ$1560&gt;0,'Assumptions (Geo)'!AA10*Model!$AZ$1560*AVERAGE('Assumptions (Geo)'!$AV$2:$AX$2)/10^9,0)</f>
        <v>0</v>
      </c>
      <c r="BF1770" s="105">
        <f>IF($AZ$1560&gt;0,'Assumptions (Geo)'!AB10*Model!$AZ$1560*AVERAGE('Assumptions (Geo)'!$AV$2:$AX$2)/10^9,0)</f>
        <v>0</v>
      </c>
      <c r="BG1770" s="105">
        <f>IF($AZ$1560&gt;0,'Assumptions (Geo)'!AC10*Model!$AZ$1560*AVERAGE('Assumptions (Geo)'!$AV$2:$AX$2)/10^9,0)</f>
        <v>0</v>
      </c>
      <c r="BH1770" s="105">
        <f>IF($AZ$1560&gt;0,'Assumptions (Geo)'!AD10*Model!$AZ$1560*AVERAGE('Assumptions (Geo)'!$AV$2:$AX$2)/10^9,0)</f>
        <v>0</v>
      </c>
      <c r="BI1770" s="105">
        <f>IF($AZ$1560&gt;0,'Assumptions (Geo)'!AE10*Model!$AZ$1560*AVERAGE('Assumptions (Geo)'!$AV$2:$AX$2)/10^9,0)</f>
        <v>0</v>
      </c>
      <c r="BJ1770" s="105">
        <f>IF($AZ$1560&gt;0,'Assumptions (Geo)'!AF10*Model!$AZ$1560*AVERAGE('Assumptions (Geo)'!$AV$2:$AX$2)/10^9,0)</f>
        <v>0</v>
      </c>
      <c r="BK1770" s="105">
        <f>IF($AZ$1560&gt;0,'Assumptions (Geo)'!AG10*Model!$AZ$1560*AVERAGE('Assumptions (Geo)'!$AV$2:$AX$2)/10^9,0)</f>
        <v>0</v>
      </c>
      <c r="BL1770" s="105">
        <f>IF($AZ$1560&gt;0,'Assumptions (Geo)'!AH10*Model!$AZ$1560*AVERAGE('Assumptions (Geo)'!$AV$2:$AX$2)/10^9,0)</f>
        <v>0</v>
      </c>
      <c r="BM1770" s="105">
        <f>IF($AZ$1560&gt;0,'Assumptions (Geo)'!AI10*Model!$AZ$1560*AVERAGE('Assumptions (Geo)'!$AV$2:$AX$2)/10^9,0)</f>
        <v>0</v>
      </c>
      <c r="BN1770" s="105">
        <f>IF($AZ$1560&gt;0,'Assumptions (Geo)'!AJ10*Model!$AZ$1560*AVERAGE('Assumptions (Geo)'!$AV$2:$AX$2)/10^9,0)</f>
        <v>0</v>
      </c>
      <c r="BO1770" s="105">
        <f>IF($AZ$1560&gt;0,'Assumptions (Geo)'!AK10*Model!$AZ$1560*AVERAGE('Assumptions (Geo)'!$AV$2:$AX$2)/10^9,0)</f>
        <v>0</v>
      </c>
      <c r="BP1770" s="105"/>
    </row>
    <row r="1771" spans="1:68" ht="15.75" hidden="1" customHeight="1" outlineLevel="1">
      <c r="A1771" s="428"/>
      <c r="B1771" s="99"/>
      <c r="C1771" s="99"/>
      <c r="D1771" s="99"/>
      <c r="E1771" s="99"/>
      <c r="F1771" s="99"/>
      <c r="G1771" s="99"/>
      <c r="H1771" s="99"/>
      <c r="I1771" s="99"/>
      <c r="J1771" s="99"/>
      <c r="K1771" s="99"/>
      <c r="L1771" s="99"/>
      <c r="M1771" s="99"/>
      <c r="N1771" s="99"/>
      <c r="O1771" s="99"/>
      <c r="P1771" s="99"/>
      <c r="Q1771" s="99"/>
      <c r="R1771" s="99"/>
      <c r="S1771" s="99"/>
      <c r="T1771" s="99"/>
      <c r="U1771" s="99"/>
      <c r="V1771" s="99"/>
      <c r="W1771" s="105"/>
      <c r="X1771" s="105"/>
      <c r="Y1771" s="105"/>
      <c r="Z1771" s="105"/>
      <c r="AA1771" s="105"/>
      <c r="AB1771" s="105"/>
      <c r="AC1771" s="105"/>
      <c r="AD1771" s="105"/>
      <c r="AE1771" s="105"/>
      <c r="AF1771" s="105"/>
      <c r="AG1771" s="105"/>
      <c r="AH1771" s="105"/>
      <c r="AI1771" s="105"/>
      <c r="AJ1771" s="171"/>
      <c r="AK1771" s="105"/>
      <c r="AL1771" s="91"/>
      <c r="AM1771" s="91"/>
      <c r="AN1771" s="91"/>
      <c r="AO1771" s="105"/>
      <c r="AP1771" s="105"/>
      <c r="AQ1771" s="105"/>
      <c r="AR1771" s="105"/>
      <c r="AS1771" s="105"/>
      <c r="AT1771" s="105"/>
      <c r="AU1771" s="105"/>
      <c r="AV1771" s="105"/>
      <c r="AW1771" s="105"/>
      <c r="AX1771" s="105"/>
      <c r="AY1771" s="105"/>
      <c r="AZ1771" s="105"/>
      <c r="BA1771" s="105">
        <f>IF($BA$1560&gt;0,'Assumptions (Geo)'!V10*Model!$BA$1560*AVERAGE('Assumptions (Geo)'!$AW$2:$AY$2)/10^9,0)</f>
        <v>0</v>
      </c>
      <c r="BB1771" s="105">
        <f>IF($BA$1560&gt;0,'Assumptions (Geo)'!W10*Model!$BA$1560*AVERAGE('Assumptions (Geo)'!$AW$2:$AY$2)/10^9,0)</f>
        <v>0</v>
      </c>
      <c r="BC1771" s="105">
        <f>IF($BA$1560&gt;0,'Assumptions (Geo)'!X10*Model!$BA$1560*AVERAGE('Assumptions (Geo)'!$AW$2:$AY$2)/10^9,0)</f>
        <v>0</v>
      </c>
      <c r="BD1771" s="105">
        <f>IF($BA$1560&gt;0,'Assumptions (Geo)'!Y10*Model!$BA$1560*AVERAGE('Assumptions (Geo)'!$AW$2:$AY$2)/10^9,0)</f>
        <v>0</v>
      </c>
      <c r="BE1771" s="105">
        <f>IF($BA$1560&gt;0,'Assumptions (Geo)'!Z10*Model!$BA$1560*AVERAGE('Assumptions (Geo)'!$AW$2:$AY$2)/10^9,0)</f>
        <v>0</v>
      </c>
      <c r="BF1771" s="105">
        <f>IF($BA$1560&gt;0,'Assumptions (Geo)'!AA10*Model!$BA$1560*AVERAGE('Assumptions (Geo)'!$AW$2:$AY$2)/10^9,0)</f>
        <v>0</v>
      </c>
      <c r="BG1771" s="105">
        <f>IF($BA$1560&gt;0,'Assumptions (Geo)'!AB10*Model!$BA$1560*AVERAGE('Assumptions (Geo)'!$AW$2:$AY$2)/10^9,0)</f>
        <v>0</v>
      </c>
      <c r="BH1771" s="105">
        <f>IF($BA$1560&gt;0,'Assumptions (Geo)'!AC10*Model!$BA$1560*AVERAGE('Assumptions (Geo)'!$AW$2:$AY$2)/10^9,0)</f>
        <v>0</v>
      </c>
      <c r="BI1771" s="105">
        <f>IF($BA$1560&gt;0,'Assumptions (Geo)'!AD10*Model!$BA$1560*AVERAGE('Assumptions (Geo)'!$AW$2:$AY$2)/10^9,0)</f>
        <v>0</v>
      </c>
      <c r="BJ1771" s="105">
        <f>IF($BA$1560&gt;0,'Assumptions (Geo)'!AE10*Model!$BA$1560*AVERAGE('Assumptions (Geo)'!$AW$2:$AY$2)/10^9,0)</f>
        <v>0</v>
      </c>
      <c r="BK1771" s="105">
        <f>IF($BA$1560&gt;0,'Assumptions (Geo)'!AF10*Model!$BA$1560*AVERAGE('Assumptions (Geo)'!$AW$2:$AY$2)/10^9,0)</f>
        <v>0</v>
      </c>
      <c r="BL1771" s="105">
        <f>IF($BA$1560&gt;0,'Assumptions (Geo)'!AG10*Model!$BA$1560*AVERAGE('Assumptions (Geo)'!$AW$2:$AY$2)/10^9,0)</f>
        <v>0</v>
      </c>
      <c r="BM1771" s="105">
        <f>IF($BA$1560&gt;0,'Assumptions (Geo)'!AH10*Model!$BA$1560*AVERAGE('Assumptions (Geo)'!$AW$2:$AY$2)/10^9,0)</f>
        <v>0</v>
      </c>
      <c r="BN1771" s="105">
        <f>IF($BA$1560&gt;0,'Assumptions (Geo)'!AI10*Model!$BA$1560*AVERAGE('Assumptions (Geo)'!$AW$2:$AY$2)/10^9,0)</f>
        <v>0</v>
      </c>
      <c r="BO1771" s="105">
        <f>IF($BA$1560&gt;0,'Assumptions (Geo)'!AJ10*Model!$BA$1560*AVERAGE('Assumptions (Geo)'!$AW$2:$AY$2)/10^9,0)</f>
        <v>0</v>
      </c>
      <c r="BP1771" s="105">
        <f>IF($BA$1560&gt;0,'Assumptions (Geo)'!AK10*Model!$BA$1560*AVERAGE('Assumptions (Geo)'!$AW$2:$AY$2)/10^9,0)</f>
        <v>0</v>
      </c>
    </row>
    <row r="1772" spans="1:68" ht="15.75" customHeight="1" collapsed="1">
      <c r="A1772" s="428" t="s">
        <v>62</v>
      </c>
      <c r="B1772" s="43" t="s">
        <v>201</v>
      </c>
      <c r="C1772" s="105">
        <f>IF(Model!C1558+Model!C1559-C1557-C1720+C1668&gt;0,(1-'Assumptions (Geo)'!B22)*(Model!C1558+Model!C1559-C1557-C1720+C1668)+Model!C1720-C1615-+Model!C1616,Model!C1558+Model!C1559-C1557+C1668-C1615+Model1)</f>
        <v>0.40726297280191037</v>
      </c>
      <c r="D1772" s="105">
        <f>IF(Model!D1558+Model!D1559-D1557-D1720+D1668&gt;0,(1-'Assumptions (Geo)'!C22)*(Model!D1558+Model!D1559-D1557-D1720+D1668)+Model!D1720-D1615-+Model!D1616,Model!D1558+Model!D1559-D1557+D1668-D1615+Model1)</f>
        <v>0.48229625907472307</v>
      </c>
      <c r="E1772" s="105">
        <f>IF(Model!E1558+Model!E1559-E1557-E1720+E1668&gt;0,(1-'Assumptions (Geo)'!D22)*(Model!E1558+Model!E1559-E1557-E1720+E1668)+Model!E1720-E1615-+Model!E1616,Model!E1558+Model!E1559-E1557+E1668-E1615+Model1)</f>
        <v>0.45361507917031574</v>
      </c>
      <c r="F1772" s="105">
        <f>IF(Model!F1558+Model!F1559-F1557-F1720+F1668&gt;0,(1-'Assumptions (Geo)'!E22)*(Model!F1558+Model!F1559-F1557-F1720+F1668)+Model!F1720-F1615-+Model!F1616,Model!F1558+Model!F1559-F1557+F1668-F1615+Model1)</f>
        <v>0.57401714005022153</v>
      </c>
      <c r="G1772" s="105">
        <f>IF(Model!G1558+Model!G1559-G1557-G1720+G1668&gt;0,(1-'Assumptions (Geo)'!F22)*(Model!G1558+Model!G1559-G1557-G1720+G1668)+Model!G1720-G1615-+Model!G1616,Model!G1558+Model!G1559-G1557+G1668-G1615+Model1)</f>
        <v>0.61533969506661157</v>
      </c>
      <c r="H1772" s="105">
        <f>IF(Model!H1558+Model!H1559-H1557-H1720+H1668&gt;0,(1-'Assumptions (Geo)'!G22)*(Model!H1558+Model!H1559-H1557-H1720+H1668)+Model!H1720-H1615-+Model!H1616,Model!H1558+Model!H1559-H1557+H1668-H1615+Model1)</f>
        <v>0.74981322961205898</v>
      </c>
      <c r="I1772" s="105">
        <f>IF(Model!I1558+Model!I1559-I1557-I1720+I1668&gt;0,(1-'Assumptions (Geo)'!H22)*(Model!I1558+Model!I1559-I1557-I1720+I1668)+Model!I1720-I1615-+Model!I1616,Model!I1558+Model!I1559-I1557+I1668-I1615+Model1)</f>
        <v>0.61508829597033143</v>
      </c>
      <c r="J1772" s="105">
        <f>IF(Model!J1558+Model!J1559-J1557-J1720+J1668&gt;0,(1-'Assumptions (Geo)'!I22)*(Model!J1558+Model!J1559-J1557-J1720+J1668)+Model!J1720-J1615-+Model!J1616,Model!J1558+Model!J1559-J1557+J1668-J1615+Model1)</f>
        <v>0.64010211970511388</v>
      </c>
      <c r="K1772" s="105">
        <f>IF(Model!K1558+Model!K1559-K1557-K1720+K1668&gt;0,(1-'Assumptions (Geo)'!J22)*(Model!K1558+Model!K1559-K1557-K1720+K1668)+Model!K1720-K1615-+Model!K1616,Model!K1558+Model!K1559-K1557+K1668-K1615+Model1)</f>
        <v>0.79149831497648993</v>
      </c>
      <c r="L1772" s="105">
        <f>IF(Model!L1558+Model!L1559-L1557-L1720+L1668&gt;0,(1-'Assumptions (Geo)'!K22)*(Model!L1558+Model!L1559-L1557-L1720+L1668)+Model!L1720-L1615-+Model!L1616,Model!L1558+Model!L1559-L1557+L1668-L1615+Model1)</f>
        <v>0.52131836640174478</v>
      </c>
      <c r="M1772" s="105">
        <f>IF(Model!M1558+Model!M1559-M1557-M1720+M1668&gt;0,(1-'Assumptions (Geo)'!L22)*(Model!M1558+Model!M1559-M1557-M1720+M1668)+Model!M1720-M1615-+Model!M1616,Model!M1558+Model!M1559-M1557+M1668-M1615+Model1)</f>
        <v>0.5377946189311813</v>
      </c>
      <c r="N1772" s="105">
        <f>IF(Model!N1558+Model!N1559-N1557-N1720+N1668&gt;0,(1-'Assumptions (Geo)'!M22)*(Model!N1558+Model!N1559-N1557-N1720+N1668)+Model!N1720-N1615-+Model!N1616,Model!N1558+Model!N1559-N1557+N1668-N1615+Model1)</f>
        <v>0.5086799860048028</v>
      </c>
      <c r="O1772" s="105">
        <f>IF(Model!O1558+Model!O1559-O1557-O1720+O1668&gt;0,(1-'Assumptions (Geo)'!N22)*(Model!O1558+Model!O1559-O1557-O1720+O1668)+Model!O1720-O1615-+Model!O1616,Model!O1558+Model!O1559-O1557+O1668-O1615+Model1)</f>
        <v>0.43930553430099317</v>
      </c>
      <c r="P1772" s="105">
        <f>IF(Model!P1558+Model!P1559-P1557-P1720+P1668&gt;0,(1-'Assumptions (Geo)'!O22)*(Model!P1558+Model!P1559-P1557-P1720+P1668)+Model!P1720-P1615-+Model!P1616,Model!P1558+Model!P1559-P1557+P1668-P1615+Model1)</f>
        <v>0.54262006511353811</v>
      </c>
      <c r="Q1772" s="105">
        <f>IF(Model!Q1558+Model!Q1559-Q1557-Q1720+Q1668&gt;0,(1-'Assumptions (Geo)'!P22)*(Model!Q1558+Model!Q1559-Q1557-Q1720+Q1668)+Model!Q1720-Q1615-+Model!Q1616,Model!Q1558+Model!Q1559-Q1557+Q1668-Q1615+Model1)</f>
        <v>0.59724398819485158</v>
      </c>
      <c r="R1772" s="105">
        <f>IF(Model!R1558+Model!R1559-R1557-R1720+R1668&gt;0,(1-'Assumptions (Geo)'!Q22)*(Model!R1558+Model!R1559-R1557-R1720+R1668)+Model!R1720-R1615-+Model!R1616,Model!R1558+Model!R1559-R1557+R1668-R1615+Model1)</f>
        <v>0.47305083220578981</v>
      </c>
      <c r="S1772" s="105">
        <f>IF(Model!S1558+Model!S1559-S1557-S1720+S1668&gt;0,(1-'Assumptions (Geo)'!R22)*(Model!S1558+Model!S1559-S1557-S1720+S1668)+Model!S1720-S1615-+Model!S1616,Model!S1558+Model!S1559-S1557+S1668-S1615+Model1)</f>
        <v>0.4874640261474758</v>
      </c>
      <c r="T1772" s="105">
        <f>IF(Model!T1558+Model!T1559-T1557-T1720+T1668&gt;0,(1-'Assumptions (Geo)'!S22)*(Model!T1558+Model!T1559-T1557-T1720+T1668)+Model!T1720-T1615-+Model!T1616,Model!T1558+Model!T1559-T1557+T1668-T1615+Model1)</f>
        <v>0.54754581403268798</v>
      </c>
      <c r="U1772" s="105">
        <f>IF(Model!U1558+Model!U1559-U1557-U1720+U1668&gt;0,(1-'Assumptions (Geo)'!T22)*(Model!U1558+Model!U1559-U1557-U1720+U1668)+Model!U1720-U1615-+Model!U1616,Model!U1558+Model!U1559-U1557+U1668-U1615+Model1)</f>
        <v>0.65473827824748421</v>
      </c>
      <c r="V1772" s="105">
        <f>IF(Model!V1558+Model!V1559-V1557-V1720+V1668&gt;0,(1-'Assumptions (Geo)'!U22)*(Model!V1558+Model!V1559-V1557-V1720+V1668)+Model!V1720-V1615-+Model!V1616,Model!V1558+Model!V1559-V1557+V1668-V1615+Model1)</f>
        <v>0.69010028381938382</v>
      </c>
      <c r="W1772" s="105">
        <f>IF(Model!W1558+Model!W1559-W1557-W1720+W1668&gt;0,(1-'Assumptions (Geo)'!V22)*(Model!W1558+Model!W1559-W1557-W1720+W1668)+Model!W1720-W1615-+Model!W1616,Model!W1558+Model!W1559-W1557+W1668-W1615+Model1)</f>
        <v>0.7207997963910191</v>
      </c>
      <c r="X1772" s="105">
        <f>IF(Model!X1558+Model!X1559-X1557-X1720+X1668&gt;0,(1-'Assumptions (Geo)'!W22)*(Model!X1558+Model!X1559-X1557-X1720+X1668)+Model!X1720-X1615-+Model!X1616,Model!X1558+Model!X1559-X1557+X1668-X1615+Model1)</f>
        <v>0.70189936490983607</v>
      </c>
      <c r="Y1772" s="105">
        <f>IF(Model!Y1558+Model!Y1559-Y1557-Y1720+Y1668&gt;0,(1-'Assumptions (Geo)'!X22)*(Model!Y1558+Model!Y1559-Y1557-Y1720+Y1668)+Model!Y1720-Y1615-+Model!Y1616,Model!Y1558+Model!Y1559-Y1557+Y1668-Y1615+Model1)</f>
        <v>0.68320336373590007</v>
      </c>
      <c r="Z1772" s="105">
        <f>IF(Model!Z1558+Model!Z1559-Z1557-Z1720+Z1668&gt;0,(1-'Assumptions (Geo)'!Y22)*(Model!Z1558+Model!Z1559-Z1557-Z1720+Z1668)+Model!Z1720-Z1615-+Model!Z1616,Model!Z1558+Model!Z1559-Z1557+Z1668-Z1615+Model1)</f>
        <v>0.67249317730445601</v>
      </c>
      <c r="AA1772" s="105">
        <f>IF(Model!AA1558+Model!AA1559-AA1557-AA1720+AA1668&gt;0,(1-'Assumptions (Geo)'!Z22)*(Model!AA1558+Model!AA1559-AA1557-AA1720+AA1668)+Model!AA1720-AA1615-+Model!AA1616,Model!AA1558+Model!AA1559-AA1557+AA1668-AA1615+Model1)</f>
        <v>0.64357355780232783</v>
      </c>
      <c r="AB1772" s="105">
        <f>IF(Model!AB1558+Model!AB1559-AB1557-AB1720+AB1668&gt;0,(1-'Assumptions (Geo)'!AA22)*(Model!AB1558+Model!AB1559-AB1557-AB1720+AB1668)+Model!AB1720-AB1615-+Model!AB1616,Model!AB1558+Model!AB1559-AB1557+AB1668-AB1615+Model1)</f>
        <v>0.63826596917614864</v>
      </c>
      <c r="AC1772" s="105">
        <f>IF(Model!AC1558+Model!AC1559-AC1557-AC1720+AC1668&gt;0,(1-'Assumptions (Geo)'!AB22)*(Model!AC1558+Model!AC1559-AC1557-AC1720+AC1668)+Model!AC1720-AC1615-+Model!AC1616,Model!AC1558+Model!AC1559-AC1557+AC1668-AC1615+Model1)</f>
        <v>0.62612788604717351</v>
      </c>
      <c r="AD1772" s="105">
        <f>IF(Model!AD1558+Model!AD1559-AD1557-AD1720+AD1668&gt;0,(1-'Assumptions (Geo)'!AC22)*(Model!AD1558+Model!AD1559-AD1557-AD1720+AD1668)+Model!AD1720-AD1615-+Model!AD1616,Model!AD1558+Model!AD1559-AD1557+AD1668-AD1615+Model1)</f>
        <v>0.59927114713923191</v>
      </c>
      <c r="AE1772" s="105">
        <f>IF(Model!AE1558+Model!AE1559-AE1557-AE1720+AE1668&gt;0,(1-'Assumptions (Geo)'!AD22)*(Model!AE1558+Model!AE1559-AE1557-AE1720+AE1668)+Model!AE1720-AE1615-+Model!AE1616,Model!AE1558+Model!AE1559-AE1557+AE1668-AE1615+Model1)</f>
        <v>0.57450590916404709</v>
      </c>
      <c r="AF1772" s="105">
        <f>IF(Model!AF1558+Model!AF1559-AF1557-AF1720+AF1668&gt;0,(1-'Assumptions (Geo)'!AE22)*(Model!AF1558+Model!AF1559-AF1557-AF1720+AF1668)+Model!AF1720-AF1615-+Model!AF1616,Model!AF1558+Model!AF1559-AF1557+AF1668-AF1615+Model1)</f>
        <v>0.53983577779011704</v>
      </c>
      <c r="AG1772" s="105">
        <f>IF(Model!AG1558+Model!AG1559-AG1557-AG1720+AG1668&gt;0,(1-'Assumptions (Geo)'!AF22)*(Model!AG1558+Model!AG1559-AG1557-AG1720+AG1668)+Model!AG1720-AG1615-+Model!AG1616,Model!AG1558+Model!AG1559-AG1557+AG1668-AG1615+Model1)</f>
        <v>0.51779531809223278</v>
      </c>
      <c r="AH1772" s="105">
        <f>IF(Model!AH1558+Model!AH1559-AH1557-AH1720+AH1668&gt;0,(1-'Assumptions (Geo)'!AG22)*(Model!AH1558+Model!AH1559-AH1557-AH1720+AH1668)+Model!AH1720-AH1615-+Model!AH1616,Model!AH1558+Model!AH1559-AH1557+AH1668-AH1615+Model1)</f>
        <v>0.50221486457710163</v>
      </c>
      <c r="AI1772" s="105">
        <f>IF(Model!AI1558+Model!AI1559-AI1557-AI1720+AI1668&gt;0,(1-'Assumptions (Geo)'!AH22)*(Model!AI1558+Model!AI1559-AI1557-AI1720+AI1668)+Model!AI1720-AI1615-+Model!AI1616,Model!AI1558+Model!AI1559-AI1557+AI1668-AI1615+Model1)</f>
        <v>0.46216725323869695</v>
      </c>
      <c r="AJ1772" s="105">
        <f>IF(Model!AJ1558+Model!AJ1559-AJ1557-AJ1720+AJ1668&gt;0,(1-'Assumptions (Geo)'!AI22)*(Model!AJ1558+Model!AJ1559-AJ1557-AJ1720+AJ1668)+Model!AJ1720-AJ1615-+Model!AJ1616,Model!AJ1558+Model!AJ1559-AJ1557+AJ1668-AJ1615+Model1)</f>
        <v>0.41829266461091991</v>
      </c>
      <c r="AK1772" s="105">
        <f>IF(Model!AK1558+Model!AK1559-AK1557-AK1720+AK1668&gt;0,(1-'Assumptions (Geo)'!AJ22)*(Model!AK1558+Model!AK1559-AK1557-AK1720+AK1668)+Model!AK1720-AK1615-+Model!AK1616,Model!AK1558+Model!AK1559-AK1557+AK1668-AK1615+Model1)</f>
        <v>0.31416929528474041</v>
      </c>
      <c r="AL1772" s="105">
        <f>IF(Model!AL1558+Model!AL1559-AL1557-AL1720+AL1668&gt;0,(1-'Assumptions (Geo)'!AK22)*(Model!AL1558+Model!AL1559-AL1557-AL1720+AL1668)+Model!AL1720-AL1615-+Model!AL1616,Model!AL1558+Model!AL1559-AL1557+AL1668-AL1615+Model1)</f>
        <v>0.33429842068261489</v>
      </c>
      <c r="AM1772" s="105">
        <f>IF(Model!AM1558+Model!AM1559-AM1557-AM1720+AM1668&gt;0,(1-'Assumptions (Geo)'!AL22)*(Model!AM1558+Model!AM1559-AM1557-AM1720+AM1668)+Model!AM1720-AM1615-+Model!AM1616,Model!AM1558+Model!AM1559-AM1557+AM1668-AM1615+Model1)</f>
        <v>0.34281550255633536</v>
      </c>
      <c r="AN1772" s="105">
        <f>IF(Model!AN1558+Model!AN1559-AN1557-AN1720+AN1668&gt;0,(1-'Assumptions (Geo)'!AM22)*(Model!AN1558+Model!AN1559-AN1557-AN1720+AN1668)+Model!AN1720-AN1615-+Model!AN1616,Model!AN1558+Model!AN1559-AN1557+AN1668-AN1615+Model1)</f>
        <v>0.34946576780854582</v>
      </c>
      <c r="AO1772" s="105">
        <f>IF(Model!AO1558+Model!AO1559-AO1557-AO1720+AO1668&gt;0,(1-'Assumptions (Geo)'!AN22)*(Model!AO1558+Model!AO1559-AO1557-AO1720+AO1668)+Model!AO1720-AO1615-+Model!AO1616,Model!AO1558+Model!AO1559-AO1557+AO1668-AO1615+Model1)</f>
        <v>0.24547847718937077</v>
      </c>
      <c r="AP1772" s="105">
        <f>IF(Model!AP1558+Model!AP1559-AP1557-AP1720+AP1668&gt;0,(1-'Assumptions (Geo)'!AO22)*(Model!AP1558+Model!AP1559-AP1557-AP1720+AP1668)+Model!AP1720-AP1615-+Model!AP1616,Model!AP1558+Model!AP1559-AP1557+AP1668-AP1615+Model1)</f>
        <v>0.22154615076313097</v>
      </c>
      <c r="AQ1772" s="105">
        <f>IF(Model!AQ1558+Model!AQ1559-AQ1557-AQ1720+AQ1668&gt;0,(1-'Assumptions (Geo)'!AP22)*(Model!AQ1558+Model!AQ1559-AQ1557-AQ1720+AQ1668)+Model!AQ1720-AQ1615-+Model!AQ1616,Model!AQ1558+Model!AQ1559-AQ1557+AQ1668-AQ1615+Model1)</f>
        <v>0.26371964162529443</v>
      </c>
      <c r="AR1772" s="105">
        <f>IF(Model!AR1558+Model!AR1559-AR1557-AR1720+AR1668&gt;0,(1-'Assumptions (Geo)'!AQ22)*(Model!AR1558+Model!AR1559-AR1557-AR1720+AR1668)+Model!AR1720-AR1615-+Model!AR1616,Model!AR1558+Model!AR1559-AR1557+AR1668-AR1615+Model1)</f>
        <v>0.34775423117064408</v>
      </c>
      <c r="AS1772" s="105">
        <f>IF(Model!AS1558+Model!AS1559-AS1557-AS1720+AS1668&gt;0,(1-'Assumptions (Geo)'!AR22)*(Model!AS1558+Model!AS1559-AS1557-AS1720+AS1668)+Model!AS1720-AS1615-+Model!AS1616,Model!AS1558+Model!AS1559-AS1557+AS1668-AS1615+Model1)</f>
        <v>0.33162790479547233</v>
      </c>
      <c r="AT1772" s="105">
        <f>IF(Model!AT1558+Model!AT1559-AT1557-AT1720+AT1668&gt;0,(1-'Assumptions (Geo)'!AS22)*(Model!AT1558+Model!AT1559-AT1557-AT1720+AT1668)+Model!AT1720-AT1615-+Model!AT1616,Model!AT1558+Model!AT1559-AT1557+AT1668-AT1615+Model1)</f>
        <v>0.30783528738795057</v>
      </c>
      <c r="AU1772" s="105">
        <f>IF(Model!AU1558+Model!AU1559-AU1557-AU1720+AU1668&gt;0,(1-'Assumptions (Geo)'!AT22)*(Model!AU1558+Model!AU1559-AU1557-AU1720+AU1668)+Model!AU1720-AU1615-+Model!AU1616,Model!AU1558+Model!AU1559-AU1557+AU1668-AU1615+Model1)</f>
        <v>0.28396377640215448</v>
      </c>
      <c r="AV1772" s="105">
        <f>IF(Model!AV1558+Model!AV1559-AV1557-AV1720+AV1668&gt;0,(1-'Assumptions (Geo)'!AU22)*(Model!AV1558+Model!AV1559-AV1557-AV1720+AV1668)+Model!AV1720-AV1615-+Model!AV1616,Model!AV1558+Model!AV1559-AV1557+AV1668-AV1615+Model1)</f>
        <v>0.25929154924331815</v>
      </c>
      <c r="AW1772" s="105">
        <f>IF(Model!AW1558+Model!AW1559-AW1557-AW1720+AW1668&gt;0,(1-'Assumptions (Geo)'!AV22)*(Model!AW1558+Model!AW1559-AW1557-AW1720+AW1668)+Model!AW1720-AW1615-+Model!AW1616,Model!AW1558+Model!AW1559-AW1557+AW1668-AW1615+Model1)</f>
        <v>0.23358265706295128</v>
      </c>
      <c r="AX1772" s="105" t="e">
        <f>IF(Model!AX1558+Model!AX1559-AX1557-AX1720+AX1668&gt;0,(1-'Assumptions (Geo)'!AW22)*(Model!AX1558+Model!AX1559-AX1557-AX1720+AX1668)+Model!AX1720-AX1615-+Model!AX1616,Model!AX1558+Model!AX1559-AX1557+AX1668-AX1615+Model1)</f>
        <v>#NAME?</v>
      </c>
      <c r="AY1772" s="105" t="e">
        <f>IF(Model!AY1558+Model!AY1559-AY1557-AY1720+AY1668&gt;0,(1-'Assumptions (Geo)'!AX22)*(Model!AY1558+Model!AY1559-AY1557-AY1720+AY1668)+Model!AY1720-AY1615-+Model!AY1616,Model!AY1558+Model!AY1559-AY1557+AY1668-AY1615+Model1)</f>
        <v>#NAME?</v>
      </c>
      <c r="AZ1772" s="105" t="e">
        <f>IF(Model!AZ1558+Model!AZ1559-AZ1557-AZ1720+AZ1668&gt;0,(1-'Assumptions (Geo)'!AY22)*(Model!AZ1558+Model!AZ1559-AZ1557-AZ1720+AZ1668)+Model!AZ1720-AZ1615-+Model!AZ1616,Model!AZ1558+Model!AZ1559-AZ1557+AZ1668-AZ1615+Model1)</f>
        <v>#NAME?</v>
      </c>
      <c r="BA1772" s="105" t="e">
        <f>IF(Model!BA1558+Model!BA1559-BA1557-BA1720+BA1668&gt;0,(1-'Assumptions (Geo)'!AZ22)*(Model!BA1558+Model!BA1559-BA1557-BA1720+BA1668)+Model!BA1720-BA1615-+Model!BA1616,Model!BA1558+Model!BA1559-BA1557+BA1668-BA1615+Model1)</f>
        <v>#NAME?</v>
      </c>
    </row>
    <row r="1773" spans="1:68" ht="15.75" customHeight="1">
      <c r="A1773" s="428" t="s">
        <v>64</v>
      </c>
      <c r="B1773" s="43" t="s">
        <v>201</v>
      </c>
      <c r="C1773" s="105">
        <f>IF(C1558+C1559-C1557-C1720+C1668&gt;0,'Assumptions (Geo)'!B22*(C1558+C1559-C1557-C1720+C1668)-'Assumptions (Geo)'!B23*Model!C1556/10^3,'Assumptions (Geo)'!B23*Model!C1556/10^3)</f>
        <v>0.24164748031743336</v>
      </c>
      <c r="D1773" s="105">
        <f>IF(D1558+D1559-D1557-D1720+D1668&gt;0,'Assumptions (Geo)'!C22*(D1558+D1559-D1557-D1720+D1668)-'Assumptions (Geo)'!C23*Model!D1556/10^3,'Assumptions (Geo)'!C23*Model!D1556/10^3)</f>
        <v>0.25610320541405129</v>
      </c>
      <c r="E1773" s="105">
        <f>IF(E1558+E1559-E1557-E1720+E1668&gt;0,'Assumptions (Geo)'!D22*(E1558+E1559-E1557-E1720+E1668)-'Assumptions (Geo)'!D23*Model!E1556/10^3,'Assumptions (Geo)'!D23*Model!E1556/10^3)</f>
        <v>0.24212633834973016</v>
      </c>
      <c r="F1773" s="105">
        <f>IF(F1558+F1559-F1557-F1720+F1668&gt;0,'Assumptions (Geo)'!E22*(F1558+F1559-F1557-F1720+F1668)-'Assumptions (Geo)'!E23*Model!F1556/10^3,'Assumptions (Geo)'!E23*Model!F1556/10^3)</f>
        <v>0.30658857856054089</v>
      </c>
      <c r="G1773" s="105">
        <f>IF(G1558+G1559-G1557-G1720+G1668&gt;0,'Assumptions (Geo)'!F22*(G1558+G1559-G1557-G1720+G1668)-'Assumptions (Geo)'!F23*Model!G1556/10^3,'Assumptions (Geo)'!F23*Model!G1556/10^3)</f>
        <v>0.33329496508507428</v>
      </c>
      <c r="H1773" s="105">
        <f>IF(H1558+H1559-H1557-H1720+H1668&gt;0,'Assumptions (Geo)'!G22*(H1558+H1559-H1557-H1720+H1668)-'Assumptions (Geo)'!G23*Model!H1556/10^3,'Assumptions (Geo)'!G23*Model!H1556/10^3)</f>
        <v>0.40839357412912319</v>
      </c>
      <c r="I1773" s="105">
        <f>IF(I1558+I1559-I1557-I1720+I1668&gt;0,'Assumptions (Geo)'!H22*(I1558+I1559-I1557-I1720+I1668)-'Assumptions (Geo)'!H23*Model!I1556/10^3,'Assumptions (Geo)'!H23*Model!I1556/10^3)</f>
        <v>0.35377487168664812</v>
      </c>
      <c r="J1773" s="105">
        <f>IF(J1558+J1559-J1557-J1720+J1668&gt;0,'Assumptions (Geo)'!I22*(J1558+J1559-J1557-J1720+J1668)-'Assumptions (Geo)'!I23*Model!J1556/10^3,'Assumptions (Geo)'!I23*Model!J1556/10^3)</f>
        <v>0.36058410617059933</v>
      </c>
      <c r="K1773" s="105">
        <f>IF(K1558+K1559-K1557-K1720+K1668&gt;0,'Assumptions (Geo)'!J22*(K1558+K1559-K1557-K1720+K1668)-'Assumptions (Geo)'!J23*Model!K1556/10^3,'Assumptions (Geo)'!J23*Model!K1556/10^3)</f>
        <v>0.43264011876941844</v>
      </c>
      <c r="L1773" s="105">
        <f>IF(L1558+L1559-L1557-L1720+L1668&gt;0,'Assumptions (Geo)'!K22*(L1558+L1559-L1557-L1720+L1668)-'Assumptions (Geo)'!K23*Model!L1556/10^3,'Assumptions (Geo)'!K23*Model!L1556/10^3)</f>
        <v>0.26517402279211477</v>
      </c>
      <c r="M1773" s="105">
        <f>IF(M1558+M1559-M1557-M1720+M1668&gt;0,'Assumptions (Geo)'!L22*(M1558+M1559-M1557-M1720+M1668)-'Assumptions (Geo)'!L23*Model!M1556/10^3,'Assumptions (Geo)'!L23*Model!M1556/10^3)</f>
        <v>0.27477577230708139</v>
      </c>
      <c r="N1773" s="105">
        <f>IF(N1558+N1559-N1557-N1720+N1668&gt;0,'Assumptions (Geo)'!M22*(N1558+N1559-N1557-N1720+N1668)-'Assumptions (Geo)'!M23*Model!N1556/10^3,'Assumptions (Geo)'!M23*Model!N1556/10^3)</f>
        <v>0.26226451172171089</v>
      </c>
      <c r="O1773" s="105">
        <f>IF(O1558+O1559-O1557-O1720+O1668&gt;0,'Assumptions (Geo)'!N22*(O1558+O1559-O1557-O1720+O1668)-'Assumptions (Geo)'!N23*Model!O1556/10^3,'Assumptions (Geo)'!N23*Model!O1556/10^3)</f>
        <v>0.20287170079415479</v>
      </c>
      <c r="P1773" s="105">
        <f>IF(P1558+P1559-P1557-P1720+P1668&gt;0,'Assumptions (Geo)'!O22*(P1558+P1559-P1557-P1720+P1668)-'Assumptions (Geo)'!O23*Model!P1556/10^3,'Assumptions (Geo)'!O23*Model!P1556/10^3)</f>
        <v>0.23437273684572285</v>
      </c>
      <c r="Q1773" s="105">
        <f>IF(Q1558+Q1559-Q1557-Q1720+Q1668&gt;0,'Assumptions (Geo)'!P22*(Q1558+Q1559-Q1557-Q1720+Q1668)-'Assumptions (Geo)'!P23*Model!Q1556/10^3,'Assumptions (Geo)'!P23*Model!Q1556/10^3)</f>
        <v>0.26531583765781536</v>
      </c>
      <c r="R1773" s="105">
        <f>IF(R1558+R1559-R1557-R1720+R1668&gt;0,'Assumptions (Geo)'!Q22*(R1558+R1559-R1557-R1720+R1668)-'Assumptions (Geo)'!Q23*Model!R1556/10^3,'Assumptions (Geo)'!Q23*Model!R1556/10^3)</f>
        <v>0.19415251532798072</v>
      </c>
      <c r="S1773" s="105">
        <f>IF(S1558+S1559-S1557-S1720+S1668&gt;0,'Assumptions (Geo)'!R22*(S1558+S1559-S1557-S1720+S1668)-'Assumptions (Geo)'!R23*Model!S1556/10^3,'Assumptions (Geo)'!R23*Model!S1556/10^3)</f>
        <v>0.21509803781565248</v>
      </c>
      <c r="T1773" s="105">
        <f>IF(T1558+T1559-T1557-T1720+T1668&gt;0,'Assumptions (Geo)'!S22*(T1558+T1559-T1557-T1720+T1668)-'Assumptions (Geo)'!S23*Model!T1556/10^3,'Assumptions (Geo)'!S23*Model!T1556/10^3)</f>
        <v>0.2388600765644838</v>
      </c>
      <c r="U1773" s="105">
        <f>IF(U1558+U1559-U1557-U1720+U1668&gt;0,'Assumptions (Geo)'!T22*(U1558+U1559-U1557-U1720+U1668)-'Assumptions (Geo)'!T23*Model!U1556/10^3,'Assumptions (Geo)'!T23*Model!U1556/10^3)</f>
        <v>0.14430321670964208</v>
      </c>
      <c r="V1773" s="105">
        <f>IF(V1558+V1559-V1557-V1720+V1668&gt;0,'Assumptions (Geo)'!U22*(V1558+V1559-V1557-V1720+V1668)-'Assumptions (Geo)'!U23*Model!V1556/10^3,'Assumptions (Geo)'!U23*Model!V1556/10^3)</f>
        <v>0.14288957397347996</v>
      </c>
      <c r="W1773" s="105">
        <f>IF(W1558+W1559-W1557-W1720+W1668&gt;0,'Assumptions (Geo)'!V22*(W1558+W1559-W1557-W1720+W1668)-'Assumptions (Geo)'!V23*Model!W1556/10^3,'Assumptions (Geo)'!V23*Model!W1556/10^3)</f>
        <v>0.15000836064467202</v>
      </c>
      <c r="X1773" s="105">
        <f>IF(X1558+X1559-X1557-X1720+X1668&gt;0,'Assumptions (Geo)'!W22*(X1558+X1559-X1557-X1720+X1668)-'Assumptions (Geo)'!W23*Model!X1556/10^3,'Assumptions (Geo)'!W23*Model!X1556/10^3)</f>
        <v>0.14655460417760044</v>
      </c>
      <c r="Y1773" s="105">
        <f>IF(Y1558+Y1559-Y1557-Y1720+Y1668&gt;0,'Assumptions (Geo)'!X22*(Y1558+Y1559-Y1557-Y1720+Y1668)-'Assumptions (Geo)'!X23*Model!Y1556/10^3,'Assumptions (Geo)'!X23*Model!Y1556/10^3)</f>
        <v>0.14352757638884656</v>
      </c>
      <c r="Z1773" s="105">
        <f>IF(Z1558+Z1559-Z1557-Z1720+Z1668&gt;0,'Assumptions (Geo)'!Y22*(Z1558+Z1559-Z1557-Z1720+Z1668)-'Assumptions (Geo)'!Y23*Model!Z1556/10^3,'Assumptions (Geo)'!Y23*Model!Z1556/10^3)</f>
        <v>0.14166920927883689</v>
      </c>
      <c r="AA1773" s="105">
        <f>IF(AA1558+AA1559-AA1557-AA1720+AA1668&gt;0,'Assumptions (Geo)'!Z22*(AA1558+AA1559-AA1557-AA1720+AA1668)-'Assumptions (Geo)'!Z23*Model!AA1556/10^3,'Assumptions (Geo)'!Z23*Model!AA1556/10^3)</f>
        <v>0.14198032065771454</v>
      </c>
      <c r="AB1773" s="105">
        <f>IF(AB1558+AB1559-AB1557-AB1720+AB1668&gt;0,'Assumptions (Geo)'!AA22*(AB1558+AB1559-AB1557-AB1720+AB1668)-'Assumptions (Geo)'!AA23*Model!AB1556/10^3,'Assumptions (Geo)'!AA23*Model!AB1556/10^3)</f>
        <v>0.14360078914618041</v>
      </c>
      <c r="AC1773" s="105">
        <f>IF(AC1558+AC1559-AC1557-AC1720+AC1668&gt;0,'Assumptions (Geo)'!AB22*(AC1558+AC1559-AC1557-AC1720+AC1668)-'Assumptions (Geo)'!AB23*Model!AC1556/10^3,'Assumptions (Geo)'!AB23*Model!AC1556/10^3)</f>
        <v>0.14024758316437977</v>
      </c>
      <c r="AD1773" s="105">
        <f>IF(AD1558+AD1559-AD1557-AD1720+AD1668&gt;0,'Assumptions (Geo)'!AC22*(AD1558+AD1559-AD1557-AD1720+AD1668)-'Assumptions (Geo)'!AC23*Model!AD1556/10^3,'Assumptions (Geo)'!AC23*Model!AD1556/10^3)</f>
        <v>0.13899588781062733</v>
      </c>
      <c r="AE1773" s="105">
        <f>IF(AE1558+AE1559-AE1557-AE1720+AE1668&gt;0,'Assumptions (Geo)'!AD22*(AE1558+AE1559-AE1557-AE1720+AE1668)-'Assumptions (Geo)'!AD23*Model!AE1556/10^3,'Assumptions (Geo)'!AD23*Model!AE1556/10^3)</f>
        <v>0.13797739412930876</v>
      </c>
      <c r="AF1773" s="105">
        <f>IF(AF1558+AF1559-AF1557-AF1720+AF1668&gt;0,'Assumptions (Geo)'!AE22*(AF1558+AF1559-AF1557-AF1720+AF1668)-'Assumptions (Geo)'!AE23*Model!AF1556/10^3,'Assumptions (Geo)'!AE23*Model!AF1556/10^3)</f>
        <v>0.13527838699833325</v>
      </c>
      <c r="AG1773" s="105">
        <f>IF(AG1558+AG1559-AG1557-AG1720+AG1668&gt;0,'Assumptions (Geo)'!AF22*(AG1558+AG1559-AG1557-AG1720+AG1668)-'Assumptions (Geo)'!AF23*Model!AG1556/10^3,'Assumptions (Geo)'!AF23*Model!AG1556/10^3)</f>
        <v>0.13208539444914441</v>
      </c>
      <c r="AH1773" s="105">
        <f>IF(AH1558+AH1559-AH1557-AH1720+AH1668&gt;0,'Assumptions (Geo)'!AG22*(AH1558+AH1559-AH1557-AH1720+AH1668)-'Assumptions (Geo)'!AG23*Model!AH1556/10^3,'Assumptions (Geo)'!AG23*Model!AH1556/10^3)</f>
        <v>0.12872156287430792</v>
      </c>
      <c r="AI1773" s="105">
        <f>IF(AI1558+AI1559-AI1557-AI1720+AI1668&gt;0,'Assumptions (Geo)'!AH22*(AI1558+AI1559-AI1557-AI1720+AI1668)-'Assumptions (Geo)'!AH23*Model!AI1556/10^3,'Assumptions (Geo)'!AH23*Model!AI1556/10^3)</f>
        <v>0.12195725214234321</v>
      </c>
      <c r="AJ1773" s="105">
        <f>IF(AJ1558+AJ1559-AJ1557-AJ1720+AJ1668&gt;0,'Assumptions (Geo)'!AI22*(AJ1558+AJ1559-AJ1557-AJ1720+AJ1668)-'Assumptions (Geo)'!AI23*Model!AJ1556/10^3,'Assumptions (Geo)'!AI23*Model!AJ1556/10^3)</f>
        <v>0.11615465422725031</v>
      </c>
      <c r="AK1773" s="105">
        <f>IF(AK1558+AK1559-AK1557-AK1720+AK1668&gt;0,'Assumptions (Geo)'!AJ22*(AK1558+AK1559-AK1557-AK1720+AK1668)-'Assumptions (Geo)'!AJ23*Model!AK1556/10^3,'Assumptions (Geo)'!AJ23*Model!AK1556/10^3)</f>
        <v>0.11238143395230521</v>
      </c>
      <c r="AL1773" s="105">
        <f>IF(AL1558+AL1559-AL1557-AL1720+AL1668&gt;0,'Assumptions (Geo)'!AK22*(AL1558+AL1559-AL1557-AL1720+AL1668)-'Assumptions (Geo)'!AK23*Model!AL1556/10^3,'Assumptions (Geo)'!AK23*Model!AL1556/10^3)</f>
        <v>0.10351940710049935</v>
      </c>
      <c r="AM1773" s="105">
        <f>IF(AM1558+AM1559-AM1557-AM1720+AM1668&gt;0,'Assumptions (Geo)'!AL22*(AM1558+AM1559-AM1557-AM1720+AM1668)-'Assumptions (Geo)'!AL23*Model!AM1556/10^3,'Assumptions (Geo)'!AL23*Model!AM1556/10^3)</f>
        <v>9.3145045212865679E-2</v>
      </c>
      <c r="AN1773" s="105">
        <f>IF(AN1558+AN1559-AN1557-AN1720+AN1668&gt;0,'Assumptions (Geo)'!AM22*(AN1558+AN1559-AN1557-AN1720+AN1668)-'Assumptions (Geo)'!AM23*Model!AN1556/10^3,'Assumptions (Geo)'!AM23*Model!AN1556/10^3)</f>
        <v>7.7955315387316579E-2</v>
      </c>
      <c r="AO1773" s="105">
        <f>IF(AO1558+AO1559-AO1557-AO1720+AO1668&gt;0,'Assumptions (Geo)'!AN22*(AO1558+AO1559-AO1557-AO1720+AO1668)-'Assumptions (Geo)'!AN23*Model!AO1556/10^3,'Assumptions (Geo)'!AN23*Model!AO1556/10^3)</f>
        <v>6.872578472308559E-2</v>
      </c>
      <c r="AP1773" s="105">
        <f>IF(AP1558+AP1559-AP1557-AP1720+AP1668&gt;0,'Assumptions (Geo)'!AO22*(AP1558+AP1559-AP1557-AP1720+AP1668)-'Assumptions (Geo)'!AO23*Model!AP1556/10^3,'Assumptions (Geo)'!AO23*Model!AP1556/10^3)</f>
        <v>6.5185237344959651E-2</v>
      </c>
      <c r="AQ1773" s="105">
        <f>IF(AQ1558+AQ1559-AQ1557-AQ1720+AQ1668&gt;0,'Assumptions (Geo)'!AP22*(AQ1558+AQ1559-AQ1557-AQ1720+AQ1668)-'Assumptions (Geo)'!AP23*Model!AQ1556/10^3,'Assumptions (Geo)'!AP23*Model!AQ1556/10^3)</f>
        <v>5.3598811810425723E-2</v>
      </c>
      <c r="AR1773" s="105">
        <f>IF(AR1558+AR1559-AR1557-AR1720+AR1668&gt;0,'Assumptions (Geo)'!AQ22*(AR1558+AR1559-AR1557-AR1720+AR1668)-'Assumptions (Geo)'!AQ23*Model!AR1556/10^3,'Assumptions (Geo)'!AQ23*Model!AR1556/10^3)</f>
        <v>3.3410905093629643E-2</v>
      </c>
      <c r="AS1773" s="105">
        <f>IF(AS1558+AS1559-AS1557-AS1720+AS1668&gt;0,'Assumptions (Geo)'!AR22*(AS1558+AS1559-AS1557-AS1720+AS1668)-'Assumptions (Geo)'!AR23*Model!AS1556/10^3,'Assumptions (Geo)'!AR23*Model!AS1556/10^3)</f>
        <v>2.2407074178483109E-2</v>
      </c>
      <c r="AT1773" s="105">
        <f>IF(AT1558+AT1559-AT1557-AT1720+AT1668&gt;0,'Assumptions (Geo)'!AS22*(AT1558+AT1559-AT1557-AT1720+AT1668)-'Assumptions (Geo)'!AS23*Model!AT1556/10^3,'Assumptions (Geo)'!AS23*Model!AT1556/10^3)</f>
        <v>1.8268709120947434E-2</v>
      </c>
      <c r="AU1773" s="105">
        <f>IF(AU1558+AU1559-AU1557-AU1720+AU1668&gt;0,'Assumptions (Geo)'!AT22*(AU1558+AU1559-AU1557-AU1720+AU1668)-'Assumptions (Geo)'!AT23*Model!AU1556/10^3,'Assumptions (Geo)'!AT23*Model!AU1556/10^3)</f>
        <v>1.3319631195581487E-2</v>
      </c>
      <c r="AV1773" s="105">
        <f>IF(AV1558+AV1559-AV1557-AV1720+AV1668&gt;0,'Assumptions (Geo)'!AU22*(AV1558+AV1559-AV1557-AV1720+AV1668)-'Assumptions (Geo)'!AU23*Model!AV1556/10^3,'Assumptions (Geo)'!AU23*Model!AV1556/10^3)</f>
        <v>7.8718003954379376E-3</v>
      </c>
      <c r="AW1773" s="105">
        <f>IF(AW1558+AW1559-AW1557-AW1720+AW1668&gt;0,'Assumptions (Geo)'!AV22*(AW1558+AW1559-AW1557-AW1720+AW1668)-'Assumptions (Geo)'!AV23*Model!AW1556/10^3,'Assumptions (Geo)'!AV23*Model!AW1556/10^3)</f>
        <v>1.5702616641231806E-3</v>
      </c>
      <c r="AX1773" s="105">
        <f>IF(AX1558+AX1559-AX1557-AX1720+AX1668&gt;0,'Assumptions (Geo)'!AW22*(AX1558+AX1559-AX1557-AX1720+AX1668)-'Assumptions (Geo)'!AW23*Model!AX1556/10^3,'Assumptions (Geo)'!AW23*Model!AX1556/10^3)</f>
        <v>0</v>
      </c>
      <c r="AY1773" s="105">
        <f>IF(AY1558+AY1559-AY1557-AY1720+AY1668&gt;0,'Assumptions (Geo)'!AX22*(AY1558+AY1559-AY1557-AY1720+AY1668)-'Assumptions (Geo)'!AX23*Model!AY1556/10^3,'Assumptions (Geo)'!AX23*Model!AY1556/10^3)</f>
        <v>0</v>
      </c>
      <c r="AZ1773" s="105">
        <f>IF(AZ1558+AZ1559-AZ1557-AZ1720+AZ1668&gt;0,'Assumptions (Geo)'!AY22*(AZ1558+AZ1559-AZ1557-AZ1720+AZ1668)-'Assumptions (Geo)'!AY23*Model!AZ1556/10^3,'Assumptions (Geo)'!AY23*Model!AZ1556/10^3)</f>
        <v>0</v>
      </c>
      <c r="BA1773" s="105">
        <f>IF(BA1558+BA1559-BA1557-BA1720+BA1668&gt;0,'Assumptions (Geo)'!AZ22*(BA1558+BA1559-BA1557-BA1720+BA1668)-'Assumptions (Geo)'!AZ23*Model!BA1556/10^3,'Assumptions (Geo)'!AZ23*Model!BA1556/10^3)</f>
        <v>0</v>
      </c>
    </row>
    <row r="1774" spans="1:68" ht="15.75" customHeight="1">
      <c r="A1774" s="428" t="s">
        <v>66</v>
      </c>
      <c r="B1774" s="43" t="s">
        <v>816</v>
      </c>
      <c r="C1774" s="99"/>
      <c r="D1774" s="99"/>
      <c r="E1774" s="99"/>
      <c r="F1774" s="99"/>
      <c r="G1774" s="99"/>
      <c r="H1774" s="99"/>
      <c r="I1774" s="99"/>
      <c r="J1774" s="99"/>
      <c r="K1774" s="99"/>
      <c r="L1774" s="99"/>
      <c r="M1774" s="99"/>
      <c r="N1774" s="99"/>
      <c r="O1774" s="99"/>
      <c r="P1774" s="99"/>
      <c r="Q1774" s="99"/>
      <c r="R1774" s="99"/>
      <c r="S1774" s="99"/>
      <c r="T1774" s="99"/>
      <c r="U1774" s="99"/>
      <c r="V1774" s="99"/>
      <c r="W1774" s="86"/>
    </row>
    <row r="1775" spans="1:68" ht="15.75" customHeight="1">
      <c r="A1775" s="432" t="s">
        <v>873</v>
      </c>
      <c r="B1775" s="43"/>
      <c r="C1775" s="99"/>
      <c r="D1775" s="99"/>
      <c r="E1775" s="99"/>
      <c r="F1775" s="99"/>
      <c r="G1775" s="99"/>
      <c r="H1775" s="99"/>
      <c r="I1775" s="99"/>
      <c r="J1775" s="99"/>
      <c r="K1775" s="99"/>
      <c r="L1775" s="99"/>
      <c r="M1775" s="99"/>
      <c r="N1775" s="99"/>
      <c r="O1775" s="99"/>
      <c r="P1775" s="99"/>
      <c r="Q1775" s="99"/>
      <c r="R1775" s="99"/>
      <c r="S1775" s="99"/>
      <c r="T1775" s="99"/>
      <c r="U1775" s="99"/>
      <c r="V1775" s="99"/>
      <c r="W1775" s="86"/>
    </row>
    <row r="1776" spans="1:68" ht="15.75" customHeight="1">
      <c r="A1776" s="433"/>
      <c r="B1776" s="43"/>
      <c r="C1776" s="99"/>
      <c r="D1776" s="99"/>
      <c r="E1776" s="99"/>
      <c r="F1776" s="99"/>
      <c r="G1776" s="99"/>
      <c r="H1776" s="99"/>
      <c r="I1776" s="99"/>
      <c r="J1776" s="99"/>
      <c r="K1776" s="99"/>
      <c r="L1776" s="99"/>
      <c r="M1776" s="99"/>
      <c r="N1776" s="99"/>
      <c r="O1776" s="99"/>
      <c r="P1776" s="99"/>
      <c r="Q1776" s="99"/>
      <c r="R1776" s="99"/>
      <c r="S1776" s="99"/>
      <c r="T1776" s="99"/>
      <c r="U1776" s="99"/>
      <c r="V1776" s="99"/>
      <c r="W1776" s="86"/>
    </row>
    <row r="1777" spans="1:53" ht="15.75" customHeight="1">
      <c r="A1777" s="432" t="s">
        <v>874</v>
      </c>
      <c r="B1777" s="43"/>
      <c r="C1777" s="99"/>
      <c r="D1777" s="99"/>
      <c r="E1777" s="99"/>
      <c r="F1777" s="99"/>
      <c r="G1777" s="99"/>
      <c r="H1777" s="99"/>
      <c r="I1777" s="99"/>
      <c r="J1777" s="99"/>
      <c r="K1777" s="99"/>
      <c r="L1777" s="99"/>
      <c r="M1777" s="99"/>
      <c r="N1777" s="99"/>
      <c r="O1777" s="99"/>
      <c r="P1777" s="99"/>
      <c r="Q1777" s="99"/>
      <c r="R1777" s="99"/>
      <c r="S1777" s="99"/>
      <c r="T1777" s="99"/>
      <c r="U1777" s="99"/>
      <c r="V1777" s="99"/>
      <c r="W1777" s="86"/>
    </row>
    <row r="1778" spans="1:53" ht="15.75" customHeight="1">
      <c r="A1778" s="433"/>
      <c r="B1778" s="43"/>
      <c r="C1778" s="99"/>
      <c r="D1778" s="99"/>
      <c r="E1778" s="99"/>
      <c r="F1778" s="99"/>
      <c r="G1778" s="99"/>
      <c r="H1778" s="99"/>
      <c r="I1778" s="99"/>
      <c r="J1778" s="99"/>
      <c r="K1778" s="99"/>
      <c r="L1778" s="99"/>
      <c r="M1778" s="99"/>
      <c r="N1778" s="99"/>
      <c r="O1778" s="99"/>
      <c r="P1778" s="99"/>
      <c r="Q1778" s="99"/>
      <c r="R1778" s="99"/>
      <c r="S1778" s="99"/>
      <c r="T1778" s="99"/>
      <c r="U1778" s="99"/>
      <c r="V1778" s="99"/>
      <c r="W1778" s="86"/>
    </row>
    <row r="1779" spans="1:53" ht="15.75" customHeight="1">
      <c r="A1779" s="432" t="s">
        <v>875</v>
      </c>
      <c r="B1779" s="43"/>
      <c r="C1779" s="99"/>
      <c r="D1779" s="99"/>
      <c r="E1779" s="99"/>
      <c r="F1779" s="99"/>
      <c r="G1779" s="99"/>
      <c r="H1779" s="99"/>
      <c r="I1779" s="99"/>
      <c r="J1779" s="99"/>
      <c r="K1779" s="99"/>
      <c r="L1779" s="99"/>
      <c r="M1779" s="99"/>
      <c r="N1779" s="99"/>
      <c r="O1779" s="99"/>
      <c r="P1779" s="99"/>
      <c r="Q1779" s="99"/>
      <c r="R1779" s="99"/>
      <c r="S1779" s="99"/>
      <c r="T1779" s="99"/>
      <c r="U1779" s="99"/>
      <c r="V1779" s="99"/>
      <c r="W1779" s="86"/>
      <c r="X1779" s="94">
        <f t="shared" ref="X1779:BA1779" si="41">X1781/(X1780*0.00876)</f>
        <v>0.67629049171119116</v>
      </c>
      <c r="Y1779" s="94">
        <f t="shared" si="41"/>
        <v>0.67629019753500674</v>
      </c>
      <c r="Z1779" s="94">
        <f t="shared" si="41"/>
        <v>0.67628988156827896</v>
      </c>
      <c r="AA1779" s="94">
        <f t="shared" si="41"/>
        <v>0.67628954129674856</v>
      </c>
      <c r="AB1779" s="94">
        <f t="shared" si="41"/>
        <v>0.67628917380388032</v>
      </c>
      <c r="AC1779" s="94">
        <f t="shared" si="41"/>
        <v>0.67628877568705714</v>
      </c>
      <c r="AD1779" s="94">
        <f t="shared" si="41"/>
        <v>0.67628834295191154</v>
      </c>
      <c r="AE1779" s="94">
        <f t="shared" si="41"/>
        <v>0.67628787087783893</v>
      </c>
      <c r="AF1779" s="94">
        <f t="shared" si="41"/>
        <v>0.6762873538450872</v>
      </c>
      <c r="AG1779" s="94">
        <f t="shared" si="41"/>
        <v>0.67628678510997353</v>
      </c>
      <c r="AH1779" s="94">
        <f t="shared" si="41"/>
        <v>0.67628615650911894</v>
      </c>
      <c r="AI1779" s="94">
        <f t="shared" si="41"/>
        <v>0.67628545806509577</v>
      </c>
      <c r="AJ1779" s="94">
        <f t="shared" si="41"/>
        <v>0.676284677452895</v>
      </c>
      <c r="AK1779" s="94">
        <f t="shared" si="41"/>
        <v>0.67628379926632354</v>
      </c>
      <c r="AL1779" s="94">
        <f t="shared" si="41"/>
        <v>0.67628280399096696</v>
      </c>
      <c r="AM1779" s="94">
        <f t="shared" si="41"/>
        <v>0.67628166653700428</v>
      </c>
      <c r="AN1779" s="94">
        <f t="shared" si="41"/>
        <v>0.67628035409487963</v>
      </c>
      <c r="AO1779" s="94">
        <f t="shared" si="41"/>
        <v>0.67627882291884034</v>
      </c>
      <c r="AP1779" s="94">
        <f t="shared" si="41"/>
        <v>0.67627701335609824</v>
      </c>
      <c r="AQ1779" s="94">
        <f t="shared" si="41"/>
        <v>0.67627484189359288</v>
      </c>
      <c r="AR1779" s="94">
        <f t="shared" si="41"/>
        <v>0.67627218790280486</v>
      </c>
      <c r="AS1779" s="94">
        <f t="shared" si="41"/>
        <v>0.67626887044361828</v>
      </c>
      <c r="AT1779" s="94">
        <f t="shared" si="41"/>
        <v>0.67626460518678344</v>
      </c>
      <c r="AU1779" s="94">
        <f t="shared" si="41"/>
        <v>0.67625891826137785</v>
      </c>
      <c r="AV1779" s="94">
        <f t="shared" si="41"/>
        <v>0.6762509567265238</v>
      </c>
      <c r="AW1779" s="94">
        <f t="shared" si="41"/>
        <v>0.67623901477579085</v>
      </c>
      <c r="AX1779" s="94">
        <f t="shared" si="41"/>
        <v>0.67621911246197597</v>
      </c>
      <c r="AY1779" s="94">
        <f t="shared" si="41"/>
        <v>0.67617931134924847</v>
      </c>
      <c r="AZ1779" s="94">
        <f t="shared" si="41"/>
        <v>0.67605993612283588</v>
      </c>
      <c r="BA1779" s="94">
        <f t="shared" si="41"/>
        <v>1.2557077625570778E-4</v>
      </c>
    </row>
    <row r="1780" spans="1:53" ht="15.75" customHeight="1">
      <c r="A1780" s="434" t="s">
        <v>25</v>
      </c>
      <c r="B1780" s="99" t="s">
        <v>152</v>
      </c>
      <c r="C1780" s="63">
        <v>3723</v>
      </c>
      <c r="D1780" s="63">
        <v>3604</v>
      </c>
      <c r="E1780" s="63">
        <v>3695</v>
      </c>
      <c r="F1780" s="63">
        <v>3649</v>
      </c>
      <c r="G1780" s="63">
        <v>3421</v>
      </c>
      <c r="H1780" s="63">
        <v>3503</v>
      </c>
      <c r="I1780" s="63">
        <v>3617</v>
      </c>
      <c r="J1780" s="63">
        <v>4025</v>
      </c>
      <c r="K1780" s="63">
        <v>4077</v>
      </c>
      <c r="L1780" s="63">
        <v>4100</v>
      </c>
      <c r="M1780" s="63">
        <v>4148</v>
      </c>
      <c r="N1780" s="63">
        <v>4314.3</v>
      </c>
      <c r="O1780" s="63">
        <v>4583.3999999999996</v>
      </c>
      <c r="P1780" s="63">
        <v>4786.3999999999996</v>
      </c>
      <c r="Q1780" s="63">
        <v>4912.3999999999996</v>
      </c>
      <c r="R1780" s="63">
        <v>4872.3999999999996</v>
      </c>
      <c r="S1780" s="63">
        <v>4874.5</v>
      </c>
      <c r="T1780" s="43">
        <v>4240</v>
      </c>
      <c r="U1780" s="43">
        <v>4244</v>
      </c>
      <c r="V1780" s="43">
        <v>4246</v>
      </c>
      <c r="W1780" s="421">
        <v>4246</v>
      </c>
      <c r="X1780" s="101">
        <f t="shared" ref="X1780:AZ1780" si="42">W1780+($BA$1780-$W$1780)/($BA$2-$W$2)</f>
        <v>4104.4683333333332</v>
      </c>
      <c r="Y1780" s="101">
        <f t="shared" si="42"/>
        <v>3962.9366666666665</v>
      </c>
      <c r="Z1780" s="101">
        <f t="shared" si="42"/>
        <v>3821.4049999999997</v>
      </c>
      <c r="AA1780" s="101">
        <f t="shared" si="42"/>
        <v>3679.873333333333</v>
      </c>
      <c r="AB1780" s="101">
        <f t="shared" si="42"/>
        <v>3538.3416666666662</v>
      </c>
      <c r="AC1780" s="101">
        <f t="shared" si="42"/>
        <v>3396.8099999999995</v>
      </c>
      <c r="AD1780" s="101">
        <f t="shared" si="42"/>
        <v>3255.2783333333327</v>
      </c>
      <c r="AE1780" s="101">
        <f t="shared" si="42"/>
        <v>3113.746666666666</v>
      </c>
      <c r="AF1780" s="101">
        <f t="shared" si="42"/>
        <v>2972.2149999999992</v>
      </c>
      <c r="AG1780" s="101">
        <f t="shared" si="42"/>
        <v>2830.6833333333325</v>
      </c>
      <c r="AH1780" s="101">
        <f t="shared" si="42"/>
        <v>2689.1516666666657</v>
      </c>
      <c r="AI1780" s="101">
        <f t="shared" si="42"/>
        <v>2547.619999999999</v>
      </c>
      <c r="AJ1780" s="101">
        <f t="shared" si="42"/>
        <v>2406.0883333333322</v>
      </c>
      <c r="AK1780" s="101">
        <f t="shared" si="42"/>
        <v>2264.5566666666655</v>
      </c>
      <c r="AL1780" s="101">
        <f t="shared" si="42"/>
        <v>2123.0249999999987</v>
      </c>
      <c r="AM1780" s="101">
        <f t="shared" si="42"/>
        <v>1981.493333333332</v>
      </c>
      <c r="AN1780" s="101">
        <f t="shared" si="42"/>
        <v>1839.9616666666652</v>
      </c>
      <c r="AO1780" s="101">
        <f t="shared" si="42"/>
        <v>1698.4299999999985</v>
      </c>
      <c r="AP1780" s="101">
        <f t="shared" si="42"/>
        <v>1556.8983333333317</v>
      </c>
      <c r="AQ1780" s="101">
        <f t="shared" si="42"/>
        <v>1415.366666666665</v>
      </c>
      <c r="AR1780" s="101">
        <f t="shared" si="42"/>
        <v>1273.8349999999982</v>
      </c>
      <c r="AS1780" s="101">
        <f t="shared" si="42"/>
        <v>1132.3033333333315</v>
      </c>
      <c r="AT1780" s="101">
        <f t="shared" si="42"/>
        <v>990.77166666666483</v>
      </c>
      <c r="AU1780" s="101">
        <f t="shared" si="42"/>
        <v>849.23999999999819</v>
      </c>
      <c r="AV1780" s="101">
        <f t="shared" si="42"/>
        <v>707.70833333333155</v>
      </c>
      <c r="AW1780" s="101">
        <f t="shared" si="42"/>
        <v>566.17666666666491</v>
      </c>
      <c r="AX1780" s="101">
        <f t="shared" si="42"/>
        <v>424.64499999999828</v>
      </c>
      <c r="AY1780" s="101">
        <f t="shared" si="42"/>
        <v>283.11333333333164</v>
      </c>
      <c r="AZ1780" s="101">
        <f t="shared" si="42"/>
        <v>141.58166666666497</v>
      </c>
      <c r="BA1780" s="103">
        <f>Inputs!$E$11</f>
        <v>0.05</v>
      </c>
    </row>
    <row r="1781" spans="1:53" ht="15.75" customHeight="1">
      <c r="A1781" s="434" t="s">
        <v>28</v>
      </c>
      <c r="B1781" s="99" t="s">
        <v>153</v>
      </c>
      <c r="C1781" s="63">
        <v>22.592967000000002</v>
      </c>
      <c r="D1781" s="63">
        <v>14.260444</v>
      </c>
      <c r="E1781" s="63">
        <v>14.736048</v>
      </c>
      <c r="F1781" s="63">
        <v>15.459811</v>
      </c>
      <c r="G1781" s="63">
        <v>15.082912</v>
      </c>
      <c r="H1781" s="63">
        <v>15.105779999999999</v>
      </c>
      <c r="I1781" s="63">
        <v>15.766681999999999</v>
      </c>
      <c r="J1781" s="63">
        <v>16.22908</v>
      </c>
      <c r="K1781" s="63">
        <v>17.426658</v>
      </c>
      <c r="L1781" s="63">
        <v>18.151651999999999</v>
      </c>
      <c r="M1781" s="63">
        <v>18.627428999999999</v>
      </c>
      <c r="N1781" s="63">
        <v>18.90584973</v>
      </c>
      <c r="O1781" s="63">
        <v>19.539497000000001</v>
      </c>
      <c r="P1781" s="63">
        <v>20.449093390000002</v>
      </c>
      <c r="Q1781" s="63">
        <v>21.253177000000001</v>
      </c>
      <c r="R1781" s="63">
        <v>21.327535000000001</v>
      </c>
      <c r="S1781" s="63">
        <v>22.45018</v>
      </c>
      <c r="T1781" s="63">
        <v>23.733575999999999</v>
      </c>
      <c r="U1781" s="63">
        <v>24.087973000000002</v>
      </c>
      <c r="V1781" s="63">
        <v>24.840578000000001</v>
      </c>
      <c r="W1781" s="421">
        <v>25.154608</v>
      </c>
      <c r="X1781" s="101">
        <f t="shared" ref="X1781:AZ1781" si="43">W1781+($BA$1781-$W$1781)/($BA$2-$W$2)</f>
        <v>24.316121068499999</v>
      </c>
      <c r="Y1781" s="101">
        <f t="shared" si="43"/>
        <v>23.477634136999999</v>
      </c>
      <c r="Z1781" s="101">
        <f t="shared" si="43"/>
        <v>22.639147205499999</v>
      </c>
      <c r="AA1781" s="101">
        <f t="shared" si="43"/>
        <v>21.800660273999998</v>
      </c>
      <c r="AB1781" s="101">
        <f t="shared" si="43"/>
        <v>20.962173342499998</v>
      </c>
      <c r="AC1781" s="101">
        <f t="shared" si="43"/>
        <v>20.123686410999998</v>
      </c>
      <c r="AD1781" s="101">
        <f t="shared" si="43"/>
        <v>19.285199479499997</v>
      </c>
      <c r="AE1781" s="101">
        <f t="shared" si="43"/>
        <v>18.446712547999997</v>
      </c>
      <c r="AF1781" s="101">
        <f t="shared" si="43"/>
        <v>17.608225616499997</v>
      </c>
      <c r="AG1781" s="101">
        <f t="shared" si="43"/>
        <v>16.769738684999997</v>
      </c>
      <c r="AH1781" s="101">
        <f t="shared" si="43"/>
        <v>15.931251753499996</v>
      </c>
      <c r="AI1781" s="101">
        <f t="shared" si="43"/>
        <v>15.092764821999996</v>
      </c>
      <c r="AJ1781" s="101">
        <f t="shared" si="43"/>
        <v>14.254277890499996</v>
      </c>
      <c r="AK1781" s="101">
        <f t="shared" si="43"/>
        <v>13.415790958999995</v>
      </c>
      <c r="AL1781" s="101">
        <f t="shared" si="43"/>
        <v>12.577304027499995</v>
      </c>
      <c r="AM1781" s="101">
        <f t="shared" si="43"/>
        <v>11.738817095999995</v>
      </c>
      <c r="AN1781" s="101">
        <f t="shared" si="43"/>
        <v>10.900330164499994</v>
      </c>
      <c r="AO1781" s="101">
        <f t="shared" si="43"/>
        <v>10.061843232999994</v>
      </c>
      <c r="AP1781" s="101">
        <f t="shared" si="43"/>
        <v>9.2233563014999937</v>
      </c>
      <c r="AQ1781" s="101">
        <f t="shared" si="43"/>
        <v>8.3848693699999934</v>
      </c>
      <c r="AR1781" s="101">
        <f t="shared" si="43"/>
        <v>7.5463824384999931</v>
      </c>
      <c r="AS1781" s="101">
        <f t="shared" si="43"/>
        <v>6.7078955069999928</v>
      </c>
      <c r="AT1781" s="101">
        <f t="shared" si="43"/>
        <v>5.8694085754999925</v>
      </c>
      <c r="AU1781" s="101">
        <f t="shared" si="43"/>
        <v>5.0309216439999922</v>
      </c>
      <c r="AV1781" s="101">
        <f t="shared" si="43"/>
        <v>4.1924347124999919</v>
      </c>
      <c r="AW1781" s="101">
        <f t="shared" si="43"/>
        <v>3.353947780999992</v>
      </c>
      <c r="AX1781" s="101">
        <f t="shared" si="43"/>
        <v>2.5154608494999922</v>
      </c>
      <c r="AY1781" s="101">
        <f t="shared" si="43"/>
        <v>1.6769739179999923</v>
      </c>
      <c r="AZ1781" s="101">
        <f t="shared" si="43"/>
        <v>0.83848698649999232</v>
      </c>
      <c r="BA1781" s="104">
        <f>Inputs!$F$11</f>
        <v>5.5000000000000003E-8</v>
      </c>
    </row>
    <row r="1782" spans="1:53" ht="15.75" customHeight="1">
      <c r="A1782" s="434" t="s">
        <v>31</v>
      </c>
      <c r="B1782" s="99" t="s">
        <v>201</v>
      </c>
      <c r="C1782" s="105">
        <f>'Assumptions (MSW)'!B17*Model!C1780/10^9+'Assumptions (MSW)'!B18*Model!C1781/10^3</f>
        <v>1.2095787291908633</v>
      </c>
      <c r="D1782" s="105">
        <f>'Assumptions (MSW)'!C17*Model!D1780/10^9+'Assumptions (MSW)'!C18*Model!D1781/10^3</f>
        <v>1.1437199680827066</v>
      </c>
      <c r="E1782" s="105">
        <f>'Assumptions (MSW)'!D17*Model!E1780/10^9+'Assumptions (MSW)'!D18*Model!E1781/10^3</f>
        <v>1.1956428125762635</v>
      </c>
      <c r="F1782" s="105">
        <f>'Assumptions (MSW)'!E17*Model!F1780/10^9+'Assumptions (MSW)'!E18*Model!F1781/10^3</f>
        <v>1.2093125446922703</v>
      </c>
      <c r="G1782" s="105">
        <f>'Assumptions (MSW)'!F17*Model!G1780/10^9+'Assumptions (MSW)'!F18*Model!G1781/10^3</f>
        <v>1.1593419737673742</v>
      </c>
      <c r="H1782" s="105">
        <f>'Assumptions (MSW)'!G17*Model!H1780/10^9+'Assumptions (MSW)'!G18*Model!H1781/10^3</f>
        <v>1.2073141158820984</v>
      </c>
      <c r="I1782" s="105">
        <f>'Assumptions (MSW)'!H17*Model!I1780/10^9+'Assumptions (MSW)'!H18*Model!I1781/10^3</f>
        <v>1.2714983789822274</v>
      </c>
      <c r="J1782" s="105">
        <f>'Assumptions (MSW)'!I17*Model!J1780/10^9+'Assumptions (MSW)'!I18*Model!J1781/10^3</f>
        <v>1.432235015606065</v>
      </c>
      <c r="K1782" s="105">
        <f>'Assumptions (MSW)'!J17*Model!K1780/10^9+'Assumptions (MSW)'!J18*Model!K1781/10^3</f>
        <v>1.4856246793286858</v>
      </c>
      <c r="L1782" s="105">
        <f>'Assumptions (MSW)'!K17*Model!L1780/10^9+'Assumptions (MSW)'!K18*Model!L1781/10^3</f>
        <v>1.5271249173587216</v>
      </c>
      <c r="M1782" s="105">
        <f>'Assumptions (MSW)'!L17*Model!M1780/10^9+'Assumptions (MSW)'!L18*Model!M1781/10^3</f>
        <v>1.5763846845091865</v>
      </c>
      <c r="N1782" s="105">
        <f>'Assumptions (MSW)'!M17*Model!N1780/10^9+'Assumptions (MSW)'!M18*Model!N1781/10^3</f>
        <v>1.6670633522146552</v>
      </c>
      <c r="O1782" s="105">
        <f>'Assumptions (MSW)'!N17*Model!O1780/10^9+'Assumptions (MSW)'!N18*Model!O1781/10^3</f>
        <v>1.800334567786694</v>
      </c>
      <c r="P1782" s="105">
        <f>'Assumptions (MSW)'!O17*Model!P1780/10^9+'Assumptions (MSW)'!O18*Model!P1781/10^3</f>
        <v>1.9161530518370224</v>
      </c>
      <c r="Q1782" s="105">
        <f>'Assumptions (MSW)'!P17*Model!Q1780/10^9+'Assumptions (MSW)'!P18*Model!Q1781/10^3</f>
        <v>2.006165635574173</v>
      </c>
      <c r="R1782" s="105">
        <f>'Assumptions (MSW)'!Q17*Model!R1780/10^9+'Assumptions (MSW)'!Q18*Model!R1781/10^3</f>
        <v>2.029728931500038</v>
      </c>
      <c r="S1782" s="105">
        <f>'Assumptions (MSW)'!R17*Model!S1780/10^9+'Assumptions (MSW)'!R18*Model!S1781/10^3</f>
        <v>2.078779017248106</v>
      </c>
      <c r="T1782" s="105">
        <f>'Assumptions (MSW)'!S17*Model!T1780/10^9+'Assumptions (MSW)'!S18*Model!T1781/10^3</f>
        <v>1.8794714873455745</v>
      </c>
      <c r="U1782" s="105">
        <f>'Assumptions (MSW)'!T17*Model!U1780/10^9+'Assumptions (MSW)'!T18*Model!U1781/10^3</f>
        <v>1.919958616675703</v>
      </c>
      <c r="V1782" s="105">
        <f>'Assumptions (MSW)'!U17*Model!V1780/10^9+'Assumptions (MSW)'!U18*Model!V1781/10^3</f>
        <v>1.9641176541903826</v>
      </c>
      <c r="W1782" s="105">
        <f>'Assumptions (MSW)'!V17*Model!W1780/10^9+'Assumptions (MSW)'!V18*Model!W1781/10^3</f>
        <v>2.0043532283199998</v>
      </c>
      <c r="X1782" s="105">
        <f>'Assumptions (MSW)'!W17*Model!X1780/10^9+'Assumptions (MSW)'!W18*Model!X1781/10^3</f>
        <v>1.9743554499257996</v>
      </c>
      <c r="Y1782" s="105">
        <f>'Assumptions (MSW)'!X17*Model!Y1780/10^9+'Assumptions (MSW)'!X18*Model!Y1781/10^3</f>
        <v>1.9424941844371959</v>
      </c>
      <c r="Z1782" s="105">
        <f>'Assumptions (MSW)'!Y17*Model!Z1780/10^9+'Assumptions (MSW)'!Y18*Model!Z1781/10^3</f>
        <v>1.9087094485426019</v>
      </c>
      <c r="AA1782" s="105">
        <f>'Assumptions (MSW)'!Z17*Model!AA1780/10^9+'Assumptions (MSW)'!Z18*Model!AA1781/10^3</f>
        <v>1.8729396522834316</v>
      </c>
      <c r="AB1782" s="105">
        <f>'Assumptions (MSW)'!AA17*Model!AB1780/10^9+'Assumptions (MSW)'!AA18*Model!AB1781/10^3</f>
        <v>1.8351215596554888</v>
      </c>
      <c r="AC1782" s="105">
        <f>'Assumptions (MSW)'!AB17*Model!AC1780/10^9+'Assumptions (MSW)'!AB18*Model!AC1781/10^3</f>
        <v>1.7951902482932103</v>
      </c>
      <c r="AD1782" s="105">
        <f>'Assumptions (MSW)'!AC17*Model!AD1780/10^9+'Assumptions (MSW)'!AC18*Model!AD1781/10^3</f>
        <v>1.753079068216129</v>
      </c>
      <c r="AE1782" s="105">
        <f>'Assumptions (MSW)'!AD17*Model!AE1780/10^9+'Assumptions (MSW)'!AD18*Model!AE1781/10^3</f>
        <v>1.708719599616485</v>
      </c>
      <c r="AF1782" s="105">
        <f>'Assumptions (MSW)'!AE17*Model!AF1780/10^9+'Assumptions (MSW)'!AE18*Model!AF1781/10^3</f>
        <v>1.6620416096664286</v>
      </c>
      <c r="AG1782" s="105">
        <f>'Assumptions (MSW)'!AF17*Model!AG1780/10^9+'Assumptions (MSW)'!AF18*Model!AG1781/10^3</f>
        <v>1.6129730083228084</v>
      </c>
      <c r="AH1782" s="105">
        <f>'Assumptions (MSW)'!AG17*Model!AH1780/10^9+'Assumptions (MSW)'!AG18*Model!AH1781/10^3</f>
        <v>1.5614398031070409</v>
      </c>
      <c r="AI1782" s="105">
        <f>'Assumptions (MSW)'!AH17*Model!AI1780/10^9+'Assumptions (MSW)'!AH18*Model!AI1781/10^3</f>
        <v>1.5073660528370698</v>
      </c>
      <c r="AJ1782" s="105">
        <f>'Assumptions (MSW)'!AI17*Model!AJ1780/10^9+'Assumptions (MSW)'!AI18*Model!AJ1781/10^3</f>
        <v>1.4506738202879179</v>
      </c>
      <c r="AK1782" s="105">
        <f>'Assumptions (MSW)'!AJ17*Model!AK1780/10^9+'Assumptions (MSW)'!AJ18*Model!AK1781/10^3</f>
        <v>1.3912831237568246</v>
      </c>
      <c r="AL1782" s="105">
        <f>'Assumptions (MSW)'!AK17*Model!AL1780/10^9+'Assumptions (MSW)'!AK18*Model!AL1781/10^3</f>
        <v>1.3291118875084253</v>
      </c>
      <c r="AM1782" s="105">
        <f>'Assumptions (MSW)'!AL17*Model!AM1780/10^9+'Assumptions (MSW)'!AL18*Model!AM1781/10^3</f>
        <v>1.264075891074911</v>
      </c>
      <c r="AN1782" s="105">
        <f>'Assumptions (MSW)'!AM17*Model!AN1780/10^9+'Assumptions (MSW)'!AM18*Model!AN1781/10^3</f>
        <v>1.1960887173855324</v>
      </c>
      <c r="AO1782" s="105">
        <f>'Assumptions (MSW)'!AN17*Model!AO1780/10^9+'Assumptions (MSW)'!AN18*Model!AO1781/10^3</f>
        <v>1.1250616996992793</v>
      </c>
      <c r="AP1782" s="105">
        <f>'Assumptions (MSW)'!AO17*Model!AP1780/10^9+'Assumptions (MSW)'!AO18*Model!AP1781/10^3</f>
        <v>1.0509038673139721</v>
      </c>
      <c r="AQ1782" s="105">
        <f>'Assumptions (MSW)'!AP17*Model!AQ1780/10^9+'Assumptions (MSW)'!AP18*Model!AQ1781/10^3</f>
        <v>0.97352189002443212</v>
      </c>
      <c r="AR1782" s="105">
        <f>'Assumptions (MSW)'!AQ17*Model!AR1780/10^9+'Assumptions (MSW)'!AQ18*Model!AR1781/10^3</f>
        <v>0.89282002130178917</v>
      </c>
      <c r="AS1782" s="105">
        <f>'Assumptions (MSW)'!AR17*Model!AS1780/10^9+'Assumptions (MSW)'!AR18*Model!AS1781/10^3</f>
        <v>0.80870004016538699</v>
      </c>
      <c r="AT1782" s="105">
        <f>'Assumptions (MSW)'!AS17*Model!AT1780/10^9+'Assumptions (MSW)'!AS18*Model!AT1781/10^3</f>
        <v>0.72106119171811156</v>
      </c>
      <c r="AU1782" s="105">
        <f>'Assumptions (MSW)'!AT17*Model!AU1780/10^9+'Assumptions (MSW)'!AT18*Model!AU1781/10^3</f>
        <v>0.62980012631533988</v>
      </c>
      <c r="AV1782" s="105">
        <f>'Assumptions (MSW)'!AU17*Model!AV1780/10^9+'Assumptions (MSW)'!AU18*Model!AV1781/10^3</f>
        <v>0.5348108373370527</v>
      </c>
      <c r="AW1782" s="105">
        <f>'Assumptions (MSW)'!AV17*Model!AW1780/10^9+'Assumptions (MSW)'!AV18*Model!AW1781/10^3</f>
        <v>0.43598459753199076</v>
      </c>
      <c r="AX1782" s="105">
        <f>'Assumptions (MSW)'!AW17*Model!AX1780/10^9+'Assumptions (MSW)'!AW18*Model!AX1781/10^3</f>
        <v>0.33320989390205774</v>
      </c>
      <c r="AY1782" s="105">
        <f>'Assumptions (MSW)'!AX17*Model!AY1780/10^9+'Assumptions (MSW)'!AX18*Model!AY1781/10^3</f>
        <v>0.22637236109447814</v>
      </c>
      <c r="AZ1782" s="105">
        <f>'Assumptions (MSW)'!AY17*Model!AZ1780/10^9+'Assumptions (MSW)'!AY18*Model!AZ1781/10^3</f>
        <v>0.11535471326851184</v>
      </c>
      <c r="BA1782" s="105">
        <f>'Assumptions (MSW)'!AZ17*Model!BA1780/10^9+'Assumptions (MSW)'!AZ18*Model!BA1781/10^3</f>
        <v>3.6674402805066335E-5</v>
      </c>
    </row>
    <row r="1783" spans="1:53" ht="15.75" customHeight="1">
      <c r="A1783" s="434" t="s">
        <v>36</v>
      </c>
      <c r="B1783" s="99" t="s">
        <v>201</v>
      </c>
      <c r="C1783" s="147">
        <f>C1781*'Assumptions (MSW)'!B30/10^3</f>
        <v>1.5122963948922001</v>
      </c>
      <c r="D1783" s="147">
        <f>D1781*'Assumptions (MSW)'!C30/10^3</f>
        <v>0.9777345438388001</v>
      </c>
      <c r="E1783" s="147">
        <f>E1781*'Assumptions (MSW)'!D30/10^3</f>
        <v>0.91345224900480004</v>
      </c>
      <c r="F1783" s="147">
        <f>F1781*'Assumptions (MSW)'!E30/10^3</f>
        <v>1.1648952128689001</v>
      </c>
      <c r="G1783" s="147">
        <f>G1781*'Assumptions (MSW)'!F30/10^3</f>
        <v>1.1940794523423999</v>
      </c>
      <c r="H1783" s="147">
        <f>H1781*'Assumptions (MSW)'!G30/10^3</f>
        <v>1.4479328197620001</v>
      </c>
      <c r="I1783" s="147">
        <f>I1781*'Assumptions (MSW)'!H30/10^3</f>
        <v>1.3596823923114001</v>
      </c>
      <c r="J1783" s="147">
        <f>J1781*'Assumptions (MSW)'!I30/10^3</f>
        <v>1.4225064514360002</v>
      </c>
      <c r="K1783" s="147">
        <f>K1781*'Assumptions (MSW)'!J30/10^3</f>
        <v>1.7677288195356</v>
      </c>
      <c r="L1783" s="147">
        <f>L1781*'Assumptions (MSW)'!K30/10^3</f>
        <v>1.2855925680651996</v>
      </c>
      <c r="M1783" s="147">
        <f>M1781*'Assumptions (MSW)'!L30/10^3</f>
        <v>1.3640661354980999</v>
      </c>
      <c r="N1783" s="147">
        <f>N1781*'Assumptions (MSW)'!M30/10^3</f>
        <v>1.333662123408579</v>
      </c>
      <c r="O1783" s="147">
        <f>O1781*'Assumptions (MSW)'!N30/10^3</f>
        <v>1.1918663301066001</v>
      </c>
      <c r="P1783" s="147">
        <f>P1781*'Assumptions (MSW)'!O30/10^3</f>
        <v>1.3846960445384773</v>
      </c>
      <c r="Q1783" s="147">
        <f>Q1781*'Assumptions (MSW)'!P30/10^3</f>
        <v>1.5443259763041</v>
      </c>
      <c r="R1783" s="147">
        <f>R1781*'Assumptions (MSW)'!Q30/10^3</f>
        <v>1.276807006831</v>
      </c>
      <c r="S1783" s="147">
        <f>S1781*'Assumptions (MSW)'!R30/10^3</f>
        <v>1.4383830325999998</v>
      </c>
      <c r="T1783" s="147">
        <f>T1781*'Assumptions (MSW)'!S30/10^3</f>
        <v>1.4842978430399998</v>
      </c>
      <c r="U1783" s="147">
        <f>U1781*'Assumptions (MSW)'!T30/10^3</f>
        <v>1.5464478666000003</v>
      </c>
      <c r="V1783" s="147">
        <f>V1781*'Assumptions (MSW)'!U30/10^3</f>
        <v>1.6168732220200002</v>
      </c>
      <c r="W1783" s="147">
        <f>W1781*'Assumptions (MSW)'!V30/10^3</f>
        <v>1.70782884423424</v>
      </c>
      <c r="X1783" s="147">
        <f>X1781*'Assumptions (MSW)'!W30/10^3</f>
        <v>1.6634228027617937</v>
      </c>
      <c r="Y1783" s="147">
        <f>Y1781*'Assumptions (MSW)'!X30/10^3</f>
        <v>1.6208921043970179</v>
      </c>
      <c r="Z1783" s="147">
        <f>Z1781*'Assumptions (MSW)'!Y30/10^3</f>
        <v>1.5884968180808088</v>
      </c>
      <c r="AA1783" s="147">
        <f>AA1781*'Assumptions (MSW)'!Z30/10^3</f>
        <v>1.5587371812872739</v>
      </c>
      <c r="AB1783" s="147">
        <f>AB1781*'Assumptions (MSW)'!AA30/10^3</f>
        <v>1.5410675031295018</v>
      </c>
      <c r="AC1783" s="147">
        <f>AC1781*'Assumptions (MSW)'!AB30/10^3</f>
        <v>1.5033122226465077</v>
      </c>
      <c r="AD1783" s="147">
        <f>AD1781*'Assumptions (MSW)'!AC30/10^3</f>
        <v>1.4689846935246769</v>
      </c>
      <c r="AE1783" s="147">
        <f>AE1781*'Assumptions (MSW)'!AD30/10^3</f>
        <v>1.4297950973049547</v>
      </c>
      <c r="AF1783" s="147">
        <f>AF1781*'Assumptions (MSW)'!AE30/10^3</f>
        <v>1.3899410337364289</v>
      </c>
      <c r="AG1783" s="147">
        <f>AG1781*'Assumptions (MSW)'!AF30/10^3</f>
        <v>1.3481991168432903</v>
      </c>
      <c r="AH1783" s="147">
        <f>AH1781*'Assumptions (MSW)'!AG30/10^3</f>
        <v>1.3063502174106321</v>
      </c>
      <c r="AI1783" s="147">
        <f>AI1781*'Assumptions (MSW)'!AH30/10^3</f>
        <v>1.2570484604094589</v>
      </c>
      <c r="AJ1783" s="147">
        <f>AJ1781*'Assumptions (MSW)'!AI30/10^3</f>
        <v>1.2052302699675761</v>
      </c>
      <c r="AK1783" s="147">
        <f>AK1781*'Assumptions (MSW)'!AJ30/10^3</f>
        <v>1.1516458403454146</v>
      </c>
      <c r="AL1783" s="147">
        <f>AL1781*'Assumptions (MSW)'!AK30/10^3</f>
        <v>1.0977785387802683</v>
      </c>
      <c r="AM1783" s="147">
        <f>AM1781*'Assumptions (MSW)'!AL30/10^3</f>
        <v>1.0458295276373091</v>
      </c>
      <c r="AN1783" s="147">
        <f>AN1781*'Assumptions (MSW)'!AM30/10^3</f>
        <v>0.99024169283031993</v>
      </c>
      <c r="AO1783" s="147">
        <f>AO1781*'Assumptions (MSW)'!AN30/10^3</f>
        <v>0.93459300065758422</v>
      </c>
      <c r="AP1783" s="147">
        <f>AP1781*'Assumptions (MSW)'!AO30/10^3</f>
        <v>0.87585341926583393</v>
      </c>
      <c r="AQ1783" s="147">
        <f>AQ1781*'Assumptions (MSW)'!AP30/10^3</f>
        <v>0.81247749145772785</v>
      </c>
      <c r="AR1783" s="147">
        <f>AR1781*'Assumptions (MSW)'!AQ30/10^3</f>
        <v>0.74552915653613472</v>
      </c>
      <c r="AS1783" s="147">
        <f>AS1781*'Assumptions (MSW)'!AR30/10^3</f>
        <v>0.67531684353558374</v>
      </c>
      <c r="AT1783" s="147">
        <f>AT1781*'Assumptions (MSW)'!AS30/10^3</f>
        <v>0.60261106325895486</v>
      </c>
      <c r="AU1783" s="147">
        <f>AU1781*'Assumptions (MSW)'!AT30/10^3</f>
        <v>0.52723123077694134</v>
      </c>
      <c r="AV1783" s="147">
        <f>AV1781*'Assumptions (MSW)'!AU30/10^3</f>
        <v>0.44851140299447423</v>
      </c>
      <c r="AW1783" s="147">
        <f>AW1781*'Assumptions (MSW)'!AV30/10^3</f>
        <v>0.36551114972575488</v>
      </c>
      <c r="AX1783" s="147">
        <f>AX1781*'Assumptions (MSW)'!AW30/10^3</f>
        <v>0.28015849623793876</v>
      </c>
      <c r="AY1783" s="147">
        <f>AY1781*'Assumptions (MSW)'!AX30/10^3</f>
        <v>0.19350486328601568</v>
      </c>
      <c r="AZ1783" s="147">
        <f>AZ1781*'Assumptions (MSW)'!AY30/10^3</f>
        <v>9.9329683881748579E-2</v>
      </c>
      <c r="BA1783" s="147">
        <f>BA1781*'Assumptions (MSW)'!AZ30/10^3</f>
        <v>6.6483675500000007E-9</v>
      </c>
    </row>
    <row r="1784" spans="1:53" ht="15.75" customHeight="1">
      <c r="A1784" s="434" t="s">
        <v>38</v>
      </c>
      <c r="B1784" s="99" t="s">
        <v>201</v>
      </c>
      <c r="C1784" s="147">
        <f>C1780*'Assumptions (MSW)'!B33*'Assumptions (MSW)'!B32*365/10^9</f>
        <v>0</v>
      </c>
      <c r="D1784" s="147">
        <f>D1780*'Assumptions (MSW)'!C33*'Assumptions (MSW)'!C32*365/10^9</f>
        <v>0</v>
      </c>
      <c r="E1784" s="147">
        <f>E1780*'Assumptions (MSW)'!D33*'Assumptions (MSW)'!D32*365/10^9</f>
        <v>0</v>
      </c>
      <c r="F1784" s="147">
        <f>F1780*'Assumptions (MSW)'!E33*'Assumptions (MSW)'!E32*365/10^9</f>
        <v>0</v>
      </c>
      <c r="G1784" s="147">
        <f>G1780*'Assumptions (MSW)'!F33*'Assumptions (MSW)'!F32*365/10^9</f>
        <v>0</v>
      </c>
      <c r="H1784" s="147">
        <f>H1780*'Assumptions (MSW)'!G33*'Assumptions (MSW)'!G32*365/10^9</f>
        <v>0</v>
      </c>
      <c r="I1784" s="147">
        <f>I1780*'Assumptions (MSW)'!H33*'Assumptions (MSW)'!H32*365/10^9</f>
        <v>0</v>
      </c>
      <c r="J1784" s="147">
        <f>J1780*'Assumptions (MSW)'!I33*'Assumptions (MSW)'!I32*365/10^9</f>
        <v>0</v>
      </c>
      <c r="K1784" s="147">
        <f>K1780*'Assumptions (MSW)'!J33*'Assumptions (MSW)'!J32*365/10^9</f>
        <v>0</v>
      </c>
      <c r="L1784" s="147">
        <f>L1780*'Assumptions (MSW)'!K33*'Assumptions (MSW)'!K32*365/10^9</f>
        <v>0</v>
      </c>
      <c r="M1784" s="147">
        <f>M1780*'Assumptions (MSW)'!L33*'Assumptions (MSW)'!L32*365/10^9</f>
        <v>0</v>
      </c>
      <c r="N1784" s="147">
        <f>N1780*'Assumptions (MSW)'!M33*'Assumptions (MSW)'!M32*365/10^9</f>
        <v>0</v>
      </c>
      <c r="O1784" s="147">
        <f>O1780*'Assumptions (MSW)'!N33*'Assumptions (MSW)'!N32*365/10^9</f>
        <v>0</v>
      </c>
      <c r="P1784" s="147">
        <f>P1780*'Assumptions (MSW)'!O33*'Assumptions (MSW)'!O32*365/10^9</f>
        <v>0</v>
      </c>
      <c r="Q1784" s="147">
        <f>Q1780*'Assumptions (MSW)'!P33*'Assumptions (MSW)'!P32*365/10^9</f>
        <v>0</v>
      </c>
      <c r="R1784" s="147">
        <f>R1780*'Assumptions (MSW)'!Q33*'Assumptions (MSW)'!Q32*365/10^9</f>
        <v>0</v>
      </c>
      <c r="S1784" s="147">
        <f>S1780*'Assumptions (MSW)'!R33*'Assumptions (MSW)'!R32*365/10^9</f>
        <v>0</v>
      </c>
      <c r="T1784" s="147">
        <f>T1780*'Assumptions (MSW)'!S33*'Assumptions (MSW)'!S32*365/10^9</f>
        <v>0</v>
      </c>
      <c r="U1784" s="147">
        <f>U1780*'Assumptions (MSW)'!T33*'Assumptions (MSW)'!T32*365/10^9</f>
        <v>0</v>
      </c>
      <c r="V1784" s="147">
        <f>V1780*'Assumptions (MSW)'!U33*'Assumptions (MSW)'!U32*365/10^9</f>
        <v>0</v>
      </c>
      <c r="W1784" s="147">
        <f>W1780*'Assumptions (MSW)'!V33*'Assumptions (MSW)'!V32*365/10^9</f>
        <v>0</v>
      </c>
      <c r="X1784" s="147">
        <f>X1780*'Assumptions (MSW)'!W33*'Assumptions (MSW)'!W32*365/10^9</f>
        <v>0</v>
      </c>
      <c r="Y1784" s="147">
        <f>Y1780*'Assumptions (MSW)'!X33*'Assumptions (MSW)'!X32*365/10^9</f>
        <v>0</v>
      </c>
      <c r="Z1784" s="147">
        <f>Z1780*'Assumptions (MSW)'!Y33*'Assumptions (MSW)'!Y32*365/10^9</f>
        <v>0</v>
      </c>
      <c r="AA1784" s="147">
        <f>AA1780*'Assumptions (MSW)'!Z33*'Assumptions (MSW)'!Z32*365/10^9</f>
        <v>0</v>
      </c>
      <c r="AB1784" s="147">
        <f>AB1780*'Assumptions (MSW)'!AA33*'Assumptions (MSW)'!AA32*365/10^9</f>
        <v>0</v>
      </c>
      <c r="AC1784" s="147">
        <f>AC1780*'Assumptions (MSW)'!AB33*'Assumptions (MSW)'!AB32*365/10^9</f>
        <v>0</v>
      </c>
      <c r="AD1784" s="147">
        <f>AD1780*'Assumptions (MSW)'!AC33*'Assumptions (MSW)'!AC32*365/10^9</f>
        <v>0</v>
      </c>
      <c r="AE1784" s="147">
        <f>AE1780*'Assumptions (MSW)'!AD33*'Assumptions (MSW)'!AD32*365/10^9</f>
        <v>0</v>
      </c>
      <c r="AF1784" s="147">
        <f>AF1780*'Assumptions (MSW)'!AE33*'Assumptions (MSW)'!AE32*365/10^9</f>
        <v>0</v>
      </c>
      <c r="AG1784" s="147">
        <f>AG1780*'Assumptions (MSW)'!AF33*'Assumptions (MSW)'!AF32*365/10^9</f>
        <v>0</v>
      </c>
      <c r="AH1784" s="147">
        <f>AH1780*'Assumptions (MSW)'!AG33*'Assumptions (MSW)'!AG32*365/10^9</f>
        <v>0</v>
      </c>
      <c r="AI1784" s="147">
        <f>AI1780*'Assumptions (MSW)'!AH33*'Assumptions (MSW)'!AH32*365/10^9</f>
        <v>0</v>
      </c>
      <c r="AJ1784" s="147">
        <f>AJ1780*'Assumptions (MSW)'!AI33*'Assumptions (MSW)'!AI32*365/10^9</f>
        <v>0</v>
      </c>
      <c r="AK1784" s="147">
        <f>AK1780*'Assumptions (MSW)'!AJ33*'Assumptions (MSW)'!AJ32*365/10^9</f>
        <v>0</v>
      </c>
      <c r="AL1784" s="147">
        <f>AL1780*'Assumptions (MSW)'!AK33*'Assumptions (MSW)'!AK32*365/10^9</f>
        <v>0</v>
      </c>
      <c r="AM1784" s="147">
        <f>AM1780*'Assumptions (MSW)'!AL33*'Assumptions (MSW)'!AL32*365/10^9</f>
        <v>0</v>
      </c>
      <c r="AN1784" s="147">
        <f>AN1780*'Assumptions (MSW)'!AM33*'Assumptions (MSW)'!AM32*365/10^9</f>
        <v>0</v>
      </c>
      <c r="AO1784" s="147">
        <f>AO1780*'Assumptions (MSW)'!AN33*'Assumptions (MSW)'!AN32*365/10^9</f>
        <v>0</v>
      </c>
      <c r="AP1784" s="147">
        <f>AP1780*'Assumptions (MSW)'!AO33*'Assumptions (MSW)'!AO32*365/10^9</f>
        <v>0</v>
      </c>
      <c r="AQ1784" s="147">
        <f>AQ1780*'Assumptions (MSW)'!AP33*'Assumptions (MSW)'!AP32*365/10^9</f>
        <v>0</v>
      </c>
      <c r="AR1784" s="147">
        <f>AR1780*'Assumptions (MSW)'!AQ33*'Assumptions (MSW)'!AQ32*365/10^9</f>
        <v>0</v>
      </c>
      <c r="AS1784" s="147">
        <f>AS1780*'Assumptions (MSW)'!AR33*'Assumptions (MSW)'!AR32*365/10^9</f>
        <v>0</v>
      </c>
      <c r="AT1784" s="147">
        <f>AT1780*'Assumptions (MSW)'!AS33*'Assumptions (MSW)'!AS32*365/10^9</f>
        <v>0</v>
      </c>
      <c r="AU1784" s="147">
        <f>AU1780*'Assumptions (MSW)'!AT33*'Assumptions (MSW)'!AT32*365/10^9</f>
        <v>0</v>
      </c>
      <c r="AV1784" s="147">
        <f>AV1780*'Assumptions (MSW)'!AU33*'Assumptions (MSW)'!AU32*365/10^9</f>
        <v>0</v>
      </c>
      <c r="AW1784" s="147">
        <f>AW1780*'Assumptions (MSW)'!AV33*'Assumptions (MSW)'!AV32*365/10^9</f>
        <v>0</v>
      </c>
      <c r="AX1784" s="147">
        <f>AX1780*'Assumptions (MSW)'!AW33*'Assumptions (MSW)'!AW32*365/10^9</f>
        <v>0</v>
      </c>
      <c r="AY1784" s="147">
        <f>AY1780*'Assumptions (MSW)'!AX33*'Assumptions (MSW)'!AX32*365/10^9</f>
        <v>0</v>
      </c>
      <c r="AZ1784" s="147">
        <f>AZ1780*'Assumptions (MSW)'!AY33*'Assumptions (MSW)'!AY32*365/10^9</f>
        <v>0</v>
      </c>
      <c r="BA1784" s="147">
        <f>BA1780*'Assumptions (MSW)'!AZ33*'Assumptions (MSW)'!AZ32*365/10^9</f>
        <v>0</v>
      </c>
    </row>
    <row r="1785" spans="1:53" ht="15.75" customHeight="1">
      <c r="A1785" s="435" t="s">
        <v>46</v>
      </c>
      <c r="B1785" s="99" t="s">
        <v>152</v>
      </c>
      <c r="C1785" s="63">
        <v>24.6</v>
      </c>
      <c r="D1785" s="63">
        <v>91.1</v>
      </c>
      <c r="E1785" s="63">
        <v>24.5</v>
      </c>
      <c r="F1785" s="63">
        <v>82.3</v>
      </c>
      <c r="G1785" s="63">
        <v>41.1</v>
      </c>
      <c r="H1785" s="63">
        <v>44.2</v>
      </c>
      <c r="I1785" s="63">
        <v>123.7</v>
      </c>
      <c r="J1785" s="63">
        <v>130.30000000000001</v>
      </c>
      <c r="K1785" s="63">
        <v>131.5</v>
      </c>
      <c r="L1785" s="63">
        <v>132</v>
      </c>
      <c r="M1785" s="63">
        <v>142.69999999999999</v>
      </c>
      <c r="N1785" s="63">
        <v>143.5</v>
      </c>
      <c r="O1785" s="63">
        <v>173.7</v>
      </c>
      <c r="P1785" s="63">
        <v>140</v>
      </c>
      <c r="Q1785" s="63">
        <v>88.3</v>
      </c>
      <c r="R1785" s="63">
        <v>100.8</v>
      </c>
      <c r="S1785" s="63">
        <v>82.3</v>
      </c>
      <c r="T1785" s="63">
        <v>31.5</v>
      </c>
      <c r="U1785" s="63">
        <v>1.6</v>
      </c>
      <c r="V1785" s="63">
        <v>4.5999999999999996</v>
      </c>
      <c r="W1785" s="90">
        <f>IF(W1780-V1780+'Assumptions (MSW)'!V36&gt;0,W1780-V1780+'Assumptions (MSW)'!V36,0)</f>
        <v>0</v>
      </c>
      <c r="X1785" s="90">
        <f>IF(X1780-W1780+'Assumptions (MSW)'!W36&gt;0,X1780-W1780+'Assumptions (MSW)'!W36,0)</f>
        <v>0</v>
      </c>
      <c r="Y1785" s="90">
        <f>IF(Y1780-X1780+'Assumptions (MSW)'!X36&gt;0,Y1780-X1780+'Assumptions (MSW)'!X36,0)</f>
        <v>0</v>
      </c>
      <c r="Z1785" s="90">
        <f>IF(Z1780-Y1780+'Assumptions (MSW)'!Y36&gt;0,Z1780-Y1780+'Assumptions (MSW)'!Y36,0)</f>
        <v>0</v>
      </c>
      <c r="AA1785" s="90">
        <f>IF(AA1780-Z1780+'Assumptions (MSW)'!Z36&gt;0,AA1780-Z1780+'Assumptions (MSW)'!Z36,0)</f>
        <v>0</v>
      </c>
      <c r="AB1785" s="90">
        <f>IF(AB1780-AA1780+'Assumptions (MSW)'!AA36&gt;0,AB1780-AA1780+'Assumptions (MSW)'!AA36,0)</f>
        <v>0</v>
      </c>
      <c r="AC1785" s="90">
        <f>IF(AC1780-AB1780+'Assumptions (MSW)'!AB36&gt;0,AC1780-AB1780+'Assumptions (MSW)'!AB36,0)</f>
        <v>0</v>
      </c>
      <c r="AD1785" s="90">
        <f>IF(AD1780-AC1780+'Assumptions (MSW)'!AC36&gt;0,AD1780-AC1780+'Assumptions (MSW)'!AC36,0)</f>
        <v>0</v>
      </c>
      <c r="AE1785" s="90">
        <f>IF(AE1780-AD1780+'Assumptions (MSW)'!AD36&gt;0,AE1780-AD1780+'Assumptions (MSW)'!AD36,0)</f>
        <v>0</v>
      </c>
      <c r="AF1785" s="90">
        <f>IF(AF1780-AE1780+'Assumptions (MSW)'!AE36&gt;0,AF1780-AE1780+'Assumptions (MSW)'!AE36,0)</f>
        <v>0</v>
      </c>
      <c r="AG1785" s="90">
        <f>IF(AG1780-AF1780+'Assumptions (MSW)'!AF36&gt;0,AG1780-AF1780+'Assumptions (MSW)'!AF36,0)</f>
        <v>0</v>
      </c>
      <c r="AH1785" s="90">
        <f>IF(AH1780-AG1780+'Assumptions (MSW)'!AG36&gt;0,AH1780-AG1780+'Assumptions (MSW)'!AG36,0)</f>
        <v>0</v>
      </c>
      <c r="AI1785" s="90">
        <f>IF(AI1780-AH1780+'Assumptions (MSW)'!AH36&gt;0,AI1780-AH1780+'Assumptions (MSW)'!AH36,0)</f>
        <v>0</v>
      </c>
      <c r="AJ1785" s="90">
        <f>IF(AJ1780-AI1780+'Assumptions (MSW)'!AI36&gt;0,AJ1780-AI1780+'Assumptions (MSW)'!AI36,0)</f>
        <v>0</v>
      </c>
      <c r="AK1785" s="90">
        <f>IF(AK1780-AJ1780+'Assumptions (MSW)'!AJ36&gt;0,AK1780-AJ1780+'Assumptions (MSW)'!AJ36,0)</f>
        <v>0</v>
      </c>
      <c r="AL1785" s="90">
        <f>IF(AL1780-AK1780+'Assumptions (MSW)'!AK36&gt;0,AL1780-AK1780+'Assumptions (MSW)'!AK36,0)</f>
        <v>0</v>
      </c>
      <c r="AM1785" s="90">
        <f>IF(AM1780-AL1780+'Assumptions (MSW)'!AL36&gt;0,AM1780-AL1780+'Assumptions (MSW)'!AL36,0)</f>
        <v>0</v>
      </c>
      <c r="AN1785" s="90">
        <f>IF(AN1780-AM1780+'Assumptions (MSW)'!AM36&gt;0,AN1780-AM1780+'Assumptions (MSW)'!AM36,0)</f>
        <v>0</v>
      </c>
      <c r="AO1785" s="90">
        <f>IF(AO1780-AN1780+'Assumptions (MSW)'!AN36&gt;0,AO1780-AN1780+'Assumptions (MSW)'!AN36,0)</f>
        <v>0</v>
      </c>
      <c r="AP1785" s="90">
        <f>IF(AP1780-AO1780+'Assumptions (MSW)'!AO36&gt;0,AP1780-AO1780+'Assumptions (MSW)'!AO36,0)</f>
        <v>0</v>
      </c>
      <c r="AQ1785" s="90">
        <f>IF(AQ1780-AP1780+'Assumptions (MSW)'!AP36&gt;0,AQ1780-AP1780+'Assumptions (MSW)'!AP36,0)</f>
        <v>0</v>
      </c>
      <c r="AR1785" s="90">
        <f>IF(AR1780-AQ1780+'Assumptions (MSW)'!AQ36&gt;0,AR1780-AQ1780+'Assumptions (MSW)'!AQ36,0)</f>
        <v>0</v>
      </c>
      <c r="AS1785" s="90">
        <f>IF(AS1780-AR1780+'Assumptions (MSW)'!AR36&gt;0,AS1780-AR1780+'Assumptions (MSW)'!AR36,0)</f>
        <v>0</v>
      </c>
      <c r="AT1785" s="90">
        <f>IF(AT1780-AS1780+'Assumptions (MSW)'!AS36&gt;0,AT1780-AS1780+'Assumptions (MSW)'!AS36,0)</f>
        <v>0</v>
      </c>
      <c r="AU1785" s="90">
        <f>IF(AU1780-AT1780+'Assumptions (MSW)'!AT36&gt;0,AU1780-AT1780+'Assumptions (MSW)'!AT36,0)</f>
        <v>0</v>
      </c>
      <c r="AV1785" s="90">
        <f>IF(AV1780-AU1780+'Assumptions (MSW)'!AU36&gt;0,AV1780-AU1780+'Assumptions (MSW)'!AU36,0)</f>
        <v>0</v>
      </c>
      <c r="AW1785" s="90">
        <f>IF(AW1780-AV1780+'Assumptions (MSW)'!AV36&gt;0,AW1780-AV1780+'Assumptions (MSW)'!AV36,0)</f>
        <v>0</v>
      </c>
      <c r="AX1785" s="90">
        <f>IF(AX1780-AW1780+'Assumptions (MSW)'!AW36&gt;0,AX1780-AW1780+'Assumptions (MSW)'!AW36,0)</f>
        <v>0</v>
      </c>
      <c r="AY1785" s="90">
        <f>IF(AY1780-AX1780+'Assumptions (MSW)'!AX36&gt;0,AY1780-AX1780+'Assumptions (MSW)'!AX36,0)</f>
        <v>0</v>
      </c>
      <c r="AZ1785" s="90">
        <f>IF(AZ1780-AY1780+'Assumptions (MSW)'!AY36&gt;0,AZ1780-AY1780+'Assumptions (MSW)'!AY36,0)</f>
        <v>0</v>
      </c>
      <c r="BA1785" s="90">
        <f>IF(BA1780-AZ1780+'Assumptions (MSW)'!AZ36&gt;0,BA1780-AZ1780+'Assumptions (MSW)'!AZ36,0)</f>
        <v>0</v>
      </c>
    </row>
    <row r="1786" spans="1:53" ht="15.75" customHeight="1">
      <c r="A1786" s="435" t="s">
        <v>48</v>
      </c>
      <c r="B1786" s="99" t="s">
        <v>153</v>
      </c>
      <c r="C1786" s="20"/>
      <c r="D1786" s="20"/>
      <c r="E1786" s="20"/>
      <c r="F1786" s="20"/>
      <c r="G1786" s="20"/>
      <c r="H1786" s="20"/>
      <c r="I1786" s="20"/>
      <c r="J1786" s="20"/>
      <c r="K1786" s="20"/>
      <c r="L1786" s="20"/>
      <c r="M1786" s="20"/>
      <c r="N1786" s="20"/>
      <c r="O1786" s="20"/>
      <c r="P1786" s="20"/>
      <c r="Q1786" s="20"/>
      <c r="R1786" s="20"/>
      <c r="S1786" s="20"/>
      <c r="T1786" s="20"/>
      <c r="U1786" s="20"/>
      <c r="V1786" s="99"/>
      <c r="W1786" s="90"/>
      <c r="X1786" s="90">
        <f>IF(W1785='Assumptions (MSW)'!$V$11,Model!X1781-Model!X1780*'Assumptions (MSW)'!V$15*0.00876,0)</f>
        <v>0</v>
      </c>
      <c r="Y1786" s="90">
        <f>IF(X1785='Assumptions (MSW)'!$V$11,Model!Y1781-Model!Y1780*'Assumptions (MSW)'!W$15*0.00876,0)</f>
        <v>0</v>
      </c>
      <c r="Z1786" s="90">
        <f>IF(Y1785='Assumptions (MSW)'!$V$11,Model!Z1781-Model!Z1780*'Assumptions (MSW)'!X$15*0.00876,0)</f>
        <v>0</v>
      </c>
      <c r="AA1786" s="90">
        <f>IF(Z1785='Assumptions (MSW)'!$V$11,Model!AA1781-Model!AA1780*'Assumptions (MSW)'!Y$15*0.00876,0)</f>
        <v>0</v>
      </c>
      <c r="AB1786" s="90">
        <f>IF(AA1785='Assumptions (MSW)'!$V$11,Model!AB1781-Model!AB1780*'Assumptions (MSW)'!Z$15*0.00876,0)</f>
        <v>0</v>
      </c>
      <c r="AC1786" s="90">
        <f>IF(AB1785='Assumptions (MSW)'!$V$11,Model!AC1781-Model!AC1780*'Assumptions (MSW)'!AA$15*0.00876,0)</f>
        <v>0</v>
      </c>
      <c r="AD1786" s="90">
        <f>IF(AC1785='Assumptions (MSW)'!$V$11,Model!AD1781-Model!AD1780*'Assumptions (MSW)'!AB$15*0.00876,0)</f>
        <v>0</v>
      </c>
      <c r="AE1786" s="90">
        <f>IF(AD1785='Assumptions (MSW)'!$V$11,Model!AE1781-Model!AE1780*'Assumptions (MSW)'!AC$15*0.00876,0)</f>
        <v>0</v>
      </c>
      <c r="AF1786" s="90">
        <f>IF(AE1785='Assumptions (MSW)'!$V$11,Model!AF1781-Model!AF1780*'Assumptions (MSW)'!AD$15*0.00876,0)</f>
        <v>0</v>
      </c>
      <c r="AG1786" s="90">
        <f>IF(AF1785='Assumptions (MSW)'!$V$11,Model!AG1781-Model!AG1780*'Assumptions (MSW)'!AE$15*0.00876,0)</f>
        <v>0</v>
      </c>
      <c r="AH1786" s="90">
        <f>IF(AG1785='Assumptions (MSW)'!$V$11,Model!AH1781-Model!AH1780*'Assumptions (MSW)'!AF$15*0.00876,0)</f>
        <v>0</v>
      </c>
      <c r="AI1786" s="90">
        <f>IF(AH1785='Assumptions (MSW)'!$V$11,Model!AI1781-Model!AI1780*'Assumptions (MSW)'!AG$15*0.00876,0)</f>
        <v>0</v>
      </c>
      <c r="AJ1786" s="90">
        <f>IF(AI1785='Assumptions (MSW)'!$V$11,Model!AJ1781-Model!AJ1780*'Assumptions (MSW)'!AH$15*0.00876,0)</f>
        <v>0</v>
      </c>
      <c r="AK1786" s="90">
        <f>IF(AJ1785='Assumptions (MSW)'!$V$11,Model!AK1781-Model!AK1780*'Assumptions (MSW)'!AI$15*0.00876,0)</f>
        <v>0</v>
      </c>
      <c r="AL1786" s="90">
        <f>IF(AK1785='Assumptions (MSW)'!$V$11,Model!AL1781-Model!AL1780*'Assumptions (MSW)'!AJ$15*0.00876,0)</f>
        <v>0</v>
      </c>
      <c r="AM1786" s="90">
        <f>IF(AL1785='Assumptions (MSW)'!$V$11,Model!AM1781-Model!AM1780*'Assumptions (MSW)'!AK$15*0.00876,0)</f>
        <v>0</v>
      </c>
      <c r="AN1786" s="90">
        <f>IF(AM1785='Assumptions (MSW)'!$V$11,Model!AN1781-Model!AN1780*'Assumptions (MSW)'!AL$15*0.00876,0)</f>
        <v>0</v>
      </c>
      <c r="AO1786" s="90">
        <f>IF(AN1785='Assumptions (MSW)'!$V$11,Model!AO1781-Model!AO1780*'Assumptions (MSW)'!AM$15*0.00876,0)</f>
        <v>0</v>
      </c>
      <c r="AP1786" s="90">
        <f>IF(AO1785='Assumptions (MSW)'!$V$11,Model!AP1781-Model!AP1780*'Assumptions (MSW)'!AN$15*0.00876,0)</f>
        <v>0</v>
      </c>
      <c r="AQ1786" s="90">
        <f>IF(AP1785='Assumptions (MSW)'!$V$11,Model!AQ1781-Model!AQ1780*'Assumptions (MSW)'!AO$15*0.00876,0)</f>
        <v>0</v>
      </c>
      <c r="AR1786" s="90">
        <f>IF(AQ1785='Assumptions (MSW)'!$V$11,Model!AR1781-Model!AR1780*'Assumptions (MSW)'!AP$15*0.00876,0)</f>
        <v>0</v>
      </c>
      <c r="AS1786" s="90">
        <f>IF(AR1785='Assumptions (MSW)'!$V$11,Model!AS1781-Model!AS1780*'Assumptions (MSW)'!AQ$15*0.00876,0)</f>
        <v>0</v>
      </c>
      <c r="AT1786" s="90">
        <f>IF(AS1785='Assumptions (MSW)'!$V$11,Model!AT1781-Model!AT1780*'Assumptions (MSW)'!AR$15*0.00876,0)</f>
        <v>0</v>
      </c>
      <c r="AU1786" s="90">
        <f>IF(AT1785='Assumptions (MSW)'!$V$11,Model!AU1781-Model!AU1780*'Assumptions (MSW)'!AS$15*0.00876,0)</f>
        <v>0</v>
      </c>
      <c r="AV1786" s="90">
        <f>IF(AU1785='Assumptions (MSW)'!$V$11,Model!AV1781-Model!AV1780*'Assumptions (MSW)'!AT$15*0.00876,0)</f>
        <v>0</v>
      </c>
      <c r="AW1786" s="90">
        <f>IF(AV1785='Assumptions (MSW)'!$V$11,Model!AW1781-Model!AW1780*'Assumptions (MSW)'!AU$15*0.00876,0)</f>
        <v>0</v>
      </c>
      <c r="AX1786" s="90">
        <f>IF(AW1785='Assumptions (MSW)'!$V$11,Model!AX1781-Model!AX1780*'Assumptions (MSW)'!AV$15*0.00876,0)</f>
        <v>0</v>
      </c>
      <c r="AY1786" s="90">
        <f>IF(AX1785='Assumptions (MSW)'!$V$11,Model!AY1781-Model!AY1780*'Assumptions (MSW)'!AW$15*0.00876,0)</f>
        <v>0</v>
      </c>
      <c r="AZ1786" s="90">
        <f>IF(AY1785='Assumptions (MSW)'!$V$11,Model!AZ1781-Model!AZ1780*'Assumptions (MSW)'!AX$15*0.00876,0)</f>
        <v>0</v>
      </c>
      <c r="BA1786" s="90">
        <f>IF(AZ1785='Assumptions (MSW)'!$V$11,Model!BA1781-Model!BA1780*'Assumptions (MSW)'!AY$15*0.00876,0)</f>
        <v>0</v>
      </c>
    </row>
    <row r="1787" spans="1:53" ht="15.75" customHeight="1">
      <c r="A1787" s="436" t="s">
        <v>290</v>
      </c>
      <c r="B1787" s="99" t="s">
        <v>201</v>
      </c>
      <c r="C1787" s="91">
        <f t="shared" ref="C1787:BA1787" si="44">SUM(C1788:C1838)</f>
        <v>0.93816080150141878</v>
      </c>
      <c r="D1787" s="91">
        <f t="shared" si="44"/>
        <v>0.29583834070422454</v>
      </c>
      <c r="E1787" s="91">
        <f t="shared" si="44"/>
        <v>0.34194831656571056</v>
      </c>
      <c r="F1787" s="91">
        <f t="shared" si="44"/>
        <v>0.43494356876776968</v>
      </c>
      <c r="G1787" s="91">
        <f t="shared" si="44"/>
        <v>0.63298648636688948</v>
      </c>
      <c r="H1787" s="91">
        <f t="shared" si="44"/>
        <v>0.83466336788841256</v>
      </c>
      <c r="I1787" s="91">
        <f t="shared" si="44"/>
        <v>0.8696867521658781</v>
      </c>
      <c r="J1787" s="91">
        <f t="shared" si="44"/>
        <v>0.91501293525742833</v>
      </c>
      <c r="K1787" s="91">
        <f t="shared" si="44"/>
        <v>0.96088522332631632</v>
      </c>
      <c r="L1787" s="91">
        <f t="shared" si="44"/>
        <v>1.0778319858726166</v>
      </c>
      <c r="M1787" s="91">
        <f t="shared" si="44"/>
        <v>1.0929342892363112</v>
      </c>
      <c r="N1787" s="91">
        <f t="shared" si="44"/>
        <v>0.98019854759067604</v>
      </c>
      <c r="O1787" s="91">
        <f t="shared" si="44"/>
        <v>0.81849504689635166</v>
      </c>
      <c r="P1787" s="91">
        <f t="shared" si="44"/>
        <v>0.68849087463452807</v>
      </c>
      <c r="Q1787" s="91">
        <f t="shared" si="44"/>
        <v>0.55528793121039466</v>
      </c>
      <c r="R1787" s="91">
        <f t="shared" si="44"/>
        <v>0.30457517151404079</v>
      </c>
      <c r="S1787" s="91">
        <f t="shared" si="44"/>
        <v>0.10149162604333556</v>
      </c>
      <c r="T1787" s="91">
        <f t="shared" si="44"/>
        <v>1.7024749153794538E-2</v>
      </c>
      <c r="U1787" s="91">
        <f t="shared" si="44"/>
        <v>1.2883890811226447E-2</v>
      </c>
      <c r="V1787" s="91">
        <f t="shared" si="44"/>
        <v>0</v>
      </c>
      <c r="W1787" s="91">
        <f t="shared" si="44"/>
        <v>0</v>
      </c>
      <c r="X1787" s="91">
        <f t="shared" si="44"/>
        <v>0</v>
      </c>
      <c r="Y1787" s="91">
        <f t="shared" si="44"/>
        <v>0</v>
      </c>
      <c r="Z1787" s="91">
        <f t="shared" si="44"/>
        <v>0</v>
      </c>
      <c r="AA1787" s="91">
        <f t="shared" si="44"/>
        <v>0</v>
      </c>
      <c r="AB1787" s="91">
        <f t="shared" si="44"/>
        <v>0</v>
      </c>
      <c r="AC1787" s="91">
        <f t="shared" si="44"/>
        <v>0</v>
      </c>
      <c r="AD1787" s="91">
        <f t="shared" si="44"/>
        <v>0</v>
      </c>
      <c r="AE1787" s="91">
        <f t="shared" si="44"/>
        <v>0</v>
      </c>
      <c r="AF1787" s="91">
        <f t="shared" si="44"/>
        <v>0</v>
      </c>
      <c r="AG1787" s="91">
        <f t="shared" si="44"/>
        <v>0</v>
      </c>
      <c r="AH1787" s="91">
        <f t="shared" si="44"/>
        <v>0</v>
      </c>
      <c r="AI1787" s="91">
        <f t="shared" si="44"/>
        <v>0</v>
      </c>
      <c r="AJ1787" s="91">
        <f t="shared" si="44"/>
        <v>0</v>
      </c>
      <c r="AK1787" s="91">
        <f t="shared" si="44"/>
        <v>0</v>
      </c>
      <c r="AL1787" s="91">
        <f t="shared" si="44"/>
        <v>0</v>
      </c>
      <c r="AM1787" s="91">
        <f t="shared" si="44"/>
        <v>0</v>
      </c>
      <c r="AN1787" s="91">
        <f t="shared" si="44"/>
        <v>0</v>
      </c>
      <c r="AO1787" s="91">
        <f t="shared" si="44"/>
        <v>0</v>
      </c>
      <c r="AP1787" s="91">
        <f t="shared" si="44"/>
        <v>0</v>
      </c>
      <c r="AQ1787" s="91">
        <f t="shared" si="44"/>
        <v>0</v>
      </c>
      <c r="AR1787" s="91">
        <f t="shared" si="44"/>
        <v>0</v>
      </c>
      <c r="AS1787" s="91">
        <f t="shared" si="44"/>
        <v>0</v>
      </c>
      <c r="AT1787" s="91">
        <f t="shared" si="44"/>
        <v>0</v>
      </c>
      <c r="AU1787" s="91">
        <f t="shared" si="44"/>
        <v>0</v>
      </c>
      <c r="AV1787" s="91">
        <f t="shared" si="44"/>
        <v>0</v>
      </c>
      <c r="AW1787" s="91">
        <f t="shared" si="44"/>
        <v>0</v>
      </c>
      <c r="AX1787" s="91">
        <f t="shared" si="44"/>
        <v>0</v>
      </c>
      <c r="AY1787" s="91">
        <f t="shared" si="44"/>
        <v>0</v>
      </c>
      <c r="AZ1787" s="91">
        <f t="shared" si="44"/>
        <v>0</v>
      </c>
      <c r="BA1787" s="91">
        <f t="shared" si="44"/>
        <v>0</v>
      </c>
    </row>
    <row r="1788" spans="1:53" ht="15.75" hidden="1" customHeight="1" outlineLevel="1">
      <c r="A1788" s="435"/>
      <c r="B1788" s="99"/>
      <c r="C1788" s="91">
        <f>IF($C$1785&gt;0,3*'Assumptions (MSW)'!$V$13*Model!$C$1785*'Assumptions (MSW)'!B$2/10^9,0)</f>
        <v>0.14472463869315366</v>
      </c>
      <c r="D1788" s="105"/>
      <c r="E1788" s="105"/>
      <c r="F1788" s="105"/>
      <c r="G1788" s="105"/>
      <c r="H1788" s="105"/>
      <c r="I1788" s="105"/>
      <c r="J1788" s="105"/>
      <c r="K1788" s="105"/>
      <c r="L1788" s="105"/>
      <c r="M1788" s="105"/>
      <c r="N1788" s="105"/>
      <c r="O1788" s="105"/>
      <c r="P1788" s="105"/>
      <c r="Q1788" s="105"/>
      <c r="R1788" s="105"/>
      <c r="S1788" s="105"/>
      <c r="T1788" s="105"/>
      <c r="U1788" s="105"/>
      <c r="V1788" s="99"/>
      <c r="W1788" s="147"/>
      <c r="X1788" s="147"/>
      <c r="Y1788" s="147"/>
      <c r="Z1788" s="147"/>
      <c r="AA1788" s="147"/>
      <c r="AB1788" s="147"/>
      <c r="AC1788" s="147"/>
      <c r="AD1788" s="147"/>
      <c r="AE1788" s="147"/>
      <c r="AF1788" s="147"/>
      <c r="AG1788" s="147"/>
      <c r="AH1788" s="147"/>
      <c r="AI1788" s="147"/>
      <c r="AJ1788" s="147"/>
      <c r="AK1788" s="147"/>
      <c r="AL1788" s="147"/>
      <c r="AM1788" s="147"/>
      <c r="AN1788" s="147"/>
      <c r="AO1788" s="147"/>
      <c r="AP1788" s="147"/>
      <c r="AQ1788" s="147"/>
      <c r="AR1788" s="147"/>
      <c r="AS1788" s="147"/>
      <c r="AT1788" s="147"/>
      <c r="AU1788" s="147"/>
      <c r="AV1788" s="147"/>
      <c r="AW1788" s="147"/>
      <c r="AX1788" s="147"/>
      <c r="AY1788" s="147"/>
      <c r="AZ1788" s="147"/>
      <c r="BA1788" s="147"/>
    </row>
    <row r="1789" spans="1:53" ht="15.75" hidden="1" customHeight="1" outlineLevel="1">
      <c r="A1789" s="435"/>
      <c r="B1789" s="99"/>
      <c r="C1789" s="91">
        <f>IF($D$1785&gt;0,3*'Assumptions (MSW)'!$V$13*Model!$D$1785*'Assumptions (MSW)'!B$2/10^9,0)</f>
        <v>0.53595181239619094</v>
      </c>
      <c r="D1789" s="91"/>
      <c r="E1789" s="91"/>
      <c r="F1789" s="91"/>
      <c r="G1789" s="91"/>
      <c r="H1789" s="91"/>
      <c r="I1789" s="91"/>
      <c r="J1789" s="91"/>
      <c r="K1789" s="91"/>
      <c r="L1789" s="91"/>
      <c r="M1789" s="105"/>
      <c r="N1789" s="105"/>
      <c r="O1789" s="105"/>
      <c r="P1789" s="105"/>
      <c r="Q1789" s="105"/>
      <c r="R1789" s="105"/>
      <c r="S1789" s="105"/>
      <c r="T1789" s="105"/>
      <c r="U1789" s="105"/>
      <c r="V1789" s="99"/>
      <c r="W1789" s="147"/>
      <c r="X1789" s="147"/>
      <c r="Y1789" s="147"/>
      <c r="Z1789" s="147"/>
      <c r="AA1789" s="147"/>
      <c r="AB1789" s="147"/>
      <c r="AC1789" s="147"/>
      <c r="AD1789" s="147"/>
      <c r="AE1789" s="147"/>
      <c r="AF1789" s="147"/>
      <c r="AG1789" s="147"/>
      <c r="AH1789" s="147"/>
      <c r="AI1789" s="147"/>
      <c r="AJ1789" s="147"/>
      <c r="AK1789" s="147"/>
      <c r="AL1789" s="147"/>
      <c r="AM1789" s="147"/>
      <c r="AN1789" s="147"/>
      <c r="AO1789" s="147"/>
      <c r="AP1789" s="147"/>
      <c r="AQ1789" s="147"/>
      <c r="AR1789" s="147"/>
      <c r="AS1789" s="147"/>
      <c r="AT1789" s="147"/>
      <c r="AU1789" s="147"/>
      <c r="AV1789" s="147"/>
      <c r="AW1789" s="147"/>
      <c r="AX1789" s="147"/>
      <c r="AY1789" s="147"/>
      <c r="AZ1789" s="147"/>
      <c r="BA1789" s="147"/>
    </row>
    <row r="1790" spans="1:53" ht="15.75" hidden="1" customHeight="1" outlineLevel="1">
      <c r="A1790" s="435"/>
      <c r="B1790" s="99"/>
      <c r="C1790" s="91">
        <f>IF($E$1785&gt;0,2*'Assumptions (MSW)'!$V$13*Model!$E$1785*'Assumptions (MSW)'!B$2/10^9,0)</f>
        <v>9.6090884769167051E-2</v>
      </c>
      <c r="D1790" s="91">
        <f>IF($E$1785&gt;0,'Assumptions (MSW)'!$V$13*Model!$E$1785*'Assumptions (MSW)'!C$2/10^9,0)</f>
        <v>4.9006351232275196E-2</v>
      </c>
      <c r="E1790" s="91"/>
      <c r="F1790" s="91"/>
      <c r="G1790" s="91"/>
      <c r="H1790" s="91"/>
      <c r="I1790" s="91"/>
      <c r="J1790" s="91"/>
      <c r="K1790" s="91"/>
      <c r="L1790" s="91"/>
      <c r="M1790" s="105"/>
      <c r="N1790" s="105"/>
      <c r="O1790" s="105"/>
      <c r="P1790" s="105"/>
      <c r="Q1790" s="105"/>
      <c r="R1790" s="105"/>
      <c r="S1790" s="105"/>
      <c r="T1790" s="105"/>
      <c r="U1790" s="105"/>
      <c r="V1790" s="99"/>
      <c r="W1790" s="147"/>
      <c r="X1790" s="147"/>
      <c r="Y1790" s="147"/>
      <c r="Z1790" s="147"/>
      <c r="AA1790" s="147"/>
      <c r="AB1790" s="147"/>
      <c r="AC1790" s="147"/>
      <c r="AD1790" s="147"/>
      <c r="AE1790" s="147"/>
      <c r="AF1790" s="147"/>
      <c r="AG1790" s="147"/>
      <c r="AH1790" s="147"/>
      <c r="AI1790" s="147"/>
      <c r="AJ1790" s="147"/>
      <c r="AK1790" s="147"/>
      <c r="AL1790" s="147"/>
      <c r="AM1790" s="147"/>
      <c r="AN1790" s="147"/>
      <c r="AO1790" s="147"/>
      <c r="AP1790" s="147"/>
      <c r="AQ1790" s="147"/>
      <c r="AR1790" s="147"/>
      <c r="AS1790" s="147"/>
      <c r="AT1790" s="147"/>
      <c r="AU1790" s="147"/>
      <c r="AV1790" s="147"/>
      <c r="AW1790" s="147"/>
      <c r="AX1790" s="147"/>
      <c r="AY1790" s="147"/>
      <c r="AZ1790" s="147"/>
      <c r="BA1790" s="147"/>
    </row>
    <row r="1791" spans="1:53" ht="15.75" hidden="1" customHeight="1" outlineLevel="1">
      <c r="A1791" s="435"/>
      <c r="B1791" s="99"/>
      <c r="C1791" s="91">
        <f>IF($F$1785&gt;0,'Assumptions (MSW)'!$V$13*Model!$F$1785*'Assumptions (MSW)'!B$2/10^9,0)</f>
        <v>0.1613934656429071</v>
      </c>
      <c r="D1791" s="91">
        <f>IF($F$1785&gt;0,'Assumptions (MSW)'!$V$13*Model!$F$1785*'Assumptions (MSW)'!C$2/10^9,0)</f>
        <v>0.16462133495576525</v>
      </c>
      <c r="E1791" s="91">
        <f>IF($F$1785&gt;0,'Assumptions (MSW)'!$V$13*Model!$F$1785*'Assumptions (MSW)'!D$2/10^9,0)</f>
        <v>0.16791376165488056</v>
      </c>
      <c r="F1791" s="91"/>
      <c r="G1791" s="91"/>
      <c r="H1791" s="91"/>
      <c r="I1791" s="91"/>
      <c r="J1791" s="91"/>
      <c r="K1791" s="91"/>
      <c r="L1791" s="91"/>
      <c r="M1791" s="105"/>
      <c r="N1791" s="105"/>
      <c r="O1791" s="105"/>
      <c r="P1791" s="105"/>
      <c r="Q1791" s="105"/>
      <c r="R1791" s="105"/>
      <c r="S1791" s="105"/>
      <c r="T1791" s="105"/>
      <c r="U1791" s="105"/>
      <c r="V1791" s="99"/>
      <c r="W1791" s="147"/>
      <c r="X1791" s="147"/>
      <c r="Y1791" s="147"/>
      <c r="Z1791" s="147"/>
      <c r="AA1791" s="147"/>
      <c r="AB1791" s="147"/>
      <c r="AC1791" s="147"/>
      <c r="AD1791" s="147"/>
      <c r="AE1791" s="147"/>
      <c r="AF1791" s="147"/>
      <c r="AG1791" s="147"/>
      <c r="AH1791" s="147"/>
      <c r="AI1791" s="147"/>
      <c r="AJ1791" s="147"/>
      <c r="AK1791" s="147"/>
      <c r="AL1791" s="147"/>
      <c r="AM1791" s="147"/>
      <c r="AN1791" s="147"/>
      <c r="AO1791" s="147"/>
      <c r="AP1791" s="147"/>
      <c r="AQ1791" s="147"/>
      <c r="AR1791" s="147"/>
      <c r="AS1791" s="147"/>
      <c r="AT1791" s="147"/>
      <c r="AU1791" s="147"/>
      <c r="AV1791" s="147"/>
      <c r="AW1791" s="147"/>
      <c r="AX1791" s="147"/>
      <c r="AY1791" s="147"/>
      <c r="AZ1791" s="147"/>
      <c r="BA1791" s="147"/>
    </row>
    <row r="1792" spans="1:53" ht="15.75" hidden="1" customHeight="1" outlineLevel="1">
      <c r="A1792" s="435"/>
      <c r="B1792" s="99"/>
      <c r="C1792" s="91"/>
      <c r="D1792" s="91">
        <f>IF($G$1785&gt;0,'Assumptions (MSW)'!$V$13*Model!$G$1785*'Assumptions (MSW)'!C$2/10^9,0)</f>
        <v>8.2210654516184103E-2</v>
      </c>
      <c r="E1792" s="91">
        <f>IF($G$1785&gt;0,'Assumptions (MSW)'!$V$13*Model!$G$1785*'Assumptions (MSW)'!D$2/10^9,0)</f>
        <v>8.3854867606507788E-2</v>
      </c>
      <c r="F1792" s="91">
        <f>IF($G$1785&gt;0,'Assumptions (MSW)'!$V$13*Model!$G$1785*'Assumptions (MSW)'!E$2/10^9,0)</f>
        <v>8.5531964958637949E-2</v>
      </c>
      <c r="G1792" s="91"/>
      <c r="H1792" s="91"/>
      <c r="I1792" s="91"/>
      <c r="J1792" s="91"/>
      <c r="K1792" s="91"/>
      <c r="L1792" s="91"/>
      <c r="M1792" s="105"/>
      <c r="N1792" s="105"/>
      <c r="O1792" s="105"/>
      <c r="P1792" s="105"/>
      <c r="Q1792" s="105"/>
      <c r="R1792" s="105"/>
      <c r="S1792" s="105"/>
      <c r="T1792" s="105"/>
      <c r="U1792" s="105"/>
      <c r="V1792" s="99"/>
      <c r="W1792" s="147"/>
      <c r="X1792" s="147"/>
      <c r="Y1792" s="147"/>
      <c r="Z1792" s="147"/>
      <c r="AA1792" s="147"/>
      <c r="AB1792" s="147"/>
      <c r="AC1792" s="147"/>
      <c r="AD1792" s="147"/>
      <c r="AE1792" s="147"/>
      <c r="AF1792" s="147"/>
      <c r="AG1792" s="147"/>
      <c r="AH1792" s="147"/>
      <c r="AI1792" s="147"/>
      <c r="AJ1792" s="147"/>
      <c r="AK1792" s="147"/>
      <c r="AL1792" s="147"/>
      <c r="AM1792" s="147"/>
      <c r="AN1792" s="147"/>
      <c r="AO1792" s="147"/>
      <c r="AP1792" s="147"/>
      <c r="AQ1792" s="147"/>
      <c r="AR1792" s="147"/>
      <c r="AS1792" s="147"/>
      <c r="AT1792" s="147"/>
      <c r="AU1792" s="147"/>
      <c r="AV1792" s="147"/>
      <c r="AW1792" s="147"/>
      <c r="AX1792" s="147"/>
      <c r="AY1792" s="147"/>
      <c r="AZ1792" s="147"/>
      <c r="BA1792" s="147"/>
    </row>
    <row r="1793" spans="1:53" ht="15.75" hidden="1" customHeight="1" outlineLevel="1">
      <c r="A1793" s="435"/>
      <c r="B1793" s="99"/>
      <c r="C1793" s="91"/>
      <c r="D1793" s="91"/>
      <c r="E1793" s="91">
        <f>IF($H$1785&gt;0,'Assumptions (MSW)'!$V$13*Model!$H$1785*'Assumptions (MSW)'!D$2/10^9,0)</f>
        <v>9.0179687304322256E-2</v>
      </c>
      <c r="F1793" s="91">
        <f>IF($H$1785&gt;0,'Assumptions (MSW)'!$V$13*Model!$H$1785*'Assumptions (MSW)'!E$2/10^9,0)</f>
        <v>9.1983281050408705E-2</v>
      </c>
      <c r="G1793" s="91">
        <f>IF($H$1785&gt;0,'Assumptions (MSW)'!$V$13*Model!$H$1785*'Assumptions (MSW)'!F$2/10^9,0)</f>
        <v>9.3822946671416885E-2</v>
      </c>
      <c r="H1793" s="91"/>
      <c r="I1793" s="91"/>
      <c r="J1793" s="91"/>
      <c r="K1793" s="91"/>
      <c r="L1793" s="91"/>
      <c r="M1793" s="105"/>
      <c r="N1793" s="105"/>
      <c r="O1793" s="105"/>
      <c r="P1793" s="105"/>
      <c r="Q1793" s="105"/>
      <c r="R1793" s="105"/>
      <c r="S1793" s="105"/>
      <c r="T1793" s="105"/>
      <c r="U1793" s="105"/>
      <c r="V1793" s="99"/>
      <c r="W1793" s="147"/>
      <c r="X1793" s="147"/>
      <c r="Y1793" s="147"/>
      <c r="Z1793" s="147"/>
      <c r="AA1793" s="147"/>
      <c r="AB1793" s="147"/>
      <c r="AC1793" s="147"/>
      <c r="AD1793" s="147"/>
      <c r="AE1793" s="147"/>
      <c r="AF1793" s="147"/>
      <c r="AG1793" s="147"/>
      <c r="AH1793" s="147"/>
      <c r="AI1793" s="147"/>
      <c r="AJ1793" s="147"/>
      <c r="AK1793" s="147"/>
      <c r="AL1793" s="147"/>
      <c r="AM1793" s="147"/>
      <c r="AN1793" s="147"/>
      <c r="AO1793" s="147"/>
      <c r="AP1793" s="147"/>
      <c r="AQ1793" s="147"/>
      <c r="AR1793" s="147"/>
      <c r="AS1793" s="147"/>
      <c r="AT1793" s="147"/>
      <c r="AU1793" s="147"/>
      <c r="AV1793" s="147"/>
      <c r="AW1793" s="147"/>
      <c r="AX1793" s="147"/>
      <c r="AY1793" s="147"/>
      <c r="AZ1793" s="147"/>
      <c r="BA1793" s="147"/>
    </row>
    <row r="1794" spans="1:53" ht="15.75" hidden="1" customHeight="1" outlineLevel="1">
      <c r="A1794" s="435"/>
      <c r="B1794" s="99"/>
      <c r="C1794" s="91"/>
      <c r="D1794" s="91"/>
      <c r="E1794" s="91"/>
      <c r="F1794" s="91">
        <f>IF($I$1785&gt;0,'Assumptions (MSW)'!$V$13*Model!$I$1785*'Assumptions (MSW)'!E$2/10^9,0)</f>
        <v>0.25742832275872302</v>
      </c>
      <c r="G1794" s="91">
        <f>IF($I$1785&gt;0,'Assumptions (MSW)'!$V$13*Model!$I$1785*'Assumptions (MSW)'!F$2/10^9,0)</f>
        <v>0.26257688921389749</v>
      </c>
      <c r="H1794" s="91">
        <f>IF($I$1785&gt;0,'Assumptions (MSW)'!$V$13*Model!$I$1785*'Assumptions (MSW)'!G$2/10^9,0)</f>
        <v>0.26782842699817544</v>
      </c>
      <c r="I1794" s="91"/>
      <c r="J1794" s="91"/>
      <c r="K1794" s="91"/>
      <c r="L1794" s="91"/>
      <c r="M1794" s="105"/>
      <c r="N1794" s="105"/>
      <c r="O1794" s="105"/>
      <c r="P1794" s="105"/>
      <c r="Q1794" s="105"/>
      <c r="R1794" s="105"/>
      <c r="S1794" s="105"/>
      <c r="T1794" s="105"/>
      <c r="U1794" s="105"/>
      <c r="V1794" s="99"/>
      <c r="W1794" s="147"/>
      <c r="X1794" s="147"/>
      <c r="Y1794" s="147"/>
      <c r="Z1794" s="147"/>
      <c r="AA1794" s="147"/>
      <c r="AB1794" s="147"/>
      <c r="AC1794" s="147"/>
      <c r="AD1794" s="147"/>
      <c r="AE1794" s="147"/>
      <c r="AF1794" s="147"/>
      <c r="AG1794" s="147"/>
      <c r="AH1794" s="147"/>
      <c r="AI1794" s="147"/>
      <c r="AJ1794" s="147"/>
      <c r="AK1794" s="147"/>
      <c r="AL1794" s="147"/>
      <c r="AM1794" s="147"/>
      <c r="AN1794" s="147"/>
      <c r="AO1794" s="147"/>
      <c r="AP1794" s="147"/>
      <c r="AQ1794" s="147"/>
      <c r="AR1794" s="147"/>
      <c r="AS1794" s="147"/>
      <c r="AT1794" s="147"/>
      <c r="AU1794" s="147"/>
      <c r="AV1794" s="147"/>
      <c r="AW1794" s="147"/>
      <c r="AX1794" s="147"/>
      <c r="AY1794" s="147"/>
      <c r="AZ1794" s="147"/>
      <c r="BA1794" s="147"/>
    </row>
    <row r="1795" spans="1:53" ht="15.75" hidden="1" customHeight="1" outlineLevel="1">
      <c r="A1795" s="435"/>
      <c r="B1795" s="99"/>
      <c r="C1795" s="91"/>
      <c r="D1795" s="91"/>
      <c r="E1795" s="91"/>
      <c r="F1795" s="91"/>
      <c r="G1795" s="91">
        <f>IF($J$1785&gt;0,'Assumptions (MSW)'!$V$13*Model!$J$1785*'Assumptions (MSW)'!F$2/10^9,0)</f>
        <v>0.27658665048157516</v>
      </c>
      <c r="H1795" s="91">
        <f>IF($J$1785&gt;0,'Assumptions (MSW)'!$V$13*Model!$J$1785*'Assumptions (MSW)'!G$2/10^9,0)</f>
        <v>0.28211838349120666</v>
      </c>
      <c r="I1795" s="91">
        <f>IF($J$1785&gt;0,'Assumptions (MSW)'!$V$13*Model!$J$1785*'Assumptions (MSW)'!H$2/10^9,0)</f>
        <v>0.28776075116103078</v>
      </c>
      <c r="J1795" s="91"/>
      <c r="K1795" s="91"/>
      <c r="L1795" s="91"/>
      <c r="M1795" s="105"/>
      <c r="N1795" s="105"/>
      <c r="O1795" s="105"/>
      <c r="P1795" s="105"/>
      <c r="Q1795" s="105"/>
      <c r="R1795" s="105"/>
      <c r="S1795" s="105"/>
      <c r="T1795" s="105"/>
      <c r="U1795" s="105"/>
      <c r="V1795" s="99"/>
      <c r="W1795" s="147"/>
      <c r="X1795" s="147"/>
      <c r="Y1795" s="147"/>
      <c r="Z1795" s="147"/>
      <c r="AA1795" s="147"/>
      <c r="AB1795" s="147"/>
      <c r="AC1795" s="147"/>
      <c r="AD1795" s="147"/>
      <c r="AE1795" s="147"/>
      <c r="AF1795" s="147"/>
      <c r="AG1795" s="147"/>
      <c r="AH1795" s="147"/>
      <c r="AI1795" s="147"/>
      <c r="AJ1795" s="147"/>
      <c r="AK1795" s="147"/>
      <c r="AL1795" s="147"/>
      <c r="AM1795" s="147"/>
      <c r="AN1795" s="147"/>
      <c r="AO1795" s="147"/>
      <c r="AP1795" s="147"/>
      <c r="AQ1795" s="147"/>
      <c r="AR1795" s="147"/>
      <c r="AS1795" s="147"/>
      <c r="AT1795" s="147"/>
      <c r="AU1795" s="147"/>
      <c r="AV1795" s="147"/>
      <c r="AW1795" s="147"/>
      <c r="AX1795" s="147"/>
      <c r="AY1795" s="147"/>
      <c r="AZ1795" s="147"/>
      <c r="BA1795" s="147"/>
    </row>
    <row r="1796" spans="1:53" ht="15.75" hidden="1" customHeight="1" outlineLevel="1">
      <c r="A1796" s="435"/>
      <c r="B1796" s="99"/>
      <c r="C1796" s="91"/>
      <c r="D1796" s="91"/>
      <c r="E1796" s="91"/>
      <c r="F1796" s="91"/>
      <c r="G1796" s="91"/>
      <c r="H1796" s="91">
        <f>IF($K$1785&gt;0,'Assumptions (MSW)'!$V$13*Model!$K$1785*'Assumptions (MSW)'!G$2/10^9,0)</f>
        <v>0.28471655739903046</v>
      </c>
      <c r="I1796" s="91">
        <f>IF($K$1785&gt;0,'Assumptions (MSW)'!$V$13*Model!$K$1785*'Assumptions (MSW)'!H$2/10^9,0)</f>
        <v>0.29041088854701108</v>
      </c>
      <c r="J1796" s="91">
        <f>IF($K$1785&gt;0,'Assumptions (MSW)'!$V$13*Model!$K$1785*'Assumptions (MSW)'!I$2/10^9,0)</f>
        <v>0.29621910631795134</v>
      </c>
      <c r="K1796" s="91"/>
      <c r="L1796" s="91"/>
      <c r="M1796" s="105"/>
      <c r="N1796" s="105"/>
      <c r="O1796" s="105"/>
      <c r="P1796" s="105"/>
      <c r="Q1796" s="105"/>
      <c r="R1796" s="105"/>
      <c r="S1796" s="105"/>
      <c r="T1796" s="105"/>
      <c r="U1796" s="105"/>
      <c r="V1796" s="99"/>
      <c r="W1796" s="147"/>
      <c r="X1796" s="147"/>
      <c r="Y1796" s="147"/>
      <c r="Z1796" s="147"/>
      <c r="AA1796" s="147"/>
      <c r="AB1796" s="147"/>
      <c r="AC1796" s="147"/>
      <c r="AD1796" s="147"/>
      <c r="AE1796" s="147"/>
      <c r="AF1796" s="147"/>
      <c r="AG1796" s="147"/>
      <c r="AH1796" s="147"/>
      <c r="AI1796" s="147"/>
      <c r="AJ1796" s="147"/>
      <c r="AK1796" s="147"/>
      <c r="AL1796" s="147"/>
      <c r="AM1796" s="147"/>
      <c r="AN1796" s="147"/>
      <c r="AO1796" s="147"/>
      <c r="AP1796" s="147"/>
      <c r="AQ1796" s="147"/>
      <c r="AR1796" s="147"/>
      <c r="AS1796" s="147"/>
      <c r="AT1796" s="147"/>
      <c r="AU1796" s="147"/>
      <c r="AV1796" s="147"/>
      <c r="AW1796" s="147"/>
      <c r="AX1796" s="147"/>
      <c r="AY1796" s="147"/>
      <c r="AZ1796" s="147"/>
      <c r="BA1796" s="147"/>
    </row>
    <row r="1797" spans="1:53" ht="15.75" hidden="1" customHeight="1" outlineLevel="1">
      <c r="A1797" s="435"/>
      <c r="B1797" s="99"/>
      <c r="C1797" s="91"/>
      <c r="D1797" s="91"/>
      <c r="E1797" s="91"/>
      <c r="F1797" s="91"/>
      <c r="G1797" s="91"/>
      <c r="H1797" s="91"/>
      <c r="I1797" s="91">
        <f>IF($L$1785&gt;0,'Assumptions (MSW)'!$V$13*Model!$L$1785*'Assumptions (MSW)'!H$2/10^9,0)</f>
        <v>0.29151511245783623</v>
      </c>
      <c r="J1797" s="91">
        <f>IF($L$1785&gt;0,'Assumptions (MSW)'!$V$13*Model!$L$1785*'Assumptions (MSW)'!I$2/10^9,0)</f>
        <v>0.29734541470699299</v>
      </c>
      <c r="K1797" s="91">
        <f>IF($L$1785&gt;0,'Assumptions (MSW)'!$V$13*Model!$L$1785*'Assumptions (MSW)'!J$2/10^9,0)</f>
        <v>0.30329232300113285</v>
      </c>
      <c r="L1797" s="91"/>
      <c r="M1797" s="105"/>
      <c r="N1797" s="105"/>
      <c r="O1797" s="105"/>
      <c r="P1797" s="105"/>
      <c r="Q1797" s="105"/>
      <c r="R1797" s="105"/>
      <c r="S1797" s="105"/>
      <c r="T1797" s="105"/>
      <c r="U1797" s="105"/>
      <c r="V1797" s="99"/>
      <c r="W1797" s="147"/>
      <c r="X1797" s="147"/>
      <c r="Y1797" s="147"/>
      <c r="Z1797" s="147"/>
      <c r="AA1797" s="147"/>
      <c r="AB1797" s="147"/>
      <c r="AC1797" s="147"/>
      <c r="AD1797" s="147"/>
      <c r="AE1797" s="147"/>
      <c r="AF1797" s="147"/>
      <c r="AG1797" s="147"/>
      <c r="AH1797" s="147"/>
      <c r="AI1797" s="147"/>
      <c r="AJ1797" s="147"/>
      <c r="AK1797" s="147"/>
      <c r="AL1797" s="147"/>
      <c r="AM1797" s="147"/>
      <c r="AN1797" s="147"/>
      <c r="AO1797" s="147"/>
      <c r="AP1797" s="147"/>
      <c r="AQ1797" s="147"/>
      <c r="AR1797" s="147"/>
      <c r="AS1797" s="147"/>
      <c r="AT1797" s="147"/>
      <c r="AU1797" s="147"/>
      <c r="AV1797" s="147"/>
      <c r="AW1797" s="147"/>
      <c r="AX1797" s="147"/>
      <c r="AY1797" s="147"/>
      <c r="AZ1797" s="147"/>
      <c r="BA1797" s="147"/>
    </row>
    <row r="1798" spans="1:53" ht="15.75" hidden="1" customHeight="1" outlineLevel="1">
      <c r="A1798" s="435"/>
      <c r="B1798" s="99"/>
      <c r="C1798" s="91"/>
      <c r="D1798" s="91"/>
      <c r="E1798" s="91"/>
      <c r="F1798" s="91"/>
      <c r="G1798" s="91"/>
      <c r="H1798" s="91"/>
      <c r="I1798" s="91"/>
      <c r="J1798" s="91">
        <f>IF($M$1785&gt;0,'Assumptions (MSW)'!$V$13*Model!$M$1785*'Assumptions (MSW)'!I$2/10^9,0)</f>
        <v>0.32144841423248405</v>
      </c>
      <c r="K1798" s="91">
        <f>IF($M$1785&gt;0,'Assumptions (MSW)'!$V$13*Model!$M$1785*'Assumptions (MSW)'!J$2/10^9,0)</f>
        <v>0.32787738251713372</v>
      </c>
      <c r="L1798" s="91">
        <f>IF($M$1785&gt;0,'Assumptions (MSW)'!$V$13*Model!$M$1785*'Assumptions (MSW)'!K$2/10^9,0)</f>
        <v>0.33443493016747644</v>
      </c>
      <c r="M1798" s="105"/>
      <c r="N1798" s="105"/>
      <c r="O1798" s="105"/>
      <c r="P1798" s="105"/>
      <c r="Q1798" s="105"/>
      <c r="R1798" s="105"/>
      <c r="S1798" s="105"/>
      <c r="T1798" s="105"/>
      <c r="U1798" s="105"/>
      <c r="V1798" s="99"/>
      <c r="W1798" s="147"/>
      <c r="X1798" s="147"/>
      <c r="Y1798" s="147"/>
      <c r="Z1798" s="147"/>
      <c r="AA1798" s="147"/>
      <c r="AB1798" s="147"/>
      <c r="AC1798" s="147"/>
      <c r="AD1798" s="147"/>
      <c r="AE1798" s="147"/>
      <c r="AF1798" s="147"/>
      <c r="AG1798" s="147"/>
      <c r="AH1798" s="147"/>
      <c r="AI1798" s="147"/>
      <c r="AJ1798" s="147"/>
      <c r="AK1798" s="147"/>
      <c r="AL1798" s="147"/>
      <c r="AM1798" s="147"/>
      <c r="AN1798" s="147"/>
      <c r="AO1798" s="147"/>
      <c r="AP1798" s="147"/>
      <c r="AQ1798" s="147"/>
      <c r="AR1798" s="147"/>
      <c r="AS1798" s="147"/>
      <c r="AT1798" s="147"/>
      <c r="AU1798" s="147"/>
      <c r="AV1798" s="147"/>
      <c r="AW1798" s="147"/>
      <c r="AX1798" s="147"/>
      <c r="AY1798" s="147"/>
      <c r="AZ1798" s="147"/>
      <c r="BA1798" s="147"/>
    </row>
    <row r="1799" spans="1:53" ht="15.75" hidden="1" customHeight="1" outlineLevel="1">
      <c r="A1799" s="435"/>
      <c r="B1799" s="99"/>
      <c r="C1799" s="105"/>
      <c r="D1799" s="105"/>
      <c r="E1799" s="105"/>
      <c r="F1799" s="105"/>
      <c r="G1799" s="105"/>
      <c r="H1799" s="105"/>
      <c r="I1799" s="105"/>
      <c r="J1799" s="105"/>
      <c r="K1799" s="105">
        <f>IF($N$1785&gt;0,'Assumptions (MSW)'!$V$13*Model!$N$1785*'Assumptions (MSW)'!J$2/10^9,0)</f>
        <v>0.3297155178080497</v>
      </c>
      <c r="L1799" s="105">
        <f>IF($N$1785&gt;0,'Assumptions (MSW)'!$V$13*Model!$N$1785*'Assumptions (MSW)'!K$2/10^9,0)</f>
        <v>0.33630982816421068</v>
      </c>
      <c r="M1799" s="105">
        <f>IF($N$1785&gt;0,'Assumptions (MSW)'!$V$13*Model!$N$1785*'Assumptions (MSW)'!L$2/10^9,0)</f>
        <v>0.34303602472749489</v>
      </c>
      <c r="N1799" s="105"/>
      <c r="O1799" s="105"/>
      <c r="P1799" s="105"/>
      <c r="Q1799" s="105"/>
      <c r="R1799" s="105"/>
      <c r="S1799" s="105"/>
      <c r="T1799" s="105"/>
      <c r="U1799" s="105"/>
      <c r="V1799" s="99"/>
      <c r="W1799" s="147"/>
      <c r="X1799" s="147"/>
      <c r="Y1799" s="147"/>
      <c r="Z1799" s="147"/>
      <c r="AA1799" s="147"/>
      <c r="AB1799" s="147"/>
      <c r="AC1799" s="147"/>
      <c r="AD1799" s="147"/>
      <c r="AE1799" s="147"/>
      <c r="AF1799" s="147"/>
      <c r="AG1799" s="147"/>
      <c r="AH1799" s="147"/>
      <c r="AI1799" s="147"/>
      <c r="AJ1799" s="147"/>
      <c r="AK1799" s="147"/>
      <c r="AL1799" s="147"/>
      <c r="AM1799" s="147"/>
      <c r="AN1799" s="147"/>
      <c r="AO1799" s="147"/>
      <c r="AP1799" s="147"/>
      <c r="AQ1799" s="147"/>
      <c r="AR1799" s="147"/>
      <c r="AS1799" s="147"/>
      <c r="AT1799" s="147"/>
      <c r="AU1799" s="147"/>
      <c r="AV1799" s="147"/>
      <c r="AW1799" s="147"/>
      <c r="AX1799" s="147"/>
      <c r="AY1799" s="147"/>
      <c r="AZ1799" s="147"/>
      <c r="BA1799" s="147"/>
    </row>
    <row r="1800" spans="1:53" ht="15.75" hidden="1" customHeight="1" outlineLevel="1">
      <c r="A1800" s="435"/>
      <c r="B1800" s="99"/>
      <c r="C1800" s="105"/>
      <c r="D1800" s="105"/>
      <c r="E1800" s="105"/>
      <c r="F1800" s="105"/>
      <c r="G1800" s="105"/>
      <c r="H1800" s="105"/>
      <c r="I1800" s="105"/>
      <c r="J1800" s="105"/>
      <c r="K1800" s="105"/>
      <c r="L1800" s="105">
        <f>IF($O$1785&gt;0,'Assumptions (MSW)'!$V$13*Model!$O$1785*'Assumptions (MSW)'!K$2/10^9,0)</f>
        <v>0.40708722754092957</v>
      </c>
      <c r="M1800" s="105">
        <f>IF($O$1785&gt;0,'Assumptions (MSW)'!$V$13*Model!$O$1785*'Assumptions (MSW)'!L$2/10^9,0)</f>
        <v>0.41522897209174819</v>
      </c>
      <c r="N1800" s="105">
        <f>IF($O$1785&gt;0,'Assumptions (MSW)'!$V$13*Model!$O$1785*'Assumptions (MSW)'!M$2/10^9,0)</f>
        <v>0.42353355153358319</v>
      </c>
      <c r="O1800" s="105"/>
      <c r="P1800" s="105"/>
      <c r="Q1800" s="105"/>
      <c r="R1800" s="105"/>
      <c r="S1800" s="105"/>
      <c r="T1800" s="105"/>
      <c r="U1800" s="105"/>
      <c r="V1800" s="99"/>
      <c r="W1800" s="147"/>
      <c r="X1800" s="147"/>
      <c r="Y1800" s="147"/>
      <c r="Z1800" s="147"/>
      <c r="AA1800" s="147"/>
      <c r="AB1800" s="147"/>
      <c r="AC1800" s="147"/>
      <c r="AD1800" s="147"/>
      <c r="AE1800" s="147"/>
      <c r="AF1800" s="147"/>
      <c r="AG1800" s="147"/>
      <c r="AH1800" s="147"/>
      <c r="AI1800" s="147"/>
      <c r="AJ1800" s="147"/>
      <c r="AK1800" s="147"/>
      <c r="AL1800" s="147"/>
      <c r="AM1800" s="147"/>
      <c r="AN1800" s="147"/>
      <c r="AO1800" s="147"/>
      <c r="AP1800" s="147"/>
      <c r="AQ1800" s="147"/>
      <c r="AR1800" s="147"/>
      <c r="AS1800" s="147"/>
      <c r="AT1800" s="147"/>
      <c r="AU1800" s="147"/>
      <c r="AV1800" s="147"/>
      <c r="AW1800" s="147"/>
      <c r="AX1800" s="147"/>
      <c r="AY1800" s="147"/>
      <c r="AZ1800" s="147"/>
      <c r="BA1800" s="147"/>
    </row>
    <row r="1801" spans="1:53" ht="15.75" hidden="1" customHeight="1" outlineLevel="1">
      <c r="A1801" s="435"/>
      <c r="B1801" s="99"/>
      <c r="C1801" s="105"/>
      <c r="D1801" s="105"/>
      <c r="E1801" s="105"/>
      <c r="F1801" s="105"/>
      <c r="G1801" s="105"/>
      <c r="H1801" s="105"/>
      <c r="I1801" s="105"/>
      <c r="J1801" s="91"/>
      <c r="K1801" s="91"/>
      <c r="L1801" s="91"/>
      <c r="M1801" s="91">
        <f>IF($P$1785&gt;0,'Assumptions (MSW)'!$V$13*Model!$P$1785*'Assumptions (MSW)'!L$2/10^9,0)</f>
        <v>0.33466929241706816</v>
      </c>
      <c r="N1801" s="91">
        <f>IF($P$1785&gt;0,'Assumptions (MSW)'!$V$13*Model!$P$1785*'Assumptions (MSW)'!M$2/10^9,0)</f>
        <v>0.34136267826540961</v>
      </c>
      <c r="O1801" s="91">
        <f>IF($P$1785&gt;0,'Assumptions (MSW)'!$V$13*Model!$P$1785*'Assumptions (MSW)'!N$2/10^9,0)</f>
        <v>0.34818993183071778</v>
      </c>
      <c r="P1801" s="91"/>
      <c r="Q1801" s="105"/>
      <c r="R1801" s="91"/>
      <c r="S1801" s="91"/>
      <c r="T1801" s="91"/>
      <c r="U1801" s="91"/>
      <c r="V1801" s="99"/>
      <c r="W1801" s="147"/>
      <c r="X1801" s="147"/>
      <c r="Y1801" s="147"/>
      <c r="Z1801" s="147"/>
      <c r="AA1801" s="147"/>
      <c r="AB1801" s="147"/>
      <c r="AC1801" s="147"/>
      <c r="AD1801" s="147"/>
      <c r="AE1801" s="147"/>
      <c r="AF1801" s="147"/>
      <c r="AG1801" s="147"/>
      <c r="AH1801" s="147"/>
      <c r="AI1801" s="147"/>
      <c r="AJ1801" s="147"/>
      <c r="AK1801" s="147"/>
      <c r="AL1801" s="147"/>
      <c r="AM1801" s="147"/>
      <c r="AN1801" s="147"/>
      <c r="AO1801" s="147"/>
      <c r="AP1801" s="147"/>
      <c r="AQ1801" s="147"/>
      <c r="AR1801" s="147"/>
      <c r="AS1801" s="147"/>
      <c r="AT1801" s="147"/>
      <c r="AU1801" s="147"/>
      <c r="AV1801" s="147"/>
      <c r="AW1801" s="147"/>
      <c r="AX1801" s="147"/>
      <c r="AY1801" s="147"/>
      <c r="AZ1801" s="147"/>
      <c r="BA1801" s="147"/>
    </row>
    <row r="1802" spans="1:53" ht="15.75" hidden="1" customHeight="1" outlineLevel="1">
      <c r="A1802" s="435"/>
      <c r="B1802" s="99"/>
      <c r="C1802" s="105"/>
      <c r="D1802" s="105"/>
      <c r="E1802" s="105"/>
      <c r="F1802" s="105"/>
      <c r="G1802" s="105"/>
      <c r="H1802" s="105"/>
      <c r="I1802" s="105"/>
      <c r="J1802" s="105"/>
      <c r="K1802" s="91"/>
      <c r="L1802" s="91"/>
      <c r="M1802" s="91"/>
      <c r="N1802" s="91">
        <f>IF($Q$1785&gt;0,'Assumptions (MSW)'!$V$13*Model!$Q$1785*'Assumptions (MSW)'!M$2/10^9,0)</f>
        <v>0.21530231779168332</v>
      </c>
      <c r="O1802" s="91">
        <f>IF($Q$1785&gt;0,'Assumptions (MSW)'!$V$13*Model!$Q$1785*'Assumptions (MSW)'!N$2/10^9,0)</f>
        <v>0.219608364147517</v>
      </c>
      <c r="P1802" s="91">
        <f>IF($Q$1785&gt;0,'Assumptions (MSW)'!$V$13*Model!$Q$1785*'Assumptions (MSW)'!O$2/10^9,0)</f>
        <v>0.22400053143046733</v>
      </c>
      <c r="Q1802" s="105"/>
      <c r="R1802" s="91"/>
      <c r="S1802" s="91"/>
      <c r="T1802" s="91"/>
      <c r="U1802" s="91"/>
      <c r="V1802" s="99"/>
      <c r="W1802" s="147"/>
      <c r="X1802" s="147"/>
      <c r="Y1802" s="147"/>
      <c r="Z1802" s="147"/>
      <c r="AA1802" s="147"/>
      <c r="AB1802" s="147"/>
      <c r="AC1802" s="147"/>
      <c r="AD1802" s="147"/>
      <c r="AE1802" s="147"/>
      <c r="AF1802" s="147"/>
      <c r="AG1802" s="147"/>
      <c r="AH1802" s="147"/>
      <c r="AI1802" s="147"/>
      <c r="AJ1802" s="147"/>
      <c r="AK1802" s="147"/>
      <c r="AL1802" s="147"/>
      <c r="AM1802" s="147"/>
      <c r="AN1802" s="147"/>
      <c r="AO1802" s="147"/>
      <c r="AP1802" s="147"/>
      <c r="AQ1802" s="147"/>
      <c r="AR1802" s="147"/>
      <c r="AS1802" s="147"/>
      <c r="AT1802" s="147"/>
      <c r="AU1802" s="147"/>
      <c r="AV1802" s="147"/>
      <c r="AW1802" s="147"/>
      <c r="AX1802" s="147"/>
      <c r="AY1802" s="147"/>
      <c r="AZ1802" s="147"/>
      <c r="BA1802" s="147"/>
    </row>
    <row r="1803" spans="1:53" ht="15.75" hidden="1" customHeight="1" outlineLevel="1">
      <c r="A1803" s="435"/>
      <c r="B1803" s="99"/>
      <c r="C1803" s="105"/>
      <c r="D1803" s="105"/>
      <c r="E1803" s="105"/>
      <c r="F1803" s="105"/>
      <c r="G1803" s="105"/>
      <c r="H1803" s="105"/>
      <c r="I1803" s="105"/>
      <c r="J1803" s="105"/>
      <c r="K1803" s="105"/>
      <c r="L1803" s="167"/>
      <c r="M1803" s="167"/>
      <c r="N1803" s="167"/>
      <c r="O1803" s="167">
        <f>IF($R$1785&gt;0,'Assumptions (MSW)'!$V$13*Model!$R$1785*'Assumptions (MSW)'!N$2/10^9,0)</f>
        <v>0.25069675091811677</v>
      </c>
      <c r="P1803" s="167">
        <f>IF($R$1785&gt;0,'Assumptions (MSW)'!$V$13*Model!$R$1785*'Assumptions (MSW)'!O$2/10^9,0)</f>
        <v>0.25571068593647911</v>
      </c>
      <c r="Q1803" s="167">
        <f>IF($R$1785&gt;0,'Assumptions (MSW)'!$V$13*Model!$R$1785*'Assumptions (MSW)'!P$2/10^9,0)</f>
        <v>0.26082489965520866</v>
      </c>
      <c r="R1803" s="91"/>
      <c r="S1803" s="91"/>
      <c r="T1803" s="91"/>
      <c r="U1803" s="91"/>
      <c r="V1803" s="99"/>
      <c r="W1803" s="147"/>
      <c r="X1803" s="147"/>
      <c r="Y1803" s="147"/>
      <c r="Z1803" s="147"/>
      <c r="AA1803" s="147"/>
      <c r="AB1803" s="147"/>
      <c r="AC1803" s="147"/>
      <c r="AD1803" s="147"/>
      <c r="AE1803" s="147"/>
      <c r="AF1803" s="147"/>
      <c r="AG1803" s="147"/>
      <c r="AH1803" s="147"/>
      <c r="AI1803" s="147"/>
      <c r="AJ1803" s="147"/>
      <c r="AK1803" s="147"/>
      <c r="AL1803" s="147"/>
      <c r="AM1803" s="147"/>
      <c r="AN1803" s="147"/>
      <c r="AO1803" s="147"/>
      <c r="AP1803" s="147"/>
      <c r="AQ1803" s="147"/>
      <c r="AR1803" s="147"/>
      <c r="AS1803" s="147"/>
      <c r="AT1803" s="147"/>
      <c r="AU1803" s="147"/>
      <c r="AV1803" s="147"/>
      <c r="AW1803" s="147"/>
      <c r="AX1803" s="147"/>
      <c r="AY1803" s="147"/>
      <c r="AZ1803" s="147"/>
      <c r="BA1803" s="147"/>
    </row>
    <row r="1804" spans="1:53" ht="15.75" hidden="1" customHeight="1" outlineLevel="1">
      <c r="A1804" s="435"/>
      <c r="B1804" s="99"/>
      <c r="C1804" s="105"/>
      <c r="D1804" s="105"/>
      <c r="E1804" s="105"/>
      <c r="F1804" s="105"/>
      <c r="G1804" s="105"/>
      <c r="H1804" s="105"/>
      <c r="I1804" s="105"/>
      <c r="J1804" s="105"/>
      <c r="K1804" s="105"/>
      <c r="L1804" s="105"/>
      <c r="M1804" s="105"/>
      <c r="N1804" s="105"/>
      <c r="O1804" s="105"/>
      <c r="P1804" s="105">
        <f>IF($S$1785&gt;0,'Assumptions (MSW)'!$V$13*Model!$S$1785*'Assumptions (MSW)'!O$2/10^9,0)</f>
        <v>0.20877965726758166</v>
      </c>
      <c r="Q1804" s="105">
        <f>IF($S$1785&gt;0,'Assumptions (MSW)'!$V$13*Model!$S$1785*'Assumptions (MSW)'!P$2/10^9,0)</f>
        <v>0.21295525041293328</v>
      </c>
      <c r="R1804" s="105">
        <f>IF($S$1785&gt;0,'Assumptions (MSW)'!$V$13*Model!$S$1785*'Assumptions (MSW)'!Q$2/10^9,0)</f>
        <v>0.21721435542119197</v>
      </c>
      <c r="S1804" s="105"/>
      <c r="T1804" s="105"/>
      <c r="U1804" s="105"/>
      <c r="V1804" s="99"/>
      <c r="W1804" s="147"/>
      <c r="X1804" s="147"/>
      <c r="Y1804" s="147"/>
      <c r="Z1804" s="147"/>
      <c r="AA1804" s="147"/>
      <c r="AB1804" s="147"/>
      <c r="AC1804" s="147"/>
      <c r="AD1804" s="147"/>
      <c r="AE1804" s="147"/>
      <c r="AF1804" s="147"/>
      <c r="AG1804" s="147"/>
      <c r="AH1804" s="147"/>
      <c r="AI1804" s="147"/>
      <c r="AJ1804" s="147"/>
      <c r="AK1804" s="147"/>
      <c r="AL1804" s="147"/>
      <c r="AM1804" s="147"/>
      <c r="AN1804" s="147"/>
      <c r="AO1804" s="147"/>
      <c r="AP1804" s="147"/>
      <c r="AQ1804" s="147"/>
      <c r="AR1804" s="147"/>
      <c r="AS1804" s="147"/>
      <c r="AT1804" s="147"/>
      <c r="AU1804" s="147"/>
      <c r="AV1804" s="147"/>
      <c r="AW1804" s="147"/>
      <c r="AX1804" s="147"/>
      <c r="AY1804" s="147"/>
      <c r="AZ1804" s="147"/>
      <c r="BA1804" s="147"/>
    </row>
    <row r="1805" spans="1:53" ht="15.75" hidden="1" customHeight="1" outlineLevel="1">
      <c r="A1805" s="435"/>
      <c r="B1805" s="99"/>
      <c r="C1805" s="105"/>
      <c r="D1805" s="105"/>
      <c r="E1805" s="105"/>
      <c r="F1805" s="105"/>
      <c r="G1805" s="105"/>
      <c r="H1805" s="105"/>
      <c r="I1805" s="105"/>
      <c r="J1805" s="105"/>
      <c r="K1805" s="105"/>
      <c r="L1805" s="105"/>
      <c r="M1805" s="105"/>
      <c r="N1805" s="105"/>
      <c r="O1805" s="105"/>
      <c r="P1805" s="105"/>
      <c r="Q1805" s="105">
        <f>IF($T$1785&gt;0,'Assumptions (MSW)'!$V$13*Model!$T$1785*'Assumptions (MSW)'!P$2/10^9,0)</f>
        <v>8.1507781142252725E-2</v>
      </c>
      <c r="R1805" s="105">
        <f>IF($T$1785&gt;0,'Assumptions (MSW)'!$V$13*Model!$T$1785*'Assumptions (MSW)'!Q$2/10^9,0)</f>
        <v>8.3137936765097786E-2</v>
      </c>
      <c r="S1805" s="105">
        <f>IF($T$1785&gt;0,'Assumptions (MSW)'!$V$13*Model!$T$1785*'Assumptions (MSW)'!R$2/10^9,0)</f>
        <v>8.4800695500399745E-2</v>
      </c>
      <c r="T1805" s="105"/>
      <c r="U1805" s="105"/>
      <c r="V1805" s="99"/>
      <c r="W1805" s="147"/>
      <c r="X1805" s="147"/>
      <c r="Y1805" s="147"/>
      <c r="Z1805" s="147"/>
      <c r="AA1805" s="147"/>
      <c r="AB1805" s="147"/>
      <c r="AC1805" s="147"/>
      <c r="AD1805" s="147"/>
      <c r="AE1805" s="147"/>
      <c r="AF1805" s="147"/>
      <c r="AG1805" s="147"/>
      <c r="AH1805" s="147"/>
      <c r="AI1805" s="147"/>
      <c r="AJ1805" s="147"/>
      <c r="AK1805" s="147"/>
      <c r="AL1805" s="147"/>
      <c r="AM1805" s="147"/>
      <c r="AN1805" s="147"/>
      <c r="AO1805" s="147"/>
      <c r="AP1805" s="147"/>
      <c r="AQ1805" s="147"/>
      <c r="AR1805" s="147"/>
      <c r="AS1805" s="147"/>
      <c r="AT1805" s="147"/>
      <c r="AU1805" s="147"/>
      <c r="AV1805" s="147"/>
      <c r="AW1805" s="147"/>
      <c r="AX1805" s="147"/>
      <c r="AY1805" s="147"/>
      <c r="AZ1805" s="147"/>
      <c r="BA1805" s="147"/>
    </row>
    <row r="1806" spans="1:53" ht="15.75" hidden="1" customHeight="1" outlineLevel="1">
      <c r="A1806" s="435"/>
      <c r="B1806" s="99"/>
      <c r="C1806" s="105"/>
      <c r="D1806" s="105"/>
      <c r="E1806" s="105"/>
      <c r="F1806" s="105"/>
      <c r="G1806" s="105"/>
      <c r="H1806" s="105"/>
      <c r="I1806" s="105"/>
      <c r="J1806" s="105"/>
      <c r="K1806" s="105"/>
      <c r="L1806" s="105"/>
      <c r="M1806" s="105"/>
      <c r="N1806" s="105"/>
      <c r="O1806" s="91"/>
      <c r="P1806" s="91"/>
      <c r="Q1806" s="91"/>
      <c r="R1806" s="91">
        <f>IF($U$1785&gt;0,'Assumptions (MSW)'!$V$13*Model!$U$1785*'Assumptions (MSW)'!Q$2/10^9,0)</f>
        <v>4.2228793277509988E-3</v>
      </c>
      <c r="S1806" s="91">
        <f>IF($U$1785&gt;0,'Assumptions (MSW)'!$V$13*Model!$U$1785*'Assumptions (MSW)'!R$2/10^9,0)</f>
        <v>4.3073369143060182E-3</v>
      </c>
      <c r="T1806" s="91">
        <f>IF($U$1785&gt;0,'Assumptions (MSW)'!$V$13*Model!$U$1785*'Assumptions (MSW)'!S$2/10^9,0)</f>
        <v>4.3934836525921393E-3</v>
      </c>
      <c r="U1806" s="105"/>
      <c r="V1806" s="99"/>
      <c r="W1806" s="147"/>
      <c r="X1806" s="147"/>
      <c r="Y1806" s="147"/>
      <c r="Z1806" s="147"/>
      <c r="AA1806" s="147"/>
      <c r="AB1806" s="147"/>
      <c r="AC1806" s="147"/>
      <c r="AD1806" s="147"/>
      <c r="AE1806" s="147"/>
      <c r="AF1806" s="147"/>
      <c r="AG1806" s="147"/>
      <c r="AH1806" s="147"/>
      <c r="AI1806" s="147"/>
      <c r="AJ1806" s="147"/>
      <c r="AK1806" s="147"/>
      <c r="AL1806" s="147"/>
      <c r="AM1806" s="147"/>
      <c r="AN1806" s="147"/>
      <c r="AO1806" s="147"/>
      <c r="AP1806" s="147"/>
      <c r="AQ1806" s="147"/>
      <c r="AR1806" s="147"/>
      <c r="AS1806" s="147"/>
      <c r="AT1806" s="147"/>
      <c r="AU1806" s="147"/>
      <c r="AV1806" s="147"/>
      <c r="AW1806" s="147"/>
      <c r="AX1806" s="147"/>
      <c r="AY1806" s="147"/>
      <c r="AZ1806" s="147"/>
      <c r="BA1806" s="147"/>
    </row>
    <row r="1807" spans="1:53" ht="15.75" hidden="1" customHeight="1" outlineLevel="1">
      <c r="A1807" s="435"/>
      <c r="B1807" s="99"/>
      <c r="C1807" s="105"/>
      <c r="D1807" s="105"/>
      <c r="E1807" s="105"/>
      <c r="F1807" s="105"/>
      <c r="G1807" s="105"/>
      <c r="H1807" s="105"/>
      <c r="I1807" s="105"/>
      <c r="J1807" s="105"/>
      <c r="K1807" s="105"/>
      <c r="L1807" s="105"/>
      <c r="M1807" s="105"/>
      <c r="N1807" s="105"/>
      <c r="O1807" s="105"/>
      <c r="P1807" s="105"/>
      <c r="Q1807" s="105"/>
      <c r="R1807" s="105"/>
      <c r="S1807" s="105">
        <f>IF($V$1785&gt;0,'Assumptions (MSW)'!$V$13*Model!$V$1785*'Assumptions (MSW)'!R$2/10^9,0)</f>
        <v>1.2383593628629804E-2</v>
      </c>
      <c r="T1807" s="105">
        <f>IF($V$1785&gt;0,'Assumptions (MSW)'!$V$13*Model!$V$1785*'Assumptions (MSW)'!S$2/10^9,0)</f>
        <v>1.26312655012024E-2</v>
      </c>
      <c r="U1807" s="105">
        <f>IF($V$1785&gt;0,'Assumptions (MSW)'!$V$13*Model!$V$1785*'Assumptions (MSW)'!T$2/10^9,0)</f>
        <v>1.2883890811226447E-2</v>
      </c>
      <c r="V1807" s="99"/>
      <c r="W1807" s="147"/>
      <c r="X1807" s="147"/>
      <c r="Y1807" s="147"/>
      <c r="Z1807" s="147"/>
      <c r="AA1807" s="147"/>
      <c r="AB1807" s="147"/>
      <c r="AC1807" s="147"/>
      <c r="AD1807" s="147"/>
      <c r="AE1807" s="147"/>
      <c r="AF1807" s="147"/>
      <c r="AG1807" s="147"/>
      <c r="AH1807" s="147"/>
      <c r="AI1807" s="147"/>
      <c r="AJ1807" s="147"/>
      <c r="AK1807" s="147"/>
      <c r="AL1807" s="147"/>
      <c r="AM1807" s="147"/>
      <c r="AN1807" s="147"/>
      <c r="AO1807" s="147"/>
      <c r="AP1807" s="147"/>
      <c r="AQ1807" s="147"/>
      <c r="AR1807" s="147"/>
      <c r="AS1807" s="147"/>
      <c r="AT1807" s="147"/>
      <c r="AU1807" s="147"/>
      <c r="AV1807" s="147"/>
      <c r="AW1807" s="147"/>
      <c r="AX1807" s="147"/>
      <c r="AY1807" s="147"/>
      <c r="AZ1807" s="147"/>
      <c r="BA1807" s="147"/>
    </row>
    <row r="1808" spans="1:53" ht="15.75" hidden="1" customHeight="1" outlineLevel="1">
      <c r="A1808" s="435"/>
      <c r="B1808" s="99"/>
      <c r="C1808" s="99"/>
      <c r="D1808" s="99"/>
      <c r="E1808" s="99"/>
      <c r="F1808" s="99"/>
      <c r="G1808" s="99"/>
      <c r="H1808" s="99"/>
      <c r="I1808" s="99"/>
      <c r="J1808" s="99"/>
      <c r="K1808" s="99"/>
      <c r="L1808" s="99"/>
      <c r="M1808" s="99"/>
      <c r="N1808" s="99"/>
      <c r="O1808" s="99"/>
      <c r="P1808" s="99"/>
      <c r="Q1808" s="99"/>
      <c r="R1808" s="99"/>
      <c r="S1808" s="99"/>
      <c r="T1808" s="105">
        <f>IF($W$1785&gt;0,'Assumptions (MSW)'!$V$13*Model!$W$1785*'Assumptions (MSW)'!S$2/10^9,0)</f>
        <v>0</v>
      </c>
      <c r="U1808" s="105">
        <f>IF($W$1785&gt;0,'Assumptions (MSW)'!$V$13*Model!$W$1785*'Assumptions (MSW)'!T$2/10^9,0)</f>
        <v>0</v>
      </c>
      <c r="V1808" s="105">
        <f>IF($W$1785&gt;0,'Assumptions (MSW)'!$V$13*Model!$W$1785*'Assumptions (MSW)'!U$2/10^9,0)</f>
        <v>0</v>
      </c>
      <c r="W1808" s="91"/>
      <c r="X1808" s="91"/>
      <c r="Y1808" s="91"/>
      <c r="Z1808" s="91"/>
      <c r="AA1808" s="91"/>
      <c r="AB1808" s="91"/>
      <c r="AC1808" s="91"/>
      <c r="AD1808" s="91"/>
      <c r="AE1808" s="91"/>
      <c r="AF1808" s="91"/>
      <c r="AG1808" s="91"/>
      <c r="AH1808" s="91"/>
      <c r="AI1808" s="91"/>
      <c r="AJ1808" s="91"/>
      <c r="AK1808" s="91"/>
      <c r="AL1808" s="91"/>
      <c r="AM1808" s="91"/>
      <c r="AN1808" s="91"/>
      <c r="AO1808" s="91"/>
      <c r="AP1808" s="91"/>
      <c r="AQ1808" s="91"/>
      <c r="AR1808" s="91"/>
      <c r="AS1808" s="91"/>
      <c r="AT1808" s="91"/>
      <c r="AU1808" s="91"/>
      <c r="AV1808" s="91"/>
      <c r="AW1808" s="91"/>
      <c r="AX1808" s="91"/>
      <c r="AY1808" s="91"/>
      <c r="AZ1808" s="91"/>
      <c r="BA1808" s="91"/>
    </row>
    <row r="1809" spans="1:53" ht="15.75" hidden="1" customHeight="1" outlineLevel="1">
      <c r="A1809" s="435"/>
      <c r="B1809" s="99"/>
      <c r="C1809" s="99"/>
      <c r="D1809" s="99"/>
      <c r="E1809" s="99"/>
      <c r="F1809" s="99"/>
      <c r="G1809" s="99"/>
      <c r="H1809" s="99"/>
      <c r="I1809" s="99"/>
      <c r="J1809" s="99"/>
      <c r="K1809" s="99"/>
      <c r="L1809" s="99"/>
      <c r="M1809" s="99"/>
      <c r="N1809" s="99"/>
      <c r="O1809" s="99"/>
      <c r="P1809" s="99"/>
      <c r="Q1809" s="99"/>
      <c r="R1809" s="99"/>
      <c r="S1809" s="99"/>
      <c r="T1809" s="99"/>
      <c r="U1809" s="409">
        <f>IF($X$1785&gt;0,'Assumptions (MSW)'!$V$13*Model!$X$1785*'Assumptions (MSW)'!T$2/10^9,0)</f>
        <v>0</v>
      </c>
      <c r="V1809" s="409">
        <f>IF($X$1785&gt;0,'Assumptions (MSW)'!$V$13*Model!$X$1785*'Assumptions (MSW)'!U$2/10^9,0)</f>
        <v>0</v>
      </c>
      <c r="W1809" s="409">
        <f>IF($X$1785&gt;0,'Assumptions (MSW)'!$V$13*Model!$X$1785*'Assumptions (MSW)'!V$2/10^9,0)</f>
        <v>0</v>
      </c>
      <c r="X1809" s="91"/>
      <c r="Y1809" s="91"/>
      <c r="Z1809" s="91"/>
      <c r="AA1809" s="91"/>
      <c r="AB1809" s="91"/>
      <c r="AC1809" s="91"/>
      <c r="AD1809" s="91"/>
      <c r="AE1809" s="91"/>
      <c r="AF1809" s="91"/>
      <c r="AG1809" s="91"/>
      <c r="AH1809" s="91"/>
      <c r="AI1809" s="91"/>
      <c r="AJ1809" s="91"/>
      <c r="AK1809" s="91"/>
      <c r="AL1809" s="91"/>
      <c r="AM1809" s="91"/>
      <c r="AN1809" s="91"/>
      <c r="AO1809" s="91"/>
      <c r="AP1809" s="91"/>
      <c r="AQ1809" s="91"/>
      <c r="AR1809" s="91"/>
      <c r="AS1809" s="91"/>
      <c r="AT1809" s="91"/>
      <c r="AU1809" s="91"/>
      <c r="AV1809" s="91"/>
      <c r="AW1809" s="91"/>
      <c r="AX1809" s="91"/>
      <c r="AY1809" s="91"/>
      <c r="AZ1809" s="91"/>
      <c r="BA1809" s="91"/>
    </row>
    <row r="1810" spans="1:53" ht="15.75" hidden="1" customHeight="1" outlineLevel="1">
      <c r="A1810" s="435"/>
      <c r="B1810" s="99"/>
      <c r="C1810" s="99"/>
      <c r="D1810" s="99"/>
      <c r="E1810" s="99"/>
      <c r="F1810" s="99"/>
      <c r="G1810" s="99"/>
      <c r="H1810" s="99"/>
      <c r="I1810" s="99"/>
      <c r="J1810" s="99"/>
      <c r="K1810" s="99"/>
      <c r="L1810" s="99"/>
      <c r="M1810" s="99"/>
      <c r="N1810" s="99"/>
      <c r="O1810" s="99"/>
      <c r="P1810" s="99"/>
      <c r="Q1810" s="99"/>
      <c r="R1810" s="99"/>
      <c r="S1810" s="99"/>
      <c r="T1810" s="99"/>
      <c r="U1810" s="99"/>
      <c r="V1810" s="409">
        <f>IF($Y$1785&gt;0,'Assumptions (MSW)'!$V$13*Model!$Y$1785*'Assumptions (MSW)'!U$2/10^9,0)</f>
        <v>0</v>
      </c>
      <c r="W1810" s="409">
        <f>IF($Y$1785&gt;0,'Assumptions (MSW)'!$V$13*Model!$Y$1785*'Assumptions (MSW)'!V$2/10^9,0)</f>
        <v>0</v>
      </c>
      <c r="X1810" s="409">
        <f>IF($Y$1785&gt;0,'Assumptions (MSW)'!$V$13*Model!$Y$1785*'Assumptions (MSW)'!W$2/10^9,0)</f>
        <v>0</v>
      </c>
      <c r="Y1810" s="91"/>
      <c r="Z1810" s="91"/>
      <c r="AA1810" s="91"/>
      <c r="AB1810" s="91"/>
      <c r="AC1810" s="91"/>
      <c r="AD1810" s="91"/>
      <c r="AE1810" s="91"/>
      <c r="AF1810" s="91"/>
      <c r="AG1810" s="91"/>
      <c r="AH1810" s="91"/>
      <c r="AI1810" s="91"/>
      <c r="AJ1810" s="91"/>
      <c r="AK1810" s="91"/>
      <c r="AL1810" s="91"/>
      <c r="AM1810" s="91"/>
      <c r="AN1810" s="91"/>
      <c r="AO1810" s="91"/>
      <c r="AP1810" s="91"/>
      <c r="AQ1810" s="91"/>
      <c r="AR1810" s="91"/>
      <c r="AS1810" s="91"/>
      <c r="AT1810" s="91"/>
      <c r="AU1810" s="91"/>
      <c r="AV1810" s="91"/>
      <c r="AW1810" s="91"/>
      <c r="AX1810" s="91"/>
      <c r="AY1810" s="91"/>
      <c r="AZ1810" s="91"/>
      <c r="BA1810" s="91"/>
    </row>
    <row r="1811" spans="1:53" ht="15.75" hidden="1" customHeight="1" outlineLevel="1">
      <c r="A1811" s="435"/>
      <c r="B1811" s="99"/>
      <c r="C1811" s="99"/>
      <c r="D1811" s="99"/>
      <c r="E1811" s="99"/>
      <c r="F1811" s="99"/>
      <c r="G1811" s="99"/>
      <c r="H1811" s="99"/>
      <c r="I1811" s="99"/>
      <c r="J1811" s="99"/>
      <c r="K1811" s="99"/>
      <c r="L1811" s="99"/>
      <c r="M1811" s="99"/>
      <c r="N1811" s="99"/>
      <c r="O1811" s="99"/>
      <c r="P1811" s="99"/>
      <c r="Q1811" s="99"/>
      <c r="R1811" s="99"/>
      <c r="S1811" s="99"/>
      <c r="T1811" s="99"/>
      <c r="U1811" s="99"/>
      <c r="V1811" s="99"/>
      <c r="W1811" s="91">
        <f>IF($Z$1785&gt;0,'Assumptions (MSW)'!$V$13*Model!$Z$1785*'Assumptions (MSW)'!V$2/10^9,0)</f>
        <v>0</v>
      </c>
      <c r="X1811" s="91">
        <f>IF($Z$1785&gt;0,'Assumptions (MSW)'!$V$13*Model!$Z$1785*'Assumptions (MSW)'!W$2/10^9,0)</f>
        <v>0</v>
      </c>
      <c r="Y1811" s="91">
        <f>IF($Z$1785&gt;0,'Assumptions (MSW)'!$V$13*Model!$Z$1785*'Assumptions (MSW)'!X$2/10^9,0)</f>
        <v>0</v>
      </c>
      <c r="Z1811" s="91"/>
      <c r="AA1811" s="91"/>
      <c r="AB1811" s="91"/>
      <c r="AC1811" s="91"/>
      <c r="AD1811" s="91"/>
      <c r="AE1811" s="91"/>
      <c r="AF1811" s="91"/>
      <c r="AG1811" s="91"/>
      <c r="AH1811" s="91"/>
      <c r="AI1811" s="91"/>
      <c r="AJ1811" s="91"/>
      <c r="AK1811" s="91"/>
      <c r="AL1811" s="91"/>
      <c r="AM1811" s="91"/>
      <c r="AN1811" s="91"/>
      <c r="AO1811" s="91"/>
      <c r="AP1811" s="91"/>
      <c r="AQ1811" s="91"/>
      <c r="AR1811" s="91"/>
      <c r="AS1811" s="91"/>
      <c r="AT1811" s="91"/>
      <c r="AU1811" s="91"/>
      <c r="AV1811" s="91"/>
      <c r="AW1811" s="91"/>
      <c r="AX1811" s="91"/>
      <c r="AY1811" s="91"/>
      <c r="AZ1811" s="91"/>
      <c r="BA1811" s="91"/>
    </row>
    <row r="1812" spans="1:53" ht="15.75" hidden="1" customHeight="1" outlineLevel="1">
      <c r="A1812" s="435"/>
      <c r="B1812" s="99"/>
      <c r="C1812" s="99"/>
      <c r="D1812" s="99"/>
      <c r="E1812" s="99"/>
      <c r="F1812" s="99"/>
      <c r="G1812" s="99"/>
      <c r="H1812" s="99"/>
      <c r="I1812" s="99"/>
      <c r="J1812" s="99"/>
      <c r="K1812" s="99"/>
      <c r="L1812" s="99"/>
      <c r="M1812" s="99"/>
      <c r="N1812" s="99"/>
      <c r="O1812" s="99"/>
      <c r="P1812" s="99"/>
      <c r="Q1812" s="99"/>
      <c r="R1812" s="99"/>
      <c r="S1812" s="99"/>
      <c r="T1812" s="99"/>
      <c r="U1812" s="99"/>
      <c r="V1812" s="99"/>
      <c r="W1812" s="91"/>
      <c r="X1812" s="91">
        <f>IF($AA$1785&gt;0,'Assumptions (MSW)'!$V$13*Model!$AA$1785*'Assumptions (MSW)'!W$2/10^9,0)</f>
        <v>0</v>
      </c>
      <c r="Y1812" s="91">
        <f>IF($AA$1785&gt;0,'Assumptions (MSW)'!$V$13*Model!$AA$1785*'Assumptions (MSW)'!X$2/10^9,0)</f>
        <v>0</v>
      </c>
      <c r="Z1812" s="91">
        <f>IF($AA$1785&gt;0,'Assumptions (MSW)'!$V$13*Model!$AA$1785*'Assumptions (MSW)'!Y$2/10^9,0)</f>
        <v>0</v>
      </c>
      <c r="AA1812" s="91"/>
      <c r="AB1812" s="91"/>
      <c r="AC1812" s="91"/>
      <c r="AD1812" s="91"/>
      <c r="AE1812" s="91"/>
      <c r="AF1812" s="91"/>
      <c r="AG1812" s="91"/>
      <c r="AH1812" s="91"/>
      <c r="AI1812" s="91"/>
      <c r="AJ1812" s="91"/>
      <c r="AK1812" s="91"/>
      <c r="AL1812" s="91"/>
      <c r="AM1812" s="91"/>
      <c r="AN1812" s="91"/>
      <c r="AO1812" s="91"/>
      <c r="AP1812" s="91"/>
      <c r="AQ1812" s="91"/>
      <c r="AR1812" s="91"/>
      <c r="AS1812" s="91"/>
      <c r="AT1812" s="91"/>
      <c r="AU1812" s="91"/>
      <c r="AV1812" s="91"/>
      <c r="AW1812" s="91"/>
      <c r="AX1812" s="91"/>
      <c r="AY1812" s="91"/>
      <c r="AZ1812" s="91"/>
      <c r="BA1812" s="91"/>
    </row>
    <row r="1813" spans="1:53" ht="15.75" hidden="1" customHeight="1" outlineLevel="1">
      <c r="A1813" s="435"/>
      <c r="B1813" s="99"/>
      <c r="C1813" s="99"/>
      <c r="D1813" s="99"/>
      <c r="E1813" s="99"/>
      <c r="F1813" s="99"/>
      <c r="G1813" s="99"/>
      <c r="H1813" s="99"/>
      <c r="I1813" s="99"/>
      <c r="J1813" s="99"/>
      <c r="K1813" s="99"/>
      <c r="L1813" s="99"/>
      <c r="M1813" s="99"/>
      <c r="N1813" s="99"/>
      <c r="O1813" s="99"/>
      <c r="P1813" s="99"/>
      <c r="Q1813" s="99"/>
      <c r="R1813" s="99"/>
      <c r="S1813" s="99"/>
      <c r="T1813" s="99"/>
      <c r="U1813" s="99"/>
      <c r="V1813" s="99"/>
      <c r="W1813" s="86"/>
      <c r="Y1813" s="91">
        <f>IF($AB$1785&gt;0,'Assumptions (MSW)'!$V$13*Model!$AB$1785*'Assumptions (MSW)'!X$2/10^9,0)</f>
        <v>0</v>
      </c>
      <c r="Z1813" s="91">
        <f>IF($AB$1785&gt;0,'Assumptions (MSW)'!$V$13*Model!$AB$1785*'Assumptions (MSW)'!Y$2/10^9,0)</f>
        <v>0</v>
      </c>
      <c r="AA1813" s="91">
        <f>IF($AB$1785&gt;0,'Assumptions (MSW)'!$V$13*Model!$AB$1785*'Assumptions (MSW)'!Z$2/10^9,0)</f>
        <v>0</v>
      </c>
    </row>
    <row r="1814" spans="1:53" ht="15.75" hidden="1" customHeight="1" outlineLevel="1">
      <c r="A1814" s="435"/>
      <c r="B1814" s="99"/>
      <c r="C1814" s="99"/>
      <c r="D1814" s="99"/>
      <c r="E1814" s="99"/>
      <c r="F1814" s="99"/>
      <c r="G1814" s="99"/>
      <c r="H1814" s="99"/>
      <c r="I1814" s="99"/>
      <c r="J1814" s="99"/>
      <c r="K1814" s="99"/>
      <c r="L1814" s="99"/>
      <c r="M1814" s="99"/>
      <c r="N1814" s="99"/>
      <c r="O1814" s="99"/>
      <c r="P1814" s="99"/>
      <c r="Q1814" s="99"/>
      <c r="R1814" s="99"/>
      <c r="S1814" s="99"/>
      <c r="T1814" s="99"/>
      <c r="U1814" s="99"/>
      <c r="V1814" s="99"/>
      <c r="W1814" s="86"/>
      <c r="Z1814" s="91">
        <f>IF($AC$1785&gt;0,'Assumptions (MSW)'!$V$13*Model!$AC$1785*'Assumptions (MSW)'!Y$2/10^9,0)</f>
        <v>0</v>
      </c>
      <c r="AA1814" s="91">
        <f>IF($AC$1785&gt;0,'Assumptions (MSW)'!$V$13*Model!$AC$1785*'Assumptions (MSW)'!Z$2/10^9,0)</f>
        <v>0</v>
      </c>
      <c r="AB1814" s="91">
        <f>IF($AC$1785&gt;0,'Assumptions (MSW)'!$V$13*Model!$AC$1785*'Assumptions (MSW)'!AA$2/10^9,0)</f>
        <v>0</v>
      </c>
    </row>
    <row r="1815" spans="1:53" ht="15.75" hidden="1" customHeight="1" outlineLevel="1">
      <c r="A1815" s="435"/>
      <c r="B1815" s="99"/>
      <c r="C1815" s="99"/>
      <c r="D1815" s="99"/>
      <c r="E1815" s="99"/>
      <c r="F1815" s="99"/>
      <c r="G1815" s="99"/>
      <c r="H1815" s="99"/>
      <c r="I1815" s="99"/>
      <c r="J1815" s="99"/>
      <c r="K1815" s="99"/>
      <c r="L1815" s="99"/>
      <c r="M1815" s="99"/>
      <c r="N1815" s="99"/>
      <c r="O1815" s="99"/>
      <c r="P1815" s="99"/>
      <c r="Q1815" s="99"/>
      <c r="R1815" s="99"/>
      <c r="S1815" s="99"/>
      <c r="T1815" s="99"/>
      <c r="U1815" s="99"/>
      <c r="V1815" s="99"/>
      <c r="W1815" s="86"/>
      <c r="AA1815" s="91">
        <f>IF($AD$1785&gt;0,'Assumptions (MSW)'!$V$13*Model!$AD$1785*'Assumptions (MSW)'!Z$2/10^9,0)</f>
        <v>0</v>
      </c>
      <c r="AB1815" s="91">
        <f>IF($AD$1785&gt;0,'Assumptions (MSW)'!$V$13*Model!$AD$1785*'Assumptions (MSW)'!AA$2/10^9,0)</f>
        <v>0</v>
      </c>
      <c r="AC1815" s="91">
        <f>IF($AD$1785&gt;0,'Assumptions (MSW)'!$V$13*Model!$AD$1785*'Assumptions (MSW)'!AB$2/10^9,0)</f>
        <v>0</v>
      </c>
    </row>
    <row r="1816" spans="1:53" ht="15.75" hidden="1" customHeight="1" outlineLevel="1">
      <c r="A1816" s="435"/>
      <c r="B1816" s="99"/>
      <c r="C1816" s="99"/>
      <c r="D1816" s="99"/>
      <c r="E1816" s="99"/>
      <c r="F1816" s="99"/>
      <c r="G1816" s="99"/>
      <c r="H1816" s="99"/>
      <c r="I1816" s="99"/>
      <c r="J1816" s="99"/>
      <c r="K1816" s="99"/>
      <c r="L1816" s="99"/>
      <c r="M1816" s="99"/>
      <c r="N1816" s="99"/>
      <c r="O1816" s="99"/>
      <c r="P1816" s="99"/>
      <c r="Q1816" s="99"/>
      <c r="R1816" s="99"/>
      <c r="S1816" s="99"/>
      <c r="T1816" s="99"/>
      <c r="U1816" s="99"/>
      <c r="V1816" s="99"/>
      <c r="W1816" s="86"/>
      <c r="AB1816" s="91">
        <f>IF($AE$1785&gt;0,'Assumptions (MSW)'!$V$13*Model!$AE$1785*'Assumptions (MSW)'!AA$2/10^9,0)</f>
        <v>0</v>
      </c>
      <c r="AC1816" s="91">
        <f>IF($AE$1785&gt;0,'Assumptions (MSW)'!$V$13*Model!$AE$1785*'Assumptions (MSW)'!AB$2/10^9,0)</f>
        <v>0</v>
      </c>
      <c r="AD1816" s="91">
        <f>IF($AE$1785&gt;0,'Assumptions (MSW)'!$V$13*Model!$AE$1785*'Assumptions (MSW)'!AC$2/10^9,0)</f>
        <v>0</v>
      </c>
    </row>
    <row r="1817" spans="1:53" ht="15.75" hidden="1" customHeight="1" outlineLevel="1">
      <c r="A1817" s="435"/>
      <c r="B1817" s="99"/>
      <c r="C1817" s="99"/>
      <c r="D1817" s="99"/>
      <c r="E1817" s="99"/>
      <c r="F1817" s="99"/>
      <c r="G1817" s="99"/>
      <c r="H1817" s="99"/>
      <c r="I1817" s="99"/>
      <c r="J1817" s="99"/>
      <c r="K1817" s="99"/>
      <c r="L1817" s="99"/>
      <c r="M1817" s="99"/>
      <c r="N1817" s="99"/>
      <c r="O1817" s="99"/>
      <c r="P1817" s="99"/>
      <c r="Q1817" s="99"/>
      <c r="R1817" s="99"/>
      <c r="S1817" s="99"/>
      <c r="T1817" s="99"/>
      <c r="U1817" s="99"/>
      <c r="V1817" s="99"/>
      <c r="W1817" s="86"/>
      <c r="AC1817" s="91">
        <f>IF($AF$1785&gt;0,'Assumptions (MSW)'!$V$13*Model!$AF$1785*'Assumptions (MSW)'!AB$2/10^9,0)</f>
        <v>0</v>
      </c>
      <c r="AD1817" s="91">
        <f>IF($AF$1785&gt;0,'Assumptions (MSW)'!$V$13*Model!$AF$1785*'Assumptions (MSW)'!AC$2/10^9,0)</f>
        <v>0</v>
      </c>
      <c r="AE1817" s="91">
        <f>IF($AF$1785&gt;0,'Assumptions (MSW)'!$V$13*Model!$AF$1785*'Assumptions (MSW)'!AD$2/10^9,0)</f>
        <v>0</v>
      </c>
    </row>
    <row r="1818" spans="1:53" ht="15.75" hidden="1" customHeight="1" outlineLevel="1">
      <c r="A1818" s="435"/>
      <c r="B1818" s="99"/>
      <c r="C1818" s="99"/>
      <c r="D1818" s="99"/>
      <c r="E1818" s="99"/>
      <c r="F1818" s="99"/>
      <c r="G1818" s="99"/>
      <c r="H1818" s="99"/>
      <c r="I1818" s="99"/>
      <c r="J1818" s="99"/>
      <c r="K1818" s="99"/>
      <c r="L1818" s="99"/>
      <c r="M1818" s="99"/>
      <c r="N1818" s="99"/>
      <c r="O1818" s="99"/>
      <c r="P1818" s="99"/>
      <c r="Q1818" s="99"/>
      <c r="R1818" s="99"/>
      <c r="S1818" s="99"/>
      <c r="T1818" s="99"/>
      <c r="U1818" s="99"/>
      <c r="V1818" s="99"/>
      <c r="W1818" s="86"/>
      <c r="AD1818" s="91">
        <f>IF($AG$1785&gt;0,'Assumptions (MSW)'!$V$13*Model!$AG$1785*'Assumptions (MSW)'!AC$2/10^9,0)</f>
        <v>0</v>
      </c>
      <c r="AE1818" s="91">
        <f>IF($AG$1785&gt;0,'Assumptions (MSW)'!$V$13*Model!$AG$1785*'Assumptions (MSW)'!AD$2/10^9,0)</f>
        <v>0</v>
      </c>
      <c r="AF1818" s="91">
        <f>IF($AG$1785&gt;0,'Assumptions (MSW)'!$V$13*Model!$AG$1785*'Assumptions (MSW)'!AE$2/10^9,0)</f>
        <v>0</v>
      </c>
    </row>
    <row r="1819" spans="1:53" ht="15.75" hidden="1" customHeight="1" outlineLevel="1">
      <c r="A1819" s="435"/>
      <c r="B1819" s="99"/>
      <c r="C1819" s="99"/>
      <c r="D1819" s="99"/>
      <c r="E1819" s="99"/>
      <c r="F1819" s="99"/>
      <c r="G1819" s="99"/>
      <c r="H1819" s="99"/>
      <c r="I1819" s="99"/>
      <c r="J1819" s="99"/>
      <c r="K1819" s="99"/>
      <c r="L1819" s="99"/>
      <c r="M1819" s="99"/>
      <c r="N1819" s="99"/>
      <c r="O1819" s="99"/>
      <c r="P1819" s="99"/>
      <c r="Q1819" s="99"/>
      <c r="R1819" s="99"/>
      <c r="S1819" s="99"/>
      <c r="T1819" s="99"/>
      <c r="U1819" s="99"/>
      <c r="V1819" s="99"/>
      <c r="W1819" s="86"/>
      <c r="AE1819" s="91">
        <f>IF($AH$1785&gt;0,'Assumptions (MSW)'!$V$13*Model!$AH$1785*'Assumptions (MSW)'!AD$2/10^9,0)</f>
        <v>0</v>
      </c>
      <c r="AF1819" s="91">
        <f>IF($AH$1785&gt;0,'Assumptions (MSW)'!$V$13*Model!$AH$1785*'Assumptions (MSW)'!AE$2/10^9,0)</f>
        <v>0</v>
      </c>
      <c r="AG1819" s="91">
        <f>IF($AH$1785&gt;0,'Assumptions (MSW)'!$V$13*Model!$AH$1785*'Assumptions (MSW)'!AF$2/10^9,0)</f>
        <v>0</v>
      </c>
    </row>
    <row r="1820" spans="1:53" ht="15.75" hidden="1" customHeight="1" outlineLevel="1">
      <c r="A1820" s="435"/>
      <c r="B1820" s="99"/>
      <c r="C1820" s="99"/>
      <c r="D1820" s="99"/>
      <c r="E1820" s="99"/>
      <c r="F1820" s="99"/>
      <c r="G1820" s="99"/>
      <c r="H1820" s="99"/>
      <c r="I1820" s="99"/>
      <c r="J1820" s="99"/>
      <c r="K1820" s="99"/>
      <c r="L1820" s="99"/>
      <c r="M1820" s="99"/>
      <c r="N1820" s="99"/>
      <c r="O1820" s="99"/>
      <c r="P1820" s="99"/>
      <c r="Q1820" s="99"/>
      <c r="R1820" s="99"/>
      <c r="S1820" s="99"/>
      <c r="T1820" s="99"/>
      <c r="U1820" s="99"/>
      <c r="V1820" s="99"/>
      <c r="W1820" s="86"/>
      <c r="AF1820" s="91">
        <f>IF($AI$1785&gt;0,'Assumptions (MSW)'!$V$13*Model!$AI$1785*'Assumptions (MSW)'!AE$2/10^9,0)</f>
        <v>0</v>
      </c>
      <c r="AG1820" s="91">
        <f>IF($AI$1785&gt;0,'Assumptions (MSW)'!$V$13*Model!$AI$1785*'Assumptions (MSW)'!AF$2/10^9,0)</f>
        <v>0</v>
      </c>
      <c r="AH1820" s="91">
        <f>IF($AI$1785&gt;0,'Assumptions (MSW)'!$V$13*Model!$AI$1785*'Assumptions (MSW)'!AG$2/10^9,0)</f>
        <v>0</v>
      </c>
    </row>
    <row r="1821" spans="1:53" ht="15.75" hidden="1" customHeight="1" outlineLevel="1">
      <c r="A1821" s="435"/>
      <c r="B1821" s="99"/>
      <c r="C1821" s="99"/>
      <c r="D1821" s="99"/>
      <c r="E1821" s="99"/>
      <c r="F1821" s="99"/>
      <c r="G1821" s="99"/>
      <c r="H1821" s="99"/>
      <c r="I1821" s="99"/>
      <c r="J1821" s="99"/>
      <c r="K1821" s="99"/>
      <c r="L1821" s="99"/>
      <c r="M1821" s="99"/>
      <c r="N1821" s="99"/>
      <c r="O1821" s="99"/>
      <c r="P1821" s="99"/>
      <c r="Q1821" s="99"/>
      <c r="R1821" s="99"/>
      <c r="S1821" s="99"/>
      <c r="T1821" s="99"/>
      <c r="U1821" s="99"/>
      <c r="V1821" s="99"/>
      <c r="W1821" s="86"/>
      <c r="AG1821" s="91">
        <f>IF($AJ$1785&gt;0,'Assumptions (MSW)'!$V$13*Model!$AJ$1785*'Assumptions (MSW)'!AF$2/10^9,0)</f>
        <v>0</v>
      </c>
      <c r="AH1821" s="91">
        <f>IF($AJ$1785&gt;0,'Assumptions (MSW)'!$V$13*Model!$AJ$1785*'Assumptions (MSW)'!AG$2/10^9,0)</f>
        <v>0</v>
      </c>
      <c r="AI1821" s="91">
        <f>IF($AJ$1785&gt;0,'Assumptions (MSW)'!$V$13*Model!$AJ$1785*'Assumptions (MSW)'!AH$2/10^9,0)</f>
        <v>0</v>
      </c>
    </row>
    <row r="1822" spans="1:53" ht="15.75" hidden="1" customHeight="1" outlineLevel="1">
      <c r="A1822" s="435"/>
      <c r="B1822" s="99"/>
      <c r="C1822" s="99"/>
      <c r="D1822" s="99"/>
      <c r="E1822" s="99"/>
      <c r="F1822" s="99"/>
      <c r="G1822" s="99"/>
      <c r="H1822" s="99"/>
      <c r="I1822" s="99"/>
      <c r="J1822" s="99"/>
      <c r="K1822" s="99"/>
      <c r="L1822" s="99"/>
      <c r="M1822" s="99"/>
      <c r="N1822" s="99"/>
      <c r="O1822" s="99"/>
      <c r="P1822" s="99"/>
      <c r="Q1822" s="99"/>
      <c r="R1822" s="99"/>
      <c r="S1822" s="99"/>
      <c r="T1822" s="99"/>
      <c r="U1822" s="99"/>
      <c r="V1822" s="99"/>
      <c r="W1822" s="86"/>
      <c r="AH1822" s="91">
        <f>IF($AK$1785&gt;0,'Assumptions (MSW)'!$V$13*Model!$AK$1785*'Assumptions (MSW)'!AG$2/10^9,0)</f>
        <v>0</v>
      </c>
      <c r="AI1822" s="91">
        <f>IF($AK$1785&gt;0,'Assumptions (MSW)'!$V$13*Model!$AK$1785*'Assumptions (MSW)'!AH$2/10^9,0)</f>
        <v>0</v>
      </c>
      <c r="AJ1822" s="91">
        <f>IF($AK$1785&gt;0,'Assumptions (MSW)'!$V$13*Model!$AK$1785*'Assumptions (MSW)'!AI$2/10^9,0)</f>
        <v>0</v>
      </c>
    </row>
    <row r="1823" spans="1:53" ht="15.75" hidden="1" customHeight="1" outlineLevel="1">
      <c r="A1823" s="435"/>
      <c r="B1823" s="99"/>
      <c r="C1823" s="99"/>
      <c r="D1823" s="99"/>
      <c r="E1823" s="99"/>
      <c r="F1823" s="99"/>
      <c r="G1823" s="99"/>
      <c r="H1823" s="99"/>
      <c r="I1823" s="99"/>
      <c r="J1823" s="99"/>
      <c r="K1823" s="99"/>
      <c r="L1823" s="99"/>
      <c r="M1823" s="99"/>
      <c r="N1823" s="99"/>
      <c r="O1823" s="99"/>
      <c r="P1823" s="99"/>
      <c r="Q1823" s="99"/>
      <c r="R1823" s="99"/>
      <c r="S1823" s="99"/>
      <c r="T1823" s="99"/>
      <c r="U1823" s="99"/>
      <c r="V1823" s="99"/>
      <c r="W1823" s="86"/>
      <c r="AI1823" s="91">
        <f>IF($AL$1785&gt;0,'Assumptions (MSW)'!$V$13*Model!$AL$1785*'Assumptions (MSW)'!AH$2/10^9,0)</f>
        <v>0</v>
      </c>
      <c r="AJ1823" s="91">
        <f>IF($AL$1785&gt;0,'Assumptions (MSW)'!$V$13*Model!$AL$1785*'Assumptions (MSW)'!AI$2/10^9,0)</f>
        <v>0</v>
      </c>
      <c r="AK1823" s="91">
        <f>IF($AL$1785&gt;0,'Assumptions (MSW)'!$V$13*Model!$AL$1785*'Assumptions (MSW)'!AJ$2/10^9,0)</f>
        <v>0</v>
      </c>
    </row>
    <row r="1824" spans="1:53" ht="15.75" hidden="1" customHeight="1" outlineLevel="1">
      <c r="A1824" s="435"/>
      <c r="B1824" s="99"/>
      <c r="C1824" s="99"/>
      <c r="D1824" s="99"/>
      <c r="E1824" s="99"/>
      <c r="F1824" s="99"/>
      <c r="G1824" s="99"/>
      <c r="H1824" s="99"/>
      <c r="I1824" s="99"/>
      <c r="J1824" s="99"/>
      <c r="K1824" s="99"/>
      <c r="L1824" s="99"/>
      <c r="M1824" s="99"/>
      <c r="N1824" s="99"/>
      <c r="O1824" s="99"/>
      <c r="P1824" s="99"/>
      <c r="Q1824" s="99"/>
      <c r="R1824" s="99"/>
      <c r="S1824" s="99"/>
      <c r="T1824" s="99"/>
      <c r="U1824" s="99"/>
      <c r="V1824" s="99"/>
      <c r="W1824" s="86"/>
      <c r="AJ1824" s="91">
        <f>IF($AM$1785&gt;0,'Assumptions (MSW)'!$V$13*Model!$AM$1785*'Assumptions (MSW)'!AI$2/10^9,0)</f>
        <v>0</v>
      </c>
      <c r="AK1824" s="91">
        <f>IF($AM$1785&gt;0,'Assumptions (MSW)'!$V$13*Model!$AM$1785*'Assumptions (MSW)'!AJ$2/10^9,0)</f>
        <v>0</v>
      </c>
      <c r="AL1824" s="91">
        <f>IF($AM$1785&gt;0,'Assumptions (MSW)'!$V$13*Model!$AM$1785*'Assumptions (MSW)'!AK$2/10^9,0)</f>
        <v>0</v>
      </c>
    </row>
    <row r="1825" spans="1:53" ht="15.75" hidden="1" customHeight="1" outlineLevel="1">
      <c r="A1825" s="435"/>
      <c r="B1825" s="99"/>
      <c r="C1825" s="99"/>
      <c r="D1825" s="99"/>
      <c r="E1825" s="99"/>
      <c r="F1825" s="99"/>
      <c r="G1825" s="99"/>
      <c r="H1825" s="99"/>
      <c r="I1825" s="99"/>
      <c r="J1825" s="99"/>
      <c r="K1825" s="99"/>
      <c r="L1825" s="99"/>
      <c r="M1825" s="99"/>
      <c r="N1825" s="99"/>
      <c r="O1825" s="99"/>
      <c r="P1825" s="99"/>
      <c r="Q1825" s="99"/>
      <c r="R1825" s="99"/>
      <c r="S1825" s="99"/>
      <c r="T1825" s="99"/>
      <c r="U1825" s="99"/>
      <c r="V1825" s="99"/>
      <c r="W1825" s="86"/>
      <c r="AK1825" s="91">
        <f>IF($AN$1785&gt;0,'Assumptions (MSW)'!$V$13*Model!$AN$1785*'Assumptions (MSW)'!AJ$2/10^9,0)</f>
        <v>0</v>
      </c>
      <c r="AL1825" s="91">
        <f>IF($AN$1785&gt;0,'Assumptions (MSW)'!$V$13*Model!$AN$1785*'Assumptions (MSW)'!AK$2/10^9,0)</f>
        <v>0</v>
      </c>
      <c r="AM1825" s="91">
        <f>IF($AN$1785&gt;0,'Assumptions (MSW)'!$V$13*Model!$AN$1785*'Assumptions (MSW)'!AL$2/10^9,0)</f>
        <v>0</v>
      </c>
    </row>
    <row r="1826" spans="1:53" ht="15.75" hidden="1" customHeight="1" outlineLevel="1">
      <c r="A1826" s="435"/>
      <c r="B1826" s="99"/>
      <c r="C1826" s="99"/>
      <c r="D1826" s="99"/>
      <c r="E1826" s="99"/>
      <c r="F1826" s="99"/>
      <c r="G1826" s="99"/>
      <c r="H1826" s="99"/>
      <c r="I1826" s="99"/>
      <c r="J1826" s="99"/>
      <c r="K1826" s="99"/>
      <c r="L1826" s="99"/>
      <c r="M1826" s="99"/>
      <c r="N1826" s="99"/>
      <c r="O1826" s="99"/>
      <c r="P1826" s="99"/>
      <c r="Q1826" s="99"/>
      <c r="R1826" s="99"/>
      <c r="S1826" s="99"/>
      <c r="T1826" s="99"/>
      <c r="U1826" s="99"/>
      <c r="V1826" s="99"/>
      <c r="W1826" s="86"/>
      <c r="AL1826" s="91">
        <f>IF($AO$1785&gt;0,'Assumptions (MSW)'!$V$13*Model!$AO$1785*'Assumptions (MSW)'!AK$2/10^9,0)</f>
        <v>0</v>
      </c>
      <c r="AM1826" s="91">
        <f>IF($AO$1785&gt;0,'Assumptions (MSW)'!$V$13*Model!$AO$1785*'Assumptions (MSW)'!AL$2/10^9,0)</f>
        <v>0</v>
      </c>
      <c r="AN1826" s="91">
        <f>IF($AO$1785&gt;0,'Assumptions (MSW)'!$V$13*Model!$AO$1785*'Assumptions (MSW)'!AM$2/10^9,0)</f>
        <v>0</v>
      </c>
    </row>
    <row r="1827" spans="1:53" ht="15.75" hidden="1" customHeight="1" outlineLevel="1">
      <c r="A1827" s="435"/>
      <c r="B1827" s="99"/>
      <c r="C1827" s="99"/>
      <c r="D1827" s="99"/>
      <c r="E1827" s="99"/>
      <c r="F1827" s="99"/>
      <c r="G1827" s="99"/>
      <c r="H1827" s="99"/>
      <c r="I1827" s="99"/>
      <c r="J1827" s="99"/>
      <c r="K1827" s="99"/>
      <c r="L1827" s="99"/>
      <c r="M1827" s="99"/>
      <c r="N1827" s="99"/>
      <c r="O1827" s="99"/>
      <c r="P1827" s="99"/>
      <c r="Q1827" s="99"/>
      <c r="R1827" s="99"/>
      <c r="S1827" s="99"/>
      <c r="T1827" s="99"/>
      <c r="U1827" s="99"/>
      <c r="V1827" s="99"/>
      <c r="W1827" s="86"/>
      <c r="AM1827" s="91">
        <f>IF($AP$1785&gt;0,'Assumptions (MSW)'!$V$13*Model!$AP$1785*'Assumptions (MSW)'!AL$2/10^9,0)</f>
        <v>0</v>
      </c>
      <c r="AN1827" s="91">
        <f>IF($AP$1785&gt;0,'Assumptions (MSW)'!$V$13*Model!$AP$1785*'Assumptions (MSW)'!AM$2/10^9,0)</f>
        <v>0</v>
      </c>
      <c r="AO1827" s="91">
        <f>IF($AP$1785&gt;0,'Assumptions (MSW)'!$V$13*Model!$AP$1785*'Assumptions (MSW)'!AN$2/10^9,0)</f>
        <v>0</v>
      </c>
    </row>
    <row r="1828" spans="1:53" ht="15.75" hidden="1" customHeight="1" outlineLevel="1">
      <c r="A1828" s="435"/>
      <c r="B1828" s="99"/>
      <c r="C1828" s="99"/>
      <c r="D1828" s="99"/>
      <c r="E1828" s="99"/>
      <c r="F1828" s="99"/>
      <c r="G1828" s="99"/>
      <c r="H1828" s="99"/>
      <c r="I1828" s="99"/>
      <c r="J1828" s="99"/>
      <c r="K1828" s="99"/>
      <c r="L1828" s="99"/>
      <c r="M1828" s="99"/>
      <c r="N1828" s="99"/>
      <c r="O1828" s="99"/>
      <c r="P1828" s="99"/>
      <c r="Q1828" s="99"/>
      <c r="R1828" s="99"/>
      <c r="S1828" s="99"/>
      <c r="T1828" s="99"/>
      <c r="U1828" s="99"/>
      <c r="V1828" s="99"/>
      <c r="W1828" s="86"/>
      <c r="AN1828" s="91">
        <f>IF($AQ$1785&gt;0,'Assumptions (MSW)'!$V$13*Model!$AQ$1785*'Assumptions (MSW)'!AM$2/10^9,0)</f>
        <v>0</v>
      </c>
      <c r="AO1828" s="91">
        <f>IF($AQ$1785&gt;0,'Assumptions (MSW)'!$V$13*Model!$AQ$1785*'Assumptions (MSW)'!AN$2/10^9,0)</f>
        <v>0</v>
      </c>
      <c r="AP1828" s="91">
        <f>IF($AQ$1785&gt;0,'Assumptions (MSW)'!$V$13*Model!$AQ$1785*'Assumptions (MSW)'!AO$2/10^9,0)</f>
        <v>0</v>
      </c>
    </row>
    <row r="1829" spans="1:53" ht="15.75" hidden="1" customHeight="1" outlineLevel="1">
      <c r="A1829" s="435"/>
      <c r="B1829" s="99"/>
      <c r="C1829" s="99"/>
      <c r="D1829" s="99"/>
      <c r="E1829" s="99"/>
      <c r="F1829" s="99"/>
      <c r="G1829" s="99"/>
      <c r="H1829" s="99"/>
      <c r="I1829" s="99"/>
      <c r="J1829" s="99"/>
      <c r="K1829" s="99"/>
      <c r="L1829" s="99"/>
      <c r="M1829" s="99"/>
      <c r="N1829" s="99"/>
      <c r="O1829" s="99"/>
      <c r="P1829" s="99"/>
      <c r="Q1829" s="99"/>
      <c r="R1829" s="99"/>
      <c r="S1829" s="99"/>
      <c r="T1829" s="99"/>
      <c r="U1829" s="99"/>
      <c r="V1829" s="99"/>
      <c r="W1829" s="86"/>
      <c r="AO1829" s="91">
        <f>IF($AR$1785&gt;0,'Assumptions (MSW)'!$V$13*Model!$AR$1785*'Assumptions (MSW)'!AN$2/10^9,0)</f>
        <v>0</v>
      </c>
      <c r="AP1829" s="91">
        <f>IF($AR$1785&gt;0,'Assumptions (MSW)'!$V$13*Model!$AR$1785*'Assumptions (MSW)'!AO$2/10^9,0)</f>
        <v>0</v>
      </c>
      <c r="AQ1829" s="91">
        <f>IF($AR$1785&gt;0,'Assumptions (MSW)'!$V$13*Model!$AR$1785*'Assumptions (MSW)'!AP$2/10^9,0)</f>
        <v>0</v>
      </c>
    </row>
    <row r="1830" spans="1:53" ht="15.75" hidden="1" customHeight="1" outlineLevel="1">
      <c r="A1830" s="435"/>
      <c r="B1830" s="99"/>
      <c r="C1830" s="99"/>
      <c r="D1830" s="99"/>
      <c r="E1830" s="99"/>
      <c r="F1830" s="99"/>
      <c r="G1830" s="99"/>
      <c r="H1830" s="99"/>
      <c r="I1830" s="99"/>
      <c r="J1830" s="99"/>
      <c r="K1830" s="99"/>
      <c r="L1830" s="99"/>
      <c r="M1830" s="99"/>
      <c r="N1830" s="99"/>
      <c r="O1830" s="99"/>
      <c r="P1830" s="99"/>
      <c r="Q1830" s="99"/>
      <c r="R1830" s="99"/>
      <c r="S1830" s="99"/>
      <c r="T1830" s="99"/>
      <c r="U1830" s="99"/>
      <c r="V1830" s="99"/>
      <c r="W1830" s="86"/>
      <c r="AP1830" s="91">
        <f>IF($AS$1785&gt;0,'Assumptions (MSW)'!$V$13*Model!$AS$1785*'Assumptions (MSW)'!AO$2/10^9,0)</f>
        <v>0</v>
      </c>
      <c r="AQ1830" s="91">
        <f>IF($AS$1785&gt;0,'Assumptions (MSW)'!$V$13*Model!$AS$1785*'Assumptions (MSW)'!AP$2/10^9,0)</f>
        <v>0</v>
      </c>
      <c r="AR1830" s="91">
        <f>IF($AS$1785&gt;0,'Assumptions (MSW)'!$V$13*Model!$AS$1785*'Assumptions (MSW)'!AQ$2/10^9,0)</f>
        <v>0</v>
      </c>
    </row>
    <row r="1831" spans="1:53" ht="15.75" hidden="1" customHeight="1" outlineLevel="1">
      <c r="A1831" s="435"/>
      <c r="B1831" s="99"/>
      <c r="C1831" s="99"/>
      <c r="D1831" s="99"/>
      <c r="E1831" s="99"/>
      <c r="F1831" s="99"/>
      <c r="G1831" s="99"/>
      <c r="H1831" s="99"/>
      <c r="I1831" s="99"/>
      <c r="J1831" s="99"/>
      <c r="K1831" s="99"/>
      <c r="L1831" s="99"/>
      <c r="M1831" s="99"/>
      <c r="N1831" s="99"/>
      <c r="O1831" s="99"/>
      <c r="P1831" s="99"/>
      <c r="Q1831" s="99"/>
      <c r="R1831" s="99"/>
      <c r="S1831" s="99"/>
      <c r="T1831" s="99"/>
      <c r="U1831" s="99"/>
      <c r="V1831" s="99"/>
      <c r="W1831" s="86"/>
      <c r="AQ1831" s="91">
        <f>IF($AT$1785&gt;0,'Assumptions (MSW)'!$V$13*Model!$AT$1785*'Assumptions (MSW)'!AP$2/10^9,0)</f>
        <v>0</v>
      </c>
      <c r="AR1831" s="91">
        <f>IF($AT$1785&gt;0,'Assumptions (MSW)'!$V$13*Model!$AT$1785*'Assumptions (MSW)'!AQ$2/10^9,0)</f>
        <v>0</v>
      </c>
      <c r="AS1831" s="91">
        <f>IF($AT$1785&gt;0,'Assumptions (MSW)'!$V$13*Model!$AT$1785*'Assumptions (MSW)'!AR$2/10^9,0)</f>
        <v>0</v>
      </c>
    </row>
    <row r="1832" spans="1:53" ht="15.75" hidden="1" customHeight="1" outlineLevel="1">
      <c r="A1832" s="435"/>
      <c r="B1832" s="99"/>
      <c r="C1832" s="99"/>
      <c r="D1832" s="99"/>
      <c r="E1832" s="99"/>
      <c r="F1832" s="99"/>
      <c r="G1832" s="99"/>
      <c r="H1832" s="99"/>
      <c r="I1832" s="99"/>
      <c r="J1832" s="99"/>
      <c r="K1832" s="99"/>
      <c r="L1832" s="99"/>
      <c r="M1832" s="99"/>
      <c r="N1832" s="99"/>
      <c r="O1832" s="99"/>
      <c r="P1832" s="99"/>
      <c r="Q1832" s="99"/>
      <c r="R1832" s="99"/>
      <c r="S1832" s="99"/>
      <c r="T1832" s="99"/>
      <c r="U1832" s="99"/>
      <c r="V1832" s="99"/>
      <c r="W1832" s="86"/>
      <c r="AR1832" s="91">
        <f>IF($AU$1785&gt;0,'Assumptions (MSW)'!$V$13*Model!$AU$1785*'Assumptions (MSW)'!AQ$2/10^9,0)</f>
        <v>0</v>
      </c>
      <c r="AS1832" s="91">
        <f>IF($AU$1785&gt;0,'Assumptions (MSW)'!$V$13*Model!$AU$1785*'Assumptions (MSW)'!AR$2/10^9,0)</f>
        <v>0</v>
      </c>
      <c r="AT1832" s="91">
        <f>IF($AU$1785&gt;0,'Assumptions (MSW)'!$V$13*Model!$AU$1785*'Assumptions (MSW)'!AS$2/10^9,0)</f>
        <v>0</v>
      </c>
    </row>
    <row r="1833" spans="1:53" ht="15.75" hidden="1" customHeight="1" outlineLevel="1">
      <c r="A1833" s="435"/>
      <c r="B1833" s="99"/>
      <c r="C1833" s="99"/>
      <c r="D1833" s="99"/>
      <c r="E1833" s="99"/>
      <c r="F1833" s="99"/>
      <c r="G1833" s="99"/>
      <c r="H1833" s="99"/>
      <c r="I1833" s="99"/>
      <c r="J1833" s="99"/>
      <c r="K1833" s="99"/>
      <c r="L1833" s="99"/>
      <c r="M1833" s="99"/>
      <c r="N1833" s="99"/>
      <c r="O1833" s="99"/>
      <c r="P1833" s="99"/>
      <c r="Q1833" s="99"/>
      <c r="R1833" s="99"/>
      <c r="S1833" s="99"/>
      <c r="T1833" s="99"/>
      <c r="U1833" s="99"/>
      <c r="V1833" s="99"/>
      <c r="W1833" s="86"/>
      <c r="AS1833" s="91">
        <f>IF($AV$1785&gt;0,'Assumptions (MSW)'!$V$13*Model!$AV$1785*'Assumptions (MSW)'!AR$2/10^9,0)</f>
        <v>0</v>
      </c>
      <c r="AT1833" s="91">
        <f>IF($AV$1785&gt;0,'Assumptions (MSW)'!$V$13*Model!$AV$1785*'Assumptions (MSW)'!AS$2/10^9,0)</f>
        <v>0</v>
      </c>
      <c r="AU1833" s="91">
        <f>IF($AV$1785&gt;0,'Assumptions (MSW)'!$V$13*Model!$AV$1785*'Assumptions (MSW)'!AT$2/10^9,0)</f>
        <v>0</v>
      </c>
    </row>
    <row r="1834" spans="1:53" ht="15.75" hidden="1" customHeight="1" outlineLevel="1">
      <c r="A1834" s="435"/>
      <c r="B1834" s="99"/>
      <c r="C1834" s="99"/>
      <c r="D1834" s="99"/>
      <c r="E1834" s="99"/>
      <c r="F1834" s="99"/>
      <c r="G1834" s="99"/>
      <c r="H1834" s="99"/>
      <c r="I1834" s="99"/>
      <c r="J1834" s="99"/>
      <c r="K1834" s="99"/>
      <c r="L1834" s="99"/>
      <c r="M1834" s="99"/>
      <c r="N1834" s="99"/>
      <c r="O1834" s="99"/>
      <c r="P1834" s="99"/>
      <c r="Q1834" s="99"/>
      <c r="R1834" s="99"/>
      <c r="S1834" s="99"/>
      <c r="T1834" s="99"/>
      <c r="U1834" s="99"/>
      <c r="V1834" s="99"/>
      <c r="W1834" s="86"/>
      <c r="AT1834" s="91">
        <f>IF($AW$1785&gt;0,'Assumptions (MSW)'!$V$13*Model!$AW$1785*'Assumptions (MSW)'!AS$2/10^9,0)</f>
        <v>0</v>
      </c>
      <c r="AU1834" s="91">
        <f>IF($AW$1785&gt;0,'Assumptions (MSW)'!$V$13*Model!$AW$1785*'Assumptions (MSW)'!AT$2/10^9,0)</f>
        <v>0</v>
      </c>
      <c r="AV1834" s="91">
        <f>IF($AW$1785&gt;0,'Assumptions (MSW)'!$V$13*Model!$AW$1785*'Assumptions (MSW)'!AU$2/10^9,0)</f>
        <v>0</v>
      </c>
    </row>
    <row r="1835" spans="1:53" ht="15.75" hidden="1" customHeight="1" outlineLevel="1">
      <c r="A1835" s="435"/>
      <c r="B1835" s="99"/>
      <c r="C1835" s="99"/>
      <c r="D1835" s="99"/>
      <c r="E1835" s="99"/>
      <c r="F1835" s="99"/>
      <c r="G1835" s="99"/>
      <c r="H1835" s="99"/>
      <c r="I1835" s="99"/>
      <c r="J1835" s="99"/>
      <c r="K1835" s="99"/>
      <c r="L1835" s="99"/>
      <c r="M1835" s="99"/>
      <c r="N1835" s="99"/>
      <c r="O1835" s="99"/>
      <c r="P1835" s="99"/>
      <c r="Q1835" s="99"/>
      <c r="R1835" s="99"/>
      <c r="S1835" s="99"/>
      <c r="T1835" s="99"/>
      <c r="U1835" s="99"/>
      <c r="V1835" s="99"/>
      <c r="W1835" s="86"/>
      <c r="AU1835" s="91">
        <f>IF($AX$1785&gt;0,'Assumptions (MSW)'!$V$13*Model!$AX$1785*'Assumptions (MSW)'!AT$2/10^9,0)</f>
        <v>0</v>
      </c>
      <c r="AV1835" s="91">
        <f>IF($AX$1785&gt;0,'Assumptions (MSW)'!$V$13*Model!$AX$1785*'Assumptions (MSW)'!AU$2/10^9,0)</f>
        <v>0</v>
      </c>
      <c r="AW1835" s="91">
        <f>IF($AX$1785&gt;0,'Assumptions (MSW)'!$V$13*Model!$AX$1785*'Assumptions (MSW)'!AV$2/10^9,0)</f>
        <v>0</v>
      </c>
    </row>
    <row r="1836" spans="1:53" ht="15.75" hidden="1" customHeight="1" outlineLevel="1">
      <c r="A1836" s="435"/>
      <c r="B1836" s="99"/>
      <c r="C1836" s="99"/>
      <c r="D1836" s="99"/>
      <c r="E1836" s="99"/>
      <c r="F1836" s="99"/>
      <c r="G1836" s="99"/>
      <c r="H1836" s="99"/>
      <c r="I1836" s="99"/>
      <c r="J1836" s="99"/>
      <c r="K1836" s="99"/>
      <c r="L1836" s="99"/>
      <c r="M1836" s="99"/>
      <c r="N1836" s="99"/>
      <c r="O1836" s="99"/>
      <c r="P1836" s="99"/>
      <c r="Q1836" s="99"/>
      <c r="R1836" s="99"/>
      <c r="S1836" s="99"/>
      <c r="T1836" s="99"/>
      <c r="U1836" s="99"/>
      <c r="V1836" s="99"/>
      <c r="W1836" s="86"/>
      <c r="AV1836" s="91">
        <f>IF($AY$1785&gt;0,'Assumptions (MSW)'!$V$13*Model!$AY$1785*'Assumptions (MSW)'!AU$2/10^9,0)</f>
        <v>0</v>
      </c>
      <c r="AW1836" s="91">
        <f>IF($AY$1785&gt;0,'Assumptions (MSW)'!$V$13*Model!$AY$1785*'Assumptions (MSW)'!AV$2/10^9,0)</f>
        <v>0</v>
      </c>
      <c r="AX1836" s="91">
        <f>IF($AY$1785&gt;0,'Assumptions (MSW)'!$V$13*Model!$AY$1785*'Assumptions (MSW)'!AW$2/10^9,0)</f>
        <v>0</v>
      </c>
    </row>
    <row r="1837" spans="1:53" ht="15.75" hidden="1" customHeight="1" outlineLevel="1">
      <c r="A1837" s="435"/>
      <c r="B1837" s="99"/>
      <c r="C1837" s="99"/>
      <c r="D1837" s="99"/>
      <c r="E1837" s="99"/>
      <c r="F1837" s="99"/>
      <c r="G1837" s="99"/>
      <c r="H1837" s="99"/>
      <c r="I1837" s="99"/>
      <c r="J1837" s="99"/>
      <c r="K1837" s="99"/>
      <c r="L1837" s="99"/>
      <c r="M1837" s="99"/>
      <c r="N1837" s="99"/>
      <c r="O1837" s="99"/>
      <c r="P1837" s="99"/>
      <c r="Q1837" s="99"/>
      <c r="R1837" s="99"/>
      <c r="S1837" s="99"/>
      <c r="T1837" s="99"/>
      <c r="U1837" s="99"/>
      <c r="V1837" s="99"/>
      <c r="W1837" s="86"/>
      <c r="AW1837" s="91">
        <f>IF($AZ$1785&gt;0,'Assumptions (MSW)'!$V$13*Model!$AZ$1785*'Assumptions (MSW)'!AV$2/10^9,0)</f>
        <v>0</v>
      </c>
      <c r="AX1837" s="91">
        <f>IF($AZ$1785&gt;0,'Assumptions (MSW)'!$V$13*Model!$AZ$1785*'Assumptions (MSW)'!AW$2/10^9,0)</f>
        <v>0</v>
      </c>
      <c r="AY1837" s="91">
        <f>IF($AZ$1785&gt;0,'Assumptions (MSW)'!$V$13*Model!$AZ$1785*'Assumptions (MSW)'!AX$2/10^9,0)</f>
        <v>0</v>
      </c>
    </row>
    <row r="1838" spans="1:53" ht="15.75" hidden="1" customHeight="1" outlineLevel="1">
      <c r="A1838" s="435"/>
      <c r="B1838" s="99"/>
      <c r="C1838" s="99"/>
      <c r="D1838" s="99"/>
      <c r="E1838" s="99"/>
      <c r="F1838" s="99"/>
      <c r="G1838" s="99"/>
      <c r="H1838" s="99"/>
      <c r="I1838" s="99"/>
      <c r="J1838" s="99"/>
      <c r="K1838" s="99"/>
      <c r="L1838" s="99"/>
      <c r="M1838" s="99"/>
      <c r="N1838" s="99"/>
      <c r="O1838" s="99"/>
      <c r="P1838" s="99"/>
      <c r="Q1838" s="99"/>
      <c r="R1838" s="99"/>
      <c r="S1838" s="99"/>
      <c r="T1838" s="99"/>
      <c r="U1838" s="99"/>
      <c r="V1838" s="99"/>
      <c r="W1838" s="86"/>
      <c r="AX1838" s="91">
        <f>IF($BA$1785&gt;0,'Assumptions (MSW)'!$V$13*Model!$BA$1785*'Assumptions (MSW)'!AW$2/10^9,0)</f>
        <v>0</v>
      </c>
      <c r="AY1838" s="91">
        <f>IF($BA$1785&gt;0,'Assumptions (MSW)'!$V$13*Model!$BA$1785*'Assumptions (MSW)'!AX$2/10^9,0)</f>
        <v>0</v>
      </c>
      <c r="AZ1838" s="91">
        <f>IF($BA$1785&gt;0,'Assumptions (MSW)'!$V$13*Model!$BA$1785*'Assumptions (MSW)'!AY$2/10^9,0)</f>
        <v>0</v>
      </c>
    </row>
    <row r="1839" spans="1:53" ht="15.75" customHeight="1" collapsed="1">
      <c r="A1839" s="437" t="s">
        <v>52</v>
      </c>
      <c r="B1839" s="99" t="s">
        <v>201</v>
      </c>
      <c r="C1839" s="417">
        <f>'Assumptions (MSW)'!$V$4*Model!C1787</f>
        <v>0.5628964809008512</v>
      </c>
      <c r="D1839" s="417">
        <f>'Assumptions (MSW)'!$V$4*Model!D1787</f>
        <v>0.17750300442253472</v>
      </c>
      <c r="E1839" s="417">
        <f>'Assumptions (MSW)'!$V$4*Model!E1787</f>
        <v>0.20516898993942634</v>
      </c>
      <c r="F1839" s="417">
        <f>'Assumptions (MSW)'!$V$4*Model!F1787</f>
        <v>0.26096614126066181</v>
      </c>
      <c r="G1839" s="417">
        <f>'Assumptions (MSW)'!$V$4*Model!G1787</f>
        <v>0.37979189182013368</v>
      </c>
      <c r="H1839" s="417">
        <f>'Assumptions (MSW)'!$V$4*Model!H1787</f>
        <v>0.50079802073304747</v>
      </c>
      <c r="I1839" s="417">
        <f>'Assumptions (MSW)'!$V$4*Model!I1787</f>
        <v>0.52181205129952679</v>
      </c>
      <c r="J1839" s="417">
        <f>'Assumptions (MSW)'!$V$4*Model!J1787</f>
        <v>0.54900776115445693</v>
      </c>
      <c r="K1839" s="417">
        <f>'Assumptions (MSW)'!$V$4*Model!K1787</f>
        <v>0.57653113399578981</v>
      </c>
      <c r="L1839" s="417">
        <f>'Assumptions (MSW)'!$V$4*Model!L1787</f>
        <v>0.64669919152356992</v>
      </c>
      <c r="M1839" s="417">
        <f>'Assumptions (MSW)'!$V$4*Model!M1787</f>
        <v>0.65576057354178674</v>
      </c>
      <c r="N1839" s="417">
        <f>'Assumptions (MSW)'!$V$4*Model!N1787</f>
        <v>0.58811912855440562</v>
      </c>
      <c r="O1839" s="417">
        <f>'Assumptions (MSW)'!$V$4*Model!O1787</f>
        <v>0.49109702813781098</v>
      </c>
      <c r="P1839" s="417">
        <f>'Assumptions (MSW)'!$V$4*Model!P1787</f>
        <v>0.41309452478071684</v>
      </c>
      <c r="Q1839" s="417">
        <f>'Assumptions (MSW)'!$V$4*Model!Q1787</f>
        <v>0.33317275872623681</v>
      </c>
      <c r="R1839" s="417">
        <f>'Assumptions (MSW)'!$V$4*Model!R1787</f>
        <v>0.18274510290842447</v>
      </c>
      <c r="S1839" s="417">
        <f>'Assumptions (MSW)'!$V$4*Model!S1787</f>
        <v>6.0894975626001331E-2</v>
      </c>
      <c r="T1839" s="417">
        <f>'Assumptions (MSW)'!$V$4*Model!T1787</f>
        <v>1.0214849492276723E-2</v>
      </c>
      <c r="U1839" s="417">
        <f>'Assumptions (MSW)'!$V$4*Model!U1787</f>
        <v>7.7303344867358679E-3</v>
      </c>
      <c r="V1839" s="417">
        <f>'Assumptions (MSW)'!$V$4*Model!V1787</f>
        <v>0</v>
      </c>
      <c r="W1839" s="417">
        <f>'Assumptions (MSW)'!$V$4*Model!W1787</f>
        <v>0</v>
      </c>
      <c r="X1839" s="417">
        <f>'Assumptions (MSW)'!$V$4*Model!X1787</f>
        <v>0</v>
      </c>
      <c r="Y1839" s="417">
        <f>'Assumptions (MSW)'!$V$4*Model!Y1787</f>
        <v>0</v>
      </c>
      <c r="Z1839" s="417">
        <f>'Assumptions (MSW)'!$V$4*Model!Z1787</f>
        <v>0</v>
      </c>
      <c r="AA1839" s="417">
        <f>'Assumptions (MSW)'!$V$4*Model!AA1787</f>
        <v>0</v>
      </c>
      <c r="AB1839" s="417">
        <f>'Assumptions (MSW)'!$V$4*Model!AB1787</f>
        <v>0</v>
      </c>
      <c r="AC1839" s="417">
        <f>'Assumptions (MSW)'!$V$4*Model!AC1787</f>
        <v>0</v>
      </c>
      <c r="AD1839" s="417">
        <f>'Assumptions (MSW)'!$V$4*Model!AD1787</f>
        <v>0</v>
      </c>
      <c r="AE1839" s="417">
        <f>'Assumptions (MSW)'!$V$4*Model!AE1787</f>
        <v>0</v>
      </c>
      <c r="AF1839" s="417">
        <f>'Assumptions (MSW)'!$V$4*Model!AF1787</f>
        <v>0</v>
      </c>
      <c r="AG1839" s="417">
        <f>'Assumptions (MSW)'!$V$4*Model!AG1787</f>
        <v>0</v>
      </c>
      <c r="AH1839" s="417">
        <f>'Assumptions (MSW)'!$V$4*Model!AH1787</f>
        <v>0</v>
      </c>
      <c r="AI1839" s="417">
        <f>'Assumptions (MSW)'!$V$4*Model!AI1787</f>
        <v>0</v>
      </c>
      <c r="AJ1839" s="417">
        <f>'Assumptions (MSW)'!$V$4*Model!AJ1787</f>
        <v>0</v>
      </c>
      <c r="AK1839" s="417">
        <f>'Assumptions (MSW)'!$V$4*Model!AK1787</f>
        <v>0</v>
      </c>
      <c r="AL1839" s="417">
        <f>'Assumptions (MSW)'!$V$4*Model!AL1787</f>
        <v>0</v>
      </c>
      <c r="AM1839" s="417">
        <f>'Assumptions (MSW)'!$V$4*Model!AM1787</f>
        <v>0</v>
      </c>
      <c r="AN1839" s="417">
        <f>'Assumptions (MSW)'!$V$4*Model!AN1787</f>
        <v>0</v>
      </c>
      <c r="AO1839" s="417">
        <f>'Assumptions (MSW)'!$V$4*Model!AO1787</f>
        <v>0</v>
      </c>
      <c r="AP1839" s="417">
        <f>'Assumptions (MSW)'!$V$4*Model!AP1787</f>
        <v>0</v>
      </c>
      <c r="AQ1839" s="417">
        <f>'Assumptions (MSW)'!$V$4*Model!AQ1787</f>
        <v>0</v>
      </c>
      <c r="AR1839" s="417">
        <f>'Assumptions (MSW)'!$V$4*Model!AR1787</f>
        <v>0</v>
      </c>
      <c r="AS1839" s="417">
        <f>'Assumptions (MSW)'!$V$4*Model!AS1787</f>
        <v>0</v>
      </c>
      <c r="AT1839" s="417">
        <f>'Assumptions (MSW)'!$V$4*Model!AT1787</f>
        <v>0</v>
      </c>
      <c r="AU1839" s="417">
        <f>'Assumptions (MSW)'!$V$4*Model!AU1787</f>
        <v>0</v>
      </c>
      <c r="AV1839" s="417">
        <f>'Assumptions (MSW)'!$V$4*Model!AV1787</f>
        <v>0</v>
      </c>
      <c r="AW1839" s="417">
        <f>'Assumptions (MSW)'!$V$4*Model!AW1787</f>
        <v>0</v>
      </c>
      <c r="AX1839" s="417">
        <f>'Assumptions (MSW)'!$V$4*Model!AX1787</f>
        <v>0</v>
      </c>
      <c r="AY1839" s="417">
        <f>'Assumptions (MSW)'!$V$4*Model!AY1787</f>
        <v>0</v>
      </c>
      <c r="AZ1839" s="417">
        <f>'Assumptions (MSW)'!$V$4*Model!AZ1787</f>
        <v>0</v>
      </c>
      <c r="BA1839" s="417">
        <f>'Assumptions (MSW)'!$V$4*Model!BA1787</f>
        <v>0</v>
      </c>
    </row>
    <row r="1840" spans="1:53" ht="15.75" customHeight="1">
      <c r="A1840" s="437" t="s">
        <v>54</v>
      </c>
      <c r="B1840" s="99" t="s">
        <v>201</v>
      </c>
      <c r="C1840" s="150">
        <f>'Assumptions (MSW)'!$V$5*Model!C1787</f>
        <v>0.37526432060056752</v>
      </c>
      <c r="D1840" s="150">
        <f>'Assumptions (MSW)'!$V$5*Model!D1787</f>
        <v>0.11833533628168982</v>
      </c>
      <c r="E1840" s="150">
        <f>'Assumptions (MSW)'!$V$5*Model!E1787</f>
        <v>0.13677932662628423</v>
      </c>
      <c r="F1840" s="150">
        <f>'Assumptions (MSW)'!$V$5*Model!F1787</f>
        <v>0.17397742750710787</v>
      </c>
      <c r="G1840" s="150">
        <f>'Assumptions (MSW)'!$V$5*Model!G1787</f>
        <v>0.2531945945467558</v>
      </c>
      <c r="H1840" s="150">
        <f>'Assumptions (MSW)'!$V$5*Model!H1787</f>
        <v>0.33386534715536503</v>
      </c>
      <c r="I1840" s="150">
        <f>'Assumptions (MSW)'!$V$5*Model!I1787</f>
        <v>0.34787470086635125</v>
      </c>
      <c r="J1840" s="150">
        <f>'Assumptions (MSW)'!$V$5*Model!J1787</f>
        <v>0.36600517410297134</v>
      </c>
      <c r="K1840" s="150">
        <f>'Assumptions (MSW)'!$V$5*Model!K1787</f>
        <v>0.38435408933052656</v>
      </c>
      <c r="L1840" s="150">
        <f>'Assumptions (MSW)'!$V$5*Model!L1787</f>
        <v>0.43113279434904667</v>
      </c>
      <c r="M1840" s="150">
        <f>'Assumptions (MSW)'!$V$5*Model!M1787</f>
        <v>0.43717371569452451</v>
      </c>
      <c r="N1840" s="150">
        <f>'Assumptions (MSW)'!$V$5*Model!N1787</f>
        <v>0.39207941903627042</v>
      </c>
      <c r="O1840" s="150">
        <f>'Assumptions (MSW)'!$V$5*Model!O1787</f>
        <v>0.32739801875854069</v>
      </c>
      <c r="P1840" s="150">
        <f>'Assumptions (MSW)'!$V$5*Model!P1787</f>
        <v>0.27539634985381123</v>
      </c>
      <c r="Q1840" s="150">
        <f>'Assumptions (MSW)'!$V$5*Model!Q1787</f>
        <v>0.22211517248415788</v>
      </c>
      <c r="R1840" s="150">
        <f>'Assumptions (MSW)'!$V$5*Model!R1787</f>
        <v>0.12183006860561632</v>
      </c>
      <c r="S1840" s="150">
        <f>'Assumptions (MSW)'!$V$5*Model!S1787</f>
        <v>4.0596650417334228E-2</v>
      </c>
      <c r="T1840" s="150">
        <f>'Assumptions (MSW)'!$V$5*Model!T1787</f>
        <v>6.8098996615178157E-3</v>
      </c>
      <c r="U1840" s="150">
        <f>'Assumptions (MSW)'!$V$5*Model!U1787</f>
        <v>5.1535563244905795E-3</v>
      </c>
      <c r="V1840" s="150">
        <f>'Assumptions (MSW)'!$V$5*Model!V1787</f>
        <v>0</v>
      </c>
      <c r="W1840" s="150">
        <f>'Assumptions (MSW)'!$V$5*Model!W1787</f>
        <v>0</v>
      </c>
      <c r="X1840" s="150">
        <f>'Assumptions (MSW)'!$V$5*Model!X1787</f>
        <v>0</v>
      </c>
      <c r="Y1840" s="150">
        <f>'Assumptions (MSW)'!$V$5*Model!Y1787</f>
        <v>0</v>
      </c>
      <c r="Z1840" s="150">
        <f>'Assumptions (MSW)'!$V$5*Model!Z1787</f>
        <v>0</v>
      </c>
      <c r="AA1840" s="150">
        <f>'Assumptions (MSW)'!$V$5*Model!AA1787</f>
        <v>0</v>
      </c>
      <c r="AB1840" s="150">
        <f>'Assumptions (MSW)'!$V$5*Model!AB1787</f>
        <v>0</v>
      </c>
      <c r="AC1840" s="150">
        <f>'Assumptions (MSW)'!$V$5*Model!AC1787</f>
        <v>0</v>
      </c>
      <c r="AD1840" s="150">
        <f>'Assumptions (MSW)'!$V$5*Model!AD1787</f>
        <v>0</v>
      </c>
      <c r="AE1840" s="150">
        <f>'Assumptions (MSW)'!$V$5*Model!AE1787</f>
        <v>0</v>
      </c>
      <c r="AF1840" s="150">
        <f>'Assumptions (MSW)'!$V$5*Model!AF1787</f>
        <v>0</v>
      </c>
      <c r="AG1840" s="150">
        <f>'Assumptions (MSW)'!$V$5*Model!AG1787</f>
        <v>0</v>
      </c>
      <c r="AH1840" s="150">
        <f>'Assumptions (MSW)'!$V$5*Model!AH1787</f>
        <v>0</v>
      </c>
      <c r="AI1840" s="150">
        <f>'Assumptions (MSW)'!$V$5*Model!AI1787</f>
        <v>0</v>
      </c>
      <c r="AJ1840" s="150">
        <f>'Assumptions (MSW)'!$V$5*Model!AJ1787</f>
        <v>0</v>
      </c>
      <c r="AK1840" s="150">
        <f>'Assumptions (MSW)'!$V$5*Model!AK1787</f>
        <v>0</v>
      </c>
      <c r="AL1840" s="150">
        <f>'Assumptions (MSW)'!$V$5*Model!AL1787</f>
        <v>0</v>
      </c>
      <c r="AM1840" s="150">
        <f>'Assumptions (MSW)'!$V$5*Model!AM1787</f>
        <v>0</v>
      </c>
      <c r="AN1840" s="150">
        <f>'Assumptions (MSW)'!$V$5*Model!AN1787</f>
        <v>0</v>
      </c>
      <c r="AO1840" s="150">
        <f>'Assumptions (MSW)'!$V$5*Model!AO1787</f>
        <v>0</v>
      </c>
      <c r="AP1840" s="150">
        <f>'Assumptions (MSW)'!$V$5*Model!AP1787</f>
        <v>0</v>
      </c>
      <c r="AQ1840" s="150">
        <f>'Assumptions (MSW)'!$V$5*Model!AQ1787</f>
        <v>0</v>
      </c>
      <c r="AR1840" s="150">
        <f>'Assumptions (MSW)'!$V$5*Model!AR1787</f>
        <v>0</v>
      </c>
      <c r="AS1840" s="150">
        <f>'Assumptions (MSW)'!$V$5*Model!AS1787</f>
        <v>0</v>
      </c>
      <c r="AT1840" s="150">
        <f>'Assumptions (MSW)'!$V$5*Model!AT1787</f>
        <v>0</v>
      </c>
      <c r="AU1840" s="150">
        <f>'Assumptions (MSW)'!$V$5*Model!AU1787</f>
        <v>0</v>
      </c>
      <c r="AV1840" s="150">
        <f>'Assumptions (MSW)'!$V$5*Model!AV1787</f>
        <v>0</v>
      </c>
      <c r="AW1840" s="150">
        <f>'Assumptions (MSW)'!$V$5*Model!AW1787</f>
        <v>0</v>
      </c>
      <c r="AX1840" s="150">
        <f>'Assumptions (MSW)'!$V$5*Model!AX1787</f>
        <v>0</v>
      </c>
      <c r="AY1840" s="150">
        <f>'Assumptions (MSW)'!$V$5*Model!AY1787</f>
        <v>0</v>
      </c>
      <c r="AZ1840" s="150">
        <f>'Assumptions (MSW)'!$V$5*Model!AZ1787</f>
        <v>0</v>
      </c>
      <c r="BA1840" s="150">
        <f>'Assumptions (MSW)'!$V$5*Model!BA1787</f>
        <v>0</v>
      </c>
    </row>
    <row r="1841" spans="1:67" ht="15.75" customHeight="1">
      <c r="A1841" s="437" t="s">
        <v>336</v>
      </c>
      <c r="B1841" s="99" t="s">
        <v>201</v>
      </c>
      <c r="C1841" s="91">
        <f t="array" ref="C1841">SUM(IF(ISERROR(C1842:C1892),"",C1842:C1892))</f>
        <v>-4.1004369697763537E-3</v>
      </c>
      <c r="D1841" s="91">
        <f t="array" ref="D1841">SUM(IF(ISERROR(D1842:D1892),"",D1842:D1892))</f>
        <v>-1.9480159268386497E-2</v>
      </c>
      <c r="E1841" s="91">
        <f t="array" ref="E1841">SUM(IF(ISERROR(E1842:E1892),"",E1842:E1892))</f>
        <v>-2.4530073045712739E-2</v>
      </c>
      <c r="F1841" s="91">
        <f t="array" ref="F1841">SUM(IF(ISERROR(F1842:F1892),"",F1842:F1892))</f>
        <v>-3.9689571731909595E-2</v>
      </c>
      <c r="G1841" s="91">
        <f t="array" ref="G1841">SUM(IF(ISERROR(G1842:G1892),"",G1842:G1892))</f>
        <v>-4.8703257642117984E-2</v>
      </c>
      <c r="H1841" s="91">
        <f t="array" ref="H1841">SUM(IF(ISERROR(H1842:H1892),"",H1842:H1892))</f>
        <v>-5.8836083173492489E-2</v>
      </c>
      <c r="I1841" s="91">
        <f t="array" ref="I1841">SUM(IF(ISERROR(I1842:I1892),"",I1842:I1892))</f>
        <v>-8.3952236019779997E-2</v>
      </c>
      <c r="J1841" s="91">
        <f t="array" ref="J1841">SUM(IF(ISERROR(J1842:J1892),"",J1842:J1892))</f>
        <v>-0.11192261199912307</v>
      </c>
      <c r="K1841" s="91">
        <f t="array" ref="K1841">SUM(IF(ISERROR(K1842:K1892),"",K1842:K1892))</f>
        <v>-0.14192651966682482</v>
      </c>
      <c r="L1841" s="91">
        <f t="array" ref="L1841">SUM(IF(ISERROR(L1842:L1892),"",L1842:L1892))</f>
        <v>-0.17394511114263528</v>
      </c>
      <c r="M1841" s="91">
        <f t="array" ref="M1841">SUM(IF(ISERROR(M1842:M1892),"",M1842:M1892))</f>
        <v>-0.21008008243024245</v>
      </c>
      <c r="N1841" s="91">
        <f t="array" ref="N1841">SUM(IF(ISERROR(N1842:N1892),"",N1842:N1892))</f>
        <v>-0.24864829991445656</v>
      </c>
      <c r="O1841" s="91">
        <f t="array" ref="O1841">SUM(IF(ISERROR(O1842:O1892),"",O1842:O1892))</f>
        <v>-0.29575735729373542</v>
      </c>
      <c r="P1841" s="91">
        <f t="array" ref="P1841">SUM(IF(ISERROR(P1842:P1892),"",P1842:P1892))</f>
        <v>-0.33882478384026699</v>
      </c>
      <c r="Q1841" s="91">
        <f t="array" ref="Q1841">SUM(IF(ISERROR(Q1842:Q1892),"",Q1842:Q1892))</f>
        <v>-0.37358768205549464</v>
      </c>
      <c r="R1841" s="91">
        <f t="array" ref="R1841">SUM(IF(ISERROR(R1842:R1892),"",R1842:R1892))</f>
        <v>-0.40484575655261623</v>
      </c>
      <c r="S1841" s="91">
        <f t="array" ref="S1841">SUM(IF(ISERROR(S1842:S1892),"",S1842:S1892))</f>
        <v>-0.41171949721381934</v>
      </c>
      <c r="T1841" s="91">
        <f t="array" ref="T1841">SUM(IF(ISERROR(T1842:T1892),"",T1842:T1892))</f>
        <v>-0.4300700885117793</v>
      </c>
      <c r="U1841" s="91">
        <f t="array" ref="U1841">SUM(IF(ISERROR(U1842:U1892),"",U1842:U1892))</f>
        <v>-0.42279329653722364</v>
      </c>
      <c r="V1841" s="91">
        <f t="array" ref="V1841">SUM(IF(ISERROR(V1842:V1892),"",V1842:V1892))</f>
        <v>-0.42965079166696346</v>
      </c>
      <c r="W1841" s="91">
        <f t="array" ref="W1841">SUM(IF(ISERROR(W1842:W1892),"",W1842:W1892))</f>
        <v>-0.43437418489952523</v>
      </c>
      <c r="X1841" s="91">
        <f t="array" ref="X1841">SUM(IF(ISERROR(X1842:X1892),"",X1842:X1892))</f>
        <v>-0.41023226107603822</v>
      </c>
      <c r="Y1841" s="91">
        <f t="array" ref="Y1841">SUM(IF(ISERROR(Y1842:Y1892),"",Y1842:Y1892))</f>
        <v>-0.38161137383243293</v>
      </c>
      <c r="Z1841" s="91">
        <f t="array" ref="Z1841">SUM(IF(ISERROR(Z1842:Z1892),"",Z1842:Z1892))</f>
        <v>-0.35021695375220635</v>
      </c>
      <c r="AA1841" s="91">
        <f t="array" ref="AA1841">SUM(IF(ISERROR(AA1842:AA1892),"",AA1842:AA1892))</f>
        <v>-0.31614882103406994</v>
      </c>
      <c r="AB1841" s="91">
        <f t="array" ref="AB1841">SUM(IF(ISERROR(AB1842:AB1892),"",AB1842:AB1892))</f>
        <v>-0.27525613080771905</v>
      </c>
      <c r="AC1841" s="91">
        <f t="array" ref="AC1841">SUM(IF(ISERROR(AC1842:AC1892),"",AC1842:AC1892))</f>
        <v>-0.23098313438736506</v>
      </c>
      <c r="AD1841" s="91">
        <f t="array" ref="AD1841">SUM(IF(ISERROR(AD1842:AD1892),"",AD1842:AD1892))</f>
        <v>-0.17114985222918438</v>
      </c>
      <c r="AE1841" s="91">
        <f t="array" ref="AE1841">SUM(IF(ISERROR(AE1842:AE1892),"",AE1842:AE1892))</f>
        <v>-0.12107019391336533</v>
      </c>
      <c r="AF1841" s="91">
        <f t="array" ref="AF1841">SUM(IF(ISERROR(AF1842:AF1892),"",AF1842:AF1892))</f>
        <v>-8.9373337560399765E-2</v>
      </c>
      <c r="AG1841" s="91">
        <f t="array" ref="AG1841">SUM(IF(ISERROR(AG1842:AG1892),"",AG1842:AG1892))</f>
        <v>-5.0014700731972388E-2</v>
      </c>
      <c r="AH1841" s="91">
        <f t="array" ref="AH1841">SUM(IF(ISERROR(AH1842:AH1892),"",AH1842:AH1892))</f>
        <v>-1.6077199597551429E-2</v>
      </c>
      <c r="AI1841" s="91">
        <f t="array" ref="AI1841">SUM(IF(ISERROR(AI1842:AI1892),"",AI1842:AI1892))</f>
        <v>-2.6641582268122355E-3</v>
      </c>
      <c r="AJ1841" s="91">
        <f t="array" ref="AJ1841">SUM(IF(ISERROR(AJ1842:AJ1892),"",AJ1842:AJ1892))</f>
        <v>-2.056217233701735E-3</v>
      </c>
      <c r="AK1841" s="91">
        <f t="array" ref="AK1841">SUM(IF(ISERROR(AK1842:AK1892),"",AK1842:AK1892))</f>
        <v>0</v>
      </c>
      <c r="AL1841" s="91">
        <f t="array" ref="AL1841">SUM(IF(ISERROR(AL1842:AL1892),"",AL1842:AL1892))</f>
        <v>0</v>
      </c>
      <c r="AM1841" s="91">
        <f t="array" ref="AM1841">SUM(IF(ISERROR(AM1842:AM1892),"",AM1842:AM1892))</f>
        <v>0</v>
      </c>
      <c r="AN1841" s="91">
        <f t="array" ref="AN1841">SUM(IF(ISERROR(AN1842:AN1892),"",AN1842:AN1892))</f>
        <v>0</v>
      </c>
      <c r="AO1841" s="91">
        <f t="array" ref="AO1841">SUM(IF(ISERROR(AO1842:AO1892),"",AO1842:AO1892))</f>
        <v>0</v>
      </c>
      <c r="AP1841" s="91">
        <f t="array" ref="AP1841">SUM(IF(ISERROR(AP1842:AP1892),"",AP1842:AP1892))</f>
        <v>0</v>
      </c>
      <c r="AQ1841" s="91">
        <f t="array" ref="AQ1841">SUM(IF(ISERROR(AQ1842:AQ1892),"",AQ1842:AQ1892))</f>
        <v>0</v>
      </c>
      <c r="AR1841" s="91">
        <f t="array" ref="AR1841">SUM(IF(ISERROR(AR1842:AR1892),"",AR1842:AR1892))</f>
        <v>0</v>
      </c>
      <c r="AS1841" s="91">
        <f t="array" ref="AS1841">SUM(IF(ISERROR(AS1842:AS1892),"",AS1842:AS1892))</f>
        <v>0</v>
      </c>
      <c r="AT1841" s="91">
        <f t="array" ref="AT1841">SUM(IF(ISERROR(AT1842:AT1892),"",AT1842:AT1892))</f>
        <v>0</v>
      </c>
      <c r="AU1841" s="91">
        <f t="array" ref="AU1841">SUM(IF(ISERROR(AU1842:AU1892),"",AU1842:AU1892))</f>
        <v>0</v>
      </c>
      <c r="AV1841" s="91">
        <f t="array" ref="AV1841">SUM(IF(ISERROR(AV1842:AV1892),"",AV1842:AV1892))</f>
        <v>0</v>
      </c>
      <c r="AW1841" s="91">
        <f t="array" ref="AW1841">SUM(IF(ISERROR(AW1842:AW1892),"",AW1842:AW1892))</f>
        <v>0</v>
      </c>
      <c r="AX1841" s="91">
        <f t="array" ref="AX1841">SUM(IF(ISERROR(AX1842:AX1892),"",AX1842:AX1892))</f>
        <v>0</v>
      </c>
      <c r="AY1841" s="91">
        <f t="array" ref="AY1841">SUM(IF(ISERROR(AY1842:AY1892),"",AY1842:AY1892))</f>
        <v>0</v>
      </c>
      <c r="AZ1841" s="91">
        <f t="array" ref="AZ1841">SUM(IF(ISERROR(AZ1842:AZ1892),"",AZ1842:AZ1892))</f>
        <v>0</v>
      </c>
      <c r="BA1841" s="91">
        <f t="array" ref="BA1841">SUM(IF(ISERROR(BA1842:BA1892),"",BA1842:BA1892))</f>
        <v>0</v>
      </c>
      <c r="BB1841" s="91">
        <f t="array" ref="BB1841">SUM(IF(ISERROR(BB1842:BB1892),"",BB1842:BB1892))</f>
        <v>0</v>
      </c>
      <c r="BC1841" s="91">
        <f t="array" ref="BC1841">SUM(IF(ISERROR(BC1842:BC1892),"",BC1842:BC1892))</f>
        <v>0</v>
      </c>
      <c r="BD1841" s="91">
        <f t="array" ref="BD1841">SUM(IF(ISERROR(BD1842:BD1892),"",BD1842:BD1892))</f>
        <v>0</v>
      </c>
      <c r="BE1841" s="91">
        <f t="array" ref="BE1841">SUM(IF(ISERROR(BE1842:BE1892),"",BE1842:BE1892))</f>
        <v>0</v>
      </c>
      <c r="BF1841" s="91">
        <f t="array" ref="BF1841">SUM(IF(ISERROR(BF1842:BF1892),"",BF1842:BF1892))</f>
        <v>0</v>
      </c>
      <c r="BG1841" s="91">
        <f t="array" ref="BG1841">SUM(IF(ISERROR(BG1842:BG1892),"",BG1842:BG1892))</f>
        <v>0</v>
      </c>
      <c r="BH1841" s="91">
        <f t="array" ref="BH1841">SUM(IF(ISERROR(BH1842:BH1892),"",BH1842:BH1892))</f>
        <v>0</v>
      </c>
      <c r="BI1841" s="91">
        <f t="array" ref="BI1841">SUM(IF(ISERROR(BI1842:BI1892),"",BI1842:BI1892))</f>
        <v>0</v>
      </c>
      <c r="BJ1841" s="91">
        <f t="array" ref="BJ1841">SUM(IF(ISERROR(BJ1842:BJ1892),"",BJ1842:BJ1892))</f>
        <v>0</v>
      </c>
      <c r="BK1841" s="91">
        <f t="array" ref="BK1841">SUM(IF(ISERROR(BK1842:BK1892),"",BK1842:BK1892))</f>
        <v>0</v>
      </c>
      <c r="BL1841" s="91">
        <f t="array" ref="BL1841">SUM(IF(ISERROR(BL1842:BL1892),"",BL1842:BL1892))</f>
        <v>0</v>
      </c>
      <c r="BM1841" s="91">
        <f t="array" ref="BM1841">SUM(IF(ISERROR(BM1842:BM1892),"",BM1842:BM1892))</f>
        <v>0</v>
      </c>
      <c r="BN1841" s="91">
        <f t="array" ref="BN1841">SUM(IF(ISERROR(BN1842:BN1892),"",BN1842:BN1892))</f>
        <v>0</v>
      </c>
      <c r="BO1841" s="91">
        <f t="array" ref="BO1841">SUM(IF(ISERROR(BO1842:BO1892),"",BO1842:BO1892))</f>
        <v>0</v>
      </c>
    </row>
    <row r="1842" spans="1:67" ht="15.75" hidden="1" customHeight="1" outlineLevel="1">
      <c r="A1842" s="435"/>
      <c r="B1842" s="99"/>
      <c r="C1842" s="91">
        <f>IF($C$1785&gt;0,PPMT('Assumptions (MSW)'!$V$6,Model!W$1,'Assumptions (MSW)'!$V$9,'Assumptions (MSW)'!$V$4*Model!$C$1785*'Assumptions (MSW)'!$B$2/10^9),0)</f>
        <v>-4.1004369697763537E-3</v>
      </c>
      <c r="D1842" s="91">
        <f>IF($C$1785&gt;0,PPMT('Assumptions (MSW)'!$V$6,Model!X$1,'Assumptions (MSW)'!$V$9,'Assumptions (MSW)'!$V$4*Model!$C$1785*'Assumptions (MSW)'!$B$2/10^9),0)</f>
        <v>-4.2952077258407309E-3</v>
      </c>
      <c r="E1842" s="91">
        <f>IF($C$1785&gt;0,PPMT('Assumptions (MSW)'!$V$6,Model!Y$1,'Assumptions (MSW)'!$V$9,'Assumptions (MSW)'!$V$4*Model!$C$1785*'Assumptions (MSW)'!$B$2/10^9),0)</f>
        <v>-4.4992300928181662E-3</v>
      </c>
      <c r="F1842" s="91">
        <f>IF($C$1785&gt;0,PPMT('Assumptions (MSW)'!$V$6,Model!Z$1,'Assumptions (MSW)'!$V$9,'Assumptions (MSW)'!$V$4*Model!$C$1785*'Assumptions (MSW)'!$B$2/10^9),0)</f>
        <v>-4.7129435222270279E-3</v>
      </c>
      <c r="G1842" s="91">
        <f>IF($C$1785&gt;0,PPMT('Assumptions (MSW)'!$V$6,Model!AA$1,'Assumptions (MSW)'!$V$9,'Assumptions (MSW)'!$V$4*Model!$C$1785*'Assumptions (MSW)'!$B$2/10^9),0)</f>
        <v>-4.9368083395328116E-3</v>
      </c>
      <c r="H1842" s="91">
        <f>IF($C$1785&gt;0,PPMT('Assumptions (MSW)'!$V$6,Model!AB$1,'Assumptions (MSW)'!$V$9,'Assumptions (MSW)'!$V$4*Model!$C$1785*'Assumptions (MSW)'!$B$2/10^9),0)</f>
        <v>-5.1713067356606206E-3</v>
      </c>
      <c r="I1842" s="91">
        <f>IF($C$1785&gt;0,PPMT('Assumptions (MSW)'!$V$6,Model!AC$1,'Assumptions (MSW)'!$V$9,'Assumptions (MSW)'!$V$4*Model!$C$1785*'Assumptions (MSW)'!$B$2/10^9),0)</f>
        <v>-5.4169438056045002E-3</v>
      </c>
      <c r="J1842" s="91">
        <f>IF($C$1785&gt;0,PPMT('Assumptions (MSW)'!$V$6,Model!AD$1,'Assumptions (MSW)'!$V$9,'Assumptions (MSW)'!$V$4*Model!$C$1785*'Assumptions (MSW)'!$B$2/10^9),0)</f>
        <v>-5.6742486363707137E-3</v>
      </c>
      <c r="K1842" s="91">
        <f>IF($C$1785&gt;0,PPMT('Assumptions (MSW)'!$V$6,Model!AE$1,'Assumptions (MSW)'!$V$9,'Assumptions (MSW)'!$V$4*Model!$C$1785*'Assumptions (MSW)'!$B$2/10^9),0)</f>
        <v>-5.9437754465983218E-3</v>
      </c>
      <c r="L1842" s="91">
        <f>IF($C$1785&gt;0,PPMT('Assumptions (MSW)'!$V$6,Model!AF$1,'Assumptions (MSW)'!$V$9,'Assumptions (MSW)'!$V$4*Model!$C$1785*'Assumptions (MSW)'!$B$2/10^9),0)</f>
        <v>-6.2261047803117437E-3</v>
      </c>
      <c r="M1842" s="91">
        <f>IF($C$1785&gt;0,PPMT('Assumptions (MSW)'!$V$6,Model!AG$1,'Assumptions (MSW)'!$V$9,'Assumptions (MSW)'!$V$4*Model!$C$1785*'Assumptions (MSW)'!$B$2/10^9),0)</f>
        <v>-6.5218447573765518E-3</v>
      </c>
      <c r="N1842" s="91">
        <f>IF($C$1785&gt;0,PPMT('Assumptions (MSW)'!$V$6,Model!AH$1,'Assumptions (MSW)'!$V$9,'Assumptions (MSW)'!$V$4*Model!$C$1785*'Assumptions (MSW)'!$B$2/10^9),0)</f>
        <v>-6.8316323833519377E-3</v>
      </c>
      <c r="O1842" s="91">
        <f>IF($C$1785&gt;0,PPMT('Assumptions (MSW)'!$V$6,Model!AI$1,'Assumptions (MSW)'!$V$9,'Assumptions (MSW)'!$V$4*Model!$C$1785*'Assumptions (MSW)'!$B$2/10^9),0)</f>
        <v>-7.1561349215611553E-3</v>
      </c>
      <c r="P1842" s="91">
        <f>IF($C$1785&gt;0,PPMT('Assumptions (MSW)'!$V$6,Model!AJ$1,'Assumptions (MSW)'!$V$9,'Assumptions (MSW)'!$V$4*Model!$C$1785*'Assumptions (MSW)'!$B$2/10^9),0)</f>
        <v>-7.4960513303353104E-3</v>
      </c>
      <c r="Q1842" s="91">
        <f>IF($C$1785&gt;0,PPMT('Assumptions (MSW)'!$V$6,Model!AK$1,'Assumptions (MSW)'!$V$9,'Assumptions (MSW)'!$V$4*Model!$C$1785*'Assumptions (MSW)'!$B$2/10^9),0)</f>
        <v>-7.8521137685262365E-3</v>
      </c>
      <c r="R1842" s="91"/>
      <c r="S1842" s="91"/>
      <c r="T1842" s="91"/>
      <c r="U1842" s="91"/>
      <c r="V1842" s="91"/>
      <c r="W1842" s="91"/>
      <c r="X1842" s="91"/>
      <c r="Y1842" s="91"/>
      <c r="Z1842" s="91"/>
      <c r="AA1842" s="91"/>
      <c r="AB1842" s="105"/>
      <c r="AC1842" s="105"/>
      <c r="AD1842" s="105"/>
      <c r="AE1842" s="105"/>
      <c r="AF1842" s="105"/>
      <c r="AG1842" s="105"/>
    </row>
    <row r="1843" spans="1:67" ht="15.75" hidden="1" customHeight="1" outlineLevel="1">
      <c r="A1843" s="435"/>
      <c r="B1843" s="99"/>
      <c r="C1843" s="105"/>
      <c r="D1843" s="91">
        <f>IF($D$1785&gt;0,PPMT('Assumptions (MSW)'!$V$6,Model!W$1,'Assumptions (MSW)'!$V$9,'Assumptions (MSW)'!$V$4*Model!$D$1785*'Assumptions (MSW)'!$B$2/10^9),0)</f>
        <v>-1.5184951542545766E-2</v>
      </c>
      <c r="E1843" s="91">
        <f>IF($D$1785&gt;0,PPMT('Assumptions (MSW)'!$V$6,Model!X$1,'Assumptions (MSW)'!$V$9,'Assumptions (MSW)'!$V$4*Model!$D$1785*'Assumptions (MSW)'!$B$2/10^9),0)</f>
        <v>-1.590623674081669E-2</v>
      </c>
      <c r="F1843" s="91">
        <f>IF($D$1785&gt;0,PPMT('Assumptions (MSW)'!$V$6,Model!Y$1,'Assumptions (MSW)'!$V$9,'Assumptions (MSW)'!$V$4*Model!$D$1785*'Assumptions (MSW)'!$B$2/10^9),0)</f>
        <v>-1.6661782986005482E-2</v>
      </c>
      <c r="G1843" s="91">
        <f>IF($D$1785&gt;0,PPMT('Assumptions (MSW)'!$V$6,Model!Z$1,'Assumptions (MSW)'!$V$9,'Assumptions (MSW)'!$V$4*Model!$D$1785*'Assumptions (MSW)'!$B$2/10^9),0)</f>
        <v>-1.7453217677840742E-2</v>
      </c>
      <c r="H1843" s="91">
        <f>IF($D$1785&gt;0,PPMT('Assumptions (MSW)'!$V$6,Model!AA$1,'Assumptions (MSW)'!$V$9,'Assumptions (MSW)'!$V$4*Model!$D$1785*'Assumptions (MSW)'!$B$2/10^9),0)</f>
        <v>-1.8282245517538175E-2</v>
      </c>
      <c r="I1843" s="91">
        <f>IF($D$1785&gt;0,PPMT('Assumptions (MSW)'!$V$6,Model!AB$1,'Assumptions (MSW)'!$V$9,'Assumptions (MSW)'!$V$4*Model!$D$1785*'Assumptions (MSW)'!$B$2/10^9),0)</f>
        <v>-1.9150652179621242E-2</v>
      </c>
      <c r="J1843" s="91">
        <f>IF($D$1785&gt;0,PPMT('Assumptions (MSW)'!$V$6,Model!AC$1,'Assumptions (MSW)'!$V$9,'Assumptions (MSW)'!$V$4*Model!$D$1785*'Assumptions (MSW)'!$B$2/10^9),0)</f>
        <v>-2.006030815815325E-2</v>
      </c>
      <c r="K1843" s="91">
        <f>IF($D$1785&gt;0,PPMT('Assumptions (MSW)'!$V$6,Model!AD$1,'Assumptions (MSW)'!$V$9,'Assumptions (MSW)'!$V$4*Model!$D$1785*'Assumptions (MSW)'!$B$2/10^9),0)</f>
        <v>-2.101317279566553E-2</v>
      </c>
      <c r="L1843" s="91">
        <f>IF($D$1785&gt;0,PPMT('Assumptions (MSW)'!$V$6,Model!AE$1,'Assumptions (MSW)'!$V$9,'Assumptions (MSW)'!$V$4*Model!$D$1785*'Assumptions (MSW)'!$B$2/10^9),0)</f>
        <v>-2.2011298503459641E-2</v>
      </c>
      <c r="M1843" s="91">
        <f>IF($D$1785&gt;0,PPMT('Assumptions (MSW)'!$V$6,Model!AF$1,'Assumptions (MSW)'!$V$9,'Assumptions (MSW)'!$V$4*Model!$D$1785*'Assumptions (MSW)'!$B$2/10^9),0)</f>
        <v>-2.3056835182373975E-2</v>
      </c>
      <c r="N1843" s="91">
        <f>IF($D$1785&gt;0,PPMT('Assumptions (MSW)'!$V$6,Model!AG$1,'Assumptions (MSW)'!$V$9,'Assumptions (MSW)'!$V$4*Model!$D$1785*'Assumptions (MSW)'!$B$2/10^9),0)</f>
        <v>-2.4152034853536744E-2</v>
      </c>
      <c r="O1843" s="91">
        <f>IF($D$1785&gt;0,PPMT('Assumptions (MSW)'!$V$6,Model!AH$1,'Assumptions (MSW)'!$V$9,'Assumptions (MSW)'!$V$4*Model!$D$1785*'Assumptions (MSW)'!$B$2/10^9),0)</f>
        <v>-2.5299256509079736E-2</v>
      </c>
      <c r="P1843" s="91">
        <f>IF($D$1785&gt;0,PPMT('Assumptions (MSW)'!$V$6,Model!AI$1,'Assumptions (MSW)'!$V$9,'Assumptions (MSW)'!$V$4*Model!$D$1785*'Assumptions (MSW)'!$B$2/10^9),0)</f>
        <v>-2.6500971193261027E-2</v>
      </c>
      <c r="Q1843" s="91">
        <f>IF($D$1785&gt;0,PPMT('Assumptions (MSW)'!$V$6,Model!AJ$1,'Assumptions (MSW)'!$V$9,'Assumptions (MSW)'!$V$4*Model!$D$1785*'Assumptions (MSW)'!$B$2/10^9),0)</f>
        <v>-2.7759767324940926E-2</v>
      </c>
      <c r="R1843" s="91">
        <f>IF($D$1785&gt;0,PPMT('Assumptions (MSW)'!$V$6,Model!AK$1,'Assumptions (MSW)'!$V$9,'Assumptions (MSW)'!$V$4*Model!$D$1785*'Assumptions (MSW)'!$B$2/10^9),0)</f>
        <v>-2.9078356272875611E-2</v>
      </c>
      <c r="S1843" s="91"/>
      <c r="T1843" s="91"/>
      <c r="U1843" s="91"/>
      <c r="V1843" s="91"/>
      <c r="W1843" s="91"/>
      <c r="X1843" s="91"/>
      <c r="Y1843" s="91"/>
      <c r="Z1843" s="91"/>
      <c r="AA1843" s="91"/>
      <c r="AB1843" s="91"/>
      <c r="AC1843" s="105"/>
      <c r="AD1843" s="105"/>
      <c r="AE1843" s="105"/>
      <c r="AF1843" s="105"/>
      <c r="AG1843" s="105"/>
    </row>
    <row r="1844" spans="1:67" ht="15.75" hidden="1" customHeight="1" outlineLevel="1">
      <c r="A1844" s="435"/>
      <c r="B1844" s="99"/>
      <c r="C1844" s="105"/>
      <c r="D1844" s="105"/>
      <c r="E1844" s="105">
        <f>IF($E$1785&gt;0,PPMT('Assumptions (MSW)'!$V$6,Model!W$1,'Assumptions (MSW)'!$V$9,'Assumptions (MSW)'!$V$4*Model!$E$1785*AVERAGE('Assumptions (MSW)'!$B$2:$C$2)/10^9),0)</f>
        <v>-4.1246062120778807E-3</v>
      </c>
      <c r="F1844" s="105">
        <f>IF($E$1785&gt;0,PPMT('Assumptions (MSW)'!$V$6,Model!X$1,'Assumptions (MSW)'!$V$9,'Assumptions (MSW)'!$V$4*Model!$E$1785*AVERAGE('Assumptions (MSW)'!$B$2:$C$2)/10^9),0)</f>
        <v>-4.3205250071515809E-3</v>
      </c>
      <c r="G1844" s="105">
        <f>IF($E$1785&gt;0,PPMT('Assumptions (MSW)'!$V$6,Model!Y$1,'Assumptions (MSW)'!$V$9,'Assumptions (MSW)'!$V$4*Model!$E$1785*AVERAGE('Assumptions (MSW)'!$B$2:$C$2)/10^9),0)</f>
        <v>-4.5257499449912813E-3</v>
      </c>
      <c r="H1844" s="105">
        <f>IF($E$1785&gt;0,PPMT('Assumptions (MSW)'!$V$6,Model!Z$1,'Assumptions (MSW)'!$V$9,'Assumptions (MSW)'!$V$4*Model!$E$1785*AVERAGE('Assumptions (MSW)'!$B$2:$C$2)/10^9),0)</f>
        <v>-4.7407230673783664E-3</v>
      </c>
      <c r="I1844" s="105">
        <f>IF($E$1785&gt;0,PPMT('Assumptions (MSW)'!$V$6,Model!AA$1,'Assumptions (MSW)'!$V$9,'Assumptions (MSW)'!$V$4*Model!$E$1785*AVERAGE('Assumptions (MSW)'!$B$2:$C$2)/10^9),0)</f>
        <v>-4.9659074130788379E-3</v>
      </c>
      <c r="J1844" s="105">
        <f>IF($E$1785&gt;0,PPMT('Assumptions (MSW)'!$V$6,Model!AB$1,'Assumptions (MSW)'!$V$9,'Assumptions (MSW)'!$V$4*Model!$E$1785*AVERAGE('Assumptions (MSW)'!$B$2:$C$2)/10^9),0)</f>
        <v>-5.201788015200084E-3</v>
      </c>
      <c r="K1844" s="105">
        <f>IF($E$1785&gt;0,PPMT('Assumptions (MSW)'!$V$6,Model!AC$1,'Assumptions (MSW)'!$V$9,'Assumptions (MSW)'!$V$4*Model!$E$1785*AVERAGE('Assumptions (MSW)'!$B$2:$C$2)/10^9),0)</f>
        <v>-5.4488729459220868E-3</v>
      </c>
      <c r="L1844" s="105">
        <f>IF($E$1785&gt;0,PPMT('Assumptions (MSW)'!$V$6,Model!AD$1,'Assumptions (MSW)'!$V$9,'Assumptions (MSW)'!$V$4*Model!$E$1785*AVERAGE('Assumptions (MSW)'!$B$2:$C$2)/10^9),0)</f>
        <v>-5.707694410853387E-3</v>
      </c>
      <c r="M1844" s="105">
        <f>IF($E$1785&gt;0,PPMT('Assumptions (MSW)'!$V$6,Model!AE$1,'Assumptions (MSW)'!$V$9,'Assumptions (MSW)'!$V$4*Model!$E$1785*AVERAGE('Assumptions (MSW)'!$B$2:$C$2)/10^9),0)</f>
        <v>-5.9788098953689212E-3</v>
      </c>
      <c r="N1844" s="91">
        <f>IF($E$1785&gt;0,PPMT('Assumptions (MSW)'!$V$6,Model!AF$1,'Assumptions (MSW)'!$V$9,'Assumptions (MSW)'!$V$4*Model!$E$1785*AVERAGE('Assumptions (MSW)'!$B$2:$C$2)/10^9),0)</f>
        <v>-6.2628033653989463E-3</v>
      </c>
      <c r="O1844" s="105">
        <f>IF($E$1785&gt;0,PPMT('Assumptions (MSW)'!$V$6,Model!AG$1,'Assumptions (MSW)'!$V$9,'Assumptions (MSW)'!$V$4*Model!$E$1785*AVERAGE('Assumptions (MSW)'!$B$2:$C$2)/10^9),0)</f>
        <v>-6.5602865252553967E-3</v>
      </c>
      <c r="P1844" s="105">
        <f>IF($E$1785&gt;0,PPMT('Assumptions (MSW)'!$V$6,Model!AH$1,'Assumptions (MSW)'!$V$9,'Assumptions (MSW)'!$V$4*Model!$E$1785*AVERAGE('Assumptions (MSW)'!$B$2:$C$2)/10^9),0)</f>
        <v>-6.871900135205028E-3</v>
      </c>
      <c r="Q1844" s="105">
        <f>IF($E$1785&gt;0,PPMT('Assumptions (MSW)'!$V$6,Model!AI$1,'Assumptions (MSW)'!$V$9,'Assumptions (MSW)'!$V$4*Model!$E$1785*AVERAGE('Assumptions (MSW)'!$B$2:$C$2)/10^9),0)</f>
        <v>-7.1983153916272665E-3</v>
      </c>
      <c r="R1844" s="105">
        <f>IF($E$1785&gt;0,PPMT('Assumptions (MSW)'!$V$6,Model!AJ$1,'Assumptions (MSW)'!$V$9,'Assumptions (MSW)'!$V$4*Model!$E$1785*AVERAGE('Assumptions (MSW)'!$B$2:$C$2)/10^9),0)</f>
        <v>-7.5402353727295618E-3</v>
      </c>
      <c r="S1844" s="105">
        <f>IF($E$1785&gt;0,PPMT('Assumptions (MSW)'!$V$6,Model!AK$1,'Assumptions (MSW)'!$V$9,'Assumptions (MSW)'!$V$4*Model!$E$1785*AVERAGE('Assumptions (MSW)'!$B$2:$C$2)/10^9),0)</f>
        <v>-7.898396552934216E-3</v>
      </c>
      <c r="T1844" s="105"/>
      <c r="U1844" s="105"/>
      <c r="V1844" s="105"/>
      <c r="W1844" s="105"/>
      <c r="X1844" s="105"/>
      <c r="Y1844" s="105"/>
      <c r="Z1844" s="105"/>
      <c r="AA1844" s="105"/>
      <c r="AB1844" s="105"/>
      <c r="AC1844" s="105"/>
      <c r="AD1844" s="105"/>
      <c r="AE1844" s="105"/>
      <c r="AF1844" s="105"/>
      <c r="AG1844" s="105"/>
    </row>
    <row r="1845" spans="1:67" ht="15.75" hidden="1" customHeight="1" outlineLevel="1">
      <c r="A1845" s="435"/>
      <c r="B1845" s="99"/>
      <c r="C1845" s="105"/>
      <c r="D1845" s="105"/>
      <c r="E1845" s="105"/>
      <c r="F1845" s="105">
        <f>IF($F$1785&gt;0,PPMT('Assumptions (MSW)'!$V$6,Model!W$1,'Assumptions (MSW)'!$V$9,'Assumptions (MSW)'!$V$4*Model!$F$1785*AVERAGE('Assumptions (MSW)'!$B$2:$D$2)/10^9),0)</f>
        <v>-1.3994320216525507E-2</v>
      </c>
      <c r="G1845" s="105">
        <f>IF($F$1785&gt;0,PPMT('Assumptions (MSW)'!$V$6,Model!X$1,'Assumptions (MSW)'!$V$9,'Assumptions (MSW)'!$V$4*Model!$F$1785*AVERAGE('Assumptions (MSW)'!$B$2:$D$2)/10^9),0)</f>
        <v>-1.4659050426810469E-2</v>
      </c>
      <c r="H1845" s="105">
        <f>IF($F$1785&gt;0,PPMT('Assumptions (MSW)'!$V$6,Model!Y$1,'Assumptions (MSW)'!$V$9,'Assumptions (MSW)'!$V$4*Model!$F$1785*AVERAGE('Assumptions (MSW)'!$B$2:$D$2)/10^9),0)</f>
        <v>-1.5355355322083966E-2</v>
      </c>
      <c r="I1845" s="105">
        <f>IF($F$1785&gt;0,PPMT('Assumptions (MSW)'!$V$6,Model!Z$1,'Assumptions (MSW)'!$V$9,'Assumptions (MSW)'!$V$4*Model!$F$1785*AVERAGE('Assumptions (MSW)'!$B$2:$D$2)/10^9),0)</f>
        <v>-1.6084734699882954E-2</v>
      </c>
      <c r="J1845" s="105">
        <f>IF($F$1785&gt;0,PPMT('Assumptions (MSW)'!$V$6,Model!AA$1,'Assumptions (MSW)'!$V$9,'Assumptions (MSW)'!$V$4*Model!$F$1785*AVERAGE('Assumptions (MSW)'!$B$2:$D$2)/10^9),0)</f>
        <v>-1.6848759598127393E-2</v>
      </c>
      <c r="K1845" s="105">
        <f>IF($F$1785&gt;0,PPMT('Assumptions (MSW)'!$V$6,Model!AB$1,'Assumptions (MSW)'!$V$9,'Assumptions (MSW)'!$V$4*Model!$F$1785*AVERAGE('Assumptions (MSW)'!$B$2:$D$2)/10^9),0)</f>
        <v>-1.7649075679038444E-2</v>
      </c>
      <c r="L1845" s="105">
        <f>IF($F$1785&gt;0,PPMT('Assumptions (MSW)'!$V$6,Model!AC$1,'Assumptions (MSW)'!$V$9,'Assumptions (MSW)'!$V$4*Model!$F$1785*AVERAGE('Assumptions (MSW)'!$B$2:$D$2)/10^9),0)</f>
        <v>-1.8487406773792771E-2</v>
      </c>
      <c r="M1845" s="105">
        <f>IF($F$1785&gt;0,PPMT('Assumptions (MSW)'!$V$6,Model!AD$1,'Assumptions (MSW)'!$V$9,'Assumptions (MSW)'!$V$4*Model!$F$1785*AVERAGE('Assumptions (MSW)'!$B$2:$D$2)/10^9),0)</f>
        <v>-1.9365558595547928E-2</v>
      </c>
      <c r="N1845" s="91">
        <f>IF($F$1785&gt;0,PPMT('Assumptions (MSW)'!$V$6,Model!AE$1,'Assumptions (MSW)'!$V$9,'Assumptions (MSW)'!$V$4*Model!$F$1785*AVERAGE('Assumptions (MSW)'!$B$2:$D$2)/10^9),0)</f>
        <v>-2.0285422628836456E-2</v>
      </c>
      <c r="O1845" s="105">
        <f>IF($F$1785&gt;0,PPMT('Assumptions (MSW)'!$V$6,Model!AF$1,'Assumptions (MSW)'!$V$9,'Assumptions (MSW)'!$V$4*Model!$F$1785*AVERAGE('Assumptions (MSW)'!$B$2:$D$2)/10^9),0)</f>
        <v>-2.1248980203706188E-2</v>
      </c>
      <c r="P1845" s="105">
        <f>IF($F$1785&gt;0,PPMT('Assumptions (MSW)'!$V$6,Model!AG$1,'Assumptions (MSW)'!$V$9,'Assumptions (MSW)'!$V$4*Model!$F$1785*AVERAGE('Assumptions (MSW)'!$B$2:$D$2)/10^9),0)</f>
        <v>-2.2258306763382234E-2</v>
      </c>
      <c r="Q1845" s="105">
        <f>IF($F$1785&gt;0,PPMT('Assumptions (MSW)'!$V$6,Model!AH$1,'Assumptions (MSW)'!$V$9,'Assumptions (MSW)'!$V$4*Model!$F$1785*AVERAGE('Assumptions (MSW)'!$B$2:$D$2)/10^9),0)</f>
        <v>-2.3315576334642887E-2</v>
      </c>
      <c r="R1845" s="105">
        <f>IF($F$1785&gt;0,PPMT('Assumptions (MSW)'!$V$6,Model!AI$1,'Assumptions (MSW)'!$V$9,'Assumptions (MSW)'!$V$4*Model!$F$1785*AVERAGE('Assumptions (MSW)'!$B$2:$D$2)/10^9),0)</f>
        <v>-2.4423066210538427E-2</v>
      </c>
      <c r="S1845" s="105">
        <f>IF($F$1785&gt;0,PPMT('Assumptions (MSW)'!$V$6,Model!AJ$1,'Assumptions (MSW)'!$V$9,'Assumptions (MSW)'!$V$4*Model!$F$1785*AVERAGE('Assumptions (MSW)'!$B$2:$D$2)/10^9),0)</f>
        <v>-2.5583161855539001E-2</v>
      </c>
      <c r="T1845" s="105">
        <f>IF($F$1785&gt;0,PPMT('Assumptions (MSW)'!$V$6,Model!AK$1,'Assumptions (MSW)'!$V$9,'Assumptions (MSW)'!$V$4*Model!$F$1785*AVERAGE('Assumptions (MSW)'!$B$2:$D$2)/10^9),0)</f>
        <v>-2.6798362043677103E-2</v>
      </c>
      <c r="U1845" s="105"/>
      <c r="V1845" s="105"/>
      <c r="W1845" s="105"/>
      <c r="X1845" s="105"/>
      <c r="Y1845" s="105"/>
      <c r="Z1845" s="105"/>
      <c r="AA1845" s="105"/>
      <c r="AB1845" s="105"/>
      <c r="AC1845" s="105"/>
      <c r="AD1845" s="105"/>
      <c r="AE1845" s="105"/>
      <c r="AF1845" s="105"/>
      <c r="AG1845" s="105"/>
    </row>
    <row r="1846" spans="1:67" ht="15.75" hidden="1" customHeight="1" outlineLevel="1">
      <c r="A1846" s="435"/>
      <c r="B1846" s="99"/>
      <c r="C1846" s="105"/>
      <c r="D1846" s="105"/>
      <c r="E1846" s="105"/>
      <c r="F1846" s="105"/>
      <c r="G1846" s="105">
        <f>IF($G$1785&gt;0,PPMT('Assumptions (MSW)'!$V$6,Model!W$1,'Assumptions (MSW)'!$V$9,'Assumptions (MSW)'!$V$4*Model!$G$1785*AVERAGE('Assumptions (MSW)'!$C$2:$E$2)/10^9),0)</f>
        <v>-7.1284312529426765E-3</v>
      </c>
      <c r="H1846" s="105">
        <f>IF($G$1785&gt;0,PPMT('Assumptions (MSW)'!$V$6,Model!X$1,'Assumptions (MSW)'!$V$9,'Assumptions (MSW)'!$V$4*Model!$G$1785*AVERAGE('Assumptions (MSW)'!$C$2:$E$2)/10^9),0)</f>
        <v>-7.4670317374574535E-3</v>
      </c>
      <c r="I1846" s="105">
        <f>IF($G$1785&gt;0,PPMT('Assumptions (MSW)'!$V$6,Model!Y$1,'Assumptions (MSW)'!$V$9,'Assumptions (MSW)'!$V$4*Model!$G$1785*AVERAGE('Assumptions (MSW)'!$C$2:$E$2)/10^9),0)</f>
        <v>-7.8217157449866834E-3</v>
      </c>
      <c r="J1846" s="105">
        <f>IF($G$1785&gt;0,PPMT('Assumptions (MSW)'!$V$6,Model!Z$1,'Assumptions (MSW)'!$V$9,'Assumptions (MSW)'!$V$4*Model!$G$1785*AVERAGE('Assumptions (MSW)'!$C$2:$E$2)/10^9),0)</f>
        <v>-8.1932472428735501E-3</v>
      </c>
      <c r="K1846" s="105">
        <f>IF($G$1785&gt;0,PPMT('Assumptions (MSW)'!$V$6,Model!AA$1,'Assumptions (MSW)'!$V$9,'Assumptions (MSW)'!$V$4*Model!$G$1785*AVERAGE('Assumptions (MSW)'!$C$2:$E$2)/10^9),0)</f>
        <v>-8.5824264869100424E-3</v>
      </c>
      <c r="L1846" s="105">
        <f>IF($G$1785&gt;0,PPMT('Assumptions (MSW)'!$V$6,Model!AB$1,'Assumptions (MSW)'!$V$9,'Assumptions (MSW)'!$V$4*Model!$G$1785*AVERAGE('Assumptions (MSW)'!$C$2:$E$2)/10^9),0)</f>
        <v>-8.9900917450382711E-3</v>
      </c>
      <c r="M1846" s="105">
        <f>IF($G$1785&gt;0,PPMT('Assumptions (MSW)'!$V$6,Model!AC$1,'Assumptions (MSW)'!$V$9,'Assumptions (MSW)'!$V$4*Model!$G$1785*AVERAGE('Assumptions (MSW)'!$C$2:$E$2)/10^9),0)</f>
        <v>-9.4171211029275888E-3</v>
      </c>
      <c r="N1846" s="105">
        <f>IF($G$1785&gt;0,PPMT('Assumptions (MSW)'!$V$6,Model!AD$1,'Assumptions (MSW)'!$V$9,'Assumptions (MSW)'!$V$4*Model!$G$1785*AVERAGE('Assumptions (MSW)'!$C$2:$E$2)/10^9),0)</f>
        <v>-9.8644343553166494E-3</v>
      </c>
      <c r="O1846" s="105">
        <f>IF($G$1785&gt;0,PPMT('Assumptions (MSW)'!$V$6,Model!AE$1,'Assumptions (MSW)'!$V$9,'Assumptions (MSW)'!$V$4*Model!$G$1785*AVERAGE('Assumptions (MSW)'!$C$2:$E$2)/10^9),0)</f>
        <v>-1.0332994987194189E-2</v>
      </c>
      <c r="P1846" s="105">
        <f>IF($G$1785&gt;0,PPMT('Assumptions (MSW)'!$V$6,Model!AF$1,'Assumptions (MSW)'!$V$9,'Assumptions (MSW)'!$V$4*Model!$G$1785*AVERAGE('Assumptions (MSW)'!$C$2:$E$2)/10^9),0)</f>
        <v>-1.0823812249085914E-2</v>
      </c>
      <c r="Q1846" s="105">
        <f>IF($G$1785&gt;0,PPMT('Assumptions (MSW)'!$V$6,Model!AG$1,'Assumptions (MSW)'!$V$9,'Assumptions (MSW)'!$V$4*Model!$G$1785*AVERAGE('Assumptions (MSW)'!$C$2:$E$2)/10^9),0)</f>
        <v>-1.1337943330917496E-2</v>
      </c>
      <c r="R1846" s="105">
        <f>IF($G$1785&gt;0,PPMT('Assumptions (MSW)'!$V$6,Model!AH$1,'Assumptions (MSW)'!$V$9,'Assumptions (MSW)'!$V$4*Model!$G$1785*AVERAGE('Assumptions (MSW)'!$C$2:$E$2)/10^9),0)</f>
        <v>-1.1876495639136076E-2</v>
      </c>
      <c r="S1846" s="105">
        <f>IF($G$1785&gt;0,PPMT('Assumptions (MSW)'!$V$6,Model!AI$1,'Assumptions (MSW)'!$V$9,'Assumptions (MSW)'!$V$4*Model!$G$1785*AVERAGE('Assumptions (MSW)'!$C$2:$E$2)/10^9),0)</f>
        <v>-1.2440629181995042E-2</v>
      </c>
      <c r="T1846" s="105">
        <f>IF($G$1785&gt;0,PPMT('Assumptions (MSW)'!$V$6,Model!AJ$1,'Assumptions (MSW)'!$V$9,'Assumptions (MSW)'!$V$4*Model!$G$1785*AVERAGE('Assumptions (MSW)'!$C$2:$E$2)/10^9),0)</f>
        <v>-1.3031559068139804E-2</v>
      </c>
      <c r="U1846" s="105">
        <f>IF($G$1785&gt;0,PPMT('Assumptions (MSW)'!$V$6,Model!AK$1,'Assumptions (MSW)'!$V$9,'Assumptions (MSW)'!$V$4*Model!$G$1785*AVERAGE('Assumptions (MSW)'!$C$2:$E$2)/10^9),0)</f>
        <v>-1.3650558123876444E-2</v>
      </c>
      <c r="V1846" s="105"/>
      <c r="W1846" s="105"/>
      <c r="X1846" s="105"/>
      <c r="Y1846" s="105"/>
      <c r="Z1846" s="105"/>
      <c r="AA1846" s="105"/>
      <c r="AB1846" s="105"/>
      <c r="AC1846" s="105"/>
      <c r="AD1846" s="105"/>
      <c r="AE1846" s="105"/>
      <c r="AF1846" s="105"/>
      <c r="AG1846" s="105"/>
    </row>
    <row r="1847" spans="1:67" ht="15.75" hidden="1" customHeight="1" outlineLevel="1">
      <c r="A1847" s="435"/>
      <c r="B1847" s="99"/>
      <c r="C1847" s="105"/>
      <c r="D1847" s="105"/>
      <c r="E1847" s="105"/>
      <c r="F1847" s="105"/>
      <c r="G1847" s="105"/>
      <c r="H1847" s="105">
        <f>IF($H$1785&gt;0,PPMT('Assumptions (MSW)'!$V$6,Model!W$1,'Assumptions (MSW)'!$V$9,'Assumptions (MSW)'!$V$4*Model!$H$1785*AVERAGE('Assumptions (MSW)'!$D$2:$F$2)/10^9),0)</f>
        <v>-7.8194207933739105E-3</v>
      </c>
      <c r="I1847" s="105">
        <f>IF($H$1785&gt;0,PPMT('Assumptions (MSW)'!$V$6,Model!X$1,'Assumptions (MSW)'!$V$9,'Assumptions (MSW)'!$V$4*Model!$H$1785*AVERAGE('Assumptions (MSW)'!$D$2:$F$2)/10^9),0)</f>
        <v>-8.1908432810591705E-3</v>
      </c>
      <c r="J1847" s="105">
        <f>IF($H$1785&gt;0,PPMT('Assumptions (MSW)'!$V$6,Model!Y$1,'Assumptions (MSW)'!$V$9,'Assumptions (MSW)'!$V$4*Model!$H$1785*AVERAGE('Assumptions (MSW)'!$D$2:$F$2)/10^9),0)</f>
        <v>-8.5799083369094819E-3</v>
      </c>
      <c r="K1847" s="105">
        <f>IF($H$1785&gt;0,PPMT('Assumptions (MSW)'!$V$6,Model!Z$1,'Assumptions (MSW)'!$V$9,'Assumptions (MSW)'!$V$4*Model!$H$1785*AVERAGE('Assumptions (MSW)'!$D$2:$F$2)/10^9),0)</f>
        <v>-8.9874539829126795E-3</v>
      </c>
      <c r="L1847" s="105">
        <f>IF($H$1785&gt;0,PPMT('Assumptions (MSW)'!$V$6,Model!AA$1,'Assumptions (MSW)'!$V$9,'Assumptions (MSW)'!$V$4*Model!$H$1785*AVERAGE('Assumptions (MSW)'!$D$2:$F$2)/10^9),0)</f>
        <v>-9.4143580471010326E-3</v>
      </c>
      <c r="M1847" s="105">
        <f>IF($H$1785&gt;0,PPMT('Assumptions (MSW)'!$V$6,Model!AB$1,'Assumptions (MSW)'!$V$9,'Assumptions (MSW)'!$V$4*Model!$H$1785*AVERAGE('Assumptions (MSW)'!$D$2:$F$2)/10^9),0)</f>
        <v>-9.8615400543383327E-3</v>
      </c>
      <c r="N1847" s="105">
        <f>IF($H$1785&gt;0,PPMT('Assumptions (MSW)'!$V$6,Model!AC$1,'Assumptions (MSW)'!$V$9,'Assumptions (MSW)'!$V$4*Model!$H$1785*AVERAGE('Assumptions (MSW)'!$D$2:$F$2)/10^9),0)</f>
        <v>-1.0329963206919405E-2</v>
      </c>
      <c r="O1847" s="105">
        <f>IF($H$1785&gt;0,PPMT('Assumptions (MSW)'!$V$6,Model!AD$1,'Assumptions (MSW)'!$V$9,'Assumptions (MSW)'!$V$4*Model!$H$1785*AVERAGE('Assumptions (MSW)'!$D$2:$F$2)/10^9),0)</f>
        <v>-1.0820636459248075E-2</v>
      </c>
      <c r="P1847" s="105">
        <f>IF($H$1785&gt;0,PPMT('Assumptions (MSW)'!$V$6,Model!AE$1,'Assumptions (MSW)'!$V$9,'Assumptions (MSW)'!$V$4*Model!$H$1785*AVERAGE('Assumptions (MSW)'!$D$2:$F$2)/10^9),0)</f>
        <v>-1.1334616691062357E-2</v>
      </c>
      <c r="Q1847" s="105">
        <f>IF($H$1785&gt;0,PPMT('Assumptions (MSW)'!$V$6,Model!AF$1,'Assumptions (MSW)'!$V$9,'Assumptions (MSW)'!$V$4*Model!$H$1785*AVERAGE('Assumptions (MSW)'!$D$2:$F$2)/10^9),0)</f>
        <v>-1.1873010983887822E-2</v>
      </c>
      <c r="R1847" s="105">
        <f>IF($H$1785&gt;0,PPMT('Assumptions (MSW)'!$V$6,Model!AG$1,'Assumptions (MSW)'!$V$9,'Assumptions (MSW)'!$V$4*Model!$H$1785*AVERAGE('Assumptions (MSW)'!$D$2:$F$2)/10^9),0)</f>
        <v>-1.2436979005622495E-2</v>
      </c>
      <c r="S1847" s="105">
        <f>IF($H$1785&gt;0,PPMT('Assumptions (MSW)'!$V$6,Model!AH$1,'Assumptions (MSW)'!$V$9,'Assumptions (MSW)'!$V$4*Model!$H$1785*AVERAGE('Assumptions (MSW)'!$D$2:$F$2)/10^9),0)</f>
        <v>-1.3027735508389562E-2</v>
      </c>
      <c r="T1847" s="105">
        <f>IF($H$1785&gt;0,PPMT('Assumptions (MSW)'!$V$6,Model!AI$1,'Assumptions (MSW)'!$V$9,'Assumptions (MSW)'!$V$4*Model!$H$1785*AVERAGE('Assumptions (MSW)'!$D$2:$F$2)/10^9),0)</f>
        <v>-1.3646552945038066E-2</v>
      </c>
      <c r="U1847" s="105">
        <f>IF($H$1785&gt;0,PPMT('Assumptions (MSW)'!$V$6,Model!AJ$1,'Assumptions (MSW)'!$V$9,'Assumptions (MSW)'!$V$4*Model!$H$1785*AVERAGE('Assumptions (MSW)'!$D$2:$F$2)/10^9),0)</f>
        <v>-1.4294764209927372E-2</v>
      </c>
      <c r="V1847" s="105">
        <f>IF($H$1785&gt;0,PPMT('Assumptions (MSW)'!$V$6,Model!AK$1,'Assumptions (MSW)'!$V$9,'Assumptions (MSW)'!$V$4*Model!$H$1785*AVERAGE('Assumptions (MSW)'!$D$2:$F$2)/10^9),0)</f>
        <v>-1.4973765509898923E-2</v>
      </c>
      <c r="W1847" s="105"/>
      <c r="X1847" s="105"/>
      <c r="Y1847" s="105"/>
      <c r="Z1847" s="105"/>
      <c r="AA1847" s="105"/>
      <c r="AB1847" s="105"/>
      <c r="AC1847" s="105"/>
      <c r="AD1847" s="105"/>
      <c r="AE1847" s="105"/>
      <c r="AF1847" s="105"/>
      <c r="AG1847" s="105"/>
    </row>
    <row r="1848" spans="1:67" ht="15.75" hidden="1" customHeight="1" outlineLevel="1">
      <c r="A1848" s="435"/>
      <c r="B1848" s="99"/>
      <c r="C1848" s="105"/>
      <c r="D1848" s="105"/>
      <c r="E1848" s="105"/>
      <c r="F1848" s="105"/>
      <c r="G1848" s="105"/>
      <c r="H1848" s="105"/>
      <c r="I1848" s="105">
        <f>IF($I$1785&gt;0,PPMT('Assumptions (MSW)'!$V$6,Model!W$1,'Assumptions (MSW)'!$V$9,'Assumptions (MSW)'!$V$4*Model!$I$1785*AVERAGE('Assumptions (MSW)'!$E$2:$G$2)/10^9),0)</f>
        <v>-2.2321438895546601E-2</v>
      </c>
      <c r="J1848" s="105">
        <f>IF($I$1785&gt;0,PPMT('Assumptions (MSW)'!$V$6,Model!X$1,'Assumptions (MSW)'!$V$9,'Assumptions (MSW)'!$V$4*Model!$I$1785*AVERAGE('Assumptions (MSW)'!$E$2:$G$2)/10^9),0)</f>
        <v>-2.3381707243085064E-2</v>
      </c>
      <c r="K1848" s="105">
        <f>IF($I$1785&gt;0,PPMT('Assumptions (MSW)'!$V$6,Model!Y$1,'Assumptions (MSW)'!$V$9,'Assumptions (MSW)'!$V$4*Model!$I$1785*AVERAGE('Assumptions (MSW)'!$E$2:$G$2)/10^9),0)</f>
        <v>-2.4492338337131606E-2</v>
      </c>
      <c r="L1848" s="105">
        <f>IF($I$1785&gt;0,PPMT('Assumptions (MSW)'!$V$6,Model!Z$1,'Assumptions (MSW)'!$V$9,'Assumptions (MSW)'!$V$4*Model!$I$1785*AVERAGE('Assumptions (MSW)'!$E$2:$G$2)/10^9),0)</f>
        <v>-2.5655724408145356E-2</v>
      </c>
      <c r="M1848" s="105">
        <f>IF($I$1785&gt;0,PPMT('Assumptions (MSW)'!$V$6,Model!AA$1,'Assumptions (MSW)'!$V$9,'Assumptions (MSW)'!$V$4*Model!$I$1785*AVERAGE('Assumptions (MSW)'!$E$2:$G$2)/10^9),0)</f>
        <v>-2.6874371317532258E-2</v>
      </c>
      <c r="N1848" s="105">
        <f>IF($I$1785&gt;0,PPMT('Assumptions (MSW)'!$V$6,Model!AB$1,'Assumptions (MSW)'!$V$9,'Assumptions (MSW)'!$V$4*Model!$I$1785*AVERAGE('Assumptions (MSW)'!$E$2:$G$2)/10^9),0)</f>
        <v>-2.8150903955115041E-2</v>
      </c>
      <c r="O1848" s="105">
        <f>IF($I$1785&gt;0,PPMT('Assumptions (MSW)'!$V$6,Model!AC$1,'Assumptions (MSW)'!$V$9,'Assumptions (MSW)'!$V$4*Model!$I$1785*AVERAGE('Assumptions (MSW)'!$E$2:$G$2)/10^9),0)</f>
        <v>-2.9488071892983008E-2</v>
      </c>
      <c r="P1848" s="105">
        <f>IF($I$1785&gt;0,PPMT('Assumptions (MSW)'!$V$6,Model!AD$1,'Assumptions (MSW)'!$V$9,'Assumptions (MSW)'!$V$4*Model!$I$1785*AVERAGE('Assumptions (MSW)'!$E$2:$G$2)/10^9),0)</f>
        <v>-3.0888755307899699E-2</v>
      </c>
      <c r="Q1848" s="105">
        <f>IF($I$1785&gt;0,PPMT('Assumptions (MSW)'!$V$6,Model!AE$1,'Assumptions (MSW)'!$V$9,'Assumptions (MSW)'!$V$4*Model!$I$1785*AVERAGE('Assumptions (MSW)'!$E$2:$G$2)/10^9),0)</f>
        <v>-3.2355971185024937E-2</v>
      </c>
      <c r="R1848" s="105">
        <f>IF($I$1785&gt;0,PPMT('Assumptions (MSW)'!$V$6,Model!AF$1,'Assumptions (MSW)'!$V$9,'Assumptions (MSW)'!$V$4*Model!$I$1785*AVERAGE('Assumptions (MSW)'!$E$2:$G$2)/10^9),0)</f>
        <v>-3.3892879816313622E-2</v>
      </c>
      <c r="S1848" s="105">
        <f>IF($I$1785&gt;0,PPMT('Assumptions (MSW)'!$V$6,Model!AG$1,'Assumptions (MSW)'!$V$9,'Assumptions (MSW)'!$V$4*Model!$I$1785*AVERAGE('Assumptions (MSW)'!$E$2:$G$2)/10^9),0)</f>
        <v>-3.5502791607588527E-2</v>
      </c>
      <c r="T1848" s="105">
        <f>IF($I$1785&gt;0,PPMT('Assumptions (MSW)'!$V$6,Model!AH$1,'Assumptions (MSW)'!$V$9,'Assumptions (MSW)'!$V$4*Model!$I$1785*AVERAGE('Assumptions (MSW)'!$E$2:$G$2)/10^9),0)</f>
        <v>-3.7189174208948975E-2</v>
      </c>
      <c r="U1848" s="105">
        <f>IF($I$1785&gt;0,PPMT('Assumptions (MSW)'!$V$6,Model!AI$1,'Assumptions (MSW)'!$V$9,'Assumptions (MSW)'!$V$4*Model!$I$1785*AVERAGE('Assumptions (MSW)'!$E$2:$G$2)/10^9),0)</f>
        <v>-3.8955659983874055E-2</v>
      </c>
      <c r="V1848" s="105">
        <f>IF($I$1785&gt;0,PPMT('Assumptions (MSW)'!$V$6,Model!AJ$1,'Assumptions (MSW)'!$V$9,'Assumptions (MSW)'!$V$4*Model!$I$1785*AVERAGE('Assumptions (MSW)'!$E$2:$G$2)/10^9),0)</f>
        <v>-4.0806053833108064E-2</v>
      </c>
      <c r="W1848" s="105">
        <f>IF($I$1785&gt;0,PPMT('Assumptions (MSW)'!$V$6,Model!AK$1,'Assumptions (MSW)'!$V$9,'Assumptions (MSW)'!$V$4*Model!$I$1785*AVERAGE('Assumptions (MSW)'!$E$2:$G$2)/10^9),0)</f>
        <v>-4.2744341390180698E-2</v>
      </c>
      <c r="X1848" s="105"/>
      <c r="Y1848" s="105"/>
      <c r="Z1848" s="105"/>
      <c r="AA1848" s="105"/>
      <c r="AB1848" s="105"/>
      <c r="AC1848" s="105"/>
      <c r="AD1848" s="105"/>
      <c r="AE1848" s="105"/>
      <c r="AF1848" s="105"/>
      <c r="AG1848" s="105"/>
    </row>
    <row r="1849" spans="1:67" ht="15.75" hidden="1" customHeight="1" outlineLevel="1">
      <c r="A1849" s="435"/>
      <c r="B1849" s="99"/>
      <c r="C1849" s="105"/>
      <c r="D1849" s="105"/>
      <c r="E1849" s="105"/>
      <c r="F1849" s="105"/>
      <c r="G1849" s="105"/>
      <c r="H1849" s="105"/>
      <c r="I1849" s="105"/>
      <c r="J1849" s="105">
        <f>IF($J$1785&gt;0,PPMT('Assumptions (MSW)'!$V$6,Model!W$1,'Assumptions (MSW)'!$V$9,'Assumptions (MSW)'!$V$4*Model!$J$1785*AVERAGE('Assumptions (MSW)'!$F$2:$H$2)/10^9),0)</f>
        <v>-2.3982644768403526E-2</v>
      </c>
      <c r="K1849" s="105">
        <f>IF($J$1785&gt;0,PPMT('Assumptions (MSW)'!$V$6,Model!X$1,'Assumptions (MSW)'!$V$9,'Assumptions (MSW)'!$V$4*Model!$J$1785*AVERAGE('Assumptions (MSW)'!$F$2:$H$2)/10^9),0)</f>
        <v>-2.5121820394902693E-2</v>
      </c>
      <c r="L1849" s="105">
        <f>IF($J$1785&gt;0,PPMT('Assumptions (MSW)'!$V$6,Model!Y$1,'Assumptions (MSW)'!$V$9,'Assumptions (MSW)'!$V$4*Model!$J$1785*AVERAGE('Assumptions (MSW)'!$F$2:$H$2)/10^9),0)</f>
        <v>-2.6315106863660571E-2</v>
      </c>
      <c r="M1849" s="105">
        <f>IF($J$1785&gt;0,PPMT('Assumptions (MSW)'!$V$6,Model!Z$1,'Assumptions (MSW)'!$V$9,'Assumptions (MSW)'!$V$4*Model!$J$1785*AVERAGE('Assumptions (MSW)'!$F$2:$H$2)/10^9),0)</f>
        <v>-2.756507443968445E-2</v>
      </c>
      <c r="N1849" s="105">
        <f>IF($J$1785&gt;0,PPMT('Assumptions (MSW)'!$V$6,Model!AA$1,'Assumptions (MSW)'!$V$9,'Assumptions (MSW)'!$V$4*Model!$J$1785*AVERAGE('Assumptions (MSW)'!$F$2:$H$2)/10^9),0)</f>
        <v>-2.8874415475569456E-2</v>
      </c>
      <c r="O1849" s="105">
        <f>IF($J$1785&gt;0,PPMT('Assumptions (MSW)'!$V$6,Model!AB$1,'Assumptions (MSW)'!$V$9,'Assumptions (MSW)'!$V$4*Model!$J$1785*AVERAGE('Assumptions (MSW)'!$F$2:$H$2)/10^9),0)</f>
        <v>-3.0245950210659012E-2</v>
      </c>
      <c r="P1849" s="105">
        <f>IF($J$1785&gt;0,PPMT('Assumptions (MSW)'!$V$6,Model!AC$1,'Assumptions (MSW)'!$V$9,'Assumptions (MSW)'!$V$4*Model!$J$1785*AVERAGE('Assumptions (MSW)'!$F$2:$H$2)/10^9),0)</f>
        <v>-3.1682632845665318E-2</v>
      </c>
      <c r="Q1849" s="105">
        <f>IF($J$1785&gt;0,PPMT('Assumptions (MSW)'!$V$6,Model!AD$1,'Assumptions (MSW)'!$V$9,'Assumptions (MSW)'!$V$4*Model!$J$1785*AVERAGE('Assumptions (MSW)'!$F$2:$H$2)/10^9),0)</f>
        <v>-3.3187557905834414E-2</v>
      </c>
      <c r="R1849" s="105">
        <f>IF($J$1785&gt;0,PPMT('Assumptions (MSW)'!$V$6,Model!AE$1,'Assumptions (MSW)'!$V$9,'Assumptions (MSW)'!$V$4*Model!$J$1785*AVERAGE('Assumptions (MSW)'!$F$2:$H$2)/10^9),0)</f>
        <v>-3.4763966906361549E-2</v>
      </c>
      <c r="S1849" s="105">
        <f>IF($J$1785&gt;0,PPMT('Assumptions (MSW)'!$V$6,Model!AF$1,'Assumptions (MSW)'!$V$9,'Assumptions (MSW)'!$V$4*Model!$J$1785*AVERAGE('Assumptions (MSW)'!$F$2:$H$2)/10^9),0)</f>
        <v>-3.6415255334413719E-2</v>
      </c>
      <c r="T1849" s="105">
        <f>IF($J$1785&gt;0,PPMT('Assumptions (MSW)'!$V$6,Model!AG$1,'Assumptions (MSW)'!$V$9,'Assumptions (MSW)'!$V$4*Model!$J$1785*AVERAGE('Assumptions (MSW)'!$F$2:$H$2)/10^9),0)</f>
        <v>-3.8144979962798378E-2</v>
      </c>
      <c r="U1849" s="105">
        <f>IF($J$1785&gt;0,PPMT('Assumptions (MSW)'!$V$6,Model!AH$1,'Assumptions (MSW)'!$V$9,'Assumptions (MSW)'!$V$4*Model!$J$1785*AVERAGE('Assumptions (MSW)'!$F$2:$H$2)/10^9),0)</f>
        <v>-3.9956866511031301E-2</v>
      </c>
      <c r="V1849" s="105">
        <f>IF($J$1785&gt;0,PPMT('Assumptions (MSW)'!$V$6,Model!AI$1,'Assumptions (MSW)'!$V$9,'Assumptions (MSW)'!$V$4*Model!$J$1785*AVERAGE('Assumptions (MSW)'!$F$2:$H$2)/10^9),0)</f>
        <v>-4.1854817670305286E-2</v>
      </c>
      <c r="W1849" s="105">
        <f>IF($J$1785&gt;0,PPMT('Assumptions (MSW)'!$V$6,Model!AJ$1,'Assumptions (MSW)'!$V$9,'Assumptions (MSW)'!$V$4*Model!$J$1785*AVERAGE('Assumptions (MSW)'!$F$2:$H$2)/10^9),0)</f>
        <v>-4.3842921509644792E-2</v>
      </c>
      <c r="X1849" s="105">
        <f>IF($J$1785&gt;0,PPMT('Assumptions (MSW)'!$V$6,Model!AK$1,'Assumptions (MSW)'!$V$9,'Assumptions (MSW)'!$V$4*Model!$J$1785*AVERAGE('Assumptions (MSW)'!$F$2:$H$2)/10^9),0)</f>
        <v>-4.5925460281352914E-2</v>
      </c>
      <c r="Y1849" s="105"/>
      <c r="Z1849" s="105"/>
      <c r="AA1849" s="105"/>
      <c r="AB1849" s="105"/>
      <c r="AC1849" s="105"/>
      <c r="AD1849" s="105"/>
      <c r="AE1849" s="105"/>
      <c r="AF1849" s="105"/>
      <c r="AG1849" s="105"/>
      <c r="AH1849" s="105"/>
    </row>
    <row r="1850" spans="1:67" ht="15.75" hidden="1" customHeight="1" outlineLevel="1">
      <c r="A1850" s="435"/>
      <c r="B1850" s="99"/>
      <c r="C1850" s="105"/>
      <c r="D1850" s="105"/>
      <c r="E1850" s="105"/>
      <c r="F1850" s="105"/>
      <c r="G1850" s="105"/>
      <c r="H1850" s="105"/>
      <c r="I1850" s="105"/>
      <c r="J1850" s="105"/>
      <c r="K1850" s="105">
        <f>IF($K$1785&gt;0,PPMT('Assumptions (MSW)'!$V$6,Model!W$1,'Assumptions (MSW)'!$V$9,'Assumptions (MSW)'!$V$4*Model!$K$1785*AVERAGE('Assumptions (MSW)'!$G$2:$I$2)/10^9),0)</f>
        <v>-2.4687583597743399E-2</v>
      </c>
      <c r="L1850" s="105">
        <f>IF($K$1785&gt;0,PPMT('Assumptions (MSW)'!$V$6,Model!X$1,'Assumptions (MSW)'!$V$9,'Assumptions (MSW)'!$V$4*Model!$K$1785*AVERAGE('Assumptions (MSW)'!$G$2:$I$2)/10^9),0)</f>
        <v>-2.5860243818636216E-2</v>
      </c>
      <c r="M1850" s="105">
        <f>IF($K$1785&gt;0,PPMT('Assumptions (MSW)'!$V$6,Model!Y$1,'Assumptions (MSW)'!$V$9,'Assumptions (MSW)'!$V$4*Model!$K$1785*AVERAGE('Assumptions (MSW)'!$G$2:$I$2)/10^9),0)</f>
        <v>-2.7088605400021434E-2</v>
      </c>
      <c r="N1850" s="105">
        <f>IF($K$1785&gt;0,PPMT('Assumptions (MSW)'!$V$6,Model!Z$1,'Assumptions (MSW)'!$V$9,'Assumptions (MSW)'!$V$4*Model!$K$1785*AVERAGE('Assumptions (MSW)'!$G$2:$I$2)/10^9),0)</f>
        <v>-2.8375314156522453E-2</v>
      </c>
      <c r="O1850" s="105">
        <f>IF($K$1785&gt;0,PPMT('Assumptions (MSW)'!$V$6,Model!AA$1,'Assumptions (MSW)'!$V$9,'Assumptions (MSW)'!$V$4*Model!$K$1785*AVERAGE('Assumptions (MSW)'!$G$2:$I$2)/10^9),0)</f>
        <v>-2.9723141578957266E-2</v>
      </c>
      <c r="P1850" s="105">
        <f>IF($K$1785&gt;0,PPMT('Assumptions (MSW)'!$V$6,Model!AB$1,'Assumptions (MSW)'!$V$9,'Assumptions (MSW)'!$V$4*Model!$K$1785*AVERAGE('Assumptions (MSW)'!$G$2:$I$2)/10^9),0)</f>
        <v>-3.1134990803957738E-2</v>
      </c>
      <c r="Q1850" s="105">
        <f>IF($K$1785&gt;0,PPMT('Assumptions (MSW)'!$V$6,Model!AC$1,'Assumptions (MSW)'!$V$9,'Assumptions (MSW)'!$V$4*Model!$K$1785*AVERAGE('Assumptions (MSW)'!$G$2:$I$2)/10^9),0)</f>
        <v>-3.261390286714573E-2</v>
      </c>
      <c r="R1850" s="105">
        <f>IF($K$1785&gt;0,PPMT('Assumptions (MSW)'!$V$6,Model!AD$1,'Assumptions (MSW)'!$V$9,'Assumptions (MSW)'!$V$4*Model!$K$1785*AVERAGE('Assumptions (MSW)'!$G$2:$I$2)/10^9),0)</f>
        <v>-3.4163063253335152E-2</v>
      </c>
      <c r="S1850" s="105">
        <f>IF($K$1785&gt;0,PPMT('Assumptions (MSW)'!$V$6,Model!AE$1,'Assumptions (MSW)'!$V$9,'Assumptions (MSW)'!$V$4*Model!$K$1785*AVERAGE('Assumptions (MSW)'!$G$2:$I$2)/10^9),0)</f>
        <v>-3.5785808757868569E-2</v>
      </c>
      <c r="T1850" s="105">
        <f>IF($K$1785&gt;0,PPMT('Assumptions (MSW)'!$V$6,Model!AF$1,'Assumptions (MSW)'!$V$9,'Assumptions (MSW)'!$V$4*Model!$K$1785*AVERAGE('Assumptions (MSW)'!$G$2:$I$2)/10^9),0)</f>
        <v>-3.7485634673867327E-2</v>
      </c>
      <c r="U1850" s="105">
        <f>IF($K$1785&gt;0,PPMT('Assumptions (MSW)'!$V$6,Model!AG$1,'Assumptions (MSW)'!$V$9,'Assumptions (MSW)'!$V$4*Model!$K$1785*AVERAGE('Assumptions (MSW)'!$G$2:$I$2)/10^9),0)</f>
        <v>-3.9266202320876034E-2</v>
      </c>
      <c r="V1850" s="105">
        <f>IF($K$1785&gt;0,PPMT('Assumptions (MSW)'!$V$6,Model!AH$1,'Assumptions (MSW)'!$V$9,'Assumptions (MSW)'!$V$4*Model!$K$1785*AVERAGE('Assumptions (MSW)'!$G$2:$I$2)/10^9),0)</f>
        <v>-4.1131346931117641E-2</v>
      </c>
      <c r="W1850" s="105">
        <f>IF($K$1785&gt;0,PPMT('Assumptions (MSW)'!$V$6,Model!AI$1,'Assumptions (MSW)'!$V$9,'Assumptions (MSW)'!$V$4*Model!$K$1785*AVERAGE('Assumptions (MSW)'!$G$2:$I$2)/10^9),0)</f>
        <v>-4.3085085910345731E-2</v>
      </c>
      <c r="X1850" s="105">
        <f>IF($K$1785&gt;0,PPMT('Assumptions (MSW)'!$V$6,Model!AJ$1,'Assumptions (MSW)'!$V$9,'Assumptions (MSW)'!$V$4*Model!$K$1785*AVERAGE('Assumptions (MSW)'!$G$2:$I$2)/10^9),0)</f>
        <v>-4.5131627491087151E-2</v>
      </c>
      <c r="Y1850" s="105">
        <f>IF($K$1785&gt;0,PPMT('Assumptions (MSW)'!$V$6,Model!AK$1,'Assumptions (MSW)'!$V$9,'Assumptions (MSW)'!$V$4*Model!$K$1785*AVERAGE('Assumptions (MSW)'!$G$2:$I$2)/10^9),0)</f>
        <v>-4.7275379796913784E-2</v>
      </c>
      <c r="Z1850" s="105"/>
      <c r="AA1850" s="105"/>
      <c r="AB1850" s="105"/>
      <c r="AC1850" s="105"/>
      <c r="AD1850" s="105"/>
      <c r="AE1850" s="105"/>
      <c r="AF1850" s="105"/>
      <c r="AG1850" s="105"/>
      <c r="AH1850" s="105"/>
      <c r="AI1850" s="105"/>
    </row>
    <row r="1851" spans="1:67" ht="15.75" hidden="1" customHeight="1" outlineLevel="1">
      <c r="A1851" s="435"/>
      <c r="B1851" s="99"/>
      <c r="C1851" s="105"/>
      <c r="D1851" s="105"/>
      <c r="E1851" s="105"/>
      <c r="F1851" s="105"/>
      <c r="G1851" s="105"/>
      <c r="H1851" s="105"/>
      <c r="I1851" s="105"/>
      <c r="J1851" s="105"/>
      <c r="K1851" s="105"/>
      <c r="L1851" s="105">
        <f>IF($L$1785&gt;0,PPMT('Assumptions (MSW)'!$V$6,Model!W$1,'Assumptions (MSW)'!$V$9,'Assumptions (MSW)'!$V$4*Model!$L$1785*AVERAGE('Assumptions (MSW)'!$H$2:$J$2)/10^9),0)</f>
        <v>-2.5277081791636288E-2</v>
      </c>
      <c r="M1851" s="105">
        <f>IF($L$1785&gt;0,PPMT('Assumptions (MSW)'!$V$6,Model!X$1,'Assumptions (MSW)'!$V$9,'Assumptions (MSW)'!$V$4*Model!$L$1785*AVERAGE('Assumptions (MSW)'!$H$2:$J$2)/10^9),0)</f>
        <v>-2.6477743176739014E-2</v>
      </c>
      <c r="N1851" s="105">
        <f>IF($L$1785&gt;0,PPMT('Assumptions (MSW)'!$V$6,Model!Y$1,'Assumptions (MSW)'!$V$9,'Assumptions (MSW)'!$V$4*Model!$L$1785*AVERAGE('Assumptions (MSW)'!$H$2:$J$2)/10^9),0)</f>
        <v>-2.7735435977634115E-2</v>
      </c>
      <c r="O1851" s="105">
        <f>IF($L$1785&gt;0,PPMT('Assumptions (MSW)'!$V$6,Model!Z$1,'Assumptions (MSW)'!$V$9,'Assumptions (MSW)'!$V$4*Model!$L$1785*AVERAGE('Assumptions (MSW)'!$H$2:$J$2)/10^9),0)</f>
        <v>-2.9052869186571732E-2</v>
      </c>
      <c r="P1851" s="105">
        <f>IF($L$1785&gt;0,PPMT('Assumptions (MSW)'!$V$6,Model!AA$1,'Assumptions (MSW)'!$V$9,'Assumptions (MSW)'!$V$4*Model!$L$1785*AVERAGE('Assumptions (MSW)'!$H$2:$J$2)/10^9),0)</f>
        <v>-3.0432880472933889E-2</v>
      </c>
      <c r="Q1851" s="105">
        <f>IF($L$1785&gt;0,PPMT('Assumptions (MSW)'!$V$6,Model!AB$1,'Assumptions (MSW)'!$V$9,'Assumptions (MSW)'!$V$4*Model!$L$1785*AVERAGE('Assumptions (MSW)'!$H$2:$J$2)/10^9),0)</f>
        <v>-3.1878442295398254E-2</v>
      </c>
      <c r="R1851" s="105">
        <f>IF($L$1785&gt;0,PPMT('Assumptions (MSW)'!$V$6,Model!AC$1,'Assumptions (MSW)'!$V$9,'Assumptions (MSW)'!$V$4*Model!$L$1785*AVERAGE('Assumptions (MSW)'!$H$2:$J$2)/10^9),0)</f>
        <v>-3.3392668304429669E-2</v>
      </c>
      <c r="S1851" s="105">
        <f>IF($L$1785&gt;0,PPMT('Assumptions (MSW)'!$V$6,Model!AD$1,'Assumptions (MSW)'!$V$9,'Assumptions (MSW)'!$V$4*Model!$L$1785*AVERAGE('Assumptions (MSW)'!$H$2:$J$2)/10^9),0)</f>
        <v>-3.497882004889008E-2</v>
      </c>
      <c r="T1851" s="105">
        <f>IF($L$1785&gt;0,PPMT('Assumptions (MSW)'!$V$6,Model!AE$1,'Assumptions (MSW)'!$V$9,'Assumptions (MSW)'!$V$4*Model!$L$1785*AVERAGE('Assumptions (MSW)'!$H$2:$J$2)/10^9),0)</f>
        <v>-3.6640314001212357E-2</v>
      </c>
      <c r="U1851" s="105">
        <f>IF($L$1785&gt;0,PPMT('Assumptions (MSW)'!$V$6,Model!AF$1,'Assumptions (MSW)'!$V$9,'Assumptions (MSW)'!$V$4*Model!$L$1785*AVERAGE('Assumptions (MSW)'!$H$2:$J$2)/10^9),0)</f>
        <v>-3.8380728916269952E-2</v>
      </c>
      <c r="V1851" s="105">
        <f>IF($L$1785&gt;0,PPMT('Assumptions (MSW)'!$V$6,Model!AG$1,'Assumptions (MSW)'!$V$9,'Assumptions (MSW)'!$V$4*Model!$L$1785*AVERAGE('Assumptions (MSW)'!$H$2:$J$2)/10^9),0)</f>
        <v>-4.0203813539792771E-2</v>
      </c>
      <c r="W1851" s="105">
        <f>IF($L$1785&gt;0,PPMT('Assumptions (MSW)'!$V$6,Model!AH$1,'Assumptions (MSW)'!$V$9,'Assumptions (MSW)'!$V$4*Model!$L$1785*AVERAGE('Assumptions (MSW)'!$H$2:$J$2)/10^9),0)</f>
        <v>-4.2113494682932927E-2</v>
      </c>
      <c r="X1851" s="105">
        <f>IF($L$1785&gt;0,PPMT('Assumptions (MSW)'!$V$6,Model!AI$1,'Assumptions (MSW)'!$V$9,'Assumptions (MSW)'!$V$4*Model!$L$1785*AVERAGE('Assumptions (MSW)'!$H$2:$J$2)/10^9),0)</f>
        <v>-4.4113885680372243E-2</v>
      </c>
      <c r="Y1851" s="105">
        <f>IF($L$1785&gt;0,PPMT('Assumptions (MSW)'!$V$6,Model!AJ$1,'Assumptions (MSW)'!$V$9,'Assumptions (MSW)'!$V$4*Model!$L$1785*AVERAGE('Assumptions (MSW)'!$H$2:$J$2)/10^9),0)</f>
        <v>-4.6209295250189922E-2</v>
      </c>
      <c r="Z1851" s="105">
        <f>IF($L$1785&gt;0,PPMT('Assumptions (MSW)'!$V$6,Model!AK$1,'Assumptions (MSW)'!$V$9,'Assumptions (MSW)'!$V$4*Model!$L$1785*AVERAGE('Assumptions (MSW)'!$H$2:$J$2)/10^9),0)</f>
        <v>-4.8404236774573936E-2</v>
      </c>
      <c r="AA1851" s="105"/>
      <c r="AB1851" s="105"/>
      <c r="AC1851" s="105"/>
      <c r="AD1851" s="105"/>
      <c r="AE1851" s="105"/>
      <c r="AF1851" s="105"/>
      <c r="AG1851" s="105"/>
      <c r="AH1851" s="105"/>
      <c r="AI1851" s="105"/>
      <c r="AJ1851" s="105"/>
    </row>
    <row r="1852" spans="1:67" ht="15.75" hidden="1" customHeight="1" outlineLevel="1">
      <c r="A1852" s="435"/>
      <c r="B1852" s="99"/>
      <c r="C1852" s="105"/>
      <c r="D1852" s="105"/>
      <c r="E1852" s="105"/>
      <c r="F1852" s="105"/>
      <c r="G1852" s="105"/>
      <c r="H1852" s="105"/>
      <c r="I1852" s="105"/>
      <c r="J1852" s="105"/>
      <c r="K1852" s="105"/>
      <c r="L1852" s="105"/>
      <c r="M1852" s="105">
        <f>IF($M$1785&gt;0,PPMT('Assumptions (MSW)'!$V$6,Model!W$1,'Assumptions (MSW)'!$V$9,'Assumptions (MSW)'!$V$4*Model!$M$1785*AVERAGE('Assumptions (MSW)'!$I$2:$K$2)/10^9),0)</f>
        <v>-2.7872578508332028E-2</v>
      </c>
      <c r="N1852" s="105">
        <f>IF($M$1785&gt;0,PPMT('Assumptions (MSW)'!$V$6,Model!X$1,'Assumptions (MSW)'!$V$9,'Assumptions (MSW)'!$V$4*Model!$M$1785*AVERAGE('Assumptions (MSW)'!$I$2:$K$2)/10^9),0)</f>
        <v>-2.9196525987477798E-2</v>
      </c>
      <c r="O1852" s="105">
        <f>IF($M$1785&gt;0,PPMT('Assumptions (MSW)'!$V$6,Model!Y$1,'Assumptions (MSW)'!$V$9,'Assumptions (MSW)'!$V$4*Model!$M$1785*AVERAGE('Assumptions (MSW)'!$I$2:$K$2)/10^9),0)</f>
        <v>-3.0583360971882998E-2</v>
      </c>
      <c r="P1852" s="105">
        <f>IF($M$1785&gt;0,PPMT('Assumptions (MSW)'!$V$6,Model!Z$1,'Assumptions (MSW)'!$V$9,'Assumptions (MSW)'!$V$4*Model!$M$1785*AVERAGE('Assumptions (MSW)'!$I$2:$K$2)/10^9),0)</f>
        <v>-3.2036070618047433E-2</v>
      </c>
      <c r="Q1852" s="105">
        <f>IF($M$1785&gt;0,PPMT('Assumptions (MSW)'!$V$6,Model!AA$1,'Assumptions (MSW)'!$V$9,'Assumptions (MSW)'!$V$4*Model!$M$1785*AVERAGE('Assumptions (MSW)'!$I$2:$K$2)/10^9),0)</f>
        <v>-3.3557783972404685E-2</v>
      </c>
      <c r="R1852" s="105">
        <f>IF($M$1785&gt;0,PPMT('Assumptions (MSW)'!$V$6,Model!AB$1,'Assumptions (MSW)'!$V$9,'Assumptions (MSW)'!$V$4*Model!$M$1785*AVERAGE('Assumptions (MSW)'!$I$2:$K$2)/10^9),0)</f>
        <v>-3.5151778711093908E-2</v>
      </c>
      <c r="S1852" s="105">
        <f>IF($M$1785&gt;0,PPMT('Assumptions (MSW)'!$V$6,Model!AC$1,'Assumptions (MSW)'!$V$9,'Assumptions (MSW)'!$V$4*Model!$M$1785*AVERAGE('Assumptions (MSW)'!$I$2:$K$2)/10^9),0)</f>
        <v>-3.6821488199870876E-2</v>
      </c>
      <c r="T1852" s="105">
        <f>IF($M$1785&gt;0,PPMT('Assumptions (MSW)'!$V$6,Model!AD$1,'Assumptions (MSW)'!$V$9,'Assumptions (MSW)'!$V$4*Model!$M$1785*AVERAGE('Assumptions (MSW)'!$I$2:$K$2)/10^9),0)</f>
        <v>-3.8570508889364738E-2</v>
      </c>
      <c r="U1852" s="105">
        <f>IF($M$1785&gt;0,PPMT('Assumptions (MSW)'!$V$6,Model!AE$1,'Assumptions (MSW)'!$V$9,'Assumptions (MSW)'!$V$4*Model!$M$1785*AVERAGE('Assumptions (MSW)'!$I$2:$K$2)/10^9),0)</f>
        <v>-4.0402608061609564E-2</v>
      </c>
      <c r="V1852" s="105">
        <f>IF($M$1785&gt;0,PPMT('Assumptions (MSW)'!$V$6,Model!AF$1,'Assumptions (MSW)'!$V$9,'Assumptions (MSW)'!$V$4*Model!$M$1785*AVERAGE('Assumptions (MSW)'!$I$2:$K$2)/10^9),0)</f>
        <v>-4.232173194453602E-2</v>
      </c>
      <c r="W1852" s="105">
        <f>IF($M$1785&gt;0,PPMT('Assumptions (MSW)'!$V$6,Model!AG$1,'Assumptions (MSW)'!$V$9,'Assumptions (MSW)'!$V$4*Model!$M$1785*AVERAGE('Assumptions (MSW)'!$I$2:$K$2)/10^9),0)</f>
        <v>-4.4332014211901485E-2</v>
      </c>
      <c r="X1852" s="105">
        <f>IF($M$1785&gt;0,PPMT('Assumptions (MSW)'!$V$6,Model!AH$1,'Assumptions (MSW)'!$V$9,'Assumptions (MSW)'!$V$4*Model!$M$1785*AVERAGE('Assumptions (MSW)'!$I$2:$K$2)/10^9),0)</f>
        <v>-4.6437784886966801E-2</v>
      </c>
      <c r="Y1852" s="105">
        <f>IF($M$1785&gt;0,PPMT('Assumptions (MSW)'!$V$6,Model!AI$1,'Assumptions (MSW)'!$V$9,'Assumptions (MSW)'!$V$4*Model!$M$1785*AVERAGE('Assumptions (MSW)'!$I$2:$K$2)/10^9),0)</f>
        <v>-4.8643579669097721E-2</v>
      </c>
      <c r="Z1852" s="105">
        <f>IF($M$1785&gt;0,PPMT('Assumptions (MSW)'!$V$6,Model!AJ$1,'Assumptions (MSW)'!$V$9,'Assumptions (MSW)'!$V$4*Model!$M$1785*AVERAGE('Assumptions (MSW)'!$I$2:$K$2)/10^9),0)</f>
        <v>-5.0954149703379872E-2</v>
      </c>
      <c r="AA1852" s="105">
        <f>IF($M$1785&gt;0,PPMT('Assumptions (MSW)'!$V$6,Model!AK$1,'Assumptions (MSW)'!$V$9,'Assumptions (MSW)'!$V$4*Model!$M$1785*AVERAGE('Assumptions (MSW)'!$I$2:$K$2)/10^9),0)</f>
        <v>-5.3374471814290406E-2</v>
      </c>
      <c r="AB1852" s="105"/>
      <c r="AC1852" s="105"/>
      <c r="AD1852" s="105"/>
      <c r="AE1852" s="105"/>
      <c r="AF1852" s="105"/>
      <c r="AG1852" s="105"/>
      <c r="AH1852" s="105"/>
      <c r="AI1852" s="105"/>
      <c r="AJ1852" s="105"/>
      <c r="AK1852" s="105"/>
    </row>
    <row r="1853" spans="1:67" ht="15.75" hidden="1" customHeight="1" outlineLevel="1">
      <c r="A1853" s="435"/>
      <c r="B1853" s="99"/>
      <c r="C1853" s="105"/>
      <c r="D1853" s="105"/>
      <c r="E1853" s="105"/>
      <c r="F1853" s="105"/>
      <c r="G1853" s="105"/>
      <c r="H1853" s="105"/>
      <c r="I1853" s="105"/>
      <c r="J1853" s="105"/>
      <c r="K1853" s="105"/>
      <c r="L1853" s="105"/>
      <c r="M1853" s="105"/>
      <c r="N1853" s="91">
        <f>IF($N$1785&gt;0,PPMT('Assumptions (MSW)'!$V$6,Model!W$1,'Assumptions (MSW)'!$V$9,'Assumptions (MSW)'!$V$4*Model!$N$1785*AVERAGE('Assumptions (MSW)'!$J$2:$L$2)/10^9),0)</f>
        <v>-2.8589413568777571E-2</v>
      </c>
      <c r="O1853" s="91">
        <f>IF($N$1785&gt;0,PPMT('Assumptions (MSW)'!$V$6,Model!X$1,'Assumptions (MSW)'!$V$9,'Assumptions (MSW)'!$V$4*Model!$N$1785*AVERAGE('Assumptions (MSW)'!$J$2:$L$2)/10^9),0)</f>
        <v>-2.9947410713294511E-2</v>
      </c>
      <c r="P1853" s="91">
        <f>IF($N$1785&gt;0,PPMT('Assumptions (MSW)'!$V$6,Model!Y$1,'Assumptions (MSW)'!$V$9,'Assumptions (MSW)'!$V$4*Model!$N$1785*AVERAGE('Assumptions (MSW)'!$J$2:$L$2)/10^9),0)</f>
        <v>-3.1369912722175999E-2</v>
      </c>
      <c r="Q1853" s="91">
        <f>IF($N$1785&gt;0,PPMT('Assumptions (MSW)'!$V$6,Model!Z$1,'Assumptions (MSW)'!$V$9,'Assumptions (MSW)'!$V$4*Model!$N$1785*AVERAGE('Assumptions (MSW)'!$J$2:$L$2)/10^9),0)</f>
        <v>-3.285998357647936E-2</v>
      </c>
      <c r="R1853" s="91">
        <f>IF($N$1785&gt;0,PPMT('Assumptions (MSW)'!$V$6,Model!AA$1,'Assumptions (MSW)'!$V$9,'Assumptions (MSW)'!$V$4*Model!$N$1785*AVERAGE('Assumptions (MSW)'!$J$2:$L$2)/10^9),0)</f>
        <v>-3.4420832796362127E-2</v>
      </c>
      <c r="S1853" s="91">
        <f>IF($N$1785&gt;0,PPMT('Assumptions (MSW)'!$V$6,Model!AB$1,'Assumptions (MSW)'!$V$9,'Assumptions (MSW)'!$V$4*Model!$N$1785*AVERAGE('Assumptions (MSW)'!$J$2:$L$2)/10^9),0)</f>
        <v>-3.6055822354189325E-2</v>
      </c>
      <c r="T1853" s="91">
        <f>IF($N$1785&gt;0,PPMT('Assumptions (MSW)'!$V$6,Model!AC$1,'Assumptions (MSW)'!$V$9,'Assumptions (MSW)'!$V$4*Model!$N$1785*AVERAGE('Assumptions (MSW)'!$J$2:$L$2)/10^9),0)</f>
        <v>-3.7768473916013325E-2</v>
      </c>
      <c r="U1853" s="91">
        <f>IF($N$1785&gt;0,PPMT('Assumptions (MSW)'!$V$6,Model!AD$1,'Assumptions (MSW)'!$V$9,'Assumptions (MSW)'!$V$4*Model!$N$1785*AVERAGE('Assumptions (MSW)'!$J$2:$L$2)/10^9),0)</f>
        <v>-3.9562476427023957E-2</v>
      </c>
      <c r="V1853" s="91">
        <f>IF($N$1785&gt;0,PPMT('Assumptions (MSW)'!$V$6,Model!AE$1,'Assumptions (MSW)'!$V$9,'Assumptions (MSW)'!$V$4*Model!$N$1785*AVERAGE('Assumptions (MSW)'!$J$2:$L$2)/10^9),0)</f>
        <v>-4.144169405730759E-2</v>
      </c>
      <c r="W1853" s="91">
        <f>IF($N$1785&gt;0,PPMT('Assumptions (MSW)'!$V$6,Model!AF$1,'Assumptions (MSW)'!$V$9,'Assumptions (MSW)'!$V$4*Model!$N$1785*AVERAGE('Assumptions (MSW)'!$J$2:$L$2)/10^9),0)</f>
        <v>-4.3410174525029703E-2</v>
      </c>
      <c r="X1853" s="91">
        <f>IF($N$1785&gt;0,PPMT('Assumptions (MSW)'!$V$6,Model!AG$1,'Assumptions (MSW)'!$V$9,'Assumptions (MSW)'!$V$4*Model!$N$1785*AVERAGE('Assumptions (MSW)'!$J$2:$L$2)/10^9),0)</f>
        <v>-4.547215781496862E-2</v>
      </c>
      <c r="Y1853" s="91">
        <f>IF($N$1785&gt;0,PPMT('Assumptions (MSW)'!$V$6,Model!AH$1,'Assumptions (MSW)'!$V$9,'Assumptions (MSW)'!$V$4*Model!$N$1785*AVERAGE('Assumptions (MSW)'!$J$2:$L$2)/10^9),0)</f>
        <v>-4.7632085311179621E-2</v>
      </c>
      <c r="Z1853" s="91">
        <f>IF($N$1785&gt;0,PPMT('Assumptions (MSW)'!$V$6,Model!AI$1,'Assumptions (MSW)'!$V$9,'Assumptions (MSW)'!$V$4*Model!$N$1785*AVERAGE('Assumptions (MSW)'!$J$2:$L$2)/10^9),0)</f>
        <v>-4.9894609363460664E-2</v>
      </c>
      <c r="AA1853" s="91">
        <f>IF($N$1785&gt;0,PPMT('Assumptions (MSW)'!$V$6,Model!AJ$1,'Assumptions (MSW)'!$V$9,'Assumptions (MSW)'!$V$4*Model!$N$1785*AVERAGE('Assumptions (MSW)'!$J$2:$L$2)/10^9),0)</f>
        <v>-5.2264603308225042E-2</v>
      </c>
      <c r="AB1853" s="91">
        <f>IF($N$1785&gt;0,PPMT('Assumptions (MSW)'!$V$6,Model!AK$1,'Assumptions (MSW)'!$V$9,'Assumptions (MSW)'!$V$4*Model!$N$1785*AVERAGE('Assumptions (MSW)'!$J$2:$L$2)/10^9),0)</f>
        <v>-5.4747171965365722E-2</v>
      </c>
      <c r="AC1853" s="91"/>
      <c r="AD1853" s="91"/>
      <c r="AE1853" s="91"/>
      <c r="AF1853" s="91"/>
      <c r="AG1853" s="91"/>
      <c r="AH1853" s="91"/>
      <c r="AI1853" s="91"/>
      <c r="AJ1853" s="91"/>
      <c r="AK1853" s="91"/>
      <c r="AL1853" s="91"/>
    </row>
    <row r="1854" spans="1:67" ht="15.75" hidden="1" customHeight="1" outlineLevel="1">
      <c r="A1854" s="435"/>
      <c r="B1854" s="99"/>
      <c r="C1854" s="105"/>
      <c r="D1854" s="105"/>
      <c r="E1854" s="105"/>
      <c r="F1854" s="105"/>
      <c r="G1854" s="105"/>
      <c r="H1854" s="105"/>
      <c r="I1854" s="105"/>
      <c r="J1854" s="105"/>
      <c r="K1854" s="105"/>
      <c r="L1854" s="105"/>
      <c r="M1854" s="105"/>
      <c r="N1854" s="105"/>
      <c r="O1854" s="105">
        <f>IF($O$1785&gt;0,PPMT('Assumptions (MSW)'!$V$6,Model!W$1,'Assumptions (MSW)'!$V$9,'Assumptions (MSW)'!$V$4*Model!$O$1785*AVERAGE('Assumptions (MSW)'!$K$2:$M$2)/10^9),0)</f>
        <v>-3.5298263133342139E-2</v>
      </c>
      <c r="P1854" s="105">
        <f>IF($O$1785&gt;0,PPMT('Assumptions (MSW)'!$V$6,Model!X$1,'Assumptions (MSW)'!$V$9,'Assumptions (MSW)'!$V$4*Model!$O$1785*AVERAGE('Assumptions (MSW)'!$K$2:$M$2)/10^9),0)</f>
        <v>-3.6974930632175898E-2</v>
      </c>
      <c r="Q1854" s="105">
        <f>IF($O$1785&gt;0,PPMT('Assumptions (MSW)'!$V$6,Model!Y$1,'Assumptions (MSW)'!$V$9,'Assumptions (MSW)'!$V$4*Model!$O$1785*AVERAGE('Assumptions (MSW)'!$K$2:$M$2)/10^9),0)</f>
        <v>-3.8731239837204251E-2</v>
      </c>
      <c r="R1854" s="105">
        <f>IF($O$1785&gt;0,PPMT('Assumptions (MSW)'!$V$6,Model!Z$1,'Assumptions (MSW)'!$V$9,'Assumptions (MSW)'!$V$4*Model!$O$1785*AVERAGE('Assumptions (MSW)'!$K$2:$M$2)/10^9),0)</f>
        <v>-4.0570973729471452E-2</v>
      </c>
      <c r="S1854" s="105">
        <f>IF($O$1785&gt;0,PPMT('Assumptions (MSW)'!$V$6,Model!AA$1,'Assumptions (MSW)'!$V$9,'Assumptions (MSW)'!$V$4*Model!$O$1785*AVERAGE('Assumptions (MSW)'!$K$2:$M$2)/10^9),0)</f>
        <v>-4.249809498162134E-2</v>
      </c>
      <c r="T1854" s="105">
        <f>IF($O$1785&gt;0,PPMT('Assumptions (MSW)'!$V$6,Model!AB$1,'Assumptions (MSW)'!$V$9,'Assumptions (MSW)'!$V$4*Model!$O$1785*AVERAGE('Assumptions (MSW)'!$K$2:$M$2)/10^9),0)</f>
        <v>-4.4516754493248364E-2</v>
      </c>
      <c r="U1854" s="105">
        <f>IF($O$1785&gt;0,PPMT('Assumptions (MSW)'!$V$6,Model!AC$1,'Assumptions (MSW)'!$V$9,'Assumptions (MSW)'!$V$4*Model!$O$1785*AVERAGE('Assumptions (MSW)'!$K$2:$M$2)/10^9),0)</f>
        <v>-4.6631300331677658E-2</v>
      </c>
      <c r="V1854" s="105">
        <f>IF($O$1785&gt;0,PPMT('Assumptions (MSW)'!$V$6,Model!AD$1,'Assumptions (MSW)'!$V$9,'Assumptions (MSW)'!$V$4*Model!$O$1785*AVERAGE('Assumptions (MSW)'!$K$2:$M$2)/10^9),0)</f>
        <v>-4.8846287097432349E-2</v>
      </c>
      <c r="W1854" s="105">
        <f>IF($O$1785&gt;0,PPMT('Assumptions (MSW)'!$V$6,Model!AE$1,'Assumptions (MSW)'!$V$9,'Assumptions (MSW)'!$V$4*Model!$O$1785*AVERAGE('Assumptions (MSW)'!$K$2:$M$2)/10^9),0)</f>
        <v>-5.1166485734560382E-2</v>
      </c>
      <c r="X1854" s="105">
        <f>IF($O$1785&gt;0,PPMT('Assumptions (MSW)'!$V$6,Model!AF$1,'Assumptions (MSW)'!$V$9,'Assumptions (MSW)'!$V$4*Model!$O$1785*AVERAGE('Assumptions (MSW)'!$K$2:$M$2)/10^9),0)</f>
        <v>-5.3596893806951998E-2</v>
      </c>
      <c r="Y1854" s="105">
        <f>IF($O$1785&gt;0,PPMT('Assumptions (MSW)'!$V$6,Model!AG$1,'Assumptions (MSW)'!$V$9,'Assumptions (MSW)'!$V$4*Model!$O$1785*AVERAGE('Assumptions (MSW)'!$K$2:$M$2)/10^9),0)</f>
        <v>-5.6142746262782227E-2</v>
      </c>
      <c r="Z1854" s="105">
        <f>IF($O$1785&gt;0,PPMT('Assumptions (MSW)'!$V$6,Model!AH$1,'Assumptions (MSW)'!$V$9,'Assumptions (MSW)'!$V$4*Model!$O$1785*AVERAGE('Assumptions (MSW)'!$K$2:$M$2)/10^9),0)</f>
        <v>-5.8809526710264383E-2</v>
      </c>
      <c r="AA1854" s="105">
        <f>IF($O$1785&gt;0,PPMT('Assumptions (MSW)'!$V$6,Model!AI$1,'Assumptions (MSW)'!$V$9,'Assumptions (MSW)'!$V$4*Model!$O$1785*AVERAGE('Assumptions (MSW)'!$K$2:$M$2)/10^9),0)</f>
        <v>-6.1602979229001938E-2</v>
      </c>
      <c r="AB1854" s="105">
        <f>IF($O$1785&gt;0,PPMT('Assumptions (MSW)'!$V$6,Model!AJ$1,'Assumptions (MSW)'!$V$9,'Assumptions (MSW)'!$V$4*Model!$O$1785*AVERAGE('Assumptions (MSW)'!$K$2:$M$2)/10^9),0)</f>
        <v>-6.4529120742379528E-2</v>
      </c>
      <c r="AC1854" s="105">
        <f>IF($O$1785&gt;0,PPMT('Assumptions (MSW)'!$V$6,Model!AK$1,'Assumptions (MSW)'!$V$9,'Assumptions (MSW)'!$V$4*Model!$O$1785*AVERAGE('Assumptions (MSW)'!$K$2:$M$2)/10^9),0)</f>
        <v>-6.7594253977642557E-2</v>
      </c>
      <c r="AD1854" s="105"/>
      <c r="AE1854" s="105"/>
      <c r="AF1854" s="105"/>
      <c r="AG1854" s="105"/>
      <c r="AH1854" s="105"/>
      <c r="AI1854" s="105"/>
      <c r="AJ1854" s="105"/>
      <c r="AK1854" s="105"/>
      <c r="AL1854" s="105"/>
      <c r="AM1854" s="105"/>
    </row>
    <row r="1855" spans="1:67" ht="15.75" hidden="1" customHeight="1" outlineLevel="1">
      <c r="A1855" s="435"/>
      <c r="B1855" s="99"/>
      <c r="C1855" s="105"/>
      <c r="D1855" s="105"/>
      <c r="E1855" s="105"/>
      <c r="F1855" s="105"/>
      <c r="G1855" s="105"/>
      <c r="H1855" s="105"/>
      <c r="I1855" s="105"/>
      <c r="J1855" s="105"/>
      <c r="K1855" s="105"/>
      <c r="L1855" s="105"/>
      <c r="M1855" s="105"/>
      <c r="N1855" s="105"/>
      <c r="O1855" s="105"/>
      <c r="P1855" s="91">
        <f>IF($P$1785&gt;0,PPMT('Assumptions (MSW)'!$V$6,Model!W$1,'Assumptions (MSW)'!$V$9,'Assumptions (MSW)'!$V$4*Model!$P$1785*AVERAGE('Assumptions (MSW)'!$L$2:$N$2)/10^9),0)</f>
        <v>-2.9018952075079211E-2</v>
      </c>
      <c r="Q1855" s="91">
        <f>IF($P$1785&gt;0,PPMT('Assumptions (MSW)'!$V$6,Model!X$1,'Assumptions (MSW)'!$V$9,'Assumptions (MSW)'!$V$4*Model!$P$1785*AVERAGE('Assumptions (MSW)'!$L$2:$N$2)/10^9),0)</f>
        <v>-3.0397352298645475E-2</v>
      </c>
      <c r="R1855" s="91">
        <f>IF($P$1785&gt;0,PPMT('Assumptions (MSW)'!$V$6,Model!Y$1,'Assumptions (MSW)'!$V$9,'Assumptions (MSW)'!$V$4*Model!$P$1785*AVERAGE('Assumptions (MSW)'!$L$2:$N$2)/10^9),0)</f>
        <v>-3.1841226532831134E-2</v>
      </c>
      <c r="S1855" s="91">
        <f>IF($P$1785&gt;0,PPMT('Assumptions (MSW)'!$V$6,Model!Z$1,'Assumptions (MSW)'!$V$9,'Assumptions (MSW)'!$V$4*Model!$P$1785*AVERAGE('Assumptions (MSW)'!$L$2:$N$2)/10^9),0)</f>
        <v>-3.335368479314061E-2</v>
      </c>
      <c r="T1855" s="91">
        <f>IF($P$1785&gt;0,PPMT('Assumptions (MSW)'!$V$6,Model!AA$1,'Assumptions (MSW)'!$V$9,'Assumptions (MSW)'!$V$4*Model!$P$1785*AVERAGE('Assumptions (MSW)'!$L$2:$N$2)/10^9),0)</f>
        <v>-3.4937984820814789E-2</v>
      </c>
      <c r="U1855" s="91">
        <f>IF($P$1785&gt;0,PPMT('Assumptions (MSW)'!$V$6,Model!AB$1,'Assumptions (MSW)'!$V$9,'Assumptions (MSW)'!$V$4*Model!$P$1785*AVERAGE('Assumptions (MSW)'!$L$2:$N$2)/10^9),0)</f>
        <v>-3.659753909980349E-2</v>
      </c>
      <c r="V1855" s="91">
        <f>IF($P$1785&gt;0,PPMT('Assumptions (MSW)'!$V$6,Model!AC$1,'Assumptions (MSW)'!$V$9,'Assumptions (MSW)'!$V$4*Model!$P$1785*AVERAGE('Assumptions (MSW)'!$L$2:$N$2)/10^9),0)</f>
        <v>-3.8335922207044161E-2</v>
      </c>
      <c r="W1855" s="91">
        <f>IF($P$1785&gt;0,PPMT('Assumptions (MSW)'!$V$6,Model!AD$1,'Assumptions (MSW)'!$V$9,'Assumptions (MSW)'!$V$4*Model!$P$1785*AVERAGE('Assumptions (MSW)'!$L$2:$N$2)/10^9),0)</f>
        <v>-4.0156878511878755E-2</v>
      </c>
      <c r="X1855" s="91">
        <f>IF($P$1785&gt;0,PPMT('Assumptions (MSW)'!$V$6,Model!AE$1,'Assumptions (MSW)'!$V$9,'Assumptions (MSW)'!$V$4*Model!$P$1785*AVERAGE('Assumptions (MSW)'!$L$2:$N$2)/10^9),0)</f>
        <v>-4.2064330241192993E-2</v>
      </c>
      <c r="Y1855" s="91">
        <f>IF($P$1785&gt;0,PPMT('Assumptions (MSW)'!$V$6,Model!AF$1,'Assumptions (MSW)'!$V$9,'Assumptions (MSW)'!$V$4*Model!$P$1785*AVERAGE('Assumptions (MSW)'!$L$2:$N$2)/10^9),0)</f>
        <v>-4.4062385927649668E-2</v>
      </c>
      <c r="Z1855" s="91">
        <f>IF($P$1785&gt;0,PPMT('Assumptions (MSW)'!$V$6,Model!AG$1,'Assumptions (MSW)'!$V$9,'Assumptions (MSW)'!$V$4*Model!$P$1785*AVERAGE('Assumptions (MSW)'!$L$2:$N$2)/10^9),0)</f>
        <v>-4.6155349259213031E-2</v>
      </c>
      <c r="AA1855" s="91">
        <f>IF($P$1785&gt;0,PPMT('Assumptions (MSW)'!$V$6,Model!AH$1,'Assumptions (MSW)'!$V$9,'Assumptions (MSW)'!$V$4*Model!$P$1785*AVERAGE('Assumptions (MSW)'!$L$2:$N$2)/10^9),0)</f>
        <v>-4.8347728349025641E-2</v>
      </c>
      <c r="AB1855" s="91">
        <f>IF($P$1785&gt;0,PPMT('Assumptions (MSW)'!$V$6,Model!AI$1,'Assumptions (MSW)'!$V$9,'Assumptions (MSW)'!$V$4*Model!$P$1785*AVERAGE('Assumptions (MSW)'!$L$2:$N$2)/10^9),0)</f>
        <v>-5.064424544560437E-2</v>
      </c>
      <c r="AC1855" s="91">
        <f>IF($P$1785&gt;0,PPMT('Assumptions (MSW)'!$V$6,Model!AJ$1,'Assumptions (MSW)'!$V$9,'Assumptions (MSW)'!$V$4*Model!$P$1785*AVERAGE('Assumptions (MSW)'!$L$2:$N$2)/10^9),0)</f>
        <v>-5.3049847104270569E-2</v>
      </c>
      <c r="AD1855" s="91">
        <f>IF($P$1785&gt;0,PPMT('Assumptions (MSW)'!$V$6,Model!AK$1,'Assumptions (MSW)'!$V$9,'Assumptions (MSW)'!$V$4*Model!$P$1785*AVERAGE('Assumptions (MSW)'!$L$2:$N$2)/10^9),0)</f>
        <v>-5.5569714841723412E-2</v>
      </c>
      <c r="AE1855" s="91"/>
      <c r="AF1855" s="91"/>
      <c r="AG1855" s="91"/>
      <c r="AH1855" s="91"/>
      <c r="AI1855" s="91"/>
      <c r="AJ1855" s="91"/>
      <c r="AK1855" s="91"/>
      <c r="AL1855" s="91"/>
      <c r="AM1855" s="91"/>
      <c r="AN1855" s="91"/>
    </row>
    <row r="1856" spans="1:67" ht="15.75" hidden="1" customHeight="1" outlineLevel="1">
      <c r="A1856" s="435"/>
      <c r="B1856" s="99"/>
      <c r="C1856" s="105"/>
      <c r="D1856" s="105"/>
      <c r="E1856" s="105"/>
      <c r="F1856" s="105"/>
      <c r="G1856" s="105"/>
      <c r="H1856" s="105"/>
      <c r="I1856" s="105"/>
      <c r="J1856" s="105"/>
      <c r="K1856" s="105"/>
      <c r="L1856" s="105"/>
      <c r="M1856" s="105"/>
      <c r="N1856" s="105"/>
      <c r="O1856" s="105"/>
      <c r="P1856" s="171"/>
      <c r="Q1856" s="105">
        <f>IF($Q$1785&gt;0,PPMT('Assumptions (MSW)'!$V$6,Model!W$1,'Assumptions (MSW)'!$V$9,'Assumptions (MSW)'!$V$4*Model!$Q$1785*AVERAGE('Assumptions (MSW)'!$M$2:$O$2)/10^9),0)</f>
        <v>-1.8668720982814888E-2</v>
      </c>
      <c r="R1856" s="105">
        <f>IF($Q$1785&gt;0,PPMT('Assumptions (MSW)'!$V$6,Model!X$1,'Assumptions (MSW)'!$V$9,'Assumptions (MSW)'!$V$4*Model!$Q$1785*AVERAGE('Assumptions (MSW)'!$M$2:$O$2)/10^9),0)</f>
        <v>-1.9555485229498598E-2</v>
      </c>
      <c r="S1856" s="105">
        <f>IF($Q$1785&gt;0,PPMT('Assumptions (MSW)'!$V$6,Model!Y$1,'Assumptions (MSW)'!$V$9,'Assumptions (MSW)'!$V$4*Model!$Q$1785*AVERAGE('Assumptions (MSW)'!$M$2:$O$2)/10^9),0)</f>
        <v>-2.0484370777899781E-2</v>
      </c>
      <c r="T1856" s="105">
        <f>IF($Q$1785&gt;0,PPMT('Assumptions (MSW)'!$V$6,Model!Z$1,'Assumptions (MSW)'!$V$9,'Assumptions (MSW)'!$V$4*Model!$Q$1785*AVERAGE('Assumptions (MSW)'!$M$2:$O$2)/10^9),0)</f>
        <v>-2.1457378389850019E-2</v>
      </c>
      <c r="U1856" s="105">
        <f>IF($Q$1785&gt;0,PPMT('Assumptions (MSW)'!$V$6,Model!AA$1,'Assumptions (MSW)'!$V$9,'Assumptions (MSW)'!$V$4*Model!$Q$1785*AVERAGE('Assumptions (MSW)'!$M$2:$O$2)/10^9),0)</f>
        <v>-2.2476603863367892E-2</v>
      </c>
      <c r="V1856" s="105">
        <f>IF($Q$1785&gt;0,PPMT('Assumptions (MSW)'!$V$6,Model!AB$1,'Assumptions (MSW)'!$V$9,'Assumptions (MSW)'!$V$4*Model!$Q$1785*AVERAGE('Assumptions (MSW)'!$M$2:$O$2)/10^9),0)</f>
        <v>-2.3544242546877869E-2</v>
      </c>
      <c r="W1856" s="105">
        <f>IF($Q$1785&gt;0,PPMT('Assumptions (MSW)'!$V$6,Model!AC$1,'Assumptions (MSW)'!$V$9,'Assumptions (MSW)'!$V$4*Model!$Q$1785*AVERAGE('Assumptions (MSW)'!$M$2:$O$2)/10^9),0)</f>
        <v>-2.4662594067854572E-2</v>
      </c>
      <c r="X1856" s="105">
        <f>IF($Q$1785&gt;0,PPMT('Assumptions (MSW)'!$V$6,Model!AD$1,'Assumptions (MSW)'!$V$9,'Assumptions (MSW)'!$V$4*Model!$Q$1785*AVERAGE('Assumptions (MSW)'!$M$2:$O$2)/10^9),0)</f>
        <v>-2.583406728607766E-2</v>
      </c>
      <c r="Y1856" s="105">
        <f>IF($Q$1785&gt;0,PPMT('Assumptions (MSW)'!$V$6,Model!AE$1,'Assumptions (MSW)'!$V$9,'Assumptions (MSW)'!$V$4*Model!$Q$1785*AVERAGE('Assumptions (MSW)'!$M$2:$O$2)/10^9),0)</f>
        <v>-2.706118548216635E-2</v>
      </c>
      <c r="Z1856" s="105">
        <f>IF($Q$1785&gt;0,PPMT('Assumptions (MSW)'!$V$6,Model!AF$1,'Assumptions (MSW)'!$V$9,'Assumptions (MSW)'!$V$4*Model!$Q$1785*AVERAGE('Assumptions (MSW)'!$M$2:$O$2)/10^9),0)</f>
        <v>-2.8346591792569254E-2</v>
      </c>
      <c r="AA1856" s="105">
        <f>IF($Q$1785&gt;0,PPMT('Assumptions (MSW)'!$V$6,Model!AG$1,'Assumptions (MSW)'!$V$9,'Assumptions (MSW)'!$V$4*Model!$Q$1785*AVERAGE('Assumptions (MSW)'!$M$2:$O$2)/10^9),0)</f>
        <v>-2.9693054902716294E-2</v>
      </c>
      <c r="AB1856" s="105">
        <f>IF($Q$1785&gt;0,PPMT('Assumptions (MSW)'!$V$6,Model!AH$1,'Assumptions (MSW)'!$V$9,'Assumptions (MSW)'!$V$4*Model!$Q$1785*AVERAGE('Assumptions (MSW)'!$M$2:$O$2)/10^9),0)</f>
        <v>-3.1103475010595315E-2</v>
      </c>
      <c r="AC1856" s="105">
        <f>IF($Q$1785&gt;0,PPMT('Assumptions (MSW)'!$V$6,Model!AI$1,'Assumptions (MSW)'!$V$9,'Assumptions (MSW)'!$V$4*Model!$Q$1785*AVERAGE('Assumptions (MSW)'!$M$2:$O$2)/10^9),0)</f>
        <v>-3.2580890073598594E-2</v>
      </c>
      <c r="AD1856" s="105">
        <f>IF($Q$1785&gt;0,PPMT('Assumptions (MSW)'!$V$6,Model!AJ$1,'Assumptions (MSW)'!$V$9,'Assumptions (MSW)'!$V$4*Model!$Q$1785*AVERAGE('Assumptions (MSW)'!$M$2:$O$2)/10^9),0)</f>
        <v>-3.4128482352094529E-2</v>
      </c>
      <c r="AE1856" s="105">
        <f>IF($Q$1785&gt;0,PPMT('Assumptions (MSW)'!$V$6,Model!AK$1,'Assumptions (MSW)'!$V$9,'Assumptions (MSW)'!$V$4*Model!$Q$1785*AVERAGE('Assumptions (MSW)'!$M$2:$O$2)/10^9),0)</f>
        <v>-3.5749585263819009E-2</v>
      </c>
      <c r="AF1856" s="105"/>
      <c r="AG1856" s="105"/>
      <c r="AH1856" s="105"/>
      <c r="AI1856" s="105"/>
      <c r="AJ1856" s="105"/>
      <c r="AK1856" s="105"/>
      <c r="AL1856" s="105"/>
      <c r="AM1856" s="105"/>
      <c r="AN1856" s="105"/>
      <c r="AO1856" s="105"/>
    </row>
    <row r="1857" spans="1:57" ht="15.75" hidden="1" customHeight="1" outlineLevel="1">
      <c r="A1857" s="435"/>
      <c r="B1857" s="99"/>
      <c r="C1857" s="105"/>
      <c r="D1857" s="105"/>
      <c r="E1857" s="105"/>
      <c r="F1857" s="105"/>
      <c r="G1857" s="105"/>
      <c r="H1857" s="105"/>
      <c r="I1857" s="105"/>
      <c r="J1857" s="105"/>
      <c r="K1857" s="105"/>
      <c r="L1857" s="105"/>
      <c r="M1857" s="105"/>
      <c r="N1857" s="105"/>
      <c r="O1857" s="105"/>
      <c r="P1857" s="171"/>
      <c r="Q1857" s="105"/>
      <c r="R1857" s="91">
        <f>IF($R$1785&gt;0,PPMT('Assumptions (MSW)'!$V$6,Model!W$1,'Assumptions (MSW)'!$V$9,'Assumptions (MSW)'!$V$4*Model!$R$1785*AVERAGE('Assumptions (MSW)'!$N$2:$P$2)/10^9),0)</f>
        <v>-2.1737748772016938E-2</v>
      </c>
      <c r="S1857" s="91">
        <f>IF($R$1785&gt;0,PPMT('Assumptions (MSW)'!$V$6,Model!X$1,'Assumptions (MSW)'!$V$9,'Assumptions (MSW)'!$V$4*Model!$R$1785*AVERAGE('Assumptions (MSW)'!$N$2:$P$2)/10^9),0)</f>
        <v>-2.2770291838687739E-2</v>
      </c>
      <c r="T1857" s="91">
        <f>IF($R$1785&gt;0,PPMT('Assumptions (MSW)'!$V$6,Model!Y$1,'Assumptions (MSW)'!$V$9,'Assumptions (MSW)'!$V$4*Model!$R$1785*AVERAGE('Assumptions (MSW)'!$N$2:$P$2)/10^9),0)</f>
        <v>-2.385188070102541E-2</v>
      </c>
      <c r="U1857" s="91">
        <f>IF($R$1785&gt;0,PPMT('Assumptions (MSW)'!$V$6,Model!Z$1,'Assumptions (MSW)'!$V$9,'Assumptions (MSW)'!$V$4*Model!$R$1785*AVERAGE('Assumptions (MSW)'!$N$2:$P$2)/10^9),0)</f>
        <v>-2.4984845034324115E-2</v>
      </c>
      <c r="V1857" s="91">
        <f>IF($R$1785&gt;0,PPMT('Assumptions (MSW)'!$V$6,Model!AA$1,'Assumptions (MSW)'!$V$9,'Assumptions (MSW)'!$V$4*Model!$R$1785*AVERAGE('Assumptions (MSW)'!$N$2:$P$2)/10^9),0)</f>
        <v>-2.6171625173454508E-2</v>
      </c>
      <c r="W1857" s="91">
        <f>IF($R$1785&gt;0,PPMT('Assumptions (MSW)'!$V$6,Model!AB$1,'Assumptions (MSW)'!$V$9,'Assumptions (MSW)'!$V$4*Model!$R$1785*AVERAGE('Assumptions (MSW)'!$N$2:$P$2)/10^9),0)</f>
        <v>-2.7414777369193597E-2</v>
      </c>
      <c r="X1857" s="91">
        <f>IF($R$1785&gt;0,PPMT('Assumptions (MSW)'!$V$6,Model!AC$1,'Assumptions (MSW)'!$V$9,'Assumptions (MSW)'!$V$4*Model!$R$1785*AVERAGE('Assumptions (MSW)'!$N$2:$P$2)/10^9),0)</f>
        <v>-2.8716979294230296E-2</v>
      </c>
      <c r="Y1857" s="91">
        <f>IF($R$1785&gt;0,PPMT('Assumptions (MSW)'!$V$6,Model!AD$1,'Assumptions (MSW)'!$V$9,'Assumptions (MSW)'!$V$4*Model!$R$1785*AVERAGE('Assumptions (MSW)'!$N$2:$P$2)/10^9),0)</f>
        <v>-3.0081035810706237E-2</v>
      </c>
      <c r="Z1857" s="91">
        <f>IF($R$1785&gt;0,PPMT('Assumptions (MSW)'!$V$6,Model!AE$1,'Assumptions (MSW)'!$V$9,'Assumptions (MSW)'!$V$4*Model!$R$1785*AVERAGE('Assumptions (MSW)'!$N$2:$P$2)/10^9),0)</f>
        <v>-3.1509885011714776E-2</v>
      </c>
      <c r="AA1857" s="91">
        <f>IF($R$1785&gt;0,PPMT('Assumptions (MSW)'!$V$6,Model!AF$1,'Assumptions (MSW)'!$V$9,'Assumptions (MSW)'!$V$4*Model!$R$1785*AVERAGE('Assumptions (MSW)'!$N$2:$P$2)/10^9),0)</f>
        <v>-3.3006604549771237E-2</v>
      </c>
      <c r="AB1857" s="91">
        <f>IF($R$1785&gt;0,PPMT('Assumptions (MSW)'!$V$6,Model!AG$1,'Assumptions (MSW)'!$V$9,'Assumptions (MSW)'!$V$4*Model!$R$1785*AVERAGE('Assumptions (MSW)'!$N$2:$P$2)/10^9),0)</f>
        <v>-3.4574418265885365E-2</v>
      </c>
      <c r="AC1857" s="91">
        <f>IF($R$1785&gt;0,PPMT('Assumptions (MSW)'!$V$6,Model!AH$1,'Assumptions (MSW)'!$V$9,'Assumptions (MSW)'!$V$4*Model!$R$1785*AVERAGE('Assumptions (MSW)'!$N$2:$P$2)/10^9),0)</f>
        <v>-3.6216703133514924E-2</v>
      </c>
      <c r="AD1857" s="91">
        <f>IF($R$1785&gt;0,PPMT('Assumptions (MSW)'!$V$6,Model!AI$1,'Assumptions (MSW)'!$V$9,'Assumptions (MSW)'!$V$4*Model!$R$1785*AVERAGE('Assumptions (MSW)'!$N$2:$P$2)/10^9),0)</f>
        <v>-3.7936996532356881E-2</v>
      </c>
      <c r="AE1857" s="91">
        <f>IF($R$1785&gt;0,PPMT('Assumptions (MSW)'!$V$6,Model!AJ$1,'Assumptions (MSW)'!$V$9,'Assumptions (MSW)'!$V$4*Model!$R$1785*AVERAGE('Assumptions (MSW)'!$N$2:$P$2)/10^9),0)</f>
        <v>-3.9739003867643834E-2</v>
      </c>
      <c r="AF1857" s="91">
        <f>IF($R$1785&gt;0,PPMT('Assumptions (MSW)'!$V$6,Model!AK$1,'Assumptions (MSW)'!$V$9,'Assumptions (MSW)'!$V$4*Model!$R$1785*AVERAGE('Assumptions (MSW)'!$N$2:$P$2)/10^9),0)</f>
        <v>-4.1626606551356908E-2</v>
      </c>
      <c r="AG1857" s="91"/>
      <c r="AH1857" s="91"/>
      <c r="AI1857" s="91"/>
      <c r="AJ1857" s="91"/>
      <c r="AK1857" s="91"/>
      <c r="AL1857" s="91"/>
      <c r="AM1857" s="91"/>
      <c r="AN1857" s="91"/>
      <c r="AO1857" s="91"/>
      <c r="AP1857" s="91"/>
    </row>
    <row r="1858" spans="1:57" ht="15.75" hidden="1" customHeight="1" outlineLevel="1">
      <c r="A1858" s="435"/>
      <c r="B1858" s="99"/>
      <c r="C1858" s="105"/>
      <c r="D1858" s="105"/>
      <c r="E1858" s="105"/>
      <c r="F1858" s="105"/>
      <c r="G1858" s="105"/>
      <c r="H1858" s="105"/>
      <c r="I1858" s="105"/>
      <c r="J1858" s="105"/>
      <c r="K1858" s="105"/>
      <c r="L1858" s="105"/>
      <c r="M1858" s="105"/>
      <c r="N1858" s="105"/>
      <c r="O1858" s="105"/>
      <c r="P1858" s="171"/>
      <c r="Q1858" s="105"/>
      <c r="R1858" s="91"/>
      <c r="S1858" s="105">
        <f>IF($S$1785&gt;0,PPMT('Assumptions (MSW)'!$V$6,Model!W$1,'Assumptions (MSW)'!$V$9,'Assumptions (MSW)'!$V$4*Model!$S$1785*AVERAGE('Assumptions (MSW)'!$O$2:$Q$2)/10^9),0)</f>
        <v>-1.8103145420791011E-2</v>
      </c>
      <c r="T1858" s="105">
        <f>IF($S$1785&gt;0,PPMT('Assumptions (MSW)'!$V$6,Model!X$1,'Assumptions (MSW)'!$V$9,'Assumptions (MSW)'!$V$4*Model!$S$1785*AVERAGE('Assumptions (MSW)'!$O$2:$Q$2)/10^9),0)</f>
        <v>-1.8963044828278583E-2</v>
      </c>
      <c r="U1858" s="105">
        <f>IF($S$1785&gt;0,PPMT('Assumptions (MSW)'!$V$6,Model!Y$1,'Assumptions (MSW)'!$V$9,'Assumptions (MSW)'!$V$4*Model!$S$1785*AVERAGE('Assumptions (MSW)'!$O$2:$Q$2)/10^9),0)</f>
        <v>-1.9863789457621815E-2</v>
      </c>
      <c r="V1858" s="105">
        <f>IF($S$1785&gt;0,PPMT('Assumptions (MSW)'!$V$6,Model!Z$1,'Assumptions (MSW)'!$V$9,'Assumptions (MSW)'!$V$4*Model!$S$1785*AVERAGE('Assumptions (MSW)'!$O$2:$Q$2)/10^9),0)</f>
        <v>-2.0807319456858851E-2</v>
      </c>
      <c r="W1858" s="105">
        <f>IF($S$1785&gt;0,PPMT('Assumptions (MSW)'!$V$6,Model!AA$1,'Assumptions (MSW)'!$V$9,'Assumptions (MSW)'!$V$4*Model!$S$1785*AVERAGE('Assumptions (MSW)'!$O$2:$Q$2)/10^9),0)</f>
        <v>-2.1795667131059644E-2</v>
      </c>
      <c r="X1858" s="105">
        <f>IF($S$1785&gt;0,PPMT('Assumptions (MSW)'!$V$6,Model!AB$1,'Assumptions (MSW)'!$V$9,'Assumptions (MSW)'!$V$4*Model!$S$1785*AVERAGE('Assumptions (MSW)'!$O$2:$Q$2)/10^9),0)</f>
        <v>-2.283096131978498E-2</v>
      </c>
      <c r="Y1858" s="105">
        <f>IF($S$1785&gt;0,PPMT('Assumptions (MSW)'!$V$6,Model!AC$1,'Assumptions (MSW)'!$V$9,'Assumptions (MSW)'!$V$4*Model!$S$1785*AVERAGE('Assumptions (MSW)'!$O$2:$Q$2)/10^9),0)</f>
        <v>-2.3915431982474769E-2</v>
      </c>
      <c r="Z1858" s="105">
        <f>IF($S$1785&gt;0,PPMT('Assumptions (MSW)'!$V$6,Model!AD$1,'Assumptions (MSW)'!$V$9,'Assumptions (MSW)'!$V$4*Model!$S$1785*AVERAGE('Assumptions (MSW)'!$O$2:$Q$2)/10^9),0)</f>
        <v>-2.5051415001642315E-2</v>
      </c>
      <c r="AA1858" s="105">
        <f>IF($S$1785&gt;0,PPMT('Assumptions (MSW)'!$V$6,Model!AE$1,'Assumptions (MSW)'!$V$9,'Assumptions (MSW)'!$V$4*Model!$S$1785*AVERAGE('Assumptions (MSW)'!$O$2:$Q$2)/10^9),0)</f>
        <v>-2.6241357214220325E-2</v>
      </c>
      <c r="AB1858" s="105">
        <f>IF($S$1785&gt;0,PPMT('Assumptions (MSW)'!$V$6,Model!AF$1,'Assumptions (MSW)'!$V$9,'Assumptions (MSW)'!$V$4*Model!$S$1785*AVERAGE('Assumptions (MSW)'!$O$2:$Q$2)/10^9),0)</f>
        <v>-2.7487821681895796E-2</v>
      </c>
      <c r="AC1858" s="105">
        <f>IF($S$1785&gt;0,PPMT('Assumptions (MSW)'!$V$6,Model!AG$1,'Assumptions (MSW)'!$V$9,'Assumptions (MSW)'!$V$4*Model!$S$1785*AVERAGE('Assumptions (MSW)'!$O$2:$Q$2)/10^9),0)</f>
        <v>-2.8793493211785846E-2</v>
      </c>
      <c r="AD1858" s="105">
        <f>IF($S$1785&gt;0,PPMT('Assumptions (MSW)'!$V$6,Model!AH$1,'Assumptions (MSW)'!$V$9,'Assumptions (MSW)'!$V$4*Model!$S$1785*AVERAGE('Assumptions (MSW)'!$O$2:$Q$2)/10^9),0)</f>
        <v>-3.0161184139345671E-2</v>
      </c>
      <c r="AE1858" s="105">
        <f>IF($S$1785&gt;0,PPMT('Assumptions (MSW)'!$V$6,Model!AI$1,'Assumptions (MSW)'!$V$9,'Assumptions (MSW)'!$V$4*Model!$S$1785*AVERAGE('Assumptions (MSW)'!$O$2:$Q$2)/10^9),0)</f>
        <v>-3.1593840385964592E-2</v>
      </c>
      <c r="AF1858" s="105">
        <f>IF($S$1785&gt;0,PPMT('Assumptions (MSW)'!$V$6,Model!AJ$1,'Assumptions (MSW)'!$V$9,'Assumptions (MSW)'!$V$4*Model!$S$1785*AVERAGE('Assumptions (MSW)'!$O$2:$Q$2)/10^9),0)</f>
        <v>-3.3094547804297915E-2</v>
      </c>
      <c r="AG1858" s="105">
        <f>IF($S$1785&gt;0,PPMT('Assumptions (MSW)'!$V$6,Model!AK$1,'Assumptions (MSW)'!$V$9,'Assumptions (MSW)'!$V$4*Model!$S$1785*AVERAGE('Assumptions (MSW)'!$O$2:$Q$2)/10^9),0)</f>
        <v>-3.4666538825002056E-2</v>
      </c>
      <c r="AH1858" s="105"/>
      <c r="AI1858" s="105"/>
      <c r="AJ1858" s="105"/>
      <c r="AK1858" s="105"/>
      <c r="AL1858" s="105"/>
      <c r="AM1858" s="105"/>
      <c r="AN1858" s="105"/>
      <c r="AO1858" s="105"/>
      <c r="AP1858" s="105"/>
      <c r="AQ1858" s="105"/>
    </row>
    <row r="1859" spans="1:57" ht="15.75" hidden="1" customHeight="1" outlineLevel="1">
      <c r="A1859" s="435"/>
      <c r="B1859" s="99"/>
      <c r="C1859" s="105"/>
      <c r="D1859" s="105"/>
      <c r="E1859" s="105"/>
      <c r="F1859" s="105"/>
      <c r="G1859" s="105"/>
      <c r="H1859" s="105"/>
      <c r="I1859" s="105"/>
      <c r="J1859" s="105"/>
      <c r="K1859" s="105"/>
      <c r="L1859" s="105"/>
      <c r="M1859" s="105"/>
      <c r="N1859" s="105"/>
      <c r="O1859" s="105"/>
      <c r="P1859" s="171"/>
      <c r="Q1859" s="105"/>
      <c r="R1859" s="91"/>
      <c r="S1859" s="91"/>
      <c r="T1859" s="105">
        <f>IF($T$1785&gt;0,PPMT('Assumptions (MSW)'!$V$6,Model!W$1,'Assumptions (MSW)'!$V$9,'Assumptions (MSW)'!$V$4*Model!$T$1785*AVERAGE('Assumptions (MSW)'!$P$2:$R$2)/10^9),0)</f>
        <v>-7.0674855695020055E-3</v>
      </c>
      <c r="U1859" s="105">
        <f>IF($T$1785&gt;0,PPMT('Assumptions (MSW)'!$V$6,Model!X$1,'Assumptions (MSW)'!$V$9,'Assumptions (MSW)'!$V$4*Model!$T$1785*AVERAGE('Assumptions (MSW)'!$P$2:$R$2)/10^9),0)</f>
        <v>-7.4031911340533517E-3</v>
      </c>
      <c r="V1859" s="105">
        <f>IF($T$1785&gt;0,PPMT('Assumptions (MSW)'!$V$6,Model!Y$1,'Assumptions (MSW)'!$V$9,'Assumptions (MSW)'!$V$4*Model!$T$1785*AVERAGE('Assumptions (MSW)'!$P$2:$R$2)/10^9),0)</f>
        <v>-7.754842712920886E-3</v>
      </c>
      <c r="W1859" s="105">
        <f>IF($T$1785&gt;0,PPMT('Assumptions (MSW)'!$V$6,Model!Z$1,'Assumptions (MSW)'!$V$9,'Assumptions (MSW)'!$V$4*Model!$T$1785*AVERAGE('Assumptions (MSW)'!$P$2:$R$2)/10^9),0)</f>
        <v>-8.1231977417846272E-3</v>
      </c>
      <c r="X1859" s="105">
        <f>IF($T$1785&gt;0,PPMT('Assumptions (MSW)'!$V$6,Model!AA$1,'Assumptions (MSW)'!$V$9,'Assumptions (MSW)'!$V$4*Model!$T$1785*AVERAGE('Assumptions (MSW)'!$P$2:$R$2)/10^9),0)</f>
        <v>-8.5090496345193965E-3</v>
      </c>
      <c r="Y1859" s="105">
        <f>IF($T$1785&gt;0,PPMT('Assumptions (MSW)'!$V$6,Model!AB$1,'Assumptions (MSW)'!$V$9,'Assumptions (MSW)'!$V$4*Model!$T$1785*AVERAGE('Assumptions (MSW)'!$P$2:$R$2)/10^9),0)</f>
        <v>-8.9132294921590687E-3</v>
      </c>
      <c r="Z1859" s="105">
        <f>IF($T$1785&gt;0,PPMT('Assumptions (MSW)'!$V$6,Model!AC$1,'Assumptions (MSW)'!$V$9,'Assumptions (MSW)'!$V$4*Model!$T$1785*AVERAGE('Assumptions (MSW)'!$P$2:$R$2)/10^9),0)</f>
        <v>-9.3366078930366241E-3</v>
      </c>
      <c r="AA1859" s="105">
        <f>IF($T$1785&gt;0,PPMT('Assumptions (MSW)'!$V$6,Model!AD$1,'Assumptions (MSW)'!$V$9,'Assumptions (MSW)'!$V$4*Model!$T$1785*AVERAGE('Assumptions (MSW)'!$P$2:$R$2)/10^9),0)</f>
        <v>-9.7800967679558641E-3</v>
      </c>
      <c r="AB1859" s="105">
        <f>IF($T$1785&gt;0,PPMT('Assumptions (MSW)'!$V$6,Model!AE$1,'Assumptions (MSW)'!$V$9,'Assumptions (MSW)'!$V$4*Model!$T$1785*AVERAGE('Assumptions (MSW)'!$P$2:$R$2)/10^9),0)</f>
        <v>-1.0244651364433767E-2</v>
      </c>
      <c r="AC1859" s="105">
        <f>IF($T$1785&gt;0,PPMT('Assumptions (MSW)'!$V$6,Model!AF$1,'Assumptions (MSW)'!$V$9,'Assumptions (MSW)'!$V$4*Model!$T$1785*AVERAGE('Assumptions (MSW)'!$P$2:$R$2)/10^9),0)</f>
        <v>-1.0731272304244373E-2</v>
      </c>
      <c r="AD1859" s="105">
        <f>IF($T$1785&gt;0,PPMT('Assumptions (MSW)'!$V$6,Model!AG$1,'Assumptions (MSW)'!$V$9,'Assumptions (MSW)'!$V$4*Model!$T$1785*AVERAGE('Assumptions (MSW)'!$P$2:$R$2)/10^9),0)</f>
        <v>-1.124100773869598E-2</v>
      </c>
      <c r="AE1859" s="105">
        <f>IF($T$1785&gt;0,PPMT('Assumptions (MSW)'!$V$6,Model!AH$1,'Assumptions (MSW)'!$V$9,'Assumptions (MSW)'!$V$4*Model!$T$1785*AVERAGE('Assumptions (MSW)'!$P$2:$R$2)/10^9),0)</f>
        <v>-1.1774955606284039E-2</v>
      </c>
      <c r="AF1859" s="105">
        <f>IF($T$1785&gt;0,PPMT('Assumptions (MSW)'!$V$6,Model!AI$1,'Assumptions (MSW)'!$V$9,'Assumptions (MSW)'!$V$4*Model!$T$1785*AVERAGE('Assumptions (MSW)'!$P$2:$R$2)/10^9),0)</f>
        <v>-1.2334265997582531E-2</v>
      </c>
      <c r="AG1859" s="105">
        <f>IF($T$1785&gt;0,PPMT('Assumptions (MSW)'!$V$6,Model!AJ$1,'Assumptions (MSW)'!$V$9,'Assumptions (MSW)'!$V$4*Model!$T$1785*AVERAGE('Assumptions (MSW)'!$P$2:$R$2)/10^9),0)</f>
        <v>-1.29201436324677E-2</v>
      </c>
      <c r="AH1859" s="105">
        <f>IF($T$1785&gt;0,PPMT('Assumptions (MSW)'!$V$6,Model!AK$1,'Assumptions (MSW)'!$V$9,'Assumptions (MSW)'!$V$4*Model!$T$1785*AVERAGE('Assumptions (MSW)'!$P$2:$R$2)/10^9),0)</f>
        <v>-1.3533850455009915E-2</v>
      </c>
      <c r="AI1859" s="105"/>
      <c r="AJ1859" s="105"/>
      <c r="AK1859" s="105"/>
      <c r="AL1859" s="105"/>
      <c r="AM1859" s="105"/>
      <c r="AN1859" s="105"/>
      <c r="AO1859" s="105"/>
      <c r="AP1859" s="105"/>
      <c r="AQ1859" s="105"/>
      <c r="AR1859" s="105"/>
    </row>
    <row r="1860" spans="1:57" ht="15.75" hidden="1" customHeight="1" outlineLevel="1">
      <c r="A1860" s="435"/>
      <c r="B1860" s="99"/>
      <c r="C1860" s="105"/>
      <c r="D1860" s="105"/>
      <c r="E1860" s="105"/>
      <c r="F1860" s="105"/>
      <c r="G1860" s="105"/>
      <c r="H1860" s="105"/>
      <c r="I1860" s="105"/>
      <c r="J1860" s="105"/>
      <c r="K1860" s="105"/>
      <c r="L1860" s="105"/>
      <c r="M1860" s="105"/>
      <c r="N1860" s="105"/>
      <c r="O1860" s="105"/>
      <c r="P1860" s="171"/>
      <c r="Q1860" s="105"/>
      <c r="R1860" s="91"/>
      <c r="S1860" s="91"/>
      <c r="T1860" s="91"/>
      <c r="U1860" s="105">
        <f>IF($U$1785&gt;0,PPMT('Assumptions (MSW)'!$V$6,Model!W$1,'Assumptions (MSW)'!$V$9,'Assumptions (MSW)'!$V$4*Model!$U$1785*AVERAGE('Assumptions (MSW)'!$Q$2:$S$2)/10^9),0)</f>
        <v>-3.6616306188658009E-4</v>
      </c>
      <c r="V1860" s="105">
        <f>IF($U$1785&gt;0,PPMT('Assumptions (MSW)'!$V$6,Model!X$1,'Assumptions (MSW)'!$V$9,'Assumptions (MSW)'!$V$4*Model!$U$1785*AVERAGE('Assumptions (MSW)'!$Q$2:$S$2)/10^9),0)</f>
        <v>-3.835558073261926E-4</v>
      </c>
      <c r="W1860" s="105">
        <f>IF($U$1785&gt;0,PPMT('Assumptions (MSW)'!$V$6,Model!Y$1,'Assumptions (MSW)'!$V$9,'Assumptions (MSW)'!$V$4*Model!$U$1785*AVERAGE('Assumptions (MSW)'!$Q$2:$S$2)/10^9),0)</f>
        <v>-4.0177470817418686E-4</v>
      </c>
      <c r="X1860" s="105">
        <f>IF($U$1785&gt;0,PPMT('Assumptions (MSW)'!$V$6,Model!Z$1,'Assumptions (MSW)'!$V$9,'Assumptions (MSW)'!$V$4*Model!$U$1785*AVERAGE('Assumptions (MSW)'!$Q$2:$S$2)/10^9),0)</f>
        <v>-4.2085900681246063E-4</v>
      </c>
      <c r="Y1860" s="105">
        <f>IF($U$1785&gt;0,PPMT('Assumptions (MSW)'!$V$6,Model!AA$1,'Assumptions (MSW)'!$V$9,'Assumptions (MSW)'!$V$4*Model!$U$1785*AVERAGE('Assumptions (MSW)'!$Q$2:$S$2)/10^9),0)</f>
        <v>-4.4084980963605253E-4</v>
      </c>
      <c r="Z1860" s="105">
        <f>IF($U$1785&gt;0,PPMT('Assumptions (MSW)'!$V$6,Model!AB$1,'Assumptions (MSW)'!$V$9,'Assumptions (MSW)'!$V$4*Model!$U$1785*AVERAGE('Assumptions (MSW)'!$Q$2:$S$2)/10^9),0)</f>
        <v>-4.6179017559376507E-4</v>
      </c>
      <c r="AA1860" s="105">
        <f>IF($U$1785&gt;0,PPMT('Assumptions (MSW)'!$V$6,Model!AC$1,'Assumptions (MSW)'!$V$9,'Assumptions (MSW)'!$V$4*Model!$U$1785*AVERAGE('Assumptions (MSW)'!$Q$2:$S$2)/10^9),0)</f>
        <v>-4.8372520893446891E-4</v>
      </c>
      <c r="AB1860" s="105">
        <f>IF($U$1785&gt;0,PPMT('Assumptions (MSW)'!$V$6,Model!AD$1,'Assumptions (MSW)'!$V$9,'Assumptions (MSW)'!$V$4*Model!$U$1785*AVERAGE('Assumptions (MSW)'!$Q$2:$S$2)/10^9),0)</f>
        <v>-5.0670215635885624E-4</v>
      </c>
      <c r="AC1860" s="105">
        <f>IF($U$1785&gt;0,PPMT('Assumptions (MSW)'!$V$6,Model!AE$1,'Assumptions (MSW)'!$V$9,'Assumptions (MSW)'!$V$4*Model!$U$1785*AVERAGE('Assumptions (MSW)'!$Q$2:$S$2)/10^9),0)</f>
        <v>-5.3077050878590183E-4</v>
      </c>
      <c r="AD1860" s="105">
        <f>IF($U$1785&gt;0,PPMT('Assumptions (MSW)'!$V$6,Model!AF$1,'Assumptions (MSW)'!$V$9,'Assumptions (MSW)'!$V$4*Model!$U$1785*AVERAGE('Assumptions (MSW)'!$Q$2:$S$2)/10^9),0)</f>
        <v>-5.5598210795323219E-4</v>
      </c>
      <c r="AE1860" s="105">
        <f>IF($U$1785&gt;0,PPMT('Assumptions (MSW)'!$V$6,Model!AG$1,'Assumptions (MSW)'!$V$9,'Assumptions (MSW)'!$V$4*Model!$U$1785*AVERAGE('Assumptions (MSW)'!$Q$2:$S$2)/10^9),0)</f>
        <v>-5.823912580810108E-4</v>
      </c>
      <c r="AF1860" s="105">
        <f>IF($U$1785&gt;0,PPMT('Assumptions (MSW)'!$V$6,Model!AH$1,'Assumptions (MSW)'!$V$9,'Assumptions (MSW)'!$V$4*Model!$U$1785*AVERAGE('Assumptions (MSW)'!$Q$2:$S$2)/10^9),0)</f>
        <v>-6.1005484283985873E-4</v>
      </c>
      <c r="AG1860" s="105">
        <f>IF($U$1785&gt;0,PPMT('Assumptions (MSW)'!$V$6,Model!AI$1,'Assumptions (MSW)'!$V$9,'Assumptions (MSW)'!$V$4*Model!$U$1785*AVERAGE('Assumptions (MSW)'!$Q$2:$S$2)/10^9),0)</f>
        <v>-6.3903244787475203E-4</v>
      </c>
      <c r="AH1860" s="105">
        <f>IF($U$1785&gt;0,PPMT('Assumptions (MSW)'!$V$6,Model!AJ$1,'Assumptions (MSW)'!$V$9,'Assumptions (MSW)'!$V$4*Model!$U$1785*AVERAGE('Assumptions (MSW)'!$Q$2:$S$2)/10^9),0)</f>
        <v>-6.6938648914880285E-4</v>
      </c>
      <c r="AI1860" s="105">
        <f>IF($U$1785&gt;0,PPMT('Assumptions (MSW)'!$V$6,Model!AK$1,'Assumptions (MSW)'!$V$9,'Assumptions (MSW)'!$V$4*Model!$U$1785*AVERAGE('Assumptions (MSW)'!$Q$2:$S$2)/10^9),0)</f>
        <v>-7.0118234738337083E-4</v>
      </c>
      <c r="AJ1860" s="105"/>
      <c r="AK1860" s="105"/>
      <c r="AL1860" s="105"/>
      <c r="AM1860" s="105"/>
      <c r="AN1860" s="105"/>
      <c r="AO1860" s="105"/>
      <c r="AP1860" s="105"/>
      <c r="AQ1860" s="105"/>
      <c r="AR1860" s="105"/>
      <c r="AS1860" s="105"/>
    </row>
    <row r="1861" spans="1:57" ht="15.75" hidden="1" customHeight="1" outlineLevel="1">
      <c r="A1861" s="435"/>
      <c r="B1861" s="99"/>
      <c r="C1861" s="105"/>
      <c r="D1861" s="105"/>
      <c r="E1861" s="105"/>
      <c r="F1861" s="105"/>
      <c r="G1861" s="105"/>
      <c r="H1861" s="105"/>
      <c r="I1861" s="105"/>
      <c r="J1861" s="105"/>
      <c r="K1861" s="105"/>
      <c r="L1861" s="105"/>
      <c r="M1861" s="105"/>
      <c r="N1861" s="105"/>
      <c r="O1861" s="105"/>
      <c r="P1861" s="171"/>
      <c r="Q1861" s="105"/>
      <c r="R1861" s="91"/>
      <c r="S1861" s="91"/>
      <c r="T1861" s="91"/>
      <c r="U1861" s="105"/>
      <c r="V1861" s="105">
        <f>IF($V$1785&gt;0,PPMT('Assumptions (MSW)'!$V$6,Model!W$1,'Assumptions (MSW)'!$V$9,'Assumptions (MSW)'!$V$4*Model!$V$1785*AVERAGE('Assumptions (MSW)'!$R$2:$T$2)/10^9),0)</f>
        <v>-1.0737731789823963E-3</v>
      </c>
      <c r="W1861" s="105">
        <f>IF($V$1785&gt;0,PPMT('Assumptions (MSW)'!$V$6,Model!X$1,'Assumptions (MSW)'!$V$9,'Assumptions (MSW)'!$V$4*Model!$V$1785*AVERAGE('Assumptions (MSW)'!$R$2:$T$2)/10^9),0)</f>
        <v>-1.1247774049840602E-3</v>
      </c>
      <c r="X1861" s="105">
        <f>IF($V$1785&gt;0,PPMT('Assumptions (MSW)'!$V$6,Model!Y$1,'Assumptions (MSW)'!$V$9,'Assumptions (MSW)'!$V$4*Model!$V$1785*AVERAGE('Assumptions (MSW)'!$R$2:$T$2)/10^9),0)</f>
        <v>-1.1782043317208029E-3</v>
      </c>
      <c r="Y1861" s="105">
        <f>IF($V$1785&gt;0,PPMT('Assumptions (MSW)'!$V$6,Model!Z$1,'Assumptions (MSW)'!$V$9,'Assumptions (MSW)'!$V$4*Model!$V$1785*AVERAGE('Assumptions (MSW)'!$R$2:$T$2)/10^9),0)</f>
        <v>-1.2341690374775411E-3</v>
      </c>
      <c r="Z1861" s="105">
        <f>IF($V$1785&gt;0,PPMT('Assumptions (MSW)'!$V$6,Model!AA$1,'Assumptions (MSW)'!$V$9,'Assumptions (MSW)'!$V$4*Model!$V$1785*AVERAGE('Assumptions (MSW)'!$R$2:$T$2)/10^9),0)</f>
        <v>-1.2927920667577242E-3</v>
      </c>
      <c r="AA1861" s="105">
        <f>IF($V$1785&gt;0,PPMT('Assumptions (MSW)'!$V$6,Model!AB$1,'Assumptions (MSW)'!$V$9,'Assumptions (MSW)'!$V$4*Model!$V$1785*AVERAGE('Assumptions (MSW)'!$R$2:$T$2)/10^9),0)</f>
        <v>-1.3541996899287161E-3</v>
      </c>
      <c r="AB1861" s="105">
        <f>IF($V$1785&gt;0,PPMT('Assumptions (MSW)'!$V$6,Model!AC$1,'Assumptions (MSW)'!$V$9,'Assumptions (MSW)'!$V$4*Model!$V$1785*AVERAGE('Assumptions (MSW)'!$R$2:$T$2)/10^9),0)</f>
        <v>-1.4185241752003302E-3</v>
      </c>
      <c r="AC1861" s="105">
        <f>IF($V$1785&gt;0,PPMT('Assumptions (MSW)'!$V$6,Model!AD$1,'Assumptions (MSW)'!$V$9,'Assumptions (MSW)'!$V$4*Model!$V$1785*AVERAGE('Assumptions (MSW)'!$R$2:$T$2)/10^9),0)</f>
        <v>-1.4859040735223459E-3</v>
      </c>
      <c r="AD1861" s="105">
        <f>IF($V$1785&gt;0,PPMT('Assumptions (MSW)'!$V$6,Model!AE$1,'Assumptions (MSW)'!$V$9,'Assumptions (MSW)'!$V$4*Model!$V$1785*AVERAGE('Assumptions (MSW)'!$R$2:$T$2)/10^9),0)</f>
        <v>-1.5564845170146571E-3</v>
      </c>
      <c r="AE1861" s="105">
        <f>IF($V$1785&gt;0,PPMT('Assumptions (MSW)'!$V$6,Model!AF$1,'Assumptions (MSW)'!$V$9,'Assumptions (MSW)'!$V$4*Model!$V$1785*AVERAGE('Assumptions (MSW)'!$R$2:$T$2)/10^9),0)</f>
        <v>-1.6304175315728538E-3</v>
      </c>
      <c r="AF1861" s="105">
        <f>IF($V$1785&gt;0,PPMT('Assumptions (MSW)'!$V$6,Model!AG$1,'Assumptions (MSW)'!$V$9,'Assumptions (MSW)'!$V$4*Model!$V$1785*AVERAGE('Assumptions (MSW)'!$R$2:$T$2)/10^9),0)</f>
        <v>-1.707862364322564E-3</v>
      </c>
      <c r="AG1861" s="105">
        <f>IF($V$1785&gt;0,PPMT('Assumptions (MSW)'!$V$6,Model!AH$1,'Assumptions (MSW)'!$V$9,'Assumptions (MSW)'!$V$4*Model!$V$1785*AVERAGE('Assumptions (MSW)'!$R$2:$T$2)/10^9),0)</f>
        <v>-1.7889858266278858E-3</v>
      </c>
      <c r="AH1861" s="105">
        <f>IF($V$1785&gt;0,PPMT('Assumptions (MSW)'!$V$6,Model!AI$1,'Assumptions (MSW)'!$V$9,'Assumptions (MSW)'!$V$4*Model!$V$1785*AVERAGE('Assumptions (MSW)'!$R$2:$T$2)/10^9),0)</f>
        <v>-1.8739626533927107E-3</v>
      </c>
      <c r="AI1861" s="105">
        <f>IF($V$1785&gt;0,PPMT('Assumptions (MSW)'!$V$6,Model!AJ$1,'Assumptions (MSW)'!$V$9,'Assumptions (MSW)'!$V$4*Model!$V$1785*AVERAGE('Assumptions (MSW)'!$R$2:$T$2)/10^9),0)</f>
        <v>-1.9629758794288644E-3</v>
      </c>
      <c r="AJ1861" s="105">
        <f>IF($V$1785&gt;0,PPMT('Assumptions (MSW)'!$V$6,Model!AK$1,'Assumptions (MSW)'!$V$9,'Assumptions (MSW)'!$V$4*Model!$V$1785*AVERAGE('Assumptions (MSW)'!$R$2:$T$2)/10^9),0)</f>
        <v>-2.056217233701735E-3</v>
      </c>
      <c r="AK1861" s="105"/>
      <c r="AL1861" s="105"/>
      <c r="AM1861" s="105"/>
      <c r="AN1861" s="105"/>
      <c r="AO1861" s="105"/>
      <c r="AP1861" s="105"/>
      <c r="AQ1861" s="105"/>
      <c r="AR1861" s="105"/>
      <c r="AS1861" s="105"/>
      <c r="AT1861" s="105"/>
    </row>
    <row r="1862" spans="1:57" ht="15.75" hidden="1" customHeight="1" outlineLevel="1">
      <c r="A1862" s="435"/>
      <c r="B1862" s="99"/>
      <c r="C1862" s="99"/>
      <c r="D1862" s="99"/>
      <c r="E1862" s="99"/>
      <c r="F1862" s="99"/>
      <c r="G1862" s="99"/>
      <c r="H1862" s="99"/>
      <c r="I1862" s="99"/>
      <c r="J1862" s="99"/>
      <c r="K1862" s="99"/>
      <c r="L1862" s="99"/>
      <c r="M1862" s="99"/>
      <c r="N1862" s="99"/>
      <c r="O1862" s="99"/>
      <c r="P1862" s="99"/>
      <c r="Q1862" s="99"/>
      <c r="R1862" s="99"/>
      <c r="S1862" s="99"/>
      <c r="T1862" s="99"/>
      <c r="U1862" s="99"/>
      <c r="V1862" s="99"/>
      <c r="W1862" s="105">
        <f>IF($W$1785&gt;0,PPMT('Assumptions (MSW)'!$V$6,Model!W$1,'Assumptions (MSW)'!$V$9,'Assumptions (MSW)'!$V$4*Model!$W$1785*AVERAGE('Assumptions (MSW)'!$S$2:$U$2)/10^9),0)</f>
        <v>0</v>
      </c>
      <c r="X1862" s="105">
        <f>IF($W$1785&gt;0,PPMT('Assumptions (MSW)'!$V$6,Model!X$1,'Assumptions (MSW)'!$V$9,'Assumptions (MSW)'!$V$4*Model!$W$1785*AVERAGE('Assumptions (MSW)'!$S$2:$U$2)/10^9),0)</f>
        <v>0</v>
      </c>
      <c r="Y1862" s="105">
        <f>IF($W$1785&gt;0,PPMT('Assumptions (MSW)'!$V$6,Model!Y$1,'Assumptions (MSW)'!$V$9,'Assumptions (MSW)'!$V$4*Model!$W$1785*AVERAGE('Assumptions (MSW)'!$S$2:$U$2)/10^9),0)</f>
        <v>0</v>
      </c>
      <c r="Z1862" s="105">
        <f>IF($W$1785&gt;0,PPMT('Assumptions (MSW)'!$V$6,Model!Z$1,'Assumptions (MSW)'!$V$9,'Assumptions (MSW)'!$V$4*Model!$W$1785*AVERAGE('Assumptions (MSW)'!$S$2:$U$2)/10^9),0)</f>
        <v>0</v>
      </c>
      <c r="AA1862" s="105">
        <f>IF($W$1785&gt;0,PPMT('Assumptions (MSW)'!$V$6,Model!AA$1,'Assumptions (MSW)'!$V$9,'Assumptions (MSW)'!$V$4*Model!$W$1785*AVERAGE('Assumptions (MSW)'!$S$2:$U$2)/10^9),0)</f>
        <v>0</v>
      </c>
      <c r="AB1862" s="105">
        <f>IF($W$1785&gt;0,PPMT('Assumptions (MSW)'!$V$6,Model!AB$1,'Assumptions (MSW)'!$V$9,'Assumptions (MSW)'!$V$4*Model!$W$1785*AVERAGE('Assumptions (MSW)'!$S$2:$U$2)/10^9),0)</f>
        <v>0</v>
      </c>
      <c r="AC1862" s="105">
        <f>IF($W$1785&gt;0,PPMT('Assumptions (MSW)'!$V$6,Model!AC$1,'Assumptions (MSW)'!$V$9,'Assumptions (MSW)'!$V$4*Model!$W$1785*AVERAGE('Assumptions (MSW)'!$S$2:$U$2)/10^9),0)</f>
        <v>0</v>
      </c>
      <c r="AD1862" s="105">
        <f>IF($W$1785&gt;0,PPMT('Assumptions (MSW)'!$V$6,Model!AD$1,'Assumptions (MSW)'!$V$9,'Assumptions (MSW)'!$V$4*Model!$W$1785*AVERAGE('Assumptions (MSW)'!$S$2:$U$2)/10^9),0)</f>
        <v>0</v>
      </c>
      <c r="AE1862" s="105">
        <f>IF($W$1785&gt;0,PPMT('Assumptions (MSW)'!$V$6,Model!AE$1,'Assumptions (MSW)'!$V$9,'Assumptions (MSW)'!$V$4*Model!$W$1785*AVERAGE('Assumptions (MSW)'!$S$2:$U$2)/10^9),0)</f>
        <v>0</v>
      </c>
      <c r="AF1862" s="105">
        <f>IF($W$1785&gt;0,PPMT('Assumptions (MSW)'!$V$6,Model!AF$1,'Assumptions (MSW)'!$V$9,'Assumptions (MSW)'!$V$4*Model!$W$1785*AVERAGE('Assumptions (MSW)'!$S$2:$U$2)/10^9),0)</f>
        <v>0</v>
      </c>
      <c r="AG1862" s="105">
        <f>IF($W$1785&gt;0,PPMT('Assumptions (MSW)'!$V$6,Model!AG$1,'Assumptions (MSW)'!$V$9,'Assumptions (MSW)'!$V$4*Model!$W$1785*AVERAGE('Assumptions (MSW)'!$S$2:$U$2)/10^9),0)</f>
        <v>0</v>
      </c>
      <c r="AH1862" s="105">
        <f>IF($W$1785&gt;0,PPMT('Assumptions (MSW)'!$V$6,Model!AH$1,'Assumptions (MSW)'!$V$9,'Assumptions (MSW)'!$V$4*Model!$W$1785*AVERAGE('Assumptions (MSW)'!$S$2:$U$2)/10^9),0)</f>
        <v>0</v>
      </c>
      <c r="AI1862" s="105">
        <f>IF($W$1785&gt;0,PPMT('Assumptions (MSW)'!$V$6,Model!AI$1,'Assumptions (MSW)'!$V$9,'Assumptions (MSW)'!$V$4*Model!$W$1785*AVERAGE('Assumptions (MSW)'!$S$2:$U$2)/10^9),0)</f>
        <v>0</v>
      </c>
      <c r="AJ1862" s="105">
        <f>IF($W$1785&gt;0,PPMT('Assumptions (MSW)'!$V$6,Model!AJ$1,'Assumptions (MSW)'!$V$9,'Assumptions (MSW)'!$V$4*Model!$W$1785*AVERAGE('Assumptions (MSW)'!$S$2:$U$2)/10^9),0)</f>
        <v>0</v>
      </c>
      <c r="AK1862" s="105">
        <f>IF($W$1785&gt;0,PPMT('Assumptions (MSW)'!$V$6,Model!AK$1,'Assumptions (MSW)'!$V$9,'Assumptions (MSW)'!$V$4*Model!$W$1785*AVERAGE('Assumptions (MSW)'!$S$2:$U$2)/10^9),0)</f>
        <v>0</v>
      </c>
      <c r="AL1862" s="105"/>
      <c r="AM1862" s="105"/>
      <c r="AN1862" s="105"/>
      <c r="AO1862" s="105"/>
      <c r="AP1862" s="105"/>
      <c r="AQ1862" s="105"/>
      <c r="AR1862" s="105"/>
      <c r="AS1862" s="105"/>
      <c r="AT1862" s="105"/>
      <c r="AU1862" s="105"/>
      <c r="AV1862" s="105"/>
      <c r="AW1862" s="105"/>
      <c r="AX1862" s="105"/>
      <c r="AY1862" s="105"/>
      <c r="AZ1862" s="105"/>
      <c r="BA1862" s="105"/>
    </row>
    <row r="1863" spans="1:57" ht="15.75" hidden="1" customHeight="1" outlineLevel="1">
      <c r="A1863" s="435"/>
      <c r="B1863" s="99"/>
      <c r="C1863" s="99"/>
      <c r="D1863" s="99"/>
      <c r="E1863" s="99"/>
      <c r="F1863" s="99"/>
      <c r="G1863" s="99"/>
      <c r="H1863" s="99"/>
      <c r="I1863" s="99"/>
      <c r="J1863" s="99"/>
      <c r="K1863" s="99"/>
      <c r="L1863" s="99"/>
      <c r="M1863" s="99"/>
      <c r="N1863" s="99"/>
      <c r="O1863" s="99"/>
      <c r="P1863" s="99"/>
      <c r="Q1863" s="99"/>
      <c r="R1863" s="99"/>
      <c r="S1863" s="99"/>
      <c r="T1863" s="99"/>
      <c r="U1863" s="99"/>
      <c r="V1863" s="99"/>
      <c r="W1863" s="105"/>
      <c r="X1863" s="105">
        <f>IF($X$1785&gt;0,PPMT('Assumptions (MSW)'!$V$6,Model!W$1,'Assumptions (MSW)'!$V$9,'Assumptions (MSW)'!$V$4*Model!$X$1785*AVERAGE('Assumptions (MSW)'!$T$2:$V$2)/10^9),0)</f>
        <v>0</v>
      </c>
      <c r="Y1863" s="105">
        <f>IF($X$1785&gt;0,PPMT('Assumptions (MSW)'!$V$6,Model!X$1,'Assumptions (MSW)'!$V$9,'Assumptions (MSW)'!$V$4*Model!$X$1785*AVERAGE('Assumptions (MSW)'!$T$2:$V$2)/10^9),0)</f>
        <v>0</v>
      </c>
      <c r="Z1863" s="105">
        <f>IF($X$1785&gt;0,PPMT('Assumptions (MSW)'!$V$6,Model!Y$1,'Assumptions (MSW)'!$V$9,'Assumptions (MSW)'!$V$4*Model!$X$1785*AVERAGE('Assumptions (MSW)'!$T$2:$V$2)/10^9),0)</f>
        <v>0</v>
      </c>
      <c r="AA1863" s="105">
        <f>IF($X$1785&gt;0,PPMT('Assumptions (MSW)'!$V$6,Model!Z$1,'Assumptions (MSW)'!$V$9,'Assumptions (MSW)'!$V$4*Model!$X$1785*AVERAGE('Assumptions (MSW)'!$T$2:$V$2)/10^9),0)</f>
        <v>0</v>
      </c>
      <c r="AB1863" s="105">
        <f>IF($X$1785&gt;0,PPMT('Assumptions (MSW)'!$V$6,Model!AA$1,'Assumptions (MSW)'!$V$9,'Assumptions (MSW)'!$V$4*Model!$X$1785*AVERAGE('Assumptions (MSW)'!$T$2:$V$2)/10^9),0)</f>
        <v>0</v>
      </c>
      <c r="AC1863" s="105">
        <f>IF($X$1785&gt;0,PPMT('Assumptions (MSW)'!$V$6,Model!AB$1,'Assumptions (MSW)'!$V$9,'Assumptions (MSW)'!$V$4*Model!$X$1785*AVERAGE('Assumptions (MSW)'!$T$2:$V$2)/10^9),0)</f>
        <v>0</v>
      </c>
      <c r="AD1863" s="105">
        <f>IF($X$1785&gt;0,PPMT('Assumptions (MSW)'!$V$6,Model!AC$1,'Assumptions (MSW)'!$V$9,'Assumptions (MSW)'!$V$4*Model!$X$1785*AVERAGE('Assumptions (MSW)'!$T$2:$V$2)/10^9),0)</f>
        <v>0</v>
      </c>
      <c r="AE1863" s="105">
        <f>IF($X$1785&gt;0,PPMT('Assumptions (MSW)'!$V$6,Model!AD$1,'Assumptions (MSW)'!$V$9,'Assumptions (MSW)'!$V$4*Model!$X$1785*AVERAGE('Assumptions (MSW)'!$T$2:$V$2)/10^9),0)</f>
        <v>0</v>
      </c>
      <c r="AF1863" s="105">
        <f>IF($X$1785&gt;0,PPMT('Assumptions (MSW)'!$V$6,Model!AE$1,'Assumptions (MSW)'!$V$9,'Assumptions (MSW)'!$V$4*Model!$X$1785*AVERAGE('Assumptions (MSW)'!$T$2:$V$2)/10^9),0)</f>
        <v>0</v>
      </c>
      <c r="AG1863" s="105">
        <f>IF($X$1785&gt;0,PPMT('Assumptions (MSW)'!$V$6,Model!AF$1,'Assumptions (MSW)'!$V$9,'Assumptions (MSW)'!$V$4*Model!$X$1785*AVERAGE('Assumptions (MSW)'!$T$2:$V$2)/10^9),0)</f>
        <v>0</v>
      </c>
      <c r="AH1863" s="105">
        <f>IF($X$1785&gt;0,PPMT('Assumptions (MSW)'!$V$6,Model!AG$1,'Assumptions (MSW)'!$V$9,'Assumptions (MSW)'!$V$4*Model!$X$1785*AVERAGE('Assumptions (MSW)'!$T$2:$V$2)/10^9),0)</f>
        <v>0</v>
      </c>
      <c r="AI1863" s="105">
        <f>IF($X$1785&gt;0,PPMT('Assumptions (MSW)'!$V$6,Model!AH$1,'Assumptions (MSW)'!$V$9,'Assumptions (MSW)'!$V$4*Model!$X$1785*AVERAGE('Assumptions (MSW)'!$T$2:$V$2)/10^9),0)</f>
        <v>0</v>
      </c>
      <c r="AJ1863" s="105">
        <f>IF($X$1785&gt;0,PPMT('Assumptions (MSW)'!$V$6,Model!AI$1,'Assumptions (MSW)'!$V$9,'Assumptions (MSW)'!$V$4*Model!$X$1785*AVERAGE('Assumptions (MSW)'!$T$2:$V$2)/10^9),0)</f>
        <v>0</v>
      </c>
      <c r="AK1863" s="105">
        <f>IF($X$1785&gt;0,PPMT('Assumptions (MSW)'!$V$6,Model!AJ$1,'Assumptions (MSW)'!$V$9,'Assumptions (MSW)'!$V$4*Model!$X$1785*AVERAGE('Assumptions (MSW)'!$T$2:$V$2)/10^9),0)</f>
        <v>0</v>
      </c>
      <c r="AL1863" s="105">
        <f>IF($X$1785&gt;0,PPMT('Assumptions (MSW)'!$V$6,Model!AK$1,'Assumptions (MSW)'!$V$9,'Assumptions (MSW)'!$V$4*Model!$X$1785*AVERAGE('Assumptions (MSW)'!$T$2:$V$2)/10^9),0)</f>
        <v>0</v>
      </c>
      <c r="AM1863" s="105"/>
      <c r="AN1863" s="105"/>
      <c r="AO1863" s="105"/>
      <c r="AP1863" s="105"/>
      <c r="AQ1863" s="105"/>
      <c r="AR1863" s="105"/>
      <c r="AS1863" s="105"/>
      <c r="AT1863" s="105"/>
      <c r="AU1863" s="105"/>
      <c r="AV1863" s="105"/>
      <c r="AW1863" s="105"/>
      <c r="AX1863" s="105"/>
      <c r="AY1863" s="105"/>
      <c r="AZ1863" s="105"/>
      <c r="BA1863" s="105"/>
    </row>
    <row r="1864" spans="1:57" ht="15.75" hidden="1" customHeight="1" outlineLevel="1">
      <c r="A1864" s="435"/>
      <c r="B1864" s="99"/>
      <c r="C1864" s="99"/>
      <c r="D1864" s="99"/>
      <c r="E1864" s="99"/>
      <c r="F1864" s="99"/>
      <c r="G1864" s="99"/>
      <c r="H1864" s="99"/>
      <c r="I1864" s="99"/>
      <c r="J1864" s="99"/>
      <c r="K1864" s="99"/>
      <c r="L1864" s="99"/>
      <c r="M1864" s="99"/>
      <c r="N1864" s="99"/>
      <c r="O1864" s="99"/>
      <c r="P1864" s="99"/>
      <c r="Q1864" s="99"/>
      <c r="R1864" s="99"/>
      <c r="S1864" s="99"/>
      <c r="T1864" s="99"/>
      <c r="U1864" s="99"/>
      <c r="V1864" s="99"/>
      <c r="W1864" s="105"/>
      <c r="X1864" s="105"/>
      <c r="Y1864" s="105">
        <f>IF($Y$1785&gt;0,PPMT('Assumptions (MSW)'!$V$6,Model!W$1,'Assumptions (MSW)'!$V$9,'Assumptions (MSW)'!$V$4*Model!$Y$1785*AVERAGE('Assumptions (MSW)'!$U$2:$W$2)/10^9),0)</f>
        <v>0</v>
      </c>
      <c r="Z1864" s="105">
        <f>IF($Y$1785&gt;0,PPMT('Assumptions (MSW)'!$V$6,Model!X$1,'Assumptions (MSW)'!$V$9,'Assumptions (MSW)'!$V$4*Model!$Y$1785*AVERAGE('Assumptions (MSW)'!$U$2:$W$2)/10^9),0)</f>
        <v>0</v>
      </c>
      <c r="AA1864" s="105">
        <f>IF($Y$1785&gt;0,PPMT('Assumptions (MSW)'!$V$6,Model!Y$1,'Assumptions (MSW)'!$V$9,'Assumptions (MSW)'!$V$4*Model!$Y$1785*AVERAGE('Assumptions (MSW)'!$U$2:$W$2)/10^9),0)</f>
        <v>0</v>
      </c>
      <c r="AB1864" s="105">
        <f>IF($Y$1785&gt;0,PPMT('Assumptions (MSW)'!$V$6,Model!Z$1,'Assumptions (MSW)'!$V$9,'Assumptions (MSW)'!$V$4*Model!$Y$1785*AVERAGE('Assumptions (MSW)'!$U$2:$W$2)/10^9),0)</f>
        <v>0</v>
      </c>
      <c r="AC1864" s="105">
        <f>IF($Y$1785&gt;0,PPMT('Assumptions (MSW)'!$V$6,Model!AA$1,'Assumptions (MSW)'!$V$9,'Assumptions (MSW)'!$V$4*Model!$Y$1785*AVERAGE('Assumptions (MSW)'!$U$2:$W$2)/10^9),0)</f>
        <v>0</v>
      </c>
      <c r="AD1864" s="105">
        <f>IF($Y$1785&gt;0,PPMT('Assumptions (MSW)'!$V$6,Model!AB$1,'Assumptions (MSW)'!$V$9,'Assumptions (MSW)'!$V$4*Model!$Y$1785*AVERAGE('Assumptions (MSW)'!$U$2:$W$2)/10^9),0)</f>
        <v>0</v>
      </c>
      <c r="AE1864" s="105">
        <f>IF($Y$1785&gt;0,PPMT('Assumptions (MSW)'!$V$6,Model!AC$1,'Assumptions (MSW)'!$V$9,'Assumptions (MSW)'!$V$4*Model!$Y$1785*AVERAGE('Assumptions (MSW)'!$U$2:$W$2)/10^9),0)</f>
        <v>0</v>
      </c>
      <c r="AF1864" s="105">
        <f>IF($Y$1785&gt;0,PPMT('Assumptions (MSW)'!$V$6,Model!AD$1,'Assumptions (MSW)'!$V$9,'Assumptions (MSW)'!$V$4*Model!$Y$1785*AVERAGE('Assumptions (MSW)'!$U$2:$W$2)/10^9),0)</f>
        <v>0</v>
      </c>
      <c r="AG1864" s="105">
        <f>IF($Y$1785&gt;0,PPMT('Assumptions (MSW)'!$V$6,Model!AE$1,'Assumptions (MSW)'!$V$9,'Assumptions (MSW)'!$V$4*Model!$Y$1785*AVERAGE('Assumptions (MSW)'!$U$2:$W$2)/10^9),0)</f>
        <v>0</v>
      </c>
      <c r="AH1864" s="105">
        <f>IF($Y$1785&gt;0,PPMT('Assumptions (MSW)'!$V$6,Model!AF$1,'Assumptions (MSW)'!$V$9,'Assumptions (MSW)'!$V$4*Model!$Y$1785*AVERAGE('Assumptions (MSW)'!$U$2:$W$2)/10^9),0)</f>
        <v>0</v>
      </c>
      <c r="AI1864" s="105">
        <f>IF($Y$1785&gt;0,PPMT('Assumptions (MSW)'!$V$6,Model!AG$1,'Assumptions (MSW)'!$V$9,'Assumptions (MSW)'!$V$4*Model!$Y$1785*AVERAGE('Assumptions (MSW)'!$U$2:$W$2)/10^9),0)</f>
        <v>0</v>
      </c>
      <c r="AJ1864" s="105">
        <f>IF($Y$1785&gt;0,PPMT('Assumptions (MSW)'!$V$6,Model!AH$1,'Assumptions (MSW)'!$V$9,'Assumptions (MSW)'!$V$4*Model!$Y$1785*AVERAGE('Assumptions (MSW)'!$U$2:$W$2)/10^9),0)</f>
        <v>0</v>
      </c>
      <c r="AK1864" s="105">
        <f>IF($Y$1785&gt;0,PPMT('Assumptions (MSW)'!$V$6,Model!AI$1,'Assumptions (MSW)'!$V$9,'Assumptions (MSW)'!$V$4*Model!$Y$1785*AVERAGE('Assumptions (MSW)'!$U$2:$W$2)/10^9),0)</f>
        <v>0</v>
      </c>
      <c r="AL1864" s="105">
        <f>IF($Y$1785&gt;0,PPMT('Assumptions (MSW)'!$V$6,Model!AJ$1,'Assumptions (MSW)'!$V$9,'Assumptions (MSW)'!$V$4*Model!$Y$1785*AVERAGE('Assumptions (MSW)'!$U$2:$W$2)/10^9),0)</f>
        <v>0</v>
      </c>
      <c r="AM1864" s="105">
        <f>IF($Y$1785&gt;0,PPMT('Assumptions (MSW)'!$V$6,Model!AK$1,'Assumptions (MSW)'!$V$9,'Assumptions (MSW)'!$V$4*Model!$Y$1785*AVERAGE('Assumptions (MSW)'!$U$2:$W$2)/10^9),0)</f>
        <v>0</v>
      </c>
      <c r="AN1864" s="105"/>
      <c r="AO1864" s="105"/>
      <c r="AP1864" s="105"/>
      <c r="AQ1864" s="105"/>
      <c r="AR1864" s="105"/>
      <c r="AS1864" s="105"/>
      <c r="AT1864" s="105"/>
      <c r="AU1864" s="105"/>
      <c r="AV1864" s="105"/>
      <c r="AW1864" s="105"/>
      <c r="AX1864" s="105"/>
      <c r="AY1864" s="105"/>
      <c r="AZ1864" s="105"/>
      <c r="BA1864" s="105"/>
    </row>
    <row r="1865" spans="1:57" ht="15.75" hidden="1" customHeight="1" outlineLevel="1">
      <c r="A1865" s="435"/>
      <c r="B1865" s="99"/>
      <c r="C1865" s="99"/>
      <c r="D1865" s="99"/>
      <c r="E1865" s="99"/>
      <c r="F1865" s="99"/>
      <c r="G1865" s="99"/>
      <c r="H1865" s="99"/>
      <c r="I1865" s="99"/>
      <c r="J1865" s="99"/>
      <c r="K1865" s="99"/>
      <c r="L1865" s="99"/>
      <c r="M1865" s="99"/>
      <c r="N1865" s="99"/>
      <c r="O1865" s="99"/>
      <c r="P1865" s="99"/>
      <c r="Q1865" s="99"/>
      <c r="R1865" s="99"/>
      <c r="S1865" s="99"/>
      <c r="T1865" s="99"/>
      <c r="U1865" s="99"/>
      <c r="V1865" s="99"/>
      <c r="W1865" s="105"/>
      <c r="X1865" s="105"/>
      <c r="Y1865" s="105"/>
      <c r="Z1865" s="105">
        <f>IF($Z$1785&gt;0,PPMT('Assumptions (MSW)'!$V$6,Model!W$1,'Assumptions (MSW)'!$V$9,'Assumptions (MSW)'!$V$4*Model!$Z$1785*AVERAGE('Assumptions (MSW)'!$V$2:$X$2)/10^9),0)</f>
        <v>0</v>
      </c>
      <c r="AA1865" s="105">
        <f>IF($Z$1785&gt;0,PPMT('Assumptions (MSW)'!$V$6,Model!X$1,'Assumptions (MSW)'!$V$9,'Assumptions (MSW)'!$V$4*Model!$Z$1785*AVERAGE('Assumptions (MSW)'!$V$2:$X$2)/10^9),0)</f>
        <v>0</v>
      </c>
      <c r="AB1865" s="105">
        <f>IF($Z$1785&gt;0,PPMT('Assumptions (MSW)'!$V$6,Model!Y$1,'Assumptions (MSW)'!$V$9,'Assumptions (MSW)'!$V$4*Model!$Z$1785*AVERAGE('Assumptions (MSW)'!$V$2:$X$2)/10^9),0)</f>
        <v>0</v>
      </c>
      <c r="AC1865" s="105">
        <f>IF($Z$1785&gt;0,PPMT('Assumptions (MSW)'!$V$6,Model!Z$1,'Assumptions (MSW)'!$V$9,'Assumptions (MSW)'!$V$4*Model!$Z$1785*AVERAGE('Assumptions (MSW)'!$V$2:$X$2)/10^9),0)</f>
        <v>0</v>
      </c>
      <c r="AD1865" s="105">
        <f>IF($Z$1785&gt;0,PPMT('Assumptions (MSW)'!$V$6,Model!AA$1,'Assumptions (MSW)'!$V$9,'Assumptions (MSW)'!$V$4*Model!$Z$1785*AVERAGE('Assumptions (MSW)'!$V$2:$X$2)/10^9),0)</f>
        <v>0</v>
      </c>
      <c r="AE1865" s="105">
        <f>IF($Z$1785&gt;0,PPMT('Assumptions (MSW)'!$V$6,Model!AB$1,'Assumptions (MSW)'!$V$9,'Assumptions (MSW)'!$V$4*Model!$Z$1785*AVERAGE('Assumptions (MSW)'!$V$2:$X$2)/10^9),0)</f>
        <v>0</v>
      </c>
      <c r="AF1865" s="105">
        <f>IF($Z$1785&gt;0,PPMT('Assumptions (MSW)'!$V$6,Model!AC$1,'Assumptions (MSW)'!$V$9,'Assumptions (MSW)'!$V$4*Model!$Z$1785*AVERAGE('Assumptions (MSW)'!$V$2:$X$2)/10^9),0)</f>
        <v>0</v>
      </c>
      <c r="AG1865" s="105">
        <f>IF($Z$1785&gt;0,PPMT('Assumptions (MSW)'!$V$6,Model!AD$1,'Assumptions (MSW)'!$V$9,'Assumptions (MSW)'!$V$4*Model!$Z$1785*AVERAGE('Assumptions (MSW)'!$V$2:$X$2)/10^9),0)</f>
        <v>0</v>
      </c>
      <c r="AH1865" s="105">
        <f>IF($Z$1785&gt;0,PPMT('Assumptions (MSW)'!$V$6,Model!AE$1,'Assumptions (MSW)'!$V$9,'Assumptions (MSW)'!$V$4*Model!$Z$1785*AVERAGE('Assumptions (MSW)'!$V$2:$X$2)/10^9),0)</f>
        <v>0</v>
      </c>
      <c r="AI1865" s="105">
        <f>IF($Z$1785&gt;0,PPMT('Assumptions (MSW)'!$V$6,Model!AF$1,'Assumptions (MSW)'!$V$9,'Assumptions (MSW)'!$V$4*Model!$Z$1785*AVERAGE('Assumptions (MSW)'!$V$2:$X$2)/10^9),0)</f>
        <v>0</v>
      </c>
      <c r="AJ1865" s="105">
        <f>IF($Z$1785&gt;0,PPMT('Assumptions (MSW)'!$V$6,Model!AG$1,'Assumptions (MSW)'!$V$9,'Assumptions (MSW)'!$V$4*Model!$Z$1785*AVERAGE('Assumptions (MSW)'!$V$2:$X$2)/10^9),0)</f>
        <v>0</v>
      </c>
      <c r="AK1865" s="105">
        <f>IF($Z$1785&gt;0,PPMT('Assumptions (MSW)'!$V$6,Model!AH$1,'Assumptions (MSW)'!$V$9,'Assumptions (MSW)'!$V$4*Model!$Z$1785*AVERAGE('Assumptions (MSW)'!$V$2:$X$2)/10^9),0)</f>
        <v>0</v>
      </c>
      <c r="AL1865" s="105">
        <f>IF($Z$1785&gt;0,PPMT('Assumptions (MSW)'!$V$6,Model!AI$1,'Assumptions (MSW)'!$V$9,'Assumptions (MSW)'!$V$4*Model!$Z$1785*AVERAGE('Assumptions (MSW)'!$V$2:$X$2)/10^9),0)</f>
        <v>0</v>
      </c>
      <c r="AM1865" s="105">
        <f>IF($Z$1785&gt;0,PPMT('Assumptions (MSW)'!$V$6,Model!AJ$1,'Assumptions (MSW)'!$V$9,'Assumptions (MSW)'!$V$4*Model!$Z$1785*AVERAGE('Assumptions (MSW)'!$V$2:$X$2)/10^9),0)</f>
        <v>0</v>
      </c>
      <c r="AN1865" s="105">
        <f>IF($Z$1785&gt;0,PPMT('Assumptions (MSW)'!$V$6,Model!AK$1,'Assumptions (MSW)'!$V$9,'Assumptions (MSW)'!$V$4*Model!$Z$1785*AVERAGE('Assumptions (MSW)'!$V$2:$X$2)/10^9),0)</f>
        <v>0</v>
      </c>
      <c r="AO1865" s="105"/>
      <c r="AP1865" s="105"/>
      <c r="AQ1865" s="105"/>
      <c r="AR1865" s="105"/>
      <c r="AS1865" s="105"/>
      <c r="AT1865" s="105"/>
      <c r="AU1865" s="105"/>
      <c r="AV1865" s="105"/>
      <c r="AW1865" s="105"/>
      <c r="AX1865" s="105"/>
      <c r="AY1865" s="105"/>
      <c r="AZ1865" s="105"/>
      <c r="BA1865" s="105"/>
    </row>
    <row r="1866" spans="1:57" ht="15.75" hidden="1" customHeight="1" outlineLevel="1">
      <c r="A1866" s="435"/>
      <c r="B1866" s="99"/>
      <c r="C1866" s="99"/>
      <c r="D1866" s="99"/>
      <c r="E1866" s="99"/>
      <c r="F1866" s="99"/>
      <c r="G1866" s="99"/>
      <c r="H1866" s="99"/>
      <c r="I1866" s="99"/>
      <c r="J1866" s="99"/>
      <c r="K1866" s="99"/>
      <c r="L1866" s="99"/>
      <c r="M1866" s="99"/>
      <c r="N1866" s="99"/>
      <c r="O1866" s="99"/>
      <c r="P1866" s="99"/>
      <c r="Q1866" s="99"/>
      <c r="R1866" s="99"/>
      <c r="S1866" s="99"/>
      <c r="T1866" s="99"/>
      <c r="U1866" s="99"/>
      <c r="V1866" s="99"/>
      <c r="W1866" s="105"/>
      <c r="X1866" s="105"/>
      <c r="Y1866" s="105"/>
      <c r="Z1866" s="105"/>
      <c r="AA1866" s="105">
        <f>IF($AA$1785&gt;0,PPMT('Assumptions (MSW)'!$V$6,Model!W$1,'Assumptions (MSW)'!$V$9,'Assumptions (MSW)'!$V$4*Model!$AA$1785*AVERAGE('Assumptions (MSW)'!$W$2:$Y$2)/10^9),0)</f>
        <v>0</v>
      </c>
      <c r="AB1866" s="105">
        <f>IF($AA$1785&gt;0,PPMT('Assumptions (MSW)'!$V$6,Model!X$1,'Assumptions (MSW)'!$V$9,'Assumptions (MSW)'!$V$4*Model!$AA$1785*AVERAGE('Assumptions (MSW)'!$W$2:$Y$2)/10^9),0)</f>
        <v>0</v>
      </c>
      <c r="AC1866" s="105">
        <f>IF($AA$1785&gt;0,PPMT('Assumptions (MSW)'!$V$6,Model!Y$1,'Assumptions (MSW)'!$V$9,'Assumptions (MSW)'!$V$4*Model!$AA$1785*AVERAGE('Assumptions (MSW)'!$W$2:$Y$2)/10^9),0)</f>
        <v>0</v>
      </c>
      <c r="AD1866" s="105">
        <f>IF($AA$1785&gt;0,PPMT('Assumptions (MSW)'!$V$6,Model!Z$1,'Assumptions (MSW)'!$V$9,'Assumptions (MSW)'!$V$4*Model!$AA$1785*AVERAGE('Assumptions (MSW)'!$W$2:$Y$2)/10^9),0)</f>
        <v>0</v>
      </c>
      <c r="AE1866" s="105">
        <f>IF($AA$1785&gt;0,PPMT('Assumptions (MSW)'!$V$6,Model!AA$1,'Assumptions (MSW)'!$V$9,'Assumptions (MSW)'!$V$4*Model!$AA$1785*AVERAGE('Assumptions (MSW)'!$W$2:$Y$2)/10^9),0)</f>
        <v>0</v>
      </c>
      <c r="AF1866" s="105">
        <f>IF($AA$1785&gt;0,PPMT('Assumptions (MSW)'!$V$6,Model!AB$1,'Assumptions (MSW)'!$V$9,'Assumptions (MSW)'!$V$4*Model!$AA$1785*AVERAGE('Assumptions (MSW)'!$W$2:$Y$2)/10^9),0)</f>
        <v>0</v>
      </c>
      <c r="AG1866" s="105">
        <f>IF($AA$1785&gt;0,PPMT('Assumptions (MSW)'!$V$6,Model!AC$1,'Assumptions (MSW)'!$V$9,'Assumptions (MSW)'!$V$4*Model!$AA$1785*AVERAGE('Assumptions (MSW)'!$W$2:$Y$2)/10^9),0)</f>
        <v>0</v>
      </c>
      <c r="AH1866" s="105">
        <f>IF($AA$1785&gt;0,PPMT('Assumptions (MSW)'!$V$6,Model!AD$1,'Assumptions (MSW)'!$V$9,'Assumptions (MSW)'!$V$4*Model!$AA$1785*AVERAGE('Assumptions (MSW)'!$W$2:$Y$2)/10^9),0)</f>
        <v>0</v>
      </c>
      <c r="AI1866" s="105">
        <f>IF($AA$1785&gt;0,PPMT('Assumptions (MSW)'!$V$6,Model!AE$1,'Assumptions (MSW)'!$V$9,'Assumptions (MSW)'!$V$4*Model!$AA$1785*AVERAGE('Assumptions (MSW)'!$W$2:$Y$2)/10^9),0)</f>
        <v>0</v>
      </c>
      <c r="AJ1866" s="105">
        <f>IF($AA$1785&gt;0,PPMT('Assumptions (MSW)'!$V$6,Model!AF$1,'Assumptions (MSW)'!$V$9,'Assumptions (MSW)'!$V$4*Model!$AA$1785*AVERAGE('Assumptions (MSW)'!$W$2:$Y$2)/10^9),0)</f>
        <v>0</v>
      </c>
      <c r="AK1866" s="105">
        <f>IF($AA$1785&gt;0,PPMT('Assumptions (MSW)'!$V$6,Model!AG$1,'Assumptions (MSW)'!$V$9,'Assumptions (MSW)'!$V$4*Model!$AA$1785*AVERAGE('Assumptions (MSW)'!$W$2:$Y$2)/10^9),0)</f>
        <v>0</v>
      </c>
      <c r="AL1866" s="105">
        <f>IF($AA$1785&gt;0,PPMT('Assumptions (MSW)'!$V$6,Model!AH$1,'Assumptions (MSW)'!$V$9,'Assumptions (MSW)'!$V$4*Model!$AA$1785*AVERAGE('Assumptions (MSW)'!$W$2:$Y$2)/10^9),0)</f>
        <v>0</v>
      </c>
      <c r="AM1866" s="105">
        <f>IF($AA$1785&gt;0,PPMT('Assumptions (MSW)'!$V$6,Model!AI$1,'Assumptions (MSW)'!$V$9,'Assumptions (MSW)'!$V$4*Model!$AA$1785*AVERAGE('Assumptions (MSW)'!$W$2:$Y$2)/10^9),0)</f>
        <v>0</v>
      </c>
      <c r="AN1866" s="105">
        <f>IF($AA$1785&gt;0,PPMT('Assumptions (MSW)'!$V$6,Model!AJ$1,'Assumptions (MSW)'!$V$9,'Assumptions (MSW)'!$V$4*Model!$AA$1785*AVERAGE('Assumptions (MSW)'!$W$2:$Y$2)/10^9),0)</f>
        <v>0</v>
      </c>
      <c r="AO1866" s="105">
        <f>IF($AA$1785&gt;0,PPMT('Assumptions (MSW)'!$V$6,Model!AK$1,'Assumptions (MSW)'!$V$9,'Assumptions (MSW)'!$V$4*Model!$AA$1785*AVERAGE('Assumptions (MSW)'!$W$2:$Y$2)/10^9),0)</f>
        <v>0</v>
      </c>
      <c r="AP1866" s="105"/>
      <c r="AQ1866" s="105"/>
      <c r="AR1866" s="105"/>
      <c r="AS1866" s="105"/>
      <c r="AT1866" s="105"/>
      <c r="AU1866" s="105"/>
      <c r="AV1866" s="105"/>
      <c r="AW1866" s="105"/>
      <c r="AX1866" s="105"/>
      <c r="AY1866" s="105"/>
      <c r="AZ1866" s="105"/>
      <c r="BA1866" s="105"/>
    </row>
    <row r="1867" spans="1:57" ht="15.75" hidden="1" customHeight="1" outlineLevel="1">
      <c r="A1867" s="435"/>
      <c r="B1867" s="99"/>
      <c r="C1867" s="99"/>
      <c r="D1867" s="99"/>
      <c r="E1867" s="99"/>
      <c r="F1867" s="99"/>
      <c r="G1867" s="99"/>
      <c r="H1867" s="99"/>
      <c r="I1867" s="99"/>
      <c r="J1867" s="99"/>
      <c r="K1867" s="99"/>
      <c r="L1867" s="99"/>
      <c r="M1867" s="99"/>
      <c r="N1867" s="99"/>
      <c r="O1867" s="99"/>
      <c r="P1867" s="99"/>
      <c r="Q1867" s="99"/>
      <c r="R1867" s="99"/>
      <c r="S1867" s="99"/>
      <c r="T1867" s="99"/>
      <c r="U1867" s="99"/>
      <c r="V1867" s="99"/>
      <c r="W1867" s="105"/>
      <c r="X1867" s="105"/>
      <c r="Y1867" s="105"/>
      <c r="Z1867" s="105"/>
      <c r="AA1867" s="105"/>
      <c r="AB1867" s="105">
        <f>IF($AB$1785&gt;0,PPMT('Assumptions (MSW)'!$V$6,Model!W$1,'Assumptions (MSW)'!$V$9,'Assumptions (MSW)'!$V$4*Model!$AB$1785*AVERAGE('Assumptions (MSW)'!$X$2:$Z$2)/10^9),0)</f>
        <v>0</v>
      </c>
      <c r="AC1867" s="105">
        <f>IF($AB$1785&gt;0,PPMT('Assumptions (MSW)'!$V$6,Model!X$1,'Assumptions (MSW)'!$V$9,'Assumptions (MSW)'!$V$4*Model!$AB$1785*AVERAGE('Assumptions (MSW)'!$X$2:$Z$2)/10^9),0)</f>
        <v>0</v>
      </c>
      <c r="AD1867" s="105">
        <f>IF($AB$1785&gt;0,PPMT('Assumptions (MSW)'!$V$6,Model!Y$1,'Assumptions (MSW)'!$V$9,'Assumptions (MSW)'!$V$4*Model!$AB$1785*AVERAGE('Assumptions (MSW)'!$X$2:$Z$2)/10^9),0)</f>
        <v>0</v>
      </c>
      <c r="AE1867" s="105">
        <f>IF($AB$1785&gt;0,PPMT('Assumptions (MSW)'!$V$6,Model!Z$1,'Assumptions (MSW)'!$V$9,'Assumptions (MSW)'!$V$4*Model!$AB$1785*AVERAGE('Assumptions (MSW)'!$X$2:$Z$2)/10^9),0)</f>
        <v>0</v>
      </c>
      <c r="AF1867" s="105">
        <f>IF($AB$1785&gt;0,PPMT('Assumptions (MSW)'!$V$6,Model!AA$1,'Assumptions (MSW)'!$V$9,'Assumptions (MSW)'!$V$4*Model!$AB$1785*AVERAGE('Assumptions (MSW)'!$X$2:$Z$2)/10^9),0)</f>
        <v>0</v>
      </c>
      <c r="AG1867" s="105">
        <f>IF($AB$1785&gt;0,PPMT('Assumptions (MSW)'!$V$6,Model!AB$1,'Assumptions (MSW)'!$V$9,'Assumptions (MSW)'!$V$4*Model!$AB$1785*AVERAGE('Assumptions (MSW)'!$X$2:$Z$2)/10^9),0)</f>
        <v>0</v>
      </c>
      <c r="AH1867" s="105">
        <f>IF($AB$1785&gt;0,PPMT('Assumptions (MSW)'!$V$6,Model!AC$1,'Assumptions (MSW)'!$V$9,'Assumptions (MSW)'!$V$4*Model!$AB$1785*AVERAGE('Assumptions (MSW)'!$X$2:$Z$2)/10^9),0)</f>
        <v>0</v>
      </c>
      <c r="AI1867" s="105">
        <f>IF($AB$1785&gt;0,PPMT('Assumptions (MSW)'!$V$6,Model!AD$1,'Assumptions (MSW)'!$V$9,'Assumptions (MSW)'!$V$4*Model!$AB$1785*AVERAGE('Assumptions (MSW)'!$X$2:$Z$2)/10^9),0)</f>
        <v>0</v>
      </c>
      <c r="AJ1867" s="105">
        <f>IF($AB$1785&gt;0,PPMT('Assumptions (MSW)'!$V$6,Model!AE$1,'Assumptions (MSW)'!$V$9,'Assumptions (MSW)'!$V$4*Model!$AB$1785*AVERAGE('Assumptions (MSW)'!$X$2:$Z$2)/10^9),0)</f>
        <v>0</v>
      </c>
      <c r="AK1867" s="105">
        <f>IF($AB$1785&gt;0,PPMT('Assumptions (MSW)'!$V$6,Model!AF$1,'Assumptions (MSW)'!$V$9,'Assumptions (MSW)'!$V$4*Model!$AB$1785*AVERAGE('Assumptions (MSW)'!$X$2:$Z$2)/10^9),0)</f>
        <v>0</v>
      </c>
      <c r="AL1867" s="105">
        <f>IF($AB$1785&gt;0,PPMT('Assumptions (MSW)'!$V$6,Model!AG$1,'Assumptions (MSW)'!$V$9,'Assumptions (MSW)'!$V$4*Model!$AB$1785*AVERAGE('Assumptions (MSW)'!$X$2:$Z$2)/10^9),0)</f>
        <v>0</v>
      </c>
      <c r="AM1867" s="105">
        <f>IF($AB$1785&gt;0,PPMT('Assumptions (MSW)'!$V$6,Model!AH$1,'Assumptions (MSW)'!$V$9,'Assumptions (MSW)'!$V$4*Model!$AB$1785*AVERAGE('Assumptions (MSW)'!$X$2:$Z$2)/10^9),0)</f>
        <v>0</v>
      </c>
      <c r="AN1867" s="105">
        <f>IF($AB$1785&gt;0,PPMT('Assumptions (MSW)'!$V$6,Model!AI$1,'Assumptions (MSW)'!$V$9,'Assumptions (MSW)'!$V$4*Model!$AB$1785*AVERAGE('Assumptions (MSW)'!$X$2:$Z$2)/10^9),0)</f>
        <v>0</v>
      </c>
      <c r="AO1867" s="105">
        <f>IF($AB$1785&gt;0,PPMT('Assumptions (MSW)'!$V$6,Model!AJ$1,'Assumptions (MSW)'!$V$9,'Assumptions (MSW)'!$V$4*Model!$AB$1785*AVERAGE('Assumptions (MSW)'!$X$2:$Z$2)/10^9),0)</f>
        <v>0</v>
      </c>
      <c r="AP1867" s="105">
        <f>IF($AB$1785&gt;0,PPMT('Assumptions (MSW)'!$V$6,Model!AK$1,'Assumptions (MSW)'!$V$9,'Assumptions (MSW)'!$V$4*Model!$AB$1785*AVERAGE('Assumptions (MSW)'!$X$2:$Z$2)/10^9),0)</f>
        <v>0</v>
      </c>
      <c r="AQ1867" s="105"/>
      <c r="AR1867" s="105"/>
      <c r="AS1867" s="105"/>
      <c r="AT1867" s="105"/>
      <c r="AU1867" s="105"/>
      <c r="AV1867" s="105"/>
      <c r="AW1867" s="105"/>
      <c r="AX1867" s="105"/>
      <c r="AY1867" s="105"/>
      <c r="AZ1867" s="105"/>
      <c r="BA1867" s="105"/>
    </row>
    <row r="1868" spans="1:57" ht="15.75" hidden="1" customHeight="1" outlineLevel="1">
      <c r="A1868" s="435"/>
      <c r="B1868" s="99"/>
      <c r="C1868" s="99"/>
      <c r="D1868" s="99"/>
      <c r="E1868" s="99"/>
      <c r="F1868" s="99"/>
      <c r="G1868" s="99"/>
      <c r="H1868" s="99"/>
      <c r="I1868" s="99"/>
      <c r="J1868" s="99"/>
      <c r="K1868" s="99"/>
      <c r="L1868" s="99"/>
      <c r="M1868" s="99"/>
      <c r="N1868" s="99"/>
      <c r="O1868" s="99"/>
      <c r="P1868" s="99"/>
      <c r="Q1868" s="99"/>
      <c r="R1868" s="99"/>
      <c r="S1868" s="99"/>
      <c r="T1868" s="99"/>
      <c r="U1868" s="99"/>
      <c r="V1868" s="99"/>
      <c r="W1868" s="105"/>
      <c r="X1868" s="105"/>
      <c r="Y1868" s="105"/>
      <c r="Z1868" s="105"/>
      <c r="AA1868" s="105"/>
      <c r="AB1868" s="105"/>
      <c r="AC1868" s="105">
        <f>IF($AC$1785&gt;0,PPMT('Assumptions (MSW)'!$V$6,Model!W$1,'Assumptions (MSW)'!$V$9,'Assumptions (MSW)'!$V$4*Model!$AC$1785*AVERAGE('Assumptions (MSW)'!$Y$2:$AA$2)/10^9),0)</f>
        <v>0</v>
      </c>
      <c r="AD1868" s="105">
        <f>IF($AC$1785&gt;0,PPMT('Assumptions (MSW)'!$V$6,Model!X$1,'Assumptions (MSW)'!$V$9,'Assumptions (MSW)'!$V$4*Model!$AC$1785*AVERAGE('Assumptions (MSW)'!$Y$2:$AA$2)/10^9),0)</f>
        <v>0</v>
      </c>
      <c r="AE1868" s="105">
        <f>IF($AC$1785&gt;0,PPMT('Assumptions (MSW)'!$V$6,Model!Y$1,'Assumptions (MSW)'!$V$9,'Assumptions (MSW)'!$V$4*Model!$AC$1785*AVERAGE('Assumptions (MSW)'!$Y$2:$AA$2)/10^9),0)</f>
        <v>0</v>
      </c>
      <c r="AF1868" s="105">
        <f>IF($AC$1785&gt;0,PPMT('Assumptions (MSW)'!$V$6,Model!Z$1,'Assumptions (MSW)'!$V$9,'Assumptions (MSW)'!$V$4*Model!$AC$1785*AVERAGE('Assumptions (MSW)'!$Y$2:$AA$2)/10^9),0)</f>
        <v>0</v>
      </c>
      <c r="AG1868" s="105">
        <f>IF($AC$1785&gt;0,PPMT('Assumptions (MSW)'!$V$6,Model!AA$1,'Assumptions (MSW)'!$V$9,'Assumptions (MSW)'!$V$4*Model!$AC$1785*AVERAGE('Assumptions (MSW)'!$Y$2:$AA$2)/10^9),0)</f>
        <v>0</v>
      </c>
      <c r="AH1868" s="105">
        <f>IF($AC$1785&gt;0,PPMT('Assumptions (MSW)'!$V$6,Model!AB$1,'Assumptions (MSW)'!$V$9,'Assumptions (MSW)'!$V$4*Model!$AC$1785*AVERAGE('Assumptions (MSW)'!$Y$2:$AA$2)/10^9),0)</f>
        <v>0</v>
      </c>
      <c r="AI1868" s="105">
        <f>IF($AC$1785&gt;0,PPMT('Assumptions (MSW)'!$V$6,Model!AC$1,'Assumptions (MSW)'!$V$9,'Assumptions (MSW)'!$V$4*Model!$AC$1785*AVERAGE('Assumptions (MSW)'!$Y$2:$AA$2)/10^9),0)</f>
        <v>0</v>
      </c>
      <c r="AJ1868" s="105">
        <f>IF($AC$1785&gt;0,PPMT('Assumptions (MSW)'!$V$6,Model!AD$1,'Assumptions (MSW)'!$V$9,'Assumptions (MSW)'!$V$4*Model!$AC$1785*AVERAGE('Assumptions (MSW)'!$Y$2:$AA$2)/10^9),0)</f>
        <v>0</v>
      </c>
      <c r="AK1868" s="105">
        <f>IF($AC$1785&gt;0,PPMT('Assumptions (MSW)'!$V$6,Model!AE$1,'Assumptions (MSW)'!$V$9,'Assumptions (MSW)'!$V$4*Model!$AC$1785*AVERAGE('Assumptions (MSW)'!$Y$2:$AA$2)/10^9),0)</f>
        <v>0</v>
      </c>
      <c r="AL1868" s="105">
        <f>IF($AC$1785&gt;0,PPMT('Assumptions (MSW)'!$V$6,Model!AF$1,'Assumptions (MSW)'!$V$9,'Assumptions (MSW)'!$V$4*Model!$AC$1785*AVERAGE('Assumptions (MSW)'!$Y$2:$AA$2)/10^9),0)</f>
        <v>0</v>
      </c>
      <c r="AM1868" s="105">
        <f>IF($AC$1785&gt;0,PPMT('Assumptions (MSW)'!$V$6,Model!AG$1,'Assumptions (MSW)'!$V$9,'Assumptions (MSW)'!$V$4*Model!$AC$1785*AVERAGE('Assumptions (MSW)'!$Y$2:$AA$2)/10^9),0)</f>
        <v>0</v>
      </c>
      <c r="AN1868" s="105">
        <f>IF($AC$1785&gt;0,PPMT('Assumptions (MSW)'!$V$6,Model!AH$1,'Assumptions (MSW)'!$V$9,'Assumptions (MSW)'!$V$4*Model!$AC$1785*AVERAGE('Assumptions (MSW)'!$Y$2:$AA$2)/10^9),0)</f>
        <v>0</v>
      </c>
      <c r="AO1868" s="105">
        <f>IF($AC$1785&gt;0,PPMT('Assumptions (MSW)'!$V$6,Model!AI$1,'Assumptions (MSW)'!$V$9,'Assumptions (MSW)'!$V$4*Model!$AC$1785*AVERAGE('Assumptions (MSW)'!$Y$2:$AA$2)/10^9),0)</f>
        <v>0</v>
      </c>
      <c r="AP1868" s="105">
        <f>IF($AC$1785&gt;0,PPMT('Assumptions (MSW)'!$V$6,Model!AJ$1,'Assumptions (MSW)'!$V$9,'Assumptions (MSW)'!$V$4*Model!$AC$1785*AVERAGE('Assumptions (MSW)'!$Y$2:$AA$2)/10^9),0)</f>
        <v>0</v>
      </c>
      <c r="AQ1868" s="105">
        <f>IF($AC$1785&gt;0,PPMT('Assumptions (MSW)'!$V$6,Model!AK$1,'Assumptions (MSW)'!$V$9,'Assumptions (MSW)'!$V$4*Model!$AC$1785*AVERAGE('Assumptions (MSW)'!$Y$2:$AA$2)/10^9),0)</f>
        <v>0</v>
      </c>
      <c r="AR1868" s="105"/>
      <c r="AS1868" s="105"/>
      <c r="AT1868" s="105"/>
      <c r="AU1868" s="105"/>
      <c r="AV1868" s="105"/>
      <c r="AW1868" s="105"/>
      <c r="AX1868" s="105"/>
      <c r="AY1868" s="105"/>
      <c r="AZ1868" s="105"/>
      <c r="BA1868" s="105"/>
    </row>
    <row r="1869" spans="1:57" ht="15.75" hidden="1" customHeight="1" outlineLevel="1">
      <c r="A1869" s="435"/>
      <c r="B1869" s="99"/>
      <c r="C1869" s="99"/>
      <c r="D1869" s="99"/>
      <c r="E1869" s="99"/>
      <c r="F1869" s="99"/>
      <c r="G1869" s="99"/>
      <c r="H1869" s="99"/>
      <c r="I1869" s="99"/>
      <c r="J1869" s="99"/>
      <c r="K1869" s="99"/>
      <c r="L1869" s="99"/>
      <c r="M1869" s="99"/>
      <c r="N1869" s="99"/>
      <c r="O1869" s="99"/>
      <c r="P1869" s="99"/>
      <c r="Q1869" s="99"/>
      <c r="R1869" s="99"/>
      <c r="S1869" s="99"/>
      <c r="T1869" s="99"/>
      <c r="U1869" s="99"/>
      <c r="V1869" s="99"/>
      <c r="W1869" s="105"/>
      <c r="X1869" s="105"/>
      <c r="Y1869" s="105"/>
      <c r="Z1869" s="105"/>
      <c r="AA1869" s="105"/>
      <c r="AB1869" s="105"/>
      <c r="AC1869" s="105"/>
      <c r="AD1869" s="105">
        <f>IF($AD$1785&gt;0,PPMT('Assumptions (MSW)'!$V$6,Model!W$1,'Assumptions (MSW)'!$V$9,'Assumptions (MSW)'!$V$4*Model!$AD$1785*AVERAGE('Assumptions (MSW)'!$Z$2:$AB$2)/10^9),0)</f>
        <v>0</v>
      </c>
      <c r="AE1869" s="105">
        <f>IF($AD$1785&gt;0,PPMT('Assumptions (MSW)'!$V$6,Model!X$1,'Assumptions (MSW)'!$V$9,'Assumptions (MSW)'!$V$4*Model!$AD$1785*AVERAGE('Assumptions (MSW)'!$Z$2:$AB$2)/10^9),0)</f>
        <v>0</v>
      </c>
      <c r="AF1869" s="105">
        <f>IF($AD$1785&gt;0,PPMT('Assumptions (MSW)'!$V$6,Model!Y$1,'Assumptions (MSW)'!$V$9,'Assumptions (MSW)'!$V$4*Model!$AD$1785*AVERAGE('Assumptions (MSW)'!$Z$2:$AB$2)/10^9),0)</f>
        <v>0</v>
      </c>
      <c r="AG1869" s="105">
        <f>IF($AD$1785&gt;0,PPMT('Assumptions (MSW)'!$V$6,Model!Z$1,'Assumptions (MSW)'!$V$9,'Assumptions (MSW)'!$V$4*Model!$AD$1785*AVERAGE('Assumptions (MSW)'!$Z$2:$AB$2)/10^9),0)</f>
        <v>0</v>
      </c>
      <c r="AH1869" s="105">
        <f>IF($AD$1785&gt;0,PPMT('Assumptions (MSW)'!$V$6,Model!AA$1,'Assumptions (MSW)'!$V$9,'Assumptions (MSW)'!$V$4*Model!$AD$1785*AVERAGE('Assumptions (MSW)'!$Z$2:$AB$2)/10^9),0)</f>
        <v>0</v>
      </c>
      <c r="AI1869" s="105">
        <f>IF($AD$1785&gt;0,PPMT('Assumptions (MSW)'!$V$6,Model!AB$1,'Assumptions (MSW)'!$V$9,'Assumptions (MSW)'!$V$4*Model!$AD$1785*AVERAGE('Assumptions (MSW)'!$Z$2:$AB$2)/10^9),0)</f>
        <v>0</v>
      </c>
      <c r="AJ1869" s="105">
        <f>IF($AD$1785&gt;0,PPMT('Assumptions (MSW)'!$V$6,Model!AC$1,'Assumptions (MSW)'!$V$9,'Assumptions (MSW)'!$V$4*Model!$AD$1785*AVERAGE('Assumptions (MSW)'!$Z$2:$AB$2)/10^9),0)</f>
        <v>0</v>
      </c>
      <c r="AK1869" s="105">
        <f>IF($AD$1785&gt;0,PPMT('Assumptions (MSW)'!$V$6,Model!AD$1,'Assumptions (MSW)'!$V$9,'Assumptions (MSW)'!$V$4*Model!$AD$1785*AVERAGE('Assumptions (MSW)'!$Z$2:$AB$2)/10^9),0)</f>
        <v>0</v>
      </c>
      <c r="AL1869" s="105">
        <f>IF($AD$1785&gt;0,PPMT('Assumptions (MSW)'!$V$6,Model!AE$1,'Assumptions (MSW)'!$V$9,'Assumptions (MSW)'!$V$4*Model!$AD$1785*AVERAGE('Assumptions (MSW)'!$Z$2:$AB$2)/10^9),0)</f>
        <v>0</v>
      </c>
      <c r="AM1869" s="105">
        <f>IF($AD$1785&gt;0,PPMT('Assumptions (MSW)'!$V$6,Model!AF$1,'Assumptions (MSW)'!$V$9,'Assumptions (MSW)'!$V$4*Model!$AD$1785*AVERAGE('Assumptions (MSW)'!$Z$2:$AB$2)/10^9),0)</f>
        <v>0</v>
      </c>
      <c r="AN1869" s="105">
        <f>IF($AD$1785&gt;0,PPMT('Assumptions (MSW)'!$V$6,Model!AG$1,'Assumptions (MSW)'!$V$9,'Assumptions (MSW)'!$V$4*Model!$AD$1785*AVERAGE('Assumptions (MSW)'!$Z$2:$AB$2)/10^9),0)</f>
        <v>0</v>
      </c>
      <c r="AO1869" s="105">
        <f>IF($AD$1785&gt;0,PPMT('Assumptions (MSW)'!$V$6,Model!AH$1,'Assumptions (MSW)'!$V$9,'Assumptions (MSW)'!$V$4*Model!$AD$1785*AVERAGE('Assumptions (MSW)'!$Z$2:$AB$2)/10^9),0)</f>
        <v>0</v>
      </c>
      <c r="AP1869" s="105">
        <f>IF($AD$1785&gt;0,PPMT('Assumptions (MSW)'!$V$6,Model!AI$1,'Assumptions (MSW)'!$V$9,'Assumptions (MSW)'!$V$4*Model!$AD$1785*AVERAGE('Assumptions (MSW)'!$Z$2:$AB$2)/10^9),0)</f>
        <v>0</v>
      </c>
      <c r="AQ1869" s="105">
        <f>IF($AD$1785&gt;0,PPMT('Assumptions (MSW)'!$V$6,Model!AJ$1,'Assumptions (MSW)'!$V$9,'Assumptions (MSW)'!$V$4*Model!$AD$1785*AVERAGE('Assumptions (MSW)'!$Z$2:$AB$2)/10^9),0)</f>
        <v>0</v>
      </c>
      <c r="AR1869" s="105">
        <f>IF($AD$1785&gt;0,PPMT('Assumptions (MSW)'!$V$6,Model!AK$1,'Assumptions (MSW)'!$V$9,'Assumptions (MSW)'!$V$4*Model!$AD$1785*AVERAGE('Assumptions (MSW)'!$Z$2:$AB$2)/10^9),0)</f>
        <v>0</v>
      </c>
      <c r="AS1869" s="105"/>
      <c r="AT1869" s="105"/>
      <c r="AU1869" s="105"/>
      <c r="AV1869" s="105"/>
      <c r="AW1869" s="105"/>
      <c r="AX1869" s="105"/>
      <c r="AY1869" s="105"/>
      <c r="AZ1869" s="105"/>
      <c r="BA1869" s="105"/>
      <c r="BB1869" s="105"/>
    </row>
    <row r="1870" spans="1:57" ht="15.75" hidden="1" customHeight="1" outlineLevel="1">
      <c r="A1870" s="435"/>
      <c r="B1870" s="99"/>
      <c r="C1870" s="99"/>
      <c r="D1870" s="99"/>
      <c r="E1870" s="99"/>
      <c r="F1870" s="99"/>
      <c r="G1870" s="99"/>
      <c r="H1870" s="99"/>
      <c r="I1870" s="99"/>
      <c r="J1870" s="99"/>
      <c r="K1870" s="99"/>
      <c r="L1870" s="99"/>
      <c r="M1870" s="99"/>
      <c r="N1870" s="99"/>
      <c r="O1870" s="99"/>
      <c r="P1870" s="99"/>
      <c r="Q1870" s="99"/>
      <c r="R1870" s="99"/>
      <c r="S1870" s="99"/>
      <c r="T1870" s="99"/>
      <c r="U1870" s="99"/>
      <c r="V1870" s="99"/>
      <c r="W1870" s="105"/>
      <c r="X1870" s="105"/>
      <c r="Y1870" s="105"/>
      <c r="Z1870" s="105"/>
      <c r="AA1870" s="105"/>
      <c r="AB1870" s="105"/>
      <c r="AC1870" s="105"/>
      <c r="AD1870" s="105"/>
      <c r="AE1870" s="105">
        <f>IF($AE$1785&gt;0,PPMT('Assumptions (MSW)'!$V$6,Model!W$1,'Assumptions (MSW)'!$V$9,'Assumptions (MSW)'!$V$4*Model!$AE$1785*AVERAGE('Assumptions (MSW)'!$AA$2:$AC$2)/10^9),0)</f>
        <v>0</v>
      </c>
      <c r="AF1870" s="105">
        <f>IF($AE$1785&gt;0,PPMT('Assumptions (MSW)'!$V$6,Model!X$1,'Assumptions (MSW)'!$V$9,'Assumptions (MSW)'!$V$4*Model!$AE$1785*AVERAGE('Assumptions (MSW)'!$AA$2:$AC$2)/10^9),0)</f>
        <v>0</v>
      </c>
      <c r="AG1870" s="105">
        <f>IF($AE$1785&gt;0,PPMT('Assumptions (MSW)'!$V$6,Model!Y$1,'Assumptions (MSW)'!$V$9,'Assumptions (MSW)'!$V$4*Model!$AE$1785*AVERAGE('Assumptions (MSW)'!$AA$2:$AC$2)/10^9),0)</f>
        <v>0</v>
      </c>
      <c r="AH1870" s="105">
        <f>IF($AE$1785&gt;0,PPMT('Assumptions (MSW)'!$V$6,Model!Z$1,'Assumptions (MSW)'!$V$9,'Assumptions (MSW)'!$V$4*Model!$AE$1785*AVERAGE('Assumptions (MSW)'!$AA$2:$AC$2)/10^9),0)</f>
        <v>0</v>
      </c>
      <c r="AI1870" s="105">
        <f>IF($AE$1785&gt;0,PPMT('Assumptions (MSW)'!$V$6,Model!AA$1,'Assumptions (MSW)'!$V$9,'Assumptions (MSW)'!$V$4*Model!$AE$1785*AVERAGE('Assumptions (MSW)'!$AA$2:$AC$2)/10^9),0)</f>
        <v>0</v>
      </c>
      <c r="AJ1870" s="105">
        <f>IF($AE$1785&gt;0,PPMT('Assumptions (MSW)'!$V$6,Model!AB$1,'Assumptions (MSW)'!$V$9,'Assumptions (MSW)'!$V$4*Model!$AE$1785*AVERAGE('Assumptions (MSW)'!$AA$2:$AC$2)/10^9),0)</f>
        <v>0</v>
      </c>
      <c r="AK1870" s="105">
        <f>IF($AE$1785&gt;0,PPMT('Assumptions (MSW)'!$V$6,Model!AC$1,'Assumptions (MSW)'!$V$9,'Assumptions (MSW)'!$V$4*Model!$AE$1785*AVERAGE('Assumptions (MSW)'!$AA$2:$AC$2)/10^9),0)</f>
        <v>0</v>
      </c>
      <c r="AL1870" s="105">
        <f>IF($AE$1785&gt;0,PPMT('Assumptions (MSW)'!$V$6,Model!AD$1,'Assumptions (MSW)'!$V$9,'Assumptions (MSW)'!$V$4*Model!$AE$1785*AVERAGE('Assumptions (MSW)'!$AA$2:$AC$2)/10^9),0)</f>
        <v>0</v>
      </c>
      <c r="AM1870" s="105">
        <f>IF($AE$1785&gt;0,PPMT('Assumptions (MSW)'!$V$6,Model!AE$1,'Assumptions (MSW)'!$V$9,'Assumptions (MSW)'!$V$4*Model!$AE$1785*AVERAGE('Assumptions (MSW)'!$AA$2:$AC$2)/10^9),0)</f>
        <v>0</v>
      </c>
      <c r="AN1870" s="105">
        <f>IF($AE$1785&gt;0,PPMT('Assumptions (MSW)'!$V$6,Model!AF$1,'Assumptions (MSW)'!$V$9,'Assumptions (MSW)'!$V$4*Model!$AE$1785*AVERAGE('Assumptions (MSW)'!$AA$2:$AC$2)/10^9),0)</f>
        <v>0</v>
      </c>
      <c r="AO1870" s="105">
        <f>IF($AE$1785&gt;0,PPMT('Assumptions (MSW)'!$V$6,Model!AG$1,'Assumptions (MSW)'!$V$9,'Assumptions (MSW)'!$V$4*Model!$AE$1785*AVERAGE('Assumptions (MSW)'!$AA$2:$AC$2)/10^9),0)</f>
        <v>0</v>
      </c>
      <c r="AP1870" s="105">
        <f>IF($AE$1785&gt;0,PPMT('Assumptions (MSW)'!$V$6,Model!AH$1,'Assumptions (MSW)'!$V$9,'Assumptions (MSW)'!$V$4*Model!$AE$1785*AVERAGE('Assumptions (MSW)'!$AA$2:$AC$2)/10^9),0)</f>
        <v>0</v>
      </c>
      <c r="AQ1870" s="105">
        <f>IF($AE$1785&gt;0,PPMT('Assumptions (MSW)'!$V$6,Model!AI$1,'Assumptions (MSW)'!$V$9,'Assumptions (MSW)'!$V$4*Model!$AE$1785*AVERAGE('Assumptions (MSW)'!$AA$2:$AC$2)/10^9),0)</f>
        <v>0</v>
      </c>
      <c r="AR1870" s="105">
        <f>IF($AE$1785&gt;0,PPMT('Assumptions (MSW)'!$V$6,Model!AJ$1,'Assumptions (MSW)'!$V$9,'Assumptions (MSW)'!$V$4*Model!$AE$1785*AVERAGE('Assumptions (MSW)'!$AA$2:$AC$2)/10^9),0)</f>
        <v>0</v>
      </c>
      <c r="AS1870" s="105">
        <f>IF($AE$1785&gt;0,PPMT('Assumptions (MSW)'!$V$6,Model!AK$1,'Assumptions (MSW)'!$V$9,'Assumptions (MSW)'!$V$4*Model!$AE$1785*AVERAGE('Assumptions (MSW)'!$AA$2:$AC$2)/10^9),0)</f>
        <v>0</v>
      </c>
      <c r="AT1870" s="105"/>
      <c r="AU1870" s="105"/>
      <c r="AV1870" s="105"/>
      <c r="AW1870" s="105"/>
      <c r="AX1870" s="105"/>
      <c r="AY1870" s="105"/>
      <c r="AZ1870" s="105"/>
      <c r="BA1870" s="105"/>
      <c r="BB1870" s="105"/>
      <c r="BC1870" s="105"/>
    </row>
    <row r="1871" spans="1:57" ht="15.75" hidden="1" customHeight="1" outlineLevel="1">
      <c r="A1871" s="435"/>
      <c r="B1871" s="99"/>
      <c r="C1871" s="99"/>
      <c r="D1871" s="99"/>
      <c r="E1871" s="99"/>
      <c r="F1871" s="99"/>
      <c r="G1871" s="99"/>
      <c r="H1871" s="99"/>
      <c r="I1871" s="99"/>
      <c r="J1871" s="99"/>
      <c r="K1871" s="99"/>
      <c r="L1871" s="99"/>
      <c r="M1871" s="99"/>
      <c r="N1871" s="99"/>
      <c r="O1871" s="99"/>
      <c r="P1871" s="99"/>
      <c r="Q1871" s="99"/>
      <c r="R1871" s="99"/>
      <c r="S1871" s="99"/>
      <c r="T1871" s="99"/>
      <c r="U1871" s="99"/>
      <c r="V1871" s="99"/>
      <c r="W1871" s="105"/>
      <c r="X1871" s="105"/>
      <c r="Y1871" s="105"/>
      <c r="Z1871" s="105"/>
      <c r="AA1871" s="105"/>
      <c r="AB1871" s="105"/>
      <c r="AC1871" s="105"/>
      <c r="AD1871" s="105"/>
      <c r="AE1871" s="105"/>
      <c r="AF1871" s="105">
        <f>IF($AF$1785&gt;0,PPMT('Assumptions (MSW)'!$V$6,Model!W$1,'Assumptions (MSW)'!$V$9,'Assumptions (MSW)'!$V$4*Model!$AF$1785*AVERAGE('Assumptions (MSW)'!$AB$2:$AD$2)/10^9),0)</f>
        <v>0</v>
      </c>
      <c r="AG1871" s="105">
        <f>IF($AF$1785&gt;0,PPMT('Assumptions (MSW)'!$V$6,Model!X$1,'Assumptions (MSW)'!$V$9,'Assumptions (MSW)'!$V$4*Model!$AF$1785*AVERAGE('Assumptions (MSW)'!$AB$2:$AD$2)/10^9),0)</f>
        <v>0</v>
      </c>
      <c r="AH1871" s="105">
        <f>IF($AF$1785&gt;0,PPMT('Assumptions (MSW)'!$V$6,Model!Y$1,'Assumptions (MSW)'!$V$9,'Assumptions (MSW)'!$V$4*Model!$AF$1785*AVERAGE('Assumptions (MSW)'!$AB$2:$AD$2)/10^9),0)</f>
        <v>0</v>
      </c>
      <c r="AI1871" s="105">
        <f>IF($AF$1785&gt;0,PPMT('Assumptions (MSW)'!$V$6,Model!Z$1,'Assumptions (MSW)'!$V$9,'Assumptions (MSW)'!$V$4*Model!$AF$1785*AVERAGE('Assumptions (MSW)'!$AB$2:$AD$2)/10^9),0)</f>
        <v>0</v>
      </c>
      <c r="AJ1871" s="105">
        <f>IF($AF$1785&gt;0,PPMT('Assumptions (MSW)'!$V$6,Model!AA$1,'Assumptions (MSW)'!$V$9,'Assumptions (MSW)'!$V$4*Model!$AF$1785*AVERAGE('Assumptions (MSW)'!$AB$2:$AD$2)/10^9),0)</f>
        <v>0</v>
      </c>
      <c r="AK1871" s="105">
        <f>IF($AF$1785&gt;0,PPMT('Assumptions (MSW)'!$V$6,Model!AB$1,'Assumptions (MSW)'!$V$9,'Assumptions (MSW)'!$V$4*Model!$AF$1785*AVERAGE('Assumptions (MSW)'!$AB$2:$AD$2)/10^9),0)</f>
        <v>0</v>
      </c>
      <c r="AL1871" s="105">
        <f>IF($AF$1785&gt;0,PPMT('Assumptions (MSW)'!$V$6,Model!AC$1,'Assumptions (MSW)'!$V$9,'Assumptions (MSW)'!$V$4*Model!$AF$1785*AVERAGE('Assumptions (MSW)'!$AB$2:$AD$2)/10^9),0)</f>
        <v>0</v>
      </c>
      <c r="AM1871" s="105">
        <f>IF($AF$1785&gt;0,PPMT('Assumptions (MSW)'!$V$6,Model!AD$1,'Assumptions (MSW)'!$V$9,'Assumptions (MSW)'!$V$4*Model!$AF$1785*AVERAGE('Assumptions (MSW)'!$AB$2:$AD$2)/10^9),0)</f>
        <v>0</v>
      </c>
      <c r="AN1871" s="105">
        <f>IF($AF$1785&gt;0,PPMT('Assumptions (MSW)'!$V$6,Model!AE$1,'Assumptions (MSW)'!$V$9,'Assumptions (MSW)'!$V$4*Model!$AF$1785*AVERAGE('Assumptions (MSW)'!$AB$2:$AD$2)/10^9),0)</f>
        <v>0</v>
      </c>
      <c r="AO1871" s="105">
        <f>IF($AF$1785&gt;0,PPMT('Assumptions (MSW)'!$V$6,Model!AF$1,'Assumptions (MSW)'!$V$9,'Assumptions (MSW)'!$V$4*Model!$AF$1785*AVERAGE('Assumptions (MSW)'!$AB$2:$AD$2)/10^9),0)</f>
        <v>0</v>
      </c>
      <c r="AP1871" s="105">
        <f>IF($AF$1785&gt;0,PPMT('Assumptions (MSW)'!$V$6,Model!AG$1,'Assumptions (MSW)'!$V$9,'Assumptions (MSW)'!$V$4*Model!$AF$1785*AVERAGE('Assumptions (MSW)'!$AB$2:$AD$2)/10^9),0)</f>
        <v>0</v>
      </c>
      <c r="AQ1871" s="105">
        <f>IF($AF$1785&gt;0,PPMT('Assumptions (MSW)'!$V$6,Model!AH$1,'Assumptions (MSW)'!$V$9,'Assumptions (MSW)'!$V$4*Model!$AF$1785*AVERAGE('Assumptions (MSW)'!$AB$2:$AD$2)/10^9),0)</f>
        <v>0</v>
      </c>
      <c r="AR1871" s="105">
        <f>IF($AF$1785&gt;0,PPMT('Assumptions (MSW)'!$V$6,Model!AI$1,'Assumptions (MSW)'!$V$9,'Assumptions (MSW)'!$V$4*Model!$AF$1785*AVERAGE('Assumptions (MSW)'!$AB$2:$AD$2)/10^9),0)</f>
        <v>0</v>
      </c>
      <c r="AS1871" s="105">
        <f>IF($AF$1785&gt;0,PPMT('Assumptions (MSW)'!$V$6,Model!AJ$1,'Assumptions (MSW)'!$V$9,'Assumptions (MSW)'!$V$4*Model!$AF$1785*AVERAGE('Assumptions (MSW)'!$AB$2:$AD$2)/10^9),0)</f>
        <v>0</v>
      </c>
      <c r="AT1871" s="105">
        <f>IF($AF$1785&gt;0,PPMT('Assumptions (MSW)'!$V$6,Model!AK$1,'Assumptions (MSW)'!$V$9,'Assumptions (MSW)'!$V$4*Model!$AF$1785*AVERAGE('Assumptions (MSW)'!$AB$2:$AD$2)/10^9),0)</f>
        <v>0</v>
      </c>
      <c r="AU1871" s="105"/>
      <c r="AV1871" s="105"/>
      <c r="AW1871" s="105"/>
      <c r="AX1871" s="105"/>
      <c r="AY1871" s="105"/>
      <c r="AZ1871" s="105"/>
      <c r="BA1871" s="105"/>
      <c r="BB1871" s="105"/>
      <c r="BC1871" s="105"/>
      <c r="BD1871" s="105"/>
    </row>
    <row r="1872" spans="1:57" ht="15.75" hidden="1" customHeight="1" outlineLevel="1">
      <c r="A1872" s="435"/>
      <c r="B1872" s="99"/>
      <c r="C1872" s="99"/>
      <c r="D1872" s="99"/>
      <c r="E1872" s="99"/>
      <c r="F1872" s="99"/>
      <c r="G1872" s="99"/>
      <c r="H1872" s="99"/>
      <c r="I1872" s="99"/>
      <c r="J1872" s="99"/>
      <c r="K1872" s="99"/>
      <c r="L1872" s="99"/>
      <c r="M1872" s="99"/>
      <c r="N1872" s="99"/>
      <c r="O1872" s="99"/>
      <c r="P1872" s="99"/>
      <c r="Q1872" s="99"/>
      <c r="R1872" s="99"/>
      <c r="S1872" s="99"/>
      <c r="T1872" s="99"/>
      <c r="U1872" s="99"/>
      <c r="V1872" s="99"/>
      <c r="W1872" s="105"/>
      <c r="X1872" s="105"/>
      <c r="Y1872" s="105"/>
      <c r="Z1872" s="105"/>
      <c r="AA1872" s="105"/>
      <c r="AB1872" s="105"/>
      <c r="AC1872" s="105"/>
      <c r="AD1872" s="105"/>
      <c r="AE1872" s="105"/>
      <c r="AF1872" s="105"/>
      <c r="AG1872" s="105">
        <f>IF($AG$1785&gt;0,PPMT('Assumptions (MSW)'!$V$6,Model!W$1,'Assumptions (MSW)'!$V$9,'Assumptions (MSW)'!$V$4*Model!$AG$1785*AVERAGE('Assumptions (MSW)'!$AC$2:$AE$2)/10^9),0)</f>
        <v>0</v>
      </c>
      <c r="AH1872" s="105">
        <f>IF($AG$1785&gt;0,PPMT('Assumptions (MSW)'!$V$6,Model!X$1,'Assumptions (MSW)'!$V$9,'Assumptions (MSW)'!$V$4*Model!$AG$1785*AVERAGE('Assumptions (MSW)'!$AC$2:$AE$2)/10^9),0)</f>
        <v>0</v>
      </c>
      <c r="AI1872" s="105">
        <f>IF($AG$1785&gt;0,PPMT('Assumptions (MSW)'!$V$6,Model!Y$1,'Assumptions (MSW)'!$V$9,'Assumptions (MSW)'!$V$4*Model!$AG$1785*AVERAGE('Assumptions (MSW)'!$AC$2:$AE$2)/10^9),0)</f>
        <v>0</v>
      </c>
      <c r="AJ1872" s="105">
        <f>IF($AG$1785&gt;0,PPMT('Assumptions (MSW)'!$V$6,Model!Z$1,'Assumptions (MSW)'!$V$9,'Assumptions (MSW)'!$V$4*Model!$AG$1785*AVERAGE('Assumptions (MSW)'!$AC$2:$AE$2)/10^9),0)</f>
        <v>0</v>
      </c>
      <c r="AK1872" s="105">
        <f>IF($AG$1785&gt;0,PPMT('Assumptions (MSW)'!$V$6,Model!AA$1,'Assumptions (MSW)'!$V$9,'Assumptions (MSW)'!$V$4*Model!$AG$1785*AVERAGE('Assumptions (MSW)'!$AC$2:$AE$2)/10^9),0)</f>
        <v>0</v>
      </c>
      <c r="AL1872" s="105">
        <f>IF($AG$1785&gt;0,PPMT('Assumptions (MSW)'!$V$6,Model!AB$1,'Assumptions (MSW)'!$V$9,'Assumptions (MSW)'!$V$4*Model!$AG$1785*AVERAGE('Assumptions (MSW)'!$AC$2:$AE$2)/10^9),0)</f>
        <v>0</v>
      </c>
      <c r="AM1872" s="105">
        <f>IF($AG$1785&gt;0,PPMT('Assumptions (MSW)'!$V$6,Model!AC$1,'Assumptions (MSW)'!$V$9,'Assumptions (MSW)'!$V$4*Model!$AG$1785*AVERAGE('Assumptions (MSW)'!$AC$2:$AE$2)/10^9),0)</f>
        <v>0</v>
      </c>
      <c r="AN1872" s="105">
        <f>IF($AG$1785&gt;0,PPMT('Assumptions (MSW)'!$V$6,Model!AD$1,'Assumptions (MSW)'!$V$9,'Assumptions (MSW)'!$V$4*Model!$AG$1785*AVERAGE('Assumptions (MSW)'!$AC$2:$AE$2)/10^9),0)</f>
        <v>0</v>
      </c>
      <c r="AO1872" s="105">
        <f>IF($AG$1785&gt;0,PPMT('Assumptions (MSW)'!$V$6,Model!AE$1,'Assumptions (MSW)'!$V$9,'Assumptions (MSW)'!$V$4*Model!$AG$1785*AVERAGE('Assumptions (MSW)'!$AC$2:$AE$2)/10^9),0)</f>
        <v>0</v>
      </c>
      <c r="AP1872" s="105">
        <f>IF($AG$1785&gt;0,PPMT('Assumptions (MSW)'!$V$6,Model!AF$1,'Assumptions (MSW)'!$V$9,'Assumptions (MSW)'!$V$4*Model!$AG$1785*AVERAGE('Assumptions (MSW)'!$AC$2:$AE$2)/10^9),0)</f>
        <v>0</v>
      </c>
      <c r="AQ1872" s="105">
        <f>IF($AG$1785&gt;0,PPMT('Assumptions (MSW)'!$V$6,Model!AG$1,'Assumptions (MSW)'!$V$9,'Assumptions (MSW)'!$V$4*Model!$AG$1785*AVERAGE('Assumptions (MSW)'!$AC$2:$AE$2)/10^9),0)</f>
        <v>0</v>
      </c>
      <c r="AR1872" s="105">
        <f>IF($AG$1785&gt;0,PPMT('Assumptions (MSW)'!$V$6,Model!AH$1,'Assumptions (MSW)'!$V$9,'Assumptions (MSW)'!$V$4*Model!$AG$1785*AVERAGE('Assumptions (MSW)'!$AC$2:$AE$2)/10^9),0)</f>
        <v>0</v>
      </c>
      <c r="AS1872" s="105">
        <f>IF($AG$1785&gt;0,PPMT('Assumptions (MSW)'!$V$6,Model!AI$1,'Assumptions (MSW)'!$V$9,'Assumptions (MSW)'!$V$4*Model!$AG$1785*AVERAGE('Assumptions (MSW)'!$AC$2:$AE$2)/10^9),0)</f>
        <v>0</v>
      </c>
      <c r="AT1872" s="105">
        <f>IF($AG$1785&gt;0,PPMT('Assumptions (MSW)'!$V$6,Model!AJ$1,'Assumptions (MSW)'!$V$9,'Assumptions (MSW)'!$V$4*Model!$AG$1785*AVERAGE('Assumptions (MSW)'!$AC$2:$AE$2)/10^9),0)</f>
        <v>0</v>
      </c>
      <c r="AU1872" s="105">
        <f>IF($AG$1785&gt;0,PPMT('Assumptions (MSW)'!$V$6,Model!AK$1,'Assumptions (MSW)'!$V$9,'Assumptions (MSW)'!$V$4*Model!$AG$1785*AVERAGE('Assumptions (MSW)'!$AC$2:$AE$2)/10^9),0)</f>
        <v>0</v>
      </c>
      <c r="AV1872" s="105"/>
      <c r="AW1872" s="105"/>
      <c r="AX1872" s="105"/>
      <c r="AY1872" s="105"/>
      <c r="AZ1872" s="105"/>
      <c r="BA1872" s="105"/>
      <c r="BB1872" s="105"/>
      <c r="BC1872" s="105"/>
      <c r="BD1872" s="105"/>
      <c r="BE1872" s="105"/>
    </row>
    <row r="1873" spans="1:68" ht="15.75" hidden="1" customHeight="1" outlineLevel="1">
      <c r="A1873" s="435"/>
      <c r="B1873" s="99"/>
      <c r="C1873" s="99"/>
      <c r="D1873" s="99"/>
      <c r="E1873" s="99"/>
      <c r="F1873" s="99"/>
      <c r="G1873" s="99"/>
      <c r="H1873" s="99"/>
      <c r="I1873" s="99"/>
      <c r="J1873" s="99"/>
      <c r="K1873" s="99"/>
      <c r="L1873" s="99"/>
      <c r="M1873" s="99"/>
      <c r="N1873" s="99"/>
      <c r="O1873" s="99"/>
      <c r="P1873" s="99"/>
      <c r="Q1873" s="99"/>
      <c r="R1873" s="99"/>
      <c r="S1873" s="99"/>
      <c r="T1873" s="99"/>
      <c r="U1873" s="99"/>
      <c r="V1873" s="99"/>
      <c r="W1873" s="105"/>
      <c r="X1873" s="105"/>
      <c r="Y1873" s="105"/>
      <c r="Z1873" s="105"/>
      <c r="AA1873" s="105"/>
      <c r="AB1873" s="105"/>
      <c r="AC1873" s="105"/>
      <c r="AD1873" s="105"/>
      <c r="AE1873" s="105"/>
      <c r="AF1873" s="105"/>
      <c r="AG1873" s="105"/>
      <c r="AH1873" s="105">
        <f>IF($AH$1785&gt;0,PPMT('Assumptions (MSW)'!$V$6,Model!W$1,'Assumptions (MSW)'!$V$9,'Assumptions (MSW)'!$V$4*Model!$AH$1785*AVERAGE('Assumptions (MSW)'!$AD$2:$AF$2)/10^9),0)</f>
        <v>0</v>
      </c>
      <c r="AI1873" s="105">
        <f>IF($AH$1785&gt;0,PPMT('Assumptions (MSW)'!$V$6,Model!X$1,'Assumptions (MSW)'!$V$9,'Assumptions (MSW)'!$V$4*Model!$AH$1785*AVERAGE('Assumptions (MSW)'!$AD$2:$AF$2)/10^9),0)</f>
        <v>0</v>
      </c>
      <c r="AJ1873" s="105">
        <f>IF($AH$1785&gt;0,PPMT('Assumptions (MSW)'!$V$6,Model!Y$1,'Assumptions (MSW)'!$V$9,'Assumptions (MSW)'!$V$4*Model!$AH$1785*AVERAGE('Assumptions (MSW)'!$AD$2:$AF$2)/10^9),0)</f>
        <v>0</v>
      </c>
      <c r="AK1873" s="105">
        <f>IF($AH$1785&gt;0,PPMT('Assumptions (MSW)'!$V$6,Model!Z$1,'Assumptions (MSW)'!$V$9,'Assumptions (MSW)'!$V$4*Model!$AH$1785*AVERAGE('Assumptions (MSW)'!$AD$2:$AF$2)/10^9),0)</f>
        <v>0</v>
      </c>
      <c r="AL1873" s="105">
        <f>IF($AH$1785&gt;0,PPMT('Assumptions (MSW)'!$V$6,Model!AA$1,'Assumptions (MSW)'!$V$9,'Assumptions (MSW)'!$V$4*Model!$AH$1785*AVERAGE('Assumptions (MSW)'!$AD$2:$AF$2)/10^9),0)</f>
        <v>0</v>
      </c>
      <c r="AM1873" s="105">
        <f>IF($AH$1785&gt;0,PPMT('Assumptions (MSW)'!$V$6,Model!AB$1,'Assumptions (MSW)'!$V$9,'Assumptions (MSW)'!$V$4*Model!$AH$1785*AVERAGE('Assumptions (MSW)'!$AD$2:$AF$2)/10^9),0)</f>
        <v>0</v>
      </c>
      <c r="AN1873" s="105">
        <f>IF($AH$1785&gt;0,PPMT('Assumptions (MSW)'!$V$6,Model!AC$1,'Assumptions (MSW)'!$V$9,'Assumptions (MSW)'!$V$4*Model!$AH$1785*AVERAGE('Assumptions (MSW)'!$AD$2:$AF$2)/10^9),0)</f>
        <v>0</v>
      </c>
      <c r="AO1873" s="105">
        <f>IF($AH$1785&gt;0,PPMT('Assumptions (MSW)'!$V$6,Model!AD$1,'Assumptions (MSW)'!$V$9,'Assumptions (MSW)'!$V$4*Model!$AH$1785*AVERAGE('Assumptions (MSW)'!$AD$2:$AF$2)/10^9),0)</f>
        <v>0</v>
      </c>
      <c r="AP1873" s="105">
        <f>IF($AH$1785&gt;0,PPMT('Assumptions (MSW)'!$V$6,Model!AE$1,'Assumptions (MSW)'!$V$9,'Assumptions (MSW)'!$V$4*Model!$AH$1785*AVERAGE('Assumptions (MSW)'!$AD$2:$AF$2)/10^9),0)</f>
        <v>0</v>
      </c>
      <c r="AQ1873" s="105">
        <f>IF($AH$1785&gt;0,PPMT('Assumptions (MSW)'!$V$6,Model!AF$1,'Assumptions (MSW)'!$V$9,'Assumptions (MSW)'!$V$4*Model!$AH$1785*AVERAGE('Assumptions (MSW)'!$AD$2:$AF$2)/10^9),0)</f>
        <v>0</v>
      </c>
      <c r="AR1873" s="105">
        <f>IF($AH$1785&gt;0,PPMT('Assumptions (MSW)'!$V$6,Model!AG$1,'Assumptions (MSW)'!$V$9,'Assumptions (MSW)'!$V$4*Model!$AH$1785*AVERAGE('Assumptions (MSW)'!$AD$2:$AF$2)/10^9),0)</f>
        <v>0</v>
      </c>
      <c r="AS1873" s="105">
        <f>IF($AH$1785&gt;0,PPMT('Assumptions (MSW)'!$V$6,Model!AH$1,'Assumptions (MSW)'!$V$9,'Assumptions (MSW)'!$V$4*Model!$AH$1785*AVERAGE('Assumptions (MSW)'!$AD$2:$AF$2)/10^9),0)</f>
        <v>0</v>
      </c>
      <c r="AT1873" s="105">
        <f>IF($AH$1785&gt;0,PPMT('Assumptions (MSW)'!$V$6,Model!AI$1,'Assumptions (MSW)'!$V$9,'Assumptions (MSW)'!$V$4*Model!$AH$1785*AVERAGE('Assumptions (MSW)'!$AD$2:$AF$2)/10^9),0)</f>
        <v>0</v>
      </c>
      <c r="AU1873" s="105">
        <f>IF($AH$1785&gt;0,PPMT('Assumptions (MSW)'!$V$6,Model!AJ$1,'Assumptions (MSW)'!$V$9,'Assumptions (MSW)'!$V$4*Model!$AH$1785*AVERAGE('Assumptions (MSW)'!$AD$2:$AF$2)/10^9),0)</f>
        <v>0</v>
      </c>
      <c r="AV1873" s="105">
        <f>IF($AH$1785&gt;0,PPMT('Assumptions (MSW)'!$V$6,Model!AK$1,'Assumptions (MSW)'!$V$9,'Assumptions (MSW)'!$V$4*Model!$AH$1785*AVERAGE('Assumptions (MSW)'!$AD$2:$AF$2)/10^9),0)</f>
        <v>0</v>
      </c>
      <c r="AW1873" s="105"/>
      <c r="AX1873" s="105"/>
      <c r="AY1873" s="105"/>
      <c r="AZ1873" s="105"/>
      <c r="BA1873" s="105"/>
      <c r="BB1873" s="105"/>
      <c r="BC1873" s="105"/>
      <c r="BD1873" s="105"/>
      <c r="BE1873" s="105"/>
      <c r="BF1873" s="105"/>
    </row>
    <row r="1874" spans="1:68" ht="15.75" hidden="1" customHeight="1" outlineLevel="1">
      <c r="A1874" s="435"/>
      <c r="B1874" s="99"/>
      <c r="C1874" s="99"/>
      <c r="D1874" s="99"/>
      <c r="E1874" s="99"/>
      <c r="F1874" s="99"/>
      <c r="G1874" s="99"/>
      <c r="H1874" s="99"/>
      <c r="I1874" s="99"/>
      <c r="J1874" s="99"/>
      <c r="K1874" s="99"/>
      <c r="L1874" s="99"/>
      <c r="M1874" s="99"/>
      <c r="N1874" s="99"/>
      <c r="O1874" s="99"/>
      <c r="P1874" s="99"/>
      <c r="Q1874" s="99"/>
      <c r="R1874" s="99"/>
      <c r="S1874" s="99"/>
      <c r="T1874" s="99"/>
      <c r="U1874" s="99"/>
      <c r="V1874" s="99"/>
      <c r="W1874" s="105"/>
      <c r="X1874" s="105"/>
      <c r="Y1874" s="105"/>
      <c r="Z1874" s="105"/>
      <c r="AA1874" s="105"/>
      <c r="AB1874" s="105"/>
      <c r="AC1874" s="105"/>
      <c r="AD1874" s="105"/>
      <c r="AE1874" s="105"/>
      <c r="AF1874" s="105"/>
      <c r="AG1874" s="105"/>
      <c r="AH1874" s="105"/>
      <c r="AI1874" s="105">
        <f>IF($AI$1785&gt;0,PPMT('Assumptions (MSW)'!$V$6,Model!W$1,'Assumptions (MSW)'!$V$9,'Assumptions (MSW)'!$V$4*Model!$AI$1785*AVERAGE('Assumptions (MSW)'!$AE$2:$AG$2)/10^9),0)</f>
        <v>0</v>
      </c>
      <c r="AJ1874" s="105">
        <f>IF($AI$1785&gt;0,PPMT('Assumptions (MSW)'!$V$6,Model!X$1,'Assumptions (MSW)'!$V$9,'Assumptions (MSW)'!$V$4*Model!$AI$1785*AVERAGE('Assumptions (MSW)'!$AE$2:$AG$2)/10^9),0)</f>
        <v>0</v>
      </c>
      <c r="AK1874" s="105">
        <f>IF($AI$1785&gt;0,PPMT('Assumptions (MSW)'!$V$6,Model!Y$1,'Assumptions (MSW)'!$V$9,'Assumptions (MSW)'!$V$4*Model!$AI$1785*AVERAGE('Assumptions (MSW)'!$AE$2:$AG$2)/10^9),0)</f>
        <v>0</v>
      </c>
      <c r="AL1874" s="105">
        <f>IF($AI$1785&gt;0,PPMT('Assumptions (MSW)'!$V$6,Model!Z$1,'Assumptions (MSW)'!$V$9,'Assumptions (MSW)'!$V$4*Model!$AI$1785*AVERAGE('Assumptions (MSW)'!$AE$2:$AG$2)/10^9),0)</f>
        <v>0</v>
      </c>
      <c r="AM1874" s="105">
        <f>IF($AI$1785&gt;0,PPMT('Assumptions (MSW)'!$V$6,Model!AA$1,'Assumptions (MSW)'!$V$9,'Assumptions (MSW)'!$V$4*Model!$AI$1785*AVERAGE('Assumptions (MSW)'!$AE$2:$AG$2)/10^9),0)</f>
        <v>0</v>
      </c>
      <c r="AN1874" s="105">
        <f>IF($AI$1785&gt;0,PPMT('Assumptions (MSW)'!$V$6,Model!AB$1,'Assumptions (MSW)'!$V$9,'Assumptions (MSW)'!$V$4*Model!$AI$1785*AVERAGE('Assumptions (MSW)'!$AE$2:$AG$2)/10^9),0)</f>
        <v>0</v>
      </c>
      <c r="AO1874" s="105">
        <f>IF($AI$1785&gt;0,PPMT('Assumptions (MSW)'!$V$6,Model!AC$1,'Assumptions (MSW)'!$V$9,'Assumptions (MSW)'!$V$4*Model!$AI$1785*AVERAGE('Assumptions (MSW)'!$AE$2:$AG$2)/10^9),0)</f>
        <v>0</v>
      </c>
      <c r="AP1874" s="105">
        <f>IF($AI$1785&gt;0,PPMT('Assumptions (MSW)'!$V$6,Model!AD$1,'Assumptions (MSW)'!$V$9,'Assumptions (MSW)'!$V$4*Model!$AI$1785*AVERAGE('Assumptions (MSW)'!$AE$2:$AG$2)/10^9),0)</f>
        <v>0</v>
      </c>
      <c r="AQ1874" s="105">
        <f>IF($AI$1785&gt;0,PPMT('Assumptions (MSW)'!$V$6,Model!AE$1,'Assumptions (MSW)'!$V$9,'Assumptions (MSW)'!$V$4*Model!$AI$1785*AVERAGE('Assumptions (MSW)'!$AE$2:$AG$2)/10^9),0)</f>
        <v>0</v>
      </c>
      <c r="AR1874" s="105">
        <f>IF($AI$1785&gt;0,PPMT('Assumptions (MSW)'!$V$6,Model!AF$1,'Assumptions (MSW)'!$V$9,'Assumptions (MSW)'!$V$4*Model!$AI$1785*AVERAGE('Assumptions (MSW)'!$AE$2:$AG$2)/10^9),0)</f>
        <v>0</v>
      </c>
      <c r="AS1874" s="105">
        <f>IF($AI$1785&gt;0,PPMT('Assumptions (MSW)'!$V$6,Model!AG$1,'Assumptions (MSW)'!$V$9,'Assumptions (MSW)'!$V$4*Model!$AI$1785*AVERAGE('Assumptions (MSW)'!$AE$2:$AG$2)/10^9),0)</f>
        <v>0</v>
      </c>
      <c r="AT1874" s="105">
        <f>IF($AI$1785&gt;0,PPMT('Assumptions (MSW)'!$V$6,Model!AH$1,'Assumptions (MSW)'!$V$9,'Assumptions (MSW)'!$V$4*Model!$AI$1785*AVERAGE('Assumptions (MSW)'!$AE$2:$AG$2)/10^9),0)</f>
        <v>0</v>
      </c>
      <c r="AU1874" s="105">
        <f>IF($AI$1785&gt;0,PPMT('Assumptions (MSW)'!$V$6,Model!AI$1,'Assumptions (MSW)'!$V$9,'Assumptions (MSW)'!$V$4*Model!$AI$1785*AVERAGE('Assumptions (MSW)'!$AE$2:$AG$2)/10^9),0)</f>
        <v>0</v>
      </c>
      <c r="AV1874" s="105">
        <f>IF($AI$1785&gt;0,PPMT('Assumptions (MSW)'!$V$6,Model!AJ$1,'Assumptions (MSW)'!$V$9,'Assumptions (MSW)'!$V$4*Model!$AI$1785*AVERAGE('Assumptions (MSW)'!$AE$2:$AG$2)/10^9),0)</f>
        <v>0</v>
      </c>
      <c r="AW1874" s="105">
        <f>IF($AI$1785&gt;0,PPMT('Assumptions (MSW)'!$V$6,Model!AK$1,'Assumptions (MSW)'!$V$9,'Assumptions (MSW)'!$V$4*Model!$AI$1785*AVERAGE('Assumptions (MSW)'!$AE$2:$AG$2)/10^9),0)</f>
        <v>0</v>
      </c>
      <c r="AX1874" s="105"/>
      <c r="AY1874" s="105"/>
      <c r="AZ1874" s="105"/>
      <c r="BA1874" s="105"/>
      <c r="BB1874" s="105"/>
      <c r="BC1874" s="105"/>
      <c r="BD1874" s="105"/>
      <c r="BE1874" s="105"/>
      <c r="BF1874" s="105"/>
      <c r="BG1874" s="105"/>
    </row>
    <row r="1875" spans="1:68" ht="15.75" hidden="1" customHeight="1" outlineLevel="1">
      <c r="A1875" s="435"/>
      <c r="B1875" s="99"/>
      <c r="C1875" s="99"/>
      <c r="D1875" s="99"/>
      <c r="E1875" s="99"/>
      <c r="F1875" s="99"/>
      <c r="G1875" s="99"/>
      <c r="H1875" s="99"/>
      <c r="I1875" s="99"/>
      <c r="J1875" s="99"/>
      <c r="K1875" s="99"/>
      <c r="L1875" s="99"/>
      <c r="M1875" s="99"/>
      <c r="N1875" s="99"/>
      <c r="O1875" s="99"/>
      <c r="P1875" s="99"/>
      <c r="Q1875" s="99"/>
      <c r="R1875" s="99"/>
      <c r="S1875" s="99"/>
      <c r="T1875" s="99"/>
      <c r="U1875" s="99"/>
      <c r="V1875" s="99"/>
      <c r="W1875" s="105"/>
      <c r="X1875" s="105"/>
      <c r="Y1875" s="105"/>
      <c r="Z1875" s="105"/>
      <c r="AA1875" s="105"/>
      <c r="AB1875" s="105"/>
      <c r="AC1875" s="105"/>
      <c r="AD1875" s="105"/>
      <c r="AE1875" s="105"/>
      <c r="AF1875" s="105"/>
      <c r="AG1875" s="105"/>
      <c r="AH1875" s="105"/>
      <c r="AI1875" s="105"/>
      <c r="AJ1875" s="91">
        <f>IF($AJ$1785&gt;0,PPMT('Assumptions (MSW)'!$V$6,Model!W$1,'Assumptions (MSW)'!$V$9,'Assumptions (MSW)'!$V$4*Model!$AJ$1785*AVERAGE('Assumptions (MSW)'!$AF$2:$AH$2)/10^9),0)</f>
        <v>0</v>
      </c>
      <c r="AK1875" s="91">
        <f>IF($AJ$1785&gt;0,PPMT('Assumptions (MSW)'!$V$6,Model!X$1,'Assumptions (MSW)'!$V$9,'Assumptions (MSW)'!$V$4*Model!$AJ$1785*AVERAGE('Assumptions (MSW)'!$AF$2:$AH$2)/10^9),0)</f>
        <v>0</v>
      </c>
      <c r="AL1875" s="91">
        <f>IF($AJ$1785&gt;0,PPMT('Assumptions (MSW)'!$V$6,Model!Y$1,'Assumptions (MSW)'!$V$9,'Assumptions (MSW)'!$V$4*Model!$AJ$1785*AVERAGE('Assumptions (MSW)'!$AF$2:$AH$2)/10^9),0)</f>
        <v>0</v>
      </c>
      <c r="AM1875" s="91">
        <f>IF($AJ$1785&gt;0,PPMT('Assumptions (MSW)'!$V$6,Model!Z$1,'Assumptions (MSW)'!$V$9,'Assumptions (MSW)'!$V$4*Model!$AJ$1785*AVERAGE('Assumptions (MSW)'!$AF$2:$AH$2)/10^9),0)</f>
        <v>0</v>
      </c>
      <c r="AN1875" s="91">
        <f>IF($AJ$1785&gt;0,PPMT('Assumptions (MSW)'!$V$6,Model!AA$1,'Assumptions (MSW)'!$V$9,'Assumptions (MSW)'!$V$4*Model!$AJ$1785*AVERAGE('Assumptions (MSW)'!$AF$2:$AH$2)/10^9),0)</f>
        <v>0</v>
      </c>
      <c r="AO1875" s="91">
        <f>IF($AJ$1785&gt;0,PPMT('Assumptions (MSW)'!$V$6,Model!AB$1,'Assumptions (MSW)'!$V$9,'Assumptions (MSW)'!$V$4*Model!$AJ$1785*AVERAGE('Assumptions (MSW)'!$AF$2:$AH$2)/10^9),0)</f>
        <v>0</v>
      </c>
      <c r="AP1875" s="91">
        <f>IF($AJ$1785&gt;0,PPMT('Assumptions (MSW)'!$V$6,Model!AC$1,'Assumptions (MSW)'!$V$9,'Assumptions (MSW)'!$V$4*Model!$AJ$1785*AVERAGE('Assumptions (MSW)'!$AF$2:$AH$2)/10^9),0)</f>
        <v>0</v>
      </c>
      <c r="AQ1875" s="91">
        <f>IF($AJ$1785&gt;0,PPMT('Assumptions (MSW)'!$V$6,Model!AD$1,'Assumptions (MSW)'!$V$9,'Assumptions (MSW)'!$V$4*Model!$AJ$1785*AVERAGE('Assumptions (MSW)'!$AF$2:$AH$2)/10^9),0)</f>
        <v>0</v>
      </c>
      <c r="AR1875" s="91">
        <f>IF($AJ$1785&gt;0,PPMT('Assumptions (MSW)'!$V$6,Model!AE$1,'Assumptions (MSW)'!$V$9,'Assumptions (MSW)'!$V$4*Model!$AJ$1785*AVERAGE('Assumptions (MSW)'!$AF$2:$AH$2)/10^9),0)</f>
        <v>0</v>
      </c>
      <c r="AS1875" s="91">
        <f>IF($AJ$1785&gt;0,PPMT('Assumptions (MSW)'!$V$6,Model!AF$1,'Assumptions (MSW)'!$V$9,'Assumptions (MSW)'!$V$4*Model!$AJ$1785*AVERAGE('Assumptions (MSW)'!$AF$2:$AH$2)/10^9),0)</f>
        <v>0</v>
      </c>
      <c r="AT1875" s="91">
        <f>IF($AJ$1785&gt;0,PPMT('Assumptions (MSW)'!$V$6,Model!AG$1,'Assumptions (MSW)'!$V$9,'Assumptions (MSW)'!$V$4*Model!$AJ$1785*AVERAGE('Assumptions (MSW)'!$AF$2:$AH$2)/10^9),0)</f>
        <v>0</v>
      </c>
      <c r="AU1875" s="91">
        <f>IF($AJ$1785&gt;0,PPMT('Assumptions (MSW)'!$V$6,Model!AH$1,'Assumptions (MSW)'!$V$9,'Assumptions (MSW)'!$V$4*Model!$AJ$1785*AVERAGE('Assumptions (MSW)'!$AF$2:$AH$2)/10^9),0)</f>
        <v>0</v>
      </c>
      <c r="AV1875" s="91">
        <f>IF($AJ$1785&gt;0,PPMT('Assumptions (MSW)'!$V$6,Model!AI$1,'Assumptions (MSW)'!$V$9,'Assumptions (MSW)'!$V$4*Model!$AJ$1785*AVERAGE('Assumptions (MSW)'!$AF$2:$AH$2)/10^9),0)</f>
        <v>0</v>
      </c>
      <c r="AW1875" s="91">
        <f>IF($AJ$1785&gt;0,PPMT('Assumptions (MSW)'!$V$6,Model!AJ$1,'Assumptions (MSW)'!$V$9,'Assumptions (MSW)'!$V$4*Model!$AJ$1785*AVERAGE('Assumptions (MSW)'!$AF$2:$AH$2)/10^9),0)</f>
        <v>0</v>
      </c>
      <c r="AX1875" s="91">
        <f>IF($AJ$1785&gt;0,PPMT('Assumptions (MSW)'!$V$6,Model!AK$1,'Assumptions (MSW)'!$V$9,'Assumptions (MSW)'!$V$4*Model!$AJ$1785*AVERAGE('Assumptions (MSW)'!$AF$2:$AH$2)/10^9),0)</f>
        <v>0</v>
      </c>
      <c r="AY1875" s="91"/>
      <c r="AZ1875" s="91"/>
      <c r="BA1875" s="91"/>
      <c r="BB1875" s="91"/>
      <c r="BC1875" s="91"/>
      <c r="BD1875" s="91"/>
      <c r="BE1875" s="91"/>
      <c r="BF1875" s="91"/>
      <c r="BG1875" s="91"/>
      <c r="BH1875" s="91"/>
    </row>
    <row r="1876" spans="1:68" ht="15.75" hidden="1" customHeight="1" outlineLevel="1">
      <c r="A1876" s="435"/>
      <c r="B1876" s="99"/>
      <c r="C1876" s="99"/>
      <c r="D1876" s="99"/>
      <c r="E1876" s="99"/>
      <c r="F1876" s="99"/>
      <c r="G1876" s="99"/>
      <c r="H1876" s="99"/>
      <c r="I1876" s="99"/>
      <c r="J1876" s="99"/>
      <c r="K1876" s="99"/>
      <c r="L1876" s="99"/>
      <c r="M1876" s="99"/>
      <c r="N1876" s="99"/>
      <c r="O1876" s="99"/>
      <c r="P1876" s="99"/>
      <c r="Q1876" s="99"/>
      <c r="R1876" s="99"/>
      <c r="S1876" s="99"/>
      <c r="T1876" s="99"/>
      <c r="U1876" s="99"/>
      <c r="V1876" s="99"/>
      <c r="W1876" s="105"/>
      <c r="X1876" s="105"/>
      <c r="Y1876" s="105"/>
      <c r="Z1876" s="105"/>
      <c r="AA1876" s="105"/>
      <c r="AB1876" s="105"/>
      <c r="AC1876" s="105"/>
      <c r="AD1876" s="105"/>
      <c r="AE1876" s="105"/>
      <c r="AF1876" s="105"/>
      <c r="AG1876" s="105"/>
      <c r="AH1876" s="105"/>
      <c r="AI1876" s="105"/>
      <c r="AJ1876" s="171"/>
      <c r="AK1876" s="105">
        <f>IF($AK$1785&gt;0,PPMT('Assumptions (MSW)'!$V$6,Model!W$1,'Assumptions (MSW)'!$V$9,'Assumptions (MSW)'!$V$4*Model!$AK$1785*AVERAGE('Assumptions (MSW)'!$AG$2:$AI$2)/10^9),0)</f>
        <v>0</v>
      </c>
      <c r="AL1876" s="105">
        <f>IF($AK$1785&gt;0,PPMT('Assumptions (MSW)'!$V$6,Model!X$1,'Assumptions (MSW)'!$V$9,'Assumptions (MSW)'!$V$4*Model!$AK$1785*AVERAGE('Assumptions (MSW)'!$AG$2:$AI$2)/10^9),0)</f>
        <v>0</v>
      </c>
      <c r="AM1876" s="105">
        <f>IF($AK$1785&gt;0,PPMT('Assumptions (MSW)'!$V$6,Model!Y$1,'Assumptions (MSW)'!$V$9,'Assumptions (MSW)'!$V$4*Model!$AK$1785*AVERAGE('Assumptions (MSW)'!$AG$2:$AI$2)/10^9),0)</f>
        <v>0</v>
      </c>
      <c r="AN1876" s="105">
        <f>IF($AK$1785&gt;0,PPMT('Assumptions (MSW)'!$V$6,Model!Z$1,'Assumptions (MSW)'!$V$9,'Assumptions (MSW)'!$V$4*Model!$AK$1785*AVERAGE('Assumptions (MSW)'!$AG$2:$AI$2)/10^9),0)</f>
        <v>0</v>
      </c>
      <c r="AO1876" s="105">
        <f>IF($AK$1785&gt;0,PPMT('Assumptions (MSW)'!$V$6,Model!AA$1,'Assumptions (MSW)'!$V$9,'Assumptions (MSW)'!$V$4*Model!$AK$1785*AVERAGE('Assumptions (MSW)'!$AG$2:$AI$2)/10^9),0)</f>
        <v>0</v>
      </c>
      <c r="AP1876" s="105">
        <f>IF($AK$1785&gt;0,PPMT('Assumptions (MSW)'!$V$6,Model!AB$1,'Assumptions (MSW)'!$V$9,'Assumptions (MSW)'!$V$4*Model!$AK$1785*AVERAGE('Assumptions (MSW)'!$AG$2:$AI$2)/10^9),0)</f>
        <v>0</v>
      </c>
      <c r="AQ1876" s="105">
        <f>IF($AK$1785&gt;0,PPMT('Assumptions (MSW)'!$V$6,Model!AC$1,'Assumptions (MSW)'!$V$9,'Assumptions (MSW)'!$V$4*Model!$AK$1785*AVERAGE('Assumptions (MSW)'!$AG$2:$AI$2)/10^9),0)</f>
        <v>0</v>
      </c>
      <c r="AR1876" s="105">
        <f>IF($AK$1785&gt;0,PPMT('Assumptions (MSW)'!$V$6,Model!AD$1,'Assumptions (MSW)'!$V$9,'Assumptions (MSW)'!$V$4*Model!$AK$1785*AVERAGE('Assumptions (MSW)'!$AG$2:$AI$2)/10^9),0)</f>
        <v>0</v>
      </c>
      <c r="AS1876" s="105">
        <f>IF($AK$1785&gt;0,PPMT('Assumptions (MSW)'!$V$6,Model!AE$1,'Assumptions (MSW)'!$V$9,'Assumptions (MSW)'!$V$4*Model!$AK$1785*AVERAGE('Assumptions (MSW)'!$AG$2:$AI$2)/10^9),0)</f>
        <v>0</v>
      </c>
      <c r="AT1876" s="105">
        <f>IF($AK$1785&gt;0,PPMT('Assumptions (MSW)'!$V$6,Model!AF$1,'Assumptions (MSW)'!$V$9,'Assumptions (MSW)'!$V$4*Model!$AK$1785*AVERAGE('Assumptions (MSW)'!$AG$2:$AI$2)/10^9),0)</f>
        <v>0</v>
      </c>
      <c r="AU1876" s="105">
        <f>IF($AK$1785&gt;0,PPMT('Assumptions (MSW)'!$V$6,Model!AG$1,'Assumptions (MSW)'!$V$9,'Assumptions (MSW)'!$V$4*Model!$AK$1785*AVERAGE('Assumptions (MSW)'!$AG$2:$AI$2)/10^9),0)</f>
        <v>0</v>
      </c>
      <c r="AV1876" s="105">
        <f>IF($AK$1785&gt;0,PPMT('Assumptions (MSW)'!$V$6,Model!AH$1,'Assumptions (MSW)'!$V$9,'Assumptions (MSW)'!$V$4*Model!$AK$1785*AVERAGE('Assumptions (MSW)'!$AG$2:$AI$2)/10^9),0)</f>
        <v>0</v>
      </c>
      <c r="AW1876" s="105">
        <f>IF($AK$1785&gt;0,PPMT('Assumptions (MSW)'!$V$6,Model!AI$1,'Assumptions (MSW)'!$V$9,'Assumptions (MSW)'!$V$4*Model!$AK$1785*AVERAGE('Assumptions (MSW)'!$AG$2:$AI$2)/10^9),0)</f>
        <v>0</v>
      </c>
      <c r="AX1876" s="105">
        <f>IF($AK$1785&gt;0,PPMT('Assumptions (MSW)'!$V$6,Model!AJ$1,'Assumptions (MSW)'!$V$9,'Assumptions (MSW)'!$V$4*Model!$AK$1785*AVERAGE('Assumptions (MSW)'!$AG$2:$AI$2)/10^9),0)</f>
        <v>0</v>
      </c>
      <c r="AY1876" s="105">
        <f>IF($AK$1785&gt;0,PPMT('Assumptions (MSW)'!$V$6,Model!AK$1,'Assumptions (MSW)'!$V$9,'Assumptions (MSW)'!$V$4*Model!$AK$1785*AVERAGE('Assumptions (MSW)'!$AG$2:$AI$2)/10^9),0)</f>
        <v>0</v>
      </c>
      <c r="AZ1876" s="105"/>
      <c r="BA1876" s="105"/>
      <c r="BB1876" s="105"/>
      <c r="BC1876" s="105"/>
      <c r="BD1876" s="105"/>
      <c r="BE1876" s="105"/>
      <c r="BF1876" s="105"/>
      <c r="BG1876" s="105"/>
      <c r="BH1876" s="105"/>
      <c r="BI1876" s="105"/>
    </row>
    <row r="1877" spans="1:68" ht="15.75" hidden="1" customHeight="1" outlineLevel="1">
      <c r="A1877" s="435"/>
      <c r="B1877" s="99"/>
      <c r="C1877" s="99"/>
      <c r="D1877" s="99"/>
      <c r="E1877" s="99"/>
      <c r="F1877" s="99"/>
      <c r="G1877" s="99"/>
      <c r="H1877" s="99"/>
      <c r="I1877" s="99"/>
      <c r="J1877" s="99"/>
      <c r="K1877" s="99"/>
      <c r="L1877" s="99"/>
      <c r="M1877" s="99"/>
      <c r="N1877" s="99"/>
      <c r="O1877" s="99"/>
      <c r="P1877" s="99"/>
      <c r="Q1877" s="99"/>
      <c r="R1877" s="99"/>
      <c r="S1877" s="99"/>
      <c r="T1877" s="99"/>
      <c r="U1877" s="99"/>
      <c r="V1877" s="99"/>
      <c r="W1877" s="105"/>
      <c r="X1877" s="105"/>
      <c r="Y1877" s="105"/>
      <c r="Z1877" s="105"/>
      <c r="AA1877" s="105"/>
      <c r="AB1877" s="105"/>
      <c r="AC1877" s="105"/>
      <c r="AD1877" s="105"/>
      <c r="AE1877" s="105"/>
      <c r="AF1877" s="105"/>
      <c r="AG1877" s="105"/>
      <c r="AH1877" s="105"/>
      <c r="AI1877" s="105"/>
      <c r="AJ1877" s="171"/>
      <c r="AK1877" s="105"/>
      <c r="AL1877" s="91">
        <f>IF($AL$1785&gt;0,PPMT('Assumptions (MSW)'!$V$6,Model!W$1,'Assumptions (MSW)'!$V$9,'Assumptions (MSW)'!$V$4*Model!$AL$1785*AVERAGE('Assumptions (MSW)'!$AH$2:$AJ$2)/10^9),0)</f>
        <v>0</v>
      </c>
      <c r="AM1877" s="91">
        <f>IF($AL$1785&gt;0,PPMT('Assumptions (MSW)'!$V$6,Model!X$1,'Assumptions (MSW)'!$V$9,'Assumptions (MSW)'!$V$4*Model!$AL$1785*AVERAGE('Assumptions (MSW)'!$AH$2:$AJ$2)/10^9),0)</f>
        <v>0</v>
      </c>
      <c r="AN1877" s="91">
        <f>IF($AL$1785&gt;0,PPMT('Assumptions (MSW)'!$V$6,Model!Y$1,'Assumptions (MSW)'!$V$9,'Assumptions (MSW)'!$V$4*Model!$AL$1785*AVERAGE('Assumptions (MSW)'!$AH$2:$AJ$2)/10^9),0)</f>
        <v>0</v>
      </c>
      <c r="AO1877" s="91">
        <f>IF($AL$1785&gt;0,PPMT('Assumptions (MSW)'!$V$6,Model!Z$1,'Assumptions (MSW)'!$V$9,'Assumptions (MSW)'!$V$4*Model!$AL$1785*AVERAGE('Assumptions (MSW)'!$AH$2:$AJ$2)/10^9),0)</f>
        <v>0</v>
      </c>
      <c r="AP1877" s="91">
        <f>IF($AL$1785&gt;0,PPMT('Assumptions (MSW)'!$V$6,Model!AA$1,'Assumptions (MSW)'!$V$9,'Assumptions (MSW)'!$V$4*Model!$AL$1785*AVERAGE('Assumptions (MSW)'!$AH$2:$AJ$2)/10^9),0)</f>
        <v>0</v>
      </c>
      <c r="AQ1877" s="91">
        <f>IF($AL$1785&gt;0,PPMT('Assumptions (MSW)'!$V$6,Model!AB$1,'Assumptions (MSW)'!$V$9,'Assumptions (MSW)'!$V$4*Model!$AL$1785*AVERAGE('Assumptions (MSW)'!$AH$2:$AJ$2)/10^9),0)</f>
        <v>0</v>
      </c>
      <c r="AR1877" s="91">
        <f>IF($AL$1785&gt;0,PPMT('Assumptions (MSW)'!$V$6,Model!AC$1,'Assumptions (MSW)'!$V$9,'Assumptions (MSW)'!$V$4*Model!$AL$1785*AVERAGE('Assumptions (MSW)'!$AH$2:$AJ$2)/10^9),0)</f>
        <v>0</v>
      </c>
      <c r="AS1877" s="91">
        <f>IF($AL$1785&gt;0,PPMT('Assumptions (MSW)'!$V$6,Model!AD$1,'Assumptions (MSW)'!$V$9,'Assumptions (MSW)'!$V$4*Model!$AL$1785*AVERAGE('Assumptions (MSW)'!$AH$2:$AJ$2)/10^9),0)</f>
        <v>0</v>
      </c>
      <c r="AT1877" s="91">
        <f>IF($AL$1785&gt;0,PPMT('Assumptions (MSW)'!$V$6,Model!AE$1,'Assumptions (MSW)'!$V$9,'Assumptions (MSW)'!$V$4*Model!$AL$1785*AVERAGE('Assumptions (MSW)'!$AH$2:$AJ$2)/10^9),0)</f>
        <v>0</v>
      </c>
      <c r="AU1877" s="91">
        <f>IF($AL$1785&gt;0,PPMT('Assumptions (MSW)'!$V$6,Model!AF$1,'Assumptions (MSW)'!$V$9,'Assumptions (MSW)'!$V$4*Model!$AL$1785*AVERAGE('Assumptions (MSW)'!$AH$2:$AJ$2)/10^9),0)</f>
        <v>0</v>
      </c>
      <c r="AV1877" s="91">
        <f>IF($AL$1785&gt;0,PPMT('Assumptions (MSW)'!$V$6,Model!AG$1,'Assumptions (MSW)'!$V$9,'Assumptions (MSW)'!$V$4*Model!$AL$1785*AVERAGE('Assumptions (MSW)'!$AH$2:$AJ$2)/10^9),0)</f>
        <v>0</v>
      </c>
      <c r="AW1877" s="91">
        <f>IF($AL$1785&gt;0,PPMT('Assumptions (MSW)'!$V$6,Model!AH$1,'Assumptions (MSW)'!$V$9,'Assumptions (MSW)'!$V$4*Model!$AL$1785*AVERAGE('Assumptions (MSW)'!$AH$2:$AJ$2)/10^9),0)</f>
        <v>0</v>
      </c>
      <c r="AX1877" s="91">
        <f>IF($AL$1785&gt;0,PPMT('Assumptions (MSW)'!$V$6,Model!AI$1,'Assumptions (MSW)'!$V$9,'Assumptions (MSW)'!$V$4*Model!$AL$1785*AVERAGE('Assumptions (MSW)'!$AH$2:$AJ$2)/10^9),0)</f>
        <v>0</v>
      </c>
      <c r="AY1877" s="91">
        <f>IF($AL$1785&gt;0,PPMT('Assumptions (MSW)'!$V$6,Model!AJ$1,'Assumptions (MSW)'!$V$9,'Assumptions (MSW)'!$V$4*Model!$AL$1785*AVERAGE('Assumptions (MSW)'!$AH$2:$AJ$2)/10^9),0)</f>
        <v>0</v>
      </c>
      <c r="AZ1877" s="91">
        <f>IF($AL$1785&gt;0,PPMT('Assumptions (MSW)'!$V$6,Model!AK$1,'Assumptions (MSW)'!$V$9,'Assumptions (MSW)'!$V$4*Model!$AL$1785*AVERAGE('Assumptions (MSW)'!$AH$2:$AJ$2)/10^9),0)</f>
        <v>0</v>
      </c>
      <c r="BA1877" s="91"/>
      <c r="BB1877" s="91"/>
      <c r="BC1877" s="91"/>
      <c r="BD1877" s="91"/>
      <c r="BE1877" s="91"/>
      <c r="BF1877" s="91"/>
      <c r="BG1877" s="91"/>
      <c r="BH1877" s="91"/>
      <c r="BI1877" s="91"/>
      <c r="BJ1877" s="91"/>
    </row>
    <row r="1878" spans="1:68" ht="15.75" hidden="1" customHeight="1" outlineLevel="1">
      <c r="A1878" s="435"/>
      <c r="B1878" s="99"/>
      <c r="C1878" s="99"/>
      <c r="D1878" s="99"/>
      <c r="E1878" s="99"/>
      <c r="F1878" s="99"/>
      <c r="G1878" s="99"/>
      <c r="H1878" s="99"/>
      <c r="I1878" s="99"/>
      <c r="J1878" s="99"/>
      <c r="K1878" s="99"/>
      <c r="L1878" s="99"/>
      <c r="M1878" s="99"/>
      <c r="N1878" s="99"/>
      <c r="O1878" s="99"/>
      <c r="P1878" s="99"/>
      <c r="Q1878" s="99"/>
      <c r="R1878" s="99"/>
      <c r="S1878" s="99"/>
      <c r="T1878" s="99"/>
      <c r="U1878" s="99"/>
      <c r="V1878" s="99"/>
      <c r="W1878" s="105"/>
      <c r="X1878" s="105"/>
      <c r="Y1878" s="105"/>
      <c r="Z1878" s="105"/>
      <c r="AA1878" s="105"/>
      <c r="AB1878" s="105"/>
      <c r="AC1878" s="105"/>
      <c r="AD1878" s="105"/>
      <c r="AE1878" s="105"/>
      <c r="AF1878" s="105"/>
      <c r="AG1878" s="105"/>
      <c r="AH1878" s="105"/>
      <c r="AI1878" s="105"/>
      <c r="AJ1878" s="171"/>
      <c r="AK1878" s="105"/>
      <c r="AL1878" s="91"/>
      <c r="AM1878" s="105">
        <f>IF($AM$1785&gt;0,PPMT('Assumptions (MSW)'!$V$6,Model!W$1,'Assumptions (MSW)'!$V$9,'Assumptions (MSW)'!$V$4*Model!$AM$1785*AVERAGE('Assumptions (MSW)'!$AI$2:$AK$2)/10^9),0)</f>
        <v>0</v>
      </c>
      <c r="AN1878" s="105">
        <f>IF($AM$1785&gt;0,PPMT('Assumptions (MSW)'!$V$6,Model!X$1,'Assumptions (MSW)'!$V$9,'Assumptions (MSW)'!$V$4*Model!$AM$1785*AVERAGE('Assumptions (MSW)'!$AI$2:$AK$2)/10^9),0)</f>
        <v>0</v>
      </c>
      <c r="AO1878" s="105">
        <f>IF($AM$1785&gt;0,PPMT('Assumptions (MSW)'!$V$6,Model!Y$1,'Assumptions (MSW)'!$V$9,'Assumptions (MSW)'!$V$4*Model!$AM$1785*AVERAGE('Assumptions (MSW)'!$AI$2:$AK$2)/10^9),0)</f>
        <v>0</v>
      </c>
      <c r="AP1878" s="105">
        <f>IF($AM$1785&gt;0,PPMT('Assumptions (MSW)'!$V$6,Model!Z$1,'Assumptions (MSW)'!$V$9,'Assumptions (MSW)'!$V$4*Model!$AM$1785*AVERAGE('Assumptions (MSW)'!$AI$2:$AK$2)/10^9),0)</f>
        <v>0</v>
      </c>
      <c r="AQ1878" s="105">
        <f>IF($AM$1785&gt;0,PPMT('Assumptions (MSW)'!$V$6,Model!AA$1,'Assumptions (MSW)'!$V$9,'Assumptions (MSW)'!$V$4*Model!$AM$1785*AVERAGE('Assumptions (MSW)'!$AI$2:$AK$2)/10^9),0)</f>
        <v>0</v>
      </c>
      <c r="AR1878" s="105">
        <f>IF($AM$1785&gt;0,PPMT('Assumptions (MSW)'!$V$6,Model!AB$1,'Assumptions (MSW)'!$V$9,'Assumptions (MSW)'!$V$4*Model!$AM$1785*AVERAGE('Assumptions (MSW)'!$AI$2:$AK$2)/10^9),0)</f>
        <v>0</v>
      </c>
      <c r="AS1878" s="105">
        <f>IF($AM$1785&gt;0,PPMT('Assumptions (MSW)'!$V$6,Model!AC$1,'Assumptions (MSW)'!$V$9,'Assumptions (MSW)'!$V$4*Model!$AM$1785*AVERAGE('Assumptions (MSW)'!$AI$2:$AK$2)/10^9),0)</f>
        <v>0</v>
      </c>
      <c r="AT1878" s="105">
        <f>IF($AM$1785&gt;0,PPMT('Assumptions (MSW)'!$V$6,Model!AD$1,'Assumptions (MSW)'!$V$9,'Assumptions (MSW)'!$V$4*Model!$AM$1785*AVERAGE('Assumptions (MSW)'!$AI$2:$AK$2)/10^9),0)</f>
        <v>0</v>
      </c>
      <c r="AU1878" s="105">
        <f>IF($AM$1785&gt;0,PPMT('Assumptions (MSW)'!$V$6,Model!AE$1,'Assumptions (MSW)'!$V$9,'Assumptions (MSW)'!$V$4*Model!$AM$1785*AVERAGE('Assumptions (MSW)'!$AI$2:$AK$2)/10^9),0)</f>
        <v>0</v>
      </c>
      <c r="AV1878" s="105">
        <f>IF($AM$1785&gt;0,PPMT('Assumptions (MSW)'!$V$6,Model!AF$1,'Assumptions (MSW)'!$V$9,'Assumptions (MSW)'!$V$4*Model!$AM$1785*AVERAGE('Assumptions (MSW)'!$AI$2:$AK$2)/10^9),0)</f>
        <v>0</v>
      </c>
      <c r="AW1878" s="105">
        <f>IF($AM$1785&gt;0,PPMT('Assumptions (MSW)'!$V$6,Model!AG$1,'Assumptions (MSW)'!$V$9,'Assumptions (MSW)'!$V$4*Model!$AM$1785*AVERAGE('Assumptions (MSW)'!$AI$2:$AK$2)/10^9),0)</f>
        <v>0</v>
      </c>
      <c r="AX1878" s="105">
        <f>IF($AM$1785&gt;0,PPMT('Assumptions (MSW)'!$V$6,Model!AH$1,'Assumptions (MSW)'!$V$9,'Assumptions (MSW)'!$V$4*Model!$AM$1785*AVERAGE('Assumptions (MSW)'!$AI$2:$AK$2)/10^9),0)</f>
        <v>0</v>
      </c>
      <c r="AY1878" s="105">
        <f>IF($AM$1785&gt;0,PPMT('Assumptions (MSW)'!$V$6,Model!AI$1,'Assumptions (MSW)'!$V$9,'Assumptions (MSW)'!$V$4*Model!$AM$1785*AVERAGE('Assumptions (MSW)'!$AI$2:$AK$2)/10^9),0)</f>
        <v>0</v>
      </c>
      <c r="AZ1878" s="105">
        <f>IF($AM$1785&gt;0,PPMT('Assumptions (MSW)'!$V$6,Model!AJ$1,'Assumptions (MSW)'!$V$9,'Assumptions (MSW)'!$V$4*Model!$AM$1785*AVERAGE('Assumptions (MSW)'!$AI$2:$AK$2)/10^9),0)</f>
        <v>0</v>
      </c>
      <c r="BA1878" s="105">
        <f>IF($AM$1785&gt;0,PPMT('Assumptions (MSW)'!$V$6,Model!AK$1,'Assumptions (MSW)'!$V$9,'Assumptions (MSW)'!$V$4*Model!$AM$1785*AVERAGE('Assumptions (MSW)'!$AI$2:$AK$2)/10^9),0)</f>
        <v>0</v>
      </c>
      <c r="BB1878" s="105"/>
      <c r="BC1878" s="105"/>
      <c r="BD1878" s="105"/>
      <c r="BE1878" s="105"/>
      <c r="BF1878" s="105"/>
      <c r="BG1878" s="105"/>
      <c r="BH1878" s="105"/>
      <c r="BI1878" s="105"/>
      <c r="BJ1878" s="105"/>
      <c r="BK1878" s="105"/>
    </row>
    <row r="1879" spans="1:68" ht="15.75" hidden="1" customHeight="1" outlineLevel="1">
      <c r="A1879" s="435"/>
      <c r="B1879" s="99"/>
      <c r="C1879" s="99"/>
      <c r="D1879" s="99"/>
      <c r="E1879" s="99"/>
      <c r="F1879" s="99"/>
      <c r="G1879" s="99"/>
      <c r="H1879" s="99"/>
      <c r="I1879" s="99"/>
      <c r="J1879" s="99"/>
      <c r="K1879" s="99"/>
      <c r="L1879" s="99"/>
      <c r="M1879" s="99"/>
      <c r="N1879" s="99"/>
      <c r="O1879" s="99"/>
      <c r="P1879" s="99"/>
      <c r="Q1879" s="99"/>
      <c r="R1879" s="99"/>
      <c r="S1879" s="99"/>
      <c r="T1879" s="99"/>
      <c r="U1879" s="99"/>
      <c r="V1879" s="99"/>
      <c r="W1879" s="105"/>
      <c r="X1879" s="105"/>
      <c r="Y1879" s="105"/>
      <c r="Z1879" s="105"/>
      <c r="AA1879" s="105"/>
      <c r="AB1879" s="105"/>
      <c r="AC1879" s="105"/>
      <c r="AD1879" s="105"/>
      <c r="AE1879" s="105"/>
      <c r="AF1879" s="105"/>
      <c r="AG1879" s="105"/>
      <c r="AH1879" s="105"/>
      <c r="AI1879" s="105"/>
      <c r="AJ1879" s="171"/>
      <c r="AK1879" s="105"/>
      <c r="AL1879" s="91"/>
      <c r="AM1879" s="91"/>
      <c r="AN1879" s="105">
        <f>IF($AN$1785&gt;0,PPMT('Assumptions (MSW)'!$V$6,Model!W$1,'Assumptions (MSW)'!$V$9,'Assumptions (MSW)'!$V$4*Model!$AN$1785*AVERAGE('Assumptions (MSW)'!$AJ$2:$AL$2)/10^9),0)</f>
        <v>0</v>
      </c>
      <c r="AO1879" s="105">
        <f>IF($AN$1785&gt;0,PPMT('Assumptions (MSW)'!$V$6,Model!X$1,'Assumptions (MSW)'!$V$9,'Assumptions (MSW)'!$V$4*Model!$AN$1785*AVERAGE('Assumptions (MSW)'!$AJ$2:$AL$2)/10^9),0)</f>
        <v>0</v>
      </c>
      <c r="AP1879" s="105">
        <f>IF($AN$1785&gt;0,PPMT('Assumptions (MSW)'!$V$6,Model!Y$1,'Assumptions (MSW)'!$V$9,'Assumptions (MSW)'!$V$4*Model!$AN$1785*AVERAGE('Assumptions (MSW)'!$AJ$2:$AL$2)/10^9),0)</f>
        <v>0</v>
      </c>
      <c r="AQ1879" s="105">
        <f>IF($AN$1785&gt;0,PPMT('Assumptions (MSW)'!$V$6,Model!Z$1,'Assumptions (MSW)'!$V$9,'Assumptions (MSW)'!$V$4*Model!$AN$1785*AVERAGE('Assumptions (MSW)'!$AJ$2:$AL$2)/10^9),0)</f>
        <v>0</v>
      </c>
      <c r="AR1879" s="105">
        <f>IF($AN$1785&gt;0,PPMT('Assumptions (MSW)'!$V$6,Model!AA$1,'Assumptions (MSW)'!$V$9,'Assumptions (MSW)'!$V$4*Model!$AN$1785*AVERAGE('Assumptions (MSW)'!$AJ$2:$AL$2)/10^9),0)</f>
        <v>0</v>
      </c>
      <c r="AS1879" s="105">
        <f>IF($AN$1785&gt;0,PPMT('Assumptions (MSW)'!$V$6,Model!AB$1,'Assumptions (MSW)'!$V$9,'Assumptions (MSW)'!$V$4*Model!$AN$1785*AVERAGE('Assumptions (MSW)'!$AJ$2:$AL$2)/10^9),0)</f>
        <v>0</v>
      </c>
      <c r="AT1879" s="105">
        <f>IF($AN$1785&gt;0,PPMT('Assumptions (MSW)'!$V$6,Model!AC$1,'Assumptions (MSW)'!$V$9,'Assumptions (MSW)'!$V$4*Model!$AN$1785*AVERAGE('Assumptions (MSW)'!$AJ$2:$AL$2)/10^9),0)</f>
        <v>0</v>
      </c>
      <c r="AU1879" s="105">
        <f>IF($AN$1785&gt;0,PPMT('Assumptions (MSW)'!$V$6,Model!AD$1,'Assumptions (MSW)'!$V$9,'Assumptions (MSW)'!$V$4*Model!$AN$1785*AVERAGE('Assumptions (MSW)'!$AJ$2:$AL$2)/10^9),0)</f>
        <v>0</v>
      </c>
      <c r="AV1879" s="105">
        <f>IF($AN$1785&gt;0,PPMT('Assumptions (MSW)'!$V$6,Model!AE$1,'Assumptions (MSW)'!$V$9,'Assumptions (MSW)'!$V$4*Model!$AN$1785*AVERAGE('Assumptions (MSW)'!$AJ$2:$AL$2)/10^9),0)</f>
        <v>0</v>
      </c>
      <c r="AW1879" s="105">
        <f>IF($AN$1785&gt;0,PPMT('Assumptions (MSW)'!$V$6,Model!AF$1,'Assumptions (MSW)'!$V$9,'Assumptions (MSW)'!$V$4*Model!$AN$1785*AVERAGE('Assumptions (MSW)'!$AJ$2:$AL$2)/10^9),0)</f>
        <v>0</v>
      </c>
      <c r="AX1879" s="105">
        <f>IF($AN$1785&gt;0,PPMT('Assumptions (MSW)'!$V$6,Model!AG$1,'Assumptions (MSW)'!$V$9,'Assumptions (MSW)'!$V$4*Model!$AN$1785*AVERAGE('Assumptions (MSW)'!$AJ$2:$AL$2)/10^9),0)</f>
        <v>0</v>
      </c>
      <c r="AY1879" s="105">
        <f>IF($AN$1785&gt;0,PPMT('Assumptions (MSW)'!$V$6,Model!AH$1,'Assumptions (MSW)'!$V$9,'Assumptions (MSW)'!$V$4*Model!$AN$1785*AVERAGE('Assumptions (MSW)'!$AJ$2:$AL$2)/10^9),0)</f>
        <v>0</v>
      </c>
      <c r="AZ1879" s="105">
        <f>IF($AN$1785&gt;0,PPMT('Assumptions (MSW)'!$V$6,Model!AI$1,'Assumptions (MSW)'!$V$9,'Assumptions (MSW)'!$V$4*Model!$AN$1785*AVERAGE('Assumptions (MSW)'!$AJ$2:$AL$2)/10^9),0)</f>
        <v>0</v>
      </c>
      <c r="BA1879" s="105">
        <f>IF($AN$1785&gt;0,PPMT('Assumptions (MSW)'!$V$6,Model!AJ$1,'Assumptions (MSW)'!$V$9,'Assumptions (MSW)'!$V$4*Model!$AN$1785*AVERAGE('Assumptions (MSW)'!$AJ$2:$AL$2)/10^9),0)</f>
        <v>0</v>
      </c>
      <c r="BB1879" s="105">
        <f>IF($AN$1785&gt;0,PPMT('Assumptions (MSW)'!$V$6,Model!AK$1,'Assumptions (MSW)'!$V$9,'Assumptions (MSW)'!$V$4*Model!$AN$1785*AVERAGE('Assumptions (MSW)'!$AJ$2:$AL$2)/10^9),0)</f>
        <v>0</v>
      </c>
      <c r="BC1879" s="105"/>
      <c r="BD1879" s="105"/>
      <c r="BE1879" s="105"/>
      <c r="BF1879" s="105"/>
      <c r="BG1879" s="105"/>
      <c r="BH1879" s="105"/>
      <c r="BI1879" s="105"/>
      <c r="BJ1879" s="105"/>
      <c r="BK1879" s="105"/>
      <c r="BL1879" s="105"/>
    </row>
    <row r="1880" spans="1:68" ht="15.75" hidden="1" customHeight="1" outlineLevel="1">
      <c r="A1880" s="435"/>
      <c r="B1880" s="99"/>
      <c r="C1880" s="99"/>
      <c r="D1880" s="99"/>
      <c r="E1880" s="99"/>
      <c r="F1880" s="99"/>
      <c r="G1880" s="99"/>
      <c r="H1880" s="99"/>
      <c r="I1880" s="99"/>
      <c r="J1880" s="99"/>
      <c r="K1880" s="99"/>
      <c r="L1880" s="99"/>
      <c r="M1880" s="99"/>
      <c r="N1880" s="99"/>
      <c r="O1880" s="99"/>
      <c r="P1880" s="99"/>
      <c r="Q1880" s="99"/>
      <c r="R1880" s="99"/>
      <c r="S1880" s="99"/>
      <c r="T1880" s="99"/>
      <c r="U1880" s="99"/>
      <c r="V1880" s="99"/>
      <c r="W1880" s="105"/>
      <c r="X1880" s="105"/>
      <c r="Y1880" s="105"/>
      <c r="Z1880" s="105"/>
      <c r="AA1880" s="105"/>
      <c r="AB1880" s="105"/>
      <c r="AC1880" s="105"/>
      <c r="AD1880" s="105"/>
      <c r="AE1880" s="105"/>
      <c r="AF1880" s="105"/>
      <c r="AG1880" s="105"/>
      <c r="AH1880" s="105"/>
      <c r="AI1880" s="105"/>
      <c r="AJ1880" s="171"/>
      <c r="AK1880" s="105"/>
      <c r="AL1880" s="91"/>
      <c r="AM1880" s="91"/>
      <c r="AN1880" s="91"/>
      <c r="AO1880" s="105">
        <f>IF($AO$1785&gt;0,PPMT('Assumptions (MSW)'!$V$6,Model!W$1,'Assumptions (MSW)'!$V$9,'Assumptions (MSW)'!$V$4*Model!$AO$1785*AVERAGE('Assumptions (MSW)'!$AK$2:$AM$2)/10^9),0)</f>
        <v>0</v>
      </c>
      <c r="AP1880" s="105">
        <f>IF($AO$1785&gt;0,PPMT('Assumptions (MSW)'!$V$6,Model!X$1,'Assumptions (MSW)'!$V$9,'Assumptions (MSW)'!$V$4*Model!$AO$1785*AVERAGE('Assumptions (MSW)'!$AK$2:$AM$2)/10^9),0)</f>
        <v>0</v>
      </c>
      <c r="AQ1880" s="105">
        <f>IF($AO$1785&gt;0,PPMT('Assumptions (MSW)'!$V$6,Model!Y$1,'Assumptions (MSW)'!$V$9,'Assumptions (MSW)'!$V$4*Model!$AO$1785*AVERAGE('Assumptions (MSW)'!$AK$2:$AM$2)/10^9),0)</f>
        <v>0</v>
      </c>
      <c r="AR1880" s="105">
        <f>IF($AO$1785&gt;0,PPMT('Assumptions (MSW)'!$V$6,Model!Z$1,'Assumptions (MSW)'!$V$9,'Assumptions (MSW)'!$V$4*Model!$AO$1785*AVERAGE('Assumptions (MSW)'!$AK$2:$AM$2)/10^9),0)</f>
        <v>0</v>
      </c>
      <c r="AS1880" s="105">
        <f>IF($AO$1785&gt;0,PPMT('Assumptions (MSW)'!$V$6,Model!AA$1,'Assumptions (MSW)'!$V$9,'Assumptions (MSW)'!$V$4*Model!$AO$1785*AVERAGE('Assumptions (MSW)'!$AK$2:$AM$2)/10^9),0)</f>
        <v>0</v>
      </c>
      <c r="AT1880" s="105">
        <f>IF($AO$1785&gt;0,PPMT('Assumptions (MSW)'!$V$6,Model!AB$1,'Assumptions (MSW)'!$V$9,'Assumptions (MSW)'!$V$4*Model!$AO$1785*AVERAGE('Assumptions (MSW)'!$AK$2:$AM$2)/10^9),0)</f>
        <v>0</v>
      </c>
      <c r="AU1880" s="105">
        <f>IF($AO$1785&gt;0,PPMT('Assumptions (MSW)'!$V$6,Model!AC$1,'Assumptions (MSW)'!$V$9,'Assumptions (MSW)'!$V$4*Model!$AO$1785*AVERAGE('Assumptions (MSW)'!$AK$2:$AM$2)/10^9),0)</f>
        <v>0</v>
      </c>
      <c r="AV1880" s="105">
        <f>IF($AO$1785&gt;0,PPMT('Assumptions (MSW)'!$V$6,Model!AD$1,'Assumptions (MSW)'!$V$9,'Assumptions (MSW)'!$V$4*Model!$AO$1785*AVERAGE('Assumptions (MSW)'!$AK$2:$AM$2)/10^9),0)</f>
        <v>0</v>
      </c>
      <c r="AW1880" s="105">
        <f>IF($AO$1785&gt;0,PPMT('Assumptions (MSW)'!$V$6,Model!AE$1,'Assumptions (MSW)'!$V$9,'Assumptions (MSW)'!$V$4*Model!$AO$1785*AVERAGE('Assumptions (MSW)'!$AK$2:$AM$2)/10^9),0)</f>
        <v>0</v>
      </c>
      <c r="AX1880" s="105">
        <f>IF($AO$1785&gt;0,PPMT('Assumptions (MSW)'!$V$6,Model!AF$1,'Assumptions (MSW)'!$V$9,'Assumptions (MSW)'!$V$4*Model!$AO$1785*AVERAGE('Assumptions (MSW)'!$AK$2:$AM$2)/10^9),0)</f>
        <v>0</v>
      </c>
      <c r="AY1880" s="105">
        <f>IF($AO$1785&gt;0,PPMT('Assumptions (MSW)'!$V$6,Model!AG$1,'Assumptions (MSW)'!$V$9,'Assumptions (MSW)'!$V$4*Model!$AO$1785*AVERAGE('Assumptions (MSW)'!$AK$2:$AM$2)/10^9),0)</f>
        <v>0</v>
      </c>
      <c r="AZ1880" s="105">
        <f>IF($AO$1785&gt;0,PPMT('Assumptions (MSW)'!$V$6,Model!AH$1,'Assumptions (MSW)'!$V$9,'Assumptions (MSW)'!$V$4*Model!$AO$1785*AVERAGE('Assumptions (MSW)'!$AK$2:$AM$2)/10^9),0)</f>
        <v>0</v>
      </c>
      <c r="BA1880" s="105">
        <f>IF($AO$1785&gt;0,PPMT('Assumptions (MSW)'!$V$6,Model!AI$1,'Assumptions (MSW)'!$V$9,'Assumptions (MSW)'!$V$4*Model!$AO$1785*AVERAGE('Assumptions (MSW)'!$AK$2:$AM$2)/10^9),0)</f>
        <v>0</v>
      </c>
      <c r="BB1880" s="105">
        <f>IF($AO$1785&gt;0,PPMT('Assumptions (MSW)'!$V$6,Model!AJ$1,'Assumptions (MSW)'!$V$9,'Assumptions (MSW)'!$V$4*Model!$AO$1785*AVERAGE('Assumptions (MSW)'!$AK$2:$AM$2)/10^9),0)</f>
        <v>0</v>
      </c>
      <c r="BC1880" s="105">
        <f>IF($AO$1785&gt;0,PPMT('Assumptions (MSW)'!$V$6,Model!AK$1,'Assumptions (MSW)'!$V$9,'Assumptions (MSW)'!$V$4*Model!$AO$1785*AVERAGE('Assumptions (MSW)'!$AK$2:$AM$2)/10^9),0)</f>
        <v>0</v>
      </c>
      <c r="BD1880" s="105"/>
      <c r="BE1880" s="105"/>
      <c r="BF1880" s="105"/>
      <c r="BG1880" s="105"/>
      <c r="BH1880" s="105"/>
      <c r="BI1880" s="105"/>
      <c r="BJ1880" s="105"/>
      <c r="BK1880" s="105"/>
      <c r="BL1880" s="105"/>
      <c r="BM1880" s="105"/>
    </row>
    <row r="1881" spans="1:68" ht="15.75" hidden="1" customHeight="1" outlineLevel="1">
      <c r="A1881" s="435"/>
      <c r="B1881" s="99"/>
      <c r="C1881" s="99"/>
      <c r="D1881" s="99"/>
      <c r="E1881" s="99"/>
      <c r="F1881" s="99"/>
      <c r="G1881" s="99"/>
      <c r="H1881" s="99"/>
      <c r="I1881" s="99"/>
      <c r="J1881" s="99"/>
      <c r="K1881" s="99"/>
      <c r="L1881" s="99"/>
      <c r="M1881" s="99"/>
      <c r="N1881" s="99"/>
      <c r="O1881" s="99"/>
      <c r="P1881" s="99"/>
      <c r="Q1881" s="99"/>
      <c r="R1881" s="99"/>
      <c r="S1881" s="99"/>
      <c r="T1881" s="99"/>
      <c r="U1881" s="99"/>
      <c r="V1881" s="99"/>
      <c r="W1881" s="105"/>
      <c r="X1881" s="105"/>
      <c r="Y1881" s="105"/>
      <c r="Z1881" s="105"/>
      <c r="AA1881" s="105"/>
      <c r="AB1881" s="105"/>
      <c r="AC1881" s="105"/>
      <c r="AD1881" s="105"/>
      <c r="AE1881" s="105"/>
      <c r="AF1881" s="105"/>
      <c r="AG1881" s="105"/>
      <c r="AH1881" s="105"/>
      <c r="AI1881" s="105"/>
      <c r="AJ1881" s="171"/>
      <c r="AK1881" s="105"/>
      <c r="AL1881" s="91"/>
      <c r="AM1881" s="91"/>
      <c r="AN1881" s="91"/>
      <c r="AO1881" s="105"/>
      <c r="AP1881" s="105">
        <f>IF($AP$1785&gt;0,PPMT('Assumptions (MSW)'!$V$6,Model!W$1,'Assumptions (MSW)'!$V$9,'Assumptions (MSW)'!$V$4*Model!$AP$1785*AVERAGE('Assumptions (MSW)'!$AL$2:$AN$2)/10^9),0)</f>
        <v>0</v>
      </c>
      <c r="AQ1881" s="105">
        <f>IF($AP$1785&gt;0,PPMT('Assumptions (MSW)'!$V$6,Model!X$1,'Assumptions (MSW)'!$V$9,'Assumptions (MSW)'!$V$4*Model!$AP$1785*AVERAGE('Assumptions (MSW)'!$AL$2:$AN$2)/10^9),0)</f>
        <v>0</v>
      </c>
      <c r="AR1881" s="105">
        <f>IF($AP$1785&gt;0,PPMT('Assumptions (MSW)'!$V$6,Model!Y$1,'Assumptions (MSW)'!$V$9,'Assumptions (MSW)'!$V$4*Model!$AP$1785*AVERAGE('Assumptions (MSW)'!$AL$2:$AN$2)/10^9),0)</f>
        <v>0</v>
      </c>
      <c r="AS1881" s="105">
        <f>IF($AP$1785&gt;0,PPMT('Assumptions (MSW)'!$V$6,Model!Z$1,'Assumptions (MSW)'!$V$9,'Assumptions (MSW)'!$V$4*Model!$AP$1785*AVERAGE('Assumptions (MSW)'!$AL$2:$AN$2)/10^9),0)</f>
        <v>0</v>
      </c>
      <c r="AT1881" s="105">
        <f>IF($AP$1785&gt;0,PPMT('Assumptions (MSW)'!$V$6,Model!AA$1,'Assumptions (MSW)'!$V$9,'Assumptions (MSW)'!$V$4*Model!$AP$1785*AVERAGE('Assumptions (MSW)'!$AL$2:$AN$2)/10^9),0)</f>
        <v>0</v>
      </c>
      <c r="AU1881" s="105">
        <f>IF($AP$1785&gt;0,PPMT('Assumptions (MSW)'!$V$6,Model!AB$1,'Assumptions (MSW)'!$V$9,'Assumptions (MSW)'!$V$4*Model!$AP$1785*AVERAGE('Assumptions (MSW)'!$AL$2:$AN$2)/10^9),0)</f>
        <v>0</v>
      </c>
      <c r="AV1881" s="105">
        <f>IF($AP$1785&gt;0,PPMT('Assumptions (MSW)'!$V$6,Model!AC$1,'Assumptions (MSW)'!$V$9,'Assumptions (MSW)'!$V$4*Model!$AP$1785*AVERAGE('Assumptions (MSW)'!$AL$2:$AN$2)/10^9),0)</f>
        <v>0</v>
      </c>
      <c r="AW1881" s="105">
        <f>IF($AP$1785&gt;0,PPMT('Assumptions (MSW)'!$V$6,Model!AD$1,'Assumptions (MSW)'!$V$9,'Assumptions (MSW)'!$V$4*Model!$AP$1785*AVERAGE('Assumptions (MSW)'!$AL$2:$AN$2)/10^9),0)</f>
        <v>0</v>
      </c>
      <c r="AX1881" s="105">
        <f>IF($AP$1785&gt;0,PPMT('Assumptions (MSW)'!$V$6,Model!AE$1,'Assumptions (MSW)'!$V$9,'Assumptions (MSW)'!$V$4*Model!$AP$1785*AVERAGE('Assumptions (MSW)'!$AL$2:$AN$2)/10^9),0)</f>
        <v>0</v>
      </c>
      <c r="AY1881" s="105">
        <f>IF($AP$1785&gt;0,PPMT('Assumptions (MSW)'!$V$6,Model!AF$1,'Assumptions (MSW)'!$V$9,'Assumptions (MSW)'!$V$4*Model!$AP$1785*AVERAGE('Assumptions (MSW)'!$AL$2:$AN$2)/10^9),0)</f>
        <v>0</v>
      </c>
      <c r="AZ1881" s="105">
        <f>IF($AP$1785&gt;0,PPMT('Assumptions (MSW)'!$V$6,Model!AG$1,'Assumptions (MSW)'!$V$9,'Assumptions (MSW)'!$V$4*Model!$AP$1785*AVERAGE('Assumptions (MSW)'!$AL$2:$AN$2)/10^9),0)</f>
        <v>0</v>
      </c>
      <c r="BA1881" s="105">
        <f>IF($AP$1785&gt;0,PPMT('Assumptions (MSW)'!$V$6,Model!AH$1,'Assumptions (MSW)'!$V$9,'Assumptions (MSW)'!$V$4*Model!$AP$1785*AVERAGE('Assumptions (MSW)'!$AL$2:$AN$2)/10^9),0)</f>
        <v>0</v>
      </c>
      <c r="BB1881" s="105">
        <f>IF($AP$1785&gt;0,PPMT('Assumptions (MSW)'!$V$6,Model!AI$1,'Assumptions (MSW)'!$V$9,'Assumptions (MSW)'!$V$4*Model!$AP$1785*AVERAGE('Assumptions (MSW)'!$AL$2:$AN$2)/10^9),0)</f>
        <v>0</v>
      </c>
      <c r="BC1881" s="105">
        <f>IF($AP$1785&gt;0,PPMT('Assumptions (MSW)'!$V$6,Model!AJ$1,'Assumptions (MSW)'!$V$9,'Assumptions (MSW)'!$V$4*Model!$AP$1785*AVERAGE('Assumptions (MSW)'!$AL$2:$AN$2)/10^9),0)</f>
        <v>0</v>
      </c>
      <c r="BD1881" s="105">
        <f>IF($AP$1785&gt;0,PPMT('Assumptions (MSW)'!$V$6,Model!AK$1,'Assumptions (MSW)'!$V$9,'Assumptions (MSW)'!$V$4*Model!$AP$1785*AVERAGE('Assumptions (MSW)'!$AL$2:$AN$2)/10^9),0)</f>
        <v>0</v>
      </c>
      <c r="BE1881" s="105"/>
      <c r="BF1881" s="105"/>
      <c r="BG1881" s="105"/>
      <c r="BH1881" s="105"/>
      <c r="BI1881" s="105"/>
      <c r="BJ1881" s="105"/>
      <c r="BK1881" s="105"/>
      <c r="BL1881" s="105"/>
      <c r="BM1881" s="105"/>
      <c r="BN1881" s="105"/>
    </row>
    <row r="1882" spans="1:68" ht="15.75" hidden="1" customHeight="1" outlineLevel="1">
      <c r="A1882" s="435"/>
      <c r="B1882" s="99"/>
      <c r="C1882" s="99"/>
      <c r="D1882" s="99"/>
      <c r="E1882" s="99"/>
      <c r="F1882" s="99"/>
      <c r="G1882" s="99"/>
      <c r="H1882" s="99"/>
      <c r="I1882" s="99"/>
      <c r="J1882" s="99"/>
      <c r="K1882" s="99"/>
      <c r="L1882" s="99"/>
      <c r="M1882" s="99"/>
      <c r="N1882" s="99"/>
      <c r="O1882" s="99"/>
      <c r="P1882" s="99"/>
      <c r="Q1882" s="99"/>
      <c r="R1882" s="99"/>
      <c r="S1882" s="99"/>
      <c r="T1882" s="99"/>
      <c r="U1882" s="99"/>
      <c r="V1882" s="99"/>
      <c r="W1882" s="105"/>
      <c r="X1882" s="105"/>
      <c r="Y1882" s="105"/>
      <c r="Z1882" s="105"/>
      <c r="AA1882" s="105"/>
      <c r="AB1882" s="105"/>
      <c r="AC1882" s="105"/>
      <c r="AD1882" s="105"/>
      <c r="AE1882" s="105"/>
      <c r="AF1882" s="105"/>
      <c r="AG1882" s="105"/>
      <c r="AH1882" s="105"/>
      <c r="AI1882" s="105"/>
      <c r="AJ1882" s="171"/>
      <c r="AK1882" s="105"/>
      <c r="AL1882" s="91"/>
      <c r="AM1882" s="91"/>
      <c r="AN1882" s="91"/>
      <c r="AO1882" s="105"/>
      <c r="AP1882" s="105"/>
      <c r="AQ1882" s="105">
        <f>IF($AQ$1785&gt;0,PPMT('Assumptions (MSW)'!$V$6,Model!W$1,'Assumptions (MSW)'!$V$9,'Assumptions (MSW)'!$V$4*Model!$AQ$1785*AVERAGE('Assumptions (MSW)'!$AM$2:$AO$2)/10^9),0)</f>
        <v>0</v>
      </c>
      <c r="AR1882" s="105">
        <f>IF($AQ$1785&gt;0,PPMT('Assumptions (MSW)'!$V$6,Model!X$1,'Assumptions (MSW)'!$V$9,'Assumptions (MSW)'!$V$4*Model!$AQ$1785*AVERAGE('Assumptions (MSW)'!$AM$2:$AO$2)/10^9),0)</f>
        <v>0</v>
      </c>
      <c r="AS1882" s="105">
        <f>IF($AQ$1785&gt;0,PPMT('Assumptions (MSW)'!$V$6,Model!Y$1,'Assumptions (MSW)'!$V$9,'Assumptions (MSW)'!$V$4*Model!$AQ$1785*AVERAGE('Assumptions (MSW)'!$AM$2:$AO$2)/10^9),0)</f>
        <v>0</v>
      </c>
      <c r="AT1882" s="105">
        <f>IF($AQ$1785&gt;0,PPMT('Assumptions (MSW)'!$V$6,Model!Z$1,'Assumptions (MSW)'!$V$9,'Assumptions (MSW)'!$V$4*Model!$AQ$1785*AVERAGE('Assumptions (MSW)'!$AM$2:$AO$2)/10^9),0)</f>
        <v>0</v>
      </c>
      <c r="AU1882" s="105">
        <f>IF($AQ$1785&gt;0,PPMT('Assumptions (MSW)'!$V$6,Model!AA$1,'Assumptions (MSW)'!$V$9,'Assumptions (MSW)'!$V$4*Model!$AQ$1785*AVERAGE('Assumptions (MSW)'!$AM$2:$AO$2)/10^9),0)</f>
        <v>0</v>
      </c>
      <c r="AV1882" s="105">
        <f>IF($AQ$1785&gt;0,PPMT('Assumptions (MSW)'!$V$6,Model!AB$1,'Assumptions (MSW)'!$V$9,'Assumptions (MSW)'!$V$4*Model!$AQ$1785*AVERAGE('Assumptions (MSW)'!$AM$2:$AO$2)/10^9),0)</f>
        <v>0</v>
      </c>
      <c r="AW1882" s="105">
        <f>IF($AQ$1785&gt;0,PPMT('Assumptions (MSW)'!$V$6,Model!AC$1,'Assumptions (MSW)'!$V$9,'Assumptions (MSW)'!$V$4*Model!$AQ$1785*AVERAGE('Assumptions (MSW)'!$AM$2:$AO$2)/10^9),0)</f>
        <v>0</v>
      </c>
      <c r="AX1882" s="105">
        <f>IF($AQ$1785&gt;0,PPMT('Assumptions (MSW)'!$V$6,Model!AD$1,'Assumptions (MSW)'!$V$9,'Assumptions (MSW)'!$V$4*Model!$AQ$1785*AVERAGE('Assumptions (MSW)'!$AM$2:$AO$2)/10^9),0)</f>
        <v>0</v>
      </c>
      <c r="AY1882" s="105">
        <f>IF($AQ$1785&gt;0,PPMT('Assumptions (MSW)'!$V$6,Model!AE$1,'Assumptions (MSW)'!$V$9,'Assumptions (MSW)'!$V$4*Model!$AQ$1785*AVERAGE('Assumptions (MSW)'!$AM$2:$AO$2)/10^9),0)</f>
        <v>0</v>
      </c>
      <c r="AZ1882" s="105">
        <f>IF($AQ$1785&gt;0,PPMT('Assumptions (MSW)'!$V$6,Model!AF$1,'Assumptions (MSW)'!$V$9,'Assumptions (MSW)'!$V$4*Model!$AQ$1785*AVERAGE('Assumptions (MSW)'!$AM$2:$AO$2)/10^9),0)</f>
        <v>0</v>
      </c>
      <c r="BA1882" s="105">
        <f>IF($AQ$1785&gt;0,PPMT('Assumptions (MSW)'!$V$6,Model!AG$1,'Assumptions (MSW)'!$V$9,'Assumptions (MSW)'!$V$4*Model!$AQ$1785*AVERAGE('Assumptions (MSW)'!$AM$2:$AO$2)/10^9),0)</f>
        <v>0</v>
      </c>
      <c r="BB1882" s="105">
        <f>IF($AQ$1785&gt;0,PPMT('Assumptions (MSW)'!$V$6,Model!AH$1,'Assumptions (MSW)'!$V$9,'Assumptions (MSW)'!$V$4*Model!$AQ$1785*AVERAGE('Assumptions (MSW)'!$AM$2:$AO$2)/10^9),0)</f>
        <v>0</v>
      </c>
      <c r="BC1882" s="105">
        <f>IF($AQ$1785&gt;0,PPMT('Assumptions (MSW)'!$V$6,Model!AI$1,'Assumptions (MSW)'!$V$9,'Assumptions (MSW)'!$V$4*Model!$AQ$1785*AVERAGE('Assumptions (MSW)'!$AM$2:$AO$2)/10^9),0)</f>
        <v>0</v>
      </c>
      <c r="BD1882" s="105">
        <f>IF($AQ$1785&gt;0,PPMT('Assumptions (MSW)'!$V$6,Model!AJ$1,'Assumptions (MSW)'!$V$9,'Assumptions (MSW)'!$V$4*Model!$AQ$1785*AVERAGE('Assumptions (MSW)'!$AM$2:$AO$2)/10^9),0)</f>
        <v>0</v>
      </c>
      <c r="BE1882" s="105">
        <f>IF($AQ$1785&gt;0,PPMT('Assumptions (MSW)'!$V$6,Model!AK$1,'Assumptions (MSW)'!$V$9,'Assumptions (MSW)'!$V$4*Model!$AQ$1785*AVERAGE('Assumptions (MSW)'!$AM$2:$AO$2)/10^9),0)</f>
        <v>0</v>
      </c>
      <c r="BF1882" s="105"/>
      <c r="BG1882" s="105"/>
      <c r="BH1882" s="105"/>
      <c r="BI1882" s="105"/>
      <c r="BJ1882" s="105"/>
      <c r="BK1882" s="105"/>
      <c r="BL1882" s="105"/>
      <c r="BM1882" s="105"/>
      <c r="BN1882" s="105"/>
      <c r="BO1882" s="105"/>
    </row>
    <row r="1883" spans="1:68" ht="15.75" hidden="1" customHeight="1" outlineLevel="1">
      <c r="A1883" s="435"/>
      <c r="B1883" s="99"/>
      <c r="C1883" s="99"/>
      <c r="D1883" s="99"/>
      <c r="E1883" s="99"/>
      <c r="F1883" s="99"/>
      <c r="G1883" s="99"/>
      <c r="H1883" s="99"/>
      <c r="I1883" s="99"/>
      <c r="J1883" s="99"/>
      <c r="K1883" s="99"/>
      <c r="L1883" s="99"/>
      <c r="M1883" s="99"/>
      <c r="N1883" s="99"/>
      <c r="O1883" s="99"/>
      <c r="P1883" s="99"/>
      <c r="Q1883" s="99"/>
      <c r="R1883" s="99"/>
      <c r="S1883" s="99"/>
      <c r="T1883" s="99"/>
      <c r="U1883" s="99"/>
      <c r="V1883" s="99"/>
      <c r="W1883" s="105"/>
      <c r="X1883" s="105"/>
      <c r="Y1883" s="105"/>
      <c r="Z1883" s="105"/>
      <c r="AA1883" s="105"/>
      <c r="AB1883" s="105"/>
      <c r="AC1883" s="105"/>
      <c r="AD1883" s="105"/>
      <c r="AE1883" s="105"/>
      <c r="AF1883" s="105"/>
      <c r="AG1883" s="105"/>
      <c r="AH1883" s="105"/>
      <c r="AI1883" s="105"/>
      <c r="AJ1883" s="171"/>
      <c r="AK1883" s="105"/>
      <c r="AL1883" s="91"/>
      <c r="AM1883" s="91"/>
      <c r="AN1883" s="91"/>
      <c r="AO1883" s="105"/>
      <c r="AP1883" s="105"/>
      <c r="AQ1883" s="105"/>
      <c r="AR1883" s="105">
        <f>IF($AR$1785&gt;0,PPMT('Assumptions (MSW)'!$V$6,Model!W$1,'Assumptions (MSW)'!$V$9,'Assumptions (MSW)'!$V$4*Model!$AR$1785*AVERAGE('Assumptions (MSW)'!$AN$2:$AP$2)/10^9),0)</f>
        <v>0</v>
      </c>
      <c r="AS1883" s="105">
        <f>IF($AR$1785&gt;0,PPMT('Assumptions (MSW)'!$V$6,Model!X$1,'Assumptions (MSW)'!$V$9,'Assumptions (MSW)'!$V$4*Model!$AR$1785*AVERAGE('Assumptions (MSW)'!$AN$2:$AP$2)/10^9),0)</f>
        <v>0</v>
      </c>
      <c r="AT1883" s="105">
        <f>IF($AR$1785&gt;0,PPMT('Assumptions (MSW)'!$V$6,Model!Y$1,'Assumptions (MSW)'!$V$9,'Assumptions (MSW)'!$V$4*Model!$AR$1785*AVERAGE('Assumptions (MSW)'!$AN$2:$AP$2)/10^9),0)</f>
        <v>0</v>
      </c>
      <c r="AU1883" s="105">
        <f>IF($AR$1785&gt;0,PPMT('Assumptions (MSW)'!$V$6,Model!Z$1,'Assumptions (MSW)'!$V$9,'Assumptions (MSW)'!$V$4*Model!$AR$1785*AVERAGE('Assumptions (MSW)'!$AN$2:$AP$2)/10^9),0)</f>
        <v>0</v>
      </c>
      <c r="AV1883" s="105">
        <f>IF($AR$1785&gt;0,PPMT('Assumptions (MSW)'!$V$6,Model!AA$1,'Assumptions (MSW)'!$V$9,'Assumptions (MSW)'!$V$4*Model!$AR$1785*AVERAGE('Assumptions (MSW)'!$AN$2:$AP$2)/10^9),0)</f>
        <v>0</v>
      </c>
      <c r="AW1883" s="105">
        <f>IF($AR$1785&gt;0,PPMT('Assumptions (MSW)'!$V$6,Model!AB$1,'Assumptions (MSW)'!$V$9,'Assumptions (MSW)'!$V$4*Model!$AR$1785*AVERAGE('Assumptions (MSW)'!$AN$2:$AP$2)/10^9),0)</f>
        <v>0</v>
      </c>
      <c r="AX1883" s="105">
        <f>IF($AR$1785&gt;0,PPMT('Assumptions (MSW)'!$V$6,Model!AC$1,'Assumptions (MSW)'!$V$9,'Assumptions (MSW)'!$V$4*Model!$AR$1785*AVERAGE('Assumptions (MSW)'!$AN$2:$AP$2)/10^9),0)</f>
        <v>0</v>
      </c>
      <c r="AY1883" s="105">
        <f>IF($AR$1785&gt;0,PPMT('Assumptions (MSW)'!$V$6,Model!AD$1,'Assumptions (MSW)'!$V$9,'Assumptions (MSW)'!$V$4*Model!$AR$1785*AVERAGE('Assumptions (MSW)'!$AN$2:$AP$2)/10^9),0)</f>
        <v>0</v>
      </c>
      <c r="AZ1883" s="105">
        <f>IF($AR$1785&gt;0,PPMT('Assumptions (MSW)'!$V$6,Model!AE$1,'Assumptions (MSW)'!$V$9,'Assumptions (MSW)'!$V$4*Model!$AR$1785*AVERAGE('Assumptions (MSW)'!$AN$2:$AP$2)/10^9),0)</f>
        <v>0</v>
      </c>
      <c r="BA1883" s="105">
        <f>IF($AR$1785&gt;0,PPMT('Assumptions (MSW)'!$V$6,Model!AF$1,'Assumptions (MSW)'!$V$9,'Assumptions (MSW)'!$V$4*Model!$AR$1785*AVERAGE('Assumptions (MSW)'!$AN$2:$AP$2)/10^9),0)</f>
        <v>0</v>
      </c>
      <c r="BB1883" s="105">
        <f>IF($AR$1785&gt;0,PPMT('Assumptions (MSW)'!$V$6,Model!AG$1,'Assumptions (MSW)'!$V$9,'Assumptions (MSW)'!$V$4*Model!$AR$1785*AVERAGE('Assumptions (MSW)'!$AN$2:$AP$2)/10^9),0)</f>
        <v>0</v>
      </c>
      <c r="BC1883" s="105">
        <f>IF($AR$1785&gt;0,PPMT('Assumptions (MSW)'!$V$6,Model!AH$1,'Assumptions (MSW)'!$V$9,'Assumptions (MSW)'!$V$4*Model!$AR$1785*AVERAGE('Assumptions (MSW)'!$AN$2:$AP$2)/10^9),0)</f>
        <v>0</v>
      </c>
      <c r="BD1883" s="105">
        <f>IF($AR$1785&gt;0,PPMT('Assumptions (MSW)'!$V$6,Model!AI$1,'Assumptions (MSW)'!$V$9,'Assumptions (MSW)'!$V$4*Model!$AR$1785*AVERAGE('Assumptions (MSW)'!$AN$2:$AP$2)/10^9),0)</f>
        <v>0</v>
      </c>
      <c r="BE1883" s="105">
        <f>IF($AR$1785&gt;0,PPMT('Assumptions (MSW)'!$V$6,Model!AJ$1,'Assumptions (MSW)'!$V$9,'Assumptions (MSW)'!$V$4*Model!$AR$1785*AVERAGE('Assumptions (MSW)'!$AN$2:$AP$2)/10^9),0)</f>
        <v>0</v>
      </c>
      <c r="BF1883" s="105">
        <f>IF($AR$1785&gt;0,PPMT('Assumptions (MSW)'!$V$6,Model!AK$1,'Assumptions (MSW)'!$V$9,'Assumptions (MSW)'!$V$4*Model!$AR$1785*AVERAGE('Assumptions (MSW)'!$AN$2:$AP$2)/10^9),0)</f>
        <v>0</v>
      </c>
      <c r="BG1883" s="105"/>
      <c r="BH1883" s="105"/>
      <c r="BI1883" s="105"/>
      <c r="BJ1883" s="105"/>
      <c r="BK1883" s="105"/>
      <c r="BL1883" s="105"/>
      <c r="BM1883" s="105"/>
      <c r="BN1883" s="105"/>
      <c r="BO1883" s="105"/>
      <c r="BP1883" s="105"/>
    </row>
    <row r="1884" spans="1:68" ht="15.75" hidden="1" customHeight="1" outlineLevel="1">
      <c r="A1884" s="435"/>
      <c r="B1884" s="99"/>
      <c r="C1884" s="99"/>
      <c r="D1884" s="99"/>
      <c r="E1884" s="99"/>
      <c r="F1884" s="99"/>
      <c r="G1884" s="99"/>
      <c r="H1884" s="99"/>
      <c r="I1884" s="99"/>
      <c r="J1884" s="99"/>
      <c r="K1884" s="99"/>
      <c r="L1884" s="99"/>
      <c r="M1884" s="99"/>
      <c r="N1884" s="99"/>
      <c r="O1884" s="99"/>
      <c r="P1884" s="99"/>
      <c r="Q1884" s="99"/>
      <c r="R1884" s="99"/>
      <c r="S1884" s="99"/>
      <c r="T1884" s="99"/>
      <c r="U1884" s="99"/>
      <c r="V1884" s="99"/>
      <c r="W1884" s="105"/>
      <c r="X1884" s="105"/>
      <c r="Y1884" s="105"/>
      <c r="Z1884" s="105"/>
      <c r="AA1884" s="105"/>
      <c r="AB1884" s="105"/>
      <c r="AC1884" s="105"/>
      <c r="AD1884" s="105"/>
      <c r="AE1884" s="105"/>
      <c r="AF1884" s="105"/>
      <c r="AG1884" s="105"/>
      <c r="AH1884" s="105"/>
      <c r="AI1884" s="105"/>
      <c r="AJ1884" s="171"/>
      <c r="AK1884" s="105"/>
      <c r="AL1884" s="91"/>
      <c r="AM1884" s="91"/>
      <c r="AN1884" s="91"/>
      <c r="AO1884" s="105"/>
      <c r="AP1884" s="105"/>
      <c r="AQ1884" s="105"/>
      <c r="AR1884" s="105"/>
      <c r="AS1884" s="105">
        <f>IF($AS$1785&gt;0,PPMT('Assumptions (MSW)'!$V$6,Model!W$1,'Assumptions (MSW)'!$V$9,'Assumptions (MSW)'!$V$4*Model!$AS$1785*AVERAGE('Assumptions (MSW)'!$AO$2:$AQ$2)/10^9),0)</f>
        <v>0</v>
      </c>
      <c r="AT1884" s="105">
        <f>IF($AS$1785&gt;0,PPMT('Assumptions (MSW)'!$V$6,Model!X$1,'Assumptions (MSW)'!$V$9,'Assumptions (MSW)'!$V$4*Model!$AS$1785*AVERAGE('Assumptions (MSW)'!$AO$2:$AQ$2)/10^9),0)</f>
        <v>0</v>
      </c>
      <c r="AU1884" s="105">
        <f>IF($AS$1785&gt;0,PPMT('Assumptions (MSW)'!$V$6,Model!Y$1,'Assumptions (MSW)'!$V$9,'Assumptions (MSW)'!$V$4*Model!$AS$1785*AVERAGE('Assumptions (MSW)'!$AO$2:$AQ$2)/10^9),0)</f>
        <v>0</v>
      </c>
      <c r="AV1884" s="105">
        <f>IF($AS$1785&gt;0,PPMT('Assumptions (MSW)'!$V$6,Model!Z$1,'Assumptions (MSW)'!$V$9,'Assumptions (MSW)'!$V$4*Model!$AS$1785*AVERAGE('Assumptions (MSW)'!$AO$2:$AQ$2)/10^9),0)</f>
        <v>0</v>
      </c>
      <c r="AW1884" s="105">
        <f>IF($AS$1785&gt;0,PPMT('Assumptions (MSW)'!$V$6,Model!AA$1,'Assumptions (MSW)'!$V$9,'Assumptions (MSW)'!$V$4*Model!$AS$1785*AVERAGE('Assumptions (MSW)'!$AO$2:$AQ$2)/10^9),0)</f>
        <v>0</v>
      </c>
      <c r="AX1884" s="105">
        <f>IF($AS$1785&gt;0,PPMT('Assumptions (MSW)'!$V$6,Model!AB$1,'Assumptions (MSW)'!$V$9,'Assumptions (MSW)'!$V$4*Model!$AS$1785*AVERAGE('Assumptions (MSW)'!$AO$2:$AQ$2)/10^9),0)</f>
        <v>0</v>
      </c>
      <c r="AY1884" s="105">
        <f>IF($AS$1785&gt;0,PPMT('Assumptions (MSW)'!$V$6,Model!AC$1,'Assumptions (MSW)'!$V$9,'Assumptions (MSW)'!$V$4*Model!$AS$1785*AVERAGE('Assumptions (MSW)'!$AO$2:$AQ$2)/10^9),0)</f>
        <v>0</v>
      </c>
      <c r="AZ1884" s="105">
        <f>IF($AS$1785&gt;0,PPMT('Assumptions (MSW)'!$V$6,Model!AD$1,'Assumptions (MSW)'!$V$9,'Assumptions (MSW)'!$V$4*Model!$AS$1785*AVERAGE('Assumptions (MSW)'!$AO$2:$AQ$2)/10^9),0)</f>
        <v>0</v>
      </c>
      <c r="BA1884" s="105">
        <f>IF($AS$1785&gt;0,PPMT('Assumptions (MSW)'!$V$6,Model!AE$1,'Assumptions (MSW)'!$V$9,'Assumptions (MSW)'!$V$4*Model!$AS$1785*AVERAGE('Assumptions (MSW)'!$AO$2:$AQ$2)/10^9),0)</f>
        <v>0</v>
      </c>
      <c r="BB1884" s="105">
        <f>IF($AS$1785&gt;0,PPMT('Assumptions (MSW)'!$V$6,Model!AF$1,'Assumptions (MSW)'!$V$9,'Assumptions (MSW)'!$V$4*Model!$AS$1785*AVERAGE('Assumptions (MSW)'!$AO$2:$AQ$2)/10^9),0)</f>
        <v>0</v>
      </c>
      <c r="BC1884" s="105">
        <f>IF($AS$1785&gt;0,PPMT('Assumptions (MSW)'!$V$6,Model!AG$1,'Assumptions (MSW)'!$V$9,'Assumptions (MSW)'!$V$4*Model!$AS$1785*AVERAGE('Assumptions (MSW)'!$AO$2:$AQ$2)/10^9),0)</f>
        <v>0</v>
      </c>
      <c r="BD1884" s="105">
        <f>IF($AS$1785&gt;0,PPMT('Assumptions (MSW)'!$V$6,Model!AH$1,'Assumptions (MSW)'!$V$9,'Assumptions (MSW)'!$V$4*Model!$AS$1785*AVERAGE('Assumptions (MSW)'!$AO$2:$AQ$2)/10^9),0)</f>
        <v>0</v>
      </c>
      <c r="BE1884" s="105">
        <f>IF($AS$1785&gt;0,PPMT('Assumptions (MSW)'!$V$6,Model!AI$1,'Assumptions (MSW)'!$V$9,'Assumptions (MSW)'!$V$4*Model!$AS$1785*AVERAGE('Assumptions (MSW)'!$AO$2:$AQ$2)/10^9),0)</f>
        <v>0</v>
      </c>
      <c r="BF1884" s="105">
        <f>IF($AS$1785&gt;0,PPMT('Assumptions (MSW)'!$V$6,Model!AJ$1,'Assumptions (MSW)'!$V$9,'Assumptions (MSW)'!$V$4*Model!$AS$1785*AVERAGE('Assumptions (MSW)'!$AO$2:$AQ$2)/10^9),0)</f>
        <v>0</v>
      </c>
      <c r="BG1884" s="105">
        <f>IF($AS$1785&gt;0,PPMT('Assumptions (MSW)'!$V$6,Model!AK$1,'Assumptions (MSW)'!$V$9,'Assumptions (MSW)'!$V$4*Model!$AS$1785*AVERAGE('Assumptions (MSW)'!$AO$2:$AQ$2)/10^9),0)</f>
        <v>0</v>
      </c>
      <c r="BH1884" s="105"/>
      <c r="BI1884" s="105"/>
      <c r="BJ1884" s="105"/>
      <c r="BK1884" s="105"/>
      <c r="BL1884" s="105"/>
      <c r="BM1884" s="105"/>
      <c r="BN1884" s="105"/>
      <c r="BO1884" s="105"/>
      <c r="BP1884" s="105"/>
    </row>
    <row r="1885" spans="1:68" ht="15.75" hidden="1" customHeight="1" outlineLevel="1">
      <c r="A1885" s="435"/>
      <c r="B1885" s="99"/>
      <c r="C1885" s="99"/>
      <c r="D1885" s="99"/>
      <c r="E1885" s="99"/>
      <c r="F1885" s="99"/>
      <c r="G1885" s="99"/>
      <c r="H1885" s="99"/>
      <c r="I1885" s="99"/>
      <c r="J1885" s="99"/>
      <c r="K1885" s="99"/>
      <c r="L1885" s="99"/>
      <c r="M1885" s="99"/>
      <c r="N1885" s="99"/>
      <c r="O1885" s="99"/>
      <c r="P1885" s="99"/>
      <c r="Q1885" s="99"/>
      <c r="R1885" s="99"/>
      <c r="S1885" s="99"/>
      <c r="T1885" s="99"/>
      <c r="U1885" s="99"/>
      <c r="V1885" s="99"/>
      <c r="W1885" s="105"/>
      <c r="X1885" s="105"/>
      <c r="Y1885" s="105"/>
      <c r="Z1885" s="105"/>
      <c r="AA1885" s="105"/>
      <c r="AB1885" s="105"/>
      <c r="AC1885" s="105"/>
      <c r="AD1885" s="105"/>
      <c r="AE1885" s="105"/>
      <c r="AF1885" s="105"/>
      <c r="AG1885" s="105"/>
      <c r="AH1885" s="105"/>
      <c r="AI1885" s="105"/>
      <c r="AJ1885" s="171"/>
      <c r="AK1885" s="105"/>
      <c r="AL1885" s="91"/>
      <c r="AM1885" s="91"/>
      <c r="AN1885" s="91"/>
      <c r="AO1885" s="105"/>
      <c r="AP1885" s="105"/>
      <c r="AQ1885" s="105"/>
      <c r="AR1885" s="105"/>
      <c r="AS1885" s="105"/>
      <c r="AT1885" s="105">
        <f>IF($AT$1785&gt;0,PPMT('Assumptions (MSW)'!$V$6,Model!W$1,'Assumptions (MSW)'!$V$9,'Assumptions (MSW)'!$V$4*Model!$AT$1785*AVERAGE('Assumptions (MSW)'!$AP$2:$AR$2)/10^9),0)</f>
        <v>0</v>
      </c>
      <c r="AU1885" s="105">
        <f>IF($AT$1785&gt;0,PPMT('Assumptions (MSW)'!$V$6,Model!X$1,'Assumptions (MSW)'!$V$9,'Assumptions (MSW)'!$V$4*Model!$AT$1785*AVERAGE('Assumptions (MSW)'!$AP$2:$AR$2)/10^9),0)</f>
        <v>0</v>
      </c>
      <c r="AV1885" s="105">
        <f>IF($AT$1785&gt;0,PPMT('Assumptions (MSW)'!$V$6,Model!Y$1,'Assumptions (MSW)'!$V$9,'Assumptions (MSW)'!$V$4*Model!$AT$1785*AVERAGE('Assumptions (MSW)'!$AP$2:$AR$2)/10^9),0)</f>
        <v>0</v>
      </c>
      <c r="AW1885" s="105">
        <f>IF($AT$1785&gt;0,PPMT('Assumptions (MSW)'!$V$6,Model!Z$1,'Assumptions (MSW)'!$V$9,'Assumptions (MSW)'!$V$4*Model!$AT$1785*AVERAGE('Assumptions (MSW)'!$AP$2:$AR$2)/10^9),0)</f>
        <v>0</v>
      </c>
      <c r="AX1885" s="105">
        <f>IF($AT$1785&gt;0,PPMT('Assumptions (MSW)'!$V$6,Model!AA$1,'Assumptions (MSW)'!$V$9,'Assumptions (MSW)'!$V$4*Model!$AT$1785*AVERAGE('Assumptions (MSW)'!$AP$2:$AR$2)/10^9),0)</f>
        <v>0</v>
      </c>
      <c r="AY1885" s="105">
        <f>IF($AT$1785&gt;0,PPMT('Assumptions (MSW)'!$V$6,Model!AB$1,'Assumptions (MSW)'!$V$9,'Assumptions (MSW)'!$V$4*Model!$AT$1785*AVERAGE('Assumptions (MSW)'!$AP$2:$AR$2)/10^9),0)</f>
        <v>0</v>
      </c>
      <c r="AZ1885" s="105">
        <f>IF($AT$1785&gt;0,PPMT('Assumptions (MSW)'!$V$6,Model!AC$1,'Assumptions (MSW)'!$V$9,'Assumptions (MSW)'!$V$4*Model!$AT$1785*AVERAGE('Assumptions (MSW)'!$AP$2:$AR$2)/10^9),0)</f>
        <v>0</v>
      </c>
      <c r="BA1885" s="105">
        <f>IF($AT$1785&gt;0,PPMT('Assumptions (MSW)'!$V$6,Model!AD$1,'Assumptions (MSW)'!$V$9,'Assumptions (MSW)'!$V$4*Model!$AT$1785*AVERAGE('Assumptions (MSW)'!$AP$2:$AR$2)/10^9),0)</f>
        <v>0</v>
      </c>
      <c r="BB1885" s="105">
        <f>IF($AT$1785&gt;0,PPMT('Assumptions (MSW)'!$V$6,Model!AE$1,'Assumptions (MSW)'!$V$9,'Assumptions (MSW)'!$V$4*Model!$AT$1785*AVERAGE('Assumptions (MSW)'!$AP$2:$AR$2)/10^9),0)</f>
        <v>0</v>
      </c>
      <c r="BC1885" s="105">
        <f>IF($AT$1785&gt;0,PPMT('Assumptions (MSW)'!$V$6,Model!AF$1,'Assumptions (MSW)'!$V$9,'Assumptions (MSW)'!$V$4*Model!$AT$1785*AVERAGE('Assumptions (MSW)'!$AP$2:$AR$2)/10^9),0)</f>
        <v>0</v>
      </c>
      <c r="BD1885" s="105">
        <f>IF($AT$1785&gt;0,PPMT('Assumptions (MSW)'!$V$6,Model!AG$1,'Assumptions (MSW)'!$V$9,'Assumptions (MSW)'!$V$4*Model!$AT$1785*AVERAGE('Assumptions (MSW)'!$AP$2:$AR$2)/10^9),0)</f>
        <v>0</v>
      </c>
      <c r="BE1885" s="105">
        <f>IF($AT$1785&gt;0,PPMT('Assumptions (MSW)'!$V$6,Model!AH$1,'Assumptions (MSW)'!$V$9,'Assumptions (MSW)'!$V$4*Model!$AT$1785*AVERAGE('Assumptions (MSW)'!$AP$2:$AR$2)/10^9),0)</f>
        <v>0</v>
      </c>
      <c r="BF1885" s="105">
        <f>IF($AT$1785&gt;0,PPMT('Assumptions (MSW)'!$V$6,Model!AI$1,'Assumptions (MSW)'!$V$9,'Assumptions (MSW)'!$V$4*Model!$AT$1785*AVERAGE('Assumptions (MSW)'!$AP$2:$AR$2)/10^9),0)</f>
        <v>0</v>
      </c>
      <c r="BG1885" s="105">
        <f>IF($AT$1785&gt;0,PPMT('Assumptions (MSW)'!$V$6,Model!AJ$1,'Assumptions (MSW)'!$V$9,'Assumptions (MSW)'!$V$4*Model!$AT$1785*AVERAGE('Assumptions (MSW)'!$AP$2:$AR$2)/10^9),0)</f>
        <v>0</v>
      </c>
      <c r="BH1885" s="105">
        <f>IF($AT$1785&gt;0,PPMT('Assumptions (MSW)'!$V$6,Model!AK$1,'Assumptions (MSW)'!$V$9,'Assumptions (MSW)'!$V$4*Model!$AT$1785*AVERAGE('Assumptions (MSW)'!$AP$2:$AR$2)/10^9),0)</f>
        <v>0</v>
      </c>
      <c r="BI1885" s="105"/>
      <c r="BJ1885" s="105"/>
      <c r="BK1885" s="105"/>
      <c r="BL1885" s="105"/>
      <c r="BM1885" s="105"/>
      <c r="BN1885" s="105"/>
      <c r="BO1885" s="105"/>
      <c r="BP1885" s="105"/>
    </row>
    <row r="1886" spans="1:68" ht="15.75" hidden="1" customHeight="1" outlineLevel="1">
      <c r="A1886" s="435"/>
      <c r="B1886" s="99"/>
      <c r="C1886" s="99"/>
      <c r="D1886" s="99"/>
      <c r="E1886" s="99"/>
      <c r="F1886" s="99"/>
      <c r="G1886" s="99"/>
      <c r="H1886" s="99"/>
      <c r="I1886" s="99"/>
      <c r="J1886" s="99"/>
      <c r="K1886" s="99"/>
      <c r="L1886" s="99"/>
      <c r="M1886" s="99"/>
      <c r="N1886" s="99"/>
      <c r="O1886" s="99"/>
      <c r="P1886" s="99"/>
      <c r="Q1886" s="99"/>
      <c r="R1886" s="99"/>
      <c r="S1886" s="99"/>
      <c r="T1886" s="99"/>
      <c r="U1886" s="99"/>
      <c r="V1886" s="99"/>
      <c r="W1886" s="105"/>
      <c r="X1886" s="105"/>
      <c r="Y1886" s="105"/>
      <c r="Z1886" s="105"/>
      <c r="AA1886" s="105"/>
      <c r="AB1886" s="105"/>
      <c r="AC1886" s="105"/>
      <c r="AD1886" s="105"/>
      <c r="AE1886" s="105"/>
      <c r="AF1886" s="105"/>
      <c r="AG1886" s="105"/>
      <c r="AH1886" s="105"/>
      <c r="AI1886" s="105"/>
      <c r="AJ1886" s="171"/>
      <c r="AK1886" s="105"/>
      <c r="AL1886" s="91"/>
      <c r="AM1886" s="91"/>
      <c r="AN1886" s="91"/>
      <c r="AO1886" s="105"/>
      <c r="AP1886" s="105"/>
      <c r="AQ1886" s="105"/>
      <c r="AR1886" s="105"/>
      <c r="AS1886" s="105"/>
      <c r="AT1886" s="105"/>
      <c r="AU1886" s="105">
        <f>IF($AU$1785&gt;0,PPMT('Assumptions (MSW)'!$V$6,Model!W$1,'Assumptions (MSW)'!$V$9,'Assumptions (MSW)'!$V$4*Model!$AU$1785*AVERAGE('Assumptions (MSW)'!$AQ$2:$AS$2)/10^9),0)</f>
        <v>0</v>
      </c>
      <c r="AV1886" s="105">
        <f>IF($AU$1785&gt;0,PPMT('Assumptions (MSW)'!$V$6,Model!X$1,'Assumptions (MSW)'!$V$9,'Assumptions (MSW)'!$V$4*Model!$AU$1785*AVERAGE('Assumptions (MSW)'!$AQ$2:$AS$2)/10^9),0)</f>
        <v>0</v>
      </c>
      <c r="AW1886" s="105">
        <f>IF($AU$1785&gt;0,PPMT('Assumptions (MSW)'!$V$6,Model!Y$1,'Assumptions (MSW)'!$V$9,'Assumptions (MSW)'!$V$4*Model!$AU$1785*AVERAGE('Assumptions (MSW)'!$AQ$2:$AS$2)/10^9),0)</f>
        <v>0</v>
      </c>
      <c r="AX1886" s="105">
        <f>IF($AU$1785&gt;0,PPMT('Assumptions (MSW)'!$V$6,Model!Z$1,'Assumptions (MSW)'!$V$9,'Assumptions (MSW)'!$V$4*Model!$AU$1785*AVERAGE('Assumptions (MSW)'!$AQ$2:$AS$2)/10^9),0)</f>
        <v>0</v>
      </c>
      <c r="AY1886" s="105">
        <f>IF($AU$1785&gt;0,PPMT('Assumptions (MSW)'!$V$6,Model!AA$1,'Assumptions (MSW)'!$V$9,'Assumptions (MSW)'!$V$4*Model!$AU$1785*AVERAGE('Assumptions (MSW)'!$AQ$2:$AS$2)/10^9),0)</f>
        <v>0</v>
      </c>
      <c r="AZ1886" s="105">
        <f>IF($AU$1785&gt;0,PPMT('Assumptions (MSW)'!$V$6,Model!AB$1,'Assumptions (MSW)'!$V$9,'Assumptions (MSW)'!$V$4*Model!$AU$1785*AVERAGE('Assumptions (MSW)'!$AQ$2:$AS$2)/10^9),0)</f>
        <v>0</v>
      </c>
      <c r="BA1886" s="105">
        <f>IF($AU$1785&gt;0,PPMT('Assumptions (MSW)'!$V$6,Model!AC$1,'Assumptions (MSW)'!$V$9,'Assumptions (MSW)'!$V$4*Model!$AU$1785*AVERAGE('Assumptions (MSW)'!$AQ$2:$AS$2)/10^9),0)</f>
        <v>0</v>
      </c>
      <c r="BB1886" s="105">
        <f>IF($AU$1785&gt;0,PPMT('Assumptions (MSW)'!$V$6,Model!AD$1,'Assumptions (MSW)'!$V$9,'Assumptions (MSW)'!$V$4*Model!$AU$1785*AVERAGE('Assumptions (MSW)'!$AQ$2:$AS$2)/10^9),0)</f>
        <v>0</v>
      </c>
      <c r="BC1886" s="105">
        <f>IF($AU$1785&gt;0,PPMT('Assumptions (MSW)'!$V$6,Model!AE$1,'Assumptions (MSW)'!$V$9,'Assumptions (MSW)'!$V$4*Model!$AU$1785*AVERAGE('Assumptions (MSW)'!$AQ$2:$AS$2)/10^9),0)</f>
        <v>0</v>
      </c>
      <c r="BD1886" s="105">
        <f>IF($AU$1785&gt;0,PPMT('Assumptions (MSW)'!$V$6,Model!AF$1,'Assumptions (MSW)'!$V$9,'Assumptions (MSW)'!$V$4*Model!$AU$1785*AVERAGE('Assumptions (MSW)'!$AQ$2:$AS$2)/10^9),0)</f>
        <v>0</v>
      </c>
      <c r="BE1886" s="105">
        <f>IF($AU$1785&gt;0,PPMT('Assumptions (MSW)'!$V$6,Model!AG$1,'Assumptions (MSW)'!$V$9,'Assumptions (MSW)'!$V$4*Model!$AU$1785*AVERAGE('Assumptions (MSW)'!$AQ$2:$AS$2)/10^9),0)</f>
        <v>0</v>
      </c>
      <c r="BF1886" s="105">
        <f>IF($AU$1785&gt;0,PPMT('Assumptions (MSW)'!$V$6,Model!AH$1,'Assumptions (MSW)'!$V$9,'Assumptions (MSW)'!$V$4*Model!$AU$1785*AVERAGE('Assumptions (MSW)'!$AQ$2:$AS$2)/10^9),0)</f>
        <v>0</v>
      </c>
      <c r="BG1886" s="105">
        <f>IF($AU$1785&gt;0,PPMT('Assumptions (MSW)'!$V$6,Model!AI$1,'Assumptions (MSW)'!$V$9,'Assumptions (MSW)'!$V$4*Model!$AU$1785*AVERAGE('Assumptions (MSW)'!$AQ$2:$AS$2)/10^9),0)</f>
        <v>0</v>
      </c>
      <c r="BH1886" s="105">
        <f>IF($AU$1785&gt;0,PPMT('Assumptions (MSW)'!$V$6,Model!AJ$1,'Assumptions (MSW)'!$V$9,'Assumptions (MSW)'!$V$4*Model!$AU$1785*AVERAGE('Assumptions (MSW)'!$AQ$2:$AS$2)/10^9),0)</f>
        <v>0</v>
      </c>
      <c r="BI1886" s="105">
        <f>IF($AU$1785&gt;0,PPMT('Assumptions (MSW)'!$V$6,Model!AK$1,'Assumptions (MSW)'!$V$9,'Assumptions (MSW)'!$V$4*Model!$AU$1785*AVERAGE('Assumptions (MSW)'!$AQ$2:$AS$2)/10^9),0)</f>
        <v>0</v>
      </c>
      <c r="BJ1886" s="105"/>
      <c r="BK1886" s="105"/>
      <c r="BL1886" s="105"/>
      <c r="BM1886" s="105"/>
      <c r="BN1886" s="105"/>
      <c r="BO1886" s="105"/>
      <c r="BP1886" s="105"/>
    </row>
    <row r="1887" spans="1:68" ht="15.75" hidden="1" customHeight="1" outlineLevel="1">
      <c r="A1887" s="435"/>
      <c r="B1887" s="99"/>
      <c r="C1887" s="99"/>
      <c r="D1887" s="99"/>
      <c r="E1887" s="99"/>
      <c r="F1887" s="99"/>
      <c r="G1887" s="99"/>
      <c r="H1887" s="99"/>
      <c r="I1887" s="99"/>
      <c r="J1887" s="99"/>
      <c r="K1887" s="99"/>
      <c r="L1887" s="99"/>
      <c r="M1887" s="99"/>
      <c r="N1887" s="99"/>
      <c r="O1887" s="99"/>
      <c r="P1887" s="99"/>
      <c r="Q1887" s="99"/>
      <c r="R1887" s="99"/>
      <c r="S1887" s="99"/>
      <c r="T1887" s="99"/>
      <c r="U1887" s="99"/>
      <c r="V1887" s="99"/>
      <c r="W1887" s="105"/>
      <c r="X1887" s="105"/>
      <c r="Y1887" s="105"/>
      <c r="Z1887" s="105"/>
      <c r="AA1887" s="105"/>
      <c r="AB1887" s="105"/>
      <c r="AC1887" s="105"/>
      <c r="AD1887" s="105"/>
      <c r="AE1887" s="105"/>
      <c r="AF1887" s="105"/>
      <c r="AG1887" s="105"/>
      <c r="AH1887" s="105"/>
      <c r="AI1887" s="105"/>
      <c r="AJ1887" s="171"/>
      <c r="AK1887" s="105"/>
      <c r="AL1887" s="91"/>
      <c r="AM1887" s="91"/>
      <c r="AN1887" s="91"/>
      <c r="AO1887" s="105"/>
      <c r="AP1887" s="105"/>
      <c r="AQ1887" s="105"/>
      <c r="AR1887" s="105"/>
      <c r="AS1887" s="105"/>
      <c r="AT1887" s="105"/>
      <c r="AU1887" s="105"/>
      <c r="AV1887" s="105">
        <f>IF($AV$1785&gt;0,PPMT('Assumptions (MSW)'!$V$6,Model!W$1,'Assumptions (MSW)'!$V$9,'Assumptions (MSW)'!$V$4*Model!$AV$1785*AVERAGE('Assumptions (MSW)'!$AR$2:$AT$2)/10^9),0)</f>
        <v>0</v>
      </c>
      <c r="AW1887" s="105">
        <f>IF($AV$1785&gt;0,PPMT('Assumptions (MSW)'!$V$6,Model!X$1,'Assumptions (MSW)'!$V$9,'Assumptions (MSW)'!$V$4*Model!$AV$1785*AVERAGE('Assumptions (MSW)'!$AR$2:$AT$2)/10^9),0)</f>
        <v>0</v>
      </c>
      <c r="AX1887" s="105">
        <f>IF($AV$1785&gt;0,PPMT('Assumptions (MSW)'!$V$6,Model!Y$1,'Assumptions (MSW)'!$V$9,'Assumptions (MSW)'!$V$4*Model!$AV$1785*AVERAGE('Assumptions (MSW)'!$AR$2:$AT$2)/10^9),0)</f>
        <v>0</v>
      </c>
      <c r="AY1887" s="105">
        <f>IF($AV$1785&gt;0,PPMT('Assumptions (MSW)'!$V$6,Model!Z$1,'Assumptions (MSW)'!$V$9,'Assumptions (MSW)'!$V$4*Model!$AV$1785*AVERAGE('Assumptions (MSW)'!$AR$2:$AT$2)/10^9),0)</f>
        <v>0</v>
      </c>
      <c r="AZ1887" s="105">
        <f>IF($AV$1785&gt;0,PPMT('Assumptions (MSW)'!$V$6,Model!AA$1,'Assumptions (MSW)'!$V$9,'Assumptions (MSW)'!$V$4*Model!$AV$1785*AVERAGE('Assumptions (MSW)'!$AR$2:$AT$2)/10^9),0)</f>
        <v>0</v>
      </c>
      <c r="BA1887" s="105">
        <f>IF($AV$1785&gt;0,PPMT('Assumptions (MSW)'!$V$6,Model!AB$1,'Assumptions (MSW)'!$V$9,'Assumptions (MSW)'!$V$4*Model!$AV$1785*AVERAGE('Assumptions (MSW)'!$AR$2:$AT$2)/10^9),0)</f>
        <v>0</v>
      </c>
      <c r="BB1887" s="105">
        <f>IF($AV$1785&gt;0,PPMT('Assumptions (MSW)'!$V$6,Model!AC$1,'Assumptions (MSW)'!$V$9,'Assumptions (MSW)'!$V$4*Model!$AV$1785*AVERAGE('Assumptions (MSW)'!$AR$2:$AT$2)/10^9),0)</f>
        <v>0</v>
      </c>
      <c r="BC1887" s="105">
        <f>IF($AV$1785&gt;0,PPMT('Assumptions (MSW)'!$V$6,Model!AD$1,'Assumptions (MSW)'!$V$9,'Assumptions (MSW)'!$V$4*Model!$AV$1785*AVERAGE('Assumptions (MSW)'!$AR$2:$AT$2)/10^9),0)</f>
        <v>0</v>
      </c>
      <c r="BD1887" s="105">
        <f>IF($AV$1785&gt;0,PPMT('Assumptions (MSW)'!$V$6,Model!AE$1,'Assumptions (MSW)'!$V$9,'Assumptions (MSW)'!$V$4*Model!$AV$1785*AVERAGE('Assumptions (MSW)'!$AR$2:$AT$2)/10^9),0)</f>
        <v>0</v>
      </c>
      <c r="BE1887" s="105">
        <f>IF($AV$1785&gt;0,PPMT('Assumptions (MSW)'!$V$6,Model!AF$1,'Assumptions (MSW)'!$V$9,'Assumptions (MSW)'!$V$4*Model!$AV$1785*AVERAGE('Assumptions (MSW)'!$AR$2:$AT$2)/10^9),0)</f>
        <v>0</v>
      </c>
      <c r="BF1887" s="105">
        <f>IF($AV$1785&gt;0,PPMT('Assumptions (MSW)'!$V$6,Model!AG$1,'Assumptions (MSW)'!$V$9,'Assumptions (MSW)'!$V$4*Model!$AV$1785*AVERAGE('Assumptions (MSW)'!$AR$2:$AT$2)/10^9),0)</f>
        <v>0</v>
      </c>
      <c r="BG1887" s="105">
        <f>IF($AV$1785&gt;0,PPMT('Assumptions (MSW)'!$V$6,Model!AH$1,'Assumptions (MSW)'!$V$9,'Assumptions (MSW)'!$V$4*Model!$AV$1785*AVERAGE('Assumptions (MSW)'!$AR$2:$AT$2)/10^9),0)</f>
        <v>0</v>
      </c>
      <c r="BH1887" s="105">
        <f>IF($AV$1785&gt;0,PPMT('Assumptions (MSW)'!$V$6,Model!AI$1,'Assumptions (MSW)'!$V$9,'Assumptions (MSW)'!$V$4*Model!$AV$1785*AVERAGE('Assumptions (MSW)'!$AR$2:$AT$2)/10^9),0)</f>
        <v>0</v>
      </c>
      <c r="BI1887" s="105">
        <f>IF($AV$1785&gt;0,PPMT('Assumptions (MSW)'!$V$6,Model!AJ$1,'Assumptions (MSW)'!$V$9,'Assumptions (MSW)'!$V$4*Model!$AV$1785*AVERAGE('Assumptions (MSW)'!$AR$2:$AT$2)/10^9),0)</f>
        <v>0</v>
      </c>
      <c r="BJ1887" s="105">
        <f>IF($AV$1785&gt;0,PPMT('Assumptions (MSW)'!$V$6,Model!AK$1,'Assumptions (MSW)'!$V$9,'Assumptions (MSW)'!$V$4*Model!$AV$1785*AVERAGE('Assumptions (MSW)'!$AR$2:$AT$2)/10^9),0)</f>
        <v>0</v>
      </c>
      <c r="BK1887" s="105"/>
      <c r="BL1887" s="105"/>
      <c r="BM1887" s="105"/>
      <c r="BN1887" s="105"/>
      <c r="BO1887" s="105"/>
      <c r="BP1887" s="105"/>
    </row>
    <row r="1888" spans="1:68" ht="15.75" hidden="1" customHeight="1" outlineLevel="1">
      <c r="A1888" s="435"/>
      <c r="B1888" s="99"/>
      <c r="C1888" s="99"/>
      <c r="D1888" s="99"/>
      <c r="E1888" s="99"/>
      <c r="F1888" s="99"/>
      <c r="G1888" s="99"/>
      <c r="H1888" s="99"/>
      <c r="I1888" s="99"/>
      <c r="J1888" s="99"/>
      <c r="K1888" s="99"/>
      <c r="L1888" s="99"/>
      <c r="M1888" s="99"/>
      <c r="N1888" s="99"/>
      <c r="O1888" s="99"/>
      <c r="P1888" s="99"/>
      <c r="Q1888" s="99"/>
      <c r="R1888" s="99"/>
      <c r="S1888" s="99"/>
      <c r="T1888" s="99"/>
      <c r="U1888" s="99"/>
      <c r="V1888" s="99"/>
      <c r="W1888" s="105"/>
      <c r="X1888" s="105"/>
      <c r="Y1888" s="105"/>
      <c r="Z1888" s="105"/>
      <c r="AA1888" s="105"/>
      <c r="AB1888" s="105"/>
      <c r="AC1888" s="105"/>
      <c r="AD1888" s="105"/>
      <c r="AE1888" s="105"/>
      <c r="AF1888" s="105"/>
      <c r="AG1888" s="105"/>
      <c r="AH1888" s="105"/>
      <c r="AI1888" s="105"/>
      <c r="AJ1888" s="171"/>
      <c r="AK1888" s="105"/>
      <c r="AL1888" s="91"/>
      <c r="AM1888" s="91"/>
      <c r="AN1888" s="91"/>
      <c r="AO1888" s="105"/>
      <c r="AP1888" s="105"/>
      <c r="AQ1888" s="105"/>
      <c r="AR1888" s="105"/>
      <c r="AS1888" s="105"/>
      <c r="AT1888" s="105"/>
      <c r="AU1888" s="105"/>
      <c r="AV1888" s="105"/>
      <c r="AW1888" s="105">
        <f>IF($AW$1785&gt;0,PPMT('Assumptions (MSW)'!$V$6,Model!W$1,'Assumptions (MSW)'!$V$9,'Assumptions (MSW)'!$V$4*Model!$AW$1785*AVERAGE('Assumptions (MSW)'!$AS$2:$AU$2)/10^9),0)</f>
        <v>0</v>
      </c>
      <c r="AX1888" s="105">
        <f>IF($AW$1785&gt;0,PPMT('Assumptions (MSW)'!$V$6,Model!X$1,'Assumptions (MSW)'!$V$9,'Assumptions (MSW)'!$V$4*Model!$AW$1785*AVERAGE('Assumptions (MSW)'!$AS$2:$AU$2)/10^9),0)</f>
        <v>0</v>
      </c>
      <c r="AY1888" s="105">
        <f>IF($AW$1785&gt;0,PPMT('Assumptions (MSW)'!$V$6,Model!Y$1,'Assumptions (MSW)'!$V$9,'Assumptions (MSW)'!$V$4*Model!$AW$1785*AVERAGE('Assumptions (MSW)'!$AS$2:$AU$2)/10^9),0)</f>
        <v>0</v>
      </c>
      <c r="AZ1888" s="105">
        <f>IF($AW$1785&gt;0,PPMT('Assumptions (MSW)'!$V$6,Model!Z$1,'Assumptions (MSW)'!$V$9,'Assumptions (MSW)'!$V$4*Model!$AW$1785*AVERAGE('Assumptions (MSW)'!$AS$2:$AU$2)/10^9),0)</f>
        <v>0</v>
      </c>
      <c r="BA1888" s="105">
        <f>IF($AW$1785&gt;0,PPMT('Assumptions (MSW)'!$V$6,Model!AA$1,'Assumptions (MSW)'!$V$9,'Assumptions (MSW)'!$V$4*Model!$AW$1785*AVERAGE('Assumptions (MSW)'!$AS$2:$AU$2)/10^9),0)</f>
        <v>0</v>
      </c>
      <c r="BB1888" s="105">
        <f>IF($AW$1785&gt;0,PPMT('Assumptions (MSW)'!$V$6,Model!AB$1,'Assumptions (MSW)'!$V$9,'Assumptions (MSW)'!$V$4*Model!$AW$1785*AVERAGE('Assumptions (MSW)'!$AS$2:$AU$2)/10^9),0)</f>
        <v>0</v>
      </c>
      <c r="BC1888" s="105">
        <f>IF($AW$1785&gt;0,PPMT('Assumptions (MSW)'!$V$6,Model!AC$1,'Assumptions (MSW)'!$V$9,'Assumptions (MSW)'!$V$4*Model!$AW$1785*AVERAGE('Assumptions (MSW)'!$AS$2:$AU$2)/10^9),0)</f>
        <v>0</v>
      </c>
      <c r="BD1888" s="105">
        <f>IF($AW$1785&gt;0,PPMT('Assumptions (MSW)'!$V$6,Model!AD$1,'Assumptions (MSW)'!$V$9,'Assumptions (MSW)'!$V$4*Model!$AW$1785*AVERAGE('Assumptions (MSW)'!$AS$2:$AU$2)/10^9),0)</f>
        <v>0</v>
      </c>
      <c r="BE1888" s="105">
        <f>IF($AW$1785&gt;0,PPMT('Assumptions (MSW)'!$V$6,Model!AE$1,'Assumptions (MSW)'!$V$9,'Assumptions (MSW)'!$V$4*Model!$AW$1785*AVERAGE('Assumptions (MSW)'!$AS$2:$AU$2)/10^9),0)</f>
        <v>0</v>
      </c>
      <c r="BF1888" s="105">
        <f>IF($AW$1785&gt;0,PPMT('Assumptions (MSW)'!$V$6,Model!AF$1,'Assumptions (MSW)'!$V$9,'Assumptions (MSW)'!$V$4*Model!$AW$1785*AVERAGE('Assumptions (MSW)'!$AS$2:$AU$2)/10^9),0)</f>
        <v>0</v>
      </c>
      <c r="BG1888" s="105">
        <f>IF($AW$1785&gt;0,PPMT('Assumptions (MSW)'!$V$6,Model!AG$1,'Assumptions (MSW)'!$V$9,'Assumptions (MSW)'!$V$4*Model!$AW$1785*AVERAGE('Assumptions (MSW)'!$AS$2:$AU$2)/10^9),0)</f>
        <v>0</v>
      </c>
      <c r="BH1888" s="105">
        <f>IF($AW$1785&gt;0,PPMT('Assumptions (MSW)'!$V$6,Model!AH$1,'Assumptions (MSW)'!$V$9,'Assumptions (MSW)'!$V$4*Model!$AW$1785*AVERAGE('Assumptions (MSW)'!$AS$2:$AU$2)/10^9),0)</f>
        <v>0</v>
      </c>
      <c r="BI1888" s="105">
        <f>IF($AW$1785&gt;0,PPMT('Assumptions (MSW)'!$V$6,Model!AI$1,'Assumptions (MSW)'!$V$9,'Assumptions (MSW)'!$V$4*Model!$AW$1785*AVERAGE('Assumptions (MSW)'!$AS$2:$AU$2)/10^9),0)</f>
        <v>0</v>
      </c>
      <c r="BJ1888" s="105">
        <f>IF($AW$1785&gt;0,PPMT('Assumptions (MSW)'!$V$6,Model!AJ$1,'Assumptions (MSW)'!$V$9,'Assumptions (MSW)'!$V$4*Model!$AW$1785*AVERAGE('Assumptions (MSW)'!$AS$2:$AU$2)/10^9),0)</f>
        <v>0</v>
      </c>
      <c r="BK1888" s="105">
        <f>IF($AW$1785&gt;0,PPMT('Assumptions (MSW)'!$V$6,Model!AK$1,'Assumptions (MSW)'!$V$9,'Assumptions (MSW)'!$V$4*Model!$AW$1785*AVERAGE('Assumptions (MSW)'!$AS$2:$AU$2)/10^9),0)</f>
        <v>0</v>
      </c>
      <c r="BL1888" s="105"/>
      <c r="BM1888" s="105"/>
      <c r="BN1888" s="105"/>
      <c r="BO1888" s="105"/>
      <c r="BP1888" s="105"/>
    </row>
    <row r="1889" spans="1:68" ht="15.75" hidden="1" customHeight="1" outlineLevel="1">
      <c r="A1889" s="435"/>
      <c r="B1889" s="99"/>
      <c r="C1889" s="99"/>
      <c r="D1889" s="99"/>
      <c r="E1889" s="99"/>
      <c r="F1889" s="99"/>
      <c r="G1889" s="99"/>
      <c r="H1889" s="99"/>
      <c r="I1889" s="99"/>
      <c r="J1889" s="99"/>
      <c r="K1889" s="99"/>
      <c r="L1889" s="99"/>
      <c r="M1889" s="99"/>
      <c r="N1889" s="99"/>
      <c r="O1889" s="99"/>
      <c r="P1889" s="99"/>
      <c r="Q1889" s="99"/>
      <c r="R1889" s="99"/>
      <c r="S1889" s="99"/>
      <c r="T1889" s="99"/>
      <c r="U1889" s="99"/>
      <c r="V1889" s="99"/>
      <c r="W1889" s="105"/>
      <c r="X1889" s="105"/>
      <c r="Y1889" s="105"/>
      <c r="Z1889" s="105"/>
      <c r="AA1889" s="105"/>
      <c r="AB1889" s="105"/>
      <c r="AC1889" s="105"/>
      <c r="AD1889" s="105"/>
      <c r="AE1889" s="105"/>
      <c r="AF1889" s="105"/>
      <c r="AG1889" s="105"/>
      <c r="AH1889" s="105"/>
      <c r="AI1889" s="105"/>
      <c r="AJ1889" s="171"/>
      <c r="AK1889" s="105"/>
      <c r="AL1889" s="91"/>
      <c r="AM1889" s="91"/>
      <c r="AN1889" s="91"/>
      <c r="AO1889" s="105"/>
      <c r="AP1889" s="105"/>
      <c r="AQ1889" s="105"/>
      <c r="AR1889" s="105"/>
      <c r="AS1889" s="105"/>
      <c r="AT1889" s="105"/>
      <c r="AU1889" s="105"/>
      <c r="AV1889" s="105"/>
      <c r="AW1889" s="105"/>
      <c r="AX1889" s="105">
        <f>IF($AX$1785&gt;0,PPMT('Assumptions (MSW)'!$V$6,Model!W$1,'Assumptions (MSW)'!$V$9,'Assumptions (MSW)'!$V$4*Model!$AX$1785*AVERAGE('Assumptions (MSW)'!$AT$2:$AV$2)/10^9),0)</f>
        <v>0</v>
      </c>
      <c r="AY1889" s="105">
        <f>IF($AX$1785&gt;0,PPMT('Assumptions (MSW)'!$V$6,Model!X$1,'Assumptions (MSW)'!$V$9,'Assumptions (MSW)'!$V$4*Model!$AX$1785*AVERAGE('Assumptions (MSW)'!$AT$2:$AV$2)/10^9),0)</f>
        <v>0</v>
      </c>
      <c r="AZ1889" s="105">
        <f>IF($AX$1785&gt;0,PPMT('Assumptions (MSW)'!$V$6,Model!Y$1,'Assumptions (MSW)'!$V$9,'Assumptions (MSW)'!$V$4*Model!$AX$1785*AVERAGE('Assumptions (MSW)'!$AT$2:$AV$2)/10^9),0)</f>
        <v>0</v>
      </c>
      <c r="BA1889" s="105">
        <f>IF($AX$1785&gt;0,PPMT('Assumptions (MSW)'!$V$6,Model!Z$1,'Assumptions (MSW)'!$V$9,'Assumptions (MSW)'!$V$4*Model!$AX$1785*AVERAGE('Assumptions (MSW)'!$AT$2:$AV$2)/10^9),0)</f>
        <v>0</v>
      </c>
      <c r="BB1889" s="105">
        <f>IF($AX$1785&gt;0,PPMT('Assumptions (MSW)'!$V$6,Model!AA$1,'Assumptions (MSW)'!$V$9,'Assumptions (MSW)'!$V$4*Model!$AX$1785*AVERAGE('Assumptions (MSW)'!$AT$2:$AV$2)/10^9),0)</f>
        <v>0</v>
      </c>
      <c r="BC1889" s="105">
        <f>IF($AX$1785&gt;0,PPMT('Assumptions (MSW)'!$V$6,Model!AB$1,'Assumptions (MSW)'!$V$9,'Assumptions (MSW)'!$V$4*Model!$AX$1785*AVERAGE('Assumptions (MSW)'!$AT$2:$AV$2)/10^9),0)</f>
        <v>0</v>
      </c>
      <c r="BD1889" s="105">
        <f>IF($AX$1785&gt;0,PPMT('Assumptions (MSW)'!$V$6,Model!AC$1,'Assumptions (MSW)'!$V$9,'Assumptions (MSW)'!$V$4*Model!$AX$1785*AVERAGE('Assumptions (MSW)'!$AT$2:$AV$2)/10^9),0)</f>
        <v>0</v>
      </c>
      <c r="BE1889" s="105">
        <f>IF($AX$1785&gt;0,PPMT('Assumptions (MSW)'!$V$6,Model!AD$1,'Assumptions (MSW)'!$V$9,'Assumptions (MSW)'!$V$4*Model!$AX$1785*AVERAGE('Assumptions (MSW)'!$AT$2:$AV$2)/10^9),0)</f>
        <v>0</v>
      </c>
      <c r="BF1889" s="105">
        <f>IF($AX$1785&gt;0,PPMT('Assumptions (MSW)'!$V$6,Model!AE$1,'Assumptions (MSW)'!$V$9,'Assumptions (MSW)'!$V$4*Model!$AX$1785*AVERAGE('Assumptions (MSW)'!$AT$2:$AV$2)/10^9),0)</f>
        <v>0</v>
      </c>
      <c r="BG1889" s="105">
        <f>IF($AX$1785&gt;0,PPMT('Assumptions (MSW)'!$V$6,Model!AF$1,'Assumptions (MSW)'!$V$9,'Assumptions (MSW)'!$V$4*Model!$AX$1785*AVERAGE('Assumptions (MSW)'!$AT$2:$AV$2)/10^9),0)</f>
        <v>0</v>
      </c>
      <c r="BH1889" s="105">
        <f>IF($AX$1785&gt;0,PPMT('Assumptions (MSW)'!$V$6,Model!AG$1,'Assumptions (MSW)'!$V$9,'Assumptions (MSW)'!$V$4*Model!$AX$1785*AVERAGE('Assumptions (MSW)'!$AT$2:$AV$2)/10^9),0)</f>
        <v>0</v>
      </c>
      <c r="BI1889" s="105">
        <f>IF($AX$1785&gt;0,PPMT('Assumptions (MSW)'!$V$6,Model!AH$1,'Assumptions (MSW)'!$V$9,'Assumptions (MSW)'!$V$4*Model!$AX$1785*AVERAGE('Assumptions (MSW)'!$AT$2:$AV$2)/10^9),0)</f>
        <v>0</v>
      </c>
      <c r="BJ1889" s="105">
        <f>IF($AX$1785&gt;0,PPMT('Assumptions (MSW)'!$V$6,Model!AI$1,'Assumptions (MSW)'!$V$9,'Assumptions (MSW)'!$V$4*Model!$AX$1785*AVERAGE('Assumptions (MSW)'!$AT$2:$AV$2)/10^9),0)</f>
        <v>0</v>
      </c>
      <c r="BK1889" s="105">
        <f>IF($AX$1785&gt;0,PPMT('Assumptions (MSW)'!$V$6,Model!AJ$1,'Assumptions (MSW)'!$V$9,'Assumptions (MSW)'!$V$4*Model!$AX$1785*AVERAGE('Assumptions (MSW)'!$AT$2:$AV$2)/10^9),0)</f>
        <v>0</v>
      </c>
      <c r="BL1889" s="105">
        <f>IF($AX$1785&gt;0,PPMT('Assumptions (MSW)'!$V$6,Model!AK$1,'Assumptions (MSW)'!$V$9,'Assumptions (MSW)'!$V$4*Model!$AX$1785*AVERAGE('Assumptions (MSW)'!$AT$2:$AV$2)/10^9),0)</f>
        <v>0</v>
      </c>
      <c r="BM1889" s="105"/>
      <c r="BN1889" s="105"/>
      <c r="BO1889" s="105"/>
      <c r="BP1889" s="105"/>
    </row>
    <row r="1890" spans="1:68" ht="15.75" hidden="1" customHeight="1" outlineLevel="1">
      <c r="A1890" s="435"/>
      <c r="B1890" s="99"/>
      <c r="C1890" s="99"/>
      <c r="D1890" s="99"/>
      <c r="E1890" s="99"/>
      <c r="F1890" s="99"/>
      <c r="G1890" s="99"/>
      <c r="H1890" s="99"/>
      <c r="I1890" s="99"/>
      <c r="J1890" s="99"/>
      <c r="K1890" s="99"/>
      <c r="L1890" s="99"/>
      <c r="M1890" s="99"/>
      <c r="N1890" s="99"/>
      <c r="O1890" s="99"/>
      <c r="P1890" s="99"/>
      <c r="Q1890" s="99"/>
      <c r="R1890" s="99"/>
      <c r="S1890" s="99"/>
      <c r="T1890" s="99"/>
      <c r="U1890" s="99"/>
      <c r="V1890" s="99"/>
      <c r="W1890" s="105"/>
      <c r="X1890" s="105"/>
      <c r="Y1890" s="105"/>
      <c r="Z1890" s="105"/>
      <c r="AA1890" s="105"/>
      <c r="AB1890" s="105"/>
      <c r="AC1890" s="105"/>
      <c r="AD1890" s="105"/>
      <c r="AE1890" s="105"/>
      <c r="AF1890" s="105"/>
      <c r="AG1890" s="105"/>
      <c r="AH1890" s="105"/>
      <c r="AI1890" s="105"/>
      <c r="AJ1890" s="171"/>
      <c r="AK1890" s="105"/>
      <c r="AL1890" s="91"/>
      <c r="AM1890" s="91"/>
      <c r="AN1890" s="91"/>
      <c r="AO1890" s="105"/>
      <c r="AP1890" s="105"/>
      <c r="AQ1890" s="105"/>
      <c r="AR1890" s="105"/>
      <c r="AS1890" s="105"/>
      <c r="AT1890" s="105"/>
      <c r="AU1890" s="105"/>
      <c r="AV1890" s="105"/>
      <c r="AW1890" s="105"/>
      <c r="AX1890" s="105"/>
      <c r="AY1890" s="105">
        <f>IF($AY$1785&gt;0,PPMT('Assumptions (MSW)'!$V$6,Model!W$1,'Assumptions (MSW)'!$V$9,'Assumptions (MSW)'!$V$4*Model!$AY$1785*AVERAGE('Assumptions (MSW)'!$AU$2:$AW$2)/10^9),0)</f>
        <v>0</v>
      </c>
      <c r="AZ1890" s="105">
        <f>IF($AY$1785&gt;0,PPMT('Assumptions (MSW)'!$V$6,Model!X$1,'Assumptions (MSW)'!$V$9,'Assumptions (MSW)'!$V$4*Model!$AY$1785*AVERAGE('Assumptions (MSW)'!$AU$2:$AW$2)/10^9),0)</f>
        <v>0</v>
      </c>
      <c r="BA1890" s="105">
        <f>IF($AY$1785&gt;0,PPMT('Assumptions (MSW)'!$V$6,Model!Y$1,'Assumptions (MSW)'!$V$9,'Assumptions (MSW)'!$V$4*Model!$AY$1785*AVERAGE('Assumptions (MSW)'!$AU$2:$AW$2)/10^9),0)</f>
        <v>0</v>
      </c>
      <c r="BB1890" s="105">
        <f>IF($AY$1785&gt;0,PPMT('Assumptions (MSW)'!$V$6,Model!Z$1,'Assumptions (MSW)'!$V$9,'Assumptions (MSW)'!$V$4*Model!$AY$1785*AVERAGE('Assumptions (MSW)'!$AU$2:$AW$2)/10^9),0)</f>
        <v>0</v>
      </c>
      <c r="BC1890" s="105">
        <f>IF($AY$1785&gt;0,PPMT('Assumptions (MSW)'!$V$6,Model!AA$1,'Assumptions (MSW)'!$V$9,'Assumptions (MSW)'!$V$4*Model!$AY$1785*AVERAGE('Assumptions (MSW)'!$AU$2:$AW$2)/10^9),0)</f>
        <v>0</v>
      </c>
      <c r="BD1890" s="105">
        <f>IF($AY$1785&gt;0,PPMT('Assumptions (MSW)'!$V$6,Model!AB$1,'Assumptions (MSW)'!$V$9,'Assumptions (MSW)'!$V$4*Model!$AY$1785*AVERAGE('Assumptions (MSW)'!$AU$2:$AW$2)/10^9),0)</f>
        <v>0</v>
      </c>
      <c r="BE1890" s="105">
        <f>IF($AY$1785&gt;0,PPMT('Assumptions (MSW)'!$V$6,Model!AC$1,'Assumptions (MSW)'!$V$9,'Assumptions (MSW)'!$V$4*Model!$AY$1785*AVERAGE('Assumptions (MSW)'!$AU$2:$AW$2)/10^9),0)</f>
        <v>0</v>
      </c>
      <c r="BF1890" s="105">
        <f>IF($AY$1785&gt;0,PPMT('Assumptions (MSW)'!$V$6,Model!AD$1,'Assumptions (MSW)'!$V$9,'Assumptions (MSW)'!$V$4*Model!$AY$1785*AVERAGE('Assumptions (MSW)'!$AU$2:$AW$2)/10^9),0)</f>
        <v>0</v>
      </c>
      <c r="BG1890" s="105">
        <f>IF($AY$1785&gt;0,PPMT('Assumptions (MSW)'!$V$6,Model!AE$1,'Assumptions (MSW)'!$V$9,'Assumptions (MSW)'!$V$4*Model!$AY$1785*AVERAGE('Assumptions (MSW)'!$AU$2:$AW$2)/10^9),0)</f>
        <v>0</v>
      </c>
      <c r="BH1890" s="105">
        <f>IF($AY$1785&gt;0,PPMT('Assumptions (MSW)'!$V$6,Model!AF$1,'Assumptions (MSW)'!$V$9,'Assumptions (MSW)'!$V$4*Model!$AY$1785*AVERAGE('Assumptions (MSW)'!$AU$2:$AW$2)/10^9),0)</f>
        <v>0</v>
      </c>
      <c r="BI1890" s="105">
        <f>IF($AY$1785&gt;0,PPMT('Assumptions (MSW)'!$V$6,Model!AG$1,'Assumptions (MSW)'!$V$9,'Assumptions (MSW)'!$V$4*Model!$AY$1785*AVERAGE('Assumptions (MSW)'!$AU$2:$AW$2)/10^9),0)</f>
        <v>0</v>
      </c>
      <c r="BJ1890" s="105">
        <f>IF($AY$1785&gt;0,PPMT('Assumptions (MSW)'!$V$6,Model!AH$1,'Assumptions (MSW)'!$V$9,'Assumptions (MSW)'!$V$4*Model!$AY$1785*AVERAGE('Assumptions (MSW)'!$AU$2:$AW$2)/10^9),0)</f>
        <v>0</v>
      </c>
      <c r="BK1890" s="105">
        <f>IF($AY$1785&gt;0,PPMT('Assumptions (MSW)'!$V$6,Model!AI$1,'Assumptions (MSW)'!$V$9,'Assumptions (MSW)'!$V$4*Model!$AY$1785*AVERAGE('Assumptions (MSW)'!$AU$2:$AW$2)/10^9),0)</f>
        <v>0</v>
      </c>
      <c r="BL1890" s="105">
        <f>IF($AY$1785&gt;0,PPMT('Assumptions (MSW)'!$V$6,Model!AJ$1,'Assumptions (MSW)'!$V$9,'Assumptions (MSW)'!$V$4*Model!$AY$1785*AVERAGE('Assumptions (MSW)'!$AU$2:$AW$2)/10^9),0)</f>
        <v>0</v>
      </c>
      <c r="BM1890" s="105">
        <f>IF($AY$1785&gt;0,PPMT('Assumptions (MSW)'!$V$6,Model!AK$1,'Assumptions (MSW)'!$V$9,'Assumptions (MSW)'!$V$4*Model!$AY$1785*AVERAGE('Assumptions (MSW)'!$AU$2:$AW$2)/10^9),0)</f>
        <v>0</v>
      </c>
      <c r="BN1890" s="105"/>
      <c r="BO1890" s="105"/>
      <c r="BP1890" s="105"/>
    </row>
    <row r="1891" spans="1:68" ht="15.75" hidden="1" customHeight="1" outlineLevel="1">
      <c r="A1891" s="435"/>
      <c r="B1891" s="99"/>
      <c r="C1891" s="99"/>
      <c r="D1891" s="99"/>
      <c r="E1891" s="99"/>
      <c r="F1891" s="99"/>
      <c r="G1891" s="99"/>
      <c r="H1891" s="99"/>
      <c r="I1891" s="99"/>
      <c r="J1891" s="99"/>
      <c r="K1891" s="99"/>
      <c r="L1891" s="99"/>
      <c r="M1891" s="99"/>
      <c r="N1891" s="99"/>
      <c r="O1891" s="99"/>
      <c r="P1891" s="99"/>
      <c r="Q1891" s="99"/>
      <c r="R1891" s="99"/>
      <c r="S1891" s="99"/>
      <c r="T1891" s="99"/>
      <c r="U1891" s="99"/>
      <c r="V1891" s="99"/>
      <c r="W1891" s="105"/>
      <c r="X1891" s="105"/>
      <c r="Y1891" s="105"/>
      <c r="Z1891" s="105"/>
      <c r="AA1891" s="105"/>
      <c r="AB1891" s="105"/>
      <c r="AC1891" s="105"/>
      <c r="AD1891" s="105"/>
      <c r="AE1891" s="105"/>
      <c r="AF1891" s="105"/>
      <c r="AG1891" s="105"/>
      <c r="AH1891" s="105"/>
      <c r="AI1891" s="105"/>
      <c r="AJ1891" s="171"/>
      <c r="AK1891" s="105"/>
      <c r="AL1891" s="91"/>
      <c r="AM1891" s="91"/>
      <c r="AN1891" s="91"/>
      <c r="AO1891" s="105"/>
      <c r="AP1891" s="105"/>
      <c r="AQ1891" s="105"/>
      <c r="AR1891" s="105"/>
      <c r="AS1891" s="105"/>
      <c r="AT1891" s="105"/>
      <c r="AU1891" s="105"/>
      <c r="AV1891" s="105"/>
      <c r="AW1891" s="105"/>
      <c r="AX1891" s="105"/>
      <c r="AY1891" s="105"/>
      <c r="AZ1891" s="105">
        <f>IF($AZ$1785&gt;0,PPMT('Assumptions (MSW)'!$V$6,Model!W$1,'Assumptions (MSW)'!$V$9,'Assumptions (MSW)'!$V$4*Model!$AZ$1785*AVERAGE('Assumptions (MSW)'!$AV$2:$AX$2)/10^9),0)</f>
        <v>0</v>
      </c>
      <c r="BA1891" s="105">
        <f>IF($AZ$1785&gt;0,PPMT('Assumptions (MSW)'!$V$6,Model!X$1,'Assumptions (MSW)'!$V$9,'Assumptions (MSW)'!$V$4*Model!$AZ$1785*AVERAGE('Assumptions (MSW)'!$AV$2:$AX$2)/10^9),0)</f>
        <v>0</v>
      </c>
      <c r="BB1891" s="105">
        <f>IF($AZ$1785&gt;0,PPMT('Assumptions (MSW)'!$V$6,Model!Y$1,'Assumptions (MSW)'!$V$9,'Assumptions (MSW)'!$V$4*Model!$AZ$1785*AVERAGE('Assumptions (MSW)'!$AV$2:$AX$2)/10^9),0)</f>
        <v>0</v>
      </c>
      <c r="BC1891" s="105">
        <f>IF($AZ$1785&gt;0,PPMT('Assumptions (MSW)'!$V$6,Model!Z$1,'Assumptions (MSW)'!$V$9,'Assumptions (MSW)'!$V$4*Model!$AZ$1785*AVERAGE('Assumptions (MSW)'!$AV$2:$AX$2)/10^9),0)</f>
        <v>0</v>
      </c>
      <c r="BD1891" s="105">
        <f>IF($AZ$1785&gt;0,PPMT('Assumptions (MSW)'!$V$6,Model!AA$1,'Assumptions (MSW)'!$V$9,'Assumptions (MSW)'!$V$4*Model!$AZ$1785*AVERAGE('Assumptions (MSW)'!$AV$2:$AX$2)/10^9),0)</f>
        <v>0</v>
      </c>
      <c r="BE1891" s="105">
        <f>IF($AZ$1785&gt;0,PPMT('Assumptions (MSW)'!$V$6,Model!AB$1,'Assumptions (MSW)'!$V$9,'Assumptions (MSW)'!$V$4*Model!$AZ$1785*AVERAGE('Assumptions (MSW)'!$AV$2:$AX$2)/10^9),0)</f>
        <v>0</v>
      </c>
      <c r="BF1891" s="105">
        <f>IF($AZ$1785&gt;0,PPMT('Assumptions (MSW)'!$V$6,Model!AC$1,'Assumptions (MSW)'!$V$9,'Assumptions (MSW)'!$V$4*Model!$AZ$1785*AVERAGE('Assumptions (MSW)'!$AV$2:$AX$2)/10^9),0)</f>
        <v>0</v>
      </c>
      <c r="BG1891" s="105">
        <f>IF($AZ$1785&gt;0,PPMT('Assumptions (MSW)'!$V$6,Model!AD$1,'Assumptions (MSW)'!$V$9,'Assumptions (MSW)'!$V$4*Model!$AZ$1785*AVERAGE('Assumptions (MSW)'!$AV$2:$AX$2)/10^9),0)</f>
        <v>0</v>
      </c>
      <c r="BH1891" s="105">
        <f>IF($AZ$1785&gt;0,PPMT('Assumptions (MSW)'!$V$6,Model!AE$1,'Assumptions (MSW)'!$V$9,'Assumptions (MSW)'!$V$4*Model!$AZ$1785*AVERAGE('Assumptions (MSW)'!$AV$2:$AX$2)/10^9),0)</f>
        <v>0</v>
      </c>
      <c r="BI1891" s="105">
        <f>IF($AZ$1785&gt;0,PPMT('Assumptions (MSW)'!$V$6,Model!AF$1,'Assumptions (MSW)'!$V$9,'Assumptions (MSW)'!$V$4*Model!$AZ$1785*AVERAGE('Assumptions (MSW)'!$AV$2:$AX$2)/10^9),0)</f>
        <v>0</v>
      </c>
      <c r="BJ1891" s="105">
        <f>IF($AZ$1785&gt;0,PPMT('Assumptions (MSW)'!$V$6,Model!AG$1,'Assumptions (MSW)'!$V$9,'Assumptions (MSW)'!$V$4*Model!$AZ$1785*AVERAGE('Assumptions (MSW)'!$AV$2:$AX$2)/10^9),0)</f>
        <v>0</v>
      </c>
      <c r="BK1891" s="105">
        <f>IF($AZ$1785&gt;0,PPMT('Assumptions (MSW)'!$V$6,Model!AH$1,'Assumptions (MSW)'!$V$9,'Assumptions (MSW)'!$V$4*Model!$AZ$1785*AVERAGE('Assumptions (MSW)'!$AV$2:$AX$2)/10^9),0)</f>
        <v>0</v>
      </c>
      <c r="BL1891" s="105">
        <f>IF($AZ$1785&gt;0,PPMT('Assumptions (MSW)'!$V$6,Model!AI$1,'Assumptions (MSW)'!$V$9,'Assumptions (MSW)'!$V$4*Model!$AZ$1785*AVERAGE('Assumptions (MSW)'!$AV$2:$AX$2)/10^9),0)</f>
        <v>0</v>
      </c>
      <c r="BM1891" s="105">
        <f>IF($AZ$1785&gt;0,PPMT('Assumptions (MSW)'!$V$6,Model!AJ$1,'Assumptions (MSW)'!$V$9,'Assumptions (MSW)'!$V$4*Model!$AZ$1785*AVERAGE('Assumptions (MSW)'!$AV$2:$AX$2)/10^9),0)</f>
        <v>0</v>
      </c>
      <c r="BN1891" s="105">
        <f>IF($AZ$1785&gt;0,PPMT('Assumptions (MSW)'!$V$6,Model!AK$1,'Assumptions (MSW)'!$V$9,'Assumptions (MSW)'!$V$4*Model!$AZ$1785*AVERAGE('Assumptions (MSW)'!$AV$2:$AX$2)/10^9),0)</f>
        <v>0</v>
      </c>
      <c r="BO1891" s="105"/>
      <c r="BP1891" s="105"/>
    </row>
    <row r="1892" spans="1:68" ht="15.75" hidden="1" customHeight="1" outlineLevel="1">
      <c r="A1892" s="435"/>
      <c r="B1892" s="99"/>
      <c r="C1892" s="99"/>
      <c r="D1892" s="99"/>
      <c r="E1892" s="99"/>
      <c r="F1892" s="99"/>
      <c r="G1892" s="99"/>
      <c r="H1892" s="99"/>
      <c r="I1892" s="99"/>
      <c r="J1892" s="99"/>
      <c r="K1892" s="99"/>
      <c r="L1892" s="99"/>
      <c r="M1892" s="99"/>
      <c r="N1892" s="99"/>
      <c r="O1892" s="99"/>
      <c r="P1892" s="99"/>
      <c r="Q1892" s="99"/>
      <c r="R1892" s="99"/>
      <c r="S1892" s="99"/>
      <c r="T1892" s="99"/>
      <c r="U1892" s="99"/>
      <c r="V1892" s="99"/>
      <c r="W1892" s="105"/>
      <c r="X1892" s="105"/>
      <c r="Y1892" s="105"/>
      <c r="Z1892" s="105"/>
      <c r="AA1892" s="105"/>
      <c r="AB1892" s="105"/>
      <c r="AC1892" s="105"/>
      <c r="AD1892" s="105"/>
      <c r="AE1892" s="105"/>
      <c r="AF1892" s="105"/>
      <c r="AG1892" s="105"/>
      <c r="AH1892" s="105"/>
      <c r="AI1892" s="105"/>
      <c r="AJ1892" s="171"/>
      <c r="AK1892" s="105"/>
      <c r="AL1892" s="91"/>
      <c r="AM1892" s="91"/>
      <c r="AN1892" s="91"/>
      <c r="AO1892" s="105"/>
      <c r="AP1892" s="105"/>
      <c r="AQ1892" s="105"/>
      <c r="AR1892" s="105"/>
      <c r="AS1892" s="105"/>
      <c r="AT1892" s="105"/>
      <c r="AU1892" s="105"/>
      <c r="AV1892" s="105"/>
      <c r="AW1892" s="105"/>
      <c r="AX1892" s="105"/>
      <c r="AY1892" s="105"/>
      <c r="AZ1892" s="105"/>
      <c r="BA1892" s="105">
        <f>IF($BA$1785&gt;0,PPMT('Assumptions (MSW)'!$V$6,Model!W$1,'Assumptions (MSW)'!$V$9,'Assumptions (MSW)'!$V$4*Model!$BA$1785*AVERAGE('Assumptions (MSW)'!$AW$2:$AY$2)/10^9),0)</f>
        <v>0</v>
      </c>
      <c r="BB1892" s="105">
        <f>IF($BA$1785&gt;0,PPMT('Assumptions (MSW)'!$V$6,Model!X$1,'Assumptions (MSW)'!$V$9,'Assumptions (MSW)'!$V$4*Model!$BA$1785*AVERAGE('Assumptions (MSW)'!$AW$2:$AY$2)/10^9),0)</f>
        <v>0</v>
      </c>
      <c r="BC1892" s="105">
        <f>IF($BA$1785&gt;0,PPMT('Assumptions (MSW)'!$V$6,Model!Y$1,'Assumptions (MSW)'!$V$9,'Assumptions (MSW)'!$V$4*Model!$BA$1785*AVERAGE('Assumptions (MSW)'!$AW$2:$AY$2)/10^9),0)</f>
        <v>0</v>
      </c>
      <c r="BD1892" s="105">
        <f>IF($BA$1785&gt;0,PPMT('Assumptions (MSW)'!$V$6,Model!Z$1,'Assumptions (MSW)'!$V$9,'Assumptions (MSW)'!$V$4*Model!$BA$1785*AVERAGE('Assumptions (MSW)'!$AW$2:$AY$2)/10^9),0)</f>
        <v>0</v>
      </c>
      <c r="BE1892" s="105">
        <f>IF($BA$1785&gt;0,PPMT('Assumptions (MSW)'!$V$6,Model!AA$1,'Assumptions (MSW)'!$V$9,'Assumptions (MSW)'!$V$4*Model!$BA$1785*AVERAGE('Assumptions (MSW)'!$AW$2:$AY$2)/10^9),0)</f>
        <v>0</v>
      </c>
      <c r="BF1892" s="105">
        <f>IF($BA$1785&gt;0,PPMT('Assumptions (MSW)'!$V$6,Model!AB$1,'Assumptions (MSW)'!$V$9,'Assumptions (MSW)'!$V$4*Model!$BA$1785*AVERAGE('Assumptions (MSW)'!$AW$2:$AY$2)/10^9),0)</f>
        <v>0</v>
      </c>
      <c r="BG1892" s="105">
        <f>IF($BA$1785&gt;0,PPMT('Assumptions (MSW)'!$V$6,Model!AC$1,'Assumptions (MSW)'!$V$9,'Assumptions (MSW)'!$V$4*Model!$BA$1785*AVERAGE('Assumptions (MSW)'!$AW$2:$AY$2)/10^9),0)</f>
        <v>0</v>
      </c>
      <c r="BH1892" s="105">
        <f>IF($BA$1785&gt;0,PPMT('Assumptions (MSW)'!$V$6,Model!AD$1,'Assumptions (MSW)'!$V$9,'Assumptions (MSW)'!$V$4*Model!$BA$1785*AVERAGE('Assumptions (MSW)'!$AW$2:$AY$2)/10^9),0)</f>
        <v>0</v>
      </c>
      <c r="BI1892" s="105">
        <f>IF($BA$1785&gt;0,PPMT('Assumptions (MSW)'!$V$6,Model!AE$1,'Assumptions (MSW)'!$V$9,'Assumptions (MSW)'!$V$4*Model!$BA$1785*AVERAGE('Assumptions (MSW)'!$AW$2:$AY$2)/10^9),0)</f>
        <v>0</v>
      </c>
      <c r="BJ1892" s="105">
        <f>IF($BA$1785&gt;0,PPMT('Assumptions (MSW)'!$V$6,Model!AF$1,'Assumptions (MSW)'!$V$9,'Assumptions (MSW)'!$V$4*Model!$BA$1785*AVERAGE('Assumptions (MSW)'!$AW$2:$AY$2)/10^9),0)</f>
        <v>0</v>
      </c>
      <c r="BK1892" s="105">
        <f>IF($BA$1785&gt;0,PPMT('Assumptions (MSW)'!$V$6,Model!AG$1,'Assumptions (MSW)'!$V$9,'Assumptions (MSW)'!$V$4*Model!$BA$1785*AVERAGE('Assumptions (MSW)'!$AW$2:$AY$2)/10^9),0)</f>
        <v>0</v>
      </c>
      <c r="BL1892" s="105">
        <f>IF($BA$1785&gt;0,PPMT('Assumptions (MSW)'!$V$6,Model!AH$1,'Assumptions (MSW)'!$V$9,'Assumptions (MSW)'!$V$4*Model!$BA$1785*AVERAGE('Assumptions (MSW)'!$AW$2:$AY$2)/10^9),0)</f>
        <v>0</v>
      </c>
      <c r="BM1892" s="105">
        <f>IF($BA$1785&gt;0,PPMT('Assumptions (MSW)'!$V$6,Model!AI$1,'Assumptions (MSW)'!$V$9,'Assumptions (MSW)'!$V$4*Model!$BA$1785*AVERAGE('Assumptions (MSW)'!$AW$2:$AY$2)/10^9),0)</f>
        <v>0</v>
      </c>
      <c r="BN1892" s="105">
        <f>IF($BA$1785&gt;0,PPMT('Assumptions (MSW)'!$V$6,Model!AJ$1,'Assumptions (MSW)'!$V$9,'Assumptions (MSW)'!$V$4*Model!$BA$1785*AVERAGE('Assumptions (MSW)'!$AW$2:$AY$2)/10^9),0)</f>
        <v>0</v>
      </c>
      <c r="BO1892" s="105">
        <f>IF($BA$1785&gt;0,PPMT('Assumptions (MSW)'!$V$6,Model!AK$1,'Assumptions (MSW)'!$V$9,'Assumptions (MSW)'!$V$4*Model!$BA$1785*AVERAGE('Assumptions (MSW)'!$AW$2:$AY$2)/10^9),0)</f>
        <v>0</v>
      </c>
      <c r="BP1892" s="105"/>
    </row>
    <row r="1893" spans="1:68" ht="15.75" customHeight="1" collapsed="1">
      <c r="A1893" s="437" t="s">
        <v>709</v>
      </c>
      <c r="B1893" s="99" t="s">
        <v>201</v>
      </c>
      <c r="C1893" s="91">
        <f t="array" ref="C1893">SUM(IF(ISERROR(C1894:C1944),"",C1894:C1944))</f>
        <v>-4.1246522027548792E-3</v>
      </c>
      <c r="D1893" s="91">
        <f t="array" ref="D1893">SUM(IF(ISERROR(D1894:D1944),"",D1894:D1944))</f>
        <v>-1.9204508099981941E-2</v>
      </c>
      <c r="E1893" s="91">
        <f t="array" ref="E1893">SUM(IF(ISERROR(E1894:E1944),"",E1894:E1944))</f>
        <v>-2.2428164711854295E-2</v>
      </c>
      <c r="F1893" s="91">
        <f t="array" ref="F1893">SUM(IF(ISERROR(F1894:F1944),"",F1894:F1944))</f>
        <v>-3.5339950266409195E-2</v>
      </c>
      <c r="G1893" s="91">
        <f t="array" ref="G1893">SUM(IF(ISERROR(G1894:G1944),"",G1894:G1944))</f>
        <v>-4.0625223990961384E-2</v>
      </c>
      <c r="H1893" s="91">
        <f t="array" ref="H1893">SUM(IF(ISERROR(H1894:H1944),"",H1894:H1944))</f>
        <v>-4.6177417831205991E-2</v>
      </c>
      <c r="I1893" s="91">
        <f t="array" ref="I1893">SUM(IF(ISERROR(I1894:I1944),"",I1894:I1944))</f>
        <v>-6.5835962591132793E-2</v>
      </c>
      <c r="J1893" s="91">
        <f t="array" ref="J1893">SUM(IF(ISERROR(J1894:J1944),"",J1894:J1944))</f>
        <v>-8.5972506256506875E-2</v>
      </c>
      <c r="K1893" s="91">
        <f t="array" ref="K1893">SUM(IF(ISERROR(K1894:K1944),"",K1894:K1944))</f>
        <v>-0.10548955892607233</v>
      </c>
      <c r="L1893" s="91">
        <f t="array" ref="L1893">SUM(IF(ISERROR(L1894:L1944),"",L1894:L1944))</f>
        <v>-0.12417440547162806</v>
      </c>
      <c r="M1893" s="91">
        <f t="array" ref="M1893">SUM(IF(ISERROR(M1894:M1944),"",M1894:M1944))</f>
        <v>-0.14394919340949008</v>
      </c>
      <c r="N1893" s="91">
        <f t="array" ref="N1893">SUM(IF(ISERROR(N1894:N1944),"",N1894:N1944))</f>
        <v>-0.16272863855899658</v>
      </c>
      <c r="O1893" s="91">
        <f t="array" ref="O1893">SUM(IF(ISERROR(O1894:O1944),"",O1894:O1944))</f>
        <v>-0.18642456222129833</v>
      </c>
      <c r="P1893" s="91">
        <f t="array" ref="P1893">SUM(IF(ISERROR(P1894:P1944),"",P1894:P1944))</f>
        <v>-0.20156641197147193</v>
      </c>
      <c r="Q1893" s="91">
        <f t="array" ref="Q1893">SUM(IF(ISERROR(Q1894:Q1944),"",Q1894:Q1944))</f>
        <v>-0.2042512043200948</v>
      </c>
      <c r="R1893" s="91">
        <f t="array" ref="R1893">SUM(IF(ISERROR(R1894:R1944),"",R1894:R1944))</f>
        <v>-0.20837191101298819</v>
      </c>
      <c r="S1893" s="91">
        <f t="array" ref="S1893">SUM(IF(ISERROR(S1894:S1944),"",S1894:S1944))</f>
        <v>-0.20735179157513761</v>
      </c>
      <c r="T1893" s="91">
        <f t="array" ref="T1893">SUM(IF(ISERROR(T1894:T1944),"",T1894:T1944))</f>
        <v>-0.19490433823960207</v>
      </c>
      <c r="U1893" s="91">
        <f t="array" ref="U1893">SUM(IF(ISERROR(U1894:U1944),"",U1894:U1944))</f>
        <v>-0.17484433448229009</v>
      </c>
      <c r="V1893" s="91">
        <f t="array" ref="V1893">SUM(IF(ISERROR(V1894:V1944),"",V1894:V1944))</f>
        <v>-0.15584176727009211</v>
      </c>
      <c r="W1893" s="91">
        <f t="array" ref="W1893">SUM(IF(ISERROR(W1894:W1944),"",W1894:W1944))</f>
        <v>-0.13543335466591136</v>
      </c>
      <c r="X1893" s="91">
        <f t="array" ref="X1893">SUM(IF(ISERROR(X1894:X1944),"",X1894:X1944))</f>
        <v>-0.11480058088318389</v>
      </c>
      <c r="Y1893" s="91">
        <f t="array" ref="Y1893">SUM(IF(ISERROR(Y1894:Y1944),"",Y1894:Y1944))</f>
        <v>-9.531454848207209E-2</v>
      </c>
      <c r="Z1893" s="91">
        <f t="array" ref="Z1893">SUM(IF(ISERROR(Z1894:Z1944),"",Z1894:Z1944))</f>
        <v>-7.7188008225031524E-2</v>
      </c>
      <c r="AA1893" s="91">
        <f t="array" ref="AA1893">SUM(IF(ISERROR(AA1894:AA1944),"",AA1894:AA1944))</f>
        <v>-6.0552702921801718E-2</v>
      </c>
      <c r="AB1893" s="91">
        <f t="array" ref="AB1893">SUM(IF(ISERROR(AB1894:AB1944),"",AB1894:AB1944))</f>
        <v>-4.5535633922683394E-2</v>
      </c>
      <c r="AC1893" s="91">
        <f t="array" ref="AC1893">SUM(IF(ISERROR(AC1894:AC1944),"",AC1894:AC1944))</f>
        <v>-3.2460967709316738E-2</v>
      </c>
      <c r="AD1893" s="91">
        <f t="array" ref="AD1893">SUM(IF(ISERROR(AD1894:AD1944),"",AD1894:AD1944))</f>
        <v>-2.14892688259169E-2</v>
      </c>
      <c r="AE1893" s="91">
        <f t="array" ref="AE1893">SUM(IF(ISERROR(AE1894:AE1944),"",AE1894:AE1944))</f>
        <v>-1.335965084503064E-2</v>
      </c>
      <c r="AF1893" s="91">
        <f t="array" ref="AF1893">SUM(IF(ISERROR(AF1894:AF1944),"",AF1894:AF1944))</f>
        <v>-7.6088166341457854E-3</v>
      </c>
      <c r="AG1893" s="91">
        <f t="array" ref="AG1893">SUM(IF(ISERROR(AG1894:AG1944),"",AG1894:AG1944))</f>
        <v>-3.3635831000267953E-3</v>
      </c>
      <c r="AH1893" s="91">
        <f t="array" ref="AH1893">SUM(IF(ISERROR(AH1894:AH1944),"",AH1894:AH1944))</f>
        <v>-9.8788481525810632E-4</v>
      </c>
      <c r="AI1893" s="91">
        <f t="array" ref="AI1893">SUM(IF(ISERROR(AI1894:AI1944),"",AI1894:AI1944))</f>
        <v>-2.2421783437441358E-4</v>
      </c>
      <c r="AJ1893" s="91">
        <f t="array" ref="AJ1893">SUM(IF(ISERROR(AJ1894:AJ1944),"",AJ1894:AJ1944))</f>
        <v>-9.7670318600832408E-5</v>
      </c>
      <c r="AK1893" s="91">
        <f t="array" ref="AK1893">SUM(IF(ISERROR(AK1894:AK1944),"",AK1894:AK1944))</f>
        <v>0</v>
      </c>
      <c r="AL1893" s="91">
        <f t="array" ref="AL1893">SUM(IF(ISERROR(AL1894:AL1944),"",AL1894:AL1944))</f>
        <v>0</v>
      </c>
      <c r="AM1893" s="91">
        <f t="array" ref="AM1893">SUM(IF(ISERROR(AM1894:AM1944),"",AM1894:AM1944))</f>
        <v>0</v>
      </c>
      <c r="AN1893" s="91">
        <f t="array" ref="AN1893">SUM(IF(ISERROR(AN1894:AN1944),"",AN1894:AN1944))</f>
        <v>0</v>
      </c>
      <c r="AO1893" s="91">
        <f t="array" ref="AO1893">SUM(IF(ISERROR(AO1894:AO1944),"",AO1894:AO1944))</f>
        <v>0</v>
      </c>
      <c r="AP1893" s="91">
        <f t="array" ref="AP1893">SUM(IF(ISERROR(AP1894:AP1944),"",AP1894:AP1944))</f>
        <v>0</v>
      </c>
      <c r="AQ1893" s="91">
        <f t="array" ref="AQ1893">SUM(IF(ISERROR(AQ1894:AQ1944),"",AQ1894:AQ1944))</f>
        <v>0</v>
      </c>
      <c r="AR1893" s="91">
        <f t="array" ref="AR1893">SUM(IF(ISERROR(AR1894:AR1944),"",AR1894:AR1944))</f>
        <v>0</v>
      </c>
      <c r="AS1893" s="91">
        <f t="array" ref="AS1893">SUM(IF(ISERROR(AS1894:AS1944),"",AS1894:AS1944))</f>
        <v>0</v>
      </c>
      <c r="AT1893" s="91">
        <f t="array" ref="AT1893">SUM(IF(ISERROR(AT1894:AT1944),"",AT1894:AT1944))</f>
        <v>0</v>
      </c>
      <c r="AU1893" s="91">
        <f t="array" ref="AU1893">SUM(IF(ISERROR(AU1894:AU1944),"",AU1894:AU1944))</f>
        <v>0</v>
      </c>
      <c r="AV1893" s="91">
        <f t="array" ref="AV1893">SUM(IF(ISERROR(AV1894:AV1944),"",AV1894:AV1944))</f>
        <v>0</v>
      </c>
      <c r="AW1893" s="91">
        <f t="array" ref="AW1893">SUM(IF(ISERROR(AW1894:AW1944),"",AW1894:AW1944))</f>
        <v>0</v>
      </c>
      <c r="AX1893" s="91">
        <f t="array" ref="AX1893">SUM(IF(ISERROR(AX1894:AX1944),"",AX1894:AX1944))</f>
        <v>0</v>
      </c>
      <c r="AY1893" s="91">
        <f t="array" ref="AY1893">SUM(IF(ISERROR(AY1894:AY1944),"",AY1894:AY1944))</f>
        <v>0</v>
      </c>
      <c r="AZ1893" s="91">
        <f t="array" ref="AZ1893">SUM(IF(ISERROR(AZ1894:AZ1944),"",AZ1894:AZ1944))</f>
        <v>0</v>
      </c>
      <c r="BA1893" s="91">
        <f t="array" ref="BA1893">SUM(IF(ISERROR(BA1894:BA1944),"",BA1894:BA1944))</f>
        <v>0</v>
      </c>
      <c r="BB1893" s="91">
        <f t="array" ref="BB1893">SUM(IF(ISERROR(BB1894:BB1944),"",BB1894:BB1944))</f>
        <v>0</v>
      </c>
      <c r="BC1893" s="91">
        <f t="array" ref="BC1893">SUM(IF(ISERROR(BC1894:BC1944),"",BC1894:BC1944))</f>
        <v>0</v>
      </c>
      <c r="BD1893" s="91">
        <f t="array" ref="BD1893">SUM(IF(ISERROR(BD1894:BD1944),"",BD1894:BD1944))</f>
        <v>0</v>
      </c>
      <c r="BE1893" s="91">
        <f t="array" ref="BE1893">SUM(IF(ISERROR(BE1894:BE1944),"",BE1894:BE1944))</f>
        <v>0</v>
      </c>
      <c r="BF1893" s="91">
        <f t="array" ref="BF1893">SUM(IF(ISERROR(BF1894:BF1944),"",BF1894:BF1944))</f>
        <v>0</v>
      </c>
      <c r="BG1893" s="91">
        <f t="array" ref="BG1893">SUM(IF(ISERROR(BG1894:BG1944),"",BG1894:BG1944))</f>
        <v>0</v>
      </c>
      <c r="BH1893" s="91">
        <f t="array" ref="BH1893">SUM(IF(ISERROR(BH1894:BH1944),"",BH1894:BH1944))</f>
        <v>0</v>
      </c>
      <c r="BI1893" s="91">
        <f t="array" ref="BI1893">SUM(IF(ISERROR(BI1894:BI1944),"",BI1894:BI1944))</f>
        <v>0</v>
      </c>
      <c r="BJ1893" s="91">
        <f t="array" ref="BJ1893">SUM(IF(ISERROR(BJ1894:BJ1944),"",BJ1894:BJ1944))</f>
        <v>0</v>
      </c>
      <c r="BK1893" s="91">
        <f t="array" ref="BK1893">SUM(IF(ISERROR(BK1894:BK1944),"",BK1894:BK1944))</f>
        <v>0</v>
      </c>
      <c r="BL1893" s="91">
        <f t="array" ref="BL1893">SUM(IF(ISERROR(BL1894:BL1944),"",BL1894:BL1944))</f>
        <v>0</v>
      </c>
      <c r="BM1893" s="91">
        <f t="array" ref="BM1893">SUM(IF(ISERROR(BM1894:BM1944),"",BM1894:BM1944))</f>
        <v>0</v>
      </c>
      <c r="BN1893" s="91">
        <f t="array" ref="BN1893">SUM(IF(ISERROR(BN1894:BN1944),"",BN1894:BN1944))</f>
        <v>0</v>
      </c>
      <c r="BO1893" s="91">
        <f t="array" ref="BO1893">SUM(IF(ISERROR(BO1894:BO1944),"",BO1894:BO1944))</f>
        <v>0</v>
      </c>
    </row>
    <row r="1894" spans="1:68" ht="15.75" hidden="1" customHeight="1" outlineLevel="1">
      <c r="A1894" s="435"/>
      <c r="B1894" s="99"/>
      <c r="C1894" s="91">
        <f>IF($C$1785&gt;0,IPMT('Assumptions (MSW)'!$V$6,Model!W$1,'Assumptions (MSW)'!$V$9,'Assumptions (MSW)'!$V$4*Model!$C$1785*'Assumptions (MSW)'!$B$2/10^9),0)</f>
        <v>-4.1246522027548792E-3</v>
      </c>
      <c r="D1894" s="91">
        <f>IF($C$1785&gt;0,IPMT('Assumptions (MSW)'!$V$6,Model!X$1,'Assumptions (MSW)'!$V$9,'Assumptions (MSW)'!$V$4*Model!$C$1785*'Assumptions (MSW)'!$B$2/10^9),0)</f>
        <v>-3.9298814466905019E-3</v>
      </c>
      <c r="E1894" s="91">
        <f>IF($C$1785&gt;0,IPMT('Assumptions (MSW)'!$V$6,Model!Y$1,'Assumptions (MSW)'!$V$9,'Assumptions (MSW)'!$V$4*Model!$C$1785*'Assumptions (MSW)'!$B$2/10^9),0)</f>
        <v>-3.7258590797130662E-3</v>
      </c>
      <c r="F1894" s="91">
        <f>IF($C$1785&gt;0,IPMT('Assumptions (MSW)'!$V$6,Model!Z$1,'Assumptions (MSW)'!$V$9,'Assumptions (MSW)'!$V$4*Model!$C$1785*'Assumptions (MSW)'!$B$2/10^9),0)</f>
        <v>-3.5121456503042041E-3</v>
      </c>
      <c r="G1894" s="91">
        <f>IF($C$1785&gt;0,IPMT('Assumptions (MSW)'!$V$6,Model!AA$1,'Assumptions (MSW)'!$V$9,'Assumptions (MSW)'!$V$4*Model!$C$1785*'Assumptions (MSW)'!$B$2/10^9),0)</f>
        <v>-3.28828083299842E-3</v>
      </c>
      <c r="H1894" s="91">
        <f>IF($C$1785&gt;0,IPMT('Assumptions (MSW)'!$V$6,Model!AB$1,'Assumptions (MSW)'!$V$9,'Assumptions (MSW)'!$V$4*Model!$C$1785*'Assumptions (MSW)'!$B$2/10^9),0)</f>
        <v>-3.0537824368706118E-3</v>
      </c>
      <c r="I1894" s="91">
        <f>IF($C$1785&gt;0,IPMT('Assumptions (MSW)'!$V$6,Model!AC$1,'Assumptions (MSW)'!$V$9,'Assumptions (MSW)'!$V$4*Model!$C$1785*'Assumptions (MSW)'!$B$2/10^9),0)</f>
        <v>-2.8081453669267322E-3</v>
      </c>
      <c r="J1894" s="91">
        <f>IF($C$1785&gt;0,IPMT('Assumptions (MSW)'!$V$6,Model!AD$1,'Assumptions (MSW)'!$V$9,'Assumptions (MSW)'!$V$4*Model!$C$1785*'Assumptions (MSW)'!$B$2/10^9),0)</f>
        <v>-2.5508405361605183E-3</v>
      </c>
      <c r="K1894" s="91">
        <f>IF($C$1785&gt;0,IPMT('Assumptions (MSW)'!$V$6,Model!AE$1,'Assumptions (MSW)'!$V$9,'Assumptions (MSW)'!$V$4*Model!$C$1785*'Assumptions (MSW)'!$B$2/10^9),0)</f>
        <v>-2.2813137259329098E-3</v>
      </c>
      <c r="L1894" s="91">
        <f>IF($C$1785&gt;0,IPMT('Assumptions (MSW)'!$V$6,Model!AF$1,'Assumptions (MSW)'!$V$9,'Assumptions (MSW)'!$V$4*Model!$C$1785*'Assumptions (MSW)'!$B$2/10^9),0)</f>
        <v>-1.9989843922194892E-3</v>
      </c>
      <c r="M1894" s="91">
        <f>IF($C$1785&gt;0,IPMT('Assumptions (MSW)'!$V$6,Model!AG$1,'Assumptions (MSW)'!$V$9,'Assumptions (MSW)'!$V$4*Model!$C$1785*'Assumptions (MSW)'!$B$2/10^9),0)</f>
        <v>-1.7032444151546815E-3</v>
      </c>
      <c r="N1894" s="91">
        <f>IF($C$1785&gt;0,IPMT('Assumptions (MSW)'!$V$6,Model!AH$1,'Assumptions (MSW)'!$V$9,'Assumptions (MSW)'!$V$4*Model!$C$1785*'Assumptions (MSW)'!$B$2/10^9),0)</f>
        <v>-1.3934567891792956E-3</v>
      </c>
      <c r="O1894" s="91">
        <f>IF($C$1785&gt;0,IPMT('Assumptions (MSW)'!$V$6,Model!AI$1,'Assumptions (MSW)'!$V$9,'Assumptions (MSW)'!$V$4*Model!$C$1785*'Assumptions (MSW)'!$B$2/10^9),0)</f>
        <v>-1.0689542509700783E-3</v>
      </c>
      <c r="P1894" s="91">
        <f>IF($C$1785&gt;0,IPMT('Assumptions (MSW)'!$V$6,Model!AJ$1,'Assumptions (MSW)'!$V$9,'Assumptions (MSW)'!$V$4*Model!$C$1785*'Assumptions (MSW)'!$B$2/10^9),0)</f>
        <v>-7.2903784219592344E-4</v>
      </c>
      <c r="Q1894" s="91">
        <f>IF($C$1785&gt;0,IPMT('Assumptions (MSW)'!$V$6,Model!AK$1,'Assumptions (MSW)'!$V$9,'Assumptions (MSW)'!$V$4*Model!$C$1785*'Assumptions (MSW)'!$B$2/10^9),0)</f>
        <v>-3.7297540400499623E-4</v>
      </c>
      <c r="R1894" s="91"/>
      <c r="S1894" s="91"/>
      <c r="T1894" s="91"/>
      <c r="U1894" s="91"/>
      <c r="V1894" s="91"/>
      <c r="W1894" s="91"/>
      <c r="X1894" s="91"/>
      <c r="Y1894" s="91"/>
      <c r="Z1894" s="91"/>
      <c r="AA1894" s="91"/>
      <c r="AB1894" s="105"/>
      <c r="AC1894" s="105"/>
      <c r="AD1894" s="105"/>
      <c r="AE1894" s="105"/>
      <c r="AF1894" s="105"/>
      <c r="AG1894" s="105"/>
    </row>
    <row r="1895" spans="1:68" ht="15.75" hidden="1" customHeight="1" outlineLevel="1">
      <c r="A1895" s="435"/>
      <c r="B1895" s="99"/>
      <c r="C1895" s="105"/>
      <c r="D1895" s="91">
        <f>IF($D$1785&gt;0,IPMT('Assumptions (MSW)'!$V$6,Model!W$1,'Assumptions (MSW)'!$V$9,'Assumptions (MSW)'!$V$4*Model!$D$1785*'Assumptions (MSW)'!$B$2/10^9),0)</f>
        <v>-1.5274626653291441E-2</v>
      </c>
      <c r="E1895" s="91">
        <f>IF($D$1785&gt;0,IPMT('Assumptions (MSW)'!$V$6,Model!X$1,'Assumptions (MSW)'!$V$9,'Assumptions (MSW)'!$V$4*Model!$D$1785*'Assumptions (MSW)'!$B$2/10^9),0)</f>
        <v>-1.4553341455020517E-2</v>
      </c>
      <c r="F1895" s="91">
        <f>IF($D$1785&gt;0,IPMT('Assumptions (MSW)'!$V$6,Model!Y$1,'Assumptions (MSW)'!$V$9,'Assumptions (MSW)'!$V$4*Model!$D$1785*'Assumptions (MSW)'!$B$2/10^9),0)</f>
        <v>-1.3797795209831721E-2</v>
      </c>
      <c r="G1895" s="91">
        <f>IF($D$1785&gt;0,IPMT('Assumptions (MSW)'!$V$6,Model!Z$1,'Assumptions (MSW)'!$V$9,'Assumptions (MSW)'!$V$4*Model!$D$1785*'Assumptions (MSW)'!$B$2/10^9),0)</f>
        <v>-1.3006360517996461E-2</v>
      </c>
      <c r="H1895" s="91">
        <f>IF($D$1785&gt;0,IPMT('Assumptions (MSW)'!$V$6,Model!AA$1,'Assumptions (MSW)'!$V$9,'Assumptions (MSW)'!$V$4*Model!$D$1785*'Assumptions (MSW)'!$B$2/10^9),0)</f>
        <v>-1.2177332678299025E-2</v>
      </c>
      <c r="I1895" s="91">
        <f>IF($D$1785&gt;0,IPMT('Assumptions (MSW)'!$V$6,Model!AB$1,'Assumptions (MSW)'!$V$9,'Assumptions (MSW)'!$V$4*Model!$D$1785*'Assumptions (MSW)'!$B$2/10^9),0)</f>
        <v>-1.1308926016215963E-2</v>
      </c>
      <c r="J1895" s="91">
        <f>IF($D$1785&gt;0,IPMT('Assumptions (MSW)'!$V$6,Model!AC$1,'Assumptions (MSW)'!$V$9,'Assumptions (MSW)'!$V$4*Model!$D$1785*'Assumptions (MSW)'!$B$2/10^9),0)</f>
        <v>-1.0399270037683954E-2</v>
      </c>
      <c r="K1895" s="91">
        <f>IF($D$1785&gt;0,IPMT('Assumptions (MSW)'!$V$6,Model!AD$1,'Assumptions (MSW)'!$V$9,'Assumptions (MSW)'!$V$4*Model!$D$1785*'Assumptions (MSW)'!$B$2/10^9),0)</f>
        <v>-9.446405400171675E-3</v>
      </c>
      <c r="L1895" s="91">
        <f>IF($D$1785&gt;0,IPMT('Assumptions (MSW)'!$V$6,Model!AE$1,'Assumptions (MSW)'!$V$9,'Assumptions (MSW)'!$V$4*Model!$D$1785*'Assumptions (MSW)'!$B$2/10^9),0)</f>
        <v>-8.4482796923775645E-3</v>
      </c>
      <c r="M1895" s="91">
        <f>IF($D$1785&gt;0,IPMT('Assumptions (MSW)'!$V$6,Model!AF$1,'Assumptions (MSW)'!$V$9,'Assumptions (MSW)'!$V$4*Model!$D$1785*'Assumptions (MSW)'!$B$2/10^9),0)</f>
        <v>-7.4027430134632304E-3</v>
      </c>
      <c r="N1895" s="91">
        <f>IF($D$1785&gt;0,IPMT('Assumptions (MSW)'!$V$6,Model!AG$1,'Assumptions (MSW)'!$V$9,'Assumptions (MSW)'!$V$4*Model!$D$1785*'Assumptions (MSW)'!$B$2/10^9),0)</f>
        <v>-6.3075433423004671E-3</v>
      </c>
      <c r="O1895" s="91">
        <f>IF($D$1785&gt;0,IPMT('Assumptions (MSW)'!$V$6,Model!AH$1,'Assumptions (MSW)'!$V$9,'Assumptions (MSW)'!$V$4*Model!$D$1785*'Assumptions (MSW)'!$B$2/10^9),0)</f>
        <v>-5.1603216867574719E-3</v>
      </c>
      <c r="P1895" s="91">
        <f>IF($D$1785&gt;0,IPMT('Assumptions (MSW)'!$V$6,Model!AI$1,'Assumptions (MSW)'!$V$9,'Assumptions (MSW)'!$V$4*Model!$D$1785*'Assumptions (MSW)'!$B$2/10^9),0)</f>
        <v>-3.9586070025761843E-3</v>
      </c>
      <c r="Q1895" s="91">
        <f>IF($D$1785&gt;0,IPMT('Assumptions (MSW)'!$V$6,Model!AJ$1,'Assumptions (MSW)'!$V$9,'Assumptions (MSW)'!$V$4*Model!$D$1785*'Assumptions (MSW)'!$B$2/10^9),0)</f>
        <v>-2.6998108708962856E-3</v>
      </c>
      <c r="R1895" s="91">
        <f>IF($D$1785&gt;0,IPMT('Assumptions (MSW)'!$V$6,Model!AK$1,'Assumptions (MSW)'!$V$9,'Assumptions (MSW)'!$V$4*Model!$D$1785*'Assumptions (MSW)'!$B$2/10^9),0)</f>
        <v>-1.3812219229615917E-3</v>
      </c>
      <c r="S1895" s="91"/>
      <c r="T1895" s="91"/>
      <c r="U1895" s="91"/>
      <c r="V1895" s="91"/>
      <c r="W1895" s="91"/>
      <c r="X1895" s="91"/>
      <c r="Y1895" s="91"/>
      <c r="Z1895" s="91"/>
      <c r="AA1895" s="91"/>
      <c r="AB1895" s="91"/>
      <c r="AC1895" s="105"/>
      <c r="AD1895" s="105"/>
      <c r="AE1895" s="105"/>
      <c r="AF1895" s="105"/>
      <c r="AG1895" s="105"/>
    </row>
    <row r="1896" spans="1:68" ht="15.75" hidden="1" customHeight="1" outlineLevel="1">
      <c r="A1896" s="435"/>
      <c r="B1896" s="99"/>
      <c r="C1896" s="105"/>
      <c r="D1896" s="105"/>
      <c r="E1896" s="105">
        <f>IF($E$1785&gt;0,IPMT('Assumptions (MSW)'!$V$6,Model!W$1,'Assumptions (MSW)'!$V$9,'Assumptions (MSW)'!$V$4*Model!$E$1785*AVERAGE('Assumptions (MSW)'!$B$2:$C$2)/10^9),0)</f>
        <v>-4.1489641771207111E-3</v>
      </c>
      <c r="F1896" s="105">
        <f>IF($E$1785&gt;0,IPMT('Assumptions (MSW)'!$V$6,Model!X$1,'Assumptions (MSW)'!$V$9,'Assumptions (MSW)'!$V$4*Model!$E$1785*AVERAGE('Assumptions (MSW)'!$B$2:$C$2)/10^9),0)</f>
        <v>-3.9530453820470109E-3</v>
      </c>
      <c r="G1896" s="105">
        <f>IF($E$1785&gt;0,IPMT('Assumptions (MSW)'!$V$6,Model!Y$1,'Assumptions (MSW)'!$V$9,'Assumptions (MSW)'!$V$4*Model!$E$1785*AVERAGE('Assumptions (MSW)'!$B$2:$C$2)/10^9),0)</f>
        <v>-3.7478204442073101E-3</v>
      </c>
      <c r="H1896" s="105">
        <f>IF($E$1785&gt;0,IPMT('Assumptions (MSW)'!$V$6,Model!Z$1,'Assumptions (MSW)'!$V$9,'Assumptions (MSW)'!$V$4*Model!$E$1785*AVERAGE('Assumptions (MSW)'!$B$2:$C$2)/10^9),0)</f>
        <v>-3.5328473218202245E-3</v>
      </c>
      <c r="I1896" s="105">
        <f>IF($E$1785&gt;0,IPMT('Assumptions (MSW)'!$V$6,Model!AA$1,'Assumptions (MSW)'!$V$9,'Assumptions (MSW)'!$V$4*Model!$E$1785*AVERAGE('Assumptions (MSW)'!$B$2:$C$2)/10^9),0)</f>
        <v>-3.3076629761197517E-3</v>
      </c>
      <c r="J1896" s="105">
        <f>IF($E$1785&gt;0,IPMT('Assumptions (MSW)'!$V$6,Model!AB$1,'Assumptions (MSW)'!$V$9,'Assumptions (MSW)'!$V$4*Model!$E$1785*AVERAGE('Assumptions (MSW)'!$B$2:$C$2)/10^9),0)</f>
        <v>-3.0717823739985078E-3</v>
      </c>
      <c r="K1896" s="105">
        <f>IF($E$1785&gt;0,IPMT('Assumptions (MSW)'!$V$6,Model!AC$1,'Assumptions (MSW)'!$V$9,'Assumptions (MSW)'!$V$4*Model!$E$1785*AVERAGE('Assumptions (MSW)'!$B$2:$C$2)/10^9),0)</f>
        <v>-2.8246974432765033E-3</v>
      </c>
      <c r="L1896" s="105">
        <f>IF($E$1785&gt;0,IPMT('Assumptions (MSW)'!$V$6,Model!AD$1,'Assumptions (MSW)'!$V$9,'Assumptions (MSW)'!$V$4*Model!$E$1785*AVERAGE('Assumptions (MSW)'!$B$2:$C$2)/10^9),0)</f>
        <v>-2.5658759783452039E-3</v>
      </c>
      <c r="M1896" s="105">
        <f>IF($E$1785&gt;0,IPMT('Assumptions (MSW)'!$V$6,Model!AE$1,'Assumptions (MSW)'!$V$9,'Assumptions (MSW)'!$V$4*Model!$E$1785*AVERAGE('Assumptions (MSW)'!$B$2:$C$2)/10^9),0)</f>
        <v>-2.2947604938296684E-3</v>
      </c>
      <c r="N1896" s="91">
        <f>IF($E$1785&gt;0,IPMT('Assumptions (MSW)'!$V$6,Model!AF$1,'Assumptions (MSW)'!$V$9,'Assumptions (MSW)'!$V$4*Model!$E$1785*AVERAGE('Assumptions (MSW)'!$B$2:$C$2)/10^9),0)</f>
        <v>-2.0107670237996447E-3</v>
      </c>
      <c r="O1896" s="105">
        <f>IF($E$1785&gt;0,IPMT('Assumptions (MSW)'!$V$6,Model!AG$1,'Assumptions (MSW)'!$V$9,'Assumptions (MSW)'!$V$4*Model!$E$1785*AVERAGE('Assumptions (MSW)'!$B$2:$C$2)/10^9),0)</f>
        <v>-1.7132838639431947E-3</v>
      </c>
      <c r="P1896" s="105">
        <f>IF($E$1785&gt;0,IPMT('Assumptions (MSW)'!$V$6,Model!AH$1,'Assumptions (MSW)'!$V$9,'Assumptions (MSW)'!$V$4*Model!$E$1785*AVERAGE('Assumptions (MSW)'!$B$2:$C$2)/10^9),0)</f>
        <v>-1.4016702539935636E-3</v>
      </c>
      <c r="Q1896" s="105">
        <f>IF($E$1785&gt;0,IPMT('Assumptions (MSW)'!$V$6,Model!AI$1,'Assumptions (MSW)'!$V$9,'Assumptions (MSW)'!$V$4*Model!$E$1785*AVERAGE('Assumptions (MSW)'!$B$2:$C$2)/10^9),0)</f>
        <v>-1.0752549975713247E-3</v>
      </c>
      <c r="R1896" s="105">
        <f>IF($E$1785&gt;0,IPMT('Assumptions (MSW)'!$V$6,Model!AJ$1,'Assumptions (MSW)'!$V$9,'Assumptions (MSW)'!$V$4*Model!$E$1785*AVERAGE('Assumptions (MSW)'!$B$2:$C$2)/10^9),0)</f>
        <v>-7.3333501646902948E-4</v>
      </c>
      <c r="S1896" s="105">
        <f>IF($E$1785&gt;0,IPMT('Assumptions (MSW)'!$V$6,Model!AK$1,'Assumptions (MSW)'!$V$9,'Assumptions (MSW)'!$V$4*Model!$E$1785*AVERAGE('Assumptions (MSW)'!$B$2:$C$2)/10^9),0)</f>
        <v>-3.7517383626437526E-4</v>
      </c>
      <c r="T1896" s="105"/>
      <c r="U1896" s="105"/>
      <c r="V1896" s="105"/>
      <c r="W1896" s="105"/>
      <c r="X1896" s="105"/>
      <c r="Y1896" s="105"/>
      <c r="Z1896" s="105"/>
      <c r="AA1896" s="105"/>
      <c r="AB1896" s="105"/>
      <c r="AC1896" s="105"/>
      <c r="AD1896" s="105"/>
      <c r="AE1896" s="105"/>
      <c r="AF1896" s="105"/>
      <c r="AG1896" s="105"/>
    </row>
    <row r="1897" spans="1:68" ht="15.75" hidden="1" customHeight="1" outlineLevel="1">
      <c r="A1897" s="435"/>
      <c r="B1897" s="99"/>
      <c r="C1897" s="105"/>
      <c r="D1897" s="105"/>
      <c r="E1897" s="105"/>
      <c r="F1897" s="105">
        <f>IF($F$1785&gt;0,IPMT('Assumptions (MSW)'!$V$6,Model!W$1,'Assumptions (MSW)'!$V$9,'Assumptions (MSW)'!$V$4*Model!$F$1785*AVERAGE('Assumptions (MSW)'!$B$2:$D$2)/10^9),0)</f>
        <v>-1.4076964024226259E-2</v>
      </c>
      <c r="G1897" s="105">
        <f>IF($F$1785&gt;0,IPMT('Assumptions (MSW)'!$V$6,Model!X$1,'Assumptions (MSW)'!$V$9,'Assumptions (MSW)'!$V$4*Model!$F$1785*AVERAGE('Assumptions (MSW)'!$B$2:$D$2)/10^9),0)</f>
        <v>-1.3412233813941297E-2</v>
      </c>
      <c r="H1897" s="105">
        <f>IF($F$1785&gt;0,IPMT('Assumptions (MSW)'!$V$6,Model!Y$1,'Assumptions (MSW)'!$V$9,'Assumptions (MSW)'!$V$4*Model!$F$1785*AVERAGE('Assumptions (MSW)'!$B$2:$D$2)/10^9),0)</f>
        <v>-1.2715928918667796E-2</v>
      </c>
      <c r="I1897" s="105">
        <f>IF($F$1785&gt;0,IPMT('Assumptions (MSW)'!$V$6,Model!Z$1,'Assumptions (MSW)'!$V$9,'Assumptions (MSW)'!$V$4*Model!$F$1785*AVERAGE('Assumptions (MSW)'!$B$2:$D$2)/10^9),0)</f>
        <v>-1.1986549540868809E-2</v>
      </c>
      <c r="J1897" s="105">
        <f>IF($F$1785&gt;0,IPMT('Assumptions (MSW)'!$V$6,Model!AA$1,'Assumptions (MSW)'!$V$9,'Assumptions (MSW)'!$V$4*Model!$F$1785*AVERAGE('Assumptions (MSW)'!$B$2:$D$2)/10^9),0)</f>
        <v>-1.122252464262437E-2</v>
      </c>
      <c r="K1897" s="105">
        <f>IF($F$1785&gt;0,IPMT('Assumptions (MSW)'!$V$6,Model!AB$1,'Assumptions (MSW)'!$V$9,'Assumptions (MSW)'!$V$4*Model!$F$1785*AVERAGE('Assumptions (MSW)'!$B$2:$D$2)/10^9),0)</f>
        <v>-1.0422208561713317E-2</v>
      </c>
      <c r="L1897" s="105">
        <f>IF($F$1785&gt;0,IPMT('Assumptions (MSW)'!$V$6,Model!AC$1,'Assumptions (MSW)'!$V$9,'Assumptions (MSW)'!$V$4*Model!$F$1785*AVERAGE('Assumptions (MSW)'!$B$2:$D$2)/10^9),0)</f>
        <v>-9.5838774669589916E-3</v>
      </c>
      <c r="M1897" s="105">
        <f>IF($F$1785&gt;0,IPMT('Assumptions (MSW)'!$V$6,Model!AD$1,'Assumptions (MSW)'!$V$9,'Assumptions (MSW)'!$V$4*Model!$F$1785*AVERAGE('Assumptions (MSW)'!$B$2:$D$2)/10^9),0)</f>
        <v>-8.7057256452038358E-3</v>
      </c>
      <c r="N1897" s="91">
        <f>IF($F$1785&gt;0,IPMT('Assumptions (MSW)'!$V$6,Model!AE$1,'Assumptions (MSW)'!$V$9,'Assumptions (MSW)'!$V$4*Model!$F$1785*AVERAGE('Assumptions (MSW)'!$B$2:$D$2)/10^9),0)</f>
        <v>-7.7858616119153099E-3</v>
      </c>
      <c r="O1897" s="105">
        <f>IF($F$1785&gt;0,IPMT('Assumptions (MSW)'!$V$6,Model!AF$1,'Assumptions (MSW)'!$V$9,'Assumptions (MSW)'!$V$4*Model!$F$1785*AVERAGE('Assumptions (MSW)'!$B$2:$D$2)/10^9),0)</f>
        <v>-6.8223040370455771E-3</v>
      </c>
      <c r="P1897" s="105">
        <f>IF($F$1785&gt;0,IPMT('Assumptions (MSW)'!$V$6,Model!AG$1,'Assumptions (MSW)'!$V$9,'Assumptions (MSW)'!$V$4*Model!$F$1785*AVERAGE('Assumptions (MSW)'!$B$2:$D$2)/10^9),0)</f>
        <v>-5.8129774773695341E-3</v>
      </c>
      <c r="Q1897" s="105">
        <f>IF($F$1785&gt;0,IPMT('Assumptions (MSW)'!$V$6,Model!AH$1,'Assumptions (MSW)'!$V$9,'Assumptions (MSW)'!$V$4*Model!$F$1785*AVERAGE('Assumptions (MSW)'!$B$2:$D$2)/10^9),0)</f>
        <v>-4.7557079061088777E-3</v>
      </c>
      <c r="R1897" s="105">
        <f>IF($F$1785&gt;0,IPMT('Assumptions (MSW)'!$V$6,Model!AI$1,'Assumptions (MSW)'!$V$9,'Assumptions (MSW)'!$V$4*Model!$F$1785*AVERAGE('Assumptions (MSW)'!$B$2:$D$2)/10^9),0)</f>
        <v>-3.6482180302133405E-3</v>
      </c>
      <c r="S1897" s="105">
        <f>IF($F$1785&gt;0,IPMT('Assumptions (MSW)'!$V$6,Model!AJ$1,'Assumptions (MSW)'!$V$9,'Assumptions (MSW)'!$V$4*Model!$F$1785*AVERAGE('Assumptions (MSW)'!$B$2:$D$2)/10^9),0)</f>
        <v>-2.4881223852127651E-3</v>
      </c>
      <c r="T1897" s="105">
        <f>IF($F$1785&gt;0,IPMT('Assumptions (MSW)'!$V$6,Model!AK$1,'Assumptions (MSW)'!$V$9,'Assumptions (MSW)'!$V$4*Model!$F$1785*AVERAGE('Assumptions (MSW)'!$B$2:$D$2)/10^9),0)</f>
        <v>-1.2729221970746625E-3</v>
      </c>
      <c r="U1897" s="105"/>
      <c r="V1897" s="105"/>
      <c r="W1897" s="105"/>
      <c r="X1897" s="105"/>
      <c r="Y1897" s="105"/>
      <c r="Z1897" s="105"/>
      <c r="AA1897" s="105"/>
      <c r="AB1897" s="105"/>
      <c r="AC1897" s="105"/>
      <c r="AD1897" s="105"/>
      <c r="AE1897" s="105"/>
      <c r="AF1897" s="105"/>
      <c r="AG1897" s="105"/>
    </row>
    <row r="1898" spans="1:68" ht="15.75" hidden="1" customHeight="1" outlineLevel="1">
      <c r="A1898" s="435"/>
      <c r="B1898" s="99"/>
      <c r="C1898" s="105"/>
      <c r="D1898" s="105"/>
      <c r="E1898" s="105"/>
      <c r="F1898" s="105"/>
      <c r="G1898" s="105">
        <f>IF($G$1785&gt;0,IPMT('Assumptions (MSW)'!$V$6,Model!W$1,'Assumptions (MSW)'!$V$9,'Assumptions (MSW)'!$V$4*Model!$G$1785*AVERAGE('Assumptions (MSW)'!$C$2:$E$2)/10^9),0)</f>
        <v>-7.1705283818179E-3</v>
      </c>
      <c r="H1898" s="105">
        <f>IF($G$1785&gt;0,IPMT('Assumptions (MSW)'!$V$6,Model!X$1,'Assumptions (MSW)'!$V$9,'Assumptions (MSW)'!$V$4*Model!$G$1785*AVERAGE('Assumptions (MSW)'!$C$2:$E$2)/10^9),0)</f>
        <v>-6.8319278973031231E-3</v>
      </c>
      <c r="I1898" s="105">
        <f>IF($G$1785&gt;0,IPMT('Assumptions (MSW)'!$V$6,Model!Y$1,'Assumptions (MSW)'!$V$9,'Assumptions (MSW)'!$V$4*Model!$G$1785*AVERAGE('Assumptions (MSW)'!$C$2:$E$2)/10^9),0)</f>
        <v>-6.4772438897738914E-3</v>
      </c>
      <c r="J1898" s="105">
        <f>IF($G$1785&gt;0,IPMT('Assumptions (MSW)'!$V$6,Model!Z$1,'Assumptions (MSW)'!$V$9,'Assumptions (MSW)'!$V$4*Model!$G$1785*AVERAGE('Assumptions (MSW)'!$C$2:$E$2)/10^9),0)</f>
        <v>-6.1057123918870256E-3</v>
      </c>
      <c r="K1898" s="105">
        <f>IF($G$1785&gt;0,IPMT('Assumptions (MSW)'!$V$6,Model!AA$1,'Assumptions (MSW)'!$V$9,'Assumptions (MSW)'!$V$4*Model!$G$1785*AVERAGE('Assumptions (MSW)'!$C$2:$E$2)/10^9),0)</f>
        <v>-5.7165331478505315E-3</v>
      </c>
      <c r="L1898" s="105">
        <f>IF($G$1785&gt;0,IPMT('Assumptions (MSW)'!$V$6,Model!AB$1,'Assumptions (MSW)'!$V$9,'Assumptions (MSW)'!$V$4*Model!$G$1785*AVERAGE('Assumptions (MSW)'!$C$2:$E$2)/10^9),0)</f>
        <v>-5.3088678897223046E-3</v>
      </c>
      <c r="M1898" s="105">
        <f>IF($G$1785&gt;0,IPMT('Assumptions (MSW)'!$V$6,Model!AC$1,'Assumptions (MSW)'!$V$9,'Assumptions (MSW)'!$V$4*Model!$G$1785*AVERAGE('Assumptions (MSW)'!$C$2:$E$2)/10^9),0)</f>
        <v>-4.8818385318329868E-3</v>
      </c>
      <c r="N1898" s="105">
        <f>IF($G$1785&gt;0,IPMT('Assumptions (MSW)'!$V$6,Model!AD$1,'Assumptions (MSW)'!$V$9,'Assumptions (MSW)'!$V$4*Model!$G$1785*AVERAGE('Assumptions (MSW)'!$C$2:$E$2)/10^9),0)</f>
        <v>-4.4345252794439263E-3</v>
      </c>
      <c r="O1898" s="105">
        <f>IF($G$1785&gt;0,IPMT('Assumptions (MSW)'!$V$6,Model!AE$1,'Assumptions (MSW)'!$V$9,'Assumptions (MSW)'!$V$4*Model!$G$1785*AVERAGE('Assumptions (MSW)'!$C$2:$E$2)/10^9),0)</f>
        <v>-3.9659646475663857E-3</v>
      </c>
      <c r="P1898" s="105">
        <f>IF($G$1785&gt;0,IPMT('Assumptions (MSW)'!$V$6,Model!AF$1,'Assumptions (MSW)'!$V$9,'Assumptions (MSW)'!$V$4*Model!$G$1785*AVERAGE('Assumptions (MSW)'!$C$2:$E$2)/10^9),0)</f>
        <v>-3.4751473856746615E-3</v>
      </c>
      <c r="Q1898" s="105">
        <f>IF($G$1785&gt;0,IPMT('Assumptions (MSW)'!$V$6,Model!AG$1,'Assumptions (MSW)'!$V$9,'Assumptions (MSW)'!$V$4*Model!$G$1785*AVERAGE('Assumptions (MSW)'!$C$2:$E$2)/10^9),0)</f>
        <v>-2.9610163038430808E-3</v>
      </c>
      <c r="R1898" s="105">
        <f>IF($G$1785&gt;0,IPMT('Assumptions (MSW)'!$V$6,Model!AH$1,'Assumptions (MSW)'!$V$9,'Assumptions (MSW)'!$V$4*Model!$G$1785*AVERAGE('Assumptions (MSW)'!$C$2:$E$2)/10^9),0)</f>
        <v>-2.4224639956245001E-3</v>
      </c>
      <c r="S1898" s="105">
        <f>IF($G$1785&gt;0,IPMT('Assumptions (MSW)'!$V$6,Model!AI$1,'Assumptions (MSW)'!$V$9,'Assumptions (MSW)'!$V$4*Model!$G$1785*AVERAGE('Assumptions (MSW)'!$C$2:$E$2)/10^9),0)</f>
        <v>-1.8583304527655361E-3</v>
      </c>
      <c r="T1898" s="105">
        <f>IF($G$1785&gt;0,IPMT('Assumptions (MSW)'!$V$6,Model!AJ$1,'Assumptions (MSW)'!$V$9,'Assumptions (MSW)'!$V$4*Model!$G$1785*AVERAGE('Assumptions (MSW)'!$C$2:$E$2)/10^9),0)</f>
        <v>-1.2674005666207719E-3</v>
      </c>
      <c r="U1898" s="105">
        <f>IF($G$1785&gt;0,IPMT('Assumptions (MSW)'!$V$6,Model!AK$1,'Assumptions (MSW)'!$V$9,'Assumptions (MSW)'!$V$4*Model!$G$1785*AVERAGE('Assumptions (MSW)'!$C$2:$E$2)/10^9),0)</f>
        <v>-6.4840151088413106E-4</v>
      </c>
      <c r="V1898" s="105"/>
      <c r="W1898" s="105"/>
      <c r="X1898" s="105"/>
      <c r="Y1898" s="105"/>
      <c r="Z1898" s="105"/>
      <c r="AA1898" s="105"/>
      <c r="AB1898" s="105"/>
      <c r="AC1898" s="105"/>
      <c r="AD1898" s="105"/>
      <c r="AE1898" s="105"/>
      <c r="AF1898" s="105"/>
      <c r="AG1898" s="105"/>
    </row>
    <row r="1899" spans="1:68" ht="15.75" hidden="1" customHeight="1" outlineLevel="1">
      <c r="A1899" s="435"/>
      <c r="B1899" s="99"/>
      <c r="C1899" s="105"/>
      <c r="D1899" s="105"/>
      <c r="E1899" s="105"/>
      <c r="F1899" s="105"/>
      <c r="G1899" s="105"/>
      <c r="H1899" s="105">
        <f>IF($H$1785&gt;0,IPMT('Assumptions (MSW)'!$V$6,Model!W$1,'Assumptions (MSW)'!$V$9,'Assumptions (MSW)'!$V$4*Model!$H$1785*AVERAGE('Assumptions (MSW)'!$D$2:$F$2)/10^9),0)</f>
        <v>-7.8655985782452136E-3</v>
      </c>
      <c r="I1899" s="105">
        <f>IF($H$1785&gt;0,IPMT('Assumptions (MSW)'!$V$6,Model!X$1,'Assumptions (MSW)'!$V$9,'Assumptions (MSW)'!$V$4*Model!$H$1785*AVERAGE('Assumptions (MSW)'!$D$2:$F$2)/10^9),0)</f>
        <v>-7.494176090559951E-3</v>
      </c>
      <c r="J1899" s="105">
        <f>IF($H$1785&gt;0,IPMT('Assumptions (MSW)'!$V$6,Model!Y$1,'Assumptions (MSW)'!$V$9,'Assumptions (MSW)'!$V$4*Model!$H$1785*AVERAGE('Assumptions (MSW)'!$D$2:$F$2)/10^9),0)</f>
        <v>-7.1051110347096404E-3</v>
      </c>
      <c r="K1899" s="105">
        <f>IF($H$1785&gt;0,IPMT('Assumptions (MSW)'!$V$6,Model!Z$1,'Assumptions (MSW)'!$V$9,'Assumptions (MSW)'!$V$4*Model!$H$1785*AVERAGE('Assumptions (MSW)'!$D$2:$F$2)/10^9),0)</f>
        <v>-6.6975653887064402E-3</v>
      </c>
      <c r="L1899" s="105">
        <f>IF($H$1785&gt;0,IPMT('Assumptions (MSW)'!$V$6,Model!AA$1,'Assumptions (MSW)'!$V$9,'Assumptions (MSW)'!$V$4*Model!$H$1785*AVERAGE('Assumptions (MSW)'!$D$2:$F$2)/10^9),0)</f>
        <v>-6.2706613245180872E-3</v>
      </c>
      <c r="M1899" s="105">
        <f>IF($H$1785&gt;0,IPMT('Assumptions (MSW)'!$V$6,Model!AB$1,'Assumptions (MSW)'!$V$9,'Assumptions (MSW)'!$V$4*Model!$H$1785*AVERAGE('Assumptions (MSW)'!$D$2:$F$2)/10^9),0)</f>
        <v>-5.8234793172807888E-3</v>
      </c>
      <c r="N1899" s="105">
        <f>IF($H$1785&gt;0,IPMT('Assumptions (MSW)'!$V$6,Model!AC$1,'Assumptions (MSW)'!$V$9,'Assumptions (MSW)'!$V$4*Model!$H$1785*AVERAGE('Assumptions (MSW)'!$D$2:$F$2)/10^9),0)</f>
        <v>-5.3550561646997178E-3</v>
      </c>
      <c r="O1899" s="105">
        <f>IF($H$1785&gt;0,IPMT('Assumptions (MSW)'!$V$6,Model!AD$1,'Assumptions (MSW)'!$V$9,'Assumptions (MSW)'!$V$4*Model!$H$1785*AVERAGE('Assumptions (MSW)'!$D$2:$F$2)/10^9),0)</f>
        <v>-4.8643829123710463E-3</v>
      </c>
      <c r="P1899" s="105">
        <f>IF($H$1785&gt;0,IPMT('Assumptions (MSW)'!$V$6,Model!AE$1,'Assumptions (MSW)'!$V$9,'Assumptions (MSW)'!$V$4*Model!$H$1785*AVERAGE('Assumptions (MSW)'!$D$2:$F$2)/10^9),0)</f>
        <v>-4.3504026805567635E-3</v>
      </c>
      <c r="Q1899" s="105">
        <f>IF($H$1785&gt;0,IPMT('Assumptions (MSW)'!$V$6,Model!AF$1,'Assumptions (MSW)'!$V$9,'Assumptions (MSW)'!$V$4*Model!$H$1785*AVERAGE('Assumptions (MSW)'!$D$2:$F$2)/10^9),0)</f>
        <v>-3.8120083877313015E-3</v>
      </c>
      <c r="R1899" s="105">
        <f>IF($H$1785&gt;0,IPMT('Assumptions (MSW)'!$V$6,Model!AG$1,'Assumptions (MSW)'!$V$9,'Assumptions (MSW)'!$V$4*Model!$H$1785*AVERAGE('Assumptions (MSW)'!$D$2:$F$2)/10^9),0)</f>
        <v>-3.2480403659966299E-3</v>
      </c>
      <c r="S1899" s="105">
        <f>IF($H$1785&gt;0,IPMT('Assumptions (MSW)'!$V$6,Model!AH$1,'Assumptions (MSW)'!$V$9,'Assumptions (MSW)'!$V$4*Model!$H$1785*AVERAGE('Assumptions (MSW)'!$D$2:$F$2)/10^9),0)</f>
        <v>-2.6572838632295619E-3</v>
      </c>
      <c r="T1899" s="105">
        <f>IF($H$1785&gt;0,IPMT('Assumptions (MSW)'!$V$6,Model!AI$1,'Assumptions (MSW)'!$V$9,'Assumptions (MSW)'!$V$4*Model!$H$1785*AVERAGE('Assumptions (MSW)'!$D$2:$F$2)/10^9),0)</f>
        <v>-2.038466426581057E-3</v>
      </c>
      <c r="U1899" s="105">
        <f>IF($H$1785&gt;0,IPMT('Assumptions (MSW)'!$V$6,Model!AJ$1,'Assumptions (MSW)'!$V$9,'Assumptions (MSW)'!$V$4*Model!$H$1785*AVERAGE('Assumptions (MSW)'!$D$2:$F$2)/10^9),0)</f>
        <v>-1.3902551616917489E-3</v>
      </c>
      <c r="V1899" s="105">
        <f>IF($H$1785&gt;0,IPMT('Assumptions (MSW)'!$V$6,Model!AK$1,'Assumptions (MSW)'!$V$9,'Assumptions (MSW)'!$V$4*Model!$H$1785*AVERAGE('Assumptions (MSW)'!$D$2:$F$2)/10^9),0)</f>
        <v>-7.1125386172019879E-4</v>
      </c>
      <c r="W1899" s="105"/>
      <c r="X1899" s="105"/>
      <c r="Y1899" s="105"/>
      <c r="Z1899" s="105"/>
      <c r="AA1899" s="105"/>
      <c r="AB1899" s="105"/>
      <c r="AC1899" s="105"/>
      <c r="AD1899" s="105"/>
      <c r="AE1899" s="105"/>
      <c r="AF1899" s="105"/>
      <c r="AG1899" s="105"/>
    </row>
    <row r="1900" spans="1:68" ht="15.75" hidden="1" customHeight="1" outlineLevel="1">
      <c r="A1900" s="435"/>
      <c r="B1900" s="99"/>
      <c r="C1900" s="105"/>
      <c r="D1900" s="105"/>
      <c r="E1900" s="105"/>
      <c r="F1900" s="105"/>
      <c r="G1900" s="105"/>
      <c r="H1900" s="105"/>
      <c r="I1900" s="105">
        <f>IF($I$1785&gt;0,IPMT('Assumptions (MSW)'!$V$6,Model!W$1,'Assumptions (MSW)'!$V$9,'Assumptions (MSW)'!$V$4*Model!$I$1785*AVERAGE('Assumptions (MSW)'!$E$2:$G$2)/10^9),0)</f>
        <v>-2.2453258710667685E-2</v>
      </c>
      <c r="J1900" s="105">
        <f>IF($I$1785&gt;0,IPMT('Assumptions (MSW)'!$V$6,Model!X$1,'Assumptions (MSW)'!$V$9,'Assumptions (MSW)'!$V$4*Model!$I$1785*AVERAGE('Assumptions (MSW)'!$E$2:$G$2)/10^9),0)</f>
        <v>-2.1392990363129218E-2</v>
      </c>
      <c r="K1900" s="105">
        <f>IF($I$1785&gt;0,IPMT('Assumptions (MSW)'!$V$6,Model!Y$1,'Assumptions (MSW)'!$V$9,'Assumptions (MSW)'!$V$4*Model!$I$1785*AVERAGE('Assumptions (MSW)'!$E$2:$G$2)/10^9),0)</f>
        <v>-2.0282359269082673E-2</v>
      </c>
      <c r="L1900" s="105">
        <f>IF($I$1785&gt;0,IPMT('Assumptions (MSW)'!$V$6,Model!Z$1,'Assumptions (MSW)'!$V$9,'Assumptions (MSW)'!$V$4*Model!$I$1785*AVERAGE('Assumptions (MSW)'!$E$2:$G$2)/10^9),0)</f>
        <v>-1.9118973198068923E-2</v>
      </c>
      <c r="M1900" s="105">
        <f>IF($I$1785&gt;0,IPMT('Assumptions (MSW)'!$V$6,Model!AA$1,'Assumptions (MSW)'!$V$9,'Assumptions (MSW)'!$V$4*Model!$I$1785*AVERAGE('Assumptions (MSW)'!$E$2:$G$2)/10^9),0)</f>
        <v>-1.790032628868202E-2</v>
      </c>
      <c r="N1900" s="105">
        <f>IF($I$1785&gt;0,IPMT('Assumptions (MSW)'!$V$6,Model!AB$1,'Assumptions (MSW)'!$V$9,'Assumptions (MSW)'!$V$4*Model!$I$1785*AVERAGE('Assumptions (MSW)'!$E$2:$G$2)/10^9),0)</f>
        <v>-1.6623793651099238E-2</v>
      </c>
      <c r="O1900" s="105">
        <f>IF($I$1785&gt;0,IPMT('Assumptions (MSW)'!$V$6,Model!AC$1,'Assumptions (MSW)'!$V$9,'Assumptions (MSW)'!$V$4*Model!$I$1785*AVERAGE('Assumptions (MSW)'!$E$2:$G$2)/10^9),0)</f>
        <v>-1.5286625713231273E-2</v>
      </c>
      <c r="P1900" s="105">
        <f>IF($I$1785&gt;0,IPMT('Assumptions (MSW)'!$V$6,Model!AD$1,'Assumptions (MSW)'!$V$9,'Assumptions (MSW)'!$V$4*Model!$I$1785*AVERAGE('Assumptions (MSW)'!$E$2:$G$2)/10^9),0)</f>
        <v>-1.3885942298314581E-2</v>
      </c>
      <c r="Q1900" s="105">
        <f>IF($I$1785&gt;0,IPMT('Assumptions (MSW)'!$V$6,Model!AE$1,'Assumptions (MSW)'!$V$9,'Assumptions (MSW)'!$V$4*Model!$I$1785*AVERAGE('Assumptions (MSW)'!$E$2:$G$2)/10^9),0)</f>
        <v>-1.2418726421189345E-2</v>
      </c>
      <c r="R1900" s="105">
        <f>IF($I$1785&gt;0,IPMT('Assumptions (MSW)'!$V$6,Model!AF$1,'Assumptions (MSW)'!$V$9,'Assumptions (MSW)'!$V$4*Model!$I$1785*AVERAGE('Assumptions (MSW)'!$E$2:$G$2)/10^9),0)</f>
        <v>-1.0881817789900662E-2</v>
      </c>
      <c r="S1900" s="105">
        <f>IF($I$1785&gt;0,IPMT('Assumptions (MSW)'!$V$6,Model!AG$1,'Assumptions (MSW)'!$V$9,'Assumptions (MSW)'!$V$4*Model!$I$1785*AVERAGE('Assumptions (MSW)'!$E$2:$G$2)/10^9),0)</f>
        <v>-9.2719059986257658E-3</v>
      </c>
      <c r="T1900" s="105">
        <f>IF($I$1785&gt;0,IPMT('Assumptions (MSW)'!$V$6,Model!AH$1,'Assumptions (MSW)'!$V$9,'Assumptions (MSW)'!$V$4*Model!$I$1785*AVERAGE('Assumptions (MSW)'!$E$2:$G$2)/10^9),0)</f>
        <v>-7.5855233972653112E-3</v>
      </c>
      <c r="U1900" s="105">
        <f>IF($I$1785&gt;0,IPMT('Assumptions (MSW)'!$V$6,Model!AI$1,'Assumptions (MSW)'!$V$9,'Assumptions (MSW)'!$V$4*Model!$I$1785*AVERAGE('Assumptions (MSW)'!$E$2:$G$2)/10^9),0)</f>
        <v>-5.819037622340234E-3</v>
      </c>
      <c r="V1900" s="105">
        <f>IF($I$1785&gt;0,IPMT('Assumptions (MSW)'!$V$6,Model!AJ$1,'Assumptions (MSW)'!$V$9,'Assumptions (MSW)'!$V$4*Model!$I$1785*AVERAGE('Assumptions (MSW)'!$E$2:$G$2)/10^9),0)</f>
        <v>-3.9686437731062162E-3</v>
      </c>
      <c r="W1900" s="105">
        <f>IF($I$1785&gt;0,IPMT('Assumptions (MSW)'!$V$6,Model!AK$1,'Assumptions (MSW)'!$V$9,'Assumptions (MSW)'!$V$4*Model!$I$1785*AVERAGE('Assumptions (MSW)'!$E$2:$G$2)/10^9),0)</f>
        <v>-2.030356216033583E-3</v>
      </c>
      <c r="X1900" s="105"/>
      <c r="Y1900" s="105"/>
      <c r="Z1900" s="105"/>
      <c r="AA1900" s="105"/>
      <c r="AB1900" s="105"/>
      <c r="AC1900" s="105"/>
      <c r="AD1900" s="105"/>
      <c r="AE1900" s="105"/>
      <c r="AF1900" s="105"/>
      <c r="AG1900" s="105"/>
    </row>
    <row r="1901" spans="1:68" ht="15.75" hidden="1" customHeight="1" outlineLevel="1">
      <c r="A1901" s="435"/>
      <c r="B1901" s="99"/>
      <c r="C1901" s="105"/>
      <c r="D1901" s="105"/>
      <c r="E1901" s="105"/>
      <c r="F1901" s="105"/>
      <c r="G1901" s="105"/>
      <c r="H1901" s="105"/>
      <c r="I1901" s="105"/>
      <c r="J1901" s="105">
        <f>IF($J$1785&gt;0,IPMT('Assumptions (MSW)'!$V$6,Model!W$1,'Assumptions (MSW)'!$V$9,'Assumptions (MSW)'!$V$4*Model!$J$1785*AVERAGE('Assumptions (MSW)'!$F$2:$H$2)/10^9),0)</f>
        <v>-2.4124274876313651E-2</v>
      </c>
      <c r="K1901" s="105">
        <f>IF($J$1785&gt;0,IPMT('Assumptions (MSW)'!$V$6,Model!X$1,'Assumptions (MSW)'!$V$9,'Assumptions (MSW)'!$V$4*Model!$J$1785*AVERAGE('Assumptions (MSW)'!$F$2:$H$2)/10^9),0)</f>
        <v>-2.2985099249814483E-2</v>
      </c>
      <c r="L1901" s="105">
        <f>IF($J$1785&gt;0,IPMT('Assumptions (MSW)'!$V$6,Model!Y$1,'Assumptions (MSW)'!$V$9,'Assumptions (MSW)'!$V$4*Model!$J$1785*AVERAGE('Assumptions (MSW)'!$F$2:$H$2)/10^9),0)</f>
        <v>-2.1791812781056602E-2</v>
      </c>
      <c r="M1901" s="105">
        <f>IF($J$1785&gt;0,IPMT('Assumptions (MSW)'!$V$6,Model!Z$1,'Assumptions (MSW)'!$V$9,'Assumptions (MSW)'!$V$4*Model!$J$1785*AVERAGE('Assumptions (MSW)'!$F$2:$H$2)/10^9),0)</f>
        <v>-2.0541845205032726E-2</v>
      </c>
      <c r="N1901" s="105">
        <f>IF($J$1785&gt;0,IPMT('Assumptions (MSW)'!$V$6,Model!AA$1,'Assumptions (MSW)'!$V$9,'Assumptions (MSW)'!$V$4*Model!$J$1785*AVERAGE('Assumptions (MSW)'!$F$2:$H$2)/10^9),0)</f>
        <v>-1.9232504169147718E-2</v>
      </c>
      <c r="O1901" s="105">
        <f>IF($J$1785&gt;0,IPMT('Assumptions (MSW)'!$V$6,Model!AB$1,'Assumptions (MSW)'!$V$9,'Assumptions (MSW)'!$V$4*Model!$J$1785*AVERAGE('Assumptions (MSW)'!$F$2:$H$2)/10^9),0)</f>
        <v>-1.7860969434058169E-2</v>
      </c>
      <c r="P1901" s="105">
        <f>IF($J$1785&gt;0,IPMT('Assumptions (MSW)'!$V$6,Model!AC$1,'Assumptions (MSW)'!$V$9,'Assumptions (MSW)'!$V$4*Model!$J$1785*AVERAGE('Assumptions (MSW)'!$F$2:$H$2)/10^9),0)</f>
        <v>-1.6424286799051863E-2</v>
      </c>
      <c r="Q1901" s="105">
        <f>IF($J$1785&gt;0,IPMT('Assumptions (MSW)'!$V$6,Model!AD$1,'Assumptions (MSW)'!$V$9,'Assumptions (MSW)'!$V$4*Model!$J$1785*AVERAGE('Assumptions (MSW)'!$F$2:$H$2)/10^9),0)</f>
        <v>-1.491936173888276E-2</v>
      </c>
      <c r="R1901" s="105">
        <f>IF($J$1785&gt;0,IPMT('Assumptions (MSW)'!$V$6,Model!AE$1,'Assumptions (MSW)'!$V$9,'Assumptions (MSW)'!$V$4*Model!$J$1785*AVERAGE('Assumptions (MSW)'!$F$2:$H$2)/10^9),0)</f>
        <v>-1.3342952738355628E-2</v>
      </c>
      <c r="S1901" s="105">
        <f>IF($J$1785&gt;0,IPMT('Assumptions (MSW)'!$V$6,Model!AF$1,'Assumptions (MSW)'!$V$9,'Assumptions (MSW)'!$V$4*Model!$J$1785*AVERAGE('Assumptions (MSW)'!$F$2:$H$2)/10^9),0)</f>
        <v>-1.1691664310303454E-2</v>
      </c>
      <c r="T1901" s="105">
        <f>IF($J$1785&gt;0,IPMT('Assumptions (MSW)'!$V$6,Model!AG$1,'Assumptions (MSW)'!$V$9,'Assumptions (MSW)'!$V$4*Model!$J$1785*AVERAGE('Assumptions (MSW)'!$F$2:$H$2)/10^9),0)</f>
        <v>-9.9619396819188022E-3</v>
      </c>
      <c r="U1901" s="105">
        <f>IF($J$1785&gt;0,IPMT('Assumptions (MSW)'!$V$6,Model!AH$1,'Assumptions (MSW)'!$V$9,'Assumptions (MSW)'!$V$4*Model!$J$1785*AVERAGE('Assumptions (MSW)'!$F$2:$H$2)/10^9),0)</f>
        <v>-8.1500531336858809E-3</v>
      </c>
      <c r="V1901" s="105">
        <f>IF($J$1785&gt;0,IPMT('Assumptions (MSW)'!$V$6,Model!AI$1,'Assumptions (MSW)'!$V$9,'Assumptions (MSW)'!$V$4*Model!$J$1785*AVERAGE('Assumptions (MSW)'!$F$2:$H$2)/10^9),0)</f>
        <v>-6.2521019744118918E-3</v>
      </c>
      <c r="W1901" s="105">
        <f>IF($J$1785&gt;0,IPMT('Assumptions (MSW)'!$V$6,Model!AJ$1,'Assumptions (MSW)'!$V$9,'Assumptions (MSW)'!$V$4*Model!$J$1785*AVERAGE('Assumptions (MSW)'!$F$2:$H$2)/10^9),0)</f>
        <v>-4.2639981350723914E-3</v>
      </c>
      <c r="X1901" s="105">
        <f>IF($J$1785&gt;0,IPMT('Assumptions (MSW)'!$V$6,Model!AK$1,'Assumptions (MSW)'!$V$9,'Assumptions (MSW)'!$V$4*Model!$J$1785*AVERAGE('Assumptions (MSW)'!$F$2:$H$2)/10^9),0)</f>
        <v>-2.1814593633642633E-3</v>
      </c>
      <c r="Y1901" s="105"/>
      <c r="Z1901" s="105"/>
      <c r="AA1901" s="105"/>
      <c r="AB1901" s="105"/>
      <c r="AC1901" s="105"/>
      <c r="AD1901" s="105"/>
      <c r="AE1901" s="105"/>
      <c r="AF1901" s="105"/>
      <c r="AG1901" s="105"/>
      <c r="AH1901" s="105"/>
    </row>
    <row r="1902" spans="1:68" ht="15.75" hidden="1" customHeight="1" outlineLevel="1">
      <c r="A1902" s="435"/>
      <c r="B1902" s="99"/>
      <c r="C1902" s="105"/>
      <c r="D1902" s="105"/>
      <c r="E1902" s="105"/>
      <c r="F1902" s="105"/>
      <c r="G1902" s="105"/>
      <c r="H1902" s="105"/>
      <c r="I1902" s="105"/>
      <c r="J1902" s="105"/>
      <c r="K1902" s="105">
        <f>IF($K$1785&gt;0,IPMT('Assumptions (MSW)'!$V$6,Model!W$1,'Assumptions (MSW)'!$V$9,'Assumptions (MSW)'!$V$4*Model!$K$1785*AVERAGE('Assumptions (MSW)'!$G$2:$I$2)/10^9),0)</f>
        <v>-2.4833376739523794E-2</v>
      </c>
      <c r="L1902" s="105">
        <f>IF($K$1785&gt;0,IPMT('Assumptions (MSW)'!$V$6,Model!X$1,'Assumptions (MSW)'!$V$9,'Assumptions (MSW)'!$V$4*Model!$K$1785*AVERAGE('Assumptions (MSW)'!$G$2:$I$2)/10^9),0)</f>
        <v>-2.366071651863098E-2</v>
      </c>
      <c r="M1902" s="105">
        <f>IF($K$1785&gt;0,IPMT('Assumptions (MSW)'!$V$6,Model!Y$1,'Assumptions (MSW)'!$V$9,'Assumptions (MSW)'!$V$4*Model!$K$1785*AVERAGE('Assumptions (MSW)'!$G$2:$I$2)/10^9),0)</f>
        <v>-2.2432354937245755E-2</v>
      </c>
      <c r="N1902" s="105">
        <f>IF($K$1785&gt;0,IPMT('Assumptions (MSW)'!$V$6,Model!Z$1,'Assumptions (MSW)'!$V$9,'Assumptions (MSW)'!$V$4*Model!$K$1785*AVERAGE('Assumptions (MSW)'!$G$2:$I$2)/10^9),0)</f>
        <v>-2.1145646180744743E-2</v>
      </c>
      <c r="O1902" s="105">
        <f>IF($K$1785&gt;0,IPMT('Assumptions (MSW)'!$V$6,Model!AA$1,'Assumptions (MSW)'!$V$9,'Assumptions (MSW)'!$V$4*Model!$K$1785*AVERAGE('Assumptions (MSW)'!$G$2:$I$2)/10^9),0)</f>
        <v>-1.9797818758309924E-2</v>
      </c>
      <c r="P1902" s="105">
        <f>IF($K$1785&gt;0,IPMT('Assumptions (MSW)'!$V$6,Model!AB$1,'Assumptions (MSW)'!$V$9,'Assumptions (MSW)'!$V$4*Model!$K$1785*AVERAGE('Assumptions (MSW)'!$G$2:$I$2)/10^9),0)</f>
        <v>-1.8385969533309454E-2</v>
      </c>
      <c r="Q1902" s="105">
        <f>IF($K$1785&gt;0,IPMT('Assumptions (MSW)'!$V$6,Model!AC$1,'Assumptions (MSW)'!$V$9,'Assumptions (MSW)'!$V$4*Model!$K$1785*AVERAGE('Assumptions (MSW)'!$G$2:$I$2)/10^9),0)</f>
        <v>-1.6907057470121462E-2</v>
      </c>
      <c r="R1902" s="105">
        <f>IF($K$1785&gt;0,IPMT('Assumptions (MSW)'!$V$6,Model!AD$1,'Assumptions (MSW)'!$V$9,'Assumptions (MSW)'!$V$4*Model!$K$1785*AVERAGE('Assumptions (MSW)'!$G$2:$I$2)/10^9),0)</f>
        <v>-1.5357897083932039E-2</v>
      </c>
      <c r="S1902" s="105">
        <f>IF($K$1785&gt;0,IPMT('Assumptions (MSW)'!$V$6,Model!AE$1,'Assumptions (MSW)'!$V$9,'Assumptions (MSW)'!$V$4*Model!$K$1785*AVERAGE('Assumptions (MSW)'!$G$2:$I$2)/10^9),0)</f>
        <v>-1.373515157939862E-2</v>
      </c>
      <c r="T1902" s="105">
        <f>IF($K$1785&gt;0,IPMT('Assumptions (MSW)'!$V$6,Model!AF$1,'Assumptions (MSW)'!$V$9,'Assumptions (MSW)'!$V$4*Model!$K$1785*AVERAGE('Assumptions (MSW)'!$G$2:$I$2)/10^9),0)</f>
        <v>-1.2035325663399864E-2</v>
      </c>
      <c r="U1902" s="105">
        <f>IF($K$1785&gt;0,IPMT('Assumptions (MSW)'!$V$6,Model!AG$1,'Assumptions (MSW)'!$V$9,'Assumptions (MSW)'!$V$4*Model!$K$1785*AVERAGE('Assumptions (MSW)'!$G$2:$I$2)/10^9),0)</f>
        <v>-1.0254758016391167E-2</v>
      </c>
      <c r="V1902" s="105">
        <f>IF($K$1785&gt;0,IPMT('Assumptions (MSW)'!$V$6,Model!AH$1,'Assumptions (MSW)'!$V$9,'Assumptions (MSW)'!$V$4*Model!$K$1785*AVERAGE('Assumptions (MSW)'!$G$2:$I$2)/10^9),0)</f>
        <v>-8.3896134061495556E-3</v>
      </c>
      <c r="W1902" s="105">
        <f>IF($K$1785&gt;0,IPMT('Assumptions (MSW)'!$V$6,Model!AI$1,'Assumptions (MSW)'!$V$9,'Assumptions (MSW)'!$V$4*Model!$K$1785*AVERAGE('Assumptions (MSW)'!$G$2:$I$2)/10^9),0)</f>
        <v>-6.4358744269214663E-3</v>
      </c>
      <c r="X1902" s="105">
        <f>IF($K$1785&gt;0,IPMT('Assumptions (MSW)'!$V$6,Model!AJ$1,'Assumptions (MSW)'!$V$9,'Assumptions (MSW)'!$V$4*Model!$K$1785*AVERAGE('Assumptions (MSW)'!$G$2:$I$2)/10^9),0)</f>
        <v>-4.3893328461800446E-3</v>
      </c>
      <c r="Y1902" s="105">
        <f>IF($K$1785&gt;0,IPMT('Assumptions (MSW)'!$V$6,Model!AK$1,'Assumptions (MSW)'!$V$9,'Assumptions (MSW)'!$V$4*Model!$K$1785*AVERAGE('Assumptions (MSW)'!$G$2:$I$2)/10^9),0)</f>
        <v>-2.2455805403534049E-3</v>
      </c>
      <c r="Z1902" s="105"/>
      <c r="AA1902" s="105"/>
      <c r="AB1902" s="105"/>
      <c r="AC1902" s="105"/>
      <c r="AD1902" s="105"/>
      <c r="AE1902" s="105"/>
      <c r="AF1902" s="105"/>
      <c r="AG1902" s="105"/>
      <c r="AH1902" s="105"/>
      <c r="AI1902" s="105"/>
    </row>
    <row r="1903" spans="1:68" ht="15.75" hidden="1" customHeight="1" outlineLevel="1">
      <c r="A1903" s="435"/>
      <c r="B1903" s="99"/>
      <c r="C1903" s="105"/>
      <c r="D1903" s="105"/>
      <c r="E1903" s="105"/>
      <c r="F1903" s="105"/>
      <c r="G1903" s="105"/>
      <c r="H1903" s="105"/>
      <c r="I1903" s="105"/>
      <c r="J1903" s="105"/>
      <c r="K1903" s="105"/>
      <c r="L1903" s="105">
        <f>IF($L$1785&gt;0,IPMT('Assumptions (MSW)'!$V$6,Model!W$1,'Assumptions (MSW)'!$V$9,'Assumptions (MSW)'!$V$4*Model!$L$1785*AVERAGE('Assumptions (MSW)'!$H$2:$J$2)/10^9),0)</f>
        <v>-2.5426356229729916E-2</v>
      </c>
      <c r="M1903" s="105">
        <f>IF($L$1785&gt;0,IPMT('Assumptions (MSW)'!$V$6,Model!X$1,'Assumptions (MSW)'!$V$9,'Assumptions (MSW)'!$V$4*Model!$L$1785*AVERAGE('Assumptions (MSW)'!$H$2:$J$2)/10^9),0)</f>
        <v>-2.422569484462719E-2</v>
      </c>
      <c r="N1903" s="105">
        <f>IF($L$1785&gt;0,IPMT('Assumptions (MSW)'!$V$6,Model!Y$1,'Assumptions (MSW)'!$V$9,'Assumptions (MSW)'!$V$4*Model!$L$1785*AVERAGE('Assumptions (MSW)'!$H$2:$J$2)/10^9),0)</f>
        <v>-2.2968002043732082E-2</v>
      </c>
      <c r="O1903" s="105">
        <f>IF($L$1785&gt;0,IPMT('Assumptions (MSW)'!$V$6,Model!Z$1,'Assumptions (MSW)'!$V$9,'Assumptions (MSW)'!$V$4*Model!$L$1785*AVERAGE('Assumptions (MSW)'!$H$2:$J$2)/10^9),0)</f>
        <v>-2.1650568834794468E-2</v>
      </c>
      <c r="P1903" s="105">
        <f>IF($L$1785&gt;0,IPMT('Assumptions (MSW)'!$V$6,Model!AA$1,'Assumptions (MSW)'!$V$9,'Assumptions (MSW)'!$V$4*Model!$L$1785*AVERAGE('Assumptions (MSW)'!$H$2:$J$2)/10^9),0)</f>
        <v>-2.0270557548432308E-2</v>
      </c>
      <c r="Q1903" s="105">
        <f>IF($L$1785&gt;0,IPMT('Assumptions (MSW)'!$V$6,Model!AB$1,'Assumptions (MSW)'!$V$9,'Assumptions (MSW)'!$V$4*Model!$L$1785*AVERAGE('Assumptions (MSW)'!$H$2:$J$2)/10^9),0)</f>
        <v>-1.882499572596795E-2</v>
      </c>
      <c r="R1903" s="105">
        <f>IF($L$1785&gt;0,IPMT('Assumptions (MSW)'!$V$6,Model!AC$1,'Assumptions (MSW)'!$V$9,'Assumptions (MSW)'!$V$4*Model!$L$1785*AVERAGE('Assumptions (MSW)'!$H$2:$J$2)/10^9),0)</f>
        <v>-1.7310769716936531E-2</v>
      </c>
      <c r="S1903" s="105">
        <f>IF($L$1785&gt;0,IPMT('Assumptions (MSW)'!$V$6,Model!AD$1,'Assumptions (MSW)'!$V$9,'Assumptions (MSW)'!$V$4*Model!$L$1785*AVERAGE('Assumptions (MSW)'!$H$2:$J$2)/10^9),0)</f>
        <v>-1.5724617972476124E-2</v>
      </c>
      <c r="T1903" s="105">
        <f>IF($L$1785&gt;0,IPMT('Assumptions (MSW)'!$V$6,Model!AE$1,'Assumptions (MSW)'!$V$9,'Assumptions (MSW)'!$V$4*Model!$L$1785*AVERAGE('Assumptions (MSW)'!$H$2:$J$2)/10^9),0)</f>
        <v>-1.4063124020153847E-2</v>
      </c>
      <c r="U1903" s="105">
        <f>IF($L$1785&gt;0,IPMT('Assumptions (MSW)'!$V$6,Model!AF$1,'Assumptions (MSW)'!$V$9,'Assumptions (MSW)'!$V$4*Model!$L$1785*AVERAGE('Assumptions (MSW)'!$H$2:$J$2)/10^9),0)</f>
        <v>-1.2322709105096259E-2</v>
      </c>
      <c r="V1903" s="105">
        <f>IF($L$1785&gt;0,IPMT('Assumptions (MSW)'!$V$6,Model!AG$1,'Assumptions (MSW)'!$V$9,'Assumptions (MSW)'!$V$4*Model!$L$1785*AVERAGE('Assumptions (MSW)'!$H$2:$J$2)/10^9),0)</f>
        <v>-1.0499624481573435E-2</v>
      </c>
      <c r="W1903" s="105">
        <f>IF($L$1785&gt;0,IPMT('Assumptions (MSW)'!$V$6,Model!AH$1,'Assumptions (MSW)'!$V$9,'Assumptions (MSW)'!$V$4*Model!$L$1785*AVERAGE('Assumptions (MSW)'!$H$2:$J$2)/10^9),0)</f>
        <v>-8.5899433384332789E-3</v>
      </c>
      <c r="X1903" s="105">
        <f>IF($L$1785&gt;0,IPMT('Assumptions (MSW)'!$V$6,Model!AI$1,'Assumptions (MSW)'!$V$9,'Assumptions (MSW)'!$V$4*Model!$L$1785*AVERAGE('Assumptions (MSW)'!$H$2:$J$2)/10^9),0)</f>
        <v>-6.5895523409939651E-3</v>
      </c>
      <c r="Y1903" s="105">
        <f>IF($L$1785&gt;0,IPMT('Assumptions (MSW)'!$V$6,Model!AJ$1,'Assumptions (MSW)'!$V$9,'Assumptions (MSW)'!$V$4*Model!$L$1785*AVERAGE('Assumptions (MSW)'!$H$2:$J$2)/10^9),0)</f>
        <v>-4.494142771176283E-3</v>
      </c>
      <c r="Z1903" s="105">
        <f>IF($L$1785&gt;0,IPMT('Assumptions (MSW)'!$V$6,Model!AK$1,'Assumptions (MSW)'!$V$9,'Assumptions (MSW)'!$V$4*Model!$L$1785*AVERAGE('Assumptions (MSW)'!$H$2:$J$2)/10^9),0)</f>
        <v>-2.2992012467922618E-3</v>
      </c>
      <c r="AA1903" s="105"/>
      <c r="AB1903" s="105"/>
      <c r="AC1903" s="105"/>
      <c r="AD1903" s="105"/>
      <c r="AE1903" s="105"/>
      <c r="AF1903" s="105"/>
      <c r="AG1903" s="105"/>
      <c r="AH1903" s="105"/>
      <c r="AI1903" s="105"/>
      <c r="AJ1903" s="105"/>
    </row>
    <row r="1904" spans="1:68" ht="15.75" hidden="1" customHeight="1" outlineLevel="1">
      <c r="A1904" s="435"/>
      <c r="B1904" s="99"/>
      <c r="C1904" s="105"/>
      <c r="D1904" s="105"/>
      <c r="E1904" s="105"/>
      <c r="F1904" s="105"/>
      <c r="G1904" s="105"/>
      <c r="H1904" s="105"/>
      <c r="I1904" s="105"/>
      <c r="J1904" s="105"/>
      <c r="K1904" s="105"/>
      <c r="L1904" s="105"/>
      <c r="M1904" s="105">
        <f>IF($M$1785&gt;0,IPMT('Assumptions (MSW)'!$V$6,Model!W$1,'Assumptions (MSW)'!$V$9,'Assumptions (MSW)'!$V$4*Model!$M$1785*AVERAGE('Assumptions (MSW)'!$I$2:$K$2)/10^9),0)</f>
        <v>-2.8037180717137181E-2</v>
      </c>
      <c r="N1904" s="105">
        <f>IF($M$1785&gt;0,IPMT('Assumptions (MSW)'!$V$6,Model!X$1,'Assumptions (MSW)'!$V$9,'Assumptions (MSW)'!$V$4*Model!$M$1785*AVERAGE('Assumptions (MSW)'!$I$2:$K$2)/10^9),0)</f>
        <v>-2.6713233237991407E-2</v>
      </c>
      <c r="O1904" s="105">
        <f>IF($M$1785&gt;0,IPMT('Assumptions (MSW)'!$V$6,Model!Y$1,'Assumptions (MSW)'!$V$9,'Assumptions (MSW)'!$V$4*Model!$M$1785*AVERAGE('Assumptions (MSW)'!$I$2:$K$2)/10^9),0)</f>
        <v>-2.5326398253586204E-2</v>
      </c>
      <c r="P1904" s="105">
        <f>IF($M$1785&gt;0,IPMT('Assumptions (MSW)'!$V$6,Model!Z$1,'Assumptions (MSW)'!$V$9,'Assumptions (MSW)'!$V$4*Model!$M$1785*AVERAGE('Assumptions (MSW)'!$I$2:$K$2)/10^9),0)</f>
        <v>-2.3873688607421766E-2</v>
      </c>
      <c r="Q1904" s="105">
        <f>IF($M$1785&gt;0,IPMT('Assumptions (MSW)'!$V$6,Model!AA$1,'Assumptions (MSW)'!$V$9,'Assumptions (MSW)'!$V$4*Model!$M$1785*AVERAGE('Assumptions (MSW)'!$I$2:$K$2)/10^9),0)</f>
        <v>-2.2351975253064513E-2</v>
      </c>
      <c r="R1904" s="105">
        <f>IF($M$1785&gt;0,IPMT('Assumptions (MSW)'!$V$6,Model!AB$1,'Assumptions (MSW)'!$V$9,'Assumptions (MSW)'!$V$4*Model!$M$1785*AVERAGE('Assumptions (MSW)'!$I$2:$K$2)/10^9),0)</f>
        <v>-2.0757980514375291E-2</v>
      </c>
      <c r="S1904" s="105">
        <f>IF($M$1785&gt;0,IPMT('Assumptions (MSW)'!$V$6,Model!AC$1,'Assumptions (MSW)'!$V$9,'Assumptions (MSW)'!$V$4*Model!$M$1785*AVERAGE('Assumptions (MSW)'!$I$2:$K$2)/10^9),0)</f>
        <v>-1.9088271025598329E-2</v>
      </c>
      <c r="T1904" s="105">
        <f>IF($M$1785&gt;0,IPMT('Assumptions (MSW)'!$V$6,Model!AD$1,'Assumptions (MSW)'!$V$9,'Assumptions (MSW)'!$V$4*Model!$M$1785*AVERAGE('Assumptions (MSW)'!$I$2:$K$2)/10^9),0)</f>
        <v>-1.7339250336104464E-2</v>
      </c>
      <c r="U1904" s="105">
        <f>IF($M$1785&gt;0,IPMT('Assumptions (MSW)'!$V$6,Model!AE$1,'Assumptions (MSW)'!$V$9,'Assumptions (MSW)'!$V$4*Model!$M$1785*AVERAGE('Assumptions (MSW)'!$I$2:$K$2)/10^9),0)</f>
        <v>-1.550715116385964E-2</v>
      </c>
      <c r="V1904" s="105">
        <f>IF($M$1785&gt;0,IPMT('Assumptions (MSW)'!$V$6,Model!AF$1,'Assumptions (MSW)'!$V$9,'Assumptions (MSW)'!$V$4*Model!$M$1785*AVERAGE('Assumptions (MSW)'!$I$2:$K$2)/10^9),0)</f>
        <v>-1.3588027280933184E-2</v>
      </c>
      <c r="W1904" s="105">
        <f>IF($M$1785&gt;0,IPMT('Assumptions (MSW)'!$V$6,Model!AG$1,'Assumptions (MSW)'!$V$9,'Assumptions (MSW)'!$V$4*Model!$M$1785*AVERAGE('Assumptions (MSW)'!$I$2:$K$2)/10^9),0)</f>
        <v>-1.1577745013567724E-2</v>
      </c>
      <c r="X1904" s="105">
        <f>IF($M$1785&gt;0,IPMT('Assumptions (MSW)'!$V$6,Model!AH$1,'Assumptions (MSW)'!$V$9,'Assumptions (MSW)'!$V$4*Model!$M$1785*AVERAGE('Assumptions (MSW)'!$I$2:$K$2)/10^9),0)</f>
        <v>-9.4719743385024043E-3</v>
      </c>
      <c r="Y1904" s="105">
        <f>IF($M$1785&gt;0,IPMT('Assumptions (MSW)'!$V$6,Model!AI$1,'Assumptions (MSW)'!$V$9,'Assumptions (MSW)'!$V$4*Model!$M$1785*AVERAGE('Assumptions (MSW)'!$I$2:$K$2)/10^9),0)</f>
        <v>-7.2661795563714795E-3</v>
      </c>
      <c r="Z1904" s="105">
        <f>IF($M$1785&gt;0,IPMT('Assumptions (MSW)'!$V$6,Model!AJ$1,'Assumptions (MSW)'!$V$9,'Assumptions (MSW)'!$V$4*Model!$M$1785*AVERAGE('Assumptions (MSW)'!$I$2:$K$2)/10^9),0)</f>
        <v>-4.9556095220893385E-3</v>
      </c>
      <c r="AA1904" s="105">
        <f>IF($M$1785&gt;0,IPMT('Assumptions (MSW)'!$V$6,Model!AK$1,'Assumptions (MSW)'!$V$9,'Assumptions (MSW)'!$V$4*Model!$M$1785*AVERAGE('Assumptions (MSW)'!$I$2:$K$2)/10^9),0)</f>
        <v>-2.5352874111787944E-3</v>
      </c>
      <c r="AB1904" s="105"/>
      <c r="AC1904" s="105"/>
      <c r="AD1904" s="105"/>
      <c r="AE1904" s="105"/>
      <c r="AF1904" s="105"/>
      <c r="AG1904" s="105"/>
      <c r="AH1904" s="105"/>
      <c r="AI1904" s="105"/>
      <c r="AJ1904" s="105"/>
      <c r="AK1904" s="105"/>
    </row>
    <row r="1905" spans="1:53" ht="15.75" hidden="1" customHeight="1" outlineLevel="1">
      <c r="A1905" s="435"/>
      <c r="B1905" s="99"/>
      <c r="C1905" s="105"/>
      <c r="D1905" s="105"/>
      <c r="E1905" s="105"/>
      <c r="F1905" s="105"/>
      <c r="G1905" s="105"/>
      <c r="H1905" s="105"/>
      <c r="I1905" s="105"/>
      <c r="J1905" s="105"/>
      <c r="K1905" s="105"/>
      <c r="L1905" s="105"/>
      <c r="M1905" s="105"/>
      <c r="N1905" s="91">
        <f>IF($N$1785&gt;0,IPMT('Assumptions (MSW)'!$V$6,Model!W$1,'Assumptions (MSW)'!$V$9,'Assumptions (MSW)'!$V$4*Model!$N$1785*AVERAGE('Assumptions (MSW)'!$J$2:$L$2)/10^9),0)</f>
        <v>-2.8758249064943026E-2</v>
      </c>
      <c r="O1905" s="91">
        <f>IF($N$1785&gt;0,IPMT('Assumptions (MSW)'!$V$6,Model!X$1,'Assumptions (MSW)'!$V$9,'Assumptions (MSW)'!$V$4*Model!$N$1785*AVERAGE('Assumptions (MSW)'!$J$2:$L$2)/10^9),0)</f>
        <v>-2.740025192042609E-2</v>
      </c>
      <c r="P1905" s="91">
        <f>IF($N$1785&gt;0,IPMT('Assumptions (MSW)'!$V$6,Model!Y$1,'Assumptions (MSW)'!$V$9,'Assumptions (MSW)'!$V$4*Model!$N$1785*AVERAGE('Assumptions (MSW)'!$J$2:$L$2)/10^9),0)</f>
        <v>-2.5977749911544591E-2</v>
      </c>
      <c r="Q1905" s="91">
        <f>IF($N$1785&gt;0,IPMT('Assumptions (MSW)'!$V$6,Model!Z$1,'Assumptions (MSW)'!$V$9,'Assumptions (MSW)'!$V$4*Model!$N$1785*AVERAGE('Assumptions (MSW)'!$J$2:$L$2)/10^9),0)</f>
        <v>-2.4487679057241241E-2</v>
      </c>
      <c r="R1905" s="91">
        <f>IF($N$1785&gt;0,IPMT('Assumptions (MSW)'!$V$6,Model!AA$1,'Assumptions (MSW)'!$V$9,'Assumptions (MSW)'!$V$4*Model!$N$1785*AVERAGE('Assumptions (MSW)'!$J$2:$L$2)/10^9),0)</f>
        <v>-2.2926829837358467E-2</v>
      </c>
      <c r="S1905" s="91">
        <f>IF($N$1785&gt;0,IPMT('Assumptions (MSW)'!$V$6,Model!AB$1,'Assumptions (MSW)'!$V$9,'Assumptions (MSW)'!$V$4*Model!$N$1785*AVERAGE('Assumptions (MSW)'!$J$2:$L$2)/10^9),0)</f>
        <v>-2.1291840279531269E-2</v>
      </c>
      <c r="T1905" s="91">
        <f>IF($N$1785&gt;0,IPMT('Assumptions (MSW)'!$V$6,Model!AC$1,'Assumptions (MSW)'!$V$9,'Assumptions (MSW)'!$V$4*Model!$N$1785*AVERAGE('Assumptions (MSW)'!$J$2:$L$2)/10^9),0)</f>
        <v>-1.9579188717707276E-2</v>
      </c>
      <c r="U1905" s="91">
        <f>IF($N$1785&gt;0,IPMT('Assumptions (MSW)'!$V$6,Model!AD$1,'Assumptions (MSW)'!$V$9,'Assumptions (MSW)'!$V$4*Model!$N$1785*AVERAGE('Assumptions (MSW)'!$J$2:$L$2)/10^9),0)</f>
        <v>-1.778518620669664E-2</v>
      </c>
      <c r="V1905" s="91">
        <f>IF($N$1785&gt;0,IPMT('Assumptions (MSW)'!$V$6,Model!AE$1,'Assumptions (MSW)'!$V$9,'Assumptions (MSW)'!$V$4*Model!$N$1785*AVERAGE('Assumptions (MSW)'!$J$2:$L$2)/10^9),0)</f>
        <v>-1.5905968576413007E-2</v>
      </c>
      <c r="W1905" s="91">
        <f>IF($N$1785&gt;0,IPMT('Assumptions (MSW)'!$V$6,Model!AF$1,'Assumptions (MSW)'!$V$9,'Assumptions (MSW)'!$V$4*Model!$N$1785*AVERAGE('Assumptions (MSW)'!$J$2:$L$2)/10^9),0)</f>
        <v>-1.3937488108690894E-2</v>
      </c>
      <c r="X1905" s="91">
        <f>IF($N$1785&gt;0,IPMT('Assumptions (MSW)'!$V$6,Model!AG$1,'Assumptions (MSW)'!$V$9,'Assumptions (MSW)'!$V$4*Model!$N$1785*AVERAGE('Assumptions (MSW)'!$J$2:$L$2)/10^9),0)</f>
        <v>-1.1875504818751983E-2</v>
      </c>
      <c r="Y1905" s="91">
        <f>IF($N$1785&gt;0,IPMT('Assumptions (MSW)'!$V$6,Model!AH$1,'Assumptions (MSW)'!$V$9,'Assumptions (MSW)'!$V$4*Model!$N$1785*AVERAGE('Assumptions (MSW)'!$J$2:$L$2)/10^9),0)</f>
        <v>-9.7155773225409761E-3</v>
      </c>
      <c r="Z1905" s="91">
        <f>IF($N$1785&gt;0,IPMT('Assumptions (MSW)'!$V$6,Model!AI$1,'Assumptions (MSW)'!$V$9,'Assumptions (MSW)'!$V$4*Model!$N$1785*AVERAGE('Assumptions (MSW)'!$J$2:$L$2)/10^9),0)</f>
        <v>-7.4530532702599423E-3</v>
      </c>
      <c r="AA1905" s="91">
        <f>IF($N$1785&gt;0,IPMT('Assumptions (MSW)'!$V$6,Model!AJ$1,'Assumptions (MSW)'!$V$9,'Assumptions (MSW)'!$V$4*Model!$N$1785*AVERAGE('Assumptions (MSW)'!$J$2:$L$2)/10^9),0)</f>
        <v>-5.0830593254955611E-3</v>
      </c>
      <c r="AB1905" s="91">
        <f>IF($N$1785&gt;0,IPMT('Assumptions (MSW)'!$V$6,Model!AK$1,'Assumptions (MSW)'!$V$9,'Assumptions (MSW)'!$V$4*Model!$N$1785*AVERAGE('Assumptions (MSW)'!$J$2:$L$2)/10^9),0)</f>
        <v>-2.6004906683548719E-3</v>
      </c>
      <c r="AC1905" s="91"/>
      <c r="AD1905" s="91"/>
      <c r="AE1905" s="91"/>
      <c r="AF1905" s="91"/>
      <c r="AG1905" s="91"/>
      <c r="AH1905" s="91"/>
      <c r="AI1905" s="91"/>
      <c r="AJ1905" s="91"/>
      <c r="AK1905" s="91"/>
      <c r="AL1905" s="91"/>
    </row>
    <row r="1906" spans="1:53" ht="15.75" hidden="1" customHeight="1" outlineLevel="1">
      <c r="A1906" s="435"/>
      <c r="B1906" s="99"/>
      <c r="C1906" s="105"/>
      <c r="D1906" s="105"/>
      <c r="E1906" s="105"/>
      <c r="F1906" s="105"/>
      <c r="G1906" s="105"/>
      <c r="H1906" s="105"/>
      <c r="I1906" s="105"/>
      <c r="J1906" s="105"/>
      <c r="K1906" s="105"/>
      <c r="L1906" s="105"/>
      <c r="M1906" s="105"/>
      <c r="N1906" s="105"/>
      <c r="O1906" s="105">
        <f>IF($O$1785&gt;0,IPMT('Assumptions (MSW)'!$V$6,Model!W$1,'Assumptions (MSW)'!$V$9,'Assumptions (MSW)'!$V$4*Model!$O$1785*AVERAGE('Assumptions (MSW)'!$K$2:$M$2)/10^9),0)</f>
        <v>-3.5506717908238436E-2</v>
      </c>
      <c r="P1906" s="105">
        <f>IF($O$1785&gt;0,IPMT('Assumptions (MSW)'!$V$6,Model!X$1,'Assumptions (MSW)'!$V$9,'Assumptions (MSW)'!$V$4*Model!$O$1785*AVERAGE('Assumptions (MSW)'!$K$2:$M$2)/10^9),0)</f>
        <v>-3.3830050409404684E-2</v>
      </c>
      <c r="Q1906" s="105">
        <f>IF($O$1785&gt;0,IPMT('Assumptions (MSW)'!$V$6,Model!Y$1,'Assumptions (MSW)'!$V$9,'Assumptions (MSW)'!$V$4*Model!$O$1785*AVERAGE('Assumptions (MSW)'!$K$2:$M$2)/10^9),0)</f>
        <v>-3.2073741204376317E-2</v>
      </c>
      <c r="R1906" s="105">
        <f>IF($O$1785&gt;0,IPMT('Assumptions (MSW)'!$V$6,Model!Z$1,'Assumptions (MSW)'!$V$9,'Assumptions (MSW)'!$V$4*Model!$O$1785*AVERAGE('Assumptions (MSW)'!$K$2:$M$2)/10^9),0)</f>
        <v>-3.023400731210912E-2</v>
      </c>
      <c r="S1906" s="105">
        <f>IF($O$1785&gt;0,IPMT('Assumptions (MSW)'!$V$6,Model!AA$1,'Assumptions (MSW)'!$V$9,'Assumptions (MSW)'!$V$4*Model!$O$1785*AVERAGE('Assumptions (MSW)'!$K$2:$M$2)/10^9),0)</f>
        <v>-2.8306886059959225E-2</v>
      </c>
      <c r="T1906" s="105">
        <f>IF($O$1785&gt;0,IPMT('Assumptions (MSW)'!$V$6,Model!AB$1,'Assumptions (MSW)'!$V$9,'Assumptions (MSW)'!$V$4*Model!$O$1785*AVERAGE('Assumptions (MSW)'!$K$2:$M$2)/10^9),0)</f>
        <v>-2.6288226548332214E-2</v>
      </c>
      <c r="U1906" s="105">
        <f>IF($O$1785&gt;0,IPMT('Assumptions (MSW)'!$V$6,Model!AC$1,'Assumptions (MSW)'!$V$9,'Assumptions (MSW)'!$V$4*Model!$O$1785*AVERAGE('Assumptions (MSW)'!$K$2:$M$2)/10^9),0)</f>
        <v>-2.4173680709902914E-2</v>
      </c>
      <c r="V1906" s="105">
        <f>IF($O$1785&gt;0,IPMT('Assumptions (MSW)'!$V$6,Model!AD$1,'Assumptions (MSW)'!$V$9,'Assumptions (MSW)'!$V$4*Model!$O$1785*AVERAGE('Assumptions (MSW)'!$K$2:$M$2)/10^9),0)</f>
        <v>-2.1958693944148226E-2</v>
      </c>
      <c r="W1906" s="105">
        <f>IF($O$1785&gt;0,IPMT('Assumptions (MSW)'!$V$6,Model!AE$1,'Assumptions (MSW)'!$V$9,'Assumptions (MSW)'!$V$4*Model!$O$1785*AVERAGE('Assumptions (MSW)'!$K$2:$M$2)/10^9),0)</f>
        <v>-1.9638495307020193E-2</v>
      </c>
      <c r="X1906" s="105">
        <f>IF($O$1785&gt;0,IPMT('Assumptions (MSW)'!$V$6,Model!AF$1,'Assumptions (MSW)'!$V$9,'Assumptions (MSW)'!$V$4*Model!$O$1785*AVERAGE('Assumptions (MSW)'!$K$2:$M$2)/10^9),0)</f>
        <v>-1.7208087234628574E-2</v>
      </c>
      <c r="Y1906" s="105">
        <f>IF($O$1785&gt;0,IPMT('Assumptions (MSW)'!$V$6,Model!AG$1,'Assumptions (MSW)'!$V$9,'Assumptions (MSW)'!$V$4*Model!$O$1785*AVERAGE('Assumptions (MSW)'!$K$2:$M$2)/10^9),0)</f>
        <v>-1.4662234778798354E-2</v>
      </c>
      <c r="Z1906" s="105">
        <f>IF($O$1785&gt;0,IPMT('Assumptions (MSW)'!$V$6,Model!AH$1,'Assumptions (MSW)'!$V$9,'Assumptions (MSW)'!$V$4*Model!$O$1785*AVERAGE('Assumptions (MSW)'!$K$2:$M$2)/10^9),0)</f>
        <v>-1.1995454331316201E-2</v>
      </c>
      <c r="AA1906" s="105">
        <f>IF($O$1785&gt;0,IPMT('Assumptions (MSW)'!$V$6,Model!AI$1,'Assumptions (MSW)'!$V$9,'Assumptions (MSW)'!$V$4*Model!$O$1785*AVERAGE('Assumptions (MSW)'!$K$2:$M$2)/10^9),0)</f>
        <v>-9.2020018125786411E-3</v>
      </c>
      <c r="AB1906" s="105">
        <f>IF($O$1785&gt;0,IPMT('Assumptions (MSW)'!$V$6,Model!AJ$1,'Assumptions (MSW)'!$V$9,'Assumptions (MSW)'!$V$4*Model!$O$1785*AVERAGE('Assumptions (MSW)'!$K$2:$M$2)/10^9),0)</f>
        <v>-6.2758602992010488E-3</v>
      </c>
      <c r="AC1906" s="105">
        <f>IF($O$1785&gt;0,IPMT('Assumptions (MSW)'!$V$6,Model!AK$1,'Assumptions (MSW)'!$V$9,'Assumptions (MSW)'!$V$4*Model!$O$1785*AVERAGE('Assumptions (MSW)'!$K$2:$M$2)/10^9),0)</f>
        <v>-3.2107270639380216E-3</v>
      </c>
      <c r="AD1906" s="105"/>
      <c r="AE1906" s="105"/>
      <c r="AF1906" s="105"/>
      <c r="AG1906" s="105"/>
      <c r="AH1906" s="105"/>
      <c r="AI1906" s="105"/>
      <c r="AJ1906" s="105"/>
      <c r="AK1906" s="105"/>
      <c r="AL1906" s="105"/>
      <c r="AM1906" s="105"/>
    </row>
    <row r="1907" spans="1:53" ht="15.75" hidden="1" customHeight="1" outlineLevel="1">
      <c r="A1907" s="435"/>
      <c r="B1907" s="99"/>
      <c r="C1907" s="105"/>
      <c r="D1907" s="105"/>
      <c r="E1907" s="105"/>
      <c r="F1907" s="105"/>
      <c r="G1907" s="105"/>
      <c r="H1907" s="105"/>
      <c r="I1907" s="105"/>
      <c r="J1907" s="105"/>
      <c r="K1907" s="105"/>
      <c r="L1907" s="105"/>
      <c r="M1907" s="105"/>
      <c r="N1907" s="105"/>
      <c r="O1907" s="105"/>
      <c r="P1907" s="91">
        <f>IF($P$1785&gt;0,IPMT('Assumptions (MSW)'!$V$6,Model!W$1,'Assumptions (MSW)'!$V$9,'Assumptions (MSW)'!$V$4*Model!$P$1785*AVERAGE('Assumptions (MSW)'!$L$2:$N$2)/10^9),0)</f>
        <v>-2.9190324221626075E-2</v>
      </c>
      <c r="Q1907" s="91">
        <f>IF($P$1785&gt;0,IPMT('Assumptions (MSW)'!$V$6,Model!X$1,'Assumptions (MSW)'!$V$9,'Assumptions (MSW)'!$V$4*Model!$P$1785*AVERAGE('Assumptions (MSW)'!$L$2:$N$2)/10^9),0)</f>
        <v>-2.7811923998059807E-2</v>
      </c>
      <c r="R1907" s="91">
        <f>IF($P$1785&gt;0,IPMT('Assumptions (MSW)'!$V$6,Model!Y$1,'Assumptions (MSW)'!$V$9,'Assumptions (MSW)'!$V$4*Model!$P$1785*AVERAGE('Assumptions (MSW)'!$L$2:$N$2)/10^9),0)</f>
        <v>-2.6368049763874142E-2</v>
      </c>
      <c r="S1907" s="91">
        <f>IF($P$1785&gt;0,IPMT('Assumptions (MSW)'!$V$6,Model!Z$1,'Assumptions (MSW)'!$V$9,'Assumptions (MSW)'!$V$4*Model!$P$1785*AVERAGE('Assumptions (MSW)'!$L$2:$N$2)/10^9),0)</f>
        <v>-2.4855591503564665E-2</v>
      </c>
      <c r="T1907" s="91">
        <f>IF($P$1785&gt;0,IPMT('Assumptions (MSW)'!$V$6,Model!AA$1,'Assumptions (MSW)'!$V$9,'Assumptions (MSW)'!$V$4*Model!$P$1785*AVERAGE('Assumptions (MSW)'!$L$2:$N$2)/10^9),0)</f>
        <v>-2.327129147589049E-2</v>
      </c>
      <c r="U1907" s="91">
        <f>IF($P$1785&gt;0,IPMT('Assumptions (MSW)'!$V$6,Model!AB$1,'Assumptions (MSW)'!$V$9,'Assumptions (MSW)'!$V$4*Model!$P$1785*AVERAGE('Assumptions (MSW)'!$L$2:$N$2)/10^9),0)</f>
        <v>-2.1611737196901789E-2</v>
      </c>
      <c r="V1907" s="91">
        <f>IF($P$1785&gt;0,IPMT('Assumptions (MSW)'!$V$6,Model!AC$1,'Assumptions (MSW)'!$V$9,'Assumptions (MSW)'!$V$4*Model!$P$1785*AVERAGE('Assumptions (MSW)'!$L$2:$N$2)/10^9),0)</f>
        <v>-1.9873354089661122E-2</v>
      </c>
      <c r="W1907" s="91">
        <f>IF($P$1785&gt;0,IPMT('Assumptions (MSW)'!$V$6,Model!AD$1,'Assumptions (MSW)'!$V$9,'Assumptions (MSW)'!$V$4*Model!$P$1785*AVERAGE('Assumptions (MSW)'!$L$2:$N$2)/10^9),0)</f>
        <v>-1.8052397784826524E-2</v>
      </c>
      <c r="X1907" s="91">
        <f>IF($P$1785&gt;0,IPMT('Assumptions (MSW)'!$V$6,Model!AE$1,'Assumptions (MSW)'!$V$9,'Assumptions (MSW)'!$V$4*Model!$P$1785*AVERAGE('Assumptions (MSW)'!$L$2:$N$2)/10^9),0)</f>
        <v>-1.6144946055512286E-2</v>
      </c>
      <c r="Y1907" s="91">
        <f>IF($P$1785&gt;0,IPMT('Assumptions (MSW)'!$V$6,Model!AF$1,'Assumptions (MSW)'!$V$9,'Assumptions (MSW)'!$V$4*Model!$P$1785*AVERAGE('Assumptions (MSW)'!$L$2:$N$2)/10^9),0)</f>
        <v>-1.4146890369055618E-2</v>
      </c>
      <c r="Z1907" s="91">
        <f>IF($P$1785&gt;0,IPMT('Assumptions (MSW)'!$V$6,Model!AG$1,'Assumptions (MSW)'!$V$9,'Assumptions (MSW)'!$V$4*Model!$P$1785*AVERAGE('Assumptions (MSW)'!$L$2:$N$2)/10^9),0)</f>
        <v>-1.2053927037492258E-2</v>
      </c>
      <c r="AA1907" s="91">
        <f>IF($P$1785&gt;0,IPMT('Assumptions (MSW)'!$V$6,Model!AH$1,'Assumptions (MSW)'!$V$9,'Assumptions (MSW)'!$V$4*Model!$P$1785*AVERAGE('Assumptions (MSW)'!$L$2:$N$2)/10^9),0)</f>
        <v>-9.8615479476796414E-3</v>
      </c>
      <c r="AB1907" s="91">
        <f>IF($P$1785&gt;0,IPMT('Assumptions (MSW)'!$V$6,Model!AI$1,'Assumptions (MSW)'!$V$9,'Assumptions (MSW)'!$V$4*Model!$P$1785*AVERAGE('Assumptions (MSW)'!$L$2:$N$2)/10^9),0)</f>
        <v>-7.5650308511009219E-3</v>
      </c>
      <c r="AC1907" s="91">
        <f>IF($P$1785&gt;0,IPMT('Assumptions (MSW)'!$V$6,Model!AJ$1,'Assumptions (MSW)'!$V$9,'Assumptions (MSW)'!$V$4*Model!$P$1785*AVERAGE('Assumptions (MSW)'!$L$2:$N$2)/10^9),0)</f>
        <v>-5.1594291924347141E-3</v>
      </c>
      <c r="AD1907" s="91">
        <f>IF($P$1785&gt;0,IPMT('Assumptions (MSW)'!$V$6,Model!AK$1,'Assumptions (MSW)'!$V$9,'Assumptions (MSW)'!$V$4*Model!$P$1785*AVERAGE('Assumptions (MSW)'!$L$2:$N$2)/10^9),0)</f>
        <v>-2.6395614549818624E-3</v>
      </c>
      <c r="AE1907" s="91"/>
      <c r="AF1907" s="91"/>
      <c r="AG1907" s="91"/>
      <c r="AH1907" s="91"/>
      <c r="AI1907" s="91"/>
      <c r="AJ1907" s="91"/>
      <c r="AK1907" s="91"/>
      <c r="AL1907" s="91"/>
      <c r="AM1907" s="91"/>
      <c r="AN1907" s="91"/>
    </row>
    <row r="1908" spans="1:53" ht="15.75" hidden="1" customHeight="1" outlineLevel="1">
      <c r="A1908" s="435"/>
      <c r="B1908" s="99"/>
      <c r="C1908" s="105"/>
      <c r="D1908" s="105"/>
      <c r="E1908" s="105"/>
      <c r="F1908" s="105"/>
      <c r="G1908" s="105"/>
      <c r="H1908" s="105"/>
      <c r="I1908" s="105"/>
      <c r="J1908" s="105"/>
      <c r="K1908" s="105"/>
      <c r="L1908" s="105"/>
      <c r="M1908" s="105"/>
      <c r="N1908" s="105"/>
      <c r="O1908" s="105"/>
      <c r="P1908" s="171"/>
      <c r="Q1908" s="105">
        <f>IF($Q$1785&gt;0,IPMT('Assumptions (MSW)'!$V$6,Model!W$1,'Assumptions (MSW)'!$V$9,'Assumptions (MSW)'!$V$4*Model!$Q$1785*AVERAGE('Assumptions (MSW)'!$M$2:$O$2)/10^9),0)</f>
        <v>-1.8778969581035532E-2</v>
      </c>
      <c r="R1908" s="105">
        <f>IF($Q$1785&gt;0,IPMT('Assumptions (MSW)'!$V$6,Model!X$1,'Assumptions (MSW)'!$V$9,'Assumptions (MSW)'!$V$4*Model!$Q$1785*AVERAGE('Assumptions (MSW)'!$M$2:$O$2)/10^9),0)</f>
        <v>-1.7892205334351822E-2</v>
      </c>
      <c r="S1908" s="105">
        <f>IF($Q$1785&gt;0,IPMT('Assumptions (MSW)'!$V$6,Model!Y$1,'Assumptions (MSW)'!$V$9,'Assumptions (MSW)'!$V$4*Model!$Q$1785*AVERAGE('Assumptions (MSW)'!$M$2:$O$2)/10^9),0)</f>
        <v>-1.6963319785950635E-2</v>
      </c>
      <c r="T1908" s="105">
        <f>IF($Q$1785&gt;0,IPMT('Assumptions (MSW)'!$V$6,Model!Z$1,'Assumptions (MSW)'!$V$9,'Assumptions (MSW)'!$V$4*Model!$Q$1785*AVERAGE('Assumptions (MSW)'!$M$2:$O$2)/10^9),0)</f>
        <v>-1.59903121740004E-2</v>
      </c>
      <c r="U1908" s="105">
        <f>IF($Q$1785&gt;0,IPMT('Assumptions (MSW)'!$V$6,Model!AA$1,'Assumptions (MSW)'!$V$9,'Assumptions (MSW)'!$V$4*Model!$Q$1785*AVERAGE('Assumptions (MSW)'!$M$2:$O$2)/10^9),0)</f>
        <v>-1.4971086700482522E-2</v>
      </c>
      <c r="V1908" s="105">
        <f>IF($Q$1785&gt;0,IPMT('Assumptions (MSW)'!$V$6,Model!AB$1,'Assumptions (MSW)'!$V$9,'Assumptions (MSW)'!$V$4*Model!$Q$1785*AVERAGE('Assumptions (MSW)'!$M$2:$O$2)/10^9),0)</f>
        <v>-1.3903448016972547E-2</v>
      </c>
      <c r="W1908" s="105">
        <f>IF($Q$1785&gt;0,IPMT('Assumptions (MSW)'!$V$6,Model!AC$1,'Assumptions (MSW)'!$V$9,'Assumptions (MSW)'!$V$4*Model!$Q$1785*AVERAGE('Assumptions (MSW)'!$M$2:$O$2)/10^9),0)</f>
        <v>-1.2785096495995848E-2</v>
      </c>
      <c r="X1908" s="105">
        <f>IF($Q$1785&gt;0,IPMT('Assumptions (MSW)'!$V$6,Model!AD$1,'Assumptions (MSW)'!$V$9,'Assumptions (MSW)'!$V$4*Model!$Q$1785*AVERAGE('Assumptions (MSW)'!$M$2:$O$2)/10^9),0)</f>
        <v>-1.1613623277772756E-2</v>
      </c>
      <c r="Y1908" s="105">
        <f>IF($Q$1785&gt;0,IPMT('Assumptions (MSW)'!$V$6,Model!AE$1,'Assumptions (MSW)'!$V$9,'Assumptions (MSW)'!$V$4*Model!$Q$1785*AVERAGE('Assumptions (MSW)'!$M$2:$O$2)/10^9),0)</f>
        <v>-1.038650508168407E-2</v>
      </c>
      <c r="Z1908" s="105">
        <f>IF($Q$1785&gt;0,IPMT('Assumptions (MSW)'!$V$6,Model!AF$1,'Assumptions (MSW)'!$V$9,'Assumptions (MSW)'!$V$4*Model!$Q$1785*AVERAGE('Assumptions (MSW)'!$M$2:$O$2)/10^9),0)</f>
        <v>-9.1010987712811676E-3</v>
      </c>
      <c r="AA1908" s="105">
        <f>IF($Q$1785&gt;0,IPMT('Assumptions (MSW)'!$V$6,Model!AG$1,'Assumptions (MSW)'!$V$9,'Assumptions (MSW)'!$V$4*Model!$Q$1785*AVERAGE('Assumptions (MSW)'!$M$2:$O$2)/10^9),0)</f>
        <v>-7.7546356611341277E-3</v>
      </c>
      <c r="AB1908" s="105">
        <f>IF($Q$1785&gt;0,IPMT('Assumptions (MSW)'!$V$6,Model!AH$1,'Assumptions (MSW)'!$V$9,'Assumptions (MSW)'!$V$4*Model!$Q$1785*AVERAGE('Assumptions (MSW)'!$M$2:$O$2)/10^9),0)</f>
        <v>-6.3442155532551052E-3</v>
      </c>
      <c r="AC1908" s="105">
        <f>IF($Q$1785&gt;0,IPMT('Assumptions (MSW)'!$V$6,Model!AI$1,'Assumptions (MSW)'!$V$9,'Assumptions (MSW)'!$V$4*Model!$Q$1785*AVERAGE('Assumptions (MSW)'!$M$2:$O$2)/10^9),0)</f>
        <v>-4.8668004902518262E-3</v>
      </c>
      <c r="AD1908" s="105">
        <f>IF($Q$1785&gt;0,IPMT('Assumptions (MSW)'!$V$6,Model!AJ$1,'Assumptions (MSW)'!$V$9,'Assumptions (MSW)'!$V$4*Model!$Q$1785*AVERAGE('Assumptions (MSW)'!$M$2:$O$2)/10^9),0)</f>
        <v>-3.3192082117558933E-3</v>
      </c>
      <c r="AE1908" s="105">
        <f>IF($Q$1785&gt;0,IPMT('Assumptions (MSW)'!$V$6,Model!AK$1,'Assumptions (MSW)'!$V$9,'Assumptions (MSW)'!$V$4*Model!$Q$1785*AVERAGE('Assumptions (MSW)'!$M$2:$O$2)/10^9),0)</f>
        <v>-1.6981053000314033E-3</v>
      </c>
      <c r="AF1908" s="105"/>
      <c r="AG1908" s="105"/>
      <c r="AH1908" s="105"/>
      <c r="AI1908" s="105"/>
      <c r="AJ1908" s="105"/>
      <c r="AK1908" s="105"/>
      <c r="AL1908" s="105"/>
      <c r="AM1908" s="105"/>
      <c r="AN1908" s="105"/>
      <c r="AO1908" s="105"/>
    </row>
    <row r="1909" spans="1:53" ht="15.75" hidden="1" customHeight="1" outlineLevel="1">
      <c r="A1909" s="435"/>
      <c r="B1909" s="99"/>
      <c r="C1909" s="105"/>
      <c r="D1909" s="105"/>
      <c r="E1909" s="105"/>
      <c r="F1909" s="105"/>
      <c r="G1909" s="105"/>
      <c r="H1909" s="105"/>
      <c r="I1909" s="105"/>
      <c r="J1909" s="105"/>
      <c r="K1909" s="105"/>
      <c r="L1909" s="105"/>
      <c r="M1909" s="105"/>
      <c r="N1909" s="105"/>
      <c r="O1909" s="105"/>
      <c r="P1909" s="171"/>
      <c r="Q1909" s="105"/>
      <c r="R1909" s="91">
        <f>IF($R$1785&gt;0,IPMT('Assumptions (MSW)'!$V$6,Model!W$1,'Assumptions (MSW)'!$V$9,'Assumptions (MSW)'!$V$4*Model!$R$1785*AVERAGE('Assumptions (MSW)'!$N$2:$P$2)/10^9),0)</f>
        <v>-2.1866121590529433E-2</v>
      </c>
      <c r="S1909" s="91">
        <f>IF($R$1785&gt;0,IPMT('Assumptions (MSW)'!$V$6,Model!X$1,'Assumptions (MSW)'!$V$9,'Assumptions (MSW)'!$V$4*Model!$R$1785*AVERAGE('Assumptions (MSW)'!$N$2:$P$2)/10^9),0)</f>
        <v>-2.0833578523858629E-2</v>
      </c>
      <c r="T1909" s="91">
        <f>IF($R$1785&gt;0,IPMT('Assumptions (MSW)'!$V$6,Model!Y$1,'Assumptions (MSW)'!$V$9,'Assumptions (MSW)'!$V$4*Model!$R$1785*AVERAGE('Assumptions (MSW)'!$N$2:$P$2)/10^9),0)</f>
        <v>-1.9751989661520957E-2</v>
      </c>
      <c r="U1909" s="91">
        <f>IF($R$1785&gt;0,IPMT('Assumptions (MSW)'!$V$6,Model!Z$1,'Assumptions (MSW)'!$V$9,'Assumptions (MSW)'!$V$4*Model!$R$1785*AVERAGE('Assumptions (MSW)'!$N$2:$P$2)/10^9),0)</f>
        <v>-1.8619025328222252E-2</v>
      </c>
      <c r="V1909" s="91">
        <f>IF($R$1785&gt;0,IPMT('Assumptions (MSW)'!$V$6,Model!AA$1,'Assumptions (MSW)'!$V$9,'Assumptions (MSW)'!$V$4*Model!$R$1785*AVERAGE('Assumptions (MSW)'!$N$2:$P$2)/10^9),0)</f>
        <v>-1.7432245189091856E-2</v>
      </c>
      <c r="W1909" s="91">
        <f>IF($R$1785&gt;0,IPMT('Assumptions (MSW)'!$V$6,Model!AB$1,'Assumptions (MSW)'!$V$9,'Assumptions (MSW)'!$V$4*Model!$R$1785*AVERAGE('Assumptions (MSW)'!$N$2:$P$2)/10^9),0)</f>
        <v>-1.6189092993352767E-2</v>
      </c>
      <c r="X1909" s="91">
        <f>IF($R$1785&gt;0,IPMT('Assumptions (MSW)'!$V$6,Model!AC$1,'Assumptions (MSW)'!$V$9,'Assumptions (MSW)'!$V$4*Model!$R$1785*AVERAGE('Assumptions (MSW)'!$N$2:$P$2)/10^9),0)</f>
        <v>-1.4886891068316069E-2</v>
      </c>
      <c r="Y1909" s="91">
        <f>IF($R$1785&gt;0,IPMT('Assumptions (MSW)'!$V$6,Model!AD$1,'Assumptions (MSW)'!$V$9,'Assumptions (MSW)'!$V$4*Model!$R$1785*AVERAGE('Assumptions (MSW)'!$N$2:$P$2)/10^9),0)</f>
        <v>-1.352283455184013E-2</v>
      </c>
      <c r="Z1909" s="91">
        <f>IF($R$1785&gt;0,IPMT('Assumptions (MSW)'!$V$6,Model!AE$1,'Assumptions (MSW)'!$V$9,'Assumptions (MSW)'!$V$4*Model!$R$1785*AVERAGE('Assumptions (MSW)'!$N$2:$P$2)/10^9),0)</f>
        <v>-1.2093985350831586E-2</v>
      </c>
      <c r="AA1909" s="91">
        <f>IF($R$1785&gt;0,IPMT('Assumptions (MSW)'!$V$6,Model!AF$1,'Assumptions (MSW)'!$V$9,'Assumptions (MSW)'!$V$4*Model!$R$1785*AVERAGE('Assumptions (MSW)'!$N$2:$P$2)/10^9),0)</f>
        <v>-1.0597265812775133E-2</v>
      </c>
      <c r="AB1909" s="91">
        <f>IF($R$1785&gt;0,IPMT('Assumptions (MSW)'!$V$6,Model!AG$1,'Assumptions (MSW)'!$V$9,'Assumptions (MSW)'!$V$4*Model!$R$1785*AVERAGE('Assumptions (MSW)'!$N$2:$P$2)/10^9),0)</f>
        <v>-9.0294520966610007E-3</v>
      </c>
      <c r="AC1909" s="91">
        <f>IF($R$1785&gt;0,IPMT('Assumptions (MSW)'!$V$6,Model!AH$1,'Assumptions (MSW)'!$V$9,'Assumptions (MSW)'!$V$4*Model!$R$1785*AVERAGE('Assumptions (MSW)'!$N$2:$P$2)/10^9),0)</f>
        <v>-7.3871672290314475E-3</v>
      </c>
      <c r="AD1909" s="91">
        <f>IF($R$1785&gt;0,IPMT('Assumptions (MSW)'!$V$6,Model!AI$1,'Assumptions (MSW)'!$V$9,'Assumptions (MSW)'!$V$4*Model!$R$1785*AVERAGE('Assumptions (MSW)'!$N$2:$P$2)/10^9),0)</f>
        <v>-5.6668738301894868E-3</v>
      </c>
      <c r="AE1909" s="91">
        <f>IF($R$1785&gt;0,IPMT('Assumptions (MSW)'!$V$6,Model!AJ$1,'Assumptions (MSW)'!$V$9,'Assumptions (MSW)'!$V$4*Model!$R$1785*AVERAGE('Assumptions (MSW)'!$N$2:$P$2)/10^9),0)</f>
        <v>-3.8648664949025354E-3</v>
      </c>
      <c r="AF1909" s="91">
        <f>IF($R$1785&gt;0,IPMT('Assumptions (MSW)'!$V$6,Model!AK$1,'Assumptions (MSW)'!$V$9,'Assumptions (MSW)'!$V$4*Model!$R$1785*AVERAGE('Assumptions (MSW)'!$N$2:$P$2)/10^9),0)</f>
        <v>-1.9772638111894532E-3</v>
      </c>
      <c r="AG1909" s="91"/>
      <c r="AH1909" s="91"/>
      <c r="AI1909" s="91"/>
      <c r="AJ1909" s="91"/>
      <c r="AK1909" s="91"/>
      <c r="AL1909" s="91"/>
      <c r="AM1909" s="91"/>
      <c r="AN1909" s="91"/>
      <c r="AO1909" s="91"/>
      <c r="AP1909" s="91"/>
    </row>
    <row r="1910" spans="1:53" ht="15.75" hidden="1" customHeight="1" outlineLevel="1">
      <c r="A1910" s="435"/>
      <c r="B1910" s="99"/>
      <c r="C1910" s="105"/>
      <c r="D1910" s="105"/>
      <c r="E1910" s="105"/>
      <c r="F1910" s="105"/>
      <c r="G1910" s="105"/>
      <c r="H1910" s="105"/>
      <c r="I1910" s="105"/>
      <c r="J1910" s="105"/>
      <c r="K1910" s="105"/>
      <c r="L1910" s="105"/>
      <c r="M1910" s="105"/>
      <c r="N1910" s="105"/>
      <c r="O1910" s="105"/>
      <c r="P1910" s="171"/>
      <c r="Q1910" s="105"/>
      <c r="R1910" s="91"/>
      <c r="S1910" s="105">
        <f>IF($S$1785&gt;0,IPMT('Assumptions (MSW)'!$V$6,Model!W$1,'Assumptions (MSW)'!$V$9,'Assumptions (MSW)'!$V$4*Model!$S$1785*AVERAGE('Assumptions (MSW)'!$O$2:$Q$2)/10^9),0)</f>
        <v>-1.8210053998398652E-2</v>
      </c>
      <c r="T1910" s="105">
        <f>IF($S$1785&gt;0,IPMT('Assumptions (MSW)'!$V$6,Model!X$1,'Assumptions (MSW)'!$V$9,'Assumptions (MSW)'!$V$4*Model!$S$1785*AVERAGE('Assumptions (MSW)'!$O$2:$Q$2)/10^9),0)</f>
        <v>-1.7350154590911077E-2</v>
      </c>
      <c r="U1910" s="105">
        <f>IF($S$1785&gt;0,IPMT('Assumptions (MSW)'!$V$6,Model!Y$1,'Assumptions (MSW)'!$V$9,'Assumptions (MSW)'!$V$4*Model!$S$1785*AVERAGE('Assumptions (MSW)'!$O$2:$Q$2)/10^9),0)</f>
        <v>-1.6449409961567841E-2</v>
      </c>
      <c r="V1910" s="105">
        <f>IF($S$1785&gt;0,IPMT('Assumptions (MSW)'!$V$6,Model!Z$1,'Assumptions (MSW)'!$V$9,'Assumptions (MSW)'!$V$4*Model!$S$1785*AVERAGE('Assumptions (MSW)'!$O$2:$Q$2)/10^9),0)</f>
        <v>-1.5505879962330804E-2</v>
      </c>
      <c r="W1910" s="105">
        <f>IF($S$1785&gt;0,IPMT('Assumptions (MSW)'!$V$6,Model!AA$1,'Assumptions (MSW)'!$V$9,'Assumptions (MSW)'!$V$4*Model!$S$1785*AVERAGE('Assumptions (MSW)'!$O$2:$Q$2)/10^9),0)</f>
        <v>-1.4517532288130011E-2</v>
      </c>
      <c r="X1910" s="105">
        <f>IF($S$1785&gt;0,IPMT('Assumptions (MSW)'!$V$6,Model!AB$1,'Assumptions (MSW)'!$V$9,'Assumptions (MSW)'!$V$4*Model!$S$1785*AVERAGE('Assumptions (MSW)'!$O$2:$Q$2)/10^9),0)</f>
        <v>-1.3482238099404676E-2</v>
      </c>
      <c r="Y1910" s="105">
        <f>IF($S$1785&gt;0,IPMT('Assumptions (MSW)'!$V$6,Model!AC$1,'Assumptions (MSW)'!$V$9,'Assumptions (MSW)'!$V$4*Model!$S$1785*AVERAGE('Assumptions (MSW)'!$O$2:$Q$2)/10^9),0)</f>
        <v>-1.239776743671489E-2</v>
      </c>
      <c r="Z1910" s="105">
        <f>IF($S$1785&gt;0,IPMT('Assumptions (MSW)'!$V$6,Model!AD$1,'Assumptions (MSW)'!$V$9,'Assumptions (MSW)'!$V$4*Model!$S$1785*AVERAGE('Assumptions (MSW)'!$O$2:$Q$2)/10^9),0)</f>
        <v>-1.1261784417547337E-2</v>
      </c>
      <c r="AA1910" s="105">
        <f>IF($S$1785&gt;0,IPMT('Assumptions (MSW)'!$V$6,Model!AE$1,'Assumptions (MSW)'!$V$9,'Assumptions (MSW)'!$V$4*Model!$S$1785*AVERAGE('Assumptions (MSW)'!$O$2:$Q$2)/10^9),0)</f>
        <v>-1.0071842204969331E-2</v>
      </c>
      <c r="AB1910" s="105">
        <f>IF($S$1785&gt;0,IPMT('Assumptions (MSW)'!$V$6,Model!AF$1,'Assumptions (MSW)'!$V$9,'Assumptions (MSW)'!$V$4*Model!$S$1785*AVERAGE('Assumptions (MSW)'!$O$2:$Q$2)/10^9),0)</f>
        <v>-8.8253777372938654E-3</v>
      </c>
      <c r="AC1910" s="105">
        <f>IF($S$1785&gt;0,IPMT('Assumptions (MSW)'!$V$6,Model!AG$1,'Assumptions (MSW)'!$V$9,'Assumptions (MSW)'!$V$4*Model!$S$1785*AVERAGE('Assumptions (MSW)'!$O$2:$Q$2)/10^9),0)</f>
        <v>-7.5197062074038139E-3</v>
      </c>
      <c r="AD1910" s="105">
        <f>IF($S$1785&gt;0,IPMT('Assumptions (MSW)'!$V$6,Model!AH$1,'Assumptions (MSW)'!$V$9,'Assumptions (MSW)'!$V$4*Model!$S$1785*AVERAGE('Assumptions (MSW)'!$O$2:$Q$2)/10^9),0)</f>
        <v>-6.1520152798439877E-3</v>
      </c>
      <c r="AE1910" s="105">
        <f>IF($S$1785&gt;0,IPMT('Assumptions (MSW)'!$V$6,Model!AI$1,'Assumptions (MSW)'!$V$9,'Assumptions (MSW)'!$V$4*Model!$S$1785*AVERAGE('Assumptions (MSW)'!$O$2:$Q$2)/10^9),0)</f>
        <v>-4.719359033225067E-3</v>
      </c>
      <c r="AF1910" s="105">
        <f>IF($S$1785&gt;0,IPMT('Assumptions (MSW)'!$V$6,Model!AJ$1,'Assumptions (MSW)'!$V$9,'Assumptions (MSW)'!$V$4*Model!$S$1785*AVERAGE('Assumptions (MSW)'!$O$2:$Q$2)/10^9),0)</f>
        <v>-3.2186516148917485E-3</v>
      </c>
      <c r="AG1910" s="105">
        <f>IF($S$1785&gt;0,IPMT('Assumptions (MSW)'!$V$6,Model!AK$1,'Assumptions (MSW)'!$V$9,'Assumptions (MSW)'!$V$4*Model!$S$1785*AVERAGE('Assumptions (MSW)'!$O$2:$Q$2)/10^9),0)</f>
        <v>-1.6466605941875977E-3</v>
      </c>
      <c r="AH1910" s="105"/>
      <c r="AI1910" s="105"/>
      <c r="AJ1910" s="105"/>
      <c r="AK1910" s="105"/>
      <c r="AL1910" s="105"/>
      <c r="AM1910" s="105"/>
      <c r="AN1910" s="105"/>
      <c r="AO1910" s="105"/>
      <c r="AP1910" s="105"/>
      <c r="AQ1910" s="105"/>
    </row>
    <row r="1911" spans="1:53" ht="15.75" hidden="1" customHeight="1" outlineLevel="1">
      <c r="A1911" s="435"/>
      <c r="B1911" s="99"/>
      <c r="C1911" s="105"/>
      <c r="D1911" s="105"/>
      <c r="E1911" s="105"/>
      <c r="F1911" s="105"/>
      <c r="G1911" s="105"/>
      <c r="H1911" s="105"/>
      <c r="I1911" s="105"/>
      <c r="J1911" s="105"/>
      <c r="K1911" s="105"/>
      <c r="L1911" s="105"/>
      <c r="M1911" s="105"/>
      <c r="N1911" s="105"/>
      <c r="O1911" s="105"/>
      <c r="P1911" s="171"/>
      <c r="Q1911" s="105"/>
      <c r="R1911" s="91"/>
      <c r="S1911" s="91"/>
      <c r="T1911" s="105">
        <f>IF($T$1785&gt;0,IPMT('Assumptions (MSW)'!$V$6,Model!W$1,'Assumptions (MSW)'!$V$9,'Assumptions (MSW)'!$V$4*Model!$T$1785*AVERAGE('Assumptions (MSW)'!$P$2:$R$2)/10^9),0)</f>
        <v>-7.1092227821208812E-3</v>
      </c>
      <c r="U1911" s="105">
        <f>IF($T$1785&gt;0,IPMT('Assumptions (MSW)'!$V$6,Model!X$1,'Assumptions (MSW)'!$V$9,'Assumptions (MSW)'!$V$4*Model!$T$1785*AVERAGE('Assumptions (MSW)'!$P$2:$R$2)/10^9),0)</f>
        <v>-6.7735172175695359E-3</v>
      </c>
      <c r="V1911" s="105">
        <f>IF($T$1785&gt;0,IPMT('Assumptions (MSW)'!$V$6,Model!Y$1,'Assumptions (MSW)'!$V$9,'Assumptions (MSW)'!$V$4*Model!$T$1785*AVERAGE('Assumptions (MSW)'!$P$2:$R$2)/10^9),0)</f>
        <v>-6.4218656387019998E-3</v>
      </c>
      <c r="W1911" s="105">
        <f>IF($T$1785&gt;0,IPMT('Assumptions (MSW)'!$V$6,Model!Z$1,'Assumptions (MSW)'!$V$9,'Assumptions (MSW)'!$V$4*Model!$T$1785*AVERAGE('Assumptions (MSW)'!$P$2:$R$2)/10^9),0)</f>
        <v>-6.0535106098382587E-3</v>
      </c>
      <c r="X1911" s="105">
        <f>IF($T$1785&gt;0,IPMT('Assumptions (MSW)'!$V$6,Model!AA$1,'Assumptions (MSW)'!$V$9,'Assumptions (MSW)'!$V$4*Model!$T$1785*AVERAGE('Assumptions (MSW)'!$P$2:$R$2)/10^9),0)</f>
        <v>-5.6676587171034893E-3</v>
      </c>
      <c r="Y1911" s="105">
        <f>IF($T$1785&gt;0,IPMT('Assumptions (MSW)'!$V$6,Model!AB$1,'Assumptions (MSW)'!$V$9,'Assumptions (MSW)'!$V$4*Model!$T$1785*AVERAGE('Assumptions (MSW)'!$P$2:$R$2)/10^9),0)</f>
        <v>-5.2634788594638181E-3</v>
      </c>
      <c r="Z1911" s="105">
        <f>IF($T$1785&gt;0,IPMT('Assumptions (MSW)'!$V$6,Model!AC$1,'Assumptions (MSW)'!$V$9,'Assumptions (MSW)'!$V$4*Model!$T$1785*AVERAGE('Assumptions (MSW)'!$P$2:$R$2)/10^9),0)</f>
        <v>-4.8401004585862618E-3</v>
      </c>
      <c r="AA1911" s="105">
        <f>IF($T$1785&gt;0,IPMT('Assumptions (MSW)'!$V$6,Model!AD$1,'Assumptions (MSW)'!$V$9,'Assumptions (MSW)'!$V$4*Model!$T$1785*AVERAGE('Assumptions (MSW)'!$P$2:$R$2)/10^9),0)</f>
        <v>-4.3966115836670226E-3</v>
      </c>
      <c r="AB1911" s="105">
        <f>IF($T$1785&gt;0,IPMT('Assumptions (MSW)'!$V$6,Model!AE$1,'Assumptions (MSW)'!$V$9,'Assumptions (MSW)'!$V$4*Model!$T$1785*AVERAGE('Assumptions (MSW)'!$P$2:$R$2)/10^9),0)</f>
        <v>-3.9320569871891201E-3</v>
      </c>
      <c r="AC1911" s="105">
        <f>IF($T$1785&gt;0,IPMT('Assumptions (MSW)'!$V$6,Model!AF$1,'Assumptions (MSW)'!$V$9,'Assumptions (MSW)'!$V$4*Model!$T$1785*AVERAGE('Assumptions (MSW)'!$P$2:$R$2)/10^9),0)</f>
        <v>-3.4454360473785157E-3</v>
      </c>
      <c r="AD1911" s="105">
        <f>IF($T$1785&gt;0,IPMT('Assumptions (MSW)'!$V$6,Model!AG$1,'Assumptions (MSW)'!$V$9,'Assumptions (MSW)'!$V$4*Model!$T$1785*AVERAGE('Assumptions (MSW)'!$P$2:$R$2)/10^9),0)</f>
        <v>-2.9357006129269079E-3</v>
      </c>
      <c r="AE1911" s="105">
        <f>IF($T$1785&gt;0,IPMT('Assumptions (MSW)'!$V$6,Model!AH$1,'Assumptions (MSW)'!$V$9,'Assumptions (MSW)'!$V$4*Model!$T$1785*AVERAGE('Assumptions (MSW)'!$P$2:$R$2)/10^9),0)</f>
        <v>-2.4017527453388493E-3</v>
      </c>
      <c r="AF1911" s="105">
        <f>IF($T$1785&gt;0,IPMT('Assumptions (MSW)'!$V$6,Model!AI$1,'Assumptions (MSW)'!$V$9,'Assumptions (MSW)'!$V$4*Model!$T$1785*AVERAGE('Assumptions (MSW)'!$P$2:$R$2)/10^9),0)</f>
        <v>-1.8424423540403568E-3</v>
      </c>
      <c r="AG1911" s="105">
        <f>IF($T$1785&gt;0,IPMT('Assumptions (MSW)'!$V$6,Model!AJ$1,'Assumptions (MSW)'!$V$9,'Assumptions (MSW)'!$V$4*Model!$T$1785*AVERAGE('Assumptions (MSW)'!$P$2:$R$2)/10^9),0)</f>
        <v>-1.2565647191551867E-3</v>
      </c>
      <c r="AH1911" s="105">
        <f>IF($T$1785&gt;0,IPMT('Assumptions (MSW)'!$V$6,Model!AK$1,'Assumptions (MSW)'!$V$9,'Assumptions (MSW)'!$V$4*Model!$T$1785*AVERAGE('Assumptions (MSW)'!$P$2:$R$2)/10^9),0)</f>
        <v>-6.4285789661297098E-4</v>
      </c>
      <c r="AI1911" s="105"/>
      <c r="AJ1911" s="105"/>
      <c r="AK1911" s="105"/>
      <c r="AL1911" s="105"/>
      <c r="AM1911" s="105"/>
      <c r="AN1911" s="105"/>
      <c r="AO1911" s="105"/>
      <c r="AP1911" s="105"/>
      <c r="AQ1911" s="105"/>
      <c r="AR1911" s="105"/>
    </row>
    <row r="1912" spans="1:53" ht="15.75" hidden="1" customHeight="1" outlineLevel="1">
      <c r="A1912" s="435"/>
      <c r="B1912" s="99"/>
      <c r="C1912" s="105"/>
      <c r="D1912" s="105"/>
      <c r="E1912" s="105"/>
      <c r="F1912" s="105"/>
      <c r="G1912" s="105"/>
      <c r="H1912" s="105"/>
      <c r="I1912" s="105"/>
      <c r="J1912" s="105"/>
      <c r="K1912" s="105"/>
      <c r="L1912" s="105"/>
      <c r="M1912" s="105"/>
      <c r="N1912" s="105"/>
      <c r="O1912" s="105"/>
      <c r="P1912" s="171"/>
      <c r="Q1912" s="105"/>
      <c r="R1912" s="91"/>
      <c r="S1912" s="91"/>
      <c r="T1912" s="91"/>
      <c r="U1912" s="105">
        <f>IF($U$1785&gt;0,IPMT('Assumptions (MSW)'!$V$6,Model!W$1,'Assumptions (MSW)'!$V$9,'Assumptions (MSW)'!$V$4*Model!$U$1785*AVERAGE('Assumptions (MSW)'!$Q$2:$S$2)/10^9),0)</f>
        <v>-3.6832544699750094E-4</v>
      </c>
      <c r="V1912" s="105">
        <f>IF($U$1785&gt;0,IPMT('Assumptions (MSW)'!$V$6,Model!X$1,'Assumptions (MSW)'!$V$9,'Assumptions (MSW)'!$V$4*Model!$U$1785*AVERAGE('Assumptions (MSW)'!$Q$2:$S$2)/10^9),0)</f>
        <v>-3.5093270155788831E-4</v>
      </c>
      <c r="W1912" s="105">
        <f>IF($U$1785&gt;0,IPMT('Assumptions (MSW)'!$V$6,Model!Y$1,'Assumptions (MSW)'!$V$9,'Assumptions (MSW)'!$V$4*Model!$U$1785*AVERAGE('Assumptions (MSW)'!$Q$2:$S$2)/10^9),0)</f>
        <v>-3.3271380070989411E-4</v>
      </c>
      <c r="X1912" s="105">
        <f>IF($U$1785&gt;0,IPMT('Assumptions (MSW)'!$V$6,Model!Z$1,'Assumptions (MSW)'!$V$9,'Assumptions (MSW)'!$V$4*Model!$U$1785*AVERAGE('Assumptions (MSW)'!$Q$2:$S$2)/10^9),0)</f>
        <v>-3.1362950207162028E-4</v>
      </c>
      <c r="Y1912" s="105">
        <f>IF($U$1785&gt;0,IPMT('Assumptions (MSW)'!$V$6,Model!AA$1,'Assumptions (MSW)'!$V$9,'Assumptions (MSW)'!$V$4*Model!$U$1785*AVERAGE('Assumptions (MSW)'!$Q$2:$S$2)/10^9),0)</f>
        <v>-2.9363869924802839E-4</v>
      </c>
      <c r="Z1912" s="105">
        <f>IF($U$1785&gt;0,IPMT('Assumptions (MSW)'!$V$6,Model!AB$1,'Assumptions (MSW)'!$V$9,'Assumptions (MSW)'!$V$4*Model!$U$1785*AVERAGE('Assumptions (MSW)'!$Q$2:$S$2)/10^9),0)</f>
        <v>-2.726983332903159E-4</v>
      </c>
      <c r="AA1912" s="105">
        <f>IF($U$1785&gt;0,IPMT('Assumptions (MSW)'!$V$6,Model!AC$1,'Assumptions (MSW)'!$V$9,'Assumptions (MSW)'!$V$4*Model!$U$1785*AVERAGE('Assumptions (MSW)'!$Q$2:$S$2)/10^9),0)</f>
        <v>-2.5076329994961206E-4</v>
      </c>
      <c r="AB1912" s="105">
        <f>IF($U$1785&gt;0,IPMT('Assumptions (MSW)'!$V$6,Model!AD$1,'Assumptions (MSW)'!$V$9,'Assumptions (MSW)'!$V$4*Model!$U$1785*AVERAGE('Assumptions (MSW)'!$Q$2:$S$2)/10^9),0)</f>
        <v>-2.2778635252522478E-4</v>
      </c>
      <c r="AC1912" s="105">
        <f>IF($U$1785&gt;0,IPMT('Assumptions (MSW)'!$V$6,Model!AE$1,'Assumptions (MSW)'!$V$9,'Assumptions (MSW)'!$V$4*Model!$U$1785*AVERAGE('Assumptions (MSW)'!$Q$2:$S$2)/10^9),0)</f>
        <v>-2.0371800009817917E-4</v>
      </c>
      <c r="AD1912" s="105">
        <f>IF($U$1785&gt;0,IPMT('Assumptions (MSW)'!$V$6,Model!AF$1,'Assumptions (MSW)'!$V$9,'Assumptions (MSW)'!$V$4*Model!$U$1785*AVERAGE('Assumptions (MSW)'!$Q$2:$S$2)/10^9),0)</f>
        <v>-1.7850640093084881E-4</v>
      </c>
      <c r="AE1912" s="105">
        <f>IF($U$1785&gt;0,IPMT('Assumptions (MSW)'!$V$6,Model!AG$1,'Assumptions (MSW)'!$V$9,'Assumptions (MSW)'!$V$4*Model!$U$1785*AVERAGE('Assumptions (MSW)'!$Q$2:$S$2)/10^9),0)</f>
        <v>-1.5209725080307028E-4</v>
      </c>
      <c r="AF1912" s="105">
        <f>IF($U$1785&gt;0,IPMT('Assumptions (MSW)'!$V$6,Model!AH$1,'Assumptions (MSW)'!$V$9,'Assumptions (MSW)'!$V$4*Model!$U$1785*AVERAGE('Assumptions (MSW)'!$Q$2:$S$2)/10^9),0)</f>
        <v>-1.2443366604422229E-4</v>
      </c>
      <c r="AG1912" s="105">
        <f>IF($U$1785&gt;0,IPMT('Assumptions (MSW)'!$V$6,Model!AI$1,'Assumptions (MSW)'!$V$9,'Assumptions (MSW)'!$V$4*Model!$U$1785*AVERAGE('Assumptions (MSW)'!$Q$2:$S$2)/10^9),0)</f>
        <v>-9.5456061009328966E-5</v>
      </c>
      <c r="AH1912" s="105">
        <f>IF($U$1785&gt;0,IPMT('Assumptions (MSW)'!$V$6,Model!AJ$1,'Assumptions (MSW)'!$V$9,'Assumptions (MSW)'!$V$4*Model!$U$1785*AVERAGE('Assumptions (MSW)'!$Q$2:$S$2)/10^9),0)</f>
        <v>-6.5102019735278246E-5</v>
      </c>
      <c r="AI1912" s="105">
        <f>IF($U$1785&gt;0,IPMT('Assumptions (MSW)'!$V$6,Model!AK$1,'Assumptions (MSW)'!$V$9,'Assumptions (MSW)'!$V$4*Model!$U$1785*AVERAGE('Assumptions (MSW)'!$Q$2:$S$2)/10^9),0)</f>
        <v>-3.3306161500710113E-5</v>
      </c>
      <c r="AJ1912" s="105"/>
      <c r="AK1912" s="105"/>
      <c r="AL1912" s="105"/>
      <c r="AM1912" s="105"/>
      <c r="AN1912" s="105"/>
      <c r="AO1912" s="105"/>
      <c r="AP1912" s="105"/>
      <c r="AQ1912" s="105"/>
      <c r="AR1912" s="105"/>
      <c r="AS1912" s="105"/>
    </row>
    <row r="1913" spans="1:53" ht="15.75" hidden="1" customHeight="1" outlineLevel="1">
      <c r="A1913" s="435"/>
      <c r="B1913" s="99"/>
      <c r="C1913" s="105"/>
      <c r="D1913" s="105"/>
      <c r="E1913" s="105"/>
      <c r="F1913" s="105"/>
      <c r="G1913" s="105"/>
      <c r="H1913" s="105"/>
      <c r="I1913" s="105"/>
      <c r="J1913" s="105"/>
      <c r="K1913" s="105"/>
      <c r="L1913" s="105"/>
      <c r="M1913" s="105"/>
      <c r="N1913" s="105"/>
      <c r="O1913" s="105"/>
      <c r="P1913" s="171"/>
      <c r="Q1913" s="105"/>
      <c r="R1913" s="91"/>
      <c r="S1913" s="91"/>
      <c r="T1913" s="91"/>
      <c r="U1913" s="105"/>
      <c r="V1913" s="105">
        <f>IF($V$1785&gt;0,IPMT('Assumptions (MSW)'!$V$6,Model!W$1,'Assumptions (MSW)'!$V$9,'Assumptions (MSW)'!$V$4*Model!$V$1785*AVERAGE('Assumptions (MSW)'!$R$2:$T$2)/10^9),0)</f>
        <v>-1.0801143733201715E-3</v>
      </c>
      <c r="W1913" s="105">
        <f>IF($V$1785&gt;0,IPMT('Assumptions (MSW)'!$V$6,Model!X$1,'Assumptions (MSW)'!$V$9,'Assumptions (MSW)'!$V$4*Model!$V$1785*AVERAGE('Assumptions (MSW)'!$R$2:$T$2)/10^9),0)</f>
        <v>-1.0291101473185076E-3</v>
      </c>
      <c r="X1913" s="105">
        <f>IF($V$1785&gt;0,IPMT('Assumptions (MSW)'!$V$6,Model!Y$1,'Assumptions (MSW)'!$V$9,'Assumptions (MSW)'!$V$4*Model!$V$1785*AVERAGE('Assumptions (MSW)'!$R$2:$T$2)/10^9),0)</f>
        <v>-9.7568322058176464E-4</v>
      </c>
      <c r="Y1913" s="105">
        <f>IF($V$1785&gt;0,IPMT('Assumptions (MSW)'!$V$6,Model!Z$1,'Assumptions (MSW)'!$V$9,'Assumptions (MSW)'!$V$4*Model!$V$1785*AVERAGE('Assumptions (MSW)'!$R$2:$T$2)/10^9),0)</f>
        <v>-9.197185148250265E-4</v>
      </c>
      <c r="Z1913" s="105">
        <f>IF($V$1785&gt;0,IPMT('Assumptions (MSW)'!$V$6,Model!AA$1,'Assumptions (MSW)'!$V$9,'Assumptions (MSW)'!$V$4*Model!$V$1785*AVERAGE('Assumptions (MSW)'!$R$2:$T$2)/10^9),0)</f>
        <v>-8.6109548554484335E-4</v>
      </c>
      <c r="AA1913" s="105">
        <f>IF($V$1785&gt;0,IPMT('Assumptions (MSW)'!$V$6,Model!AB$1,'Assumptions (MSW)'!$V$9,'Assumptions (MSW)'!$V$4*Model!$V$1785*AVERAGE('Assumptions (MSW)'!$R$2:$T$2)/10^9),0)</f>
        <v>-7.9968786237385146E-4</v>
      </c>
      <c r="AB1913" s="105">
        <f>IF($V$1785&gt;0,IPMT('Assumptions (MSW)'!$V$6,Model!AC$1,'Assumptions (MSW)'!$V$9,'Assumptions (MSW)'!$V$4*Model!$V$1785*AVERAGE('Assumptions (MSW)'!$R$2:$T$2)/10^9),0)</f>
        <v>-7.353633771022374E-4</v>
      </c>
      <c r="AC1913" s="105">
        <f>IF($V$1785&gt;0,IPMT('Assumptions (MSW)'!$V$6,Model!AD$1,'Assumptions (MSW)'!$V$9,'Assumptions (MSW)'!$V$4*Model!$V$1785*AVERAGE('Assumptions (MSW)'!$R$2:$T$2)/10^9),0)</f>
        <v>-6.6798347878022177E-4</v>
      </c>
      <c r="AD1913" s="105">
        <f>IF($V$1785&gt;0,IPMT('Assumptions (MSW)'!$V$6,Model!AE$1,'Assumptions (MSW)'!$V$9,'Assumptions (MSW)'!$V$4*Model!$V$1785*AVERAGE('Assumptions (MSW)'!$R$2:$T$2)/10^9),0)</f>
        <v>-5.9740303528791044E-4</v>
      </c>
      <c r="AE1913" s="105">
        <f>IF($V$1785&gt;0,IPMT('Assumptions (MSW)'!$V$6,Model!AF$1,'Assumptions (MSW)'!$V$9,'Assumptions (MSW)'!$V$4*Model!$V$1785*AVERAGE('Assumptions (MSW)'!$R$2:$T$2)/10^9),0)</f>
        <v>-5.2347002072971422E-4</v>
      </c>
      <c r="AF1913" s="105">
        <f>IF($V$1785&gt;0,IPMT('Assumptions (MSW)'!$V$6,Model!AG$1,'Assumptions (MSW)'!$V$9,'Assumptions (MSW)'!$V$4*Model!$V$1785*AVERAGE('Assumptions (MSW)'!$R$2:$T$2)/10^9),0)</f>
        <v>-4.4602518798000359E-4</v>
      </c>
      <c r="AG1913" s="105">
        <f>IF($V$1785&gt;0,IPMT('Assumptions (MSW)'!$V$6,Model!AH$1,'Assumptions (MSW)'!$V$9,'Assumptions (MSW)'!$V$4*Model!$V$1785*AVERAGE('Assumptions (MSW)'!$R$2:$T$2)/10^9),0)</f>
        <v>-3.6490172567468191E-4</v>
      </c>
      <c r="AH1913" s="105">
        <f>IF($V$1785&gt;0,IPMT('Assumptions (MSW)'!$V$6,Model!AI$1,'Assumptions (MSW)'!$V$9,'Assumptions (MSW)'!$V$4*Model!$V$1785*AVERAGE('Assumptions (MSW)'!$R$2:$T$2)/10^9),0)</f>
        <v>-2.7992489890985722E-4</v>
      </c>
      <c r="AI1913" s="105">
        <f>IF($V$1785&gt;0,IPMT('Assumptions (MSW)'!$V$6,Model!AJ$1,'Assumptions (MSW)'!$V$9,'Assumptions (MSW)'!$V$4*Model!$V$1785*AVERAGE('Assumptions (MSW)'!$R$2:$T$2)/10^9),0)</f>
        <v>-1.9091167287370347E-4</v>
      </c>
      <c r="AJ1913" s="105">
        <f>IF($V$1785&gt;0,IPMT('Assumptions (MSW)'!$V$6,Model!AK$1,'Assumptions (MSW)'!$V$9,'Assumptions (MSW)'!$V$4*Model!$V$1785*AVERAGE('Assumptions (MSW)'!$R$2:$T$2)/10^9),0)</f>
        <v>-9.7670318600832408E-5</v>
      </c>
      <c r="AK1913" s="105"/>
      <c r="AL1913" s="105"/>
      <c r="AM1913" s="105"/>
      <c r="AN1913" s="105"/>
      <c r="AO1913" s="105"/>
      <c r="AP1913" s="105"/>
      <c r="AQ1913" s="105"/>
      <c r="AR1913" s="105"/>
      <c r="AS1913" s="105"/>
      <c r="AT1913" s="105"/>
    </row>
    <row r="1914" spans="1:53" ht="15.75" hidden="1" customHeight="1" outlineLevel="1">
      <c r="A1914" s="435"/>
      <c r="B1914" s="99"/>
      <c r="C1914" s="99"/>
      <c r="D1914" s="99"/>
      <c r="E1914" s="99"/>
      <c r="F1914" s="99"/>
      <c r="G1914" s="99"/>
      <c r="H1914" s="99"/>
      <c r="I1914" s="99"/>
      <c r="J1914" s="99"/>
      <c r="K1914" s="99"/>
      <c r="L1914" s="99"/>
      <c r="M1914" s="99"/>
      <c r="N1914" s="99"/>
      <c r="O1914" s="99"/>
      <c r="P1914" s="99"/>
      <c r="Q1914" s="99"/>
      <c r="R1914" s="99"/>
      <c r="S1914" s="99"/>
      <c r="T1914" s="99"/>
      <c r="U1914" s="99"/>
      <c r="V1914" s="99"/>
      <c r="W1914" s="105">
        <f>IF($W$1785&gt;0,IPMT('Assumptions (MSW)'!$V$6,Model!W$1,'Assumptions (MSW)'!$V$9,'Assumptions (MSW)'!$V$4*Model!$W$1785*AVERAGE('Assumptions (MSW)'!$S$2:$U$2)/10^9),0)</f>
        <v>0</v>
      </c>
      <c r="X1914" s="105">
        <f>IF($W$1785&gt;0,IPMT('Assumptions (MSW)'!$V$6,Model!X$1,'Assumptions (MSW)'!$V$9,'Assumptions (MSW)'!$V$4*Model!$W$1785*AVERAGE('Assumptions (MSW)'!$S$2:$U$2)/10^9),0)</f>
        <v>0</v>
      </c>
      <c r="Y1914" s="105">
        <f>IF($W$1785&gt;0,IPMT('Assumptions (MSW)'!$V$6,Model!Y$1,'Assumptions (MSW)'!$V$9,'Assumptions (MSW)'!$V$4*Model!$W$1785*AVERAGE('Assumptions (MSW)'!$S$2:$U$2)/10^9),0)</f>
        <v>0</v>
      </c>
      <c r="Z1914" s="105">
        <f>IF($W$1785&gt;0,IPMT('Assumptions (MSW)'!$V$6,Model!Z$1,'Assumptions (MSW)'!$V$9,'Assumptions (MSW)'!$V$4*Model!$W$1785*AVERAGE('Assumptions (MSW)'!$S$2:$U$2)/10^9),0)</f>
        <v>0</v>
      </c>
      <c r="AA1914" s="105">
        <f>IF($W$1785&gt;0,IPMT('Assumptions (MSW)'!$V$6,Model!AA$1,'Assumptions (MSW)'!$V$9,'Assumptions (MSW)'!$V$4*Model!$W$1785*AVERAGE('Assumptions (MSW)'!$S$2:$U$2)/10^9),0)</f>
        <v>0</v>
      </c>
      <c r="AB1914" s="105">
        <f>IF($W$1785&gt;0,IPMT('Assumptions (MSW)'!$V$6,Model!AB$1,'Assumptions (MSW)'!$V$9,'Assumptions (MSW)'!$V$4*Model!$W$1785*AVERAGE('Assumptions (MSW)'!$S$2:$U$2)/10^9),0)</f>
        <v>0</v>
      </c>
      <c r="AC1914" s="105">
        <f>IF($W$1785&gt;0,IPMT('Assumptions (MSW)'!$V$6,Model!AC$1,'Assumptions (MSW)'!$V$9,'Assumptions (MSW)'!$V$4*Model!$W$1785*AVERAGE('Assumptions (MSW)'!$S$2:$U$2)/10^9),0)</f>
        <v>0</v>
      </c>
      <c r="AD1914" s="105">
        <f>IF($W$1785&gt;0,IPMT('Assumptions (MSW)'!$V$6,Model!AD$1,'Assumptions (MSW)'!$V$9,'Assumptions (MSW)'!$V$4*Model!$W$1785*AVERAGE('Assumptions (MSW)'!$S$2:$U$2)/10^9),0)</f>
        <v>0</v>
      </c>
      <c r="AE1914" s="105">
        <f>IF($W$1785&gt;0,IPMT('Assumptions (MSW)'!$V$6,Model!AE$1,'Assumptions (MSW)'!$V$9,'Assumptions (MSW)'!$V$4*Model!$W$1785*AVERAGE('Assumptions (MSW)'!$S$2:$U$2)/10^9),0)</f>
        <v>0</v>
      </c>
      <c r="AF1914" s="105">
        <f>IF($W$1785&gt;0,IPMT('Assumptions (MSW)'!$V$6,Model!AF$1,'Assumptions (MSW)'!$V$9,'Assumptions (MSW)'!$V$4*Model!$W$1785*AVERAGE('Assumptions (MSW)'!$S$2:$U$2)/10^9),0)</f>
        <v>0</v>
      </c>
      <c r="AG1914" s="105">
        <f>IF($W$1785&gt;0,IPMT('Assumptions (MSW)'!$V$6,Model!AG$1,'Assumptions (MSW)'!$V$9,'Assumptions (MSW)'!$V$4*Model!$W$1785*AVERAGE('Assumptions (MSW)'!$S$2:$U$2)/10^9),0)</f>
        <v>0</v>
      </c>
      <c r="AH1914" s="105">
        <f>IF($W$1785&gt;0,IPMT('Assumptions (MSW)'!$V$6,Model!AH$1,'Assumptions (MSW)'!$V$9,'Assumptions (MSW)'!$V$4*Model!$W$1785*AVERAGE('Assumptions (MSW)'!$S$2:$U$2)/10^9),0)</f>
        <v>0</v>
      </c>
      <c r="AI1914" s="105">
        <f>IF($W$1785&gt;0,IPMT('Assumptions (MSW)'!$V$6,Model!AI$1,'Assumptions (MSW)'!$V$9,'Assumptions (MSW)'!$V$4*Model!$W$1785*AVERAGE('Assumptions (MSW)'!$S$2:$U$2)/10^9),0)</f>
        <v>0</v>
      </c>
      <c r="AJ1914" s="105">
        <f>IF($W$1785&gt;0,IPMT('Assumptions (MSW)'!$V$6,Model!AJ$1,'Assumptions (MSW)'!$V$9,'Assumptions (MSW)'!$V$4*Model!$W$1785*AVERAGE('Assumptions (MSW)'!$S$2:$U$2)/10^9),0)</f>
        <v>0</v>
      </c>
      <c r="AK1914" s="105">
        <f>IF($W$1785&gt;0,IPMT('Assumptions (MSW)'!$V$6,Model!AK$1,'Assumptions (MSW)'!$V$9,'Assumptions (MSW)'!$V$4*Model!$W$1785*AVERAGE('Assumptions (MSW)'!$S$2:$U$2)/10^9),0)</f>
        <v>0</v>
      </c>
      <c r="AL1914" s="105"/>
      <c r="AM1914" s="105"/>
      <c r="AN1914" s="105"/>
      <c r="AO1914" s="105"/>
      <c r="AP1914" s="105"/>
      <c r="AQ1914" s="105"/>
      <c r="AR1914" s="105"/>
      <c r="AS1914" s="105"/>
      <c r="AT1914" s="105"/>
      <c r="AU1914" s="105"/>
      <c r="AV1914" s="105"/>
      <c r="AW1914" s="105"/>
      <c r="AX1914" s="105"/>
      <c r="AY1914" s="105"/>
      <c r="AZ1914" s="105"/>
      <c r="BA1914" s="105"/>
    </row>
    <row r="1915" spans="1:53" ht="15.75" hidden="1" customHeight="1" outlineLevel="1">
      <c r="A1915" s="435"/>
      <c r="B1915" s="99"/>
      <c r="C1915" s="99"/>
      <c r="D1915" s="99"/>
      <c r="E1915" s="99"/>
      <c r="F1915" s="99"/>
      <c r="G1915" s="99"/>
      <c r="H1915" s="99"/>
      <c r="I1915" s="99"/>
      <c r="J1915" s="99"/>
      <c r="K1915" s="99"/>
      <c r="L1915" s="99"/>
      <c r="M1915" s="99"/>
      <c r="N1915" s="99"/>
      <c r="O1915" s="99"/>
      <c r="P1915" s="99"/>
      <c r="Q1915" s="99"/>
      <c r="R1915" s="99"/>
      <c r="S1915" s="99"/>
      <c r="T1915" s="99"/>
      <c r="U1915" s="99"/>
      <c r="V1915" s="99"/>
      <c r="W1915" s="105"/>
      <c r="X1915" s="105">
        <f>IF($X$1785&gt;0,IPMT('Assumptions (MSW)'!$V$6,Model!W$1,'Assumptions (MSW)'!$V$9,'Assumptions (MSW)'!$V$4*Model!$X$1785*AVERAGE('Assumptions (MSW)'!$T$2:$V$2)/10^9),0)</f>
        <v>0</v>
      </c>
      <c r="Y1915" s="105">
        <f>IF($X$1785&gt;0,IPMT('Assumptions (MSW)'!$V$6,Model!X$1,'Assumptions (MSW)'!$V$9,'Assumptions (MSW)'!$V$4*Model!$X$1785*AVERAGE('Assumptions (MSW)'!$T$2:$V$2)/10^9),0)</f>
        <v>0</v>
      </c>
      <c r="Z1915" s="105">
        <f>IF($X$1785&gt;0,IPMT('Assumptions (MSW)'!$V$6,Model!Y$1,'Assumptions (MSW)'!$V$9,'Assumptions (MSW)'!$V$4*Model!$X$1785*AVERAGE('Assumptions (MSW)'!$T$2:$V$2)/10^9),0)</f>
        <v>0</v>
      </c>
      <c r="AA1915" s="105">
        <f>IF($X$1785&gt;0,IPMT('Assumptions (MSW)'!$V$6,Model!Z$1,'Assumptions (MSW)'!$V$9,'Assumptions (MSW)'!$V$4*Model!$X$1785*AVERAGE('Assumptions (MSW)'!$T$2:$V$2)/10^9),0)</f>
        <v>0</v>
      </c>
      <c r="AB1915" s="105">
        <f>IF($X$1785&gt;0,IPMT('Assumptions (MSW)'!$V$6,Model!AA$1,'Assumptions (MSW)'!$V$9,'Assumptions (MSW)'!$V$4*Model!$X$1785*AVERAGE('Assumptions (MSW)'!$T$2:$V$2)/10^9),0)</f>
        <v>0</v>
      </c>
      <c r="AC1915" s="105">
        <f>IF($X$1785&gt;0,IPMT('Assumptions (MSW)'!$V$6,Model!AB$1,'Assumptions (MSW)'!$V$9,'Assumptions (MSW)'!$V$4*Model!$X$1785*AVERAGE('Assumptions (MSW)'!$T$2:$V$2)/10^9),0)</f>
        <v>0</v>
      </c>
      <c r="AD1915" s="105">
        <f>IF($X$1785&gt;0,IPMT('Assumptions (MSW)'!$V$6,Model!AC$1,'Assumptions (MSW)'!$V$9,'Assumptions (MSW)'!$V$4*Model!$X$1785*AVERAGE('Assumptions (MSW)'!$T$2:$V$2)/10^9),0)</f>
        <v>0</v>
      </c>
      <c r="AE1915" s="105">
        <f>IF($X$1785&gt;0,IPMT('Assumptions (MSW)'!$V$6,Model!AD$1,'Assumptions (MSW)'!$V$9,'Assumptions (MSW)'!$V$4*Model!$X$1785*AVERAGE('Assumptions (MSW)'!$T$2:$V$2)/10^9),0)</f>
        <v>0</v>
      </c>
      <c r="AF1915" s="105">
        <f>IF($X$1785&gt;0,IPMT('Assumptions (MSW)'!$V$6,Model!AE$1,'Assumptions (MSW)'!$V$9,'Assumptions (MSW)'!$V$4*Model!$X$1785*AVERAGE('Assumptions (MSW)'!$T$2:$V$2)/10^9),0)</f>
        <v>0</v>
      </c>
      <c r="AG1915" s="105">
        <f>IF($X$1785&gt;0,IPMT('Assumptions (MSW)'!$V$6,Model!AF$1,'Assumptions (MSW)'!$V$9,'Assumptions (MSW)'!$V$4*Model!$X$1785*AVERAGE('Assumptions (MSW)'!$T$2:$V$2)/10^9),0)</f>
        <v>0</v>
      </c>
      <c r="AH1915" s="105">
        <f>IF($X$1785&gt;0,IPMT('Assumptions (MSW)'!$V$6,Model!AG$1,'Assumptions (MSW)'!$V$9,'Assumptions (MSW)'!$V$4*Model!$X$1785*AVERAGE('Assumptions (MSW)'!$T$2:$V$2)/10^9),0)</f>
        <v>0</v>
      </c>
      <c r="AI1915" s="105">
        <f>IF($X$1785&gt;0,IPMT('Assumptions (MSW)'!$V$6,Model!AH$1,'Assumptions (MSW)'!$V$9,'Assumptions (MSW)'!$V$4*Model!$X$1785*AVERAGE('Assumptions (MSW)'!$T$2:$V$2)/10^9),0)</f>
        <v>0</v>
      </c>
      <c r="AJ1915" s="105">
        <f>IF($X$1785&gt;0,IPMT('Assumptions (MSW)'!$V$6,Model!AI$1,'Assumptions (MSW)'!$V$9,'Assumptions (MSW)'!$V$4*Model!$X$1785*AVERAGE('Assumptions (MSW)'!$T$2:$V$2)/10^9),0)</f>
        <v>0</v>
      </c>
      <c r="AK1915" s="105">
        <f>IF($X$1785&gt;0,IPMT('Assumptions (MSW)'!$V$6,Model!AJ$1,'Assumptions (MSW)'!$V$9,'Assumptions (MSW)'!$V$4*Model!$X$1785*AVERAGE('Assumptions (MSW)'!$T$2:$V$2)/10^9),0)</f>
        <v>0</v>
      </c>
      <c r="AL1915" s="105">
        <f>IF($X$1785&gt;0,IPMT('Assumptions (MSW)'!$V$6,Model!AK$1,'Assumptions (MSW)'!$V$9,'Assumptions (MSW)'!$V$4*Model!$X$1785*AVERAGE('Assumptions (MSW)'!$T$2:$V$2)/10^9),0)</f>
        <v>0</v>
      </c>
      <c r="AM1915" s="105"/>
      <c r="AN1915" s="105"/>
      <c r="AO1915" s="105"/>
      <c r="AP1915" s="105"/>
      <c r="AQ1915" s="105"/>
      <c r="AR1915" s="105"/>
      <c r="AS1915" s="105"/>
      <c r="AT1915" s="105"/>
      <c r="AU1915" s="105"/>
      <c r="AV1915" s="105"/>
      <c r="AW1915" s="105"/>
      <c r="AX1915" s="105"/>
      <c r="AY1915" s="105"/>
      <c r="AZ1915" s="105"/>
      <c r="BA1915" s="105"/>
    </row>
    <row r="1916" spans="1:53" ht="15.75" hidden="1" customHeight="1" outlineLevel="1">
      <c r="A1916" s="435"/>
      <c r="B1916" s="99"/>
      <c r="C1916" s="99"/>
      <c r="D1916" s="99"/>
      <c r="E1916" s="99"/>
      <c r="F1916" s="99"/>
      <c r="G1916" s="99"/>
      <c r="H1916" s="99"/>
      <c r="I1916" s="99"/>
      <c r="J1916" s="99"/>
      <c r="K1916" s="99"/>
      <c r="L1916" s="99"/>
      <c r="M1916" s="99"/>
      <c r="N1916" s="99"/>
      <c r="O1916" s="99"/>
      <c r="P1916" s="99"/>
      <c r="Q1916" s="99"/>
      <c r="R1916" s="99"/>
      <c r="S1916" s="99"/>
      <c r="T1916" s="99"/>
      <c r="U1916" s="99"/>
      <c r="V1916" s="99"/>
      <c r="W1916" s="105"/>
      <c r="X1916" s="105"/>
      <c r="Y1916" s="105">
        <f>IF($Y$1785&gt;0,IPMT('Assumptions (MSW)'!$V$6,Model!W$1,'Assumptions (MSW)'!$V$9,'Assumptions (MSW)'!$V$4*Model!$Y$1785*AVERAGE('Assumptions (MSW)'!$U$2:$W$2)/10^9),0)</f>
        <v>0</v>
      </c>
      <c r="Z1916" s="105">
        <f>IF($Y$1785&gt;0,IPMT('Assumptions (MSW)'!$V$6,Model!X$1,'Assumptions (MSW)'!$V$9,'Assumptions (MSW)'!$V$4*Model!$Y$1785*AVERAGE('Assumptions (MSW)'!$U$2:$W$2)/10^9),0)</f>
        <v>0</v>
      </c>
      <c r="AA1916" s="105">
        <f>IF($Y$1785&gt;0,IPMT('Assumptions (MSW)'!$V$6,Model!Y$1,'Assumptions (MSW)'!$V$9,'Assumptions (MSW)'!$V$4*Model!$Y$1785*AVERAGE('Assumptions (MSW)'!$U$2:$W$2)/10^9),0)</f>
        <v>0</v>
      </c>
      <c r="AB1916" s="105">
        <f>IF($Y$1785&gt;0,IPMT('Assumptions (MSW)'!$V$6,Model!Z$1,'Assumptions (MSW)'!$V$9,'Assumptions (MSW)'!$V$4*Model!$Y$1785*AVERAGE('Assumptions (MSW)'!$U$2:$W$2)/10^9),0)</f>
        <v>0</v>
      </c>
      <c r="AC1916" s="105">
        <f>IF($Y$1785&gt;0,IPMT('Assumptions (MSW)'!$V$6,Model!AA$1,'Assumptions (MSW)'!$V$9,'Assumptions (MSW)'!$V$4*Model!$Y$1785*AVERAGE('Assumptions (MSW)'!$U$2:$W$2)/10^9),0)</f>
        <v>0</v>
      </c>
      <c r="AD1916" s="105">
        <f>IF($Y$1785&gt;0,IPMT('Assumptions (MSW)'!$V$6,Model!AB$1,'Assumptions (MSW)'!$V$9,'Assumptions (MSW)'!$V$4*Model!$Y$1785*AVERAGE('Assumptions (MSW)'!$U$2:$W$2)/10^9),0)</f>
        <v>0</v>
      </c>
      <c r="AE1916" s="105">
        <f>IF($Y$1785&gt;0,IPMT('Assumptions (MSW)'!$V$6,Model!AC$1,'Assumptions (MSW)'!$V$9,'Assumptions (MSW)'!$V$4*Model!$Y$1785*AVERAGE('Assumptions (MSW)'!$U$2:$W$2)/10^9),0)</f>
        <v>0</v>
      </c>
      <c r="AF1916" s="105">
        <f>IF($Y$1785&gt;0,IPMT('Assumptions (MSW)'!$V$6,Model!AD$1,'Assumptions (MSW)'!$V$9,'Assumptions (MSW)'!$V$4*Model!$Y$1785*AVERAGE('Assumptions (MSW)'!$U$2:$W$2)/10^9),0)</f>
        <v>0</v>
      </c>
      <c r="AG1916" s="105">
        <f>IF($Y$1785&gt;0,IPMT('Assumptions (MSW)'!$V$6,Model!AE$1,'Assumptions (MSW)'!$V$9,'Assumptions (MSW)'!$V$4*Model!$Y$1785*AVERAGE('Assumptions (MSW)'!$U$2:$W$2)/10^9),0)</f>
        <v>0</v>
      </c>
      <c r="AH1916" s="105">
        <f>IF($Y$1785&gt;0,IPMT('Assumptions (MSW)'!$V$6,Model!AF$1,'Assumptions (MSW)'!$V$9,'Assumptions (MSW)'!$V$4*Model!$Y$1785*AVERAGE('Assumptions (MSW)'!$U$2:$W$2)/10^9),0)</f>
        <v>0</v>
      </c>
      <c r="AI1916" s="105">
        <f>IF($Y$1785&gt;0,IPMT('Assumptions (MSW)'!$V$6,Model!AG$1,'Assumptions (MSW)'!$V$9,'Assumptions (MSW)'!$V$4*Model!$Y$1785*AVERAGE('Assumptions (MSW)'!$U$2:$W$2)/10^9),0)</f>
        <v>0</v>
      </c>
      <c r="AJ1916" s="105">
        <f>IF($Y$1785&gt;0,IPMT('Assumptions (MSW)'!$V$6,Model!AH$1,'Assumptions (MSW)'!$V$9,'Assumptions (MSW)'!$V$4*Model!$Y$1785*AVERAGE('Assumptions (MSW)'!$U$2:$W$2)/10^9),0)</f>
        <v>0</v>
      </c>
      <c r="AK1916" s="105">
        <f>IF($Y$1785&gt;0,IPMT('Assumptions (MSW)'!$V$6,Model!AI$1,'Assumptions (MSW)'!$V$9,'Assumptions (MSW)'!$V$4*Model!$Y$1785*AVERAGE('Assumptions (MSW)'!$U$2:$W$2)/10^9),0)</f>
        <v>0</v>
      </c>
      <c r="AL1916" s="105">
        <f>IF($Y$1785&gt;0,IPMT('Assumptions (MSW)'!$V$6,Model!AJ$1,'Assumptions (MSW)'!$V$9,'Assumptions (MSW)'!$V$4*Model!$Y$1785*AVERAGE('Assumptions (MSW)'!$U$2:$W$2)/10^9),0)</f>
        <v>0</v>
      </c>
      <c r="AM1916" s="105">
        <f>IF($Y$1785&gt;0,IPMT('Assumptions (MSW)'!$V$6,Model!AK$1,'Assumptions (MSW)'!$V$9,'Assumptions (MSW)'!$V$4*Model!$Y$1785*AVERAGE('Assumptions (MSW)'!$U$2:$W$2)/10^9),0)</f>
        <v>0</v>
      </c>
      <c r="AN1916" s="105"/>
      <c r="AO1916" s="105"/>
      <c r="AP1916" s="105"/>
      <c r="AQ1916" s="105"/>
      <c r="AR1916" s="105"/>
      <c r="AS1916" s="105"/>
      <c r="AT1916" s="105"/>
      <c r="AU1916" s="105"/>
      <c r="AV1916" s="105"/>
      <c r="AW1916" s="105"/>
      <c r="AX1916" s="105"/>
      <c r="AY1916" s="105"/>
      <c r="AZ1916" s="105"/>
      <c r="BA1916" s="105"/>
    </row>
    <row r="1917" spans="1:53" ht="15.75" hidden="1" customHeight="1" outlineLevel="1">
      <c r="A1917" s="435"/>
      <c r="B1917" s="99"/>
      <c r="C1917" s="99"/>
      <c r="D1917" s="99"/>
      <c r="E1917" s="99"/>
      <c r="F1917" s="99"/>
      <c r="G1917" s="99"/>
      <c r="H1917" s="99"/>
      <c r="I1917" s="99"/>
      <c r="J1917" s="99"/>
      <c r="K1917" s="99"/>
      <c r="L1917" s="99"/>
      <c r="M1917" s="99"/>
      <c r="N1917" s="99"/>
      <c r="O1917" s="99"/>
      <c r="P1917" s="99"/>
      <c r="Q1917" s="99"/>
      <c r="R1917" s="99"/>
      <c r="S1917" s="99"/>
      <c r="T1917" s="99"/>
      <c r="U1917" s="99"/>
      <c r="V1917" s="99"/>
      <c r="W1917" s="105"/>
      <c r="X1917" s="105"/>
      <c r="Y1917" s="105"/>
      <c r="Z1917" s="105">
        <f>IF($Z$1785&gt;0,IPMT('Assumptions (MSW)'!$V$6,Model!W$1,'Assumptions (MSW)'!$V$9,'Assumptions (MSW)'!$V$4*Model!$Z$1785*AVERAGE('Assumptions (MSW)'!$V$2:$X$2)/10^9),0)</f>
        <v>0</v>
      </c>
      <c r="AA1917" s="105">
        <f>IF($Z$1785&gt;0,IPMT('Assumptions (MSW)'!$V$6,Model!X$1,'Assumptions (MSW)'!$V$9,'Assumptions (MSW)'!$V$4*Model!$Z$1785*AVERAGE('Assumptions (MSW)'!$V$2:$X$2)/10^9),0)</f>
        <v>0</v>
      </c>
      <c r="AB1917" s="105">
        <f>IF($Z$1785&gt;0,IPMT('Assumptions (MSW)'!$V$6,Model!Y$1,'Assumptions (MSW)'!$V$9,'Assumptions (MSW)'!$V$4*Model!$Z$1785*AVERAGE('Assumptions (MSW)'!$V$2:$X$2)/10^9),0)</f>
        <v>0</v>
      </c>
      <c r="AC1917" s="105">
        <f>IF($Z$1785&gt;0,IPMT('Assumptions (MSW)'!$V$6,Model!Z$1,'Assumptions (MSW)'!$V$9,'Assumptions (MSW)'!$V$4*Model!$Z$1785*AVERAGE('Assumptions (MSW)'!$V$2:$X$2)/10^9),0)</f>
        <v>0</v>
      </c>
      <c r="AD1917" s="105">
        <f>IF($Z$1785&gt;0,IPMT('Assumptions (MSW)'!$V$6,Model!AA$1,'Assumptions (MSW)'!$V$9,'Assumptions (MSW)'!$V$4*Model!$Z$1785*AVERAGE('Assumptions (MSW)'!$V$2:$X$2)/10^9),0)</f>
        <v>0</v>
      </c>
      <c r="AE1917" s="105">
        <f>IF($Z$1785&gt;0,IPMT('Assumptions (MSW)'!$V$6,Model!AB$1,'Assumptions (MSW)'!$V$9,'Assumptions (MSW)'!$V$4*Model!$Z$1785*AVERAGE('Assumptions (MSW)'!$V$2:$X$2)/10^9),0)</f>
        <v>0</v>
      </c>
      <c r="AF1917" s="105">
        <f>IF($Z$1785&gt;0,IPMT('Assumptions (MSW)'!$V$6,Model!AC$1,'Assumptions (MSW)'!$V$9,'Assumptions (MSW)'!$V$4*Model!$Z$1785*AVERAGE('Assumptions (MSW)'!$V$2:$X$2)/10^9),0)</f>
        <v>0</v>
      </c>
      <c r="AG1917" s="105">
        <f>IF($Z$1785&gt;0,IPMT('Assumptions (MSW)'!$V$6,Model!AD$1,'Assumptions (MSW)'!$V$9,'Assumptions (MSW)'!$V$4*Model!$Z$1785*AVERAGE('Assumptions (MSW)'!$V$2:$X$2)/10^9),0)</f>
        <v>0</v>
      </c>
      <c r="AH1917" s="105">
        <f>IF($Z$1785&gt;0,IPMT('Assumptions (MSW)'!$V$6,Model!AE$1,'Assumptions (MSW)'!$V$9,'Assumptions (MSW)'!$V$4*Model!$Z$1785*AVERAGE('Assumptions (MSW)'!$V$2:$X$2)/10^9),0)</f>
        <v>0</v>
      </c>
      <c r="AI1917" s="105">
        <f>IF($Z$1785&gt;0,IPMT('Assumptions (MSW)'!$V$6,Model!AF$1,'Assumptions (MSW)'!$V$9,'Assumptions (MSW)'!$V$4*Model!$Z$1785*AVERAGE('Assumptions (MSW)'!$V$2:$X$2)/10^9),0)</f>
        <v>0</v>
      </c>
      <c r="AJ1917" s="105">
        <f>IF($Z$1785&gt;0,IPMT('Assumptions (MSW)'!$V$6,Model!AG$1,'Assumptions (MSW)'!$V$9,'Assumptions (MSW)'!$V$4*Model!$Z$1785*AVERAGE('Assumptions (MSW)'!$V$2:$X$2)/10^9),0)</f>
        <v>0</v>
      </c>
      <c r="AK1917" s="105">
        <f>IF($Z$1785&gt;0,IPMT('Assumptions (MSW)'!$V$6,Model!AH$1,'Assumptions (MSW)'!$V$9,'Assumptions (MSW)'!$V$4*Model!$Z$1785*AVERAGE('Assumptions (MSW)'!$V$2:$X$2)/10^9),0)</f>
        <v>0</v>
      </c>
      <c r="AL1917" s="105">
        <f>IF($Z$1785&gt;0,IPMT('Assumptions (MSW)'!$V$6,Model!AI$1,'Assumptions (MSW)'!$V$9,'Assumptions (MSW)'!$V$4*Model!$Z$1785*AVERAGE('Assumptions (MSW)'!$V$2:$X$2)/10^9),0)</f>
        <v>0</v>
      </c>
      <c r="AM1917" s="105">
        <f>IF($Z$1785&gt;0,IPMT('Assumptions (MSW)'!$V$6,Model!AJ$1,'Assumptions (MSW)'!$V$9,'Assumptions (MSW)'!$V$4*Model!$Z$1785*AVERAGE('Assumptions (MSW)'!$V$2:$X$2)/10^9),0)</f>
        <v>0</v>
      </c>
      <c r="AN1917" s="105">
        <f>IF($Z$1785&gt;0,IPMT('Assumptions (MSW)'!$V$6,Model!AK$1,'Assumptions (MSW)'!$V$9,'Assumptions (MSW)'!$V$4*Model!$Z$1785*AVERAGE('Assumptions (MSW)'!$V$2:$X$2)/10^9),0)</f>
        <v>0</v>
      </c>
      <c r="AO1917" s="105"/>
      <c r="AP1917" s="105"/>
      <c r="AQ1917" s="105"/>
      <c r="AR1917" s="105"/>
      <c r="AS1917" s="105"/>
      <c r="AT1917" s="105"/>
      <c r="AU1917" s="105"/>
      <c r="AV1917" s="105"/>
      <c r="AW1917" s="105"/>
      <c r="AX1917" s="105"/>
      <c r="AY1917" s="105"/>
      <c r="AZ1917" s="105"/>
      <c r="BA1917" s="105"/>
    </row>
    <row r="1918" spans="1:53" ht="15.75" hidden="1" customHeight="1" outlineLevel="1">
      <c r="A1918" s="435"/>
      <c r="B1918" s="99"/>
      <c r="C1918" s="99"/>
      <c r="D1918" s="99"/>
      <c r="E1918" s="99"/>
      <c r="F1918" s="99"/>
      <c r="G1918" s="99"/>
      <c r="H1918" s="99"/>
      <c r="I1918" s="99"/>
      <c r="J1918" s="99"/>
      <c r="K1918" s="99"/>
      <c r="L1918" s="99"/>
      <c r="M1918" s="99"/>
      <c r="N1918" s="99"/>
      <c r="O1918" s="99"/>
      <c r="P1918" s="99"/>
      <c r="Q1918" s="99"/>
      <c r="R1918" s="99"/>
      <c r="S1918" s="99"/>
      <c r="T1918" s="99"/>
      <c r="U1918" s="99"/>
      <c r="V1918" s="99"/>
      <c r="W1918" s="105"/>
      <c r="X1918" s="105"/>
      <c r="Y1918" s="105"/>
      <c r="Z1918" s="105"/>
      <c r="AA1918" s="105">
        <f>IF($AA$1785&gt;0,IPMT('Assumptions (MSW)'!$V$6,Model!W$1,'Assumptions (MSW)'!$V$9,'Assumptions (MSW)'!$V$4*Model!$AA$1785*AVERAGE('Assumptions (MSW)'!$W$2:$Y$2)/10^9),0)</f>
        <v>0</v>
      </c>
      <c r="AB1918" s="105">
        <f>IF($AA$1785&gt;0,IPMT('Assumptions (MSW)'!$V$6,Model!X$1,'Assumptions (MSW)'!$V$9,'Assumptions (MSW)'!$V$4*Model!$AA$1785*AVERAGE('Assumptions (MSW)'!$W$2:$Y$2)/10^9),0)</f>
        <v>0</v>
      </c>
      <c r="AC1918" s="105">
        <f>IF($AA$1785&gt;0,IPMT('Assumptions (MSW)'!$V$6,Model!Y$1,'Assumptions (MSW)'!$V$9,'Assumptions (MSW)'!$V$4*Model!$AA$1785*AVERAGE('Assumptions (MSW)'!$W$2:$Y$2)/10^9),0)</f>
        <v>0</v>
      </c>
      <c r="AD1918" s="105">
        <f>IF($AA$1785&gt;0,IPMT('Assumptions (MSW)'!$V$6,Model!Z$1,'Assumptions (MSW)'!$V$9,'Assumptions (MSW)'!$V$4*Model!$AA$1785*AVERAGE('Assumptions (MSW)'!$W$2:$Y$2)/10^9),0)</f>
        <v>0</v>
      </c>
      <c r="AE1918" s="105">
        <f>IF($AA$1785&gt;0,IPMT('Assumptions (MSW)'!$V$6,Model!AA$1,'Assumptions (MSW)'!$V$9,'Assumptions (MSW)'!$V$4*Model!$AA$1785*AVERAGE('Assumptions (MSW)'!$W$2:$Y$2)/10^9),0)</f>
        <v>0</v>
      </c>
      <c r="AF1918" s="105">
        <f>IF($AA$1785&gt;0,IPMT('Assumptions (MSW)'!$V$6,Model!AB$1,'Assumptions (MSW)'!$V$9,'Assumptions (MSW)'!$V$4*Model!$AA$1785*AVERAGE('Assumptions (MSW)'!$W$2:$Y$2)/10^9),0)</f>
        <v>0</v>
      </c>
      <c r="AG1918" s="105">
        <f>IF($AA$1785&gt;0,IPMT('Assumptions (MSW)'!$V$6,Model!AC$1,'Assumptions (MSW)'!$V$9,'Assumptions (MSW)'!$V$4*Model!$AA$1785*AVERAGE('Assumptions (MSW)'!$W$2:$Y$2)/10^9),0)</f>
        <v>0</v>
      </c>
      <c r="AH1918" s="105">
        <f>IF($AA$1785&gt;0,IPMT('Assumptions (MSW)'!$V$6,Model!AD$1,'Assumptions (MSW)'!$V$9,'Assumptions (MSW)'!$V$4*Model!$AA$1785*AVERAGE('Assumptions (MSW)'!$W$2:$Y$2)/10^9),0)</f>
        <v>0</v>
      </c>
      <c r="AI1918" s="105">
        <f>IF($AA$1785&gt;0,IPMT('Assumptions (MSW)'!$V$6,Model!AE$1,'Assumptions (MSW)'!$V$9,'Assumptions (MSW)'!$V$4*Model!$AA$1785*AVERAGE('Assumptions (MSW)'!$W$2:$Y$2)/10^9),0)</f>
        <v>0</v>
      </c>
      <c r="AJ1918" s="105">
        <f>IF($AA$1785&gt;0,IPMT('Assumptions (MSW)'!$V$6,Model!AF$1,'Assumptions (MSW)'!$V$9,'Assumptions (MSW)'!$V$4*Model!$AA$1785*AVERAGE('Assumptions (MSW)'!$W$2:$Y$2)/10^9),0)</f>
        <v>0</v>
      </c>
      <c r="AK1918" s="105">
        <f>IF($AA$1785&gt;0,IPMT('Assumptions (MSW)'!$V$6,Model!AG$1,'Assumptions (MSW)'!$V$9,'Assumptions (MSW)'!$V$4*Model!$AA$1785*AVERAGE('Assumptions (MSW)'!$W$2:$Y$2)/10^9),0)</f>
        <v>0</v>
      </c>
      <c r="AL1918" s="105">
        <f>IF($AA$1785&gt;0,IPMT('Assumptions (MSW)'!$V$6,Model!AH$1,'Assumptions (MSW)'!$V$9,'Assumptions (MSW)'!$V$4*Model!$AA$1785*AVERAGE('Assumptions (MSW)'!$W$2:$Y$2)/10^9),0)</f>
        <v>0</v>
      </c>
      <c r="AM1918" s="105">
        <f>IF($AA$1785&gt;0,IPMT('Assumptions (MSW)'!$V$6,Model!AI$1,'Assumptions (MSW)'!$V$9,'Assumptions (MSW)'!$V$4*Model!$AA$1785*AVERAGE('Assumptions (MSW)'!$W$2:$Y$2)/10^9),0)</f>
        <v>0</v>
      </c>
      <c r="AN1918" s="105">
        <f>IF($AA$1785&gt;0,IPMT('Assumptions (MSW)'!$V$6,Model!AJ$1,'Assumptions (MSW)'!$V$9,'Assumptions (MSW)'!$V$4*Model!$AA$1785*AVERAGE('Assumptions (MSW)'!$W$2:$Y$2)/10^9),0)</f>
        <v>0</v>
      </c>
      <c r="AO1918" s="105">
        <f>IF($AA$1785&gt;0,IPMT('Assumptions (MSW)'!$V$6,Model!AK$1,'Assumptions (MSW)'!$V$9,'Assumptions (MSW)'!$V$4*Model!$AA$1785*AVERAGE('Assumptions (MSW)'!$W$2:$Y$2)/10^9),0)</f>
        <v>0</v>
      </c>
      <c r="AP1918" s="105"/>
      <c r="AQ1918" s="105"/>
      <c r="AR1918" s="105"/>
      <c r="AS1918" s="105"/>
      <c r="AT1918" s="105"/>
      <c r="AU1918" s="105"/>
      <c r="AV1918" s="105"/>
      <c r="AW1918" s="105"/>
      <c r="AX1918" s="105"/>
      <c r="AY1918" s="105"/>
      <c r="AZ1918" s="105"/>
      <c r="BA1918" s="105"/>
    </row>
    <row r="1919" spans="1:53" ht="15.75" hidden="1" customHeight="1" outlineLevel="1">
      <c r="A1919" s="435"/>
      <c r="B1919" s="99"/>
      <c r="C1919" s="99"/>
      <c r="D1919" s="99"/>
      <c r="E1919" s="99"/>
      <c r="F1919" s="99"/>
      <c r="G1919" s="99"/>
      <c r="H1919" s="99"/>
      <c r="I1919" s="99"/>
      <c r="J1919" s="99"/>
      <c r="K1919" s="99"/>
      <c r="L1919" s="99"/>
      <c r="M1919" s="99"/>
      <c r="N1919" s="99"/>
      <c r="O1919" s="99"/>
      <c r="P1919" s="99"/>
      <c r="Q1919" s="99"/>
      <c r="R1919" s="99"/>
      <c r="S1919" s="99"/>
      <c r="T1919" s="99"/>
      <c r="U1919" s="99"/>
      <c r="V1919" s="99"/>
      <c r="W1919" s="105"/>
      <c r="X1919" s="105"/>
      <c r="Y1919" s="105"/>
      <c r="Z1919" s="105"/>
      <c r="AA1919" s="105"/>
      <c r="AB1919" s="105">
        <f>IF($AB$1785&gt;0,IPMT('Assumptions (MSW)'!$V$6,Model!W$1,'Assumptions (MSW)'!$V$9,'Assumptions (MSW)'!$V$4*Model!$AB$1785*AVERAGE('Assumptions (MSW)'!$X$2:$Z$2)/10^9),0)</f>
        <v>0</v>
      </c>
      <c r="AC1919" s="105">
        <f>IF($AB$1785&gt;0,IPMT('Assumptions (MSW)'!$V$6,Model!X$1,'Assumptions (MSW)'!$V$9,'Assumptions (MSW)'!$V$4*Model!$AB$1785*AVERAGE('Assumptions (MSW)'!$X$2:$Z$2)/10^9),0)</f>
        <v>0</v>
      </c>
      <c r="AD1919" s="105">
        <f>IF($AB$1785&gt;0,IPMT('Assumptions (MSW)'!$V$6,Model!Y$1,'Assumptions (MSW)'!$V$9,'Assumptions (MSW)'!$V$4*Model!$AB$1785*AVERAGE('Assumptions (MSW)'!$X$2:$Z$2)/10^9),0)</f>
        <v>0</v>
      </c>
      <c r="AE1919" s="105">
        <f>IF($AB$1785&gt;0,IPMT('Assumptions (MSW)'!$V$6,Model!Z$1,'Assumptions (MSW)'!$V$9,'Assumptions (MSW)'!$V$4*Model!$AB$1785*AVERAGE('Assumptions (MSW)'!$X$2:$Z$2)/10^9),0)</f>
        <v>0</v>
      </c>
      <c r="AF1919" s="105">
        <f>IF($AB$1785&gt;0,IPMT('Assumptions (MSW)'!$V$6,Model!AA$1,'Assumptions (MSW)'!$V$9,'Assumptions (MSW)'!$V$4*Model!$AB$1785*AVERAGE('Assumptions (MSW)'!$X$2:$Z$2)/10^9),0)</f>
        <v>0</v>
      </c>
      <c r="AG1919" s="105">
        <f>IF($AB$1785&gt;0,IPMT('Assumptions (MSW)'!$V$6,Model!AB$1,'Assumptions (MSW)'!$V$9,'Assumptions (MSW)'!$V$4*Model!$AB$1785*AVERAGE('Assumptions (MSW)'!$X$2:$Z$2)/10^9),0)</f>
        <v>0</v>
      </c>
      <c r="AH1919" s="105">
        <f>IF($AB$1785&gt;0,IPMT('Assumptions (MSW)'!$V$6,Model!AC$1,'Assumptions (MSW)'!$V$9,'Assumptions (MSW)'!$V$4*Model!$AB$1785*AVERAGE('Assumptions (MSW)'!$X$2:$Z$2)/10^9),0)</f>
        <v>0</v>
      </c>
      <c r="AI1919" s="105">
        <f>IF($AB$1785&gt;0,IPMT('Assumptions (MSW)'!$V$6,Model!AD$1,'Assumptions (MSW)'!$V$9,'Assumptions (MSW)'!$V$4*Model!$AB$1785*AVERAGE('Assumptions (MSW)'!$X$2:$Z$2)/10^9),0)</f>
        <v>0</v>
      </c>
      <c r="AJ1919" s="105">
        <f>IF($AB$1785&gt;0,IPMT('Assumptions (MSW)'!$V$6,Model!AE$1,'Assumptions (MSW)'!$V$9,'Assumptions (MSW)'!$V$4*Model!$AB$1785*AVERAGE('Assumptions (MSW)'!$X$2:$Z$2)/10^9),0)</f>
        <v>0</v>
      </c>
      <c r="AK1919" s="105">
        <f>IF($AB$1785&gt;0,IPMT('Assumptions (MSW)'!$V$6,Model!AF$1,'Assumptions (MSW)'!$V$9,'Assumptions (MSW)'!$V$4*Model!$AB$1785*AVERAGE('Assumptions (MSW)'!$X$2:$Z$2)/10^9),0)</f>
        <v>0</v>
      </c>
      <c r="AL1919" s="105">
        <f>IF($AB$1785&gt;0,IPMT('Assumptions (MSW)'!$V$6,Model!AG$1,'Assumptions (MSW)'!$V$9,'Assumptions (MSW)'!$V$4*Model!$AB$1785*AVERAGE('Assumptions (MSW)'!$X$2:$Z$2)/10^9),0)</f>
        <v>0</v>
      </c>
      <c r="AM1919" s="105">
        <f>IF($AB$1785&gt;0,IPMT('Assumptions (MSW)'!$V$6,Model!AH$1,'Assumptions (MSW)'!$V$9,'Assumptions (MSW)'!$V$4*Model!$AB$1785*AVERAGE('Assumptions (MSW)'!$X$2:$Z$2)/10^9),0)</f>
        <v>0</v>
      </c>
      <c r="AN1919" s="105">
        <f>IF($AB$1785&gt;0,IPMT('Assumptions (MSW)'!$V$6,Model!AI$1,'Assumptions (MSW)'!$V$9,'Assumptions (MSW)'!$V$4*Model!$AB$1785*AVERAGE('Assumptions (MSW)'!$X$2:$Z$2)/10^9),0)</f>
        <v>0</v>
      </c>
      <c r="AO1919" s="105">
        <f>IF($AB$1785&gt;0,IPMT('Assumptions (MSW)'!$V$6,Model!AJ$1,'Assumptions (MSW)'!$V$9,'Assumptions (MSW)'!$V$4*Model!$AB$1785*AVERAGE('Assumptions (MSW)'!$X$2:$Z$2)/10^9),0)</f>
        <v>0</v>
      </c>
      <c r="AP1919" s="105">
        <f>IF($AB$1785&gt;0,IPMT('Assumptions (MSW)'!$V$6,Model!AK$1,'Assumptions (MSW)'!$V$9,'Assumptions (MSW)'!$V$4*Model!$AB$1785*AVERAGE('Assumptions (MSW)'!$X$2:$Z$2)/10^9),0)</f>
        <v>0</v>
      </c>
      <c r="AQ1919" s="105"/>
      <c r="AR1919" s="105"/>
      <c r="AS1919" s="105"/>
      <c r="AT1919" s="105"/>
      <c r="AU1919" s="105"/>
      <c r="AV1919" s="105"/>
      <c r="AW1919" s="105"/>
      <c r="AX1919" s="105"/>
      <c r="AY1919" s="105"/>
      <c r="AZ1919" s="105"/>
      <c r="BA1919" s="105"/>
    </row>
    <row r="1920" spans="1:53" ht="15.75" hidden="1" customHeight="1" outlineLevel="1">
      <c r="A1920" s="435"/>
      <c r="B1920" s="99"/>
      <c r="C1920" s="99"/>
      <c r="D1920" s="99"/>
      <c r="E1920" s="99"/>
      <c r="F1920" s="99"/>
      <c r="G1920" s="99"/>
      <c r="H1920" s="99"/>
      <c r="I1920" s="99"/>
      <c r="J1920" s="99"/>
      <c r="K1920" s="99"/>
      <c r="L1920" s="99"/>
      <c r="M1920" s="99"/>
      <c r="N1920" s="99"/>
      <c r="O1920" s="99"/>
      <c r="P1920" s="99"/>
      <c r="Q1920" s="99"/>
      <c r="R1920" s="99"/>
      <c r="S1920" s="99"/>
      <c r="T1920" s="99"/>
      <c r="U1920" s="99"/>
      <c r="V1920" s="99"/>
      <c r="W1920" s="105"/>
      <c r="X1920" s="105"/>
      <c r="Y1920" s="105"/>
      <c r="Z1920" s="105"/>
      <c r="AA1920" s="105"/>
      <c r="AB1920" s="105"/>
      <c r="AC1920" s="105">
        <f>IF($AC$1785&gt;0,IPMT('Assumptions (MSW)'!$V$6,Model!W$1,'Assumptions (MSW)'!$V$9,'Assumptions (MSW)'!$V$4*Model!$AC$1785*AVERAGE('Assumptions (MSW)'!$Y$2:$AA$2)/10^9),0)</f>
        <v>0</v>
      </c>
      <c r="AD1920" s="105">
        <f>IF($AC$1785&gt;0,IPMT('Assumptions (MSW)'!$V$6,Model!X$1,'Assumptions (MSW)'!$V$9,'Assumptions (MSW)'!$V$4*Model!$AC$1785*AVERAGE('Assumptions (MSW)'!$Y$2:$AA$2)/10^9),0)</f>
        <v>0</v>
      </c>
      <c r="AE1920" s="105">
        <f>IF($AC$1785&gt;0,IPMT('Assumptions (MSW)'!$V$6,Model!Y$1,'Assumptions (MSW)'!$V$9,'Assumptions (MSW)'!$V$4*Model!$AC$1785*AVERAGE('Assumptions (MSW)'!$Y$2:$AA$2)/10^9),0)</f>
        <v>0</v>
      </c>
      <c r="AF1920" s="105">
        <f>IF($AC$1785&gt;0,IPMT('Assumptions (MSW)'!$V$6,Model!Z$1,'Assumptions (MSW)'!$V$9,'Assumptions (MSW)'!$V$4*Model!$AC$1785*AVERAGE('Assumptions (MSW)'!$Y$2:$AA$2)/10^9),0)</f>
        <v>0</v>
      </c>
      <c r="AG1920" s="105">
        <f>IF($AC$1785&gt;0,IPMT('Assumptions (MSW)'!$V$6,Model!AA$1,'Assumptions (MSW)'!$V$9,'Assumptions (MSW)'!$V$4*Model!$AC$1785*AVERAGE('Assumptions (MSW)'!$Y$2:$AA$2)/10^9),0)</f>
        <v>0</v>
      </c>
      <c r="AH1920" s="105">
        <f>IF($AC$1785&gt;0,IPMT('Assumptions (MSW)'!$V$6,Model!AB$1,'Assumptions (MSW)'!$V$9,'Assumptions (MSW)'!$V$4*Model!$AC$1785*AVERAGE('Assumptions (MSW)'!$Y$2:$AA$2)/10^9),0)</f>
        <v>0</v>
      </c>
      <c r="AI1920" s="105">
        <f>IF($AC$1785&gt;0,IPMT('Assumptions (MSW)'!$V$6,Model!AC$1,'Assumptions (MSW)'!$V$9,'Assumptions (MSW)'!$V$4*Model!$AC$1785*AVERAGE('Assumptions (MSW)'!$Y$2:$AA$2)/10^9),0)</f>
        <v>0</v>
      </c>
      <c r="AJ1920" s="105">
        <f>IF($AC$1785&gt;0,IPMT('Assumptions (MSW)'!$V$6,Model!AD$1,'Assumptions (MSW)'!$V$9,'Assumptions (MSW)'!$V$4*Model!$AC$1785*AVERAGE('Assumptions (MSW)'!$Y$2:$AA$2)/10^9),0)</f>
        <v>0</v>
      </c>
      <c r="AK1920" s="105">
        <f>IF($AC$1785&gt;0,IPMT('Assumptions (MSW)'!$V$6,Model!AE$1,'Assumptions (MSW)'!$V$9,'Assumptions (MSW)'!$V$4*Model!$AC$1785*AVERAGE('Assumptions (MSW)'!$Y$2:$AA$2)/10^9),0)</f>
        <v>0</v>
      </c>
      <c r="AL1920" s="105">
        <f>IF($AC$1785&gt;0,IPMT('Assumptions (MSW)'!$V$6,Model!AF$1,'Assumptions (MSW)'!$V$9,'Assumptions (MSW)'!$V$4*Model!$AC$1785*AVERAGE('Assumptions (MSW)'!$Y$2:$AA$2)/10^9),0)</f>
        <v>0</v>
      </c>
      <c r="AM1920" s="105">
        <f>IF($AC$1785&gt;0,IPMT('Assumptions (MSW)'!$V$6,Model!AG$1,'Assumptions (MSW)'!$V$9,'Assumptions (MSW)'!$V$4*Model!$AC$1785*AVERAGE('Assumptions (MSW)'!$Y$2:$AA$2)/10^9),0)</f>
        <v>0</v>
      </c>
      <c r="AN1920" s="105">
        <f>IF($AC$1785&gt;0,IPMT('Assumptions (MSW)'!$V$6,Model!AH$1,'Assumptions (MSW)'!$V$9,'Assumptions (MSW)'!$V$4*Model!$AC$1785*AVERAGE('Assumptions (MSW)'!$Y$2:$AA$2)/10^9),0)</f>
        <v>0</v>
      </c>
      <c r="AO1920" s="105">
        <f>IF($AC$1785&gt;0,IPMT('Assumptions (MSW)'!$V$6,Model!AI$1,'Assumptions (MSW)'!$V$9,'Assumptions (MSW)'!$V$4*Model!$AC$1785*AVERAGE('Assumptions (MSW)'!$Y$2:$AA$2)/10^9),0)</f>
        <v>0</v>
      </c>
      <c r="AP1920" s="105">
        <f>IF($AC$1785&gt;0,IPMT('Assumptions (MSW)'!$V$6,Model!AJ$1,'Assumptions (MSW)'!$V$9,'Assumptions (MSW)'!$V$4*Model!$AC$1785*AVERAGE('Assumptions (MSW)'!$Y$2:$AA$2)/10^9),0)</f>
        <v>0</v>
      </c>
      <c r="AQ1920" s="105">
        <f>IF($AC$1785&gt;0,IPMT('Assumptions (MSW)'!$V$6,Model!AK$1,'Assumptions (MSW)'!$V$9,'Assumptions (MSW)'!$V$4*Model!$AC$1785*AVERAGE('Assumptions (MSW)'!$Y$2:$AA$2)/10^9),0)</f>
        <v>0</v>
      </c>
      <c r="AR1920" s="105"/>
      <c r="AS1920" s="105"/>
      <c r="AT1920" s="105"/>
      <c r="AU1920" s="105"/>
      <c r="AV1920" s="105"/>
      <c r="AW1920" s="105"/>
      <c r="AX1920" s="105"/>
      <c r="AY1920" s="105"/>
      <c r="AZ1920" s="105"/>
      <c r="BA1920" s="105"/>
    </row>
    <row r="1921" spans="1:68" ht="15.75" hidden="1" customHeight="1" outlineLevel="1">
      <c r="A1921" s="435"/>
      <c r="B1921" s="99"/>
      <c r="C1921" s="99"/>
      <c r="D1921" s="99"/>
      <c r="E1921" s="99"/>
      <c r="F1921" s="99"/>
      <c r="G1921" s="99"/>
      <c r="H1921" s="99"/>
      <c r="I1921" s="99"/>
      <c r="J1921" s="99"/>
      <c r="K1921" s="99"/>
      <c r="L1921" s="99"/>
      <c r="M1921" s="99"/>
      <c r="N1921" s="99"/>
      <c r="O1921" s="99"/>
      <c r="P1921" s="99"/>
      <c r="Q1921" s="99"/>
      <c r="R1921" s="99"/>
      <c r="S1921" s="99"/>
      <c r="T1921" s="99"/>
      <c r="U1921" s="99"/>
      <c r="V1921" s="99"/>
      <c r="W1921" s="105"/>
      <c r="X1921" s="105"/>
      <c r="Y1921" s="105"/>
      <c r="Z1921" s="105"/>
      <c r="AA1921" s="105"/>
      <c r="AB1921" s="105"/>
      <c r="AC1921" s="105"/>
      <c r="AD1921" s="105">
        <f>IF($AD$1785&gt;0,IPMT('Assumptions (MSW)'!$V$6,Model!W$1,'Assumptions (MSW)'!$V$9,'Assumptions (MSW)'!$V$4*Model!$AD$1785*AVERAGE('Assumptions (MSW)'!$Z$2:$AB$2)/10^9),0)</f>
        <v>0</v>
      </c>
      <c r="AE1921" s="105">
        <f>IF($AD$1785&gt;0,IPMT('Assumptions (MSW)'!$V$6,Model!X$1,'Assumptions (MSW)'!$V$9,'Assumptions (MSW)'!$V$4*Model!$AD$1785*AVERAGE('Assumptions (MSW)'!$Z$2:$AB$2)/10^9),0)</f>
        <v>0</v>
      </c>
      <c r="AF1921" s="105">
        <f>IF($AD$1785&gt;0,IPMT('Assumptions (MSW)'!$V$6,Model!Y$1,'Assumptions (MSW)'!$V$9,'Assumptions (MSW)'!$V$4*Model!$AD$1785*AVERAGE('Assumptions (MSW)'!$Z$2:$AB$2)/10^9),0)</f>
        <v>0</v>
      </c>
      <c r="AG1921" s="105">
        <f>IF($AD$1785&gt;0,IPMT('Assumptions (MSW)'!$V$6,Model!Z$1,'Assumptions (MSW)'!$V$9,'Assumptions (MSW)'!$V$4*Model!$AD$1785*AVERAGE('Assumptions (MSW)'!$Z$2:$AB$2)/10^9),0)</f>
        <v>0</v>
      </c>
      <c r="AH1921" s="105">
        <f>IF($AD$1785&gt;0,IPMT('Assumptions (MSW)'!$V$6,Model!AA$1,'Assumptions (MSW)'!$V$9,'Assumptions (MSW)'!$V$4*Model!$AD$1785*AVERAGE('Assumptions (MSW)'!$Z$2:$AB$2)/10^9),0)</f>
        <v>0</v>
      </c>
      <c r="AI1921" s="105">
        <f>IF($AD$1785&gt;0,IPMT('Assumptions (MSW)'!$V$6,Model!AB$1,'Assumptions (MSW)'!$V$9,'Assumptions (MSW)'!$V$4*Model!$AD$1785*AVERAGE('Assumptions (MSW)'!$Z$2:$AB$2)/10^9),0)</f>
        <v>0</v>
      </c>
      <c r="AJ1921" s="105">
        <f>IF($AD$1785&gt;0,IPMT('Assumptions (MSW)'!$V$6,Model!AC$1,'Assumptions (MSW)'!$V$9,'Assumptions (MSW)'!$V$4*Model!$AD$1785*AVERAGE('Assumptions (MSW)'!$Z$2:$AB$2)/10^9),0)</f>
        <v>0</v>
      </c>
      <c r="AK1921" s="105">
        <f>IF($AD$1785&gt;0,IPMT('Assumptions (MSW)'!$V$6,Model!AD$1,'Assumptions (MSW)'!$V$9,'Assumptions (MSW)'!$V$4*Model!$AD$1785*AVERAGE('Assumptions (MSW)'!$Z$2:$AB$2)/10^9),0)</f>
        <v>0</v>
      </c>
      <c r="AL1921" s="105">
        <f>IF($AD$1785&gt;0,IPMT('Assumptions (MSW)'!$V$6,Model!AE$1,'Assumptions (MSW)'!$V$9,'Assumptions (MSW)'!$V$4*Model!$AD$1785*AVERAGE('Assumptions (MSW)'!$Z$2:$AB$2)/10^9),0)</f>
        <v>0</v>
      </c>
      <c r="AM1921" s="105">
        <f>IF($AD$1785&gt;0,IPMT('Assumptions (MSW)'!$V$6,Model!AF$1,'Assumptions (MSW)'!$V$9,'Assumptions (MSW)'!$V$4*Model!$AD$1785*AVERAGE('Assumptions (MSW)'!$Z$2:$AB$2)/10^9),0)</f>
        <v>0</v>
      </c>
      <c r="AN1921" s="105">
        <f>IF($AD$1785&gt;0,IPMT('Assumptions (MSW)'!$V$6,Model!AG$1,'Assumptions (MSW)'!$V$9,'Assumptions (MSW)'!$V$4*Model!$AD$1785*AVERAGE('Assumptions (MSW)'!$Z$2:$AB$2)/10^9),0)</f>
        <v>0</v>
      </c>
      <c r="AO1921" s="105">
        <f>IF($AD$1785&gt;0,IPMT('Assumptions (MSW)'!$V$6,Model!AH$1,'Assumptions (MSW)'!$V$9,'Assumptions (MSW)'!$V$4*Model!$AD$1785*AVERAGE('Assumptions (MSW)'!$Z$2:$AB$2)/10^9),0)</f>
        <v>0</v>
      </c>
      <c r="AP1921" s="105">
        <f>IF($AD$1785&gt;0,IPMT('Assumptions (MSW)'!$V$6,Model!AI$1,'Assumptions (MSW)'!$V$9,'Assumptions (MSW)'!$V$4*Model!$AD$1785*AVERAGE('Assumptions (MSW)'!$Z$2:$AB$2)/10^9),0)</f>
        <v>0</v>
      </c>
      <c r="AQ1921" s="105">
        <f>IF($AD$1785&gt;0,IPMT('Assumptions (MSW)'!$V$6,Model!AJ$1,'Assumptions (MSW)'!$V$9,'Assumptions (MSW)'!$V$4*Model!$AD$1785*AVERAGE('Assumptions (MSW)'!$Z$2:$AB$2)/10^9),0)</f>
        <v>0</v>
      </c>
      <c r="AR1921" s="105">
        <f>IF($AD$1785&gt;0,IPMT('Assumptions (MSW)'!$V$6,Model!AK$1,'Assumptions (MSW)'!$V$9,'Assumptions (MSW)'!$V$4*Model!$AD$1785*AVERAGE('Assumptions (MSW)'!$Z$2:$AB$2)/10^9),0)</f>
        <v>0</v>
      </c>
      <c r="AS1921" s="105"/>
      <c r="AT1921" s="105"/>
      <c r="AU1921" s="105"/>
      <c r="AV1921" s="105"/>
      <c r="AW1921" s="105"/>
      <c r="AX1921" s="105"/>
      <c r="AY1921" s="105"/>
      <c r="AZ1921" s="105"/>
      <c r="BA1921" s="105"/>
      <c r="BB1921" s="105"/>
    </row>
    <row r="1922" spans="1:68" ht="15.75" hidden="1" customHeight="1" outlineLevel="1">
      <c r="A1922" s="435"/>
      <c r="B1922" s="99"/>
      <c r="C1922" s="99"/>
      <c r="D1922" s="99"/>
      <c r="E1922" s="99"/>
      <c r="F1922" s="99"/>
      <c r="G1922" s="99"/>
      <c r="H1922" s="99"/>
      <c r="I1922" s="99"/>
      <c r="J1922" s="99"/>
      <c r="K1922" s="99"/>
      <c r="L1922" s="99"/>
      <c r="M1922" s="99"/>
      <c r="N1922" s="99"/>
      <c r="O1922" s="99"/>
      <c r="P1922" s="99"/>
      <c r="Q1922" s="99"/>
      <c r="R1922" s="99"/>
      <c r="S1922" s="99"/>
      <c r="T1922" s="99"/>
      <c r="U1922" s="99"/>
      <c r="V1922" s="99"/>
      <c r="W1922" s="105"/>
      <c r="X1922" s="105"/>
      <c r="Y1922" s="105"/>
      <c r="Z1922" s="105"/>
      <c r="AA1922" s="105"/>
      <c r="AB1922" s="105"/>
      <c r="AC1922" s="105"/>
      <c r="AD1922" s="105"/>
      <c r="AE1922" s="105">
        <f>IF($AE$1785&gt;0,IPMT('Assumptions (MSW)'!$V$6,Model!W$1,'Assumptions (MSW)'!$V$9,'Assumptions (MSW)'!$V$4*Model!$AE$1785*AVERAGE('Assumptions (MSW)'!$AA$2:$AC$2)/10^9),0)</f>
        <v>0</v>
      </c>
      <c r="AF1922" s="105">
        <f>IF($AE$1785&gt;0,IPMT('Assumptions (MSW)'!$V$6,Model!X$1,'Assumptions (MSW)'!$V$9,'Assumptions (MSW)'!$V$4*Model!$AE$1785*AVERAGE('Assumptions (MSW)'!$AA$2:$AC$2)/10^9),0)</f>
        <v>0</v>
      </c>
      <c r="AG1922" s="105">
        <f>IF($AE$1785&gt;0,IPMT('Assumptions (MSW)'!$V$6,Model!Y$1,'Assumptions (MSW)'!$V$9,'Assumptions (MSW)'!$V$4*Model!$AE$1785*AVERAGE('Assumptions (MSW)'!$AA$2:$AC$2)/10^9),0)</f>
        <v>0</v>
      </c>
      <c r="AH1922" s="105">
        <f>IF($AE$1785&gt;0,IPMT('Assumptions (MSW)'!$V$6,Model!Z$1,'Assumptions (MSW)'!$V$9,'Assumptions (MSW)'!$V$4*Model!$AE$1785*AVERAGE('Assumptions (MSW)'!$AA$2:$AC$2)/10^9),0)</f>
        <v>0</v>
      </c>
      <c r="AI1922" s="105">
        <f>IF($AE$1785&gt;0,IPMT('Assumptions (MSW)'!$V$6,Model!AA$1,'Assumptions (MSW)'!$V$9,'Assumptions (MSW)'!$V$4*Model!$AE$1785*AVERAGE('Assumptions (MSW)'!$AA$2:$AC$2)/10^9),0)</f>
        <v>0</v>
      </c>
      <c r="AJ1922" s="105">
        <f>IF($AE$1785&gt;0,IPMT('Assumptions (MSW)'!$V$6,Model!AB$1,'Assumptions (MSW)'!$V$9,'Assumptions (MSW)'!$V$4*Model!$AE$1785*AVERAGE('Assumptions (MSW)'!$AA$2:$AC$2)/10^9),0)</f>
        <v>0</v>
      </c>
      <c r="AK1922" s="105">
        <f>IF($AE$1785&gt;0,IPMT('Assumptions (MSW)'!$V$6,Model!AC$1,'Assumptions (MSW)'!$V$9,'Assumptions (MSW)'!$V$4*Model!$AE$1785*AVERAGE('Assumptions (MSW)'!$AA$2:$AC$2)/10^9),0)</f>
        <v>0</v>
      </c>
      <c r="AL1922" s="105">
        <f>IF($AE$1785&gt;0,IPMT('Assumptions (MSW)'!$V$6,Model!AD$1,'Assumptions (MSW)'!$V$9,'Assumptions (MSW)'!$V$4*Model!$AE$1785*AVERAGE('Assumptions (MSW)'!$AA$2:$AC$2)/10^9),0)</f>
        <v>0</v>
      </c>
      <c r="AM1922" s="105">
        <f>IF($AE$1785&gt;0,IPMT('Assumptions (MSW)'!$V$6,Model!AE$1,'Assumptions (MSW)'!$V$9,'Assumptions (MSW)'!$V$4*Model!$AE$1785*AVERAGE('Assumptions (MSW)'!$AA$2:$AC$2)/10^9),0)</f>
        <v>0</v>
      </c>
      <c r="AN1922" s="105">
        <f>IF($AE$1785&gt;0,IPMT('Assumptions (MSW)'!$V$6,Model!AF$1,'Assumptions (MSW)'!$V$9,'Assumptions (MSW)'!$V$4*Model!$AE$1785*AVERAGE('Assumptions (MSW)'!$AA$2:$AC$2)/10^9),0)</f>
        <v>0</v>
      </c>
      <c r="AO1922" s="105">
        <f>IF($AE$1785&gt;0,IPMT('Assumptions (MSW)'!$V$6,Model!AG$1,'Assumptions (MSW)'!$V$9,'Assumptions (MSW)'!$V$4*Model!$AE$1785*AVERAGE('Assumptions (MSW)'!$AA$2:$AC$2)/10^9),0)</f>
        <v>0</v>
      </c>
      <c r="AP1922" s="105">
        <f>IF($AE$1785&gt;0,IPMT('Assumptions (MSW)'!$V$6,Model!AH$1,'Assumptions (MSW)'!$V$9,'Assumptions (MSW)'!$V$4*Model!$AE$1785*AVERAGE('Assumptions (MSW)'!$AA$2:$AC$2)/10^9),0)</f>
        <v>0</v>
      </c>
      <c r="AQ1922" s="105">
        <f>IF($AE$1785&gt;0,IPMT('Assumptions (MSW)'!$V$6,Model!AI$1,'Assumptions (MSW)'!$V$9,'Assumptions (MSW)'!$V$4*Model!$AE$1785*AVERAGE('Assumptions (MSW)'!$AA$2:$AC$2)/10^9),0)</f>
        <v>0</v>
      </c>
      <c r="AR1922" s="105">
        <f>IF($AE$1785&gt;0,IPMT('Assumptions (MSW)'!$V$6,Model!AJ$1,'Assumptions (MSW)'!$V$9,'Assumptions (MSW)'!$V$4*Model!$AE$1785*AVERAGE('Assumptions (MSW)'!$AA$2:$AC$2)/10^9),0)</f>
        <v>0</v>
      </c>
      <c r="AS1922" s="105">
        <f>IF($AE$1785&gt;0,IPMT('Assumptions (MSW)'!$V$6,Model!AK$1,'Assumptions (MSW)'!$V$9,'Assumptions (MSW)'!$V$4*Model!$AE$1785*AVERAGE('Assumptions (MSW)'!$AA$2:$AC$2)/10^9),0)</f>
        <v>0</v>
      </c>
      <c r="AT1922" s="105"/>
      <c r="AU1922" s="105"/>
      <c r="AV1922" s="105"/>
      <c r="AW1922" s="105"/>
      <c r="AX1922" s="105"/>
      <c r="AY1922" s="105"/>
      <c r="AZ1922" s="105"/>
      <c r="BA1922" s="105"/>
      <c r="BB1922" s="105"/>
      <c r="BC1922" s="105"/>
    </row>
    <row r="1923" spans="1:68" ht="15.75" hidden="1" customHeight="1" outlineLevel="1">
      <c r="A1923" s="435"/>
      <c r="B1923" s="99"/>
      <c r="C1923" s="99"/>
      <c r="D1923" s="99"/>
      <c r="E1923" s="99"/>
      <c r="F1923" s="99"/>
      <c r="G1923" s="99"/>
      <c r="H1923" s="99"/>
      <c r="I1923" s="99"/>
      <c r="J1923" s="99"/>
      <c r="K1923" s="99"/>
      <c r="L1923" s="99"/>
      <c r="M1923" s="99"/>
      <c r="N1923" s="99"/>
      <c r="O1923" s="99"/>
      <c r="P1923" s="99"/>
      <c r="Q1923" s="99"/>
      <c r="R1923" s="99"/>
      <c r="S1923" s="99"/>
      <c r="T1923" s="99"/>
      <c r="U1923" s="99"/>
      <c r="V1923" s="99"/>
      <c r="W1923" s="105"/>
      <c r="X1923" s="105"/>
      <c r="Y1923" s="105"/>
      <c r="Z1923" s="105"/>
      <c r="AA1923" s="105"/>
      <c r="AB1923" s="105"/>
      <c r="AC1923" s="105"/>
      <c r="AD1923" s="105"/>
      <c r="AE1923" s="105"/>
      <c r="AF1923" s="105">
        <f>IF($AF$1785&gt;0,IPMT('Assumptions (MSW)'!$V$6,Model!W$1,'Assumptions (MSW)'!$V$9,'Assumptions (MSW)'!$V$4*Model!$AF$1785*AVERAGE('Assumptions (MSW)'!$AB$2:$AD$2)/10^9),0)</f>
        <v>0</v>
      </c>
      <c r="AG1923" s="105">
        <f>IF($AF$1785&gt;0,IPMT('Assumptions (MSW)'!$V$6,Model!X$1,'Assumptions (MSW)'!$V$9,'Assumptions (MSW)'!$V$4*Model!$AF$1785*AVERAGE('Assumptions (MSW)'!$AB$2:$AD$2)/10^9),0)</f>
        <v>0</v>
      </c>
      <c r="AH1923" s="105">
        <f>IF($AF$1785&gt;0,IPMT('Assumptions (MSW)'!$V$6,Model!Y$1,'Assumptions (MSW)'!$V$9,'Assumptions (MSW)'!$V$4*Model!$AF$1785*AVERAGE('Assumptions (MSW)'!$AB$2:$AD$2)/10^9),0)</f>
        <v>0</v>
      </c>
      <c r="AI1923" s="105">
        <f>IF($AF$1785&gt;0,IPMT('Assumptions (MSW)'!$V$6,Model!Z$1,'Assumptions (MSW)'!$V$9,'Assumptions (MSW)'!$V$4*Model!$AF$1785*AVERAGE('Assumptions (MSW)'!$AB$2:$AD$2)/10^9),0)</f>
        <v>0</v>
      </c>
      <c r="AJ1923" s="105">
        <f>IF($AF$1785&gt;0,IPMT('Assumptions (MSW)'!$V$6,Model!AA$1,'Assumptions (MSW)'!$V$9,'Assumptions (MSW)'!$V$4*Model!$AF$1785*AVERAGE('Assumptions (MSW)'!$AB$2:$AD$2)/10^9),0)</f>
        <v>0</v>
      </c>
      <c r="AK1923" s="105">
        <f>IF($AF$1785&gt;0,IPMT('Assumptions (MSW)'!$V$6,Model!AB$1,'Assumptions (MSW)'!$V$9,'Assumptions (MSW)'!$V$4*Model!$AF$1785*AVERAGE('Assumptions (MSW)'!$AB$2:$AD$2)/10^9),0)</f>
        <v>0</v>
      </c>
      <c r="AL1923" s="105">
        <f>IF($AF$1785&gt;0,IPMT('Assumptions (MSW)'!$V$6,Model!AC$1,'Assumptions (MSW)'!$V$9,'Assumptions (MSW)'!$V$4*Model!$AF$1785*AVERAGE('Assumptions (MSW)'!$AB$2:$AD$2)/10^9),0)</f>
        <v>0</v>
      </c>
      <c r="AM1923" s="105">
        <f>IF($AF$1785&gt;0,IPMT('Assumptions (MSW)'!$V$6,Model!AD$1,'Assumptions (MSW)'!$V$9,'Assumptions (MSW)'!$V$4*Model!$AF$1785*AVERAGE('Assumptions (MSW)'!$AB$2:$AD$2)/10^9),0)</f>
        <v>0</v>
      </c>
      <c r="AN1923" s="105">
        <f>IF($AF$1785&gt;0,IPMT('Assumptions (MSW)'!$V$6,Model!AE$1,'Assumptions (MSW)'!$V$9,'Assumptions (MSW)'!$V$4*Model!$AF$1785*AVERAGE('Assumptions (MSW)'!$AB$2:$AD$2)/10^9),0)</f>
        <v>0</v>
      </c>
      <c r="AO1923" s="105">
        <f>IF($AF$1785&gt;0,IPMT('Assumptions (MSW)'!$V$6,Model!AF$1,'Assumptions (MSW)'!$V$9,'Assumptions (MSW)'!$V$4*Model!$AF$1785*AVERAGE('Assumptions (MSW)'!$AB$2:$AD$2)/10^9),0)</f>
        <v>0</v>
      </c>
      <c r="AP1923" s="105">
        <f>IF($AF$1785&gt;0,IPMT('Assumptions (MSW)'!$V$6,Model!AG$1,'Assumptions (MSW)'!$V$9,'Assumptions (MSW)'!$V$4*Model!$AF$1785*AVERAGE('Assumptions (MSW)'!$AB$2:$AD$2)/10^9),0)</f>
        <v>0</v>
      </c>
      <c r="AQ1923" s="105">
        <f>IF($AF$1785&gt;0,IPMT('Assumptions (MSW)'!$V$6,Model!AH$1,'Assumptions (MSW)'!$V$9,'Assumptions (MSW)'!$V$4*Model!$AF$1785*AVERAGE('Assumptions (MSW)'!$AB$2:$AD$2)/10^9),0)</f>
        <v>0</v>
      </c>
      <c r="AR1923" s="105">
        <f>IF($AF$1785&gt;0,IPMT('Assumptions (MSW)'!$V$6,Model!AI$1,'Assumptions (MSW)'!$V$9,'Assumptions (MSW)'!$V$4*Model!$AF$1785*AVERAGE('Assumptions (MSW)'!$AB$2:$AD$2)/10^9),0)</f>
        <v>0</v>
      </c>
      <c r="AS1923" s="105">
        <f>IF($AF$1785&gt;0,IPMT('Assumptions (MSW)'!$V$6,Model!AJ$1,'Assumptions (MSW)'!$V$9,'Assumptions (MSW)'!$V$4*Model!$AF$1785*AVERAGE('Assumptions (MSW)'!$AB$2:$AD$2)/10^9),0)</f>
        <v>0</v>
      </c>
      <c r="AT1923" s="105">
        <f>IF($AF$1785&gt;0,IPMT('Assumptions (MSW)'!$V$6,Model!AK$1,'Assumptions (MSW)'!$V$9,'Assumptions (MSW)'!$V$4*Model!$AF$1785*AVERAGE('Assumptions (MSW)'!$AB$2:$AD$2)/10^9),0)</f>
        <v>0</v>
      </c>
      <c r="AU1923" s="105"/>
      <c r="AV1923" s="105"/>
      <c r="AW1923" s="105"/>
      <c r="AX1923" s="105"/>
      <c r="AY1923" s="105"/>
      <c r="AZ1923" s="105"/>
      <c r="BA1923" s="105"/>
      <c r="BB1923" s="105"/>
      <c r="BC1923" s="105"/>
      <c r="BD1923" s="105"/>
    </row>
    <row r="1924" spans="1:68" ht="15.75" hidden="1" customHeight="1" outlineLevel="1">
      <c r="A1924" s="435"/>
      <c r="B1924" s="99"/>
      <c r="C1924" s="99"/>
      <c r="D1924" s="99"/>
      <c r="E1924" s="99"/>
      <c r="F1924" s="99"/>
      <c r="G1924" s="99"/>
      <c r="H1924" s="99"/>
      <c r="I1924" s="99"/>
      <c r="J1924" s="99"/>
      <c r="K1924" s="99"/>
      <c r="L1924" s="99"/>
      <c r="M1924" s="99"/>
      <c r="N1924" s="99"/>
      <c r="O1924" s="99"/>
      <c r="P1924" s="99"/>
      <c r="Q1924" s="99"/>
      <c r="R1924" s="99"/>
      <c r="S1924" s="99"/>
      <c r="T1924" s="99"/>
      <c r="U1924" s="99"/>
      <c r="V1924" s="99"/>
      <c r="W1924" s="105"/>
      <c r="X1924" s="105"/>
      <c r="Y1924" s="105"/>
      <c r="Z1924" s="105"/>
      <c r="AA1924" s="105"/>
      <c r="AB1924" s="105"/>
      <c r="AC1924" s="105"/>
      <c r="AD1924" s="105"/>
      <c r="AE1924" s="105"/>
      <c r="AF1924" s="105"/>
      <c r="AG1924" s="105">
        <f>IF($AG$1785&gt;0,IPMT('Assumptions (MSW)'!$V$6,Model!W$1,'Assumptions (MSW)'!$V$9,'Assumptions (MSW)'!$V$4*Model!$AG$1785*AVERAGE('Assumptions (MSW)'!$AC$2:$AE$2)/10^9),0)</f>
        <v>0</v>
      </c>
      <c r="AH1924" s="105">
        <f>IF($AG$1785&gt;0,IPMT('Assumptions (MSW)'!$V$6,Model!X$1,'Assumptions (MSW)'!$V$9,'Assumptions (MSW)'!$V$4*Model!$AG$1785*AVERAGE('Assumptions (MSW)'!$AC$2:$AE$2)/10^9),0)</f>
        <v>0</v>
      </c>
      <c r="AI1924" s="105">
        <f>IF($AG$1785&gt;0,IPMT('Assumptions (MSW)'!$V$6,Model!Y$1,'Assumptions (MSW)'!$V$9,'Assumptions (MSW)'!$V$4*Model!$AG$1785*AVERAGE('Assumptions (MSW)'!$AC$2:$AE$2)/10^9),0)</f>
        <v>0</v>
      </c>
      <c r="AJ1924" s="105">
        <f>IF($AG$1785&gt;0,IPMT('Assumptions (MSW)'!$V$6,Model!Z$1,'Assumptions (MSW)'!$V$9,'Assumptions (MSW)'!$V$4*Model!$AG$1785*AVERAGE('Assumptions (MSW)'!$AC$2:$AE$2)/10^9),0)</f>
        <v>0</v>
      </c>
      <c r="AK1924" s="105">
        <f>IF($AG$1785&gt;0,IPMT('Assumptions (MSW)'!$V$6,Model!AA$1,'Assumptions (MSW)'!$V$9,'Assumptions (MSW)'!$V$4*Model!$AG$1785*AVERAGE('Assumptions (MSW)'!$AC$2:$AE$2)/10^9),0)</f>
        <v>0</v>
      </c>
      <c r="AL1924" s="105">
        <f>IF($AG$1785&gt;0,IPMT('Assumptions (MSW)'!$V$6,Model!AB$1,'Assumptions (MSW)'!$V$9,'Assumptions (MSW)'!$V$4*Model!$AG$1785*AVERAGE('Assumptions (MSW)'!$AC$2:$AE$2)/10^9),0)</f>
        <v>0</v>
      </c>
      <c r="AM1924" s="105">
        <f>IF($AG$1785&gt;0,IPMT('Assumptions (MSW)'!$V$6,Model!AC$1,'Assumptions (MSW)'!$V$9,'Assumptions (MSW)'!$V$4*Model!$AG$1785*AVERAGE('Assumptions (MSW)'!$AC$2:$AE$2)/10^9),0)</f>
        <v>0</v>
      </c>
      <c r="AN1924" s="105">
        <f>IF($AG$1785&gt;0,IPMT('Assumptions (MSW)'!$V$6,Model!AD$1,'Assumptions (MSW)'!$V$9,'Assumptions (MSW)'!$V$4*Model!$AG$1785*AVERAGE('Assumptions (MSW)'!$AC$2:$AE$2)/10^9),0)</f>
        <v>0</v>
      </c>
      <c r="AO1924" s="105">
        <f>IF($AG$1785&gt;0,IPMT('Assumptions (MSW)'!$V$6,Model!AE$1,'Assumptions (MSW)'!$V$9,'Assumptions (MSW)'!$V$4*Model!$AG$1785*AVERAGE('Assumptions (MSW)'!$AC$2:$AE$2)/10^9),0)</f>
        <v>0</v>
      </c>
      <c r="AP1924" s="105">
        <f>IF($AG$1785&gt;0,IPMT('Assumptions (MSW)'!$V$6,Model!AF$1,'Assumptions (MSW)'!$V$9,'Assumptions (MSW)'!$V$4*Model!$AG$1785*AVERAGE('Assumptions (MSW)'!$AC$2:$AE$2)/10^9),0)</f>
        <v>0</v>
      </c>
      <c r="AQ1924" s="105">
        <f>IF($AG$1785&gt;0,IPMT('Assumptions (MSW)'!$V$6,Model!AG$1,'Assumptions (MSW)'!$V$9,'Assumptions (MSW)'!$V$4*Model!$AG$1785*AVERAGE('Assumptions (MSW)'!$AC$2:$AE$2)/10^9),0)</f>
        <v>0</v>
      </c>
      <c r="AR1924" s="105">
        <f>IF($AG$1785&gt;0,IPMT('Assumptions (MSW)'!$V$6,Model!AH$1,'Assumptions (MSW)'!$V$9,'Assumptions (MSW)'!$V$4*Model!$AG$1785*AVERAGE('Assumptions (MSW)'!$AC$2:$AE$2)/10^9),0)</f>
        <v>0</v>
      </c>
      <c r="AS1924" s="105">
        <f>IF($AG$1785&gt;0,IPMT('Assumptions (MSW)'!$V$6,Model!AI$1,'Assumptions (MSW)'!$V$9,'Assumptions (MSW)'!$V$4*Model!$AG$1785*AVERAGE('Assumptions (MSW)'!$AC$2:$AE$2)/10^9),0)</f>
        <v>0</v>
      </c>
      <c r="AT1924" s="105">
        <f>IF($AG$1785&gt;0,IPMT('Assumptions (MSW)'!$V$6,Model!AJ$1,'Assumptions (MSW)'!$V$9,'Assumptions (MSW)'!$V$4*Model!$AG$1785*AVERAGE('Assumptions (MSW)'!$AC$2:$AE$2)/10^9),0)</f>
        <v>0</v>
      </c>
      <c r="AU1924" s="105">
        <f>IF($AG$1785&gt;0,IPMT('Assumptions (MSW)'!$V$6,Model!AK$1,'Assumptions (MSW)'!$V$9,'Assumptions (MSW)'!$V$4*Model!$AG$1785*AVERAGE('Assumptions (MSW)'!$AC$2:$AE$2)/10^9),0)</f>
        <v>0</v>
      </c>
      <c r="AV1924" s="105"/>
      <c r="AW1924" s="105"/>
      <c r="AX1924" s="105"/>
      <c r="AY1924" s="105"/>
      <c r="AZ1924" s="105"/>
      <c r="BA1924" s="105"/>
      <c r="BB1924" s="105"/>
      <c r="BC1924" s="105"/>
      <c r="BD1924" s="105"/>
      <c r="BE1924" s="105"/>
    </row>
    <row r="1925" spans="1:68" ht="15.75" hidden="1" customHeight="1" outlineLevel="1">
      <c r="A1925" s="435"/>
      <c r="B1925" s="99"/>
      <c r="C1925" s="99"/>
      <c r="D1925" s="99"/>
      <c r="E1925" s="99"/>
      <c r="F1925" s="99"/>
      <c r="G1925" s="99"/>
      <c r="H1925" s="99"/>
      <c r="I1925" s="99"/>
      <c r="J1925" s="99"/>
      <c r="K1925" s="99"/>
      <c r="L1925" s="99"/>
      <c r="M1925" s="99"/>
      <c r="N1925" s="99"/>
      <c r="O1925" s="99"/>
      <c r="P1925" s="99"/>
      <c r="Q1925" s="99"/>
      <c r="R1925" s="99"/>
      <c r="S1925" s="99"/>
      <c r="T1925" s="99"/>
      <c r="U1925" s="99"/>
      <c r="V1925" s="99"/>
      <c r="W1925" s="105"/>
      <c r="X1925" s="105"/>
      <c r="Y1925" s="105"/>
      <c r="Z1925" s="105"/>
      <c r="AA1925" s="105"/>
      <c r="AB1925" s="105"/>
      <c r="AC1925" s="105"/>
      <c r="AD1925" s="105"/>
      <c r="AE1925" s="105"/>
      <c r="AF1925" s="105"/>
      <c r="AG1925" s="105"/>
      <c r="AH1925" s="105">
        <f>IF($AH$1785&gt;0,IPMT('Assumptions (MSW)'!$V$6,Model!W$1,'Assumptions (MSW)'!$V$9,'Assumptions (MSW)'!$V$4*Model!$AH$1785*AVERAGE('Assumptions (MSW)'!$AD$2:$AF$2)/10^9),0)</f>
        <v>0</v>
      </c>
      <c r="AI1925" s="105">
        <f>IF($AH$1785&gt;0,IPMT('Assumptions (MSW)'!$V$6,Model!X$1,'Assumptions (MSW)'!$V$9,'Assumptions (MSW)'!$V$4*Model!$AH$1785*AVERAGE('Assumptions (MSW)'!$AD$2:$AF$2)/10^9),0)</f>
        <v>0</v>
      </c>
      <c r="AJ1925" s="105">
        <f>IF($AH$1785&gt;0,IPMT('Assumptions (MSW)'!$V$6,Model!Y$1,'Assumptions (MSW)'!$V$9,'Assumptions (MSW)'!$V$4*Model!$AH$1785*AVERAGE('Assumptions (MSW)'!$AD$2:$AF$2)/10^9),0)</f>
        <v>0</v>
      </c>
      <c r="AK1925" s="105">
        <f>IF($AH$1785&gt;0,IPMT('Assumptions (MSW)'!$V$6,Model!Z$1,'Assumptions (MSW)'!$V$9,'Assumptions (MSW)'!$V$4*Model!$AH$1785*AVERAGE('Assumptions (MSW)'!$AD$2:$AF$2)/10^9),0)</f>
        <v>0</v>
      </c>
      <c r="AL1925" s="105">
        <f>IF($AH$1785&gt;0,IPMT('Assumptions (MSW)'!$V$6,Model!AA$1,'Assumptions (MSW)'!$V$9,'Assumptions (MSW)'!$V$4*Model!$AH$1785*AVERAGE('Assumptions (MSW)'!$AD$2:$AF$2)/10^9),0)</f>
        <v>0</v>
      </c>
      <c r="AM1925" s="105">
        <f>IF($AH$1785&gt;0,IPMT('Assumptions (MSW)'!$V$6,Model!AB$1,'Assumptions (MSW)'!$V$9,'Assumptions (MSW)'!$V$4*Model!$AH$1785*AVERAGE('Assumptions (MSW)'!$AD$2:$AF$2)/10^9),0)</f>
        <v>0</v>
      </c>
      <c r="AN1925" s="105">
        <f>IF($AH$1785&gt;0,IPMT('Assumptions (MSW)'!$V$6,Model!AC$1,'Assumptions (MSW)'!$V$9,'Assumptions (MSW)'!$V$4*Model!$AH$1785*AVERAGE('Assumptions (MSW)'!$AD$2:$AF$2)/10^9),0)</f>
        <v>0</v>
      </c>
      <c r="AO1925" s="105">
        <f>IF($AH$1785&gt;0,IPMT('Assumptions (MSW)'!$V$6,Model!AD$1,'Assumptions (MSW)'!$V$9,'Assumptions (MSW)'!$V$4*Model!$AH$1785*AVERAGE('Assumptions (MSW)'!$AD$2:$AF$2)/10^9),0)</f>
        <v>0</v>
      </c>
      <c r="AP1925" s="105">
        <f>IF($AH$1785&gt;0,IPMT('Assumptions (MSW)'!$V$6,Model!AE$1,'Assumptions (MSW)'!$V$9,'Assumptions (MSW)'!$V$4*Model!$AH$1785*AVERAGE('Assumptions (MSW)'!$AD$2:$AF$2)/10^9),0)</f>
        <v>0</v>
      </c>
      <c r="AQ1925" s="105">
        <f>IF($AH$1785&gt;0,IPMT('Assumptions (MSW)'!$V$6,Model!AF$1,'Assumptions (MSW)'!$V$9,'Assumptions (MSW)'!$V$4*Model!$AH$1785*AVERAGE('Assumptions (MSW)'!$AD$2:$AF$2)/10^9),0)</f>
        <v>0</v>
      </c>
      <c r="AR1925" s="105">
        <f>IF($AH$1785&gt;0,IPMT('Assumptions (MSW)'!$V$6,Model!AG$1,'Assumptions (MSW)'!$V$9,'Assumptions (MSW)'!$V$4*Model!$AH$1785*AVERAGE('Assumptions (MSW)'!$AD$2:$AF$2)/10^9),0)</f>
        <v>0</v>
      </c>
      <c r="AS1925" s="105">
        <f>IF($AH$1785&gt;0,IPMT('Assumptions (MSW)'!$V$6,Model!AH$1,'Assumptions (MSW)'!$V$9,'Assumptions (MSW)'!$V$4*Model!$AH$1785*AVERAGE('Assumptions (MSW)'!$AD$2:$AF$2)/10^9),0)</f>
        <v>0</v>
      </c>
      <c r="AT1925" s="105">
        <f>IF($AH$1785&gt;0,IPMT('Assumptions (MSW)'!$V$6,Model!AI$1,'Assumptions (MSW)'!$V$9,'Assumptions (MSW)'!$V$4*Model!$AH$1785*AVERAGE('Assumptions (MSW)'!$AD$2:$AF$2)/10^9),0)</f>
        <v>0</v>
      </c>
      <c r="AU1925" s="105">
        <f>IF($AH$1785&gt;0,IPMT('Assumptions (MSW)'!$V$6,Model!AJ$1,'Assumptions (MSW)'!$V$9,'Assumptions (MSW)'!$V$4*Model!$AH$1785*AVERAGE('Assumptions (MSW)'!$AD$2:$AF$2)/10^9),0)</f>
        <v>0</v>
      </c>
      <c r="AV1925" s="105">
        <f>IF($AH$1785&gt;0,IPMT('Assumptions (MSW)'!$V$6,Model!AK$1,'Assumptions (MSW)'!$V$9,'Assumptions (MSW)'!$V$4*Model!$AH$1785*AVERAGE('Assumptions (MSW)'!$AD$2:$AF$2)/10^9),0)</f>
        <v>0</v>
      </c>
      <c r="AW1925" s="105"/>
      <c r="AX1925" s="105"/>
      <c r="AY1925" s="105"/>
      <c r="AZ1925" s="105"/>
      <c r="BA1925" s="105"/>
      <c r="BB1925" s="105"/>
      <c r="BC1925" s="105"/>
      <c r="BD1925" s="105"/>
      <c r="BE1925" s="105"/>
      <c r="BF1925" s="105"/>
    </row>
    <row r="1926" spans="1:68" ht="15.75" hidden="1" customHeight="1" outlineLevel="1">
      <c r="A1926" s="435"/>
      <c r="B1926" s="99"/>
      <c r="C1926" s="99"/>
      <c r="D1926" s="99"/>
      <c r="E1926" s="99"/>
      <c r="F1926" s="99"/>
      <c r="G1926" s="99"/>
      <c r="H1926" s="99"/>
      <c r="I1926" s="99"/>
      <c r="J1926" s="99"/>
      <c r="K1926" s="99"/>
      <c r="L1926" s="99"/>
      <c r="M1926" s="99"/>
      <c r="N1926" s="99"/>
      <c r="O1926" s="99"/>
      <c r="P1926" s="99"/>
      <c r="Q1926" s="99"/>
      <c r="R1926" s="99"/>
      <c r="S1926" s="99"/>
      <c r="T1926" s="99"/>
      <c r="U1926" s="99"/>
      <c r="V1926" s="99"/>
      <c r="W1926" s="105"/>
      <c r="X1926" s="105"/>
      <c r="Y1926" s="105"/>
      <c r="Z1926" s="105"/>
      <c r="AA1926" s="105"/>
      <c r="AB1926" s="105"/>
      <c r="AC1926" s="105"/>
      <c r="AD1926" s="105"/>
      <c r="AE1926" s="105"/>
      <c r="AF1926" s="105"/>
      <c r="AG1926" s="105"/>
      <c r="AH1926" s="105"/>
      <c r="AI1926" s="105">
        <f>IF($AI$1785&gt;0,IPMT('Assumptions (MSW)'!$V$6,Model!W$1,'Assumptions (MSW)'!$V$9,'Assumptions (MSW)'!$V$4*Model!$AI$1785*AVERAGE('Assumptions (MSW)'!$AE$2:$AG$2)/10^9),0)</f>
        <v>0</v>
      </c>
      <c r="AJ1926" s="105">
        <f>IF($AI$1785&gt;0,IPMT('Assumptions (MSW)'!$V$6,Model!X$1,'Assumptions (MSW)'!$V$9,'Assumptions (MSW)'!$V$4*Model!$AI$1785*AVERAGE('Assumptions (MSW)'!$AE$2:$AG$2)/10^9),0)</f>
        <v>0</v>
      </c>
      <c r="AK1926" s="105">
        <f>IF($AI$1785&gt;0,IPMT('Assumptions (MSW)'!$V$6,Model!Y$1,'Assumptions (MSW)'!$V$9,'Assumptions (MSW)'!$V$4*Model!$AI$1785*AVERAGE('Assumptions (MSW)'!$AE$2:$AG$2)/10^9),0)</f>
        <v>0</v>
      </c>
      <c r="AL1926" s="105">
        <f>IF($AI$1785&gt;0,IPMT('Assumptions (MSW)'!$V$6,Model!Z$1,'Assumptions (MSW)'!$V$9,'Assumptions (MSW)'!$V$4*Model!$AI$1785*AVERAGE('Assumptions (MSW)'!$AE$2:$AG$2)/10^9),0)</f>
        <v>0</v>
      </c>
      <c r="AM1926" s="105">
        <f>IF($AI$1785&gt;0,IPMT('Assumptions (MSW)'!$V$6,Model!AA$1,'Assumptions (MSW)'!$V$9,'Assumptions (MSW)'!$V$4*Model!$AI$1785*AVERAGE('Assumptions (MSW)'!$AE$2:$AG$2)/10^9),0)</f>
        <v>0</v>
      </c>
      <c r="AN1926" s="105">
        <f>IF($AI$1785&gt;0,IPMT('Assumptions (MSW)'!$V$6,Model!AB$1,'Assumptions (MSW)'!$V$9,'Assumptions (MSW)'!$V$4*Model!$AI$1785*AVERAGE('Assumptions (MSW)'!$AE$2:$AG$2)/10^9),0)</f>
        <v>0</v>
      </c>
      <c r="AO1926" s="105">
        <f>IF($AI$1785&gt;0,IPMT('Assumptions (MSW)'!$V$6,Model!AC$1,'Assumptions (MSW)'!$V$9,'Assumptions (MSW)'!$V$4*Model!$AI$1785*AVERAGE('Assumptions (MSW)'!$AE$2:$AG$2)/10^9),0)</f>
        <v>0</v>
      </c>
      <c r="AP1926" s="105">
        <f>IF($AI$1785&gt;0,IPMT('Assumptions (MSW)'!$V$6,Model!AD$1,'Assumptions (MSW)'!$V$9,'Assumptions (MSW)'!$V$4*Model!$AI$1785*AVERAGE('Assumptions (MSW)'!$AE$2:$AG$2)/10^9),0)</f>
        <v>0</v>
      </c>
      <c r="AQ1926" s="105">
        <f>IF($AI$1785&gt;0,IPMT('Assumptions (MSW)'!$V$6,Model!AE$1,'Assumptions (MSW)'!$V$9,'Assumptions (MSW)'!$V$4*Model!$AI$1785*AVERAGE('Assumptions (MSW)'!$AE$2:$AG$2)/10^9),0)</f>
        <v>0</v>
      </c>
      <c r="AR1926" s="105">
        <f>IF($AI$1785&gt;0,IPMT('Assumptions (MSW)'!$V$6,Model!AF$1,'Assumptions (MSW)'!$V$9,'Assumptions (MSW)'!$V$4*Model!$AI$1785*AVERAGE('Assumptions (MSW)'!$AE$2:$AG$2)/10^9),0)</f>
        <v>0</v>
      </c>
      <c r="AS1926" s="105">
        <f>IF($AI$1785&gt;0,IPMT('Assumptions (MSW)'!$V$6,Model!AG$1,'Assumptions (MSW)'!$V$9,'Assumptions (MSW)'!$V$4*Model!$AI$1785*AVERAGE('Assumptions (MSW)'!$AE$2:$AG$2)/10^9),0)</f>
        <v>0</v>
      </c>
      <c r="AT1926" s="105">
        <f>IF($AI$1785&gt;0,IPMT('Assumptions (MSW)'!$V$6,Model!AH$1,'Assumptions (MSW)'!$V$9,'Assumptions (MSW)'!$V$4*Model!$AI$1785*AVERAGE('Assumptions (MSW)'!$AE$2:$AG$2)/10^9),0)</f>
        <v>0</v>
      </c>
      <c r="AU1926" s="105">
        <f>IF($AI$1785&gt;0,IPMT('Assumptions (MSW)'!$V$6,Model!AI$1,'Assumptions (MSW)'!$V$9,'Assumptions (MSW)'!$V$4*Model!$AI$1785*AVERAGE('Assumptions (MSW)'!$AE$2:$AG$2)/10^9),0)</f>
        <v>0</v>
      </c>
      <c r="AV1926" s="105">
        <f>IF($AI$1785&gt;0,IPMT('Assumptions (MSW)'!$V$6,Model!AJ$1,'Assumptions (MSW)'!$V$9,'Assumptions (MSW)'!$V$4*Model!$AI$1785*AVERAGE('Assumptions (MSW)'!$AE$2:$AG$2)/10^9),0)</f>
        <v>0</v>
      </c>
      <c r="AW1926" s="105">
        <f>IF($AI$1785&gt;0,IPMT('Assumptions (MSW)'!$V$6,Model!AK$1,'Assumptions (MSW)'!$V$9,'Assumptions (MSW)'!$V$4*Model!$AI$1785*AVERAGE('Assumptions (MSW)'!$AE$2:$AG$2)/10^9),0)</f>
        <v>0</v>
      </c>
      <c r="AX1926" s="105"/>
      <c r="AY1926" s="105"/>
      <c r="AZ1926" s="105"/>
      <c r="BA1926" s="105"/>
      <c r="BB1926" s="105"/>
      <c r="BC1926" s="105"/>
      <c r="BD1926" s="105"/>
      <c r="BE1926" s="105"/>
      <c r="BF1926" s="105"/>
      <c r="BG1926" s="105"/>
    </row>
    <row r="1927" spans="1:68" ht="15.75" hidden="1" customHeight="1" outlineLevel="1">
      <c r="A1927" s="435"/>
      <c r="B1927" s="99"/>
      <c r="C1927" s="99"/>
      <c r="D1927" s="99"/>
      <c r="E1927" s="99"/>
      <c r="F1927" s="99"/>
      <c r="G1927" s="99"/>
      <c r="H1927" s="99"/>
      <c r="I1927" s="99"/>
      <c r="J1927" s="99"/>
      <c r="K1927" s="99"/>
      <c r="L1927" s="99"/>
      <c r="M1927" s="99"/>
      <c r="N1927" s="99"/>
      <c r="O1927" s="99"/>
      <c r="P1927" s="99"/>
      <c r="Q1927" s="99"/>
      <c r="R1927" s="99"/>
      <c r="S1927" s="99"/>
      <c r="T1927" s="99"/>
      <c r="U1927" s="99"/>
      <c r="V1927" s="99"/>
      <c r="W1927" s="105"/>
      <c r="X1927" s="105"/>
      <c r="Y1927" s="105"/>
      <c r="Z1927" s="105"/>
      <c r="AA1927" s="105"/>
      <c r="AB1927" s="105"/>
      <c r="AC1927" s="105"/>
      <c r="AD1927" s="105"/>
      <c r="AE1927" s="105"/>
      <c r="AF1927" s="105"/>
      <c r="AG1927" s="105"/>
      <c r="AH1927" s="105"/>
      <c r="AI1927" s="105"/>
      <c r="AJ1927" s="91">
        <f>IF($AJ$1785&gt;0,IPMT('Assumptions (MSW)'!$V$6,Model!W$1,'Assumptions (MSW)'!$V$9,'Assumptions (MSW)'!$V$4*Model!$AJ$1785*AVERAGE('Assumptions (MSW)'!$AF$2:$AH$2)/10^9),0)</f>
        <v>0</v>
      </c>
      <c r="AK1927" s="91">
        <f>IF($AJ$1785&gt;0,IPMT('Assumptions (MSW)'!$V$6,Model!X$1,'Assumptions (MSW)'!$V$9,'Assumptions (MSW)'!$V$4*Model!$AJ$1785*AVERAGE('Assumptions (MSW)'!$AF$2:$AH$2)/10^9),0)</f>
        <v>0</v>
      </c>
      <c r="AL1927" s="91">
        <f>IF($AJ$1785&gt;0,IPMT('Assumptions (MSW)'!$V$6,Model!Y$1,'Assumptions (MSW)'!$V$9,'Assumptions (MSW)'!$V$4*Model!$AJ$1785*AVERAGE('Assumptions (MSW)'!$AF$2:$AH$2)/10^9),0)</f>
        <v>0</v>
      </c>
      <c r="AM1927" s="91">
        <f>IF($AJ$1785&gt;0,IPMT('Assumptions (MSW)'!$V$6,Model!Z$1,'Assumptions (MSW)'!$V$9,'Assumptions (MSW)'!$V$4*Model!$AJ$1785*AVERAGE('Assumptions (MSW)'!$AF$2:$AH$2)/10^9),0)</f>
        <v>0</v>
      </c>
      <c r="AN1927" s="91">
        <f>IF($AJ$1785&gt;0,IPMT('Assumptions (MSW)'!$V$6,Model!AA$1,'Assumptions (MSW)'!$V$9,'Assumptions (MSW)'!$V$4*Model!$AJ$1785*AVERAGE('Assumptions (MSW)'!$AF$2:$AH$2)/10^9),0)</f>
        <v>0</v>
      </c>
      <c r="AO1927" s="91">
        <f>IF($AJ$1785&gt;0,IPMT('Assumptions (MSW)'!$V$6,Model!AB$1,'Assumptions (MSW)'!$V$9,'Assumptions (MSW)'!$V$4*Model!$AJ$1785*AVERAGE('Assumptions (MSW)'!$AF$2:$AH$2)/10^9),0)</f>
        <v>0</v>
      </c>
      <c r="AP1927" s="91">
        <f>IF($AJ$1785&gt;0,IPMT('Assumptions (MSW)'!$V$6,Model!AC$1,'Assumptions (MSW)'!$V$9,'Assumptions (MSW)'!$V$4*Model!$AJ$1785*AVERAGE('Assumptions (MSW)'!$AF$2:$AH$2)/10^9),0)</f>
        <v>0</v>
      </c>
      <c r="AQ1927" s="91">
        <f>IF($AJ$1785&gt;0,IPMT('Assumptions (MSW)'!$V$6,Model!AD$1,'Assumptions (MSW)'!$V$9,'Assumptions (MSW)'!$V$4*Model!$AJ$1785*AVERAGE('Assumptions (MSW)'!$AF$2:$AH$2)/10^9),0)</f>
        <v>0</v>
      </c>
      <c r="AR1927" s="91">
        <f>IF($AJ$1785&gt;0,IPMT('Assumptions (MSW)'!$V$6,Model!AE$1,'Assumptions (MSW)'!$V$9,'Assumptions (MSW)'!$V$4*Model!$AJ$1785*AVERAGE('Assumptions (MSW)'!$AF$2:$AH$2)/10^9),0)</f>
        <v>0</v>
      </c>
      <c r="AS1927" s="91">
        <f>IF($AJ$1785&gt;0,IPMT('Assumptions (MSW)'!$V$6,Model!AF$1,'Assumptions (MSW)'!$V$9,'Assumptions (MSW)'!$V$4*Model!$AJ$1785*AVERAGE('Assumptions (MSW)'!$AF$2:$AH$2)/10^9),0)</f>
        <v>0</v>
      </c>
      <c r="AT1927" s="91">
        <f>IF($AJ$1785&gt;0,IPMT('Assumptions (MSW)'!$V$6,Model!AG$1,'Assumptions (MSW)'!$V$9,'Assumptions (MSW)'!$V$4*Model!$AJ$1785*AVERAGE('Assumptions (MSW)'!$AF$2:$AH$2)/10^9),0)</f>
        <v>0</v>
      </c>
      <c r="AU1927" s="91">
        <f>IF($AJ$1785&gt;0,IPMT('Assumptions (MSW)'!$V$6,Model!AH$1,'Assumptions (MSW)'!$V$9,'Assumptions (MSW)'!$V$4*Model!$AJ$1785*AVERAGE('Assumptions (MSW)'!$AF$2:$AH$2)/10^9),0)</f>
        <v>0</v>
      </c>
      <c r="AV1927" s="91">
        <f>IF($AJ$1785&gt;0,IPMT('Assumptions (MSW)'!$V$6,Model!AI$1,'Assumptions (MSW)'!$V$9,'Assumptions (MSW)'!$V$4*Model!$AJ$1785*AVERAGE('Assumptions (MSW)'!$AF$2:$AH$2)/10^9),0)</f>
        <v>0</v>
      </c>
      <c r="AW1927" s="91">
        <f>IF($AJ$1785&gt;0,IPMT('Assumptions (MSW)'!$V$6,Model!AJ$1,'Assumptions (MSW)'!$V$9,'Assumptions (MSW)'!$V$4*Model!$AJ$1785*AVERAGE('Assumptions (MSW)'!$AF$2:$AH$2)/10^9),0)</f>
        <v>0</v>
      </c>
      <c r="AX1927" s="91">
        <f>IF($AJ$1785&gt;0,IPMT('Assumptions (MSW)'!$V$6,Model!AK$1,'Assumptions (MSW)'!$V$9,'Assumptions (MSW)'!$V$4*Model!$AJ$1785*AVERAGE('Assumptions (MSW)'!$AF$2:$AH$2)/10^9),0)</f>
        <v>0</v>
      </c>
      <c r="AY1927" s="91"/>
      <c r="AZ1927" s="91"/>
      <c r="BA1927" s="91"/>
      <c r="BB1927" s="91"/>
      <c r="BC1927" s="91"/>
      <c r="BD1927" s="91"/>
      <c r="BE1927" s="91"/>
      <c r="BF1927" s="91"/>
      <c r="BG1927" s="91"/>
      <c r="BH1927" s="91"/>
    </row>
    <row r="1928" spans="1:68" ht="15.75" hidden="1" customHeight="1" outlineLevel="1">
      <c r="A1928" s="435"/>
      <c r="B1928" s="99"/>
      <c r="C1928" s="99"/>
      <c r="D1928" s="99"/>
      <c r="E1928" s="99"/>
      <c r="F1928" s="99"/>
      <c r="G1928" s="99"/>
      <c r="H1928" s="99"/>
      <c r="I1928" s="99"/>
      <c r="J1928" s="99"/>
      <c r="K1928" s="99"/>
      <c r="L1928" s="99"/>
      <c r="M1928" s="99"/>
      <c r="N1928" s="99"/>
      <c r="O1928" s="99"/>
      <c r="P1928" s="99"/>
      <c r="Q1928" s="99"/>
      <c r="R1928" s="99"/>
      <c r="S1928" s="99"/>
      <c r="T1928" s="99"/>
      <c r="U1928" s="99"/>
      <c r="V1928" s="99"/>
      <c r="W1928" s="105"/>
      <c r="X1928" s="105"/>
      <c r="Y1928" s="105"/>
      <c r="Z1928" s="105"/>
      <c r="AA1928" s="105"/>
      <c r="AB1928" s="105"/>
      <c r="AC1928" s="105"/>
      <c r="AD1928" s="105"/>
      <c r="AE1928" s="105"/>
      <c r="AF1928" s="105"/>
      <c r="AG1928" s="105"/>
      <c r="AH1928" s="105"/>
      <c r="AI1928" s="105"/>
      <c r="AJ1928" s="171"/>
      <c r="AK1928" s="105">
        <f>IF($AK$1785&gt;0,IPMT('Assumptions (MSW)'!$V$6,Model!W$1,'Assumptions (MSW)'!$V$9,'Assumptions (MSW)'!$V$4*Model!$AK$1785*AVERAGE('Assumptions (MSW)'!$AG$2:$AI$2)/10^9),0)</f>
        <v>0</v>
      </c>
      <c r="AL1928" s="105">
        <f>IF($AK$1785&gt;0,IPMT('Assumptions (MSW)'!$V$6,Model!X$1,'Assumptions (MSW)'!$V$9,'Assumptions (MSW)'!$V$4*Model!$AK$1785*AVERAGE('Assumptions (MSW)'!$AG$2:$AI$2)/10^9),0)</f>
        <v>0</v>
      </c>
      <c r="AM1928" s="105">
        <f>IF($AK$1785&gt;0,IPMT('Assumptions (MSW)'!$V$6,Model!Y$1,'Assumptions (MSW)'!$V$9,'Assumptions (MSW)'!$V$4*Model!$AK$1785*AVERAGE('Assumptions (MSW)'!$AG$2:$AI$2)/10^9),0)</f>
        <v>0</v>
      </c>
      <c r="AN1928" s="105">
        <f>IF($AK$1785&gt;0,IPMT('Assumptions (MSW)'!$V$6,Model!Z$1,'Assumptions (MSW)'!$V$9,'Assumptions (MSW)'!$V$4*Model!$AK$1785*AVERAGE('Assumptions (MSW)'!$AG$2:$AI$2)/10^9),0)</f>
        <v>0</v>
      </c>
      <c r="AO1928" s="105">
        <f>IF($AK$1785&gt;0,IPMT('Assumptions (MSW)'!$V$6,Model!AA$1,'Assumptions (MSW)'!$V$9,'Assumptions (MSW)'!$V$4*Model!$AK$1785*AVERAGE('Assumptions (MSW)'!$AG$2:$AI$2)/10^9),0)</f>
        <v>0</v>
      </c>
      <c r="AP1928" s="105">
        <f>IF($AK$1785&gt;0,IPMT('Assumptions (MSW)'!$V$6,Model!AB$1,'Assumptions (MSW)'!$V$9,'Assumptions (MSW)'!$V$4*Model!$AK$1785*AVERAGE('Assumptions (MSW)'!$AG$2:$AI$2)/10^9),0)</f>
        <v>0</v>
      </c>
      <c r="AQ1928" s="105">
        <f>IF($AK$1785&gt;0,IPMT('Assumptions (MSW)'!$V$6,Model!AC$1,'Assumptions (MSW)'!$V$9,'Assumptions (MSW)'!$V$4*Model!$AK$1785*AVERAGE('Assumptions (MSW)'!$AG$2:$AI$2)/10^9),0)</f>
        <v>0</v>
      </c>
      <c r="AR1928" s="105">
        <f>IF($AK$1785&gt;0,IPMT('Assumptions (MSW)'!$V$6,Model!AD$1,'Assumptions (MSW)'!$V$9,'Assumptions (MSW)'!$V$4*Model!$AK$1785*AVERAGE('Assumptions (MSW)'!$AG$2:$AI$2)/10^9),0)</f>
        <v>0</v>
      </c>
      <c r="AS1928" s="105">
        <f>IF($AK$1785&gt;0,IPMT('Assumptions (MSW)'!$V$6,Model!AE$1,'Assumptions (MSW)'!$V$9,'Assumptions (MSW)'!$V$4*Model!$AK$1785*AVERAGE('Assumptions (MSW)'!$AG$2:$AI$2)/10^9),0)</f>
        <v>0</v>
      </c>
      <c r="AT1928" s="105">
        <f>IF($AK$1785&gt;0,IPMT('Assumptions (MSW)'!$V$6,Model!AF$1,'Assumptions (MSW)'!$V$9,'Assumptions (MSW)'!$V$4*Model!$AK$1785*AVERAGE('Assumptions (MSW)'!$AG$2:$AI$2)/10^9),0)</f>
        <v>0</v>
      </c>
      <c r="AU1928" s="105">
        <f>IF($AK$1785&gt;0,IPMT('Assumptions (MSW)'!$V$6,Model!AG$1,'Assumptions (MSW)'!$V$9,'Assumptions (MSW)'!$V$4*Model!$AK$1785*AVERAGE('Assumptions (MSW)'!$AG$2:$AI$2)/10^9),0)</f>
        <v>0</v>
      </c>
      <c r="AV1928" s="105">
        <f>IF($AK$1785&gt;0,IPMT('Assumptions (MSW)'!$V$6,Model!AH$1,'Assumptions (MSW)'!$V$9,'Assumptions (MSW)'!$V$4*Model!$AK$1785*AVERAGE('Assumptions (MSW)'!$AG$2:$AI$2)/10^9),0)</f>
        <v>0</v>
      </c>
      <c r="AW1928" s="105">
        <f>IF($AK$1785&gt;0,IPMT('Assumptions (MSW)'!$V$6,Model!AI$1,'Assumptions (MSW)'!$V$9,'Assumptions (MSW)'!$V$4*Model!$AK$1785*AVERAGE('Assumptions (MSW)'!$AG$2:$AI$2)/10^9),0)</f>
        <v>0</v>
      </c>
      <c r="AX1928" s="105">
        <f>IF($AK$1785&gt;0,IPMT('Assumptions (MSW)'!$V$6,Model!AJ$1,'Assumptions (MSW)'!$V$9,'Assumptions (MSW)'!$V$4*Model!$AK$1785*AVERAGE('Assumptions (MSW)'!$AG$2:$AI$2)/10^9),0)</f>
        <v>0</v>
      </c>
      <c r="AY1928" s="105">
        <f>IF($AK$1785&gt;0,IPMT('Assumptions (MSW)'!$V$6,Model!AK$1,'Assumptions (MSW)'!$V$9,'Assumptions (MSW)'!$V$4*Model!$AK$1785*AVERAGE('Assumptions (MSW)'!$AG$2:$AI$2)/10^9),0)</f>
        <v>0</v>
      </c>
      <c r="AZ1928" s="105"/>
      <c r="BA1928" s="105"/>
      <c r="BB1928" s="105"/>
      <c r="BC1928" s="105"/>
      <c r="BD1928" s="105"/>
      <c r="BE1928" s="105"/>
      <c r="BF1928" s="105"/>
      <c r="BG1928" s="105"/>
      <c r="BH1928" s="105"/>
      <c r="BI1928" s="105"/>
    </row>
    <row r="1929" spans="1:68" ht="15.75" hidden="1" customHeight="1" outlineLevel="1">
      <c r="A1929" s="435"/>
      <c r="B1929" s="99"/>
      <c r="C1929" s="99"/>
      <c r="D1929" s="99"/>
      <c r="E1929" s="99"/>
      <c r="F1929" s="99"/>
      <c r="G1929" s="99"/>
      <c r="H1929" s="99"/>
      <c r="I1929" s="99"/>
      <c r="J1929" s="99"/>
      <c r="K1929" s="99"/>
      <c r="L1929" s="99"/>
      <c r="M1929" s="99"/>
      <c r="N1929" s="99"/>
      <c r="O1929" s="99"/>
      <c r="P1929" s="99"/>
      <c r="Q1929" s="99"/>
      <c r="R1929" s="99"/>
      <c r="S1929" s="99"/>
      <c r="T1929" s="99"/>
      <c r="U1929" s="99"/>
      <c r="V1929" s="99"/>
      <c r="W1929" s="105"/>
      <c r="X1929" s="105"/>
      <c r="Y1929" s="105"/>
      <c r="Z1929" s="105"/>
      <c r="AA1929" s="105"/>
      <c r="AB1929" s="105"/>
      <c r="AC1929" s="105"/>
      <c r="AD1929" s="105"/>
      <c r="AE1929" s="105"/>
      <c r="AF1929" s="105"/>
      <c r="AG1929" s="105"/>
      <c r="AH1929" s="105"/>
      <c r="AI1929" s="105"/>
      <c r="AJ1929" s="171"/>
      <c r="AK1929" s="105"/>
      <c r="AL1929" s="91">
        <f>IF($AL$1785&gt;0,IPMT('Assumptions (MSW)'!$V$6,Model!W$1,'Assumptions (MSW)'!$V$9,'Assumptions (MSW)'!$V$4*Model!$AL$1785*AVERAGE('Assumptions (MSW)'!$AH$2:$AJ$2)/10^9),0)</f>
        <v>0</v>
      </c>
      <c r="AM1929" s="91">
        <f>IF($AL$1785&gt;0,IPMT('Assumptions (MSW)'!$V$6,Model!X$1,'Assumptions (MSW)'!$V$9,'Assumptions (MSW)'!$V$4*Model!$AL$1785*AVERAGE('Assumptions (MSW)'!$AH$2:$AJ$2)/10^9),0)</f>
        <v>0</v>
      </c>
      <c r="AN1929" s="91">
        <f>IF($AL$1785&gt;0,IPMT('Assumptions (MSW)'!$V$6,Model!Y$1,'Assumptions (MSW)'!$V$9,'Assumptions (MSW)'!$V$4*Model!$AL$1785*AVERAGE('Assumptions (MSW)'!$AH$2:$AJ$2)/10^9),0)</f>
        <v>0</v>
      </c>
      <c r="AO1929" s="91">
        <f>IF($AL$1785&gt;0,IPMT('Assumptions (MSW)'!$V$6,Model!Z$1,'Assumptions (MSW)'!$V$9,'Assumptions (MSW)'!$V$4*Model!$AL$1785*AVERAGE('Assumptions (MSW)'!$AH$2:$AJ$2)/10^9),0)</f>
        <v>0</v>
      </c>
      <c r="AP1929" s="91">
        <f>IF($AL$1785&gt;0,IPMT('Assumptions (MSW)'!$V$6,Model!AA$1,'Assumptions (MSW)'!$V$9,'Assumptions (MSW)'!$V$4*Model!$AL$1785*AVERAGE('Assumptions (MSW)'!$AH$2:$AJ$2)/10^9),0)</f>
        <v>0</v>
      </c>
      <c r="AQ1929" s="91">
        <f>IF($AL$1785&gt;0,IPMT('Assumptions (MSW)'!$V$6,Model!AB$1,'Assumptions (MSW)'!$V$9,'Assumptions (MSW)'!$V$4*Model!$AL$1785*AVERAGE('Assumptions (MSW)'!$AH$2:$AJ$2)/10^9),0)</f>
        <v>0</v>
      </c>
      <c r="AR1929" s="91">
        <f>IF($AL$1785&gt;0,IPMT('Assumptions (MSW)'!$V$6,Model!AC$1,'Assumptions (MSW)'!$V$9,'Assumptions (MSW)'!$V$4*Model!$AL$1785*AVERAGE('Assumptions (MSW)'!$AH$2:$AJ$2)/10^9),0)</f>
        <v>0</v>
      </c>
      <c r="AS1929" s="91">
        <f>IF($AL$1785&gt;0,IPMT('Assumptions (MSW)'!$V$6,Model!AD$1,'Assumptions (MSW)'!$V$9,'Assumptions (MSW)'!$V$4*Model!$AL$1785*AVERAGE('Assumptions (MSW)'!$AH$2:$AJ$2)/10^9),0)</f>
        <v>0</v>
      </c>
      <c r="AT1929" s="91">
        <f>IF($AL$1785&gt;0,IPMT('Assumptions (MSW)'!$V$6,Model!AE$1,'Assumptions (MSW)'!$V$9,'Assumptions (MSW)'!$V$4*Model!$AL$1785*AVERAGE('Assumptions (MSW)'!$AH$2:$AJ$2)/10^9),0)</f>
        <v>0</v>
      </c>
      <c r="AU1929" s="91">
        <f>IF($AL$1785&gt;0,IPMT('Assumptions (MSW)'!$V$6,Model!AF$1,'Assumptions (MSW)'!$V$9,'Assumptions (MSW)'!$V$4*Model!$AL$1785*AVERAGE('Assumptions (MSW)'!$AH$2:$AJ$2)/10^9),0)</f>
        <v>0</v>
      </c>
      <c r="AV1929" s="91">
        <f>IF($AL$1785&gt;0,IPMT('Assumptions (MSW)'!$V$6,Model!AG$1,'Assumptions (MSW)'!$V$9,'Assumptions (MSW)'!$V$4*Model!$AL$1785*AVERAGE('Assumptions (MSW)'!$AH$2:$AJ$2)/10^9),0)</f>
        <v>0</v>
      </c>
      <c r="AW1929" s="91">
        <f>IF($AL$1785&gt;0,IPMT('Assumptions (MSW)'!$V$6,Model!AH$1,'Assumptions (MSW)'!$V$9,'Assumptions (MSW)'!$V$4*Model!$AL$1785*AVERAGE('Assumptions (MSW)'!$AH$2:$AJ$2)/10^9),0)</f>
        <v>0</v>
      </c>
      <c r="AX1929" s="91">
        <f>IF($AL$1785&gt;0,IPMT('Assumptions (MSW)'!$V$6,Model!AI$1,'Assumptions (MSW)'!$V$9,'Assumptions (MSW)'!$V$4*Model!$AL$1785*AVERAGE('Assumptions (MSW)'!$AH$2:$AJ$2)/10^9),0)</f>
        <v>0</v>
      </c>
      <c r="AY1929" s="91">
        <f>IF($AL$1785&gt;0,IPMT('Assumptions (MSW)'!$V$6,Model!AJ$1,'Assumptions (MSW)'!$V$9,'Assumptions (MSW)'!$V$4*Model!$AL$1785*AVERAGE('Assumptions (MSW)'!$AH$2:$AJ$2)/10^9),0)</f>
        <v>0</v>
      </c>
      <c r="AZ1929" s="91">
        <f>IF($AL$1785&gt;0,IPMT('Assumptions (MSW)'!$V$6,Model!AK$1,'Assumptions (MSW)'!$V$9,'Assumptions (MSW)'!$V$4*Model!$AL$1785*AVERAGE('Assumptions (MSW)'!$AH$2:$AJ$2)/10^9),0)</f>
        <v>0</v>
      </c>
      <c r="BA1929" s="91"/>
      <c r="BB1929" s="91"/>
      <c r="BC1929" s="91"/>
      <c r="BD1929" s="91"/>
      <c r="BE1929" s="91"/>
      <c r="BF1929" s="91"/>
      <c r="BG1929" s="91"/>
      <c r="BH1929" s="91"/>
      <c r="BI1929" s="91"/>
      <c r="BJ1929" s="91"/>
    </row>
    <row r="1930" spans="1:68" ht="15.75" hidden="1" customHeight="1" outlineLevel="1">
      <c r="A1930" s="435"/>
      <c r="B1930" s="99"/>
      <c r="C1930" s="99"/>
      <c r="D1930" s="99"/>
      <c r="E1930" s="99"/>
      <c r="F1930" s="99"/>
      <c r="G1930" s="99"/>
      <c r="H1930" s="99"/>
      <c r="I1930" s="99"/>
      <c r="J1930" s="99"/>
      <c r="K1930" s="99"/>
      <c r="L1930" s="99"/>
      <c r="M1930" s="99"/>
      <c r="N1930" s="99"/>
      <c r="O1930" s="99"/>
      <c r="P1930" s="99"/>
      <c r="Q1930" s="99"/>
      <c r="R1930" s="99"/>
      <c r="S1930" s="99"/>
      <c r="T1930" s="99"/>
      <c r="U1930" s="99"/>
      <c r="V1930" s="99"/>
      <c r="W1930" s="105"/>
      <c r="X1930" s="105"/>
      <c r="Y1930" s="105"/>
      <c r="Z1930" s="105"/>
      <c r="AA1930" s="105"/>
      <c r="AB1930" s="105"/>
      <c r="AC1930" s="105"/>
      <c r="AD1930" s="105"/>
      <c r="AE1930" s="105"/>
      <c r="AF1930" s="105"/>
      <c r="AG1930" s="105"/>
      <c r="AH1930" s="105"/>
      <c r="AI1930" s="105"/>
      <c r="AJ1930" s="171"/>
      <c r="AK1930" s="105"/>
      <c r="AL1930" s="91"/>
      <c r="AM1930" s="105">
        <f>IF($AM$1785&gt;0,IPMT('Assumptions (MSW)'!$V$6,Model!W$1,'Assumptions (MSW)'!$V$9,'Assumptions (MSW)'!$V$4*Model!$AM$1785*AVERAGE('Assumptions (MSW)'!$AI$2:$AK$2)/10^9),0)</f>
        <v>0</v>
      </c>
      <c r="AN1930" s="105">
        <f>IF($AM$1785&gt;0,IPMT('Assumptions (MSW)'!$V$6,Model!X$1,'Assumptions (MSW)'!$V$9,'Assumptions (MSW)'!$V$4*Model!$AM$1785*AVERAGE('Assumptions (MSW)'!$AI$2:$AK$2)/10^9),0)</f>
        <v>0</v>
      </c>
      <c r="AO1930" s="105">
        <f>IF($AM$1785&gt;0,IPMT('Assumptions (MSW)'!$V$6,Model!Y$1,'Assumptions (MSW)'!$V$9,'Assumptions (MSW)'!$V$4*Model!$AM$1785*AVERAGE('Assumptions (MSW)'!$AI$2:$AK$2)/10^9),0)</f>
        <v>0</v>
      </c>
      <c r="AP1930" s="105">
        <f>IF($AM$1785&gt;0,IPMT('Assumptions (MSW)'!$V$6,Model!Z$1,'Assumptions (MSW)'!$V$9,'Assumptions (MSW)'!$V$4*Model!$AM$1785*AVERAGE('Assumptions (MSW)'!$AI$2:$AK$2)/10^9),0)</f>
        <v>0</v>
      </c>
      <c r="AQ1930" s="105">
        <f>IF($AM$1785&gt;0,IPMT('Assumptions (MSW)'!$V$6,Model!AA$1,'Assumptions (MSW)'!$V$9,'Assumptions (MSW)'!$V$4*Model!$AM$1785*AVERAGE('Assumptions (MSW)'!$AI$2:$AK$2)/10^9),0)</f>
        <v>0</v>
      </c>
      <c r="AR1930" s="105">
        <f>IF($AM$1785&gt;0,IPMT('Assumptions (MSW)'!$V$6,Model!AB$1,'Assumptions (MSW)'!$V$9,'Assumptions (MSW)'!$V$4*Model!$AM$1785*AVERAGE('Assumptions (MSW)'!$AI$2:$AK$2)/10^9),0)</f>
        <v>0</v>
      </c>
      <c r="AS1930" s="105">
        <f>IF($AM$1785&gt;0,IPMT('Assumptions (MSW)'!$V$6,Model!AC$1,'Assumptions (MSW)'!$V$9,'Assumptions (MSW)'!$V$4*Model!$AM$1785*AVERAGE('Assumptions (MSW)'!$AI$2:$AK$2)/10^9),0)</f>
        <v>0</v>
      </c>
      <c r="AT1930" s="105">
        <f>IF($AM$1785&gt;0,IPMT('Assumptions (MSW)'!$V$6,Model!AD$1,'Assumptions (MSW)'!$V$9,'Assumptions (MSW)'!$V$4*Model!$AM$1785*AVERAGE('Assumptions (MSW)'!$AI$2:$AK$2)/10^9),0)</f>
        <v>0</v>
      </c>
      <c r="AU1930" s="105">
        <f>IF($AM$1785&gt;0,IPMT('Assumptions (MSW)'!$V$6,Model!AE$1,'Assumptions (MSW)'!$V$9,'Assumptions (MSW)'!$V$4*Model!$AM$1785*AVERAGE('Assumptions (MSW)'!$AI$2:$AK$2)/10^9),0)</f>
        <v>0</v>
      </c>
      <c r="AV1930" s="105">
        <f>IF($AM$1785&gt;0,IPMT('Assumptions (MSW)'!$V$6,Model!AF$1,'Assumptions (MSW)'!$V$9,'Assumptions (MSW)'!$V$4*Model!$AM$1785*AVERAGE('Assumptions (MSW)'!$AI$2:$AK$2)/10^9),0)</f>
        <v>0</v>
      </c>
      <c r="AW1930" s="105">
        <f>IF($AM$1785&gt;0,IPMT('Assumptions (MSW)'!$V$6,Model!AG$1,'Assumptions (MSW)'!$V$9,'Assumptions (MSW)'!$V$4*Model!$AM$1785*AVERAGE('Assumptions (MSW)'!$AI$2:$AK$2)/10^9),0)</f>
        <v>0</v>
      </c>
      <c r="AX1930" s="105">
        <f>IF($AM$1785&gt;0,IPMT('Assumptions (MSW)'!$V$6,Model!AH$1,'Assumptions (MSW)'!$V$9,'Assumptions (MSW)'!$V$4*Model!$AM$1785*AVERAGE('Assumptions (MSW)'!$AI$2:$AK$2)/10^9),0)</f>
        <v>0</v>
      </c>
      <c r="AY1930" s="105">
        <f>IF($AM$1785&gt;0,IPMT('Assumptions (MSW)'!$V$6,Model!AI$1,'Assumptions (MSW)'!$V$9,'Assumptions (MSW)'!$V$4*Model!$AM$1785*AVERAGE('Assumptions (MSW)'!$AI$2:$AK$2)/10^9),0)</f>
        <v>0</v>
      </c>
      <c r="AZ1930" s="105">
        <f>IF($AM$1785&gt;0,IPMT('Assumptions (MSW)'!$V$6,Model!AJ$1,'Assumptions (MSW)'!$V$9,'Assumptions (MSW)'!$V$4*Model!$AM$1785*AVERAGE('Assumptions (MSW)'!$AI$2:$AK$2)/10^9),0)</f>
        <v>0</v>
      </c>
      <c r="BA1930" s="105">
        <f>IF($AM$1785&gt;0,IPMT('Assumptions (MSW)'!$V$6,Model!AK$1,'Assumptions (MSW)'!$V$9,'Assumptions (MSW)'!$V$4*Model!$AM$1785*AVERAGE('Assumptions (MSW)'!$AI$2:$AK$2)/10^9),0)</f>
        <v>0</v>
      </c>
      <c r="BB1930" s="105"/>
      <c r="BC1930" s="105"/>
      <c r="BD1930" s="105"/>
      <c r="BE1930" s="105"/>
      <c r="BF1930" s="105"/>
      <c r="BG1930" s="105"/>
      <c r="BH1930" s="105"/>
      <c r="BI1930" s="105"/>
      <c r="BJ1930" s="105"/>
      <c r="BK1930" s="105"/>
    </row>
    <row r="1931" spans="1:68" ht="15.75" hidden="1" customHeight="1" outlineLevel="1">
      <c r="A1931" s="435"/>
      <c r="B1931" s="99"/>
      <c r="C1931" s="99"/>
      <c r="D1931" s="99"/>
      <c r="E1931" s="99"/>
      <c r="F1931" s="99"/>
      <c r="G1931" s="99"/>
      <c r="H1931" s="99"/>
      <c r="I1931" s="99"/>
      <c r="J1931" s="99"/>
      <c r="K1931" s="99"/>
      <c r="L1931" s="99"/>
      <c r="M1931" s="99"/>
      <c r="N1931" s="99"/>
      <c r="O1931" s="99"/>
      <c r="P1931" s="99"/>
      <c r="Q1931" s="99"/>
      <c r="R1931" s="99"/>
      <c r="S1931" s="99"/>
      <c r="T1931" s="99"/>
      <c r="U1931" s="99"/>
      <c r="V1931" s="99"/>
      <c r="W1931" s="105"/>
      <c r="X1931" s="105"/>
      <c r="Y1931" s="105"/>
      <c r="Z1931" s="105"/>
      <c r="AA1931" s="105"/>
      <c r="AB1931" s="105"/>
      <c r="AC1931" s="105"/>
      <c r="AD1931" s="105"/>
      <c r="AE1931" s="105"/>
      <c r="AF1931" s="105"/>
      <c r="AG1931" s="105"/>
      <c r="AH1931" s="105"/>
      <c r="AI1931" s="105"/>
      <c r="AJ1931" s="171"/>
      <c r="AK1931" s="105"/>
      <c r="AL1931" s="91"/>
      <c r="AM1931" s="91"/>
      <c r="AN1931" s="105">
        <f>IF($AN$1785&gt;0,IPMT('Assumptions (MSW)'!$V$6,Model!W$1,'Assumptions (MSW)'!$V$9,'Assumptions (MSW)'!$V$4*Model!$AN$1785*AVERAGE('Assumptions (MSW)'!$AJ$2:$AL$2)/10^9),0)</f>
        <v>0</v>
      </c>
      <c r="AO1931" s="105">
        <f>IF($AN$1785&gt;0,IPMT('Assumptions (MSW)'!$V$6,Model!X$1,'Assumptions (MSW)'!$V$9,'Assumptions (MSW)'!$V$4*Model!$AN$1785*AVERAGE('Assumptions (MSW)'!$AJ$2:$AL$2)/10^9),0)</f>
        <v>0</v>
      </c>
      <c r="AP1931" s="105">
        <f>IF($AN$1785&gt;0,IPMT('Assumptions (MSW)'!$V$6,Model!Y$1,'Assumptions (MSW)'!$V$9,'Assumptions (MSW)'!$V$4*Model!$AN$1785*AVERAGE('Assumptions (MSW)'!$AJ$2:$AL$2)/10^9),0)</f>
        <v>0</v>
      </c>
      <c r="AQ1931" s="105">
        <f>IF($AN$1785&gt;0,IPMT('Assumptions (MSW)'!$V$6,Model!Z$1,'Assumptions (MSW)'!$V$9,'Assumptions (MSW)'!$V$4*Model!$AN$1785*AVERAGE('Assumptions (MSW)'!$AJ$2:$AL$2)/10^9),0)</f>
        <v>0</v>
      </c>
      <c r="AR1931" s="105">
        <f>IF($AN$1785&gt;0,IPMT('Assumptions (MSW)'!$V$6,Model!AA$1,'Assumptions (MSW)'!$V$9,'Assumptions (MSW)'!$V$4*Model!$AN$1785*AVERAGE('Assumptions (MSW)'!$AJ$2:$AL$2)/10^9),0)</f>
        <v>0</v>
      </c>
      <c r="AS1931" s="105">
        <f>IF($AN$1785&gt;0,IPMT('Assumptions (MSW)'!$V$6,Model!AB$1,'Assumptions (MSW)'!$V$9,'Assumptions (MSW)'!$V$4*Model!$AN$1785*AVERAGE('Assumptions (MSW)'!$AJ$2:$AL$2)/10^9),0)</f>
        <v>0</v>
      </c>
      <c r="AT1931" s="105">
        <f>IF($AN$1785&gt;0,IPMT('Assumptions (MSW)'!$V$6,Model!AC$1,'Assumptions (MSW)'!$V$9,'Assumptions (MSW)'!$V$4*Model!$AN$1785*AVERAGE('Assumptions (MSW)'!$AJ$2:$AL$2)/10^9),0)</f>
        <v>0</v>
      </c>
      <c r="AU1931" s="105">
        <f>IF($AN$1785&gt;0,IPMT('Assumptions (MSW)'!$V$6,Model!AD$1,'Assumptions (MSW)'!$V$9,'Assumptions (MSW)'!$V$4*Model!$AN$1785*AVERAGE('Assumptions (MSW)'!$AJ$2:$AL$2)/10^9),0)</f>
        <v>0</v>
      </c>
      <c r="AV1931" s="105">
        <f>IF($AN$1785&gt;0,IPMT('Assumptions (MSW)'!$V$6,Model!AE$1,'Assumptions (MSW)'!$V$9,'Assumptions (MSW)'!$V$4*Model!$AN$1785*AVERAGE('Assumptions (MSW)'!$AJ$2:$AL$2)/10^9),0)</f>
        <v>0</v>
      </c>
      <c r="AW1931" s="105">
        <f>IF($AN$1785&gt;0,IPMT('Assumptions (MSW)'!$V$6,Model!AF$1,'Assumptions (MSW)'!$V$9,'Assumptions (MSW)'!$V$4*Model!$AN$1785*AVERAGE('Assumptions (MSW)'!$AJ$2:$AL$2)/10^9),0)</f>
        <v>0</v>
      </c>
      <c r="AX1931" s="105">
        <f>IF($AN$1785&gt;0,IPMT('Assumptions (MSW)'!$V$6,Model!AG$1,'Assumptions (MSW)'!$V$9,'Assumptions (MSW)'!$V$4*Model!$AN$1785*AVERAGE('Assumptions (MSW)'!$AJ$2:$AL$2)/10^9),0)</f>
        <v>0</v>
      </c>
      <c r="AY1931" s="105">
        <f>IF($AN$1785&gt;0,IPMT('Assumptions (MSW)'!$V$6,Model!AH$1,'Assumptions (MSW)'!$V$9,'Assumptions (MSW)'!$V$4*Model!$AN$1785*AVERAGE('Assumptions (MSW)'!$AJ$2:$AL$2)/10^9),0)</f>
        <v>0</v>
      </c>
      <c r="AZ1931" s="105">
        <f>IF($AN$1785&gt;0,IPMT('Assumptions (MSW)'!$V$6,Model!AI$1,'Assumptions (MSW)'!$V$9,'Assumptions (MSW)'!$V$4*Model!$AN$1785*AVERAGE('Assumptions (MSW)'!$AJ$2:$AL$2)/10^9),0)</f>
        <v>0</v>
      </c>
      <c r="BA1931" s="105">
        <f>IF($AN$1785&gt;0,IPMT('Assumptions (MSW)'!$V$6,Model!AJ$1,'Assumptions (MSW)'!$V$9,'Assumptions (MSW)'!$V$4*Model!$AN$1785*AVERAGE('Assumptions (MSW)'!$AJ$2:$AL$2)/10^9),0)</f>
        <v>0</v>
      </c>
      <c r="BB1931" s="105">
        <f>IF($AN$1785&gt;0,IPMT('Assumptions (MSW)'!$V$6,Model!AK$1,'Assumptions (MSW)'!$V$9,'Assumptions (MSW)'!$V$4*Model!$AN$1785*AVERAGE('Assumptions (MSW)'!$AJ$2:$AL$2)/10^9),0)</f>
        <v>0</v>
      </c>
      <c r="BC1931" s="105"/>
      <c r="BD1931" s="105"/>
      <c r="BE1931" s="105"/>
      <c r="BF1931" s="105"/>
      <c r="BG1931" s="105"/>
      <c r="BH1931" s="105"/>
      <c r="BI1931" s="105"/>
      <c r="BJ1931" s="105"/>
      <c r="BK1931" s="105"/>
      <c r="BL1931" s="105"/>
    </row>
    <row r="1932" spans="1:68" ht="15.75" hidden="1" customHeight="1" outlineLevel="1">
      <c r="A1932" s="435"/>
      <c r="B1932" s="99"/>
      <c r="C1932" s="99"/>
      <c r="D1932" s="99"/>
      <c r="E1932" s="99"/>
      <c r="F1932" s="99"/>
      <c r="G1932" s="99"/>
      <c r="H1932" s="99"/>
      <c r="I1932" s="99"/>
      <c r="J1932" s="99"/>
      <c r="K1932" s="99"/>
      <c r="L1932" s="99"/>
      <c r="M1932" s="99"/>
      <c r="N1932" s="99"/>
      <c r="O1932" s="99"/>
      <c r="P1932" s="99"/>
      <c r="Q1932" s="99"/>
      <c r="R1932" s="99"/>
      <c r="S1932" s="99"/>
      <c r="T1932" s="99"/>
      <c r="U1932" s="99"/>
      <c r="V1932" s="99"/>
      <c r="W1932" s="105"/>
      <c r="X1932" s="105"/>
      <c r="Y1932" s="105"/>
      <c r="Z1932" s="105"/>
      <c r="AA1932" s="105"/>
      <c r="AB1932" s="105"/>
      <c r="AC1932" s="105"/>
      <c r="AD1932" s="105"/>
      <c r="AE1932" s="105"/>
      <c r="AF1932" s="105"/>
      <c r="AG1932" s="105"/>
      <c r="AH1932" s="105"/>
      <c r="AI1932" s="105"/>
      <c r="AJ1932" s="171"/>
      <c r="AK1932" s="105"/>
      <c r="AL1932" s="91"/>
      <c r="AM1932" s="91"/>
      <c r="AN1932" s="91"/>
      <c r="AO1932" s="105">
        <f>IF($AO$1785&gt;0,IPMT('Assumptions (MSW)'!$V$6,Model!W$1,'Assumptions (MSW)'!$V$9,'Assumptions (MSW)'!$V$4*Model!$AO$1785*AVERAGE('Assumptions (MSW)'!$AK$2:$AM$2)/10^9),0)</f>
        <v>0</v>
      </c>
      <c r="AP1932" s="105">
        <f>IF($AO$1785&gt;0,IPMT('Assumptions (MSW)'!$V$6,Model!X$1,'Assumptions (MSW)'!$V$9,'Assumptions (MSW)'!$V$4*Model!$AO$1785*AVERAGE('Assumptions (MSW)'!$AK$2:$AM$2)/10^9),0)</f>
        <v>0</v>
      </c>
      <c r="AQ1932" s="105">
        <f>IF($AO$1785&gt;0,IPMT('Assumptions (MSW)'!$V$6,Model!Y$1,'Assumptions (MSW)'!$V$9,'Assumptions (MSW)'!$V$4*Model!$AO$1785*AVERAGE('Assumptions (MSW)'!$AK$2:$AM$2)/10^9),0)</f>
        <v>0</v>
      </c>
      <c r="AR1932" s="105">
        <f>IF($AO$1785&gt;0,IPMT('Assumptions (MSW)'!$V$6,Model!Z$1,'Assumptions (MSW)'!$V$9,'Assumptions (MSW)'!$V$4*Model!$AO$1785*AVERAGE('Assumptions (MSW)'!$AK$2:$AM$2)/10^9),0)</f>
        <v>0</v>
      </c>
      <c r="AS1932" s="105">
        <f>IF($AO$1785&gt;0,IPMT('Assumptions (MSW)'!$V$6,Model!AA$1,'Assumptions (MSW)'!$V$9,'Assumptions (MSW)'!$V$4*Model!$AO$1785*AVERAGE('Assumptions (MSW)'!$AK$2:$AM$2)/10^9),0)</f>
        <v>0</v>
      </c>
      <c r="AT1932" s="105">
        <f>IF($AO$1785&gt;0,IPMT('Assumptions (MSW)'!$V$6,Model!AB$1,'Assumptions (MSW)'!$V$9,'Assumptions (MSW)'!$V$4*Model!$AO$1785*AVERAGE('Assumptions (MSW)'!$AK$2:$AM$2)/10^9),0)</f>
        <v>0</v>
      </c>
      <c r="AU1932" s="105">
        <f>IF($AO$1785&gt;0,IPMT('Assumptions (MSW)'!$V$6,Model!AC$1,'Assumptions (MSW)'!$V$9,'Assumptions (MSW)'!$V$4*Model!$AO$1785*AVERAGE('Assumptions (MSW)'!$AK$2:$AM$2)/10^9),0)</f>
        <v>0</v>
      </c>
      <c r="AV1932" s="105">
        <f>IF($AO$1785&gt;0,IPMT('Assumptions (MSW)'!$V$6,Model!AD$1,'Assumptions (MSW)'!$V$9,'Assumptions (MSW)'!$V$4*Model!$AO$1785*AVERAGE('Assumptions (MSW)'!$AK$2:$AM$2)/10^9),0)</f>
        <v>0</v>
      </c>
      <c r="AW1932" s="105">
        <f>IF($AO$1785&gt;0,IPMT('Assumptions (MSW)'!$V$6,Model!AE$1,'Assumptions (MSW)'!$V$9,'Assumptions (MSW)'!$V$4*Model!$AO$1785*AVERAGE('Assumptions (MSW)'!$AK$2:$AM$2)/10^9),0)</f>
        <v>0</v>
      </c>
      <c r="AX1932" s="105">
        <f>IF($AO$1785&gt;0,IPMT('Assumptions (MSW)'!$V$6,Model!AF$1,'Assumptions (MSW)'!$V$9,'Assumptions (MSW)'!$V$4*Model!$AO$1785*AVERAGE('Assumptions (MSW)'!$AK$2:$AM$2)/10^9),0)</f>
        <v>0</v>
      </c>
      <c r="AY1932" s="105">
        <f>IF($AO$1785&gt;0,IPMT('Assumptions (MSW)'!$V$6,Model!AG$1,'Assumptions (MSW)'!$V$9,'Assumptions (MSW)'!$V$4*Model!$AO$1785*AVERAGE('Assumptions (MSW)'!$AK$2:$AM$2)/10^9),0)</f>
        <v>0</v>
      </c>
      <c r="AZ1932" s="105">
        <f>IF($AO$1785&gt;0,IPMT('Assumptions (MSW)'!$V$6,Model!AH$1,'Assumptions (MSW)'!$V$9,'Assumptions (MSW)'!$V$4*Model!$AO$1785*AVERAGE('Assumptions (MSW)'!$AK$2:$AM$2)/10^9),0)</f>
        <v>0</v>
      </c>
      <c r="BA1932" s="105">
        <f>IF($AO$1785&gt;0,IPMT('Assumptions (MSW)'!$V$6,Model!AI$1,'Assumptions (MSW)'!$V$9,'Assumptions (MSW)'!$V$4*Model!$AO$1785*AVERAGE('Assumptions (MSW)'!$AK$2:$AM$2)/10^9),0)</f>
        <v>0</v>
      </c>
      <c r="BB1932" s="105">
        <f>IF($AO$1785&gt;0,IPMT('Assumptions (MSW)'!$V$6,Model!AJ$1,'Assumptions (MSW)'!$V$9,'Assumptions (MSW)'!$V$4*Model!$AO$1785*AVERAGE('Assumptions (MSW)'!$AK$2:$AM$2)/10^9),0)</f>
        <v>0</v>
      </c>
      <c r="BC1932" s="105">
        <f>IF($AO$1785&gt;0,IPMT('Assumptions (MSW)'!$V$6,Model!AK$1,'Assumptions (MSW)'!$V$9,'Assumptions (MSW)'!$V$4*Model!$AO$1785*AVERAGE('Assumptions (MSW)'!$AK$2:$AM$2)/10^9),0)</f>
        <v>0</v>
      </c>
      <c r="BD1932" s="105"/>
      <c r="BE1932" s="105"/>
      <c r="BF1932" s="105"/>
      <c r="BG1932" s="105"/>
      <c r="BH1932" s="105"/>
      <c r="BI1932" s="105"/>
      <c r="BJ1932" s="105"/>
      <c r="BK1932" s="105"/>
      <c r="BL1932" s="105"/>
      <c r="BM1932" s="105"/>
    </row>
    <row r="1933" spans="1:68" ht="15.75" hidden="1" customHeight="1" outlineLevel="1">
      <c r="A1933" s="435"/>
      <c r="B1933" s="99"/>
      <c r="C1933" s="99"/>
      <c r="D1933" s="99"/>
      <c r="E1933" s="99"/>
      <c r="F1933" s="99"/>
      <c r="G1933" s="99"/>
      <c r="H1933" s="99"/>
      <c r="I1933" s="99"/>
      <c r="J1933" s="99"/>
      <c r="K1933" s="99"/>
      <c r="L1933" s="99"/>
      <c r="M1933" s="99"/>
      <c r="N1933" s="99"/>
      <c r="O1933" s="99"/>
      <c r="P1933" s="99"/>
      <c r="Q1933" s="99"/>
      <c r="R1933" s="99"/>
      <c r="S1933" s="99"/>
      <c r="T1933" s="99"/>
      <c r="U1933" s="99"/>
      <c r="V1933" s="99"/>
      <c r="W1933" s="105"/>
      <c r="X1933" s="105"/>
      <c r="Y1933" s="105"/>
      <c r="Z1933" s="105"/>
      <c r="AA1933" s="105"/>
      <c r="AB1933" s="105"/>
      <c r="AC1933" s="105"/>
      <c r="AD1933" s="105"/>
      <c r="AE1933" s="105"/>
      <c r="AF1933" s="105"/>
      <c r="AG1933" s="105"/>
      <c r="AH1933" s="105"/>
      <c r="AI1933" s="105"/>
      <c r="AJ1933" s="171"/>
      <c r="AK1933" s="105"/>
      <c r="AL1933" s="91"/>
      <c r="AM1933" s="91"/>
      <c r="AN1933" s="91"/>
      <c r="AO1933" s="105"/>
      <c r="AP1933" s="105">
        <f>IF($AP$1785&gt;0,IPMT('Assumptions (MSW)'!$V$6,Model!W$1,'Assumptions (MSW)'!$V$9,'Assumptions (MSW)'!$V$4*Model!$AP$1785*AVERAGE('Assumptions (MSW)'!$AL$2:$AN$2)/10^9),0)</f>
        <v>0</v>
      </c>
      <c r="AQ1933" s="105">
        <f>IF($AP$1785&gt;0,IPMT('Assumptions (MSW)'!$V$6,Model!X$1,'Assumptions (MSW)'!$V$9,'Assumptions (MSW)'!$V$4*Model!$AP$1785*AVERAGE('Assumptions (MSW)'!$AL$2:$AN$2)/10^9),0)</f>
        <v>0</v>
      </c>
      <c r="AR1933" s="105">
        <f>IF($AP$1785&gt;0,IPMT('Assumptions (MSW)'!$V$6,Model!Y$1,'Assumptions (MSW)'!$V$9,'Assumptions (MSW)'!$V$4*Model!$AP$1785*AVERAGE('Assumptions (MSW)'!$AL$2:$AN$2)/10^9),0)</f>
        <v>0</v>
      </c>
      <c r="AS1933" s="105">
        <f>IF($AP$1785&gt;0,IPMT('Assumptions (MSW)'!$V$6,Model!Z$1,'Assumptions (MSW)'!$V$9,'Assumptions (MSW)'!$V$4*Model!$AP$1785*AVERAGE('Assumptions (MSW)'!$AL$2:$AN$2)/10^9),0)</f>
        <v>0</v>
      </c>
      <c r="AT1933" s="105">
        <f>IF($AP$1785&gt;0,IPMT('Assumptions (MSW)'!$V$6,Model!AA$1,'Assumptions (MSW)'!$V$9,'Assumptions (MSW)'!$V$4*Model!$AP$1785*AVERAGE('Assumptions (MSW)'!$AL$2:$AN$2)/10^9),0)</f>
        <v>0</v>
      </c>
      <c r="AU1933" s="105">
        <f>IF($AP$1785&gt;0,IPMT('Assumptions (MSW)'!$V$6,Model!AB$1,'Assumptions (MSW)'!$V$9,'Assumptions (MSW)'!$V$4*Model!$AP$1785*AVERAGE('Assumptions (MSW)'!$AL$2:$AN$2)/10^9),0)</f>
        <v>0</v>
      </c>
      <c r="AV1933" s="105">
        <f>IF($AP$1785&gt;0,IPMT('Assumptions (MSW)'!$V$6,Model!AC$1,'Assumptions (MSW)'!$V$9,'Assumptions (MSW)'!$V$4*Model!$AP$1785*AVERAGE('Assumptions (MSW)'!$AL$2:$AN$2)/10^9),0)</f>
        <v>0</v>
      </c>
      <c r="AW1933" s="105">
        <f>IF($AP$1785&gt;0,IPMT('Assumptions (MSW)'!$V$6,Model!AD$1,'Assumptions (MSW)'!$V$9,'Assumptions (MSW)'!$V$4*Model!$AP$1785*AVERAGE('Assumptions (MSW)'!$AL$2:$AN$2)/10^9),0)</f>
        <v>0</v>
      </c>
      <c r="AX1933" s="105">
        <f>IF($AP$1785&gt;0,IPMT('Assumptions (MSW)'!$V$6,Model!AE$1,'Assumptions (MSW)'!$V$9,'Assumptions (MSW)'!$V$4*Model!$AP$1785*AVERAGE('Assumptions (MSW)'!$AL$2:$AN$2)/10^9),0)</f>
        <v>0</v>
      </c>
      <c r="AY1933" s="105">
        <f>IF($AP$1785&gt;0,IPMT('Assumptions (MSW)'!$V$6,Model!AF$1,'Assumptions (MSW)'!$V$9,'Assumptions (MSW)'!$V$4*Model!$AP$1785*AVERAGE('Assumptions (MSW)'!$AL$2:$AN$2)/10^9),0)</f>
        <v>0</v>
      </c>
      <c r="AZ1933" s="105">
        <f>IF($AP$1785&gt;0,IPMT('Assumptions (MSW)'!$V$6,Model!AG$1,'Assumptions (MSW)'!$V$9,'Assumptions (MSW)'!$V$4*Model!$AP$1785*AVERAGE('Assumptions (MSW)'!$AL$2:$AN$2)/10^9),0)</f>
        <v>0</v>
      </c>
      <c r="BA1933" s="105">
        <f>IF($AP$1785&gt;0,IPMT('Assumptions (MSW)'!$V$6,Model!AH$1,'Assumptions (MSW)'!$V$9,'Assumptions (MSW)'!$V$4*Model!$AP$1785*AVERAGE('Assumptions (MSW)'!$AL$2:$AN$2)/10^9),0)</f>
        <v>0</v>
      </c>
      <c r="BB1933" s="105">
        <f>IF($AP$1785&gt;0,IPMT('Assumptions (MSW)'!$V$6,Model!AI$1,'Assumptions (MSW)'!$V$9,'Assumptions (MSW)'!$V$4*Model!$AP$1785*AVERAGE('Assumptions (MSW)'!$AL$2:$AN$2)/10^9),0)</f>
        <v>0</v>
      </c>
      <c r="BC1933" s="105">
        <f>IF($AP$1785&gt;0,IPMT('Assumptions (MSW)'!$V$6,Model!AJ$1,'Assumptions (MSW)'!$V$9,'Assumptions (MSW)'!$V$4*Model!$AP$1785*AVERAGE('Assumptions (MSW)'!$AL$2:$AN$2)/10^9),0)</f>
        <v>0</v>
      </c>
      <c r="BD1933" s="105">
        <f>IF($AP$1785&gt;0,IPMT('Assumptions (MSW)'!$V$6,Model!AK$1,'Assumptions (MSW)'!$V$9,'Assumptions (MSW)'!$V$4*Model!$AP$1785*AVERAGE('Assumptions (MSW)'!$AL$2:$AN$2)/10^9),0)</f>
        <v>0</v>
      </c>
      <c r="BE1933" s="105"/>
      <c r="BF1933" s="105"/>
      <c r="BG1933" s="105"/>
      <c r="BH1933" s="105"/>
      <c r="BI1933" s="105"/>
      <c r="BJ1933" s="105"/>
      <c r="BK1933" s="105"/>
      <c r="BL1933" s="105"/>
      <c r="BM1933" s="105"/>
      <c r="BN1933" s="105"/>
    </row>
    <row r="1934" spans="1:68" ht="15.75" hidden="1" customHeight="1" outlineLevel="1">
      <c r="A1934" s="435"/>
      <c r="B1934" s="99"/>
      <c r="C1934" s="99"/>
      <c r="D1934" s="99"/>
      <c r="E1934" s="99"/>
      <c r="F1934" s="99"/>
      <c r="G1934" s="99"/>
      <c r="H1934" s="99"/>
      <c r="I1934" s="99"/>
      <c r="J1934" s="99"/>
      <c r="K1934" s="99"/>
      <c r="L1934" s="99"/>
      <c r="M1934" s="99"/>
      <c r="N1934" s="99"/>
      <c r="O1934" s="99"/>
      <c r="P1934" s="99"/>
      <c r="Q1934" s="99"/>
      <c r="R1934" s="99"/>
      <c r="S1934" s="99"/>
      <c r="T1934" s="99"/>
      <c r="U1934" s="99"/>
      <c r="V1934" s="99"/>
      <c r="W1934" s="105"/>
      <c r="X1934" s="105"/>
      <c r="Y1934" s="105"/>
      <c r="Z1934" s="105"/>
      <c r="AA1934" s="105"/>
      <c r="AB1934" s="105"/>
      <c r="AC1934" s="105"/>
      <c r="AD1934" s="105"/>
      <c r="AE1934" s="105"/>
      <c r="AF1934" s="105"/>
      <c r="AG1934" s="105"/>
      <c r="AH1934" s="105"/>
      <c r="AI1934" s="105"/>
      <c r="AJ1934" s="171"/>
      <c r="AK1934" s="105"/>
      <c r="AL1934" s="91"/>
      <c r="AM1934" s="91"/>
      <c r="AN1934" s="91"/>
      <c r="AO1934" s="105"/>
      <c r="AP1934" s="105"/>
      <c r="AQ1934" s="105">
        <f>IF($AQ$1785&gt;0,IPMT('Assumptions (MSW)'!$V$6,Model!W$1,'Assumptions (MSW)'!$V$9,'Assumptions (MSW)'!$V$4*Model!$AQ$1785*AVERAGE('Assumptions (MSW)'!$AM$2:$AO$2)/10^9),0)</f>
        <v>0</v>
      </c>
      <c r="AR1934" s="105">
        <f>IF($AQ$1785&gt;0,IPMT('Assumptions (MSW)'!$V$6,Model!X$1,'Assumptions (MSW)'!$V$9,'Assumptions (MSW)'!$V$4*Model!$AQ$1785*AVERAGE('Assumptions (MSW)'!$AM$2:$AO$2)/10^9),0)</f>
        <v>0</v>
      </c>
      <c r="AS1934" s="105">
        <f>IF($AQ$1785&gt;0,IPMT('Assumptions (MSW)'!$V$6,Model!Y$1,'Assumptions (MSW)'!$V$9,'Assumptions (MSW)'!$V$4*Model!$AQ$1785*AVERAGE('Assumptions (MSW)'!$AM$2:$AO$2)/10^9),0)</f>
        <v>0</v>
      </c>
      <c r="AT1934" s="105">
        <f>IF($AQ$1785&gt;0,IPMT('Assumptions (MSW)'!$V$6,Model!Z$1,'Assumptions (MSW)'!$V$9,'Assumptions (MSW)'!$V$4*Model!$AQ$1785*AVERAGE('Assumptions (MSW)'!$AM$2:$AO$2)/10^9),0)</f>
        <v>0</v>
      </c>
      <c r="AU1934" s="105">
        <f>IF($AQ$1785&gt;0,IPMT('Assumptions (MSW)'!$V$6,Model!AA$1,'Assumptions (MSW)'!$V$9,'Assumptions (MSW)'!$V$4*Model!$AQ$1785*AVERAGE('Assumptions (MSW)'!$AM$2:$AO$2)/10^9),0)</f>
        <v>0</v>
      </c>
      <c r="AV1934" s="105">
        <f>IF($AQ$1785&gt;0,IPMT('Assumptions (MSW)'!$V$6,Model!AB$1,'Assumptions (MSW)'!$V$9,'Assumptions (MSW)'!$V$4*Model!$AQ$1785*AVERAGE('Assumptions (MSW)'!$AM$2:$AO$2)/10^9),0)</f>
        <v>0</v>
      </c>
      <c r="AW1934" s="105">
        <f>IF($AQ$1785&gt;0,IPMT('Assumptions (MSW)'!$V$6,Model!AC$1,'Assumptions (MSW)'!$V$9,'Assumptions (MSW)'!$V$4*Model!$AQ$1785*AVERAGE('Assumptions (MSW)'!$AM$2:$AO$2)/10^9),0)</f>
        <v>0</v>
      </c>
      <c r="AX1934" s="105">
        <f>IF($AQ$1785&gt;0,IPMT('Assumptions (MSW)'!$V$6,Model!AD$1,'Assumptions (MSW)'!$V$9,'Assumptions (MSW)'!$V$4*Model!$AQ$1785*AVERAGE('Assumptions (MSW)'!$AM$2:$AO$2)/10^9),0)</f>
        <v>0</v>
      </c>
      <c r="AY1934" s="105">
        <f>IF($AQ$1785&gt;0,IPMT('Assumptions (MSW)'!$V$6,Model!AE$1,'Assumptions (MSW)'!$V$9,'Assumptions (MSW)'!$V$4*Model!$AQ$1785*AVERAGE('Assumptions (MSW)'!$AM$2:$AO$2)/10^9),0)</f>
        <v>0</v>
      </c>
      <c r="AZ1934" s="105">
        <f>IF($AQ$1785&gt;0,IPMT('Assumptions (MSW)'!$V$6,Model!AF$1,'Assumptions (MSW)'!$V$9,'Assumptions (MSW)'!$V$4*Model!$AQ$1785*AVERAGE('Assumptions (MSW)'!$AM$2:$AO$2)/10^9),0)</f>
        <v>0</v>
      </c>
      <c r="BA1934" s="105">
        <f>IF($AQ$1785&gt;0,IPMT('Assumptions (MSW)'!$V$6,Model!AG$1,'Assumptions (MSW)'!$V$9,'Assumptions (MSW)'!$V$4*Model!$AQ$1785*AVERAGE('Assumptions (MSW)'!$AM$2:$AO$2)/10^9),0)</f>
        <v>0</v>
      </c>
      <c r="BB1934" s="105">
        <f>IF($AQ$1785&gt;0,IPMT('Assumptions (MSW)'!$V$6,Model!AH$1,'Assumptions (MSW)'!$V$9,'Assumptions (MSW)'!$V$4*Model!$AQ$1785*AVERAGE('Assumptions (MSW)'!$AM$2:$AO$2)/10^9),0)</f>
        <v>0</v>
      </c>
      <c r="BC1934" s="105">
        <f>IF($AQ$1785&gt;0,IPMT('Assumptions (MSW)'!$V$6,Model!AI$1,'Assumptions (MSW)'!$V$9,'Assumptions (MSW)'!$V$4*Model!$AQ$1785*AVERAGE('Assumptions (MSW)'!$AM$2:$AO$2)/10^9),0)</f>
        <v>0</v>
      </c>
      <c r="BD1934" s="105">
        <f>IF($AQ$1785&gt;0,IPMT('Assumptions (MSW)'!$V$6,Model!AJ$1,'Assumptions (MSW)'!$V$9,'Assumptions (MSW)'!$V$4*Model!$AQ$1785*AVERAGE('Assumptions (MSW)'!$AM$2:$AO$2)/10^9),0)</f>
        <v>0</v>
      </c>
      <c r="BE1934" s="105">
        <f>IF($AQ$1785&gt;0,IPMT('Assumptions (MSW)'!$V$6,Model!AK$1,'Assumptions (MSW)'!$V$9,'Assumptions (MSW)'!$V$4*Model!$AQ$1785*AVERAGE('Assumptions (MSW)'!$AM$2:$AO$2)/10^9),0)</f>
        <v>0</v>
      </c>
      <c r="BF1934" s="105"/>
      <c r="BG1934" s="105"/>
      <c r="BH1934" s="105"/>
      <c r="BI1934" s="105"/>
      <c r="BJ1934" s="105"/>
      <c r="BK1934" s="105"/>
      <c r="BL1934" s="105"/>
      <c r="BM1934" s="105"/>
      <c r="BN1934" s="105"/>
      <c r="BO1934" s="105"/>
    </row>
    <row r="1935" spans="1:68" ht="15.75" hidden="1" customHeight="1" outlineLevel="1">
      <c r="A1935" s="435"/>
      <c r="B1935" s="99"/>
      <c r="C1935" s="99"/>
      <c r="D1935" s="99"/>
      <c r="E1935" s="99"/>
      <c r="F1935" s="99"/>
      <c r="G1935" s="99"/>
      <c r="H1935" s="99"/>
      <c r="I1935" s="99"/>
      <c r="J1935" s="99"/>
      <c r="K1935" s="99"/>
      <c r="L1935" s="99"/>
      <c r="M1935" s="99"/>
      <c r="N1935" s="99"/>
      <c r="O1935" s="99"/>
      <c r="P1935" s="99"/>
      <c r="Q1935" s="99"/>
      <c r="R1935" s="99"/>
      <c r="S1935" s="99"/>
      <c r="T1935" s="99"/>
      <c r="U1935" s="99"/>
      <c r="V1935" s="99"/>
      <c r="W1935" s="105"/>
      <c r="X1935" s="105"/>
      <c r="Y1935" s="105"/>
      <c r="Z1935" s="105"/>
      <c r="AA1935" s="105"/>
      <c r="AB1935" s="105"/>
      <c r="AC1935" s="105"/>
      <c r="AD1935" s="105"/>
      <c r="AE1935" s="105"/>
      <c r="AF1935" s="105"/>
      <c r="AG1935" s="105"/>
      <c r="AH1935" s="105"/>
      <c r="AI1935" s="105"/>
      <c r="AJ1935" s="171"/>
      <c r="AK1935" s="105"/>
      <c r="AL1935" s="91"/>
      <c r="AM1935" s="91"/>
      <c r="AN1935" s="91"/>
      <c r="AO1935" s="105"/>
      <c r="AP1935" s="105"/>
      <c r="AQ1935" s="105"/>
      <c r="AR1935" s="105">
        <f>IF($AR$1785&gt;0,IPMT('Assumptions (MSW)'!$V$6,Model!W$1,'Assumptions (MSW)'!$V$9,'Assumptions (MSW)'!$V$4*Model!$AR$1785*AVERAGE('Assumptions (MSW)'!$AN$2:$AP$2)/10^9),0)</f>
        <v>0</v>
      </c>
      <c r="AS1935" s="105">
        <f>IF($AR$1785&gt;0,IPMT('Assumptions (MSW)'!$V$6,Model!X$1,'Assumptions (MSW)'!$V$9,'Assumptions (MSW)'!$V$4*Model!$AR$1785*AVERAGE('Assumptions (MSW)'!$AN$2:$AP$2)/10^9),0)</f>
        <v>0</v>
      </c>
      <c r="AT1935" s="105">
        <f>IF($AR$1785&gt;0,IPMT('Assumptions (MSW)'!$V$6,Model!Y$1,'Assumptions (MSW)'!$V$9,'Assumptions (MSW)'!$V$4*Model!$AR$1785*AVERAGE('Assumptions (MSW)'!$AN$2:$AP$2)/10^9),0)</f>
        <v>0</v>
      </c>
      <c r="AU1935" s="105">
        <f>IF($AR$1785&gt;0,IPMT('Assumptions (MSW)'!$V$6,Model!Z$1,'Assumptions (MSW)'!$V$9,'Assumptions (MSW)'!$V$4*Model!$AR$1785*AVERAGE('Assumptions (MSW)'!$AN$2:$AP$2)/10^9),0)</f>
        <v>0</v>
      </c>
      <c r="AV1935" s="105">
        <f>IF($AR$1785&gt;0,IPMT('Assumptions (MSW)'!$V$6,Model!AA$1,'Assumptions (MSW)'!$V$9,'Assumptions (MSW)'!$V$4*Model!$AR$1785*AVERAGE('Assumptions (MSW)'!$AN$2:$AP$2)/10^9),0)</f>
        <v>0</v>
      </c>
      <c r="AW1935" s="105">
        <f>IF($AR$1785&gt;0,IPMT('Assumptions (MSW)'!$V$6,Model!AB$1,'Assumptions (MSW)'!$V$9,'Assumptions (MSW)'!$V$4*Model!$AR$1785*AVERAGE('Assumptions (MSW)'!$AN$2:$AP$2)/10^9),0)</f>
        <v>0</v>
      </c>
      <c r="AX1935" s="105">
        <f>IF($AR$1785&gt;0,IPMT('Assumptions (MSW)'!$V$6,Model!AC$1,'Assumptions (MSW)'!$V$9,'Assumptions (MSW)'!$V$4*Model!$AR$1785*AVERAGE('Assumptions (MSW)'!$AN$2:$AP$2)/10^9),0)</f>
        <v>0</v>
      </c>
      <c r="AY1935" s="105">
        <f>IF($AR$1785&gt;0,IPMT('Assumptions (MSW)'!$V$6,Model!AD$1,'Assumptions (MSW)'!$V$9,'Assumptions (MSW)'!$V$4*Model!$AR$1785*AVERAGE('Assumptions (MSW)'!$AN$2:$AP$2)/10^9),0)</f>
        <v>0</v>
      </c>
      <c r="AZ1935" s="105">
        <f>IF($AR$1785&gt;0,IPMT('Assumptions (MSW)'!$V$6,Model!AE$1,'Assumptions (MSW)'!$V$9,'Assumptions (MSW)'!$V$4*Model!$AR$1785*AVERAGE('Assumptions (MSW)'!$AN$2:$AP$2)/10^9),0)</f>
        <v>0</v>
      </c>
      <c r="BA1935" s="105">
        <f>IF($AR$1785&gt;0,IPMT('Assumptions (MSW)'!$V$6,Model!AF$1,'Assumptions (MSW)'!$V$9,'Assumptions (MSW)'!$V$4*Model!$AR$1785*AVERAGE('Assumptions (MSW)'!$AN$2:$AP$2)/10^9),0)</f>
        <v>0</v>
      </c>
      <c r="BB1935" s="105">
        <f>IF($AR$1785&gt;0,IPMT('Assumptions (MSW)'!$V$6,Model!AG$1,'Assumptions (MSW)'!$V$9,'Assumptions (MSW)'!$V$4*Model!$AR$1785*AVERAGE('Assumptions (MSW)'!$AN$2:$AP$2)/10^9),0)</f>
        <v>0</v>
      </c>
      <c r="BC1935" s="105">
        <f>IF($AR$1785&gt;0,IPMT('Assumptions (MSW)'!$V$6,Model!AH$1,'Assumptions (MSW)'!$V$9,'Assumptions (MSW)'!$V$4*Model!$AR$1785*AVERAGE('Assumptions (MSW)'!$AN$2:$AP$2)/10^9),0)</f>
        <v>0</v>
      </c>
      <c r="BD1935" s="105">
        <f>IF($AR$1785&gt;0,IPMT('Assumptions (MSW)'!$V$6,Model!AI$1,'Assumptions (MSW)'!$V$9,'Assumptions (MSW)'!$V$4*Model!$AR$1785*AVERAGE('Assumptions (MSW)'!$AN$2:$AP$2)/10^9),0)</f>
        <v>0</v>
      </c>
      <c r="BE1935" s="105">
        <f>IF($AR$1785&gt;0,IPMT('Assumptions (MSW)'!$V$6,Model!AJ$1,'Assumptions (MSW)'!$V$9,'Assumptions (MSW)'!$V$4*Model!$AR$1785*AVERAGE('Assumptions (MSW)'!$AN$2:$AP$2)/10^9),0)</f>
        <v>0</v>
      </c>
      <c r="BF1935" s="105">
        <f>IF($AR$1785&gt;0,IPMT('Assumptions (MSW)'!$V$6,Model!AK$1,'Assumptions (MSW)'!$V$9,'Assumptions (MSW)'!$V$4*Model!$AR$1785*AVERAGE('Assumptions (MSW)'!$AN$2:$AP$2)/10^9),0)</f>
        <v>0</v>
      </c>
      <c r="BG1935" s="105"/>
      <c r="BH1935" s="105"/>
      <c r="BI1935" s="105"/>
      <c r="BJ1935" s="105"/>
      <c r="BK1935" s="105"/>
      <c r="BL1935" s="105"/>
      <c r="BM1935" s="105"/>
      <c r="BN1935" s="105"/>
      <c r="BO1935" s="105"/>
      <c r="BP1935" s="105"/>
    </row>
    <row r="1936" spans="1:68" ht="15.75" hidden="1" customHeight="1" outlineLevel="1">
      <c r="A1936" s="435"/>
      <c r="B1936" s="99"/>
      <c r="C1936" s="99"/>
      <c r="D1936" s="99"/>
      <c r="E1936" s="99"/>
      <c r="F1936" s="99"/>
      <c r="G1936" s="99"/>
      <c r="H1936" s="99"/>
      <c r="I1936" s="99"/>
      <c r="J1936" s="99"/>
      <c r="K1936" s="99"/>
      <c r="L1936" s="99"/>
      <c r="M1936" s="99"/>
      <c r="N1936" s="99"/>
      <c r="O1936" s="99"/>
      <c r="P1936" s="99"/>
      <c r="Q1936" s="99"/>
      <c r="R1936" s="99"/>
      <c r="S1936" s="99"/>
      <c r="T1936" s="99"/>
      <c r="U1936" s="99"/>
      <c r="V1936" s="99"/>
      <c r="W1936" s="105"/>
      <c r="X1936" s="105"/>
      <c r="Y1936" s="105"/>
      <c r="Z1936" s="105"/>
      <c r="AA1936" s="105"/>
      <c r="AB1936" s="105"/>
      <c r="AC1936" s="105"/>
      <c r="AD1936" s="105"/>
      <c r="AE1936" s="105"/>
      <c r="AF1936" s="105"/>
      <c r="AG1936" s="105"/>
      <c r="AH1936" s="105"/>
      <c r="AI1936" s="105"/>
      <c r="AJ1936" s="171"/>
      <c r="AK1936" s="105"/>
      <c r="AL1936" s="91"/>
      <c r="AM1936" s="91"/>
      <c r="AN1936" s="91"/>
      <c r="AO1936" s="105"/>
      <c r="AP1936" s="105"/>
      <c r="AQ1936" s="105"/>
      <c r="AR1936" s="105"/>
      <c r="AS1936" s="105">
        <f>IF($AS$1785&gt;0,IPMT('Assumptions (MSW)'!$V$6,Model!W$1,'Assumptions (MSW)'!$V$9,'Assumptions (MSW)'!$V$4*Model!$AS$1785*AVERAGE('Assumptions (MSW)'!$AO$2:$AQ$2)/10^9),0)</f>
        <v>0</v>
      </c>
      <c r="AT1936" s="105">
        <f>IF($AS$1785&gt;0,IPMT('Assumptions (MSW)'!$V$6,Model!X$1,'Assumptions (MSW)'!$V$9,'Assumptions (MSW)'!$V$4*Model!$AS$1785*AVERAGE('Assumptions (MSW)'!$AO$2:$AQ$2)/10^9),0)</f>
        <v>0</v>
      </c>
      <c r="AU1936" s="105">
        <f>IF($AS$1785&gt;0,IPMT('Assumptions (MSW)'!$V$6,Model!Y$1,'Assumptions (MSW)'!$V$9,'Assumptions (MSW)'!$V$4*Model!$AS$1785*AVERAGE('Assumptions (MSW)'!$AO$2:$AQ$2)/10^9),0)</f>
        <v>0</v>
      </c>
      <c r="AV1936" s="105">
        <f>IF($AS$1785&gt;0,IPMT('Assumptions (MSW)'!$V$6,Model!Z$1,'Assumptions (MSW)'!$V$9,'Assumptions (MSW)'!$V$4*Model!$AS$1785*AVERAGE('Assumptions (MSW)'!$AO$2:$AQ$2)/10^9),0)</f>
        <v>0</v>
      </c>
      <c r="AW1936" s="105">
        <f>IF($AS$1785&gt;0,IPMT('Assumptions (MSW)'!$V$6,Model!AA$1,'Assumptions (MSW)'!$V$9,'Assumptions (MSW)'!$V$4*Model!$AS$1785*AVERAGE('Assumptions (MSW)'!$AO$2:$AQ$2)/10^9),0)</f>
        <v>0</v>
      </c>
      <c r="AX1936" s="105">
        <f>IF($AS$1785&gt;0,IPMT('Assumptions (MSW)'!$V$6,Model!AB$1,'Assumptions (MSW)'!$V$9,'Assumptions (MSW)'!$V$4*Model!$AS$1785*AVERAGE('Assumptions (MSW)'!$AO$2:$AQ$2)/10^9),0)</f>
        <v>0</v>
      </c>
      <c r="AY1936" s="105">
        <f>IF($AS$1785&gt;0,IPMT('Assumptions (MSW)'!$V$6,Model!AC$1,'Assumptions (MSW)'!$V$9,'Assumptions (MSW)'!$V$4*Model!$AS$1785*AVERAGE('Assumptions (MSW)'!$AO$2:$AQ$2)/10^9),0)</f>
        <v>0</v>
      </c>
      <c r="AZ1936" s="105">
        <f>IF($AS$1785&gt;0,IPMT('Assumptions (MSW)'!$V$6,Model!AD$1,'Assumptions (MSW)'!$V$9,'Assumptions (MSW)'!$V$4*Model!$AS$1785*AVERAGE('Assumptions (MSW)'!$AO$2:$AQ$2)/10^9),0)</f>
        <v>0</v>
      </c>
      <c r="BA1936" s="105">
        <f>IF($AS$1785&gt;0,IPMT('Assumptions (MSW)'!$V$6,Model!AE$1,'Assumptions (MSW)'!$V$9,'Assumptions (MSW)'!$V$4*Model!$AS$1785*AVERAGE('Assumptions (MSW)'!$AO$2:$AQ$2)/10^9),0)</f>
        <v>0</v>
      </c>
      <c r="BB1936" s="105">
        <f>IF($AS$1785&gt;0,IPMT('Assumptions (MSW)'!$V$6,Model!AF$1,'Assumptions (MSW)'!$V$9,'Assumptions (MSW)'!$V$4*Model!$AS$1785*AVERAGE('Assumptions (MSW)'!$AO$2:$AQ$2)/10^9),0)</f>
        <v>0</v>
      </c>
      <c r="BC1936" s="105">
        <f>IF($AS$1785&gt;0,IPMT('Assumptions (MSW)'!$V$6,Model!AG$1,'Assumptions (MSW)'!$V$9,'Assumptions (MSW)'!$V$4*Model!$AS$1785*AVERAGE('Assumptions (MSW)'!$AO$2:$AQ$2)/10^9),0)</f>
        <v>0</v>
      </c>
      <c r="BD1936" s="105">
        <f>IF($AS$1785&gt;0,IPMT('Assumptions (MSW)'!$V$6,Model!AH$1,'Assumptions (MSW)'!$V$9,'Assumptions (MSW)'!$V$4*Model!$AS$1785*AVERAGE('Assumptions (MSW)'!$AO$2:$AQ$2)/10^9),0)</f>
        <v>0</v>
      </c>
      <c r="BE1936" s="105">
        <f>IF($AS$1785&gt;0,IPMT('Assumptions (MSW)'!$V$6,Model!AI$1,'Assumptions (MSW)'!$V$9,'Assumptions (MSW)'!$V$4*Model!$AS$1785*AVERAGE('Assumptions (MSW)'!$AO$2:$AQ$2)/10^9),0)</f>
        <v>0</v>
      </c>
      <c r="BF1936" s="105">
        <f>IF($AS$1785&gt;0,IPMT('Assumptions (MSW)'!$V$6,Model!AJ$1,'Assumptions (MSW)'!$V$9,'Assumptions (MSW)'!$V$4*Model!$AS$1785*AVERAGE('Assumptions (MSW)'!$AO$2:$AQ$2)/10^9),0)</f>
        <v>0</v>
      </c>
      <c r="BG1936" s="105">
        <f>IF($AS$1785&gt;0,IPMT('Assumptions (MSW)'!$V$6,Model!AK$1,'Assumptions (MSW)'!$V$9,'Assumptions (MSW)'!$V$4*Model!$AS$1785*AVERAGE('Assumptions (MSW)'!$AO$2:$AQ$2)/10^9),0)</f>
        <v>0</v>
      </c>
      <c r="BH1936" s="105"/>
      <c r="BI1936" s="105"/>
      <c r="BJ1936" s="105"/>
      <c r="BK1936" s="105"/>
      <c r="BL1936" s="105"/>
      <c r="BM1936" s="105"/>
      <c r="BN1936" s="105"/>
      <c r="BO1936" s="105"/>
      <c r="BP1936" s="105"/>
    </row>
    <row r="1937" spans="1:68" ht="15.75" hidden="1" customHeight="1" outlineLevel="1">
      <c r="A1937" s="435"/>
      <c r="B1937" s="99"/>
      <c r="C1937" s="99"/>
      <c r="D1937" s="99"/>
      <c r="E1937" s="99"/>
      <c r="F1937" s="99"/>
      <c r="G1937" s="99"/>
      <c r="H1937" s="99"/>
      <c r="I1937" s="99"/>
      <c r="J1937" s="99"/>
      <c r="K1937" s="99"/>
      <c r="L1937" s="99"/>
      <c r="M1937" s="99"/>
      <c r="N1937" s="99"/>
      <c r="O1937" s="99"/>
      <c r="P1937" s="99"/>
      <c r="Q1937" s="99"/>
      <c r="R1937" s="99"/>
      <c r="S1937" s="99"/>
      <c r="T1937" s="99"/>
      <c r="U1937" s="99"/>
      <c r="V1937" s="99"/>
      <c r="W1937" s="105"/>
      <c r="X1937" s="105"/>
      <c r="Y1937" s="105"/>
      <c r="Z1937" s="105"/>
      <c r="AA1937" s="105"/>
      <c r="AB1937" s="105"/>
      <c r="AC1937" s="105"/>
      <c r="AD1937" s="105"/>
      <c r="AE1937" s="105"/>
      <c r="AF1937" s="105"/>
      <c r="AG1937" s="105"/>
      <c r="AH1937" s="105"/>
      <c r="AI1937" s="105"/>
      <c r="AJ1937" s="171"/>
      <c r="AK1937" s="105"/>
      <c r="AL1937" s="91"/>
      <c r="AM1937" s="91"/>
      <c r="AN1937" s="91"/>
      <c r="AO1937" s="105"/>
      <c r="AP1937" s="105"/>
      <c r="AQ1937" s="105"/>
      <c r="AR1937" s="105"/>
      <c r="AS1937" s="105"/>
      <c r="AT1937" s="105">
        <f>IF($AT$1785&gt;0,IPMT('Assumptions (MSW)'!$V$6,Model!W$1,'Assumptions (MSW)'!$V$9,'Assumptions (MSW)'!$V$4*Model!$AT$1785*AVERAGE('Assumptions (MSW)'!$AP$2:$AR$2)/10^9),0)</f>
        <v>0</v>
      </c>
      <c r="AU1937" s="105">
        <f>IF($AT$1785&gt;0,IPMT('Assumptions (MSW)'!$V$6,Model!X$1,'Assumptions (MSW)'!$V$9,'Assumptions (MSW)'!$V$4*Model!$AT$1785*AVERAGE('Assumptions (MSW)'!$AP$2:$AR$2)/10^9),0)</f>
        <v>0</v>
      </c>
      <c r="AV1937" s="105">
        <f>IF($AT$1785&gt;0,IPMT('Assumptions (MSW)'!$V$6,Model!Y$1,'Assumptions (MSW)'!$V$9,'Assumptions (MSW)'!$V$4*Model!$AT$1785*AVERAGE('Assumptions (MSW)'!$AP$2:$AR$2)/10^9),0)</f>
        <v>0</v>
      </c>
      <c r="AW1937" s="105">
        <f>IF($AT$1785&gt;0,IPMT('Assumptions (MSW)'!$V$6,Model!Z$1,'Assumptions (MSW)'!$V$9,'Assumptions (MSW)'!$V$4*Model!$AT$1785*AVERAGE('Assumptions (MSW)'!$AP$2:$AR$2)/10^9),0)</f>
        <v>0</v>
      </c>
      <c r="AX1937" s="105">
        <f>IF($AT$1785&gt;0,IPMT('Assumptions (MSW)'!$V$6,Model!AA$1,'Assumptions (MSW)'!$V$9,'Assumptions (MSW)'!$V$4*Model!$AT$1785*AVERAGE('Assumptions (MSW)'!$AP$2:$AR$2)/10^9),0)</f>
        <v>0</v>
      </c>
      <c r="AY1937" s="105">
        <f>IF($AT$1785&gt;0,IPMT('Assumptions (MSW)'!$V$6,Model!AB$1,'Assumptions (MSW)'!$V$9,'Assumptions (MSW)'!$V$4*Model!$AT$1785*AVERAGE('Assumptions (MSW)'!$AP$2:$AR$2)/10^9),0)</f>
        <v>0</v>
      </c>
      <c r="AZ1937" s="105">
        <f>IF($AT$1785&gt;0,IPMT('Assumptions (MSW)'!$V$6,Model!AC$1,'Assumptions (MSW)'!$V$9,'Assumptions (MSW)'!$V$4*Model!$AT$1785*AVERAGE('Assumptions (MSW)'!$AP$2:$AR$2)/10^9),0)</f>
        <v>0</v>
      </c>
      <c r="BA1937" s="105">
        <f>IF($AT$1785&gt;0,IPMT('Assumptions (MSW)'!$V$6,Model!AD$1,'Assumptions (MSW)'!$V$9,'Assumptions (MSW)'!$V$4*Model!$AT$1785*AVERAGE('Assumptions (MSW)'!$AP$2:$AR$2)/10^9),0)</f>
        <v>0</v>
      </c>
      <c r="BB1937" s="105">
        <f>IF($AT$1785&gt;0,IPMT('Assumptions (MSW)'!$V$6,Model!AE$1,'Assumptions (MSW)'!$V$9,'Assumptions (MSW)'!$V$4*Model!$AT$1785*AVERAGE('Assumptions (MSW)'!$AP$2:$AR$2)/10^9),0)</f>
        <v>0</v>
      </c>
      <c r="BC1937" s="105">
        <f>IF($AT$1785&gt;0,IPMT('Assumptions (MSW)'!$V$6,Model!AF$1,'Assumptions (MSW)'!$V$9,'Assumptions (MSW)'!$V$4*Model!$AT$1785*AVERAGE('Assumptions (MSW)'!$AP$2:$AR$2)/10^9),0)</f>
        <v>0</v>
      </c>
      <c r="BD1937" s="105">
        <f>IF($AT$1785&gt;0,IPMT('Assumptions (MSW)'!$V$6,Model!AG$1,'Assumptions (MSW)'!$V$9,'Assumptions (MSW)'!$V$4*Model!$AT$1785*AVERAGE('Assumptions (MSW)'!$AP$2:$AR$2)/10^9),0)</f>
        <v>0</v>
      </c>
      <c r="BE1937" s="105">
        <f>IF($AT$1785&gt;0,IPMT('Assumptions (MSW)'!$V$6,Model!AH$1,'Assumptions (MSW)'!$V$9,'Assumptions (MSW)'!$V$4*Model!$AT$1785*AVERAGE('Assumptions (MSW)'!$AP$2:$AR$2)/10^9),0)</f>
        <v>0</v>
      </c>
      <c r="BF1937" s="105">
        <f>IF($AT$1785&gt;0,IPMT('Assumptions (MSW)'!$V$6,Model!AI$1,'Assumptions (MSW)'!$V$9,'Assumptions (MSW)'!$V$4*Model!$AT$1785*AVERAGE('Assumptions (MSW)'!$AP$2:$AR$2)/10^9),0)</f>
        <v>0</v>
      </c>
      <c r="BG1937" s="105">
        <f>IF($AT$1785&gt;0,IPMT('Assumptions (MSW)'!$V$6,Model!AJ$1,'Assumptions (MSW)'!$V$9,'Assumptions (MSW)'!$V$4*Model!$AT$1785*AVERAGE('Assumptions (MSW)'!$AP$2:$AR$2)/10^9),0)</f>
        <v>0</v>
      </c>
      <c r="BH1937" s="105">
        <f>IF($AT$1785&gt;0,IPMT('Assumptions (MSW)'!$V$6,Model!AK$1,'Assumptions (MSW)'!$V$9,'Assumptions (MSW)'!$V$4*Model!$AT$1785*AVERAGE('Assumptions (MSW)'!$AP$2:$AR$2)/10^9),0)</f>
        <v>0</v>
      </c>
      <c r="BI1937" s="105"/>
      <c r="BJ1937" s="105"/>
      <c r="BK1937" s="105"/>
      <c r="BL1937" s="105"/>
      <c r="BM1937" s="105"/>
      <c r="BN1937" s="105"/>
      <c r="BO1937" s="105"/>
      <c r="BP1937" s="105"/>
    </row>
    <row r="1938" spans="1:68" ht="15.75" hidden="1" customHeight="1" outlineLevel="1">
      <c r="A1938" s="435"/>
      <c r="B1938" s="99"/>
      <c r="C1938" s="99"/>
      <c r="D1938" s="99"/>
      <c r="E1938" s="99"/>
      <c r="F1938" s="99"/>
      <c r="G1938" s="99"/>
      <c r="H1938" s="99"/>
      <c r="I1938" s="99"/>
      <c r="J1938" s="99"/>
      <c r="K1938" s="99"/>
      <c r="L1938" s="99"/>
      <c r="M1938" s="99"/>
      <c r="N1938" s="99"/>
      <c r="O1938" s="99"/>
      <c r="P1938" s="99"/>
      <c r="Q1938" s="99"/>
      <c r="R1938" s="99"/>
      <c r="S1938" s="99"/>
      <c r="T1938" s="99"/>
      <c r="U1938" s="99"/>
      <c r="V1938" s="99"/>
      <c r="W1938" s="105"/>
      <c r="X1938" s="105"/>
      <c r="Y1938" s="105"/>
      <c r="Z1938" s="105"/>
      <c r="AA1938" s="105"/>
      <c r="AB1938" s="105"/>
      <c r="AC1938" s="105"/>
      <c r="AD1938" s="105"/>
      <c r="AE1938" s="105"/>
      <c r="AF1938" s="105"/>
      <c r="AG1938" s="105"/>
      <c r="AH1938" s="105"/>
      <c r="AI1938" s="105"/>
      <c r="AJ1938" s="171"/>
      <c r="AK1938" s="105"/>
      <c r="AL1938" s="91"/>
      <c r="AM1938" s="91"/>
      <c r="AN1938" s="91"/>
      <c r="AO1938" s="105"/>
      <c r="AP1938" s="105"/>
      <c r="AQ1938" s="105"/>
      <c r="AR1938" s="105"/>
      <c r="AS1938" s="105"/>
      <c r="AT1938" s="105"/>
      <c r="AU1938" s="105">
        <f>IF($AU$1785&gt;0,IPMT('Assumptions (MSW)'!$V$6,Model!W$1,'Assumptions (MSW)'!$V$9,'Assumptions (MSW)'!$V$4*Model!$AU$1785*AVERAGE('Assumptions (MSW)'!$AQ$2:$AS$2)/10^9),0)</f>
        <v>0</v>
      </c>
      <c r="AV1938" s="105">
        <f>IF($AU$1785&gt;0,IPMT('Assumptions (MSW)'!$V$6,Model!X$1,'Assumptions (MSW)'!$V$9,'Assumptions (MSW)'!$V$4*Model!$AU$1785*AVERAGE('Assumptions (MSW)'!$AQ$2:$AS$2)/10^9),0)</f>
        <v>0</v>
      </c>
      <c r="AW1938" s="105">
        <f>IF($AU$1785&gt;0,IPMT('Assumptions (MSW)'!$V$6,Model!Y$1,'Assumptions (MSW)'!$V$9,'Assumptions (MSW)'!$V$4*Model!$AU$1785*AVERAGE('Assumptions (MSW)'!$AQ$2:$AS$2)/10^9),0)</f>
        <v>0</v>
      </c>
      <c r="AX1938" s="105">
        <f>IF($AU$1785&gt;0,IPMT('Assumptions (MSW)'!$V$6,Model!Z$1,'Assumptions (MSW)'!$V$9,'Assumptions (MSW)'!$V$4*Model!$AU$1785*AVERAGE('Assumptions (MSW)'!$AQ$2:$AS$2)/10^9),0)</f>
        <v>0</v>
      </c>
      <c r="AY1938" s="105">
        <f>IF($AU$1785&gt;0,IPMT('Assumptions (MSW)'!$V$6,Model!AA$1,'Assumptions (MSW)'!$V$9,'Assumptions (MSW)'!$V$4*Model!$AU$1785*AVERAGE('Assumptions (MSW)'!$AQ$2:$AS$2)/10^9),0)</f>
        <v>0</v>
      </c>
      <c r="AZ1938" s="105">
        <f>IF($AU$1785&gt;0,IPMT('Assumptions (MSW)'!$V$6,Model!AB$1,'Assumptions (MSW)'!$V$9,'Assumptions (MSW)'!$V$4*Model!$AU$1785*AVERAGE('Assumptions (MSW)'!$AQ$2:$AS$2)/10^9),0)</f>
        <v>0</v>
      </c>
      <c r="BA1938" s="105">
        <f>IF($AU$1785&gt;0,IPMT('Assumptions (MSW)'!$V$6,Model!AC$1,'Assumptions (MSW)'!$V$9,'Assumptions (MSW)'!$V$4*Model!$AU$1785*AVERAGE('Assumptions (MSW)'!$AQ$2:$AS$2)/10^9),0)</f>
        <v>0</v>
      </c>
      <c r="BB1938" s="105">
        <f>IF($AU$1785&gt;0,IPMT('Assumptions (MSW)'!$V$6,Model!AD$1,'Assumptions (MSW)'!$V$9,'Assumptions (MSW)'!$V$4*Model!$AU$1785*AVERAGE('Assumptions (MSW)'!$AQ$2:$AS$2)/10^9),0)</f>
        <v>0</v>
      </c>
      <c r="BC1938" s="105">
        <f>IF($AU$1785&gt;0,IPMT('Assumptions (MSW)'!$V$6,Model!AE$1,'Assumptions (MSW)'!$V$9,'Assumptions (MSW)'!$V$4*Model!$AU$1785*AVERAGE('Assumptions (MSW)'!$AQ$2:$AS$2)/10^9),0)</f>
        <v>0</v>
      </c>
      <c r="BD1938" s="105">
        <f>IF($AU$1785&gt;0,IPMT('Assumptions (MSW)'!$V$6,Model!AF$1,'Assumptions (MSW)'!$V$9,'Assumptions (MSW)'!$V$4*Model!$AU$1785*AVERAGE('Assumptions (MSW)'!$AQ$2:$AS$2)/10^9),0)</f>
        <v>0</v>
      </c>
      <c r="BE1938" s="105">
        <f>IF($AU$1785&gt;0,IPMT('Assumptions (MSW)'!$V$6,Model!AG$1,'Assumptions (MSW)'!$V$9,'Assumptions (MSW)'!$V$4*Model!$AU$1785*AVERAGE('Assumptions (MSW)'!$AQ$2:$AS$2)/10^9),0)</f>
        <v>0</v>
      </c>
      <c r="BF1938" s="105">
        <f>IF($AU$1785&gt;0,IPMT('Assumptions (MSW)'!$V$6,Model!AH$1,'Assumptions (MSW)'!$V$9,'Assumptions (MSW)'!$V$4*Model!$AU$1785*AVERAGE('Assumptions (MSW)'!$AQ$2:$AS$2)/10^9),0)</f>
        <v>0</v>
      </c>
      <c r="BG1938" s="105">
        <f>IF($AU$1785&gt;0,IPMT('Assumptions (MSW)'!$V$6,Model!AI$1,'Assumptions (MSW)'!$V$9,'Assumptions (MSW)'!$V$4*Model!$AU$1785*AVERAGE('Assumptions (MSW)'!$AQ$2:$AS$2)/10^9),0)</f>
        <v>0</v>
      </c>
      <c r="BH1938" s="105">
        <f>IF($AU$1785&gt;0,IPMT('Assumptions (MSW)'!$V$6,Model!AJ$1,'Assumptions (MSW)'!$V$9,'Assumptions (MSW)'!$V$4*Model!$AU$1785*AVERAGE('Assumptions (MSW)'!$AQ$2:$AS$2)/10^9),0)</f>
        <v>0</v>
      </c>
      <c r="BI1938" s="105">
        <f>IF($AU$1785&gt;0,IPMT('Assumptions (MSW)'!$V$6,Model!AK$1,'Assumptions (MSW)'!$V$9,'Assumptions (MSW)'!$V$4*Model!$AU$1785*AVERAGE('Assumptions (MSW)'!$AQ$2:$AS$2)/10^9),0)</f>
        <v>0</v>
      </c>
      <c r="BJ1938" s="105"/>
      <c r="BK1938" s="105"/>
      <c r="BL1938" s="105"/>
      <c r="BM1938" s="105"/>
      <c r="BN1938" s="105"/>
      <c r="BO1938" s="105"/>
      <c r="BP1938" s="105"/>
    </row>
    <row r="1939" spans="1:68" ht="15.75" hidden="1" customHeight="1" outlineLevel="1">
      <c r="A1939" s="435"/>
      <c r="B1939" s="99"/>
      <c r="C1939" s="99"/>
      <c r="D1939" s="99"/>
      <c r="E1939" s="99"/>
      <c r="F1939" s="99"/>
      <c r="G1939" s="99"/>
      <c r="H1939" s="99"/>
      <c r="I1939" s="99"/>
      <c r="J1939" s="99"/>
      <c r="K1939" s="99"/>
      <c r="L1939" s="99"/>
      <c r="M1939" s="99"/>
      <c r="N1939" s="99"/>
      <c r="O1939" s="99"/>
      <c r="P1939" s="99"/>
      <c r="Q1939" s="99"/>
      <c r="R1939" s="99"/>
      <c r="S1939" s="99"/>
      <c r="T1939" s="99"/>
      <c r="U1939" s="99"/>
      <c r="V1939" s="99"/>
      <c r="W1939" s="105"/>
      <c r="X1939" s="105"/>
      <c r="Y1939" s="105"/>
      <c r="Z1939" s="105"/>
      <c r="AA1939" s="105"/>
      <c r="AB1939" s="105"/>
      <c r="AC1939" s="105"/>
      <c r="AD1939" s="105"/>
      <c r="AE1939" s="105"/>
      <c r="AF1939" s="105"/>
      <c r="AG1939" s="105"/>
      <c r="AH1939" s="105"/>
      <c r="AI1939" s="105"/>
      <c r="AJ1939" s="171"/>
      <c r="AK1939" s="105"/>
      <c r="AL1939" s="91"/>
      <c r="AM1939" s="91"/>
      <c r="AN1939" s="91"/>
      <c r="AO1939" s="105"/>
      <c r="AP1939" s="105"/>
      <c r="AQ1939" s="105"/>
      <c r="AR1939" s="105"/>
      <c r="AS1939" s="105"/>
      <c r="AT1939" s="105"/>
      <c r="AU1939" s="105"/>
      <c r="AV1939" s="105">
        <f>IF($AV$1785&gt;0,IPMT('Assumptions (MSW)'!$V$6,Model!W$1,'Assumptions (MSW)'!$V$9,'Assumptions (MSW)'!$V$4*Model!$AV$1785*AVERAGE('Assumptions (MSW)'!$AR$2:$AT$2)/10^9),0)</f>
        <v>0</v>
      </c>
      <c r="AW1939" s="105">
        <f>IF($AV$1785&gt;0,IPMT('Assumptions (MSW)'!$V$6,Model!X$1,'Assumptions (MSW)'!$V$9,'Assumptions (MSW)'!$V$4*Model!$AV$1785*AVERAGE('Assumptions (MSW)'!$AR$2:$AT$2)/10^9),0)</f>
        <v>0</v>
      </c>
      <c r="AX1939" s="105">
        <f>IF($AV$1785&gt;0,IPMT('Assumptions (MSW)'!$V$6,Model!Y$1,'Assumptions (MSW)'!$V$9,'Assumptions (MSW)'!$V$4*Model!$AV$1785*AVERAGE('Assumptions (MSW)'!$AR$2:$AT$2)/10^9),0)</f>
        <v>0</v>
      </c>
      <c r="AY1939" s="105">
        <f>IF($AV$1785&gt;0,IPMT('Assumptions (MSW)'!$V$6,Model!Z$1,'Assumptions (MSW)'!$V$9,'Assumptions (MSW)'!$V$4*Model!$AV$1785*AVERAGE('Assumptions (MSW)'!$AR$2:$AT$2)/10^9),0)</f>
        <v>0</v>
      </c>
      <c r="AZ1939" s="105">
        <f>IF($AV$1785&gt;0,IPMT('Assumptions (MSW)'!$V$6,Model!AA$1,'Assumptions (MSW)'!$V$9,'Assumptions (MSW)'!$V$4*Model!$AV$1785*AVERAGE('Assumptions (MSW)'!$AR$2:$AT$2)/10^9),0)</f>
        <v>0</v>
      </c>
      <c r="BA1939" s="105">
        <f>IF($AV$1785&gt;0,IPMT('Assumptions (MSW)'!$V$6,Model!AB$1,'Assumptions (MSW)'!$V$9,'Assumptions (MSW)'!$V$4*Model!$AV$1785*AVERAGE('Assumptions (MSW)'!$AR$2:$AT$2)/10^9),0)</f>
        <v>0</v>
      </c>
      <c r="BB1939" s="105">
        <f>IF($AV$1785&gt;0,IPMT('Assumptions (MSW)'!$V$6,Model!AC$1,'Assumptions (MSW)'!$V$9,'Assumptions (MSW)'!$V$4*Model!$AV$1785*AVERAGE('Assumptions (MSW)'!$AR$2:$AT$2)/10^9),0)</f>
        <v>0</v>
      </c>
      <c r="BC1939" s="105">
        <f>IF($AV$1785&gt;0,IPMT('Assumptions (MSW)'!$V$6,Model!AD$1,'Assumptions (MSW)'!$V$9,'Assumptions (MSW)'!$V$4*Model!$AV$1785*AVERAGE('Assumptions (MSW)'!$AR$2:$AT$2)/10^9),0)</f>
        <v>0</v>
      </c>
      <c r="BD1939" s="105">
        <f>IF($AV$1785&gt;0,IPMT('Assumptions (MSW)'!$V$6,Model!AE$1,'Assumptions (MSW)'!$V$9,'Assumptions (MSW)'!$V$4*Model!$AV$1785*AVERAGE('Assumptions (MSW)'!$AR$2:$AT$2)/10^9),0)</f>
        <v>0</v>
      </c>
      <c r="BE1939" s="105">
        <f>IF($AV$1785&gt;0,IPMT('Assumptions (MSW)'!$V$6,Model!AF$1,'Assumptions (MSW)'!$V$9,'Assumptions (MSW)'!$V$4*Model!$AV$1785*AVERAGE('Assumptions (MSW)'!$AR$2:$AT$2)/10^9),0)</f>
        <v>0</v>
      </c>
      <c r="BF1939" s="105">
        <f>IF($AV$1785&gt;0,IPMT('Assumptions (MSW)'!$V$6,Model!AG$1,'Assumptions (MSW)'!$V$9,'Assumptions (MSW)'!$V$4*Model!$AV$1785*AVERAGE('Assumptions (MSW)'!$AR$2:$AT$2)/10^9),0)</f>
        <v>0</v>
      </c>
      <c r="BG1939" s="105">
        <f>IF($AV$1785&gt;0,IPMT('Assumptions (MSW)'!$V$6,Model!AH$1,'Assumptions (MSW)'!$V$9,'Assumptions (MSW)'!$V$4*Model!$AV$1785*AVERAGE('Assumptions (MSW)'!$AR$2:$AT$2)/10^9),0)</f>
        <v>0</v>
      </c>
      <c r="BH1939" s="105">
        <f>IF($AV$1785&gt;0,IPMT('Assumptions (MSW)'!$V$6,Model!AI$1,'Assumptions (MSW)'!$V$9,'Assumptions (MSW)'!$V$4*Model!$AV$1785*AVERAGE('Assumptions (MSW)'!$AR$2:$AT$2)/10^9),0)</f>
        <v>0</v>
      </c>
      <c r="BI1939" s="105">
        <f>IF($AV$1785&gt;0,IPMT('Assumptions (MSW)'!$V$6,Model!AJ$1,'Assumptions (MSW)'!$V$9,'Assumptions (MSW)'!$V$4*Model!$AV$1785*AVERAGE('Assumptions (MSW)'!$AR$2:$AT$2)/10^9),0)</f>
        <v>0</v>
      </c>
      <c r="BJ1939" s="105">
        <f>IF($AV$1785&gt;0,IPMT('Assumptions (MSW)'!$V$6,Model!AK$1,'Assumptions (MSW)'!$V$9,'Assumptions (MSW)'!$V$4*Model!$AV$1785*AVERAGE('Assumptions (MSW)'!$AR$2:$AT$2)/10^9),0)</f>
        <v>0</v>
      </c>
      <c r="BK1939" s="105"/>
      <c r="BL1939" s="105"/>
      <c r="BM1939" s="105"/>
      <c r="BN1939" s="105"/>
      <c r="BO1939" s="105"/>
      <c r="BP1939" s="105"/>
    </row>
    <row r="1940" spans="1:68" ht="15.75" hidden="1" customHeight="1" outlineLevel="1">
      <c r="A1940" s="435"/>
      <c r="B1940" s="99"/>
      <c r="C1940" s="99"/>
      <c r="D1940" s="99"/>
      <c r="E1940" s="99"/>
      <c r="F1940" s="99"/>
      <c r="G1940" s="99"/>
      <c r="H1940" s="99"/>
      <c r="I1940" s="99"/>
      <c r="J1940" s="99"/>
      <c r="K1940" s="99"/>
      <c r="L1940" s="99"/>
      <c r="M1940" s="99"/>
      <c r="N1940" s="99"/>
      <c r="O1940" s="99"/>
      <c r="P1940" s="99"/>
      <c r="Q1940" s="99"/>
      <c r="R1940" s="99"/>
      <c r="S1940" s="99"/>
      <c r="T1940" s="99"/>
      <c r="U1940" s="99"/>
      <c r="V1940" s="99"/>
      <c r="W1940" s="105"/>
      <c r="X1940" s="105"/>
      <c r="Y1940" s="105"/>
      <c r="Z1940" s="105"/>
      <c r="AA1940" s="105"/>
      <c r="AB1940" s="105"/>
      <c r="AC1940" s="105"/>
      <c r="AD1940" s="105"/>
      <c r="AE1940" s="105"/>
      <c r="AF1940" s="105"/>
      <c r="AG1940" s="105"/>
      <c r="AH1940" s="105"/>
      <c r="AI1940" s="105"/>
      <c r="AJ1940" s="171"/>
      <c r="AK1940" s="105"/>
      <c r="AL1940" s="91"/>
      <c r="AM1940" s="91"/>
      <c r="AN1940" s="91"/>
      <c r="AO1940" s="105"/>
      <c r="AP1940" s="105"/>
      <c r="AQ1940" s="105"/>
      <c r="AR1940" s="105"/>
      <c r="AS1940" s="105"/>
      <c r="AT1940" s="105"/>
      <c r="AU1940" s="105"/>
      <c r="AV1940" s="105"/>
      <c r="AW1940" s="105">
        <f>IF($AW$1785&gt;0,IPMT('Assumptions (MSW)'!$V$6,Model!W$1,'Assumptions (MSW)'!$V$9,'Assumptions (MSW)'!$V$4*Model!$AW$1785*AVERAGE('Assumptions (MSW)'!$AS$2:$AU$2)/10^9),0)</f>
        <v>0</v>
      </c>
      <c r="AX1940" s="105">
        <f>IF($AW$1785&gt;0,IPMT('Assumptions (MSW)'!$V$6,Model!X$1,'Assumptions (MSW)'!$V$9,'Assumptions (MSW)'!$V$4*Model!$AW$1785*AVERAGE('Assumptions (MSW)'!$AS$2:$AU$2)/10^9),0)</f>
        <v>0</v>
      </c>
      <c r="AY1940" s="105">
        <f>IF($AW$1785&gt;0,IPMT('Assumptions (MSW)'!$V$6,Model!Y$1,'Assumptions (MSW)'!$V$9,'Assumptions (MSW)'!$V$4*Model!$AW$1785*AVERAGE('Assumptions (MSW)'!$AS$2:$AU$2)/10^9),0)</f>
        <v>0</v>
      </c>
      <c r="AZ1940" s="105">
        <f>IF($AW$1785&gt;0,IPMT('Assumptions (MSW)'!$V$6,Model!Z$1,'Assumptions (MSW)'!$V$9,'Assumptions (MSW)'!$V$4*Model!$AW$1785*AVERAGE('Assumptions (MSW)'!$AS$2:$AU$2)/10^9),0)</f>
        <v>0</v>
      </c>
      <c r="BA1940" s="105">
        <f>IF($AW$1785&gt;0,IPMT('Assumptions (MSW)'!$V$6,Model!AA$1,'Assumptions (MSW)'!$V$9,'Assumptions (MSW)'!$V$4*Model!$AW$1785*AVERAGE('Assumptions (MSW)'!$AS$2:$AU$2)/10^9),0)</f>
        <v>0</v>
      </c>
      <c r="BB1940" s="105">
        <f>IF($AW$1785&gt;0,IPMT('Assumptions (MSW)'!$V$6,Model!AB$1,'Assumptions (MSW)'!$V$9,'Assumptions (MSW)'!$V$4*Model!$AW$1785*AVERAGE('Assumptions (MSW)'!$AS$2:$AU$2)/10^9),0)</f>
        <v>0</v>
      </c>
      <c r="BC1940" s="105">
        <f>IF($AW$1785&gt;0,IPMT('Assumptions (MSW)'!$V$6,Model!AC$1,'Assumptions (MSW)'!$V$9,'Assumptions (MSW)'!$V$4*Model!$AW$1785*AVERAGE('Assumptions (MSW)'!$AS$2:$AU$2)/10^9),0)</f>
        <v>0</v>
      </c>
      <c r="BD1940" s="105">
        <f>IF($AW$1785&gt;0,IPMT('Assumptions (MSW)'!$V$6,Model!AD$1,'Assumptions (MSW)'!$V$9,'Assumptions (MSW)'!$V$4*Model!$AW$1785*AVERAGE('Assumptions (MSW)'!$AS$2:$AU$2)/10^9),0)</f>
        <v>0</v>
      </c>
      <c r="BE1940" s="105">
        <f>IF($AW$1785&gt;0,IPMT('Assumptions (MSW)'!$V$6,Model!AE$1,'Assumptions (MSW)'!$V$9,'Assumptions (MSW)'!$V$4*Model!$AW$1785*AVERAGE('Assumptions (MSW)'!$AS$2:$AU$2)/10^9),0)</f>
        <v>0</v>
      </c>
      <c r="BF1940" s="105">
        <f>IF($AW$1785&gt;0,IPMT('Assumptions (MSW)'!$V$6,Model!AF$1,'Assumptions (MSW)'!$V$9,'Assumptions (MSW)'!$V$4*Model!$AW$1785*AVERAGE('Assumptions (MSW)'!$AS$2:$AU$2)/10^9),0)</f>
        <v>0</v>
      </c>
      <c r="BG1940" s="105">
        <f>IF($AW$1785&gt;0,IPMT('Assumptions (MSW)'!$V$6,Model!AG$1,'Assumptions (MSW)'!$V$9,'Assumptions (MSW)'!$V$4*Model!$AW$1785*AVERAGE('Assumptions (MSW)'!$AS$2:$AU$2)/10^9),0)</f>
        <v>0</v>
      </c>
      <c r="BH1940" s="105">
        <f>IF($AW$1785&gt;0,IPMT('Assumptions (MSW)'!$V$6,Model!AH$1,'Assumptions (MSW)'!$V$9,'Assumptions (MSW)'!$V$4*Model!$AW$1785*AVERAGE('Assumptions (MSW)'!$AS$2:$AU$2)/10^9),0)</f>
        <v>0</v>
      </c>
      <c r="BI1940" s="105">
        <f>IF($AW$1785&gt;0,IPMT('Assumptions (MSW)'!$V$6,Model!AI$1,'Assumptions (MSW)'!$V$9,'Assumptions (MSW)'!$V$4*Model!$AW$1785*AVERAGE('Assumptions (MSW)'!$AS$2:$AU$2)/10^9),0)</f>
        <v>0</v>
      </c>
      <c r="BJ1940" s="105">
        <f>IF($AW$1785&gt;0,IPMT('Assumptions (MSW)'!$V$6,Model!AJ$1,'Assumptions (MSW)'!$V$9,'Assumptions (MSW)'!$V$4*Model!$AW$1785*AVERAGE('Assumptions (MSW)'!$AS$2:$AU$2)/10^9),0)</f>
        <v>0</v>
      </c>
      <c r="BK1940" s="105">
        <f>IF($AW$1785&gt;0,IPMT('Assumptions (MSW)'!$V$6,Model!AK$1,'Assumptions (MSW)'!$V$9,'Assumptions (MSW)'!$V$4*Model!$AW$1785*AVERAGE('Assumptions (MSW)'!$AS$2:$AU$2)/10^9),0)</f>
        <v>0</v>
      </c>
      <c r="BL1940" s="105"/>
      <c r="BM1940" s="105"/>
      <c r="BN1940" s="105"/>
      <c r="BO1940" s="105"/>
      <c r="BP1940" s="105"/>
    </row>
    <row r="1941" spans="1:68" ht="15.75" hidden="1" customHeight="1" outlineLevel="1">
      <c r="A1941" s="435"/>
      <c r="B1941" s="99"/>
      <c r="C1941" s="99"/>
      <c r="D1941" s="99"/>
      <c r="E1941" s="99"/>
      <c r="F1941" s="99"/>
      <c r="G1941" s="99"/>
      <c r="H1941" s="99"/>
      <c r="I1941" s="99"/>
      <c r="J1941" s="99"/>
      <c r="K1941" s="99"/>
      <c r="L1941" s="99"/>
      <c r="M1941" s="99"/>
      <c r="N1941" s="99"/>
      <c r="O1941" s="99"/>
      <c r="P1941" s="99"/>
      <c r="Q1941" s="99"/>
      <c r="R1941" s="99"/>
      <c r="S1941" s="99"/>
      <c r="T1941" s="99"/>
      <c r="U1941" s="99"/>
      <c r="V1941" s="99"/>
      <c r="W1941" s="105"/>
      <c r="X1941" s="105"/>
      <c r="Y1941" s="105"/>
      <c r="Z1941" s="105"/>
      <c r="AA1941" s="105"/>
      <c r="AB1941" s="105"/>
      <c r="AC1941" s="105"/>
      <c r="AD1941" s="105"/>
      <c r="AE1941" s="105"/>
      <c r="AF1941" s="105"/>
      <c r="AG1941" s="105"/>
      <c r="AH1941" s="105"/>
      <c r="AI1941" s="105"/>
      <c r="AJ1941" s="171"/>
      <c r="AK1941" s="105"/>
      <c r="AL1941" s="91"/>
      <c r="AM1941" s="91"/>
      <c r="AN1941" s="91"/>
      <c r="AO1941" s="105"/>
      <c r="AP1941" s="105"/>
      <c r="AQ1941" s="105"/>
      <c r="AR1941" s="105"/>
      <c r="AS1941" s="105"/>
      <c r="AT1941" s="105"/>
      <c r="AU1941" s="105"/>
      <c r="AV1941" s="105"/>
      <c r="AW1941" s="105"/>
      <c r="AX1941" s="105">
        <f>IF($AX$1785&gt;0,IPMT('Assumptions (MSW)'!$V$6,Model!W$1,'Assumptions (MSW)'!$V$9,'Assumptions (MSW)'!$V$4*Model!$AX$1785*AVERAGE('Assumptions (MSW)'!$AT$2:$AV$2)/10^9),0)</f>
        <v>0</v>
      </c>
      <c r="AY1941" s="105">
        <f>IF($AX$1785&gt;0,IPMT('Assumptions (MSW)'!$V$6,Model!X$1,'Assumptions (MSW)'!$V$9,'Assumptions (MSW)'!$V$4*Model!$AX$1785*AVERAGE('Assumptions (MSW)'!$AT$2:$AV$2)/10^9),0)</f>
        <v>0</v>
      </c>
      <c r="AZ1941" s="105">
        <f>IF($AX$1785&gt;0,IPMT('Assumptions (MSW)'!$V$6,Model!Y$1,'Assumptions (MSW)'!$V$9,'Assumptions (MSW)'!$V$4*Model!$AX$1785*AVERAGE('Assumptions (MSW)'!$AT$2:$AV$2)/10^9),0)</f>
        <v>0</v>
      </c>
      <c r="BA1941" s="105">
        <f>IF($AX$1785&gt;0,IPMT('Assumptions (MSW)'!$V$6,Model!Z$1,'Assumptions (MSW)'!$V$9,'Assumptions (MSW)'!$V$4*Model!$AX$1785*AVERAGE('Assumptions (MSW)'!$AT$2:$AV$2)/10^9),0)</f>
        <v>0</v>
      </c>
      <c r="BB1941" s="105">
        <f>IF($AX$1785&gt;0,IPMT('Assumptions (MSW)'!$V$6,Model!AA$1,'Assumptions (MSW)'!$V$9,'Assumptions (MSW)'!$V$4*Model!$AX$1785*AVERAGE('Assumptions (MSW)'!$AT$2:$AV$2)/10^9),0)</f>
        <v>0</v>
      </c>
      <c r="BC1941" s="105">
        <f>IF($AX$1785&gt;0,IPMT('Assumptions (MSW)'!$V$6,Model!AB$1,'Assumptions (MSW)'!$V$9,'Assumptions (MSW)'!$V$4*Model!$AX$1785*AVERAGE('Assumptions (MSW)'!$AT$2:$AV$2)/10^9),0)</f>
        <v>0</v>
      </c>
      <c r="BD1941" s="105">
        <f>IF($AX$1785&gt;0,IPMT('Assumptions (MSW)'!$V$6,Model!AC$1,'Assumptions (MSW)'!$V$9,'Assumptions (MSW)'!$V$4*Model!$AX$1785*AVERAGE('Assumptions (MSW)'!$AT$2:$AV$2)/10^9),0)</f>
        <v>0</v>
      </c>
      <c r="BE1941" s="105">
        <f>IF($AX$1785&gt;0,IPMT('Assumptions (MSW)'!$V$6,Model!AD$1,'Assumptions (MSW)'!$V$9,'Assumptions (MSW)'!$V$4*Model!$AX$1785*AVERAGE('Assumptions (MSW)'!$AT$2:$AV$2)/10^9),0)</f>
        <v>0</v>
      </c>
      <c r="BF1941" s="105">
        <f>IF($AX$1785&gt;0,IPMT('Assumptions (MSW)'!$V$6,Model!AE$1,'Assumptions (MSW)'!$V$9,'Assumptions (MSW)'!$V$4*Model!$AX$1785*AVERAGE('Assumptions (MSW)'!$AT$2:$AV$2)/10^9),0)</f>
        <v>0</v>
      </c>
      <c r="BG1941" s="105">
        <f>IF($AX$1785&gt;0,IPMT('Assumptions (MSW)'!$V$6,Model!AF$1,'Assumptions (MSW)'!$V$9,'Assumptions (MSW)'!$V$4*Model!$AX$1785*AVERAGE('Assumptions (MSW)'!$AT$2:$AV$2)/10^9),0)</f>
        <v>0</v>
      </c>
      <c r="BH1941" s="105">
        <f>IF($AX$1785&gt;0,IPMT('Assumptions (MSW)'!$V$6,Model!AG$1,'Assumptions (MSW)'!$V$9,'Assumptions (MSW)'!$V$4*Model!$AX$1785*AVERAGE('Assumptions (MSW)'!$AT$2:$AV$2)/10^9),0)</f>
        <v>0</v>
      </c>
      <c r="BI1941" s="105">
        <f>IF($AX$1785&gt;0,IPMT('Assumptions (MSW)'!$V$6,Model!AH$1,'Assumptions (MSW)'!$V$9,'Assumptions (MSW)'!$V$4*Model!$AX$1785*AVERAGE('Assumptions (MSW)'!$AT$2:$AV$2)/10^9),0)</f>
        <v>0</v>
      </c>
      <c r="BJ1941" s="105">
        <f>IF($AX$1785&gt;0,IPMT('Assumptions (MSW)'!$V$6,Model!AI$1,'Assumptions (MSW)'!$V$9,'Assumptions (MSW)'!$V$4*Model!$AX$1785*AVERAGE('Assumptions (MSW)'!$AT$2:$AV$2)/10^9),0)</f>
        <v>0</v>
      </c>
      <c r="BK1941" s="105">
        <f>IF($AX$1785&gt;0,IPMT('Assumptions (MSW)'!$V$6,Model!AJ$1,'Assumptions (MSW)'!$V$9,'Assumptions (MSW)'!$V$4*Model!$AX$1785*AVERAGE('Assumptions (MSW)'!$AT$2:$AV$2)/10^9),0)</f>
        <v>0</v>
      </c>
      <c r="BL1941" s="105">
        <f>IF($AX$1785&gt;0,IPMT('Assumptions (MSW)'!$V$6,Model!AK$1,'Assumptions (MSW)'!$V$9,'Assumptions (MSW)'!$V$4*Model!$AX$1785*AVERAGE('Assumptions (MSW)'!$AT$2:$AV$2)/10^9),0)</f>
        <v>0</v>
      </c>
      <c r="BM1941" s="105"/>
      <c r="BN1941" s="105"/>
      <c r="BO1941" s="105"/>
      <c r="BP1941" s="105"/>
    </row>
    <row r="1942" spans="1:68" ht="15.75" hidden="1" customHeight="1" outlineLevel="1">
      <c r="A1942" s="435"/>
      <c r="B1942" s="99"/>
      <c r="C1942" s="99"/>
      <c r="D1942" s="99"/>
      <c r="E1942" s="99"/>
      <c r="F1942" s="99"/>
      <c r="G1942" s="99"/>
      <c r="H1942" s="99"/>
      <c r="I1942" s="99"/>
      <c r="J1942" s="99"/>
      <c r="K1942" s="99"/>
      <c r="L1942" s="99"/>
      <c r="M1942" s="99"/>
      <c r="N1942" s="99"/>
      <c r="O1942" s="99"/>
      <c r="P1942" s="99"/>
      <c r="Q1942" s="99"/>
      <c r="R1942" s="99"/>
      <c r="S1942" s="99"/>
      <c r="T1942" s="99"/>
      <c r="U1942" s="99"/>
      <c r="V1942" s="99"/>
      <c r="W1942" s="105"/>
      <c r="X1942" s="105"/>
      <c r="Y1942" s="105"/>
      <c r="Z1942" s="105"/>
      <c r="AA1942" s="105"/>
      <c r="AB1942" s="105"/>
      <c r="AC1942" s="105"/>
      <c r="AD1942" s="105"/>
      <c r="AE1942" s="105"/>
      <c r="AF1942" s="105"/>
      <c r="AG1942" s="105"/>
      <c r="AH1942" s="105"/>
      <c r="AI1942" s="105"/>
      <c r="AJ1942" s="171"/>
      <c r="AK1942" s="105"/>
      <c r="AL1942" s="91"/>
      <c r="AM1942" s="91"/>
      <c r="AN1942" s="91"/>
      <c r="AO1942" s="105"/>
      <c r="AP1942" s="105"/>
      <c r="AQ1942" s="105"/>
      <c r="AR1942" s="105"/>
      <c r="AS1942" s="105"/>
      <c r="AT1942" s="105"/>
      <c r="AU1942" s="105"/>
      <c r="AV1942" s="105"/>
      <c r="AW1942" s="105"/>
      <c r="AX1942" s="105"/>
      <c r="AY1942" s="105">
        <f>IF($AY$1785&gt;0,IPMT('Assumptions (MSW)'!$V$6,Model!W$1,'Assumptions (MSW)'!$V$9,'Assumptions (MSW)'!$V$4*Model!$AY$1785*AVERAGE('Assumptions (MSW)'!$AU$2:$AW$2)/10^9),0)</f>
        <v>0</v>
      </c>
      <c r="AZ1942" s="105">
        <f>IF($AY$1785&gt;0,IPMT('Assumptions (MSW)'!$V$6,Model!X$1,'Assumptions (MSW)'!$V$9,'Assumptions (MSW)'!$V$4*Model!$AY$1785*AVERAGE('Assumptions (MSW)'!$AU$2:$AW$2)/10^9),0)</f>
        <v>0</v>
      </c>
      <c r="BA1942" s="105">
        <f>IF($AY$1785&gt;0,IPMT('Assumptions (MSW)'!$V$6,Model!Y$1,'Assumptions (MSW)'!$V$9,'Assumptions (MSW)'!$V$4*Model!$AY$1785*AVERAGE('Assumptions (MSW)'!$AU$2:$AW$2)/10^9),0)</f>
        <v>0</v>
      </c>
      <c r="BB1942" s="105">
        <f>IF($AY$1785&gt;0,IPMT('Assumptions (MSW)'!$V$6,Model!Z$1,'Assumptions (MSW)'!$V$9,'Assumptions (MSW)'!$V$4*Model!$AY$1785*AVERAGE('Assumptions (MSW)'!$AU$2:$AW$2)/10^9),0)</f>
        <v>0</v>
      </c>
      <c r="BC1942" s="105">
        <f>IF($AY$1785&gt;0,IPMT('Assumptions (MSW)'!$V$6,Model!AA$1,'Assumptions (MSW)'!$V$9,'Assumptions (MSW)'!$V$4*Model!$AY$1785*AVERAGE('Assumptions (MSW)'!$AU$2:$AW$2)/10^9),0)</f>
        <v>0</v>
      </c>
      <c r="BD1942" s="105">
        <f>IF($AY$1785&gt;0,IPMT('Assumptions (MSW)'!$V$6,Model!AB$1,'Assumptions (MSW)'!$V$9,'Assumptions (MSW)'!$V$4*Model!$AY$1785*AVERAGE('Assumptions (MSW)'!$AU$2:$AW$2)/10^9),0)</f>
        <v>0</v>
      </c>
      <c r="BE1942" s="105">
        <f>IF($AY$1785&gt;0,IPMT('Assumptions (MSW)'!$V$6,Model!AC$1,'Assumptions (MSW)'!$V$9,'Assumptions (MSW)'!$V$4*Model!$AY$1785*AVERAGE('Assumptions (MSW)'!$AU$2:$AW$2)/10^9),0)</f>
        <v>0</v>
      </c>
      <c r="BF1942" s="105">
        <f>IF($AY$1785&gt;0,IPMT('Assumptions (MSW)'!$V$6,Model!AD$1,'Assumptions (MSW)'!$V$9,'Assumptions (MSW)'!$V$4*Model!$AY$1785*AVERAGE('Assumptions (MSW)'!$AU$2:$AW$2)/10^9),0)</f>
        <v>0</v>
      </c>
      <c r="BG1942" s="105">
        <f>IF($AY$1785&gt;0,IPMT('Assumptions (MSW)'!$V$6,Model!AE$1,'Assumptions (MSW)'!$V$9,'Assumptions (MSW)'!$V$4*Model!$AY$1785*AVERAGE('Assumptions (MSW)'!$AU$2:$AW$2)/10^9),0)</f>
        <v>0</v>
      </c>
      <c r="BH1942" s="105">
        <f>IF($AY$1785&gt;0,IPMT('Assumptions (MSW)'!$V$6,Model!AF$1,'Assumptions (MSW)'!$V$9,'Assumptions (MSW)'!$V$4*Model!$AY$1785*AVERAGE('Assumptions (MSW)'!$AU$2:$AW$2)/10^9),0)</f>
        <v>0</v>
      </c>
      <c r="BI1942" s="105">
        <f>IF($AY$1785&gt;0,IPMT('Assumptions (MSW)'!$V$6,Model!AG$1,'Assumptions (MSW)'!$V$9,'Assumptions (MSW)'!$V$4*Model!$AY$1785*AVERAGE('Assumptions (MSW)'!$AU$2:$AW$2)/10^9),0)</f>
        <v>0</v>
      </c>
      <c r="BJ1942" s="105">
        <f>IF($AY$1785&gt;0,IPMT('Assumptions (MSW)'!$V$6,Model!AH$1,'Assumptions (MSW)'!$V$9,'Assumptions (MSW)'!$V$4*Model!$AY$1785*AVERAGE('Assumptions (MSW)'!$AU$2:$AW$2)/10^9),0)</f>
        <v>0</v>
      </c>
      <c r="BK1942" s="105">
        <f>IF($AY$1785&gt;0,IPMT('Assumptions (MSW)'!$V$6,Model!AI$1,'Assumptions (MSW)'!$V$9,'Assumptions (MSW)'!$V$4*Model!$AY$1785*AVERAGE('Assumptions (MSW)'!$AU$2:$AW$2)/10^9),0)</f>
        <v>0</v>
      </c>
      <c r="BL1942" s="105">
        <f>IF($AY$1785&gt;0,IPMT('Assumptions (MSW)'!$V$6,Model!AJ$1,'Assumptions (MSW)'!$V$9,'Assumptions (MSW)'!$V$4*Model!$AY$1785*AVERAGE('Assumptions (MSW)'!$AU$2:$AW$2)/10^9),0)</f>
        <v>0</v>
      </c>
      <c r="BM1942" s="105">
        <f>IF($AY$1785&gt;0,IPMT('Assumptions (MSW)'!$V$6,Model!AK$1,'Assumptions (MSW)'!$V$9,'Assumptions (MSW)'!$V$4*Model!$AY$1785*AVERAGE('Assumptions (MSW)'!$AU$2:$AW$2)/10^9),0)</f>
        <v>0</v>
      </c>
      <c r="BN1942" s="105"/>
      <c r="BO1942" s="105"/>
      <c r="BP1942" s="105"/>
    </row>
    <row r="1943" spans="1:68" ht="15.75" hidden="1" customHeight="1" outlineLevel="1">
      <c r="A1943" s="435"/>
      <c r="B1943" s="99"/>
      <c r="C1943" s="99"/>
      <c r="D1943" s="99"/>
      <c r="E1943" s="99"/>
      <c r="F1943" s="99"/>
      <c r="G1943" s="99"/>
      <c r="H1943" s="99"/>
      <c r="I1943" s="99"/>
      <c r="J1943" s="99"/>
      <c r="K1943" s="99"/>
      <c r="L1943" s="99"/>
      <c r="M1943" s="99"/>
      <c r="N1943" s="99"/>
      <c r="O1943" s="99"/>
      <c r="P1943" s="99"/>
      <c r="Q1943" s="99"/>
      <c r="R1943" s="99"/>
      <c r="S1943" s="99"/>
      <c r="T1943" s="99"/>
      <c r="U1943" s="99"/>
      <c r="V1943" s="99"/>
      <c r="W1943" s="105"/>
      <c r="X1943" s="105"/>
      <c r="Y1943" s="105"/>
      <c r="Z1943" s="105"/>
      <c r="AA1943" s="105"/>
      <c r="AB1943" s="105"/>
      <c r="AC1943" s="105"/>
      <c r="AD1943" s="105"/>
      <c r="AE1943" s="105"/>
      <c r="AF1943" s="105"/>
      <c r="AG1943" s="105"/>
      <c r="AH1943" s="105"/>
      <c r="AI1943" s="105"/>
      <c r="AJ1943" s="171"/>
      <c r="AK1943" s="105"/>
      <c r="AL1943" s="91"/>
      <c r="AM1943" s="91"/>
      <c r="AN1943" s="91"/>
      <c r="AO1943" s="105"/>
      <c r="AP1943" s="105"/>
      <c r="AQ1943" s="105"/>
      <c r="AR1943" s="105"/>
      <c r="AS1943" s="105"/>
      <c r="AT1943" s="105"/>
      <c r="AU1943" s="105"/>
      <c r="AV1943" s="105"/>
      <c r="AW1943" s="105"/>
      <c r="AX1943" s="105"/>
      <c r="AY1943" s="105"/>
      <c r="AZ1943" s="105">
        <f>IF($AZ$1785&gt;0,IPMT('Assumptions (MSW)'!$V$6,Model!W$1,'Assumptions (MSW)'!$V$9,'Assumptions (MSW)'!$V$4*Model!$AZ$1785*AVERAGE('Assumptions (MSW)'!$AV$2:$AX$2)/10^9),0)</f>
        <v>0</v>
      </c>
      <c r="BA1943" s="105">
        <f>IF($AZ$1785&gt;0,IPMT('Assumptions (MSW)'!$V$6,Model!X$1,'Assumptions (MSW)'!$V$9,'Assumptions (MSW)'!$V$4*Model!$AZ$1785*AVERAGE('Assumptions (MSW)'!$AV$2:$AX$2)/10^9),0)</f>
        <v>0</v>
      </c>
      <c r="BB1943" s="105">
        <f>IF($AZ$1785&gt;0,IPMT('Assumptions (MSW)'!$V$6,Model!Y$1,'Assumptions (MSW)'!$V$9,'Assumptions (MSW)'!$V$4*Model!$AZ$1785*AVERAGE('Assumptions (MSW)'!$AV$2:$AX$2)/10^9),0)</f>
        <v>0</v>
      </c>
      <c r="BC1943" s="105">
        <f>IF($AZ$1785&gt;0,IPMT('Assumptions (MSW)'!$V$6,Model!Z$1,'Assumptions (MSW)'!$V$9,'Assumptions (MSW)'!$V$4*Model!$AZ$1785*AVERAGE('Assumptions (MSW)'!$AV$2:$AX$2)/10^9),0)</f>
        <v>0</v>
      </c>
      <c r="BD1943" s="105">
        <f>IF($AZ$1785&gt;0,IPMT('Assumptions (MSW)'!$V$6,Model!AA$1,'Assumptions (MSW)'!$V$9,'Assumptions (MSW)'!$V$4*Model!$AZ$1785*AVERAGE('Assumptions (MSW)'!$AV$2:$AX$2)/10^9),0)</f>
        <v>0</v>
      </c>
      <c r="BE1943" s="105">
        <f>IF($AZ$1785&gt;0,IPMT('Assumptions (MSW)'!$V$6,Model!AB$1,'Assumptions (MSW)'!$V$9,'Assumptions (MSW)'!$V$4*Model!$AZ$1785*AVERAGE('Assumptions (MSW)'!$AV$2:$AX$2)/10^9),0)</f>
        <v>0</v>
      </c>
      <c r="BF1943" s="105">
        <f>IF($AZ$1785&gt;0,IPMT('Assumptions (MSW)'!$V$6,Model!AC$1,'Assumptions (MSW)'!$V$9,'Assumptions (MSW)'!$V$4*Model!$AZ$1785*AVERAGE('Assumptions (MSW)'!$AV$2:$AX$2)/10^9),0)</f>
        <v>0</v>
      </c>
      <c r="BG1943" s="105">
        <f>IF($AZ$1785&gt;0,IPMT('Assumptions (MSW)'!$V$6,Model!AD$1,'Assumptions (MSW)'!$V$9,'Assumptions (MSW)'!$V$4*Model!$AZ$1785*AVERAGE('Assumptions (MSW)'!$AV$2:$AX$2)/10^9),0)</f>
        <v>0</v>
      </c>
      <c r="BH1943" s="105">
        <f>IF($AZ$1785&gt;0,IPMT('Assumptions (MSW)'!$V$6,Model!AE$1,'Assumptions (MSW)'!$V$9,'Assumptions (MSW)'!$V$4*Model!$AZ$1785*AVERAGE('Assumptions (MSW)'!$AV$2:$AX$2)/10^9),0)</f>
        <v>0</v>
      </c>
      <c r="BI1943" s="105">
        <f>IF($AZ$1785&gt;0,IPMT('Assumptions (MSW)'!$V$6,Model!AF$1,'Assumptions (MSW)'!$V$9,'Assumptions (MSW)'!$V$4*Model!$AZ$1785*AVERAGE('Assumptions (MSW)'!$AV$2:$AX$2)/10^9),0)</f>
        <v>0</v>
      </c>
      <c r="BJ1943" s="105">
        <f>IF($AZ$1785&gt;0,IPMT('Assumptions (MSW)'!$V$6,Model!AG$1,'Assumptions (MSW)'!$V$9,'Assumptions (MSW)'!$V$4*Model!$AZ$1785*AVERAGE('Assumptions (MSW)'!$AV$2:$AX$2)/10^9),0)</f>
        <v>0</v>
      </c>
      <c r="BK1943" s="105">
        <f>IF($AZ$1785&gt;0,IPMT('Assumptions (MSW)'!$V$6,Model!AH$1,'Assumptions (MSW)'!$V$9,'Assumptions (MSW)'!$V$4*Model!$AZ$1785*AVERAGE('Assumptions (MSW)'!$AV$2:$AX$2)/10^9),0)</f>
        <v>0</v>
      </c>
      <c r="BL1943" s="105">
        <f>IF($AZ$1785&gt;0,IPMT('Assumptions (MSW)'!$V$6,Model!AI$1,'Assumptions (MSW)'!$V$9,'Assumptions (MSW)'!$V$4*Model!$AZ$1785*AVERAGE('Assumptions (MSW)'!$AV$2:$AX$2)/10^9),0)</f>
        <v>0</v>
      </c>
      <c r="BM1943" s="105">
        <f>IF($AZ$1785&gt;0,IPMT('Assumptions (MSW)'!$V$6,Model!AJ$1,'Assumptions (MSW)'!$V$9,'Assumptions (MSW)'!$V$4*Model!$AZ$1785*AVERAGE('Assumptions (MSW)'!$AV$2:$AX$2)/10^9),0)</f>
        <v>0</v>
      </c>
      <c r="BN1943" s="105">
        <f>IF($AZ$1785&gt;0,IPMT('Assumptions (MSW)'!$V$6,Model!AK$1,'Assumptions (MSW)'!$V$9,'Assumptions (MSW)'!$V$4*Model!$AZ$1785*AVERAGE('Assumptions (MSW)'!$AV$2:$AX$2)/10^9),0)</f>
        <v>0</v>
      </c>
      <c r="BO1943" s="105"/>
      <c r="BP1943" s="105"/>
    </row>
    <row r="1944" spans="1:68" ht="15.75" hidden="1" customHeight="1" outlineLevel="1">
      <c r="A1944" s="435"/>
      <c r="B1944" s="99"/>
      <c r="C1944" s="99"/>
      <c r="D1944" s="99"/>
      <c r="E1944" s="99"/>
      <c r="F1944" s="99"/>
      <c r="G1944" s="99"/>
      <c r="H1944" s="99"/>
      <c r="I1944" s="99"/>
      <c r="J1944" s="99"/>
      <c r="K1944" s="99"/>
      <c r="L1944" s="99"/>
      <c r="M1944" s="99"/>
      <c r="N1944" s="99"/>
      <c r="O1944" s="99"/>
      <c r="P1944" s="99"/>
      <c r="Q1944" s="99"/>
      <c r="R1944" s="99"/>
      <c r="S1944" s="99"/>
      <c r="T1944" s="99"/>
      <c r="U1944" s="99"/>
      <c r="V1944" s="99"/>
      <c r="W1944" s="105"/>
      <c r="X1944" s="105"/>
      <c r="Y1944" s="105"/>
      <c r="Z1944" s="105"/>
      <c r="AA1944" s="105"/>
      <c r="AB1944" s="105"/>
      <c r="AC1944" s="105"/>
      <c r="AD1944" s="105"/>
      <c r="AE1944" s="105"/>
      <c r="AF1944" s="105"/>
      <c r="AG1944" s="105"/>
      <c r="AH1944" s="105"/>
      <c r="AI1944" s="105"/>
      <c r="AJ1944" s="171"/>
      <c r="AK1944" s="105"/>
      <c r="AL1944" s="91"/>
      <c r="AM1944" s="91"/>
      <c r="AN1944" s="91"/>
      <c r="AO1944" s="105"/>
      <c r="AP1944" s="105"/>
      <c r="AQ1944" s="105"/>
      <c r="AR1944" s="105"/>
      <c r="AS1944" s="105"/>
      <c r="AT1944" s="105"/>
      <c r="AU1944" s="105"/>
      <c r="AV1944" s="105"/>
      <c r="AW1944" s="105"/>
      <c r="AX1944" s="105"/>
      <c r="AY1944" s="105"/>
      <c r="AZ1944" s="105"/>
      <c r="BA1944" s="105">
        <f>IF($BA$1785&gt;0,IPMT('Assumptions (MSW)'!$V$6,Model!W$1,'Assumptions (MSW)'!$V$9,'Assumptions (MSW)'!$V$4*Model!$BA$1785*AVERAGE('Assumptions (MSW)'!$AW$2:$AY$2)/10^9),0)</f>
        <v>0</v>
      </c>
      <c r="BB1944" s="105">
        <f>IF($BA$1785&gt;0,IPMT('Assumptions (MSW)'!$V$6,Model!X$1,'Assumptions (MSW)'!$V$9,'Assumptions (MSW)'!$V$4*Model!$BA$1785*AVERAGE('Assumptions (MSW)'!$AW$2:$AY$2)/10^9),0)</f>
        <v>0</v>
      </c>
      <c r="BC1944" s="105">
        <f>IF($BA$1785&gt;0,IPMT('Assumptions (MSW)'!$V$6,Model!Y$1,'Assumptions (MSW)'!$V$9,'Assumptions (MSW)'!$V$4*Model!$BA$1785*AVERAGE('Assumptions (MSW)'!$AW$2:$AY$2)/10^9),0)</f>
        <v>0</v>
      </c>
      <c r="BD1944" s="105">
        <f>IF($BA$1785&gt;0,IPMT('Assumptions (MSW)'!$V$6,Model!Z$1,'Assumptions (MSW)'!$V$9,'Assumptions (MSW)'!$V$4*Model!$BA$1785*AVERAGE('Assumptions (MSW)'!$AW$2:$AY$2)/10^9),0)</f>
        <v>0</v>
      </c>
      <c r="BE1944" s="105">
        <f>IF($BA$1785&gt;0,IPMT('Assumptions (MSW)'!$V$6,Model!AA$1,'Assumptions (MSW)'!$V$9,'Assumptions (MSW)'!$V$4*Model!$BA$1785*AVERAGE('Assumptions (MSW)'!$AW$2:$AY$2)/10^9),0)</f>
        <v>0</v>
      </c>
      <c r="BF1944" s="105">
        <f>IF($BA$1785&gt;0,IPMT('Assumptions (MSW)'!$V$6,Model!AB$1,'Assumptions (MSW)'!$V$9,'Assumptions (MSW)'!$V$4*Model!$BA$1785*AVERAGE('Assumptions (MSW)'!$AW$2:$AY$2)/10^9),0)</f>
        <v>0</v>
      </c>
      <c r="BG1944" s="105">
        <f>IF($BA$1785&gt;0,IPMT('Assumptions (MSW)'!$V$6,Model!AC$1,'Assumptions (MSW)'!$V$9,'Assumptions (MSW)'!$V$4*Model!$BA$1785*AVERAGE('Assumptions (MSW)'!$AW$2:$AY$2)/10^9),0)</f>
        <v>0</v>
      </c>
      <c r="BH1944" s="105">
        <f>IF($BA$1785&gt;0,IPMT('Assumptions (MSW)'!$V$6,Model!AD$1,'Assumptions (MSW)'!$V$9,'Assumptions (MSW)'!$V$4*Model!$BA$1785*AVERAGE('Assumptions (MSW)'!$AW$2:$AY$2)/10^9),0)</f>
        <v>0</v>
      </c>
      <c r="BI1944" s="105">
        <f>IF($BA$1785&gt;0,IPMT('Assumptions (MSW)'!$V$6,Model!AE$1,'Assumptions (MSW)'!$V$9,'Assumptions (MSW)'!$V$4*Model!$BA$1785*AVERAGE('Assumptions (MSW)'!$AW$2:$AY$2)/10^9),0)</f>
        <v>0</v>
      </c>
      <c r="BJ1944" s="105">
        <f>IF($BA$1785&gt;0,IPMT('Assumptions (MSW)'!$V$6,Model!AF$1,'Assumptions (MSW)'!$V$9,'Assumptions (MSW)'!$V$4*Model!$BA$1785*AVERAGE('Assumptions (MSW)'!$AW$2:$AY$2)/10^9),0)</f>
        <v>0</v>
      </c>
      <c r="BK1944" s="105">
        <f>IF($BA$1785&gt;0,IPMT('Assumptions (MSW)'!$V$6,Model!AG$1,'Assumptions (MSW)'!$V$9,'Assumptions (MSW)'!$V$4*Model!$BA$1785*AVERAGE('Assumptions (MSW)'!$AW$2:$AY$2)/10^9),0)</f>
        <v>0</v>
      </c>
      <c r="BL1944" s="105">
        <f>IF($BA$1785&gt;0,IPMT('Assumptions (MSW)'!$V$6,Model!AH$1,'Assumptions (MSW)'!$V$9,'Assumptions (MSW)'!$V$4*Model!$BA$1785*AVERAGE('Assumptions (MSW)'!$AW$2:$AY$2)/10^9),0)</f>
        <v>0</v>
      </c>
      <c r="BM1944" s="105">
        <f>IF($BA$1785&gt;0,IPMT('Assumptions (MSW)'!$V$6,Model!AI$1,'Assumptions (MSW)'!$V$9,'Assumptions (MSW)'!$V$4*Model!$BA$1785*AVERAGE('Assumptions (MSW)'!$AW$2:$AY$2)/10^9),0)</f>
        <v>0</v>
      </c>
      <c r="BN1944" s="105">
        <f>IF($BA$1785&gt;0,IPMT('Assumptions (MSW)'!$V$6,Model!AJ$1,'Assumptions (MSW)'!$V$9,'Assumptions (MSW)'!$V$4*Model!$BA$1785*AVERAGE('Assumptions (MSW)'!$AW$2:$AY$2)/10^9),0)</f>
        <v>0</v>
      </c>
      <c r="BO1944" s="105">
        <f>IF($BA$1785&gt;0,IPMT('Assumptions (MSW)'!$V$6,Model!AK$1,'Assumptions (MSW)'!$V$9,'Assumptions (MSW)'!$V$4*Model!$BA$1785*AVERAGE('Assumptions (MSW)'!$AW$2:$AY$2)/10^9),0)</f>
        <v>0</v>
      </c>
      <c r="BP1944" s="105"/>
    </row>
    <row r="1945" spans="1:68" ht="15.75" customHeight="1" collapsed="1">
      <c r="A1945" s="437" t="s">
        <v>806</v>
      </c>
      <c r="B1945" s="99" t="s">
        <v>201</v>
      </c>
      <c r="C1945" s="91">
        <f t="shared" ref="C1945:BP1945" si="45">SUM(C1946:C1996)</f>
        <v>7.2362319346576838E-3</v>
      </c>
      <c r="D1945" s="91">
        <f t="shared" si="45"/>
        <v>4.0546431295659144E-2</v>
      </c>
      <c r="E1945" s="91">
        <f t="shared" si="45"/>
        <v>7.0568263307167187E-2</v>
      </c>
      <c r="F1945" s="91">
        <f t="shared" si="45"/>
        <v>9.5493985842327184E-2</v>
      </c>
      <c r="G1945" s="91">
        <f t="shared" si="45"/>
        <v>0.1232476873154584</v>
      </c>
      <c r="H1945" s="91">
        <f t="shared" si="45"/>
        <v>0.13729923684909923</v>
      </c>
      <c r="I1945" s="91">
        <f t="shared" si="45"/>
        <v>0.17717151385665234</v>
      </c>
      <c r="J1945" s="91">
        <f t="shared" si="45"/>
        <v>0.24359593729085227</v>
      </c>
      <c r="K1945" s="91">
        <f t="shared" si="45"/>
        <v>0.30956319088629342</v>
      </c>
      <c r="L1945" s="91">
        <f t="shared" si="45"/>
        <v>0.37316630186311117</v>
      </c>
      <c r="M1945" s="91">
        <f t="shared" si="45"/>
        <v>0.43817540796533455</v>
      </c>
      <c r="N1945" s="91">
        <f t="shared" si="45"/>
        <v>0.50414639370741188</v>
      </c>
      <c r="O1945" s="91">
        <f t="shared" si="45"/>
        <v>0.57963433880227266</v>
      </c>
      <c r="P1945" s="91">
        <f t="shared" si="45"/>
        <v>0.65327468027425151</v>
      </c>
      <c r="Q1945" s="91">
        <f t="shared" si="45"/>
        <v>0.69488368403673539</v>
      </c>
      <c r="R1945" s="91">
        <f t="shared" si="45"/>
        <v>0.72012676618407745</v>
      </c>
      <c r="S1945" s="91">
        <f t="shared" si="45"/>
        <v>0.7313664191421636</v>
      </c>
      <c r="T1945" s="91">
        <f t="shared" si="45"/>
        <v>0.71983027525388998</v>
      </c>
      <c r="U1945" s="91">
        <f t="shared" si="45"/>
        <v>0.68404167527163795</v>
      </c>
      <c r="V1945" s="91">
        <f t="shared" si="45"/>
        <v>0.64293972129384003</v>
      </c>
      <c r="W1945" s="91">
        <f t="shared" si="45"/>
        <v>0.61453343747968803</v>
      </c>
      <c r="X1945" s="91">
        <f t="shared" si="45"/>
        <v>0.57376859163667071</v>
      </c>
      <c r="Y1945" s="91">
        <f t="shared" si="45"/>
        <v>0.5212786042057721</v>
      </c>
      <c r="Z1945" s="91">
        <f t="shared" si="45"/>
        <v>0.46939085533986885</v>
      </c>
      <c r="AA1945" s="91">
        <f t="shared" si="45"/>
        <v>0.41704326925464297</v>
      </c>
      <c r="AB1945" s="91">
        <f t="shared" si="45"/>
        <v>0.36153089646651393</v>
      </c>
      <c r="AC1945" s="91">
        <f t="shared" si="45"/>
        <v>0.30269341727348803</v>
      </c>
      <c r="AD1945" s="91">
        <f t="shared" si="45"/>
        <v>0.23612565022969351</v>
      </c>
      <c r="AE1945" s="91">
        <f t="shared" si="45"/>
        <v>0.16908184041977992</v>
      </c>
      <c r="AF1945" s="91">
        <f t="shared" si="45"/>
        <v>0.11959299696620898</v>
      </c>
      <c r="AG1945" s="91">
        <f t="shared" si="45"/>
        <v>7.7891979660711763E-2</v>
      </c>
      <c r="AH1945" s="91">
        <f t="shared" si="45"/>
        <v>3.6593600709199266E-2</v>
      </c>
      <c r="AI1945" s="91">
        <f t="shared" si="45"/>
        <v>1.0358486105824858E-2</v>
      </c>
      <c r="AJ1945" s="91">
        <f t="shared" si="45"/>
        <v>2.6210652684087164E-3</v>
      </c>
      <c r="AK1945" s="91">
        <f t="shared" si="45"/>
        <v>1.1180131232612302E-3</v>
      </c>
      <c r="AL1945" s="91">
        <f t="shared" si="45"/>
        <v>0</v>
      </c>
      <c r="AM1945" s="91">
        <f t="shared" si="45"/>
        <v>0</v>
      </c>
      <c r="AN1945" s="91">
        <f t="shared" si="45"/>
        <v>0</v>
      </c>
      <c r="AO1945" s="91">
        <f t="shared" si="45"/>
        <v>0</v>
      </c>
      <c r="AP1945" s="91">
        <f t="shared" si="45"/>
        <v>0</v>
      </c>
      <c r="AQ1945" s="91">
        <f t="shared" si="45"/>
        <v>0</v>
      </c>
      <c r="AR1945" s="91">
        <f t="shared" si="45"/>
        <v>0</v>
      </c>
      <c r="AS1945" s="91">
        <f t="shared" si="45"/>
        <v>0</v>
      </c>
      <c r="AT1945" s="91">
        <f t="shared" si="45"/>
        <v>0</v>
      </c>
      <c r="AU1945" s="91">
        <f t="shared" si="45"/>
        <v>0</v>
      </c>
      <c r="AV1945" s="91">
        <f t="shared" si="45"/>
        <v>0</v>
      </c>
      <c r="AW1945" s="91">
        <f t="shared" si="45"/>
        <v>0</v>
      </c>
      <c r="AX1945" s="91">
        <f t="shared" si="45"/>
        <v>0</v>
      </c>
      <c r="AY1945" s="91">
        <f t="shared" si="45"/>
        <v>0</v>
      </c>
      <c r="AZ1945" s="91">
        <f t="shared" si="45"/>
        <v>0</v>
      </c>
      <c r="BA1945" s="91">
        <f t="shared" si="45"/>
        <v>0</v>
      </c>
      <c r="BB1945" s="91">
        <f t="shared" si="45"/>
        <v>0</v>
      </c>
      <c r="BC1945" s="91">
        <f t="shared" si="45"/>
        <v>0</v>
      </c>
      <c r="BD1945" s="91">
        <f t="shared" si="45"/>
        <v>0</v>
      </c>
      <c r="BE1945" s="91">
        <f t="shared" si="45"/>
        <v>0</v>
      </c>
      <c r="BF1945" s="91">
        <f t="shared" si="45"/>
        <v>0</v>
      </c>
      <c r="BG1945" s="91">
        <f t="shared" si="45"/>
        <v>0</v>
      </c>
      <c r="BH1945" s="91">
        <f t="shared" si="45"/>
        <v>0</v>
      </c>
      <c r="BI1945" s="91">
        <f t="shared" si="45"/>
        <v>0</v>
      </c>
      <c r="BJ1945" s="91">
        <f t="shared" si="45"/>
        <v>0</v>
      </c>
      <c r="BK1945" s="91">
        <f t="shared" si="45"/>
        <v>0</v>
      </c>
      <c r="BL1945" s="91">
        <f t="shared" si="45"/>
        <v>0</v>
      </c>
      <c r="BM1945" s="91">
        <f t="shared" si="45"/>
        <v>0</v>
      </c>
      <c r="BN1945" s="91">
        <f t="shared" si="45"/>
        <v>0</v>
      </c>
      <c r="BO1945" s="91">
        <f t="shared" si="45"/>
        <v>0</v>
      </c>
      <c r="BP1945" s="91">
        <f t="shared" si="45"/>
        <v>0</v>
      </c>
    </row>
    <row r="1946" spans="1:68" ht="15.75" hidden="1" customHeight="1" outlineLevel="1">
      <c r="A1946" s="435"/>
      <c r="B1946" s="99"/>
      <c r="C1946" s="167">
        <f>IF($C$1785&gt;0,'Assumptions (MSW)'!V$10*Model!$C$1785*'Assumptions (MSW)'!$B$2/10^9,0)</f>
        <v>7.2362319346576838E-3</v>
      </c>
      <c r="D1946" s="167">
        <f>IF($C$1785&gt;0,'Assumptions (MSW)'!W$10*Model!$C$1785*'Assumptions (MSW)'!$B$2/10^9,0)</f>
        <v>1.3748840675849599E-2</v>
      </c>
      <c r="E1946" s="167">
        <f>IF($C$1785&gt;0,'Assumptions (MSW)'!X$10*Model!$C$1785*'Assumptions (MSW)'!$B$2/10^9,0)</f>
        <v>1.237395660826464E-2</v>
      </c>
      <c r="F1946" s="167">
        <f>IF($C$1785&gt;0,'Assumptions (MSW)'!Y$10*Model!$C$1785*'Assumptions (MSW)'!$B$2/10^9,0)</f>
        <v>1.1143797179372833E-2</v>
      </c>
      <c r="G1946" s="167">
        <f>IF($C$1785&gt;0,'Assumptions (MSW)'!Z$10*Model!$C$1785*'Assumptions (MSW)'!$B$2/10^9,0)</f>
        <v>1.0029417461435548E-2</v>
      </c>
      <c r="H1946" s="167">
        <f>IF($C$1785&gt;0,'Assumptions (MSW)'!AA$10*Model!$C$1785*'Assumptions (MSW)'!$B$2/10^9,0)</f>
        <v>9.0163449905834719E-3</v>
      </c>
      <c r="I1946" s="167">
        <f>IF($C$1785&gt;0,'Assumptions (MSW)'!AB$10*Model!$C$1785*'Assumptions (MSW)'!$B$2/10^9,0)</f>
        <v>8.538753682896064E-3</v>
      </c>
      <c r="J1946" s="167">
        <f>IF($C$1785&gt;0,'Assumptions (MSW)'!AC$10*Model!$C$1785*'Assumptions (MSW)'!$B$2/10^9,0)</f>
        <v>8.538753682896064E-3</v>
      </c>
      <c r="K1946" s="167">
        <f>IF($C$1785&gt;0,'Assumptions (MSW)'!AD$10*Model!$C$1785*'Assumptions (MSW)'!$B$2/10^9,0)</f>
        <v>8.5532261467653817E-3</v>
      </c>
      <c r="L1946" s="167">
        <f>IF($C$1785&gt;0,'Assumptions (MSW)'!AE$10*Model!$C$1785*'Assumptions (MSW)'!$B$2/10^9,0)</f>
        <v>8.538753682896064E-3</v>
      </c>
      <c r="M1946" s="167">
        <f>IF($C$1785&gt;0,'Assumptions (MSW)'!AF$10*Model!$C$1785*'Assumptions (MSW)'!$B$2/10^9,0)</f>
        <v>8.5532261467653817E-3</v>
      </c>
      <c r="N1946" s="167">
        <f>IF($C$1785&gt;0,'Assumptions (MSW)'!AG$10*Model!$C$1785*'Assumptions (MSW)'!$B$2/10^9,0)</f>
        <v>8.538753682896064E-3</v>
      </c>
      <c r="O1946" s="167">
        <f>IF($C$1785&gt;0,'Assumptions (MSW)'!AH$10*Model!$C$1785*'Assumptions (MSW)'!$B$2/10^9,0)</f>
        <v>8.5532261467653817E-3</v>
      </c>
      <c r="P1946" s="167">
        <f>IF($C$1785&gt;0,'Assumptions (MSW)'!AI$10*Model!$C$1785*'Assumptions (MSW)'!$B$2/10^9,0)</f>
        <v>8.538753682896064E-3</v>
      </c>
      <c r="Q1946" s="167">
        <f>IF($C$1785&gt;0,'Assumptions (MSW)'!AJ$10*Model!$C$1785*'Assumptions (MSW)'!$B$2/10^9,0)</f>
        <v>8.5532261467653817E-3</v>
      </c>
      <c r="R1946" s="167">
        <f>IF($C$1785&gt;0,'Assumptions (MSW)'!AK$10*Model!$C$1785*'Assumptions (MSW)'!$B$2/10^9,0)</f>
        <v>4.269376841448032E-3</v>
      </c>
      <c r="S1946" s="91"/>
      <c r="T1946" s="91"/>
      <c r="U1946" s="91"/>
      <c r="V1946" s="91"/>
      <c r="W1946" s="91"/>
      <c r="X1946" s="105"/>
      <c r="Y1946" s="105"/>
      <c r="Z1946" s="105"/>
      <c r="AA1946" s="105"/>
      <c r="AB1946" s="105"/>
      <c r="AC1946" s="105"/>
      <c r="AD1946" s="105"/>
      <c r="AE1946" s="105"/>
      <c r="AF1946" s="105"/>
      <c r="AG1946" s="105"/>
    </row>
    <row r="1947" spans="1:68" ht="15.75" hidden="1" customHeight="1" outlineLevel="1">
      <c r="A1947" s="435"/>
      <c r="B1947" s="99"/>
      <c r="C1947" s="105"/>
      <c r="D1947" s="105">
        <f>IF($D$1785&gt;0,'Assumptions (MSW)'!V$10*Model!$D$1785*'Assumptions (MSW)'!$B$2/10^9,0)</f>
        <v>2.6797590619809547E-2</v>
      </c>
      <c r="E1947" s="105">
        <f>IF($D$1785&gt;0,'Assumptions (MSW)'!W$10*Model!$D$1785*'Assumptions (MSW)'!$B$2/10^9,0)</f>
        <v>5.0915422177638135E-2</v>
      </c>
      <c r="F1947" s="105">
        <f>IF($D$1785&gt;0,'Assumptions (MSW)'!X$10*Model!$D$1785*'Assumptions (MSW)'!$B$2/10^9,0)</f>
        <v>4.5823879959874331E-2</v>
      </c>
      <c r="G1947" s="105">
        <f>IF($D$1785&gt;0,'Assumptions (MSW)'!Y$10*Model!$D$1785*'Assumptions (MSW)'!$B$2/10^9,0)</f>
        <v>4.1268289554506704E-2</v>
      </c>
      <c r="H1947" s="105">
        <f>IF($D$1785&gt;0,'Assumptions (MSW)'!Z$10*Model!$D$1785*'Assumptions (MSW)'!$B$2/10^9,0)</f>
        <v>3.7141460599056035E-2</v>
      </c>
      <c r="I1947" s="105">
        <f>IF($D$1785&gt;0,'Assumptions (MSW)'!AA$10*Model!$D$1785*'Assumptions (MSW)'!$B$2/10^9,0)</f>
        <v>3.33897979122827E-2</v>
      </c>
      <c r="J1947" s="105">
        <f>IF($D$1785&gt;0,'Assumptions (MSW)'!AB$10*Model!$D$1785*'Assumptions (MSW)'!$B$2/10^9,0)</f>
        <v>3.1621156931375259E-2</v>
      </c>
      <c r="K1947" s="105">
        <f>IF($D$1785&gt;0,'Assumptions (MSW)'!AC$10*Model!$D$1785*'Assumptions (MSW)'!$B$2/10^9,0)</f>
        <v>3.1621156931375259E-2</v>
      </c>
      <c r="L1947" s="105">
        <f>IF($D$1785&gt;0,'Assumptions (MSW)'!AD$10*Model!$D$1785*'Assumptions (MSW)'!$B$2/10^9,0)</f>
        <v>3.1674752112614883E-2</v>
      </c>
      <c r="M1947" s="105">
        <f>IF($D$1785&gt;0,'Assumptions (MSW)'!AE$10*Model!$D$1785*'Assumptions (MSW)'!$B$2/10^9,0)</f>
        <v>3.1621156931375259E-2</v>
      </c>
      <c r="N1947" s="105">
        <f>IF($D$1785&gt;0,'Assumptions (MSW)'!AF$10*Model!$D$1785*'Assumptions (MSW)'!$B$2/10^9,0)</f>
        <v>3.1674752112614883E-2</v>
      </c>
      <c r="O1947" s="105">
        <f>IF($D$1785&gt;0,'Assumptions (MSW)'!AG$10*Model!$D$1785*'Assumptions (MSW)'!$B$2/10^9,0)</f>
        <v>3.1621156931375259E-2</v>
      </c>
      <c r="P1947" s="105">
        <f>IF($D$1785&gt;0,'Assumptions (MSW)'!AH$10*Model!$D$1785*'Assumptions (MSW)'!$B$2/10^9,0)</f>
        <v>3.1674752112614883E-2</v>
      </c>
      <c r="Q1947" s="105">
        <f>IF($D$1785&gt;0,'Assumptions (MSW)'!AI$10*Model!$D$1785*'Assumptions (MSW)'!$B$2/10^9,0)</f>
        <v>3.1621156931375259E-2</v>
      </c>
      <c r="R1947" s="105">
        <f>IF($D$1785&gt;0,'Assumptions (MSW)'!AJ$10*Model!$D$1785*'Assumptions (MSW)'!$B$2/10^9,0)</f>
        <v>3.1674752112614883E-2</v>
      </c>
      <c r="S1947" s="105">
        <f>IF($D$1785&gt;0,'Assumptions (MSW)'!AK$10*Model!$D$1785*'Assumptions (MSW)'!$B$2/10^9,0)</f>
        <v>1.581057846568763E-2</v>
      </c>
      <c r="T1947" s="105"/>
      <c r="U1947" s="105"/>
      <c r="V1947" s="105"/>
      <c r="W1947" s="105"/>
      <c r="X1947" s="105"/>
      <c r="Y1947" s="105"/>
      <c r="Z1947" s="105"/>
      <c r="AA1947" s="105"/>
      <c r="AB1947" s="105"/>
      <c r="AC1947" s="105"/>
      <c r="AD1947" s="105"/>
      <c r="AE1947" s="105"/>
      <c r="AF1947" s="105"/>
      <c r="AG1947" s="105"/>
    </row>
    <row r="1948" spans="1:68" ht="15.75" hidden="1" customHeight="1" outlineLevel="1">
      <c r="A1948" s="435"/>
      <c r="B1948" s="99"/>
      <c r="C1948" s="105"/>
      <c r="D1948" s="105"/>
      <c r="E1948" s="105">
        <f>IF($E$1785&gt;0,'Assumptions (MSW)'!V$10*Model!$E$1785*AVERAGE('Assumptions (MSW)'!$B$2:$C$2)/10^9,0)</f>
        <v>7.278884521264406E-3</v>
      </c>
      <c r="F1948" s="105">
        <f>IF($E$1785&gt;0,'Assumptions (MSW)'!W$10*Model!$E$1785*AVERAGE('Assumptions (MSW)'!$B$2:$C$2)/10^9,0)</f>
        <v>1.382988059040237E-2</v>
      </c>
      <c r="G1948" s="105">
        <f>IF($E$1785&gt;0,'Assumptions (MSW)'!X$10*Model!$E$1785*AVERAGE('Assumptions (MSW)'!$B$2:$C$2)/10^9,0)</f>
        <v>1.2446892531362134E-2</v>
      </c>
      <c r="H1948" s="105">
        <f>IF($E$1785&gt;0,'Assumptions (MSW)'!Y$10*Model!$E$1785*AVERAGE('Assumptions (MSW)'!$B$2:$C$2)/10^9,0)</f>
        <v>1.1209482162747184E-2</v>
      </c>
      <c r="I1948" s="105">
        <f>IF($E$1785&gt;0,'Assumptions (MSW)'!Z$10*Model!$E$1785*AVERAGE('Assumptions (MSW)'!$B$2:$C$2)/10^9,0)</f>
        <v>1.0088533946472467E-2</v>
      </c>
      <c r="J1948" s="105">
        <f>IF($E$1785&gt;0,'Assumptions (MSW)'!AA$10*Model!$E$1785*AVERAGE('Assumptions (MSW)'!$B$2:$C$2)/10^9,0)</f>
        <v>9.0694901134954504E-3</v>
      </c>
      <c r="K1948" s="105">
        <f>IF($E$1785&gt;0,'Assumptions (MSW)'!AB$10*Model!$E$1785*AVERAGE('Assumptions (MSW)'!$B$2:$C$2)/10^9,0)</f>
        <v>8.5890837350919985E-3</v>
      </c>
      <c r="L1948" s="105">
        <f>IF($E$1785&gt;0,'Assumptions (MSW)'!AC$10*Model!$E$1785*AVERAGE('Assumptions (MSW)'!$B$2:$C$2)/10^9,0)</f>
        <v>8.5890837350919985E-3</v>
      </c>
      <c r="M1948" s="105">
        <f>IF($E$1785&gt;0,'Assumptions (MSW)'!AD$10*Model!$E$1785*AVERAGE('Assumptions (MSW)'!$B$2:$C$2)/10^9,0)</f>
        <v>8.6036415041345279E-3</v>
      </c>
      <c r="N1948" s="105">
        <f>IF($E$1785&gt;0,'Assumptions (MSW)'!AE$10*Model!$E$1785*AVERAGE('Assumptions (MSW)'!$B$2:$C$2)/10^9,0)</f>
        <v>8.5890837350919985E-3</v>
      </c>
      <c r="O1948" s="105">
        <f>IF($E$1785&gt;0,'Assumptions (MSW)'!AF$10*Model!$E$1785*AVERAGE('Assumptions (MSW)'!$B$2:$C$2)/10^9,0)</f>
        <v>8.6036415041345279E-3</v>
      </c>
      <c r="P1948" s="105">
        <f>IF($E$1785&gt;0,'Assumptions (MSW)'!AG$10*Model!$E$1785*AVERAGE('Assumptions (MSW)'!$B$2:$C$2)/10^9,0)</f>
        <v>8.5890837350919985E-3</v>
      </c>
      <c r="Q1948" s="105">
        <f>IF($E$1785&gt;0,'Assumptions (MSW)'!AH$10*Model!$E$1785*AVERAGE('Assumptions (MSW)'!$B$2:$C$2)/10^9,0)</f>
        <v>8.6036415041345279E-3</v>
      </c>
      <c r="R1948" s="105">
        <f>IF($E$1785&gt;0,'Assumptions (MSW)'!AI$10*Model!$E$1785*AVERAGE('Assumptions (MSW)'!$B$2:$C$2)/10^9,0)</f>
        <v>8.5890837350919985E-3</v>
      </c>
      <c r="S1948" s="105">
        <f>IF($E$1785&gt;0,'Assumptions (MSW)'!AJ$10*Model!$E$1785*AVERAGE('Assumptions (MSW)'!$B$2:$C$2)/10^9,0)</f>
        <v>8.6036415041345279E-3</v>
      </c>
      <c r="T1948" s="105">
        <f>IF($E$1785&gt;0,'Assumptions (MSW)'!AK$10*Model!$E$1785*AVERAGE('Assumptions (MSW)'!$B$2:$C$2)/10^9,0)</f>
        <v>4.2945418675459993E-3</v>
      </c>
      <c r="U1948" s="105"/>
      <c r="V1948" s="105"/>
      <c r="W1948" s="105"/>
      <c r="X1948" s="105"/>
      <c r="Y1948" s="105"/>
      <c r="Z1948" s="105"/>
      <c r="AA1948" s="105"/>
      <c r="AB1948" s="105"/>
      <c r="AC1948" s="105"/>
      <c r="AD1948" s="105"/>
      <c r="AE1948" s="105"/>
      <c r="AF1948" s="105"/>
      <c r="AG1948" s="105"/>
    </row>
    <row r="1949" spans="1:68" ht="15.75" hidden="1" customHeight="1" outlineLevel="1">
      <c r="A1949" s="435"/>
      <c r="B1949" s="99"/>
      <c r="C1949" s="105"/>
      <c r="D1949" s="105"/>
      <c r="E1949" s="105"/>
      <c r="F1949" s="105">
        <f>IF($F$1785&gt;0,'Assumptions (MSW)'!V$10*Model!$F$1785*AVERAGE('Assumptions (MSW)'!$B$2:$D$2)/10^9,0)</f>
        <v>2.4696428112677651E-2</v>
      </c>
      <c r="G1949" s="105">
        <f>IF($F$1785&gt;0,'Assumptions (MSW)'!W$10*Model!$F$1785*AVERAGE('Assumptions (MSW)'!$B$2:$D$2)/10^9,0)</f>
        <v>4.6923213414087533E-2</v>
      </c>
      <c r="H1949" s="105">
        <f>IF($F$1785&gt;0,'Assumptions (MSW)'!X$10*Model!$F$1785*AVERAGE('Assumptions (MSW)'!$B$2:$D$2)/10^9,0)</f>
        <v>4.2230892072678793E-2</v>
      </c>
      <c r="I1949" s="105">
        <f>IF($F$1785&gt;0,'Assumptions (MSW)'!Y$10*Model!$F$1785*AVERAGE('Assumptions (MSW)'!$B$2:$D$2)/10^9,0)</f>
        <v>3.8032499293523578E-2</v>
      </c>
      <c r="J1949" s="105">
        <f>IF($F$1785&gt;0,'Assumptions (MSW)'!Z$10*Model!$F$1785*AVERAGE('Assumptions (MSW)'!$B$2:$D$2)/10^9,0)</f>
        <v>3.4229249364171224E-2</v>
      </c>
      <c r="K1949" s="105">
        <f>IF($F$1785&gt;0,'Assumptions (MSW)'!AA$10*Model!$F$1785*AVERAGE('Assumptions (MSW)'!$B$2:$D$2)/10^9,0)</f>
        <v>3.0771749428396354E-2</v>
      </c>
      <c r="L1949" s="105">
        <f>IF($F$1785&gt;0,'Assumptions (MSW)'!AB$10*Model!$F$1785*AVERAGE('Assumptions (MSW)'!$B$2:$D$2)/10^9,0)</f>
        <v>2.9141785172959626E-2</v>
      </c>
      <c r="M1949" s="105">
        <f>IF($F$1785&gt;0,'Assumptions (MSW)'!AC$10*Model!$F$1785*AVERAGE('Assumptions (MSW)'!$B$2:$D$2)/10^9,0)</f>
        <v>2.9141785172959626E-2</v>
      </c>
      <c r="N1949" s="105">
        <f>IF($F$1785&gt;0,'Assumptions (MSW)'!AD$10*Model!$F$1785*AVERAGE('Assumptions (MSW)'!$B$2:$D$2)/10^9,0)</f>
        <v>2.9191178029184982E-2</v>
      </c>
      <c r="O1949" s="105">
        <f>IF($F$1785&gt;0,'Assumptions (MSW)'!AE$10*Model!$F$1785*AVERAGE('Assumptions (MSW)'!$B$2:$D$2)/10^9,0)</f>
        <v>2.9141785172959626E-2</v>
      </c>
      <c r="P1949" s="105">
        <f>IF($F$1785&gt;0,'Assumptions (MSW)'!AF$10*Model!$F$1785*AVERAGE('Assumptions (MSW)'!$B$2:$D$2)/10^9,0)</f>
        <v>2.9191178029184982E-2</v>
      </c>
      <c r="Q1949" s="105">
        <f>IF($F$1785&gt;0,'Assumptions (MSW)'!AG$10*Model!$F$1785*AVERAGE('Assumptions (MSW)'!$B$2:$D$2)/10^9,0)</f>
        <v>2.9141785172959626E-2</v>
      </c>
      <c r="R1949" s="105">
        <f>IF($F$1785&gt;0,'Assumptions (MSW)'!AH$10*Model!$F$1785*AVERAGE('Assumptions (MSW)'!$B$2:$D$2)/10^9,0)</f>
        <v>2.9191178029184982E-2</v>
      </c>
      <c r="S1949" s="105">
        <f>IF($F$1785&gt;0,'Assumptions (MSW)'!AI$10*Model!$F$1785*AVERAGE('Assumptions (MSW)'!$B$2:$D$2)/10^9,0)</f>
        <v>2.9141785172959626E-2</v>
      </c>
      <c r="T1949" s="105">
        <f>IF($F$1785&gt;0,'Assumptions (MSW)'!AJ$10*Model!$F$1785*AVERAGE('Assumptions (MSW)'!$B$2:$D$2)/10^9,0)</f>
        <v>2.9191178029184982E-2</v>
      </c>
      <c r="U1949" s="105">
        <f>IF($F$1785&gt;0,'Assumptions (MSW)'!AK$10*Model!$F$1785*AVERAGE('Assumptions (MSW)'!$B$2:$D$2)/10^9,0)</f>
        <v>1.4570892586479813E-2</v>
      </c>
      <c r="V1949" s="105"/>
      <c r="W1949" s="105"/>
      <c r="X1949" s="105"/>
      <c r="Y1949" s="105"/>
      <c r="Z1949" s="105"/>
      <c r="AA1949" s="105"/>
      <c r="AB1949" s="105"/>
      <c r="AC1949" s="105"/>
      <c r="AD1949" s="105"/>
      <c r="AE1949" s="105"/>
      <c r="AF1949" s="105"/>
      <c r="AG1949" s="105"/>
    </row>
    <row r="1950" spans="1:68" ht="15.75" hidden="1" customHeight="1" outlineLevel="1">
      <c r="A1950" s="435"/>
      <c r="B1950" s="99"/>
      <c r="C1950" s="105"/>
      <c r="D1950" s="105"/>
      <c r="E1950" s="105"/>
      <c r="F1950" s="105"/>
      <c r="G1950" s="105">
        <f>IF($G$1785&gt;0,'Assumptions (MSW)'!V$10*Model!$G$1785*AVERAGE('Assumptions (MSW)'!$C$2:$E$2)/10^9,0)</f>
        <v>1.2579874354066493E-2</v>
      </c>
      <c r="H1950" s="105">
        <f>IF($G$1785&gt;0,'Assumptions (MSW)'!W$10*Model!$G$1785*AVERAGE('Assumptions (MSW)'!$C$2:$E$2)/10^9,0)</f>
        <v>2.3901761272726335E-2</v>
      </c>
      <c r="I1950" s="105">
        <f>IF($G$1785&gt;0,'Assumptions (MSW)'!X$10*Model!$G$1785*AVERAGE('Assumptions (MSW)'!$C$2:$E$2)/10^9,0)</f>
        <v>2.1511585145453704E-2</v>
      </c>
      <c r="J1950" s="105">
        <f>IF($G$1785&gt;0,'Assumptions (MSW)'!Y$10*Model!$G$1785*AVERAGE('Assumptions (MSW)'!$C$2:$E$2)/10^9,0)</f>
        <v>1.9373006505262396E-2</v>
      </c>
      <c r="K1950" s="105">
        <f>IF($G$1785&gt;0,'Assumptions (MSW)'!Z$10*Model!$G$1785*AVERAGE('Assumptions (MSW)'!$C$2:$E$2)/10^9,0)</f>
        <v>1.7435705854736156E-2</v>
      </c>
      <c r="L1950" s="105">
        <f>IF($G$1785&gt;0,'Assumptions (MSW)'!AA$10*Model!$G$1785*AVERAGE('Assumptions (MSW)'!$C$2:$E$2)/10^9,0)</f>
        <v>1.5674523445166847E-2</v>
      </c>
      <c r="M1950" s="105">
        <f>IF($G$1785&gt;0,'Assumptions (MSW)'!AB$10*Model!$G$1785*AVERAGE('Assumptions (MSW)'!$C$2:$E$2)/10^9,0)</f>
        <v>1.484425173779846E-2</v>
      </c>
      <c r="N1950" s="105">
        <f>IF($G$1785&gt;0,'Assumptions (MSW)'!AC$10*Model!$G$1785*AVERAGE('Assumptions (MSW)'!$C$2:$E$2)/10^9,0)</f>
        <v>1.484425173779846E-2</v>
      </c>
      <c r="O1950" s="105">
        <f>IF($G$1785&gt;0,'Assumptions (MSW)'!AD$10*Model!$G$1785*AVERAGE('Assumptions (MSW)'!$C$2:$E$2)/10^9,0)</f>
        <v>1.4869411486506593E-2</v>
      </c>
      <c r="P1950" s="105">
        <f>IF($G$1785&gt;0,'Assumptions (MSW)'!AE$10*Model!$G$1785*AVERAGE('Assumptions (MSW)'!$C$2:$E$2)/10^9,0)</f>
        <v>1.484425173779846E-2</v>
      </c>
      <c r="Q1950" s="105">
        <f>IF($G$1785&gt;0,'Assumptions (MSW)'!AF$10*Model!$G$1785*AVERAGE('Assumptions (MSW)'!$C$2:$E$2)/10^9,0)</f>
        <v>1.4869411486506593E-2</v>
      </c>
      <c r="R1950" s="105">
        <f>IF($G$1785&gt;0,'Assumptions (MSW)'!AG$10*Model!$G$1785*AVERAGE('Assumptions (MSW)'!$C$2:$E$2)/10^9,0)</f>
        <v>1.484425173779846E-2</v>
      </c>
      <c r="S1950" s="105">
        <f>IF($G$1785&gt;0,'Assumptions (MSW)'!AH$10*Model!$G$1785*AVERAGE('Assumptions (MSW)'!$C$2:$E$2)/10^9,0)</f>
        <v>1.4869411486506593E-2</v>
      </c>
      <c r="T1950" s="105">
        <f>IF($G$1785&gt;0,'Assumptions (MSW)'!AI$10*Model!$G$1785*AVERAGE('Assumptions (MSW)'!$C$2:$E$2)/10^9,0)</f>
        <v>1.484425173779846E-2</v>
      </c>
      <c r="U1950" s="105">
        <f>IF($G$1785&gt;0,'Assumptions (MSW)'!AJ$10*Model!$G$1785*AVERAGE('Assumptions (MSW)'!$C$2:$E$2)/10^9,0)</f>
        <v>1.4869411486506593E-2</v>
      </c>
      <c r="V1950" s="105">
        <f>IF($G$1785&gt;0,'Assumptions (MSW)'!AK$10*Model!$G$1785*AVERAGE('Assumptions (MSW)'!$C$2:$E$2)/10^9,0)</f>
        <v>7.4221258688992302E-3</v>
      </c>
      <c r="W1950" s="105"/>
      <c r="X1950" s="105"/>
      <c r="Y1950" s="105"/>
      <c r="Z1950" s="105"/>
      <c r="AA1950" s="105"/>
      <c r="AB1950" s="105"/>
      <c r="AC1950" s="105"/>
      <c r="AD1950" s="105"/>
      <c r="AE1950" s="105"/>
      <c r="AF1950" s="105"/>
      <c r="AG1950" s="105"/>
    </row>
    <row r="1951" spans="1:68" ht="15.75" hidden="1" customHeight="1" outlineLevel="1">
      <c r="A1951" s="435"/>
      <c r="B1951" s="99"/>
      <c r="C1951" s="105"/>
      <c r="D1951" s="105"/>
      <c r="E1951" s="105"/>
      <c r="F1951" s="105"/>
      <c r="G1951" s="105"/>
      <c r="H1951" s="105">
        <f>IF($H$1785&gt;0,'Assumptions (MSW)'!V$10*Model!$H$1785*AVERAGE('Assumptions (MSW)'!$D$2:$F$2)/10^9,0)</f>
        <v>1.3799295751307394E-2</v>
      </c>
      <c r="I1951" s="105">
        <f>IF($H$1785&gt;0,'Assumptions (MSW)'!W$10*Model!$H$1785*AVERAGE('Assumptions (MSW)'!$D$2:$F$2)/10^9,0)</f>
        <v>2.6218661927484052E-2</v>
      </c>
      <c r="J1951" s="105">
        <f>IF($H$1785&gt;0,'Assumptions (MSW)'!X$10*Model!$H$1785*AVERAGE('Assumptions (MSW)'!$D$2:$F$2)/10^9,0)</f>
        <v>2.3596795734735644E-2</v>
      </c>
      <c r="K1951" s="105">
        <f>IF($H$1785&gt;0,'Assumptions (MSW)'!Y$10*Model!$H$1785*AVERAGE('Assumptions (MSW)'!$D$2:$F$2)/10^9,0)</f>
        <v>2.1250915457013384E-2</v>
      </c>
      <c r="L1951" s="105">
        <f>IF($H$1785&gt;0,'Assumptions (MSW)'!Z$10*Model!$H$1785*AVERAGE('Assumptions (MSW)'!$D$2:$F$2)/10^9,0)</f>
        <v>1.9125823911312047E-2</v>
      </c>
      <c r="M1951" s="105">
        <f>IF($H$1785&gt;0,'Assumptions (MSW)'!AA$10*Model!$H$1785*AVERAGE('Assumptions (MSW)'!$D$2:$F$2)/10^9,0)</f>
        <v>1.7193922506129014E-2</v>
      </c>
      <c r="N1951" s="105">
        <f>IF($H$1785&gt;0,'Assumptions (MSW)'!AB$10*Model!$H$1785*AVERAGE('Assumptions (MSW)'!$D$2:$F$2)/10^9,0)</f>
        <v>1.6283168986542723E-2</v>
      </c>
      <c r="O1951" s="105">
        <f>IF($H$1785&gt;0,'Assumptions (MSW)'!AC$10*Model!$H$1785*AVERAGE('Assumptions (MSW)'!$D$2:$F$2)/10^9,0)</f>
        <v>1.6283168986542723E-2</v>
      </c>
      <c r="P1951" s="105">
        <f>IF($H$1785&gt;0,'Assumptions (MSW)'!AD$10*Model!$H$1785*AVERAGE('Assumptions (MSW)'!$D$2:$F$2)/10^9,0)</f>
        <v>1.6310767578045338E-2</v>
      </c>
      <c r="Q1951" s="105">
        <f>IF($H$1785&gt;0,'Assumptions (MSW)'!AE$10*Model!$H$1785*AVERAGE('Assumptions (MSW)'!$D$2:$F$2)/10^9,0)</f>
        <v>1.6283168986542723E-2</v>
      </c>
      <c r="R1951" s="105">
        <f>IF($H$1785&gt;0,'Assumptions (MSW)'!AF$10*Model!$H$1785*AVERAGE('Assumptions (MSW)'!$D$2:$F$2)/10^9,0)</f>
        <v>1.6310767578045338E-2</v>
      </c>
      <c r="S1951" s="105">
        <f>IF($H$1785&gt;0,'Assumptions (MSW)'!AG$10*Model!$H$1785*AVERAGE('Assumptions (MSW)'!$D$2:$F$2)/10^9,0)</f>
        <v>1.6283168986542723E-2</v>
      </c>
      <c r="T1951" s="105">
        <f>IF($H$1785&gt;0,'Assumptions (MSW)'!AH$10*Model!$H$1785*AVERAGE('Assumptions (MSW)'!$D$2:$F$2)/10^9,0)</f>
        <v>1.6310767578045338E-2</v>
      </c>
      <c r="U1951" s="105">
        <f>IF($H$1785&gt;0,'Assumptions (MSW)'!AI$10*Model!$H$1785*AVERAGE('Assumptions (MSW)'!$D$2:$F$2)/10^9,0)</f>
        <v>1.6283168986542723E-2</v>
      </c>
      <c r="V1951" s="105">
        <f>IF($H$1785&gt;0,'Assumptions (MSW)'!AJ$10*Model!$H$1785*AVERAGE('Assumptions (MSW)'!$D$2:$F$2)/10^9,0)</f>
        <v>1.6310767578045338E-2</v>
      </c>
      <c r="W1951" s="105">
        <f>IF($H$1785&gt;0,'Assumptions (MSW)'!AK$10*Model!$H$1785*AVERAGE('Assumptions (MSW)'!$D$2:$F$2)/10^9,0)</f>
        <v>8.1415844932713616E-3</v>
      </c>
      <c r="X1951" s="105"/>
      <c r="Y1951" s="105"/>
      <c r="Z1951" s="105"/>
      <c r="AA1951" s="105"/>
      <c r="AB1951" s="105"/>
      <c r="AC1951" s="105"/>
      <c r="AD1951" s="105"/>
      <c r="AE1951" s="105"/>
      <c r="AF1951" s="105"/>
      <c r="AG1951" s="105"/>
    </row>
    <row r="1952" spans="1:68" ht="15.75" hidden="1" customHeight="1" outlineLevel="1">
      <c r="A1952" s="435"/>
      <c r="B1952" s="99"/>
      <c r="C1952" s="105"/>
      <c r="D1952" s="105"/>
      <c r="E1952" s="105"/>
      <c r="F1952" s="105"/>
      <c r="G1952" s="105"/>
      <c r="H1952" s="105"/>
      <c r="I1952" s="105">
        <f>IF($I$1785&gt;0,'Assumptions (MSW)'!V$10*Model!$I$1785*AVERAGE('Assumptions (MSW)'!$E$2:$G$2)/10^9,0)</f>
        <v>3.9391681948539793E-2</v>
      </c>
      <c r="J1952" s="105">
        <f>IF($I$1785&gt;0,'Assumptions (MSW)'!W$10*Model!$I$1785*AVERAGE('Assumptions (MSW)'!$E$2:$G$2)/10^9,0)</f>
        <v>7.4844195702225613E-2</v>
      </c>
      <c r="K1952" s="105">
        <f>IF($I$1785&gt;0,'Assumptions (MSW)'!X$10*Model!$I$1785*AVERAGE('Assumptions (MSW)'!$E$2:$G$2)/10^9,0)</f>
        <v>6.7359776132003057E-2</v>
      </c>
      <c r="L1952" s="105">
        <f>IF($I$1785&gt;0,'Assumptions (MSW)'!Y$10*Model!$I$1785*AVERAGE('Assumptions (MSW)'!$E$2:$G$2)/10^9,0)</f>
        <v>6.0663190200751282E-2</v>
      </c>
      <c r="M1952" s="105">
        <f>IF($I$1785&gt;0,'Assumptions (MSW)'!Z$10*Model!$I$1785*AVERAGE('Assumptions (MSW)'!$E$2:$G$2)/10^9,0)</f>
        <v>5.4596871180676146E-2</v>
      </c>
      <c r="N1952" s="105">
        <f>IF($I$1785&gt;0,'Assumptions (MSW)'!AA$10*Model!$I$1785*AVERAGE('Assumptions (MSW)'!$E$2:$G$2)/10^9,0)</f>
        <v>4.9082035707880584E-2</v>
      </c>
      <c r="O1952" s="105">
        <f>IF($I$1785&gt;0,'Assumptions (MSW)'!AB$10*Model!$I$1785*AVERAGE('Assumptions (MSW)'!$E$2:$G$2)/10^9,0)</f>
        <v>4.6482184699276952E-2</v>
      </c>
      <c r="P1952" s="105">
        <f>IF($I$1785&gt;0,'Assumptions (MSW)'!AC$10*Model!$I$1785*AVERAGE('Assumptions (MSW)'!$E$2:$G$2)/10^9,0)</f>
        <v>4.6482184699276952E-2</v>
      </c>
      <c r="Q1952" s="105">
        <f>IF($I$1785&gt;0,'Assumptions (MSW)'!AD$10*Model!$I$1785*AVERAGE('Assumptions (MSW)'!$E$2:$G$2)/10^9,0)</f>
        <v>4.656096806317403E-2</v>
      </c>
      <c r="R1952" s="105">
        <f>IF($I$1785&gt;0,'Assumptions (MSW)'!AE$10*Model!$I$1785*AVERAGE('Assumptions (MSW)'!$E$2:$G$2)/10^9,0)</f>
        <v>4.6482184699276952E-2</v>
      </c>
      <c r="S1952" s="105">
        <f>IF($I$1785&gt;0,'Assumptions (MSW)'!AF$10*Model!$I$1785*AVERAGE('Assumptions (MSW)'!$E$2:$G$2)/10^9,0)</f>
        <v>4.656096806317403E-2</v>
      </c>
      <c r="T1952" s="105">
        <f>IF($I$1785&gt;0,'Assumptions (MSW)'!AG$10*Model!$I$1785*AVERAGE('Assumptions (MSW)'!$E$2:$G$2)/10^9,0)</f>
        <v>4.6482184699276952E-2</v>
      </c>
      <c r="U1952" s="105">
        <f>IF($I$1785&gt;0,'Assumptions (MSW)'!AH$10*Model!$I$1785*AVERAGE('Assumptions (MSW)'!$E$2:$G$2)/10^9,0)</f>
        <v>4.656096806317403E-2</v>
      </c>
      <c r="V1952" s="105">
        <f>IF($I$1785&gt;0,'Assumptions (MSW)'!AI$10*Model!$I$1785*AVERAGE('Assumptions (MSW)'!$E$2:$G$2)/10^9,0)</f>
        <v>4.6482184699276952E-2</v>
      </c>
      <c r="W1952" s="105">
        <f>IF($I$1785&gt;0,'Assumptions (MSW)'!AJ$10*Model!$I$1785*AVERAGE('Assumptions (MSW)'!$E$2:$G$2)/10^9,0)</f>
        <v>4.656096806317403E-2</v>
      </c>
      <c r="X1952" s="105">
        <f>IF($I$1785&gt;0,'Assumptions (MSW)'!AK$10*Model!$I$1785*AVERAGE('Assumptions (MSW)'!$E$2:$G$2)/10^9,0)</f>
        <v>2.3241092349638476E-2</v>
      </c>
      <c r="Y1952" s="105"/>
      <c r="Z1952" s="105"/>
      <c r="AA1952" s="105"/>
      <c r="AB1952" s="105"/>
      <c r="AC1952" s="105"/>
      <c r="AD1952" s="105"/>
      <c r="AE1952" s="105"/>
      <c r="AF1952" s="105"/>
      <c r="AG1952" s="105"/>
    </row>
    <row r="1953" spans="1:53" ht="15.75" hidden="1" customHeight="1" outlineLevel="1">
      <c r="A1953" s="435"/>
      <c r="B1953" s="99"/>
      <c r="C1953" s="105"/>
      <c r="D1953" s="105"/>
      <c r="E1953" s="105"/>
      <c r="F1953" s="105"/>
      <c r="G1953" s="105"/>
      <c r="H1953" s="105"/>
      <c r="I1953" s="105"/>
      <c r="J1953" s="105">
        <f>IF($J$1785&gt;0,'Assumptions (MSW)'!V$10*Model!$J$1785*AVERAGE('Assumptions (MSW)'!$F$2:$H$2)/10^9,0)</f>
        <v>4.232328925669062E-2</v>
      </c>
      <c r="K1953" s="105">
        <f>IF($J$1785&gt;0,'Assumptions (MSW)'!W$10*Model!$J$1785*AVERAGE('Assumptions (MSW)'!$F$2:$H$2)/10^9,0)</f>
        <v>8.0414249587712178E-2</v>
      </c>
      <c r="L1953" s="105">
        <f>IF($J$1785&gt;0,'Assumptions (MSW)'!X$10*Model!$J$1785*AVERAGE('Assumptions (MSW)'!$F$2:$H$2)/10^9,0)</f>
        <v>7.2372824628940971E-2</v>
      </c>
      <c r="M1953" s="105">
        <f>IF($J$1785&gt;0,'Assumptions (MSW)'!Y$10*Model!$J$1785*AVERAGE('Assumptions (MSW)'!$F$2:$H$2)/10^9,0)</f>
        <v>6.517786545530356E-2</v>
      </c>
      <c r="N1953" s="105">
        <f>IF($J$1785&gt;0,'Assumptions (MSW)'!Z$10*Model!$J$1785*AVERAGE('Assumptions (MSW)'!$F$2:$H$2)/10^9,0)</f>
        <v>5.8660078909773199E-2</v>
      </c>
      <c r="O1953" s="105">
        <f>IF($J$1785&gt;0,'Assumptions (MSW)'!AA$10*Model!$J$1785*AVERAGE('Assumptions (MSW)'!$F$2:$H$2)/10^9,0)</f>
        <v>5.2734818413836516E-2</v>
      </c>
      <c r="P1953" s="105">
        <f>IF($J$1785&gt;0,'Assumptions (MSW)'!AB$10*Model!$J$1785*AVERAGE('Assumptions (MSW)'!$F$2:$H$2)/10^9,0)</f>
        <v>4.9941481322894929E-2</v>
      </c>
      <c r="Q1953" s="105">
        <f>IF($J$1785&gt;0,'Assumptions (MSW)'!AC$10*Model!$J$1785*AVERAGE('Assumptions (MSW)'!$F$2:$H$2)/10^9,0)</f>
        <v>4.9941481322894929E-2</v>
      </c>
      <c r="R1953" s="105">
        <f>IF($J$1785&gt;0,'Assumptions (MSW)'!AD$10*Model!$J$1785*AVERAGE('Assumptions (MSW)'!$F$2:$H$2)/10^9,0)</f>
        <v>5.0026127901408313E-2</v>
      </c>
      <c r="S1953" s="105">
        <f>IF($J$1785&gt;0,'Assumptions (MSW)'!AE$10*Model!$J$1785*AVERAGE('Assumptions (MSW)'!$F$2:$H$2)/10^9,0)</f>
        <v>4.9941481322894929E-2</v>
      </c>
      <c r="T1953" s="105">
        <f>IF($J$1785&gt;0,'Assumptions (MSW)'!AF$10*Model!$J$1785*AVERAGE('Assumptions (MSW)'!$F$2:$H$2)/10^9,0)</f>
        <v>5.0026127901408313E-2</v>
      </c>
      <c r="U1953" s="105">
        <f>IF($J$1785&gt;0,'Assumptions (MSW)'!AG$10*Model!$J$1785*AVERAGE('Assumptions (MSW)'!$F$2:$H$2)/10^9,0)</f>
        <v>4.9941481322894929E-2</v>
      </c>
      <c r="V1953" s="105">
        <f>IF($J$1785&gt;0,'Assumptions (MSW)'!AH$10*Model!$J$1785*AVERAGE('Assumptions (MSW)'!$F$2:$H$2)/10^9,0)</f>
        <v>5.0026127901408313E-2</v>
      </c>
      <c r="W1953" s="105">
        <f>IF($J$1785&gt;0,'Assumptions (MSW)'!AI$10*Model!$J$1785*AVERAGE('Assumptions (MSW)'!$F$2:$H$2)/10^9,0)</f>
        <v>4.9941481322894929E-2</v>
      </c>
      <c r="X1953" s="105">
        <f>IF($J$1785&gt;0,'Assumptions (MSW)'!AJ$10*Model!$J$1785*AVERAGE('Assumptions (MSW)'!$F$2:$H$2)/10^9,0)</f>
        <v>5.0026127901408313E-2</v>
      </c>
      <c r="Y1953" s="105">
        <f>IF($J$1785&gt;0,'Assumptions (MSW)'!AK$10*Model!$J$1785*AVERAGE('Assumptions (MSW)'!$F$2:$H$2)/10^9,0)</f>
        <v>2.4970740661447464E-2</v>
      </c>
      <c r="Z1953" s="105"/>
      <c r="AA1953" s="105"/>
      <c r="AB1953" s="105"/>
      <c r="AC1953" s="105"/>
      <c r="AD1953" s="105"/>
      <c r="AE1953" s="105"/>
      <c r="AF1953" s="105"/>
      <c r="AG1953" s="105"/>
      <c r="AH1953" s="105"/>
    </row>
    <row r="1954" spans="1:53" ht="15.75" hidden="1" customHeight="1" outlineLevel="1">
      <c r="A1954" s="435"/>
      <c r="B1954" s="99"/>
      <c r="C1954" s="105"/>
      <c r="D1954" s="105"/>
      <c r="E1954" s="105"/>
      <c r="F1954" s="105"/>
      <c r="G1954" s="105"/>
      <c r="H1954" s="105"/>
      <c r="I1954" s="105"/>
      <c r="J1954" s="105"/>
      <c r="K1954" s="105">
        <f>IF($K$1785&gt;0,'Assumptions (MSW)'!V$10*Model!$K$1785*AVERAGE('Assumptions (MSW)'!$G$2:$I$2)/10^9,0)</f>
        <v>4.3567327613199647E-2</v>
      </c>
      <c r="L1954" s="105">
        <f>IF($K$1785&gt;0,'Assumptions (MSW)'!W$10*Model!$K$1785*AVERAGE('Assumptions (MSW)'!$G$2:$I$2)/10^9,0)</f>
        <v>8.2777922465079326E-2</v>
      </c>
      <c r="M1954" s="105">
        <f>IF($K$1785&gt;0,'Assumptions (MSW)'!X$10*Model!$K$1785*AVERAGE('Assumptions (MSW)'!$G$2:$I$2)/10^9,0)</f>
        <v>7.4500130218571409E-2</v>
      </c>
      <c r="N1954" s="105">
        <f>IF($K$1785&gt;0,'Assumptions (MSW)'!Y$10*Model!$K$1785*AVERAGE('Assumptions (MSW)'!$G$2:$I$2)/10^9,0)</f>
        <v>6.7093684524327457E-2</v>
      </c>
      <c r="O1954" s="105">
        <f>IF($K$1785&gt;0,'Assumptions (MSW)'!Z$10*Model!$K$1785*AVERAGE('Assumptions (MSW)'!$G$2:$I$2)/10^9,0)</f>
        <v>6.0384316071894706E-2</v>
      </c>
      <c r="P1954" s="105">
        <f>IF($K$1785&gt;0,'Assumptions (MSW)'!AA$10*Model!$K$1785*AVERAGE('Assumptions (MSW)'!$G$2:$I$2)/10^9,0)</f>
        <v>5.4284890206046765E-2</v>
      </c>
      <c r="Q1954" s="105">
        <f>IF($K$1785&gt;0,'Assumptions (MSW)'!AB$10*Model!$K$1785*AVERAGE('Assumptions (MSW)'!$G$2:$I$2)/10^9,0)</f>
        <v>5.1409446583575574E-2</v>
      </c>
      <c r="R1954" s="105">
        <f>IF($K$1785&gt;0,'Assumptions (MSW)'!AC$10*Model!$K$1785*AVERAGE('Assumptions (MSW)'!$G$2:$I$2)/10^9,0)</f>
        <v>5.1409446583575574E-2</v>
      </c>
      <c r="S1954" s="105">
        <f>IF($K$1785&gt;0,'Assumptions (MSW)'!AD$10*Model!$K$1785*AVERAGE('Assumptions (MSW)'!$G$2:$I$2)/10^9,0)</f>
        <v>5.1496581238801978E-2</v>
      </c>
      <c r="T1954" s="105">
        <f>IF($K$1785&gt;0,'Assumptions (MSW)'!AE$10*Model!$K$1785*AVERAGE('Assumptions (MSW)'!$G$2:$I$2)/10^9,0)</f>
        <v>5.1409446583575574E-2</v>
      </c>
      <c r="U1954" s="105">
        <f>IF($K$1785&gt;0,'Assumptions (MSW)'!AF$10*Model!$K$1785*AVERAGE('Assumptions (MSW)'!$G$2:$I$2)/10^9,0)</f>
        <v>5.1496581238801978E-2</v>
      </c>
      <c r="V1954" s="105">
        <f>IF($K$1785&gt;0,'Assumptions (MSW)'!AG$10*Model!$K$1785*AVERAGE('Assumptions (MSW)'!$G$2:$I$2)/10^9,0)</f>
        <v>5.1409446583575574E-2</v>
      </c>
      <c r="W1954" s="105">
        <f>IF($K$1785&gt;0,'Assumptions (MSW)'!AH$10*Model!$K$1785*AVERAGE('Assumptions (MSW)'!$G$2:$I$2)/10^9,0)</f>
        <v>5.1496581238801978E-2</v>
      </c>
      <c r="X1954" s="105">
        <f>IF($K$1785&gt;0,'Assumptions (MSW)'!AI$10*Model!$K$1785*AVERAGE('Assumptions (MSW)'!$G$2:$I$2)/10^9,0)</f>
        <v>5.1409446583575574E-2</v>
      </c>
      <c r="Y1954" s="105">
        <f>IF($K$1785&gt;0,'Assumptions (MSW)'!AJ$10*Model!$K$1785*AVERAGE('Assumptions (MSW)'!$G$2:$I$2)/10^9,0)</f>
        <v>5.1496581238801978E-2</v>
      </c>
      <c r="Z1954" s="105">
        <f>IF($K$1785&gt;0,'Assumptions (MSW)'!AK$10*Model!$K$1785*AVERAGE('Assumptions (MSW)'!$G$2:$I$2)/10^9,0)</f>
        <v>2.5704723291787787E-2</v>
      </c>
      <c r="AA1954" s="105"/>
      <c r="AB1954" s="105"/>
      <c r="AC1954" s="105"/>
      <c r="AD1954" s="105"/>
      <c r="AE1954" s="105"/>
      <c r="AF1954" s="105"/>
      <c r="AG1954" s="105"/>
      <c r="AH1954" s="105"/>
      <c r="AI1954" s="105"/>
    </row>
    <row r="1955" spans="1:53" ht="15.75" hidden="1" customHeight="1" outlineLevel="1">
      <c r="A1955" s="435"/>
      <c r="B1955" s="99"/>
      <c r="C1955" s="105"/>
      <c r="D1955" s="105"/>
      <c r="E1955" s="105"/>
      <c r="F1955" s="105"/>
      <c r="G1955" s="105"/>
      <c r="H1955" s="105"/>
      <c r="I1955" s="105"/>
      <c r="J1955" s="105"/>
      <c r="K1955" s="105"/>
      <c r="L1955" s="105">
        <f>IF($L$1785&gt;0,'Assumptions (MSW)'!V$10*Model!$L$1785*AVERAGE('Assumptions (MSW)'!$H$2:$J$2)/10^9,0)</f>
        <v>4.4607642508298108E-2</v>
      </c>
      <c r="M1955" s="105">
        <f>IF($L$1785&gt;0,'Assumptions (MSW)'!W$10*Model!$L$1785*AVERAGE('Assumptions (MSW)'!$H$2:$J$2)/10^9,0)</f>
        <v>8.4754520765766395E-2</v>
      </c>
      <c r="N1955" s="105">
        <f>IF($L$1785&gt;0,'Assumptions (MSW)'!X$10*Model!$L$1785*AVERAGE('Assumptions (MSW)'!$H$2:$J$2)/10^9,0)</f>
        <v>7.6279068689189766E-2</v>
      </c>
      <c r="O1955" s="105">
        <f>IF($L$1785&gt;0,'Assumptions (MSW)'!Y$10*Model!$L$1785*AVERAGE('Assumptions (MSW)'!$H$2:$J$2)/10^9,0)</f>
        <v>6.8695769462779069E-2</v>
      </c>
      <c r="P1955" s="105">
        <f>IF($L$1785&gt;0,'Assumptions (MSW)'!Z$10*Model!$L$1785*AVERAGE('Assumptions (MSW)'!$H$2:$J$2)/10^9,0)</f>
        <v>6.182619251650117E-2</v>
      </c>
      <c r="Q1955" s="105">
        <f>IF($L$1785&gt;0,'Assumptions (MSW)'!AA$10*Model!$L$1785*AVERAGE('Assumptions (MSW)'!$H$2:$J$2)/10^9,0)</f>
        <v>5.5581122565339432E-2</v>
      </c>
      <c r="R1955" s="105">
        <f>IF($L$1785&gt;0,'Assumptions (MSW)'!AB$10*Model!$L$1785*AVERAGE('Assumptions (MSW)'!$H$2:$J$2)/10^9,0)</f>
        <v>5.263701815979175E-2</v>
      </c>
      <c r="S1955" s="105">
        <f>IF($L$1785&gt;0,'Assumptions (MSW)'!AC$10*Model!$L$1785*AVERAGE('Assumptions (MSW)'!$H$2:$J$2)/10^9,0)</f>
        <v>5.263701815979175E-2</v>
      </c>
      <c r="T1955" s="105">
        <f>IF($L$1785&gt;0,'Assumptions (MSW)'!AD$10*Model!$L$1785*AVERAGE('Assumptions (MSW)'!$H$2:$J$2)/10^9,0)</f>
        <v>5.2726233444808354E-2</v>
      </c>
      <c r="U1955" s="105">
        <f>IF($L$1785&gt;0,'Assumptions (MSW)'!AE$10*Model!$L$1785*AVERAGE('Assumptions (MSW)'!$H$2:$J$2)/10^9,0)</f>
        <v>5.263701815979175E-2</v>
      </c>
      <c r="V1955" s="105">
        <f>IF($L$1785&gt;0,'Assumptions (MSW)'!AF$10*Model!$L$1785*AVERAGE('Assumptions (MSW)'!$H$2:$J$2)/10^9,0)</f>
        <v>5.2726233444808354E-2</v>
      </c>
      <c r="W1955" s="105">
        <f>IF($L$1785&gt;0,'Assumptions (MSW)'!AG$10*Model!$L$1785*AVERAGE('Assumptions (MSW)'!$H$2:$J$2)/10^9,0)</f>
        <v>5.263701815979175E-2</v>
      </c>
      <c r="X1955" s="105">
        <f>IF($L$1785&gt;0,'Assumptions (MSW)'!AH$10*Model!$L$1785*AVERAGE('Assumptions (MSW)'!$H$2:$J$2)/10^9,0)</f>
        <v>5.2726233444808354E-2</v>
      </c>
      <c r="Y1955" s="105">
        <f>IF($L$1785&gt;0,'Assumptions (MSW)'!AI$10*Model!$L$1785*AVERAGE('Assumptions (MSW)'!$H$2:$J$2)/10^9,0)</f>
        <v>5.263701815979175E-2</v>
      </c>
      <c r="Z1955" s="105">
        <f>IF($L$1785&gt;0,'Assumptions (MSW)'!AJ$10*Model!$L$1785*AVERAGE('Assumptions (MSW)'!$H$2:$J$2)/10^9,0)</f>
        <v>5.2726233444808354E-2</v>
      </c>
      <c r="AA1955" s="105">
        <f>IF($L$1785&gt;0,'Assumptions (MSW)'!AK$10*Model!$L$1785*AVERAGE('Assumptions (MSW)'!$H$2:$J$2)/10^9,0)</f>
        <v>2.6318509079895875E-2</v>
      </c>
      <c r="AB1955" s="105"/>
      <c r="AC1955" s="105"/>
      <c r="AD1955" s="105"/>
      <c r="AE1955" s="105"/>
      <c r="AF1955" s="105"/>
      <c r="AG1955" s="105"/>
      <c r="AH1955" s="105"/>
      <c r="AI1955" s="105"/>
      <c r="AJ1955" s="105"/>
    </row>
    <row r="1956" spans="1:53" ht="15.75" hidden="1" customHeight="1" outlineLevel="1">
      <c r="A1956" s="435"/>
      <c r="B1956" s="99"/>
      <c r="C1956" s="105"/>
      <c r="D1956" s="105"/>
      <c r="E1956" s="105"/>
      <c r="F1956" s="105"/>
      <c r="G1956" s="105"/>
      <c r="H1956" s="105"/>
      <c r="I1956" s="105"/>
      <c r="J1956" s="105"/>
      <c r="K1956" s="105"/>
      <c r="L1956" s="105"/>
      <c r="M1956" s="105">
        <f>IF($M$1785&gt;0,'Assumptions (MSW)'!V$10*Model!$M$1785*AVERAGE('Assumptions (MSW)'!$I$2:$K$2)/10^9,0)</f>
        <v>4.9188036345854717E-2</v>
      </c>
      <c r="N1956" s="105">
        <f>IF($M$1785&gt;0,'Assumptions (MSW)'!W$10*Model!$M$1785*AVERAGE('Assumptions (MSW)'!$I$2:$K$2)/10^9,0)</f>
        <v>9.3457269057123954E-2</v>
      </c>
      <c r="O1956" s="105">
        <f>IF($M$1785&gt;0,'Assumptions (MSW)'!X$10*Model!$M$1785*AVERAGE('Assumptions (MSW)'!$I$2:$K$2)/10^9,0)</f>
        <v>8.4111542151411547E-2</v>
      </c>
      <c r="P1956" s="105">
        <f>IF($M$1785&gt;0,'Assumptions (MSW)'!Y$10*Model!$M$1785*AVERAGE('Assumptions (MSW)'!$I$2:$K$2)/10^9,0)</f>
        <v>7.5749575972616251E-2</v>
      </c>
      <c r="Q1956" s="105">
        <f>IF($M$1785&gt;0,'Assumptions (MSW)'!Z$10*Model!$M$1785*AVERAGE('Assumptions (MSW)'!$I$2:$K$2)/10^9,0)</f>
        <v>6.8174618375354629E-2</v>
      </c>
      <c r="R1956" s="105">
        <f>IF($M$1785&gt;0,'Assumptions (MSW)'!AA$10*Model!$M$1785*AVERAGE('Assumptions (MSW)'!$I$2:$K$2)/10^9,0)</f>
        <v>6.1288293286934969E-2</v>
      </c>
      <c r="S1956" s="105">
        <f>IF($M$1785&gt;0,'Assumptions (MSW)'!AB$10*Model!$M$1785*AVERAGE('Assumptions (MSW)'!$I$2:$K$2)/10^9,0)</f>
        <v>5.8041882888108555E-2</v>
      </c>
      <c r="T1956" s="105">
        <f>IF($M$1785&gt;0,'Assumptions (MSW)'!AC$10*Model!$M$1785*AVERAGE('Assumptions (MSW)'!$I$2:$K$2)/10^9,0)</f>
        <v>5.8041882888108555E-2</v>
      </c>
      <c r="U1956" s="105">
        <f>IF($M$1785&gt;0,'Assumptions (MSW)'!AD$10*Model!$M$1785*AVERAGE('Assumptions (MSW)'!$I$2:$K$2)/10^9,0)</f>
        <v>5.8140258960800266E-2</v>
      </c>
      <c r="V1956" s="105">
        <f>IF($M$1785&gt;0,'Assumptions (MSW)'!AE$10*Model!$M$1785*AVERAGE('Assumptions (MSW)'!$I$2:$K$2)/10^9,0)</f>
        <v>5.8041882888108555E-2</v>
      </c>
      <c r="W1956" s="105">
        <f>IF($M$1785&gt;0,'Assumptions (MSW)'!AF$10*Model!$M$1785*AVERAGE('Assumptions (MSW)'!$I$2:$K$2)/10^9,0)</f>
        <v>5.8140258960800266E-2</v>
      </c>
      <c r="X1956" s="105">
        <f>IF($M$1785&gt;0,'Assumptions (MSW)'!AG$10*Model!$M$1785*AVERAGE('Assumptions (MSW)'!$I$2:$K$2)/10^9,0)</f>
        <v>5.8041882888108555E-2</v>
      </c>
      <c r="Y1956" s="105">
        <f>IF($M$1785&gt;0,'Assumptions (MSW)'!AH$10*Model!$M$1785*AVERAGE('Assumptions (MSW)'!$I$2:$K$2)/10^9,0)</f>
        <v>5.8140258960800266E-2</v>
      </c>
      <c r="Z1956" s="105">
        <f>IF($M$1785&gt;0,'Assumptions (MSW)'!AI$10*Model!$M$1785*AVERAGE('Assumptions (MSW)'!$I$2:$K$2)/10^9,0)</f>
        <v>5.8041882888108555E-2</v>
      </c>
      <c r="AA1956" s="105">
        <f>IF($M$1785&gt;0,'Assumptions (MSW)'!AJ$10*Model!$M$1785*AVERAGE('Assumptions (MSW)'!$I$2:$K$2)/10^9,0)</f>
        <v>5.8140258960800266E-2</v>
      </c>
      <c r="AB1956" s="105">
        <f>IF($M$1785&gt;0,'Assumptions (MSW)'!AK$10*Model!$M$1785*AVERAGE('Assumptions (MSW)'!$I$2:$K$2)/10^9,0)</f>
        <v>2.9020941444054277E-2</v>
      </c>
      <c r="AC1956" s="105"/>
      <c r="AD1956" s="105"/>
      <c r="AE1956" s="105"/>
      <c r="AF1956" s="105"/>
      <c r="AG1956" s="105"/>
      <c r="AH1956" s="105"/>
      <c r="AI1956" s="105"/>
      <c r="AJ1956" s="105"/>
      <c r="AK1956" s="105"/>
    </row>
    <row r="1957" spans="1:53" ht="15.75" hidden="1" customHeight="1" outlineLevel="1">
      <c r="A1957" s="435"/>
      <c r="B1957" s="99"/>
      <c r="C1957" s="105"/>
      <c r="D1957" s="105"/>
      <c r="E1957" s="105"/>
      <c r="F1957" s="105"/>
      <c r="G1957" s="105"/>
      <c r="H1957" s="105"/>
      <c r="I1957" s="105"/>
      <c r="J1957" s="105"/>
      <c r="K1957" s="105"/>
      <c r="L1957" s="105"/>
      <c r="M1957" s="105"/>
      <c r="N1957" s="105">
        <f>IF($N$1785&gt;0,'Assumptions (MSW)'!V$10*Model!$N$1785*AVERAGE('Assumptions (MSW)'!$J$2:$L$2)/10^9,0)</f>
        <v>5.045306853498778E-2</v>
      </c>
      <c r="O1957" s="105">
        <f>IF($N$1785&gt;0,'Assumptions (MSW)'!W$10*Model!$N$1785*AVERAGE('Assumptions (MSW)'!$J$2:$L$2)/10^9,0)</f>
        <v>9.5860830216476775E-2</v>
      </c>
      <c r="P1957" s="105">
        <f>IF($N$1785&gt;0,'Assumptions (MSW)'!X$10*Model!$N$1785*AVERAGE('Assumptions (MSW)'!$J$2:$L$2)/10^9,0)</f>
        <v>8.6274747194829096E-2</v>
      </c>
      <c r="Q1957" s="105">
        <f>IF($N$1785&gt;0,'Assumptions (MSW)'!Y$10*Model!$N$1785*AVERAGE('Assumptions (MSW)'!$J$2:$L$2)/10^9,0)</f>
        <v>7.7697725543881158E-2</v>
      </c>
      <c r="R1957" s="105">
        <f>IF($N$1785&gt;0,'Assumptions (MSW)'!Z$10*Model!$N$1785*AVERAGE('Assumptions (MSW)'!$J$2:$L$2)/10^9,0)</f>
        <v>6.9927952989493045E-2</v>
      </c>
      <c r="S1957" s="105">
        <f>IF($N$1785&gt;0,'Assumptions (MSW)'!AA$10*Model!$N$1785*AVERAGE('Assumptions (MSW)'!$J$2:$L$2)/10^9,0)</f>
        <v>6.2864523394594765E-2</v>
      </c>
      <c r="T1957" s="105">
        <f>IF($N$1785&gt;0,'Assumptions (MSW)'!AB$10*Model!$N$1785*AVERAGE('Assumptions (MSW)'!$J$2:$L$2)/10^9,0)</f>
        <v>5.9534620871285568E-2</v>
      </c>
      <c r="U1957" s="105">
        <f>IF($N$1785&gt;0,'Assumptions (MSW)'!AC$10*Model!$N$1785*AVERAGE('Assumptions (MSW)'!$J$2:$L$2)/10^9,0)</f>
        <v>5.9534620871285568E-2</v>
      </c>
      <c r="V1957" s="105">
        <f>IF($N$1785&gt;0,'Assumptions (MSW)'!AD$10*Model!$N$1785*AVERAGE('Assumptions (MSW)'!$J$2:$L$2)/10^9,0)</f>
        <v>5.9635527008355546E-2</v>
      </c>
      <c r="W1957" s="105">
        <f>IF($N$1785&gt;0,'Assumptions (MSW)'!AE$10*Model!$N$1785*AVERAGE('Assumptions (MSW)'!$J$2:$L$2)/10^9,0)</f>
        <v>5.9534620871285568E-2</v>
      </c>
      <c r="X1957" s="105">
        <f>IF($N$1785&gt;0,'Assumptions (MSW)'!AF$10*Model!$N$1785*AVERAGE('Assumptions (MSW)'!$J$2:$L$2)/10^9,0)</f>
        <v>5.9635527008355546E-2</v>
      </c>
      <c r="Y1957" s="105">
        <f>IF($N$1785&gt;0,'Assumptions (MSW)'!AG$10*Model!$N$1785*AVERAGE('Assumptions (MSW)'!$J$2:$L$2)/10^9,0)</f>
        <v>5.9534620871285568E-2</v>
      </c>
      <c r="Z1957" s="105">
        <f>IF($N$1785&gt;0,'Assumptions (MSW)'!AH$10*Model!$N$1785*AVERAGE('Assumptions (MSW)'!$J$2:$L$2)/10^9,0)</f>
        <v>5.9635527008355546E-2</v>
      </c>
      <c r="AA1957" s="105">
        <f>IF($N$1785&gt;0,'Assumptions (MSW)'!AI$10*Model!$N$1785*AVERAGE('Assumptions (MSW)'!$J$2:$L$2)/10^9,0)</f>
        <v>5.9534620871285568E-2</v>
      </c>
      <c r="AB1957" s="105">
        <f>IF($N$1785&gt;0,'Assumptions (MSW)'!AJ$10*Model!$N$1785*AVERAGE('Assumptions (MSW)'!$J$2:$L$2)/10^9,0)</f>
        <v>5.9635527008355546E-2</v>
      </c>
      <c r="AC1957" s="105">
        <f>IF($N$1785&gt;0,'Assumptions (MSW)'!AK$10*Model!$N$1785*AVERAGE('Assumptions (MSW)'!$J$2:$L$2)/10^9,0)</f>
        <v>2.9767310435642784E-2</v>
      </c>
      <c r="AD1957" s="105"/>
      <c r="AE1957" s="105"/>
      <c r="AF1957" s="105"/>
      <c r="AG1957" s="105"/>
      <c r="AH1957" s="105"/>
      <c r="AI1957" s="105"/>
      <c r="AJ1957" s="105"/>
      <c r="AK1957" s="105"/>
    </row>
    <row r="1958" spans="1:53" ht="15.75" hidden="1" customHeight="1" outlineLevel="1">
      <c r="A1958" s="435"/>
      <c r="B1958" s="99"/>
      <c r="C1958" s="105"/>
      <c r="D1958" s="105"/>
      <c r="E1958" s="105"/>
      <c r="F1958" s="105"/>
      <c r="G1958" s="105"/>
      <c r="H1958" s="105"/>
      <c r="I1958" s="105"/>
      <c r="J1958" s="105"/>
      <c r="K1958" s="105"/>
      <c r="L1958" s="105"/>
      <c r="M1958" s="105"/>
      <c r="N1958" s="105"/>
      <c r="O1958" s="105">
        <f>IF($O$1785&gt;0,'Assumptions (MSW)'!V$10*Model!$O$1785*AVERAGE('Assumptions (MSW)'!$K$2:$M$2)/10^9,0)</f>
        <v>6.2292487558313056E-2</v>
      </c>
      <c r="P1958" s="105">
        <f>IF($O$1785&gt;0,'Assumptions (MSW)'!W$10*Model!$O$1785*AVERAGE('Assumptions (MSW)'!$K$2:$M$2)/10^9,0)</f>
        <v>0.11835572636079479</v>
      </c>
      <c r="Q1958" s="105">
        <f>IF($O$1785&gt;0,'Assumptions (MSW)'!X$10*Model!$O$1785*AVERAGE('Assumptions (MSW)'!$K$2:$M$2)/10^9,0)</f>
        <v>0.10652015372471532</v>
      </c>
      <c r="R1958" s="105">
        <f>IF($O$1785&gt;0,'Assumptions (MSW)'!Y$10*Model!$O$1785*AVERAGE('Assumptions (MSW)'!$K$2:$M$2)/10^9,0)</f>
        <v>9.5930430839802086E-2</v>
      </c>
      <c r="S1958" s="105">
        <f>IF($O$1785&gt;0,'Assumptions (MSW)'!Z$10*Model!$O$1785*AVERAGE('Assumptions (MSW)'!$K$2:$M$2)/10^9,0)</f>
        <v>8.6337387755821879E-2</v>
      </c>
      <c r="T1958" s="105">
        <f>IF($O$1785&gt;0,'Assumptions (MSW)'!AA$10*Model!$O$1785*AVERAGE('Assumptions (MSW)'!$K$2:$M$2)/10^9,0)</f>
        <v>7.7616439497658063E-2</v>
      </c>
      <c r="U1958" s="105">
        <f>IF($O$1785&gt;0,'Assumptions (MSW)'!AB$10*Model!$O$1785*AVERAGE('Assumptions (MSW)'!$K$2:$M$2)/10^9,0)</f>
        <v>7.3505135318809395E-2</v>
      </c>
      <c r="V1958" s="105">
        <f>IF($O$1785&gt;0,'Assumptions (MSW)'!AC$10*Model!$O$1785*AVERAGE('Assumptions (MSW)'!$K$2:$M$2)/10^9,0)</f>
        <v>7.3505135318809395E-2</v>
      </c>
      <c r="W1958" s="105">
        <f>IF($O$1785&gt;0,'Assumptions (MSW)'!AD$10*Model!$O$1785*AVERAGE('Assumptions (MSW)'!$K$2:$M$2)/10^9,0)</f>
        <v>7.3629720293926032E-2</v>
      </c>
      <c r="X1958" s="105">
        <f>IF($O$1785&gt;0,'Assumptions (MSW)'!AE$10*Model!$O$1785*AVERAGE('Assumptions (MSW)'!$K$2:$M$2)/10^9,0)</f>
        <v>7.3505135318809395E-2</v>
      </c>
      <c r="Y1958" s="105">
        <f>IF($O$1785&gt;0,'Assumptions (MSW)'!AF$10*Model!$O$1785*AVERAGE('Assumptions (MSW)'!$K$2:$M$2)/10^9,0)</f>
        <v>7.3629720293926032E-2</v>
      </c>
      <c r="Z1958" s="105">
        <f>IF($O$1785&gt;0,'Assumptions (MSW)'!AG$10*Model!$O$1785*AVERAGE('Assumptions (MSW)'!$K$2:$M$2)/10^9,0)</f>
        <v>7.3505135318809395E-2</v>
      </c>
      <c r="AA1958" s="105">
        <f>IF($O$1785&gt;0,'Assumptions (MSW)'!AH$10*Model!$O$1785*AVERAGE('Assumptions (MSW)'!$K$2:$M$2)/10^9,0)</f>
        <v>7.3629720293926032E-2</v>
      </c>
      <c r="AB1958" s="105">
        <f>IF($O$1785&gt;0,'Assumptions (MSW)'!AI$10*Model!$O$1785*AVERAGE('Assumptions (MSW)'!$K$2:$M$2)/10^9,0)</f>
        <v>7.3505135318809395E-2</v>
      </c>
      <c r="AC1958" s="105">
        <f>IF($O$1785&gt;0,'Assumptions (MSW)'!AJ$10*Model!$O$1785*AVERAGE('Assumptions (MSW)'!$K$2:$M$2)/10^9,0)</f>
        <v>7.3629720293926032E-2</v>
      </c>
      <c r="AD1958" s="105">
        <f>IF($O$1785&gt;0,'Assumptions (MSW)'!AK$10*Model!$O$1785*AVERAGE('Assumptions (MSW)'!$K$2:$M$2)/10^9,0)</f>
        <v>3.6752567659404697E-2</v>
      </c>
      <c r="AE1958" s="105"/>
      <c r="AF1958" s="105"/>
      <c r="AG1958" s="105"/>
      <c r="AH1958" s="105"/>
      <c r="AI1958" s="105"/>
      <c r="AJ1958" s="105"/>
      <c r="AK1958" s="105"/>
    </row>
    <row r="1959" spans="1:53" ht="15.75" hidden="1" customHeight="1" outlineLevel="1">
      <c r="A1959" s="435"/>
      <c r="B1959" s="99"/>
      <c r="C1959" s="105"/>
      <c r="D1959" s="105"/>
      <c r="E1959" s="105"/>
      <c r="F1959" s="105"/>
      <c r="G1959" s="105"/>
      <c r="H1959" s="91"/>
      <c r="I1959" s="105"/>
      <c r="J1959" s="105"/>
      <c r="K1959" s="105"/>
      <c r="L1959" s="105"/>
      <c r="M1959" s="105"/>
      <c r="N1959" s="105"/>
      <c r="O1959" s="105"/>
      <c r="P1959" s="91">
        <f>IF($P$1785&gt;0,'Assumptions (MSW)'!V$10*Model!$P$1785*AVERAGE('Assumptions (MSW)'!$L$2:$N$2)/10^9,0)</f>
        <v>5.1211095125659779E-2</v>
      </c>
      <c r="Q1959" s="91">
        <f>IF($P$1785&gt;0,'Assumptions (MSW)'!W$10*Model!$P$1785*AVERAGE('Assumptions (MSW)'!$L$2:$N$2)/10^9,0)</f>
        <v>9.7301080738753584E-2</v>
      </c>
      <c r="R1959" s="91">
        <f>IF($P$1785&gt;0,'Assumptions (MSW)'!X$10*Model!$P$1785*AVERAGE('Assumptions (MSW)'!$L$2:$N$2)/10^9,0)</f>
        <v>8.7570972664878233E-2</v>
      </c>
      <c r="S1959" s="91">
        <f>IF($P$1785&gt;0,'Assumptions (MSW)'!Y$10*Model!$P$1785*AVERAGE('Assumptions (MSW)'!$L$2:$N$2)/10^9,0)</f>
        <v>7.8865086493516062E-2</v>
      </c>
      <c r="T1959" s="91">
        <f>IF($P$1785&gt;0,'Assumptions (MSW)'!Z$10*Model!$P$1785*AVERAGE('Assumptions (MSW)'!$L$2:$N$2)/10^9,0)</f>
        <v>7.0978577844164462E-2</v>
      </c>
      <c r="U1959" s="91">
        <f>IF($P$1785&gt;0,'Assumptions (MSW)'!AA$10*Model!$P$1785*AVERAGE('Assumptions (MSW)'!$L$2:$N$2)/10^9,0)</f>
        <v>6.3809024526572083E-2</v>
      </c>
      <c r="V1959" s="91">
        <f>IF($P$1785&gt;0,'Assumptions (MSW)'!AB$10*Model!$P$1785*AVERAGE('Assumptions (MSW)'!$L$2:$N$2)/10^9,0)</f>
        <v>6.042909224827854E-2</v>
      </c>
      <c r="W1959" s="91">
        <f>IF($P$1785&gt;0,'Assumptions (MSW)'!AC$10*Model!$P$1785*AVERAGE('Assumptions (MSW)'!$L$2:$N$2)/10^9,0)</f>
        <v>6.042909224827854E-2</v>
      </c>
      <c r="X1959" s="91">
        <f>IF($P$1785&gt;0,'Assumptions (MSW)'!AD$10*Model!$P$1785*AVERAGE('Assumptions (MSW)'!$L$2:$N$2)/10^9,0)</f>
        <v>6.053151443852986E-2</v>
      </c>
      <c r="Y1959" s="91">
        <f>IF($P$1785&gt;0,'Assumptions (MSW)'!AE$10*Model!$P$1785*AVERAGE('Assumptions (MSW)'!$L$2:$N$2)/10^9,0)</f>
        <v>6.042909224827854E-2</v>
      </c>
      <c r="Z1959" s="91">
        <f>IF($P$1785&gt;0,'Assumptions (MSW)'!AF$10*Model!$P$1785*AVERAGE('Assumptions (MSW)'!$L$2:$N$2)/10^9,0)</f>
        <v>6.053151443852986E-2</v>
      </c>
      <c r="AA1959" s="91">
        <f>IF($P$1785&gt;0,'Assumptions (MSW)'!AG$10*Model!$P$1785*AVERAGE('Assumptions (MSW)'!$L$2:$N$2)/10^9,0)</f>
        <v>6.042909224827854E-2</v>
      </c>
      <c r="AB1959" s="91">
        <f>IF($P$1785&gt;0,'Assumptions (MSW)'!AH$10*Model!$P$1785*AVERAGE('Assumptions (MSW)'!$L$2:$N$2)/10^9,0)</f>
        <v>6.053151443852986E-2</v>
      </c>
      <c r="AC1959" s="91">
        <f>IF($P$1785&gt;0,'Assumptions (MSW)'!AI$10*Model!$P$1785*AVERAGE('Assumptions (MSW)'!$L$2:$N$2)/10^9,0)</f>
        <v>6.042909224827854E-2</v>
      </c>
      <c r="AD1959" s="91">
        <f>IF($P$1785&gt;0,'Assumptions (MSW)'!AJ$10*Model!$P$1785*AVERAGE('Assumptions (MSW)'!$L$2:$N$2)/10^9,0)</f>
        <v>6.053151443852986E-2</v>
      </c>
      <c r="AE1959" s="91">
        <f>IF($P$1785&gt;0,'Assumptions (MSW)'!AK$10*Model!$P$1785*AVERAGE('Assumptions (MSW)'!$L$2:$N$2)/10^9,0)</f>
        <v>3.021454612413927E-2</v>
      </c>
      <c r="AF1959" s="91"/>
      <c r="AG1959" s="91"/>
      <c r="AH1959" s="91"/>
      <c r="AI1959" s="91"/>
      <c r="AJ1959" s="91"/>
      <c r="AK1959" s="91"/>
    </row>
    <row r="1960" spans="1:53" ht="15.75" hidden="1" customHeight="1" outlineLevel="1">
      <c r="A1960" s="435"/>
      <c r="B1960" s="99"/>
      <c r="C1960" s="105"/>
      <c r="D1960" s="105"/>
      <c r="E1960" s="105"/>
      <c r="F1960" s="105"/>
      <c r="G1960" s="105"/>
      <c r="H1960" s="105"/>
      <c r="I1960" s="105"/>
      <c r="J1960" s="105"/>
      <c r="K1960" s="105"/>
      <c r="L1960" s="105"/>
      <c r="M1960" s="105"/>
      <c r="N1960" s="105"/>
      <c r="O1960" s="105"/>
      <c r="P1960" s="171"/>
      <c r="Q1960" s="105">
        <f>IF($Q$1785&gt;0,'Assumptions (MSW)'!V$10*Model!$Q$1785*AVERAGE('Assumptions (MSW)'!$L$2:$O$2)/10^9,0)</f>
        <v>3.2624696890762667E-2</v>
      </c>
      <c r="R1960" s="105">
        <f>IF($Q$1785&gt;0,'Assumptions (MSW)'!W$10*Model!$Q$1785*AVERAGE('Assumptions (MSW)'!$L$2:$O$2)/10^9,0)</f>
        <v>6.1986924092449061E-2</v>
      </c>
      <c r="S1960" s="105">
        <f>IF($Q$1785&gt;0,'Assumptions (MSW)'!X$10*Model!$Q$1785*AVERAGE('Assumptions (MSW)'!$L$2:$O$2)/10^9,0)</f>
        <v>5.5788231683204161E-2</v>
      </c>
      <c r="T1960" s="105">
        <f>IF($Q$1785&gt;0,'Assumptions (MSW)'!Y$10*Model!$Q$1785*AVERAGE('Assumptions (MSW)'!$L$2:$O$2)/10^9,0)</f>
        <v>5.0242033211774499E-2</v>
      </c>
      <c r="U1960" s="105">
        <f>IF($Q$1785&gt;0,'Assumptions (MSW)'!Z$10*Model!$Q$1785*AVERAGE('Assumptions (MSW)'!$L$2:$O$2)/10^9,0)</f>
        <v>4.5217829890597049E-2</v>
      </c>
      <c r="V1960" s="105">
        <f>IF($Q$1785&gt;0,'Assumptions (MSW)'!AA$10*Model!$Q$1785*AVERAGE('Assumptions (MSW)'!$L$2:$O$2)/10^9,0)</f>
        <v>4.065037232589027E-2</v>
      </c>
      <c r="W1960" s="105">
        <f>IF($Q$1785&gt;0,'Assumptions (MSW)'!AB$10*Model!$Q$1785*AVERAGE('Assumptions (MSW)'!$L$2:$O$2)/10^9,0)</f>
        <v>3.8497142331099944E-2</v>
      </c>
      <c r="X1960" s="105">
        <f>IF($Q$1785&gt;0,'Assumptions (MSW)'!AC$10*Model!$Q$1785*AVERAGE('Assumptions (MSW)'!$L$2:$O$2)/10^9,0)</f>
        <v>3.8497142331099944E-2</v>
      </c>
      <c r="Y1960" s="105">
        <f>IF($Q$1785&gt;0,'Assumptions (MSW)'!AD$10*Model!$Q$1785*AVERAGE('Assumptions (MSW)'!$L$2:$O$2)/10^9,0)</f>
        <v>3.8562391724881462E-2</v>
      </c>
      <c r="Z1960" s="105">
        <f>IF($Q$1785&gt;0,'Assumptions (MSW)'!AE$10*Model!$Q$1785*AVERAGE('Assumptions (MSW)'!$L$2:$O$2)/10^9,0)</f>
        <v>3.8497142331099944E-2</v>
      </c>
      <c r="AA1960" s="105">
        <f>IF($Q$1785&gt;0,'Assumptions (MSW)'!AF$10*Model!$Q$1785*AVERAGE('Assumptions (MSW)'!$L$2:$O$2)/10^9,0)</f>
        <v>3.8562391724881462E-2</v>
      </c>
      <c r="AB1960" s="105">
        <f>IF($Q$1785&gt;0,'Assumptions (MSW)'!AG$10*Model!$Q$1785*AVERAGE('Assumptions (MSW)'!$L$2:$O$2)/10^9,0)</f>
        <v>3.8497142331099944E-2</v>
      </c>
      <c r="AC1960" s="105">
        <f>IF($Q$1785&gt;0,'Assumptions (MSW)'!AH$10*Model!$Q$1785*AVERAGE('Assumptions (MSW)'!$L$2:$O$2)/10^9,0)</f>
        <v>3.8562391724881462E-2</v>
      </c>
      <c r="AD1960" s="105">
        <f>IF($Q$1785&gt;0,'Assumptions (MSW)'!AI$10*Model!$Q$1785*AVERAGE('Assumptions (MSW)'!$L$2:$O$2)/10^9,0)</f>
        <v>3.8497142331099944E-2</v>
      </c>
      <c r="AE1960" s="105">
        <f>IF($Q$1785&gt;0,'Assumptions (MSW)'!AJ$10*Model!$Q$1785*AVERAGE('Assumptions (MSW)'!$L$2:$O$2)/10^9,0)</f>
        <v>3.8562391724881462E-2</v>
      </c>
      <c r="AF1960" s="105">
        <f>IF($Q$1785&gt;0,'Assumptions (MSW)'!AK$10*Model!$Q$1785*AVERAGE('Assumptions (MSW)'!$L$2:$O$2)/10^9,0)</f>
        <v>1.9248571165549972E-2</v>
      </c>
      <c r="AG1960" s="105"/>
      <c r="AH1960" s="105"/>
      <c r="AI1960" s="105"/>
      <c r="AJ1960" s="105"/>
      <c r="AK1960" s="105"/>
    </row>
    <row r="1961" spans="1:53" ht="15.75" hidden="1" customHeight="1" outlineLevel="1">
      <c r="A1961" s="435"/>
      <c r="B1961" s="99"/>
      <c r="C1961" s="105"/>
      <c r="D1961" s="105"/>
      <c r="E1961" s="105"/>
      <c r="F1961" s="105"/>
      <c r="G1961" s="105"/>
      <c r="H1961" s="105"/>
      <c r="I1961" s="105"/>
      <c r="J1961" s="105"/>
      <c r="K1961" s="105"/>
      <c r="L1961" s="105"/>
      <c r="M1961" s="105"/>
      <c r="N1961" s="105"/>
      <c r="O1961" s="105"/>
      <c r="P1961" s="171"/>
      <c r="Q1961" s="105"/>
      <c r="R1961" s="91">
        <f>IF($R$1785&gt;0,'Assumptions (MSW)'!V$10*Model!$R$1785*AVERAGE('Assumptions (MSW)'!$M$2:$P$2)/10^9,0)</f>
        <v>3.7988004932283735E-2</v>
      </c>
      <c r="S1961" s="91">
        <f>IF($R$1785&gt;0,'Assumptions (MSW)'!W$10*Model!$R$1785*AVERAGE('Assumptions (MSW)'!$M$2:$P$2)/10^9,0)</f>
        <v>7.2177209371339118E-2</v>
      </c>
      <c r="T1961" s="91">
        <f>IF($R$1785&gt;0,'Assumptions (MSW)'!X$10*Model!$R$1785*AVERAGE('Assumptions (MSW)'!$M$2:$P$2)/10^9,0)</f>
        <v>6.4959488434205209E-2</v>
      </c>
      <c r="U1961" s="91">
        <f>IF($R$1785&gt;0,'Assumptions (MSW)'!Y$10*Model!$R$1785*AVERAGE('Assumptions (MSW)'!$M$2:$P$2)/10^9,0)</f>
        <v>5.8501527595716953E-2</v>
      </c>
      <c r="V1961" s="91">
        <f>IF($R$1785&gt;0,'Assumptions (MSW)'!Z$10*Model!$R$1785*AVERAGE('Assumptions (MSW)'!$M$2:$P$2)/10^9,0)</f>
        <v>5.2651374836145258E-2</v>
      </c>
      <c r="W1961" s="91">
        <f>IF($R$1785&gt;0,'Assumptions (MSW)'!AA$10*Model!$R$1785*AVERAGE('Assumptions (MSW)'!$M$2:$P$2)/10^9,0)</f>
        <v>4.7333054145625539E-2</v>
      </c>
      <c r="X1961" s="91">
        <f>IF($R$1785&gt;0,'Assumptions (MSW)'!AB$10*Model!$R$1785*AVERAGE('Assumptions (MSW)'!$M$2:$P$2)/10^9,0)</f>
        <v>4.4825845820094808E-2</v>
      </c>
      <c r="Y1961" s="91">
        <f>IF($R$1785&gt;0,'Assumptions (MSW)'!AC$10*Model!$R$1785*AVERAGE('Assumptions (MSW)'!$M$2:$P$2)/10^9,0)</f>
        <v>4.4825845820094808E-2</v>
      </c>
      <c r="Z1961" s="91">
        <f>IF($R$1785&gt;0,'Assumptions (MSW)'!AD$10*Model!$R$1785*AVERAGE('Assumptions (MSW)'!$M$2:$P$2)/10^9,0)</f>
        <v>4.490182182995938E-2</v>
      </c>
      <c r="AA1961" s="91">
        <f>IF($R$1785&gt;0,'Assumptions (MSW)'!AE$10*Model!$R$1785*AVERAGE('Assumptions (MSW)'!$M$2:$P$2)/10^9,0)</f>
        <v>4.4825845820094808E-2</v>
      </c>
      <c r="AB1961" s="91">
        <f>IF($R$1785&gt;0,'Assumptions (MSW)'!AF$10*Model!$R$1785*AVERAGE('Assumptions (MSW)'!$M$2:$P$2)/10^9,0)</f>
        <v>4.490182182995938E-2</v>
      </c>
      <c r="AC1961" s="91">
        <f>IF($R$1785&gt;0,'Assumptions (MSW)'!AG$10*Model!$R$1785*AVERAGE('Assumptions (MSW)'!$M$2:$P$2)/10^9,0)</f>
        <v>4.4825845820094808E-2</v>
      </c>
      <c r="AD1961" s="91">
        <f>IF($R$1785&gt;0,'Assumptions (MSW)'!AH$10*Model!$R$1785*AVERAGE('Assumptions (MSW)'!$M$2:$P$2)/10^9,0)</f>
        <v>4.490182182995938E-2</v>
      </c>
      <c r="AE1961" s="91">
        <f>IF($R$1785&gt;0,'Assumptions (MSW)'!AI$10*Model!$R$1785*AVERAGE('Assumptions (MSW)'!$M$2:$P$2)/10^9,0)</f>
        <v>4.4825845820094808E-2</v>
      </c>
      <c r="AF1961" s="91">
        <f>IF($R$1785&gt;0,'Assumptions (MSW)'!AJ$10*Model!$R$1785*AVERAGE('Assumptions (MSW)'!$M$2:$P$2)/10^9,0)</f>
        <v>4.490182182995938E-2</v>
      </c>
      <c r="AG1961" s="91">
        <f>IF($R$1785&gt;0,'Assumptions (MSW)'!AK$10*Model!$R$1785*AVERAGE('Assumptions (MSW)'!$M$2:$P$2)/10^9,0)</f>
        <v>2.2412922910047404E-2</v>
      </c>
      <c r="AH1961" s="91"/>
      <c r="AI1961" s="91"/>
      <c r="AJ1961" s="91"/>
      <c r="AK1961" s="91"/>
    </row>
    <row r="1962" spans="1:53" ht="15.75" hidden="1" customHeight="1" outlineLevel="1">
      <c r="A1962" s="435"/>
      <c r="B1962" s="99"/>
      <c r="C1962" s="105"/>
      <c r="D1962" s="105"/>
      <c r="E1962" s="105"/>
      <c r="F1962" s="105"/>
      <c r="G1962" s="105"/>
      <c r="H1962" s="105"/>
      <c r="I1962" s="105"/>
      <c r="J1962" s="105"/>
      <c r="K1962" s="105"/>
      <c r="L1962" s="105"/>
      <c r="M1962" s="105"/>
      <c r="N1962" s="105"/>
      <c r="O1962" s="105"/>
      <c r="P1962" s="171"/>
      <c r="Q1962" s="105"/>
      <c r="R1962" s="91"/>
      <c r="S1962" s="105">
        <f>IF($S$1785&gt;0,'Assumptions (MSW)'!V$10*Model!$S$1785*AVERAGE('Assumptions (MSW)'!$O$2:$Q$2)/10^9,0)</f>
        <v>3.1947463155085357E-2</v>
      </c>
      <c r="T1962" s="105">
        <f>IF($S$1785&gt;0,'Assumptions (MSW)'!W$10*Model!$S$1785*AVERAGE('Assumptions (MSW)'!$O$2:$Q$2)/10^9,0)</f>
        <v>6.0700179994662172E-2</v>
      </c>
      <c r="U1962" s="105">
        <f>IF($S$1785&gt;0,'Assumptions (MSW)'!X$10*Model!$S$1785*AVERAGE('Assumptions (MSW)'!$O$2:$Q$2)/10^9,0)</f>
        <v>5.4630161995195957E-2</v>
      </c>
      <c r="V1962" s="105">
        <f>IF($S$1785&gt;0,'Assumptions (MSW)'!Y$10*Model!$S$1785*AVERAGE('Assumptions (MSW)'!$O$2:$Q$2)/10^9,0)</f>
        <v>4.9199093258831442E-2</v>
      </c>
      <c r="W1962" s="105">
        <f>IF($S$1785&gt;0,'Assumptions (MSW)'!Z$10*Model!$S$1785*AVERAGE('Assumptions (MSW)'!$O$2:$Q$2)/10^9,0)</f>
        <v>4.4279183932948302E-2</v>
      </c>
      <c r="X1962" s="105">
        <f>IF($S$1785&gt;0,'Assumptions (MSW)'!AA$10*Model!$S$1785*AVERAGE('Assumptions (MSW)'!$O$2:$Q$2)/10^9,0)</f>
        <v>3.9806539091236354E-2</v>
      </c>
      <c r="Y1962" s="105">
        <f>IF($S$1785&gt;0,'Assumptions (MSW)'!AB$10*Model!$S$1785*AVERAGE('Assumptions (MSW)'!$O$2:$Q$2)/10^9,0)</f>
        <v>3.7698006523000711E-2</v>
      </c>
      <c r="Z1962" s="105">
        <f>IF($S$1785&gt;0,'Assumptions (MSW)'!AC$10*Model!$S$1785*AVERAGE('Assumptions (MSW)'!$O$2:$Q$2)/10^9,0)</f>
        <v>3.7698006523000711E-2</v>
      </c>
      <c r="AA1962" s="105">
        <f>IF($S$1785&gt;0,'Assumptions (MSW)'!AD$10*Model!$S$1785*AVERAGE('Assumptions (MSW)'!$O$2:$Q$2)/10^9,0)</f>
        <v>3.7761901449310881E-2</v>
      </c>
      <c r="AB1962" s="105">
        <f>IF($S$1785&gt;0,'Assumptions (MSW)'!AE$10*Model!$S$1785*AVERAGE('Assumptions (MSW)'!$O$2:$Q$2)/10^9,0)</f>
        <v>3.7698006523000711E-2</v>
      </c>
      <c r="AC1962" s="105">
        <f>IF($S$1785&gt;0,'Assumptions (MSW)'!AF$10*Model!$S$1785*AVERAGE('Assumptions (MSW)'!$O$2:$Q$2)/10^9,0)</f>
        <v>3.7761901449310881E-2</v>
      </c>
      <c r="AD1962" s="105">
        <f>IF($S$1785&gt;0,'Assumptions (MSW)'!AG$10*Model!$S$1785*AVERAGE('Assumptions (MSW)'!$O$2:$Q$2)/10^9,0)</f>
        <v>3.7698006523000711E-2</v>
      </c>
      <c r="AE1962" s="105">
        <f>IF($S$1785&gt;0,'Assumptions (MSW)'!AH$10*Model!$S$1785*AVERAGE('Assumptions (MSW)'!$O$2:$Q$2)/10^9,0)</f>
        <v>3.7761901449310881E-2</v>
      </c>
      <c r="AF1962" s="105">
        <f>IF($S$1785&gt;0,'Assumptions (MSW)'!AI$10*Model!$S$1785*AVERAGE('Assumptions (MSW)'!$O$2:$Q$2)/10^9,0)</f>
        <v>3.7698006523000711E-2</v>
      </c>
      <c r="AG1962" s="105">
        <f>IF($S$1785&gt;0,'Assumptions (MSW)'!AJ$10*Model!$S$1785*AVERAGE('Assumptions (MSW)'!$O$2:$Q$2)/10^9,0)</f>
        <v>3.7761901449310881E-2</v>
      </c>
      <c r="AH1962" s="105">
        <f>IF($S$1785&gt;0,'Assumptions (MSW)'!AK$10*Model!$S$1785*AVERAGE('Assumptions (MSW)'!$O$2:$Q$2)/10^9,0)</f>
        <v>1.8849003261500356E-2</v>
      </c>
      <c r="AI1962" s="105"/>
      <c r="AJ1962" s="105"/>
      <c r="AK1962" s="105"/>
    </row>
    <row r="1963" spans="1:53" ht="15.75" hidden="1" customHeight="1" outlineLevel="1">
      <c r="A1963" s="435"/>
      <c r="B1963" s="99"/>
      <c r="C1963" s="105"/>
      <c r="D1963" s="105"/>
      <c r="E1963" s="105"/>
      <c r="F1963" s="105"/>
      <c r="G1963" s="105"/>
      <c r="H1963" s="105"/>
      <c r="I1963" s="105"/>
      <c r="J1963" s="105"/>
      <c r="K1963" s="105"/>
      <c r="L1963" s="105"/>
      <c r="M1963" s="105"/>
      <c r="N1963" s="105"/>
      <c r="O1963" s="105"/>
      <c r="P1963" s="171"/>
      <c r="Q1963" s="105"/>
      <c r="R1963" s="91"/>
      <c r="S1963" s="91"/>
      <c r="T1963" s="105">
        <f>IF($T$1785&gt;0,'Assumptions (MSW)'!V$10*Model!$T$1785*AVERAGE('Assumptions (MSW)'!$P$2:$R$2)/10^9,0)</f>
        <v>1.2472320670387513E-2</v>
      </c>
      <c r="U1963" s="105">
        <f>IF($T$1785&gt;0,'Assumptions (MSW)'!W$10*Model!$T$1785*AVERAGE('Assumptions (MSW)'!$P$2:$R$2)/10^9,0)</f>
        <v>2.3697409273736276E-2</v>
      </c>
      <c r="V1963" s="105">
        <f>IF($T$1785&gt;0,'Assumptions (MSW)'!X$10*Model!$T$1785*AVERAGE('Assumptions (MSW)'!$P$2:$R$2)/10^9,0)</f>
        <v>2.1327668346362651E-2</v>
      </c>
      <c r="W1963" s="105">
        <f>IF($T$1785&gt;0,'Assumptions (MSW)'!Y$10*Model!$T$1785*AVERAGE('Assumptions (MSW)'!$P$2:$R$2)/10^9,0)</f>
        <v>1.9207373832396773E-2</v>
      </c>
      <c r="X1963" s="105">
        <f>IF($T$1785&gt;0,'Assumptions (MSW)'!Z$10*Model!$T$1785*AVERAGE('Assumptions (MSW)'!$P$2:$R$2)/10^9,0)</f>
        <v>1.7286636449157091E-2</v>
      </c>
      <c r="Y1963" s="105">
        <f>IF($T$1785&gt;0,'Assumptions (MSW)'!AA$10*Model!$T$1785*AVERAGE('Assumptions (MSW)'!$P$2:$R$2)/10^9,0)</f>
        <v>1.5540511555302842E-2</v>
      </c>
      <c r="Z1963" s="105">
        <f>IF($T$1785&gt;0,'Assumptions (MSW)'!AB$10*Model!$T$1785*AVERAGE('Assumptions (MSW)'!$P$2:$R$2)/10^9,0)</f>
        <v>1.4717338391057265E-2</v>
      </c>
      <c r="AA1963" s="105">
        <f>IF($T$1785&gt;0,'Assumptions (MSW)'!AC$10*Model!$T$1785*AVERAGE('Assumptions (MSW)'!$P$2:$R$2)/10^9,0)</f>
        <v>1.4717338391057265E-2</v>
      </c>
      <c r="AB1963" s="105">
        <f>IF($T$1785&gt;0,'Assumptions (MSW)'!AD$10*Model!$T$1785*AVERAGE('Assumptions (MSW)'!$P$2:$R$2)/10^9,0)</f>
        <v>1.4742283032398041E-2</v>
      </c>
      <c r="AC1963" s="105">
        <f>IF($T$1785&gt;0,'Assumptions (MSW)'!AE$10*Model!$T$1785*AVERAGE('Assumptions (MSW)'!$P$2:$R$2)/10^9,0)</f>
        <v>1.4717338391057265E-2</v>
      </c>
      <c r="AD1963" s="105">
        <f>IF($T$1785&gt;0,'Assumptions (MSW)'!AF$10*Model!$T$1785*AVERAGE('Assumptions (MSW)'!$P$2:$R$2)/10^9,0)</f>
        <v>1.4742283032398041E-2</v>
      </c>
      <c r="AE1963" s="105">
        <f>IF($T$1785&gt;0,'Assumptions (MSW)'!AG$10*Model!$T$1785*AVERAGE('Assumptions (MSW)'!$P$2:$R$2)/10^9,0)</f>
        <v>1.4717338391057265E-2</v>
      </c>
      <c r="AF1963" s="105">
        <f>IF($T$1785&gt;0,'Assumptions (MSW)'!AH$10*Model!$T$1785*AVERAGE('Assumptions (MSW)'!$P$2:$R$2)/10^9,0)</f>
        <v>1.4742283032398041E-2</v>
      </c>
      <c r="AG1963" s="105">
        <f>IF($T$1785&gt;0,'Assumptions (MSW)'!AI$10*Model!$T$1785*AVERAGE('Assumptions (MSW)'!$P$2:$R$2)/10^9,0)</f>
        <v>1.4717338391057265E-2</v>
      </c>
      <c r="AH1963" s="105">
        <f>IF($T$1785&gt;0,'Assumptions (MSW)'!AJ$10*Model!$T$1785*AVERAGE('Assumptions (MSW)'!$P$2:$R$2)/10^9,0)</f>
        <v>1.4742283032398041E-2</v>
      </c>
      <c r="AI1963" s="105">
        <f>IF($T$1785&gt;0,'Assumptions (MSW)'!AK$10*Model!$T$1785*AVERAGE('Assumptions (MSW)'!$P$2:$R$2)/10^9,0)</f>
        <v>7.3586691955286323E-3</v>
      </c>
      <c r="AJ1963" s="105"/>
      <c r="AK1963" s="105"/>
    </row>
    <row r="1964" spans="1:53" ht="15.75" hidden="1" customHeight="1" outlineLevel="1">
      <c r="A1964" s="435"/>
      <c r="B1964" s="99"/>
      <c r="C1964" s="105"/>
      <c r="D1964" s="105"/>
      <c r="E1964" s="105"/>
      <c r="F1964" s="105"/>
      <c r="G1964" s="105"/>
      <c r="H1964" s="105"/>
      <c r="I1964" s="105"/>
      <c r="J1964" s="105"/>
      <c r="K1964" s="105"/>
      <c r="L1964" s="105"/>
      <c r="M1964" s="105"/>
      <c r="N1964" s="105"/>
      <c r="O1964" s="105"/>
      <c r="P1964" s="171"/>
      <c r="Q1964" s="105"/>
      <c r="R1964" s="91"/>
      <c r="S1964" s="91"/>
      <c r="T1964" s="91"/>
      <c r="U1964" s="105">
        <f>IF($U$1785&gt;0,'Assumptions (MSW)'!V$10*Model!$U$1785*AVERAGE('Assumptions (MSW)'!$Q$2:$S$2)/10^9,0)</f>
        <v>6.4618499473245792E-4</v>
      </c>
      <c r="V1964" s="105">
        <f>IF($U$1785&gt;0,'Assumptions (MSW)'!W$10*Model!$U$1785*AVERAGE('Assumptions (MSW)'!$Q$2:$S$2)/10^9,0)</f>
        <v>1.2277514899916701E-3</v>
      </c>
      <c r="W1964" s="105">
        <f>IF($U$1785&gt;0,'Assumptions (MSW)'!X$10*Model!$U$1785*AVERAGE('Assumptions (MSW)'!$Q$2:$S$2)/10^9,0)</f>
        <v>1.1049763409925028E-3</v>
      </c>
      <c r="X1964" s="105">
        <f>IF($U$1785&gt;0,'Assumptions (MSW)'!Y$10*Model!$U$1785*AVERAGE('Assumptions (MSW)'!$Q$2:$S$2)/10^9,0)</f>
        <v>9.9512489188798513E-4</v>
      </c>
      <c r="Y1964" s="105">
        <f>IF($U$1785&gt;0,'Assumptions (MSW)'!Z$10*Model!$U$1785*AVERAGE('Assumptions (MSW)'!$Q$2:$S$2)/10^9,0)</f>
        <v>8.9561240269918645E-4</v>
      </c>
      <c r="Z1964" s="105">
        <f>IF($U$1785&gt;0,'Assumptions (MSW)'!AA$10*Model!$U$1785*AVERAGE('Assumptions (MSW)'!$Q$2:$S$2)/10^9,0)</f>
        <v>8.0514650343664249E-4</v>
      </c>
      <c r="AA1964" s="105">
        <f>IF($U$1785&gt;0,'Assumptions (MSW)'!AB$10*Model!$U$1785*AVERAGE('Assumptions (MSW)'!$Q$2:$S$2)/10^9,0)</f>
        <v>7.6249829378430007E-4</v>
      </c>
      <c r="AB1964" s="105">
        <f>IF($U$1785&gt;0,'Assumptions (MSW)'!AC$10*Model!$U$1785*AVERAGE('Assumptions (MSW)'!$Q$2:$S$2)/10^9,0)</f>
        <v>7.6249829378430007E-4</v>
      </c>
      <c r="AC1964" s="105">
        <f>IF($U$1785&gt;0,'Assumptions (MSW)'!AD$10*Model!$U$1785*AVERAGE('Assumptions (MSW)'!$Q$2:$S$2)/10^9,0)</f>
        <v>7.637906637737651E-4</v>
      </c>
      <c r="AD1964" s="105">
        <f>IF($U$1785&gt;0,'Assumptions (MSW)'!AE$10*Model!$U$1785*AVERAGE('Assumptions (MSW)'!$Q$2:$S$2)/10^9,0)</f>
        <v>7.6249829378430007E-4</v>
      </c>
      <c r="AE1964" s="105">
        <f>IF($U$1785&gt;0,'Assumptions (MSW)'!AF$10*Model!$U$1785*AVERAGE('Assumptions (MSW)'!$Q$2:$S$2)/10^9,0)</f>
        <v>7.637906637737651E-4</v>
      </c>
      <c r="AF1964" s="105">
        <f>IF($U$1785&gt;0,'Assumptions (MSW)'!AG$10*Model!$U$1785*AVERAGE('Assumptions (MSW)'!$Q$2:$S$2)/10^9,0)</f>
        <v>7.6249829378430007E-4</v>
      </c>
      <c r="AG1964" s="105">
        <f>IF($U$1785&gt;0,'Assumptions (MSW)'!AH$10*Model!$U$1785*AVERAGE('Assumptions (MSW)'!$Q$2:$S$2)/10^9,0)</f>
        <v>7.637906637737651E-4</v>
      </c>
      <c r="AH1964" s="105">
        <f>IF($U$1785&gt;0,'Assumptions (MSW)'!AI$10*Model!$U$1785*AVERAGE('Assumptions (MSW)'!$Q$2:$S$2)/10^9,0)</f>
        <v>7.6249829378430007E-4</v>
      </c>
      <c r="AI1964" s="105">
        <f>IF($U$1785&gt;0,'Assumptions (MSW)'!AJ$10*Model!$U$1785*AVERAGE('Assumptions (MSW)'!$Q$2:$S$2)/10^9,0)</f>
        <v>7.637906637737651E-4</v>
      </c>
      <c r="AJ1964" s="105">
        <f>IF($U$1785&gt;0,'Assumptions (MSW)'!AK$10*Model!$U$1785*AVERAGE('Assumptions (MSW)'!$Q$2:$S$2)/10^9,0)</f>
        <v>3.8124914689215004E-4</v>
      </c>
      <c r="AK1964" s="105"/>
    </row>
    <row r="1965" spans="1:53" ht="15.75" hidden="1" customHeight="1" outlineLevel="1">
      <c r="A1965" s="435"/>
      <c r="B1965" s="99"/>
      <c r="C1965" s="105"/>
      <c r="D1965" s="105"/>
      <c r="E1965" s="105"/>
      <c r="F1965" s="105"/>
      <c r="G1965" s="105"/>
      <c r="H1965" s="105"/>
      <c r="I1965" s="105"/>
      <c r="J1965" s="105"/>
      <c r="K1965" s="105"/>
      <c r="L1965" s="105"/>
      <c r="M1965" s="105"/>
      <c r="N1965" s="105"/>
      <c r="O1965" s="105"/>
      <c r="P1965" s="171"/>
      <c r="Q1965" s="105"/>
      <c r="R1965" s="91"/>
      <c r="S1965" s="91"/>
      <c r="T1965" s="91"/>
      <c r="U1965" s="105"/>
      <c r="V1965" s="105">
        <f>IF($V$1785&gt;0,'Assumptions (MSW)'!V$10*Model!$V$1785*AVERAGE('Assumptions (MSW)'!$R$2:$T$2)/10^9,0)</f>
        <v>1.8949374970529324E-3</v>
      </c>
      <c r="W1965" s="105">
        <f>IF($V$1785&gt;0,'Assumptions (MSW)'!W$10*Model!$V$1785*AVERAGE('Assumptions (MSW)'!$R$2:$T$2)/10^9,0)</f>
        <v>3.6003812444005715E-3</v>
      </c>
      <c r="X1965" s="105">
        <f>IF($V$1785&gt;0,'Assumptions (MSW)'!X$10*Model!$V$1785*AVERAGE('Assumptions (MSW)'!$R$2:$T$2)/10^9,0)</f>
        <v>3.2403431199605147E-3</v>
      </c>
      <c r="Y1965" s="105">
        <f>IF($V$1785&gt;0,'Assumptions (MSW)'!Y$10*Model!$V$1785*AVERAGE('Assumptions (MSW)'!$R$2:$T$2)/10^9,0)</f>
        <v>2.9182037454615162E-3</v>
      </c>
      <c r="Z1965" s="105">
        <f>IF($V$1785&gt;0,'Assumptions (MSW)'!Z$10*Model!$V$1785*AVERAGE('Assumptions (MSW)'!$R$2:$T$2)/10^9,0)</f>
        <v>2.6263833709153643E-3</v>
      </c>
      <c r="AA1965" s="105">
        <f>IF($V$1785&gt;0,'Assumptions (MSW)'!AA$10*Model!$V$1785*AVERAGE('Assumptions (MSW)'!$R$2:$T$2)/10^9,0)</f>
        <v>2.3610921213279537E-3</v>
      </c>
      <c r="AB1965" s="105">
        <f>IF($V$1785&gt;0,'Assumptions (MSW)'!AB$10*Model!$V$1785*AVERAGE('Assumptions (MSW)'!$R$2:$T$2)/10^9,0)</f>
        <v>2.2360262465224603E-3</v>
      </c>
      <c r="AC1965" s="105">
        <f>IF($V$1785&gt;0,'Assumptions (MSW)'!AC$10*Model!$V$1785*AVERAGE('Assumptions (MSW)'!$R$2:$T$2)/10^9,0)</f>
        <v>2.2360262465224603E-3</v>
      </c>
      <c r="AD1965" s="105">
        <f>IF($V$1785&gt;0,'Assumptions (MSW)'!AD$10*Model!$V$1785*AVERAGE('Assumptions (MSW)'!$R$2:$T$2)/10^9,0)</f>
        <v>2.2398161215165663E-3</v>
      </c>
      <c r="AE1965" s="105">
        <f>IF($V$1785&gt;0,'Assumptions (MSW)'!AE$10*Model!$V$1785*AVERAGE('Assumptions (MSW)'!$R$2:$T$2)/10^9,0)</f>
        <v>2.2360262465224603E-3</v>
      </c>
      <c r="AF1965" s="105">
        <f>IF($V$1785&gt;0,'Assumptions (MSW)'!AF$10*Model!$V$1785*AVERAGE('Assumptions (MSW)'!$R$2:$T$2)/10^9,0)</f>
        <v>2.2398161215165663E-3</v>
      </c>
      <c r="AG1965" s="105">
        <f>IF($V$1785&gt;0,'Assumptions (MSW)'!AG$10*Model!$V$1785*AVERAGE('Assumptions (MSW)'!$R$2:$T$2)/10^9,0)</f>
        <v>2.2360262465224603E-3</v>
      </c>
      <c r="AH1965" s="105">
        <f>IF($V$1785&gt;0,'Assumptions (MSW)'!AH$10*Model!$V$1785*AVERAGE('Assumptions (MSW)'!$R$2:$T$2)/10^9,0)</f>
        <v>2.2398161215165663E-3</v>
      </c>
      <c r="AI1965" s="105">
        <f>IF($V$1785&gt;0,'Assumptions (MSW)'!AI$10*Model!$V$1785*AVERAGE('Assumptions (MSW)'!$R$2:$T$2)/10^9,0)</f>
        <v>2.2360262465224603E-3</v>
      </c>
      <c r="AJ1965" s="105">
        <f>IF($V$1785&gt;0,'Assumptions (MSW)'!AJ$10*Model!$V$1785*AVERAGE('Assumptions (MSW)'!$R$2:$T$2)/10^9,0)</f>
        <v>2.2398161215165663E-3</v>
      </c>
      <c r="AK1965" s="105">
        <f>IF($V$1785&gt;0,'Assumptions (MSW)'!AK$10*Model!$V$1785*AVERAGE('Assumptions (MSW)'!$R$2:$T$2)/10^9,0)</f>
        <v>1.1180131232612302E-3</v>
      </c>
    </row>
    <row r="1966" spans="1:53" ht="15.75" hidden="1" customHeight="1" outlineLevel="1">
      <c r="A1966" s="435"/>
      <c r="B1966" s="99"/>
      <c r="C1966" s="99"/>
      <c r="D1966" s="99"/>
      <c r="E1966" s="99"/>
      <c r="F1966" s="99"/>
      <c r="G1966" s="99"/>
      <c r="H1966" s="99"/>
      <c r="I1966" s="99"/>
      <c r="J1966" s="99"/>
      <c r="K1966" s="99"/>
      <c r="L1966" s="99"/>
      <c r="M1966" s="99"/>
      <c r="N1966" s="99"/>
      <c r="O1966" s="99"/>
      <c r="P1966" s="99"/>
      <c r="Q1966" s="99"/>
      <c r="R1966" s="99"/>
      <c r="S1966" s="99"/>
      <c r="T1966" s="99"/>
      <c r="U1966" s="99"/>
      <c r="V1966" s="99"/>
      <c r="W1966" s="105">
        <f>IF($W$1785&gt;0,'Assumptions (MSW)'!V10*Model!$W$1785*'Assumptions (MSW)'!$V$2/10^9,0)</f>
        <v>0</v>
      </c>
      <c r="X1966" s="105">
        <f>IF($W$1785&gt;0,'Assumptions (MSW)'!W10*Model!$W$1785*'Assumptions (MSW)'!$V$2/10^9,0)</f>
        <v>0</v>
      </c>
      <c r="Y1966" s="105">
        <f>IF($W$1785&gt;0,'Assumptions (MSW)'!X10*Model!$W$1785*'Assumptions (MSW)'!$V$2/10^9,0)</f>
        <v>0</v>
      </c>
      <c r="Z1966" s="105">
        <f>IF($W$1785&gt;0,'Assumptions (MSW)'!Y10*Model!$W$1785*'Assumptions (MSW)'!$V$2/10^9,0)</f>
        <v>0</v>
      </c>
      <c r="AA1966" s="105">
        <f>IF($W$1785&gt;0,'Assumptions (MSW)'!Z10*Model!$W$1785*'Assumptions (MSW)'!$V$2/10^9,0)</f>
        <v>0</v>
      </c>
      <c r="AB1966" s="105">
        <f>IF($W$1785&gt;0,'Assumptions (MSW)'!AA10*Model!$W$1785*'Assumptions (MSW)'!$V$2/10^9,0)</f>
        <v>0</v>
      </c>
      <c r="AC1966" s="105">
        <f>IF($W$1785&gt;0,'Assumptions (MSW)'!AB10*Model!$W$1785*'Assumptions (MSW)'!$V$2/10^9,0)</f>
        <v>0</v>
      </c>
      <c r="AD1966" s="105">
        <f>IF($W$1785&gt;0,'Assumptions (MSW)'!AC10*Model!$W$1785*'Assumptions (MSW)'!$V$2/10^9,0)</f>
        <v>0</v>
      </c>
      <c r="AE1966" s="105">
        <f>IF($W$1785&gt;0,'Assumptions (MSW)'!AD10*Model!$W$1785*'Assumptions (MSW)'!$V$2/10^9,0)</f>
        <v>0</v>
      </c>
      <c r="AF1966" s="105">
        <f>IF($W$1785&gt;0,'Assumptions (MSW)'!AE10*Model!$W$1785*'Assumptions (MSW)'!$V$2/10^9,0)</f>
        <v>0</v>
      </c>
      <c r="AG1966" s="105">
        <f>IF($W$1785&gt;0,'Assumptions (MSW)'!AF10*Model!$W$1785*'Assumptions (MSW)'!$V$2/10^9,0)</f>
        <v>0</v>
      </c>
      <c r="AH1966" s="105">
        <f>IF($W$1785&gt;0,'Assumptions (MSW)'!AG10*Model!$W$1785*'Assumptions (MSW)'!$V$2/10^9,0)</f>
        <v>0</v>
      </c>
      <c r="AI1966" s="105">
        <f>IF($W$1785&gt;0,'Assumptions (MSW)'!AH10*Model!$W$1785*'Assumptions (MSW)'!$V$2/10^9,0)</f>
        <v>0</v>
      </c>
      <c r="AJ1966" s="105">
        <f>IF($W$1785&gt;0,'Assumptions (MSW)'!AI10*Model!$W$1785*'Assumptions (MSW)'!$V$2/10^9,0)</f>
        <v>0</v>
      </c>
      <c r="AK1966" s="105">
        <f>IF($W$1785&gt;0,'Assumptions (MSW)'!AJ10*Model!$W$1785*'Assumptions (MSW)'!$V$2/10^9,0)</f>
        <v>0</v>
      </c>
      <c r="AL1966" s="105">
        <f>IF($W$1785&gt;0,'Assumptions (MSW)'!AK10*Model!$W$1785*'Assumptions (MSW)'!$V$2/10^9,0)</f>
        <v>0</v>
      </c>
      <c r="AM1966" s="105"/>
      <c r="AN1966" s="105"/>
      <c r="AO1966" s="105"/>
      <c r="AP1966" s="105"/>
      <c r="AQ1966" s="105"/>
      <c r="AR1966" s="105"/>
      <c r="AS1966" s="105"/>
      <c r="AT1966" s="105"/>
      <c r="AU1966" s="105"/>
      <c r="AV1966" s="105"/>
      <c r="AW1966" s="105"/>
      <c r="AX1966" s="105"/>
      <c r="AY1966" s="105"/>
      <c r="AZ1966" s="105"/>
      <c r="BA1966" s="105"/>
    </row>
    <row r="1967" spans="1:53" ht="15.75" hidden="1" customHeight="1" outlineLevel="1">
      <c r="A1967" s="435"/>
      <c r="B1967" s="99"/>
      <c r="C1967" s="99"/>
      <c r="D1967" s="99"/>
      <c r="E1967" s="99"/>
      <c r="F1967" s="99"/>
      <c r="G1967" s="99"/>
      <c r="H1967" s="99"/>
      <c r="I1967" s="99"/>
      <c r="J1967" s="99"/>
      <c r="K1967" s="99"/>
      <c r="L1967" s="99"/>
      <c r="M1967" s="99"/>
      <c r="N1967" s="99"/>
      <c r="O1967" s="99"/>
      <c r="P1967" s="99"/>
      <c r="Q1967" s="99"/>
      <c r="R1967" s="99"/>
      <c r="S1967" s="99"/>
      <c r="T1967" s="99"/>
      <c r="U1967" s="99"/>
      <c r="V1967" s="99"/>
      <c r="W1967" s="105"/>
      <c r="X1967" s="105">
        <f>IF($X$1785&gt;0,'Assumptions (MSW)'!V10*Model!$X$1785*'Assumptions (MSW)'!$V$2/10^9,0)</f>
        <v>0</v>
      </c>
      <c r="Y1967" s="105">
        <f>IF($X$1785&gt;0,'Assumptions (MSW)'!W10*Model!$X$1785*'Assumptions (MSW)'!$V$2/10^9,0)</f>
        <v>0</v>
      </c>
      <c r="Z1967" s="105">
        <f>IF($X$1785&gt;0,'Assumptions (MSW)'!X10*Model!$X$1785*'Assumptions (MSW)'!$V$2/10^9,0)</f>
        <v>0</v>
      </c>
      <c r="AA1967" s="105">
        <f>IF($X$1785&gt;0,'Assumptions (MSW)'!Y10*Model!$X$1785*'Assumptions (MSW)'!$V$2/10^9,0)</f>
        <v>0</v>
      </c>
      <c r="AB1967" s="105">
        <f>IF($X$1785&gt;0,'Assumptions (MSW)'!Z10*Model!$X$1785*'Assumptions (MSW)'!$V$2/10^9,0)</f>
        <v>0</v>
      </c>
      <c r="AC1967" s="105">
        <f>IF($X$1785&gt;0,'Assumptions (MSW)'!AA10*Model!$X$1785*'Assumptions (MSW)'!$V$2/10^9,0)</f>
        <v>0</v>
      </c>
      <c r="AD1967" s="105">
        <f>IF($X$1785&gt;0,'Assumptions (MSW)'!AB10*Model!$X$1785*'Assumptions (MSW)'!$V$2/10^9,0)</f>
        <v>0</v>
      </c>
      <c r="AE1967" s="105">
        <f>IF($X$1785&gt;0,'Assumptions (MSW)'!AC10*Model!$X$1785*'Assumptions (MSW)'!$V$2/10^9,0)</f>
        <v>0</v>
      </c>
      <c r="AF1967" s="105">
        <f>IF($X$1785&gt;0,'Assumptions (MSW)'!AD10*Model!$X$1785*'Assumptions (MSW)'!$V$2/10^9,0)</f>
        <v>0</v>
      </c>
      <c r="AG1967" s="105">
        <f>IF($X$1785&gt;0,'Assumptions (MSW)'!AE10*Model!$X$1785*'Assumptions (MSW)'!$V$2/10^9,0)</f>
        <v>0</v>
      </c>
      <c r="AH1967" s="105">
        <f>IF($X$1785&gt;0,'Assumptions (MSW)'!AF10*Model!$X$1785*'Assumptions (MSW)'!$V$2/10^9,0)</f>
        <v>0</v>
      </c>
      <c r="AI1967" s="105">
        <f>IF($X$1785&gt;0,'Assumptions (MSW)'!AG10*Model!$X$1785*'Assumptions (MSW)'!$V$2/10^9,0)</f>
        <v>0</v>
      </c>
      <c r="AJ1967" s="105">
        <f>IF($X$1785&gt;0,'Assumptions (MSW)'!AH10*Model!$X$1785*'Assumptions (MSW)'!$V$2/10^9,0)</f>
        <v>0</v>
      </c>
      <c r="AK1967" s="105">
        <f>IF($X$1785&gt;0,'Assumptions (MSW)'!AI10*Model!$X$1785*'Assumptions (MSW)'!$V$2/10^9,0)</f>
        <v>0</v>
      </c>
      <c r="AL1967" s="105">
        <f>IF($X$1785&gt;0,'Assumptions (MSW)'!AJ10*Model!$X$1785*'Assumptions (MSW)'!$V$2/10^9,0)</f>
        <v>0</v>
      </c>
      <c r="AM1967" s="105">
        <f>IF($X$1785&gt;0,'Assumptions (MSW)'!AK10*Model!$X$1785*'Assumptions (MSW)'!$V$2/10^9,0)</f>
        <v>0</v>
      </c>
      <c r="AN1967" s="105"/>
      <c r="AO1967" s="105"/>
      <c r="AP1967" s="105"/>
      <c r="AQ1967" s="105"/>
      <c r="AR1967" s="105"/>
      <c r="AS1967" s="105"/>
      <c r="AT1967" s="105"/>
      <c r="AU1967" s="105"/>
      <c r="AV1967" s="105"/>
      <c r="AW1967" s="105"/>
      <c r="AX1967" s="105"/>
      <c r="AY1967" s="105"/>
      <c r="AZ1967" s="105"/>
      <c r="BA1967" s="105"/>
    </row>
    <row r="1968" spans="1:53" ht="15.75" hidden="1" customHeight="1" outlineLevel="1">
      <c r="A1968" s="435"/>
      <c r="B1968" s="99"/>
      <c r="C1968" s="99"/>
      <c r="D1968" s="99"/>
      <c r="E1968" s="99"/>
      <c r="F1968" s="99"/>
      <c r="G1968" s="99"/>
      <c r="H1968" s="99"/>
      <c r="I1968" s="99"/>
      <c r="J1968" s="99"/>
      <c r="K1968" s="99"/>
      <c r="L1968" s="99"/>
      <c r="M1968" s="99"/>
      <c r="N1968" s="99"/>
      <c r="O1968" s="99"/>
      <c r="P1968" s="99"/>
      <c r="Q1968" s="99"/>
      <c r="R1968" s="99"/>
      <c r="S1968" s="99"/>
      <c r="T1968" s="99"/>
      <c r="U1968" s="99"/>
      <c r="V1968" s="99"/>
      <c r="W1968" s="105"/>
      <c r="X1968" s="105"/>
      <c r="Y1968" s="105">
        <f>IF($Y$1785&gt;0,'Assumptions (MSW)'!V10*Model!$Y$1785*AVERAGE('Assumptions (MSW)'!$V$2:$W$2)/10^9,0)</f>
        <v>0</v>
      </c>
      <c r="Z1968" s="105">
        <f>IF($Y$1785&gt;0,'Assumptions (MSW)'!W10*Model!$Y$1785*AVERAGE('Assumptions (MSW)'!$V$2:$W$2)/10^9,0)</f>
        <v>0</v>
      </c>
      <c r="AA1968" s="105">
        <f>IF($Y$1785&gt;0,'Assumptions (MSW)'!X10*Model!$Y$1785*AVERAGE('Assumptions (MSW)'!$V$2:$W$2)/10^9,0)</f>
        <v>0</v>
      </c>
      <c r="AB1968" s="105">
        <f>IF($Y$1785&gt;0,'Assumptions (MSW)'!Y10*Model!$Y$1785*AVERAGE('Assumptions (MSW)'!$V$2:$W$2)/10^9,0)</f>
        <v>0</v>
      </c>
      <c r="AC1968" s="105">
        <f>IF($Y$1785&gt;0,'Assumptions (MSW)'!Z10*Model!$Y$1785*AVERAGE('Assumptions (MSW)'!$V$2:$W$2)/10^9,0)</f>
        <v>0</v>
      </c>
      <c r="AD1968" s="105">
        <f>IF($Y$1785&gt;0,'Assumptions (MSW)'!AA10*Model!$Y$1785*AVERAGE('Assumptions (MSW)'!$V$2:$W$2)/10^9,0)</f>
        <v>0</v>
      </c>
      <c r="AE1968" s="105">
        <f>IF($Y$1785&gt;0,'Assumptions (MSW)'!AB10*Model!$Y$1785*AVERAGE('Assumptions (MSW)'!$V$2:$W$2)/10^9,0)</f>
        <v>0</v>
      </c>
      <c r="AF1968" s="105">
        <f>IF($Y$1785&gt;0,'Assumptions (MSW)'!AC10*Model!$Y$1785*AVERAGE('Assumptions (MSW)'!$V$2:$W$2)/10^9,0)</f>
        <v>0</v>
      </c>
      <c r="AG1968" s="105">
        <f>IF($Y$1785&gt;0,'Assumptions (MSW)'!AD10*Model!$Y$1785*AVERAGE('Assumptions (MSW)'!$V$2:$W$2)/10^9,0)</f>
        <v>0</v>
      </c>
      <c r="AH1968" s="105">
        <f>IF($Y$1785&gt;0,'Assumptions (MSW)'!AE10*Model!$Y$1785*AVERAGE('Assumptions (MSW)'!$V$2:$W$2)/10^9,0)</f>
        <v>0</v>
      </c>
      <c r="AI1968" s="105">
        <f>IF($Y$1785&gt;0,'Assumptions (MSW)'!AF10*Model!$Y$1785*AVERAGE('Assumptions (MSW)'!$V$2:$W$2)/10^9,0)</f>
        <v>0</v>
      </c>
      <c r="AJ1968" s="105">
        <f>IF($Y$1785&gt;0,'Assumptions (MSW)'!AG10*Model!$Y$1785*AVERAGE('Assumptions (MSW)'!$V$2:$W$2)/10^9,0)</f>
        <v>0</v>
      </c>
      <c r="AK1968" s="105">
        <f>IF($Y$1785&gt;0,'Assumptions (MSW)'!AH10*Model!$Y$1785*AVERAGE('Assumptions (MSW)'!$V$2:$W$2)/10^9,0)</f>
        <v>0</v>
      </c>
      <c r="AL1968" s="105">
        <f>IF($Y$1785&gt;0,'Assumptions (MSW)'!AI10*Model!$Y$1785*AVERAGE('Assumptions (MSW)'!$V$2:$W$2)/10^9,0)</f>
        <v>0</v>
      </c>
      <c r="AM1968" s="105">
        <f>IF($Y$1785&gt;0,'Assumptions (MSW)'!AJ10*Model!$Y$1785*AVERAGE('Assumptions (MSW)'!$V$2:$W$2)/10^9,0)</f>
        <v>0</v>
      </c>
      <c r="AN1968" s="105">
        <f>IF($Y$1785&gt;0,'Assumptions (MSW)'!AK10*Model!$Y$1785*AVERAGE('Assumptions (MSW)'!$V$2:$W$2)/10^9,0)</f>
        <v>0</v>
      </c>
      <c r="AO1968" s="105"/>
      <c r="AP1968" s="105"/>
      <c r="AQ1968" s="105"/>
      <c r="AR1968" s="105"/>
      <c r="AS1968" s="105"/>
      <c r="AT1968" s="105"/>
      <c r="AU1968" s="105"/>
      <c r="AV1968" s="105"/>
      <c r="AW1968" s="105"/>
      <c r="AX1968" s="105"/>
      <c r="AY1968" s="105"/>
      <c r="AZ1968" s="105"/>
      <c r="BA1968" s="105"/>
    </row>
    <row r="1969" spans="1:65" ht="15.75" hidden="1" customHeight="1" outlineLevel="1">
      <c r="A1969" s="435"/>
      <c r="B1969" s="99"/>
      <c r="C1969" s="99"/>
      <c r="D1969" s="99"/>
      <c r="E1969" s="99"/>
      <c r="F1969" s="99"/>
      <c r="G1969" s="99"/>
      <c r="H1969" s="99"/>
      <c r="I1969" s="99"/>
      <c r="J1969" s="99"/>
      <c r="K1969" s="99"/>
      <c r="L1969" s="99"/>
      <c r="M1969" s="99"/>
      <c r="N1969" s="99"/>
      <c r="O1969" s="99"/>
      <c r="P1969" s="99"/>
      <c r="Q1969" s="99"/>
      <c r="R1969" s="99"/>
      <c r="S1969" s="99"/>
      <c r="T1969" s="99"/>
      <c r="U1969" s="99"/>
      <c r="V1969" s="99"/>
      <c r="W1969" s="105"/>
      <c r="X1969" s="105"/>
      <c r="Y1969" s="105"/>
      <c r="Z1969" s="105">
        <f>IF($Z$1785&gt;0,'Assumptions (MSW)'!V10*Model!$Z$1785*AVERAGE('Assumptions (MSW)'!$V$2:$X$2)/10^9,0)</f>
        <v>0</v>
      </c>
      <c r="AA1969" s="105">
        <f>IF($Z$1785&gt;0,'Assumptions (MSW)'!W10*Model!$Z$1785*AVERAGE('Assumptions (MSW)'!$V$2:$X$2)/10^9,0)</f>
        <v>0</v>
      </c>
      <c r="AB1969" s="105">
        <f>IF($Z$1785&gt;0,'Assumptions (MSW)'!X10*Model!$Z$1785*AVERAGE('Assumptions (MSW)'!$V$2:$X$2)/10^9,0)</f>
        <v>0</v>
      </c>
      <c r="AC1969" s="105">
        <f>IF($Z$1785&gt;0,'Assumptions (MSW)'!Y10*Model!$Z$1785*AVERAGE('Assumptions (MSW)'!$V$2:$X$2)/10^9,0)</f>
        <v>0</v>
      </c>
      <c r="AD1969" s="105">
        <f>IF($Z$1785&gt;0,'Assumptions (MSW)'!Z10*Model!$Z$1785*AVERAGE('Assumptions (MSW)'!$V$2:$X$2)/10^9,0)</f>
        <v>0</v>
      </c>
      <c r="AE1969" s="105">
        <f>IF($Z$1785&gt;0,'Assumptions (MSW)'!AA10*Model!$Z$1785*AVERAGE('Assumptions (MSW)'!$V$2:$X$2)/10^9,0)</f>
        <v>0</v>
      </c>
      <c r="AF1969" s="105">
        <f>IF($Z$1785&gt;0,'Assumptions (MSW)'!AB10*Model!$Z$1785*AVERAGE('Assumptions (MSW)'!$V$2:$X$2)/10^9,0)</f>
        <v>0</v>
      </c>
      <c r="AG1969" s="105">
        <f>IF($Z$1785&gt;0,'Assumptions (MSW)'!AC10*Model!$Z$1785*AVERAGE('Assumptions (MSW)'!$V$2:$X$2)/10^9,0)</f>
        <v>0</v>
      </c>
      <c r="AH1969" s="105">
        <f>IF($Z$1785&gt;0,'Assumptions (MSW)'!AD10*Model!$Z$1785*AVERAGE('Assumptions (MSW)'!$V$2:$X$2)/10^9,0)</f>
        <v>0</v>
      </c>
      <c r="AI1969" s="105">
        <f>IF($Z$1785&gt;0,'Assumptions (MSW)'!AE10*Model!$Z$1785*AVERAGE('Assumptions (MSW)'!$V$2:$X$2)/10^9,0)</f>
        <v>0</v>
      </c>
      <c r="AJ1969" s="105">
        <f>IF($Z$1785&gt;0,'Assumptions (MSW)'!AF10*Model!$Z$1785*AVERAGE('Assumptions (MSW)'!$V$2:$X$2)/10^9,0)</f>
        <v>0</v>
      </c>
      <c r="AK1969" s="105">
        <f>IF($Z$1785&gt;0,'Assumptions (MSW)'!AG10*Model!$Z$1785*AVERAGE('Assumptions (MSW)'!$V$2:$X$2)/10^9,0)</f>
        <v>0</v>
      </c>
      <c r="AL1969" s="105">
        <f>IF($Z$1785&gt;0,'Assumptions (MSW)'!AH10*Model!$Z$1785*AVERAGE('Assumptions (MSW)'!$V$2:$X$2)/10^9,0)</f>
        <v>0</v>
      </c>
      <c r="AM1969" s="105">
        <f>IF($Z$1785&gt;0,'Assumptions (MSW)'!AI10*Model!$Z$1785*AVERAGE('Assumptions (MSW)'!$V$2:$X$2)/10^9,0)</f>
        <v>0</v>
      </c>
      <c r="AN1969" s="105">
        <f>IF($Z$1785&gt;0,'Assumptions (MSW)'!AJ10*Model!$Z$1785*AVERAGE('Assumptions (MSW)'!$V$2:$X$2)/10^9,0)</f>
        <v>0</v>
      </c>
      <c r="AO1969" s="105">
        <f>IF($Z$1785&gt;0,'Assumptions (MSW)'!AK10*Model!$Z$1785*AVERAGE('Assumptions (MSW)'!$V$2:$X$2)/10^9,0)</f>
        <v>0</v>
      </c>
      <c r="AP1969" s="105"/>
      <c r="AQ1969" s="105"/>
      <c r="AR1969" s="105"/>
      <c r="AS1969" s="105"/>
      <c r="AT1969" s="105"/>
      <c r="AU1969" s="105"/>
      <c r="AV1969" s="105"/>
      <c r="AW1969" s="105"/>
      <c r="AX1969" s="105"/>
      <c r="AY1969" s="105"/>
      <c r="AZ1969" s="105"/>
      <c r="BA1969" s="105"/>
    </row>
    <row r="1970" spans="1:65" ht="15.75" hidden="1" customHeight="1" outlineLevel="1">
      <c r="A1970" s="435"/>
      <c r="B1970" s="99"/>
      <c r="C1970" s="99"/>
      <c r="D1970" s="99"/>
      <c r="E1970" s="99"/>
      <c r="F1970" s="99"/>
      <c r="G1970" s="99"/>
      <c r="H1970" s="99"/>
      <c r="I1970" s="99"/>
      <c r="J1970" s="99"/>
      <c r="K1970" s="99"/>
      <c r="L1970" s="99"/>
      <c r="M1970" s="99"/>
      <c r="N1970" s="99"/>
      <c r="O1970" s="99"/>
      <c r="P1970" s="99"/>
      <c r="Q1970" s="99"/>
      <c r="R1970" s="99"/>
      <c r="S1970" s="99"/>
      <c r="T1970" s="99"/>
      <c r="U1970" s="99"/>
      <c r="V1970" s="99"/>
      <c r="W1970" s="105"/>
      <c r="X1970" s="105"/>
      <c r="Y1970" s="105"/>
      <c r="Z1970" s="105"/>
      <c r="AA1970" s="105">
        <f>IF($AA$1785&gt;0,'Assumptions (MSW)'!V10*Model!$AA$1785*AVERAGE('Assumptions (MSW)'!$W$2:$Y$2)/10^9,0)</f>
        <v>0</v>
      </c>
      <c r="AB1970" s="105">
        <f>IF($AA$1785&gt;0,'Assumptions (MSW)'!W10*Model!$AA$1785*AVERAGE('Assumptions (MSW)'!$W$2:$Y$2)/10^9,0)</f>
        <v>0</v>
      </c>
      <c r="AC1970" s="105">
        <f>IF($AA$1785&gt;0,'Assumptions (MSW)'!X10*Model!$AA$1785*AVERAGE('Assumptions (MSW)'!$W$2:$Y$2)/10^9,0)</f>
        <v>0</v>
      </c>
      <c r="AD1970" s="105">
        <f>IF($AA$1785&gt;0,'Assumptions (MSW)'!Y10*Model!$AA$1785*AVERAGE('Assumptions (MSW)'!$W$2:$Y$2)/10^9,0)</f>
        <v>0</v>
      </c>
      <c r="AE1970" s="105">
        <f>IF($AA$1785&gt;0,'Assumptions (MSW)'!Z10*Model!$AA$1785*AVERAGE('Assumptions (MSW)'!$W$2:$Y$2)/10^9,0)</f>
        <v>0</v>
      </c>
      <c r="AF1970" s="105">
        <f>IF($AA$1785&gt;0,'Assumptions (MSW)'!AA10*Model!$AA$1785*AVERAGE('Assumptions (MSW)'!$W$2:$Y$2)/10^9,0)</f>
        <v>0</v>
      </c>
      <c r="AG1970" s="105">
        <f>IF($AA$1785&gt;0,'Assumptions (MSW)'!AB10*Model!$AA$1785*AVERAGE('Assumptions (MSW)'!$W$2:$Y$2)/10^9,0)</f>
        <v>0</v>
      </c>
      <c r="AH1970" s="105">
        <f>IF($AA$1785&gt;0,'Assumptions (MSW)'!AC10*Model!$AA$1785*AVERAGE('Assumptions (MSW)'!$W$2:$Y$2)/10^9,0)</f>
        <v>0</v>
      </c>
      <c r="AI1970" s="105">
        <f>IF($AA$1785&gt;0,'Assumptions (MSW)'!AD10*Model!$AA$1785*AVERAGE('Assumptions (MSW)'!$W$2:$Y$2)/10^9,0)</f>
        <v>0</v>
      </c>
      <c r="AJ1970" s="105">
        <f>IF($AA$1785&gt;0,'Assumptions (MSW)'!AE10*Model!$AA$1785*AVERAGE('Assumptions (MSW)'!$W$2:$Y$2)/10^9,0)</f>
        <v>0</v>
      </c>
      <c r="AK1970" s="105">
        <f>IF($AA$1785&gt;0,'Assumptions (MSW)'!AF10*Model!$AA$1785*AVERAGE('Assumptions (MSW)'!$W$2:$Y$2)/10^9,0)</f>
        <v>0</v>
      </c>
      <c r="AL1970" s="105">
        <f>IF($AA$1785&gt;0,'Assumptions (MSW)'!AG10*Model!$AA$1785*AVERAGE('Assumptions (MSW)'!$W$2:$Y$2)/10^9,0)</f>
        <v>0</v>
      </c>
      <c r="AM1970" s="105">
        <f>IF($AA$1785&gt;0,'Assumptions (MSW)'!AH10*Model!$AA$1785*AVERAGE('Assumptions (MSW)'!$W$2:$Y$2)/10^9,0)</f>
        <v>0</v>
      </c>
      <c r="AN1970" s="105">
        <f>IF($AA$1785&gt;0,'Assumptions (MSW)'!AI10*Model!$AA$1785*AVERAGE('Assumptions (MSW)'!$W$2:$Y$2)/10^9,0)</f>
        <v>0</v>
      </c>
      <c r="AO1970" s="105">
        <f>IF($AA$1785&gt;0,'Assumptions (MSW)'!AJ10*Model!$AA$1785*AVERAGE('Assumptions (MSW)'!$W$2:$Y$2)/10^9,0)</f>
        <v>0</v>
      </c>
      <c r="AP1970" s="105">
        <f>IF($AA$1785&gt;0,'Assumptions (MSW)'!AK10*Model!$AA$1785*AVERAGE('Assumptions (MSW)'!$W$2:$Y$2)/10^9,0)</f>
        <v>0</v>
      </c>
      <c r="AQ1970" s="105"/>
      <c r="AR1970" s="105"/>
      <c r="AS1970" s="105"/>
      <c r="AT1970" s="105"/>
      <c r="AU1970" s="105"/>
      <c r="AV1970" s="105"/>
      <c r="AW1970" s="105"/>
      <c r="AX1970" s="105"/>
      <c r="AY1970" s="105"/>
      <c r="AZ1970" s="105"/>
      <c r="BA1970" s="105"/>
    </row>
    <row r="1971" spans="1:65" ht="15.75" hidden="1" customHeight="1" outlineLevel="1">
      <c r="A1971" s="435"/>
      <c r="B1971" s="99"/>
      <c r="C1971" s="99"/>
      <c r="D1971" s="99"/>
      <c r="E1971" s="99"/>
      <c r="F1971" s="99"/>
      <c r="G1971" s="99"/>
      <c r="H1971" s="99"/>
      <c r="I1971" s="99"/>
      <c r="J1971" s="99"/>
      <c r="K1971" s="99"/>
      <c r="L1971" s="99"/>
      <c r="M1971" s="99"/>
      <c r="N1971" s="99"/>
      <c r="O1971" s="99"/>
      <c r="P1971" s="99"/>
      <c r="Q1971" s="99"/>
      <c r="R1971" s="99"/>
      <c r="S1971" s="99"/>
      <c r="T1971" s="99"/>
      <c r="U1971" s="99"/>
      <c r="V1971" s="99"/>
      <c r="W1971" s="105"/>
      <c r="X1971" s="105"/>
      <c r="Y1971" s="105"/>
      <c r="Z1971" s="105"/>
      <c r="AA1971" s="105"/>
      <c r="AB1971" s="105">
        <f>IF($AB$1785&gt;0,'Assumptions (MSW)'!V10*Model!$AB$1785*AVERAGE('Assumptions (MSW)'!$X$2:$Z$2)/10^9,0)</f>
        <v>0</v>
      </c>
      <c r="AC1971" s="105">
        <f>IF($AB$1785&gt;0,'Assumptions (MSW)'!W10*Model!$AB$1785*AVERAGE('Assumptions (MSW)'!$X$2:$Z$2)/10^9,0)</f>
        <v>0</v>
      </c>
      <c r="AD1971" s="105">
        <f>IF($AB$1785&gt;0,'Assumptions (MSW)'!X10*Model!$AB$1785*AVERAGE('Assumptions (MSW)'!$X$2:$Z$2)/10^9,0)</f>
        <v>0</v>
      </c>
      <c r="AE1971" s="105">
        <f>IF($AB$1785&gt;0,'Assumptions (MSW)'!Y10*Model!$AB$1785*AVERAGE('Assumptions (MSW)'!$X$2:$Z$2)/10^9,0)</f>
        <v>0</v>
      </c>
      <c r="AF1971" s="105">
        <f>IF($AB$1785&gt;0,'Assumptions (MSW)'!Z10*Model!$AB$1785*AVERAGE('Assumptions (MSW)'!$X$2:$Z$2)/10^9,0)</f>
        <v>0</v>
      </c>
      <c r="AG1971" s="105">
        <f>IF($AB$1785&gt;0,'Assumptions (MSW)'!AA10*Model!$AB$1785*AVERAGE('Assumptions (MSW)'!$X$2:$Z$2)/10^9,0)</f>
        <v>0</v>
      </c>
      <c r="AH1971" s="105">
        <f>IF($AB$1785&gt;0,'Assumptions (MSW)'!AB10*Model!$AB$1785*AVERAGE('Assumptions (MSW)'!$X$2:$Z$2)/10^9,0)</f>
        <v>0</v>
      </c>
      <c r="AI1971" s="105">
        <f>IF($AB$1785&gt;0,'Assumptions (MSW)'!AC10*Model!$AB$1785*AVERAGE('Assumptions (MSW)'!$X$2:$Z$2)/10^9,0)</f>
        <v>0</v>
      </c>
      <c r="AJ1971" s="105">
        <f>IF($AB$1785&gt;0,'Assumptions (MSW)'!AD10*Model!$AB$1785*AVERAGE('Assumptions (MSW)'!$X$2:$Z$2)/10^9,0)</f>
        <v>0</v>
      </c>
      <c r="AK1971" s="105">
        <f>IF($AB$1785&gt;0,'Assumptions (MSW)'!AE10*Model!$AB$1785*AVERAGE('Assumptions (MSW)'!$X$2:$Z$2)/10^9,0)</f>
        <v>0</v>
      </c>
      <c r="AL1971" s="105">
        <f>IF($AB$1785&gt;0,'Assumptions (MSW)'!AF10*Model!$AB$1785*AVERAGE('Assumptions (MSW)'!$X$2:$Z$2)/10^9,0)</f>
        <v>0</v>
      </c>
      <c r="AM1971" s="105">
        <f>IF($AB$1785&gt;0,'Assumptions (MSW)'!AG10*Model!$AB$1785*AVERAGE('Assumptions (MSW)'!$X$2:$Z$2)/10^9,0)</f>
        <v>0</v>
      </c>
      <c r="AN1971" s="105">
        <f>IF($AB$1785&gt;0,'Assumptions (MSW)'!AH10*Model!$AB$1785*AVERAGE('Assumptions (MSW)'!$X$2:$Z$2)/10^9,0)</f>
        <v>0</v>
      </c>
      <c r="AO1971" s="105">
        <f>IF($AB$1785&gt;0,'Assumptions (MSW)'!AI10*Model!$AB$1785*AVERAGE('Assumptions (MSW)'!$X$2:$Z$2)/10^9,0)</f>
        <v>0</v>
      </c>
      <c r="AP1971" s="105">
        <f>IF($AB$1785&gt;0,'Assumptions (MSW)'!AJ10*Model!$AB$1785*AVERAGE('Assumptions (MSW)'!$X$2:$Z$2)/10^9,0)</f>
        <v>0</v>
      </c>
      <c r="AQ1971" s="105">
        <f>IF($AB$1785&gt;0,'Assumptions (MSW)'!AK10*Model!$AB$1785*AVERAGE('Assumptions (MSW)'!$X$2:$Z$2)/10^9,0)</f>
        <v>0</v>
      </c>
      <c r="AR1971" s="105"/>
      <c r="AS1971" s="105"/>
      <c r="AT1971" s="105"/>
      <c r="AU1971" s="105"/>
      <c r="AV1971" s="105"/>
      <c r="AW1971" s="105"/>
      <c r="AX1971" s="105"/>
      <c r="AY1971" s="105"/>
      <c r="AZ1971" s="105"/>
      <c r="BA1971" s="105"/>
    </row>
    <row r="1972" spans="1:65" ht="15.75" hidden="1" customHeight="1" outlineLevel="1">
      <c r="A1972" s="435"/>
      <c r="B1972" s="99"/>
      <c r="C1972" s="99"/>
      <c r="D1972" s="99"/>
      <c r="E1972" s="99"/>
      <c r="F1972" s="99"/>
      <c r="G1972" s="99"/>
      <c r="H1972" s="99"/>
      <c r="I1972" s="99"/>
      <c r="J1972" s="99"/>
      <c r="K1972" s="99"/>
      <c r="L1972" s="99"/>
      <c r="M1972" s="99"/>
      <c r="N1972" s="99"/>
      <c r="O1972" s="99"/>
      <c r="P1972" s="99"/>
      <c r="Q1972" s="99"/>
      <c r="R1972" s="99"/>
      <c r="S1972" s="99"/>
      <c r="T1972" s="99"/>
      <c r="U1972" s="99"/>
      <c r="V1972" s="99"/>
      <c r="W1972" s="105"/>
      <c r="X1972" s="105"/>
      <c r="Y1972" s="105"/>
      <c r="Z1972" s="105"/>
      <c r="AA1972" s="105"/>
      <c r="AB1972" s="105"/>
      <c r="AC1972" s="105">
        <f>IF($AC$1785&gt;0,'Assumptions (MSW)'!V10*Model!$AC$1785*AVERAGE('Assumptions (MSW)'!$Y$2:$AA$2)/10^9,0)</f>
        <v>0</v>
      </c>
      <c r="AD1972" s="105">
        <f>IF($AC$1785&gt;0,'Assumptions (MSW)'!W10*Model!$AC$1785*AVERAGE('Assumptions (MSW)'!$Y$2:$AA$2)/10^9,0)</f>
        <v>0</v>
      </c>
      <c r="AE1972" s="105">
        <f>IF($AC$1785&gt;0,'Assumptions (MSW)'!X10*Model!$AC$1785*AVERAGE('Assumptions (MSW)'!$Y$2:$AA$2)/10^9,0)</f>
        <v>0</v>
      </c>
      <c r="AF1972" s="105">
        <f>IF($AC$1785&gt;0,'Assumptions (MSW)'!Y10*Model!$AC$1785*AVERAGE('Assumptions (MSW)'!$Y$2:$AA$2)/10^9,0)</f>
        <v>0</v>
      </c>
      <c r="AG1972" s="105">
        <f>IF($AC$1785&gt;0,'Assumptions (MSW)'!Z10*Model!$AC$1785*AVERAGE('Assumptions (MSW)'!$Y$2:$AA$2)/10^9,0)</f>
        <v>0</v>
      </c>
      <c r="AH1972" s="105">
        <f>IF($AC$1785&gt;0,'Assumptions (MSW)'!AA10*Model!$AC$1785*AVERAGE('Assumptions (MSW)'!$Y$2:$AA$2)/10^9,0)</f>
        <v>0</v>
      </c>
      <c r="AI1972" s="105">
        <f>IF($AC$1785&gt;0,'Assumptions (MSW)'!AB10*Model!$AC$1785*AVERAGE('Assumptions (MSW)'!$Y$2:$AA$2)/10^9,0)</f>
        <v>0</v>
      </c>
      <c r="AJ1972" s="105">
        <f>IF($AC$1785&gt;0,'Assumptions (MSW)'!AC10*Model!$AC$1785*AVERAGE('Assumptions (MSW)'!$Y$2:$AA$2)/10^9,0)</f>
        <v>0</v>
      </c>
      <c r="AK1972" s="105">
        <f>IF($AC$1785&gt;0,'Assumptions (MSW)'!AD10*Model!$AC$1785*AVERAGE('Assumptions (MSW)'!$Y$2:$AA$2)/10^9,0)</f>
        <v>0</v>
      </c>
      <c r="AL1972" s="105">
        <f>IF($AC$1785&gt;0,'Assumptions (MSW)'!AE10*Model!$AC$1785*AVERAGE('Assumptions (MSW)'!$Y$2:$AA$2)/10^9,0)</f>
        <v>0</v>
      </c>
      <c r="AM1972" s="105">
        <f>IF($AC$1785&gt;0,'Assumptions (MSW)'!AF10*Model!$AC$1785*AVERAGE('Assumptions (MSW)'!$Y$2:$AA$2)/10^9,0)</f>
        <v>0</v>
      </c>
      <c r="AN1972" s="105">
        <f>IF($AC$1785&gt;0,'Assumptions (MSW)'!AG10*Model!$AC$1785*AVERAGE('Assumptions (MSW)'!$Y$2:$AA$2)/10^9,0)</f>
        <v>0</v>
      </c>
      <c r="AO1972" s="105">
        <f>IF($AC$1785&gt;0,'Assumptions (MSW)'!AH10*Model!$AC$1785*AVERAGE('Assumptions (MSW)'!$Y$2:$AA$2)/10^9,0)</f>
        <v>0</v>
      </c>
      <c r="AP1972" s="105">
        <f>IF($AC$1785&gt;0,'Assumptions (MSW)'!AI10*Model!$AC$1785*AVERAGE('Assumptions (MSW)'!$Y$2:$AA$2)/10^9,0)</f>
        <v>0</v>
      </c>
      <c r="AQ1972" s="105">
        <f>IF($AC$1785&gt;0,'Assumptions (MSW)'!AJ10*Model!$AC$1785*AVERAGE('Assumptions (MSW)'!$Y$2:$AA$2)/10^9,0)</f>
        <v>0</v>
      </c>
      <c r="AR1972" s="105">
        <f>IF($AC$1785&gt;0,'Assumptions (MSW)'!AK10*Model!$AC$1785*AVERAGE('Assumptions (MSW)'!$Y$2:$AA$2)/10^9,0)</f>
        <v>0</v>
      </c>
      <c r="AS1972" s="105"/>
      <c r="AT1972" s="105"/>
      <c r="AU1972" s="105"/>
      <c r="AV1972" s="105"/>
      <c r="AW1972" s="105"/>
      <c r="AX1972" s="105"/>
      <c r="AY1972" s="105"/>
      <c r="AZ1972" s="105"/>
      <c r="BA1972" s="105"/>
    </row>
    <row r="1973" spans="1:65" ht="15.75" hidden="1" customHeight="1" outlineLevel="1">
      <c r="A1973" s="435"/>
      <c r="B1973" s="99"/>
      <c r="C1973" s="99"/>
      <c r="D1973" s="99"/>
      <c r="E1973" s="99"/>
      <c r="F1973" s="99"/>
      <c r="G1973" s="99"/>
      <c r="H1973" s="99"/>
      <c r="I1973" s="99"/>
      <c r="J1973" s="99"/>
      <c r="K1973" s="99"/>
      <c r="L1973" s="99"/>
      <c r="M1973" s="99"/>
      <c r="N1973" s="99"/>
      <c r="O1973" s="99"/>
      <c r="P1973" s="99"/>
      <c r="Q1973" s="99"/>
      <c r="R1973" s="99"/>
      <c r="S1973" s="99"/>
      <c r="T1973" s="99"/>
      <c r="U1973" s="99"/>
      <c r="V1973" s="99"/>
      <c r="W1973" s="105"/>
      <c r="X1973" s="105"/>
      <c r="Y1973" s="105"/>
      <c r="Z1973" s="105"/>
      <c r="AA1973" s="105"/>
      <c r="AB1973" s="105"/>
      <c r="AC1973" s="105"/>
      <c r="AD1973" s="105">
        <f>IF($AD$1785&gt;0,'Assumptions (MSW)'!V10*Model!$AD$1785*AVERAGE('Assumptions (MSW)'!$Z$2:$AB$2)/10^9,0)</f>
        <v>0</v>
      </c>
      <c r="AE1973" s="105">
        <f>IF($AD$1785&gt;0,'Assumptions (MSW)'!W10*Model!$AD$1785*AVERAGE('Assumptions (MSW)'!$Z$2:$AB$2)/10^9,0)</f>
        <v>0</v>
      </c>
      <c r="AF1973" s="105">
        <f>IF($AD$1785&gt;0,'Assumptions (MSW)'!X10*Model!$AD$1785*AVERAGE('Assumptions (MSW)'!$Z$2:$AB$2)/10^9,0)</f>
        <v>0</v>
      </c>
      <c r="AG1973" s="105">
        <f>IF($AD$1785&gt;0,'Assumptions (MSW)'!Y10*Model!$AD$1785*AVERAGE('Assumptions (MSW)'!$Z$2:$AB$2)/10^9,0)</f>
        <v>0</v>
      </c>
      <c r="AH1973" s="105">
        <f>IF($AD$1785&gt;0,'Assumptions (MSW)'!Z10*Model!$AD$1785*AVERAGE('Assumptions (MSW)'!$Z$2:$AB$2)/10^9,0)</f>
        <v>0</v>
      </c>
      <c r="AI1973" s="105">
        <f>IF($AD$1785&gt;0,'Assumptions (MSW)'!AA10*Model!$AD$1785*AVERAGE('Assumptions (MSW)'!$Z$2:$AB$2)/10^9,0)</f>
        <v>0</v>
      </c>
      <c r="AJ1973" s="105">
        <f>IF($AD$1785&gt;0,'Assumptions (MSW)'!AB10*Model!$AD$1785*AVERAGE('Assumptions (MSW)'!$Z$2:$AB$2)/10^9,0)</f>
        <v>0</v>
      </c>
      <c r="AK1973" s="105">
        <f>IF($AD$1785&gt;0,'Assumptions (MSW)'!AC10*Model!$AD$1785*AVERAGE('Assumptions (MSW)'!$Z$2:$AB$2)/10^9,0)</f>
        <v>0</v>
      </c>
      <c r="AL1973" s="105">
        <f>IF($AD$1785&gt;0,'Assumptions (MSW)'!AD10*Model!$AD$1785*AVERAGE('Assumptions (MSW)'!$Z$2:$AB$2)/10^9,0)</f>
        <v>0</v>
      </c>
      <c r="AM1973" s="105">
        <f>IF($AD$1785&gt;0,'Assumptions (MSW)'!AE10*Model!$AD$1785*AVERAGE('Assumptions (MSW)'!$Z$2:$AB$2)/10^9,0)</f>
        <v>0</v>
      </c>
      <c r="AN1973" s="105">
        <f>IF($AD$1785&gt;0,'Assumptions (MSW)'!AF10*Model!$AD$1785*AVERAGE('Assumptions (MSW)'!$Z$2:$AB$2)/10^9,0)</f>
        <v>0</v>
      </c>
      <c r="AO1973" s="105">
        <f>IF($AD$1785&gt;0,'Assumptions (MSW)'!AG10*Model!$AD$1785*AVERAGE('Assumptions (MSW)'!$Z$2:$AB$2)/10^9,0)</f>
        <v>0</v>
      </c>
      <c r="AP1973" s="105">
        <f>IF($AD$1785&gt;0,'Assumptions (MSW)'!AH10*Model!$AD$1785*AVERAGE('Assumptions (MSW)'!$Z$2:$AB$2)/10^9,0)</f>
        <v>0</v>
      </c>
      <c r="AQ1973" s="105">
        <f>IF($AD$1785&gt;0,'Assumptions (MSW)'!AI10*Model!$AD$1785*AVERAGE('Assumptions (MSW)'!$Z$2:$AB$2)/10^9,0)</f>
        <v>0</v>
      </c>
      <c r="AR1973" s="105">
        <f>IF($AD$1785&gt;0,'Assumptions (MSW)'!AJ10*Model!$AD$1785*AVERAGE('Assumptions (MSW)'!$Z$2:$AB$2)/10^9,0)</f>
        <v>0</v>
      </c>
      <c r="AS1973" s="105">
        <f>IF($AD$1785&gt;0,'Assumptions (MSW)'!AK10*Model!$AD$1785*AVERAGE('Assumptions (MSW)'!$Z$2:$AB$2)/10^9,0)</f>
        <v>0</v>
      </c>
      <c r="AT1973" s="105"/>
      <c r="AU1973" s="105"/>
      <c r="AV1973" s="105"/>
      <c r="AW1973" s="105"/>
      <c r="AX1973" s="105"/>
      <c r="AY1973" s="105"/>
      <c r="AZ1973" s="105"/>
      <c r="BA1973" s="105"/>
      <c r="BB1973" s="105"/>
    </row>
    <row r="1974" spans="1:65" ht="15.75" hidden="1" customHeight="1" outlineLevel="1">
      <c r="A1974" s="435"/>
      <c r="B1974" s="99"/>
      <c r="C1974" s="99"/>
      <c r="D1974" s="99"/>
      <c r="E1974" s="99"/>
      <c r="F1974" s="99"/>
      <c r="G1974" s="99"/>
      <c r="H1974" s="99"/>
      <c r="I1974" s="99"/>
      <c r="J1974" s="99"/>
      <c r="K1974" s="99"/>
      <c r="L1974" s="99"/>
      <c r="M1974" s="99"/>
      <c r="N1974" s="99"/>
      <c r="O1974" s="99"/>
      <c r="P1974" s="99"/>
      <c r="Q1974" s="99"/>
      <c r="R1974" s="99"/>
      <c r="S1974" s="99"/>
      <c r="T1974" s="99"/>
      <c r="U1974" s="99"/>
      <c r="V1974" s="99"/>
      <c r="W1974" s="105"/>
      <c r="X1974" s="105"/>
      <c r="Y1974" s="105"/>
      <c r="Z1974" s="105"/>
      <c r="AA1974" s="105"/>
      <c r="AB1974" s="105"/>
      <c r="AC1974" s="105"/>
      <c r="AD1974" s="105"/>
      <c r="AE1974" s="105">
        <f>IF($AE$1785&gt;0,'Assumptions (MSW)'!V10*Model!$AE$1785*AVERAGE('Assumptions (MSW)'!$AA$2:$AC$2)/10^9,0)</f>
        <v>0</v>
      </c>
      <c r="AF1974" s="105">
        <f>IF($AE$1785&gt;0,'Assumptions (MSW)'!W10*Model!$AE$1785*AVERAGE('Assumptions (MSW)'!$AA$2:$AC$2)/10^9,0)</f>
        <v>0</v>
      </c>
      <c r="AG1974" s="105">
        <f>IF($AE$1785&gt;0,'Assumptions (MSW)'!X10*Model!$AE$1785*AVERAGE('Assumptions (MSW)'!$AA$2:$AC$2)/10^9,0)</f>
        <v>0</v>
      </c>
      <c r="AH1974" s="105">
        <f>IF($AE$1785&gt;0,'Assumptions (MSW)'!Y10*Model!$AE$1785*AVERAGE('Assumptions (MSW)'!$AA$2:$AC$2)/10^9,0)</f>
        <v>0</v>
      </c>
      <c r="AI1974" s="105">
        <f>IF($AE$1785&gt;0,'Assumptions (MSW)'!Z10*Model!$AE$1785*AVERAGE('Assumptions (MSW)'!$AA$2:$AC$2)/10^9,0)</f>
        <v>0</v>
      </c>
      <c r="AJ1974" s="105">
        <f>IF($AE$1785&gt;0,'Assumptions (MSW)'!AA10*Model!$AE$1785*AVERAGE('Assumptions (MSW)'!$AA$2:$AC$2)/10^9,0)</f>
        <v>0</v>
      </c>
      <c r="AK1974" s="105">
        <f>IF($AE$1785&gt;0,'Assumptions (MSW)'!AB10*Model!$AE$1785*AVERAGE('Assumptions (MSW)'!$AA$2:$AC$2)/10^9,0)</f>
        <v>0</v>
      </c>
      <c r="AL1974" s="105">
        <f>IF($AE$1785&gt;0,'Assumptions (MSW)'!AC10*Model!$AE$1785*AVERAGE('Assumptions (MSW)'!$AA$2:$AC$2)/10^9,0)</f>
        <v>0</v>
      </c>
      <c r="AM1974" s="105">
        <f>IF($AE$1785&gt;0,'Assumptions (MSW)'!AD10*Model!$AE$1785*AVERAGE('Assumptions (MSW)'!$AA$2:$AC$2)/10^9,0)</f>
        <v>0</v>
      </c>
      <c r="AN1974" s="105">
        <f>IF($AE$1785&gt;0,'Assumptions (MSW)'!AE10*Model!$AE$1785*AVERAGE('Assumptions (MSW)'!$AA$2:$AC$2)/10^9,0)</f>
        <v>0</v>
      </c>
      <c r="AO1974" s="105">
        <f>IF($AE$1785&gt;0,'Assumptions (MSW)'!AF10*Model!$AE$1785*AVERAGE('Assumptions (MSW)'!$AA$2:$AC$2)/10^9,0)</f>
        <v>0</v>
      </c>
      <c r="AP1974" s="105">
        <f>IF($AE$1785&gt;0,'Assumptions (MSW)'!AG10*Model!$AE$1785*AVERAGE('Assumptions (MSW)'!$AA$2:$AC$2)/10^9,0)</f>
        <v>0</v>
      </c>
      <c r="AQ1974" s="105">
        <f>IF($AE$1785&gt;0,'Assumptions (MSW)'!AH10*Model!$AE$1785*AVERAGE('Assumptions (MSW)'!$AA$2:$AC$2)/10^9,0)</f>
        <v>0</v>
      </c>
      <c r="AR1974" s="105">
        <f>IF($AE$1785&gt;0,'Assumptions (MSW)'!AI10*Model!$AE$1785*AVERAGE('Assumptions (MSW)'!$AA$2:$AC$2)/10^9,0)</f>
        <v>0</v>
      </c>
      <c r="AS1974" s="105">
        <f>IF($AE$1785&gt;0,'Assumptions (MSW)'!AJ10*Model!$AE$1785*AVERAGE('Assumptions (MSW)'!$AA$2:$AC$2)/10^9,0)</f>
        <v>0</v>
      </c>
      <c r="AT1974" s="105">
        <f>IF($AE$1785&gt;0,'Assumptions (MSW)'!AK10*Model!$AE$1785*AVERAGE('Assumptions (MSW)'!$AA$2:$AC$2)/10^9,0)</f>
        <v>0</v>
      </c>
      <c r="AU1974" s="105"/>
      <c r="AV1974" s="105"/>
      <c r="AW1974" s="105"/>
      <c r="AX1974" s="105"/>
      <c r="AY1974" s="105"/>
      <c r="AZ1974" s="105"/>
      <c r="BA1974" s="105"/>
      <c r="BB1974" s="105"/>
      <c r="BC1974" s="105"/>
    </row>
    <row r="1975" spans="1:65" ht="15.75" hidden="1" customHeight="1" outlineLevel="1">
      <c r="A1975" s="435"/>
      <c r="B1975" s="99"/>
      <c r="C1975" s="99"/>
      <c r="D1975" s="99"/>
      <c r="E1975" s="99"/>
      <c r="F1975" s="99"/>
      <c r="G1975" s="99"/>
      <c r="H1975" s="99"/>
      <c r="I1975" s="99"/>
      <c r="J1975" s="99"/>
      <c r="K1975" s="99"/>
      <c r="L1975" s="99"/>
      <c r="M1975" s="99"/>
      <c r="N1975" s="99"/>
      <c r="O1975" s="99"/>
      <c r="P1975" s="99"/>
      <c r="Q1975" s="99"/>
      <c r="R1975" s="99"/>
      <c r="S1975" s="99"/>
      <c r="T1975" s="99"/>
      <c r="U1975" s="99"/>
      <c r="V1975" s="99"/>
      <c r="W1975" s="105"/>
      <c r="X1975" s="105"/>
      <c r="Y1975" s="105"/>
      <c r="Z1975" s="105"/>
      <c r="AA1975" s="105"/>
      <c r="AB1975" s="105"/>
      <c r="AC1975" s="105"/>
      <c r="AD1975" s="105"/>
      <c r="AE1975" s="105"/>
      <c r="AF1975" s="105">
        <f>IF($AF$1785&gt;0,'Assumptions (MSW)'!V10*Model!$AF$1785*AVERAGE('Assumptions (MSW)'!$AB$2:$AD$2)/10^9,0)</f>
        <v>0</v>
      </c>
      <c r="AG1975" s="105">
        <f>IF($AF$1785&gt;0,'Assumptions (MSW)'!W10*Model!$AF$1785*AVERAGE('Assumptions (MSW)'!$AB$2:$AD$2)/10^9,0)</f>
        <v>0</v>
      </c>
      <c r="AH1975" s="105">
        <f>IF($AF$1785&gt;0,'Assumptions (MSW)'!X10*Model!$AF$1785*AVERAGE('Assumptions (MSW)'!$AB$2:$AD$2)/10^9,0)</f>
        <v>0</v>
      </c>
      <c r="AI1975" s="105">
        <f>IF($AF$1785&gt;0,'Assumptions (MSW)'!Y10*Model!$AF$1785*AVERAGE('Assumptions (MSW)'!$AB$2:$AD$2)/10^9,0)</f>
        <v>0</v>
      </c>
      <c r="AJ1975" s="105">
        <f>IF($AF$1785&gt;0,'Assumptions (MSW)'!Z10*Model!$AF$1785*AVERAGE('Assumptions (MSW)'!$AB$2:$AD$2)/10^9,0)</f>
        <v>0</v>
      </c>
      <c r="AK1975" s="105">
        <f>IF($AF$1785&gt;0,'Assumptions (MSW)'!AA10*Model!$AF$1785*AVERAGE('Assumptions (MSW)'!$AB$2:$AD$2)/10^9,0)</f>
        <v>0</v>
      </c>
      <c r="AL1975" s="105">
        <f>IF($AF$1785&gt;0,'Assumptions (MSW)'!AB10*Model!$AF$1785*AVERAGE('Assumptions (MSW)'!$AB$2:$AD$2)/10^9,0)</f>
        <v>0</v>
      </c>
      <c r="AM1975" s="105">
        <f>IF($AF$1785&gt;0,'Assumptions (MSW)'!AC10*Model!$AF$1785*AVERAGE('Assumptions (MSW)'!$AB$2:$AD$2)/10^9,0)</f>
        <v>0</v>
      </c>
      <c r="AN1975" s="105">
        <f>IF($AF$1785&gt;0,'Assumptions (MSW)'!AD10*Model!$AF$1785*AVERAGE('Assumptions (MSW)'!$AB$2:$AD$2)/10^9,0)</f>
        <v>0</v>
      </c>
      <c r="AO1975" s="105">
        <f>IF($AF$1785&gt;0,'Assumptions (MSW)'!AE10*Model!$AF$1785*AVERAGE('Assumptions (MSW)'!$AB$2:$AD$2)/10^9,0)</f>
        <v>0</v>
      </c>
      <c r="AP1975" s="105">
        <f>IF($AF$1785&gt;0,'Assumptions (MSW)'!AF10*Model!$AF$1785*AVERAGE('Assumptions (MSW)'!$AB$2:$AD$2)/10^9,0)</f>
        <v>0</v>
      </c>
      <c r="AQ1975" s="105">
        <f>IF($AF$1785&gt;0,'Assumptions (MSW)'!AG10*Model!$AF$1785*AVERAGE('Assumptions (MSW)'!$AB$2:$AD$2)/10^9,0)</f>
        <v>0</v>
      </c>
      <c r="AR1975" s="105">
        <f>IF($AF$1785&gt;0,'Assumptions (MSW)'!AH10*Model!$AF$1785*AVERAGE('Assumptions (MSW)'!$AB$2:$AD$2)/10^9,0)</f>
        <v>0</v>
      </c>
      <c r="AS1975" s="105">
        <f>IF($AF$1785&gt;0,'Assumptions (MSW)'!AI10*Model!$AF$1785*AVERAGE('Assumptions (MSW)'!$AB$2:$AD$2)/10^9,0)</f>
        <v>0</v>
      </c>
      <c r="AT1975" s="105">
        <f>IF($AF$1785&gt;0,'Assumptions (MSW)'!AJ10*Model!$AF$1785*AVERAGE('Assumptions (MSW)'!$AB$2:$AD$2)/10^9,0)</f>
        <v>0</v>
      </c>
      <c r="AU1975" s="105">
        <f>IF($AF$1785&gt;0,'Assumptions (MSW)'!AK10*Model!$AF$1785*AVERAGE('Assumptions (MSW)'!$AB$2:$AD$2)/10^9,0)</f>
        <v>0</v>
      </c>
      <c r="AV1975" s="105"/>
      <c r="AW1975" s="105"/>
      <c r="AX1975" s="105"/>
      <c r="AY1975" s="105"/>
      <c r="AZ1975" s="105"/>
      <c r="BA1975" s="105"/>
      <c r="BB1975" s="105"/>
      <c r="BC1975" s="105"/>
      <c r="BD1975" s="105"/>
    </row>
    <row r="1976" spans="1:65" ht="15.75" hidden="1" customHeight="1" outlineLevel="1">
      <c r="A1976" s="435"/>
      <c r="B1976" s="99"/>
      <c r="C1976" s="99"/>
      <c r="D1976" s="99"/>
      <c r="E1976" s="99"/>
      <c r="F1976" s="99"/>
      <c r="G1976" s="99"/>
      <c r="H1976" s="99"/>
      <c r="I1976" s="99"/>
      <c r="J1976" s="99"/>
      <c r="K1976" s="99"/>
      <c r="L1976" s="99"/>
      <c r="M1976" s="99"/>
      <c r="N1976" s="99"/>
      <c r="O1976" s="99"/>
      <c r="P1976" s="99"/>
      <c r="Q1976" s="99"/>
      <c r="R1976" s="99"/>
      <c r="S1976" s="99"/>
      <c r="T1976" s="99"/>
      <c r="U1976" s="99"/>
      <c r="V1976" s="99"/>
      <c r="W1976" s="105"/>
      <c r="X1976" s="105"/>
      <c r="Y1976" s="105"/>
      <c r="Z1976" s="105"/>
      <c r="AA1976" s="105"/>
      <c r="AB1976" s="105"/>
      <c r="AC1976" s="105"/>
      <c r="AD1976" s="105"/>
      <c r="AE1976" s="105"/>
      <c r="AF1976" s="105"/>
      <c r="AG1976" s="105">
        <f>IF($AG$1785&gt;0,'Assumptions (MSW)'!V10*Model!$AG$1785*AVERAGE('Assumptions (MSW)'!$AC$2:$AE$2)/10^9,0)</f>
        <v>0</v>
      </c>
      <c r="AH1976" s="105">
        <f>IF($AG$1785&gt;0,'Assumptions (MSW)'!W10*Model!$AG$1785*AVERAGE('Assumptions (MSW)'!$AC$2:$AE$2)/10^9,0)</f>
        <v>0</v>
      </c>
      <c r="AI1976" s="105">
        <f>IF($AG$1785&gt;0,'Assumptions (MSW)'!X10*Model!$AG$1785*AVERAGE('Assumptions (MSW)'!$AC$2:$AE$2)/10^9,0)</f>
        <v>0</v>
      </c>
      <c r="AJ1976" s="105">
        <f>IF($AG$1785&gt;0,'Assumptions (MSW)'!Y10*Model!$AG$1785*AVERAGE('Assumptions (MSW)'!$AC$2:$AE$2)/10^9,0)</f>
        <v>0</v>
      </c>
      <c r="AK1976" s="105">
        <f>IF($AG$1785&gt;0,'Assumptions (MSW)'!Z10*Model!$AG$1785*AVERAGE('Assumptions (MSW)'!$AC$2:$AE$2)/10^9,0)</f>
        <v>0</v>
      </c>
      <c r="AL1976" s="105">
        <f>IF($AG$1785&gt;0,'Assumptions (MSW)'!AA10*Model!$AG$1785*AVERAGE('Assumptions (MSW)'!$AC$2:$AE$2)/10^9,0)</f>
        <v>0</v>
      </c>
      <c r="AM1976" s="105">
        <f>IF($AG$1785&gt;0,'Assumptions (MSW)'!AB10*Model!$AG$1785*AVERAGE('Assumptions (MSW)'!$AC$2:$AE$2)/10^9,0)</f>
        <v>0</v>
      </c>
      <c r="AN1976" s="105">
        <f>IF($AG$1785&gt;0,'Assumptions (MSW)'!AC10*Model!$AG$1785*AVERAGE('Assumptions (MSW)'!$AC$2:$AE$2)/10^9,0)</f>
        <v>0</v>
      </c>
      <c r="AO1976" s="105">
        <f>IF($AG$1785&gt;0,'Assumptions (MSW)'!AD10*Model!$AG$1785*AVERAGE('Assumptions (MSW)'!$AC$2:$AE$2)/10^9,0)</f>
        <v>0</v>
      </c>
      <c r="AP1976" s="105">
        <f>IF($AG$1785&gt;0,'Assumptions (MSW)'!AE10*Model!$AG$1785*AVERAGE('Assumptions (MSW)'!$AC$2:$AE$2)/10^9,0)</f>
        <v>0</v>
      </c>
      <c r="AQ1976" s="105">
        <f>IF($AG$1785&gt;0,'Assumptions (MSW)'!AF10*Model!$AG$1785*AVERAGE('Assumptions (MSW)'!$AC$2:$AE$2)/10^9,0)</f>
        <v>0</v>
      </c>
      <c r="AR1976" s="105">
        <f>IF($AG$1785&gt;0,'Assumptions (MSW)'!AG10*Model!$AG$1785*AVERAGE('Assumptions (MSW)'!$AC$2:$AE$2)/10^9,0)</f>
        <v>0</v>
      </c>
      <c r="AS1976" s="105">
        <f>IF($AG$1785&gt;0,'Assumptions (MSW)'!AH10*Model!$AG$1785*AVERAGE('Assumptions (MSW)'!$AC$2:$AE$2)/10^9,0)</f>
        <v>0</v>
      </c>
      <c r="AT1976" s="105">
        <f>IF($AG$1785&gt;0,'Assumptions (MSW)'!AI10*Model!$AG$1785*AVERAGE('Assumptions (MSW)'!$AC$2:$AE$2)/10^9,0)</f>
        <v>0</v>
      </c>
      <c r="AU1976" s="105">
        <f>IF($AG$1785&gt;0,'Assumptions (MSW)'!AJ10*Model!$AG$1785*AVERAGE('Assumptions (MSW)'!$AC$2:$AE$2)/10^9,0)</f>
        <v>0</v>
      </c>
      <c r="AV1976" s="105">
        <f>IF($AG$1785&gt;0,'Assumptions (MSW)'!AK10*Model!$AG$1785*AVERAGE('Assumptions (MSW)'!$AC$2:$AE$2)/10^9,0)</f>
        <v>0</v>
      </c>
      <c r="AW1976" s="105"/>
      <c r="AX1976" s="105"/>
      <c r="AY1976" s="105"/>
      <c r="AZ1976" s="105"/>
      <c r="BA1976" s="105"/>
      <c r="BB1976" s="105"/>
      <c r="BC1976" s="105"/>
      <c r="BD1976" s="105"/>
      <c r="BE1976" s="105"/>
    </row>
    <row r="1977" spans="1:65" ht="15.75" hidden="1" customHeight="1" outlineLevel="1">
      <c r="A1977" s="435"/>
      <c r="B1977" s="99"/>
      <c r="C1977" s="99"/>
      <c r="D1977" s="99"/>
      <c r="E1977" s="99"/>
      <c r="F1977" s="99"/>
      <c r="G1977" s="99"/>
      <c r="H1977" s="99"/>
      <c r="I1977" s="99"/>
      <c r="J1977" s="99"/>
      <c r="K1977" s="99"/>
      <c r="L1977" s="99"/>
      <c r="M1977" s="99"/>
      <c r="N1977" s="99"/>
      <c r="O1977" s="99"/>
      <c r="P1977" s="99"/>
      <c r="Q1977" s="99"/>
      <c r="R1977" s="99"/>
      <c r="S1977" s="99"/>
      <c r="T1977" s="99"/>
      <c r="U1977" s="99"/>
      <c r="V1977" s="99"/>
      <c r="W1977" s="105"/>
      <c r="X1977" s="105"/>
      <c r="Y1977" s="105"/>
      <c r="Z1977" s="105"/>
      <c r="AA1977" s="105"/>
      <c r="AB1977" s="105"/>
      <c r="AC1977" s="105"/>
      <c r="AD1977" s="105"/>
      <c r="AE1977" s="105"/>
      <c r="AF1977" s="105"/>
      <c r="AG1977" s="105"/>
      <c r="AH1977" s="105">
        <f>IF($AH$1785&gt;0,'Assumptions (MSW)'!V10*Model!$AH$1785*AVERAGE('Assumptions (MSW)'!$AD$2:$AF$2)/10^9,0)</f>
        <v>0</v>
      </c>
      <c r="AI1977" s="105">
        <f>IF($AH$1785&gt;0,'Assumptions (MSW)'!W10*Model!$AH$1785*AVERAGE('Assumptions (MSW)'!$AD$2:$AF$2)/10^9,0)</f>
        <v>0</v>
      </c>
      <c r="AJ1977" s="105">
        <f>IF($AH$1785&gt;0,'Assumptions (MSW)'!X10*Model!$AH$1785*AVERAGE('Assumptions (MSW)'!$AD$2:$AF$2)/10^9,0)</f>
        <v>0</v>
      </c>
      <c r="AK1977" s="105">
        <f>IF($AH$1785&gt;0,'Assumptions (MSW)'!Y10*Model!$AH$1785*AVERAGE('Assumptions (MSW)'!$AD$2:$AF$2)/10^9,0)</f>
        <v>0</v>
      </c>
      <c r="AL1977" s="105">
        <f>IF($AH$1785&gt;0,'Assumptions (MSW)'!Z10*Model!$AH$1785*AVERAGE('Assumptions (MSW)'!$AD$2:$AF$2)/10^9,0)</f>
        <v>0</v>
      </c>
      <c r="AM1977" s="105">
        <f>IF($AH$1785&gt;0,'Assumptions (MSW)'!AA10*Model!$AH$1785*AVERAGE('Assumptions (MSW)'!$AD$2:$AF$2)/10^9,0)</f>
        <v>0</v>
      </c>
      <c r="AN1977" s="105">
        <f>IF($AH$1785&gt;0,'Assumptions (MSW)'!AB10*Model!$AH$1785*AVERAGE('Assumptions (MSW)'!$AD$2:$AF$2)/10^9,0)</f>
        <v>0</v>
      </c>
      <c r="AO1977" s="105">
        <f>IF($AH$1785&gt;0,'Assumptions (MSW)'!AC10*Model!$AH$1785*AVERAGE('Assumptions (MSW)'!$AD$2:$AF$2)/10^9,0)</f>
        <v>0</v>
      </c>
      <c r="AP1977" s="105">
        <f>IF($AH$1785&gt;0,'Assumptions (MSW)'!AD10*Model!$AH$1785*AVERAGE('Assumptions (MSW)'!$AD$2:$AF$2)/10^9,0)</f>
        <v>0</v>
      </c>
      <c r="AQ1977" s="105">
        <f>IF($AH$1785&gt;0,'Assumptions (MSW)'!AE10*Model!$AH$1785*AVERAGE('Assumptions (MSW)'!$AD$2:$AF$2)/10^9,0)</f>
        <v>0</v>
      </c>
      <c r="AR1977" s="105">
        <f>IF($AH$1785&gt;0,'Assumptions (MSW)'!AF10*Model!$AH$1785*AVERAGE('Assumptions (MSW)'!$AD$2:$AF$2)/10^9,0)</f>
        <v>0</v>
      </c>
      <c r="AS1977" s="105">
        <f>IF($AH$1785&gt;0,'Assumptions (MSW)'!AG10*Model!$AH$1785*AVERAGE('Assumptions (MSW)'!$AD$2:$AF$2)/10^9,0)</f>
        <v>0</v>
      </c>
      <c r="AT1977" s="105">
        <f>IF($AH$1785&gt;0,'Assumptions (MSW)'!AH10*Model!$AH$1785*AVERAGE('Assumptions (MSW)'!$AD$2:$AF$2)/10^9,0)</f>
        <v>0</v>
      </c>
      <c r="AU1977" s="105">
        <f>IF($AH$1785&gt;0,'Assumptions (MSW)'!AI10*Model!$AH$1785*AVERAGE('Assumptions (MSW)'!$AD$2:$AF$2)/10^9,0)</f>
        <v>0</v>
      </c>
      <c r="AV1977" s="105">
        <f>IF($AH$1785&gt;0,'Assumptions (MSW)'!AJ10*Model!$AH$1785*AVERAGE('Assumptions (MSW)'!$AD$2:$AF$2)/10^9,0)</f>
        <v>0</v>
      </c>
      <c r="AW1977" s="105">
        <f>IF($AH$1785&gt;0,'Assumptions (MSW)'!AK10*Model!$AH$1785*AVERAGE('Assumptions (MSW)'!$AD$2:$AF$2)/10^9,0)</f>
        <v>0</v>
      </c>
      <c r="AX1977" s="105"/>
      <c r="AY1977" s="105"/>
      <c r="AZ1977" s="105"/>
      <c r="BA1977" s="105"/>
      <c r="BB1977" s="105"/>
      <c r="BC1977" s="105"/>
      <c r="BD1977" s="105"/>
      <c r="BE1977" s="105"/>
      <c r="BF1977" s="105"/>
    </row>
    <row r="1978" spans="1:65" ht="15.75" hidden="1" customHeight="1" outlineLevel="1">
      <c r="A1978" s="435"/>
      <c r="B1978" s="99"/>
      <c r="C1978" s="99"/>
      <c r="D1978" s="99"/>
      <c r="E1978" s="99"/>
      <c r="F1978" s="99"/>
      <c r="G1978" s="99"/>
      <c r="H1978" s="99"/>
      <c r="I1978" s="99"/>
      <c r="J1978" s="99"/>
      <c r="K1978" s="99"/>
      <c r="L1978" s="99"/>
      <c r="M1978" s="99"/>
      <c r="N1978" s="99"/>
      <c r="O1978" s="99"/>
      <c r="P1978" s="99"/>
      <c r="Q1978" s="99"/>
      <c r="R1978" s="99"/>
      <c r="S1978" s="99"/>
      <c r="T1978" s="99"/>
      <c r="U1978" s="99"/>
      <c r="V1978" s="99"/>
      <c r="W1978" s="105"/>
      <c r="X1978" s="105"/>
      <c r="Y1978" s="105"/>
      <c r="Z1978" s="105"/>
      <c r="AA1978" s="105"/>
      <c r="AB1978" s="105"/>
      <c r="AC1978" s="105"/>
      <c r="AD1978" s="105"/>
      <c r="AE1978" s="105"/>
      <c r="AF1978" s="105"/>
      <c r="AG1978" s="105"/>
      <c r="AH1978" s="105"/>
      <c r="AI1978" s="105">
        <f>IF($AI$1785&gt;0,'Assumptions (MSW)'!V10*Model!$AI$1785*AVERAGE('Assumptions (MSW)'!$AE$2:$AG$2)/10^9,0)</f>
        <v>0</v>
      </c>
      <c r="AJ1978" s="105">
        <f>IF($AI$1785&gt;0,'Assumptions (MSW)'!W10*Model!$AI$1785*AVERAGE('Assumptions (MSW)'!$AE$2:$AG$2)/10^9,0)</f>
        <v>0</v>
      </c>
      <c r="AK1978" s="105">
        <f>IF($AI$1785&gt;0,'Assumptions (MSW)'!X10*Model!$AI$1785*AVERAGE('Assumptions (MSW)'!$AE$2:$AG$2)/10^9,0)</f>
        <v>0</v>
      </c>
      <c r="AL1978" s="105">
        <f>IF($AI$1785&gt;0,'Assumptions (MSW)'!Y10*Model!$AI$1785*AVERAGE('Assumptions (MSW)'!$AE$2:$AG$2)/10^9,0)</f>
        <v>0</v>
      </c>
      <c r="AM1978" s="105">
        <f>IF($AI$1785&gt;0,'Assumptions (MSW)'!Z10*Model!$AI$1785*AVERAGE('Assumptions (MSW)'!$AE$2:$AG$2)/10^9,0)</f>
        <v>0</v>
      </c>
      <c r="AN1978" s="105">
        <f>IF($AI$1785&gt;0,'Assumptions (MSW)'!AA10*Model!$AI$1785*AVERAGE('Assumptions (MSW)'!$AE$2:$AG$2)/10^9,0)</f>
        <v>0</v>
      </c>
      <c r="AO1978" s="105">
        <f>IF($AI$1785&gt;0,'Assumptions (MSW)'!AB10*Model!$AI$1785*AVERAGE('Assumptions (MSW)'!$AE$2:$AG$2)/10^9,0)</f>
        <v>0</v>
      </c>
      <c r="AP1978" s="105">
        <f>IF($AI$1785&gt;0,'Assumptions (MSW)'!AC10*Model!$AI$1785*AVERAGE('Assumptions (MSW)'!$AE$2:$AG$2)/10^9,0)</f>
        <v>0</v>
      </c>
      <c r="AQ1978" s="105">
        <f>IF($AI$1785&gt;0,'Assumptions (MSW)'!AD10*Model!$AI$1785*AVERAGE('Assumptions (MSW)'!$AE$2:$AG$2)/10^9,0)</f>
        <v>0</v>
      </c>
      <c r="AR1978" s="105">
        <f>IF($AI$1785&gt;0,'Assumptions (MSW)'!AE10*Model!$AI$1785*AVERAGE('Assumptions (MSW)'!$AE$2:$AG$2)/10^9,0)</f>
        <v>0</v>
      </c>
      <c r="AS1978" s="105">
        <f>IF($AI$1785&gt;0,'Assumptions (MSW)'!AF10*Model!$AI$1785*AVERAGE('Assumptions (MSW)'!$AE$2:$AG$2)/10^9,0)</f>
        <v>0</v>
      </c>
      <c r="AT1978" s="105">
        <f>IF($AI$1785&gt;0,'Assumptions (MSW)'!AG10*Model!$AI$1785*AVERAGE('Assumptions (MSW)'!$AE$2:$AG$2)/10^9,0)</f>
        <v>0</v>
      </c>
      <c r="AU1978" s="105">
        <f>IF($AI$1785&gt;0,'Assumptions (MSW)'!AH10*Model!$AI$1785*AVERAGE('Assumptions (MSW)'!$AE$2:$AG$2)/10^9,0)</f>
        <v>0</v>
      </c>
      <c r="AV1978" s="105">
        <f>IF($AI$1785&gt;0,'Assumptions (MSW)'!AI10*Model!$AI$1785*AVERAGE('Assumptions (MSW)'!$AE$2:$AG$2)/10^9,0)</f>
        <v>0</v>
      </c>
      <c r="AW1978" s="105">
        <f>IF($AI$1785&gt;0,'Assumptions (MSW)'!AJ10*Model!$AI$1785*AVERAGE('Assumptions (MSW)'!$AE$2:$AG$2)/10^9,0)</f>
        <v>0</v>
      </c>
      <c r="AX1978" s="105">
        <f>IF($AI$1785&gt;0,'Assumptions (MSW)'!AK10*Model!$AI$1785*AVERAGE('Assumptions (MSW)'!$AE$2:$AG$2)/10^9,0)</f>
        <v>0</v>
      </c>
      <c r="AY1978" s="105"/>
      <c r="AZ1978" s="105"/>
      <c r="BA1978" s="105"/>
      <c r="BB1978" s="105"/>
      <c r="BC1978" s="105"/>
      <c r="BD1978" s="105"/>
      <c r="BE1978" s="105"/>
      <c r="BF1978" s="105"/>
      <c r="BG1978" s="105"/>
    </row>
    <row r="1979" spans="1:65" ht="15.75" hidden="1" customHeight="1" outlineLevel="1">
      <c r="A1979" s="435"/>
      <c r="B1979" s="99"/>
      <c r="C1979" s="99"/>
      <c r="D1979" s="99"/>
      <c r="E1979" s="99"/>
      <c r="F1979" s="99"/>
      <c r="G1979" s="99"/>
      <c r="H1979" s="99"/>
      <c r="I1979" s="99"/>
      <c r="J1979" s="99"/>
      <c r="K1979" s="99"/>
      <c r="L1979" s="99"/>
      <c r="M1979" s="99"/>
      <c r="N1979" s="99"/>
      <c r="O1979" s="99"/>
      <c r="P1979" s="99"/>
      <c r="Q1979" s="99"/>
      <c r="R1979" s="99"/>
      <c r="S1979" s="99"/>
      <c r="T1979" s="99"/>
      <c r="U1979" s="99"/>
      <c r="V1979" s="99"/>
      <c r="W1979" s="105"/>
      <c r="X1979" s="105"/>
      <c r="Y1979" s="105"/>
      <c r="Z1979" s="105"/>
      <c r="AA1979" s="105"/>
      <c r="AB1979" s="91"/>
      <c r="AC1979" s="105"/>
      <c r="AD1979" s="105"/>
      <c r="AE1979" s="105"/>
      <c r="AF1979" s="105"/>
      <c r="AG1979" s="105"/>
      <c r="AH1979" s="105"/>
      <c r="AI1979" s="105"/>
      <c r="AJ1979" s="91">
        <f>IF($AJ$1785&gt;0,'Assumptions (MSW)'!V10*Model!$AJ$1785*AVERAGE('Assumptions (MSW)'!$AF$2:$AH$2)/10^9,0)</f>
        <v>0</v>
      </c>
      <c r="AK1979" s="91">
        <f>IF($AJ$1785&gt;0,'Assumptions (MSW)'!W10*Model!$AJ$1785*AVERAGE('Assumptions (MSW)'!$AF$2:$AH$2)/10^9,0)</f>
        <v>0</v>
      </c>
      <c r="AL1979" s="91">
        <f>IF($AJ$1785&gt;0,'Assumptions (MSW)'!X10*Model!$AJ$1785*AVERAGE('Assumptions (MSW)'!$AF$2:$AH$2)/10^9,0)</f>
        <v>0</v>
      </c>
      <c r="AM1979" s="91">
        <f>IF($AJ$1785&gt;0,'Assumptions (MSW)'!Y10*Model!$AJ$1785*AVERAGE('Assumptions (MSW)'!$AF$2:$AH$2)/10^9,0)</f>
        <v>0</v>
      </c>
      <c r="AN1979" s="91">
        <f>IF($AJ$1785&gt;0,'Assumptions (MSW)'!Z10*Model!$AJ$1785*AVERAGE('Assumptions (MSW)'!$AF$2:$AH$2)/10^9,0)</f>
        <v>0</v>
      </c>
      <c r="AO1979" s="91">
        <f>IF($AJ$1785&gt;0,'Assumptions (MSW)'!AA10*Model!$AJ$1785*AVERAGE('Assumptions (MSW)'!$AF$2:$AH$2)/10^9,0)</f>
        <v>0</v>
      </c>
      <c r="AP1979" s="91">
        <f>IF($AJ$1785&gt;0,'Assumptions (MSW)'!AB10*Model!$AJ$1785*AVERAGE('Assumptions (MSW)'!$AF$2:$AH$2)/10^9,0)</f>
        <v>0</v>
      </c>
      <c r="AQ1979" s="91">
        <f>IF($AJ$1785&gt;0,'Assumptions (MSW)'!AC10*Model!$AJ$1785*AVERAGE('Assumptions (MSW)'!$AF$2:$AH$2)/10^9,0)</f>
        <v>0</v>
      </c>
      <c r="AR1979" s="91">
        <f>IF($AJ$1785&gt;0,'Assumptions (MSW)'!AD10*Model!$AJ$1785*AVERAGE('Assumptions (MSW)'!$AF$2:$AH$2)/10^9,0)</f>
        <v>0</v>
      </c>
      <c r="AS1979" s="91">
        <f>IF($AJ$1785&gt;0,'Assumptions (MSW)'!AE10*Model!$AJ$1785*AVERAGE('Assumptions (MSW)'!$AF$2:$AH$2)/10^9,0)</f>
        <v>0</v>
      </c>
      <c r="AT1979" s="91">
        <f>IF($AJ$1785&gt;0,'Assumptions (MSW)'!AF10*Model!$AJ$1785*AVERAGE('Assumptions (MSW)'!$AF$2:$AH$2)/10^9,0)</f>
        <v>0</v>
      </c>
      <c r="AU1979" s="91">
        <f>IF($AJ$1785&gt;0,'Assumptions (MSW)'!AG10*Model!$AJ$1785*AVERAGE('Assumptions (MSW)'!$AF$2:$AH$2)/10^9,0)</f>
        <v>0</v>
      </c>
      <c r="AV1979" s="91">
        <f>IF($AJ$1785&gt;0,'Assumptions (MSW)'!AH10*Model!$AJ$1785*AVERAGE('Assumptions (MSW)'!$AF$2:$AH$2)/10^9,0)</f>
        <v>0</v>
      </c>
      <c r="AW1979" s="91">
        <f>IF($AJ$1785&gt;0,'Assumptions (MSW)'!AI10*Model!$AJ$1785*AVERAGE('Assumptions (MSW)'!$AF$2:$AH$2)/10^9,0)</f>
        <v>0</v>
      </c>
      <c r="AX1979" s="91">
        <f>IF($AJ$1785&gt;0,'Assumptions (MSW)'!AJ10*Model!$AJ$1785*AVERAGE('Assumptions (MSW)'!$AF$2:$AH$2)/10^9,0)</f>
        <v>0</v>
      </c>
      <c r="AY1979" s="91">
        <f>IF($AJ$1785&gt;0,'Assumptions (MSW)'!AK10*Model!$AJ$1785*AVERAGE('Assumptions (MSW)'!$AF$2:$AH$2)/10^9,0)</f>
        <v>0</v>
      </c>
      <c r="AZ1979" s="91"/>
      <c r="BA1979" s="91"/>
      <c r="BB1979" s="91"/>
      <c r="BC1979" s="91"/>
      <c r="BD1979" s="91"/>
      <c r="BE1979" s="91"/>
      <c r="BF1979" s="91"/>
      <c r="BG1979" s="91"/>
      <c r="BH1979" s="91"/>
    </row>
    <row r="1980" spans="1:65" ht="15.75" hidden="1" customHeight="1" outlineLevel="1">
      <c r="A1980" s="435"/>
      <c r="B1980" s="99"/>
      <c r="C1980" s="99"/>
      <c r="D1980" s="99"/>
      <c r="E1980" s="99"/>
      <c r="F1980" s="99"/>
      <c r="G1980" s="99"/>
      <c r="H1980" s="99"/>
      <c r="I1980" s="99"/>
      <c r="J1980" s="99"/>
      <c r="K1980" s="99"/>
      <c r="L1980" s="99"/>
      <c r="M1980" s="99"/>
      <c r="N1980" s="99"/>
      <c r="O1980" s="99"/>
      <c r="P1980" s="99"/>
      <c r="Q1980" s="99"/>
      <c r="R1980" s="99"/>
      <c r="S1980" s="99"/>
      <c r="T1980" s="99"/>
      <c r="U1980" s="99"/>
      <c r="V1980" s="99"/>
      <c r="W1980" s="105"/>
      <c r="X1980" s="105"/>
      <c r="Y1980" s="105"/>
      <c r="Z1980" s="105"/>
      <c r="AA1980" s="105"/>
      <c r="AB1980" s="105"/>
      <c r="AC1980" s="105"/>
      <c r="AD1980" s="105"/>
      <c r="AE1980" s="105"/>
      <c r="AF1980" s="105"/>
      <c r="AG1980" s="105"/>
      <c r="AH1980" s="105"/>
      <c r="AI1980" s="105"/>
      <c r="AJ1980" s="171"/>
      <c r="AK1980" s="91">
        <f>IF($AK$1785&gt;0,'Assumptions (MSW)'!V10*Model!$AK$1785*AVERAGE('Assumptions (MSW)'!$AG$2:$AI$2)/10^9,0)</f>
        <v>0</v>
      </c>
      <c r="AL1980" s="91">
        <f>IF($AK$1785&gt;0,'Assumptions (MSW)'!W10*Model!$AK$1785*AVERAGE('Assumptions (MSW)'!$AG$2:$AI$2)/10^9,0)</f>
        <v>0</v>
      </c>
      <c r="AM1980" s="91">
        <f>IF($AK$1785&gt;0,'Assumptions (MSW)'!X10*Model!$AK$1785*AVERAGE('Assumptions (MSW)'!$AG$2:$AI$2)/10^9,0)</f>
        <v>0</v>
      </c>
      <c r="AN1980" s="91">
        <f>IF($AK$1785&gt;0,'Assumptions (MSW)'!Y10*Model!$AK$1785*AVERAGE('Assumptions (MSW)'!$AG$2:$AI$2)/10^9,0)</f>
        <v>0</v>
      </c>
      <c r="AO1980" s="91">
        <f>IF($AK$1785&gt;0,'Assumptions (MSW)'!Z10*Model!$AK$1785*AVERAGE('Assumptions (MSW)'!$AG$2:$AI$2)/10^9,0)</f>
        <v>0</v>
      </c>
      <c r="AP1980" s="91">
        <f>IF($AK$1785&gt;0,'Assumptions (MSW)'!AA10*Model!$AK$1785*AVERAGE('Assumptions (MSW)'!$AG$2:$AI$2)/10^9,0)</f>
        <v>0</v>
      </c>
      <c r="AQ1980" s="91">
        <f>IF($AK$1785&gt;0,'Assumptions (MSW)'!AB10*Model!$AK$1785*AVERAGE('Assumptions (MSW)'!$AG$2:$AI$2)/10^9,0)</f>
        <v>0</v>
      </c>
      <c r="AR1980" s="91">
        <f>IF($AK$1785&gt;0,'Assumptions (MSW)'!AC10*Model!$AK$1785*AVERAGE('Assumptions (MSW)'!$AG$2:$AI$2)/10^9,0)</f>
        <v>0</v>
      </c>
      <c r="AS1980" s="91">
        <f>IF($AK$1785&gt;0,'Assumptions (MSW)'!AD10*Model!$AK$1785*AVERAGE('Assumptions (MSW)'!$AG$2:$AI$2)/10^9,0)</f>
        <v>0</v>
      </c>
      <c r="AT1980" s="91">
        <f>IF($AK$1785&gt;0,'Assumptions (MSW)'!AE10*Model!$AK$1785*AVERAGE('Assumptions (MSW)'!$AG$2:$AI$2)/10^9,0)</f>
        <v>0</v>
      </c>
      <c r="AU1980" s="91">
        <f>IF($AK$1785&gt;0,'Assumptions (MSW)'!AF10*Model!$AK$1785*AVERAGE('Assumptions (MSW)'!$AG$2:$AI$2)/10^9,0)</f>
        <v>0</v>
      </c>
      <c r="AV1980" s="91">
        <f>IF($AK$1785&gt;0,'Assumptions (MSW)'!AG10*Model!$AK$1785*AVERAGE('Assumptions (MSW)'!$AG$2:$AI$2)/10^9,0)</f>
        <v>0</v>
      </c>
      <c r="AW1980" s="91">
        <f>IF($AK$1785&gt;0,'Assumptions (MSW)'!AH10*Model!$AK$1785*AVERAGE('Assumptions (MSW)'!$AG$2:$AI$2)/10^9,0)</f>
        <v>0</v>
      </c>
      <c r="AX1980" s="91">
        <f>IF($AK$1785&gt;0,'Assumptions (MSW)'!AI10*Model!$AK$1785*AVERAGE('Assumptions (MSW)'!$AG$2:$AI$2)/10^9,0)</f>
        <v>0</v>
      </c>
      <c r="AY1980" s="91">
        <f>IF($AK$1785&gt;0,'Assumptions (MSW)'!AJ10*Model!$AK$1785*AVERAGE('Assumptions (MSW)'!$AG$2:$AI$2)/10^9,0)</f>
        <v>0</v>
      </c>
      <c r="AZ1980" s="91">
        <f>IF($AK$1785&gt;0,'Assumptions (MSW)'!AK10*Model!$AK$1785*AVERAGE('Assumptions (MSW)'!$AG$2:$AI$2)/10^9,0)</f>
        <v>0</v>
      </c>
      <c r="BA1980" s="91"/>
      <c r="BB1980" s="91"/>
      <c r="BC1980" s="91"/>
      <c r="BD1980" s="91"/>
      <c r="BE1980" s="91"/>
      <c r="BF1980" s="91"/>
      <c r="BG1980" s="91"/>
      <c r="BH1980" s="91"/>
      <c r="BI1980" s="91"/>
    </row>
    <row r="1981" spans="1:65" ht="15.75" hidden="1" customHeight="1" outlineLevel="1">
      <c r="A1981" s="435"/>
      <c r="B1981" s="99"/>
      <c r="C1981" s="99"/>
      <c r="D1981" s="99"/>
      <c r="E1981" s="99"/>
      <c r="F1981" s="99"/>
      <c r="G1981" s="99"/>
      <c r="H1981" s="99"/>
      <c r="I1981" s="99"/>
      <c r="J1981" s="99"/>
      <c r="K1981" s="99"/>
      <c r="L1981" s="99"/>
      <c r="M1981" s="99"/>
      <c r="N1981" s="99"/>
      <c r="O1981" s="99"/>
      <c r="P1981" s="99"/>
      <c r="Q1981" s="99"/>
      <c r="R1981" s="99"/>
      <c r="S1981" s="99"/>
      <c r="T1981" s="99"/>
      <c r="U1981" s="99"/>
      <c r="V1981" s="99"/>
      <c r="W1981" s="105"/>
      <c r="X1981" s="105"/>
      <c r="Y1981" s="105"/>
      <c r="Z1981" s="105"/>
      <c r="AA1981" s="105"/>
      <c r="AB1981" s="105"/>
      <c r="AC1981" s="105"/>
      <c r="AD1981" s="105"/>
      <c r="AE1981" s="105"/>
      <c r="AF1981" s="105"/>
      <c r="AG1981" s="105"/>
      <c r="AH1981" s="105"/>
      <c r="AI1981" s="105"/>
      <c r="AJ1981" s="171"/>
      <c r="AK1981" s="105"/>
      <c r="AL1981" s="91">
        <f>IF($AL$1785&gt;0,'Assumptions (MSW)'!V10*Model!$AL$1785*AVERAGE('Assumptions (MSW)'!$AH$2:$AJ$2)/10^9,0)</f>
        <v>0</v>
      </c>
      <c r="AM1981" s="91">
        <f>IF($AL$1785&gt;0,'Assumptions (MSW)'!W10*Model!$AL$1785*AVERAGE('Assumptions (MSW)'!$AH$2:$AJ$2)/10^9,0)</f>
        <v>0</v>
      </c>
      <c r="AN1981" s="91">
        <f>IF($AL$1785&gt;0,'Assumptions (MSW)'!X10*Model!$AL$1785*AVERAGE('Assumptions (MSW)'!$AH$2:$AJ$2)/10^9,0)</f>
        <v>0</v>
      </c>
      <c r="AO1981" s="91">
        <f>IF($AL$1785&gt;0,'Assumptions (MSW)'!Y10*Model!$AL$1785*AVERAGE('Assumptions (MSW)'!$AH$2:$AJ$2)/10^9,0)</f>
        <v>0</v>
      </c>
      <c r="AP1981" s="91">
        <f>IF($AL$1785&gt;0,'Assumptions (MSW)'!Z10*Model!$AL$1785*AVERAGE('Assumptions (MSW)'!$AH$2:$AJ$2)/10^9,0)</f>
        <v>0</v>
      </c>
      <c r="AQ1981" s="91">
        <f>IF($AL$1785&gt;0,'Assumptions (MSW)'!AA10*Model!$AL$1785*AVERAGE('Assumptions (MSW)'!$AH$2:$AJ$2)/10^9,0)</f>
        <v>0</v>
      </c>
      <c r="AR1981" s="91">
        <f>IF($AL$1785&gt;0,'Assumptions (MSW)'!AB10*Model!$AL$1785*AVERAGE('Assumptions (MSW)'!$AH$2:$AJ$2)/10^9,0)</f>
        <v>0</v>
      </c>
      <c r="AS1981" s="91">
        <f>IF($AL$1785&gt;0,'Assumptions (MSW)'!AC10*Model!$AL$1785*AVERAGE('Assumptions (MSW)'!$AH$2:$AJ$2)/10^9,0)</f>
        <v>0</v>
      </c>
      <c r="AT1981" s="91">
        <f>IF($AL$1785&gt;0,'Assumptions (MSW)'!AD10*Model!$AL$1785*AVERAGE('Assumptions (MSW)'!$AH$2:$AJ$2)/10^9,0)</f>
        <v>0</v>
      </c>
      <c r="AU1981" s="91">
        <f>IF($AL$1785&gt;0,'Assumptions (MSW)'!AE10*Model!$AL$1785*AVERAGE('Assumptions (MSW)'!$AH$2:$AJ$2)/10^9,0)</f>
        <v>0</v>
      </c>
      <c r="AV1981" s="91">
        <f>IF($AL$1785&gt;0,'Assumptions (MSW)'!AF10*Model!$AL$1785*AVERAGE('Assumptions (MSW)'!$AH$2:$AJ$2)/10^9,0)</f>
        <v>0</v>
      </c>
      <c r="AW1981" s="91">
        <f>IF($AL$1785&gt;0,'Assumptions (MSW)'!AG10*Model!$AL$1785*AVERAGE('Assumptions (MSW)'!$AH$2:$AJ$2)/10^9,0)</f>
        <v>0</v>
      </c>
      <c r="AX1981" s="91">
        <f>IF($AL$1785&gt;0,'Assumptions (MSW)'!AH10*Model!$AL$1785*AVERAGE('Assumptions (MSW)'!$AH$2:$AJ$2)/10^9,0)</f>
        <v>0</v>
      </c>
      <c r="AY1981" s="91">
        <f>IF($AL$1785&gt;0,'Assumptions (MSW)'!AI10*Model!$AL$1785*AVERAGE('Assumptions (MSW)'!$AH$2:$AJ$2)/10^9,0)</f>
        <v>0</v>
      </c>
      <c r="AZ1981" s="91">
        <f>IF($AL$1785&gt;0,'Assumptions (MSW)'!AJ10*Model!$AL$1785*AVERAGE('Assumptions (MSW)'!$AH$2:$AJ$2)/10^9,0)</f>
        <v>0</v>
      </c>
      <c r="BA1981" s="91">
        <f>IF($AL$1785&gt;0,'Assumptions (MSW)'!AK10*Model!$AL$1785*AVERAGE('Assumptions (MSW)'!$AH$2:$AJ$2)/10^9,0)</f>
        <v>0</v>
      </c>
      <c r="BB1981" s="91"/>
      <c r="BC1981" s="91"/>
      <c r="BD1981" s="91"/>
      <c r="BE1981" s="91"/>
      <c r="BF1981" s="91"/>
      <c r="BG1981" s="91"/>
      <c r="BH1981" s="91"/>
      <c r="BI1981" s="91"/>
      <c r="BJ1981" s="91"/>
    </row>
    <row r="1982" spans="1:65" ht="15.75" hidden="1" customHeight="1" outlineLevel="1">
      <c r="A1982" s="435"/>
      <c r="B1982" s="99"/>
      <c r="C1982" s="99"/>
      <c r="D1982" s="99"/>
      <c r="E1982" s="99"/>
      <c r="F1982" s="99"/>
      <c r="G1982" s="99"/>
      <c r="H1982" s="99"/>
      <c r="I1982" s="99"/>
      <c r="J1982" s="99"/>
      <c r="K1982" s="99"/>
      <c r="L1982" s="99"/>
      <c r="M1982" s="99"/>
      <c r="N1982" s="99"/>
      <c r="O1982" s="99"/>
      <c r="P1982" s="99"/>
      <c r="Q1982" s="99"/>
      <c r="R1982" s="99"/>
      <c r="S1982" s="99"/>
      <c r="T1982" s="99"/>
      <c r="U1982" s="99"/>
      <c r="V1982" s="99"/>
      <c r="W1982" s="105"/>
      <c r="X1982" s="105"/>
      <c r="Y1982" s="105"/>
      <c r="Z1982" s="105"/>
      <c r="AA1982" s="105"/>
      <c r="AB1982" s="105"/>
      <c r="AC1982" s="105"/>
      <c r="AD1982" s="105"/>
      <c r="AE1982" s="105"/>
      <c r="AF1982" s="105"/>
      <c r="AG1982" s="105"/>
      <c r="AH1982" s="105"/>
      <c r="AI1982" s="105"/>
      <c r="AJ1982" s="171"/>
      <c r="AK1982" s="105"/>
      <c r="AL1982" s="91"/>
      <c r="AM1982" s="105">
        <f>IF($AM$1785&gt;0,'Assumptions (MSW)'!V10*Model!$AM$1785*AVERAGE('Assumptions (MSW)'!$AI$2:$AK$2)/10^9,0)</f>
        <v>0</v>
      </c>
      <c r="AN1982" s="105">
        <f>IF($AM$1785&gt;0,'Assumptions (MSW)'!W10*Model!$AM$1785*AVERAGE('Assumptions (MSW)'!$AI$2:$AK$2)/10^9,0)</f>
        <v>0</v>
      </c>
      <c r="AO1982" s="105">
        <f>IF($AM$1785&gt;0,'Assumptions (MSW)'!X10*Model!$AM$1785*AVERAGE('Assumptions (MSW)'!$AI$2:$AK$2)/10^9,0)</f>
        <v>0</v>
      </c>
      <c r="AP1982" s="105">
        <f>IF($AM$1785&gt;0,'Assumptions (MSW)'!Y10*Model!$AM$1785*AVERAGE('Assumptions (MSW)'!$AI$2:$AK$2)/10^9,0)</f>
        <v>0</v>
      </c>
      <c r="AQ1982" s="105">
        <f>IF($AM$1785&gt;0,'Assumptions (MSW)'!Z10*Model!$AM$1785*AVERAGE('Assumptions (MSW)'!$AI$2:$AK$2)/10^9,0)</f>
        <v>0</v>
      </c>
      <c r="AR1982" s="105">
        <f>IF($AM$1785&gt;0,'Assumptions (MSW)'!AA10*Model!$AM$1785*AVERAGE('Assumptions (MSW)'!$AI$2:$AK$2)/10^9,0)</f>
        <v>0</v>
      </c>
      <c r="AS1982" s="105">
        <f>IF($AM$1785&gt;0,'Assumptions (MSW)'!AB10*Model!$AM$1785*AVERAGE('Assumptions (MSW)'!$AI$2:$AK$2)/10^9,0)</f>
        <v>0</v>
      </c>
      <c r="AT1982" s="105">
        <f>IF($AM$1785&gt;0,'Assumptions (MSW)'!AC10*Model!$AM$1785*AVERAGE('Assumptions (MSW)'!$AI$2:$AK$2)/10^9,0)</f>
        <v>0</v>
      </c>
      <c r="AU1982" s="105">
        <f>IF($AM$1785&gt;0,'Assumptions (MSW)'!AD10*Model!$AM$1785*AVERAGE('Assumptions (MSW)'!$AI$2:$AK$2)/10^9,0)</f>
        <v>0</v>
      </c>
      <c r="AV1982" s="105">
        <f>IF($AM$1785&gt;0,'Assumptions (MSW)'!AE10*Model!$AM$1785*AVERAGE('Assumptions (MSW)'!$AI$2:$AK$2)/10^9,0)</f>
        <v>0</v>
      </c>
      <c r="AW1982" s="105">
        <f>IF($AM$1785&gt;0,'Assumptions (MSW)'!AF10*Model!$AM$1785*AVERAGE('Assumptions (MSW)'!$AI$2:$AK$2)/10^9,0)</f>
        <v>0</v>
      </c>
      <c r="AX1982" s="105">
        <f>IF($AM$1785&gt;0,'Assumptions (MSW)'!AG10*Model!$AM$1785*AVERAGE('Assumptions (MSW)'!$AI$2:$AK$2)/10^9,0)</f>
        <v>0</v>
      </c>
      <c r="AY1982" s="105">
        <f>IF($AM$1785&gt;0,'Assumptions (MSW)'!AH10*Model!$AM$1785*AVERAGE('Assumptions (MSW)'!$AI$2:$AK$2)/10^9,0)</f>
        <v>0</v>
      </c>
      <c r="AZ1982" s="105">
        <f>IF($AM$1785&gt;0,'Assumptions (MSW)'!AI10*Model!$AM$1785*AVERAGE('Assumptions (MSW)'!$AI$2:$AK$2)/10^9,0)</f>
        <v>0</v>
      </c>
      <c r="BA1982" s="105">
        <f>IF($AM$1785&gt;0,'Assumptions (MSW)'!AJ10*Model!$AM$1785*AVERAGE('Assumptions (MSW)'!$AI$2:$AK$2)/10^9,0)</f>
        <v>0</v>
      </c>
      <c r="BB1982" s="105">
        <f>IF($AM$1785&gt;0,'Assumptions (MSW)'!AK10*Model!$AM$1785*AVERAGE('Assumptions (MSW)'!$AI$2:$AK$2)/10^9,0)</f>
        <v>0</v>
      </c>
      <c r="BC1982" s="105"/>
      <c r="BD1982" s="105"/>
      <c r="BE1982" s="105"/>
      <c r="BF1982" s="105"/>
      <c r="BG1982" s="105"/>
      <c r="BH1982" s="105"/>
      <c r="BI1982" s="105"/>
      <c r="BJ1982" s="105"/>
      <c r="BK1982" s="105"/>
    </row>
    <row r="1983" spans="1:65" ht="15.75" hidden="1" customHeight="1" outlineLevel="1">
      <c r="A1983" s="435"/>
      <c r="B1983" s="99"/>
      <c r="C1983" s="99"/>
      <c r="D1983" s="99"/>
      <c r="E1983" s="99"/>
      <c r="F1983" s="99"/>
      <c r="G1983" s="99"/>
      <c r="H1983" s="99"/>
      <c r="I1983" s="99"/>
      <c r="J1983" s="99"/>
      <c r="K1983" s="99"/>
      <c r="L1983" s="99"/>
      <c r="M1983" s="99"/>
      <c r="N1983" s="99"/>
      <c r="O1983" s="99"/>
      <c r="P1983" s="99"/>
      <c r="Q1983" s="99"/>
      <c r="R1983" s="99"/>
      <c r="S1983" s="99"/>
      <c r="T1983" s="99"/>
      <c r="U1983" s="99"/>
      <c r="V1983" s="99"/>
      <c r="W1983" s="105"/>
      <c r="X1983" s="105"/>
      <c r="Y1983" s="105"/>
      <c r="Z1983" s="105"/>
      <c r="AA1983" s="105"/>
      <c r="AB1983" s="105"/>
      <c r="AC1983" s="105"/>
      <c r="AD1983" s="105"/>
      <c r="AE1983" s="105"/>
      <c r="AF1983" s="105"/>
      <c r="AG1983" s="105"/>
      <c r="AH1983" s="105"/>
      <c r="AI1983" s="105"/>
      <c r="AJ1983" s="171"/>
      <c r="AK1983" s="105"/>
      <c r="AL1983" s="91"/>
      <c r="AM1983" s="91"/>
      <c r="AN1983" s="105">
        <f>IF($AN$1785&gt;0,'Assumptions (MSW)'!V10*Model!$AN$1785*AVERAGE('Assumptions (MSW)'!$AJ$2:$AL$2)/10^9,0)</f>
        <v>0</v>
      </c>
      <c r="AO1983" s="105">
        <f>IF($AN$1785&gt;0,'Assumptions (MSW)'!W10*Model!$AN$1785*AVERAGE('Assumptions (MSW)'!$AJ$2:$AL$2)/10^9,0)</f>
        <v>0</v>
      </c>
      <c r="AP1983" s="105">
        <f>IF($AN$1785&gt;0,'Assumptions (MSW)'!X10*Model!$AN$1785*AVERAGE('Assumptions (MSW)'!$AJ$2:$AL$2)/10^9,0)</f>
        <v>0</v>
      </c>
      <c r="AQ1983" s="105">
        <f>IF($AN$1785&gt;0,'Assumptions (MSW)'!Y10*Model!$AN$1785*AVERAGE('Assumptions (MSW)'!$AJ$2:$AL$2)/10^9,0)</f>
        <v>0</v>
      </c>
      <c r="AR1983" s="105">
        <f>IF($AN$1785&gt;0,'Assumptions (MSW)'!Z10*Model!$AN$1785*AVERAGE('Assumptions (MSW)'!$AJ$2:$AL$2)/10^9,0)</f>
        <v>0</v>
      </c>
      <c r="AS1983" s="105">
        <f>IF($AN$1785&gt;0,'Assumptions (MSW)'!AA10*Model!$AN$1785*AVERAGE('Assumptions (MSW)'!$AJ$2:$AL$2)/10^9,0)</f>
        <v>0</v>
      </c>
      <c r="AT1983" s="105">
        <f>IF($AN$1785&gt;0,'Assumptions (MSW)'!AB10*Model!$AN$1785*AVERAGE('Assumptions (MSW)'!$AJ$2:$AL$2)/10^9,0)</f>
        <v>0</v>
      </c>
      <c r="AU1983" s="105">
        <f>IF($AN$1785&gt;0,'Assumptions (MSW)'!AC10*Model!$AN$1785*AVERAGE('Assumptions (MSW)'!$AJ$2:$AL$2)/10^9,0)</f>
        <v>0</v>
      </c>
      <c r="AV1983" s="105">
        <f>IF($AN$1785&gt;0,'Assumptions (MSW)'!AD10*Model!$AN$1785*AVERAGE('Assumptions (MSW)'!$AJ$2:$AL$2)/10^9,0)</f>
        <v>0</v>
      </c>
      <c r="AW1983" s="105">
        <f>IF($AN$1785&gt;0,'Assumptions (MSW)'!AE10*Model!$AN$1785*AVERAGE('Assumptions (MSW)'!$AJ$2:$AL$2)/10^9,0)</f>
        <v>0</v>
      </c>
      <c r="AX1983" s="105">
        <f>IF($AN$1785&gt;0,'Assumptions (MSW)'!AF10*Model!$AN$1785*AVERAGE('Assumptions (MSW)'!$AJ$2:$AL$2)/10^9,0)</f>
        <v>0</v>
      </c>
      <c r="AY1983" s="105">
        <f>IF($AN$1785&gt;0,'Assumptions (MSW)'!AG10*Model!$AN$1785*AVERAGE('Assumptions (MSW)'!$AJ$2:$AL$2)/10^9,0)</f>
        <v>0</v>
      </c>
      <c r="AZ1983" s="105">
        <f>IF($AN$1785&gt;0,'Assumptions (MSW)'!AH10*Model!$AN$1785*AVERAGE('Assumptions (MSW)'!$AJ$2:$AL$2)/10^9,0)</f>
        <v>0</v>
      </c>
      <c r="BA1983" s="105">
        <f>IF($AN$1785&gt;0,'Assumptions (MSW)'!AI10*Model!$AN$1785*AVERAGE('Assumptions (MSW)'!$AJ$2:$AL$2)/10^9,0)</f>
        <v>0</v>
      </c>
      <c r="BB1983" s="105">
        <f>IF($AN$1785&gt;0,'Assumptions (MSW)'!AJ10*Model!$AN$1785*AVERAGE('Assumptions (MSW)'!$AJ$2:$AL$2)/10^9,0)</f>
        <v>0</v>
      </c>
      <c r="BC1983" s="105">
        <f>IF($AN$1785&gt;0,'Assumptions (MSW)'!AK10*Model!$AN$1785*AVERAGE('Assumptions (MSW)'!$AJ$2:$AL$2)/10^9,0)</f>
        <v>0</v>
      </c>
      <c r="BD1983" s="105"/>
      <c r="BE1983" s="105"/>
      <c r="BF1983" s="105"/>
      <c r="BG1983" s="105"/>
      <c r="BH1983" s="105"/>
      <c r="BI1983" s="105"/>
      <c r="BJ1983" s="105"/>
      <c r="BK1983" s="105"/>
      <c r="BL1983" s="105"/>
    </row>
    <row r="1984" spans="1:65" ht="15.75" hidden="1" customHeight="1" outlineLevel="1">
      <c r="A1984" s="435"/>
      <c r="B1984" s="99"/>
      <c r="C1984" s="99"/>
      <c r="D1984" s="99"/>
      <c r="E1984" s="99"/>
      <c r="F1984" s="99"/>
      <c r="G1984" s="99"/>
      <c r="H1984" s="99"/>
      <c r="I1984" s="99"/>
      <c r="J1984" s="99"/>
      <c r="K1984" s="99"/>
      <c r="L1984" s="99"/>
      <c r="M1984" s="99"/>
      <c r="N1984" s="99"/>
      <c r="O1984" s="99"/>
      <c r="P1984" s="99"/>
      <c r="Q1984" s="99"/>
      <c r="R1984" s="99"/>
      <c r="S1984" s="99"/>
      <c r="T1984" s="99"/>
      <c r="U1984" s="99"/>
      <c r="V1984" s="99"/>
      <c r="W1984" s="105"/>
      <c r="X1984" s="105"/>
      <c r="Y1984" s="105"/>
      <c r="Z1984" s="105"/>
      <c r="AA1984" s="105"/>
      <c r="AB1984" s="105"/>
      <c r="AC1984" s="105"/>
      <c r="AD1984" s="105"/>
      <c r="AE1984" s="105"/>
      <c r="AF1984" s="105"/>
      <c r="AG1984" s="105"/>
      <c r="AH1984" s="105"/>
      <c r="AI1984" s="105"/>
      <c r="AJ1984" s="171"/>
      <c r="AK1984" s="105"/>
      <c r="AL1984" s="91"/>
      <c r="AM1984" s="91"/>
      <c r="AN1984" s="91"/>
      <c r="AO1984" s="105">
        <f>IF($AO$1785&gt;0,'Assumptions (MSW)'!V10*Model!$AO$1785*AVERAGE('Assumptions (MSW)'!$AK$2:$AM$2)/10^9,0)</f>
        <v>0</v>
      </c>
      <c r="AP1984" s="105">
        <f>IF($AO$1785&gt;0,'Assumptions (MSW)'!W10*Model!$AO$1785*AVERAGE('Assumptions (MSW)'!$AK$2:$AM$2)/10^9,0)</f>
        <v>0</v>
      </c>
      <c r="AQ1984" s="105">
        <f>IF($AO$1785&gt;0,'Assumptions (MSW)'!X10*Model!$AO$1785*AVERAGE('Assumptions (MSW)'!$AK$2:$AM$2)/10^9,0)</f>
        <v>0</v>
      </c>
      <c r="AR1984" s="105">
        <f>IF($AO$1785&gt;0,'Assumptions (MSW)'!Y10*Model!$AO$1785*AVERAGE('Assumptions (MSW)'!$AK$2:$AM$2)/10^9,0)</f>
        <v>0</v>
      </c>
      <c r="AS1984" s="105">
        <f>IF($AO$1785&gt;0,'Assumptions (MSW)'!Z10*Model!$AO$1785*AVERAGE('Assumptions (MSW)'!$AK$2:$AM$2)/10^9,0)</f>
        <v>0</v>
      </c>
      <c r="AT1984" s="105">
        <f>IF($AO$1785&gt;0,'Assumptions (MSW)'!AA10*Model!$AO$1785*AVERAGE('Assumptions (MSW)'!$AK$2:$AM$2)/10^9,0)</f>
        <v>0</v>
      </c>
      <c r="AU1984" s="105">
        <f>IF($AO$1785&gt;0,'Assumptions (MSW)'!AB10*Model!$AO$1785*AVERAGE('Assumptions (MSW)'!$AK$2:$AM$2)/10^9,0)</f>
        <v>0</v>
      </c>
      <c r="AV1984" s="105">
        <f>IF($AO$1785&gt;0,'Assumptions (MSW)'!AC10*Model!$AO$1785*AVERAGE('Assumptions (MSW)'!$AK$2:$AM$2)/10^9,0)</f>
        <v>0</v>
      </c>
      <c r="AW1984" s="105">
        <f>IF($AO$1785&gt;0,'Assumptions (MSW)'!AD10*Model!$AO$1785*AVERAGE('Assumptions (MSW)'!$AK$2:$AM$2)/10^9,0)</f>
        <v>0</v>
      </c>
      <c r="AX1984" s="105">
        <f>IF($AO$1785&gt;0,'Assumptions (MSW)'!AE10*Model!$AO$1785*AVERAGE('Assumptions (MSW)'!$AK$2:$AM$2)/10^9,0)</f>
        <v>0</v>
      </c>
      <c r="AY1984" s="105">
        <f>IF($AO$1785&gt;0,'Assumptions (MSW)'!AF10*Model!$AO$1785*AVERAGE('Assumptions (MSW)'!$AK$2:$AM$2)/10^9,0)</f>
        <v>0</v>
      </c>
      <c r="AZ1984" s="105">
        <f>IF($AO$1785&gt;0,'Assumptions (MSW)'!AG10*Model!$AO$1785*AVERAGE('Assumptions (MSW)'!$AK$2:$AM$2)/10^9,0)</f>
        <v>0</v>
      </c>
      <c r="BA1984" s="105">
        <f>IF($AO$1785&gt;0,'Assumptions (MSW)'!AH10*Model!$AO$1785*AVERAGE('Assumptions (MSW)'!$AK$2:$AM$2)/10^9,0)</f>
        <v>0</v>
      </c>
      <c r="BB1984" s="105">
        <f>IF($AO$1785&gt;0,'Assumptions (MSW)'!AI10*Model!$AO$1785*AVERAGE('Assumptions (MSW)'!$AK$2:$AM$2)/10^9,0)</f>
        <v>0</v>
      </c>
      <c r="BC1984" s="105">
        <f>IF($AO$1785&gt;0,'Assumptions (MSW)'!AJ10*Model!$AO$1785*AVERAGE('Assumptions (MSW)'!$AK$2:$AM$2)/10^9,0)</f>
        <v>0</v>
      </c>
      <c r="BD1984" s="105">
        <f>IF($AO$1785&gt;0,'Assumptions (MSW)'!AK10*Model!$AO$1785*AVERAGE('Assumptions (MSW)'!$AK$2:$AM$2)/10^9,0)</f>
        <v>0</v>
      </c>
      <c r="BE1984" s="105"/>
      <c r="BF1984" s="105"/>
      <c r="BG1984" s="105"/>
      <c r="BH1984" s="105"/>
      <c r="BI1984" s="105"/>
      <c r="BJ1984" s="105"/>
      <c r="BK1984" s="105"/>
      <c r="BL1984" s="105"/>
      <c r="BM1984" s="105"/>
    </row>
    <row r="1985" spans="1:68" ht="15.75" hidden="1" customHeight="1" outlineLevel="1">
      <c r="A1985" s="435"/>
      <c r="B1985" s="99"/>
      <c r="C1985" s="99"/>
      <c r="D1985" s="99"/>
      <c r="E1985" s="99"/>
      <c r="F1985" s="99"/>
      <c r="G1985" s="99"/>
      <c r="H1985" s="99"/>
      <c r="I1985" s="99"/>
      <c r="J1985" s="99"/>
      <c r="K1985" s="99"/>
      <c r="L1985" s="99"/>
      <c r="M1985" s="99"/>
      <c r="N1985" s="99"/>
      <c r="O1985" s="99"/>
      <c r="P1985" s="99"/>
      <c r="Q1985" s="99"/>
      <c r="R1985" s="99"/>
      <c r="S1985" s="99"/>
      <c r="T1985" s="99"/>
      <c r="U1985" s="99"/>
      <c r="V1985" s="99"/>
      <c r="W1985" s="105"/>
      <c r="X1985" s="105"/>
      <c r="Y1985" s="105"/>
      <c r="Z1985" s="105"/>
      <c r="AA1985" s="105"/>
      <c r="AB1985" s="105"/>
      <c r="AC1985" s="105"/>
      <c r="AD1985" s="105"/>
      <c r="AE1985" s="105"/>
      <c r="AF1985" s="105"/>
      <c r="AG1985" s="105"/>
      <c r="AH1985" s="105"/>
      <c r="AI1985" s="105"/>
      <c r="AJ1985" s="171"/>
      <c r="AK1985" s="105"/>
      <c r="AL1985" s="91"/>
      <c r="AM1985" s="91"/>
      <c r="AN1985" s="91"/>
      <c r="AO1985" s="105"/>
      <c r="AP1985" s="105">
        <f>IF($AP$1785&gt;0,'Assumptions (MSW)'!V10*Model!$AP$1785*AVERAGE('Assumptions (MSW)'!$AL$2:$AN$2)/10^9,0)</f>
        <v>0</v>
      </c>
      <c r="AQ1985" s="105">
        <f>IF($AP$1785&gt;0,'Assumptions (MSW)'!W10*Model!$AP$1785*AVERAGE('Assumptions (MSW)'!$AL$2:$AN$2)/10^9,0)</f>
        <v>0</v>
      </c>
      <c r="AR1985" s="105">
        <f>IF($AP$1785&gt;0,'Assumptions (MSW)'!X10*Model!$AP$1785*AVERAGE('Assumptions (MSW)'!$AL$2:$AN$2)/10^9,0)</f>
        <v>0</v>
      </c>
      <c r="AS1985" s="105">
        <f>IF($AP$1785&gt;0,'Assumptions (MSW)'!Y10*Model!$AP$1785*AVERAGE('Assumptions (MSW)'!$AL$2:$AN$2)/10^9,0)</f>
        <v>0</v>
      </c>
      <c r="AT1985" s="105">
        <f>IF($AP$1785&gt;0,'Assumptions (MSW)'!Z10*Model!$AP$1785*AVERAGE('Assumptions (MSW)'!$AL$2:$AN$2)/10^9,0)</f>
        <v>0</v>
      </c>
      <c r="AU1985" s="105">
        <f>IF($AP$1785&gt;0,'Assumptions (MSW)'!AA10*Model!$AP$1785*AVERAGE('Assumptions (MSW)'!$AL$2:$AN$2)/10^9,0)</f>
        <v>0</v>
      </c>
      <c r="AV1985" s="105">
        <f>IF($AP$1785&gt;0,'Assumptions (MSW)'!AB10*Model!$AP$1785*AVERAGE('Assumptions (MSW)'!$AL$2:$AN$2)/10^9,0)</f>
        <v>0</v>
      </c>
      <c r="AW1985" s="105">
        <f>IF($AP$1785&gt;0,'Assumptions (MSW)'!AC10*Model!$AP$1785*AVERAGE('Assumptions (MSW)'!$AL$2:$AN$2)/10^9,0)</f>
        <v>0</v>
      </c>
      <c r="AX1985" s="105">
        <f>IF($AP$1785&gt;0,'Assumptions (MSW)'!AD10*Model!$AP$1785*AVERAGE('Assumptions (MSW)'!$AL$2:$AN$2)/10^9,0)</f>
        <v>0</v>
      </c>
      <c r="AY1985" s="105">
        <f>IF($AP$1785&gt;0,'Assumptions (MSW)'!AE10*Model!$AP$1785*AVERAGE('Assumptions (MSW)'!$AL$2:$AN$2)/10^9,0)</f>
        <v>0</v>
      </c>
      <c r="AZ1985" s="105">
        <f>IF($AP$1785&gt;0,'Assumptions (MSW)'!AF10*Model!$AP$1785*AVERAGE('Assumptions (MSW)'!$AL$2:$AN$2)/10^9,0)</f>
        <v>0</v>
      </c>
      <c r="BA1985" s="105">
        <f>IF($AP$1785&gt;0,'Assumptions (MSW)'!AG10*Model!$AP$1785*AVERAGE('Assumptions (MSW)'!$AL$2:$AN$2)/10^9,0)</f>
        <v>0</v>
      </c>
      <c r="BB1985" s="105">
        <f>IF($AP$1785&gt;0,'Assumptions (MSW)'!AH10*Model!$AP$1785*AVERAGE('Assumptions (MSW)'!$AL$2:$AN$2)/10^9,0)</f>
        <v>0</v>
      </c>
      <c r="BC1985" s="105">
        <f>IF($AP$1785&gt;0,'Assumptions (MSW)'!AI10*Model!$AP$1785*AVERAGE('Assumptions (MSW)'!$AL$2:$AN$2)/10^9,0)</f>
        <v>0</v>
      </c>
      <c r="BD1985" s="105">
        <f>IF($AP$1785&gt;0,'Assumptions (MSW)'!AJ10*Model!$AP$1785*AVERAGE('Assumptions (MSW)'!$AL$2:$AN$2)/10^9,0)</f>
        <v>0</v>
      </c>
      <c r="BE1985" s="105">
        <f>IF($AP$1785&gt;0,'Assumptions (MSW)'!AK10*Model!$AP$1785*AVERAGE('Assumptions (MSW)'!$AL$2:$AN$2)/10^9,0)</f>
        <v>0</v>
      </c>
      <c r="BF1985" s="105"/>
      <c r="BG1985" s="105"/>
      <c r="BH1985" s="105"/>
      <c r="BI1985" s="105"/>
      <c r="BJ1985" s="105"/>
      <c r="BK1985" s="105"/>
      <c r="BL1985" s="105"/>
      <c r="BM1985" s="105"/>
      <c r="BN1985" s="105"/>
    </row>
    <row r="1986" spans="1:68" ht="15.75" hidden="1" customHeight="1" outlineLevel="1">
      <c r="A1986" s="435"/>
      <c r="B1986" s="99"/>
      <c r="C1986" s="99"/>
      <c r="D1986" s="99"/>
      <c r="E1986" s="99"/>
      <c r="F1986" s="99"/>
      <c r="G1986" s="99"/>
      <c r="H1986" s="99"/>
      <c r="I1986" s="99"/>
      <c r="J1986" s="99"/>
      <c r="K1986" s="99"/>
      <c r="L1986" s="99"/>
      <c r="M1986" s="99"/>
      <c r="N1986" s="99"/>
      <c r="O1986" s="99"/>
      <c r="P1986" s="99"/>
      <c r="Q1986" s="99"/>
      <c r="R1986" s="99"/>
      <c r="S1986" s="99"/>
      <c r="T1986" s="99"/>
      <c r="U1986" s="99"/>
      <c r="V1986" s="99"/>
      <c r="W1986" s="105"/>
      <c r="X1986" s="105"/>
      <c r="Y1986" s="105"/>
      <c r="Z1986" s="105"/>
      <c r="AA1986" s="105"/>
      <c r="AB1986" s="105"/>
      <c r="AC1986" s="105"/>
      <c r="AD1986" s="105"/>
      <c r="AE1986" s="105"/>
      <c r="AF1986" s="105"/>
      <c r="AG1986" s="105"/>
      <c r="AH1986" s="105"/>
      <c r="AI1986" s="105"/>
      <c r="AJ1986" s="171"/>
      <c r="AK1986" s="105"/>
      <c r="AL1986" s="91"/>
      <c r="AM1986" s="91"/>
      <c r="AN1986" s="91"/>
      <c r="AO1986" s="105"/>
      <c r="AP1986" s="105"/>
      <c r="AQ1986" s="105">
        <f>IF($AQ$1785&gt;0,'Assumptions (MSW)'!V10*Model!$AQ$1785*AVERAGE('Assumptions (MSW)'!$AM$2:$AO$2)/10^9,0)</f>
        <v>0</v>
      </c>
      <c r="AR1986" s="105">
        <f>IF($AQ$1785&gt;0,'Assumptions (MSW)'!W10*Model!$AQ$1785*AVERAGE('Assumptions (MSW)'!$AM$2:$AO$2)/10^9,0)</f>
        <v>0</v>
      </c>
      <c r="AS1986" s="105">
        <f>IF($AQ$1785&gt;0,'Assumptions (MSW)'!X10*Model!$AQ$1785*AVERAGE('Assumptions (MSW)'!$AM$2:$AO$2)/10^9,0)</f>
        <v>0</v>
      </c>
      <c r="AT1986" s="105">
        <f>IF($AQ$1785&gt;0,'Assumptions (MSW)'!Y10*Model!$AQ$1785*AVERAGE('Assumptions (MSW)'!$AM$2:$AO$2)/10^9,0)</f>
        <v>0</v>
      </c>
      <c r="AU1986" s="105">
        <f>IF($AQ$1785&gt;0,'Assumptions (MSW)'!Z10*Model!$AQ$1785*AVERAGE('Assumptions (MSW)'!$AM$2:$AO$2)/10^9,0)</f>
        <v>0</v>
      </c>
      <c r="AV1986" s="105">
        <f>IF($AQ$1785&gt;0,'Assumptions (MSW)'!AA10*Model!$AQ$1785*AVERAGE('Assumptions (MSW)'!$AM$2:$AO$2)/10^9,0)</f>
        <v>0</v>
      </c>
      <c r="AW1986" s="105">
        <f>IF($AQ$1785&gt;0,'Assumptions (MSW)'!AB10*Model!$AQ$1785*AVERAGE('Assumptions (MSW)'!$AM$2:$AO$2)/10^9,0)</f>
        <v>0</v>
      </c>
      <c r="AX1986" s="105">
        <f>IF($AQ$1785&gt;0,'Assumptions (MSW)'!AC10*Model!$AQ$1785*AVERAGE('Assumptions (MSW)'!$AM$2:$AO$2)/10^9,0)</f>
        <v>0</v>
      </c>
      <c r="AY1986" s="105">
        <f>IF($AQ$1785&gt;0,'Assumptions (MSW)'!AD10*Model!$AQ$1785*AVERAGE('Assumptions (MSW)'!$AM$2:$AO$2)/10^9,0)</f>
        <v>0</v>
      </c>
      <c r="AZ1986" s="105">
        <f>IF($AQ$1785&gt;0,'Assumptions (MSW)'!AE10*Model!$AQ$1785*AVERAGE('Assumptions (MSW)'!$AM$2:$AO$2)/10^9,0)</f>
        <v>0</v>
      </c>
      <c r="BA1986" s="105">
        <f>IF($AQ$1785&gt;0,'Assumptions (MSW)'!AF10*Model!$AQ$1785*AVERAGE('Assumptions (MSW)'!$AM$2:$AO$2)/10^9,0)</f>
        <v>0</v>
      </c>
      <c r="BB1986" s="105">
        <f>IF($AQ$1785&gt;0,'Assumptions (MSW)'!AG10*Model!$AQ$1785*AVERAGE('Assumptions (MSW)'!$AM$2:$AO$2)/10^9,0)</f>
        <v>0</v>
      </c>
      <c r="BC1986" s="105">
        <f>IF($AQ$1785&gt;0,'Assumptions (MSW)'!AH10*Model!$AQ$1785*AVERAGE('Assumptions (MSW)'!$AM$2:$AO$2)/10^9,0)</f>
        <v>0</v>
      </c>
      <c r="BD1986" s="105">
        <f>IF($AQ$1785&gt;0,'Assumptions (MSW)'!AI10*Model!$AQ$1785*AVERAGE('Assumptions (MSW)'!$AM$2:$AO$2)/10^9,0)</f>
        <v>0</v>
      </c>
      <c r="BE1986" s="105">
        <f>IF($AQ$1785&gt;0,'Assumptions (MSW)'!AJ10*Model!$AQ$1785*AVERAGE('Assumptions (MSW)'!$AM$2:$AO$2)/10^9,0)</f>
        <v>0</v>
      </c>
      <c r="BF1986" s="105">
        <f>IF($AQ$1785&gt;0,'Assumptions (MSW)'!AK10*Model!$AQ$1785*AVERAGE('Assumptions (MSW)'!$AM$2:$AO$2)/10^9,0)</f>
        <v>0</v>
      </c>
      <c r="BG1986" s="105"/>
      <c r="BH1986" s="105"/>
      <c r="BI1986" s="105"/>
      <c r="BJ1986" s="105"/>
      <c r="BK1986" s="105"/>
      <c r="BL1986" s="105"/>
      <c r="BM1986" s="105"/>
      <c r="BN1986" s="105"/>
      <c r="BO1986" s="105"/>
    </row>
    <row r="1987" spans="1:68" ht="15.75" hidden="1" customHeight="1" outlineLevel="1">
      <c r="A1987" s="435"/>
      <c r="B1987" s="99"/>
      <c r="C1987" s="99"/>
      <c r="D1987" s="99"/>
      <c r="E1987" s="99"/>
      <c r="F1987" s="99"/>
      <c r="G1987" s="99"/>
      <c r="H1987" s="99"/>
      <c r="I1987" s="99"/>
      <c r="J1987" s="99"/>
      <c r="K1987" s="99"/>
      <c r="L1987" s="99"/>
      <c r="M1987" s="99"/>
      <c r="N1987" s="99"/>
      <c r="O1987" s="99"/>
      <c r="P1987" s="99"/>
      <c r="Q1987" s="99"/>
      <c r="R1987" s="99"/>
      <c r="S1987" s="99"/>
      <c r="T1987" s="99"/>
      <c r="U1987" s="99"/>
      <c r="V1987" s="99"/>
      <c r="W1987" s="105"/>
      <c r="X1987" s="105"/>
      <c r="Y1987" s="105"/>
      <c r="Z1987" s="105"/>
      <c r="AA1987" s="105"/>
      <c r="AB1987" s="105"/>
      <c r="AC1987" s="105"/>
      <c r="AD1987" s="105"/>
      <c r="AE1987" s="105"/>
      <c r="AF1987" s="105"/>
      <c r="AG1987" s="105"/>
      <c r="AH1987" s="105"/>
      <c r="AI1987" s="105"/>
      <c r="AJ1987" s="171"/>
      <c r="AK1987" s="105"/>
      <c r="AL1987" s="91"/>
      <c r="AM1987" s="91"/>
      <c r="AN1987" s="91"/>
      <c r="AO1987" s="105"/>
      <c r="AP1987" s="105"/>
      <c r="AQ1987" s="105"/>
      <c r="AR1987" s="105">
        <f>IF($AR$1785&gt;0,'Assumptions (MSW)'!V10*Model!$AR$1785*AVERAGE('Assumptions (MSW)'!$AN$2:$AP$2)/10^9,0)</f>
        <v>0</v>
      </c>
      <c r="AS1987" s="105">
        <f>IF($AR$1785&gt;0,'Assumptions (MSW)'!W10*Model!$AR$1785*AVERAGE('Assumptions (MSW)'!$AN$2:$AP$2)/10^9,0)</f>
        <v>0</v>
      </c>
      <c r="AT1987" s="105">
        <f>IF($AR$1785&gt;0,'Assumptions (MSW)'!X10*Model!$AR$1785*AVERAGE('Assumptions (MSW)'!$AN$2:$AP$2)/10^9,0)</f>
        <v>0</v>
      </c>
      <c r="AU1987" s="105">
        <f>IF($AR$1785&gt;0,'Assumptions (MSW)'!Y10*Model!$AR$1785*AVERAGE('Assumptions (MSW)'!$AN$2:$AP$2)/10^9,0)</f>
        <v>0</v>
      </c>
      <c r="AV1987" s="105">
        <f>IF($AR$1785&gt;0,'Assumptions (MSW)'!Z10*Model!$AR$1785*AVERAGE('Assumptions (MSW)'!$AN$2:$AP$2)/10^9,0)</f>
        <v>0</v>
      </c>
      <c r="AW1987" s="105">
        <f>IF($AR$1785&gt;0,'Assumptions (MSW)'!AA10*Model!$AR$1785*AVERAGE('Assumptions (MSW)'!$AN$2:$AP$2)/10^9,0)</f>
        <v>0</v>
      </c>
      <c r="AX1987" s="105">
        <f>IF($AR$1785&gt;0,'Assumptions (MSW)'!AB10*Model!$AR$1785*AVERAGE('Assumptions (MSW)'!$AN$2:$AP$2)/10^9,0)</f>
        <v>0</v>
      </c>
      <c r="AY1987" s="105">
        <f>IF($AR$1785&gt;0,'Assumptions (MSW)'!AC10*Model!$AR$1785*AVERAGE('Assumptions (MSW)'!$AN$2:$AP$2)/10^9,0)</f>
        <v>0</v>
      </c>
      <c r="AZ1987" s="105">
        <f>IF($AR$1785&gt;0,'Assumptions (MSW)'!AD10*Model!$AR$1785*AVERAGE('Assumptions (MSW)'!$AN$2:$AP$2)/10^9,0)</f>
        <v>0</v>
      </c>
      <c r="BA1987" s="105">
        <f>IF($AR$1785&gt;0,'Assumptions (MSW)'!AE10*Model!$AR$1785*AVERAGE('Assumptions (MSW)'!$AN$2:$AP$2)/10^9,0)</f>
        <v>0</v>
      </c>
      <c r="BB1987" s="105">
        <f>IF($AR$1785&gt;0,'Assumptions (MSW)'!AF10*Model!$AR$1785*AVERAGE('Assumptions (MSW)'!$AN$2:$AP$2)/10^9,0)</f>
        <v>0</v>
      </c>
      <c r="BC1987" s="105">
        <f>IF($AR$1785&gt;0,'Assumptions (MSW)'!AG10*Model!$AR$1785*AVERAGE('Assumptions (MSW)'!$AN$2:$AP$2)/10^9,0)</f>
        <v>0</v>
      </c>
      <c r="BD1987" s="105">
        <f>IF($AR$1785&gt;0,'Assumptions (MSW)'!AH10*Model!$AR$1785*AVERAGE('Assumptions (MSW)'!$AN$2:$AP$2)/10^9,0)</f>
        <v>0</v>
      </c>
      <c r="BE1987" s="105">
        <f>IF($AR$1785&gt;0,'Assumptions (MSW)'!AI10*Model!$AR$1785*AVERAGE('Assumptions (MSW)'!$AN$2:$AP$2)/10^9,0)</f>
        <v>0</v>
      </c>
      <c r="BF1987" s="105">
        <f>IF($AR$1785&gt;0,'Assumptions (MSW)'!AJ10*Model!$AR$1785*AVERAGE('Assumptions (MSW)'!$AN$2:$AP$2)/10^9,0)</f>
        <v>0</v>
      </c>
      <c r="BG1987" s="105">
        <f>IF($AR$1785&gt;0,'Assumptions (MSW)'!AK10*Model!$AR$1785*AVERAGE('Assumptions (MSW)'!$AN$2:$AP$2)/10^9,0)</f>
        <v>0</v>
      </c>
      <c r="BH1987" s="105"/>
      <c r="BI1987" s="105"/>
      <c r="BJ1987" s="105"/>
      <c r="BK1987" s="105"/>
      <c r="BL1987" s="105"/>
      <c r="BM1987" s="105"/>
      <c r="BN1987" s="105"/>
      <c r="BO1987" s="105"/>
      <c r="BP1987" s="105"/>
    </row>
    <row r="1988" spans="1:68" ht="15.75" hidden="1" customHeight="1" outlineLevel="1">
      <c r="A1988" s="435"/>
      <c r="B1988" s="99"/>
      <c r="C1988" s="99"/>
      <c r="D1988" s="99"/>
      <c r="E1988" s="99"/>
      <c r="F1988" s="99"/>
      <c r="G1988" s="99"/>
      <c r="H1988" s="99"/>
      <c r="I1988" s="99"/>
      <c r="J1988" s="99"/>
      <c r="K1988" s="99"/>
      <c r="L1988" s="99"/>
      <c r="M1988" s="99"/>
      <c r="N1988" s="99"/>
      <c r="O1988" s="99"/>
      <c r="P1988" s="99"/>
      <c r="Q1988" s="99"/>
      <c r="R1988" s="99"/>
      <c r="S1988" s="99"/>
      <c r="T1988" s="99"/>
      <c r="U1988" s="99"/>
      <c r="V1988" s="99"/>
      <c r="W1988" s="105"/>
      <c r="X1988" s="105"/>
      <c r="Y1988" s="105"/>
      <c r="Z1988" s="105"/>
      <c r="AA1988" s="105"/>
      <c r="AB1988" s="105"/>
      <c r="AC1988" s="105"/>
      <c r="AD1988" s="105"/>
      <c r="AE1988" s="105"/>
      <c r="AF1988" s="105"/>
      <c r="AG1988" s="105"/>
      <c r="AH1988" s="105"/>
      <c r="AI1988" s="105"/>
      <c r="AJ1988" s="171"/>
      <c r="AK1988" s="105"/>
      <c r="AL1988" s="91"/>
      <c r="AM1988" s="91"/>
      <c r="AN1988" s="91"/>
      <c r="AO1988" s="105"/>
      <c r="AP1988" s="105"/>
      <c r="AQ1988" s="105"/>
      <c r="AR1988" s="105"/>
      <c r="AS1988" s="105">
        <f>IF($AS$1785&gt;0,'Assumptions (MSW)'!V10*Model!$AS$1785*AVERAGE('Assumptions (MSW)'!$AO$2:$AQ$2)/10^9,0)</f>
        <v>0</v>
      </c>
      <c r="AT1988" s="105">
        <f>IF($AS$1785&gt;0,'Assumptions (MSW)'!W10*Model!$AS$1785*AVERAGE('Assumptions (MSW)'!$AO$2:$AQ$2)/10^9,0)</f>
        <v>0</v>
      </c>
      <c r="AU1988" s="105">
        <f>IF($AS$1785&gt;0,'Assumptions (MSW)'!X10*Model!$AS$1785*AVERAGE('Assumptions (MSW)'!$AO$2:$AQ$2)/10^9,0)</f>
        <v>0</v>
      </c>
      <c r="AV1988" s="105">
        <f>IF($AS$1785&gt;0,'Assumptions (MSW)'!Y10*Model!$AS$1785*AVERAGE('Assumptions (MSW)'!$AO$2:$AQ$2)/10^9,0)</f>
        <v>0</v>
      </c>
      <c r="AW1988" s="105">
        <f>IF($AS$1785&gt;0,'Assumptions (MSW)'!Z10*Model!$AS$1785*AVERAGE('Assumptions (MSW)'!$AO$2:$AQ$2)/10^9,0)</f>
        <v>0</v>
      </c>
      <c r="AX1988" s="105">
        <f>IF($AS$1785&gt;0,'Assumptions (MSW)'!AA10*Model!$AS$1785*AVERAGE('Assumptions (MSW)'!$AO$2:$AQ$2)/10^9,0)</f>
        <v>0</v>
      </c>
      <c r="AY1988" s="105">
        <f>IF($AS$1785&gt;0,'Assumptions (MSW)'!AB10*Model!$AS$1785*AVERAGE('Assumptions (MSW)'!$AO$2:$AQ$2)/10^9,0)</f>
        <v>0</v>
      </c>
      <c r="AZ1988" s="105">
        <f>IF($AS$1785&gt;0,'Assumptions (MSW)'!AC10*Model!$AS$1785*AVERAGE('Assumptions (MSW)'!$AO$2:$AQ$2)/10^9,0)</f>
        <v>0</v>
      </c>
      <c r="BA1988" s="105">
        <f>IF($AS$1785&gt;0,'Assumptions (MSW)'!AD10*Model!$AS$1785*AVERAGE('Assumptions (MSW)'!$AO$2:$AQ$2)/10^9,0)</f>
        <v>0</v>
      </c>
      <c r="BB1988" s="105">
        <f>IF($AS$1785&gt;0,'Assumptions (MSW)'!AE10*Model!$AS$1785*AVERAGE('Assumptions (MSW)'!$AO$2:$AQ$2)/10^9,0)</f>
        <v>0</v>
      </c>
      <c r="BC1988" s="105">
        <f>IF($AS$1785&gt;0,'Assumptions (MSW)'!AF10*Model!$AS$1785*AVERAGE('Assumptions (MSW)'!$AO$2:$AQ$2)/10^9,0)</f>
        <v>0</v>
      </c>
      <c r="BD1988" s="105">
        <f>IF($AS$1785&gt;0,'Assumptions (MSW)'!AG10*Model!$AS$1785*AVERAGE('Assumptions (MSW)'!$AO$2:$AQ$2)/10^9,0)</f>
        <v>0</v>
      </c>
      <c r="BE1988" s="105">
        <f>IF($AS$1785&gt;0,'Assumptions (MSW)'!AH10*Model!$AS$1785*AVERAGE('Assumptions (MSW)'!$AO$2:$AQ$2)/10^9,0)</f>
        <v>0</v>
      </c>
      <c r="BF1988" s="105">
        <f>IF($AS$1785&gt;0,'Assumptions (MSW)'!AI10*Model!$AS$1785*AVERAGE('Assumptions (MSW)'!$AO$2:$AQ$2)/10^9,0)</f>
        <v>0</v>
      </c>
      <c r="BG1988" s="105">
        <f>IF($AS$1785&gt;0,'Assumptions (MSW)'!AJ10*Model!$AS$1785*AVERAGE('Assumptions (MSW)'!$AO$2:$AQ$2)/10^9,0)</f>
        <v>0</v>
      </c>
      <c r="BH1988" s="105">
        <f>IF($AS$1785&gt;0,'Assumptions (MSW)'!AK10*Model!$AS$1785*AVERAGE('Assumptions (MSW)'!$AO$2:$AQ$2)/10^9,0)</f>
        <v>0</v>
      </c>
      <c r="BI1988" s="105"/>
      <c r="BJ1988" s="105"/>
      <c r="BK1988" s="105"/>
      <c r="BL1988" s="105"/>
      <c r="BM1988" s="105"/>
      <c r="BN1988" s="105"/>
      <c r="BO1988" s="105"/>
      <c r="BP1988" s="105"/>
    </row>
    <row r="1989" spans="1:68" ht="15.75" hidden="1" customHeight="1" outlineLevel="1">
      <c r="A1989" s="435"/>
      <c r="B1989" s="99"/>
      <c r="C1989" s="99"/>
      <c r="D1989" s="99"/>
      <c r="E1989" s="99"/>
      <c r="F1989" s="99"/>
      <c r="G1989" s="99"/>
      <c r="H1989" s="99"/>
      <c r="I1989" s="99"/>
      <c r="J1989" s="99"/>
      <c r="K1989" s="99"/>
      <c r="L1989" s="99"/>
      <c r="M1989" s="99"/>
      <c r="N1989" s="99"/>
      <c r="O1989" s="99"/>
      <c r="P1989" s="99"/>
      <c r="Q1989" s="99"/>
      <c r="R1989" s="99"/>
      <c r="S1989" s="99"/>
      <c r="T1989" s="99"/>
      <c r="U1989" s="99"/>
      <c r="V1989" s="99"/>
      <c r="W1989" s="105"/>
      <c r="X1989" s="105"/>
      <c r="Y1989" s="105"/>
      <c r="Z1989" s="105"/>
      <c r="AA1989" s="105"/>
      <c r="AB1989" s="105"/>
      <c r="AC1989" s="105"/>
      <c r="AD1989" s="105"/>
      <c r="AE1989" s="105"/>
      <c r="AF1989" s="105"/>
      <c r="AG1989" s="105"/>
      <c r="AH1989" s="105"/>
      <c r="AI1989" s="105"/>
      <c r="AJ1989" s="171"/>
      <c r="AK1989" s="105"/>
      <c r="AL1989" s="91"/>
      <c r="AM1989" s="91"/>
      <c r="AN1989" s="91"/>
      <c r="AO1989" s="105"/>
      <c r="AP1989" s="105"/>
      <c r="AQ1989" s="105"/>
      <c r="AR1989" s="105"/>
      <c r="AS1989" s="105"/>
      <c r="AT1989" s="105">
        <f>IF($AT$1785&gt;0,'Assumptions (MSW)'!V10*Model!$AT$1785*AVERAGE('Assumptions (MSW)'!$AP$2:$AR$2)/10^9,0)</f>
        <v>0</v>
      </c>
      <c r="AU1989" s="105">
        <f>IF($AT$1785&gt;0,'Assumptions (MSW)'!W10*Model!$AT$1785*AVERAGE('Assumptions (MSW)'!$AP$2:$AR$2)/10^9,0)</f>
        <v>0</v>
      </c>
      <c r="AV1989" s="105">
        <f>IF($AT$1785&gt;0,'Assumptions (MSW)'!X10*Model!$AT$1785*AVERAGE('Assumptions (MSW)'!$AP$2:$AR$2)/10^9,0)</f>
        <v>0</v>
      </c>
      <c r="AW1989" s="105">
        <f>IF($AT$1785&gt;0,'Assumptions (MSW)'!Y10*Model!$AT$1785*AVERAGE('Assumptions (MSW)'!$AP$2:$AR$2)/10^9,0)</f>
        <v>0</v>
      </c>
      <c r="AX1989" s="105">
        <f>IF($AT$1785&gt;0,'Assumptions (MSW)'!Z10*Model!$AT$1785*AVERAGE('Assumptions (MSW)'!$AP$2:$AR$2)/10^9,0)</f>
        <v>0</v>
      </c>
      <c r="AY1989" s="105">
        <f>IF($AT$1785&gt;0,'Assumptions (MSW)'!AA10*Model!$AT$1785*AVERAGE('Assumptions (MSW)'!$AP$2:$AR$2)/10^9,0)</f>
        <v>0</v>
      </c>
      <c r="AZ1989" s="105">
        <f>IF($AT$1785&gt;0,'Assumptions (MSW)'!AB10*Model!$AT$1785*AVERAGE('Assumptions (MSW)'!$AP$2:$AR$2)/10^9,0)</f>
        <v>0</v>
      </c>
      <c r="BA1989" s="105">
        <f>IF($AT$1785&gt;0,'Assumptions (MSW)'!AC10*Model!$AT$1785*AVERAGE('Assumptions (MSW)'!$AP$2:$AR$2)/10^9,0)</f>
        <v>0</v>
      </c>
      <c r="BB1989" s="105">
        <f>IF($AT$1785&gt;0,'Assumptions (MSW)'!AD10*Model!$AT$1785*AVERAGE('Assumptions (MSW)'!$AP$2:$AR$2)/10^9,0)</f>
        <v>0</v>
      </c>
      <c r="BC1989" s="105">
        <f>IF($AT$1785&gt;0,'Assumptions (MSW)'!AE10*Model!$AT$1785*AVERAGE('Assumptions (MSW)'!$AP$2:$AR$2)/10^9,0)</f>
        <v>0</v>
      </c>
      <c r="BD1989" s="105">
        <f>IF($AT$1785&gt;0,'Assumptions (MSW)'!AF10*Model!$AT$1785*AVERAGE('Assumptions (MSW)'!$AP$2:$AR$2)/10^9,0)</f>
        <v>0</v>
      </c>
      <c r="BE1989" s="105">
        <f>IF($AT$1785&gt;0,'Assumptions (MSW)'!AG10*Model!$AT$1785*AVERAGE('Assumptions (MSW)'!$AP$2:$AR$2)/10^9,0)</f>
        <v>0</v>
      </c>
      <c r="BF1989" s="105">
        <f>IF($AT$1785&gt;0,'Assumptions (MSW)'!AH10*Model!$AT$1785*AVERAGE('Assumptions (MSW)'!$AP$2:$AR$2)/10^9,0)</f>
        <v>0</v>
      </c>
      <c r="BG1989" s="105">
        <f>IF($AT$1785&gt;0,'Assumptions (MSW)'!AI10*Model!$AT$1785*AVERAGE('Assumptions (MSW)'!$AP$2:$AR$2)/10^9,0)</f>
        <v>0</v>
      </c>
      <c r="BH1989" s="105">
        <f>IF($AT$1785&gt;0,'Assumptions (MSW)'!AJ10*Model!$AT$1785*AVERAGE('Assumptions (MSW)'!$AP$2:$AR$2)/10^9,0)</f>
        <v>0</v>
      </c>
      <c r="BI1989" s="105">
        <f>IF($AT$1785&gt;0,'Assumptions (MSW)'!AK10*Model!$AT$1785*AVERAGE('Assumptions (MSW)'!$AP$2:$AR$2)/10^9,0)</f>
        <v>0</v>
      </c>
      <c r="BJ1989" s="105"/>
      <c r="BK1989" s="105"/>
      <c r="BL1989" s="105"/>
      <c r="BM1989" s="105"/>
      <c r="BN1989" s="105"/>
      <c r="BO1989" s="105"/>
      <c r="BP1989" s="105"/>
    </row>
    <row r="1990" spans="1:68" ht="15.75" hidden="1" customHeight="1" outlineLevel="1">
      <c r="A1990" s="435"/>
      <c r="B1990" s="99"/>
      <c r="C1990" s="99"/>
      <c r="D1990" s="99"/>
      <c r="E1990" s="99"/>
      <c r="F1990" s="99"/>
      <c r="G1990" s="99"/>
      <c r="H1990" s="99"/>
      <c r="I1990" s="99"/>
      <c r="J1990" s="99"/>
      <c r="K1990" s="99"/>
      <c r="L1990" s="99"/>
      <c r="M1990" s="99"/>
      <c r="N1990" s="99"/>
      <c r="O1990" s="99"/>
      <c r="P1990" s="99"/>
      <c r="Q1990" s="99"/>
      <c r="R1990" s="99"/>
      <c r="S1990" s="99"/>
      <c r="T1990" s="99"/>
      <c r="U1990" s="99"/>
      <c r="V1990" s="99"/>
      <c r="W1990" s="105"/>
      <c r="X1990" s="105"/>
      <c r="Y1990" s="105"/>
      <c r="Z1990" s="105"/>
      <c r="AA1990" s="105"/>
      <c r="AB1990" s="105"/>
      <c r="AC1990" s="105"/>
      <c r="AD1990" s="105"/>
      <c r="AE1990" s="105"/>
      <c r="AF1990" s="105"/>
      <c r="AG1990" s="105"/>
      <c r="AH1990" s="105"/>
      <c r="AI1990" s="105"/>
      <c r="AJ1990" s="171"/>
      <c r="AK1990" s="105"/>
      <c r="AL1990" s="91"/>
      <c r="AM1990" s="91"/>
      <c r="AN1990" s="91"/>
      <c r="AO1990" s="105"/>
      <c r="AP1990" s="105"/>
      <c r="AQ1990" s="105"/>
      <c r="AR1990" s="105"/>
      <c r="AS1990" s="105"/>
      <c r="AT1990" s="105"/>
      <c r="AU1990" s="105">
        <f>IF($AU$1785&gt;0,'Assumptions (MSW)'!V10*Model!$AU$1785*AVERAGE('Assumptions (MSW)'!$AQ$2:$AS$2)/10^9,0)</f>
        <v>0</v>
      </c>
      <c r="AV1990" s="105">
        <f>IF($AU$1785&gt;0,'Assumptions (MSW)'!W10*Model!$AU$1785*AVERAGE('Assumptions (MSW)'!$AQ$2:$AS$2)/10^9,0)</f>
        <v>0</v>
      </c>
      <c r="AW1990" s="105">
        <f>IF($AU$1785&gt;0,'Assumptions (MSW)'!X10*Model!$AU$1785*AVERAGE('Assumptions (MSW)'!$AQ$2:$AS$2)/10^9,0)</f>
        <v>0</v>
      </c>
      <c r="AX1990" s="105">
        <f>IF($AU$1785&gt;0,'Assumptions (MSW)'!Y10*Model!$AU$1785*AVERAGE('Assumptions (MSW)'!$AQ$2:$AS$2)/10^9,0)</f>
        <v>0</v>
      </c>
      <c r="AY1990" s="105">
        <f>IF($AU$1785&gt;0,'Assumptions (MSW)'!Z10*Model!$AU$1785*AVERAGE('Assumptions (MSW)'!$AQ$2:$AS$2)/10^9,0)</f>
        <v>0</v>
      </c>
      <c r="AZ1990" s="105">
        <f>IF($AU$1785&gt;0,'Assumptions (MSW)'!AA10*Model!$AU$1785*AVERAGE('Assumptions (MSW)'!$AQ$2:$AS$2)/10^9,0)</f>
        <v>0</v>
      </c>
      <c r="BA1990" s="105">
        <f>IF($AU$1785&gt;0,'Assumptions (MSW)'!AB10*Model!$AU$1785*AVERAGE('Assumptions (MSW)'!$AQ$2:$AS$2)/10^9,0)</f>
        <v>0</v>
      </c>
      <c r="BB1990" s="105">
        <f>IF($AU$1785&gt;0,'Assumptions (MSW)'!AC10*Model!$AU$1785*AVERAGE('Assumptions (MSW)'!$AQ$2:$AS$2)/10^9,0)</f>
        <v>0</v>
      </c>
      <c r="BC1990" s="105">
        <f>IF($AU$1785&gt;0,'Assumptions (MSW)'!AD10*Model!$AU$1785*AVERAGE('Assumptions (MSW)'!$AQ$2:$AS$2)/10^9,0)</f>
        <v>0</v>
      </c>
      <c r="BD1990" s="105">
        <f>IF($AU$1785&gt;0,'Assumptions (MSW)'!AE10*Model!$AU$1785*AVERAGE('Assumptions (MSW)'!$AQ$2:$AS$2)/10^9,0)</f>
        <v>0</v>
      </c>
      <c r="BE1990" s="105">
        <f>IF($AU$1785&gt;0,'Assumptions (MSW)'!AF10*Model!$AU$1785*AVERAGE('Assumptions (MSW)'!$AQ$2:$AS$2)/10^9,0)</f>
        <v>0</v>
      </c>
      <c r="BF1990" s="105">
        <f>IF($AU$1785&gt;0,'Assumptions (MSW)'!AG10*Model!$AU$1785*AVERAGE('Assumptions (MSW)'!$AQ$2:$AS$2)/10^9,0)</f>
        <v>0</v>
      </c>
      <c r="BG1990" s="105">
        <f>IF($AU$1785&gt;0,'Assumptions (MSW)'!AH10*Model!$AU$1785*AVERAGE('Assumptions (MSW)'!$AQ$2:$AS$2)/10^9,0)</f>
        <v>0</v>
      </c>
      <c r="BH1990" s="105">
        <f>IF($AU$1785&gt;0,'Assumptions (MSW)'!AI10*Model!$AU$1785*AVERAGE('Assumptions (MSW)'!$AQ$2:$AS$2)/10^9,0)</f>
        <v>0</v>
      </c>
      <c r="BI1990" s="105">
        <f>IF($AU$1785&gt;0,'Assumptions (MSW)'!AJ10*Model!$AU$1785*AVERAGE('Assumptions (MSW)'!$AQ$2:$AS$2)/10^9,0)</f>
        <v>0</v>
      </c>
      <c r="BJ1990" s="105">
        <f>IF($AU$1785&gt;0,'Assumptions (MSW)'!AK10*Model!$AU$1785*AVERAGE('Assumptions (MSW)'!$AQ$2:$AS$2)/10^9,0)</f>
        <v>0</v>
      </c>
      <c r="BK1990" s="105"/>
      <c r="BL1990" s="105"/>
      <c r="BM1990" s="105"/>
      <c r="BN1990" s="105"/>
      <c r="BO1990" s="105"/>
      <c r="BP1990" s="105"/>
    </row>
    <row r="1991" spans="1:68" ht="15.75" hidden="1" customHeight="1" outlineLevel="1">
      <c r="A1991" s="435"/>
      <c r="B1991" s="99"/>
      <c r="C1991" s="99"/>
      <c r="D1991" s="99"/>
      <c r="E1991" s="99"/>
      <c r="F1991" s="99"/>
      <c r="G1991" s="99"/>
      <c r="H1991" s="99"/>
      <c r="I1991" s="99"/>
      <c r="J1991" s="99"/>
      <c r="K1991" s="99"/>
      <c r="L1991" s="99"/>
      <c r="M1991" s="99"/>
      <c r="N1991" s="99"/>
      <c r="O1991" s="99"/>
      <c r="P1991" s="99"/>
      <c r="Q1991" s="99"/>
      <c r="R1991" s="99"/>
      <c r="S1991" s="99"/>
      <c r="T1991" s="99"/>
      <c r="U1991" s="99"/>
      <c r="V1991" s="99"/>
      <c r="W1991" s="105"/>
      <c r="X1991" s="105"/>
      <c r="Y1991" s="105"/>
      <c r="Z1991" s="105"/>
      <c r="AA1991" s="105"/>
      <c r="AB1991" s="105"/>
      <c r="AC1991" s="105"/>
      <c r="AD1991" s="105"/>
      <c r="AE1991" s="105"/>
      <c r="AF1991" s="105"/>
      <c r="AG1991" s="105"/>
      <c r="AH1991" s="105"/>
      <c r="AI1991" s="105"/>
      <c r="AJ1991" s="171"/>
      <c r="AK1991" s="105"/>
      <c r="AL1991" s="91"/>
      <c r="AM1991" s="91"/>
      <c r="AN1991" s="91"/>
      <c r="AO1991" s="105"/>
      <c r="AP1991" s="105"/>
      <c r="AQ1991" s="105"/>
      <c r="AR1991" s="105"/>
      <c r="AS1991" s="105"/>
      <c r="AT1991" s="105"/>
      <c r="AU1991" s="105"/>
      <c r="AV1991" s="105">
        <f>IF($AV$1785&gt;0,'Assumptions (MSW)'!V10*Model!$AV$1785*AVERAGE('Assumptions (MSW)'!$AR$2:$AT$2)/10^9,0)</f>
        <v>0</v>
      </c>
      <c r="AW1991" s="105">
        <f>IF($AV$1785&gt;0,'Assumptions (MSW)'!W10*Model!$AV$1785*AVERAGE('Assumptions (MSW)'!$AR$2:$AT$2)/10^9,0)</f>
        <v>0</v>
      </c>
      <c r="AX1991" s="105">
        <f>IF($AV$1785&gt;0,'Assumptions (MSW)'!X10*Model!$AV$1785*AVERAGE('Assumptions (MSW)'!$AR$2:$AT$2)/10^9,0)</f>
        <v>0</v>
      </c>
      <c r="AY1991" s="105">
        <f>IF($AV$1785&gt;0,'Assumptions (MSW)'!Y10*Model!$AV$1785*AVERAGE('Assumptions (MSW)'!$AR$2:$AT$2)/10^9,0)</f>
        <v>0</v>
      </c>
      <c r="AZ1991" s="105">
        <f>IF($AV$1785&gt;0,'Assumptions (MSW)'!Z10*Model!$AV$1785*AVERAGE('Assumptions (MSW)'!$AR$2:$AT$2)/10^9,0)</f>
        <v>0</v>
      </c>
      <c r="BA1991" s="105">
        <f>IF($AV$1785&gt;0,'Assumptions (MSW)'!AA10*Model!$AV$1785*AVERAGE('Assumptions (MSW)'!$AR$2:$AT$2)/10^9,0)</f>
        <v>0</v>
      </c>
      <c r="BB1991" s="105">
        <f>IF($AV$1785&gt;0,'Assumptions (MSW)'!AB10*Model!$AV$1785*AVERAGE('Assumptions (MSW)'!$AR$2:$AT$2)/10^9,0)</f>
        <v>0</v>
      </c>
      <c r="BC1991" s="105">
        <f>IF($AV$1785&gt;0,'Assumptions (MSW)'!AC10*Model!$AV$1785*AVERAGE('Assumptions (MSW)'!$AR$2:$AT$2)/10^9,0)</f>
        <v>0</v>
      </c>
      <c r="BD1991" s="105">
        <f>IF($AV$1785&gt;0,'Assumptions (MSW)'!AD10*Model!$AV$1785*AVERAGE('Assumptions (MSW)'!$AR$2:$AT$2)/10^9,0)</f>
        <v>0</v>
      </c>
      <c r="BE1991" s="105">
        <f>IF($AV$1785&gt;0,'Assumptions (MSW)'!AE10*Model!$AV$1785*AVERAGE('Assumptions (MSW)'!$AR$2:$AT$2)/10^9,0)</f>
        <v>0</v>
      </c>
      <c r="BF1991" s="105">
        <f>IF($AV$1785&gt;0,'Assumptions (MSW)'!AF10*Model!$AV$1785*AVERAGE('Assumptions (MSW)'!$AR$2:$AT$2)/10^9,0)</f>
        <v>0</v>
      </c>
      <c r="BG1991" s="105">
        <f>IF($AV$1785&gt;0,'Assumptions (MSW)'!AG10*Model!$AV$1785*AVERAGE('Assumptions (MSW)'!$AR$2:$AT$2)/10^9,0)</f>
        <v>0</v>
      </c>
      <c r="BH1991" s="105">
        <f>IF($AV$1785&gt;0,'Assumptions (MSW)'!AH10*Model!$AV$1785*AVERAGE('Assumptions (MSW)'!$AR$2:$AT$2)/10^9,0)</f>
        <v>0</v>
      </c>
      <c r="BI1991" s="105">
        <f>IF($AV$1785&gt;0,'Assumptions (MSW)'!AI10*Model!$AV$1785*AVERAGE('Assumptions (MSW)'!$AR$2:$AT$2)/10^9,0)</f>
        <v>0</v>
      </c>
      <c r="BJ1991" s="105">
        <f>IF($AV$1785&gt;0,'Assumptions (MSW)'!AJ10*Model!$AV$1785*AVERAGE('Assumptions (MSW)'!$AR$2:$AT$2)/10^9,0)</f>
        <v>0</v>
      </c>
      <c r="BK1991" s="105">
        <f>IF($AV$1785&gt;0,'Assumptions (MSW)'!AK10*Model!$AV$1785*AVERAGE('Assumptions (MSW)'!$AR$2:$AT$2)/10^9,0)</f>
        <v>0</v>
      </c>
      <c r="BL1991" s="105"/>
      <c r="BM1991" s="105"/>
      <c r="BN1991" s="105"/>
      <c r="BO1991" s="105"/>
      <c r="BP1991" s="105"/>
    </row>
    <row r="1992" spans="1:68" ht="15.75" hidden="1" customHeight="1" outlineLevel="1">
      <c r="A1992" s="435"/>
      <c r="B1992" s="99"/>
      <c r="C1992" s="99"/>
      <c r="D1992" s="99"/>
      <c r="E1992" s="99"/>
      <c r="F1992" s="99"/>
      <c r="G1992" s="99"/>
      <c r="H1992" s="99"/>
      <c r="I1992" s="99"/>
      <c r="J1992" s="99"/>
      <c r="K1992" s="99"/>
      <c r="L1992" s="99"/>
      <c r="M1992" s="99"/>
      <c r="N1992" s="99"/>
      <c r="O1992" s="99"/>
      <c r="P1992" s="99"/>
      <c r="Q1992" s="99"/>
      <c r="R1992" s="99"/>
      <c r="S1992" s="99"/>
      <c r="T1992" s="99"/>
      <c r="U1992" s="99"/>
      <c r="V1992" s="99"/>
      <c r="W1992" s="105"/>
      <c r="X1992" s="105"/>
      <c r="Y1992" s="105"/>
      <c r="Z1992" s="105"/>
      <c r="AA1992" s="105"/>
      <c r="AB1992" s="105"/>
      <c r="AC1992" s="105"/>
      <c r="AD1992" s="105"/>
      <c r="AE1992" s="105"/>
      <c r="AF1992" s="105"/>
      <c r="AG1992" s="105"/>
      <c r="AH1992" s="105"/>
      <c r="AI1992" s="105"/>
      <c r="AJ1992" s="171"/>
      <c r="AK1992" s="105"/>
      <c r="AL1992" s="91"/>
      <c r="AM1992" s="91"/>
      <c r="AN1992" s="91"/>
      <c r="AO1992" s="105"/>
      <c r="AP1992" s="105"/>
      <c r="AQ1992" s="105"/>
      <c r="AR1992" s="105"/>
      <c r="AS1992" s="105"/>
      <c r="AT1992" s="105"/>
      <c r="AU1992" s="105"/>
      <c r="AV1992" s="105"/>
      <c r="AW1992" s="105">
        <f>IF($AW$1785&gt;0,'Assumptions (MSW)'!V10*Model!$AW$1785*AVERAGE('Assumptions (MSW)'!$AS$2:$AU$2)/10^9,0)</f>
        <v>0</v>
      </c>
      <c r="AX1992" s="105">
        <f>IF($AW$1785&gt;0,'Assumptions (MSW)'!W10*Model!$AW$1785*AVERAGE('Assumptions (MSW)'!$AS$2:$AU$2)/10^9,0)</f>
        <v>0</v>
      </c>
      <c r="AY1992" s="105">
        <f>IF($AW$1785&gt;0,'Assumptions (MSW)'!X10*Model!$AW$1785*AVERAGE('Assumptions (MSW)'!$AS$2:$AU$2)/10^9,0)</f>
        <v>0</v>
      </c>
      <c r="AZ1992" s="105">
        <f>IF($AW$1785&gt;0,'Assumptions (MSW)'!Y10*Model!$AW$1785*AVERAGE('Assumptions (MSW)'!$AS$2:$AU$2)/10^9,0)</f>
        <v>0</v>
      </c>
      <c r="BA1992" s="105">
        <f>IF($AW$1785&gt;0,'Assumptions (MSW)'!Z10*Model!$AW$1785*AVERAGE('Assumptions (MSW)'!$AS$2:$AU$2)/10^9,0)</f>
        <v>0</v>
      </c>
      <c r="BB1992" s="105">
        <f>IF($AW$1785&gt;0,'Assumptions (MSW)'!AA10*Model!$AW$1785*AVERAGE('Assumptions (MSW)'!$AS$2:$AU$2)/10^9,0)</f>
        <v>0</v>
      </c>
      <c r="BC1992" s="105">
        <f>IF($AW$1785&gt;0,'Assumptions (MSW)'!AB10*Model!$AW$1785*AVERAGE('Assumptions (MSW)'!$AS$2:$AU$2)/10^9,0)</f>
        <v>0</v>
      </c>
      <c r="BD1992" s="105">
        <f>IF($AW$1785&gt;0,'Assumptions (MSW)'!AC10*Model!$AW$1785*AVERAGE('Assumptions (MSW)'!$AS$2:$AU$2)/10^9,0)</f>
        <v>0</v>
      </c>
      <c r="BE1992" s="105">
        <f>IF($AW$1785&gt;0,'Assumptions (MSW)'!AD10*Model!$AW$1785*AVERAGE('Assumptions (MSW)'!$AS$2:$AU$2)/10^9,0)</f>
        <v>0</v>
      </c>
      <c r="BF1992" s="105">
        <f>IF($AW$1785&gt;0,'Assumptions (MSW)'!AE10*Model!$AW$1785*AVERAGE('Assumptions (MSW)'!$AS$2:$AU$2)/10^9,0)</f>
        <v>0</v>
      </c>
      <c r="BG1992" s="105">
        <f>IF($AW$1785&gt;0,'Assumptions (MSW)'!AF10*Model!$AW$1785*AVERAGE('Assumptions (MSW)'!$AS$2:$AU$2)/10^9,0)</f>
        <v>0</v>
      </c>
      <c r="BH1992" s="105">
        <f>IF($AW$1785&gt;0,'Assumptions (MSW)'!AG10*Model!$AW$1785*AVERAGE('Assumptions (MSW)'!$AS$2:$AU$2)/10^9,0)</f>
        <v>0</v>
      </c>
      <c r="BI1992" s="105">
        <f>IF($AW$1785&gt;0,'Assumptions (MSW)'!AH10*Model!$AW$1785*AVERAGE('Assumptions (MSW)'!$AS$2:$AU$2)/10^9,0)</f>
        <v>0</v>
      </c>
      <c r="BJ1992" s="105">
        <f>IF($AW$1785&gt;0,'Assumptions (MSW)'!AI10*Model!$AW$1785*AVERAGE('Assumptions (MSW)'!$AS$2:$AU$2)/10^9,0)</f>
        <v>0</v>
      </c>
      <c r="BK1992" s="105">
        <f>IF($AW$1785&gt;0,'Assumptions (MSW)'!AJ10*Model!$AW$1785*AVERAGE('Assumptions (MSW)'!$AS$2:$AU$2)/10^9,0)</f>
        <v>0</v>
      </c>
      <c r="BL1992" s="105">
        <f>IF($AW$1785&gt;0,'Assumptions (MSW)'!AK10*Model!$AW$1785*AVERAGE('Assumptions (MSW)'!$AS$2:$AU$2)/10^9,0)</f>
        <v>0</v>
      </c>
      <c r="BM1992" s="105"/>
      <c r="BN1992" s="105"/>
      <c r="BO1992" s="105"/>
      <c r="BP1992" s="105"/>
    </row>
    <row r="1993" spans="1:68" ht="15.75" hidden="1" customHeight="1" outlineLevel="1">
      <c r="A1993" s="435"/>
      <c r="B1993" s="99"/>
      <c r="C1993" s="99"/>
      <c r="D1993" s="99"/>
      <c r="E1993" s="99"/>
      <c r="F1993" s="99"/>
      <c r="G1993" s="99"/>
      <c r="H1993" s="99"/>
      <c r="I1993" s="99"/>
      <c r="J1993" s="99"/>
      <c r="K1993" s="99"/>
      <c r="L1993" s="99"/>
      <c r="M1993" s="99"/>
      <c r="N1993" s="99"/>
      <c r="O1993" s="99"/>
      <c r="P1993" s="99"/>
      <c r="Q1993" s="99"/>
      <c r="R1993" s="99"/>
      <c r="S1993" s="99"/>
      <c r="T1993" s="99"/>
      <c r="U1993" s="99"/>
      <c r="V1993" s="99"/>
      <c r="W1993" s="105"/>
      <c r="X1993" s="105"/>
      <c r="Y1993" s="105"/>
      <c r="Z1993" s="105"/>
      <c r="AA1993" s="105"/>
      <c r="AB1993" s="105"/>
      <c r="AC1993" s="105"/>
      <c r="AD1993" s="105"/>
      <c r="AE1993" s="105"/>
      <c r="AF1993" s="105"/>
      <c r="AG1993" s="105"/>
      <c r="AH1993" s="105"/>
      <c r="AI1993" s="105"/>
      <c r="AJ1993" s="171"/>
      <c r="AK1993" s="105"/>
      <c r="AL1993" s="91"/>
      <c r="AM1993" s="91"/>
      <c r="AN1993" s="91"/>
      <c r="AO1993" s="105"/>
      <c r="AP1993" s="105"/>
      <c r="AQ1993" s="105"/>
      <c r="AR1993" s="105"/>
      <c r="AS1993" s="105"/>
      <c r="AT1993" s="105"/>
      <c r="AU1993" s="105"/>
      <c r="AV1993" s="105"/>
      <c r="AW1993" s="105"/>
      <c r="AX1993" s="105">
        <f>IF($AX$1785&gt;0,'Assumptions (MSW)'!V10*Model!$AX$1785*AVERAGE('Assumptions (MSW)'!$AT$2:$AV$2)/10^9,0)</f>
        <v>0</v>
      </c>
      <c r="AY1993" s="105">
        <f>IF($AX$1785&gt;0,'Assumptions (MSW)'!W10*Model!$AX$1785*AVERAGE('Assumptions (MSW)'!$AT$2:$AV$2)/10^9,0)</f>
        <v>0</v>
      </c>
      <c r="AZ1993" s="105">
        <f>IF($AX$1785&gt;0,'Assumptions (MSW)'!X10*Model!$AX$1785*AVERAGE('Assumptions (MSW)'!$AT$2:$AV$2)/10^9,0)</f>
        <v>0</v>
      </c>
      <c r="BA1993" s="105">
        <f>IF($AX$1785&gt;0,'Assumptions (MSW)'!Y10*Model!$AX$1785*AVERAGE('Assumptions (MSW)'!$AT$2:$AV$2)/10^9,0)</f>
        <v>0</v>
      </c>
      <c r="BB1993" s="105">
        <f>IF($AX$1785&gt;0,'Assumptions (MSW)'!Z10*Model!$AX$1785*AVERAGE('Assumptions (MSW)'!$AT$2:$AV$2)/10^9,0)</f>
        <v>0</v>
      </c>
      <c r="BC1993" s="105">
        <f>IF($AX$1785&gt;0,'Assumptions (MSW)'!AA10*Model!$AX$1785*AVERAGE('Assumptions (MSW)'!$AT$2:$AV$2)/10^9,0)</f>
        <v>0</v>
      </c>
      <c r="BD1993" s="105">
        <f>IF($AX$1785&gt;0,'Assumptions (MSW)'!AB10*Model!$AX$1785*AVERAGE('Assumptions (MSW)'!$AT$2:$AV$2)/10^9,0)</f>
        <v>0</v>
      </c>
      <c r="BE1993" s="105">
        <f>IF($AX$1785&gt;0,'Assumptions (MSW)'!AC10*Model!$AX$1785*AVERAGE('Assumptions (MSW)'!$AT$2:$AV$2)/10^9,0)</f>
        <v>0</v>
      </c>
      <c r="BF1993" s="105">
        <f>IF($AX$1785&gt;0,'Assumptions (MSW)'!AD10*Model!$AX$1785*AVERAGE('Assumptions (MSW)'!$AT$2:$AV$2)/10^9,0)</f>
        <v>0</v>
      </c>
      <c r="BG1993" s="105">
        <f>IF($AX$1785&gt;0,'Assumptions (MSW)'!AE10*Model!$AX$1785*AVERAGE('Assumptions (MSW)'!$AT$2:$AV$2)/10^9,0)</f>
        <v>0</v>
      </c>
      <c r="BH1993" s="105">
        <f>IF($AX$1785&gt;0,'Assumptions (MSW)'!AF10*Model!$AX$1785*AVERAGE('Assumptions (MSW)'!$AT$2:$AV$2)/10^9,0)</f>
        <v>0</v>
      </c>
      <c r="BI1993" s="105">
        <f>IF($AX$1785&gt;0,'Assumptions (MSW)'!AG10*Model!$AX$1785*AVERAGE('Assumptions (MSW)'!$AT$2:$AV$2)/10^9,0)</f>
        <v>0</v>
      </c>
      <c r="BJ1993" s="105">
        <f>IF($AX$1785&gt;0,'Assumptions (MSW)'!AH10*Model!$AX$1785*AVERAGE('Assumptions (MSW)'!$AT$2:$AV$2)/10^9,0)</f>
        <v>0</v>
      </c>
      <c r="BK1993" s="105">
        <f>IF($AX$1785&gt;0,'Assumptions (MSW)'!AI10*Model!$AX$1785*AVERAGE('Assumptions (MSW)'!$AT$2:$AV$2)/10^9,0)</f>
        <v>0</v>
      </c>
      <c r="BL1993" s="105">
        <f>IF($AX$1785&gt;0,'Assumptions (MSW)'!AJ10*Model!$AX$1785*AVERAGE('Assumptions (MSW)'!$AT$2:$AV$2)/10^9,0)</f>
        <v>0</v>
      </c>
      <c r="BM1993" s="105">
        <f>IF($AX$1785&gt;0,'Assumptions (MSW)'!AK10*Model!$AX$1785*AVERAGE('Assumptions (MSW)'!$AT$2:$AV$2)/10^9,0)</f>
        <v>0</v>
      </c>
      <c r="BN1993" s="105"/>
      <c r="BO1993" s="105"/>
      <c r="BP1993" s="105"/>
    </row>
    <row r="1994" spans="1:68" ht="15.75" hidden="1" customHeight="1" outlineLevel="1">
      <c r="A1994" s="435"/>
      <c r="B1994" s="99"/>
      <c r="C1994" s="99"/>
      <c r="D1994" s="99"/>
      <c r="E1994" s="99"/>
      <c r="F1994" s="99"/>
      <c r="G1994" s="99"/>
      <c r="H1994" s="99"/>
      <c r="I1994" s="99"/>
      <c r="J1994" s="99"/>
      <c r="K1994" s="99"/>
      <c r="L1994" s="99"/>
      <c r="M1994" s="99"/>
      <c r="N1994" s="99"/>
      <c r="O1994" s="99"/>
      <c r="P1994" s="99"/>
      <c r="Q1994" s="99"/>
      <c r="R1994" s="99"/>
      <c r="S1994" s="99"/>
      <c r="T1994" s="99"/>
      <c r="U1994" s="99"/>
      <c r="V1994" s="99"/>
      <c r="W1994" s="105"/>
      <c r="X1994" s="105"/>
      <c r="Y1994" s="105"/>
      <c r="Z1994" s="105"/>
      <c r="AA1994" s="105"/>
      <c r="AB1994" s="105"/>
      <c r="AC1994" s="105"/>
      <c r="AD1994" s="105"/>
      <c r="AE1994" s="105"/>
      <c r="AF1994" s="105"/>
      <c r="AG1994" s="105"/>
      <c r="AH1994" s="105"/>
      <c r="AI1994" s="105"/>
      <c r="AJ1994" s="171"/>
      <c r="AK1994" s="105"/>
      <c r="AL1994" s="91"/>
      <c r="AM1994" s="91"/>
      <c r="AN1994" s="91"/>
      <c r="AO1994" s="105"/>
      <c r="AP1994" s="105"/>
      <c r="AQ1994" s="105"/>
      <c r="AR1994" s="105"/>
      <c r="AS1994" s="105"/>
      <c r="AT1994" s="105"/>
      <c r="AU1994" s="105"/>
      <c r="AV1994" s="105"/>
      <c r="AW1994" s="105"/>
      <c r="AX1994" s="105"/>
      <c r="AY1994" s="105">
        <f>IF($AY$1785&gt;0,'Assumptions (MSW)'!V10*Model!$AY$1785*AVERAGE('Assumptions (MSW)'!$AU$2:$AW$2)/10^9,0)</f>
        <v>0</v>
      </c>
      <c r="AZ1994" s="105">
        <f>IF($AY$1785&gt;0,'Assumptions (MSW)'!W10*Model!$AY$1785*AVERAGE('Assumptions (MSW)'!$AU$2:$AW$2)/10^9,0)</f>
        <v>0</v>
      </c>
      <c r="BA1994" s="105">
        <f>IF($AY$1785&gt;0,'Assumptions (MSW)'!X10*Model!$AY$1785*AVERAGE('Assumptions (MSW)'!$AU$2:$AW$2)/10^9,0)</f>
        <v>0</v>
      </c>
      <c r="BB1994" s="105">
        <f>IF($AY$1785&gt;0,'Assumptions (MSW)'!Y10*Model!$AY$1785*AVERAGE('Assumptions (MSW)'!$AU$2:$AW$2)/10^9,0)</f>
        <v>0</v>
      </c>
      <c r="BC1994" s="105">
        <f>IF($AY$1785&gt;0,'Assumptions (MSW)'!Z10*Model!$AY$1785*AVERAGE('Assumptions (MSW)'!$AU$2:$AW$2)/10^9,0)</f>
        <v>0</v>
      </c>
      <c r="BD1994" s="105">
        <f>IF($AY$1785&gt;0,'Assumptions (MSW)'!AA10*Model!$AY$1785*AVERAGE('Assumptions (MSW)'!$AU$2:$AW$2)/10^9,0)</f>
        <v>0</v>
      </c>
      <c r="BE1994" s="105">
        <f>IF($AY$1785&gt;0,'Assumptions (MSW)'!AB10*Model!$AY$1785*AVERAGE('Assumptions (MSW)'!$AU$2:$AW$2)/10^9,0)</f>
        <v>0</v>
      </c>
      <c r="BF1994" s="105">
        <f>IF($AY$1785&gt;0,'Assumptions (MSW)'!AC10*Model!$AY$1785*AVERAGE('Assumptions (MSW)'!$AU$2:$AW$2)/10^9,0)</f>
        <v>0</v>
      </c>
      <c r="BG1994" s="105">
        <f>IF($AY$1785&gt;0,'Assumptions (MSW)'!AD10*Model!$AY$1785*AVERAGE('Assumptions (MSW)'!$AU$2:$AW$2)/10^9,0)</f>
        <v>0</v>
      </c>
      <c r="BH1994" s="105">
        <f>IF($AY$1785&gt;0,'Assumptions (MSW)'!AE10*Model!$AY$1785*AVERAGE('Assumptions (MSW)'!$AU$2:$AW$2)/10^9,0)</f>
        <v>0</v>
      </c>
      <c r="BI1994" s="105">
        <f>IF($AY$1785&gt;0,'Assumptions (MSW)'!AF10*Model!$AY$1785*AVERAGE('Assumptions (MSW)'!$AU$2:$AW$2)/10^9,0)</f>
        <v>0</v>
      </c>
      <c r="BJ1994" s="105">
        <f>IF($AY$1785&gt;0,'Assumptions (MSW)'!AG10*Model!$AY$1785*AVERAGE('Assumptions (MSW)'!$AU$2:$AW$2)/10^9,0)</f>
        <v>0</v>
      </c>
      <c r="BK1994" s="105">
        <f>IF($AY$1785&gt;0,'Assumptions (MSW)'!AH10*Model!$AY$1785*AVERAGE('Assumptions (MSW)'!$AU$2:$AW$2)/10^9,0)</f>
        <v>0</v>
      </c>
      <c r="BL1994" s="105">
        <f>IF($AY$1785&gt;0,'Assumptions (MSW)'!AI10*Model!$AY$1785*AVERAGE('Assumptions (MSW)'!$AU$2:$AW$2)/10^9,0)</f>
        <v>0</v>
      </c>
      <c r="BM1994" s="105">
        <f>IF($AY$1785&gt;0,'Assumptions (MSW)'!AJ10*Model!$AY$1785*AVERAGE('Assumptions (MSW)'!$AU$2:$AW$2)/10^9,0)</f>
        <v>0</v>
      </c>
      <c r="BN1994" s="105">
        <f>IF($AY$1785&gt;0,'Assumptions (MSW)'!AK10*Model!$AY$1785*AVERAGE('Assumptions (MSW)'!$AU$2:$AW$2)/10^9,0)</f>
        <v>0</v>
      </c>
      <c r="BO1994" s="105"/>
      <c r="BP1994" s="105"/>
    </row>
    <row r="1995" spans="1:68" ht="15.75" hidden="1" customHeight="1" outlineLevel="1">
      <c r="A1995" s="435"/>
      <c r="B1995" s="99"/>
      <c r="C1995" s="99"/>
      <c r="D1995" s="99"/>
      <c r="E1995" s="99"/>
      <c r="F1995" s="99"/>
      <c r="G1995" s="99"/>
      <c r="H1995" s="99"/>
      <c r="I1995" s="99"/>
      <c r="J1995" s="99"/>
      <c r="K1995" s="99"/>
      <c r="L1995" s="99"/>
      <c r="M1995" s="99"/>
      <c r="N1995" s="99"/>
      <c r="O1995" s="99"/>
      <c r="P1995" s="99"/>
      <c r="Q1995" s="99"/>
      <c r="R1995" s="99"/>
      <c r="S1995" s="99"/>
      <c r="T1995" s="99"/>
      <c r="U1995" s="99"/>
      <c r="V1995" s="99"/>
      <c r="W1995" s="105"/>
      <c r="X1995" s="105"/>
      <c r="Y1995" s="105"/>
      <c r="Z1995" s="105"/>
      <c r="AA1995" s="105"/>
      <c r="AB1995" s="105"/>
      <c r="AC1995" s="105"/>
      <c r="AD1995" s="105"/>
      <c r="AE1995" s="105"/>
      <c r="AF1995" s="105"/>
      <c r="AG1995" s="105"/>
      <c r="AH1995" s="105"/>
      <c r="AI1995" s="105"/>
      <c r="AJ1995" s="171"/>
      <c r="AK1995" s="105"/>
      <c r="AL1995" s="91"/>
      <c r="AM1995" s="91"/>
      <c r="AN1995" s="91"/>
      <c r="AO1995" s="105"/>
      <c r="AP1995" s="105"/>
      <c r="AQ1995" s="105"/>
      <c r="AR1995" s="105"/>
      <c r="AS1995" s="105"/>
      <c r="AT1995" s="105"/>
      <c r="AU1995" s="105"/>
      <c r="AV1995" s="105"/>
      <c r="AW1995" s="105"/>
      <c r="AX1995" s="105"/>
      <c r="AY1995" s="105"/>
      <c r="AZ1995" s="105">
        <f>IF($AZ$1785&gt;0,'Assumptions (MSW)'!V10*Model!$AZ$1785*AVERAGE('Assumptions (MSW)'!$AV$2:$AX$2)/10^9,0)</f>
        <v>0</v>
      </c>
      <c r="BA1995" s="105">
        <f>IF($AZ$1785&gt;0,'Assumptions (MSW)'!W10*Model!$AZ$1785*AVERAGE('Assumptions (MSW)'!$AV$2:$AX$2)/10^9,0)</f>
        <v>0</v>
      </c>
      <c r="BB1995" s="105">
        <f>IF($AZ$1785&gt;0,'Assumptions (MSW)'!X10*Model!$AZ$1785*AVERAGE('Assumptions (MSW)'!$AV$2:$AX$2)/10^9,0)</f>
        <v>0</v>
      </c>
      <c r="BC1995" s="105">
        <f>IF($AZ$1785&gt;0,'Assumptions (MSW)'!Y10*Model!$AZ$1785*AVERAGE('Assumptions (MSW)'!$AV$2:$AX$2)/10^9,0)</f>
        <v>0</v>
      </c>
      <c r="BD1995" s="105">
        <f>IF($AZ$1785&gt;0,'Assumptions (MSW)'!Z10*Model!$AZ$1785*AVERAGE('Assumptions (MSW)'!$AV$2:$AX$2)/10^9,0)</f>
        <v>0</v>
      </c>
      <c r="BE1995" s="105">
        <f>IF($AZ$1785&gt;0,'Assumptions (MSW)'!AA10*Model!$AZ$1785*AVERAGE('Assumptions (MSW)'!$AV$2:$AX$2)/10^9,0)</f>
        <v>0</v>
      </c>
      <c r="BF1995" s="105">
        <f>IF($AZ$1785&gt;0,'Assumptions (MSW)'!AB10*Model!$AZ$1785*AVERAGE('Assumptions (MSW)'!$AV$2:$AX$2)/10^9,0)</f>
        <v>0</v>
      </c>
      <c r="BG1995" s="105">
        <f>IF($AZ$1785&gt;0,'Assumptions (MSW)'!AC10*Model!$AZ$1785*AVERAGE('Assumptions (MSW)'!$AV$2:$AX$2)/10^9,0)</f>
        <v>0</v>
      </c>
      <c r="BH1995" s="105">
        <f>IF($AZ$1785&gt;0,'Assumptions (MSW)'!AD10*Model!$AZ$1785*AVERAGE('Assumptions (MSW)'!$AV$2:$AX$2)/10^9,0)</f>
        <v>0</v>
      </c>
      <c r="BI1995" s="105">
        <f>IF($AZ$1785&gt;0,'Assumptions (MSW)'!AE10*Model!$AZ$1785*AVERAGE('Assumptions (MSW)'!$AV$2:$AX$2)/10^9,0)</f>
        <v>0</v>
      </c>
      <c r="BJ1995" s="105">
        <f>IF($AZ$1785&gt;0,'Assumptions (MSW)'!AF10*Model!$AZ$1785*AVERAGE('Assumptions (MSW)'!$AV$2:$AX$2)/10^9,0)</f>
        <v>0</v>
      </c>
      <c r="BK1995" s="105">
        <f>IF($AZ$1785&gt;0,'Assumptions (MSW)'!AG10*Model!$AZ$1785*AVERAGE('Assumptions (MSW)'!$AV$2:$AX$2)/10^9,0)</f>
        <v>0</v>
      </c>
      <c r="BL1995" s="105">
        <f>IF($AZ$1785&gt;0,'Assumptions (MSW)'!AH10*Model!$AZ$1785*AVERAGE('Assumptions (MSW)'!$AV$2:$AX$2)/10^9,0)</f>
        <v>0</v>
      </c>
      <c r="BM1995" s="105">
        <f>IF($AZ$1785&gt;0,'Assumptions (MSW)'!AI10*Model!$AZ$1785*AVERAGE('Assumptions (MSW)'!$AV$2:$AX$2)/10^9,0)</f>
        <v>0</v>
      </c>
      <c r="BN1995" s="105">
        <f>IF($AZ$1785&gt;0,'Assumptions (MSW)'!AJ10*Model!$AZ$1785*AVERAGE('Assumptions (MSW)'!$AV$2:$AX$2)/10^9,0)</f>
        <v>0</v>
      </c>
      <c r="BO1995" s="105">
        <f>IF($AZ$1785&gt;0,'Assumptions (MSW)'!AK10*Model!$AZ$1785*AVERAGE('Assumptions (MSW)'!$AV$2:$AX$2)/10^9,0)</f>
        <v>0</v>
      </c>
      <c r="BP1995" s="105"/>
    </row>
    <row r="1996" spans="1:68" ht="15.75" hidden="1" customHeight="1" outlineLevel="1">
      <c r="A1996" s="435"/>
      <c r="B1996" s="99"/>
      <c r="C1996" s="99"/>
      <c r="D1996" s="99"/>
      <c r="E1996" s="99"/>
      <c r="F1996" s="99"/>
      <c r="G1996" s="99"/>
      <c r="H1996" s="99"/>
      <c r="I1996" s="99"/>
      <c r="J1996" s="99"/>
      <c r="K1996" s="99"/>
      <c r="L1996" s="99"/>
      <c r="M1996" s="99"/>
      <c r="N1996" s="99"/>
      <c r="O1996" s="99"/>
      <c r="P1996" s="99"/>
      <c r="Q1996" s="99"/>
      <c r="R1996" s="99"/>
      <c r="S1996" s="99"/>
      <c r="T1996" s="99"/>
      <c r="U1996" s="99"/>
      <c r="V1996" s="99"/>
      <c r="W1996" s="105"/>
      <c r="X1996" s="105"/>
      <c r="Y1996" s="105"/>
      <c r="Z1996" s="105"/>
      <c r="AA1996" s="105"/>
      <c r="AB1996" s="105"/>
      <c r="AC1996" s="105"/>
      <c r="AD1996" s="105"/>
      <c r="AE1996" s="105"/>
      <c r="AF1996" s="105"/>
      <c r="AG1996" s="105"/>
      <c r="AH1996" s="105"/>
      <c r="AI1996" s="105"/>
      <c r="AJ1996" s="171"/>
      <c r="AK1996" s="105"/>
      <c r="AL1996" s="91"/>
      <c r="AM1996" s="91"/>
      <c r="AN1996" s="91"/>
      <c r="AO1996" s="105"/>
      <c r="AP1996" s="105"/>
      <c r="AQ1996" s="105"/>
      <c r="AR1996" s="105"/>
      <c r="AS1996" s="105"/>
      <c r="AT1996" s="105"/>
      <c r="AU1996" s="105"/>
      <c r="AV1996" s="105"/>
      <c r="AW1996" s="105"/>
      <c r="AX1996" s="105"/>
      <c r="AY1996" s="105"/>
      <c r="AZ1996" s="105"/>
      <c r="BA1996" s="105">
        <f>IF($BA$1785&gt;0,'Assumptions (MSW)'!V10*Model!$BA$1785*AVERAGE('Assumptions (MSW)'!$AW$2:$AY$2)/10^9,0)</f>
        <v>0</v>
      </c>
      <c r="BB1996" s="105">
        <f>IF($BA$1785&gt;0,'Assumptions (MSW)'!W10*Model!$BA$1785*AVERAGE('Assumptions (MSW)'!$AW$2:$AY$2)/10^9,0)</f>
        <v>0</v>
      </c>
      <c r="BC1996" s="105">
        <f>IF($BA$1785&gt;0,'Assumptions (MSW)'!X10*Model!$BA$1785*AVERAGE('Assumptions (MSW)'!$AW$2:$AY$2)/10^9,0)</f>
        <v>0</v>
      </c>
      <c r="BD1996" s="105">
        <f>IF($BA$1785&gt;0,'Assumptions (MSW)'!Y10*Model!$BA$1785*AVERAGE('Assumptions (MSW)'!$AW$2:$AY$2)/10^9,0)</f>
        <v>0</v>
      </c>
      <c r="BE1996" s="105">
        <f>IF($BA$1785&gt;0,'Assumptions (MSW)'!Z10*Model!$BA$1785*AVERAGE('Assumptions (MSW)'!$AW$2:$AY$2)/10^9,0)</f>
        <v>0</v>
      </c>
      <c r="BF1996" s="105">
        <f>IF($BA$1785&gt;0,'Assumptions (MSW)'!AA10*Model!$BA$1785*AVERAGE('Assumptions (MSW)'!$AW$2:$AY$2)/10^9,0)</f>
        <v>0</v>
      </c>
      <c r="BG1996" s="105">
        <f>IF($BA$1785&gt;0,'Assumptions (MSW)'!AB10*Model!$BA$1785*AVERAGE('Assumptions (MSW)'!$AW$2:$AY$2)/10^9,0)</f>
        <v>0</v>
      </c>
      <c r="BH1996" s="105">
        <f>IF($BA$1785&gt;0,'Assumptions (MSW)'!AC10*Model!$BA$1785*AVERAGE('Assumptions (MSW)'!$AW$2:$AY$2)/10^9,0)</f>
        <v>0</v>
      </c>
      <c r="BI1996" s="105">
        <f>IF($BA$1785&gt;0,'Assumptions (MSW)'!AD10*Model!$BA$1785*AVERAGE('Assumptions (MSW)'!$AW$2:$AY$2)/10^9,0)</f>
        <v>0</v>
      </c>
      <c r="BJ1996" s="105">
        <f>IF($BA$1785&gt;0,'Assumptions (MSW)'!AE10*Model!$BA$1785*AVERAGE('Assumptions (MSW)'!$AW$2:$AY$2)/10^9,0)</f>
        <v>0</v>
      </c>
      <c r="BK1996" s="105">
        <f>IF($BA$1785&gt;0,'Assumptions (MSW)'!AF10*Model!$BA$1785*AVERAGE('Assumptions (MSW)'!$AW$2:$AY$2)/10^9,0)</f>
        <v>0</v>
      </c>
      <c r="BL1996" s="105">
        <f>IF($BA$1785&gt;0,'Assumptions (MSW)'!AG10*Model!$BA$1785*AVERAGE('Assumptions (MSW)'!$AW$2:$AY$2)/10^9,0)</f>
        <v>0</v>
      </c>
      <c r="BM1996" s="105">
        <f>IF($BA$1785&gt;0,'Assumptions (MSW)'!AH10*Model!$BA$1785*AVERAGE('Assumptions (MSW)'!$AW$2:$AY$2)/10^9,0)</f>
        <v>0</v>
      </c>
      <c r="BN1996" s="105">
        <f>IF($BA$1785&gt;0,'Assumptions (MSW)'!AI10*Model!$BA$1785*AVERAGE('Assumptions (MSW)'!$AW$2:$AY$2)/10^9,0)</f>
        <v>0</v>
      </c>
      <c r="BO1996" s="105">
        <f>IF($BA$1785&gt;0,'Assumptions (MSW)'!AJ10*Model!$BA$1785*AVERAGE('Assumptions (MSW)'!$AW$2:$AY$2)/10^9,0)</f>
        <v>0</v>
      </c>
      <c r="BP1996" s="105">
        <f>IF($BA$1785&gt;0,'Assumptions (MSW)'!AK10*Model!$BA$1785*AVERAGE('Assumptions (MSW)'!$AW$2:$AY$2)/10^9,0)</f>
        <v>0</v>
      </c>
    </row>
    <row r="1997" spans="1:68" ht="15.75" customHeight="1" collapsed="1">
      <c r="A1997" s="435" t="s">
        <v>62</v>
      </c>
      <c r="B1997" s="99" t="s">
        <v>201</v>
      </c>
      <c r="C1997" s="105">
        <f>IF(Model!C1783+Model!C1784-C1782-C1945+C1893&gt;0,(1-'Assumptions (MSW)'!B22)*(Model!C1783+Model!C1784-C1782-C1945+C1893)+Model!C1945-C1840+Model!C1841,Model!C1783+Model!C1784-C1782+C1893-C1840+Model!C1841)</f>
        <v>-0.18274661761913538</v>
      </c>
      <c r="D1997" s="105">
        <f>IF(Model!D1783+Model!D1784-D1782-D1945+D1893&gt;0,(1-'Assumptions (MSW)'!C22)*(Model!D1783+Model!D1784-D1782-D1945+D1893)+Model!D1945-D1840+Model!D1841,Model!D1783+Model!D1784-D1782+D1893-D1840+Model!D1841)</f>
        <v>-0.32300542789396475</v>
      </c>
      <c r="E1997" s="105">
        <f>IF(Model!E1783+Model!E1784-E1782-E1945+E1893&gt;0,(1-'Assumptions (MSW)'!D22)*(Model!E1783+Model!E1784-E1782-E1945+E1893)+Model!E1945-E1840+Model!E1841,Model!E1783+Model!E1784-E1782+E1893-E1840+Model!E1841)</f>
        <v>-0.46592812795531469</v>
      </c>
      <c r="F1997" s="105">
        <f>IF(Model!F1783+Model!F1784-F1782-F1945+F1893&gt;0,(1-'Assumptions (MSW)'!E22)*(Model!F1783+Model!F1784-F1782-F1945+F1893)+Model!F1945-F1840+Model!F1841,Model!F1783+Model!F1784-F1782+F1893-F1840+Model!F1841)</f>
        <v>-0.29342428132879694</v>
      </c>
      <c r="G1997" s="105">
        <f>IF(Model!G1783+Model!G1784-G1782-G1945+G1893&gt;0,(1-'Assumptions (MSW)'!F22)*(Model!G1783+Model!G1784-G1782-G1945+G1893)+Model!G1945-G1840+Model!G1841,Model!G1783+Model!G1784-G1782+G1893-G1840+Model!G1841)</f>
        <v>-0.30778559760480956</v>
      </c>
      <c r="H1997" s="105">
        <f>IF(Model!H1783+Model!H1784-H1782-H1945+H1893&gt;0,(1-'Assumptions (MSW)'!G22)*(Model!H1783+Model!H1784-H1782-H1945+H1893)+Model!H1945-H1840+Model!H1841,Model!H1783+Model!H1784-H1782+H1893-H1840+Model!H1841)</f>
        <v>-0.21825986150002058</v>
      </c>
      <c r="I1997" s="105">
        <f>IF(Model!I1783+Model!I1784-I1782-I1945+I1893&gt;0,(1-'Assumptions (MSW)'!H22)*(Model!I1783+Model!I1784-I1782-I1945+I1893)+Model!I1945-I1840+Model!I1841,Model!I1783+Model!I1784-I1782+I1893-I1840+Model!I1841)</f>
        <v>-0.40947888614809136</v>
      </c>
      <c r="J1997" s="105">
        <f>IF(Model!J1783+Model!J1784-J1782-J1945+J1893&gt;0,(1-'Assumptions (MSW)'!I22)*(Model!J1783+Model!J1784-J1782-J1945+J1893)+Model!J1945-J1840+Model!J1841,Model!J1783+Model!J1784-J1782+J1893-J1840+Model!J1841)</f>
        <v>-0.57362885652866613</v>
      </c>
      <c r="K1997" s="105">
        <f>IF(Model!K1783+Model!K1784-K1782-K1945+K1893&gt;0,(1-'Assumptions (MSW)'!J22)*(Model!K1783+Model!K1784-K1782-K1945+K1893)+Model!K1945-K1840+Model!K1841,Model!K1783+Model!K1784-K1782+K1893-K1840+Model!K1841)</f>
        <v>-0.34966602771650945</v>
      </c>
      <c r="L1997" s="105">
        <f>IF(Model!L1783+Model!L1784-L1782-L1945+L1893&gt;0,(1-'Assumptions (MSW)'!K22)*(Model!L1783+Model!L1784-L1782-L1945+L1893)+Model!L1945-L1840+Model!L1841,Model!L1783+Model!L1784-L1782+L1893-L1840+Model!L1841)</f>
        <v>-0.97078466025683197</v>
      </c>
      <c r="M1997" s="105">
        <f>IF(Model!M1783+Model!M1784-M1782-M1945+M1893&gt;0,(1-'Assumptions (MSW)'!L22)*(Model!M1783+Model!M1784-M1782-M1945+M1893)+Model!M1945-M1840+Model!M1841,Model!M1783+Model!M1784-M1782+M1893-M1840+Model!M1841)</f>
        <v>-1.0035215405453437</v>
      </c>
      <c r="N1997" s="105">
        <f>IF(Model!N1783+Model!N1784-N1782-N1945+N1893&gt;0,(1-'Assumptions (MSW)'!M22)*(Model!N1783+Model!N1784-N1782-N1945+N1893)+Model!N1945-N1840+Model!N1841,Model!N1783+Model!N1784-N1782+N1893-N1840+Model!N1841)</f>
        <v>-1.1368575863157997</v>
      </c>
      <c r="O1997" s="105">
        <f>IF(Model!O1783+Model!O1784-O1782-O1945+O1893&gt;0,(1-'Assumptions (MSW)'!N22)*(Model!O1783+Model!O1784-O1782-O1945+O1893)+Model!O1945-O1840+Model!O1841,Model!O1783+Model!O1784-O1782+O1893-O1840+Model!O1841)</f>
        <v>-1.4180481759536683</v>
      </c>
      <c r="P1997" s="105">
        <f>IF(Model!P1783+Model!P1784-P1782-P1945+P1893&gt;0,(1-'Assumptions (MSW)'!O22)*(Model!P1783+Model!P1784-P1782-P1945+P1893)+Model!P1945-P1840+Model!P1841,Model!P1783+Model!P1784-P1782+P1893-P1840+Model!P1841)</f>
        <v>-1.3472445529640953</v>
      </c>
      <c r="Q1997" s="105">
        <f>IF(Model!Q1783+Model!Q1784-Q1782-Q1945+Q1893&gt;0,(1-'Assumptions (MSW)'!P22)*(Model!Q1783+Model!Q1784-Q1782-Q1945+Q1893)+Model!Q1945-Q1840+Model!Q1841,Model!Q1783+Model!Q1784-Q1782+Q1893-Q1840+Model!Q1841)</f>
        <v>-1.2617937181298204</v>
      </c>
      <c r="R1997" s="105">
        <f>IF(Model!R1783+Model!R1784-R1782-R1945+R1893&gt;0,(1-'Assumptions (MSW)'!Q22)*(Model!R1783+Model!R1784-R1782-R1945+R1893)+Model!R1945-R1840+Model!R1841,Model!R1783+Model!R1784-R1782+R1893-R1840+Model!R1841)</f>
        <v>-1.4879696608402588</v>
      </c>
      <c r="S1997" s="105">
        <f>IF(Model!S1783+Model!S1784-S1782-S1945+S1893&gt;0,(1-'Assumptions (MSW)'!R22)*(Model!S1783+Model!S1784-S1782-S1945+S1893)+Model!S1945-S1840+Model!S1841,Model!S1783+Model!S1784-S1782+S1893-S1840+Model!S1841)</f>
        <v>-1.3000639238543974</v>
      </c>
      <c r="T1997" s="105">
        <f>IF(Model!T1783+Model!T1784-T1782-T1945+T1893&gt;0,(1-'Assumptions (MSW)'!S22)*(Model!T1783+Model!T1784-T1782-T1945+T1893)+Model!T1945-T1840+Model!T1841,Model!T1783+Model!T1784-T1782+T1893-T1840+Model!T1841)</f>
        <v>-1.0269579707184739</v>
      </c>
      <c r="U1997" s="105">
        <f>IF(Model!U1783+Model!U1784-U1782-U1945+U1893&gt;0,(1-'Assumptions (MSW)'!T22)*(Model!U1783+Model!U1784-U1782-U1945+U1893)+Model!U1945-U1840+Model!U1841,Model!U1783+Model!U1784-U1782+U1893-U1840+Model!U1841)</f>
        <v>-0.97630193741970694</v>
      </c>
      <c r="V1997" s="105">
        <f>IF(Model!V1783+Model!V1784-V1782-V1945+V1893&gt;0,(1-'Assumptions (MSW)'!U22)*(Model!V1783+Model!V1784-V1782-V1945+V1893)+Model!V1945-V1840+Model!V1841,Model!V1783+Model!V1784-V1782+V1893-V1840+Model!V1841)</f>
        <v>-0.93273699110743813</v>
      </c>
      <c r="W1997" s="105">
        <f>IF(Model!W1783+Model!W1784-W1782-W1945+W1893&gt;0,(1-'Assumptions (MSW)'!V22)*(Model!W1783+Model!W1784-W1782-W1945+W1893)+Model!W1945-W1840+Model!W1841,Model!W1783+Model!W1784-W1782+W1893-W1840+Model!W1841)</f>
        <v>-0.86633192365119638</v>
      </c>
      <c r="X1997" s="105">
        <f>IF(Model!X1783+Model!X1784-X1782-X1945+X1893&gt;0,(1-'Assumptions (MSW)'!W22)*(Model!X1783+Model!X1784-X1782-X1945+X1893)+Model!X1945-X1840+Model!X1841,Model!X1783+Model!X1784-X1782+X1893-X1840+Model!X1841)</f>
        <v>-0.83596548912322799</v>
      </c>
      <c r="Y1997" s="105">
        <f>IF(Model!Y1783+Model!Y1784-Y1782-Y1945+Y1893&gt;0,(1-'Assumptions (MSW)'!X22)*(Model!Y1783+Model!Y1784-Y1782-Y1945+Y1893)+Model!Y1945-Y1840+Model!Y1841,Model!Y1783+Model!Y1784-Y1782+Y1893-Y1840+Model!Y1841)</f>
        <v>-0.79852800235468302</v>
      </c>
      <c r="Z1997" s="105">
        <f>IF(Model!Z1783+Model!Z1784-Z1782-Z1945+Z1893&gt;0,(1-'Assumptions (MSW)'!Y22)*(Model!Z1783+Model!Z1784-Z1782-Z1945+Z1893)+Model!Z1945-Z1840+Model!Z1841,Model!Z1783+Model!Z1784-Z1782+Z1893-Z1840+Model!Z1841)</f>
        <v>-0.74761759243903103</v>
      </c>
      <c r="AA1997" s="105">
        <f>IF(Model!AA1783+Model!AA1784-AA1782-AA1945+AA1893&gt;0,(1-'Assumptions (MSW)'!Z22)*(Model!AA1783+Model!AA1784-AA1782-AA1945+AA1893)+Model!AA1945-AA1840+Model!AA1841,Model!AA1783+Model!AA1784-AA1782+AA1893-AA1840+Model!AA1841)</f>
        <v>-0.69090399495202937</v>
      </c>
      <c r="AB1997" s="105">
        <f>IF(Model!AB1783+Model!AB1784-AB1782-AB1945+AB1893&gt;0,(1-'Assumptions (MSW)'!AA22)*(Model!AB1783+Model!AB1784-AB1782-AB1945+AB1893)+Model!AB1945-AB1840+Model!AB1841,Model!AB1783+Model!AB1784-AB1782+AB1893-AB1840+Model!AB1841)</f>
        <v>-0.61484582125638942</v>
      </c>
      <c r="AC1997" s="105">
        <f>IF(Model!AC1783+Model!AC1784-AC1782-AC1945+AC1893&gt;0,(1-'Assumptions (MSW)'!AB22)*(Model!AC1783+Model!AC1784-AC1782-AC1945+AC1893)+Model!AC1945-AC1840+Model!AC1841,Model!AC1783+Model!AC1784-AC1782+AC1893-AC1840+Model!AC1841)</f>
        <v>-0.55532212774338441</v>
      </c>
      <c r="AD1997" s="105">
        <f>IF(Model!AD1783+Model!AD1784-AD1782-AD1945+AD1893&gt;0,(1-'Assumptions (MSW)'!AC22)*(Model!AD1783+Model!AD1784-AD1782-AD1945+AD1893)+Model!AD1945-AD1840+Model!AD1841,Model!AD1783+Model!AD1784-AD1782+AD1893-AD1840+Model!AD1841)</f>
        <v>-0.47673349574655344</v>
      </c>
      <c r="AE1997" s="105">
        <f>IF(Model!AE1783+Model!AE1784-AE1782-AE1945+AE1893&gt;0,(1-'Assumptions (MSW)'!AD22)*(Model!AE1783+Model!AE1784-AE1782-AE1945+AE1893)+Model!AE1945-AE1840+Model!AE1841,Model!AE1783+Model!AE1784-AE1782+AE1893-AE1840+Model!AE1841)</f>
        <v>-0.4133543470699263</v>
      </c>
      <c r="AF1997" s="105">
        <f>IF(Model!AF1783+Model!AF1784-AF1782-AF1945+AF1893&gt;0,(1-'Assumptions (MSW)'!AE22)*(Model!AF1783+Model!AF1784-AF1782-AF1945+AF1893)+Model!AF1945-AF1840+Model!AF1841,Model!AF1783+Model!AF1784-AF1782+AF1893-AF1840+Model!AF1841)</f>
        <v>-0.36908273012454529</v>
      </c>
      <c r="AG1997" s="105">
        <f>IF(Model!AG1783+Model!AG1784-AG1782-AG1945+AG1893&gt;0,(1-'Assumptions (MSW)'!AF22)*(Model!AG1783+Model!AG1784-AG1782-AG1945+AG1893)+Model!AG1945-AG1840+Model!AG1841,Model!AG1783+Model!AG1784-AG1782+AG1893-AG1840+Model!AG1841)</f>
        <v>-0.31815217531151729</v>
      </c>
      <c r="AH1997" s="105">
        <f>IF(Model!AH1783+Model!AH1784-AH1782-AH1945+AH1893&gt;0,(1-'Assumptions (MSW)'!AG22)*(Model!AH1783+Model!AH1784-AH1782-AH1945+AH1893)+Model!AH1945-AH1840+Model!AH1841,Model!AH1783+Model!AH1784-AH1782+AH1893-AH1840+Model!AH1841)</f>
        <v>-0.2721546701092184</v>
      </c>
      <c r="AI1997" s="105">
        <f>IF(Model!AI1783+Model!AI1784-AI1782-AI1945+AI1893&gt;0,(1-'Assumptions (MSW)'!AH22)*(Model!AI1783+Model!AI1784-AI1782-AI1945+AI1893)+Model!AI1945-AI1840+Model!AI1841,Model!AI1783+Model!AI1784-AI1782+AI1893-AI1840+Model!AI1841)</f>
        <v>-0.25320596848879751</v>
      </c>
      <c r="AJ1997" s="105">
        <f>IF(Model!AJ1783+Model!AJ1784-AJ1782-AJ1945+AJ1893&gt;0,(1-'Assumptions (MSW)'!AI22)*(Model!AJ1783+Model!AJ1784-AJ1782-AJ1945+AJ1893)+Model!AJ1945-AJ1840+Model!AJ1841,Model!AJ1783+Model!AJ1784-AJ1782+AJ1893-AJ1840+Model!AJ1841)</f>
        <v>-0.24759743787264438</v>
      </c>
      <c r="AK1997" s="105">
        <f>IF(Model!AK1783+Model!AK1784-AK1782-AK1945+AK1893&gt;0,(1-'Assumptions (MSW)'!AJ22)*(Model!AK1783+Model!AK1784-AK1782-AK1945+AK1893)+Model!AK1945-AK1840+Model!AK1841,Model!AK1783+Model!AK1784-AK1782+AK1893-AK1840+Model!AK1841)</f>
        <v>-0.23963728341141</v>
      </c>
      <c r="AL1997" s="105">
        <f>IF(Model!AL1783+Model!AL1784-AL1782-AL1945+AL1893&gt;0,(1-'Assumptions (MSW)'!AK22)*(Model!AL1783+Model!AL1784-AL1782-AL1945+AL1893)+Model!AL1945-AL1840+Model!AL1841,Model!AL1783+Model!AL1784-AL1782+AL1893-AL1840+Model!AL1841)</f>
        <v>-0.23133334872815703</v>
      </c>
      <c r="AM1997" s="105">
        <f>IF(Model!AM1783+Model!AM1784-AM1782-AM1945+AM1893&gt;0,(1-'Assumptions (MSW)'!AL22)*(Model!AM1783+Model!AM1784-AM1782-AM1945+AM1893)+Model!AM1945-AM1840+Model!AM1841,Model!AM1783+Model!AM1784-AM1782+AM1893-AM1840+Model!AM1841)</f>
        <v>-0.21824636343760195</v>
      </c>
      <c r="AN1997" s="105">
        <f>IF(Model!AN1783+Model!AN1784-AN1782-AN1945+AN1893&gt;0,(1-'Assumptions (MSW)'!AM22)*(Model!AN1783+Model!AN1784-AN1782-AN1945+AN1893)+Model!AN1945-AN1840+Model!AN1841,Model!AN1783+Model!AN1784-AN1782+AN1893-AN1840+Model!AN1841)</f>
        <v>-0.20584702455521242</v>
      </c>
      <c r="AO1997" s="105">
        <f>IF(Model!AO1783+Model!AO1784-AO1782-AO1945+AO1893&gt;0,(1-'Assumptions (MSW)'!AN22)*(Model!AO1783+Model!AO1784-AO1782-AO1945+AO1893)+Model!AO1945-AO1840+Model!AO1841,Model!AO1783+Model!AO1784-AO1782+AO1893-AO1840+Model!AO1841)</f>
        <v>-0.19046869904169506</v>
      </c>
      <c r="AP1997" s="105">
        <f>IF(Model!AP1783+Model!AP1784-AP1782-AP1945+AP1893&gt;0,(1-'Assumptions (MSW)'!AO22)*(Model!AP1783+Model!AP1784-AP1782-AP1945+AP1893)+Model!AP1945-AP1840+Model!AP1841,Model!AP1783+Model!AP1784-AP1782+AP1893-AP1840+Model!AP1841)</f>
        <v>-0.17505044804813819</v>
      </c>
      <c r="AQ1997" s="105">
        <f>IF(Model!AQ1783+Model!AQ1784-AQ1782-AQ1945+AQ1893&gt;0,(1-'Assumptions (MSW)'!AP22)*(Model!AQ1783+Model!AQ1784-AQ1782-AQ1945+AQ1893)+Model!AQ1945-AQ1840+Model!AQ1841,Model!AQ1783+Model!AQ1784-AQ1782+AQ1893-AQ1840+Model!AQ1841)</f>
        <v>-0.16104439856670427</v>
      </c>
      <c r="AR1997" s="105">
        <f>IF(Model!AR1783+Model!AR1784-AR1782-AR1945+AR1893&gt;0,(1-'Assumptions (MSW)'!AQ22)*(Model!AR1783+Model!AR1784-AR1782-AR1945+AR1893)+Model!AR1945-AR1840+Model!AR1841,Model!AR1783+Model!AR1784-AR1782+AR1893-AR1840+Model!AR1841)</f>
        <v>-0.14729086476565445</v>
      </c>
      <c r="AS1997" s="105">
        <f>IF(Model!AS1783+Model!AS1784-AS1782-AS1945+AS1893&gt;0,(1-'Assumptions (MSW)'!AR22)*(Model!AS1783+Model!AS1784-AS1782-AS1945+AS1893)+Model!AS1945-AS1840+Model!AS1841,Model!AS1783+Model!AS1784-AS1782+AS1893-AS1840+Model!AS1841)</f>
        <v>-0.13338319662980325</v>
      </c>
      <c r="AT1997" s="105">
        <f>IF(Model!AT1783+Model!AT1784-AT1782-AT1945+AT1893&gt;0,(1-'Assumptions (MSW)'!AS22)*(Model!AT1783+Model!AT1784-AT1782-AT1945+AT1893)+Model!AT1945-AT1840+Model!AT1841,Model!AT1783+Model!AT1784-AT1782+AT1893-AT1840+Model!AT1841)</f>
        <v>-0.1184501284591567</v>
      </c>
      <c r="AU1997" s="105">
        <f>IF(Model!AU1783+Model!AU1784-AU1782-AU1945+AU1893&gt;0,(1-'Assumptions (MSW)'!AT22)*(Model!AU1783+Model!AU1784-AU1782-AU1945+AU1893)+Model!AU1945-AU1840+Model!AU1841,Model!AU1783+Model!AU1784-AU1782+AU1893-AU1840+Model!AU1841)</f>
        <v>-0.10256889553839854</v>
      </c>
      <c r="AV1997" s="105">
        <f>IF(Model!AV1783+Model!AV1784-AV1782-AV1945+AV1893&gt;0,(1-'Assumptions (MSW)'!AU22)*(Model!AV1783+Model!AV1784-AV1782-AV1945+AV1893)+Model!AV1945-AV1840+Model!AV1841,Model!AV1783+Model!AV1784-AV1782+AV1893-AV1840+Model!AV1841)</f>
        <v>-8.6299434342578474E-2</v>
      </c>
      <c r="AW1997" s="105">
        <f>IF(Model!AW1783+Model!AW1784-AW1782-AW1945+AW1893&gt;0,(1-'Assumptions (MSW)'!AV22)*(Model!AW1783+Model!AW1784-AW1782-AW1945+AW1893)+Model!AW1945-AW1840+Model!AW1841,Model!AW1783+Model!AW1784-AW1782+AW1893-AW1840+Model!AW1841)</f>
        <v>-7.0473447806235878E-2</v>
      </c>
      <c r="AX1997" s="105">
        <f>IF(Model!AX1783+Model!AX1784-AX1782-AX1945+AX1893&gt;0,(1-'Assumptions (MSW)'!AW22)*(Model!AX1783+Model!AX1784-AX1782-AX1945+AX1893)+Model!AX1945-AX1840+Model!AX1841,Model!AX1783+Model!AX1784-AX1782+AX1893-AX1840+Model!AX1841)</f>
        <v>-5.3051397664118982E-2</v>
      </c>
      <c r="AY1997" s="105">
        <f>IF(Model!AY1783+Model!AY1784-AY1782-AY1945+AY1893&gt;0,(1-'Assumptions (MSW)'!AX22)*(Model!AY1783+Model!AY1784-AY1782-AY1945+AY1893)+Model!AY1945-AY1840+Model!AY1841,Model!AY1783+Model!AY1784-AY1782+AY1893-AY1840+Model!AY1841)</f>
        <v>-3.2867497808462459E-2</v>
      </c>
      <c r="AZ1997" s="105">
        <f>IF(Model!AZ1783+Model!AZ1784-AZ1782-AZ1945+AZ1893&gt;0,(1-'Assumptions (MSW)'!AY22)*(Model!AZ1783+Model!AZ1784-AZ1782-AZ1945+AZ1893)+Model!AZ1945-AZ1840+Model!AZ1841,Model!AZ1783+Model!AZ1784-AZ1782+AZ1893-AZ1840+Model!AZ1841)</f>
        <v>-1.6025029386763257E-2</v>
      </c>
      <c r="BA1997" s="105">
        <f>IF(Model!BA1783+Model!BA1784-BA1782-BA1945+BA1893&gt;0,(1-'Assumptions (MSW)'!AZ22)*(Model!BA1783+Model!BA1784-BA1782-BA1945+BA1893)+Model!BA1945-BA1840+Model!BA1841,Model!BA1783+Model!BA1784-BA1782+BA1893-BA1840+Model!BA1841)</f>
        <v>-3.6667754437516338E-5</v>
      </c>
    </row>
    <row r="1998" spans="1:68" ht="15.75" customHeight="1">
      <c r="A1998" s="435" t="s">
        <v>64</v>
      </c>
      <c r="B1998" s="99" t="s">
        <v>201</v>
      </c>
      <c r="C1998" s="105">
        <f>IF(C1783+C1784-C1782-C1945+C1893&gt;0,'Assumptions (MSW)'!B22*(C1783+C1784-C1782-C1945+C1893)-'Assumptions (MSW)'!B23*Model!C1781/10^3,'Assumptions (MSW)'!B23*Model!C1781/10^3)</f>
        <v>0.1019748735473735</v>
      </c>
      <c r="D1998" s="105">
        <f>IF(D1783+D1784-D1782-D1945+D1893&gt;0,'Assumptions (MSW)'!C22*(D1783+D1784-D1782-D1945+D1893)-'Assumptions (MSW)'!C23*Model!D1781/10^3,'Assumptions (MSW)'!C23*Model!D1781/10^3)</f>
        <v>0</v>
      </c>
      <c r="E1998" s="105">
        <f>IF(E1783+E1784-E1782-E1945+E1893&gt;0,'Assumptions (MSW)'!D22*(E1783+E1784-E1782-E1945+E1893)-'Assumptions (MSW)'!D23*Model!E1781/10^3,'Assumptions (MSW)'!D23*Model!E1781/10^3)</f>
        <v>0</v>
      </c>
      <c r="F1998" s="105">
        <f>IF(F1783+F1784-F1782-F1945+F1893&gt;0,'Assumptions (MSW)'!E22*(F1783+F1784-F1782-F1945+F1893)-'Assumptions (MSW)'!E23*Model!F1781/10^3,'Assumptions (MSW)'!E23*Model!F1781/10^3)</f>
        <v>0</v>
      </c>
      <c r="G1998" s="105">
        <f>IF(G1783+G1784-G1782-G1945+G1893&gt;0,'Assumptions (MSW)'!F22*(G1783+G1784-G1782-G1945+G1893)-'Assumptions (MSW)'!F23*Model!G1781/10^3,'Assumptions (MSW)'!F23*Model!G1781/10^3)</f>
        <v>0</v>
      </c>
      <c r="H1998" s="105">
        <f>IF(H1783+H1784-H1782-H1945+H1893&gt;0,'Assumptions (MSW)'!G22*(H1783+H1784-H1782-H1945+H1893)-'Assumptions (MSW)'!G23*Model!H1781/10^3,'Assumptions (MSW)'!G23*Model!H1781/10^3)</f>
        <v>1.9999717219858767E-2</v>
      </c>
      <c r="I1998" s="105">
        <f>IF(I1783+I1784-I1782-I1945+I1893&gt;0,'Assumptions (MSW)'!H22*(I1783+I1784-I1782-I1945+I1893)-'Assumptions (MSW)'!H23*Model!I1781/10^3,'Assumptions (MSW)'!H23*Model!I1781/10^3)</f>
        <v>0</v>
      </c>
      <c r="J1998" s="105">
        <f>IF(J1783+J1784-J1782-J1945+J1893&gt;0,'Assumptions (MSW)'!I22*(J1783+J1784-J1782-J1945+J1893)-'Assumptions (MSW)'!I23*Model!J1781/10^3,'Assumptions (MSW)'!I23*Model!J1781/10^3)</f>
        <v>0</v>
      </c>
      <c r="K1998" s="105">
        <f>IF(K1783+K1784-K1782-K1945+K1893&gt;0,'Assumptions (MSW)'!J22*(K1783+K1784-K1782-K1945+K1893)-'Assumptions (MSW)'!J23*Model!K1781/10^3,'Assumptions (MSW)'!J23*Model!K1781/10^3)</f>
        <v>0</v>
      </c>
      <c r="L1998" s="105">
        <f>IF(L1783+L1784-L1782-L1945+L1893&gt;0,'Assumptions (MSW)'!K22*(L1783+L1784-L1782-L1945+L1893)-'Assumptions (MSW)'!K23*Model!L1781/10^3,'Assumptions (MSW)'!K23*Model!L1781/10^3)</f>
        <v>0</v>
      </c>
      <c r="M1998" s="105">
        <f>IF(M1783+M1784-M1782-M1945+M1893&gt;0,'Assumptions (MSW)'!L22*(M1783+M1784-M1782-M1945+M1893)-'Assumptions (MSW)'!L23*Model!M1781/10^3,'Assumptions (MSW)'!L23*Model!M1781/10^3)</f>
        <v>0</v>
      </c>
      <c r="N1998" s="105">
        <f>IF(N1783+N1784-N1782-N1945+N1893&gt;0,'Assumptions (MSW)'!M22*(N1783+N1784-N1782-N1945+N1893)-'Assumptions (MSW)'!M23*Model!N1781/10^3,'Assumptions (MSW)'!M23*Model!N1781/10^3)</f>
        <v>0</v>
      </c>
      <c r="O1998" s="105">
        <f>IF(O1783+O1784-O1782-O1945+O1893&gt;0,'Assumptions (MSW)'!N22*(O1783+O1784-O1782-O1945+O1893)-'Assumptions (MSW)'!N23*Model!O1781/10^3,'Assumptions (MSW)'!N23*Model!O1781/10^3)</f>
        <v>0</v>
      </c>
      <c r="P1998" s="105">
        <f>IF(P1783+P1784-P1782-P1945+P1893&gt;0,'Assumptions (MSW)'!O22*(P1783+P1784-P1782-P1945+P1893)-'Assumptions (MSW)'!O23*Model!P1781/10^3,'Assumptions (MSW)'!O23*Model!P1781/10^3)</f>
        <v>0</v>
      </c>
      <c r="Q1998" s="105">
        <f>IF(Q1783+Q1784-Q1782-Q1945+Q1893&gt;0,'Assumptions (MSW)'!P22*(Q1783+Q1784-Q1782-Q1945+Q1893)-'Assumptions (MSW)'!P23*Model!Q1781/10^3,'Assumptions (MSW)'!P23*Model!Q1781/10^3)</f>
        <v>0</v>
      </c>
      <c r="R1998" s="105">
        <f>IF(R1783+R1784-R1782-R1945+R1893&gt;0,'Assumptions (MSW)'!Q22*(R1783+R1784-R1782-R1945+R1893)-'Assumptions (MSW)'!Q23*Model!R1781/10^3,'Assumptions (MSW)'!Q23*Model!R1781/10^3)</f>
        <v>0</v>
      </c>
      <c r="S1998" s="105">
        <f>IF(S1783+S1784-S1782-S1945+S1893&gt;0,'Assumptions (MSW)'!R22*(S1783+S1784-S1782-S1945+S1893)-'Assumptions (MSW)'!R23*Model!S1781/10^3,'Assumptions (MSW)'!R23*Model!S1781/10^3)</f>
        <v>0</v>
      </c>
      <c r="T1998" s="105">
        <f>IF(T1783+T1784-T1782-T1945+T1893&gt;0,'Assumptions (MSW)'!S22*(T1783+T1784-T1782-T1945+T1893)-'Assumptions (MSW)'!S23*Model!T1781/10^3,'Assumptions (MSW)'!S23*Model!T1781/10^3)</f>
        <v>0</v>
      </c>
      <c r="U1998" s="105">
        <f>IF(U1783+U1784-U1782-U1945+U1893&gt;0,'Assumptions (MSW)'!T22*(U1783+U1784-U1782-U1945+U1893)-'Assumptions (MSW)'!T23*Model!U1781/10^3,'Assumptions (MSW)'!T23*Model!U1781/10^3)</f>
        <v>0</v>
      </c>
      <c r="V1998" s="105">
        <f>IF(V1783+V1784-V1782-V1945+V1893&gt;0,'Assumptions (MSW)'!U22*(V1783+V1784-V1782-V1945+V1893)-'Assumptions (MSW)'!U23*Model!V1781/10^3,'Assumptions (MSW)'!U23*Model!V1781/10^3)</f>
        <v>0</v>
      </c>
      <c r="W1998" s="105">
        <f>IF(W1783+W1784-W1782-W1945+W1893&gt;0,'Assumptions (MSW)'!V22*(W1783+W1784-W1782-W1945+W1893)-'Assumptions (MSW)'!V23*Model!W1781/10^3,'Assumptions (MSW)'!V23*Model!W1781/10^3)</f>
        <v>0</v>
      </c>
      <c r="X1998" s="105">
        <f>IF(X1783+X1784-X1782-X1945+X1893&gt;0,'Assumptions (MSW)'!W22*(X1783+X1784-X1782-X1945+X1893)-'Assumptions (MSW)'!W23*Model!X1781/10^3,'Assumptions (MSW)'!W23*Model!X1781/10^3)</f>
        <v>0</v>
      </c>
      <c r="Y1998" s="105">
        <f>IF(Y1783+Y1784-Y1782-Y1945+Y1893&gt;0,'Assumptions (MSW)'!X22*(Y1783+Y1784-Y1782-Y1945+Y1893)-'Assumptions (MSW)'!X23*Model!Y1781/10^3,'Assumptions (MSW)'!X23*Model!Y1781/10^3)</f>
        <v>0</v>
      </c>
      <c r="Z1998" s="105">
        <f>IF(Z1783+Z1784-Z1782-Z1945+Z1893&gt;0,'Assumptions (MSW)'!Y22*(Z1783+Z1784-Z1782-Z1945+Z1893)-'Assumptions (MSW)'!Y23*Model!Z1781/10^3,'Assumptions (MSW)'!Y23*Model!Z1781/10^3)</f>
        <v>0</v>
      </c>
      <c r="AA1998" s="105">
        <f>IF(AA1783+AA1784-AA1782-AA1945+AA1893&gt;0,'Assumptions (MSW)'!Z22*(AA1783+AA1784-AA1782-AA1945+AA1893)-'Assumptions (MSW)'!Z23*Model!AA1781/10^3,'Assumptions (MSW)'!Z23*Model!AA1781/10^3)</f>
        <v>0</v>
      </c>
      <c r="AB1998" s="105">
        <f>IF(AB1783+AB1784-AB1782-AB1945+AB1893&gt;0,'Assumptions (MSW)'!AA22*(AB1783+AB1784-AB1782-AB1945+AB1893)-'Assumptions (MSW)'!AA23*Model!AB1781/10^3,'Assumptions (MSW)'!AA23*Model!AB1781/10^3)</f>
        <v>0</v>
      </c>
      <c r="AC1998" s="105">
        <f>IF(AC1783+AC1784-AC1782-AC1945+AC1893&gt;0,'Assumptions (MSW)'!AB22*(AC1783+AC1784-AC1782-AC1945+AC1893)-'Assumptions (MSW)'!AB23*Model!AC1781/10^3,'Assumptions (MSW)'!AB23*Model!AC1781/10^3)</f>
        <v>0</v>
      </c>
      <c r="AD1998" s="105">
        <f>IF(AD1783+AD1784-AD1782-AD1945+AD1893&gt;0,'Assumptions (MSW)'!AC22*(AD1783+AD1784-AD1782-AD1945+AD1893)-'Assumptions (MSW)'!AC23*Model!AD1781/10^3,'Assumptions (MSW)'!AC23*Model!AD1781/10^3)</f>
        <v>0</v>
      </c>
      <c r="AE1998" s="105">
        <f>IF(AE1783+AE1784-AE1782-AE1945+AE1893&gt;0,'Assumptions (MSW)'!AD22*(AE1783+AE1784-AE1782-AE1945+AE1893)-'Assumptions (MSW)'!AD23*Model!AE1781/10^3,'Assumptions (MSW)'!AD23*Model!AE1781/10^3)</f>
        <v>0</v>
      </c>
      <c r="AF1998" s="105">
        <f>IF(AF1783+AF1784-AF1782-AF1945+AF1893&gt;0,'Assumptions (MSW)'!AE22*(AF1783+AF1784-AF1782-AF1945+AF1893)-'Assumptions (MSW)'!AE23*Model!AF1781/10^3,'Assumptions (MSW)'!AE23*Model!AF1781/10^3)</f>
        <v>0</v>
      </c>
      <c r="AG1998" s="105">
        <f>IF(AG1783+AG1784-AG1782-AG1945+AG1893&gt;0,'Assumptions (MSW)'!AF22*(AG1783+AG1784-AG1782-AG1945+AG1893)-'Assumptions (MSW)'!AF23*Model!AG1781/10^3,'Assumptions (MSW)'!AF23*Model!AG1781/10^3)</f>
        <v>0</v>
      </c>
      <c r="AH1998" s="105">
        <f>IF(AH1783+AH1784-AH1782-AH1945+AH1893&gt;0,'Assumptions (MSW)'!AG22*(AH1783+AH1784-AH1782-AH1945+AH1893)-'Assumptions (MSW)'!AG23*Model!AH1781/10^3,'Assumptions (MSW)'!AG23*Model!AH1781/10^3)</f>
        <v>0</v>
      </c>
      <c r="AI1998" s="105">
        <f>IF(AI1783+AI1784-AI1782-AI1945+AI1893&gt;0,'Assumptions (MSW)'!AH22*(AI1783+AI1784-AI1782-AI1945+AI1893)-'Assumptions (MSW)'!AH23*Model!AI1781/10^3,'Assumptions (MSW)'!AH23*Model!AI1781/10^3)</f>
        <v>0</v>
      </c>
      <c r="AJ1998" s="105">
        <f>IF(AJ1783+AJ1784-AJ1782-AJ1945+AJ1893&gt;0,'Assumptions (MSW)'!AI22*(AJ1783+AJ1784-AJ1782-AJ1945+AJ1893)-'Assumptions (MSW)'!AI23*Model!AJ1781/10^3,'Assumptions (MSW)'!AI23*Model!AJ1781/10^3)</f>
        <v>0</v>
      </c>
      <c r="AK1998" s="105">
        <f>IF(AK1783+AK1784-AK1782-AK1945+AK1893&gt;0,'Assumptions (MSW)'!AJ22*(AK1783+AK1784-AK1782-AK1945+AK1893)-'Assumptions (MSW)'!AJ23*Model!AK1781/10^3,'Assumptions (MSW)'!AJ23*Model!AK1781/10^3)</f>
        <v>0</v>
      </c>
      <c r="AL1998" s="105">
        <f>IF(AL1783+AL1784-AL1782-AL1945+AL1893&gt;0,'Assumptions (MSW)'!AK22*(AL1783+AL1784-AL1782-AL1945+AL1893)-'Assumptions (MSW)'!AK23*Model!AL1781/10^3,'Assumptions (MSW)'!AK23*Model!AL1781/10^3)</f>
        <v>0</v>
      </c>
      <c r="AM1998" s="105">
        <f>IF(AM1783+AM1784-AM1782-AM1945+AM1893&gt;0,'Assumptions (MSW)'!AL22*(AM1783+AM1784-AM1782-AM1945+AM1893)-'Assumptions (MSW)'!AL23*Model!AM1781/10^3,'Assumptions (MSW)'!AL23*Model!AM1781/10^3)</f>
        <v>0</v>
      </c>
      <c r="AN1998" s="105">
        <f>IF(AN1783+AN1784-AN1782-AN1945+AN1893&gt;0,'Assumptions (MSW)'!AM22*(AN1783+AN1784-AN1782-AN1945+AN1893)-'Assumptions (MSW)'!AM23*Model!AN1781/10^3,'Assumptions (MSW)'!AM23*Model!AN1781/10^3)</f>
        <v>0</v>
      </c>
      <c r="AO1998" s="105">
        <f>IF(AO1783+AO1784-AO1782-AO1945+AO1893&gt;0,'Assumptions (MSW)'!AN22*(AO1783+AO1784-AO1782-AO1945+AO1893)-'Assumptions (MSW)'!AN23*Model!AO1781/10^3,'Assumptions (MSW)'!AN23*Model!AO1781/10^3)</f>
        <v>0</v>
      </c>
      <c r="AP1998" s="105">
        <f>IF(AP1783+AP1784-AP1782-AP1945+AP1893&gt;0,'Assumptions (MSW)'!AO22*(AP1783+AP1784-AP1782-AP1945+AP1893)-'Assumptions (MSW)'!AO23*Model!AP1781/10^3,'Assumptions (MSW)'!AO23*Model!AP1781/10^3)</f>
        <v>0</v>
      </c>
      <c r="AQ1998" s="105">
        <f>IF(AQ1783+AQ1784-AQ1782-AQ1945+AQ1893&gt;0,'Assumptions (MSW)'!AP22*(AQ1783+AQ1784-AQ1782-AQ1945+AQ1893)-'Assumptions (MSW)'!AP23*Model!AQ1781/10^3,'Assumptions (MSW)'!AP23*Model!AQ1781/10^3)</f>
        <v>0</v>
      </c>
      <c r="AR1998" s="105">
        <f>IF(AR1783+AR1784-AR1782-AR1945+AR1893&gt;0,'Assumptions (MSW)'!AQ22*(AR1783+AR1784-AR1782-AR1945+AR1893)-'Assumptions (MSW)'!AQ23*Model!AR1781/10^3,'Assumptions (MSW)'!AQ23*Model!AR1781/10^3)</f>
        <v>0</v>
      </c>
      <c r="AS1998" s="105">
        <f>IF(AS1783+AS1784-AS1782-AS1945+AS1893&gt;0,'Assumptions (MSW)'!AR22*(AS1783+AS1784-AS1782-AS1945+AS1893)-'Assumptions (MSW)'!AR23*Model!AS1781/10^3,'Assumptions (MSW)'!AR23*Model!AS1781/10^3)</f>
        <v>0</v>
      </c>
      <c r="AT1998" s="105">
        <f>IF(AT1783+AT1784-AT1782-AT1945+AT1893&gt;0,'Assumptions (MSW)'!AS22*(AT1783+AT1784-AT1782-AT1945+AT1893)-'Assumptions (MSW)'!AS23*Model!AT1781/10^3,'Assumptions (MSW)'!AS23*Model!AT1781/10^3)</f>
        <v>0</v>
      </c>
      <c r="AU1998" s="105">
        <f>IF(AU1783+AU1784-AU1782-AU1945+AU1893&gt;0,'Assumptions (MSW)'!AT22*(AU1783+AU1784-AU1782-AU1945+AU1893)-'Assumptions (MSW)'!AT23*Model!AU1781/10^3,'Assumptions (MSW)'!AT23*Model!AU1781/10^3)</f>
        <v>0</v>
      </c>
      <c r="AV1998" s="105">
        <f>IF(AV1783+AV1784-AV1782-AV1945+AV1893&gt;0,'Assumptions (MSW)'!AU22*(AV1783+AV1784-AV1782-AV1945+AV1893)-'Assumptions (MSW)'!AU23*Model!AV1781/10^3,'Assumptions (MSW)'!AU23*Model!AV1781/10^3)</f>
        <v>0</v>
      </c>
      <c r="AW1998" s="105">
        <f>IF(AW1783+AW1784-AW1782-AW1945+AW1893&gt;0,'Assumptions (MSW)'!AV22*(AW1783+AW1784-AW1782-AW1945+AW1893)-'Assumptions (MSW)'!AV23*Model!AW1781/10^3,'Assumptions (MSW)'!AV23*Model!AW1781/10^3)</f>
        <v>0</v>
      </c>
      <c r="AX1998" s="105">
        <f>IF(AX1783+AX1784-AX1782-AX1945+AX1893&gt;0,'Assumptions (MSW)'!AW22*(AX1783+AX1784-AX1782-AX1945+AX1893)-'Assumptions (MSW)'!AW23*Model!AX1781/10^3,'Assumptions (MSW)'!AW23*Model!AX1781/10^3)</f>
        <v>0</v>
      </c>
      <c r="AY1998" s="105">
        <f>IF(AY1783+AY1784-AY1782-AY1945+AY1893&gt;0,'Assumptions (MSW)'!AX22*(AY1783+AY1784-AY1782-AY1945+AY1893)-'Assumptions (MSW)'!AX23*Model!AY1781/10^3,'Assumptions (MSW)'!AX23*Model!AY1781/10^3)</f>
        <v>0</v>
      </c>
      <c r="AZ1998" s="105">
        <f>IF(AZ1783+AZ1784-AZ1782-AZ1945+AZ1893&gt;0,'Assumptions (MSW)'!AY22*(AZ1783+AZ1784-AZ1782-AZ1945+AZ1893)-'Assumptions (MSW)'!AY23*Model!AZ1781/10^3,'Assumptions (MSW)'!AY23*Model!AZ1781/10^3)</f>
        <v>0</v>
      </c>
      <c r="BA1998" s="105">
        <f>IF(BA1783+BA1784-BA1782-BA1945+BA1893&gt;0,'Assumptions (MSW)'!AZ22*(BA1783+BA1784-BA1782-BA1945+BA1893)-'Assumptions (MSW)'!AZ23*Model!BA1781/10^3,'Assumptions (MSW)'!AZ23*Model!BA1781/10^3)</f>
        <v>0</v>
      </c>
    </row>
    <row r="1999" spans="1:68" ht="15.75" customHeight="1">
      <c r="A1999" s="435" t="s">
        <v>66</v>
      </c>
      <c r="B1999" s="43"/>
      <c r="C1999" s="99"/>
      <c r="D1999" s="99"/>
      <c r="E1999" s="99"/>
      <c r="F1999" s="99"/>
      <c r="G1999" s="99"/>
      <c r="H1999" s="99"/>
      <c r="I1999" s="99"/>
      <c r="J1999" s="99"/>
      <c r="K1999" s="99"/>
      <c r="L1999" s="99"/>
      <c r="M1999" s="99"/>
      <c r="N1999" s="99"/>
      <c r="O1999" s="99"/>
      <c r="P1999" s="99"/>
      <c r="Q1999" s="99"/>
      <c r="R1999" s="99"/>
      <c r="S1999" s="99"/>
      <c r="T1999" s="99"/>
      <c r="U1999" s="99"/>
      <c r="V1999" s="99"/>
      <c r="W1999" s="86"/>
    </row>
    <row r="2000" spans="1:68" ht="15.75" customHeight="1">
      <c r="A2000" s="438" t="s">
        <v>876</v>
      </c>
      <c r="B2000" s="43"/>
      <c r="C2000" s="99"/>
      <c r="D2000" s="99"/>
      <c r="E2000" s="99"/>
      <c r="F2000" s="99"/>
      <c r="G2000" s="99"/>
      <c r="H2000" s="99"/>
      <c r="I2000" s="99"/>
      <c r="J2000" s="99"/>
      <c r="K2000" s="99"/>
      <c r="L2000" s="99"/>
      <c r="M2000" s="99"/>
      <c r="N2000" s="99"/>
      <c r="O2000" s="99"/>
      <c r="P2000" s="99"/>
      <c r="Q2000" s="99"/>
      <c r="R2000" s="99"/>
      <c r="S2000" s="99"/>
      <c r="T2000" s="99"/>
      <c r="U2000" s="99"/>
      <c r="V2000" s="99"/>
      <c r="W2000" s="86"/>
    </row>
    <row r="2001" spans="1:53" ht="15.75" customHeight="1">
      <c r="A2001" s="439"/>
      <c r="B2001" s="43"/>
      <c r="C2001" s="99"/>
      <c r="D2001" s="99"/>
      <c r="E2001" s="99"/>
      <c r="F2001" s="99"/>
      <c r="G2001" s="99"/>
      <c r="H2001" s="99"/>
      <c r="I2001" s="99"/>
      <c r="J2001" s="99"/>
      <c r="K2001" s="99"/>
      <c r="L2001" s="99"/>
      <c r="M2001" s="99"/>
      <c r="N2001" s="99"/>
      <c r="O2001" s="99"/>
      <c r="P2001" s="99"/>
      <c r="Q2001" s="99"/>
      <c r="R2001" s="99"/>
      <c r="S2001" s="99"/>
      <c r="T2001" s="99"/>
      <c r="U2001" s="99"/>
      <c r="V2001" s="99"/>
      <c r="W2001" s="86"/>
    </row>
    <row r="2002" spans="1:53" ht="15.75" customHeight="1">
      <c r="A2002" s="438" t="s">
        <v>877</v>
      </c>
      <c r="B2002" s="43"/>
      <c r="C2002" s="99"/>
      <c r="D2002" s="99"/>
      <c r="E2002" s="99"/>
      <c r="F2002" s="99"/>
      <c r="G2002" s="99"/>
      <c r="H2002" s="99"/>
      <c r="I2002" s="99"/>
      <c r="J2002" s="99"/>
      <c r="K2002" s="99"/>
      <c r="L2002" s="99"/>
      <c r="M2002" s="99"/>
      <c r="N2002" s="99"/>
      <c r="O2002" s="99"/>
      <c r="P2002" s="99"/>
      <c r="Q2002" s="99"/>
      <c r="R2002" s="99"/>
      <c r="S2002" s="99"/>
      <c r="T2002" s="99"/>
      <c r="U2002" s="99"/>
      <c r="V2002" s="99"/>
      <c r="W2002" s="86"/>
    </row>
    <row r="2003" spans="1:53" ht="15.75" customHeight="1">
      <c r="A2003" s="439"/>
      <c r="B2003" s="43"/>
      <c r="C2003" s="99"/>
      <c r="D2003" s="99"/>
      <c r="E2003" s="99"/>
      <c r="F2003" s="99"/>
      <c r="G2003" s="99"/>
      <c r="H2003" s="99"/>
      <c r="I2003" s="99"/>
      <c r="J2003" s="99"/>
      <c r="K2003" s="99"/>
      <c r="L2003" s="99"/>
      <c r="M2003" s="99"/>
      <c r="N2003" s="99"/>
      <c r="O2003" s="99"/>
      <c r="P2003" s="99"/>
      <c r="Q2003" s="99"/>
      <c r="R2003" s="99"/>
      <c r="S2003" s="99"/>
      <c r="T2003" s="99"/>
      <c r="U2003" s="99"/>
      <c r="V2003" s="99"/>
      <c r="W2003" s="86"/>
    </row>
    <row r="2004" spans="1:53" ht="15.75" customHeight="1">
      <c r="A2004" s="438" t="s">
        <v>878</v>
      </c>
      <c r="B2004" s="43"/>
      <c r="C2004" s="99"/>
      <c r="D2004" s="99"/>
      <c r="E2004" s="99"/>
      <c r="F2004" s="99"/>
      <c r="G2004" s="99"/>
      <c r="H2004" s="99"/>
      <c r="I2004" s="99"/>
      <c r="J2004" s="99"/>
      <c r="K2004" s="99"/>
      <c r="L2004" s="99"/>
      <c r="M2004" s="99"/>
      <c r="N2004" s="99"/>
      <c r="O2004" s="99"/>
      <c r="P2004" s="99"/>
      <c r="Q2004" s="99"/>
      <c r="R2004" s="99"/>
      <c r="S2004" s="99"/>
      <c r="T2004" s="99"/>
      <c r="U2004" s="99"/>
      <c r="V2004" s="99"/>
      <c r="W2004" s="86"/>
      <c r="X2004" s="94">
        <f t="shared" ref="X2004:BA2004" si="46">X2006/(X2005*0.00876)</f>
        <v>0.41159454797937328</v>
      </c>
      <c r="Y2004" s="94">
        <f t="shared" si="46"/>
        <v>0.41159436258346693</v>
      </c>
      <c r="Z2004" s="94">
        <f t="shared" si="46"/>
        <v>0.4115941634547165</v>
      </c>
      <c r="AA2004" s="94">
        <f t="shared" si="46"/>
        <v>0.41159394900858548</v>
      </c>
      <c r="AB2004" s="94">
        <f t="shared" si="46"/>
        <v>0.411593717407015</v>
      </c>
      <c r="AC2004" s="94">
        <f t="shared" si="46"/>
        <v>0.41159346650560791</v>
      </c>
      <c r="AD2004" s="94">
        <f t="shared" si="46"/>
        <v>0.41159319378703418</v>
      </c>
      <c r="AE2004" s="94">
        <f t="shared" si="46"/>
        <v>0.4115928962762751</v>
      </c>
      <c r="AF2004" s="94">
        <f t="shared" si="46"/>
        <v>0.41159257043165165</v>
      </c>
      <c r="AG2004" s="94">
        <f t="shared" si="46"/>
        <v>0.41159221200316198</v>
      </c>
      <c r="AH2004" s="94">
        <f t="shared" si="46"/>
        <v>0.41159181584608401</v>
      </c>
      <c r="AI2004" s="94">
        <f t="shared" si="46"/>
        <v>0.41159137567244758</v>
      </c>
      <c r="AJ2004" s="94">
        <f t="shared" si="46"/>
        <v>0.41159088371479202</v>
      </c>
      <c r="AK2004" s="94">
        <f t="shared" si="46"/>
        <v>0.41159033026383551</v>
      </c>
      <c r="AL2004" s="94">
        <f t="shared" si="46"/>
        <v>0.41158970302121795</v>
      </c>
      <c r="AM2004" s="94">
        <f t="shared" si="46"/>
        <v>0.41158898617485384</v>
      </c>
      <c r="AN2004" s="94">
        <f t="shared" si="46"/>
        <v>0.41158815904753732</v>
      </c>
      <c r="AO2004" s="94">
        <f t="shared" si="46"/>
        <v>0.41158719406987082</v>
      </c>
      <c r="AP2004" s="94">
        <f t="shared" si="46"/>
        <v>0.41158605364755474</v>
      </c>
      <c r="AQ2004" s="94">
        <f t="shared" si="46"/>
        <v>0.41158468514911983</v>
      </c>
      <c r="AR2004" s="94">
        <f t="shared" si="46"/>
        <v>0.41158301255228341</v>
      </c>
      <c r="AS2004" s="94">
        <f t="shared" si="46"/>
        <v>0.41158092182536005</v>
      </c>
      <c r="AT2004" s="94">
        <f t="shared" si="46"/>
        <v>0.4115782337791063</v>
      </c>
      <c r="AU2004" s="94">
        <f t="shared" si="46"/>
        <v>0.41157464977206698</v>
      </c>
      <c r="AV2004" s="94">
        <f t="shared" si="46"/>
        <v>0.4115696322671033</v>
      </c>
      <c r="AW2004" s="94">
        <f t="shared" si="46"/>
        <v>0.41156210623909872</v>
      </c>
      <c r="AX2004" s="94">
        <f t="shared" si="46"/>
        <v>0.41154956347089616</v>
      </c>
      <c r="AY2004" s="94">
        <f t="shared" si="46"/>
        <v>0.41152448022850818</v>
      </c>
      <c r="AZ2004" s="94">
        <f t="shared" si="46"/>
        <v>0.41144924884844786</v>
      </c>
      <c r="BA2004" s="94">
        <f t="shared" si="46"/>
        <v>1.1415525114155249E-4</v>
      </c>
    </row>
    <row r="2005" spans="1:53" ht="15.75" customHeight="1">
      <c r="A2005" s="440" t="s">
        <v>25</v>
      </c>
      <c r="B2005" s="99" t="s">
        <v>152</v>
      </c>
      <c r="C2005" s="63">
        <v>6146</v>
      </c>
      <c r="D2005" s="63">
        <v>5884</v>
      </c>
      <c r="E2005" s="63">
        <v>5844</v>
      </c>
      <c r="F2005" s="63">
        <v>5873</v>
      </c>
      <c r="G2005" s="63">
        <v>6183</v>
      </c>
      <c r="H2005" s="63">
        <v>6196</v>
      </c>
      <c r="I2005" s="63">
        <v>6372</v>
      </c>
      <c r="J2005" s="63">
        <v>6705</v>
      </c>
      <c r="K2005" s="63">
        <v>6865</v>
      </c>
      <c r="L2005" s="63">
        <v>6940</v>
      </c>
      <c r="M2005" s="63">
        <v>7040</v>
      </c>
      <c r="N2005" s="63">
        <v>7076.5</v>
      </c>
      <c r="O2005" s="63">
        <v>7507.6</v>
      </c>
      <c r="P2005" s="63">
        <v>8354.2000000000007</v>
      </c>
      <c r="Q2005" s="63">
        <v>8368.1</v>
      </c>
      <c r="R2005" s="63">
        <v>8968.9</v>
      </c>
      <c r="S2005" s="63">
        <v>7582</v>
      </c>
      <c r="T2005" s="43">
        <v>7800</v>
      </c>
      <c r="U2005" s="43">
        <v>7682</v>
      </c>
      <c r="V2005" s="43">
        <v>8149</v>
      </c>
      <c r="W2005" s="421">
        <v>8200</v>
      </c>
      <c r="X2005" s="101">
        <f t="shared" ref="X2005:AZ2005" si="47">W2005+($BA$2005-$W$2005)/($BA$2-$W$2)</f>
        <v>7926.67</v>
      </c>
      <c r="Y2005" s="101">
        <f t="shared" si="47"/>
        <v>7653.34</v>
      </c>
      <c r="Z2005" s="101">
        <f t="shared" si="47"/>
        <v>7380.01</v>
      </c>
      <c r="AA2005" s="101">
        <f t="shared" si="47"/>
        <v>7106.68</v>
      </c>
      <c r="AB2005" s="101">
        <f t="shared" si="47"/>
        <v>6833.35</v>
      </c>
      <c r="AC2005" s="101">
        <f t="shared" si="47"/>
        <v>6560.02</v>
      </c>
      <c r="AD2005" s="101">
        <f t="shared" si="47"/>
        <v>6286.6900000000005</v>
      </c>
      <c r="AE2005" s="101">
        <f t="shared" si="47"/>
        <v>6013.3600000000006</v>
      </c>
      <c r="AF2005" s="101">
        <f t="shared" si="47"/>
        <v>5740.0300000000007</v>
      </c>
      <c r="AG2005" s="101">
        <f t="shared" si="47"/>
        <v>5466.7000000000007</v>
      </c>
      <c r="AH2005" s="101">
        <f t="shared" si="47"/>
        <v>5193.3700000000008</v>
      </c>
      <c r="AI2005" s="101">
        <f t="shared" si="47"/>
        <v>4920.0400000000009</v>
      </c>
      <c r="AJ2005" s="101">
        <f t="shared" si="47"/>
        <v>4646.7100000000009</v>
      </c>
      <c r="AK2005" s="101">
        <f t="shared" si="47"/>
        <v>4373.380000000001</v>
      </c>
      <c r="AL2005" s="101">
        <f t="shared" si="47"/>
        <v>4100.0500000000011</v>
      </c>
      <c r="AM2005" s="101">
        <f t="shared" si="47"/>
        <v>3826.7200000000012</v>
      </c>
      <c r="AN2005" s="101">
        <f t="shared" si="47"/>
        <v>3553.3900000000012</v>
      </c>
      <c r="AO2005" s="101">
        <f t="shared" si="47"/>
        <v>3280.0600000000013</v>
      </c>
      <c r="AP2005" s="101">
        <f t="shared" si="47"/>
        <v>3006.7300000000014</v>
      </c>
      <c r="AQ2005" s="101">
        <f t="shared" si="47"/>
        <v>2733.4000000000015</v>
      </c>
      <c r="AR2005" s="101">
        <f t="shared" si="47"/>
        <v>2460.0700000000015</v>
      </c>
      <c r="AS2005" s="101">
        <f t="shared" si="47"/>
        <v>2186.7400000000016</v>
      </c>
      <c r="AT2005" s="101">
        <f t="shared" si="47"/>
        <v>1913.4100000000017</v>
      </c>
      <c r="AU2005" s="101">
        <f t="shared" si="47"/>
        <v>1640.0800000000017</v>
      </c>
      <c r="AV2005" s="101">
        <f t="shared" si="47"/>
        <v>1366.7500000000018</v>
      </c>
      <c r="AW2005" s="101">
        <f t="shared" si="47"/>
        <v>1093.4200000000019</v>
      </c>
      <c r="AX2005" s="101">
        <f t="shared" si="47"/>
        <v>820.09000000000196</v>
      </c>
      <c r="AY2005" s="101">
        <f t="shared" si="47"/>
        <v>546.76000000000204</v>
      </c>
      <c r="AZ2005" s="101">
        <f t="shared" si="47"/>
        <v>273.43000000000205</v>
      </c>
      <c r="BA2005" s="103">
        <f>Inputs!$H$11</f>
        <v>0.1</v>
      </c>
    </row>
    <row r="2006" spans="1:53" ht="15.75" customHeight="1">
      <c r="A2006" s="440" t="s">
        <v>28</v>
      </c>
      <c r="B2006" s="99" t="s">
        <v>153</v>
      </c>
      <c r="C2006" s="63">
        <v>37.594867000000001</v>
      </c>
      <c r="D2006" s="63">
        <v>35.199905000000001</v>
      </c>
      <c r="E2006" s="63">
        <v>38.664006999999998</v>
      </c>
      <c r="F2006" s="63">
        <v>37.52834</v>
      </c>
      <c r="G2006" s="63">
        <v>38.116495</v>
      </c>
      <c r="H2006" s="63">
        <v>38.856034999999999</v>
      </c>
      <c r="I2006" s="63">
        <v>38.761581999999997</v>
      </c>
      <c r="J2006" s="63">
        <v>39.014004</v>
      </c>
      <c r="K2006" s="63">
        <v>37.299855999999998</v>
      </c>
      <c r="L2006" s="63">
        <v>36.050139999999999</v>
      </c>
      <c r="M2006" s="63">
        <v>37.172148999999997</v>
      </c>
      <c r="N2006" s="63">
        <v>37.449066790000003</v>
      </c>
      <c r="O2006" s="63">
        <v>37.799131000000003</v>
      </c>
      <c r="P2006" s="63">
        <v>40.027536990000002</v>
      </c>
      <c r="Q2006" s="63">
        <v>42.339725260000002</v>
      </c>
      <c r="R2006" s="63">
        <v>41.928505000000001</v>
      </c>
      <c r="S2006" s="63">
        <v>35.443458999999997</v>
      </c>
      <c r="T2006" s="63">
        <v>28.785851000000001</v>
      </c>
      <c r="U2006" s="63">
        <v>27.51482</v>
      </c>
      <c r="V2006" s="63">
        <v>28.401913</v>
      </c>
      <c r="W2006" s="421">
        <v>29.565671999999999</v>
      </c>
      <c r="X2006" s="101">
        <f t="shared" ref="X2006:AZ2006" si="48">W2006+($BA$2006-$W$2006)/($BA$2-$W$2)</f>
        <v>28.580149603333332</v>
      </c>
      <c r="Y2006" s="101">
        <f t="shared" si="48"/>
        <v>27.594627206666665</v>
      </c>
      <c r="Z2006" s="101">
        <f t="shared" si="48"/>
        <v>26.609104809999998</v>
      </c>
      <c r="AA2006" s="101">
        <f t="shared" si="48"/>
        <v>25.623582413333331</v>
      </c>
      <c r="AB2006" s="101">
        <f t="shared" si="48"/>
        <v>24.638060016666664</v>
      </c>
      <c r="AC2006" s="101">
        <f t="shared" si="48"/>
        <v>23.652537619999997</v>
      </c>
      <c r="AD2006" s="101">
        <f t="shared" si="48"/>
        <v>22.66701522333333</v>
      </c>
      <c r="AE2006" s="101">
        <f t="shared" si="48"/>
        <v>21.681492826666663</v>
      </c>
      <c r="AF2006" s="101">
        <f t="shared" si="48"/>
        <v>20.695970429999996</v>
      </c>
      <c r="AG2006" s="101">
        <f t="shared" si="48"/>
        <v>19.710448033333329</v>
      </c>
      <c r="AH2006" s="101">
        <f t="shared" si="48"/>
        <v>18.724925636666661</v>
      </c>
      <c r="AI2006" s="101">
        <f t="shared" si="48"/>
        <v>17.739403239999994</v>
      </c>
      <c r="AJ2006" s="101">
        <f t="shared" si="48"/>
        <v>16.753880843333327</v>
      </c>
      <c r="AK2006" s="101">
        <f t="shared" si="48"/>
        <v>15.76835844666666</v>
      </c>
      <c r="AL2006" s="101">
        <f t="shared" si="48"/>
        <v>14.782836049999993</v>
      </c>
      <c r="AM2006" s="101">
        <f t="shared" si="48"/>
        <v>13.797313653333326</v>
      </c>
      <c r="AN2006" s="101">
        <f t="shared" si="48"/>
        <v>12.811791256666659</v>
      </c>
      <c r="AO2006" s="101">
        <f t="shared" si="48"/>
        <v>11.826268859999992</v>
      </c>
      <c r="AP2006" s="101">
        <f t="shared" si="48"/>
        <v>10.840746463333325</v>
      </c>
      <c r="AQ2006" s="101">
        <f t="shared" si="48"/>
        <v>9.8552240666666577</v>
      </c>
      <c r="AR2006" s="101">
        <f t="shared" si="48"/>
        <v>8.8697016699999907</v>
      </c>
      <c r="AS2006" s="101">
        <f t="shared" si="48"/>
        <v>7.8841792733333236</v>
      </c>
      <c r="AT2006" s="101">
        <f t="shared" si="48"/>
        <v>6.8986568766666565</v>
      </c>
      <c r="AU2006" s="101">
        <f t="shared" si="48"/>
        <v>5.9131344799999894</v>
      </c>
      <c r="AV2006" s="101">
        <f t="shared" si="48"/>
        <v>4.9276120833333223</v>
      </c>
      <c r="AW2006" s="101">
        <f t="shared" si="48"/>
        <v>3.9420896866666557</v>
      </c>
      <c r="AX2006" s="101">
        <f t="shared" si="48"/>
        <v>2.9565672899999891</v>
      </c>
      <c r="AY2006" s="101">
        <f t="shared" si="48"/>
        <v>1.9710448933333224</v>
      </c>
      <c r="AZ2006" s="101">
        <f t="shared" si="48"/>
        <v>0.98552249666665581</v>
      </c>
      <c r="BA2006" s="104">
        <f>Inputs!$I$11</f>
        <v>9.9999999999999995E-8</v>
      </c>
    </row>
    <row r="2007" spans="1:53" ht="15.75" customHeight="1">
      <c r="A2007" s="440" t="s">
        <v>31</v>
      </c>
      <c r="B2007" s="99" t="s">
        <v>201</v>
      </c>
      <c r="C2007" s="105">
        <f>'Assumptions (Biomass)'!B17*Model!C2005/10^9+'Assumptions (Biomass)'!B18*Model!C2006/10^3</f>
        <v>0.61702354839217799</v>
      </c>
      <c r="D2007" s="105">
        <f>'Assumptions (Biomass)'!C17*Model!D2005/10^9+'Assumptions (Biomass)'!C18*Model!D2006/10^3</f>
        <v>0.59885203044192459</v>
      </c>
      <c r="E2007" s="105">
        <f>'Assumptions (Biomass)'!D17*Model!E2005/10^9+'Assumptions (Biomass)'!D18*Model!E2006/10^3</f>
        <v>0.62080829151749983</v>
      </c>
      <c r="F2007" s="105">
        <f>'Assumptions (Biomass)'!E17*Model!F2005/10^9+'Assumptions (Biomass)'!E18*Model!F2006/10^3</f>
        <v>0.63036364995803384</v>
      </c>
      <c r="G2007" s="105">
        <f>'Assumptions (Biomass)'!F17*Model!G2005/10^9+'Assumptions (Biomass)'!F18*Model!G2006/10^3</f>
        <v>0.67049516896104389</v>
      </c>
      <c r="H2007" s="105">
        <f>'Assumptions (Biomass)'!G17*Model!H2005/10^9+'Assumptions (Biomass)'!G18*Model!H2006/10^3</f>
        <v>0.68744550701022167</v>
      </c>
      <c r="I2007" s="105">
        <f>'Assumptions (Biomass)'!H17*Model!I2005/10^9+'Assumptions (Biomass)'!H18*Model!I2006/10^3</f>
        <v>0.71526809328820962</v>
      </c>
      <c r="J2007" s="105">
        <f>'Assumptions (Biomass)'!I17*Model!J2005/10^9+'Assumptions (Biomass)'!I18*Model!J2006/10^3</f>
        <v>0.75920110559736598</v>
      </c>
      <c r="K2007" s="105">
        <f>'Assumptions (Biomass)'!J17*Model!K2005/10^9+'Assumptions (Biomass)'!J18*Model!K2006/10^3</f>
        <v>0.78031097859949927</v>
      </c>
      <c r="L2007" s="105">
        <f>'Assumptions (Biomass)'!K17*Model!L2005/10^9+'Assumptions (Biomass)'!K18*Model!L2006/10^3</f>
        <v>0.79630582913728332</v>
      </c>
      <c r="M2007" s="105">
        <f>'Assumptions (Biomass)'!L17*Model!M2005/10^9+'Assumptions (Biomass)'!L18*Model!M2006/10^3</f>
        <v>0.8259132034333887</v>
      </c>
      <c r="N2007" s="105">
        <f>'Assumptions (Biomass)'!M17*Model!N2005/10^9+'Assumptions (Biomass)'!M18*Model!N2006/10^3</f>
        <v>0.84636558227481606</v>
      </c>
      <c r="O2007" s="105">
        <f>'Assumptions (Biomass)'!N17*Model!O2005/10^9+'Assumptions (Biomass)'!N18*Model!O2006/10^3</f>
        <v>0.90571634697502423</v>
      </c>
      <c r="P2007" s="105">
        <f>'Assumptions (Biomass)'!O17*Model!P2005/10^9+'Assumptions (Biomass)'!O18*Model!P2006/10^3</f>
        <v>1.0170503769387462</v>
      </c>
      <c r="Q2007" s="105">
        <f>'Assumptions (Biomass)'!P17*Model!Q2005/10^9+'Assumptions (Biomass)'!P18*Model!Q2006/10^3</f>
        <v>1.0492909898516547</v>
      </c>
      <c r="R2007" s="105">
        <f>'Assumptions (Biomass)'!Q17*Model!R2005/10^9+'Assumptions (Biomass)'!Q18*Model!R2006/10^3</f>
        <v>1.1284669293420106</v>
      </c>
      <c r="S2007" s="105">
        <f>'Assumptions (Biomass)'!R17*Model!S2005/10^9+'Assumptions (Biomass)'!R18*Model!S2006/10^3</f>
        <v>0.97208500770070472</v>
      </c>
      <c r="T2007" s="105">
        <f>'Assumptions (Biomass)'!S17*Model!T2005/10^9+'Assumptions (Biomass)'!S18*Model!T2006/10^3</f>
        <v>0.97855115023836503</v>
      </c>
      <c r="U2007" s="105">
        <f>'Assumptions (Biomass)'!T17*Model!U2005/10^9+'Assumptions (Biomass)'!T18*Model!U2006/10^3</f>
        <v>0.97756849072721308</v>
      </c>
      <c r="V2007" s="105">
        <f>'Assumptions (Biomass)'!U17*Model!V2005/10^9+'Assumptions (Biomass)'!U18*Model!V2006/10^3</f>
        <v>1.0523974725613345</v>
      </c>
      <c r="W2007" s="105">
        <f>'Assumptions (Biomass)'!V17*Model!W2005/10^9+'Assumptions (Biomass)'!V18*Model!W2006/10^3</f>
        <v>1.0846064497599999</v>
      </c>
      <c r="X2007" s="105">
        <f>'Assumptions (Biomass)'!W17*Model!X2005/10^9+'Assumptions (Biomass)'!W18*Model!X2006/10^3</f>
        <v>1.0683738875170457</v>
      </c>
      <c r="Y2007" s="105">
        <f>'Assumptions (Biomass)'!X17*Model!Y2005/10^9+'Assumptions (Biomass)'!X18*Model!Y2006/10^3</f>
        <v>1.0511329449804956</v>
      </c>
      <c r="Z2007" s="105">
        <f>'Assumptions (Biomass)'!Y17*Model!Z2005/10^9+'Assumptions (Biomass)'!Y18*Model!Z2006/10^3</f>
        <v>1.0328511636541629</v>
      </c>
      <c r="AA2007" s="105">
        <f>'Assumptions (Biomass)'!Z17*Model!AA2005/10^9+'Assumptions (Biomass)'!Z18*Model!AA2006/10^3</f>
        <v>1.0134952156442916</v>
      </c>
      <c r="AB2007" s="105">
        <f>'Assumptions (Biomass)'!AA17*Model!AB2005/10^9+'Assumptions (Biomass)'!AA18*Model!AB2006/10^3</f>
        <v>0.99303088233996595</v>
      </c>
      <c r="AC2007" s="105">
        <f>'Assumptions (Biomass)'!AB17*Model!AC2005/10^9+'Assumptions (Biomass)'!AB18*Model!AC2006/10^3</f>
        <v>0.9714230325972284</v>
      </c>
      <c r="AD2007" s="105">
        <f>'Assumptions (Biomass)'!AC17*Model!AD2005/10^9+'Assumptions (Biomass)'!AC18*Model!AD2006/10^3</f>
        <v>0.94863560041574224</v>
      </c>
      <c r="AE2007" s="105">
        <f>'Assumptions (Biomass)'!AD17*Model!AE2005/10^9+'Assumptions (Biomass)'!AD18*Model!AE2006/10^3</f>
        <v>0.92463156209659181</v>
      </c>
      <c r="AF2007" s="105">
        <f>'Assumptions (Biomass)'!AE17*Model!AF2005/10^9+'Assumptions (Biomass)'!AE18*Model!AF2006/10^3</f>
        <v>0.89937291286956367</v>
      </c>
      <c r="AG2007" s="105">
        <f>'Assumptions (Biomass)'!AF17*Model!AG2005/10^9+'Assumptions (Biomass)'!AF18*Model!AG2006/10^3</f>
        <v>0.87282064297799167</v>
      </c>
      <c r="AH2007" s="105">
        <f>'Assumptions (Biomass)'!AG17*Model!AH2005/10^9+'Assumptions (Biomass)'!AG18*Model!AH2006/10^3</f>
        <v>0.84493471320899372</v>
      </c>
      <c r="AI2007" s="105">
        <f>'Assumptions (Biomass)'!AH17*Model!AI2005/10^9+'Assumptions (Biomass)'!AH18*Model!AI2006/10^3</f>
        <v>0.81567402985665893</v>
      </c>
      <c r="AJ2007" s="105">
        <f>'Assumptions (Biomass)'!AI17*Model!AJ2005/10^9+'Assumptions (Biomass)'!AI18*Model!AJ2006/10^3</f>
        <v>0.78499641910546702</v>
      </c>
      <c r="AK2007" s="105">
        <f>'Assumptions (Biomass)'!AJ17*Model!AK2005/10^9+'Assumptions (Biomass)'!AJ18*Model!AK2006/10^3</f>
        <v>0.75285860082095146</v>
      </c>
      <c r="AL2007" s="105">
        <f>'Assumptions (Biomass)'!AK17*Model!AL2005/10^9+'Assumptions (Biomass)'!AK18*Model!AL2006/10^3</f>
        <v>0.71921616173432734</v>
      </c>
      <c r="AM2007" s="105">
        <f>'Assumptions (Biomass)'!AL17*Model!AM2005/10^9+'Assumptions (Biomass)'!AL18*Model!AM2006/10^3</f>
        <v>0.68402352800751509</v>
      </c>
      <c r="AN2007" s="105">
        <f>'Assumptions (Biomass)'!AM17*Model!AN2005/10^9+'Assumptions (Biomass)'!AM18*Model!AN2006/10^3</f>
        <v>0.64723393716469779</v>
      </c>
      <c r="AO2007" s="105">
        <f>'Assumptions (Biomass)'!AN17*Model!AO2005/10^9+'Assumptions (Biomass)'!AN18*Model!AO2006/10^3</f>
        <v>0.60879940937624266</v>
      </c>
      <c r="AP2007" s="105">
        <f>'Assumptions (Biomass)'!AO17*Model!AP2005/10^9+'Assumptions (Biomass)'!AO18*Model!AP2006/10^3</f>
        <v>0.56867071808050984</v>
      </c>
      <c r="AQ2007" s="105">
        <f>'Assumptions (Biomass)'!AP17*Model!AQ2005/10^9+'Assumptions (Biomass)'!AP18*Model!AQ2006/10^3</f>
        <v>0.52679735992875432</v>
      </c>
      <c r="AR2007" s="105">
        <f>'Assumptions (Biomass)'!AQ17*Model!AR2005/10^9+'Assumptions (Biomass)'!AQ18*Model!AR2006/10^3</f>
        <v>0.48312752403800507</v>
      </c>
      <c r="AS2007" s="105">
        <f>'Assumptions (Biomass)'!AR17*Model!AS2005/10^9+'Assumptions (Biomass)'!AR18*Model!AS2006/10^3</f>
        <v>0.437608060536473</v>
      </c>
      <c r="AT2007" s="105">
        <f>'Assumptions (Biomass)'!AS17*Model!AT2005/10^9+'Assumptions (Biomass)'!AS18*Model!AT2006/10^3</f>
        <v>0.39018444838570504</v>
      </c>
      <c r="AU2007" s="105">
        <f>'Assumptions (Biomass)'!AT17*Model!AU2005/10^9+'Assumptions (Biomass)'!AT18*Model!AU2006/10^3</f>
        <v>0.34080076246335422</v>
      </c>
      <c r="AV2007" s="105">
        <f>'Assumptions (Biomass)'!AU17*Model!AV2005/10^9+'Assumptions (Biomass)'!AU18*Model!AV2006/10^3</f>
        <v>0.28939963989008677</v>
      </c>
      <c r="AW2007" s="105">
        <f>'Assumptions (Biomass)'!AV17*Model!AW2005/10^9+'Assumptions (Biomass)'!AV18*Model!AW2006/10^3</f>
        <v>0.23592224558378588</v>
      </c>
      <c r="AX2007" s="105">
        <f>'Assumptions (Biomass)'!AW17*Model!AX2005/10^9+'Assumptions (Biomass)'!AW18*Model!AX2006/10^3</f>
        <v>0.18030823702384524</v>
      </c>
      <c r="AY2007" s="105">
        <f>'Assumptions (Biomass)'!AX17*Model!AY2005/10^9+'Assumptions (Biomass)'!AX18*Model!AY2006/10^3</f>
        <v>0.12249572820797111</v>
      </c>
      <c r="AZ2007" s="105">
        <f>'Assumptions (Biomass)'!AY17*Model!AZ2005/10^9+'Assumptions (Biomass)'!AY18*Model!AZ2006/10^3</f>
        <v>6.24212527835281E-2</v>
      </c>
      <c r="BA2007" s="105">
        <f>'Assumptions (Biomass)'!AZ17*Model!BA2005/10^9+'Assumptions (Biomass)'!AZ18*Model!BA2006/10^3</f>
        <v>1.9726335072882767E-5</v>
      </c>
    </row>
    <row r="2008" spans="1:53" ht="15.75" customHeight="1">
      <c r="A2008" s="440" t="s">
        <v>36</v>
      </c>
      <c r="B2008" s="99" t="s">
        <v>201</v>
      </c>
      <c r="C2008" s="147">
        <f>C2006*'Assumptions (Biomass)'!B30/10^3</f>
        <v>2.5164725744321998</v>
      </c>
      <c r="D2008" s="147">
        <f>D2006*'Assumptions (Biomass)'!C30/10^3</f>
        <v>2.4134005265435001</v>
      </c>
      <c r="E2008" s="147">
        <f>E2006*'Assumptions (Biomass)'!D30/10^3</f>
        <v>2.3966890003132</v>
      </c>
      <c r="F2008" s="147">
        <f>F2006*'Assumptions (Biomass)'!E30/10^3</f>
        <v>2.8277566661660001</v>
      </c>
      <c r="G2008" s="147">
        <f>G2006*'Assumptions (Biomass)'!F30/10^3</f>
        <v>3.0175952412114997</v>
      </c>
      <c r="H2008" s="147">
        <f>H2006*'Assumptions (Biomass)'!G30/10^3</f>
        <v>3.7244636372515001</v>
      </c>
      <c r="I2008" s="147">
        <f>I2006*'Assumptions (Biomass)'!H30/10^3</f>
        <v>3.3427096800413998</v>
      </c>
      <c r="J2008" s="147">
        <f>J2006*'Assumptions (Biomass)'!I30/10^3</f>
        <v>3.4196437744068002</v>
      </c>
      <c r="K2008" s="147">
        <f>K2006*'Assumptions (Biomass)'!J30/10^3</f>
        <v>3.7836302528991994</v>
      </c>
      <c r="L2008" s="147">
        <f>L2006*'Assumptions (Biomass)'!K30/10^3</f>
        <v>2.5532547705139996</v>
      </c>
      <c r="M2008" s="147">
        <f>M2006*'Assumptions (Biomass)'!L30/10^3</f>
        <v>2.7220755819060996</v>
      </c>
      <c r="N2008" s="147">
        <f>N2006*'Assumptions (Biomass)'!M30/10^3</f>
        <v>2.641743304220217</v>
      </c>
      <c r="O2008" s="147">
        <f>O2006*'Assumptions (Biomass)'!N30/10^3</f>
        <v>2.3056638329118</v>
      </c>
      <c r="P2008" s="147">
        <f>P2006*'Assumptions (Biomass)'!O30/10^3</f>
        <v>2.7104366480019575</v>
      </c>
      <c r="Q2008" s="147">
        <f>Q2006*'Assumptions (Biomass)'!P30/10^3</f>
        <v>3.0765441584849578</v>
      </c>
      <c r="R2008" s="147">
        <f>R2006*'Assumptions (Biomass)'!Q30/10^3</f>
        <v>2.510117037433</v>
      </c>
      <c r="S2008" s="147">
        <f>S2006*'Assumptions (Biomass)'!R30/10^3</f>
        <v>2.2708624181299997</v>
      </c>
      <c r="T2008" s="147">
        <f>T2006*'Assumptions (Biomass)'!S30/10^3</f>
        <v>1.8002671215400001</v>
      </c>
      <c r="U2008" s="147">
        <f>U2006*'Assumptions (Biomass)'!T30/10^3</f>
        <v>1.7664514440000001</v>
      </c>
      <c r="V2008" s="147">
        <f>V2006*'Assumptions (Biomass)'!U30/10^3</f>
        <v>1.84868051717</v>
      </c>
      <c r="W2008" s="147">
        <f>W2006*'Assumptions (Biomass)'!V30/10^3</f>
        <v>2.0073104474841599</v>
      </c>
      <c r="X2008" s="147">
        <f>X2006*'Assumptions (Biomass)'!W30/10^3</f>
        <v>1.9551174474992354</v>
      </c>
      <c r="Y2008" s="147">
        <f>Y2006*'Assumptions (Biomass)'!X30/10^3</f>
        <v>1.9051286472079134</v>
      </c>
      <c r="Z2008" s="147">
        <f>Z2006*'Assumptions (Biomass)'!Y30/10^3</f>
        <v>1.8670525854611233</v>
      </c>
      <c r="AA2008" s="147">
        <f>AA2006*'Assumptions (Biomass)'!Z30/10^3</f>
        <v>1.8320743557054229</v>
      </c>
      <c r="AB2008" s="147">
        <f>AB2006*'Assumptions (Biomass)'!AA30/10^3</f>
        <v>1.8113061566406761</v>
      </c>
      <c r="AC2008" s="147">
        <f>AC2006*'Assumptions (Biomass)'!AB30/10^3</f>
        <v>1.7669301824001842</v>
      </c>
      <c r="AD2008" s="147">
        <f>AD2006*'Assumptions (Biomass)'!AC30/10^3</f>
        <v>1.7265830434558094</v>
      </c>
      <c r="AE2008" s="147">
        <f>AE2006*'Assumptions (Biomass)'!AD30/10^3</f>
        <v>1.6805212346186631</v>
      </c>
      <c r="AF2008" s="147">
        <f>AF2006*'Assumptions (Biomass)'!AE30/10^3</f>
        <v>1.6336784387120227</v>
      </c>
      <c r="AG2008" s="147">
        <f>AG2006*'Assumptions (Biomass)'!AF30/10^3</f>
        <v>1.5846167391323052</v>
      </c>
      <c r="AH2008" s="147">
        <f>AH2006*'Assumptions (Biomass)'!AG30/10^3</f>
        <v>1.5354292967646697</v>
      </c>
      <c r="AI2008" s="147">
        <f>AI2006*'Assumptions (Biomass)'!AH30/10^3</f>
        <v>1.4774820779636058</v>
      </c>
      <c r="AJ2008" s="147">
        <f>AJ2006*'Assumptions (Biomass)'!AI30/10^3</f>
        <v>1.4165771487640713</v>
      </c>
      <c r="AK2008" s="147">
        <f>AK2006*'Assumptions (Biomass)'!AJ30/10^3</f>
        <v>1.3535962560594894</v>
      </c>
      <c r="AL2008" s="147">
        <f>AL2006*'Assumptions (Biomass)'!AK30/10^3</f>
        <v>1.2902828875341246</v>
      </c>
      <c r="AM2008" s="147">
        <f>AM2006*'Assumptions (Biomass)'!AL30/10^3</f>
        <v>1.2292241971847651</v>
      </c>
      <c r="AN2008" s="147">
        <f>AN2006*'Assumptions (Biomass)'!AM30/10^3</f>
        <v>1.1638885860089208</v>
      </c>
      <c r="AO2008" s="147">
        <f>AO2006*'Assumptions (Biomass)'!AN30/10^3</f>
        <v>1.0984814456461474</v>
      </c>
      <c r="AP2008" s="147">
        <f>AP2006*'Assumptions (Biomass)'!AO30/10^3</f>
        <v>1.0294414036417887</v>
      </c>
      <c r="AQ2008" s="147">
        <f>AQ2006*'Assumptions (Biomass)'!AP30/10^3</f>
        <v>0.95495199437306921</v>
      </c>
      <c r="AR2008" s="147">
        <f>AR2006*'Assumptions (Biomass)'!AQ30/10^3</f>
        <v>0.87626372750817538</v>
      </c>
      <c r="AS2008" s="147">
        <f>AS2006*'Assumptions (Biomass)'!AR30/10^3</f>
        <v>0.79373911760849047</v>
      </c>
      <c r="AT2008" s="147">
        <f>AT2006*'Assumptions (Biomass)'!AS30/10^3</f>
        <v>0.7082837907825591</v>
      </c>
      <c r="AU2008" s="147">
        <f>AU2006*'Assumptions (Biomass)'!AT30/10^3</f>
        <v>0.61968549507386606</v>
      </c>
      <c r="AV2008" s="147">
        <f>AV2006*'Assumptions (Biomass)'!AU30/10^3</f>
        <v>0.52716150887665303</v>
      </c>
      <c r="AW2008" s="147">
        <f>AW2006*'Assumptions (Biomass)'!AV30/10^3</f>
        <v>0.42960648995732637</v>
      </c>
      <c r="AX2008" s="147">
        <f>AX2006*'Assumptions (Biomass)'!AW30/10^3</f>
        <v>0.32928655842817856</v>
      </c>
      <c r="AY2008" s="147">
        <f>AY2006*'Assumptions (Biomass)'!AX30/10^3</f>
        <v>0.22743751022075565</v>
      </c>
      <c r="AZ2008" s="147">
        <f>AZ2006*'Assumptions (Biomass)'!AY30/10^3</f>
        <v>0.11674795152262205</v>
      </c>
      <c r="BA2008" s="147">
        <f>BA2006*'Assumptions (Biomass)'!AZ30/10^3</f>
        <v>1.2087941E-8</v>
      </c>
    </row>
    <row r="2009" spans="1:53" ht="15.75" customHeight="1">
      <c r="A2009" s="440" t="s">
        <v>38</v>
      </c>
      <c r="B2009" s="99" t="s">
        <v>201</v>
      </c>
      <c r="C2009" s="147">
        <f>C2005*'Assumptions (Biomass)'!B33*'Assumptions (Biomass)'!B32*365/10^9</f>
        <v>0</v>
      </c>
      <c r="D2009" s="147">
        <f>D2005*'Assumptions (Biomass)'!C33*'Assumptions (Biomass)'!C32*365/10^9</f>
        <v>0</v>
      </c>
      <c r="E2009" s="147">
        <f>E2005*'Assumptions (Biomass)'!D33*'Assumptions (Biomass)'!D32*365/10^9</f>
        <v>0</v>
      </c>
      <c r="F2009" s="147">
        <f>F2005*'Assumptions (Biomass)'!E33*'Assumptions (Biomass)'!E32*365/10^9</f>
        <v>0</v>
      </c>
      <c r="G2009" s="147">
        <f>G2005*'Assumptions (Biomass)'!F33*'Assumptions (Biomass)'!F32*365/10^9</f>
        <v>0</v>
      </c>
      <c r="H2009" s="147">
        <f>H2005*'Assumptions (Biomass)'!G33*'Assumptions (Biomass)'!G32*365/10^9</f>
        <v>0</v>
      </c>
      <c r="I2009" s="147">
        <f>I2005*'Assumptions (Biomass)'!H33*'Assumptions (Biomass)'!H32*365/10^9</f>
        <v>0</v>
      </c>
      <c r="J2009" s="147">
        <f>J2005*'Assumptions (Biomass)'!I33*'Assumptions (Biomass)'!I32*365/10^9</f>
        <v>0</v>
      </c>
      <c r="K2009" s="147">
        <f>K2005*'Assumptions (Biomass)'!J33*'Assumptions (Biomass)'!J32*365/10^9</f>
        <v>0</v>
      </c>
      <c r="L2009" s="147">
        <f>L2005*'Assumptions (Biomass)'!K33*'Assumptions (Biomass)'!K32*365/10^9</f>
        <v>0</v>
      </c>
      <c r="M2009" s="147">
        <f>M2005*'Assumptions (Biomass)'!L33*'Assumptions (Biomass)'!L32*365/10^9</f>
        <v>0</v>
      </c>
      <c r="N2009" s="147">
        <f>N2005*'Assumptions (Biomass)'!M33*'Assumptions (Biomass)'!M32*365/10^9</f>
        <v>0</v>
      </c>
      <c r="O2009" s="147">
        <f>O2005*'Assumptions (Biomass)'!N33*'Assumptions (Biomass)'!N32*365/10^9</f>
        <v>0</v>
      </c>
      <c r="P2009" s="147">
        <f>P2005*'Assumptions (Biomass)'!O33*'Assumptions (Biomass)'!O32*365/10^9</f>
        <v>0</v>
      </c>
      <c r="Q2009" s="147">
        <f>Q2005*'Assumptions (Biomass)'!P33*'Assumptions (Biomass)'!P32*365/10^9</f>
        <v>0</v>
      </c>
      <c r="R2009" s="147">
        <f>R2005*'Assumptions (Biomass)'!Q33*'Assumptions (Biomass)'!Q32*365/10^9</f>
        <v>0</v>
      </c>
      <c r="S2009" s="147">
        <f>S2005*'Assumptions (Biomass)'!R33*'Assumptions (Biomass)'!R32*365/10^9</f>
        <v>0</v>
      </c>
      <c r="T2009" s="147">
        <f>T2005*'Assumptions (Biomass)'!S33*'Assumptions (Biomass)'!S32*365/10^9</f>
        <v>0</v>
      </c>
      <c r="U2009" s="147">
        <f>U2005*'Assumptions (Biomass)'!T33*'Assumptions (Biomass)'!T32*365/10^9</f>
        <v>0</v>
      </c>
      <c r="V2009" s="147">
        <f>V2005*'Assumptions (Biomass)'!U33*'Assumptions (Biomass)'!U32*365/10^9</f>
        <v>0</v>
      </c>
      <c r="W2009" s="147">
        <f>W2005*'Assumptions (Biomass)'!V33*'Assumptions (Biomass)'!V32*365/10^9</f>
        <v>0</v>
      </c>
      <c r="X2009" s="147">
        <f>X2005*'Assumptions (Biomass)'!W33*'Assumptions (Biomass)'!W32*365/10^9</f>
        <v>0</v>
      </c>
      <c r="Y2009" s="147">
        <f>Y2005*'Assumptions (Biomass)'!X33*'Assumptions (Biomass)'!X32*365/10^9</f>
        <v>0</v>
      </c>
      <c r="Z2009" s="147">
        <f>Z2005*'Assumptions (Biomass)'!Y33*'Assumptions (Biomass)'!Y32*365/10^9</f>
        <v>0</v>
      </c>
      <c r="AA2009" s="147">
        <f>AA2005*'Assumptions (Biomass)'!Z33*'Assumptions (Biomass)'!Z32*365/10^9</f>
        <v>0</v>
      </c>
      <c r="AB2009" s="147">
        <f>AB2005*'Assumptions (Biomass)'!AA33*'Assumptions (Biomass)'!AA32*365/10^9</f>
        <v>0</v>
      </c>
      <c r="AC2009" s="147">
        <f>AC2005*'Assumptions (Biomass)'!AB33*'Assumptions (Biomass)'!AB32*365/10^9</f>
        <v>0</v>
      </c>
      <c r="AD2009" s="147">
        <f>AD2005*'Assumptions (Biomass)'!AC33*'Assumptions (Biomass)'!AC32*365/10^9</f>
        <v>0</v>
      </c>
      <c r="AE2009" s="147">
        <f>AE2005*'Assumptions (Biomass)'!AD33*'Assumptions (Biomass)'!AD32*365/10^9</f>
        <v>0</v>
      </c>
      <c r="AF2009" s="147">
        <f>AF2005*'Assumptions (Biomass)'!AE33*'Assumptions (Biomass)'!AE32*365/10^9</f>
        <v>0</v>
      </c>
      <c r="AG2009" s="147">
        <f>AG2005*'Assumptions (Biomass)'!AF33*'Assumptions (Biomass)'!AF32*365/10^9</f>
        <v>0</v>
      </c>
      <c r="AH2009" s="147">
        <f>AH2005*'Assumptions (Biomass)'!AG33*'Assumptions (Biomass)'!AG32*365/10^9</f>
        <v>0</v>
      </c>
      <c r="AI2009" s="147">
        <f>AI2005*'Assumptions (Biomass)'!AH33*'Assumptions (Biomass)'!AH32*365/10^9</f>
        <v>0</v>
      </c>
      <c r="AJ2009" s="147">
        <f>AJ2005*'Assumptions (Biomass)'!AI33*'Assumptions (Biomass)'!AI32*365/10^9</f>
        <v>0</v>
      </c>
      <c r="AK2009" s="147">
        <f>AK2005*'Assumptions (Biomass)'!AJ33*'Assumptions (Biomass)'!AJ32*365/10^9</f>
        <v>0</v>
      </c>
      <c r="AL2009" s="147">
        <f>AL2005*'Assumptions (Biomass)'!AK33*'Assumptions (Biomass)'!AK32*365/10^9</f>
        <v>0</v>
      </c>
      <c r="AM2009" s="147">
        <f>AM2005*'Assumptions (Biomass)'!AL33*'Assumptions (Biomass)'!AL32*365/10^9</f>
        <v>0</v>
      </c>
      <c r="AN2009" s="147">
        <f>AN2005*'Assumptions (Biomass)'!AM33*'Assumptions (Biomass)'!AM32*365/10^9</f>
        <v>0</v>
      </c>
      <c r="AO2009" s="147">
        <f>AO2005*'Assumptions (Biomass)'!AN33*'Assumptions (Biomass)'!AN32*365/10^9</f>
        <v>0</v>
      </c>
      <c r="AP2009" s="147">
        <f>AP2005*'Assumptions (Biomass)'!AO33*'Assumptions (Biomass)'!AO32*365/10^9</f>
        <v>0</v>
      </c>
      <c r="AQ2009" s="147">
        <f>AQ2005*'Assumptions (Biomass)'!AP33*'Assumptions (Biomass)'!AP32*365/10^9</f>
        <v>0</v>
      </c>
      <c r="AR2009" s="147">
        <f>AR2005*'Assumptions (Biomass)'!AQ33*'Assumptions (Biomass)'!AQ32*365/10^9</f>
        <v>0</v>
      </c>
      <c r="AS2009" s="147">
        <f>AS2005*'Assumptions (Biomass)'!AR33*'Assumptions (Biomass)'!AR32*365/10^9</f>
        <v>0</v>
      </c>
      <c r="AT2009" s="147">
        <f>AT2005*'Assumptions (Biomass)'!AS33*'Assumptions (Biomass)'!AS32*365/10^9</f>
        <v>0</v>
      </c>
      <c r="AU2009" s="147">
        <f>AU2005*'Assumptions (Biomass)'!AT33*'Assumptions (Biomass)'!AT32*365/10^9</f>
        <v>0</v>
      </c>
      <c r="AV2009" s="147">
        <f>AV2005*'Assumptions (Biomass)'!AU33*'Assumptions (Biomass)'!AU32*365/10^9</f>
        <v>0</v>
      </c>
      <c r="AW2009" s="147">
        <f>AW2005*'Assumptions (Biomass)'!AV33*'Assumptions (Biomass)'!AV32*365/10^9</f>
        <v>0</v>
      </c>
      <c r="AX2009" s="147">
        <f>AX2005*'Assumptions (Biomass)'!AW33*'Assumptions (Biomass)'!AW32*365/10^9</f>
        <v>0</v>
      </c>
      <c r="AY2009" s="147">
        <f>AY2005*'Assumptions (Biomass)'!AX33*'Assumptions (Biomass)'!AX32*365/10^9</f>
        <v>0</v>
      </c>
      <c r="AZ2009" s="147">
        <f>AZ2005*'Assumptions (Biomass)'!AY33*'Assumptions (Biomass)'!AY32*365/10^9</f>
        <v>0</v>
      </c>
      <c r="BA2009" s="147">
        <f>BA2005*'Assumptions (Biomass)'!AZ33*'Assumptions (Biomass)'!AZ32*365/10^9</f>
        <v>0</v>
      </c>
    </row>
    <row r="2010" spans="1:53" ht="15.75" customHeight="1">
      <c r="A2010" s="441" t="s">
        <v>46</v>
      </c>
      <c r="B2010" s="99" t="s">
        <v>152</v>
      </c>
      <c r="C2010" s="63">
        <v>6.4</v>
      </c>
      <c r="D2010" s="63">
        <v>81.400000000000006</v>
      </c>
      <c r="E2010" s="63">
        <v>6.9</v>
      </c>
      <c r="F2010" s="63">
        <v>58.7</v>
      </c>
      <c r="G2010" s="63">
        <v>57.5</v>
      </c>
      <c r="H2010" s="63">
        <v>1.8</v>
      </c>
      <c r="I2010" s="63">
        <v>104</v>
      </c>
      <c r="J2010" s="63">
        <v>107.9</v>
      </c>
      <c r="K2010" s="63">
        <v>119.2</v>
      </c>
      <c r="L2010" s="63">
        <v>124.8</v>
      </c>
      <c r="M2010" s="63">
        <v>83.3</v>
      </c>
      <c r="N2010" s="63">
        <v>141.4</v>
      </c>
      <c r="O2010" s="63">
        <v>185.7</v>
      </c>
      <c r="P2010" s="63">
        <v>596.29999999999995</v>
      </c>
      <c r="Q2010" s="63">
        <v>128.30000000000001</v>
      </c>
      <c r="R2010" s="63">
        <v>133.19999999999999</v>
      </c>
      <c r="S2010" s="63">
        <v>15.4</v>
      </c>
      <c r="T2010" s="63">
        <v>126.2</v>
      </c>
      <c r="U2010" s="63">
        <v>17.5</v>
      </c>
      <c r="V2010" s="63">
        <v>158.5</v>
      </c>
      <c r="W2010" s="90">
        <f>IF(W2005-V2005+'Assumptions (Biomass)'!V36&gt;0,W2005-V2005+'Assumptions (Biomass)'!V36,0)</f>
        <v>51</v>
      </c>
      <c r="X2010" s="90">
        <f>IF(X2005-W2005+'Assumptions (Biomass)'!W36&gt;0,X2005-W2005+'Assumptions (Biomass)'!W36,0)</f>
        <v>0</v>
      </c>
      <c r="Y2010" s="90">
        <f>IF(Y2005-X2005+'Assumptions (Biomass)'!X36&gt;0,Y2005-X2005+'Assumptions (Biomass)'!X36,0)</f>
        <v>0</v>
      </c>
      <c r="Z2010" s="90">
        <f>IF(Z2005-Y2005+'Assumptions (Biomass)'!Y36&gt;0,Z2005-Y2005+'Assumptions (Biomass)'!Y36,0)</f>
        <v>0</v>
      </c>
      <c r="AA2010" s="90">
        <f>IF(AA2005-Z2005+'Assumptions (Biomass)'!Z36&gt;0,AA2005-Z2005+'Assumptions (Biomass)'!Z36,0)</f>
        <v>0</v>
      </c>
      <c r="AB2010" s="90">
        <f>IF(AB2005-AA2005+'Assumptions (Biomass)'!AA36&gt;0,AB2005-AA2005+'Assumptions (Biomass)'!AA36,0)</f>
        <v>0</v>
      </c>
      <c r="AC2010" s="90">
        <f>IF(AC2005-AB2005+'Assumptions (Biomass)'!AB36&gt;0,AC2005-AB2005+'Assumptions (Biomass)'!AB36,0)</f>
        <v>0</v>
      </c>
      <c r="AD2010" s="90">
        <f>IF(AD2005-AC2005+'Assumptions (Biomass)'!AC36&gt;0,AD2005-AC2005+'Assumptions (Biomass)'!AC36,0)</f>
        <v>0</v>
      </c>
      <c r="AE2010" s="90">
        <f>IF(AE2005-AD2005+'Assumptions (Biomass)'!AD36&gt;0,AE2005-AD2005+'Assumptions (Biomass)'!AD36,0)</f>
        <v>0</v>
      </c>
      <c r="AF2010" s="90">
        <f>IF(AF2005-AE2005+'Assumptions (Biomass)'!AE36&gt;0,AF2005-AE2005+'Assumptions (Biomass)'!AE36,0)</f>
        <v>0</v>
      </c>
      <c r="AG2010" s="90">
        <f>IF(AG2005-AF2005+'Assumptions (Biomass)'!AF36&gt;0,AG2005-AF2005+'Assumptions (Biomass)'!AF36,0)</f>
        <v>0</v>
      </c>
      <c r="AH2010" s="90">
        <f>IF(AH2005-AG2005+'Assumptions (Biomass)'!AG36&gt;0,AH2005-AG2005+'Assumptions (Biomass)'!AG36,0)</f>
        <v>0</v>
      </c>
      <c r="AI2010" s="90">
        <f>IF(AI2005-AH2005+'Assumptions (Biomass)'!AH36&gt;0,AI2005-AH2005+'Assumptions (Biomass)'!AH36,0)</f>
        <v>0</v>
      </c>
      <c r="AJ2010" s="90">
        <f>IF(AJ2005-AI2005+'Assumptions (Biomass)'!AI36&gt;0,AJ2005-AI2005+'Assumptions (Biomass)'!AI36,0)</f>
        <v>0</v>
      </c>
      <c r="AK2010" s="90">
        <f>IF(AK2005-AJ2005+'Assumptions (Biomass)'!AJ36&gt;0,AK2005-AJ2005+'Assumptions (Biomass)'!AJ36,0)</f>
        <v>0</v>
      </c>
      <c r="AL2010" s="90">
        <f>IF(AL2005-AK2005+'Assumptions (Biomass)'!AK36&gt;0,AL2005-AK2005+'Assumptions (Biomass)'!AK36,0)</f>
        <v>0</v>
      </c>
      <c r="AM2010" s="90">
        <f>IF(AM2005-AL2005+'Assumptions (Biomass)'!AL36&gt;0,AM2005-AL2005+'Assumptions (Biomass)'!AL36,0)</f>
        <v>0</v>
      </c>
      <c r="AN2010" s="90">
        <f>IF(AN2005-AM2005+'Assumptions (Biomass)'!AM36&gt;0,AN2005-AM2005+'Assumptions (Biomass)'!AM36,0)</f>
        <v>0</v>
      </c>
      <c r="AO2010" s="90">
        <f>IF(AO2005-AN2005+'Assumptions (Biomass)'!AN36&gt;0,AO2005-AN2005+'Assumptions (Biomass)'!AN36,0)</f>
        <v>0</v>
      </c>
      <c r="AP2010" s="90">
        <f>IF(AP2005-AO2005+'Assumptions (Biomass)'!AO36&gt;0,AP2005-AO2005+'Assumptions (Biomass)'!AO36,0)</f>
        <v>0</v>
      </c>
      <c r="AQ2010" s="90">
        <f>IF(AQ2005-AP2005+'Assumptions (Biomass)'!AP36&gt;0,AQ2005-AP2005+'Assumptions (Biomass)'!AP36,0)</f>
        <v>0</v>
      </c>
      <c r="AR2010" s="90">
        <f>IF(AR2005-AQ2005+'Assumptions (Biomass)'!AQ36&gt;0,AR2005-AQ2005+'Assumptions (Biomass)'!AQ36,0)</f>
        <v>0</v>
      </c>
      <c r="AS2010" s="90">
        <f>IF(AS2005-AR2005+'Assumptions (Biomass)'!AR36&gt;0,AS2005-AR2005+'Assumptions (Biomass)'!AR36,0)</f>
        <v>0</v>
      </c>
      <c r="AT2010" s="90">
        <f>IF(AT2005-AS2005+'Assumptions (Biomass)'!AS36&gt;0,AT2005-AS2005+'Assumptions (Biomass)'!AS36,0)</f>
        <v>0</v>
      </c>
      <c r="AU2010" s="90">
        <f>IF(AU2005-AT2005+'Assumptions (Biomass)'!AT36&gt;0,AU2005-AT2005+'Assumptions (Biomass)'!AT36,0)</f>
        <v>0</v>
      </c>
      <c r="AV2010" s="90">
        <f>IF(AV2005-AU2005+'Assumptions (Biomass)'!AU36&gt;0,AV2005-AU2005+'Assumptions (Biomass)'!AU36,0)</f>
        <v>0</v>
      </c>
      <c r="AW2010" s="90">
        <f>IF(AW2005-AV2005+'Assumptions (Biomass)'!AV36&gt;0,AW2005-AV2005+'Assumptions (Biomass)'!AV36,0)</f>
        <v>0</v>
      </c>
      <c r="AX2010" s="90">
        <f>IF(AX2005-AW2005+'Assumptions (Biomass)'!AW36&gt;0,AX2005-AW2005+'Assumptions (Biomass)'!AW36,0)</f>
        <v>0</v>
      </c>
      <c r="AY2010" s="90">
        <f>IF(AY2005-AX2005+'Assumptions (Biomass)'!AX36&gt;0,AY2005-AX2005+'Assumptions (Biomass)'!AX36,0)</f>
        <v>0</v>
      </c>
      <c r="AZ2010" s="90">
        <f>IF(AZ2005-AY2005+'Assumptions (Biomass)'!AY36&gt;0,AZ2005-AY2005+'Assumptions (Biomass)'!AY36,0)</f>
        <v>0</v>
      </c>
      <c r="BA2010" s="90">
        <f>IF(BA2005-AZ2005+'Assumptions (Biomass)'!AZ36&gt;0,BA2005-AZ2005+'Assumptions (Biomass)'!AZ36,0)</f>
        <v>0</v>
      </c>
    </row>
    <row r="2011" spans="1:53" ht="15.75" customHeight="1">
      <c r="A2011" s="441" t="s">
        <v>48</v>
      </c>
      <c r="B2011" s="99" t="s">
        <v>153</v>
      </c>
      <c r="C2011" s="20"/>
      <c r="D2011" s="20"/>
      <c r="E2011" s="20"/>
      <c r="F2011" s="20"/>
      <c r="G2011" s="20"/>
      <c r="H2011" s="20"/>
      <c r="I2011" s="20"/>
      <c r="J2011" s="20"/>
      <c r="K2011" s="20"/>
      <c r="L2011" s="20"/>
      <c r="M2011" s="20"/>
      <c r="N2011" s="20"/>
      <c r="O2011" s="20"/>
      <c r="P2011" s="20"/>
      <c r="Q2011" s="20"/>
      <c r="R2011" s="20"/>
      <c r="S2011" s="20"/>
      <c r="T2011" s="20"/>
      <c r="U2011" s="20"/>
      <c r="V2011" s="99"/>
      <c r="W2011" s="90"/>
      <c r="X2011" s="90">
        <f>IF(W2010='Assumptions (Biomass)'!$V$11,Model!X2006-Model!X2005*'Assumptions (Biomass)'!V$15*0.00876,0)</f>
        <v>0</v>
      </c>
      <c r="Y2011" s="90">
        <f>IF(X2010='Assumptions (Biomass)'!$V$11,Model!Y2006-Model!Y2005*'Assumptions (Biomass)'!W$15*0.00876,0)</f>
        <v>0</v>
      </c>
      <c r="Z2011" s="90">
        <f>IF(Y2010='Assumptions (Biomass)'!$V$11,Model!Z2006-Model!Z2005*'Assumptions (Biomass)'!X$15*0.00876,0)</f>
        <v>0</v>
      </c>
      <c r="AA2011" s="90">
        <f>IF(Z2010='Assumptions (Biomass)'!$V$11,Model!AA2006-Model!AA2005*'Assumptions (Biomass)'!Y$15*0.00876,0)</f>
        <v>0</v>
      </c>
      <c r="AB2011" s="90">
        <f>IF(AA2010='Assumptions (Biomass)'!$V$11,Model!AB2006-Model!AB2005*'Assumptions (Biomass)'!Z$15*0.00876,0)</f>
        <v>0</v>
      </c>
      <c r="AC2011" s="90">
        <f>IF(AB2010='Assumptions (Biomass)'!$V$11,Model!AC2006-Model!AC2005*'Assumptions (Biomass)'!AA$15*0.00876,0)</f>
        <v>0</v>
      </c>
      <c r="AD2011" s="90">
        <f>IF(AC2010='Assumptions (Biomass)'!$V$11,Model!AD2006-Model!AD2005*'Assumptions (Biomass)'!AB$15*0.00876,0)</f>
        <v>0</v>
      </c>
      <c r="AE2011" s="90">
        <f>IF(AD2010='Assumptions (Biomass)'!$V$11,Model!AE2006-Model!AE2005*'Assumptions (Biomass)'!AC$15*0.00876,0)</f>
        <v>0</v>
      </c>
      <c r="AF2011" s="90">
        <f>IF(AE2010='Assumptions (Biomass)'!$V$11,Model!AF2006-Model!AF2005*'Assumptions (Biomass)'!AD$15*0.00876,0)</f>
        <v>0</v>
      </c>
      <c r="AG2011" s="90">
        <f>IF(AF2010='Assumptions (Biomass)'!$V$11,Model!AG2006-Model!AG2005*'Assumptions (Biomass)'!AE$15*0.00876,0)</f>
        <v>0</v>
      </c>
      <c r="AH2011" s="90">
        <f>IF(AG2010='Assumptions (Biomass)'!$V$11,Model!AH2006-Model!AH2005*'Assumptions (Biomass)'!AF$15*0.00876,0)</f>
        <v>0</v>
      </c>
      <c r="AI2011" s="90">
        <f>IF(AH2010='Assumptions (Biomass)'!$V$11,Model!AI2006-Model!AI2005*'Assumptions (Biomass)'!AG$15*0.00876,0)</f>
        <v>0</v>
      </c>
      <c r="AJ2011" s="90">
        <f>IF(AI2010='Assumptions (Biomass)'!$V$11,Model!AJ2006-Model!AJ2005*'Assumptions (Biomass)'!AH$15*0.00876,0)</f>
        <v>0</v>
      </c>
      <c r="AK2011" s="90">
        <f>IF(AJ2010='Assumptions (Biomass)'!$V$11,Model!AK2006-Model!AK2005*'Assumptions (Biomass)'!AI$15*0.00876,0)</f>
        <v>0</v>
      </c>
      <c r="AL2011" s="90">
        <f>IF(AK2010='Assumptions (Biomass)'!$V$11,Model!AL2006-Model!AL2005*'Assumptions (Biomass)'!AJ$15*0.00876,0)</f>
        <v>0</v>
      </c>
      <c r="AM2011" s="90">
        <f>IF(AL2010='Assumptions (Biomass)'!$V$11,Model!AM2006-Model!AM2005*'Assumptions (Biomass)'!AK$15*0.00876,0)</f>
        <v>0</v>
      </c>
      <c r="AN2011" s="90">
        <f>IF(AM2010='Assumptions (Biomass)'!$V$11,Model!AN2006-Model!AN2005*'Assumptions (Biomass)'!AL$15*0.00876,0)</f>
        <v>0</v>
      </c>
      <c r="AO2011" s="90">
        <f>IF(AN2010='Assumptions (Biomass)'!$V$11,Model!AO2006-Model!AO2005*'Assumptions (Biomass)'!AM$15*0.00876,0)</f>
        <v>0</v>
      </c>
      <c r="AP2011" s="90">
        <f>IF(AO2010='Assumptions (Biomass)'!$V$11,Model!AP2006-Model!AP2005*'Assumptions (Biomass)'!AN$15*0.00876,0)</f>
        <v>0</v>
      </c>
      <c r="AQ2011" s="90">
        <f>IF(AP2010='Assumptions (Biomass)'!$V$11,Model!AQ2006-Model!AQ2005*'Assumptions (Biomass)'!AO$15*0.00876,0)</f>
        <v>0</v>
      </c>
      <c r="AR2011" s="90">
        <f>IF(AQ2010='Assumptions (Biomass)'!$V$11,Model!AR2006-Model!AR2005*'Assumptions (Biomass)'!AP$15*0.00876,0)</f>
        <v>0</v>
      </c>
      <c r="AS2011" s="90">
        <f>IF(AR2010='Assumptions (Biomass)'!$V$11,Model!AS2006-Model!AS2005*'Assumptions (Biomass)'!AQ$15*0.00876,0)</f>
        <v>0</v>
      </c>
      <c r="AT2011" s="90">
        <f>IF(AS2010='Assumptions (Biomass)'!$V$11,Model!AT2006-Model!AT2005*'Assumptions (Biomass)'!AR$15*0.00876,0)</f>
        <v>0</v>
      </c>
      <c r="AU2011" s="90">
        <f>IF(AT2010='Assumptions (Biomass)'!$V$11,Model!AU2006-Model!AU2005*'Assumptions (Biomass)'!AS$15*0.00876,0)</f>
        <v>0</v>
      </c>
      <c r="AV2011" s="90">
        <f>IF(AU2010='Assumptions (Biomass)'!$V$11,Model!AV2006-Model!AV2005*'Assumptions (Biomass)'!AT$15*0.00876,0)</f>
        <v>0</v>
      </c>
      <c r="AW2011" s="90">
        <f>IF(AV2010='Assumptions (Biomass)'!$V$11,Model!AW2006-Model!AW2005*'Assumptions (Biomass)'!AU$15*0.00876,0)</f>
        <v>0</v>
      </c>
      <c r="AX2011" s="90">
        <f>IF(AW2010='Assumptions (Biomass)'!$V$11,Model!AX2006-Model!AX2005*'Assumptions (Biomass)'!AV$15*0.00876,0)</f>
        <v>0</v>
      </c>
      <c r="AY2011" s="90">
        <f>IF(AX2010='Assumptions (Biomass)'!$V$11,Model!AY2006-Model!AY2005*'Assumptions (Biomass)'!AW$15*0.00876,0)</f>
        <v>0</v>
      </c>
      <c r="AZ2011" s="90">
        <f>IF(AY2010='Assumptions (Biomass)'!$V$11,Model!AZ2006-Model!AZ2005*'Assumptions (Biomass)'!AX$15*0.00876,0)</f>
        <v>0</v>
      </c>
      <c r="BA2011" s="90">
        <f>IF(AZ2010='Assumptions (Biomass)'!$V$11,Model!BA2006-Model!BA2005*'Assumptions (Biomass)'!AY$15*0.00876,0)</f>
        <v>0</v>
      </c>
    </row>
    <row r="2012" spans="1:53" ht="15.75" customHeight="1">
      <c r="A2012" s="442" t="s">
        <v>290</v>
      </c>
      <c r="B2012" s="99" t="s">
        <v>201</v>
      </c>
      <c r="C2012" s="91">
        <f t="shared" ref="C2012:BA2012" si="49">SUM(C2013:C2063)</f>
        <v>0.28911931954168452</v>
      </c>
      <c r="D2012" s="91">
        <f t="shared" si="49"/>
        <v>0.10807502232894606</v>
      </c>
      <c r="E2012" s="91">
        <f t="shared" si="49"/>
        <v>0.10566945318856173</v>
      </c>
      <c r="F2012" s="91">
        <f t="shared" si="49"/>
        <v>0.14916049271022008</v>
      </c>
      <c r="G2012" s="91">
        <f t="shared" si="49"/>
        <v>0.19910048522974599</v>
      </c>
      <c r="H2012" s="91">
        <f t="shared" si="49"/>
        <v>0.31464957450987496</v>
      </c>
      <c r="I2012" s="91">
        <f t="shared" si="49"/>
        <v>0.3411044668541996</v>
      </c>
      <c r="J2012" s="91">
        <f t="shared" si="49"/>
        <v>0.32360432464167982</v>
      </c>
      <c r="K2012" s="91">
        <f t="shared" si="49"/>
        <v>0.35246472866334388</v>
      </c>
      <c r="L2012" s="91">
        <f t="shared" si="49"/>
        <v>0.42215895604093001</v>
      </c>
      <c r="M2012" s="91">
        <f t="shared" si="49"/>
        <v>0.96885480411393454</v>
      </c>
      <c r="N2012" s="91">
        <f t="shared" si="49"/>
        <v>0.97421214939204326</v>
      </c>
      <c r="O2012" s="91">
        <f t="shared" si="49"/>
        <v>0.93638664768039614</v>
      </c>
      <c r="P2012" s="91">
        <f t="shared" si="49"/>
        <v>0.30831332711302839</v>
      </c>
      <c r="Q2012" s="91">
        <f t="shared" si="49"/>
        <v>0.31209459131987505</v>
      </c>
      <c r="R2012" s="91">
        <f t="shared" si="49"/>
        <v>0.18430616618839873</v>
      </c>
      <c r="S2012" s="91">
        <f t="shared" si="49"/>
        <v>0.35707900622612682</v>
      </c>
      <c r="T2012" s="91">
        <f t="shared" si="49"/>
        <v>0.27358727035604707</v>
      </c>
      <c r="U2012" s="91">
        <f t="shared" si="49"/>
        <v>0.25754565551710878</v>
      </c>
      <c r="V2012" s="91">
        <f t="shared" si="49"/>
        <v>6.3950000000000007E-2</v>
      </c>
      <c r="W2012" s="91">
        <f t="shared" si="49"/>
        <v>0</v>
      </c>
      <c r="X2012" s="91">
        <f t="shared" si="49"/>
        <v>0</v>
      </c>
      <c r="Y2012" s="91">
        <f t="shared" si="49"/>
        <v>0</v>
      </c>
      <c r="Z2012" s="91">
        <f t="shared" si="49"/>
        <v>0</v>
      </c>
      <c r="AA2012" s="91">
        <f t="shared" si="49"/>
        <v>0</v>
      </c>
      <c r="AB2012" s="91">
        <f t="shared" si="49"/>
        <v>0</v>
      </c>
      <c r="AC2012" s="91">
        <f t="shared" si="49"/>
        <v>0</v>
      </c>
      <c r="AD2012" s="91">
        <f t="shared" si="49"/>
        <v>0</v>
      </c>
      <c r="AE2012" s="91">
        <f t="shared" si="49"/>
        <v>0</v>
      </c>
      <c r="AF2012" s="91">
        <f t="shared" si="49"/>
        <v>0</v>
      </c>
      <c r="AG2012" s="91">
        <f t="shared" si="49"/>
        <v>0</v>
      </c>
      <c r="AH2012" s="91">
        <f t="shared" si="49"/>
        <v>0</v>
      </c>
      <c r="AI2012" s="91">
        <f t="shared" si="49"/>
        <v>0</v>
      </c>
      <c r="AJ2012" s="91">
        <f t="shared" si="49"/>
        <v>0</v>
      </c>
      <c r="AK2012" s="91">
        <f t="shared" si="49"/>
        <v>0</v>
      </c>
      <c r="AL2012" s="91">
        <f t="shared" si="49"/>
        <v>0</v>
      </c>
      <c r="AM2012" s="91">
        <f t="shared" si="49"/>
        <v>0</v>
      </c>
      <c r="AN2012" s="91">
        <f t="shared" si="49"/>
        <v>0</v>
      </c>
      <c r="AO2012" s="91">
        <f t="shared" si="49"/>
        <v>0</v>
      </c>
      <c r="AP2012" s="91">
        <f t="shared" si="49"/>
        <v>0</v>
      </c>
      <c r="AQ2012" s="91">
        <f t="shared" si="49"/>
        <v>0</v>
      </c>
      <c r="AR2012" s="91">
        <f t="shared" si="49"/>
        <v>0</v>
      </c>
      <c r="AS2012" s="91">
        <f t="shared" si="49"/>
        <v>0</v>
      </c>
      <c r="AT2012" s="91">
        <f t="shared" si="49"/>
        <v>0</v>
      </c>
      <c r="AU2012" s="91">
        <f t="shared" si="49"/>
        <v>0</v>
      </c>
      <c r="AV2012" s="91">
        <f t="shared" si="49"/>
        <v>0</v>
      </c>
      <c r="AW2012" s="91">
        <f t="shared" si="49"/>
        <v>0</v>
      </c>
      <c r="AX2012" s="91">
        <f t="shared" si="49"/>
        <v>0</v>
      </c>
      <c r="AY2012" s="91">
        <f t="shared" si="49"/>
        <v>0</v>
      </c>
      <c r="AZ2012" s="91">
        <f t="shared" si="49"/>
        <v>0</v>
      </c>
      <c r="BA2012" s="91">
        <f t="shared" si="49"/>
        <v>0</v>
      </c>
    </row>
    <row r="2013" spans="1:53" ht="15.75" hidden="1" customHeight="1" outlineLevel="1">
      <c r="A2013" s="441"/>
      <c r="B2013" s="99"/>
      <c r="C2013" s="91">
        <f>IF($C$2010&gt;0,3*'Assumptions (Biomass)'!$V$13*Model!$C$2010*'Assumptions (Biomass)'!B$2/10^9,0)</f>
        <v>1.6526022432867944E-2</v>
      </c>
      <c r="D2013" s="105"/>
      <c r="E2013" s="105"/>
      <c r="F2013" s="105"/>
      <c r="G2013" s="105"/>
      <c r="H2013" s="105"/>
      <c r="I2013" s="105"/>
      <c r="J2013" s="105"/>
      <c r="K2013" s="105"/>
      <c r="L2013" s="105"/>
      <c r="M2013" s="105"/>
      <c r="N2013" s="105"/>
      <c r="O2013" s="105"/>
      <c r="P2013" s="105"/>
      <c r="Q2013" s="105"/>
      <c r="R2013" s="105"/>
      <c r="S2013" s="105"/>
      <c r="T2013" s="105"/>
      <c r="U2013" s="105"/>
      <c r="V2013" s="99"/>
      <c r="W2013" s="147"/>
      <c r="X2013" s="147"/>
      <c r="Y2013" s="147"/>
      <c r="Z2013" s="147"/>
      <c r="AA2013" s="147"/>
      <c r="AB2013" s="147"/>
      <c r="AC2013" s="147"/>
      <c r="AD2013" s="147"/>
      <c r="AE2013" s="147"/>
      <c r="AF2013" s="147"/>
      <c r="AG2013" s="147"/>
      <c r="AH2013" s="147"/>
      <c r="AI2013" s="147"/>
      <c r="AJ2013" s="147"/>
      <c r="AK2013" s="147"/>
      <c r="AL2013" s="147"/>
      <c r="AM2013" s="147"/>
      <c r="AN2013" s="147"/>
      <c r="AO2013" s="147"/>
      <c r="AP2013" s="147"/>
      <c r="AQ2013" s="147"/>
      <c r="AR2013" s="147"/>
      <c r="AS2013" s="147"/>
      <c r="AT2013" s="147"/>
      <c r="AU2013" s="147"/>
      <c r="AV2013" s="147"/>
      <c r="AW2013" s="147"/>
      <c r="AX2013" s="147"/>
      <c r="AY2013" s="147"/>
      <c r="AZ2013" s="147"/>
      <c r="BA2013" s="147"/>
    </row>
    <row r="2014" spans="1:53" ht="15.75" hidden="1" customHeight="1" outlineLevel="1">
      <c r="A2014" s="441"/>
      <c r="B2014" s="99"/>
      <c r="C2014" s="91">
        <f>IF($D$2010&gt;0,3*'Assumptions (Biomass)'!$V$13*Model!$D$2010*'Assumptions (Biomass)'!B$2/10^9,0)</f>
        <v>0.21019034781803919</v>
      </c>
      <c r="D2014" s="91"/>
      <c r="E2014" s="91"/>
      <c r="F2014" s="91"/>
      <c r="G2014" s="91"/>
      <c r="H2014" s="91"/>
      <c r="I2014" s="91"/>
      <c r="J2014" s="91"/>
      <c r="K2014" s="91"/>
      <c r="L2014" s="91"/>
      <c r="M2014" s="105"/>
      <c r="N2014" s="105"/>
      <c r="O2014" s="105"/>
      <c r="P2014" s="105"/>
      <c r="Q2014" s="105"/>
      <c r="R2014" s="105"/>
      <c r="S2014" s="105"/>
      <c r="T2014" s="105"/>
      <c r="U2014" s="105"/>
      <c r="V2014" s="99"/>
      <c r="W2014" s="147"/>
      <c r="X2014" s="147"/>
      <c r="Y2014" s="147"/>
      <c r="Z2014" s="147"/>
      <c r="AA2014" s="147"/>
      <c r="AB2014" s="147"/>
      <c r="AC2014" s="147"/>
      <c r="AD2014" s="147"/>
      <c r="AE2014" s="147"/>
      <c r="AF2014" s="147"/>
      <c r="AG2014" s="147"/>
      <c r="AH2014" s="147"/>
      <c r="AI2014" s="147"/>
      <c r="AJ2014" s="147"/>
      <c r="AK2014" s="147"/>
      <c r="AL2014" s="147"/>
      <c r="AM2014" s="147"/>
      <c r="AN2014" s="147"/>
      <c r="AO2014" s="147"/>
      <c r="AP2014" s="147"/>
      <c r="AQ2014" s="147"/>
      <c r="AR2014" s="147"/>
      <c r="AS2014" s="147"/>
      <c r="AT2014" s="147"/>
      <c r="AU2014" s="147"/>
      <c r="AV2014" s="147"/>
      <c r="AW2014" s="147"/>
      <c r="AX2014" s="147"/>
      <c r="AY2014" s="147"/>
      <c r="AZ2014" s="147"/>
      <c r="BA2014" s="147"/>
    </row>
    <row r="2015" spans="1:53" ht="15.75" hidden="1" customHeight="1" outlineLevel="1">
      <c r="A2015" s="441"/>
      <c r="B2015" s="99"/>
      <c r="C2015" s="91">
        <f>IF($E$2010&gt;0,2*'Assumptions (Biomass)'!$V$13*Model!$E$2010*'Assumptions (Biomass)'!B$2/10^9,0)</f>
        <v>1.1878078623623835E-2</v>
      </c>
      <c r="D2015" s="91">
        <f>IF($E$2010&gt;0,'Assumptions (Biomass)'!$V$13*Model!$E$2010*'Assumptions (Biomass)'!C$2/10^9,0)</f>
        <v>6.0578200980481549E-3</v>
      </c>
      <c r="E2015" s="91"/>
      <c r="F2015" s="91"/>
      <c r="G2015" s="91"/>
      <c r="H2015" s="91"/>
      <c r="I2015" s="91"/>
      <c r="J2015" s="91"/>
      <c r="K2015" s="91"/>
      <c r="L2015" s="91"/>
      <c r="M2015" s="105"/>
      <c r="N2015" s="105"/>
      <c r="O2015" s="105"/>
      <c r="P2015" s="105"/>
      <c r="Q2015" s="105"/>
      <c r="R2015" s="105"/>
      <c r="S2015" s="105"/>
      <c r="T2015" s="105"/>
      <c r="U2015" s="105"/>
      <c r="V2015" s="99"/>
      <c r="W2015" s="147"/>
      <c r="X2015" s="147"/>
      <c r="Y2015" s="147"/>
      <c r="Z2015" s="147"/>
      <c r="AA2015" s="147"/>
      <c r="AB2015" s="147"/>
      <c r="AC2015" s="147"/>
      <c r="AD2015" s="147"/>
      <c r="AE2015" s="147"/>
      <c r="AF2015" s="147"/>
      <c r="AG2015" s="147"/>
      <c r="AH2015" s="147"/>
      <c r="AI2015" s="147"/>
      <c r="AJ2015" s="147"/>
      <c r="AK2015" s="147"/>
      <c r="AL2015" s="147"/>
      <c r="AM2015" s="147"/>
      <c r="AN2015" s="147"/>
      <c r="AO2015" s="147"/>
      <c r="AP2015" s="147"/>
      <c r="AQ2015" s="147"/>
      <c r="AR2015" s="147"/>
      <c r="AS2015" s="147"/>
      <c r="AT2015" s="147"/>
      <c r="AU2015" s="147"/>
      <c r="AV2015" s="147"/>
      <c r="AW2015" s="147"/>
      <c r="AX2015" s="147"/>
      <c r="AY2015" s="147"/>
      <c r="AZ2015" s="147"/>
      <c r="BA2015" s="147"/>
    </row>
    <row r="2016" spans="1:53" ht="15.75" hidden="1" customHeight="1" outlineLevel="1">
      <c r="A2016" s="441"/>
      <c r="B2016" s="99"/>
      <c r="C2016" s="91">
        <f>IF($F$2010&gt;0,'Assumptions (Biomass)'!$V$13*Model!$F$2010*'Assumptions (Biomass)'!B$2/10^9,0)</f>
        <v>5.0524870667153561E-2</v>
      </c>
      <c r="D2016" s="91">
        <f>IF($F$2010&gt;0,'Assumptions (Biomass)'!$V$13*Model!$F$2010*'Assumptions (Biomass)'!C$2/10^9,0)</f>
        <v>5.1535368080496621E-2</v>
      </c>
      <c r="E2016" s="91">
        <f>IF($F$2010&gt;0,'Assumptions (Biomass)'!$V$13*Model!$F$2010*'Assumptions (Biomass)'!D$2/10^9,0)</f>
        <v>5.2566075442106557E-2</v>
      </c>
      <c r="F2016" s="91"/>
      <c r="G2016" s="91"/>
      <c r="H2016" s="91"/>
      <c r="I2016" s="91"/>
      <c r="J2016" s="91"/>
      <c r="K2016" s="91"/>
      <c r="L2016" s="91"/>
      <c r="M2016" s="105"/>
      <c r="N2016" s="105"/>
      <c r="O2016" s="105"/>
      <c r="P2016" s="105"/>
      <c r="Q2016" s="105"/>
      <c r="R2016" s="105"/>
      <c r="S2016" s="105"/>
      <c r="T2016" s="105"/>
      <c r="U2016" s="105"/>
      <c r="V2016" s="99"/>
      <c r="W2016" s="147"/>
      <c r="X2016" s="147"/>
      <c r="Y2016" s="147"/>
      <c r="Z2016" s="147"/>
      <c r="AA2016" s="147"/>
      <c r="AB2016" s="147"/>
      <c r="AC2016" s="147"/>
      <c r="AD2016" s="147"/>
      <c r="AE2016" s="147"/>
      <c r="AF2016" s="147"/>
      <c r="AG2016" s="147"/>
      <c r="AH2016" s="147"/>
      <c r="AI2016" s="147"/>
      <c r="AJ2016" s="147"/>
      <c r="AK2016" s="147"/>
      <c r="AL2016" s="147"/>
      <c r="AM2016" s="147"/>
      <c r="AN2016" s="147"/>
      <c r="AO2016" s="147"/>
      <c r="AP2016" s="147"/>
      <c r="AQ2016" s="147"/>
      <c r="AR2016" s="147"/>
      <c r="AS2016" s="147"/>
      <c r="AT2016" s="147"/>
      <c r="AU2016" s="147"/>
      <c r="AV2016" s="147"/>
      <c r="AW2016" s="147"/>
      <c r="AX2016" s="147"/>
      <c r="AY2016" s="147"/>
      <c r="AZ2016" s="147"/>
      <c r="BA2016" s="147"/>
    </row>
    <row r="2017" spans="1:53" ht="15.75" hidden="1" customHeight="1" outlineLevel="1">
      <c r="A2017" s="441"/>
      <c r="B2017" s="99"/>
      <c r="C2017" s="91"/>
      <c r="D2017" s="91">
        <f>IF($G$2010&gt;0,'Assumptions (Biomass)'!$V$13*Model!$G$2010*'Assumptions (Biomass)'!C$2/10^9,0)</f>
        <v>5.0481834150401285E-2</v>
      </c>
      <c r="E2017" s="91">
        <f>IF($G$2010&gt;0,'Assumptions (Biomass)'!$V$13*Model!$G$2010*'Assumptions (Biomass)'!D$2/10^9,0)</f>
        <v>5.1491470833409318E-2</v>
      </c>
      <c r="F2017" s="91">
        <f>IF($G$2010&gt;0,'Assumptions (Biomass)'!$V$13*Model!$G$2010*'Assumptions (Biomass)'!E$2/10^9,0)</f>
        <v>5.25213002500775E-2</v>
      </c>
      <c r="G2017" s="91"/>
      <c r="H2017" s="91"/>
      <c r="I2017" s="91"/>
      <c r="J2017" s="91"/>
      <c r="K2017" s="91"/>
      <c r="L2017" s="91"/>
      <c r="M2017" s="105"/>
      <c r="N2017" s="105"/>
      <c r="O2017" s="105"/>
      <c r="P2017" s="105"/>
      <c r="Q2017" s="105"/>
      <c r="R2017" s="105"/>
      <c r="S2017" s="105"/>
      <c r="T2017" s="105"/>
      <c r="U2017" s="105"/>
      <c r="V2017" s="99"/>
      <c r="W2017" s="147"/>
      <c r="X2017" s="147"/>
      <c r="Y2017" s="147"/>
      <c r="Z2017" s="147"/>
      <c r="AA2017" s="147"/>
      <c r="AB2017" s="147"/>
      <c r="AC2017" s="147"/>
      <c r="AD2017" s="147"/>
      <c r="AE2017" s="147"/>
      <c r="AF2017" s="147"/>
      <c r="AG2017" s="147"/>
      <c r="AH2017" s="147"/>
      <c r="AI2017" s="147"/>
      <c r="AJ2017" s="147"/>
      <c r="AK2017" s="147"/>
      <c r="AL2017" s="147"/>
      <c r="AM2017" s="147"/>
      <c r="AN2017" s="147"/>
      <c r="AO2017" s="147"/>
      <c r="AP2017" s="147"/>
      <c r="AQ2017" s="147"/>
      <c r="AR2017" s="147"/>
      <c r="AS2017" s="147"/>
      <c r="AT2017" s="147"/>
      <c r="AU2017" s="147"/>
      <c r="AV2017" s="147"/>
      <c r="AW2017" s="147"/>
      <c r="AX2017" s="147"/>
      <c r="AY2017" s="147"/>
      <c r="AZ2017" s="147"/>
      <c r="BA2017" s="147"/>
    </row>
    <row r="2018" spans="1:53" ht="15.75" hidden="1" customHeight="1" outlineLevel="1">
      <c r="A2018" s="441"/>
      <c r="B2018" s="99"/>
      <c r="C2018" s="91"/>
      <c r="D2018" s="91"/>
      <c r="E2018" s="91">
        <f>IF($H$2010&gt;0,'Assumptions (Biomass)'!$V$13*Model!$H$2010*'Assumptions (Biomass)'!D$2/10^9,0)</f>
        <v>1.6119069130458568E-3</v>
      </c>
      <c r="F2018" s="91">
        <f>IF($H$2010&gt;0,'Assumptions (Biomass)'!$V$13*Model!$H$2010*'Assumptions (Biomass)'!E$2/10^9,0)</f>
        <v>1.6441450513067742E-3</v>
      </c>
      <c r="G2018" s="91">
        <f>IF($H$2010&gt;0,'Assumptions (Biomass)'!$V$13*Model!$H$2010*'Assumptions (Biomass)'!F$2/10^9,0)</f>
        <v>1.6770279523329098E-3</v>
      </c>
      <c r="H2018" s="91"/>
      <c r="I2018" s="91"/>
      <c r="J2018" s="91"/>
      <c r="K2018" s="91"/>
      <c r="L2018" s="91"/>
      <c r="M2018" s="105"/>
      <c r="N2018" s="105"/>
      <c r="O2018" s="105"/>
      <c r="P2018" s="105"/>
      <c r="Q2018" s="105"/>
      <c r="R2018" s="105"/>
      <c r="S2018" s="105"/>
      <c r="T2018" s="105"/>
      <c r="U2018" s="105"/>
      <c r="V2018" s="99"/>
      <c r="W2018" s="147"/>
      <c r="X2018" s="147"/>
      <c r="Y2018" s="147"/>
      <c r="Z2018" s="147"/>
      <c r="AA2018" s="147"/>
      <c r="AB2018" s="147"/>
      <c r="AC2018" s="147"/>
      <c r="AD2018" s="147"/>
      <c r="AE2018" s="147"/>
      <c r="AF2018" s="147"/>
      <c r="AG2018" s="147"/>
      <c r="AH2018" s="147"/>
      <c r="AI2018" s="147"/>
      <c r="AJ2018" s="147"/>
      <c r="AK2018" s="147"/>
      <c r="AL2018" s="147"/>
      <c r="AM2018" s="147"/>
      <c r="AN2018" s="147"/>
      <c r="AO2018" s="147"/>
      <c r="AP2018" s="147"/>
      <c r="AQ2018" s="147"/>
      <c r="AR2018" s="147"/>
      <c r="AS2018" s="147"/>
      <c r="AT2018" s="147"/>
      <c r="AU2018" s="147"/>
      <c r="AV2018" s="147"/>
      <c r="AW2018" s="147"/>
      <c r="AX2018" s="147"/>
      <c r="AY2018" s="147"/>
      <c r="AZ2018" s="147"/>
      <c r="BA2018" s="147"/>
    </row>
    <row r="2019" spans="1:53" ht="15.75" hidden="1" customHeight="1" outlineLevel="1">
      <c r="A2019" s="441"/>
      <c r="B2019" s="99"/>
      <c r="C2019" s="91"/>
      <c r="D2019" s="91"/>
      <c r="E2019" s="91"/>
      <c r="F2019" s="91">
        <f>IF($I$2010&gt;0,'Assumptions (Biomass)'!$V$13*Model!$I$2010*'Assumptions (Biomass)'!E$2/10^9,0)</f>
        <v>9.4995047408835825E-2</v>
      </c>
      <c r="G2019" s="91">
        <f>IF($I$2010&gt;0,'Assumptions (Biomass)'!$V$13*Model!$I$2010*'Assumptions (Biomass)'!F$2/10^9,0)</f>
        <v>9.6894948357012553E-2</v>
      </c>
      <c r="H2019" s="91">
        <f>IF($I$2010&gt;0,'Assumptions (Biomass)'!$V$13*Model!$I$2010*'Assumptions (Biomass)'!G$2/10^9,0)</f>
        <v>9.8832847324152817E-2</v>
      </c>
      <c r="I2019" s="91"/>
      <c r="J2019" s="91"/>
      <c r="K2019" s="91"/>
      <c r="L2019" s="91"/>
      <c r="M2019" s="105"/>
      <c r="N2019" s="105"/>
      <c r="O2019" s="105"/>
      <c r="P2019" s="105"/>
      <c r="Q2019" s="105"/>
      <c r="R2019" s="105"/>
      <c r="S2019" s="105"/>
      <c r="T2019" s="105"/>
      <c r="U2019" s="105"/>
      <c r="V2019" s="99"/>
      <c r="W2019" s="147"/>
      <c r="X2019" s="147"/>
      <c r="Y2019" s="147"/>
      <c r="Z2019" s="147"/>
      <c r="AA2019" s="147"/>
      <c r="AB2019" s="147"/>
      <c r="AC2019" s="147"/>
      <c r="AD2019" s="147"/>
      <c r="AE2019" s="147"/>
      <c r="AF2019" s="147"/>
      <c r="AG2019" s="147"/>
      <c r="AH2019" s="147"/>
      <c r="AI2019" s="147"/>
      <c r="AJ2019" s="147"/>
      <c r="AK2019" s="147"/>
      <c r="AL2019" s="147"/>
      <c r="AM2019" s="147"/>
      <c r="AN2019" s="147"/>
      <c r="AO2019" s="147"/>
      <c r="AP2019" s="147"/>
      <c r="AQ2019" s="147"/>
      <c r="AR2019" s="147"/>
      <c r="AS2019" s="147"/>
      <c r="AT2019" s="147"/>
      <c r="AU2019" s="147"/>
      <c r="AV2019" s="147"/>
      <c r="AW2019" s="147"/>
      <c r="AX2019" s="147"/>
      <c r="AY2019" s="147"/>
      <c r="AZ2019" s="147"/>
      <c r="BA2019" s="147"/>
    </row>
    <row r="2020" spans="1:53" ht="15.75" hidden="1" customHeight="1" outlineLevel="1">
      <c r="A2020" s="441"/>
      <c r="B2020" s="99"/>
      <c r="C2020" s="91"/>
      <c r="D2020" s="91"/>
      <c r="E2020" s="91"/>
      <c r="F2020" s="91"/>
      <c r="G2020" s="91">
        <f>IF($J$2010&gt;0,'Assumptions (Biomass)'!$V$13*Model!$J$2010*'Assumptions (Biomass)'!F$2/10^9,0)</f>
        <v>0.10052850892040055</v>
      </c>
      <c r="H2020" s="91">
        <f>IF($J$2010&gt;0,'Assumptions (Biomass)'!$V$13*Model!$J$2010*'Assumptions (Biomass)'!G$2/10^9,0)</f>
        <v>0.10253907909880854</v>
      </c>
      <c r="I2020" s="91">
        <f>IF($J$2010&gt;0,'Assumptions (Biomass)'!$V$13*Model!$J$2010*'Assumptions (Biomass)'!H$2/10^9,0)</f>
        <v>0.10458986068078471</v>
      </c>
      <c r="J2020" s="91"/>
      <c r="K2020" s="91"/>
      <c r="L2020" s="91"/>
      <c r="M2020" s="105"/>
      <c r="N2020" s="105"/>
      <c r="O2020" s="105"/>
      <c r="P2020" s="105"/>
      <c r="Q2020" s="105"/>
      <c r="R2020" s="105"/>
      <c r="S2020" s="105"/>
      <c r="T2020" s="105"/>
      <c r="U2020" s="105"/>
      <c r="V2020" s="99"/>
      <c r="W2020" s="147"/>
      <c r="X2020" s="147"/>
      <c r="Y2020" s="147"/>
      <c r="Z2020" s="147"/>
      <c r="AA2020" s="147"/>
      <c r="AB2020" s="147"/>
      <c r="AC2020" s="147"/>
      <c r="AD2020" s="147"/>
      <c r="AE2020" s="147"/>
      <c r="AF2020" s="147"/>
      <c r="AG2020" s="147"/>
      <c r="AH2020" s="147"/>
      <c r="AI2020" s="147"/>
      <c r="AJ2020" s="147"/>
      <c r="AK2020" s="147"/>
      <c r="AL2020" s="147"/>
      <c r="AM2020" s="147"/>
      <c r="AN2020" s="147"/>
      <c r="AO2020" s="147"/>
      <c r="AP2020" s="147"/>
      <c r="AQ2020" s="147"/>
      <c r="AR2020" s="147"/>
      <c r="AS2020" s="147"/>
      <c r="AT2020" s="147"/>
      <c r="AU2020" s="147"/>
      <c r="AV2020" s="147"/>
      <c r="AW2020" s="147"/>
      <c r="AX2020" s="147"/>
      <c r="AY2020" s="147"/>
      <c r="AZ2020" s="147"/>
      <c r="BA2020" s="147"/>
    </row>
    <row r="2021" spans="1:53" ht="15.75" hidden="1" customHeight="1" outlineLevel="1">
      <c r="A2021" s="441"/>
      <c r="B2021" s="99"/>
      <c r="C2021" s="91"/>
      <c r="D2021" s="91"/>
      <c r="E2021" s="91"/>
      <c r="F2021" s="91"/>
      <c r="G2021" s="91"/>
      <c r="H2021" s="91">
        <f>IF($K$2010&gt;0,'Assumptions (Biomass)'!$V$13*Model!$K$2010*'Assumptions (Biomass)'!G$2/10^9,0)</f>
        <v>0.11327764808691361</v>
      </c>
      <c r="I2021" s="91">
        <f>IF($K$2010&gt;0,'Assumptions (Biomass)'!$V$13*Model!$K$2010*'Assumptions (Biomass)'!H$2/10^9,0)</f>
        <v>0.11554320104865189</v>
      </c>
      <c r="J2021" s="91">
        <f>IF($K$2010&gt;0,'Assumptions (Biomass)'!$V$13*Model!$K$2010*'Assumptions (Biomass)'!I$2/10^9,0)</f>
        <v>0.11785406506962492</v>
      </c>
      <c r="K2021" s="91"/>
      <c r="L2021" s="91"/>
      <c r="M2021" s="105"/>
      <c r="N2021" s="105"/>
      <c r="O2021" s="105"/>
      <c r="P2021" s="105"/>
      <c r="Q2021" s="105"/>
      <c r="R2021" s="105"/>
      <c r="S2021" s="105"/>
      <c r="T2021" s="105"/>
      <c r="U2021" s="105"/>
      <c r="V2021" s="99"/>
      <c r="W2021" s="147"/>
      <c r="X2021" s="147"/>
      <c r="Y2021" s="147"/>
      <c r="Z2021" s="147"/>
      <c r="AA2021" s="147"/>
      <c r="AB2021" s="147"/>
      <c r="AC2021" s="147"/>
      <c r="AD2021" s="147"/>
      <c r="AE2021" s="147"/>
      <c r="AF2021" s="147"/>
      <c r="AG2021" s="147"/>
      <c r="AH2021" s="147"/>
      <c r="AI2021" s="147"/>
      <c r="AJ2021" s="147"/>
      <c r="AK2021" s="147"/>
      <c r="AL2021" s="147"/>
      <c r="AM2021" s="147"/>
      <c r="AN2021" s="147"/>
      <c r="AO2021" s="147"/>
      <c r="AP2021" s="147"/>
      <c r="AQ2021" s="147"/>
      <c r="AR2021" s="147"/>
      <c r="AS2021" s="147"/>
      <c r="AT2021" s="147"/>
      <c r="AU2021" s="147"/>
      <c r="AV2021" s="147"/>
      <c r="AW2021" s="147"/>
      <c r="AX2021" s="147"/>
      <c r="AY2021" s="147"/>
      <c r="AZ2021" s="147"/>
      <c r="BA2021" s="147"/>
    </row>
    <row r="2022" spans="1:53" ht="15.75" hidden="1" customHeight="1" outlineLevel="1">
      <c r="A2022" s="441"/>
      <c r="B2022" s="99"/>
      <c r="C2022" s="91"/>
      <c r="D2022" s="91"/>
      <c r="E2022" s="91"/>
      <c r="F2022" s="91"/>
      <c r="G2022" s="91"/>
      <c r="H2022" s="91"/>
      <c r="I2022" s="91">
        <f>IF($L$2010&gt;0,'Assumptions (Biomass)'!$V$13*Model!$L$2010*'Assumptions (Biomass)'!H$2/10^9,0)</f>
        <v>0.12097140512476302</v>
      </c>
      <c r="J2022" s="91">
        <f>IF($L$2010&gt;0,'Assumptions (Biomass)'!$V$13*Model!$L$2010*'Assumptions (Biomass)'!I$2/10^9,0)</f>
        <v>0.1233908332272583</v>
      </c>
      <c r="K2022" s="91">
        <f>IF($L$2010&gt;0,'Assumptions (Biomass)'!$V$13*Model!$L$2010*'Assumptions (Biomass)'!J$2/10^9,0)</f>
        <v>0.12585864989180345</v>
      </c>
      <c r="L2022" s="91"/>
      <c r="M2022" s="105"/>
      <c r="N2022" s="105"/>
      <c r="O2022" s="105"/>
      <c r="P2022" s="105"/>
      <c r="Q2022" s="105"/>
      <c r="R2022" s="105"/>
      <c r="S2022" s="105"/>
      <c r="T2022" s="105"/>
      <c r="U2022" s="105"/>
      <c r="V2022" s="99"/>
      <c r="W2022" s="147"/>
      <c r="X2022" s="147"/>
      <c r="Y2022" s="147"/>
      <c r="Z2022" s="147"/>
      <c r="AA2022" s="147"/>
      <c r="AB2022" s="147"/>
      <c r="AC2022" s="147"/>
      <c r="AD2022" s="147"/>
      <c r="AE2022" s="147"/>
      <c r="AF2022" s="147"/>
      <c r="AG2022" s="147"/>
      <c r="AH2022" s="147"/>
      <c r="AI2022" s="147"/>
      <c r="AJ2022" s="147"/>
      <c r="AK2022" s="147"/>
      <c r="AL2022" s="147"/>
      <c r="AM2022" s="147"/>
      <c r="AN2022" s="147"/>
      <c r="AO2022" s="147"/>
      <c r="AP2022" s="147"/>
      <c r="AQ2022" s="147"/>
      <c r="AR2022" s="147"/>
      <c r="AS2022" s="147"/>
      <c r="AT2022" s="147"/>
      <c r="AU2022" s="147"/>
      <c r="AV2022" s="147"/>
      <c r="AW2022" s="147"/>
      <c r="AX2022" s="147"/>
      <c r="AY2022" s="147"/>
      <c r="AZ2022" s="147"/>
      <c r="BA2022" s="147"/>
    </row>
    <row r="2023" spans="1:53" ht="15.75" hidden="1" customHeight="1" outlineLevel="1">
      <c r="A2023" s="441"/>
      <c r="B2023" s="99"/>
      <c r="C2023" s="91"/>
      <c r="D2023" s="91"/>
      <c r="E2023" s="91"/>
      <c r="F2023" s="91"/>
      <c r="G2023" s="91"/>
      <c r="H2023" s="91"/>
      <c r="I2023" s="91"/>
      <c r="J2023" s="91">
        <f>IF($M$2010&gt;0,'Assumptions (Biomass)'!$V$13*Model!$M$2010*'Assumptions (Biomass)'!I$2/10^9,0)</f>
        <v>8.2359426344796607E-2</v>
      </c>
      <c r="K2023" s="91">
        <f>IF($M$2010&gt;0,'Assumptions (Biomass)'!$V$13*Model!$M$2010*'Assumptions (Biomass)'!J$2/10^9,0)</f>
        <v>8.4006614871692559E-2</v>
      </c>
      <c r="L2023" s="91">
        <f>IF($M$2010&gt;0,'Assumptions (Biomass)'!$V$13*Model!$M$2010*'Assumptions (Biomass)'!K$2/10^9,0)</f>
        <v>8.5686747169126387E-2</v>
      </c>
      <c r="M2023" s="105"/>
      <c r="N2023" s="105"/>
      <c r="O2023" s="105"/>
      <c r="P2023" s="105"/>
      <c r="Q2023" s="105"/>
      <c r="R2023" s="105"/>
      <c r="S2023" s="105"/>
      <c r="T2023" s="105"/>
      <c r="U2023" s="105"/>
      <c r="V2023" s="99"/>
      <c r="W2023" s="147"/>
      <c r="X2023" s="147"/>
      <c r="Y2023" s="147"/>
      <c r="Z2023" s="147"/>
      <c r="AA2023" s="147"/>
      <c r="AB2023" s="147"/>
      <c r="AC2023" s="147"/>
      <c r="AD2023" s="147"/>
      <c r="AE2023" s="147"/>
      <c r="AF2023" s="147"/>
      <c r="AG2023" s="147"/>
      <c r="AH2023" s="147"/>
      <c r="AI2023" s="147"/>
      <c r="AJ2023" s="147"/>
      <c r="AK2023" s="147"/>
      <c r="AL2023" s="147"/>
      <c r="AM2023" s="147"/>
      <c r="AN2023" s="147"/>
      <c r="AO2023" s="147"/>
      <c r="AP2023" s="147"/>
      <c r="AQ2023" s="147"/>
      <c r="AR2023" s="147"/>
      <c r="AS2023" s="147"/>
      <c r="AT2023" s="147"/>
      <c r="AU2023" s="147"/>
      <c r="AV2023" s="147"/>
      <c r="AW2023" s="147"/>
      <c r="AX2023" s="147"/>
      <c r="AY2023" s="147"/>
      <c r="AZ2023" s="147"/>
      <c r="BA2023" s="147"/>
    </row>
    <row r="2024" spans="1:53" ht="15.75" hidden="1" customHeight="1" outlineLevel="1">
      <c r="A2024" s="441"/>
      <c r="B2024" s="99"/>
      <c r="C2024" s="105"/>
      <c r="D2024" s="105"/>
      <c r="E2024" s="105"/>
      <c r="F2024" s="105"/>
      <c r="G2024" s="105"/>
      <c r="H2024" s="105"/>
      <c r="I2024" s="105"/>
      <c r="J2024" s="105"/>
      <c r="K2024" s="105">
        <f>IF($N$2010&gt;0,'Assumptions (Biomass)'!$V$13*Model!$N$2010*'Assumptions (Biomass)'!J$2/10^9,0)</f>
        <v>0.14259946389984787</v>
      </c>
      <c r="L2024" s="105">
        <f>IF($N$2010&gt;0,'Assumptions (Biomass)'!$V$13*Model!$N$2010*'Assumptions (Biomass)'!K$2/10^9,0)</f>
        <v>0.14545145317784483</v>
      </c>
      <c r="M2024" s="105">
        <f>IF($N$2010&gt;0,'Assumptions (Biomass)'!$V$13*Model!$N$2010*'Assumptions (Biomass)'!L$2/10^9,0)</f>
        <v>0.14836048224140172</v>
      </c>
      <c r="N2024" s="105"/>
      <c r="O2024" s="105"/>
      <c r="P2024" s="105"/>
      <c r="Q2024" s="105"/>
      <c r="R2024" s="105"/>
      <c r="S2024" s="105"/>
      <c r="T2024" s="105"/>
      <c r="U2024" s="105"/>
      <c r="V2024" s="99"/>
      <c r="W2024" s="147"/>
      <c r="X2024" s="147"/>
      <c r="Y2024" s="147"/>
      <c r="Z2024" s="147"/>
      <c r="AA2024" s="147"/>
      <c r="AB2024" s="147"/>
      <c r="AC2024" s="147"/>
      <c r="AD2024" s="147"/>
      <c r="AE2024" s="147"/>
      <c r="AF2024" s="147"/>
      <c r="AG2024" s="147"/>
      <c r="AH2024" s="147"/>
      <c r="AI2024" s="147"/>
      <c r="AJ2024" s="147"/>
      <c r="AK2024" s="147"/>
      <c r="AL2024" s="147"/>
      <c r="AM2024" s="147"/>
      <c r="AN2024" s="147"/>
      <c r="AO2024" s="147"/>
      <c r="AP2024" s="147"/>
      <c r="AQ2024" s="147"/>
      <c r="AR2024" s="147"/>
      <c r="AS2024" s="147"/>
      <c r="AT2024" s="147"/>
      <c r="AU2024" s="147"/>
      <c r="AV2024" s="147"/>
      <c r="AW2024" s="147"/>
      <c r="AX2024" s="147"/>
      <c r="AY2024" s="147"/>
      <c r="AZ2024" s="147"/>
      <c r="BA2024" s="147"/>
    </row>
    <row r="2025" spans="1:53" ht="15.75" hidden="1" customHeight="1" outlineLevel="1">
      <c r="A2025" s="441"/>
      <c r="B2025" s="99"/>
      <c r="C2025" s="105"/>
      <c r="D2025" s="105"/>
      <c r="E2025" s="105"/>
      <c r="F2025" s="105"/>
      <c r="G2025" s="105"/>
      <c r="H2025" s="105"/>
      <c r="I2025" s="105"/>
      <c r="J2025" s="105"/>
      <c r="K2025" s="105"/>
      <c r="L2025" s="105">
        <f>IF($O$2010&gt;0,'Assumptions (Biomass)'!$V$13*Model!$O$2010*'Assumptions (Biomass)'!K$2/10^9,0)</f>
        <v>0.19102075569395882</v>
      </c>
      <c r="M2025" s="105">
        <f>IF($O$2010&gt;0,'Assumptions (Biomass)'!$V$13*Model!$O$2010*'Assumptions (Biomass)'!L$2/10^9,0)</f>
        <v>0.19484117080783803</v>
      </c>
      <c r="N2025" s="105">
        <f>IF($O$2010&gt;0,'Assumptions (Biomass)'!$V$13*Model!$O$2010*'Assumptions (Biomass)'!M$2/10^9,0)</f>
        <v>0.19873799422399477</v>
      </c>
      <c r="O2025" s="105"/>
      <c r="P2025" s="105"/>
      <c r="Q2025" s="105"/>
      <c r="R2025" s="105"/>
      <c r="S2025" s="105"/>
      <c r="T2025" s="105"/>
      <c r="U2025" s="105"/>
      <c r="V2025" s="99"/>
      <c r="W2025" s="147"/>
      <c r="X2025" s="147"/>
      <c r="Y2025" s="147"/>
      <c r="Z2025" s="147"/>
      <c r="AA2025" s="147"/>
      <c r="AB2025" s="147"/>
      <c r="AC2025" s="147"/>
      <c r="AD2025" s="147"/>
      <c r="AE2025" s="147"/>
      <c r="AF2025" s="147"/>
      <c r="AG2025" s="147"/>
      <c r="AH2025" s="147"/>
      <c r="AI2025" s="147"/>
      <c r="AJ2025" s="147"/>
      <c r="AK2025" s="147"/>
      <c r="AL2025" s="147"/>
      <c r="AM2025" s="147"/>
      <c r="AN2025" s="147"/>
      <c r="AO2025" s="147"/>
      <c r="AP2025" s="147"/>
      <c r="AQ2025" s="147"/>
      <c r="AR2025" s="147"/>
      <c r="AS2025" s="147"/>
      <c r="AT2025" s="147"/>
      <c r="AU2025" s="147"/>
      <c r="AV2025" s="147"/>
      <c r="AW2025" s="147"/>
      <c r="AX2025" s="147"/>
      <c r="AY2025" s="147"/>
      <c r="AZ2025" s="147"/>
      <c r="BA2025" s="147"/>
    </row>
    <row r="2026" spans="1:53" ht="15.75" hidden="1" customHeight="1" outlineLevel="1">
      <c r="A2026" s="441"/>
      <c r="B2026" s="99"/>
      <c r="C2026" s="105"/>
      <c r="D2026" s="105"/>
      <c r="E2026" s="105"/>
      <c r="F2026" s="105"/>
      <c r="G2026" s="105"/>
      <c r="H2026" s="105"/>
      <c r="I2026" s="105"/>
      <c r="J2026" s="91"/>
      <c r="K2026" s="91"/>
      <c r="L2026" s="91"/>
      <c r="M2026" s="91">
        <f>IF($P$2010&gt;0,'Assumptions (Biomass)'!$V$13*Model!$P$2010*'Assumptions (Biomass)'!L$2/10^9,0)</f>
        <v>0.62565315106469477</v>
      </c>
      <c r="N2026" s="91">
        <f>IF($P$2010&gt;0,'Assumptions (Biomass)'!$V$13*Model!$P$2010*'Assumptions (Biomass)'!M$2/10^9,0)</f>
        <v>0.63816621408598861</v>
      </c>
      <c r="O2026" s="91">
        <f>IF($P$2010&gt;0,'Assumptions (Biomass)'!$V$13*Model!$P$2010*'Assumptions (Biomass)'!N$2/10^9,0)</f>
        <v>0.65092953836770839</v>
      </c>
      <c r="P2026" s="91"/>
      <c r="Q2026" s="105"/>
      <c r="R2026" s="91"/>
      <c r="S2026" s="91"/>
      <c r="T2026" s="91"/>
      <c r="U2026" s="91"/>
      <c r="V2026" s="99"/>
      <c r="W2026" s="147"/>
      <c r="X2026" s="147"/>
      <c r="Y2026" s="147"/>
      <c r="Z2026" s="147"/>
      <c r="AA2026" s="147"/>
      <c r="AB2026" s="147"/>
      <c r="AC2026" s="147"/>
      <c r="AD2026" s="147"/>
      <c r="AE2026" s="147"/>
      <c r="AF2026" s="147"/>
      <c r="AG2026" s="147"/>
      <c r="AH2026" s="147"/>
      <c r="AI2026" s="147"/>
      <c r="AJ2026" s="147"/>
      <c r="AK2026" s="147"/>
      <c r="AL2026" s="147"/>
      <c r="AM2026" s="147"/>
      <c r="AN2026" s="147"/>
      <c r="AO2026" s="147"/>
      <c r="AP2026" s="147"/>
      <c r="AQ2026" s="147"/>
      <c r="AR2026" s="147"/>
      <c r="AS2026" s="147"/>
      <c r="AT2026" s="147"/>
      <c r="AU2026" s="147"/>
      <c r="AV2026" s="147"/>
      <c r="AW2026" s="147"/>
      <c r="AX2026" s="147"/>
      <c r="AY2026" s="147"/>
      <c r="AZ2026" s="147"/>
      <c r="BA2026" s="147"/>
    </row>
    <row r="2027" spans="1:53" ht="15.75" hidden="1" customHeight="1" outlineLevel="1">
      <c r="A2027" s="441"/>
      <c r="B2027" s="99"/>
      <c r="C2027" s="105"/>
      <c r="D2027" s="105"/>
      <c r="E2027" s="105"/>
      <c r="F2027" s="105"/>
      <c r="G2027" s="105"/>
      <c r="H2027" s="105"/>
      <c r="I2027" s="105"/>
      <c r="J2027" s="105"/>
      <c r="K2027" s="91"/>
      <c r="L2027" s="91"/>
      <c r="M2027" s="91"/>
      <c r="N2027" s="91">
        <f>IF($Q$2010&gt;0,'Assumptions (Biomass)'!$V$13*Model!$Q$2010*'Assumptions (Biomass)'!M$2/10^9,0)</f>
        <v>0.13730794108205996</v>
      </c>
      <c r="O2027" s="91">
        <f>IF($Q$2010&gt;0,'Assumptions (Biomass)'!$V$13*Model!$Q$2010*'Assumptions (Biomass)'!N$2/10^9,0)</f>
        <v>0.14005409990370116</v>
      </c>
      <c r="P2027" s="91">
        <f>IF($Q$2010&gt;0,'Assumptions (Biomass)'!$V$13*Model!$Q$2010*'Assumptions (Biomass)'!O$2/10^9,0)</f>
        <v>0.14285518190177518</v>
      </c>
      <c r="Q2027" s="105"/>
      <c r="R2027" s="91"/>
      <c r="S2027" s="91"/>
      <c r="T2027" s="91"/>
      <c r="U2027" s="91"/>
      <c r="V2027" s="99"/>
      <c r="W2027" s="147"/>
      <c r="X2027" s="147"/>
      <c r="Y2027" s="147"/>
      <c r="Z2027" s="147"/>
      <c r="AA2027" s="147"/>
      <c r="AB2027" s="147"/>
      <c r="AC2027" s="147"/>
      <c r="AD2027" s="147"/>
      <c r="AE2027" s="147"/>
      <c r="AF2027" s="147"/>
      <c r="AG2027" s="147"/>
      <c r="AH2027" s="147"/>
      <c r="AI2027" s="147"/>
      <c r="AJ2027" s="147"/>
      <c r="AK2027" s="147"/>
      <c r="AL2027" s="147"/>
      <c r="AM2027" s="147"/>
      <c r="AN2027" s="147"/>
      <c r="AO2027" s="147"/>
      <c r="AP2027" s="147"/>
      <c r="AQ2027" s="147"/>
      <c r="AR2027" s="147"/>
      <c r="AS2027" s="147"/>
      <c r="AT2027" s="147"/>
      <c r="AU2027" s="147"/>
      <c r="AV2027" s="147"/>
      <c r="AW2027" s="147"/>
      <c r="AX2027" s="147"/>
      <c r="AY2027" s="147"/>
      <c r="AZ2027" s="147"/>
      <c r="BA2027" s="147"/>
    </row>
    <row r="2028" spans="1:53" ht="15.75" hidden="1" customHeight="1" outlineLevel="1">
      <c r="A2028" s="441"/>
      <c r="B2028" s="99"/>
      <c r="C2028" s="105"/>
      <c r="D2028" s="105"/>
      <c r="E2028" s="105"/>
      <c r="F2028" s="105"/>
      <c r="G2028" s="105"/>
      <c r="H2028" s="105"/>
      <c r="I2028" s="105"/>
      <c r="J2028" s="105"/>
      <c r="K2028" s="105"/>
      <c r="L2028" s="167"/>
      <c r="M2028" s="167"/>
      <c r="N2028" s="167"/>
      <c r="O2028" s="167">
        <f>IF($R$2010&gt;0,'Assumptions (Biomass)'!$V$13*Model!$R$2010*'Assumptions (Biomass)'!N$2/10^9,0)</f>
        <v>0.14540300940898668</v>
      </c>
      <c r="P2028" s="167">
        <f>IF($R$2010&gt;0,'Assumptions (Biomass)'!$V$13*Model!$R$2010*'Assumptions (Biomass)'!O$2/10^9,0)</f>
        <v>0.14831106959716642</v>
      </c>
      <c r="Q2028" s="167">
        <f>IF($R$2010&gt;0,'Assumptions (Biomass)'!$V$13*Model!$R$2010*'Assumptions (Biomass)'!P$2/10^9,0)</f>
        <v>0.15127729098910975</v>
      </c>
      <c r="R2028" s="91"/>
      <c r="S2028" s="91"/>
      <c r="T2028" s="91"/>
      <c r="U2028" s="91"/>
      <c r="V2028" s="99"/>
      <c r="W2028" s="147"/>
      <c r="X2028" s="147"/>
      <c r="Y2028" s="147"/>
      <c r="Z2028" s="147"/>
      <c r="AA2028" s="147"/>
      <c r="AB2028" s="147"/>
      <c r="AC2028" s="147"/>
      <c r="AD2028" s="147"/>
      <c r="AE2028" s="147"/>
      <c r="AF2028" s="147"/>
      <c r="AG2028" s="147"/>
      <c r="AH2028" s="147"/>
      <c r="AI2028" s="147"/>
      <c r="AJ2028" s="147"/>
      <c r="AK2028" s="147"/>
      <c r="AL2028" s="147"/>
      <c r="AM2028" s="147"/>
      <c r="AN2028" s="147"/>
      <c r="AO2028" s="147"/>
      <c r="AP2028" s="147"/>
      <c r="AQ2028" s="147"/>
      <c r="AR2028" s="147"/>
      <c r="AS2028" s="147"/>
      <c r="AT2028" s="147"/>
      <c r="AU2028" s="147"/>
      <c r="AV2028" s="147"/>
      <c r="AW2028" s="147"/>
      <c r="AX2028" s="147"/>
      <c r="AY2028" s="147"/>
      <c r="AZ2028" s="147"/>
      <c r="BA2028" s="147"/>
    </row>
    <row r="2029" spans="1:53" ht="15.75" hidden="1" customHeight="1" outlineLevel="1">
      <c r="A2029" s="441"/>
      <c r="B2029" s="99"/>
      <c r="C2029" s="105"/>
      <c r="D2029" s="105"/>
      <c r="E2029" s="105"/>
      <c r="F2029" s="105"/>
      <c r="G2029" s="105"/>
      <c r="H2029" s="105"/>
      <c r="I2029" s="105"/>
      <c r="J2029" s="105"/>
      <c r="K2029" s="105"/>
      <c r="L2029" s="105"/>
      <c r="M2029" s="105"/>
      <c r="N2029" s="105"/>
      <c r="O2029" s="105"/>
      <c r="P2029" s="105">
        <f>IF($S$2010&gt;0,'Assumptions (Biomass)'!$V$13*Model!$S$2010*'Assumptions (Biomass)'!O$2/10^9,0)</f>
        <v>1.714707561408681E-2</v>
      </c>
      <c r="Q2029" s="105">
        <f>IF($S$2010&gt;0,'Assumptions (Biomass)'!$V$13*Model!$S$2010*'Assumptions (Biomass)'!P$2/10^9,0)</f>
        <v>1.7490017126368544E-2</v>
      </c>
      <c r="R2029" s="105">
        <f>IF($S$2010&gt;0,'Assumptions (Biomass)'!$V$13*Model!$S$2010*'Assumptions (Biomass)'!Q$2/10^9,0)</f>
        <v>1.7839817468895919E-2</v>
      </c>
      <c r="S2029" s="105"/>
      <c r="T2029" s="105"/>
      <c r="U2029" s="105"/>
      <c r="V2029" s="99"/>
      <c r="W2029" s="147"/>
      <c r="X2029" s="147"/>
      <c r="Y2029" s="147"/>
      <c r="Z2029" s="147"/>
      <c r="AA2029" s="147"/>
      <c r="AB2029" s="147"/>
      <c r="AC2029" s="147"/>
      <c r="AD2029" s="147"/>
      <c r="AE2029" s="147"/>
      <c r="AF2029" s="147"/>
      <c r="AG2029" s="147"/>
      <c r="AH2029" s="147"/>
      <c r="AI2029" s="147"/>
      <c r="AJ2029" s="147"/>
      <c r="AK2029" s="147"/>
      <c r="AL2029" s="147"/>
      <c r="AM2029" s="147"/>
      <c r="AN2029" s="147"/>
      <c r="AO2029" s="147"/>
      <c r="AP2029" s="147"/>
      <c r="AQ2029" s="147"/>
      <c r="AR2029" s="147"/>
      <c r="AS2029" s="147"/>
      <c r="AT2029" s="147"/>
      <c r="AU2029" s="147"/>
      <c r="AV2029" s="147"/>
      <c r="AW2029" s="147"/>
      <c r="AX2029" s="147"/>
      <c r="AY2029" s="147"/>
      <c r="AZ2029" s="147"/>
      <c r="BA2029" s="147"/>
    </row>
    <row r="2030" spans="1:53" ht="15.75" hidden="1" customHeight="1" outlineLevel="1">
      <c r="A2030" s="441"/>
      <c r="B2030" s="99"/>
      <c r="C2030" s="105"/>
      <c r="D2030" s="105"/>
      <c r="E2030" s="105"/>
      <c r="F2030" s="105"/>
      <c r="G2030" s="105"/>
      <c r="H2030" s="105"/>
      <c r="I2030" s="105"/>
      <c r="J2030" s="105"/>
      <c r="K2030" s="105"/>
      <c r="L2030" s="105"/>
      <c r="M2030" s="105"/>
      <c r="N2030" s="105"/>
      <c r="O2030" s="105"/>
      <c r="P2030" s="105"/>
      <c r="Q2030" s="105">
        <f>IF($T$2010&gt;0,'Assumptions (Biomass)'!$V$13*Model!$T$2010*'Assumptions (Biomass)'!P$2/10^9,0)</f>
        <v>0.14332728320439678</v>
      </c>
      <c r="R2030" s="105">
        <f>IF($T$2010&gt;0,'Assumptions (Biomass)'!$V$13*Model!$T$2010*'Assumptions (Biomass)'!Q$2/10^9,0)</f>
        <v>0.14619382886848473</v>
      </c>
      <c r="S2030" s="105">
        <f>IF($T$2010&gt;0,'Assumptions (Biomass)'!$V$13*Model!$T$2010*'Assumptions (Biomass)'!R$2/10^9,0)</f>
        <v>0.14911770544585443</v>
      </c>
      <c r="T2030" s="105"/>
      <c r="U2030" s="105"/>
      <c r="V2030" s="99"/>
      <c r="W2030" s="147"/>
      <c r="X2030" s="147"/>
      <c r="Y2030" s="147"/>
      <c r="Z2030" s="147"/>
      <c r="AA2030" s="147"/>
      <c r="AB2030" s="147"/>
      <c r="AC2030" s="147"/>
      <c r="AD2030" s="147"/>
      <c r="AE2030" s="147"/>
      <c r="AF2030" s="147"/>
      <c r="AG2030" s="147"/>
      <c r="AH2030" s="147"/>
      <c r="AI2030" s="147"/>
      <c r="AJ2030" s="147"/>
      <c r="AK2030" s="147"/>
      <c r="AL2030" s="147"/>
      <c r="AM2030" s="147"/>
      <c r="AN2030" s="147"/>
      <c r="AO2030" s="147"/>
      <c r="AP2030" s="147"/>
      <c r="AQ2030" s="147"/>
      <c r="AR2030" s="147"/>
      <c r="AS2030" s="147"/>
      <c r="AT2030" s="147"/>
      <c r="AU2030" s="147"/>
      <c r="AV2030" s="147"/>
      <c r="AW2030" s="147"/>
      <c r="AX2030" s="147"/>
      <c r="AY2030" s="147"/>
      <c r="AZ2030" s="147"/>
      <c r="BA2030" s="147"/>
    </row>
    <row r="2031" spans="1:53" ht="15.75" hidden="1" customHeight="1" outlineLevel="1">
      <c r="A2031" s="441"/>
      <c r="B2031" s="99"/>
      <c r="C2031" s="105"/>
      <c r="D2031" s="105"/>
      <c r="E2031" s="105"/>
      <c r="F2031" s="105"/>
      <c r="G2031" s="105"/>
      <c r="H2031" s="105"/>
      <c r="I2031" s="105"/>
      <c r="J2031" s="105"/>
      <c r="K2031" s="105"/>
      <c r="L2031" s="105"/>
      <c r="M2031" s="105"/>
      <c r="N2031" s="105"/>
      <c r="O2031" s="91"/>
      <c r="P2031" s="91"/>
      <c r="Q2031" s="91"/>
      <c r="R2031" s="91">
        <f>IF($U$2010&gt;0,'Assumptions (Biomass)'!$V$13*Model!$U$2010*'Assumptions (Biomass)'!Q$2/10^9,0)</f>
        <v>2.0272519851018089E-2</v>
      </c>
      <c r="S2031" s="91">
        <f>IF($U$2010&gt;0,'Assumptions (Biomass)'!$V$13*Model!$U$2010*'Assumptions (Biomass)'!R$2/10^9,0)</f>
        <v>2.0677970248038451E-2</v>
      </c>
      <c r="T2031" s="91">
        <f>IF($U$2010&gt;0,'Assumptions (Biomass)'!$V$13*Model!$U$2010*'Assumptions (Biomass)'!S$2/10^9,0)</f>
        <v>2.1091529652999222E-2</v>
      </c>
      <c r="U2031" s="105"/>
      <c r="V2031" s="99"/>
      <c r="W2031" s="147"/>
      <c r="X2031" s="147"/>
      <c r="Y2031" s="147"/>
      <c r="Z2031" s="147"/>
      <c r="AA2031" s="147"/>
      <c r="AB2031" s="147"/>
      <c r="AC2031" s="147"/>
      <c r="AD2031" s="147"/>
      <c r="AE2031" s="147"/>
      <c r="AF2031" s="147"/>
      <c r="AG2031" s="147"/>
      <c r="AH2031" s="147"/>
      <c r="AI2031" s="147"/>
      <c r="AJ2031" s="147"/>
      <c r="AK2031" s="147"/>
      <c r="AL2031" s="147"/>
      <c r="AM2031" s="147"/>
      <c r="AN2031" s="147"/>
      <c r="AO2031" s="147"/>
      <c r="AP2031" s="147"/>
      <c r="AQ2031" s="147"/>
      <c r="AR2031" s="147"/>
      <c r="AS2031" s="147"/>
      <c r="AT2031" s="147"/>
      <c r="AU2031" s="147"/>
      <c r="AV2031" s="147"/>
      <c r="AW2031" s="147"/>
      <c r="AX2031" s="147"/>
      <c r="AY2031" s="147"/>
      <c r="AZ2031" s="147"/>
      <c r="BA2031" s="147"/>
    </row>
    <row r="2032" spans="1:53" ht="15.75" hidden="1" customHeight="1" outlineLevel="1">
      <c r="A2032" s="441"/>
      <c r="B2032" s="99"/>
      <c r="C2032" s="105"/>
      <c r="D2032" s="105"/>
      <c r="E2032" s="105"/>
      <c r="F2032" s="105"/>
      <c r="G2032" s="105"/>
      <c r="H2032" s="105"/>
      <c r="I2032" s="105"/>
      <c r="J2032" s="105"/>
      <c r="K2032" s="105"/>
      <c r="L2032" s="105"/>
      <c r="M2032" s="105"/>
      <c r="N2032" s="105"/>
      <c r="O2032" s="105"/>
      <c r="P2032" s="105"/>
      <c r="Q2032" s="105"/>
      <c r="R2032" s="105"/>
      <c r="S2032" s="105">
        <f>IF($V$2010&gt;0,'Assumptions (Biomass)'!$V$13*Model!$V$2010*'Assumptions (Biomass)'!R$2/10^9,0)</f>
        <v>0.18728333053223395</v>
      </c>
      <c r="T2032" s="105">
        <f>IF($V$2010&gt;0,'Assumptions (Biomass)'!$V$13*Model!$V$2010*'Assumptions (Biomass)'!S$2/10^9,0)</f>
        <v>0.19102899714287866</v>
      </c>
      <c r="U2032" s="105">
        <f>IF($V$2010&gt;0,'Assumptions (Biomass)'!$V$13*Model!$V$2010*'Assumptions (Biomass)'!T$2/10^9,0)</f>
        <v>0.19484957708573625</v>
      </c>
      <c r="V2032" s="99"/>
      <c r="W2032" s="147"/>
      <c r="X2032" s="147"/>
      <c r="Y2032" s="147"/>
      <c r="Z2032" s="147"/>
      <c r="AA2032" s="147"/>
      <c r="AB2032" s="147"/>
      <c r="AC2032" s="147"/>
      <c r="AD2032" s="147"/>
      <c r="AE2032" s="147"/>
      <c r="AF2032" s="147"/>
      <c r="AG2032" s="147"/>
      <c r="AH2032" s="147"/>
      <c r="AI2032" s="147"/>
      <c r="AJ2032" s="147"/>
      <c r="AK2032" s="147"/>
      <c r="AL2032" s="147"/>
      <c r="AM2032" s="147"/>
      <c r="AN2032" s="147"/>
      <c r="AO2032" s="147"/>
      <c r="AP2032" s="147"/>
      <c r="AQ2032" s="147"/>
      <c r="AR2032" s="147"/>
      <c r="AS2032" s="147"/>
      <c r="AT2032" s="147"/>
      <c r="AU2032" s="147"/>
      <c r="AV2032" s="147"/>
      <c r="AW2032" s="147"/>
      <c r="AX2032" s="147"/>
      <c r="AY2032" s="147"/>
      <c r="AZ2032" s="147"/>
      <c r="BA2032" s="147"/>
    </row>
    <row r="2033" spans="1:53" ht="15.75" hidden="1" customHeight="1" outlineLevel="1">
      <c r="A2033" s="441"/>
      <c r="B2033" s="99"/>
      <c r="C2033" s="99"/>
      <c r="D2033" s="99"/>
      <c r="E2033" s="99"/>
      <c r="F2033" s="99"/>
      <c r="G2033" s="99"/>
      <c r="H2033" s="99"/>
      <c r="I2033" s="99"/>
      <c r="J2033" s="99"/>
      <c r="K2033" s="99"/>
      <c r="L2033" s="99"/>
      <c r="M2033" s="99"/>
      <c r="N2033" s="99"/>
      <c r="O2033" s="99"/>
      <c r="P2033" s="99"/>
      <c r="Q2033" s="99"/>
      <c r="R2033" s="99"/>
      <c r="S2033" s="99"/>
      <c r="T2033" s="409">
        <f>IF($W$2010&gt;0,'Assumptions (Biomass)'!$V$13*Model!$W$2010*'Assumptions (Biomass)'!S$2/10^9,0)</f>
        <v>6.1466743560169165E-2</v>
      </c>
      <c r="U2033" s="409">
        <f>IF($W$2010&gt;0,'Assumptions (Biomass)'!$V$13*Model!$W$2010*'Assumptions (Biomass)'!T$2/10^9,0)</f>
        <v>6.2696078431372551E-2</v>
      </c>
      <c r="V2033" s="409">
        <f>IF($W$2010&gt;0,'Assumptions (Biomass)'!$V$13*Model!$W$2010*'Assumptions (Biomass)'!U$2/10^9,0)</f>
        <v>6.3950000000000007E-2</v>
      </c>
      <c r="W2033" s="91"/>
      <c r="X2033" s="91"/>
      <c r="Y2033" s="91"/>
      <c r="Z2033" s="91"/>
      <c r="AA2033" s="91"/>
      <c r="AB2033" s="91"/>
      <c r="AC2033" s="91"/>
      <c r="AD2033" s="91"/>
      <c r="AE2033" s="91"/>
      <c r="AF2033" s="91"/>
      <c r="AG2033" s="91"/>
      <c r="AH2033" s="91"/>
      <c r="AI2033" s="91"/>
      <c r="AJ2033" s="91"/>
      <c r="AK2033" s="91"/>
      <c r="AL2033" s="91"/>
      <c r="AM2033" s="91"/>
      <c r="AN2033" s="91"/>
      <c r="AO2033" s="91"/>
      <c r="AP2033" s="91"/>
      <c r="AQ2033" s="91"/>
      <c r="AR2033" s="91"/>
      <c r="AS2033" s="91"/>
      <c r="AT2033" s="91"/>
      <c r="AU2033" s="91"/>
      <c r="AV2033" s="91"/>
      <c r="AW2033" s="91"/>
      <c r="AX2033" s="91"/>
      <c r="AY2033" s="91"/>
      <c r="AZ2033" s="91"/>
      <c r="BA2033" s="91"/>
    </row>
    <row r="2034" spans="1:53" ht="15.75" hidden="1" customHeight="1" outlineLevel="1">
      <c r="A2034" s="441"/>
      <c r="B2034" s="99"/>
      <c r="C2034" s="99"/>
      <c r="D2034" s="99"/>
      <c r="E2034" s="99"/>
      <c r="F2034" s="99"/>
      <c r="G2034" s="99"/>
      <c r="H2034" s="99"/>
      <c r="I2034" s="99"/>
      <c r="J2034" s="99"/>
      <c r="K2034" s="99"/>
      <c r="L2034" s="99"/>
      <c r="M2034" s="99"/>
      <c r="N2034" s="99"/>
      <c r="O2034" s="99"/>
      <c r="P2034" s="99"/>
      <c r="Q2034" s="99"/>
      <c r="R2034" s="99"/>
      <c r="S2034" s="99"/>
      <c r="T2034" s="99"/>
      <c r="U2034" s="409">
        <f>IF($X$2010&gt;0,'Assumptions (Biomass)'!$V$13*Model!$X$2010*'Assumptions (Biomass)'!T$2/10^9,0)</f>
        <v>0</v>
      </c>
      <c r="V2034" s="409">
        <f>IF($X$2010&gt;0,'Assumptions (Biomass)'!$V$13*Model!$X$2010*'Assumptions (Biomass)'!U$2/10^9,0)</f>
        <v>0</v>
      </c>
      <c r="W2034" s="409">
        <f>IF($X$2010&gt;0,'Assumptions (Biomass)'!$V$13*Model!$X$2010*'Assumptions (Biomass)'!V$2/10^9,0)</f>
        <v>0</v>
      </c>
      <c r="X2034" s="91"/>
      <c r="Y2034" s="91"/>
      <c r="Z2034" s="91"/>
      <c r="AA2034" s="91"/>
      <c r="AB2034" s="91"/>
      <c r="AC2034" s="91"/>
      <c r="AD2034" s="91"/>
      <c r="AE2034" s="91"/>
      <c r="AF2034" s="91"/>
      <c r="AG2034" s="91"/>
      <c r="AH2034" s="91"/>
      <c r="AI2034" s="91"/>
      <c r="AJ2034" s="91"/>
      <c r="AK2034" s="91"/>
      <c r="AL2034" s="91"/>
      <c r="AM2034" s="91"/>
      <c r="AN2034" s="91"/>
      <c r="AO2034" s="91"/>
      <c r="AP2034" s="91"/>
      <c r="AQ2034" s="91"/>
      <c r="AR2034" s="91"/>
      <c r="AS2034" s="91"/>
      <c r="AT2034" s="91"/>
      <c r="AU2034" s="91"/>
      <c r="AV2034" s="91"/>
      <c r="AW2034" s="91"/>
      <c r="AX2034" s="91"/>
      <c r="AY2034" s="91"/>
      <c r="AZ2034" s="91"/>
      <c r="BA2034" s="91"/>
    </row>
    <row r="2035" spans="1:53" ht="15.75" hidden="1" customHeight="1" outlineLevel="1">
      <c r="A2035" s="441"/>
      <c r="B2035" s="99"/>
      <c r="C2035" s="99"/>
      <c r="D2035" s="99"/>
      <c r="E2035" s="99"/>
      <c r="F2035" s="99"/>
      <c r="G2035" s="99"/>
      <c r="H2035" s="99"/>
      <c r="I2035" s="99"/>
      <c r="J2035" s="99"/>
      <c r="K2035" s="99"/>
      <c r="L2035" s="99"/>
      <c r="M2035" s="99"/>
      <c r="N2035" s="99"/>
      <c r="O2035" s="99"/>
      <c r="P2035" s="99"/>
      <c r="Q2035" s="99"/>
      <c r="R2035" s="99"/>
      <c r="S2035" s="99"/>
      <c r="T2035" s="99"/>
      <c r="U2035" s="99"/>
      <c r="V2035" s="409">
        <f>IF($Y$2010&gt;0,'Assumptions (Biomass)'!$V$13*Model!$Y$2010*'Assumptions (Biomass)'!U$2/10^9,0)</f>
        <v>0</v>
      </c>
      <c r="W2035" s="409">
        <f>IF($Y$2010&gt;0,'Assumptions (Biomass)'!$V$13*Model!$Y$2010*'Assumptions (Biomass)'!V$2/10^9,0)</f>
        <v>0</v>
      </c>
      <c r="X2035" s="409">
        <f>IF($Y$2010&gt;0,'Assumptions (Biomass)'!$V$13*Model!$Y$2010*'Assumptions (Biomass)'!W$2/10^9,0)</f>
        <v>0</v>
      </c>
      <c r="Y2035" s="91"/>
      <c r="Z2035" s="91"/>
      <c r="AA2035" s="91"/>
      <c r="AB2035" s="91"/>
      <c r="AC2035" s="91"/>
      <c r="AD2035" s="91"/>
      <c r="AE2035" s="91"/>
      <c r="AF2035" s="91"/>
      <c r="AG2035" s="91"/>
      <c r="AH2035" s="91"/>
      <c r="AI2035" s="91"/>
      <c r="AJ2035" s="91"/>
      <c r="AK2035" s="91"/>
      <c r="AL2035" s="91"/>
      <c r="AM2035" s="91"/>
      <c r="AN2035" s="91"/>
      <c r="AO2035" s="91"/>
      <c r="AP2035" s="91"/>
      <c r="AQ2035" s="91"/>
      <c r="AR2035" s="91"/>
      <c r="AS2035" s="91"/>
      <c r="AT2035" s="91"/>
      <c r="AU2035" s="91"/>
      <c r="AV2035" s="91"/>
      <c r="AW2035" s="91"/>
      <c r="AX2035" s="91"/>
      <c r="AY2035" s="91"/>
      <c r="AZ2035" s="91"/>
      <c r="BA2035" s="91"/>
    </row>
    <row r="2036" spans="1:53" ht="15.75" hidden="1" customHeight="1" outlineLevel="1">
      <c r="A2036" s="441"/>
      <c r="B2036" s="99"/>
      <c r="C2036" s="99"/>
      <c r="D2036" s="99"/>
      <c r="E2036" s="99"/>
      <c r="F2036" s="99"/>
      <c r="G2036" s="99"/>
      <c r="H2036" s="99"/>
      <c r="I2036" s="99"/>
      <c r="J2036" s="99"/>
      <c r="K2036" s="99"/>
      <c r="L2036" s="99"/>
      <c r="M2036" s="99"/>
      <c r="N2036" s="99"/>
      <c r="O2036" s="99"/>
      <c r="P2036" s="99"/>
      <c r="Q2036" s="99"/>
      <c r="R2036" s="99"/>
      <c r="S2036" s="99"/>
      <c r="T2036" s="99"/>
      <c r="U2036" s="99"/>
      <c r="V2036" s="99"/>
      <c r="W2036" s="91">
        <f>IF($Z$2010&gt;0,'Assumptions (Biomass)'!$V$13*Model!$Z$2010*'Assumptions (Biomass)'!V$2/10^9,0)</f>
        <v>0</v>
      </c>
      <c r="X2036" s="91">
        <f>IF($Z$2010&gt;0,'Assumptions (Biomass)'!$V$13*Model!$Z$2010*'Assumptions (Biomass)'!W$2/10^9,0)</f>
        <v>0</v>
      </c>
      <c r="Y2036" s="91">
        <f>IF($Z$2010&gt;0,'Assumptions (Biomass)'!$V$13*Model!$Z$2010*'Assumptions (Biomass)'!X$2/10^9,0)</f>
        <v>0</v>
      </c>
      <c r="Z2036" s="91"/>
      <c r="AA2036" s="91"/>
      <c r="AB2036" s="91"/>
      <c r="AC2036" s="91"/>
      <c r="AD2036" s="91"/>
      <c r="AE2036" s="91"/>
      <c r="AF2036" s="91"/>
      <c r="AG2036" s="91"/>
      <c r="AH2036" s="91"/>
      <c r="AI2036" s="91"/>
      <c r="AJ2036" s="91"/>
      <c r="AK2036" s="91"/>
      <c r="AL2036" s="91"/>
      <c r="AM2036" s="91"/>
      <c r="AN2036" s="91"/>
      <c r="AO2036" s="91"/>
      <c r="AP2036" s="91"/>
      <c r="AQ2036" s="91"/>
      <c r="AR2036" s="91"/>
      <c r="AS2036" s="91"/>
      <c r="AT2036" s="91"/>
      <c r="AU2036" s="91"/>
      <c r="AV2036" s="91"/>
      <c r="AW2036" s="91"/>
      <c r="AX2036" s="91"/>
      <c r="AY2036" s="91"/>
      <c r="AZ2036" s="91"/>
      <c r="BA2036" s="91"/>
    </row>
    <row r="2037" spans="1:53" ht="15.75" hidden="1" customHeight="1" outlineLevel="1">
      <c r="A2037" s="441"/>
      <c r="B2037" s="99"/>
      <c r="C2037" s="99"/>
      <c r="D2037" s="99"/>
      <c r="E2037" s="99"/>
      <c r="F2037" s="99"/>
      <c r="G2037" s="99"/>
      <c r="H2037" s="99"/>
      <c r="I2037" s="99"/>
      <c r="J2037" s="99"/>
      <c r="K2037" s="99"/>
      <c r="L2037" s="99"/>
      <c r="M2037" s="99"/>
      <c r="N2037" s="99"/>
      <c r="O2037" s="99"/>
      <c r="P2037" s="99"/>
      <c r="Q2037" s="99"/>
      <c r="R2037" s="99"/>
      <c r="S2037" s="99"/>
      <c r="T2037" s="99"/>
      <c r="U2037" s="99"/>
      <c r="V2037" s="99"/>
      <c r="W2037" s="91"/>
      <c r="X2037" s="91">
        <f>IF($AA$2010&gt;0,'Assumptions (Biomass)'!$V$13*Model!$AA$2010*'Assumptions (Biomass)'!W$2/10^9,0)</f>
        <v>0</v>
      </c>
      <c r="Y2037" s="91">
        <f>IF($AA$2010&gt;0,'Assumptions (Biomass)'!$V$13*Model!$AA$2010*'Assumptions (Biomass)'!X$2/10^9,0)</f>
        <v>0</v>
      </c>
      <c r="Z2037" s="91">
        <f>IF($AA$2010&gt;0,'Assumptions (Biomass)'!$V$13*Model!$AA$2010*'Assumptions (Biomass)'!Y$2/10^9,0)</f>
        <v>0</v>
      </c>
      <c r="AA2037" s="91"/>
      <c r="AB2037" s="91"/>
      <c r="AC2037" s="91"/>
      <c r="AD2037" s="91"/>
      <c r="AE2037" s="91"/>
      <c r="AF2037" s="91"/>
      <c r="AG2037" s="91"/>
      <c r="AH2037" s="91"/>
      <c r="AI2037" s="91"/>
      <c r="AJ2037" s="91"/>
      <c r="AK2037" s="91"/>
      <c r="AL2037" s="91"/>
      <c r="AM2037" s="91"/>
      <c r="AN2037" s="91"/>
      <c r="AO2037" s="91"/>
      <c r="AP2037" s="91"/>
      <c r="AQ2037" s="91"/>
      <c r="AR2037" s="91"/>
      <c r="AS2037" s="91"/>
      <c r="AT2037" s="91"/>
      <c r="AU2037" s="91"/>
      <c r="AV2037" s="91"/>
      <c r="AW2037" s="91"/>
      <c r="AX2037" s="91"/>
      <c r="AY2037" s="91"/>
      <c r="AZ2037" s="91"/>
      <c r="BA2037" s="91"/>
    </row>
    <row r="2038" spans="1:53" ht="15.75" hidden="1" customHeight="1" outlineLevel="1">
      <c r="A2038" s="441"/>
      <c r="B2038" s="99"/>
      <c r="C2038" s="99"/>
      <c r="D2038" s="99"/>
      <c r="E2038" s="99"/>
      <c r="F2038" s="99"/>
      <c r="G2038" s="99"/>
      <c r="H2038" s="99"/>
      <c r="I2038" s="99"/>
      <c r="J2038" s="99"/>
      <c r="K2038" s="99"/>
      <c r="L2038" s="99"/>
      <c r="M2038" s="99"/>
      <c r="N2038" s="99"/>
      <c r="O2038" s="99"/>
      <c r="P2038" s="99"/>
      <c r="Q2038" s="99"/>
      <c r="R2038" s="99"/>
      <c r="S2038" s="99"/>
      <c r="T2038" s="99"/>
      <c r="U2038" s="99"/>
      <c r="V2038" s="99"/>
      <c r="W2038" s="86"/>
      <c r="Y2038" s="91">
        <f>IF($AB$2010&gt;0,'Assumptions (Biomass)'!$V$13*Model!$AB$2010*'Assumptions (Biomass)'!X$2/10^9,0)</f>
        <v>0</v>
      </c>
      <c r="Z2038" s="91">
        <f>IF($AB$2010&gt;0,'Assumptions (Biomass)'!$V$13*Model!$AB$2010*'Assumptions (Biomass)'!Y$2/10^9,0)</f>
        <v>0</v>
      </c>
      <c r="AA2038" s="91">
        <f>IF($AB$2010&gt;0,'Assumptions (Biomass)'!$V$13*Model!$AB$2010*'Assumptions (Biomass)'!Z$2/10^9,0)</f>
        <v>0</v>
      </c>
    </row>
    <row r="2039" spans="1:53" ht="15.75" hidden="1" customHeight="1" outlineLevel="1">
      <c r="A2039" s="441"/>
      <c r="B2039" s="99"/>
      <c r="C2039" s="99"/>
      <c r="D2039" s="99"/>
      <c r="E2039" s="99"/>
      <c r="F2039" s="99"/>
      <c r="G2039" s="99"/>
      <c r="H2039" s="99"/>
      <c r="I2039" s="99"/>
      <c r="J2039" s="99"/>
      <c r="K2039" s="99"/>
      <c r="L2039" s="99"/>
      <c r="M2039" s="99"/>
      <c r="N2039" s="99"/>
      <c r="O2039" s="99"/>
      <c r="P2039" s="99"/>
      <c r="Q2039" s="99"/>
      <c r="R2039" s="99"/>
      <c r="S2039" s="99"/>
      <c r="T2039" s="99"/>
      <c r="U2039" s="99"/>
      <c r="V2039" s="99"/>
      <c r="W2039" s="86"/>
      <c r="Z2039" s="91">
        <f>IF($AC$2010&gt;0,'Assumptions (Biomass)'!$V$13*Model!$AC$2010*'Assumptions (Biomass)'!Y$2/10^9,0)</f>
        <v>0</v>
      </c>
      <c r="AA2039" s="91">
        <f>IF($AC$2010&gt;0,'Assumptions (Biomass)'!$V$13*Model!$AC$2010*'Assumptions (Biomass)'!Z$2/10^9,0)</f>
        <v>0</v>
      </c>
      <c r="AB2039" s="91">
        <f>IF($AC$2010&gt;0,'Assumptions (Biomass)'!$V$13*Model!$AC$2010*'Assumptions (Biomass)'!AA$2/10^9,0)</f>
        <v>0</v>
      </c>
    </row>
    <row r="2040" spans="1:53" ht="15.75" hidden="1" customHeight="1" outlineLevel="1">
      <c r="A2040" s="441"/>
      <c r="B2040" s="99"/>
      <c r="C2040" s="99"/>
      <c r="D2040" s="99"/>
      <c r="E2040" s="99"/>
      <c r="F2040" s="99"/>
      <c r="G2040" s="99"/>
      <c r="H2040" s="99"/>
      <c r="I2040" s="99"/>
      <c r="J2040" s="99"/>
      <c r="K2040" s="99"/>
      <c r="L2040" s="99"/>
      <c r="M2040" s="99"/>
      <c r="N2040" s="99"/>
      <c r="O2040" s="99"/>
      <c r="P2040" s="99"/>
      <c r="Q2040" s="99"/>
      <c r="R2040" s="99"/>
      <c r="S2040" s="99"/>
      <c r="T2040" s="99"/>
      <c r="U2040" s="99"/>
      <c r="V2040" s="99"/>
      <c r="W2040" s="86"/>
      <c r="AA2040" s="91">
        <f>IF($AD$2010&gt;0,'Assumptions (Biomass)'!$V$13*Model!$AD$2010*'Assumptions (Biomass)'!Z$2/10^9,0)</f>
        <v>0</v>
      </c>
      <c r="AB2040" s="91">
        <f>IF($AD$2010&gt;0,'Assumptions (Biomass)'!$V$13*Model!$AD$2010*'Assumptions (Biomass)'!AA$2/10^9,0)</f>
        <v>0</v>
      </c>
      <c r="AC2040" s="91">
        <f>IF($AD$2010&gt;0,'Assumptions (Biomass)'!$V$13*Model!$AD$2010*'Assumptions (Biomass)'!AB$2/10^9,0)</f>
        <v>0</v>
      </c>
    </row>
    <row r="2041" spans="1:53" ht="15.75" hidden="1" customHeight="1" outlineLevel="1">
      <c r="A2041" s="441"/>
      <c r="B2041" s="99"/>
      <c r="C2041" s="99"/>
      <c r="D2041" s="99"/>
      <c r="E2041" s="99"/>
      <c r="F2041" s="99"/>
      <c r="G2041" s="99"/>
      <c r="H2041" s="99"/>
      <c r="I2041" s="99"/>
      <c r="J2041" s="99"/>
      <c r="K2041" s="99"/>
      <c r="L2041" s="99"/>
      <c r="M2041" s="99"/>
      <c r="N2041" s="99"/>
      <c r="O2041" s="99"/>
      <c r="P2041" s="99"/>
      <c r="Q2041" s="99"/>
      <c r="R2041" s="99"/>
      <c r="S2041" s="99"/>
      <c r="T2041" s="99"/>
      <c r="U2041" s="99"/>
      <c r="V2041" s="99"/>
      <c r="W2041" s="86"/>
      <c r="AB2041" s="91">
        <f>IF($AE$2010&gt;0,'Assumptions (Biomass)'!$V$13*Model!$AE$2010*'Assumptions (Biomass)'!AA$2/10^9,0)</f>
        <v>0</v>
      </c>
      <c r="AC2041" s="91">
        <f>IF($AE$2010&gt;0,'Assumptions (Biomass)'!$V$13*Model!$AE$2010*'Assumptions (Biomass)'!AB$2/10^9,0)</f>
        <v>0</v>
      </c>
      <c r="AD2041" s="91">
        <f>IF($AE$2010&gt;0,'Assumptions (Biomass)'!$V$13*Model!$AE$2010*'Assumptions (Biomass)'!AC$2/10^9,0)</f>
        <v>0</v>
      </c>
    </row>
    <row r="2042" spans="1:53" ht="15.75" hidden="1" customHeight="1" outlineLevel="1">
      <c r="A2042" s="441"/>
      <c r="B2042" s="99"/>
      <c r="C2042" s="99"/>
      <c r="D2042" s="99"/>
      <c r="E2042" s="99"/>
      <c r="F2042" s="99"/>
      <c r="G2042" s="99"/>
      <c r="H2042" s="99"/>
      <c r="I2042" s="99"/>
      <c r="J2042" s="99"/>
      <c r="K2042" s="99"/>
      <c r="L2042" s="99"/>
      <c r="M2042" s="99"/>
      <c r="N2042" s="99"/>
      <c r="O2042" s="99"/>
      <c r="P2042" s="99"/>
      <c r="Q2042" s="99"/>
      <c r="R2042" s="99"/>
      <c r="S2042" s="99"/>
      <c r="T2042" s="99"/>
      <c r="U2042" s="99"/>
      <c r="V2042" s="99"/>
      <c r="W2042" s="86"/>
      <c r="AC2042" s="91">
        <f>IF($AF$2010&gt;0,'Assumptions (Biomass)'!$V$13*Model!$AF$2010*'Assumptions (Biomass)'!AB$2/10^9,0)</f>
        <v>0</v>
      </c>
      <c r="AD2042" s="91">
        <f>IF($AF$2010&gt;0,'Assumptions (Biomass)'!$V$13*Model!$AF$2010*'Assumptions (Biomass)'!AC$2/10^9,0)</f>
        <v>0</v>
      </c>
      <c r="AE2042" s="91">
        <f>IF($AF$2010&gt;0,'Assumptions (Biomass)'!$V$13*Model!$AF$2010*'Assumptions (Biomass)'!AD$2/10^9,0)</f>
        <v>0</v>
      </c>
    </row>
    <row r="2043" spans="1:53" ht="15.75" hidden="1" customHeight="1" outlineLevel="1">
      <c r="A2043" s="441"/>
      <c r="B2043" s="99"/>
      <c r="C2043" s="99"/>
      <c r="D2043" s="99"/>
      <c r="E2043" s="99"/>
      <c r="F2043" s="99"/>
      <c r="G2043" s="99"/>
      <c r="H2043" s="99"/>
      <c r="I2043" s="99"/>
      <c r="J2043" s="99"/>
      <c r="K2043" s="99"/>
      <c r="L2043" s="99"/>
      <c r="M2043" s="99"/>
      <c r="N2043" s="99"/>
      <c r="O2043" s="99"/>
      <c r="P2043" s="99"/>
      <c r="Q2043" s="99"/>
      <c r="R2043" s="99"/>
      <c r="S2043" s="99"/>
      <c r="T2043" s="99"/>
      <c r="U2043" s="99"/>
      <c r="V2043" s="99"/>
      <c r="W2043" s="86"/>
      <c r="AD2043" s="91">
        <f>IF($AG$2010&gt;0,'Assumptions (Biomass)'!$V$13*Model!$AG$2010*'Assumptions (Biomass)'!AC$2/10^9,0)</f>
        <v>0</v>
      </c>
      <c r="AE2043" s="91">
        <f>IF($AG$2010&gt;0,'Assumptions (Biomass)'!$V$13*Model!$AG$2010*'Assumptions (Biomass)'!AD$2/10^9,0)</f>
        <v>0</v>
      </c>
      <c r="AF2043" s="91">
        <f>IF($AG$2010&gt;0,'Assumptions (Biomass)'!$V$13*Model!$AG$2010*'Assumptions (Biomass)'!AE$2/10^9,0)</f>
        <v>0</v>
      </c>
    </row>
    <row r="2044" spans="1:53" ht="15.75" hidden="1" customHeight="1" outlineLevel="1">
      <c r="A2044" s="441"/>
      <c r="B2044" s="99"/>
      <c r="C2044" s="99"/>
      <c r="D2044" s="99"/>
      <c r="E2044" s="99"/>
      <c r="F2044" s="99"/>
      <c r="G2044" s="99"/>
      <c r="H2044" s="99"/>
      <c r="I2044" s="99"/>
      <c r="J2044" s="99"/>
      <c r="K2044" s="99"/>
      <c r="L2044" s="99"/>
      <c r="M2044" s="99"/>
      <c r="N2044" s="99"/>
      <c r="O2044" s="99"/>
      <c r="P2044" s="99"/>
      <c r="Q2044" s="99"/>
      <c r="R2044" s="99"/>
      <c r="S2044" s="99"/>
      <c r="T2044" s="99"/>
      <c r="U2044" s="99"/>
      <c r="V2044" s="99"/>
      <c r="W2044" s="86"/>
      <c r="AE2044" s="91">
        <f>IF($AH$2010&gt;0,'Assumptions (Biomass)'!$V$13*Model!$AH$2010*'Assumptions (Biomass)'!AD$2/10^9,0)</f>
        <v>0</v>
      </c>
      <c r="AF2044" s="91">
        <f>IF($AH$2010&gt;0,'Assumptions (Biomass)'!$V$13*Model!$AH$2010*'Assumptions (Biomass)'!AE$2/10^9,0)</f>
        <v>0</v>
      </c>
      <c r="AG2044" s="91">
        <f>IF($AH$2010&gt;0,'Assumptions (Biomass)'!$V$13*Model!$AH$2010*'Assumptions (Biomass)'!AF$2/10^9,0)</f>
        <v>0</v>
      </c>
    </row>
    <row r="2045" spans="1:53" ht="15.75" hidden="1" customHeight="1" outlineLevel="1">
      <c r="A2045" s="441"/>
      <c r="B2045" s="99"/>
      <c r="C2045" s="99"/>
      <c r="D2045" s="99"/>
      <c r="E2045" s="99"/>
      <c r="F2045" s="99"/>
      <c r="G2045" s="99"/>
      <c r="H2045" s="99"/>
      <c r="I2045" s="99"/>
      <c r="J2045" s="99"/>
      <c r="K2045" s="99"/>
      <c r="L2045" s="99"/>
      <c r="M2045" s="99"/>
      <c r="N2045" s="99"/>
      <c r="O2045" s="99"/>
      <c r="P2045" s="99"/>
      <c r="Q2045" s="99"/>
      <c r="R2045" s="99"/>
      <c r="S2045" s="99"/>
      <c r="T2045" s="99"/>
      <c r="U2045" s="99"/>
      <c r="V2045" s="99"/>
      <c r="W2045" s="86"/>
      <c r="AF2045" s="91">
        <f>IF($AI$2010&gt;0,'Assumptions (Biomass)'!$V$13*Model!$AI$2010*'Assumptions (Biomass)'!AE$2/10^9,0)</f>
        <v>0</v>
      </c>
      <c r="AG2045" s="91">
        <f>IF($AI$2010&gt;0,'Assumptions (Biomass)'!$V$13*Model!$AI$2010*'Assumptions (Biomass)'!AF$2/10^9,0)</f>
        <v>0</v>
      </c>
      <c r="AH2045" s="91">
        <f>IF($AI$2010&gt;0,'Assumptions (Biomass)'!$V$13*Model!$AI$2010*'Assumptions (Biomass)'!AG$2/10^9,0)</f>
        <v>0</v>
      </c>
    </row>
    <row r="2046" spans="1:53" ht="15.75" hidden="1" customHeight="1" outlineLevel="1">
      <c r="A2046" s="441"/>
      <c r="B2046" s="99"/>
      <c r="C2046" s="99"/>
      <c r="D2046" s="99"/>
      <c r="E2046" s="99"/>
      <c r="F2046" s="99"/>
      <c r="G2046" s="99"/>
      <c r="H2046" s="99"/>
      <c r="I2046" s="99"/>
      <c r="J2046" s="99"/>
      <c r="K2046" s="99"/>
      <c r="L2046" s="99"/>
      <c r="M2046" s="99"/>
      <c r="N2046" s="99"/>
      <c r="O2046" s="99"/>
      <c r="P2046" s="99"/>
      <c r="Q2046" s="99"/>
      <c r="R2046" s="99"/>
      <c r="S2046" s="99"/>
      <c r="T2046" s="99"/>
      <c r="U2046" s="99"/>
      <c r="V2046" s="99"/>
      <c r="W2046" s="86"/>
      <c r="AG2046" s="91">
        <f>IF($AJ$2010&gt;0,'Assumptions (Biomass)'!$V$13*Model!$AJ$2010*'Assumptions (Biomass)'!AF$2/10^9,0)</f>
        <v>0</v>
      </c>
      <c r="AH2046" s="91">
        <f>IF($AJ$2010&gt;0,'Assumptions (Biomass)'!$V$13*Model!$AJ$2010*'Assumptions (Biomass)'!AG$2/10^9,0)</f>
        <v>0</v>
      </c>
      <c r="AI2046" s="91">
        <f>IF($AJ$2010&gt;0,'Assumptions (Biomass)'!$V$13*Model!$AJ$2010*'Assumptions (Biomass)'!AH$2/10^9,0)</f>
        <v>0</v>
      </c>
    </row>
    <row r="2047" spans="1:53" ht="15.75" hidden="1" customHeight="1" outlineLevel="1">
      <c r="A2047" s="441"/>
      <c r="B2047" s="99"/>
      <c r="C2047" s="99"/>
      <c r="D2047" s="99"/>
      <c r="E2047" s="99"/>
      <c r="F2047" s="99"/>
      <c r="G2047" s="99"/>
      <c r="H2047" s="99"/>
      <c r="I2047" s="99"/>
      <c r="J2047" s="99"/>
      <c r="K2047" s="99"/>
      <c r="L2047" s="99"/>
      <c r="M2047" s="99"/>
      <c r="N2047" s="99"/>
      <c r="O2047" s="99"/>
      <c r="P2047" s="99"/>
      <c r="Q2047" s="99"/>
      <c r="R2047" s="99"/>
      <c r="S2047" s="99"/>
      <c r="T2047" s="99"/>
      <c r="U2047" s="99"/>
      <c r="V2047" s="99"/>
      <c r="W2047" s="86"/>
      <c r="AH2047" s="91">
        <f>IF($AK$2010&gt;0,'Assumptions (Biomass)'!$V$13*Model!$AK$2010*'Assumptions (Biomass)'!AG$2/10^9,0)</f>
        <v>0</v>
      </c>
      <c r="AI2047" s="91">
        <f>IF($AK$2010&gt;0,'Assumptions (Biomass)'!$V$13*Model!$AK$2010*'Assumptions (Biomass)'!AH$2/10^9,0)</f>
        <v>0</v>
      </c>
      <c r="AJ2047" s="91">
        <f>IF($AK$2010&gt;0,'Assumptions (Biomass)'!$V$13*Model!$AK$2010*'Assumptions (Biomass)'!AI$2/10^9,0)</f>
        <v>0</v>
      </c>
    </row>
    <row r="2048" spans="1:53" ht="15.75" hidden="1" customHeight="1" outlineLevel="1">
      <c r="A2048" s="441"/>
      <c r="B2048" s="99"/>
      <c r="C2048" s="99"/>
      <c r="D2048" s="99"/>
      <c r="E2048" s="99"/>
      <c r="F2048" s="99"/>
      <c r="G2048" s="99"/>
      <c r="H2048" s="99"/>
      <c r="I2048" s="99"/>
      <c r="J2048" s="99"/>
      <c r="K2048" s="99"/>
      <c r="L2048" s="99"/>
      <c r="M2048" s="99"/>
      <c r="N2048" s="99"/>
      <c r="O2048" s="99"/>
      <c r="P2048" s="99"/>
      <c r="Q2048" s="99"/>
      <c r="R2048" s="99"/>
      <c r="S2048" s="99"/>
      <c r="T2048" s="99"/>
      <c r="U2048" s="99"/>
      <c r="V2048" s="99"/>
      <c r="W2048" s="86"/>
      <c r="AI2048" s="91">
        <f>IF($AL$2010&gt;0,'Assumptions (Biomass)'!$V$13*Model!$AL$2010*'Assumptions (Biomass)'!AH$2/10^9,0)</f>
        <v>0</v>
      </c>
      <c r="AJ2048" s="91">
        <f>IF($AL$2010&gt;0,'Assumptions (Biomass)'!$V$13*Model!$AL$2010*'Assumptions (Biomass)'!AI$2/10^9,0)</f>
        <v>0</v>
      </c>
      <c r="AK2048" s="91">
        <f>IF($AL$2010&gt;0,'Assumptions (Biomass)'!$V$13*Model!$AL$2010*'Assumptions (Biomass)'!AJ$2/10^9,0)</f>
        <v>0</v>
      </c>
    </row>
    <row r="2049" spans="1:53" ht="15.75" hidden="1" customHeight="1" outlineLevel="1">
      <c r="A2049" s="441"/>
      <c r="B2049" s="99"/>
      <c r="C2049" s="99"/>
      <c r="D2049" s="99"/>
      <c r="E2049" s="99"/>
      <c r="F2049" s="99"/>
      <c r="G2049" s="99"/>
      <c r="H2049" s="99"/>
      <c r="I2049" s="99"/>
      <c r="J2049" s="99"/>
      <c r="K2049" s="99"/>
      <c r="L2049" s="99"/>
      <c r="M2049" s="99"/>
      <c r="N2049" s="99"/>
      <c r="O2049" s="99"/>
      <c r="P2049" s="99"/>
      <c r="Q2049" s="99"/>
      <c r="R2049" s="99"/>
      <c r="S2049" s="99"/>
      <c r="T2049" s="99"/>
      <c r="U2049" s="99"/>
      <c r="V2049" s="99"/>
      <c r="W2049" s="86"/>
      <c r="AJ2049" s="91">
        <f>IF($AM$2010&gt;0,'Assumptions (Biomass)'!$V$13*Model!$AM$2010*'Assumptions (Biomass)'!AI$2/10^9,0)</f>
        <v>0</v>
      </c>
      <c r="AK2049" s="91">
        <f>IF($AM$2010&gt;0,'Assumptions (Biomass)'!$V$13*Model!$AM$2010*'Assumptions (Biomass)'!AJ$2/10^9,0)</f>
        <v>0</v>
      </c>
      <c r="AL2049" s="91">
        <f>IF($AM$2010&gt;0,'Assumptions (Biomass)'!$V$13*Model!$AM$2010*'Assumptions (Biomass)'!AK$2/10^9,0)</f>
        <v>0</v>
      </c>
    </row>
    <row r="2050" spans="1:53" ht="15.75" hidden="1" customHeight="1" outlineLevel="1">
      <c r="A2050" s="441"/>
      <c r="B2050" s="99"/>
      <c r="C2050" s="99"/>
      <c r="D2050" s="99"/>
      <c r="E2050" s="99"/>
      <c r="F2050" s="99"/>
      <c r="G2050" s="99"/>
      <c r="H2050" s="99"/>
      <c r="I2050" s="99"/>
      <c r="J2050" s="99"/>
      <c r="K2050" s="99"/>
      <c r="L2050" s="99"/>
      <c r="M2050" s="99"/>
      <c r="N2050" s="99"/>
      <c r="O2050" s="99"/>
      <c r="P2050" s="99"/>
      <c r="Q2050" s="99"/>
      <c r="R2050" s="99"/>
      <c r="S2050" s="99"/>
      <c r="T2050" s="99"/>
      <c r="U2050" s="99"/>
      <c r="V2050" s="99"/>
      <c r="W2050" s="86"/>
      <c r="AK2050" s="91">
        <f>IF($AN$2010&gt;0,'Assumptions (Biomass)'!$V$13*Model!$AN$2010*'Assumptions (Biomass)'!AJ$2/10^9,0)</f>
        <v>0</v>
      </c>
      <c r="AL2050" s="91">
        <f>IF($AN$2010&gt;0,'Assumptions (Biomass)'!$V$13*Model!$AN$2010*'Assumptions (Biomass)'!AK$2/10^9,0)</f>
        <v>0</v>
      </c>
      <c r="AM2050" s="91">
        <f>IF($AN$2010&gt;0,'Assumptions (Biomass)'!$V$13*Model!$AN$2010*'Assumptions (Biomass)'!AL$2/10^9,0)</f>
        <v>0</v>
      </c>
    </row>
    <row r="2051" spans="1:53" ht="15.75" hidden="1" customHeight="1" outlineLevel="1">
      <c r="A2051" s="441"/>
      <c r="B2051" s="99"/>
      <c r="C2051" s="99"/>
      <c r="D2051" s="99"/>
      <c r="E2051" s="99"/>
      <c r="F2051" s="99"/>
      <c r="G2051" s="99"/>
      <c r="H2051" s="99"/>
      <c r="I2051" s="99"/>
      <c r="J2051" s="99"/>
      <c r="K2051" s="99"/>
      <c r="L2051" s="99"/>
      <c r="M2051" s="99"/>
      <c r="N2051" s="99"/>
      <c r="O2051" s="99"/>
      <c r="P2051" s="99"/>
      <c r="Q2051" s="99"/>
      <c r="R2051" s="99"/>
      <c r="S2051" s="99"/>
      <c r="T2051" s="99"/>
      <c r="U2051" s="99"/>
      <c r="V2051" s="99"/>
      <c r="W2051" s="86"/>
      <c r="AL2051" s="91">
        <f>IF($AO$2010&gt;0,'Assumptions (Biomass)'!$V$13*Model!$AO$2010*'Assumptions (Biomass)'!AK$2/10^9,0)</f>
        <v>0</v>
      </c>
      <c r="AM2051" s="91">
        <f>IF($AO$2010&gt;0,'Assumptions (Biomass)'!$V$13*Model!$AO$2010*'Assumptions (Biomass)'!AL$2/10^9,0)</f>
        <v>0</v>
      </c>
      <c r="AN2051" s="91">
        <f>IF($AO$2010&gt;0,'Assumptions (Biomass)'!$V$13*Model!$AO$2010*'Assumptions (Biomass)'!AM$2/10^9,0)</f>
        <v>0</v>
      </c>
    </row>
    <row r="2052" spans="1:53" ht="15.75" hidden="1" customHeight="1" outlineLevel="1">
      <c r="A2052" s="441"/>
      <c r="B2052" s="99"/>
      <c r="C2052" s="99"/>
      <c r="D2052" s="99"/>
      <c r="E2052" s="99"/>
      <c r="F2052" s="99"/>
      <c r="G2052" s="99"/>
      <c r="H2052" s="99"/>
      <c r="I2052" s="99"/>
      <c r="J2052" s="99"/>
      <c r="K2052" s="99"/>
      <c r="L2052" s="99"/>
      <c r="M2052" s="99"/>
      <c r="N2052" s="99"/>
      <c r="O2052" s="99"/>
      <c r="P2052" s="99"/>
      <c r="Q2052" s="99"/>
      <c r="R2052" s="99"/>
      <c r="S2052" s="99"/>
      <c r="T2052" s="99"/>
      <c r="U2052" s="99"/>
      <c r="V2052" s="99"/>
      <c r="W2052" s="86"/>
      <c r="AM2052" s="91">
        <f>IF($AP$2010&gt;0,'Assumptions (Biomass)'!$V$13*Model!$AP$2010*'Assumptions (Biomass)'!AL$2/10^9,0)</f>
        <v>0</v>
      </c>
      <c r="AN2052" s="91">
        <f>IF($AP$2010&gt;0,'Assumptions (Biomass)'!$V$13*Model!$AP$2010*'Assumptions (Biomass)'!AM$2/10^9,0)</f>
        <v>0</v>
      </c>
      <c r="AO2052" s="91">
        <f>IF($AP$2010&gt;0,'Assumptions (Biomass)'!$V$13*Model!$AP$2010*'Assumptions (Biomass)'!AN$2/10^9,0)</f>
        <v>0</v>
      </c>
    </row>
    <row r="2053" spans="1:53" ht="15.75" hidden="1" customHeight="1" outlineLevel="1">
      <c r="A2053" s="441"/>
      <c r="B2053" s="99"/>
      <c r="C2053" s="99"/>
      <c r="D2053" s="99"/>
      <c r="E2053" s="99"/>
      <c r="F2053" s="99"/>
      <c r="G2053" s="99"/>
      <c r="H2053" s="99"/>
      <c r="I2053" s="99"/>
      <c r="J2053" s="99"/>
      <c r="K2053" s="99"/>
      <c r="L2053" s="99"/>
      <c r="M2053" s="99"/>
      <c r="N2053" s="99"/>
      <c r="O2053" s="99"/>
      <c r="P2053" s="99"/>
      <c r="Q2053" s="99"/>
      <c r="R2053" s="99"/>
      <c r="S2053" s="99"/>
      <c r="T2053" s="99"/>
      <c r="U2053" s="99"/>
      <c r="V2053" s="99"/>
      <c r="W2053" s="86"/>
      <c r="AN2053" s="91">
        <f>IF($AQ$2010&gt;0,'Assumptions (Biomass)'!$V$13*Model!$AQ$2010*'Assumptions (Biomass)'!AM$2/10^9,0)</f>
        <v>0</v>
      </c>
      <c r="AO2053" s="91">
        <f>IF($AQ$2010&gt;0,'Assumptions (Biomass)'!$V$13*Model!$AQ$2010*'Assumptions (Biomass)'!AN$2/10^9,0)</f>
        <v>0</v>
      </c>
      <c r="AP2053" s="91">
        <f>IF($AQ$2010&gt;0,'Assumptions (Biomass)'!$V$13*Model!$AQ$2010*'Assumptions (Biomass)'!AO$2/10^9,0)</f>
        <v>0</v>
      </c>
    </row>
    <row r="2054" spans="1:53" ht="15.75" hidden="1" customHeight="1" outlineLevel="1">
      <c r="A2054" s="441"/>
      <c r="B2054" s="99"/>
      <c r="C2054" s="99"/>
      <c r="D2054" s="99"/>
      <c r="E2054" s="99"/>
      <c r="F2054" s="99"/>
      <c r="G2054" s="99"/>
      <c r="H2054" s="99"/>
      <c r="I2054" s="99"/>
      <c r="J2054" s="99"/>
      <c r="K2054" s="99"/>
      <c r="L2054" s="99"/>
      <c r="M2054" s="99"/>
      <c r="N2054" s="99"/>
      <c r="O2054" s="99"/>
      <c r="P2054" s="99"/>
      <c r="Q2054" s="99"/>
      <c r="R2054" s="99"/>
      <c r="S2054" s="99"/>
      <c r="T2054" s="99"/>
      <c r="U2054" s="99"/>
      <c r="V2054" s="99"/>
      <c r="W2054" s="86"/>
      <c r="AO2054" s="91">
        <f>IF($AR$2010&gt;0,'Assumptions (Biomass)'!$V$13*Model!$AR$2010*'Assumptions (Biomass)'!AN$2/10^9,0)</f>
        <v>0</v>
      </c>
      <c r="AP2054" s="91">
        <f>IF($AR$2010&gt;0,'Assumptions (Biomass)'!$V$13*Model!$AR$2010*'Assumptions (Biomass)'!AO$2/10^9,0)</f>
        <v>0</v>
      </c>
      <c r="AQ2054" s="91">
        <f>IF($AR$2010&gt;0,'Assumptions (Biomass)'!$V$13*Model!$AR$2010*'Assumptions (Biomass)'!AP$2/10^9,0)</f>
        <v>0</v>
      </c>
    </row>
    <row r="2055" spans="1:53" ht="15.75" hidden="1" customHeight="1" outlineLevel="1">
      <c r="A2055" s="441"/>
      <c r="B2055" s="99"/>
      <c r="C2055" s="99"/>
      <c r="D2055" s="99"/>
      <c r="E2055" s="99"/>
      <c r="F2055" s="99"/>
      <c r="G2055" s="99"/>
      <c r="H2055" s="99"/>
      <c r="I2055" s="99"/>
      <c r="J2055" s="99"/>
      <c r="K2055" s="99"/>
      <c r="L2055" s="99"/>
      <c r="M2055" s="99"/>
      <c r="N2055" s="99"/>
      <c r="O2055" s="99"/>
      <c r="P2055" s="99"/>
      <c r="Q2055" s="99"/>
      <c r="R2055" s="99"/>
      <c r="S2055" s="99"/>
      <c r="T2055" s="99"/>
      <c r="U2055" s="99"/>
      <c r="V2055" s="99"/>
      <c r="W2055" s="86"/>
      <c r="AP2055" s="91">
        <f>IF($AS$2010&gt;0,'Assumptions (Biomass)'!$V$13*Model!$AS$2010*'Assumptions (Biomass)'!AO$2/10^9,0)</f>
        <v>0</v>
      </c>
      <c r="AQ2055" s="91">
        <f>IF($AS$2010&gt;0,'Assumptions (Biomass)'!$V$13*Model!$AS$2010*'Assumptions (Biomass)'!AP$2/10^9,0)</f>
        <v>0</v>
      </c>
      <c r="AR2055" s="91">
        <f>IF($AS$2010&gt;0,'Assumptions (Biomass)'!$V$13*Model!$AS$2010*'Assumptions (Biomass)'!AQ$2/10^9,0)</f>
        <v>0</v>
      </c>
    </row>
    <row r="2056" spans="1:53" ht="15.75" hidden="1" customHeight="1" outlineLevel="1">
      <c r="A2056" s="441"/>
      <c r="B2056" s="99"/>
      <c r="C2056" s="99"/>
      <c r="D2056" s="99"/>
      <c r="E2056" s="99"/>
      <c r="F2056" s="99"/>
      <c r="G2056" s="99"/>
      <c r="H2056" s="99"/>
      <c r="I2056" s="99"/>
      <c r="J2056" s="99"/>
      <c r="K2056" s="99"/>
      <c r="L2056" s="99"/>
      <c r="M2056" s="99"/>
      <c r="N2056" s="99"/>
      <c r="O2056" s="99"/>
      <c r="P2056" s="99"/>
      <c r="Q2056" s="99"/>
      <c r="R2056" s="99"/>
      <c r="S2056" s="99"/>
      <c r="T2056" s="99"/>
      <c r="U2056" s="99"/>
      <c r="V2056" s="99"/>
      <c r="W2056" s="86"/>
      <c r="AQ2056" s="91">
        <f>IF($AT$2010&gt;0,'Assumptions (Biomass)'!$V$13*Model!$AT$2010*'Assumptions (Biomass)'!AP$2/10^9,0)</f>
        <v>0</v>
      </c>
      <c r="AR2056" s="91">
        <f>IF($AT$2010&gt;0,'Assumptions (Biomass)'!$V$13*Model!$AT$2010*'Assumptions (Biomass)'!AQ$2/10^9,0)</f>
        <v>0</v>
      </c>
      <c r="AS2056" s="91">
        <f>IF($AT$2010&gt;0,'Assumptions (Biomass)'!$V$13*Model!$AT$2010*'Assumptions (Biomass)'!AR$2/10^9,0)</f>
        <v>0</v>
      </c>
    </row>
    <row r="2057" spans="1:53" ht="15.75" hidden="1" customHeight="1" outlineLevel="1">
      <c r="A2057" s="441"/>
      <c r="B2057" s="99"/>
      <c r="C2057" s="99"/>
      <c r="D2057" s="99"/>
      <c r="E2057" s="99"/>
      <c r="F2057" s="99"/>
      <c r="G2057" s="99"/>
      <c r="H2057" s="99"/>
      <c r="I2057" s="99"/>
      <c r="J2057" s="99"/>
      <c r="K2057" s="99"/>
      <c r="L2057" s="99"/>
      <c r="M2057" s="99"/>
      <c r="N2057" s="99"/>
      <c r="O2057" s="99"/>
      <c r="P2057" s="99"/>
      <c r="Q2057" s="99"/>
      <c r="R2057" s="99"/>
      <c r="S2057" s="99"/>
      <c r="T2057" s="99"/>
      <c r="U2057" s="99"/>
      <c r="V2057" s="99"/>
      <c r="W2057" s="86"/>
      <c r="AR2057" s="91">
        <f>IF($AU$2010&gt;0,'Assumptions (Biomass)'!$V$13*Model!$AU$2010*'Assumptions (Biomass)'!AQ$2/10^9,0)</f>
        <v>0</v>
      </c>
      <c r="AS2057" s="91">
        <f>IF($AU$2010&gt;0,'Assumptions (Biomass)'!$V$13*Model!$AU$2010*'Assumptions (Biomass)'!AR$2/10^9,0)</f>
        <v>0</v>
      </c>
      <c r="AT2057" s="91">
        <f>IF($AU$2010&gt;0,'Assumptions (Biomass)'!$V$13*Model!$AU$2010*'Assumptions (Biomass)'!AS$2/10^9,0)</f>
        <v>0</v>
      </c>
    </row>
    <row r="2058" spans="1:53" ht="15.75" hidden="1" customHeight="1" outlineLevel="1">
      <c r="A2058" s="441"/>
      <c r="B2058" s="99"/>
      <c r="C2058" s="99"/>
      <c r="D2058" s="99"/>
      <c r="E2058" s="99"/>
      <c r="F2058" s="99"/>
      <c r="G2058" s="99"/>
      <c r="H2058" s="99"/>
      <c r="I2058" s="99"/>
      <c r="J2058" s="99"/>
      <c r="K2058" s="99"/>
      <c r="L2058" s="99"/>
      <c r="M2058" s="99"/>
      <c r="N2058" s="99"/>
      <c r="O2058" s="99"/>
      <c r="P2058" s="99"/>
      <c r="Q2058" s="99"/>
      <c r="R2058" s="99"/>
      <c r="S2058" s="99"/>
      <c r="T2058" s="99"/>
      <c r="U2058" s="99"/>
      <c r="V2058" s="99"/>
      <c r="W2058" s="86"/>
      <c r="AS2058" s="91">
        <f>IF($AV$2010&gt;0,'Assumptions (Biomass)'!$V$13*Model!$AV$2010*'Assumptions (Biomass)'!AR$2/10^9,0)</f>
        <v>0</v>
      </c>
      <c r="AT2058" s="91">
        <f>IF($AV$2010&gt;0,'Assumptions (Biomass)'!$V$13*Model!$AV$2010*'Assumptions (Biomass)'!AS$2/10^9,0)</f>
        <v>0</v>
      </c>
      <c r="AU2058" s="91">
        <f>IF($AV$2010&gt;0,'Assumptions (Biomass)'!$V$13*Model!$AV$2010*'Assumptions (Biomass)'!AT$2/10^9,0)</f>
        <v>0</v>
      </c>
    </row>
    <row r="2059" spans="1:53" ht="15.75" hidden="1" customHeight="1" outlineLevel="1">
      <c r="A2059" s="441"/>
      <c r="B2059" s="99"/>
      <c r="C2059" s="99"/>
      <c r="D2059" s="99"/>
      <c r="E2059" s="99"/>
      <c r="F2059" s="99"/>
      <c r="G2059" s="99"/>
      <c r="H2059" s="99"/>
      <c r="I2059" s="99"/>
      <c r="J2059" s="99"/>
      <c r="K2059" s="99"/>
      <c r="L2059" s="99"/>
      <c r="M2059" s="99"/>
      <c r="N2059" s="99"/>
      <c r="O2059" s="99"/>
      <c r="P2059" s="99"/>
      <c r="Q2059" s="99"/>
      <c r="R2059" s="99"/>
      <c r="S2059" s="99"/>
      <c r="T2059" s="99"/>
      <c r="U2059" s="99"/>
      <c r="V2059" s="99"/>
      <c r="W2059" s="86"/>
      <c r="AT2059" s="91">
        <f>IF($AW$2010&gt;0,'Assumptions (Biomass)'!$V$13*Model!$AW$2010*'Assumptions (Biomass)'!AS$2/10^9,0)</f>
        <v>0</v>
      </c>
      <c r="AU2059" s="91">
        <f>IF($AW$2010&gt;0,'Assumptions (Biomass)'!$V$13*Model!$AW$2010*'Assumptions (Biomass)'!AT$2/10^9,0)</f>
        <v>0</v>
      </c>
      <c r="AV2059" s="91">
        <f>IF($AW$2010&gt;0,'Assumptions (Biomass)'!$V$13*Model!$AW$2010*'Assumptions (Biomass)'!AU$2/10^9,0)</f>
        <v>0</v>
      </c>
    </row>
    <row r="2060" spans="1:53" ht="15.75" hidden="1" customHeight="1" outlineLevel="1">
      <c r="A2060" s="441"/>
      <c r="B2060" s="99"/>
      <c r="C2060" s="99"/>
      <c r="D2060" s="99"/>
      <c r="E2060" s="99"/>
      <c r="F2060" s="99"/>
      <c r="G2060" s="99"/>
      <c r="H2060" s="99"/>
      <c r="I2060" s="99"/>
      <c r="J2060" s="99"/>
      <c r="K2060" s="99"/>
      <c r="L2060" s="99"/>
      <c r="M2060" s="99"/>
      <c r="N2060" s="99"/>
      <c r="O2060" s="99"/>
      <c r="P2060" s="99"/>
      <c r="Q2060" s="99"/>
      <c r="R2060" s="99"/>
      <c r="S2060" s="99"/>
      <c r="T2060" s="99"/>
      <c r="U2060" s="99"/>
      <c r="V2060" s="99"/>
      <c r="W2060" s="86"/>
      <c r="AU2060" s="91">
        <f>IF($AX$2010&gt;0,'Assumptions (Biomass)'!$V$13*Model!$AX$2010*'Assumptions (Biomass)'!AT$2/10^9,0)</f>
        <v>0</v>
      </c>
      <c r="AV2060" s="91">
        <f>IF($AX$2010&gt;0,'Assumptions (Biomass)'!$V$13*Model!$AX$2010*'Assumptions (Biomass)'!AU$2/10^9,0)</f>
        <v>0</v>
      </c>
      <c r="AW2060" s="91">
        <f>IF($AX$2010&gt;0,'Assumptions (Biomass)'!$V$13*Model!$AX$2010*'Assumptions (Biomass)'!AV$2/10^9,0)</f>
        <v>0</v>
      </c>
    </row>
    <row r="2061" spans="1:53" ht="15.75" hidden="1" customHeight="1" outlineLevel="1">
      <c r="A2061" s="441"/>
      <c r="B2061" s="99"/>
      <c r="C2061" s="99"/>
      <c r="D2061" s="99"/>
      <c r="E2061" s="99"/>
      <c r="F2061" s="99"/>
      <c r="G2061" s="99"/>
      <c r="H2061" s="99"/>
      <c r="I2061" s="99"/>
      <c r="J2061" s="99"/>
      <c r="K2061" s="99"/>
      <c r="L2061" s="99"/>
      <c r="M2061" s="99"/>
      <c r="N2061" s="99"/>
      <c r="O2061" s="99"/>
      <c r="P2061" s="99"/>
      <c r="Q2061" s="99"/>
      <c r="R2061" s="99"/>
      <c r="S2061" s="99"/>
      <c r="T2061" s="99"/>
      <c r="U2061" s="99"/>
      <c r="V2061" s="99"/>
      <c r="W2061" s="86"/>
      <c r="AV2061" s="91">
        <f>IF($AY$2010&gt;0,'Assumptions (Biomass)'!$V$13*Model!$AY$2010*'Assumptions (Biomass)'!AU$2/10^9,0)</f>
        <v>0</v>
      </c>
      <c r="AW2061" s="91">
        <f>IF($AY$2010&gt;0,'Assumptions (Biomass)'!$V$13*Model!$AY$2010*'Assumptions (Biomass)'!AV$2/10^9,0)</f>
        <v>0</v>
      </c>
      <c r="AX2061" s="91">
        <f>IF($AY$2010&gt;0,'Assumptions (Biomass)'!$V$13*Model!$AY$2010*'Assumptions (Biomass)'!AW$2/10^9,0)</f>
        <v>0</v>
      </c>
    </row>
    <row r="2062" spans="1:53" ht="15.75" hidden="1" customHeight="1" outlineLevel="1">
      <c r="A2062" s="441"/>
      <c r="B2062" s="99"/>
      <c r="C2062" s="99"/>
      <c r="D2062" s="99"/>
      <c r="E2062" s="99"/>
      <c r="F2062" s="99"/>
      <c r="G2062" s="99"/>
      <c r="H2062" s="99"/>
      <c r="I2062" s="99"/>
      <c r="J2062" s="99"/>
      <c r="K2062" s="99"/>
      <c r="L2062" s="99"/>
      <c r="M2062" s="99"/>
      <c r="N2062" s="99"/>
      <c r="O2062" s="99"/>
      <c r="P2062" s="99"/>
      <c r="Q2062" s="99"/>
      <c r="R2062" s="99"/>
      <c r="S2062" s="99"/>
      <c r="T2062" s="99"/>
      <c r="U2062" s="99"/>
      <c r="V2062" s="99"/>
      <c r="W2062" s="86"/>
      <c r="AW2062" s="91">
        <f>IF($AZ$2010&gt;0,'Assumptions (Biomass)'!$V$13*Model!$AZ$2010*'Assumptions (Biomass)'!AV$2/10^9,0)</f>
        <v>0</v>
      </c>
      <c r="AX2062" s="91">
        <f>IF($AZ$2010&gt;0,'Assumptions (Biomass)'!$V$13*Model!$AZ$2010*'Assumptions (Biomass)'!AW$2/10^9,0)</f>
        <v>0</v>
      </c>
      <c r="AY2062" s="91">
        <f>IF($AZ$2010&gt;0,'Assumptions (Biomass)'!$V$13*Model!$AZ$2010*'Assumptions (Biomass)'!AX$2/10^9,0)</f>
        <v>0</v>
      </c>
    </row>
    <row r="2063" spans="1:53" ht="15.75" hidden="1" customHeight="1" outlineLevel="1">
      <c r="A2063" s="441"/>
      <c r="B2063" s="99"/>
      <c r="C2063" s="99"/>
      <c r="D2063" s="99"/>
      <c r="E2063" s="99"/>
      <c r="F2063" s="99"/>
      <c r="G2063" s="99"/>
      <c r="H2063" s="99"/>
      <c r="I2063" s="99"/>
      <c r="J2063" s="99"/>
      <c r="K2063" s="99"/>
      <c r="L2063" s="99"/>
      <c r="M2063" s="99"/>
      <c r="N2063" s="99"/>
      <c r="O2063" s="99"/>
      <c r="P2063" s="99"/>
      <c r="Q2063" s="99"/>
      <c r="R2063" s="99"/>
      <c r="S2063" s="99"/>
      <c r="T2063" s="99"/>
      <c r="U2063" s="99"/>
      <c r="V2063" s="99"/>
      <c r="W2063" s="86"/>
      <c r="AX2063" s="91">
        <f>IF($BA$2010&gt;0,'Assumptions (Biomass)'!$V$13*Model!$BA$2010*'Assumptions (Biomass)'!AW$2/10^9,0)</f>
        <v>0</v>
      </c>
      <c r="AY2063" s="91">
        <f>IF($BA$2010&gt;0,'Assumptions (Biomass)'!$V$13*Model!$BA$2010*'Assumptions (Biomass)'!AX$2/10^9,0)</f>
        <v>0</v>
      </c>
      <c r="AZ2063" s="91">
        <f>IF($BA$2010&gt;0,'Assumptions (Biomass)'!$V$13*Model!$BA$2010*'Assumptions (Biomass)'!AY$2/10^9,0)</f>
        <v>0</v>
      </c>
    </row>
    <row r="2064" spans="1:53" ht="15.75" customHeight="1" collapsed="1">
      <c r="A2064" s="443" t="s">
        <v>52</v>
      </c>
      <c r="B2064" s="99" t="s">
        <v>201</v>
      </c>
      <c r="C2064" s="417">
        <f>'Assumptions (Biomass)'!$V$4*Model!C2012</f>
        <v>0.1734715917250107</v>
      </c>
      <c r="D2064" s="417">
        <f>'Assumptions (Biomass)'!$V$4*Model!D2012</f>
        <v>6.4845013397367632E-2</v>
      </c>
      <c r="E2064" s="417">
        <f>'Assumptions (Biomass)'!$V$4*Model!E2012</f>
        <v>6.3401671913137031E-2</v>
      </c>
      <c r="F2064" s="417">
        <f>'Assumptions (Biomass)'!$V$4*Model!F2012</f>
        <v>8.9496295626132052E-2</v>
      </c>
      <c r="G2064" s="417">
        <f>'Assumptions (Biomass)'!$V$4*Model!G2012</f>
        <v>0.11946029113784759</v>
      </c>
      <c r="H2064" s="417">
        <f>'Assumptions (Biomass)'!$V$4*Model!H2012</f>
        <v>0.18878974470592497</v>
      </c>
      <c r="I2064" s="417">
        <f>'Assumptions (Biomass)'!$V$4*Model!I2012</f>
        <v>0.20466268011251976</v>
      </c>
      <c r="J2064" s="417">
        <f>'Assumptions (Biomass)'!$V$4*Model!J2012</f>
        <v>0.19416259478500789</v>
      </c>
      <c r="K2064" s="417">
        <f>'Assumptions (Biomass)'!$V$4*Model!K2012</f>
        <v>0.21147883719800634</v>
      </c>
      <c r="L2064" s="417">
        <f>'Assumptions (Biomass)'!$V$4*Model!L2012</f>
        <v>0.25329537362455801</v>
      </c>
      <c r="M2064" s="417">
        <f>'Assumptions (Biomass)'!$V$4*Model!M2012</f>
        <v>0.58131288246836066</v>
      </c>
      <c r="N2064" s="417">
        <f>'Assumptions (Biomass)'!$V$4*Model!N2012</f>
        <v>0.58452728963522593</v>
      </c>
      <c r="O2064" s="417">
        <f>'Assumptions (Biomass)'!$V$4*Model!O2012</f>
        <v>0.56183198860823769</v>
      </c>
      <c r="P2064" s="417">
        <f>'Assumptions (Biomass)'!$V$4*Model!P2012</f>
        <v>0.18498799626781703</v>
      </c>
      <c r="Q2064" s="417">
        <f>'Assumptions (Biomass)'!$V$4*Model!Q2012</f>
        <v>0.18725675479192502</v>
      </c>
      <c r="R2064" s="417">
        <f>'Assumptions (Biomass)'!$V$4*Model!R2012</f>
        <v>0.11058369971303923</v>
      </c>
      <c r="S2064" s="417">
        <f>'Assumptions (Biomass)'!$V$4*Model!S2012</f>
        <v>0.21424740373567608</v>
      </c>
      <c r="T2064" s="417">
        <f>'Assumptions (Biomass)'!$V$4*Model!T2012</f>
        <v>0.16415236221362825</v>
      </c>
      <c r="U2064" s="417">
        <f>'Assumptions (Biomass)'!$V$4*Model!U2012</f>
        <v>0.15452739331026527</v>
      </c>
      <c r="V2064" s="417">
        <f>'Assumptions (Biomass)'!$V$4*Model!V2012</f>
        <v>3.8370000000000001E-2</v>
      </c>
      <c r="W2064" s="417">
        <f>'Assumptions (Biomass)'!$V$4*Model!W2012</f>
        <v>0</v>
      </c>
      <c r="X2064" s="417">
        <f>'Assumptions (Biomass)'!$V$4*Model!X2012</f>
        <v>0</v>
      </c>
      <c r="Y2064" s="417">
        <f>'Assumptions (Biomass)'!$V$4*Model!Y2012</f>
        <v>0</v>
      </c>
      <c r="Z2064" s="417">
        <f>'Assumptions (Biomass)'!$V$4*Model!Z2012</f>
        <v>0</v>
      </c>
      <c r="AA2064" s="417">
        <f>'Assumptions (Biomass)'!$V$4*Model!AA2012</f>
        <v>0</v>
      </c>
      <c r="AB2064" s="417">
        <f>'Assumptions (Biomass)'!$V$4*Model!AB2012</f>
        <v>0</v>
      </c>
      <c r="AC2064" s="417">
        <f>'Assumptions (Biomass)'!$V$4*Model!AC2012</f>
        <v>0</v>
      </c>
      <c r="AD2064" s="417">
        <f>'Assumptions (Biomass)'!$V$4*Model!AD2012</f>
        <v>0</v>
      </c>
      <c r="AE2064" s="417">
        <f>'Assumptions (Biomass)'!$V$4*Model!AE2012</f>
        <v>0</v>
      </c>
      <c r="AF2064" s="417">
        <f>'Assumptions (Biomass)'!$V$4*Model!AF2012</f>
        <v>0</v>
      </c>
      <c r="AG2064" s="417">
        <f>'Assumptions (Biomass)'!$V$4*Model!AG2012</f>
        <v>0</v>
      </c>
      <c r="AH2064" s="417">
        <f>'Assumptions (Biomass)'!$V$4*Model!AH2012</f>
        <v>0</v>
      </c>
      <c r="AI2064" s="417">
        <f>'Assumptions (Biomass)'!$V$4*Model!AI2012</f>
        <v>0</v>
      </c>
      <c r="AJ2064" s="417">
        <f>'Assumptions (Biomass)'!$V$4*Model!AJ2012</f>
        <v>0</v>
      </c>
      <c r="AK2064" s="417">
        <f>'Assumptions (Biomass)'!$V$4*Model!AK2012</f>
        <v>0</v>
      </c>
      <c r="AL2064" s="417">
        <f>'Assumptions (Biomass)'!$V$4*Model!AL2012</f>
        <v>0</v>
      </c>
      <c r="AM2064" s="417">
        <f>'Assumptions (Biomass)'!$V$4*Model!AM2012</f>
        <v>0</v>
      </c>
      <c r="AN2064" s="417">
        <f>'Assumptions (Biomass)'!$V$4*Model!AN2012</f>
        <v>0</v>
      </c>
      <c r="AO2064" s="417">
        <f>'Assumptions (Biomass)'!$V$4*Model!AO2012</f>
        <v>0</v>
      </c>
      <c r="AP2064" s="417">
        <f>'Assumptions (Biomass)'!$V$4*Model!AP2012</f>
        <v>0</v>
      </c>
      <c r="AQ2064" s="417">
        <f>'Assumptions (Biomass)'!$V$4*Model!AQ2012</f>
        <v>0</v>
      </c>
      <c r="AR2064" s="417">
        <f>'Assumptions (Biomass)'!$V$4*Model!AR2012</f>
        <v>0</v>
      </c>
      <c r="AS2064" s="417">
        <f>'Assumptions (Biomass)'!$V$4*Model!AS2012</f>
        <v>0</v>
      </c>
      <c r="AT2064" s="417">
        <f>'Assumptions (Biomass)'!$V$4*Model!AT2012</f>
        <v>0</v>
      </c>
      <c r="AU2064" s="417">
        <f>'Assumptions (Biomass)'!$V$4*Model!AU2012</f>
        <v>0</v>
      </c>
      <c r="AV2064" s="417">
        <f>'Assumptions (Biomass)'!$V$4*Model!AV2012</f>
        <v>0</v>
      </c>
      <c r="AW2064" s="417">
        <f>'Assumptions (Biomass)'!$V$4*Model!AW2012</f>
        <v>0</v>
      </c>
      <c r="AX2064" s="417">
        <f>'Assumptions (Biomass)'!$V$4*Model!AX2012</f>
        <v>0</v>
      </c>
      <c r="AY2064" s="417">
        <f>'Assumptions (Biomass)'!$V$4*Model!AY2012</f>
        <v>0</v>
      </c>
      <c r="AZ2064" s="417">
        <f>'Assumptions (Biomass)'!$V$4*Model!AZ2012</f>
        <v>0</v>
      </c>
      <c r="BA2064" s="417">
        <f>'Assumptions (Biomass)'!$V$4*Model!BA2012</f>
        <v>0</v>
      </c>
    </row>
    <row r="2065" spans="1:68" ht="15.75" customHeight="1">
      <c r="A2065" s="443" t="s">
        <v>54</v>
      </c>
      <c r="B2065" s="99" t="s">
        <v>201</v>
      </c>
      <c r="C2065" s="150">
        <f>'Assumptions (Biomass)'!$V$5*Model!C2012</f>
        <v>0.11564772781667382</v>
      </c>
      <c r="D2065" s="150">
        <f>'Assumptions (Biomass)'!$V$5*Model!D2012</f>
        <v>4.3230008931578426E-2</v>
      </c>
      <c r="E2065" s="150">
        <f>'Assumptions (Biomass)'!$V$5*Model!E2012</f>
        <v>4.2267781275424694E-2</v>
      </c>
      <c r="F2065" s="150">
        <f>'Assumptions (Biomass)'!$V$5*Model!F2012</f>
        <v>5.9664197084088037E-2</v>
      </c>
      <c r="G2065" s="150">
        <f>'Assumptions (Biomass)'!$V$5*Model!G2012</f>
        <v>7.9640194091898403E-2</v>
      </c>
      <c r="H2065" s="150">
        <f>'Assumptions (Biomass)'!$V$5*Model!H2012</f>
        <v>0.12585982980395</v>
      </c>
      <c r="I2065" s="150">
        <f>'Assumptions (Biomass)'!$V$5*Model!I2012</f>
        <v>0.13644178674167984</v>
      </c>
      <c r="J2065" s="150">
        <f>'Assumptions (Biomass)'!$V$5*Model!J2012</f>
        <v>0.12944172985667193</v>
      </c>
      <c r="K2065" s="150">
        <f>'Assumptions (Biomass)'!$V$5*Model!K2012</f>
        <v>0.14098589146533755</v>
      </c>
      <c r="L2065" s="150">
        <f>'Assumptions (Biomass)'!$V$5*Model!L2012</f>
        <v>0.168863582416372</v>
      </c>
      <c r="M2065" s="150">
        <f>'Assumptions (Biomass)'!$V$5*Model!M2012</f>
        <v>0.38754192164557383</v>
      </c>
      <c r="N2065" s="150">
        <f>'Assumptions (Biomass)'!$V$5*Model!N2012</f>
        <v>0.38968485975681733</v>
      </c>
      <c r="O2065" s="150">
        <f>'Assumptions (Biomass)'!$V$5*Model!O2012</f>
        <v>0.37455465907215846</v>
      </c>
      <c r="P2065" s="150">
        <f>'Assumptions (Biomass)'!$V$5*Model!P2012</f>
        <v>0.12332533084521136</v>
      </c>
      <c r="Q2065" s="150">
        <f>'Assumptions (Biomass)'!$V$5*Model!Q2012</f>
        <v>0.12483783652795002</v>
      </c>
      <c r="R2065" s="150">
        <f>'Assumptions (Biomass)'!$V$5*Model!R2012</f>
        <v>7.3722466475359502E-2</v>
      </c>
      <c r="S2065" s="150">
        <f>'Assumptions (Biomass)'!$V$5*Model!S2012</f>
        <v>0.14283160249045074</v>
      </c>
      <c r="T2065" s="150">
        <f>'Assumptions (Biomass)'!$V$5*Model!T2012</f>
        <v>0.10943490814241884</v>
      </c>
      <c r="U2065" s="150">
        <f>'Assumptions (Biomass)'!$V$5*Model!U2012</f>
        <v>0.10301826220684351</v>
      </c>
      <c r="V2065" s="150">
        <f>'Assumptions (Biomass)'!$V$5*Model!V2012</f>
        <v>2.5580000000000006E-2</v>
      </c>
      <c r="W2065" s="150">
        <f>'Assumptions (Biomass)'!$V$5*Model!W2012</f>
        <v>0</v>
      </c>
      <c r="X2065" s="150">
        <f>'Assumptions (Biomass)'!$V$5*Model!X2012</f>
        <v>0</v>
      </c>
      <c r="Y2065" s="150">
        <f>'Assumptions (Biomass)'!$V$5*Model!Y2012</f>
        <v>0</v>
      </c>
      <c r="Z2065" s="150">
        <f>'Assumptions (Biomass)'!$V$5*Model!Z2012</f>
        <v>0</v>
      </c>
      <c r="AA2065" s="150">
        <f>'Assumptions (Biomass)'!$V$5*Model!AA2012</f>
        <v>0</v>
      </c>
      <c r="AB2065" s="150">
        <f>'Assumptions (Biomass)'!$V$5*Model!AB2012</f>
        <v>0</v>
      </c>
      <c r="AC2065" s="150">
        <f>'Assumptions (Biomass)'!$V$5*Model!AC2012</f>
        <v>0</v>
      </c>
      <c r="AD2065" s="150">
        <f>'Assumptions (Biomass)'!$V$5*Model!AD2012</f>
        <v>0</v>
      </c>
      <c r="AE2065" s="150">
        <f>'Assumptions (Biomass)'!$V$5*Model!AE2012</f>
        <v>0</v>
      </c>
      <c r="AF2065" s="150">
        <f>'Assumptions (Biomass)'!$V$5*Model!AF2012</f>
        <v>0</v>
      </c>
      <c r="AG2065" s="150">
        <f>'Assumptions (Biomass)'!$V$5*Model!AG2012</f>
        <v>0</v>
      </c>
      <c r="AH2065" s="150">
        <f>'Assumptions (Biomass)'!$V$5*Model!AH2012</f>
        <v>0</v>
      </c>
      <c r="AI2065" s="150">
        <f>'Assumptions (Biomass)'!$V$5*Model!AI2012</f>
        <v>0</v>
      </c>
      <c r="AJ2065" s="150">
        <f>'Assumptions (Biomass)'!$V$5*Model!AJ2012</f>
        <v>0</v>
      </c>
      <c r="AK2065" s="150">
        <f>'Assumptions (Biomass)'!$V$5*Model!AK2012</f>
        <v>0</v>
      </c>
      <c r="AL2065" s="150">
        <f>'Assumptions (Biomass)'!$V$5*Model!AL2012</f>
        <v>0</v>
      </c>
      <c r="AM2065" s="150">
        <f>'Assumptions (Biomass)'!$V$5*Model!AM2012</f>
        <v>0</v>
      </c>
      <c r="AN2065" s="150">
        <f>'Assumptions (Biomass)'!$V$5*Model!AN2012</f>
        <v>0</v>
      </c>
      <c r="AO2065" s="150">
        <f>'Assumptions (Biomass)'!$V$5*Model!AO2012</f>
        <v>0</v>
      </c>
      <c r="AP2065" s="150">
        <f>'Assumptions (Biomass)'!$V$5*Model!AP2012</f>
        <v>0</v>
      </c>
      <c r="AQ2065" s="150">
        <f>'Assumptions (Biomass)'!$V$5*Model!AQ2012</f>
        <v>0</v>
      </c>
      <c r="AR2065" s="150">
        <f>'Assumptions (Biomass)'!$V$5*Model!AR2012</f>
        <v>0</v>
      </c>
      <c r="AS2065" s="150">
        <f>'Assumptions (Biomass)'!$V$5*Model!AS2012</f>
        <v>0</v>
      </c>
      <c r="AT2065" s="150">
        <f>'Assumptions (Biomass)'!$V$5*Model!AT2012</f>
        <v>0</v>
      </c>
      <c r="AU2065" s="150">
        <f>'Assumptions (Biomass)'!$V$5*Model!AU2012</f>
        <v>0</v>
      </c>
      <c r="AV2065" s="150">
        <f>'Assumptions (Biomass)'!$V$5*Model!AV2012</f>
        <v>0</v>
      </c>
      <c r="AW2065" s="150">
        <f>'Assumptions (Biomass)'!$V$5*Model!AW2012</f>
        <v>0</v>
      </c>
      <c r="AX2065" s="150">
        <f>'Assumptions (Biomass)'!$V$5*Model!AX2012</f>
        <v>0</v>
      </c>
      <c r="AY2065" s="150">
        <f>'Assumptions (Biomass)'!$V$5*Model!AY2012</f>
        <v>0</v>
      </c>
      <c r="AZ2065" s="150">
        <f>'Assumptions (Biomass)'!$V$5*Model!AZ2012</f>
        <v>0</v>
      </c>
      <c r="BA2065" s="150">
        <f>'Assumptions (Biomass)'!$V$5*Model!BA2012</f>
        <v>0</v>
      </c>
    </row>
    <row r="2066" spans="1:68" ht="15.75" customHeight="1">
      <c r="A2066" s="443" t="s">
        <v>336</v>
      </c>
      <c r="B2066" s="99" t="s">
        <v>201</v>
      </c>
      <c r="C2066" s="91">
        <f t="array" ref="C2066">SUM(IF(ISERROR(C2067:C2117),"",C2067:C2117))</f>
        <v>-4.6822651594770039E-4</v>
      </c>
      <c r="D2066" s="91">
        <f t="array" ref="D2066">SUM(IF(ISERROR(D2067:D2117),"",D2067:D2117))</f>
        <v>-6.4457232751650318E-3</v>
      </c>
      <c r="E2066" s="91">
        <f t="array" ref="E2066">SUM(IF(ISERROR(E2067:E2117),"",E2067:E2117))</f>
        <v>-7.2617499103665448E-3</v>
      </c>
      <c r="F2066" s="91">
        <f t="array" ref="F2066">SUM(IF(ISERROR(F2067:F2117),"",F2067:F2117))</f>
        <v>-1.1987661010596055E-2</v>
      </c>
      <c r="G2066" s="91">
        <f t="array" ref="G2066">SUM(IF(ISERROR(G2067:G2117),"",G2067:G2117))</f>
        <v>-1.6934321220301553E-2</v>
      </c>
      <c r="H2066" s="91">
        <f t="array" ref="H2066">SUM(IF(ISERROR(H2067:H2117),"",H2067:H2117))</f>
        <v>-1.7878468856149098E-2</v>
      </c>
      <c r="I2066" s="91">
        <f t="array" ref="I2066">SUM(IF(ISERROR(I2067:I2117),"",I2067:I2117))</f>
        <v>-2.6964653596734015E-2</v>
      </c>
      <c r="J2066" s="91">
        <f t="array" ref="J2066">SUM(IF(ISERROR(J2067:J2117),"",J2067:J2117))</f>
        <v>-3.6962234885119419E-2</v>
      </c>
      <c r="K2066" s="91">
        <f t="array" ref="K2066">SUM(IF(ISERROR(K2067:K2117),"",K2067:K2117))</f>
        <v>-4.8540170674498548E-2</v>
      </c>
      <c r="L2066" s="91">
        <f t="array" ref="L2066">SUM(IF(ISERROR(L2067:L2117),"",L2067:L2117))</f>
        <v>-6.13351789768211E-2</v>
      </c>
      <c r="M2066" s="91">
        <f t="array" ref="M2066">SUM(IF(ISERROR(M2067:M2117),"",M2067:M2117))</f>
        <v>-7.1389931137615034E-2</v>
      </c>
      <c r="N2066" s="91">
        <f t="array" ref="N2066">SUM(IF(ISERROR(N2067:N2117),"",N2067:N2117))</f>
        <v>-8.7145657674061294E-2</v>
      </c>
      <c r="O2066" s="91">
        <f t="array" ref="O2066">SUM(IF(ISERROR(O2067:O2117),"",O2067:O2117))</f>
        <v>-0.10784835927348493</v>
      </c>
      <c r="P2066" s="91">
        <f t="array" ref="P2066">SUM(IF(ISERROR(P2067:P2117),"",P2067:P2117))</f>
        <v>-0.16722112554063959</v>
      </c>
      <c r="Q2066" s="91">
        <f t="array" ref="Q2066">SUM(IF(ISERROR(Q2067:Q2117),"",Q2067:Q2117))</f>
        <v>-0.18707000938206075</v>
      </c>
      <c r="R2066" s="91">
        <f t="array" ref="R2066">SUM(IF(ISERROR(R2067:R2117),"",R2067:R2117))</f>
        <v>-0.20762441504895815</v>
      </c>
      <c r="S2066" s="91">
        <f t="array" ref="S2066">SUM(IF(ISERROR(S2067:S2117),"",S2067:S2117))</f>
        <v>-0.20702770538953746</v>
      </c>
      <c r="T2066" s="91">
        <f t="array" ref="T2066">SUM(IF(ISERROR(T2067:T2117),"",T2067:T2117))</f>
        <v>-0.228266614412064</v>
      </c>
      <c r="U2066" s="91">
        <f t="array" ref="U2066">SUM(IF(ISERROR(U2067:U2117),"",U2067:U2117))</f>
        <v>-0.23207926739504212</v>
      </c>
      <c r="V2066" s="91">
        <f t="array" ref="V2066">SUM(IF(ISERROR(V2067:V2117),"",V2067:V2117))</f>
        <v>-0.25056190324177979</v>
      </c>
      <c r="W2066" s="91">
        <f t="array" ref="W2066">SUM(IF(ISERROR(W2067:W2117),"",W2067:W2117))</f>
        <v>-0.2675129740012579</v>
      </c>
      <c r="X2066" s="91">
        <f t="array" ref="X2066">SUM(IF(ISERROR(X2067:X2117),"",X2067:X2117))</f>
        <v>-0.26369728176833473</v>
      </c>
      <c r="Y2066" s="91">
        <f t="array" ref="Y2066">SUM(IF(ISERROR(Y2067:Y2117),"",Y2067:Y2117))</f>
        <v>-0.25873790512184036</v>
      </c>
      <c r="Z2066" s="91">
        <f t="array" ref="Z2066">SUM(IF(ISERROR(Z2067:Z2117),"",Z2067:Z2117))</f>
        <v>-0.25132549092794387</v>
      </c>
      <c r="AA2066" s="91">
        <f t="array" ref="AA2066">SUM(IF(ISERROR(AA2067:AA2117),"",AA2067:AA2117))</f>
        <v>-0.24222280623678832</v>
      </c>
      <c r="AB2066" s="91">
        <f t="array" ref="AB2066">SUM(IF(ISERROR(AB2067:AB2117),"",AB2067:AB2117))</f>
        <v>-0.23940355390465079</v>
      </c>
      <c r="AC2066" s="91">
        <f t="array" ref="AC2066">SUM(IF(ISERROR(AC2067:AC2117),"",AC2067:AC2117))</f>
        <v>-0.22597279302711798</v>
      </c>
      <c r="AD2066" s="91">
        <f t="array" ref="AD2066">SUM(IF(ISERROR(AD2067:AD2117),"",AD2067:AD2117))</f>
        <v>-0.20348212009531524</v>
      </c>
      <c r="AE2066" s="91">
        <f t="array" ref="AE2066">SUM(IF(ISERROR(AE2067:AE2117),"",AE2067:AE2117))</f>
        <v>-0.10432720784790445</v>
      </c>
      <c r="AF2066" s="91">
        <f t="array" ref="AF2066">SUM(IF(ISERROR(AF2067:AF2117),"",AF2067:AF2117))</f>
        <v>-8.5400678990144377E-2</v>
      </c>
      <c r="AG2066" s="91">
        <f t="array" ref="AG2066">SUM(IF(ISERROR(AG2067:AG2117),"",AG2067:AG2117))</f>
        <v>-6.4167158820777295E-2</v>
      </c>
      <c r="AH2066" s="91">
        <f t="array" ref="AH2066">SUM(IF(ISERROR(AH2067:AH2117),"",AH2067:AH2117))</f>
        <v>-6.4232695385519969E-2</v>
      </c>
      <c r="AI2066" s="91">
        <f t="array" ref="AI2066">SUM(IF(ISERROR(AI2067:AI2117),"",AI2067:AI2117))</f>
        <v>-4.2354728581121964E-2</v>
      </c>
      <c r="AJ2066" s="91">
        <f t="array" ref="AJ2066">SUM(IF(ISERROR(AJ2067:AJ2117),"",AJ2067:AJ2117))</f>
        <v>-4.0840563893491472E-2</v>
      </c>
      <c r="AK2066" s="91">
        <f t="array" ref="AK2066">SUM(IF(ISERROR(AK2067:AK2117),"",AK2067:AK2117))</f>
        <v>-1.0206163186406936E-2</v>
      </c>
      <c r="AL2066" s="91">
        <f t="array" ref="AL2066">SUM(IF(ISERROR(AL2067:AL2117),"",AL2067:AL2117))</f>
        <v>0</v>
      </c>
      <c r="AM2066" s="91">
        <f t="array" ref="AM2066">SUM(IF(ISERROR(AM2067:AM2117),"",AM2067:AM2117))</f>
        <v>0</v>
      </c>
      <c r="AN2066" s="91">
        <f t="array" ref="AN2066">SUM(IF(ISERROR(AN2067:AN2117),"",AN2067:AN2117))</f>
        <v>0</v>
      </c>
      <c r="AO2066" s="91">
        <f t="array" ref="AO2066">SUM(IF(ISERROR(AO2067:AO2117),"",AO2067:AO2117))</f>
        <v>0</v>
      </c>
      <c r="AP2066" s="91">
        <f t="array" ref="AP2066">SUM(IF(ISERROR(AP2067:AP2117),"",AP2067:AP2117))</f>
        <v>0</v>
      </c>
      <c r="AQ2066" s="91">
        <f t="array" ref="AQ2066">SUM(IF(ISERROR(AQ2067:AQ2117),"",AQ2067:AQ2117))</f>
        <v>0</v>
      </c>
      <c r="AR2066" s="91">
        <f t="array" ref="AR2066">SUM(IF(ISERROR(AR2067:AR2117),"",AR2067:AR2117))</f>
        <v>0</v>
      </c>
      <c r="AS2066" s="91">
        <f t="array" ref="AS2066">SUM(IF(ISERROR(AS2067:AS2117),"",AS2067:AS2117))</f>
        <v>0</v>
      </c>
      <c r="AT2066" s="91">
        <f t="array" ref="AT2066">SUM(IF(ISERROR(AT2067:AT2117),"",AT2067:AT2117))</f>
        <v>0</v>
      </c>
      <c r="AU2066" s="91">
        <f t="array" ref="AU2066">SUM(IF(ISERROR(AU2067:AU2117),"",AU2067:AU2117))</f>
        <v>0</v>
      </c>
      <c r="AV2066" s="91">
        <f t="array" ref="AV2066">SUM(IF(ISERROR(AV2067:AV2117),"",AV2067:AV2117))</f>
        <v>0</v>
      </c>
      <c r="AW2066" s="91">
        <f t="array" ref="AW2066">SUM(IF(ISERROR(AW2067:AW2117),"",AW2067:AW2117))</f>
        <v>0</v>
      </c>
      <c r="AX2066" s="91">
        <f t="array" ref="AX2066">SUM(IF(ISERROR(AX2067:AX2117),"",AX2067:AX2117))</f>
        <v>0</v>
      </c>
      <c r="AY2066" s="91">
        <f t="array" ref="AY2066">SUM(IF(ISERROR(AY2067:AY2117),"",AY2067:AY2117))</f>
        <v>0</v>
      </c>
      <c r="AZ2066" s="91">
        <f t="array" ref="AZ2066">SUM(IF(ISERROR(AZ2067:AZ2117),"",AZ2067:AZ2117))</f>
        <v>0</v>
      </c>
      <c r="BA2066" s="91">
        <f t="array" ref="BA2066">SUM(IF(ISERROR(BA2067:BA2117),"",BA2067:BA2117))</f>
        <v>0</v>
      </c>
      <c r="BB2066" s="91">
        <f t="array" ref="BB2066">SUM(IF(ISERROR(BB2067:BB2117),"",BB2067:BB2117))</f>
        <v>0</v>
      </c>
      <c r="BC2066" s="91">
        <f t="array" ref="BC2066">SUM(IF(ISERROR(BC2067:BC2117),"",BC2067:BC2117))</f>
        <v>0</v>
      </c>
      <c r="BD2066" s="91">
        <f t="array" ref="BD2066">SUM(IF(ISERROR(BD2067:BD2117),"",BD2067:BD2117))</f>
        <v>0</v>
      </c>
      <c r="BE2066" s="91">
        <f t="array" ref="BE2066">SUM(IF(ISERROR(BE2067:BE2117),"",BE2067:BE2117))</f>
        <v>0</v>
      </c>
      <c r="BF2066" s="91">
        <f t="array" ref="BF2066">SUM(IF(ISERROR(BF2067:BF2117),"",BF2067:BF2117))</f>
        <v>0</v>
      </c>
      <c r="BG2066" s="91">
        <f t="array" ref="BG2066">SUM(IF(ISERROR(BG2067:BG2117),"",BG2067:BG2117))</f>
        <v>0</v>
      </c>
      <c r="BH2066" s="91">
        <f t="array" ref="BH2066">SUM(IF(ISERROR(BH2067:BH2117),"",BH2067:BH2117))</f>
        <v>0</v>
      </c>
      <c r="BI2066" s="91">
        <f t="array" ref="BI2066">SUM(IF(ISERROR(BI2067:BI2117),"",BI2067:BI2117))</f>
        <v>0</v>
      </c>
      <c r="BJ2066" s="91">
        <f t="array" ref="BJ2066">SUM(IF(ISERROR(BJ2067:BJ2117),"",BJ2067:BJ2117))</f>
        <v>0</v>
      </c>
      <c r="BK2066" s="91">
        <f t="array" ref="BK2066">SUM(IF(ISERROR(BK2067:BK2117),"",BK2067:BK2117))</f>
        <v>0</v>
      </c>
      <c r="BL2066" s="91">
        <f t="array" ref="BL2066">SUM(IF(ISERROR(BL2067:BL2117),"",BL2067:BL2117))</f>
        <v>0</v>
      </c>
      <c r="BM2066" s="91">
        <f t="array" ref="BM2066">SUM(IF(ISERROR(BM2067:BM2117),"",BM2067:BM2117))</f>
        <v>0</v>
      </c>
      <c r="BN2066" s="91">
        <f t="array" ref="BN2066">SUM(IF(ISERROR(BN2067:BN2117),"",BN2067:BN2117))</f>
        <v>0</v>
      </c>
      <c r="BO2066" s="91">
        <f t="array" ref="BO2066">SUM(IF(ISERROR(BO2067:BO2117),"",BO2067:BO2117))</f>
        <v>0</v>
      </c>
      <c r="BP2066" s="91"/>
    </row>
    <row r="2067" spans="1:68" ht="15.75" hidden="1" customHeight="1" outlineLevel="1">
      <c r="A2067" s="441"/>
      <c r="B2067" s="99"/>
      <c r="C2067" s="91">
        <f>IF($C$2010&gt;0,PPMT('Assumptions (Biomass)'!$V$6,Model!W$1,'Assumptions (Biomass)'!$V$9,'Assumptions (Biomass)'!$V$4*Model!$C$2010*'Assumptions (Biomass)'!$B$2/10^9),0)</f>
        <v>-4.6822651594770039E-4</v>
      </c>
      <c r="D2067" s="91">
        <f>IF($C$2010&gt;0,PPMT('Assumptions (Biomass)'!$V$6,Model!X$1,'Assumptions (Biomass)'!$V$9,'Assumptions (Biomass)'!$V$4*Model!$C$2010*'Assumptions (Biomass)'!$B$2/10^9),0)</f>
        <v>-4.9046727545521622E-4</v>
      </c>
      <c r="E2067" s="91">
        <f>IF($C$2010&gt;0,PPMT('Assumptions (Biomass)'!$V$6,Model!Y$1,'Assumptions (Biomass)'!$V$9,'Assumptions (Biomass)'!$V$4*Model!$C$2010*'Assumptions (Biomass)'!$B$2/10^9),0)</f>
        <v>-5.1376447103933893E-4</v>
      </c>
      <c r="F2067" s="91">
        <f>IF($C$2010&gt;0,PPMT('Assumptions (Biomass)'!$V$6,Model!Z$1,'Assumptions (Biomass)'!$V$9,'Assumptions (Biomass)'!$V$4*Model!$C$2010*'Assumptions (Biomass)'!$B$2/10^9),0)</f>
        <v>-5.3816828341370743E-4</v>
      </c>
      <c r="G2067" s="91">
        <f>IF($C$2010&gt;0,PPMT('Assumptions (Biomass)'!$V$6,Model!AA$1,'Assumptions (Biomass)'!$V$9,'Assumptions (Biomass)'!$V$4*Model!$C$2010*'Assumptions (Biomass)'!$B$2/10^9),0)</f>
        <v>-5.6373127687585865E-4</v>
      </c>
      <c r="H2067" s="91">
        <f>IF($C$2010&gt;0,PPMT('Assumptions (Biomass)'!$V$6,Model!AB$1,'Assumptions (Biomass)'!$V$9,'Assumptions (Biomass)'!$V$4*Model!$C$2010*'Assumptions (Biomass)'!$B$2/10^9),0)</f>
        <v>-5.9050851252746188E-4</v>
      </c>
      <c r="I2067" s="91">
        <f>IF($C$2010&gt;0,PPMT('Assumptions (Biomass)'!$V$6,Model!AC$1,'Assumptions (Biomass)'!$V$9,'Assumptions (Biomass)'!$V$4*Model!$C$2010*'Assumptions (Biomass)'!$B$2/10^9),0)</f>
        <v>-6.1855766687251635E-4</v>
      </c>
      <c r="J2067" s="91">
        <f>IF($C$2010&gt;0,PPMT('Assumptions (Biomass)'!$V$6,Model!AD$1,'Assumptions (Biomass)'!$V$9,'Assumptions (Biomass)'!$V$4*Model!$C$2010*'Assumptions (Biomass)'!$B$2/10^9),0)</f>
        <v>-6.4793915604896091E-4</v>
      </c>
      <c r="K2067" s="91">
        <f>IF($C$2010&gt;0,PPMT('Assumptions (Biomass)'!$V$6,Model!AE$1,'Assumptions (Biomass)'!$V$9,'Assumptions (Biomass)'!$V$4*Model!$C$2010*'Assumptions (Biomass)'!$B$2/10^9),0)</f>
        <v>-6.7871626596128652E-4</v>
      </c>
      <c r="L2067" s="91">
        <f>IF($C$2010&gt;0,PPMT('Assumptions (Biomass)'!$V$6,Model!AF$1,'Assumptions (Biomass)'!$V$9,'Assumptions (Biomass)'!$V$4*Model!$C$2010*'Assumptions (Biomass)'!$B$2/10^9),0)</f>
        <v>-7.109552885944477E-4</v>
      </c>
      <c r="M2067" s="91">
        <f>IF($C$2010&gt;0,PPMT('Assumptions (Biomass)'!$V$6,Model!AG$1,'Assumptions (Biomass)'!$V$9,'Assumptions (Biomass)'!$V$4*Model!$C$2010*'Assumptions (Biomass)'!$B$2/10^9),0)</f>
        <v>-7.4472566480268394E-4</v>
      </c>
      <c r="N2067" s="91">
        <f>IF($C$2010&gt;0,PPMT('Assumptions (Biomass)'!$V$6,Model!AH$1,'Assumptions (Biomass)'!$V$9,'Assumptions (Biomass)'!$V$4*Model!$C$2010*'Assumptions (Biomass)'!$B$2/10^9),0)</f>
        <v>-7.8010013388081143E-4</v>
      </c>
      <c r="O2067" s="91">
        <f>IF($C$2010&gt;0,PPMT('Assumptions (Biomass)'!$V$6,Model!AI$1,'Assumptions (Biomass)'!$V$9,'Assumptions (Biomass)'!$V$4*Model!$C$2010*'Assumptions (Biomass)'!$B$2/10^9),0)</f>
        <v>-8.1715489024014988E-4</v>
      </c>
      <c r="P2067" s="91">
        <f>IF($C$2010&gt;0,PPMT('Assumptions (Biomass)'!$V$6,Model!AJ$1,'Assumptions (Biomass)'!$V$9,'Assumptions (Biomass)'!$V$4*Model!$C$2010*'Assumptions (Biomass)'!$B$2/10^9),0)</f>
        <v>-8.5596974752655719E-4</v>
      </c>
      <c r="Q2067" s="91">
        <f>IF($C$2010&gt;0,PPMT('Assumptions (Biomass)'!$V$6,Model!AK$1,'Assumptions (Biomass)'!$V$9,'Assumptions (Biomass)'!$V$4*Model!$C$2010*'Assumptions (Biomass)'!$B$2/10^9),0)</f>
        <v>-8.9662831053406841E-4</v>
      </c>
      <c r="R2067" s="91"/>
      <c r="S2067" s="91"/>
      <c r="T2067" s="91"/>
      <c r="U2067" s="91"/>
      <c r="V2067" s="91"/>
      <c r="W2067" s="91"/>
      <c r="X2067" s="91"/>
      <c r="Y2067" s="91"/>
      <c r="Z2067" s="91"/>
      <c r="AA2067" s="91"/>
      <c r="AB2067" s="105"/>
      <c r="AC2067" s="105"/>
      <c r="AD2067" s="105"/>
      <c r="AE2067" s="105"/>
      <c r="AF2067" s="105"/>
      <c r="AG2067" s="105"/>
    </row>
    <row r="2068" spans="1:68" ht="15.75" hidden="1" customHeight="1" outlineLevel="1">
      <c r="A2068" s="441"/>
      <c r="B2068" s="99"/>
      <c r="C2068" s="105"/>
      <c r="D2068" s="91">
        <f>IF($D$2010&gt;0,PPMT('Assumptions (Biomass)'!$V$6,Model!W$1,'Assumptions (Biomass)'!$V$9,'Assumptions (Biomass)'!$V$4*Model!$D$2010*'Assumptions (Biomass)'!$B$2/10^9),0)</f>
        <v>-5.9552559997098154E-3</v>
      </c>
      <c r="E2068" s="91">
        <f>IF($D$2010&gt;0,PPMT('Assumptions (Biomass)'!$V$6,Model!X$1,'Assumptions (Biomass)'!$V$9,'Assumptions (Biomass)'!$V$4*Model!$D$2010*'Assumptions (Biomass)'!$B$2/10^9),0)</f>
        <v>-6.238130659696031E-3</v>
      </c>
      <c r="F2068" s="91">
        <f>IF($D$2010&gt;0,PPMT('Assumptions (Biomass)'!$V$6,Model!Y$1,'Assumptions (Biomass)'!$V$9,'Assumptions (Biomass)'!$V$4*Model!$D$2010*'Assumptions (Biomass)'!$B$2/10^9),0)</f>
        <v>-6.5344418660315939E-3</v>
      </c>
      <c r="G2068" s="91">
        <f>IF($D$2010&gt;0,PPMT('Assumptions (Biomass)'!$V$6,Model!Z$1,'Assumptions (Biomass)'!$V$9,'Assumptions (Biomass)'!$V$4*Model!$D$2010*'Assumptions (Biomass)'!$B$2/10^9),0)</f>
        <v>-6.8448278546680936E-3</v>
      </c>
      <c r="H2068" s="91">
        <f>IF($D$2010&gt;0,PPMT('Assumptions (Biomass)'!$V$6,Model!AA$1,'Assumptions (Biomass)'!$V$9,'Assumptions (Biomass)'!$V$4*Model!$D$2010*'Assumptions (Biomass)'!$B$2/10^9),0)</f>
        <v>-7.1699571777648274E-3</v>
      </c>
      <c r="I2068" s="91">
        <f>IF($D$2010&gt;0,PPMT('Assumptions (Biomass)'!$V$6,Model!AB$1,'Assumptions (Biomass)'!$V$9,'Assumptions (Biomass)'!$V$4*Model!$D$2010*'Assumptions (Biomass)'!$B$2/10^9),0)</f>
        <v>-7.5105301437086575E-3</v>
      </c>
      <c r="J2068" s="91">
        <f>IF($D$2010&gt;0,PPMT('Assumptions (Biomass)'!$V$6,Model!AC$1,'Assumptions (Biomass)'!$V$9,'Assumptions (Biomass)'!$V$4*Model!$D$2010*'Assumptions (Biomass)'!$B$2/10^9),0)</f>
        <v>-7.8672803255348187E-3</v>
      </c>
      <c r="K2068" s="91">
        <f>IF($D$2010&gt;0,PPMT('Assumptions (Biomass)'!$V$6,Model!AD$1,'Assumptions (Biomass)'!$V$9,'Assumptions (Biomass)'!$V$4*Model!$D$2010*'Assumptions (Biomass)'!$B$2/10^9),0)</f>
        <v>-8.2409761409977227E-3</v>
      </c>
      <c r="L2068" s="91">
        <f>IF($D$2010&gt;0,PPMT('Assumptions (Biomass)'!$V$6,Model!AE$1,'Assumptions (Biomass)'!$V$9,'Assumptions (Biomass)'!$V$4*Model!$D$2010*'Assumptions (Biomass)'!$B$2/10^9),0)</f>
        <v>-8.6324225076951141E-3</v>
      </c>
      <c r="M2068" s="91">
        <f>IF($D$2010&gt;0,PPMT('Assumptions (Biomass)'!$V$6,Model!AF$1,'Assumptions (Biomass)'!$V$9,'Assumptions (Biomass)'!$V$4*Model!$D$2010*'Assumptions (Biomass)'!$B$2/10^9),0)</f>
        <v>-9.0424625768106316E-3</v>
      </c>
      <c r="N2068" s="91">
        <f>IF($D$2010&gt;0,PPMT('Assumptions (Biomass)'!$V$6,Model!AG$1,'Assumptions (Biomass)'!$V$9,'Assumptions (Biomass)'!$V$4*Model!$D$2010*'Assumptions (Biomass)'!$B$2/10^9),0)</f>
        <v>-9.4719795492091384E-3</v>
      </c>
      <c r="O2068" s="91">
        <f>IF($D$2010&gt;0,PPMT('Assumptions (Biomass)'!$V$6,Model!AH$1,'Assumptions (Biomass)'!$V$9,'Assumptions (Biomass)'!$V$4*Model!$D$2010*'Assumptions (Biomass)'!$B$2/10^9),0)</f>
        <v>-9.9218985777965712E-3</v>
      </c>
      <c r="P2068" s="91">
        <f>IF($D$2010&gt;0,PPMT('Assumptions (Biomass)'!$V$6,Model!AI$1,'Assumptions (Biomass)'!$V$9,'Assumptions (Biomass)'!$V$4*Model!$D$2010*'Assumptions (Biomass)'!$B$2/10^9),0)</f>
        <v>-1.0393188760241909E-2</v>
      </c>
      <c r="Q2068" s="91">
        <f>IF($D$2010&gt;0,PPMT('Assumptions (Biomass)'!$V$6,Model!AJ$1,'Assumptions (Biomass)'!$V$9,'Assumptions (Biomass)'!$V$4*Model!$D$2010*'Assumptions (Biomass)'!$B$2/10^9),0)</f>
        <v>-1.0886865226353399E-2</v>
      </c>
      <c r="R2068" s="91">
        <f>IF($D$2010&gt;0,PPMT('Assumptions (Biomass)'!$V$6,Model!AK$1,'Assumptions (Biomass)'!$V$9,'Assumptions (Biomass)'!$V$4*Model!$D$2010*'Assumptions (Biomass)'!$B$2/10^9),0)</f>
        <v>-1.1403991324605185E-2</v>
      </c>
      <c r="S2068" s="91"/>
      <c r="T2068" s="91"/>
      <c r="U2068" s="91"/>
      <c r="V2068" s="91"/>
      <c r="W2068" s="91"/>
      <c r="X2068" s="91"/>
      <c r="Y2068" s="91"/>
      <c r="Z2068" s="91"/>
      <c r="AA2068" s="91"/>
      <c r="AB2068" s="91"/>
      <c r="AC2068" s="105"/>
      <c r="AD2068" s="105"/>
      <c r="AE2068" s="105"/>
      <c r="AF2068" s="105"/>
      <c r="AG2068" s="105"/>
    </row>
    <row r="2069" spans="1:68" ht="15.75" hidden="1" customHeight="1" outlineLevel="1">
      <c r="A2069" s="441"/>
      <c r="B2069" s="99"/>
      <c r="C2069" s="105"/>
      <c r="D2069" s="105"/>
      <c r="E2069" s="105">
        <f>IF($E$2010&gt;0,PPMT('Assumptions (Biomass)'!$V$6,Model!W$1,'Assumptions (Biomass)'!$V$9,'Assumptions (Biomass)'!$V$4*Model!$E$2010*AVERAGE('Assumptions (Biomass)'!$B$2:$C$2)/10^9),0)</f>
        <v>-5.098547796311755E-4</v>
      </c>
      <c r="F2069" s="105">
        <f>IF($E$2010&gt;0,PPMT('Assumptions (Biomass)'!$V$6,Model!X$1,'Assumptions (Biomass)'!$V$9,'Assumptions (Biomass)'!$V$4*Model!$E$2010*AVERAGE('Assumptions (Biomass)'!$B$2:$C$2)/10^9),0)</f>
        <v>-5.3407288166365638E-4</v>
      </c>
      <c r="G2069" s="105">
        <f>IF($E$2010&gt;0,PPMT('Assumptions (Biomass)'!$V$6,Model!Y$1,'Assumptions (Biomass)'!$V$9,'Assumptions (Biomass)'!$V$4*Model!$E$2010*AVERAGE('Assumptions (Biomass)'!$B$2:$C$2)/10^9),0)</f>
        <v>-5.5944134354268013E-4</v>
      </c>
      <c r="H2069" s="105">
        <f>IF($E$2010&gt;0,PPMT('Assumptions (Biomass)'!$V$6,Model!Z$1,'Assumptions (Biomass)'!$V$9,'Assumptions (Biomass)'!$V$4*Model!$E$2010*AVERAGE('Assumptions (Biomass)'!$B$2:$C$2)/10^9),0)</f>
        <v>-5.8601480736095743E-4</v>
      </c>
      <c r="I2069" s="105">
        <f>IF($E$2010&gt;0,PPMT('Assumptions (Biomass)'!$V$6,Model!AA$1,'Assumptions (Biomass)'!$V$9,'Assumptions (Biomass)'!$V$4*Model!$E$2010*AVERAGE('Assumptions (Biomass)'!$B$2:$C$2)/10^9),0)</f>
        <v>-6.1385051071060281E-4</v>
      </c>
      <c r="J2069" s="105">
        <f>IF($E$2010&gt;0,PPMT('Assumptions (Biomass)'!$V$6,Model!AB$1,'Assumptions (Biomass)'!$V$9,'Assumptions (Biomass)'!$V$4*Model!$E$2010*AVERAGE('Assumptions (Biomass)'!$B$2:$C$2)/10^9),0)</f>
        <v>-6.4300840996935646E-4</v>
      </c>
      <c r="K2069" s="105">
        <f>IF($E$2010&gt;0,PPMT('Assumptions (Biomass)'!$V$6,Model!AC$1,'Assumptions (Biomass)'!$V$9,'Assumptions (Biomass)'!$V$4*Model!$E$2010*AVERAGE('Assumptions (Biomass)'!$B$2:$C$2)/10^9),0)</f>
        <v>-6.7355130944290098E-4</v>
      </c>
      <c r="L2069" s="105">
        <f>IF($E$2010&gt;0,PPMT('Assumptions (Biomass)'!$V$6,Model!AD$1,'Assumptions (Biomass)'!$V$9,'Assumptions (Biomass)'!$V$4*Model!$E$2010*AVERAGE('Assumptions (Biomass)'!$B$2:$C$2)/10^9),0)</f>
        <v>-7.0554499664143865E-4</v>
      </c>
      <c r="M2069" s="105">
        <f>IF($E$2010&gt;0,PPMT('Assumptions (Biomass)'!$V$6,Model!AE$1,'Assumptions (Biomass)'!$V$9,'Assumptions (Biomass)'!$V$4*Model!$E$2010*AVERAGE('Assumptions (Biomass)'!$B$2:$C$2)/10^9),0)</f>
        <v>-7.3905838398190705E-4</v>
      </c>
      <c r="N2069" s="91">
        <f>IF($E$2010&gt;0,PPMT('Assumptions (Biomass)'!$V$6,Model!AF$1,'Assumptions (Biomass)'!$V$9,'Assumptions (Biomass)'!$V$4*Model!$E$2010*AVERAGE('Assumptions (Biomass)'!$B$2:$C$2)/10^9),0)</f>
        <v>-7.7416365722104779E-4</v>
      </c>
      <c r="O2069" s="105">
        <f>IF($E$2010&gt;0,PPMT('Assumptions (Biomass)'!$V$6,Model!AG$1,'Assumptions (Biomass)'!$V$9,'Assumptions (Biomass)'!$V$4*Model!$E$2010*AVERAGE('Assumptions (Biomass)'!$B$2:$C$2)/10^9),0)</f>
        <v>-8.1093643093904742E-4</v>
      </c>
      <c r="P2069" s="105">
        <f>IF($E$2010&gt;0,PPMT('Assumptions (Biomass)'!$V$6,Model!AH$1,'Assumptions (Biomass)'!$V$9,'Assumptions (Biomass)'!$V$4*Model!$E$2010*AVERAGE('Assumptions (Biomass)'!$B$2:$C$2)/10^9),0)</f>
        <v>-8.4945591140865215E-4</v>
      </c>
      <c r="Q2069" s="105">
        <f>IF($E$2010&gt;0,PPMT('Assumptions (Biomass)'!$V$6,Model!AI$1,'Assumptions (Biomass)'!$V$9,'Assumptions (Biomass)'!$V$4*Model!$E$2010*AVERAGE('Assumptions (Biomass)'!$B$2:$C$2)/10^9),0)</f>
        <v>-8.8980506720056328E-4</v>
      </c>
      <c r="R2069" s="105">
        <f>IF($E$2010&gt;0,PPMT('Assumptions (Biomass)'!$V$6,Model!AJ$1,'Assumptions (Biomass)'!$V$9,'Assumptions (Biomass)'!$V$4*Model!$E$2010*AVERAGE('Assumptions (Biomass)'!$B$2:$C$2)/10^9),0)</f>
        <v>-9.3207080789258997E-4</v>
      </c>
      <c r="S2069" s="105">
        <f>IF($E$2010&gt;0,PPMT('Assumptions (Biomass)'!$V$6,Model!AK$1,'Assumptions (Biomass)'!$V$9,'Assumptions (Biomass)'!$V$4*Model!$E$2010*AVERAGE('Assumptions (Biomass)'!$B$2:$C$2)/10^9),0)</f>
        <v>-9.763441712674878E-4</v>
      </c>
      <c r="T2069" s="105"/>
      <c r="U2069" s="105"/>
      <c r="V2069" s="105"/>
      <c r="W2069" s="105"/>
      <c r="X2069" s="105"/>
      <c r="Y2069" s="105"/>
      <c r="Z2069" s="105"/>
      <c r="AA2069" s="105"/>
      <c r="AB2069" s="105"/>
      <c r="AC2069" s="105"/>
      <c r="AD2069" s="105"/>
      <c r="AE2069" s="105"/>
      <c r="AF2069" s="105"/>
      <c r="AG2069" s="105"/>
    </row>
    <row r="2070" spans="1:68" ht="15.75" hidden="1" customHeight="1" outlineLevel="1">
      <c r="A2070" s="441"/>
      <c r="B2070" s="99"/>
      <c r="C2070" s="105"/>
      <c r="D2070" s="105"/>
      <c r="E2070" s="105"/>
      <c r="F2070" s="105">
        <f>IF($F$2010&gt;0,PPMT('Assumptions (Biomass)'!$V$6,Model!W$1,'Assumptions (Biomass)'!$V$9,'Assumptions (Biomass)'!$V$4*Model!$F$2010*AVERAGE('Assumptions (Biomass)'!$B$2:$D$2)/10^9),0)</f>
        <v>-4.3809779794870976E-3</v>
      </c>
      <c r="G2070" s="105">
        <f>IF($F$2010&gt;0,PPMT('Assumptions (Biomass)'!$V$6,Model!X$1,'Assumptions (Biomass)'!$V$9,'Assumptions (Biomass)'!$V$4*Model!$F$2010*AVERAGE('Assumptions (Biomass)'!$B$2:$D$2)/10^9),0)</f>
        <v>-4.5890744335127347E-3</v>
      </c>
      <c r="H2070" s="105">
        <f>IF($F$2010&gt;0,PPMT('Assumptions (Biomass)'!$V$6,Model!Y$1,'Assumptions (Biomass)'!$V$9,'Assumptions (Biomass)'!$V$4*Model!$F$2010*AVERAGE('Assumptions (Biomass)'!$B$2:$D$2)/10^9),0)</f>
        <v>-4.8070554691045904E-3</v>
      </c>
      <c r="I2070" s="105">
        <f>IF($F$2010&gt;0,PPMT('Assumptions (Biomass)'!$V$6,Model!Z$1,'Assumptions (Biomass)'!$V$9,'Assumptions (Biomass)'!$V$4*Model!$F$2010*AVERAGE('Assumptions (Biomass)'!$B$2:$D$2)/10^9),0)</f>
        <v>-5.0353906038870574E-3</v>
      </c>
      <c r="J2070" s="105">
        <f>IF($F$2010&gt;0,PPMT('Assumptions (Biomass)'!$V$6,Model!AA$1,'Assumptions (Biomass)'!$V$9,'Assumptions (Biomass)'!$V$4*Model!$F$2010*AVERAGE('Assumptions (Biomass)'!$B$2:$D$2)/10^9),0)</f>
        <v>-5.2745716575716929E-3</v>
      </c>
      <c r="K2070" s="105">
        <f>IF($F$2010&gt;0,PPMT('Assumptions (Biomass)'!$V$6,Model!AB$1,'Assumptions (Biomass)'!$V$9,'Assumptions (Biomass)'!$V$4*Model!$F$2010*AVERAGE('Assumptions (Biomass)'!$B$2:$D$2)/10^9),0)</f>
        <v>-5.5251138113063484E-3</v>
      </c>
      <c r="L2070" s="105">
        <f>IF($F$2010&gt;0,PPMT('Assumptions (Biomass)'!$V$6,Model!AC$1,'Assumptions (Biomass)'!$V$9,'Assumptions (Biomass)'!$V$4*Model!$F$2010*AVERAGE('Assumptions (Biomass)'!$B$2:$D$2)/10^9),0)</f>
        <v>-5.7875567173434001E-3</v>
      </c>
      <c r="M2070" s="105">
        <f>IF($F$2010&gt;0,PPMT('Assumptions (Biomass)'!$V$6,Model!AD$1,'Assumptions (Biomass)'!$V$9,'Assumptions (Biomass)'!$V$4*Model!$F$2010*AVERAGE('Assumptions (Biomass)'!$B$2:$D$2)/10^9),0)</f>
        <v>-6.0624656614172122E-3</v>
      </c>
      <c r="N2070" s="91">
        <f>IF($F$2010&gt;0,PPMT('Assumptions (Biomass)'!$V$6,Model!AE$1,'Assumptions (Biomass)'!$V$9,'Assumptions (Biomass)'!$V$4*Model!$F$2010*AVERAGE('Assumptions (Biomass)'!$B$2:$D$2)/10^9),0)</f>
        <v>-6.3504327803345284E-3</v>
      </c>
      <c r="O2070" s="105">
        <f>IF($F$2010&gt;0,PPMT('Assumptions (Biomass)'!$V$6,Model!AF$1,'Assumptions (Biomass)'!$V$9,'Assumptions (Biomass)'!$V$4*Model!$F$2010*AVERAGE('Assumptions (Biomass)'!$B$2:$D$2)/10^9),0)</f>
        <v>-6.6520783374004189E-3</v>
      </c>
      <c r="P2070" s="105">
        <f>IF($F$2010&gt;0,PPMT('Assumptions (Biomass)'!$V$6,Model!AG$1,'Assumptions (Biomass)'!$V$9,'Assumptions (Biomass)'!$V$4*Model!$F$2010*AVERAGE('Assumptions (Biomass)'!$B$2:$D$2)/10^9),0)</f>
        <v>-6.9680520584269401E-3</v>
      </c>
      <c r="Q2070" s="105">
        <f>IF($F$2010&gt;0,PPMT('Assumptions (Biomass)'!$V$6,Model!AH$1,'Assumptions (Biomass)'!$V$9,'Assumptions (Biomass)'!$V$4*Model!$F$2010*AVERAGE('Assumptions (Biomass)'!$B$2:$D$2)/10^9),0)</f>
        <v>-7.2990345312022196E-3</v>
      </c>
      <c r="R2070" s="105">
        <f>IF($F$2010&gt;0,PPMT('Assumptions (Biomass)'!$V$6,Model!AI$1,'Assumptions (Biomass)'!$V$9,'Assumptions (Biomass)'!$V$4*Model!$F$2010*AVERAGE('Assumptions (Biomass)'!$B$2:$D$2)/10^9),0)</f>
        <v>-7.6457386714343248E-3</v>
      </c>
      <c r="S2070" s="105">
        <f>IF($F$2010&gt;0,PPMT('Assumptions (Biomass)'!$V$6,Model!AJ$1,'Assumptions (Biomass)'!$V$9,'Assumptions (Biomass)'!$V$4*Model!$F$2010*AVERAGE('Assumptions (Biomass)'!$B$2:$D$2)/10^9),0)</f>
        <v>-8.0089112583274554E-3</v>
      </c>
      <c r="T2070" s="105">
        <f>IF($F$2010&gt;0,PPMT('Assumptions (Biomass)'!$V$6,Model!AK$1,'Assumptions (Biomass)'!$V$9,'Assumptions (Biomass)'!$V$4*Model!$F$2010*AVERAGE('Assumptions (Biomass)'!$B$2:$D$2)/10^9),0)</f>
        <v>-8.3893345430980093E-3</v>
      </c>
      <c r="U2070" s="105"/>
      <c r="V2070" s="105"/>
      <c r="W2070" s="105"/>
      <c r="X2070" s="105"/>
      <c r="Y2070" s="105"/>
      <c r="Z2070" s="105"/>
      <c r="AA2070" s="105"/>
      <c r="AB2070" s="105"/>
      <c r="AC2070" s="105"/>
      <c r="AD2070" s="105"/>
      <c r="AE2070" s="105"/>
      <c r="AF2070" s="105"/>
      <c r="AG2070" s="105"/>
    </row>
    <row r="2071" spans="1:68" ht="15.75" hidden="1" customHeight="1" outlineLevel="1">
      <c r="A2071" s="441"/>
      <c r="B2071" s="99"/>
      <c r="C2071" s="105"/>
      <c r="D2071" s="105"/>
      <c r="E2071" s="105"/>
      <c r="F2071" s="105"/>
      <c r="G2071" s="105">
        <f>IF($G$2010&gt;0,PPMT('Assumptions (Biomass)'!$V$6,Model!W$1,'Assumptions (Biomass)'!$V$9,'Assumptions (Biomass)'!$V$4*Model!$G$2010*AVERAGE('Assumptions (Biomass)'!$C$2:$E$2)/10^9),0)</f>
        <v>-4.3772463117021853E-3</v>
      </c>
      <c r="H2071" s="105">
        <f>IF($G$2010&gt;0,PPMT('Assumptions (Biomass)'!$V$6,Model!X$1,'Assumptions (Biomass)'!$V$9,'Assumptions (Biomass)'!$V$4*Model!$G$2010*AVERAGE('Assumptions (Biomass)'!$C$2:$E$2)/10^9),0)</f>
        <v>-4.5851655115080395E-3</v>
      </c>
      <c r="I2071" s="105">
        <f>IF($G$2010&gt;0,PPMT('Assumptions (Biomass)'!$V$6,Model!Y$1,'Assumptions (Biomass)'!$V$9,'Assumptions (Biomass)'!$V$4*Model!$G$2010*AVERAGE('Assumptions (Biomass)'!$C$2:$E$2)/10^9),0)</f>
        <v>-4.802960873304671E-3</v>
      </c>
      <c r="J2071" s="105">
        <f>IF($G$2010&gt;0,PPMT('Assumptions (Biomass)'!$V$6,Model!Z$1,'Assumptions (Biomass)'!$V$9,'Assumptions (Biomass)'!$V$4*Model!$G$2010*AVERAGE('Assumptions (Biomass)'!$C$2:$E$2)/10^9),0)</f>
        <v>-5.0311015147866426E-3</v>
      </c>
      <c r="K2071" s="105">
        <f>IF($G$2010&gt;0,PPMT('Assumptions (Biomass)'!$V$6,Model!AA$1,'Assumptions (Biomass)'!$V$9,'Assumptions (Biomass)'!$V$4*Model!$G$2010*AVERAGE('Assumptions (Biomass)'!$C$2:$E$2)/10^9),0)</f>
        <v>-5.270078836739008E-3</v>
      </c>
      <c r="L2071" s="105">
        <f>IF($G$2010&gt;0,PPMT('Assumptions (Biomass)'!$V$6,Model!AB$1,'Assumptions (Biomass)'!$V$9,'Assumptions (Biomass)'!$V$4*Model!$G$2010*AVERAGE('Assumptions (Biomass)'!$C$2:$E$2)/10^9),0)</f>
        <v>-5.5204075814841115E-3</v>
      </c>
      <c r="M2071" s="105">
        <f>IF($G$2010&gt;0,PPMT('Assumptions (Biomass)'!$V$6,Model!AC$1,'Assumptions (Biomass)'!$V$9,'Assumptions (Biomass)'!$V$4*Model!$G$2010*AVERAGE('Assumptions (Biomass)'!$C$2:$E$2)/10^9),0)</f>
        <v>-5.7826269416046067E-3</v>
      </c>
      <c r="N2071" s="105">
        <f>IF($G$2010&gt;0,PPMT('Assumptions (Biomass)'!$V$6,Model!AD$1,'Assumptions (Biomass)'!$V$9,'Assumptions (Biomass)'!$V$4*Model!$G$2010*AVERAGE('Assumptions (Biomass)'!$C$2:$E$2)/10^9),0)</f>
        <v>-6.0573017213308251E-3</v>
      </c>
      <c r="O2071" s="105">
        <f>IF($G$2010&gt;0,PPMT('Assumptions (Biomass)'!$V$6,Model!AE$1,'Assumptions (Biomass)'!$V$9,'Assumptions (Biomass)'!$V$4*Model!$G$2010*AVERAGE('Assumptions (Biomass)'!$C$2:$E$2)/10^9),0)</f>
        <v>-6.3450235530940402E-3</v>
      </c>
      <c r="P2071" s="105">
        <f>IF($G$2010&gt;0,PPMT('Assumptions (Biomass)'!$V$6,Model!AF$1,'Assumptions (Biomass)'!$V$9,'Assumptions (Biomass)'!$V$4*Model!$G$2010*AVERAGE('Assumptions (Biomass)'!$C$2:$E$2)/10^9),0)</f>
        <v>-6.6464121718660075E-3</v>
      </c>
      <c r="Q2071" s="105">
        <f>IF($G$2010&gt;0,PPMT('Assumptions (Biomass)'!$V$6,Model!AG$1,'Assumptions (Biomass)'!$V$9,'Assumptions (Biomass)'!$V$4*Model!$G$2010*AVERAGE('Assumptions (Biomass)'!$C$2:$E$2)/10^9),0)</f>
        <v>-6.9621167500296425E-3</v>
      </c>
      <c r="R2071" s="105">
        <f>IF($G$2010&gt;0,PPMT('Assumptions (Biomass)'!$V$6,Model!AH$1,'Assumptions (Biomass)'!$V$9,'Assumptions (Biomass)'!$V$4*Model!$G$2010*AVERAGE('Assumptions (Biomass)'!$C$2:$E$2)/10^9),0)</f>
        <v>-7.2928172956560509E-3</v>
      </c>
      <c r="S2071" s="105">
        <f>IF($G$2010&gt;0,PPMT('Assumptions (Biomass)'!$V$6,Model!AI$1,'Assumptions (Biomass)'!$V$9,'Assumptions (Biomass)'!$V$4*Model!$G$2010*AVERAGE('Assumptions (Biomass)'!$C$2:$E$2)/10^9),0)</f>
        <v>-7.6392261171997124E-3</v>
      </c>
      <c r="T2071" s="105">
        <f>IF($G$2010&gt;0,PPMT('Assumptions (Biomass)'!$V$6,Model!AJ$1,'Assumptions (Biomass)'!$V$9,'Assumptions (Biomass)'!$V$4*Model!$G$2010*AVERAGE('Assumptions (Biomass)'!$C$2:$E$2)/10^9),0)</f>
        <v>-8.0020893577666986E-3</v>
      </c>
      <c r="U2071" s="105">
        <f>IF($G$2010&gt;0,PPMT('Assumptions (Biomass)'!$V$6,Model!AK$1,'Assumptions (Biomass)'!$V$9,'Assumptions (Biomass)'!$V$4*Model!$G$2010*AVERAGE('Assumptions (Biomass)'!$C$2:$E$2)/10^9),0)</f>
        <v>-8.3821886022606169E-3</v>
      </c>
      <c r="V2071" s="105"/>
      <c r="W2071" s="105"/>
      <c r="X2071" s="105"/>
      <c r="Y2071" s="105"/>
      <c r="Z2071" s="105"/>
      <c r="AA2071" s="105"/>
      <c r="AB2071" s="105"/>
      <c r="AC2071" s="105"/>
      <c r="AD2071" s="105"/>
      <c r="AE2071" s="105"/>
      <c r="AF2071" s="105"/>
      <c r="AG2071" s="105"/>
    </row>
    <row r="2072" spans="1:68" ht="15.75" hidden="1" customHeight="1" outlineLevel="1">
      <c r="A2072" s="441"/>
      <c r="B2072" s="99"/>
      <c r="C2072" s="105"/>
      <c r="D2072" s="105"/>
      <c r="E2072" s="105"/>
      <c r="F2072" s="105"/>
      <c r="G2072" s="105"/>
      <c r="H2072" s="105">
        <f>IF($H$2010&gt;0,PPMT('Assumptions (Biomass)'!$V$6,Model!W$1,'Assumptions (Biomass)'!$V$9,'Assumptions (Biomass)'!$V$4*Model!$H$2010*AVERAGE('Assumptions (Biomass)'!$D$2:$F$2)/10^9),0)</f>
        <v>-1.3976737788322111E-4</v>
      </c>
      <c r="I2072" s="105">
        <f>IF($H$2010&gt;0,PPMT('Assumptions (Biomass)'!$V$6,Model!X$1,'Assumptions (Biomass)'!$V$9,'Assumptions (Biomass)'!$V$4*Model!$H$2010*AVERAGE('Assumptions (Biomass)'!$D$2:$F$2)/10^9),0)</f>
        <v>-1.4640632833267411E-4</v>
      </c>
      <c r="J2072" s="105">
        <f>IF($H$2010&gt;0,PPMT('Assumptions (Biomass)'!$V$6,Model!Y$1,'Assumptions (Biomass)'!$V$9,'Assumptions (Biomass)'!$V$4*Model!$H$2010*AVERAGE('Assumptions (Biomass)'!$D$2:$F$2)/10^9),0)</f>
        <v>-1.5336062892847615E-4</v>
      </c>
      <c r="K2072" s="105">
        <f>IF($H$2010&gt;0,PPMT('Assumptions (Biomass)'!$V$6,Model!Z$1,'Assumptions (Biomass)'!$V$9,'Assumptions (Biomass)'!$V$4*Model!$H$2010*AVERAGE('Assumptions (Biomass)'!$D$2:$F$2)/10^9),0)</f>
        <v>-1.6064525880257874E-4</v>
      </c>
      <c r="L2072" s="105">
        <f>IF($H$2010&gt;0,PPMT('Assumptions (Biomass)'!$V$6,Model!AA$1,'Assumptions (Biomass)'!$V$9,'Assumptions (Biomass)'!$V$4*Model!$H$2010*AVERAGE('Assumptions (Biomass)'!$D$2:$F$2)/10^9),0)</f>
        <v>-1.6827590859570124E-4</v>
      </c>
      <c r="M2072" s="105">
        <f>IF($H$2010&gt;0,PPMT('Assumptions (Biomass)'!$V$6,Model!AB$1,'Assumptions (Biomass)'!$V$9,'Assumptions (Biomass)'!$V$4*Model!$H$2010*AVERAGE('Assumptions (Biomass)'!$D$2:$F$2)/10^9),0)</f>
        <v>-1.7626901425399705E-4</v>
      </c>
      <c r="N2072" s="105">
        <f>IF($H$2010&gt;0,PPMT('Assumptions (Biomass)'!$V$6,Model!AC$1,'Assumptions (Biomass)'!$V$9,'Assumptions (Biomass)'!$V$4*Model!$H$2010*AVERAGE('Assumptions (Biomass)'!$D$2:$F$2)/10^9),0)</f>
        <v>-1.8464179243106191E-4</v>
      </c>
      <c r="O2072" s="105">
        <f>IF($H$2010&gt;0,PPMT('Assumptions (Biomass)'!$V$6,Model!AD$1,'Assumptions (Biomass)'!$V$9,'Assumptions (Biomass)'!$V$4*Model!$H$2010*AVERAGE('Assumptions (Biomass)'!$D$2:$F$2)/10^9),0)</f>
        <v>-1.9341227757153733E-4</v>
      </c>
      <c r="P2072" s="105">
        <f>IF($H$2010&gt;0,PPMT('Assumptions (Biomass)'!$V$6,Model!AE$1,'Assumptions (Biomass)'!$V$9,'Assumptions (Biomass)'!$V$4*Model!$H$2010*AVERAGE('Assumptions (Biomass)'!$D$2:$F$2)/10^9),0)</f>
        <v>-2.0259936075618537E-4</v>
      </c>
      <c r="Q2072" s="105">
        <f>IF($H$2010&gt;0,PPMT('Assumptions (Biomass)'!$V$6,Model!AF$1,'Assumptions (Biomass)'!$V$9,'Assumptions (Biomass)'!$V$4*Model!$H$2010*AVERAGE('Assumptions (Biomass)'!$D$2:$F$2)/10^9),0)</f>
        <v>-2.1222283039210417E-4</v>
      </c>
      <c r="R2072" s="105">
        <f>IF($H$2010&gt;0,PPMT('Assumptions (Biomass)'!$V$6,Model!AG$1,'Assumptions (Biomass)'!$V$9,'Assumptions (Biomass)'!$V$4*Model!$H$2010*AVERAGE('Assumptions (Biomass)'!$D$2:$F$2)/10^9),0)</f>
        <v>-2.2230341483572917E-4</v>
      </c>
      <c r="S2072" s="105">
        <f>IF($H$2010&gt;0,PPMT('Assumptions (Biomass)'!$V$6,Model!AH$1,'Assumptions (Biomass)'!$V$9,'Assumptions (Biomass)'!$V$4*Model!$H$2010*AVERAGE('Assumptions (Biomass)'!$D$2:$F$2)/10^9),0)</f>
        <v>-2.3286282704042626E-4</v>
      </c>
      <c r="T2072" s="105">
        <f>IF($H$2010&gt;0,PPMT('Assumptions (Biomass)'!$V$6,Model!AI$1,'Assumptions (Biomass)'!$V$9,'Assumptions (Biomass)'!$V$4*Model!$H$2010*AVERAGE('Assumptions (Biomass)'!$D$2:$F$2)/10^9),0)</f>
        <v>-2.4392381132484653E-4</v>
      </c>
      <c r="U2072" s="105">
        <f>IF($H$2010&gt;0,PPMT('Assumptions (Biomass)'!$V$6,Model!AJ$1,'Assumptions (Biomass)'!$V$9,'Assumptions (Biomass)'!$V$4*Model!$H$2010*AVERAGE('Assumptions (Biomass)'!$D$2:$F$2)/10^9),0)</f>
        <v>-2.5551019236277677E-4</v>
      </c>
      <c r="V2072" s="105">
        <f>IF($H$2010&gt;0,PPMT('Assumptions (Biomass)'!$V$6,Model!AK$1,'Assumptions (Biomass)'!$V$9,'Assumptions (Biomass)'!$V$4*Model!$H$2010*AVERAGE('Assumptions (Biomass)'!$D$2:$F$2)/10^9),0)</f>
        <v>-2.6764692650000862E-4</v>
      </c>
      <c r="W2072" s="105"/>
      <c r="X2072" s="105"/>
      <c r="Y2072" s="105"/>
      <c r="Z2072" s="105"/>
      <c r="AA2072" s="105"/>
      <c r="AB2072" s="105"/>
      <c r="AC2072" s="105"/>
      <c r="AD2072" s="105"/>
      <c r="AE2072" s="105"/>
      <c r="AF2072" s="105"/>
      <c r="AG2072" s="105"/>
    </row>
    <row r="2073" spans="1:68" ht="15.75" hidden="1" customHeight="1" outlineLevel="1">
      <c r="A2073" s="441"/>
      <c r="B2073" s="99"/>
      <c r="C2073" s="105"/>
      <c r="D2073" s="105"/>
      <c r="E2073" s="105"/>
      <c r="F2073" s="105"/>
      <c r="G2073" s="105"/>
      <c r="H2073" s="105"/>
      <c r="I2073" s="105">
        <f>IF($I$2010&gt;0,PPMT('Assumptions (Biomass)'!$V$6,Model!W$1,'Assumptions (Biomass)'!$V$9,'Assumptions (Biomass)'!$V$4*Model!$I$2010*AVERAGE('Assumptions (Biomass)'!$E$2:$G$2)/10^9),0)</f>
        <v>-8.2369574699178317E-3</v>
      </c>
      <c r="J2073" s="105">
        <f>IF($I$2010&gt;0,PPMT('Assumptions (Biomass)'!$V$6,Model!X$1,'Assumptions (Biomass)'!$V$9,'Assumptions (Biomass)'!$V$4*Model!$I$2010*AVERAGE('Assumptions (Biomass)'!$E$2:$G$2)/10^9),0)</f>
        <v>-8.6282129497389295E-3</v>
      </c>
      <c r="K2073" s="105">
        <f>IF($I$2010&gt;0,PPMT('Assumptions (Biomass)'!$V$6,Model!Y$1,'Assumptions (Biomass)'!$V$9,'Assumptions (Biomass)'!$V$4*Model!$I$2010*AVERAGE('Assumptions (Biomass)'!$E$2:$G$2)/10^9),0)</f>
        <v>-9.0380530648515294E-3</v>
      </c>
      <c r="L2073" s="105">
        <f>IF($I$2010&gt;0,PPMT('Assumptions (Biomass)'!$V$6,Model!Z$1,'Assumptions (Biomass)'!$V$9,'Assumptions (Biomass)'!$V$4*Model!$I$2010*AVERAGE('Assumptions (Biomass)'!$E$2:$G$2)/10^9),0)</f>
        <v>-9.4673605854319748E-3</v>
      </c>
      <c r="M2073" s="105">
        <f>IF($I$2010&gt;0,PPMT('Assumptions (Biomass)'!$V$6,Model!AA$1,'Assumptions (Biomass)'!$V$9,'Assumptions (Biomass)'!$V$4*Model!$I$2010*AVERAGE('Assumptions (Biomass)'!$E$2:$G$2)/10^9),0)</f>
        <v>-9.9170602132399935E-3</v>
      </c>
      <c r="N2073" s="105">
        <f>IF($I$2010&gt;0,PPMT('Assumptions (Biomass)'!$V$6,Model!AB$1,'Assumptions (Biomass)'!$V$9,'Assumptions (Biomass)'!$V$4*Model!$I$2010*AVERAGE('Assumptions (Biomass)'!$E$2:$G$2)/10^9),0)</f>
        <v>-1.0388120573368895E-2</v>
      </c>
      <c r="O2073" s="105">
        <f>IF($I$2010&gt;0,PPMT('Assumptions (Biomass)'!$V$6,Model!AC$1,'Assumptions (Biomass)'!$V$9,'Assumptions (Biomass)'!$V$4*Model!$I$2010*AVERAGE('Assumptions (Biomass)'!$E$2:$G$2)/10^9),0)</f>
        <v>-1.0881556300603916E-2</v>
      </c>
      <c r="P2073" s="105">
        <f>IF($I$2010&gt;0,PPMT('Assumptions (Biomass)'!$V$6,Model!AD$1,'Assumptions (Biomass)'!$V$9,'Assumptions (Biomass)'!$V$4*Model!$I$2010*AVERAGE('Assumptions (Biomass)'!$E$2:$G$2)/10^9),0)</f>
        <v>-1.1398430224882601E-2</v>
      </c>
      <c r="Q2073" s="105">
        <f>IF($I$2010&gt;0,PPMT('Assumptions (Biomass)'!$V$6,Model!AE$1,'Assumptions (Biomass)'!$V$9,'Assumptions (Biomass)'!$V$4*Model!$I$2010*AVERAGE('Assumptions (Biomass)'!$E$2:$G$2)/10^9),0)</f>
        <v>-1.1939855660564524E-2</v>
      </c>
      <c r="R2073" s="105">
        <f>IF($I$2010&gt;0,PPMT('Assumptions (Biomass)'!$V$6,Model!AF$1,'Assumptions (Biomass)'!$V$9,'Assumptions (Biomass)'!$V$4*Model!$I$2010*AVERAGE('Assumptions (Biomass)'!$E$2:$G$2)/10^9),0)</f>
        <v>-1.250699880444134E-2</v>
      </c>
      <c r="S2073" s="105">
        <f>IF($I$2010&gt;0,PPMT('Assumptions (Biomass)'!$V$6,Model!AG$1,'Assumptions (Biomass)'!$V$9,'Assumptions (Biomass)'!$V$4*Model!$I$2010*AVERAGE('Assumptions (Biomass)'!$E$2:$G$2)/10^9),0)</f>
        <v>-1.3101081247652307E-2</v>
      </c>
      <c r="T2073" s="105">
        <f>IF($I$2010&gt;0,PPMT('Assumptions (Biomass)'!$V$6,Model!AH$1,'Assumptions (Biomass)'!$V$9,'Assumptions (Biomass)'!$V$4*Model!$I$2010*AVERAGE('Assumptions (Biomass)'!$E$2:$G$2)/10^9),0)</f>
        <v>-1.3723382606915788E-2</v>
      </c>
      <c r="U2073" s="105">
        <f>IF($I$2010&gt;0,PPMT('Assumptions (Biomass)'!$V$6,Model!AI$1,'Assumptions (Biomass)'!$V$9,'Assumptions (Biomass)'!$V$4*Model!$I$2010*AVERAGE('Assumptions (Biomass)'!$E$2:$G$2)/10^9),0)</f>
        <v>-1.4375243280744292E-2</v>
      </c>
      <c r="V2073" s="105">
        <f>IF($I$2010&gt;0,PPMT('Assumptions (Biomass)'!$V$6,Model!AJ$1,'Assumptions (Biomass)'!$V$9,'Assumptions (Biomass)'!$V$4*Model!$I$2010*AVERAGE('Assumptions (Biomass)'!$E$2:$G$2)/10^9),0)</f>
        <v>-1.5058067336579642E-2</v>
      </c>
      <c r="W2073" s="105">
        <f>IF($I$2010&gt;0,PPMT('Assumptions (Biomass)'!$V$6,Model!AK$1,'Assumptions (Biomass)'!$V$9,'Assumptions (Biomass)'!$V$4*Model!$I$2010*AVERAGE('Assumptions (Biomass)'!$E$2:$G$2)/10^9),0)</f>
        <v>-1.5773325535067176E-2</v>
      </c>
      <c r="X2073" s="105"/>
      <c r="Y2073" s="105"/>
      <c r="Z2073" s="105"/>
      <c r="AA2073" s="105"/>
      <c r="AB2073" s="105"/>
      <c r="AC2073" s="105"/>
      <c r="AD2073" s="105"/>
      <c r="AE2073" s="105"/>
      <c r="AF2073" s="105"/>
      <c r="AG2073" s="105"/>
    </row>
    <row r="2074" spans="1:68" ht="15.75" hidden="1" customHeight="1" outlineLevel="1">
      <c r="A2074" s="441"/>
      <c r="B2074" s="99"/>
      <c r="C2074" s="105"/>
      <c r="D2074" s="105"/>
      <c r="E2074" s="105"/>
      <c r="F2074" s="105"/>
      <c r="G2074" s="105"/>
      <c r="H2074" s="105"/>
      <c r="I2074" s="105"/>
      <c r="J2074" s="105">
        <f>IF($J$2010&gt;0,PPMT('Assumptions (Biomass)'!$V$6,Model!W$1,'Assumptions (Biomass)'!$V$9,'Assumptions (Biomass)'!$V$4*Model!$J$2010*AVERAGE('Assumptions (Biomass)'!$F$2:$H$2)/10^9),0)</f>
        <v>-8.7167602425405437E-3</v>
      </c>
      <c r="K2074" s="105">
        <f>IF($J$2010&gt;0,PPMT('Assumptions (Biomass)'!$V$6,Model!X$1,'Assumptions (Biomass)'!$V$9,'Assumptions (Biomass)'!$V$4*Model!$J$2010*AVERAGE('Assumptions (Biomass)'!$F$2:$H$2)/10^9),0)</f>
        <v>-9.1308063540612213E-3</v>
      </c>
      <c r="L2074" s="105">
        <f>IF($J$2010&gt;0,PPMT('Assumptions (Biomass)'!$V$6,Model!Y$1,'Assumptions (Biomass)'!$V$9,'Assumptions (Biomass)'!$V$4*Model!$J$2010*AVERAGE('Assumptions (Biomass)'!$F$2:$H$2)/10^9),0)</f>
        <v>-9.5645196558791293E-3</v>
      </c>
      <c r="M2074" s="105">
        <f>IF($J$2010&gt;0,PPMT('Assumptions (Biomass)'!$V$6,Model!Z$1,'Assumptions (Biomass)'!$V$9,'Assumptions (Biomass)'!$V$4*Model!$J$2010*AVERAGE('Assumptions (Biomass)'!$F$2:$H$2)/10^9),0)</f>
        <v>-1.0018834339533387E-2</v>
      </c>
      <c r="N2074" s="105">
        <f>IF($J$2010&gt;0,PPMT('Assumptions (Biomass)'!$V$6,Model!AA$1,'Assumptions (Biomass)'!$V$9,'Assumptions (Biomass)'!$V$4*Model!$J$2010*AVERAGE('Assumptions (Biomass)'!$F$2:$H$2)/10^9),0)</f>
        <v>-1.0494728970661222E-2</v>
      </c>
      <c r="O2074" s="105">
        <f>IF($J$2010&gt;0,PPMT('Assumptions (Biomass)'!$V$6,Model!AB$1,'Assumptions (Biomass)'!$V$9,'Assumptions (Biomass)'!$V$4*Model!$J$2010*AVERAGE('Assumptions (Biomass)'!$F$2:$H$2)/10^9),0)</f>
        <v>-1.0993228596767631E-2</v>
      </c>
      <c r="P2074" s="105">
        <f>IF($J$2010&gt;0,PPMT('Assumptions (Biomass)'!$V$6,Model!AC$1,'Assumptions (Biomass)'!$V$9,'Assumptions (Biomass)'!$V$4*Model!$J$2010*AVERAGE('Assumptions (Biomass)'!$F$2:$H$2)/10^9),0)</f>
        <v>-1.1515406955114093E-2</v>
      </c>
      <c r="Q2074" s="105">
        <f>IF($J$2010&gt;0,PPMT('Assumptions (Biomass)'!$V$6,Model!AD$1,'Assumptions (Biomass)'!$V$9,'Assumptions (Biomass)'!$V$4*Model!$J$2010*AVERAGE('Assumptions (Biomass)'!$F$2:$H$2)/10^9),0)</f>
        <v>-1.2062388785482013E-2</v>
      </c>
      <c r="R2074" s="105">
        <f>IF($J$2010&gt;0,PPMT('Assumptions (Biomass)'!$V$6,Model!AE$1,'Assumptions (Biomass)'!$V$9,'Assumptions (Biomass)'!$V$4*Model!$J$2010*AVERAGE('Assumptions (Biomass)'!$F$2:$H$2)/10^9),0)</f>
        <v>-1.2635352252792408E-2</v>
      </c>
      <c r="S2074" s="105">
        <f>IF($J$2010&gt;0,PPMT('Assumptions (Biomass)'!$V$6,Model!AF$1,'Assumptions (Biomass)'!$V$9,'Assumptions (Biomass)'!$V$4*Model!$J$2010*AVERAGE('Assumptions (Biomass)'!$F$2:$H$2)/10^9),0)</f>
        <v>-1.3235531484800049E-2</v>
      </c>
      <c r="T2074" s="105">
        <f>IF($J$2010&gt;0,PPMT('Assumptions (Biomass)'!$V$6,Model!AG$1,'Assumptions (Biomass)'!$V$9,'Assumptions (Biomass)'!$V$4*Model!$J$2010*AVERAGE('Assumptions (Biomass)'!$F$2:$H$2)/10^9),0)</f>
        <v>-1.3864219230328051E-2</v>
      </c>
      <c r="U2074" s="105">
        <f>IF($J$2010&gt;0,PPMT('Assumptions (Biomass)'!$V$6,Model!AH$1,'Assumptions (Biomass)'!$V$9,'Assumptions (Biomass)'!$V$4*Model!$J$2010*AVERAGE('Assumptions (Biomass)'!$F$2:$H$2)/10^9),0)</f>
        <v>-1.4522769643768633E-2</v>
      </c>
      <c r="V2074" s="105">
        <f>IF($J$2010&gt;0,PPMT('Assumptions (Biomass)'!$V$6,Model!AI$1,'Assumptions (Biomass)'!$V$9,'Assumptions (Biomass)'!$V$4*Model!$J$2010*AVERAGE('Assumptions (Biomass)'!$F$2:$H$2)/10^9),0)</f>
        <v>-1.5212601201847644E-2</v>
      </c>
      <c r="W2074" s="105">
        <f>IF($J$2010&gt;0,PPMT('Assumptions (Biomass)'!$V$6,Model!AJ$1,'Assumptions (Biomass)'!$V$9,'Assumptions (Biomass)'!$V$4*Model!$J$2010*AVERAGE('Assumptions (Biomass)'!$F$2:$H$2)/10^9),0)</f>
        <v>-1.5935199758935408E-2</v>
      </c>
      <c r="X2074" s="105">
        <f>IF($J$2010&gt;0,PPMT('Assumptions (Biomass)'!$V$6,Model!AK$1,'Assumptions (Biomass)'!$V$9,'Assumptions (Biomass)'!$V$4*Model!$J$2010*AVERAGE('Assumptions (Biomass)'!$F$2:$H$2)/10^9),0)</f>
        <v>-1.6692121747484835E-2</v>
      </c>
      <c r="Y2074" s="105"/>
      <c r="Z2074" s="105"/>
      <c r="AA2074" s="105"/>
      <c r="AB2074" s="105"/>
      <c r="AC2074" s="105"/>
      <c r="AD2074" s="105"/>
      <c r="AE2074" s="105"/>
      <c r="AF2074" s="105"/>
      <c r="AG2074" s="105"/>
      <c r="AH2074" s="105"/>
    </row>
    <row r="2075" spans="1:68" ht="15.75" hidden="1" customHeight="1" outlineLevel="1">
      <c r="A2075" s="441"/>
      <c r="B2075" s="99"/>
      <c r="C2075" s="105"/>
      <c r="D2075" s="105"/>
      <c r="E2075" s="105"/>
      <c r="F2075" s="105"/>
      <c r="G2075" s="105"/>
      <c r="H2075" s="105"/>
      <c r="I2075" s="105"/>
      <c r="J2075" s="105"/>
      <c r="K2075" s="105">
        <f>IF($K$2010&gt;0,PPMT('Assumptions (Biomass)'!$V$6,Model!W$1,'Assumptions (Biomass)'!$V$9,'Assumptions (Biomass)'!$V$4*Model!$K$2010*AVERAGE('Assumptions (Biomass)'!$G$2:$I$2)/10^9),0)</f>
        <v>-9.8222296323359527E-3</v>
      </c>
      <c r="L2075" s="105">
        <f>IF($K$2010&gt;0,PPMT('Assumptions (Biomass)'!$V$6,Model!X$1,'Assumptions (Biomass)'!$V$9,'Assumptions (Biomass)'!$V$4*Model!$K$2010*AVERAGE('Assumptions (Biomass)'!$G$2:$I$2)/10^9),0)</f>
        <v>-1.0288785539871911E-2</v>
      </c>
      <c r="M2075" s="105">
        <f>IF($K$2010&gt;0,PPMT('Assumptions (Biomass)'!$V$6,Model!Y$1,'Assumptions (Biomass)'!$V$9,'Assumptions (Biomass)'!$V$4*Model!$K$2010*AVERAGE('Assumptions (Biomass)'!$G$2:$I$2)/10^9),0)</f>
        <v>-1.0777502853015828E-2</v>
      </c>
      <c r="N2075" s="105">
        <f>IF($K$2010&gt;0,PPMT('Assumptions (Biomass)'!$V$6,Model!Z$1,'Assumptions (Biomass)'!$V$9,'Assumptions (Biomass)'!$V$4*Model!$K$2010*AVERAGE('Assumptions (Biomass)'!$G$2:$I$2)/10^9),0)</f>
        <v>-1.1289434238534079E-2</v>
      </c>
      <c r="O2075" s="105">
        <f>IF($K$2010&gt;0,PPMT('Assumptions (Biomass)'!$V$6,Model!AA$1,'Assumptions (Biomass)'!$V$9,'Assumptions (Biomass)'!$V$4*Model!$K$2010*AVERAGE('Assumptions (Biomass)'!$G$2:$I$2)/10^9),0)</f>
        <v>-1.1825682364864447E-2</v>
      </c>
      <c r="P2075" s="105">
        <f>IF($K$2010&gt;0,PPMT('Assumptions (Biomass)'!$V$6,Model!AB$1,'Assumptions (Biomass)'!$V$9,'Assumptions (Biomass)'!$V$4*Model!$K$2010*AVERAGE('Assumptions (Biomass)'!$G$2:$I$2)/10^9),0)</f>
        <v>-1.2387402277195508E-2</v>
      </c>
      <c r="Q2075" s="105">
        <f>IF($K$2010&gt;0,PPMT('Assumptions (Biomass)'!$V$6,Model!AC$1,'Assumptions (Biomass)'!$V$9,'Assumptions (Biomass)'!$V$4*Model!$K$2010*AVERAGE('Assumptions (Biomass)'!$G$2:$I$2)/10^9),0)</f>
        <v>-1.2975803885362297E-2</v>
      </c>
      <c r="R2075" s="105">
        <f>IF($K$2010&gt;0,PPMT('Assumptions (Biomass)'!$V$6,Model!AD$1,'Assumptions (Biomass)'!$V$9,'Assumptions (Biomass)'!$V$4*Model!$K$2010*AVERAGE('Assumptions (Biomass)'!$G$2:$I$2)/10^9),0)</f>
        <v>-1.3592154569917005E-2</v>
      </c>
      <c r="S2075" s="105">
        <f>IF($K$2010&gt;0,PPMT('Assumptions (Biomass)'!$V$6,Model!AE$1,'Assumptions (Biomass)'!$V$9,'Assumptions (Biomass)'!$V$4*Model!$K$2010*AVERAGE('Assumptions (Biomass)'!$G$2:$I$2)/10^9),0)</f>
        <v>-1.4237781911988061E-2</v>
      </c>
      <c r="T2075" s="105">
        <f>IF($K$2010&gt;0,PPMT('Assumptions (Biomass)'!$V$6,Model!AF$1,'Assumptions (Biomass)'!$V$9,'Assumptions (Biomass)'!$V$4*Model!$K$2010*AVERAGE('Assumptions (Biomass)'!$G$2:$I$2)/10^9),0)</f>
        <v>-1.4914076552807496E-2</v>
      </c>
      <c r="U2075" s="105">
        <f>IF($K$2010&gt;0,PPMT('Assumptions (Biomass)'!$V$6,Model!AG$1,'Assumptions (Biomass)'!$V$9,'Assumptions (Biomass)'!$V$4*Model!$K$2010*AVERAGE('Assumptions (Biomass)'!$G$2:$I$2)/10^9),0)</f>
        <v>-1.5622495189065853E-2</v>
      </c>
      <c r="V2075" s="105">
        <f>IF($K$2010&gt;0,PPMT('Assumptions (Biomass)'!$V$6,Model!AH$1,'Assumptions (Biomass)'!$V$9,'Assumptions (Biomass)'!$V$4*Model!$K$2010*AVERAGE('Assumptions (Biomass)'!$G$2:$I$2)/10^9),0)</f>
        <v>-1.6364563710546481E-2</v>
      </c>
      <c r="W2075" s="105">
        <f>IF($K$2010&gt;0,PPMT('Assumptions (Biomass)'!$V$6,Model!AI$1,'Assumptions (Biomass)'!$V$9,'Assumptions (Biomass)'!$V$4*Model!$K$2010*AVERAGE('Assumptions (Biomass)'!$G$2:$I$2)/10^9),0)</f>
        <v>-1.7141880486797441E-2</v>
      </c>
      <c r="X2075" s="105">
        <f>IF($K$2010&gt;0,PPMT('Assumptions (Biomass)'!$V$6,Model!AJ$1,'Assumptions (Biomass)'!$V$9,'Assumptions (Biomass)'!$V$4*Model!$K$2010*AVERAGE('Assumptions (Biomass)'!$G$2:$I$2)/10^9),0)</f>
        <v>-1.7956119809920318E-2</v>
      </c>
      <c r="Y2075" s="105">
        <f>IF($K$2010&gt;0,PPMT('Assumptions (Biomass)'!$V$6,Model!AK$1,'Assumptions (Biomass)'!$V$9,'Assumptions (Biomass)'!$V$4*Model!$K$2010*AVERAGE('Assumptions (Biomass)'!$G$2:$I$2)/10^9),0)</f>
        <v>-1.8809035500891528E-2</v>
      </c>
      <c r="Z2075" s="105"/>
      <c r="AA2075" s="105"/>
      <c r="AB2075" s="105"/>
      <c r="AC2075" s="105"/>
      <c r="AD2075" s="105"/>
      <c r="AE2075" s="105"/>
      <c r="AF2075" s="105"/>
      <c r="AG2075" s="105"/>
      <c r="AH2075" s="105"/>
      <c r="AI2075" s="105"/>
    </row>
    <row r="2076" spans="1:68" ht="15.75" hidden="1" customHeight="1" outlineLevel="1">
      <c r="A2076" s="441"/>
      <c r="B2076" s="99"/>
      <c r="C2076" s="105"/>
      <c r="D2076" s="105"/>
      <c r="E2076" s="105"/>
      <c r="F2076" s="105"/>
      <c r="G2076" s="105"/>
      <c r="H2076" s="105"/>
      <c r="I2076" s="105"/>
      <c r="J2076" s="105"/>
      <c r="K2076" s="105"/>
      <c r="L2076" s="105">
        <f>IF($L$2010&gt;0,PPMT('Assumptions (Biomass)'!$V$6,Model!W$1,'Assumptions (Biomass)'!$V$9,'Assumptions (Biomass)'!$V$4*Model!$L$2010*AVERAGE('Assumptions (Biomass)'!$H$2:$J$2)/10^9),0)</f>
        <v>-1.0489350195283872E-2</v>
      </c>
      <c r="M2076" s="105">
        <f>IF($L$2010&gt;0,PPMT('Assumptions (Biomass)'!$V$6,Model!X$1,'Assumptions (Biomass)'!$V$9,'Assumptions (Biomass)'!$V$4*Model!$L$2010*AVERAGE('Assumptions (Biomass)'!$H$2:$J$2)/10^9),0)</f>
        <v>-1.0987594329559857E-2</v>
      </c>
      <c r="N2076" s="105">
        <f>IF($L$2010&gt;0,PPMT('Assumptions (Biomass)'!$V$6,Model!Y$1,'Assumptions (Biomass)'!$V$9,'Assumptions (Biomass)'!$V$4*Model!$L$2010*AVERAGE('Assumptions (Biomass)'!$H$2:$J$2)/10^9),0)</f>
        <v>-1.150950506021395E-2</v>
      </c>
      <c r="O2076" s="105">
        <f>IF($L$2010&gt;0,PPMT('Assumptions (Biomass)'!$V$6,Model!Z$1,'Assumptions (Biomass)'!$V$9,'Assumptions (Biomass)'!$V$4*Model!$L$2010*AVERAGE('Assumptions (Biomass)'!$H$2:$J$2)/10^9),0)</f>
        <v>-1.2056206550574112E-2</v>
      </c>
      <c r="P2076" s="105">
        <f>IF($L$2010&gt;0,PPMT('Assumptions (Biomass)'!$V$6,Model!AA$1,'Assumptions (Biomass)'!$V$9,'Assumptions (Biomass)'!$V$4*Model!$L$2010*AVERAGE('Assumptions (Biomass)'!$H$2:$J$2)/10^9),0)</f>
        <v>-1.2628876361726382E-2</v>
      </c>
      <c r="Q2076" s="105">
        <f>IF($L$2010&gt;0,PPMT('Assumptions (Biomass)'!$V$6,Model!AB$1,'Assumptions (Biomass)'!$V$9,'Assumptions (Biomass)'!$V$4*Model!$L$2010*AVERAGE('Assumptions (Biomass)'!$H$2:$J$2)/10^9),0)</f>
        <v>-1.3228747988908385E-2</v>
      </c>
      <c r="R2076" s="105">
        <f>IF($L$2010&gt;0,PPMT('Assumptions (Biomass)'!$V$6,Model!AC$1,'Assumptions (Biomass)'!$V$9,'Assumptions (Biomass)'!$V$4*Model!$L$2010*AVERAGE('Assumptions (Biomass)'!$H$2:$J$2)/10^9),0)</f>
        <v>-1.3857113518381533E-2</v>
      </c>
      <c r="S2076" s="105">
        <f>IF($L$2010&gt;0,PPMT('Assumptions (Biomass)'!$V$6,Model!AD$1,'Assumptions (Biomass)'!$V$9,'Assumptions (Biomass)'!$V$4*Model!$L$2010*AVERAGE('Assumptions (Biomass)'!$H$2:$J$2)/10^9),0)</f>
        <v>-1.4515326410504657E-2</v>
      </c>
      <c r="T2076" s="105">
        <f>IF($L$2010&gt;0,PPMT('Assumptions (Biomass)'!$V$6,Model!AE$1,'Assumptions (Biomass)'!$V$9,'Assumptions (Biomass)'!$V$4*Model!$L$2010*AVERAGE('Assumptions (Biomass)'!$H$2:$J$2)/10^9),0)</f>
        <v>-1.5204804415003626E-2</v>
      </c>
      <c r="U2076" s="105">
        <f>IF($L$2010&gt;0,PPMT('Assumptions (Biomass)'!$V$6,Model!AF$1,'Assumptions (Biomass)'!$V$9,'Assumptions (Biomass)'!$V$4*Model!$L$2010*AVERAGE('Assumptions (Biomass)'!$H$2:$J$2)/10^9),0)</f>
        <v>-1.59270326247163E-2</v>
      </c>
      <c r="V2076" s="105">
        <f>IF($L$2010&gt;0,PPMT('Assumptions (Biomass)'!$V$6,Model!AG$1,'Assumptions (Biomass)'!$V$9,'Assumptions (Biomass)'!$V$4*Model!$L$2010*AVERAGE('Assumptions (Biomass)'!$H$2:$J$2)/10^9),0)</f>
        <v>-1.6683566674390325E-2</v>
      </c>
      <c r="W2076" s="105">
        <f>IF($L$2010&gt;0,PPMT('Assumptions (Biomass)'!$V$6,Model!AH$1,'Assumptions (Biomass)'!$V$9,'Assumptions (Biomass)'!$V$4*Model!$L$2010*AVERAGE('Assumptions (Biomass)'!$H$2:$J$2)/10^9),0)</f>
        <v>-1.7476036091423865E-2</v>
      </c>
      <c r="X2076" s="105">
        <f>IF($L$2010&gt;0,PPMT('Assumptions (Biomass)'!$V$6,Model!AI$1,'Assumptions (Biomass)'!$V$9,'Assumptions (Biomass)'!$V$4*Model!$L$2010*AVERAGE('Assumptions (Biomass)'!$H$2:$J$2)/10^9),0)</f>
        <v>-1.83061478057665E-2</v>
      </c>
      <c r="Y2076" s="105">
        <f>IF($L$2010&gt;0,PPMT('Assumptions (Biomass)'!$V$6,Model!AJ$1,'Assumptions (Biomass)'!$V$9,'Assumptions (Biomass)'!$V$4*Model!$L$2010*AVERAGE('Assumptions (Biomass)'!$H$2:$J$2)/10^9),0)</f>
        <v>-1.9175689826540408E-2</v>
      </c>
      <c r="Z2076" s="105">
        <f>IF($L$2010&gt;0,PPMT('Assumptions (Biomass)'!$V$6,Model!AK$1,'Assumptions (Biomass)'!$V$9,'Assumptions (Biomass)'!$V$4*Model!$L$2010*AVERAGE('Assumptions (Biomass)'!$H$2:$J$2)/10^9),0)</f>
        <v>-2.0086535093301074E-2</v>
      </c>
      <c r="AA2076" s="105"/>
      <c r="AB2076" s="105"/>
      <c r="AC2076" s="105"/>
      <c r="AD2076" s="105"/>
      <c r="AE2076" s="105"/>
      <c r="AF2076" s="105"/>
      <c r="AG2076" s="105"/>
      <c r="AH2076" s="105"/>
      <c r="AI2076" s="105"/>
      <c r="AJ2076" s="105"/>
    </row>
    <row r="2077" spans="1:68" ht="15.75" hidden="1" customHeight="1" outlineLevel="1">
      <c r="A2077" s="441"/>
      <c r="B2077" s="99"/>
      <c r="C2077" s="105"/>
      <c r="D2077" s="105"/>
      <c r="E2077" s="105"/>
      <c r="F2077" s="105"/>
      <c r="G2077" s="105"/>
      <c r="H2077" s="105"/>
      <c r="I2077" s="105"/>
      <c r="J2077" s="105"/>
      <c r="K2077" s="105"/>
      <c r="L2077" s="105"/>
      <c r="M2077" s="105">
        <f>IF($M$2010&gt;0,PPMT('Assumptions (Biomass)'!$V$6,Model!W$1,'Assumptions (Biomass)'!$V$9,'Assumptions (Biomass)'!$V$4*Model!$M$2010*AVERAGE('Assumptions (Biomass)'!$I$2:$K$2)/10^9),0)</f>
        <v>-7.1413311593949468E-3</v>
      </c>
      <c r="N2077" s="105">
        <f>IF($M$2010&gt;0,PPMT('Assumptions (Biomass)'!$V$6,Model!X$1,'Assumptions (Biomass)'!$V$9,'Assumptions (Biomass)'!$V$4*Model!$M$2010*AVERAGE('Assumptions (Biomass)'!$I$2:$K$2)/10^9),0)</f>
        <v>-7.4805443894662071E-3</v>
      </c>
      <c r="O2077" s="105">
        <f>IF($M$2010&gt;0,PPMT('Assumptions (Biomass)'!$V$6,Model!Y$1,'Assumptions (Biomass)'!$V$9,'Assumptions (Biomass)'!$V$4*Model!$M$2010*AVERAGE('Assumptions (Biomass)'!$I$2:$K$2)/10^9),0)</f>
        <v>-7.8358702479658527E-3</v>
      </c>
      <c r="P2077" s="105">
        <f>IF($M$2010&gt;0,PPMT('Assumptions (Biomass)'!$V$6,Model!Z$1,'Assumptions (Biomass)'!$V$9,'Assumptions (Biomass)'!$V$4*Model!$M$2010*AVERAGE('Assumptions (Biomass)'!$I$2:$K$2)/10^9),0)</f>
        <v>-8.20807408474423E-3</v>
      </c>
      <c r="Q2077" s="105">
        <f>IF($M$2010&gt;0,PPMT('Assumptions (Biomass)'!$V$6,Model!AA$1,'Assumptions (Biomass)'!$V$9,'Assumptions (Biomass)'!$V$4*Model!$M$2010*AVERAGE('Assumptions (Biomass)'!$I$2:$K$2)/10^9),0)</f>
        <v>-8.5979576037695793E-3</v>
      </c>
      <c r="R2077" s="105">
        <f>IF($M$2010&gt;0,PPMT('Assumptions (Biomass)'!$V$6,Model!AB$1,'Assumptions (Biomass)'!$V$9,'Assumptions (Biomass)'!$V$4*Model!$M$2010*AVERAGE('Assumptions (Biomass)'!$I$2:$K$2)/10^9),0)</f>
        <v>-9.0063605899486348E-3</v>
      </c>
      <c r="S2077" s="105">
        <f>IF($M$2010&gt;0,PPMT('Assumptions (Biomass)'!$V$6,Model!AC$1,'Assumptions (Biomass)'!$V$9,'Assumptions (Biomass)'!$V$4*Model!$M$2010*AVERAGE('Assumptions (Biomass)'!$I$2:$K$2)/10^9),0)</f>
        <v>-9.4341627179711958E-3</v>
      </c>
      <c r="T2077" s="105">
        <f>IF($M$2010&gt;0,PPMT('Assumptions (Biomass)'!$V$6,Model!AD$1,'Assumptions (Biomass)'!$V$9,'Assumptions (Biomass)'!$V$4*Model!$M$2010*AVERAGE('Assumptions (Biomass)'!$I$2:$K$2)/10^9),0)</f>
        <v>-9.8822854470748279E-3</v>
      </c>
      <c r="U2077" s="105">
        <f>IF($M$2010&gt;0,PPMT('Assumptions (Biomass)'!$V$6,Model!AE$1,'Assumptions (Biomass)'!$V$9,'Assumptions (Biomass)'!$V$4*Model!$M$2010*AVERAGE('Assumptions (Biomass)'!$I$2:$K$2)/10^9),0)</f>
        <v>-1.0351694005810881E-2</v>
      </c>
      <c r="V2077" s="105">
        <f>IF($M$2010&gt;0,PPMT('Assumptions (Biomass)'!$V$6,Model!AF$1,'Assumptions (Biomass)'!$V$9,'Assumptions (Biomass)'!$V$4*Model!$M$2010*AVERAGE('Assumptions (Biomass)'!$I$2:$K$2)/10^9),0)</f>
        <v>-1.0843399471086899E-2</v>
      </c>
      <c r="W2077" s="105">
        <f>IF($M$2010&gt;0,PPMT('Assumptions (Biomass)'!$V$6,Model!AG$1,'Assumptions (Biomass)'!$V$9,'Assumptions (Biomass)'!$V$4*Model!$M$2010*AVERAGE('Assumptions (Biomass)'!$I$2:$K$2)/10^9),0)</f>
        <v>-1.1358460945963527E-2</v>
      </c>
      <c r="X2077" s="105">
        <f>IF($M$2010&gt;0,PPMT('Assumptions (Biomass)'!$V$6,Model!AH$1,'Assumptions (Biomass)'!$V$9,'Assumptions (Biomass)'!$V$4*Model!$M$2010*AVERAGE('Assumptions (Biomass)'!$I$2:$K$2)/10^9),0)</f>
        <v>-1.1897987840896795E-2</v>
      </c>
      <c r="Y2077" s="105">
        <f>IF($M$2010&gt;0,PPMT('Assumptions (Biomass)'!$V$6,Model!AI$1,'Assumptions (Biomass)'!$V$9,'Assumptions (Biomass)'!$V$4*Model!$M$2010*AVERAGE('Assumptions (Biomass)'!$I$2:$K$2)/10^9),0)</f>
        <v>-1.2463142263339392E-2</v>
      </c>
      <c r="Z2077" s="105">
        <f>IF($M$2010&gt;0,PPMT('Assumptions (Biomass)'!$V$6,Model!AJ$1,'Assumptions (Biomass)'!$V$9,'Assumptions (Biomass)'!$V$4*Model!$M$2010*AVERAGE('Assumptions (Biomass)'!$I$2:$K$2)/10^9),0)</f>
        <v>-1.3055141520848013E-2</v>
      </c>
      <c r="AA2077" s="105">
        <f>IF($M$2010&gt;0,PPMT('Assumptions (Biomass)'!$V$6,Model!AK$1,'Assumptions (Biomass)'!$V$9,'Assumptions (Biomass)'!$V$4*Model!$M$2010*AVERAGE('Assumptions (Biomass)'!$I$2:$K$2)/10^9),0)</f>
        <v>-1.3675260743088292E-2</v>
      </c>
      <c r="AB2077" s="105"/>
      <c r="AC2077" s="105"/>
      <c r="AD2077" s="105"/>
      <c r="AE2077" s="105"/>
      <c r="AF2077" s="105"/>
      <c r="AG2077" s="105"/>
      <c r="AH2077" s="105"/>
      <c r="AI2077" s="105"/>
      <c r="AJ2077" s="105"/>
      <c r="AK2077" s="105"/>
    </row>
    <row r="2078" spans="1:68" ht="15.75" hidden="1" customHeight="1" outlineLevel="1">
      <c r="A2078" s="441"/>
      <c r="B2078" s="99"/>
      <c r="C2078" s="105"/>
      <c r="D2078" s="105"/>
      <c r="E2078" s="105"/>
      <c r="F2078" s="105"/>
      <c r="G2078" s="105"/>
      <c r="H2078" s="105"/>
      <c r="I2078" s="105"/>
      <c r="J2078" s="105"/>
      <c r="K2078" s="105"/>
      <c r="L2078" s="105"/>
      <c r="M2078" s="105"/>
      <c r="N2078" s="91">
        <f>IF($N$2010&gt;0,PPMT('Assumptions (Biomass)'!$V$6,Model!W$1,'Assumptions (Biomass)'!$V$9,'Assumptions (Biomass)'!$V$4*Model!$N$2010*AVERAGE('Assumptions (Biomass)'!$J$2:$L$2)/10^9),0)</f>
        <v>-1.2364704807409539E-2</v>
      </c>
      <c r="O2078" s="91">
        <f>IF($N$2010&gt;0,PPMT('Assumptions (Biomass)'!$V$6,Model!X$1,'Assumptions (Biomass)'!$V$9,'Assumptions (Biomass)'!$V$4*Model!$N$2010*AVERAGE('Assumptions (Biomass)'!$J$2:$L$2)/10^9),0)</f>
        <v>-1.2952028285761492E-2</v>
      </c>
      <c r="P2078" s="91">
        <f>IF($N$2010&gt;0,PPMT('Assumptions (Biomass)'!$V$6,Model!Y$1,'Assumptions (Biomass)'!$V$9,'Assumptions (Biomass)'!$V$4*Model!$N$2010*AVERAGE('Assumptions (Biomass)'!$J$2:$L$2)/10^9),0)</f>
        <v>-1.3567249629335166E-2</v>
      </c>
      <c r="Q2078" s="91">
        <f>IF($N$2010&gt;0,PPMT('Assumptions (Biomass)'!$V$6,Model!Z$1,'Assumptions (Biomass)'!$V$9,'Assumptions (Biomass)'!$V$4*Model!$N$2010*AVERAGE('Assumptions (Biomass)'!$J$2:$L$2)/10^9),0)</f>
        <v>-1.4211693986728582E-2</v>
      </c>
      <c r="R2078" s="91">
        <f>IF($N$2010&gt;0,PPMT('Assumptions (Biomass)'!$V$6,Model!AA$1,'Assumptions (Biomass)'!$V$9,'Assumptions (Biomass)'!$V$4*Model!$N$2010*AVERAGE('Assumptions (Biomass)'!$J$2:$L$2)/10^9),0)</f>
        <v>-1.4886749451098188E-2</v>
      </c>
      <c r="S2078" s="91">
        <f>IF($N$2010&gt;0,PPMT('Assumptions (Biomass)'!$V$6,Model!AB$1,'Assumptions (Biomass)'!$V$9,'Assumptions (Biomass)'!$V$4*Model!$N$2010*AVERAGE('Assumptions (Biomass)'!$J$2:$L$2)/10^9),0)</f>
        <v>-1.5593870050025355E-2</v>
      </c>
      <c r="T2078" s="91">
        <f>IF($N$2010&gt;0,PPMT('Assumptions (Biomass)'!$V$6,Model!AC$1,'Assumptions (Biomass)'!$V$9,'Assumptions (Biomass)'!$V$4*Model!$N$2010*AVERAGE('Assumptions (Biomass)'!$J$2:$L$2)/10^9),0)</f>
        <v>-1.6334578877401557E-2</v>
      </c>
      <c r="U2078" s="91">
        <f>IF($N$2010&gt;0,PPMT('Assumptions (Biomass)'!$V$6,Model!AD$1,'Assumptions (Biomass)'!$V$9,'Assumptions (Biomass)'!$V$4*Model!$N$2010*AVERAGE('Assumptions (Biomass)'!$J$2:$L$2)/10^9),0)</f>
        <v>-1.7110471374078132E-2</v>
      </c>
      <c r="V2078" s="91">
        <f>IF($N$2010&gt;0,PPMT('Assumptions (Biomass)'!$V$6,Model!AE$1,'Assumptions (Biomass)'!$V$9,'Assumptions (Biomass)'!$V$4*Model!$N$2010*AVERAGE('Assumptions (Biomass)'!$J$2:$L$2)/10^9),0)</f>
        <v>-1.7923218764346844E-2</v>
      </c>
      <c r="W2078" s="91">
        <f>IF($N$2010&gt;0,PPMT('Assumptions (Biomass)'!$V$6,Model!AF$1,'Assumptions (Biomass)'!$V$9,'Assumptions (Biomass)'!$V$4*Model!$N$2010*AVERAGE('Assumptions (Biomass)'!$J$2:$L$2)/10^9),0)</f>
        <v>-1.877457165565332E-2</v>
      </c>
      <c r="X2078" s="91">
        <f>IF($N$2010&gt;0,PPMT('Assumptions (Biomass)'!$V$6,Model!AG$1,'Assumptions (Biomass)'!$V$9,'Assumptions (Biomass)'!$V$4*Model!$N$2010*AVERAGE('Assumptions (Biomass)'!$J$2:$L$2)/10^9),0)</f>
        <v>-1.9666363809296854E-2</v>
      </c>
      <c r="Y2078" s="91">
        <f>IF($N$2010&gt;0,PPMT('Assumptions (Biomass)'!$V$6,Model!AH$1,'Assumptions (Biomass)'!$V$9,'Assumptions (Biomass)'!$V$4*Model!$N$2010*AVERAGE('Assumptions (Biomass)'!$J$2:$L$2)/10^9),0)</f>
        <v>-2.0600516090238451E-2</v>
      </c>
      <c r="Z2078" s="91">
        <f>IF($N$2010&gt;0,PPMT('Assumptions (Biomass)'!$V$6,Model!AI$1,'Assumptions (Biomass)'!$V$9,'Assumptions (Biomass)'!$V$4*Model!$N$2010*AVERAGE('Assumptions (Biomass)'!$J$2:$L$2)/10^9),0)</f>
        <v>-2.1579040604524782E-2</v>
      </c>
      <c r="AA2078" s="91">
        <f>IF($N$2010&gt;0,PPMT('Assumptions (Biomass)'!$V$6,Model!AJ$1,'Assumptions (Biomass)'!$V$9,'Assumptions (Biomass)'!$V$4*Model!$N$2010*AVERAGE('Assumptions (Biomass)'!$J$2:$L$2)/10^9),0)</f>
        <v>-2.2604045033239706E-2</v>
      </c>
      <c r="AB2078" s="91">
        <f>IF($N$2010&gt;0,PPMT('Assumptions (Biomass)'!$V$6,Model!AK$1,'Assumptions (Biomass)'!$V$9,'Assumptions (Biomass)'!$V$4*Model!$N$2010*AVERAGE('Assumptions (Biomass)'!$J$2:$L$2)/10^9),0)</f>
        <v>-2.3677737172318591E-2</v>
      </c>
      <c r="AC2078" s="91"/>
      <c r="AD2078" s="91"/>
      <c r="AE2078" s="91"/>
      <c r="AF2078" s="91"/>
      <c r="AG2078" s="91"/>
      <c r="AH2078" s="91"/>
      <c r="AI2078" s="91"/>
      <c r="AJ2078" s="91"/>
      <c r="AK2078" s="91"/>
      <c r="AL2078" s="91"/>
    </row>
    <row r="2079" spans="1:68" ht="15.75" hidden="1" customHeight="1" outlineLevel="1">
      <c r="A2079" s="441"/>
      <c r="B2079" s="99"/>
      <c r="C2079" s="105"/>
      <c r="D2079" s="105"/>
      <c r="E2079" s="105"/>
      <c r="F2079" s="105"/>
      <c r="G2079" s="105"/>
      <c r="H2079" s="105"/>
      <c r="I2079" s="105"/>
      <c r="J2079" s="105"/>
      <c r="K2079" s="105"/>
      <c r="L2079" s="105"/>
      <c r="M2079" s="105"/>
      <c r="N2079" s="105"/>
      <c r="O2079" s="105">
        <f>IF($O$2010&gt;0,PPMT('Assumptions (Biomass)'!$V$6,Model!W$1,'Assumptions (Biomass)'!$V$9,'Assumptions (Biomass)'!$V$4*Model!$O$2010*AVERAGE('Assumptions (Biomass)'!$K$2:$M$2)/10^9),0)</f>
        <v>-1.6563282859905732E-2</v>
      </c>
      <c r="P2079" s="105">
        <f>IF($O$2010&gt;0,PPMT('Assumptions (Biomass)'!$V$6,Model!X$1,'Assumptions (Biomass)'!$V$9,'Assumptions (Biomass)'!$V$4*Model!$O$2010*AVERAGE('Assumptions (Biomass)'!$K$2:$M$2)/10^9),0)</f>
        <v>-1.7350038795751255E-2</v>
      </c>
      <c r="Q2079" s="105">
        <f>IF($O$2010&gt;0,PPMT('Assumptions (Biomass)'!$V$6,Model!Y$1,'Assumptions (Biomass)'!$V$9,'Assumptions (Biomass)'!$V$4*Model!$O$2010*AVERAGE('Assumptions (Biomass)'!$K$2:$M$2)/10^9),0)</f>
        <v>-1.8174165638549442E-2</v>
      </c>
      <c r="R2079" s="105">
        <f>IF($O$2010&gt;0,PPMT('Assumptions (Biomass)'!$V$6,Model!Z$1,'Assumptions (Biomass)'!$V$9,'Assumptions (Biomass)'!$V$4*Model!$O$2010*AVERAGE('Assumptions (Biomass)'!$K$2:$M$2)/10^9),0)</f>
        <v>-1.9037438506380538E-2</v>
      </c>
      <c r="S2079" s="105">
        <f>IF($O$2010&gt;0,PPMT('Assumptions (Biomass)'!$V$6,Model!AA$1,'Assumptions (Biomass)'!$V$9,'Assumptions (Biomass)'!$V$4*Model!$O$2010*AVERAGE('Assumptions (Biomass)'!$K$2:$M$2)/10^9),0)</f>
        <v>-1.9941716835433609E-2</v>
      </c>
      <c r="T2079" s="105">
        <f>IF($O$2010&gt;0,PPMT('Assumptions (Biomass)'!$V$6,Model!AB$1,'Assumptions (Biomass)'!$V$9,'Assumptions (Biomass)'!$V$4*Model!$O$2010*AVERAGE('Assumptions (Biomass)'!$K$2:$M$2)/10^9),0)</f>
        <v>-2.088894838511671E-2</v>
      </c>
      <c r="U2079" s="105">
        <f>IF($O$2010&gt;0,PPMT('Assumptions (Biomass)'!$V$6,Model!AC$1,'Assumptions (Biomass)'!$V$9,'Assumptions (Biomass)'!$V$4*Model!$O$2010*AVERAGE('Assumptions (Biomass)'!$K$2:$M$2)/10^9),0)</f>
        <v>-2.1881173433409753E-2</v>
      </c>
      <c r="V2079" s="105">
        <f>IF($O$2010&gt;0,PPMT('Assumptions (Biomass)'!$V$6,Model!AD$1,'Assumptions (Biomass)'!$V$9,'Assumptions (Biomass)'!$V$4*Model!$O$2010*AVERAGE('Assumptions (Biomass)'!$K$2:$M$2)/10^9),0)</f>
        <v>-2.2920529171496718E-2</v>
      </c>
      <c r="W2079" s="105">
        <f>IF($O$2010&gt;0,PPMT('Assumptions (Biomass)'!$V$6,Model!AE$1,'Assumptions (Biomass)'!$V$9,'Assumptions (Biomass)'!$V$4*Model!$O$2010*AVERAGE('Assumptions (Biomass)'!$K$2:$M$2)/10^9),0)</f>
        <v>-2.4009254307142808E-2</v>
      </c>
      <c r="X2079" s="105">
        <f>IF($O$2010&gt;0,PPMT('Assumptions (Biomass)'!$V$6,Model!AF$1,'Assumptions (Biomass)'!$V$9,'Assumptions (Biomass)'!$V$4*Model!$O$2010*AVERAGE('Assumptions (Biomass)'!$K$2:$M$2)/10^9),0)</f>
        <v>-2.5149693886732095E-2</v>
      </c>
      <c r="Y2079" s="105">
        <f>IF($O$2010&gt;0,PPMT('Assumptions (Biomass)'!$V$6,Model!AG$1,'Assumptions (Biomass)'!$V$9,'Assumptions (Biomass)'!$V$4*Model!$O$2010*AVERAGE('Assumptions (Biomass)'!$K$2:$M$2)/10^9),0)</f>
        <v>-2.6344304346351873E-2</v>
      </c>
      <c r="Z2079" s="105">
        <f>IF($O$2010&gt;0,PPMT('Assumptions (Biomass)'!$V$6,Model!AH$1,'Assumptions (Biomass)'!$V$9,'Assumptions (Biomass)'!$V$4*Model!$O$2010*AVERAGE('Assumptions (Biomass)'!$K$2:$M$2)/10^9),0)</f>
        <v>-2.7595658802803583E-2</v>
      </c>
      <c r="AA2079" s="105">
        <f>IF($O$2010&gt;0,PPMT('Assumptions (Biomass)'!$V$6,Model!AI$1,'Assumptions (Biomass)'!$V$9,'Assumptions (Biomass)'!$V$4*Model!$O$2010*AVERAGE('Assumptions (Biomass)'!$K$2:$M$2)/10^9),0)</f>
        <v>-2.8906452595936754E-2</v>
      </c>
      <c r="AB2079" s="105">
        <f>IF($O$2010&gt;0,PPMT('Assumptions (Biomass)'!$V$6,Model!AJ$1,'Assumptions (Biomass)'!$V$9,'Assumptions (Biomass)'!$V$4*Model!$O$2010*AVERAGE('Assumptions (Biomass)'!$K$2:$M$2)/10^9),0)</f>
        <v>-3.0279509094243751E-2</v>
      </c>
      <c r="AC2079" s="105">
        <f>IF($O$2010&gt;0,PPMT('Assumptions (Biomass)'!$V$6,Model!AK$1,'Assumptions (Biomass)'!$V$9,'Assumptions (Biomass)'!$V$4*Model!$O$2010*AVERAGE('Assumptions (Biomass)'!$K$2:$M$2)/10^9),0)</f>
        <v>-3.1717785776220322E-2</v>
      </c>
      <c r="AD2079" s="105"/>
      <c r="AE2079" s="105"/>
      <c r="AF2079" s="105"/>
      <c r="AG2079" s="105"/>
      <c r="AH2079" s="105"/>
      <c r="AI2079" s="105"/>
      <c r="AJ2079" s="105"/>
      <c r="AK2079" s="105"/>
      <c r="AL2079" s="105"/>
      <c r="AM2079" s="105"/>
    </row>
    <row r="2080" spans="1:68" ht="15.75" hidden="1" customHeight="1" outlineLevel="1">
      <c r="A2080" s="441"/>
      <c r="B2080" s="99"/>
      <c r="C2080" s="105"/>
      <c r="D2080" s="105"/>
      <c r="E2080" s="105"/>
      <c r="F2080" s="105"/>
      <c r="G2080" s="105"/>
      <c r="H2080" s="105"/>
      <c r="I2080" s="105"/>
      <c r="J2080" s="105"/>
      <c r="K2080" s="105"/>
      <c r="L2080" s="105"/>
      <c r="M2080" s="105"/>
      <c r="N2080" s="105"/>
      <c r="O2080" s="105"/>
      <c r="P2080" s="91">
        <f>IF($P$2010&gt;0,PPMT('Assumptions (Biomass)'!$V$6,Model!W$1,'Assumptions (Biomass)'!$V$9,'Assumptions (Biomass)'!$V$4*Model!$P$2010*AVERAGE('Assumptions (Biomass)'!$L$2:$N$2)/10^9),0)</f>
        <v>-5.4249969201664104E-2</v>
      </c>
      <c r="Q2080" s="91">
        <f>IF($P$2010&gt;0,PPMT('Assumptions (Biomass)'!$V$6,Model!X$1,'Assumptions (Biomass)'!$V$9,'Assumptions (Biomass)'!$V$4*Model!$P$2010*AVERAGE('Assumptions (Biomass)'!$L$2:$N$2)/10^9),0)</f>
        <v>-5.6826842738743145E-2</v>
      </c>
      <c r="R2080" s="91">
        <f>IF($P$2010&gt;0,PPMT('Assumptions (Biomass)'!$V$6,Model!Y$1,'Assumptions (Biomass)'!$V$9,'Assumptions (Biomass)'!$V$4*Model!$P$2010*AVERAGE('Assumptions (Biomass)'!$L$2:$N$2)/10^9),0)</f>
        <v>-5.9526117768833452E-2</v>
      </c>
      <c r="S2080" s="91">
        <f>IF($P$2010&gt;0,PPMT('Assumptions (Biomass)'!$V$6,Model!Z$1,'Assumptions (Biomass)'!$V$9,'Assumptions (Biomass)'!$V$4*Model!$P$2010*AVERAGE('Assumptions (Biomass)'!$L$2:$N$2)/10^9),0)</f>
        <v>-6.2353608362853037E-2</v>
      </c>
      <c r="T2080" s="91">
        <f>IF($P$2010&gt;0,PPMT('Assumptions (Biomass)'!$V$6,Model!AA$1,'Assumptions (Biomass)'!$V$9,'Assumptions (Biomass)'!$V$4*Model!$P$2010*AVERAGE('Assumptions (Biomass)'!$L$2:$N$2)/10^9),0)</f>
        <v>-6.5315404760088541E-2</v>
      </c>
      <c r="U2080" s="91">
        <f>IF($P$2010&gt;0,PPMT('Assumptions (Biomass)'!$V$6,Model!AB$1,'Assumptions (Biomass)'!$V$9,'Assumptions (Biomass)'!$V$4*Model!$P$2010*AVERAGE('Assumptions (Biomass)'!$L$2:$N$2)/10^9),0)</f>
        <v>-6.8417886486192764E-2</v>
      </c>
      <c r="V2080" s="91">
        <f>IF($P$2010&gt;0,PPMT('Assumptions (Biomass)'!$V$6,Model!AC$1,'Assumptions (Biomass)'!$V$9,'Assumptions (Biomass)'!$V$4*Model!$P$2010*AVERAGE('Assumptions (Biomass)'!$L$2:$N$2)/10^9),0)</f>
        <v>-7.1667736094286907E-2</v>
      </c>
      <c r="W2080" s="91">
        <f>IF($P$2010&gt;0,PPMT('Assumptions (Biomass)'!$V$6,Model!AD$1,'Assumptions (Biomass)'!$V$9,'Assumptions (Biomass)'!$V$4*Model!$P$2010*AVERAGE('Assumptions (Biomass)'!$L$2:$N$2)/10^9),0)</f>
        <v>-7.5071953558765545E-2</v>
      </c>
      <c r="X2080" s="91">
        <f>IF($P$2010&gt;0,PPMT('Assumptions (Biomass)'!$V$6,Model!AE$1,'Assumptions (Biomass)'!$V$9,'Assumptions (Biomass)'!$V$4*Model!$P$2010*AVERAGE('Assumptions (Biomass)'!$L$2:$N$2)/10^9),0)</f>
        <v>-7.8637871352806907E-2</v>
      </c>
      <c r="Y2080" s="91">
        <f>IF($P$2010&gt;0,PPMT('Assumptions (Biomass)'!$V$6,Model!AF$1,'Assumptions (Biomass)'!$V$9,'Assumptions (Biomass)'!$V$4*Model!$P$2010*AVERAGE('Assumptions (Biomass)'!$L$2:$N$2)/10^9),0)</f>
        <v>-8.2373170242065238E-2</v>
      </c>
      <c r="Z2080" s="91">
        <f>IF($P$2010&gt;0,PPMT('Assumptions (Biomass)'!$V$6,Model!AG$1,'Assumptions (Biomass)'!$V$9,'Assumptions (Biomass)'!$V$4*Model!$P$2010*AVERAGE('Assumptions (Biomass)'!$L$2:$N$2)/10^9),0)</f>
        <v>-8.6285895828563344E-2</v>
      </c>
      <c r="AA2080" s="91">
        <f>IF($P$2010&gt;0,PPMT('Assumptions (Biomass)'!$V$6,Model!AH$1,'Assumptions (Biomass)'!$V$9,'Assumptions (Biomass)'!$V$4*Model!$P$2010*AVERAGE('Assumptions (Biomass)'!$L$2:$N$2)/10^9),0)</f>
        <v>-9.0384475880420104E-2</v>
      </c>
      <c r="AB2080" s="91">
        <f>IF($P$2010&gt;0,PPMT('Assumptions (Biomass)'!$V$6,Model!AI$1,'Assumptions (Biomass)'!$V$9,'Assumptions (Biomass)'!$V$4*Model!$P$2010*AVERAGE('Assumptions (Biomass)'!$L$2:$N$2)/10^9),0)</f>
        <v>-9.4677738484740051E-2</v>
      </c>
      <c r="AC2080" s="91">
        <f>IF($P$2010&gt;0,PPMT('Assumptions (Biomass)'!$V$6,Model!AJ$1,'Assumptions (Biomass)'!$V$9,'Assumptions (Biomass)'!$V$4*Model!$P$2010*AVERAGE('Assumptions (Biomass)'!$L$2:$N$2)/10^9),0)</f>
        <v>-9.9174931062765218E-2</v>
      </c>
      <c r="AD2080" s="91">
        <f>IF($P$2010&gt;0,PPMT('Assumptions (Biomass)'!$V$6,Model!AK$1,'Assumptions (Biomass)'!$V$9,'Assumptions (Biomass)'!$V$4*Model!$P$2010*AVERAGE('Assumptions (Biomass)'!$L$2:$N$2)/10^9),0)</f>
        <v>-0.10388574028824654</v>
      </c>
      <c r="AE2080" s="91"/>
      <c r="AF2080" s="91"/>
      <c r="AG2080" s="91"/>
      <c r="AH2080" s="91"/>
      <c r="AI2080" s="91"/>
      <c r="AJ2080" s="91"/>
      <c r="AK2080" s="91"/>
      <c r="AL2080" s="91"/>
      <c r="AM2080" s="91"/>
      <c r="AN2080" s="91"/>
    </row>
    <row r="2081" spans="1:56" ht="15.75" hidden="1" customHeight="1" outlineLevel="1">
      <c r="A2081" s="441"/>
      <c r="B2081" s="99"/>
      <c r="C2081" s="105"/>
      <c r="D2081" s="105"/>
      <c r="E2081" s="105"/>
      <c r="F2081" s="105"/>
      <c r="G2081" s="105"/>
      <c r="H2081" s="105"/>
      <c r="I2081" s="105"/>
      <c r="J2081" s="105"/>
      <c r="K2081" s="105"/>
      <c r="L2081" s="105"/>
      <c r="M2081" s="105"/>
      <c r="N2081" s="105"/>
      <c r="O2081" s="105"/>
      <c r="P2081" s="171"/>
      <c r="Q2081" s="105">
        <f>IF($Q$2010&gt;0,PPMT('Assumptions (Biomass)'!$V$6,Model!W$1,'Assumptions (Biomass)'!$V$9,'Assumptions (Biomass)'!$V$4*Model!$Q$2010*AVERAGE('Assumptions (Biomass)'!$M$2:$O$2)/10^9),0)</f>
        <v>-1.1905880378240774E-2</v>
      </c>
      <c r="R2081" s="105">
        <f>IF($Q$2010&gt;0,PPMT('Assumptions (Biomass)'!$V$6,Model!X$1,'Assumptions (Biomass)'!$V$9,'Assumptions (Biomass)'!$V$4*Model!$Q$2010*AVERAGE('Assumptions (Biomass)'!$M$2:$O$2)/10^9),0)</f>
        <v>-1.2471409696207213E-2</v>
      </c>
      <c r="S2081" s="105">
        <f>IF($Q$2010&gt;0,PPMT('Assumptions (Biomass)'!$V$6,Model!Y$1,'Assumptions (Biomass)'!$V$9,'Assumptions (Biomass)'!$V$4*Model!$Q$2010*AVERAGE('Assumptions (Biomass)'!$M$2:$O$2)/10^9),0)</f>
        <v>-1.3063801656777058E-2</v>
      </c>
      <c r="T2081" s="105">
        <f>IF($Q$2010&gt;0,PPMT('Assumptions (Biomass)'!$V$6,Model!Z$1,'Assumptions (Biomass)'!$V$9,'Assumptions (Biomass)'!$V$4*Model!$Q$2010*AVERAGE('Assumptions (Biomass)'!$M$2:$O$2)/10^9),0)</f>
        <v>-1.3684332235473965E-2</v>
      </c>
      <c r="U2081" s="105">
        <f>IF($Q$2010&gt;0,PPMT('Assumptions (Biomass)'!$V$6,Model!AA$1,'Assumptions (Biomass)'!$V$9,'Assumptions (Biomass)'!$V$4*Model!$Q$2010*AVERAGE('Assumptions (Biomass)'!$M$2:$O$2)/10^9),0)</f>
        <v>-1.4334338016658978E-2</v>
      </c>
      <c r="V2081" s="105">
        <f>IF($Q$2010&gt;0,PPMT('Assumptions (Biomass)'!$V$6,Model!AB$1,'Assumptions (Biomass)'!$V$9,'Assumptions (Biomass)'!$V$4*Model!$Q$2010*AVERAGE('Assumptions (Biomass)'!$M$2:$O$2)/10^9),0)</f>
        <v>-1.501521907245028E-2</v>
      </c>
      <c r="W2081" s="105">
        <f>IF($Q$2010&gt;0,PPMT('Assumptions (Biomass)'!$V$6,Model!AC$1,'Assumptions (Biomass)'!$V$9,'Assumptions (Biomass)'!$V$4*Model!$Q$2010*AVERAGE('Assumptions (Biomass)'!$M$2:$O$2)/10^9),0)</f>
        <v>-1.5728441978391669E-2</v>
      </c>
      <c r="X2081" s="105">
        <f>IF($Q$2010&gt;0,PPMT('Assumptions (Biomass)'!$V$6,Model!AD$1,'Assumptions (Biomass)'!$V$9,'Assumptions (Biomass)'!$V$4*Model!$Q$2010*AVERAGE('Assumptions (Biomass)'!$M$2:$O$2)/10^9),0)</f>
        <v>-1.6475542972365274E-2</v>
      </c>
      <c r="Y2081" s="105">
        <f>IF($Q$2010&gt;0,PPMT('Assumptions (Biomass)'!$V$6,Model!AE$1,'Assumptions (Biomass)'!$V$9,'Assumptions (Biomass)'!$V$4*Model!$Q$2010*AVERAGE('Assumptions (Biomass)'!$M$2:$O$2)/10^9),0)</f>
        <v>-1.725813126355262E-2</v>
      </c>
      <c r="Z2081" s="105">
        <f>IF($Q$2010&gt;0,PPMT('Assumptions (Biomass)'!$V$6,Model!AF$1,'Assumptions (Biomass)'!$V$9,'Assumptions (Biomass)'!$V$4*Model!$Q$2010*AVERAGE('Assumptions (Biomass)'!$M$2:$O$2)/10^9),0)</f>
        <v>-1.8077892498571373E-2</v>
      </c>
      <c r="AA2081" s="105">
        <f>IF($Q$2010&gt;0,PPMT('Assumptions (Biomass)'!$V$6,Model!AG$1,'Assumptions (Biomass)'!$V$9,'Assumptions (Biomass)'!$V$4*Model!$Q$2010*AVERAGE('Assumptions (Biomass)'!$M$2:$O$2)/10^9),0)</f>
        <v>-1.8936592392253516E-2</v>
      </c>
      <c r="AB2081" s="105">
        <f>IF($Q$2010&gt;0,PPMT('Assumptions (Biomass)'!$V$6,Model!AH$1,'Assumptions (Biomass)'!$V$9,'Assumptions (Biomass)'!$V$4*Model!$Q$2010*AVERAGE('Assumptions (Biomass)'!$M$2:$O$2)/10^9),0)</f>
        <v>-1.9836080530885557E-2</v>
      </c>
      <c r="AC2081" s="105">
        <f>IF($Q$2010&gt;0,PPMT('Assumptions (Biomass)'!$V$6,Model!AI$1,'Assumptions (Biomass)'!$V$9,'Assumptions (Biomass)'!$V$4*Model!$Q$2010*AVERAGE('Assumptions (Biomass)'!$M$2:$O$2)/10^9),0)</f>
        <v>-2.0778294356102622E-2</v>
      </c>
      <c r="AD2081" s="105">
        <f>IF($Q$2010&gt;0,PPMT('Assumptions (Biomass)'!$V$6,Model!AJ$1,'Assumptions (Biomass)'!$V$9,'Assumptions (Biomass)'!$V$4*Model!$Q$2010*AVERAGE('Assumptions (Biomass)'!$M$2:$O$2)/10^9),0)</f>
        <v>-2.1765263338017496E-2</v>
      </c>
      <c r="AE2081" s="105">
        <f>IF($Q$2010&gt;0,PPMT('Assumptions (Biomass)'!$V$6,Model!AK$1,'Assumptions (Biomass)'!$V$9,'Assumptions (Biomass)'!$V$4*Model!$Q$2010*AVERAGE('Assumptions (Biomass)'!$M$2:$O$2)/10^9),0)</f>
        <v>-2.2799113346573325E-2</v>
      </c>
      <c r="AF2081" s="105"/>
      <c r="AG2081" s="105"/>
      <c r="AH2081" s="105"/>
      <c r="AI2081" s="105"/>
      <c r="AJ2081" s="105"/>
      <c r="AK2081" s="105"/>
      <c r="AL2081" s="105"/>
      <c r="AM2081" s="105"/>
      <c r="AN2081" s="105"/>
      <c r="AO2081" s="105"/>
    </row>
    <row r="2082" spans="1:56" ht="15.75" hidden="1" customHeight="1" outlineLevel="1">
      <c r="A2082" s="441"/>
      <c r="B2082" s="99"/>
      <c r="C2082" s="105"/>
      <c r="D2082" s="105"/>
      <c r="E2082" s="105"/>
      <c r="F2082" s="105"/>
      <c r="G2082" s="105"/>
      <c r="H2082" s="105"/>
      <c r="I2082" s="105"/>
      <c r="J2082" s="105"/>
      <c r="K2082" s="105"/>
      <c r="L2082" s="105"/>
      <c r="M2082" s="105"/>
      <c r="N2082" s="105"/>
      <c r="O2082" s="105"/>
      <c r="P2082" s="171"/>
      <c r="Q2082" s="105"/>
      <c r="R2082" s="91">
        <f>IF($R$2010&gt;0,PPMT('Assumptions (Biomass)'!$V$6,Model!W$1,'Assumptions (Biomass)'!$V$9,'Assumptions (Biomass)'!$V$4*Model!$R$2010*AVERAGE('Assumptions (Biomass)'!$N$2:$P$2)/10^9),0)</f>
        <v>-1.2607798376533943E-2</v>
      </c>
      <c r="S2082" s="91">
        <f>IF($R$2010&gt;0,PPMT('Assumptions (Biomass)'!$V$6,Model!X$1,'Assumptions (Biomass)'!$V$9,'Assumptions (Biomass)'!$V$4*Model!$R$2010*AVERAGE('Assumptions (Biomass)'!$N$2:$P$2)/10^9),0)</f>
        <v>-1.3206668799419306E-2</v>
      </c>
      <c r="T2082" s="91">
        <f>IF($R$2010&gt;0,PPMT('Assumptions (Biomass)'!$V$6,Model!Y$1,'Assumptions (Biomass)'!$V$9,'Assumptions (Biomass)'!$V$4*Model!$R$2010*AVERAGE('Assumptions (Biomass)'!$N$2:$P$2)/10^9),0)</f>
        <v>-1.3833985567391724E-2</v>
      </c>
      <c r="U2082" s="91">
        <f>IF($R$2010&gt;0,PPMT('Assumptions (Biomass)'!$V$6,Model!Z$1,'Assumptions (Biomass)'!$V$9,'Assumptions (Biomass)'!$V$4*Model!$R$2010*AVERAGE('Assumptions (Biomass)'!$N$2:$P$2)/10^9),0)</f>
        <v>-1.449109988184283E-2</v>
      </c>
      <c r="V2082" s="91">
        <f>IF($R$2010&gt;0,PPMT('Assumptions (Biomass)'!$V$6,Model!AA$1,'Assumptions (Biomass)'!$V$9,'Assumptions (Biomass)'!$V$4*Model!$R$2010*AVERAGE('Assumptions (Biomass)'!$N$2:$P$2)/10^9),0)</f>
        <v>-1.5179427126230362E-2</v>
      </c>
      <c r="W2082" s="91">
        <f>IF($R$2010&gt;0,PPMT('Assumptions (Biomass)'!$V$6,Model!AB$1,'Assumptions (Biomass)'!$V$9,'Assumptions (Biomass)'!$V$4*Model!$R$2010*AVERAGE('Assumptions (Biomass)'!$N$2:$P$2)/10^9),0)</f>
        <v>-1.5900449914726306E-2</v>
      </c>
      <c r="X2082" s="91">
        <f>IF($R$2010&gt;0,PPMT('Assumptions (Biomass)'!$V$6,Model!AC$1,'Assumptions (Biomass)'!$V$9,'Assumptions (Biomass)'!$V$4*Model!$R$2010*AVERAGE('Assumptions (Biomass)'!$N$2:$P$2)/10^9),0)</f>
        <v>-1.6655721285675804E-2</v>
      </c>
      <c r="Y2082" s="91">
        <f>IF($R$2010&gt;0,PPMT('Assumptions (Biomass)'!$V$6,Model!AD$1,'Assumptions (Biomass)'!$V$9,'Assumptions (Biomass)'!$V$4*Model!$R$2010*AVERAGE('Assumptions (Biomass)'!$N$2:$P$2)/10^9),0)</f>
        <v>-1.7446868046745407E-2</v>
      </c>
      <c r="Z2082" s="91">
        <f>IF($R$2010&gt;0,PPMT('Assumptions (Biomass)'!$V$6,Model!AE$1,'Assumptions (Biomass)'!$V$9,'Assumptions (Biomass)'!$V$4*Model!$R$2010*AVERAGE('Assumptions (Biomass)'!$N$2:$P$2)/10^9),0)</f>
        <v>-1.8275594278965815E-2</v>
      </c>
      <c r="AA2082" s="91">
        <f>IF($R$2010&gt;0,PPMT('Assumptions (Biomass)'!$V$6,Model!AF$1,'Assumptions (Biomass)'!$V$9,'Assumptions (Biomass)'!$V$4*Model!$R$2010*AVERAGE('Assumptions (Biomass)'!$N$2:$P$2)/10^9),0)</f>
        <v>-1.914368500721669E-2</v>
      </c>
      <c r="AB2082" s="91">
        <f>IF($R$2010&gt;0,PPMT('Assumptions (Biomass)'!$V$6,Model!AG$1,'Assumptions (Biomass)'!$V$9,'Assumptions (Biomass)'!$V$4*Model!$R$2010*AVERAGE('Assumptions (Biomass)'!$N$2:$P$2)/10^9),0)</f>
        <v>-2.0053010045059484E-2</v>
      </c>
      <c r="AC2082" s="91">
        <f>IF($R$2010&gt;0,PPMT('Assumptions (Biomass)'!$V$6,Model!AH$1,'Assumptions (Biomass)'!$V$9,'Assumptions (Biomass)'!$V$4*Model!$R$2010*AVERAGE('Assumptions (Biomass)'!$N$2:$P$2)/10^9),0)</f>
        <v>-2.1005528022199807E-2</v>
      </c>
      <c r="AD2082" s="91">
        <f>IF($R$2010&gt;0,PPMT('Assumptions (Biomass)'!$V$6,Model!AI$1,'Assumptions (Biomass)'!$V$9,'Assumptions (Biomass)'!$V$4*Model!$R$2010*AVERAGE('Assumptions (Biomass)'!$N$2:$P$2)/10^9),0)</f>
        <v>-2.2003290603254299E-2</v>
      </c>
      <c r="AE2082" s="91">
        <f>IF($R$2010&gt;0,PPMT('Assumptions (Biomass)'!$V$6,Model!AJ$1,'Assumptions (Biomass)'!$V$9,'Assumptions (Biomass)'!$V$4*Model!$R$2010*AVERAGE('Assumptions (Biomass)'!$N$2:$P$2)/10^9),0)</f>
        <v>-2.3048446906908878E-2</v>
      </c>
      <c r="AF2082" s="91">
        <f>IF($R$2010&gt;0,PPMT('Assumptions (Biomass)'!$V$6,Model!AK$1,'Assumptions (Biomass)'!$V$9,'Assumptions (Biomass)'!$V$4*Model!$R$2010*AVERAGE('Assumptions (Biomass)'!$N$2:$P$2)/10^9),0)</f>
        <v>-2.4143248134987052E-2</v>
      </c>
      <c r="AG2082" s="91"/>
      <c r="AH2082" s="91"/>
      <c r="AI2082" s="91"/>
      <c r="AJ2082" s="91"/>
      <c r="AK2082" s="91"/>
      <c r="AL2082" s="91"/>
      <c r="AM2082" s="91"/>
      <c r="AN2082" s="91"/>
      <c r="AO2082" s="91"/>
      <c r="AP2082" s="91"/>
    </row>
    <row r="2083" spans="1:56" ht="15.75" hidden="1" customHeight="1" outlineLevel="1">
      <c r="A2083" s="441"/>
      <c r="B2083" s="99"/>
      <c r="C2083" s="105"/>
      <c r="D2083" s="105"/>
      <c r="E2083" s="105"/>
      <c r="F2083" s="105"/>
      <c r="G2083" s="105"/>
      <c r="H2083" s="105"/>
      <c r="I2083" s="105"/>
      <c r="J2083" s="105"/>
      <c r="K2083" s="105"/>
      <c r="L2083" s="105"/>
      <c r="M2083" s="105"/>
      <c r="N2083" s="105"/>
      <c r="O2083" s="105"/>
      <c r="P2083" s="171"/>
      <c r="Q2083" s="105"/>
      <c r="R2083" s="91"/>
      <c r="S2083" s="105">
        <f>IF($S$2010&gt;0,PPMT('Assumptions (Biomass)'!$V$6,Model!W$1,'Assumptions (Biomass)'!$V$9,'Assumptions (Biomass)'!$V$4*Model!$S$2010*AVERAGE('Assumptions (Biomass)'!$O$2:$Q$2)/10^9),0)</f>
        <v>-1.4868115382777416E-3</v>
      </c>
      <c r="T2083" s="105">
        <f>IF($S$2010&gt;0,PPMT('Assumptions (Biomass)'!$V$6,Model!X$1,'Assumptions (Biomass)'!$V$9,'Assumptions (Biomass)'!$V$4*Model!$S$2010*AVERAGE('Assumptions (Biomass)'!$O$2:$Q$2)/10^9),0)</f>
        <v>-1.5574350863459341E-3</v>
      </c>
      <c r="U2083" s="105">
        <f>IF($S$2010&gt;0,PPMT('Assumptions (Biomass)'!$V$6,Model!Y$1,'Assumptions (Biomass)'!$V$9,'Assumptions (Biomass)'!$V$4*Model!$S$2010*AVERAGE('Assumptions (Biomass)'!$O$2:$Q$2)/10^9),0)</f>
        <v>-1.6314132529473664E-3</v>
      </c>
      <c r="V2083" s="105">
        <f>IF($S$2010&gt;0,PPMT('Assumptions (Biomass)'!$V$6,Model!Z$1,'Assumptions (Biomass)'!$V$9,'Assumptions (Biomass)'!$V$4*Model!$S$2010*AVERAGE('Assumptions (Biomass)'!$O$2:$Q$2)/10^9),0)</f>
        <v>-1.7089053824623662E-3</v>
      </c>
      <c r="W2083" s="105">
        <f>IF($S$2010&gt;0,PPMT('Assumptions (Biomass)'!$V$6,Model!AA$1,'Assumptions (Biomass)'!$V$9,'Assumptions (Biomass)'!$V$4*Model!$S$2010*AVERAGE('Assumptions (Biomass)'!$O$2:$Q$2)/10^9),0)</f>
        <v>-1.7900783881293284E-3</v>
      </c>
      <c r="X2083" s="105">
        <f>IF($S$2010&gt;0,PPMT('Assumptions (Biomass)'!$V$6,Model!AB$1,'Assumptions (Biomass)'!$V$9,'Assumptions (Biomass)'!$V$4*Model!$S$2010*AVERAGE('Assumptions (Biomass)'!$O$2:$Q$2)/10^9),0)</f>
        <v>-1.8751071115654715E-3</v>
      </c>
      <c r="Y2083" s="105">
        <f>IF($S$2010&gt;0,PPMT('Assumptions (Biomass)'!$V$6,Model!AC$1,'Assumptions (Biomass)'!$V$9,'Assumptions (Biomass)'!$V$4*Model!$S$2010*AVERAGE('Assumptions (Biomass)'!$O$2:$Q$2)/10^9),0)</f>
        <v>-1.9641746993648316E-3</v>
      </c>
      <c r="Z2083" s="105">
        <f>IF($S$2010&gt;0,PPMT('Assumptions (Biomass)'!$V$6,Model!AD$1,'Assumptions (Biomass)'!$V$9,'Assumptions (Biomass)'!$V$4*Model!$S$2010*AVERAGE('Assumptions (Biomass)'!$O$2:$Q$2)/10^9),0)</f>
        <v>-2.057472997584661E-3</v>
      </c>
      <c r="AA2083" s="105">
        <f>IF($S$2010&gt;0,PPMT('Assumptions (Biomass)'!$V$6,Model!AE$1,'Assumptions (Biomass)'!$V$9,'Assumptions (Biomass)'!$V$4*Model!$S$2010*AVERAGE('Assumptions (Biomass)'!$O$2:$Q$2)/10^9),0)</f>
        <v>-2.1552029649699322E-3</v>
      </c>
      <c r="AB2083" s="105">
        <f>IF($S$2010&gt;0,PPMT('Assumptions (Biomass)'!$V$6,Model!AF$1,'Assumptions (Biomass)'!$V$9,'Assumptions (Biomass)'!$V$4*Model!$S$2010*AVERAGE('Assumptions (Biomass)'!$O$2:$Q$2)/10^9),0)</f>
        <v>-2.2575751058060041E-3</v>
      </c>
      <c r="AC2083" s="105">
        <f>IF($S$2010&gt;0,PPMT('Assumptions (Biomass)'!$V$6,Model!AG$1,'Assumptions (Biomass)'!$V$9,'Assumptions (Biomass)'!$V$4*Model!$S$2010*AVERAGE('Assumptions (Biomass)'!$O$2:$Q$2)/10^9),0)</f>
        <v>-2.3648099233317898E-3</v>
      </c>
      <c r="AD2083" s="105">
        <f>IF($S$2010&gt;0,PPMT('Assumptions (Biomass)'!$V$6,Model!AH$1,'Assumptions (Biomass)'!$V$9,'Assumptions (Biomass)'!$V$4*Model!$S$2010*AVERAGE('Assumptions (Biomass)'!$O$2:$Q$2)/10^9),0)</f>
        <v>-2.4771383946900491E-3</v>
      </c>
      <c r="AE2083" s="105">
        <f>IF($S$2010&gt;0,PPMT('Assumptions (Biomass)'!$V$6,Model!AI$1,'Assumptions (Biomass)'!$V$9,'Assumptions (Biomass)'!$V$4*Model!$S$2010*AVERAGE('Assumptions (Biomass)'!$O$2:$Q$2)/10^9),0)</f>
        <v>-2.5948024684378269E-3</v>
      </c>
      <c r="AF2083" s="105">
        <f>IF($S$2010&gt;0,PPMT('Assumptions (Biomass)'!$V$6,Model!AJ$1,'Assumptions (Biomass)'!$V$9,'Assumptions (Biomass)'!$V$4*Model!$S$2010*AVERAGE('Assumptions (Biomass)'!$O$2:$Q$2)/10^9),0)</f>
        <v>-2.7180555856886235E-3</v>
      </c>
      <c r="AG2083" s="105">
        <f>IF($S$2010&gt;0,PPMT('Assumptions (Biomass)'!$V$6,Model!AK$1,'Assumptions (Biomass)'!$V$9,'Assumptions (Biomass)'!$V$4*Model!$S$2010*AVERAGE('Assumptions (Biomass)'!$O$2:$Q$2)/10^9),0)</f>
        <v>-2.847163226008833E-3</v>
      </c>
      <c r="AH2083" s="105"/>
      <c r="AI2083" s="105"/>
      <c r="AJ2083" s="105"/>
      <c r="AK2083" s="105"/>
      <c r="AL2083" s="105"/>
      <c r="AM2083" s="105"/>
      <c r="AN2083" s="105"/>
      <c r="AO2083" s="105"/>
      <c r="AP2083" s="105"/>
      <c r="AQ2083" s="105"/>
    </row>
    <row r="2084" spans="1:56" ht="15.75" hidden="1" customHeight="1" outlineLevel="1">
      <c r="A2084" s="441"/>
      <c r="B2084" s="99"/>
      <c r="C2084" s="105"/>
      <c r="D2084" s="105"/>
      <c r="E2084" s="105"/>
      <c r="F2084" s="105"/>
      <c r="G2084" s="105"/>
      <c r="H2084" s="105"/>
      <c r="I2084" s="105"/>
      <c r="J2084" s="105"/>
      <c r="K2084" s="105"/>
      <c r="L2084" s="105"/>
      <c r="M2084" s="105"/>
      <c r="N2084" s="105"/>
      <c r="O2084" s="105"/>
      <c r="P2084" s="171"/>
      <c r="Q2084" s="105"/>
      <c r="R2084" s="91"/>
      <c r="S2084" s="91"/>
      <c r="T2084" s="105">
        <f>IF($T$2010&gt;0,PPMT('Assumptions (Biomass)'!$V$6,Model!W$1,'Assumptions (Biomass)'!$V$9,'Assumptions (Biomass)'!$V$4*Model!$T$2010*AVERAGE('Assumptions (Biomass)'!$P$2:$R$2)/10^9),0)</f>
        <v>-1.2427813535926237E-2</v>
      </c>
      <c r="U2084" s="105">
        <f>IF($T$2010&gt;0,PPMT('Assumptions (Biomass)'!$V$6,Model!X$1,'Assumptions (Biomass)'!$V$9,'Assumptions (Biomass)'!$V$4*Model!$T$2010*AVERAGE('Assumptions (Biomass)'!$P$2:$R$2)/10^9),0)</f>
        <v>-1.301813467888273E-2</v>
      </c>
      <c r="V2084" s="105">
        <f>IF($T$2010&gt;0,PPMT('Assumptions (Biomass)'!$V$6,Model!Y$1,'Assumptions (Biomass)'!$V$9,'Assumptions (Biomass)'!$V$4*Model!$T$2010*AVERAGE('Assumptions (Biomass)'!$P$2:$R$2)/10^9),0)</f>
        <v>-1.3636496076129661E-2</v>
      </c>
      <c r="W2084" s="105">
        <f>IF($T$2010&gt;0,PPMT('Assumptions (Biomass)'!$V$6,Model!Z$1,'Assumptions (Biomass)'!$V$9,'Assumptions (Biomass)'!$V$4*Model!$T$2010*AVERAGE('Assumptions (Biomass)'!$P$2:$R$2)/10^9),0)</f>
        <v>-1.428422963974582E-2</v>
      </c>
      <c r="X2084" s="105">
        <f>IF($T$2010&gt;0,PPMT('Assumptions (Biomass)'!$V$6,Model!AA$1,'Assumptions (Biomass)'!$V$9,'Assumptions (Biomass)'!$V$4*Model!$T$2010*AVERAGE('Assumptions (Biomass)'!$P$2:$R$2)/10^9),0)</f>
        <v>-1.4962730547633744E-2</v>
      </c>
      <c r="Y2084" s="105">
        <f>IF($T$2010&gt;0,PPMT('Assumptions (Biomass)'!$V$6,Model!AB$1,'Assumptions (Biomass)'!$V$9,'Assumptions (Biomass)'!$V$4*Model!$T$2010*AVERAGE('Assumptions (Biomass)'!$P$2:$R$2)/10^9),0)</f>
        <v>-1.5673460248646347E-2</v>
      </c>
      <c r="Z2084" s="105">
        <f>IF($T$2010&gt;0,PPMT('Assumptions (Biomass)'!$V$6,Model!AC$1,'Assumptions (Biomass)'!$V$9,'Assumptions (Biomass)'!$V$4*Model!$T$2010*AVERAGE('Assumptions (Biomass)'!$P$2:$R$2)/10^9),0)</f>
        <v>-1.6417949610457051E-2</v>
      </c>
      <c r="AA2084" s="105">
        <f>IF($T$2010&gt;0,PPMT('Assumptions (Biomass)'!$V$6,Model!AD$1,'Assumptions (Biomass)'!$V$9,'Assumptions (Biomass)'!$V$4*Model!$T$2010*AVERAGE('Assumptions (Biomass)'!$P$2:$R$2)/10^9),0)</f>
        <v>-1.7197802216953759E-2</v>
      </c>
      <c r="AB2084" s="105">
        <f>IF($T$2010&gt;0,PPMT('Assumptions (Biomass)'!$V$6,Model!AE$1,'Assumptions (Biomass)'!$V$9,'Assumptions (Biomass)'!$V$4*Model!$T$2010*AVERAGE('Assumptions (Biomass)'!$P$2:$R$2)/10^9),0)</f>
        <v>-1.8014697822259063E-2</v>
      </c>
      <c r="AC2084" s="105">
        <f>IF($T$2010&gt;0,PPMT('Assumptions (Biomass)'!$V$6,Model!AF$1,'Assumptions (Biomass)'!$V$9,'Assumptions (Biomass)'!$V$4*Model!$T$2010*AVERAGE('Assumptions (Biomass)'!$P$2:$R$2)/10^9),0)</f>
        <v>-1.8870395968816369E-2</v>
      </c>
      <c r="AD2084" s="105">
        <f>IF($T$2010&gt;0,PPMT('Assumptions (Biomass)'!$V$6,Model!AG$1,'Assumptions (Biomass)'!$V$9,'Assumptions (Biomass)'!$V$4*Model!$T$2010*AVERAGE('Assumptions (Biomass)'!$P$2:$R$2)/10^9),0)</f>
        <v>-1.976673977733515E-2</v>
      </c>
      <c r="AE2084" s="105">
        <f>IF($T$2010&gt;0,PPMT('Assumptions (Biomass)'!$V$6,Model!AH$1,'Assumptions (Biomass)'!$V$9,'Assumptions (Biomass)'!$V$4*Model!$T$2010*AVERAGE('Assumptions (Biomass)'!$P$2:$R$2)/10^9),0)</f>
        <v>-2.0705659916758566E-2</v>
      </c>
      <c r="AF2084" s="105">
        <f>IF($T$2010&gt;0,PPMT('Assumptions (Biomass)'!$V$6,Model!AI$1,'Assumptions (Biomass)'!$V$9,'Assumptions (Biomass)'!$V$4*Model!$T$2010*AVERAGE('Assumptions (Biomass)'!$P$2:$R$2)/10^9),0)</f>
        <v>-2.1689178762804601E-2</v>
      </c>
      <c r="AG2084" s="105">
        <f>IF($T$2010&gt;0,PPMT('Assumptions (Biomass)'!$V$6,Model!AJ$1,'Assumptions (Biomass)'!$V$9,'Assumptions (Biomass)'!$V$4*Model!$T$2010*AVERAGE('Assumptions (Biomass)'!$P$2:$R$2)/10^9),0)</f>
        <v>-2.2719414754037819E-2</v>
      </c>
      <c r="AH2084" s="105">
        <f>IF($T$2010&gt;0,PPMT('Assumptions (Biomass)'!$V$6,Model!AK$1,'Assumptions (Biomass)'!$V$9,'Assumptions (Biomass)'!$V$4*Model!$T$2010*AVERAGE('Assumptions (Biomass)'!$P$2:$R$2)/10^9),0)</f>
        <v>-2.3798586954854616E-2</v>
      </c>
      <c r="AI2084" s="105"/>
      <c r="AJ2084" s="105"/>
      <c r="AK2084" s="105"/>
      <c r="AL2084" s="105"/>
      <c r="AM2084" s="105"/>
      <c r="AN2084" s="105"/>
      <c r="AO2084" s="105"/>
      <c r="AP2084" s="105"/>
      <c r="AQ2084" s="105"/>
      <c r="AR2084" s="105"/>
    </row>
    <row r="2085" spans="1:56" ht="15.75" hidden="1" customHeight="1" outlineLevel="1">
      <c r="A2085" s="441"/>
      <c r="B2085" s="99"/>
      <c r="C2085" s="105"/>
      <c r="D2085" s="105"/>
      <c r="E2085" s="105"/>
      <c r="F2085" s="105"/>
      <c r="G2085" s="105"/>
      <c r="H2085" s="105"/>
      <c r="I2085" s="105"/>
      <c r="J2085" s="105"/>
      <c r="K2085" s="105"/>
      <c r="L2085" s="105"/>
      <c r="M2085" s="105"/>
      <c r="N2085" s="105"/>
      <c r="O2085" s="105"/>
      <c r="P2085" s="171"/>
      <c r="Q2085" s="105"/>
      <c r="R2085" s="91"/>
      <c r="S2085" s="91"/>
      <c r="T2085" s="91"/>
      <c r="U2085" s="105">
        <f>IF($U$2010&gt;0,PPMT('Assumptions (Biomass)'!$V$6,Model!W$1,'Assumptions (Biomass)'!$V$9,'Assumptions (Biomass)'!$V$4*Model!$U$2010*AVERAGE('Assumptions (Biomass)'!$Q$2:$S$2)/10^9),0)</f>
        <v>-1.7578167323001846E-3</v>
      </c>
      <c r="V2085" s="105">
        <f>IF($U$2010&gt;0,PPMT('Assumptions (Biomass)'!$V$6,Model!X$1,'Assumptions (Biomass)'!$V$9,'Assumptions (Biomass)'!$V$4*Model!$U$2010*AVERAGE('Assumptions (Biomass)'!$Q$2:$S$2)/10^9),0)</f>
        <v>-1.8413130270844434E-3</v>
      </c>
      <c r="W2085" s="105">
        <f>IF($U$2010&gt;0,PPMT('Assumptions (Biomass)'!$V$6,Model!Y$1,'Assumptions (Biomass)'!$V$9,'Assumptions (Biomass)'!$V$4*Model!$U$2010*AVERAGE('Assumptions (Biomass)'!$Q$2:$S$2)/10^9),0)</f>
        <v>-1.9287753958709545E-3</v>
      </c>
      <c r="X2085" s="105">
        <f>IF($U$2010&gt;0,PPMT('Assumptions (Biomass)'!$V$6,Model!Z$1,'Assumptions (Biomass)'!$V$9,'Assumptions (Biomass)'!$V$4*Model!$U$2010*AVERAGE('Assumptions (Biomass)'!$Q$2:$S$2)/10^9),0)</f>
        <v>-2.0203922271748247E-3</v>
      </c>
      <c r="Y2085" s="105">
        <f>IF($U$2010&gt;0,PPMT('Assumptions (Biomass)'!$V$6,Model!AA$1,'Assumptions (Biomass)'!$V$9,'Assumptions (Biomass)'!$V$4*Model!$U$2010*AVERAGE('Assumptions (Biomass)'!$Q$2:$S$2)/10^9),0)</f>
        <v>-2.1163608579656285E-3</v>
      </c>
      <c r="Z2085" s="105">
        <f>IF($U$2010&gt;0,PPMT('Assumptions (Biomass)'!$V$6,Model!AB$1,'Assumptions (Biomass)'!$V$9,'Assumptions (Biomass)'!$V$4*Model!$U$2010*AVERAGE('Assumptions (Biomass)'!$Q$2:$S$2)/10^9),0)</f>
        <v>-2.2168879987189962E-3</v>
      </c>
      <c r="AA2085" s="105">
        <f>IF($U$2010&gt;0,PPMT('Assumptions (Biomass)'!$V$6,Model!AC$1,'Assumptions (Biomass)'!$V$9,'Assumptions (Biomass)'!$V$4*Model!$U$2010*AVERAGE('Assumptions (Biomass)'!$Q$2:$S$2)/10^9),0)</f>
        <v>-2.3221901786581486E-3</v>
      </c>
      <c r="AB2085" s="105">
        <f>IF($U$2010&gt;0,PPMT('Assumptions (Biomass)'!$V$6,Model!AD$1,'Assumptions (Biomass)'!$V$9,'Assumptions (Biomass)'!$V$4*Model!$U$2010*AVERAGE('Assumptions (Biomass)'!$Q$2:$S$2)/10^9),0)</f>
        <v>-2.4324942121444104E-3</v>
      </c>
      <c r="AC2085" s="105">
        <f>IF($U$2010&gt;0,PPMT('Assumptions (Biomass)'!$V$6,Model!AE$1,'Assumptions (Biomass)'!$V$9,'Assumptions (Biomass)'!$V$4*Model!$U$2010*AVERAGE('Assumptions (Biomass)'!$Q$2:$S$2)/10^9),0)</f>
        <v>-2.5480376872212703E-3</v>
      </c>
      <c r="AD2085" s="105">
        <f>IF($U$2010&gt;0,PPMT('Assumptions (Biomass)'!$V$6,Model!AF$1,'Assumptions (Biomass)'!$V$9,'Assumptions (Biomass)'!$V$4*Model!$U$2010*AVERAGE('Assumptions (Biomass)'!$Q$2:$S$2)/10^9),0)</f>
        <v>-2.6690694773642805E-3</v>
      </c>
      <c r="AE2085" s="105">
        <f>IF($U$2010&gt;0,PPMT('Assumptions (Biomass)'!$V$6,Model!AG$1,'Assumptions (Biomass)'!$V$9,'Assumptions (Biomass)'!$V$4*Model!$U$2010*AVERAGE('Assumptions (Biomass)'!$Q$2:$S$2)/10^9),0)</f>
        <v>-2.7958502775390841E-3</v>
      </c>
      <c r="AF2085" s="105">
        <f>IF($U$2010&gt;0,PPMT('Assumptions (Biomass)'!$V$6,Model!AH$1,'Assumptions (Biomass)'!$V$9,'Assumptions (Biomass)'!$V$4*Model!$U$2010*AVERAGE('Assumptions (Biomass)'!$Q$2:$S$2)/10^9),0)</f>
        <v>-2.9286531657221906E-3</v>
      </c>
      <c r="AG2085" s="105">
        <f>IF($U$2010&gt;0,PPMT('Assumptions (Biomass)'!$V$6,Model!AI$1,'Assumptions (Biomass)'!$V$9,'Assumptions (Biomass)'!$V$4*Model!$U$2010*AVERAGE('Assumptions (Biomass)'!$Q$2:$S$2)/10^9),0)</f>
        <v>-3.0677641910939945E-3</v>
      </c>
      <c r="AH2085" s="105">
        <f>IF($U$2010&gt;0,PPMT('Assumptions (Biomass)'!$V$6,Model!AJ$1,'Assumptions (Biomass)'!$V$9,'Assumptions (Biomass)'!$V$4*Model!$U$2010*AVERAGE('Assumptions (Biomass)'!$Q$2:$S$2)/10^9),0)</f>
        <v>-3.2134829901709593E-3</v>
      </c>
      <c r="AI2085" s="105">
        <f>IF($U$2010&gt;0,PPMT('Assumptions (Biomass)'!$V$6,Model!AK$1,'Assumptions (Biomass)'!$V$9,'Assumptions (Biomass)'!$V$4*Model!$U$2010*AVERAGE('Assumptions (Biomass)'!$Q$2:$S$2)/10^9),0)</f>
        <v>-3.3661234322040793E-3</v>
      </c>
      <c r="AJ2085" s="105"/>
      <c r="AK2085" s="105"/>
      <c r="AL2085" s="105"/>
      <c r="AM2085" s="105"/>
      <c r="AN2085" s="105"/>
      <c r="AO2085" s="105"/>
      <c r="AP2085" s="105"/>
      <c r="AQ2085" s="105"/>
      <c r="AR2085" s="105"/>
      <c r="AS2085" s="105"/>
    </row>
    <row r="2086" spans="1:56" ht="15.75" hidden="1" customHeight="1" outlineLevel="1">
      <c r="A2086" s="441"/>
      <c r="B2086" s="99"/>
      <c r="C2086" s="105"/>
      <c r="D2086" s="105"/>
      <c r="E2086" s="105"/>
      <c r="F2086" s="105"/>
      <c r="G2086" s="105"/>
      <c r="H2086" s="105"/>
      <c r="I2086" s="105"/>
      <c r="J2086" s="105"/>
      <c r="K2086" s="105"/>
      <c r="L2086" s="105"/>
      <c r="M2086" s="105"/>
      <c r="N2086" s="105"/>
      <c r="O2086" s="105"/>
      <c r="P2086" s="171"/>
      <c r="Q2086" s="105"/>
      <c r="R2086" s="91"/>
      <c r="S2086" s="91"/>
      <c r="T2086" s="91"/>
      <c r="U2086" s="105"/>
      <c r="V2086" s="105">
        <f>IF($V$2010&gt;0,PPMT('Assumptions (Biomass)'!$V$6,Model!W$1,'Assumptions (Biomass)'!$V$9,'Assumptions (Biomass)'!$V$4*Model!$V$2010*AVERAGE('Assumptions (Biomass)'!$R$2:$T$2)/10^9),0)</f>
        <v>-1.6239213206341193E-2</v>
      </c>
      <c r="W2086" s="105">
        <f>IF($V$2010&gt;0,PPMT('Assumptions (Biomass)'!$V$6,Model!X$1,'Assumptions (Biomass)'!$V$9,'Assumptions (Biomass)'!$V$4*Model!$V$2010*AVERAGE('Assumptions (Biomass)'!$R$2:$T$2)/10^9),0)</f>
        <v>-1.7010575833642402E-2</v>
      </c>
      <c r="X2086" s="105">
        <f>IF($V$2010&gt;0,PPMT('Assumptions (Biomass)'!$V$6,Model!Y$1,'Assumptions (Biomass)'!$V$9,'Assumptions (Biomass)'!$V$4*Model!$V$2010*AVERAGE('Assumptions (Biomass)'!$R$2:$T$2)/10^9),0)</f>
        <v>-1.7818578185740418E-2</v>
      </c>
      <c r="Y2086" s="105">
        <f>IF($V$2010&gt;0,PPMT('Assumptions (Biomass)'!$V$6,Model!Z$1,'Assumptions (Biomass)'!$V$9,'Assumptions (Biomass)'!$V$4*Model!$V$2010*AVERAGE('Assumptions (Biomass)'!$R$2:$T$2)/10^9),0)</f>
        <v>-1.8664960649563085E-2</v>
      </c>
      <c r="Z2086" s="105">
        <f>IF($V$2010&gt;0,PPMT('Assumptions (Biomass)'!$V$6,Model!AA$1,'Assumptions (Biomass)'!$V$9,'Assumptions (Biomass)'!$V$4*Model!$V$2010*AVERAGE('Assumptions (Biomass)'!$R$2:$T$2)/10^9),0)</f>
        <v>-1.9551546280417331E-2</v>
      </c>
      <c r="AA2086" s="105">
        <f>IF($V$2010&gt;0,PPMT('Assumptions (Biomass)'!$V$6,Model!AB$1,'Assumptions (Biomass)'!$V$9,'Assumptions (Biomass)'!$V$4*Model!$V$2010*AVERAGE('Assumptions (Biomass)'!$R$2:$T$2)/10^9),0)</f>
        <v>-2.0480244728737152E-2</v>
      </c>
      <c r="AB2086" s="105">
        <f>IF($V$2010&gt;0,PPMT('Assumptions (Biomass)'!$V$6,Model!AC$1,'Assumptions (Biomass)'!$V$9,'Assumptions (Biomass)'!$V$4*Model!$V$2010*AVERAGE('Assumptions (Biomass)'!$R$2:$T$2)/10^9),0)</f>
        <v>-2.1453056353352169E-2</v>
      </c>
      <c r="AC2086" s="105">
        <f>IF($V$2010&gt;0,PPMT('Assumptions (Biomass)'!$V$6,Model!AD$1,'Assumptions (Biomass)'!$V$9,'Assumptions (Biomass)'!$V$4*Model!$V$2010*AVERAGE('Assumptions (Biomass)'!$R$2:$T$2)/10^9),0)</f>
        <v>-2.2472076530136397E-2</v>
      </c>
      <c r="AD2086" s="105">
        <f>IF($V$2010&gt;0,PPMT('Assumptions (Biomass)'!$V$6,Model!AE$1,'Assumptions (Biomass)'!$V$9,'Assumptions (Biomass)'!$V$4*Model!$V$2010*AVERAGE('Assumptions (Biomass)'!$R$2:$T$2)/10^9),0)</f>
        <v>-2.3539500165317875E-2</v>
      </c>
      <c r="AE2086" s="105">
        <f>IF($V$2010&gt;0,PPMT('Assumptions (Biomass)'!$V$6,Model!AF$1,'Assumptions (Biomass)'!$V$9,'Assumptions (Biomass)'!$V$4*Model!$V$2010*AVERAGE('Assumptions (Biomass)'!$R$2:$T$2)/10^9),0)</f>
        <v>-2.4657626423170476E-2</v>
      </c>
      <c r="AF2086" s="105">
        <f>IF($V$2010&gt;0,PPMT('Assumptions (Biomass)'!$V$6,Model!AG$1,'Assumptions (Biomass)'!$V$9,'Assumptions (Biomass)'!$V$4*Model!$V$2010*AVERAGE('Assumptions (Biomass)'!$R$2:$T$2)/10^9),0)</f>
        <v>-2.5828863678271079E-2</v>
      </c>
      <c r="AG2086" s="105">
        <f>IF($V$2010&gt;0,PPMT('Assumptions (Biomass)'!$V$6,Model!AH$1,'Assumptions (Biomass)'!$V$9,'Assumptions (Biomass)'!$V$4*Model!$V$2010*AVERAGE('Assumptions (Biomass)'!$R$2:$T$2)/10^9),0)</f>
        <v>-2.705573470298895E-2</v>
      </c>
      <c r="AH2086" s="105">
        <f>IF($V$2010&gt;0,PPMT('Assumptions (Biomass)'!$V$6,Model!AI$1,'Assumptions (Biomass)'!$V$9,'Assumptions (Biomass)'!$V$4*Model!$V$2010*AVERAGE('Assumptions (Biomass)'!$R$2:$T$2)/10^9),0)</f>
        <v>-2.8340882101380926E-2</v>
      </c>
      <c r="AI2086" s="105">
        <f>IF($V$2010&gt;0,PPMT('Assumptions (Biomass)'!$V$6,Model!AJ$1,'Assumptions (Biomass)'!$V$9,'Assumptions (Biomass)'!$V$4*Model!$V$2010*AVERAGE('Assumptions (Biomass)'!$R$2:$T$2)/10^9),0)</f>
        <v>-2.9687074001196519E-2</v>
      </c>
      <c r="AJ2086" s="105">
        <f>IF($V$2010&gt;0,PPMT('Assumptions (Biomass)'!$V$6,Model!AK$1,'Assumptions (Biomass)'!$V$9,'Assumptions (Biomass)'!$V$4*Model!$V$2010*AVERAGE('Assumptions (Biomass)'!$R$2:$T$2)/10^9),0)</f>
        <v>-3.1097210016253349E-2</v>
      </c>
      <c r="AK2086" s="105"/>
      <c r="AL2086" s="105"/>
      <c r="AM2086" s="105"/>
      <c r="AN2086" s="105"/>
      <c r="AO2086" s="105"/>
      <c r="AP2086" s="105"/>
      <c r="AQ2086" s="105"/>
      <c r="AR2086" s="105"/>
      <c r="AS2086" s="105"/>
      <c r="AT2086" s="105"/>
    </row>
    <row r="2087" spans="1:56" ht="15.75" hidden="1" customHeight="1" outlineLevel="1">
      <c r="A2087" s="441"/>
      <c r="B2087" s="99"/>
      <c r="C2087" s="99"/>
      <c r="D2087" s="99"/>
      <c r="E2087" s="99"/>
      <c r="F2087" s="99"/>
      <c r="G2087" s="99"/>
      <c r="H2087" s="99"/>
      <c r="I2087" s="99"/>
      <c r="J2087" s="99"/>
      <c r="K2087" s="99"/>
      <c r="L2087" s="99"/>
      <c r="M2087" s="99"/>
      <c r="N2087" s="99"/>
      <c r="O2087" s="99"/>
      <c r="P2087" s="99"/>
      <c r="Q2087" s="99"/>
      <c r="R2087" s="99"/>
      <c r="S2087" s="99"/>
      <c r="T2087" s="99"/>
      <c r="U2087" s="99"/>
      <c r="V2087" s="99"/>
      <c r="W2087" s="105">
        <f>IF($W$2010&gt;0,PPMT('Assumptions (Biomass)'!$V$6,Model!W$1,'Assumptions (Biomass)'!$V$9,'Assumptions (Biomass)'!$V$4*Model!$W$2010*AVERAGE('Assumptions (Biomass)'!$S$2:$U$2)/10^9),0)</f>
        <v>-5.3297405110023276E-3</v>
      </c>
      <c r="X2087" s="105">
        <f>IF($W$2010&gt;0,PPMT('Assumptions (Biomass)'!$V$6,Model!X$1,'Assumptions (Biomass)'!$V$9,'Assumptions (Biomass)'!$V$4*Model!$W$2010*AVERAGE('Assumptions (Biomass)'!$S$2:$U$2)/10^9),0)</f>
        <v>-5.5829031852749379E-3</v>
      </c>
      <c r="Y2087" s="105">
        <f>IF($W$2010&gt;0,PPMT('Assumptions (Biomass)'!$V$6,Model!Y$1,'Assumptions (Biomass)'!$V$9,'Assumptions (Biomass)'!$V$4*Model!$W$2010*AVERAGE('Assumptions (Biomass)'!$S$2:$U$2)/10^9),0)</f>
        <v>-5.8480910865754982E-3</v>
      </c>
      <c r="Z2087" s="105">
        <f>IF($W$2010&gt;0,PPMT('Assumptions (Biomass)'!$V$6,Model!Z$1,'Assumptions (Biomass)'!$V$9,'Assumptions (Biomass)'!$V$4*Model!$W$2010*AVERAGE('Assumptions (Biomass)'!$S$2:$U$2)/10^9),0)</f>
        <v>-6.1258754131878332E-3</v>
      </c>
      <c r="AA2087" s="105">
        <f>IF($W$2010&gt;0,PPMT('Assumptions (Biomass)'!$V$6,Model!AA$1,'Assumptions (Biomass)'!$V$9,'Assumptions (Biomass)'!$V$4*Model!$W$2010*AVERAGE('Assumptions (Biomass)'!$S$2:$U$2)/10^9),0)</f>
        <v>-6.4168544953142545E-3</v>
      </c>
      <c r="AB2087" s="105">
        <f>IF($W$2010&gt;0,PPMT('Assumptions (Biomass)'!$V$6,Model!AB$1,'Assumptions (Biomass)'!$V$9,'Assumptions (Biomass)'!$V$4*Model!$W$2010*AVERAGE('Assumptions (Biomass)'!$S$2:$U$2)/10^9),0)</f>
        <v>-6.7216550838416827E-3</v>
      </c>
      <c r="AC2087" s="105">
        <f>IF($W$2010&gt;0,PPMT('Assumptions (Biomass)'!$V$6,Model!AC$1,'Assumptions (Biomass)'!$V$9,'Assumptions (Biomass)'!$V$4*Model!$W$2010*AVERAGE('Assumptions (Biomass)'!$S$2:$U$2)/10^9),0)</f>
        <v>-7.0409337003241633E-3</v>
      </c>
      <c r="AD2087" s="105">
        <f>IF($W$2010&gt;0,PPMT('Assumptions (Biomass)'!$V$6,Model!AD$1,'Assumptions (Biomass)'!$V$9,'Assumptions (Biomass)'!$V$4*Model!$W$2010*AVERAGE('Assumptions (Biomass)'!$S$2:$U$2)/10^9),0)</f>
        <v>-7.3753780510895607E-3</v>
      </c>
      <c r="AE2087" s="105">
        <f>IF($W$2010&gt;0,PPMT('Assumptions (Biomass)'!$V$6,Model!AE$1,'Assumptions (Biomass)'!$V$9,'Assumptions (Biomass)'!$V$4*Model!$W$2010*AVERAGE('Assumptions (Biomass)'!$S$2:$U$2)/10^9),0)</f>
        <v>-7.7257085085163137E-3</v>
      </c>
      <c r="AF2087" s="105">
        <f>IF($W$2010&gt;0,PPMT('Assumptions (Biomass)'!$V$6,Model!AF$1,'Assumptions (Biomass)'!$V$9,'Assumptions (Biomass)'!$V$4*Model!$W$2010*AVERAGE('Assumptions (Biomass)'!$S$2:$U$2)/10^9),0)</f>
        <v>-8.0926796626708403E-3</v>
      </c>
      <c r="AG2087" s="105">
        <f>IF($W$2010&gt;0,PPMT('Assumptions (Biomass)'!$V$6,Model!AG$1,'Assumptions (Biomass)'!$V$9,'Assumptions (Biomass)'!$V$4*Model!$W$2010*AVERAGE('Assumptions (Biomass)'!$S$2:$U$2)/10^9),0)</f>
        <v>-8.4770819466477056E-3</v>
      </c>
      <c r="AH2087" s="105">
        <f>IF($W$2010&gt;0,PPMT('Assumptions (Biomass)'!$V$6,Model!AH$1,'Assumptions (Biomass)'!$V$9,'Assumptions (Biomass)'!$V$4*Model!$W$2010*AVERAGE('Assumptions (Biomass)'!$S$2:$U$2)/10^9),0)</f>
        <v>-8.8797433391134706E-3</v>
      </c>
      <c r="AI2087" s="105">
        <f>IF($W$2010&gt;0,PPMT('Assumptions (Biomass)'!$V$6,Model!AI$1,'Assumptions (Biomass)'!$V$9,'Assumptions (Biomass)'!$V$4*Model!$W$2010*AVERAGE('Assumptions (Biomass)'!$S$2:$U$2)/10^9),0)</f>
        <v>-9.3015311477213612E-3</v>
      </c>
      <c r="AJ2087" s="105">
        <f>IF($W$2010&gt;0,PPMT('Assumptions (Biomass)'!$V$6,Model!AJ$1,'Assumptions (Biomass)'!$V$9,'Assumptions (Biomass)'!$V$4*Model!$W$2010*AVERAGE('Assumptions (Biomass)'!$S$2:$U$2)/10^9),0)</f>
        <v>-9.7433538772381256E-3</v>
      </c>
      <c r="AK2087" s="105">
        <f>IF($W$2010&gt;0,PPMT('Assumptions (Biomass)'!$V$6,Model!AK$1,'Assumptions (Biomass)'!$V$9,'Assumptions (Biomass)'!$V$4*Model!$W$2010*AVERAGE('Assumptions (Biomass)'!$S$2:$U$2)/10^9),0)</f>
        <v>-1.0206163186406936E-2</v>
      </c>
      <c r="AL2087" s="105"/>
      <c r="AM2087" s="105"/>
      <c r="AN2087" s="105"/>
      <c r="AO2087" s="105"/>
      <c r="AP2087" s="105"/>
      <c r="AQ2087" s="105"/>
      <c r="AR2087" s="105"/>
      <c r="AS2087" s="105"/>
      <c r="AT2087" s="105"/>
      <c r="AU2087" s="105"/>
      <c r="AV2087" s="105"/>
      <c r="AW2087" s="105"/>
      <c r="AX2087" s="105"/>
      <c r="AY2087" s="105"/>
      <c r="AZ2087" s="105"/>
      <c r="BA2087" s="105"/>
    </row>
    <row r="2088" spans="1:56" ht="15.75" hidden="1" customHeight="1" outlineLevel="1">
      <c r="A2088" s="441"/>
      <c r="B2088" s="99"/>
      <c r="C2088" s="99"/>
      <c r="D2088" s="99"/>
      <c r="E2088" s="99"/>
      <c r="F2088" s="99"/>
      <c r="G2088" s="99"/>
      <c r="H2088" s="99"/>
      <c r="I2088" s="99"/>
      <c r="J2088" s="99"/>
      <c r="K2088" s="99"/>
      <c r="L2088" s="99"/>
      <c r="M2088" s="99"/>
      <c r="N2088" s="99"/>
      <c r="O2088" s="99"/>
      <c r="P2088" s="99"/>
      <c r="Q2088" s="99"/>
      <c r="R2088" s="99"/>
      <c r="S2088" s="99"/>
      <c r="T2088" s="99"/>
      <c r="U2088" s="99"/>
      <c r="V2088" s="99"/>
      <c r="W2088" s="105"/>
      <c r="X2088" s="105">
        <f>IF($X$2010&gt;0,PPMT('Assumptions (Biomass)'!$V$6,Model!W$1,'Assumptions (Biomass)'!$V$9,'Assumptions (Biomass)'!$V$4*Model!$X$2010*AVERAGE('Assumptions (Biomass)'!$T$2:$V$2)/10^9),0)</f>
        <v>0</v>
      </c>
      <c r="Y2088" s="105">
        <f>IF($X$2010&gt;0,PPMT('Assumptions (Biomass)'!$V$6,Model!X$1,'Assumptions (Biomass)'!$V$9,'Assumptions (Biomass)'!$V$4*Model!$X$2010*AVERAGE('Assumptions (Biomass)'!$T$2:$V$2)/10^9),0)</f>
        <v>0</v>
      </c>
      <c r="Z2088" s="105">
        <f>IF($X$2010&gt;0,PPMT('Assumptions (Biomass)'!$V$6,Model!Y$1,'Assumptions (Biomass)'!$V$9,'Assumptions (Biomass)'!$V$4*Model!$X$2010*AVERAGE('Assumptions (Biomass)'!$T$2:$V$2)/10^9),0)</f>
        <v>0</v>
      </c>
      <c r="AA2088" s="105">
        <f>IF($X$2010&gt;0,PPMT('Assumptions (Biomass)'!$V$6,Model!Z$1,'Assumptions (Biomass)'!$V$9,'Assumptions (Biomass)'!$V$4*Model!$X$2010*AVERAGE('Assumptions (Biomass)'!$T$2:$V$2)/10^9),0)</f>
        <v>0</v>
      </c>
      <c r="AB2088" s="105">
        <f>IF($X$2010&gt;0,PPMT('Assumptions (Biomass)'!$V$6,Model!AA$1,'Assumptions (Biomass)'!$V$9,'Assumptions (Biomass)'!$V$4*Model!$X$2010*AVERAGE('Assumptions (Biomass)'!$T$2:$V$2)/10^9),0)</f>
        <v>0</v>
      </c>
      <c r="AC2088" s="105">
        <f>IF($X$2010&gt;0,PPMT('Assumptions (Biomass)'!$V$6,Model!AB$1,'Assumptions (Biomass)'!$V$9,'Assumptions (Biomass)'!$V$4*Model!$X$2010*AVERAGE('Assumptions (Biomass)'!$T$2:$V$2)/10^9),0)</f>
        <v>0</v>
      </c>
      <c r="AD2088" s="105">
        <f>IF($X$2010&gt;0,PPMT('Assumptions (Biomass)'!$V$6,Model!AC$1,'Assumptions (Biomass)'!$V$9,'Assumptions (Biomass)'!$V$4*Model!$X$2010*AVERAGE('Assumptions (Biomass)'!$T$2:$V$2)/10^9),0)</f>
        <v>0</v>
      </c>
      <c r="AE2088" s="105">
        <f>IF($X$2010&gt;0,PPMT('Assumptions (Biomass)'!$V$6,Model!AD$1,'Assumptions (Biomass)'!$V$9,'Assumptions (Biomass)'!$V$4*Model!$X$2010*AVERAGE('Assumptions (Biomass)'!$T$2:$V$2)/10^9),0)</f>
        <v>0</v>
      </c>
      <c r="AF2088" s="105">
        <f>IF($X$2010&gt;0,PPMT('Assumptions (Biomass)'!$V$6,Model!AE$1,'Assumptions (Biomass)'!$V$9,'Assumptions (Biomass)'!$V$4*Model!$X$2010*AVERAGE('Assumptions (Biomass)'!$T$2:$V$2)/10^9),0)</f>
        <v>0</v>
      </c>
      <c r="AG2088" s="105">
        <f>IF($X$2010&gt;0,PPMT('Assumptions (Biomass)'!$V$6,Model!AF$1,'Assumptions (Biomass)'!$V$9,'Assumptions (Biomass)'!$V$4*Model!$X$2010*AVERAGE('Assumptions (Biomass)'!$T$2:$V$2)/10^9),0)</f>
        <v>0</v>
      </c>
      <c r="AH2088" s="105">
        <f>IF($X$2010&gt;0,PPMT('Assumptions (Biomass)'!$V$6,Model!AG$1,'Assumptions (Biomass)'!$V$9,'Assumptions (Biomass)'!$V$4*Model!$X$2010*AVERAGE('Assumptions (Biomass)'!$T$2:$V$2)/10^9),0)</f>
        <v>0</v>
      </c>
      <c r="AI2088" s="105">
        <f>IF($X$2010&gt;0,PPMT('Assumptions (Biomass)'!$V$6,Model!AH$1,'Assumptions (Biomass)'!$V$9,'Assumptions (Biomass)'!$V$4*Model!$X$2010*AVERAGE('Assumptions (Biomass)'!$T$2:$V$2)/10^9),0)</f>
        <v>0</v>
      </c>
      <c r="AJ2088" s="105">
        <f>IF($X$2010&gt;0,PPMT('Assumptions (Biomass)'!$V$6,Model!AI$1,'Assumptions (Biomass)'!$V$9,'Assumptions (Biomass)'!$V$4*Model!$X$2010*AVERAGE('Assumptions (Biomass)'!$T$2:$V$2)/10^9),0)</f>
        <v>0</v>
      </c>
      <c r="AK2088" s="105">
        <f>IF($X$2010&gt;0,PPMT('Assumptions (Biomass)'!$V$6,Model!AJ$1,'Assumptions (Biomass)'!$V$9,'Assumptions (Biomass)'!$V$4*Model!$X$2010*AVERAGE('Assumptions (Biomass)'!$T$2:$V$2)/10^9),0)</f>
        <v>0</v>
      </c>
      <c r="AL2088" s="105">
        <f>IF($X$2010&gt;0,PPMT('Assumptions (Biomass)'!$V$6,Model!AK$1,'Assumptions (Biomass)'!$V$9,'Assumptions (Biomass)'!$V$4*Model!$X$2010*AVERAGE('Assumptions (Biomass)'!$T$2:$V$2)/10^9),0)</f>
        <v>0</v>
      </c>
      <c r="AM2088" s="105"/>
      <c r="AN2088" s="105"/>
      <c r="AO2088" s="105"/>
      <c r="AP2088" s="105"/>
      <c r="AQ2088" s="105"/>
      <c r="AR2088" s="105"/>
      <c r="AS2088" s="105"/>
      <c r="AT2088" s="105"/>
      <c r="AU2088" s="105"/>
      <c r="AV2088" s="105"/>
      <c r="AW2088" s="105"/>
      <c r="AX2088" s="105"/>
      <c r="AY2088" s="105"/>
      <c r="AZ2088" s="105"/>
      <c r="BA2088" s="105"/>
    </row>
    <row r="2089" spans="1:56" ht="15.75" hidden="1" customHeight="1" outlineLevel="1">
      <c r="A2089" s="441"/>
      <c r="B2089" s="99"/>
      <c r="C2089" s="99"/>
      <c r="D2089" s="99"/>
      <c r="E2089" s="99"/>
      <c r="F2089" s="99"/>
      <c r="G2089" s="99"/>
      <c r="H2089" s="99"/>
      <c r="I2089" s="99"/>
      <c r="J2089" s="99"/>
      <c r="K2089" s="99"/>
      <c r="L2089" s="99"/>
      <c r="M2089" s="99"/>
      <c r="N2089" s="99"/>
      <c r="O2089" s="99"/>
      <c r="P2089" s="99"/>
      <c r="Q2089" s="99"/>
      <c r="R2089" s="99"/>
      <c r="S2089" s="99"/>
      <c r="T2089" s="99"/>
      <c r="U2089" s="99"/>
      <c r="V2089" s="99"/>
      <c r="W2089" s="105"/>
      <c r="X2089" s="105"/>
      <c r="Y2089" s="105">
        <f>IF($Y$2010&gt;0,PPMT('Assumptions (Biomass)'!$V$6,Model!W$1,'Assumptions (Biomass)'!$V$9,'Assumptions (Biomass)'!$V$4*Model!$Y$2010*AVERAGE('Assumptions (Biomass)'!$U$2:$W$2)/10^9),0)</f>
        <v>0</v>
      </c>
      <c r="Z2089" s="105">
        <f>IF($Y$2010&gt;0,PPMT('Assumptions (Biomass)'!$V$6,Model!X$1,'Assumptions (Biomass)'!$V$9,'Assumptions (Biomass)'!$V$4*Model!$Y$2010*AVERAGE('Assumptions (Biomass)'!$U$2:$W$2)/10^9),0)</f>
        <v>0</v>
      </c>
      <c r="AA2089" s="105">
        <f>IF($Y$2010&gt;0,PPMT('Assumptions (Biomass)'!$V$6,Model!Y$1,'Assumptions (Biomass)'!$V$9,'Assumptions (Biomass)'!$V$4*Model!$Y$2010*AVERAGE('Assumptions (Biomass)'!$U$2:$W$2)/10^9),0)</f>
        <v>0</v>
      </c>
      <c r="AB2089" s="105">
        <f>IF($Y$2010&gt;0,PPMT('Assumptions (Biomass)'!$V$6,Model!Z$1,'Assumptions (Biomass)'!$V$9,'Assumptions (Biomass)'!$V$4*Model!$Y$2010*AVERAGE('Assumptions (Biomass)'!$U$2:$W$2)/10^9),0)</f>
        <v>0</v>
      </c>
      <c r="AC2089" s="105">
        <f>IF($Y$2010&gt;0,PPMT('Assumptions (Biomass)'!$V$6,Model!AA$1,'Assumptions (Biomass)'!$V$9,'Assumptions (Biomass)'!$V$4*Model!$Y$2010*AVERAGE('Assumptions (Biomass)'!$U$2:$W$2)/10^9),0)</f>
        <v>0</v>
      </c>
      <c r="AD2089" s="105">
        <f>IF($Y$2010&gt;0,PPMT('Assumptions (Biomass)'!$V$6,Model!AB$1,'Assumptions (Biomass)'!$V$9,'Assumptions (Biomass)'!$V$4*Model!$Y$2010*AVERAGE('Assumptions (Biomass)'!$U$2:$W$2)/10^9),0)</f>
        <v>0</v>
      </c>
      <c r="AE2089" s="105">
        <f>IF($Y$2010&gt;0,PPMT('Assumptions (Biomass)'!$V$6,Model!AC$1,'Assumptions (Biomass)'!$V$9,'Assumptions (Biomass)'!$V$4*Model!$Y$2010*AVERAGE('Assumptions (Biomass)'!$U$2:$W$2)/10^9),0)</f>
        <v>0</v>
      </c>
      <c r="AF2089" s="105">
        <f>IF($Y$2010&gt;0,PPMT('Assumptions (Biomass)'!$V$6,Model!AD$1,'Assumptions (Biomass)'!$V$9,'Assumptions (Biomass)'!$V$4*Model!$Y$2010*AVERAGE('Assumptions (Biomass)'!$U$2:$W$2)/10^9),0)</f>
        <v>0</v>
      </c>
      <c r="AG2089" s="105">
        <f>IF($Y$2010&gt;0,PPMT('Assumptions (Biomass)'!$V$6,Model!AE$1,'Assumptions (Biomass)'!$V$9,'Assumptions (Biomass)'!$V$4*Model!$Y$2010*AVERAGE('Assumptions (Biomass)'!$U$2:$W$2)/10^9),0)</f>
        <v>0</v>
      </c>
      <c r="AH2089" s="105">
        <f>IF($Y$2010&gt;0,PPMT('Assumptions (Biomass)'!$V$6,Model!AF$1,'Assumptions (Biomass)'!$V$9,'Assumptions (Biomass)'!$V$4*Model!$Y$2010*AVERAGE('Assumptions (Biomass)'!$U$2:$W$2)/10^9),0)</f>
        <v>0</v>
      </c>
      <c r="AI2089" s="105">
        <f>IF($Y$2010&gt;0,PPMT('Assumptions (Biomass)'!$V$6,Model!AG$1,'Assumptions (Biomass)'!$V$9,'Assumptions (Biomass)'!$V$4*Model!$Y$2010*AVERAGE('Assumptions (Biomass)'!$U$2:$W$2)/10^9),0)</f>
        <v>0</v>
      </c>
      <c r="AJ2089" s="105">
        <f>IF($Y$2010&gt;0,PPMT('Assumptions (Biomass)'!$V$6,Model!AH$1,'Assumptions (Biomass)'!$V$9,'Assumptions (Biomass)'!$V$4*Model!$Y$2010*AVERAGE('Assumptions (Biomass)'!$U$2:$W$2)/10^9),0)</f>
        <v>0</v>
      </c>
      <c r="AK2089" s="105">
        <f>IF($Y$2010&gt;0,PPMT('Assumptions (Biomass)'!$V$6,Model!AI$1,'Assumptions (Biomass)'!$V$9,'Assumptions (Biomass)'!$V$4*Model!$Y$2010*AVERAGE('Assumptions (Biomass)'!$U$2:$W$2)/10^9),0)</f>
        <v>0</v>
      </c>
      <c r="AL2089" s="105">
        <f>IF($Y$2010&gt;0,PPMT('Assumptions (Biomass)'!$V$6,Model!AJ$1,'Assumptions (Biomass)'!$V$9,'Assumptions (Biomass)'!$V$4*Model!$Y$2010*AVERAGE('Assumptions (Biomass)'!$U$2:$W$2)/10^9),0)</f>
        <v>0</v>
      </c>
      <c r="AM2089" s="105">
        <f>IF($Y$2010&gt;0,PPMT('Assumptions (Biomass)'!$V$6,Model!AK$1,'Assumptions (Biomass)'!$V$9,'Assumptions (Biomass)'!$V$4*Model!$Y$2010*AVERAGE('Assumptions (Biomass)'!$U$2:$W$2)/10^9),0)</f>
        <v>0</v>
      </c>
      <c r="AN2089" s="105"/>
      <c r="AO2089" s="105"/>
      <c r="AP2089" s="105"/>
      <c r="AQ2089" s="105"/>
      <c r="AR2089" s="105"/>
      <c r="AS2089" s="105"/>
      <c r="AT2089" s="105"/>
      <c r="AU2089" s="105"/>
      <c r="AV2089" s="105"/>
      <c r="AW2089" s="105"/>
      <c r="AX2089" s="105"/>
      <c r="AY2089" s="105"/>
      <c r="AZ2089" s="105"/>
      <c r="BA2089" s="105"/>
    </row>
    <row r="2090" spans="1:56" ht="15.75" hidden="1" customHeight="1" outlineLevel="1">
      <c r="A2090" s="441"/>
      <c r="B2090" s="99"/>
      <c r="C2090" s="99"/>
      <c r="D2090" s="99"/>
      <c r="E2090" s="99"/>
      <c r="F2090" s="99"/>
      <c r="G2090" s="99"/>
      <c r="H2090" s="99"/>
      <c r="I2090" s="99"/>
      <c r="J2090" s="99"/>
      <c r="K2090" s="99"/>
      <c r="L2090" s="99"/>
      <c r="M2090" s="99"/>
      <c r="N2090" s="99"/>
      <c r="O2090" s="99"/>
      <c r="P2090" s="99"/>
      <c r="Q2090" s="99"/>
      <c r="R2090" s="99"/>
      <c r="S2090" s="99"/>
      <c r="T2090" s="99"/>
      <c r="U2090" s="99"/>
      <c r="V2090" s="99"/>
      <c r="W2090" s="105"/>
      <c r="X2090" s="105"/>
      <c r="Y2090" s="105"/>
      <c r="Z2090" s="105">
        <f>IF($Z$2010&gt;0,PPMT('Assumptions (Biomass)'!$V$6,Model!W$1,'Assumptions (Biomass)'!$V$9,'Assumptions (Biomass)'!$V$4*Model!$Z$2010*AVERAGE('Assumptions (Biomass)'!$V$2:$X$2)/10^9),0)</f>
        <v>0</v>
      </c>
      <c r="AA2090" s="105">
        <f>IF($Z$2010&gt;0,PPMT('Assumptions (Biomass)'!$V$6,Model!X$1,'Assumptions (Biomass)'!$V$9,'Assumptions (Biomass)'!$V$4*Model!$Z$2010*AVERAGE('Assumptions (Biomass)'!$V$2:$X$2)/10^9),0)</f>
        <v>0</v>
      </c>
      <c r="AB2090" s="105">
        <f>IF($Z$2010&gt;0,PPMT('Assumptions (Biomass)'!$V$6,Model!Y$1,'Assumptions (Biomass)'!$V$9,'Assumptions (Biomass)'!$V$4*Model!$Z$2010*AVERAGE('Assumptions (Biomass)'!$V$2:$X$2)/10^9),0)</f>
        <v>0</v>
      </c>
      <c r="AC2090" s="105">
        <f>IF($Z$2010&gt;0,PPMT('Assumptions (Biomass)'!$V$6,Model!Z$1,'Assumptions (Biomass)'!$V$9,'Assumptions (Biomass)'!$V$4*Model!$Z$2010*AVERAGE('Assumptions (Biomass)'!$V$2:$X$2)/10^9),0)</f>
        <v>0</v>
      </c>
      <c r="AD2090" s="105">
        <f>IF($Z$2010&gt;0,PPMT('Assumptions (Biomass)'!$V$6,Model!AA$1,'Assumptions (Biomass)'!$V$9,'Assumptions (Biomass)'!$V$4*Model!$Z$2010*AVERAGE('Assumptions (Biomass)'!$V$2:$X$2)/10^9),0)</f>
        <v>0</v>
      </c>
      <c r="AE2090" s="105">
        <f>IF($Z$2010&gt;0,PPMT('Assumptions (Biomass)'!$V$6,Model!AB$1,'Assumptions (Biomass)'!$V$9,'Assumptions (Biomass)'!$V$4*Model!$Z$2010*AVERAGE('Assumptions (Biomass)'!$V$2:$X$2)/10^9),0)</f>
        <v>0</v>
      </c>
      <c r="AF2090" s="105">
        <f>IF($Z$2010&gt;0,PPMT('Assumptions (Biomass)'!$V$6,Model!AC$1,'Assumptions (Biomass)'!$V$9,'Assumptions (Biomass)'!$V$4*Model!$Z$2010*AVERAGE('Assumptions (Biomass)'!$V$2:$X$2)/10^9),0)</f>
        <v>0</v>
      </c>
      <c r="AG2090" s="105">
        <f>IF($Z$2010&gt;0,PPMT('Assumptions (Biomass)'!$V$6,Model!AD$1,'Assumptions (Biomass)'!$V$9,'Assumptions (Biomass)'!$V$4*Model!$Z$2010*AVERAGE('Assumptions (Biomass)'!$V$2:$X$2)/10^9),0)</f>
        <v>0</v>
      </c>
      <c r="AH2090" s="105">
        <f>IF($Z$2010&gt;0,PPMT('Assumptions (Biomass)'!$V$6,Model!AE$1,'Assumptions (Biomass)'!$V$9,'Assumptions (Biomass)'!$V$4*Model!$Z$2010*AVERAGE('Assumptions (Biomass)'!$V$2:$X$2)/10^9),0)</f>
        <v>0</v>
      </c>
      <c r="AI2090" s="105">
        <f>IF($Z$2010&gt;0,PPMT('Assumptions (Biomass)'!$V$6,Model!AF$1,'Assumptions (Biomass)'!$V$9,'Assumptions (Biomass)'!$V$4*Model!$Z$2010*AVERAGE('Assumptions (Biomass)'!$V$2:$X$2)/10^9),0)</f>
        <v>0</v>
      </c>
      <c r="AJ2090" s="105">
        <f>IF($Z$2010&gt;0,PPMT('Assumptions (Biomass)'!$V$6,Model!AG$1,'Assumptions (Biomass)'!$V$9,'Assumptions (Biomass)'!$V$4*Model!$Z$2010*AVERAGE('Assumptions (Biomass)'!$V$2:$X$2)/10^9),0)</f>
        <v>0</v>
      </c>
      <c r="AK2090" s="105">
        <f>IF($Z$2010&gt;0,PPMT('Assumptions (Biomass)'!$V$6,Model!AH$1,'Assumptions (Biomass)'!$V$9,'Assumptions (Biomass)'!$V$4*Model!$Z$2010*AVERAGE('Assumptions (Biomass)'!$V$2:$X$2)/10^9),0)</f>
        <v>0</v>
      </c>
      <c r="AL2090" s="105">
        <f>IF($Z$2010&gt;0,PPMT('Assumptions (Biomass)'!$V$6,Model!AI$1,'Assumptions (Biomass)'!$V$9,'Assumptions (Biomass)'!$V$4*Model!$Z$2010*AVERAGE('Assumptions (Biomass)'!$V$2:$X$2)/10^9),0)</f>
        <v>0</v>
      </c>
      <c r="AM2090" s="105">
        <f>IF($Z$2010&gt;0,PPMT('Assumptions (Biomass)'!$V$6,Model!AJ$1,'Assumptions (Biomass)'!$V$9,'Assumptions (Biomass)'!$V$4*Model!$Z$2010*AVERAGE('Assumptions (Biomass)'!$V$2:$X$2)/10^9),0)</f>
        <v>0</v>
      </c>
      <c r="AN2090" s="105">
        <f>IF($Z$2010&gt;0,PPMT('Assumptions (Biomass)'!$V$6,Model!AK$1,'Assumptions (Biomass)'!$V$9,'Assumptions (Biomass)'!$V$4*Model!$Z$2010*AVERAGE('Assumptions (Biomass)'!$V$2:$X$2)/10^9),0)</f>
        <v>0</v>
      </c>
      <c r="AO2090" s="105"/>
      <c r="AP2090" s="105"/>
      <c r="AQ2090" s="105"/>
      <c r="AR2090" s="105"/>
      <c r="AS2090" s="105"/>
      <c r="AT2090" s="105"/>
      <c r="AU2090" s="105"/>
      <c r="AV2090" s="105"/>
      <c r="AW2090" s="105"/>
      <c r="AX2090" s="105"/>
      <c r="AY2090" s="105"/>
      <c r="AZ2090" s="105"/>
      <c r="BA2090" s="105"/>
    </row>
    <row r="2091" spans="1:56" ht="15.75" hidden="1" customHeight="1" outlineLevel="1">
      <c r="A2091" s="441"/>
      <c r="B2091" s="99"/>
      <c r="C2091" s="99"/>
      <c r="D2091" s="99"/>
      <c r="E2091" s="99"/>
      <c r="F2091" s="99"/>
      <c r="G2091" s="99"/>
      <c r="H2091" s="99"/>
      <c r="I2091" s="99"/>
      <c r="J2091" s="99"/>
      <c r="K2091" s="99"/>
      <c r="L2091" s="99"/>
      <c r="M2091" s="99"/>
      <c r="N2091" s="99"/>
      <c r="O2091" s="99"/>
      <c r="P2091" s="99"/>
      <c r="Q2091" s="99"/>
      <c r="R2091" s="99"/>
      <c r="S2091" s="99"/>
      <c r="T2091" s="99"/>
      <c r="U2091" s="99"/>
      <c r="V2091" s="99"/>
      <c r="W2091" s="105"/>
      <c r="X2091" s="105"/>
      <c r="Y2091" s="105"/>
      <c r="Z2091" s="105"/>
      <c r="AA2091" s="105">
        <f>IF($AA$2010&gt;0,PPMT('Assumptions (Biomass)'!$V$6,Model!W$1,'Assumptions (Biomass)'!$V$9,'Assumptions (Biomass)'!$V$4*Model!$AA$2010*AVERAGE('Assumptions (Biomass)'!$W$2:$Y$2)/10^9),0)</f>
        <v>0</v>
      </c>
      <c r="AB2091" s="105">
        <f>IF($AA$2010&gt;0,PPMT('Assumptions (Biomass)'!$V$6,Model!X$1,'Assumptions (Biomass)'!$V$9,'Assumptions (Biomass)'!$V$4*Model!$AA$2010*AVERAGE('Assumptions (Biomass)'!$W$2:$Y$2)/10^9),0)</f>
        <v>0</v>
      </c>
      <c r="AC2091" s="105">
        <f>IF($AA$2010&gt;0,PPMT('Assumptions (Biomass)'!$V$6,Model!Y$1,'Assumptions (Biomass)'!$V$9,'Assumptions (Biomass)'!$V$4*Model!$AA$2010*AVERAGE('Assumptions (Biomass)'!$W$2:$Y$2)/10^9),0)</f>
        <v>0</v>
      </c>
      <c r="AD2091" s="105">
        <f>IF($AA$2010&gt;0,PPMT('Assumptions (Biomass)'!$V$6,Model!Z$1,'Assumptions (Biomass)'!$V$9,'Assumptions (Biomass)'!$V$4*Model!$AA$2010*AVERAGE('Assumptions (Biomass)'!$W$2:$Y$2)/10^9),0)</f>
        <v>0</v>
      </c>
      <c r="AE2091" s="105">
        <f>IF($AA$2010&gt;0,PPMT('Assumptions (Biomass)'!$V$6,Model!AA$1,'Assumptions (Biomass)'!$V$9,'Assumptions (Biomass)'!$V$4*Model!$AA$2010*AVERAGE('Assumptions (Biomass)'!$W$2:$Y$2)/10^9),0)</f>
        <v>0</v>
      </c>
      <c r="AF2091" s="105">
        <f>IF($AA$2010&gt;0,PPMT('Assumptions (Biomass)'!$V$6,Model!AB$1,'Assumptions (Biomass)'!$V$9,'Assumptions (Biomass)'!$V$4*Model!$AA$2010*AVERAGE('Assumptions (Biomass)'!$W$2:$Y$2)/10^9),0)</f>
        <v>0</v>
      </c>
      <c r="AG2091" s="105">
        <f>IF($AA$2010&gt;0,PPMT('Assumptions (Biomass)'!$V$6,Model!AC$1,'Assumptions (Biomass)'!$V$9,'Assumptions (Biomass)'!$V$4*Model!$AA$2010*AVERAGE('Assumptions (Biomass)'!$W$2:$Y$2)/10^9),0)</f>
        <v>0</v>
      </c>
      <c r="AH2091" s="105">
        <f>IF($AA$2010&gt;0,PPMT('Assumptions (Biomass)'!$V$6,Model!AD$1,'Assumptions (Biomass)'!$V$9,'Assumptions (Biomass)'!$V$4*Model!$AA$2010*AVERAGE('Assumptions (Biomass)'!$W$2:$Y$2)/10^9),0)</f>
        <v>0</v>
      </c>
      <c r="AI2091" s="105">
        <f>IF($AA$2010&gt;0,PPMT('Assumptions (Biomass)'!$V$6,Model!AE$1,'Assumptions (Biomass)'!$V$9,'Assumptions (Biomass)'!$V$4*Model!$AA$2010*AVERAGE('Assumptions (Biomass)'!$W$2:$Y$2)/10^9),0)</f>
        <v>0</v>
      </c>
      <c r="AJ2091" s="105">
        <f>IF($AA$2010&gt;0,PPMT('Assumptions (Biomass)'!$V$6,Model!AF$1,'Assumptions (Biomass)'!$V$9,'Assumptions (Biomass)'!$V$4*Model!$AA$2010*AVERAGE('Assumptions (Biomass)'!$W$2:$Y$2)/10^9),0)</f>
        <v>0</v>
      </c>
      <c r="AK2091" s="105">
        <f>IF($AA$2010&gt;0,PPMT('Assumptions (Biomass)'!$V$6,Model!AG$1,'Assumptions (Biomass)'!$V$9,'Assumptions (Biomass)'!$V$4*Model!$AA$2010*AVERAGE('Assumptions (Biomass)'!$W$2:$Y$2)/10^9),0)</f>
        <v>0</v>
      </c>
      <c r="AL2091" s="105">
        <f>IF($AA$2010&gt;0,PPMT('Assumptions (Biomass)'!$V$6,Model!AH$1,'Assumptions (Biomass)'!$V$9,'Assumptions (Biomass)'!$V$4*Model!$AA$2010*AVERAGE('Assumptions (Biomass)'!$W$2:$Y$2)/10^9),0)</f>
        <v>0</v>
      </c>
      <c r="AM2091" s="105">
        <f>IF($AA$2010&gt;0,PPMT('Assumptions (Biomass)'!$V$6,Model!AI$1,'Assumptions (Biomass)'!$V$9,'Assumptions (Biomass)'!$V$4*Model!$AA$2010*AVERAGE('Assumptions (Biomass)'!$W$2:$Y$2)/10^9),0)</f>
        <v>0</v>
      </c>
      <c r="AN2091" s="105">
        <f>IF($AA$2010&gt;0,PPMT('Assumptions (Biomass)'!$V$6,Model!AJ$1,'Assumptions (Biomass)'!$V$9,'Assumptions (Biomass)'!$V$4*Model!$AA$2010*AVERAGE('Assumptions (Biomass)'!$W$2:$Y$2)/10^9),0)</f>
        <v>0</v>
      </c>
      <c r="AO2091" s="105">
        <f>IF($AA$2010&gt;0,PPMT('Assumptions (Biomass)'!$V$6,Model!AK$1,'Assumptions (Biomass)'!$V$9,'Assumptions (Biomass)'!$V$4*Model!$AA$2010*AVERAGE('Assumptions (Biomass)'!$W$2:$Y$2)/10^9),0)</f>
        <v>0</v>
      </c>
      <c r="AP2091" s="105"/>
      <c r="AQ2091" s="105"/>
      <c r="AR2091" s="105"/>
      <c r="AS2091" s="105"/>
      <c r="AT2091" s="105"/>
      <c r="AU2091" s="105"/>
      <c r="AV2091" s="105"/>
      <c r="AW2091" s="105"/>
      <c r="AX2091" s="105"/>
      <c r="AY2091" s="105"/>
      <c r="AZ2091" s="105"/>
      <c r="BA2091" s="105"/>
    </row>
    <row r="2092" spans="1:56" ht="15.75" hidden="1" customHeight="1" outlineLevel="1">
      <c r="A2092" s="441"/>
      <c r="B2092" s="99"/>
      <c r="C2092" s="99"/>
      <c r="D2092" s="99"/>
      <c r="E2092" s="99"/>
      <c r="F2092" s="99"/>
      <c r="G2092" s="99"/>
      <c r="H2092" s="99"/>
      <c r="I2092" s="99"/>
      <c r="J2092" s="99"/>
      <c r="K2092" s="99"/>
      <c r="L2092" s="99"/>
      <c r="M2092" s="99"/>
      <c r="N2092" s="99"/>
      <c r="O2092" s="99"/>
      <c r="P2092" s="99"/>
      <c r="Q2092" s="99"/>
      <c r="R2092" s="99"/>
      <c r="S2092" s="99"/>
      <c r="T2092" s="99"/>
      <c r="U2092" s="99"/>
      <c r="V2092" s="99"/>
      <c r="W2092" s="105"/>
      <c r="X2092" s="105"/>
      <c r="Y2092" s="105"/>
      <c r="Z2092" s="105"/>
      <c r="AA2092" s="105"/>
      <c r="AB2092" s="105">
        <f>IF($AB$2010&gt;0,PPMT('Assumptions (Biomass)'!$V$6,Model!W$1,'Assumptions (Biomass)'!$V$9,'Assumptions (Biomass)'!$V$4*Model!$AB$2010*AVERAGE('Assumptions (Biomass)'!$X$2:$Z$2)/10^9),0)</f>
        <v>0</v>
      </c>
      <c r="AC2092" s="105">
        <f>IF($AB$2010&gt;0,PPMT('Assumptions (Biomass)'!$V$6,Model!X$1,'Assumptions (Biomass)'!$V$9,'Assumptions (Biomass)'!$V$4*Model!$AB$2010*AVERAGE('Assumptions (Biomass)'!$X$2:$Z$2)/10^9),0)</f>
        <v>0</v>
      </c>
      <c r="AD2092" s="105">
        <f>IF($AB$2010&gt;0,PPMT('Assumptions (Biomass)'!$V$6,Model!Y$1,'Assumptions (Biomass)'!$V$9,'Assumptions (Biomass)'!$V$4*Model!$AB$2010*AVERAGE('Assumptions (Biomass)'!$X$2:$Z$2)/10^9),0)</f>
        <v>0</v>
      </c>
      <c r="AE2092" s="105">
        <f>IF($AB$2010&gt;0,PPMT('Assumptions (Biomass)'!$V$6,Model!Z$1,'Assumptions (Biomass)'!$V$9,'Assumptions (Biomass)'!$V$4*Model!$AB$2010*AVERAGE('Assumptions (Biomass)'!$X$2:$Z$2)/10^9),0)</f>
        <v>0</v>
      </c>
      <c r="AF2092" s="105">
        <f>IF($AB$2010&gt;0,PPMT('Assumptions (Biomass)'!$V$6,Model!AA$1,'Assumptions (Biomass)'!$V$9,'Assumptions (Biomass)'!$V$4*Model!$AB$2010*AVERAGE('Assumptions (Biomass)'!$X$2:$Z$2)/10^9),0)</f>
        <v>0</v>
      </c>
      <c r="AG2092" s="105">
        <f>IF($AB$2010&gt;0,PPMT('Assumptions (Biomass)'!$V$6,Model!AB$1,'Assumptions (Biomass)'!$V$9,'Assumptions (Biomass)'!$V$4*Model!$AB$2010*AVERAGE('Assumptions (Biomass)'!$X$2:$Z$2)/10^9),0)</f>
        <v>0</v>
      </c>
      <c r="AH2092" s="105">
        <f>IF($AB$2010&gt;0,PPMT('Assumptions (Biomass)'!$V$6,Model!AC$1,'Assumptions (Biomass)'!$V$9,'Assumptions (Biomass)'!$V$4*Model!$AB$2010*AVERAGE('Assumptions (Biomass)'!$X$2:$Z$2)/10^9),0)</f>
        <v>0</v>
      </c>
      <c r="AI2092" s="105">
        <f>IF($AB$2010&gt;0,PPMT('Assumptions (Biomass)'!$V$6,Model!AD$1,'Assumptions (Biomass)'!$V$9,'Assumptions (Biomass)'!$V$4*Model!$AB$2010*AVERAGE('Assumptions (Biomass)'!$X$2:$Z$2)/10^9),0)</f>
        <v>0</v>
      </c>
      <c r="AJ2092" s="105">
        <f>IF($AB$2010&gt;0,PPMT('Assumptions (Biomass)'!$V$6,Model!AE$1,'Assumptions (Biomass)'!$V$9,'Assumptions (Biomass)'!$V$4*Model!$AB$2010*AVERAGE('Assumptions (Biomass)'!$X$2:$Z$2)/10^9),0)</f>
        <v>0</v>
      </c>
      <c r="AK2092" s="105">
        <f>IF($AB$2010&gt;0,PPMT('Assumptions (Biomass)'!$V$6,Model!AF$1,'Assumptions (Biomass)'!$V$9,'Assumptions (Biomass)'!$V$4*Model!$AB$2010*AVERAGE('Assumptions (Biomass)'!$X$2:$Z$2)/10^9),0)</f>
        <v>0</v>
      </c>
      <c r="AL2092" s="105">
        <f>IF($AB$2010&gt;0,PPMT('Assumptions (Biomass)'!$V$6,Model!AG$1,'Assumptions (Biomass)'!$V$9,'Assumptions (Biomass)'!$V$4*Model!$AB$2010*AVERAGE('Assumptions (Biomass)'!$X$2:$Z$2)/10^9),0)</f>
        <v>0</v>
      </c>
      <c r="AM2092" s="105">
        <f>IF($AB$2010&gt;0,PPMT('Assumptions (Biomass)'!$V$6,Model!AH$1,'Assumptions (Biomass)'!$V$9,'Assumptions (Biomass)'!$V$4*Model!$AB$2010*AVERAGE('Assumptions (Biomass)'!$X$2:$Z$2)/10^9),0)</f>
        <v>0</v>
      </c>
      <c r="AN2092" s="105">
        <f>IF($AB$2010&gt;0,PPMT('Assumptions (Biomass)'!$V$6,Model!AI$1,'Assumptions (Biomass)'!$V$9,'Assumptions (Biomass)'!$V$4*Model!$AB$2010*AVERAGE('Assumptions (Biomass)'!$X$2:$Z$2)/10^9),0)</f>
        <v>0</v>
      </c>
      <c r="AO2092" s="105">
        <f>IF($AB$2010&gt;0,PPMT('Assumptions (Biomass)'!$V$6,Model!AJ$1,'Assumptions (Biomass)'!$V$9,'Assumptions (Biomass)'!$V$4*Model!$AB$2010*AVERAGE('Assumptions (Biomass)'!$X$2:$Z$2)/10^9),0)</f>
        <v>0</v>
      </c>
      <c r="AP2092" s="105">
        <f>IF($AB$2010&gt;0,PPMT('Assumptions (Biomass)'!$V$6,Model!AK$1,'Assumptions (Biomass)'!$V$9,'Assumptions (Biomass)'!$V$4*Model!$AB$2010*AVERAGE('Assumptions (Biomass)'!$X$2:$Z$2)/10^9),0)</f>
        <v>0</v>
      </c>
      <c r="AQ2092" s="105"/>
      <c r="AR2092" s="105"/>
      <c r="AS2092" s="105"/>
      <c r="AT2092" s="105"/>
      <c r="AU2092" s="105"/>
      <c r="AV2092" s="105"/>
      <c r="AW2092" s="105"/>
      <c r="AX2092" s="105"/>
      <c r="AY2092" s="105"/>
      <c r="AZ2092" s="105"/>
      <c r="BA2092" s="105"/>
    </row>
    <row r="2093" spans="1:56" ht="15.75" hidden="1" customHeight="1" outlineLevel="1">
      <c r="A2093" s="441"/>
      <c r="B2093" s="99"/>
      <c r="C2093" s="99"/>
      <c r="D2093" s="99"/>
      <c r="E2093" s="99"/>
      <c r="F2093" s="99"/>
      <c r="G2093" s="99"/>
      <c r="H2093" s="99"/>
      <c r="I2093" s="99"/>
      <c r="J2093" s="99"/>
      <c r="K2093" s="99"/>
      <c r="L2093" s="99"/>
      <c r="M2093" s="99"/>
      <c r="N2093" s="99"/>
      <c r="O2093" s="99"/>
      <c r="P2093" s="99"/>
      <c r="Q2093" s="99"/>
      <c r="R2093" s="99"/>
      <c r="S2093" s="99"/>
      <c r="T2093" s="99"/>
      <c r="U2093" s="99"/>
      <c r="V2093" s="99"/>
      <c r="W2093" s="105"/>
      <c r="X2093" s="105"/>
      <c r="Y2093" s="105"/>
      <c r="Z2093" s="105"/>
      <c r="AA2093" s="105"/>
      <c r="AB2093" s="105"/>
      <c r="AC2093" s="105">
        <f>IF($AC$2010&gt;0,PPMT('Assumptions (Biomass)'!$V$6,Model!W$1,'Assumptions (Biomass)'!$V$9,'Assumptions (Biomass)'!$V$4*Model!$AC$2010*AVERAGE('Assumptions (Biomass)'!$Y$2:$AA$2)/10^9),0)</f>
        <v>0</v>
      </c>
      <c r="AD2093" s="105">
        <f>IF($AC$2010&gt;0,PPMT('Assumptions (Biomass)'!$V$6,Model!X$1,'Assumptions (Biomass)'!$V$9,'Assumptions (Biomass)'!$V$4*Model!$AC$2010*AVERAGE('Assumptions (Biomass)'!$Y$2:$AA$2)/10^9),0)</f>
        <v>0</v>
      </c>
      <c r="AE2093" s="105">
        <f>IF($AC$2010&gt;0,PPMT('Assumptions (Biomass)'!$V$6,Model!Y$1,'Assumptions (Biomass)'!$V$9,'Assumptions (Biomass)'!$V$4*Model!$AC$2010*AVERAGE('Assumptions (Biomass)'!$Y$2:$AA$2)/10^9),0)</f>
        <v>0</v>
      </c>
      <c r="AF2093" s="105">
        <f>IF($AC$2010&gt;0,PPMT('Assumptions (Biomass)'!$V$6,Model!Z$1,'Assumptions (Biomass)'!$V$9,'Assumptions (Biomass)'!$V$4*Model!$AC$2010*AVERAGE('Assumptions (Biomass)'!$Y$2:$AA$2)/10^9),0)</f>
        <v>0</v>
      </c>
      <c r="AG2093" s="105">
        <f>IF($AC$2010&gt;0,PPMT('Assumptions (Biomass)'!$V$6,Model!AA$1,'Assumptions (Biomass)'!$V$9,'Assumptions (Biomass)'!$V$4*Model!$AC$2010*AVERAGE('Assumptions (Biomass)'!$Y$2:$AA$2)/10^9),0)</f>
        <v>0</v>
      </c>
      <c r="AH2093" s="105">
        <f>IF($AC$2010&gt;0,PPMT('Assumptions (Biomass)'!$V$6,Model!AB$1,'Assumptions (Biomass)'!$V$9,'Assumptions (Biomass)'!$V$4*Model!$AC$2010*AVERAGE('Assumptions (Biomass)'!$Y$2:$AA$2)/10^9),0)</f>
        <v>0</v>
      </c>
      <c r="AI2093" s="105">
        <f>IF($AC$2010&gt;0,PPMT('Assumptions (Biomass)'!$V$6,Model!AC$1,'Assumptions (Biomass)'!$V$9,'Assumptions (Biomass)'!$V$4*Model!$AC$2010*AVERAGE('Assumptions (Biomass)'!$Y$2:$AA$2)/10^9),0)</f>
        <v>0</v>
      </c>
      <c r="AJ2093" s="105">
        <f>IF($AC$2010&gt;0,PPMT('Assumptions (Biomass)'!$V$6,Model!AD$1,'Assumptions (Biomass)'!$V$9,'Assumptions (Biomass)'!$V$4*Model!$AC$2010*AVERAGE('Assumptions (Biomass)'!$Y$2:$AA$2)/10^9),0)</f>
        <v>0</v>
      </c>
      <c r="AK2093" s="105">
        <f>IF($AC$2010&gt;0,PPMT('Assumptions (Biomass)'!$V$6,Model!AE$1,'Assumptions (Biomass)'!$V$9,'Assumptions (Biomass)'!$V$4*Model!$AC$2010*AVERAGE('Assumptions (Biomass)'!$Y$2:$AA$2)/10^9),0)</f>
        <v>0</v>
      </c>
      <c r="AL2093" s="105">
        <f>IF($AC$2010&gt;0,PPMT('Assumptions (Biomass)'!$V$6,Model!AF$1,'Assumptions (Biomass)'!$V$9,'Assumptions (Biomass)'!$V$4*Model!$AC$2010*AVERAGE('Assumptions (Biomass)'!$Y$2:$AA$2)/10^9),0)</f>
        <v>0</v>
      </c>
      <c r="AM2093" s="105">
        <f>IF($AC$2010&gt;0,PPMT('Assumptions (Biomass)'!$V$6,Model!AG$1,'Assumptions (Biomass)'!$V$9,'Assumptions (Biomass)'!$V$4*Model!$AC$2010*AVERAGE('Assumptions (Biomass)'!$Y$2:$AA$2)/10^9),0)</f>
        <v>0</v>
      </c>
      <c r="AN2093" s="105">
        <f>IF($AC$2010&gt;0,PPMT('Assumptions (Biomass)'!$V$6,Model!AH$1,'Assumptions (Biomass)'!$V$9,'Assumptions (Biomass)'!$V$4*Model!$AC$2010*AVERAGE('Assumptions (Biomass)'!$Y$2:$AA$2)/10^9),0)</f>
        <v>0</v>
      </c>
      <c r="AO2093" s="105">
        <f>IF($AC$2010&gt;0,PPMT('Assumptions (Biomass)'!$V$6,Model!AI$1,'Assumptions (Biomass)'!$V$9,'Assumptions (Biomass)'!$V$4*Model!$AC$2010*AVERAGE('Assumptions (Biomass)'!$Y$2:$AA$2)/10^9),0)</f>
        <v>0</v>
      </c>
      <c r="AP2093" s="105">
        <f>IF($AC$2010&gt;0,PPMT('Assumptions (Biomass)'!$V$6,Model!AJ$1,'Assumptions (Biomass)'!$V$9,'Assumptions (Biomass)'!$V$4*Model!$AC$2010*AVERAGE('Assumptions (Biomass)'!$Y$2:$AA$2)/10^9),0)</f>
        <v>0</v>
      </c>
      <c r="AQ2093" s="105">
        <f>IF($AC$2010&gt;0,PPMT('Assumptions (Biomass)'!$V$6,Model!AK$1,'Assumptions (Biomass)'!$V$9,'Assumptions (Biomass)'!$V$4*Model!$AC$2010*AVERAGE('Assumptions (Biomass)'!$Y$2:$AA$2)/10^9),0)</f>
        <v>0</v>
      </c>
      <c r="AR2093" s="105"/>
      <c r="AS2093" s="105"/>
      <c r="AT2093" s="105"/>
      <c r="AU2093" s="105"/>
      <c r="AV2093" s="105"/>
      <c r="AW2093" s="105"/>
      <c r="AX2093" s="105"/>
      <c r="AY2093" s="105"/>
      <c r="AZ2093" s="105"/>
      <c r="BA2093" s="105"/>
    </row>
    <row r="2094" spans="1:56" ht="15.75" hidden="1" customHeight="1" outlineLevel="1">
      <c r="A2094" s="441"/>
      <c r="B2094" s="99"/>
      <c r="C2094" s="99"/>
      <c r="D2094" s="99"/>
      <c r="E2094" s="99"/>
      <c r="F2094" s="99"/>
      <c r="G2094" s="99"/>
      <c r="H2094" s="99"/>
      <c r="I2094" s="99"/>
      <c r="J2094" s="99"/>
      <c r="K2094" s="99"/>
      <c r="L2094" s="99"/>
      <c r="M2094" s="99"/>
      <c r="N2094" s="99"/>
      <c r="O2094" s="99"/>
      <c r="P2094" s="99"/>
      <c r="Q2094" s="99"/>
      <c r="R2094" s="99"/>
      <c r="S2094" s="99"/>
      <c r="T2094" s="99"/>
      <c r="U2094" s="99"/>
      <c r="V2094" s="99"/>
      <c r="W2094" s="105"/>
      <c r="X2094" s="105"/>
      <c r="Y2094" s="105"/>
      <c r="Z2094" s="105"/>
      <c r="AA2094" s="105"/>
      <c r="AB2094" s="105"/>
      <c r="AC2094" s="105"/>
      <c r="AD2094" s="105">
        <f>IF($AD$2010&gt;0,PPMT('Assumptions (Biomass)'!$V$6,Model!W$1,'Assumptions (Biomass)'!$V$9,'Assumptions (Biomass)'!$V$4*Model!$AD$2010*AVERAGE('Assumptions (Biomass)'!$Z$2:$AB$2)/10^9),0)</f>
        <v>0</v>
      </c>
      <c r="AE2094" s="105">
        <f>IF($AD$2010&gt;0,PPMT('Assumptions (Biomass)'!$V$6,Model!X$1,'Assumptions (Biomass)'!$V$9,'Assumptions (Biomass)'!$V$4*Model!$AD$2010*AVERAGE('Assumptions (Biomass)'!$Z$2:$AB$2)/10^9),0)</f>
        <v>0</v>
      </c>
      <c r="AF2094" s="105">
        <f>IF($AD$2010&gt;0,PPMT('Assumptions (Biomass)'!$V$6,Model!Y$1,'Assumptions (Biomass)'!$V$9,'Assumptions (Biomass)'!$V$4*Model!$AD$2010*AVERAGE('Assumptions (Biomass)'!$Z$2:$AB$2)/10^9),0)</f>
        <v>0</v>
      </c>
      <c r="AG2094" s="105">
        <f>IF($AD$2010&gt;0,PPMT('Assumptions (Biomass)'!$V$6,Model!Z$1,'Assumptions (Biomass)'!$V$9,'Assumptions (Biomass)'!$V$4*Model!$AD$2010*AVERAGE('Assumptions (Biomass)'!$Z$2:$AB$2)/10^9),0)</f>
        <v>0</v>
      </c>
      <c r="AH2094" s="105">
        <f>IF($AD$2010&gt;0,PPMT('Assumptions (Biomass)'!$V$6,Model!AA$1,'Assumptions (Biomass)'!$V$9,'Assumptions (Biomass)'!$V$4*Model!$AD$2010*AVERAGE('Assumptions (Biomass)'!$Z$2:$AB$2)/10^9),0)</f>
        <v>0</v>
      </c>
      <c r="AI2094" s="105">
        <f>IF($AD$2010&gt;0,PPMT('Assumptions (Biomass)'!$V$6,Model!AB$1,'Assumptions (Biomass)'!$V$9,'Assumptions (Biomass)'!$V$4*Model!$AD$2010*AVERAGE('Assumptions (Biomass)'!$Z$2:$AB$2)/10^9),0)</f>
        <v>0</v>
      </c>
      <c r="AJ2094" s="105">
        <f>IF($AD$2010&gt;0,PPMT('Assumptions (Biomass)'!$V$6,Model!AC$1,'Assumptions (Biomass)'!$V$9,'Assumptions (Biomass)'!$V$4*Model!$AD$2010*AVERAGE('Assumptions (Biomass)'!$Z$2:$AB$2)/10^9),0)</f>
        <v>0</v>
      </c>
      <c r="AK2094" s="105">
        <f>IF($AD$2010&gt;0,PPMT('Assumptions (Biomass)'!$V$6,Model!AD$1,'Assumptions (Biomass)'!$V$9,'Assumptions (Biomass)'!$V$4*Model!$AD$2010*AVERAGE('Assumptions (Biomass)'!$Z$2:$AB$2)/10^9),0)</f>
        <v>0</v>
      </c>
      <c r="AL2094" s="105">
        <f>IF($AD$2010&gt;0,PPMT('Assumptions (Biomass)'!$V$6,Model!AE$1,'Assumptions (Biomass)'!$V$9,'Assumptions (Biomass)'!$V$4*Model!$AD$2010*AVERAGE('Assumptions (Biomass)'!$Z$2:$AB$2)/10^9),0)</f>
        <v>0</v>
      </c>
      <c r="AM2094" s="105">
        <f>IF($AD$2010&gt;0,PPMT('Assumptions (Biomass)'!$V$6,Model!AF$1,'Assumptions (Biomass)'!$V$9,'Assumptions (Biomass)'!$V$4*Model!$AD$2010*AVERAGE('Assumptions (Biomass)'!$Z$2:$AB$2)/10^9),0)</f>
        <v>0</v>
      </c>
      <c r="AN2094" s="105">
        <f>IF($AD$2010&gt;0,PPMT('Assumptions (Biomass)'!$V$6,Model!AG$1,'Assumptions (Biomass)'!$V$9,'Assumptions (Biomass)'!$V$4*Model!$AD$2010*AVERAGE('Assumptions (Biomass)'!$Z$2:$AB$2)/10^9),0)</f>
        <v>0</v>
      </c>
      <c r="AO2094" s="105">
        <f>IF($AD$2010&gt;0,PPMT('Assumptions (Biomass)'!$V$6,Model!AH$1,'Assumptions (Biomass)'!$V$9,'Assumptions (Biomass)'!$V$4*Model!$AD$2010*AVERAGE('Assumptions (Biomass)'!$Z$2:$AB$2)/10^9),0)</f>
        <v>0</v>
      </c>
      <c r="AP2094" s="105">
        <f>IF($AD$2010&gt;0,PPMT('Assumptions (Biomass)'!$V$6,Model!AI$1,'Assumptions (Biomass)'!$V$9,'Assumptions (Biomass)'!$V$4*Model!$AD$2010*AVERAGE('Assumptions (Biomass)'!$Z$2:$AB$2)/10^9),0)</f>
        <v>0</v>
      </c>
      <c r="AQ2094" s="105">
        <f>IF($AD$2010&gt;0,PPMT('Assumptions (Biomass)'!$V$6,Model!AJ$1,'Assumptions (Biomass)'!$V$9,'Assumptions (Biomass)'!$V$4*Model!$AD$2010*AVERAGE('Assumptions (Biomass)'!$Z$2:$AB$2)/10^9),0)</f>
        <v>0</v>
      </c>
      <c r="AR2094" s="105">
        <f>IF($AD$2010&gt;0,PPMT('Assumptions (Biomass)'!$V$6,Model!AK$1,'Assumptions (Biomass)'!$V$9,'Assumptions (Biomass)'!$V$4*Model!$AD$2010*AVERAGE('Assumptions (Biomass)'!$Z$2:$AB$2)/10^9),0)</f>
        <v>0</v>
      </c>
      <c r="AS2094" s="105"/>
      <c r="AT2094" s="105"/>
      <c r="AU2094" s="105"/>
      <c r="AV2094" s="105"/>
      <c r="AW2094" s="105"/>
      <c r="AX2094" s="105"/>
      <c r="AY2094" s="105"/>
      <c r="AZ2094" s="105"/>
      <c r="BA2094" s="105"/>
      <c r="BB2094" s="105"/>
    </row>
    <row r="2095" spans="1:56" ht="15.75" hidden="1" customHeight="1" outlineLevel="1">
      <c r="A2095" s="441"/>
      <c r="B2095" s="99"/>
      <c r="C2095" s="99"/>
      <c r="D2095" s="99"/>
      <c r="E2095" s="99"/>
      <c r="F2095" s="99"/>
      <c r="G2095" s="99"/>
      <c r="H2095" s="99"/>
      <c r="I2095" s="99"/>
      <c r="J2095" s="99"/>
      <c r="K2095" s="99"/>
      <c r="L2095" s="99"/>
      <c r="M2095" s="99"/>
      <c r="N2095" s="99"/>
      <c r="O2095" s="99"/>
      <c r="P2095" s="99"/>
      <c r="Q2095" s="99"/>
      <c r="R2095" s="99"/>
      <c r="S2095" s="99"/>
      <c r="T2095" s="99"/>
      <c r="U2095" s="99"/>
      <c r="V2095" s="99"/>
      <c r="W2095" s="105"/>
      <c r="X2095" s="105"/>
      <c r="Y2095" s="105"/>
      <c r="Z2095" s="105"/>
      <c r="AA2095" s="105"/>
      <c r="AB2095" s="105"/>
      <c r="AC2095" s="105"/>
      <c r="AD2095" s="105"/>
      <c r="AE2095" s="105">
        <f>IF($AE$2010&gt;0,PPMT('Assumptions (Biomass)'!$V$6,Model!W$1,'Assumptions (Biomass)'!$V$9,'Assumptions (Biomass)'!$V$4*Model!$AE$2010*AVERAGE('Assumptions (Biomass)'!$AA$2:$AC$2)/10^9),0)</f>
        <v>0</v>
      </c>
      <c r="AF2095" s="105">
        <f>IF($AE$2010&gt;0,PPMT('Assumptions (Biomass)'!$V$6,Model!X$1,'Assumptions (Biomass)'!$V$9,'Assumptions (Biomass)'!$V$4*Model!$AE$2010*AVERAGE('Assumptions (Biomass)'!$AA$2:$AC$2)/10^9),0)</f>
        <v>0</v>
      </c>
      <c r="AG2095" s="105">
        <f>IF($AE$2010&gt;0,PPMT('Assumptions (Biomass)'!$V$6,Model!Y$1,'Assumptions (Biomass)'!$V$9,'Assumptions (Biomass)'!$V$4*Model!$AE$2010*AVERAGE('Assumptions (Biomass)'!$AA$2:$AC$2)/10^9),0)</f>
        <v>0</v>
      </c>
      <c r="AH2095" s="105">
        <f>IF($AE$2010&gt;0,PPMT('Assumptions (Biomass)'!$V$6,Model!Z$1,'Assumptions (Biomass)'!$V$9,'Assumptions (Biomass)'!$V$4*Model!$AE$2010*AVERAGE('Assumptions (Biomass)'!$AA$2:$AC$2)/10^9),0)</f>
        <v>0</v>
      </c>
      <c r="AI2095" s="105">
        <f>IF($AE$2010&gt;0,PPMT('Assumptions (Biomass)'!$V$6,Model!AA$1,'Assumptions (Biomass)'!$V$9,'Assumptions (Biomass)'!$V$4*Model!$AE$2010*AVERAGE('Assumptions (Biomass)'!$AA$2:$AC$2)/10^9),0)</f>
        <v>0</v>
      </c>
      <c r="AJ2095" s="105">
        <f>IF($AE$2010&gt;0,PPMT('Assumptions (Biomass)'!$V$6,Model!AB$1,'Assumptions (Biomass)'!$V$9,'Assumptions (Biomass)'!$V$4*Model!$AE$2010*AVERAGE('Assumptions (Biomass)'!$AA$2:$AC$2)/10^9),0)</f>
        <v>0</v>
      </c>
      <c r="AK2095" s="105">
        <f>IF($AE$2010&gt;0,PPMT('Assumptions (Biomass)'!$V$6,Model!AC$1,'Assumptions (Biomass)'!$V$9,'Assumptions (Biomass)'!$V$4*Model!$AE$2010*AVERAGE('Assumptions (Biomass)'!$AA$2:$AC$2)/10^9),0)</f>
        <v>0</v>
      </c>
      <c r="AL2095" s="105">
        <f>IF($AE$2010&gt;0,PPMT('Assumptions (Biomass)'!$V$6,Model!AD$1,'Assumptions (Biomass)'!$V$9,'Assumptions (Biomass)'!$V$4*Model!$AE$2010*AVERAGE('Assumptions (Biomass)'!$AA$2:$AC$2)/10^9),0)</f>
        <v>0</v>
      </c>
      <c r="AM2095" s="105">
        <f>IF($AE$2010&gt;0,PPMT('Assumptions (Biomass)'!$V$6,Model!AE$1,'Assumptions (Biomass)'!$V$9,'Assumptions (Biomass)'!$V$4*Model!$AE$2010*AVERAGE('Assumptions (Biomass)'!$AA$2:$AC$2)/10^9),0)</f>
        <v>0</v>
      </c>
      <c r="AN2095" s="105">
        <f>IF($AE$2010&gt;0,PPMT('Assumptions (Biomass)'!$V$6,Model!AF$1,'Assumptions (Biomass)'!$V$9,'Assumptions (Biomass)'!$V$4*Model!$AE$2010*AVERAGE('Assumptions (Biomass)'!$AA$2:$AC$2)/10^9),0)</f>
        <v>0</v>
      </c>
      <c r="AO2095" s="105">
        <f>IF($AE$2010&gt;0,PPMT('Assumptions (Biomass)'!$V$6,Model!AG$1,'Assumptions (Biomass)'!$V$9,'Assumptions (Biomass)'!$V$4*Model!$AE$2010*AVERAGE('Assumptions (Biomass)'!$AA$2:$AC$2)/10^9),0)</f>
        <v>0</v>
      </c>
      <c r="AP2095" s="105">
        <f>IF($AE$2010&gt;0,PPMT('Assumptions (Biomass)'!$V$6,Model!AH$1,'Assumptions (Biomass)'!$V$9,'Assumptions (Biomass)'!$V$4*Model!$AE$2010*AVERAGE('Assumptions (Biomass)'!$AA$2:$AC$2)/10^9),0)</f>
        <v>0</v>
      </c>
      <c r="AQ2095" s="105">
        <f>IF($AE$2010&gt;0,PPMT('Assumptions (Biomass)'!$V$6,Model!AI$1,'Assumptions (Biomass)'!$V$9,'Assumptions (Biomass)'!$V$4*Model!$AE$2010*AVERAGE('Assumptions (Biomass)'!$AA$2:$AC$2)/10^9),0)</f>
        <v>0</v>
      </c>
      <c r="AR2095" s="105">
        <f>IF($AE$2010&gt;0,PPMT('Assumptions (Biomass)'!$V$6,Model!AJ$1,'Assumptions (Biomass)'!$V$9,'Assumptions (Biomass)'!$V$4*Model!$AE$2010*AVERAGE('Assumptions (Biomass)'!$AA$2:$AC$2)/10^9),0)</f>
        <v>0</v>
      </c>
      <c r="AS2095" s="105">
        <f>IF($AE$2010&gt;0,PPMT('Assumptions (Biomass)'!$V$6,Model!AK$1,'Assumptions (Biomass)'!$V$9,'Assumptions (Biomass)'!$V$4*Model!$AE$2010*AVERAGE('Assumptions (Biomass)'!$AA$2:$AC$2)/10^9),0)</f>
        <v>0</v>
      </c>
      <c r="AT2095" s="105"/>
      <c r="AU2095" s="105"/>
      <c r="AV2095" s="105"/>
      <c r="AW2095" s="105"/>
      <c r="AX2095" s="105"/>
      <c r="AY2095" s="105"/>
      <c r="AZ2095" s="105"/>
      <c r="BA2095" s="105"/>
      <c r="BB2095" s="105"/>
      <c r="BC2095" s="105"/>
    </row>
    <row r="2096" spans="1:56" ht="15.75" hidden="1" customHeight="1" outlineLevel="1">
      <c r="A2096" s="441"/>
      <c r="B2096" s="99"/>
      <c r="C2096" s="99"/>
      <c r="D2096" s="99"/>
      <c r="E2096" s="99"/>
      <c r="F2096" s="99"/>
      <c r="G2096" s="99"/>
      <c r="H2096" s="99"/>
      <c r="I2096" s="99"/>
      <c r="J2096" s="99"/>
      <c r="K2096" s="99"/>
      <c r="L2096" s="99"/>
      <c r="M2096" s="99"/>
      <c r="N2096" s="99"/>
      <c r="O2096" s="99"/>
      <c r="P2096" s="99"/>
      <c r="Q2096" s="99"/>
      <c r="R2096" s="99"/>
      <c r="S2096" s="99"/>
      <c r="T2096" s="99"/>
      <c r="U2096" s="99"/>
      <c r="V2096" s="99"/>
      <c r="W2096" s="105"/>
      <c r="X2096" s="105"/>
      <c r="Y2096" s="105"/>
      <c r="Z2096" s="105"/>
      <c r="AA2096" s="105"/>
      <c r="AB2096" s="105"/>
      <c r="AC2096" s="105"/>
      <c r="AD2096" s="105"/>
      <c r="AE2096" s="105"/>
      <c r="AF2096" s="105">
        <f>IF($AF$2010&gt;0,PPMT('Assumptions (Biomass)'!$V$6,Model!W$1,'Assumptions (Biomass)'!$V$9,'Assumptions (Biomass)'!$V$4*Model!$AF$2010*AVERAGE('Assumptions (Biomass)'!$AB$2:$AD$2)/10^9),0)</f>
        <v>0</v>
      </c>
      <c r="AG2096" s="105">
        <f>IF($AF$2010&gt;0,PPMT('Assumptions (Biomass)'!$V$6,Model!X$1,'Assumptions (Biomass)'!$V$9,'Assumptions (Biomass)'!$V$4*Model!$AF$2010*AVERAGE('Assumptions (Biomass)'!$AB$2:$AD$2)/10^9),0)</f>
        <v>0</v>
      </c>
      <c r="AH2096" s="105">
        <f>IF($AF$2010&gt;0,PPMT('Assumptions (Biomass)'!$V$6,Model!Y$1,'Assumptions (Biomass)'!$V$9,'Assumptions (Biomass)'!$V$4*Model!$AF$2010*AVERAGE('Assumptions (Biomass)'!$AB$2:$AD$2)/10^9),0)</f>
        <v>0</v>
      </c>
      <c r="AI2096" s="105">
        <f>IF($AF$2010&gt;0,PPMT('Assumptions (Biomass)'!$V$6,Model!Z$1,'Assumptions (Biomass)'!$V$9,'Assumptions (Biomass)'!$V$4*Model!$AF$2010*AVERAGE('Assumptions (Biomass)'!$AB$2:$AD$2)/10^9),0)</f>
        <v>0</v>
      </c>
      <c r="AJ2096" s="105">
        <f>IF($AF$2010&gt;0,PPMT('Assumptions (Biomass)'!$V$6,Model!AA$1,'Assumptions (Biomass)'!$V$9,'Assumptions (Biomass)'!$V$4*Model!$AF$2010*AVERAGE('Assumptions (Biomass)'!$AB$2:$AD$2)/10^9),0)</f>
        <v>0</v>
      </c>
      <c r="AK2096" s="105">
        <f>IF($AF$2010&gt;0,PPMT('Assumptions (Biomass)'!$V$6,Model!AB$1,'Assumptions (Biomass)'!$V$9,'Assumptions (Biomass)'!$V$4*Model!$AF$2010*AVERAGE('Assumptions (Biomass)'!$AB$2:$AD$2)/10^9),0)</f>
        <v>0</v>
      </c>
      <c r="AL2096" s="105">
        <f>IF($AF$2010&gt;0,PPMT('Assumptions (Biomass)'!$V$6,Model!AC$1,'Assumptions (Biomass)'!$V$9,'Assumptions (Biomass)'!$V$4*Model!$AF$2010*AVERAGE('Assumptions (Biomass)'!$AB$2:$AD$2)/10^9),0)</f>
        <v>0</v>
      </c>
      <c r="AM2096" s="105">
        <f>IF($AF$2010&gt;0,PPMT('Assumptions (Biomass)'!$V$6,Model!AD$1,'Assumptions (Biomass)'!$V$9,'Assumptions (Biomass)'!$V$4*Model!$AF$2010*AVERAGE('Assumptions (Biomass)'!$AB$2:$AD$2)/10^9),0)</f>
        <v>0</v>
      </c>
      <c r="AN2096" s="105">
        <f>IF($AF$2010&gt;0,PPMT('Assumptions (Biomass)'!$V$6,Model!AE$1,'Assumptions (Biomass)'!$V$9,'Assumptions (Biomass)'!$V$4*Model!$AF$2010*AVERAGE('Assumptions (Biomass)'!$AB$2:$AD$2)/10^9),0)</f>
        <v>0</v>
      </c>
      <c r="AO2096" s="105">
        <f>IF($AF$2010&gt;0,PPMT('Assumptions (Biomass)'!$V$6,Model!AF$1,'Assumptions (Biomass)'!$V$9,'Assumptions (Biomass)'!$V$4*Model!$AF$2010*AVERAGE('Assumptions (Biomass)'!$AB$2:$AD$2)/10^9),0)</f>
        <v>0</v>
      </c>
      <c r="AP2096" s="105">
        <f>IF($AF$2010&gt;0,PPMT('Assumptions (Biomass)'!$V$6,Model!AG$1,'Assumptions (Biomass)'!$V$9,'Assumptions (Biomass)'!$V$4*Model!$AF$2010*AVERAGE('Assumptions (Biomass)'!$AB$2:$AD$2)/10^9),0)</f>
        <v>0</v>
      </c>
      <c r="AQ2096" s="105">
        <f>IF($AF$2010&gt;0,PPMT('Assumptions (Biomass)'!$V$6,Model!AH$1,'Assumptions (Biomass)'!$V$9,'Assumptions (Biomass)'!$V$4*Model!$AF$2010*AVERAGE('Assumptions (Biomass)'!$AB$2:$AD$2)/10^9),0)</f>
        <v>0</v>
      </c>
      <c r="AR2096" s="105">
        <f>IF($AF$2010&gt;0,PPMT('Assumptions (Biomass)'!$V$6,Model!AI$1,'Assumptions (Biomass)'!$V$9,'Assumptions (Biomass)'!$V$4*Model!$AF$2010*AVERAGE('Assumptions (Biomass)'!$AB$2:$AD$2)/10^9),0)</f>
        <v>0</v>
      </c>
      <c r="AS2096" s="105">
        <f>IF($AF$2010&gt;0,PPMT('Assumptions (Biomass)'!$V$6,Model!AJ$1,'Assumptions (Biomass)'!$V$9,'Assumptions (Biomass)'!$V$4*Model!$AF$2010*AVERAGE('Assumptions (Biomass)'!$AB$2:$AD$2)/10^9),0)</f>
        <v>0</v>
      </c>
      <c r="AT2096" s="105">
        <f>IF($AF$2010&gt;0,PPMT('Assumptions (Biomass)'!$V$6,Model!AK$1,'Assumptions (Biomass)'!$V$9,'Assumptions (Biomass)'!$V$4*Model!$AF$2010*AVERAGE('Assumptions (Biomass)'!$AB$2:$AD$2)/10^9),0)</f>
        <v>0</v>
      </c>
      <c r="AU2096" s="105"/>
      <c r="AV2096" s="105"/>
      <c r="AW2096" s="105"/>
      <c r="AX2096" s="105"/>
      <c r="AY2096" s="105"/>
      <c r="AZ2096" s="105"/>
      <c r="BA2096" s="105"/>
      <c r="BB2096" s="105"/>
      <c r="BC2096" s="105"/>
      <c r="BD2096" s="105"/>
    </row>
    <row r="2097" spans="1:68" ht="15.75" hidden="1" customHeight="1" outlineLevel="1">
      <c r="A2097" s="441"/>
      <c r="B2097" s="99"/>
      <c r="C2097" s="99"/>
      <c r="D2097" s="99"/>
      <c r="E2097" s="99"/>
      <c r="F2097" s="99"/>
      <c r="G2097" s="99"/>
      <c r="H2097" s="99"/>
      <c r="I2097" s="99"/>
      <c r="J2097" s="99"/>
      <c r="K2097" s="99"/>
      <c r="L2097" s="99"/>
      <c r="M2097" s="99"/>
      <c r="N2097" s="99"/>
      <c r="O2097" s="99"/>
      <c r="P2097" s="99"/>
      <c r="Q2097" s="99"/>
      <c r="R2097" s="99"/>
      <c r="S2097" s="99"/>
      <c r="T2097" s="99"/>
      <c r="U2097" s="99"/>
      <c r="V2097" s="99"/>
      <c r="W2097" s="105"/>
      <c r="X2097" s="105"/>
      <c r="Y2097" s="105"/>
      <c r="Z2097" s="105"/>
      <c r="AA2097" s="105"/>
      <c r="AB2097" s="105"/>
      <c r="AC2097" s="105"/>
      <c r="AD2097" s="105"/>
      <c r="AE2097" s="105"/>
      <c r="AF2097" s="105"/>
      <c r="AG2097" s="105">
        <f>IF($AG$2010&gt;0,PPMT('Assumptions (Biomass)'!$V$6,Model!W$1,'Assumptions (Biomass)'!$V$9,'Assumptions (Biomass)'!$V$4*Model!$AG$2010*AVERAGE('Assumptions (Biomass)'!$AC$2:$AE$2)/10^9),0)</f>
        <v>0</v>
      </c>
      <c r="AH2097" s="105">
        <f>IF($AG$2010&gt;0,PPMT('Assumptions (Biomass)'!$V$6,Model!X$1,'Assumptions (Biomass)'!$V$9,'Assumptions (Biomass)'!$V$4*Model!$AG$2010*AVERAGE('Assumptions (Biomass)'!$AC$2:$AE$2)/10^9),0)</f>
        <v>0</v>
      </c>
      <c r="AI2097" s="105">
        <f>IF($AG$2010&gt;0,PPMT('Assumptions (Biomass)'!$V$6,Model!Y$1,'Assumptions (Biomass)'!$V$9,'Assumptions (Biomass)'!$V$4*Model!$AG$2010*AVERAGE('Assumptions (Biomass)'!$AC$2:$AE$2)/10^9),0)</f>
        <v>0</v>
      </c>
      <c r="AJ2097" s="105">
        <f>IF($AG$2010&gt;0,PPMT('Assumptions (Biomass)'!$V$6,Model!Z$1,'Assumptions (Biomass)'!$V$9,'Assumptions (Biomass)'!$V$4*Model!$AG$2010*AVERAGE('Assumptions (Biomass)'!$AC$2:$AE$2)/10^9),0)</f>
        <v>0</v>
      </c>
      <c r="AK2097" s="105">
        <f>IF($AG$2010&gt;0,PPMT('Assumptions (Biomass)'!$V$6,Model!AA$1,'Assumptions (Biomass)'!$V$9,'Assumptions (Biomass)'!$V$4*Model!$AG$2010*AVERAGE('Assumptions (Biomass)'!$AC$2:$AE$2)/10^9),0)</f>
        <v>0</v>
      </c>
      <c r="AL2097" s="105">
        <f>IF($AG$2010&gt;0,PPMT('Assumptions (Biomass)'!$V$6,Model!AB$1,'Assumptions (Biomass)'!$V$9,'Assumptions (Biomass)'!$V$4*Model!$AG$2010*AVERAGE('Assumptions (Biomass)'!$AC$2:$AE$2)/10^9),0)</f>
        <v>0</v>
      </c>
      <c r="AM2097" s="105">
        <f>IF($AG$2010&gt;0,PPMT('Assumptions (Biomass)'!$V$6,Model!AC$1,'Assumptions (Biomass)'!$V$9,'Assumptions (Biomass)'!$V$4*Model!$AG$2010*AVERAGE('Assumptions (Biomass)'!$AC$2:$AE$2)/10^9),0)</f>
        <v>0</v>
      </c>
      <c r="AN2097" s="105">
        <f>IF($AG$2010&gt;0,PPMT('Assumptions (Biomass)'!$V$6,Model!AD$1,'Assumptions (Biomass)'!$V$9,'Assumptions (Biomass)'!$V$4*Model!$AG$2010*AVERAGE('Assumptions (Biomass)'!$AC$2:$AE$2)/10^9),0)</f>
        <v>0</v>
      </c>
      <c r="AO2097" s="105">
        <f>IF($AG$2010&gt;0,PPMT('Assumptions (Biomass)'!$V$6,Model!AE$1,'Assumptions (Biomass)'!$V$9,'Assumptions (Biomass)'!$V$4*Model!$AG$2010*AVERAGE('Assumptions (Biomass)'!$AC$2:$AE$2)/10^9),0)</f>
        <v>0</v>
      </c>
      <c r="AP2097" s="105">
        <f>IF($AG$2010&gt;0,PPMT('Assumptions (Biomass)'!$V$6,Model!AF$1,'Assumptions (Biomass)'!$V$9,'Assumptions (Biomass)'!$V$4*Model!$AG$2010*AVERAGE('Assumptions (Biomass)'!$AC$2:$AE$2)/10^9),0)</f>
        <v>0</v>
      </c>
      <c r="AQ2097" s="105">
        <f>IF($AG$2010&gt;0,PPMT('Assumptions (Biomass)'!$V$6,Model!AG$1,'Assumptions (Biomass)'!$V$9,'Assumptions (Biomass)'!$V$4*Model!$AG$2010*AVERAGE('Assumptions (Biomass)'!$AC$2:$AE$2)/10^9),0)</f>
        <v>0</v>
      </c>
      <c r="AR2097" s="105">
        <f>IF($AG$2010&gt;0,PPMT('Assumptions (Biomass)'!$V$6,Model!AH$1,'Assumptions (Biomass)'!$V$9,'Assumptions (Biomass)'!$V$4*Model!$AG$2010*AVERAGE('Assumptions (Biomass)'!$AC$2:$AE$2)/10^9),0)</f>
        <v>0</v>
      </c>
      <c r="AS2097" s="105">
        <f>IF($AG$2010&gt;0,PPMT('Assumptions (Biomass)'!$V$6,Model!AI$1,'Assumptions (Biomass)'!$V$9,'Assumptions (Biomass)'!$V$4*Model!$AG$2010*AVERAGE('Assumptions (Biomass)'!$AC$2:$AE$2)/10^9),0)</f>
        <v>0</v>
      </c>
      <c r="AT2097" s="105">
        <f>IF($AG$2010&gt;0,PPMT('Assumptions (Biomass)'!$V$6,Model!AJ$1,'Assumptions (Biomass)'!$V$9,'Assumptions (Biomass)'!$V$4*Model!$AG$2010*AVERAGE('Assumptions (Biomass)'!$AC$2:$AE$2)/10^9),0)</f>
        <v>0</v>
      </c>
      <c r="AU2097" s="105">
        <f>IF($AG$2010&gt;0,PPMT('Assumptions (Biomass)'!$V$6,Model!AK$1,'Assumptions (Biomass)'!$V$9,'Assumptions (Biomass)'!$V$4*Model!$AG$2010*AVERAGE('Assumptions (Biomass)'!$AC$2:$AE$2)/10^9),0)</f>
        <v>0</v>
      </c>
      <c r="AV2097" s="105"/>
      <c r="AW2097" s="105"/>
      <c r="AX2097" s="105"/>
      <c r="AY2097" s="105"/>
      <c r="AZ2097" s="105"/>
      <c r="BA2097" s="105"/>
      <c r="BB2097" s="105"/>
      <c r="BC2097" s="105"/>
      <c r="BD2097" s="105"/>
      <c r="BE2097" s="105"/>
    </row>
    <row r="2098" spans="1:68" ht="15.75" hidden="1" customHeight="1" outlineLevel="1">
      <c r="A2098" s="441"/>
      <c r="B2098" s="99"/>
      <c r="C2098" s="99"/>
      <c r="D2098" s="99"/>
      <c r="E2098" s="99"/>
      <c r="F2098" s="99"/>
      <c r="G2098" s="99"/>
      <c r="H2098" s="99"/>
      <c r="I2098" s="99"/>
      <c r="J2098" s="99"/>
      <c r="K2098" s="99"/>
      <c r="L2098" s="99"/>
      <c r="M2098" s="99"/>
      <c r="N2098" s="99"/>
      <c r="O2098" s="99"/>
      <c r="P2098" s="99"/>
      <c r="Q2098" s="99"/>
      <c r="R2098" s="99"/>
      <c r="S2098" s="99"/>
      <c r="T2098" s="99"/>
      <c r="U2098" s="99"/>
      <c r="V2098" s="99"/>
      <c r="W2098" s="105"/>
      <c r="X2098" s="105"/>
      <c r="Y2098" s="105"/>
      <c r="Z2098" s="105"/>
      <c r="AA2098" s="105"/>
      <c r="AB2098" s="105"/>
      <c r="AC2098" s="105"/>
      <c r="AD2098" s="105"/>
      <c r="AE2098" s="105"/>
      <c r="AF2098" s="105"/>
      <c r="AG2098" s="105"/>
      <c r="AH2098" s="105">
        <f>IF($AH$2010&gt;0,PPMT('Assumptions (Biomass)'!$V$6,Model!W$1,'Assumptions (Biomass)'!$V$9,'Assumptions (Biomass)'!$V$4*Model!$AH$2010*AVERAGE('Assumptions (Biomass)'!$AD$2:$AF$2)/10^9),0)</f>
        <v>0</v>
      </c>
      <c r="AI2098" s="105">
        <f>IF($AH$2010&gt;0,PPMT('Assumptions (Biomass)'!$V$6,Model!X$1,'Assumptions (Biomass)'!$V$9,'Assumptions (Biomass)'!$V$4*Model!$AH$2010*AVERAGE('Assumptions (Biomass)'!$AD$2:$AF$2)/10^9),0)</f>
        <v>0</v>
      </c>
      <c r="AJ2098" s="105">
        <f>IF($AH$2010&gt;0,PPMT('Assumptions (Biomass)'!$V$6,Model!Y$1,'Assumptions (Biomass)'!$V$9,'Assumptions (Biomass)'!$V$4*Model!$AH$2010*AVERAGE('Assumptions (Biomass)'!$AD$2:$AF$2)/10^9),0)</f>
        <v>0</v>
      </c>
      <c r="AK2098" s="105">
        <f>IF($AH$2010&gt;0,PPMT('Assumptions (Biomass)'!$V$6,Model!Z$1,'Assumptions (Biomass)'!$V$9,'Assumptions (Biomass)'!$V$4*Model!$AH$2010*AVERAGE('Assumptions (Biomass)'!$AD$2:$AF$2)/10^9),0)</f>
        <v>0</v>
      </c>
      <c r="AL2098" s="105">
        <f>IF($AH$2010&gt;0,PPMT('Assumptions (Biomass)'!$V$6,Model!AA$1,'Assumptions (Biomass)'!$V$9,'Assumptions (Biomass)'!$V$4*Model!$AH$2010*AVERAGE('Assumptions (Biomass)'!$AD$2:$AF$2)/10^9),0)</f>
        <v>0</v>
      </c>
      <c r="AM2098" s="105">
        <f>IF($AH$2010&gt;0,PPMT('Assumptions (Biomass)'!$V$6,Model!AB$1,'Assumptions (Biomass)'!$V$9,'Assumptions (Biomass)'!$V$4*Model!$AH$2010*AVERAGE('Assumptions (Biomass)'!$AD$2:$AF$2)/10^9),0)</f>
        <v>0</v>
      </c>
      <c r="AN2098" s="105">
        <f>IF($AH$2010&gt;0,PPMT('Assumptions (Biomass)'!$V$6,Model!AC$1,'Assumptions (Biomass)'!$V$9,'Assumptions (Biomass)'!$V$4*Model!$AH$2010*AVERAGE('Assumptions (Biomass)'!$AD$2:$AF$2)/10^9),0)</f>
        <v>0</v>
      </c>
      <c r="AO2098" s="105">
        <f>IF($AH$2010&gt;0,PPMT('Assumptions (Biomass)'!$V$6,Model!AD$1,'Assumptions (Biomass)'!$V$9,'Assumptions (Biomass)'!$V$4*Model!$AH$2010*AVERAGE('Assumptions (Biomass)'!$AD$2:$AF$2)/10^9),0)</f>
        <v>0</v>
      </c>
      <c r="AP2098" s="105">
        <f>IF($AH$2010&gt;0,PPMT('Assumptions (Biomass)'!$V$6,Model!AE$1,'Assumptions (Biomass)'!$V$9,'Assumptions (Biomass)'!$V$4*Model!$AH$2010*AVERAGE('Assumptions (Biomass)'!$AD$2:$AF$2)/10^9),0)</f>
        <v>0</v>
      </c>
      <c r="AQ2098" s="105">
        <f>IF($AH$2010&gt;0,PPMT('Assumptions (Biomass)'!$V$6,Model!AF$1,'Assumptions (Biomass)'!$V$9,'Assumptions (Biomass)'!$V$4*Model!$AH$2010*AVERAGE('Assumptions (Biomass)'!$AD$2:$AF$2)/10^9),0)</f>
        <v>0</v>
      </c>
      <c r="AR2098" s="105">
        <f>IF($AH$2010&gt;0,PPMT('Assumptions (Biomass)'!$V$6,Model!AG$1,'Assumptions (Biomass)'!$V$9,'Assumptions (Biomass)'!$V$4*Model!$AH$2010*AVERAGE('Assumptions (Biomass)'!$AD$2:$AF$2)/10^9),0)</f>
        <v>0</v>
      </c>
      <c r="AS2098" s="105">
        <f>IF($AH$2010&gt;0,PPMT('Assumptions (Biomass)'!$V$6,Model!AH$1,'Assumptions (Biomass)'!$V$9,'Assumptions (Biomass)'!$V$4*Model!$AH$2010*AVERAGE('Assumptions (Biomass)'!$AD$2:$AF$2)/10^9),0)</f>
        <v>0</v>
      </c>
      <c r="AT2098" s="105">
        <f>IF($AH$2010&gt;0,PPMT('Assumptions (Biomass)'!$V$6,Model!AI$1,'Assumptions (Biomass)'!$V$9,'Assumptions (Biomass)'!$V$4*Model!$AH$2010*AVERAGE('Assumptions (Biomass)'!$AD$2:$AF$2)/10^9),0)</f>
        <v>0</v>
      </c>
      <c r="AU2098" s="105">
        <f>IF($AH$2010&gt;0,PPMT('Assumptions (Biomass)'!$V$6,Model!AJ$1,'Assumptions (Biomass)'!$V$9,'Assumptions (Biomass)'!$V$4*Model!$AH$2010*AVERAGE('Assumptions (Biomass)'!$AD$2:$AF$2)/10^9),0)</f>
        <v>0</v>
      </c>
      <c r="AV2098" s="105">
        <f>IF($AH$2010&gt;0,PPMT('Assumptions (Biomass)'!$V$6,Model!AK$1,'Assumptions (Biomass)'!$V$9,'Assumptions (Biomass)'!$V$4*Model!$AH$2010*AVERAGE('Assumptions (Biomass)'!$AD$2:$AF$2)/10^9),0)</f>
        <v>0</v>
      </c>
      <c r="AW2098" s="105"/>
      <c r="AX2098" s="105"/>
      <c r="AY2098" s="105"/>
      <c r="AZ2098" s="105"/>
      <c r="BA2098" s="105"/>
      <c r="BB2098" s="105"/>
      <c r="BC2098" s="105"/>
      <c r="BD2098" s="105"/>
      <c r="BE2098" s="105"/>
      <c r="BF2098" s="105"/>
    </row>
    <row r="2099" spans="1:68" ht="15.75" hidden="1" customHeight="1" outlineLevel="1">
      <c r="A2099" s="441"/>
      <c r="B2099" s="99"/>
      <c r="C2099" s="99"/>
      <c r="D2099" s="99"/>
      <c r="E2099" s="99"/>
      <c r="F2099" s="99"/>
      <c r="G2099" s="99"/>
      <c r="H2099" s="99"/>
      <c r="I2099" s="99"/>
      <c r="J2099" s="99"/>
      <c r="K2099" s="99"/>
      <c r="L2099" s="99"/>
      <c r="M2099" s="99"/>
      <c r="N2099" s="99"/>
      <c r="O2099" s="99"/>
      <c r="P2099" s="99"/>
      <c r="Q2099" s="99"/>
      <c r="R2099" s="99"/>
      <c r="S2099" s="99"/>
      <c r="T2099" s="99"/>
      <c r="U2099" s="99"/>
      <c r="V2099" s="99"/>
      <c r="W2099" s="105"/>
      <c r="X2099" s="105"/>
      <c r="Y2099" s="105"/>
      <c r="Z2099" s="105"/>
      <c r="AA2099" s="105"/>
      <c r="AB2099" s="105"/>
      <c r="AC2099" s="105"/>
      <c r="AD2099" s="105"/>
      <c r="AE2099" s="105"/>
      <c r="AF2099" s="105"/>
      <c r="AG2099" s="105"/>
      <c r="AH2099" s="105"/>
      <c r="AI2099" s="105">
        <f>IF($AI$2010&gt;0,PPMT('Assumptions (Biomass)'!$V$6,Model!W$1,'Assumptions (Biomass)'!$V$9,'Assumptions (Biomass)'!$V$4*Model!$AI$2010*AVERAGE('Assumptions (Biomass)'!$AE$2:$AG$2)/10^9),0)</f>
        <v>0</v>
      </c>
      <c r="AJ2099" s="105">
        <f>IF($AI$2010&gt;0,PPMT('Assumptions (Biomass)'!$V$6,Model!X$1,'Assumptions (Biomass)'!$V$9,'Assumptions (Biomass)'!$V$4*Model!$AI$2010*AVERAGE('Assumptions (Biomass)'!$AE$2:$AG$2)/10^9),0)</f>
        <v>0</v>
      </c>
      <c r="AK2099" s="105">
        <f>IF($AI$2010&gt;0,PPMT('Assumptions (Biomass)'!$V$6,Model!Y$1,'Assumptions (Biomass)'!$V$9,'Assumptions (Biomass)'!$V$4*Model!$AI$2010*AVERAGE('Assumptions (Biomass)'!$AE$2:$AG$2)/10^9),0)</f>
        <v>0</v>
      </c>
      <c r="AL2099" s="105">
        <f>IF($AI$2010&gt;0,PPMT('Assumptions (Biomass)'!$V$6,Model!Z$1,'Assumptions (Biomass)'!$V$9,'Assumptions (Biomass)'!$V$4*Model!$AI$2010*AVERAGE('Assumptions (Biomass)'!$AE$2:$AG$2)/10^9),0)</f>
        <v>0</v>
      </c>
      <c r="AM2099" s="105">
        <f>IF($AI$2010&gt;0,PPMT('Assumptions (Biomass)'!$V$6,Model!AA$1,'Assumptions (Biomass)'!$V$9,'Assumptions (Biomass)'!$V$4*Model!$AI$2010*AVERAGE('Assumptions (Biomass)'!$AE$2:$AG$2)/10^9),0)</f>
        <v>0</v>
      </c>
      <c r="AN2099" s="105">
        <f>IF($AI$2010&gt;0,PPMT('Assumptions (Biomass)'!$V$6,Model!AB$1,'Assumptions (Biomass)'!$V$9,'Assumptions (Biomass)'!$V$4*Model!$AI$2010*AVERAGE('Assumptions (Biomass)'!$AE$2:$AG$2)/10^9),0)</f>
        <v>0</v>
      </c>
      <c r="AO2099" s="105">
        <f>IF($AI$2010&gt;0,PPMT('Assumptions (Biomass)'!$V$6,Model!AC$1,'Assumptions (Biomass)'!$V$9,'Assumptions (Biomass)'!$V$4*Model!$AI$2010*AVERAGE('Assumptions (Biomass)'!$AE$2:$AG$2)/10^9),0)</f>
        <v>0</v>
      </c>
      <c r="AP2099" s="105">
        <f>IF($AI$2010&gt;0,PPMT('Assumptions (Biomass)'!$V$6,Model!AD$1,'Assumptions (Biomass)'!$V$9,'Assumptions (Biomass)'!$V$4*Model!$AI$2010*AVERAGE('Assumptions (Biomass)'!$AE$2:$AG$2)/10^9),0)</f>
        <v>0</v>
      </c>
      <c r="AQ2099" s="105">
        <f>IF($AI$2010&gt;0,PPMT('Assumptions (Biomass)'!$V$6,Model!AE$1,'Assumptions (Biomass)'!$V$9,'Assumptions (Biomass)'!$V$4*Model!$AI$2010*AVERAGE('Assumptions (Biomass)'!$AE$2:$AG$2)/10^9),0)</f>
        <v>0</v>
      </c>
      <c r="AR2099" s="105">
        <f>IF($AI$2010&gt;0,PPMT('Assumptions (Biomass)'!$V$6,Model!AF$1,'Assumptions (Biomass)'!$V$9,'Assumptions (Biomass)'!$V$4*Model!$AI$2010*AVERAGE('Assumptions (Biomass)'!$AE$2:$AG$2)/10^9),0)</f>
        <v>0</v>
      </c>
      <c r="AS2099" s="105">
        <f>IF($AI$2010&gt;0,PPMT('Assumptions (Biomass)'!$V$6,Model!AG$1,'Assumptions (Biomass)'!$V$9,'Assumptions (Biomass)'!$V$4*Model!$AI$2010*AVERAGE('Assumptions (Biomass)'!$AE$2:$AG$2)/10^9),0)</f>
        <v>0</v>
      </c>
      <c r="AT2099" s="105">
        <f>IF($AI$2010&gt;0,PPMT('Assumptions (Biomass)'!$V$6,Model!AH$1,'Assumptions (Biomass)'!$V$9,'Assumptions (Biomass)'!$V$4*Model!$AI$2010*AVERAGE('Assumptions (Biomass)'!$AE$2:$AG$2)/10^9),0)</f>
        <v>0</v>
      </c>
      <c r="AU2099" s="105">
        <f>IF($AI$2010&gt;0,PPMT('Assumptions (Biomass)'!$V$6,Model!AI$1,'Assumptions (Biomass)'!$V$9,'Assumptions (Biomass)'!$V$4*Model!$AI$2010*AVERAGE('Assumptions (Biomass)'!$AE$2:$AG$2)/10^9),0)</f>
        <v>0</v>
      </c>
      <c r="AV2099" s="105">
        <f>IF($AI$2010&gt;0,PPMT('Assumptions (Biomass)'!$V$6,Model!AJ$1,'Assumptions (Biomass)'!$V$9,'Assumptions (Biomass)'!$V$4*Model!$AI$2010*AVERAGE('Assumptions (Biomass)'!$AE$2:$AG$2)/10^9),0)</f>
        <v>0</v>
      </c>
      <c r="AW2099" s="105">
        <f>IF($AI$2010&gt;0,PPMT('Assumptions (Biomass)'!$V$6,Model!AK$1,'Assumptions (Biomass)'!$V$9,'Assumptions (Biomass)'!$V$4*Model!$AI$2010*AVERAGE('Assumptions (Biomass)'!$AE$2:$AG$2)/10^9),0)</f>
        <v>0</v>
      </c>
      <c r="AX2099" s="105"/>
      <c r="AY2099" s="105"/>
      <c r="AZ2099" s="105"/>
      <c r="BA2099" s="105"/>
      <c r="BB2099" s="105"/>
      <c r="BC2099" s="105"/>
      <c r="BD2099" s="105"/>
      <c r="BE2099" s="105"/>
      <c r="BF2099" s="105"/>
      <c r="BG2099" s="105"/>
    </row>
    <row r="2100" spans="1:68" ht="15.75" hidden="1" customHeight="1" outlineLevel="1">
      <c r="A2100" s="441"/>
      <c r="B2100" s="99"/>
      <c r="C2100" s="99"/>
      <c r="D2100" s="99"/>
      <c r="E2100" s="99"/>
      <c r="F2100" s="99"/>
      <c r="G2100" s="99"/>
      <c r="H2100" s="99"/>
      <c r="I2100" s="99"/>
      <c r="J2100" s="99"/>
      <c r="K2100" s="99"/>
      <c r="L2100" s="99"/>
      <c r="M2100" s="99"/>
      <c r="N2100" s="99"/>
      <c r="O2100" s="99"/>
      <c r="P2100" s="99"/>
      <c r="Q2100" s="99"/>
      <c r="R2100" s="99"/>
      <c r="S2100" s="99"/>
      <c r="T2100" s="99"/>
      <c r="U2100" s="99"/>
      <c r="V2100" s="99"/>
      <c r="W2100" s="105"/>
      <c r="X2100" s="105"/>
      <c r="Y2100" s="105"/>
      <c r="Z2100" s="105"/>
      <c r="AA2100" s="105"/>
      <c r="AB2100" s="105"/>
      <c r="AC2100" s="105"/>
      <c r="AD2100" s="105"/>
      <c r="AE2100" s="105"/>
      <c r="AF2100" s="105"/>
      <c r="AG2100" s="105"/>
      <c r="AH2100" s="105"/>
      <c r="AI2100" s="105"/>
      <c r="AJ2100" s="91">
        <f>IF($AJ$2010&gt;0,PPMT('Assumptions (Biomass)'!$V$6,Model!W$1,'Assumptions (Biomass)'!$V$9,'Assumptions (Biomass)'!$V$4*Model!$AJ$2010*AVERAGE('Assumptions (Biomass)'!$AF$2:$AH$2)/10^9),0)</f>
        <v>0</v>
      </c>
      <c r="AK2100" s="91">
        <f>IF($AJ$2010&gt;0,PPMT('Assumptions (Biomass)'!$V$6,Model!X$1,'Assumptions (Biomass)'!$V$9,'Assumptions (Biomass)'!$V$4*Model!$AJ$2010*AVERAGE('Assumptions (Biomass)'!$AF$2:$AH$2)/10^9),0)</f>
        <v>0</v>
      </c>
      <c r="AL2100" s="91">
        <f>IF($AJ$2010&gt;0,PPMT('Assumptions (Biomass)'!$V$6,Model!Y$1,'Assumptions (Biomass)'!$V$9,'Assumptions (Biomass)'!$V$4*Model!$AJ$2010*AVERAGE('Assumptions (Biomass)'!$AF$2:$AH$2)/10^9),0)</f>
        <v>0</v>
      </c>
      <c r="AM2100" s="91">
        <f>IF($AJ$2010&gt;0,PPMT('Assumptions (Biomass)'!$V$6,Model!Z$1,'Assumptions (Biomass)'!$V$9,'Assumptions (Biomass)'!$V$4*Model!$AJ$2010*AVERAGE('Assumptions (Biomass)'!$AF$2:$AH$2)/10^9),0)</f>
        <v>0</v>
      </c>
      <c r="AN2100" s="91">
        <f>IF($AJ$2010&gt;0,PPMT('Assumptions (Biomass)'!$V$6,Model!AA$1,'Assumptions (Biomass)'!$V$9,'Assumptions (Biomass)'!$V$4*Model!$AJ$2010*AVERAGE('Assumptions (Biomass)'!$AF$2:$AH$2)/10^9),0)</f>
        <v>0</v>
      </c>
      <c r="AO2100" s="91">
        <f>IF($AJ$2010&gt;0,PPMT('Assumptions (Biomass)'!$V$6,Model!AB$1,'Assumptions (Biomass)'!$V$9,'Assumptions (Biomass)'!$V$4*Model!$AJ$2010*AVERAGE('Assumptions (Biomass)'!$AF$2:$AH$2)/10^9),0)</f>
        <v>0</v>
      </c>
      <c r="AP2100" s="91">
        <f>IF($AJ$2010&gt;0,PPMT('Assumptions (Biomass)'!$V$6,Model!AC$1,'Assumptions (Biomass)'!$V$9,'Assumptions (Biomass)'!$V$4*Model!$AJ$2010*AVERAGE('Assumptions (Biomass)'!$AF$2:$AH$2)/10^9),0)</f>
        <v>0</v>
      </c>
      <c r="AQ2100" s="91">
        <f>IF($AJ$2010&gt;0,PPMT('Assumptions (Biomass)'!$V$6,Model!AD$1,'Assumptions (Biomass)'!$V$9,'Assumptions (Biomass)'!$V$4*Model!$AJ$2010*AVERAGE('Assumptions (Biomass)'!$AF$2:$AH$2)/10^9),0)</f>
        <v>0</v>
      </c>
      <c r="AR2100" s="91">
        <f>IF($AJ$2010&gt;0,PPMT('Assumptions (Biomass)'!$V$6,Model!AE$1,'Assumptions (Biomass)'!$V$9,'Assumptions (Biomass)'!$V$4*Model!$AJ$2010*AVERAGE('Assumptions (Biomass)'!$AF$2:$AH$2)/10^9),0)</f>
        <v>0</v>
      </c>
      <c r="AS2100" s="91">
        <f>IF($AJ$2010&gt;0,PPMT('Assumptions (Biomass)'!$V$6,Model!AF$1,'Assumptions (Biomass)'!$V$9,'Assumptions (Biomass)'!$V$4*Model!$AJ$2010*AVERAGE('Assumptions (Biomass)'!$AF$2:$AH$2)/10^9),0)</f>
        <v>0</v>
      </c>
      <c r="AT2100" s="91">
        <f>IF($AJ$2010&gt;0,PPMT('Assumptions (Biomass)'!$V$6,Model!AG$1,'Assumptions (Biomass)'!$V$9,'Assumptions (Biomass)'!$V$4*Model!$AJ$2010*AVERAGE('Assumptions (Biomass)'!$AF$2:$AH$2)/10^9),0)</f>
        <v>0</v>
      </c>
      <c r="AU2100" s="91">
        <f>IF($AJ$2010&gt;0,PPMT('Assumptions (Biomass)'!$V$6,Model!AH$1,'Assumptions (Biomass)'!$V$9,'Assumptions (Biomass)'!$V$4*Model!$AJ$2010*AVERAGE('Assumptions (Biomass)'!$AF$2:$AH$2)/10^9),0)</f>
        <v>0</v>
      </c>
      <c r="AV2100" s="91">
        <f>IF($AJ$2010&gt;0,PPMT('Assumptions (Biomass)'!$V$6,Model!AI$1,'Assumptions (Biomass)'!$V$9,'Assumptions (Biomass)'!$V$4*Model!$AJ$2010*AVERAGE('Assumptions (Biomass)'!$AF$2:$AH$2)/10^9),0)</f>
        <v>0</v>
      </c>
      <c r="AW2100" s="91">
        <f>IF($AJ$2010&gt;0,PPMT('Assumptions (Biomass)'!$V$6,Model!AJ$1,'Assumptions (Biomass)'!$V$9,'Assumptions (Biomass)'!$V$4*Model!$AJ$2010*AVERAGE('Assumptions (Biomass)'!$AF$2:$AH$2)/10^9),0)</f>
        <v>0</v>
      </c>
      <c r="AX2100" s="91">
        <f>IF($AJ$2010&gt;0,PPMT('Assumptions (Biomass)'!$V$6,Model!AK$1,'Assumptions (Biomass)'!$V$9,'Assumptions (Biomass)'!$V$4*Model!$AJ$2010*AVERAGE('Assumptions (Biomass)'!$AF$2:$AH$2)/10^9),0)</f>
        <v>0</v>
      </c>
      <c r="AY2100" s="91"/>
      <c r="AZ2100" s="91"/>
      <c r="BA2100" s="91"/>
      <c r="BB2100" s="91"/>
      <c r="BC2100" s="91"/>
      <c r="BD2100" s="91"/>
      <c r="BE2100" s="91"/>
      <c r="BF2100" s="91"/>
      <c r="BG2100" s="91"/>
      <c r="BH2100" s="91"/>
    </row>
    <row r="2101" spans="1:68" ht="15.75" hidden="1" customHeight="1" outlineLevel="1">
      <c r="A2101" s="441"/>
      <c r="B2101" s="99"/>
      <c r="C2101" s="99"/>
      <c r="D2101" s="99"/>
      <c r="E2101" s="99"/>
      <c r="F2101" s="99"/>
      <c r="G2101" s="99"/>
      <c r="H2101" s="99"/>
      <c r="I2101" s="99"/>
      <c r="J2101" s="99"/>
      <c r="K2101" s="99"/>
      <c r="L2101" s="99"/>
      <c r="M2101" s="99"/>
      <c r="N2101" s="99"/>
      <c r="O2101" s="99"/>
      <c r="P2101" s="99"/>
      <c r="Q2101" s="99"/>
      <c r="R2101" s="99"/>
      <c r="S2101" s="99"/>
      <c r="T2101" s="99"/>
      <c r="U2101" s="99"/>
      <c r="V2101" s="99"/>
      <c r="W2101" s="105"/>
      <c r="X2101" s="105"/>
      <c r="Y2101" s="105"/>
      <c r="Z2101" s="105"/>
      <c r="AA2101" s="105"/>
      <c r="AB2101" s="105"/>
      <c r="AC2101" s="105"/>
      <c r="AD2101" s="105"/>
      <c r="AE2101" s="105"/>
      <c r="AF2101" s="105"/>
      <c r="AG2101" s="105"/>
      <c r="AH2101" s="105"/>
      <c r="AI2101" s="105"/>
      <c r="AJ2101" s="171"/>
      <c r="AK2101" s="105">
        <f>IF($AK$2010&gt;0,PPMT('Assumptions (Biomass)'!$V$6,Model!W$1,'Assumptions (Biomass)'!$V$9,'Assumptions (Biomass)'!$V$4*Model!$AK$2010*AVERAGE('Assumptions (Biomass)'!$AG$2:$AI$2)/10^9),0)</f>
        <v>0</v>
      </c>
      <c r="AL2101" s="105">
        <f>IF($AK$2010&gt;0,PPMT('Assumptions (Biomass)'!$V$6,Model!X$1,'Assumptions (Biomass)'!$V$9,'Assumptions (Biomass)'!$V$4*Model!$AK$2010*AVERAGE('Assumptions (Biomass)'!$AG$2:$AI$2)/10^9),0)</f>
        <v>0</v>
      </c>
      <c r="AM2101" s="105">
        <f>IF($AK$2010&gt;0,PPMT('Assumptions (Biomass)'!$V$6,Model!Y$1,'Assumptions (Biomass)'!$V$9,'Assumptions (Biomass)'!$V$4*Model!$AK$2010*AVERAGE('Assumptions (Biomass)'!$AG$2:$AI$2)/10^9),0)</f>
        <v>0</v>
      </c>
      <c r="AN2101" s="105">
        <f>IF($AK$2010&gt;0,PPMT('Assumptions (Biomass)'!$V$6,Model!Z$1,'Assumptions (Biomass)'!$V$9,'Assumptions (Biomass)'!$V$4*Model!$AK$2010*AVERAGE('Assumptions (Biomass)'!$AG$2:$AI$2)/10^9),0)</f>
        <v>0</v>
      </c>
      <c r="AO2101" s="105">
        <f>IF($AK$2010&gt;0,PPMT('Assumptions (Biomass)'!$V$6,Model!AA$1,'Assumptions (Biomass)'!$V$9,'Assumptions (Biomass)'!$V$4*Model!$AK$2010*AVERAGE('Assumptions (Biomass)'!$AG$2:$AI$2)/10^9),0)</f>
        <v>0</v>
      </c>
      <c r="AP2101" s="105">
        <f>IF($AK$2010&gt;0,PPMT('Assumptions (Biomass)'!$V$6,Model!AB$1,'Assumptions (Biomass)'!$V$9,'Assumptions (Biomass)'!$V$4*Model!$AK$2010*AVERAGE('Assumptions (Biomass)'!$AG$2:$AI$2)/10^9),0)</f>
        <v>0</v>
      </c>
      <c r="AQ2101" s="105">
        <f>IF($AK$2010&gt;0,PPMT('Assumptions (Biomass)'!$V$6,Model!AC$1,'Assumptions (Biomass)'!$V$9,'Assumptions (Biomass)'!$V$4*Model!$AK$2010*AVERAGE('Assumptions (Biomass)'!$AG$2:$AI$2)/10^9),0)</f>
        <v>0</v>
      </c>
      <c r="AR2101" s="105">
        <f>IF($AK$2010&gt;0,PPMT('Assumptions (Biomass)'!$V$6,Model!AD$1,'Assumptions (Biomass)'!$V$9,'Assumptions (Biomass)'!$V$4*Model!$AK$2010*AVERAGE('Assumptions (Biomass)'!$AG$2:$AI$2)/10^9),0)</f>
        <v>0</v>
      </c>
      <c r="AS2101" s="105">
        <f>IF($AK$2010&gt;0,PPMT('Assumptions (Biomass)'!$V$6,Model!AE$1,'Assumptions (Biomass)'!$V$9,'Assumptions (Biomass)'!$V$4*Model!$AK$2010*AVERAGE('Assumptions (Biomass)'!$AG$2:$AI$2)/10^9),0)</f>
        <v>0</v>
      </c>
      <c r="AT2101" s="105">
        <f>IF($AK$2010&gt;0,PPMT('Assumptions (Biomass)'!$V$6,Model!AF$1,'Assumptions (Biomass)'!$V$9,'Assumptions (Biomass)'!$V$4*Model!$AK$2010*AVERAGE('Assumptions (Biomass)'!$AG$2:$AI$2)/10^9),0)</f>
        <v>0</v>
      </c>
      <c r="AU2101" s="105">
        <f>IF($AK$2010&gt;0,PPMT('Assumptions (Biomass)'!$V$6,Model!AG$1,'Assumptions (Biomass)'!$V$9,'Assumptions (Biomass)'!$V$4*Model!$AK$2010*AVERAGE('Assumptions (Biomass)'!$AG$2:$AI$2)/10^9),0)</f>
        <v>0</v>
      </c>
      <c r="AV2101" s="105">
        <f>IF($AK$2010&gt;0,PPMT('Assumptions (Biomass)'!$V$6,Model!AH$1,'Assumptions (Biomass)'!$V$9,'Assumptions (Biomass)'!$V$4*Model!$AK$2010*AVERAGE('Assumptions (Biomass)'!$AG$2:$AI$2)/10^9),0)</f>
        <v>0</v>
      </c>
      <c r="AW2101" s="105">
        <f>IF($AK$2010&gt;0,PPMT('Assumptions (Biomass)'!$V$6,Model!AI$1,'Assumptions (Biomass)'!$V$9,'Assumptions (Biomass)'!$V$4*Model!$AK$2010*AVERAGE('Assumptions (Biomass)'!$AG$2:$AI$2)/10^9),0)</f>
        <v>0</v>
      </c>
      <c r="AX2101" s="105">
        <f>IF($AK$2010&gt;0,PPMT('Assumptions (Biomass)'!$V$6,Model!AJ$1,'Assumptions (Biomass)'!$V$9,'Assumptions (Biomass)'!$V$4*Model!$AK$2010*AVERAGE('Assumptions (Biomass)'!$AG$2:$AI$2)/10^9),0)</f>
        <v>0</v>
      </c>
      <c r="AY2101" s="105">
        <f>IF($AK$2010&gt;0,PPMT('Assumptions (Biomass)'!$V$6,Model!AK$1,'Assumptions (Biomass)'!$V$9,'Assumptions (Biomass)'!$V$4*Model!$AK$2010*AVERAGE('Assumptions (Biomass)'!$AG$2:$AI$2)/10^9),0)</f>
        <v>0</v>
      </c>
      <c r="AZ2101" s="105"/>
      <c r="BA2101" s="105"/>
      <c r="BB2101" s="105"/>
      <c r="BC2101" s="105"/>
      <c r="BD2101" s="105"/>
      <c r="BE2101" s="105"/>
      <c r="BF2101" s="105"/>
      <c r="BG2101" s="105"/>
      <c r="BH2101" s="105"/>
      <c r="BI2101" s="105"/>
    </row>
    <row r="2102" spans="1:68" ht="15.75" hidden="1" customHeight="1" outlineLevel="1">
      <c r="A2102" s="441"/>
      <c r="B2102" s="99"/>
      <c r="C2102" s="99"/>
      <c r="D2102" s="99"/>
      <c r="E2102" s="99"/>
      <c r="F2102" s="99"/>
      <c r="G2102" s="99"/>
      <c r="H2102" s="99"/>
      <c r="I2102" s="99"/>
      <c r="J2102" s="99"/>
      <c r="K2102" s="99"/>
      <c r="L2102" s="99"/>
      <c r="M2102" s="99"/>
      <c r="N2102" s="99"/>
      <c r="O2102" s="99"/>
      <c r="P2102" s="99"/>
      <c r="Q2102" s="99"/>
      <c r="R2102" s="99"/>
      <c r="S2102" s="99"/>
      <c r="T2102" s="99"/>
      <c r="U2102" s="99"/>
      <c r="V2102" s="99"/>
      <c r="W2102" s="105"/>
      <c r="X2102" s="105"/>
      <c r="Y2102" s="105"/>
      <c r="Z2102" s="105"/>
      <c r="AA2102" s="105"/>
      <c r="AB2102" s="105"/>
      <c r="AC2102" s="105"/>
      <c r="AD2102" s="105"/>
      <c r="AE2102" s="105"/>
      <c r="AF2102" s="105"/>
      <c r="AG2102" s="105"/>
      <c r="AH2102" s="105"/>
      <c r="AI2102" s="105"/>
      <c r="AJ2102" s="171"/>
      <c r="AK2102" s="105"/>
      <c r="AL2102" s="91">
        <f>IF($AL$2010&gt;0,PPMT('Assumptions (Biomass)'!$V$6,Model!W$1,'Assumptions (Biomass)'!$V$9,'Assumptions (Biomass)'!$V$4*Model!$AL$2010*AVERAGE('Assumptions (Biomass)'!$AH$2:$AJ$2)/10^9),0)</f>
        <v>0</v>
      </c>
      <c r="AM2102" s="91">
        <f>IF($AL$2010&gt;0,PPMT('Assumptions (Biomass)'!$V$6,Model!X$1,'Assumptions (Biomass)'!$V$9,'Assumptions (Biomass)'!$V$4*Model!$AL$2010*AVERAGE('Assumptions (Biomass)'!$AH$2:$AJ$2)/10^9),0)</f>
        <v>0</v>
      </c>
      <c r="AN2102" s="91">
        <f>IF($AL$2010&gt;0,PPMT('Assumptions (Biomass)'!$V$6,Model!Y$1,'Assumptions (Biomass)'!$V$9,'Assumptions (Biomass)'!$V$4*Model!$AL$2010*AVERAGE('Assumptions (Biomass)'!$AH$2:$AJ$2)/10^9),0)</f>
        <v>0</v>
      </c>
      <c r="AO2102" s="91">
        <f>IF($AL$2010&gt;0,PPMT('Assumptions (Biomass)'!$V$6,Model!Z$1,'Assumptions (Biomass)'!$V$9,'Assumptions (Biomass)'!$V$4*Model!$AL$2010*AVERAGE('Assumptions (Biomass)'!$AH$2:$AJ$2)/10^9),0)</f>
        <v>0</v>
      </c>
      <c r="AP2102" s="91">
        <f>IF($AL$2010&gt;0,PPMT('Assumptions (Biomass)'!$V$6,Model!AA$1,'Assumptions (Biomass)'!$V$9,'Assumptions (Biomass)'!$V$4*Model!$AL$2010*AVERAGE('Assumptions (Biomass)'!$AH$2:$AJ$2)/10^9),0)</f>
        <v>0</v>
      </c>
      <c r="AQ2102" s="91">
        <f>IF($AL$2010&gt;0,PPMT('Assumptions (Biomass)'!$V$6,Model!AB$1,'Assumptions (Biomass)'!$V$9,'Assumptions (Biomass)'!$V$4*Model!$AL$2010*AVERAGE('Assumptions (Biomass)'!$AH$2:$AJ$2)/10^9),0)</f>
        <v>0</v>
      </c>
      <c r="AR2102" s="91">
        <f>IF($AL$2010&gt;0,PPMT('Assumptions (Biomass)'!$V$6,Model!AC$1,'Assumptions (Biomass)'!$V$9,'Assumptions (Biomass)'!$V$4*Model!$AL$2010*AVERAGE('Assumptions (Biomass)'!$AH$2:$AJ$2)/10^9),0)</f>
        <v>0</v>
      </c>
      <c r="AS2102" s="91">
        <f>IF($AL$2010&gt;0,PPMT('Assumptions (Biomass)'!$V$6,Model!AD$1,'Assumptions (Biomass)'!$V$9,'Assumptions (Biomass)'!$V$4*Model!$AL$2010*AVERAGE('Assumptions (Biomass)'!$AH$2:$AJ$2)/10^9),0)</f>
        <v>0</v>
      </c>
      <c r="AT2102" s="91">
        <f>IF($AL$2010&gt;0,PPMT('Assumptions (Biomass)'!$V$6,Model!AE$1,'Assumptions (Biomass)'!$V$9,'Assumptions (Biomass)'!$V$4*Model!$AL$2010*AVERAGE('Assumptions (Biomass)'!$AH$2:$AJ$2)/10^9),0)</f>
        <v>0</v>
      </c>
      <c r="AU2102" s="91">
        <f>IF($AL$2010&gt;0,PPMT('Assumptions (Biomass)'!$V$6,Model!AF$1,'Assumptions (Biomass)'!$V$9,'Assumptions (Biomass)'!$V$4*Model!$AL$2010*AVERAGE('Assumptions (Biomass)'!$AH$2:$AJ$2)/10^9),0)</f>
        <v>0</v>
      </c>
      <c r="AV2102" s="91">
        <f>IF($AL$2010&gt;0,PPMT('Assumptions (Biomass)'!$V$6,Model!AG$1,'Assumptions (Biomass)'!$V$9,'Assumptions (Biomass)'!$V$4*Model!$AL$2010*AVERAGE('Assumptions (Biomass)'!$AH$2:$AJ$2)/10^9),0)</f>
        <v>0</v>
      </c>
      <c r="AW2102" s="91">
        <f>IF($AL$2010&gt;0,PPMT('Assumptions (Biomass)'!$V$6,Model!AH$1,'Assumptions (Biomass)'!$V$9,'Assumptions (Biomass)'!$V$4*Model!$AL$2010*AVERAGE('Assumptions (Biomass)'!$AH$2:$AJ$2)/10^9),0)</f>
        <v>0</v>
      </c>
      <c r="AX2102" s="91">
        <f>IF($AL$2010&gt;0,PPMT('Assumptions (Biomass)'!$V$6,Model!AI$1,'Assumptions (Biomass)'!$V$9,'Assumptions (Biomass)'!$V$4*Model!$AL$2010*AVERAGE('Assumptions (Biomass)'!$AH$2:$AJ$2)/10^9),0)</f>
        <v>0</v>
      </c>
      <c r="AY2102" s="91">
        <f>IF($AL$2010&gt;0,PPMT('Assumptions (Biomass)'!$V$6,Model!AJ$1,'Assumptions (Biomass)'!$V$9,'Assumptions (Biomass)'!$V$4*Model!$AL$2010*AVERAGE('Assumptions (Biomass)'!$AH$2:$AJ$2)/10^9),0)</f>
        <v>0</v>
      </c>
      <c r="AZ2102" s="91">
        <f>IF($AL$2010&gt;0,PPMT('Assumptions (Biomass)'!$V$6,Model!AK$1,'Assumptions (Biomass)'!$V$9,'Assumptions (Biomass)'!$V$4*Model!$AL$2010*AVERAGE('Assumptions (Biomass)'!$AH$2:$AJ$2)/10^9),0)</f>
        <v>0</v>
      </c>
      <c r="BA2102" s="91"/>
      <c r="BB2102" s="91"/>
      <c r="BC2102" s="91"/>
      <c r="BD2102" s="91"/>
      <c r="BE2102" s="91"/>
      <c r="BF2102" s="91"/>
      <c r="BG2102" s="91"/>
      <c r="BH2102" s="91"/>
      <c r="BI2102" s="91"/>
      <c r="BJ2102" s="91"/>
    </row>
    <row r="2103" spans="1:68" ht="15.75" hidden="1" customHeight="1" outlineLevel="1">
      <c r="A2103" s="441"/>
      <c r="B2103" s="99"/>
      <c r="C2103" s="99"/>
      <c r="D2103" s="99"/>
      <c r="E2103" s="99"/>
      <c r="F2103" s="99"/>
      <c r="G2103" s="99"/>
      <c r="H2103" s="99"/>
      <c r="I2103" s="99"/>
      <c r="J2103" s="99"/>
      <c r="K2103" s="99"/>
      <c r="L2103" s="99"/>
      <c r="M2103" s="99"/>
      <c r="N2103" s="99"/>
      <c r="O2103" s="99"/>
      <c r="P2103" s="99"/>
      <c r="Q2103" s="99"/>
      <c r="R2103" s="99"/>
      <c r="S2103" s="99"/>
      <c r="T2103" s="99"/>
      <c r="U2103" s="99"/>
      <c r="V2103" s="99"/>
      <c r="W2103" s="105"/>
      <c r="X2103" s="105"/>
      <c r="Y2103" s="105"/>
      <c r="Z2103" s="105"/>
      <c r="AA2103" s="105"/>
      <c r="AB2103" s="105"/>
      <c r="AC2103" s="105"/>
      <c r="AD2103" s="105"/>
      <c r="AE2103" s="105"/>
      <c r="AF2103" s="105"/>
      <c r="AG2103" s="105"/>
      <c r="AH2103" s="105"/>
      <c r="AI2103" s="105"/>
      <c r="AJ2103" s="171"/>
      <c r="AK2103" s="105"/>
      <c r="AL2103" s="91"/>
      <c r="AM2103" s="105">
        <f>IF($AM$2010&gt;0,PPMT('Assumptions (Biomass)'!$V$6,Model!W$1,'Assumptions (Biomass)'!$V$9,'Assumptions (Biomass)'!$V$4*Model!$AM$2010*AVERAGE('Assumptions (Biomass)'!$AI$2:$AK$2)/10^9),0)</f>
        <v>0</v>
      </c>
      <c r="AN2103" s="105">
        <f>IF($AM$2010&gt;0,PPMT('Assumptions (Biomass)'!$V$6,Model!X$1,'Assumptions (Biomass)'!$V$9,'Assumptions (Biomass)'!$V$4*Model!$AM$2010*AVERAGE('Assumptions (Biomass)'!$AI$2:$AK$2)/10^9),0)</f>
        <v>0</v>
      </c>
      <c r="AO2103" s="105">
        <f>IF($AM$2010&gt;0,PPMT('Assumptions (Biomass)'!$V$6,Model!Y$1,'Assumptions (Biomass)'!$V$9,'Assumptions (Biomass)'!$V$4*Model!$AM$2010*AVERAGE('Assumptions (Biomass)'!$AI$2:$AK$2)/10^9),0)</f>
        <v>0</v>
      </c>
      <c r="AP2103" s="105">
        <f>IF($AM$2010&gt;0,PPMT('Assumptions (Biomass)'!$V$6,Model!Z$1,'Assumptions (Biomass)'!$V$9,'Assumptions (Biomass)'!$V$4*Model!$AM$2010*AVERAGE('Assumptions (Biomass)'!$AI$2:$AK$2)/10^9),0)</f>
        <v>0</v>
      </c>
      <c r="AQ2103" s="105">
        <f>IF($AM$2010&gt;0,PPMT('Assumptions (Biomass)'!$V$6,Model!AA$1,'Assumptions (Biomass)'!$V$9,'Assumptions (Biomass)'!$V$4*Model!$AM$2010*AVERAGE('Assumptions (Biomass)'!$AI$2:$AK$2)/10^9),0)</f>
        <v>0</v>
      </c>
      <c r="AR2103" s="105">
        <f>IF($AM$2010&gt;0,PPMT('Assumptions (Biomass)'!$V$6,Model!AB$1,'Assumptions (Biomass)'!$V$9,'Assumptions (Biomass)'!$V$4*Model!$AM$2010*AVERAGE('Assumptions (Biomass)'!$AI$2:$AK$2)/10^9),0)</f>
        <v>0</v>
      </c>
      <c r="AS2103" s="105">
        <f>IF($AM$2010&gt;0,PPMT('Assumptions (Biomass)'!$V$6,Model!AC$1,'Assumptions (Biomass)'!$V$9,'Assumptions (Biomass)'!$V$4*Model!$AM$2010*AVERAGE('Assumptions (Biomass)'!$AI$2:$AK$2)/10^9),0)</f>
        <v>0</v>
      </c>
      <c r="AT2103" s="105">
        <f>IF($AM$2010&gt;0,PPMT('Assumptions (Biomass)'!$V$6,Model!AD$1,'Assumptions (Biomass)'!$V$9,'Assumptions (Biomass)'!$V$4*Model!$AM$2010*AVERAGE('Assumptions (Biomass)'!$AI$2:$AK$2)/10^9),0)</f>
        <v>0</v>
      </c>
      <c r="AU2103" s="105">
        <f>IF($AM$2010&gt;0,PPMT('Assumptions (Biomass)'!$V$6,Model!AE$1,'Assumptions (Biomass)'!$V$9,'Assumptions (Biomass)'!$V$4*Model!$AM$2010*AVERAGE('Assumptions (Biomass)'!$AI$2:$AK$2)/10^9),0)</f>
        <v>0</v>
      </c>
      <c r="AV2103" s="105">
        <f>IF($AM$2010&gt;0,PPMT('Assumptions (Biomass)'!$V$6,Model!AF$1,'Assumptions (Biomass)'!$V$9,'Assumptions (Biomass)'!$V$4*Model!$AM$2010*AVERAGE('Assumptions (Biomass)'!$AI$2:$AK$2)/10^9),0)</f>
        <v>0</v>
      </c>
      <c r="AW2103" s="105">
        <f>IF($AM$2010&gt;0,PPMT('Assumptions (Biomass)'!$V$6,Model!AG$1,'Assumptions (Biomass)'!$V$9,'Assumptions (Biomass)'!$V$4*Model!$AM$2010*AVERAGE('Assumptions (Biomass)'!$AI$2:$AK$2)/10^9),0)</f>
        <v>0</v>
      </c>
      <c r="AX2103" s="105">
        <f>IF($AM$2010&gt;0,PPMT('Assumptions (Biomass)'!$V$6,Model!AH$1,'Assumptions (Biomass)'!$V$9,'Assumptions (Biomass)'!$V$4*Model!$AM$2010*AVERAGE('Assumptions (Biomass)'!$AI$2:$AK$2)/10^9),0)</f>
        <v>0</v>
      </c>
      <c r="AY2103" s="105">
        <f>IF($AM$2010&gt;0,PPMT('Assumptions (Biomass)'!$V$6,Model!AI$1,'Assumptions (Biomass)'!$V$9,'Assumptions (Biomass)'!$V$4*Model!$AM$2010*AVERAGE('Assumptions (Biomass)'!$AI$2:$AK$2)/10^9),0)</f>
        <v>0</v>
      </c>
      <c r="AZ2103" s="105">
        <f>IF($AM$2010&gt;0,PPMT('Assumptions (Biomass)'!$V$6,Model!AJ$1,'Assumptions (Biomass)'!$V$9,'Assumptions (Biomass)'!$V$4*Model!$AM$2010*AVERAGE('Assumptions (Biomass)'!$AI$2:$AK$2)/10^9),0)</f>
        <v>0</v>
      </c>
      <c r="BA2103" s="105">
        <f>IF($AM$2010&gt;0,PPMT('Assumptions (Biomass)'!$V$6,Model!AK$1,'Assumptions (Biomass)'!$V$9,'Assumptions (Biomass)'!$V$4*Model!$AM$2010*AVERAGE('Assumptions (Biomass)'!$AI$2:$AK$2)/10^9),0)</f>
        <v>0</v>
      </c>
      <c r="BB2103" s="105"/>
      <c r="BC2103" s="105"/>
      <c r="BD2103" s="105"/>
      <c r="BE2103" s="105"/>
      <c r="BF2103" s="105"/>
      <c r="BG2103" s="105"/>
      <c r="BH2103" s="105"/>
      <c r="BI2103" s="105"/>
      <c r="BJ2103" s="105"/>
      <c r="BK2103" s="105"/>
    </row>
    <row r="2104" spans="1:68" ht="15.75" hidden="1" customHeight="1" outlineLevel="1">
      <c r="A2104" s="441"/>
      <c r="B2104" s="99"/>
      <c r="C2104" s="99"/>
      <c r="D2104" s="99"/>
      <c r="E2104" s="99"/>
      <c r="F2104" s="99"/>
      <c r="G2104" s="99"/>
      <c r="H2104" s="99"/>
      <c r="I2104" s="99"/>
      <c r="J2104" s="99"/>
      <c r="K2104" s="99"/>
      <c r="L2104" s="99"/>
      <c r="M2104" s="99"/>
      <c r="N2104" s="99"/>
      <c r="O2104" s="99"/>
      <c r="P2104" s="99"/>
      <c r="Q2104" s="99"/>
      <c r="R2104" s="99"/>
      <c r="S2104" s="99"/>
      <c r="T2104" s="99"/>
      <c r="U2104" s="99"/>
      <c r="V2104" s="99"/>
      <c r="W2104" s="105"/>
      <c r="X2104" s="105"/>
      <c r="Y2104" s="105"/>
      <c r="Z2104" s="105"/>
      <c r="AA2104" s="105"/>
      <c r="AB2104" s="105"/>
      <c r="AC2104" s="105"/>
      <c r="AD2104" s="105"/>
      <c r="AE2104" s="105"/>
      <c r="AF2104" s="105"/>
      <c r="AG2104" s="105"/>
      <c r="AH2104" s="105"/>
      <c r="AI2104" s="105"/>
      <c r="AJ2104" s="171"/>
      <c r="AK2104" s="105"/>
      <c r="AL2104" s="91"/>
      <c r="AM2104" s="91"/>
      <c r="AN2104" s="105">
        <f>IF($AN$2010&gt;0,PPMT('Assumptions (Biomass)'!$V$6,Model!W$1,'Assumptions (Biomass)'!$V$9,'Assumptions (Biomass)'!$V$4*Model!$AN$2010*AVERAGE('Assumptions (Biomass)'!$AJ$2:$AL$2)/10^9),0)</f>
        <v>0</v>
      </c>
      <c r="AO2104" s="105">
        <f>IF($AN$2010&gt;0,PPMT('Assumptions (Biomass)'!$V$6,Model!X$1,'Assumptions (Biomass)'!$V$9,'Assumptions (Biomass)'!$V$4*Model!$AN$2010*AVERAGE('Assumptions (Biomass)'!$AJ$2:$AL$2)/10^9),0)</f>
        <v>0</v>
      </c>
      <c r="AP2104" s="105">
        <f>IF($AN$2010&gt;0,PPMT('Assumptions (Biomass)'!$V$6,Model!Y$1,'Assumptions (Biomass)'!$V$9,'Assumptions (Biomass)'!$V$4*Model!$AN$2010*AVERAGE('Assumptions (Biomass)'!$AJ$2:$AL$2)/10^9),0)</f>
        <v>0</v>
      </c>
      <c r="AQ2104" s="105">
        <f>IF($AN$2010&gt;0,PPMT('Assumptions (Biomass)'!$V$6,Model!Z$1,'Assumptions (Biomass)'!$V$9,'Assumptions (Biomass)'!$V$4*Model!$AN$2010*AVERAGE('Assumptions (Biomass)'!$AJ$2:$AL$2)/10^9),0)</f>
        <v>0</v>
      </c>
      <c r="AR2104" s="105">
        <f>IF($AN$2010&gt;0,PPMT('Assumptions (Biomass)'!$V$6,Model!AA$1,'Assumptions (Biomass)'!$V$9,'Assumptions (Biomass)'!$V$4*Model!$AN$2010*AVERAGE('Assumptions (Biomass)'!$AJ$2:$AL$2)/10^9),0)</f>
        <v>0</v>
      </c>
      <c r="AS2104" s="105">
        <f>IF($AN$2010&gt;0,PPMT('Assumptions (Biomass)'!$V$6,Model!AB$1,'Assumptions (Biomass)'!$V$9,'Assumptions (Biomass)'!$V$4*Model!$AN$2010*AVERAGE('Assumptions (Biomass)'!$AJ$2:$AL$2)/10^9),0)</f>
        <v>0</v>
      </c>
      <c r="AT2104" s="105">
        <f>IF($AN$2010&gt;0,PPMT('Assumptions (Biomass)'!$V$6,Model!AC$1,'Assumptions (Biomass)'!$V$9,'Assumptions (Biomass)'!$V$4*Model!$AN$2010*AVERAGE('Assumptions (Biomass)'!$AJ$2:$AL$2)/10^9),0)</f>
        <v>0</v>
      </c>
      <c r="AU2104" s="105">
        <f>IF($AN$2010&gt;0,PPMT('Assumptions (Biomass)'!$V$6,Model!AD$1,'Assumptions (Biomass)'!$V$9,'Assumptions (Biomass)'!$V$4*Model!$AN$2010*AVERAGE('Assumptions (Biomass)'!$AJ$2:$AL$2)/10^9),0)</f>
        <v>0</v>
      </c>
      <c r="AV2104" s="105">
        <f>IF($AN$2010&gt;0,PPMT('Assumptions (Biomass)'!$V$6,Model!AE$1,'Assumptions (Biomass)'!$V$9,'Assumptions (Biomass)'!$V$4*Model!$AN$2010*AVERAGE('Assumptions (Biomass)'!$AJ$2:$AL$2)/10^9),0)</f>
        <v>0</v>
      </c>
      <c r="AW2104" s="105">
        <f>IF($AN$2010&gt;0,PPMT('Assumptions (Biomass)'!$V$6,Model!AF$1,'Assumptions (Biomass)'!$V$9,'Assumptions (Biomass)'!$V$4*Model!$AN$2010*AVERAGE('Assumptions (Biomass)'!$AJ$2:$AL$2)/10^9),0)</f>
        <v>0</v>
      </c>
      <c r="AX2104" s="105">
        <f>IF($AN$2010&gt;0,PPMT('Assumptions (Biomass)'!$V$6,Model!AG$1,'Assumptions (Biomass)'!$V$9,'Assumptions (Biomass)'!$V$4*Model!$AN$2010*AVERAGE('Assumptions (Biomass)'!$AJ$2:$AL$2)/10^9),0)</f>
        <v>0</v>
      </c>
      <c r="AY2104" s="105">
        <f>IF($AN$2010&gt;0,PPMT('Assumptions (Biomass)'!$V$6,Model!AH$1,'Assumptions (Biomass)'!$V$9,'Assumptions (Biomass)'!$V$4*Model!$AN$2010*AVERAGE('Assumptions (Biomass)'!$AJ$2:$AL$2)/10^9),0)</f>
        <v>0</v>
      </c>
      <c r="AZ2104" s="105">
        <f>IF($AN$2010&gt;0,PPMT('Assumptions (Biomass)'!$V$6,Model!AI$1,'Assumptions (Biomass)'!$V$9,'Assumptions (Biomass)'!$V$4*Model!$AN$2010*AVERAGE('Assumptions (Biomass)'!$AJ$2:$AL$2)/10^9),0)</f>
        <v>0</v>
      </c>
      <c r="BA2104" s="105">
        <f>IF($AN$2010&gt;0,PPMT('Assumptions (Biomass)'!$V$6,Model!AJ$1,'Assumptions (Biomass)'!$V$9,'Assumptions (Biomass)'!$V$4*Model!$AN$2010*AVERAGE('Assumptions (Biomass)'!$AJ$2:$AL$2)/10^9),0)</f>
        <v>0</v>
      </c>
      <c r="BB2104" s="105">
        <f>IF($AN$2010&gt;0,PPMT('Assumptions (Biomass)'!$V$6,Model!AK$1,'Assumptions (Biomass)'!$V$9,'Assumptions (Biomass)'!$V$4*Model!$AN$2010*AVERAGE('Assumptions (Biomass)'!$AJ$2:$AL$2)/10^9),0)</f>
        <v>0</v>
      </c>
      <c r="BC2104" s="105"/>
      <c r="BD2104" s="105"/>
      <c r="BE2104" s="105"/>
      <c r="BF2104" s="105"/>
      <c r="BG2104" s="105"/>
      <c r="BH2104" s="105"/>
      <c r="BI2104" s="105"/>
      <c r="BJ2104" s="105"/>
      <c r="BK2104" s="105"/>
      <c r="BL2104" s="105"/>
    </row>
    <row r="2105" spans="1:68" ht="15.75" hidden="1" customHeight="1" outlineLevel="1">
      <c r="A2105" s="441"/>
      <c r="B2105" s="99"/>
      <c r="C2105" s="99"/>
      <c r="D2105" s="99"/>
      <c r="E2105" s="99"/>
      <c r="F2105" s="99"/>
      <c r="G2105" s="99"/>
      <c r="H2105" s="99"/>
      <c r="I2105" s="99"/>
      <c r="J2105" s="99"/>
      <c r="K2105" s="99"/>
      <c r="L2105" s="99"/>
      <c r="M2105" s="99"/>
      <c r="N2105" s="99"/>
      <c r="O2105" s="99"/>
      <c r="P2105" s="99"/>
      <c r="Q2105" s="99"/>
      <c r="R2105" s="99"/>
      <c r="S2105" s="99"/>
      <c r="T2105" s="99"/>
      <c r="U2105" s="99"/>
      <c r="V2105" s="99"/>
      <c r="W2105" s="105"/>
      <c r="X2105" s="105"/>
      <c r="Y2105" s="105"/>
      <c r="Z2105" s="105"/>
      <c r="AA2105" s="105"/>
      <c r="AB2105" s="105"/>
      <c r="AC2105" s="105"/>
      <c r="AD2105" s="105"/>
      <c r="AE2105" s="105"/>
      <c r="AF2105" s="105"/>
      <c r="AG2105" s="105"/>
      <c r="AH2105" s="105"/>
      <c r="AI2105" s="105"/>
      <c r="AJ2105" s="171"/>
      <c r="AK2105" s="105"/>
      <c r="AL2105" s="91"/>
      <c r="AM2105" s="91"/>
      <c r="AN2105" s="91"/>
      <c r="AO2105" s="105">
        <f>IF($AO$2010&gt;0,PPMT('Assumptions (Biomass)'!$V$6,Model!W$1,'Assumptions (Biomass)'!$V$9,'Assumptions (Biomass)'!$V$4*Model!$AO$2010*AVERAGE('Assumptions (Biomass)'!$AK$2:$AM$2)/10^9),0)</f>
        <v>0</v>
      </c>
      <c r="AP2105" s="105">
        <f>IF($AO$2010&gt;0,PPMT('Assumptions (Biomass)'!$V$6,Model!X$1,'Assumptions (Biomass)'!$V$9,'Assumptions (Biomass)'!$V$4*Model!$AO$2010*AVERAGE('Assumptions (Biomass)'!$AK$2:$AM$2)/10^9),0)</f>
        <v>0</v>
      </c>
      <c r="AQ2105" s="105">
        <f>IF($AO$2010&gt;0,PPMT('Assumptions (Biomass)'!$V$6,Model!Y$1,'Assumptions (Biomass)'!$V$9,'Assumptions (Biomass)'!$V$4*Model!$AO$2010*AVERAGE('Assumptions (Biomass)'!$AK$2:$AM$2)/10^9),0)</f>
        <v>0</v>
      </c>
      <c r="AR2105" s="105">
        <f>IF($AO$2010&gt;0,PPMT('Assumptions (Biomass)'!$V$6,Model!Z$1,'Assumptions (Biomass)'!$V$9,'Assumptions (Biomass)'!$V$4*Model!$AO$2010*AVERAGE('Assumptions (Biomass)'!$AK$2:$AM$2)/10^9),0)</f>
        <v>0</v>
      </c>
      <c r="AS2105" s="105">
        <f>IF($AO$2010&gt;0,PPMT('Assumptions (Biomass)'!$V$6,Model!AA$1,'Assumptions (Biomass)'!$V$9,'Assumptions (Biomass)'!$V$4*Model!$AO$2010*AVERAGE('Assumptions (Biomass)'!$AK$2:$AM$2)/10^9),0)</f>
        <v>0</v>
      </c>
      <c r="AT2105" s="105">
        <f>IF($AO$2010&gt;0,PPMT('Assumptions (Biomass)'!$V$6,Model!AB$1,'Assumptions (Biomass)'!$V$9,'Assumptions (Biomass)'!$V$4*Model!$AO$2010*AVERAGE('Assumptions (Biomass)'!$AK$2:$AM$2)/10^9),0)</f>
        <v>0</v>
      </c>
      <c r="AU2105" s="105">
        <f>IF($AO$2010&gt;0,PPMT('Assumptions (Biomass)'!$V$6,Model!AC$1,'Assumptions (Biomass)'!$V$9,'Assumptions (Biomass)'!$V$4*Model!$AO$2010*AVERAGE('Assumptions (Biomass)'!$AK$2:$AM$2)/10^9),0)</f>
        <v>0</v>
      </c>
      <c r="AV2105" s="105">
        <f>IF($AO$2010&gt;0,PPMT('Assumptions (Biomass)'!$V$6,Model!AD$1,'Assumptions (Biomass)'!$V$9,'Assumptions (Biomass)'!$V$4*Model!$AO$2010*AVERAGE('Assumptions (Biomass)'!$AK$2:$AM$2)/10^9),0)</f>
        <v>0</v>
      </c>
      <c r="AW2105" s="105">
        <f>IF($AO$2010&gt;0,PPMT('Assumptions (Biomass)'!$V$6,Model!AE$1,'Assumptions (Biomass)'!$V$9,'Assumptions (Biomass)'!$V$4*Model!$AO$2010*AVERAGE('Assumptions (Biomass)'!$AK$2:$AM$2)/10^9),0)</f>
        <v>0</v>
      </c>
      <c r="AX2105" s="105">
        <f>IF($AO$2010&gt;0,PPMT('Assumptions (Biomass)'!$V$6,Model!AF$1,'Assumptions (Biomass)'!$V$9,'Assumptions (Biomass)'!$V$4*Model!$AO$2010*AVERAGE('Assumptions (Biomass)'!$AK$2:$AM$2)/10^9),0)</f>
        <v>0</v>
      </c>
      <c r="AY2105" s="105">
        <f>IF($AO$2010&gt;0,PPMT('Assumptions (Biomass)'!$V$6,Model!AG$1,'Assumptions (Biomass)'!$V$9,'Assumptions (Biomass)'!$V$4*Model!$AO$2010*AVERAGE('Assumptions (Biomass)'!$AK$2:$AM$2)/10^9),0)</f>
        <v>0</v>
      </c>
      <c r="AZ2105" s="105">
        <f>IF($AO$2010&gt;0,PPMT('Assumptions (Biomass)'!$V$6,Model!AH$1,'Assumptions (Biomass)'!$V$9,'Assumptions (Biomass)'!$V$4*Model!$AO$2010*AVERAGE('Assumptions (Biomass)'!$AK$2:$AM$2)/10^9),0)</f>
        <v>0</v>
      </c>
      <c r="BA2105" s="105">
        <f>IF($AO$2010&gt;0,PPMT('Assumptions (Biomass)'!$V$6,Model!AI$1,'Assumptions (Biomass)'!$V$9,'Assumptions (Biomass)'!$V$4*Model!$AO$2010*AVERAGE('Assumptions (Biomass)'!$AK$2:$AM$2)/10^9),0)</f>
        <v>0</v>
      </c>
      <c r="BB2105" s="105">
        <f>IF($AO$2010&gt;0,PPMT('Assumptions (Biomass)'!$V$6,Model!AJ$1,'Assumptions (Biomass)'!$V$9,'Assumptions (Biomass)'!$V$4*Model!$AO$2010*AVERAGE('Assumptions (Biomass)'!$AK$2:$AM$2)/10^9),0)</f>
        <v>0</v>
      </c>
      <c r="BC2105" s="105">
        <f>IF($AO$2010&gt;0,PPMT('Assumptions (Biomass)'!$V$6,Model!AK$1,'Assumptions (Biomass)'!$V$9,'Assumptions (Biomass)'!$V$4*Model!$AO$2010*AVERAGE('Assumptions (Biomass)'!$AK$2:$AM$2)/10^9),0)</f>
        <v>0</v>
      </c>
      <c r="BD2105" s="105"/>
      <c r="BE2105" s="105"/>
      <c r="BF2105" s="105"/>
      <c r="BG2105" s="105"/>
      <c r="BH2105" s="105"/>
      <c r="BI2105" s="105"/>
      <c r="BJ2105" s="105"/>
      <c r="BK2105" s="105"/>
      <c r="BL2105" s="105"/>
      <c r="BM2105" s="105"/>
    </row>
    <row r="2106" spans="1:68" ht="15.75" hidden="1" customHeight="1" outlineLevel="1">
      <c r="A2106" s="441"/>
      <c r="B2106" s="99"/>
      <c r="C2106" s="99"/>
      <c r="D2106" s="99"/>
      <c r="E2106" s="99"/>
      <c r="F2106" s="99"/>
      <c r="G2106" s="99"/>
      <c r="H2106" s="99"/>
      <c r="I2106" s="99"/>
      <c r="J2106" s="99"/>
      <c r="K2106" s="99"/>
      <c r="L2106" s="99"/>
      <c r="M2106" s="99"/>
      <c r="N2106" s="99"/>
      <c r="O2106" s="99"/>
      <c r="P2106" s="99"/>
      <c r="Q2106" s="99"/>
      <c r="R2106" s="99"/>
      <c r="S2106" s="99"/>
      <c r="T2106" s="99"/>
      <c r="U2106" s="99"/>
      <c r="V2106" s="99"/>
      <c r="W2106" s="105"/>
      <c r="X2106" s="105"/>
      <c r="Y2106" s="105"/>
      <c r="Z2106" s="105"/>
      <c r="AA2106" s="105"/>
      <c r="AB2106" s="105"/>
      <c r="AC2106" s="105"/>
      <c r="AD2106" s="105"/>
      <c r="AE2106" s="105"/>
      <c r="AF2106" s="105"/>
      <c r="AG2106" s="105"/>
      <c r="AH2106" s="105"/>
      <c r="AI2106" s="105"/>
      <c r="AJ2106" s="171"/>
      <c r="AK2106" s="105"/>
      <c r="AL2106" s="91"/>
      <c r="AM2106" s="91"/>
      <c r="AN2106" s="91"/>
      <c r="AO2106" s="105"/>
      <c r="AP2106" s="105">
        <f>IF($AP$2010&gt;0,PPMT('Assumptions (Biomass)'!$V$6,Model!W$1,'Assumptions (Biomass)'!$V$9,'Assumptions (Biomass)'!$V$4*Model!$AP$2010*AVERAGE('Assumptions (Biomass)'!$AL$2:$AN$2)/10^9),0)</f>
        <v>0</v>
      </c>
      <c r="AQ2106" s="105">
        <f>IF($AP$2010&gt;0,PPMT('Assumptions (Biomass)'!$V$6,Model!X$1,'Assumptions (Biomass)'!$V$9,'Assumptions (Biomass)'!$V$4*Model!$AP$2010*AVERAGE('Assumptions (Biomass)'!$AL$2:$AN$2)/10^9),0)</f>
        <v>0</v>
      </c>
      <c r="AR2106" s="105">
        <f>IF($AP$2010&gt;0,PPMT('Assumptions (Biomass)'!$V$6,Model!Y$1,'Assumptions (Biomass)'!$V$9,'Assumptions (Biomass)'!$V$4*Model!$AP$2010*AVERAGE('Assumptions (Biomass)'!$AL$2:$AN$2)/10^9),0)</f>
        <v>0</v>
      </c>
      <c r="AS2106" s="105">
        <f>IF($AP$2010&gt;0,PPMT('Assumptions (Biomass)'!$V$6,Model!Z$1,'Assumptions (Biomass)'!$V$9,'Assumptions (Biomass)'!$V$4*Model!$AP$2010*AVERAGE('Assumptions (Biomass)'!$AL$2:$AN$2)/10^9),0)</f>
        <v>0</v>
      </c>
      <c r="AT2106" s="105">
        <f>IF($AP$2010&gt;0,PPMT('Assumptions (Biomass)'!$V$6,Model!AA$1,'Assumptions (Biomass)'!$V$9,'Assumptions (Biomass)'!$V$4*Model!$AP$2010*AVERAGE('Assumptions (Biomass)'!$AL$2:$AN$2)/10^9),0)</f>
        <v>0</v>
      </c>
      <c r="AU2106" s="105">
        <f>IF($AP$2010&gt;0,PPMT('Assumptions (Biomass)'!$V$6,Model!AB$1,'Assumptions (Biomass)'!$V$9,'Assumptions (Biomass)'!$V$4*Model!$AP$2010*AVERAGE('Assumptions (Biomass)'!$AL$2:$AN$2)/10^9),0)</f>
        <v>0</v>
      </c>
      <c r="AV2106" s="105">
        <f>IF($AP$2010&gt;0,PPMT('Assumptions (Biomass)'!$V$6,Model!AC$1,'Assumptions (Biomass)'!$V$9,'Assumptions (Biomass)'!$V$4*Model!$AP$2010*AVERAGE('Assumptions (Biomass)'!$AL$2:$AN$2)/10^9),0)</f>
        <v>0</v>
      </c>
      <c r="AW2106" s="105">
        <f>IF($AP$2010&gt;0,PPMT('Assumptions (Biomass)'!$V$6,Model!AD$1,'Assumptions (Biomass)'!$V$9,'Assumptions (Biomass)'!$V$4*Model!$AP$2010*AVERAGE('Assumptions (Biomass)'!$AL$2:$AN$2)/10^9),0)</f>
        <v>0</v>
      </c>
      <c r="AX2106" s="105">
        <f>IF($AP$2010&gt;0,PPMT('Assumptions (Biomass)'!$V$6,Model!AE$1,'Assumptions (Biomass)'!$V$9,'Assumptions (Biomass)'!$V$4*Model!$AP$2010*AVERAGE('Assumptions (Biomass)'!$AL$2:$AN$2)/10^9),0)</f>
        <v>0</v>
      </c>
      <c r="AY2106" s="105">
        <f>IF($AP$2010&gt;0,PPMT('Assumptions (Biomass)'!$V$6,Model!AF$1,'Assumptions (Biomass)'!$V$9,'Assumptions (Biomass)'!$V$4*Model!$AP$2010*AVERAGE('Assumptions (Biomass)'!$AL$2:$AN$2)/10^9),0)</f>
        <v>0</v>
      </c>
      <c r="AZ2106" s="105">
        <f>IF($AP$2010&gt;0,PPMT('Assumptions (Biomass)'!$V$6,Model!AG$1,'Assumptions (Biomass)'!$V$9,'Assumptions (Biomass)'!$V$4*Model!$AP$2010*AVERAGE('Assumptions (Biomass)'!$AL$2:$AN$2)/10^9),0)</f>
        <v>0</v>
      </c>
      <c r="BA2106" s="105">
        <f>IF($AP$2010&gt;0,PPMT('Assumptions (Biomass)'!$V$6,Model!AH$1,'Assumptions (Biomass)'!$V$9,'Assumptions (Biomass)'!$V$4*Model!$AP$2010*AVERAGE('Assumptions (Biomass)'!$AL$2:$AN$2)/10^9),0)</f>
        <v>0</v>
      </c>
      <c r="BB2106" s="105">
        <f>IF($AP$2010&gt;0,PPMT('Assumptions (Biomass)'!$V$6,Model!AI$1,'Assumptions (Biomass)'!$V$9,'Assumptions (Biomass)'!$V$4*Model!$AP$2010*AVERAGE('Assumptions (Biomass)'!$AL$2:$AN$2)/10^9),0)</f>
        <v>0</v>
      </c>
      <c r="BC2106" s="105">
        <f>IF($AP$2010&gt;0,PPMT('Assumptions (Biomass)'!$V$6,Model!AJ$1,'Assumptions (Biomass)'!$V$9,'Assumptions (Biomass)'!$V$4*Model!$AP$2010*AVERAGE('Assumptions (Biomass)'!$AL$2:$AN$2)/10^9),0)</f>
        <v>0</v>
      </c>
      <c r="BD2106" s="105">
        <f>IF($AP$2010&gt;0,PPMT('Assumptions (Biomass)'!$V$6,Model!AK$1,'Assumptions (Biomass)'!$V$9,'Assumptions (Biomass)'!$V$4*Model!$AP$2010*AVERAGE('Assumptions (Biomass)'!$AL$2:$AN$2)/10^9),0)</f>
        <v>0</v>
      </c>
      <c r="BE2106" s="105"/>
      <c r="BF2106" s="105"/>
      <c r="BG2106" s="105"/>
      <c r="BH2106" s="105"/>
      <c r="BI2106" s="105"/>
      <c r="BJ2106" s="105"/>
      <c r="BK2106" s="105"/>
      <c r="BL2106" s="105"/>
      <c r="BM2106" s="105"/>
      <c r="BN2106" s="105"/>
    </row>
    <row r="2107" spans="1:68" ht="15.75" hidden="1" customHeight="1" outlineLevel="1">
      <c r="A2107" s="441"/>
      <c r="B2107" s="99"/>
      <c r="C2107" s="99"/>
      <c r="D2107" s="99"/>
      <c r="E2107" s="99"/>
      <c r="F2107" s="99"/>
      <c r="G2107" s="99"/>
      <c r="H2107" s="99"/>
      <c r="I2107" s="99"/>
      <c r="J2107" s="99"/>
      <c r="K2107" s="99"/>
      <c r="L2107" s="99"/>
      <c r="M2107" s="99"/>
      <c r="N2107" s="99"/>
      <c r="O2107" s="99"/>
      <c r="P2107" s="99"/>
      <c r="Q2107" s="99"/>
      <c r="R2107" s="99"/>
      <c r="S2107" s="99"/>
      <c r="T2107" s="99"/>
      <c r="U2107" s="99"/>
      <c r="V2107" s="99"/>
      <c r="W2107" s="105"/>
      <c r="X2107" s="105"/>
      <c r="Y2107" s="105"/>
      <c r="Z2107" s="105"/>
      <c r="AA2107" s="105"/>
      <c r="AB2107" s="105"/>
      <c r="AC2107" s="105"/>
      <c r="AD2107" s="105"/>
      <c r="AE2107" s="105"/>
      <c r="AF2107" s="105"/>
      <c r="AG2107" s="105"/>
      <c r="AH2107" s="105"/>
      <c r="AI2107" s="105"/>
      <c r="AJ2107" s="171"/>
      <c r="AK2107" s="105"/>
      <c r="AL2107" s="91"/>
      <c r="AM2107" s="91"/>
      <c r="AN2107" s="91"/>
      <c r="AO2107" s="105"/>
      <c r="AP2107" s="105"/>
      <c r="AQ2107" s="105">
        <f>IF($AQ$2010&gt;0,PPMT('Assumptions (Biomass)'!$V$6,Model!W$1,'Assumptions (Biomass)'!$V$9,'Assumptions (Biomass)'!$V$4*Model!$AQ$2010*AVERAGE('Assumptions (Biomass)'!$AM$2:$AO$2)/10^9),0)</f>
        <v>0</v>
      </c>
      <c r="AR2107" s="105">
        <f>IF($AQ$2010&gt;0,PPMT('Assumptions (Biomass)'!$V$6,Model!X$1,'Assumptions (Biomass)'!$V$9,'Assumptions (Biomass)'!$V$4*Model!$AQ$2010*AVERAGE('Assumptions (Biomass)'!$AM$2:$AO$2)/10^9),0)</f>
        <v>0</v>
      </c>
      <c r="AS2107" s="105">
        <f>IF($AQ$2010&gt;0,PPMT('Assumptions (Biomass)'!$V$6,Model!Y$1,'Assumptions (Biomass)'!$V$9,'Assumptions (Biomass)'!$V$4*Model!$AQ$2010*AVERAGE('Assumptions (Biomass)'!$AM$2:$AO$2)/10^9),0)</f>
        <v>0</v>
      </c>
      <c r="AT2107" s="105">
        <f>IF($AQ$2010&gt;0,PPMT('Assumptions (Biomass)'!$V$6,Model!Z$1,'Assumptions (Biomass)'!$V$9,'Assumptions (Biomass)'!$V$4*Model!$AQ$2010*AVERAGE('Assumptions (Biomass)'!$AM$2:$AO$2)/10^9),0)</f>
        <v>0</v>
      </c>
      <c r="AU2107" s="105">
        <f>IF($AQ$2010&gt;0,PPMT('Assumptions (Biomass)'!$V$6,Model!AA$1,'Assumptions (Biomass)'!$V$9,'Assumptions (Biomass)'!$V$4*Model!$AQ$2010*AVERAGE('Assumptions (Biomass)'!$AM$2:$AO$2)/10^9),0)</f>
        <v>0</v>
      </c>
      <c r="AV2107" s="105">
        <f>IF($AQ$2010&gt;0,PPMT('Assumptions (Biomass)'!$V$6,Model!AB$1,'Assumptions (Biomass)'!$V$9,'Assumptions (Biomass)'!$V$4*Model!$AQ$2010*AVERAGE('Assumptions (Biomass)'!$AM$2:$AO$2)/10^9),0)</f>
        <v>0</v>
      </c>
      <c r="AW2107" s="105">
        <f>IF($AQ$2010&gt;0,PPMT('Assumptions (Biomass)'!$V$6,Model!AC$1,'Assumptions (Biomass)'!$V$9,'Assumptions (Biomass)'!$V$4*Model!$AQ$2010*AVERAGE('Assumptions (Biomass)'!$AM$2:$AO$2)/10^9),0)</f>
        <v>0</v>
      </c>
      <c r="AX2107" s="105">
        <f>IF($AQ$2010&gt;0,PPMT('Assumptions (Biomass)'!$V$6,Model!AD$1,'Assumptions (Biomass)'!$V$9,'Assumptions (Biomass)'!$V$4*Model!$AQ$2010*AVERAGE('Assumptions (Biomass)'!$AM$2:$AO$2)/10^9),0)</f>
        <v>0</v>
      </c>
      <c r="AY2107" s="105">
        <f>IF($AQ$2010&gt;0,PPMT('Assumptions (Biomass)'!$V$6,Model!AE$1,'Assumptions (Biomass)'!$V$9,'Assumptions (Biomass)'!$V$4*Model!$AQ$2010*AVERAGE('Assumptions (Biomass)'!$AM$2:$AO$2)/10^9),0)</f>
        <v>0</v>
      </c>
      <c r="AZ2107" s="105">
        <f>IF($AQ$2010&gt;0,PPMT('Assumptions (Biomass)'!$V$6,Model!AF$1,'Assumptions (Biomass)'!$V$9,'Assumptions (Biomass)'!$V$4*Model!$AQ$2010*AVERAGE('Assumptions (Biomass)'!$AM$2:$AO$2)/10^9),0)</f>
        <v>0</v>
      </c>
      <c r="BA2107" s="105">
        <f>IF($AQ$2010&gt;0,PPMT('Assumptions (Biomass)'!$V$6,Model!AG$1,'Assumptions (Biomass)'!$V$9,'Assumptions (Biomass)'!$V$4*Model!$AQ$2010*AVERAGE('Assumptions (Biomass)'!$AM$2:$AO$2)/10^9),0)</f>
        <v>0</v>
      </c>
      <c r="BB2107" s="105">
        <f>IF($AQ$2010&gt;0,PPMT('Assumptions (Biomass)'!$V$6,Model!AH$1,'Assumptions (Biomass)'!$V$9,'Assumptions (Biomass)'!$V$4*Model!$AQ$2010*AVERAGE('Assumptions (Biomass)'!$AM$2:$AO$2)/10^9),0)</f>
        <v>0</v>
      </c>
      <c r="BC2107" s="105">
        <f>IF($AQ$2010&gt;0,PPMT('Assumptions (Biomass)'!$V$6,Model!AI$1,'Assumptions (Biomass)'!$V$9,'Assumptions (Biomass)'!$V$4*Model!$AQ$2010*AVERAGE('Assumptions (Biomass)'!$AM$2:$AO$2)/10^9),0)</f>
        <v>0</v>
      </c>
      <c r="BD2107" s="105">
        <f>IF($AQ$2010&gt;0,PPMT('Assumptions (Biomass)'!$V$6,Model!AJ$1,'Assumptions (Biomass)'!$V$9,'Assumptions (Biomass)'!$V$4*Model!$AQ$2010*AVERAGE('Assumptions (Biomass)'!$AM$2:$AO$2)/10^9),0)</f>
        <v>0</v>
      </c>
      <c r="BE2107" s="105">
        <f>IF($AQ$2010&gt;0,PPMT('Assumptions (Biomass)'!$V$6,Model!AK$1,'Assumptions (Biomass)'!$V$9,'Assumptions (Biomass)'!$V$4*Model!$AQ$2010*AVERAGE('Assumptions (Biomass)'!$AM$2:$AO$2)/10^9),0)</f>
        <v>0</v>
      </c>
      <c r="BF2107" s="105"/>
      <c r="BG2107" s="105"/>
      <c r="BH2107" s="105"/>
      <c r="BI2107" s="105"/>
      <c r="BJ2107" s="105"/>
      <c r="BK2107" s="105"/>
      <c r="BL2107" s="105"/>
      <c r="BM2107" s="105"/>
      <c r="BN2107" s="105"/>
      <c r="BO2107" s="105"/>
    </row>
    <row r="2108" spans="1:68" ht="15.75" hidden="1" customHeight="1" outlineLevel="1">
      <c r="A2108" s="441"/>
      <c r="B2108" s="99"/>
      <c r="C2108" s="99"/>
      <c r="D2108" s="99"/>
      <c r="E2108" s="99"/>
      <c r="F2108" s="99"/>
      <c r="G2108" s="99"/>
      <c r="H2108" s="99"/>
      <c r="I2108" s="99"/>
      <c r="J2108" s="99"/>
      <c r="K2108" s="99"/>
      <c r="L2108" s="99"/>
      <c r="M2108" s="99"/>
      <c r="N2108" s="99"/>
      <c r="O2108" s="99"/>
      <c r="P2108" s="99"/>
      <c r="Q2108" s="99"/>
      <c r="R2108" s="99"/>
      <c r="S2108" s="99"/>
      <c r="T2108" s="99"/>
      <c r="U2108" s="99"/>
      <c r="V2108" s="99"/>
      <c r="W2108" s="105"/>
      <c r="X2108" s="105"/>
      <c r="Y2108" s="105"/>
      <c r="Z2108" s="105"/>
      <c r="AA2108" s="105"/>
      <c r="AB2108" s="105"/>
      <c r="AC2108" s="105"/>
      <c r="AD2108" s="105"/>
      <c r="AE2108" s="105"/>
      <c r="AF2108" s="105"/>
      <c r="AG2108" s="105"/>
      <c r="AH2108" s="105"/>
      <c r="AI2108" s="105"/>
      <c r="AJ2108" s="171"/>
      <c r="AK2108" s="105"/>
      <c r="AL2108" s="91"/>
      <c r="AM2108" s="91"/>
      <c r="AN2108" s="91"/>
      <c r="AO2108" s="105"/>
      <c r="AP2108" s="105"/>
      <c r="AQ2108" s="105"/>
      <c r="AR2108" s="105">
        <f>IF($AR$2010&gt;0,PPMT('Assumptions (Biomass)'!$V$6,Model!W$1,'Assumptions (Biomass)'!$V$9,'Assumptions (Biomass)'!$V$4*Model!$AR$2010*AVERAGE('Assumptions (Biomass)'!$AN$2:$AP$2)/10^9),0)</f>
        <v>0</v>
      </c>
      <c r="AS2108" s="105">
        <f>IF($AR$2010&gt;0,PPMT('Assumptions (Biomass)'!$V$6,Model!X$1,'Assumptions (Biomass)'!$V$9,'Assumptions (Biomass)'!$V$4*Model!$AR$2010*AVERAGE('Assumptions (Biomass)'!$AN$2:$AP$2)/10^9),0)</f>
        <v>0</v>
      </c>
      <c r="AT2108" s="105">
        <f>IF($AR$2010&gt;0,PPMT('Assumptions (Biomass)'!$V$6,Model!Y$1,'Assumptions (Biomass)'!$V$9,'Assumptions (Biomass)'!$V$4*Model!$AR$2010*AVERAGE('Assumptions (Biomass)'!$AN$2:$AP$2)/10^9),0)</f>
        <v>0</v>
      </c>
      <c r="AU2108" s="105">
        <f>IF($AR$2010&gt;0,PPMT('Assumptions (Biomass)'!$V$6,Model!Z$1,'Assumptions (Biomass)'!$V$9,'Assumptions (Biomass)'!$V$4*Model!$AR$2010*AVERAGE('Assumptions (Biomass)'!$AN$2:$AP$2)/10^9),0)</f>
        <v>0</v>
      </c>
      <c r="AV2108" s="105">
        <f>IF($AR$2010&gt;0,PPMT('Assumptions (Biomass)'!$V$6,Model!AA$1,'Assumptions (Biomass)'!$V$9,'Assumptions (Biomass)'!$V$4*Model!$AR$2010*AVERAGE('Assumptions (Biomass)'!$AN$2:$AP$2)/10^9),0)</f>
        <v>0</v>
      </c>
      <c r="AW2108" s="105">
        <f>IF($AR$2010&gt;0,PPMT('Assumptions (Biomass)'!$V$6,Model!AB$1,'Assumptions (Biomass)'!$V$9,'Assumptions (Biomass)'!$V$4*Model!$AR$2010*AVERAGE('Assumptions (Biomass)'!$AN$2:$AP$2)/10^9),0)</f>
        <v>0</v>
      </c>
      <c r="AX2108" s="105">
        <f>IF($AR$2010&gt;0,PPMT('Assumptions (Biomass)'!$V$6,Model!AC$1,'Assumptions (Biomass)'!$V$9,'Assumptions (Biomass)'!$V$4*Model!$AR$2010*AVERAGE('Assumptions (Biomass)'!$AN$2:$AP$2)/10^9),0)</f>
        <v>0</v>
      </c>
      <c r="AY2108" s="105">
        <f>IF($AR$2010&gt;0,PPMT('Assumptions (Biomass)'!$V$6,Model!AD$1,'Assumptions (Biomass)'!$V$9,'Assumptions (Biomass)'!$V$4*Model!$AR$2010*AVERAGE('Assumptions (Biomass)'!$AN$2:$AP$2)/10^9),0)</f>
        <v>0</v>
      </c>
      <c r="AZ2108" s="105">
        <f>IF($AR$2010&gt;0,PPMT('Assumptions (Biomass)'!$V$6,Model!AE$1,'Assumptions (Biomass)'!$V$9,'Assumptions (Biomass)'!$V$4*Model!$AR$2010*AVERAGE('Assumptions (Biomass)'!$AN$2:$AP$2)/10^9),0)</f>
        <v>0</v>
      </c>
      <c r="BA2108" s="105">
        <f>IF($AR$2010&gt;0,PPMT('Assumptions (Biomass)'!$V$6,Model!AF$1,'Assumptions (Biomass)'!$V$9,'Assumptions (Biomass)'!$V$4*Model!$AR$2010*AVERAGE('Assumptions (Biomass)'!$AN$2:$AP$2)/10^9),0)</f>
        <v>0</v>
      </c>
      <c r="BB2108" s="105">
        <f>IF($AR$2010&gt;0,PPMT('Assumptions (Biomass)'!$V$6,Model!AG$1,'Assumptions (Biomass)'!$V$9,'Assumptions (Biomass)'!$V$4*Model!$AR$2010*AVERAGE('Assumptions (Biomass)'!$AN$2:$AP$2)/10^9),0)</f>
        <v>0</v>
      </c>
      <c r="BC2108" s="105">
        <f>IF($AR$2010&gt;0,PPMT('Assumptions (Biomass)'!$V$6,Model!AH$1,'Assumptions (Biomass)'!$V$9,'Assumptions (Biomass)'!$V$4*Model!$AR$2010*AVERAGE('Assumptions (Biomass)'!$AN$2:$AP$2)/10^9),0)</f>
        <v>0</v>
      </c>
      <c r="BD2108" s="105">
        <f>IF($AR$2010&gt;0,PPMT('Assumptions (Biomass)'!$V$6,Model!AI$1,'Assumptions (Biomass)'!$V$9,'Assumptions (Biomass)'!$V$4*Model!$AR$2010*AVERAGE('Assumptions (Biomass)'!$AN$2:$AP$2)/10^9),0)</f>
        <v>0</v>
      </c>
      <c r="BE2108" s="105">
        <f>IF($AR$2010&gt;0,PPMT('Assumptions (Biomass)'!$V$6,Model!AJ$1,'Assumptions (Biomass)'!$V$9,'Assumptions (Biomass)'!$V$4*Model!$AR$2010*AVERAGE('Assumptions (Biomass)'!$AN$2:$AP$2)/10^9),0)</f>
        <v>0</v>
      </c>
      <c r="BF2108" s="105">
        <f>IF($AR$2010&gt;0,PPMT('Assumptions (Biomass)'!$V$6,Model!AK$1,'Assumptions (Biomass)'!$V$9,'Assumptions (Biomass)'!$V$4*Model!$AR$2010*AVERAGE('Assumptions (Biomass)'!$AN$2:$AP$2)/10^9),0)</f>
        <v>0</v>
      </c>
      <c r="BG2108" s="105"/>
      <c r="BH2108" s="105"/>
      <c r="BI2108" s="105"/>
      <c r="BJ2108" s="105"/>
      <c r="BK2108" s="105"/>
      <c r="BL2108" s="105"/>
      <c r="BM2108" s="105"/>
      <c r="BN2108" s="105"/>
      <c r="BO2108" s="105"/>
      <c r="BP2108" s="105"/>
    </row>
    <row r="2109" spans="1:68" ht="15.75" hidden="1" customHeight="1" outlineLevel="1">
      <c r="A2109" s="441"/>
      <c r="B2109" s="99"/>
      <c r="C2109" s="99"/>
      <c r="D2109" s="99"/>
      <c r="E2109" s="99"/>
      <c r="F2109" s="99"/>
      <c r="G2109" s="99"/>
      <c r="H2109" s="99"/>
      <c r="I2109" s="99"/>
      <c r="J2109" s="99"/>
      <c r="K2109" s="99"/>
      <c r="L2109" s="99"/>
      <c r="M2109" s="99"/>
      <c r="N2109" s="99"/>
      <c r="O2109" s="99"/>
      <c r="P2109" s="99"/>
      <c r="Q2109" s="99"/>
      <c r="R2109" s="99"/>
      <c r="S2109" s="99"/>
      <c r="T2109" s="99"/>
      <c r="U2109" s="99"/>
      <c r="V2109" s="99"/>
      <c r="W2109" s="105"/>
      <c r="X2109" s="105"/>
      <c r="Y2109" s="105"/>
      <c r="Z2109" s="105"/>
      <c r="AA2109" s="105"/>
      <c r="AB2109" s="105"/>
      <c r="AC2109" s="105"/>
      <c r="AD2109" s="105"/>
      <c r="AE2109" s="105"/>
      <c r="AF2109" s="105"/>
      <c r="AG2109" s="105"/>
      <c r="AH2109" s="105"/>
      <c r="AI2109" s="105"/>
      <c r="AJ2109" s="171"/>
      <c r="AK2109" s="105"/>
      <c r="AL2109" s="91"/>
      <c r="AM2109" s="91"/>
      <c r="AN2109" s="91"/>
      <c r="AO2109" s="105"/>
      <c r="AP2109" s="105"/>
      <c r="AQ2109" s="105"/>
      <c r="AR2109" s="105"/>
      <c r="AS2109" s="105">
        <f>IF($AS$2010&gt;0,PPMT('Assumptions (Biomass)'!$V$6,Model!W$1,'Assumptions (Biomass)'!$V$9,'Assumptions (Biomass)'!$V$4*Model!$AS$2010*AVERAGE('Assumptions (Biomass)'!$AO$2:$AQ$2)/10^9),0)</f>
        <v>0</v>
      </c>
      <c r="AT2109" s="105">
        <f>IF($AS$2010&gt;0,PPMT('Assumptions (Biomass)'!$V$6,Model!X$1,'Assumptions (Biomass)'!$V$9,'Assumptions (Biomass)'!$V$4*Model!$AS$2010*AVERAGE('Assumptions (Biomass)'!$AO$2:$AQ$2)/10^9),0)</f>
        <v>0</v>
      </c>
      <c r="AU2109" s="105">
        <f>IF($AS$2010&gt;0,PPMT('Assumptions (Biomass)'!$V$6,Model!Y$1,'Assumptions (Biomass)'!$V$9,'Assumptions (Biomass)'!$V$4*Model!$AS$2010*AVERAGE('Assumptions (Biomass)'!$AO$2:$AQ$2)/10^9),0)</f>
        <v>0</v>
      </c>
      <c r="AV2109" s="105">
        <f>IF($AS$2010&gt;0,PPMT('Assumptions (Biomass)'!$V$6,Model!Z$1,'Assumptions (Biomass)'!$V$9,'Assumptions (Biomass)'!$V$4*Model!$AS$2010*AVERAGE('Assumptions (Biomass)'!$AO$2:$AQ$2)/10^9),0)</f>
        <v>0</v>
      </c>
      <c r="AW2109" s="105">
        <f>IF($AS$2010&gt;0,PPMT('Assumptions (Biomass)'!$V$6,Model!AA$1,'Assumptions (Biomass)'!$V$9,'Assumptions (Biomass)'!$V$4*Model!$AS$2010*AVERAGE('Assumptions (Biomass)'!$AO$2:$AQ$2)/10^9),0)</f>
        <v>0</v>
      </c>
      <c r="AX2109" s="105">
        <f>IF($AS$2010&gt;0,PPMT('Assumptions (Biomass)'!$V$6,Model!AB$1,'Assumptions (Biomass)'!$V$9,'Assumptions (Biomass)'!$V$4*Model!$AS$2010*AVERAGE('Assumptions (Biomass)'!$AO$2:$AQ$2)/10^9),0)</f>
        <v>0</v>
      </c>
      <c r="AY2109" s="105">
        <f>IF($AS$2010&gt;0,PPMT('Assumptions (Biomass)'!$V$6,Model!AC$1,'Assumptions (Biomass)'!$V$9,'Assumptions (Biomass)'!$V$4*Model!$AS$2010*AVERAGE('Assumptions (Biomass)'!$AO$2:$AQ$2)/10^9),0)</f>
        <v>0</v>
      </c>
      <c r="AZ2109" s="105">
        <f>IF($AS$2010&gt;0,PPMT('Assumptions (Biomass)'!$V$6,Model!AD$1,'Assumptions (Biomass)'!$V$9,'Assumptions (Biomass)'!$V$4*Model!$AS$2010*AVERAGE('Assumptions (Biomass)'!$AO$2:$AQ$2)/10^9),0)</f>
        <v>0</v>
      </c>
      <c r="BA2109" s="105">
        <f>IF($AS$2010&gt;0,PPMT('Assumptions (Biomass)'!$V$6,Model!AE$1,'Assumptions (Biomass)'!$V$9,'Assumptions (Biomass)'!$V$4*Model!$AS$2010*AVERAGE('Assumptions (Biomass)'!$AO$2:$AQ$2)/10^9),0)</f>
        <v>0</v>
      </c>
      <c r="BB2109" s="105">
        <f>IF($AS$2010&gt;0,PPMT('Assumptions (Biomass)'!$V$6,Model!AF$1,'Assumptions (Biomass)'!$V$9,'Assumptions (Biomass)'!$V$4*Model!$AS$2010*AVERAGE('Assumptions (Biomass)'!$AO$2:$AQ$2)/10^9),0)</f>
        <v>0</v>
      </c>
      <c r="BC2109" s="105">
        <f>IF($AS$2010&gt;0,PPMT('Assumptions (Biomass)'!$V$6,Model!AG$1,'Assumptions (Biomass)'!$V$9,'Assumptions (Biomass)'!$V$4*Model!$AS$2010*AVERAGE('Assumptions (Biomass)'!$AO$2:$AQ$2)/10^9),0)</f>
        <v>0</v>
      </c>
      <c r="BD2109" s="105">
        <f>IF($AS$2010&gt;0,PPMT('Assumptions (Biomass)'!$V$6,Model!AH$1,'Assumptions (Biomass)'!$V$9,'Assumptions (Biomass)'!$V$4*Model!$AS$2010*AVERAGE('Assumptions (Biomass)'!$AO$2:$AQ$2)/10^9),0)</f>
        <v>0</v>
      </c>
      <c r="BE2109" s="105">
        <f>IF($AS$2010&gt;0,PPMT('Assumptions (Biomass)'!$V$6,Model!AI$1,'Assumptions (Biomass)'!$V$9,'Assumptions (Biomass)'!$V$4*Model!$AS$2010*AVERAGE('Assumptions (Biomass)'!$AO$2:$AQ$2)/10^9),0)</f>
        <v>0</v>
      </c>
      <c r="BF2109" s="105">
        <f>IF($AS$2010&gt;0,PPMT('Assumptions (Biomass)'!$V$6,Model!AJ$1,'Assumptions (Biomass)'!$V$9,'Assumptions (Biomass)'!$V$4*Model!$AS$2010*AVERAGE('Assumptions (Biomass)'!$AO$2:$AQ$2)/10^9),0)</f>
        <v>0</v>
      </c>
      <c r="BG2109" s="105">
        <f>IF($AS$2010&gt;0,PPMT('Assumptions (Biomass)'!$V$6,Model!AK$1,'Assumptions (Biomass)'!$V$9,'Assumptions (Biomass)'!$V$4*Model!$AS$2010*AVERAGE('Assumptions (Biomass)'!$AO$2:$AQ$2)/10^9),0)</f>
        <v>0</v>
      </c>
      <c r="BH2109" s="105"/>
      <c r="BI2109" s="105"/>
      <c r="BJ2109" s="105"/>
      <c r="BK2109" s="105"/>
      <c r="BL2109" s="105"/>
      <c r="BM2109" s="105"/>
      <c r="BN2109" s="105"/>
      <c r="BO2109" s="105"/>
      <c r="BP2109" s="105"/>
    </row>
    <row r="2110" spans="1:68" ht="15.75" hidden="1" customHeight="1" outlineLevel="1">
      <c r="A2110" s="441"/>
      <c r="B2110" s="99"/>
      <c r="C2110" s="99"/>
      <c r="D2110" s="99"/>
      <c r="E2110" s="99"/>
      <c r="F2110" s="99"/>
      <c r="G2110" s="99"/>
      <c r="H2110" s="99"/>
      <c r="I2110" s="99"/>
      <c r="J2110" s="99"/>
      <c r="K2110" s="99"/>
      <c r="L2110" s="99"/>
      <c r="M2110" s="99"/>
      <c r="N2110" s="99"/>
      <c r="O2110" s="99"/>
      <c r="P2110" s="99"/>
      <c r="Q2110" s="99"/>
      <c r="R2110" s="99"/>
      <c r="S2110" s="99"/>
      <c r="T2110" s="99"/>
      <c r="U2110" s="99"/>
      <c r="V2110" s="99"/>
      <c r="W2110" s="105"/>
      <c r="X2110" s="105"/>
      <c r="Y2110" s="105"/>
      <c r="Z2110" s="105"/>
      <c r="AA2110" s="105"/>
      <c r="AB2110" s="105"/>
      <c r="AC2110" s="105"/>
      <c r="AD2110" s="105"/>
      <c r="AE2110" s="105"/>
      <c r="AF2110" s="105"/>
      <c r="AG2110" s="105"/>
      <c r="AH2110" s="105"/>
      <c r="AI2110" s="105"/>
      <c r="AJ2110" s="171"/>
      <c r="AK2110" s="105"/>
      <c r="AL2110" s="91"/>
      <c r="AM2110" s="91"/>
      <c r="AN2110" s="91"/>
      <c r="AO2110" s="105"/>
      <c r="AP2110" s="105"/>
      <c r="AQ2110" s="105"/>
      <c r="AR2110" s="105"/>
      <c r="AS2110" s="105"/>
      <c r="AT2110" s="105">
        <f>IF($AT$2010&gt;0,PPMT('Assumptions (Biomass)'!$V$6,Model!W$1,'Assumptions (Biomass)'!$V$9,'Assumptions (Biomass)'!$V$4*Model!$AT$2010*AVERAGE('Assumptions (Biomass)'!$AP$2:$AR$2)/10^9),0)</f>
        <v>0</v>
      </c>
      <c r="AU2110" s="105">
        <f>IF($AT$2010&gt;0,PPMT('Assumptions (Biomass)'!$V$6,Model!X$1,'Assumptions (Biomass)'!$V$9,'Assumptions (Biomass)'!$V$4*Model!$AT$2010*AVERAGE('Assumptions (Biomass)'!$AP$2:$AR$2)/10^9),0)</f>
        <v>0</v>
      </c>
      <c r="AV2110" s="105">
        <f>IF($AT$2010&gt;0,PPMT('Assumptions (Biomass)'!$V$6,Model!Y$1,'Assumptions (Biomass)'!$V$9,'Assumptions (Biomass)'!$V$4*Model!$AT$2010*AVERAGE('Assumptions (Biomass)'!$AP$2:$AR$2)/10^9),0)</f>
        <v>0</v>
      </c>
      <c r="AW2110" s="105">
        <f>IF($AT$2010&gt;0,PPMT('Assumptions (Biomass)'!$V$6,Model!Z$1,'Assumptions (Biomass)'!$V$9,'Assumptions (Biomass)'!$V$4*Model!$AT$2010*AVERAGE('Assumptions (Biomass)'!$AP$2:$AR$2)/10^9),0)</f>
        <v>0</v>
      </c>
      <c r="AX2110" s="105">
        <f>IF($AT$2010&gt;0,PPMT('Assumptions (Biomass)'!$V$6,Model!AA$1,'Assumptions (Biomass)'!$V$9,'Assumptions (Biomass)'!$V$4*Model!$AT$2010*AVERAGE('Assumptions (Biomass)'!$AP$2:$AR$2)/10^9),0)</f>
        <v>0</v>
      </c>
      <c r="AY2110" s="105">
        <f>IF($AT$2010&gt;0,PPMT('Assumptions (Biomass)'!$V$6,Model!AB$1,'Assumptions (Biomass)'!$V$9,'Assumptions (Biomass)'!$V$4*Model!$AT$2010*AVERAGE('Assumptions (Biomass)'!$AP$2:$AR$2)/10^9),0)</f>
        <v>0</v>
      </c>
      <c r="AZ2110" s="105">
        <f>IF($AT$2010&gt;0,PPMT('Assumptions (Biomass)'!$V$6,Model!AC$1,'Assumptions (Biomass)'!$V$9,'Assumptions (Biomass)'!$V$4*Model!$AT$2010*AVERAGE('Assumptions (Biomass)'!$AP$2:$AR$2)/10^9),0)</f>
        <v>0</v>
      </c>
      <c r="BA2110" s="105">
        <f>IF($AT$2010&gt;0,PPMT('Assumptions (Biomass)'!$V$6,Model!AD$1,'Assumptions (Biomass)'!$V$9,'Assumptions (Biomass)'!$V$4*Model!$AT$2010*AVERAGE('Assumptions (Biomass)'!$AP$2:$AR$2)/10^9),0)</f>
        <v>0</v>
      </c>
      <c r="BB2110" s="105">
        <f>IF($AT$2010&gt;0,PPMT('Assumptions (Biomass)'!$V$6,Model!AE$1,'Assumptions (Biomass)'!$V$9,'Assumptions (Biomass)'!$V$4*Model!$AT$2010*AVERAGE('Assumptions (Biomass)'!$AP$2:$AR$2)/10^9),0)</f>
        <v>0</v>
      </c>
      <c r="BC2110" s="105">
        <f>IF($AT$2010&gt;0,PPMT('Assumptions (Biomass)'!$V$6,Model!AF$1,'Assumptions (Biomass)'!$V$9,'Assumptions (Biomass)'!$V$4*Model!$AT$2010*AVERAGE('Assumptions (Biomass)'!$AP$2:$AR$2)/10^9),0)</f>
        <v>0</v>
      </c>
      <c r="BD2110" s="105">
        <f>IF($AT$2010&gt;0,PPMT('Assumptions (Biomass)'!$V$6,Model!AG$1,'Assumptions (Biomass)'!$V$9,'Assumptions (Biomass)'!$V$4*Model!$AT$2010*AVERAGE('Assumptions (Biomass)'!$AP$2:$AR$2)/10^9),0)</f>
        <v>0</v>
      </c>
      <c r="BE2110" s="105">
        <f>IF($AT$2010&gt;0,PPMT('Assumptions (Biomass)'!$V$6,Model!AH$1,'Assumptions (Biomass)'!$V$9,'Assumptions (Biomass)'!$V$4*Model!$AT$2010*AVERAGE('Assumptions (Biomass)'!$AP$2:$AR$2)/10^9),0)</f>
        <v>0</v>
      </c>
      <c r="BF2110" s="105">
        <f>IF($AT$2010&gt;0,PPMT('Assumptions (Biomass)'!$V$6,Model!AI$1,'Assumptions (Biomass)'!$V$9,'Assumptions (Biomass)'!$V$4*Model!$AT$2010*AVERAGE('Assumptions (Biomass)'!$AP$2:$AR$2)/10^9),0)</f>
        <v>0</v>
      </c>
      <c r="BG2110" s="105">
        <f>IF($AT$2010&gt;0,PPMT('Assumptions (Biomass)'!$V$6,Model!AJ$1,'Assumptions (Biomass)'!$V$9,'Assumptions (Biomass)'!$V$4*Model!$AT$2010*AVERAGE('Assumptions (Biomass)'!$AP$2:$AR$2)/10^9),0)</f>
        <v>0</v>
      </c>
      <c r="BH2110" s="105">
        <f>IF($AT$2010&gt;0,PPMT('Assumptions (Biomass)'!$V$6,Model!AK$1,'Assumptions (Biomass)'!$V$9,'Assumptions (Biomass)'!$V$4*Model!$AT$2010*AVERAGE('Assumptions (Biomass)'!$AP$2:$AR$2)/10^9),0)</f>
        <v>0</v>
      </c>
      <c r="BI2110" s="105"/>
      <c r="BJ2110" s="105"/>
      <c r="BK2110" s="105"/>
      <c r="BL2110" s="105"/>
      <c r="BM2110" s="105"/>
      <c r="BN2110" s="105"/>
      <c r="BO2110" s="105"/>
      <c r="BP2110" s="105"/>
    </row>
    <row r="2111" spans="1:68" ht="15.75" hidden="1" customHeight="1" outlineLevel="1">
      <c r="A2111" s="441"/>
      <c r="B2111" s="99"/>
      <c r="C2111" s="99"/>
      <c r="D2111" s="99"/>
      <c r="E2111" s="99"/>
      <c r="F2111" s="99"/>
      <c r="G2111" s="99"/>
      <c r="H2111" s="99"/>
      <c r="I2111" s="99"/>
      <c r="J2111" s="99"/>
      <c r="K2111" s="99"/>
      <c r="L2111" s="99"/>
      <c r="M2111" s="99"/>
      <c r="N2111" s="99"/>
      <c r="O2111" s="99"/>
      <c r="P2111" s="99"/>
      <c r="Q2111" s="99"/>
      <c r="R2111" s="99"/>
      <c r="S2111" s="99"/>
      <c r="T2111" s="99"/>
      <c r="U2111" s="99"/>
      <c r="V2111" s="99"/>
      <c r="W2111" s="105"/>
      <c r="X2111" s="105"/>
      <c r="Y2111" s="105"/>
      <c r="Z2111" s="105"/>
      <c r="AA2111" s="105"/>
      <c r="AB2111" s="105"/>
      <c r="AC2111" s="105"/>
      <c r="AD2111" s="105"/>
      <c r="AE2111" s="105"/>
      <c r="AF2111" s="105"/>
      <c r="AG2111" s="105"/>
      <c r="AH2111" s="105"/>
      <c r="AI2111" s="105"/>
      <c r="AJ2111" s="171"/>
      <c r="AK2111" s="105"/>
      <c r="AL2111" s="91"/>
      <c r="AM2111" s="91"/>
      <c r="AN2111" s="91"/>
      <c r="AO2111" s="105"/>
      <c r="AP2111" s="105"/>
      <c r="AQ2111" s="105"/>
      <c r="AR2111" s="105"/>
      <c r="AS2111" s="105"/>
      <c r="AT2111" s="105"/>
      <c r="AU2111" s="105">
        <f>IF($AU$2010&gt;0,PPMT('Assumptions (Biomass)'!$V$6,Model!W$1,'Assumptions (Biomass)'!$V$9,'Assumptions (Biomass)'!$V$4*Model!$AU$2010*AVERAGE('Assumptions (Biomass)'!$AQ$2:$AS$2)/10^9),0)</f>
        <v>0</v>
      </c>
      <c r="AV2111" s="105">
        <f>IF($AU$2010&gt;0,PPMT('Assumptions (Biomass)'!$V$6,Model!X$1,'Assumptions (Biomass)'!$V$9,'Assumptions (Biomass)'!$V$4*Model!$AU$2010*AVERAGE('Assumptions (Biomass)'!$AQ$2:$AS$2)/10^9),0)</f>
        <v>0</v>
      </c>
      <c r="AW2111" s="105">
        <f>IF($AU$2010&gt;0,PPMT('Assumptions (Biomass)'!$V$6,Model!Y$1,'Assumptions (Biomass)'!$V$9,'Assumptions (Biomass)'!$V$4*Model!$AU$2010*AVERAGE('Assumptions (Biomass)'!$AQ$2:$AS$2)/10^9),0)</f>
        <v>0</v>
      </c>
      <c r="AX2111" s="105">
        <f>IF($AU$2010&gt;0,PPMT('Assumptions (Biomass)'!$V$6,Model!Z$1,'Assumptions (Biomass)'!$V$9,'Assumptions (Biomass)'!$V$4*Model!$AU$2010*AVERAGE('Assumptions (Biomass)'!$AQ$2:$AS$2)/10^9),0)</f>
        <v>0</v>
      </c>
      <c r="AY2111" s="105">
        <f>IF($AU$2010&gt;0,PPMT('Assumptions (Biomass)'!$V$6,Model!AA$1,'Assumptions (Biomass)'!$V$9,'Assumptions (Biomass)'!$V$4*Model!$AU$2010*AVERAGE('Assumptions (Biomass)'!$AQ$2:$AS$2)/10^9),0)</f>
        <v>0</v>
      </c>
      <c r="AZ2111" s="105">
        <f>IF($AU$2010&gt;0,PPMT('Assumptions (Biomass)'!$V$6,Model!AB$1,'Assumptions (Biomass)'!$V$9,'Assumptions (Biomass)'!$V$4*Model!$AU$2010*AVERAGE('Assumptions (Biomass)'!$AQ$2:$AS$2)/10^9),0)</f>
        <v>0</v>
      </c>
      <c r="BA2111" s="105">
        <f>IF($AU$2010&gt;0,PPMT('Assumptions (Biomass)'!$V$6,Model!AC$1,'Assumptions (Biomass)'!$V$9,'Assumptions (Biomass)'!$V$4*Model!$AU$2010*AVERAGE('Assumptions (Biomass)'!$AQ$2:$AS$2)/10^9),0)</f>
        <v>0</v>
      </c>
      <c r="BB2111" s="105">
        <f>IF($AU$2010&gt;0,PPMT('Assumptions (Biomass)'!$V$6,Model!AD$1,'Assumptions (Biomass)'!$V$9,'Assumptions (Biomass)'!$V$4*Model!$AU$2010*AVERAGE('Assumptions (Biomass)'!$AQ$2:$AS$2)/10^9),0)</f>
        <v>0</v>
      </c>
      <c r="BC2111" s="105">
        <f>IF($AU$2010&gt;0,PPMT('Assumptions (Biomass)'!$V$6,Model!AE$1,'Assumptions (Biomass)'!$V$9,'Assumptions (Biomass)'!$V$4*Model!$AU$2010*AVERAGE('Assumptions (Biomass)'!$AQ$2:$AS$2)/10^9),0)</f>
        <v>0</v>
      </c>
      <c r="BD2111" s="105">
        <f>IF($AU$2010&gt;0,PPMT('Assumptions (Biomass)'!$V$6,Model!AF$1,'Assumptions (Biomass)'!$V$9,'Assumptions (Biomass)'!$V$4*Model!$AU$2010*AVERAGE('Assumptions (Biomass)'!$AQ$2:$AS$2)/10^9),0)</f>
        <v>0</v>
      </c>
      <c r="BE2111" s="105">
        <f>IF($AU$2010&gt;0,PPMT('Assumptions (Biomass)'!$V$6,Model!AG$1,'Assumptions (Biomass)'!$V$9,'Assumptions (Biomass)'!$V$4*Model!$AU$2010*AVERAGE('Assumptions (Biomass)'!$AQ$2:$AS$2)/10^9),0)</f>
        <v>0</v>
      </c>
      <c r="BF2111" s="105">
        <f>IF($AU$2010&gt;0,PPMT('Assumptions (Biomass)'!$V$6,Model!AH$1,'Assumptions (Biomass)'!$V$9,'Assumptions (Biomass)'!$V$4*Model!$AU$2010*AVERAGE('Assumptions (Biomass)'!$AQ$2:$AS$2)/10^9),0)</f>
        <v>0</v>
      </c>
      <c r="BG2111" s="105">
        <f>IF($AU$2010&gt;0,PPMT('Assumptions (Biomass)'!$V$6,Model!AI$1,'Assumptions (Biomass)'!$V$9,'Assumptions (Biomass)'!$V$4*Model!$AU$2010*AVERAGE('Assumptions (Biomass)'!$AQ$2:$AS$2)/10^9),0)</f>
        <v>0</v>
      </c>
      <c r="BH2111" s="105">
        <f>IF($AU$2010&gt;0,PPMT('Assumptions (Biomass)'!$V$6,Model!AJ$1,'Assumptions (Biomass)'!$V$9,'Assumptions (Biomass)'!$V$4*Model!$AU$2010*AVERAGE('Assumptions (Biomass)'!$AQ$2:$AS$2)/10^9),0)</f>
        <v>0</v>
      </c>
      <c r="BI2111" s="105">
        <f>IF($AU$2010&gt;0,PPMT('Assumptions (Biomass)'!$V$6,Model!AK$1,'Assumptions (Biomass)'!$V$9,'Assumptions (Biomass)'!$V$4*Model!$AU$2010*AVERAGE('Assumptions (Biomass)'!$AQ$2:$AS$2)/10^9),0)</f>
        <v>0</v>
      </c>
      <c r="BJ2111" s="105"/>
      <c r="BK2111" s="105"/>
      <c r="BL2111" s="105"/>
      <c r="BM2111" s="105"/>
      <c r="BN2111" s="105"/>
      <c r="BO2111" s="105"/>
      <c r="BP2111" s="105"/>
    </row>
    <row r="2112" spans="1:68" ht="15.75" hidden="1" customHeight="1" outlineLevel="1">
      <c r="A2112" s="441"/>
      <c r="B2112" s="99"/>
      <c r="C2112" s="99"/>
      <c r="D2112" s="99"/>
      <c r="E2112" s="99"/>
      <c r="F2112" s="99"/>
      <c r="G2112" s="99"/>
      <c r="H2112" s="99"/>
      <c r="I2112" s="99"/>
      <c r="J2112" s="99"/>
      <c r="K2112" s="99"/>
      <c r="L2112" s="99"/>
      <c r="M2112" s="99"/>
      <c r="N2112" s="99"/>
      <c r="O2112" s="99"/>
      <c r="P2112" s="99"/>
      <c r="Q2112" s="99"/>
      <c r="R2112" s="99"/>
      <c r="S2112" s="99"/>
      <c r="T2112" s="99"/>
      <c r="U2112" s="99"/>
      <c r="V2112" s="99"/>
      <c r="W2112" s="105"/>
      <c r="X2112" s="105"/>
      <c r="Y2112" s="105"/>
      <c r="Z2112" s="105"/>
      <c r="AA2112" s="105"/>
      <c r="AB2112" s="105"/>
      <c r="AC2112" s="105"/>
      <c r="AD2112" s="105"/>
      <c r="AE2112" s="105"/>
      <c r="AF2112" s="105"/>
      <c r="AG2112" s="105"/>
      <c r="AH2112" s="105"/>
      <c r="AI2112" s="105"/>
      <c r="AJ2112" s="171"/>
      <c r="AK2112" s="105"/>
      <c r="AL2112" s="91"/>
      <c r="AM2112" s="91"/>
      <c r="AN2112" s="91"/>
      <c r="AO2112" s="105"/>
      <c r="AP2112" s="105"/>
      <c r="AQ2112" s="105"/>
      <c r="AR2112" s="105"/>
      <c r="AS2112" s="105"/>
      <c r="AT2112" s="105"/>
      <c r="AU2112" s="105"/>
      <c r="AV2112" s="105">
        <f>IF($AV$2010&gt;0,PPMT('Assumptions (Biomass)'!$V$6,Model!W$1,'Assumptions (Biomass)'!$V$9,'Assumptions (Biomass)'!$V$4*Model!$AV$2010*AVERAGE('Assumptions (Biomass)'!$AR$2:$AT$2)/10^9),0)</f>
        <v>0</v>
      </c>
      <c r="AW2112" s="105">
        <f>IF($AV$2010&gt;0,PPMT('Assumptions (Biomass)'!$V$6,Model!X$1,'Assumptions (Biomass)'!$V$9,'Assumptions (Biomass)'!$V$4*Model!$AV$2010*AVERAGE('Assumptions (Biomass)'!$AR$2:$AT$2)/10^9),0)</f>
        <v>0</v>
      </c>
      <c r="AX2112" s="105">
        <f>IF($AV$2010&gt;0,PPMT('Assumptions (Biomass)'!$V$6,Model!Y$1,'Assumptions (Biomass)'!$V$9,'Assumptions (Biomass)'!$V$4*Model!$AV$2010*AVERAGE('Assumptions (Biomass)'!$AR$2:$AT$2)/10^9),0)</f>
        <v>0</v>
      </c>
      <c r="AY2112" s="105">
        <f>IF($AV$2010&gt;0,PPMT('Assumptions (Biomass)'!$V$6,Model!Z$1,'Assumptions (Biomass)'!$V$9,'Assumptions (Biomass)'!$V$4*Model!$AV$2010*AVERAGE('Assumptions (Biomass)'!$AR$2:$AT$2)/10^9),0)</f>
        <v>0</v>
      </c>
      <c r="AZ2112" s="105">
        <f>IF($AV$2010&gt;0,PPMT('Assumptions (Biomass)'!$V$6,Model!AA$1,'Assumptions (Biomass)'!$V$9,'Assumptions (Biomass)'!$V$4*Model!$AV$2010*AVERAGE('Assumptions (Biomass)'!$AR$2:$AT$2)/10^9),0)</f>
        <v>0</v>
      </c>
      <c r="BA2112" s="105">
        <f>IF($AV$2010&gt;0,PPMT('Assumptions (Biomass)'!$V$6,Model!AB$1,'Assumptions (Biomass)'!$V$9,'Assumptions (Biomass)'!$V$4*Model!$AV$2010*AVERAGE('Assumptions (Biomass)'!$AR$2:$AT$2)/10^9),0)</f>
        <v>0</v>
      </c>
      <c r="BB2112" s="105">
        <f>IF($AV$2010&gt;0,PPMT('Assumptions (Biomass)'!$V$6,Model!AC$1,'Assumptions (Biomass)'!$V$9,'Assumptions (Biomass)'!$V$4*Model!$AV$2010*AVERAGE('Assumptions (Biomass)'!$AR$2:$AT$2)/10^9),0)</f>
        <v>0</v>
      </c>
      <c r="BC2112" s="105">
        <f>IF($AV$2010&gt;0,PPMT('Assumptions (Biomass)'!$V$6,Model!AD$1,'Assumptions (Biomass)'!$V$9,'Assumptions (Biomass)'!$V$4*Model!$AV$2010*AVERAGE('Assumptions (Biomass)'!$AR$2:$AT$2)/10^9),0)</f>
        <v>0</v>
      </c>
      <c r="BD2112" s="105">
        <f>IF($AV$2010&gt;0,PPMT('Assumptions (Biomass)'!$V$6,Model!AE$1,'Assumptions (Biomass)'!$V$9,'Assumptions (Biomass)'!$V$4*Model!$AV$2010*AVERAGE('Assumptions (Biomass)'!$AR$2:$AT$2)/10^9),0)</f>
        <v>0</v>
      </c>
      <c r="BE2112" s="105">
        <f>IF($AV$2010&gt;0,PPMT('Assumptions (Biomass)'!$V$6,Model!AF$1,'Assumptions (Biomass)'!$V$9,'Assumptions (Biomass)'!$V$4*Model!$AV$2010*AVERAGE('Assumptions (Biomass)'!$AR$2:$AT$2)/10^9),0)</f>
        <v>0</v>
      </c>
      <c r="BF2112" s="105">
        <f>IF($AV$2010&gt;0,PPMT('Assumptions (Biomass)'!$V$6,Model!AG$1,'Assumptions (Biomass)'!$V$9,'Assumptions (Biomass)'!$V$4*Model!$AV$2010*AVERAGE('Assumptions (Biomass)'!$AR$2:$AT$2)/10^9),0)</f>
        <v>0</v>
      </c>
      <c r="BG2112" s="105">
        <f>IF($AV$2010&gt;0,PPMT('Assumptions (Biomass)'!$V$6,Model!AH$1,'Assumptions (Biomass)'!$V$9,'Assumptions (Biomass)'!$V$4*Model!$AV$2010*AVERAGE('Assumptions (Biomass)'!$AR$2:$AT$2)/10^9),0)</f>
        <v>0</v>
      </c>
      <c r="BH2112" s="105">
        <f>IF($AV$2010&gt;0,PPMT('Assumptions (Biomass)'!$V$6,Model!AI$1,'Assumptions (Biomass)'!$V$9,'Assumptions (Biomass)'!$V$4*Model!$AV$2010*AVERAGE('Assumptions (Biomass)'!$AR$2:$AT$2)/10^9),0)</f>
        <v>0</v>
      </c>
      <c r="BI2112" s="105">
        <f>IF($AV$2010&gt;0,PPMT('Assumptions (Biomass)'!$V$6,Model!AJ$1,'Assumptions (Biomass)'!$V$9,'Assumptions (Biomass)'!$V$4*Model!$AV$2010*AVERAGE('Assumptions (Biomass)'!$AR$2:$AT$2)/10^9),0)</f>
        <v>0</v>
      </c>
      <c r="BJ2112" s="105">
        <f>IF($AV$2010&gt;0,PPMT('Assumptions (Biomass)'!$V$6,Model!AK$1,'Assumptions (Biomass)'!$V$9,'Assumptions (Biomass)'!$V$4*Model!$AV$2010*AVERAGE('Assumptions (Biomass)'!$AR$2:$AT$2)/10^9),0)</f>
        <v>0</v>
      </c>
      <c r="BK2112" s="105"/>
      <c r="BL2112" s="105"/>
      <c r="BM2112" s="105"/>
      <c r="BN2112" s="105"/>
      <c r="BO2112" s="105"/>
      <c r="BP2112" s="105"/>
    </row>
    <row r="2113" spans="1:68" ht="15.75" hidden="1" customHeight="1" outlineLevel="1">
      <c r="A2113" s="441"/>
      <c r="B2113" s="99"/>
      <c r="C2113" s="99"/>
      <c r="D2113" s="99"/>
      <c r="E2113" s="99"/>
      <c r="F2113" s="99"/>
      <c r="G2113" s="99"/>
      <c r="H2113" s="99"/>
      <c r="I2113" s="99"/>
      <c r="J2113" s="99"/>
      <c r="K2113" s="99"/>
      <c r="L2113" s="99"/>
      <c r="M2113" s="99"/>
      <c r="N2113" s="99"/>
      <c r="O2113" s="99"/>
      <c r="P2113" s="99"/>
      <c r="Q2113" s="99"/>
      <c r="R2113" s="99"/>
      <c r="S2113" s="99"/>
      <c r="T2113" s="99"/>
      <c r="U2113" s="99"/>
      <c r="V2113" s="99"/>
      <c r="W2113" s="105"/>
      <c r="X2113" s="105"/>
      <c r="Y2113" s="105"/>
      <c r="Z2113" s="105"/>
      <c r="AA2113" s="105"/>
      <c r="AB2113" s="105"/>
      <c r="AC2113" s="105"/>
      <c r="AD2113" s="105"/>
      <c r="AE2113" s="105"/>
      <c r="AF2113" s="105"/>
      <c r="AG2113" s="105"/>
      <c r="AH2113" s="105"/>
      <c r="AI2113" s="105"/>
      <c r="AJ2113" s="171"/>
      <c r="AK2113" s="105"/>
      <c r="AL2113" s="91"/>
      <c r="AM2113" s="91"/>
      <c r="AN2113" s="91"/>
      <c r="AO2113" s="105"/>
      <c r="AP2113" s="105"/>
      <c r="AQ2113" s="105"/>
      <c r="AR2113" s="105"/>
      <c r="AS2113" s="105"/>
      <c r="AT2113" s="105"/>
      <c r="AU2113" s="105"/>
      <c r="AV2113" s="105"/>
      <c r="AW2113" s="105">
        <f>IF($AW$2010&gt;0,PPMT('Assumptions (Biomass)'!$V$6,Model!W$1,'Assumptions (Biomass)'!$V$9,'Assumptions (Biomass)'!$V$4*Model!$AW$2010*AVERAGE('Assumptions (Biomass)'!$AS$2:$AU$2)/10^9),0)</f>
        <v>0</v>
      </c>
      <c r="AX2113" s="105">
        <f>IF($AW$2010&gt;0,PPMT('Assumptions (Biomass)'!$V$6,Model!X$1,'Assumptions (Biomass)'!$V$9,'Assumptions (Biomass)'!$V$4*Model!$AW$2010*AVERAGE('Assumptions (Biomass)'!$AS$2:$AU$2)/10^9),0)</f>
        <v>0</v>
      </c>
      <c r="AY2113" s="105">
        <f>IF($AW$2010&gt;0,PPMT('Assumptions (Biomass)'!$V$6,Model!Y$1,'Assumptions (Biomass)'!$V$9,'Assumptions (Biomass)'!$V$4*Model!$AW$2010*AVERAGE('Assumptions (Biomass)'!$AS$2:$AU$2)/10^9),0)</f>
        <v>0</v>
      </c>
      <c r="AZ2113" s="105">
        <f>IF($AW$2010&gt;0,PPMT('Assumptions (Biomass)'!$V$6,Model!Z$1,'Assumptions (Biomass)'!$V$9,'Assumptions (Biomass)'!$V$4*Model!$AW$2010*AVERAGE('Assumptions (Biomass)'!$AS$2:$AU$2)/10^9),0)</f>
        <v>0</v>
      </c>
      <c r="BA2113" s="105">
        <f>IF($AW$2010&gt;0,PPMT('Assumptions (Biomass)'!$V$6,Model!AA$1,'Assumptions (Biomass)'!$V$9,'Assumptions (Biomass)'!$V$4*Model!$AW$2010*AVERAGE('Assumptions (Biomass)'!$AS$2:$AU$2)/10^9),0)</f>
        <v>0</v>
      </c>
      <c r="BB2113" s="105">
        <f>IF($AW$2010&gt;0,PPMT('Assumptions (Biomass)'!$V$6,Model!AB$1,'Assumptions (Biomass)'!$V$9,'Assumptions (Biomass)'!$V$4*Model!$AW$2010*AVERAGE('Assumptions (Biomass)'!$AS$2:$AU$2)/10^9),0)</f>
        <v>0</v>
      </c>
      <c r="BC2113" s="105">
        <f>IF($AW$2010&gt;0,PPMT('Assumptions (Biomass)'!$V$6,Model!AC$1,'Assumptions (Biomass)'!$V$9,'Assumptions (Biomass)'!$V$4*Model!$AW$2010*AVERAGE('Assumptions (Biomass)'!$AS$2:$AU$2)/10^9),0)</f>
        <v>0</v>
      </c>
      <c r="BD2113" s="105">
        <f>IF($AW$2010&gt;0,PPMT('Assumptions (Biomass)'!$V$6,Model!AD$1,'Assumptions (Biomass)'!$V$9,'Assumptions (Biomass)'!$V$4*Model!$AW$2010*AVERAGE('Assumptions (Biomass)'!$AS$2:$AU$2)/10^9),0)</f>
        <v>0</v>
      </c>
      <c r="BE2113" s="105">
        <f>IF($AW$2010&gt;0,PPMT('Assumptions (Biomass)'!$V$6,Model!AE$1,'Assumptions (Biomass)'!$V$9,'Assumptions (Biomass)'!$V$4*Model!$AW$2010*AVERAGE('Assumptions (Biomass)'!$AS$2:$AU$2)/10^9),0)</f>
        <v>0</v>
      </c>
      <c r="BF2113" s="105">
        <f>IF($AW$2010&gt;0,PPMT('Assumptions (Biomass)'!$V$6,Model!AF$1,'Assumptions (Biomass)'!$V$9,'Assumptions (Biomass)'!$V$4*Model!$AW$2010*AVERAGE('Assumptions (Biomass)'!$AS$2:$AU$2)/10^9),0)</f>
        <v>0</v>
      </c>
      <c r="BG2113" s="105">
        <f>IF($AW$2010&gt;0,PPMT('Assumptions (Biomass)'!$V$6,Model!AG$1,'Assumptions (Biomass)'!$V$9,'Assumptions (Biomass)'!$V$4*Model!$AW$2010*AVERAGE('Assumptions (Biomass)'!$AS$2:$AU$2)/10^9),0)</f>
        <v>0</v>
      </c>
      <c r="BH2113" s="105">
        <f>IF($AW$2010&gt;0,PPMT('Assumptions (Biomass)'!$V$6,Model!AH$1,'Assumptions (Biomass)'!$V$9,'Assumptions (Biomass)'!$V$4*Model!$AW$2010*AVERAGE('Assumptions (Biomass)'!$AS$2:$AU$2)/10^9),0)</f>
        <v>0</v>
      </c>
      <c r="BI2113" s="105">
        <f>IF($AW$2010&gt;0,PPMT('Assumptions (Biomass)'!$V$6,Model!AI$1,'Assumptions (Biomass)'!$V$9,'Assumptions (Biomass)'!$V$4*Model!$AW$2010*AVERAGE('Assumptions (Biomass)'!$AS$2:$AU$2)/10^9),0)</f>
        <v>0</v>
      </c>
      <c r="BJ2113" s="105">
        <f>IF($AW$2010&gt;0,PPMT('Assumptions (Biomass)'!$V$6,Model!AJ$1,'Assumptions (Biomass)'!$V$9,'Assumptions (Biomass)'!$V$4*Model!$AW$2010*AVERAGE('Assumptions (Biomass)'!$AS$2:$AU$2)/10^9),0)</f>
        <v>0</v>
      </c>
      <c r="BK2113" s="105">
        <f>IF($AW$2010&gt;0,PPMT('Assumptions (Biomass)'!$V$6,Model!AK$1,'Assumptions (Biomass)'!$V$9,'Assumptions (Biomass)'!$V$4*Model!$AW$2010*AVERAGE('Assumptions (Biomass)'!$AS$2:$AU$2)/10^9),0)</f>
        <v>0</v>
      </c>
      <c r="BL2113" s="105"/>
      <c r="BM2113" s="105"/>
      <c r="BN2113" s="105"/>
      <c r="BO2113" s="105"/>
      <c r="BP2113" s="105"/>
    </row>
    <row r="2114" spans="1:68" ht="15.75" hidden="1" customHeight="1" outlineLevel="1">
      <c r="A2114" s="441"/>
      <c r="B2114" s="99"/>
      <c r="C2114" s="99"/>
      <c r="D2114" s="99"/>
      <c r="E2114" s="99"/>
      <c r="F2114" s="99"/>
      <c r="G2114" s="99"/>
      <c r="H2114" s="99"/>
      <c r="I2114" s="99"/>
      <c r="J2114" s="99"/>
      <c r="K2114" s="99"/>
      <c r="L2114" s="99"/>
      <c r="M2114" s="99"/>
      <c r="N2114" s="99"/>
      <c r="O2114" s="99"/>
      <c r="P2114" s="99"/>
      <c r="Q2114" s="99"/>
      <c r="R2114" s="99"/>
      <c r="S2114" s="99"/>
      <c r="T2114" s="99"/>
      <c r="U2114" s="99"/>
      <c r="V2114" s="99"/>
      <c r="W2114" s="105"/>
      <c r="X2114" s="105"/>
      <c r="Y2114" s="105"/>
      <c r="Z2114" s="105"/>
      <c r="AA2114" s="105"/>
      <c r="AB2114" s="105"/>
      <c r="AC2114" s="105"/>
      <c r="AD2114" s="105"/>
      <c r="AE2114" s="105"/>
      <c r="AF2114" s="105"/>
      <c r="AG2114" s="105"/>
      <c r="AH2114" s="105"/>
      <c r="AI2114" s="105"/>
      <c r="AJ2114" s="171"/>
      <c r="AK2114" s="105"/>
      <c r="AL2114" s="91"/>
      <c r="AM2114" s="91"/>
      <c r="AN2114" s="91"/>
      <c r="AO2114" s="105"/>
      <c r="AP2114" s="105"/>
      <c r="AQ2114" s="105"/>
      <c r="AR2114" s="105"/>
      <c r="AS2114" s="105"/>
      <c r="AT2114" s="105"/>
      <c r="AU2114" s="105"/>
      <c r="AV2114" s="105"/>
      <c r="AW2114" s="105"/>
      <c r="AX2114" s="105">
        <f>IF($AX$2010&gt;0,PPMT('Assumptions (Biomass)'!$V$6,Model!W$1,'Assumptions (Biomass)'!$V$9,'Assumptions (Biomass)'!$V$4*Model!$AX$2010*AVERAGE('Assumptions (Biomass)'!$AT$2:$AV$2)/10^9),0)</f>
        <v>0</v>
      </c>
      <c r="AY2114" s="105">
        <f>IF($AX$2010&gt;0,PPMT('Assumptions (Biomass)'!$V$6,Model!X$1,'Assumptions (Biomass)'!$V$9,'Assumptions (Biomass)'!$V$4*Model!$AX$2010*AVERAGE('Assumptions (Biomass)'!$AT$2:$AV$2)/10^9),0)</f>
        <v>0</v>
      </c>
      <c r="AZ2114" s="105">
        <f>IF($AX$2010&gt;0,PPMT('Assumptions (Biomass)'!$V$6,Model!Y$1,'Assumptions (Biomass)'!$V$9,'Assumptions (Biomass)'!$V$4*Model!$AX$2010*AVERAGE('Assumptions (Biomass)'!$AT$2:$AV$2)/10^9),0)</f>
        <v>0</v>
      </c>
      <c r="BA2114" s="105">
        <f>IF($AX$2010&gt;0,PPMT('Assumptions (Biomass)'!$V$6,Model!Z$1,'Assumptions (Biomass)'!$V$9,'Assumptions (Biomass)'!$V$4*Model!$AX$2010*AVERAGE('Assumptions (Biomass)'!$AT$2:$AV$2)/10^9),0)</f>
        <v>0</v>
      </c>
      <c r="BB2114" s="105">
        <f>IF($AX$2010&gt;0,PPMT('Assumptions (Biomass)'!$V$6,Model!AA$1,'Assumptions (Biomass)'!$V$9,'Assumptions (Biomass)'!$V$4*Model!$AX$2010*AVERAGE('Assumptions (Biomass)'!$AT$2:$AV$2)/10^9),0)</f>
        <v>0</v>
      </c>
      <c r="BC2114" s="105">
        <f>IF($AX$2010&gt;0,PPMT('Assumptions (Biomass)'!$V$6,Model!AB$1,'Assumptions (Biomass)'!$V$9,'Assumptions (Biomass)'!$V$4*Model!$AX$2010*AVERAGE('Assumptions (Biomass)'!$AT$2:$AV$2)/10^9),0)</f>
        <v>0</v>
      </c>
      <c r="BD2114" s="105">
        <f>IF($AX$2010&gt;0,PPMT('Assumptions (Biomass)'!$V$6,Model!AC$1,'Assumptions (Biomass)'!$V$9,'Assumptions (Biomass)'!$V$4*Model!$AX$2010*AVERAGE('Assumptions (Biomass)'!$AT$2:$AV$2)/10^9),0)</f>
        <v>0</v>
      </c>
      <c r="BE2114" s="105">
        <f>IF($AX$2010&gt;0,PPMT('Assumptions (Biomass)'!$V$6,Model!AD$1,'Assumptions (Biomass)'!$V$9,'Assumptions (Biomass)'!$V$4*Model!$AX$2010*AVERAGE('Assumptions (Biomass)'!$AT$2:$AV$2)/10^9),0)</f>
        <v>0</v>
      </c>
      <c r="BF2114" s="105">
        <f>IF($AX$2010&gt;0,PPMT('Assumptions (Biomass)'!$V$6,Model!AE$1,'Assumptions (Biomass)'!$V$9,'Assumptions (Biomass)'!$V$4*Model!$AX$2010*AVERAGE('Assumptions (Biomass)'!$AT$2:$AV$2)/10^9),0)</f>
        <v>0</v>
      </c>
      <c r="BG2114" s="105">
        <f>IF($AX$2010&gt;0,PPMT('Assumptions (Biomass)'!$V$6,Model!AF$1,'Assumptions (Biomass)'!$V$9,'Assumptions (Biomass)'!$V$4*Model!$AX$2010*AVERAGE('Assumptions (Biomass)'!$AT$2:$AV$2)/10^9),0)</f>
        <v>0</v>
      </c>
      <c r="BH2114" s="105">
        <f>IF($AX$2010&gt;0,PPMT('Assumptions (Biomass)'!$V$6,Model!AG$1,'Assumptions (Biomass)'!$V$9,'Assumptions (Biomass)'!$V$4*Model!$AX$2010*AVERAGE('Assumptions (Biomass)'!$AT$2:$AV$2)/10^9),0)</f>
        <v>0</v>
      </c>
      <c r="BI2114" s="105">
        <f>IF($AX$2010&gt;0,PPMT('Assumptions (Biomass)'!$V$6,Model!AH$1,'Assumptions (Biomass)'!$V$9,'Assumptions (Biomass)'!$V$4*Model!$AX$2010*AVERAGE('Assumptions (Biomass)'!$AT$2:$AV$2)/10^9),0)</f>
        <v>0</v>
      </c>
      <c r="BJ2114" s="105">
        <f>IF($AX$2010&gt;0,PPMT('Assumptions (Biomass)'!$V$6,Model!AI$1,'Assumptions (Biomass)'!$V$9,'Assumptions (Biomass)'!$V$4*Model!$AX$2010*AVERAGE('Assumptions (Biomass)'!$AT$2:$AV$2)/10^9),0)</f>
        <v>0</v>
      </c>
      <c r="BK2114" s="105">
        <f>IF($AX$2010&gt;0,PPMT('Assumptions (Biomass)'!$V$6,Model!AJ$1,'Assumptions (Biomass)'!$V$9,'Assumptions (Biomass)'!$V$4*Model!$AX$2010*AVERAGE('Assumptions (Biomass)'!$AT$2:$AV$2)/10^9),0)</f>
        <v>0</v>
      </c>
      <c r="BL2114" s="105">
        <f>IF($AX$2010&gt;0,PPMT('Assumptions (Biomass)'!$V$6,Model!AK$1,'Assumptions (Biomass)'!$V$9,'Assumptions (Biomass)'!$V$4*Model!$AX$2010*AVERAGE('Assumptions (Biomass)'!$AT$2:$AV$2)/10^9),0)</f>
        <v>0</v>
      </c>
      <c r="BM2114" s="105"/>
      <c r="BN2114" s="105"/>
      <c r="BO2114" s="105"/>
      <c r="BP2114" s="105"/>
    </row>
    <row r="2115" spans="1:68" ht="15.75" hidden="1" customHeight="1" outlineLevel="1">
      <c r="A2115" s="441"/>
      <c r="B2115" s="99"/>
      <c r="C2115" s="99"/>
      <c r="D2115" s="99"/>
      <c r="E2115" s="99"/>
      <c r="F2115" s="99"/>
      <c r="G2115" s="99"/>
      <c r="H2115" s="99"/>
      <c r="I2115" s="99"/>
      <c r="J2115" s="99"/>
      <c r="K2115" s="99"/>
      <c r="L2115" s="99"/>
      <c r="M2115" s="99"/>
      <c r="N2115" s="99"/>
      <c r="O2115" s="99"/>
      <c r="P2115" s="99"/>
      <c r="Q2115" s="99"/>
      <c r="R2115" s="99"/>
      <c r="S2115" s="99"/>
      <c r="T2115" s="99"/>
      <c r="U2115" s="99"/>
      <c r="V2115" s="99"/>
      <c r="W2115" s="105"/>
      <c r="X2115" s="105"/>
      <c r="Y2115" s="105"/>
      <c r="Z2115" s="105"/>
      <c r="AA2115" s="105"/>
      <c r="AB2115" s="105"/>
      <c r="AC2115" s="105"/>
      <c r="AD2115" s="105"/>
      <c r="AE2115" s="105"/>
      <c r="AF2115" s="105"/>
      <c r="AG2115" s="105"/>
      <c r="AH2115" s="105"/>
      <c r="AI2115" s="105"/>
      <c r="AJ2115" s="171"/>
      <c r="AK2115" s="105"/>
      <c r="AL2115" s="91"/>
      <c r="AM2115" s="91"/>
      <c r="AN2115" s="91"/>
      <c r="AO2115" s="105"/>
      <c r="AP2115" s="105"/>
      <c r="AQ2115" s="105"/>
      <c r="AR2115" s="105"/>
      <c r="AS2115" s="105"/>
      <c r="AT2115" s="105"/>
      <c r="AU2115" s="105"/>
      <c r="AV2115" s="105"/>
      <c r="AW2115" s="105"/>
      <c r="AX2115" s="105"/>
      <c r="AY2115" s="105">
        <f>IF($AY$2010&gt;0,PPMT('Assumptions (Biomass)'!$V$6,Model!W$1,'Assumptions (Biomass)'!$V$9,'Assumptions (Biomass)'!$V$4*Model!$AY$2010*AVERAGE('Assumptions (Biomass)'!$AU$2:$AW$2)/10^9),0)</f>
        <v>0</v>
      </c>
      <c r="AZ2115" s="105">
        <f>IF($AY$2010&gt;0,PPMT('Assumptions (Biomass)'!$V$6,Model!X$1,'Assumptions (Biomass)'!$V$9,'Assumptions (Biomass)'!$V$4*Model!$AY$2010*AVERAGE('Assumptions (Biomass)'!$AU$2:$AW$2)/10^9),0)</f>
        <v>0</v>
      </c>
      <c r="BA2115" s="105">
        <f>IF($AY$2010&gt;0,PPMT('Assumptions (Biomass)'!$V$6,Model!Y$1,'Assumptions (Biomass)'!$V$9,'Assumptions (Biomass)'!$V$4*Model!$AY$2010*AVERAGE('Assumptions (Biomass)'!$AU$2:$AW$2)/10^9),0)</f>
        <v>0</v>
      </c>
      <c r="BB2115" s="105">
        <f>IF($AY$2010&gt;0,PPMT('Assumptions (Biomass)'!$V$6,Model!Z$1,'Assumptions (Biomass)'!$V$9,'Assumptions (Biomass)'!$V$4*Model!$AY$2010*AVERAGE('Assumptions (Biomass)'!$AU$2:$AW$2)/10^9),0)</f>
        <v>0</v>
      </c>
      <c r="BC2115" s="105">
        <f>IF($AY$2010&gt;0,PPMT('Assumptions (Biomass)'!$V$6,Model!AA$1,'Assumptions (Biomass)'!$V$9,'Assumptions (Biomass)'!$V$4*Model!$AY$2010*AVERAGE('Assumptions (Biomass)'!$AU$2:$AW$2)/10^9),0)</f>
        <v>0</v>
      </c>
      <c r="BD2115" s="105">
        <f>IF($AY$2010&gt;0,PPMT('Assumptions (Biomass)'!$V$6,Model!AB$1,'Assumptions (Biomass)'!$V$9,'Assumptions (Biomass)'!$V$4*Model!$AY$2010*AVERAGE('Assumptions (Biomass)'!$AU$2:$AW$2)/10^9),0)</f>
        <v>0</v>
      </c>
      <c r="BE2115" s="105">
        <f>IF($AY$2010&gt;0,PPMT('Assumptions (Biomass)'!$V$6,Model!AC$1,'Assumptions (Biomass)'!$V$9,'Assumptions (Biomass)'!$V$4*Model!$AY$2010*AVERAGE('Assumptions (Biomass)'!$AU$2:$AW$2)/10^9),0)</f>
        <v>0</v>
      </c>
      <c r="BF2115" s="105">
        <f>IF($AY$2010&gt;0,PPMT('Assumptions (Biomass)'!$V$6,Model!AD$1,'Assumptions (Biomass)'!$V$9,'Assumptions (Biomass)'!$V$4*Model!$AY$2010*AVERAGE('Assumptions (Biomass)'!$AU$2:$AW$2)/10^9),0)</f>
        <v>0</v>
      </c>
      <c r="BG2115" s="105">
        <f>IF($AY$2010&gt;0,PPMT('Assumptions (Biomass)'!$V$6,Model!AE$1,'Assumptions (Biomass)'!$V$9,'Assumptions (Biomass)'!$V$4*Model!$AY$2010*AVERAGE('Assumptions (Biomass)'!$AU$2:$AW$2)/10^9),0)</f>
        <v>0</v>
      </c>
      <c r="BH2115" s="105">
        <f>IF($AY$2010&gt;0,PPMT('Assumptions (Biomass)'!$V$6,Model!AF$1,'Assumptions (Biomass)'!$V$9,'Assumptions (Biomass)'!$V$4*Model!$AY$2010*AVERAGE('Assumptions (Biomass)'!$AU$2:$AW$2)/10^9),0)</f>
        <v>0</v>
      </c>
      <c r="BI2115" s="105">
        <f>IF($AY$2010&gt;0,PPMT('Assumptions (Biomass)'!$V$6,Model!AG$1,'Assumptions (Biomass)'!$V$9,'Assumptions (Biomass)'!$V$4*Model!$AY$2010*AVERAGE('Assumptions (Biomass)'!$AU$2:$AW$2)/10^9),0)</f>
        <v>0</v>
      </c>
      <c r="BJ2115" s="105">
        <f>IF($AY$2010&gt;0,PPMT('Assumptions (Biomass)'!$V$6,Model!AH$1,'Assumptions (Biomass)'!$V$9,'Assumptions (Biomass)'!$V$4*Model!$AY$2010*AVERAGE('Assumptions (Biomass)'!$AU$2:$AW$2)/10^9),0)</f>
        <v>0</v>
      </c>
      <c r="BK2115" s="105">
        <f>IF($AY$2010&gt;0,PPMT('Assumptions (Biomass)'!$V$6,Model!AI$1,'Assumptions (Biomass)'!$V$9,'Assumptions (Biomass)'!$V$4*Model!$AY$2010*AVERAGE('Assumptions (Biomass)'!$AU$2:$AW$2)/10^9),0)</f>
        <v>0</v>
      </c>
      <c r="BL2115" s="105">
        <f>IF($AY$2010&gt;0,PPMT('Assumptions (Biomass)'!$V$6,Model!AJ$1,'Assumptions (Biomass)'!$V$9,'Assumptions (Biomass)'!$V$4*Model!$AY$2010*AVERAGE('Assumptions (Biomass)'!$AU$2:$AW$2)/10^9),0)</f>
        <v>0</v>
      </c>
      <c r="BM2115" s="105">
        <f>IF($AY$2010&gt;0,PPMT('Assumptions (Biomass)'!$V$6,Model!AK$1,'Assumptions (Biomass)'!$V$9,'Assumptions (Biomass)'!$V$4*Model!$AY$2010*AVERAGE('Assumptions (Biomass)'!$AU$2:$AW$2)/10^9),0)</f>
        <v>0</v>
      </c>
      <c r="BN2115" s="105"/>
      <c r="BO2115" s="105"/>
      <c r="BP2115" s="105"/>
    </row>
    <row r="2116" spans="1:68" ht="15.75" hidden="1" customHeight="1" outlineLevel="1">
      <c r="A2116" s="441"/>
      <c r="B2116" s="99"/>
      <c r="C2116" s="99"/>
      <c r="D2116" s="99"/>
      <c r="E2116" s="99"/>
      <c r="F2116" s="99"/>
      <c r="G2116" s="99"/>
      <c r="H2116" s="99"/>
      <c r="I2116" s="99"/>
      <c r="J2116" s="99"/>
      <c r="K2116" s="99"/>
      <c r="L2116" s="99"/>
      <c r="M2116" s="99"/>
      <c r="N2116" s="99"/>
      <c r="O2116" s="99"/>
      <c r="P2116" s="99"/>
      <c r="Q2116" s="99"/>
      <c r="R2116" s="99"/>
      <c r="S2116" s="99"/>
      <c r="T2116" s="99"/>
      <c r="U2116" s="99"/>
      <c r="V2116" s="99"/>
      <c r="W2116" s="105"/>
      <c r="X2116" s="105"/>
      <c r="Y2116" s="105"/>
      <c r="Z2116" s="105"/>
      <c r="AA2116" s="105"/>
      <c r="AB2116" s="105"/>
      <c r="AC2116" s="105"/>
      <c r="AD2116" s="105"/>
      <c r="AE2116" s="105"/>
      <c r="AF2116" s="105"/>
      <c r="AG2116" s="105"/>
      <c r="AH2116" s="105"/>
      <c r="AI2116" s="105"/>
      <c r="AJ2116" s="171"/>
      <c r="AK2116" s="105"/>
      <c r="AL2116" s="91"/>
      <c r="AM2116" s="91"/>
      <c r="AN2116" s="91"/>
      <c r="AO2116" s="105"/>
      <c r="AP2116" s="105"/>
      <c r="AQ2116" s="105"/>
      <c r="AR2116" s="105"/>
      <c r="AS2116" s="105"/>
      <c r="AT2116" s="105"/>
      <c r="AU2116" s="105"/>
      <c r="AV2116" s="105"/>
      <c r="AW2116" s="105"/>
      <c r="AX2116" s="105"/>
      <c r="AY2116" s="105"/>
      <c r="AZ2116" s="105">
        <f>IF($AZ$2010&gt;0,PPMT('Assumptions (Biomass)'!$V$6,Model!W$1,'Assumptions (Biomass)'!$V$9,'Assumptions (Biomass)'!$V$4*Model!$AZ$2010*AVERAGE('Assumptions (Biomass)'!$AV$2:$AX$2)/10^9),0)</f>
        <v>0</v>
      </c>
      <c r="BA2116" s="105">
        <f>IF($AZ$2010&gt;0,PPMT('Assumptions (Biomass)'!$V$6,Model!X$1,'Assumptions (Biomass)'!$V$9,'Assumptions (Biomass)'!$V$4*Model!$AZ$2010*AVERAGE('Assumptions (Biomass)'!$AV$2:$AX$2)/10^9),0)</f>
        <v>0</v>
      </c>
      <c r="BB2116" s="105">
        <f>IF($AZ$2010&gt;0,PPMT('Assumptions (Biomass)'!$V$6,Model!Y$1,'Assumptions (Biomass)'!$V$9,'Assumptions (Biomass)'!$V$4*Model!$AZ$2010*AVERAGE('Assumptions (Biomass)'!$AV$2:$AX$2)/10^9),0)</f>
        <v>0</v>
      </c>
      <c r="BC2116" s="105">
        <f>IF($AZ$2010&gt;0,PPMT('Assumptions (Biomass)'!$V$6,Model!Z$1,'Assumptions (Biomass)'!$V$9,'Assumptions (Biomass)'!$V$4*Model!$AZ$2010*AVERAGE('Assumptions (Biomass)'!$AV$2:$AX$2)/10^9),0)</f>
        <v>0</v>
      </c>
      <c r="BD2116" s="105">
        <f>IF($AZ$2010&gt;0,PPMT('Assumptions (Biomass)'!$V$6,Model!AA$1,'Assumptions (Biomass)'!$V$9,'Assumptions (Biomass)'!$V$4*Model!$AZ$2010*AVERAGE('Assumptions (Biomass)'!$AV$2:$AX$2)/10^9),0)</f>
        <v>0</v>
      </c>
      <c r="BE2116" s="105">
        <f>IF($AZ$2010&gt;0,PPMT('Assumptions (Biomass)'!$V$6,Model!AB$1,'Assumptions (Biomass)'!$V$9,'Assumptions (Biomass)'!$V$4*Model!$AZ$2010*AVERAGE('Assumptions (Biomass)'!$AV$2:$AX$2)/10^9),0)</f>
        <v>0</v>
      </c>
      <c r="BF2116" s="105">
        <f>IF($AZ$2010&gt;0,PPMT('Assumptions (Biomass)'!$V$6,Model!AC$1,'Assumptions (Biomass)'!$V$9,'Assumptions (Biomass)'!$V$4*Model!$AZ$2010*AVERAGE('Assumptions (Biomass)'!$AV$2:$AX$2)/10^9),0)</f>
        <v>0</v>
      </c>
      <c r="BG2116" s="105">
        <f>IF($AZ$2010&gt;0,PPMT('Assumptions (Biomass)'!$V$6,Model!AD$1,'Assumptions (Biomass)'!$V$9,'Assumptions (Biomass)'!$V$4*Model!$AZ$2010*AVERAGE('Assumptions (Biomass)'!$AV$2:$AX$2)/10^9),0)</f>
        <v>0</v>
      </c>
      <c r="BH2116" s="105">
        <f>IF($AZ$2010&gt;0,PPMT('Assumptions (Biomass)'!$V$6,Model!AE$1,'Assumptions (Biomass)'!$V$9,'Assumptions (Biomass)'!$V$4*Model!$AZ$2010*AVERAGE('Assumptions (Biomass)'!$AV$2:$AX$2)/10^9),0)</f>
        <v>0</v>
      </c>
      <c r="BI2116" s="105">
        <f>IF($AZ$2010&gt;0,PPMT('Assumptions (Biomass)'!$V$6,Model!AF$1,'Assumptions (Biomass)'!$V$9,'Assumptions (Biomass)'!$V$4*Model!$AZ$2010*AVERAGE('Assumptions (Biomass)'!$AV$2:$AX$2)/10^9),0)</f>
        <v>0</v>
      </c>
      <c r="BJ2116" s="105">
        <f>IF($AZ$2010&gt;0,PPMT('Assumptions (Biomass)'!$V$6,Model!AG$1,'Assumptions (Biomass)'!$V$9,'Assumptions (Biomass)'!$V$4*Model!$AZ$2010*AVERAGE('Assumptions (Biomass)'!$AV$2:$AX$2)/10^9),0)</f>
        <v>0</v>
      </c>
      <c r="BK2116" s="105">
        <f>IF($AZ$2010&gt;0,PPMT('Assumptions (Biomass)'!$V$6,Model!AH$1,'Assumptions (Biomass)'!$V$9,'Assumptions (Biomass)'!$V$4*Model!$AZ$2010*AVERAGE('Assumptions (Biomass)'!$AV$2:$AX$2)/10^9),0)</f>
        <v>0</v>
      </c>
      <c r="BL2116" s="105">
        <f>IF($AZ$2010&gt;0,PPMT('Assumptions (Biomass)'!$V$6,Model!AI$1,'Assumptions (Biomass)'!$V$9,'Assumptions (Biomass)'!$V$4*Model!$AZ$2010*AVERAGE('Assumptions (Biomass)'!$AV$2:$AX$2)/10^9),0)</f>
        <v>0</v>
      </c>
      <c r="BM2116" s="105">
        <f>IF($AZ$2010&gt;0,PPMT('Assumptions (Biomass)'!$V$6,Model!AJ$1,'Assumptions (Biomass)'!$V$9,'Assumptions (Biomass)'!$V$4*Model!$AZ$2010*AVERAGE('Assumptions (Biomass)'!$AV$2:$AX$2)/10^9),0)</f>
        <v>0</v>
      </c>
      <c r="BN2116" s="105">
        <f>IF($AZ$2010&gt;0,PPMT('Assumptions (Biomass)'!$V$6,Model!AK$1,'Assumptions (Biomass)'!$V$9,'Assumptions (Biomass)'!$V$4*Model!$AZ$2010*AVERAGE('Assumptions (Biomass)'!$AV$2:$AX$2)/10^9),0)</f>
        <v>0</v>
      </c>
      <c r="BO2116" s="105"/>
      <c r="BP2116" s="105"/>
    </row>
    <row r="2117" spans="1:68" ht="15.75" hidden="1" customHeight="1" outlineLevel="1">
      <c r="A2117" s="441"/>
      <c r="B2117" s="99"/>
      <c r="C2117" s="99"/>
      <c r="D2117" s="99"/>
      <c r="E2117" s="99"/>
      <c r="F2117" s="99"/>
      <c r="G2117" s="99"/>
      <c r="H2117" s="99"/>
      <c r="I2117" s="99"/>
      <c r="J2117" s="99"/>
      <c r="K2117" s="99"/>
      <c r="L2117" s="99"/>
      <c r="M2117" s="99"/>
      <c r="N2117" s="99"/>
      <c r="O2117" s="99"/>
      <c r="P2117" s="99"/>
      <c r="Q2117" s="99"/>
      <c r="R2117" s="99"/>
      <c r="S2117" s="99"/>
      <c r="T2117" s="99"/>
      <c r="U2117" s="99"/>
      <c r="V2117" s="99"/>
      <c r="W2117" s="105"/>
      <c r="X2117" s="105"/>
      <c r="Y2117" s="105"/>
      <c r="Z2117" s="105"/>
      <c r="AA2117" s="105"/>
      <c r="AB2117" s="105"/>
      <c r="AC2117" s="105"/>
      <c r="AD2117" s="105"/>
      <c r="AE2117" s="105"/>
      <c r="AF2117" s="105"/>
      <c r="AG2117" s="105"/>
      <c r="AH2117" s="105"/>
      <c r="AI2117" s="105"/>
      <c r="AJ2117" s="171"/>
      <c r="AK2117" s="105"/>
      <c r="AL2117" s="91"/>
      <c r="AM2117" s="91"/>
      <c r="AN2117" s="91"/>
      <c r="AO2117" s="105"/>
      <c r="AP2117" s="105"/>
      <c r="AQ2117" s="105"/>
      <c r="AR2117" s="105"/>
      <c r="AS2117" s="105"/>
      <c r="AT2117" s="105"/>
      <c r="AU2117" s="105"/>
      <c r="AV2117" s="105"/>
      <c r="AW2117" s="105"/>
      <c r="AX2117" s="105"/>
      <c r="AY2117" s="105"/>
      <c r="AZ2117" s="105"/>
      <c r="BA2117" s="105">
        <f>IF($BA$2010&gt;0,PPMT('Assumptions (Biomass)'!$V$6,Model!W$1,'Assumptions (Biomass)'!$V$9,'Assumptions (Biomass)'!$V$4*Model!$BA$2010*AVERAGE('Assumptions (Biomass)'!$AW$2:$AY$2)/10^9),0)</f>
        <v>0</v>
      </c>
      <c r="BB2117" s="105">
        <f>IF($BA$2010&gt;0,PPMT('Assumptions (Biomass)'!$V$6,Model!X$1,'Assumptions (Biomass)'!$V$9,'Assumptions (Biomass)'!$V$4*Model!$BA$2010*AVERAGE('Assumptions (Biomass)'!$AW$2:$AY$2)/10^9),0)</f>
        <v>0</v>
      </c>
      <c r="BC2117" s="105">
        <f>IF($BA$2010&gt;0,PPMT('Assumptions (Biomass)'!$V$6,Model!Y$1,'Assumptions (Biomass)'!$V$9,'Assumptions (Biomass)'!$V$4*Model!$BA$2010*AVERAGE('Assumptions (Biomass)'!$AW$2:$AY$2)/10^9),0)</f>
        <v>0</v>
      </c>
      <c r="BD2117" s="105">
        <f>IF($BA$2010&gt;0,PPMT('Assumptions (Biomass)'!$V$6,Model!Z$1,'Assumptions (Biomass)'!$V$9,'Assumptions (Biomass)'!$V$4*Model!$BA$2010*AVERAGE('Assumptions (Biomass)'!$AW$2:$AY$2)/10^9),0)</f>
        <v>0</v>
      </c>
      <c r="BE2117" s="105">
        <f>IF($BA$2010&gt;0,PPMT('Assumptions (Biomass)'!$V$6,Model!AA$1,'Assumptions (Biomass)'!$V$9,'Assumptions (Biomass)'!$V$4*Model!$BA$2010*AVERAGE('Assumptions (Biomass)'!$AW$2:$AY$2)/10^9),0)</f>
        <v>0</v>
      </c>
      <c r="BF2117" s="105">
        <f>IF($BA$2010&gt;0,PPMT('Assumptions (Biomass)'!$V$6,Model!AB$1,'Assumptions (Biomass)'!$V$9,'Assumptions (Biomass)'!$V$4*Model!$BA$2010*AVERAGE('Assumptions (Biomass)'!$AW$2:$AY$2)/10^9),0)</f>
        <v>0</v>
      </c>
      <c r="BG2117" s="105">
        <f>IF($BA$2010&gt;0,PPMT('Assumptions (Biomass)'!$V$6,Model!AC$1,'Assumptions (Biomass)'!$V$9,'Assumptions (Biomass)'!$V$4*Model!$BA$2010*AVERAGE('Assumptions (Biomass)'!$AW$2:$AY$2)/10^9),0)</f>
        <v>0</v>
      </c>
      <c r="BH2117" s="105">
        <f>IF($BA$2010&gt;0,PPMT('Assumptions (Biomass)'!$V$6,Model!AD$1,'Assumptions (Biomass)'!$V$9,'Assumptions (Biomass)'!$V$4*Model!$BA$2010*AVERAGE('Assumptions (Biomass)'!$AW$2:$AY$2)/10^9),0)</f>
        <v>0</v>
      </c>
      <c r="BI2117" s="105">
        <f>IF($BA$2010&gt;0,PPMT('Assumptions (Biomass)'!$V$6,Model!AE$1,'Assumptions (Biomass)'!$V$9,'Assumptions (Biomass)'!$V$4*Model!$BA$2010*AVERAGE('Assumptions (Biomass)'!$AW$2:$AY$2)/10^9),0)</f>
        <v>0</v>
      </c>
      <c r="BJ2117" s="105">
        <f>IF($BA$2010&gt;0,PPMT('Assumptions (Biomass)'!$V$6,Model!AF$1,'Assumptions (Biomass)'!$V$9,'Assumptions (Biomass)'!$V$4*Model!$BA$2010*AVERAGE('Assumptions (Biomass)'!$AW$2:$AY$2)/10^9),0)</f>
        <v>0</v>
      </c>
      <c r="BK2117" s="105">
        <f>IF($BA$2010&gt;0,PPMT('Assumptions (Biomass)'!$V$6,Model!AG$1,'Assumptions (Biomass)'!$V$9,'Assumptions (Biomass)'!$V$4*Model!$BA$2010*AVERAGE('Assumptions (Biomass)'!$AW$2:$AY$2)/10^9),0)</f>
        <v>0</v>
      </c>
      <c r="BL2117" s="105">
        <f>IF($BA$2010&gt;0,PPMT('Assumptions (Biomass)'!$V$6,Model!AH$1,'Assumptions (Biomass)'!$V$9,'Assumptions (Biomass)'!$V$4*Model!$BA$2010*AVERAGE('Assumptions (Biomass)'!$AW$2:$AY$2)/10^9),0)</f>
        <v>0</v>
      </c>
      <c r="BM2117" s="105">
        <f>IF($BA$2010&gt;0,PPMT('Assumptions (Biomass)'!$V$6,Model!AI$1,'Assumptions (Biomass)'!$V$9,'Assumptions (Biomass)'!$V$4*Model!$BA$2010*AVERAGE('Assumptions (Biomass)'!$AW$2:$AY$2)/10^9),0)</f>
        <v>0</v>
      </c>
      <c r="BN2117" s="105">
        <f>IF($BA$2010&gt;0,PPMT('Assumptions (Biomass)'!$V$6,Model!AJ$1,'Assumptions (Biomass)'!$V$9,'Assumptions (Biomass)'!$V$4*Model!$BA$2010*AVERAGE('Assumptions (Biomass)'!$AW$2:$AY$2)/10^9),0)</f>
        <v>0</v>
      </c>
      <c r="BO2117" s="105">
        <f>IF($BA$2010&gt;0,PPMT('Assumptions (Biomass)'!$V$6,Model!AK$1,'Assumptions (Biomass)'!$V$9,'Assumptions (Biomass)'!$V$4*Model!$BA$2010*AVERAGE('Assumptions (Biomass)'!$AW$2:$AY$2)/10^9),0)</f>
        <v>0</v>
      </c>
      <c r="BP2117" s="105"/>
    </row>
    <row r="2118" spans="1:68" ht="15.75" customHeight="1" collapsed="1">
      <c r="A2118" s="443" t="s">
        <v>709</v>
      </c>
      <c r="B2118" s="99" t="s">
        <v>201</v>
      </c>
      <c r="C2118" s="91">
        <f t="array" ref="C2118">SUM(IF(ISERROR(C2119:C2169),"",C2119:C2169))</f>
        <v>-4.7099163933673642E-4</v>
      </c>
      <c r="D2118" s="91">
        <f t="array" ref="D2118">SUM(IF(ISERROR(D2119:D2169),"",D2119:D2169))</f>
        <v>-6.4391757926433374E-3</v>
      </c>
      <c r="E2118" s="91">
        <f t="array" ref="E2118">SUM(IF(ISERROR(E2119:E2169),"",E2119:E2169))</f>
        <v>-6.6458696768445166E-3</v>
      </c>
      <c r="F2118" s="91">
        <f t="array" ref="F2118">SUM(IF(ISERROR(F2119:F2169),"",F2119:F2169))</f>
        <v>-1.0707786510510171E-2</v>
      </c>
      <c r="G2118" s="91">
        <f t="array" ref="G2118">SUM(IF(ISERROR(G2119:G2169),"",G2119:G2169))</f>
        <v>-1.4541468861672671E-2</v>
      </c>
      <c r="H2118" s="91">
        <f t="array" ref="H2118">SUM(IF(ISERROR(H2119:H2169),"",H2119:H2169))</f>
        <v>-1.3877681381333884E-2</v>
      </c>
      <c r="I2118" s="91">
        <f t="array" ref="I2118">SUM(IF(ISERROR(I2119:I2169),"",I2119:I2169))</f>
        <v>-2.1314055138731837E-2</v>
      </c>
      <c r="J2118" s="91">
        <f t="array" ref="J2118">SUM(IF(ISERROR(J2119:J2169),"",J2119:J2169))</f>
        <v>-2.8801471380836795E-2</v>
      </c>
      <c r="K2118" s="91">
        <f t="array" ref="K2118">SUM(IF(ISERROR(K2119:K2169),"",K2119:K2169))</f>
        <v>-3.6926000278641541E-2</v>
      </c>
      <c r="L2118" s="91">
        <f t="array" ref="L2118">SUM(IF(ISERROR(L2119:L2169),"",L2119:L2169))</f>
        <v>-4.5171637486551876E-2</v>
      </c>
      <c r="M2118" s="91">
        <f t="array" ref="M2118">SUM(IF(ISERROR(M2119:M2169),"",M2119:M2169))</f>
        <v>-4.9441720954142905E-2</v>
      </c>
      <c r="N2118" s="91">
        <f t="array" ref="N2118">SUM(IF(ISERROR(N2119:N2169),"",N2119:N2169))</f>
        <v>-5.8488424105700376E-2</v>
      </c>
      <c r="O2118" s="91">
        <f t="array" ref="O2118">SUM(IF(ISERROR(O2119:O2169),"",O2119:O2169))</f>
        <v>-7.1010103106867534E-2</v>
      </c>
      <c r="P2118" s="91">
        <f t="array" ref="P2118">SUM(IF(ISERROR(P2119:P2169),"",P2119:P2169))</f>
        <v>-0.12045764979165116</v>
      </c>
      <c r="Q2118" s="91">
        <f t="array" ref="Q2118">SUM(IF(ISERROR(Q2119:Q2169),"",Q2119:Q2169))</f>
        <v>-0.12449083718076555</v>
      </c>
      <c r="R2118" s="91">
        <f t="array" ref="R2118">SUM(IF(ISERROR(R2119:R2169),"",R2119:R2169))</f>
        <v>-0.12828726577998265</v>
      </c>
      <c r="S2118" s="91">
        <f t="array" ref="S2118">SUM(IF(ISERROR(S2119:S2169),"",S2119:S2169))</f>
        <v>-0.11992069800612366</v>
      </c>
      <c r="T2118" s="91">
        <f t="array" ref="T2118">SUM(IF(ISERROR(T2119:T2169),"",T2119:T2169))</f>
        <v>-0.1225880882994046</v>
      </c>
      <c r="U2118" s="91">
        <f t="array" ref="U2118">SUM(IF(ISERROR(U2119:U2169),"",U2119:U2169))</f>
        <v>-0.11351362167776514</v>
      </c>
      <c r="V2118" s="91">
        <f t="array" ref="V2118">SUM(IF(ISERROR(V2119:V2169),"",V2119:V2169))</f>
        <v>-0.11882497076218484</v>
      </c>
      <c r="W2118" s="91">
        <f t="array" ref="W2118">SUM(IF(ISERROR(W2119:W2169),"",W2119:W2169))</f>
        <v>-0.11228449578495923</v>
      </c>
      <c r="X2118" s="91">
        <f t="array" ref="X2118">SUM(IF(ISERROR(X2119:X2169),"",X2119:X2169))</f>
        <v>-9.9577629519899485E-2</v>
      </c>
      <c r="Y2118" s="91">
        <f t="array" ref="Y2118">SUM(IF(ISERROR(Y2119:Y2169),"",Y2119:Y2169))</f>
        <v>-8.705200863590358E-2</v>
      </c>
      <c r="Z2118" s="91">
        <f t="array" ref="Z2118">SUM(IF(ISERROR(Z2119:Z2169),"",Z2119:Z2169))</f>
        <v>-7.4761958142616172E-2</v>
      </c>
      <c r="AA2118" s="91">
        <f t="array" ref="AA2118">SUM(IF(ISERROR(AA2119:AA2169),"",AA2119:AA2169))</f>
        <v>-6.2823997323538827E-2</v>
      </c>
      <c r="AB2118" s="91">
        <f t="array" ref="AB2118">SUM(IF(ISERROR(AB2119:AB2169),"",AB2119:AB2169))</f>
        <v>-5.1318414027291398E-2</v>
      </c>
      <c r="AC2118" s="91">
        <f t="array" ref="AC2118">SUM(IF(ISERROR(AC2119:AC2169),"",AC2119:AC2169))</f>
        <v>-3.9946745216820484E-2</v>
      </c>
      <c r="AD2118" s="91">
        <f t="array" ref="AD2118">SUM(IF(ISERROR(AD2119:AD2169),"",AD2119:AD2169))</f>
        <v>-2.9213037548032384E-2</v>
      </c>
      <c r="AE2118" s="91">
        <f t="array" ref="AE2118">SUM(IF(ISERROR(AE2119:AE2169),"",AE2119:AE2169))</f>
        <v>-1.9547636843504905E-2</v>
      </c>
      <c r="AF2118" s="91">
        <f t="array" ref="AF2118">SUM(IF(ISERROR(AF2119:AF2169),"",AF2119:AF2169))</f>
        <v>-1.4592094470729447E-2</v>
      </c>
      <c r="AG2118" s="91">
        <f t="array" ref="AG2118">SUM(IF(ISERROR(AG2119:AG2169),"",AG2119:AG2169))</f>
        <v>-1.053556221869759E-2</v>
      </c>
      <c r="AH2118" s="91">
        <f t="array" ref="AH2118">SUM(IF(ISERROR(AH2119:AH2169),"",AH2119:AH2169))</f>
        <v>-7.4876221747106671E-3</v>
      </c>
      <c r="AI2118" s="91">
        <f t="array" ref="AI2118">SUM(IF(ISERROR(AI2119:AI2169),"",AI2119:AI2169))</f>
        <v>-4.4365691438984674E-3</v>
      </c>
      <c r="AJ2118" s="91">
        <f t="array" ref="AJ2118">SUM(IF(ISERROR(AJ2119:AJ2169),"",AJ2119:AJ2169))</f>
        <v>-2.4247195362951746E-3</v>
      </c>
      <c r="AK2118" s="91">
        <f t="array" ref="AK2118">SUM(IF(ISERROR(AK2119:AK2169),"",AK2119:AK2169))</f>
        <v>-4.8479275135432945E-4</v>
      </c>
      <c r="AL2118" s="91">
        <f t="array" ref="AL2118">SUM(IF(ISERROR(AL2119:AL2169),"",AL2119:AL2169))</f>
        <v>0</v>
      </c>
      <c r="AM2118" s="91">
        <f t="array" ref="AM2118">SUM(IF(ISERROR(AM2119:AM2169),"",AM2119:AM2169))</f>
        <v>0</v>
      </c>
      <c r="AN2118" s="91">
        <f t="array" ref="AN2118">SUM(IF(ISERROR(AN2119:AN2169),"",AN2119:AN2169))</f>
        <v>0</v>
      </c>
      <c r="AO2118" s="91">
        <f t="array" ref="AO2118">SUM(IF(ISERROR(AO2119:AO2169),"",AO2119:AO2169))</f>
        <v>0</v>
      </c>
      <c r="AP2118" s="91">
        <f t="array" ref="AP2118">SUM(IF(ISERROR(AP2119:AP2169),"",AP2119:AP2169))</f>
        <v>0</v>
      </c>
      <c r="AQ2118" s="91">
        <f t="array" ref="AQ2118">SUM(IF(ISERROR(AQ2119:AQ2169),"",AQ2119:AQ2169))</f>
        <v>0</v>
      </c>
      <c r="AR2118" s="91">
        <f t="array" ref="AR2118">SUM(IF(ISERROR(AR2119:AR2169),"",AR2119:AR2169))</f>
        <v>0</v>
      </c>
      <c r="AS2118" s="91">
        <f t="array" ref="AS2118">SUM(IF(ISERROR(AS2119:AS2169),"",AS2119:AS2169))</f>
        <v>0</v>
      </c>
      <c r="AT2118" s="91">
        <f t="array" ref="AT2118">SUM(IF(ISERROR(AT2119:AT2169),"",AT2119:AT2169))</f>
        <v>0</v>
      </c>
      <c r="AU2118" s="91">
        <f t="array" ref="AU2118">SUM(IF(ISERROR(AU2119:AU2169),"",AU2119:AU2169))</f>
        <v>0</v>
      </c>
      <c r="AV2118" s="91">
        <f t="array" ref="AV2118">SUM(IF(ISERROR(AV2119:AV2169),"",AV2119:AV2169))</f>
        <v>0</v>
      </c>
      <c r="AW2118" s="91">
        <f t="array" ref="AW2118">SUM(IF(ISERROR(AW2119:AW2169),"",AW2119:AW2169))</f>
        <v>0</v>
      </c>
      <c r="AX2118" s="91">
        <f t="array" ref="AX2118">SUM(IF(ISERROR(AX2119:AX2169),"",AX2119:AX2169))</f>
        <v>0</v>
      </c>
      <c r="AY2118" s="91">
        <f t="array" ref="AY2118">SUM(IF(ISERROR(AY2119:AY2169),"",AY2119:AY2169))</f>
        <v>0</v>
      </c>
      <c r="AZ2118" s="91">
        <f t="array" ref="AZ2118">SUM(IF(ISERROR(AZ2119:AZ2169),"",AZ2119:AZ2169))</f>
        <v>0</v>
      </c>
      <c r="BA2118" s="91">
        <f t="array" ref="BA2118">SUM(IF(ISERROR(BA2119:BA2169),"",BA2119:BA2169))</f>
        <v>0</v>
      </c>
      <c r="BB2118" s="91">
        <f t="array" ref="BB2118">SUM(IF(ISERROR(BB2119:BB2169),"",BB2119:BB2169))</f>
        <v>0</v>
      </c>
      <c r="BC2118" s="91">
        <f t="array" ref="BC2118">SUM(IF(ISERROR(BC2119:BC2169),"",BC2119:BC2169))</f>
        <v>0</v>
      </c>
      <c r="BD2118" s="91">
        <f t="array" ref="BD2118">SUM(IF(ISERROR(BD2119:BD2169),"",BD2119:BD2169))</f>
        <v>0</v>
      </c>
      <c r="BE2118" s="91">
        <f t="array" ref="BE2118">SUM(IF(ISERROR(BE2119:BE2169),"",BE2119:BE2169))</f>
        <v>0</v>
      </c>
      <c r="BF2118" s="91">
        <f t="array" ref="BF2118">SUM(IF(ISERROR(BF2119:BF2169),"",BF2119:BF2169))</f>
        <v>0</v>
      </c>
      <c r="BG2118" s="91">
        <f t="array" ref="BG2118">SUM(IF(ISERROR(BG2119:BG2169),"",BG2119:BG2169))</f>
        <v>0</v>
      </c>
      <c r="BH2118" s="91">
        <f t="array" ref="BH2118">SUM(IF(ISERROR(BH2119:BH2169),"",BH2119:BH2169))</f>
        <v>0</v>
      </c>
      <c r="BI2118" s="91">
        <f t="array" ref="BI2118">SUM(IF(ISERROR(BI2119:BI2169),"",BI2119:BI2169))</f>
        <v>0</v>
      </c>
      <c r="BJ2118" s="91">
        <f t="array" ref="BJ2118">SUM(IF(ISERROR(BJ2119:BJ2169),"",BJ2119:BJ2169))</f>
        <v>0</v>
      </c>
      <c r="BK2118" s="91">
        <f t="array" ref="BK2118">SUM(IF(ISERROR(BK2119:BK2169),"",BK2119:BK2169))</f>
        <v>0</v>
      </c>
      <c r="BL2118" s="91">
        <f t="array" ref="BL2118">SUM(IF(ISERROR(BL2119:BL2169),"",BL2119:BL2169))</f>
        <v>0</v>
      </c>
      <c r="BM2118" s="91">
        <f t="array" ref="BM2118">SUM(IF(ISERROR(BM2119:BM2169),"",BM2119:BM2169))</f>
        <v>0</v>
      </c>
      <c r="BN2118" s="91">
        <f t="array" ref="BN2118">SUM(IF(ISERROR(BN2119:BN2169),"",BN2119:BN2169))</f>
        <v>0</v>
      </c>
      <c r="BO2118" s="91">
        <f t="array" ref="BO2118">SUM(IF(ISERROR(BO2119:BO2169),"",BO2119:BO2169))</f>
        <v>0</v>
      </c>
    </row>
    <row r="2119" spans="1:68" ht="15.75" hidden="1" customHeight="1" outlineLevel="1">
      <c r="A2119" s="441"/>
      <c r="B2119" s="99"/>
      <c r="C2119" s="91">
        <f>IF($C$2010&gt;0,IPMT('Assumptions (Biomass)'!$V$6,Model!W$1,'Assumptions (Biomass)'!$V$9,'Assumptions (Biomass)'!$V$4*Model!$C$2010*'Assumptions (Biomass)'!$B$2/10^9),0)</f>
        <v>-4.7099163933673642E-4</v>
      </c>
      <c r="D2119" s="91">
        <f>IF($C$2010&gt;0,IPMT('Assumptions (Biomass)'!$V$6,Model!X$1,'Assumptions (Biomass)'!$V$9,'Assumptions (Biomass)'!$V$4*Model!$C$2010*'Assumptions (Biomass)'!$B$2/10^9),0)</f>
        <v>-4.4875087982922059E-4</v>
      </c>
      <c r="E2119" s="91">
        <f>IF($C$2010&gt;0,IPMT('Assumptions (Biomass)'!$V$6,Model!Y$1,'Assumptions (Biomass)'!$V$9,'Assumptions (Biomass)'!$V$4*Model!$C$2010*'Assumptions (Biomass)'!$B$2/10^9),0)</f>
        <v>-4.2545368424509776E-4</v>
      </c>
      <c r="F2119" s="91">
        <f>IF($C$2010&gt;0,IPMT('Assumptions (Biomass)'!$V$6,Model!Z$1,'Assumptions (Biomass)'!$V$9,'Assumptions (Biomass)'!$V$4*Model!$C$2010*'Assumptions (Biomass)'!$B$2/10^9),0)</f>
        <v>-4.0104987187072926E-4</v>
      </c>
      <c r="G2119" s="91">
        <f>IF($C$2010&gt;0,IPMT('Assumptions (Biomass)'!$V$6,Model!AA$1,'Assumptions (Biomass)'!$V$9,'Assumptions (Biomass)'!$V$4*Model!$C$2010*'Assumptions (Biomass)'!$B$2/10^9),0)</f>
        <v>-3.7548687840857815E-4</v>
      </c>
      <c r="H2119" s="91">
        <f>IF($C$2010&gt;0,IPMT('Assumptions (Biomass)'!$V$6,Model!AB$1,'Assumptions (Biomass)'!$V$9,'Assumptions (Biomass)'!$V$4*Model!$C$2010*'Assumptions (Biomass)'!$B$2/10^9),0)</f>
        <v>-3.4870964275697481E-4</v>
      </c>
      <c r="I2119" s="91">
        <f>IF($C$2010&gt;0,IPMT('Assumptions (Biomass)'!$V$6,Model!AC$1,'Assumptions (Biomass)'!$V$9,'Assumptions (Biomass)'!$V$4*Model!$C$2010*'Assumptions (Biomass)'!$B$2/10^9),0)</f>
        <v>-3.206604884119204E-4</v>
      </c>
      <c r="J2119" s="91">
        <f>IF($C$2010&gt;0,IPMT('Assumptions (Biomass)'!$V$6,Model!AD$1,'Assumptions (Biomass)'!$V$9,'Assumptions (Biomass)'!$V$4*Model!$C$2010*'Assumptions (Biomass)'!$B$2/10^9),0)</f>
        <v>-2.9127899923547584E-4</v>
      </c>
      <c r="K2119" s="91">
        <f>IF($C$2010&gt;0,IPMT('Assumptions (Biomass)'!$V$6,Model!AE$1,'Assumptions (Biomass)'!$V$9,'Assumptions (Biomass)'!$V$4*Model!$C$2010*'Assumptions (Biomass)'!$B$2/10^9),0)</f>
        <v>-2.6050188932315023E-4</v>
      </c>
      <c r="L2119" s="91">
        <f>IF($C$2010&gt;0,IPMT('Assumptions (Biomass)'!$V$6,Model!AF$1,'Assumptions (Biomass)'!$V$9,'Assumptions (Biomass)'!$V$4*Model!$C$2010*'Assumptions (Biomass)'!$B$2/10^9),0)</f>
        <v>-2.2826286668998916E-4</v>
      </c>
      <c r="M2119" s="91">
        <f>IF($C$2010&gt;0,IPMT('Assumptions (Biomass)'!$V$6,Model!AG$1,'Assumptions (Biomass)'!$V$9,'Assumptions (Biomass)'!$V$4*Model!$C$2010*'Assumptions (Biomass)'!$B$2/10^9),0)</f>
        <v>-1.9449249048175289E-4</v>
      </c>
      <c r="N2119" s="91">
        <f>IF($C$2010&gt;0,IPMT('Assumptions (Biomass)'!$V$6,Model!AH$1,'Assumptions (Biomass)'!$V$9,'Assumptions (Biomass)'!$V$4*Model!$C$2010*'Assumptions (Biomass)'!$B$2/10^9),0)</f>
        <v>-1.591180214036254E-4</v>
      </c>
      <c r="O2119" s="91">
        <f>IF($C$2010&gt;0,IPMT('Assumptions (Biomass)'!$V$6,Model!AI$1,'Assumptions (Biomass)'!$V$9,'Assumptions (Biomass)'!$V$4*Model!$C$2010*'Assumptions (Biomass)'!$B$2/10^9),0)</f>
        <v>-1.2206326504428685E-4</v>
      </c>
      <c r="P2119" s="91">
        <f>IF($C$2010&gt;0,IPMT('Assumptions (Biomass)'!$V$6,Model!AJ$1,'Assumptions (Biomass)'!$V$9,'Assumptions (Biomass)'!$V$4*Model!$C$2010*'Assumptions (Biomass)'!$B$2/10^9),0)</f>
        <v>-8.3248407757879707E-5</v>
      </c>
      <c r="Q2119" s="91">
        <f>IF($C$2010&gt;0,IPMT('Assumptions (Biomass)'!$V$6,Model!AK$1,'Assumptions (Biomass)'!$V$9,'Assumptions (Biomass)'!$V$4*Model!$C$2010*'Assumptions (Biomass)'!$B$2/10^9),0)</f>
        <v>-4.2589844750368257E-5</v>
      </c>
      <c r="R2119" s="91"/>
      <c r="S2119" s="91"/>
      <c r="T2119" s="91"/>
      <c r="U2119" s="91"/>
      <c r="V2119" s="91"/>
      <c r="W2119" s="91"/>
      <c r="X2119" s="91"/>
      <c r="Y2119" s="91"/>
      <c r="Z2119" s="91"/>
      <c r="AA2119" s="91"/>
      <c r="AB2119" s="105"/>
      <c r="AC2119" s="105"/>
      <c r="AD2119" s="105"/>
      <c r="AE2119" s="105"/>
      <c r="AF2119" s="105"/>
      <c r="AG2119" s="105"/>
    </row>
    <row r="2120" spans="1:68" ht="15.75" hidden="1" customHeight="1" outlineLevel="1">
      <c r="A2120" s="441"/>
      <c r="B2120" s="99"/>
      <c r="C2120" s="105"/>
      <c r="D2120" s="91">
        <f>IF($D$2010&gt;0,IPMT('Assumptions (Biomass)'!$V$6,Model!W$1,'Assumptions (Biomass)'!$V$9,'Assumptions (Biomass)'!$V$4*Model!$D$2010*'Assumptions (Biomass)'!$B$2/10^9),0)</f>
        <v>-5.9904249128141171E-3</v>
      </c>
      <c r="E2120" s="91">
        <f>IF($D$2010&gt;0,IPMT('Assumptions (Biomass)'!$V$6,Model!X$1,'Assumptions (Biomass)'!$V$9,'Assumptions (Biomass)'!$V$4*Model!$D$2010*'Assumptions (Biomass)'!$B$2/10^9),0)</f>
        <v>-5.7075502528279006E-3</v>
      </c>
      <c r="F2120" s="91">
        <f>IF($D$2010&gt;0,IPMT('Assumptions (Biomass)'!$V$6,Model!Y$1,'Assumptions (Biomass)'!$V$9,'Assumptions (Biomass)'!$V$4*Model!$D$2010*'Assumptions (Biomass)'!$B$2/10^9),0)</f>
        <v>-5.4112390464923377E-3</v>
      </c>
      <c r="G2120" s="91">
        <f>IF($D$2010&gt;0,IPMT('Assumptions (Biomass)'!$V$6,Model!Z$1,'Assumptions (Biomass)'!$V$9,'Assumptions (Biomass)'!$V$4*Model!$D$2010*'Assumptions (Biomass)'!$B$2/10^9),0)</f>
        <v>-5.100853057855838E-3</v>
      </c>
      <c r="H2120" s="91">
        <f>IF($D$2010&gt;0,IPMT('Assumptions (Biomass)'!$V$6,Model!AA$1,'Assumptions (Biomass)'!$V$9,'Assumptions (Biomass)'!$V$4*Model!$D$2010*'Assumptions (Biomass)'!$B$2/10^9),0)</f>
        <v>-4.7757237347591033E-3</v>
      </c>
      <c r="I2120" s="91">
        <f>IF($D$2010&gt;0,IPMT('Assumptions (Biomass)'!$V$6,Model!AB$1,'Assumptions (Biomass)'!$V$9,'Assumptions (Biomass)'!$V$4*Model!$D$2010*'Assumptions (Biomass)'!$B$2/10^9),0)</f>
        <v>-4.4351507688152741E-3</v>
      </c>
      <c r="J2120" s="91">
        <f>IF($D$2010&gt;0,IPMT('Assumptions (Biomass)'!$V$6,Model!AC$1,'Assumptions (Biomass)'!$V$9,'Assumptions (Biomass)'!$V$4*Model!$D$2010*'Assumptions (Biomass)'!$B$2/10^9),0)</f>
        <v>-4.078400586989113E-3</v>
      </c>
      <c r="K2120" s="91">
        <f>IF($D$2010&gt;0,IPMT('Assumptions (Biomass)'!$V$6,Model!AD$1,'Assumptions (Biomass)'!$V$9,'Assumptions (Biomass)'!$V$4*Model!$D$2010*'Assumptions (Biomass)'!$B$2/10^9),0)</f>
        <v>-3.7047047715262093E-3</v>
      </c>
      <c r="L2120" s="91">
        <f>IF($D$2010&gt;0,IPMT('Assumptions (Biomass)'!$V$6,Model!AE$1,'Assumptions (Biomass)'!$V$9,'Assumptions (Biomass)'!$V$4*Model!$D$2010*'Assumptions (Biomass)'!$B$2/10^9),0)</f>
        <v>-3.313258404828818E-3</v>
      </c>
      <c r="M2120" s="91">
        <f>IF($D$2010&gt;0,IPMT('Assumptions (Biomass)'!$V$6,Model!AF$1,'Assumptions (Biomass)'!$V$9,'Assumptions (Biomass)'!$V$4*Model!$D$2010*'Assumptions (Biomass)'!$B$2/10^9),0)</f>
        <v>-2.9032183357132996E-3</v>
      </c>
      <c r="N2120" s="91">
        <f>IF($D$2010&gt;0,IPMT('Assumptions (Biomass)'!$V$6,Model!AG$1,'Assumptions (Biomass)'!$V$9,'Assumptions (Biomass)'!$V$4*Model!$D$2010*'Assumptions (Biomass)'!$B$2/10^9),0)</f>
        <v>-2.4737013633147945E-3</v>
      </c>
      <c r="O2120" s="91">
        <f>IF($D$2010&gt;0,IPMT('Assumptions (Biomass)'!$V$6,Model!AH$1,'Assumptions (Biomass)'!$V$9,'Assumptions (Biomass)'!$V$4*Model!$D$2010*'Assumptions (Biomass)'!$B$2/10^9),0)</f>
        <v>-2.0237823347273609E-3</v>
      </c>
      <c r="P2120" s="91">
        <f>IF($D$2010&gt;0,IPMT('Assumptions (Biomass)'!$V$6,Model!AI$1,'Assumptions (Biomass)'!$V$9,'Assumptions (Biomass)'!$V$4*Model!$D$2010*'Assumptions (Biomass)'!$B$2/10^9),0)</f>
        <v>-1.5524921522820233E-3</v>
      </c>
      <c r="Q2120" s="91">
        <f>IF($D$2010&gt;0,IPMT('Assumptions (Biomass)'!$V$6,Model!AJ$1,'Assumptions (Biomass)'!$V$9,'Assumptions (Biomass)'!$V$4*Model!$D$2010*'Assumptions (Biomass)'!$B$2/10^9),0)</f>
        <v>-1.0588156861705328E-3</v>
      </c>
      <c r="R2120" s="91">
        <f>IF($D$2010&gt;0,IPMT('Assumptions (Biomass)'!$V$6,Model!AK$1,'Assumptions (Biomass)'!$V$9,'Assumptions (Biomass)'!$V$4*Model!$D$2010*'Assumptions (Biomass)'!$B$2/10^9),0)</f>
        <v>-5.4168958791874628E-4</v>
      </c>
      <c r="S2120" s="91"/>
      <c r="T2120" s="91"/>
      <c r="U2120" s="91"/>
      <c r="V2120" s="91"/>
      <c r="W2120" s="91"/>
      <c r="X2120" s="91"/>
      <c r="Y2120" s="91"/>
      <c r="Z2120" s="91"/>
      <c r="AA2120" s="91"/>
      <c r="AB2120" s="91"/>
      <c r="AC2120" s="105"/>
      <c r="AD2120" s="105"/>
      <c r="AE2120" s="105"/>
      <c r="AF2120" s="105"/>
      <c r="AG2120" s="105"/>
    </row>
    <row r="2121" spans="1:68" ht="15.75" hidden="1" customHeight="1" outlineLevel="1">
      <c r="A2121" s="441"/>
      <c r="B2121" s="99"/>
      <c r="C2121" s="105"/>
      <c r="D2121" s="105"/>
      <c r="E2121" s="105">
        <f>IF($E$2010&gt;0,IPMT('Assumptions (Biomass)'!$V$6,Model!W$1,'Assumptions (Biomass)'!$V$9,'Assumptions (Biomass)'!$V$4*Model!$E$2010*AVERAGE('Assumptions (Biomass)'!$B$2:$C$2)/10^9),0)</f>
        <v>-5.1286573977151807E-4</v>
      </c>
      <c r="F2121" s="105">
        <f>IF($E$2010&gt;0,IPMT('Assumptions (Biomass)'!$V$6,Model!X$1,'Assumptions (Biomass)'!$V$9,'Assumptions (Biomass)'!$V$4*Model!$E$2010*AVERAGE('Assumptions (Biomass)'!$B$2:$C$2)/10^9),0)</f>
        <v>-4.8864763773903718E-4</v>
      </c>
      <c r="G2121" s="105">
        <f>IF($E$2010&gt;0,IPMT('Assumptions (Biomass)'!$V$6,Model!Y$1,'Assumptions (Biomass)'!$V$9,'Assumptions (Biomass)'!$V$4*Model!$E$2010*AVERAGE('Assumptions (Biomass)'!$B$2:$C$2)/10^9),0)</f>
        <v>-4.6327917586001344E-4</v>
      </c>
      <c r="H2121" s="105">
        <f>IF($E$2010&gt;0,IPMT('Assumptions (Biomass)'!$V$6,Model!Z$1,'Assumptions (Biomass)'!$V$9,'Assumptions (Biomass)'!$V$4*Model!$E$2010*AVERAGE('Assumptions (Biomass)'!$B$2:$C$2)/10^9),0)</f>
        <v>-4.3670571204173624E-4</v>
      </c>
      <c r="I2121" s="105">
        <f>IF($E$2010&gt;0,IPMT('Assumptions (Biomass)'!$V$6,Model!AA$1,'Assumptions (Biomass)'!$V$9,'Assumptions (Biomass)'!$V$4*Model!$E$2010*AVERAGE('Assumptions (Biomass)'!$B$2:$C$2)/10^9),0)</f>
        <v>-4.088700086920907E-4</v>
      </c>
      <c r="J2121" s="105">
        <f>IF($E$2010&gt;0,IPMT('Assumptions (Biomass)'!$V$6,Model!AB$1,'Assumptions (Biomass)'!$V$9,'Assumptions (Biomass)'!$V$4*Model!$E$2010*AVERAGE('Assumptions (Biomass)'!$B$2:$C$2)/10^9),0)</f>
        <v>-3.7971210943333705E-4</v>
      </c>
      <c r="K2121" s="105">
        <f>IF($E$2010&gt;0,IPMT('Assumptions (Biomass)'!$V$6,Model!AC$1,'Assumptions (Biomass)'!$V$9,'Assumptions (Biomass)'!$V$4*Model!$E$2010*AVERAGE('Assumptions (Biomass)'!$B$2:$C$2)/10^9),0)</f>
        <v>-3.4916920995979264E-4</v>
      </c>
      <c r="L2121" s="105">
        <f>IF($E$2010&gt;0,IPMT('Assumptions (Biomass)'!$V$6,Model!AD$1,'Assumptions (Biomass)'!$V$9,'Assumptions (Biomass)'!$V$4*Model!$E$2010*AVERAGE('Assumptions (Biomass)'!$B$2:$C$2)/10^9),0)</f>
        <v>-3.171755227612548E-4</v>
      </c>
      <c r="M2121" s="105">
        <f>IF($E$2010&gt;0,IPMT('Assumptions (Biomass)'!$V$6,Model!AE$1,'Assumptions (Biomass)'!$V$9,'Assumptions (Biomass)'!$V$4*Model!$E$2010*AVERAGE('Assumptions (Biomass)'!$B$2:$C$2)/10^9),0)</f>
        <v>-2.8366213542078652E-4</v>
      </c>
      <c r="N2121" s="91">
        <f>IF($E$2010&gt;0,IPMT('Assumptions (Biomass)'!$V$6,Model!AF$1,'Assumptions (Biomass)'!$V$9,'Assumptions (Biomass)'!$V$4*Model!$E$2010*AVERAGE('Assumptions (Biomass)'!$B$2:$C$2)/10^9),0)</f>
        <v>-2.4855686218164594E-4</v>
      </c>
      <c r="O2121" s="105">
        <f>IF($E$2010&gt;0,IPMT('Assumptions (Biomass)'!$V$6,Model!AG$1,'Assumptions (Biomass)'!$V$9,'Assumptions (Biomass)'!$V$4*Model!$E$2010*AVERAGE('Assumptions (Biomass)'!$B$2:$C$2)/10^9),0)</f>
        <v>-2.1178408846364618E-4</v>
      </c>
      <c r="P2121" s="105">
        <f>IF($E$2010&gt;0,IPMT('Assumptions (Biomass)'!$V$6,Model!AH$1,'Assumptions (Biomass)'!$V$9,'Assumptions (Biomass)'!$V$4*Model!$E$2010*AVERAGE('Assumptions (Biomass)'!$B$2:$C$2)/10^9),0)</f>
        <v>-1.7326460799404144E-4</v>
      </c>
      <c r="Q2121" s="105">
        <f>IF($E$2010&gt;0,IPMT('Assumptions (Biomass)'!$V$6,Model!AI$1,'Assumptions (Biomass)'!$V$9,'Assumptions (Biomass)'!$V$4*Model!$E$2010*AVERAGE('Assumptions (Biomass)'!$B$2:$C$2)/10^9),0)</f>
        <v>-1.3291545220213045E-4</v>
      </c>
      <c r="R2121" s="105">
        <f>IF($E$2010&gt;0,IPMT('Assumptions (Biomass)'!$V$6,Model!AJ$1,'Assumptions (Biomass)'!$V$9,'Assumptions (Biomass)'!$V$4*Model!$E$2010*AVERAGE('Assumptions (Biomass)'!$B$2:$C$2)/10^9),0)</f>
        <v>-9.0649711510103702E-5</v>
      </c>
      <c r="S2121" s="105">
        <f>IF($E$2010&gt;0,IPMT('Assumptions (Biomass)'!$V$6,Model!AK$1,'Assumptions (Biomass)'!$V$9,'Assumptions (Biomass)'!$V$4*Model!$E$2010*AVERAGE('Assumptions (Biomass)'!$B$2:$C$2)/10^9),0)</f>
        <v>-4.6376348135205679E-5</v>
      </c>
      <c r="T2121" s="105"/>
      <c r="U2121" s="105"/>
      <c r="V2121" s="105"/>
      <c r="W2121" s="105"/>
      <c r="X2121" s="105"/>
      <c r="Y2121" s="105"/>
      <c r="Z2121" s="105"/>
      <c r="AA2121" s="105"/>
      <c r="AB2121" s="105"/>
      <c r="AC2121" s="105"/>
      <c r="AD2121" s="105"/>
      <c r="AE2121" s="105"/>
      <c r="AF2121" s="105"/>
      <c r="AG2121" s="105"/>
    </row>
    <row r="2122" spans="1:68" ht="15.75" hidden="1" customHeight="1" outlineLevel="1">
      <c r="A2122" s="441"/>
      <c r="B2122" s="99"/>
      <c r="C2122" s="105"/>
      <c r="D2122" s="105"/>
      <c r="E2122" s="105"/>
      <c r="F2122" s="105">
        <f>IF($F$2010&gt;0,IPMT('Assumptions (Biomass)'!$V$6,Model!W$1,'Assumptions (Biomass)'!$V$9,'Assumptions (Biomass)'!$V$4*Model!$F$2010*AVERAGE('Assumptions (Biomass)'!$B$2:$D$2)/10^9),0)</f>
        <v>-4.4068499544080673E-3</v>
      </c>
      <c r="G2122" s="105">
        <f>IF($F$2010&gt;0,IPMT('Assumptions (Biomass)'!$V$6,Model!X$1,'Assumptions (Biomass)'!$V$9,'Assumptions (Biomass)'!$V$4*Model!$F$2010*AVERAGE('Assumptions (Biomass)'!$B$2:$D$2)/10^9),0)</f>
        <v>-4.1987535003824294E-3</v>
      </c>
      <c r="H2122" s="105">
        <f>IF($F$2010&gt;0,IPMT('Assumptions (Biomass)'!$V$6,Model!Y$1,'Assumptions (Biomass)'!$V$9,'Assumptions (Biomass)'!$V$4*Model!$F$2010*AVERAGE('Assumptions (Biomass)'!$B$2:$D$2)/10^9),0)</f>
        <v>-3.9807724647905737E-3</v>
      </c>
      <c r="I2122" s="105">
        <f>IF($F$2010&gt;0,IPMT('Assumptions (Biomass)'!$V$6,Model!Z$1,'Assumptions (Biomass)'!$V$9,'Assumptions (Biomass)'!$V$4*Model!$F$2010*AVERAGE('Assumptions (Biomass)'!$B$2:$D$2)/10^9),0)</f>
        <v>-3.7524373300081059E-3</v>
      </c>
      <c r="J2122" s="105">
        <f>IF($F$2010&gt;0,IPMT('Assumptions (Biomass)'!$V$6,Model!AA$1,'Assumptions (Biomass)'!$V$9,'Assumptions (Biomass)'!$V$4*Model!$F$2010*AVERAGE('Assumptions (Biomass)'!$B$2:$D$2)/10^9),0)</f>
        <v>-3.5132562763234708E-3</v>
      </c>
      <c r="K2122" s="105">
        <f>IF($F$2010&gt;0,IPMT('Assumptions (Biomass)'!$V$6,Model!AB$1,'Assumptions (Biomass)'!$V$9,'Assumptions (Biomass)'!$V$4*Model!$F$2010*AVERAGE('Assumptions (Biomass)'!$B$2:$D$2)/10^9),0)</f>
        <v>-3.2627141225888153E-3</v>
      </c>
      <c r="L2122" s="105">
        <f>IF($F$2010&gt;0,IPMT('Assumptions (Biomass)'!$V$6,Model!AC$1,'Assumptions (Biomass)'!$V$9,'Assumptions (Biomass)'!$V$4*Model!$F$2010*AVERAGE('Assumptions (Biomass)'!$B$2:$D$2)/10^9),0)</f>
        <v>-3.0002712165517636E-3</v>
      </c>
      <c r="M2122" s="105">
        <f>IF($F$2010&gt;0,IPMT('Assumptions (Biomass)'!$V$6,Model!AD$1,'Assumptions (Biomass)'!$V$9,'Assumptions (Biomass)'!$V$4*Model!$F$2010*AVERAGE('Assumptions (Biomass)'!$B$2:$D$2)/10^9),0)</f>
        <v>-2.7253622724779519E-3</v>
      </c>
      <c r="N2122" s="91">
        <f>IF($F$2010&gt;0,IPMT('Assumptions (Biomass)'!$V$6,Model!AE$1,'Assumptions (Biomass)'!$V$9,'Assumptions (Biomass)'!$V$4*Model!$F$2010*AVERAGE('Assumptions (Biomass)'!$B$2:$D$2)/10^9),0)</f>
        <v>-2.4373951535606349E-3</v>
      </c>
      <c r="O2122" s="105">
        <f>IF($F$2010&gt;0,IPMT('Assumptions (Biomass)'!$V$6,Model!AF$1,'Assumptions (Biomass)'!$V$9,'Assumptions (Biomass)'!$V$4*Model!$F$2010*AVERAGE('Assumptions (Biomass)'!$B$2:$D$2)/10^9),0)</f>
        <v>-2.1357495964947448E-3</v>
      </c>
      <c r="P2122" s="105">
        <f>IF($F$2010&gt;0,IPMT('Assumptions (Biomass)'!$V$6,Model!AG$1,'Assumptions (Biomass)'!$V$9,'Assumptions (Biomass)'!$V$4*Model!$F$2010*AVERAGE('Assumptions (Biomass)'!$B$2:$D$2)/10^9),0)</f>
        <v>-1.8197758754682251E-3</v>
      </c>
      <c r="Q2122" s="105">
        <f>IF($F$2010&gt;0,IPMT('Assumptions (Biomass)'!$V$6,Model!AH$1,'Assumptions (Biomass)'!$V$9,'Assumptions (Biomass)'!$V$4*Model!$F$2010*AVERAGE('Assumptions (Biomass)'!$B$2:$D$2)/10^9),0)</f>
        <v>-1.4887934026929458E-3</v>
      </c>
      <c r="R2122" s="105">
        <f>IF($F$2010&gt;0,IPMT('Assumptions (Biomass)'!$V$6,Model!AI$1,'Assumptions (Biomass)'!$V$9,'Assumptions (Biomass)'!$V$4*Model!$F$2010*AVERAGE('Assumptions (Biomass)'!$B$2:$D$2)/10^9),0)</f>
        <v>-1.1420892624608399E-3</v>
      </c>
      <c r="S2122" s="105">
        <f>IF($F$2010&gt;0,IPMT('Assumptions (Biomass)'!$V$6,Model!AJ$1,'Assumptions (Biomass)'!$V$9,'Assumptions (Biomass)'!$V$4*Model!$F$2010*AVERAGE('Assumptions (Biomass)'!$B$2:$D$2)/10^9),0)</f>
        <v>-7.7891667556770946E-4</v>
      </c>
      <c r="T2122" s="105">
        <f>IF($F$2010&gt;0,IPMT('Assumptions (Biomass)'!$V$6,Model!AK$1,'Assumptions (Biomass)'!$V$9,'Assumptions (Biomass)'!$V$4*Model!$F$2010*AVERAGE('Assumptions (Biomass)'!$B$2:$D$2)/10^9),0)</f>
        <v>-3.9849339079715536E-4</v>
      </c>
      <c r="U2122" s="105"/>
      <c r="V2122" s="105"/>
      <c r="W2122" s="105"/>
      <c r="X2122" s="105"/>
      <c r="Y2122" s="105"/>
      <c r="Z2122" s="105"/>
      <c r="AA2122" s="105"/>
      <c r="AB2122" s="105"/>
      <c r="AC2122" s="105"/>
      <c r="AD2122" s="105"/>
      <c r="AE2122" s="105"/>
      <c r="AF2122" s="105"/>
      <c r="AG2122" s="105"/>
    </row>
    <row r="2123" spans="1:68" ht="15.75" hidden="1" customHeight="1" outlineLevel="1">
      <c r="A2123" s="441"/>
      <c r="B2123" s="99"/>
      <c r="C2123" s="105"/>
      <c r="D2123" s="105"/>
      <c r="E2123" s="105"/>
      <c r="F2123" s="105"/>
      <c r="G2123" s="105">
        <f>IF($G$2010&gt;0,IPMT('Assumptions (Biomass)'!$V$6,Model!W$1,'Assumptions (Biomass)'!$V$9,'Assumptions (Biomass)'!$V$4*Model!$G$2010*AVERAGE('Assumptions (Biomass)'!$C$2:$E$2)/10^9),0)</f>
        <v>-4.4030962491658117E-3</v>
      </c>
      <c r="H2123" s="105">
        <f>IF($G$2010&gt;0,IPMT('Assumptions (Biomass)'!$V$6,Model!X$1,'Assumptions (Biomass)'!$V$9,'Assumptions (Biomass)'!$V$4*Model!$G$2010*AVERAGE('Assumptions (Biomass)'!$C$2:$E$2)/10^9),0)</f>
        <v>-4.1951770493599575E-3</v>
      </c>
      <c r="I2123" s="105">
        <f>IF($G$2010&gt;0,IPMT('Assumptions (Biomass)'!$V$6,Model!Y$1,'Assumptions (Biomass)'!$V$9,'Assumptions (Biomass)'!$V$4*Model!$G$2010*AVERAGE('Assumptions (Biomass)'!$C$2:$E$2)/10^9),0)</f>
        <v>-3.9773816875633243E-3</v>
      </c>
      <c r="J2123" s="105">
        <f>IF($G$2010&gt;0,IPMT('Assumptions (Biomass)'!$V$6,Model!Z$1,'Assumptions (Biomass)'!$V$9,'Assumptions (Biomass)'!$V$4*Model!$G$2010*AVERAGE('Assumptions (Biomass)'!$C$2:$E$2)/10^9),0)</f>
        <v>-3.7492410460813531E-3</v>
      </c>
      <c r="K2123" s="105">
        <f>IF($G$2010&gt;0,IPMT('Assumptions (Biomass)'!$V$6,Model!AA$1,'Assumptions (Biomass)'!$V$9,'Assumptions (Biomass)'!$V$4*Model!$G$2010*AVERAGE('Assumptions (Biomass)'!$C$2:$E$2)/10^9),0)</f>
        <v>-3.5102637241289868E-3</v>
      </c>
      <c r="L2123" s="105">
        <f>IF($G$2010&gt;0,IPMT('Assumptions (Biomass)'!$V$6,Model!AB$1,'Assumptions (Biomass)'!$V$9,'Assumptions (Biomass)'!$V$4*Model!$G$2010*AVERAGE('Assumptions (Biomass)'!$C$2:$E$2)/10^9),0)</f>
        <v>-3.2599349793838847E-3</v>
      </c>
      <c r="M2123" s="105">
        <f>IF($G$2010&gt;0,IPMT('Assumptions (Biomass)'!$V$6,Model!AC$1,'Assumptions (Biomass)'!$V$9,'Assumptions (Biomass)'!$V$4*Model!$G$2010*AVERAGE('Assumptions (Biomass)'!$C$2:$E$2)/10^9),0)</f>
        <v>-2.9977156192633895E-3</v>
      </c>
      <c r="N2123" s="105">
        <f>IF($G$2010&gt;0,IPMT('Assumptions (Biomass)'!$V$6,Model!AD$1,'Assumptions (Biomass)'!$V$9,'Assumptions (Biomass)'!$V$4*Model!$G$2010*AVERAGE('Assumptions (Biomass)'!$C$2:$E$2)/10^9),0)</f>
        <v>-2.7230408395371706E-3</v>
      </c>
      <c r="O2123" s="105">
        <f>IF($G$2010&gt;0,IPMT('Assumptions (Biomass)'!$V$6,Model!AE$1,'Assumptions (Biomass)'!$V$9,'Assumptions (Biomass)'!$V$4*Model!$G$2010*AVERAGE('Assumptions (Biomass)'!$C$2:$E$2)/10^9),0)</f>
        <v>-2.4353190077739564E-3</v>
      </c>
      <c r="P2123" s="105">
        <f>IF($G$2010&gt;0,IPMT('Assumptions (Biomass)'!$V$6,Model!AF$1,'Assumptions (Biomass)'!$V$9,'Assumptions (Biomass)'!$V$4*Model!$G$2010*AVERAGE('Assumptions (Biomass)'!$C$2:$E$2)/10^9),0)</f>
        <v>-2.1339303890019899E-3</v>
      </c>
      <c r="Q2123" s="105">
        <f>IF($G$2010&gt;0,IPMT('Assumptions (Biomass)'!$V$6,Model!AG$1,'Assumptions (Biomass)'!$V$9,'Assumptions (Biomass)'!$V$4*Model!$G$2010*AVERAGE('Assumptions (Biomass)'!$C$2:$E$2)/10^9),0)</f>
        <v>-1.8182258108383543E-3</v>
      </c>
      <c r="R2123" s="105">
        <f>IF($G$2010&gt;0,IPMT('Assumptions (Biomass)'!$V$6,Model!AH$1,'Assumptions (Biomass)'!$V$9,'Assumptions (Biomass)'!$V$4*Model!$G$2010*AVERAGE('Assumptions (Biomass)'!$C$2:$E$2)/10^9),0)</f>
        <v>-1.4875252652119463E-3</v>
      </c>
      <c r="S2123" s="105">
        <f>IF($G$2010&gt;0,IPMT('Assumptions (Biomass)'!$V$6,Model!AI$1,'Assumptions (Biomass)'!$V$9,'Assumptions (Biomass)'!$V$4*Model!$G$2010*AVERAGE('Assumptions (Biomass)'!$C$2:$E$2)/10^9),0)</f>
        <v>-1.1411164436682839E-3</v>
      </c>
      <c r="T2123" s="105">
        <f>IF($G$2010&gt;0,IPMT('Assumptions (Biomass)'!$V$6,Model!AJ$1,'Assumptions (Biomass)'!$V$9,'Assumptions (Biomass)'!$V$4*Model!$G$2010*AVERAGE('Assumptions (Biomass)'!$C$2:$E$2)/10^9),0)</f>
        <v>-7.7825320310129741E-4</v>
      </c>
      <c r="U2123" s="105">
        <f>IF($G$2010&gt;0,IPMT('Assumptions (Biomass)'!$V$6,Model!AK$1,'Assumptions (Biomass)'!$V$9,'Assumptions (Biomass)'!$V$4*Model!$G$2010*AVERAGE('Assumptions (Biomass)'!$C$2:$E$2)/10^9),0)</f>
        <v>-3.9815395860737929E-4</v>
      </c>
      <c r="V2123" s="105"/>
      <c r="W2123" s="105"/>
      <c r="X2123" s="105"/>
      <c r="Y2123" s="105"/>
      <c r="Z2123" s="105"/>
      <c r="AA2123" s="105"/>
      <c r="AB2123" s="105"/>
      <c r="AC2123" s="105"/>
      <c r="AD2123" s="105"/>
      <c r="AE2123" s="105"/>
      <c r="AF2123" s="105"/>
      <c r="AG2123" s="105"/>
    </row>
    <row r="2124" spans="1:68" ht="15.75" hidden="1" customHeight="1" outlineLevel="1">
      <c r="A2124" s="441"/>
      <c r="B2124" s="99"/>
      <c r="C2124" s="105"/>
      <c r="D2124" s="105"/>
      <c r="E2124" s="105"/>
      <c r="F2124" s="105"/>
      <c r="G2124" s="105"/>
      <c r="H2124" s="105">
        <f>IF($H$2010&gt;0,IPMT('Assumptions (Biomass)'!$V$6,Model!W$1,'Assumptions (Biomass)'!$V$9,'Assumptions (Biomass)'!$V$4*Model!$H$2010*AVERAGE('Assumptions (Biomass)'!$D$2:$F$2)/10^9),0)</f>
        <v>-1.4059277762553795E-4</v>
      </c>
      <c r="I2124" s="105">
        <f>IF($H$2010&gt;0,IPMT('Assumptions (Biomass)'!$V$6,Model!X$1,'Assumptions (Biomass)'!$V$9,'Assumptions (Biomass)'!$V$4*Model!$H$2010*AVERAGE('Assumptions (Biomass)'!$D$2:$F$2)/10^9),0)</f>
        <v>-1.3395382717608492E-4</v>
      </c>
      <c r="J2124" s="105">
        <f>IF($H$2010&gt;0,IPMT('Assumptions (Biomass)'!$V$6,Model!Y$1,'Assumptions (Biomass)'!$V$9,'Assumptions (Biomass)'!$V$4*Model!$H$2010*AVERAGE('Assumptions (Biomass)'!$D$2:$F$2)/10^9),0)</f>
        <v>-1.2699952658028286E-4</v>
      </c>
      <c r="K2124" s="105">
        <f>IF($H$2010&gt;0,IPMT('Assumptions (Biomass)'!$V$6,Model!Z$1,'Assumptions (Biomass)'!$V$9,'Assumptions (Biomass)'!$V$4*Model!$H$2010*AVERAGE('Assumptions (Biomass)'!$D$2:$F$2)/10^9),0)</f>
        <v>-1.1971489670618027E-4</v>
      </c>
      <c r="L2124" s="105">
        <f>IF($H$2010&gt;0,IPMT('Assumptions (Biomass)'!$V$6,Model!AA$1,'Assumptions (Biomass)'!$V$9,'Assumptions (Biomass)'!$V$4*Model!$H$2010*AVERAGE('Assumptions (Biomass)'!$D$2:$F$2)/10^9),0)</f>
        <v>-1.1208424691305778E-4</v>
      </c>
      <c r="M2124" s="105">
        <f>IF($H$2010&gt;0,IPMT('Assumptions (Biomass)'!$V$6,Model!AB$1,'Assumptions (Biomass)'!$V$9,'Assumptions (Biomass)'!$V$4*Model!$H$2010*AVERAGE('Assumptions (Biomass)'!$D$2:$F$2)/10^9),0)</f>
        <v>-1.0409114125476197E-4</v>
      </c>
      <c r="N2124" s="105">
        <f>IF($H$2010&gt;0,IPMT('Assumptions (Biomass)'!$V$6,Model!AC$1,'Assumptions (Biomass)'!$V$9,'Assumptions (Biomass)'!$V$4*Model!$H$2010*AVERAGE('Assumptions (Biomass)'!$D$2:$F$2)/10^9),0)</f>
        <v>-9.571836307769712E-5</v>
      </c>
      <c r="O2124" s="105">
        <f>IF($H$2010&gt;0,IPMT('Assumptions (Biomass)'!$V$6,Model!AD$1,'Assumptions (Biomass)'!$V$9,'Assumptions (Biomass)'!$V$4*Model!$H$2010*AVERAGE('Assumptions (Biomass)'!$D$2:$F$2)/10^9),0)</f>
        <v>-8.6947877937221667E-5</v>
      </c>
      <c r="P2124" s="105">
        <f>IF($H$2010&gt;0,IPMT('Assumptions (Biomass)'!$V$6,Model!AE$1,'Assumptions (Biomass)'!$V$9,'Assumptions (Biomass)'!$V$4*Model!$H$2010*AVERAGE('Assumptions (Biomass)'!$D$2:$F$2)/10^9),0)</f>
        <v>-7.7760794752573649E-5</v>
      </c>
      <c r="Q2124" s="105">
        <f>IF($H$2010&gt;0,IPMT('Assumptions (Biomass)'!$V$6,Model!AF$1,'Assumptions (Biomass)'!$V$9,'Assumptions (Biomass)'!$V$4*Model!$H$2010*AVERAGE('Assumptions (Biomass)'!$D$2:$F$2)/10^9),0)</f>
        <v>-6.8137325116654845E-5</v>
      </c>
      <c r="R2124" s="105">
        <f>IF($H$2010&gt;0,IPMT('Assumptions (Biomass)'!$V$6,Model!AG$1,'Assumptions (Biomass)'!$V$9,'Assumptions (Biomass)'!$V$4*Model!$H$2010*AVERAGE('Assumptions (Biomass)'!$D$2:$F$2)/10^9),0)</f>
        <v>-5.8056740673029902E-5</v>
      </c>
      <c r="S2124" s="105">
        <f>IF($H$2010&gt;0,IPMT('Assumptions (Biomass)'!$V$6,Model!AH$1,'Assumptions (Biomass)'!$V$9,'Assumptions (Biomass)'!$V$4*Model!$H$2010*AVERAGE('Assumptions (Biomass)'!$D$2:$F$2)/10^9),0)</f>
        <v>-4.749732846833277E-5</v>
      </c>
      <c r="T2124" s="105">
        <f>IF($H$2010&gt;0,IPMT('Assumptions (Biomass)'!$V$6,Model!AI$1,'Assumptions (Biomass)'!$V$9,'Assumptions (Biomass)'!$V$4*Model!$H$2010*AVERAGE('Assumptions (Biomass)'!$D$2:$F$2)/10^9),0)</f>
        <v>-3.6436344183912512E-5</v>
      </c>
      <c r="U2124" s="105">
        <f>IF($H$2010&gt;0,IPMT('Assumptions (Biomass)'!$V$6,Model!AJ$1,'Assumptions (Biomass)'!$V$9,'Assumptions (Biomass)'!$V$4*Model!$H$2010*AVERAGE('Assumptions (Biomass)'!$D$2:$F$2)/10^9),0)</f>
        <v>-2.4849963145982303E-5</v>
      </c>
      <c r="V2124" s="105">
        <f>IF($H$2010&gt;0,IPMT('Assumptions (Biomass)'!$V$6,Model!AK$1,'Assumptions (Biomass)'!$V$9,'Assumptions (Biomass)'!$V$4*Model!$H$2010*AVERAGE('Assumptions (Biomass)'!$D$2:$F$2)/10^9),0)</f>
        <v>-1.2713229008750409E-5</v>
      </c>
      <c r="W2124" s="105"/>
      <c r="X2124" s="105"/>
      <c r="Y2124" s="105"/>
      <c r="Z2124" s="105"/>
      <c r="AA2124" s="105"/>
      <c r="AB2124" s="105"/>
      <c r="AC2124" s="105"/>
      <c r="AD2124" s="105"/>
      <c r="AE2124" s="105"/>
      <c r="AF2124" s="105"/>
      <c r="AG2124" s="105"/>
    </row>
    <row r="2125" spans="1:68" ht="15.75" hidden="1" customHeight="1" outlineLevel="1">
      <c r="A2125" s="441"/>
      <c r="B2125" s="99"/>
      <c r="C2125" s="105"/>
      <c r="D2125" s="105"/>
      <c r="E2125" s="105"/>
      <c r="F2125" s="105"/>
      <c r="G2125" s="105"/>
      <c r="H2125" s="105"/>
      <c r="I2125" s="105">
        <f>IF($I$2010&gt;0,IPMT('Assumptions (Biomass)'!$V$6,Model!W$1,'Assumptions (Biomass)'!$V$9,'Assumptions (Biomass)'!$V$4*Model!$I$2010*AVERAGE('Assumptions (Biomass)'!$E$2:$G$2)/10^9),0)</f>
        <v>-8.2856010280650365E-3</v>
      </c>
      <c r="J2125" s="105">
        <f>IF($I$2010&gt;0,IPMT('Assumptions (Biomass)'!$V$6,Model!X$1,'Assumptions (Biomass)'!$V$9,'Assumptions (Biomass)'!$V$4*Model!$I$2010*AVERAGE('Assumptions (Biomass)'!$E$2:$G$2)/10^9),0)</f>
        <v>-7.8943455482439386E-3</v>
      </c>
      <c r="K2125" s="105">
        <f>IF($I$2010&gt;0,IPMT('Assumptions (Biomass)'!$V$6,Model!Y$1,'Assumptions (Biomass)'!$V$9,'Assumptions (Biomass)'!$V$4*Model!$I$2010*AVERAGE('Assumptions (Biomass)'!$E$2:$G$2)/10^9),0)</f>
        <v>-7.4845054331313379E-3</v>
      </c>
      <c r="L2125" s="105">
        <f>IF($I$2010&gt;0,IPMT('Assumptions (Biomass)'!$V$6,Model!Z$1,'Assumptions (Biomass)'!$V$9,'Assumptions (Biomass)'!$V$4*Model!$I$2010*AVERAGE('Assumptions (Biomass)'!$E$2:$G$2)/10^9),0)</f>
        <v>-7.0551979125508917E-3</v>
      </c>
      <c r="M2125" s="105">
        <f>IF($I$2010&gt;0,IPMT('Assumptions (Biomass)'!$V$6,Model!AA$1,'Assumptions (Biomass)'!$V$9,'Assumptions (Biomass)'!$V$4*Model!$I$2010*AVERAGE('Assumptions (Biomass)'!$E$2:$G$2)/10^9),0)</f>
        <v>-6.6054982847428721E-3</v>
      </c>
      <c r="N2125" s="105">
        <f>IF($I$2010&gt;0,IPMT('Assumptions (Biomass)'!$V$6,Model!AB$1,'Assumptions (Biomass)'!$V$9,'Assumptions (Biomass)'!$V$4*Model!$I$2010*AVERAGE('Assumptions (Biomass)'!$E$2:$G$2)/10^9),0)</f>
        <v>-6.1344379246139726E-3</v>
      </c>
      <c r="O2125" s="105">
        <f>IF($I$2010&gt;0,IPMT('Assumptions (Biomass)'!$V$6,Model!AC$1,'Assumptions (Biomass)'!$V$9,'Assumptions (Biomass)'!$V$4*Model!$I$2010*AVERAGE('Assumptions (Biomass)'!$E$2:$G$2)/10^9),0)</f>
        <v>-5.64100219737895E-3</v>
      </c>
      <c r="P2125" s="105">
        <f>IF($I$2010&gt;0,IPMT('Assumptions (Biomass)'!$V$6,Model!AD$1,'Assumptions (Biomass)'!$V$9,'Assumptions (Biomass)'!$V$4*Model!$I$2010*AVERAGE('Assumptions (Biomass)'!$E$2:$G$2)/10^9),0)</f>
        <v>-5.1241282731002633E-3</v>
      </c>
      <c r="Q2125" s="105">
        <f>IF($I$2010&gt;0,IPMT('Assumptions (Biomass)'!$V$6,Model!AE$1,'Assumptions (Biomass)'!$V$9,'Assumptions (Biomass)'!$V$4*Model!$I$2010*AVERAGE('Assumptions (Biomass)'!$E$2:$G$2)/10^9),0)</f>
        <v>-4.5827028374183405E-3</v>
      </c>
      <c r="R2125" s="105">
        <f>IF($I$2010&gt;0,IPMT('Assumptions (Biomass)'!$V$6,Model!AF$1,'Assumptions (Biomass)'!$V$9,'Assumptions (Biomass)'!$V$4*Model!$I$2010*AVERAGE('Assumptions (Biomass)'!$E$2:$G$2)/10^9),0)</f>
        <v>-4.0155596935415264E-3</v>
      </c>
      <c r="S2125" s="105">
        <f>IF($I$2010&gt;0,IPMT('Assumptions (Biomass)'!$V$6,Model!AG$1,'Assumptions (Biomass)'!$V$9,'Assumptions (Biomass)'!$V$4*Model!$I$2010*AVERAGE('Assumptions (Biomass)'!$E$2:$G$2)/10^9),0)</f>
        <v>-3.4214772503305619E-3</v>
      </c>
      <c r="T2125" s="105">
        <f>IF($I$2010&gt;0,IPMT('Assumptions (Biomass)'!$V$6,Model!AH$1,'Assumptions (Biomass)'!$V$9,'Assumptions (Biomass)'!$V$4*Model!$I$2010*AVERAGE('Assumptions (Biomass)'!$E$2:$G$2)/10^9),0)</f>
        <v>-2.7991758910670783E-3</v>
      </c>
      <c r="U2125" s="105">
        <f>IF($I$2010&gt;0,IPMT('Assumptions (Biomass)'!$V$6,Model!AI$1,'Assumptions (Biomass)'!$V$9,'Assumptions (Biomass)'!$V$4*Model!$I$2010*AVERAGE('Assumptions (Biomass)'!$E$2:$G$2)/10^9),0)</f>
        <v>-2.1473152172385777E-3</v>
      </c>
      <c r="V2125" s="105">
        <f>IF($I$2010&gt;0,IPMT('Assumptions (Biomass)'!$V$6,Model!AJ$1,'Assumptions (Biomass)'!$V$9,'Assumptions (Biomass)'!$V$4*Model!$I$2010*AVERAGE('Assumptions (Biomass)'!$E$2:$G$2)/10^9),0)</f>
        <v>-1.464491161403224E-3</v>
      </c>
      <c r="W2125" s="105">
        <f>IF($I$2010&gt;0,IPMT('Assumptions (Biomass)'!$V$6,Model!AK$1,'Assumptions (Biomass)'!$V$9,'Assumptions (Biomass)'!$V$4*Model!$I$2010*AVERAGE('Assumptions (Biomass)'!$E$2:$G$2)/10^9),0)</f>
        <v>-7.4923296291569083E-4</v>
      </c>
      <c r="X2125" s="105"/>
      <c r="Y2125" s="105"/>
      <c r="Z2125" s="105"/>
      <c r="AA2125" s="105"/>
      <c r="AB2125" s="105"/>
      <c r="AC2125" s="105"/>
      <c r="AD2125" s="105"/>
      <c r="AE2125" s="105"/>
      <c r="AF2125" s="105"/>
      <c r="AG2125" s="105"/>
    </row>
    <row r="2126" spans="1:68" ht="15.75" hidden="1" customHeight="1" outlineLevel="1">
      <c r="A2126" s="441"/>
      <c r="B2126" s="99"/>
      <c r="C2126" s="105"/>
      <c r="D2126" s="105"/>
      <c r="E2126" s="105"/>
      <c r="F2126" s="105"/>
      <c r="G2126" s="105"/>
      <c r="H2126" s="105"/>
      <c r="I2126" s="105"/>
      <c r="J2126" s="105">
        <f>IF($J$2010&gt;0,IPMT('Assumptions (Biomass)'!$V$6,Model!W$1,'Assumptions (Biomass)'!$V$9,'Assumptions (Biomass)'!$V$4*Model!$J$2010*AVERAGE('Assumptions (Biomass)'!$F$2:$H$2)/10^9),0)</f>
        <v>-8.7682372879498236E-3</v>
      </c>
      <c r="K2126" s="105">
        <f>IF($J$2010&gt;0,IPMT('Assumptions (Biomass)'!$V$6,Model!X$1,'Assumptions (Biomass)'!$V$9,'Assumptions (Biomass)'!$V$4*Model!$J$2010*AVERAGE('Assumptions (Biomass)'!$F$2:$H$2)/10^9),0)</f>
        <v>-8.354191176429146E-3</v>
      </c>
      <c r="L2126" s="105">
        <f>IF($J$2010&gt;0,IPMT('Assumptions (Biomass)'!$V$6,Model!Y$1,'Assumptions (Biomass)'!$V$9,'Assumptions (Biomass)'!$V$4*Model!$J$2010*AVERAGE('Assumptions (Biomass)'!$F$2:$H$2)/10^9),0)</f>
        <v>-7.920477874611238E-3</v>
      </c>
      <c r="M2126" s="105">
        <f>IF($J$2010&gt;0,IPMT('Assumptions (Biomass)'!$V$6,Model!Z$1,'Assumptions (Biomass)'!$V$9,'Assumptions (Biomass)'!$V$4*Model!$J$2010*AVERAGE('Assumptions (Biomass)'!$F$2:$H$2)/10^9),0)</f>
        <v>-7.4661631909569799E-3</v>
      </c>
      <c r="N2126" s="105">
        <f>IF($J$2010&gt;0,IPMT('Assumptions (Biomass)'!$V$6,Model!AA$1,'Assumptions (Biomass)'!$V$9,'Assumptions (Biomass)'!$V$4*Model!$J$2010*AVERAGE('Assumptions (Biomass)'!$F$2:$H$2)/10^9),0)</f>
        <v>-6.990268559829144E-3</v>
      </c>
      <c r="O2126" s="105">
        <f>IF($J$2010&gt;0,IPMT('Assumptions (Biomass)'!$V$6,Model!AB$1,'Assumptions (Biomass)'!$V$9,'Assumptions (Biomass)'!$V$4*Model!$J$2010*AVERAGE('Assumptions (Biomass)'!$F$2:$H$2)/10^9),0)</f>
        <v>-6.4917689337227356E-3</v>
      </c>
      <c r="P2126" s="105">
        <f>IF($J$2010&gt;0,IPMT('Assumptions (Biomass)'!$V$6,Model!AC$1,'Assumptions (Biomass)'!$V$9,'Assumptions (Biomass)'!$V$4*Model!$J$2010*AVERAGE('Assumptions (Biomass)'!$F$2:$H$2)/10^9),0)</f>
        <v>-5.969590575376273E-3</v>
      </c>
      <c r="Q2126" s="105">
        <f>IF($J$2010&gt;0,IPMT('Assumptions (Biomass)'!$V$6,Model!AD$1,'Assumptions (Biomass)'!$V$9,'Assumptions (Biomass)'!$V$4*Model!$J$2010*AVERAGE('Assumptions (Biomass)'!$F$2:$H$2)/10^9),0)</f>
        <v>-5.4226087450083543E-3</v>
      </c>
      <c r="R2126" s="105">
        <f>IF($J$2010&gt;0,IPMT('Assumptions (Biomass)'!$V$6,Model!AE$1,'Assumptions (Biomass)'!$V$9,'Assumptions (Biomass)'!$V$4*Model!$J$2010*AVERAGE('Assumptions (Biomass)'!$F$2:$H$2)/10^9),0)</f>
        <v>-4.8496452776979589E-3</v>
      </c>
      <c r="S2126" s="105">
        <f>IF($J$2010&gt;0,IPMT('Assumptions (Biomass)'!$V$6,Model!AF$1,'Assumptions (Biomass)'!$V$9,'Assumptions (Biomass)'!$V$4*Model!$J$2010*AVERAGE('Assumptions (Biomass)'!$F$2:$H$2)/10^9),0)</f>
        <v>-4.2494660456903199E-3</v>
      </c>
      <c r="T2126" s="105">
        <f>IF($J$2010&gt;0,IPMT('Assumptions (Biomass)'!$V$6,Model!AG$1,'Assumptions (Biomass)'!$V$9,'Assumptions (Biomass)'!$V$4*Model!$J$2010*AVERAGE('Assumptions (Biomass)'!$F$2:$H$2)/10^9),0)</f>
        <v>-3.6207783001623172E-3</v>
      </c>
      <c r="U2126" s="105">
        <f>IF($J$2010&gt;0,IPMT('Assumptions (Biomass)'!$V$6,Model!AH$1,'Assumptions (Biomass)'!$V$9,'Assumptions (Biomass)'!$V$4*Model!$J$2010*AVERAGE('Assumptions (Biomass)'!$F$2:$H$2)/10^9),0)</f>
        <v>-2.9622278867217351E-3</v>
      </c>
      <c r="V2126" s="105">
        <f>IF($J$2010&gt;0,IPMT('Assumptions (Biomass)'!$V$6,Model!AI$1,'Assumptions (Biomass)'!$V$9,'Assumptions (Biomass)'!$V$4*Model!$J$2010*AVERAGE('Assumptions (Biomass)'!$F$2:$H$2)/10^9),0)</f>
        <v>-2.2723963286427249E-3</v>
      </c>
      <c r="W2126" s="105">
        <f>IF($J$2010&gt;0,IPMT('Assumptions (Biomass)'!$V$6,Model!AJ$1,'Assumptions (Biomass)'!$V$9,'Assumptions (Biomass)'!$V$4*Model!$J$2010*AVERAGE('Assumptions (Biomass)'!$F$2:$H$2)/10^9),0)</f>
        <v>-1.5497977715549613E-3</v>
      </c>
      <c r="X2126" s="105">
        <f>IF($J$2010&gt;0,IPMT('Assumptions (Biomass)'!$V$6,Model!AK$1,'Assumptions (Biomass)'!$V$9,'Assumptions (Biomass)'!$V$4*Model!$J$2010*AVERAGE('Assumptions (Biomass)'!$F$2:$H$2)/10^9),0)</f>
        <v>-7.9287578300552973E-4</v>
      </c>
      <c r="Y2126" s="105"/>
      <c r="Z2126" s="105"/>
      <c r="AA2126" s="105"/>
      <c r="AB2126" s="105"/>
      <c r="AC2126" s="105"/>
      <c r="AD2126" s="105"/>
      <c r="AE2126" s="105"/>
      <c r="AF2126" s="105"/>
      <c r="AG2126" s="105"/>
      <c r="AH2126" s="105"/>
    </row>
    <row r="2127" spans="1:68" ht="15.75" hidden="1" customHeight="1" outlineLevel="1">
      <c r="A2127" s="441"/>
      <c r="B2127" s="99"/>
      <c r="C2127" s="105"/>
      <c r="D2127" s="105"/>
      <c r="E2127" s="105"/>
      <c r="F2127" s="105"/>
      <c r="G2127" s="105"/>
      <c r="H2127" s="105"/>
      <c r="I2127" s="105"/>
      <c r="J2127" s="105"/>
      <c r="K2127" s="105">
        <f>IF($K$2010&gt;0,IPMT('Assumptions (Biomass)'!$V$6,Model!W$1,'Assumptions (Biomass)'!$V$9,'Assumptions (Biomass)'!$V$4*Model!$K$2010*AVERAGE('Assumptions (Biomass)'!$G$2:$I$2)/10^9),0)</f>
        <v>-9.8802350548479259E-3</v>
      </c>
      <c r="L2127" s="105">
        <f>IF($K$2010&gt;0,IPMT('Assumptions (Biomass)'!$V$6,Model!X$1,'Assumptions (Biomass)'!$V$9,'Assumptions (Biomass)'!$V$4*Model!$K$2010*AVERAGE('Assumptions (Biomass)'!$G$2:$I$2)/10^9),0)</f>
        <v>-9.4136791473119676E-3</v>
      </c>
      <c r="M2127" s="105">
        <f>IF($K$2010&gt;0,IPMT('Assumptions (Biomass)'!$V$6,Model!Y$1,'Assumptions (Biomass)'!$V$9,'Assumptions (Biomass)'!$V$4*Model!$K$2010*AVERAGE('Assumptions (Biomass)'!$G$2:$I$2)/10^9),0)</f>
        <v>-8.9249618341680492E-3</v>
      </c>
      <c r="N2127" s="105">
        <f>IF($K$2010&gt;0,IPMT('Assumptions (Biomass)'!$V$6,Model!Z$1,'Assumptions (Biomass)'!$V$9,'Assumptions (Biomass)'!$V$4*Model!$K$2010*AVERAGE('Assumptions (Biomass)'!$G$2:$I$2)/10^9),0)</f>
        <v>-8.413030448649798E-3</v>
      </c>
      <c r="O2127" s="105">
        <f>IF($K$2010&gt;0,IPMT('Assumptions (Biomass)'!$V$6,Model!AA$1,'Assumptions (Biomass)'!$V$9,'Assumptions (Biomass)'!$V$4*Model!$K$2010*AVERAGE('Assumptions (Biomass)'!$G$2:$I$2)/10^9),0)</f>
        <v>-7.8767823223194287E-3</v>
      </c>
      <c r="P2127" s="105">
        <f>IF($K$2010&gt;0,IPMT('Assumptions (Biomass)'!$V$6,Model!AB$1,'Assumptions (Biomass)'!$V$9,'Assumptions (Biomass)'!$V$4*Model!$K$2010*AVERAGE('Assumptions (Biomass)'!$G$2:$I$2)/10^9),0)</f>
        <v>-7.3150624099883694E-3</v>
      </c>
      <c r="Q2127" s="105">
        <f>IF($K$2010&gt;0,IPMT('Assumptions (Biomass)'!$V$6,Model!AC$1,'Assumptions (Biomass)'!$V$9,'Assumptions (Biomass)'!$V$4*Model!$K$2010*AVERAGE('Assumptions (Biomass)'!$G$2:$I$2)/10^9),0)</f>
        <v>-6.7266608018215811E-3</v>
      </c>
      <c r="R2127" s="105">
        <f>IF($K$2010&gt;0,IPMT('Assumptions (Biomass)'!$V$6,Model!AD$1,'Assumptions (Biomass)'!$V$9,'Assumptions (Biomass)'!$V$4*Model!$K$2010*AVERAGE('Assumptions (Biomass)'!$G$2:$I$2)/10^9),0)</f>
        <v>-6.1103101172668723E-3</v>
      </c>
      <c r="S2127" s="105">
        <f>IF($K$2010&gt;0,IPMT('Assumptions (Biomass)'!$V$6,Model!AE$1,'Assumptions (Biomass)'!$V$9,'Assumptions (Biomass)'!$V$4*Model!$K$2010*AVERAGE('Assumptions (Biomass)'!$G$2:$I$2)/10^9),0)</f>
        <v>-5.4646827751958166E-3</v>
      </c>
      <c r="T2127" s="105">
        <f>IF($K$2010&gt;0,IPMT('Assumptions (Biomass)'!$V$6,Model!AF$1,'Assumptions (Biomass)'!$V$9,'Assumptions (Biomass)'!$V$4*Model!$K$2010*AVERAGE('Assumptions (Biomass)'!$G$2:$I$2)/10^9),0)</f>
        <v>-4.7883881343763826E-3</v>
      </c>
      <c r="U2127" s="105">
        <f>IF($K$2010&gt;0,IPMT('Assumptions (Biomass)'!$V$6,Model!AG$1,'Assumptions (Biomass)'!$V$9,'Assumptions (Biomass)'!$V$4*Model!$K$2010*AVERAGE('Assumptions (Biomass)'!$G$2:$I$2)/10^9),0)</f>
        <v>-4.079969498118027E-3</v>
      </c>
      <c r="V2127" s="105">
        <f>IF($K$2010&gt;0,IPMT('Assumptions (Biomass)'!$V$6,Model!AH$1,'Assumptions (Biomass)'!$V$9,'Assumptions (Biomass)'!$V$4*Model!$K$2010*AVERAGE('Assumptions (Biomass)'!$G$2:$I$2)/10^9),0)</f>
        <v>-3.337900976637399E-3</v>
      </c>
      <c r="W2127" s="105">
        <f>IF($K$2010&gt;0,IPMT('Assumptions (Biomass)'!$V$6,Model!AI$1,'Assumptions (Biomass)'!$V$9,'Assumptions (Biomass)'!$V$4*Model!$K$2010*AVERAGE('Assumptions (Biomass)'!$G$2:$I$2)/10^9),0)</f>
        <v>-2.5605842003864408E-3</v>
      </c>
      <c r="X2127" s="105">
        <f>IF($K$2010&gt;0,IPMT('Assumptions (Biomass)'!$V$6,Model!AJ$1,'Assumptions (Biomass)'!$V$9,'Assumptions (Biomass)'!$V$4*Model!$K$2010*AVERAGE('Assumptions (Biomass)'!$G$2:$I$2)/10^9),0)</f>
        <v>-1.7463448772635625E-3</v>
      </c>
      <c r="Y2127" s="105">
        <f>IF($K$2010&gt;0,IPMT('Assumptions (Biomass)'!$V$6,Model!AK$1,'Assumptions (Biomass)'!$V$9,'Assumptions (Biomass)'!$V$4*Model!$K$2010*AVERAGE('Assumptions (Biomass)'!$G$2:$I$2)/10^9),0)</f>
        <v>-8.9342918629234771E-4</v>
      </c>
      <c r="Z2127" s="105"/>
      <c r="AA2127" s="105"/>
      <c r="AB2127" s="105"/>
      <c r="AC2127" s="105"/>
      <c r="AD2127" s="105"/>
      <c r="AE2127" s="105"/>
      <c r="AF2127" s="105"/>
      <c r="AG2127" s="105"/>
      <c r="AH2127" s="105"/>
      <c r="AI2127" s="105"/>
    </row>
    <row r="2128" spans="1:68" ht="15.75" hidden="1" customHeight="1" outlineLevel="1">
      <c r="A2128" s="441"/>
      <c r="B2128" s="99"/>
      <c r="C2128" s="105"/>
      <c r="D2128" s="105"/>
      <c r="E2128" s="105"/>
      <c r="F2128" s="105"/>
      <c r="G2128" s="105"/>
      <c r="H2128" s="105"/>
      <c r="I2128" s="105"/>
      <c r="J2128" s="105"/>
      <c r="K2128" s="105"/>
      <c r="L2128" s="105">
        <f>IF($L$2010&gt;0,IPMT('Assumptions (Biomass)'!$V$6,Model!W$1,'Assumptions (Biomass)'!$V$9,'Assumptions (Biomass)'!$V$4*Model!$L$2010*AVERAGE('Assumptions (Biomass)'!$H$2:$J$2)/10^9),0)</f>
        <v>-1.0551295314949007E-2</v>
      </c>
      <c r="M2128" s="105">
        <f>IF($L$2010&gt;0,IPMT('Assumptions (Biomass)'!$V$6,Model!X$1,'Assumptions (Biomass)'!$V$9,'Assumptions (Biomass)'!$V$4*Model!$L$2010*AVERAGE('Assumptions (Biomass)'!$H$2:$J$2)/10^9),0)</f>
        <v>-1.005305118067302E-2</v>
      </c>
      <c r="N2128" s="105">
        <f>IF($L$2010&gt;0,IPMT('Assumptions (Biomass)'!$V$6,Model!Y$1,'Assumptions (Biomass)'!$V$9,'Assumptions (Biomass)'!$V$4*Model!$L$2010*AVERAGE('Assumptions (Biomass)'!$H$2:$J$2)/10^9),0)</f>
        <v>-9.5311404500189253E-3</v>
      </c>
      <c r="O2128" s="105">
        <f>IF($L$2010&gt;0,IPMT('Assumptions (Biomass)'!$V$6,Model!Z$1,'Assumptions (Biomass)'!$V$9,'Assumptions (Biomass)'!$V$4*Model!$L$2010*AVERAGE('Assumptions (Biomass)'!$H$2:$J$2)/10^9),0)</f>
        <v>-8.9844389596587648E-3</v>
      </c>
      <c r="P2128" s="105">
        <f>IF($L$2010&gt;0,IPMT('Assumptions (Biomass)'!$V$6,Model!AA$1,'Assumptions (Biomass)'!$V$9,'Assumptions (Biomass)'!$V$4*Model!$L$2010*AVERAGE('Assumptions (Biomass)'!$H$2:$J$2)/10^9),0)</f>
        <v>-8.4117691485064948E-3</v>
      </c>
      <c r="Q2128" s="105">
        <f>IF($L$2010&gt;0,IPMT('Assumptions (Biomass)'!$V$6,Model!AB$1,'Assumptions (Biomass)'!$V$9,'Assumptions (Biomass)'!$V$4*Model!$L$2010*AVERAGE('Assumptions (Biomass)'!$H$2:$J$2)/10^9),0)</f>
        <v>-7.8118975213244913E-3</v>
      </c>
      <c r="R2128" s="105">
        <f>IF($L$2010&gt;0,IPMT('Assumptions (Biomass)'!$V$6,Model!AC$1,'Assumptions (Biomass)'!$V$9,'Assumptions (Biomass)'!$V$4*Model!$L$2010*AVERAGE('Assumptions (Biomass)'!$H$2:$J$2)/10^9),0)</f>
        <v>-7.1835319918513432E-3</v>
      </c>
      <c r="S2128" s="105">
        <f>IF($L$2010&gt;0,IPMT('Assumptions (Biomass)'!$V$6,Model!AD$1,'Assumptions (Biomass)'!$V$9,'Assumptions (Biomass)'!$V$4*Model!$L$2010*AVERAGE('Assumptions (Biomass)'!$H$2:$J$2)/10^9),0)</f>
        <v>-6.5253190997282204E-3</v>
      </c>
      <c r="T2128" s="105">
        <f>IF($L$2010&gt;0,IPMT('Assumptions (Biomass)'!$V$6,Model!AE$1,'Assumptions (Biomass)'!$V$9,'Assumptions (Biomass)'!$V$4*Model!$L$2010*AVERAGE('Assumptions (Biomass)'!$H$2:$J$2)/10^9),0)</f>
        <v>-5.8358410952292503E-3</v>
      </c>
      <c r="U2128" s="105">
        <f>IF($L$2010&gt;0,IPMT('Assumptions (Biomass)'!$V$6,Model!AF$1,'Assumptions (Biomass)'!$V$9,'Assumptions (Biomass)'!$V$4*Model!$L$2010*AVERAGE('Assumptions (Biomass)'!$H$2:$J$2)/10^9),0)</f>
        <v>-5.1136128855165776E-3</v>
      </c>
      <c r="V2128" s="105">
        <f>IF($L$2010&gt;0,IPMT('Assumptions (Biomass)'!$V$6,Model!AG$1,'Assumptions (Biomass)'!$V$9,'Assumptions (Biomass)'!$V$4*Model!$L$2010*AVERAGE('Assumptions (Biomass)'!$H$2:$J$2)/10^9),0)</f>
        <v>-4.3570788358425535E-3</v>
      </c>
      <c r="W2128" s="105">
        <f>IF($L$2010&gt;0,IPMT('Assumptions (Biomass)'!$V$6,Model!AH$1,'Assumptions (Biomass)'!$V$9,'Assumptions (Biomass)'!$V$4*Model!$L$2010*AVERAGE('Assumptions (Biomass)'!$H$2:$J$2)/10^9),0)</f>
        <v>-3.5646094188090129E-3</v>
      </c>
      <c r="X2128" s="105">
        <f>IF($L$2010&gt;0,IPMT('Assumptions (Biomass)'!$V$6,Model!AI$1,'Assumptions (Biomass)'!$V$9,'Assumptions (Biomass)'!$V$4*Model!$L$2010*AVERAGE('Assumptions (Biomass)'!$H$2:$J$2)/10^9),0)</f>
        <v>-2.7344977044663791E-3</v>
      </c>
      <c r="Y2128" s="105">
        <f>IF($L$2010&gt;0,IPMT('Assumptions (Biomass)'!$V$6,Model!AJ$1,'Assumptions (Biomass)'!$V$9,'Assumptions (Biomass)'!$V$4*Model!$L$2010*AVERAGE('Assumptions (Biomass)'!$H$2:$J$2)/10^9),0)</f>
        <v>-1.8649556836924702E-3</v>
      </c>
      <c r="Z2128" s="105">
        <f>IF($L$2010&gt;0,IPMT('Assumptions (Biomass)'!$V$6,Model!AK$1,'Assumptions (Biomass)'!$V$9,'Assumptions (Biomass)'!$V$4*Model!$L$2010*AVERAGE('Assumptions (Biomass)'!$H$2:$J$2)/10^9),0)</f>
        <v>-9.5411041693180103E-4</v>
      </c>
      <c r="AA2128" s="105"/>
      <c r="AB2128" s="105"/>
      <c r="AC2128" s="105"/>
      <c r="AD2128" s="105"/>
      <c r="AE2128" s="105"/>
      <c r="AF2128" s="105"/>
      <c r="AG2128" s="105"/>
      <c r="AH2128" s="105"/>
      <c r="AI2128" s="105"/>
      <c r="AJ2128" s="105"/>
    </row>
    <row r="2129" spans="1:53" ht="15.75" hidden="1" customHeight="1" outlineLevel="1">
      <c r="A2129" s="441"/>
      <c r="B2129" s="99"/>
      <c r="C2129" s="105"/>
      <c r="D2129" s="105"/>
      <c r="E2129" s="105"/>
      <c r="F2129" s="105"/>
      <c r="G2129" s="105"/>
      <c r="H2129" s="105"/>
      <c r="I2129" s="105"/>
      <c r="J2129" s="105"/>
      <c r="K2129" s="105"/>
      <c r="L2129" s="105"/>
      <c r="M2129" s="105">
        <f>IF($M$2010&gt;0,IPMT('Assumptions (Biomass)'!$V$6,Model!W$1,'Assumptions (Biomass)'!$V$9,'Assumptions (Biomass)'!$V$4*Model!$M$2010*AVERAGE('Assumptions (Biomass)'!$I$2:$K$2)/10^9),0)</f>
        <v>-7.1835044689900424E-3</v>
      </c>
      <c r="N2129" s="105">
        <f>IF($M$2010&gt;0,IPMT('Assumptions (Biomass)'!$V$6,Model!X$1,'Assumptions (Biomass)'!$V$9,'Assumptions (Biomass)'!$V$4*Model!$M$2010*AVERAGE('Assumptions (Biomass)'!$I$2:$K$2)/10^9),0)</f>
        <v>-6.8442912389187812E-3</v>
      </c>
      <c r="O2129" s="105">
        <f>IF($M$2010&gt;0,IPMT('Assumptions (Biomass)'!$V$6,Model!Y$1,'Assumptions (Biomass)'!$V$9,'Assumptions (Biomass)'!$V$4*Model!$M$2010*AVERAGE('Assumptions (Biomass)'!$I$2:$K$2)/10^9),0)</f>
        <v>-6.4889653804191347E-3</v>
      </c>
      <c r="P2129" s="105">
        <f>IF($M$2010&gt;0,IPMT('Assumptions (Biomass)'!$V$6,Model!Z$1,'Assumptions (Biomass)'!$V$9,'Assumptions (Biomass)'!$V$4*Model!$M$2010*AVERAGE('Assumptions (Biomass)'!$I$2:$K$2)/10^9),0)</f>
        <v>-6.1167615436407575E-3</v>
      </c>
      <c r="Q2129" s="105">
        <f>IF($M$2010&gt;0,IPMT('Assumptions (Biomass)'!$V$6,Model!AA$1,'Assumptions (Biomass)'!$V$9,'Assumptions (Biomass)'!$V$4*Model!$M$2010*AVERAGE('Assumptions (Biomass)'!$I$2:$K$2)/10^9),0)</f>
        <v>-5.7268780246154064E-3</v>
      </c>
      <c r="R2129" s="105">
        <f>IF($M$2010&gt;0,IPMT('Assumptions (Biomass)'!$V$6,Model!AB$1,'Assumptions (Biomass)'!$V$9,'Assumptions (Biomass)'!$V$4*Model!$M$2010*AVERAGE('Assumptions (Biomass)'!$I$2:$K$2)/10^9),0)</f>
        <v>-5.3184750384363518E-3</v>
      </c>
      <c r="S2129" s="105">
        <f>IF($M$2010&gt;0,IPMT('Assumptions (Biomass)'!$V$6,Model!AC$1,'Assumptions (Biomass)'!$V$9,'Assumptions (Biomass)'!$V$4*Model!$M$2010*AVERAGE('Assumptions (Biomass)'!$I$2:$K$2)/10^9),0)</f>
        <v>-4.8906729104137917E-3</v>
      </c>
      <c r="T2129" s="105">
        <f>IF($M$2010&gt;0,IPMT('Assumptions (Biomass)'!$V$6,Model!AD$1,'Assumptions (Biomass)'!$V$9,'Assumptions (Biomass)'!$V$4*Model!$M$2010*AVERAGE('Assumptions (Biomass)'!$I$2:$K$2)/10^9),0)</f>
        <v>-4.4425501813101596E-3</v>
      </c>
      <c r="U2129" s="105">
        <f>IF($M$2010&gt;0,IPMT('Assumptions (Biomass)'!$V$6,Model!AE$1,'Assumptions (Biomass)'!$V$9,'Assumptions (Biomass)'!$V$4*Model!$M$2010*AVERAGE('Assumptions (Biomass)'!$I$2:$K$2)/10^9),0)</f>
        <v>-3.9731416225741055E-3</v>
      </c>
      <c r="V2129" s="105">
        <f>IF($M$2010&gt;0,IPMT('Assumptions (Biomass)'!$V$6,Model!AF$1,'Assumptions (Biomass)'!$V$9,'Assumptions (Biomass)'!$V$4*Model!$M$2010*AVERAGE('Assumptions (Biomass)'!$I$2:$K$2)/10^9),0)</f>
        <v>-3.4814361572980891E-3</v>
      </c>
      <c r="W2129" s="105">
        <f>IF($M$2010&gt;0,IPMT('Assumptions (Biomass)'!$V$6,Model!AG$1,'Assumptions (Biomass)'!$V$9,'Assumptions (Biomass)'!$V$4*Model!$M$2010*AVERAGE('Assumptions (Biomass)'!$I$2:$K$2)/10^9),0)</f>
        <v>-2.9663746824214608E-3</v>
      </c>
      <c r="X2129" s="105">
        <f>IF($M$2010&gt;0,IPMT('Assumptions (Biomass)'!$V$6,Model!AH$1,'Assumptions (Biomass)'!$V$9,'Assumptions (Biomass)'!$V$4*Model!$M$2010*AVERAGE('Assumptions (Biomass)'!$I$2:$K$2)/10^9),0)</f>
        <v>-2.4268477874881938E-3</v>
      </c>
      <c r="Y2129" s="105">
        <f>IF($M$2010&gt;0,IPMT('Assumptions (Biomass)'!$V$6,Model!AI$1,'Assumptions (Biomass)'!$V$9,'Assumptions (Biomass)'!$V$4*Model!$M$2010*AVERAGE('Assumptions (Biomass)'!$I$2:$K$2)/10^9),0)</f>
        <v>-1.8616933650455957E-3</v>
      </c>
      <c r="Z2129" s="105">
        <f>IF($M$2010&gt;0,IPMT('Assumptions (Biomass)'!$V$6,Model!AJ$1,'Assumptions (Biomass)'!$V$9,'Assumptions (Biomass)'!$V$4*Model!$M$2010*AVERAGE('Assumptions (Biomass)'!$I$2:$K$2)/10^9),0)</f>
        <v>-1.2696941075369746E-3</v>
      </c>
      <c r="AA2129" s="105">
        <f>IF($M$2010&gt;0,IPMT('Assumptions (Biomass)'!$V$6,Model!AK$1,'Assumptions (Biomass)'!$V$9,'Assumptions (Biomass)'!$V$4*Model!$M$2010*AVERAGE('Assumptions (Biomass)'!$I$2:$K$2)/10^9),0)</f>
        <v>-6.4957488529669401E-4</v>
      </c>
      <c r="AB2129" s="105"/>
      <c r="AC2129" s="105"/>
      <c r="AD2129" s="105"/>
      <c r="AE2129" s="105"/>
      <c r="AF2129" s="105"/>
      <c r="AG2129" s="105"/>
      <c r="AH2129" s="105"/>
      <c r="AI2129" s="105"/>
      <c r="AJ2129" s="105"/>
      <c r="AK2129" s="105"/>
    </row>
    <row r="2130" spans="1:53" ht="15.75" hidden="1" customHeight="1" outlineLevel="1">
      <c r="A2130" s="441"/>
      <c r="B2130" s="99"/>
      <c r="C2130" s="105"/>
      <c r="D2130" s="105"/>
      <c r="E2130" s="105"/>
      <c r="F2130" s="105"/>
      <c r="G2130" s="105"/>
      <c r="H2130" s="105"/>
      <c r="I2130" s="105"/>
      <c r="J2130" s="105"/>
      <c r="K2130" s="105"/>
      <c r="L2130" s="105"/>
      <c r="M2130" s="105"/>
      <c r="N2130" s="91">
        <f>IF($N$2010&gt;0,IPMT('Assumptions (Biomass)'!$V$6,Model!W$1,'Assumptions (Biomass)'!$V$9,'Assumptions (Biomass)'!$V$4*Model!$N$2010*AVERAGE('Assumptions (Biomass)'!$J$2:$L$2)/10^9),0)</f>
        <v>-1.2437724880594189E-2</v>
      </c>
      <c r="O2130" s="91">
        <f>IF($N$2010&gt;0,IPMT('Assumptions (Biomass)'!$V$6,Model!X$1,'Assumptions (Biomass)'!$V$9,'Assumptions (Biomass)'!$V$4*Model!$N$2010*AVERAGE('Assumptions (Biomass)'!$J$2:$L$2)/10^9),0)</f>
        <v>-1.1850401402242233E-2</v>
      </c>
      <c r="P2130" s="91">
        <f>IF($N$2010&gt;0,IPMT('Assumptions (Biomass)'!$V$6,Model!Y$1,'Assumptions (Biomass)'!$V$9,'Assumptions (Biomass)'!$V$4*Model!$N$2010*AVERAGE('Assumptions (Biomass)'!$J$2:$L$2)/10^9),0)</f>
        <v>-1.123518005866856E-2</v>
      </c>
      <c r="Q2130" s="91">
        <f>IF($N$2010&gt;0,IPMT('Assumptions (Biomass)'!$V$6,Model!Z$1,'Assumptions (Biomass)'!$V$9,'Assumptions (Biomass)'!$V$4*Model!$N$2010*AVERAGE('Assumptions (Biomass)'!$J$2:$L$2)/10^9),0)</f>
        <v>-1.0590735701275141E-2</v>
      </c>
      <c r="R2130" s="91">
        <f>IF($N$2010&gt;0,IPMT('Assumptions (Biomass)'!$V$6,Model!AA$1,'Assumptions (Biomass)'!$V$9,'Assumptions (Biomass)'!$V$4*Model!$N$2010*AVERAGE('Assumptions (Biomass)'!$J$2:$L$2)/10^9),0)</f>
        <v>-9.915680236905533E-3</v>
      </c>
      <c r="S2130" s="91">
        <f>IF($N$2010&gt;0,IPMT('Assumptions (Biomass)'!$V$6,Model!AB$1,'Assumptions (Biomass)'!$V$9,'Assumptions (Biomass)'!$V$4*Model!$N$2010*AVERAGE('Assumptions (Biomass)'!$J$2:$L$2)/10^9),0)</f>
        <v>-9.2085596379783714E-3</v>
      </c>
      <c r="T2130" s="91">
        <f>IF($N$2010&gt;0,IPMT('Assumptions (Biomass)'!$V$6,Model!AC$1,'Assumptions (Biomass)'!$V$9,'Assumptions (Biomass)'!$V$4*Model!$N$2010*AVERAGE('Assumptions (Biomass)'!$J$2:$L$2)/10^9),0)</f>
        <v>-8.467850810602166E-3</v>
      </c>
      <c r="U2130" s="91">
        <f>IF($N$2010&gt;0,IPMT('Assumptions (Biomass)'!$V$6,Model!AD$1,'Assumptions (Biomass)'!$V$9,'Assumptions (Biomass)'!$V$4*Model!$N$2010*AVERAGE('Assumptions (Biomass)'!$J$2:$L$2)/10^9),0)</f>
        <v>-7.6919583139255909E-3</v>
      </c>
      <c r="V2130" s="91">
        <f>IF($N$2010&gt;0,IPMT('Assumptions (Biomass)'!$V$6,Model!AE$1,'Assumptions (Biomass)'!$V$9,'Assumptions (Biomass)'!$V$4*Model!$N$2010*AVERAGE('Assumptions (Biomass)'!$J$2:$L$2)/10^9),0)</f>
        <v>-6.8792109236568821E-3</v>
      </c>
      <c r="W2130" s="91">
        <f>IF($N$2010&gt;0,IPMT('Assumptions (Biomass)'!$V$6,Model!AF$1,'Assumptions (Biomass)'!$V$9,'Assumptions (Biomass)'!$V$4*Model!$N$2010*AVERAGE('Assumptions (Biomass)'!$J$2:$L$2)/10^9),0)</f>
        <v>-6.0278580323504067E-3</v>
      </c>
      <c r="X2130" s="91">
        <f>IF($N$2010&gt;0,IPMT('Assumptions (Biomass)'!$V$6,Model!AG$1,'Assumptions (Biomass)'!$V$9,'Assumptions (Biomass)'!$V$4*Model!$N$2010*AVERAGE('Assumptions (Biomass)'!$J$2:$L$2)/10^9),0)</f>
        <v>-5.1360658787068733E-3</v>
      </c>
      <c r="Y2130" s="91">
        <f>IF($N$2010&gt;0,IPMT('Assumptions (Biomass)'!$V$6,Model!AH$1,'Assumptions (Biomass)'!$V$9,'Assumptions (Biomass)'!$V$4*Model!$N$2010*AVERAGE('Assumptions (Biomass)'!$J$2:$L$2)/10^9),0)</f>
        <v>-4.2019135977652729E-3</v>
      </c>
      <c r="Z2130" s="91">
        <f>IF($N$2010&gt;0,IPMT('Assumptions (Biomass)'!$V$6,Model!AI$1,'Assumptions (Biomass)'!$V$9,'Assumptions (Biomass)'!$V$4*Model!$N$2010*AVERAGE('Assumptions (Biomass)'!$J$2:$L$2)/10^9),0)</f>
        <v>-3.2233890834789465E-3</v>
      </c>
      <c r="AA2130" s="91">
        <f>IF($N$2010&gt;0,IPMT('Assumptions (Biomass)'!$V$6,Model!AJ$1,'Assumptions (Biomass)'!$V$9,'Assumptions (Biomass)'!$V$4*Model!$N$2010*AVERAGE('Assumptions (Biomass)'!$J$2:$L$2)/10^9),0)</f>
        <v>-2.1983846547640193E-3</v>
      </c>
      <c r="AB2130" s="91">
        <f>IF($N$2010&gt;0,IPMT('Assumptions (Biomass)'!$V$6,Model!AK$1,'Assumptions (Biomass)'!$V$9,'Assumptions (Biomass)'!$V$4*Model!$N$2010*AVERAGE('Assumptions (Biomass)'!$J$2:$L$2)/10^9),0)</f>
        <v>-1.1246925156851331E-3</v>
      </c>
      <c r="AC2130" s="91"/>
      <c r="AD2130" s="91"/>
      <c r="AE2130" s="91"/>
      <c r="AF2130" s="91"/>
      <c r="AG2130" s="91"/>
      <c r="AH2130" s="91"/>
      <c r="AI2130" s="91"/>
      <c r="AJ2130" s="91"/>
      <c r="AK2130" s="91"/>
      <c r="AL2130" s="91"/>
    </row>
    <row r="2131" spans="1:53" ht="15.75" hidden="1" customHeight="1" outlineLevel="1">
      <c r="A2131" s="441"/>
      <c r="B2131" s="99"/>
      <c r="C2131" s="105"/>
      <c r="D2131" s="105"/>
      <c r="E2131" s="105"/>
      <c r="F2131" s="105"/>
      <c r="G2131" s="105"/>
      <c r="H2131" s="105"/>
      <c r="I2131" s="105"/>
      <c r="J2131" s="105"/>
      <c r="K2131" s="105"/>
      <c r="L2131" s="105"/>
      <c r="M2131" s="105"/>
      <c r="N2131" s="105"/>
      <c r="O2131" s="105">
        <f>IF($O$2010&gt;0,IPMT('Assumptions (Biomass)'!$V$6,Model!W$1,'Assumptions (Biomass)'!$V$9,'Assumptions (Biomass)'!$V$4*Model!$O$2010*AVERAGE('Assumptions (Biomass)'!$K$2:$M$2)/10^9),0)</f>
        <v>-1.6661097740685062E-2</v>
      </c>
      <c r="P2131" s="105">
        <f>IF($O$2010&gt;0,IPMT('Assumptions (Biomass)'!$V$6,Model!X$1,'Assumptions (Biomass)'!$V$9,'Assumptions (Biomass)'!$V$4*Model!$O$2010*AVERAGE('Assumptions (Biomass)'!$K$2:$M$2)/10^9),0)</f>
        <v>-1.5874341804839539E-2</v>
      </c>
      <c r="Q2131" s="105">
        <f>IF($O$2010&gt;0,IPMT('Assumptions (Biomass)'!$V$6,Model!Y$1,'Assumptions (Biomass)'!$V$9,'Assumptions (Biomass)'!$V$4*Model!$O$2010*AVERAGE('Assumptions (Biomass)'!$K$2:$M$2)/10^9),0)</f>
        <v>-1.505021496204135E-2</v>
      </c>
      <c r="R2131" s="105">
        <f>IF($O$2010&gt;0,IPMT('Assumptions (Biomass)'!$V$6,Model!Z$1,'Assumptions (Biomass)'!$V$9,'Assumptions (Biomass)'!$V$4*Model!$O$2010*AVERAGE('Assumptions (Biomass)'!$K$2:$M$2)/10^9),0)</f>
        <v>-1.4186942094210253E-2</v>
      </c>
      <c r="S2131" s="105">
        <f>IF($O$2010&gt;0,IPMT('Assumptions (Biomass)'!$V$6,Model!AA$1,'Assumptions (Biomass)'!$V$9,'Assumptions (Biomass)'!$V$4*Model!$O$2010*AVERAGE('Assumptions (Biomass)'!$K$2:$M$2)/10^9),0)</f>
        <v>-1.3282663765157177E-2</v>
      </c>
      <c r="T2131" s="105">
        <f>IF($O$2010&gt;0,IPMT('Assumptions (Biomass)'!$V$6,Model!AB$1,'Assumptions (Biomass)'!$V$9,'Assumptions (Biomass)'!$V$4*Model!$O$2010*AVERAGE('Assumptions (Biomass)'!$K$2:$M$2)/10^9),0)</f>
        <v>-1.2335432215474083E-2</v>
      </c>
      <c r="U2131" s="105">
        <f>IF($O$2010&gt;0,IPMT('Assumptions (Biomass)'!$V$6,Model!AC$1,'Assumptions (Biomass)'!$V$9,'Assumptions (Biomass)'!$V$4*Model!$O$2010*AVERAGE('Assumptions (Biomass)'!$K$2:$M$2)/10^9),0)</f>
        <v>-1.1343207167181037E-2</v>
      </c>
      <c r="V2131" s="105">
        <f>IF($O$2010&gt;0,IPMT('Assumptions (Biomass)'!$V$6,Model!AD$1,'Assumptions (Biomass)'!$V$9,'Assumptions (Biomass)'!$V$4*Model!$O$2010*AVERAGE('Assumptions (Biomass)'!$K$2:$M$2)/10^9),0)</f>
        <v>-1.0303851429094074E-2</v>
      </c>
      <c r="W2131" s="105">
        <f>IF($O$2010&gt;0,IPMT('Assumptions (Biomass)'!$V$6,Model!AE$1,'Assumptions (Biomass)'!$V$9,'Assumptions (Biomass)'!$V$4*Model!$O$2010*AVERAGE('Assumptions (Biomass)'!$K$2:$M$2)/10^9),0)</f>
        <v>-9.2151262934479818E-3</v>
      </c>
      <c r="X2131" s="105">
        <f>IF($O$2010&gt;0,IPMT('Assumptions (Biomass)'!$V$6,Model!AF$1,'Assumptions (Biomass)'!$V$9,'Assumptions (Biomass)'!$V$4*Model!$O$2010*AVERAGE('Assumptions (Biomass)'!$K$2:$M$2)/10^9),0)</f>
        <v>-8.0746867138586989E-3</v>
      </c>
      <c r="Y2131" s="105">
        <f>IF($O$2010&gt;0,IPMT('Assumptions (Biomass)'!$V$6,Model!AG$1,'Assumptions (Biomass)'!$V$9,'Assumptions (Biomass)'!$V$4*Model!$O$2010*AVERAGE('Assumptions (Biomass)'!$K$2:$M$2)/10^9),0)</f>
        <v>-6.8800762542389239E-3</v>
      </c>
      <c r="Z2131" s="105">
        <f>IF($O$2010&gt;0,IPMT('Assumptions (Biomass)'!$V$6,Model!AH$1,'Assumptions (Biomass)'!$V$9,'Assumptions (Biomass)'!$V$4*Model!$O$2010*AVERAGE('Assumptions (Biomass)'!$K$2:$M$2)/10^9),0)</f>
        <v>-5.6287217977872102E-3</v>
      </c>
      <c r="AA2131" s="105">
        <f>IF($O$2010&gt;0,IPMT('Assumptions (Biomass)'!$V$6,Model!AI$1,'Assumptions (Biomass)'!$V$9,'Assumptions (Biomass)'!$V$4*Model!$O$2010*AVERAGE('Assumptions (Biomass)'!$K$2:$M$2)/10^9),0)</f>
        <v>-4.3179280046540397E-3</v>
      </c>
      <c r="AB2131" s="105">
        <f>IF($O$2010&gt;0,IPMT('Assumptions (Biomass)'!$V$6,Model!AJ$1,'Assumptions (Biomass)'!$V$9,'Assumptions (Biomass)'!$V$4*Model!$O$2010*AVERAGE('Assumptions (Biomass)'!$K$2:$M$2)/10^9),0)</f>
        <v>-2.9448715063470437E-3</v>
      </c>
      <c r="AC2131" s="105">
        <f>IF($O$2010&gt;0,IPMT('Assumptions (Biomass)'!$V$6,Model!AK$1,'Assumptions (Biomass)'!$V$9,'Assumptions (Biomass)'!$V$4*Model!$O$2010*AVERAGE('Assumptions (Biomass)'!$K$2:$M$2)/10^9),0)</f>
        <v>-1.5065948243704653E-3</v>
      </c>
      <c r="AD2131" s="105"/>
      <c r="AE2131" s="105"/>
      <c r="AF2131" s="105"/>
      <c r="AG2131" s="105"/>
      <c r="AH2131" s="105"/>
      <c r="AI2131" s="105"/>
      <c r="AJ2131" s="105"/>
      <c r="AK2131" s="105"/>
      <c r="AL2131" s="105"/>
      <c r="AM2131" s="105"/>
    </row>
    <row r="2132" spans="1:53" ht="15.75" hidden="1" customHeight="1" outlineLevel="1">
      <c r="A2132" s="441"/>
      <c r="B2132" s="99"/>
      <c r="C2132" s="105"/>
      <c r="D2132" s="105"/>
      <c r="E2132" s="105"/>
      <c r="F2132" s="105"/>
      <c r="G2132" s="105"/>
      <c r="H2132" s="105"/>
      <c r="I2132" s="105"/>
      <c r="J2132" s="105"/>
      <c r="K2132" s="105"/>
      <c r="L2132" s="105"/>
      <c r="M2132" s="105"/>
      <c r="N2132" s="105"/>
      <c r="O2132" s="105"/>
      <c r="P2132" s="91">
        <f>IF($P$2010&gt;0,IPMT('Assumptions (Biomass)'!$V$6,Model!W$1,'Assumptions (Biomass)'!$V$9,'Assumptions (Biomass)'!$V$4*Model!$P$2010*AVERAGE('Assumptions (Biomass)'!$L$2:$N$2)/10^9),0)</f>
        <v>-5.457034375027417E-2</v>
      </c>
      <c r="Q2132" s="91">
        <f>IF($P$2010&gt;0,IPMT('Assumptions (Biomass)'!$V$6,Model!X$1,'Assumptions (Biomass)'!$V$9,'Assumptions (Biomass)'!$V$4*Model!$P$2010*AVERAGE('Assumptions (Biomass)'!$L$2:$N$2)/10^9),0)</f>
        <v>-5.1993470213195114E-2</v>
      </c>
      <c r="R2132" s="91">
        <f>IF($P$2010&gt;0,IPMT('Assumptions (Biomass)'!$V$6,Model!Y$1,'Assumptions (Biomass)'!$V$9,'Assumptions (Biomass)'!$V$4*Model!$P$2010*AVERAGE('Assumptions (Biomass)'!$L$2:$N$2)/10^9),0)</f>
        <v>-4.9294195183104801E-2</v>
      </c>
      <c r="S2132" s="91">
        <f>IF($P$2010&gt;0,IPMT('Assumptions (Biomass)'!$V$6,Model!Z$1,'Assumptions (Biomass)'!$V$9,'Assumptions (Biomass)'!$V$4*Model!$P$2010*AVERAGE('Assumptions (Biomass)'!$L$2:$N$2)/10^9),0)</f>
        <v>-4.6466704589085223E-2</v>
      </c>
      <c r="T2132" s="91">
        <f>IF($P$2010&gt;0,IPMT('Assumptions (Biomass)'!$V$6,Model!AA$1,'Assumptions (Biomass)'!$V$9,'Assumptions (Biomass)'!$V$4*Model!$P$2010*AVERAGE('Assumptions (Biomass)'!$L$2:$N$2)/10^9),0)</f>
        <v>-4.3504908191849698E-2</v>
      </c>
      <c r="U2132" s="91">
        <f>IF($P$2010&gt;0,IPMT('Assumptions (Biomass)'!$V$6,Model!AB$1,'Assumptions (Biomass)'!$V$9,'Assumptions (Biomass)'!$V$4*Model!$P$2010*AVERAGE('Assumptions (Biomass)'!$L$2:$N$2)/10^9),0)</f>
        <v>-4.0402426465745496E-2</v>
      </c>
      <c r="V2132" s="91">
        <f>IF($P$2010&gt;0,IPMT('Assumptions (Biomass)'!$V$6,Model!AC$1,'Assumptions (Biomass)'!$V$9,'Assumptions (Biomass)'!$V$4*Model!$P$2010*AVERAGE('Assumptions (Biomass)'!$L$2:$N$2)/10^9),0)</f>
        <v>-3.7152576857651338E-2</v>
      </c>
      <c r="W2132" s="91">
        <f>IF($P$2010&gt;0,IPMT('Assumptions (Biomass)'!$V$6,Model!AD$1,'Assumptions (Biomass)'!$V$9,'Assumptions (Biomass)'!$V$4*Model!$P$2010*AVERAGE('Assumptions (Biomass)'!$L$2:$N$2)/10^9),0)</f>
        <v>-3.3748359393172708E-2</v>
      </c>
      <c r="X2132" s="91">
        <f>IF($P$2010&gt;0,IPMT('Assumptions (Biomass)'!$V$6,Model!AE$1,'Assumptions (Biomass)'!$V$9,'Assumptions (Biomass)'!$V$4*Model!$P$2010*AVERAGE('Assumptions (Biomass)'!$L$2:$N$2)/10^9),0)</f>
        <v>-3.0182441599131353E-2</v>
      </c>
      <c r="Y2132" s="91">
        <f>IF($P$2010&gt;0,IPMT('Assumptions (Biomass)'!$V$6,Model!AF$1,'Assumptions (Biomass)'!$V$9,'Assumptions (Biomass)'!$V$4*Model!$P$2010*AVERAGE('Assumptions (Biomass)'!$L$2:$N$2)/10^9),0)</f>
        <v>-2.6447142709873021E-2</v>
      </c>
      <c r="Z2132" s="91">
        <f>IF($P$2010&gt;0,IPMT('Assumptions (Biomass)'!$V$6,Model!AG$1,'Assumptions (Biomass)'!$V$9,'Assumptions (Biomass)'!$V$4*Model!$P$2010*AVERAGE('Assumptions (Biomass)'!$L$2:$N$2)/10^9),0)</f>
        <v>-2.2534417123374922E-2</v>
      </c>
      <c r="AA2132" s="91">
        <f>IF($P$2010&gt;0,IPMT('Assumptions (Biomass)'!$V$6,Model!AH$1,'Assumptions (Biomass)'!$V$9,'Assumptions (Biomass)'!$V$4*Model!$P$2010*AVERAGE('Assumptions (Biomass)'!$L$2:$N$2)/10^9),0)</f>
        <v>-1.8435837071518166E-2</v>
      </c>
      <c r="AB2132" s="91">
        <f>IF($P$2010&gt;0,IPMT('Assumptions (Biomass)'!$V$6,Model!AI$1,'Assumptions (Biomass)'!$V$9,'Assumptions (Biomass)'!$V$4*Model!$P$2010*AVERAGE('Assumptions (Biomass)'!$L$2:$N$2)/10^9),0)</f>
        <v>-1.414257446719821E-2</v>
      </c>
      <c r="AC2132" s="91">
        <f>IF($P$2010&gt;0,IPMT('Assumptions (Biomass)'!$V$6,Model!AJ$1,'Assumptions (Biomass)'!$V$9,'Assumptions (Biomass)'!$V$4*Model!$P$2010*AVERAGE('Assumptions (Biomass)'!$L$2:$N$2)/10^9),0)</f>
        <v>-9.6453818891730578E-3</v>
      </c>
      <c r="AD2132" s="91">
        <f>IF($P$2010&gt;0,IPMT('Assumptions (Biomass)'!$V$6,Model!AK$1,'Assumptions (Biomass)'!$V$9,'Assumptions (Biomass)'!$V$4*Model!$P$2010*AVERAGE('Assumptions (Biomass)'!$L$2:$N$2)/10^9),0)</f>
        <v>-4.9345726636917109E-3</v>
      </c>
      <c r="AE2132" s="91"/>
      <c r="AF2132" s="91"/>
      <c r="AG2132" s="91"/>
      <c r="AH2132" s="91"/>
      <c r="AI2132" s="91"/>
      <c r="AJ2132" s="91"/>
      <c r="AK2132" s="91"/>
      <c r="AL2132" s="91"/>
      <c r="AM2132" s="91"/>
      <c r="AN2132" s="91"/>
    </row>
    <row r="2133" spans="1:53" ht="15.75" hidden="1" customHeight="1" outlineLevel="1">
      <c r="A2133" s="441"/>
      <c r="B2133" s="99"/>
      <c r="C2133" s="105"/>
      <c r="D2133" s="105"/>
      <c r="E2133" s="105"/>
      <c r="F2133" s="105"/>
      <c r="G2133" s="105"/>
      <c r="H2133" s="105"/>
      <c r="I2133" s="105"/>
      <c r="J2133" s="105"/>
      <c r="K2133" s="105"/>
      <c r="L2133" s="105"/>
      <c r="M2133" s="105"/>
      <c r="N2133" s="105"/>
      <c r="O2133" s="105"/>
      <c r="P2133" s="171"/>
      <c r="Q2133" s="105">
        <f>IF($Q$2010&gt;0,IPMT('Assumptions (Biomass)'!$V$6,Model!W$1,'Assumptions (Biomass)'!$V$9,'Assumptions (Biomass)'!$V$4*Model!$Q$2010*AVERAGE('Assumptions (Biomass)'!$M$2:$O$2)/10^9),0)</f>
        <v>-1.1976190852294783E-2</v>
      </c>
      <c r="R2133" s="105">
        <f>IF($Q$2010&gt;0,IPMT('Assumptions (Biomass)'!$V$6,Model!X$1,'Assumptions (Biomass)'!$V$9,'Assumptions (Biomass)'!$V$4*Model!$Q$2010*AVERAGE('Assumptions (Biomass)'!$M$2:$O$2)/10^9),0)</f>
        <v>-1.1410661534328344E-2</v>
      </c>
      <c r="S2133" s="105">
        <f>IF($Q$2010&gt;0,IPMT('Assumptions (Biomass)'!$V$6,Model!Y$1,'Assumptions (Biomass)'!$V$9,'Assumptions (Biomass)'!$V$4*Model!$Q$2010*AVERAGE('Assumptions (Biomass)'!$M$2:$O$2)/10^9),0)</f>
        <v>-1.0818269573758501E-2</v>
      </c>
      <c r="T2133" s="105">
        <f>IF($Q$2010&gt;0,IPMT('Assumptions (Biomass)'!$V$6,Model!Z$1,'Assumptions (Biomass)'!$V$9,'Assumptions (Biomass)'!$V$4*Model!$Q$2010*AVERAGE('Assumptions (Biomass)'!$M$2:$O$2)/10^9),0)</f>
        <v>-1.0197738995061592E-2</v>
      </c>
      <c r="U2133" s="105">
        <f>IF($Q$2010&gt;0,IPMT('Assumptions (Biomass)'!$V$6,Model!AA$1,'Assumptions (Biomass)'!$V$9,'Assumptions (Biomass)'!$V$4*Model!$Q$2010*AVERAGE('Assumptions (Biomass)'!$M$2:$O$2)/10^9),0)</f>
        <v>-9.5477332138765789E-3</v>
      </c>
      <c r="V2133" s="105">
        <f>IF($Q$2010&gt;0,IPMT('Assumptions (Biomass)'!$V$6,Model!AB$1,'Assumptions (Biomass)'!$V$9,'Assumptions (Biomass)'!$V$4*Model!$Q$2010*AVERAGE('Assumptions (Biomass)'!$M$2:$O$2)/10^9),0)</f>
        <v>-8.8668521580852755E-3</v>
      </c>
      <c r="W2133" s="105">
        <f>IF($Q$2010&gt;0,IPMT('Assumptions (Biomass)'!$V$6,Model!AC$1,'Assumptions (Biomass)'!$V$9,'Assumptions (Biomass)'!$V$4*Model!$Q$2010*AVERAGE('Assumptions (Biomass)'!$M$2:$O$2)/10^9),0)</f>
        <v>-8.1536292521438881E-3</v>
      </c>
      <c r="X2133" s="105">
        <f>IF($Q$2010&gt;0,IPMT('Assumptions (Biomass)'!$V$6,Model!AD$1,'Assumptions (Biomass)'!$V$9,'Assumptions (Biomass)'!$V$4*Model!$Q$2010*AVERAGE('Assumptions (Biomass)'!$M$2:$O$2)/10^9),0)</f>
        <v>-7.4065282581702837E-3</v>
      </c>
      <c r="Y2133" s="105">
        <f>IF($Q$2010&gt;0,IPMT('Assumptions (Biomass)'!$V$6,Model!AE$1,'Assumptions (Biomass)'!$V$9,'Assumptions (Biomass)'!$V$4*Model!$Q$2010*AVERAGE('Assumptions (Biomass)'!$M$2:$O$2)/10^9),0)</f>
        <v>-6.6239399669829344E-3</v>
      </c>
      <c r="Z2133" s="105">
        <f>IF($Q$2010&gt;0,IPMT('Assumptions (Biomass)'!$V$6,Model!AF$1,'Assumptions (Biomass)'!$V$9,'Assumptions (Biomass)'!$V$4*Model!$Q$2010*AVERAGE('Assumptions (Biomass)'!$M$2:$O$2)/10^9),0)</f>
        <v>-5.8041787319641847E-3</v>
      </c>
      <c r="AA2133" s="105">
        <f>IF($Q$2010&gt;0,IPMT('Assumptions (Biomass)'!$V$6,Model!AG$1,'Assumptions (Biomass)'!$V$9,'Assumptions (Biomass)'!$V$4*Model!$Q$2010*AVERAGE('Assumptions (Biomass)'!$M$2:$O$2)/10^9),0)</f>
        <v>-4.9454788382820442E-3</v>
      </c>
      <c r="AB2133" s="105">
        <f>IF($Q$2010&gt;0,IPMT('Assumptions (Biomass)'!$V$6,Model!AH$1,'Assumptions (Biomass)'!$V$9,'Assumptions (Biomass)'!$V$4*Model!$Q$2010*AVERAGE('Assumptions (Biomass)'!$M$2:$O$2)/10^9),0)</f>
        <v>-4.045990699650003E-3</v>
      </c>
      <c r="AC2133" s="105">
        <f>IF($Q$2010&gt;0,IPMT('Assumptions (Biomass)'!$V$6,Model!AI$1,'Assumptions (Biomass)'!$V$9,'Assumptions (Biomass)'!$V$4*Model!$Q$2010*AVERAGE('Assumptions (Biomass)'!$M$2:$O$2)/10^9),0)</f>
        <v>-3.1037768744329383E-3</v>
      </c>
      <c r="AD2133" s="105">
        <f>IF($Q$2010&gt;0,IPMT('Assumptions (Biomass)'!$V$6,Model!AJ$1,'Assumptions (Biomass)'!$V$9,'Assumptions (Biomass)'!$V$4*Model!$Q$2010*AVERAGE('Assumptions (Biomass)'!$M$2:$O$2)/10^9),0)</f>
        <v>-2.1168078925180639E-3</v>
      </c>
      <c r="AE2133" s="105">
        <f>IF($Q$2010&gt;0,IPMT('Assumptions (Biomass)'!$V$6,Model!AK$1,'Assumptions (Biomass)'!$V$9,'Assumptions (Biomass)'!$V$4*Model!$Q$2010*AVERAGE('Assumptions (Biomass)'!$M$2:$O$2)/10^9),0)</f>
        <v>-1.0829578839622329E-3</v>
      </c>
      <c r="AF2133" s="105"/>
      <c r="AG2133" s="105"/>
      <c r="AH2133" s="105"/>
      <c r="AI2133" s="105"/>
      <c r="AJ2133" s="105"/>
      <c r="AK2133" s="105"/>
      <c r="AL2133" s="105"/>
      <c r="AM2133" s="105"/>
      <c r="AN2133" s="105"/>
      <c r="AO2133" s="105"/>
    </row>
    <row r="2134" spans="1:53" ht="15.75" hidden="1" customHeight="1" outlineLevel="1">
      <c r="A2134" s="441"/>
      <c r="B2134" s="99"/>
      <c r="C2134" s="105"/>
      <c r="D2134" s="105"/>
      <c r="E2134" s="105"/>
      <c r="F2134" s="105"/>
      <c r="G2134" s="105"/>
      <c r="H2134" s="105"/>
      <c r="I2134" s="105"/>
      <c r="J2134" s="105"/>
      <c r="K2134" s="105"/>
      <c r="L2134" s="105"/>
      <c r="M2134" s="105"/>
      <c r="N2134" s="105"/>
      <c r="O2134" s="105"/>
      <c r="P2134" s="171"/>
      <c r="Q2134" s="105"/>
      <c r="R2134" s="91">
        <f>IF($R$2010&gt;0,IPMT('Assumptions (Biomass)'!$V$6,Model!W$1,'Assumptions (Biomass)'!$V$9,'Assumptions (Biomass)'!$V$4*Model!$R$2010*AVERAGE('Assumptions (Biomass)'!$N$2:$P$2)/10^9),0)</f>
        <v>-1.2682254044864992E-2</v>
      </c>
      <c r="S2134" s="91">
        <f>IF($R$2010&gt;0,IPMT('Assumptions (Biomass)'!$V$6,Model!X$1,'Assumptions (Biomass)'!$V$9,'Assumptions (Biomass)'!$V$4*Model!$R$2010*AVERAGE('Assumptions (Biomass)'!$N$2:$P$2)/10^9),0)</f>
        <v>-1.2083383621979629E-2</v>
      </c>
      <c r="T2134" s="91">
        <f>IF($R$2010&gt;0,IPMT('Assumptions (Biomass)'!$V$6,Model!Y$1,'Assumptions (Biomass)'!$V$9,'Assumptions (Biomass)'!$V$4*Model!$R$2010*AVERAGE('Assumptions (Biomass)'!$N$2:$P$2)/10^9),0)</f>
        <v>-1.145606685400721E-2</v>
      </c>
      <c r="U2134" s="91">
        <f>IF($R$2010&gt;0,IPMT('Assumptions (Biomass)'!$V$6,Model!Z$1,'Assumptions (Biomass)'!$V$9,'Assumptions (Biomass)'!$V$4*Model!$R$2010*AVERAGE('Assumptions (Biomass)'!$N$2:$P$2)/10^9),0)</f>
        <v>-1.0798952539556103E-2</v>
      </c>
      <c r="V2134" s="91">
        <f>IF($R$2010&gt;0,IPMT('Assumptions (Biomass)'!$V$6,Model!AA$1,'Assumptions (Biomass)'!$V$9,'Assumptions (Biomass)'!$V$4*Model!$R$2010*AVERAGE('Assumptions (Biomass)'!$N$2:$P$2)/10^9),0)</f>
        <v>-1.011062529516857E-2</v>
      </c>
      <c r="W2134" s="91">
        <f>IF($R$2010&gt;0,IPMT('Assumptions (Biomass)'!$V$6,Model!AB$1,'Assumptions (Biomass)'!$V$9,'Assumptions (Biomass)'!$V$4*Model!$R$2010*AVERAGE('Assumptions (Biomass)'!$N$2:$P$2)/10^9),0)</f>
        <v>-9.3896025066726278E-3</v>
      </c>
      <c r="X2134" s="91">
        <f>IF($R$2010&gt;0,IPMT('Assumptions (Biomass)'!$V$6,Model!AC$1,'Assumptions (Biomass)'!$V$9,'Assumptions (Biomass)'!$V$4*Model!$R$2010*AVERAGE('Assumptions (Biomass)'!$N$2:$P$2)/10^9),0)</f>
        <v>-8.6343311357231275E-3</v>
      </c>
      <c r="Y2134" s="91">
        <f>IF($R$2010&gt;0,IPMT('Assumptions (Biomass)'!$V$6,Model!AD$1,'Assumptions (Biomass)'!$V$9,'Assumptions (Biomass)'!$V$4*Model!$R$2010*AVERAGE('Assumptions (Biomass)'!$N$2:$P$2)/10^9),0)</f>
        <v>-7.8431843746535265E-3</v>
      </c>
      <c r="Z2134" s="91">
        <f>IF($R$2010&gt;0,IPMT('Assumptions (Biomass)'!$V$6,Model!AE$1,'Assumptions (Biomass)'!$V$9,'Assumptions (Biomass)'!$V$4*Model!$R$2010*AVERAGE('Assumptions (Biomass)'!$N$2:$P$2)/10^9),0)</f>
        <v>-7.014458142433122E-3</v>
      </c>
      <c r="AA2134" s="91">
        <f>IF($R$2010&gt;0,IPMT('Assumptions (Biomass)'!$V$6,Model!AF$1,'Assumptions (Biomass)'!$V$9,'Assumptions (Biomass)'!$V$4*Model!$R$2010*AVERAGE('Assumptions (Biomass)'!$N$2:$P$2)/10^9),0)</f>
        <v>-6.1463674141822447E-3</v>
      </c>
      <c r="AB2134" s="91">
        <f>IF($R$2010&gt;0,IPMT('Assumptions (Biomass)'!$V$6,Model!AG$1,'Assumptions (Biomass)'!$V$9,'Assumptions (Biomass)'!$V$4*Model!$R$2010*AVERAGE('Assumptions (Biomass)'!$N$2:$P$2)/10^9),0)</f>
        <v>-5.2370423763394517E-3</v>
      </c>
      <c r="AC2134" s="91">
        <f>IF($R$2010&gt;0,IPMT('Assumptions (Biomass)'!$V$6,Model!AH$1,'Assumptions (Biomass)'!$V$9,'Assumptions (Biomass)'!$V$4*Model!$R$2010*AVERAGE('Assumptions (Biomass)'!$N$2:$P$2)/10^9),0)</f>
        <v>-4.2845243991991274E-3</v>
      </c>
      <c r="AD2134" s="91">
        <f>IF($R$2010&gt;0,IPMT('Assumptions (Biomass)'!$V$6,Model!AI$1,'Assumptions (Biomass)'!$V$9,'Assumptions (Biomass)'!$V$4*Model!$R$2010*AVERAGE('Assumptions (Biomass)'!$N$2:$P$2)/10^9),0)</f>
        <v>-3.2867618181446358E-3</v>
      </c>
      <c r="AE2134" s="91">
        <f>IF($R$2010&gt;0,IPMT('Assumptions (Biomass)'!$V$6,Model!AJ$1,'Assumptions (Biomass)'!$V$9,'Assumptions (Biomass)'!$V$4*Model!$R$2010*AVERAGE('Assumptions (Biomass)'!$N$2:$P$2)/10^9),0)</f>
        <v>-2.2416055144900567E-3</v>
      </c>
      <c r="AF2134" s="91">
        <f>IF($R$2010&gt;0,IPMT('Assumptions (Biomass)'!$V$6,Model!AK$1,'Assumptions (Biomass)'!$V$9,'Assumptions (Biomass)'!$V$4*Model!$R$2010*AVERAGE('Assumptions (Biomass)'!$N$2:$P$2)/10^9),0)</f>
        <v>-1.1468042864118848E-3</v>
      </c>
      <c r="AG2134" s="91"/>
      <c r="AH2134" s="91"/>
      <c r="AI2134" s="91"/>
      <c r="AJ2134" s="91"/>
      <c r="AK2134" s="91"/>
      <c r="AL2134" s="91"/>
      <c r="AM2134" s="91"/>
      <c r="AN2134" s="91"/>
      <c r="AO2134" s="91"/>
      <c r="AP2134" s="91"/>
    </row>
    <row r="2135" spans="1:53" ht="15.75" hidden="1" customHeight="1" outlineLevel="1">
      <c r="A2135" s="441"/>
      <c r="B2135" s="99"/>
      <c r="C2135" s="105"/>
      <c r="D2135" s="105"/>
      <c r="E2135" s="105"/>
      <c r="F2135" s="105"/>
      <c r="G2135" s="105"/>
      <c r="H2135" s="105"/>
      <c r="I2135" s="105"/>
      <c r="J2135" s="105"/>
      <c r="K2135" s="105"/>
      <c r="L2135" s="105"/>
      <c r="M2135" s="105"/>
      <c r="N2135" s="105"/>
      <c r="O2135" s="105"/>
      <c r="P2135" s="171"/>
      <c r="Q2135" s="105"/>
      <c r="R2135" s="91"/>
      <c r="S2135" s="105">
        <f>IF($S$2010&gt;0,IPMT('Assumptions (Biomass)'!$V$6,Model!W$1,'Assumptions (Biomass)'!$V$9,'Assumptions (Biomass)'!$V$4*Model!$S$2010*AVERAGE('Assumptions (Biomass)'!$O$2:$Q$2)/10^9),0)</f>
        <v>-1.4955919409665114E-3</v>
      </c>
      <c r="T2135" s="105">
        <f>IF($S$2010&gt;0,IPMT('Assumptions (Biomass)'!$V$6,Model!X$1,'Assumptions (Biomass)'!$V$9,'Assumptions (Biomass)'!$V$4*Model!$S$2010*AVERAGE('Assumptions (Biomass)'!$O$2:$Q$2)/10^9),0)</f>
        <v>-1.4249683928983185E-3</v>
      </c>
      <c r="U2135" s="105">
        <f>IF($S$2010&gt;0,IPMT('Assumptions (Biomass)'!$V$6,Model!Y$1,'Assumptions (Biomass)'!$V$9,'Assumptions (Biomass)'!$V$4*Model!$S$2010*AVERAGE('Assumptions (Biomass)'!$O$2:$Q$2)/10^9),0)</f>
        <v>-1.3509902262968862E-3</v>
      </c>
      <c r="V2135" s="105">
        <f>IF($S$2010&gt;0,IPMT('Assumptions (Biomass)'!$V$6,Model!Z$1,'Assumptions (Biomass)'!$V$9,'Assumptions (Biomass)'!$V$4*Model!$S$2010*AVERAGE('Assumptions (Biomass)'!$O$2:$Q$2)/10^9),0)</f>
        <v>-1.2734980967818864E-3</v>
      </c>
      <c r="W2135" s="105">
        <f>IF($S$2010&gt;0,IPMT('Assumptions (Biomass)'!$V$6,Model!AA$1,'Assumptions (Biomass)'!$V$9,'Assumptions (Biomass)'!$V$4*Model!$S$2010*AVERAGE('Assumptions (Biomass)'!$O$2:$Q$2)/10^9),0)</f>
        <v>-1.1923250911149241E-3</v>
      </c>
      <c r="X2135" s="105">
        <f>IF($S$2010&gt;0,IPMT('Assumptions (Biomass)'!$V$6,Model!AB$1,'Assumptions (Biomass)'!$V$9,'Assumptions (Biomass)'!$V$4*Model!$S$2010*AVERAGE('Assumptions (Biomass)'!$O$2:$Q$2)/10^9),0)</f>
        <v>-1.1072963676787809E-3</v>
      </c>
      <c r="Y2135" s="105">
        <f>IF($S$2010&gt;0,IPMT('Assumptions (Biomass)'!$V$6,Model!AC$1,'Assumptions (Biomass)'!$V$9,'Assumptions (Biomass)'!$V$4*Model!$S$2010*AVERAGE('Assumptions (Biomass)'!$O$2:$Q$2)/10^9),0)</f>
        <v>-1.018228779879421E-3</v>
      </c>
      <c r="Z2135" s="105">
        <f>IF($S$2010&gt;0,IPMT('Assumptions (Biomass)'!$V$6,Model!AD$1,'Assumptions (Biomass)'!$V$9,'Assumptions (Biomass)'!$V$4*Model!$S$2010*AVERAGE('Assumptions (Biomass)'!$O$2:$Q$2)/10^9),0)</f>
        <v>-9.2493048165959157E-4</v>
      </c>
      <c r="AA2135" s="105">
        <f>IF($S$2010&gt;0,IPMT('Assumptions (Biomass)'!$V$6,Model!AE$1,'Assumptions (Biomass)'!$V$9,'Assumptions (Biomass)'!$V$4*Model!$S$2010*AVERAGE('Assumptions (Biomass)'!$O$2:$Q$2)/10^9),0)</f>
        <v>-8.2720051427432034E-4</v>
      </c>
      <c r="AB2135" s="105">
        <f>IF($S$2010&gt;0,IPMT('Assumptions (Biomass)'!$V$6,Model!AF$1,'Assumptions (Biomass)'!$V$9,'Assumptions (Biomass)'!$V$4*Model!$S$2010*AVERAGE('Assumptions (Biomass)'!$O$2:$Q$2)/10^9),0)</f>
        <v>-7.2482837343824848E-4</v>
      </c>
      <c r="AC2135" s="105">
        <f>IF($S$2010&gt;0,IPMT('Assumptions (Biomass)'!$V$6,Model!AG$1,'Assumptions (Biomass)'!$V$9,'Assumptions (Biomass)'!$V$4*Model!$S$2010*AVERAGE('Assumptions (Biomass)'!$O$2:$Q$2)/10^9),0)</f>
        <v>-6.1759355591246325E-4</v>
      </c>
      <c r="AD2135" s="105">
        <f>IF($S$2010&gt;0,IPMT('Assumptions (Biomass)'!$V$6,Model!AH$1,'Assumptions (Biomass)'!$V$9,'Assumptions (Biomass)'!$V$4*Model!$S$2010*AVERAGE('Assumptions (Biomass)'!$O$2:$Q$2)/10^9),0)</f>
        <v>-5.0526508455420345E-4</v>
      </c>
      <c r="AE2135" s="105">
        <f>IF($S$2010&gt;0,IPMT('Assumptions (Biomass)'!$V$6,Model!AI$1,'Assumptions (Biomass)'!$V$9,'Assumptions (Biomass)'!$V$4*Model!$S$2010*AVERAGE('Assumptions (Biomass)'!$O$2:$Q$2)/10^9),0)</f>
        <v>-3.8760101080642596E-4</v>
      </c>
      <c r="AF2135" s="105">
        <f>IF($S$2010&gt;0,IPMT('Assumptions (Biomass)'!$V$6,Model!AJ$1,'Assumptions (Biomass)'!$V$9,'Assumptions (Biomass)'!$V$4*Model!$S$2010*AVERAGE('Assumptions (Biomass)'!$O$2:$Q$2)/10^9),0)</f>
        <v>-2.6434789355562918E-4</v>
      </c>
      <c r="AG2135" s="105">
        <f>IF($S$2010&gt;0,IPMT('Assumptions (Biomass)'!$V$6,Model!AK$1,'Assumptions (Biomass)'!$V$9,'Assumptions (Biomass)'!$V$4*Model!$S$2010*AVERAGE('Assumptions (Biomass)'!$O$2:$Q$2)/10^9),0)</f>
        <v>-1.3524025323541957E-4</v>
      </c>
      <c r="AH2135" s="105"/>
      <c r="AI2135" s="105"/>
      <c r="AJ2135" s="105"/>
      <c r="AK2135" s="105"/>
      <c r="AL2135" s="105"/>
      <c r="AM2135" s="105"/>
      <c r="AN2135" s="105"/>
      <c r="AO2135" s="105"/>
      <c r="AP2135" s="105"/>
      <c r="AQ2135" s="105"/>
    </row>
    <row r="2136" spans="1:53" ht="15.75" hidden="1" customHeight="1" outlineLevel="1">
      <c r="A2136" s="441"/>
      <c r="B2136" s="99"/>
      <c r="C2136" s="105"/>
      <c r="D2136" s="105"/>
      <c r="E2136" s="105"/>
      <c r="F2136" s="105"/>
      <c r="G2136" s="105"/>
      <c r="H2136" s="105"/>
      <c r="I2136" s="105"/>
      <c r="J2136" s="105"/>
      <c r="K2136" s="105"/>
      <c r="L2136" s="105"/>
      <c r="M2136" s="105"/>
      <c r="N2136" s="105"/>
      <c r="O2136" s="105"/>
      <c r="P2136" s="171"/>
      <c r="Q2136" s="105"/>
      <c r="R2136" s="91"/>
      <c r="S2136" s="91"/>
      <c r="T2136" s="105">
        <f>IF($T$2010&gt;0,IPMT('Assumptions (Biomass)'!$V$6,Model!W$1,'Assumptions (Biomass)'!$V$9,'Assumptions (Biomass)'!$V$4*Model!$T$2010*AVERAGE('Assumptions (Biomass)'!$P$2:$R$2)/10^9),0)</f>
        <v>-1.2501206299283975E-2</v>
      </c>
      <c r="U2136" s="105">
        <f>IF($T$2010&gt;0,IPMT('Assumptions (Biomass)'!$V$6,Model!X$1,'Assumptions (Biomass)'!$V$9,'Assumptions (Biomass)'!$V$4*Model!$T$2010*AVERAGE('Assumptions (Biomass)'!$P$2:$R$2)/10^9),0)</f>
        <v>-1.1910885156327477E-2</v>
      </c>
      <c r="V2136" s="105">
        <f>IF($T$2010&gt;0,IPMT('Assumptions (Biomass)'!$V$6,Model!Y$1,'Assumptions (Biomass)'!$V$9,'Assumptions (Biomass)'!$V$4*Model!$T$2010*AVERAGE('Assumptions (Biomass)'!$P$2:$R$2)/10^9),0)</f>
        <v>-1.1292523759080544E-2</v>
      </c>
      <c r="W2136" s="105">
        <f>IF($T$2010&gt;0,IPMT('Assumptions (Biomass)'!$V$6,Model!Z$1,'Assumptions (Biomass)'!$V$9,'Assumptions (Biomass)'!$V$4*Model!$T$2010*AVERAGE('Assumptions (Biomass)'!$P$2:$R$2)/10^9),0)</f>
        <v>-1.0644790195464387E-2</v>
      </c>
      <c r="X2136" s="105">
        <f>IF($T$2010&gt;0,IPMT('Assumptions (Biomass)'!$V$6,Model!AA$1,'Assumptions (Biomass)'!$V$9,'Assumptions (Biomass)'!$V$4*Model!$T$2010*AVERAGE('Assumptions (Biomass)'!$P$2:$R$2)/10^9),0)</f>
        <v>-9.9662892875764606E-3</v>
      </c>
      <c r="Y2136" s="105">
        <f>IF($T$2010&gt;0,IPMT('Assumptions (Biomass)'!$V$6,Model!AB$1,'Assumptions (Biomass)'!$V$9,'Assumptions (Biomass)'!$V$4*Model!$T$2010*AVERAGE('Assumptions (Biomass)'!$P$2:$R$2)/10^9),0)</f>
        <v>-9.2555595865638583E-3</v>
      </c>
      <c r="Z2136" s="105">
        <f>IF($T$2010&gt;0,IPMT('Assumptions (Biomass)'!$V$6,Model!AC$1,'Assumptions (Biomass)'!$V$9,'Assumptions (Biomass)'!$V$4*Model!$T$2010*AVERAGE('Assumptions (Biomass)'!$P$2:$R$2)/10^9),0)</f>
        <v>-8.5110702247531561E-3</v>
      </c>
      <c r="AA2136" s="105">
        <f>IF($T$2010&gt;0,IPMT('Assumptions (Biomass)'!$V$6,Model!AD$1,'Assumptions (Biomass)'!$V$9,'Assumptions (Biomass)'!$V$4*Model!$T$2010*AVERAGE('Assumptions (Biomass)'!$P$2:$R$2)/10^9),0)</f>
        <v>-7.7312176182564463E-3</v>
      </c>
      <c r="AB2136" s="105">
        <f>IF($T$2010&gt;0,IPMT('Assumptions (Biomass)'!$V$6,Model!AE$1,'Assumptions (Biomass)'!$V$9,'Assumptions (Biomass)'!$V$4*Model!$T$2010*AVERAGE('Assumptions (Biomass)'!$P$2:$R$2)/10^9),0)</f>
        <v>-6.9143220129511433E-3</v>
      </c>
      <c r="AC2136" s="105">
        <f>IF($T$2010&gt;0,IPMT('Assumptions (Biomass)'!$V$6,Model!AF$1,'Assumptions (Biomass)'!$V$9,'Assumptions (Biomass)'!$V$4*Model!$T$2010*AVERAGE('Assumptions (Biomass)'!$P$2:$R$2)/10^9),0)</f>
        <v>-6.0586238663938377E-3</v>
      </c>
      <c r="AD2136" s="105">
        <f>IF($T$2010&gt;0,IPMT('Assumptions (Biomass)'!$V$6,Model!AG$1,'Assumptions (Biomass)'!$V$9,'Assumptions (Biomass)'!$V$4*Model!$T$2010*AVERAGE('Assumptions (Biomass)'!$P$2:$R$2)/10^9),0)</f>
        <v>-5.1622800578750606E-3</v>
      </c>
      <c r="AE2136" s="105">
        <f>IF($T$2010&gt;0,IPMT('Assumptions (Biomass)'!$V$6,Model!AH$1,'Assumptions (Biomass)'!$V$9,'Assumptions (Biomass)'!$V$4*Model!$T$2010*AVERAGE('Assumptions (Biomass)'!$P$2:$R$2)/10^9),0)</f>
        <v>-4.2233599184516414E-3</v>
      </c>
      <c r="AF2136" s="105">
        <f>IF($T$2010&gt;0,IPMT('Assumptions (Biomass)'!$V$6,Model!AI$1,'Assumptions (Biomass)'!$V$9,'Assumptions (Biomass)'!$V$4*Model!$T$2010*AVERAGE('Assumptions (Biomass)'!$P$2:$R$2)/10^9),0)</f>
        <v>-3.2398410724056091E-3</v>
      </c>
      <c r="AG2136" s="105">
        <f>IF($T$2010&gt;0,IPMT('Assumptions (Biomass)'!$V$6,Model!AJ$1,'Assumptions (Biomass)'!$V$9,'Assumptions (Biomass)'!$V$4*Model!$T$2010*AVERAGE('Assumptions (Biomass)'!$P$2:$R$2)/10^9),0)</f>
        <v>-2.2096050811723903E-3</v>
      </c>
      <c r="AH2136" s="105">
        <f>IF($T$2010&gt;0,IPMT('Assumptions (Biomass)'!$V$6,Model!AK$1,'Assumptions (Biomass)'!$V$9,'Assumptions (Biomass)'!$V$4*Model!$T$2010*AVERAGE('Assumptions (Biomass)'!$P$2:$R$2)/10^9),0)</f>
        <v>-1.130432880355594E-3</v>
      </c>
      <c r="AI2136" s="105"/>
      <c r="AJ2136" s="105"/>
      <c r="AK2136" s="105"/>
      <c r="AL2136" s="105"/>
      <c r="AM2136" s="105"/>
      <c r="AN2136" s="105"/>
      <c r="AO2136" s="105"/>
      <c r="AP2136" s="105"/>
      <c r="AQ2136" s="105"/>
      <c r="AR2136" s="105"/>
    </row>
    <row r="2137" spans="1:53" ht="15.75" hidden="1" customHeight="1" outlineLevel="1">
      <c r="A2137" s="441"/>
      <c r="B2137" s="99"/>
      <c r="C2137" s="105"/>
      <c r="D2137" s="105"/>
      <c r="E2137" s="105"/>
      <c r="F2137" s="105"/>
      <c r="G2137" s="105"/>
      <c r="H2137" s="105"/>
      <c r="I2137" s="105"/>
      <c r="J2137" s="105"/>
      <c r="K2137" s="105"/>
      <c r="L2137" s="105"/>
      <c r="M2137" s="105"/>
      <c r="N2137" s="105"/>
      <c r="O2137" s="105"/>
      <c r="P2137" s="171"/>
      <c r="Q2137" s="105"/>
      <c r="R2137" s="91"/>
      <c r="S2137" s="91"/>
      <c r="T2137" s="91"/>
      <c r="U2137" s="105">
        <f>IF($U$2010&gt;0,IPMT('Assumptions (Biomass)'!$V$6,Model!W$1,'Assumptions (Biomass)'!$V$9,'Assumptions (Biomass)'!$V$4*Model!$U$2010*AVERAGE('Assumptions (Biomass)'!$Q$2:$S$2)/10^9),0)</f>
        <v>-1.7681975629335891E-3</v>
      </c>
      <c r="V2137" s="105">
        <f>IF($U$2010&gt;0,IPMT('Assumptions (Biomass)'!$V$6,Model!X$1,'Assumptions (Biomass)'!$V$9,'Assumptions (Biomass)'!$V$4*Model!$U$2010*AVERAGE('Assumptions (Biomass)'!$Q$2:$S$2)/10^9),0)</f>
        <v>-1.68470126814933E-3</v>
      </c>
      <c r="W2137" s="105">
        <f>IF($U$2010&gt;0,IPMT('Assumptions (Biomass)'!$V$6,Model!Y$1,'Assumptions (Biomass)'!$V$9,'Assumptions (Biomass)'!$V$4*Model!$U$2010*AVERAGE('Assumptions (Biomass)'!$Q$2:$S$2)/10^9),0)</f>
        <v>-1.5972388993628188E-3</v>
      </c>
      <c r="X2137" s="105">
        <f>IF($U$2010&gt;0,IPMT('Assumptions (Biomass)'!$V$6,Model!Z$1,'Assumptions (Biomass)'!$V$9,'Assumptions (Biomass)'!$V$4*Model!$U$2010*AVERAGE('Assumptions (Biomass)'!$Q$2:$S$2)/10^9),0)</f>
        <v>-1.5056220680589487E-3</v>
      </c>
      <c r="Y2137" s="105">
        <f>IF($U$2010&gt;0,IPMT('Assumptions (Biomass)'!$V$6,Model!AA$1,'Assumptions (Biomass)'!$V$9,'Assumptions (Biomass)'!$V$4*Model!$U$2010*AVERAGE('Assumptions (Biomass)'!$Q$2:$S$2)/10^9),0)</f>
        <v>-1.4096534372681445E-3</v>
      </c>
      <c r="Z2137" s="105">
        <f>IF($U$2010&gt;0,IPMT('Assumptions (Biomass)'!$V$6,Model!AB$1,'Assumptions (Biomass)'!$V$9,'Assumptions (Biomass)'!$V$4*Model!$U$2010*AVERAGE('Assumptions (Biomass)'!$Q$2:$S$2)/10^9),0)</f>
        <v>-1.3091262965147772E-3</v>
      </c>
      <c r="AA2137" s="105">
        <f>IF($U$2010&gt;0,IPMT('Assumptions (Biomass)'!$V$6,Model!AC$1,'Assumptions (Biomass)'!$V$9,'Assumptions (Biomass)'!$V$4*Model!$U$2010*AVERAGE('Assumptions (Biomass)'!$Q$2:$S$2)/10^9),0)</f>
        <v>-1.2038241165756248E-3</v>
      </c>
      <c r="AB2137" s="105">
        <f>IF($U$2010&gt;0,IPMT('Assumptions (Biomass)'!$V$6,Model!AD$1,'Assumptions (Biomass)'!$V$9,'Assumptions (Biomass)'!$V$4*Model!$U$2010*AVERAGE('Assumptions (Biomass)'!$Q$2:$S$2)/10^9),0)</f>
        <v>-1.0935200830893626E-3</v>
      </c>
      <c r="AC2137" s="105">
        <f>IF($U$2010&gt;0,IPMT('Assumptions (Biomass)'!$V$6,Model!AE$1,'Assumptions (Biomass)'!$V$9,'Assumptions (Biomass)'!$V$4*Model!$U$2010*AVERAGE('Assumptions (Biomass)'!$Q$2:$S$2)/10^9),0)</f>
        <v>-9.7797660801250338E-4</v>
      </c>
      <c r="AD2137" s="105">
        <f>IF($U$2010&gt;0,IPMT('Assumptions (Biomass)'!$V$6,Model!AF$1,'Assumptions (Biomass)'!$V$9,'Assumptions (Biomass)'!$V$4*Model!$U$2010*AVERAGE('Assumptions (Biomass)'!$Q$2:$S$2)/10^9),0)</f>
        <v>-8.5694481786949294E-4</v>
      </c>
      <c r="AE2137" s="105">
        <f>IF($U$2010&gt;0,IPMT('Assumptions (Biomass)'!$V$6,Model!AG$1,'Assumptions (Biomass)'!$V$9,'Assumptions (Biomass)'!$V$4*Model!$U$2010*AVERAGE('Assumptions (Biomass)'!$Q$2:$S$2)/10^9),0)</f>
        <v>-7.3016401769468962E-4</v>
      </c>
      <c r="AF2137" s="105">
        <f>IF($U$2010&gt;0,IPMT('Assumptions (Biomass)'!$V$6,Model!AH$1,'Assumptions (Biomass)'!$V$9,'Assumptions (Biomass)'!$V$4*Model!$U$2010*AVERAGE('Assumptions (Biomass)'!$Q$2:$S$2)/10^9),0)</f>
        <v>-5.9736112951158324E-4</v>
      </c>
      <c r="AG2137" s="105">
        <f>IF($U$2010&gt;0,IPMT('Assumptions (Biomass)'!$V$6,Model!AI$1,'Assumptions (Biomass)'!$V$9,'Assumptions (Biomass)'!$V$4*Model!$U$2010*AVERAGE('Assumptions (Biomass)'!$Q$2:$S$2)/10^9),0)</f>
        <v>-4.582501041397791E-4</v>
      </c>
      <c r="AH2137" s="105">
        <f>IF($U$2010&gt;0,IPMT('Assumptions (Biomass)'!$V$6,Model!AJ$1,'Assumptions (Biomass)'!$V$9,'Assumptions (Biomass)'!$V$4*Model!$U$2010*AVERAGE('Assumptions (Biomass)'!$Q$2:$S$2)/10^9),0)</f>
        <v>-3.1253130506281432E-4</v>
      </c>
      <c r="AI2137" s="105">
        <f>IF($U$2010&gt;0,IPMT('Assumptions (Biomass)'!$V$6,Model!AK$1,'Assumptions (Biomass)'!$V$9,'Assumptions (Biomass)'!$V$4*Model!$U$2010*AVERAGE('Assumptions (Biomass)'!$Q$2:$S$2)/10^9),0)</f>
        <v>-1.5989086302969379E-4</v>
      </c>
      <c r="AJ2137" s="105"/>
      <c r="AK2137" s="105"/>
      <c r="AL2137" s="105"/>
      <c r="AM2137" s="105"/>
      <c r="AN2137" s="105"/>
      <c r="AO2137" s="105"/>
      <c r="AP2137" s="105"/>
      <c r="AQ2137" s="105"/>
      <c r="AR2137" s="105"/>
      <c r="AS2137" s="105"/>
    </row>
    <row r="2138" spans="1:53" ht="15.75" hidden="1" customHeight="1" outlineLevel="1">
      <c r="A2138" s="441"/>
      <c r="B2138" s="99"/>
      <c r="C2138" s="105"/>
      <c r="D2138" s="105"/>
      <c r="E2138" s="105"/>
      <c r="F2138" s="105"/>
      <c r="G2138" s="105"/>
      <c r="H2138" s="105"/>
      <c r="I2138" s="105"/>
      <c r="J2138" s="105"/>
      <c r="K2138" s="105"/>
      <c r="L2138" s="105"/>
      <c r="M2138" s="105"/>
      <c r="N2138" s="105"/>
      <c r="O2138" s="105"/>
      <c r="P2138" s="171"/>
      <c r="Q2138" s="105"/>
      <c r="R2138" s="91"/>
      <c r="S2138" s="91"/>
      <c r="T2138" s="91"/>
      <c r="U2138" s="105"/>
      <c r="V2138" s="105">
        <f>IF($V$2010&gt;0,IPMT('Assumptions (Biomass)'!$V$6,Model!W$1,'Assumptions (Biomass)'!$V$9,'Assumptions (Biomass)'!$V$4*Model!$V$2010*AVERAGE('Assumptions (Biomass)'!$R$2:$T$2)/10^9),0)</f>
        <v>-1.6335114285684193E-2</v>
      </c>
      <c r="W2138" s="105">
        <f>IF($V$2010&gt;0,IPMT('Assumptions (Biomass)'!$V$6,Model!X$1,'Assumptions (Biomass)'!$V$9,'Assumptions (Biomass)'!$V$4*Model!$V$2010*AVERAGE('Assumptions (Biomass)'!$R$2:$T$2)/10^9),0)</f>
        <v>-1.5563751658382988E-2</v>
      </c>
      <c r="X2138" s="105">
        <f>IF($V$2010&gt;0,IPMT('Assumptions (Biomass)'!$V$6,Model!Y$1,'Assumptions (Biomass)'!$V$9,'Assumptions (Biomass)'!$V$4*Model!$V$2010*AVERAGE('Assumptions (Biomass)'!$R$2:$T$2)/10^9),0)</f>
        <v>-1.475574930628497E-2</v>
      </c>
      <c r="Y2138" s="105">
        <f>IF($V$2010&gt;0,IPMT('Assumptions (Biomass)'!$V$6,Model!Z$1,'Assumptions (Biomass)'!$V$9,'Assumptions (Biomass)'!$V$4*Model!$V$2010*AVERAGE('Assumptions (Biomass)'!$R$2:$T$2)/10^9),0)</f>
        <v>-1.3909366842462302E-2</v>
      </c>
      <c r="Z2138" s="105">
        <f>IF($V$2010&gt;0,IPMT('Assumptions (Biomass)'!$V$6,Model!AA$1,'Assumptions (Biomass)'!$V$9,'Assumptions (Biomass)'!$V$4*Model!$V$2010*AVERAGE('Assumptions (Biomass)'!$R$2:$T$2)/10^9),0)</f>
        <v>-1.3022781211608056E-2</v>
      </c>
      <c r="AA2138" s="105">
        <f>IF($V$2010&gt;0,IPMT('Assumptions (Biomass)'!$V$6,Model!AB$1,'Assumptions (Biomass)'!$V$9,'Assumptions (Biomass)'!$V$4*Model!$V$2010*AVERAGE('Assumptions (Biomass)'!$R$2:$T$2)/10^9),0)</f>
        <v>-1.2094082763288232E-2</v>
      </c>
      <c r="AB2138" s="105">
        <f>IF($V$2010&gt;0,IPMT('Assumptions (Biomass)'!$V$6,Model!AC$1,'Assumptions (Biomass)'!$V$9,'Assumptions (Biomass)'!$V$4*Model!$V$2010*AVERAGE('Assumptions (Biomass)'!$R$2:$T$2)/10^9),0)</f>
        <v>-1.1121271138673217E-2</v>
      </c>
      <c r="AC2138" s="105">
        <f>IF($V$2010&gt;0,IPMT('Assumptions (Biomass)'!$V$6,Model!AD$1,'Assumptions (Biomass)'!$V$9,'Assumptions (Biomass)'!$V$4*Model!$V$2010*AVERAGE('Assumptions (Biomass)'!$R$2:$T$2)/10^9),0)</f>
        <v>-1.0102250961888989E-2</v>
      </c>
      <c r="AD2138" s="105">
        <f>IF($V$2010&gt;0,IPMT('Assumptions (Biomass)'!$V$6,Model!AE$1,'Assumptions (Biomass)'!$V$9,'Assumptions (Biomass)'!$V$4*Model!$V$2010*AVERAGE('Assumptions (Biomass)'!$R$2:$T$2)/10^9),0)</f>
        <v>-9.0348273267075122E-3</v>
      </c>
      <c r="AE2138" s="105">
        <f>IF($V$2010&gt;0,IPMT('Assumptions (Biomass)'!$V$6,Model!AF$1,'Assumptions (Biomass)'!$V$9,'Assumptions (Biomass)'!$V$4*Model!$V$2010*AVERAGE('Assumptions (Biomass)'!$R$2:$T$2)/10^9),0)</f>
        <v>-7.9167010688549113E-3</v>
      </c>
      <c r="AF2138" s="105">
        <f>IF($V$2010&gt;0,IPMT('Assumptions (Biomass)'!$V$6,Model!AG$1,'Assumptions (Biomass)'!$V$9,'Assumptions (Biomass)'!$V$4*Model!$V$2010*AVERAGE('Assumptions (Biomass)'!$R$2:$T$2)/10^9),0)</f>
        <v>-6.7454638137543141E-3</v>
      </c>
      <c r="AG2138" s="105">
        <f>IF($V$2010&gt;0,IPMT('Assumptions (Biomass)'!$V$6,Model!AH$1,'Assumptions (Biomass)'!$V$9,'Assumptions (Biomass)'!$V$4*Model!$V$2010*AVERAGE('Assumptions (Biomass)'!$R$2:$T$2)/10^9),0)</f>
        <v>-5.5185927890364387E-3</v>
      </c>
      <c r="AH2138" s="105">
        <f>IF($V$2010&gt;0,IPMT('Assumptions (Biomass)'!$V$6,Model!AI$1,'Assumptions (Biomass)'!$V$9,'Assumptions (Biomass)'!$V$4*Model!$V$2010*AVERAGE('Assumptions (Biomass)'!$R$2:$T$2)/10^9),0)</f>
        <v>-4.2334453906444627E-3</v>
      </c>
      <c r="AI2138" s="105">
        <f>IF($V$2010&gt;0,IPMT('Assumptions (Biomass)'!$V$6,Model!AJ$1,'Assumptions (Biomass)'!$V$9,'Assumptions (Biomass)'!$V$4*Model!$V$2010*AVERAGE('Assumptions (Biomass)'!$R$2:$T$2)/10^9),0)</f>
        <v>-2.8872534908288686E-3</v>
      </c>
      <c r="AJ2138" s="105">
        <f>IF($V$2010&gt;0,IPMT('Assumptions (Biomass)'!$V$6,Model!AK$1,'Assumptions (Biomass)'!$V$9,'Assumptions (Biomass)'!$V$4*Model!$V$2010*AVERAGE('Assumptions (Biomass)'!$R$2:$T$2)/10^9),0)</f>
        <v>-1.4771174757720342E-3</v>
      </c>
      <c r="AK2138" s="105"/>
      <c r="AL2138" s="105"/>
      <c r="AM2138" s="105"/>
      <c r="AN2138" s="105"/>
      <c r="AO2138" s="105"/>
      <c r="AP2138" s="105"/>
      <c r="AQ2138" s="105"/>
      <c r="AR2138" s="105"/>
      <c r="AS2138" s="105"/>
      <c r="AT2138" s="105"/>
    </row>
    <row r="2139" spans="1:53" ht="15.75" hidden="1" customHeight="1" outlineLevel="1">
      <c r="A2139" s="441"/>
      <c r="B2139" s="99"/>
      <c r="C2139" s="99"/>
      <c r="D2139" s="99"/>
      <c r="E2139" s="99"/>
      <c r="F2139" s="99"/>
      <c r="G2139" s="99"/>
      <c r="H2139" s="99"/>
      <c r="I2139" s="99"/>
      <c r="J2139" s="99"/>
      <c r="K2139" s="99"/>
      <c r="L2139" s="99"/>
      <c r="M2139" s="99"/>
      <c r="N2139" s="99"/>
      <c r="O2139" s="99"/>
      <c r="P2139" s="99"/>
      <c r="Q2139" s="99"/>
      <c r="R2139" s="99"/>
      <c r="S2139" s="99"/>
      <c r="T2139" s="99"/>
      <c r="U2139" s="99"/>
      <c r="V2139" s="99"/>
      <c r="W2139" s="105">
        <f>IF($W$2010&gt;0,IPMT('Assumptions (Biomass)'!$V$6,Model!W$1,'Assumptions (Biomass)'!$V$9,'Assumptions (Biomass)'!$V$4*Model!$W$2010*AVERAGE('Assumptions (Biomass)'!$S$2:$U$2)/10^9),0)</f>
        <v>-5.3612154267589389E-3</v>
      </c>
      <c r="X2139" s="105">
        <f>IF($W$2010&gt;0,IPMT('Assumptions (Biomass)'!$V$6,Model!X$1,'Assumptions (Biomass)'!$V$9,'Assumptions (Biomass)'!$V$4*Model!$W$2010*AVERAGE('Assumptions (Biomass)'!$S$2:$U$2)/10^9),0)</f>
        <v>-5.1080527524863277E-3</v>
      </c>
      <c r="Y2139" s="105">
        <f>IF($W$2010&gt;0,IPMT('Assumptions (Biomass)'!$V$6,Model!Y$1,'Assumptions (Biomass)'!$V$9,'Assumptions (Biomass)'!$V$4*Model!$W$2010*AVERAGE('Assumptions (Biomass)'!$S$2:$U$2)/10^9),0)</f>
        <v>-4.8428648511857674E-3</v>
      </c>
      <c r="Z2139" s="105">
        <f>IF($W$2010&gt;0,IPMT('Assumptions (Biomass)'!$V$6,Model!Z$1,'Assumptions (Biomass)'!$V$9,'Assumptions (Biomass)'!$V$4*Model!$W$2010*AVERAGE('Assumptions (Biomass)'!$S$2:$U$2)/10^9),0)</f>
        <v>-4.5650805245734316E-3</v>
      </c>
      <c r="AA2139" s="105">
        <f>IF($W$2010&gt;0,IPMT('Assumptions (Biomass)'!$V$6,Model!AA$1,'Assumptions (Biomass)'!$V$9,'Assumptions (Biomass)'!$V$4*Model!$W$2010*AVERAGE('Assumptions (Biomass)'!$S$2:$U$2)/10^9),0)</f>
        <v>-4.2741014424470094E-3</v>
      </c>
      <c r="AB2139" s="105">
        <f>IF($W$2010&gt;0,IPMT('Assumptions (Biomass)'!$V$6,Model!AB$1,'Assumptions (Biomass)'!$V$9,'Assumptions (Biomass)'!$V$4*Model!$W$2010*AVERAGE('Assumptions (Biomass)'!$S$2:$U$2)/10^9),0)</f>
        <v>-3.969300853919582E-3</v>
      </c>
      <c r="AC2139" s="105">
        <f>IF($W$2010&gt;0,IPMT('Assumptions (Biomass)'!$V$6,Model!AC$1,'Assumptions (Biomass)'!$V$9,'Assumptions (Biomass)'!$V$4*Model!$W$2010*AVERAGE('Assumptions (Biomass)'!$S$2:$U$2)/10^9),0)</f>
        <v>-3.6500222374371023E-3</v>
      </c>
      <c r="AD2139" s="105">
        <f>IF($W$2010&gt;0,IPMT('Assumptions (Biomass)'!$V$6,Model!AD$1,'Assumptions (Biomass)'!$V$9,'Assumptions (Biomass)'!$V$4*Model!$W$2010*AVERAGE('Assumptions (Biomass)'!$S$2:$U$2)/10^9),0)</f>
        <v>-3.315577886671704E-3</v>
      </c>
      <c r="AE2139" s="105">
        <f>IF($W$2010&gt;0,IPMT('Assumptions (Biomass)'!$V$6,Model!AE$1,'Assumptions (Biomass)'!$V$9,'Assumptions (Biomass)'!$V$4*Model!$W$2010*AVERAGE('Assumptions (Biomass)'!$S$2:$U$2)/10^9),0)</f>
        <v>-2.9652474292449511E-3</v>
      </c>
      <c r="AF2139" s="105">
        <f>IF($W$2010&gt;0,IPMT('Assumptions (Biomass)'!$V$6,Model!AF$1,'Assumptions (Biomass)'!$V$9,'Assumptions (Biomass)'!$V$4*Model!$W$2010*AVERAGE('Assumptions (Biomass)'!$S$2:$U$2)/10^9),0)</f>
        <v>-2.5982762750904258E-3</v>
      </c>
      <c r="AG2139" s="105">
        <f>IF($W$2010&gt;0,IPMT('Assumptions (Biomass)'!$V$6,Model!AG$1,'Assumptions (Biomass)'!$V$9,'Assumptions (Biomass)'!$V$4*Model!$W$2010*AVERAGE('Assumptions (Biomass)'!$S$2:$U$2)/10^9),0)</f>
        <v>-2.2138739911135609E-3</v>
      </c>
      <c r="AH2139" s="105">
        <f>IF($W$2010&gt;0,IPMT('Assumptions (Biomass)'!$V$6,Model!AH$1,'Assumptions (Biomass)'!$V$9,'Assumptions (Biomass)'!$V$4*Model!$W$2010*AVERAGE('Assumptions (Biomass)'!$S$2:$U$2)/10^9),0)</f>
        <v>-1.8112125986477954E-3</v>
      </c>
      <c r="AI2139" s="105">
        <f>IF($W$2010&gt;0,IPMT('Assumptions (Biomass)'!$V$6,Model!AI$1,'Assumptions (Biomass)'!$V$9,'Assumptions (Biomass)'!$V$4*Model!$W$2010*AVERAGE('Assumptions (Biomass)'!$S$2:$U$2)/10^9),0)</f>
        <v>-1.389424790039905E-3</v>
      </c>
      <c r="AJ2139" s="105">
        <f>IF($W$2010&gt;0,IPMT('Assumptions (Biomass)'!$V$6,Model!AJ$1,'Assumptions (Biomass)'!$V$9,'Assumptions (Biomass)'!$V$4*Model!$W$2010*AVERAGE('Assumptions (Biomass)'!$S$2:$U$2)/10^9),0)</f>
        <v>-9.476020605231404E-4</v>
      </c>
      <c r="AK2139" s="105">
        <f>IF($W$2010&gt;0,IPMT('Assumptions (Biomass)'!$V$6,Model!AK$1,'Assumptions (Biomass)'!$V$9,'Assumptions (Biomass)'!$V$4*Model!$W$2010*AVERAGE('Assumptions (Biomass)'!$S$2:$U$2)/10^9),0)</f>
        <v>-4.8479275135432945E-4</v>
      </c>
      <c r="AL2139" s="105"/>
      <c r="AM2139" s="105"/>
      <c r="AN2139" s="105"/>
      <c r="AO2139" s="105"/>
      <c r="AP2139" s="105"/>
      <c r="AQ2139" s="105"/>
      <c r="AR2139" s="105"/>
      <c r="AS2139" s="105"/>
      <c r="AT2139" s="105"/>
      <c r="AU2139" s="105"/>
      <c r="AV2139" s="105"/>
      <c r="AW2139" s="105"/>
      <c r="AX2139" s="105"/>
      <c r="AY2139" s="105"/>
      <c r="AZ2139" s="105"/>
      <c r="BA2139" s="105"/>
    </row>
    <row r="2140" spans="1:53" ht="15.75" hidden="1" customHeight="1" outlineLevel="1">
      <c r="A2140" s="441"/>
      <c r="B2140" s="99"/>
      <c r="C2140" s="99"/>
      <c r="D2140" s="99"/>
      <c r="E2140" s="99"/>
      <c r="F2140" s="99"/>
      <c r="G2140" s="99"/>
      <c r="H2140" s="99"/>
      <c r="I2140" s="99"/>
      <c r="J2140" s="99"/>
      <c r="K2140" s="99"/>
      <c r="L2140" s="99"/>
      <c r="M2140" s="99"/>
      <c r="N2140" s="99"/>
      <c r="O2140" s="99"/>
      <c r="P2140" s="99"/>
      <c r="Q2140" s="99"/>
      <c r="R2140" s="99"/>
      <c r="S2140" s="99"/>
      <c r="T2140" s="99"/>
      <c r="U2140" s="99"/>
      <c r="V2140" s="99"/>
      <c r="W2140" s="105"/>
      <c r="X2140" s="105">
        <f>IF($X$2010&gt;0,IPMT('Assumptions (Biomass)'!$V$6,Model!W$1,'Assumptions (Biomass)'!$V$9,'Assumptions (Biomass)'!$V$4*Model!$X$2010*AVERAGE('Assumptions (Biomass)'!$T$2:$V$2)/10^9),0)</f>
        <v>0</v>
      </c>
      <c r="Y2140" s="105">
        <f>IF($X$2010&gt;0,IPMT('Assumptions (Biomass)'!$V$6,Model!X$1,'Assumptions (Biomass)'!$V$9,'Assumptions (Biomass)'!$V$4*Model!$X$2010*AVERAGE('Assumptions (Biomass)'!$T$2:$V$2)/10^9),0)</f>
        <v>0</v>
      </c>
      <c r="Z2140" s="105">
        <f>IF($X$2010&gt;0,IPMT('Assumptions (Biomass)'!$V$6,Model!Y$1,'Assumptions (Biomass)'!$V$9,'Assumptions (Biomass)'!$V$4*Model!$X$2010*AVERAGE('Assumptions (Biomass)'!$T$2:$V$2)/10^9),0)</f>
        <v>0</v>
      </c>
      <c r="AA2140" s="105">
        <f>IF($X$2010&gt;0,IPMT('Assumptions (Biomass)'!$V$6,Model!Z$1,'Assumptions (Biomass)'!$V$9,'Assumptions (Biomass)'!$V$4*Model!$X$2010*AVERAGE('Assumptions (Biomass)'!$T$2:$V$2)/10^9),0)</f>
        <v>0</v>
      </c>
      <c r="AB2140" s="105">
        <f>IF($X$2010&gt;0,IPMT('Assumptions (Biomass)'!$V$6,Model!AA$1,'Assumptions (Biomass)'!$V$9,'Assumptions (Biomass)'!$V$4*Model!$X$2010*AVERAGE('Assumptions (Biomass)'!$T$2:$V$2)/10^9),0)</f>
        <v>0</v>
      </c>
      <c r="AC2140" s="105">
        <f>IF($X$2010&gt;0,IPMT('Assumptions (Biomass)'!$V$6,Model!AB$1,'Assumptions (Biomass)'!$V$9,'Assumptions (Biomass)'!$V$4*Model!$X$2010*AVERAGE('Assumptions (Biomass)'!$T$2:$V$2)/10^9),0)</f>
        <v>0</v>
      </c>
      <c r="AD2140" s="105">
        <f>IF($X$2010&gt;0,IPMT('Assumptions (Biomass)'!$V$6,Model!AC$1,'Assumptions (Biomass)'!$V$9,'Assumptions (Biomass)'!$V$4*Model!$X$2010*AVERAGE('Assumptions (Biomass)'!$T$2:$V$2)/10^9),0)</f>
        <v>0</v>
      </c>
      <c r="AE2140" s="105">
        <f>IF($X$2010&gt;0,IPMT('Assumptions (Biomass)'!$V$6,Model!AD$1,'Assumptions (Biomass)'!$V$9,'Assumptions (Biomass)'!$V$4*Model!$X$2010*AVERAGE('Assumptions (Biomass)'!$T$2:$V$2)/10^9),0)</f>
        <v>0</v>
      </c>
      <c r="AF2140" s="105">
        <f>IF($X$2010&gt;0,IPMT('Assumptions (Biomass)'!$V$6,Model!AE$1,'Assumptions (Biomass)'!$V$9,'Assumptions (Biomass)'!$V$4*Model!$X$2010*AVERAGE('Assumptions (Biomass)'!$T$2:$V$2)/10^9),0)</f>
        <v>0</v>
      </c>
      <c r="AG2140" s="105">
        <f>IF($X$2010&gt;0,IPMT('Assumptions (Biomass)'!$V$6,Model!AF$1,'Assumptions (Biomass)'!$V$9,'Assumptions (Biomass)'!$V$4*Model!$X$2010*AVERAGE('Assumptions (Biomass)'!$T$2:$V$2)/10^9),0)</f>
        <v>0</v>
      </c>
      <c r="AH2140" s="105">
        <f>IF($X$2010&gt;0,IPMT('Assumptions (Biomass)'!$V$6,Model!AG$1,'Assumptions (Biomass)'!$V$9,'Assumptions (Biomass)'!$V$4*Model!$X$2010*AVERAGE('Assumptions (Biomass)'!$T$2:$V$2)/10^9),0)</f>
        <v>0</v>
      </c>
      <c r="AI2140" s="105">
        <f>IF($X$2010&gt;0,IPMT('Assumptions (Biomass)'!$V$6,Model!AH$1,'Assumptions (Biomass)'!$V$9,'Assumptions (Biomass)'!$V$4*Model!$X$2010*AVERAGE('Assumptions (Biomass)'!$T$2:$V$2)/10^9),0)</f>
        <v>0</v>
      </c>
      <c r="AJ2140" s="105">
        <f>IF($X$2010&gt;0,IPMT('Assumptions (Biomass)'!$V$6,Model!AI$1,'Assumptions (Biomass)'!$V$9,'Assumptions (Biomass)'!$V$4*Model!$X$2010*AVERAGE('Assumptions (Biomass)'!$T$2:$V$2)/10^9),0)</f>
        <v>0</v>
      </c>
      <c r="AK2140" s="105">
        <f>IF($X$2010&gt;0,IPMT('Assumptions (Biomass)'!$V$6,Model!AJ$1,'Assumptions (Biomass)'!$V$9,'Assumptions (Biomass)'!$V$4*Model!$X$2010*AVERAGE('Assumptions (Biomass)'!$T$2:$V$2)/10^9),0)</f>
        <v>0</v>
      </c>
      <c r="AL2140" s="105">
        <f>IF($X$2010&gt;0,IPMT('Assumptions (Biomass)'!$V$6,Model!AK$1,'Assumptions (Biomass)'!$V$9,'Assumptions (Biomass)'!$V$4*Model!$X$2010*AVERAGE('Assumptions (Biomass)'!$T$2:$V$2)/10^9),0)</f>
        <v>0</v>
      </c>
      <c r="AM2140" s="105"/>
      <c r="AN2140" s="105"/>
      <c r="AO2140" s="105"/>
      <c r="AP2140" s="105"/>
      <c r="AQ2140" s="105"/>
      <c r="AR2140" s="105"/>
      <c r="AS2140" s="105"/>
      <c r="AT2140" s="105"/>
      <c r="AU2140" s="105"/>
      <c r="AV2140" s="105"/>
      <c r="AW2140" s="105"/>
      <c r="AX2140" s="105"/>
      <c r="AY2140" s="105"/>
      <c r="AZ2140" s="105"/>
      <c r="BA2140" s="105"/>
    </row>
    <row r="2141" spans="1:53" ht="15.75" hidden="1" customHeight="1" outlineLevel="1">
      <c r="A2141" s="441"/>
      <c r="B2141" s="99"/>
      <c r="C2141" s="99"/>
      <c r="D2141" s="99"/>
      <c r="E2141" s="99"/>
      <c r="F2141" s="99"/>
      <c r="G2141" s="99"/>
      <c r="H2141" s="99"/>
      <c r="I2141" s="99"/>
      <c r="J2141" s="99"/>
      <c r="K2141" s="99"/>
      <c r="L2141" s="99"/>
      <c r="M2141" s="99"/>
      <c r="N2141" s="99"/>
      <c r="O2141" s="99"/>
      <c r="P2141" s="99"/>
      <c r="Q2141" s="99"/>
      <c r="R2141" s="99"/>
      <c r="S2141" s="99"/>
      <c r="T2141" s="99"/>
      <c r="U2141" s="99"/>
      <c r="V2141" s="99"/>
      <c r="W2141" s="105"/>
      <c r="X2141" s="105"/>
      <c r="Y2141" s="105">
        <f>IF($Y$2010&gt;0,IPMT('Assumptions (Biomass)'!$V$6,Model!W$1,'Assumptions (Biomass)'!$V$9,'Assumptions (Biomass)'!$V$4*Model!$Y$2010*AVERAGE('Assumptions (Biomass)'!$U$2:$W$2)/10^9),0)</f>
        <v>0</v>
      </c>
      <c r="Z2141" s="105">
        <f>IF($Y$2010&gt;0,IPMT('Assumptions (Biomass)'!$V$6,Model!X$1,'Assumptions (Biomass)'!$V$9,'Assumptions (Biomass)'!$V$4*Model!$Y$2010*AVERAGE('Assumptions (Biomass)'!$U$2:$W$2)/10^9),0)</f>
        <v>0</v>
      </c>
      <c r="AA2141" s="105">
        <f>IF($Y$2010&gt;0,IPMT('Assumptions (Biomass)'!$V$6,Model!Y$1,'Assumptions (Biomass)'!$V$9,'Assumptions (Biomass)'!$V$4*Model!$Y$2010*AVERAGE('Assumptions (Biomass)'!$U$2:$W$2)/10^9),0)</f>
        <v>0</v>
      </c>
      <c r="AB2141" s="105">
        <f>IF($Y$2010&gt;0,IPMT('Assumptions (Biomass)'!$V$6,Model!Z$1,'Assumptions (Biomass)'!$V$9,'Assumptions (Biomass)'!$V$4*Model!$Y$2010*AVERAGE('Assumptions (Biomass)'!$U$2:$W$2)/10^9),0)</f>
        <v>0</v>
      </c>
      <c r="AC2141" s="105">
        <f>IF($Y$2010&gt;0,IPMT('Assumptions (Biomass)'!$V$6,Model!AA$1,'Assumptions (Biomass)'!$V$9,'Assumptions (Biomass)'!$V$4*Model!$Y$2010*AVERAGE('Assumptions (Biomass)'!$U$2:$W$2)/10^9),0)</f>
        <v>0</v>
      </c>
      <c r="AD2141" s="105">
        <f>IF($Y$2010&gt;0,IPMT('Assumptions (Biomass)'!$V$6,Model!AB$1,'Assumptions (Biomass)'!$V$9,'Assumptions (Biomass)'!$V$4*Model!$Y$2010*AVERAGE('Assumptions (Biomass)'!$U$2:$W$2)/10^9),0)</f>
        <v>0</v>
      </c>
      <c r="AE2141" s="105">
        <f>IF($Y$2010&gt;0,IPMT('Assumptions (Biomass)'!$V$6,Model!AC$1,'Assumptions (Biomass)'!$V$9,'Assumptions (Biomass)'!$V$4*Model!$Y$2010*AVERAGE('Assumptions (Biomass)'!$U$2:$W$2)/10^9),0)</f>
        <v>0</v>
      </c>
      <c r="AF2141" s="105">
        <f>IF($Y$2010&gt;0,IPMT('Assumptions (Biomass)'!$V$6,Model!AD$1,'Assumptions (Biomass)'!$V$9,'Assumptions (Biomass)'!$V$4*Model!$Y$2010*AVERAGE('Assumptions (Biomass)'!$U$2:$W$2)/10^9),0)</f>
        <v>0</v>
      </c>
      <c r="AG2141" s="105">
        <f>IF($Y$2010&gt;0,IPMT('Assumptions (Biomass)'!$V$6,Model!AE$1,'Assumptions (Biomass)'!$V$9,'Assumptions (Biomass)'!$V$4*Model!$Y$2010*AVERAGE('Assumptions (Biomass)'!$U$2:$W$2)/10^9),0)</f>
        <v>0</v>
      </c>
      <c r="AH2141" s="105">
        <f>IF($Y$2010&gt;0,IPMT('Assumptions (Biomass)'!$V$6,Model!AF$1,'Assumptions (Biomass)'!$V$9,'Assumptions (Biomass)'!$V$4*Model!$Y$2010*AVERAGE('Assumptions (Biomass)'!$U$2:$W$2)/10^9),0)</f>
        <v>0</v>
      </c>
      <c r="AI2141" s="105">
        <f>IF($Y$2010&gt;0,IPMT('Assumptions (Biomass)'!$V$6,Model!AG$1,'Assumptions (Biomass)'!$V$9,'Assumptions (Biomass)'!$V$4*Model!$Y$2010*AVERAGE('Assumptions (Biomass)'!$U$2:$W$2)/10^9),0)</f>
        <v>0</v>
      </c>
      <c r="AJ2141" s="105">
        <f>IF($Y$2010&gt;0,IPMT('Assumptions (Biomass)'!$V$6,Model!AH$1,'Assumptions (Biomass)'!$V$9,'Assumptions (Biomass)'!$V$4*Model!$Y$2010*AVERAGE('Assumptions (Biomass)'!$U$2:$W$2)/10^9),0)</f>
        <v>0</v>
      </c>
      <c r="AK2141" s="105">
        <f>IF($Y$2010&gt;0,IPMT('Assumptions (Biomass)'!$V$6,Model!AI$1,'Assumptions (Biomass)'!$V$9,'Assumptions (Biomass)'!$V$4*Model!$Y$2010*AVERAGE('Assumptions (Biomass)'!$U$2:$W$2)/10^9),0)</f>
        <v>0</v>
      </c>
      <c r="AL2141" s="105">
        <f>IF($Y$2010&gt;0,IPMT('Assumptions (Biomass)'!$V$6,Model!AJ$1,'Assumptions (Biomass)'!$V$9,'Assumptions (Biomass)'!$V$4*Model!$Y$2010*AVERAGE('Assumptions (Biomass)'!$U$2:$W$2)/10^9),0)</f>
        <v>0</v>
      </c>
      <c r="AM2141" s="105">
        <f>IF($Y$2010&gt;0,IPMT('Assumptions (Biomass)'!$V$6,Model!AK$1,'Assumptions (Biomass)'!$V$9,'Assumptions (Biomass)'!$V$4*Model!$Y$2010*AVERAGE('Assumptions (Biomass)'!$U$2:$W$2)/10^9),0)</f>
        <v>0</v>
      </c>
      <c r="AN2141" s="105"/>
      <c r="AO2141" s="105"/>
      <c r="AP2141" s="105"/>
      <c r="AQ2141" s="105"/>
      <c r="AR2141" s="105"/>
      <c r="AS2141" s="105"/>
      <c r="AT2141" s="105"/>
      <c r="AU2141" s="105"/>
      <c r="AV2141" s="105"/>
      <c r="AW2141" s="105"/>
      <c r="AX2141" s="105"/>
      <c r="AY2141" s="105"/>
      <c r="AZ2141" s="105"/>
      <c r="BA2141" s="105"/>
    </row>
    <row r="2142" spans="1:53" ht="15.75" hidden="1" customHeight="1" outlineLevel="1">
      <c r="A2142" s="441"/>
      <c r="B2142" s="99"/>
      <c r="C2142" s="99"/>
      <c r="D2142" s="99"/>
      <c r="E2142" s="99"/>
      <c r="F2142" s="99"/>
      <c r="G2142" s="99"/>
      <c r="H2142" s="99"/>
      <c r="I2142" s="99"/>
      <c r="J2142" s="99"/>
      <c r="K2142" s="99"/>
      <c r="L2142" s="99"/>
      <c r="M2142" s="99"/>
      <c r="N2142" s="99"/>
      <c r="O2142" s="99"/>
      <c r="P2142" s="99"/>
      <c r="Q2142" s="99"/>
      <c r="R2142" s="99"/>
      <c r="S2142" s="99"/>
      <c r="T2142" s="99"/>
      <c r="U2142" s="99"/>
      <c r="V2142" s="99"/>
      <c r="W2142" s="105"/>
      <c r="X2142" s="105"/>
      <c r="Y2142" s="105"/>
      <c r="Z2142" s="105">
        <f>IF($Z$2010&gt;0,IPMT('Assumptions (Biomass)'!$V$6,Model!W$1,'Assumptions (Biomass)'!$V$9,'Assumptions (Biomass)'!$V$4*Model!$Z$2010*AVERAGE('Assumptions (Biomass)'!$V$2:$X$2)/10^9),0)</f>
        <v>0</v>
      </c>
      <c r="AA2142" s="105">
        <f>IF($Z$2010&gt;0,IPMT('Assumptions (Biomass)'!$V$6,Model!X$1,'Assumptions (Biomass)'!$V$9,'Assumptions (Biomass)'!$V$4*Model!$Z$2010*AVERAGE('Assumptions (Biomass)'!$V$2:$X$2)/10^9),0)</f>
        <v>0</v>
      </c>
      <c r="AB2142" s="105">
        <f>IF($Z$2010&gt;0,IPMT('Assumptions (Biomass)'!$V$6,Model!Y$1,'Assumptions (Biomass)'!$V$9,'Assumptions (Biomass)'!$V$4*Model!$Z$2010*AVERAGE('Assumptions (Biomass)'!$V$2:$X$2)/10^9),0)</f>
        <v>0</v>
      </c>
      <c r="AC2142" s="105">
        <f>IF($Z$2010&gt;0,IPMT('Assumptions (Biomass)'!$V$6,Model!Z$1,'Assumptions (Biomass)'!$V$9,'Assumptions (Biomass)'!$V$4*Model!$Z$2010*AVERAGE('Assumptions (Biomass)'!$V$2:$X$2)/10^9),0)</f>
        <v>0</v>
      </c>
      <c r="AD2142" s="105">
        <f>IF($Z$2010&gt;0,IPMT('Assumptions (Biomass)'!$V$6,Model!AA$1,'Assumptions (Biomass)'!$V$9,'Assumptions (Biomass)'!$V$4*Model!$Z$2010*AVERAGE('Assumptions (Biomass)'!$V$2:$X$2)/10^9),0)</f>
        <v>0</v>
      </c>
      <c r="AE2142" s="105">
        <f>IF($Z$2010&gt;0,IPMT('Assumptions (Biomass)'!$V$6,Model!AB$1,'Assumptions (Biomass)'!$V$9,'Assumptions (Biomass)'!$V$4*Model!$Z$2010*AVERAGE('Assumptions (Biomass)'!$V$2:$X$2)/10^9),0)</f>
        <v>0</v>
      </c>
      <c r="AF2142" s="105">
        <f>IF($Z$2010&gt;0,IPMT('Assumptions (Biomass)'!$V$6,Model!AC$1,'Assumptions (Biomass)'!$V$9,'Assumptions (Biomass)'!$V$4*Model!$Z$2010*AVERAGE('Assumptions (Biomass)'!$V$2:$X$2)/10^9),0)</f>
        <v>0</v>
      </c>
      <c r="AG2142" s="105">
        <f>IF($Z$2010&gt;0,IPMT('Assumptions (Biomass)'!$V$6,Model!AD$1,'Assumptions (Biomass)'!$V$9,'Assumptions (Biomass)'!$V$4*Model!$Z$2010*AVERAGE('Assumptions (Biomass)'!$V$2:$X$2)/10^9),0)</f>
        <v>0</v>
      </c>
      <c r="AH2142" s="105">
        <f>IF($Z$2010&gt;0,IPMT('Assumptions (Biomass)'!$V$6,Model!AE$1,'Assumptions (Biomass)'!$V$9,'Assumptions (Biomass)'!$V$4*Model!$Z$2010*AVERAGE('Assumptions (Biomass)'!$V$2:$X$2)/10^9),0)</f>
        <v>0</v>
      </c>
      <c r="AI2142" s="105">
        <f>IF($Z$2010&gt;0,IPMT('Assumptions (Biomass)'!$V$6,Model!AF$1,'Assumptions (Biomass)'!$V$9,'Assumptions (Biomass)'!$V$4*Model!$Z$2010*AVERAGE('Assumptions (Biomass)'!$V$2:$X$2)/10^9),0)</f>
        <v>0</v>
      </c>
      <c r="AJ2142" s="105">
        <f>IF($Z$2010&gt;0,IPMT('Assumptions (Biomass)'!$V$6,Model!AG$1,'Assumptions (Biomass)'!$V$9,'Assumptions (Biomass)'!$V$4*Model!$Z$2010*AVERAGE('Assumptions (Biomass)'!$V$2:$X$2)/10^9),0)</f>
        <v>0</v>
      </c>
      <c r="AK2142" s="105">
        <f>IF($Z$2010&gt;0,IPMT('Assumptions (Biomass)'!$V$6,Model!AH$1,'Assumptions (Biomass)'!$V$9,'Assumptions (Biomass)'!$V$4*Model!$Z$2010*AVERAGE('Assumptions (Biomass)'!$V$2:$X$2)/10^9),0)</f>
        <v>0</v>
      </c>
      <c r="AL2142" s="105">
        <f>IF($Z$2010&gt;0,IPMT('Assumptions (Biomass)'!$V$6,Model!AI$1,'Assumptions (Biomass)'!$V$9,'Assumptions (Biomass)'!$V$4*Model!$Z$2010*AVERAGE('Assumptions (Biomass)'!$V$2:$X$2)/10^9),0)</f>
        <v>0</v>
      </c>
      <c r="AM2142" s="105">
        <f>IF($Z$2010&gt;0,IPMT('Assumptions (Biomass)'!$V$6,Model!AJ$1,'Assumptions (Biomass)'!$V$9,'Assumptions (Biomass)'!$V$4*Model!$Z$2010*AVERAGE('Assumptions (Biomass)'!$V$2:$X$2)/10^9),0)</f>
        <v>0</v>
      </c>
      <c r="AN2142" s="105">
        <f>IF($Z$2010&gt;0,IPMT('Assumptions (Biomass)'!$V$6,Model!AK$1,'Assumptions (Biomass)'!$V$9,'Assumptions (Biomass)'!$V$4*Model!$Z$2010*AVERAGE('Assumptions (Biomass)'!$V$2:$X$2)/10^9),0)</f>
        <v>0</v>
      </c>
      <c r="AO2142" s="105"/>
      <c r="AP2142" s="105"/>
      <c r="AQ2142" s="105"/>
      <c r="AR2142" s="105"/>
      <c r="AS2142" s="105"/>
      <c r="AT2142" s="105"/>
      <c r="AU2142" s="105"/>
      <c r="AV2142" s="105"/>
      <c r="AW2142" s="105"/>
      <c r="AX2142" s="105"/>
      <c r="AY2142" s="105"/>
      <c r="AZ2142" s="105"/>
      <c r="BA2142" s="105"/>
    </row>
    <row r="2143" spans="1:53" ht="15.75" hidden="1" customHeight="1" outlineLevel="1">
      <c r="A2143" s="441"/>
      <c r="B2143" s="99"/>
      <c r="C2143" s="99"/>
      <c r="D2143" s="99"/>
      <c r="E2143" s="99"/>
      <c r="F2143" s="99"/>
      <c r="G2143" s="99"/>
      <c r="H2143" s="99"/>
      <c r="I2143" s="99"/>
      <c r="J2143" s="99"/>
      <c r="K2143" s="99"/>
      <c r="L2143" s="99"/>
      <c r="M2143" s="99"/>
      <c r="N2143" s="99"/>
      <c r="O2143" s="99"/>
      <c r="P2143" s="99"/>
      <c r="Q2143" s="99"/>
      <c r="R2143" s="99"/>
      <c r="S2143" s="99"/>
      <c r="T2143" s="99"/>
      <c r="U2143" s="99"/>
      <c r="V2143" s="99"/>
      <c r="W2143" s="105"/>
      <c r="X2143" s="105"/>
      <c r="Y2143" s="105"/>
      <c r="Z2143" s="105"/>
      <c r="AA2143" s="105">
        <f>IF($AA$2010&gt;0,IPMT('Assumptions (Biomass)'!$V$6,Model!W$1,'Assumptions (Biomass)'!$V$9,'Assumptions (Biomass)'!$V$4*Model!$AA$2010*AVERAGE('Assumptions (Biomass)'!$W$2:$Y$2)/10^9),0)</f>
        <v>0</v>
      </c>
      <c r="AB2143" s="105">
        <f>IF($AA$2010&gt;0,IPMT('Assumptions (Biomass)'!$V$6,Model!X$1,'Assumptions (Biomass)'!$V$9,'Assumptions (Biomass)'!$V$4*Model!$AA$2010*AVERAGE('Assumptions (Biomass)'!$W$2:$Y$2)/10^9),0)</f>
        <v>0</v>
      </c>
      <c r="AC2143" s="105">
        <f>IF($AA$2010&gt;0,IPMT('Assumptions (Biomass)'!$V$6,Model!Y$1,'Assumptions (Biomass)'!$V$9,'Assumptions (Biomass)'!$V$4*Model!$AA$2010*AVERAGE('Assumptions (Biomass)'!$W$2:$Y$2)/10^9),0)</f>
        <v>0</v>
      </c>
      <c r="AD2143" s="105">
        <f>IF($AA$2010&gt;0,IPMT('Assumptions (Biomass)'!$V$6,Model!Z$1,'Assumptions (Biomass)'!$V$9,'Assumptions (Biomass)'!$V$4*Model!$AA$2010*AVERAGE('Assumptions (Biomass)'!$W$2:$Y$2)/10^9),0)</f>
        <v>0</v>
      </c>
      <c r="AE2143" s="105">
        <f>IF($AA$2010&gt;0,IPMT('Assumptions (Biomass)'!$V$6,Model!AA$1,'Assumptions (Biomass)'!$V$9,'Assumptions (Biomass)'!$V$4*Model!$AA$2010*AVERAGE('Assumptions (Biomass)'!$W$2:$Y$2)/10^9),0)</f>
        <v>0</v>
      </c>
      <c r="AF2143" s="105">
        <f>IF($AA$2010&gt;0,IPMT('Assumptions (Biomass)'!$V$6,Model!AB$1,'Assumptions (Biomass)'!$V$9,'Assumptions (Biomass)'!$V$4*Model!$AA$2010*AVERAGE('Assumptions (Biomass)'!$W$2:$Y$2)/10^9),0)</f>
        <v>0</v>
      </c>
      <c r="AG2143" s="105">
        <f>IF($AA$2010&gt;0,IPMT('Assumptions (Biomass)'!$V$6,Model!AC$1,'Assumptions (Biomass)'!$V$9,'Assumptions (Biomass)'!$V$4*Model!$AA$2010*AVERAGE('Assumptions (Biomass)'!$W$2:$Y$2)/10^9),0)</f>
        <v>0</v>
      </c>
      <c r="AH2143" s="105">
        <f>IF($AA$2010&gt;0,IPMT('Assumptions (Biomass)'!$V$6,Model!AD$1,'Assumptions (Biomass)'!$V$9,'Assumptions (Biomass)'!$V$4*Model!$AA$2010*AVERAGE('Assumptions (Biomass)'!$W$2:$Y$2)/10^9),0)</f>
        <v>0</v>
      </c>
      <c r="AI2143" s="105">
        <f>IF($AA$2010&gt;0,IPMT('Assumptions (Biomass)'!$V$6,Model!AE$1,'Assumptions (Biomass)'!$V$9,'Assumptions (Biomass)'!$V$4*Model!$AA$2010*AVERAGE('Assumptions (Biomass)'!$W$2:$Y$2)/10^9),0)</f>
        <v>0</v>
      </c>
      <c r="AJ2143" s="105">
        <f>IF($AA$2010&gt;0,IPMT('Assumptions (Biomass)'!$V$6,Model!AF$1,'Assumptions (Biomass)'!$V$9,'Assumptions (Biomass)'!$V$4*Model!$AA$2010*AVERAGE('Assumptions (Biomass)'!$W$2:$Y$2)/10^9),0)</f>
        <v>0</v>
      </c>
      <c r="AK2143" s="105">
        <f>IF($AA$2010&gt;0,IPMT('Assumptions (Biomass)'!$V$6,Model!AG$1,'Assumptions (Biomass)'!$V$9,'Assumptions (Biomass)'!$V$4*Model!$AA$2010*AVERAGE('Assumptions (Biomass)'!$W$2:$Y$2)/10^9),0)</f>
        <v>0</v>
      </c>
      <c r="AL2143" s="105">
        <f>IF($AA$2010&gt;0,IPMT('Assumptions (Biomass)'!$V$6,Model!AH$1,'Assumptions (Biomass)'!$V$9,'Assumptions (Biomass)'!$V$4*Model!$AA$2010*AVERAGE('Assumptions (Biomass)'!$W$2:$Y$2)/10^9),0)</f>
        <v>0</v>
      </c>
      <c r="AM2143" s="105">
        <f>IF($AA$2010&gt;0,IPMT('Assumptions (Biomass)'!$V$6,Model!AI$1,'Assumptions (Biomass)'!$V$9,'Assumptions (Biomass)'!$V$4*Model!$AA$2010*AVERAGE('Assumptions (Biomass)'!$W$2:$Y$2)/10^9),0)</f>
        <v>0</v>
      </c>
      <c r="AN2143" s="105">
        <f>IF($AA$2010&gt;0,IPMT('Assumptions (Biomass)'!$V$6,Model!AJ$1,'Assumptions (Biomass)'!$V$9,'Assumptions (Biomass)'!$V$4*Model!$AA$2010*AVERAGE('Assumptions (Biomass)'!$W$2:$Y$2)/10^9),0)</f>
        <v>0</v>
      </c>
      <c r="AO2143" s="105">
        <f>IF($AA$2010&gt;0,IPMT('Assumptions (Biomass)'!$V$6,Model!AK$1,'Assumptions (Biomass)'!$V$9,'Assumptions (Biomass)'!$V$4*Model!$AA$2010*AVERAGE('Assumptions (Biomass)'!$W$2:$Y$2)/10^9),0)</f>
        <v>0</v>
      </c>
      <c r="AP2143" s="105"/>
      <c r="AQ2143" s="105"/>
      <c r="AR2143" s="105"/>
      <c r="AS2143" s="105"/>
      <c r="AT2143" s="105"/>
      <c r="AU2143" s="105"/>
      <c r="AV2143" s="105"/>
      <c r="AW2143" s="105"/>
      <c r="AX2143" s="105"/>
      <c r="AY2143" s="105"/>
      <c r="AZ2143" s="105"/>
      <c r="BA2143" s="105"/>
    </row>
    <row r="2144" spans="1:53" ht="15.75" hidden="1" customHeight="1" outlineLevel="1">
      <c r="A2144" s="441"/>
      <c r="B2144" s="99"/>
      <c r="C2144" s="99"/>
      <c r="D2144" s="99"/>
      <c r="E2144" s="99"/>
      <c r="F2144" s="99"/>
      <c r="G2144" s="99"/>
      <c r="H2144" s="99"/>
      <c r="I2144" s="99"/>
      <c r="J2144" s="99"/>
      <c r="K2144" s="99"/>
      <c r="L2144" s="99"/>
      <c r="M2144" s="99"/>
      <c r="N2144" s="99"/>
      <c r="O2144" s="99"/>
      <c r="P2144" s="99"/>
      <c r="Q2144" s="99"/>
      <c r="R2144" s="99"/>
      <c r="S2144" s="99"/>
      <c r="T2144" s="99"/>
      <c r="U2144" s="99"/>
      <c r="V2144" s="99"/>
      <c r="W2144" s="105"/>
      <c r="X2144" s="105"/>
      <c r="Y2144" s="105"/>
      <c r="Z2144" s="105"/>
      <c r="AA2144" s="105"/>
      <c r="AB2144" s="105">
        <f>IF($AB$2010&gt;0,IPMT('Assumptions (Biomass)'!$V$6,Model!W$1,'Assumptions (Biomass)'!$V$9,'Assumptions (Biomass)'!$V$4*Model!$AB$2010*AVERAGE('Assumptions (Biomass)'!$X$2:$Z$2)/10^9),0)</f>
        <v>0</v>
      </c>
      <c r="AC2144" s="105">
        <f>IF($AB$2010&gt;0,IPMT('Assumptions (Biomass)'!$V$6,Model!X$1,'Assumptions (Biomass)'!$V$9,'Assumptions (Biomass)'!$V$4*Model!$AB$2010*AVERAGE('Assumptions (Biomass)'!$X$2:$Z$2)/10^9),0)</f>
        <v>0</v>
      </c>
      <c r="AD2144" s="105">
        <f>IF($AB$2010&gt;0,IPMT('Assumptions (Biomass)'!$V$6,Model!Y$1,'Assumptions (Biomass)'!$V$9,'Assumptions (Biomass)'!$V$4*Model!$AB$2010*AVERAGE('Assumptions (Biomass)'!$X$2:$Z$2)/10^9),0)</f>
        <v>0</v>
      </c>
      <c r="AE2144" s="105">
        <f>IF($AB$2010&gt;0,IPMT('Assumptions (Biomass)'!$V$6,Model!Z$1,'Assumptions (Biomass)'!$V$9,'Assumptions (Biomass)'!$V$4*Model!$AB$2010*AVERAGE('Assumptions (Biomass)'!$X$2:$Z$2)/10^9),0)</f>
        <v>0</v>
      </c>
      <c r="AF2144" s="105">
        <f>IF($AB$2010&gt;0,IPMT('Assumptions (Biomass)'!$V$6,Model!AA$1,'Assumptions (Biomass)'!$V$9,'Assumptions (Biomass)'!$V$4*Model!$AB$2010*AVERAGE('Assumptions (Biomass)'!$X$2:$Z$2)/10^9),0)</f>
        <v>0</v>
      </c>
      <c r="AG2144" s="105">
        <f>IF($AB$2010&gt;0,IPMT('Assumptions (Biomass)'!$V$6,Model!AB$1,'Assumptions (Biomass)'!$V$9,'Assumptions (Biomass)'!$V$4*Model!$AB$2010*AVERAGE('Assumptions (Biomass)'!$X$2:$Z$2)/10^9),0)</f>
        <v>0</v>
      </c>
      <c r="AH2144" s="105">
        <f>IF($AB$2010&gt;0,IPMT('Assumptions (Biomass)'!$V$6,Model!AC$1,'Assumptions (Biomass)'!$V$9,'Assumptions (Biomass)'!$V$4*Model!$AB$2010*AVERAGE('Assumptions (Biomass)'!$X$2:$Z$2)/10^9),0)</f>
        <v>0</v>
      </c>
      <c r="AI2144" s="105">
        <f>IF($AB$2010&gt;0,IPMT('Assumptions (Biomass)'!$V$6,Model!AD$1,'Assumptions (Biomass)'!$V$9,'Assumptions (Biomass)'!$V$4*Model!$AB$2010*AVERAGE('Assumptions (Biomass)'!$X$2:$Z$2)/10^9),0)</f>
        <v>0</v>
      </c>
      <c r="AJ2144" s="105">
        <f>IF($AB$2010&gt;0,IPMT('Assumptions (Biomass)'!$V$6,Model!AE$1,'Assumptions (Biomass)'!$V$9,'Assumptions (Biomass)'!$V$4*Model!$AB$2010*AVERAGE('Assumptions (Biomass)'!$X$2:$Z$2)/10^9),0)</f>
        <v>0</v>
      </c>
      <c r="AK2144" s="105">
        <f>IF($AB$2010&gt;0,IPMT('Assumptions (Biomass)'!$V$6,Model!AF$1,'Assumptions (Biomass)'!$V$9,'Assumptions (Biomass)'!$V$4*Model!$AB$2010*AVERAGE('Assumptions (Biomass)'!$X$2:$Z$2)/10^9),0)</f>
        <v>0</v>
      </c>
      <c r="AL2144" s="105">
        <f>IF($AB$2010&gt;0,IPMT('Assumptions (Biomass)'!$V$6,Model!AG$1,'Assumptions (Biomass)'!$V$9,'Assumptions (Biomass)'!$V$4*Model!$AB$2010*AVERAGE('Assumptions (Biomass)'!$X$2:$Z$2)/10^9),0)</f>
        <v>0</v>
      </c>
      <c r="AM2144" s="105">
        <f>IF($AB$2010&gt;0,IPMT('Assumptions (Biomass)'!$V$6,Model!AH$1,'Assumptions (Biomass)'!$V$9,'Assumptions (Biomass)'!$V$4*Model!$AB$2010*AVERAGE('Assumptions (Biomass)'!$X$2:$Z$2)/10^9),0)</f>
        <v>0</v>
      </c>
      <c r="AN2144" s="105">
        <f>IF($AB$2010&gt;0,IPMT('Assumptions (Biomass)'!$V$6,Model!AI$1,'Assumptions (Biomass)'!$V$9,'Assumptions (Biomass)'!$V$4*Model!$AB$2010*AVERAGE('Assumptions (Biomass)'!$X$2:$Z$2)/10^9),0)</f>
        <v>0</v>
      </c>
      <c r="AO2144" s="105">
        <f>IF($AB$2010&gt;0,IPMT('Assumptions (Biomass)'!$V$6,Model!AJ$1,'Assumptions (Biomass)'!$V$9,'Assumptions (Biomass)'!$V$4*Model!$AB$2010*AVERAGE('Assumptions (Biomass)'!$X$2:$Z$2)/10^9),0)</f>
        <v>0</v>
      </c>
      <c r="AP2144" s="105">
        <f>IF($AB$2010&gt;0,IPMT('Assumptions (Biomass)'!$V$6,Model!AK$1,'Assumptions (Biomass)'!$V$9,'Assumptions (Biomass)'!$V$4*Model!$AB$2010*AVERAGE('Assumptions (Biomass)'!$X$2:$Z$2)/10^9),0)</f>
        <v>0</v>
      </c>
      <c r="AQ2144" s="105"/>
      <c r="AR2144" s="105"/>
      <c r="AS2144" s="105"/>
      <c r="AT2144" s="105"/>
      <c r="AU2144" s="105"/>
      <c r="AV2144" s="105"/>
      <c r="AW2144" s="105"/>
      <c r="AX2144" s="105"/>
      <c r="AY2144" s="105"/>
      <c r="AZ2144" s="105"/>
      <c r="BA2144" s="105"/>
    </row>
    <row r="2145" spans="1:68" ht="15.75" hidden="1" customHeight="1" outlineLevel="1">
      <c r="A2145" s="441"/>
      <c r="B2145" s="99"/>
      <c r="C2145" s="99"/>
      <c r="D2145" s="99"/>
      <c r="E2145" s="99"/>
      <c r="F2145" s="99"/>
      <c r="G2145" s="99"/>
      <c r="H2145" s="99"/>
      <c r="I2145" s="99"/>
      <c r="J2145" s="99"/>
      <c r="K2145" s="99"/>
      <c r="L2145" s="99"/>
      <c r="M2145" s="99"/>
      <c r="N2145" s="99"/>
      <c r="O2145" s="99"/>
      <c r="P2145" s="99"/>
      <c r="Q2145" s="99"/>
      <c r="R2145" s="99"/>
      <c r="S2145" s="99"/>
      <c r="T2145" s="99"/>
      <c r="U2145" s="99"/>
      <c r="V2145" s="99"/>
      <c r="W2145" s="105"/>
      <c r="X2145" s="105"/>
      <c r="Y2145" s="105"/>
      <c r="Z2145" s="105"/>
      <c r="AA2145" s="105"/>
      <c r="AB2145" s="105"/>
      <c r="AC2145" s="105">
        <f>IF($AC$2010&gt;0,IPMT('Assumptions (Biomass)'!$V$6,Model!W$1,'Assumptions (Biomass)'!$V$9,'Assumptions (Biomass)'!$V$4*Model!$AC$2010*AVERAGE('Assumptions (Biomass)'!$Y$2:$AA$2)/10^9),0)</f>
        <v>0</v>
      </c>
      <c r="AD2145" s="105">
        <f>IF($AC$2010&gt;0,IPMT('Assumptions (Biomass)'!$V$6,Model!X$1,'Assumptions (Biomass)'!$V$9,'Assumptions (Biomass)'!$V$4*Model!$AC$2010*AVERAGE('Assumptions (Biomass)'!$Y$2:$AA$2)/10^9),0)</f>
        <v>0</v>
      </c>
      <c r="AE2145" s="105">
        <f>IF($AC$2010&gt;0,IPMT('Assumptions (Biomass)'!$V$6,Model!Y$1,'Assumptions (Biomass)'!$V$9,'Assumptions (Biomass)'!$V$4*Model!$AC$2010*AVERAGE('Assumptions (Biomass)'!$Y$2:$AA$2)/10^9),0)</f>
        <v>0</v>
      </c>
      <c r="AF2145" s="105">
        <f>IF($AC$2010&gt;0,IPMT('Assumptions (Biomass)'!$V$6,Model!Z$1,'Assumptions (Biomass)'!$V$9,'Assumptions (Biomass)'!$V$4*Model!$AC$2010*AVERAGE('Assumptions (Biomass)'!$Y$2:$AA$2)/10^9),0)</f>
        <v>0</v>
      </c>
      <c r="AG2145" s="105">
        <f>IF($AC$2010&gt;0,IPMT('Assumptions (Biomass)'!$V$6,Model!AA$1,'Assumptions (Biomass)'!$V$9,'Assumptions (Biomass)'!$V$4*Model!$AC$2010*AVERAGE('Assumptions (Biomass)'!$Y$2:$AA$2)/10^9),0)</f>
        <v>0</v>
      </c>
      <c r="AH2145" s="105">
        <f>IF($AC$2010&gt;0,IPMT('Assumptions (Biomass)'!$V$6,Model!AB$1,'Assumptions (Biomass)'!$V$9,'Assumptions (Biomass)'!$V$4*Model!$AC$2010*AVERAGE('Assumptions (Biomass)'!$Y$2:$AA$2)/10^9),0)</f>
        <v>0</v>
      </c>
      <c r="AI2145" s="105">
        <f>IF($AC$2010&gt;0,IPMT('Assumptions (Biomass)'!$V$6,Model!AC$1,'Assumptions (Biomass)'!$V$9,'Assumptions (Biomass)'!$V$4*Model!$AC$2010*AVERAGE('Assumptions (Biomass)'!$Y$2:$AA$2)/10^9),0)</f>
        <v>0</v>
      </c>
      <c r="AJ2145" s="105">
        <f>IF($AC$2010&gt;0,IPMT('Assumptions (Biomass)'!$V$6,Model!AD$1,'Assumptions (Biomass)'!$V$9,'Assumptions (Biomass)'!$V$4*Model!$AC$2010*AVERAGE('Assumptions (Biomass)'!$Y$2:$AA$2)/10^9),0)</f>
        <v>0</v>
      </c>
      <c r="AK2145" s="105">
        <f>IF($AC$2010&gt;0,IPMT('Assumptions (Biomass)'!$V$6,Model!AE$1,'Assumptions (Biomass)'!$V$9,'Assumptions (Biomass)'!$V$4*Model!$AC$2010*AVERAGE('Assumptions (Biomass)'!$Y$2:$AA$2)/10^9),0)</f>
        <v>0</v>
      </c>
      <c r="AL2145" s="105">
        <f>IF($AC$2010&gt;0,IPMT('Assumptions (Biomass)'!$V$6,Model!AF$1,'Assumptions (Biomass)'!$V$9,'Assumptions (Biomass)'!$V$4*Model!$AC$2010*AVERAGE('Assumptions (Biomass)'!$Y$2:$AA$2)/10^9),0)</f>
        <v>0</v>
      </c>
      <c r="AM2145" s="105">
        <f>IF($AC$2010&gt;0,IPMT('Assumptions (Biomass)'!$V$6,Model!AG$1,'Assumptions (Biomass)'!$V$9,'Assumptions (Biomass)'!$V$4*Model!$AC$2010*AVERAGE('Assumptions (Biomass)'!$Y$2:$AA$2)/10^9),0)</f>
        <v>0</v>
      </c>
      <c r="AN2145" s="105">
        <f>IF($AC$2010&gt;0,IPMT('Assumptions (Biomass)'!$V$6,Model!AH$1,'Assumptions (Biomass)'!$V$9,'Assumptions (Biomass)'!$V$4*Model!$AC$2010*AVERAGE('Assumptions (Biomass)'!$Y$2:$AA$2)/10^9),0)</f>
        <v>0</v>
      </c>
      <c r="AO2145" s="105">
        <f>IF($AC$2010&gt;0,IPMT('Assumptions (Biomass)'!$V$6,Model!AI$1,'Assumptions (Biomass)'!$V$9,'Assumptions (Biomass)'!$V$4*Model!$AC$2010*AVERAGE('Assumptions (Biomass)'!$Y$2:$AA$2)/10^9),0)</f>
        <v>0</v>
      </c>
      <c r="AP2145" s="105">
        <f>IF($AC$2010&gt;0,IPMT('Assumptions (Biomass)'!$V$6,Model!AJ$1,'Assumptions (Biomass)'!$V$9,'Assumptions (Biomass)'!$V$4*Model!$AC$2010*AVERAGE('Assumptions (Biomass)'!$Y$2:$AA$2)/10^9),0)</f>
        <v>0</v>
      </c>
      <c r="AQ2145" s="105">
        <f>IF($AC$2010&gt;0,IPMT('Assumptions (Biomass)'!$V$6,Model!AK$1,'Assumptions (Biomass)'!$V$9,'Assumptions (Biomass)'!$V$4*Model!$AC$2010*AVERAGE('Assumptions (Biomass)'!$Y$2:$AA$2)/10^9),0)</f>
        <v>0</v>
      </c>
      <c r="AR2145" s="105"/>
      <c r="AS2145" s="105"/>
      <c r="AT2145" s="105"/>
      <c r="AU2145" s="105"/>
      <c r="AV2145" s="105"/>
      <c r="AW2145" s="105"/>
      <c r="AX2145" s="105"/>
      <c r="AY2145" s="105"/>
      <c r="AZ2145" s="105"/>
      <c r="BA2145" s="105"/>
    </row>
    <row r="2146" spans="1:68" ht="15.75" hidden="1" customHeight="1" outlineLevel="1">
      <c r="A2146" s="441"/>
      <c r="B2146" s="99"/>
      <c r="C2146" s="99"/>
      <c r="D2146" s="99"/>
      <c r="E2146" s="99"/>
      <c r="F2146" s="99"/>
      <c r="G2146" s="99"/>
      <c r="H2146" s="99"/>
      <c r="I2146" s="99"/>
      <c r="J2146" s="99"/>
      <c r="K2146" s="99"/>
      <c r="L2146" s="99"/>
      <c r="M2146" s="99"/>
      <c r="N2146" s="99"/>
      <c r="O2146" s="99"/>
      <c r="P2146" s="99"/>
      <c r="Q2146" s="99"/>
      <c r="R2146" s="99"/>
      <c r="S2146" s="99"/>
      <c r="T2146" s="99"/>
      <c r="U2146" s="99"/>
      <c r="V2146" s="99"/>
      <c r="W2146" s="105"/>
      <c r="X2146" s="105"/>
      <c r="Y2146" s="105"/>
      <c r="Z2146" s="105"/>
      <c r="AA2146" s="105"/>
      <c r="AB2146" s="105"/>
      <c r="AC2146" s="105"/>
      <c r="AD2146" s="105">
        <f>IF($AD$2010&gt;0,IPMT('Assumptions (Biomass)'!$V$6,Model!W$1,'Assumptions (Biomass)'!$V$9,'Assumptions (Biomass)'!$V$4*Model!$AD$2010*AVERAGE('Assumptions (Biomass)'!$Z$2:$AB$2)/10^9),0)</f>
        <v>0</v>
      </c>
      <c r="AE2146" s="105">
        <f>IF($AD$2010&gt;0,IPMT('Assumptions (Biomass)'!$V$6,Model!X$1,'Assumptions (Biomass)'!$V$9,'Assumptions (Biomass)'!$V$4*Model!$AD$2010*AVERAGE('Assumptions (Biomass)'!$Z$2:$AB$2)/10^9),0)</f>
        <v>0</v>
      </c>
      <c r="AF2146" s="105">
        <f>IF($AD$2010&gt;0,IPMT('Assumptions (Biomass)'!$V$6,Model!Y$1,'Assumptions (Biomass)'!$V$9,'Assumptions (Biomass)'!$V$4*Model!$AD$2010*AVERAGE('Assumptions (Biomass)'!$Z$2:$AB$2)/10^9),0)</f>
        <v>0</v>
      </c>
      <c r="AG2146" s="105">
        <f>IF($AD$2010&gt;0,IPMT('Assumptions (Biomass)'!$V$6,Model!Z$1,'Assumptions (Biomass)'!$V$9,'Assumptions (Biomass)'!$V$4*Model!$AD$2010*AVERAGE('Assumptions (Biomass)'!$Z$2:$AB$2)/10^9),0)</f>
        <v>0</v>
      </c>
      <c r="AH2146" s="105">
        <f>IF($AD$2010&gt;0,IPMT('Assumptions (Biomass)'!$V$6,Model!AA$1,'Assumptions (Biomass)'!$V$9,'Assumptions (Biomass)'!$V$4*Model!$AD$2010*AVERAGE('Assumptions (Biomass)'!$Z$2:$AB$2)/10^9),0)</f>
        <v>0</v>
      </c>
      <c r="AI2146" s="105">
        <f>IF($AD$2010&gt;0,IPMT('Assumptions (Biomass)'!$V$6,Model!AB$1,'Assumptions (Biomass)'!$V$9,'Assumptions (Biomass)'!$V$4*Model!$AD$2010*AVERAGE('Assumptions (Biomass)'!$Z$2:$AB$2)/10^9),0)</f>
        <v>0</v>
      </c>
      <c r="AJ2146" s="105">
        <f>IF($AD$2010&gt;0,IPMT('Assumptions (Biomass)'!$V$6,Model!AC$1,'Assumptions (Biomass)'!$V$9,'Assumptions (Biomass)'!$V$4*Model!$AD$2010*AVERAGE('Assumptions (Biomass)'!$Z$2:$AB$2)/10^9),0)</f>
        <v>0</v>
      </c>
      <c r="AK2146" s="105">
        <f>IF($AD$2010&gt;0,IPMT('Assumptions (Biomass)'!$V$6,Model!AD$1,'Assumptions (Biomass)'!$V$9,'Assumptions (Biomass)'!$V$4*Model!$AD$2010*AVERAGE('Assumptions (Biomass)'!$Z$2:$AB$2)/10^9),0)</f>
        <v>0</v>
      </c>
      <c r="AL2146" s="105">
        <f>IF($AD$2010&gt;0,IPMT('Assumptions (Biomass)'!$V$6,Model!AE$1,'Assumptions (Biomass)'!$V$9,'Assumptions (Biomass)'!$V$4*Model!$AD$2010*AVERAGE('Assumptions (Biomass)'!$Z$2:$AB$2)/10^9),0)</f>
        <v>0</v>
      </c>
      <c r="AM2146" s="105">
        <f>IF($AD$2010&gt;0,IPMT('Assumptions (Biomass)'!$V$6,Model!AF$1,'Assumptions (Biomass)'!$V$9,'Assumptions (Biomass)'!$V$4*Model!$AD$2010*AVERAGE('Assumptions (Biomass)'!$Z$2:$AB$2)/10^9),0)</f>
        <v>0</v>
      </c>
      <c r="AN2146" s="105">
        <f>IF($AD$2010&gt;0,IPMT('Assumptions (Biomass)'!$V$6,Model!AG$1,'Assumptions (Biomass)'!$V$9,'Assumptions (Biomass)'!$V$4*Model!$AD$2010*AVERAGE('Assumptions (Biomass)'!$Z$2:$AB$2)/10^9),0)</f>
        <v>0</v>
      </c>
      <c r="AO2146" s="105">
        <f>IF($AD$2010&gt;0,IPMT('Assumptions (Biomass)'!$V$6,Model!AH$1,'Assumptions (Biomass)'!$V$9,'Assumptions (Biomass)'!$V$4*Model!$AD$2010*AVERAGE('Assumptions (Biomass)'!$Z$2:$AB$2)/10^9),0)</f>
        <v>0</v>
      </c>
      <c r="AP2146" s="105">
        <f>IF($AD$2010&gt;0,IPMT('Assumptions (Biomass)'!$V$6,Model!AI$1,'Assumptions (Biomass)'!$V$9,'Assumptions (Biomass)'!$V$4*Model!$AD$2010*AVERAGE('Assumptions (Biomass)'!$Z$2:$AB$2)/10^9),0)</f>
        <v>0</v>
      </c>
      <c r="AQ2146" s="105">
        <f>IF($AD$2010&gt;0,IPMT('Assumptions (Biomass)'!$V$6,Model!AJ$1,'Assumptions (Biomass)'!$V$9,'Assumptions (Biomass)'!$V$4*Model!$AD$2010*AVERAGE('Assumptions (Biomass)'!$Z$2:$AB$2)/10^9),0)</f>
        <v>0</v>
      </c>
      <c r="AR2146" s="105">
        <f>IF($AD$2010&gt;0,IPMT('Assumptions (Biomass)'!$V$6,Model!AK$1,'Assumptions (Biomass)'!$V$9,'Assumptions (Biomass)'!$V$4*Model!$AD$2010*AVERAGE('Assumptions (Biomass)'!$Z$2:$AB$2)/10^9),0)</f>
        <v>0</v>
      </c>
      <c r="AS2146" s="105"/>
      <c r="AT2146" s="105"/>
      <c r="AU2146" s="105"/>
      <c r="AV2146" s="105"/>
      <c r="AW2146" s="105"/>
      <c r="AX2146" s="105"/>
      <c r="AY2146" s="105"/>
      <c r="AZ2146" s="105"/>
      <c r="BA2146" s="105"/>
      <c r="BB2146" s="105"/>
    </row>
    <row r="2147" spans="1:68" ht="15.75" hidden="1" customHeight="1" outlineLevel="1">
      <c r="A2147" s="441"/>
      <c r="B2147" s="99"/>
      <c r="C2147" s="99"/>
      <c r="D2147" s="99"/>
      <c r="E2147" s="99"/>
      <c r="F2147" s="99"/>
      <c r="G2147" s="99"/>
      <c r="H2147" s="99"/>
      <c r="I2147" s="99"/>
      <c r="J2147" s="99"/>
      <c r="K2147" s="99"/>
      <c r="L2147" s="99"/>
      <c r="M2147" s="99"/>
      <c r="N2147" s="99"/>
      <c r="O2147" s="99"/>
      <c r="P2147" s="99"/>
      <c r="Q2147" s="99"/>
      <c r="R2147" s="99"/>
      <c r="S2147" s="99"/>
      <c r="T2147" s="99"/>
      <c r="U2147" s="99"/>
      <c r="V2147" s="99"/>
      <c r="W2147" s="105"/>
      <c r="X2147" s="105"/>
      <c r="Y2147" s="105"/>
      <c r="Z2147" s="105"/>
      <c r="AA2147" s="105"/>
      <c r="AB2147" s="105"/>
      <c r="AC2147" s="105"/>
      <c r="AD2147" s="105"/>
      <c r="AE2147" s="105">
        <f>IF($AE$2010&gt;0,IPMT('Assumptions (Biomass)'!$V$6,Model!W$1,'Assumptions (Biomass)'!$V$9,'Assumptions (Biomass)'!$V$4*Model!$AE$2010*AVERAGE('Assumptions (Biomass)'!$AA$2:$AC$2)/10^9),0)</f>
        <v>0</v>
      </c>
      <c r="AF2147" s="105">
        <f>IF($AE$2010&gt;0,IPMT('Assumptions (Biomass)'!$V$6,Model!X$1,'Assumptions (Biomass)'!$V$9,'Assumptions (Biomass)'!$V$4*Model!$AE$2010*AVERAGE('Assumptions (Biomass)'!$AA$2:$AC$2)/10^9),0)</f>
        <v>0</v>
      </c>
      <c r="AG2147" s="105">
        <f>IF($AE$2010&gt;0,IPMT('Assumptions (Biomass)'!$V$6,Model!Y$1,'Assumptions (Biomass)'!$V$9,'Assumptions (Biomass)'!$V$4*Model!$AE$2010*AVERAGE('Assumptions (Biomass)'!$AA$2:$AC$2)/10^9),0)</f>
        <v>0</v>
      </c>
      <c r="AH2147" s="105">
        <f>IF($AE$2010&gt;0,IPMT('Assumptions (Biomass)'!$V$6,Model!Z$1,'Assumptions (Biomass)'!$V$9,'Assumptions (Biomass)'!$V$4*Model!$AE$2010*AVERAGE('Assumptions (Biomass)'!$AA$2:$AC$2)/10^9),0)</f>
        <v>0</v>
      </c>
      <c r="AI2147" s="105">
        <f>IF($AE$2010&gt;0,IPMT('Assumptions (Biomass)'!$V$6,Model!AA$1,'Assumptions (Biomass)'!$V$9,'Assumptions (Biomass)'!$V$4*Model!$AE$2010*AVERAGE('Assumptions (Biomass)'!$AA$2:$AC$2)/10^9),0)</f>
        <v>0</v>
      </c>
      <c r="AJ2147" s="105">
        <f>IF($AE$2010&gt;0,IPMT('Assumptions (Biomass)'!$V$6,Model!AB$1,'Assumptions (Biomass)'!$V$9,'Assumptions (Biomass)'!$V$4*Model!$AE$2010*AVERAGE('Assumptions (Biomass)'!$AA$2:$AC$2)/10^9),0)</f>
        <v>0</v>
      </c>
      <c r="AK2147" s="105">
        <f>IF($AE$2010&gt;0,IPMT('Assumptions (Biomass)'!$V$6,Model!AC$1,'Assumptions (Biomass)'!$V$9,'Assumptions (Biomass)'!$V$4*Model!$AE$2010*AVERAGE('Assumptions (Biomass)'!$AA$2:$AC$2)/10^9),0)</f>
        <v>0</v>
      </c>
      <c r="AL2147" s="105">
        <f>IF($AE$2010&gt;0,IPMT('Assumptions (Biomass)'!$V$6,Model!AD$1,'Assumptions (Biomass)'!$V$9,'Assumptions (Biomass)'!$V$4*Model!$AE$2010*AVERAGE('Assumptions (Biomass)'!$AA$2:$AC$2)/10^9),0)</f>
        <v>0</v>
      </c>
      <c r="AM2147" s="105">
        <f>IF($AE$2010&gt;0,IPMT('Assumptions (Biomass)'!$V$6,Model!AE$1,'Assumptions (Biomass)'!$V$9,'Assumptions (Biomass)'!$V$4*Model!$AE$2010*AVERAGE('Assumptions (Biomass)'!$AA$2:$AC$2)/10^9),0)</f>
        <v>0</v>
      </c>
      <c r="AN2147" s="105">
        <f>IF($AE$2010&gt;0,IPMT('Assumptions (Biomass)'!$V$6,Model!AF$1,'Assumptions (Biomass)'!$V$9,'Assumptions (Biomass)'!$V$4*Model!$AE$2010*AVERAGE('Assumptions (Biomass)'!$AA$2:$AC$2)/10^9),0)</f>
        <v>0</v>
      </c>
      <c r="AO2147" s="105">
        <f>IF($AE$2010&gt;0,IPMT('Assumptions (Biomass)'!$V$6,Model!AG$1,'Assumptions (Biomass)'!$V$9,'Assumptions (Biomass)'!$V$4*Model!$AE$2010*AVERAGE('Assumptions (Biomass)'!$AA$2:$AC$2)/10^9),0)</f>
        <v>0</v>
      </c>
      <c r="AP2147" s="105">
        <f>IF($AE$2010&gt;0,IPMT('Assumptions (Biomass)'!$V$6,Model!AH$1,'Assumptions (Biomass)'!$V$9,'Assumptions (Biomass)'!$V$4*Model!$AE$2010*AVERAGE('Assumptions (Biomass)'!$AA$2:$AC$2)/10^9),0)</f>
        <v>0</v>
      </c>
      <c r="AQ2147" s="105">
        <f>IF($AE$2010&gt;0,IPMT('Assumptions (Biomass)'!$V$6,Model!AI$1,'Assumptions (Biomass)'!$V$9,'Assumptions (Biomass)'!$V$4*Model!$AE$2010*AVERAGE('Assumptions (Biomass)'!$AA$2:$AC$2)/10^9),0)</f>
        <v>0</v>
      </c>
      <c r="AR2147" s="105">
        <f>IF($AE$2010&gt;0,IPMT('Assumptions (Biomass)'!$V$6,Model!AJ$1,'Assumptions (Biomass)'!$V$9,'Assumptions (Biomass)'!$V$4*Model!$AE$2010*AVERAGE('Assumptions (Biomass)'!$AA$2:$AC$2)/10^9),0)</f>
        <v>0</v>
      </c>
      <c r="AS2147" s="105">
        <f>IF($AE$2010&gt;0,IPMT('Assumptions (Biomass)'!$V$6,Model!AK$1,'Assumptions (Biomass)'!$V$9,'Assumptions (Biomass)'!$V$4*Model!$AE$2010*AVERAGE('Assumptions (Biomass)'!$AA$2:$AC$2)/10^9),0)</f>
        <v>0</v>
      </c>
      <c r="AT2147" s="105"/>
      <c r="AU2147" s="105"/>
      <c r="AV2147" s="105"/>
      <c r="AW2147" s="105"/>
      <c r="AX2147" s="105"/>
      <c r="AY2147" s="105"/>
      <c r="AZ2147" s="105"/>
      <c r="BA2147" s="105"/>
      <c r="BB2147" s="105"/>
      <c r="BC2147" s="105"/>
    </row>
    <row r="2148" spans="1:68" ht="15.75" hidden="1" customHeight="1" outlineLevel="1">
      <c r="A2148" s="441"/>
      <c r="B2148" s="99"/>
      <c r="C2148" s="99"/>
      <c r="D2148" s="99"/>
      <c r="E2148" s="99"/>
      <c r="F2148" s="99"/>
      <c r="G2148" s="99"/>
      <c r="H2148" s="99"/>
      <c r="I2148" s="99"/>
      <c r="J2148" s="99"/>
      <c r="K2148" s="99"/>
      <c r="L2148" s="99"/>
      <c r="M2148" s="99"/>
      <c r="N2148" s="99"/>
      <c r="O2148" s="99"/>
      <c r="P2148" s="99"/>
      <c r="Q2148" s="99"/>
      <c r="R2148" s="99"/>
      <c r="S2148" s="99"/>
      <c r="T2148" s="99"/>
      <c r="U2148" s="99"/>
      <c r="V2148" s="99"/>
      <c r="W2148" s="105"/>
      <c r="X2148" s="105"/>
      <c r="Y2148" s="105"/>
      <c r="Z2148" s="105"/>
      <c r="AA2148" s="105"/>
      <c r="AB2148" s="105"/>
      <c r="AC2148" s="105"/>
      <c r="AD2148" s="105"/>
      <c r="AE2148" s="105"/>
      <c r="AF2148" s="105">
        <f>IF($AF$2010&gt;0,IPMT('Assumptions (Biomass)'!$V$6,Model!W$1,'Assumptions (Biomass)'!$V$9,'Assumptions (Biomass)'!$V$4*Model!$AF$2010*AVERAGE('Assumptions (Biomass)'!$AB$2:$AD$2)/10^9),0)</f>
        <v>0</v>
      </c>
      <c r="AG2148" s="105">
        <f>IF($AF$2010&gt;0,IPMT('Assumptions (Biomass)'!$V$6,Model!X$1,'Assumptions (Biomass)'!$V$9,'Assumptions (Biomass)'!$V$4*Model!$AF$2010*AVERAGE('Assumptions (Biomass)'!$AB$2:$AD$2)/10^9),0)</f>
        <v>0</v>
      </c>
      <c r="AH2148" s="105">
        <f>IF($AF$2010&gt;0,IPMT('Assumptions (Biomass)'!$V$6,Model!Y$1,'Assumptions (Biomass)'!$V$9,'Assumptions (Biomass)'!$V$4*Model!$AF$2010*AVERAGE('Assumptions (Biomass)'!$AB$2:$AD$2)/10^9),0)</f>
        <v>0</v>
      </c>
      <c r="AI2148" s="105">
        <f>IF($AF$2010&gt;0,IPMT('Assumptions (Biomass)'!$V$6,Model!Z$1,'Assumptions (Biomass)'!$V$9,'Assumptions (Biomass)'!$V$4*Model!$AF$2010*AVERAGE('Assumptions (Biomass)'!$AB$2:$AD$2)/10^9),0)</f>
        <v>0</v>
      </c>
      <c r="AJ2148" s="105">
        <f>IF($AF$2010&gt;0,IPMT('Assumptions (Biomass)'!$V$6,Model!AA$1,'Assumptions (Biomass)'!$V$9,'Assumptions (Biomass)'!$V$4*Model!$AF$2010*AVERAGE('Assumptions (Biomass)'!$AB$2:$AD$2)/10^9),0)</f>
        <v>0</v>
      </c>
      <c r="AK2148" s="105">
        <f>IF($AF$2010&gt;0,IPMT('Assumptions (Biomass)'!$V$6,Model!AB$1,'Assumptions (Biomass)'!$V$9,'Assumptions (Biomass)'!$V$4*Model!$AF$2010*AVERAGE('Assumptions (Biomass)'!$AB$2:$AD$2)/10^9),0)</f>
        <v>0</v>
      </c>
      <c r="AL2148" s="105">
        <f>IF($AF$2010&gt;0,IPMT('Assumptions (Biomass)'!$V$6,Model!AC$1,'Assumptions (Biomass)'!$V$9,'Assumptions (Biomass)'!$V$4*Model!$AF$2010*AVERAGE('Assumptions (Biomass)'!$AB$2:$AD$2)/10^9),0)</f>
        <v>0</v>
      </c>
      <c r="AM2148" s="105">
        <f>IF($AF$2010&gt;0,IPMT('Assumptions (Biomass)'!$V$6,Model!AD$1,'Assumptions (Biomass)'!$V$9,'Assumptions (Biomass)'!$V$4*Model!$AF$2010*AVERAGE('Assumptions (Biomass)'!$AB$2:$AD$2)/10^9),0)</f>
        <v>0</v>
      </c>
      <c r="AN2148" s="105">
        <f>IF($AF$2010&gt;0,IPMT('Assumptions (Biomass)'!$V$6,Model!AE$1,'Assumptions (Biomass)'!$V$9,'Assumptions (Biomass)'!$V$4*Model!$AF$2010*AVERAGE('Assumptions (Biomass)'!$AB$2:$AD$2)/10^9),0)</f>
        <v>0</v>
      </c>
      <c r="AO2148" s="105">
        <f>IF($AF$2010&gt;0,IPMT('Assumptions (Biomass)'!$V$6,Model!AF$1,'Assumptions (Biomass)'!$V$9,'Assumptions (Biomass)'!$V$4*Model!$AF$2010*AVERAGE('Assumptions (Biomass)'!$AB$2:$AD$2)/10^9),0)</f>
        <v>0</v>
      </c>
      <c r="AP2148" s="105">
        <f>IF($AF$2010&gt;0,IPMT('Assumptions (Biomass)'!$V$6,Model!AG$1,'Assumptions (Biomass)'!$V$9,'Assumptions (Biomass)'!$V$4*Model!$AF$2010*AVERAGE('Assumptions (Biomass)'!$AB$2:$AD$2)/10^9),0)</f>
        <v>0</v>
      </c>
      <c r="AQ2148" s="105">
        <f>IF($AF$2010&gt;0,IPMT('Assumptions (Biomass)'!$V$6,Model!AH$1,'Assumptions (Biomass)'!$V$9,'Assumptions (Biomass)'!$V$4*Model!$AF$2010*AVERAGE('Assumptions (Biomass)'!$AB$2:$AD$2)/10^9),0)</f>
        <v>0</v>
      </c>
      <c r="AR2148" s="105">
        <f>IF($AF$2010&gt;0,IPMT('Assumptions (Biomass)'!$V$6,Model!AI$1,'Assumptions (Biomass)'!$V$9,'Assumptions (Biomass)'!$V$4*Model!$AF$2010*AVERAGE('Assumptions (Biomass)'!$AB$2:$AD$2)/10^9),0)</f>
        <v>0</v>
      </c>
      <c r="AS2148" s="105">
        <f>IF($AF$2010&gt;0,IPMT('Assumptions (Biomass)'!$V$6,Model!AJ$1,'Assumptions (Biomass)'!$V$9,'Assumptions (Biomass)'!$V$4*Model!$AF$2010*AVERAGE('Assumptions (Biomass)'!$AB$2:$AD$2)/10^9),0)</f>
        <v>0</v>
      </c>
      <c r="AT2148" s="105">
        <f>IF($AF$2010&gt;0,IPMT('Assumptions (Biomass)'!$V$6,Model!AK$1,'Assumptions (Biomass)'!$V$9,'Assumptions (Biomass)'!$V$4*Model!$AF$2010*AVERAGE('Assumptions (Biomass)'!$AB$2:$AD$2)/10^9),0)</f>
        <v>0</v>
      </c>
      <c r="AU2148" s="105"/>
      <c r="AV2148" s="105"/>
      <c r="AW2148" s="105"/>
      <c r="AX2148" s="105"/>
      <c r="AY2148" s="105"/>
      <c r="AZ2148" s="105"/>
      <c r="BA2148" s="105"/>
      <c r="BB2148" s="105"/>
      <c r="BC2148" s="105"/>
      <c r="BD2148" s="105"/>
    </row>
    <row r="2149" spans="1:68" ht="15.75" hidden="1" customHeight="1" outlineLevel="1">
      <c r="A2149" s="441"/>
      <c r="B2149" s="99"/>
      <c r="C2149" s="99"/>
      <c r="D2149" s="99"/>
      <c r="E2149" s="99"/>
      <c r="F2149" s="99"/>
      <c r="G2149" s="99"/>
      <c r="H2149" s="99"/>
      <c r="I2149" s="99"/>
      <c r="J2149" s="99"/>
      <c r="K2149" s="99"/>
      <c r="L2149" s="99"/>
      <c r="M2149" s="99"/>
      <c r="N2149" s="99"/>
      <c r="O2149" s="99"/>
      <c r="P2149" s="99"/>
      <c r="Q2149" s="99"/>
      <c r="R2149" s="99"/>
      <c r="S2149" s="99"/>
      <c r="T2149" s="99"/>
      <c r="U2149" s="99"/>
      <c r="V2149" s="99"/>
      <c r="W2149" s="105"/>
      <c r="X2149" s="105"/>
      <c r="Y2149" s="105"/>
      <c r="Z2149" s="105"/>
      <c r="AA2149" s="105"/>
      <c r="AB2149" s="105"/>
      <c r="AC2149" s="105"/>
      <c r="AD2149" s="105"/>
      <c r="AE2149" s="105"/>
      <c r="AF2149" s="105"/>
      <c r="AG2149" s="105">
        <f>IF($AG$2010&gt;0,IPMT('Assumptions (Biomass)'!$V$6,Model!W$1,'Assumptions (Biomass)'!$V$9,'Assumptions (Biomass)'!$V$4*Model!$AG$2010*AVERAGE('Assumptions (Biomass)'!$AC$2:$AE$2)/10^9),0)</f>
        <v>0</v>
      </c>
      <c r="AH2149" s="105">
        <f>IF($AG$2010&gt;0,IPMT('Assumptions (Biomass)'!$V$6,Model!X$1,'Assumptions (Biomass)'!$V$9,'Assumptions (Biomass)'!$V$4*Model!$AG$2010*AVERAGE('Assumptions (Biomass)'!$AC$2:$AE$2)/10^9),0)</f>
        <v>0</v>
      </c>
      <c r="AI2149" s="105">
        <f>IF($AG$2010&gt;0,IPMT('Assumptions (Biomass)'!$V$6,Model!Y$1,'Assumptions (Biomass)'!$V$9,'Assumptions (Biomass)'!$V$4*Model!$AG$2010*AVERAGE('Assumptions (Biomass)'!$AC$2:$AE$2)/10^9),0)</f>
        <v>0</v>
      </c>
      <c r="AJ2149" s="105">
        <f>IF($AG$2010&gt;0,IPMT('Assumptions (Biomass)'!$V$6,Model!Z$1,'Assumptions (Biomass)'!$V$9,'Assumptions (Biomass)'!$V$4*Model!$AG$2010*AVERAGE('Assumptions (Biomass)'!$AC$2:$AE$2)/10^9),0)</f>
        <v>0</v>
      </c>
      <c r="AK2149" s="105">
        <f>IF($AG$2010&gt;0,IPMT('Assumptions (Biomass)'!$V$6,Model!AA$1,'Assumptions (Biomass)'!$V$9,'Assumptions (Biomass)'!$V$4*Model!$AG$2010*AVERAGE('Assumptions (Biomass)'!$AC$2:$AE$2)/10^9),0)</f>
        <v>0</v>
      </c>
      <c r="AL2149" s="105">
        <f>IF($AG$2010&gt;0,IPMT('Assumptions (Biomass)'!$V$6,Model!AB$1,'Assumptions (Biomass)'!$V$9,'Assumptions (Biomass)'!$V$4*Model!$AG$2010*AVERAGE('Assumptions (Biomass)'!$AC$2:$AE$2)/10^9),0)</f>
        <v>0</v>
      </c>
      <c r="AM2149" s="105">
        <f>IF($AG$2010&gt;0,IPMT('Assumptions (Biomass)'!$V$6,Model!AC$1,'Assumptions (Biomass)'!$V$9,'Assumptions (Biomass)'!$V$4*Model!$AG$2010*AVERAGE('Assumptions (Biomass)'!$AC$2:$AE$2)/10^9),0)</f>
        <v>0</v>
      </c>
      <c r="AN2149" s="105">
        <f>IF($AG$2010&gt;0,IPMT('Assumptions (Biomass)'!$V$6,Model!AD$1,'Assumptions (Biomass)'!$V$9,'Assumptions (Biomass)'!$V$4*Model!$AG$2010*AVERAGE('Assumptions (Biomass)'!$AC$2:$AE$2)/10^9),0)</f>
        <v>0</v>
      </c>
      <c r="AO2149" s="105">
        <f>IF($AG$2010&gt;0,IPMT('Assumptions (Biomass)'!$V$6,Model!AE$1,'Assumptions (Biomass)'!$V$9,'Assumptions (Biomass)'!$V$4*Model!$AG$2010*AVERAGE('Assumptions (Biomass)'!$AC$2:$AE$2)/10^9),0)</f>
        <v>0</v>
      </c>
      <c r="AP2149" s="105">
        <f>IF($AG$2010&gt;0,IPMT('Assumptions (Biomass)'!$V$6,Model!AF$1,'Assumptions (Biomass)'!$V$9,'Assumptions (Biomass)'!$V$4*Model!$AG$2010*AVERAGE('Assumptions (Biomass)'!$AC$2:$AE$2)/10^9),0)</f>
        <v>0</v>
      </c>
      <c r="AQ2149" s="105">
        <f>IF($AG$2010&gt;0,IPMT('Assumptions (Biomass)'!$V$6,Model!AG$1,'Assumptions (Biomass)'!$V$9,'Assumptions (Biomass)'!$V$4*Model!$AG$2010*AVERAGE('Assumptions (Biomass)'!$AC$2:$AE$2)/10^9),0)</f>
        <v>0</v>
      </c>
      <c r="AR2149" s="105">
        <f>IF($AG$2010&gt;0,IPMT('Assumptions (Biomass)'!$V$6,Model!AH$1,'Assumptions (Biomass)'!$V$9,'Assumptions (Biomass)'!$V$4*Model!$AG$2010*AVERAGE('Assumptions (Biomass)'!$AC$2:$AE$2)/10^9),0)</f>
        <v>0</v>
      </c>
      <c r="AS2149" s="105">
        <f>IF($AG$2010&gt;0,IPMT('Assumptions (Biomass)'!$V$6,Model!AI$1,'Assumptions (Biomass)'!$V$9,'Assumptions (Biomass)'!$V$4*Model!$AG$2010*AVERAGE('Assumptions (Biomass)'!$AC$2:$AE$2)/10^9),0)</f>
        <v>0</v>
      </c>
      <c r="AT2149" s="105">
        <f>IF($AG$2010&gt;0,IPMT('Assumptions (Biomass)'!$V$6,Model!AJ$1,'Assumptions (Biomass)'!$V$9,'Assumptions (Biomass)'!$V$4*Model!$AG$2010*AVERAGE('Assumptions (Biomass)'!$AC$2:$AE$2)/10^9),0)</f>
        <v>0</v>
      </c>
      <c r="AU2149" s="105">
        <f>IF($AG$2010&gt;0,IPMT('Assumptions (Biomass)'!$V$6,Model!AK$1,'Assumptions (Biomass)'!$V$9,'Assumptions (Biomass)'!$V$4*Model!$AG$2010*AVERAGE('Assumptions (Biomass)'!$AC$2:$AE$2)/10^9),0)</f>
        <v>0</v>
      </c>
      <c r="AV2149" s="105"/>
      <c r="AW2149" s="105"/>
      <c r="AX2149" s="105"/>
      <c r="AY2149" s="105"/>
      <c r="AZ2149" s="105"/>
      <c r="BA2149" s="105"/>
      <c r="BB2149" s="105"/>
      <c r="BC2149" s="105"/>
      <c r="BD2149" s="105"/>
      <c r="BE2149" s="105"/>
    </row>
    <row r="2150" spans="1:68" ht="15.75" hidden="1" customHeight="1" outlineLevel="1">
      <c r="A2150" s="441"/>
      <c r="B2150" s="99"/>
      <c r="C2150" s="99"/>
      <c r="D2150" s="99"/>
      <c r="E2150" s="99"/>
      <c r="F2150" s="99"/>
      <c r="G2150" s="99"/>
      <c r="H2150" s="99"/>
      <c r="I2150" s="99"/>
      <c r="J2150" s="99"/>
      <c r="K2150" s="99"/>
      <c r="L2150" s="99"/>
      <c r="M2150" s="99"/>
      <c r="N2150" s="99"/>
      <c r="O2150" s="99"/>
      <c r="P2150" s="99"/>
      <c r="Q2150" s="99"/>
      <c r="R2150" s="99"/>
      <c r="S2150" s="99"/>
      <c r="T2150" s="99"/>
      <c r="U2150" s="99"/>
      <c r="V2150" s="99"/>
      <c r="W2150" s="105"/>
      <c r="X2150" s="105"/>
      <c r="Y2150" s="105"/>
      <c r="Z2150" s="105"/>
      <c r="AA2150" s="105"/>
      <c r="AB2150" s="105"/>
      <c r="AC2150" s="105"/>
      <c r="AD2150" s="105"/>
      <c r="AE2150" s="105"/>
      <c r="AF2150" s="105"/>
      <c r="AG2150" s="105"/>
      <c r="AH2150" s="105">
        <f>IF($AH$2010&gt;0,IPMT('Assumptions (Biomass)'!$V$6,Model!W$1,'Assumptions (Biomass)'!$V$9,'Assumptions (Biomass)'!$V$4*Model!$AH$2010*AVERAGE('Assumptions (Biomass)'!$AD$2:$AF$2)/10^9),0)</f>
        <v>0</v>
      </c>
      <c r="AI2150" s="105">
        <f>IF($AH$2010&gt;0,IPMT('Assumptions (Biomass)'!$V$6,Model!X$1,'Assumptions (Biomass)'!$V$9,'Assumptions (Biomass)'!$V$4*Model!$AH$2010*AVERAGE('Assumptions (Biomass)'!$AD$2:$AF$2)/10^9),0)</f>
        <v>0</v>
      </c>
      <c r="AJ2150" s="105">
        <f>IF($AH$2010&gt;0,IPMT('Assumptions (Biomass)'!$V$6,Model!Y$1,'Assumptions (Biomass)'!$V$9,'Assumptions (Biomass)'!$V$4*Model!$AH$2010*AVERAGE('Assumptions (Biomass)'!$AD$2:$AF$2)/10^9),0)</f>
        <v>0</v>
      </c>
      <c r="AK2150" s="105">
        <f>IF($AH$2010&gt;0,IPMT('Assumptions (Biomass)'!$V$6,Model!Z$1,'Assumptions (Biomass)'!$V$9,'Assumptions (Biomass)'!$V$4*Model!$AH$2010*AVERAGE('Assumptions (Biomass)'!$AD$2:$AF$2)/10^9),0)</f>
        <v>0</v>
      </c>
      <c r="AL2150" s="105">
        <f>IF($AH$2010&gt;0,IPMT('Assumptions (Biomass)'!$V$6,Model!AA$1,'Assumptions (Biomass)'!$V$9,'Assumptions (Biomass)'!$V$4*Model!$AH$2010*AVERAGE('Assumptions (Biomass)'!$AD$2:$AF$2)/10^9),0)</f>
        <v>0</v>
      </c>
      <c r="AM2150" s="105">
        <f>IF($AH$2010&gt;0,IPMT('Assumptions (Biomass)'!$V$6,Model!AB$1,'Assumptions (Biomass)'!$V$9,'Assumptions (Biomass)'!$V$4*Model!$AH$2010*AVERAGE('Assumptions (Biomass)'!$AD$2:$AF$2)/10^9),0)</f>
        <v>0</v>
      </c>
      <c r="AN2150" s="105">
        <f>IF($AH$2010&gt;0,IPMT('Assumptions (Biomass)'!$V$6,Model!AC$1,'Assumptions (Biomass)'!$V$9,'Assumptions (Biomass)'!$V$4*Model!$AH$2010*AVERAGE('Assumptions (Biomass)'!$AD$2:$AF$2)/10^9),0)</f>
        <v>0</v>
      </c>
      <c r="AO2150" s="105">
        <f>IF($AH$2010&gt;0,IPMT('Assumptions (Biomass)'!$V$6,Model!AD$1,'Assumptions (Biomass)'!$V$9,'Assumptions (Biomass)'!$V$4*Model!$AH$2010*AVERAGE('Assumptions (Biomass)'!$AD$2:$AF$2)/10^9),0)</f>
        <v>0</v>
      </c>
      <c r="AP2150" s="105">
        <f>IF($AH$2010&gt;0,IPMT('Assumptions (Biomass)'!$V$6,Model!AE$1,'Assumptions (Biomass)'!$V$9,'Assumptions (Biomass)'!$V$4*Model!$AH$2010*AVERAGE('Assumptions (Biomass)'!$AD$2:$AF$2)/10^9),0)</f>
        <v>0</v>
      </c>
      <c r="AQ2150" s="105">
        <f>IF($AH$2010&gt;0,IPMT('Assumptions (Biomass)'!$V$6,Model!AF$1,'Assumptions (Biomass)'!$V$9,'Assumptions (Biomass)'!$V$4*Model!$AH$2010*AVERAGE('Assumptions (Biomass)'!$AD$2:$AF$2)/10^9),0)</f>
        <v>0</v>
      </c>
      <c r="AR2150" s="105">
        <f>IF($AH$2010&gt;0,IPMT('Assumptions (Biomass)'!$V$6,Model!AG$1,'Assumptions (Biomass)'!$V$9,'Assumptions (Biomass)'!$V$4*Model!$AH$2010*AVERAGE('Assumptions (Biomass)'!$AD$2:$AF$2)/10^9),0)</f>
        <v>0</v>
      </c>
      <c r="AS2150" s="105">
        <f>IF($AH$2010&gt;0,IPMT('Assumptions (Biomass)'!$V$6,Model!AH$1,'Assumptions (Biomass)'!$V$9,'Assumptions (Biomass)'!$V$4*Model!$AH$2010*AVERAGE('Assumptions (Biomass)'!$AD$2:$AF$2)/10^9),0)</f>
        <v>0</v>
      </c>
      <c r="AT2150" s="105">
        <f>IF($AH$2010&gt;0,IPMT('Assumptions (Biomass)'!$V$6,Model!AI$1,'Assumptions (Biomass)'!$V$9,'Assumptions (Biomass)'!$V$4*Model!$AH$2010*AVERAGE('Assumptions (Biomass)'!$AD$2:$AF$2)/10^9),0)</f>
        <v>0</v>
      </c>
      <c r="AU2150" s="105">
        <f>IF($AH$2010&gt;0,IPMT('Assumptions (Biomass)'!$V$6,Model!AJ$1,'Assumptions (Biomass)'!$V$9,'Assumptions (Biomass)'!$V$4*Model!$AH$2010*AVERAGE('Assumptions (Biomass)'!$AD$2:$AF$2)/10^9),0)</f>
        <v>0</v>
      </c>
      <c r="AV2150" s="105">
        <f>IF($AH$2010&gt;0,IPMT('Assumptions (Biomass)'!$V$6,Model!AK$1,'Assumptions (Biomass)'!$V$9,'Assumptions (Biomass)'!$V$4*Model!$AH$2010*AVERAGE('Assumptions (Biomass)'!$AD$2:$AF$2)/10^9),0)</f>
        <v>0</v>
      </c>
      <c r="AW2150" s="105"/>
      <c r="AX2150" s="105"/>
      <c r="AY2150" s="105"/>
      <c r="AZ2150" s="105"/>
      <c r="BA2150" s="105"/>
      <c r="BB2150" s="105"/>
      <c r="BC2150" s="105"/>
      <c r="BD2150" s="105"/>
      <c r="BE2150" s="105"/>
      <c r="BF2150" s="105"/>
    </row>
    <row r="2151" spans="1:68" ht="15.75" hidden="1" customHeight="1" outlineLevel="1">
      <c r="A2151" s="441"/>
      <c r="B2151" s="99"/>
      <c r="C2151" s="99"/>
      <c r="D2151" s="99"/>
      <c r="E2151" s="99"/>
      <c r="F2151" s="99"/>
      <c r="G2151" s="99"/>
      <c r="H2151" s="99"/>
      <c r="I2151" s="99"/>
      <c r="J2151" s="99"/>
      <c r="K2151" s="99"/>
      <c r="L2151" s="99"/>
      <c r="M2151" s="99"/>
      <c r="N2151" s="99"/>
      <c r="O2151" s="99"/>
      <c r="P2151" s="99"/>
      <c r="Q2151" s="99"/>
      <c r="R2151" s="99"/>
      <c r="S2151" s="99"/>
      <c r="T2151" s="99"/>
      <c r="U2151" s="99"/>
      <c r="V2151" s="99"/>
      <c r="W2151" s="105"/>
      <c r="X2151" s="105"/>
      <c r="Y2151" s="105"/>
      <c r="Z2151" s="105"/>
      <c r="AA2151" s="105"/>
      <c r="AB2151" s="105"/>
      <c r="AC2151" s="105"/>
      <c r="AD2151" s="105"/>
      <c r="AE2151" s="105"/>
      <c r="AF2151" s="105"/>
      <c r="AG2151" s="105"/>
      <c r="AH2151" s="105"/>
      <c r="AI2151" s="105">
        <f>IF($AI$2010&gt;0,IPMT('Assumptions (Biomass)'!$V$6,Model!W$1,'Assumptions (Biomass)'!$V$9,'Assumptions (Biomass)'!$V$4*Model!$AI$2010*AVERAGE('Assumptions (Biomass)'!$AE$2:$AG$2)/10^9),0)</f>
        <v>0</v>
      </c>
      <c r="AJ2151" s="105">
        <f>IF($AI$2010&gt;0,IPMT('Assumptions (Biomass)'!$V$6,Model!X$1,'Assumptions (Biomass)'!$V$9,'Assumptions (Biomass)'!$V$4*Model!$AI$2010*AVERAGE('Assumptions (Biomass)'!$AE$2:$AG$2)/10^9),0)</f>
        <v>0</v>
      </c>
      <c r="AK2151" s="105">
        <f>IF($AI$2010&gt;0,IPMT('Assumptions (Biomass)'!$V$6,Model!Y$1,'Assumptions (Biomass)'!$V$9,'Assumptions (Biomass)'!$V$4*Model!$AI$2010*AVERAGE('Assumptions (Biomass)'!$AE$2:$AG$2)/10^9),0)</f>
        <v>0</v>
      </c>
      <c r="AL2151" s="105">
        <f>IF($AI$2010&gt;0,IPMT('Assumptions (Biomass)'!$V$6,Model!Z$1,'Assumptions (Biomass)'!$V$9,'Assumptions (Biomass)'!$V$4*Model!$AI$2010*AVERAGE('Assumptions (Biomass)'!$AE$2:$AG$2)/10^9),0)</f>
        <v>0</v>
      </c>
      <c r="AM2151" s="105">
        <f>IF($AI$2010&gt;0,IPMT('Assumptions (Biomass)'!$V$6,Model!AA$1,'Assumptions (Biomass)'!$V$9,'Assumptions (Biomass)'!$V$4*Model!$AI$2010*AVERAGE('Assumptions (Biomass)'!$AE$2:$AG$2)/10^9),0)</f>
        <v>0</v>
      </c>
      <c r="AN2151" s="105">
        <f>IF($AI$2010&gt;0,IPMT('Assumptions (Biomass)'!$V$6,Model!AB$1,'Assumptions (Biomass)'!$V$9,'Assumptions (Biomass)'!$V$4*Model!$AI$2010*AVERAGE('Assumptions (Biomass)'!$AE$2:$AG$2)/10^9),0)</f>
        <v>0</v>
      </c>
      <c r="AO2151" s="105">
        <f>IF($AI$2010&gt;0,IPMT('Assumptions (Biomass)'!$V$6,Model!AC$1,'Assumptions (Biomass)'!$V$9,'Assumptions (Biomass)'!$V$4*Model!$AI$2010*AVERAGE('Assumptions (Biomass)'!$AE$2:$AG$2)/10^9),0)</f>
        <v>0</v>
      </c>
      <c r="AP2151" s="105">
        <f>IF($AI$2010&gt;0,IPMT('Assumptions (Biomass)'!$V$6,Model!AD$1,'Assumptions (Biomass)'!$V$9,'Assumptions (Biomass)'!$V$4*Model!$AI$2010*AVERAGE('Assumptions (Biomass)'!$AE$2:$AG$2)/10^9),0)</f>
        <v>0</v>
      </c>
      <c r="AQ2151" s="105">
        <f>IF($AI$2010&gt;0,IPMT('Assumptions (Biomass)'!$V$6,Model!AE$1,'Assumptions (Biomass)'!$V$9,'Assumptions (Biomass)'!$V$4*Model!$AI$2010*AVERAGE('Assumptions (Biomass)'!$AE$2:$AG$2)/10^9),0)</f>
        <v>0</v>
      </c>
      <c r="AR2151" s="105">
        <f>IF($AI$2010&gt;0,IPMT('Assumptions (Biomass)'!$V$6,Model!AF$1,'Assumptions (Biomass)'!$V$9,'Assumptions (Biomass)'!$V$4*Model!$AI$2010*AVERAGE('Assumptions (Biomass)'!$AE$2:$AG$2)/10^9),0)</f>
        <v>0</v>
      </c>
      <c r="AS2151" s="105">
        <f>IF($AI$2010&gt;0,IPMT('Assumptions (Biomass)'!$V$6,Model!AG$1,'Assumptions (Biomass)'!$V$9,'Assumptions (Biomass)'!$V$4*Model!$AI$2010*AVERAGE('Assumptions (Biomass)'!$AE$2:$AG$2)/10^9),0)</f>
        <v>0</v>
      </c>
      <c r="AT2151" s="105">
        <f>IF($AI$2010&gt;0,IPMT('Assumptions (Biomass)'!$V$6,Model!AH$1,'Assumptions (Biomass)'!$V$9,'Assumptions (Biomass)'!$V$4*Model!$AI$2010*AVERAGE('Assumptions (Biomass)'!$AE$2:$AG$2)/10^9),0)</f>
        <v>0</v>
      </c>
      <c r="AU2151" s="105">
        <f>IF($AI$2010&gt;0,IPMT('Assumptions (Biomass)'!$V$6,Model!AI$1,'Assumptions (Biomass)'!$V$9,'Assumptions (Biomass)'!$V$4*Model!$AI$2010*AVERAGE('Assumptions (Biomass)'!$AE$2:$AG$2)/10^9),0)</f>
        <v>0</v>
      </c>
      <c r="AV2151" s="105">
        <f>IF($AI$2010&gt;0,IPMT('Assumptions (Biomass)'!$V$6,Model!AJ$1,'Assumptions (Biomass)'!$V$9,'Assumptions (Biomass)'!$V$4*Model!$AI$2010*AVERAGE('Assumptions (Biomass)'!$AE$2:$AG$2)/10^9),0)</f>
        <v>0</v>
      </c>
      <c r="AW2151" s="105">
        <f>IF($AI$2010&gt;0,IPMT('Assumptions (Biomass)'!$V$6,Model!AK$1,'Assumptions (Biomass)'!$V$9,'Assumptions (Biomass)'!$V$4*Model!$AI$2010*AVERAGE('Assumptions (Biomass)'!$AE$2:$AG$2)/10^9),0)</f>
        <v>0</v>
      </c>
      <c r="AX2151" s="105"/>
      <c r="AY2151" s="105"/>
      <c r="AZ2151" s="105"/>
      <c r="BA2151" s="105"/>
      <c r="BB2151" s="105"/>
      <c r="BC2151" s="105"/>
      <c r="BD2151" s="105"/>
      <c r="BE2151" s="105"/>
      <c r="BF2151" s="105"/>
      <c r="BG2151" s="105"/>
    </row>
    <row r="2152" spans="1:68" ht="15.75" hidden="1" customHeight="1" outlineLevel="1">
      <c r="A2152" s="441"/>
      <c r="B2152" s="99"/>
      <c r="C2152" s="99"/>
      <c r="D2152" s="99"/>
      <c r="E2152" s="99"/>
      <c r="F2152" s="99"/>
      <c r="G2152" s="99"/>
      <c r="H2152" s="99"/>
      <c r="I2152" s="99"/>
      <c r="J2152" s="99"/>
      <c r="K2152" s="99"/>
      <c r="L2152" s="99"/>
      <c r="M2152" s="99"/>
      <c r="N2152" s="99"/>
      <c r="O2152" s="99"/>
      <c r="P2152" s="99"/>
      <c r="Q2152" s="99"/>
      <c r="R2152" s="99"/>
      <c r="S2152" s="99"/>
      <c r="T2152" s="99"/>
      <c r="U2152" s="99"/>
      <c r="V2152" s="99"/>
      <c r="W2152" s="105"/>
      <c r="X2152" s="105"/>
      <c r="Y2152" s="105"/>
      <c r="Z2152" s="105"/>
      <c r="AA2152" s="105"/>
      <c r="AB2152" s="105"/>
      <c r="AC2152" s="105"/>
      <c r="AD2152" s="105"/>
      <c r="AE2152" s="105"/>
      <c r="AF2152" s="105"/>
      <c r="AG2152" s="105"/>
      <c r="AH2152" s="105"/>
      <c r="AI2152" s="105"/>
      <c r="AJ2152" s="91">
        <f>IF($AJ$2010&gt;0,IPMT('Assumptions (Biomass)'!$V$6,Model!W$1,'Assumptions (Biomass)'!$V$9,'Assumptions (Biomass)'!$V$4*Model!$AJ$2010*AVERAGE('Assumptions (Biomass)'!$AF$2:$AH$2)/10^9),0)</f>
        <v>0</v>
      </c>
      <c r="AK2152" s="91">
        <f>IF($AJ$2010&gt;0,IPMT('Assumptions (Biomass)'!$V$6,Model!X$1,'Assumptions (Biomass)'!$V$9,'Assumptions (Biomass)'!$V$4*Model!$AJ$2010*AVERAGE('Assumptions (Biomass)'!$AF$2:$AH$2)/10^9),0)</f>
        <v>0</v>
      </c>
      <c r="AL2152" s="91">
        <f>IF($AJ$2010&gt;0,IPMT('Assumptions (Biomass)'!$V$6,Model!Y$1,'Assumptions (Biomass)'!$V$9,'Assumptions (Biomass)'!$V$4*Model!$AJ$2010*AVERAGE('Assumptions (Biomass)'!$AF$2:$AH$2)/10^9),0)</f>
        <v>0</v>
      </c>
      <c r="AM2152" s="91">
        <f>IF($AJ$2010&gt;0,IPMT('Assumptions (Biomass)'!$V$6,Model!Z$1,'Assumptions (Biomass)'!$V$9,'Assumptions (Biomass)'!$V$4*Model!$AJ$2010*AVERAGE('Assumptions (Biomass)'!$AF$2:$AH$2)/10^9),0)</f>
        <v>0</v>
      </c>
      <c r="AN2152" s="91">
        <f>IF($AJ$2010&gt;0,IPMT('Assumptions (Biomass)'!$V$6,Model!AA$1,'Assumptions (Biomass)'!$V$9,'Assumptions (Biomass)'!$V$4*Model!$AJ$2010*AVERAGE('Assumptions (Biomass)'!$AF$2:$AH$2)/10^9),0)</f>
        <v>0</v>
      </c>
      <c r="AO2152" s="91">
        <f>IF($AJ$2010&gt;0,IPMT('Assumptions (Biomass)'!$V$6,Model!AB$1,'Assumptions (Biomass)'!$V$9,'Assumptions (Biomass)'!$V$4*Model!$AJ$2010*AVERAGE('Assumptions (Biomass)'!$AF$2:$AH$2)/10^9),0)</f>
        <v>0</v>
      </c>
      <c r="AP2152" s="91">
        <f>IF($AJ$2010&gt;0,IPMT('Assumptions (Biomass)'!$V$6,Model!AC$1,'Assumptions (Biomass)'!$V$9,'Assumptions (Biomass)'!$V$4*Model!$AJ$2010*AVERAGE('Assumptions (Biomass)'!$AF$2:$AH$2)/10^9),0)</f>
        <v>0</v>
      </c>
      <c r="AQ2152" s="91">
        <f>IF($AJ$2010&gt;0,IPMT('Assumptions (Biomass)'!$V$6,Model!AD$1,'Assumptions (Biomass)'!$V$9,'Assumptions (Biomass)'!$V$4*Model!$AJ$2010*AVERAGE('Assumptions (Biomass)'!$AF$2:$AH$2)/10^9),0)</f>
        <v>0</v>
      </c>
      <c r="AR2152" s="91">
        <f>IF($AJ$2010&gt;0,IPMT('Assumptions (Biomass)'!$V$6,Model!AE$1,'Assumptions (Biomass)'!$V$9,'Assumptions (Biomass)'!$V$4*Model!$AJ$2010*AVERAGE('Assumptions (Biomass)'!$AF$2:$AH$2)/10^9),0)</f>
        <v>0</v>
      </c>
      <c r="AS2152" s="91">
        <f>IF($AJ$2010&gt;0,IPMT('Assumptions (Biomass)'!$V$6,Model!AF$1,'Assumptions (Biomass)'!$V$9,'Assumptions (Biomass)'!$V$4*Model!$AJ$2010*AVERAGE('Assumptions (Biomass)'!$AF$2:$AH$2)/10^9),0)</f>
        <v>0</v>
      </c>
      <c r="AT2152" s="91">
        <f>IF($AJ$2010&gt;0,IPMT('Assumptions (Biomass)'!$V$6,Model!AG$1,'Assumptions (Biomass)'!$V$9,'Assumptions (Biomass)'!$V$4*Model!$AJ$2010*AVERAGE('Assumptions (Biomass)'!$AF$2:$AH$2)/10^9),0)</f>
        <v>0</v>
      </c>
      <c r="AU2152" s="91">
        <f>IF($AJ$2010&gt;0,IPMT('Assumptions (Biomass)'!$V$6,Model!AH$1,'Assumptions (Biomass)'!$V$9,'Assumptions (Biomass)'!$V$4*Model!$AJ$2010*AVERAGE('Assumptions (Biomass)'!$AF$2:$AH$2)/10^9),0)</f>
        <v>0</v>
      </c>
      <c r="AV2152" s="91">
        <f>IF($AJ$2010&gt;0,IPMT('Assumptions (Biomass)'!$V$6,Model!AI$1,'Assumptions (Biomass)'!$V$9,'Assumptions (Biomass)'!$V$4*Model!$AJ$2010*AVERAGE('Assumptions (Biomass)'!$AF$2:$AH$2)/10^9),0)</f>
        <v>0</v>
      </c>
      <c r="AW2152" s="91">
        <f>IF($AJ$2010&gt;0,IPMT('Assumptions (Biomass)'!$V$6,Model!AJ$1,'Assumptions (Biomass)'!$V$9,'Assumptions (Biomass)'!$V$4*Model!$AJ$2010*AVERAGE('Assumptions (Biomass)'!$AF$2:$AH$2)/10^9),0)</f>
        <v>0</v>
      </c>
      <c r="AX2152" s="91">
        <f>IF($AJ$2010&gt;0,IPMT('Assumptions (Biomass)'!$V$6,Model!AK$1,'Assumptions (Biomass)'!$V$9,'Assumptions (Biomass)'!$V$4*Model!$AJ$2010*AVERAGE('Assumptions (Biomass)'!$AF$2:$AH$2)/10^9),0)</f>
        <v>0</v>
      </c>
      <c r="AY2152" s="91"/>
      <c r="AZ2152" s="91"/>
      <c r="BA2152" s="91"/>
      <c r="BB2152" s="91"/>
      <c r="BC2152" s="91"/>
      <c r="BD2152" s="91"/>
      <c r="BE2152" s="91"/>
      <c r="BF2152" s="91"/>
      <c r="BG2152" s="91"/>
      <c r="BH2152" s="91"/>
    </row>
    <row r="2153" spans="1:68" ht="15.75" hidden="1" customHeight="1" outlineLevel="1">
      <c r="A2153" s="441"/>
      <c r="B2153" s="99"/>
      <c r="C2153" s="99"/>
      <c r="D2153" s="99"/>
      <c r="E2153" s="99"/>
      <c r="F2153" s="99"/>
      <c r="G2153" s="99"/>
      <c r="H2153" s="99"/>
      <c r="I2153" s="99"/>
      <c r="J2153" s="99"/>
      <c r="K2153" s="99"/>
      <c r="L2153" s="99"/>
      <c r="M2153" s="99"/>
      <c r="N2153" s="99"/>
      <c r="O2153" s="99"/>
      <c r="P2153" s="99"/>
      <c r="Q2153" s="99"/>
      <c r="R2153" s="99"/>
      <c r="S2153" s="99"/>
      <c r="T2153" s="99"/>
      <c r="U2153" s="99"/>
      <c r="V2153" s="99"/>
      <c r="W2153" s="105"/>
      <c r="X2153" s="105"/>
      <c r="Y2153" s="105"/>
      <c r="Z2153" s="105"/>
      <c r="AA2153" s="105"/>
      <c r="AB2153" s="105"/>
      <c r="AC2153" s="105"/>
      <c r="AD2153" s="105"/>
      <c r="AE2153" s="105"/>
      <c r="AF2153" s="105"/>
      <c r="AG2153" s="105"/>
      <c r="AH2153" s="105"/>
      <c r="AI2153" s="105"/>
      <c r="AJ2153" s="171"/>
      <c r="AK2153" s="105">
        <f>IF($AK$2010&gt;0,IPMT('Assumptions (Biomass)'!$V$6,Model!W$1,'Assumptions (Biomass)'!$V$9,'Assumptions (Biomass)'!$V$4*Model!$AK$2010*AVERAGE('Assumptions (Biomass)'!$AG$2:$AI$2)/10^9),0)</f>
        <v>0</v>
      </c>
      <c r="AL2153" s="105">
        <f>IF($AK$2010&gt;0,IPMT('Assumptions (Biomass)'!$V$6,Model!X$1,'Assumptions (Biomass)'!$V$9,'Assumptions (Biomass)'!$V$4*Model!$AK$2010*AVERAGE('Assumptions (Biomass)'!$AG$2:$AI$2)/10^9),0)</f>
        <v>0</v>
      </c>
      <c r="AM2153" s="105">
        <f>IF($AK$2010&gt;0,IPMT('Assumptions (Biomass)'!$V$6,Model!Y$1,'Assumptions (Biomass)'!$V$9,'Assumptions (Biomass)'!$V$4*Model!$AK$2010*AVERAGE('Assumptions (Biomass)'!$AG$2:$AI$2)/10^9),0)</f>
        <v>0</v>
      </c>
      <c r="AN2153" s="105">
        <f>IF($AK$2010&gt;0,IPMT('Assumptions (Biomass)'!$V$6,Model!Z$1,'Assumptions (Biomass)'!$V$9,'Assumptions (Biomass)'!$V$4*Model!$AK$2010*AVERAGE('Assumptions (Biomass)'!$AG$2:$AI$2)/10^9),0)</f>
        <v>0</v>
      </c>
      <c r="AO2153" s="105">
        <f>IF($AK$2010&gt;0,IPMT('Assumptions (Biomass)'!$V$6,Model!AA$1,'Assumptions (Biomass)'!$V$9,'Assumptions (Biomass)'!$V$4*Model!$AK$2010*AVERAGE('Assumptions (Biomass)'!$AG$2:$AI$2)/10^9),0)</f>
        <v>0</v>
      </c>
      <c r="AP2153" s="105">
        <f>IF($AK$2010&gt;0,IPMT('Assumptions (Biomass)'!$V$6,Model!AB$1,'Assumptions (Biomass)'!$V$9,'Assumptions (Biomass)'!$V$4*Model!$AK$2010*AVERAGE('Assumptions (Biomass)'!$AG$2:$AI$2)/10^9),0)</f>
        <v>0</v>
      </c>
      <c r="AQ2153" s="105">
        <f>IF($AK$2010&gt;0,IPMT('Assumptions (Biomass)'!$V$6,Model!AC$1,'Assumptions (Biomass)'!$V$9,'Assumptions (Biomass)'!$V$4*Model!$AK$2010*AVERAGE('Assumptions (Biomass)'!$AG$2:$AI$2)/10^9),0)</f>
        <v>0</v>
      </c>
      <c r="AR2153" s="105">
        <f>IF($AK$2010&gt;0,IPMT('Assumptions (Biomass)'!$V$6,Model!AD$1,'Assumptions (Biomass)'!$V$9,'Assumptions (Biomass)'!$V$4*Model!$AK$2010*AVERAGE('Assumptions (Biomass)'!$AG$2:$AI$2)/10^9),0)</f>
        <v>0</v>
      </c>
      <c r="AS2153" s="105">
        <f>IF($AK$2010&gt;0,IPMT('Assumptions (Biomass)'!$V$6,Model!AE$1,'Assumptions (Biomass)'!$V$9,'Assumptions (Biomass)'!$V$4*Model!$AK$2010*AVERAGE('Assumptions (Biomass)'!$AG$2:$AI$2)/10^9),0)</f>
        <v>0</v>
      </c>
      <c r="AT2153" s="105">
        <f>IF($AK$2010&gt;0,IPMT('Assumptions (Biomass)'!$V$6,Model!AF$1,'Assumptions (Biomass)'!$V$9,'Assumptions (Biomass)'!$V$4*Model!$AK$2010*AVERAGE('Assumptions (Biomass)'!$AG$2:$AI$2)/10^9),0)</f>
        <v>0</v>
      </c>
      <c r="AU2153" s="105">
        <f>IF($AK$2010&gt;0,IPMT('Assumptions (Biomass)'!$V$6,Model!AG$1,'Assumptions (Biomass)'!$V$9,'Assumptions (Biomass)'!$V$4*Model!$AK$2010*AVERAGE('Assumptions (Biomass)'!$AG$2:$AI$2)/10^9),0)</f>
        <v>0</v>
      </c>
      <c r="AV2153" s="105">
        <f>IF($AK$2010&gt;0,IPMT('Assumptions (Biomass)'!$V$6,Model!AH$1,'Assumptions (Biomass)'!$V$9,'Assumptions (Biomass)'!$V$4*Model!$AK$2010*AVERAGE('Assumptions (Biomass)'!$AG$2:$AI$2)/10^9),0)</f>
        <v>0</v>
      </c>
      <c r="AW2153" s="105">
        <f>IF($AK$2010&gt;0,IPMT('Assumptions (Biomass)'!$V$6,Model!AI$1,'Assumptions (Biomass)'!$V$9,'Assumptions (Biomass)'!$V$4*Model!$AK$2010*AVERAGE('Assumptions (Biomass)'!$AG$2:$AI$2)/10^9),0)</f>
        <v>0</v>
      </c>
      <c r="AX2153" s="105">
        <f>IF($AK$2010&gt;0,IPMT('Assumptions (Biomass)'!$V$6,Model!AJ$1,'Assumptions (Biomass)'!$V$9,'Assumptions (Biomass)'!$V$4*Model!$AK$2010*AVERAGE('Assumptions (Biomass)'!$AG$2:$AI$2)/10^9),0)</f>
        <v>0</v>
      </c>
      <c r="AY2153" s="105">
        <f>IF($AK$2010&gt;0,IPMT('Assumptions (Biomass)'!$V$6,Model!AK$1,'Assumptions (Biomass)'!$V$9,'Assumptions (Biomass)'!$V$4*Model!$AK$2010*AVERAGE('Assumptions (Biomass)'!$AG$2:$AI$2)/10^9),0)</f>
        <v>0</v>
      </c>
      <c r="AZ2153" s="105"/>
      <c r="BA2153" s="105"/>
      <c r="BB2153" s="105"/>
      <c r="BC2153" s="105"/>
      <c r="BD2153" s="105"/>
      <c r="BE2153" s="105"/>
      <c r="BF2153" s="105"/>
      <c r="BG2153" s="105"/>
      <c r="BH2153" s="105"/>
      <c r="BI2153" s="105"/>
    </row>
    <row r="2154" spans="1:68" ht="15.75" hidden="1" customHeight="1" outlineLevel="1">
      <c r="A2154" s="441"/>
      <c r="B2154" s="99"/>
      <c r="C2154" s="99"/>
      <c r="D2154" s="99"/>
      <c r="E2154" s="99"/>
      <c r="F2154" s="99"/>
      <c r="G2154" s="99"/>
      <c r="H2154" s="99"/>
      <c r="I2154" s="99"/>
      <c r="J2154" s="99"/>
      <c r="K2154" s="99"/>
      <c r="L2154" s="99"/>
      <c r="M2154" s="99"/>
      <c r="N2154" s="99"/>
      <c r="O2154" s="99"/>
      <c r="P2154" s="99"/>
      <c r="Q2154" s="99"/>
      <c r="R2154" s="99"/>
      <c r="S2154" s="99"/>
      <c r="T2154" s="99"/>
      <c r="U2154" s="99"/>
      <c r="V2154" s="99"/>
      <c r="W2154" s="105"/>
      <c r="X2154" s="105"/>
      <c r="Y2154" s="105"/>
      <c r="Z2154" s="105"/>
      <c r="AA2154" s="105"/>
      <c r="AB2154" s="105"/>
      <c r="AC2154" s="105"/>
      <c r="AD2154" s="105"/>
      <c r="AE2154" s="105"/>
      <c r="AF2154" s="105"/>
      <c r="AG2154" s="105"/>
      <c r="AH2154" s="105"/>
      <c r="AI2154" s="105"/>
      <c r="AJ2154" s="171"/>
      <c r="AK2154" s="105"/>
      <c r="AL2154" s="91">
        <f>IF($AL$2010&gt;0,IPMT('Assumptions (Biomass)'!$V$6,Model!W$1,'Assumptions (Biomass)'!$V$9,'Assumptions (Biomass)'!$V$4*Model!$AL$2010*AVERAGE('Assumptions (Biomass)'!$AH$2:$AJ$2)/10^9),0)</f>
        <v>0</v>
      </c>
      <c r="AM2154" s="91">
        <f>IF($AL$2010&gt;0,IPMT('Assumptions (Biomass)'!$V$6,Model!X$1,'Assumptions (Biomass)'!$V$9,'Assumptions (Biomass)'!$V$4*Model!$AL$2010*AVERAGE('Assumptions (Biomass)'!$AH$2:$AJ$2)/10^9),0)</f>
        <v>0</v>
      </c>
      <c r="AN2154" s="91">
        <f>IF($AL$2010&gt;0,IPMT('Assumptions (Biomass)'!$V$6,Model!Y$1,'Assumptions (Biomass)'!$V$9,'Assumptions (Biomass)'!$V$4*Model!$AL$2010*AVERAGE('Assumptions (Biomass)'!$AH$2:$AJ$2)/10^9),0)</f>
        <v>0</v>
      </c>
      <c r="AO2154" s="91">
        <f>IF($AL$2010&gt;0,IPMT('Assumptions (Biomass)'!$V$6,Model!Z$1,'Assumptions (Biomass)'!$V$9,'Assumptions (Biomass)'!$V$4*Model!$AL$2010*AVERAGE('Assumptions (Biomass)'!$AH$2:$AJ$2)/10^9),0)</f>
        <v>0</v>
      </c>
      <c r="AP2154" s="91">
        <f>IF($AL$2010&gt;0,IPMT('Assumptions (Biomass)'!$V$6,Model!AA$1,'Assumptions (Biomass)'!$V$9,'Assumptions (Biomass)'!$V$4*Model!$AL$2010*AVERAGE('Assumptions (Biomass)'!$AH$2:$AJ$2)/10^9),0)</f>
        <v>0</v>
      </c>
      <c r="AQ2154" s="91">
        <f>IF($AL$2010&gt;0,IPMT('Assumptions (Biomass)'!$V$6,Model!AB$1,'Assumptions (Biomass)'!$V$9,'Assumptions (Biomass)'!$V$4*Model!$AL$2010*AVERAGE('Assumptions (Biomass)'!$AH$2:$AJ$2)/10^9),0)</f>
        <v>0</v>
      </c>
      <c r="AR2154" s="91">
        <f>IF($AL$2010&gt;0,IPMT('Assumptions (Biomass)'!$V$6,Model!AC$1,'Assumptions (Biomass)'!$V$9,'Assumptions (Biomass)'!$V$4*Model!$AL$2010*AVERAGE('Assumptions (Biomass)'!$AH$2:$AJ$2)/10^9),0)</f>
        <v>0</v>
      </c>
      <c r="AS2154" s="91">
        <f>IF($AL$2010&gt;0,IPMT('Assumptions (Biomass)'!$V$6,Model!AD$1,'Assumptions (Biomass)'!$V$9,'Assumptions (Biomass)'!$V$4*Model!$AL$2010*AVERAGE('Assumptions (Biomass)'!$AH$2:$AJ$2)/10^9),0)</f>
        <v>0</v>
      </c>
      <c r="AT2154" s="91">
        <f>IF($AL$2010&gt;0,IPMT('Assumptions (Biomass)'!$V$6,Model!AE$1,'Assumptions (Biomass)'!$V$9,'Assumptions (Biomass)'!$V$4*Model!$AL$2010*AVERAGE('Assumptions (Biomass)'!$AH$2:$AJ$2)/10^9),0)</f>
        <v>0</v>
      </c>
      <c r="AU2154" s="91">
        <f>IF($AL$2010&gt;0,IPMT('Assumptions (Biomass)'!$V$6,Model!AF$1,'Assumptions (Biomass)'!$V$9,'Assumptions (Biomass)'!$V$4*Model!$AL$2010*AVERAGE('Assumptions (Biomass)'!$AH$2:$AJ$2)/10^9),0)</f>
        <v>0</v>
      </c>
      <c r="AV2154" s="91">
        <f>IF($AL$2010&gt;0,IPMT('Assumptions (Biomass)'!$V$6,Model!AG$1,'Assumptions (Biomass)'!$V$9,'Assumptions (Biomass)'!$V$4*Model!$AL$2010*AVERAGE('Assumptions (Biomass)'!$AH$2:$AJ$2)/10^9),0)</f>
        <v>0</v>
      </c>
      <c r="AW2154" s="91">
        <f>IF($AL$2010&gt;0,IPMT('Assumptions (Biomass)'!$V$6,Model!AH$1,'Assumptions (Biomass)'!$V$9,'Assumptions (Biomass)'!$V$4*Model!$AL$2010*AVERAGE('Assumptions (Biomass)'!$AH$2:$AJ$2)/10^9),0)</f>
        <v>0</v>
      </c>
      <c r="AX2154" s="91">
        <f>IF($AL$2010&gt;0,IPMT('Assumptions (Biomass)'!$V$6,Model!AI$1,'Assumptions (Biomass)'!$V$9,'Assumptions (Biomass)'!$V$4*Model!$AL$2010*AVERAGE('Assumptions (Biomass)'!$AH$2:$AJ$2)/10^9),0)</f>
        <v>0</v>
      </c>
      <c r="AY2154" s="91">
        <f>IF($AL$2010&gt;0,IPMT('Assumptions (Biomass)'!$V$6,Model!AJ$1,'Assumptions (Biomass)'!$V$9,'Assumptions (Biomass)'!$V$4*Model!$AL$2010*AVERAGE('Assumptions (Biomass)'!$AH$2:$AJ$2)/10^9),0)</f>
        <v>0</v>
      </c>
      <c r="AZ2154" s="91">
        <f>IF($AL$2010&gt;0,IPMT('Assumptions (Biomass)'!$V$6,Model!AK$1,'Assumptions (Biomass)'!$V$9,'Assumptions (Biomass)'!$V$4*Model!$AL$2010*AVERAGE('Assumptions (Biomass)'!$AH$2:$AJ$2)/10^9),0)</f>
        <v>0</v>
      </c>
      <c r="BA2154" s="91"/>
      <c r="BB2154" s="91"/>
      <c r="BC2154" s="91"/>
      <c r="BD2154" s="91"/>
      <c r="BE2154" s="91"/>
      <c r="BF2154" s="91"/>
      <c r="BG2154" s="91"/>
      <c r="BH2154" s="91"/>
      <c r="BI2154" s="91"/>
      <c r="BJ2154" s="91"/>
    </row>
    <row r="2155" spans="1:68" ht="15.75" hidden="1" customHeight="1" outlineLevel="1">
      <c r="A2155" s="441"/>
      <c r="B2155" s="99"/>
      <c r="C2155" s="99"/>
      <c r="D2155" s="99"/>
      <c r="E2155" s="99"/>
      <c r="F2155" s="99"/>
      <c r="G2155" s="99"/>
      <c r="H2155" s="99"/>
      <c r="I2155" s="99"/>
      <c r="J2155" s="99"/>
      <c r="K2155" s="99"/>
      <c r="L2155" s="99"/>
      <c r="M2155" s="99"/>
      <c r="N2155" s="99"/>
      <c r="O2155" s="99"/>
      <c r="P2155" s="99"/>
      <c r="Q2155" s="99"/>
      <c r="R2155" s="99"/>
      <c r="S2155" s="99"/>
      <c r="T2155" s="99"/>
      <c r="U2155" s="99"/>
      <c r="V2155" s="99"/>
      <c r="W2155" s="105"/>
      <c r="X2155" s="105"/>
      <c r="Y2155" s="105"/>
      <c r="Z2155" s="105"/>
      <c r="AA2155" s="105"/>
      <c r="AB2155" s="105"/>
      <c r="AC2155" s="105"/>
      <c r="AD2155" s="105"/>
      <c r="AE2155" s="105"/>
      <c r="AF2155" s="105"/>
      <c r="AG2155" s="105"/>
      <c r="AH2155" s="105"/>
      <c r="AI2155" s="105"/>
      <c r="AJ2155" s="171"/>
      <c r="AK2155" s="105"/>
      <c r="AL2155" s="91"/>
      <c r="AM2155" s="105">
        <f>IF($AM$2010&gt;0,IPMT('Assumptions (Biomass)'!$V$6,Model!W$1,'Assumptions (Biomass)'!$V$9,'Assumptions (Biomass)'!$V$4*Model!$AM$2010*AVERAGE('Assumptions (Biomass)'!$AI$2:$AK$2)/10^9),0)</f>
        <v>0</v>
      </c>
      <c r="AN2155" s="105">
        <f>IF($AM$2010&gt;0,IPMT('Assumptions (Biomass)'!$V$6,Model!X$1,'Assumptions (Biomass)'!$V$9,'Assumptions (Biomass)'!$V$4*Model!$AM$2010*AVERAGE('Assumptions (Biomass)'!$AI$2:$AK$2)/10^9),0)</f>
        <v>0</v>
      </c>
      <c r="AO2155" s="105">
        <f>IF($AM$2010&gt;0,IPMT('Assumptions (Biomass)'!$V$6,Model!Y$1,'Assumptions (Biomass)'!$V$9,'Assumptions (Biomass)'!$V$4*Model!$AM$2010*AVERAGE('Assumptions (Biomass)'!$AI$2:$AK$2)/10^9),0)</f>
        <v>0</v>
      </c>
      <c r="AP2155" s="105">
        <f>IF($AM$2010&gt;0,IPMT('Assumptions (Biomass)'!$V$6,Model!Z$1,'Assumptions (Biomass)'!$V$9,'Assumptions (Biomass)'!$V$4*Model!$AM$2010*AVERAGE('Assumptions (Biomass)'!$AI$2:$AK$2)/10^9),0)</f>
        <v>0</v>
      </c>
      <c r="AQ2155" s="105">
        <f>IF($AM$2010&gt;0,IPMT('Assumptions (Biomass)'!$V$6,Model!AA$1,'Assumptions (Biomass)'!$V$9,'Assumptions (Biomass)'!$V$4*Model!$AM$2010*AVERAGE('Assumptions (Biomass)'!$AI$2:$AK$2)/10^9),0)</f>
        <v>0</v>
      </c>
      <c r="AR2155" s="105">
        <f>IF($AM$2010&gt;0,IPMT('Assumptions (Biomass)'!$V$6,Model!AB$1,'Assumptions (Biomass)'!$V$9,'Assumptions (Biomass)'!$V$4*Model!$AM$2010*AVERAGE('Assumptions (Biomass)'!$AI$2:$AK$2)/10^9),0)</f>
        <v>0</v>
      </c>
      <c r="AS2155" s="105">
        <f>IF($AM$2010&gt;0,IPMT('Assumptions (Biomass)'!$V$6,Model!AC$1,'Assumptions (Biomass)'!$V$9,'Assumptions (Biomass)'!$V$4*Model!$AM$2010*AVERAGE('Assumptions (Biomass)'!$AI$2:$AK$2)/10^9),0)</f>
        <v>0</v>
      </c>
      <c r="AT2155" s="105">
        <f>IF($AM$2010&gt;0,IPMT('Assumptions (Biomass)'!$V$6,Model!AD$1,'Assumptions (Biomass)'!$V$9,'Assumptions (Biomass)'!$V$4*Model!$AM$2010*AVERAGE('Assumptions (Biomass)'!$AI$2:$AK$2)/10^9),0)</f>
        <v>0</v>
      </c>
      <c r="AU2155" s="105">
        <f>IF($AM$2010&gt;0,IPMT('Assumptions (Biomass)'!$V$6,Model!AE$1,'Assumptions (Biomass)'!$V$9,'Assumptions (Biomass)'!$V$4*Model!$AM$2010*AVERAGE('Assumptions (Biomass)'!$AI$2:$AK$2)/10^9),0)</f>
        <v>0</v>
      </c>
      <c r="AV2155" s="105">
        <f>IF($AM$2010&gt;0,IPMT('Assumptions (Biomass)'!$V$6,Model!AF$1,'Assumptions (Biomass)'!$V$9,'Assumptions (Biomass)'!$V$4*Model!$AM$2010*AVERAGE('Assumptions (Biomass)'!$AI$2:$AK$2)/10^9),0)</f>
        <v>0</v>
      </c>
      <c r="AW2155" s="105">
        <f>IF($AM$2010&gt;0,IPMT('Assumptions (Biomass)'!$V$6,Model!AG$1,'Assumptions (Biomass)'!$V$9,'Assumptions (Biomass)'!$V$4*Model!$AM$2010*AVERAGE('Assumptions (Biomass)'!$AI$2:$AK$2)/10^9),0)</f>
        <v>0</v>
      </c>
      <c r="AX2155" s="105">
        <f>IF($AM$2010&gt;0,IPMT('Assumptions (Biomass)'!$V$6,Model!AH$1,'Assumptions (Biomass)'!$V$9,'Assumptions (Biomass)'!$V$4*Model!$AM$2010*AVERAGE('Assumptions (Biomass)'!$AI$2:$AK$2)/10^9),0)</f>
        <v>0</v>
      </c>
      <c r="AY2155" s="105">
        <f>IF($AM$2010&gt;0,IPMT('Assumptions (Biomass)'!$V$6,Model!AI$1,'Assumptions (Biomass)'!$V$9,'Assumptions (Biomass)'!$V$4*Model!$AM$2010*AVERAGE('Assumptions (Biomass)'!$AI$2:$AK$2)/10^9),0)</f>
        <v>0</v>
      </c>
      <c r="AZ2155" s="105">
        <f>IF($AM$2010&gt;0,IPMT('Assumptions (Biomass)'!$V$6,Model!AJ$1,'Assumptions (Biomass)'!$V$9,'Assumptions (Biomass)'!$V$4*Model!$AM$2010*AVERAGE('Assumptions (Biomass)'!$AI$2:$AK$2)/10^9),0)</f>
        <v>0</v>
      </c>
      <c r="BA2155" s="105">
        <f>IF($AM$2010&gt;0,IPMT('Assumptions (Biomass)'!$V$6,Model!AK$1,'Assumptions (Biomass)'!$V$9,'Assumptions (Biomass)'!$V$4*Model!$AM$2010*AVERAGE('Assumptions (Biomass)'!$AI$2:$AK$2)/10^9),0)</f>
        <v>0</v>
      </c>
      <c r="BB2155" s="105"/>
      <c r="BC2155" s="105"/>
      <c r="BD2155" s="105"/>
      <c r="BE2155" s="105"/>
      <c r="BF2155" s="105"/>
      <c r="BG2155" s="105"/>
      <c r="BH2155" s="105"/>
      <c r="BI2155" s="105"/>
      <c r="BJ2155" s="105"/>
      <c r="BK2155" s="105"/>
    </row>
    <row r="2156" spans="1:68" ht="15.75" hidden="1" customHeight="1" outlineLevel="1">
      <c r="A2156" s="441"/>
      <c r="B2156" s="99"/>
      <c r="C2156" s="99"/>
      <c r="D2156" s="99"/>
      <c r="E2156" s="99"/>
      <c r="F2156" s="99"/>
      <c r="G2156" s="99"/>
      <c r="H2156" s="99"/>
      <c r="I2156" s="99"/>
      <c r="J2156" s="99"/>
      <c r="K2156" s="99"/>
      <c r="L2156" s="99"/>
      <c r="M2156" s="99"/>
      <c r="N2156" s="99"/>
      <c r="O2156" s="99"/>
      <c r="P2156" s="99"/>
      <c r="Q2156" s="99"/>
      <c r="R2156" s="99"/>
      <c r="S2156" s="99"/>
      <c r="T2156" s="99"/>
      <c r="U2156" s="99"/>
      <c r="V2156" s="99"/>
      <c r="W2156" s="105"/>
      <c r="X2156" s="105"/>
      <c r="Y2156" s="105"/>
      <c r="Z2156" s="105"/>
      <c r="AA2156" s="105"/>
      <c r="AB2156" s="105"/>
      <c r="AC2156" s="105"/>
      <c r="AD2156" s="105"/>
      <c r="AE2156" s="105"/>
      <c r="AF2156" s="105"/>
      <c r="AG2156" s="105"/>
      <c r="AH2156" s="105"/>
      <c r="AI2156" s="105"/>
      <c r="AJ2156" s="171"/>
      <c r="AK2156" s="105"/>
      <c r="AL2156" s="91"/>
      <c r="AM2156" s="91"/>
      <c r="AN2156" s="105">
        <f>IF($AN$2010&gt;0,IPMT('Assumptions (Biomass)'!$V$6,Model!W$1,'Assumptions (Biomass)'!$V$9,'Assumptions (Biomass)'!$V$4*Model!$AN$2010*AVERAGE('Assumptions (Biomass)'!$AJ$2:$AL$2)/10^9),0)</f>
        <v>0</v>
      </c>
      <c r="AO2156" s="105">
        <f>IF($AN$2010&gt;0,IPMT('Assumptions (Biomass)'!$V$6,Model!X$1,'Assumptions (Biomass)'!$V$9,'Assumptions (Biomass)'!$V$4*Model!$AN$2010*AVERAGE('Assumptions (Biomass)'!$AJ$2:$AL$2)/10^9),0)</f>
        <v>0</v>
      </c>
      <c r="AP2156" s="105">
        <f>IF($AN$2010&gt;0,IPMT('Assumptions (Biomass)'!$V$6,Model!Y$1,'Assumptions (Biomass)'!$V$9,'Assumptions (Biomass)'!$V$4*Model!$AN$2010*AVERAGE('Assumptions (Biomass)'!$AJ$2:$AL$2)/10^9),0)</f>
        <v>0</v>
      </c>
      <c r="AQ2156" s="105">
        <f>IF($AN$2010&gt;0,IPMT('Assumptions (Biomass)'!$V$6,Model!Z$1,'Assumptions (Biomass)'!$V$9,'Assumptions (Biomass)'!$V$4*Model!$AN$2010*AVERAGE('Assumptions (Biomass)'!$AJ$2:$AL$2)/10^9),0)</f>
        <v>0</v>
      </c>
      <c r="AR2156" s="105">
        <f>IF($AN$2010&gt;0,IPMT('Assumptions (Biomass)'!$V$6,Model!AA$1,'Assumptions (Biomass)'!$V$9,'Assumptions (Biomass)'!$V$4*Model!$AN$2010*AVERAGE('Assumptions (Biomass)'!$AJ$2:$AL$2)/10^9),0)</f>
        <v>0</v>
      </c>
      <c r="AS2156" s="105">
        <f>IF($AN$2010&gt;0,IPMT('Assumptions (Biomass)'!$V$6,Model!AB$1,'Assumptions (Biomass)'!$V$9,'Assumptions (Biomass)'!$V$4*Model!$AN$2010*AVERAGE('Assumptions (Biomass)'!$AJ$2:$AL$2)/10^9),0)</f>
        <v>0</v>
      </c>
      <c r="AT2156" s="105">
        <f>IF($AN$2010&gt;0,IPMT('Assumptions (Biomass)'!$V$6,Model!AC$1,'Assumptions (Biomass)'!$V$9,'Assumptions (Biomass)'!$V$4*Model!$AN$2010*AVERAGE('Assumptions (Biomass)'!$AJ$2:$AL$2)/10^9),0)</f>
        <v>0</v>
      </c>
      <c r="AU2156" s="105">
        <f>IF($AN$2010&gt;0,IPMT('Assumptions (Biomass)'!$V$6,Model!AD$1,'Assumptions (Biomass)'!$V$9,'Assumptions (Biomass)'!$V$4*Model!$AN$2010*AVERAGE('Assumptions (Biomass)'!$AJ$2:$AL$2)/10^9),0)</f>
        <v>0</v>
      </c>
      <c r="AV2156" s="105">
        <f>IF($AN$2010&gt;0,IPMT('Assumptions (Biomass)'!$V$6,Model!AE$1,'Assumptions (Biomass)'!$V$9,'Assumptions (Biomass)'!$V$4*Model!$AN$2010*AVERAGE('Assumptions (Biomass)'!$AJ$2:$AL$2)/10^9),0)</f>
        <v>0</v>
      </c>
      <c r="AW2156" s="105">
        <f>IF($AN$2010&gt;0,IPMT('Assumptions (Biomass)'!$V$6,Model!AF$1,'Assumptions (Biomass)'!$V$9,'Assumptions (Biomass)'!$V$4*Model!$AN$2010*AVERAGE('Assumptions (Biomass)'!$AJ$2:$AL$2)/10^9),0)</f>
        <v>0</v>
      </c>
      <c r="AX2156" s="105">
        <f>IF($AN$2010&gt;0,IPMT('Assumptions (Biomass)'!$V$6,Model!AG$1,'Assumptions (Biomass)'!$V$9,'Assumptions (Biomass)'!$V$4*Model!$AN$2010*AVERAGE('Assumptions (Biomass)'!$AJ$2:$AL$2)/10^9),0)</f>
        <v>0</v>
      </c>
      <c r="AY2156" s="105">
        <f>IF($AN$2010&gt;0,IPMT('Assumptions (Biomass)'!$V$6,Model!AH$1,'Assumptions (Biomass)'!$V$9,'Assumptions (Biomass)'!$V$4*Model!$AN$2010*AVERAGE('Assumptions (Biomass)'!$AJ$2:$AL$2)/10^9),0)</f>
        <v>0</v>
      </c>
      <c r="AZ2156" s="105">
        <f>IF($AN$2010&gt;0,IPMT('Assumptions (Biomass)'!$V$6,Model!AI$1,'Assumptions (Biomass)'!$V$9,'Assumptions (Biomass)'!$V$4*Model!$AN$2010*AVERAGE('Assumptions (Biomass)'!$AJ$2:$AL$2)/10^9),0)</f>
        <v>0</v>
      </c>
      <c r="BA2156" s="105">
        <f>IF($AN$2010&gt;0,IPMT('Assumptions (Biomass)'!$V$6,Model!AJ$1,'Assumptions (Biomass)'!$V$9,'Assumptions (Biomass)'!$V$4*Model!$AN$2010*AVERAGE('Assumptions (Biomass)'!$AJ$2:$AL$2)/10^9),0)</f>
        <v>0</v>
      </c>
      <c r="BB2156" s="105">
        <f>IF($AN$2010&gt;0,IPMT('Assumptions (Biomass)'!$V$6,Model!AK$1,'Assumptions (Biomass)'!$V$9,'Assumptions (Biomass)'!$V$4*Model!$AN$2010*AVERAGE('Assumptions (Biomass)'!$AJ$2:$AL$2)/10^9),0)</f>
        <v>0</v>
      </c>
      <c r="BC2156" s="105"/>
      <c r="BD2156" s="105"/>
      <c r="BE2156" s="105"/>
      <c r="BF2156" s="105"/>
      <c r="BG2156" s="105"/>
      <c r="BH2156" s="105"/>
      <c r="BI2156" s="105"/>
      <c r="BJ2156" s="105"/>
      <c r="BK2156" s="105"/>
      <c r="BL2156" s="105"/>
    </row>
    <row r="2157" spans="1:68" ht="15.75" hidden="1" customHeight="1" outlineLevel="1">
      <c r="A2157" s="441"/>
      <c r="B2157" s="99"/>
      <c r="C2157" s="99"/>
      <c r="D2157" s="99"/>
      <c r="E2157" s="99"/>
      <c r="F2157" s="99"/>
      <c r="G2157" s="99"/>
      <c r="H2157" s="99"/>
      <c r="I2157" s="99"/>
      <c r="J2157" s="99"/>
      <c r="K2157" s="99"/>
      <c r="L2157" s="99"/>
      <c r="M2157" s="99"/>
      <c r="N2157" s="99"/>
      <c r="O2157" s="99"/>
      <c r="P2157" s="99"/>
      <c r="Q2157" s="99"/>
      <c r="R2157" s="99"/>
      <c r="S2157" s="99"/>
      <c r="T2157" s="99"/>
      <c r="U2157" s="99"/>
      <c r="V2157" s="99"/>
      <c r="W2157" s="105"/>
      <c r="X2157" s="105"/>
      <c r="Y2157" s="105"/>
      <c r="Z2157" s="105"/>
      <c r="AA2157" s="105"/>
      <c r="AB2157" s="105"/>
      <c r="AC2157" s="105"/>
      <c r="AD2157" s="105"/>
      <c r="AE2157" s="105"/>
      <c r="AF2157" s="105"/>
      <c r="AG2157" s="105"/>
      <c r="AH2157" s="105"/>
      <c r="AI2157" s="105"/>
      <c r="AJ2157" s="171"/>
      <c r="AK2157" s="105"/>
      <c r="AL2157" s="91"/>
      <c r="AM2157" s="91"/>
      <c r="AN2157" s="91"/>
      <c r="AO2157" s="105">
        <f>IF($AO$2010&gt;0,IPMT('Assumptions (Biomass)'!$V$6,Model!W$1,'Assumptions (Biomass)'!$V$9,'Assumptions (Biomass)'!$V$4*Model!$AO$2010*AVERAGE('Assumptions (Biomass)'!$AK$2:$AM$2)/10^9),0)</f>
        <v>0</v>
      </c>
      <c r="AP2157" s="105">
        <f>IF($AO$2010&gt;0,IPMT('Assumptions (Biomass)'!$V$6,Model!X$1,'Assumptions (Biomass)'!$V$9,'Assumptions (Biomass)'!$V$4*Model!$AO$2010*AVERAGE('Assumptions (Biomass)'!$AK$2:$AM$2)/10^9),0)</f>
        <v>0</v>
      </c>
      <c r="AQ2157" s="105">
        <f>IF($AO$2010&gt;0,IPMT('Assumptions (Biomass)'!$V$6,Model!Y$1,'Assumptions (Biomass)'!$V$9,'Assumptions (Biomass)'!$V$4*Model!$AO$2010*AVERAGE('Assumptions (Biomass)'!$AK$2:$AM$2)/10^9),0)</f>
        <v>0</v>
      </c>
      <c r="AR2157" s="105">
        <f>IF($AO$2010&gt;0,IPMT('Assumptions (Biomass)'!$V$6,Model!Z$1,'Assumptions (Biomass)'!$V$9,'Assumptions (Biomass)'!$V$4*Model!$AO$2010*AVERAGE('Assumptions (Biomass)'!$AK$2:$AM$2)/10^9),0)</f>
        <v>0</v>
      </c>
      <c r="AS2157" s="105">
        <f>IF($AO$2010&gt;0,IPMT('Assumptions (Biomass)'!$V$6,Model!AA$1,'Assumptions (Biomass)'!$V$9,'Assumptions (Biomass)'!$V$4*Model!$AO$2010*AVERAGE('Assumptions (Biomass)'!$AK$2:$AM$2)/10^9),0)</f>
        <v>0</v>
      </c>
      <c r="AT2157" s="105">
        <f>IF($AO$2010&gt;0,IPMT('Assumptions (Biomass)'!$V$6,Model!AB$1,'Assumptions (Biomass)'!$V$9,'Assumptions (Biomass)'!$V$4*Model!$AO$2010*AVERAGE('Assumptions (Biomass)'!$AK$2:$AM$2)/10^9),0)</f>
        <v>0</v>
      </c>
      <c r="AU2157" s="105">
        <f>IF($AO$2010&gt;0,IPMT('Assumptions (Biomass)'!$V$6,Model!AC$1,'Assumptions (Biomass)'!$V$9,'Assumptions (Biomass)'!$V$4*Model!$AO$2010*AVERAGE('Assumptions (Biomass)'!$AK$2:$AM$2)/10^9),0)</f>
        <v>0</v>
      </c>
      <c r="AV2157" s="105">
        <f>IF($AO$2010&gt;0,IPMT('Assumptions (Biomass)'!$V$6,Model!AD$1,'Assumptions (Biomass)'!$V$9,'Assumptions (Biomass)'!$V$4*Model!$AO$2010*AVERAGE('Assumptions (Biomass)'!$AK$2:$AM$2)/10^9),0)</f>
        <v>0</v>
      </c>
      <c r="AW2157" s="105">
        <f>IF($AO$2010&gt;0,IPMT('Assumptions (Biomass)'!$V$6,Model!AE$1,'Assumptions (Biomass)'!$V$9,'Assumptions (Biomass)'!$V$4*Model!$AO$2010*AVERAGE('Assumptions (Biomass)'!$AK$2:$AM$2)/10^9),0)</f>
        <v>0</v>
      </c>
      <c r="AX2157" s="105">
        <f>IF($AO$2010&gt;0,IPMT('Assumptions (Biomass)'!$V$6,Model!AF$1,'Assumptions (Biomass)'!$V$9,'Assumptions (Biomass)'!$V$4*Model!$AO$2010*AVERAGE('Assumptions (Biomass)'!$AK$2:$AM$2)/10^9),0)</f>
        <v>0</v>
      </c>
      <c r="AY2157" s="105">
        <f>IF($AO$2010&gt;0,IPMT('Assumptions (Biomass)'!$V$6,Model!AG$1,'Assumptions (Biomass)'!$V$9,'Assumptions (Biomass)'!$V$4*Model!$AO$2010*AVERAGE('Assumptions (Biomass)'!$AK$2:$AM$2)/10^9),0)</f>
        <v>0</v>
      </c>
      <c r="AZ2157" s="105">
        <f>IF($AO$2010&gt;0,IPMT('Assumptions (Biomass)'!$V$6,Model!AH$1,'Assumptions (Biomass)'!$V$9,'Assumptions (Biomass)'!$V$4*Model!$AO$2010*AVERAGE('Assumptions (Biomass)'!$AK$2:$AM$2)/10^9),0)</f>
        <v>0</v>
      </c>
      <c r="BA2157" s="105">
        <f>IF($AO$2010&gt;0,IPMT('Assumptions (Biomass)'!$V$6,Model!AI$1,'Assumptions (Biomass)'!$V$9,'Assumptions (Biomass)'!$V$4*Model!$AO$2010*AVERAGE('Assumptions (Biomass)'!$AK$2:$AM$2)/10^9),0)</f>
        <v>0</v>
      </c>
      <c r="BB2157" s="105">
        <f>IF($AO$2010&gt;0,IPMT('Assumptions (Biomass)'!$V$6,Model!AJ$1,'Assumptions (Biomass)'!$V$9,'Assumptions (Biomass)'!$V$4*Model!$AO$2010*AVERAGE('Assumptions (Biomass)'!$AK$2:$AM$2)/10^9),0)</f>
        <v>0</v>
      </c>
      <c r="BC2157" s="105">
        <f>IF($AO$2010&gt;0,IPMT('Assumptions (Biomass)'!$V$6,Model!AK$1,'Assumptions (Biomass)'!$V$9,'Assumptions (Biomass)'!$V$4*Model!$AO$2010*AVERAGE('Assumptions (Biomass)'!$AK$2:$AM$2)/10^9),0)</f>
        <v>0</v>
      </c>
      <c r="BD2157" s="105"/>
      <c r="BE2157" s="105"/>
      <c r="BF2157" s="105"/>
      <c r="BG2157" s="105"/>
      <c r="BH2157" s="105"/>
      <c r="BI2157" s="105"/>
      <c r="BJ2157" s="105"/>
      <c r="BK2157" s="105"/>
      <c r="BL2157" s="105"/>
      <c r="BM2157" s="105"/>
    </row>
    <row r="2158" spans="1:68" ht="15.75" hidden="1" customHeight="1" outlineLevel="1">
      <c r="A2158" s="441"/>
      <c r="B2158" s="99"/>
      <c r="C2158" s="99"/>
      <c r="D2158" s="99"/>
      <c r="E2158" s="99"/>
      <c r="F2158" s="99"/>
      <c r="G2158" s="99"/>
      <c r="H2158" s="99"/>
      <c r="I2158" s="99"/>
      <c r="J2158" s="99"/>
      <c r="K2158" s="99"/>
      <c r="L2158" s="99"/>
      <c r="M2158" s="99"/>
      <c r="N2158" s="99"/>
      <c r="O2158" s="99"/>
      <c r="P2158" s="99"/>
      <c r="Q2158" s="99"/>
      <c r="R2158" s="99"/>
      <c r="S2158" s="99"/>
      <c r="T2158" s="99"/>
      <c r="U2158" s="99"/>
      <c r="V2158" s="99"/>
      <c r="W2158" s="105"/>
      <c r="X2158" s="105"/>
      <c r="Y2158" s="105"/>
      <c r="Z2158" s="105"/>
      <c r="AA2158" s="105"/>
      <c r="AB2158" s="105"/>
      <c r="AC2158" s="105"/>
      <c r="AD2158" s="105"/>
      <c r="AE2158" s="105"/>
      <c r="AF2158" s="105"/>
      <c r="AG2158" s="105"/>
      <c r="AH2158" s="105"/>
      <c r="AI2158" s="105"/>
      <c r="AJ2158" s="171"/>
      <c r="AK2158" s="105"/>
      <c r="AL2158" s="91"/>
      <c r="AM2158" s="91"/>
      <c r="AN2158" s="91"/>
      <c r="AO2158" s="105"/>
      <c r="AP2158" s="105">
        <f>IF($AP$2010&gt;0,IPMT('Assumptions (Biomass)'!$V$6,Model!W$1,'Assumptions (Biomass)'!$V$9,'Assumptions (Biomass)'!$V$4*Model!$AP$2010*AVERAGE('Assumptions (Biomass)'!$AL$2:$AN$2)/10^9),0)</f>
        <v>0</v>
      </c>
      <c r="AQ2158" s="105">
        <f>IF($AP$2010&gt;0,IPMT('Assumptions (Biomass)'!$V$6,Model!X$1,'Assumptions (Biomass)'!$V$9,'Assumptions (Biomass)'!$V$4*Model!$AP$2010*AVERAGE('Assumptions (Biomass)'!$AL$2:$AN$2)/10^9),0)</f>
        <v>0</v>
      </c>
      <c r="AR2158" s="105">
        <f>IF($AP$2010&gt;0,IPMT('Assumptions (Biomass)'!$V$6,Model!Y$1,'Assumptions (Biomass)'!$V$9,'Assumptions (Biomass)'!$V$4*Model!$AP$2010*AVERAGE('Assumptions (Biomass)'!$AL$2:$AN$2)/10^9),0)</f>
        <v>0</v>
      </c>
      <c r="AS2158" s="105">
        <f>IF($AP$2010&gt;0,IPMT('Assumptions (Biomass)'!$V$6,Model!Z$1,'Assumptions (Biomass)'!$V$9,'Assumptions (Biomass)'!$V$4*Model!$AP$2010*AVERAGE('Assumptions (Biomass)'!$AL$2:$AN$2)/10^9),0)</f>
        <v>0</v>
      </c>
      <c r="AT2158" s="105">
        <f>IF($AP$2010&gt;0,IPMT('Assumptions (Biomass)'!$V$6,Model!AA$1,'Assumptions (Biomass)'!$V$9,'Assumptions (Biomass)'!$V$4*Model!$AP$2010*AVERAGE('Assumptions (Biomass)'!$AL$2:$AN$2)/10^9),0)</f>
        <v>0</v>
      </c>
      <c r="AU2158" s="105">
        <f>IF($AP$2010&gt;0,IPMT('Assumptions (Biomass)'!$V$6,Model!AB$1,'Assumptions (Biomass)'!$V$9,'Assumptions (Biomass)'!$V$4*Model!$AP$2010*AVERAGE('Assumptions (Biomass)'!$AL$2:$AN$2)/10^9),0)</f>
        <v>0</v>
      </c>
      <c r="AV2158" s="105">
        <f>IF($AP$2010&gt;0,IPMT('Assumptions (Biomass)'!$V$6,Model!AC$1,'Assumptions (Biomass)'!$V$9,'Assumptions (Biomass)'!$V$4*Model!$AP$2010*AVERAGE('Assumptions (Biomass)'!$AL$2:$AN$2)/10^9),0)</f>
        <v>0</v>
      </c>
      <c r="AW2158" s="105">
        <f>IF($AP$2010&gt;0,IPMT('Assumptions (Biomass)'!$V$6,Model!AD$1,'Assumptions (Biomass)'!$V$9,'Assumptions (Biomass)'!$V$4*Model!$AP$2010*AVERAGE('Assumptions (Biomass)'!$AL$2:$AN$2)/10^9),0)</f>
        <v>0</v>
      </c>
      <c r="AX2158" s="105">
        <f>IF($AP$2010&gt;0,IPMT('Assumptions (Biomass)'!$V$6,Model!AE$1,'Assumptions (Biomass)'!$V$9,'Assumptions (Biomass)'!$V$4*Model!$AP$2010*AVERAGE('Assumptions (Biomass)'!$AL$2:$AN$2)/10^9),0)</f>
        <v>0</v>
      </c>
      <c r="AY2158" s="105">
        <f>IF($AP$2010&gt;0,IPMT('Assumptions (Biomass)'!$V$6,Model!AF$1,'Assumptions (Biomass)'!$V$9,'Assumptions (Biomass)'!$V$4*Model!$AP$2010*AVERAGE('Assumptions (Biomass)'!$AL$2:$AN$2)/10^9),0)</f>
        <v>0</v>
      </c>
      <c r="AZ2158" s="105">
        <f>IF($AP$2010&gt;0,IPMT('Assumptions (Biomass)'!$V$6,Model!AG$1,'Assumptions (Biomass)'!$V$9,'Assumptions (Biomass)'!$V$4*Model!$AP$2010*AVERAGE('Assumptions (Biomass)'!$AL$2:$AN$2)/10^9),0)</f>
        <v>0</v>
      </c>
      <c r="BA2158" s="105">
        <f>IF($AP$2010&gt;0,IPMT('Assumptions (Biomass)'!$V$6,Model!AH$1,'Assumptions (Biomass)'!$V$9,'Assumptions (Biomass)'!$V$4*Model!$AP$2010*AVERAGE('Assumptions (Biomass)'!$AL$2:$AN$2)/10^9),0)</f>
        <v>0</v>
      </c>
      <c r="BB2158" s="105">
        <f>IF($AP$2010&gt;0,IPMT('Assumptions (Biomass)'!$V$6,Model!AI$1,'Assumptions (Biomass)'!$V$9,'Assumptions (Biomass)'!$V$4*Model!$AP$2010*AVERAGE('Assumptions (Biomass)'!$AL$2:$AN$2)/10^9),0)</f>
        <v>0</v>
      </c>
      <c r="BC2158" s="105">
        <f>IF($AP$2010&gt;0,IPMT('Assumptions (Biomass)'!$V$6,Model!AJ$1,'Assumptions (Biomass)'!$V$9,'Assumptions (Biomass)'!$V$4*Model!$AP$2010*AVERAGE('Assumptions (Biomass)'!$AL$2:$AN$2)/10^9),0)</f>
        <v>0</v>
      </c>
      <c r="BD2158" s="105">
        <f>IF($AP$2010&gt;0,IPMT('Assumptions (Biomass)'!$V$6,Model!AK$1,'Assumptions (Biomass)'!$V$9,'Assumptions (Biomass)'!$V$4*Model!$AP$2010*AVERAGE('Assumptions (Biomass)'!$AL$2:$AN$2)/10^9),0)</f>
        <v>0</v>
      </c>
      <c r="BE2158" s="105"/>
      <c r="BF2158" s="105"/>
      <c r="BG2158" s="105"/>
      <c r="BH2158" s="105"/>
      <c r="BI2158" s="105"/>
      <c r="BJ2158" s="105"/>
      <c r="BK2158" s="105"/>
      <c r="BL2158" s="105"/>
      <c r="BM2158" s="105"/>
      <c r="BN2158" s="105"/>
    </row>
    <row r="2159" spans="1:68" ht="15.75" hidden="1" customHeight="1" outlineLevel="1">
      <c r="A2159" s="441"/>
      <c r="B2159" s="99"/>
      <c r="C2159" s="99"/>
      <c r="D2159" s="99"/>
      <c r="E2159" s="99"/>
      <c r="F2159" s="99"/>
      <c r="G2159" s="99"/>
      <c r="H2159" s="99"/>
      <c r="I2159" s="99"/>
      <c r="J2159" s="99"/>
      <c r="K2159" s="99"/>
      <c r="L2159" s="99"/>
      <c r="M2159" s="99"/>
      <c r="N2159" s="99"/>
      <c r="O2159" s="99"/>
      <c r="P2159" s="99"/>
      <c r="Q2159" s="99"/>
      <c r="R2159" s="99"/>
      <c r="S2159" s="99"/>
      <c r="T2159" s="99"/>
      <c r="U2159" s="99"/>
      <c r="V2159" s="99"/>
      <c r="W2159" s="105"/>
      <c r="X2159" s="105"/>
      <c r="Y2159" s="105"/>
      <c r="Z2159" s="105"/>
      <c r="AA2159" s="105"/>
      <c r="AB2159" s="105"/>
      <c r="AC2159" s="105"/>
      <c r="AD2159" s="105"/>
      <c r="AE2159" s="105"/>
      <c r="AF2159" s="105"/>
      <c r="AG2159" s="105"/>
      <c r="AH2159" s="105"/>
      <c r="AI2159" s="105"/>
      <c r="AJ2159" s="171"/>
      <c r="AK2159" s="105"/>
      <c r="AL2159" s="91"/>
      <c r="AM2159" s="91"/>
      <c r="AN2159" s="91"/>
      <c r="AO2159" s="105"/>
      <c r="AP2159" s="105"/>
      <c r="AQ2159" s="105">
        <f>IF($AQ$2010&gt;0,IPMT('Assumptions (Biomass)'!$V$6,Model!W$1,'Assumptions (Biomass)'!$V$9,'Assumptions (Biomass)'!$V$4*Model!$AQ$2010*AVERAGE('Assumptions (Biomass)'!$AM$2:$AO$2)/10^9),0)</f>
        <v>0</v>
      </c>
      <c r="AR2159" s="105">
        <f>IF($AQ$2010&gt;0,IPMT('Assumptions (Biomass)'!$V$6,Model!X$1,'Assumptions (Biomass)'!$V$9,'Assumptions (Biomass)'!$V$4*Model!$AQ$2010*AVERAGE('Assumptions (Biomass)'!$AM$2:$AO$2)/10^9),0)</f>
        <v>0</v>
      </c>
      <c r="AS2159" s="105">
        <f>IF($AQ$2010&gt;0,IPMT('Assumptions (Biomass)'!$V$6,Model!Y$1,'Assumptions (Biomass)'!$V$9,'Assumptions (Biomass)'!$V$4*Model!$AQ$2010*AVERAGE('Assumptions (Biomass)'!$AM$2:$AO$2)/10^9),0)</f>
        <v>0</v>
      </c>
      <c r="AT2159" s="105">
        <f>IF($AQ$2010&gt;0,IPMT('Assumptions (Biomass)'!$V$6,Model!Z$1,'Assumptions (Biomass)'!$V$9,'Assumptions (Biomass)'!$V$4*Model!$AQ$2010*AVERAGE('Assumptions (Biomass)'!$AM$2:$AO$2)/10^9),0)</f>
        <v>0</v>
      </c>
      <c r="AU2159" s="105">
        <f>IF($AQ$2010&gt;0,IPMT('Assumptions (Biomass)'!$V$6,Model!AA$1,'Assumptions (Biomass)'!$V$9,'Assumptions (Biomass)'!$V$4*Model!$AQ$2010*AVERAGE('Assumptions (Biomass)'!$AM$2:$AO$2)/10^9),0)</f>
        <v>0</v>
      </c>
      <c r="AV2159" s="105">
        <f>IF($AQ$2010&gt;0,IPMT('Assumptions (Biomass)'!$V$6,Model!AB$1,'Assumptions (Biomass)'!$V$9,'Assumptions (Biomass)'!$V$4*Model!$AQ$2010*AVERAGE('Assumptions (Biomass)'!$AM$2:$AO$2)/10^9),0)</f>
        <v>0</v>
      </c>
      <c r="AW2159" s="105">
        <f>IF($AQ$2010&gt;0,IPMT('Assumptions (Biomass)'!$V$6,Model!AC$1,'Assumptions (Biomass)'!$V$9,'Assumptions (Biomass)'!$V$4*Model!$AQ$2010*AVERAGE('Assumptions (Biomass)'!$AM$2:$AO$2)/10^9),0)</f>
        <v>0</v>
      </c>
      <c r="AX2159" s="105">
        <f>IF($AQ$2010&gt;0,IPMT('Assumptions (Biomass)'!$V$6,Model!AD$1,'Assumptions (Biomass)'!$V$9,'Assumptions (Biomass)'!$V$4*Model!$AQ$2010*AVERAGE('Assumptions (Biomass)'!$AM$2:$AO$2)/10^9),0)</f>
        <v>0</v>
      </c>
      <c r="AY2159" s="105">
        <f>IF($AQ$2010&gt;0,IPMT('Assumptions (Biomass)'!$V$6,Model!AE$1,'Assumptions (Biomass)'!$V$9,'Assumptions (Biomass)'!$V$4*Model!$AQ$2010*AVERAGE('Assumptions (Biomass)'!$AM$2:$AO$2)/10^9),0)</f>
        <v>0</v>
      </c>
      <c r="AZ2159" s="105">
        <f>IF($AQ$2010&gt;0,IPMT('Assumptions (Biomass)'!$V$6,Model!AF$1,'Assumptions (Biomass)'!$V$9,'Assumptions (Biomass)'!$V$4*Model!$AQ$2010*AVERAGE('Assumptions (Biomass)'!$AM$2:$AO$2)/10^9),0)</f>
        <v>0</v>
      </c>
      <c r="BA2159" s="105">
        <f>IF($AQ$2010&gt;0,IPMT('Assumptions (Biomass)'!$V$6,Model!AG$1,'Assumptions (Biomass)'!$V$9,'Assumptions (Biomass)'!$V$4*Model!$AQ$2010*AVERAGE('Assumptions (Biomass)'!$AM$2:$AO$2)/10^9),0)</f>
        <v>0</v>
      </c>
      <c r="BB2159" s="105">
        <f>IF($AQ$2010&gt;0,IPMT('Assumptions (Biomass)'!$V$6,Model!AH$1,'Assumptions (Biomass)'!$V$9,'Assumptions (Biomass)'!$V$4*Model!$AQ$2010*AVERAGE('Assumptions (Biomass)'!$AM$2:$AO$2)/10^9),0)</f>
        <v>0</v>
      </c>
      <c r="BC2159" s="105">
        <f>IF($AQ$2010&gt;0,IPMT('Assumptions (Biomass)'!$V$6,Model!AI$1,'Assumptions (Biomass)'!$V$9,'Assumptions (Biomass)'!$V$4*Model!$AQ$2010*AVERAGE('Assumptions (Biomass)'!$AM$2:$AO$2)/10^9),0)</f>
        <v>0</v>
      </c>
      <c r="BD2159" s="105">
        <f>IF($AQ$2010&gt;0,IPMT('Assumptions (Biomass)'!$V$6,Model!AJ$1,'Assumptions (Biomass)'!$V$9,'Assumptions (Biomass)'!$V$4*Model!$AQ$2010*AVERAGE('Assumptions (Biomass)'!$AM$2:$AO$2)/10^9),0)</f>
        <v>0</v>
      </c>
      <c r="BE2159" s="105">
        <f>IF($AQ$2010&gt;0,IPMT('Assumptions (Biomass)'!$V$6,Model!AK$1,'Assumptions (Biomass)'!$V$9,'Assumptions (Biomass)'!$V$4*Model!$AQ$2010*AVERAGE('Assumptions (Biomass)'!$AM$2:$AO$2)/10^9),0)</f>
        <v>0</v>
      </c>
      <c r="BF2159" s="105"/>
      <c r="BG2159" s="105"/>
      <c r="BH2159" s="105"/>
      <c r="BI2159" s="105"/>
      <c r="BJ2159" s="105"/>
      <c r="BK2159" s="105"/>
      <c r="BL2159" s="105"/>
      <c r="BM2159" s="105"/>
      <c r="BN2159" s="105"/>
      <c r="BO2159" s="105"/>
    </row>
    <row r="2160" spans="1:68" ht="15.75" hidden="1" customHeight="1" outlineLevel="1">
      <c r="A2160" s="441"/>
      <c r="B2160" s="99"/>
      <c r="C2160" s="99"/>
      <c r="D2160" s="99"/>
      <c r="E2160" s="99"/>
      <c r="F2160" s="99"/>
      <c r="G2160" s="99"/>
      <c r="H2160" s="99"/>
      <c r="I2160" s="99"/>
      <c r="J2160" s="99"/>
      <c r="K2160" s="99"/>
      <c r="L2160" s="99"/>
      <c r="M2160" s="99"/>
      <c r="N2160" s="99"/>
      <c r="O2160" s="99"/>
      <c r="P2160" s="99"/>
      <c r="Q2160" s="99"/>
      <c r="R2160" s="99"/>
      <c r="S2160" s="99"/>
      <c r="T2160" s="99"/>
      <c r="U2160" s="99"/>
      <c r="V2160" s="99"/>
      <c r="W2160" s="105"/>
      <c r="X2160" s="105"/>
      <c r="Y2160" s="105"/>
      <c r="Z2160" s="105"/>
      <c r="AA2160" s="105"/>
      <c r="AB2160" s="105"/>
      <c r="AC2160" s="105"/>
      <c r="AD2160" s="105"/>
      <c r="AE2160" s="105"/>
      <c r="AF2160" s="105"/>
      <c r="AG2160" s="105"/>
      <c r="AH2160" s="105"/>
      <c r="AI2160" s="105"/>
      <c r="AJ2160" s="171"/>
      <c r="AK2160" s="105"/>
      <c r="AL2160" s="91"/>
      <c r="AM2160" s="91"/>
      <c r="AN2160" s="91"/>
      <c r="AO2160" s="105"/>
      <c r="AP2160" s="105"/>
      <c r="AQ2160" s="105"/>
      <c r="AR2160" s="105">
        <f>IF($AR$2010&gt;0,IPMT('Assumptions (Biomass)'!$V$6,Model!W$1,'Assumptions (Biomass)'!$V$9,'Assumptions (Biomass)'!$V$4*Model!$AR$2010*AVERAGE('Assumptions (Biomass)'!$AN$2:$AP$2)/10^9),0)</f>
        <v>0</v>
      </c>
      <c r="AS2160" s="105">
        <f>IF($AR$2010&gt;0,IPMT('Assumptions (Biomass)'!$V$6,Model!X$1,'Assumptions (Biomass)'!$V$9,'Assumptions (Biomass)'!$V$4*Model!$AR$2010*AVERAGE('Assumptions (Biomass)'!$AN$2:$AP$2)/10^9),0)</f>
        <v>0</v>
      </c>
      <c r="AT2160" s="105">
        <f>IF($AR$2010&gt;0,IPMT('Assumptions (Biomass)'!$V$6,Model!Y$1,'Assumptions (Biomass)'!$V$9,'Assumptions (Biomass)'!$V$4*Model!$AR$2010*AVERAGE('Assumptions (Biomass)'!$AN$2:$AP$2)/10^9),0)</f>
        <v>0</v>
      </c>
      <c r="AU2160" s="105">
        <f>IF($AR$2010&gt;0,IPMT('Assumptions (Biomass)'!$V$6,Model!Z$1,'Assumptions (Biomass)'!$V$9,'Assumptions (Biomass)'!$V$4*Model!$AR$2010*AVERAGE('Assumptions (Biomass)'!$AN$2:$AP$2)/10^9),0)</f>
        <v>0</v>
      </c>
      <c r="AV2160" s="105">
        <f>IF($AR$2010&gt;0,IPMT('Assumptions (Biomass)'!$V$6,Model!AA$1,'Assumptions (Biomass)'!$V$9,'Assumptions (Biomass)'!$V$4*Model!$AR$2010*AVERAGE('Assumptions (Biomass)'!$AN$2:$AP$2)/10^9),0)</f>
        <v>0</v>
      </c>
      <c r="AW2160" s="105">
        <f>IF($AR$2010&gt;0,IPMT('Assumptions (Biomass)'!$V$6,Model!AB$1,'Assumptions (Biomass)'!$V$9,'Assumptions (Biomass)'!$V$4*Model!$AR$2010*AVERAGE('Assumptions (Biomass)'!$AN$2:$AP$2)/10^9),0)</f>
        <v>0</v>
      </c>
      <c r="AX2160" s="105">
        <f>IF($AR$2010&gt;0,IPMT('Assumptions (Biomass)'!$V$6,Model!AC$1,'Assumptions (Biomass)'!$V$9,'Assumptions (Biomass)'!$V$4*Model!$AR$2010*AVERAGE('Assumptions (Biomass)'!$AN$2:$AP$2)/10^9),0)</f>
        <v>0</v>
      </c>
      <c r="AY2160" s="105">
        <f>IF($AR$2010&gt;0,IPMT('Assumptions (Biomass)'!$V$6,Model!AD$1,'Assumptions (Biomass)'!$V$9,'Assumptions (Biomass)'!$V$4*Model!$AR$2010*AVERAGE('Assumptions (Biomass)'!$AN$2:$AP$2)/10^9),0)</f>
        <v>0</v>
      </c>
      <c r="AZ2160" s="105">
        <f>IF($AR$2010&gt;0,IPMT('Assumptions (Biomass)'!$V$6,Model!AE$1,'Assumptions (Biomass)'!$V$9,'Assumptions (Biomass)'!$V$4*Model!$AR$2010*AVERAGE('Assumptions (Biomass)'!$AN$2:$AP$2)/10^9),0)</f>
        <v>0</v>
      </c>
      <c r="BA2160" s="105">
        <f>IF($AR$2010&gt;0,IPMT('Assumptions (Biomass)'!$V$6,Model!AF$1,'Assumptions (Biomass)'!$V$9,'Assumptions (Biomass)'!$V$4*Model!$AR$2010*AVERAGE('Assumptions (Biomass)'!$AN$2:$AP$2)/10^9),0)</f>
        <v>0</v>
      </c>
      <c r="BB2160" s="105">
        <f>IF($AR$2010&gt;0,IPMT('Assumptions (Biomass)'!$V$6,Model!AG$1,'Assumptions (Biomass)'!$V$9,'Assumptions (Biomass)'!$V$4*Model!$AR$2010*AVERAGE('Assumptions (Biomass)'!$AN$2:$AP$2)/10^9),0)</f>
        <v>0</v>
      </c>
      <c r="BC2160" s="105">
        <f>IF($AR$2010&gt;0,IPMT('Assumptions (Biomass)'!$V$6,Model!AH$1,'Assumptions (Biomass)'!$V$9,'Assumptions (Biomass)'!$V$4*Model!$AR$2010*AVERAGE('Assumptions (Biomass)'!$AN$2:$AP$2)/10^9),0)</f>
        <v>0</v>
      </c>
      <c r="BD2160" s="105">
        <f>IF($AR$2010&gt;0,IPMT('Assumptions (Biomass)'!$V$6,Model!AI$1,'Assumptions (Biomass)'!$V$9,'Assumptions (Biomass)'!$V$4*Model!$AR$2010*AVERAGE('Assumptions (Biomass)'!$AN$2:$AP$2)/10^9),0)</f>
        <v>0</v>
      </c>
      <c r="BE2160" s="105">
        <f>IF($AR$2010&gt;0,IPMT('Assumptions (Biomass)'!$V$6,Model!AJ$1,'Assumptions (Biomass)'!$V$9,'Assumptions (Biomass)'!$V$4*Model!$AR$2010*AVERAGE('Assumptions (Biomass)'!$AN$2:$AP$2)/10^9),0)</f>
        <v>0</v>
      </c>
      <c r="BF2160" s="105">
        <f>IF($AR$2010&gt;0,IPMT('Assumptions (Biomass)'!$V$6,Model!AK$1,'Assumptions (Biomass)'!$V$9,'Assumptions (Biomass)'!$V$4*Model!$AR$2010*AVERAGE('Assumptions (Biomass)'!$AN$2:$AP$2)/10^9),0)</f>
        <v>0</v>
      </c>
      <c r="BG2160" s="105"/>
      <c r="BH2160" s="105"/>
      <c r="BI2160" s="105"/>
      <c r="BJ2160" s="105"/>
      <c r="BK2160" s="105"/>
      <c r="BL2160" s="105"/>
      <c r="BM2160" s="105"/>
      <c r="BN2160" s="105"/>
      <c r="BO2160" s="105"/>
      <c r="BP2160" s="105"/>
    </row>
    <row r="2161" spans="1:69" ht="15.75" hidden="1" customHeight="1" outlineLevel="1">
      <c r="A2161" s="441"/>
      <c r="B2161" s="99"/>
      <c r="C2161" s="99"/>
      <c r="D2161" s="99"/>
      <c r="E2161" s="99"/>
      <c r="F2161" s="99"/>
      <c r="G2161" s="99"/>
      <c r="H2161" s="99"/>
      <c r="I2161" s="99"/>
      <c r="J2161" s="99"/>
      <c r="K2161" s="99"/>
      <c r="L2161" s="99"/>
      <c r="M2161" s="99"/>
      <c r="N2161" s="99"/>
      <c r="O2161" s="99"/>
      <c r="P2161" s="99"/>
      <c r="Q2161" s="99"/>
      <c r="R2161" s="99"/>
      <c r="S2161" s="99"/>
      <c r="T2161" s="99"/>
      <c r="U2161" s="99"/>
      <c r="V2161" s="99"/>
      <c r="W2161" s="105"/>
      <c r="X2161" s="105"/>
      <c r="Y2161" s="105"/>
      <c r="Z2161" s="105"/>
      <c r="AA2161" s="105"/>
      <c r="AB2161" s="105"/>
      <c r="AC2161" s="105"/>
      <c r="AD2161" s="105"/>
      <c r="AE2161" s="105"/>
      <c r="AF2161" s="105"/>
      <c r="AG2161" s="105"/>
      <c r="AH2161" s="105"/>
      <c r="AI2161" s="105"/>
      <c r="AJ2161" s="171"/>
      <c r="AK2161" s="105"/>
      <c r="AL2161" s="91"/>
      <c r="AM2161" s="91"/>
      <c r="AN2161" s="91"/>
      <c r="AO2161" s="105"/>
      <c r="AP2161" s="105"/>
      <c r="AQ2161" s="105"/>
      <c r="AR2161" s="105"/>
      <c r="AS2161" s="105">
        <f>IF($AS$2010&gt;0,IPMT('Assumptions (Biomass)'!$V$6,Model!W$1,'Assumptions (Biomass)'!$V$9,'Assumptions (Biomass)'!$V$4*Model!$AS$2010*AVERAGE('Assumptions (Biomass)'!$AO$2:$AQ$2)/10^9),0)</f>
        <v>0</v>
      </c>
      <c r="AT2161" s="105">
        <f>IF($AS$2010&gt;0,IPMT('Assumptions (Biomass)'!$V$6,Model!X$1,'Assumptions (Biomass)'!$V$9,'Assumptions (Biomass)'!$V$4*Model!$AS$2010*AVERAGE('Assumptions (Biomass)'!$AO$2:$AQ$2)/10^9),0)</f>
        <v>0</v>
      </c>
      <c r="AU2161" s="105">
        <f>IF($AS$2010&gt;0,IPMT('Assumptions (Biomass)'!$V$6,Model!Y$1,'Assumptions (Biomass)'!$V$9,'Assumptions (Biomass)'!$V$4*Model!$AS$2010*AVERAGE('Assumptions (Biomass)'!$AO$2:$AQ$2)/10^9),0)</f>
        <v>0</v>
      </c>
      <c r="AV2161" s="105">
        <f>IF($AS$2010&gt;0,IPMT('Assumptions (Biomass)'!$V$6,Model!Z$1,'Assumptions (Biomass)'!$V$9,'Assumptions (Biomass)'!$V$4*Model!$AS$2010*AVERAGE('Assumptions (Biomass)'!$AO$2:$AQ$2)/10^9),0)</f>
        <v>0</v>
      </c>
      <c r="AW2161" s="105">
        <f>IF($AS$2010&gt;0,IPMT('Assumptions (Biomass)'!$V$6,Model!AA$1,'Assumptions (Biomass)'!$V$9,'Assumptions (Biomass)'!$V$4*Model!$AS$2010*AVERAGE('Assumptions (Biomass)'!$AO$2:$AQ$2)/10^9),0)</f>
        <v>0</v>
      </c>
      <c r="AX2161" s="105">
        <f>IF($AS$2010&gt;0,IPMT('Assumptions (Biomass)'!$V$6,Model!AB$1,'Assumptions (Biomass)'!$V$9,'Assumptions (Biomass)'!$V$4*Model!$AS$2010*AVERAGE('Assumptions (Biomass)'!$AO$2:$AQ$2)/10^9),0)</f>
        <v>0</v>
      </c>
      <c r="AY2161" s="105">
        <f>IF($AS$2010&gt;0,IPMT('Assumptions (Biomass)'!$V$6,Model!AC$1,'Assumptions (Biomass)'!$V$9,'Assumptions (Biomass)'!$V$4*Model!$AS$2010*AVERAGE('Assumptions (Biomass)'!$AO$2:$AQ$2)/10^9),0)</f>
        <v>0</v>
      </c>
      <c r="AZ2161" s="105">
        <f>IF($AS$2010&gt;0,IPMT('Assumptions (Biomass)'!$V$6,Model!AD$1,'Assumptions (Biomass)'!$V$9,'Assumptions (Biomass)'!$V$4*Model!$AS$2010*AVERAGE('Assumptions (Biomass)'!$AO$2:$AQ$2)/10^9),0)</f>
        <v>0</v>
      </c>
      <c r="BA2161" s="105">
        <f>IF($AS$2010&gt;0,IPMT('Assumptions (Biomass)'!$V$6,Model!AE$1,'Assumptions (Biomass)'!$V$9,'Assumptions (Biomass)'!$V$4*Model!$AS$2010*AVERAGE('Assumptions (Biomass)'!$AO$2:$AQ$2)/10^9),0)</f>
        <v>0</v>
      </c>
      <c r="BB2161" s="105">
        <f>IF($AS$2010&gt;0,IPMT('Assumptions (Biomass)'!$V$6,Model!AF$1,'Assumptions (Biomass)'!$V$9,'Assumptions (Biomass)'!$V$4*Model!$AS$2010*AVERAGE('Assumptions (Biomass)'!$AO$2:$AQ$2)/10^9),0)</f>
        <v>0</v>
      </c>
      <c r="BC2161" s="105">
        <f>IF($AS$2010&gt;0,IPMT('Assumptions (Biomass)'!$V$6,Model!AG$1,'Assumptions (Biomass)'!$V$9,'Assumptions (Biomass)'!$V$4*Model!$AS$2010*AVERAGE('Assumptions (Biomass)'!$AO$2:$AQ$2)/10^9),0)</f>
        <v>0</v>
      </c>
      <c r="BD2161" s="105">
        <f>IF($AS$2010&gt;0,IPMT('Assumptions (Biomass)'!$V$6,Model!AH$1,'Assumptions (Biomass)'!$V$9,'Assumptions (Biomass)'!$V$4*Model!$AS$2010*AVERAGE('Assumptions (Biomass)'!$AO$2:$AQ$2)/10^9),0)</f>
        <v>0</v>
      </c>
      <c r="BE2161" s="105">
        <f>IF($AS$2010&gt;0,IPMT('Assumptions (Biomass)'!$V$6,Model!AI$1,'Assumptions (Biomass)'!$V$9,'Assumptions (Biomass)'!$V$4*Model!$AS$2010*AVERAGE('Assumptions (Biomass)'!$AO$2:$AQ$2)/10^9),0)</f>
        <v>0</v>
      </c>
      <c r="BF2161" s="105">
        <f>IF($AS$2010&gt;0,IPMT('Assumptions (Biomass)'!$V$6,Model!AJ$1,'Assumptions (Biomass)'!$V$9,'Assumptions (Biomass)'!$V$4*Model!$AS$2010*AVERAGE('Assumptions (Biomass)'!$AO$2:$AQ$2)/10^9),0)</f>
        <v>0</v>
      </c>
      <c r="BG2161" s="105">
        <f>IF($AS$2010&gt;0,IPMT('Assumptions (Biomass)'!$V$6,Model!AK$1,'Assumptions (Biomass)'!$V$9,'Assumptions (Biomass)'!$V$4*Model!$AS$2010*AVERAGE('Assumptions (Biomass)'!$AO$2:$AQ$2)/10^9),0)</f>
        <v>0</v>
      </c>
      <c r="BH2161" s="105"/>
      <c r="BI2161" s="105"/>
      <c r="BJ2161" s="105"/>
      <c r="BK2161" s="105"/>
      <c r="BL2161" s="105"/>
      <c r="BM2161" s="105"/>
      <c r="BN2161" s="105"/>
      <c r="BO2161" s="105"/>
      <c r="BP2161" s="105"/>
    </row>
    <row r="2162" spans="1:69" ht="15.75" hidden="1" customHeight="1" outlineLevel="1">
      <c r="A2162" s="441"/>
      <c r="B2162" s="99"/>
      <c r="C2162" s="99"/>
      <c r="D2162" s="99"/>
      <c r="E2162" s="99"/>
      <c r="F2162" s="99"/>
      <c r="G2162" s="99"/>
      <c r="H2162" s="99"/>
      <c r="I2162" s="99"/>
      <c r="J2162" s="99"/>
      <c r="K2162" s="99"/>
      <c r="L2162" s="99"/>
      <c r="M2162" s="99"/>
      <c r="N2162" s="99"/>
      <c r="O2162" s="99"/>
      <c r="P2162" s="99"/>
      <c r="Q2162" s="99"/>
      <c r="R2162" s="99"/>
      <c r="S2162" s="99"/>
      <c r="T2162" s="99"/>
      <c r="U2162" s="99"/>
      <c r="V2162" s="99"/>
      <c r="W2162" s="105"/>
      <c r="X2162" s="105"/>
      <c r="Y2162" s="105"/>
      <c r="Z2162" s="105"/>
      <c r="AA2162" s="105"/>
      <c r="AB2162" s="105"/>
      <c r="AC2162" s="105"/>
      <c r="AD2162" s="105"/>
      <c r="AE2162" s="105"/>
      <c r="AF2162" s="105"/>
      <c r="AG2162" s="105"/>
      <c r="AH2162" s="105"/>
      <c r="AI2162" s="105"/>
      <c r="AJ2162" s="171"/>
      <c r="AK2162" s="105"/>
      <c r="AL2162" s="91"/>
      <c r="AM2162" s="91"/>
      <c r="AN2162" s="91"/>
      <c r="AO2162" s="105"/>
      <c r="AP2162" s="105"/>
      <c r="AQ2162" s="105"/>
      <c r="AR2162" s="105"/>
      <c r="AS2162" s="105"/>
      <c r="AT2162" s="105">
        <f>IF($AT$2010&gt;0,IPMT('Assumptions (Biomass)'!$V$6,Model!W$1,'Assumptions (Biomass)'!$V$9,'Assumptions (Biomass)'!$V$4*Model!$AT$2010*AVERAGE('Assumptions (Biomass)'!$AP$2:$AR$2)/10^9),0)</f>
        <v>0</v>
      </c>
      <c r="AU2162" s="105">
        <f>IF($AT$2010&gt;0,IPMT('Assumptions (Biomass)'!$V$6,Model!X$1,'Assumptions (Biomass)'!$V$9,'Assumptions (Biomass)'!$V$4*Model!$AT$2010*AVERAGE('Assumptions (Biomass)'!$AP$2:$AR$2)/10^9),0)</f>
        <v>0</v>
      </c>
      <c r="AV2162" s="105">
        <f>IF($AT$2010&gt;0,IPMT('Assumptions (Biomass)'!$V$6,Model!Y$1,'Assumptions (Biomass)'!$V$9,'Assumptions (Biomass)'!$V$4*Model!$AT$2010*AVERAGE('Assumptions (Biomass)'!$AP$2:$AR$2)/10^9),0)</f>
        <v>0</v>
      </c>
      <c r="AW2162" s="105">
        <f>IF($AT$2010&gt;0,IPMT('Assumptions (Biomass)'!$V$6,Model!Z$1,'Assumptions (Biomass)'!$V$9,'Assumptions (Biomass)'!$V$4*Model!$AT$2010*AVERAGE('Assumptions (Biomass)'!$AP$2:$AR$2)/10^9),0)</f>
        <v>0</v>
      </c>
      <c r="AX2162" s="105">
        <f>IF($AT$2010&gt;0,IPMT('Assumptions (Biomass)'!$V$6,Model!AA$1,'Assumptions (Biomass)'!$V$9,'Assumptions (Biomass)'!$V$4*Model!$AT$2010*AVERAGE('Assumptions (Biomass)'!$AP$2:$AR$2)/10^9),0)</f>
        <v>0</v>
      </c>
      <c r="AY2162" s="105">
        <f>IF($AT$2010&gt;0,IPMT('Assumptions (Biomass)'!$V$6,Model!AB$1,'Assumptions (Biomass)'!$V$9,'Assumptions (Biomass)'!$V$4*Model!$AT$2010*AVERAGE('Assumptions (Biomass)'!$AP$2:$AR$2)/10^9),0)</f>
        <v>0</v>
      </c>
      <c r="AZ2162" s="105">
        <f>IF($AT$2010&gt;0,IPMT('Assumptions (Biomass)'!$V$6,Model!AC$1,'Assumptions (Biomass)'!$V$9,'Assumptions (Biomass)'!$V$4*Model!$AT$2010*AVERAGE('Assumptions (Biomass)'!$AP$2:$AR$2)/10^9),0)</f>
        <v>0</v>
      </c>
      <c r="BA2162" s="105">
        <f>IF($AT$2010&gt;0,IPMT('Assumptions (Biomass)'!$V$6,Model!AD$1,'Assumptions (Biomass)'!$V$9,'Assumptions (Biomass)'!$V$4*Model!$AT$2010*AVERAGE('Assumptions (Biomass)'!$AP$2:$AR$2)/10^9),0)</f>
        <v>0</v>
      </c>
      <c r="BB2162" s="105">
        <f>IF($AT$2010&gt;0,IPMT('Assumptions (Biomass)'!$V$6,Model!AE$1,'Assumptions (Biomass)'!$V$9,'Assumptions (Biomass)'!$V$4*Model!$AT$2010*AVERAGE('Assumptions (Biomass)'!$AP$2:$AR$2)/10^9),0)</f>
        <v>0</v>
      </c>
      <c r="BC2162" s="105">
        <f>IF($AT$2010&gt;0,IPMT('Assumptions (Biomass)'!$V$6,Model!AF$1,'Assumptions (Biomass)'!$V$9,'Assumptions (Biomass)'!$V$4*Model!$AT$2010*AVERAGE('Assumptions (Biomass)'!$AP$2:$AR$2)/10^9),0)</f>
        <v>0</v>
      </c>
      <c r="BD2162" s="105">
        <f>IF($AT$2010&gt;0,IPMT('Assumptions (Biomass)'!$V$6,Model!AG$1,'Assumptions (Biomass)'!$V$9,'Assumptions (Biomass)'!$V$4*Model!$AT$2010*AVERAGE('Assumptions (Biomass)'!$AP$2:$AR$2)/10^9),0)</f>
        <v>0</v>
      </c>
      <c r="BE2162" s="105">
        <f>IF($AT$2010&gt;0,IPMT('Assumptions (Biomass)'!$V$6,Model!AH$1,'Assumptions (Biomass)'!$V$9,'Assumptions (Biomass)'!$V$4*Model!$AT$2010*AVERAGE('Assumptions (Biomass)'!$AP$2:$AR$2)/10^9),0)</f>
        <v>0</v>
      </c>
      <c r="BF2162" s="105">
        <f>IF($AT$2010&gt;0,IPMT('Assumptions (Biomass)'!$V$6,Model!AI$1,'Assumptions (Biomass)'!$V$9,'Assumptions (Biomass)'!$V$4*Model!$AT$2010*AVERAGE('Assumptions (Biomass)'!$AP$2:$AR$2)/10^9),0)</f>
        <v>0</v>
      </c>
      <c r="BG2162" s="105">
        <f>IF($AT$2010&gt;0,IPMT('Assumptions (Biomass)'!$V$6,Model!AJ$1,'Assumptions (Biomass)'!$V$9,'Assumptions (Biomass)'!$V$4*Model!$AT$2010*AVERAGE('Assumptions (Biomass)'!$AP$2:$AR$2)/10^9),0)</f>
        <v>0</v>
      </c>
      <c r="BH2162" s="105">
        <f>IF($AT$2010&gt;0,IPMT('Assumptions (Biomass)'!$V$6,Model!AK$1,'Assumptions (Biomass)'!$V$9,'Assumptions (Biomass)'!$V$4*Model!$AT$2010*AVERAGE('Assumptions (Biomass)'!$AP$2:$AR$2)/10^9),0)</f>
        <v>0</v>
      </c>
      <c r="BI2162" s="105"/>
      <c r="BJ2162" s="105"/>
      <c r="BK2162" s="105"/>
      <c r="BL2162" s="105"/>
      <c r="BM2162" s="105"/>
      <c r="BN2162" s="105"/>
      <c r="BO2162" s="105"/>
      <c r="BP2162" s="105"/>
    </row>
    <row r="2163" spans="1:69" ht="15.75" hidden="1" customHeight="1" outlineLevel="1">
      <c r="A2163" s="441"/>
      <c r="B2163" s="99"/>
      <c r="C2163" s="99"/>
      <c r="D2163" s="99"/>
      <c r="E2163" s="99"/>
      <c r="F2163" s="99"/>
      <c r="G2163" s="99"/>
      <c r="H2163" s="99"/>
      <c r="I2163" s="99"/>
      <c r="J2163" s="99"/>
      <c r="K2163" s="99"/>
      <c r="L2163" s="99"/>
      <c r="M2163" s="99"/>
      <c r="N2163" s="99"/>
      <c r="O2163" s="99"/>
      <c r="P2163" s="99"/>
      <c r="Q2163" s="99"/>
      <c r="R2163" s="99"/>
      <c r="S2163" s="99"/>
      <c r="T2163" s="99"/>
      <c r="U2163" s="99"/>
      <c r="V2163" s="99"/>
      <c r="W2163" s="105"/>
      <c r="X2163" s="105"/>
      <c r="Y2163" s="105"/>
      <c r="Z2163" s="105"/>
      <c r="AA2163" s="105"/>
      <c r="AB2163" s="105"/>
      <c r="AC2163" s="105"/>
      <c r="AD2163" s="105"/>
      <c r="AE2163" s="105"/>
      <c r="AF2163" s="105"/>
      <c r="AG2163" s="105"/>
      <c r="AH2163" s="105"/>
      <c r="AI2163" s="105"/>
      <c r="AJ2163" s="171"/>
      <c r="AK2163" s="105"/>
      <c r="AL2163" s="91"/>
      <c r="AM2163" s="91"/>
      <c r="AN2163" s="91"/>
      <c r="AO2163" s="105"/>
      <c r="AP2163" s="105"/>
      <c r="AQ2163" s="105"/>
      <c r="AR2163" s="105"/>
      <c r="AS2163" s="105"/>
      <c r="AT2163" s="105"/>
      <c r="AU2163" s="105">
        <f>IF($AU$2010&gt;0,IPMT('Assumptions (Biomass)'!$V$6,Model!W$1,'Assumptions (Biomass)'!$V$9,'Assumptions (Biomass)'!$V$4*Model!$AU$2010*AVERAGE('Assumptions (Biomass)'!$AQ$2:$AS$2)/10^9),0)</f>
        <v>0</v>
      </c>
      <c r="AV2163" s="105">
        <f>IF($AU$2010&gt;0,IPMT('Assumptions (Biomass)'!$V$6,Model!X$1,'Assumptions (Biomass)'!$V$9,'Assumptions (Biomass)'!$V$4*Model!$AU$2010*AVERAGE('Assumptions (Biomass)'!$AQ$2:$AS$2)/10^9),0)</f>
        <v>0</v>
      </c>
      <c r="AW2163" s="105">
        <f>IF($AU$2010&gt;0,IPMT('Assumptions (Biomass)'!$V$6,Model!Y$1,'Assumptions (Biomass)'!$V$9,'Assumptions (Biomass)'!$V$4*Model!$AU$2010*AVERAGE('Assumptions (Biomass)'!$AQ$2:$AS$2)/10^9),0)</f>
        <v>0</v>
      </c>
      <c r="AX2163" s="105">
        <f>IF($AU$2010&gt;0,IPMT('Assumptions (Biomass)'!$V$6,Model!Z$1,'Assumptions (Biomass)'!$V$9,'Assumptions (Biomass)'!$V$4*Model!$AU$2010*AVERAGE('Assumptions (Biomass)'!$AQ$2:$AS$2)/10^9),0)</f>
        <v>0</v>
      </c>
      <c r="AY2163" s="105">
        <f>IF($AU$2010&gt;0,IPMT('Assumptions (Biomass)'!$V$6,Model!AA$1,'Assumptions (Biomass)'!$V$9,'Assumptions (Biomass)'!$V$4*Model!$AU$2010*AVERAGE('Assumptions (Biomass)'!$AQ$2:$AS$2)/10^9),0)</f>
        <v>0</v>
      </c>
      <c r="AZ2163" s="105">
        <f>IF($AU$2010&gt;0,IPMT('Assumptions (Biomass)'!$V$6,Model!AB$1,'Assumptions (Biomass)'!$V$9,'Assumptions (Biomass)'!$V$4*Model!$AU$2010*AVERAGE('Assumptions (Biomass)'!$AQ$2:$AS$2)/10^9),0)</f>
        <v>0</v>
      </c>
      <c r="BA2163" s="105">
        <f>IF($AU$2010&gt;0,IPMT('Assumptions (Biomass)'!$V$6,Model!AC$1,'Assumptions (Biomass)'!$V$9,'Assumptions (Biomass)'!$V$4*Model!$AU$2010*AVERAGE('Assumptions (Biomass)'!$AQ$2:$AS$2)/10^9),0)</f>
        <v>0</v>
      </c>
      <c r="BB2163" s="105">
        <f>IF($AU$2010&gt;0,IPMT('Assumptions (Biomass)'!$V$6,Model!AD$1,'Assumptions (Biomass)'!$V$9,'Assumptions (Biomass)'!$V$4*Model!$AU$2010*AVERAGE('Assumptions (Biomass)'!$AQ$2:$AS$2)/10^9),0)</f>
        <v>0</v>
      </c>
      <c r="BC2163" s="105">
        <f>IF($AU$2010&gt;0,IPMT('Assumptions (Biomass)'!$V$6,Model!AE$1,'Assumptions (Biomass)'!$V$9,'Assumptions (Biomass)'!$V$4*Model!$AU$2010*AVERAGE('Assumptions (Biomass)'!$AQ$2:$AS$2)/10^9),0)</f>
        <v>0</v>
      </c>
      <c r="BD2163" s="105">
        <f>IF($AU$2010&gt;0,IPMT('Assumptions (Biomass)'!$V$6,Model!AF$1,'Assumptions (Biomass)'!$V$9,'Assumptions (Biomass)'!$V$4*Model!$AU$2010*AVERAGE('Assumptions (Biomass)'!$AQ$2:$AS$2)/10^9),0)</f>
        <v>0</v>
      </c>
      <c r="BE2163" s="105">
        <f>IF($AU$2010&gt;0,IPMT('Assumptions (Biomass)'!$V$6,Model!AG$1,'Assumptions (Biomass)'!$V$9,'Assumptions (Biomass)'!$V$4*Model!$AU$2010*AVERAGE('Assumptions (Biomass)'!$AQ$2:$AS$2)/10^9),0)</f>
        <v>0</v>
      </c>
      <c r="BF2163" s="105">
        <f>IF($AU$2010&gt;0,IPMT('Assumptions (Biomass)'!$V$6,Model!AH$1,'Assumptions (Biomass)'!$V$9,'Assumptions (Biomass)'!$V$4*Model!$AU$2010*AVERAGE('Assumptions (Biomass)'!$AQ$2:$AS$2)/10^9),0)</f>
        <v>0</v>
      </c>
      <c r="BG2163" s="105">
        <f>IF($AU$2010&gt;0,IPMT('Assumptions (Biomass)'!$V$6,Model!AI$1,'Assumptions (Biomass)'!$V$9,'Assumptions (Biomass)'!$V$4*Model!$AU$2010*AVERAGE('Assumptions (Biomass)'!$AQ$2:$AS$2)/10^9),0)</f>
        <v>0</v>
      </c>
      <c r="BH2163" s="105">
        <f>IF($AU$2010&gt;0,IPMT('Assumptions (Biomass)'!$V$6,Model!AJ$1,'Assumptions (Biomass)'!$V$9,'Assumptions (Biomass)'!$V$4*Model!$AU$2010*AVERAGE('Assumptions (Biomass)'!$AQ$2:$AS$2)/10^9),0)</f>
        <v>0</v>
      </c>
      <c r="BI2163" s="105">
        <f>IF($AU$2010&gt;0,IPMT('Assumptions (Biomass)'!$V$6,Model!AK$1,'Assumptions (Biomass)'!$V$9,'Assumptions (Biomass)'!$V$4*Model!$AU$2010*AVERAGE('Assumptions (Biomass)'!$AQ$2:$AS$2)/10^9),0)</f>
        <v>0</v>
      </c>
      <c r="BJ2163" s="105"/>
      <c r="BK2163" s="105"/>
      <c r="BL2163" s="105"/>
      <c r="BM2163" s="105"/>
      <c r="BN2163" s="105"/>
      <c r="BO2163" s="105"/>
      <c r="BP2163" s="105"/>
    </row>
    <row r="2164" spans="1:69" ht="15.75" hidden="1" customHeight="1" outlineLevel="1">
      <c r="A2164" s="441"/>
      <c r="B2164" s="99"/>
      <c r="C2164" s="99"/>
      <c r="D2164" s="99"/>
      <c r="E2164" s="99"/>
      <c r="F2164" s="99"/>
      <c r="G2164" s="99"/>
      <c r="H2164" s="99"/>
      <c r="I2164" s="99"/>
      <c r="J2164" s="99"/>
      <c r="K2164" s="99"/>
      <c r="L2164" s="99"/>
      <c r="M2164" s="99"/>
      <c r="N2164" s="99"/>
      <c r="O2164" s="99"/>
      <c r="P2164" s="99"/>
      <c r="Q2164" s="99"/>
      <c r="R2164" s="99"/>
      <c r="S2164" s="99"/>
      <c r="T2164" s="99"/>
      <c r="U2164" s="99"/>
      <c r="V2164" s="99"/>
      <c r="W2164" s="105"/>
      <c r="X2164" s="105"/>
      <c r="Y2164" s="105"/>
      <c r="Z2164" s="105"/>
      <c r="AA2164" s="105"/>
      <c r="AB2164" s="105"/>
      <c r="AC2164" s="105"/>
      <c r="AD2164" s="105"/>
      <c r="AE2164" s="105"/>
      <c r="AF2164" s="105"/>
      <c r="AG2164" s="105"/>
      <c r="AH2164" s="105"/>
      <c r="AI2164" s="105"/>
      <c r="AJ2164" s="171"/>
      <c r="AK2164" s="105"/>
      <c r="AL2164" s="91"/>
      <c r="AM2164" s="91"/>
      <c r="AN2164" s="91"/>
      <c r="AO2164" s="105"/>
      <c r="AP2164" s="105"/>
      <c r="AQ2164" s="105"/>
      <c r="AR2164" s="105"/>
      <c r="AS2164" s="105"/>
      <c r="AT2164" s="105"/>
      <c r="AU2164" s="105"/>
      <c r="AV2164" s="105">
        <f>IF($AV$2010&gt;0,IPMT('Assumptions (Biomass)'!$V$6,Model!W$1,'Assumptions (Biomass)'!$V$9,'Assumptions (Biomass)'!$V$4*Model!$AV$2010*AVERAGE('Assumptions (Biomass)'!$AR$2:$AT$2)/10^9),0)</f>
        <v>0</v>
      </c>
      <c r="AW2164" s="105">
        <f>IF($AV$2010&gt;0,IPMT('Assumptions (Biomass)'!$V$6,Model!X$1,'Assumptions (Biomass)'!$V$9,'Assumptions (Biomass)'!$V$4*Model!$AV$2010*AVERAGE('Assumptions (Biomass)'!$AR$2:$AT$2)/10^9),0)</f>
        <v>0</v>
      </c>
      <c r="AX2164" s="105">
        <f>IF($AV$2010&gt;0,IPMT('Assumptions (Biomass)'!$V$6,Model!Y$1,'Assumptions (Biomass)'!$V$9,'Assumptions (Biomass)'!$V$4*Model!$AV$2010*AVERAGE('Assumptions (Biomass)'!$AR$2:$AT$2)/10^9),0)</f>
        <v>0</v>
      </c>
      <c r="AY2164" s="105">
        <f>IF($AV$2010&gt;0,IPMT('Assumptions (Biomass)'!$V$6,Model!Z$1,'Assumptions (Biomass)'!$V$9,'Assumptions (Biomass)'!$V$4*Model!$AV$2010*AVERAGE('Assumptions (Biomass)'!$AR$2:$AT$2)/10^9),0)</f>
        <v>0</v>
      </c>
      <c r="AZ2164" s="105">
        <f>IF($AV$2010&gt;0,IPMT('Assumptions (Biomass)'!$V$6,Model!AA$1,'Assumptions (Biomass)'!$V$9,'Assumptions (Biomass)'!$V$4*Model!$AV$2010*AVERAGE('Assumptions (Biomass)'!$AR$2:$AT$2)/10^9),0)</f>
        <v>0</v>
      </c>
      <c r="BA2164" s="105">
        <f>IF($AV$2010&gt;0,IPMT('Assumptions (Biomass)'!$V$6,Model!AB$1,'Assumptions (Biomass)'!$V$9,'Assumptions (Biomass)'!$V$4*Model!$AV$2010*AVERAGE('Assumptions (Biomass)'!$AR$2:$AT$2)/10^9),0)</f>
        <v>0</v>
      </c>
      <c r="BB2164" s="105">
        <f>IF($AV$2010&gt;0,IPMT('Assumptions (Biomass)'!$V$6,Model!AC$1,'Assumptions (Biomass)'!$V$9,'Assumptions (Biomass)'!$V$4*Model!$AV$2010*AVERAGE('Assumptions (Biomass)'!$AR$2:$AT$2)/10^9),0)</f>
        <v>0</v>
      </c>
      <c r="BC2164" s="105">
        <f>IF($AV$2010&gt;0,IPMT('Assumptions (Biomass)'!$V$6,Model!AD$1,'Assumptions (Biomass)'!$V$9,'Assumptions (Biomass)'!$V$4*Model!$AV$2010*AVERAGE('Assumptions (Biomass)'!$AR$2:$AT$2)/10^9),0)</f>
        <v>0</v>
      </c>
      <c r="BD2164" s="105">
        <f>IF($AV$2010&gt;0,IPMT('Assumptions (Biomass)'!$V$6,Model!AE$1,'Assumptions (Biomass)'!$V$9,'Assumptions (Biomass)'!$V$4*Model!$AV$2010*AVERAGE('Assumptions (Biomass)'!$AR$2:$AT$2)/10^9),0)</f>
        <v>0</v>
      </c>
      <c r="BE2164" s="105">
        <f>IF($AV$2010&gt;0,IPMT('Assumptions (Biomass)'!$V$6,Model!AF$1,'Assumptions (Biomass)'!$V$9,'Assumptions (Biomass)'!$V$4*Model!$AV$2010*AVERAGE('Assumptions (Biomass)'!$AR$2:$AT$2)/10^9),0)</f>
        <v>0</v>
      </c>
      <c r="BF2164" s="105">
        <f>IF($AV$2010&gt;0,IPMT('Assumptions (Biomass)'!$V$6,Model!AG$1,'Assumptions (Biomass)'!$V$9,'Assumptions (Biomass)'!$V$4*Model!$AV$2010*AVERAGE('Assumptions (Biomass)'!$AR$2:$AT$2)/10^9),0)</f>
        <v>0</v>
      </c>
      <c r="BG2164" s="105">
        <f>IF($AV$2010&gt;0,IPMT('Assumptions (Biomass)'!$V$6,Model!AH$1,'Assumptions (Biomass)'!$V$9,'Assumptions (Biomass)'!$V$4*Model!$AV$2010*AVERAGE('Assumptions (Biomass)'!$AR$2:$AT$2)/10^9),0)</f>
        <v>0</v>
      </c>
      <c r="BH2164" s="105">
        <f>IF($AV$2010&gt;0,IPMT('Assumptions (Biomass)'!$V$6,Model!AI$1,'Assumptions (Biomass)'!$V$9,'Assumptions (Biomass)'!$V$4*Model!$AV$2010*AVERAGE('Assumptions (Biomass)'!$AR$2:$AT$2)/10^9),0)</f>
        <v>0</v>
      </c>
      <c r="BI2164" s="105">
        <f>IF($AV$2010&gt;0,IPMT('Assumptions (Biomass)'!$V$6,Model!AJ$1,'Assumptions (Biomass)'!$V$9,'Assumptions (Biomass)'!$V$4*Model!$AV$2010*AVERAGE('Assumptions (Biomass)'!$AR$2:$AT$2)/10^9),0)</f>
        <v>0</v>
      </c>
      <c r="BJ2164" s="105">
        <f>IF($AV$2010&gt;0,IPMT('Assumptions (Biomass)'!$V$6,Model!AK$1,'Assumptions (Biomass)'!$V$9,'Assumptions (Biomass)'!$V$4*Model!$AV$2010*AVERAGE('Assumptions (Biomass)'!$AR$2:$AT$2)/10^9),0)</f>
        <v>0</v>
      </c>
      <c r="BK2164" s="105"/>
      <c r="BL2164" s="105"/>
      <c r="BM2164" s="105"/>
      <c r="BN2164" s="105"/>
      <c r="BO2164" s="105"/>
      <c r="BP2164" s="105"/>
    </row>
    <row r="2165" spans="1:69" ht="15.75" hidden="1" customHeight="1" outlineLevel="1">
      <c r="A2165" s="441"/>
      <c r="B2165" s="99"/>
      <c r="C2165" s="99"/>
      <c r="D2165" s="99"/>
      <c r="E2165" s="99"/>
      <c r="F2165" s="99"/>
      <c r="G2165" s="99"/>
      <c r="H2165" s="99"/>
      <c r="I2165" s="99"/>
      <c r="J2165" s="99"/>
      <c r="K2165" s="99"/>
      <c r="L2165" s="99"/>
      <c r="M2165" s="99"/>
      <c r="N2165" s="99"/>
      <c r="O2165" s="99"/>
      <c r="P2165" s="99"/>
      <c r="Q2165" s="99"/>
      <c r="R2165" s="99"/>
      <c r="S2165" s="99"/>
      <c r="T2165" s="99"/>
      <c r="U2165" s="99"/>
      <c r="V2165" s="99"/>
      <c r="W2165" s="105"/>
      <c r="X2165" s="105"/>
      <c r="Y2165" s="105"/>
      <c r="Z2165" s="105"/>
      <c r="AA2165" s="105"/>
      <c r="AB2165" s="105"/>
      <c r="AC2165" s="105"/>
      <c r="AD2165" s="105"/>
      <c r="AE2165" s="105"/>
      <c r="AF2165" s="105"/>
      <c r="AG2165" s="105"/>
      <c r="AH2165" s="105"/>
      <c r="AI2165" s="105"/>
      <c r="AJ2165" s="171"/>
      <c r="AK2165" s="105"/>
      <c r="AL2165" s="91"/>
      <c r="AM2165" s="91"/>
      <c r="AN2165" s="91"/>
      <c r="AO2165" s="105"/>
      <c r="AP2165" s="105"/>
      <c r="AQ2165" s="105"/>
      <c r="AR2165" s="105"/>
      <c r="AS2165" s="105"/>
      <c r="AT2165" s="105"/>
      <c r="AU2165" s="105"/>
      <c r="AV2165" s="105"/>
      <c r="AW2165" s="105">
        <f>IF($AW$2010&gt;0,IPMT('Assumptions (Biomass)'!$V$6,Model!W$1,'Assumptions (Biomass)'!$V$9,'Assumptions (Biomass)'!$V$4*Model!$AW$2010*AVERAGE('Assumptions (Biomass)'!$AS$2:$AU$2)/10^9),0)</f>
        <v>0</v>
      </c>
      <c r="AX2165" s="105">
        <f>IF($AW$2010&gt;0,IPMT('Assumptions (Biomass)'!$V$6,Model!X$1,'Assumptions (Biomass)'!$V$9,'Assumptions (Biomass)'!$V$4*Model!$AW$2010*AVERAGE('Assumptions (Biomass)'!$AS$2:$AU$2)/10^9),0)</f>
        <v>0</v>
      </c>
      <c r="AY2165" s="105">
        <f>IF($AW$2010&gt;0,IPMT('Assumptions (Biomass)'!$V$6,Model!Y$1,'Assumptions (Biomass)'!$V$9,'Assumptions (Biomass)'!$V$4*Model!$AW$2010*AVERAGE('Assumptions (Biomass)'!$AS$2:$AU$2)/10^9),0)</f>
        <v>0</v>
      </c>
      <c r="AZ2165" s="105">
        <f>IF($AW$2010&gt;0,IPMT('Assumptions (Biomass)'!$V$6,Model!Z$1,'Assumptions (Biomass)'!$V$9,'Assumptions (Biomass)'!$V$4*Model!$AW$2010*AVERAGE('Assumptions (Biomass)'!$AS$2:$AU$2)/10^9),0)</f>
        <v>0</v>
      </c>
      <c r="BA2165" s="105">
        <f>IF($AW$2010&gt;0,IPMT('Assumptions (Biomass)'!$V$6,Model!AA$1,'Assumptions (Biomass)'!$V$9,'Assumptions (Biomass)'!$V$4*Model!$AW$2010*AVERAGE('Assumptions (Biomass)'!$AS$2:$AU$2)/10^9),0)</f>
        <v>0</v>
      </c>
      <c r="BB2165" s="105">
        <f>IF($AW$2010&gt;0,IPMT('Assumptions (Biomass)'!$V$6,Model!AB$1,'Assumptions (Biomass)'!$V$9,'Assumptions (Biomass)'!$V$4*Model!$AW$2010*AVERAGE('Assumptions (Biomass)'!$AS$2:$AU$2)/10^9),0)</f>
        <v>0</v>
      </c>
      <c r="BC2165" s="105">
        <f>IF($AW$2010&gt;0,IPMT('Assumptions (Biomass)'!$V$6,Model!AC$1,'Assumptions (Biomass)'!$V$9,'Assumptions (Biomass)'!$V$4*Model!$AW$2010*AVERAGE('Assumptions (Biomass)'!$AS$2:$AU$2)/10^9),0)</f>
        <v>0</v>
      </c>
      <c r="BD2165" s="105">
        <f>IF($AW$2010&gt;0,IPMT('Assumptions (Biomass)'!$V$6,Model!AD$1,'Assumptions (Biomass)'!$V$9,'Assumptions (Biomass)'!$V$4*Model!$AW$2010*AVERAGE('Assumptions (Biomass)'!$AS$2:$AU$2)/10^9),0)</f>
        <v>0</v>
      </c>
      <c r="BE2165" s="105">
        <f>IF($AW$2010&gt;0,IPMT('Assumptions (Biomass)'!$V$6,Model!AE$1,'Assumptions (Biomass)'!$V$9,'Assumptions (Biomass)'!$V$4*Model!$AW$2010*AVERAGE('Assumptions (Biomass)'!$AS$2:$AU$2)/10^9),0)</f>
        <v>0</v>
      </c>
      <c r="BF2165" s="105">
        <f>IF($AW$2010&gt;0,IPMT('Assumptions (Biomass)'!$V$6,Model!AF$1,'Assumptions (Biomass)'!$V$9,'Assumptions (Biomass)'!$V$4*Model!$AW$2010*AVERAGE('Assumptions (Biomass)'!$AS$2:$AU$2)/10^9),0)</f>
        <v>0</v>
      </c>
      <c r="BG2165" s="105">
        <f>IF($AW$2010&gt;0,IPMT('Assumptions (Biomass)'!$V$6,Model!AG$1,'Assumptions (Biomass)'!$V$9,'Assumptions (Biomass)'!$V$4*Model!$AW$2010*AVERAGE('Assumptions (Biomass)'!$AS$2:$AU$2)/10^9),0)</f>
        <v>0</v>
      </c>
      <c r="BH2165" s="105">
        <f>IF($AW$2010&gt;0,IPMT('Assumptions (Biomass)'!$V$6,Model!AH$1,'Assumptions (Biomass)'!$V$9,'Assumptions (Biomass)'!$V$4*Model!$AW$2010*AVERAGE('Assumptions (Biomass)'!$AS$2:$AU$2)/10^9),0)</f>
        <v>0</v>
      </c>
      <c r="BI2165" s="105">
        <f>IF($AW$2010&gt;0,IPMT('Assumptions (Biomass)'!$V$6,Model!AI$1,'Assumptions (Biomass)'!$V$9,'Assumptions (Biomass)'!$V$4*Model!$AW$2010*AVERAGE('Assumptions (Biomass)'!$AS$2:$AU$2)/10^9),0)</f>
        <v>0</v>
      </c>
      <c r="BJ2165" s="105">
        <f>IF($AW$2010&gt;0,IPMT('Assumptions (Biomass)'!$V$6,Model!AJ$1,'Assumptions (Biomass)'!$V$9,'Assumptions (Biomass)'!$V$4*Model!$AW$2010*AVERAGE('Assumptions (Biomass)'!$AS$2:$AU$2)/10^9),0)</f>
        <v>0</v>
      </c>
      <c r="BK2165" s="105">
        <f>IF($AW$2010&gt;0,IPMT('Assumptions (Biomass)'!$V$6,Model!AK$1,'Assumptions (Biomass)'!$V$9,'Assumptions (Biomass)'!$V$4*Model!$AW$2010*AVERAGE('Assumptions (Biomass)'!$AS$2:$AU$2)/10^9),0)</f>
        <v>0</v>
      </c>
      <c r="BL2165" s="105"/>
      <c r="BM2165" s="105"/>
      <c r="BN2165" s="105"/>
      <c r="BO2165" s="105"/>
      <c r="BP2165" s="105"/>
    </row>
    <row r="2166" spans="1:69" ht="15.75" hidden="1" customHeight="1" outlineLevel="1">
      <c r="A2166" s="441"/>
      <c r="B2166" s="99"/>
      <c r="C2166" s="99"/>
      <c r="D2166" s="99"/>
      <c r="E2166" s="99"/>
      <c r="F2166" s="99"/>
      <c r="G2166" s="99"/>
      <c r="H2166" s="99"/>
      <c r="I2166" s="99"/>
      <c r="J2166" s="99"/>
      <c r="K2166" s="99"/>
      <c r="L2166" s="99"/>
      <c r="M2166" s="99"/>
      <c r="N2166" s="99"/>
      <c r="O2166" s="99"/>
      <c r="P2166" s="99"/>
      <c r="Q2166" s="99"/>
      <c r="R2166" s="99"/>
      <c r="S2166" s="99"/>
      <c r="T2166" s="99"/>
      <c r="U2166" s="99"/>
      <c r="V2166" s="99"/>
      <c r="W2166" s="105"/>
      <c r="X2166" s="105"/>
      <c r="Y2166" s="105"/>
      <c r="Z2166" s="105"/>
      <c r="AA2166" s="105"/>
      <c r="AB2166" s="105"/>
      <c r="AC2166" s="105"/>
      <c r="AD2166" s="105"/>
      <c r="AE2166" s="105"/>
      <c r="AF2166" s="105"/>
      <c r="AG2166" s="105"/>
      <c r="AH2166" s="105"/>
      <c r="AI2166" s="105"/>
      <c r="AJ2166" s="171"/>
      <c r="AK2166" s="105"/>
      <c r="AL2166" s="91"/>
      <c r="AM2166" s="91"/>
      <c r="AN2166" s="91"/>
      <c r="AO2166" s="105"/>
      <c r="AP2166" s="105"/>
      <c r="AQ2166" s="105"/>
      <c r="AR2166" s="105"/>
      <c r="AS2166" s="105"/>
      <c r="AT2166" s="105"/>
      <c r="AU2166" s="105"/>
      <c r="AV2166" s="105"/>
      <c r="AW2166" s="105"/>
      <c r="AX2166" s="105">
        <f>IF($AX$2010&gt;0,IPMT('Assumptions (Biomass)'!$V$6,Model!W$1,'Assumptions (Biomass)'!$V$9,'Assumptions (Biomass)'!$V$4*Model!$AX$2010*AVERAGE('Assumptions (Biomass)'!$AT$2:$AV$2)/10^9),0)</f>
        <v>0</v>
      </c>
      <c r="AY2166" s="105">
        <f>IF($AX$2010&gt;0,IPMT('Assumptions (Biomass)'!$V$6,Model!X$1,'Assumptions (Biomass)'!$V$9,'Assumptions (Biomass)'!$V$4*Model!$AX$2010*AVERAGE('Assumptions (Biomass)'!$AT$2:$AV$2)/10^9),0)</f>
        <v>0</v>
      </c>
      <c r="AZ2166" s="105">
        <f>IF($AX$2010&gt;0,IPMT('Assumptions (Biomass)'!$V$6,Model!Y$1,'Assumptions (Biomass)'!$V$9,'Assumptions (Biomass)'!$V$4*Model!$AX$2010*AVERAGE('Assumptions (Biomass)'!$AT$2:$AV$2)/10^9),0)</f>
        <v>0</v>
      </c>
      <c r="BA2166" s="105">
        <f>IF($AX$2010&gt;0,IPMT('Assumptions (Biomass)'!$V$6,Model!Z$1,'Assumptions (Biomass)'!$V$9,'Assumptions (Biomass)'!$V$4*Model!$AX$2010*AVERAGE('Assumptions (Biomass)'!$AT$2:$AV$2)/10^9),0)</f>
        <v>0</v>
      </c>
      <c r="BB2166" s="105">
        <f>IF($AX$2010&gt;0,IPMT('Assumptions (Biomass)'!$V$6,Model!AA$1,'Assumptions (Biomass)'!$V$9,'Assumptions (Biomass)'!$V$4*Model!$AX$2010*AVERAGE('Assumptions (Biomass)'!$AT$2:$AV$2)/10^9),0)</f>
        <v>0</v>
      </c>
      <c r="BC2166" s="105">
        <f>IF($AX$2010&gt;0,IPMT('Assumptions (Biomass)'!$V$6,Model!AB$1,'Assumptions (Biomass)'!$V$9,'Assumptions (Biomass)'!$V$4*Model!$AX$2010*AVERAGE('Assumptions (Biomass)'!$AT$2:$AV$2)/10^9),0)</f>
        <v>0</v>
      </c>
      <c r="BD2166" s="105">
        <f>IF($AX$2010&gt;0,IPMT('Assumptions (Biomass)'!$V$6,Model!AC$1,'Assumptions (Biomass)'!$V$9,'Assumptions (Biomass)'!$V$4*Model!$AX$2010*AVERAGE('Assumptions (Biomass)'!$AT$2:$AV$2)/10^9),0)</f>
        <v>0</v>
      </c>
      <c r="BE2166" s="105">
        <f>IF($AX$2010&gt;0,IPMT('Assumptions (Biomass)'!$V$6,Model!AD$1,'Assumptions (Biomass)'!$V$9,'Assumptions (Biomass)'!$V$4*Model!$AX$2010*AVERAGE('Assumptions (Biomass)'!$AT$2:$AV$2)/10^9),0)</f>
        <v>0</v>
      </c>
      <c r="BF2166" s="105">
        <f>IF($AX$2010&gt;0,IPMT('Assumptions (Biomass)'!$V$6,Model!AE$1,'Assumptions (Biomass)'!$V$9,'Assumptions (Biomass)'!$V$4*Model!$AX$2010*AVERAGE('Assumptions (Biomass)'!$AT$2:$AV$2)/10^9),0)</f>
        <v>0</v>
      </c>
      <c r="BG2166" s="105">
        <f>IF($AX$2010&gt;0,IPMT('Assumptions (Biomass)'!$V$6,Model!AF$1,'Assumptions (Biomass)'!$V$9,'Assumptions (Biomass)'!$V$4*Model!$AX$2010*AVERAGE('Assumptions (Biomass)'!$AT$2:$AV$2)/10^9),0)</f>
        <v>0</v>
      </c>
      <c r="BH2166" s="105">
        <f>IF($AX$2010&gt;0,IPMT('Assumptions (Biomass)'!$V$6,Model!AG$1,'Assumptions (Biomass)'!$V$9,'Assumptions (Biomass)'!$V$4*Model!$AX$2010*AVERAGE('Assumptions (Biomass)'!$AT$2:$AV$2)/10^9),0)</f>
        <v>0</v>
      </c>
      <c r="BI2166" s="105">
        <f>IF($AX$2010&gt;0,IPMT('Assumptions (Biomass)'!$V$6,Model!AH$1,'Assumptions (Biomass)'!$V$9,'Assumptions (Biomass)'!$V$4*Model!$AX$2010*AVERAGE('Assumptions (Biomass)'!$AT$2:$AV$2)/10^9),0)</f>
        <v>0</v>
      </c>
      <c r="BJ2166" s="105">
        <f>IF($AX$2010&gt;0,IPMT('Assumptions (Biomass)'!$V$6,Model!AI$1,'Assumptions (Biomass)'!$V$9,'Assumptions (Biomass)'!$V$4*Model!$AX$2010*AVERAGE('Assumptions (Biomass)'!$AT$2:$AV$2)/10^9),0)</f>
        <v>0</v>
      </c>
      <c r="BK2166" s="105">
        <f>IF($AX$2010&gt;0,IPMT('Assumptions (Biomass)'!$V$6,Model!AJ$1,'Assumptions (Biomass)'!$V$9,'Assumptions (Biomass)'!$V$4*Model!$AX$2010*AVERAGE('Assumptions (Biomass)'!$AT$2:$AV$2)/10^9),0)</f>
        <v>0</v>
      </c>
      <c r="BL2166" s="105">
        <f>IF($AX$2010&gt;0,IPMT('Assumptions (Biomass)'!$V$6,Model!AK$1,'Assumptions (Biomass)'!$V$9,'Assumptions (Biomass)'!$V$4*Model!$AX$2010*AVERAGE('Assumptions (Biomass)'!$AT$2:$AV$2)/10^9),0)</f>
        <v>0</v>
      </c>
      <c r="BM2166" s="105"/>
      <c r="BN2166" s="105"/>
      <c r="BO2166" s="105"/>
      <c r="BP2166" s="105"/>
    </row>
    <row r="2167" spans="1:69" ht="15.75" hidden="1" customHeight="1" outlineLevel="1">
      <c r="A2167" s="441"/>
      <c r="B2167" s="99"/>
      <c r="C2167" s="99"/>
      <c r="D2167" s="99"/>
      <c r="E2167" s="99"/>
      <c r="F2167" s="99"/>
      <c r="G2167" s="99"/>
      <c r="H2167" s="99"/>
      <c r="I2167" s="99"/>
      <c r="J2167" s="99"/>
      <c r="K2167" s="99"/>
      <c r="L2167" s="99"/>
      <c r="M2167" s="99"/>
      <c r="N2167" s="99"/>
      <c r="O2167" s="99"/>
      <c r="P2167" s="99"/>
      <c r="Q2167" s="99"/>
      <c r="R2167" s="99"/>
      <c r="S2167" s="99"/>
      <c r="T2167" s="99"/>
      <c r="U2167" s="99"/>
      <c r="V2167" s="99"/>
      <c r="W2167" s="105"/>
      <c r="X2167" s="105"/>
      <c r="Y2167" s="105"/>
      <c r="Z2167" s="105"/>
      <c r="AA2167" s="105"/>
      <c r="AB2167" s="105"/>
      <c r="AC2167" s="105"/>
      <c r="AD2167" s="105"/>
      <c r="AE2167" s="105"/>
      <c r="AF2167" s="105"/>
      <c r="AG2167" s="105"/>
      <c r="AH2167" s="105"/>
      <c r="AI2167" s="105"/>
      <c r="AJ2167" s="171"/>
      <c r="AK2167" s="105"/>
      <c r="AL2167" s="91"/>
      <c r="AM2167" s="91"/>
      <c r="AN2167" s="91"/>
      <c r="AO2167" s="105"/>
      <c r="AP2167" s="105"/>
      <c r="AQ2167" s="105"/>
      <c r="AR2167" s="105"/>
      <c r="AS2167" s="105"/>
      <c r="AT2167" s="105"/>
      <c r="AU2167" s="105"/>
      <c r="AV2167" s="105"/>
      <c r="AW2167" s="105"/>
      <c r="AX2167" s="105"/>
      <c r="AY2167" s="105">
        <f>IF($AY$2010&gt;0,IPMT('Assumptions (Biomass)'!$V$6,Model!W$1,'Assumptions (Biomass)'!$V$9,'Assumptions (Biomass)'!$V$4*Model!$AY$2010*AVERAGE('Assumptions (Biomass)'!$AU$2:$AW$2)/10^9),0)</f>
        <v>0</v>
      </c>
      <c r="AZ2167" s="105">
        <f>IF($AY$2010&gt;0,IPMT('Assumptions (Biomass)'!$V$6,Model!X$1,'Assumptions (Biomass)'!$V$9,'Assumptions (Biomass)'!$V$4*Model!$AY$2010*AVERAGE('Assumptions (Biomass)'!$AU$2:$AW$2)/10^9),0)</f>
        <v>0</v>
      </c>
      <c r="BA2167" s="105">
        <f>IF($AY$2010&gt;0,IPMT('Assumptions (Biomass)'!$V$6,Model!Y$1,'Assumptions (Biomass)'!$V$9,'Assumptions (Biomass)'!$V$4*Model!$AY$2010*AVERAGE('Assumptions (Biomass)'!$AU$2:$AW$2)/10^9),0)</f>
        <v>0</v>
      </c>
      <c r="BB2167" s="105">
        <f>IF($AY$2010&gt;0,IPMT('Assumptions (Biomass)'!$V$6,Model!Z$1,'Assumptions (Biomass)'!$V$9,'Assumptions (Biomass)'!$V$4*Model!$AY$2010*AVERAGE('Assumptions (Biomass)'!$AU$2:$AW$2)/10^9),0)</f>
        <v>0</v>
      </c>
      <c r="BC2167" s="105">
        <f>IF($AY$2010&gt;0,IPMT('Assumptions (Biomass)'!$V$6,Model!AA$1,'Assumptions (Biomass)'!$V$9,'Assumptions (Biomass)'!$V$4*Model!$AY$2010*AVERAGE('Assumptions (Biomass)'!$AU$2:$AW$2)/10^9),0)</f>
        <v>0</v>
      </c>
      <c r="BD2167" s="105">
        <f>IF($AY$2010&gt;0,IPMT('Assumptions (Biomass)'!$V$6,Model!AB$1,'Assumptions (Biomass)'!$V$9,'Assumptions (Biomass)'!$V$4*Model!$AY$2010*AVERAGE('Assumptions (Biomass)'!$AU$2:$AW$2)/10^9),0)</f>
        <v>0</v>
      </c>
      <c r="BE2167" s="105">
        <f>IF($AY$2010&gt;0,IPMT('Assumptions (Biomass)'!$V$6,Model!AC$1,'Assumptions (Biomass)'!$V$9,'Assumptions (Biomass)'!$V$4*Model!$AY$2010*AVERAGE('Assumptions (Biomass)'!$AU$2:$AW$2)/10^9),0)</f>
        <v>0</v>
      </c>
      <c r="BF2167" s="105">
        <f>IF($AY$2010&gt;0,IPMT('Assumptions (Biomass)'!$V$6,Model!AD$1,'Assumptions (Biomass)'!$V$9,'Assumptions (Biomass)'!$V$4*Model!$AY$2010*AVERAGE('Assumptions (Biomass)'!$AU$2:$AW$2)/10^9),0)</f>
        <v>0</v>
      </c>
      <c r="BG2167" s="105">
        <f>IF($AY$2010&gt;0,IPMT('Assumptions (Biomass)'!$V$6,Model!AE$1,'Assumptions (Biomass)'!$V$9,'Assumptions (Biomass)'!$V$4*Model!$AY$2010*AVERAGE('Assumptions (Biomass)'!$AU$2:$AW$2)/10^9),0)</f>
        <v>0</v>
      </c>
      <c r="BH2167" s="105">
        <f>IF($AY$2010&gt;0,IPMT('Assumptions (Biomass)'!$V$6,Model!AF$1,'Assumptions (Biomass)'!$V$9,'Assumptions (Biomass)'!$V$4*Model!$AY$2010*AVERAGE('Assumptions (Biomass)'!$AU$2:$AW$2)/10^9),0)</f>
        <v>0</v>
      </c>
      <c r="BI2167" s="105">
        <f>IF($AY$2010&gt;0,IPMT('Assumptions (Biomass)'!$V$6,Model!AG$1,'Assumptions (Biomass)'!$V$9,'Assumptions (Biomass)'!$V$4*Model!$AY$2010*AVERAGE('Assumptions (Biomass)'!$AU$2:$AW$2)/10^9),0)</f>
        <v>0</v>
      </c>
      <c r="BJ2167" s="105">
        <f>IF($AY$2010&gt;0,IPMT('Assumptions (Biomass)'!$V$6,Model!AH$1,'Assumptions (Biomass)'!$V$9,'Assumptions (Biomass)'!$V$4*Model!$AY$2010*AVERAGE('Assumptions (Biomass)'!$AU$2:$AW$2)/10^9),0)</f>
        <v>0</v>
      </c>
      <c r="BK2167" s="105">
        <f>IF($AY$2010&gt;0,IPMT('Assumptions (Biomass)'!$V$6,Model!AI$1,'Assumptions (Biomass)'!$V$9,'Assumptions (Biomass)'!$V$4*Model!$AY$2010*AVERAGE('Assumptions (Biomass)'!$AU$2:$AW$2)/10^9),0)</f>
        <v>0</v>
      </c>
      <c r="BL2167" s="105">
        <f>IF($AY$2010&gt;0,IPMT('Assumptions (Biomass)'!$V$6,Model!AJ$1,'Assumptions (Biomass)'!$V$9,'Assumptions (Biomass)'!$V$4*Model!$AY$2010*AVERAGE('Assumptions (Biomass)'!$AU$2:$AW$2)/10^9),0)</f>
        <v>0</v>
      </c>
      <c r="BM2167" s="105">
        <f>IF($AY$2010&gt;0,IPMT('Assumptions (Biomass)'!$V$6,Model!AK$1,'Assumptions (Biomass)'!$V$9,'Assumptions (Biomass)'!$V$4*Model!$AY$2010*AVERAGE('Assumptions (Biomass)'!$AU$2:$AW$2)/10^9),0)</f>
        <v>0</v>
      </c>
      <c r="BN2167" s="105"/>
      <c r="BO2167" s="105"/>
      <c r="BP2167" s="105"/>
    </row>
    <row r="2168" spans="1:69" ht="15.75" hidden="1" customHeight="1" outlineLevel="1">
      <c r="A2168" s="441"/>
      <c r="B2168" s="99"/>
      <c r="C2168" s="99"/>
      <c r="D2168" s="99"/>
      <c r="E2168" s="99"/>
      <c r="F2168" s="99"/>
      <c r="G2168" s="99"/>
      <c r="H2168" s="99"/>
      <c r="I2168" s="99"/>
      <c r="J2168" s="99"/>
      <c r="K2168" s="99"/>
      <c r="L2168" s="99"/>
      <c r="M2168" s="99"/>
      <c r="N2168" s="99"/>
      <c r="O2168" s="99"/>
      <c r="P2168" s="99"/>
      <c r="Q2168" s="99"/>
      <c r="R2168" s="99"/>
      <c r="S2168" s="99"/>
      <c r="T2168" s="99"/>
      <c r="U2168" s="99"/>
      <c r="V2168" s="99"/>
      <c r="W2168" s="105"/>
      <c r="X2168" s="105"/>
      <c r="Y2168" s="105"/>
      <c r="Z2168" s="105"/>
      <c r="AA2168" s="105"/>
      <c r="AB2168" s="105"/>
      <c r="AC2168" s="105"/>
      <c r="AD2168" s="105"/>
      <c r="AE2168" s="105"/>
      <c r="AF2168" s="105"/>
      <c r="AG2168" s="105"/>
      <c r="AH2168" s="105"/>
      <c r="AI2168" s="105"/>
      <c r="AJ2168" s="171"/>
      <c r="AK2168" s="105"/>
      <c r="AL2168" s="91"/>
      <c r="AM2168" s="91"/>
      <c r="AN2168" s="91"/>
      <c r="AO2168" s="105"/>
      <c r="AP2168" s="105"/>
      <c r="AQ2168" s="105"/>
      <c r="AR2168" s="105"/>
      <c r="AS2168" s="105"/>
      <c r="AT2168" s="105"/>
      <c r="AU2168" s="105"/>
      <c r="AV2168" s="105"/>
      <c r="AW2168" s="105"/>
      <c r="AX2168" s="105"/>
      <c r="AY2168" s="105"/>
      <c r="AZ2168" s="105">
        <f>IF($AZ$2010&gt;0,IPMT('Assumptions (Biomass)'!$V$6,Model!W$1,'Assumptions (Biomass)'!$V$9,'Assumptions (Biomass)'!$V$4*Model!$AZ$2010*AVERAGE('Assumptions (Biomass)'!$AV$2:$AX$2)/10^9),0)</f>
        <v>0</v>
      </c>
      <c r="BA2168" s="105">
        <f>IF($AZ$2010&gt;0,IPMT('Assumptions (Biomass)'!$V$6,Model!X$1,'Assumptions (Biomass)'!$V$9,'Assumptions (Biomass)'!$V$4*Model!$AZ$2010*AVERAGE('Assumptions (Biomass)'!$AV$2:$AX$2)/10^9),0)</f>
        <v>0</v>
      </c>
      <c r="BB2168" s="105">
        <f>IF($AZ$2010&gt;0,IPMT('Assumptions (Biomass)'!$V$6,Model!Y$1,'Assumptions (Biomass)'!$V$9,'Assumptions (Biomass)'!$V$4*Model!$AZ$2010*AVERAGE('Assumptions (Biomass)'!$AV$2:$AX$2)/10^9),0)</f>
        <v>0</v>
      </c>
      <c r="BC2168" s="105">
        <f>IF($AZ$2010&gt;0,IPMT('Assumptions (Biomass)'!$V$6,Model!Z$1,'Assumptions (Biomass)'!$V$9,'Assumptions (Biomass)'!$V$4*Model!$AZ$2010*AVERAGE('Assumptions (Biomass)'!$AV$2:$AX$2)/10^9),0)</f>
        <v>0</v>
      </c>
      <c r="BD2168" s="105">
        <f>IF($AZ$2010&gt;0,IPMT('Assumptions (Biomass)'!$V$6,Model!AA$1,'Assumptions (Biomass)'!$V$9,'Assumptions (Biomass)'!$V$4*Model!$AZ$2010*AVERAGE('Assumptions (Biomass)'!$AV$2:$AX$2)/10^9),0)</f>
        <v>0</v>
      </c>
      <c r="BE2168" s="105">
        <f>IF($AZ$2010&gt;0,IPMT('Assumptions (Biomass)'!$V$6,Model!AB$1,'Assumptions (Biomass)'!$V$9,'Assumptions (Biomass)'!$V$4*Model!$AZ$2010*AVERAGE('Assumptions (Biomass)'!$AV$2:$AX$2)/10^9),0)</f>
        <v>0</v>
      </c>
      <c r="BF2168" s="105">
        <f>IF($AZ$2010&gt;0,IPMT('Assumptions (Biomass)'!$V$6,Model!AC$1,'Assumptions (Biomass)'!$V$9,'Assumptions (Biomass)'!$V$4*Model!$AZ$2010*AVERAGE('Assumptions (Biomass)'!$AV$2:$AX$2)/10^9),0)</f>
        <v>0</v>
      </c>
      <c r="BG2168" s="105">
        <f>IF($AZ$2010&gt;0,IPMT('Assumptions (Biomass)'!$V$6,Model!AD$1,'Assumptions (Biomass)'!$V$9,'Assumptions (Biomass)'!$V$4*Model!$AZ$2010*AVERAGE('Assumptions (Biomass)'!$AV$2:$AX$2)/10^9),0)</f>
        <v>0</v>
      </c>
      <c r="BH2168" s="105">
        <f>IF($AZ$2010&gt;0,IPMT('Assumptions (Biomass)'!$V$6,Model!AE$1,'Assumptions (Biomass)'!$V$9,'Assumptions (Biomass)'!$V$4*Model!$AZ$2010*AVERAGE('Assumptions (Biomass)'!$AV$2:$AX$2)/10^9),0)</f>
        <v>0</v>
      </c>
      <c r="BI2168" s="105">
        <f>IF($AZ$2010&gt;0,IPMT('Assumptions (Biomass)'!$V$6,Model!AF$1,'Assumptions (Biomass)'!$V$9,'Assumptions (Biomass)'!$V$4*Model!$AZ$2010*AVERAGE('Assumptions (Biomass)'!$AV$2:$AX$2)/10^9),0)</f>
        <v>0</v>
      </c>
      <c r="BJ2168" s="105">
        <f>IF($AZ$2010&gt;0,IPMT('Assumptions (Biomass)'!$V$6,Model!AG$1,'Assumptions (Biomass)'!$V$9,'Assumptions (Biomass)'!$V$4*Model!$AZ$2010*AVERAGE('Assumptions (Biomass)'!$AV$2:$AX$2)/10^9),0)</f>
        <v>0</v>
      </c>
      <c r="BK2168" s="105">
        <f>IF($AZ$2010&gt;0,IPMT('Assumptions (Biomass)'!$V$6,Model!AH$1,'Assumptions (Biomass)'!$V$9,'Assumptions (Biomass)'!$V$4*Model!$AZ$2010*AVERAGE('Assumptions (Biomass)'!$AV$2:$AX$2)/10^9),0)</f>
        <v>0</v>
      </c>
      <c r="BL2168" s="105">
        <f>IF($AZ$2010&gt;0,IPMT('Assumptions (Biomass)'!$V$6,Model!AI$1,'Assumptions (Biomass)'!$V$9,'Assumptions (Biomass)'!$V$4*Model!$AZ$2010*AVERAGE('Assumptions (Biomass)'!$AV$2:$AX$2)/10^9),0)</f>
        <v>0</v>
      </c>
      <c r="BM2168" s="105">
        <f>IF($AZ$2010&gt;0,IPMT('Assumptions (Biomass)'!$V$6,Model!AJ$1,'Assumptions (Biomass)'!$V$9,'Assumptions (Biomass)'!$V$4*Model!$AZ$2010*AVERAGE('Assumptions (Biomass)'!$AV$2:$AX$2)/10^9),0)</f>
        <v>0</v>
      </c>
      <c r="BN2168" s="105">
        <f>IF($AZ$2010&gt;0,IPMT('Assumptions (Biomass)'!$V$6,Model!AK$1,'Assumptions (Biomass)'!$V$9,'Assumptions (Biomass)'!$V$4*Model!$AZ$2010*AVERAGE('Assumptions (Biomass)'!$AV$2:$AX$2)/10^9),0)</f>
        <v>0</v>
      </c>
      <c r="BO2168" s="105"/>
      <c r="BP2168" s="105"/>
    </row>
    <row r="2169" spans="1:69" ht="15.75" hidden="1" customHeight="1" outlineLevel="1">
      <c r="A2169" s="441"/>
      <c r="B2169" s="99"/>
      <c r="C2169" s="99"/>
      <c r="D2169" s="99"/>
      <c r="E2169" s="99"/>
      <c r="F2169" s="99"/>
      <c r="G2169" s="99"/>
      <c r="H2169" s="99"/>
      <c r="I2169" s="99"/>
      <c r="J2169" s="99"/>
      <c r="K2169" s="99"/>
      <c r="L2169" s="99"/>
      <c r="M2169" s="99"/>
      <c r="N2169" s="99"/>
      <c r="O2169" s="99"/>
      <c r="P2169" s="99"/>
      <c r="Q2169" s="99"/>
      <c r="R2169" s="99"/>
      <c r="S2169" s="99"/>
      <c r="T2169" s="99"/>
      <c r="U2169" s="99"/>
      <c r="V2169" s="99"/>
      <c r="W2169" s="105"/>
      <c r="X2169" s="105"/>
      <c r="Y2169" s="105"/>
      <c r="Z2169" s="105"/>
      <c r="AA2169" s="105"/>
      <c r="AB2169" s="105"/>
      <c r="AC2169" s="105"/>
      <c r="AD2169" s="105"/>
      <c r="AE2169" s="105"/>
      <c r="AF2169" s="105"/>
      <c r="AG2169" s="105"/>
      <c r="AH2169" s="105"/>
      <c r="AI2169" s="105"/>
      <c r="AJ2169" s="171"/>
      <c r="AK2169" s="105"/>
      <c r="AL2169" s="91"/>
      <c r="AM2169" s="91"/>
      <c r="AN2169" s="91"/>
      <c r="AO2169" s="105"/>
      <c r="AP2169" s="105"/>
      <c r="AQ2169" s="105"/>
      <c r="AR2169" s="105"/>
      <c r="AS2169" s="105"/>
      <c r="AT2169" s="105"/>
      <c r="AU2169" s="105"/>
      <c r="AV2169" s="105"/>
      <c r="AW2169" s="105"/>
      <c r="AX2169" s="105"/>
      <c r="AY2169" s="105"/>
      <c r="AZ2169" s="105"/>
      <c r="BA2169" s="105">
        <f>IF($BA$2010&gt;0,IPMT('Assumptions (Biomass)'!$V$6,Model!W$1,'Assumptions (Biomass)'!$V$9,'Assumptions (Biomass)'!$V$4*Model!$BA$2010*AVERAGE('Assumptions (Biomass)'!$AW$2:$AY$2)/10^9),0)</f>
        <v>0</v>
      </c>
      <c r="BB2169" s="105">
        <f>IF($BA$2010&gt;0,IPMT('Assumptions (Biomass)'!$V$6,Model!X$1,'Assumptions (Biomass)'!$V$9,'Assumptions (Biomass)'!$V$4*Model!$BA$2010*AVERAGE('Assumptions (Biomass)'!$AW$2:$AY$2)/10^9),0)</f>
        <v>0</v>
      </c>
      <c r="BC2169" s="105">
        <f>IF($BA$2010&gt;0,IPMT('Assumptions (Biomass)'!$V$6,Model!Y$1,'Assumptions (Biomass)'!$V$9,'Assumptions (Biomass)'!$V$4*Model!$BA$2010*AVERAGE('Assumptions (Biomass)'!$AW$2:$AY$2)/10^9),0)</f>
        <v>0</v>
      </c>
      <c r="BD2169" s="105">
        <f>IF($BA$2010&gt;0,IPMT('Assumptions (Biomass)'!$V$6,Model!Z$1,'Assumptions (Biomass)'!$V$9,'Assumptions (Biomass)'!$V$4*Model!$BA$2010*AVERAGE('Assumptions (Biomass)'!$AW$2:$AY$2)/10^9),0)</f>
        <v>0</v>
      </c>
      <c r="BE2169" s="105">
        <f>IF($BA$2010&gt;0,IPMT('Assumptions (Biomass)'!$V$6,Model!AA$1,'Assumptions (Biomass)'!$V$9,'Assumptions (Biomass)'!$V$4*Model!$BA$2010*AVERAGE('Assumptions (Biomass)'!$AW$2:$AY$2)/10^9),0)</f>
        <v>0</v>
      </c>
      <c r="BF2169" s="105">
        <f>IF($BA$2010&gt;0,IPMT('Assumptions (Biomass)'!$V$6,Model!AB$1,'Assumptions (Biomass)'!$V$9,'Assumptions (Biomass)'!$V$4*Model!$BA$2010*AVERAGE('Assumptions (Biomass)'!$AW$2:$AY$2)/10^9),0)</f>
        <v>0</v>
      </c>
      <c r="BG2169" s="105">
        <f>IF($BA$2010&gt;0,IPMT('Assumptions (Biomass)'!$V$6,Model!AC$1,'Assumptions (Biomass)'!$V$9,'Assumptions (Biomass)'!$V$4*Model!$BA$2010*AVERAGE('Assumptions (Biomass)'!$AW$2:$AY$2)/10^9),0)</f>
        <v>0</v>
      </c>
      <c r="BH2169" s="105">
        <f>IF($BA$2010&gt;0,IPMT('Assumptions (Biomass)'!$V$6,Model!AD$1,'Assumptions (Biomass)'!$V$9,'Assumptions (Biomass)'!$V$4*Model!$BA$2010*AVERAGE('Assumptions (Biomass)'!$AW$2:$AY$2)/10^9),0)</f>
        <v>0</v>
      </c>
      <c r="BI2169" s="105">
        <f>IF($BA$2010&gt;0,IPMT('Assumptions (Biomass)'!$V$6,Model!AE$1,'Assumptions (Biomass)'!$V$9,'Assumptions (Biomass)'!$V$4*Model!$BA$2010*AVERAGE('Assumptions (Biomass)'!$AW$2:$AY$2)/10^9),0)</f>
        <v>0</v>
      </c>
      <c r="BJ2169" s="105">
        <f>IF($BA$2010&gt;0,IPMT('Assumptions (Biomass)'!$V$6,Model!AF$1,'Assumptions (Biomass)'!$V$9,'Assumptions (Biomass)'!$V$4*Model!$BA$2010*AVERAGE('Assumptions (Biomass)'!$AW$2:$AY$2)/10^9),0)</f>
        <v>0</v>
      </c>
      <c r="BK2169" s="105">
        <f>IF($BA$2010&gt;0,IPMT('Assumptions (Biomass)'!$V$6,Model!AG$1,'Assumptions (Biomass)'!$V$9,'Assumptions (Biomass)'!$V$4*Model!$BA$2010*AVERAGE('Assumptions (Biomass)'!$AW$2:$AY$2)/10^9),0)</f>
        <v>0</v>
      </c>
      <c r="BL2169" s="105">
        <f>IF($BA$2010&gt;0,IPMT('Assumptions (Biomass)'!$V$6,Model!AH$1,'Assumptions (Biomass)'!$V$9,'Assumptions (Biomass)'!$V$4*Model!$BA$2010*AVERAGE('Assumptions (Biomass)'!$AW$2:$AY$2)/10^9),0)</f>
        <v>0</v>
      </c>
      <c r="BM2169" s="105">
        <f>IF($BA$2010&gt;0,IPMT('Assumptions (Biomass)'!$V$6,Model!AI$1,'Assumptions (Biomass)'!$V$9,'Assumptions (Biomass)'!$V$4*Model!$BA$2010*AVERAGE('Assumptions (Biomass)'!$AW$2:$AY$2)/10^9),0)</f>
        <v>0</v>
      </c>
      <c r="BN2169" s="105">
        <f>IF($BA$2010&gt;0,IPMT('Assumptions (Biomass)'!$V$6,Model!AJ$1,'Assumptions (Biomass)'!$V$9,'Assumptions (Biomass)'!$V$4*Model!$BA$2010*AVERAGE('Assumptions (Biomass)'!$AW$2:$AY$2)/10^9),0)</f>
        <v>0</v>
      </c>
      <c r="BO2169" s="105">
        <f>IF($BA$2010&gt;0,IPMT('Assumptions (Biomass)'!$V$6,Model!AK$1,'Assumptions (Biomass)'!$V$9,'Assumptions (Biomass)'!$V$4*Model!$BA$2010*AVERAGE('Assumptions (Biomass)'!$AW$2:$AY$2)/10^9),0)</f>
        <v>0</v>
      </c>
      <c r="BP2169" s="105"/>
    </row>
    <row r="2170" spans="1:69" ht="15.75" customHeight="1" collapsed="1">
      <c r="A2170" s="443" t="s">
        <v>806</v>
      </c>
      <c r="B2170" s="99" t="s">
        <v>201</v>
      </c>
      <c r="C2170" s="91">
        <f t="shared" ref="C2170:BP2170" si="50">SUM(C2171:C2221)</f>
        <v>8.2630112164339738E-4</v>
      </c>
      <c r="D2170" s="91">
        <f t="shared" si="50"/>
        <v>1.2079489522024412E-2</v>
      </c>
      <c r="E2170" s="91">
        <f t="shared" si="50"/>
        <v>2.2280822416463435E-2</v>
      </c>
      <c r="F2170" s="91">
        <f t="shared" si="50"/>
        <v>2.8684646641166083E-2</v>
      </c>
      <c r="G2170" s="91">
        <f t="shared" si="50"/>
        <v>4.1282737465622624E-2</v>
      </c>
      <c r="H2170" s="91">
        <f t="shared" si="50"/>
        <v>4.5125590919474476E-2</v>
      </c>
      <c r="I2170" s="91">
        <f t="shared" si="50"/>
        <v>5.5437267214951902E-2</v>
      </c>
      <c r="J2170" s="91">
        <f t="shared" si="50"/>
        <v>8.0532381394440897E-2</v>
      </c>
      <c r="K2170" s="91">
        <f t="shared" si="50"/>
        <v>0.10657718959608856</v>
      </c>
      <c r="L2170" s="91">
        <f t="shared" si="50"/>
        <v>0.13368436786231502</v>
      </c>
      <c r="M2170" s="91">
        <f t="shared" si="50"/>
        <v>0.15423795070155999</v>
      </c>
      <c r="N2170" s="91">
        <f t="shared" si="50"/>
        <v>0.17654978905050794</v>
      </c>
      <c r="O2170" s="91">
        <f t="shared" si="50"/>
        <v>0.21407695457942136</v>
      </c>
      <c r="P2170" s="91">
        <f t="shared" si="50"/>
        <v>0.32355841775608302</v>
      </c>
      <c r="Q2170" s="91">
        <f t="shared" si="50"/>
        <v>0.41559977319742081</v>
      </c>
      <c r="R2170" s="91">
        <f t="shared" si="50"/>
        <v>0.42638482622935275</v>
      </c>
      <c r="S2170" s="91">
        <f t="shared" si="50"/>
        <v>0.41354675145603642</v>
      </c>
      <c r="T2170" s="91">
        <f t="shared" si="50"/>
        <v>0.40311220266469111</v>
      </c>
      <c r="U2170" s="91">
        <f t="shared" si="50"/>
        <v>0.39810066266576927</v>
      </c>
      <c r="V2170" s="91">
        <f t="shared" si="50"/>
        <v>0.40320138029299502</v>
      </c>
      <c r="W2170" s="91">
        <f t="shared" si="50"/>
        <v>0.42455195797249046</v>
      </c>
      <c r="X2170" s="91">
        <f t="shared" si="50"/>
        <v>0.41327926175475971</v>
      </c>
      <c r="Y2170" s="91">
        <f t="shared" si="50"/>
        <v>0.38510376743136349</v>
      </c>
      <c r="Z2170" s="91">
        <f t="shared" si="50"/>
        <v>0.35806311347941966</v>
      </c>
      <c r="AA2170" s="91">
        <f t="shared" si="50"/>
        <v>0.33106366813550964</v>
      </c>
      <c r="AB2170" s="91">
        <f t="shared" si="50"/>
        <v>0.30969089087203849</v>
      </c>
      <c r="AC2170" s="91">
        <f t="shared" si="50"/>
        <v>0.28854890370856517</v>
      </c>
      <c r="AD2170" s="91">
        <f t="shared" si="50"/>
        <v>0.25865426613139753</v>
      </c>
      <c r="AE2170" s="91">
        <f t="shared" si="50"/>
        <v>0.18465863074216421</v>
      </c>
      <c r="AF2170" s="91">
        <f t="shared" si="50"/>
        <v>0.11597123143483884</v>
      </c>
      <c r="AG2170" s="91">
        <f t="shared" si="50"/>
        <v>9.0581175552504903E-2</v>
      </c>
      <c r="AH2170" s="91">
        <f t="shared" si="50"/>
        <v>7.6104627200771602E-2</v>
      </c>
      <c r="AI2170" s="91">
        <f t="shared" si="50"/>
        <v>6.1540548644739408E-2</v>
      </c>
      <c r="AJ2170" s="91">
        <f t="shared" si="50"/>
        <v>4.6802764651552788E-2</v>
      </c>
      <c r="AK2170" s="91">
        <f t="shared" si="50"/>
        <v>2.8025743970145157E-2</v>
      </c>
      <c r="AL2170" s="91">
        <f t="shared" si="50"/>
        <v>5.5493282487504812E-3</v>
      </c>
      <c r="AM2170" s="91">
        <f t="shared" si="50"/>
        <v>0</v>
      </c>
      <c r="AN2170" s="91">
        <f t="shared" si="50"/>
        <v>0</v>
      </c>
      <c r="AO2170" s="91">
        <f t="shared" si="50"/>
        <v>0</v>
      </c>
      <c r="AP2170" s="91">
        <f t="shared" si="50"/>
        <v>0</v>
      </c>
      <c r="AQ2170" s="91">
        <f t="shared" si="50"/>
        <v>0</v>
      </c>
      <c r="AR2170" s="91">
        <f t="shared" si="50"/>
        <v>0</v>
      </c>
      <c r="AS2170" s="91">
        <f t="shared" si="50"/>
        <v>0</v>
      </c>
      <c r="AT2170" s="91">
        <f t="shared" si="50"/>
        <v>0</v>
      </c>
      <c r="AU2170" s="91">
        <f t="shared" si="50"/>
        <v>0</v>
      </c>
      <c r="AV2170" s="91">
        <f t="shared" si="50"/>
        <v>0</v>
      </c>
      <c r="AW2170" s="91">
        <f t="shared" si="50"/>
        <v>0</v>
      </c>
      <c r="AX2170" s="91">
        <f t="shared" si="50"/>
        <v>0</v>
      </c>
      <c r="AY2170" s="91">
        <f t="shared" si="50"/>
        <v>0</v>
      </c>
      <c r="AZ2170" s="91">
        <f t="shared" si="50"/>
        <v>0</v>
      </c>
      <c r="BA2170" s="91">
        <f t="shared" si="50"/>
        <v>0</v>
      </c>
      <c r="BB2170" s="91">
        <f t="shared" si="50"/>
        <v>0</v>
      </c>
      <c r="BC2170" s="91">
        <f t="shared" si="50"/>
        <v>0</v>
      </c>
      <c r="BD2170" s="91">
        <f t="shared" si="50"/>
        <v>0</v>
      </c>
      <c r="BE2170" s="91">
        <f t="shared" si="50"/>
        <v>0</v>
      </c>
      <c r="BF2170" s="91">
        <f t="shared" si="50"/>
        <v>0</v>
      </c>
      <c r="BG2170" s="91">
        <f t="shared" si="50"/>
        <v>0</v>
      </c>
      <c r="BH2170" s="91">
        <f t="shared" si="50"/>
        <v>0</v>
      </c>
      <c r="BI2170" s="91">
        <f t="shared" si="50"/>
        <v>0</v>
      </c>
      <c r="BJ2170" s="91">
        <f t="shared" si="50"/>
        <v>0</v>
      </c>
      <c r="BK2170" s="91">
        <f t="shared" si="50"/>
        <v>0</v>
      </c>
      <c r="BL2170" s="91">
        <f t="shared" si="50"/>
        <v>0</v>
      </c>
      <c r="BM2170" s="91">
        <f t="shared" si="50"/>
        <v>0</v>
      </c>
      <c r="BN2170" s="91">
        <f t="shared" si="50"/>
        <v>0</v>
      </c>
      <c r="BO2170" s="91">
        <f t="shared" si="50"/>
        <v>0</v>
      </c>
      <c r="BP2170" s="91">
        <f t="shared" si="50"/>
        <v>0</v>
      </c>
      <c r="BQ2170" s="91"/>
    </row>
    <row r="2171" spans="1:69" ht="15.75" hidden="1" customHeight="1" outlineLevel="1">
      <c r="A2171" s="441"/>
      <c r="B2171" s="99"/>
      <c r="C2171" s="167">
        <f>IF($C$2010&gt;0,'Assumptions (Biomass)'!V$10*Model!$C$2010*'Assumptions (Biomass)'!$B$2/10^9,0)</f>
        <v>8.2630112164339738E-4</v>
      </c>
      <c r="D2171" s="167">
        <f>IF($C$2010&gt;0,'Assumptions (Biomass)'!W$10*Model!$C$2010*'Assumptions (Biomass)'!$B$2/10^9,0)</f>
        <v>1.5699721311224549E-3</v>
      </c>
      <c r="E2171" s="167">
        <f>IF($C$2010&gt;0,'Assumptions (Biomass)'!X$10*Model!$C$2010*'Assumptions (Biomass)'!$B$2/10^9,0)</f>
        <v>1.4129749180102093E-3</v>
      </c>
      <c r="F2171" s="167">
        <f>IF($C$2010&gt;0,'Assumptions (Biomass)'!Y$10*Model!$C$2010*'Assumptions (Biomass)'!$B$2/10^9,0)</f>
        <v>1.2725037273308318E-3</v>
      </c>
      <c r="G2171" s="167">
        <f>IF($C$2010&gt;0,'Assumptions (Biomass)'!Z$10*Model!$C$2010*'Assumptions (Biomass)'!$B$2/10^9,0)</f>
        <v>1.1452533545977485E-3</v>
      </c>
      <c r="H2171" s="167">
        <f>IF($C$2010&gt;0,'Assumptions (Biomass)'!AA$10*Model!$C$2010*'Assumptions (Biomass)'!$B$2/10^9,0)</f>
        <v>1.0295711975676729E-3</v>
      </c>
      <c r="I2171" s="167">
        <f>IF($C$2010&gt;0,'Assumptions (Biomass)'!AB$10*Model!$C$2010*'Assumptions (Biomass)'!$B$2/10^9,0)</f>
        <v>9.7503532353920873E-4</v>
      </c>
      <c r="J2171" s="167">
        <f>IF($C$2010&gt;0,'Assumptions (Biomass)'!AC$10*Model!$C$2010*'Assumptions (Biomass)'!$B$2/10^9,0)</f>
        <v>9.7503532353920873E-4</v>
      </c>
      <c r="K2171" s="167">
        <f>IF($C$2010&gt;0,'Assumptions (Biomass)'!AD$10*Model!$C$2010*'Assumptions (Biomass)'!$B$2/10^9,0)</f>
        <v>9.7668792578249554E-4</v>
      </c>
      <c r="L2171" s="167">
        <f>IF($C$2010&gt;0,'Assumptions (Biomass)'!AE$10*Model!$C$2010*'Assumptions (Biomass)'!$B$2/10^9,0)</f>
        <v>9.7503532353920873E-4</v>
      </c>
      <c r="M2171" s="167">
        <f>IF($C$2010&gt;0,'Assumptions (Biomass)'!AF$10*Model!$C$2010*'Assumptions (Biomass)'!$B$2/10^9,0)</f>
        <v>9.7668792578249554E-4</v>
      </c>
      <c r="N2171" s="167">
        <f>IF($C$2010&gt;0,'Assumptions (Biomass)'!AG$10*Model!$C$2010*'Assumptions (Biomass)'!$B$2/10^9,0)</f>
        <v>9.7503532353920873E-4</v>
      </c>
      <c r="O2171" s="167">
        <f>IF($C$2010&gt;0,'Assumptions (Biomass)'!AH$10*Model!$C$2010*'Assumptions (Biomass)'!$B$2/10^9,0)</f>
        <v>9.7668792578249554E-4</v>
      </c>
      <c r="P2171" s="167">
        <f>IF($C$2010&gt;0,'Assumptions (Biomass)'!AI$10*Model!$C$2010*'Assumptions (Biomass)'!$B$2/10^9,0)</f>
        <v>9.7503532353920873E-4</v>
      </c>
      <c r="Q2171" s="167">
        <f>IF($C$2010&gt;0,'Assumptions (Biomass)'!AJ$10*Model!$C$2010*'Assumptions (Biomass)'!$B$2/10^9,0)</f>
        <v>9.7668792578249554E-4</v>
      </c>
      <c r="R2171" s="167">
        <f>IF($C$2010&gt;0,'Assumptions (Biomass)'!AK$10*Model!$C$2010*'Assumptions (Biomass)'!$B$2/10^9,0)</f>
        <v>4.8751766176960437E-4</v>
      </c>
      <c r="S2171" s="91"/>
      <c r="T2171" s="91"/>
      <c r="U2171" s="91"/>
      <c r="V2171" s="91"/>
      <c r="W2171" s="91"/>
      <c r="X2171" s="105"/>
      <c r="Y2171" s="105"/>
      <c r="Z2171" s="105"/>
      <c r="AA2171" s="105"/>
      <c r="AB2171" s="105"/>
      <c r="AC2171" s="105"/>
      <c r="AD2171" s="105"/>
      <c r="AE2171" s="105"/>
      <c r="AF2171" s="105"/>
      <c r="AG2171" s="105"/>
    </row>
    <row r="2172" spans="1:69" ht="15.75" hidden="1" customHeight="1" outlineLevel="1">
      <c r="A2172" s="441"/>
      <c r="B2172" s="99"/>
      <c r="C2172" s="105"/>
      <c r="D2172" s="105">
        <f>IF($D$2010&gt;0,'Assumptions (Biomass)'!V$10*Model!$D$2010*'Assumptions (Biomass)'!$B$2/10^9,0)</f>
        <v>1.0509517390901958E-2</v>
      </c>
      <c r="E2172" s="105">
        <f>IF($D$2010&gt;0,'Assumptions (Biomass)'!W$10*Model!$D$2010*'Assumptions (Biomass)'!$B$2/10^9,0)</f>
        <v>1.9968083042713719E-2</v>
      </c>
      <c r="F2172" s="105">
        <f>IF($D$2010&gt;0,'Assumptions (Biomass)'!X$10*Model!$D$2010*'Assumptions (Biomass)'!$B$2/10^9,0)</f>
        <v>1.7971274738442351E-2</v>
      </c>
      <c r="G2172" s="105">
        <f>IF($D$2010&gt;0,'Assumptions (Biomass)'!Y$10*Model!$D$2010*'Assumptions (Biomass)'!$B$2/10^9,0)</f>
        <v>1.6184656781989017E-2</v>
      </c>
      <c r="H2172" s="105">
        <f>IF($D$2010&gt;0,'Assumptions (Biomass)'!Z$10*Model!$D$2010*'Assumptions (Biomass)'!$B$2/10^9,0)</f>
        <v>1.4566191103790115E-2</v>
      </c>
      <c r="I2172" s="105">
        <f>IF($D$2010&gt;0,'Assumptions (Biomass)'!AA$10*Model!$D$2010*'Assumptions (Biomass)'!$B$2/10^9,0)</f>
        <v>1.309485866906384E-2</v>
      </c>
      <c r="J2172" s="105">
        <f>IF($D$2010&gt;0,'Assumptions (Biomass)'!AB$10*Model!$D$2010*'Assumptions (Biomass)'!$B$2/10^9,0)</f>
        <v>1.240123052126431E-2</v>
      </c>
      <c r="K2172" s="105">
        <f>IF($D$2010&gt;0,'Assumptions (Biomass)'!AC$10*Model!$D$2010*'Assumptions (Biomass)'!$B$2/10^9,0)</f>
        <v>1.240123052126431E-2</v>
      </c>
      <c r="L2172" s="105">
        <f>IF($D$2010&gt;0,'Assumptions (Biomass)'!AD$10*Model!$D$2010*'Assumptions (Biomass)'!$B$2/10^9,0)</f>
        <v>1.2422249556046115E-2</v>
      </c>
      <c r="M2172" s="105">
        <f>IF($D$2010&gt;0,'Assumptions (Biomass)'!AE$10*Model!$D$2010*'Assumptions (Biomass)'!$B$2/10^9,0)</f>
        <v>1.240123052126431E-2</v>
      </c>
      <c r="N2172" s="105">
        <f>IF($D$2010&gt;0,'Assumptions (Biomass)'!AF$10*Model!$D$2010*'Assumptions (Biomass)'!$B$2/10^9,0)</f>
        <v>1.2422249556046115E-2</v>
      </c>
      <c r="O2172" s="105">
        <f>IF($D$2010&gt;0,'Assumptions (Biomass)'!AG$10*Model!$D$2010*'Assumptions (Biomass)'!$B$2/10^9,0)</f>
        <v>1.240123052126431E-2</v>
      </c>
      <c r="P2172" s="105">
        <f>IF($D$2010&gt;0,'Assumptions (Biomass)'!AH$10*Model!$D$2010*'Assumptions (Biomass)'!$B$2/10^9,0)</f>
        <v>1.2422249556046115E-2</v>
      </c>
      <c r="Q2172" s="105">
        <f>IF($D$2010&gt;0,'Assumptions (Biomass)'!AI$10*Model!$D$2010*'Assumptions (Biomass)'!$B$2/10^9,0)</f>
        <v>1.240123052126431E-2</v>
      </c>
      <c r="R2172" s="105">
        <f>IF($D$2010&gt;0,'Assumptions (Biomass)'!AJ$10*Model!$D$2010*'Assumptions (Biomass)'!$B$2/10^9,0)</f>
        <v>1.2422249556046115E-2</v>
      </c>
      <c r="S2172" s="105">
        <f>IF($D$2010&gt;0,'Assumptions (Biomass)'!AK$10*Model!$D$2010*'Assumptions (Biomass)'!$B$2/10^9,0)</f>
        <v>6.2006152606321552E-3</v>
      </c>
      <c r="T2172" s="105"/>
      <c r="U2172" s="105"/>
      <c r="V2172" s="105"/>
      <c r="W2172" s="105"/>
      <c r="X2172" s="105"/>
      <c r="Y2172" s="105"/>
      <c r="Z2172" s="105"/>
      <c r="AA2172" s="105"/>
      <c r="AB2172" s="105"/>
      <c r="AC2172" s="105"/>
      <c r="AD2172" s="105"/>
      <c r="AE2172" s="105"/>
      <c r="AF2172" s="105"/>
      <c r="AG2172" s="105"/>
    </row>
    <row r="2173" spans="1:69" ht="15.75" hidden="1" customHeight="1" outlineLevel="1">
      <c r="A2173" s="441"/>
      <c r="B2173" s="99"/>
      <c r="C2173" s="105"/>
      <c r="D2173" s="105"/>
      <c r="E2173" s="105">
        <f>IF($E$2010&gt;0,'Assumptions (Biomass)'!V$10*Model!$E$2010*AVERAGE('Assumptions (Biomass)'!$B$2:$C$2)/10^9,0)</f>
        <v>8.9976445573950554E-4</v>
      </c>
      <c r="F2173" s="105">
        <f>IF($E$2010&gt;0,'Assumptions (Biomass)'!W$10*Model!$E$2010*AVERAGE('Assumptions (Biomass)'!$B$2:$C$2)/10^9,0)</f>
        <v>1.7095524659050604E-3</v>
      </c>
      <c r="G2173" s="105">
        <f>IF($E$2010&gt;0,'Assumptions (Biomass)'!X$10*Model!$E$2010*AVERAGE('Assumptions (Biomass)'!$B$2:$C$2)/10^9,0)</f>
        <v>1.5385972193145544E-3</v>
      </c>
      <c r="H2173" s="105">
        <f>IF($E$2010&gt;0,'Assumptions (Biomass)'!Y$10*Model!$E$2010*AVERAGE('Assumptions (Biomass)'!$B$2:$C$2)/10^9,0)</f>
        <v>1.3856372618388385E-3</v>
      </c>
      <c r="I2173" s="105">
        <f>IF($E$2010&gt;0,'Assumptions (Biomass)'!Z$10*Model!$E$2010*AVERAGE('Assumptions (Biomass)'!$B$2:$C$2)/10^9,0)</f>
        <v>1.2470735356549547E-3</v>
      </c>
      <c r="J2173" s="105">
        <f>IF($E$2010&gt;0,'Assumptions (Biomass)'!AA$10*Model!$E$2010*AVERAGE('Assumptions (Biomass)'!$B$2:$C$2)/10^9,0)</f>
        <v>1.1211065118514238E-3</v>
      </c>
      <c r="K2173" s="105">
        <f>IF($E$2010&gt;0,'Assumptions (Biomass)'!AB$10*Model!$E$2010*AVERAGE('Assumptions (Biomass)'!$B$2:$C$2)/10^9,0)</f>
        <v>1.0617220577726163E-3</v>
      </c>
      <c r="L2173" s="105">
        <f>IF($E$2010&gt;0,'Assumptions (Biomass)'!AC$10*Model!$E$2010*AVERAGE('Assumptions (Biomass)'!$B$2:$C$2)/10^9,0)</f>
        <v>1.0617220577726163E-3</v>
      </c>
      <c r="M2173" s="105">
        <f>IF($E$2010&gt;0,'Assumptions (Biomass)'!AD$10*Model!$E$2010*AVERAGE('Assumptions (Biomass)'!$B$2:$C$2)/10^9,0)</f>
        <v>1.0635215866840956E-3</v>
      </c>
      <c r="N2173" s="105">
        <f>IF($E$2010&gt;0,'Assumptions (Biomass)'!AE$10*Model!$E$2010*AVERAGE('Assumptions (Biomass)'!$B$2:$C$2)/10^9,0)</f>
        <v>1.0617220577726163E-3</v>
      </c>
      <c r="O2173" s="105">
        <f>IF($E$2010&gt;0,'Assumptions (Biomass)'!AF$10*Model!$E$2010*AVERAGE('Assumptions (Biomass)'!$B$2:$C$2)/10^9,0)</f>
        <v>1.0635215866840956E-3</v>
      </c>
      <c r="P2173" s="105">
        <f>IF($E$2010&gt;0,'Assumptions (Biomass)'!AG$10*Model!$E$2010*AVERAGE('Assumptions (Biomass)'!$B$2:$C$2)/10^9,0)</f>
        <v>1.0617220577726163E-3</v>
      </c>
      <c r="Q2173" s="105">
        <f>IF($E$2010&gt;0,'Assumptions (Biomass)'!AH$10*Model!$E$2010*AVERAGE('Assumptions (Biomass)'!$B$2:$C$2)/10^9,0)</f>
        <v>1.0635215866840956E-3</v>
      </c>
      <c r="R2173" s="105">
        <f>IF($E$2010&gt;0,'Assumptions (Biomass)'!AI$10*Model!$E$2010*AVERAGE('Assumptions (Biomass)'!$B$2:$C$2)/10^9,0)</f>
        <v>1.0617220577726163E-3</v>
      </c>
      <c r="S2173" s="105">
        <f>IF($E$2010&gt;0,'Assumptions (Biomass)'!AJ$10*Model!$E$2010*AVERAGE('Assumptions (Biomass)'!$B$2:$C$2)/10^9,0)</f>
        <v>1.0635215866840956E-3</v>
      </c>
      <c r="T2173" s="105">
        <f>IF($E$2010&gt;0,'Assumptions (Biomass)'!AK$10*Model!$E$2010*AVERAGE('Assumptions (Biomass)'!$B$2:$C$2)/10^9,0)</f>
        <v>5.3086102888630815E-4</v>
      </c>
      <c r="U2173" s="105"/>
      <c r="V2173" s="105"/>
      <c r="W2173" s="105"/>
      <c r="X2173" s="105"/>
      <c r="Y2173" s="105"/>
      <c r="Z2173" s="105"/>
      <c r="AA2173" s="105"/>
      <c r="AB2173" s="105"/>
      <c r="AC2173" s="105"/>
      <c r="AD2173" s="105"/>
      <c r="AE2173" s="105"/>
      <c r="AF2173" s="105"/>
      <c r="AG2173" s="105"/>
    </row>
    <row r="2174" spans="1:69" ht="15.75" hidden="1" customHeight="1" outlineLevel="1">
      <c r="A2174" s="441"/>
      <c r="B2174" s="99"/>
      <c r="C2174" s="105"/>
      <c r="D2174" s="105"/>
      <c r="E2174" s="105"/>
      <c r="F2174" s="105">
        <f>IF($F$2010&gt;0,'Assumptions (Biomass)'!V$10*Model!$F$2010*AVERAGE('Assumptions (Biomass)'!$B$2:$D$2)/10^9,0)</f>
        <v>7.731315709487839E-3</v>
      </c>
      <c r="G2174" s="105">
        <f>IF($F$2010&gt;0,'Assumptions (Biomass)'!W$10*Model!$F$2010*AVERAGE('Assumptions (Biomass)'!$B$2:$D$2)/10^9,0)</f>
        <v>1.4689499848026892E-2</v>
      </c>
      <c r="H2174" s="105">
        <f>IF($F$2010&gt;0,'Assumptions (Biomass)'!X$10*Model!$F$2010*AVERAGE('Assumptions (Biomass)'!$B$2:$D$2)/10^9,0)</f>
        <v>1.3220549863224202E-2</v>
      </c>
      <c r="I2174" s="105">
        <f>IF($F$2010&gt;0,'Assumptions (Biomass)'!Y$10*Model!$F$2010*AVERAGE('Assumptions (Biomass)'!$B$2:$D$2)/10^9,0)</f>
        <v>1.190622619261127E-2</v>
      </c>
      <c r="J2174" s="105">
        <f>IF($F$2010&gt;0,'Assumptions (Biomass)'!Z$10*Model!$F$2010*AVERAGE('Assumptions (Biomass)'!$B$2:$D$2)/10^9,0)</f>
        <v>1.0715603573350142E-2</v>
      </c>
      <c r="K2174" s="105">
        <f>IF($F$2010&gt;0,'Assumptions (Biomass)'!AA$10*Model!$F$2010*AVERAGE('Assumptions (Biomass)'!$B$2:$D$2)/10^9,0)</f>
        <v>9.6332193740218449E-3</v>
      </c>
      <c r="L2174" s="105">
        <f>IF($F$2010&gt;0,'Assumptions (Biomass)'!AB$10*Model!$F$2010*AVERAGE('Assumptions (Biomass)'!$B$2:$D$2)/10^9,0)</f>
        <v>9.1229525371956475E-3</v>
      </c>
      <c r="M2174" s="105">
        <f>IF($F$2010&gt;0,'Assumptions (Biomass)'!AC$10*Model!$F$2010*AVERAGE('Assumptions (Biomass)'!$B$2:$D$2)/10^9,0)</f>
        <v>9.1229525371956475E-3</v>
      </c>
      <c r="N2174" s="105">
        <f>IF($F$2010&gt;0,'Assumptions (Biomass)'!AD$10*Model!$F$2010*AVERAGE('Assumptions (Biomass)'!$B$2:$D$2)/10^9,0)</f>
        <v>9.1384151686146244E-3</v>
      </c>
      <c r="O2174" s="105">
        <f>IF($F$2010&gt;0,'Assumptions (Biomass)'!AE$10*Model!$F$2010*AVERAGE('Assumptions (Biomass)'!$B$2:$D$2)/10^9,0)</f>
        <v>9.1229525371956475E-3</v>
      </c>
      <c r="P2174" s="105">
        <f>IF($F$2010&gt;0,'Assumptions (Biomass)'!AF$10*Model!$F$2010*AVERAGE('Assumptions (Biomass)'!$B$2:$D$2)/10^9,0)</f>
        <v>9.1384151686146244E-3</v>
      </c>
      <c r="Q2174" s="105">
        <f>IF($F$2010&gt;0,'Assumptions (Biomass)'!AG$10*Model!$F$2010*AVERAGE('Assumptions (Biomass)'!$B$2:$D$2)/10^9,0)</f>
        <v>9.1229525371956475E-3</v>
      </c>
      <c r="R2174" s="105">
        <f>IF($F$2010&gt;0,'Assumptions (Biomass)'!AH$10*Model!$F$2010*AVERAGE('Assumptions (Biomass)'!$B$2:$D$2)/10^9,0)</f>
        <v>9.1384151686146244E-3</v>
      </c>
      <c r="S2174" s="105">
        <f>IF($F$2010&gt;0,'Assumptions (Biomass)'!AI$10*Model!$F$2010*AVERAGE('Assumptions (Biomass)'!$B$2:$D$2)/10^9,0)</f>
        <v>9.1229525371956475E-3</v>
      </c>
      <c r="T2174" s="105">
        <f>IF($F$2010&gt;0,'Assumptions (Biomass)'!AJ$10*Model!$F$2010*AVERAGE('Assumptions (Biomass)'!$B$2:$D$2)/10^9,0)</f>
        <v>9.1384151686146244E-3</v>
      </c>
      <c r="U2174" s="105">
        <f>IF($F$2010&gt;0,'Assumptions (Biomass)'!AK$10*Model!$F$2010*AVERAGE('Assumptions (Biomass)'!$B$2:$D$2)/10^9,0)</f>
        <v>4.5614762685978237E-3</v>
      </c>
      <c r="V2174" s="105"/>
      <c r="W2174" s="105"/>
      <c r="X2174" s="105"/>
      <c r="Y2174" s="105"/>
      <c r="Z2174" s="105"/>
      <c r="AA2174" s="105"/>
      <c r="AB2174" s="105"/>
      <c r="AC2174" s="105"/>
      <c r="AD2174" s="105"/>
      <c r="AE2174" s="105"/>
      <c r="AF2174" s="105"/>
      <c r="AG2174" s="105"/>
    </row>
    <row r="2175" spans="1:69" ht="15.75" hidden="1" customHeight="1" outlineLevel="1">
      <c r="A2175" s="441"/>
      <c r="B2175" s="99"/>
      <c r="C2175" s="105"/>
      <c r="D2175" s="105"/>
      <c r="E2175" s="105"/>
      <c r="F2175" s="105"/>
      <c r="G2175" s="105">
        <f>IF($G$2010&gt;0,'Assumptions (Biomass)'!V$10*Model!$G$2010*AVERAGE('Assumptions (Biomass)'!$C$2:$E$2)/10^9,0)</f>
        <v>7.7247302616944074E-3</v>
      </c>
      <c r="H2175" s="105">
        <f>IF($G$2010&gt;0,'Assumptions (Biomass)'!W$10*Model!$G$2010*AVERAGE('Assumptions (Biomass)'!$C$2:$E$2)/10^9,0)</f>
        <v>1.4676987497219374E-2</v>
      </c>
      <c r="I2175" s="105">
        <f>IF($G$2010&gt;0,'Assumptions (Biomass)'!X$10*Model!$G$2010*AVERAGE('Assumptions (Biomass)'!$C$2:$E$2)/10^9,0)</f>
        <v>1.3209288747497437E-2</v>
      </c>
      <c r="J2175" s="105">
        <f>IF($G$2010&gt;0,'Assumptions (Biomass)'!Y$10*Model!$G$2010*AVERAGE('Assumptions (Biomass)'!$C$2:$E$2)/10^9,0)</f>
        <v>1.1896084603009387E-2</v>
      </c>
      <c r="K2175" s="105">
        <f>IF($G$2010&gt;0,'Assumptions (Biomass)'!Z$10*Model!$G$2010*AVERAGE('Assumptions (Biomass)'!$C$2:$E$2)/10^9,0)</f>
        <v>1.0706476142708447E-2</v>
      </c>
      <c r="L2175" s="105">
        <f>IF($G$2010&gt;0,'Assumptions (Biomass)'!AA$10*Model!$G$2010*AVERAGE('Assumptions (Biomass)'!$C$2:$E$2)/10^9,0)</f>
        <v>9.6250139060712302E-3</v>
      </c>
      <c r="M2175" s="105">
        <f>IF($G$2010&gt;0,'Assumptions (Biomass)'!AB$10*Model!$G$2010*AVERAGE('Assumptions (Biomass)'!$C$2:$E$2)/10^9,0)</f>
        <v>9.1151817087993994E-3</v>
      </c>
      <c r="N2175" s="105">
        <f>IF($G$2010&gt;0,'Assumptions (Biomass)'!AC$10*Model!$G$2010*AVERAGE('Assumptions (Biomass)'!$C$2:$E$2)/10^9,0)</f>
        <v>9.1151817087993994E-3</v>
      </c>
      <c r="O2175" s="105">
        <f>IF($G$2010&gt;0,'Assumptions (Biomass)'!AD$10*Model!$G$2010*AVERAGE('Assumptions (Biomass)'!$C$2:$E$2)/10^9,0)</f>
        <v>9.1306311693227886E-3</v>
      </c>
      <c r="P2175" s="105">
        <f>IF($G$2010&gt;0,'Assumptions (Biomass)'!AE$10*Model!$G$2010*AVERAGE('Assumptions (Biomass)'!$C$2:$E$2)/10^9,0)</f>
        <v>9.1151817087993994E-3</v>
      </c>
      <c r="Q2175" s="105">
        <f>IF($G$2010&gt;0,'Assumptions (Biomass)'!AF$10*Model!$G$2010*AVERAGE('Assumptions (Biomass)'!$C$2:$E$2)/10^9,0)</f>
        <v>9.1306311693227886E-3</v>
      </c>
      <c r="R2175" s="105">
        <f>IF($G$2010&gt;0,'Assumptions (Biomass)'!AG$10*Model!$G$2010*AVERAGE('Assumptions (Biomass)'!$C$2:$E$2)/10^9,0)</f>
        <v>9.1151817087993994E-3</v>
      </c>
      <c r="S2175" s="105">
        <f>IF($G$2010&gt;0,'Assumptions (Biomass)'!AH$10*Model!$G$2010*AVERAGE('Assumptions (Biomass)'!$C$2:$E$2)/10^9,0)</f>
        <v>9.1306311693227886E-3</v>
      </c>
      <c r="T2175" s="105">
        <f>IF($G$2010&gt;0,'Assumptions (Biomass)'!AI$10*Model!$G$2010*AVERAGE('Assumptions (Biomass)'!$C$2:$E$2)/10^9,0)</f>
        <v>9.1151817087993994E-3</v>
      </c>
      <c r="U2175" s="105">
        <f>IF($G$2010&gt;0,'Assumptions (Biomass)'!AJ$10*Model!$G$2010*AVERAGE('Assumptions (Biomass)'!$C$2:$E$2)/10^9,0)</f>
        <v>9.1306311693227886E-3</v>
      </c>
      <c r="V2175" s="105">
        <f>IF($G$2010&gt;0,'Assumptions (Biomass)'!AK$10*Model!$G$2010*AVERAGE('Assumptions (Biomass)'!$C$2:$E$2)/10^9,0)</f>
        <v>4.5575908543996997E-3</v>
      </c>
      <c r="W2175" s="105"/>
      <c r="X2175" s="105"/>
      <c r="Y2175" s="105"/>
      <c r="Z2175" s="105"/>
      <c r="AA2175" s="105"/>
      <c r="AB2175" s="105"/>
      <c r="AC2175" s="105"/>
      <c r="AD2175" s="105"/>
      <c r="AE2175" s="105"/>
      <c r="AF2175" s="105"/>
      <c r="AG2175" s="105"/>
    </row>
    <row r="2176" spans="1:69" ht="15.75" hidden="1" customHeight="1" outlineLevel="1">
      <c r="A2176" s="441"/>
      <c r="B2176" s="99"/>
      <c r="C2176" s="105"/>
      <c r="D2176" s="105"/>
      <c r="E2176" s="105"/>
      <c r="F2176" s="105"/>
      <c r="G2176" s="105"/>
      <c r="H2176" s="105">
        <f>IF($H$2010&gt;0,'Assumptions (Biomass)'!V$10*Model!$H$2010*AVERAGE('Assumptions (Biomass)'!$D$2:$F$2)/10^9,0)</f>
        <v>2.4665399583427713E-4</v>
      </c>
      <c r="I2176" s="105">
        <f>IF($H$2010&gt;0,'Assumptions (Biomass)'!W$10*Model!$H$2010*AVERAGE('Assumptions (Biomass)'!$D$2:$F$2)/10^9,0)</f>
        <v>4.6864259208512644E-4</v>
      </c>
      <c r="J2176" s="105">
        <f>IF($H$2010&gt;0,'Assumptions (Biomass)'!X$10*Model!$H$2010*AVERAGE('Assumptions (Biomass)'!$D$2:$F$2)/10^9,0)</f>
        <v>4.2177833287661385E-4</v>
      </c>
      <c r="K2176" s="105">
        <f>IF($H$2010&gt;0,'Assumptions (Biomass)'!Y$10*Model!$H$2010*AVERAGE('Assumptions (Biomass)'!$D$2:$F$2)/10^9,0)</f>
        <v>3.798471535847867E-4</v>
      </c>
      <c r="L2176" s="105">
        <f>IF($H$2010&gt;0,'Assumptions (Biomass)'!Z$10*Model!$H$2010*AVERAGE('Assumptions (Biomass)'!$D$2:$F$2)/10^9,0)</f>
        <v>3.4186243822630801E-4</v>
      </c>
      <c r="M2176" s="105">
        <f>IF($H$2010&gt;0,'Assumptions (Biomass)'!AA$10*Model!$H$2010*AVERAGE('Assumptions (Biomass)'!$D$2:$F$2)/10^9,0)</f>
        <v>3.0733087880950924E-4</v>
      </c>
      <c r="N2176" s="105">
        <f>IF($H$2010&gt;0,'Assumptions (Biomass)'!AB$10*Model!$H$2010*AVERAGE('Assumptions (Biomass)'!$D$2:$F$2)/10^9,0)</f>
        <v>2.9105171508444697E-4</v>
      </c>
      <c r="O2176" s="105">
        <f>IF($H$2010&gt;0,'Assumptions (Biomass)'!AC$10*Model!$H$2010*AVERAGE('Assumptions (Biomass)'!$D$2:$F$2)/10^9,0)</f>
        <v>2.9105171508444697E-4</v>
      </c>
      <c r="P2176" s="105">
        <f>IF($H$2010&gt;0,'Assumptions (Biomass)'!AD$10*Model!$H$2010*AVERAGE('Assumptions (Biomass)'!$D$2:$F$2)/10^9,0)</f>
        <v>2.9154502307611544E-4</v>
      </c>
      <c r="Q2176" s="105">
        <f>IF($H$2010&gt;0,'Assumptions (Biomass)'!AE$10*Model!$H$2010*AVERAGE('Assumptions (Biomass)'!$D$2:$F$2)/10^9,0)</f>
        <v>2.9105171508444697E-4</v>
      </c>
      <c r="R2176" s="105">
        <f>IF($H$2010&gt;0,'Assumptions (Biomass)'!AF$10*Model!$H$2010*AVERAGE('Assumptions (Biomass)'!$D$2:$F$2)/10^9,0)</f>
        <v>2.9154502307611544E-4</v>
      </c>
      <c r="S2176" s="105">
        <f>IF($H$2010&gt;0,'Assumptions (Biomass)'!AG$10*Model!$H$2010*AVERAGE('Assumptions (Biomass)'!$D$2:$F$2)/10^9,0)</f>
        <v>2.9105171508444697E-4</v>
      </c>
      <c r="T2176" s="105">
        <f>IF($H$2010&gt;0,'Assumptions (Biomass)'!AH$10*Model!$H$2010*AVERAGE('Assumptions (Biomass)'!$D$2:$F$2)/10^9,0)</f>
        <v>2.9154502307611544E-4</v>
      </c>
      <c r="U2176" s="105">
        <f>IF($H$2010&gt;0,'Assumptions (Biomass)'!AI$10*Model!$H$2010*AVERAGE('Assumptions (Biomass)'!$D$2:$F$2)/10^9,0)</f>
        <v>2.9105171508444697E-4</v>
      </c>
      <c r="V2176" s="105">
        <f>IF($H$2010&gt;0,'Assumptions (Biomass)'!AJ$10*Model!$H$2010*AVERAGE('Assumptions (Biomass)'!$D$2:$F$2)/10^9,0)</f>
        <v>2.9154502307611544E-4</v>
      </c>
      <c r="W2176" s="105">
        <f>IF($H$2010&gt;0,'Assumptions (Biomass)'!AK$10*Model!$H$2010*AVERAGE('Assumptions (Biomass)'!$D$2:$F$2)/10^9,0)</f>
        <v>1.4552585754222348E-4</v>
      </c>
      <c r="X2176" s="105"/>
      <c r="Y2176" s="105"/>
      <c r="Z2176" s="105"/>
      <c r="AA2176" s="105"/>
      <c r="AB2176" s="105"/>
      <c r="AC2176" s="105"/>
      <c r="AD2176" s="105"/>
      <c r="AE2176" s="105"/>
      <c r="AF2176" s="105"/>
      <c r="AG2176" s="105"/>
    </row>
    <row r="2177" spans="1:53" ht="15.75" hidden="1" customHeight="1" outlineLevel="1">
      <c r="A2177" s="441"/>
      <c r="B2177" s="99"/>
      <c r="C2177" s="105"/>
      <c r="D2177" s="105"/>
      <c r="E2177" s="105"/>
      <c r="F2177" s="105"/>
      <c r="G2177" s="105"/>
      <c r="H2177" s="105"/>
      <c r="I2177" s="105">
        <f>IF($I$2010&gt;0,'Assumptions (Biomass)'!V$10*Model!$I$2010*AVERAGE('Assumptions (Biomass)'!$E$2:$G$2)/10^9,0)</f>
        <v>1.4536142154500064E-2</v>
      </c>
      <c r="J2177" s="105">
        <f>IF($I$2010&gt;0,'Assumptions (Biomass)'!W$10*Model!$I$2010*AVERAGE('Assumptions (Biomass)'!$E$2:$G$2)/10^9,0)</f>
        <v>2.761867009355012E-2</v>
      </c>
      <c r="K2177" s="105">
        <f>IF($I$2010&gt;0,'Assumptions (Biomass)'!X$10*Model!$I$2010*AVERAGE('Assumptions (Biomass)'!$E$2:$G$2)/10^9,0)</f>
        <v>2.4856803084195109E-2</v>
      </c>
      <c r="L2177" s="105">
        <f>IF($I$2010&gt;0,'Assumptions (Biomass)'!Y$10*Model!$I$2010*AVERAGE('Assumptions (Biomass)'!$E$2:$G$2)/10^9,0)</f>
        <v>2.2385658917930092E-2</v>
      </c>
      <c r="M2177" s="105">
        <f>IF($I$2010&gt;0,'Assumptions (Biomass)'!Z$10*Model!$I$2010*AVERAGE('Assumptions (Biomass)'!$E$2:$G$2)/10^9,0)</f>
        <v>2.0147093026137087E-2</v>
      </c>
      <c r="N2177" s="105">
        <f>IF($I$2010&gt;0,'Assumptions (Biomass)'!AA$10*Model!$I$2010*AVERAGE('Assumptions (Biomass)'!$E$2:$G$2)/10^9,0)</f>
        <v>1.8112033124507081E-2</v>
      </c>
      <c r="O2177" s="105">
        <f>IF($I$2010&gt;0,'Assumptions (Biomass)'!AB$10*Model!$I$2010*AVERAGE('Assumptions (Biomass)'!$E$2:$G$2)/10^9,0)</f>
        <v>1.7152647742310075E-2</v>
      </c>
      <c r="P2177" s="105">
        <f>IF($I$2010&gt;0,'Assumptions (Biomass)'!AC$10*Model!$I$2010*AVERAGE('Assumptions (Biomass)'!$E$2:$G$2)/10^9,0)</f>
        <v>1.7152647742310075E-2</v>
      </c>
      <c r="Q2177" s="105">
        <f>IF($I$2010&gt;0,'Assumptions (Biomass)'!AD$10*Model!$I$2010*AVERAGE('Assumptions (Biomass)'!$E$2:$G$2)/10^9,0)</f>
        <v>1.7181720026619073E-2</v>
      </c>
      <c r="R2177" s="105">
        <f>IF($I$2010&gt;0,'Assumptions (Biomass)'!AE$10*Model!$I$2010*AVERAGE('Assumptions (Biomass)'!$E$2:$G$2)/10^9,0)</f>
        <v>1.7152647742310075E-2</v>
      </c>
      <c r="S2177" s="105">
        <f>IF($I$2010&gt;0,'Assumptions (Biomass)'!AF$10*Model!$I$2010*AVERAGE('Assumptions (Biomass)'!$E$2:$G$2)/10^9,0)</f>
        <v>1.7181720026619073E-2</v>
      </c>
      <c r="T2177" s="105">
        <f>IF($I$2010&gt;0,'Assumptions (Biomass)'!AG$10*Model!$I$2010*AVERAGE('Assumptions (Biomass)'!$E$2:$G$2)/10^9,0)</f>
        <v>1.7152647742310075E-2</v>
      </c>
      <c r="U2177" s="105">
        <f>IF($I$2010&gt;0,'Assumptions (Biomass)'!AH$10*Model!$I$2010*AVERAGE('Assumptions (Biomass)'!$E$2:$G$2)/10^9,0)</f>
        <v>1.7181720026619073E-2</v>
      </c>
      <c r="V2177" s="105">
        <f>IF($I$2010&gt;0,'Assumptions (Biomass)'!AI$10*Model!$I$2010*AVERAGE('Assumptions (Biomass)'!$E$2:$G$2)/10^9,0)</f>
        <v>1.7152647742310075E-2</v>
      </c>
      <c r="W2177" s="105">
        <f>IF($I$2010&gt;0,'Assumptions (Biomass)'!AJ$10*Model!$I$2010*AVERAGE('Assumptions (Biomass)'!$E$2:$G$2)/10^9,0)</f>
        <v>1.7181720026619073E-2</v>
      </c>
      <c r="X2177" s="105">
        <f>IF($I$2010&gt;0,'Assumptions (Biomass)'!AK$10*Model!$I$2010*AVERAGE('Assumptions (Biomass)'!$E$2:$G$2)/10^9,0)</f>
        <v>8.5763238711550373E-3</v>
      </c>
      <c r="Y2177" s="105"/>
      <c r="Z2177" s="105"/>
      <c r="AA2177" s="105"/>
      <c r="AB2177" s="105"/>
      <c r="AC2177" s="105"/>
      <c r="AD2177" s="105"/>
      <c r="AE2177" s="105"/>
      <c r="AF2177" s="105"/>
      <c r="AG2177" s="105"/>
    </row>
    <row r="2178" spans="1:53" ht="15.75" hidden="1" customHeight="1" outlineLevel="1">
      <c r="A2178" s="441"/>
      <c r="B2178" s="99"/>
      <c r="C2178" s="105"/>
      <c r="D2178" s="105"/>
      <c r="E2178" s="105"/>
      <c r="F2178" s="105"/>
      <c r="G2178" s="105"/>
      <c r="H2178" s="105"/>
      <c r="I2178" s="105"/>
      <c r="J2178" s="105">
        <f>IF($J$2010&gt;0,'Assumptions (Biomass)'!V$10*Model!$J$2010*AVERAGE('Assumptions (Biomass)'!$F$2:$H$2)/10^9,0)</f>
        <v>1.5382872434999693E-2</v>
      </c>
      <c r="K2178" s="105">
        <f>IF($J$2010&gt;0,'Assumptions (Biomass)'!W$10*Model!$J$2010*AVERAGE('Assumptions (Biomass)'!$F$2:$H$2)/10^9,0)</f>
        <v>2.9227457626499413E-2</v>
      </c>
      <c r="L2178" s="105">
        <f>IF($J$2010&gt;0,'Assumptions (Biomass)'!X$10*Model!$J$2010*AVERAGE('Assumptions (Biomass)'!$F$2:$H$2)/10^9,0)</f>
        <v>2.6304711863849473E-2</v>
      </c>
      <c r="M2178" s="105">
        <f>IF($J$2010&gt;0,'Assumptions (Biomass)'!Y$10*Model!$J$2010*AVERAGE('Assumptions (Biomass)'!$F$2:$H$2)/10^9,0)</f>
        <v>2.3689623549899525E-2</v>
      </c>
      <c r="N2178" s="105">
        <f>IF($J$2010&gt;0,'Assumptions (Biomass)'!Z$10*Model!$J$2010*AVERAGE('Assumptions (Biomass)'!$F$2:$H$2)/10^9,0)</f>
        <v>2.1320661194909572E-2</v>
      </c>
      <c r="O2178" s="105">
        <f>IF($J$2010&gt;0,'Assumptions (Biomass)'!AA$10*Model!$J$2010*AVERAGE('Assumptions (Biomass)'!$F$2:$H$2)/10^9,0)</f>
        <v>1.9167059054009616E-2</v>
      </c>
      <c r="P2178" s="105">
        <f>IF($J$2010&gt;0,'Assumptions (Biomass)'!AB$10*Model!$J$2010*AVERAGE('Assumptions (Biomass)'!$F$2:$H$2)/10^9,0)</f>
        <v>1.8151789473299637E-2</v>
      </c>
      <c r="Q2178" s="105">
        <f>IF($J$2010&gt;0,'Assumptions (Biomass)'!AC$10*Model!$J$2010*AVERAGE('Assumptions (Biomass)'!$F$2:$H$2)/10^9,0)</f>
        <v>1.8151789473299637E-2</v>
      </c>
      <c r="R2178" s="105">
        <f>IF($J$2010&gt;0,'Assumptions (Biomass)'!AD$10*Model!$J$2010*AVERAGE('Assumptions (Biomass)'!$F$2:$H$2)/10^9,0)</f>
        <v>1.8182555218169638E-2</v>
      </c>
      <c r="S2178" s="105">
        <f>IF($J$2010&gt;0,'Assumptions (Biomass)'!AE$10*Model!$J$2010*AVERAGE('Assumptions (Biomass)'!$F$2:$H$2)/10^9,0)</f>
        <v>1.8151789473299637E-2</v>
      </c>
      <c r="T2178" s="105">
        <f>IF($J$2010&gt;0,'Assumptions (Biomass)'!AF$10*Model!$J$2010*AVERAGE('Assumptions (Biomass)'!$F$2:$H$2)/10^9,0)</f>
        <v>1.8182555218169638E-2</v>
      </c>
      <c r="U2178" s="105">
        <f>IF($J$2010&gt;0,'Assumptions (Biomass)'!AG$10*Model!$J$2010*AVERAGE('Assumptions (Biomass)'!$F$2:$H$2)/10^9,0)</f>
        <v>1.8151789473299637E-2</v>
      </c>
      <c r="V2178" s="105">
        <f>IF($J$2010&gt;0,'Assumptions (Biomass)'!AH$10*Model!$J$2010*AVERAGE('Assumptions (Biomass)'!$F$2:$H$2)/10^9,0)</f>
        <v>1.8182555218169638E-2</v>
      </c>
      <c r="W2178" s="105">
        <f>IF($J$2010&gt;0,'Assumptions (Biomass)'!AI$10*Model!$J$2010*AVERAGE('Assumptions (Biomass)'!$F$2:$H$2)/10^9,0)</f>
        <v>1.8151789473299637E-2</v>
      </c>
      <c r="X2178" s="105">
        <f>IF($J$2010&gt;0,'Assumptions (Biomass)'!AJ$10*Model!$J$2010*AVERAGE('Assumptions (Biomass)'!$F$2:$H$2)/10^9,0)</f>
        <v>1.8182555218169638E-2</v>
      </c>
      <c r="Y2178" s="105">
        <f>IF($J$2010&gt;0,'Assumptions (Biomass)'!AK$10*Model!$J$2010*AVERAGE('Assumptions (Biomass)'!$F$2:$H$2)/10^9,0)</f>
        <v>9.0758947366498186E-3</v>
      </c>
      <c r="Z2178" s="105"/>
      <c r="AA2178" s="105"/>
      <c r="AB2178" s="105"/>
      <c r="AC2178" s="105"/>
      <c r="AD2178" s="105"/>
      <c r="AE2178" s="105"/>
      <c r="AF2178" s="105"/>
      <c r="AG2178" s="105"/>
      <c r="AH2178" s="105"/>
    </row>
    <row r="2179" spans="1:53" ht="15.75" hidden="1" customHeight="1" outlineLevel="1">
      <c r="A2179" s="441"/>
      <c r="B2179" s="99"/>
      <c r="C2179" s="105"/>
      <c r="D2179" s="105"/>
      <c r="E2179" s="105"/>
      <c r="F2179" s="105"/>
      <c r="G2179" s="105"/>
      <c r="H2179" s="105"/>
      <c r="I2179" s="105"/>
      <c r="J2179" s="105"/>
      <c r="K2179" s="105">
        <f>IF($K$2010&gt;0,'Assumptions (Biomass)'!V$10*Model!$K$2010*AVERAGE('Assumptions (Biomass)'!$G$2:$I$2)/10^9,0)</f>
        <v>1.7333745710259522E-2</v>
      </c>
      <c r="L2179" s="105">
        <f>IF($K$2010&gt;0,'Assumptions (Biomass)'!W$10*Model!$K$2010*AVERAGE('Assumptions (Biomass)'!$G$2:$I$2)/10^9,0)</f>
        <v>3.2934116849493093E-2</v>
      </c>
      <c r="M2179" s="105">
        <f>IF($K$2010&gt;0,'Assumptions (Biomass)'!X$10*Model!$K$2010*AVERAGE('Assumptions (Biomass)'!$G$2:$I$2)/10^9,0)</f>
        <v>2.9640705164543785E-2</v>
      </c>
      <c r="N2179" s="105">
        <f>IF($K$2010&gt;0,'Assumptions (Biomass)'!Y$10*Model!$K$2010*AVERAGE('Assumptions (Biomass)'!$G$2:$I$2)/10^9,0)</f>
        <v>2.6693968393799661E-2</v>
      </c>
      <c r="O2179" s="105">
        <f>IF($K$2010&gt;0,'Assumptions (Biomass)'!Z$10*Model!$K$2010*AVERAGE('Assumptions (Biomass)'!$G$2:$I$2)/10^9,0)</f>
        <v>2.4024571554419696E-2</v>
      </c>
      <c r="P2179" s="105">
        <f>IF($K$2010&gt;0,'Assumptions (Biomass)'!AA$10*Model!$K$2010*AVERAGE('Assumptions (Biomass)'!$G$2:$I$2)/10^9,0)</f>
        <v>2.1597847154983363E-2</v>
      </c>
      <c r="Q2179" s="105">
        <f>IF($K$2010&gt;0,'Assumptions (Biomass)'!AB$10*Model!$K$2010*AVERAGE('Assumptions (Biomass)'!$G$2:$I$2)/10^9,0)</f>
        <v>2.0453819938106237E-2</v>
      </c>
      <c r="R2179" s="105">
        <f>IF($K$2010&gt;0,'Assumptions (Biomass)'!AC$10*Model!$K$2010*AVERAGE('Assumptions (Biomass)'!$G$2:$I$2)/10^9,0)</f>
        <v>2.0453819938106237E-2</v>
      </c>
      <c r="S2179" s="105">
        <f>IF($K$2010&gt;0,'Assumptions (Biomass)'!AD$10*Model!$K$2010*AVERAGE('Assumptions (Biomass)'!$G$2:$I$2)/10^9,0)</f>
        <v>2.0488487429526754E-2</v>
      </c>
      <c r="T2179" s="105">
        <f>IF($K$2010&gt;0,'Assumptions (Biomass)'!AE$10*Model!$K$2010*AVERAGE('Assumptions (Biomass)'!$G$2:$I$2)/10^9,0)</f>
        <v>2.0453819938106237E-2</v>
      </c>
      <c r="U2179" s="105">
        <f>IF($K$2010&gt;0,'Assumptions (Biomass)'!AF$10*Model!$K$2010*AVERAGE('Assumptions (Biomass)'!$G$2:$I$2)/10^9,0)</f>
        <v>2.0488487429526754E-2</v>
      </c>
      <c r="V2179" s="105">
        <f>IF($K$2010&gt;0,'Assumptions (Biomass)'!AG$10*Model!$K$2010*AVERAGE('Assumptions (Biomass)'!$G$2:$I$2)/10^9,0)</f>
        <v>2.0453819938106237E-2</v>
      </c>
      <c r="W2179" s="105">
        <f>IF($K$2010&gt;0,'Assumptions (Biomass)'!AH$10*Model!$K$2010*AVERAGE('Assumptions (Biomass)'!$G$2:$I$2)/10^9,0)</f>
        <v>2.0488487429526754E-2</v>
      </c>
      <c r="X2179" s="105">
        <f>IF($K$2010&gt;0,'Assumptions (Biomass)'!AI$10*Model!$K$2010*AVERAGE('Assumptions (Biomass)'!$G$2:$I$2)/10^9,0)</f>
        <v>2.0453819938106237E-2</v>
      </c>
      <c r="Y2179" s="105">
        <f>IF($K$2010&gt;0,'Assumptions (Biomass)'!AJ$10*Model!$K$2010*AVERAGE('Assumptions (Biomass)'!$G$2:$I$2)/10^9,0)</f>
        <v>2.0488487429526754E-2</v>
      </c>
      <c r="Z2179" s="105">
        <f>IF($K$2010&gt;0,'Assumptions (Biomass)'!AK$10*Model!$K$2010*AVERAGE('Assumptions (Biomass)'!$G$2:$I$2)/10^9,0)</f>
        <v>1.0226909969053118E-2</v>
      </c>
      <c r="AA2179" s="105"/>
      <c r="AB2179" s="105"/>
      <c r="AC2179" s="105"/>
      <c r="AD2179" s="105"/>
      <c r="AE2179" s="105"/>
      <c r="AF2179" s="105"/>
      <c r="AG2179" s="105"/>
      <c r="AH2179" s="105"/>
      <c r="AI2179" s="105"/>
    </row>
    <row r="2180" spans="1:53" ht="15.75" hidden="1" customHeight="1" outlineLevel="1">
      <c r="A2180" s="441"/>
      <c r="B2180" s="99"/>
      <c r="C2180" s="105"/>
      <c r="D2180" s="105"/>
      <c r="E2180" s="105"/>
      <c r="F2180" s="105"/>
      <c r="G2180" s="105"/>
      <c r="H2180" s="105"/>
      <c r="I2180" s="105"/>
      <c r="J2180" s="105"/>
      <c r="K2180" s="105"/>
      <c r="L2180" s="105">
        <f>IF($L$2010&gt;0,'Assumptions (Biomass)'!V$10*Model!$L$2010*AVERAGE('Assumptions (Biomass)'!$H$2:$J$2)/10^9,0)</f>
        <v>1.851104441219124E-2</v>
      </c>
      <c r="M2180" s="105">
        <f>IF($L$2010&gt;0,'Assumptions (Biomass)'!W$10*Model!$L$2010*AVERAGE('Assumptions (Biomass)'!$H$2:$J$2)/10^9,0)</f>
        <v>3.5170984383163358E-2</v>
      </c>
      <c r="N2180" s="105">
        <f>IF($L$2010&gt;0,'Assumptions (Biomass)'!X$10*Model!$L$2010*AVERAGE('Assumptions (Biomass)'!$H$2:$J$2)/10^9,0)</f>
        <v>3.1653885944847027E-2</v>
      </c>
      <c r="O2180" s="105">
        <f>IF($L$2010&gt;0,'Assumptions (Biomass)'!Y$10*Model!$L$2010*AVERAGE('Assumptions (Biomass)'!$H$2:$J$2)/10^9,0)</f>
        <v>2.8507008394774516E-2</v>
      </c>
      <c r="P2180" s="105">
        <f>IF($L$2010&gt;0,'Assumptions (Biomass)'!Z$10*Model!$L$2010*AVERAGE('Assumptions (Biomass)'!$H$2:$J$2)/10^9,0)</f>
        <v>2.5656307555297062E-2</v>
      </c>
      <c r="Q2180" s="105">
        <f>IF($L$2010&gt;0,'Assumptions (Biomass)'!AA$10*Model!$L$2010*AVERAGE('Assumptions (Biomass)'!$H$2:$J$2)/10^9,0)</f>
        <v>2.3064761337590285E-2</v>
      </c>
      <c r="R2180" s="105">
        <f>IF($L$2010&gt;0,'Assumptions (Biomass)'!AB$10*Model!$L$2010*AVERAGE('Assumptions (Biomass)'!$H$2:$J$2)/10^9,0)</f>
        <v>2.1843032406385663E-2</v>
      </c>
      <c r="S2180" s="105">
        <f>IF($L$2010&gt;0,'Assumptions (Biomass)'!AC$10*Model!$L$2010*AVERAGE('Assumptions (Biomass)'!$H$2:$J$2)/10^9,0)</f>
        <v>2.1843032406385663E-2</v>
      </c>
      <c r="T2180" s="105">
        <f>IF($L$2010&gt;0,'Assumptions (Biomass)'!AD$10*Model!$L$2010*AVERAGE('Assumptions (Biomass)'!$H$2:$J$2)/10^9,0)</f>
        <v>2.188005449521005E-2</v>
      </c>
      <c r="U2180" s="105">
        <f>IF($L$2010&gt;0,'Assumptions (Biomass)'!AE$10*Model!$L$2010*AVERAGE('Assumptions (Biomass)'!$H$2:$J$2)/10^9,0)</f>
        <v>2.1843032406385663E-2</v>
      </c>
      <c r="V2180" s="105">
        <f>IF($L$2010&gt;0,'Assumptions (Biomass)'!AF$10*Model!$L$2010*AVERAGE('Assumptions (Biomass)'!$H$2:$J$2)/10^9,0)</f>
        <v>2.188005449521005E-2</v>
      </c>
      <c r="W2180" s="105">
        <f>IF($L$2010&gt;0,'Assumptions (Biomass)'!AG$10*Model!$L$2010*AVERAGE('Assumptions (Biomass)'!$H$2:$J$2)/10^9,0)</f>
        <v>2.1843032406385663E-2</v>
      </c>
      <c r="X2180" s="105">
        <f>IF($L$2010&gt;0,'Assumptions (Biomass)'!AH$10*Model!$L$2010*AVERAGE('Assumptions (Biomass)'!$H$2:$J$2)/10^9,0)</f>
        <v>2.188005449521005E-2</v>
      </c>
      <c r="Y2180" s="105">
        <f>IF($L$2010&gt;0,'Assumptions (Biomass)'!AI$10*Model!$L$2010*AVERAGE('Assumptions (Biomass)'!$H$2:$J$2)/10^9,0)</f>
        <v>2.1843032406385663E-2</v>
      </c>
      <c r="Z2180" s="105">
        <f>IF($L$2010&gt;0,'Assumptions (Biomass)'!AJ$10*Model!$L$2010*AVERAGE('Assumptions (Biomass)'!$H$2:$J$2)/10^9,0)</f>
        <v>2.188005449521005E-2</v>
      </c>
      <c r="AA2180" s="105">
        <f>IF($L$2010&gt;0,'Assumptions (Biomass)'!AK$10*Model!$L$2010*AVERAGE('Assumptions (Biomass)'!$H$2:$J$2)/10^9,0)</f>
        <v>1.0921516203192832E-2</v>
      </c>
      <c r="AB2180" s="105"/>
      <c r="AC2180" s="105"/>
      <c r="AD2180" s="105"/>
      <c r="AE2180" s="105"/>
      <c r="AF2180" s="105"/>
      <c r="AG2180" s="105"/>
      <c r="AH2180" s="105"/>
      <c r="AI2180" s="105"/>
      <c r="AJ2180" s="105"/>
    </row>
    <row r="2181" spans="1:53" ht="15.75" hidden="1" customHeight="1" outlineLevel="1">
      <c r="A2181" s="441"/>
      <c r="B2181" s="99"/>
      <c r="C2181" s="105"/>
      <c r="D2181" s="105"/>
      <c r="E2181" s="105"/>
      <c r="F2181" s="105"/>
      <c r="G2181" s="105"/>
      <c r="H2181" s="105"/>
      <c r="I2181" s="105"/>
      <c r="J2181" s="105"/>
      <c r="K2181" s="105"/>
      <c r="L2181" s="105"/>
      <c r="M2181" s="105">
        <f>IF($M$2010&gt;0,'Assumptions (Biomass)'!V$10*Model!$M$2010*AVERAGE('Assumptions (Biomass)'!$I$2:$K$2)/10^9,0)</f>
        <v>1.2602639419280777E-2</v>
      </c>
      <c r="N2181" s="105">
        <f>IF($M$2010&gt;0,'Assumptions (Biomass)'!W$10*Model!$M$2010*AVERAGE('Assumptions (Biomass)'!$I$2:$K$2)/10^9,0)</f>
        <v>2.3945014896633476E-2</v>
      </c>
      <c r="O2181" s="105">
        <f>IF($M$2010&gt;0,'Assumptions (Biomass)'!X$10*Model!$M$2010*AVERAGE('Assumptions (Biomass)'!$I$2:$K$2)/10^9,0)</f>
        <v>2.1550513406970128E-2</v>
      </c>
      <c r="P2181" s="105">
        <f>IF($M$2010&gt;0,'Assumptions (Biomass)'!Y$10*Model!$M$2010*AVERAGE('Assumptions (Biomass)'!$I$2:$K$2)/10^9,0)</f>
        <v>1.9408064705692396E-2</v>
      </c>
      <c r="Q2181" s="105">
        <f>IF($M$2010&gt;0,'Assumptions (Biomass)'!Z$10*Model!$M$2010*AVERAGE('Assumptions (Biomass)'!$I$2:$K$2)/10^9,0)</f>
        <v>1.7467258235123156E-2</v>
      </c>
      <c r="R2181" s="105">
        <f>IF($M$2010&gt;0,'Assumptions (Biomass)'!AA$10*Model!$M$2010*AVERAGE('Assumptions (Biomass)'!$I$2:$K$2)/10^9,0)</f>
        <v>1.5702888716423846E-2</v>
      </c>
      <c r="S2181" s="105">
        <f>IF($M$2010&gt;0,'Assumptions (Biomass)'!AB$10*Model!$M$2010*AVERAGE('Assumptions (Biomass)'!$I$2:$K$2)/10^9,0)</f>
        <v>1.4871114514751317E-2</v>
      </c>
      <c r="T2181" s="105">
        <f>IF($M$2010&gt;0,'Assumptions (Biomass)'!AC$10*Model!$M$2010*AVERAGE('Assumptions (Biomass)'!$I$2:$K$2)/10^9,0)</f>
        <v>1.4871114514751317E-2</v>
      </c>
      <c r="U2181" s="105">
        <f>IF($M$2010&gt;0,'Assumptions (Biomass)'!AD$10*Model!$M$2010*AVERAGE('Assumptions (Biomass)'!$I$2:$K$2)/10^9,0)</f>
        <v>1.4896319793589878E-2</v>
      </c>
      <c r="V2181" s="105">
        <f>IF($M$2010&gt;0,'Assumptions (Biomass)'!AE$10*Model!$M$2010*AVERAGE('Assumptions (Biomass)'!$I$2:$K$2)/10^9,0)</f>
        <v>1.4871114514751317E-2</v>
      </c>
      <c r="W2181" s="105">
        <f>IF($M$2010&gt;0,'Assumptions (Biomass)'!AF$10*Model!$M$2010*AVERAGE('Assumptions (Biomass)'!$I$2:$K$2)/10^9,0)</f>
        <v>1.4896319793589878E-2</v>
      </c>
      <c r="X2181" s="105">
        <f>IF($M$2010&gt;0,'Assumptions (Biomass)'!AG$10*Model!$M$2010*AVERAGE('Assumptions (Biomass)'!$I$2:$K$2)/10^9,0)</f>
        <v>1.4871114514751317E-2</v>
      </c>
      <c r="Y2181" s="105">
        <f>IF($M$2010&gt;0,'Assumptions (Biomass)'!AH$10*Model!$M$2010*AVERAGE('Assumptions (Biomass)'!$I$2:$K$2)/10^9,0)</f>
        <v>1.4896319793589878E-2</v>
      </c>
      <c r="Z2181" s="105">
        <f>IF($M$2010&gt;0,'Assumptions (Biomass)'!AI$10*Model!$M$2010*AVERAGE('Assumptions (Biomass)'!$I$2:$K$2)/10^9,0)</f>
        <v>1.4871114514751317E-2</v>
      </c>
      <c r="AA2181" s="105">
        <f>IF($M$2010&gt;0,'Assumptions (Biomass)'!AJ$10*Model!$M$2010*AVERAGE('Assumptions (Biomass)'!$I$2:$K$2)/10^9,0)</f>
        <v>1.4896319793589878E-2</v>
      </c>
      <c r="AB2181" s="105">
        <f>IF($M$2010&gt;0,'Assumptions (Biomass)'!AK$10*Model!$M$2010*AVERAGE('Assumptions (Biomass)'!$I$2:$K$2)/10^9,0)</f>
        <v>7.4355572573756587E-3</v>
      </c>
      <c r="AC2181" s="105"/>
      <c r="AD2181" s="105"/>
      <c r="AE2181" s="105"/>
      <c r="AF2181" s="105"/>
      <c r="AG2181" s="105"/>
      <c r="AH2181" s="105"/>
      <c r="AI2181" s="105"/>
      <c r="AJ2181" s="105"/>
      <c r="AK2181" s="105"/>
    </row>
    <row r="2182" spans="1:53" ht="15.75" hidden="1" customHeight="1" outlineLevel="1">
      <c r="A2182" s="441"/>
      <c r="B2182" s="99"/>
      <c r="C2182" s="105"/>
      <c r="D2182" s="105"/>
      <c r="E2182" s="105"/>
      <c r="F2182" s="105"/>
      <c r="G2182" s="105"/>
      <c r="H2182" s="105"/>
      <c r="I2182" s="105"/>
      <c r="J2182" s="105"/>
      <c r="K2182" s="105"/>
      <c r="L2182" s="105"/>
      <c r="M2182" s="105"/>
      <c r="N2182" s="105">
        <f>IF($N$2010&gt;0,'Assumptions (Biomass)'!V$10*Model!$N$2010*AVERAGE('Assumptions (Biomass)'!$J$2:$L$2)/10^9,0)</f>
        <v>2.1820569965954717E-2</v>
      </c>
      <c r="O2182" s="105">
        <f>IF($N$2010&gt;0,'Assumptions (Biomass)'!W$10*Model!$N$2010*AVERAGE('Assumptions (Biomass)'!$J$2:$L$2)/10^9,0)</f>
        <v>4.1459082935313959E-2</v>
      </c>
      <c r="P2182" s="105">
        <f>IF($N$2010&gt;0,'Assumptions (Biomass)'!X$10*Model!$N$2010*AVERAGE('Assumptions (Biomass)'!$J$2:$L$2)/10^9,0)</f>
        <v>3.7313174641782569E-2</v>
      </c>
      <c r="Q2182" s="105">
        <f>IF($N$2010&gt;0,'Assumptions (Biomass)'!Y$10*Model!$N$2010*AVERAGE('Assumptions (Biomass)'!$J$2:$L$2)/10^9,0)</f>
        <v>3.3603677747570268E-2</v>
      </c>
      <c r="R2182" s="105">
        <f>IF($N$2010&gt;0,'Assumptions (Biomass)'!Z$10*Model!$N$2010*AVERAGE('Assumptions (Biomass)'!$J$2:$L$2)/10^9,0)</f>
        <v>3.0243309972813243E-2</v>
      </c>
      <c r="S2182" s="105">
        <f>IF($N$2010&gt;0,'Assumptions (Biomass)'!AA$10*Model!$N$2010*AVERAGE('Assumptions (Biomass)'!$J$2:$L$2)/10^9,0)</f>
        <v>2.7188430177579579E-2</v>
      </c>
      <c r="T2182" s="105">
        <f>IF($N$2010&gt;0,'Assumptions (Biomass)'!AB$10*Model!$N$2010*AVERAGE('Assumptions (Biomass)'!$J$2:$L$2)/10^9,0)</f>
        <v>2.5748272559826563E-2</v>
      </c>
      <c r="U2182" s="105">
        <f>IF($N$2010&gt;0,'Assumptions (Biomass)'!AC$10*Model!$N$2010*AVERAGE('Assumptions (Biomass)'!$J$2:$L$2)/10^9,0)</f>
        <v>2.5748272559826563E-2</v>
      </c>
      <c r="V2182" s="105">
        <f>IF($N$2010&gt;0,'Assumptions (Biomass)'!AD$10*Model!$N$2010*AVERAGE('Assumptions (Biomass)'!$J$2:$L$2)/10^9,0)</f>
        <v>2.5791913699758477E-2</v>
      </c>
      <c r="W2182" s="105">
        <f>IF($N$2010&gt;0,'Assumptions (Biomass)'!AE$10*Model!$N$2010*AVERAGE('Assumptions (Biomass)'!$J$2:$L$2)/10^9,0)</f>
        <v>2.5748272559826563E-2</v>
      </c>
      <c r="X2182" s="105">
        <f>IF($N$2010&gt;0,'Assumptions (Biomass)'!AF$10*Model!$N$2010*AVERAGE('Assumptions (Biomass)'!$J$2:$L$2)/10^9,0)</f>
        <v>2.5791913699758477E-2</v>
      </c>
      <c r="Y2182" s="105">
        <f>IF($N$2010&gt;0,'Assumptions (Biomass)'!AG$10*Model!$N$2010*AVERAGE('Assumptions (Biomass)'!$J$2:$L$2)/10^9,0)</f>
        <v>2.5748272559826563E-2</v>
      </c>
      <c r="Z2182" s="105">
        <f>IF($N$2010&gt;0,'Assumptions (Biomass)'!AH$10*Model!$N$2010*AVERAGE('Assumptions (Biomass)'!$J$2:$L$2)/10^9,0)</f>
        <v>2.5791913699758477E-2</v>
      </c>
      <c r="AA2182" s="105">
        <f>IF($N$2010&gt;0,'Assumptions (Biomass)'!AI$10*Model!$N$2010*AVERAGE('Assumptions (Biomass)'!$J$2:$L$2)/10^9,0)</f>
        <v>2.5748272559826563E-2</v>
      </c>
      <c r="AB2182" s="105">
        <f>IF($N$2010&gt;0,'Assumptions (Biomass)'!AJ$10*Model!$N$2010*AVERAGE('Assumptions (Biomass)'!$J$2:$L$2)/10^9,0)</f>
        <v>2.5791913699758477E-2</v>
      </c>
      <c r="AC2182" s="105">
        <f>IF($N$2010&gt;0,'Assumptions (Biomass)'!AK$10*Model!$N$2010*AVERAGE('Assumptions (Biomass)'!$J$2:$L$2)/10^9,0)</f>
        <v>1.2874136279913281E-2</v>
      </c>
      <c r="AD2182" s="105"/>
      <c r="AE2182" s="105"/>
      <c r="AF2182" s="105"/>
      <c r="AG2182" s="105"/>
      <c r="AH2182" s="105"/>
      <c r="AI2182" s="105"/>
      <c r="AJ2182" s="105"/>
      <c r="AK2182" s="105"/>
    </row>
    <row r="2183" spans="1:53" ht="15.75" hidden="1" customHeight="1" outlineLevel="1">
      <c r="A2183" s="441"/>
      <c r="B2183" s="99"/>
      <c r="C2183" s="105"/>
      <c r="D2183" s="105"/>
      <c r="E2183" s="105"/>
      <c r="F2183" s="105"/>
      <c r="G2183" s="105"/>
      <c r="H2183" s="105"/>
      <c r="I2183" s="105"/>
      <c r="J2183" s="105"/>
      <c r="K2183" s="105"/>
      <c r="L2183" s="105"/>
      <c r="M2183" s="105"/>
      <c r="N2183" s="105"/>
      <c r="O2183" s="105">
        <f>IF($O$2010&gt;0,'Assumptions (Biomass)'!V$10*Model!$O$2010*AVERAGE('Assumptions (Biomass)'!$K$2:$M$2)/10^9,0)</f>
        <v>2.9229996036289584E-2</v>
      </c>
      <c r="P2183" s="105">
        <f>IF($O$2010&gt;0,'Assumptions (Biomass)'!W$10*Model!$O$2010*AVERAGE('Assumptions (Biomass)'!$K$2:$M$2)/10^9,0)</f>
        <v>5.5536992468950212E-2</v>
      </c>
      <c r="Q2183" s="105">
        <f>IF($O$2010&gt;0,'Assumptions (Biomass)'!X$10*Model!$O$2010*AVERAGE('Assumptions (Biomass)'!$K$2:$M$2)/10^9,0)</f>
        <v>4.9983293222055192E-2</v>
      </c>
      <c r="R2183" s="105">
        <f>IF($O$2010&gt;0,'Assumptions (Biomass)'!Y$10*Model!$O$2010*AVERAGE('Assumptions (Biomass)'!$K$2:$M$2)/10^9,0)</f>
        <v>4.5014193895885957E-2</v>
      </c>
      <c r="S2183" s="105">
        <f>IF($O$2010&gt;0,'Assumptions (Biomass)'!Z$10*Model!$O$2010*AVERAGE('Assumptions (Biomass)'!$K$2:$M$2)/10^9,0)</f>
        <v>4.051277450629736E-2</v>
      </c>
      <c r="T2183" s="105">
        <f>IF($O$2010&gt;0,'Assumptions (Biomass)'!AA$10*Model!$O$2010*AVERAGE('Assumptions (Biomass)'!$K$2:$M$2)/10^9,0)</f>
        <v>3.6420575061216827E-2</v>
      </c>
      <c r="U2183" s="105">
        <f>IF($O$2010&gt;0,'Assumptions (Biomass)'!AB$10*Model!$O$2010*AVERAGE('Assumptions (Biomass)'!$K$2:$M$2)/10^9,0)</f>
        <v>3.4491395322821708E-2</v>
      </c>
      <c r="V2183" s="105">
        <f>IF($O$2010&gt;0,'Assumptions (Biomass)'!AC$10*Model!$O$2010*AVERAGE('Assumptions (Biomass)'!$K$2:$M$2)/10^9,0)</f>
        <v>3.4491395322821708E-2</v>
      </c>
      <c r="W2183" s="105">
        <f>IF($O$2010&gt;0,'Assumptions (Biomass)'!AD$10*Model!$O$2010*AVERAGE('Assumptions (Biomass)'!$K$2:$M$2)/10^9,0)</f>
        <v>3.4549855314894289E-2</v>
      </c>
      <c r="X2183" s="105">
        <f>IF($O$2010&gt;0,'Assumptions (Biomass)'!AE$10*Model!$O$2010*AVERAGE('Assumptions (Biomass)'!$K$2:$M$2)/10^9,0)</f>
        <v>3.4491395322821708E-2</v>
      </c>
      <c r="Y2183" s="105">
        <f>IF($O$2010&gt;0,'Assumptions (Biomass)'!AF$10*Model!$O$2010*AVERAGE('Assumptions (Biomass)'!$K$2:$M$2)/10^9,0)</f>
        <v>3.4549855314894289E-2</v>
      </c>
      <c r="Z2183" s="105">
        <f>IF($O$2010&gt;0,'Assumptions (Biomass)'!AG$10*Model!$O$2010*AVERAGE('Assumptions (Biomass)'!$K$2:$M$2)/10^9,0)</f>
        <v>3.4491395322821708E-2</v>
      </c>
      <c r="AA2183" s="105">
        <f>IF($O$2010&gt;0,'Assumptions (Biomass)'!AH$10*Model!$O$2010*AVERAGE('Assumptions (Biomass)'!$K$2:$M$2)/10^9,0)</f>
        <v>3.4549855314894289E-2</v>
      </c>
      <c r="AB2183" s="105">
        <f>IF($O$2010&gt;0,'Assumptions (Biomass)'!AI$10*Model!$O$2010*AVERAGE('Assumptions (Biomass)'!$K$2:$M$2)/10^9,0)</f>
        <v>3.4491395322821708E-2</v>
      </c>
      <c r="AC2183" s="105">
        <f>IF($O$2010&gt;0,'Assumptions (Biomass)'!AJ$10*Model!$O$2010*AVERAGE('Assumptions (Biomass)'!$K$2:$M$2)/10^9,0)</f>
        <v>3.4549855314894289E-2</v>
      </c>
      <c r="AD2183" s="105">
        <f>IF($O$2010&gt;0,'Assumptions (Biomass)'!AK$10*Model!$O$2010*AVERAGE('Assumptions (Biomass)'!$K$2:$M$2)/10^9,0)</f>
        <v>1.7245697661410854E-2</v>
      </c>
      <c r="AE2183" s="105"/>
      <c r="AF2183" s="105"/>
      <c r="AG2183" s="105"/>
      <c r="AH2183" s="105"/>
      <c r="AI2183" s="105"/>
      <c r="AJ2183" s="105"/>
      <c r="AK2183" s="105"/>
    </row>
    <row r="2184" spans="1:53" ht="15.75" hidden="1" customHeight="1" outlineLevel="1">
      <c r="A2184" s="441"/>
      <c r="B2184" s="99"/>
      <c r="C2184" s="105"/>
      <c r="D2184" s="105"/>
      <c r="E2184" s="105"/>
      <c r="F2184" s="105"/>
      <c r="G2184" s="105"/>
      <c r="H2184" s="91"/>
      <c r="I2184" s="105"/>
      <c r="J2184" s="105"/>
      <c r="K2184" s="105"/>
      <c r="L2184" s="105"/>
      <c r="M2184" s="105"/>
      <c r="N2184" s="105"/>
      <c r="O2184" s="105"/>
      <c r="P2184" s="91">
        <f>IF($P$2010&gt;0,'Assumptions (Biomass)'!V$10*Model!$P$2010*AVERAGE('Assumptions (Biomass)'!$L$2:$N$2)/10^9,0)</f>
        <v>9.5737445175919589E-2</v>
      </c>
      <c r="Q2184" s="91">
        <f>IF($P$2010&gt;0,'Assumptions (Biomass)'!W$10*Model!$P$2010*AVERAGE('Assumptions (Biomass)'!$L$2:$N$2)/10^9,0)</f>
        <v>0.18190114583424724</v>
      </c>
      <c r="R2184" s="91">
        <f>IF($P$2010&gt;0,'Assumptions (Biomass)'!X$10*Model!$P$2010*AVERAGE('Assumptions (Biomass)'!$L$2:$N$2)/10^9,0)</f>
        <v>0.16371103125082251</v>
      </c>
      <c r="S2184" s="91">
        <f>IF($P$2010&gt;0,'Assumptions (Biomass)'!Y$10*Model!$P$2010*AVERAGE('Assumptions (Biomass)'!$L$2:$N$2)/10^9,0)</f>
        <v>0.14743566557091617</v>
      </c>
      <c r="T2184" s="91">
        <f>IF($P$2010&gt;0,'Assumptions (Biomass)'!Z$10*Model!$P$2010*AVERAGE('Assumptions (Biomass)'!$L$2:$N$2)/10^9,0)</f>
        <v>0.13269209901382456</v>
      </c>
      <c r="U2184" s="91">
        <f>IF($P$2010&gt;0,'Assumptions (Biomass)'!AA$10*Model!$P$2010*AVERAGE('Assumptions (Biomass)'!$L$2:$N$2)/10^9,0)</f>
        <v>0.11928885668919581</v>
      </c>
      <c r="V2184" s="91">
        <f>IF($P$2010&gt;0,'Assumptions (Biomass)'!AB$10*Model!$P$2010*AVERAGE('Assumptions (Biomass)'!$L$2:$N$2)/10^9,0)</f>
        <v>0.11297018530758511</v>
      </c>
      <c r="W2184" s="91">
        <f>IF($P$2010&gt;0,'Assumptions (Biomass)'!AC$10*Model!$P$2010*AVERAGE('Assumptions (Biomass)'!$L$2:$N$2)/10^9,0)</f>
        <v>0.11297018530758511</v>
      </c>
      <c r="X2184" s="91">
        <f>IF($P$2010&gt;0,'Assumptions (Biomass)'!AD$10*Model!$P$2010*AVERAGE('Assumptions (Biomass)'!$L$2:$N$2)/10^9,0)</f>
        <v>0.11316166019793696</v>
      </c>
      <c r="Y2184" s="91">
        <f>IF($P$2010&gt;0,'Assumptions (Biomass)'!AE$10*Model!$P$2010*AVERAGE('Assumptions (Biomass)'!$L$2:$N$2)/10^9,0)</f>
        <v>0.11297018530758511</v>
      </c>
      <c r="Z2184" s="91">
        <f>IF($P$2010&gt;0,'Assumptions (Biomass)'!AF$10*Model!$P$2010*AVERAGE('Assumptions (Biomass)'!$L$2:$N$2)/10^9,0)</f>
        <v>0.11316166019793696</v>
      </c>
      <c r="AA2184" s="91">
        <f>IF($P$2010&gt;0,'Assumptions (Biomass)'!AG$10*Model!$P$2010*AVERAGE('Assumptions (Biomass)'!$L$2:$N$2)/10^9,0)</f>
        <v>0.11297018530758511</v>
      </c>
      <c r="AB2184" s="91">
        <f>IF($P$2010&gt;0,'Assumptions (Biomass)'!AH$10*Model!$P$2010*AVERAGE('Assumptions (Biomass)'!$L$2:$N$2)/10^9,0)</f>
        <v>0.11316166019793696</v>
      </c>
      <c r="AC2184" s="91">
        <f>IF($P$2010&gt;0,'Assumptions (Biomass)'!AI$10*Model!$P$2010*AVERAGE('Assumptions (Biomass)'!$L$2:$N$2)/10^9,0)</f>
        <v>0.11297018530758511</v>
      </c>
      <c r="AD2184" s="91">
        <f>IF($P$2010&gt;0,'Assumptions (Biomass)'!AJ$10*Model!$P$2010*AVERAGE('Assumptions (Biomass)'!$L$2:$N$2)/10^9,0)</f>
        <v>0.11316166019793696</v>
      </c>
      <c r="AE2184" s="91">
        <f>IF($P$2010&gt;0,'Assumptions (Biomass)'!AK$10*Model!$P$2010*AVERAGE('Assumptions (Biomass)'!$L$2:$N$2)/10^9,0)</f>
        <v>5.6485092653792555E-2</v>
      </c>
      <c r="AF2184" s="91"/>
      <c r="AG2184" s="91"/>
      <c r="AH2184" s="91"/>
      <c r="AI2184" s="91"/>
      <c r="AJ2184" s="91"/>
      <c r="AK2184" s="91"/>
    </row>
    <row r="2185" spans="1:53" ht="15.75" hidden="1" customHeight="1" outlineLevel="1">
      <c r="A2185" s="441"/>
      <c r="B2185" s="99"/>
      <c r="C2185" s="105"/>
      <c r="D2185" s="105"/>
      <c r="E2185" s="105"/>
      <c r="F2185" s="105"/>
      <c r="G2185" s="105"/>
      <c r="H2185" s="105"/>
      <c r="I2185" s="105"/>
      <c r="J2185" s="105"/>
      <c r="K2185" s="105"/>
      <c r="L2185" s="105"/>
      <c r="M2185" s="105"/>
      <c r="N2185" s="105"/>
      <c r="O2185" s="105"/>
      <c r="P2185" s="171"/>
      <c r="Q2185" s="105">
        <f>IF($Q$2010&gt;0,'Assumptions (Biomass)'!V$10*Model!$Q$2010*AVERAGE('Assumptions (Biomass)'!$L$2:$O$2)/10^9,0)</f>
        <v>2.0806231927475993E-2</v>
      </c>
      <c r="R2185" s="105">
        <f>IF($Q$2010&gt;0,'Assumptions (Biomass)'!W$10*Model!$Q$2010*AVERAGE('Assumptions (Biomass)'!$L$2:$O$2)/10^9,0)</f>
        <v>3.9531840662204387E-2</v>
      </c>
      <c r="S2185" s="105">
        <f>IF($Q$2010&gt;0,'Assumptions (Biomass)'!X$10*Model!$Q$2010*AVERAGE('Assumptions (Biomass)'!$L$2:$O$2)/10^9,0)</f>
        <v>3.5578656595983943E-2</v>
      </c>
      <c r="T2185" s="105">
        <f>IF($Q$2010&gt;0,'Assumptions (Biomass)'!Y$10*Model!$Q$2010*AVERAGE('Assumptions (Biomass)'!$L$2:$O$2)/10^9,0)</f>
        <v>3.2041597168313028E-2</v>
      </c>
      <c r="U2185" s="105">
        <f>IF($Q$2010&gt;0,'Assumptions (Biomass)'!Z$10*Model!$Q$2010*AVERAGE('Assumptions (Biomass)'!$L$2:$O$2)/10^9,0)</f>
        <v>2.8837437451481731E-2</v>
      </c>
      <c r="V2185" s="105">
        <f>IF($Q$2010&gt;0,'Assumptions (Biomass)'!AA$10*Model!$Q$2010*AVERAGE('Assumptions (Biomass)'!$L$2:$O$2)/10^9,0)</f>
        <v>2.5924564981635086E-2</v>
      </c>
      <c r="W2185" s="105">
        <f>IF($Q$2010&gt;0,'Assumptions (Biomass)'!AB$10*Model!$Q$2010*AVERAGE('Assumptions (Biomass)'!$L$2:$O$2)/10^9,0)</f>
        <v>2.4551353674421669E-2</v>
      </c>
      <c r="X2185" s="105">
        <f>IF($Q$2010&gt;0,'Assumptions (Biomass)'!AC$10*Model!$Q$2010*AVERAGE('Assumptions (Biomass)'!$L$2:$O$2)/10^9,0)</f>
        <v>2.4551353674421669E-2</v>
      </c>
      <c r="Y2185" s="105">
        <f>IF($Q$2010&gt;0,'Assumptions (Biomass)'!AD$10*Model!$Q$2010*AVERAGE('Assumptions (Biomass)'!$L$2:$O$2)/10^9,0)</f>
        <v>2.459296613827662E-2</v>
      </c>
      <c r="Z2185" s="105">
        <f>IF($Q$2010&gt;0,'Assumptions (Biomass)'!AE$10*Model!$Q$2010*AVERAGE('Assumptions (Biomass)'!$L$2:$O$2)/10^9,0)</f>
        <v>2.4551353674421669E-2</v>
      </c>
      <c r="AA2185" s="105">
        <f>IF($Q$2010&gt;0,'Assumptions (Biomass)'!AF$10*Model!$Q$2010*AVERAGE('Assumptions (Biomass)'!$L$2:$O$2)/10^9,0)</f>
        <v>2.459296613827662E-2</v>
      </c>
      <c r="AB2185" s="105">
        <f>IF($Q$2010&gt;0,'Assumptions (Biomass)'!AG$10*Model!$Q$2010*AVERAGE('Assumptions (Biomass)'!$L$2:$O$2)/10^9,0)</f>
        <v>2.4551353674421669E-2</v>
      </c>
      <c r="AC2185" s="105">
        <f>IF($Q$2010&gt;0,'Assumptions (Biomass)'!AH$10*Model!$Q$2010*AVERAGE('Assumptions (Biomass)'!$L$2:$O$2)/10^9,0)</f>
        <v>2.459296613827662E-2</v>
      </c>
      <c r="AD2185" s="105">
        <f>IF($Q$2010&gt;0,'Assumptions (Biomass)'!AI$10*Model!$Q$2010*AVERAGE('Assumptions (Biomass)'!$L$2:$O$2)/10^9,0)</f>
        <v>2.4551353674421669E-2</v>
      </c>
      <c r="AE2185" s="105">
        <f>IF($Q$2010&gt;0,'Assumptions (Biomass)'!AJ$10*Model!$Q$2010*AVERAGE('Assumptions (Biomass)'!$L$2:$O$2)/10^9,0)</f>
        <v>2.459296613827662E-2</v>
      </c>
      <c r="AF2185" s="105">
        <f>IF($Q$2010&gt;0,'Assumptions (Biomass)'!AK$10*Model!$Q$2010*AVERAGE('Assumptions (Biomass)'!$L$2:$O$2)/10^9,0)</f>
        <v>1.2275676837210835E-2</v>
      </c>
      <c r="AG2185" s="105"/>
      <c r="AH2185" s="105"/>
      <c r="AI2185" s="105"/>
      <c r="AJ2185" s="105"/>
      <c r="AK2185" s="105"/>
    </row>
    <row r="2186" spans="1:53" ht="15.75" hidden="1" customHeight="1" outlineLevel="1">
      <c r="A2186" s="441"/>
      <c r="B2186" s="99"/>
      <c r="C2186" s="105"/>
      <c r="D2186" s="105"/>
      <c r="E2186" s="105"/>
      <c r="F2186" s="105"/>
      <c r="G2186" s="105"/>
      <c r="H2186" s="105"/>
      <c r="I2186" s="105"/>
      <c r="J2186" s="105"/>
      <c r="K2186" s="105"/>
      <c r="L2186" s="105"/>
      <c r="M2186" s="105"/>
      <c r="N2186" s="105"/>
      <c r="O2186" s="105"/>
      <c r="P2186" s="171"/>
      <c r="Q2186" s="105"/>
      <c r="R2186" s="91">
        <f>IF($R$2010&gt;0,'Assumptions (Biomass)'!V$10*Model!$R$2010*AVERAGE('Assumptions (Biomass)'!$M$2:$P$2)/10^9,0)</f>
        <v>2.2032875250152753E-2</v>
      </c>
      <c r="S2186" s="91">
        <f>IF($R$2010&gt;0,'Assumptions (Biomass)'!W$10*Model!$R$2010*AVERAGE('Assumptions (Biomass)'!$M$2:$P$2)/10^9,0)</f>
        <v>4.1862462975290234E-2</v>
      </c>
      <c r="T2186" s="91">
        <f>IF($R$2010&gt;0,'Assumptions (Biomass)'!X$10*Model!$R$2010*AVERAGE('Assumptions (Biomass)'!$M$2:$P$2)/10^9,0)</f>
        <v>3.7676216677761214E-2</v>
      </c>
      <c r="U2186" s="91">
        <f>IF($R$2010&gt;0,'Assumptions (Biomass)'!Y$10*Model!$R$2010*AVERAGE('Assumptions (Biomass)'!$M$2:$P$2)/10^9,0)</f>
        <v>3.3930627885235237E-2</v>
      </c>
      <c r="V2186" s="91">
        <f>IF($R$2010&gt;0,'Assumptions (Biomass)'!Z$10*Model!$R$2010*AVERAGE('Assumptions (Biomass)'!$M$2:$P$2)/10^9,0)</f>
        <v>3.0537565096711718E-2</v>
      </c>
      <c r="W2186" s="91">
        <f>IF($R$2010&gt;0,'Assumptions (Biomass)'!AA$10*Model!$R$2010*AVERAGE('Assumptions (Biomass)'!$M$2:$P$2)/10^9,0)</f>
        <v>2.7452962561690327E-2</v>
      </c>
      <c r="X2186" s="91">
        <f>IF($R$2010&gt;0,'Assumptions (Biomass)'!AB$10*Model!$R$2010*AVERAGE('Assumptions (Biomass)'!$M$2:$P$2)/10^9,0)</f>
        <v>2.5998792795180241E-2</v>
      </c>
      <c r="Y2186" s="91">
        <f>IF($R$2010&gt;0,'Assumptions (Biomass)'!AC$10*Model!$R$2010*AVERAGE('Assumptions (Biomass)'!$M$2:$P$2)/10^9,0)</f>
        <v>2.5998792795180241E-2</v>
      </c>
      <c r="Z2186" s="91">
        <f>IF($R$2010&gt;0,'Assumptions (Biomass)'!AD$10*Model!$R$2010*AVERAGE('Assumptions (Biomass)'!$M$2:$P$2)/10^9,0)</f>
        <v>2.6042858545680548E-2</v>
      </c>
      <c r="AA2186" s="91">
        <f>IF($R$2010&gt;0,'Assumptions (Biomass)'!AE$10*Model!$R$2010*AVERAGE('Assumptions (Biomass)'!$M$2:$P$2)/10^9,0)</f>
        <v>2.5998792795180241E-2</v>
      </c>
      <c r="AB2186" s="91">
        <f>IF($R$2010&gt;0,'Assumptions (Biomass)'!AF$10*Model!$R$2010*AVERAGE('Assumptions (Biomass)'!$M$2:$P$2)/10^9,0)</f>
        <v>2.6042858545680548E-2</v>
      </c>
      <c r="AC2186" s="91">
        <f>IF($R$2010&gt;0,'Assumptions (Biomass)'!AG$10*Model!$R$2010*AVERAGE('Assumptions (Biomass)'!$M$2:$P$2)/10^9,0)</f>
        <v>2.5998792795180241E-2</v>
      </c>
      <c r="AD2186" s="91">
        <f>IF($R$2010&gt;0,'Assumptions (Biomass)'!AH$10*Model!$R$2010*AVERAGE('Assumptions (Biomass)'!$M$2:$P$2)/10^9,0)</f>
        <v>2.6042858545680548E-2</v>
      </c>
      <c r="AE2186" s="91">
        <f>IF($R$2010&gt;0,'Assumptions (Biomass)'!AI$10*Model!$R$2010*AVERAGE('Assumptions (Biomass)'!$M$2:$P$2)/10^9,0)</f>
        <v>2.5998792795180241E-2</v>
      </c>
      <c r="AF2186" s="91">
        <f>IF($R$2010&gt;0,'Assumptions (Biomass)'!AJ$10*Model!$R$2010*AVERAGE('Assumptions (Biomass)'!$M$2:$P$2)/10^9,0)</f>
        <v>2.6042858545680548E-2</v>
      </c>
      <c r="AG2186" s="91">
        <f>IF($R$2010&gt;0,'Assumptions (Biomass)'!AK$10*Model!$R$2010*AVERAGE('Assumptions (Biomass)'!$M$2:$P$2)/10^9,0)</f>
        <v>1.299939639759012E-2</v>
      </c>
      <c r="AH2186" s="91"/>
      <c r="AI2186" s="91"/>
      <c r="AJ2186" s="91"/>
      <c r="AK2186" s="91"/>
    </row>
    <row r="2187" spans="1:53" ht="15.75" hidden="1" customHeight="1" outlineLevel="1">
      <c r="A2187" s="441"/>
      <c r="B2187" s="99"/>
      <c r="C2187" s="105"/>
      <c r="D2187" s="105"/>
      <c r="E2187" s="105"/>
      <c r="F2187" s="105"/>
      <c r="G2187" s="105"/>
      <c r="H2187" s="105"/>
      <c r="I2187" s="105"/>
      <c r="J2187" s="105"/>
      <c r="K2187" s="105"/>
      <c r="L2187" s="105"/>
      <c r="M2187" s="105"/>
      <c r="N2187" s="105"/>
      <c r="O2187" s="105"/>
      <c r="P2187" s="171"/>
      <c r="Q2187" s="105"/>
      <c r="R2187" s="91"/>
      <c r="S2187" s="105">
        <f>IF($S$2010&gt;0,'Assumptions (Biomass)'!V$10*Model!$S$2010*AVERAGE('Assumptions (Biomass)'!$O$2:$Q$2)/10^9,0)</f>
        <v>2.6238455104675637E-3</v>
      </c>
      <c r="T2187" s="105">
        <f>IF($S$2010&gt;0,'Assumptions (Biomass)'!W$10*Model!$S$2010*AVERAGE('Assumptions (Biomass)'!$O$2:$Q$2)/10^9,0)</f>
        <v>4.9853064698883714E-3</v>
      </c>
      <c r="U2187" s="105">
        <f>IF($S$2010&gt;0,'Assumptions (Biomass)'!X$10*Model!$S$2010*AVERAGE('Assumptions (Biomass)'!$O$2:$Q$2)/10^9,0)</f>
        <v>4.4867758228995342E-3</v>
      </c>
      <c r="V2187" s="105">
        <f>IF($S$2010&gt;0,'Assumptions (Biomass)'!Y$10*Model!$S$2010*AVERAGE('Assumptions (Biomass)'!$O$2:$Q$2)/10^9,0)</f>
        <v>4.0407220861200478E-3</v>
      </c>
      <c r="W2187" s="105">
        <f>IF($S$2010&gt;0,'Assumptions (Biomass)'!Z$10*Model!$S$2010*AVERAGE('Assumptions (Biomass)'!$O$2:$Q$2)/10^9,0)</f>
        <v>3.6366498775080433E-3</v>
      </c>
      <c r="X2187" s="105">
        <f>IF($S$2010&gt;0,'Assumptions (Biomass)'!AA$10*Model!$S$2010*AVERAGE('Assumptions (Biomass)'!$O$2:$Q$2)/10^9,0)</f>
        <v>3.2693115060425841E-3</v>
      </c>
      <c r="Y2187" s="105">
        <f>IF($S$2010&gt;0,'Assumptions (Biomass)'!AB$10*Model!$S$2010*AVERAGE('Assumptions (Biomass)'!$O$2:$Q$2)/10^9,0)</f>
        <v>3.0961377023517251E-3</v>
      </c>
      <c r="Z2187" s="105">
        <f>IF($S$2010&gt;0,'Assumptions (Biomass)'!AC$10*Model!$S$2010*AVERAGE('Assumptions (Biomass)'!$O$2:$Q$2)/10^9,0)</f>
        <v>3.0961377023517251E-3</v>
      </c>
      <c r="AA2187" s="105">
        <f>IF($S$2010&gt;0,'Assumptions (Biomass)'!AD$10*Model!$S$2010*AVERAGE('Assumptions (Biomass)'!$O$2:$Q$2)/10^9,0)</f>
        <v>3.1013853933726603E-3</v>
      </c>
      <c r="AB2187" s="105">
        <f>IF($S$2010&gt;0,'Assumptions (Biomass)'!AE$10*Model!$S$2010*AVERAGE('Assumptions (Biomass)'!$O$2:$Q$2)/10^9,0)</f>
        <v>3.0961377023517251E-3</v>
      </c>
      <c r="AC2187" s="105">
        <f>IF($S$2010&gt;0,'Assumptions (Biomass)'!AF$10*Model!$S$2010*AVERAGE('Assumptions (Biomass)'!$O$2:$Q$2)/10^9,0)</f>
        <v>3.1013853933726603E-3</v>
      </c>
      <c r="AD2187" s="105">
        <f>IF($S$2010&gt;0,'Assumptions (Biomass)'!AG$10*Model!$S$2010*AVERAGE('Assumptions (Biomass)'!$O$2:$Q$2)/10^9,0)</f>
        <v>3.0961377023517251E-3</v>
      </c>
      <c r="AE2187" s="105">
        <f>IF($S$2010&gt;0,'Assumptions (Biomass)'!AH$10*Model!$S$2010*AVERAGE('Assumptions (Biomass)'!$O$2:$Q$2)/10^9,0)</f>
        <v>3.1013853933726603E-3</v>
      </c>
      <c r="AF2187" s="105">
        <f>IF($S$2010&gt;0,'Assumptions (Biomass)'!AI$10*Model!$S$2010*AVERAGE('Assumptions (Biomass)'!$O$2:$Q$2)/10^9,0)</f>
        <v>3.0961377023517251E-3</v>
      </c>
      <c r="AG2187" s="105">
        <f>IF($S$2010&gt;0,'Assumptions (Biomass)'!AJ$10*Model!$S$2010*AVERAGE('Assumptions (Biomass)'!$O$2:$Q$2)/10^9,0)</f>
        <v>3.1013853933726603E-3</v>
      </c>
      <c r="AH2187" s="105">
        <f>IF($S$2010&gt;0,'Assumptions (Biomass)'!AK$10*Model!$S$2010*AVERAGE('Assumptions (Biomass)'!$O$2:$Q$2)/10^9,0)</f>
        <v>1.5480688511758625E-3</v>
      </c>
      <c r="AI2187" s="105"/>
      <c r="AJ2187" s="105"/>
      <c r="AK2187" s="105"/>
    </row>
    <row r="2188" spans="1:53" ht="15.75" hidden="1" customHeight="1" outlineLevel="1">
      <c r="A2188" s="441"/>
      <c r="B2188" s="99"/>
      <c r="C2188" s="105"/>
      <c r="D2188" s="105"/>
      <c r="E2188" s="105"/>
      <c r="F2188" s="105"/>
      <c r="G2188" s="105"/>
      <c r="H2188" s="105"/>
      <c r="I2188" s="105"/>
      <c r="J2188" s="105"/>
      <c r="K2188" s="105"/>
      <c r="L2188" s="105"/>
      <c r="M2188" s="105"/>
      <c r="N2188" s="105"/>
      <c r="O2188" s="105"/>
      <c r="P2188" s="171"/>
      <c r="Q2188" s="105"/>
      <c r="R2188" s="91"/>
      <c r="S2188" s="91"/>
      <c r="T2188" s="105">
        <f>IF($T$2010&gt;0,'Assumptions (Biomass)'!V$10*Model!$T$2010*AVERAGE('Assumptions (Biomass)'!$P$2:$R$2)/10^9,0)</f>
        <v>2.1931940875936803E-2</v>
      </c>
      <c r="U2188" s="105">
        <f>IF($T$2010&gt;0,'Assumptions (Biomass)'!W$10*Model!$T$2010*AVERAGE('Assumptions (Biomass)'!$P$2:$R$2)/10^9,0)</f>
        <v>4.1670687664279921E-2</v>
      </c>
      <c r="V2188" s="105">
        <f>IF($T$2010&gt;0,'Assumptions (Biomass)'!X$10*Model!$T$2010*AVERAGE('Assumptions (Biomass)'!$P$2:$R$2)/10^9,0)</f>
        <v>3.7503618897851927E-2</v>
      </c>
      <c r="W2188" s="105">
        <f>IF($T$2010&gt;0,'Assumptions (Biomass)'!Y$10*Model!$T$2010*AVERAGE('Assumptions (Biomass)'!$P$2:$R$2)/10^9,0)</f>
        <v>3.3775188948942672E-2</v>
      </c>
      <c r="X2188" s="105">
        <f>IF($T$2010&gt;0,'Assumptions (Biomass)'!Z$10*Model!$T$2010*AVERAGE('Assumptions (Biomass)'!$P$2:$R$2)/10^9,0)</f>
        <v>3.0397670054048406E-2</v>
      </c>
      <c r="Y2188" s="105">
        <f>IF($T$2010&gt;0,'Assumptions (Biomass)'!AA$10*Model!$T$2010*AVERAGE('Assumptions (Biomass)'!$P$2:$R$2)/10^9,0)</f>
        <v>2.7327198331417252E-2</v>
      </c>
      <c r="Z2188" s="105">
        <f>IF($T$2010&gt;0,'Assumptions (Biomass)'!AB$10*Model!$T$2010*AVERAGE('Assumptions (Biomass)'!$P$2:$R$2)/10^9,0)</f>
        <v>2.5879690233605427E-2</v>
      </c>
      <c r="AA2188" s="105">
        <f>IF($T$2010&gt;0,'Assumptions (Biomass)'!AC$10*Model!$T$2010*AVERAGE('Assumptions (Biomass)'!$P$2:$R$2)/10^9,0)</f>
        <v>2.5879690233605427E-2</v>
      </c>
      <c r="AB2188" s="105">
        <f>IF($T$2010&gt;0,'Assumptions (Biomass)'!AD$10*Model!$T$2010*AVERAGE('Assumptions (Biomass)'!$P$2:$R$2)/10^9,0)</f>
        <v>2.5923554115357298E-2</v>
      </c>
      <c r="AC2188" s="105">
        <f>IF($T$2010&gt;0,'Assumptions (Biomass)'!AE$10*Model!$T$2010*AVERAGE('Assumptions (Biomass)'!$P$2:$R$2)/10^9,0)</f>
        <v>2.5879690233605427E-2</v>
      </c>
      <c r="AD2188" s="105">
        <f>IF($T$2010&gt;0,'Assumptions (Biomass)'!AF$10*Model!$T$2010*AVERAGE('Assumptions (Biomass)'!$P$2:$R$2)/10^9,0)</f>
        <v>2.5923554115357298E-2</v>
      </c>
      <c r="AE2188" s="105">
        <f>IF($T$2010&gt;0,'Assumptions (Biomass)'!AG$10*Model!$T$2010*AVERAGE('Assumptions (Biomass)'!$P$2:$R$2)/10^9,0)</f>
        <v>2.5879690233605427E-2</v>
      </c>
      <c r="AF2188" s="105">
        <f>IF($T$2010&gt;0,'Assumptions (Biomass)'!AH$10*Model!$T$2010*AVERAGE('Assumptions (Biomass)'!$P$2:$R$2)/10^9,0)</f>
        <v>2.5923554115357298E-2</v>
      </c>
      <c r="AG2188" s="105">
        <f>IF($T$2010&gt;0,'Assumptions (Biomass)'!AI$10*Model!$T$2010*AVERAGE('Assumptions (Biomass)'!$P$2:$R$2)/10^9,0)</f>
        <v>2.5879690233605427E-2</v>
      </c>
      <c r="AH2188" s="105">
        <f>IF($T$2010&gt;0,'Assumptions (Biomass)'!AJ$10*Model!$T$2010*AVERAGE('Assumptions (Biomass)'!$P$2:$R$2)/10^9,0)</f>
        <v>2.5923554115357298E-2</v>
      </c>
      <c r="AI2188" s="105">
        <f>IF($T$2010&gt;0,'Assumptions (Biomass)'!AK$10*Model!$T$2010*AVERAGE('Assumptions (Biomass)'!$P$2:$R$2)/10^9,0)</f>
        <v>1.2939845116802714E-2</v>
      </c>
      <c r="AJ2188" s="105"/>
      <c r="AK2188" s="105"/>
    </row>
    <row r="2189" spans="1:53" ht="15.75" hidden="1" customHeight="1" outlineLevel="1">
      <c r="A2189" s="441"/>
      <c r="B2189" s="99"/>
      <c r="C2189" s="105"/>
      <c r="D2189" s="105"/>
      <c r="E2189" s="105"/>
      <c r="F2189" s="105"/>
      <c r="G2189" s="105"/>
      <c r="H2189" s="105"/>
      <c r="I2189" s="105"/>
      <c r="J2189" s="105"/>
      <c r="K2189" s="105"/>
      <c r="L2189" s="105"/>
      <c r="M2189" s="105"/>
      <c r="N2189" s="105"/>
      <c r="O2189" s="105"/>
      <c r="P2189" s="171"/>
      <c r="Q2189" s="105"/>
      <c r="R2189" s="91"/>
      <c r="S2189" s="91"/>
      <c r="T2189" s="91"/>
      <c r="U2189" s="105">
        <f>IF($U$2010&gt;0,'Assumptions (Biomass)'!V$10*Model!$U$2010*AVERAGE('Assumptions (Biomass)'!$Q$2:$S$2)/10^9,0)</f>
        <v>3.1021009876027882E-3</v>
      </c>
      <c r="V2189" s="105">
        <f>IF($U$2010&gt;0,'Assumptions (Biomass)'!W$10*Model!$U$2010*AVERAGE('Assumptions (Biomass)'!$Q$2:$S$2)/10^9,0)</f>
        <v>5.8939918764452969E-3</v>
      </c>
      <c r="W2189" s="105">
        <f>IF($U$2010&gt;0,'Assumptions (Biomass)'!X$10*Model!$U$2010*AVERAGE('Assumptions (Biomass)'!$Q$2:$S$2)/10^9,0)</f>
        <v>5.3045926888007676E-3</v>
      </c>
      <c r="X2189" s="105">
        <f>IF($U$2010&gt;0,'Assumptions (Biomass)'!Y$10*Model!$U$2010*AVERAGE('Assumptions (Biomass)'!$Q$2:$S$2)/10^9,0)</f>
        <v>4.7772355209082934E-3</v>
      </c>
      <c r="Y2189" s="105">
        <f>IF($U$2010&gt;0,'Assumptions (Biomass)'!Z$10*Model!$U$2010*AVERAGE('Assumptions (Biomass)'!$Q$2:$S$2)/10^9,0)</f>
        <v>4.2995119688174644E-3</v>
      </c>
      <c r="Z2189" s="105">
        <f>IF($U$2010&gt;0,'Assumptions (Biomass)'!AA$10*Model!$U$2010*AVERAGE('Assumptions (Biomass)'!$Q$2:$S$2)/10^9,0)</f>
        <v>3.865217830553074E-3</v>
      </c>
      <c r="AA2189" s="105">
        <f>IF($U$2010&gt;0,'Assumptions (Biomass)'!AB$10*Model!$U$2010*AVERAGE('Assumptions (Biomass)'!$Q$2:$S$2)/10^9,0)</f>
        <v>3.6604791653712899E-3</v>
      </c>
      <c r="AB2189" s="105">
        <f>IF($U$2010&gt;0,'Assumptions (Biomass)'!AC$10*Model!$U$2010*AVERAGE('Assumptions (Biomass)'!$Q$2:$S$2)/10^9,0)</f>
        <v>3.6604791653712899E-3</v>
      </c>
      <c r="AC2189" s="105">
        <f>IF($U$2010&gt;0,'Assumptions (Biomass)'!AD$10*Model!$U$2010*AVERAGE('Assumptions (Biomass)'!$Q$2:$S$2)/10^9,0)</f>
        <v>3.6666833673464948E-3</v>
      </c>
      <c r="AD2189" s="105">
        <f>IF($U$2010&gt;0,'Assumptions (Biomass)'!AE$10*Model!$U$2010*AVERAGE('Assumptions (Biomass)'!$Q$2:$S$2)/10^9,0)</f>
        <v>3.6604791653712899E-3</v>
      </c>
      <c r="AE2189" s="105">
        <f>IF($U$2010&gt;0,'Assumptions (Biomass)'!AF$10*Model!$U$2010*AVERAGE('Assumptions (Biomass)'!$Q$2:$S$2)/10^9,0)</f>
        <v>3.6666833673464948E-3</v>
      </c>
      <c r="AF2189" s="105">
        <f>IF($U$2010&gt;0,'Assumptions (Biomass)'!AG$10*Model!$U$2010*AVERAGE('Assumptions (Biomass)'!$Q$2:$S$2)/10^9,0)</f>
        <v>3.6604791653712899E-3</v>
      </c>
      <c r="AG2189" s="105">
        <f>IF($U$2010&gt;0,'Assumptions (Biomass)'!AH$10*Model!$U$2010*AVERAGE('Assumptions (Biomass)'!$Q$2:$S$2)/10^9,0)</f>
        <v>3.6666833673464948E-3</v>
      </c>
      <c r="AH2189" s="105">
        <f>IF($U$2010&gt;0,'Assumptions (Biomass)'!AI$10*Model!$U$2010*AVERAGE('Assumptions (Biomass)'!$Q$2:$S$2)/10^9,0)</f>
        <v>3.6604791653712899E-3</v>
      </c>
      <c r="AI2189" s="105">
        <f>IF($U$2010&gt;0,'Assumptions (Biomass)'!AJ$10*Model!$U$2010*AVERAGE('Assumptions (Biomass)'!$Q$2:$S$2)/10^9,0)</f>
        <v>3.6666833673464948E-3</v>
      </c>
      <c r="AJ2189" s="105">
        <f>IF($U$2010&gt;0,'Assumptions (Biomass)'!AK$10*Model!$U$2010*AVERAGE('Assumptions (Biomass)'!$Q$2:$S$2)/10^9,0)</f>
        <v>1.830239582685645E-3</v>
      </c>
      <c r="AK2189" s="105"/>
    </row>
    <row r="2190" spans="1:53" ht="15.75" hidden="1" customHeight="1" outlineLevel="1">
      <c r="A2190" s="441"/>
      <c r="B2190" s="99"/>
      <c r="C2190" s="105"/>
      <c r="D2190" s="105"/>
      <c r="E2190" s="105"/>
      <c r="F2190" s="105"/>
      <c r="G2190" s="105"/>
      <c r="H2190" s="105"/>
      <c r="I2190" s="105"/>
      <c r="J2190" s="105"/>
      <c r="K2190" s="105"/>
      <c r="L2190" s="105"/>
      <c r="M2190" s="105"/>
      <c r="N2190" s="105"/>
      <c r="O2190" s="105"/>
      <c r="P2190" s="171"/>
      <c r="Q2190" s="105"/>
      <c r="R2190" s="91"/>
      <c r="S2190" s="91"/>
      <c r="T2190" s="91"/>
      <c r="U2190" s="105"/>
      <c r="V2190" s="105">
        <f>IF($V$2010&gt;0,'Assumptions (Biomass)'!V$10*Model!$V$2010*AVERAGE('Assumptions (Biomass)'!$R$2:$T$2)/10^9,0)</f>
        <v>2.8658095238042452E-2</v>
      </c>
      <c r="W2190" s="105">
        <f>IF($V$2010&gt;0,'Assumptions (Biomass)'!W$10*Model!$V$2010*AVERAGE('Assumptions (Biomass)'!$R$2:$T$2)/10^9,0)</f>
        <v>5.4450380952280657E-2</v>
      </c>
      <c r="X2190" s="105">
        <f>IF($V$2010&gt;0,'Assumptions (Biomass)'!X$10*Model!$V$2010*AVERAGE('Assumptions (Biomass)'!$R$2:$T$2)/10^9,0)</f>
        <v>4.9005342857052589E-2</v>
      </c>
      <c r="Y2190" s="105">
        <f>IF($V$2010&gt;0,'Assumptions (Biomass)'!Y$10*Model!$V$2010*AVERAGE('Assumptions (Biomass)'!$R$2:$T$2)/10^9,0)</f>
        <v>4.4133466666585373E-2</v>
      </c>
      <c r="Z2190" s="105">
        <f>IF($V$2010&gt;0,'Assumptions (Biomass)'!Z$10*Model!$V$2010*AVERAGE('Assumptions (Biomass)'!$R$2:$T$2)/10^9,0)</f>
        <v>3.9720119999926834E-2</v>
      </c>
      <c r="AA2190" s="105">
        <f>IF($V$2010&gt;0,'Assumptions (Biomass)'!AA$10*Model!$V$2010*AVERAGE('Assumptions (Biomass)'!$R$2:$T$2)/10^9,0)</f>
        <v>3.570798666660089E-2</v>
      </c>
      <c r="AB2190" s="105">
        <f>IF($V$2010&gt;0,'Assumptions (Biomass)'!AB$10*Model!$V$2010*AVERAGE('Assumptions (Biomass)'!$R$2:$T$2)/10^9,0)</f>
        <v>3.3816552380890083E-2</v>
      </c>
      <c r="AC2190" s="105">
        <f>IF($V$2010&gt;0,'Assumptions (Biomass)'!AC$10*Model!$V$2010*AVERAGE('Assumptions (Biomass)'!$R$2:$T$2)/10^9,0)</f>
        <v>3.3816552380890083E-2</v>
      </c>
      <c r="AD2190" s="105">
        <f>IF($V$2010&gt;0,'Assumptions (Biomass)'!AD$10*Model!$V$2010*AVERAGE('Assumptions (Biomass)'!$R$2:$T$2)/10^9,0)</f>
        <v>3.3873868571366178E-2</v>
      </c>
      <c r="AE2190" s="105">
        <f>IF($V$2010&gt;0,'Assumptions (Biomass)'!AE$10*Model!$V$2010*AVERAGE('Assumptions (Biomass)'!$R$2:$T$2)/10^9,0)</f>
        <v>3.3816552380890083E-2</v>
      </c>
      <c r="AF2190" s="105">
        <f>IF($V$2010&gt;0,'Assumptions (Biomass)'!AF$10*Model!$V$2010*AVERAGE('Assumptions (Biomass)'!$R$2:$T$2)/10^9,0)</f>
        <v>3.3873868571366178E-2</v>
      </c>
      <c r="AG2190" s="105">
        <f>IF($V$2010&gt;0,'Assumptions (Biomass)'!AG$10*Model!$V$2010*AVERAGE('Assumptions (Biomass)'!$R$2:$T$2)/10^9,0)</f>
        <v>3.3816552380890083E-2</v>
      </c>
      <c r="AH2190" s="105">
        <f>IF($V$2010&gt;0,'Assumptions (Biomass)'!AH$10*Model!$V$2010*AVERAGE('Assumptions (Biomass)'!$R$2:$T$2)/10^9,0)</f>
        <v>3.3873868571366178E-2</v>
      </c>
      <c r="AI2190" s="105">
        <f>IF($V$2010&gt;0,'Assumptions (Biomass)'!AI$10*Model!$V$2010*AVERAGE('Assumptions (Biomass)'!$R$2:$T$2)/10^9,0)</f>
        <v>3.3816552380890083E-2</v>
      </c>
      <c r="AJ2190" s="105">
        <f>IF($V$2010&gt;0,'Assumptions (Biomass)'!AJ$10*Model!$V$2010*AVERAGE('Assumptions (Biomass)'!$R$2:$T$2)/10^9,0)</f>
        <v>3.3873868571366178E-2</v>
      </c>
      <c r="AK2190" s="105">
        <f>IF($V$2010&gt;0,'Assumptions (Biomass)'!AK$10*Model!$V$2010*AVERAGE('Assumptions (Biomass)'!$R$2:$T$2)/10^9,0)</f>
        <v>1.6908276190445042E-2</v>
      </c>
    </row>
    <row r="2191" spans="1:53" ht="15.75" hidden="1" customHeight="1" outlineLevel="1">
      <c r="A2191" s="441"/>
      <c r="B2191" s="99"/>
      <c r="C2191" s="99"/>
      <c r="D2191" s="99"/>
      <c r="E2191" s="99"/>
      <c r="F2191" s="99"/>
      <c r="G2191" s="99"/>
      <c r="H2191" s="99"/>
      <c r="I2191" s="99"/>
      <c r="J2191" s="99"/>
      <c r="K2191" s="99"/>
      <c r="L2191" s="99"/>
      <c r="M2191" s="99"/>
      <c r="N2191" s="99"/>
      <c r="O2191" s="99"/>
      <c r="P2191" s="99"/>
      <c r="Q2191" s="99"/>
      <c r="R2191" s="99"/>
      <c r="S2191" s="99"/>
      <c r="T2191" s="99"/>
      <c r="U2191" s="99"/>
      <c r="V2191" s="99"/>
      <c r="W2191" s="105">
        <f>IF($W$2010&gt;0,'Assumptions (Biomass)'!V10*Model!$W$2010*AVERAGE('Assumptions (Biomass)'!$S$2:$U$2)/10^9,0)</f>
        <v>9.4056410995770855E-3</v>
      </c>
      <c r="X2191" s="105">
        <f>IF($W$2010&gt;0,'Assumptions (Biomass)'!W10*Model!$W$2010*AVERAGE('Assumptions (Biomass)'!$S$2:$U$2)/10^9,0)</f>
        <v>1.7870718089196463E-2</v>
      </c>
      <c r="Y2191" s="105">
        <f>IF($W$2010&gt;0,'Assumptions (Biomass)'!X10*Model!$W$2010*AVERAGE('Assumptions (Biomass)'!$S$2:$U$2)/10^9,0)</f>
        <v>1.6083646280276816E-2</v>
      </c>
      <c r="Z2191" s="105">
        <f>IF($W$2010&gt;0,'Assumptions (Biomass)'!Y10*Model!$W$2010*AVERAGE('Assumptions (Biomass)'!$S$2:$U$2)/10^9,0)</f>
        <v>1.4484687293348713E-2</v>
      </c>
      <c r="AA2191" s="105">
        <f>IF($W$2010&gt;0,'Assumptions (Biomass)'!Z10*Model!$W$2010*AVERAGE('Assumptions (Biomass)'!$S$2:$U$2)/10^9,0)</f>
        <v>1.3036218564013841E-2</v>
      </c>
      <c r="AB2191" s="105">
        <f>IF($W$2010&gt;0,'Assumptions (Biomass)'!AA10*Model!$W$2010*AVERAGE('Assumptions (Biomass)'!$S$2:$U$2)/10^9,0)</f>
        <v>1.1719428810073049E-2</v>
      </c>
      <c r="AC2191" s="105">
        <f>IF($W$2010&gt;0,'Assumptions (Biomass)'!AB10*Model!$W$2010*AVERAGE('Assumptions (Biomass)'!$S$2:$U$2)/10^9,0)</f>
        <v>1.1098656497500962E-2</v>
      </c>
      <c r="AD2191" s="105">
        <f>IF($W$2010&gt;0,'Assumptions (Biomass)'!AC10*Model!$W$2010*AVERAGE('Assumptions (Biomass)'!$S$2:$U$2)/10^9,0)</f>
        <v>1.1098656497500962E-2</v>
      </c>
      <c r="AE2191" s="105">
        <f>IF($W$2010&gt;0,'Assumptions (Biomass)'!AD10*Model!$W$2010*AVERAGE('Assumptions (Biomass)'!$S$2:$U$2)/10^9,0)</f>
        <v>1.1117467779700116E-2</v>
      </c>
      <c r="AF2191" s="105">
        <f>IF($W$2010&gt;0,'Assumptions (Biomass)'!AE10*Model!$W$2010*AVERAGE('Assumptions (Biomass)'!$S$2:$U$2)/10^9,0)</f>
        <v>1.1098656497500962E-2</v>
      </c>
      <c r="AG2191" s="105">
        <f>IF($W$2010&gt;0,'Assumptions (Biomass)'!AF10*Model!$W$2010*AVERAGE('Assumptions (Biomass)'!$S$2:$U$2)/10^9,0)</f>
        <v>1.1117467779700116E-2</v>
      </c>
      <c r="AH2191" s="105">
        <f>IF($W$2010&gt;0,'Assumptions (Biomass)'!AG10*Model!$W$2010*AVERAGE('Assumptions (Biomass)'!$S$2:$U$2)/10^9,0)</f>
        <v>1.1098656497500962E-2</v>
      </c>
      <c r="AI2191" s="105">
        <f>IF($W$2010&gt;0,'Assumptions (Biomass)'!AH10*Model!$W$2010*AVERAGE('Assumptions (Biomass)'!$S$2:$U$2)/10^9,0)</f>
        <v>1.1117467779700116E-2</v>
      </c>
      <c r="AJ2191" s="105">
        <f>IF($W$2010&gt;0,'Assumptions (Biomass)'!AI10*Model!$W$2010*AVERAGE('Assumptions (Biomass)'!$S$2:$U$2)/10^9,0)</f>
        <v>1.1098656497500962E-2</v>
      </c>
      <c r="AK2191" s="105">
        <f>IF($W$2010&gt;0,'Assumptions (Biomass)'!AJ10*Model!$W$2010*AVERAGE('Assumptions (Biomass)'!$S$2:$U$2)/10^9,0)</f>
        <v>1.1117467779700116E-2</v>
      </c>
      <c r="AL2191" s="105">
        <f>IF($W$2010&gt;0,'Assumptions (Biomass)'!AK10*Model!$W$2010*AVERAGE('Assumptions (Biomass)'!$S$2:$U$2)/10^9,0)</f>
        <v>5.5493282487504812E-3</v>
      </c>
      <c r="AM2191" s="105"/>
      <c r="AN2191" s="105"/>
      <c r="AO2191" s="105"/>
      <c r="AP2191" s="105"/>
      <c r="AQ2191" s="105"/>
      <c r="AR2191" s="105"/>
      <c r="AS2191" s="105"/>
      <c r="AT2191" s="105"/>
      <c r="AU2191" s="105"/>
      <c r="AV2191" s="105"/>
      <c r="AW2191" s="105"/>
      <c r="AX2191" s="105"/>
      <c r="AY2191" s="105"/>
      <c r="AZ2191" s="105"/>
      <c r="BA2191" s="105"/>
    </row>
    <row r="2192" spans="1:53" ht="15.75" hidden="1" customHeight="1" outlineLevel="1">
      <c r="A2192" s="441"/>
      <c r="B2192" s="99"/>
      <c r="C2192" s="99"/>
      <c r="D2192" s="99"/>
      <c r="E2192" s="99"/>
      <c r="F2192" s="99"/>
      <c r="G2192" s="99"/>
      <c r="H2192" s="99"/>
      <c r="I2192" s="99"/>
      <c r="J2192" s="99"/>
      <c r="K2192" s="99"/>
      <c r="L2192" s="99"/>
      <c r="M2192" s="99"/>
      <c r="N2192" s="99"/>
      <c r="O2192" s="99"/>
      <c r="P2192" s="99"/>
      <c r="Q2192" s="99"/>
      <c r="R2192" s="99"/>
      <c r="S2192" s="99"/>
      <c r="T2192" s="99"/>
      <c r="U2192" s="99"/>
      <c r="V2192" s="99"/>
      <c r="W2192" s="105"/>
      <c r="X2192" s="105">
        <f>IF($X$2010&gt;0,'Assumptions (Biomass)'!V10*Model!$X$2010*AVERAGE('Assumptions (Biomass)'!$T$2:$V$2)/10^9,0)</f>
        <v>0</v>
      </c>
      <c r="Y2192" s="105">
        <f>IF($X$2010&gt;0,'Assumptions (Biomass)'!W10*Model!$X$2010*AVERAGE('Assumptions (Biomass)'!$T$2:$V$2)/10^9,0)</f>
        <v>0</v>
      </c>
      <c r="Z2192" s="105">
        <f>IF($X$2010&gt;0,'Assumptions (Biomass)'!X10*Model!$X$2010*AVERAGE('Assumptions (Biomass)'!$T$2:$V$2)/10^9,0)</f>
        <v>0</v>
      </c>
      <c r="AA2192" s="105">
        <f>IF($X$2010&gt;0,'Assumptions (Biomass)'!Y10*Model!$X$2010*AVERAGE('Assumptions (Biomass)'!$T$2:$V$2)/10^9,0)</f>
        <v>0</v>
      </c>
      <c r="AB2192" s="105">
        <f>IF($X$2010&gt;0,'Assumptions (Biomass)'!Z10*Model!$X$2010*AVERAGE('Assumptions (Biomass)'!$T$2:$V$2)/10^9,0)</f>
        <v>0</v>
      </c>
      <c r="AC2192" s="105">
        <f>IF($X$2010&gt;0,'Assumptions (Biomass)'!AA10*Model!$X$2010*AVERAGE('Assumptions (Biomass)'!$T$2:$V$2)/10^9,0)</f>
        <v>0</v>
      </c>
      <c r="AD2192" s="105">
        <f>IF($X$2010&gt;0,'Assumptions (Biomass)'!AB10*Model!$X$2010*AVERAGE('Assumptions (Biomass)'!$T$2:$V$2)/10^9,0)</f>
        <v>0</v>
      </c>
      <c r="AE2192" s="105">
        <f>IF($X$2010&gt;0,'Assumptions (Biomass)'!AC10*Model!$X$2010*AVERAGE('Assumptions (Biomass)'!$T$2:$V$2)/10^9,0)</f>
        <v>0</v>
      </c>
      <c r="AF2192" s="105">
        <f>IF($X$2010&gt;0,'Assumptions (Biomass)'!AD10*Model!$X$2010*AVERAGE('Assumptions (Biomass)'!$T$2:$V$2)/10^9,0)</f>
        <v>0</v>
      </c>
      <c r="AG2192" s="105">
        <f>IF($X$2010&gt;0,'Assumptions (Biomass)'!AE10*Model!$X$2010*AVERAGE('Assumptions (Biomass)'!$T$2:$V$2)/10^9,0)</f>
        <v>0</v>
      </c>
      <c r="AH2192" s="105">
        <f>IF($X$2010&gt;0,'Assumptions (Biomass)'!AF10*Model!$X$2010*AVERAGE('Assumptions (Biomass)'!$T$2:$V$2)/10^9,0)</f>
        <v>0</v>
      </c>
      <c r="AI2192" s="105">
        <f>IF($X$2010&gt;0,'Assumptions (Biomass)'!AG10*Model!$X$2010*AVERAGE('Assumptions (Biomass)'!$T$2:$V$2)/10^9,0)</f>
        <v>0</v>
      </c>
      <c r="AJ2192" s="105">
        <f>IF($X$2010&gt;0,'Assumptions (Biomass)'!AH10*Model!$X$2010*AVERAGE('Assumptions (Biomass)'!$T$2:$V$2)/10^9,0)</f>
        <v>0</v>
      </c>
      <c r="AK2192" s="105">
        <f>IF($X$2010&gt;0,'Assumptions (Biomass)'!AI10*Model!$X$2010*AVERAGE('Assumptions (Biomass)'!$T$2:$V$2)/10^9,0)</f>
        <v>0</v>
      </c>
      <c r="AL2192" s="105">
        <f>IF($X$2010&gt;0,'Assumptions (Biomass)'!AJ10*Model!$X$2010*AVERAGE('Assumptions (Biomass)'!$T$2:$V$2)/10^9,0)</f>
        <v>0</v>
      </c>
      <c r="AM2192" s="105">
        <f>IF($X$2010&gt;0,'Assumptions (Biomass)'!AK10*Model!$X$2010*AVERAGE('Assumptions (Biomass)'!$T$2:$V$2)/10^9,0)</f>
        <v>0</v>
      </c>
      <c r="AN2192" s="105"/>
      <c r="AO2192" s="105"/>
      <c r="AP2192" s="105"/>
      <c r="AQ2192" s="105"/>
      <c r="AR2192" s="105"/>
      <c r="AS2192" s="105"/>
      <c r="AT2192" s="105"/>
      <c r="AU2192" s="105"/>
      <c r="AV2192" s="105"/>
      <c r="AW2192" s="105"/>
      <c r="AX2192" s="105"/>
      <c r="AY2192" s="105"/>
      <c r="AZ2192" s="105"/>
      <c r="BA2192" s="105"/>
    </row>
    <row r="2193" spans="1:64" ht="15.75" hidden="1" customHeight="1" outlineLevel="1">
      <c r="A2193" s="441"/>
      <c r="B2193" s="99"/>
      <c r="C2193" s="99"/>
      <c r="D2193" s="99"/>
      <c r="E2193" s="99"/>
      <c r="F2193" s="99"/>
      <c r="G2193" s="99"/>
      <c r="H2193" s="99"/>
      <c r="I2193" s="99"/>
      <c r="J2193" s="99"/>
      <c r="K2193" s="99"/>
      <c r="L2193" s="99"/>
      <c r="M2193" s="99"/>
      <c r="N2193" s="99"/>
      <c r="O2193" s="99"/>
      <c r="P2193" s="99"/>
      <c r="Q2193" s="99"/>
      <c r="R2193" s="99"/>
      <c r="S2193" s="99"/>
      <c r="T2193" s="99"/>
      <c r="U2193" s="99"/>
      <c r="V2193" s="99"/>
      <c r="W2193" s="105"/>
      <c r="X2193" s="105"/>
      <c r="Y2193" s="105">
        <f>IF($Y$2010&gt;0,'Assumptions (Biomass)'!V10*Model!$Y$2010*AVERAGE('Assumptions (Biomass)'!$U$2:$W$2)/10^9,0)</f>
        <v>0</v>
      </c>
      <c r="Z2193" s="105">
        <f>IF($Y$2010&gt;0,'Assumptions (Biomass)'!W10*Model!$Y$2010*AVERAGE('Assumptions (Biomass)'!$U$2:$W$2)/10^9,0)</f>
        <v>0</v>
      </c>
      <c r="AA2193" s="105">
        <f>IF($Y$2010&gt;0,'Assumptions (Biomass)'!X10*Model!$Y$2010*AVERAGE('Assumptions (Biomass)'!$U$2:$W$2)/10^9,0)</f>
        <v>0</v>
      </c>
      <c r="AB2193" s="105">
        <f>IF($Y$2010&gt;0,'Assumptions (Biomass)'!Y10*Model!$Y$2010*AVERAGE('Assumptions (Biomass)'!$U$2:$W$2)/10^9,0)</f>
        <v>0</v>
      </c>
      <c r="AC2193" s="105">
        <f>IF($Y$2010&gt;0,'Assumptions (Biomass)'!Z10*Model!$Y$2010*AVERAGE('Assumptions (Biomass)'!$U$2:$W$2)/10^9,0)</f>
        <v>0</v>
      </c>
      <c r="AD2193" s="105">
        <f>IF($Y$2010&gt;0,'Assumptions (Biomass)'!AA10*Model!$Y$2010*AVERAGE('Assumptions (Biomass)'!$U$2:$W$2)/10^9,0)</f>
        <v>0</v>
      </c>
      <c r="AE2193" s="105">
        <f>IF($Y$2010&gt;0,'Assumptions (Biomass)'!AB10*Model!$Y$2010*AVERAGE('Assumptions (Biomass)'!$U$2:$W$2)/10^9,0)</f>
        <v>0</v>
      </c>
      <c r="AF2193" s="105">
        <f>IF($Y$2010&gt;0,'Assumptions (Biomass)'!AC10*Model!$Y$2010*AVERAGE('Assumptions (Biomass)'!$U$2:$W$2)/10^9,0)</f>
        <v>0</v>
      </c>
      <c r="AG2193" s="105">
        <f>IF($Y$2010&gt;0,'Assumptions (Biomass)'!AD10*Model!$Y$2010*AVERAGE('Assumptions (Biomass)'!$U$2:$W$2)/10^9,0)</f>
        <v>0</v>
      </c>
      <c r="AH2193" s="105">
        <f>IF($Y$2010&gt;0,'Assumptions (Biomass)'!AE10*Model!$Y$2010*AVERAGE('Assumptions (Biomass)'!$U$2:$W$2)/10^9,0)</f>
        <v>0</v>
      </c>
      <c r="AI2193" s="105">
        <f>IF($Y$2010&gt;0,'Assumptions (Biomass)'!AF10*Model!$Y$2010*AVERAGE('Assumptions (Biomass)'!$U$2:$W$2)/10^9,0)</f>
        <v>0</v>
      </c>
      <c r="AJ2193" s="105">
        <f>IF($Y$2010&gt;0,'Assumptions (Biomass)'!AG10*Model!$Y$2010*AVERAGE('Assumptions (Biomass)'!$U$2:$W$2)/10^9,0)</f>
        <v>0</v>
      </c>
      <c r="AK2193" s="105">
        <f>IF($Y$2010&gt;0,'Assumptions (Biomass)'!AH10*Model!$Y$2010*AVERAGE('Assumptions (Biomass)'!$U$2:$W$2)/10^9,0)</f>
        <v>0</v>
      </c>
      <c r="AL2193" s="105">
        <f>IF($Y$2010&gt;0,'Assumptions (Biomass)'!AI10*Model!$Y$2010*AVERAGE('Assumptions (Biomass)'!$U$2:$W$2)/10^9,0)</f>
        <v>0</v>
      </c>
      <c r="AM2193" s="105">
        <f>IF($Y$2010&gt;0,'Assumptions (Biomass)'!AJ10*Model!$Y$2010*AVERAGE('Assumptions (Biomass)'!$U$2:$W$2)/10^9,0)</f>
        <v>0</v>
      </c>
      <c r="AN2193" s="105">
        <f>IF($Y$2010&gt;0,'Assumptions (Biomass)'!AK10*Model!$Y$2010*AVERAGE('Assumptions (Biomass)'!$U$2:$W$2)/10^9,0)</f>
        <v>0</v>
      </c>
      <c r="AO2193" s="105"/>
      <c r="AP2193" s="105"/>
      <c r="AQ2193" s="105"/>
      <c r="AR2193" s="105"/>
      <c r="AS2193" s="105"/>
      <c r="AT2193" s="105"/>
      <c r="AU2193" s="105"/>
      <c r="AV2193" s="105"/>
      <c r="AW2193" s="105"/>
      <c r="AX2193" s="105"/>
      <c r="AY2193" s="105"/>
      <c r="AZ2193" s="105"/>
      <c r="BA2193" s="105"/>
    </row>
    <row r="2194" spans="1:64" ht="15.75" hidden="1" customHeight="1" outlineLevel="1">
      <c r="A2194" s="441"/>
      <c r="B2194" s="99"/>
      <c r="C2194" s="99"/>
      <c r="D2194" s="99"/>
      <c r="E2194" s="99"/>
      <c r="F2194" s="99"/>
      <c r="G2194" s="99"/>
      <c r="H2194" s="99"/>
      <c r="I2194" s="99"/>
      <c r="J2194" s="99"/>
      <c r="K2194" s="99"/>
      <c r="L2194" s="99"/>
      <c r="M2194" s="99"/>
      <c r="N2194" s="99"/>
      <c r="O2194" s="99"/>
      <c r="P2194" s="99"/>
      <c r="Q2194" s="99"/>
      <c r="R2194" s="99"/>
      <c r="S2194" s="99"/>
      <c r="T2194" s="99"/>
      <c r="U2194" s="99"/>
      <c r="V2194" s="99"/>
      <c r="W2194" s="105"/>
      <c r="X2194" s="105"/>
      <c r="Y2194" s="105"/>
      <c r="Z2194" s="105">
        <f>IF($Z$2010&gt;0,'Assumptions (Biomass)'!V10*Model!$Z$2010*AVERAGE('Assumptions (Biomass)'!$V$2:$X$2)/10^9,0)</f>
        <v>0</v>
      </c>
      <c r="AA2194" s="105">
        <f>IF($Z$2010&gt;0,'Assumptions (Biomass)'!W10*Model!$Z$2010*AVERAGE('Assumptions (Biomass)'!$V$2:$X$2)/10^9,0)</f>
        <v>0</v>
      </c>
      <c r="AB2194" s="105">
        <f>IF($Z$2010&gt;0,'Assumptions (Biomass)'!X10*Model!$Z$2010*AVERAGE('Assumptions (Biomass)'!$V$2:$X$2)/10^9,0)</f>
        <v>0</v>
      </c>
      <c r="AC2194" s="105">
        <f>IF($Z$2010&gt;0,'Assumptions (Biomass)'!Y10*Model!$Z$2010*AVERAGE('Assumptions (Biomass)'!$V$2:$X$2)/10^9,0)</f>
        <v>0</v>
      </c>
      <c r="AD2194" s="105">
        <f>IF($Z$2010&gt;0,'Assumptions (Biomass)'!Z10*Model!$Z$2010*AVERAGE('Assumptions (Biomass)'!$V$2:$X$2)/10^9,0)</f>
        <v>0</v>
      </c>
      <c r="AE2194" s="105">
        <f>IF($Z$2010&gt;0,'Assumptions (Biomass)'!AA10*Model!$Z$2010*AVERAGE('Assumptions (Biomass)'!$V$2:$X$2)/10^9,0)</f>
        <v>0</v>
      </c>
      <c r="AF2194" s="105">
        <f>IF($Z$2010&gt;0,'Assumptions (Biomass)'!AB10*Model!$Z$2010*AVERAGE('Assumptions (Biomass)'!$V$2:$X$2)/10^9,0)</f>
        <v>0</v>
      </c>
      <c r="AG2194" s="105">
        <f>IF($Z$2010&gt;0,'Assumptions (Biomass)'!AC10*Model!$Z$2010*AVERAGE('Assumptions (Biomass)'!$V$2:$X$2)/10^9,0)</f>
        <v>0</v>
      </c>
      <c r="AH2194" s="105">
        <f>IF($Z$2010&gt;0,'Assumptions (Biomass)'!AD10*Model!$Z$2010*AVERAGE('Assumptions (Biomass)'!$V$2:$X$2)/10^9,0)</f>
        <v>0</v>
      </c>
      <c r="AI2194" s="105">
        <f>IF($Z$2010&gt;0,'Assumptions (Biomass)'!AE10*Model!$Z$2010*AVERAGE('Assumptions (Biomass)'!$V$2:$X$2)/10^9,0)</f>
        <v>0</v>
      </c>
      <c r="AJ2194" s="105">
        <f>IF($Z$2010&gt;0,'Assumptions (Biomass)'!AF10*Model!$Z$2010*AVERAGE('Assumptions (Biomass)'!$V$2:$X$2)/10^9,0)</f>
        <v>0</v>
      </c>
      <c r="AK2194" s="105">
        <f>IF($Z$2010&gt;0,'Assumptions (Biomass)'!AG10*Model!$Z$2010*AVERAGE('Assumptions (Biomass)'!$V$2:$X$2)/10^9,0)</f>
        <v>0</v>
      </c>
      <c r="AL2194" s="105">
        <f>IF($Z$2010&gt;0,'Assumptions (Biomass)'!AH10*Model!$Z$2010*AVERAGE('Assumptions (Biomass)'!$V$2:$X$2)/10^9,0)</f>
        <v>0</v>
      </c>
      <c r="AM2194" s="105">
        <f>IF($Z$2010&gt;0,'Assumptions (Biomass)'!AI10*Model!$Z$2010*AVERAGE('Assumptions (Biomass)'!$V$2:$X$2)/10^9,0)</f>
        <v>0</v>
      </c>
      <c r="AN2194" s="105">
        <f>IF($Z$2010&gt;0,'Assumptions (Biomass)'!AJ10*Model!$Z$2010*AVERAGE('Assumptions (Biomass)'!$V$2:$X$2)/10^9,0)</f>
        <v>0</v>
      </c>
      <c r="AO2194" s="105">
        <f>IF($Z$2010&gt;0,'Assumptions (Biomass)'!AK10*Model!$Z$2010*AVERAGE('Assumptions (Biomass)'!$V$2:$X$2)/10^9,0)</f>
        <v>0</v>
      </c>
      <c r="AP2194" s="105"/>
      <c r="AQ2194" s="105"/>
      <c r="AR2194" s="105"/>
      <c r="AS2194" s="105"/>
      <c r="AT2194" s="105"/>
      <c r="AU2194" s="105"/>
      <c r="AV2194" s="105"/>
      <c r="AW2194" s="105"/>
      <c r="AX2194" s="105"/>
      <c r="AY2194" s="105"/>
      <c r="AZ2194" s="105"/>
      <c r="BA2194" s="105"/>
    </row>
    <row r="2195" spans="1:64" ht="15.75" hidden="1" customHeight="1" outlineLevel="1">
      <c r="A2195" s="441"/>
      <c r="B2195" s="99"/>
      <c r="C2195" s="99"/>
      <c r="D2195" s="99"/>
      <c r="E2195" s="99"/>
      <c r="F2195" s="99"/>
      <c r="G2195" s="99"/>
      <c r="H2195" s="99"/>
      <c r="I2195" s="99"/>
      <c r="J2195" s="99"/>
      <c r="K2195" s="99"/>
      <c r="L2195" s="99"/>
      <c r="M2195" s="99"/>
      <c r="N2195" s="99"/>
      <c r="O2195" s="99"/>
      <c r="P2195" s="99"/>
      <c r="Q2195" s="99"/>
      <c r="R2195" s="99"/>
      <c r="S2195" s="99"/>
      <c r="T2195" s="99"/>
      <c r="U2195" s="99"/>
      <c r="V2195" s="99"/>
      <c r="W2195" s="105"/>
      <c r="X2195" s="105"/>
      <c r="Y2195" s="105"/>
      <c r="Z2195" s="105"/>
      <c r="AA2195" s="105">
        <f>IF($AA$2010&gt;0,'Assumptions (Biomass)'!V10*Model!$AA$2010*AVERAGE('Assumptions (Biomass)'!$W$2:$Y$2)/10^9,0)</f>
        <v>0</v>
      </c>
      <c r="AB2195" s="105">
        <f>IF($AA$2010&gt;0,'Assumptions (Biomass)'!W10*Model!$AA$2010*AVERAGE('Assumptions (Biomass)'!$W$2:$Y$2)/10^9,0)</f>
        <v>0</v>
      </c>
      <c r="AC2195" s="105">
        <f>IF($AA$2010&gt;0,'Assumptions (Biomass)'!X10*Model!$AA$2010*AVERAGE('Assumptions (Biomass)'!$W$2:$Y$2)/10^9,0)</f>
        <v>0</v>
      </c>
      <c r="AD2195" s="105">
        <f>IF($AA$2010&gt;0,'Assumptions (Biomass)'!Y10*Model!$AA$2010*AVERAGE('Assumptions (Biomass)'!$W$2:$Y$2)/10^9,0)</f>
        <v>0</v>
      </c>
      <c r="AE2195" s="105">
        <f>IF($AA$2010&gt;0,'Assumptions (Biomass)'!Z10*Model!$AA$2010*AVERAGE('Assumptions (Biomass)'!$W$2:$Y$2)/10^9,0)</f>
        <v>0</v>
      </c>
      <c r="AF2195" s="105">
        <f>IF($AA$2010&gt;0,'Assumptions (Biomass)'!AA10*Model!$AA$2010*AVERAGE('Assumptions (Biomass)'!$W$2:$Y$2)/10^9,0)</f>
        <v>0</v>
      </c>
      <c r="AG2195" s="105">
        <f>IF($AA$2010&gt;0,'Assumptions (Biomass)'!AB10*Model!$AA$2010*AVERAGE('Assumptions (Biomass)'!$W$2:$Y$2)/10^9,0)</f>
        <v>0</v>
      </c>
      <c r="AH2195" s="105">
        <f>IF($AA$2010&gt;0,'Assumptions (Biomass)'!AC10*Model!$AA$2010*AVERAGE('Assumptions (Biomass)'!$W$2:$Y$2)/10^9,0)</f>
        <v>0</v>
      </c>
      <c r="AI2195" s="105">
        <f>IF($AA$2010&gt;0,'Assumptions (Biomass)'!AD10*Model!$AA$2010*AVERAGE('Assumptions (Biomass)'!$W$2:$Y$2)/10^9,0)</f>
        <v>0</v>
      </c>
      <c r="AJ2195" s="105">
        <f>IF($AA$2010&gt;0,'Assumptions (Biomass)'!AE10*Model!$AA$2010*AVERAGE('Assumptions (Biomass)'!$W$2:$Y$2)/10^9,0)</f>
        <v>0</v>
      </c>
      <c r="AK2195" s="105">
        <f>IF($AA$2010&gt;0,'Assumptions (Biomass)'!AF10*Model!$AA$2010*AVERAGE('Assumptions (Biomass)'!$W$2:$Y$2)/10^9,0)</f>
        <v>0</v>
      </c>
      <c r="AL2195" s="105">
        <f>IF($AA$2010&gt;0,'Assumptions (Biomass)'!AG10*Model!$AA$2010*AVERAGE('Assumptions (Biomass)'!$W$2:$Y$2)/10^9,0)</f>
        <v>0</v>
      </c>
      <c r="AM2195" s="105">
        <f>IF($AA$2010&gt;0,'Assumptions (Biomass)'!AH10*Model!$AA$2010*AVERAGE('Assumptions (Biomass)'!$W$2:$Y$2)/10^9,0)</f>
        <v>0</v>
      </c>
      <c r="AN2195" s="105">
        <f>IF($AA$2010&gt;0,'Assumptions (Biomass)'!AI10*Model!$AA$2010*AVERAGE('Assumptions (Biomass)'!$W$2:$Y$2)/10^9,0)</f>
        <v>0</v>
      </c>
      <c r="AO2195" s="105">
        <f>IF($AA$2010&gt;0,'Assumptions (Biomass)'!AJ10*Model!$AA$2010*AVERAGE('Assumptions (Biomass)'!$W$2:$Y$2)/10^9,0)</f>
        <v>0</v>
      </c>
      <c r="AP2195" s="105">
        <f>IF($AA$2010&gt;0,'Assumptions (Biomass)'!AK10*Model!$AA$2010*AVERAGE('Assumptions (Biomass)'!$W$2:$Y$2)/10^9,0)</f>
        <v>0</v>
      </c>
      <c r="AQ2195" s="105"/>
      <c r="AR2195" s="105"/>
      <c r="AS2195" s="105"/>
      <c r="AT2195" s="105"/>
      <c r="AU2195" s="105"/>
      <c r="AV2195" s="105"/>
      <c r="AW2195" s="105"/>
      <c r="AX2195" s="105"/>
      <c r="AY2195" s="105"/>
      <c r="AZ2195" s="105"/>
      <c r="BA2195" s="105"/>
    </row>
    <row r="2196" spans="1:64" ht="15.75" hidden="1" customHeight="1" outlineLevel="1">
      <c r="A2196" s="441"/>
      <c r="B2196" s="99"/>
      <c r="C2196" s="99"/>
      <c r="D2196" s="99"/>
      <c r="E2196" s="99"/>
      <c r="F2196" s="99"/>
      <c r="G2196" s="99"/>
      <c r="H2196" s="99"/>
      <c r="I2196" s="99"/>
      <c r="J2196" s="99"/>
      <c r="K2196" s="99"/>
      <c r="L2196" s="99"/>
      <c r="M2196" s="99"/>
      <c r="N2196" s="99"/>
      <c r="O2196" s="99"/>
      <c r="P2196" s="99"/>
      <c r="Q2196" s="99"/>
      <c r="R2196" s="99"/>
      <c r="S2196" s="99"/>
      <c r="T2196" s="99"/>
      <c r="U2196" s="99"/>
      <c r="V2196" s="99"/>
      <c r="W2196" s="105"/>
      <c r="X2196" s="105"/>
      <c r="Y2196" s="105"/>
      <c r="Z2196" s="105"/>
      <c r="AA2196" s="105"/>
      <c r="AB2196" s="105">
        <f>IF($AB$2010&gt;0,'Assumptions (Biomass)'!V10*Model!$AB$2010*AVERAGE('Assumptions (Biomass)'!$X$2:$Z$2)/10^9,0)</f>
        <v>0</v>
      </c>
      <c r="AC2196" s="105">
        <f>IF($AB$2010&gt;0,'Assumptions (Biomass)'!W10*Model!$AB$2010*AVERAGE('Assumptions (Biomass)'!$X$2:$Z$2)/10^9,0)</f>
        <v>0</v>
      </c>
      <c r="AD2196" s="105">
        <f>IF($AB$2010&gt;0,'Assumptions (Biomass)'!X10*Model!$AB$2010*AVERAGE('Assumptions (Biomass)'!$X$2:$Z$2)/10^9,0)</f>
        <v>0</v>
      </c>
      <c r="AE2196" s="105">
        <f>IF($AB$2010&gt;0,'Assumptions (Biomass)'!Y10*Model!$AB$2010*AVERAGE('Assumptions (Biomass)'!$X$2:$Z$2)/10^9,0)</f>
        <v>0</v>
      </c>
      <c r="AF2196" s="105">
        <f>IF($AB$2010&gt;0,'Assumptions (Biomass)'!Z10*Model!$AB$2010*AVERAGE('Assumptions (Biomass)'!$X$2:$Z$2)/10^9,0)</f>
        <v>0</v>
      </c>
      <c r="AG2196" s="105">
        <f>IF($AB$2010&gt;0,'Assumptions (Biomass)'!AA10*Model!$AB$2010*AVERAGE('Assumptions (Biomass)'!$X$2:$Z$2)/10^9,0)</f>
        <v>0</v>
      </c>
      <c r="AH2196" s="105">
        <f>IF($AB$2010&gt;0,'Assumptions (Biomass)'!AB10*Model!$AB$2010*AVERAGE('Assumptions (Biomass)'!$X$2:$Z$2)/10^9,0)</f>
        <v>0</v>
      </c>
      <c r="AI2196" s="105">
        <f>IF($AB$2010&gt;0,'Assumptions (Biomass)'!AC10*Model!$AB$2010*AVERAGE('Assumptions (Biomass)'!$X$2:$Z$2)/10^9,0)</f>
        <v>0</v>
      </c>
      <c r="AJ2196" s="105">
        <f>IF($AB$2010&gt;0,'Assumptions (Biomass)'!AD10*Model!$AB$2010*AVERAGE('Assumptions (Biomass)'!$X$2:$Z$2)/10^9,0)</f>
        <v>0</v>
      </c>
      <c r="AK2196" s="105">
        <f>IF($AB$2010&gt;0,'Assumptions (Biomass)'!AE10*Model!$AB$2010*AVERAGE('Assumptions (Biomass)'!$X$2:$Z$2)/10^9,0)</f>
        <v>0</v>
      </c>
      <c r="AL2196" s="105">
        <f>IF($AB$2010&gt;0,'Assumptions (Biomass)'!AF10*Model!$AB$2010*AVERAGE('Assumptions (Biomass)'!$X$2:$Z$2)/10^9,0)</f>
        <v>0</v>
      </c>
      <c r="AM2196" s="105">
        <f>IF($AB$2010&gt;0,'Assumptions (Biomass)'!AG10*Model!$AB$2010*AVERAGE('Assumptions (Biomass)'!$X$2:$Z$2)/10^9,0)</f>
        <v>0</v>
      </c>
      <c r="AN2196" s="105">
        <f>IF($AB$2010&gt;0,'Assumptions (Biomass)'!AH10*Model!$AB$2010*AVERAGE('Assumptions (Biomass)'!$X$2:$Z$2)/10^9,0)</f>
        <v>0</v>
      </c>
      <c r="AO2196" s="105">
        <f>IF($AB$2010&gt;0,'Assumptions (Biomass)'!AI10*Model!$AB$2010*AVERAGE('Assumptions (Biomass)'!$X$2:$Z$2)/10^9,0)</f>
        <v>0</v>
      </c>
      <c r="AP2196" s="105">
        <f>IF($AB$2010&gt;0,'Assumptions (Biomass)'!AJ10*Model!$AB$2010*AVERAGE('Assumptions (Biomass)'!$X$2:$Z$2)/10^9,0)</f>
        <v>0</v>
      </c>
      <c r="AQ2196" s="105">
        <f>IF($AB$2010&gt;0,'Assumptions (Biomass)'!AK10*Model!$AB$2010*AVERAGE('Assumptions (Biomass)'!$X$2:$Z$2)/10^9,0)</f>
        <v>0</v>
      </c>
      <c r="AR2196" s="105"/>
      <c r="AS2196" s="105"/>
      <c r="AT2196" s="105"/>
      <c r="AU2196" s="105"/>
      <c r="AV2196" s="105"/>
      <c r="AW2196" s="105"/>
      <c r="AX2196" s="105"/>
      <c r="AY2196" s="105"/>
      <c r="AZ2196" s="105"/>
      <c r="BA2196" s="105"/>
    </row>
    <row r="2197" spans="1:64" ht="15.75" hidden="1" customHeight="1" outlineLevel="1">
      <c r="A2197" s="441"/>
      <c r="B2197" s="99"/>
      <c r="C2197" s="99"/>
      <c r="D2197" s="99"/>
      <c r="E2197" s="99"/>
      <c r="F2197" s="99"/>
      <c r="G2197" s="99"/>
      <c r="H2197" s="99"/>
      <c r="I2197" s="99"/>
      <c r="J2197" s="99"/>
      <c r="K2197" s="99"/>
      <c r="L2197" s="99"/>
      <c r="M2197" s="99"/>
      <c r="N2197" s="99"/>
      <c r="O2197" s="99"/>
      <c r="P2197" s="99"/>
      <c r="Q2197" s="99"/>
      <c r="R2197" s="99"/>
      <c r="S2197" s="99"/>
      <c r="T2197" s="99"/>
      <c r="U2197" s="99"/>
      <c r="V2197" s="99"/>
      <c r="W2197" s="105"/>
      <c r="X2197" s="105"/>
      <c r="Y2197" s="105"/>
      <c r="Z2197" s="105"/>
      <c r="AA2197" s="105"/>
      <c r="AB2197" s="105"/>
      <c r="AC2197" s="105">
        <f>IF($AC$2010&gt;0,'Assumptions (Biomass)'!V10*Model!$AC$2010*AVERAGE('Assumptions (Biomass)'!$Y$2:$AA$2)/10^9,0)</f>
        <v>0</v>
      </c>
      <c r="AD2197" s="105">
        <f>IF($AC$2010&gt;0,'Assumptions (Biomass)'!W10*Model!$AC$2010*AVERAGE('Assumptions (Biomass)'!$Y$2:$AA$2)/10^9,0)</f>
        <v>0</v>
      </c>
      <c r="AE2197" s="105">
        <f>IF($AC$2010&gt;0,'Assumptions (Biomass)'!X10*Model!$AC$2010*AVERAGE('Assumptions (Biomass)'!$Y$2:$AA$2)/10^9,0)</f>
        <v>0</v>
      </c>
      <c r="AF2197" s="105">
        <f>IF($AC$2010&gt;0,'Assumptions (Biomass)'!Y10*Model!$AC$2010*AVERAGE('Assumptions (Biomass)'!$Y$2:$AA$2)/10^9,0)</f>
        <v>0</v>
      </c>
      <c r="AG2197" s="105">
        <f>IF($AC$2010&gt;0,'Assumptions (Biomass)'!Z10*Model!$AC$2010*AVERAGE('Assumptions (Biomass)'!$Y$2:$AA$2)/10^9,0)</f>
        <v>0</v>
      </c>
      <c r="AH2197" s="105">
        <f>IF($AC$2010&gt;0,'Assumptions (Biomass)'!AA10*Model!$AC$2010*AVERAGE('Assumptions (Biomass)'!$Y$2:$AA$2)/10^9,0)</f>
        <v>0</v>
      </c>
      <c r="AI2197" s="105">
        <f>IF($AC$2010&gt;0,'Assumptions (Biomass)'!AB10*Model!$AC$2010*AVERAGE('Assumptions (Biomass)'!$Y$2:$AA$2)/10^9,0)</f>
        <v>0</v>
      </c>
      <c r="AJ2197" s="105">
        <f>IF($AC$2010&gt;0,'Assumptions (Biomass)'!AC10*Model!$AC$2010*AVERAGE('Assumptions (Biomass)'!$Y$2:$AA$2)/10^9,0)</f>
        <v>0</v>
      </c>
      <c r="AK2197" s="105">
        <f>IF($AC$2010&gt;0,'Assumptions (Biomass)'!AD10*Model!$AC$2010*AVERAGE('Assumptions (Biomass)'!$Y$2:$AA$2)/10^9,0)</f>
        <v>0</v>
      </c>
      <c r="AL2197" s="105">
        <f>IF($AC$2010&gt;0,'Assumptions (Biomass)'!AE10*Model!$AC$2010*AVERAGE('Assumptions (Biomass)'!$Y$2:$AA$2)/10^9,0)</f>
        <v>0</v>
      </c>
      <c r="AM2197" s="105">
        <f>IF($AC$2010&gt;0,'Assumptions (Biomass)'!AF10*Model!$AC$2010*AVERAGE('Assumptions (Biomass)'!$Y$2:$AA$2)/10^9,0)</f>
        <v>0</v>
      </c>
      <c r="AN2197" s="105">
        <f>IF($AC$2010&gt;0,'Assumptions (Biomass)'!AG10*Model!$AC$2010*AVERAGE('Assumptions (Biomass)'!$Y$2:$AA$2)/10^9,0)</f>
        <v>0</v>
      </c>
      <c r="AO2197" s="105">
        <f>IF($AC$2010&gt;0,'Assumptions (Biomass)'!AH10*Model!$AC$2010*AVERAGE('Assumptions (Biomass)'!$Y$2:$AA$2)/10^9,0)</f>
        <v>0</v>
      </c>
      <c r="AP2197" s="105">
        <f>IF($AC$2010&gt;0,'Assumptions (Biomass)'!AI10*Model!$AC$2010*AVERAGE('Assumptions (Biomass)'!$Y$2:$AA$2)/10^9,0)</f>
        <v>0</v>
      </c>
      <c r="AQ2197" s="105">
        <f>IF($AC$2010&gt;0,'Assumptions (Biomass)'!AJ10*Model!$AC$2010*AVERAGE('Assumptions (Biomass)'!$Y$2:$AA$2)/10^9,0)</f>
        <v>0</v>
      </c>
      <c r="AR2197" s="105">
        <f>IF($AC$2010&gt;0,'Assumptions (Biomass)'!AK10*Model!$AC$2010*AVERAGE('Assumptions (Biomass)'!$Y$2:$AA$2)/10^9,0)</f>
        <v>0</v>
      </c>
      <c r="AS2197" s="105"/>
      <c r="AT2197" s="105"/>
      <c r="AU2197" s="105"/>
      <c r="AV2197" s="105"/>
      <c r="AW2197" s="105"/>
      <c r="AX2197" s="105"/>
      <c r="AY2197" s="105"/>
      <c r="AZ2197" s="105"/>
      <c r="BA2197" s="105"/>
    </row>
    <row r="2198" spans="1:64" ht="15.75" hidden="1" customHeight="1" outlineLevel="1">
      <c r="A2198" s="441"/>
      <c r="B2198" s="99"/>
      <c r="C2198" s="99"/>
      <c r="D2198" s="99"/>
      <c r="E2198" s="99"/>
      <c r="F2198" s="99"/>
      <c r="G2198" s="99"/>
      <c r="H2198" s="99"/>
      <c r="I2198" s="99"/>
      <c r="J2198" s="99"/>
      <c r="K2198" s="99"/>
      <c r="L2198" s="99"/>
      <c r="M2198" s="99"/>
      <c r="N2198" s="99"/>
      <c r="O2198" s="99"/>
      <c r="P2198" s="99"/>
      <c r="Q2198" s="99"/>
      <c r="R2198" s="99"/>
      <c r="S2198" s="99"/>
      <c r="T2198" s="99"/>
      <c r="U2198" s="99"/>
      <c r="V2198" s="99"/>
      <c r="W2198" s="105"/>
      <c r="X2198" s="105"/>
      <c r="Y2198" s="105"/>
      <c r="Z2198" s="105"/>
      <c r="AA2198" s="105"/>
      <c r="AB2198" s="105"/>
      <c r="AC2198" s="105"/>
      <c r="AD2198" s="105">
        <f>IF($AD$2010&gt;0,'Assumptions (Biomass)'!V10*Model!$AD$2010*AVERAGE('Assumptions (Biomass)'!$Z$2:$AB$2)/10^9,0)</f>
        <v>0</v>
      </c>
      <c r="AE2198" s="105">
        <f>IF($AD$2010&gt;0,'Assumptions (Biomass)'!W10*Model!$AD$2010*AVERAGE('Assumptions (Biomass)'!$Z$2:$AB$2)/10^9,0)</f>
        <v>0</v>
      </c>
      <c r="AF2198" s="105">
        <f>IF($AD$2010&gt;0,'Assumptions (Biomass)'!X10*Model!$AD$2010*AVERAGE('Assumptions (Biomass)'!$Z$2:$AB$2)/10^9,0)</f>
        <v>0</v>
      </c>
      <c r="AG2198" s="105">
        <f>IF($AD$2010&gt;0,'Assumptions (Biomass)'!Y10*Model!$AD$2010*AVERAGE('Assumptions (Biomass)'!$Z$2:$AB$2)/10^9,0)</f>
        <v>0</v>
      </c>
      <c r="AH2198" s="105">
        <f>IF($AD$2010&gt;0,'Assumptions (Biomass)'!Z10*Model!$AD$2010*AVERAGE('Assumptions (Biomass)'!$Z$2:$AB$2)/10^9,0)</f>
        <v>0</v>
      </c>
      <c r="AI2198" s="105">
        <f>IF($AD$2010&gt;0,'Assumptions (Biomass)'!AA10*Model!$AD$2010*AVERAGE('Assumptions (Biomass)'!$Z$2:$AB$2)/10^9,0)</f>
        <v>0</v>
      </c>
      <c r="AJ2198" s="105">
        <f>IF($AD$2010&gt;0,'Assumptions (Biomass)'!AB10*Model!$AD$2010*AVERAGE('Assumptions (Biomass)'!$Z$2:$AB$2)/10^9,0)</f>
        <v>0</v>
      </c>
      <c r="AK2198" s="105">
        <f>IF($AD$2010&gt;0,'Assumptions (Biomass)'!AC10*Model!$AD$2010*AVERAGE('Assumptions (Biomass)'!$Z$2:$AB$2)/10^9,0)</f>
        <v>0</v>
      </c>
      <c r="AL2198" s="105">
        <f>IF($AD$2010&gt;0,'Assumptions (Biomass)'!AD10*Model!$AD$2010*AVERAGE('Assumptions (Biomass)'!$Z$2:$AB$2)/10^9,0)</f>
        <v>0</v>
      </c>
      <c r="AM2198" s="105">
        <f>IF($AD$2010&gt;0,'Assumptions (Biomass)'!AE10*Model!$AD$2010*AVERAGE('Assumptions (Biomass)'!$Z$2:$AB$2)/10^9,0)</f>
        <v>0</v>
      </c>
      <c r="AN2198" s="105">
        <f>IF($AD$2010&gt;0,'Assumptions (Biomass)'!AF10*Model!$AD$2010*AVERAGE('Assumptions (Biomass)'!$Z$2:$AB$2)/10^9,0)</f>
        <v>0</v>
      </c>
      <c r="AO2198" s="105">
        <f>IF($AD$2010&gt;0,'Assumptions (Biomass)'!AG10*Model!$AD$2010*AVERAGE('Assumptions (Biomass)'!$Z$2:$AB$2)/10^9,0)</f>
        <v>0</v>
      </c>
      <c r="AP2198" s="105">
        <f>IF($AD$2010&gt;0,'Assumptions (Biomass)'!AH10*Model!$AD$2010*AVERAGE('Assumptions (Biomass)'!$Z$2:$AB$2)/10^9,0)</f>
        <v>0</v>
      </c>
      <c r="AQ2198" s="105">
        <f>IF($AD$2010&gt;0,'Assumptions (Biomass)'!AI10*Model!$AD$2010*AVERAGE('Assumptions (Biomass)'!$Z$2:$AB$2)/10^9,0)</f>
        <v>0</v>
      </c>
      <c r="AR2198" s="105">
        <f>IF($AD$2010&gt;0,'Assumptions (Biomass)'!AJ10*Model!$AD$2010*AVERAGE('Assumptions (Biomass)'!$Z$2:$AB$2)/10^9,0)</f>
        <v>0</v>
      </c>
      <c r="AS2198" s="105">
        <f>IF($AD$2010&gt;0,'Assumptions (Biomass)'!AK10*Model!$AD$2010*AVERAGE('Assumptions (Biomass)'!$Z$2:$AB$2)/10^9,0)</f>
        <v>0</v>
      </c>
      <c r="AT2198" s="105"/>
      <c r="AU2198" s="105"/>
      <c r="AV2198" s="105"/>
      <c r="AW2198" s="105"/>
      <c r="AX2198" s="105"/>
      <c r="AY2198" s="105"/>
      <c r="AZ2198" s="105"/>
      <c r="BA2198" s="105"/>
      <c r="BB2198" s="105"/>
    </row>
    <row r="2199" spans="1:64" ht="15.75" hidden="1" customHeight="1" outlineLevel="1">
      <c r="A2199" s="441"/>
      <c r="B2199" s="99"/>
      <c r="C2199" s="99"/>
      <c r="D2199" s="99"/>
      <c r="E2199" s="99"/>
      <c r="F2199" s="99"/>
      <c r="G2199" s="99"/>
      <c r="H2199" s="99"/>
      <c r="I2199" s="99"/>
      <c r="J2199" s="99"/>
      <c r="K2199" s="99"/>
      <c r="L2199" s="99"/>
      <c r="M2199" s="99"/>
      <c r="N2199" s="99"/>
      <c r="O2199" s="99"/>
      <c r="P2199" s="99"/>
      <c r="Q2199" s="99"/>
      <c r="R2199" s="99"/>
      <c r="S2199" s="99"/>
      <c r="T2199" s="99"/>
      <c r="U2199" s="99"/>
      <c r="V2199" s="99"/>
      <c r="W2199" s="105"/>
      <c r="X2199" s="105"/>
      <c r="Y2199" s="105"/>
      <c r="Z2199" s="105"/>
      <c r="AA2199" s="105"/>
      <c r="AB2199" s="105"/>
      <c r="AC2199" s="105"/>
      <c r="AD2199" s="105"/>
      <c r="AE2199" s="105">
        <f>IF($AE$2010&gt;0,'Assumptions (Biomass)'!V10*Model!$AE$2010*AVERAGE('Assumptions (Biomass)'!$AA$2:$AC$2)/10^9,0)</f>
        <v>0</v>
      </c>
      <c r="AF2199" s="105">
        <f>IF($AE$2010&gt;0,'Assumptions (Biomass)'!W10*Model!$AE$2010*AVERAGE('Assumptions (Biomass)'!$AA$2:$AC$2)/10^9,0)</f>
        <v>0</v>
      </c>
      <c r="AG2199" s="105">
        <f>IF($AE$2010&gt;0,'Assumptions (Biomass)'!X10*Model!$AE$2010*AVERAGE('Assumptions (Biomass)'!$AA$2:$AC$2)/10^9,0)</f>
        <v>0</v>
      </c>
      <c r="AH2199" s="105">
        <f>IF($AE$2010&gt;0,'Assumptions (Biomass)'!Y10*Model!$AE$2010*AVERAGE('Assumptions (Biomass)'!$AA$2:$AC$2)/10^9,0)</f>
        <v>0</v>
      </c>
      <c r="AI2199" s="105">
        <f>IF($AE$2010&gt;0,'Assumptions (Biomass)'!Z10*Model!$AE$2010*AVERAGE('Assumptions (Biomass)'!$AA$2:$AC$2)/10^9,0)</f>
        <v>0</v>
      </c>
      <c r="AJ2199" s="105">
        <f>IF($AE$2010&gt;0,'Assumptions (Biomass)'!AA10*Model!$AE$2010*AVERAGE('Assumptions (Biomass)'!$AA$2:$AC$2)/10^9,0)</f>
        <v>0</v>
      </c>
      <c r="AK2199" s="105">
        <f>IF($AE$2010&gt;0,'Assumptions (Biomass)'!AB10*Model!$AE$2010*AVERAGE('Assumptions (Biomass)'!$AA$2:$AC$2)/10^9,0)</f>
        <v>0</v>
      </c>
      <c r="AL2199" s="105">
        <f>IF($AE$2010&gt;0,'Assumptions (Biomass)'!AC10*Model!$AE$2010*AVERAGE('Assumptions (Biomass)'!$AA$2:$AC$2)/10^9,0)</f>
        <v>0</v>
      </c>
      <c r="AM2199" s="105">
        <f>IF($AE$2010&gt;0,'Assumptions (Biomass)'!AD10*Model!$AE$2010*AVERAGE('Assumptions (Biomass)'!$AA$2:$AC$2)/10^9,0)</f>
        <v>0</v>
      </c>
      <c r="AN2199" s="105">
        <f>IF($AE$2010&gt;0,'Assumptions (Biomass)'!AE10*Model!$AE$2010*AVERAGE('Assumptions (Biomass)'!$AA$2:$AC$2)/10^9,0)</f>
        <v>0</v>
      </c>
      <c r="AO2199" s="105">
        <f>IF($AE$2010&gt;0,'Assumptions (Biomass)'!AF10*Model!$AE$2010*AVERAGE('Assumptions (Biomass)'!$AA$2:$AC$2)/10^9,0)</f>
        <v>0</v>
      </c>
      <c r="AP2199" s="105">
        <f>IF($AE$2010&gt;0,'Assumptions (Biomass)'!AG10*Model!$AE$2010*AVERAGE('Assumptions (Biomass)'!$AA$2:$AC$2)/10^9,0)</f>
        <v>0</v>
      </c>
      <c r="AQ2199" s="105">
        <f>IF($AE$2010&gt;0,'Assumptions (Biomass)'!AH10*Model!$AE$2010*AVERAGE('Assumptions (Biomass)'!$AA$2:$AC$2)/10^9,0)</f>
        <v>0</v>
      </c>
      <c r="AR2199" s="105">
        <f>IF($AE$2010&gt;0,'Assumptions (Biomass)'!AI10*Model!$AE$2010*AVERAGE('Assumptions (Biomass)'!$AA$2:$AC$2)/10^9,0)</f>
        <v>0</v>
      </c>
      <c r="AS2199" s="105">
        <f>IF($AE$2010&gt;0,'Assumptions (Biomass)'!AJ10*Model!$AE$2010*AVERAGE('Assumptions (Biomass)'!$AA$2:$AC$2)/10^9,0)</f>
        <v>0</v>
      </c>
      <c r="AT2199" s="105">
        <f>IF($AE$2010&gt;0,'Assumptions (Biomass)'!AK10*Model!$AE$2010*AVERAGE('Assumptions (Biomass)'!$AA$2:$AC$2)/10^9,0)</f>
        <v>0</v>
      </c>
      <c r="AU2199" s="105"/>
      <c r="AV2199" s="105"/>
      <c r="AW2199" s="105"/>
      <c r="AX2199" s="105"/>
      <c r="AY2199" s="105"/>
      <c r="AZ2199" s="105"/>
      <c r="BA2199" s="105"/>
      <c r="BB2199" s="105"/>
      <c r="BC2199" s="105"/>
    </row>
    <row r="2200" spans="1:64" ht="15.75" hidden="1" customHeight="1" outlineLevel="1">
      <c r="A2200" s="441"/>
      <c r="B2200" s="99"/>
      <c r="C2200" s="99"/>
      <c r="D2200" s="99"/>
      <c r="E2200" s="99"/>
      <c r="F2200" s="99"/>
      <c r="G2200" s="99"/>
      <c r="H2200" s="99"/>
      <c r="I2200" s="99"/>
      <c r="J2200" s="99"/>
      <c r="K2200" s="99"/>
      <c r="L2200" s="99"/>
      <c r="M2200" s="99"/>
      <c r="N2200" s="99"/>
      <c r="O2200" s="99"/>
      <c r="P2200" s="99"/>
      <c r="Q2200" s="99"/>
      <c r="R2200" s="99"/>
      <c r="S2200" s="99"/>
      <c r="T2200" s="99"/>
      <c r="U2200" s="99"/>
      <c r="V2200" s="99"/>
      <c r="W2200" s="105"/>
      <c r="X2200" s="105"/>
      <c r="Y2200" s="105"/>
      <c r="Z2200" s="105"/>
      <c r="AA2200" s="105"/>
      <c r="AB2200" s="105"/>
      <c r="AC2200" s="105"/>
      <c r="AD2200" s="105"/>
      <c r="AE2200" s="105"/>
      <c r="AF2200" s="105">
        <f>IF($AF$2010&gt;0,'Assumptions (Biomass)'!V10*Model!$AF$2010*AVERAGE('Assumptions (Biomass)'!$AB$2:$AD$2)/10^9,0)</f>
        <v>0</v>
      </c>
      <c r="AG2200" s="105">
        <f>IF($AF$2010&gt;0,'Assumptions (Biomass)'!W10*Model!$AF$2010*AVERAGE('Assumptions (Biomass)'!$AB$2:$AD$2)/10^9,0)</f>
        <v>0</v>
      </c>
      <c r="AH2200" s="105">
        <f>IF($AF$2010&gt;0,'Assumptions (Biomass)'!X10*Model!$AF$2010*AVERAGE('Assumptions (Biomass)'!$AB$2:$AD$2)/10^9,0)</f>
        <v>0</v>
      </c>
      <c r="AI2200" s="105">
        <f>IF($AF$2010&gt;0,'Assumptions (Biomass)'!Y10*Model!$AF$2010*AVERAGE('Assumptions (Biomass)'!$AB$2:$AD$2)/10^9,0)</f>
        <v>0</v>
      </c>
      <c r="AJ2200" s="105">
        <f>IF($AF$2010&gt;0,'Assumptions (Biomass)'!Z10*Model!$AF$2010*AVERAGE('Assumptions (Biomass)'!$AB$2:$AD$2)/10^9,0)</f>
        <v>0</v>
      </c>
      <c r="AK2200" s="105">
        <f>IF($AF$2010&gt;0,'Assumptions (Biomass)'!AA10*Model!$AF$2010*AVERAGE('Assumptions (Biomass)'!$AB$2:$AD$2)/10^9,0)</f>
        <v>0</v>
      </c>
      <c r="AL2200" s="105">
        <f>IF($AF$2010&gt;0,'Assumptions (Biomass)'!AB10*Model!$AF$2010*AVERAGE('Assumptions (Biomass)'!$AB$2:$AD$2)/10^9,0)</f>
        <v>0</v>
      </c>
      <c r="AM2200" s="105">
        <f>IF($AF$2010&gt;0,'Assumptions (Biomass)'!AC10*Model!$AF$2010*AVERAGE('Assumptions (Biomass)'!$AB$2:$AD$2)/10^9,0)</f>
        <v>0</v>
      </c>
      <c r="AN2200" s="105">
        <f>IF($AF$2010&gt;0,'Assumptions (Biomass)'!AD10*Model!$AF$2010*AVERAGE('Assumptions (Biomass)'!$AB$2:$AD$2)/10^9,0)</f>
        <v>0</v>
      </c>
      <c r="AO2200" s="105">
        <f>IF($AF$2010&gt;0,'Assumptions (Biomass)'!AE10*Model!$AF$2010*AVERAGE('Assumptions (Biomass)'!$AB$2:$AD$2)/10^9,0)</f>
        <v>0</v>
      </c>
      <c r="AP2200" s="105">
        <f>IF($AF$2010&gt;0,'Assumptions (Biomass)'!AF10*Model!$AF$2010*AVERAGE('Assumptions (Biomass)'!$AB$2:$AD$2)/10^9,0)</f>
        <v>0</v>
      </c>
      <c r="AQ2200" s="105">
        <f>IF($AF$2010&gt;0,'Assumptions (Biomass)'!AG10*Model!$AF$2010*AVERAGE('Assumptions (Biomass)'!$AB$2:$AD$2)/10^9,0)</f>
        <v>0</v>
      </c>
      <c r="AR2200" s="105">
        <f>IF($AF$2010&gt;0,'Assumptions (Biomass)'!AH10*Model!$AF$2010*AVERAGE('Assumptions (Biomass)'!$AB$2:$AD$2)/10^9,0)</f>
        <v>0</v>
      </c>
      <c r="AS2200" s="105">
        <f>IF($AF$2010&gt;0,'Assumptions (Biomass)'!AI10*Model!$AF$2010*AVERAGE('Assumptions (Biomass)'!$AB$2:$AD$2)/10^9,0)</f>
        <v>0</v>
      </c>
      <c r="AT2200" s="105">
        <f>IF($AF$2010&gt;0,'Assumptions (Biomass)'!AJ10*Model!$AF$2010*AVERAGE('Assumptions (Biomass)'!$AB$2:$AD$2)/10^9,0)</f>
        <v>0</v>
      </c>
      <c r="AU2200" s="105">
        <f>IF($AF$2010&gt;0,'Assumptions (Biomass)'!AK10*Model!$AF$2010*AVERAGE('Assumptions (Biomass)'!$AB$2:$AD$2)/10^9,0)</f>
        <v>0</v>
      </c>
      <c r="AV2200" s="105"/>
      <c r="AW2200" s="105"/>
      <c r="AX2200" s="105"/>
      <c r="AY2200" s="105"/>
      <c r="AZ2200" s="105"/>
      <c r="BA2200" s="105"/>
      <c r="BB2200" s="105"/>
      <c r="BC2200" s="105"/>
      <c r="BD2200" s="105"/>
    </row>
    <row r="2201" spans="1:64" ht="15.75" hidden="1" customHeight="1" outlineLevel="1">
      <c r="A2201" s="441"/>
      <c r="B2201" s="99"/>
      <c r="C2201" s="99"/>
      <c r="D2201" s="99"/>
      <c r="E2201" s="99"/>
      <c r="F2201" s="99"/>
      <c r="G2201" s="99"/>
      <c r="H2201" s="99"/>
      <c r="I2201" s="99"/>
      <c r="J2201" s="99"/>
      <c r="K2201" s="99"/>
      <c r="L2201" s="99"/>
      <c r="M2201" s="99"/>
      <c r="N2201" s="99"/>
      <c r="O2201" s="99"/>
      <c r="P2201" s="99"/>
      <c r="Q2201" s="99"/>
      <c r="R2201" s="99"/>
      <c r="S2201" s="99"/>
      <c r="T2201" s="99"/>
      <c r="U2201" s="99"/>
      <c r="V2201" s="99"/>
      <c r="W2201" s="105"/>
      <c r="X2201" s="105"/>
      <c r="Y2201" s="105"/>
      <c r="Z2201" s="105"/>
      <c r="AA2201" s="105"/>
      <c r="AB2201" s="105"/>
      <c r="AC2201" s="105"/>
      <c r="AD2201" s="105"/>
      <c r="AE2201" s="105"/>
      <c r="AF2201" s="105"/>
      <c r="AG2201" s="105">
        <f>IF($AG$2010&gt;0,'Assumptions (Biomass)'!V10*Model!$AG$2010*AVERAGE('Assumptions (Biomass)'!$AC$2:$AE$2)/10^9,0)</f>
        <v>0</v>
      </c>
      <c r="AH2201" s="105">
        <f>IF($AG$2010&gt;0,'Assumptions (Biomass)'!W10*Model!$AG$2010*AVERAGE('Assumptions (Biomass)'!$AC$2:$AE$2)/10^9,0)</f>
        <v>0</v>
      </c>
      <c r="AI2201" s="105">
        <f>IF($AG$2010&gt;0,'Assumptions (Biomass)'!X10*Model!$AG$2010*AVERAGE('Assumptions (Biomass)'!$AC$2:$AE$2)/10^9,0)</f>
        <v>0</v>
      </c>
      <c r="AJ2201" s="105">
        <f>IF($AG$2010&gt;0,'Assumptions (Biomass)'!Y10*Model!$AG$2010*AVERAGE('Assumptions (Biomass)'!$AC$2:$AE$2)/10^9,0)</f>
        <v>0</v>
      </c>
      <c r="AK2201" s="105">
        <f>IF($AG$2010&gt;0,'Assumptions (Biomass)'!Z10*Model!$AG$2010*AVERAGE('Assumptions (Biomass)'!$AC$2:$AE$2)/10^9,0)</f>
        <v>0</v>
      </c>
      <c r="AL2201" s="105">
        <f>IF($AG$2010&gt;0,'Assumptions (Biomass)'!AA10*Model!$AG$2010*AVERAGE('Assumptions (Biomass)'!$AC$2:$AE$2)/10^9,0)</f>
        <v>0</v>
      </c>
      <c r="AM2201" s="105">
        <f>IF($AG$2010&gt;0,'Assumptions (Biomass)'!AB10*Model!$AG$2010*AVERAGE('Assumptions (Biomass)'!$AC$2:$AE$2)/10^9,0)</f>
        <v>0</v>
      </c>
      <c r="AN2201" s="105">
        <f>IF($AG$2010&gt;0,'Assumptions (Biomass)'!AC10*Model!$AG$2010*AVERAGE('Assumptions (Biomass)'!$AC$2:$AE$2)/10^9,0)</f>
        <v>0</v>
      </c>
      <c r="AO2201" s="105">
        <f>IF($AG$2010&gt;0,'Assumptions (Biomass)'!AD10*Model!$AG$2010*AVERAGE('Assumptions (Biomass)'!$AC$2:$AE$2)/10^9,0)</f>
        <v>0</v>
      </c>
      <c r="AP2201" s="105">
        <f>IF($AG$2010&gt;0,'Assumptions (Biomass)'!AE10*Model!$AG$2010*AVERAGE('Assumptions (Biomass)'!$AC$2:$AE$2)/10^9,0)</f>
        <v>0</v>
      </c>
      <c r="AQ2201" s="105">
        <f>IF($AG$2010&gt;0,'Assumptions (Biomass)'!AF10*Model!$AG$2010*AVERAGE('Assumptions (Biomass)'!$AC$2:$AE$2)/10^9,0)</f>
        <v>0</v>
      </c>
      <c r="AR2201" s="105">
        <f>IF($AG$2010&gt;0,'Assumptions (Biomass)'!AG10*Model!$AG$2010*AVERAGE('Assumptions (Biomass)'!$AC$2:$AE$2)/10^9,0)</f>
        <v>0</v>
      </c>
      <c r="AS2201" s="105">
        <f>IF($AG$2010&gt;0,'Assumptions (Biomass)'!AH10*Model!$AG$2010*AVERAGE('Assumptions (Biomass)'!$AC$2:$AE$2)/10^9,0)</f>
        <v>0</v>
      </c>
      <c r="AT2201" s="105">
        <f>IF($AG$2010&gt;0,'Assumptions (Biomass)'!AI10*Model!$AG$2010*AVERAGE('Assumptions (Biomass)'!$AC$2:$AE$2)/10^9,0)</f>
        <v>0</v>
      </c>
      <c r="AU2201" s="105">
        <f>IF($AG$2010&gt;0,'Assumptions (Biomass)'!AJ10*Model!$AG$2010*AVERAGE('Assumptions (Biomass)'!$AC$2:$AE$2)/10^9,0)</f>
        <v>0</v>
      </c>
      <c r="AV2201" s="105">
        <f>IF($AG$2010&gt;0,'Assumptions (Biomass)'!AK10*Model!$AG$2010*AVERAGE('Assumptions (Biomass)'!$AC$2:$AE$2)/10^9,0)</f>
        <v>0</v>
      </c>
      <c r="AW2201" s="105"/>
      <c r="AX2201" s="105"/>
      <c r="AY2201" s="105"/>
      <c r="AZ2201" s="105"/>
      <c r="BA2201" s="105"/>
      <c r="BB2201" s="105"/>
      <c r="BC2201" s="105"/>
      <c r="BD2201" s="105"/>
      <c r="BE2201" s="105"/>
    </row>
    <row r="2202" spans="1:64" ht="15.75" hidden="1" customHeight="1" outlineLevel="1">
      <c r="A2202" s="441"/>
      <c r="B2202" s="99"/>
      <c r="C2202" s="99"/>
      <c r="D2202" s="99"/>
      <c r="E2202" s="99"/>
      <c r="F2202" s="99"/>
      <c r="G2202" s="99"/>
      <c r="H2202" s="99"/>
      <c r="I2202" s="99"/>
      <c r="J2202" s="99"/>
      <c r="K2202" s="99"/>
      <c r="L2202" s="99"/>
      <c r="M2202" s="99"/>
      <c r="N2202" s="99"/>
      <c r="O2202" s="99"/>
      <c r="P2202" s="99"/>
      <c r="Q2202" s="99"/>
      <c r="R2202" s="99"/>
      <c r="S2202" s="99"/>
      <c r="T2202" s="99"/>
      <c r="U2202" s="99"/>
      <c r="V2202" s="99"/>
      <c r="W2202" s="105"/>
      <c r="X2202" s="105"/>
      <c r="Y2202" s="105"/>
      <c r="Z2202" s="105"/>
      <c r="AA2202" s="105"/>
      <c r="AB2202" s="105"/>
      <c r="AC2202" s="105"/>
      <c r="AD2202" s="105"/>
      <c r="AE2202" s="105"/>
      <c r="AF2202" s="105"/>
      <c r="AG2202" s="105"/>
      <c r="AH2202" s="105">
        <f>IF($AH$2010&gt;0,'Assumptions (Biomass)'!V10*Model!$AH$2010*AVERAGE('Assumptions (Biomass)'!$AD$2:$AF$2)/10^9,0)</f>
        <v>0</v>
      </c>
      <c r="AI2202" s="105">
        <f>IF($AH$2010&gt;0,'Assumptions (Biomass)'!W10*Model!$AH$2010*AVERAGE('Assumptions (Biomass)'!$AD$2:$AF$2)/10^9,0)</f>
        <v>0</v>
      </c>
      <c r="AJ2202" s="105">
        <f>IF($AH$2010&gt;0,'Assumptions (Biomass)'!X10*Model!$AH$2010*AVERAGE('Assumptions (Biomass)'!$AD$2:$AF$2)/10^9,0)</f>
        <v>0</v>
      </c>
      <c r="AK2202" s="105">
        <f>IF($AH$2010&gt;0,'Assumptions (Biomass)'!Y10*Model!$AH$2010*AVERAGE('Assumptions (Biomass)'!$AD$2:$AF$2)/10^9,0)</f>
        <v>0</v>
      </c>
      <c r="AL2202" s="105">
        <f>IF($AH$2010&gt;0,'Assumptions (Biomass)'!Z10*Model!$AH$2010*AVERAGE('Assumptions (Biomass)'!$AD$2:$AF$2)/10^9,0)</f>
        <v>0</v>
      </c>
      <c r="AM2202" s="105">
        <f>IF($AH$2010&gt;0,'Assumptions (Biomass)'!AA10*Model!$AH$2010*AVERAGE('Assumptions (Biomass)'!$AD$2:$AF$2)/10^9,0)</f>
        <v>0</v>
      </c>
      <c r="AN2202" s="105">
        <f>IF($AH$2010&gt;0,'Assumptions (Biomass)'!AB10*Model!$AH$2010*AVERAGE('Assumptions (Biomass)'!$AD$2:$AF$2)/10^9,0)</f>
        <v>0</v>
      </c>
      <c r="AO2202" s="105">
        <f>IF($AH$2010&gt;0,'Assumptions (Biomass)'!AC10*Model!$AH$2010*AVERAGE('Assumptions (Biomass)'!$AD$2:$AF$2)/10^9,0)</f>
        <v>0</v>
      </c>
      <c r="AP2202" s="105">
        <f>IF($AH$2010&gt;0,'Assumptions (Biomass)'!AD10*Model!$AH$2010*AVERAGE('Assumptions (Biomass)'!$AD$2:$AF$2)/10^9,0)</f>
        <v>0</v>
      </c>
      <c r="AQ2202" s="105">
        <f>IF($AH$2010&gt;0,'Assumptions (Biomass)'!AE10*Model!$AH$2010*AVERAGE('Assumptions (Biomass)'!$AD$2:$AF$2)/10^9,0)</f>
        <v>0</v>
      </c>
      <c r="AR2202" s="105">
        <f>IF($AH$2010&gt;0,'Assumptions (Biomass)'!AF10*Model!$AH$2010*AVERAGE('Assumptions (Biomass)'!$AD$2:$AF$2)/10^9,0)</f>
        <v>0</v>
      </c>
      <c r="AS2202" s="105">
        <f>IF($AH$2010&gt;0,'Assumptions (Biomass)'!AG10*Model!$AH$2010*AVERAGE('Assumptions (Biomass)'!$AD$2:$AF$2)/10^9,0)</f>
        <v>0</v>
      </c>
      <c r="AT2202" s="105">
        <f>IF($AH$2010&gt;0,'Assumptions (Biomass)'!AH10*Model!$AH$2010*AVERAGE('Assumptions (Biomass)'!$AD$2:$AF$2)/10^9,0)</f>
        <v>0</v>
      </c>
      <c r="AU2202" s="105">
        <f>IF($AH$2010&gt;0,'Assumptions (Biomass)'!AI10*Model!$AH$2010*AVERAGE('Assumptions (Biomass)'!$AD$2:$AF$2)/10^9,0)</f>
        <v>0</v>
      </c>
      <c r="AV2202" s="105">
        <f>IF($AH$2010&gt;0,'Assumptions (Biomass)'!AJ10*Model!$AH$2010*AVERAGE('Assumptions (Biomass)'!$AD$2:$AF$2)/10^9,0)</f>
        <v>0</v>
      </c>
      <c r="AW2202" s="105">
        <f>IF($AH$2010&gt;0,'Assumptions (Biomass)'!AK10*Model!$AH$2010*AVERAGE('Assumptions (Biomass)'!$AD$2:$AF$2)/10^9,0)</f>
        <v>0</v>
      </c>
      <c r="AX2202" s="105"/>
      <c r="AY2202" s="105"/>
      <c r="AZ2202" s="105"/>
      <c r="BA2202" s="105"/>
      <c r="BB2202" s="105"/>
      <c r="BC2202" s="105"/>
      <c r="BD2202" s="105"/>
      <c r="BE2202" s="105"/>
      <c r="BF2202" s="105"/>
    </row>
    <row r="2203" spans="1:64" ht="15.75" hidden="1" customHeight="1" outlineLevel="1">
      <c r="A2203" s="441"/>
      <c r="B2203" s="99"/>
      <c r="C2203" s="99"/>
      <c r="D2203" s="99"/>
      <c r="E2203" s="99"/>
      <c r="F2203" s="99"/>
      <c r="G2203" s="99"/>
      <c r="H2203" s="99"/>
      <c r="I2203" s="99"/>
      <c r="J2203" s="99"/>
      <c r="K2203" s="99"/>
      <c r="L2203" s="99"/>
      <c r="M2203" s="99"/>
      <c r="N2203" s="99"/>
      <c r="O2203" s="99"/>
      <c r="P2203" s="99"/>
      <c r="Q2203" s="99"/>
      <c r="R2203" s="99"/>
      <c r="S2203" s="99"/>
      <c r="T2203" s="99"/>
      <c r="U2203" s="99"/>
      <c r="V2203" s="99"/>
      <c r="W2203" s="105"/>
      <c r="X2203" s="105"/>
      <c r="Y2203" s="105"/>
      <c r="Z2203" s="105"/>
      <c r="AA2203" s="105"/>
      <c r="AB2203" s="105"/>
      <c r="AC2203" s="105"/>
      <c r="AD2203" s="105"/>
      <c r="AE2203" s="105"/>
      <c r="AF2203" s="105"/>
      <c r="AG2203" s="105"/>
      <c r="AH2203" s="105"/>
      <c r="AI2203" s="105">
        <f>IF($AI$2010&gt;0,'Assumptions (Biomass)'!V10*Model!$AI$2010*AVERAGE('Assumptions (Biomass)'!$AE$2:$AG$2)/10^9,0)</f>
        <v>0</v>
      </c>
      <c r="AJ2203" s="105">
        <f>IF($AI$2010&gt;0,'Assumptions (Biomass)'!W10*Model!$AI$2010*AVERAGE('Assumptions (Biomass)'!$AE$2:$AG$2)/10^9,0)</f>
        <v>0</v>
      </c>
      <c r="AK2203" s="105">
        <f>IF($AI$2010&gt;0,'Assumptions (Biomass)'!X10*Model!$AI$2010*AVERAGE('Assumptions (Biomass)'!$AE$2:$AG$2)/10^9,0)</f>
        <v>0</v>
      </c>
      <c r="AL2203" s="105">
        <f>IF($AI$2010&gt;0,'Assumptions (Biomass)'!Y10*Model!$AI$2010*AVERAGE('Assumptions (Biomass)'!$AE$2:$AG$2)/10^9,0)</f>
        <v>0</v>
      </c>
      <c r="AM2203" s="105">
        <f>IF($AI$2010&gt;0,'Assumptions (Biomass)'!Z10*Model!$AI$2010*AVERAGE('Assumptions (Biomass)'!$AE$2:$AG$2)/10^9,0)</f>
        <v>0</v>
      </c>
      <c r="AN2203" s="105">
        <f>IF($AI$2010&gt;0,'Assumptions (Biomass)'!AA10*Model!$AI$2010*AVERAGE('Assumptions (Biomass)'!$AE$2:$AG$2)/10^9,0)</f>
        <v>0</v>
      </c>
      <c r="AO2203" s="105">
        <f>IF($AI$2010&gt;0,'Assumptions (Biomass)'!AB10*Model!$AI$2010*AVERAGE('Assumptions (Biomass)'!$AE$2:$AG$2)/10^9,0)</f>
        <v>0</v>
      </c>
      <c r="AP2203" s="105">
        <f>IF($AI$2010&gt;0,'Assumptions (Biomass)'!AC10*Model!$AI$2010*AVERAGE('Assumptions (Biomass)'!$AE$2:$AG$2)/10^9,0)</f>
        <v>0</v>
      </c>
      <c r="AQ2203" s="105">
        <f>IF($AI$2010&gt;0,'Assumptions (Biomass)'!AD10*Model!$AI$2010*AVERAGE('Assumptions (Biomass)'!$AE$2:$AG$2)/10^9,0)</f>
        <v>0</v>
      </c>
      <c r="AR2203" s="105">
        <f>IF($AI$2010&gt;0,'Assumptions (Biomass)'!AE10*Model!$AI$2010*AVERAGE('Assumptions (Biomass)'!$AE$2:$AG$2)/10^9,0)</f>
        <v>0</v>
      </c>
      <c r="AS2203" s="105">
        <f>IF($AI$2010&gt;0,'Assumptions (Biomass)'!AF10*Model!$AI$2010*AVERAGE('Assumptions (Biomass)'!$AE$2:$AG$2)/10^9,0)</f>
        <v>0</v>
      </c>
      <c r="AT2203" s="105">
        <f>IF($AI$2010&gt;0,'Assumptions (Biomass)'!AG10*Model!$AI$2010*AVERAGE('Assumptions (Biomass)'!$AE$2:$AG$2)/10^9,0)</f>
        <v>0</v>
      </c>
      <c r="AU2203" s="105">
        <f>IF($AI$2010&gt;0,'Assumptions (Biomass)'!AH10*Model!$AI$2010*AVERAGE('Assumptions (Biomass)'!$AE$2:$AG$2)/10^9,0)</f>
        <v>0</v>
      </c>
      <c r="AV2203" s="105">
        <f>IF($AI$2010&gt;0,'Assumptions (Biomass)'!AI10*Model!$AI$2010*AVERAGE('Assumptions (Biomass)'!$AE$2:$AG$2)/10^9,0)</f>
        <v>0</v>
      </c>
      <c r="AW2203" s="105">
        <f>IF($AI$2010&gt;0,'Assumptions (Biomass)'!AJ10*Model!$AI$2010*AVERAGE('Assumptions (Biomass)'!$AE$2:$AG$2)/10^9,0)</f>
        <v>0</v>
      </c>
      <c r="AX2203" s="105">
        <f>IF($AI$2010&gt;0,'Assumptions (Biomass)'!AK10*Model!$AI$2010*AVERAGE('Assumptions (Biomass)'!$AE$2:$AG$2)/10^9,0)</f>
        <v>0</v>
      </c>
      <c r="AY2203" s="105"/>
      <c r="AZ2203" s="105"/>
      <c r="BA2203" s="105"/>
      <c r="BB2203" s="105"/>
      <c r="BC2203" s="105"/>
      <c r="BD2203" s="105"/>
      <c r="BE2203" s="105"/>
      <c r="BF2203" s="105"/>
      <c r="BG2203" s="105"/>
    </row>
    <row r="2204" spans="1:64" ht="15.75" hidden="1" customHeight="1" outlineLevel="1">
      <c r="A2204" s="441"/>
      <c r="B2204" s="99"/>
      <c r="C2204" s="99"/>
      <c r="D2204" s="99"/>
      <c r="E2204" s="99"/>
      <c r="F2204" s="99"/>
      <c r="G2204" s="99"/>
      <c r="H2204" s="99"/>
      <c r="I2204" s="99"/>
      <c r="J2204" s="99"/>
      <c r="K2204" s="99"/>
      <c r="L2204" s="99"/>
      <c r="M2204" s="99"/>
      <c r="N2204" s="99"/>
      <c r="O2204" s="99"/>
      <c r="P2204" s="99"/>
      <c r="Q2204" s="99"/>
      <c r="R2204" s="99"/>
      <c r="S2204" s="99"/>
      <c r="T2204" s="99"/>
      <c r="U2204" s="99"/>
      <c r="V2204" s="99"/>
      <c r="W2204" s="105"/>
      <c r="X2204" s="105"/>
      <c r="Y2204" s="105"/>
      <c r="Z2204" s="105"/>
      <c r="AA2204" s="105"/>
      <c r="AB2204" s="91"/>
      <c r="AC2204" s="105"/>
      <c r="AD2204" s="105"/>
      <c r="AE2204" s="105"/>
      <c r="AF2204" s="105"/>
      <c r="AG2204" s="105"/>
      <c r="AH2204" s="105"/>
      <c r="AI2204" s="105"/>
      <c r="AJ2204" s="91">
        <f>IF($AJ$2010&gt;0,'Assumptions (Biomass)'!V10*Model!$AJ$2010*AVERAGE('Assumptions (Biomass)'!$AF$2:$AH$2)/10^9,0)</f>
        <v>0</v>
      </c>
      <c r="AK2204" s="91">
        <f>IF($AJ$2010&gt;0,'Assumptions (Biomass)'!W10*Model!$AJ$2010*AVERAGE('Assumptions (Biomass)'!$AF$2:$AH$2)/10^9,0)</f>
        <v>0</v>
      </c>
      <c r="AL2204" s="91">
        <f>IF($AJ$2010&gt;0,'Assumptions (Biomass)'!X10*Model!$AJ$2010*AVERAGE('Assumptions (Biomass)'!$AF$2:$AH$2)/10^9,0)</f>
        <v>0</v>
      </c>
      <c r="AM2204" s="91">
        <f>IF($AJ$2010&gt;0,'Assumptions (Biomass)'!Y10*Model!$AJ$2010*AVERAGE('Assumptions (Biomass)'!$AF$2:$AH$2)/10^9,0)</f>
        <v>0</v>
      </c>
      <c r="AN2204" s="91">
        <f>IF($AJ$2010&gt;0,'Assumptions (Biomass)'!Z10*Model!$AJ$2010*AVERAGE('Assumptions (Biomass)'!$AF$2:$AH$2)/10^9,0)</f>
        <v>0</v>
      </c>
      <c r="AO2204" s="91">
        <f>IF($AJ$2010&gt;0,'Assumptions (Biomass)'!AA10*Model!$AJ$2010*AVERAGE('Assumptions (Biomass)'!$AF$2:$AH$2)/10^9,0)</f>
        <v>0</v>
      </c>
      <c r="AP2204" s="91">
        <f>IF($AJ$2010&gt;0,'Assumptions (Biomass)'!AB10*Model!$AJ$2010*AVERAGE('Assumptions (Biomass)'!$AF$2:$AH$2)/10^9,0)</f>
        <v>0</v>
      </c>
      <c r="AQ2204" s="91">
        <f>IF($AJ$2010&gt;0,'Assumptions (Biomass)'!AC10*Model!$AJ$2010*AVERAGE('Assumptions (Biomass)'!$AF$2:$AH$2)/10^9,0)</f>
        <v>0</v>
      </c>
      <c r="AR2204" s="91">
        <f>IF($AJ$2010&gt;0,'Assumptions (Biomass)'!AD10*Model!$AJ$2010*AVERAGE('Assumptions (Biomass)'!$AF$2:$AH$2)/10^9,0)</f>
        <v>0</v>
      </c>
      <c r="AS2204" s="91">
        <f>IF($AJ$2010&gt;0,'Assumptions (Biomass)'!AE10*Model!$AJ$2010*AVERAGE('Assumptions (Biomass)'!$AF$2:$AH$2)/10^9,0)</f>
        <v>0</v>
      </c>
      <c r="AT2204" s="91">
        <f>IF($AJ$2010&gt;0,'Assumptions (Biomass)'!AF10*Model!$AJ$2010*AVERAGE('Assumptions (Biomass)'!$AF$2:$AH$2)/10^9,0)</f>
        <v>0</v>
      </c>
      <c r="AU2204" s="91">
        <f>IF($AJ$2010&gt;0,'Assumptions (Biomass)'!AG10*Model!$AJ$2010*AVERAGE('Assumptions (Biomass)'!$AF$2:$AH$2)/10^9,0)</f>
        <v>0</v>
      </c>
      <c r="AV2204" s="91">
        <f>IF($AJ$2010&gt;0,'Assumptions (Biomass)'!AH10*Model!$AJ$2010*AVERAGE('Assumptions (Biomass)'!$AF$2:$AH$2)/10^9,0)</f>
        <v>0</v>
      </c>
      <c r="AW2204" s="91">
        <f>IF($AJ$2010&gt;0,'Assumptions (Biomass)'!AI10*Model!$AJ$2010*AVERAGE('Assumptions (Biomass)'!$AF$2:$AH$2)/10^9,0)</f>
        <v>0</v>
      </c>
      <c r="AX2204" s="91">
        <f>IF($AJ$2010&gt;0,'Assumptions (Biomass)'!AJ10*Model!$AJ$2010*AVERAGE('Assumptions (Biomass)'!$AF$2:$AH$2)/10^9,0)</f>
        <v>0</v>
      </c>
      <c r="AY2204" s="91">
        <f>IF($AJ$2010&gt;0,'Assumptions (Biomass)'!AK10*Model!$AJ$2010*AVERAGE('Assumptions (Biomass)'!$AF$2:$AH$2)/10^9,0)</f>
        <v>0</v>
      </c>
      <c r="AZ2204" s="91"/>
      <c r="BA2204" s="91"/>
      <c r="BB2204" s="91"/>
      <c r="BC2204" s="91"/>
      <c r="BD2204" s="91"/>
      <c r="BE2204" s="91"/>
      <c r="BF2204" s="91"/>
      <c r="BG2204" s="91"/>
      <c r="BH2204" s="91"/>
    </row>
    <row r="2205" spans="1:64" ht="15.75" hidden="1" customHeight="1" outlineLevel="1">
      <c r="A2205" s="441"/>
      <c r="B2205" s="99"/>
      <c r="C2205" s="99"/>
      <c r="D2205" s="99"/>
      <c r="E2205" s="99"/>
      <c r="F2205" s="99"/>
      <c r="G2205" s="99"/>
      <c r="H2205" s="99"/>
      <c r="I2205" s="99"/>
      <c r="J2205" s="99"/>
      <c r="K2205" s="99"/>
      <c r="L2205" s="99"/>
      <c r="M2205" s="99"/>
      <c r="N2205" s="99"/>
      <c r="O2205" s="99"/>
      <c r="P2205" s="99"/>
      <c r="Q2205" s="99"/>
      <c r="R2205" s="99"/>
      <c r="S2205" s="99"/>
      <c r="T2205" s="99"/>
      <c r="U2205" s="99"/>
      <c r="V2205" s="99"/>
      <c r="W2205" s="105"/>
      <c r="X2205" s="105"/>
      <c r="Y2205" s="105"/>
      <c r="Z2205" s="105"/>
      <c r="AA2205" s="105"/>
      <c r="AB2205" s="105"/>
      <c r="AC2205" s="105"/>
      <c r="AD2205" s="105"/>
      <c r="AE2205" s="105"/>
      <c r="AF2205" s="105"/>
      <c r="AG2205" s="105"/>
      <c r="AH2205" s="105"/>
      <c r="AI2205" s="105"/>
      <c r="AJ2205" s="171"/>
      <c r="AK2205" s="91">
        <f>IF($AK$2010&gt;0,'Assumptions (Biomass)'!V10*Model!$AK$2010*AVERAGE('Assumptions (Biomass)'!$AG$2:$AI$2)/10^9,0)</f>
        <v>0</v>
      </c>
      <c r="AL2205" s="91">
        <f>IF($AK$2010&gt;0,'Assumptions (Biomass)'!W10*Model!$AK$2010*AVERAGE('Assumptions (Biomass)'!$AG$2:$AI$2)/10^9,0)</f>
        <v>0</v>
      </c>
      <c r="AM2205" s="91">
        <f>IF($AK$2010&gt;0,'Assumptions (Biomass)'!X10*Model!$AK$2010*AVERAGE('Assumptions (Biomass)'!$AG$2:$AI$2)/10^9,0)</f>
        <v>0</v>
      </c>
      <c r="AN2205" s="91">
        <f>IF($AK$2010&gt;0,'Assumptions (Biomass)'!Y10*Model!$AK$2010*AVERAGE('Assumptions (Biomass)'!$AG$2:$AI$2)/10^9,0)</f>
        <v>0</v>
      </c>
      <c r="AO2205" s="91">
        <f>IF($AK$2010&gt;0,'Assumptions (Biomass)'!Z10*Model!$AK$2010*AVERAGE('Assumptions (Biomass)'!$AG$2:$AI$2)/10^9,0)</f>
        <v>0</v>
      </c>
      <c r="AP2205" s="91">
        <f>IF($AK$2010&gt;0,'Assumptions (Biomass)'!AA10*Model!$AK$2010*AVERAGE('Assumptions (Biomass)'!$AG$2:$AI$2)/10^9,0)</f>
        <v>0</v>
      </c>
      <c r="AQ2205" s="91">
        <f>IF($AK$2010&gt;0,'Assumptions (Biomass)'!AB10*Model!$AK$2010*AVERAGE('Assumptions (Biomass)'!$AG$2:$AI$2)/10^9,0)</f>
        <v>0</v>
      </c>
      <c r="AR2205" s="91">
        <f>IF($AK$2010&gt;0,'Assumptions (Biomass)'!AC10*Model!$AK$2010*AVERAGE('Assumptions (Biomass)'!$AG$2:$AI$2)/10^9,0)</f>
        <v>0</v>
      </c>
      <c r="AS2205" s="91">
        <f>IF($AK$2010&gt;0,'Assumptions (Biomass)'!AD10*Model!$AK$2010*AVERAGE('Assumptions (Biomass)'!$AG$2:$AI$2)/10^9,0)</f>
        <v>0</v>
      </c>
      <c r="AT2205" s="91">
        <f>IF($AK$2010&gt;0,'Assumptions (Biomass)'!AE10*Model!$AK$2010*AVERAGE('Assumptions (Biomass)'!$AG$2:$AI$2)/10^9,0)</f>
        <v>0</v>
      </c>
      <c r="AU2205" s="91">
        <f>IF($AK$2010&gt;0,'Assumptions (Biomass)'!AF10*Model!$AK$2010*AVERAGE('Assumptions (Biomass)'!$AG$2:$AI$2)/10^9,0)</f>
        <v>0</v>
      </c>
      <c r="AV2205" s="91">
        <f>IF($AK$2010&gt;0,'Assumptions (Biomass)'!AG10*Model!$AK$2010*AVERAGE('Assumptions (Biomass)'!$AG$2:$AI$2)/10^9,0)</f>
        <v>0</v>
      </c>
      <c r="AW2205" s="91">
        <f>IF($AK$2010&gt;0,'Assumptions (Biomass)'!AH10*Model!$AK$2010*AVERAGE('Assumptions (Biomass)'!$AG$2:$AI$2)/10^9,0)</f>
        <v>0</v>
      </c>
      <c r="AX2205" s="91">
        <f>IF($AK$2010&gt;0,'Assumptions (Biomass)'!AI10*Model!$AK$2010*AVERAGE('Assumptions (Biomass)'!$AG$2:$AI$2)/10^9,0)</f>
        <v>0</v>
      </c>
      <c r="AY2205" s="91">
        <f>IF($AK$2010&gt;0,'Assumptions (Biomass)'!AJ10*Model!$AK$2010*AVERAGE('Assumptions (Biomass)'!$AG$2:$AI$2)/10^9,0)</f>
        <v>0</v>
      </c>
      <c r="AZ2205" s="91">
        <f>IF($AK$2010&gt;0,'Assumptions (Biomass)'!AK10*Model!$AK$2010*AVERAGE('Assumptions (Biomass)'!$AG$2:$AI$2)/10^9,0)</f>
        <v>0</v>
      </c>
      <c r="BA2205" s="91"/>
      <c r="BB2205" s="91"/>
      <c r="BC2205" s="91"/>
      <c r="BD2205" s="91"/>
      <c r="BE2205" s="91"/>
      <c r="BF2205" s="91"/>
      <c r="BG2205" s="91"/>
      <c r="BH2205" s="91"/>
      <c r="BI2205" s="91"/>
    </row>
    <row r="2206" spans="1:64" ht="15.75" hidden="1" customHeight="1" outlineLevel="1">
      <c r="A2206" s="441"/>
      <c r="B2206" s="99"/>
      <c r="C2206" s="99"/>
      <c r="D2206" s="99"/>
      <c r="E2206" s="99"/>
      <c r="F2206" s="99"/>
      <c r="G2206" s="99"/>
      <c r="H2206" s="99"/>
      <c r="I2206" s="99"/>
      <c r="J2206" s="99"/>
      <c r="K2206" s="99"/>
      <c r="L2206" s="99"/>
      <c r="M2206" s="99"/>
      <c r="N2206" s="99"/>
      <c r="O2206" s="99"/>
      <c r="P2206" s="99"/>
      <c r="Q2206" s="99"/>
      <c r="R2206" s="99"/>
      <c r="S2206" s="99"/>
      <c r="T2206" s="99"/>
      <c r="U2206" s="99"/>
      <c r="V2206" s="99"/>
      <c r="W2206" s="105"/>
      <c r="X2206" s="105"/>
      <c r="Y2206" s="105"/>
      <c r="Z2206" s="105"/>
      <c r="AA2206" s="105"/>
      <c r="AB2206" s="105"/>
      <c r="AC2206" s="105"/>
      <c r="AD2206" s="105"/>
      <c r="AE2206" s="105"/>
      <c r="AF2206" s="105"/>
      <c r="AG2206" s="105"/>
      <c r="AH2206" s="105"/>
      <c r="AI2206" s="105"/>
      <c r="AJ2206" s="171"/>
      <c r="AK2206" s="105"/>
      <c r="AL2206" s="91">
        <f>IF($AL$2010&gt;0,'Assumptions (Biomass)'!V10*Model!$AL$2010*AVERAGE('Assumptions (Biomass)'!$AH$2:$AJ$2)/10^9,0)</f>
        <v>0</v>
      </c>
      <c r="AM2206" s="91">
        <f>IF($AL$2010&gt;0,'Assumptions (Biomass)'!W10*Model!$AL$2010*AVERAGE('Assumptions (Biomass)'!$AH$2:$AJ$2)/10^9,0)</f>
        <v>0</v>
      </c>
      <c r="AN2206" s="91">
        <f>IF($AL$2010&gt;0,'Assumptions (Biomass)'!X10*Model!$AL$2010*AVERAGE('Assumptions (Biomass)'!$AH$2:$AJ$2)/10^9,0)</f>
        <v>0</v>
      </c>
      <c r="AO2206" s="91">
        <f>IF($AL$2010&gt;0,'Assumptions (Biomass)'!Y10*Model!$AL$2010*AVERAGE('Assumptions (Biomass)'!$AH$2:$AJ$2)/10^9,0)</f>
        <v>0</v>
      </c>
      <c r="AP2206" s="91">
        <f>IF($AL$2010&gt;0,'Assumptions (Biomass)'!Z10*Model!$AL$2010*AVERAGE('Assumptions (Biomass)'!$AH$2:$AJ$2)/10^9,0)</f>
        <v>0</v>
      </c>
      <c r="AQ2206" s="91">
        <f>IF($AL$2010&gt;0,'Assumptions (Biomass)'!AA10*Model!$AL$2010*AVERAGE('Assumptions (Biomass)'!$AH$2:$AJ$2)/10^9,0)</f>
        <v>0</v>
      </c>
      <c r="AR2206" s="91">
        <f>IF($AL$2010&gt;0,'Assumptions (Biomass)'!AB10*Model!$AL$2010*AVERAGE('Assumptions (Biomass)'!$AH$2:$AJ$2)/10^9,0)</f>
        <v>0</v>
      </c>
      <c r="AS2206" s="91">
        <f>IF($AL$2010&gt;0,'Assumptions (Biomass)'!AC10*Model!$AL$2010*AVERAGE('Assumptions (Biomass)'!$AH$2:$AJ$2)/10^9,0)</f>
        <v>0</v>
      </c>
      <c r="AT2206" s="91">
        <f>IF($AL$2010&gt;0,'Assumptions (Biomass)'!AD10*Model!$AL$2010*AVERAGE('Assumptions (Biomass)'!$AH$2:$AJ$2)/10^9,0)</f>
        <v>0</v>
      </c>
      <c r="AU2206" s="91">
        <f>IF($AL$2010&gt;0,'Assumptions (Biomass)'!AE10*Model!$AL$2010*AVERAGE('Assumptions (Biomass)'!$AH$2:$AJ$2)/10^9,0)</f>
        <v>0</v>
      </c>
      <c r="AV2206" s="91">
        <f>IF($AL$2010&gt;0,'Assumptions (Biomass)'!AF10*Model!$AL$2010*AVERAGE('Assumptions (Biomass)'!$AH$2:$AJ$2)/10^9,0)</f>
        <v>0</v>
      </c>
      <c r="AW2206" s="91">
        <f>IF($AL$2010&gt;0,'Assumptions (Biomass)'!AG10*Model!$AL$2010*AVERAGE('Assumptions (Biomass)'!$AH$2:$AJ$2)/10^9,0)</f>
        <v>0</v>
      </c>
      <c r="AX2206" s="91">
        <f>IF($AL$2010&gt;0,'Assumptions (Biomass)'!AH10*Model!$AL$2010*AVERAGE('Assumptions (Biomass)'!$AH$2:$AJ$2)/10^9,0)</f>
        <v>0</v>
      </c>
      <c r="AY2206" s="91">
        <f>IF($AL$2010&gt;0,'Assumptions (Biomass)'!AI10*Model!$AL$2010*AVERAGE('Assumptions (Biomass)'!$AH$2:$AJ$2)/10^9,0)</f>
        <v>0</v>
      </c>
      <c r="AZ2206" s="91">
        <f>IF($AL$2010&gt;0,'Assumptions (Biomass)'!AJ10*Model!$AL$2010*AVERAGE('Assumptions (Biomass)'!$AH$2:$AJ$2)/10^9,0)</f>
        <v>0</v>
      </c>
      <c r="BA2206" s="91">
        <f>IF($AL$2010&gt;0,'Assumptions (Biomass)'!AK10*Model!$AL$2010*AVERAGE('Assumptions (Biomass)'!$AH$2:$AJ$2)/10^9,0)</f>
        <v>0</v>
      </c>
      <c r="BB2206" s="91"/>
      <c r="BC2206" s="91"/>
      <c r="BD2206" s="91"/>
      <c r="BE2206" s="91"/>
      <c r="BF2206" s="91"/>
      <c r="BG2206" s="91"/>
      <c r="BH2206" s="91"/>
      <c r="BI2206" s="91"/>
      <c r="BJ2206" s="91"/>
    </row>
    <row r="2207" spans="1:64" ht="15.75" hidden="1" customHeight="1" outlineLevel="1">
      <c r="A2207" s="441"/>
      <c r="B2207" s="99"/>
      <c r="C2207" s="99"/>
      <c r="D2207" s="99"/>
      <c r="E2207" s="99"/>
      <c r="F2207" s="99"/>
      <c r="G2207" s="99"/>
      <c r="H2207" s="99"/>
      <c r="I2207" s="99"/>
      <c r="J2207" s="99"/>
      <c r="K2207" s="99"/>
      <c r="L2207" s="99"/>
      <c r="M2207" s="99"/>
      <c r="N2207" s="99"/>
      <c r="O2207" s="99"/>
      <c r="P2207" s="99"/>
      <c r="Q2207" s="99"/>
      <c r="R2207" s="99"/>
      <c r="S2207" s="99"/>
      <c r="T2207" s="99"/>
      <c r="U2207" s="99"/>
      <c r="V2207" s="99"/>
      <c r="W2207" s="105"/>
      <c r="X2207" s="105"/>
      <c r="Y2207" s="105"/>
      <c r="Z2207" s="105"/>
      <c r="AA2207" s="105"/>
      <c r="AB2207" s="105"/>
      <c r="AC2207" s="105"/>
      <c r="AD2207" s="105"/>
      <c r="AE2207" s="105"/>
      <c r="AF2207" s="105"/>
      <c r="AG2207" s="105"/>
      <c r="AH2207" s="105"/>
      <c r="AI2207" s="105"/>
      <c r="AJ2207" s="171"/>
      <c r="AK2207" s="105"/>
      <c r="AL2207" s="91"/>
      <c r="AM2207" s="105">
        <f>IF($AM$2010&gt;0,'Assumptions (Biomass)'!V10*Model!$AM$2010*AVERAGE('Assumptions (Biomass)'!$AI$2:$AK$2)/10^9,0)</f>
        <v>0</v>
      </c>
      <c r="AN2207" s="105">
        <f>IF($AM$2010&gt;0,'Assumptions (Biomass)'!W10*Model!$AM$2010*AVERAGE('Assumptions (Biomass)'!$AI$2:$AK$2)/10^9,0)</f>
        <v>0</v>
      </c>
      <c r="AO2207" s="105">
        <f>IF($AM$2010&gt;0,'Assumptions (Biomass)'!X10*Model!$AM$2010*AVERAGE('Assumptions (Biomass)'!$AI$2:$AK$2)/10^9,0)</f>
        <v>0</v>
      </c>
      <c r="AP2207" s="105">
        <f>IF($AM$2010&gt;0,'Assumptions (Biomass)'!Y10*Model!$AM$2010*AVERAGE('Assumptions (Biomass)'!$AI$2:$AK$2)/10^9,0)</f>
        <v>0</v>
      </c>
      <c r="AQ2207" s="105">
        <f>IF($AM$2010&gt;0,'Assumptions (Biomass)'!Z10*Model!$AM$2010*AVERAGE('Assumptions (Biomass)'!$AI$2:$AK$2)/10^9,0)</f>
        <v>0</v>
      </c>
      <c r="AR2207" s="105">
        <f>IF($AM$2010&gt;0,'Assumptions (Biomass)'!AA10*Model!$AM$2010*AVERAGE('Assumptions (Biomass)'!$AI$2:$AK$2)/10^9,0)</f>
        <v>0</v>
      </c>
      <c r="AS2207" s="105">
        <f>IF($AM$2010&gt;0,'Assumptions (Biomass)'!AB10*Model!$AM$2010*AVERAGE('Assumptions (Biomass)'!$AI$2:$AK$2)/10^9,0)</f>
        <v>0</v>
      </c>
      <c r="AT2207" s="105">
        <f>IF($AM$2010&gt;0,'Assumptions (Biomass)'!AC10*Model!$AM$2010*AVERAGE('Assumptions (Biomass)'!$AI$2:$AK$2)/10^9,0)</f>
        <v>0</v>
      </c>
      <c r="AU2207" s="105">
        <f>IF($AM$2010&gt;0,'Assumptions (Biomass)'!AD10*Model!$AM$2010*AVERAGE('Assumptions (Biomass)'!$AI$2:$AK$2)/10^9,0)</f>
        <v>0</v>
      </c>
      <c r="AV2207" s="105">
        <f>IF($AM$2010&gt;0,'Assumptions (Biomass)'!AE10*Model!$AM$2010*AVERAGE('Assumptions (Biomass)'!$AI$2:$AK$2)/10^9,0)</f>
        <v>0</v>
      </c>
      <c r="AW2207" s="105">
        <f>IF($AM$2010&gt;0,'Assumptions (Biomass)'!AF10*Model!$AM$2010*AVERAGE('Assumptions (Biomass)'!$AI$2:$AK$2)/10^9,0)</f>
        <v>0</v>
      </c>
      <c r="AX2207" s="105">
        <f>IF($AM$2010&gt;0,'Assumptions (Biomass)'!AG10*Model!$AM$2010*AVERAGE('Assumptions (Biomass)'!$AI$2:$AK$2)/10^9,0)</f>
        <v>0</v>
      </c>
      <c r="AY2207" s="105">
        <f>IF($AM$2010&gt;0,'Assumptions (Biomass)'!AH10*Model!$AM$2010*AVERAGE('Assumptions (Biomass)'!$AI$2:$AK$2)/10^9,0)</f>
        <v>0</v>
      </c>
      <c r="AZ2207" s="105">
        <f>IF($AM$2010&gt;0,'Assumptions (Biomass)'!AI10*Model!$AM$2010*AVERAGE('Assumptions (Biomass)'!$AI$2:$AK$2)/10^9,0)</f>
        <v>0</v>
      </c>
      <c r="BA2207" s="105">
        <f>IF($AM$2010&gt;0,'Assumptions (Biomass)'!AJ10*Model!$AM$2010*AVERAGE('Assumptions (Biomass)'!$AI$2:$AK$2)/10^9,0)</f>
        <v>0</v>
      </c>
      <c r="BB2207" s="105">
        <f>IF($AM$2010&gt;0,'Assumptions (Biomass)'!AK10*Model!$AM$2010*AVERAGE('Assumptions (Biomass)'!$AI$2:$AK$2)/10^9,0)</f>
        <v>0</v>
      </c>
      <c r="BC2207" s="105"/>
      <c r="BD2207" s="105"/>
      <c r="BE2207" s="105"/>
      <c r="BF2207" s="105"/>
      <c r="BG2207" s="105"/>
      <c r="BH2207" s="105"/>
      <c r="BI2207" s="105"/>
      <c r="BJ2207" s="105"/>
      <c r="BK2207" s="105"/>
    </row>
    <row r="2208" spans="1:64" ht="15.75" hidden="1" customHeight="1" outlineLevel="1">
      <c r="A2208" s="441"/>
      <c r="B2208" s="99"/>
      <c r="C2208" s="99"/>
      <c r="D2208" s="99"/>
      <c r="E2208" s="99"/>
      <c r="F2208" s="99"/>
      <c r="G2208" s="99"/>
      <c r="H2208" s="99"/>
      <c r="I2208" s="99"/>
      <c r="J2208" s="99"/>
      <c r="K2208" s="99"/>
      <c r="L2208" s="99"/>
      <c r="M2208" s="99"/>
      <c r="N2208" s="99"/>
      <c r="O2208" s="99"/>
      <c r="P2208" s="99"/>
      <c r="Q2208" s="99"/>
      <c r="R2208" s="99"/>
      <c r="S2208" s="99"/>
      <c r="T2208" s="99"/>
      <c r="U2208" s="99"/>
      <c r="V2208" s="99"/>
      <c r="W2208" s="105"/>
      <c r="X2208" s="105"/>
      <c r="Y2208" s="105"/>
      <c r="Z2208" s="105"/>
      <c r="AA2208" s="105"/>
      <c r="AB2208" s="105"/>
      <c r="AC2208" s="105"/>
      <c r="AD2208" s="105"/>
      <c r="AE2208" s="105"/>
      <c r="AF2208" s="105"/>
      <c r="AG2208" s="105"/>
      <c r="AH2208" s="105"/>
      <c r="AI2208" s="105"/>
      <c r="AJ2208" s="171"/>
      <c r="AK2208" s="105"/>
      <c r="AL2208" s="91"/>
      <c r="AM2208" s="91"/>
      <c r="AN2208" s="105">
        <f>IF($AN$2010&gt;0,'Assumptions (Biomass)'!V10*Model!$AN$2010*AVERAGE('Assumptions (Biomass)'!$AJ$2:$AL$2)/10^9,0)</f>
        <v>0</v>
      </c>
      <c r="AO2208" s="105">
        <f>IF($AN$2010&gt;0,'Assumptions (Biomass)'!W10*Model!$AN$2010*AVERAGE('Assumptions (Biomass)'!$AJ$2:$AL$2)/10^9,0)</f>
        <v>0</v>
      </c>
      <c r="AP2208" s="105">
        <f>IF($AN$2010&gt;0,'Assumptions (Biomass)'!X10*Model!$AN$2010*AVERAGE('Assumptions (Biomass)'!$AJ$2:$AL$2)/10^9,0)</f>
        <v>0</v>
      </c>
      <c r="AQ2208" s="105">
        <f>IF($AN$2010&gt;0,'Assumptions (Biomass)'!Y10*Model!$AN$2010*AVERAGE('Assumptions (Biomass)'!$AJ$2:$AL$2)/10^9,0)</f>
        <v>0</v>
      </c>
      <c r="AR2208" s="105">
        <f>IF($AN$2010&gt;0,'Assumptions (Biomass)'!Z10*Model!$AN$2010*AVERAGE('Assumptions (Biomass)'!$AJ$2:$AL$2)/10^9,0)</f>
        <v>0</v>
      </c>
      <c r="AS2208" s="105">
        <f>IF($AN$2010&gt;0,'Assumptions (Biomass)'!AA10*Model!$AN$2010*AVERAGE('Assumptions (Biomass)'!$AJ$2:$AL$2)/10^9,0)</f>
        <v>0</v>
      </c>
      <c r="AT2208" s="105">
        <f>IF($AN$2010&gt;0,'Assumptions (Biomass)'!AB10*Model!$AN$2010*AVERAGE('Assumptions (Biomass)'!$AJ$2:$AL$2)/10^9,0)</f>
        <v>0</v>
      </c>
      <c r="AU2208" s="105">
        <f>IF($AN$2010&gt;0,'Assumptions (Biomass)'!AC10*Model!$AN$2010*AVERAGE('Assumptions (Biomass)'!$AJ$2:$AL$2)/10^9,0)</f>
        <v>0</v>
      </c>
      <c r="AV2208" s="105">
        <f>IF($AN$2010&gt;0,'Assumptions (Biomass)'!AD10*Model!$AN$2010*AVERAGE('Assumptions (Biomass)'!$AJ$2:$AL$2)/10^9,0)</f>
        <v>0</v>
      </c>
      <c r="AW2208" s="105">
        <f>IF($AN$2010&gt;0,'Assumptions (Biomass)'!AE10*Model!$AN$2010*AVERAGE('Assumptions (Biomass)'!$AJ$2:$AL$2)/10^9,0)</f>
        <v>0</v>
      </c>
      <c r="AX2208" s="105">
        <f>IF($AN$2010&gt;0,'Assumptions (Biomass)'!AF10*Model!$AN$2010*AVERAGE('Assumptions (Biomass)'!$AJ$2:$AL$2)/10^9,0)</f>
        <v>0</v>
      </c>
      <c r="AY2208" s="105">
        <f>IF($AN$2010&gt;0,'Assumptions (Biomass)'!AG10*Model!$AN$2010*AVERAGE('Assumptions (Biomass)'!$AJ$2:$AL$2)/10^9,0)</f>
        <v>0</v>
      </c>
      <c r="AZ2208" s="105">
        <f>IF($AN$2010&gt;0,'Assumptions (Biomass)'!AH10*Model!$AN$2010*AVERAGE('Assumptions (Biomass)'!$AJ$2:$AL$2)/10^9,0)</f>
        <v>0</v>
      </c>
      <c r="BA2208" s="105">
        <f>IF($AN$2010&gt;0,'Assumptions (Biomass)'!AI10*Model!$AN$2010*AVERAGE('Assumptions (Biomass)'!$AJ$2:$AL$2)/10^9,0)</f>
        <v>0</v>
      </c>
      <c r="BB2208" s="105">
        <f>IF($AN$2010&gt;0,'Assumptions (Biomass)'!AJ10*Model!$AN$2010*AVERAGE('Assumptions (Biomass)'!$AJ$2:$AL$2)/10^9,0)</f>
        <v>0</v>
      </c>
      <c r="BC2208" s="105">
        <f>IF($AN$2010&gt;0,'Assumptions (Biomass)'!AK10*Model!$AN$2010*AVERAGE('Assumptions (Biomass)'!$AJ$2:$AL$2)/10^9,0)</f>
        <v>0</v>
      </c>
      <c r="BD2208" s="105"/>
      <c r="BE2208" s="105"/>
      <c r="BF2208" s="105"/>
      <c r="BG2208" s="105"/>
      <c r="BH2208" s="105"/>
      <c r="BI2208" s="105"/>
      <c r="BJ2208" s="105"/>
      <c r="BK2208" s="105"/>
      <c r="BL2208" s="105"/>
    </row>
    <row r="2209" spans="1:68" ht="15.75" hidden="1" customHeight="1" outlineLevel="1">
      <c r="A2209" s="441"/>
      <c r="B2209" s="99"/>
      <c r="C2209" s="99"/>
      <c r="D2209" s="99"/>
      <c r="E2209" s="99"/>
      <c r="F2209" s="99"/>
      <c r="G2209" s="99"/>
      <c r="H2209" s="99"/>
      <c r="I2209" s="99"/>
      <c r="J2209" s="99"/>
      <c r="K2209" s="99"/>
      <c r="L2209" s="99"/>
      <c r="M2209" s="99"/>
      <c r="N2209" s="99"/>
      <c r="O2209" s="99"/>
      <c r="P2209" s="99"/>
      <c r="Q2209" s="99"/>
      <c r="R2209" s="99"/>
      <c r="S2209" s="99"/>
      <c r="T2209" s="99"/>
      <c r="U2209" s="99"/>
      <c r="V2209" s="99"/>
      <c r="W2209" s="105"/>
      <c r="X2209" s="105"/>
      <c r="Y2209" s="105"/>
      <c r="Z2209" s="105"/>
      <c r="AA2209" s="105"/>
      <c r="AB2209" s="105"/>
      <c r="AC2209" s="105"/>
      <c r="AD2209" s="105"/>
      <c r="AE2209" s="105"/>
      <c r="AF2209" s="105"/>
      <c r="AG2209" s="105"/>
      <c r="AH2209" s="105"/>
      <c r="AI2209" s="105"/>
      <c r="AJ2209" s="171"/>
      <c r="AK2209" s="105"/>
      <c r="AL2209" s="91"/>
      <c r="AM2209" s="91"/>
      <c r="AN2209" s="91"/>
      <c r="AO2209" s="105">
        <f>IF($AO$2010&gt;0,'Assumptions (Biomass)'!V10*Model!$AO$2010*AVERAGE('Assumptions (Biomass)'!$AK$2:$AM$2)/10^9,0)</f>
        <v>0</v>
      </c>
      <c r="AP2209" s="105">
        <f>IF($AO$2010&gt;0,'Assumptions (Biomass)'!W10*Model!$AO$2010*AVERAGE('Assumptions (Biomass)'!$AK$2:$AM$2)/10^9,0)</f>
        <v>0</v>
      </c>
      <c r="AQ2209" s="105">
        <f>IF($AO$2010&gt;0,'Assumptions (Biomass)'!X10*Model!$AO$2010*AVERAGE('Assumptions (Biomass)'!$AK$2:$AM$2)/10^9,0)</f>
        <v>0</v>
      </c>
      <c r="AR2209" s="105">
        <f>IF($AO$2010&gt;0,'Assumptions (Biomass)'!Y10*Model!$AO$2010*AVERAGE('Assumptions (Biomass)'!$AK$2:$AM$2)/10^9,0)</f>
        <v>0</v>
      </c>
      <c r="AS2209" s="105">
        <f>IF($AO$2010&gt;0,'Assumptions (Biomass)'!Z10*Model!$AO$2010*AVERAGE('Assumptions (Biomass)'!$AK$2:$AM$2)/10^9,0)</f>
        <v>0</v>
      </c>
      <c r="AT2209" s="105">
        <f>IF($AO$2010&gt;0,'Assumptions (Biomass)'!AA10*Model!$AO$2010*AVERAGE('Assumptions (Biomass)'!$AK$2:$AM$2)/10^9,0)</f>
        <v>0</v>
      </c>
      <c r="AU2209" s="105">
        <f>IF($AO$2010&gt;0,'Assumptions (Biomass)'!AB10*Model!$AO$2010*AVERAGE('Assumptions (Biomass)'!$AK$2:$AM$2)/10^9,0)</f>
        <v>0</v>
      </c>
      <c r="AV2209" s="105">
        <f>IF($AO$2010&gt;0,'Assumptions (Biomass)'!AC10*Model!$AO$2010*AVERAGE('Assumptions (Biomass)'!$AK$2:$AM$2)/10^9,0)</f>
        <v>0</v>
      </c>
      <c r="AW2209" s="105">
        <f>IF($AO$2010&gt;0,'Assumptions (Biomass)'!AD10*Model!$AO$2010*AVERAGE('Assumptions (Biomass)'!$AK$2:$AM$2)/10^9,0)</f>
        <v>0</v>
      </c>
      <c r="AX2209" s="105">
        <f>IF($AO$2010&gt;0,'Assumptions (Biomass)'!AE10*Model!$AO$2010*AVERAGE('Assumptions (Biomass)'!$AK$2:$AM$2)/10^9,0)</f>
        <v>0</v>
      </c>
      <c r="AY2209" s="105">
        <f>IF($AO$2010&gt;0,'Assumptions (Biomass)'!AF10*Model!$AO$2010*AVERAGE('Assumptions (Biomass)'!$AK$2:$AM$2)/10^9,0)</f>
        <v>0</v>
      </c>
      <c r="AZ2209" s="105">
        <f>IF($AO$2010&gt;0,'Assumptions (Biomass)'!AG10*Model!$AO$2010*AVERAGE('Assumptions (Biomass)'!$AK$2:$AM$2)/10^9,0)</f>
        <v>0</v>
      </c>
      <c r="BA2209" s="105">
        <f>IF($AO$2010&gt;0,'Assumptions (Biomass)'!AH10*Model!$AO$2010*AVERAGE('Assumptions (Biomass)'!$AK$2:$AM$2)/10^9,0)</f>
        <v>0</v>
      </c>
      <c r="BB2209" s="105">
        <f>IF($AO$2010&gt;0,'Assumptions (Biomass)'!AI10*Model!$AO$2010*AVERAGE('Assumptions (Biomass)'!$AK$2:$AM$2)/10^9,0)</f>
        <v>0</v>
      </c>
      <c r="BC2209" s="105">
        <f>IF($AO$2010&gt;0,'Assumptions (Biomass)'!AJ10*Model!$AO$2010*AVERAGE('Assumptions (Biomass)'!$AK$2:$AM$2)/10^9,0)</f>
        <v>0</v>
      </c>
      <c r="BD2209" s="105">
        <f>IF($AO$2010&gt;0,'Assumptions (Biomass)'!AK10*Model!$AO$2010*AVERAGE('Assumptions (Biomass)'!$AK$2:$AM$2)/10^9,0)</f>
        <v>0</v>
      </c>
      <c r="BE2209" s="105"/>
      <c r="BF2209" s="105"/>
      <c r="BG2209" s="105"/>
      <c r="BH2209" s="105"/>
      <c r="BI2209" s="105"/>
      <c r="BJ2209" s="105"/>
      <c r="BK2209" s="105"/>
      <c r="BL2209" s="105"/>
      <c r="BM2209" s="105"/>
    </row>
    <row r="2210" spans="1:68" ht="15.75" hidden="1" customHeight="1" outlineLevel="1">
      <c r="A2210" s="441"/>
      <c r="B2210" s="99"/>
      <c r="C2210" s="99"/>
      <c r="D2210" s="99"/>
      <c r="E2210" s="99"/>
      <c r="F2210" s="99"/>
      <c r="G2210" s="99"/>
      <c r="H2210" s="99"/>
      <c r="I2210" s="99"/>
      <c r="J2210" s="99"/>
      <c r="K2210" s="99"/>
      <c r="L2210" s="99"/>
      <c r="M2210" s="99"/>
      <c r="N2210" s="99"/>
      <c r="O2210" s="99"/>
      <c r="P2210" s="99"/>
      <c r="Q2210" s="99"/>
      <c r="R2210" s="99"/>
      <c r="S2210" s="99"/>
      <c r="T2210" s="99"/>
      <c r="U2210" s="99"/>
      <c r="V2210" s="99"/>
      <c r="W2210" s="105"/>
      <c r="X2210" s="105"/>
      <c r="Y2210" s="105"/>
      <c r="Z2210" s="105"/>
      <c r="AA2210" s="105"/>
      <c r="AB2210" s="105"/>
      <c r="AC2210" s="105"/>
      <c r="AD2210" s="105"/>
      <c r="AE2210" s="105"/>
      <c r="AF2210" s="105"/>
      <c r="AG2210" s="105"/>
      <c r="AH2210" s="105"/>
      <c r="AI2210" s="105"/>
      <c r="AJ2210" s="171"/>
      <c r="AK2210" s="105"/>
      <c r="AL2210" s="91"/>
      <c r="AM2210" s="91"/>
      <c r="AN2210" s="91"/>
      <c r="AO2210" s="105"/>
      <c r="AP2210" s="105">
        <f>IF($AP$2010&gt;0,'Assumptions (Biomass)'!V10*Model!$AP$2010*AVERAGE('Assumptions (Biomass)'!$AL$2:$AN$2)/10^9,0)</f>
        <v>0</v>
      </c>
      <c r="AQ2210" s="105">
        <f>IF($AP$2010&gt;0,'Assumptions (Biomass)'!W10*Model!$AP$2010*AVERAGE('Assumptions (Biomass)'!$AL$2:$AN$2)/10^9,0)</f>
        <v>0</v>
      </c>
      <c r="AR2210" s="105">
        <f>IF($AP$2010&gt;0,'Assumptions (Biomass)'!X10*Model!$AP$2010*AVERAGE('Assumptions (Biomass)'!$AL$2:$AN$2)/10^9,0)</f>
        <v>0</v>
      </c>
      <c r="AS2210" s="105">
        <f>IF($AP$2010&gt;0,'Assumptions (Biomass)'!Y10*Model!$AP$2010*AVERAGE('Assumptions (Biomass)'!$AL$2:$AN$2)/10^9,0)</f>
        <v>0</v>
      </c>
      <c r="AT2210" s="105">
        <f>IF($AP$2010&gt;0,'Assumptions (Biomass)'!Z10*Model!$AP$2010*AVERAGE('Assumptions (Biomass)'!$AL$2:$AN$2)/10^9,0)</f>
        <v>0</v>
      </c>
      <c r="AU2210" s="105">
        <f>IF($AP$2010&gt;0,'Assumptions (Biomass)'!AA10*Model!$AP$2010*AVERAGE('Assumptions (Biomass)'!$AL$2:$AN$2)/10^9,0)</f>
        <v>0</v>
      </c>
      <c r="AV2210" s="105">
        <f>IF($AP$2010&gt;0,'Assumptions (Biomass)'!AB10*Model!$AP$2010*AVERAGE('Assumptions (Biomass)'!$AL$2:$AN$2)/10^9,0)</f>
        <v>0</v>
      </c>
      <c r="AW2210" s="105">
        <f>IF($AP$2010&gt;0,'Assumptions (Biomass)'!AC10*Model!$AP$2010*AVERAGE('Assumptions (Biomass)'!$AL$2:$AN$2)/10^9,0)</f>
        <v>0</v>
      </c>
      <c r="AX2210" s="105">
        <f>IF($AP$2010&gt;0,'Assumptions (Biomass)'!AD10*Model!$AP$2010*AVERAGE('Assumptions (Biomass)'!$AL$2:$AN$2)/10^9,0)</f>
        <v>0</v>
      </c>
      <c r="AY2210" s="105">
        <f>IF($AP$2010&gt;0,'Assumptions (Biomass)'!AE10*Model!$AP$2010*AVERAGE('Assumptions (Biomass)'!$AL$2:$AN$2)/10^9,0)</f>
        <v>0</v>
      </c>
      <c r="AZ2210" s="105">
        <f>IF($AP$2010&gt;0,'Assumptions (Biomass)'!AF10*Model!$AP$2010*AVERAGE('Assumptions (Biomass)'!$AL$2:$AN$2)/10^9,0)</f>
        <v>0</v>
      </c>
      <c r="BA2210" s="105">
        <f>IF($AP$2010&gt;0,'Assumptions (Biomass)'!AG10*Model!$AP$2010*AVERAGE('Assumptions (Biomass)'!$AL$2:$AN$2)/10^9,0)</f>
        <v>0</v>
      </c>
      <c r="BB2210" s="105">
        <f>IF($AP$2010&gt;0,'Assumptions (Biomass)'!AH10*Model!$AP$2010*AVERAGE('Assumptions (Biomass)'!$AL$2:$AN$2)/10^9,0)</f>
        <v>0</v>
      </c>
      <c r="BC2210" s="105">
        <f>IF($AP$2010&gt;0,'Assumptions (Biomass)'!AI10*Model!$AP$2010*AVERAGE('Assumptions (Biomass)'!$AL$2:$AN$2)/10^9,0)</f>
        <v>0</v>
      </c>
      <c r="BD2210" s="105">
        <f>IF($AP$2010&gt;0,'Assumptions (Biomass)'!AJ10*Model!$AP$2010*AVERAGE('Assumptions (Biomass)'!$AL$2:$AN$2)/10^9,0)</f>
        <v>0</v>
      </c>
      <c r="BE2210" s="105">
        <f>IF($AP$2010&gt;0,'Assumptions (Biomass)'!AK10*Model!$AP$2010*AVERAGE('Assumptions (Biomass)'!$AL$2:$AN$2)/10^9,0)</f>
        <v>0</v>
      </c>
      <c r="BF2210" s="105"/>
      <c r="BG2210" s="105"/>
      <c r="BH2210" s="105"/>
      <c r="BI2210" s="105"/>
      <c r="BJ2210" s="105"/>
      <c r="BK2210" s="105"/>
      <c r="BL2210" s="105"/>
      <c r="BM2210" s="105"/>
      <c r="BN2210" s="105"/>
    </row>
    <row r="2211" spans="1:68" ht="15.75" hidden="1" customHeight="1" outlineLevel="1">
      <c r="A2211" s="441"/>
      <c r="B2211" s="99"/>
      <c r="C2211" s="99"/>
      <c r="D2211" s="99"/>
      <c r="E2211" s="99"/>
      <c r="F2211" s="99"/>
      <c r="G2211" s="99"/>
      <c r="H2211" s="99"/>
      <c r="I2211" s="99"/>
      <c r="J2211" s="99"/>
      <c r="K2211" s="99"/>
      <c r="L2211" s="99"/>
      <c r="M2211" s="99"/>
      <c r="N2211" s="99"/>
      <c r="O2211" s="99"/>
      <c r="P2211" s="99"/>
      <c r="Q2211" s="99"/>
      <c r="R2211" s="99"/>
      <c r="S2211" s="99"/>
      <c r="T2211" s="99"/>
      <c r="U2211" s="99"/>
      <c r="V2211" s="99"/>
      <c r="W2211" s="105"/>
      <c r="X2211" s="105"/>
      <c r="Y2211" s="105"/>
      <c r="Z2211" s="105"/>
      <c r="AA2211" s="105"/>
      <c r="AB2211" s="105"/>
      <c r="AC2211" s="105"/>
      <c r="AD2211" s="105"/>
      <c r="AE2211" s="105"/>
      <c r="AF2211" s="105"/>
      <c r="AG2211" s="105"/>
      <c r="AH2211" s="105"/>
      <c r="AI2211" s="105"/>
      <c r="AJ2211" s="171"/>
      <c r="AK2211" s="105"/>
      <c r="AL2211" s="91"/>
      <c r="AM2211" s="91"/>
      <c r="AN2211" s="91"/>
      <c r="AO2211" s="105"/>
      <c r="AP2211" s="105"/>
      <c r="AQ2211" s="105">
        <f>IF($AQ$2010&gt;0,'Assumptions (Biomass)'!V10*Model!$AQ$2010*AVERAGE('Assumptions (Biomass)'!$AM$2:$AO$2)/10^9,0)</f>
        <v>0</v>
      </c>
      <c r="AR2211" s="105">
        <f>IF($AQ$2010&gt;0,'Assumptions (Biomass)'!W10*Model!$AQ$2010*AVERAGE('Assumptions (Biomass)'!$AM$2:$AO$2)/10^9,0)</f>
        <v>0</v>
      </c>
      <c r="AS2211" s="105">
        <f>IF($AQ$2010&gt;0,'Assumptions (Biomass)'!X10*Model!$AQ$2010*AVERAGE('Assumptions (Biomass)'!$AM$2:$AO$2)/10^9,0)</f>
        <v>0</v>
      </c>
      <c r="AT2211" s="105">
        <f>IF($AQ$2010&gt;0,'Assumptions (Biomass)'!Y10*Model!$AQ$2010*AVERAGE('Assumptions (Biomass)'!$AM$2:$AO$2)/10^9,0)</f>
        <v>0</v>
      </c>
      <c r="AU2211" s="105">
        <f>IF($AQ$2010&gt;0,'Assumptions (Biomass)'!Z10*Model!$AQ$2010*AVERAGE('Assumptions (Biomass)'!$AM$2:$AO$2)/10^9,0)</f>
        <v>0</v>
      </c>
      <c r="AV2211" s="105">
        <f>IF($AQ$2010&gt;0,'Assumptions (Biomass)'!AA10*Model!$AQ$2010*AVERAGE('Assumptions (Biomass)'!$AM$2:$AO$2)/10^9,0)</f>
        <v>0</v>
      </c>
      <c r="AW2211" s="105">
        <f>IF($AQ$2010&gt;0,'Assumptions (Biomass)'!AB10*Model!$AQ$2010*AVERAGE('Assumptions (Biomass)'!$AM$2:$AO$2)/10^9,0)</f>
        <v>0</v>
      </c>
      <c r="AX2211" s="105">
        <f>IF($AQ$2010&gt;0,'Assumptions (Biomass)'!AC10*Model!$AQ$2010*AVERAGE('Assumptions (Biomass)'!$AM$2:$AO$2)/10^9,0)</f>
        <v>0</v>
      </c>
      <c r="AY2211" s="105">
        <f>IF($AQ$2010&gt;0,'Assumptions (Biomass)'!AD10*Model!$AQ$2010*AVERAGE('Assumptions (Biomass)'!$AM$2:$AO$2)/10^9,0)</f>
        <v>0</v>
      </c>
      <c r="AZ2211" s="105">
        <f>IF($AQ$2010&gt;0,'Assumptions (Biomass)'!AE10*Model!$AQ$2010*AVERAGE('Assumptions (Biomass)'!$AM$2:$AO$2)/10^9,0)</f>
        <v>0</v>
      </c>
      <c r="BA2211" s="105">
        <f>IF($AQ$2010&gt;0,'Assumptions (Biomass)'!AF10*Model!$AQ$2010*AVERAGE('Assumptions (Biomass)'!$AM$2:$AO$2)/10^9,0)</f>
        <v>0</v>
      </c>
      <c r="BB2211" s="105">
        <f>IF($AQ$2010&gt;0,'Assumptions (Biomass)'!AG10*Model!$AQ$2010*AVERAGE('Assumptions (Biomass)'!$AM$2:$AO$2)/10^9,0)</f>
        <v>0</v>
      </c>
      <c r="BC2211" s="105">
        <f>IF($AQ$2010&gt;0,'Assumptions (Biomass)'!AH10*Model!$AQ$2010*AVERAGE('Assumptions (Biomass)'!$AM$2:$AO$2)/10^9,0)</f>
        <v>0</v>
      </c>
      <c r="BD2211" s="105">
        <f>IF($AQ$2010&gt;0,'Assumptions (Biomass)'!AI10*Model!$AQ$2010*AVERAGE('Assumptions (Biomass)'!$AM$2:$AO$2)/10^9,0)</f>
        <v>0</v>
      </c>
      <c r="BE2211" s="105">
        <f>IF($AQ$2010&gt;0,'Assumptions (Biomass)'!AJ10*Model!$AQ$2010*AVERAGE('Assumptions (Biomass)'!$AM$2:$AO$2)/10^9,0)</f>
        <v>0</v>
      </c>
      <c r="BF2211" s="105">
        <f>IF($AQ$2010&gt;0,'Assumptions (Biomass)'!AK10*Model!$AQ$2010*AVERAGE('Assumptions (Biomass)'!$AM$2:$AO$2)/10^9,0)</f>
        <v>0</v>
      </c>
      <c r="BG2211" s="105"/>
      <c r="BH2211" s="105"/>
      <c r="BI2211" s="105"/>
      <c r="BJ2211" s="105"/>
      <c r="BK2211" s="105"/>
      <c r="BL2211" s="105"/>
      <c r="BM2211" s="105"/>
      <c r="BN2211" s="105"/>
      <c r="BO2211" s="105"/>
    </row>
    <row r="2212" spans="1:68" ht="15.75" hidden="1" customHeight="1" outlineLevel="1">
      <c r="A2212" s="441"/>
      <c r="B2212" s="99"/>
      <c r="C2212" s="99"/>
      <c r="D2212" s="99"/>
      <c r="E2212" s="99"/>
      <c r="F2212" s="99"/>
      <c r="G2212" s="99"/>
      <c r="H2212" s="99"/>
      <c r="I2212" s="99"/>
      <c r="J2212" s="99"/>
      <c r="K2212" s="99"/>
      <c r="L2212" s="99"/>
      <c r="M2212" s="99"/>
      <c r="N2212" s="99"/>
      <c r="O2212" s="99"/>
      <c r="P2212" s="99"/>
      <c r="Q2212" s="99"/>
      <c r="R2212" s="99"/>
      <c r="S2212" s="99"/>
      <c r="T2212" s="99"/>
      <c r="U2212" s="99"/>
      <c r="V2212" s="99"/>
      <c r="W2212" s="105"/>
      <c r="X2212" s="105"/>
      <c r="Y2212" s="105"/>
      <c r="Z2212" s="105"/>
      <c r="AA2212" s="105"/>
      <c r="AB2212" s="105"/>
      <c r="AC2212" s="105"/>
      <c r="AD2212" s="105"/>
      <c r="AE2212" s="105"/>
      <c r="AF2212" s="105"/>
      <c r="AG2212" s="105"/>
      <c r="AH2212" s="105"/>
      <c r="AI2212" s="105"/>
      <c r="AJ2212" s="171"/>
      <c r="AK2212" s="105"/>
      <c r="AL2212" s="91"/>
      <c r="AM2212" s="91"/>
      <c r="AN2212" s="91"/>
      <c r="AO2212" s="105"/>
      <c r="AP2212" s="105"/>
      <c r="AQ2212" s="105"/>
      <c r="AR2212" s="105">
        <f>IF($AR$2010&gt;0,'Assumptions (Biomass)'!V10*Model!$AR$2010*AVERAGE('Assumptions (Biomass)'!$AN$2:$AP$2)/10^9,0)</f>
        <v>0</v>
      </c>
      <c r="AS2212" s="105">
        <f>IF($AR$2010&gt;0,'Assumptions (Biomass)'!W10*Model!$AR$2010*AVERAGE('Assumptions (Biomass)'!$AN$2:$AP$2)/10^9,0)</f>
        <v>0</v>
      </c>
      <c r="AT2212" s="105">
        <f>IF($AR$2010&gt;0,'Assumptions (Biomass)'!X10*Model!$AR$2010*AVERAGE('Assumptions (Biomass)'!$AN$2:$AP$2)/10^9,0)</f>
        <v>0</v>
      </c>
      <c r="AU2212" s="105">
        <f>IF($AR$2010&gt;0,'Assumptions (Biomass)'!Y10*Model!$AR$2010*AVERAGE('Assumptions (Biomass)'!$AN$2:$AP$2)/10^9,0)</f>
        <v>0</v>
      </c>
      <c r="AV2212" s="105">
        <f>IF($AR$2010&gt;0,'Assumptions (Biomass)'!Z10*Model!$AR$2010*AVERAGE('Assumptions (Biomass)'!$AN$2:$AP$2)/10^9,0)</f>
        <v>0</v>
      </c>
      <c r="AW2212" s="105">
        <f>IF($AR$2010&gt;0,'Assumptions (Biomass)'!AA10*Model!$AR$2010*AVERAGE('Assumptions (Biomass)'!$AN$2:$AP$2)/10^9,0)</f>
        <v>0</v>
      </c>
      <c r="AX2212" s="105">
        <f>IF($AR$2010&gt;0,'Assumptions (Biomass)'!AB10*Model!$AR$2010*AVERAGE('Assumptions (Biomass)'!$AN$2:$AP$2)/10^9,0)</f>
        <v>0</v>
      </c>
      <c r="AY2212" s="105">
        <f>IF($AR$2010&gt;0,'Assumptions (Biomass)'!AC10*Model!$AR$2010*AVERAGE('Assumptions (Biomass)'!$AN$2:$AP$2)/10^9,0)</f>
        <v>0</v>
      </c>
      <c r="AZ2212" s="105">
        <f>IF($AR$2010&gt;0,'Assumptions (Biomass)'!AD10*Model!$AR$2010*AVERAGE('Assumptions (Biomass)'!$AN$2:$AP$2)/10^9,0)</f>
        <v>0</v>
      </c>
      <c r="BA2212" s="105">
        <f>IF($AR$2010&gt;0,'Assumptions (Biomass)'!AE10*Model!$AR$2010*AVERAGE('Assumptions (Biomass)'!$AN$2:$AP$2)/10^9,0)</f>
        <v>0</v>
      </c>
      <c r="BB2212" s="105">
        <f>IF($AR$2010&gt;0,'Assumptions (Biomass)'!AF10*Model!$AR$2010*AVERAGE('Assumptions (Biomass)'!$AN$2:$AP$2)/10^9,0)</f>
        <v>0</v>
      </c>
      <c r="BC2212" s="105">
        <f>IF($AR$2010&gt;0,'Assumptions (Biomass)'!AG10*Model!$AR$2010*AVERAGE('Assumptions (Biomass)'!$AN$2:$AP$2)/10^9,0)</f>
        <v>0</v>
      </c>
      <c r="BD2212" s="105">
        <f>IF($AR$2010&gt;0,'Assumptions (Biomass)'!AH10*Model!$AR$2010*AVERAGE('Assumptions (Biomass)'!$AN$2:$AP$2)/10^9,0)</f>
        <v>0</v>
      </c>
      <c r="BE2212" s="105">
        <f>IF($AR$2010&gt;0,'Assumptions (Biomass)'!AI10*Model!$AR$2010*AVERAGE('Assumptions (Biomass)'!$AN$2:$AP$2)/10^9,0)</f>
        <v>0</v>
      </c>
      <c r="BF2212" s="105">
        <f>IF($AR$2010&gt;0,'Assumptions (Biomass)'!AJ10*Model!$AR$2010*AVERAGE('Assumptions (Biomass)'!$AN$2:$AP$2)/10^9,0)</f>
        <v>0</v>
      </c>
      <c r="BG2212" s="105">
        <f>IF($AR$2010&gt;0,'Assumptions (Biomass)'!AK10*Model!$AR$2010*AVERAGE('Assumptions (Biomass)'!$AN$2:$AP$2)/10^9,0)</f>
        <v>0</v>
      </c>
      <c r="BH2212" s="105"/>
      <c r="BI2212" s="105"/>
      <c r="BJ2212" s="105"/>
      <c r="BK2212" s="105"/>
      <c r="BL2212" s="105"/>
      <c r="BM2212" s="105"/>
      <c r="BN2212" s="105"/>
      <c r="BO2212" s="105"/>
      <c r="BP2212" s="105"/>
    </row>
    <row r="2213" spans="1:68" ht="15.75" hidden="1" customHeight="1" outlineLevel="1">
      <c r="A2213" s="441"/>
      <c r="B2213" s="99"/>
      <c r="C2213" s="99"/>
      <c r="D2213" s="99"/>
      <c r="E2213" s="99"/>
      <c r="F2213" s="99"/>
      <c r="G2213" s="99"/>
      <c r="H2213" s="99"/>
      <c r="I2213" s="99"/>
      <c r="J2213" s="99"/>
      <c r="K2213" s="99"/>
      <c r="L2213" s="99"/>
      <c r="M2213" s="99"/>
      <c r="N2213" s="99"/>
      <c r="O2213" s="99"/>
      <c r="P2213" s="99"/>
      <c r="Q2213" s="99"/>
      <c r="R2213" s="99"/>
      <c r="S2213" s="99"/>
      <c r="T2213" s="99"/>
      <c r="U2213" s="99"/>
      <c r="V2213" s="99"/>
      <c r="W2213" s="105"/>
      <c r="X2213" s="105"/>
      <c r="Y2213" s="105"/>
      <c r="Z2213" s="105"/>
      <c r="AA2213" s="105"/>
      <c r="AB2213" s="105"/>
      <c r="AC2213" s="105"/>
      <c r="AD2213" s="105"/>
      <c r="AE2213" s="105"/>
      <c r="AF2213" s="105"/>
      <c r="AG2213" s="105"/>
      <c r="AH2213" s="105"/>
      <c r="AI2213" s="105"/>
      <c r="AJ2213" s="171"/>
      <c r="AK2213" s="105"/>
      <c r="AL2213" s="91"/>
      <c r="AM2213" s="91"/>
      <c r="AN2213" s="91"/>
      <c r="AO2213" s="105"/>
      <c r="AP2213" s="105"/>
      <c r="AQ2213" s="105"/>
      <c r="AR2213" s="105"/>
      <c r="AS2213" s="105">
        <f>IF($AS$2010&gt;0,'Assumptions (Biomass)'!V10*Model!$AS$2010*AVERAGE('Assumptions (Biomass)'!$AO$2:$AQ$2)/10^9,0)</f>
        <v>0</v>
      </c>
      <c r="AT2213" s="105">
        <f>IF($AS$2010&gt;0,'Assumptions (Biomass)'!W10*Model!$AS$2010*AVERAGE('Assumptions (Biomass)'!$AO$2:$AQ$2)/10^9,0)</f>
        <v>0</v>
      </c>
      <c r="AU2213" s="105">
        <f>IF($AS$2010&gt;0,'Assumptions (Biomass)'!X10*Model!$AS$2010*AVERAGE('Assumptions (Biomass)'!$AO$2:$AQ$2)/10^9,0)</f>
        <v>0</v>
      </c>
      <c r="AV2213" s="105">
        <f>IF($AS$2010&gt;0,'Assumptions (Biomass)'!Y10*Model!$AS$2010*AVERAGE('Assumptions (Biomass)'!$AO$2:$AQ$2)/10^9,0)</f>
        <v>0</v>
      </c>
      <c r="AW2213" s="105">
        <f>IF($AS$2010&gt;0,'Assumptions (Biomass)'!Z10*Model!$AS$2010*AVERAGE('Assumptions (Biomass)'!$AO$2:$AQ$2)/10^9,0)</f>
        <v>0</v>
      </c>
      <c r="AX2213" s="105">
        <f>IF($AS$2010&gt;0,'Assumptions (Biomass)'!AA10*Model!$AS$2010*AVERAGE('Assumptions (Biomass)'!$AO$2:$AQ$2)/10^9,0)</f>
        <v>0</v>
      </c>
      <c r="AY2213" s="105">
        <f>IF($AS$2010&gt;0,'Assumptions (Biomass)'!AB10*Model!$AS$2010*AVERAGE('Assumptions (Biomass)'!$AO$2:$AQ$2)/10^9,0)</f>
        <v>0</v>
      </c>
      <c r="AZ2213" s="105">
        <f>IF($AS$2010&gt;0,'Assumptions (Biomass)'!AC10*Model!$AS$2010*AVERAGE('Assumptions (Biomass)'!$AO$2:$AQ$2)/10^9,0)</f>
        <v>0</v>
      </c>
      <c r="BA2213" s="105">
        <f>IF($AS$2010&gt;0,'Assumptions (Biomass)'!AD10*Model!$AS$2010*AVERAGE('Assumptions (Biomass)'!$AO$2:$AQ$2)/10^9,0)</f>
        <v>0</v>
      </c>
      <c r="BB2213" s="105">
        <f>IF($AS$2010&gt;0,'Assumptions (Biomass)'!AE10*Model!$AS$2010*AVERAGE('Assumptions (Biomass)'!$AO$2:$AQ$2)/10^9,0)</f>
        <v>0</v>
      </c>
      <c r="BC2213" s="105">
        <f>IF($AS$2010&gt;0,'Assumptions (Biomass)'!AF10*Model!$AS$2010*AVERAGE('Assumptions (Biomass)'!$AO$2:$AQ$2)/10^9,0)</f>
        <v>0</v>
      </c>
      <c r="BD2213" s="105">
        <f>IF($AS$2010&gt;0,'Assumptions (Biomass)'!AG10*Model!$AS$2010*AVERAGE('Assumptions (Biomass)'!$AO$2:$AQ$2)/10^9,0)</f>
        <v>0</v>
      </c>
      <c r="BE2213" s="105">
        <f>IF($AS$2010&gt;0,'Assumptions (Biomass)'!AH10*Model!$AS$2010*AVERAGE('Assumptions (Biomass)'!$AO$2:$AQ$2)/10^9,0)</f>
        <v>0</v>
      </c>
      <c r="BF2213" s="105">
        <f>IF($AS$2010&gt;0,'Assumptions (Biomass)'!AI10*Model!$AS$2010*AVERAGE('Assumptions (Biomass)'!$AO$2:$AQ$2)/10^9,0)</f>
        <v>0</v>
      </c>
      <c r="BG2213" s="105">
        <f>IF($AS$2010&gt;0,'Assumptions (Biomass)'!AJ10*Model!$AS$2010*AVERAGE('Assumptions (Biomass)'!$AO$2:$AQ$2)/10^9,0)</f>
        <v>0</v>
      </c>
      <c r="BH2213" s="105">
        <f>IF($AS$2010&gt;0,'Assumptions (Biomass)'!AK10*Model!$AS$2010*AVERAGE('Assumptions (Biomass)'!$AO$2:$AQ$2)/10^9,0)</f>
        <v>0</v>
      </c>
      <c r="BI2213" s="105"/>
      <c r="BJ2213" s="105"/>
      <c r="BK2213" s="105"/>
      <c r="BL2213" s="105"/>
      <c r="BM2213" s="105"/>
      <c r="BN2213" s="105"/>
      <c r="BO2213" s="105"/>
      <c r="BP2213" s="105"/>
    </row>
    <row r="2214" spans="1:68" ht="15.75" hidden="1" customHeight="1" outlineLevel="1">
      <c r="A2214" s="441"/>
      <c r="B2214" s="99"/>
      <c r="C2214" s="99"/>
      <c r="D2214" s="99"/>
      <c r="E2214" s="99"/>
      <c r="F2214" s="99"/>
      <c r="G2214" s="99"/>
      <c r="H2214" s="99"/>
      <c r="I2214" s="99"/>
      <c r="J2214" s="99"/>
      <c r="K2214" s="99"/>
      <c r="L2214" s="99"/>
      <c r="M2214" s="99"/>
      <c r="N2214" s="99"/>
      <c r="O2214" s="99"/>
      <c r="P2214" s="99"/>
      <c r="Q2214" s="99"/>
      <c r="R2214" s="99"/>
      <c r="S2214" s="99"/>
      <c r="T2214" s="99"/>
      <c r="U2214" s="99"/>
      <c r="V2214" s="99"/>
      <c r="W2214" s="105"/>
      <c r="X2214" s="105"/>
      <c r="Y2214" s="105"/>
      <c r="Z2214" s="105"/>
      <c r="AA2214" s="105"/>
      <c r="AB2214" s="105"/>
      <c r="AC2214" s="105"/>
      <c r="AD2214" s="105"/>
      <c r="AE2214" s="105"/>
      <c r="AF2214" s="105"/>
      <c r="AG2214" s="105"/>
      <c r="AH2214" s="105"/>
      <c r="AI2214" s="105"/>
      <c r="AJ2214" s="171"/>
      <c r="AK2214" s="105"/>
      <c r="AL2214" s="91"/>
      <c r="AM2214" s="91"/>
      <c r="AN2214" s="91"/>
      <c r="AO2214" s="105"/>
      <c r="AP2214" s="105"/>
      <c r="AQ2214" s="105"/>
      <c r="AR2214" s="105"/>
      <c r="AS2214" s="105"/>
      <c r="AT2214" s="105">
        <f>IF($AT$2010&gt;0,'Assumptions (Biomass)'!V10*Model!$AT$2010*AVERAGE('Assumptions (Biomass)'!$AP$2:$AR$2)/10^9,0)</f>
        <v>0</v>
      </c>
      <c r="AU2214" s="105">
        <f>IF($AT$2010&gt;0,'Assumptions (Biomass)'!W10*Model!$AT$2010*AVERAGE('Assumptions (Biomass)'!$AP$2:$AR$2)/10^9,0)</f>
        <v>0</v>
      </c>
      <c r="AV2214" s="105">
        <f>IF($AT$2010&gt;0,'Assumptions (Biomass)'!X10*Model!$AT$2010*AVERAGE('Assumptions (Biomass)'!$AP$2:$AR$2)/10^9,0)</f>
        <v>0</v>
      </c>
      <c r="AW2214" s="105">
        <f>IF($AT$2010&gt;0,'Assumptions (Biomass)'!Y10*Model!$AT$2010*AVERAGE('Assumptions (Biomass)'!$AP$2:$AR$2)/10^9,0)</f>
        <v>0</v>
      </c>
      <c r="AX2214" s="105">
        <f>IF($AT$2010&gt;0,'Assumptions (Biomass)'!Z10*Model!$AT$2010*AVERAGE('Assumptions (Biomass)'!$AP$2:$AR$2)/10^9,0)</f>
        <v>0</v>
      </c>
      <c r="AY2214" s="105">
        <f>IF($AT$2010&gt;0,'Assumptions (Biomass)'!AA10*Model!$AT$2010*AVERAGE('Assumptions (Biomass)'!$AP$2:$AR$2)/10^9,0)</f>
        <v>0</v>
      </c>
      <c r="AZ2214" s="105">
        <f>IF($AT$2010&gt;0,'Assumptions (Biomass)'!AB10*Model!$AT$2010*AVERAGE('Assumptions (Biomass)'!$AP$2:$AR$2)/10^9,0)</f>
        <v>0</v>
      </c>
      <c r="BA2214" s="105">
        <f>IF($AT$2010&gt;0,'Assumptions (Biomass)'!AC10*Model!$AT$2010*AVERAGE('Assumptions (Biomass)'!$AP$2:$AR$2)/10^9,0)</f>
        <v>0</v>
      </c>
      <c r="BB2214" s="105">
        <f>IF($AT$2010&gt;0,'Assumptions (Biomass)'!AD10*Model!$AT$2010*AVERAGE('Assumptions (Biomass)'!$AP$2:$AR$2)/10^9,0)</f>
        <v>0</v>
      </c>
      <c r="BC2214" s="105">
        <f>IF($AT$2010&gt;0,'Assumptions (Biomass)'!AE10*Model!$AT$2010*AVERAGE('Assumptions (Biomass)'!$AP$2:$AR$2)/10^9,0)</f>
        <v>0</v>
      </c>
      <c r="BD2214" s="105">
        <f>IF($AT$2010&gt;0,'Assumptions (Biomass)'!AF10*Model!$AT$2010*AVERAGE('Assumptions (Biomass)'!$AP$2:$AR$2)/10^9,0)</f>
        <v>0</v>
      </c>
      <c r="BE2214" s="105">
        <f>IF($AT$2010&gt;0,'Assumptions (Biomass)'!AG10*Model!$AT$2010*AVERAGE('Assumptions (Biomass)'!$AP$2:$AR$2)/10^9,0)</f>
        <v>0</v>
      </c>
      <c r="BF2214" s="105">
        <f>IF($AT$2010&gt;0,'Assumptions (Biomass)'!AH10*Model!$AT$2010*AVERAGE('Assumptions (Biomass)'!$AP$2:$AR$2)/10^9,0)</f>
        <v>0</v>
      </c>
      <c r="BG2214" s="105">
        <f>IF($AT$2010&gt;0,'Assumptions (Biomass)'!AI10*Model!$AT$2010*AVERAGE('Assumptions (Biomass)'!$AP$2:$AR$2)/10^9,0)</f>
        <v>0</v>
      </c>
      <c r="BH2214" s="105">
        <f>IF($AT$2010&gt;0,'Assumptions (Biomass)'!AJ10*Model!$AT$2010*AVERAGE('Assumptions (Biomass)'!$AP$2:$AR$2)/10^9,0)</f>
        <v>0</v>
      </c>
      <c r="BI2214" s="105">
        <f>IF($AT$2010&gt;0,'Assumptions (Biomass)'!AK10*Model!$AT$2010*AVERAGE('Assumptions (Biomass)'!$AP$2:$AR$2)/10^9,0)</f>
        <v>0</v>
      </c>
      <c r="BJ2214" s="105"/>
      <c r="BK2214" s="105"/>
      <c r="BL2214" s="105"/>
      <c r="BM2214" s="105"/>
      <c r="BN2214" s="105"/>
      <c r="BO2214" s="105"/>
      <c r="BP2214" s="105"/>
    </row>
    <row r="2215" spans="1:68" ht="15.75" hidden="1" customHeight="1" outlineLevel="1">
      <c r="A2215" s="441"/>
      <c r="B2215" s="99"/>
      <c r="C2215" s="99"/>
      <c r="D2215" s="99"/>
      <c r="E2215" s="99"/>
      <c r="F2215" s="99"/>
      <c r="G2215" s="99"/>
      <c r="H2215" s="99"/>
      <c r="I2215" s="99"/>
      <c r="J2215" s="99"/>
      <c r="K2215" s="99"/>
      <c r="L2215" s="99"/>
      <c r="M2215" s="99"/>
      <c r="N2215" s="99"/>
      <c r="O2215" s="99"/>
      <c r="P2215" s="99"/>
      <c r="Q2215" s="99"/>
      <c r="R2215" s="99"/>
      <c r="S2215" s="99"/>
      <c r="T2215" s="99"/>
      <c r="U2215" s="99"/>
      <c r="V2215" s="99"/>
      <c r="W2215" s="105"/>
      <c r="X2215" s="105"/>
      <c r="Y2215" s="105"/>
      <c r="Z2215" s="105"/>
      <c r="AA2215" s="105"/>
      <c r="AB2215" s="105"/>
      <c r="AC2215" s="105"/>
      <c r="AD2215" s="105"/>
      <c r="AE2215" s="105"/>
      <c r="AF2215" s="105"/>
      <c r="AG2215" s="105"/>
      <c r="AH2215" s="105"/>
      <c r="AI2215" s="105"/>
      <c r="AJ2215" s="171"/>
      <c r="AK2215" s="105"/>
      <c r="AL2215" s="91"/>
      <c r="AM2215" s="91"/>
      <c r="AN2215" s="91"/>
      <c r="AO2215" s="105"/>
      <c r="AP2215" s="105"/>
      <c r="AQ2215" s="105"/>
      <c r="AR2215" s="105"/>
      <c r="AS2215" s="105"/>
      <c r="AT2215" s="105"/>
      <c r="AU2215" s="105">
        <f>IF($AU$2010&gt;0,'Assumptions (Biomass)'!V10*Model!$AU$2010*AVERAGE('Assumptions (Biomass)'!$AQ$2:$AS$2)/10^9,0)</f>
        <v>0</v>
      </c>
      <c r="AV2215" s="105">
        <f>IF($AU$2010&gt;0,'Assumptions (Biomass)'!W10*Model!$AU$2010*AVERAGE('Assumptions (Biomass)'!$AQ$2:$AS$2)/10^9,0)</f>
        <v>0</v>
      </c>
      <c r="AW2215" s="105">
        <f>IF($AU$2010&gt;0,'Assumptions (Biomass)'!X10*Model!$AU$2010*AVERAGE('Assumptions (Biomass)'!$AQ$2:$AS$2)/10^9,0)</f>
        <v>0</v>
      </c>
      <c r="AX2215" s="105">
        <f>IF($AU$2010&gt;0,'Assumptions (Biomass)'!Y10*Model!$AU$2010*AVERAGE('Assumptions (Biomass)'!$AQ$2:$AS$2)/10^9,0)</f>
        <v>0</v>
      </c>
      <c r="AY2215" s="105">
        <f>IF($AU$2010&gt;0,'Assumptions (Biomass)'!Z10*Model!$AU$2010*AVERAGE('Assumptions (Biomass)'!$AQ$2:$AS$2)/10^9,0)</f>
        <v>0</v>
      </c>
      <c r="AZ2215" s="105">
        <f>IF($AU$2010&gt;0,'Assumptions (Biomass)'!AA10*Model!$AU$2010*AVERAGE('Assumptions (Biomass)'!$AQ$2:$AS$2)/10^9,0)</f>
        <v>0</v>
      </c>
      <c r="BA2215" s="105">
        <f>IF($AU$2010&gt;0,'Assumptions (Biomass)'!AB10*Model!$AU$2010*AVERAGE('Assumptions (Biomass)'!$AQ$2:$AS$2)/10^9,0)</f>
        <v>0</v>
      </c>
      <c r="BB2215" s="105">
        <f>IF($AU$2010&gt;0,'Assumptions (Biomass)'!AC10*Model!$AU$2010*AVERAGE('Assumptions (Biomass)'!$AQ$2:$AS$2)/10^9,0)</f>
        <v>0</v>
      </c>
      <c r="BC2215" s="105">
        <f>IF($AU$2010&gt;0,'Assumptions (Biomass)'!AD10*Model!$AU$2010*AVERAGE('Assumptions (Biomass)'!$AQ$2:$AS$2)/10^9,0)</f>
        <v>0</v>
      </c>
      <c r="BD2215" s="105">
        <f>IF($AU$2010&gt;0,'Assumptions (Biomass)'!AE10*Model!$AU$2010*AVERAGE('Assumptions (Biomass)'!$AQ$2:$AS$2)/10^9,0)</f>
        <v>0</v>
      </c>
      <c r="BE2215" s="105">
        <f>IF($AU$2010&gt;0,'Assumptions (Biomass)'!AF10*Model!$AU$2010*AVERAGE('Assumptions (Biomass)'!$AQ$2:$AS$2)/10^9,0)</f>
        <v>0</v>
      </c>
      <c r="BF2215" s="105">
        <f>IF($AU$2010&gt;0,'Assumptions (Biomass)'!AG10*Model!$AU$2010*AVERAGE('Assumptions (Biomass)'!$AQ$2:$AS$2)/10^9,0)</f>
        <v>0</v>
      </c>
      <c r="BG2215" s="105">
        <f>IF($AU$2010&gt;0,'Assumptions (Biomass)'!AH10*Model!$AU$2010*AVERAGE('Assumptions (Biomass)'!$AQ$2:$AS$2)/10^9,0)</f>
        <v>0</v>
      </c>
      <c r="BH2215" s="105">
        <f>IF($AU$2010&gt;0,'Assumptions (Biomass)'!AI10*Model!$AU$2010*AVERAGE('Assumptions (Biomass)'!$AQ$2:$AS$2)/10^9,0)</f>
        <v>0</v>
      </c>
      <c r="BI2215" s="105">
        <f>IF($AU$2010&gt;0,'Assumptions (Biomass)'!AJ10*Model!$AU$2010*AVERAGE('Assumptions (Biomass)'!$AQ$2:$AS$2)/10^9,0)</f>
        <v>0</v>
      </c>
      <c r="BJ2215" s="105">
        <f>IF($AU$2010&gt;0,'Assumptions (Biomass)'!AK10*Model!$AU$2010*AVERAGE('Assumptions (Biomass)'!$AQ$2:$AS$2)/10^9,0)</f>
        <v>0</v>
      </c>
      <c r="BK2215" s="105"/>
      <c r="BL2215" s="105"/>
      <c r="BM2215" s="105"/>
      <c r="BN2215" s="105"/>
      <c r="BO2215" s="105"/>
      <c r="BP2215" s="105"/>
    </row>
    <row r="2216" spans="1:68" ht="15.75" hidden="1" customHeight="1" outlineLevel="1">
      <c r="A2216" s="441"/>
      <c r="B2216" s="99"/>
      <c r="C2216" s="99"/>
      <c r="D2216" s="99"/>
      <c r="E2216" s="99"/>
      <c r="F2216" s="99"/>
      <c r="G2216" s="99"/>
      <c r="H2216" s="99"/>
      <c r="I2216" s="99"/>
      <c r="J2216" s="99"/>
      <c r="K2216" s="99"/>
      <c r="L2216" s="99"/>
      <c r="M2216" s="99"/>
      <c r="N2216" s="99"/>
      <c r="O2216" s="99"/>
      <c r="P2216" s="99"/>
      <c r="Q2216" s="99"/>
      <c r="R2216" s="99"/>
      <c r="S2216" s="99"/>
      <c r="T2216" s="99"/>
      <c r="U2216" s="99"/>
      <c r="V2216" s="99"/>
      <c r="W2216" s="105"/>
      <c r="X2216" s="105"/>
      <c r="Y2216" s="105"/>
      <c r="Z2216" s="105"/>
      <c r="AA2216" s="105"/>
      <c r="AB2216" s="105"/>
      <c r="AC2216" s="105"/>
      <c r="AD2216" s="105"/>
      <c r="AE2216" s="105"/>
      <c r="AF2216" s="105"/>
      <c r="AG2216" s="105"/>
      <c r="AH2216" s="105"/>
      <c r="AI2216" s="105"/>
      <c r="AJ2216" s="171"/>
      <c r="AK2216" s="105"/>
      <c r="AL2216" s="91"/>
      <c r="AM2216" s="91"/>
      <c r="AN2216" s="91"/>
      <c r="AO2216" s="105"/>
      <c r="AP2216" s="105"/>
      <c r="AQ2216" s="105"/>
      <c r="AR2216" s="105"/>
      <c r="AS2216" s="105"/>
      <c r="AT2216" s="105"/>
      <c r="AU2216" s="105"/>
      <c r="AV2216" s="105">
        <f>IF($AV$2010&gt;0,'Assumptions (Biomass)'!V10*Model!$AV$2010*AVERAGE('Assumptions (Biomass)'!$AR$2:$AT$2)/10^9,0)</f>
        <v>0</v>
      </c>
      <c r="AW2216" s="105">
        <f>IF($AV$2010&gt;0,'Assumptions (Biomass)'!W10*Model!$AV$2010*AVERAGE('Assumptions (Biomass)'!$AR$2:$AT$2)/10^9,0)</f>
        <v>0</v>
      </c>
      <c r="AX2216" s="105">
        <f>IF($AV$2010&gt;0,'Assumptions (Biomass)'!X10*Model!$AV$2010*AVERAGE('Assumptions (Biomass)'!$AR$2:$AT$2)/10^9,0)</f>
        <v>0</v>
      </c>
      <c r="AY2216" s="105">
        <f>IF($AV$2010&gt;0,'Assumptions (Biomass)'!Y10*Model!$AV$2010*AVERAGE('Assumptions (Biomass)'!$AR$2:$AT$2)/10^9,0)</f>
        <v>0</v>
      </c>
      <c r="AZ2216" s="105">
        <f>IF($AV$2010&gt;0,'Assumptions (Biomass)'!Z10*Model!$AV$2010*AVERAGE('Assumptions (Biomass)'!$AR$2:$AT$2)/10^9,0)</f>
        <v>0</v>
      </c>
      <c r="BA2216" s="105">
        <f>IF($AV$2010&gt;0,'Assumptions (Biomass)'!AA10*Model!$AV$2010*AVERAGE('Assumptions (Biomass)'!$AR$2:$AT$2)/10^9,0)</f>
        <v>0</v>
      </c>
      <c r="BB2216" s="105">
        <f>IF($AV$2010&gt;0,'Assumptions (Biomass)'!AB10*Model!$AV$2010*AVERAGE('Assumptions (Biomass)'!$AR$2:$AT$2)/10^9,0)</f>
        <v>0</v>
      </c>
      <c r="BC2216" s="105">
        <f>IF($AV$2010&gt;0,'Assumptions (Biomass)'!AC10*Model!$AV$2010*AVERAGE('Assumptions (Biomass)'!$AR$2:$AT$2)/10^9,0)</f>
        <v>0</v>
      </c>
      <c r="BD2216" s="105">
        <f>IF($AV$2010&gt;0,'Assumptions (Biomass)'!AD10*Model!$AV$2010*AVERAGE('Assumptions (Biomass)'!$AR$2:$AT$2)/10^9,0)</f>
        <v>0</v>
      </c>
      <c r="BE2216" s="105">
        <f>IF($AV$2010&gt;0,'Assumptions (Biomass)'!AE10*Model!$AV$2010*AVERAGE('Assumptions (Biomass)'!$AR$2:$AT$2)/10^9,0)</f>
        <v>0</v>
      </c>
      <c r="BF2216" s="105">
        <f>IF($AV$2010&gt;0,'Assumptions (Biomass)'!AF10*Model!$AV$2010*AVERAGE('Assumptions (Biomass)'!$AR$2:$AT$2)/10^9,0)</f>
        <v>0</v>
      </c>
      <c r="BG2216" s="105">
        <f>IF($AV$2010&gt;0,'Assumptions (Biomass)'!AG10*Model!$AV$2010*AVERAGE('Assumptions (Biomass)'!$AR$2:$AT$2)/10^9,0)</f>
        <v>0</v>
      </c>
      <c r="BH2216" s="105">
        <f>IF($AV$2010&gt;0,'Assumptions (Biomass)'!AH10*Model!$AV$2010*AVERAGE('Assumptions (Biomass)'!$AR$2:$AT$2)/10^9,0)</f>
        <v>0</v>
      </c>
      <c r="BI2216" s="105">
        <f>IF($AV$2010&gt;0,'Assumptions (Biomass)'!AI10*Model!$AV$2010*AVERAGE('Assumptions (Biomass)'!$AR$2:$AT$2)/10^9,0)</f>
        <v>0</v>
      </c>
      <c r="BJ2216" s="105">
        <f>IF($AV$2010&gt;0,'Assumptions (Biomass)'!AJ10*Model!$AV$2010*AVERAGE('Assumptions (Biomass)'!$AR$2:$AT$2)/10^9,0)</f>
        <v>0</v>
      </c>
      <c r="BK2216" s="105">
        <f>IF($AV$2010&gt;0,'Assumptions (Biomass)'!AK10*Model!$AV$2010*AVERAGE('Assumptions (Biomass)'!$AR$2:$AT$2)/10^9,0)</f>
        <v>0</v>
      </c>
      <c r="BL2216" s="105"/>
      <c r="BM2216" s="105"/>
      <c r="BN2216" s="105"/>
      <c r="BO2216" s="105"/>
      <c r="BP2216" s="105"/>
    </row>
    <row r="2217" spans="1:68" ht="15.75" hidden="1" customHeight="1" outlineLevel="1">
      <c r="A2217" s="441"/>
      <c r="B2217" s="99"/>
      <c r="C2217" s="99"/>
      <c r="D2217" s="99"/>
      <c r="E2217" s="99"/>
      <c r="F2217" s="99"/>
      <c r="G2217" s="99"/>
      <c r="H2217" s="99"/>
      <c r="I2217" s="99"/>
      <c r="J2217" s="99"/>
      <c r="K2217" s="99"/>
      <c r="L2217" s="99"/>
      <c r="M2217" s="99"/>
      <c r="N2217" s="99"/>
      <c r="O2217" s="99"/>
      <c r="P2217" s="99"/>
      <c r="Q2217" s="99"/>
      <c r="R2217" s="99"/>
      <c r="S2217" s="99"/>
      <c r="T2217" s="99"/>
      <c r="U2217" s="99"/>
      <c r="V2217" s="99"/>
      <c r="W2217" s="105"/>
      <c r="X2217" s="105"/>
      <c r="Y2217" s="105"/>
      <c r="Z2217" s="105"/>
      <c r="AA2217" s="105"/>
      <c r="AB2217" s="105"/>
      <c r="AC2217" s="105"/>
      <c r="AD2217" s="105"/>
      <c r="AE2217" s="105"/>
      <c r="AF2217" s="105"/>
      <c r="AG2217" s="105"/>
      <c r="AH2217" s="105"/>
      <c r="AI2217" s="105"/>
      <c r="AJ2217" s="171"/>
      <c r="AK2217" s="105"/>
      <c r="AL2217" s="91"/>
      <c r="AM2217" s="91"/>
      <c r="AN2217" s="91"/>
      <c r="AO2217" s="105"/>
      <c r="AP2217" s="105"/>
      <c r="AQ2217" s="105"/>
      <c r="AR2217" s="105"/>
      <c r="AS2217" s="105"/>
      <c r="AT2217" s="105"/>
      <c r="AU2217" s="105"/>
      <c r="AV2217" s="105"/>
      <c r="AW2217" s="105">
        <f>IF($AW$2010&gt;0,'Assumptions (Biomass)'!V10*Model!$AW$2010*AVERAGE('Assumptions (Biomass)'!$AS$2:$AU$2)/10^9,0)</f>
        <v>0</v>
      </c>
      <c r="AX2217" s="105">
        <f>IF($AW$2010&gt;0,'Assumptions (Biomass)'!W10*Model!$AW$2010*AVERAGE('Assumptions (Biomass)'!$AS$2:$AU$2)/10^9,0)</f>
        <v>0</v>
      </c>
      <c r="AY2217" s="105">
        <f>IF($AW$2010&gt;0,'Assumptions (Biomass)'!X10*Model!$AW$2010*AVERAGE('Assumptions (Biomass)'!$AS$2:$AU$2)/10^9,0)</f>
        <v>0</v>
      </c>
      <c r="AZ2217" s="105">
        <f>IF($AW$2010&gt;0,'Assumptions (Biomass)'!Y10*Model!$AW$2010*AVERAGE('Assumptions (Biomass)'!$AS$2:$AU$2)/10^9,0)</f>
        <v>0</v>
      </c>
      <c r="BA2217" s="105">
        <f>IF($AW$2010&gt;0,'Assumptions (Biomass)'!Z10*Model!$AW$2010*AVERAGE('Assumptions (Biomass)'!$AS$2:$AU$2)/10^9,0)</f>
        <v>0</v>
      </c>
      <c r="BB2217" s="105">
        <f>IF($AW$2010&gt;0,'Assumptions (Biomass)'!AA10*Model!$AW$2010*AVERAGE('Assumptions (Biomass)'!$AS$2:$AU$2)/10^9,0)</f>
        <v>0</v>
      </c>
      <c r="BC2217" s="105">
        <f>IF($AW$2010&gt;0,'Assumptions (Biomass)'!AB10*Model!$AW$2010*AVERAGE('Assumptions (Biomass)'!$AS$2:$AU$2)/10^9,0)</f>
        <v>0</v>
      </c>
      <c r="BD2217" s="105">
        <f>IF($AW$2010&gt;0,'Assumptions (Biomass)'!AC10*Model!$AW$2010*AVERAGE('Assumptions (Biomass)'!$AS$2:$AU$2)/10^9,0)</f>
        <v>0</v>
      </c>
      <c r="BE2217" s="105">
        <f>IF($AW$2010&gt;0,'Assumptions (Biomass)'!AD10*Model!$AW$2010*AVERAGE('Assumptions (Biomass)'!$AS$2:$AU$2)/10^9,0)</f>
        <v>0</v>
      </c>
      <c r="BF2217" s="105">
        <f>IF($AW$2010&gt;0,'Assumptions (Biomass)'!AE10*Model!$AW$2010*AVERAGE('Assumptions (Biomass)'!$AS$2:$AU$2)/10^9,0)</f>
        <v>0</v>
      </c>
      <c r="BG2217" s="105">
        <f>IF($AW$2010&gt;0,'Assumptions (Biomass)'!AF10*Model!$AW$2010*AVERAGE('Assumptions (Biomass)'!$AS$2:$AU$2)/10^9,0)</f>
        <v>0</v>
      </c>
      <c r="BH2217" s="105">
        <f>IF($AW$2010&gt;0,'Assumptions (Biomass)'!AG10*Model!$AW$2010*AVERAGE('Assumptions (Biomass)'!$AS$2:$AU$2)/10^9,0)</f>
        <v>0</v>
      </c>
      <c r="BI2217" s="105">
        <f>IF($AW$2010&gt;0,'Assumptions (Biomass)'!AH10*Model!$AW$2010*AVERAGE('Assumptions (Biomass)'!$AS$2:$AU$2)/10^9,0)</f>
        <v>0</v>
      </c>
      <c r="BJ2217" s="105">
        <f>IF($AW$2010&gt;0,'Assumptions (Biomass)'!AI10*Model!$AW$2010*AVERAGE('Assumptions (Biomass)'!$AS$2:$AU$2)/10^9,0)</f>
        <v>0</v>
      </c>
      <c r="BK2217" s="105">
        <f>IF($AW$2010&gt;0,'Assumptions (Biomass)'!AJ10*Model!$AW$2010*AVERAGE('Assumptions (Biomass)'!$AS$2:$AU$2)/10^9,0)</f>
        <v>0</v>
      </c>
      <c r="BL2217" s="105">
        <f>IF($AW$2010&gt;0,'Assumptions (Biomass)'!AK10*Model!$AW$2010*AVERAGE('Assumptions (Biomass)'!$AS$2:$AU$2)/10^9,0)</f>
        <v>0</v>
      </c>
      <c r="BM2217" s="105"/>
      <c r="BN2217" s="105"/>
      <c r="BO2217" s="105"/>
      <c r="BP2217" s="105"/>
    </row>
    <row r="2218" spans="1:68" ht="15.75" hidden="1" customHeight="1" outlineLevel="1">
      <c r="A2218" s="441"/>
      <c r="B2218" s="99"/>
      <c r="C2218" s="99"/>
      <c r="D2218" s="99"/>
      <c r="E2218" s="99"/>
      <c r="F2218" s="99"/>
      <c r="G2218" s="99"/>
      <c r="H2218" s="99"/>
      <c r="I2218" s="99"/>
      <c r="J2218" s="99"/>
      <c r="K2218" s="99"/>
      <c r="L2218" s="99"/>
      <c r="M2218" s="99"/>
      <c r="N2218" s="99"/>
      <c r="O2218" s="99"/>
      <c r="P2218" s="99"/>
      <c r="Q2218" s="99"/>
      <c r="R2218" s="99"/>
      <c r="S2218" s="99"/>
      <c r="T2218" s="99"/>
      <c r="U2218" s="99"/>
      <c r="V2218" s="99"/>
      <c r="W2218" s="105"/>
      <c r="X2218" s="105"/>
      <c r="Y2218" s="105"/>
      <c r="Z2218" s="105"/>
      <c r="AA2218" s="105"/>
      <c r="AB2218" s="105"/>
      <c r="AC2218" s="105"/>
      <c r="AD2218" s="105"/>
      <c r="AE2218" s="105"/>
      <c r="AF2218" s="105"/>
      <c r="AG2218" s="105"/>
      <c r="AH2218" s="105"/>
      <c r="AI2218" s="105"/>
      <c r="AJ2218" s="171"/>
      <c r="AK2218" s="105"/>
      <c r="AL2218" s="91"/>
      <c r="AM2218" s="91"/>
      <c r="AN2218" s="91"/>
      <c r="AO2218" s="105"/>
      <c r="AP2218" s="105"/>
      <c r="AQ2218" s="105"/>
      <c r="AR2218" s="105"/>
      <c r="AS2218" s="105"/>
      <c r="AT2218" s="105"/>
      <c r="AU2218" s="105"/>
      <c r="AV2218" s="105"/>
      <c r="AW2218" s="105"/>
      <c r="AX2218" s="105">
        <f>IF($AX$2010&gt;0,'Assumptions (Biomass)'!V10*Model!$AX$2010*AVERAGE('Assumptions (Biomass)'!$AT$2:$AV$2)/10^9,0)</f>
        <v>0</v>
      </c>
      <c r="AY2218" s="105">
        <f>IF($AX$2010&gt;0,'Assumptions (Biomass)'!W10*Model!$AX$2010*AVERAGE('Assumptions (Biomass)'!$AT$2:$AV$2)/10^9,0)</f>
        <v>0</v>
      </c>
      <c r="AZ2218" s="105">
        <f>IF($AX$2010&gt;0,'Assumptions (Biomass)'!X10*Model!$AX$2010*AVERAGE('Assumptions (Biomass)'!$AT$2:$AV$2)/10^9,0)</f>
        <v>0</v>
      </c>
      <c r="BA2218" s="105">
        <f>IF($AX$2010&gt;0,'Assumptions (Biomass)'!Y10*Model!$AX$2010*AVERAGE('Assumptions (Biomass)'!$AT$2:$AV$2)/10^9,0)</f>
        <v>0</v>
      </c>
      <c r="BB2218" s="105">
        <f>IF($AX$2010&gt;0,'Assumptions (Biomass)'!Z10*Model!$AX$2010*AVERAGE('Assumptions (Biomass)'!$AT$2:$AV$2)/10^9,0)</f>
        <v>0</v>
      </c>
      <c r="BC2218" s="105">
        <f>IF($AX$2010&gt;0,'Assumptions (Biomass)'!AA10*Model!$AX$2010*AVERAGE('Assumptions (Biomass)'!$AT$2:$AV$2)/10^9,0)</f>
        <v>0</v>
      </c>
      <c r="BD2218" s="105">
        <f>IF($AX$2010&gt;0,'Assumptions (Biomass)'!AB10*Model!$AX$2010*AVERAGE('Assumptions (Biomass)'!$AT$2:$AV$2)/10^9,0)</f>
        <v>0</v>
      </c>
      <c r="BE2218" s="105">
        <f>IF($AX$2010&gt;0,'Assumptions (Biomass)'!AC10*Model!$AX$2010*AVERAGE('Assumptions (Biomass)'!$AT$2:$AV$2)/10^9,0)</f>
        <v>0</v>
      </c>
      <c r="BF2218" s="105">
        <f>IF($AX$2010&gt;0,'Assumptions (Biomass)'!AD10*Model!$AX$2010*AVERAGE('Assumptions (Biomass)'!$AT$2:$AV$2)/10^9,0)</f>
        <v>0</v>
      </c>
      <c r="BG2218" s="105">
        <f>IF($AX$2010&gt;0,'Assumptions (Biomass)'!AE10*Model!$AX$2010*AVERAGE('Assumptions (Biomass)'!$AT$2:$AV$2)/10^9,0)</f>
        <v>0</v>
      </c>
      <c r="BH2218" s="105">
        <f>IF($AX$2010&gt;0,'Assumptions (Biomass)'!AF10*Model!$AX$2010*AVERAGE('Assumptions (Biomass)'!$AT$2:$AV$2)/10^9,0)</f>
        <v>0</v>
      </c>
      <c r="BI2218" s="105">
        <f>IF($AX$2010&gt;0,'Assumptions (Biomass)'!AG10*Model!$AX$2010*AVERAGE('Assumptions (Biomass)'!$AT$2:$AV$2)/10^9,0)</f>
        <v>0</v>
      </c>
      <c r="BJ2218" s="105">
        <f>IF($AX$2010&gt;0,'Assumptions (Biomass)'!AH10*Model!$AX$2010*AVERAGE('Assumptions (Biomass)'!$AT$2:$AV$2)/10^9,0)</f>
        <v>0</v>
      </c>
      <c r="BK2218" s="105">
        <f>IF($AX$2010&gt;0,'Assumptions (Biomass)'!AI10*Model!$AX$2010*AVERAGE('Assumptions (Biomass)'!$AT$2:$AV$2)/10^9,0)</f>
        <v>0</v>
      </c>
      <c r="BL2218" s="105">
        <f>IF($AX$2010&gt;0,'Assumptions (Biomass)'!AJ10*Model!$AX$2010*AVERAGE('Assumptions (Biomass)'!$AT$2:$AV$2)/10^9,0)</f>
        <v>0</v>
      </c>
      <c r="BM2218" s="105">
        <f>IF($AX$2010&gt;0,'Assumptions (Biomass)'!AK10*Model!$AX$2010*AVERAGE('Assumptions (Biomass)'!$AT$2:$AV$2)/10^9,0)</f>
        <v>0</v>
      </c>
      <c r="BN2218" s="105"/>
      <c r="BO2218" s="105"/>
      <c r="BP2218" s="105"/>
    </row>
    <row r="2219" spans="1:68" ht="15.75" hidden="1" customHeight="1" outlineLevel="1">
      <c r="A2219" s="441"/>
      <c r="B2219" s="99"/>
      <c r="C2219" s="99"/>
      <c r="D2219" s="99"/>
      <c r="E2219" s="99"/>
      <c r="F2219" s="99"/>
      <c r="G2219" s="99"/>
      <c r="H2219" s="99"/>
      <c r="I2219" s="99"/>
      <c r="J2219" s="99"/>
      <c r="K2219" s="99"/>
      <c r="L2219" s="99"/>
      <c r="M2219" s="99"/>
      <c r="N2219" s="99"/>
      <c r="O2219" s="99"/>
      <c r="P2219" s="99"/>
      <c r="Q2219" s="99"/>
      <c r="R2219" s="99"/>
      <c r="S2219" s="99"/>
      <c r="T2219" s="99"/>
      <c r="U2219" s="99"/>
      <c r="V2219" s="99"/>
      <c r="W2219" s="105"/>
      <c r="X2219" s="105"/>
      <c r="Y2219" s="105"/>
      <c r="Z2219" s="105"/>
      <c r="AA2219" s="105"/>
      <c r="AB2219" s="105"/>
      <c r="AC2219" s="105"/>
      <c r="AD2219" s="105"/>
      <c r="AE2219" s="105"/>
      <c r="AF2219" s="105"/>
      <c r="AG2219" s="105"/>
      <c r="AH2219" s="105"/>
      <c r="AI2219" s="105"/>
      <c r="AJ2219" s="171"/>
      <c r="AK2219" s="105"/>
      <c r="AL2219" s="91"/>
      <c r="AM2219" s="91"/>
      <c r="AN2219" s="91"/>
      <c r="AO2219" s="105"/>
      <c r="AP2219" s="105"/>
      <c r="AQ2219" s="105"/>
      <c r="AR2219" s="105"/>
      <c r="AS2219" s="105"/>
      <c r="AT2219" s="105"/>
      <c r="AU2219" s="105"/>
      <c r="AV2219" s="105"/>
      <c r="AW2219" s="105"/>
      <c r="AX2219" s="105"/>
      <c r="AY2219" s="105">
        <f>IF($AY$2010&gt;0,'Assumptions (Biomass)'!V10*Model!$AY$2010*AVERAGE('Assumptions (Biomass)'!$AU$2:$AW$2)/10^9,0)</f>
        <v>0</v>
      </c>
      <c r="AZ2219" s="105">
        <f>IF($AY$2010&gt;0,'Assumptions (Biomass)'!W10*Model!$AY$2010*AVERAGE('Assumptions (Biomass)'!$AU$2:$AW$2)/10^9,0)</f>
        <v>0</v>
      </c>
      <c r="BA2219" s="105">
        <f>IF($AY$2010&gt;0,'Assumptions (Biomass)'!X10*Model!$AY$2010*AVERAGE('Assumptions (Biomass)'!$AU$2:$AW$2)/10^9,0)</f>
        <v>0</v>
      </c>
      <c r="BB2219" s="105">
        <f>IF($AY$2010&gt;0,'Assumptions (Biomass)'!Y10*Model!$AY$2010*AVERAGE('Assumptions (Biomass)'!$AU$2:$AW$2)/10^9,0)</f>
        <v>0</v>
      </c>
      <c r="BC2219" s="105">
        <f>IF($AY$2010&gt;0,'Assumptions (Biomass)'!Z10*Model!$AY$2010*AVERAGE('Assumptions (Biomass)'!$AU$2:$AW$2)/10^9,0)</f>
        <v>0</v>
      </c>
      <c r="BD2219" s="105">
        <f>IF($AY$2010&gt;0,'Assumptions (Biomass)'!AA10*Model!$AY$2010*AVERAGE('Assumptions (Biomass)'!$AU$2:$AW$2)/10^9,0)</f>
        <v>0</v>
      </c>
      <c r="BE2219" s="105">
        <f>IF($AY$2010&gt;0,'Assumptions (Biomass)'!AB10*Model!$AY$2010*AVERAGE('Assumptions (Biomass)'!$AU$2:$AW$2)/10^9,0)</f>
        <v>0</v>
      </c>
      <c r="BF2219" s="105">
        <f>IF($AY$2010&gt;0,'Assumptions (Biomass)'!AC10*Model!$AY$2010*AVERAGE('Assumptions (Biomass)'!$AU$2:$AW$2)/10^9,0)</f>
        <v>0</v>
      </c>
      <c r="BG2219" s="105">
        <f>IF($AY$2010&gt;0,'Assumptions (Biomass)'!AD10*Model!$AY$2010*AVERAGE('Assumptions (Biomass)'!$AU$2:$AW$2)/10^9,0)</f>
        <v>0</v>
      </c>
      <c r="BH2219" s="105">
        <f>IF($AY$2010&gt;0,'Assumptions (Biomass)'!AE10*Model!$AY$2010*AVERAGE('Assumptions (Biomass)'!$AU$2:$AW$2)/10^9,0)</f>
        <v>0</v>
      </c>
      <c r="BI2219" s="105">
        <f>IF($AY$2010&gt;0,'Assumptions (Biomass)'!AF10*Model!$AY$2010*AVERAGE('Assumptions (Biomass)'!$AU$2:$AW$2)/10^9,0)</f>
        <v>0</v>
      </c>
      <c r="BJ2219" s="105">
        <f>IF($AY$2010&gt;0,'Assumptions (Biomass)'!AG10*Model!$AY$2010*AVERAGE('Assumptions (Biomass)'!$AU$2:$AW$2)/10^9,0)</f>
        <v>0</v>
      </c>
      <c r="BK2219" s="105">
        <f>IF($AY$2010&gt;0,'Assumptions (Biomass)'!AH10*Model!$AY$2010*AVERAGE('Assumptions (Biomass)'!$AU$2:$AW$2)/10^9,0)</f>
        <v>0</v>
      </c>
      <c r="BL2219" s="105">
        <f>IF($AY$2010&gt;0,'Assumptions (Biomass)'!AI10*Model!$AY$2010*AVERAGE('Assumptions (Biomass)'!$AU$2:$AW$2)/10^9,0)</f>
        <v>0</v>
      </c>
      <c r="BM2219" s="105">
        <f>IF($AY$2010&gt;0,'Assumptions (Biomass)'!AJ10*Model!$AY$2010*AVERAGE('Assumptions (Biomass)'!$AU$2:$AW$2)/10^9,0)</f>
        <v>0</v>
      </c>
      <c r="BN2219" s="105">
        <f>IF($AY$2010&gt;0,'Assumptions (Biomass)'!AK10*Model!$AY$2010*AVERAGE('Assumptions (Biomass)'!$AU$2:$AW$2)/10^9,0)</f>
        <v>0</v>
      </c>
      <c r="BO2219" s="105"/>
      <c r="BP2219" s="105"/>
    </row>
    <row r="2220" spans="1:68" ht="15.75" hidden="1" customHeight="1" outlineLevel="1">
      <c r="A2220" s="441"/>
      <c r="B2220" s="99"/>
      <c r="C2220" s="99"/>
      <c r="D2220" s="99"/>
      <c r="E2220" s="99"/>
      <c r="F2220" s="99"/>
      <c r="G2220" s="99"/>
      <c r="H2220" s="99"/>
      <c r="I2220" s="99"/>
      <c r="J2220" s="99"/>
      <c r="K2220" s="99"/>
      <c r="L2220" s="99"/>
      <c r="M2220" s="99"/>
      <c r="N2220" s="99"/>
      <c r="O2220" s="99"/>
      <c r="P2220" s="99"/>
      <c r="Q2220" s="99"/>
      <c r="R2220" s="99"/>
      <c r="S2220" s="99"/>
      <c r="T2220" s="99"/>
      <c r="U2220" s="99"/>
      <c r="V2220" s="99"/>
      <c r="W2220" s="105"/>
      <c r="X2220" s="105"/>
      <c r="Y2220" s="105"/>
      <c r="Z2220" s="105"/>
      <c r="AA2220" s="105"/>
      <c r="AB2220" s="105"/>
      <c r="AC2220" s="105"/>
      <c r="AD2220" s="105"/>
      <c r="AE2220" s="105"/>
      <c r="AF2220" s="105"/>
      <c r="AG2220" s="105"/>
      <c r="AH2220" s="105"/>
      <c r="AI2220" s="105"/>
      <c r="AJ2220" s="171"/>
      <c r="AK2220" s="105"/>
      <c r="AL2220" s="91"/>
      <c r="AM2220" s="91"/>
      <c r="AN2220" s="91"/>
      <c r="AO2220" s="105"/>
      <c r="AP2220" s="105"/>
      <c r="AQ2220" s="105"/>
      <c r="AR2220" s="105"/>
      <c r="AS2220" s="105"/>
      <c r="AT2220" s="105"/>
      <c r="AU2220" s="105"/>
      <c r="AV2220" s="105"/>
      <c r="AW2220" s="105"/>
      <c r="AX2220" s="105"/>
      <c r="AY2220" s="105"/>
      <c r="AZ2220" s="105">
        <f>IF($AZ$2010&gt;0,'Assumptions (Biomass)'!V10*Model!$AZ$2010*AVERAGE('Assumptions (Biomass)'!$AV$2:$AX$2)/10^9,0)</f>
        <v>0</v>
      </c>
      <c r="BA2220" s="105">
        <f>IF($AZ$2010&gt;0,'Assumptions (Biomass)'!W10*Model!$AZ$2010*AVERAGE('Assumptions (Biomass)'!$AV$2:$AX$2)/10^9,0)</f>
        <v>0</v>
      </c>
      <c r="BB2220" s="105">
        <f>IF($AZ$2010&gt;0,'Assumptions (Biomass)'!X10*Model!$AZ$2010*AVERAGE('Assumptions (Biomass)'!$AV$2:$AX$2)/10^9,0)</f>
        <v>0</v>
      </c>
      <c r="BC2220" s="105">
        <f>IF($AZ$2010&gt;0,'Assumptions (Biomass)'!Y10*Model!$AZ$2010*AVERAGE('Assumptions (Biomass)'!$AV$2:$AX$2)/10^9,0)</f>
        <v>0</v>
      </c>
      <c r="BD2220" s="105">
        <f>IF($AZ$2010&gt;0,'Assumptions (Biomass)'!Z10*Model!$AZ$2010*AVERAGE('Assumptions (Biomass)'!$AV$2:$AX$2)/10^9,0)</f>
        <v>0</v>
      </c>
      <c r="BE2220" s="105">
        <f>IF($AZ$2010&gt;0,'Assumptions (Biomass)'!AA10*Model!$AZ$2010*AVERAGE('Assumptions (Biomass)'!$AV$2:$AX$2)/10^9,0)</f>
        <v>0</v>
      </c>
      <c r="BF2220" s="105">
        <f>IF($AZ$2010&gt;0,'Assumptions (Biomass)'!AB10*Model!$AZ$2010*AVERAGE('Assumptions (Biomass)'!$AV$2:$AX$2)/10^9,0)</f>
        <v>0</v>
      </c>
      <c r="BG2220" s="105">
        <f>IF($AZ$2010&gt;0,'Assumptions (Biomass)'!AC10*Model!$AZ$2010*AVERAGE('Assumptions (Biomass)'!$AV$2:$AX$2)/10^9,0)</f>
        <v>0</v>
      </c>
      <c r="BH2220" s="105">
        <f>IF($AZ$2010&gt;0,'Assumptions (Biomass)'!AD10*Model!$AZ$2010*AVERAGE('Assumptions (Biomass)'!$AV$2:$AX$2)/10^9,0)</f>
        <v>0</v>
      </c>
      <c r="BI2220" s="105">
        <f>IF($AZ$2010&gt;0,'Assumptions (Biomass)'!AE10*Model!$AZ$2010*AVERAGE('Assumptions (Biomass)'!$AV$2:$AX$2)/10^9,0)</f>
        <v>0</v>
      </c>
      <c r="BJ2220" s="105">
        <f>IF($AZ$2010&gt;0,'Assumptions (Biomass)'!AF10*Model!$AZ$2010*AVERAGE('Assumptions (Biomass)'!$AV$2:$AX$2)/10^9,0)</f>
        <v>0</v>
      </c>
      <c r="BK2220" s="105">
        <f>IF($AZ$2010&gt;0,'Assumptions (Biomass)'!AG10*Model!$AZ$2010*AVERAGE('Assumptions (Biomass)'!$AV$2:$AX$2)/10^9,0)</f>
        <v>0</v>
      </c>
      <c r="BL2220" s="105">
        <f>IF($AZ$2010&gt;0,'Assumptions (Biomass)'!AH10*Model!$AZ$2010*AVERAGE('Assumptions (Biomass)'!$AV$2:$AX$2)/10^9,0)</f>
        <v>0</v>
      </c>
      <c r="BM2220" s="105">
        <f>IF($AZ$2010&gt;0,'Assumptions (Biomass)'!AI10*Model!$AZ$2010*AVERAGE('Assumptions (Biomass)'!$AV$2:$AX$2)/10^9,0)</f>
        <v>0</v>
      </c>
      <c r="BN2220" s="105">
        <f>IF($AZ$2010&gt;0,'Assumptions (Biomass)'!AJ10*Model!$AZ$2010*AVERAGE('Assumptions (Biomass)'!$AV$2:$AX$2)/10^9,0)</f>
        <v>0</v>
      </c>
      <c r="BO2220" s="105">
        <f>IF($AZ$2010&gt;0,'Assumptions (Biomass)'!AK10*Model!$AZ$2010*AVERAGE('Assumptions (Biomass)'!$AV$2:$AX$2)/10^9,0)</f>
        <v>0</v>
      </c>
      <c r="BP2220" s="105"/>
    </row>
    <row r="2221" spans="1:68" ht="15.75" hidden="1" customHeight="1" outlineLevel="1">
      <c r="A2221" s="441"/>
      <c r="B2221" s="99"/>
      <c r="C2221" s="99"/>
      <c r="D2221" s="99"/>
      <c r="E2221" s="99"/>
      <c r="F2221" s="99"/>
      <c r="G2221" s="99"/>
      <c r="H2221" s="99"/>
      <c r="I2221" s="99"/>
      <c r="J2221" s="99"/>
      <c r="K2221" s="99"/>
      <c r="L2221" s="99"/>
      <c r="M2221" s="99"/>
      <c r="N2221" s="99"/>
      <c r="O2221" s="99"/>
      <c r="P2221" s="99"/>
      <c r="Q2221" s="99"/>
      <c r="R2221" s="99"/>
      <c r="S2221" s="99"/>
      <c r="T2221" s="99"/>
      <c r="U2221" s="99"/>
      <c r="V2221" s="99"/>
      <c r="W2221" s="105"/>
      <c r="X2221" s="105"/>
      <c r="Y2221" s="105"/>
      <c r="Z2221" s="105"/>
      <c r="AA2221" s="105"/>
      <c r="AB2221" s="105"/>
      <c r="AC2221" s="105"/>
      <c r="AD2221" s="105"/>
      <c r="AE2221" s="105"/>
      <c r="AF2221" s="105"/>
      <c r="AG2221" s="105"/>
      <c r="AH2221" s="105"/>
      <c r="AI2221" s="105"/>
      <c r="AJ2221" s="171"/>
      <c r="AK2221" s="105"/>
      <c r="AL2221" s="91"/>
      <c r="AM2221" s="91"/>
      <c r="AN2221" s="91"/>
      <c r="AO2221" s="105"/>
      <c r="AP2221" s="105"/>
      <c r="AQ2221" s="105"/>
      <c r="AR2221" s="105"/>
      <c r="AS2221" s="105"/>
      <c r="AT2221" s="105"/>
      <c r="AU2221" s="105"/>
      <c r="AV2221" s="105"/>
      <c r="AW2221" s="105"/>
      <c r="AX2221" s="105"/>
      <c r="AY2221" s="105"/>
      <c r="AZ2221" s="105"/>
      <c r="BA2221" s="105">
        <f>IF($BA$2010&gt;0,'Assumptions (Biomass)'!V10*Model!$BA$2010*AVERAGE('Assumptions (Biomass)'!$AW$2:$AY$2)/10^9,0)</f>
        <v>0</v>
      </c>
      <c r="BB2221" s="105">
        <f>IF($BA$2010&gt;0,'Assumptions (Biomass)'!W10*Model!$BA$2010*AVERAGE('Assumptions (Biomass)'!$AW$2:$AY$2)/10^9,0)</f>
        <v>0</v>
      </c>
      <c r="BC2221" s="105">
        <f>IF($BA$2010&gt;0,'Assumptions (Biomass)'!X10*Model!$BA$2010*AVERAGE('Assumptions (Biomass)'!$AW$2:$AY$2)/10^9,0)</f>
        <v>0</v>
      </c>
      <c r="BD2221" s="105">
        <f>IF($BA$2010&gt;0,'Assumptions (Biomass)'!Y10*Model!$BA$2010*AVERAGE('Assumptions (Biomass)'!$AW$2:$AY$2)/10^9,0)</f>
        <v>0</v>
      </c>
      <c r="BE2221" s="105">
        <f>IF($BA$2010&gt;0,'Assumptions (Biomass)'!Z10*Model!$BA$2010*AVERAGE('Assumptions (Biomass)'!$AW$2:$AY$2)/10^9,0)</f>
        <v>0</v>
      </c>
      <c r="BF2221" s="105">
        <f>IF($BA$2010&gt;0,'Assumptions (Biomass)'!AA10*Model!$BA$2010*AVERAGE('Assumptions (Biomass)'!$AW$2:$AY$2)/10^9,0)</f>
        <v>0</v>
      </c>
      <c r="BG2221" s="105">
        <f>IF($BA$2010&gt;0,'Assumptions (Biomass)'!AB10*Model!$BA$2010*AVERAGE('Assumptions (Biomass)'!$AW$2:$AY$2)/10^9,0)</f>
        <v>0</v>
      </c>
      <c r="BH2221" s="105">
        <f>IF($BA$2010&gt;0,'Assumptions (Biomass)'!AC10*Model!$BA$2010*AVERAGE('Assumptions (Biomass)'!$AW$2:$AY$2)/10^9,0)</f>
        <v>0</v>
      </c>
      <c r="BI2221" s="105">
        <f>IF($BA$2010&gt;0,'Assumptions (Biomass)'!AD10*Model!$BA$2010*AVERAGE('Assumptions (Biomass)'!$AW$2:$AY$2)/10^9,0)</f>
        <v>0</v>
      </c>
      <c r="BJ2221" s="105">
        <f>IF($BA$2010&gt;0,'Assumptions (Biomass)'!AE10*Model!$BA$2010*AVERAGE('Assumptions (Biomass)'!$AW$2:$AY$2)/10^9,0)</f>
        <v>0</v>
      </c>
      <c r="BK2221" s="105">
        <f>IF($BA$2010&gt;0,'Assumptions (Biomass)'!AF10*Model!$BA$2010*AVERAGE('Assumptions (Biomass)'!$AW$2:$AY$2)/10^9,0)</f>
        <v>0</v>
      </c>
      <c r="BL2221" s="105">
        <f>IF($BA$2010&gt;0,'Assumptions (Biomass)'!AG10*Model!$BA$2010*AVERAGE('Assumptions (Biomass)'!$AW$2:$AY$2)/10^9,0)</f>
        <v>0</v>
      </c>
      <c r="BM2221" s="105">
        <f>IF($BA$2010&gt;0,'Assumptions (Biomass)'!AH10*Model!$BA$2010*AVERAGE('Assumptions (Biomass)'!$AW$2:$AY$2)/10^9,0)</f>
        <v>0</v>
      </c>
      <c r="BN2221" s="105">
        <f>IF($BA$2010&gt;0,'Assumptions (Biomass)'!AI10*Model!$BA$2010*AVERAGE('Assumptions (Biomass)'!$AW$2:$AY$2)/10^9,0)</f>
        <v>0</v>
      </c>
      <c r="BO2221" s="105">
        <f>IF($BA$2010&gt;0,'Assumptions (Biomass)'!AJ10*Model!$BA$2010*AVERAGE('Assumptions (Biomass)'!$AW$2:$AY$2)/10^9,0)</f>
        <v>0</v>
      </c>
      <c r="BP2221" s="105">
        <f>IF($BA$2010&gt;0,'Assumptions (Biomass)'!AK10*Model!$BA$2010*AVERAGE('Assumptions (Biomass)'!$AW$2:$AY$2)/10^9,0)</f>
        <v>0</v>
      </c>
    </row>
    <row r="2222" spans="1:68" ht="15.75" customHeight="1" collapsed="1">
      <c r="A2222" s="441" t="s">
        <v>62</v>
      </c>
      <c r="B2222" s="99" t="s">
        <v>201</v>
      </c>
      <c r="C2222" s="444">
        <f>IF(Model!C2008+Model!C2009-C2007-C2170+C2118&gt;0,(1-'Assumptions (Biomass)'!B22)*(Model!C2008+Model!C2009-C2007-C2170+C2118)+Model!C2170-C2065+Model!C2066,Model!C2008+Model!C2009-C2007+C2118-C2065+Model!C2066)</f>
        <v>1.118508973420399</v>
      </c>
      <c r="D2222" s="444">
        <f>IF(Model!D2008+Model!D2009-D2007-D2170+D2118&gt;0,(1-'Assumptions (Biomass)'!C22)*(Model!D2008+Model!D2009-D2007-D2170+D2118)+Model!D2170-D2065+Model!D2066,Model!D2008+Model!D2009-D2007+D2118-D2065+Model!D2066)</f>
        <v>1.129823147326771</v>
      </c>
      <c r="E2222" s="444">
        <f>IF(Model!E2008+Model!E2009-E2007-E2170+E2118&gt;0,(1-'Assumptions (Biomass)'!D22)*(Model!E2008+Model!E2009-E2007-E2170+E2118)+Model!E2170-E2065+Model!E2066,Model!E2008+Model!E2009-E2007+E2118-E2065+Model!E2066)</f>
        <v>1.1082714020872271</v>
      </c>
      <c r="F2222" s="444">
        <f>IF(Model!F2008+Model!F2009-F2007-F2170+F2118&gt;0,(1-'Assumptions (Biomass)'!E22)*(Model!F2008+Model!F2009-F2007-F2170+F2118)+Model!F2170-F2065+Model!F2066,Model!F2008+Model!F2009-F2007+F2118-F2065+Model!F2066)</f>
        <v>1.3597331675330708</v>
      </c>
      <c r="G2222" s="444">
        <f>IF(Model!G2008+Model!G2009-G2007-G2170+G2118&gt;0,(1-'Assumptions (Biomass)'!F22)*(Model!G2008+Model!G2009-G2007-G2170+G2118)+Model!G2170-G2065+Model!G2066,Model!G2008+Model!G2009-G2007+G2118-G2065+Model!G2066)</f>
        <v>1.4340375350034771</v>
      </c>
      <c r="H2222" s="444">
        <f>IF(Model!H2008+Model!H2009-H2007-H2170+H2118&gt;0,(1-'Assumptions (Biomass)'!G22)*(Model!H2008+Model!H2009-H2007-H2170+H2118)+Model!H2170-H2065+Model!H2066,Model!H2008+Model!H2009-H2007+H2118-H2065+Model!H2066)</f>
        <v>1.8370969499206813</v>
      </c>
      <c r="I2222" s="444">
        <f>IF(Model!I2008+Model!I2009-I2007-I2170+I2118&gt;0,(1-'Assumptions (Biomass)'!H22)*(Model!I2008+Model!I2009-I2007-I2170+I2118)+Model!I2170-I2065+Model!I2066,Model!I2008+Model!I2009-I2007+I2118-I2065+Model!I2066)</f>
        <v>1.5499794987362174</v>
      </c>
      <c r="J2222" s="444">
        <f>IF(Model!J2008+Model!J2009-J2007-J2170+J2118&gt;0,(1-'Assumptions (Biomass)'!I22)*(Model!J2008+Model!J2009-J2007-J2170+J2118)+Model!J2170-J2065+Model!J2066,Model!J2008+Model!J2009-J2007+J2118-J2065+Model!J2066)</f>
        <v>1.5723491470748516</v>
      </c>
      <c r="K2222" s="444">
        <f>IF(Model!K2008+Model!K2009-K2007-K2170+K2118&gt;0,(1-'Assumptions (Biomass)'!J22)*(Model!K2008+Model!K2009-K2007-K2170+K2118)+Model!K2170-K2065+Model!K2066,Model!K2008+Model!K2009-K2007+K2118-K2065+Model!K2066)</f>
        <v>1.775931582332483</v>
      </c>
      <c r="L2222" s="444">
        <f>IF(Model!L2008+Model!L2009-L2007-L2170+L2118&gt;0,(1-'Assumptions (Biomass)'!K22)*(Model!L2008+Model!L2009-L2007-L2170+L2118)+Model!L2170-L2065+Model!L2066,Model!L2008+Model!L2009-L2007+L2118-L2065+Model!L2066)</f>
        <v>0.92924601488722414</v>
      </c>
      <c r="M2222" s="444">
        <f>IF(Model!M2008+Model!M2009-M2007-M2170+M2118&gt;0,(1-'Assumptions (Biomass)'!L22)*(Model!M2008+Model!M2009-M2007-M2170+M2118)+Model!M2170-M2065+Model!M2066,Model!M2008+Model!M2009-M2007+M2118-M2065+Model!M2066)</f>
        <v>0.79541985734942633</v>
      </c>
      <c r="N2222" s="444">
        <f>IF(Model!N2008+Model!N2009-N2007-N2170+N2118&gt;0,(1-'Assumptions (Biomass)'!M22)*(Model!N2008+Model!N2009-N2007-N2170+N2118)+Model!N2170-N2065+Model!N2066,Model!N2008+Model!N2009-N2007+N2118-N2065+Model!N2066)</f>
        <v>0.71393995233260443</v>
      </c>
      <c r="O2222" s="444">
        <f>IF(Model!O2008+Model!O2009-O2007-O2170+O2118&gt;0,(1-'Assumptions (Biomass)'!N22)*(Model!O2008+Model!O2009-O2007-O2170+O2118)+Model!O2170-O2065+Model!O2066,Model!O2008+Model!O2009-O2007+O2118-O2065+Model!O2066)</f>
        <v>0.45633321459659437</v>
      </c>
      <c r="P2222" s="444">
        <f>IF(Model!P2008+Model!P2009-P2007-P2170+P2118&gt;0,(1-'Assumptions (Biomass)'!O22)*(Model!P2008+Model!P2009-P2007-P2170+P2118)+Model!P2170-P2065+Model!P2066,Model!P2008+Model!P2009-P2007+P2118-P2065+Model!P2066)</f>
        <v>0.84510259365529217</v>
      </c>
      <c r="Q2222" s="444">
        <f>IF(Model!Q2008+Model!Q2009-Q2007-Q2170+Q2118&gt;0,(1-'Assumptions (Biomass)'!P22)*(Model!Q2008+Model!Q2009-Q2007-Q2170+Q2118)+Model!Q2170-Q2065+Model!Q2066,Model!Q2008+Model!Q2009-Q2007+Q2118-Q2065+Model!Q2066)</f>
        <v>1.0703475901532358</v>
      </c>
      <c r="R2222" s="444">
        <f>IF(Model!R2008+Model!R2009-R2007-R2170+R2118&gt;0,(1-'Assumptions (Biomass)'!Q22)*(Model!R2008+Model!R2009-R2007-R2170+R2118)+Model!R2170-R2065+Model!R2066,Model!R2008+Model!R2009-R2007+R2118-R2065+Model!R2066)</f>
        <v>0.68257365515811008</v>
      </c>
      <c r="S2222" s="444">
        <f>IF(Model!S2008+Model!S2009-S2007-S2170+S2118&gt;0,(1-'Assumptions (Biomass)'!R22)*(Model!S2008+Model!S2009-S2007-S2170+S2118)+Model!S2170-S2065+Model!S2066,Model!S2008+Model!S2009-S2007+S2118-S2065+Model!S2066)</f>
        <v>0.56113891820468575</v>
      </c>
      <c r="T2222" s="444">
        <f>IF(Model!T2008+Model!T2009-T2007-T2170+T2118&gt;0,(1-'Assumptions (Biomass)'!S22)*(Model!T2008+Model!T2009-T2007-T2170+T2118)+Model!T2170-T2065+Model!T2066,Model!T2008+Model!T2009-T2007+T2118-T2065+Model!T2066)</f>
        <v>0.25782087232960893</v>
      </c>
      <c r="U2222" s="444">
        <f>IF(Model!U2008+Model!U2009-U2007-U2170+U2118&gt;0,(1-'Assumptions (Biomass)'!T22)*(Model!U2008+Model!U2009-U2007-U2170+U2118)+Model!U2170-U2065+Model!U2066,Model!U2008+Model!U2009-U2007+U2118-U2065+Model!U2066)</f>
        <v>0.28204538151799319</v>
      </c>
      <c r="V2222" s="444">
        <f>IF(Model!V2008+Model!V2009-V2007-V2170+V2118&gt;0,(1-'Assumptions (Biomass)'!U22)*(Model!V2008+Model!V2009-V2007-V2170+V2118)+Model!V2170-V2065+Model!V2066,Model!V2008+Model!V2009-V2007+V2118-V2065+Model!V2066)</f>
        <v>0.34372226495846886</v>
      </c>
      <c r="W2222" s="444">
        <f>IF(Model!W2008+Model!W2009-W2007-W2170+W2118&gt;0,(1-'Assumptions (Biomass)'!V22)*(Model!W2008+Model!W2009-W2007-W2170+W2118)+Model!W2170-W2065+Model!W2066,Model!W2008+Model!W2009-W2007+W2118-W2065+Model!W2066)</f>
        <v>0.46187434370493369</v>
      </c>
      <c r="X2222" s="444">
        <f>IF(Model!X2008+Model!X2009-X2007-X2170+X2118&gt;0,(1-'Assumptions (Biomass)'!W22)*(Model!X2008+Model!X2009-X2007-X2170+X2118)+Model!X2170-X2065+Model!X2066,Model!X2008+Model!X2009-X2007+X2118-X2065+Model!X2066)</f>
        <v>0.44495244826537417</v>
      </c>
      <c r="Y2222" s="444">
        <f>IF(Model!Y2008+Model!Y2009-Y2007-Y2170+Y2118&gt;0,(1-'Assumptions (Biomass)'!X22)*(Model!Y2008+Model!Y2009-Y2007-Y2170+Y2118)+Model!Y2170-Y2065+Model!Y2066,Model!Y2008+Model!Y2009-Y2007+Y2118-Y2065+Model!Y2066)</f>
        <v>0.42801940397604232</v>
      </c>
      <c r="Z2222" s="444">
        <f>IF(Model!Z2008+Model!Z2009-Z2007-Z2170+Z2118&gt;0,(1-'Assumptions (Biomass)'!Y22)*(Model!Z2008+Model!Z2009-Z2007-Z2170+Z2118)+Model!Z2170-Z2065+Model!Z2066,Model!Z2008+Model!Z2009-Z2007+Z2118-Z2065+Model!Z2066)</f>
        <v>0.42382493919756625</v>
      </c>
      <c r="AA2222" s="444">
        <f>IF(Model!AA2008+Model!AA2009-AA2007-AA2170+AA2118&gt;0,(1-'Assumptions (Biomass)'!Z22)*(Model!AA2008+Model!AA2009-AA2007-AA2170+AA2118)+Model!AA2170-AA2065+Model!AA2066,Model!AA2008+Model!AA2009-AA2007+AA2118-AA2065+Model!AA2066)</f>
        <v>0.42434712683436676</v>
      </c>
      <c r="AB2222" s="444">
        <f>IF(Model!AB2008+Model!AB2009-AB2007-AB2170+AB2118&gt;0,(1-'Assumptions (Biomass)'!AA22)*(Model!AB2008+Model!AB2009-AB2007-AB2170+AB2118)+Model!AB2170-AB2065+Model!AB2066,Model!AB2008+Model!AB2009-AB2007+AB2118-AB2065+Model!AB2066)</f>
        <v>0.43152745279447807</v>
      </c>
      <c r="AC2222" s="444">
        <f>IF(Model!AC2008+Model!AC2009-AC2007-AC2170+AC2118&gt;0,(1-'Assumptions (Biomass)'!AB22)*(Model!AC2008+Model!AC2009-AC2007-AC2170+AC2118)+Model!AC2170-AC2065+Model!AC2066,Model!AC2008+Model!AC2009-AC2007+AC2118-AC2065+Model!AC2066)</f>
        <v>0.43151519637472763</v>
      </c>
      <c r="AD2222" s="444">
        <f>IF(Model!AD2008+Model!AD2009-AD2007-AD2170+AD2118&gt;0,(1-'Assumptions (Biomass)'!AC22)*(Model!AD2008+Model!AD2009-AD2007-AD2170+AD2118)+Model!AD2170-AD2065+Model!AD2066,Model!AD2008+Model!AD2009-AD2007+AD2118-AD2065+Model!AD2066)</f>
        <v>0.44233545613098574</v>
      </c>
      <c r="AE2222" s="444">
        <f>IF(Model!AE2008+Model!AE2009-AE2007-AE2170+AE2118&gt;0,(1-'Assumptions (Biomass)'!AD22)*(Model!AE2008+Model!AE2009-AE2007-AE2170+AE2118)+Model!AE2170-AE2065+Model!AE2066,Model!AE2008+Model!AE2009-AE2007+AE2118-AE2065+Model!AE2066)</f>
        <v>0.51616131279401745</v>
      </c>
      <c r="AF2222" s="444">
        <f>IF(Model!AF2008+Model!AF2009-AF2007-AF2170+AF2118&gt;0,(1-'Assumptions (Biomass)'!AE22)*(Model!AF2008+Model!AF2009-AF2007-AF2170+AF2118)+Model!AF2170-AF2065+Model!AF2066,Model!AF2008+Model!AF2009-AF2007+AF2118-AF2065+Model!AF2066)</f>
        <v>0.50752689039483823</v>
      </c>
      <c r="AG2222" s="444">
        <f>IF(Model!AG2008+Model!AG2009-AG2007-AG2170+AG2118&gt;0,(1-'Assumptions (Biomass)'!AF22)*(Model!AG2008+Model!AG2009-AG2007-AG2170+AG2118)+Model!AG2170-AG2065+Model!AG2066,Model!AG2008+Model!AG2009-AG2007+AG2118-AG2065+Model!AG2066)</f>
        <v>0.50885070985438541</v>
      </c>
      <c r="AH2222" s="444">
        <f>IF(Model!AH2008+Model!AH2009-AH2007-AH2170+AH2118&gt;0,(1-'Assumptions (Biomass)'!AG22)*(Model!AH2008+Model!AH2009-AH2007-AH2170+AH2118)+Model!AH2170-AH2065+Model!AH2066,Model!AH2008+Model!AH2009-AH2007+AH2118-AH2065+Model!AH2066)</f>
        <v>0.49132477581760464</v>
      </c>
      <c r="AI2222" s="444">
        <f>IF(Model!AI2008+Model!AI2009-AI2007-AI2170+AI2118&gt;0,(1-'Assumptions (Biomass)'!AH22)*(Model!AI2008+Model!AI2009-AI2007-AI2170+AI2118)+Model!AI2170-AI2065+Model!AI2066,Model!AI2008+Model!AI2009-AI2007+AI2118-AI2065+Model!AI2066)</f>
        <v>0.48989225501508149</v>
      </c>
      <c r="AJ2222" s="444">
        <f>IF(Model!AJ2008+Model!AJ2009-AJ2007-AJ2170+AJ2118&gt;0,(1-'Assumptions (Biomass)'!AI22)*(Model!AJ2008+Model!AJ2009-AJ2007-AJ2170+AJ2118)+Model!AJ2170-AJ2065+Model!AJ2066,Model!AJ2008+Model!AJ2009-AJ2007+AJ2118-AJ2065+Model!AJ2066)</f>
        <v>0.46602126467995886</v>
      </c>
      <c r="AK2222" s="444">
        <f>IF(Model!AK2008+Model!AK2009-AK2007-AK2170+AK2118&gt;0,(1-'Assumptions (Biomass)'!AJ22)*(Model!AK2008+Model!AK2009-AK2007-AK2170+AK2118)+Model!AK2170-AK2065+Model!AK2066,Model!AK2008+Model!AK2009-AK2007+AK2118-AK2065+Model!AK2066)</f>
        <v>0.46987900441219865</v>
      </c>
      <c r="AL2222" s="444">
        <f>IF(Model!AL2008+Model!AL2009-AL2007-AL2170+AL2118&gt;0,(1-'Assumptions (Biomass)'!AK22)*(Model!AL2008+Model!AL2009-AL2007-AL2170+AL2118)+Model!AL2170-AL2065+Model!AL2066,Model!AL2008+Model!AL2009-AL2007+AL2118-AL2065+Model!AL2066)</f>
        <v>0.45230807231407749</v>
      </c>
      <c r="AM2222" s="444">
        <f>IF(Model!AM2008+Model!AM2009-AM2007-AM2170+AM2118&gt;0,(1-'Assumptions (Biomass)'!AL22)*(Model!AM2008+Model!AM2009-AM2007-AM2170+AM2118)+Model!AM2170-AM2065+Model!AM2066,Model!AM2008+Model!AM2009-AM2007+AM2118-AM2065+Model!AM2066)</f>
        <v>0.43070852865002751</v>
      </c>
      <c r="AN2222" s="444">
        <f>IF(Model!AN2008+Model!AN2009-AN2007-AN2170+AN2118&gt;0,(1-'Assumptions (Biomass)'!AM22)*(Model!AN2008+Model!AN2009-AN2007-AN2170+AN2118)+Model!AN2170-AN2065+Model!AN2066,Model!AN2008+Model!AN2009-AN2007+AN2118-AN2065+Model!AN2066)</f>
        <v>0.40815717258693618</v>
      </c>
      <c r="AO2222" s="444">
        <f>IF(Model!AO2008+Model!AO2009-AO2007-AO2170+AO2118&gt;0,(1-'Assumptions (Biomass)'!AN22)*(Model!AO2008+Model!AO2009-AO2007-AO2170+AO2118)+Model!AO2170-AO2065+Model!AO2066,Model!AO2008+Model!AO2009-AO2007+AO2118-AO2065+Model!AO2066)</f>
        <v>0.38684880865322474</v>
      </c>
      <c r="AP2222" s="444">
        <f>IF(Model!AP2008+Model!AP2009-AP2007-AP2170+AP2118&gt;0,(1-'Assumptions (Biomass)'!AO22)*(Model!AP2008+Model!AP2009-AP2007-AP2170+AP2118)+Model!AP2170-AP2065+Model!AP2066,Model!AP2008+Model!AP2009-AP2007+AP2118-AP2065+Model!AP2066)</f>
        <v>0.36400884159341035</v>
      </c>
      <c r="AQ2222" s="444">
        <f>IF(Model!AQ2008+Model!AQ2009-AQ2007-AQ2170+AQ2118&gt;0,(1-'Assumptions (Biomass)'!AP22)*(Model!AQ2008+Model!AQ2009-AQ2007-AQ2170+AQ2118)+Model!AQ2170-AQ2065+Model!AQ2066,Model!AQ2008+Model!AQ2009-AQ2007+AQ2118-AQ2065+Model!AQ2066)</f>
        <v>0.33824216121100881</v>
      </c>
      <c r="AR2222" s="444">
        <f>IF(Model!AR2008+Model!AR2009-AR2007-AR2170+AR2118&gt;0,(1-'Assumptions (Biomass)'!AQ22)*(Model!AR2008+Model!AR2009-AR2007-AR2170+AR2118)+Model!AR2170-AR2065+Model!AR2066,Model!AR2008+Model!AR2009-AR2007+AR2118-AR2065+Model!AR2066)</f>
        <v>0.31057760074143453</v>
      </c>
      <c r="AS2222" s="444">
        <f>IF(Model!AS2008+Model!AS2009-AS2007-AS2170+AS2118&gt;0,(1-'Assumptions (Biomass)'!AR22)*(Model!AS2008+Model!AS2009-AS2007-AS2170+AS2118)+Model!AS2170-AS2065+Model!AS2066,Model!AS2008+Model!AS2009-AS2007+AS2118-AS2065+Model!AS2066)</f>
        <v>0.2813435350868938</v>
      </c>
      <c r="AT2222" s="444">
        <f>IF(Model!AT2008+Model!AT2009-AT2007-AT2170+AT2118&gt;0,(1-'Assumptions (Biomass)'!AS22)*(Model!AT2008+Model!AT2009-AT2007-AT2170+AT2118)+Model!AT2170-AT2065+Model!AT2066,Model!AT2008+Model!AT2009-AT2007+AT2118-AT2065+Model!AT2066)</f>
        <v>0.25129848049351472</v>
      </c>
      <c r="AU2222" s="444">
        <f>IF(Model!AU2008+Model!AU2009-AU2007-AU2170+AU2118&gt;0,(1-'Assumptions (Biomass)'!AT22)*(Model!AU2008+Model!AU2009-AU2007-AU2170+AU2118)+Model!AU2170-AU2065+Model!AU2066,Model!AU2008+Model!AU2009-AU2007+AU2118-AU2065+Model!AU2066)</f>
        <v>0.22031893876230435</v>
      </c>
      <c r="AV2222" s="444">
        <f>IF(Model!AV2008+Model!AV2009-AV2007-AV2170+AV2118&gt;0,(1-'Assumptions (Biomass)'!AU22)*(Model!AV2008+Model!AV2009-AV2007-AV2170+AV2118)+Model!AV2170-AV2065+Model!AV2066,Model!AV2008+Model!AV2009-AV2007+AV2118-AV2065+Model!AV2066)</f>
        <v>0.18783187649938735</v>
      </c>
      <c r="AW2222" s="444">
        <f>IF(Model!AW2008+Model!AW2009-AW2007-AW2170+AW2118&gt;0,(1-'Assumptions (Biomass)'!AV22)*(Model!AW2008+Model!AW2009-AW2007-AW2170+AW2118)+Model!AW2170-AW2065+Model!AW2066,Model!AW2008+Model!AW2009-AW2007+AW2118-AW2065+Model!AW2066)</f>
        <v>0.15301055305509698</v>
      </c>
      <c r="AX2222" s="444">
        <f>IF(Model!AX2008+Model!AX2009-AX2007-AX2170+AX2118&gt;0,(1-'Assumptions (Biomass)'!AW22)*(Model!AX2008+Model!AX2009-AX2007-AX2170+AX2118)+Model!AX2170-AX2065+Model!AX2066,Model!AX2008+Model!AX2009-AX2007+AX2118-AX2065+Model!AX2066)</f>
        <v>0.11769287390942332</v>
      </c>
      <c r="AY2222" s="444">
        <f>IF(Model!AY2008+Model!AY2009-AY2007-AY2170+AY2118&gt;0,(1-'Assumptions (Biomass)'!AX22)*(Model!AY2008+Model!AY2009-AY2007-AY2170+AY2118)+Model!AY2170-AY2065+Model!AY2066,Model!AY2008+Model!AY2009-AY2007+AY2118-AY2065+Model!AY2066)</f>
        <v>8.2904007790099793E-2</v>
      </c>
      <c r="AZ2222" s="444">
        <f>IF(Model!AZ2008+Model!AZ2009-AZ2007-AZ2170+AZ2118&gt;0,(1-'Assumptions (Biomass)'!AY22)*(Model!AZ2008+Model!AZ2009-AZ2007-AZ2170+AZ2118)+Model!AZ2170-AZ2065+Model!AZ2066,Model!AZ2008+Model!AZ2009-AZ2007+AZ2118-AZ2065+Model!AZ2066)</f>
        <v>4.2918092003884217E-2</v>
      </c>
      <c r="BA2222" s="444">
        <f>IF(Model!BA2008+Model!BA2009-BA2007-BA2170+BA2118&gt;0,(1-'Assumptions (Biomass)'!AZ22)*(Model!BA2008+Model!BA2009-BA2007-BA2170+BA2118)+Model!BA2170-BA2065+Model!BA2066,Model!BA2008+Model!BA2009-BA2007+BA2118-BA2065+Model!BA2066)</f>
        <v>-1.9714247131882766E-5</v>
      </c>
    </row>
    <row r="2223" spans="1:68" ht="15.75" customHeight="1">
      <c r="A2223" s="441" t="s">
        <v>64</v>
      </c>
      <c r="B2223" s="99" t="s">
        <v>201</v>
      </c>
      <c r="C2223" s="444">
        <f>IF(C2008+C2009-C2007-C2170+C2118&gt;0,'Assumptions (Biomass)'!B22*(C2008+C2009-C2007-C2170+C2118)-'Assumptions (Biomass)'!B23*Model!C2006/10^3,'Assumptions (Biomass)'!B23*Model!C2006/10^3)</f>
        <v>0.66435310664766456</v>
      </c>
      <c r="D2223" s="444">
        <f>IF(D2008+D2009-D2007-D2170+D2118&gt;0,'Assumptions (Biomass)'!C22*(D2008+D2009-D2007-D2170+D2118)-'Assumptions (Biomass)'!C23*Model!D2006/10^3,'Assumptions (Biomass)'!C23*Model!D2006/10^3)</f>
        <v>0.62861044077541772</v>
      </c>
      <c r="E2223" s="444">
        <f>IF(E2008+E2009-E2007-E2170+E2118&gt;0,'Assumptions (Biomass)'!D22*(E2008+E2009-E2007-E2170+E2118)-'Assumptions (Biomass)'!D23*Model!E2006/10^3,'Assumptions (Biomass)'!D23*Model!E2006/10^3)</f>
        <v>0.61143390584583723</v>
      </c>
      <c r="F2223" s="444">
        <f>IF(F2008+F2009-F2007-F2170+F2118&gt;0,'Assumptions (Biomass)'!E22*(F2008+F2009-F2007-F2170+F2118)-'Assumptions (Biomass)'!E23*Model!F2006/10^3,'Assumptions (Biomass)'!E23*Model!F2006/10^3)</f>
        <v>0.75530020406970155</v>
      </c>
      <c r="G2223" s="444">
        <f>IF(G2008+G2009-G2007-G2170+G2118&gt;0,'Assumptions (Biomass)'!F22*(G2008+G2009-G2007-G2170+G2118)-'Assumptions (Biomass)'!F23*Model!G2006/10^3,'Assumptions (Biomass)'!F23*Model!G2006/10^3)</f>
        <v>0.80194655307310614</v>
      </c>
      <c r="H2223" s="444">
        <f>IF(H2008+H2009-H2007-H2170+H2118&gt;0,'Assumptions (Biomass)'!G22*(H2008+H2009-H2007-H2170+H2118)-'Assumptions (Biomass)'!G23*Model!H2006/10^3,'Assumptions (Biomass)'!G23*Model!H2006/10^3)</f>
        <v>1.0423052002791644</v>
      </c>
      <c r="I2223" s="444">
        <f>IF(I2008+I2009-I2007-I2170+I2118&gt;0,'Assumptions (Biomass)'!H22*(I2008+I2009-I2007-I2170+I2118)-'Assumptions (Biomass)'!H23*Model!I2006/10^3,'Assumptions (Biomass)'!H23*Model!I2006/10^3)</f>
        <v>0.89274159253982721</v>
      </c>
      <c r="J2223" s="444">
        <f>IF(J2008+J2009-J2007-J2170+J2118&gt;0,'Assumptions (Biomass)'!I22*(J2008+J2009-J2007-J2170+J2118)-'Assumptions (Biomass)'!I23*Model!J2006/10^3,'Assumptions (Biomass)'!I23*Model!J2006/10^3)</f>
        <v>0.89288808561195487</v>
      </c>
      <c r="K2223" s="444">
        <f>IF(K2008+K2009-K2007-K2170+K2118&gt;0,'Assumptions (Biomass)'!J22*(K2008+K2009-K2007-K2170+K2118)-'Assumptions (Biomass)'!J23*Model!K2006/10^3,'Assumptions (Biomass)'!J23*Model!K2006/10^3)</f>
        <v>1.0009356295487395</v>
      </c>
      <c r="L2223" s="444">
        <f>IF(L2008+L2009-L2007-L2170+L2118&gt;0,'Assumptions (Biomass)'!K22*(L2008+L2009-L2007-L2170+L2118)-'Assumptions (Biomass)'!K23*Model!L2006/10^3,'Assumptions (Biomass)'!K23*Model!L2006/10^3)</f>
        <v>0.55233252760974727</v>
      </c>
      <c r="M2223" s="444">
        <f>IF(M2008+M2009-M2007-M2170+M2118&gt;0,'Assumptions (Biomass)'!L22*(M2008+M2009-M2007-M2170+M2118)-'Assumptions (Biomass)'!L23*Model!M2006/10^3,'Assumptions (Biomass)'!L23*Model!M2006/10^3)</f>
        <v>0.5923689473859528</v>
      </c>
      <c r="N2223" s="444">
        <f>IF(N2008+N2009-N2007-N2170+N2118&gt;0,'Assumptions (Biomass)'!M22*(N2008+N2009-N2007-N2170+N2118)-'Assumptions (Biomass)'!M23*Model!N2006/10^3,'Assumptions (Biomass)'!M23*Model!N2006/10^3)</f>
        <v>0.54611882807621737</v>
      </c>
      <c r="O2223" s="444">
        <f>IF(O2008+O2009-O2007-O2170+O2118&gt;0,'Assumptions (Biomass)'!N22*(O2008+O2009-O2007-O2170+O2118)-'Assumptions (Biomass)'!N23*Model!O2006/10^3,'Assumptions (Biomass)'!N23*Model!O2006/10^3)</f>
        <v>0.39020114988767035</v>
      </c>
      <c r="P2223" s="444">
        <f>IF(P2008+P2009-P2007-P2170+P2118&gt;0,'Assumptions (Biomass)'!O22*(P2008+P2009-P2007-P2170+P2118)-'Assumptions (Biomass)'!O23*Model!P2006/10^3,'Assumptions (Biomass)'!O23*Model!P2006/10^3)</f>
        <v>0.43727957123041694</v>
      </c>
      <c r="Q2223" s="444">
        <f>IF(Q2008+Q2009-Q2007-Q2170+Q2118&gt;0,'Assumptions (Biomass)'!P22*(Q2008+Q2009-Q2007-Q2170+Q2118)-'Assumptions (Biomass)'!P23*Model!Q2006/10^3,'Assumptions (Biomass)'!P23*Model!Q2006/10^3)</f>
        <v>0.52050689538929074</v>
      </c>
      <c r="R2223" s="444">
        <f>IF(R2008+R2009-R2007-R2170+R2118&gt;0,'Assumptions (Biomass)'!Q22*(R2008+R2009-R2007-R2170+R2118)-'Assumptions (Biomass)'!Q23*Model!R2006/10^3,'Assumptions (Biomass)'!Q23*Model!R2006/10^3)</f>
        <v>0.28944230562857887</v>
      </c>
      <c r="S2223" s="444">
        <f>IF(S2008+S2009-S2007-S2170+S2118&gt;0,'Assumptions (Biomass)'!R22*(S2008+S2009-S2007-S2170+S2118)-'Assumptions (Biomass)'!R23*Model!S2006/10^3,'Assumptions (Biomass)'!R23*Model!S2006/10^3)</f>
        <v>0.26785848633849713</v>
      </c>
      <c r="T2223" s="444">
        <f>IF(T2008+T2009-T2007-T2170+T2118&gt;0,'Assumptions (Biomass)'!S22*(T2008+T2009-T2007-T2170+T2118)-'Assumptions (Biomass)'!S23*Model!T2006/10^3,'Assumptions (Biomass)'!S23*Model!T2006/10^3)</f>
        <v>0.10360548811813879</v>
      </c>
      <c r="U2223" s="444">
        <f>IF(U2008+U2009-U2007-U2170+U2118&gt;0,'Assumptions (Biomass)'!T22*(U2008+U2009-U2007-U2170+U2118)-'Assumptions (Biomass)'!T23*Model!U2006/10^3,'Assumptions (Biomass)'!T23*Model!U2006/10^3)</f>
        <v>5.8226420475143044E-2</v>
      </c>
      <c r="V2223" s="444">
        <f>IF(V2008+V2009-V2007-V2170+V2118&gt;0,'Assumptions (Biomass)'!U22*(V2008+V2009-V2007-V2170+V2118)-'Assumptions (Biomass)'!U23*Model!V2006/10^3,'Assumptions (Biomass)'!U23*Model!V2006/10^3)</f>
        <v>5.7593905646231985E-2</v>
      </c>
      <c r="W2223" s="444">
        <f>IF(W2008+W2009-W2007-W2170+W2118&gt;0,'Assumptions (Biomass)'!V22*(W2008+W2009-W2007-W2170+W2118)-'Assumptions (Biomass)'!V23*Model!W2006/10^3,'Assumptions (Biomass)'!V23*Model!W2006/10^3)</f>
        <v>8.1032184233009161E-2</v>
      </c>
      <c r="X2223" s="444">
        <f>IF(X2008+X2009-X2007-X2170+X2118&gt;0,'Assumptions (Biomass)'!W22*(X2008+X2009-X2007-X2170+X2118)-'Assumptions (Biomass)'!W23*Model!X2006/10^3,'Assumptions (Biomass)'!W23*Model!X2006/10^3)</f>
        <v>7.8516200428581429E-2</v>
      </c>
      <c r="Y2223" s="444">
        <f>IF(Y2008+Y2009-Y2007-Y2170+Y2118&gt;0,'Assumptions (Biomass)'!X22*(Y2008+Y2009-Y2007-Y2170+Y2118)-'Assumptions (Biomass)'!X23*Model!Y2006/10^3,'Assumptions (Biomass)'!X23*Model!Y2006/10^3)</f>
        <v>8.0186384493631663E-2</v>
      </c>
      <c r="Z2223" s="444">
        <f>IF(Z2008+Z2009-Z2007-Z2170+Z2118&gt;0,'Assumptions (Biomass)'!Y22*(Z2008+Z2009-Z2007-Z2170+Z2118)-'Assumptions (Biomass)'!Y23*Model!Z2006/10^3,'Assumptions (Biomass)'!Y23*Model!Z2006/10^3)</f>
        <v>8.4289033538834171E-2</v>
      </c>
      <c r="AA2223" s="444">
        <f>IF(AA2008+AA2009-AA2007-AA2170+AA2118&gt;0,'Assumptions (Biomass)'!Z22*(AA2008+AA2009-AA2007-AA2170+AA2118)-'Assumptions (Biomass)'!Z23*Model!AA2006/10^3,'Assumptions (Biomass)'!Z23*Model!AA2006/10^3)</f>
        <v>8.9185209666437393E-2</v>
      </c>
      <c r="AB2223" s="444">
        <f>IF(AB2008+AB2009-AB2007-AB2170+AB2118&gt;0,'Assumptions (Biomass)'!AA22*(AB2008+AB2009-AB2007-AB2170+AB2118)-'Assumptions (Biomass)'!AA23*Model!AB2006/10^3,'Assumptions (Biomass)'!AA23*Model!AB2006/10^3)</f>
        <v>9.6025853574289832E-2</v>
      </c>
      <c r="AC2223" s="444">
        <f>IF(AC2008+AC2009-AC2007-AC2170+AC2118&gt;0,'Assumptions (Biomass)'!AB22*(AC2008+AC2009-AC2007-AC2170+AC2118)-'Assumptions (Biomass)'!AB23*Model!AC2006/10^3,'Assumptions (Biomass)'!AB23*Model!AC2006/10^3)</f>
        <v>9.8072415184289732E-2</v>
      </c>
      <c r="AD2223" s="444">
        <f>IF(AD2008+AD2009-AD2007-AD2170+AD2118&gt;0,'Assumptions (Biomass)'!AC22*(AD2008+AD2009-AD2007-AD2170+AD2118)-'Assumptions (Biomass)'!AC23*Model!AD2006/10^3,'Assumptions (Biomass)'!AC23*Model!AD2006/10^3)</f>
        <v>0.10291682926573381</v>
      </c>
      <c r="AE2223" s="444">
        <f>IF(AE2008+AE2009-AE2007-AE2170+AE2118&gt;0,'Assumptions (Biomass)'!AD22*(AE2008+AE2009-AE2007-AE2170+AE2118)-'Assumptions (Biomass)'!AD23*Model!AE2006/10^3,'Assumptions (Biomass)'!AD23*Model!AE2006/10^3)</f>
        <v>0.11585351503664446</v>
      </c>
      <c r="AF2223" s="444">
        <f>IF(AF2008+AF2009-AF2007-AF2170+AF2118&gt;0,'Assumptions (Biomass)'!AE22*(AF2008+AF2009-AF2007-AF2170+AF2118)-'Assumptions (Biomass)'!AE23*Model!AF2006/10^3,'Assumptions (Biomass)'!AE23*Model!AF2006/10^3)</f>
        <v>0.12678586198674707</v>
      </c>
      <c r="AG2223" s="444">
        <f>IF(AG2008+AG2009-AG2007-AG2170+AG2118&gt;0,'Assumptions (Biomass)'!AF22*(AG2008+AG2009-AG2007-AG2170+AG2118)-'Assumptions (Biomass)'!AF23*Model!AG2006/10^3,'Assumptions (Biomass)'!AF23*Model!AG2006/10^3)</f>
        <v>0.1282426652604533</v>
      </c>
      <c r="AH2223" s="444">
        <f>IF(AH2008+AH2009-AH2007-AH2170+AH2118&gt;0,'Assumptions (Biomass)'!AG22*(AH2008+AH2009-AH2007-AH2170+AH2118)-'Assumptions (Biomass)'!AG23*Model!AH2006/10^3,'Assumptions (Biomass)'!AG23*Model!AH2006/10^3)</f>
        <v>0.12744949017784066</v>
      </c>
      <c r="AI2223" s="444">
        <f>IF(AI2008+AI2009-AI2007-AI2170+AI2118&gt;0,'Assumptions (Biomass)'!AH22*(AI2008+AI2009-AI2007-AI2170+AI2118)-'Assumptions (Biomass)'!AH23*Model!AI2006/10^3,'Assumptions (Biomass)'!AH23*Model!AI2006/10^3)</f>
        <v>0.12512449536684486</v>
      </c>
      <c r="AJ2223" s="444">
        <f>IF(AJ2008+AJ2009-AJ2007-AJ2170+AJ2118&gt;0,'Assumptions (Biomass)'!AI22*(AJ2008+AJ2009-AJ2007-AJ2170+AJ2118)-'Assumptions (Biomass)'!AI23*Model!AJ2006/10^3,'Assumptions (Biomass)'!AI23*Model!AJ2006/10^3)</f>
        <v>0.12229418154885882</v>
      </c>
      <c r="AK2223" s="444">
        <f>IF(AK2008+AK2009-AK2007-AK2170+AK2118&gt;0,'Assumptions (Biomass)'!AJ22*(AK2008+AK2009-AK2007-AK2170+AK2118)-'Assumptions (Biomass)'!AJ23*Model!AK2006/10^3,'Assumptions (Biomass)'!AJ23*Model!AK2006/10^3)</f>
        <v>0.12016769488857806</v>
      </c>
      <c r="AL2223" s="444">
        <f>IF(AL2008+AL2009-AL2007-AL2170+AL2118&gt;0,'Assumptions (Biomass)'!AK22*(AL2008+AL2009-AL2007-AL2170+AL2118)-'Assumptions (Biomass)'!AK23*Model!AL2006/10^3,'Assumptions (Biomass)'!AK23*Model!AL2006/10^3)</f>
        <v>0.11875865348571982</v>
      </c>
      <c r="AM2223" s="444">
        <f>IF(AM2008+AM2009-AM2007-AM2170+AM2118&gt;0,'Assumptions (Biomass)'!AL22*(AM2008+AM2009-AM2007-AM2170+AM2118)-'Assumptions (Biomass)'!AL23*Model!AM2006/10^3,'Assumptions (Biomass)'!AL23*Model!AM2006/10^3)</f>
        <v>0.11449214052722249</v>
      </c>
      <c r="AN2223" s="444">
        <f>IF(AN2008+AN2009-AN2007-AN2170+AN2118&gt;0,'Assumptions (Biomass)'!AM22*(AN2008+AN2009-AN2007-AN2170+AN2118)-'Assumptions (Biomass)'!AM23*Model!AN2006/10^3,'Assumptions (Biomass)'!AM23*Model!AN2006/10^3)</f>
        <v>0.10849747625728681</v>
      </c>
      <c r="AO2223" s="444">
        <f>IF(AO2008+AO2009-AO2007-AO2170+AO2118&gt;0,'Assumptions (Biomass)'!AN22*(AO2008+AO2009-AO2007-AO2170+AO2118)-'Assumptions (Biomass)'!AN23*Model!AO2006/10^3,'Assumptions (Biomass)'!AN23*Model!AO2006/10^3)</f>
        <v>0.10283322761667998</v>
      </c>
      <c r="AP2223" s="444">
        <f>IF(AP2008+AP2009-AP2007-AP2170+AP2118&gt;0,'Assumptions (Biomass)'!AO22*(AP2008+AP2009-AP2007-AP2170+AP2118)-'Assumptions (Biomass)'!AO23*Model!AP2006/10^3,'Assumptions (Biomass)'!AO23*Model!AP2006/10^3)</f>
        <v>9.6761843967868563E-2</v>
      </c>
      <c r="AQ2223" s="444">
        <f>IF(AQ2008+AQ2009-AQ2007-AQ2170+AQ2118&gt;0,'Assumptions (Biomass)'!AP22*(AQ2008+AQ2009-AQ2007-AQ2170+AQ2118)-'Assumptions (Biomass)'!AP23*Model!AQ2006/10^3,'Assumptions (Biomass)'!AP23*Model!AQ2006/10^3)</f>
        <v>8.9912473233306131E-2</v>
      </c>
      <c r="AR2223" s="444">
        <f>IF(AR2008+AR2009-AR2007-AR2170+AR2118&gt;0,'Assumptions (Biomass)'!AQ22*(AR2008+AR2009-AR2007-AR2170+AR2118)-'Assumptions (Biomass)'!AQ23*Model!AR2006/10^3,'Assumptions (Biomass)'!AQ23*Model!AR2006/10^3)</f>
        <v>8.2558602728735761E-2</v>
      </c>
      <c r="AS2223" s="444">
        <f>IF(AS2008+AS2009-AS2007-AS2170+AS2118&gt;0,'Assumptions (Biomass)'!AR22*(AS2008+AS2009-AS2007-AS2170+AS2118)-'Assumptions (Biomass)'!AR23*Model!AS2006/10^3,'Assumptions (Biomass)'!AR23*Model!AS2006/10^3)</f>
        <v>7.4787521985123673E-2</v>
      </c>
      <c r="AT2223" s="444">
        <f>IF(AT2008+AT2009-AT2007-AT2170+AT2118&gt;0,'Assumptions (Biomass)'!AS22*(AT2008+AT2009-AT2007-AT2170+AT2118)-'Assumptions (Biomass)'!AS23*Model!AT2006/10^3,'Assumptions (Biomass)'!AS23*Model!AT2006/10^3)</f>
        <v>6.6800861903339351E-2</v>
      </c>
      <c r="AU2223" s="444">
        <f>IF(AU2008+AU2009-AU2007-AU2170+AU2118&gt;0,'Assumptions (Biomass)'!AT22*(AU2008+AU2009-AU2007-AU2170+AU2118)-'Assumptions (Biomass)'!AT23*Model!AU2006/10^3,'Assumptions (Biomass)'!AT23*Model!AU2006/10^3)</f>
        <v>5.8565793848207481E-2</v>
      </c>
      <c r="AV2223" s="444">
        <f>IF(AV2008+AV2009-AV2007-AV2170+AV2118&gt;0,'Assumptions (Biomass)'!AU22*(AV2008+AV2009-AV2007-AV2170+AV2118)-'Assumptions (Biomass)'!AU23*Model!AV2006/10^3,'Assumptions (Biomass)'!AU23*Model!AV2006/10^3)</f>
        <v>4.9929992487178915E-2</v>
      </c>
      <c r="AW2223" s="444">
        <f>IF(AW2008+AW2009-AW2007-AW2170+AW2118&gt;0,'Assumptions (Biomass)'!AV22*(AW2008+AW2009-AW2007-AW2170+AW2118)-'Assumptions (Biomass)'!AV23*Model!AW2006/10^3,'Assumptions (Biomass)'!AV23*Model!AW2006/10^3)</f>
        <v>4.0673691318443499E-2</v>
      </c>
      <c r="AX2223" s="444">
        <f>IF(AX2008+AX2009-AX2007-AX2170+AX2118&gt;0,'Assumptions (Biomass)'!AW22*(AX2008+AX2009-AX2007-AX2170+AX2118)-'Assumptions (Biomass)'!AW23*Model!AX2006/10^3,'Assumptions (Biomass)'!AW23*Model!AX2006/10^3)</f>
        <v>3.1285447494909996E-2</v>
      </c>
      <c r="AY2223" s="444">
        <f>IF(AY2008+AY2009-AY2007-AY2170+AY2118&gt;0,'Assumptions (Biomass)'!AX22*(AY2008+AY2009-AY2007-AY2170+AY2118)-'Assumptions (Biomass)'!AX23*Model!AY2006/10^3,'Assumptions (Biomass)'!AX23*Model!AY2006/10^3)</f>
        <v>2.2037774222684752E-2</v>
      </c>
      <c r="AZ2223" s="444">
        <f>IF(AZ2008+AZ2009-AZ2007-AZ2170+AZ2118&gt;0,'Assumptions (Biomass)'!AY22*(AZ2008+AZ2009-AZ2007-AZ2170+AZ2118)-'Assumptions (Biomass)'!AY23*Model!AZ2006/10^3,'Assumptions (Biomass)'!AY23*Model!AZ2006/10^3)</f>
        <v>1.1408606735209728E-2</v>
      </c>
      <c r="BA2223" s="444">
        <f>IF(BA2008+BA2009-BA2007-BA2170+BA2118&gt;0,'Assumptions (Biomass)'!AZ22*(BA2008+BA2009-BA2007-BA2170+BA2118)-'Assumptions (Biomass)'!AZ23*Model!BA2006/10^3,'Assumptions (Biomass)'!AZ23*Model!BA2006/10^3)</f>
        <v>0</v>
      </c>
    </row>
    <row r="2224" spans="1:68" ht="15.75" customHeight="1">
      <c r="A2224" s="441" t="s">
        <v>66</v>
      </c>
      <c r="B2224" s="43"/>
      <c r="C2224" s="99"/>
      <c r="D2224" s="99"/>
      <c r="E2224" s="99"/>
      <c r="F2224" s="99"/>
      <c r="G2224" s="99"/>
      <c r="H2224" s="99"/>
      <c r="I2224" s="99"/>
      <c r="J2224" s="99"/>
      <c r="K2224" s="99"/>
      <c r="L2224" s="99"/>
      <c r="M2224" s="99"/>
      <c r="N2224" s="99"/>
      <c r="O2224" s="99"/>
      <c r="P2224" s="99"/>
      <c r="Q2224" s="99"/>
      <c r="R2224" s="99"/>
      <c r="S2224" s="99"/>
      <c r="T2224" s="99"/>
      <c r="U2224" s="99"/>
      <c r="V2224" s="99"/>
      <c r="W2224" s="86"/>
    </row>
    <row r="2225" spans="1:53" ht="15.75" customHeight="1">
      <c r="A2225" s="445" t="s">
        <v>879</v>
      </c>
      <c r="B2225" s="43"/>
      <c r="C2225" s="99"/>
      <c r="D2225" s="99"/>
      <c r="E2225" s="99"/>
      <c r="F2225" s="99"/>
      <c r="G2225" s="99"/>
      <c r="H2225" s="99"/>
      <c r="I2225" s="99"/>
      <c r="J2225" s="99"/>
      <c r="K2225" s="99"/>
      <c r="L2225" s="99"/>
      <c r="M2225" s="99"/>
      <c r="N2225" s="99"/>
      <c r="O2225" s="99"/>
      <c r="P2225" s="99"/>
      <c r="Q2225" s="99"/>
      <c r="R2225" s="99"/>
      <c r="S2225" s="99"/>
      <c r="T2225" s="99"/>
      <c r="U2225" s="99"/>
      <c r="V2225" s="99"/>
      <c r="W2225" s="86"/>
      <c r="X2225" s="94">
        <f t="shared" ref="X2225:BA2225" si="51">X2227/(X2226*0.00876)</f>
        <v>3.723346387950191E-2</v>
      </c>
      <c r="Y2225" s="94">
        <f t="shared" si="51"/>
        <v>3.7233459230679208E-2</v>
      </c>
      <c r="Z2225" s="94">
        <f t="shared" si="51"/>
        <v>3.7233454237500574E-2</v>
      </c>
      <c r="AA2225" s="94">
        <f t="shared" si="51"/>
        <v>3.7233448860232776E-2</v>
      </c>
      <c r="AB2225" s="94">
        <f t="shared" si="51"/>
        <v>3.7233443052785295E-2</v>
      </c>
      <c r="AC2225" s="94">
        <f t="shared" si="51"/>
        <v>3.7233436761385921E-2</v>
      </c>
      <c r="AD2225" s="94">
        <f t="shared" si="51"/>
        <v>3.723342992291076E-2</v>
      </c>
      <c r="AE2225" s="94">
        <f t="shared" si="51"/>
        <v>3.7233422462758903E-2</v>
      </c>
      <c r="AF2225" s="94">
        <f t="shared" si="51"/>
        <v>3.7233414292119849E-2</v>
      </c>
      <c r="AG2225" s="94">
        <f t="shared" si="51"/>
        <v>3.7233405304421027E-2</v>
      </c>
      <c r="AH2225" s="94">
        <f t="shared" si="51"/>
        <v>3.7233395370653725E-2</v>
      </c>
      <c r="AI2225" s="94">
        <f t="shared" si="51"/>
        <v>3.7233384333140725E-2</v>
      </c>
      <c r="AJ2225" s="94">
        <f t="shared" si="51"/>
        <v>3.7233371997104553E-2</v>
      </c>
      <c r="AK2225" s="94">
        <f t="shared" si="51"/>
        <v>3.7233358119073655E-2</v>
      </c>
      <c r="AL2225" s="94">
        <f t="shared" si="51"/>
        <v>3.7233342390651188E-2</v>
      </c>
      <c r="AM2225" s="94">
        <f t="shared" si="51"/>
        <v>3.7233324415327548E-2</v>
      </c>
      <c r="AN2225" s="94">
        <f t="shared" si="51"/>
        <v>3.7233303674591135E-2</v>
      </c>
      <c r="AO2225" s="94">
        <f t="shared" si="51"/>
        <v>3.7233279477094601E-2</v>
      </c>
      <c r="AP2225" s="94">
        <f t="shared" si="51"/>
        <v>3.7233250880093924E-2</v>
      </c>
      <c r="AQ2225" s="94">
        <f t="shared" si="51"/>
        <v>3.7233216563751274E-2</v>
      </c>
      <c r="AR2225" s="94">
        <f t="shared" si="51"/>
        <v>3.7233174621640865E-2</v>
      </c>
      <c r="AS2225" s="94">
        <f t="shared" si="51"/>
        <v>3.7233122194136145E-2</v>
      </c>
      <c r="AT2225" s="94">
        <f t="shared" si="51"/>
        <v>3.7233054787561976E-2</v>
      </c>
      <c r="AU2225" s="94">
        <f t="shared" si="51"/>
        <v>3.7232964912510581E-2</v>
      </c>
      <c r="AV2225" s="94">
        <f t="shared" si="51"/>
        <v>3.7232839088169795E-2</v>
      </c>
      <c r="AW2225" s="94">
        <f t="shared" si="51"/>
        <v>3.7232650353258047E-2</v>
      </c>
      <c r="AX2225" s="94">
        <f t="shared" si="51"/>
        <v>3.7232335799336859E-2</v>
      </c>
      <c r="AY2225" s="94">
        <f t="shared" si="51"/>
        <v>3.7231706707488002E-2</v>
      </c>
      <c r="AZ2225" s="94">
        <f t="shared" si="51"/>
        <v>3.722981955987973E-2</v>
      </c>
      <c r="BA2225" s="94">
        <f t="shared" si="51"/>
        <v>1.1415525114155249E-4</v>
      </c>
    </row>
    <row r="2226" spans="1:53" ht="15.75" customHeight="1">
      <c r="A2226" s="446" t="s">
        <v>25</v>
      </c>
      <c r="B2226" s="99" t="s">
        <v>152</v>
      </c>
      <c r="C2226" s="127">
        <v>59219</v>
      </c>
      <c r="D2226" s="127">
        <v>63715</v>
      </c>
      <c r="E2226" s="127">
        <v>57195</v>
      </c>
      <c r="F2226" s="127">
        <v>58269</v>
      </c>
      <c r="G2226" s="127">
        <v>56606</v>
      </c>
      <c r="H2226" s="127">
        <v>55980</v>
      </c>
      <c r="I2226" s="127">
        <v>55506</v>
      </c>
      <c r="J2226" s="127">
        <v>53430</v>
      </c>
      <c r="K2226" s="127">
        <v>54787</v>
      </c>
      <c r="L2226" s="127">
        <v>54105</v>
      </c>
      <c r="M2226" s="127">
        <v>52981</v>
      </c>
      <c r="N2226" s="127">
        <v>48813.1</v>
      </c>
      <c r="O2226" s="127">
        <v>44514.5</v>
      </c>
      <c r="P2226" s="127">
        <v>40869.4</v>
      </c>
      <c r="Q2226" s="127">
        <v>38565.4</v>
      </c>
      <c r="R2226" s="127">
        <v>34260.400000000001</v>
      </c>
      <c r="S2226" s="127">
        <v>31786.5</v>
      </c>
      <c r="T2226" s="43">
        <v>31000</v>
      </c>
      <c r="U2226" s="43">
        <v>30554</v>
      </c>
      <c r="V2226" s="43">
        <v>30000</v>
      </c>
      <c r="W2226" s="41">
        <v>29500</v>
      </c>
      <c r="X2226" s="101">
        <f t="shared" ref="X2226:AZ2226" si="52">W2226+($BA$2226-$W$2226)/($BA$2-$W$2)</f>
        <v>28516.67</v>
      </c>
      <c r="Y2226" s="101">
        <f t="shared" si="52"/>
        <v>27533.339999999997</v>
      </c>
      <c r="Z2226" s="101">
        <f t="shared" si="52"/>
        <v>26550.009999999995</v>
      </c>
      <c r="AA2226" s="101">
        <f t="shared" si="52"/>
        <v>25566.679999999993</v>
      </c>
      <c r="AB2226" s="101">
        <f t="shared" si="52"/>
        <v>24583.349999999991</v>
      </c>
      <c r="AC2226" s="101">
        <f t="shared" si="52"/>
        <v>23600.01999999999</v>
      </c>
      <c r="AD2226" s="101">
        <f t="shared" si="52"/>
        <v>22616.689999999988</v>
      </c>
      <c r="AE2226" s="101">
        <f t="shared" si="52"/>
        <v>21633.359999999986</v>
      </c>
      <c r="AF2226" s="101">
        <f t="shared" si="52"/>
        <v>20650.029999999984</v>
      </c>
      <c r="AG2226" s="101">
        <f t="shared" si="52"/>
        <v>19666.699999999983</v>
      </c>
      <c r="AH2226" s="101">
        <f t="shared" si="52"/>
        <v>18683.369999999981</v>
      </c>
      <c r="AI2226" s="101">
        <f t="shared" si="52"/>
        <v>17700.039999999979</v>
      </c>
      <c r="AJ2226" s="101">
        <f t="shared" si="52"/>
        <v>16716.709999999977</v>
      </c>
      <c r="AK2226" s="101">
        <f t="shared" si="52"/>
        <v>15733.379999999977</v>
      </c>
      <c r="AL2226" s="101">
        <f t="shared" si="52"/>
        <v>14750.049999999977</v>
      </c>
      <c r="AM2226" s="101">
        <f t="shared" si="52"/>
        <v>13766.719999999978</v>
      </c>
      <c r="AN2226" s="101">
        <f t="shared" si="52"/>
        <v>12783.389999999978</v>
      </c>
      <c r="AO2226" s="101">
        <f t="shared" si="52"/>
        <v>11800.059999999978</v>
      </c>
      <c r="AP2226" s="101">
        <f t="shared" si="52"/>
        <v>10816.729999999978</v>
      </c>
      <c r="AQ2226" s="101">
        <f t="shared" si="52"/>
        <v>9833.3999999999778</v>
      </c>
      <c r="AR2226" s="101">
        <f t="shared" si="52"/>
        <v>8850.0699999999779</v>
      </c>
      <c r="AS2226" s="101">
        <f t="shared" si="52"/>
        <v>7866.739999999978</v>
      </c>
      <c r="AT2226" s="101">
        <f t="shared" si="52"/>
        <v>6883.409999999978</v>
      </c>
      <c r="AU2226" s="101">
        <f t="shared" si="52"/>
        <v>5900.0799999999781</v>
      </c>
      <c r="AV2226" s="101">
        <f t="shared" si="52"/>
        <v>4916.7499999999782</v>
      </c>
      <c r="AW2226" s="101">
        <f t="shared" si="52"/>
        <v>3933.4199999999782</v>
      </c>
      <c r="AX2226" s="101">
        <f t="shared" si="52"/>
        <v>2950.0899999999783</v>
      </c>
      <c r="AY2226" s="101">
        <f t="shared" si="52"/>
        <v>1966.7599999999784</v>
      </c>
      <c r="AZ2226" s="101">
        <f t="shared" si="52"/>
        <v>983.42999999997835</v>
      </c>
      <c r="BA2226" s="103">
        <f>Inputs!$H$13</f>
        <v>0.1</v>
      </c>
    </row>
    <row r="2227" spans="1:53" ht="15.75" customHeight="1">
      <c r="A2227" s="446" t="s">
        <v>28</v>
      </c>
      <c r="B2227" s="99" t="s">
        <v>153</v>
      </c>
      <c r="C2227" s="63">
        <v>102.528982</v>
      </c>
      <c r="D2227" s="63">
        <v>115.719409</v>
      </c>
      <c r="E2227" s="63">
        <v>84.138031999999995</v>
      </c>
      <c r="F2227" s="63">
        <v>110.056819</v>
      </c>
      <c r="G2227" s="63">
        <v>111.453293</v>
      </c>
      <c r="H2227" s="63">
        <v>112.39849599999999</v>
      </c>
      <c r="I2227" s="63">
        <v>54.343952000000002</v>
      </c>
      <c r="J2227" s="63">
        <v>55.814784000000003</v>
      </c>
      <c r="K2227" s="63">
        <v>36.594762000000003</v>
      </c>
      <c r="L2227" s="63">
        <v>29.49053</v>
      </c>
      <c r="M2227" s="63">
        <v>28.036621</v>
      </c>
      <c r="N2227" s="63">
        <v>21.313321550000001</v>
      </c>
      <c r="O2227" s="63">
        <v>14.66902</v>
      </c>
      <c r="P2227" s="63">
        <v>19.12302584</v>
      </c>
      <c r="Q2227" s="63">
        <v>22.860321450000001</v>
      </c>
      <c r="R2227" s="63">
        <v>20.479032</v>
      </c>
      <c r="S2227" s="63">
        <v>16.733160000000002</v>
      </c>
      <c r="T2227" s="63">
        <v>13.24439286</v>
      </c>
      <c r="U2227" s="63">
        <v>12.81555857</v>
      </c>
      <c r="V2227" s="63">
        <v>9.8422707139999996</v>
      </c>
      <c r="W2227" s="421">
        <v>9.6218728569999996</v>
      </c>
      <c r="X2227" s="101">
        <f t="shared" ref="X2227:AZ2227" si="53">W2227+($BA$2227-$W$2227)/($BA$2-$W$2)</f>
        <v>9.3011437650999991</v>
      </c>
      <c r="Y2227" s="101">
        <f t="shared" si="53"/>
        <v>8.9804146731999985</v>
      </c>
      <c r="Z2227" s="101">
        <f t="shared" si="53"/>
        <v>8.659685581299998</v>
      </c>
      <c r="AA2227" s="101">
        <f t="shared" si="53"/>
        <v>8.3389564893999975</v>
      </c>
      <c r="AB2227" s="101">
        <f t="shared" si="53"/>
        <v>8.0182273974999969</v>
      </c>
      <c r="AC2227" s="101">
        <f t="shared" si="53"/>
        <v>7.6974983055999973</v>
      </c>
      <c r="AD2227" s="101">
        <f t="shared" si="53"/>
        <v>7.3767692136999976</v>
      </c>
      <c r="AE2227" s="101">
        <f t="shared" si="53"/>
        <v>7.056040121799998</v>
      </c>
      <c r="AF2227" s="101">
        <f t="shared" si="53"/>
        <v>6.7353110298999983</v>
      </c>
      <c r="AG2227" s="101">
        <f t="shared" si="53"/>
        <v>6.4145819379999987</v>
      </c>
      <c r="AH2227" s="101">
        <f t="shared" si="53"/>
        <v>6.093852846099999</v>
      </c>
      <c r="AI2227" s="101">
        <f t="shared" si="53"/>
        <v>5.7731237541999993</v>
      </c>
      <c r="AJ2227" s="101">
        <f t="shared" si="53"/>
        <v>5.4523946622999997</v>
      </c>
      <c r="AK2227" s="101">
        <f t="shared" si="53"/>
        <v>5.1316655704</v>
      </c>
      <c r="AL2227" s="101">
        <f t="shared" si="53"/>
        <v>4.8109364785000004</v>
      </c>
      <c r="AM2227" s="101">
        <f t="shared" si="53"/>
        <v>4.4902073866000007</v>
      </c>
      <c r="AN2227" s="101">
        <f t="shared" si="53"/>
        <v>4.1694782947000011</v>
      </c>
      <c r="AO2227" s="101">
        <f t="shared" si="53"/>
        <v>3.848749202800001</v>
      </c>
      <c r="AP2227" s="101">
        <f t="shared" si="53"/>
        <v>3.5280201109000009</v>
      </c>
      <c r="AQ2227" s="101">
        <f t="shared" si="53"/>
        <v>3.2072910190000008</v>
      </c>
      <c r="AR2227" s="101">
        <f t="shared" si="53"/>
        <v>2.8865619271000007</v>
      </c>
      <c r="AS2227" s="101">
        <f t="shared" si="53"/>
        <v>2.5658328352000006</v>
      </c>
      <c r="AT2227" s="101">
        <f t="shared" si="53"/>
        <v>2.2451037433000005</v>
      </c>
      <c r="AU2227" s="101">
        <f t="shared" si="53"/>
        <v>1.9243746514000004</v>
      </c>
      <c r="AV2227" s="101">
        <f t="shared" si="53"/>
        <v>1.6036455595000003</v>
      </c>
      <c r="AW2227" s="101">
        <f t="shared" si="53"/>
        <v>1.2829164676000002</v>
      </c>
      <c r="AX2227" s="101">
        <f t="shared" si="53"/>
        <v>0.96218737570000024</v>
      </c>
      <c r="AY2227" s="101">
        <f t="shared" si="53"/>
        <v>0.64145828380000025</v>
      </c>
      <c r="AZ2227" s="101">
        <f t="shared" si="53"/>
        <v>0.32072919190000027</v>
      </c>
      <c r="BA2227" s="104">
        <f>Inputs!$I$13</f>
        <v>9.9999999999999995E-8</v>
      </c>
    </row>
    <row r="2228" spans="1:53" ht="15.75" customHeight="1">
      <c r="A2228" s="446" t="s">
        <v>31</v>
      </c>
      <c r="B2228" s="99" t="s">
        <v>201</v>
      </c>
      <c r="C2228" s="409">
        <f>'Assumptions (Petroleum)'!B17*Model!C2226/10^9+'Assumptions (Petroleum)'!B18*Model!C2227/10^3</f>
        <v>0.70063072783378277</v>
      </c>
      <c r="D2228" s="409">
        <f>'Assumptions (Petroleum)'!C17*Model!D2226/10^9+'Assumptions (Petroleum)'!C18*Model!D2227/10^3</f>
        <v>0.78153052849759685</v>
      </c>
      <c r="E2228" s="409">
        <f>'Assumptions (Petroleum)'!D17*Model!E2226/10^9+'Assumptions (Petroleum)'!D18*Model!E2227/10^3</f>
        <v>0.66508784743854699</v>
      </c>
      <c r="F2228" s="409">
        <f>'Assumptions (Petroleum)'!E17*Model!F2226/10^9+'Assumptions (Petroleum)'!E18*Model!F2227/10^3</f>
        <v>0.75301729452197663</v>
      </c>
      <c r="G2228" s="409">
        <f>'Assumptions (Petroleum)'!F17*Model!G2226/10^9+'Assumptions (Petroleum)'!F18*Model!G2227/10^3</f>
        <v>0.7573110685507044</v>
      </c>
      <c r="H2228" s="409">
        <f>'Assumptions (Petroleum)'!G17*Model!H2226/10^9+'Assumptions (Petroleum)'!G18*Model!H2227/10^3</f>
        <v>0.76897881286696435</v>
      </c>
      <c r="I2228" s="409">
        <f>'Assumptions (Petroleum)'!H17*Model!I2226/10^9+'Assumptions (Petroleum)'!H18*Model!I2227/10^3</f>
        <v>0.62163632395234203</v>
      </c>
      <c r="J2228" s="409">
        <f>'Assumptions (Petroleum)'!I17*Model!J2226/10^9+'Assumptions (Petroleum)'!I18*Model!J2227/10^3</f>
        <v>0.61946574381308506</v>
      </c>
      <c r="K2228" s="409">
        <f>'Assumptions (Petroleum)'!J17*Model!K2226/10^9+'Assumptions (Petroleum)'!J18*Model!K2227/10^3</f>
        <v>0.58898049102719541</v>
      </c>
      <c r="L2228" s="409">
        <f>'Assumptions (Petroleum)'!K17*Model!L2226/10^9+'Assumptions (Petroleum)'!K18*Model!L2227/10^3</f>
        <v>0.57356528379125016</v>
      </c>
      <c r="M2228" s="409">
        <f>'Assumptions (Petroleum)'!L17*Model!M2226/10^9+'Assumptions (Petroleum)'!L18*Model!M2227/10^3</f>
        <v>0.56985401489885468</v>
      </c>
      <c r="N2228" s="409">
        <f>'Assumptions (Petroleum)'!M17*Model!N2226/10^9+'Assumptions (Petroleum)'!M18*Model!N2227/10^3</f>
        <v>0.52149965548441757</v>
      </c>
      <c r="O2228" s="409">
        <f>'Assumptions (Petroleum)'!N17*Model!O2226/10^9+'Assumptions (Petroleum)'!N18*Model!O2227/10^3</f>
        <v>0.47009357715080602</v>
      </c>
      <c r="P2228" s="409">
        <f>'Assumptions (Petroleum)'!O17*Model!P2226/10^9+'Assumptions (Petroleum)'!O18*Model!P2227/10^3</f>
        <v>0.45734817797112914</v>
      </c>
      <c r="Q2228" s="409">
        <f>'Assumptions (Petroleum)'!P17*Model!Q2226/10^9+'Assumptions (Petroleum)'!P18*Model!Q2227/10^3</f>
        <v>0.45499106234478787</v>
      </c>
      <c r="R2228" s="409">
        <f>'Assumptions (Petroleum)'!Q17*Model!R2226/10^9+'Assumptions (Petroleum)'!Q18*Model!R2227/10^3</f>
        <v>0.41243048844431618</v>
      </c>
      <c r="S2228" s="409">
        <f>'Assumptions (Petroleum)'!R17*Model!S2226/10^9+'Assumptions (Petroleum)'!R18*Model!S2227/10^3</f>
        <v>0.38247622160010647</v>
      </c>
      <c r="T2228" s="409">
        <f>'Assumptions (Petroleum)'!S17*Model!T2226/10^9+'Assumptions (Petroleum)'!S18*Model!T2227/10^3</f>
        <v>0.36981277856137157</v>
      </c>
      <c r="U2228" s="409">
        <f>'Assumptions (Petroleum)'!T17*Model!U2226/10^9+'Assumptions (Petroleum)'!T18*Model!U2227/10^3</f>
        <v>0.37060523010571461</v>
      </c>
      <c r="V2228" s="409">
        <f>'Assumptions (Petroleum)'!U17*Model!V2226/10^9+'Assumptions (Petroleum)'!U18*Model!V2227/10^3</f>
        <v>0.36127736832930318</v>
      </c>
      <c r="W2228" s="409">
        <f>'Assumptions (Petroleum)'!V17*Model!W2226/10^9+'Assumptions (Petroleum)'!V18*Model!W2227/10^3</f>
        <v>0.36180642991377998</v>
      </c>
      <c r="X2228" s="409">
        <f>'Assumptions (Petroleum)'!W17*Model!X2226/10^9+'Assumptions (Petroleum)'!W18*Model!X2227/10^3</f>
        <v>0.35639143142839463</v>
      </c>
      <c r="Y2228" s="409">
        <f>'Assumptions (Petroleum)'!X17*Model!Y2226/10^9+'Assumptions (Petroleum)'!X18*Model!Y2227/10^3</f>
        <v>0.35064005087936573</v>
      </c>
      <c r="Z2228" s="409">
        <f>'Assumptions (Petroleum)'!Y17*Model!Z2226/10^9+'Assumptions (Petroleum)'!Y18*Model!Z2227/10^3</f>
        <v>0.34454146056272811</v>
      </c>
      <c r="AA2228" s="409">
        <f>'Assumptions (Petroleum)'!Z17*Model!AA2226/10^9+'Assumptions (Petroleum)'!Z18*Model!AA2227/10^3</f>
        <v>0.33808454275569078</v>
      </c>
      <c r="AB2228" s="409">
        <f>'Assumptions (Petroleum)'!AA17*Model!AB2226/10^9+'Assumptions (Petroleum)'!AA18*Model!AB2227/10^3</f>
        <v>0.33125788260472294</v>
      </c>
      <c r="AC2228" s="409">
        <f>'Assumptions (Petroleum)'!AB17*Model!AC2226/10^9+'Assumptions (Petroleum)'!AB18*Model!AC2227/10^3</f>
        <v>0.32404976084808351</v>
      </c>
      <c r="AD2228" s="409">
        <f>'Assumptions (Petroleum)'!AC17*Model!AD2226/10^9+'Assumptions (Petroleum)'!AC18*Model!AD2227/10^3</f>
        <v>0.31644814636907143</v>
      </c>
      <c r="AE2228" s="409">
        <f>'Assumptions (Petroleum)'!AD17*Model!AE2226/10^9+'Assumptions (Petroleum)'!AD18*Model!AE2227/10^3</f>
        <v>0.30844068857619072</v>
      </c>
      <c r="AF2228" s="409">
        <f>'Assumptions (Petroleum)'!AE17*Model!AF2226/10^9+'Assumptions (Petroleum)'!AE18*Model!AF2227/10^3</f>
        <v>0.30001470960634136</v>
      </c>
      <c r="AG2228" s="409">
        <f>'Assumptions (Petroleum)'!AF17*Model!AG2226/10^9+'Assumptions (Petroleum)'!AF18*Model!AG2227/10^3</f>
        <v>0.29115719634706172</v>
      </c>
      <c r="AH2228" s="409">
        <f>'Assumptions (Petroleum)'!AG17*Model!AH2226/10^9+'Assumptions (Petroleum)'!AG18*Model!AH2227/10^3</f>
        <v>0.28185479227376153</v>
      </c>
      <c r="AI2228" s="409">
        <f>'Assumptions (Petroleum)'!AH17*Model!AI2226/10^9+'Assumptions (Petroleum)'!AH18*Model!AI2227/10^3</f>
        <v>0.27209378909779458</v>
      </c>
      <c r="AJ2228" s="409">
        <f>'Assumptions (Petroleum)'!AI17*Model!AJ2226/10^9+'Assumptions (Petroleum)'!AI18*Model!AJ2227/10^3</f>
        <v>0.26186011822113014</v>
      </c>
      <c r="AK2228" s="409">
        <f>'Assumptions (Petroleum)'!AJ17*Model!AK2226/10^9+'Assumptions (Petroleum)'!AJ18*Model!AK2227/10^3</f>
        <v>0.25113934199328813</v>
      </c>
      <c r="AL2228" s="409">
        <f>'Assumptions (Petroleum)'!AK17*Model!AL2226/10^9+'Assumptions (Petroleum)'!AK18*Model!AL2227/10^3</f>
        <v>0.23991664476611033</v>
      </c>
      <c r="AM2228" s="409">
        <f>'Assumptions (Petroleum)'!AL17*Model!AM2226/10^9+'Assumptions (Petroleum)'!AL18*Model!AM2227/10^3</f>
        <v>0.22817682374184017</v>
      </c>
      <c r="AN2228" s="409">
        <f>'Assumptions (Petroleum)'!AM17*Model!AN2226/10^9+'Assumptions (Petroleum)'!AM18*Model!AN2227/10^3</f>
        <v>0.21590427960988717</v>
      </c>
      <c r="AO2228" s="409">
        <f>'Assumptions (Petroleum)'!AN17*Model!AO2226/10^9+'Assumptions (Petroleum)'!AN18*Model!AO2227/10^3</f>
        <v>0.20308300696754911</v>
      </c>
      <c r="AP2228" s="409">
        <f>'Assumptions (Petroleum)'!AO17*Model!AP2226/10^9+'Assumptions (Petroleum)'!AO18*Model!AP2227/10^3</f>
        <v>0.18969658451986304</v>
      </c>
      <c r="AQ2228" s="409">
        <f>'Assumptions (Petroleum)'!AP17*Model!AQ2226/10^9+'Assumptions (Petroleum)'!AP18*Model!AQ2227/10^3</f>
        <v>0.17572816505364963</v>
      </c>
      <c r="AR2228" s="409">
        <f>'Assumptions (Petroleum)'!AQ17*Model!AR2226/10^9+'Assumptions (Petroleum)'!AQ18*Model!AR2227/10^3</f>
        <v>0.16116046518070848</v>
      </c>
      <c r="AS2228" s="409">
        <f>'Assumptions (Petroleum)'!AR17*Model!AS2226/10^9+'Assumptions (Petroleum)'!AR18*Model!AS2227/10^3</f>
        <v>0.14597575484501113</v>
      </c>
      <c r="AT2228" s="409">
        <f>'Assumptions (Petroleum)'!AS17*Model!AT2226/10^9+'Assumptions (Petroleum)'!AS18*Model!AT2227/10^3</f>
        <v>0.13015584658862706</v>
      </c>
      <c r="AU2228" s="409">
        <f>'Assumptions (Petroleum)'!AT17*Model!AU2226/10^9+'Assumptions (Petroleum)'!AT18*Model!AU2227/10^3</f>
        <v>0.11368208457100135</v>
      </c>
      <c r="AV2228" s="409">
        <f>'Assumptions (Petroleum)'!AU17*Model!AV2226/10^9+'Assumptions (Petroleum)'!AU18*Model!AV2227/10^3</f>
        <v>9.6535333336087381E-2</v>
      </c>
      <c r="AW2228" s="409">
        <f>'Assumptions (Petroleum)'!AV17*Model!AW2226/10^9+'Assumptions (Petroleum)'!AV18*Model!AW2227/10^3</f>
        <v>7.8695966321716521E-2</v>
      </c>
      <c r="AX2228" s="409">
        <f>'Assumptions (Petroleum)'!AW17*Model!AX2226/10^9+'Assumptions (Petroleum)'!AW18*Model!AX2227/10^3</f>
        <v>6.014385410546523E-2</v>
      </c>
      <c r="AY2228" s="409">
        <f>'Assumptions (Petroleum)'!AX17*Model!AY2226/10^9+'Assumptions (Petroleum)'!AX18*Model!AY2227/10^3</f>
        <v>4.0858352381154255E-2</v>
      </c>
      <c r="AZ2228" s="409">
        <f>'Assumptions (Petroleum)'!AY17*Model!AZ2226/10^9+'Assumptions (Petroleum)'!AY18*Model!AZ2227/10^3</f>
        <v>2.0818289659987388E-2</v>
      </c>
      <c r="BA2228" s="409">
        <f>'Assumptions (Petroleum)'!AZ17*Model!BA2226/10^9+'Assumptions (Petroleum)'!AZ18*Model!BA2227/10^3</f>
        <v>1.9546902069953678E-6</v>
      </c>
    </row>
    <row r="2229" spans="1:53" ht="15.75" customHeight="1">
      <c r="A2229" s="446" t="s">
        <v>36</v>
      </c>
      <c r="B2229" s="99" t="s">
        <v>201</v>
      </c>
      <c r="C2229" s="147">
        <f>C2227*'Assumptions (Petroleum)'!B30/10^3</f>
        <v>6.8629414565411997</v>
      </c>
      <c r="D2229" s="147">
        <f>D2227*'Assumptions (Petroleum)'!C30/10^3</f>
        <v>7.9340351234443007</v>
      </c>
      <c r="E2229" s="147">
        <f>E2227*'Assumptions (Petroleum)'!D30/10^3</f>
        <v>5.2155146724032004</v>
      </c>
      <c r="F2229" s="147">
        <f>F2227*'Assumptions (Petroleum)'!E30/10^3</f>
        <v>8.2927703059681015</v>
      </c>
      <c r="G2229" s="147">
        <f>G2227*'Assumptions (Petroleum)'!F30/10^3</f>
        <v>8.8235008642360988</v>
      </c>
      <c r="H2229" s="147">
        <f>H2227*'Assumptions (Petroleum)'!G30/10^3</f>
        <v>10.7737217972384</v>
      </c>
      <c r="I2229" s="147">
        <f>I2227*'Assumptions (Petroleum)'!H30/10^3</f>
        <v>4.6864974293904007</v>
      </c>
      <c r="J2229" s="147">
        <f>J2227*'Assumptions (Petroleum)'!I30/10^3</f>
        <v>4.8922607027328002</v>
      </c>
      <c r="K2229" s="147">
        <f>K2227*'Assumptions (Petroleum)'!J30/10^3</f>
        <v>3.7121067867084001</v>
      </c>
      <c r="L2229" s="147">
        <f>L2227*'Assumptions (Petroleum)'!K30/10^3</f>
        <v>2.0886697363029998</v>
      </c>
      <c r="M2229" s="147">
        <f>M2227*'Assumptions (Petroleum)'!L30/10^3</f>
        <v>2.0530909155468997</v>
      </c>
      <c r="N2229" s="147">
        <f>N2227*'Assumptions (Petroleum)'!M30/10^3</f>
        <v>1.503490722776565</v>
      </c>
      <c r="O2229" s="147">
        <f>O2227*'Assumptions (Petroleum)'!N30/10^3</f>
        <v>0.89477794815599998</v>
      </c>
      <c r="P2229" s="147">
        <f>P2227*'Assumptions (Petroleum)'!O30/10^3</f>
        <v>1.294902308637512</v>
      </c>
      <c r="Q2229" s="147">
        <f>Q2227*'Assumptions (Petroleum)'!P30/10^3</f>
        <v>1.6611063956177849</v>
      </c>
      <c r="R2229" s="147">
        <f>R2227*'Assumptions (Petroleum)'!Q30/10^3</f>
        <v>1.2260100171311998</v>
      </c>
      <c r="S2229" s="147">
        <f>S2227*'Assumptions (Petroleum)'!R30/10^3</f>
        <v>1.0720935612</v>
      </c>
      <c r="T2229" s="147">
        <f>T2227*'Assumptions (Petroleum)'!S30/10^3</f>
        <v>0.82830432946440002</v>
      </c>
      <c r="U2229" s="147">
        <f>U2227*'Assumptions (Petroleum)'!T30/10^3</f>
        <v>0.82275886019400002</v>
      </c>
      <c r="V2229" s="147">
        <f>V2227*'Assumptions (Petroleum)'!U30/10^3</f>
        <v>0.64063340077426001</v>
      </c>
      <c r="W2229" s="147">
        <f>W2227*'Assumptions (Petroleum)'!V30/10^3</f>
        <v>0.65326050800470103</v>
      </c>
      <c r="X2229" s="147">
        <f>X2227*'Assumptions (Petroleum)'!W30/10^3</f>
        <v>0.63627478194602682</v>
      </c>
      <c r="Y2229" s="147">
        <f>Y2227*'Assumptions (Petroleum)'!X30/10^3</f>
        <v>0.62000639217138021</v>
      </c>
      <c r="Z2229" s="147">
        <f>Z2227*'Assumptions (Petroleum)'!Y30/10^3</f>
        <v>0.60761489231950494</v>
      </c>
      <c r="AA2229" s="147">
        <f>AA2227*'Assumptions (Petroleum)'!Z30/10^3</f>
        <v>0.59623155307211473</v>
      </c>
      <c r="AB2229" s="147">
        <f>AB2227*'Assumptions (Petroleum)'!AA30/10^3</f>
        <v>0.58947273610877426</v>
      </c>
      <c r="AC2229" s="147">
        <f>AC2227*'Assumptions (Petroleum)'!AB30/10^3</f>
        <v>0.57503098837218614</v>
      </c>
      <c r="AD2229" s="147">
        <f>AD2227*'Assumptions (Petroleum)'!AC30/10^3</f>
        <v>0.56190038760596295</v>
      </c>
      <c r="AE2229" s="147">
        <f>AE2227*'Assumptions (Petroleum)'!AD30/10^3</f>
        <v>0.5469100006998544</v>
      </c>
      <c r="AF2229" s="147">
        <f>AF2227*'Assumptions (Petroleum)'!AE30/10^3</f>
        <v>0.5316654488265472</v>
      </c>
      <c r="AG2229" s="147">
        <f>AG2227*'Assumptions (Petroleum)'!AF30/10^3</f>
        <v>0.51569877540584474</v>
      </c>
      <c r="AH2229" s="147">
        <f>AH2227*'Assumptions (Petroleum)'!AG30/10^3</f>
        <v>0.49969118017497999</v>
      </c>
      <c r="AI2229" s="147">
        <f>AI2227*'Assumptions (Petroleum)'!AH30/10^3</f>
        <v>0.48083279720837269</v>
      </c>
      <c r="AJ2229" s="147">
        <f>AJ2227*'Assumptions (Petroleum)'!AI30/10^3</f>
        <v>0.46101185491782881</v>
      </c>
      <c r="AK2229" s="147">
        <f>AK2227*'Assumptions (Petroleum)'!AJ30/10^3</f>
        <v>0.4405153096269962</v>
      </c>
      <c r="AL2229" s="147">
        <f>AL2227*'Assumptions (Petroleum)'!AK30/10^3</f>
        <v>0.41991056318467629</v>
      </c>
      <c r="AM2229" s="147">
        <f>AM2227*'Assumptions (Petroleum)'!AL30/10^3</f>
        <v>0.40003958079571711</v>
      </c>
      <c r="AN2229" s="147">
        <f>AN2227*'Assumptions (Petroleum)'!AM30/10^3</f>
        <v>0.378776714324634</v>
      </c>
      <c r="AO2229" s="147">
        <f>AO2227*'Assumptions (Petroleum)'!AN30/10^3</f>
        <v>0.35749056936468171</v>
      </c>
      <c r="AP2229" s="147">
        <f>AP2227*'Assumptions (Petroleum)'!AO30/10^3</f>
        <v>0.33502213037870621</v>
      </c>
      <c r="AQ2229" s="147">
        <f>AQ2227*'Assumptions (Petroleum)'!AP30/10^3</f>
        <v>0.310780245523613</v>
      </c>
      <c r="AR2229" s="147">
        <f>AR2227*'Assumptions (Petroleum)'!AQ30/10^3</f>
        <v>0.28517188153903616</v>
      </c>
      <c r="AS2229" s="147">
        <f>AS2227*'Assumptions (Petroleum)'!AR30/10^3</f>
        <v>0.2583150154171332</v>
      </c>
      <c r="AT2229" s="147">
        <f>AT2227*'Assumptions (Petroleum)'!AS30/10^3</f>
        <v>0.23050437475489982</v>
      </c>
      <c r="AU2229" s="147">
        <f>AU2227*'Assumptions (Petroleum)'!AT30/10^3</f>
        <v>0.20167088412986842</v>
      </c>
      <c r="AV2229" s="147">
        <f>AV2227*'Assumptions (Petroleum)'!AU30/10^3</f>
        <v>0.17155981407479226</v>
      </c>
      <c r="AW2229" s="147">
        <f>AW2227*'Assumptions (Petroleum)'!AV30/10^3</f>
        <v>0.13981144123083811</v>
      </c>
      <c r="AX2229" s="147">
        <f>AX2227*'Assumptions (Petroleum)'!AW30/10^3</f>
        <v>0.10716325333738476</v>
      </c>
      <c r="AY2229" s="147">
        <f>AY2227*'Assumptions (Petroleum)'!AX30/10^3</f>
        <v>7.4017428761466206E-2</v>
      </c>
      <c r="AZ2229" s="147">
        <f>AZ2227*'Assumptions (Petroleum)'!AY30/10^3</f>
        <v>3.7994542260049724E-2</v>
      </c>
      <c r="BA2229" s="147">
        <f>BA2227*'Assumptions (Petroleum)'!AZ30/10^3</f>
        <v>1.2087941E-8</v>
      </c>
    </row>
    <row r="2230" spans="1:53" ht="15.75" customHeight="1">
      <c r="A2230" s="446" t="s">
        <v>38</v>
      </c>
      <c r="B2230" s="99" t="s">
        <v>201</v>
      </c>
      <c r="C2230" s="147">
        <f>C2226*'Assumptions (Petroleum)'!B33*'Assumptions (Petroleum)'!B32*365/10^9</f>
        <v>0</v>
      </c>
      <c r="D2230" s="147">
        <f>D2226*'Assumptions (Petroleum)'!C33*'Assumptions (Petroleum)'!C32*365/10^9</f>
        <v>0</v>
      </c>
      <c r="E2230" s="147">
        <f>E2226*'Assumptions (Petroleum)'!D33*'Assumptions (Petroleum)'!D32*365/10^9</f>
        <v>0</v>
      </c>
      <c r="F2230" s="147">
        <f>F2226*'Assumptions (Petroleum)'!E33*'Assumptions (Petroleum)'!E32*365/10^9</f>
        <v>0</v>
      </c>
      <c r="G2230" s="147">
        <f>G2226*'Assumptions (Petroleum)'!F33*'Assumptions (Petroleum)'!F32*365/10^9</f>
        <v>0</v>
      </c>
      <c r="H2230" s="147">
        <f>H2226*'Assumptions (Petroleum)'!G33*'Assumptions (Petroleum)'!G32*365/10^9</f>
        <v>0</v>
      </c>
      <c r="I2230" s="147">
        <f>I2226*'Assumptions (Petroleum)'!H33*'Assumptions (Petroleum)'!H32*365/10^9</f>
        <v>0</v>
      </c>
      <c r="J2230" s="147">
        <f>J2226*'Assumptions (Petroleum)'!I33*'Assumptions (Petroleum)'!I32*365/10^9</f>
        <v>0</v>
      </c>
      <c r="K2230" s="147">
        <f>K2226*'Assumptions (Petroleum)'!J33*'Assumptions (Petroleum)'!J32*365/10^9</f>
        <v>0</v>
      </c>
      <c r="L2230" s="147">
        <f>L2226*'Assumptions (Petroleum)'!K33*'Assumptions (Petroleum)'!K32*365/10^9</f>
        <v>0</v>
      </c>
      <c r="M2230" s="147">
        <f>M2226*'Assumptions (Petroleum)'!L33*'Assumptions (Petroleum)'!L32*365/10^9</f>
        <v>0</v>
      </c>
      <c r="N2230" s="147">
        <f>N2226*'Assumptions (Petroleum)'!M33*'Assumptions (Petroleum)'!M32*365/10^9</f>
        <v>0</v>
      </c>
      <c r="O2230" s="147">
        <f>O2226*'Assumptions (Petroleum)'!N33*'Assumptions (Petroleum)'!N32*365/10^9</f>
        <v>0</v>
      </c>
      <c r="P2230" s="147">
        <f>P2226*'Assumptions (Petroleum)'!O33*'Assumptions (Petroleum)'!O32*365/10^9</f>
        <v>0</v>
      </c>
      <c r="Q2230" s="147">
        <f>Q2226*'Assumptions (Petroleum)'!P33*'Assumptions (Petroleum)'!P32*365/10^9</f>
        <v>0</v>
      </c>
      <c r="R2230" s="147">
        <f>R2226*'Assumptions (Petroleum)'!Q33*'Assumptions (Petroleum)'!Q32*365/10^9</f>
        <v>0</v>
      </c>
      <c r="S2230" s="147">
        <f>S2226*'Assumptions (Petroleum)'!R33*'Assumptions (Petroleum)'!R32*365/10^9</f>
        <v>0</v>
      </c>
      <c r="T2230" s="147">
        <f>T2226*'Assumptions (Petroleum)'!S33*'Assumptions (Petroleum)'!S32*365/10^9</f>
        <v>0</v>
      </c>
      <c r="U2230" s="147">
        <f>U2226*'Assumptions (Petroleum)'!T33*'Assumptions (Petroleum)'!T32*365/10^9</f>
        <v>0</v>
      </c>
      <c r="V2230" s="147">
        <f>V2226*'Assumptions (Petroleum)'!U33*'Assumptions (Petroleum)'!U32*365/10^9</f>
        <v>0</v>
      </c>
      <c r="W2230" s="147">
        <f>W2226*'Assumptions (Petroleum)'!V33*'Assumptions (Petroleum)'!V32*365/10^9</f>
        <v>0</v>
      </c>
      <c r="X2230" s="147">
        <f>X2226*'Assumptions (Petroleum)'!W33*'Assumptions (Petroleum)'!W32*365/10^9</f>
        <v>0</v>
      </c>
      <c r="Y2230" s="147">
        <f>Y2226*'Assumptions (Petroleum)'!X33*'Assumptions (Petroleum)'!X32*365/10^9</f>
        <v>0</v>
      </c>
      <c r="Z2230" s="147">
        <f>Z2226*'Assumptions (Petroleum)'!Y33*'Assumptions (Petroleum)'!Y32*365/10^9</f>
        <v>0</v>
      </c>
      <c r="AA2230" s="147">
        <f>AA2226*'Assumptions (Petroleum)'!Z33*'Assumptions (Petroleum)'!Z32*365/10^9</f>
        <v>0</v>
      </c>
      <c r="AB2230" s="147">
        <f>AB2226*'Assumptions (Petroleum)'!AA33*'Assumptions (Petroleum)'!AA32*365/10^9</f>
        <v>0</v>
      </c>
      <c r="AC2230" s="147">
        <f>AC2226*'Assumptions (Petroleum)'!AB33*'Assumptions (Petroleum)'!AB32*365/10^9</f>
        <v>0</v>
      </c>
      <c r="AD2230" s="147">
        <f>AD2226*'Assumptions (Petroleum)'!AC33*'Assumptions (Petroleum)'!AC32*365/10^9</f>
        <v>0</v>
      </c>
      <c r="AE2230" s="147">
        <f>AE2226*'Assumptions (Petroleum)'!AD33*'Assumptions (Petroleum)'!AD32*365/10^9</f>
        <v>0</v>
      </c>
      <c r="AF2230" s="147">
        <f>AF2226*'Assumptions (Petroleum)'!AE33*'Assumptions (Petroleum)'!AE32*365/10^9</f>
        <v>0</v>
      </c>
      <c r="AG2230" s="147">
        <f>AG2226*'Assumptions (Petroleum)'!AF33*'Assumptions (Petroleum)'!AF32*365/10^9</f>
        <v>0</v>
      </c>
      <c r="AH2230" s="147">
        <f>AH2226*'Assumptions (Petroleum)'!AG33*'Assumptions (Petroleum)'!AG32*365/10^9</f>
        <v>0</v>
      </c>
      <c r="AI2230" s="147">
        <f>AI2226*'Assumptions (Petroleum)'!AH33*'Assumptions (Petroleum)'!AH32*365/10^9</f>
        <v>0</v>
      </c>
      <c r="AJ2230" s="147">
        <f>AJ2226*'Assumptions (Petroleum)'!AI33*'Assumptions (Petroleum)'!AI32*365/10^9</f>
        <v>0</v>
      </c>
      <c r="AK2230" s="147">
        <f>AK2226*'Assumptions (Petroleum)'!AJ33*'Assumptions (Petroleum)'!AJ32*365/10^9</f>
        <v>0</v>
      </c>
      <c r="AL2230" s="147">
        <f>AL2226*'Assumptions (Petroleum)'!AK33*'Assumptions (Petroleum)'!AK32*365/10^9</f>
        <v>0</v>
      </c>
      <c r="AM2230" s="147">
        <f>AM2226*'Assumptions (Petroleum)'!AL33*'Assumptions (Petroleum)'!AL32*365/10^9</f>
        <v>0</v>
      </c>
      <c r="AN2230" s="147">
        <f>AN2226*'Assumptions (Petroleum)'!AM33*'Assumptions (Petroleum)'!AM32*365/10^9</f>
        <v>0</v>
      </c>
      <c r="AO2230" s="147">
        <f>AO2226*'Assumptions (Petroleum)'!AN33*'Assumptions (Petroleum)'!AN32*365/10^9</f>
        <v>0</v>
      </c>
      <c r="AP2230" s="147">
        <f>AP2226*'Assumptions (Petroleum)'!AO33*'Assumptions (Petroleum)'!AO32*365/10^9</f>
        <v>0</v>
      </c>
      <c r="AQ2230" s="147">
        <f>AQ2226*'Assumptions (Petroleum)'!AP33*'Assumptions (Petroleum)'!AP32*365/10^9</f>
        <v>0</v>
      </c>
      <c r="AR2230" s="147">
        <f>AR2226*'Assumptions (Petroleum)'!AQ33*'Assumptions (Petroleum)'!AQ32*365/10^9</f>
        <v>0</v>
      </c>
      <c r="AS2230" s="147">
        <f>AS2226*'Assumptions (Petroleum)'!AR33*'Assumptions (Petroleum)'!AR32*365/10^9</f>
        <v>0</v>
      </c>
      <c r="AT2230" s="147">
        <f>AT2226*'Assumptions (Petroleum)'!AS33*'Assumptions (Petroleum)'!AS32*365/10^9</f>
        <v>0</v>
      </c>
      <c r="AU2230" s="147">
        <f>AU2226*'Assumptions (Petroleum)'!AT33*'Assumptions (Petroleum)'!AT32*365/10^9</f>
        <v>0</v>
      </c>
      <c r="AV2230" s="147">
        <f>AV2226*'Assumptions (Petroleum)'!AU33*'Assumptions (Petroleum)'!AU32*365/10^9</f>
        <v>0</v>
      </c>
      <c r="AW2230" s="147">
        <f>AW2226*'Assumptions (Petroleum)'!AV33*'Assumptions (Petroleum)'!AV32*365/10^9</f>
        <v>0</v>
      </c>
      <c r="AX2230" s="147">
        <f>AX2226*'Assumptions (Petroleum)'!AW33*'Assumptions (Petroleum)'!AW32*365/10^9</f>
        <v>0</v>
      </c>
      <c r="AY2230" s="147">
        <f>AY2226*'Assumptions (Petroleum)'!AX33*'Assumptions (Petroleum)'!AX32*365/10^9</f>
        <v>0</v>
      </c>
      <c r="AZ2230" s="147">
        <f>AZ2226*'Assumptions (Petroleum)'!AY33*'Assumptions (Petroleum)'!AY32*365/10^9</f>
        <v>0</v>
      </c>
      <c r="BA2230" s="147">
        <f>BA2226*'Assumptions (Petroleum)'!AZ33*'Assumptions (Petroleum)'!AZ32*365/10^9</f>
        <v>0</v>
      </c>
    </row>
    <row r="2231" spans="1:53" ht="15.75" customHeight="1">
      <c r="A2231" s="447" t="s">
        <v>46</v>
      </c>
      <c r="B2231" s="99" t="s">
        <v>152</v>
      </c>
      <c r="C2231" s="63">
        <v>511.6</v>
      </c>
      <c r="D2231" s="63">
        <v>507.9</v>
      </c>
      <c r="E2231" s="63">
        <v>364.5</v>
      </c>
      <c r="F2231" s="63">
        <v>261.3</v>
      </c>
      <c r="G2231" s="63">
        <v>208.6</v>
      </c>
      <c r="H2231" s="63">
        <v>117.4</v>
      </c>
      <c r="I2231" s="63">
        <v>168.6</v>
      </c>
      <c r="J2231" s="63">
        <v>239.5</v>
      </c>
      <c r="K2231" s="63">
        <v>85.7</v>
      </c>
      <c r="L2231" s="63">
        <v>66.8</v>
      </c>
      <c r="M2231" s="63">
        <v>910.7</v>
      </c>
      <c r="N2231" s="63">
        <v>337.8</v>
      </c>
      <c r="O2231" s="63">
        <v>189.7</v>
      </c>
      <c r="P2231" s="63">
        <v>57.5</v>
      </c>
      <c r="Q2231" s="63">
        <v>49.2</v>
      </c>
      <c r="R2231" s="63">
        <v>60.1</v>
      </c>
      <c r="S2231" s="63">
        <v>34.1</v>
      </c>
      <c r="T2231" s="63">
        <v>52.2</v>
      </c>
      <c r="U2231" s="63">
        <v>20.6</v>
      </c>
      <c r="V2231" s="63">
        <v>19.5</v>
      </c>
      <c r="W2231" s="90">
        <f>IF(W2226-V2226+'Assumptions (Petroleum)'!V36&gt;0,W2226-V2226+'Assumptions (Petroleum)'!V36,0)</f>
        <v>0</v>
      </c>
      <c r="X2231" s="90">
        <f>IF(X2226-W2226+'Assumptions (Petroleum)'!W36&gt;0,X2226-W2226+'Assumptions (Petroleum)'!W36,0)</f>
        <v>0</v>
      </c>
      <c r="Y2231" s="90">
        <f>IF(Y2226-X2226+'Assumptions (Petroleum)'!X36&gt;0,Y2226-X2226+'Assumptions (Petroleum)'!X36,0)</f>
        <v>0</v>
      </c>
      <c r="Z2231" s="90">
        <f>IF(Z2226-Y2226+'Assumptions (Petroleum)'!Y36&gt;0,Z2226-Y2226+'Assumptions (Petroleum)'!Y36,0)</f>
        <v>0</v>
      </c>
      <c r="AA2231" s="90">
        <f>IF(AA2226-Z2226+'Assumptions (Petroleum)'!Z36&gt;0,AA2226-Z2226+'Assumptions (Petroleum)'!Z36,0)</f>
        <v>0</v>
      </c>
      <c r="AB2231" s="90">
        <f>IF(AB2226-AA2226+'Assumptions (Petroleum)'!AA36&gt;0,AB2226-AA2226+'Assumptions (Petroleum)'!AA36,0)</f>
        <v>0</v>
      </c>
      <c r="AC2231" s="90">
        <f>IF(AC2226-AB2226+'Assumptions (Petroleum)'!AB36&gt;0,AC2226-AB2226+'Assumptions (Petroleum)'!AB36,0)</f>
        <v>0</v>
      </c>
      <c r="AD2231" s="90">
        <f>IF(AD2226-AC2226+'Assumptions (Petroleum)'!AC36&gt;0,AD2226-AC2226+'Assumptions (Petroleum)'!AC36,0)</f>
        <v>0</v>
      </c>
      <c r="AE2231" s="90">
        <f>IF(AE2226-AD2226+'Assumptions (Petroleum)'!AD36&gt;0,AE2226-AD2226+'Assumptions (Petroleum)'!AD36,0)</f>
        <v>0</v>
      </c>
      <c r="AF2231" s="90">
        <f>IF(AF2226-AE2226+'Assumptions (Petroleum)'!AE36&gt;0,AF2226-AE2226+'Assumptions (Petroleum)'!AE36,0)</f>
        <v>0</v>
      </c>
      <c r="AG2231" s="90">
        <f>IF(AG2226-AF2226+'Assumptions (Petroleum)'!AF36&gt;0,AG2226-AF2226+'Assumptions (Petroleum)'!AF36,0)</f>
        <v>0</v>
      </c>
      <c r="AH2231" s="90">
        <f>IF(AH2226-AG2226+'Assumptions (Petroleum)'!AG36&gt;0,AH2226-AG2226+'Assumptions (Petroleum)'!AG36,0)</f>
        <v>0</v>
      </c>
      <c r="AI2231" s="90">
        <f>IF(AI2226-AH2226+'Assumptions (Petroleum)'!AH36&gt;0,AI2226-AH2226+'Assumptions (Petroleum)'!AH36,0)</f>
        <v>0</v>
      </c>
      <c r="AJ2231" s="90">
        <f>IF(AJ2226-AI2226+'Assumptions (Petroleum)'!AI36&gt;0,AJ2226-AI2226+'Assumptions (Petroleum)'!AI36,0)</f>
        <v>0</v>
      </c>
      <c r="AK2231" s="90">
        <f>IF(AK2226-AJ2226+'Assumptions (Petroleum)'!AJ36&gt;0,AK2226-AJ2226+'Assumptions (Petroleum)'!AJ36,0)</f>
        <v>0</v>
      </c>
      <c r="AL2231" s="90">
        <f>IF(AL2226-AK2226+'Assumptions (Petroleum)'!AK36&gt;0,AL2226-AK2226+'Assumptions (Petroleum)'!AK36,0)</f>
        <v>0</v>
      </c>
      <c r="AM2231" s="90">
        <f>IF(AM2226-AL2226+'Assumptions (Petroleum)'!AL36&gt;0,AM2226-AL2226+'Assumptions (Petroleum)'!AL36,0)</f>
        <v>0</v>
      </c>
      <c r="AN2231" s="90">
        <f>IF(AN2226-AM2226+'Assumptions (Petroleum)'!AM36&gt;0,AN2226-AM2226+'Assumptions (Petroleum)'!AM36,0)</f>
        <v>0</v>
      </c>
      <c r="AO2231" s="90">
        <f>IF(AO2226-AN2226+'Assumptions (Petroleum)'!AN36&gt;0,AO2226-AN2226+'Assumptions (Petroleum)'!AN36,0)</f>
        <v>0</v>
      </c>
      <c r="AP2231" s="90">
        <f>IF(AP2226-AO2226+'Assumptions (Petroleum)'!AO36&gt;0,AP2226-AO2226+'Assumptions (Petroleum)'!AO36,0)</f>
        <v>0</v>
      </c>
      <c r="AQ2231" s="90">
        <f>IF(AQ2226-AP2226+'Assumptions (Petroleum)'!AP36&gt;0,AQ2226-AP2226+'Assumptions (Petroleum)'!AP36,0)</f>
        <v>0</v>
      </c>
      <c r="AR2231" s="90">
        <f>IF(AR2226-AQ2226+'Assumptions (Petroleum)'!AQ36&gt;0,AR2226-AQ2226+'Assumptions (Petroleum)'!AQ36,0)</f>
        <v>0</v>
      </c>
      <c r="AS2231" s="90">
        <f>IF(AS2226-AR2226+'Assumptions (Petroleum)'!AR36&gt;0,AS2226-AR2226+'Assumptions (Petroleum)'!AR36,0)</f>
        <v>0</v>
      </c>
      <c r="AT2231" s="90">
        <f>IF(AT2226-AS2226+'Assumptions (Petroleum)'!AS36&gt;0,AT2226-AS2226+'Assumptions (Petroleum)'!AS36,0)</f>
        <v>0</v>
      </c>
      <c r="AU2231" s="90">
        <f>IF(AU2226-AT2226+'Assumptions (Petroleum)'!AT36&gt;0,AU2226-AT2226+'Assumptions (Petroleum)'!AT36,0)</f>
        <v>0</v>
      </c>
      <c r="AV2231" s="90">
        <f>IF(AV2226-AU2226+'Assumptions (Petroleum)'!AU36&gt;0,AV2226-AU2226+'Assumptions (Petroleum)'!AU36,0)</f>
        <v>0</v>
      </c>
      <c r="AW2231" s="90">
        <f>IF(AW2226-AV2226+'Assumptions (Petroleum)'!AV36&gt;0,AW2226-AV2226+'Assumptions (Petroleum)'!AV36,0)</f>
        <v>0</v>
      </c>
      <c r="AX2231" s="90">
        <f>IF(AX2226-AW2226+'Assumptions (Petroleum)'!AW36&gt;0,AX2226-AW2226+'Assumptions (Petroleum)'!AW36,0)</f>
        <v>0</v>
      </c>
      <c r="AY2231" s="90">
        <f>IF(AY2226-AX2226+'Assumptions (Petroleum)'!AX36&gt;0,AY2226-AX2226+'Assumptions (Petroleum)'!AX36,0)</f>
        <v>0</v>
      </c>
      <c r="AZ2231" s="90">
        <f>IF(AZ2226-AY2226+'Assumptions (Petroleum)'!AY36&gt;0,AZ2226-AY2226+'Assumptions (Petroleum)'!AY36,0)</f>
        <v>0</v>
      </c>
      <c r="BA2231" s="90">
        <f>IF(BA2226-AZ2226+'Assumptions (Petroleum)'!AZ36&gt;0,BA2226-AZ2226+'Assumptions (Petroleum)'!AZ36,0)</f>
        <v>0</v>
      </c>
    </row>
    <row r="2232" spans="1:53" ht="15.75" customHeight="1">
      <c r="A2232" s="447" t="s">
        <v>48</v>
      </c>
      <c r="B2232" s="99" t="s">
        <v>153</v>
      </c>
      <c r="C2232" s="20"/>
      <c r="D2232" s="20"/>
      <c r="E2232" s="20"/>
      <c r="F2232" s="20"/>
      <c r="G2232" s="20"/>
      <c r="H2232" s="20"/>
      <c r="I2232" s="20"/>
      <c r="J2232" s="20"/>
      <c r="K2232" s="20"/>
      <c r="L2232" s="20"/>
      <c r="M2232" s="20"/>
      <c r="N2232" s="20"/>
      <c r="O2232" s="20"/>
      <c r="P2232" s="20"/>
      <c r="Q2232" s="20"/>
      <c r="R2232" s="20"/>
      <c r="S2232" s="20"/>
      <c r="T2232" s="20"/>
      <c r="U2232" s="20"/>
      <c r="V2232" s="99"/>
      <c r="W2232" s="90"/>
      <c r="X2232" s="90">
        <f>IF(W2231='Assumptions (Petroleum)'!$V$11,Model!X2227-Model!X2226*'Assumptions (Petroleum)'!V$15*0.00876,0)</f>
        <v>0</v>
      </c>
      <c r="Y2232" s="90">
        <f>IF(X2231='Assumptions (Petroleum)'!$V$11,Model!Y2227-Model!Y2226*'Assumptions (Petroleum)'!W$15*0.00876,0)</f>
        <v>0</v>
      </c>
      <c r="Z2232" s="90">
        <f>IF(Y2231='Assumptions (Petroleum)'!$V$11,Model!Z2227-Model!Z2226*'Assumptions (Petroleum)'!X$15*0.00876,0)</f>
        <v>0</v>
      </c>
      <c r="AA2232" s="90">
        <f>IF(Z2231='Assumptions (Petroleum)'!$V$11,Model!AA2227-Model!AA2226*'Assumptions (Petroleum)'!Y$15*0.00876,0)</f>
        <v>0</v>
      </c>
      <c r="AB2232" s="90">
        <f>IF(AA2231='Assumptions (Petroleum)'!$V$11,Model!AB2227-Model!AB2226*'Assumptions (Petroleum)'!Z$15*0.00876,0)</f>
        <v>0</v>
      </c>
      <c r="AC2232" s="90">
        <f>IF(AB2231='Assumptions (Petroleum)'!$V$11,Model!AC2227-Model!AC2226*'Assumptions (Petroleum)'!AA$15*0.00876,0)</f>
        <v>0</v>
      </c>
      <c r="AD2232" s="90">
        <f>IF(AC2231='Assumptions (Petroleum)'!$V$11,Model!AD2227-Model!AD2226*'Assumptions (Petroleum)'!AB$15*0.00876,0)</f>
        <v>0</v>
      </c>
      <c r="AE2232" s="90">
        <f>IF(AD2231='Assumptions (Petroleum)'!$V$11,Model!AE2227-Model!AE2226*'Assumptions (Petroleum)'!AC$15*0.00876,0)</f>
        <v>0</v>
      </c>
      <c r="AF2232" s="90">
        <f>IF(AE2231='Assumptions (Petroleum)'!$V$11,Model!AF2227-Model!AF2226*'Assumptions (Petroleum)'!AD$15*0.00876,0)</f>
        <v>0</v>
      </c>
      <c r="AG2232" s="90">
        <f>IF(AF2231='Assumptions (Petroleum)'!$V$11,Model!AG2227-Model!AG2226*'Assumptions (Petroleum)'!AE$15*0.00876,0)</f>
        <v>0</v>
      </c>
      <c r="AH2232" s="90">
        <f>IF(AG2231='Assumptions (Petroleum)'!$V$11,Model!AH2227-Model!AH2226*'Assumptions (Petroleum)'!AF$15*0.00876,0)</f>
        <v>0</v>
      </c>
      <c r="AI2232" s="90">
        <f>IF(AH2231='Assumptions (Petroleum)'!$V$11,Model!AI2227-Model!AI2226*'Assumptions (Petroleum)'!AG$15*0.00876,0)</f>
        <v>0</v>
      </c>
      <c r="AJ2232" s="90">
        <f>IF(AI2231='Assumptions (Petroleum)'!$V$11,Model!AJ2227-Model!AJ2226*'Assumptions (Petroleum)'!AH$15*0.00876,0)</f>
        <v>0</v>
      </c>
      <c r="AK2232" s="90">
        <f>IF(AJ2231='Assumptions (Petroleum)'!$V$11,Model!AK2227-Model!AK2226*'Assumptions (Petroleum)'!AI$15*0.00876,0)</f>
        <v>0</v>
      </c>
      <c r="AL2232" s="90">
        <f>IF(AK2231='Assumptions (Petroleum)'!$V$11,Model!AL2227-Model!AL2226*'Assumptions (Petroleum)'!AJ$15*0.00876,0)</f>
        <v>0</v>
      </c>
      <c r="AM2232" s="90">
        <f>IF(AL2231='Assumptions (Petroleum)'!$V$11,Model!AM2227-Model!AM2226*'Assumptions (Petroleum)'!AK$15*0.00876,0)</f>
        <v>0</v>
      </c>
      <c r="AN2232" s="90">
        <f>IF(AM2231='Assumptions (Petroleum)'!$V$11,Model!AN2227-Model!AN2226*'Assumptions (Petroleum)'!AL$15*0.00876,0)</f>
        <v>0</v>
      </c>
      <c r="AO2232" s="90">
        <f>IF(AN2231='Assumptions (Petroleum)'!$V$11,Model!AO2227-Model!AO2226*'Assumptions (Petroleum)'!AM$15*0.00876,0)</f>
        <v>0</v>
      </c>
      <c r="AP2232" s="90">
        <f>IF(AO2231='Assumptions (Petroleum)'!$V$11,Model!AP2227-Model!AP2226*'Assumptions (Petroleum)'!AN$15*0.00876,0)</f>
        <v>0</v>
      </c>
      <c r="AQ2232" s="90">
        <f>IF(AP2231='Assumptions (Petroleum)'!$V$11,Model!AQ2227-Model!AQ2226*'Assumptions (Petroleum)'!AO$15*0.00876,0)</f>
        <v>0</v>
      </c>
      <c r="AR2232" s="90">
        <f>IF(AQ2231='Assumptions (Petroleum)'!$V$11,Model!AR2227-Model!AR2226*'Assumptions (Petroleum)'!AP$15*0.00876,0)</f>
        <v>0</v>
      </c>
      <c r="AS2232" s="90">
        <f>IF(AR2231='Assumptions (Petroleum)'!$V$11,Model!AS2227-Model!AS2226*'Assumptions (Petroleum)'!AQ$15*0.00876,0)</f>
        <v>0</v>
      </c>
      <c r="AT2232" s="90">
        <f>IF(AS2231='Assumptions (Petroleum)'!$V$11,Model!AT2227-Model!AT2226*'Assumptions (Petroleum)'!AR$15*0.00876,0)</f>
        <v>0</v>
      </c>
      <c r="AU2232" s="90">
        <f>IF(AT2231='Assumptions (Petroleum)'!$V$11,Model!AU2227-Model!AU2226*'Assumptions (Petroleum)'!AS$15*0.00876,0)</f>
        <v>0</v>
      </c>
      <c r="AV2232" s="90">
        <f>IF(AU2231='Assumptions (Petroleum)'!$V$11,Model!AV2227-Model!AV2226*'Assumptions (Petroleum)'!AT$15*0.00876,0)</f>
        <v>0</v>
      </c>
      <c r="AW2232" s="90">
        <f>IF(AV2231='Assumptions (Petroleum)'!$V$11,Model!AW2227-Model!AW2226*'Assumptions (Petroleum)'!AU$15*0.00876,0)</f>
        <v>0</v>
      </c>
      <c r="AX2232" s="90">
        <f>IF(AW2231='Assumptions (Petroleum)'!$V$11,Model!AX2227-Model!AX2226*'Assumptions (Petroleum)'!AV$15*0.00876,0)</f>
        <v>0</v>
      </c>
      <c r="AY2232" s="90">
        <f>IF(AX2231='Assumptions (Petroleum)'!$V$11,Model!AY2227-Model!AY2226*'Assumptions (Petroleum)'!AW$15*0.00876,0)</f>
        <v>0</v>
      </c>
      <c r="AZ2232" s="90">
        <f>IF(AY2231='Assumptions (Petroleum)'!$V$11,Model!AZ2227-Model!AZ2226*'Assumptions (Petroleum)'!AX$15*0.00876,0)</f>
        <v>0</v>
      </c>
      <c r="BA2232" s="90">
        <f>IF(AZ2231='Assumptions (Petroleum)'!$V$11,Model!BA2227-Model!BA2226*'Assumptions (Petroleum)'!AY$15*0.00876,0)</f>
        <v>0</v>
      </c>
    </row>
    <row r="2233" spans="1:53" ht="15.75" customHeight="1">
      <c r="A2233" s="448" t="s">
        <v>290</v>
      </c>
      <c r="B2233" s="99" t="s">
        <v>201</v>
      </c>
      <c r="C2233" s="91">
        <f t="shared" ref="C2233:BA2233" si="54">SUM(C2234:C2284)</f>
        <v>0.89189375316170694</v>
      </c>
      <c r="D2233" s="91">
        <f t="shared" si="54"/>
        <v>0.18748272836170984</v>
      </c>
      <c r="E2233" s="91">
        <f t="shared" si="54"/>
        <v>0.13460064536693292</v>
      </c>
      <c r="F2233" s="91">
        <f t="shared" si="54"/>
        <v>0.11562225231134807</v>
      </c>
      <c r="G2233" s="91">
        <f t="shared" si="54"/>
        <v>0.12530263538496902</v>
      </c>
      <c r="H2233" s="91">
        <f t="shared" si="54"/>
        <v>0.1200988205141002</v>
      </c>
      <c r="I2233" s="91">
        <f t="shared" si="54"/>
        <v>9.7246481155038145E-2</v>
      </c>
      <c r="J2233" s="91">
        <f t="shared" si="54"/>
        <v>0.26903139780438079</v>
      </c>
      <c r="K2233" s="91">
        <f t="shared" si="54"/>
        <v>0.33947906083779539</v>
      </c>
      <c r="L2233" s="91">
        <f t="shared" si="54"/>
        <v>0.37862355432437905</v>
      </c>
      <c r="M2233" s="91">
        <f t="shared" si="54"/>
        <v>0.15708849594309343</v>
      </c>
      <c r="N2233" s="91">
        <f t="shared" si="54"/>
        <v>8.1183334703390689E-2</v>
      </c>
      <c r="O2233" s="91">
        <f t="shared" si="54"/>
        <v>4.6599891474683124E-2</v>
      </c>
      <c r="P2233" s="91">
        <f t="shared" si="54"/>
        <v>4.0863746560065653E-2</v>
      </c>
      <c r="Q2233" s="91">
        <f t="shared" si="54"/>
        <v>4.2553009388573808E-2</v>
      </c>
      <c r="R2233" s="91">
        <f t="shared" si="54"/>
        <v>3.1693272115514426E-2</v>
      </c>
      <c r="S2233" s="91">
        <f t="shared" si="54"/>
        <v>2.7912018677148931E-2</v>
      </c>
      <c r="T2233" s="91">
        <f t="shared" si="54"/>
        <v>1.2368985784753473E-2</v>
      </c>
      <c r="U2233" s="91">
        <f t="shared" si="54"/>
        <v>6.1351403306420605E-3</v>
      </c>
      <c r="V2233" s="91">
        <f t="shared" si="54"/>
        <v>0</v>
      </c>
      <c r="W2233" s="91">
        <f t="shared" si="54"/>
        <v>0</v>
      </c>
      <c r="X2233" s="91">
        <f t="shared" si="54"/>
        <v>0</v>
      </c>
      <c r="Y2233" s="91">
        <f t="shared" si="54"/>
        <v>0</v>
      </c>
      <c r="Z2233" s="91">
        <f t="shared" si="54"/>
        <v>0</v>
      </c>
      <c r="AA2233" s="91">
        <f t="shared" si="54"/>
        <v>0</v>
      </c>
      <c r="AB2233" s="91">
        <f t="shared" si="54"/>
        <v>0</v>
      </c>
      <c r="AC2233" s="91">
        <f t="shared" si="54"/>
        <v>0</v>
      </c>
      <c r="AD2233" s="91">
        <f t="shared" si="54"/>
        <v>0</v>
      </c>
      <c r="AE2233" s="91">
        <f t="shared" si="54"/>
        <v>0</v>
      </c>
      <c r="AF2233" s="91">
        <f t="shared" si="54"/>
        <v>0</v>
      </c>
      <c r="AG2233" s="91">
        <f t="shared" si="54"/>
        <v>0</v>
      </c>
      <c r="AH2233" s="91">
        <f t="shared" si="54"/>
        <v>0</v>
      </c>
      <c r="AI2233" s="91">
        <f t="shared" si="54"/>
        <v>0</v>
      </c>
      <c r="AJ2233" s="91">
        <f t="shared" si="54"/>
        <v>0</v>
      </c>
      <c r="AK2233" s="91">
        <f t="shared" si="54"/>
        <v>0</v>
      </c>
      <c r="AL2233" s="91">
        <f t="shared" si="54"/>
        <v>0</v>
      </c>
      <c r="AM2233" s="91">
        <f t="shared" si="54"/>
        <v>0</v>
      </c>
      <c r="AN2233" s="91">
        <f t="shared" si="54"/>
        <v>0</v>
      </c>
      <c r="AO2233" s="91">
        <f t="shared" si="54"/>
        <v>0</v>
      </c>
      <c r="AP2233" s="91">
        <f t="shared" si="54"/>
        <v>0</v>
      </c>
      <c r="AQ2233" s="91">
        <f t="shared" si="54"/>
        <v>0</v>
      </c>
      <c r="AR2233" s="91">
        <f t="shared" si="54"/>
        <v>0</v>
      </c>
      <c r="AS2233" s="91">
        <f t="shared" si="54"/>
        <v>0</v>
      </c>
      <c r="AT2233" s="91">
        <f t="shared" si="54"/>
        <v>0</v>
      </c>
      <c r="AU2233" s="91">
        <f t="shared" si="54"/>
        <v>0</v>
      </c>
      <c r="AV2233" s="91">
        <f t="shared" si="54"/>
        <v>0</v>
      </c>
      <c r="AW2233" s="91">
        <f t="shared" si="54"/>
        <v>0</v>
      </c>
      <c r="AX2233" s="91">
        <f t="shared" si="54"/>
        <v>0</v>
      </c>
      <c r="AY2233" s="91">
        <f t="shared" si="54"/>
        <v>0</v>
      </c>
      <c r="AZ2233" s="91">
        <f t="shared" si="54"/>
        <v>0</v>
      </c>
      <c r="BA2233" s="91">
        <f t="shared" si="54"/>
        <v>0</v>
      </c>
    </row>
    <row r="2234" spans="1:53" ht="15.75" hidden="1" customHeight="1" outlineLevel="1">
      <c r="A2234" s="447"/>
      <c r="B2234" s="99"/>
      <c r="C2234" s="91">
        <f>IF($C$2231&gt;0,3*'Assumptions (Petroleum)'!$V$13*Model!$C$2231*'Assumptions (Petroleum)'!B$2/10^9,0)</f>
        <v>0.33809487560575674</v>
      </c>
      <c r="D2234" s="105"/>
      <c r="E2234" s="105"/>
      <c r="F2234" s="105"/>
      <c r="G2234" s="105"/>
      <c r="H2234" s="105"/>
      <c r="I2234" s="105"/>
      <c r="J2234" s="105"/>
      <c r="K2234" s="105"/>
      <c r="L2234" s="105"/>
      <c r="M2234" s="105"/>
      <c r="N2234" s="105"/>
      <c r="O2234" s="105"/>
      <c r="P2234" s="105"/>
      <c r="Q2234" s="105"/>
      <c r="R2234" s="105"/>
      <c r="S2234" s="105"/>
      <c r="T2234" s="105"/>
      <c r="U2234" s="105"/>
      <c r="V2234" s="99"/>
      <c r="W2234" s="147"/>
      <c r="X2234" s="147"/>
      <c r="Y2234" s="147"/>
      <c r="Z2234" s="147"/>
      <c r="AA2234" s="147"/>
      <c r="AB2234" s="147"/>
      <c r="AC2234" s="147"/>
      <c r="AD2234" s="147"/>
      <c r="AE2234" s="147"/>
      <c r="AF2234" s="147"/>
      <c r="AG2234" s="147"/>
      <c r="AH2234" s="147"/>
      <c r="AI2234" s="147"/>
      <c r="AJ2234" s="147"/>
      <c r="AK2234" s="147"/>
      <c r="AL2234" s="147"/>
      <c r="AM2234" s="147"/>
      <c r="AN2234" s="147"/>
      <c r="AO2234" s="147"/>
      <c r="AP2234" s="147"/>
      <c r="AQ2234" s="147"/>
      <c r="AR2234" s="147"/>
      <c r="AS2234" s="147"/>
      <c r="AT2234" s="147"/>
      <c r="AU2234" s="147"/>
      <c r="AV2234" s="147"/>
      <c r="AW2234" s="147"/>
      <c r="AX2234" s="147"/>
      <c r="AY2234" s="147"/>
      <c r="AZ2234" s="147"/>
      <c r="BA2234" s="147"/>
    </row>
    <row r="2235" spans="1:53" ht="15.75" hidden="1" customHeight="1" outlineLevel="1">
      <c r="A2235" s="447"/>
      <c r="B2235" s="99"/>
      <c r="C2235" s="91">
        <f>IF($D$2231&gt;0,3*'Assumptions (Petroleum)'!$V$13*Model!$D$2231*'Assumptions (Petroleum)'!B$2/10^9,0)</f>
        <v>0.33564970156404189</v>
      </c>
      <c r="D2235" s="91"/>
      <c r="E2235" s="91"/>
      <c r="F2235" s="91"/>
      <c r="G2235" s="91"/>
      <c r="H2235" s="91"/>
      <c r="I2235" s="91"/>
      <c r="J2235" s="91"/>
      <c r="K2235" s="91"/>
      <c r="L2235" s="91"/>
      <c r="M2235" s="105"/>
      <c r="N2235" s="105"/>
      <c r="O2235" s="105"/>
      <c r="P2235" s="105"/>
      <c r="Q2235" s="105"/>
      <c r="R2235" s="105"/>
      <c r="S2235" s="105"/>
      <c r="T2235" s="105"/>
      <c r="U2235" s="105"/>
      <c r="V2235" s="99"/>
      <c r="W2235" s="147"/>
      <c r="X2235" s="147"/>
      <c r="Y2235" s="147"/>
      <c r="Z2235" s="147"/>
      <c r="AA2235" s="147"/>
      <c r="AB2235" s="147"/>
      <c r="AC2235" s="147"/>
      <c r="AD2235" s="147"/>
      <c r="AE2235" s="147"/>
      <c r="AF2235" s="147"/>
      <c r="AG2235" s="147"/>
      <c r="AH2235" s="147"/>
      <c r="AI2235" s="147"/>
      <c r="AJ2235" s="147"/>
      <c r="AK2235" s="147"/>
      <c r="AL2235" s="147"/>
      <c r="AM2235" s="147"/>
      <c r="AN2235" s="147"/>
      <c r="AO2235" s="147"/>
      <c r="AP2235" s="147"/>
      <c r="AQ2235" s="147"/>
      <c r="AR2235" s="147"/>
      <c r="AS2235" s="147"/>
      <c r="AT2235" s="147"/>
      <c r="AU2235" s="147"/>
      <c r="AV2235" s="147"/>
      <c r="AW2235" s="147"/>
      <c r="AX2235" s="147"/>
      <c r="AY2235" s="147"/>
      <c r="AZ2235" s="147"/>
      <c r="BA2235" s="147"/>
    </row>
    <row r="2236" spans="1:53" ht="15.75" hidden="1" customHeight="1" outlineLevel="1">
      <c r="A2236" s="447"/>
      <c r="B2236" s="99"/>
      <c r="C2236" s="91">
        <f>IF($E$2231&gt;0,2*'Assumptions (Petroleum)'!$V$13*Model!$E$2231*'Assumptions (Petroleum)'!B$2/10^9,0)</f>
        <v>0.16058845733424332</v>
      </c>
      <c r="D2236" s="91">
        <f>IF($E$2231&gt;0,'Assumptions (Petroleum)'!$V$13*Model!$E$2231*'Assumptions (Petroleum)'!C$2/10^9,0)</f>
        <v>8.190011324046409E-2</v>
      </c>
      <c r="E2236" s="91"/>
      <c r="F2236" s="91"/>
      <c r="G2236" s="91"/>
      <c r="H2236" s="91"/>
      <c r="I2236" s="91"/>
      <c r="J2236" s="91"/>
      <c r="K2236" s="91"/>
      <c r="L2236" s="91"/>
      <c r="M2236" s="105"/>
      <c r="N2236" s="105"/>
      <c r="O2236" s="105"/>
      <c r="P2236" s="105"/>
      <c r="Q2236" s="105"/>
      <c r="R2236" s="105"/>
      <c r="S2236" s="105"/>
      <c r="T2236" s="105"/>
      <c r="U2236" s="105"/>
      <c r="V2236" s="99"/>
      <c r="W2236" s="147"/>
      <c r="X2236" s="147"/>
      <c r="Y2236" s="147"/>
      <c r="Z2236" s="147"/>
      <c r="AA2236" s="147"/>
      <c r="AB2236" s="147"/>
      <c r="AC2236" s="147"/>
      <c r="AD2236" s="147"/>
      <c r="AE2236" s="147"/>
      <c r="AF2236" s="147"/>
      <c r="AG2236" s="147"/>
      <c r="AH2236" s="147"/>
      <c r="AI2236" s="147"/>
      <c r="AJ2236" s="147"/>
      <c r="AK2236" s="147"/>
      <c r="AL2236" s="147"/>
      <c r="AM2236" s="147"/>
      <c r="AN2236" s="147"/>
      <c r="AO2236" s="147"/>
      <c r="AP2236" s="147"/>
      <c r="AQ2236" s="147"/>
      <c r="AR2236" s="147"/>
      <c r="AS2236" s="147"/>
      <c r="AT2236" s="147"/>
      <c r="AU2236" s="147"/>
      <c r="AV2236" s="147"/>
      <c r="AW2236" s="147"/>
      <c r="AX2236" s="147"/>
      <c r="AY2236" s="147"/>
      <c r="AZ2236" s="147"/>
      <c r="BA2236" s="147"/>
    </row>
    <row r="2237" spans="1:53" ht="15.75" hidden="1" customHeight="1" outlineLevel="1">
      <c r="A2237" s="447"/>
      <c r="B2237" s="99"/>
      <c r="C2237" s="91">
        <f>IF($F$2231&gt;0,'Assumptions (Petroleum)'!$V$13*Model!$F$2231*'Assumptions (Petroleum)'!B$2/10^9,0)</f>
        <v>5.7560718657664989E-2</v>
      </c>
      <c r="D2237" s="91">
        <f>IF($F$2231&gt;0,'Assumptions (Petroleum)'!$V$13*Model!$F$2231*'Assumptions (Petroleum)'!C$2/10^9,0)</f>
        <v>5.8711933030818293E-2</v>
      </c>
      <c r="E2237" s="91">
        <f>IF($F$2231&gt;0,'Assumptions (Petroleum)'!$V$13*Model!$F$2231*'Assumptions (Petroleum)'!D$2/10^9,0)</f>
        <v>5.9886171691434655E-2</v>
      </c>
      <c r="F2237" s="91"/>
      <c r="G2237" s="91"/>
      <c r="H2237" s="91"/>
      <c r="I2237" s="91"/>
      <c r="J2237" s="91"/>
      <c r="K2237" s="91"/>
      <c r="L2237" s="91"/>
      <c r="M2237" s="105"/>
      <c r="N2237" s="105"/>
      <c r="O2237" s="105"/>
      <c r="P2237" s="105"/>
      <c r="Q2237" s="105"/>
      <c r="R2237" s="105"/>
      <c r="S2237" s="105"/>
      <c r="T2237" s="105"/>
      <c r="U2237" s="105"/>
      <c r="V2237" s="99"/>
      <c r="W2237" s="147"/>
      <c r="X2237" s="147"/>
      <c r="Y2237" s="147"/>
      <c r="Z2237" s="147"/>
      <c r="AA2237" s="147"/>
      <c r="AB2237" s="147"/>
      <c r="AC2237" s="147"/>
      <c r="AD2237" s="147"/>
      <c r="AE2237" s="147"/>
      <c r="AF2237" s="147"/>
      <c r="AG2237" s="147"/>
      <c r="AH2237" s="147"/>
      <c r="AI2237" s="147"/>
      <c r="AJ2237" s="147"/>
      <c r="AK2237" s="147"/>
      <c r="AL2237" s="147"/>
      <c r="AM2237" s="147"/>
      <c r="AN2237" s="147"/>
      <c r="AO2237" s="147"/>
      <c r="AP2237" s="147"/>
      <c r="AQ2237" s="147"/>
      <c r="AR2237" s="147"/>
      <c r="AS2237" s="147"/>
      <c r="AT2237" s="147"/>
      <c r="AU2237" s="147"/>
      <c r="AV2237" s="147"/>
      <c r="AW2237" s="147"/>
      <c r="AX2237" s="147"/>
      <c r="AY2237" s="147"/>
      <c r="AZ2237" s="147"/>
      <c r="BA2237" s="147"/>
    </row>
    <row r="2238" spans="1:53" ht="15.75" hidden="1" customHeight="1" outlineLevel="1">
      <c r="A2238" s="447"/>
      <c r="B2238" s="99"/>
      <c r="C2238" s="91"/>
      <c r="D2238" s="91">
        <f>IF($G$2231&gt;0,'Assumptions (Petroleum)'!$V$13*Model!$G$2231*'Assumptions (Petroleum)'!C$2/10^9,0)</f>
        <v>4.6870682090427461E-2</v>
      </c>
      <c r="E2238" s="91">
        <f>IF($G$2231&gt;0,'Assumptions (Petroleum)'!$V$13*Model!$G$2231*'Assumptions (Petroleum)'!D$2/10^9,0)</f>
        <v>4.7808095732236003E-2</v>
      </c>
      <c r="F2238" s="91">
        <f>IF($G$2231&gt;0,'Assumptions (Petroleum)'!$V$13*Model!$G$2231*'Assumptions (Petroleum)'!E$2/10^9,0)</f>
        <v>4.8764257646880721E-2</v>
      </c>
      <c r="G2238" s="91"/>
      <c r="H2238" s="91"/>
      <c r="I2238" s="91"/>
      <c r="J2238" s="91"/>
      <c r="K2238" s="91"/>
      <c r="L2238" s="91"/>
      <c r="M2238" s="105"/>
      <c r="N2238" s="105"/>
      <c r="O2238" s="105"/>
      <c r="P2238" s="105"/>
      <c r="Q2238" s="105"/>
      <c r="R2238" s="105"/>
      <c r="S2238" s="105"/>
      <c r="T2238" s="105"/>
      <c r="U2238" s="105"/>
      <c r="V2238" s="99"/>
      <c r="W2238" s="147"/>
      <c r="X2238" s="147"/>
      <c r="Y2238" s="147"/>
      <c r="Z2238" s="147"/>
      <c r="AA2238" s="147"/>
      <c r="AB2238" s="147"/>
      <c r="AC2238" s="147"/>
      <c r="AD2238" s="147"/>
      <c r="AE2238" s="147"/>
      <c r="AF2238" s="147"/>
      <c r="AG2238" s="147"/>
      <c r="AH2238" s="147"/>
      <c r="AI2238" s="147"/>
      <c r="AJ2238" s="147"/>
      <c r="AK2238" s="147"/>
      <c r="AL2238" s="147"/>
      <c r="AM2238" s="147"/>
      <c r="AN2238" s="147"/>
      <c r="AO2238" s="147"/>
      <c r="AP2238" s="147"/>
      <c r="AQ2238" s="147"/>
      <c r="AR2238" s="147"/>
      <c r="AS2238" s="147"/>
      <c r="AT2238" s="147"/>
      <c r="AU2238" s="147"/>
      <c r="AV2238" s="147"/>
      <c r="AW2238" s="147"/>
      <c r="AX2238" s="147"/>
      <c r="AY2238" s="147"/>
      <c r="AZ2238" s="147"/>
      <c r="BA2238" s="147"/>
    </row>
    <row r="2239" spans="1:53" ht="15.75" hidden="1" customHeight="1" outlineLevel="1">
      <c r="A2239" s="447"/>
      <c r="B2239" s="99"/>
      <c r="C2239" s="91"/>
      <c r="D2239" s="91"/>
      <c r="E2239" s="91">
        <f>IF($H$2231&gt;0,'Assumptions (Petroleum)'!$V$13*Model!$H$2231*'Assumptions (Petroleum)'!D$2/10^9,0)</f>
        <v>2.6906377943262262E-2</v>
      </c>
      <c r="F2239" s="91">
        <f>IF($H$2231&gt;0,'Assumptions (Petroleum)'!$V$13*Model!$H$2231*'Assumptions (Petroleum)'!E$2/10^9,0)</f>
        <v>2.7444505502127507E-2</v>
      </c>
      <c r="G2239" s="91">
        <f>IF($H$2231&gt;0,'Assumptions (Petroleum)'!$V$13*Model!$H$2231*'Assumptions (Petroleum)'!F$2/10^9,0)</f>
        <v>2.7993395612170055E-2</v>
      </c>
      <c r="H2239" s="91"/>
      <c r="I2239" s="91"/>
      <c r="J2239" s="91"/>
      <c r="K2239" s="91"/>
      <c r="L2239" s="91"/>
      <c r="M2239" s="105"/>
      <c r="N2239" s="105"/>
      <c r="O2239" s="105"/>
      <c r="P2239" s="105"/>
      <c r="Q2239" s="105"/>
      <c r="R2239" s="105"/>
      <c r="S2239" s="105"/>
      <c r="T2239" s="105"/>
      <c r="U2239" s="105"/>
      <c r="V2239" s="99"/>
      <c r="W2239" s="147"/>
      <c r="X2239" s="147"/>
      <c r="Y2239" s="147"/>
      <c r="Z2239" s="147"/>
      <c r="AA2239" s="147"/>
      <c r="AB2239" s="147"/>
      <c r="AC2239" s="147"/>
      <c r="AD2239" s="147"/>
      <c r="AE2239" s="147"/>
      <c r="AF2239" s="147"/>
      <c r="AG2239" s="147"/>
      <c r="AH2239" s="147"/>
      <c r="AI2239" s="147"/>
      <c r="AJ2239" s="147"/>
      <c r="AK2239" s="147"/>
      <c r="AL2239" s="147"/>
      <c r="AM2239" s="147"/>
      <c r="AN2239" s="147"/>
      <c r="AO2239" s="147"/>
      <c r="AP2239" s="147"/>
      <c r="AQ2239" s="147"/>
      <c r="AR2239" s="147"/>
      <c r="AS2239" s="147"/>
      <c r="AT2239" s="147"/>
      <c r="AU2239" s="147"/>
      <c r="AV2239" s="147"/>
      <c r="AW2239" s="147"/>
      <c r="AX2239" s="147"/>
      <c r="AY2239" s="147"/>
      <c r="AZ2239" s="147"/>
      <c r="BA2239" s="147"/>
    </row>
    <row r="2240" spans="1:53" ht="15.75" hidden="1" customHeight="1" outlineLevel="1">
      <c r="A2240" s="447"/>
      <c r="B2240" s="99"/>
      <c r="C2240" s="91"/>
      <c r="D2240" s="91"/>
      <c r="E2240" s="91"/>
      <c r="F2240" s="91">
        <f>IF($I$2231&gt;0,'Assumptions (Petroleum)'!$V$13*Model!$I$2231*'Assumptions (Petroleum)'!E$2/10^9,0)</f>
        <v>3.9413489162339839E-2</v>
      </c>
      <c r="G2240" s="91">
        <f>IF($I$2231&gt;0,'Assumptions (Petroleum)'!$V$13*Model!$I$2231*'Assumptions (Petroleum)'!F$2/10^9,0)</f>
        <v>4.0201758945586634E-2</v>
      </c>
      <c r="H2240" s="91">
        <f>IF($I$2231&gt;0,'Assumptions (Petroleum)'!$V$13*Model!$I$2231*'Assumptions (Petroleum)'!G$2/10^9,0)</f>
        <v>4.1005794124498368E-2</v>
      </c>
      <c r="I2240" s="91"/>
      <c r="J2240" s="91"/>
      <c r="K2240" s="91"/>
      <c r="L2240" s="91"/>
      <c r="M2240" s="105"/>
      <c r="N2240" s="105"/>
      <c r="O2240" s="105"/>
      <c r="P2240" s="105"/>
      <c r="Q2240" s="105"/>
      <c r="R2240" s="105"/>
      <c r="S2240" s="105"/>
      <c r="T2240" s="105"/>
      <c r="U2240" s="105"/>
      <c r="V2240" s="99"/>
      <c r="W2240" s="147"/>
      <c r="X2240" s="147"/>
      <c r="Y2240" s="147"/>
      <c r="Z2240" s="147"/>
      <c r="AA2240" s="147"/>
      <c r="AB2240" s="147"/>
      <c r="AC2240" s="147"/>
      <c r="AD2240" s="147"/>
      <c r="AE2240" s="147"/>
      <c r="AF2240" s="147"/>
      <c r="AG2240" s="147"/>
      <c r="AH2240" s="147"/>
      <c r="AI2240" s="147"/>
      <c r="AJ2240" s="147"/>
      <c r="AK2240" s="147"/>
      <c r="AL2240" s="147"/>
      <c r="AM2240" s="147"/>
      <c r="AN2240" s="147"/>
      <c r="AO2240" s="147"/>
      <c r="AP2240" s="147"/>
      <c r="AQ2240" s="147"/>
      <c r="AR2240" s="147"/>
      <c r="AS2240" s="147"/>
      <c r="AT2240" s="147"/>
      <c r="AU2240" s="147"/>
      <c r="AV2240" s="147"/>
      <c r="AW2240" s="147"/>
      <c r="AX2240" s="147"/>
      <c r="AY2240" s="147"/>
      <c r="AZ2240" s="147"/>
      <c r="BA2240" s="147"/>
    </row>
    <row r="2241" spans="1:53" ht="15.75" hidden="1" customHeight="1" outlineLevel="1">
      <c r="A2241" s="447"/>
      <c r="B2241" s="99"/>
      <c r="C2241" s="91"/>
      <c r="D2241" s="91"/>
      <c r="E2241" s="91"/>
      <c r="F2241" s="91"/>
      <c r="G2241" s="91">
        <f>IF($J$2231&gt;0,'Assumptions (Petroleum)'!$V$13*Model!$J$2231*'Assumptions (Petroleum)'!F$2/10^9,0)</f>
        <v>5.7107480827212335E-2</v>
      </c>
      <c r="H2241" s="91">
        <f>IF($J$2231&gt;0,'Assumptions (Petroleum)'!$V$13*Model!$J$2231*'Assumptions (Petroleum)'!G$2/10^9,0)</f>
        <v>5.8249630443756584E-2</v>
      </c>
      <c r="I2241" s="91">
        <f>IF($J$2231&gt;0,'Assumptions (Petroleum)'!$V$13*Model!$J$2231*'Assumptions (Petroleum)'!H$2/10^9,0)</f>
        <v>5.9414623052631711E-2</v>
      </c>
      <c r="J2241" s="91"/>
      <c r="K2241" s="91"/>
      <c r="L2241" s="91"/>
      <c r="M2241" s="105"/>
      <c r="N2241" s="105"/>
      <c r="O2241" s="105"/>
      <c r="P2241" s="105"/>
      <c r="Q2241" s="105"/>
      <c r="R2241" s="105"/>
      <c r="S2241" s="105"/>
      <c r="T2241" s="105"/>
      <c r="U2241" s="105"/>
      <c r="V2241" s="99"/>
      <c r="W2241" s="147"/>
      <c r="X2241" s="147"/>
      <c r="Y2241" s="147"/>
      <c r="Z2241" s="147"/>
      <c r="AA2241" s="147"/>
      <c r="AB2241" s="147"/>
      <c r="AC2241" s="147"/>
      <c r="AD2241" s="147"/>
      <c r="AE2241" s="147"/>
      <c r="AF2241" s="147"/>
      <c r="AG2241" s="147"/>
      <c r="AH2241" s="147"/>
      <c r="AI2241" s="147"/>
      <c r="AJ2241" s="147"/>
      <c r="AK2241" s="147"/>
      <c r="AL2241" s="147"/>
      <c r="AM2241" s="147"/>
      <c r="AN2241" s="147"/>
      <c r="AO2241" s="147"/>
      <c r="AP2241" s="147"/>
      <c r="AQ2241" s="147"/>
      <c r="AR2241" s="147"/>
      <c r="AS2241" s="147"/>
      <c r="AT2241" s="147"/>
      <c r="AU2241" s="147"/>
      <c r="AV2241" s="147"/>
      <c r="AW2241" s="147"/>
      <c r="AX2241" s="147"/>
      <c r="AY2241" s="147"/>
      <c r="AZ2241" s="147"/>
      <c r="BA2241" s="147"/>
    </row>
    <row r="2242" spans="1:53" ht="15.75" hidden="1" customHeight="1" outlineLevel="1">
      <c r="A2242" s="447"/>
      <c r="B2242" s="99"/>
      <c r="C2242" s="91"/>
      <c r="D2242" s="91"/>
      <c r="E2242" s="91"/>
      <c r="F2242" s="91"/>
      <c r="G2242" s="91"/>
      <c r="H2242" s="91">
        <f>IF($K$2231&gt;0,'Assumptions (Petroleum)'!$V$13*Model!$K$2231*'Assumptions (Petroleum)'!G$2/10^9,0)</f>
        <v>2.0843395945845257E-2</v>
      </c>
      <c r="I2242" s="91">
        <f>IF($K$2231&gt;0,'Assumptions (Petroleum)'!$V$13*Model!$K$2231*'Assumptions (Petroleum)'!H$2/10^9,0)</f>
        <v>2.1260263864762166E-2</v>
      </c>
      <c r="J2242" s="91">
        <f>IF($K$2231&gt;0,'Assumptions (Petroleum)'!$V$13*Model!$K$2231*'Assumptions (Petroleum)'!I$2/10^9,0)</f>
        <v>2.1685469142057406E-2</v>
      </c>
      <c r="K2242" s="91"/>
      <c r="L2242" s="91"/>
      <c r="M2242" s="105"/>
      <c r="N2242" s="105"/>
      <c r="O2242" s="105"/>
      <c r="P2242" s="105"/>
      <c r="Q2242" s="105"/>
      <c r="R2242" s="105"/>
      <c r="S2242" s="105"/>
      <c r="T2242" s="105"/>
      <c r="U2242" s="105"/>
      <c r="V2242" s="99"/>
      <c r="W2242" s="147"/>
      <c r="X2242" s="147"/>
      <c r="Y2242" s="147"/>
      <c r="Z2242" s="147"/>
      <c r="AA2242" s="147"/>
      <c r="AB2242" s="147"/>
      <c r="AC2242" s="147"/>
      <c r="AD2242" s="147"/>
      <c r="AE2242" s="147"/>
      <c r="AF2242" s="147"/>
      <c r="AG2242" s="147"/>
      <c r="AH2242" s="147"/>
      <c r="AI2242" s="147"/>
      <c r="AJ2242" s="147"/>
      <c r="AK2242" s="147"/>
      <c r="AL2242" s="147"/>
      <c r="AM2242" s="147"/>
      <c r="AN2242" s="147"/>
      <c r="AO2242" s="147"/>
      <c r="AP2242" s="147"/>
      <c r="AQ2242" s="147"/>
      <c r="AR2242" s="147"/>
      <c r="AS2242" s="147"/>
      <c r="AT2242" s="147"/>
      <c r="AU2242" s="147"/>
      <c r="AV2242" s="147"/>
      <c r="AW2242" s="147"/>
      <c r="AX2242" s="147"/>
      <c r="AY2242" s="147"/>
      <c r="AZ2242" s="147"/>
      <c r="BA2242" s="147"/>
    </row>
    <row r="2243" spans="1:53" ht="15.75" hidden="1" customHeight="1" outlineLevel="1">
      <c r="A2243" s="447"/>
      <c r="B2243" s="99"/>
      <c r="C2243" s="91"/>
      <c r="D2243" s="91"/>
      <c r="E2243" s="91"/>
      <c r="F2243" s="91"/>
      <c r="G2243" s="91"/>
      <c r="H2243" s="91"/>
      <c r="I2243" s="91">
        <f>IF($L$2231&gt;0,'Assumptions (Petroleum)'!$V$13*Model!$L$2231*'Assumptions (Petroleum)'!H$2/10^9,0)</f>
        <v>1.6571594237644253E-2</v>
      </c>
      <c r="J2243" s="91">
        <f>IF($L$2231&gt;0,'Assumptions (Petroleum)'!$V$13*Model!$L$2231*'Assumptions (Petroleum)'!I$2/10^9,0)</f>
        <v>1.6903026122397136E-2</v>
      </c>
      <c r="K2243" s="91">
        <f>IF($L$2231&gt;0,'Assumptions (Petroleum)'!$V$13*Model!$L$2231*'Assumptions (Petroleum)'!J$2/10^9,0)</f>
        <v>1.7241086644845079E-2</v>
      </c>
      <c r="L2243" s="91"/>
      <c r="M2243" s="105"/>
      <c r="N2243" s="105"/>
      <c r="O2243" s="105"/>
      <c r="P2243" s="105"/>
      <c r="Q2243" s="105"/>
      <c r="R2243" s="105"/>
      <c r="S2243" s="105"/>
      <c r="T2243" s="105"/>
      <c r="U2243" s="105"/>
      <c r="V2243" s="99"/>
      <c r="W2243" s="147"/>
      <c r="X2243" s="147"/>
      <c r="Y2243" s="147"/>
      <c r="Z2243" s="147"/>
      <c r="AA2243" s="147"/>
      <c r="AB2243" s="147"/>
      <c r="AC2243" s="147"/>
      <c r="AD2243" s="147"/>
      <c r="AE2243" s="147"/>
      <c r="AF2243" s="147"/>
      <c r="AG2243" s="147"/>
      <c r="AH2243" s="147"/>
      <c r="AI2243" s="147"/>
      <c r="AJ2243" s="147"/>
      <c r="AK2243" s="147"/>
      <c r="AL2243" s="147"/>
      <c r="AM2243" s="147"/>
      <c r="AN2243" s="147"/>
      <c r="AO2243" s="147"/>
      <c r="AP2243" s="147"/>
      <c r="AQ2243" s="147"/>
      <c r="AR2243" s="147"/>
      <c r="AS2243" s="147"/>
      <c r="AT2243" s="147"/>
      <c r="AU2243" s="147"/>
      <c r="AV2243" s="147"/>
      <c r="AW2243" s="147"/>
      <c r="AX2243" s="147"/>
      <c r="AY2243" s="147"/>
      <c r="AZ2243" s="147"/>
      <c r="BA2243" s="147"/>
    </row>
    <row r="2244" spans="1:53" ht="15.75" hidden="1" customHeight="1" outlineLevel="1">
      <c r="A2244" s="447"/>
      <c r="B2244" s="99"/>
      <c r="C2244" s="91"/>
      <c r="D2244" s="91"/>
      <c r="E2244" s="91"/>
      <c r="F2244" s="91"/>
      <c r="G2244" s="91"/>
      <c r="H2244" s="91"/>
      <c r="I2244" s="91"/>
      <c r="J2244" s="91">
        <f>IF($M$2231&gt;0,'Assumptions (Petroleum)'!$V$13*Model!$M$2231*'Assumptions (Petroleum)'!I$2/10^9,0)</f>
        <v>0.23044290253992625</v>
      </c>
      <c r="K2244" s="91">
        <f>IF($M$2231&gt;0,'Assumptions (Petroleum)'!$V$13*Model!$M$2231*'Assumptions (Petroleum)'!J$2/10^9,0)</f>
        <v>0.23505176059072477</v>
      </c>
      <c r="L2244" s="91">
        <f>IF($M$2231&gt;0,'Assumptions (Petroleum)'!$V$13*Model!$M$2231*'Assumptions (Petroleum)'!K$2/10^9,0)</f>
        <v>0.23975279580253928</v>
      </c>
      <c r="M2244" s="105"/>
      <c r="N2244" s="105"/>
      <c r="O2244" s="105"/>
      <c r="P2244" s="105"/>
      <c r="Q2244" s="105"/>
      <c r="R2244" s="105"/>
      <c r="S2244" s="105"/>
      <c r="T2244" s="105"/>
      <c r="U2244" s="105"/>
      <c r="V2244" s="99"/>
      <c r="W2244" s="147"/>
      <c r="X2244" s="147"/>
      <c r="Y2244" s="147"/>
      <c r="Z2244" s="147"/>
      <c r="AA2244" s="147"/>
      <c r="AB2244" s="147"/>
      <c r="AC2244" s="147"/>
      <c r="AD2244" s="147"/>
      <c r="AE2244" s="147"/>
      <c r="AF2244" s="147"/>
      <c r="AG2244" s="147"/>
      <c r="AH2244" s="147"/>
      <c r="AI2244" s="147"/>
      <c r="AJ2244" s="147"/>
      <c r="AK2244" s="147"/>
      <c r="AL2244" s="147"/>
      <c r="AM2244" s="147"/>
      <c r="AN2244" s="147"/>
      <c r="AO2244" s="147"/>
      <c r="AP2244" s="147"/>
      <c r="AQ2244" s="147"/>
      <c r="AR2244" s="147"/>
      <c r="AS2244" s="147"/>
      <c r="AT2244" s="147"/>
      <c r="AU2244" s="147"/>
      <c r="AV2244" s="147"/>
      <c r="AW2244" s="147"/>
      <c r="AX2244" s="147"/>
      <c r="AY2244" s="147"/>
      <c r="AZ2244" s="147"/>
      <c r="BA2244" s="147"/>
    </row>
    <row r="2245" spans="1:53" ht="15.75" hidden="1" customHeight="1" outlineLevel="1">
      <c r="A2245" s="447"/>
      <c r="B2245" s="99"/>
      <c r="C2245" s="105"/>
      <c r="D2245" s="105"/>
      <c r="E2245" s="105"/>
      <c r="F2245" s="105"/>
      <c r="G2245" s="105"/>
      <c r="H2245" s="105"/>
      <c r="I2245" s="105"/>
      <c r="J2245" s="105"/>
      <c r="K2245" s="105">
        <f>IF($N$2231&gt;0,'Assumptions (Petroleum)'!$V$13*Model!$N$2231*'Assumptions (Petroleum)'!J$2/10^9,0)</f>
        <v>8.7186213602225573E-2</v>
      </c>
      <c r="L2245" s="105">
        <f>IF($N$2231&gt;0,'Assumptions (Petroleum)'!$V$13*Model!$N$2231*'Assumptions (Petroleum)'!K$2/10^9,0)</f>
        <v>8.8929937874270101E-2</v>
      </c>
      <c r="M2245" s="105">
        <f>IF($N$2231&gt;0,'Assumptions (Petroleum)'!$V$13*Model!$N$2231*'Assumptions (Petroleum)'!L$2/10^9,0)</f>
        <v>9.0708536631755488E-2</v>
      </c>
      <c r="N2245" s="105"/>
      <c r="O2245" s="105"/>
      <c r="P2245" s="105"/>
      <c r="Q2245" s="105"/>
      <c r="R2245" s="105"/>
      <c r="S2245" s="105"/>
      <c r="T2245" s="105"/>
      <c r="U2245" s="105"/>
      <c r="V2245" s="99"/>
      <c r="W2245" s="147"/>
      <c r="X2245" s="147"/>
      <c r="Y2245" s="147"/>
      <c r="Z2245" s="147"/>
      <c r="AA2245" s="147"/>
      <c r="AB2245" s="147"/>
      <c r="AC2245" s="147"/>
      <c r="AD2245" s="147"/>
      <c r="AE2245" s="147"/>
      <c r="AF2245" s="147"/>
      <c r="AG2245" s="147"/>
      <c r="AH2245" s="147"/>
      <c r="AI2245" s="147"/>
      <c r="AJ2245" s="147"/>
      <c r="AK2245" s="147"/>
      <c r="AL2245" s="147"/>
      <c r="AM2245" s="147"/>
      <c r="AN2245" s="147"/>
      <c r="AO2245" s="147"/>
      <c r="AP2245" s="147"/>
      <c r="AQ2245" s="147"/>
      <c r="AR2245" s="147"/>
      <c r="AS2245" s="147"/>
      <c r="AT2245" s="147"/>
      <c r="AU2245" s="147"/>
      <c r="AV2245" s="147"/>
      <c r="AW2245" s="147"/>
      <c r="AX2245" s="147"/>
      <c r="AY2245" s="147"/>
      <c r="AZ2245" s="147"/>
      <c r="BA2245" s="147"/>
    </row>
    <row r="2246" spans="1:53" ht="15.75" hidden="1" customHeight="1" outlineLevel="1">
      <c r="A2246" s="447"/>
      <c r="B2246" s="99"/>
      <c r="C2246" s="105"/>
      <c r="D2246" s="105"/>
      <c r="E2246" s="105"/>
      <c r="F2246" s="105"/>
      <c r="G2246" s="105"/>
      <c r="H2246" s="105"/>
      <c r="I2246" s="105"/>
      <c r="J2246" s="105"/>
      <c r="K2246" s="105"/>
      <c r="L2246" s="105">
        <f>IF($O$2231&gt;0,'Assumptions (Petroleum)'!$V$13*Model!$O$2231*'Assumptions (Petroleum)'!K$2/10^9,0)</f>
        <v>4.9940820647569668E-2</v>
      </c>
      <c r="M2246" s="105">
        <f>IF($O$2231&gt;0,'Assumptions (Petroleum)'!$V$13*Model!$O$2231*'Assumptions (Petroleum)'!L$2/10^9,0)</f>
        <v>5.0939637060521063E-2</v>
      </c>
      <c r="N2246" s="105">
        <f>IF($O$2231&gt;0,'Assumptions (Petroleum)'!$V$13*Model!$O$2231*'Assumptions (Petroleum)'!M$2/10^9,0)</f>
        <v>5.1958429801731487E-2</v>
      </c>
      <c r="O2246" s="105"/>
      <c r="P2246" s="105"/>
      <c r="Q2246" s="105"/>
      <c r="R2246" s="105"/>
      <c r="S2246" s="105"/>
      <c r="T2246" s="105"/>
      <c r="U2246" s="105"/>
      <c r="V2246" s="99"/>
      <c r="W2246" s="147"/>
      <c r="X2246" s="147"/>
      <c r="Y2246" s="147"/>
      <c r="Z2246" s="147"/>
      <c r="AA2246" s="147"/>
      <c r="AB2246" s="147"/>
      <c r="AC2246" s="147"/>
      <c r="AD2246" s="147"/>
      <c r="AE2246" s="147"/>
      <c r="AF2246" s="147"/>
      <c r="AG2246" s="147"/>
      <c r="AH2246" s="147"/>
      <c r="AI2246" s="147"/>
      <c r="AJ2246" s="147"/>
      <c r="AK2246" s="147"/>
      <c r="AL2246" s="147"/>
      <c r="AM2246" s="147"/>
      <c r="AN2246" s="147"/>
      <c r="AO2246" s="147"/>
      <c r="AP2246" s="147"/>
      <c r="AQ2246" s="147"/>
      <c r="AR2246" s="147"/>
      <c r="AS2246" s="147"/>
      <c r="AT2246" s="147"/>
      <c r="AU2246" s="147"/>
      <c r="AV2246" s="147"/>
      <c r="AW2246" s="147"/>
      <c r="AX2246" s="147"/>
      <c r="AY2246" s="147"/>
      <c r="AZ2246" s="147"/>
      <c r="BA2246" s="147"/>
    </row>
    <row r="2247" spans="1:53" ht="15.75" hidden="1" customHeight="1" outlineLevel="1">
      <c r="A2247" s="447"/>
      <c r="B2247" s="99"/>
      <c r="C2247" s="105"/>
      <c r="D2247" s="105"/>
      <c r="E2247" s="105"/>
      <c r="F2247" s="105"/>
      <c r="G2247" s="105"/>
      <c r="H2247" s="105"/>
      <c r="I2247" s="105"/>
      <c r="J2247" s="91"/>
      <c r="K2247" s="91"/>
      <c r="L2247" s="91"/>
      <c r="M2247" s="91">
        <f>IF($P$2231&gt;0,'Assumptions (Petroleum)'!$V$13*Model!$P$2231*'Assumptions (Petroleum)'!L$2/10^9,0)</f>
        <v>1.5440322250816874E-2</v>
      </c>
      <c r="N2247" s="91">
        <f>IF($P$2231&gt;0,'Assumptions (Petroleum)'!$V$13*Model!$P$2231*'Assumptions (Petroleum)'!M$2/10^9,0)</f>
        <v>1.5749128695833215E-2</v>
      </c>
      <c r="O2247" s="91">
        <f>IF($P$2231&gt;0,'Assumptions (Petroleum)'!$V$13*Model!$P$2231*'Assumptions (Petroleum)'!N$2/10^9,0)</f>
        <v>1.6064111269749878E-2</v>
      </c>
      <c r="P2247" s="91"/>
      <c r="Q2247" s="105"/>
      <c r="R2247" s="91"/>
      <c r="S2247" s="91"/>
      <c r="T2247" s="91"/>
      <c r="U2247" s="91"/>
      <c r="V2247" s="99"/>
      <c r="W2247" s="147"/>
      <c r="X2247" s="147"/>
      <c r="Y2247" s="147"/>
      <c r="Z2247" s="147"/>
      <c r="AA2247" s="147"/>
      <c r="AB2247" s="147"/>
      <c r="AC2247" s="147"/>
      <c r="AD2247" s="147"/>
      <c r="AE2247" s="147"/>
      <c r="AF2247" s="147"/>
      <c r="AG2247" s="147"/>
      <c r="AH2247" s="147"/>
      <c r="AI2247" s="147"/>
      <c r="AJ2247" s="147"/>
      <c r="AK2247" s="147"/>
      <c r="AL2247" s="147"/>
      <c r="AM2247" s="147"/>
      <c r="AN2247" s="147"/>
      <c r="AO2247" s="147"/>
      <c r="AP2247" s="147"/>
      <c r="AQ2247" s="147"/>
      <c r="AR2247" s="147"/>
      <c r="AS2247" s="147"/>
      <c r="AT2247" s="147"/>
      <c r="AU2247" s="147"/>
      <c r="AV2247" s="147"/>
      <c r="AW2247" s="147"/>
      <c r="AX2247" s="147"/>
      <c r="AY2247" s="147"/>
      <c r="AZ2247" s="147"/>
      <c r="BA2247" s="147"/>
    </row>
    <row r="2248" spans="1:53" ht="15.75" hidden="1" customHeight="1" outlineLevel="1">
      <c r="A2248" s="447"/>
      <c r="B2248" s="99"/>
      <c r="C2248" s="105"/>
      <c r="D2248" s="105"/>
      <c r="E2248" s="105"/>
      <c r="F2248" s="105"/>
      <c r="G2248" s="105"/>
      <c r="H2248" s="105"/>
      <c r="I2248" s="105"/>
      <c r="J2248" s="105"/>
      <c r="K2248" s="91"/>
      <c r="L2248" s="91"/>
      <c r="M2248" s="91"/>
      <c r="N2248" s="91">
        <f>IF($Q$2231&gt;0,'Assumptions (Petroleum)'!$V$13*Model!$Q$2231*'Assumptions (Petroleum)'!M$2/10^9,0)</f>
        <v>1.3475776205825985E-2</v>
      </c>
      <c r="O2248" s="91">
        <f>IF($Q$2231&gt;0,'Assumptions (Petroleum)'!$V$13*Model!$Q$2231*'Assumptions (Petroleum)'!N$2/10^9,0)</f>
        <v>1.3745291729942504E-2</v>
      </c>
      <c r="P2248" s="91">
        <f>IF($Q$2231&gt;0,'Assumptions (Petroleum)'!$V$13*Model!$Q$2231*'Assumptions (Petroleum)'!O$2/10^9,0)</f>
        <v>1.4020197564541353E-2</v>
      </c>
      <c r="Q2248" s="105"/>
      <c r="R2248" s="91"/>
      <c r="S2248" s="91"/>
      <c r="T2248" s="91"/>
      <c r="U2248" s="91"/>
      <c r="V2248" s="99"/>
      <c r="W2248" s="147"/>
      <c r="X2248" s="147"/>
      <c r="Y2248" s="147"/>
      <c r="Z2248" s="147"/>
      <c r="AA2248" s="147"/>
      <c r="AB2248" s="147"/>
      <c r="AC2248" s="147"/>
      <c r="AD2248" s="147"/>
      <c r="AE2248" s="147"/>
      <c r="AF2248" s="147"/>
      <c r="AG2248" s="147"/>
      <c r="AH2248" s="147"/>
      <c r="AI2248" s="147"/>
      <c r="AJ2248" s="147"/>
      <c r="AK2248" s="147"/>
      <c r="AL2248" s="147"/>
      <c r="AM2248" s="147"/>
      <c r="AN2248" s="147"/>
      <c r="AO2248" s="147"/>
      <c r="AP2248" s="147"/>
      <c r="AQ2248" s="147"/>
      <c r="AR2248" s="147"/>
      <c r="AS2248" s="147"/>
      <c r="AT2248" s="147"/>
      <c r="AU2248" s="147"/>
      <c r="AV2248" s="147"/>
      <c r="AW2248" s="147"/>
      <c r="AX2248" s="147"/>
      <c r="AY2248" s="147"/>
      <c r="AZ2248" s="147"/>
      <c r="BA2248" s="147"/>
    </row>
    <row r="2249" spans="1:53" ht="15.75" hidden="1" customHeight="1" outlineLevel="1">
      <c r="A2249" s="447"/>
      <c r="B2249" s="99"/>
      <c r="C2249" s="105"/>
      <c r="D2249" s="105"/>
      <c r="E2249" s="105"/>
      <c r="F2249" s="105"/>
      <c r="G2249" s="105"/>
      <c r="H2249" s="105"/>
      <c r="I2249" s="105"/>
      <c r="J2249" s="105"/>
      <c r="K2249" s="105"/>
      <c r="L2249" s="167"/>
      <c r="M2249" s="167"/>
      <c r="N2249" s="167"/>
      <c r="O2249" s="167">
        <f>IF($R$2231&gt;0,'Assumptions (Petroleum)'!$V$13*Model!$R$2231*'Assumptions (Petroleum)'!N$2/10^9,0)</f>
        <v>1.679048847499074E-2</v>
      </c>
      <c r="P2249" s="167">
        <f>IF($R$2231&gt;0,'Assumptions (Petroleum)'!$V$13*Model!$R$2231*'Assumptions (Petroleum)'!O$2/10^9,0)</f>
        <v>1.7126298244490558E-2</v>
      </c>
      <c r="Q2249" s="167">
        <f>IF($R$2231&gt;0,'Assumptions (Petroleum)'!$V$13*Model!$R$2231*'Assumptions (Petroleum)'!P$2/10^9,0)</f>
        <v>1.7468824209380365E-2</v>
      </c>
      <c r="R2249" s="91"/>
      <c r="S2249" s="91"/>
      <c r="T2249" s="91"/>
      <c r="U2249" s="91"/>
      <c r="V2249" s="99"/>
      <c r="W2249" s="147"/>
      <c r="X2249" s="147"/>
      <c r="Y2249" s="147"/>
      <c r="Z2249" s="147"/>
      <c r="AA2249" s="147"/>
      <c r="AB2249" s="147"/>
      <c r="AC2249" s="147"/>
      <c r="AD2249" s="147"/>
      <c r="AE2249" s="147"/>
      <c r="AF2249" s="147"/>
      <c r="AG2249" s="147"/>
      <c r="AH2249" s="147"/>
      <c r="AI2249" s="147"/>
      <c r="AJ2249" s="147"/>
      <c r="AK2249" s="147"/>
      <c r="AL2249" s="147"/>
      <c r="AM2249" s="147"/>
      <c r="AN2249" s="147"/>
      <c r="AO2249" s="147"/>
      <c r="AP2249" s="147"/>
      <c r="AQ2249" s="147"/>
      <c r="AR2249" s="147"/>
      <c r="AS2249" s="147"/>
      <c r="AT2249" s="147"/>
      <c r="AU2249" s="147"/>
      <c r="AV2249" s="147"/>
      <c r="AW2249" s="147"/>
      <c r="AX2249" s="147"/>
      <c r="AY2249" s="147"/>
      <c r="AZ2249" s="147"/>
      <c r="BA2249" s="147"/>
    </row>
    <row r="2250" spans="1:53" ht="15.75" hidden="1" customHeight="1" outlineLevel="1">
      <c r="A2250" s="447"/>
      <c r="B2250" s="99"/>
      <c r="C2250" s="105"/>
      <c r="D2250" s="105"/>
      <c r="E2250" s="105"/>
      <c r="F2250" s="105"/>
      <c r="G2250" s="105"/>
      <c r="H2250" s="105"/>
      <c r="I2250" s="105"/>
      <c r="J2250" s="105"/>
      <c r="K2250" s="105"/>
      <c r="L2250" s="105"/>
      <c r="M2250" s="105"/>
      <c r="N2250" s="105"/>
      <c r="O2250" s="105"/>
      <c r="P2250" s="105">
        <f>IF($S$2231&gt;0,'Assumptions (Petroleum)'!$V$13*Model!$S$2231*'Assumptions (Petroleum)'!O$2/10^9,0)</f>
        <v>9.7172507510337441E-3</v>
      </c>
      <c r="Q2250" s="105">
        <f>IF($S$2231&gt;0,'Assumptions (Petroleum)'!$V$13*Model!$S$2231*'Assumptions (Petroleum)'!P$2/10^9,0)</f>
        <v>9.91159576605442E-3</v>
      </c>
      <c r="R2250" s="105">
        <f>IF($S$2231&gt;0,'Assumptions (Petroleum)'!$V$13*Model!$S$2231*'Assumptions (Petroleum)'!Q$2/10^9,0)</f>
        <v>1.010982768137551E-2</v>
      </c>
      <c r="S2250" s="105"/>
      <c r="T2250" s="105"/>
      <c r="U2250" s="105"/>
      <c r="V2250" s="99"/>
      <c r="W2250" s="147"/>
      <c r="X2250" s="147"/>
      <c r="Y2250" s="147"/>
      <c r="Z2250" s="147"/>
      <c r="AA2250" s="147"/>
      <c r="AB2250" s="147"/>
      <c r="AC2250" s="147"/>
      <c r="AD2250" s="147"/>
      <c r="AE2250" s="147"/>
      <c r="AF2250" s="147"/>
      <c r="AG2250" s="147"/>
      <c r="AH2250" s="147"/>
      <c r="AI2250" s="147"/>
      <c r="AJ2250" s="147"/>
      <c r="AK2250" s="147"/>
      <c r="AL2250" s="147"/>
      <c r="AM2250" s="147"/>
      <c r="AN2250" s="147"/>
      <c r="AO2250" s="147"/>
      <c r="AP2250" s="147"/>
      <c r="AQ2250" s="147"/>
      <c r="AR2250" s="147"/>
      <c r="AS2250" s="147"/>
      <c r="AT2250" s="147"/>
      <c r="AU2250" s="147"/>
      <c r="AV2250" s="147"/>
      <c r="AW2250" s="147"/>
      <c r="AX2250" s="147"/>
      <c r="AY2250" s="147"/>
      <c r="AZ2250" s="147"/>
      <c r="BA2250" s="147"/>
    </row>
    <row r="2251" spans="1:53" ht="15.75" hidden="1" customHeight="1" outlineLevel="1">
      <c r="A2251" s="447"/>
      <c r="B2251" s="99"/>
      <c r="C2251" s="105"/>
      <c r="D2251" s="105"/>
      <c r="E2251" s="105"/>
      <c r="F2251" s="105"/>
      <c r="G2251" s="105"/>
      <c r="H2251" s="105"/>
      <c r="I2251" s="105"/>
      <c r="J2251" s="105"/>
      <c r="K2251" s="105"/>
      <c r="L2251" s="105"/>
      <c r="M2251" s="105"/>
      <c r="N2251" s="105"/>
      <c r="O2251" s="105"/>
      <c r="P2251" s="105"/>
      <c r="Q2251" s="105">
        <f>IF($T$2231&gt;0,'Assumptions (Petroleum)'!$V$13*Model!$T$2231*'Assumptions (Petroleum)'!P$2/10^9,0)</f>
        <v>1.5172589413139021E-2</v>
      </c>
      <c r="R2251" s="105">
        <f>IF($T$2231&gt;0,'Assumptions (Petroleum)'!$V$13*Model!$T$2231*'Assumptions (Petroleum)'!Q$2/10^9,0)</f>
        <v>1.5476041201401804E-2</v>
      </c>
      <c r="S2251" s="105">
        <f>IF($T$2231&gt;0,'Assumptions (Petroleum)'!$V$13*Model!$T$2231*'Assumptions (Petroleum)'!R$2/10^9,0)</f>
        <v>1.5785562025429838E-2</v>
      </c>
      <c r="T2251" s="105"/>
      <c r="U2251" s="105"/>
      <c r="V2251" s="99"/>
      <c r="W2251" s="147"/>
      <c r="X2251" s="147"/>
      <c r="Y2251" s="147"/>
      <c r="Z2251" s="147"/>
      <c r="AA2251" s="147"/>
      <c r="AB2251" s="147"/>
      <c r="AC2251" s="147"/>
      <c r="AD2251" s="147"/>
      <c r="AE2251" s="147"/>
      <c r="AF2251" s="147"/>
      <c r="AG2251" s="147"/>
      <c r="AH2251" s="147"/>
      <c r="AI2251" s="147"/>
      <c r="AJ2251" s="147"/>
      <c r="AK2251" s="147"/>
      <c r="AL2251" s="147"/>
      <c r="AM2251" s="147"/>
      <c r="AN2251" s="147"/>
      <c r="AO2251" s="147"/>
      <c r="AP2251" s="147"/>
      <c r="AQ2251" s="147"/>
      <c r="AR2251" s="147"/>
      <c r="AS2251" s="147"/>
      <c r="AT2251" s="147"/>
      <c r="AU2251" s="147"/>
      <c r="AV2251" s="147"/>
      <c r="AW2251" s="147"/>
      <c r="AX2251" s="147"/>
      <c r="AY2251" s="147"/>
      <c r="AZ2251" s="147"/>
      <c r="BA2251" s="147"/>
    </row>
    <row r="2252" spans="1:53" ht="15.75" hidden="1" customHeight="1" outlineLevel="1">
      <c r="A2252" s="447"/>
      <c r="B2252" s="99"/>
      <c r="C2252" s="105"/>
      <c r="D2252" s="105"/>
      <c r="E2252" s="105"/>
      <c r="F2252" s="105"/>
      <c r="G2252" s="105"/>
      <c r="H2252" s="105"/>
      <c r="I2252" s="105"/>
      <c r="J2252" s="105"/>
      <c r="K2252" s="105"/>
      <c r="L2252" s="105"/>
      <c r="M2252" s="105"/>
      <c r="N2252" s="105"/>
      <c r="O2252" s="91"/>
      <c r="P2252" s="91"/>
      <c r="Q2252" s="91"/>
      <c r="R2252" s="91">
        <f>IF($U$2231&gt;0,'Assumptions (Petroleum)'!$V$13*Model!$U$2231*'Assumptions (Petroleum)'!Q$2/10^9,0)</f>
        <v>6.1074032327371108E-3</v>
      </c>
      <c r="S2252" s="91">
        <f>IF($U$2231&gt;0,'Assumptions (Petroleum)'!$V$13*Model!$U$2231*'Assumptions (Petroleum)'!R$2/10^9,0)</f>
        <v>6.2295512973918532E-3</v>
      </c>
      <c r="T2252" s="91">
        <f>IF($U$2231&gt;0,'Assumptions (Petroleum)'!$V$13*Model!$U$2231*'Assumptions (Petroleum)'!S$2/10^9,0)</f>
        <v>6.3541423233396902E-3</v>
      </c>
      <c r="U2252" s="105"/>
      <c r="V2252" s="99"/>
      <c r="W2252" s="147"/>
      <c r="X2252" s="147"/>
      <c r="Y2252" s="147"/>
      <c r="Z2252" s="147"/>
      <c r="AA2252" s="147"/>
      <c r="AB2252" s="147"/>
      <c r="AC2252" s="147"/>
      <c r="AD2252" s="147"/>
      <c r="AE2252" s="147"/>
      <c r="AF2252" s="147"/>
      <c r="AG2252" s="147"/>
      <c r="AH2252" s="147"/>
      <c r="AI2252" s="147"/>
      <c r="AJ2252" s="147"/>
      <c r="AK2252" s="147"/>
      <c r="AL2252" s="147"/>
      <c r="AM2252" s="147"/>
      <c r="AN2252" s="147"/>
      <c r="AO2252" s="147"/>
      <c r="AP2252" s="147"/>
      <c r="AQ2252" s="147"/>
      <c r="AR2252" s="147"/>
      <c r="AS2252" s="147"/>
      <c r="AT2252" s="147"/>
      <c r="AU2252" s="147"/>
      <c r="AV2252" s="147"/>
      <c r="AW2252" s="147"/>
      <c r="AX2252" s="147"/>
      <c r="AY2252" s="147"/>
      <c r="AZ2252" s="147"/>
      <c r="BA2252" s="147"/>
    </row>
    <row r="2253" spans="1:53" ht="15.75" hidden="1" customHeight="1" outlineLevel="1">
      <c r="A2253" s="447"/>
      <c r="B2253" s="99"/>
      <c r="C2253" s="105"/>
      <c r="D2253" s="105"/>
      <c r="E2253" s="105"/>
      <c r="F2253" s="105"/>
      <c r="G2253" s="105"/>
      <c r="H2253" s="105"/>
      <c r="I2253" s="105"/>
      <c r="J2253" s="105"/>
      <c r="K2253" s="105"/>
      <c r="L2253" s="105"/>
      <c r="M2253" s="105"/>
      <c r="N2253" s="105"/>
      <c r="O2253" s="105"/>
      <c r="P2253" s="105"/>
      <c r="Q2253" s="105"/>
      <c r="R2253" s="105"/>
      <c r="S2253" s="105">
        <f>IF($V$2231&gt;0,'Assumptions (Petroleum)'!$V$13*Model!$V$2231*'Assumptions (Petroleum)'!R$2/10^9,0)</f>
        <v>5.8969053543272395E-3</v>
      </c>
      <c r="T2253" s="105">
        <f>IF($V$2231&gt;0,'Assumptions (Petroleum)'!$V$13*Model!$V$2231*'Assumptions (Petroleum)'!S$2/10^9,0)</f>
        <v>6.0148434614137837E-3</v>
      </c>
      <c r="U2253" s="105">
        <f>IF($V$2231&gt;0,'Assumptions (Petroleum)'!$V$13*Model!$V$2231*'Assumptions (Petroleum)'!T$2/10^9,0)</f>
        <v>6.1351403306420605E-3</v>
      </c>
      <c r="V2253" s="99"/>
      <c r="W2253" s="147"/>
      <c r="X2253" s="147"/>
      <c r="Y2253" s="147"/>
      <c r="Z2253" s="147"/>
      <c r="AA2253" s="147"/>
      <c r="AB2253" s="147"/>
      <c r="AC2253" s="147"/>
      <c r="AD2253" s="147"/>
      <c r="AE2253" s="147"/>
      <c r="AF2253" s="147"/>
      <c r="AG2253" s="147"/>
      <c r="AH2253" s="147"/>
      <c r="AI2253" s="147"/>
      <c r="AJ2253" s="147"/>
      <c r="AK2253" s="147"/>
      <c r="AL2253" s="147"/>
      <c r="AM2253" s="147"/>
      <c r="AN2253" s="147"/>
      <c r="AO2253" s="147"/>
      <c r="AP2253" s="147"/>
      <c r="AQ2253" s="147"/>
      <c r="AR2253" s="147"/>
      <c r="AS2253" s="147"/>
      <c r="AT2253" s="147"/>
      <c r="AU2253" s="147"/>
      <c r="AV2253" s="147"/>
      <c r="AW2253" s="147"/>
      <c r="AX2253" s="147"/>
      <c r="AY2253" s="147"/>
      <c r="AZ2253" s="147"/>
      <c r="BA2253" s="147"/>
    </row>
    <row r="2254" spans="1:53" ht="15.75" hidden="1" customHeight="1" outlineLevel="1">
      <c r="A2254" s="447"/>
      <c r="B2254" s="99"/>
      <c r="C2254" s="99"/>
      <c r="D2254" s="99"/>
      <c r="E2254" s="99"/>
      <c r="F2254" s="99"/>
      <c r="G2254" s="99"/>
      <c r="H2254" s="99"/>
      <c r="I2254" s="99"/>
      <c r="J2254" s="99"/>
      <c r="K2254" s="99"/>
      <c r="L2254" s="99"/>
      <c r="M2254" s="99"/>
      <c r="N2254" s="99"/>
      <c r="O2254" s="99"/>
      <c r="P2254" s="99"/>
      <c r="Q2254" s="99"/>
      <c r="R2254" s="99"/>
      <c r="S2254" s="99"/>
      <c r="T2254" s="105">
        <f>IF($W$2231&gt;0,'Assumptions (Petroleum)'!$V$13*Model!$W$2231*'Assumptions (Petroleum)'!S$2/10^9,0)</f>
        <v>0</v>
      </c>
      <c r="U2254" s="105">
        <f>IF($W$2231&gt;0,'Assumptions (Petroleum)'!$V$13*Model!$W$2231*'Assumptions (Petroleum)'!T$2/10^9,0)</f>
        <v>0</v>
      </c>
      <c r="V2254" s="105">
        <f>IF($W$2231&gt;0,'Assumptions (Petroleum)'!$V$13*Model!$W$2231*'Assumptions (Petroleum)'!U$2/10^9,0)</f>
        <v>0</v>
      </c>
      <c r="W2254" s="91"/>
      <c r="X2254" s="91"/>
      <c r="Y2254" s="91"/>
      <c r="Z2254" s="91"/>
      <c r="AA2254" s="91"/>
      <c r="AB2254" s="91"/>
      <c r="AC2254" s="91"/>
      <c r="AD2254" s="91"/>
      <c r="AE2254" s="91"/>
      <c r="AF2254" s="91"/>
      <c r="AG2254" s="91"/>
      <c r="AH2254" s="91"/>
      <c r="AI2254" s="91"/>
      <c r="AJ2254" s="91"/>
      <c r="AK2254" s="91"/>
      <c r="AL2254" s="91"/>
      <c r="AM2254" s="91"/>
      <c r="AN2254" s="91"/>
      <c r="AO2254" s="91"/>
      <c r="AP2254" s="91"/>
      <c r="AQ2254" s="91"/>
      <c r="AR2254" s="91"/>
      <c r="AS2254" s="91"/>
      <c r="AT2254" s="91"/>
      <c r="AU2254" s="91"/>
      <c r="AV2254" s="91"/>
      <c r="AW2254" s="91"/>
      <c r="AX2254" s="91"/>
      <c r="AY2254" s="91"/>
      <c r="AZ2254" s="91"/>
      <c r="BA2254" s="91"/>
    </row>
    <row r="2255" spans="1:53" ht="15.75" hidden="1" customHeight="1" outlineLevel="1">
      <c r="A2255" s="447"/>
      <c r="B2255" s="99"/>
      <c r="C2255" s="99"/>
      <c r="D2255" s="99"/>
      <c r="E2255" s="99"/>
      <c r="F2255" s="99"/>
      <c r="G2255" s="99"/>
      <c r="H2255" s="99"/>
      <c r="I2255" s="99"/>
      <c r="J2255" s="99"/>
      <c r="K2255" s="99"/>
      <c r="L2255" s="99"/>
      <c r="M2255" s="99"/>
      <c r="N2255" s="99"/>
      <c r="O2255" s="99"/>
      <c r="P2255" s="99"/>
      <c r="Q2255" s="99"/>
      <c r="R2255" s="99"/>
      <c r="S2255" s="99"/>
      <c r="T2255" s="99"/>
      <c r="U2255" s="409">
        <f>IF($X$2231&gt;0,'Assumptions (Petroleum)'!$V$13*Model!$X$2231*'Assumptions (Petroleum)'!T$2/10^9,0)</f>
        <v>0</v>
      </c>
      <c r="V2255" s="409">
        <f>IF($X$2231&gt;0,'Assumptions (Petroleum)'!$V$13*Model!$X$2231*'Assumptions (Petroleum)'!U$2/10^9,0)</f>
        <v>0</v>
      </c>
      <c r="W2255" s="409">
        <f>IF($X$2231&gt;0,'Assumptions (Petroleum)'!$V$13*Model!$X$2231*'Assumptions (Petroleum)'!V$2/10^9,0)</f>
        <v>0</v>
      </c>
      <c r="X2255" s="91"/>
      <c r="Y2255" s="91"/>
      <c r="Z2255" s="91"/>
      <c r="AA2255" s="91"/>
      <c r="AB2255" s="91"/>
      <c r="AC2255" s="91"/>
      <c r="AD2255" s="91"/>
      <c r="AE2255" s="91"/>
      <c r="AF2255" s="91"/>
      <c r="AG2255" s="91"/>
      <c r="AH2255" s="91"/>
      <c r="AI2255" s="91"/>
      <c r="AJ2255" s="91"/>
      <c r="AK2255" s="91"/>
      <c r="AL2255" s="91"/>
      <c r="AM2255" s="91"/>
      <c r="AN2255" s="91"/>
      <c r="AO2255" s="91"/>
      <c r="AP2255" s="91"/>
      <c r="AQ2255" s="91"/>
      <c r="AR2255" s="91"/>
      <c r="AS2255" s="91"/>
      <c r="AT2255" s="91"/>
      <c r="AU2255" s="91"/>
      <c r="AV2255" s="91"/>
      <c r="AW2255" s="91"/>
      <c r="AX2255" s="91"/>
      <c r="AY2255" s="91"/>
      <c r="AZ2255" s="91"/>
      <c r="BA2255" s="91"/>
    </row>
    <row r="2256" spans="1:53" ht="15.75" hidden="1" customHeight="1" outlineLevel="1">
      <c r="A2256" s="447"/>
      <c r="B2256" s="99"/>
      <c r="C2256" s="99"/>
      <c r="D2256" s="99"/>
      <c r="E2256" s="99"/>
      <c r="F2256" s="99"/>
      <c r="G2256" s="99"/>
      <c r="H2256" s="99"/>
      <c r="I2256" s="99"/>
      <c r="J2256" s="99"/>
      <c r="K2256" s="99"/>
      <c r="L2256" s="99"/>
      <c r="M2256" s="99"/>
      <c r="N2256" s="99"/>
      <c r="O2256" s="99"/>
      <c r="P2256" s="99"/>
      <c r="Q2256" s="99"/>
      <c r="R2256" s="99"/>
      <c r="S2256" s="99"/>
      <c r="T2256" s="99"/>
      <c r="U2256" s="99"/>
      <c r="V2256" s="409">
        <f>IF($Y$2231&gt;0,'Assumptions (Petroleum)'!$V$13*Model!$Y$2231*'Assumptions (Petroleum)'!U$2/10^9,0)</f>
        <v>0</v>
      </c>
      <c r="W2256" s="409">
        <f>IF($Y$2231&gt;0,'Assumptions (Petroleum)'!$V$13*Model!$Y$2231*'Assumptions (Petroleum)'!V$2/10^9,0)</f>
        <v>0</v>
      </c>
      <c r="X2256" s="409">
        <f>IF($Y$2231&gt;0,'Assumptions (Petroleum)'!$V$13*Model!$Y$2231*'Assumptions (Petroleum)'!W$2/10^9,0)</f>
        <v>0</v>
      </c>
      <c r="Y2256" s="91"/>
      <c r="Z2256" s="91"/>
      <c r="AA2256" s="91"/>
      <c r="AB2256" s="91"/>
      <c r="AC2256" s="91"/>
      <c r="AD2256" s="91"/>
      <c r="AE2256" s="91"/>
      <c r="AF2256" s="91"/>
      <c r="AG2256" s="91"/>
      <c r="AH2256" s="91"/>
      <c r="AI2256" s="91"/>
      <c r="AJ2256" s="91"/>
      <c r="AK2256" s="91"/>
      <c r="AL2256" s="91"/>
      <c r="AM2256" s="91"/>
      <c r="AN2256" s="91"/>
      <c r="AO2256" s="91"/>
      <c r="AP2256" s="91"/>
      <c r="AQ2256" s="91"/>
      <c r="AR2256" s="91"/>
      <c r="AS2256" s="91"/>
      <c r="AT2256" s="91"/>
      <c r="AU2256" s="91"/>
      <c r="AV2256" s="91"/>
      <c r="AW2256" s="91"/>
      <c r="AX2256" s="91"/>
      <c r="AY2256" s="91"/>
      <c r="AZ2256" s="91"/>
      <c r="BA2256" s="91"/>
    </row>
    <row r="2257" spans="1:53" ht="15.75" hidden="1" customHeight="1" outlineLevel="1">
      <c r="A2257" s="447"/>
      <c r="B2257" s="99"/>
      <c r="C2257" s="99"/>
      <c r="D2257" s="99"/>
      <c r="E2257" s="99"/>
      <c r="F2257" s="99"/>
      <c r="G2257" s="99"/>
      <c r="H2257" s="99"/>
      <c r="I2257" s="99"/>
      <c r="J2257" s="99"/>
      <c r="K2257" s="99"/>
      <c r="L2257" s="99"/>
      <c r="M2257" s="99"/>
      <c r="N2257" s="99"/>
      <c r="O2257" s="99"/>
      <c r="P2257" s="99"/>
      <c r="Q2257" s="99"/>
      <c r="R2257" s="99"/>
      <c r="S2257" s="99"/>
      <c r="T2257" s="99"/>
      <c r="U2257" s="99"/>
      <c r="V2257" s="99"/>
      <c r="W2257" s="91">
        <f>IF($Z$2231&gt;0,'Assumptions (Petroleum)'!$V$13*Model!$Z$2231*'Assumptions (Petroleum)'!V$2/10^9,0)</f>
        <v>0</v>
      </c>
      <c r="X2257" s="91">
        <f>IF($Z$2231&gt;0,'Assumptions (Petroleum)'!$V$13*Model!$Z$2231*'Assumptions (Petroleum)'!W$2/10^9,0)</f>
        <v>0</v>
      </c>
      <c r="Y2257" s="91">
        <f>IF($Z$2231&gt;0,'Assumptions (Petroleum)'!$V$13*Model!$Z$2231*'Assumptions (Petroleum)'!X$2/10^9,0)</f>
        <v>0</v>
      </c>
      <c r="Z2257" s="91"/>
      <c r="AA2257" s="91"/>
      <c r="AB2257" s="91"/>
      <c r="AC2257" s="91"/>
      <c r="AD2257" s="91"/>
      <c r="AE2257" s="91"/>
      <c r="AF2257" s="91"/>
      <c r="AG2257" s="91"/>
      <c r="AH2257" s="91"/>
      <c r="AI2257" s="91"/>
      <c r="AJ2257" s="91"/>
      <c r="AK2257" s="91"/>
      <c r="AL2257" s="91"/>
      <c r="AM2257" s="91"/>
      <c r="AN2257" s="91"/>
      <c r="AO2257" s="91"/>
      <c r="AP2257" s="91"/>
      <c r="AQ2257" s="91"/>
      <c r="AR2257" s="91"/>
      <c r="AS2257" s="91"/>
      <c r="AT2257" s="91"/>
      <c r="AU2257" s="91"/>
      <c r="AV2257" s="91"/>
      <c r="AW2257" s="91"/>
      <c r="AX2257" s="91"/>
      <c r="AY2257" s="91"/>
      <c r="AZ2257" s="91"/>
      <c r="BA2257" s="91"/>
    </row>
    <row r="2258" spans="1:53" ht="15.75" hidden="1" customHeight="1" outlineLevel="1">
      <c r="A2258" s="447"/>
      <c r="B2258" s="99"/>
      <c r="C2258" s="99"/>
      <c r="D2258" s="99"/>
      <c r="E2258" s="99"/>
      <c r="F2258" s="99"/>
      <c r="G2258" s="99"/>
      <c r="H2258" s="99"/>
      <c r="I2258" s="99"/>
      <c r="J2258" s="99"/>
      <c r="K2258" s="99"/>
      <c r="L2258" s="99"/>
      <c r="M2258" s="99"/>
      <c r="N2258" s="99"/>
      <c r="O2258" s="99"/>
      <c r="P2258" s="99"/>
      <c r="Q2258" s="99"/>
      <c r="R2258" s="99"/>
      <c r="S2258" s="99"/>
      <c r="T2258" s="99"/>
      <c r="U2258" s="99"/>
      <c r="V2258" s="99"/>
      <c r="W2258" s="91"/>
      <c r="X2258" s="91">
        <f>IF($AA$2231&gt;0,'Assumptions (Petroleum)'!$V$13*Model!$AA$2231*'Assumptions (Petroleum)'!W$2/10^9,0)</f>
        <v>0</v>
      </c>
      <c r="Y2258" s="91">
        <f>IF($AA$2231&gt;0,'Assumptions (Petroleum)'!$V$13*Model!$AA$2231*'Assumptions (Petroleum)'!X$2/10^9,0)</f>
        <v>0</v>
      </c>
      <c r="Z2258" s="91">
        <f>IF($AA$2231&gt;0,'Assumptions (Petroleum)'!$V$13*Model!$AA$2231*'Assumptions (Petroleum)'!Y$2/10^9,0)</f>
        <v>0</v>
      </c>
      <c r="AA2258" s="91"/>
      <c r="AB2258" s="91"/>
      <c r="AC2258" s="91"/>
      <c r="AD2258" s="91"/>
      <c r="AE2258" s="91"/>
      <c r="AF2258" s="91"/>
      <c r="AG2258" s="91"/>
      <c r="AH2258" s="91"/>
      <c r="AI2258" s="91"/>
      <c r="AJ2258" s="91"/>
      <c r="AK2258" s="91"/>
      <c r="AL2258" s="91"/>
      <c r="AM2258" s="91"/>
      <c r="AN2258" s="91"/>
      <c r="AO2258" s="91"/>
      <c r="AP2258" s="91"/>
      <c r="AQ2258" s="91"/>
      <c r="AR2258" s="91"/>
      <c r="AS2258" s="91"/>
      <c r="AT2258" s="91"/>
      <c r="AU2258" s="91"/>
      <c r="AV2258" s="91"/>
      <c r="AW2258" s="91"/>
      <c r="AX2258" s="91"/>
      <c r="AY2258" s="91"/>
      <c r="AZ2258" s="91"/>
      <c r="BA2258" s="91"/>
    </row>
    <row r="2259" spans="1:53" ht="15.75" hidden="1" customHeight="1" outlineLevel="1">
      <c r="A2259" s="447"/>
      <c r="B2259" s="99"/>
      <c r="C2259" s="99"/>
      <c r="D2259" s="99"/>
      <c r="E2259" s="99"/>
      <c r="F2259" s="99"/>
      <c r="G2259" s="99"/>
      <c r="H2259" s="99"/>
      <c r="I2259" s="99"/>
      <c r="J2259" s="99"/>
      <c r="K2259" s="99"/>
      <c r="L2259" s="99"/>
      <c r="M2259" s="99"/>
      <c r="N2259" s="99"/>
      <c r="O2259" s="99"/>
      <c r="P2259" s="99"/>
      <c r="Q2259" s="99"/>
      <c r="R2259" s="99"/>
      <c r="S2259" s="99"/>
      <c r="T2259" s="99"/>
      <c r="U2259" s="99"/>
      <c r="V2259" s="99"/>
      <c r="W2259" s="86"/>
      <c r="Y2259" s="91">
        <f>IF($AB$2231&gt;0,'Assumptions (Petroleum)'!$V$13*Model!$AB$2231*'Assumptions (Petroleum)'!X$2/10^9,0)</f>
        <v>0</v>
      </c>
      <c r="Z2259" s="91">
        <f>IF($AB$2231&gt;0,'Assumptions (Petroleum)'!$V$13*Model!$AB$2231*'Assumptions (Petroleum)'!Y$2/10^9,0)</f>
        <v>0</v>
      </c>
      <c r="AA2259" s="91">
        <f>IF($AB$2231&gt;0,'Assumptions (Petroleum)'!$V$13*Model!$AB$2231*'Assumptions (Petroleum)'!Z$2/10^9,0)</f>
        <v>0</v>
      </c>
    </row>
    <row r="2260" spans="1:53" ht="15.75" hidden="1" customHeight="1" outlineLevel="1">
      <c r="A2260" s="447"/>
      <c r="B2260" s="99"/>
      <c r="C2260" s="99"/>
      <c r="D2260" s="99"/>
      <c r="E2260" s="99"/>
      <c r="F2260" s="99"/>
      <c r="G2260" s="99"/>
      <c r="H2260" s="99"/>
      <c r="I2260" s="99"/>
      <c r="J2260" s="99"/>
      <c r="K2260" s="99"/>
      <c r="L2260" s="99"/>
      <c r="M2260" s="99"/>
      <c r="N2260" s="99"/>
      <c r="O2260" s="99"/>
      <c r="P2260" s="99"/>
      <c r="Q2260" s="99"/>
      <c r="R2260" s="99"/>
      <c r="S2260" s="99"/>
      <c r="T2260" s="99"/>
      <c r="U2260" s="99"/>
      <c r="V2260" s="99"/>
      <c r="W2260" s="86"/>
      <c r="Z2260" s="91">
        <f>IF($AC$2231&gt;0,'Assumptions (Petroleum)'!$V$13*Model!$AC$2231*'Assumptions (Petroleum)'!Y$2/10^9,0)</f>
        <v>0</v>
      </c>
      <c r="AA2260" s="91">
        <f>IF($AC$2231&gt;0,'Assumptions (Petroleum)'!$V$13*Model!$AC$2231*'Assumptions (Petroleum)'!Z$2/10^9,0)</f>
        <v>0</v>
      </c>
      <c r="AB2260" s="91">
        <f>IF($AC$2231&gt;0,'Assumptions (Petroleum)'!$V$13*Model!$AC$2231*'Assumptions (Petroleum)'!AA$2/10^9,0)</f>
        <v>0</v>
      </c>
    </row>
    <row r="2261" spans="1:53" ht="15.75" hidden="1" customHeight="1" outlineLevel="1">
      <c r="A2261" s="447"/>
      <c r="B2261" s="99"/>
      <c r="C2261" s="99"/>
      <c r="D2261" s="99"/>
      <c r="E2261" s="99"/>
      <c r="F2261" s="99"/>
      <c r="G2261" s="99"/>
      <c r="H2261" s="99"/>
      <c r="I2261" s="99"/>
      <c r="J2261" s="99"/>
      <c r="K2261" s="99"/>
      <c r="L2261" s="99"/>
      <c r="M2261" s="99"/>
      <c r="N2261" s="99"/>
      <c r="O2261" s="99"/>
      <c r="P2261" s="99"/>
      <c r="Q2261" s="99"/>
      <c r="R2261" s="99"/>
      <c r="S2261" s="99"/>
      <c r="T2261" s="99"/>
      <c r="U2261" s="99"/>
      <c r="V2261" s="99"/>
      <c r="W2261" s="86"/>
      <c r="AA2261" s="91">
        <f>IF($AD$2231&gt;0,'Assumptions (Petroleum)'!$V$13*Model!$AD$2231*'Assumptions (Petroleum)'!Z$2/10^9,0)</f>
        <v>0</v>
      </c>
      <c r="AB2261" s="91">
        <f>IF($AD$2231&gt;0,'Assumptions (Petroleum)'!$V$13*Model!$AD$2231*'Assumptions (Petroleum)'!AA$2/10^9,0)</f>
        <v>0</v>
      </c>
      <c r="AC2261" s="91">
        <f>IF($AD$2231&gt;0,'Assumptions (Petroleum)'!$V$13*Model!$AD$2231*'Assumptions (Petroleum)'!AB$2/10^9,0)</f>
        <v>0</v>
      </c>
    </row>
    <row r="2262" spans="1:53" ht="15.75" hidden="1" customHeight="1" outlineLevel="1">
      <c r="A2262" s="447"/>
      <c r="B2262" s="99"/>
      <c r="C2262" s="99"/>
      <c r="D2262" s="99"/>
      <c r="E2262" s="99"/>
      <c r="F2262" s="99"/>
      <c r="G2262" s="99"/>
      <c r="H2262" s="99"/>
      <c r="I2262" s="99"/>
      <c r="J2262" s="99"/>
      <c r="K2262" s="99"/>
      <c r="L2262" s="99"/>
      <c r="M2262" s="99"/>
      <c r="N2262" s="99"/>
      <c r="O2262" s="99"/>
      <c r="P2262" s="99"/>
      <c r="Q2262" s="99"/>
      <c r="R2262" s="99"/>
      <c r="S2262" s="99"/>
      <c r="T2262" s="99"/>
      <c r="U2262" s="99"/>
      <c r="V2262" s="99"/>
      <c r="W2262" s="86"/>
      <c r="AB2262" s="91">
        <f>IF($AE$2231&gt;0,'Assumptions (Petroleum)'!$V$13*Model!$AE$2231*'Assumptions (Petroleum)'!AA$2/10^9,0)</f>
        <v>0</v>
      </c>
      <c r="AC2262" s="91">
        <f>IF($AE$2231&gt;0,'Assumptions (Petroleum)'!$V$13*Model!$AE$2231*'Assumptions (Petroleum)'!AB$2/10^9,0)</f>
        <v>0</v>
      </c>
      <c r="AD2262" s="91">
        <f>IF($AE$2231&gt;0,'Assumptions (Petroleum)'!$V$13*Model!$AE$2231*'Assumptions (Petroleum)'!AC$2/10^9,0)</f>
        <v>0</v>
      </c>
    </row>
    <row r="2263" spans="1:53" ht="15.75" hidden="1" customHeight="1" outlineLevel="1">
      <c r="A2263" s="447"/>
      <c r="B2263" s="99"/>
      <c r="C2263" s="99"/>
      <c r="D2263" s="99"/>
      <c r="E2263" s="99"/>
      <c r="F2263" s="99"/>
      <c r="G2263" s="99"/>
      <c r="H2263" s="99"/>
      <c r="I2263" s="99"/>
      <c r="J2263" s="99"/>
      <c r="K2263" s="99"/>
      <c r="L2263" s="99"/>
      <c r="M2263" s="99"/>
      <c r="N2263" s="99"/>
      <c r="O2263" s="99"/>
      <c r="P2263" s="99"/>
      <c r="Q2263" s="99"/>
      <c r="R2263" s="99"/>
      <c r="S2263" s="99"/>
      <c r="T2263" s="99"/>
      <c r="U2263" s="99"/>
      <c r="V2263" s="99"/>
      <c r="W2263" s="86"/>
      <c r="AC2263" s="91">
        <f>IF($AF$2231&gt;0,'Assumptions (Petroleum)'!$V$13*Model!$AF$2231*'Assumptions (Petroleum)'!AB$2/10^9,0)</f>
        <v>0</v>
      </c>
      <c r="AD2263" s="91">
        <f>IF($AF$2231&gt;0,'Assumptions (Petroleum)'!$V$13*Model!$AF$2231*'Assumptions (Petroleum)'!AC$2/10^9,0)</f>
        <v>0</v>
      </c>
      <c r="AE2263" s="91">
        <f>IF($AF$2231&gt;0,'Assumptions (Petroleum)'!$V$13*Model!$AF$2231*'Assumptions (Petroleum)'!AD$2/10^9,0)</f>
        <v>0</v>
      </c>
    </row>
    <row r="2264" spans="1:53" ht="15.75" hidden="1" customHeight="1" outlineLevel="1">
      <c r="A2264" s="447"/>
      <c r="B2264" s="99"/>
      <c r="C2264" s="99"/>
      <c r="D2264" s="99"/>
      <c r="E2264" s="99"/>
      <c r="F2264" s="99"/>
      <c r="G2264" s="99"/>
      <c r="H2264" s="99"/>
      <c r="I2264" s="99"/>
      <c r="J2264" s="99"/>
      <c r="K2264" s="99"/>
      <c r="L2264" s="99"/>
      <c r="M2264" s="99"/>
      <c r="N2264" s="99"/>
      <c r="O2264" s="99"/>
      <c r="P2264" s="99"/>
      <c r="Q2264" s="99"/>
      <c r="R2264" s="99"/>
      <c r="S2264" s="99"/>
      <c r="T2264" s="99"/>
      <c r="U2264" s="99"/>
      <c r="V2264" s="99"/>
      <c r="W2264" s="86"/>
      <c r="AD2264" s="91">
        <f>IF($AG$2231&gt;0,'Assumptions (Petroleum)'!$V$13*Model!$AG$2231*'Assumptions (Petroleum)'!AC$2/10^9,0)</f>
        <v>0</v>
      </c>
      <c r="AE2264" s="91">
        <f>IF($AG$2231&gt;0,'Assumptions (Petroleum)'!$V$13*Model!$AG$2231*'Assumptions (Petroleum)'!AD$2/10^9,0)</f>
        <v>0</v>
      </c>
      <c r="AF2264" s="91">
        <f>IF($AG$2231&gt;0,'Assumptions (Petroleum)'!$V$13*Model!$AG$2231*'Assumptions (Petroleum)'!AE$2/10^9,0)</f>
        <v>0</v>
      </c>
    </row>
    <row r="2265" spans="1:53" ht="15.75" hidden="1" customHeight="1" outlineLevel="1">
      <c r="A2265" s="447"/>
      <c r="B2265" s="99"/>
      <c r="C2265" s="99"/>
      <c r="D2265" s="99"/>
      <c r="E2265" s="99"/>
      <c r="F2265" s="99"/>
      <c r="G2265" s="99"/>
      <c r="H2265" s="99"/>
      <c r="I2265" s="99"/>
      <c r="J2265" s="99"/>
      <c r="K2265" s="99"/>
      <c r="L2265" s="99"/>
      <c r="M2265" s="99"/>
      <c r="N2265" s="99"/>
      <c r="O2265" s="99"/>
      <c r="P2265" s="99"/>
      <c r="Q2265" s="99"/>
      <c r="R2265" s="99"/>
      <c r="S2265" s="99"/>
      <c r="T2265" s="99"/>
      <c r="U2265" s="99"/>
      <c r="V2265" s="99"/>
      <c r="W2265" s="86"/>
      <c r="AE2265" s="91">
        <f>IF($AH$2231&gt;0,'Assumptions (Petroleum)'!$V$13*Model!$AH$2231*'Assumptions (Petroleum)'!AD$2/10^9,0)</f>
        <v>0</v>
      </c>
      <c r="AF2265" s="91">
        <f>IF($AH$2231&gt;0,'Assumptions (Petroleum)'!$V$13*Model!$AH$2231*'Assumptions (Petroleum)'!AE$2/10^9,0)</f>
        <v>0</v>
      </c>
      <c r="AG2265" s="91">
        <f>IF($AH$2231&gt;0,'Assumptions (Petroleum)'!$V$13*Model!$AH$2231*'Assumptions (Petroleum)'!AF$2/10^9,0)</f>
        <v>0</v>
      </c>
    </row>
    <row r="2266" spans="1:53" ht="15.75" hidden="1" customHeight="1" outlineLevel="1">
      <c r="A2266" s="447"/>
      <c r="B2266" s="99"/>
      <c r="C2266" s="99"/>
      <c r="D2266" s="99"/>
      <c r="E2266" s="99"/>
      <c r="F2266" s="99"/>
      <c r="G2266" s="99"/>
      <c r="H2266" s="99"/>
      <c r="I2266" s="99"/>
      <c r="J2266" s="99"/>
      <c r="K2266" s="99"/>
      <c r="L2266" s="99"/>
      <c r="M2266" s="99"/>
      <c r="N2266" s="99"/>
      <c r="O2266" s="99"/>
      <c r="P2266" s="99"/>
      <c r="Q2266" s="99"/>
      <c r="R2266" s="99"/>
      <c r="S2266" s="99"/>
      <c r="T2266" s="99"/>
      <c r="U2266" s="99"/>
      <c r="V2266" s="99"/>
      <c r="W2266" s="86"/>
      <c r="AF2266" s="91">
        <f>IF($AI$2231&gt;0,'Assumptions (Petroleum)'!$V$13*Model!$AI$2231*'Assumptions (Petroleum)'!AE$2/10^9,0)</f>
        <v>0</v>
      </c>
      <c r="AG2266" s="91">
        <f>IF($AI$2231&gt;0,'Assumptions (Petroleum)'!$V$13*Model!$AI$2231*'Assumptions (Petroleum)'!AF$2/10^9,0)</f>
        <v>0</v>
      </c>
      <c r="AH2266" s="91">
        <f>IF($AI$2231&gt;0,'Assumptions (Petroleum)'!$V$13*Model!$AI$2231*'Assumptions (Petroleum)'!AG$2/10^9,0)</f>
        <v>0</v>
      </c>
    </row>
    <row r="2267" spans="1:53" ht="15.75" hidden="1" customHeight="1" outlineLevel="1">
      <c r="A2267" s="447"/>
      <c r="B2267" s="99"/>
      <c r="C2267" s="99"/>
      <c r="D2267" s="99"/>
      <c r="E2267" s="99"/>
      <c r="F2267" s="99"/>
      <c r="G2267" s="99"/>
      <c r="H2267" s="99"/>
      <c r="I2267" s="99"/>
      <c r="J2267" s="99"/>
      <c r="K2267" s="99"/>
      <c r="L2267" s="99"/>
      <c r="M2267" s="99"/>
      <c r="N2267" s="99"/>
      <c r="O2267" s="99"/>
      <c r="P2267" s="99"/>
      <c r="Q2267" s="99"/>
      <c r="R2267" s="99"/>
      <c r="S2267" s="99"/>
      <c r="T2267" s="99"/>
      <c r="U2267" s="99"/>
      <c r="V2267" s="99"/>
      <c r="W2267" s="86"/>
      <c r="AG2267" s="91">
        <f>IF($AJ$2231&gt;0,'Assumptions (Petroleum)'!$V$13*Model!$AJ$2231*'Assumptions (Petroleum)'!AF$2/10^9,0)</f>
        <v>0</v>
      </c>
      <c r="AH2267" s="91">
        <f>IF($AJ$2231&gt;0,'Assumptions (Petroleum)'!$V$13*Model!$AJ$2231*'Assumptions (Petroleum)'!AG$2/10^9,0)</f>
        <v>0</v>
      </c>
      <c r="AI2267" s="91">
        <f>IF($AJ$2231&gt;0,'Assumptions (Petroleum)'!$V$13*Model!$AJ$2231*'Assumptions (Petroleum)'!AH$2/10^9,0)</f>
        <v>0</v>
      </c>
    </row>
    <row r="2268" spans="1:53" ht="15.75" hidden="1" customHeight="1" outlineLevel="1">
      <c r="A2268" s="447"/>
      <c r="B2268" s="99"/>
      <c r="C2268" s="99"/>
      <c r="D2268" s="99"/>
      <c r="E2268" s="99"/>
      <c r="F2268" s="99"/>
      <c r="G2268" s="99"/>
      <c r="H2268" s="99"/>
      <c r="I2268" s="99"/>
      <c r="J2268" s="99"/>
      <c r="K2268" s="99"/>
      <c r="L2268" s="99"/>
      <c r="M2268" s="99"/>
      <c r="N2268" s="99"/>
      <c r="O2268" s="99"/>
      <c r="P2268" s="99"/>
      <c r="Q2268" s="99"/>
      <c r="R2268" s="99"/>
      <c r="S2268" s="99"/>
      <c r="T2268" s="99"/>
      <c r="U2268" s="99"/>
      <c r="V2268" s="99"/>
      <c r="W2268" s="86"/>
      <c r="AH2268" s="91">
        <f>IF($AK$2231&gt;0,'Assumptions (Petroleum)'!$V$13*Model!$AK$2231*'Assumptions (Petroleum)'!AG$2/10^9,0)</f>
        <v>0</v>
      </c>
      <c r="AI2268" s="91">
        <f>IF($AK$2231&gt;0,'Assumptions (Petroleum)'!$V$13*Model!$AK$2231*'Assumptions (Petroleum)'!AH$2/10^9,0)</f>
        <v>0</v>
      </c>
      <c r="AJ2268" s="91">
        <f>IF($AK$2231&gt;0,'Assumptions (Petroleum)'!$V$13*Model!$AK$2231*'Assumptions (Petroleum)'!AI$2/10^9,0)</f>
        <v>0</v>
      </c>
    </row>
    <row r="2269" spans="1:53" ht="15.75" hidden="1" customHeight="1" outlineLevel="1">
      <c r="A2269" s="447"/>
      <c r="B2269" s="99"/>
      <c r="C2269" s="99"/>
      <c r="D2269" s="99"/>
      <c r="E2269" s="99"/>
      <c r="F2269" s="99"/>
      <c r="G2269" s="99"/>
      <c r="H2269" s="99"/>
      <c r="I2269" s="99"/>
      <c r="J2269" s="99"/>
      <c r="K2269" s="99"/>
      <c r="L2269" s="99"/>
      <c r="M2269" s="99"/>
      <c r="N2269" s="99"/>
      <c r="O2269" s="99"/>
      <c r="P2269" s="99"/>
      <c r="Q2269" s="99"/>
      <c r="R2269" s="99"/>
      <c r="S2269" s="99"/>
      <c r="T2269" s="99"/>
      <c r="U2269" s="99"/>
      <c r="V2269" s="99"/>
      <c r="W2269" s="86"/>
      <c r="AI2269" s="91">
        <f>IF($AL$2231&gt;0,'Assumptions (Petroleum)'!$V$13*Model!$AL$2231*'Assumptions (Petroleum)'!AH$2/10^9,0)</f>
        <v>0</v>
      </c>
      <c r="AJ2269" s="91">
        <f>IF($AL$2231&gt;0,'Assumptions (Petroleum)'!$V$13*Model!$AL$2231*'Assumptions (Petroleum)'!AI$2/10^9,0)</f>
        <v>0</v>
      </c>
      <c r="AK2269" s="91">
        <f>IF($AL$2231&gt;0,'Assumptions (Petroleum)'!$V$13*Model!$AL$2231*'Assumptions (Petroleum)'!AJ$2/10^9,0)</f>
        <v>0</v>
      </c>
    </row>
    <row r="2270" spans="1:53" ht="15.75" hidden="1" customHeight="1" outlineLevel="1">
      <c r="A2270" s="447"/>
      <c r="B2270" s="99"/>
      <c r="C2270" s="99"/>
      <c r="D2270" s="99"/>
      <c r="E2270" s="99"/>
      <c r="F2270" s="99"/>
      <c r="G2270" s="99"/>
      <c r="H2270" s="99"/>
      <c r="I2270" s="99"/>
      <c r="J2270" s="99"/>
      <c r="K2270" s="99"/>
      <c r="L2270" s="99"/>
      <c r="M2270" s="99"/>
      <c r="N2270" s="99"/>
      <c r="O2270" s="99"/>
      <c r="P2270" s="99"/>
      <c r="Q2270" s="99"/>
      <c r="R2270" s="99"/>
      <c r="S2270" s="99"/>
      <c r="T2270" s="99"/>
      <c r="U2270" s="99"/>
      <c r="V2270" s="99"/>
      <c r="W2270" s="86"/>
      <c r="AJ2270" s="91">
        <f>IF($AM$2231&gt;0,'Assumptions (Petroleum)'!$V$13*Model!$AM$2231*'Assumptions (Petroleum)'!AI$2/10^9,0)</f>
        <v>0</v>
      </c>
      <c r="AK2270" s="91">
        <f>IF($AM$2231&gt;0,'Assumptions (Petroleum)'!$V$13*Model!$AM$2231*'Assumptions (Petroleum)'!AJ$2/10^9,0)</f>
        <v>0</v>
      </c>
      <c r="AL2270" s="91">
        <f>IF($AM$2231&gt;0,'Assumptions (Petroleum)'!$V$13*Model!$AM$2231*'Assumptions (Petroleum)'!AK$2/10^9,0)</f>
        <v>0</v>
      </c>
    </row>
    <row r="2271" spans="1:53" ht="15.75" hidden="1" customHeight="1" outlineLevel="1">
      <c r="A2271" s="447"/>
      <c r="B2271" s="99"/>
      <c r="C2271" s="99"/>
      <c r="D2271" s="99"/>
      <c r="E2271" s="99"/>
      <c r="F2271" s="99"/>
      <c r="G2271" s="99"/>
      <c r="H2271" s="99"/>
      <c r="I2271" s="99"/>
      <c r="J2271" s="99"/>
      <c r="K2271" s="99"/>
      <c r="L2271" s="99"/>
      <c r="M2271" s="99"/>
      <c r="N2271" s="99"/>
      <c r="O2271" s="99"/>
      <c r="P2271" s="99"/>
      <c r="Q2271" s="99"/>
      <c r="R2271" s="99"/>
      <c r="S2271" s="99"/>
      <c r="T2271" s="99"/>
      <c r="U2271" s="99"/>
      <c r="V2271" s="99"/>
      <c r="W2271" s="86"/>
      <c r="AK2271" s="91">
        <f>IF($AN$2231&gt;0,'Assumptions (Petroleum)'!$V$13*Model!$AN$2231*'Assumptions (Petroleum)'!AJ$2/10^9,0)</f>
        <v>0</v>
      </c>
      <c r="AL2271" s="91">
        <f>IF($AN$2231&gt;0,'Assumptions (Petroleum)'!$V$13*Model!$AN$2231*'Assumptions (Petroleum)'!AK$2/10^9,0)</f>
        <v>0</v>
      </c>
      <c r="AM2271" s="91">
        <f>IF($AN$2231&gt;0,'Assumptions (Petroleum)'!$V$13*Model!$AN$2231*'Assumptions (Petroleum)'!AL$2/10^9,0)</f>
        <v>0</v>
      </c>
    </row>
    <row r="2272" spans="1:53" ht="15.75" hidden="1" customHeight="1" outlineLevel="1">
      <c r="A2272" s="447"/>
      <c r="B2272" s="99"/>
      <c r="C2272" s="99"/>
      <c r="D2272" s="99"/>
      <c r="E2272" s="99"/>
      <c r="F2272" s="99"/>
      <c r="G2272" s="99"/>
      <c r="H2272" s="99"/>
      <c r="I2272" s="99"/>
      <c r="J2272" s="99"/>
      <c r="K2272" s="99"/>
      <c r="L2272" s="99"/>
      <c r="M2272" s="99"/>
      <c r="N2272" s="99"/>
      <c r="O2272" s="99"/>
      <c r="P2272" s="99"/>
      <c r="Q2272" s="99"/>
      <c r="R2272" s="99"/>
      <c r="S2272" s="99"/>
      <c r="T2272" s="99"/>
      <c r="U2272" s="99"/>
      <c r="V2272" s="99"/>
      <c r="W2272" s="86"/>
      <c r="AL2272" s="91">
        <f>IF($AO$2231&gt;0,'Assumptions (Petroleum)'!$V$13*Model!$AO$2231*'Assumptions (Petroleum)'!AK$2/10^9,0)</f>
        <v>0</v>
      </c>
      <c r="AM2272" s="91">
        <f>IF($AO$2231&gt;0,'Assumptions (Petroleum)'!$V$13*Model!$AO$2231*'Assumptions (Petroleum)'!AL$2/10^9,0)</f>
        <v>0</v>
      </c>
      <c r="AN2272" s="91">
        <f>IF($AO$2231&gt;0,'Assumptions (Petroleum)'!$V$13*Model!$AO$2231*'Assumptions (Petroleum)'!AM$2/10^9,0)</f>
        <v>0</v>
      </c>
    </row>
    <row r="2273" spans="1:67" ht="15.75" hidden="1" customHeight="1" outlineLevel="1">
      <c r="A2273" s="447"/>
      <c r="B2273" s="99"/>
      <c r="C2273" s="99"/>
      <c r="D2273" s="99"/>
      <c r="E2273" s="99"/>
      <c r="F2273" s="99"/>
      <c r="G2273" s="99"/>
      <c r="H2273" s="99"/>
      <c r="I2273" s="99"/>
      <c r="J2273" s="99"/>
      <c r="K2273" s="99"/>
      <c r="L2273" s="99"/>
      <c r="M2273" s="99"/>
      <c r="N2273" s="99"/>
      <c r="O2273" s="99"/>
      <c r="P2273" s="99"/>
      <c r="Q2273" s="99"/>
      <c r="R2273" s="99"/>
      <c r="S2273" s="99"/>
      <c r="T2273" s="99"/>
      <c r="U2273" s="99"/>
      <c r="V2273" s="99"/>
      <c r="W2273" s="86"/>
      <c r="AM2273" s="91">
        <f>IF($AP$2231&gt;0,'Assumptions (Petroleum)'!$V$13*Model!$AP$2231*'Assumptions (Petroleum)'!AL$2/10^9,0)</f>
        <v>0</v>
      </c>
      <c r="AN2273" s="91">
        <f>IF($AP$2231&gt;0,'Assumptions (Petroleum)'!$V$13*Model!$AP$2231*'Assumptions (Petroleum)'!AM$2/10^9,0)</f>
        <v>0</v>
      </c>
      <c r="AO2273" s="91">
        <f>IF($AP$2231&gt;0,'Assumptions (Petroleum)'!$V$13*Model!$AP$2231*'Assumptions (Petroleum)'!AN$2/10^9,0)</f>
        <v>0</v>
      </c>
    </row>
    <row r="2274" spans="1:67" ht="15.75" hidden="1" customHeight="1" outlineLevel="1">
      <c r="A2274" s="447"/>
      <c r="B2274" s="99"/>
      <c r="C2274" s="99"/>
      <c r="D2274" s="99"/>
      <c r="E2274" s="99"/>
      <c r="F2274" s="99"/>
      <c r="G2274" s="99"/>
      <c r="H2274" s="99"/>
      <c r="I2274" s="99"/>
      <c r="J2274" s="99"/>
      <c r="K2274" s="99"/>
      <c r="L2274" s="99"/>
      <c r="M2274" s="99"/>
      <c r="N2274" s="99"/>
      <c r="O2274" s="99"/>
      <c r="P2274" s="99"/>
      <c r="Q2274" s="99"/>
      <c r="R2274" s="99"/>
      <c r="S2274" s="99"/>
      <c r="T2274" s="99"/>
      <c r="U2274" s="99"/>
      <c r="V2274" s="99"/>
      <c r="W2274" s="86"/>
      <c r="AN2274" s="91">
        <f>IF($AQ$2231&gt;0,'Assumptions (Petroleum)'!$V$13*Model!$AQ$2231*'Assumptions (Petroleum)'!AM$2/10^9,0)</f>
        <v>0</v>
      </c>
      <c r="AO2274" s="91">
        <f>IF($AQ$2231&gt;0,'Assumptions (Petroleum)'!$V$13*Model!$AQ$2231*'Assumptions (Petroleum)'!AN$2/10^9,0)</f>
        <v>0</v>
      </c>
      <c r="AP2274" s="91">
        <f>IF($AQ$2231&gt;0,'Assumptions (Petroleum)'!$V$13*Model!$AQ$2231*'Assumptions (Petroleum)'!AO$2/10^9,0)</f>
        <v>0</v>
      </c>
    </row>
    <row r="2275" spans="1:67" ht="15.75" hidden="1" customHeight="1" outlineLevel="1">
      <c r="A2275" s="447"/>
      <c r="B2275" s="99"/>
      <c r="C2275" s="99"/>
      <c r="D2275" s="99"/>
      <c r="E2275" s="99"/>
      <c r="F2275" s="99"/>
      <c r="G2275" s="99"/>
      <c r="H2275" s="99"/>
      <c r="I2275" s="99"/>
      <c r="J2275" s="99"/>
      <c r="K2275" s="99"/>
      <c r="L2275" s="99"/>
      <c r="M2275" s="99"/>
      <c r="N2275" s="99"/>
      <c r="O2275" s="99"/>
      <c r="P2275" s="99"/>
      <c r="Q2275" s="99"/>
      <c r="R2275" s="99"/>
      <c r="S2275" s="99"/>
      <c r="T2275" s="99"/>
      <c r="U2275" s="99"/>
      <c r="V2275" s="99"/>
      <c r="W2275" s="86"/>
      <c r="AO2275" s="91">
        <f>IF($AR$2231&gt;0,'Assumptions (Petroleum)'!$V$13*Model!$AR$2231*'Assumptions (Petroleum)'!AN$2/10^9,0)</f>
        <v>0</v>
      </c>
      <c r="AP2275" s="91">
        <f>IF($AR$2231&gt;0,'Assumptions (Petroleum)'!$V$13*Model!$AR$2231*'Assumptions (Petroleum)'!AO$2/10^9,0)</f>
        <v>0</v>
      </c>
      <c r="AQ2275" s="91">
        <f>IF($AR$2231&gt;0,'Assumptions (Petroleum)'!$V$13*Model!$AR$2231*'Assumptions (Petroleum)'!AP$2/10^9,0)</f>
        <v>0</v>
      </c>
    </row>
    <row r="2276" spans="1:67" ht="15.75" hidden="1" customHeight="1" outlineLevel="1">
      <c r="A2276" s="447"/>
      <c r="B2276" s="99"/>
      <c r="C2276" s="99"/>
      <c r="D2276" s="99"/>
      <c r="E2276" s="99"/>
      <c r="F2276" s="99"/>
      <c r="G2276" s="99"/>
      <c r="H2276" s="99"/>
      <c r="I2276" s="99"/>
      <c r="J2276" s="99"/>
      <c r="K2276" s="99"/>
      <c r="L2276" s="99"/>
      <c r="M2276" s="99"/>
      <c r="N2276" s="99"/>
      <c r="O2276" s="99"/>
      <c r="P2276" s="99"/>
      <c r="Q2276" s="99"/>
      <c r="R2276" s="99"/>
      <c r="S2276" s="99"/>
      <c r="T2276" s="99"/>
      <c r="U2276" s="99"/>
      <c r="V2276" s="99"/>
      <c r="W2276" s="86"/>
      <c r="AP2276" s="91">
        <f>IF($AS$2231&gt;0,'Assumptions (Petroleum)'!$V$13*Model!$AS$2231*'Assumptions (Petroleum)'!AO$2/10^9,0)</f>
        <v>0</v>
      </c>
      <c r="AQ2276" s="91">
        <f>IF($AS$2231&gt;0,'Assumptions (Petroleum)'!$V$13*Model!$AS$2231*'Assumptions (Petroleum)'!AP$2/10^9,0)</f>
        <v>0</v>
      </c>
      <c r="AR2276" s="91">
        <f>IF($AS$2231&gt;0,'Assumptions (Petroleum)'!$V$13*Model!$AS$2231*'Assumptions (Petroleum)'!AQ$2/10^9,0)</f>
        <v>0</v>
      </c>
    </row>
    <row r="2277" spans="1:67" ht="15.75" hidden="1" customHeight="1" outlineLevel="1">
      <c r="A2277" s="447"/>
      <c r="B2277" s="99"/>
      <c r="C2277" s="99"/>
      <c r="D2277" s="99"/>
      <c r="E2277" s="99"/>
      <c r="F2277" s="99"/>
      <c r="G2277" s="99"/>
      <c r="H2277" s="99"/>
      <c r="I2277" s="99"/>
      <c r="J2277" s="99"/>
      <c r="K2277" s="99"/>
      <c r="L2277" s="99"/>
      <c r="M2277" s="99"/>
      <c r="N2277" s="99"/>
      <c r="O2277" s="99"/>
      <c r="P2277" s="99"/>
      <c r="Q2277" s="99"/>
      <c r="R2277" s="99"/>
      <c r="S2277" s="99"/>
      <c r="T2277" s="99"/>
      <c r="U2277" s="99"/>
      <c r="V2277" s="99"/>
      <c r="W2277" s="86"/>
      <c r="AQ2277" s="91">
        <f>IF($AT$2231&gt;0,'Assumptions (Petroleum)'!$V$13*Model!$AT$2231*'Assumptions (Petroleum)'!AP$2/10^9,0)</f>
        <v>0</v>
      </c>
      <c r="AR2277" s="91">
        <f>IF($AT$2231&gt;0,'Assumptions (Petroleum)'!$V$13*Model!$AT$2231*'Assumptions (Petroleum)'!AQ$2/10^9,0)</f>
        <v>0</v>
      </c>
      <c r="AS2277" s="91">
        <f>IF($AT$2231&gt;0,'Assumptions (Petroleum)'!$V$13*Model!$AT$2231*'Assumptions (Petroleum)'!AR$2/10^9,0)</f>
        <v>0</v>
      </c>
    </row>
    <row r="2278" spans="1:67" ht="15.75" hidden="1" customHeight="1" outlineLevel="1">
      <c r="A2278" s="447"/>
      <c r="B2278" s="99"/>
      <c r="C2278" s="99"/>
      <c r="D2278" s="99"/>
      <c r="E2278" s="99"/>
      <c r="F2278" s="99"/>
      <c r="G2278" s="99"/>
      <c r="H2278" s="99"/>
      <c r="I2278" s="99"/>
      <c r="J2278" s="99"/>
      <c r="K2278" s="99"/>
      <c r="L2278" s="99"/>
      <c r="M2278" s="99"/>
      <c r="N2278" s="99"/>
      <c r="O2278" s="99"/>
      <c r="P2278" s="99"/>
      <c r="Q2278" s="99"/>
      <c r="R2278" s="99"/>
      <c r="S2278" s="99"/>
      <c r="T2278" s="99"/>
      <c r="U2278" s="99"/>
      <c r="V2278" s="99"/>
      <c r="W2278" s="86"/>
      <c r="AR2278" s="91">
        <f>IF($AU$2231&gt;0,'Assumptions (Petroleum)'!$V$13*Model!$AU$2231*'Assumptions (Petroleum)'!AQ$2/10^9,0)</f>
        <v>0</v>
      </c>
      <c r="AS2278" s="91">
        <f>IF($AU$2231&gt;0,'Assumptions (Petroleum)'!$V$13*Model!$AU$2231*'Assumptions (Petroleum)'!AR$2/10^9,0)</f>
        <v>0</v>
      </c>
      <c r="AT2278" s="91">
        <f>IF($AU$2231&gt;0,'Assumptions (Petroleum)'!$V$13*Model!$AU$2231*'Assumptions (Petroleum)'!AS$2/10^9,0)</f>
        <v>0</v>
      </c>
    </row>
    <row r="2279" spans="1:67" ht="15.75" hidden="1" customHeight="1" outlineLevel="1">
      <c r="A2279" s="447"/>
      <c r="B2279" s="99"/>
      <c r="C2279" s="99"/>
      <c r="D2279" s="99"/>
      <c r="E2279" s="99"/>
      <c r="F2279" s="99"/>
      <c r="G2279" s="99"/>
      <c r="H2279" s="99"/>
      <c r="I2279" s="99"/>
      <c r="J2279" s="99"/>
      <c r="K2279" s="99"/>
      <c r="L2279" s="99"/>
      <c r="M2279" s="99"/>
      <c r="N2279" s="99"/>
      <c r="O2279" s="99"/>
      <c r="P2279" s="99"/>
      <c r="Q2279" s="99"/>
      <c r="R2279" s="99"/>
      <c r="S2279" s="99"/>
      <c r="T2279" s="99"/>
      <c r="U2279" s="99"/>
      <c r="V2279" s="99"/>
      <c r="W2279" s="86"/>
      <c r="AS2279" s="91">
        <f>IF($AV$2231&gt;0,'Assumptions (Petroleum)'!$V$13*Model!$AV$2231*'Assumptions (Petroleum)'!AR$2/10^9,0)</f>
        <v>0</v>
      </c>
      <c r="AT2279" s="91">
        <f>IF($AV$2231&gt;0,'Assumptions (Petroleum)'!$V$13*Model!$AV$2231*'Assumptions (Petroleum)'!AS$2/10^9,0)</f>
        <v>0</v>
      </c>
      <c r="AU2279" s="91">
        <f>IF($AV$2231&gt;0,'Assumptions (Petroleum)'!$V$13*Model!$AV$2231*'Assumptions (Petroleum)'!AT$2/10^9,0)</f>
        <v>0</v>
      </c>
    </row>
    <row r="2280" spans="1:67" ht="15.75" hidden="1" customHeight="1" outlineLevel="1">
      <c r="A2280" s="447"/>
      <c r="B2280" s="99"/>
      <c r="C2280" s="99"/>
      <c r="D2280" s="99"/>
      <c r="E2280" s="99"/>
      <c r="F2280" s="99"/>
      <c r="G2280" s="99"/>
      <c r="H2280" s="99"/>
      <c r="I2280" s="99"/>
      <c r="J2280" s="99"/>
      <c r="K2280" s="99"/>
      <c r="L2280" s="99"/>
      <c r="M2280" s="99"/>
      <c r="N2280" s="99"/>
      <c r="O2280" s="99"/>
      <c r="P2280" s="99"/>
      <c r="Q2280" s="99"/>
      <c r="R2280" s="99"/>
      <c r="S2280" s="99"/>
      <c r="T2280" s="99"/>
      <c r="U2280" s="99"/>
      <c r="V2280" s="99"/>
      <c r="W2280" s="86"/>
      <c r="AT2280" s="91">
        <f>IF($AW$2231&gt;0,'Assumptions (Petroleum)'!$V$13*Model!$AW$2231*'Assumptions (Petroleum)'!AS$2/10^9,0)</f>
        <v>0</v>
      </c>
      <c r="AU2280" s="91">
        <f>IF($AW$2231&gt;0,'Assumptions (Petroleum)'!$V$13*Model!$AW$2231*'Assumptions (Petroleum)'!AT$2/10^9,0)</f>
        <v>0</v>
      </c>
      <c r="AV2280" s="91">
        <f>IF($AW$2231&gt;0,'Assumptions (Petroleum)'!$V$13*Model!$AW$2231*'Assumptions (Petroleum)'!AU$2/10^9,0)</f>
        <v>0</v>
      </c>
    </row>
    <row r="2281" spans="1:67" ht="15.75" hidden="1" customHeight="1" outlineLevel="1">
      <c r="A2281" s="447"/>
      <c r="B2281" s="99"/>
      <c r="C2281" s="99"/>
      <c r="D2281" s="99"/>
      <c r="E2281" s="99"/>
      <c r="F2281" s="99"/>
      <c r="G2281" s="99"/>
      <c r="H2281" s="99"/>
      <c r="I2281" s="99"/>
      <c r="J2281" s="99"/>
      <c r="K2281" s="99"/>
      <c r="L2281" s="99"/>
      <c r="M2281" s="99"/>
      <c r="N2281" s="99"/>
      <c r="O2281" s="99"/>
      <c r="P2281" s="99"/>
      <c r="Q2281" s="99"/>
      <c r="R2281" s="99"/>
      <c r="S2281" s="99"/>
      <c r="T2281" s="99"/>
      <c r="U2281" s="99"/>
      <c r="V2281" s="99"/>
      <c r="W2281" s="86"/>
      <c r="AU2281" s="91">
        <f>IF($AX$2231&gt;0,'Assumptions (Petroleum)'!$V$13*Model!$AX$2231*'Assumptions (Petroleum)'!AT$2/10^9,0)</f>
        <v>0</v>
      </c>
      <c r="AV2281" s="91">
        <f>IF($AX$2231&gt;0,'Assumptions (Petroleum)'!$V$13*Model!$AX$2231*'Assumptions (Petroleum)'!AU$2/10^9,0)</f>
        <v>0</v>
      </c>
      <c r="AW2281" s="91">
        <f>IF($AX$2231&gt;0,'Assumptions (Petroleum)'!$V$13*Model!$AX$2231*'Assumptions (Petroleum)'!AV$2/10^9,0)</f>
        <v>0</v>
      </c>
    </row>
    <row r="2282" spans="1:67" ht="15.75" hidden="1" customHeight="1" outlineLevel="1">
      <c r="A2282" s="447"/>
      <c r="B2282" s="99"/>
      <c r="C2282" s="99"/>
      <c r="D2282" s="99"/>
      <c r="E2282" s="99"/>
      <c r="F2282" s="99"/>
      <c r="G2282" s="99"/>
      <c r="H2282" s="99"/>
      <c r="I2282" s="99"/>
      <c r="J2282" s="99"/>
      <c r="K2282" s="99"/>
      <c r="L2282" s="99"/>
      <c r="M2282" s="99"/>
      <c r="N2282" s="99"/>
      <c r="O2282" s="99"/>
      <c r="P2282" s="99"/>
      <c r="Q2282" s="99"/>
      <c r="R2282" s="99"/>
      <c r="S2282" s="99"/>
      <c r="T2282" s="99"/>
      <c r="U2282" s="99"/>
      <c r="V2282" s="99"/>
      <c r="W2282" s="86"/>
      <c r="AV2282" s="91">
        <f>IF($AY$2231&gt;0,'Assumptions (Petroleum)'!$V$13*Model!$AY$2231*'Assumptions (Petroleum)'!AU$2/10^9,0)</f>
        <v>0</v>
      </c>
      <c r="AW2282" s="91">
        <f>IF($AY$2231&gt;0,'Assumptions (Petroleum)'!$V$13*Model!$AY$2231*'Assumptions (Petroleum)'!AV$2/10^9,0)</f>
        <v>0</v>
      </c>
      <c r="AX2282" s="91">
        <f>IF($AY$2231&gt;0,'Assumptions (Petroleum)'!$V$13*Model!$AY$2231*'Assumptions (Petroleum)'!AW$2/10^9,0)</f>
        <v>0</v>
      </c>
    </row>
    <row r="2283" spans="1:67" ht="15.75" hidden="1" customHeight="1" outlineLevel="1">
      <c r="A2283" s="447"/>
      <c r="B2283" s="99"/>
      <c r="C2283" s="99"/>
      <c r="D2283" s="99"/>
      <c r="E2283" s="99"/>
      <c r="F2283" s="99"/>
      <c r="G2283" s="99"/>
      <c r="H2283" s="99"/>
      <c r="I2283" s="99"/>
      <c r="J2283" s="99"/>
      <c r="K2283" s="99"/>
      <c r="L2283" s="99"/>
      <c r="M2283" s="99"/>
      <c r="N2283" s="99"/>
      <c r="O2283" s="99"/>
      <c r="P2283" s="99"/>
      <c r="Q2283" s="99"/>
      <c r="R2283" s="99"/>
      <c r="S2283" s="99"/>
      <c r="T2283" s="99"/>
      <c r="U2283" s="99"/>
      <c r="V2283" s="99"/>
      <c r="W2283" s="86"/>
      <c r="AW2283" s="91">
        <f>IF($AZ$2231&gt;0,'Assumptions (Petroleum)'!$V$13*Model!$AZ$2231*'Assumptions (Petroleum)'!AV$2/10^9,0)</f>
        <v>0</v>
      </c>
      <c r="AX2283" s="91">
        <f>IF($AZ$2231&gt;0,'Assumptions (Petroleum)'!$V$13*Model!$AZ$2231*'Assumptions (Petroleum)'!AW$2/10^9,0)</f>
        <v>0</v>
      </c>
      <c r="AY2283" s="91">
        <f>IF($AZ$2231&gt;0,'Assumptions (Petroleum)'!$V$13*Model!$AZ$2231*'Assumptions (Petroleum)'!AX$2/10^9,0)</f>
        <v>0</v>
      </c>
    </row>
    <row r="2284" spans="1:67" ht="15.75" hidden="1" customHeight="1" outlineLevel="1">
      <c r="A2284" s="447"/>
      <c r="B2284" s="99"/>
      <c r="C2284" s="99"/>
      <c r="D2284" s="99"/>
      <c r="E2284" s="99"/>
      <c r="F2284" s="99"/>
      <c r="G2284" s="99"/>
      <c r="H2284" s="99"/>
      <c r="I2284" s="99"/>
      <c r="J2284" s="99"/>
      <c r="K2284" s="99"/>
      <c r="L2284" s="99"/>
      <c r="M2284" s="99"/>
      <c r="N2284" s="99"/>
      <c r="O2284" s="99"/>
      <c r="P2284" s="99"/>
      <c r="Q2284" s="99"/>
      <c r="R2284" s="99"/>
      <c r="S2284" s="99"/>
      <c r="T2284" s="99"/>
      <c r="U2284" s="99"/>
      <c r="V2284" s="99"/>
      <c r="W2284" s="86"/>
      <c r="AX2284" s="91">
        <f>IF($BA$2231&gt;0,'Assumptions (Petroleum)'!$V$13*Model!$BA$2231*'Assumptions (Petroleum)'!AW$2/10^9,0)</f>
        <v>0</v>
      </c>
      <c r="AY2284" s="91">
        <f>IF($BA$2231&gt;0,'Assumptions (Petroleum)'!$V$13*Model!$BA$2231*'Assumptions (Petroleum)'!AX$2/10^9,0)</f>
        <v>0</v>
      </c>
      <c r="AZ2284" s="91">
        <f>IF($BA$2231&gt;0,'Assumptions (Petroleum)'!$V$13*Model!$BA$2231*'Assumptions (Petroleum)'!AY$2/10^9,0)</f>
        <v>0</v>
      </c>
    </row>
    <row r="2285" spans="1:67" ht="15.75" customHeight="1" collapsed="1">
      <c r="A2285" s="449" t="s">
        <v>52</v>
      </c>
      <c r="B2285" s="99" t="s">
        <v>201</v>
      </c>
      <c r="C2285" s="417">
        <f>'Assumptions (Petroleum)'!$V$4*Model!C2233</f>
        <v>0.53513625189702418</v>
      </c>
      <c r="D2285" s="417">
        <f>'Assumptions (Petroleum)'!$V$4*Model!D2233</f>
        <v>0.1124896370170259</v>
      </c>
      <c r="E2285" s="417">
        <f>'Assumptions (Petroleum)'!$V$4*Model!E2233</f>
        <v>8.0760387220159754E-2</v>
      </c>
      <c r="F2285" s="417">
        <f>'Assumptions (Petroleum)'!$V$4*Model!F2233</f>
        <v>6.9373351386808835E-2</v>
      </c>
      <c r="G2285" s="417">
        <f>'Assumptions (Petroleum)'!$V$4*Model!G2233</f>
        <v>7.5181581230981412E-2</v>
      </c>
      <c r="H2285" s="417">
        <f>'Assumptions (Petroleum)'!$V$4*Model!H2233</f>
        <v>7.2059292308460116E-2</v>
      </c>
      <c r="I2285" s="417">
        <f>'Assumptions (Petroleum)'!$V$4*Model!I2233</f>
        <v>5.8347888693022883E-2</v>
      </c>
      <c r="J2285" s="417">
        <f>'Assumptions (Petroleum)'!$V$4*Model!J2233</f>
        <v>0.16141883868262846</v>
      </c>
      <c r="K2285" s="417">
        <f>'Assumptions (Petroleum)'!$V$4*Model!K2233</f>
        <v>0.20368743650267723</v>
      </c>
      <c r="L2285" s="417">
        <f>'Assumptions (Petroleum)'!$V$4*Model!L2233</f>
        <v>0.22717413259462743</v>
      </c>
      <c r="M2285" s="417">
        <f>'Assumptions (Petroleum)'!$V$4*Model!M2233</f>
        <v>9.425309756585605E-2</v>
      </c>
      <c r="N2285" s="417">
        <f>'Assumptions (Petroleum)'!$V$4*Model!N2233</f>
        <v>4.8710000822034409E-2</v>
      </c>
      <c r="O2285" s="417">
        <f>'Assumptions (Petroleum)'!$V$4*Model!O2233</f>
        <v>2.7959934884809873E-2</v>
      </c>
      <c r="P2285" s="417">
        <f>'Assumptions (Petroleum)'!$V$4*Model!P2233</f>
        <v>2.4518247936039392E-2</v>
      </c>
      <c r="Q2285" s="417">
        <f>'Assumptions (Petroleum)'!$V$4*Model!Q2233</f>
        <v>2.5531805633144285E-2</v>
      </c>
      <c r="R2285" s="417">
        <f>'Assumptions (Petroleum)'!$V$4*Model!R2233</f>
        <v>1.9015963269308656E-2</v>
      </c>
      <c r="S2285" s="417">
        <f>'Assumptions (Petroleum)'!$V$4*Model!S2233</f>
        <v>1.6747211206289359E-2</v>
      </c>
      <c r="T2285" s="417">
        <f>'Assumptions (Petroleum)'!$V$4*Model!T2233</f>
        <v>7.4213914708520833E-3</v>
      </c>
      <c r="U2285" s="417">
        <f>'Assumptions (Petroleum)'!$V$4*Model!U2233</f>
        <v>3.681084198385236E-3</v>
      </c>
      <c r="V2285" s="417">
        <f>'Assumptions (Petroleum)'!$V$4*Model!V2233</f>
        <v>0</v>
      </c>
      <c r="W2285" s="417">
        <f>'Assumptions (Petroleum)'!$V$4*Model!W2233</f>
        <v>0</v>
      </c>
      <c r="X2285" s="417">
        <f>'Assumptions (Petroleum)'!$V$4*Model!X2233</f>
        <v>0</v>
      </c>
      <c r="Y2285" s="417">
        <f>'Assumptions (Petroleum)'!$V$4*Model!Y2233</f>
        <v>0</v>
      </c>
      <c r="Z2285" s="417">
        <f>'Assumptions (Petroleum)'!$V$4*Model!Z2233</f>
        <v>0</v>
      </c>
      <c r="AA2285" s="417">
        <f>'Assumptions (Petroleum)'!$V$4*Model!AA2233</f>
        <v>0</v>
      </c>
      <c r="AB2285" s="417">
        <f>'Assumptions (Petroleum)'!$V$4*Model!AB2233</f>
        <v>0</v>
      </c>
      <c r="AC2285" s="417">
        <f>'Assumptions (Petroleum)'!$V$4*Model!AC2233</f>
        <v>0</v>
      </c>
      <c r="AD2285" s="417">
        <f>'Assumptions (Petroleum)'!$V$4*Model!AD2233</f>
        <v>0</v>
      </c>
      <c r="AE2285" s="417">
        <f>'Assumptions (Petroleum)'!$V$4*Model!AE2233</f>
        <v>0</v>
      </c>
      <c r="AF2285" s="417">
        <f>'Assumptions (Petroleum)'!$V$4*Model!AF2233</f>
        <v>0</v>
      </c>
      <c r="AG2285" s="417">
        <f>'Assumptions (Petroleum)'!$V$4*Model!AG2233</f>
        <v>0</v>
      </c>
      <c r="AH2285" s="417">
        <f>'Assumptions (Petroleum)'!$V$4*Model!AH2233</f>
        <v>0</v>
      </c>
      <c r="AI2285" s="417">
        <f>'Assumptions (Petroleum)'!$V$4*Model!AI2233</f>
        <v>0</v>
      </c>
      <c r="AJ2285" s="417">
        <f>'Assumptions (Petroleum)'!$V$4*Model!AJ2233</f>
        <v>0</v>
      </c>
      <c r="AK2285" s="417">
        <f>'Assumptions (Petroleum)'!$V$4*Model!AK2233</f>
        <v>0</v>
      </c>
      <c r="AL2285" s="417">
        <f>'Assumptions (Petroleum)'!$V$4*Model!AL2233</f>
        <v>0</v>
      </c>
      <c r="AM2285" s="417">
        <f>'Assumptions (Petroleum)'!$V$4*Model!AM2233</f>
        <v>0</v>
      </c>
      <c r="AN2285" s="417">
        <f>'Assumptions (Petroleum)'!$V$4*Model!AN2233</f>
        <v>0</v>
      </c>
      <c r="AO2285" s="417">
        <f>'Assumptions (Petroleum)'!$V$4*Model!AO2233</f>
        <v>0</v>
      </c>
      <c r="AP2285" s="417">
        <f>'Assumptions (Petroleum)'!$V$4*Model!AP2233</f>
        <v>0</v>
      </c>
      <c r="AQ2285" s="417">
        <f>'Assumptions (Petroleum)'!$V$4*Model!AQ2233</f>
        <v>0</v>
      </c>
      <c r="AR2285" s="417">
        <f>'Assumptions (Petroleum)'!$V$4*Model!AR2233</f>
        <v>0</v>
      </c>
      <c r="AS2285" s="417">
        <f>'Assumptions (Petroleum)'!$V$4*Model!AS2233</f>
        <v>0</v>
      </c>
      <c r="AT2285" s="417">
        <f>'Assumptions (Petroleum)'!$V$4*Model!AT2233</f>
        <v>0</v>
      </c>
      <c r="AU2285" s="417">
        <f>'Assumptions (Petroleum)'!$V$4*Model!AU2233</f>
        <v>0</v>
      </c>
      <c r="AV2285" s="417">
        <f>'Assumptions (Petroleum)'!$V$4*Model!AV2233</f>
        <v>0</v>
      </c>
      <c r="AW2285" s="417">
        <f>'Assumptions (Petroleum)'!$V$4*Model!AW2233</f>
        <v>0</v>
      </c>
      <c r="AX2285" s="417">
        <f>'Assumptions (Petroleum)'!$V$4*Model!AX2233</f>
        <v>0</v>
      </c>
      <c r="AY2285" s="417">
        <f>'Assumptions (Petroleum)'!$V$4*Model!AY2233</f>
        <v>0</v>
      </c>
      <c r="AZ2285" s="417">
        <f>'Assumptions (Petroleum)'!$V$4*Model!AZ2233</f>
        <v>0</v>
      </c>
      <c r="BA2285" s="417">
        <f>'Assumptions (Petroleum)'!$V$4*Model!BA2233</f>
        <v>0</v>
      </c>
    </row>
    <row r="2286" spans="1:67" ht="15.75" customHeight="1">
      <c r="A2286" s="449" t="s">
        <v>54</v>
      </c>
      <c r="B2286" s="99" t="s">
        <v>201</v>
      </c>
      <c r="C2286" s="417">
        <f>'Assumptions (Petroleum)'!$V$5*Model!C2233</f>
        <v>0.35675750126468281</v>
      </c>
      <c r="D2286" s="417">
        <f>'Assumptions (Petroleum)'!$V$5*Model!D2233</f>
        <v>7.4993091344683946E-2</v>
      </c>
      <c r="E2286" s="417">
        <f>'Assumptions (Petroleum)'!$V$5*Model!E2233</f>
        <v>5.3840258146773172E-2</v>
      </c>
      <c r="F2286" s="417">
        <f>'Assumptions (Petroleum)'!$V$5*Model!F2233</f>
        <v>4.6248900924539232E-2</v>
      </c>
      <c r="G2286" s="417">
        <f>'Assumptions (Petroleum)'!$V$5*Model!G2233</f>
        <v>5.0121054153987613E-2</v>
      </c>
      <c r="H2286" s="417">
        <f>'Assumptions (Petroleum)'!$V$5*Model!H2233</f>
        <v>4.8039528205640086E-2</v>
      </c>
      <c r="I2286" s="417">
        <f>'Assumptions (Petroleum)'!$V$5*Model!I2233</f>
        <v>3.8898592462015262E-2</v>
      </c>
      <c r="J2286" s="417">
        <f>'Assumptions (Petroleum)'!$V$5*Model!J2233</f>
        <v>0.10761255912175233</v>
      </c>
      <c r="K2286" s="417">
        <f>'Assumptions (Petroleum)'!$V$5*Model!K2233</f>
        <v>0.13579162433511816</v>
      </c>
      <c r="L2286" s="417">
        <f>'Assumptions (Petroleum)'!$V$5*Model!L2233</f>
        <v>0.15144942172975162</v>
      </c>
      <c r="M2286" s="417">
        <f>'Assumptions (Petroleum)'!$V$5*Model!M2233</f>
        <v>6.2835398377237381E-2</v>
      </c>
      <c r="N2286" s="417">
        <f>'Assumptions (Petroleum)'!$V$5*Model!N2233</f>
        <v>3.247333388135628E-2</v>
      </c>
      <c r="O2286" s="417">
        <f>'Assumptions (Petroleum)'!$V$5*Model!O2233</f>
        <v>1.863995658987325E-2</v>
      </c>
      <c r="P2286" s="417">
        <f>'Assumptions (Petroleum)'!$V$5*Model!P2233</f>
        <v>1.6345498624026261E-2</v>
      </c>
      <c r="Q2286" s="417">
        <f>'Assumptions (Petroleum)'!$V$5*Model!Q2233</f>
        <v>1.7021203755429523E-2</v>
      </c>
      <c r="R2286" s="417">
        <f>'Assumptions (Petroleum)'!$V$5*Model!R2233</f>
        <v>1.267730884620577E-2</v>
      </c>
      <c r="S2286" s="417">
        <f>'Assumptions (Petroleum)'!$V$5*Model!S2233</f>
        <v>1.1164807470859572E-2</v>
      </c>
      <c r="T2286" s="417">
        <f>'Assumptions (Petroleum)'!$V$5*Model!T2233</f>
        <v>4.9475943139013897E-3</v>
      </c>
      <c r="U2286" s="417">
        <f>'Assumptions (Petroleum)'!$V$5*Model!U2233</f>
        <v>2.4540561322568244E-3</v>
      </c>
      <c r="V2286" s="417">
        <f>'Assumptions (Petroleum)'!$V$5*Model!V2233</f>
        <v>0</v>
      </c>
      <c r="W2286" s="417">
        <f>'Assumptions (Petroleum)'!$V$5*Model!W2233</f>
        <v>0</v>
      </c>
      <c r="X2286" s="417">
        <f>'Assumptions (Petroleum)'!$V$5*Model!X2233</f>
        <v>0</v>
      </c>
      <c r="Y2286" s="417">
        <f>'Assumptions (Petroleum)'!$V$5*Model!Y2233</f>
        <v>0</v>
      </c>
      <c r="Z2286" s="417">
        <f>'Assumptions (Petroleum)'!$V$5*Model!Z2233</f>
        <v>0</v>
      </c>
      <c r="AA2286" s="417">
        <f>'Assumptions (Petroleum)'!$V$5*Model!AA2233</f>
        <v>0</v>
      </c>
      <c r="AB2286" s="417">
        <f>'Assumptions (Petroleum)'!$V$5*Model!AB2233</f>
        <v>0</v>
      </c>
      <c r="AC2286" s="417">
        <f>'Assumptions (Petroleum)'!$V$5*Model!AC2233</f>
        <v>0</v>
      </c>
      <c r="AD2286" s="417">
        <f>'Assumptions (Petroleum)'!$V$5*Model!AD2233</f>
        <v>0</v>
      </c>
      <c r="AE2286" s="417">
        <f>'Assumptions (Petroleum)'!$V$5*Model!AE2233</f>
        <v>0</v>
      </c>
      <c r="AF2286" s="417">
        <f>'Assumptions (Petroleum)'!$V$5*Model!AF2233</f>
        <v>0</v>
      </c>
      <c r="AG2286" s="417">
        <f>'Assumptions (Petroleum)'!$V$5*Model!AG2233</f>
        <v>0</v>
      </c>
      <c r="AH2286" s="417">
        <f>'Assumptions (Petroleum)'!$V$5*Model!AH2233</f>
        <v>0</v>
      </c>
      <c r="AI2286" s="417">
        <f>'Assumptions (Petroleum)'!$V$5*Model!AI2233</f>
        <v>0</v>
      </c>
      <c r="AJ2286" s="417">
        <f>'Assumptions (Petroleum)'!$V$5*Model!AJ2233</f>
        <v>0</v>
      </c>
      <c r="AK2286" s="417">
        <f>'Assumptions (Petroleum)'!$V$5*Model!AK2233</f>
        <v>0</v>
      </c>
      <c r="AL2286" s="417">
        <f>'Assumptions (Petroleum)'!$V$5*Model!AL2233</f>
        <v>0</v>
      </c>
      <c r="AM2286" s="417">
        <f>'Assumptions (Petroleum)'!$V$5*Model!AM2233</f>
        <v>0</v>
      </c>
      <c r="AN2286" s="417">
        <f>'Assumptions (Petroleum)'!$V$5*Model!AN2233</f>
        <v>0</v>
      </c>
      <c r="AO2286" s="417">
        <f>'Assumptions (Petroleum)'!$V$5*Model!AO2233</f>
        <v>0</v>
      </c>
      <c r="AP2286" s="417">
        <f>'Assumptions (Petroleum)'!$V$5*Model!AP2233</f>
        <v>0</v>
      </c>
      <c r="AQ2286" s="417">
        <f>'Assumptions (Petroleum)'!$V$5*Model!AQ2233</f>
        <v>0</v>
      </c>
      <c r="AR2286" s="417">
        <f>'Assumptions (Petroleum)'!$V$5*Model!AR2233</f>
        <v>0</v>
      </c>
      <c r="AS2286" s="417">
        <f>'Assumptions (Petroleum)'!$V$5*Model!AS2233</f>
        <v>0</v>
      </c>
      <c r="AT2286" s="417">
        <f>'Assumptions (Petroleum)'!$V$5*Model!AT2233</f>
        <v>0</v>
      </c>
      <c r="AU2286" s="417">
        <f>'Assumptions (Petroleum)'!$V$5*Model!AU2233</f>
        <v>0</v>
      </c>
      <c r="AV2286" s="417">
        <f>'Assumptions (Petroleum)'!$V$5*Model!AV2233</f>
        <v>0</v>
      </c>
      <c r="AW2286" s="417">
        <f>'Assumptions (Petroleum)'!$V$5*Model!AW2233</f>
        <v>0</v>
      </c>
      <c r="AX2286" s="417">
        <f>'Assumptions (Petroleum)'!$V$5*Model!AX2233</f>
        <v>0</v>
      </c>
      <c r="AY2286" s="417">
        <f>'Assumptions (Petroleum)'!$V$5*Model!AY2233</f>
        <v>0</v>
      </c>
      <c r="AZ2286" s="417">
        <f>'Assumptions (Petroleum)'!$V$5*Model!AZ2233</f>
        <v>0</v>
      </c>
      <c r="BA2286" s="417">
        <f>'Assumptions (Petroleum)'!$V$5*Model!BA2233</f>
        <v>0</v>
      </c>
    </row>
    <row r="2287" spans="1:67" ht="15.75" customHeight="1">
      <c r="A2287" s="449" t="s">
        <v>336</v>
      </c>
      <c r="B2287" s="99" t="s">
        <v>201</v>
      </c>
      <c r="C2287" s="91">
        <f t="array" ref="C2287">SUM(IF(ISERROR(C2288:C2338),"",C2288:C2338))</f>
        <v>-9.5791341387633702E-3</v>
      </c>
      <c r="D2287" s="91">
        <f t="array" ref="D2287">SUM(IF(ISERROR(D2288:D2338),"",D2288:D2338))</f>
        <v>-1.9543998813868931E-2</v>
      </c>
      <c r="E2287" s="91">
        <f t="array" ref="E2287">SUM(IF(ISERROR(E2288:E2338),"",E2288:E2338))</f>
        <v>-2.7365439495438258E-2</v>
      </c>
      <c r="F2287" s="91">
        <f t="array" ref="F2287">SUM(IF(ISERROR(F2288:F2338),"",F2288:F2338))</f>
        <v>-3.3656349557361805E-2</v>
      </c>
      <c r="G2287" s="91">
        <f t="array" ref="G2287">SUM(IF(ISERROR(G2288:G2338),"",G2288:G2338))</f>
        <v>-3.931915187626276E-2</v>
      </c>
      <c r="H2287" s="91">
        <f t="array" ref="H2287">SUM(IF(ISERROR(H2288:H2338),"",H2288:H2338))</f>
        <v>-4.3519845751991151E-2</v>
      </c>
      <c r="I2287" s="91">
        <f t="array" ref="I2287">SUM(IF(ISERROR(I2288:I2338),"",I2288:I2338))</f>
        <v>-4.9004555894032631E-2</v>
      </c>
      <c r="J2287" s="91">
        <f t="array" ref="J2287">SUM(IF(ISERROR(J2288:J2338),"",J2288:J2338))</f>
        <v>-5.6284024033628484E-2</v>
      </c>
      <c r="K2287" s="91">
        <f t="array" ref="K2287">SUM(IF(ISERROR(K2288:K2338),"",K2288:K2338))</f>
        <v>-6.0764832194561476E-2</v>
      </c>
      <c r="L2287" s="91">
        <f t="array" ref="L2287">SUM(IF(ISERROR(L2288:L2338),"",L2288:L2338))</f>
        <v>-6.5088073654135145E-2</v>
      </c>
      <c r="M2287" s="91">
        <f t="array" ref="M2287">SUM(IF(ISERROR(M2288:M2338),"",M2288:M2338))</f>
        <v>-8.8161308183431555E-2</v>
      </c>
      <c r="N2287" s="91">
        <f t="array" ref="N2287">SUM(IF(ISERROR(N2288:N2338),"",N2288:N2338))</f>
        <v>-9.990882899892338E-2</v>
      </c>
      <c r="O2287" s="91">
        <f t="array" ref="O2287">SUM(IF(ISERROR(O2288:O2338),"",O2288:O2338))</f>
        <v>-0.10898483376655768</v>
      </c>
      <c r="P2287" s="91">
        <f t="array" ref="P2287">SUM(IF(ISERROR(P2288:P2338),"",P2288:P2338))</f>
        <v>-0.11550043345815698</v>
      </c>
      <c r="Q2287" s="91">
        <f t="array" ref="Q2287">SUM(IF(ISERROR(Q2288:Q2338),"",Q2288:Q2338))</f>
        <v>-0.12215517965229813</v>
      </c>
      <c r="R2287" s="91">
        <f t="array" ref="R2287">SUM(IF(ISERROR(R2288:R2338),"",R2288:R2338))</f>
        <v>-0.11019860469652869</v>
      </c>
      <c r="S2287" s="91">
        <f t="array" ref="S2287">SUM(IF(ISERROR(S2288:S2338),"",S2288:S2338))</f>
        <v>-9.7199742480440318E-2</v>
      </c>
      <c r="T2287" s="91">
        <f t="array" ref="T2287">SUM(IF(ISERROR(T2288:T2338),"",T2288:T2338))</f>
        <v>-8.930542654494876E-2</v>
      </c>
      <c r="U2287" s="91">
        <f t="array" ref="U2287">SUM(IF(ISERROR(U2288:U2338),"",U2288:U2338))</f>
        <v>-8.406542503169849E-2</v>
      </c>
      <c r="V2287" s="91">
        <f t="array" ref="V2287">SUM(IF(ISERROR(V2288:V2338),"",V2288:V2338))</f>
        <v>-8.0417597241743521E-2</v>
      </c>
      <c r="W2287" s="91">
        <f t="array" ref="W2287">SUM(IF(ISERROR(W2288:W2338),"",W2288:W2338))</f>
        <v>-7.9557586995979993E-2</v>
      </c>
      <c r="X2287" s="91">
        <f t="array" ref="X2287">SUM(IF(ISERROR(X2288:X2338),"",X2288:X2338))</f>
        <v>-7.6481355205843024E-2</v>
      </c>
      <c r="Y2287" s="91">
        <f t="array" ref="Y2287">SUM(IF(ISERROR(Y2288:Y2338),"",Y2288:Y2338))</f>
        <v>-7.0181473415268647E-2</v>
      </c>
      <c r="Z2287" s="91">
        <f t="array" ref="Z2287">SUM(IF(ISERROR(Z2288:Z2338),"",Z2288:Z2338))</f>
        <v>-6.9889786208007329E-2</v>
      </c>
      <c r="AA2287" s="91">
        <f t="array" ref="AA2287">SUM(IF(ISERROR(AA2288:AA2338),"",AA2288:AA2338))</f>
        <v>-7.0327241472916371E-2</v>
      </c>
      <c r="AB2287" s="91">
        <f t="array" ref="AB2287">SUM(IF(ISERROR(AB2288:AB2338),"",AB2288:AB2338))</f>
        <v>-3.3586681832559022E-2</v>
      </c>
      <c r="AC2287" s="91">
        <f t="array" ref="AC2287">SUM(IF(ISERROR(AC2288:AC2338),"",AC2288:AC2338))</f>
        <v>-2.001768693174159E-2</v>
      </c>
      <c r="AD2287" s="91">
        <f t="array" ref="AD2287">SUM(IF(ISERROR(AD2288:AD2338),"",AD2288:AD2338))</f>
        <v>-1.2282283376783944E-2</v>
      </c>
      <c r="AE2287" s="91">
        <f t="array" ref="AE2287">SUM(IF(ISERROR(AE2288:AE2338),"",AE2288:AE2338))</f>
        <v>-1.0180145226325979E-2</v>
      </c>
      <c r="AF2287" s="91">
        <f t="array" ref="AF2287">SUM(IF(ISERROR(AF2288:AF2338),"",AF2288:AF2338))</f>
        <v>-8.3198504529389435E-3</v>
      </c>
      <c r="AG2287" s="91">
        <f t="array" ref="AG2287">SUM(IF(ISERROR(AG2288:AG2338),"",AG2288:AG2338))</f>
        <v>-5.7946613337071344E-3</v>
      </c>
      <c r="AH2287" s="91">
        <f t="array" ref="AH2287">SUM(IF(ISERROR(AH2288:AH2338),"",AH2288:AH2338))</f>
        <v>-4.3797791734859828E-3</v>
      </c>
      <c r="AI2287" s="91">
        <f t="array" ref="AI2287">SUM(IF(ISERROR(AI2288:AI2338),"",AI2288:AI2338))</f>
        <v>-1.9488390428400483E-3</v>
      </c>
      <c r="AJ2287" s="91">
        <f t="array" ref="AJ2287">SUM(IF(ISERROR(AJ2288:AJ2338),"",AJ2288:AJ2338))</f>
        <v>-9.7914375896856099E-4</v>
      </c>
      <c r="AK2287" s="91">
        <f t="array" ref="AK2287">SUM(IF(ISERROR(AK2288:AK2338),"",AK2288:AK2338))</f>
        <v>0</v>
      </c>
      <c r="AL2287" s="91">
        <f t="array" ref="AL2287">SUM(IF(ISERROR(AL2288:AL2338),"",AL2288:AL2338))</f>
        <v>0</v>
      </c>
      <c r="AM2287" s="91">
        <f t="array" ref="AM2287">SUM(IF(ISERROR(AM2288:AM2338),"",AM2288:AM2338))</f>
        <v>0</v>
      </c>
      <c r="AN2287" s="91">
        <f t="array" ref="AN2287">SUM(IF(ISERROR(AN2288:AN2338),"",AN2288:AN2338))</f>
        <v>0</v>
      </c>
      <c r="AO2287" s="91">
        <f t="array" ref="AO2287">SUM(IF(ISERROR(AO2288:AO2338),"",AO2288:AO2338))</f>
        <v>0</v>
      </c>
      <c r="AP2287" s="91">
        <f t="array" ref="AP2287">SUM(IF(ISERROR(AP2288:AP2338),"",AP2288:AP2338))</f>
        <v>0</v>
      </c>
      <c r="AQ2287" s="91">
        <f t="array" ref="AQ2287">SUM(IF(ISERROR(AQ2288:AQ2338),"",AQ2288:AQ2338))</f>
        <v>0</v>
      </c>
      <c r="AR2287" s="91">
        <f t="array" ref="AR2287">SUM(IF(ISERROR(AR2288:AR2338),"",AR2288:AR2338))</f>
        <v>0</v>
      </c>
      <c r="AS2287" s="91">
        <f t="array" ref="AS2287">SUM(IF(ISERROR(AS2288:AS2338),"",AS2288:AS2338))</f>
        <v>0</v>
      </c>
      <c r="AT2287" s="91">
        <f t="array" ref="AT2287">SUM(IF(ISERROR(AT2288:AT2338),"",AT2288:AT2338))</f>
        <v>0</v>
      </c>
      <c r="AU2287" s="91">
        <f t="array" ref="AU2287">SUM(IF(ISERROR(AU2288:AU2338),"",AU2288:AU2338))</f>
        <v>0</v>
      </c>
      <c r="AV2287" s="91">
        <f t="array" ref="AV2287">SUM(IF(ISERROR(AV2288:AV2338),"",AV2288:AV2338))</f>
        <v>0</v>
      </c>
      <c r="AW2287" s="91">
        <f t="array" ref="AW2287">SUM(IF(ISERROR(AW2288:AW2338),"",AW2288:AW2338))</f>
        <v>0</v>
      </c>
      <c r="AX2287" s="91">
        <f t="array" ref="AX2287">SUM(IF(ISERROR(AX2288:AX2338),"",AX2288:AX2338))</f>
        <v>0</v>
      </c>
      <c r="AY2287" s="91">
        <f t="array" ref="AY2287">SUM(IF(ISERROR(AY2288:AY2338),"",AY2288:AY2338))</f>
        <v>0</v>
      </c>
      <c r="AZ2287" s="91">
        <f t="array" ref="AZ2287">SUM(IF(ISERROR(AZ2288:AZ2338),"",AZ2288:AZ2338))</f>
        <v>0</v>
      </c>
      <c r="BA2287" s="91">
        <f t="array" ref="BA2287">SUM(IF(ISERROR(BA2288:BA2338),"",BA2288:BA2338))</f>
        <v>0</v>
      </c>
      <c r="BB2287" s="91">
        <f t="array" ref="BB2287">SUM(IF(ISERROR(BB2288:BB2338),"",BB2288:BB2338))</f>
        <v>0</v>
      </c>
      <c r="BC2287" s="91">
        <f t="array" ref="BC2287">SUM(IF(ISERROR(BC2288:BC2338),"",BC2288:BC2338))</f>
        <v>0</v>
      </c>
      <c r="BD2287" s="91">
        <f t="array" ref="BD2287">SUM(IF(ISERROR(BD2288:BD2338),"",BD2288:BD2338))</f>
        <v>0</v>
      </c>
      <c r="BE2287" s="91">
        <f t="array" ref="BE2287">SUM(IF(ISERROR(BE2288:BE2338),"",BE2288:BE2338))</f>
        <v>0</v>
      </c>
      <c r="BF2287" s="91">
        <f t="array" ref="BF2287">SUM(IF(ISERROR(BF2288:BF2338),"",BF2288:BF2338))</f>
        <v>0</v>
      </c>
      <c r="BG2287" s="91">
        <f t="array" ref="BG2287">SUM(IF(ISERROR(BG2288:BG2338),"",BG2288:BG2338))</f>
        <v>0</v>
      </c>
      <c r="BH2287" s="91">
        <f t="array" ref="BH2287">SUM(IF(ISERROR(BH2288:BH2338),"",BH2288:BH2338))</f>
        <v>0</v>
      </c>
      <c r="BI2287" s="91">
        <f t="array" ref="BI2287">SUM(IF(ISERROR(BI2288:BI2338),"",BI2288:BI2338))</f>
        <v>0</v>
      </c>
      <c r="BJ2287" s="91">
        <f t="array" ref="BJ2287">SUM(IF(ISERROR(BJ2288:BJ2338),"",BJ2288:BJ2338))</f>
        <v>0</v>
      </c>
      <c r="BK2287" s="91">
        <f t="array" ref="BK2287">SUM(IF(ISERROR(BK2288:BK2338),"",BK2288:BK2338))</f>
        <v>0</v>
      </c>
      <c r="BL2287" s="91">
        <f t="array" ref="BL2287">SUM(IF(ISERROR(BL2288:BL2338),"",BL2288:BL2338))</f>
        <v>0</v>
      </c>
      <c r="BM2287" s="91">
        <f t="array" ref="BM2287">SUM(IF(ISERROR(BM2288:BM2338),"",BM2288:BM2338))</f>
        <v>0</v>
      </c>
      <c r="BN2287" s="91">
        <f t="array" ref="BN2287">SUM(IF(ISERROR(BN2288:BN2338),"",BN2288:BN2338))</f>
        <v>0</v>
      </c>
      <c r="BO2287" s="91">
        <f t="array" ref="BO2287">SUM(IF(ISERROR(BO2288:BO2338),"",BO2288:BO2338))</f>
        <v>0</v>
      </c>
    </row>
    <row r="2288" spans="1:67" ht="15.75" hidden="1" customHeight="1" outlineLevel="1">
      <c r="A2288" s="447"/>
      <c r="B2288" s="99"/>
      <c r="C2288" s="91">
        <f>IF($C$2231&gt;0,PPMT('Assumptions (Petroleum)'!$V$6,Model!W$1,'Assumptions (Petroleum)'!$V$9,'Assumptions (Petroleum)'!$V$4*Model!$C$2231*'Assumptions (Petroleum)'!$B$2/10^9),0)</f>
        <v>-9.5791341387633702E-3</v>
      </c>
      <c r="D2288" s="91">
        <f>IF($C$2231&gt;0,PPMT('Assumptions (Petroleum)'!$V$6,Model!X$1,'Assumptions (Petroleum)'!$V$9,'Assumptions (Petroleum)'!$V$4*Model!$C$2231*'Assumptions (Petroleum)'!$B$2/10^9),0)</f>
        <v>-1.0034143010354631E-2</v>
      </c>
      <c r="E2288" s="91">
        <f>IF($C$2231&gt;0,PPMT('Assumptions (Petroleum)'!$V$6,Model!Y$1,'Assumptions (Petroleum)'!$V$9,'Assumptions (Petroleum)'!$V$4*Model!$C$2231*'Assumptions (Petroleum)'!$B$2/10^9),0)</f>
        <v>-1.0510764803346475E-2</v>
      </c>
      <c r="F2288" s="91">
        <f>IF($C$2231&gt;0,PPMT('Assumptions (Petroleum)'!$V$6,Model!Z$1,'Assumptions (Petroleum)'!$V$9,'Assumptions (Petroleum)'!$V$4*Model!$C$2231*'Assumptions (Petroleum)'!$B$2/10^9),0)</f>
        <v>-1.1010026131505432E-2</v>
      </c>
      <c r="G2288" s="91">
        <f>IF($C$2231&gt;0,PPMT('Assumptions (Petroleum)'!$V$6,Model!AA$1,'Assumptions (Petroleum)'!$V$9,'Assumptions (Petroleum)'!$V$4*Model!$C$2231*'Assumptions (Petroleum)'!$B$2/10^9),0)</f>
        <v>-1.1533002372751939E-2</v>
      </c>
      <c r="H2288" s="91">
        <f>IF($C$2231&gt;0,PPMT('Assumptions (Petroleum)'!$V$6,Model!AB$1,'Assumptions (Petroleum)'!$V$9,'Assumptions (Petroleum)'!$V$4*Model!$C$2231*'Assumptions (Petroleum)'!$B$2/10^9),0)</f>
        <v>-1.2080819985457658E-2</v>
      </c>
      <c r="I2288" s="91">
        <f>IF($C$2231&gt;0,PPMT('Assumptions (Petroleum)'!$V$6,Model!AC$1,'Assumptions (Petroleum)'!$V$9,'Assumptions (Petroleum)'!$V$4*Model!$C$2231*'Assumptions (Petroleum)'!$B$2/10^9),0)</f>
        <v>-1.2654658934766897E-2</v>
      </c>
      <c r="J2288" s="91">
        <f>IF($C$2231&gt;0,PPMT('Assumptions (Petroleum)'!$V$6,Model!AD$1,'Assumptions (Petroleum)'!$V$9,'Assumptions (Petroleum)'!$V$4*Model!$C$2231*'Assumptions (Petroleum)'!$B$2/10^9),0)</f>
        <v>-1.3255755234168323E-2</v>
      </c>
      <c r="K2288" s="91">
        <f>IF($C$2231&gt;0,PPMT('Assumptions (Petroleum)'!$V$6,Model!AE$1,'Assumptions (Petroleum)'!$V$9,'Assumptions (Petroleum)'!$V$4*Model!$C$2231*'Assumptions (Petroleum)'!$B$2/10^9),0)</f>
        <v>-1.3885403607791318E-2</v>
      </c>
      <c r="L2288" s="91">
        <f>IF($C$2231&gt;0,PPMT('Assumptions (Petroleum)'!$V$6,Model!AF$1,'Assumptions (Petroleum)'!$V$9,'Assumptions (Petroleum)'!$V$4*Model!$C$2231*'Assumptions (Petroleum)'!$B$2/10^9),0)</f>
        <v>-1.4544960279161407E-2</v>
      </c>
      <c r="M2288" s="91">
        <f>IF($C$2231&gt;0,PPMT('Assumptions (Petroleum)'!$V$6,Model!AG$1,'Assumptions (Petroleum)'!$V$9,'Assumptions (Petroleum)'!$V$4*Model!$C$2231*'Assumptions (Petroleum)'!$B$2/10^9),0)</f>
        <v>-1.5235845892421574E-2</v>
      </c>
      <c r="N2288" s="91">
        <f>IF($C$2231&gt;0,PPMT('Assumptions (Petroleum)'!$V$6,Model!AH$1,'Assumptions (Petroleum)'!$V$9,'Assumptions (Petroleum)'!$V$4*Model!$C$2231*'Assumptions (Petroleum)'!$B$2/10^9),0)</f>
        <v>-1.5959548572311598E-2</v>
      </c>
      <c r="O2288" s="91">
        <f>IF($C$2231&gt;0,PPMT('Assumptions (Petroleum)'!$V$6,Model!AI$1,'Assumptions (Petroleum)'!$V$9,'Assumptions (Petroleum)'!$V$4*Model!$C$2231*'Assumptions (Petroleum)'!$B$2/10^9),0)</f>
        <v>-1.6717627129496402E-2</v>
      </c>
      <c r="P2288" s="91">
        <f>IF($C$2231&gt;0,PPMT('Assumptions (Petroleum)'!$V$6,Model!AJ$1,'Assumptions (Petroleum)'!$V$9,'Assumptions (Petroleum)'!$V$4*Model!$C$2231*'Assumptions (Petroleum)'!$B$2/10^9),0)</f>
        <v>-1.751171441814748E-2</v>
      </c>
      <c r="Q2288" s="91">
        <f>IF($C$2231&gt;0,PPMT('Assumptions (Petroleum)'!$V$6,Model!AK$1,'Assumptions (Petroleum)'!$V$9,'Assumptions (Petroleum)'!$V$4*Model!$C$2231*'Assumptions (Petroleum)'!$B$2/10^9),0)</f>
        <v>-1.8343520853009485E-2</v>
      </c>
      <c r="R2288" s="91" t="e">
        <f>IF($C$2231&gt;0,PPMT('Assumptions (Petroleum)'!$V$6,Model!AL$1,'Assumptions (Petroleum)'!$V$9,'Assumptions (Petroleum)'!$V$4*Model!$C$2231*'Assumptions (Petroleum)'!$B$2/10^9),0)</f>
        <v>#NUM!</v>
      </c>
      <c r="S2288" s="91" t="e">
        <f>IF($C$2231&gt;0,PPMT('Assumptions (Petroleum)'!$V$6,Model!AM$1,'Assumptions (Petroleum)'!$V$9,'Assumptions (Petroleum)'!$V$4*Model!$C$2231*'Assumptions (Petroleum)'!$B$2/10^9),0)</f>
        <v>#NUM!</v>
      </c>
      <c r="T2288" s="91" t="e">
        <f>IF($C$2231&gt;0,PPMT('Assumptions (Petroleum)'!$V$6,Model!AN$1,'Assumptions (Petroleum)'!$V$9,'Assumptions (Petroleum)'!$V$4*Model!$C$2231*'Assumptions (Petroleum)'!$B$2/10^9),0)</f>
        <v>#NUM!</v>
      </c>
      <c r="U2288" s="91" t="e">
        <f>IF($C$2231&gt;0,PPMT('Assumptions (Petroleum)'!$V$6,Model!AO$1,'Assumptions (Petroleum)'!$V$9,'Assumptions (Petroleum)'!$V$4*Model!$C$2231*'Assumptions (Petroleum)'!$B$2/10^9),0)</f>
        <v>#NUM!</v>
      </c>
      <c r="V2288" s="91" t="e">
        <f>IF($C$2231&gt;0,PPMT('Assumptions (Petroleum)'!$V$6,Model!AP$1,'Assumptions (Petroleum)'!$V$9,'Assumptions (Petroleum)'!$V$4*Model!$C$2231*'Assumptions (Petroleum)'!$B$2/10^9),0)</f>
        <v>#NUM!</v>
      </c>
      <c r="W2288" s="91" t="e">
        <f>IF($C$2231&gt;0,PPMT('Assumptions (Petroleum)'!$V$6,Model!AQ$1,'Assumptions (Petroleum)'!$V$9,'Assumptions (Petroleum)'!$V$4*Model!$C$2231*'Assumptions (Petroleum)'!$B$2/10^9),0)</f>
        <v>#NUM!</v>
      </c>
      <c r="X2288" s="91" t="e">
        <f>IF($C$2231&gt;0,PPMT('Assumptions (Petroleum)'!$V$6,Model!AR$1,'Assumptions (Petroleum)'!$V$9,'Assumptions (Petroleum)'!$V$4*Model!$C$2231*'Assumptions (Petroleum)'!$B$2/10^9),0)</f>
        <v>#NUM!</v>
      </c>
      <c r="Y2288" s="91" t="e">
        <f>IF($C$2231&gt;0,PPMT('Assumptions (Petroleum)'!$V$6,Model!AS$1,'Assumptions (Petroleum)'!$V$9,'Assumptions (Petroleum)'!$V$4*Model!$C$2231*'Assumptions (Petroleum)'!$B$2/10^9),0)</f>
        <v>#NUM!</v>
      </c>
      <c r="Z2288" s="91" t="e">
        <f>IF($C$2231&gt;0,PPMT('Assumptions (Petroleum)'!$V$6,Model!AT$1,'Assumptions (Petroleum)'!$V$9,'Assumptions (Petroleum)'!$V$4*Model!$C$2231*'Assumptions (Petroleum)'!$B$2/10^9),0)</f>
        <v>#NUM!</v>
      </c>
      <c r="AA2288" s="91" t="e">
        <f>IF($C$2231&gt;0,PPMT('Assumptions (Petroleum)'!$V$6,Model!AU$1,'Assumptions (Petroleum)'!$V$9,'Assumptions (Petroleum)'!$V$4*Model!$C$2231*'Assumptions (Petroleum)'!$B$2/10^9),0)</f>
        <v>#NUM!</v>
      </c>
      <c r="AB2288" s="105"/>
      <c r="AC2288" s="105"/>
      <c r="AD2288" s="105"/>
      <c r="AE2288" s="105"/>
      <c r="AF2288" s="105"/>
      <c r="AG2288" s="105"/>
    </row>
    <row r="2289" spans="1:43" ht="15.75" hidden="1" customHeight="1" outlineLevel="1">
      <c r="A2289" s="447"/>
      <c r="B2289" s="99"/>
      <c r="C2289" s="105"/>
      <c r="D2289" s="91">
        <f>IF($D$2231&gt;0,PPMT('Assumptions (Petroleum)'!$V$6,Model!W$1,'Assumptions (Petroleum)'!$V$9,'Assumptions (Petroleum)'!$V$4*Model!$D$2231*'Assumptions (Petroleum)'!$B$2/10^9),0)</f>
        <v>-9.5098558035142979E-3</v>
      </c>
      <c r="E2289" s="91">
        <f>IF($D$2231&gt;0,PPMT('Assumptions (Petroleum)'!$V$6,Model!X$1,'Assumptions (Petroleum)'!$V$9,'Assumptions (Petroleum)'!$V$4*Model!$D$2231*'Assumptions (Petroleum)'!$B$2/10^9),0)</f>
        <v>-9.9615739541812267E-3</v>
      </c>
      <c r="F2289" s="91">
        <f>IF($D$2231&gt;0,PPMT('Assumptions (Petroleum)'!$V$6,Model!Y$1,'Assumptions (Petroleum)'!$V$9,'Assumptions (Petroleum)'!$V$4*Model!$D$2231*'Assumptions (Petroleum)'!$B$2/10^9),0)</f>
        <v>-1.0434748717004836E-2</v>
      </c>
      <c r="G2289" s="91">
        <f>IF($D$2231&gt;0,PPMT('Assumptions (Petroleum)'!$V$6,Model!Z$1,'Assumptions (Petroleum)'!$V$9,'Assumptions (Petroleum)'!$V$4*Model!$D$2231*'Assumptions (Petroleum)'!$B$2/10^9),0)</f>
        <v>-1.0930399281062564E-2</v>
      </c>
      <c r="H2289" s="91">
        <f>IF($D$2231&gt;0,PPMT('Assumptions (Petroleum)'!$V$6,Model!AA$1,'Assumptions (Petroleum)'!$V$9,'Assumptions (Petroleum)'!$V$4*Model!$D$2231*'Assumptions (Petroleum)'!$B$2/10^9),0)</f>
        <v>-1.1449593246913036E-2</v>
      </c>
      <c r="I2289" s="91">
        <f>IF($D$2231&gt;0,PPMT('Assumptions (Petroleum)'!$V$6,Model!AB$1,'Assumptions (Petroleum)'!$V$9,'Assumptions (Petroleum)'!$V$4*Model!$D$2231*'Assumptions (Petroleum)'!$B$2/10^9),0)</f>
        <v>-1.1993448926141407E-2</v>
      </c>
      <c r="J2289" s="91">
        <f>IF($D$2231&gt;0,PPMT('Assumptions (Petroleum)'!$V$6,Model!AC$1,'Assumptions (Petroleum)'!$V$9,'Assumptions (Petroleum)'!$V$4*Model!$D$2231*'Assumptions (Petroleum)'!$B$2/10^9),0)</f>
        <v>-1.2563137750133124E-2</v>
      </c>
      <c r="K2289" s="91">
        <f>IF($D$2231&gt;0,PPMT('Assumptions (Petroleum)'!$V$6,Model!AD$1,'Assumptions (Petroleum)'!$V$9,'Assumptions (Petroleum)'!$V$4*Model!$D$2231*'Assumptions (Petroleum)'!$B$2/10^9),0)</f>
        <v>-1.3159886793264446E-2</v>
      </c>
      <c r="L2289" s="91">
        <f>IF($D$2231&gt;0,PPMT('Assumptions (Petroleum)'!$V$6,Model!AE$1,'Assumptions (Petroleum)'!$V$9,'Assumptions (Petroleum)'!$V$4*Model!$D$2231*'Assumptions (Petroleum)'!$B$2/10^9),0)</f>
        <v>-1.3784981415944506E-2</v>
      </c>
      <c r="M2289" s="91">
        <f>IF($D$2231&gt;0,PPMT('Assumptions (Petroleum)'!$V$6,Model!AF$1,'Assumptions (Petroleum)'!$V$9,'Assumptions (Petroleum)'!$V$4*Model!$D$2231*'Assumptions (Petroleum)'!$B$2/10^9),0)</f>
        <v>-1.4439768033201872E-2</v>
      </c>
      <c r="N2289" s="91">
        <f>IF($D$2231&gt;0,PPMT('Assumptions (Petroleum)'!$V$6,Model!AG$1,'Assumptions (Petroleum)'!$V$9,'Assumptions (Petroleum)'!$V$4*Model!$D$2231*'Assumptions (Petroleum)'!$B$2/10^9),0)</f>
        <v>-1.5125657014778962E-2</v>
      </c>
      <c r="O2289" s="91">
        <f>IF($D$2231&gt;0,PPMT('Assumptions (Petroleum)'!$V$6,Model!AH$1,'Assumptions (Petroleum)'!$V$9,'Assumptions (Petroleum)'!$V$4*Model!$D$2231*'Assumptions (Petroleum)'!$B$2/10^9),0)</f>
        <v>-1.584412572298096E-2</v>
      </c>
      <c r="P2289" s="91">
        <f>IF($D$2231&gt;0,PPMT('Assumptions (Petroleum)'!$V$6,Model!AI$1,'Assumptions (Petroleum)'!$V$9,'Assumptions (Petroleum)'!$V$4*Model!$D$2231*'Assumptions (Petroleum)'!$B$2/10^9),0)</f>
        <v>-1.6596721694822559E-2</v>
      </c>
      <c r="Q2289" s="91">
        <f>IF($D$2231&gt;0,PPMT('Assumptions (Petroleum)'!$V$6,Model!AJ$1,'Assumptions (Petroleum)'!$V$9,'Assumptions (Petroleum)'!$V$4*Model!$D$2231*'Assumptions (Petroleum)'!$B$2/10^9),0)</f>
        <v>-1.738506597532663E-2</v>
      </c>
      <c r="R2289" s="91">
        <f>IF($D$2231&gt;0,PPMT('Assumptions (Petroleum)'!$V$6,Model!AK$1,'Assumptions (Petroleum)'!$V$9,'Assumptions (Petroleum)'!$V$4*Model!$D$2231*'Assumptions (Petroleum)'!$B$2/10^9),0)</f>
        <v>-1.8210856609154641E-2</v>
      </c>
      <c r="S2289" s="91" t="e">
        <f>IF($D$2231&gt;0,PPMT('Assumptions (Petroleum)'!$V$6,Model!AL$1,'Assumptions (Petroleum)'!$V$9,'Assumptions (Petroleum)'!$V$4*Model!$D$2231*'Assumptions (Petroleum)'!$B$2/10^9),0)</f>
        <v>#NUM!</v>
      </c>
      <c r="T2289" s="91" t="e">
        <f>IF($D$2231&gt;0,PPMT('Assumptions (Petroleum)'!$V$6,Model!AM$1,'Assumptions (Petroleum)'!$V$9,'Assumptions (Petroleum)'!$V$4*Model!$D$2231*'Assumptions (Petroleum)'!$B$2/10^9),0)</f>
        <v>#NUM!</v>
      </c>
      <c r="U2289" s="91" t="e">
        <f>IF($D$2231&gt;0,PPMT('Assumptions (Petroleum)'!$V$6,Model!AN$1,'Assumptions (Petroleum)'!$V$9,'Assumptions (Petroleum)'!$V$4*Model!$D$2231*'Assumptions (Petroleum)'!$B$2/10^9),0)</f>
        <v>#NUM!</v>
      </c>
      <c r="V2289" s="91" t="e">
        <f>IF($D$2231&gt;0,PPMT('Assumptions (Petroleum)'!$V$6,Model!AO$1,'Assumptions (Petroleum)'!$V$9,'Assumptions (Petroleum)'!$V$4*Model!$D$2231*'Assumptions (Petroleum)'!$B$2/10^9),0)</f>
        <v>#NUM!</v>
      </c>
      <c r="W2289" s="91" t="e">
        <f>IF($D$2231&gt;0,PPMT('Assumptions (Petroleum)'!$V$6,Model!AP$1,'Assumptions (Petroleum)'!$V$9,'Assumptions (Petroleum)'!$V$4*Model!$D$2231*'Assumptions (Petroleum)'!$B$2/10^9),0)</f>
        <v>#NUM!</v>
      </c>
      <c r="X2289" s="91" t="e">
        <f>IF($D$2231&gt;0,PPMT('Assumptions (Petroleum)'!$V$6,Model!AQ$1,'Assumptions (Petroleum)'!$V$9,'Assumptions (Petroleum)'!$V$4*Model!$D$2231*'Assumptions (Petroleum)'!$B$2/10^9),0)</f>
        <v>#NUM!</v>
      </c>
      <c r="Y2289" s="91" t="e">
        <f>IF($D$2231&gt;0,PPMT('Assumptions (Petroleum)'!$V$6,Model!AR$1,'Assumptions (Petroleum)'!$V$9,'Assumptions (Petroleum)'!$V$4*Model!$D$2231*'Assumptions (Petroleum)'!$B$2/10^9),0)</f>
        <v>#NUM!</v>
      </c>
      <c r="Z2289" s="91" t="e">
        <f>IF($D$2231&gt;0,PPMT('Assumptions (Petroleum)'!$V$6,Model!AS$1,'Assumptions (Petroleum)'!$V$9,'Assumptions (Petroleum)'!$V$4*Model!$D$2231*'Assumptions (Petroleum)'!$B$2/10^9),0)</f>
        <v>#NUM!</v>
      </c>
      <c r="AA2289" s="91" t="e">
        <f>IF($D$2231&gt;0,PPMT('Assumptions (Petroleum)'!$V$6,Model!AT$1,'Assumptions (Petroleum)'!$V$9,'Assumptions (Petroleum)'!$V$4*Model!$D$2231*'Assumptions (Petroleum)'!$B$2/10^9),0)</f>
        <v>#NUM!</v>
      </c>
      <c r="AB2289" s="91" t="e">
        <f>IF($D$2231&gt;0,PPMT('Assumptions (Petroleum)'!$V$6,Model!AU$1,'Assumptions (Petroleum)'!$V$9,'Assumptions (Petroleum)'!$V$4*Model!$D$2231*'Assumptions (Petroleum)'!$B$2/10^9),0)</f>
        <v>#NUM!</v>
      </c>
      <c r="AC2289" s="105"/>
      <c r="AD2289" s="105"/>
      <c r="AE2289" s="105"/>
      <c r="AF2289" s="105"/>
      <c r="AG2289" s="105"/>
    </row>
    <row r="2290" spans="1:43" ht="15.75" hidden="1" customHeight="1" outlineLevel="1">
      <c r="A2290" s="447"/>
      <c r="B2290" s="99"/>
      <c r="C2290" s="105"/>
      <c r="D2290" s="105"/>
      <c r="E2290" s="105">
        <f>IF($E$2231&gt;0,PPMT('Assumptions (Petroleum)'!$V$6,Model!W$1,'Assumptions (Petroleum)'!$V$9,'Assumptions (Petroleum)'!$V$4*Model!$E$2231*AVERAGE('Assumptions (Petroleum)'!$B$2:$C$2)/10^9),0)</f>
        <v>-6.8931007379105591E-3</v>
      </c>
      <c r="F2290" s="105">
        <f>IF($E$2231&gt;0,PPMT('Assumptions (Petroleum)'!$V$6,Model!X$1,'Assumptions (Petroleum)'!$V$9,'Assumptions (Petroleum)'!$V$4*Model!$E$2231*AVERAGE('Assumptions (Petroleum)'!$B$2:$C$2)/10^9),0)</f>
        <v>-7.2205230229613103E-3</v>
      </c>
      <c r="G2290" s="105">
        <f>IF($E$2231&gt;0,PPMT('Assumptions (Petroleum)'!$V$6,Model!Y$1,'Assumptions (Petroleum)'!$V$9,'Assumptions (Petroleum)'!$V$4*Model!$E$2231*AVERAGE('Assumptions (Petroleum)'!$B$2:$C$2)/10^9),0)</f>
        <v>-7.5634978665519723E-3</v>
      </c>
      <c r="H2290" s="105">
        <f>IF($E$2231&gt;0,PPMT('Assumptions (Petroleum)'!$V$6,Model!Z$1,'Assumptions (Petroleum)'!$V$9,'Assumptions (Petroleum)'!$V$4*Model!$E$2231*AVERAGE('Assumptions (Petroleum)'!$B$2:$C$2)/10^9),0)</f>
        <v>-7.9227640152131906E-3</v>
      </c>
      <c r="I2290" s="105">
        <f>IF($E$2231&gt;0,PPMT('Assumptions (Petroleum)'!$V$6,Model!AA$1,'Assumptions (Petroleum)'!$V$9,'Assumptions (Petroleum)'!$V$4*Model!$E$2231*AVERAGE('Assumptions (Petroleum)'!$B$2:$C$2)/10^9),0)</f>
        <v>-8.299095305935816E-3</v>
      </c>
      <c r="J2290" s="105">
        <f>IF($E$2231&gt;0,PPMT('Assumptions (Petroleum)'!$V$6,Model!AB$1,'Assumptions (Petroleum)'!$V$9,'Assumptions (Petroleum)'!$V$4*Model!$E$2231*AVERAGE('Assumptions (Petroleum)'!$B$2:$C$2)/10^9),0)</f>
        <v>-8.6933023329677679E-3</v>
      </c>
      <c r="K2290" s="105">
        <f>IF($E$2231&gt;0,PPMT('Assumptions (Petroleum)'!$V$6,Model!AC$1,'Assumptions (Petroleum)'!$V$9,'Assumptions (Petroleum)'!$V$4*Model!$E$2231*AVERAGE('Assumptions (Petroleum)'!$B$2:$C$2)/10^9),0)</f>
        <v>-9.1062341937837386E-3</v>
      </c>
      <c r="L2290" s="105">
        <f>IF($E$2231&gt;0,PPMT('Assumptions (Petroleum)'!$V$6,Model!AD$1,'Assumptions (Petroleum)'!$V$9,'Assumptions (Petroleum)'!$V$4*Model!$E$2231*AVERAGE('Assumptions (Petroleum)'!$B$2:$C$2)/10^9),0)</f>
        <v>-9.5387803179884656E-3</v>
      </c>
      <c r="M2290" s="105">
        <f>IF($E$2231&gt;0,PPMT('Assumptions (Petroleum)'!$V$6,Model!AE$1,'Assumptions (Petroleum)'!$V$9,'Assumptions (Petroleum)'!$V$4*Model!$E$2231*AVERAGE('Assumptions (Petroleum)'!$B$2:$C$2)/10^9),0)</f>
        <v>-9.9918723830929156E-3</v>
      </c>
      <c r="N2290" s="91">
        <f>IF($E$2231&gt;0,PPMT('Assumptions (Petroleum)'!$V$6,Model!AF$1,'Assumptions (Petroleum)'!$V$9,'Assumptions (Petroleum)'!$V$4*Model!$E$2231*AVERAGE('Assumptions (Petroleum)'!$B$2:$C$2)/10^9),0)</f>
        <v>-1.0466486321289832E-2</v>
      </c>
      <c r="O2290" s="105">
        <f>IF($E$2231&gt;0,PPMT('Assumptions (Petroleum)'!$V$6,Model!AG$1,'Assumptions (Petroleum)'!$V$9,'Assumptions (Petroleum)'!$V$4*Model!$E$2231*AVERAGE('Assumptions (Petroleum)'!$B$2:$C$2)/10^9),0)</f>
        <v>-1.0963644421551098E-2</v>
      </c>
      <c r="P2290" s="105">
        <f>IF($E$2231&gt;0,PPMT('Assumptions (Petroleum)'!$V$6,Model!AH$1,'Assumptions (Petroleum)'!$V$9,'Assumptions (Petroleum)'!$V$4*Model!$E$2231*AVERAGE('Assumptions (Petroleum)'!$B$2:$C$2)/10^9),0)</f>
        <v>-1.1484417531574776E-2</v>
      </c>
      <c r="Q2290" s="105">
        <f>IF($E$2231&gt;0,PPMT('Assumptions (Petroleum)'!$V$6,Model!AI$1,'Assumptions (Petroleum)'!$V$9,'Assumptions (Petroleum)'!$V$4*Model!$E$2231*AVERAGE('Assumptions (Petroleum)'!$B$2:$C$2)/10^9),0)</f>
        <v>-1.2029927364324578E-2</v>
      </c>
      <c r="R2290" s="105">
        <f>IF($E$2231&gt;0,PPMT('Assumptions (Petroleum)'!$V$6,Model!AJ$1,'Assumptions (Petroleum)'!$V$9,'Assumptions (Petroleum)'!$V$4*Model!$E$2231*AVERAGE('Assumptions (Petroleum)'!$B$2:$C$2)/10^9),0)</f>
        <v>-1.2601348914129996E-2</v>
      </c>
      <c r="S2290" s="105">
        <f>IF($E$2231&gt;0,PPMT('Assumptions (Petroleum)'!$V$6,Model!AK$1,'Assumptions (Petroleum)'!$V$9,'Assumptions (Petroleum)'!$V$4*Model!$E$2231*AVERAGE('Assumptions (Petroleum)'!$B$2:$C$2)/10^9),0)</f>
        <v>-1.3199912987551169E-2</v>
      </c>
      <c r="T2290" s="105" t="e">
        <f>IF($E$2231&gt;0,PPMT('Assumptions (Petroleum)'!$V$6,Model!AL$1,'Assumptions (Petroleum)'!$V$9,'Assumptions (Petroleum)'!$V$4*Model!$E$2231*AVERAGE('Assumptions (Petroleum)'!$B$2:$C$2)/10^9),0)</f>
        <v>#NUM!</v>
      </c>
      <c r="U2290" s="105" t="e">
        <f>IF($E$2231&gt;0,PPMT('Assumptions (Petroleum)'!$V$6,Model!AM$1,'Assumptions (Petroleum)'!$V$9,'Assumptions (Petroleum)'!$V$4*Model!$E$2231*AVERAGE('Assumptions (Petroleum)'!$B$2:$C$2)/10^9),0)</f>
        <v>#NUM!</v>
      </c>
      <c r="V2290" s="105" t="e">
        <f>IF($E$2231&gt;0,PPMT('Assumptions (Petroleum)'!$V$6,Model!AN$1,'Assumptions (Petroleum)'!$V$9,'Assumptions (Petroleum)'!$V$4*Model!$E$2231*AVERAGE('Assumptions (Petroleum)'!$B$2:$C$2)/10^9),0)</f>
        <v>#NUM!</v>
      </c>
      <c r="W2290" s="105" t="e">
        <f>IF($E$2231&gt;0,PPMT('Assumptions (Petroleum)'!$V$6,Model!AO$1,'Assumptions (Petroleum)'!$V$9,'Assumptions (Petroleum)'!$V$4*Model!$E$2231*AVERAGE('Assumptions (Petroleum)'!$B$2:$C$2)/10^9),0)</f>
        <v>#NUM!</v>
      </c>
      <c r="X2290" s="105" t="e">
        <f>IF($E$2231&gt;0,PPMT('Assumptions (Petroleum)'!$V$6,Model!AP$1,'Assumptions (Petroleum)'!$V$9,'Assumptions (Petroleum)'!$V$4*Model!$E$2231*AVERAGE('Assumptions (Petroleum)'!$B$2:$C$2)/10^9),0)</f>
        <v>#NUM!</v>
      </c>
      <c r="Y2290" s="105" t="e">
        <f>IF($E$2231&gt;0,PPMT('Assumptions (Petroleum)'!$V$6,Model!AQ$1,'Assumptions (Petroleum)'!$V$9,'Assumptions (Petroleum)'!$V$4*Model!$E$2231*AVERAGE('Assumptions (Petroleum)'!$B$2:$C$2)/10^9),0)</f>
        <v>#NUM!</v>
      </c>
      <c r="Z2290" s="105" t="e">
        <f>IF($E$2231&gt;0,PPMT('Assumptions (Petroleum)'!$V$6,Model!AR$1,'Assumptions (Petroleum)'!$V$9,'Assumptions (Petroleum)'!$V$4*Model!$E$2231*AVERAGE('Assumptions (Petroleum)'!$B$2:$C$2)/10^9),0)</f>
        <v>#NUM!</v>
      </c>
      <c r="AA2290" s="105" t="e">
        <f>IF($E$2231&gt;0,PPMT('Assumptions (Petroleum)'!$V$6,Model!AS$1,'Assumptions (Petroleum)'!$V$9,'Assumptions (Petroleum)'!$V$4*Model!$E$2231*AVERAGE('Assumptions (Petroleum)'!$B$2:$C$2)/10^9),0)</f>
        <v>#NUM!</v>
      </c>
      <c r="AB2290" s="105" t="e">
        <f>IF($E$2231&gt;0,PPMT('Assumptions (Petroleum)'!$V$6,Model!AT$1,'Assumptions (Petroleum)'!$V$9,'Assumptions (Petroleum)'!$V$4*Model!$E$2231*AVERAGE('Assumptions (Petroleum)'!$B$2:$C$2)/10^9),0)</f>
        <v>#NUM!</v>
      </c>
      <c r="AC2290" s="105" t="e">
        <f>IF($E$2231&gt;0,PPMT('Assumptions (Petroleum)'!$V$6,Model!AU$1,'Assumptions (Petroleum)'!$V$9,'Assumptions (Petroleum)'!$V$4*Model!$E$2231*AVERAGE('Assumptions (Petroleum)'!$B$2:$C$2)/10^9),0)</f>
        <v>#NUM!</v>
      </c>
      <c r="AD2290" s="105"/>
      <c r="AE2290" s="105"/>
      <c r="AF2290" s="105"/>
      <c r="AG2290" s="105"/>
    </row>
    <row r="2291" spans="1:43" ht="15.75" hidden="1" customHeight="1" outlineLevel="1">
      <c r="A2291" s="447"/>
      <c r="B2291" s="99"/>
      <c r="C2291" s="105"/>
      <c r="D2291" s="105"/>
      <c r="E2291" s="105"/>
      <c r="F2291" s="105">
        <f>IF($F$2231&gt;0,PPMT('Assumptions (Petroleum)'!$V$6,Model!W$1,'Assumptions (Petroleum)'!$V$9,'Assumptions (Petroleum)'!$V$4*Model!$F$2231*AVERAGE('Assumptions (Petroleum)'!$B$2:$D$2)/10^9),0)</f>
        <v>-4.9910516858902281E-3</v>
      </c>
      <c r="G2291" s="105">
        <f>IF($F$2231&gt;0,PPMT('Assumptions (Petroleum)'!$V$6,Model!X$1,'Assumptions (Petroleum)'!$V$9,'Assumptions (Petroleum)'!$V$4*Model!$F$2231*AVERAGE('Assumptions (Petroleum)'!$B$2:$D$2)/10^9),0)</f>
        <v>-5.2281266409700137E-3</v>
      </c>
      <c r="H2291" s="105">
        <f>IF($F$2231&gt;0,PPMT('Assumptions (Petroleum)'!$V$6,Model!Y$1,'Assumptions (Petroleum)'!$V$9,'Assumptions (Petroleum)'!$V$4*Model!$F$2231*AVERAGE('Assumptions (Petroleum)'!$B$2:$D$2)/10^9),0)</f>
        <v>-5.4764626564160895E-3</v>
      </c>
      <c r="I2291" s="105">
        <f>IF($F$2231&gt;0,PPMT('Assumptions (Petroleum)'!$V$6,Model!Z$1,'Assumptions (Petroleum)'!$V$9,'Assumptions (Petroleum)'!$V$4*Model!$F$2231*AVERAGE('Assumptions (Petroleum)'!$B$2:$D$2)/10^9),0)</f>
        <v>-5.7365946325958535E-3</v>
      </c>
      <c r="J2291" s="105">
        <f>IF($F$2231&gt;0,PPMT('Assumptions (Petroleum)'!$V$6,Model!AA$1,'Assumptions (Petroleum)'!$V$9,'Assumptions (Petroleum)'!$V$4*Model!$F$2231*AVERAGE('Assumptions (Petroleum)'!$B$2:$D$2)/10^9),0)</f>
        <v>-6.0090828776441559E-3</v>
      </c>
      <c r="K2291" s="105">
        <f>IF($F$2231&gt;0,PPMT('Assumptions (Petroleum)'!$V$6,Model!AB$1,'Assumptions (Petroleum)'!$V$9,'Assumptions (Petroleum)'!$V$4*Model!$F$2231*AVERAGE('Assumptions (Petroleum)'!$B$2:$D$2)/10^9),0)</f>
        <v>-6.2945143143322531E-3</v>
      </c>
      <c r="L2291" s="105">
        <f>IF($F$2231&gt;0,PPMT('Assumptions (Petroleum)'!$V$6,Model!AC$1,'Assumptions (Petroleum)'!$V$9,'Assumptions (Petroleum)'!$V$4*Model!$F$2231*AVERAGE('Assumptions (Petroleum)'!$B$2:$D$2)/10^9),0)</f>
        <v>-6.5935037442630354E-3</v>
      </c>
      <c r="M2291" s="105">
        <f>IF($F$2231&gt;0,PPMT('Assumptions (Petroleum)'!$V$6,Model!AD$1,'Assumptions (Petroleum)'!$V$9,'Assumptions (Petroleum)'!$V$4*Model!$F$2231*AVERAGE('Assumptions (Petroleum)'!$B$2:$D$2)/10^9),0)</f>
        <v>-6.9066951721155302E-3</v>
      </c>
      <c r="N2291" s="91">
        <f>IF($F$2231&gt;0,PPMT('Assumptions (Petroleum)'!$V$6,Model!AE$1,'Assumptions (Petroleum)'!$V$9,'Assumptions (Petroleum)'!$V$4*Model!$F$2231*AVERAGE('Assumptions (Petroleum)'!$B$2:$D$2)/10^9),0)</f>
        <v>-7.2347631927910175E-3</v>
      </c>
      <c r="O2291" s="105">
        <f>IF($F$2231&gt;0,PPMT('Assumptions (Petroleum)'!$V$6,Model!AF$1,'Assumptions (Petroleum)'!$V$9,'Assumptions (Petroleum)'!$V$4*Model!$F$2231*AVERAGE('Assumptions (Petroleum)'!$B$2:$D$2)/10^9),0)</f>
        <v>-7.5784144444485911E-3</v>
      </c>
      <c r="P2291" s="105">
        <f>IF($F$2231&gt;0,PPMT('Assumptions (Petroleum)'!$V$6,Model!AG$1,'Assumptions (Petroleum)'!$V$9,'Assumptions (Petroleum)'!$V$4*Model!$F$2231*AVERAGE('Assumptions (Petroleum)'!$B$2:$D$2)/10^9),0)</f>
        <v>-7.9383891305599003E-3</v>
      </c>
      <c r="Q2291" s="105">
        <f>IF($F$2231&gt;0,PPMT('Assumptions (Petroleum)'!$V$6,Model!AH$1,'Assumptions (Petroleum)'!$V$9,'Assumptions (Petroleum)'!$V$4*Model!$F$2231*AVERAGE('Assumptions (Petroleum)'!$B$2:$D$2)/10^9),0)</f>
        <v>-8.315462614261495E-3</v>
      </c>
      <c r="R2291" s="105">
        <f>IF($F$2231&gt;0,PPMT('Assumptions (Petroleum)'!$V$6,Model!AI$1,'Assumptions (Petroleum)'!$V$9,'Assumptions (Petroleum)'!$V$4*Model!$F$2231*AVERAGE('Assumptions (Petroleum)'!$B$2:$D$2)/10^9),0)</f>
        <v>-8.7104470884389155E-3</v>
      </c>
      <c r="S2291" s="105">
        <f>IF($F$2231&gt;0,PPMT('Assumptions (Petroleum)'!$V$6,Model!AJ$1,'Assumptions (Petroleum)'!$V$9,'Assumptions (Petroleum)'!$V$4*Model!$F$2231*AVERAGE('Assumptions (Petroleum)'!$B$2:$D$2)/10^9),0)</f>
        <v>-9.124193325139765E-3</v>
      </c>
      <c r="T2291" s="105">
        <f>IF($F$2231&gt;0,PPMT('Assumptions (Petroleum)'!$V$6,Model!AK$1,'Assumptions (Petroleum)'!$V$9,'Assumptions (Petroleum)'!$V$4*Model!$F$2231*AVERAGE('Assumptions (Petroleum)'!$B$2:$D$2)/10^9),0)</f>
        <v>-9.5575925080839032E-3</v>
      </c>
      <c r="U2291" s="105" t="e">
        <f>IF($F$2231&gt;0,PPMT('Assumptions (Petroleum)'!$V$6,Model!AL$1,'Assumptions (Petroleum)'!$V$9,'Assumptions (Petroleum)'!$V$4*Model!$F$2231*AVERAGE('Assumptions (Petroleum)'!$B$2:$D$2)/10^9),0)</f>
        <v>#NUM!</v>
      </c>
      <c r="V2291" s="105" t="e">
        <f>IF($F$2231&gt;0,PPMT('Assumptions (Petroleum)'!$V$6,Model!AM$1,'Assumptions (Petroleum)'!$V$9,'Assumptions (Petroleum)'!$V$4*Model!$F$2231*AVERAGE('Assumptions (Petroleum)'!$B$2:$D$2)/10^9),0)</f>
        <v>#NUM!</v>
      </c>
      <c r="W2291" s="105" t="e">
        <f>IF($F$2231&gt;0,PPMT('Assumptions (Petroleum)'!$V$6,Model!AN$1,'Assumptions (Petroleum)'!$V$9,'Assumptions (Petroleum)'!$V$4*Model!$F$2231*AVERAGE('Assumptions (Petroleum)'!$B$2:$D$2)/10^9),0)</f>
        <v>#NUM!</v>
      </c>
      <c r="X2291" s="105" t="e">
        <f>IF($F$2231&gt;0,PPMT('Assumptions (Petroleum)'!$V$6,Model!AO$1,'Assumptions (Petroleum)'!$V$9,'Assumptions (Petroleum)'!$V$4*Model!$F$2231*AVERAGE('Assumptions (Petroleum)'!$B$2:$D$2)/10^9),0)</f>
        <v>#NUM!</v>
      </c>
      <c r="Y2291" s="105" t="e">
        <f>IF($F$2231&gt;0,PPMT('Assumptions (Petroleum)'!$V$6,Model!AP$1,'Assumptions (Petroleum)'!$V$9,'Assumptions (Petroleum)'!$V$4*Model!$F$2231*AVERAGE('Assumptions (Petroleum)'!$B$2:$D$2)/10^9),0)</f>
        <v>#NUM!</v>
      </c>
      <c r="Z2291" s="105" t="e">
        <f>IF($F$2231&gt;0,PPMT('Assumptions (Petroleum)'!$V$6,Model!AQ$1,'Assumptions (Petroleum)'!$V$9,'Assumptions (Petroleum)'!$V$4*Model!$F$2231*AVERAGE('Assumptions (Petroleum)'!$B$2:$D$2)/10^9),0)</f>
        <v>#NUM!</v>
      </c>
      <c r="AA2291" s="105" t="e">
        <f>IF($F$2231&gt;0,PPMT('Assumptions (Petroleum)'!$V$6,Model!AR$1,'Assumptions (Petroleum)'!$V$9,'Assumptions (Petroleum)'!$V$4*Model!$F$2231*AVERAGE('Assumptions (Petroleum)'!$B$2:$D$2)/10^9),0)</f>
        <v>#NUM!</v>
      </c>
      <c r="AB2291" s="105" t="e">
        <f>IF($F$2231&gt;0,PPMT('Assumptions (Petroleum)'!$V$6,Model!AS$1,'Assumptions (Petroleum)'!$V$9,'Assumptions (Petroleum)'!$V$4*Model!$F$2231*AVERAGE('Assumptions (Petroleum)'!$B$2:$D$2)/10^9),0)</f>
        <v>#NUM!</v>
      </c>
      <c r="AC2291" s="105" t="e">
        <f>IF($F$2231&gt;0,PPMT('Assumptions (Petroleum)'!$V$6,Model!AT$1,'Assumptions (Petroleum)'!$V$9,'Assumptions (Petroleum)'!$V$4*Model!$F$2231*AVERAGE('Assumptions (Petroleum)'!$B$2:$D$2)/10^9),0)</f>
        <v>#NUM!</v>
      </c>
      <c r="AD2291" s="105" t="e">
        <f>IF($F$2231&gt;0,PPMT('Assumptions (Petroleum)'!$V$6,Model!AU$1,'Assumptions (Petroleum)'!$V$9,'Assumptions (Petroleum)'!$V$4*Model!$F$2231*AVERAGE('Assumptions (Petroleum)'!$B$2:$D$2)/10^9),0)</f>
        <v>#NUM!</v>
      </c>
      <c r="AE2291" s="105"/>
      <c r="AF2291" s="105"/>
      <c r="AG2291" s="105"/>
    </row>
    <row r="2292" spans="1:43" ht="15.75" hidden="1" customHeight="1" outlineLevel="1">
      <c r="A2292" s="447"/>
      <c r="B2292" s="99"/>
      <c r="C2292" s="105"/>
      <c r="D2292" s="105"/>
      <c r="E2292" s="105"/>
      <c r="F2292" s="105"/>
      <c r="G2292" s="105">
        <f>IF($G$2231&gt;0,PPMT('Assumptions (Petroleum)'!$V$6,Model!W$1,'Assumptions (Petroleum)'!$V$9,'Assumptions (Petroleum)'!$V$4*Model!$G$2231*AVERAGE('Assumptions (Petroleum)'!$C$2:$E$2)/10^9),0)</f>
        <v>-4.0641257149262745E-3</v>
      </c>
      <c r="H2292" s="105">
        <f>IF($G$2231&gt;0,PPMT('Assumptions (Petroleum)'!$V$6,Model!X$1,'Assumptions (Petroleum)'!$V$9,'Assumptions (Petroleum)'!$V$4*Model!$G$2231*AVERAGE('Assumptions (Petroleum)'!$C$2:$E$2)/10^9),0)</f>
        <v>-4.2571716863852721E-3</v>
      </c>
      <c r="I2292" s="105">
        <f>IF($G$2231&gt;0,PPMT('Assumptions (Petroleum)'!$V$6,Model!Y$1,'Assumptions (Petroleum)'!$V$9,'Assumptions (Petroleum)'!$V$4*Model!$G$2231*AVERAGE('Assumptions (Petroleum)'!$C$2:$E$2)/10^9),0)</f>
        <v>-4.4593873414885731E-3</v>
      </c>
      <c r="J2292" s="105">
        <f>IF($G$2231&gt;0,PPMT('Assumptions (Petroleum)'!$V$6,Model!Z$1,'Assumptions (Petroleum)'!$V$9,'Assumptions (Petroleum)'!$V$4*Model!$G$2231*AVERAGE('Assumptions (Petroleum)'!$C$2:$E$2)/10^9),0)</f>
        <v>-4.6712082402092792E-3</v>
      </c>
      <c r="K2292" s="105">
        <f>IF($G$2231&gt;0,PPMT('Assumptions (Petroleum)'!$V$6,Model!AA$1,'Assumptions (Petroleum)'!$V$9,'Assumptions (Petroleum)'!$V$4*Model!$G$2231*AVERAGE('Assumptions (Petroleum)'!$C$2:$E$2)/10^9),0)</f>
        <v>-4.8930906316192206E-3</v>
      </c>
      <c r="L2292" s="105">
        <f>IF($G$2231&gt;0,PPMT('Assumptions (Petroleum)'!$V$6,Model!AB$1,'Assumptions (Petroleum)'!$V$9,'Assumptions (Petroleum)'!$V$4*Model!$G$2231*AVERAGE('Assumptions (Petroleum)'!$C$2:$E$2)/10^9),0)</f>
        <v>-5.1255124366211338E-3</v>
      </c>
      <c r="M2292" s="105">
        <f>IF($G$2231&gt;0,PPMT('Assumptions (Petroleum)'!$V$6,Model!AC$1,'Assumptions (Petroleum)'!$V$9,'Assumptions (Petroleum)'!$V$4*Model!$G$2231*AVERAGE('Assumptions (Petroleum)'!$C$2:$E$2)/10^9),0)</f>
        <v>-5.3689742773606374E-3</v>
      </c>
      <c r="N2292" s="105">
        <f>IF($G$2231&gt;0,PPMT('Assumptions (Petroleum)'!$V$6,Model!AD$1,'Assumptions (Petroleum)'!$V$9,'Assumptions (Petroleum)'!$V$4*Model!$G$2231*AVERAGE('Assumptions (Petroleum)'!$C$2:$E$2)/10^9),0)</f>
        <v>-5.6240005555352685E-3</v>
      </c>
      <c r="O2292" s="105">
        <f>IF($G$2231&gt;0,PPMT('Assumptions (Petroleum)'!$V$6,Model!AE$1,'Assumptions (Petroleum)'!$V$9,'Assumptions (Petroleum)'!$V$4*Model!$G$2231*AVERAGE('Assumptions (Petroleum)'!$C$2:$E$2)/10^9),0)</f>
        <v>-5.8911405819231924E-3</v>
      </c>
      <c r="P2292" s="105">
        <f>IF($G$2231&gt;0,PPMT('Assumptions (Petroleum)'!$V$6,Model!AF$1,'Assumptions (Petroleum)'!$V$9,'Assumptions (Petroleum)'!$V$4*Model!$G$2231*AVERAGE('Assumptions (Petroleum)'!$C$2:$E$2)/10^9),0)</f>
        <v>-6.170969759564545E-3</v>
      </c>
      <c r="Q2292" s="105">
        <f>IF($G$2231&gt;0,PPMT('Assumptions (Petroleum)'!$V$6,Model!AG$1,'Assumptions (Petroleum)'!$V$9,'Assumptions (Petroleum)'!$V$4*Model!$G$2231*AVERAGE('Assumptions (Petroleum)'!$C$2:$E$2)/10^9),0)</f>
        <v>-6.4640908231438608E-3</v>
      </c>
      <c r="R2292" s="105">
        <f>IF($G$2231&gt;0,PPMT('Assumptions (Petroleum)'!$V$6,Model!AH$1,'Assumptions (Petroleum)'!$V$9,'Assumptions (Petroleum)'!$V$4*Model!$G$2231*AVERAGE('Assumptions (Petroleum)'!$C$2:$E$2)/10^9),0)</f>
        <v>-6.7711351372431944E-3</v>
      </c>
      <c r="S2292" s="105">
        <f>IF($G$2231&gt;0,PPMT('Assumptions (Petroleum)'!$V$6,Model!AI$1,'Assumptions (Petroleum)'!$V$9,'Assumptions (Petroleum)'!$V$4*Model!$G$2231*AVERAGE('Assumptions (Petroleum)'!$C$2:$E$2)/10^9),0)</f>
        <v>-7.0927640562622463E-3</v>
      </c>
      <c r="T2292" s="105">
        <f>IF($G$2231&gt;0,PPMT('Assumptions (Petroleum)'!$V$6,Model!AJ$1,'Assumptions (Petroleum)'!$V$9,'Assumptions (Petroleum)'!$V$4*Model!$G$2231*AVERAGE('Assumptions (Petroleum)'!$C$2:$E$2)/10^9),0)</f>
        <v>-7.4296703489347034E-3</v>
      </c>
      <c r="U2292" s="105">
        <f>IF($G$2231&gt;0,PPMT('Assumptions (Petroleum)'!$V$6,Model!AK$1,'Assumptions (Petroleum)'!$V$9,'Assumptions (Petroleum)'!$V$4*Model!$G$2231*AVERAGE('Assumptions (Petroleum)'!$C$2:$E$2)/10^9),0)</f>
        <v>-7.7825796905091008E-3</v>
      </c>
      <c r="V2292" s="105" t="e">
        <f>IF($G$2231&gt;0,PPMT('Assumptions (Petroleum)'!$V$6,Model!AL$1,'Assumptions (Petroleum)'!$V$9,'Assumptions (Petroleum)'!$V$4*Model!$G$2231*AVERAGE('Assumptions (Petroleum)'!$C$2:$E$2)/10^9),0)</f>
        <v>#NUM!</v>
      </c>
      <c r="W2292" s="105" t="e">
        <f>IF($G$2231&gt;0,PPMT('Assumptions (Petroleum)'!$V$6,Model!AM$1,'Assumptions (Petroleum)'!$V$9,'Assumptions (Petroleum)'!$V$4*Model!$G$2231*AVERAGE('Assumptions (Petroleum)'!$C$2:$E$2)/10^9),0)</f>
        <v>#NUM!</v>
      </c>
      <c r="X2292" s="105" t="e">
        <f>IF($G$2231&gt;0,PPMT('Assumptions (Petroleum)'!$V$6,Model!AN$1,'Assumptions (Petroleum)'!$V$9,'Assumptions (Petroleum)'!$V$4*Model!$G$2231*AVERAGE('Assumptions (Petroleum)'!$C$2:$E$2)/10^9),0)</f>
        <v>#NUM!</v>
      </c>
      <c r="Y2292" s="105" t="e">
        <f>IF($G$2231&gt;0,PPMT('Assumptions (Petroleum)'!$V$6,Model!AO$1,'Assumptions (Petroleum)'!$V$9,'Assumptions (Petroleum)'!$V$4*Model!$G$2231*AVERAGE('Assumptions (Petroleum)'!$C$2:$E$2)/10^9),0)</f>
        <v>#NUM!</v>
      </c>
      <c r="Z2292" s="105" t="e">
        <f>IF($G$2231&gt;0,PPMT('Assumptions (Petroleum)'!$V$6,Model!AP$1,'Assumptions (Petroleum)'!$V$9,'Assumptions (Petroleum)'!$V$4*Model!$G$2231*AVERAGE('Assumptions (Petroleum)'!$C$2:$E$2)/10^9),0)</f>
        <v>#NUM!</v>
      </c>
      <c r="AA2292" s="105" t="e">
        <f>IF($G$2231&gt;0,PPMT('Assumptions (Petroleum)'!$V$6,Model!AQ$1,'Assumptions (Petroleum)'!$V$9,'Assumptions (Petroleum)'!$V$4*Model!$G$2231*AVERAGE('Assumptions (Petroleum)'!$C$2:$E$2)/10^9),0)</f>
        <v>#NUM!</v>
      </c>
      <c r="AB2292" s="105" t="e">
        <f>IF($G$2231&gt;0,PPMT('Assumptions (Petroleum)'!$V$6,Model!AR$1,'Assumptions (Petroleum)'!$V$9,'Assumptions (Petroleum)'!$V$4*Model!$G$2231*AVERAGE('Assumptions (Petroleum)'!$C$2:$E$2)/10^9),0)</f>
        <v>#NUM!</v>
      </c>
      <c r="AC2292" s="105" t="e">
        <f>IF($G$2231&gt;0,PPMT('Assumptions (Petroleum)'!$V$6,Model!AS$1,'Assumptions (Petroleum)'!$V$9,'Assumptions (Petroleum)'!$V$4*Model!$G$2231*AVERAGE('Assumptions (Petroleum)'!$C$2:$E$2)/10^9),0)</f>
        <v>#NUM!</v>
      </c>
      <c r="AD2292" s="105" t="e">
        <f>IF($G$2231&gt;0,PPMT('Assumptions (Petroleum)'!$V$6,Model!AT$1,'Assumptions (Petroleum)'!$V$9,'Assumptions (Petroleum)'!$V$4*Model!$G$2231*AVERAGE('Assumptions (Petroleum)'!$C$2:$E$2)/10^9),0)</f>
        <v>#NUM!</v>
      </c>
      <c r="AE2292" s="105" t="e">
        <f>IF($G$2231&gt;0,PPMT('Assumptions (Petroleum)'!$V$6,Model!AU$1,'Assumptions (Petroleum)'!$V$9,'Assumptions (Petroleum)'!$V$4*Model!$G$2231*AVERAGE('Assumptions (Petroleum)'!$C$2:$E$2)/10^9),0)</f>
        <v>#NUM!</v>
      </c>
      <c r="AF2292" s="105"/>
      <c r="AG2292" s="105"/>
    </row>
    <row r="2293" spans="1:43" ht="15.75" hidden="1" customHeight="1" outlineLevel="1">
      <c r="A2293" s="447"/>
      <c r="B2293" s="99"/>
      <c r="C2293" s="105"/>
      <c r="D2293" s="105"/>
      <c r="E2293" s="105"/>
      <c r="F2293" s="105"/>
      <c r="G2293" s="105"/>
      <c r="H2293" s="105">
        <f>IF($H$2231&gt;0,PPMT('Assumptions (Petroleum)'!$V$6,Model!W$1,'Assumptions (Petroleum)'!$V$9,'Assumptions (Petroleum)'!$V$4*Model!$H$2231*AVERAGE('Assumptions (Petroleum)'!$D$2:$F$2)/10^9),0)</f>
        <v>-2.3330341616059039E-3</v>
      </c>
      <c r="I2293" s="105">
        <f>IF($H$2231&gt;0,PPMT('Assumptions (Petroleum)'!$V$6,Model!X$1,'Assumptions (Petroleum)'!$V$9,'Assumptions (Petroleum)'!$V$4*Model!$H$2231*AVERAGE('Assumptions (Petroleum)'!$D$2:$F$2)/10^9),0)</f>
        <v>-2.4438532842821843E-3</v>
      </c>
      <c r="J2293" s="105">
        <f>IF($H$2231&gt;0,PPMT('Assumptions (Petroleum)'!$V$6,Model!Y$1,'Assumptions (Petroleum)'!$V$9,'Assumptions (Petroleum)'!$V$4*Model!$H$2231*AVERAGE('Assumptions (Petroleum)'!$D$2:$F$2)/10^9),0)</f>
        <v>-2.5599363152855881E-3</v>
      </c>
      <c r="K2293" s="105">
        <f>IF($H$2231&gt;0,PPMT('Assumptions (Petroleum)'!$V$6,Model!Z$1,'Assumptions (Petroleum)'!$V$9,'Assumptions (Petroleum)'!$V$4*Model!$H$2231*AVERAGE('Assumptions (Petroleum)'!$D$2:$F$2)/10^9),0)</f>
        <v>-2.6815332902616535E-3</v>
      </c>
      <c r="L2293" s="105">
        <f>IF($H$2231&gt;0,PPMT('Assumptions (Petroleum)'!$V$6,Model!AA$1,'Assumptions (Petroleum)'!$V$9,'Assumptions (Petroleum)'!$V$4*Model!$H$2231*AVERAGE('Assumptions (Petroleum)'!$D$2:$F$2)/10^9),0)</f>
        <v>-2.8089061215490815E-3</v>
      </c>
      <c r="M2293" s="105">
        <f>IF($H$2231&gt;0,PPMT('Assumptions (Petroleum)'!$V$6,Model!AB$1,'Assumptions (Petroleum)'!$V$9,'Assumptions (Petroleum)'!$V$4*Model!$H$2231*AVERAGE('Assumptions (Petroleum)'!$D$2:$F$2)/10^9),0)</f>
        <v>-2.9423291623226632E-3</v>
      </c>
      <c r="N2293" s="105">
        <f>IF($H$2231&gt;0,PPMT('Assumptions (Petroleum)'!$V$6,Model!AC$1,'Assumptions (Petroleum)'!$V$9,'Assumptions (Petroleum)'!$V$4*Model!$H$2231*AVERAGE('Assumptions (Petroleum)'!$D$2:$F$2)/10^9),0)</f>
        <v>-3.0820897975329894E-3</v>
      </c>
      <c r="O2293" s="105">
        <f>IF($H$2231&gt;0,PPMT('Assumptions (Petroleum)'!$V$6,Model!AD$1,'Assumptions (Petroleum)'!$V$9,'Assumptions (Petroleum)'!$V$4*Model!$H$2231*AVERAGE('Assumptions (Petroleum)'!$D$2:$F$2)/10^9),0)</f>
        <v>-3.2284890629158069E-3</v>
      </c>
      <c r="P2293" s="105">
        <f>IF($H$2231&gt;0,PPMT('Assumptions (Petroleum)'!$V$6,Model!AE$1,'Assumptions (Petroleum)'!$V$9,'Assumptions (Petroleum)'!$V$4*Model!$H$2231*AVERAGE('Assumptions (Petroleum)'!$D$2:$F$2)/10^9),0)</f>
        <v>-3.3818422934043073E-3</v>
      </c>
      <c r="Q2293" s="105">
        <f>IF($H$2231&gt;0,PPMT('Assumptions (Petroleum)'!$V$6,Model!AF$1,'Assumptions (Petroleum)'!$V$9,'Assumptions (Petroleum)'!$V$4*Model!$H$2231*AVERAGE('Assumptions (Petroleum)'!$D$2:$F$2)/10^9),0)</f>
        <v>-3.5424798023410125E-3</v>
      </c>
      <c r="R2293" s="105">
        <f>IF($H$2231&gt;0,PPMT('Assumptions (Petroleum)'!$V$6,Model!AG$1,'Assumptions (Petroleum)'!$V$9,'Assumptions (Petroleum)'!$V$4*Model!$H$2231*AVERAGE('Assumptions (Petroleum)'!$D$2:$F$2)/10^9),0)</f>
        <v>-3.7107475929522107E-3</v>
      </c>
      <c r="S2293" s="105">
        <f>IF($H$2231&gt;0,PPMT('Assumptions (Petroleum)'!$V$6,Model!AH$1,'Assumptions (Petroleum)'!$V$9,'Assumptions (Petroleum)'!$V$4*Model!$H$2231*AVERAGE('Assumptions (Petroleum)'!$D$2:$F$2)/10^9),0)</f>
        <v>-3.8870081036174405E-3</v>
      </c>
      <c r="T2293" s="105">
        <f>IF($H$2231&gt;0,PPMT('Assumptions (Petroleum)'!$V$6,Model!AI$1,'Assumptions (Petroleum)'!$V$9,'Assumptions (Petroleum)'!$V$4*Model!$H$2231*AVERAGE('Assumptions (Petroleum)'!$D$2:$F$2)/10^9),0)</f>
        <v>-4.0716409885392692E-3</v>
      </c>
      <c r="U2293" s="105">
        <f>IF($H$2231&gt;0,PPMT('Assumptions (Petroleum)'!$V$6,Model!AJ$1,'Assumptions (Petroleum)'!$V$9,'Assumptions (Petroleum)'!$V$4*Model!$H$2231*AVERAGE('Assumptions (Petroleum)'!$D$2:$F$2)/10^9),0)</f>
        <v>-4.2650439354948843E-3</v>
      </c>
      <c r="V2293" s="105">
        <f>IF($H$2231&gt;0,PPMT('Assumptions (Petroleum)'!$V$6,Model!AK$1,'Assumptions (Petroleum)'!$V$9,'Assumptions (Petroleum)'!$V$4*Model!$H$2231*AVERAGE('Assumptions (Petroleum)'!$D$2:$F$2)/10^9),0)</f>
        <v>-4.4676335224308906E-3</v>
      </c>
      <c r="W2293" s="105" t="e">
        <f>IF($H$2231&gt;0,PPMT('Assumptions (Petroleum)'!$V$6,Model!AL$1,'Assumptions (Petroleum)'!$V$9,'Assumptions (Petroleum)'!$V$4*Model!$H$2231*AVERAGE('Assumptions (Petroleum)'!$D$2:$F$2)/10^9),0)</f>
        <v>#NUM!</v>
      </c>
      <c r="X2293" s="105" t="e">
        <f>IF($H$2231&gt;0,PPMT('Assumptions (Petroleum)'!$V$6,Model!AM$1,'Assumptions (Petroleum)'!$V$9,'Assumptions (Petroleum)'!$V$4*Model!$H$2231*AVERAGE('Assumptions (Petroleum)'!$D$2:$F$2)/10^9),0)</f>
        <v>#NUM!</v>
      </c>
      <c r="Y2293" s="105" t="e">
        <f>IF($H$2231&gt;0,PPMT('Assumptions (Petroleum)'!$V$6,Model!AN$1,'Assumptions (Petroleum)'!$V$9,'Assumptions (Petroleum)'!$V$4*Model!$H$2231*AVERAGE('Assumptions (Petroleum)'!$D$2:$F$2)/10^9),0)</f>
        <v>#NUM!</v>
      </c>
      <c r="Z2293" s="105" t="e">
        <f>IF($H$2231&gt;0,PPMT('Assumptions (Petroleum)'!$V$6,Model!AO$1,'Assumptions (Petroleum)'!$V$9,'Assumptions (Petroleum)'!$V$4*Model!$H$2231*AVERAGE('Assumptions (Petroleum)'!$D$2:$F$2)/10^9),0)</f>
        <v>#NUM!</v>
      </c>
      <c r="AA2293" s="105" t="e">
        <f>IF($H$2231&gt;0,PPMT('Assumptions (Petroleum)'!$V$6,Model!AP$1,'Assumptions (Petroleum)'!$V$9,'Assumptions (Petroleum)'!$V$4*Model!$H$2231*AVERAGE('Assumptions (Petroleum)'!$D$2:$F$2)/10^9),0)</f>
        <v>#NUM!</v>
      </c>
      <c r="AB2293" s="105" t="e">
        <f>IF($H$2231&gt;0,PPMT('Assumptions (Petroleum)'!$V$6,Model!AQ$1,'Assumptions (Petroleum)'!$V$9,'Assumptions (Petroleum)'!$V$4*Model!$H$2231*AVERAGE('Assumptions (Petroleum)'!$D$2:$F$2)/10^9),0)</f>
        <v>#NUM!</v>
      </c>
      <c r="AC2293" s="105" t="e">
        <f>IF($H$2231&gt;0,PPMT('Assumptions (Petroleum)'!$V$6,Model!AR$1,'Assumptions (Petroleum)'!$V$9,'Assumptions (Petroleum)'!$V$4*Model!$H$2231*AVERAGE('Assumptions (Petroleum)'!$D$2:$F$2)/10^9),0)</f>
        <v>#NUM!</v>
      </c>
      <c r="AD2293" s="105" t="e">
        <f>IF($H$2231&gt;0,PPMT('Assumptions (Petroleum)'!$V$6,Model!AS$1,'Assumptions (Petroleum)'!$V$9,'Assumptions (Petroleum)'!$V$4*Model!$H$2231*AVERAGE('Assumptions (Petroleum)'!$D$2:$F$2)/10^9),0)</f>
        <v>#NUM!</v>
      </c>
      <c r="AE2293" s="105" t="e">
        <f>IF($H$2231&gt;0,PPMT('Assumptions (Petroleum)'!$V$6,Model!AT$1,'Assumptions (Petroleum)'!$V$9,'Assumptions (Petroleum)'!$V$4*Model!$H$2231*AVERAGE('Assumptions (Petroleum)'!$D$2:$F$2)/10^9),0)</f>
        <v>#NUM!</v>
      </c>
      <c r="AF2293" s="105" t="e">
        <f>IF($H$2231&gt;0,PPMT('Assumptions (Petroleum)'!$V$6,Model!AU$1,'Assumptions (Petroleum)'!$V$9,'Assumptions (Petroleum)'!$V$4*Model!$H$2231*AVERAGE('Assumptions (Petroleum)'!$D$2:$F$2)/10^9),0)</f>
        <v>#NUM!</v>
      </c>
      <c r="AG2293" s="105"/>
    </row>
    <row r="2294" spans="1:43" ht="15.75" hidden="1" customHeight="1" outlineLevel="1">
      <c r="A2294" s="447"/>
      <c r="B2294" s="99"/>
      <c r="C2294" s="105"/>
      <c r="D2294" s="105"/>
      <c r="E2294" s="105"/>
      <c r="F2294" s="105"/>
      <c r="G2294" s="105"/>
      <c r="H2294" s="105"/>
      <c r="I2294" s="105">
        <f>IF($I$2231&gt;0,PPMT('Assumptions (Petroleum)'!$V$6,Model!W$1,'Assumptions (Petroleum)'!$V$9,'Assumptions (Petroleum)'!$V$4*Model!$I$2231*AVERAGE('Assumptions (Petroleum)'!$E$2:$G$2)/10^9),0)</f>
        <v>-3.4175174688218946E-3</v>
      </c>
      <c r="J2294" s="105">
        <f>IF($I$2231&gt;0,PPMT('Assumptions (Petroleum)'!$V$6,Model!X$1,'Assumptions (Petroleum)'!$V$9,'Assumptions (Petroleum)'!$V$4*Model!$I$2231*AVERAGE('Assumptions (Petroleum)'!$E$2:$G$2)/10^9),0)</f>
        <v>-3.5798495485909348E-3</v>
      </c>
      <c r="K2294" s="105">
        <f>IF($I$2231&gt;0,PPMT('Assumptions (Petroleum)'!$V$6,Model!Y$1,'Assumptions (Petroleum)'!$V$9,'Assumptions (Petroleum)'!$V$4*Model!$I$2231*AVERAGE('Assumptions (Petroleum)'!$E$2:$G$2)/10^9),0)</f>
        <v>-3.7498924021490045E-3</v>
      </c>
      <c r="L2294" s="105">
        <f>IF($I$2231&gt;0,PPMT('Assumptions (Petroleum)'!$V$6,Model!Z$1,'Assumptions (Petroleum)'!$V$9,'Assumptions (Petroleum)'!$V$4*Model!$I$2231*AVERAGE('Assumptions (Petroleum)'!$E$2:$G$2)/10^9),0)</f>
        <v>-3.9280122912510812E-3</v>
      </c>
      <c r="M2294" s="105">
        <f>IF($I$2231&gt;0,PPMT('Assumptions (Petroleum)'!$V$6,Model!AA$1,'Assumptions (Petroleum)'!$V$9,'Assumptions (Petroleum)'!$V$4*Model!$I$2231*AVERAGE('Assumptions (Petroleum)'!$E$2:$G$2)/10^9),0)</f>
        <v>-4.1145928750855078E-3</v>
      </c>
      <c r="N2294" s="105">
        <f>IF($I$2231&gt;0,PPMT('Assumptions (Petroleum)'!$V$6,Model!AB$1,'Assumptions (Petroleum)'!$V$9,'Assumptions (Petroleum)'!$V$4*Model!$I$2231*AVERAGE('Assumptions (Petroleum)'!$E$2:$G$2)/10^9),0)</f>
        <v>-4.31003603665207E-3</v>
      </c>
      <c r="O2294" s="105">
        <f>IF($I$2231&gt;0,PPMT('Assumptions (Petroleum)'!$V$6,Model!AC$1,'Assumptions (Petroleum)'!$V$9,'Assumptions (Petroleum)'!$V$4*Model!$I$2231*AVERAGE('Assumptions (Petroleum)'!$E$2:$G$2)/10^9),0)</f>
        <v>-4.5147627483930431E-3</v>
      </c>
      <c r="P2294" s="105">
        <f>IF($I$2231&gt;0,PPMT('Assumptions (Petroleum)'!$V$6,Model!AD$1,'Assumptions (Petroleum)'!$V$9,'Assumptions (Petroleum)'!$V$4*Model!$I$2231*AVERAGE('Assumptions (Petroleum)'!$E$2:$G$2)/10^9),0)</f>
        <v>-4.7292139789417128E-3</v>
      </c>
      <c r="Q2294" s="105">
        <f>IF($I$2231&gt;0,PPMT('Assumptions (Petroleum)'!$V$6,Model!AE$1,'Assumptions (Petroleum)'!$V$9,'Assumptions (Petroleum)'!$V$4*Model!$I$2231*AVERAGE('Assumptions (Petroleum)'!$E$2:$G$2)/10^9),0)</f>
        <v>-4.9538516429414436E-3</v>
      </c>
      <c r="R2294" s="105">
        <f>IF($I$2231&gt;0,PPMT('Assumptions (Petroleum)'!$V$6,Model!AF$1,'Assumptions (Petroleum)'!$V$9,'Assumptions (Petroleum)'!$V$4*Model!$I$2231*AVERAGE('Assumptions (Petroleum)'!$E$2:$G$2)/10^9),0)</f>
        <v>-5.1891595959811625E-3</v>
      </c>
      <c r="S2294" s="105">
        <f>IF($I$2231&gt;0,PPMT('Assumptions (Petroleum)'!$V$6,Model!AG$1,'Assumptions (Petroleum)'!$V$9,'Assumptions (Petroleum)'!$V$4*Model!$I$2231*AVERAGE('Assumptions (Petroleum)'!$E$2:$G$2)/10^9),0)</f>
        <v>-5.4356446767902687E-3</v>
      </c>
      <c r="T2294" s="105">
        <f>IF($I$2231&gt;0,PPMT('Assumptions (Petroleum)'!$V$6,Model!AH$1,'Assumptions (Petroleum)'!$V$9,'Assumptions (Petroleum)'!$V$4*Model!$I$2231*AVERAGE('Assumptions (Petroleum)'!$E$2:$G$2)/10^9),0)</f>
        <v>-5.693837798937805E-3</v>
      </c>
      <c r="U2294" s="105">
        <f>IF($I$2231&gt;0,PPMT('Assumptions (Petroleum)'!$V$6,Model!AI$1,'Assumptions (Petroleum)'!$V$9,'Assumptions (Petroleum)'!$V$4*Model!$I$2231*AVERAGE('Assumptions (Petroleum)'!$E$2:$G$2)/10^9),0)</f>
        <v>-5.9642950943873518E-3</v>
      </c>
      <c r="V2294" s="105">
        <f>IF($I$2231&gt;0,PPMT('Assumptions (Petroleum)'!$V$6,Model!AJ$1,'Assumptions (Petroleum)'!$V$9,'Assumptions (Petroleum)'!$V$4*Model!$I$2231*AVERAGE('Assumptions (Petroleum)'!$E$2:$G$2)/10^9),0)</f>
        <v>-6.2475991113707507E-3</v>
      </c>
      <c r="W2294" s="105">
        <f>IF($I$2231&gt;0,PPMT('Assumptions (Petroleum)'!$V$6,Model!AK$1,'Assumptions (Petroleum)'!$V$9,'Assumptions (Petroleum)'!$V$4*Model!$I$2231*AVERAGE('Assumptions (Petroleum)'!$E$2:$G$2)/10^9),0)</f>
        <v>-6.544360069160861E-3</v>
      </c>
      <c r="X2294" s="105" t="e">
        <f>IF($I$2231&gt;0,PPMT('Assumptions (Petroleum)'!$V$6,Model!AL$1,'Assumptions (Petroleum)'!$V$9,'Assumptions (Petroleum)'!$V$4*Model!$I$2231*AVERAGE('Assumptions (Petroleum)'!$E$2:$G$2)/10^9),0)</f>
        <v>#NUM!</v>
      </c>
      <c r="Y2294" s="105" t="e">
        <f>IF($I$2231&gt;0,PPMT('Assumptions (Petroleum)'!$V$6,Model!AM$1,'Assumptions (Petroleum)'!$V$9,'Assumptions (Petroleum)'!$V$4*Model!$I$2231*AVERAGE('Assumptions (Petroleum)'!$E$2:$G$2)/10^9),0)</f>
        <v>#NUM!</v>
      </c>
      <c r="Z2294" s="105" t="e">
        <f>IF($I$2231&gt;0,PPMT('Assumptions (Petroleum)'!$V$6,Model!AN$1,'Assumptions (Petroleum)'!$V$9,'Assumptions (Petroleum)'!$V$4*Model!$I$2231*AVERAGE('Assumptions (Petroleum)'!$E$2:$G$2)/10^9),0)</f>
        <v>#NUM!</v>
      </c>
      <c r="AA2294" s="105" t="e">
        <f>IF($I$2231&gt;0,PPMT('Assumptions (Petroleum)'!$V$6,Model!AO$1,'Assumptions (Petroleum)'!$V$9,'Assumptions (Petroleum)'!$V$4*Model!$I$2231*AVERAGE('Assumptions (Petroleum)'!$E$2:$G$2)/10^9),0)</f>
        <v>#NUM!</v>
      </c>
      <c r="AB2294" s="105" t="e">
        <f>IF($I$2231&gt;0,PPMT('Assumptions (Petroleum)'!$V$6,Model!AP$1,'Assumptions (Petroleum)'!$V$9,'Assumptions (Petroleum)'!$V$4*Model!$I$2231*AVERAGE('Assumptions (Petroleum)'!$E$2:$G$2)/10^9),0)</f>
        <v>#NUM!</v>
      </c>
      <c r="AC2294" s="105" t="e">
        <f>IF($I$2231&gt;0,PPMT('Assumptions (Petroleum)'!$V$6,Model!AQ$1,'Assumptions (Petroleum)'!$V$9,'Assumptions (Petroleum)'!$V$4*Model!$I$2231*AVERAGE('Assumptions (Petroleum)'!$E$2:$G$2)/10^9),0)</f>
        <v>#NUM!</v>
      </c>
      <c r="AD2294" s="105" t="e">
        <f>IF($I$2231&gt;0,PPMT('Assumptions (Petroleum)'!$V$6,Model!AR$1,'Assumptions (Petroleum)'!$V$9,'Assumptions (Petroleum)'!$V$4*Model!$I$2231*AVERAGE('Assumptions (Petroleum)'!$E$2:$G$2)/10^9),0)</f>
        <v>#NUM!</v>
      </c>
      <c r="AE2294" s="105" t="e">
        <f>IF($I$2231&gt;0,PPMT('Assumptions (Petroleum)'!$V$6,Model!AS$1,'Assumptions (Petroleum)'!$V$9,'Assumptions (Petroleum)'!$V$4*Model!$I$2231*AVERAGE('Assumptions (Petroleum)'!$E$2:$G$2)/10^9),0)</f>
        <v>#NUM!</v>
      </c>
      <c r="AF2294" s="105" t="e">
        <f>IF($I$2231&gt;0,PPMT('Assumptions (Petroleum)'!$V$6,Model!AT$1,'Assumptions (Petroleum)'!$V$9,'Assumptions (Petroleum)'!$V$4*Model!$I$2231*AVERAGE('Assumptions (Petroleum)'!$E$2:$G$2)/10^9),0)</f>
        <v>#NUM!</v>
      </c>
      <c r="AG2294" s="105" t="e">
        <f>IF($I$2231&gt;0,PPMT('Assumptions (Petroleum)'!$V$6,Model!AU$1,'Assumptions (Petroleum)'!$V$9,'Assumptions (Petroleum)'!$V$4*Model!$I$2231*AVERAGE('Assumptions (Petroleum)'!$E$2:$G$2)/10^9),0)</f>
        <v>#NUM!</v>
      </c>
    </row>
    <row r="2295" spans="1:43" ht="15.75" hidden="1" customHeight="1" outlineLevel="1">
      <c r="A2295" s="447"/>
      <c r="B2295" s="99"/>
      <c r="C2295" s="105"/>
      <c r="D2295" s="105"/>
      <c r="E2295" s="105"/>
      <c r="F2295" s="105"/>
      <c r="G2295" s="105"/>
      <c r="H2295" s="105"/>
      <c r="I2295" s="105"/>
      <c r="J2295" s="105">
        <f>IF($J$2231&gt;0,PPMT('Assumptions (Petroleum)'!$V$6,Model!W$1,'Assumptions (Petroleum)'!$V$9,'Assumptions (Petroleum)'!$V$4*Model!$J$2231*AVERAGE('Assumptions (Petroleum)'!$F$2:$H$2)/10^9),0)</f>
        <v>-4.9517517346293043E-3</v>
      </c>
      <c r="K2295" s="105">
        <f>IF($J$2231&gt;0,PPMT('Assumptions (Petroleum)'!$V$6,Model!X$1,'Assumptions (Petroleum)'!$V$9,'Assumptions (Petroleum)'!$V$4*Model!$J$2231*AVERAGE('Assumptions (Petroleum)'!$F$2:$H$2)/10^9),0)</f>
        <v>-5.1869599420241962E-3</v>
      </c>
      <c r="L2295" s="105">
        <f>IF($J$2231&gt;0,PPMT('Assumptions (Petroleum)'!$V$6,Model!Y$1,'Assumptions (Petroleum)'!$V$9,'Assumptions (Petroleum)'!$V$4*Model!$J$2231*AVERAGE('Assumptions (Petroleum)'!$F$2:$H$2)/10^9),0)</f>
        <v>-5.4333405392703463E-3</v>
      </c>
      <c r="M2295" s="105">
        <f>IF($J$2231&gt;0,PPMT('Assumptions (Petroleum)'!$V$6,Model!Z$1,'Assumptions (Petroleum)'!$V$9,'Assumptions (Petroleum)'!$V$4*Model!$J$2231*AVERAGE('Assumptions (Petroleum)'!$F$2:$H$2)/10^9),0)</f>
        <v>-5.691424214885687E-3</v>
      </c>
      <c r="N2295" s="105">
        <f>IF($J$2231&gt;0,PPMT('Assumptions (Petroleum)'!$V$6,Model!AA$1,'Assumptions (Petroleum)'!$V$9,'Assumptions (Petroleum)'!$V$4*Model!$J$2231*AVERAGE('Assumptions (Petroleum)'!$F$2:$H$2)/10^9),0)</f>
        <v>-5.9617668650927573E-3</v>
      </c>
      <c r="O2295" s="105">
        <f>IF($J$2231&gt;0,PPMT('Assumptions (Petroleum)'!$V$6,Model!AB$1,'Assumptions (Petroleum)'!$V$9,'Assumptions (Petroleum)'!$V$4*Model!$J$2231*AVERAGE('Assumptions (Petroleum)'!$F$2:$H$2)/10^9),0)</f>
        <v>-6.2449507911846629E-3</v>
      </c>
      <c r="P2295" s="105">
        <f>IF($J$2231&gt;0,PPMT('Assumptions (Petroleum)'!$V$6,Model!AC$1,'Assumptions (Petroleum)'!$V$9,'Assumptions (Petroleum)'!$V$4*Model!$J$2231*AVERAGE('Assumptions (Petroleum)'!$F$2:$H$2)/10^9),0)</f>
        <v>-6.5415859537659351E-3</v>
      </c>
      <c r="Q2295" s="105">
        <f>IF($J$2231&gt;0,PPMT('Assumptions (Petroleum)'!$V$6,Model!AD$1,'Assumptions (Petroleum)'!$V$9,'Assumptions (Petroleum)'!$V$4*Model!$J$2231*AVERAGE('Assumptions (Petroleum)'!$F$2:$H$2)/10^9),0)</f>
        <v>-6.8523112865698172E-3</v>
      </c>
      <c r="R2295" s="105">
        <f>IF($J$2231&gt;0,PPMT('Assumptions (Petroleum)'!$V$6,Model!AE$1,'Assumptions (Petroleum)'!$V$9,'Assumptions (Petroleum)'!$V$4*Model!$J$2231*AVERAGE('Assumptions (Petroleum)'!$F$2:$H$2)/10^9),0)</f>
        <v>-7.1777960726818824E-3</v>
      </c>
      <c r="S2295" s="105">
        <f>IF($J$2231&gt;0,PPMT('Assumptions (Petroleum)'!$V$6,Model!AF$1,'Assumptions (Petroleum)'!$V$9,'Assumptions (Petroleum)'!$V$4*Model!$J$2231*AVERAGE('Assumptions (Petroleum)'!$F$2:$H$2)/10^9),0)</f>
        <v>-7.5187413861342728E-3</v>
      </c>
      <c r="T2295" s="105">
        <f>IF($J$2231&gt;0,PPMT('Assumptions (Petroleum)'!$V$6,Model!AG$1,'Assumptions (Petroleum)'!$V$9,'Assumptions (Petroleum)'!$V$4*Model!$J$2231*AVERAGE('Assumptions (Petroleum)'!$F$2:$H$2)/10^9),0)</f>
        <v>-7.8758816019756511E-3</v>
      </c>
      <c r="U2295" s="105">
        <f>IF($J$2231&gt;0,PPMT('Assumptions (Petroleum)'!$V$6,Model!AH$1,'Assumptions (Petroleum)'!$V$9,'Assumptions (Petroleum)'!$V$4*Model!$J$2231*AVERAGE('Assumptions (Petroleum)'!$F$2:$H$2)/10^9),0)</f>
        <v>-8.2499859780694948E-3</v>
      </c>
      <c r="V2295" s="105">
        <f>IF($J$2231&gt;0,PPMT('Assumptions (Petroleum)'!$V$6,Model!AI$1,'Assumptions (Petroleum)'!$V$9,'Assumptions (Petroleum)'!$V$4*Model!$J$2231*AVERAGE('Assumptions (Petroleum)'!$F$2:$H$2)/10^9),0)</f>
        <v>-8.6418603120277954E-3</v>
      </c>
      <c r="W2295" s="105">
        <f>IF($J$2231&gt;0,PPMT('Assumptions (Petroleum)'!$V$6,Model!AJ$1,'Assumptions (Petroleum)'!$V$9,'Assumptions (Petroleum)'!$V$4*Model!$J$2231*AVERAGE('Assumptions (Petroleum)'!$F$2:$H$2)/10^9),0)</f>
        <v>-9.0523486768491167E-3</v>
      </c>
      <c r="X2295" s="105">
        <f>IF($J$2231&gt;0,PPMT('Assumptions (Petroleum)'!$V$6,Model!AK$1,'Assumptions (Petroleum)'!$V$9,'Assumptions (Petroleum)'!$V$4*Model!$J$2231*AVERAGE('Assumptions (Petroleum)'!$F$2:$H$2)/10^9),0)</f>
        <v>-9.4823352389994484E-3</v>
      </c>
      <c r="Y2295" s="105" t="e">
        <f>IF($J$2231&gt;0,PPMT('Assumptions (Petroleum)'!$V$6,Model!AL$1,'Assumptions (Petroleum)'!$V$9,'Assumptions (Petroleum)'!$V$4*Model!$J$2231*AVERAGE('Assumptions (Petroleum)'!$F$2:$H$2)/10^9),0)</f>
        <v>#NUM!</v>
      </c>
      <c r="Z2295" s="105" t="e">
        <f>IF($J$2231&gt;0,PPMT('Assumptions (Petroleum)'!$V$6,Model!AM$1,'Assumptions (Petroleum)'!$V$9,'Assumptions (Petroleum)'!$V$4*Model!$J$2231*AVERAGE('Assumptions (Petroleum)'!$F$2:$H$2)/10^9),0)</f>
        <v>#NUM!</v>
      </c>
      <c r="AA2295" s="105" t="e">
        <f>IF($J$2231&gt;0,PPMT('Assumptions (Petroleum)'!$V$6,Model!AN$1,'Assumptions (Petroleum)'!$V$9,'Assumptions (Petroleum)'!$V$4*Model!$J$2231*AVERAGE('Assumptions (Petroleum)'!$F$2:$H$2)/10^9),0)</f>
        <v>#NUM!</v>
      </c>
      <c r="AB2295" s="105" t="e">
        <f>IF($J$2231&gt;0,PPMT('Assumptions (Petroleum)'!$V$6,Model!AO$1,'Assumptions (Petroleum)'!$V$9,'Assumptions (Petroleum)'!$V$4*Model!$J$2231*AVERAGE('Assumptions (Petroleum)'!$F$2:$H$2)/10^9),0)</f>
        <v>#NUM!</v>
      </c>
      <c r="AC2295" s="105" t="e">
        <f>IF($J$2231&gt;0,PPMT('Assumptions (Petroleum)'!$V$6,Model!AP$1,'Assumptions (Petroleum)'!$V$9,'Assumptions (Petroleum)'!$V$4*Model!$J$2231*AVERAGE('Assumptions (Petroleum)'!$F$2:$H$2)/10^9),0)</f>
        <v>#NUM!</v>
      </c>
      <c r="AD2295" s="105" t="e">
        <f>IF($J$2231&gt;0,PPMT('Assumptions (Petroleum)'!$V$6,Model!AQ$1,'Assumptions (Petroleum)'!$V$9,'Assumptions (Petroleum)'!$V$4*Model!$J$2231*AVERAGE('Assumptions (Petroleum)'!$F$2:$H$2)/10^9),0)</f>
        <v>#NUM!</v>
      </c>
      <c r="AE2295" s="105" t="e">
        <f>IF($J$2231&gt;0,PPMT('Assumptions (Petroleum)'!$V$6,Model!AR$1,'Assumptions (Petroleum)'!$V$9,'Assumptions (Petroleum)'!$V$4*Model!$J$2231*AVERAGE('Assumptions (Petroleum)'!$F$2:$H$2)/10^9),0)</f>
        <v>#NUM!</v>
      </c>
      <c r="AF2295" s="105" t="e">
        <f>IF($J$2231&gt;0,PPMT('Assumptions (Petroleum)'!$V$6,Model!AS$1,'Assumptions (Petroleum)'!$V$9,'Assumptions (Petroleum)'!$V$4*Model!$J$2231*AVERAGE('Assumptions (Petroleum)'!$F$2:$H$2)/10^9),0)</f>
        <v>#NUM!</v>
      </c>
      <c r="AG2295" s="105" t="e">
        <f>IF($J$2231&gt;0,PPMT('Assumptions (Petroleum)'!$V$6,Model!AT$1,'Assumptions (Petroleum)'!$V$9,'Assumptions (Petroleum)'!$V$4*Model!$J$2231*AVERAGE('Assumptions (Petroleum)'!$F$2:$H$2)/10^9),0)</f>
        <v>#NUM!</v>
      </c>
      <c r="AH2295" s="105" t="e">
        <f>IF($J$2231&gt;0,PPMT('Assumptions (Petroleum)'!$V$6,Model!AU$1,'Assumptions (Petroleum)'!$V$9,'Assumptions (Petroleum)'!$V$4*Model!$J$2231*AVERAGE('Assumptions (Petroleum)'!$F$2:$H$2)/10^9),0)</f>
        <v>#NUM!</v>
      </c>
    </row>
    <row r="2296" spans="1:43" ht="15.75" hidden="1" customHeight="1" outlineLevel="1">
      <c r="A2296" s="447"/>
      <c r="B2296" s="99"/>
      <c r="C2296" s="105"/>
      <c r="D2296" s="105"/>
      <c r="E2296" s="105"/>
      <c r="F2296" s="105"/>
      <c r="G2296" s="105"/>
      <c r="H2296" s="105"/>
      <c r="I2296" s="105"/>
      <c r="J2296" s="105"/>
      <c r="K2296" s="105">
        <f>IF($K$2231&gt;0,PPMT('Assumptions (Petroleum)'!$V$6,Model!W$1,'Assumptions (Petroleum)'!$V$9,'Assumptions (Petroleum)'!$V$4*Model!$K$2231*AVERAGE('Assumptions (Petroleum)'!$G$2:$I$2)/10^9),0)</f>
        <v>-1.8073170193356411E-3</v>
      </c>
      <c r="L2296" s="105">
        <f>IF($K$2231&gt;0,PPMT('Assumptions (Petroleum)'!$V$6,Model!X$1,'Assumptions (Petroleum)'!$V$9,'Assumptions (Petroleum)'!$V$4*Model!$K$2231*AVERAGE('Assumptions (Petroleum)'!$G$2:$I$2)/10^9),0)</f>
        <v>-1.8931645777540843E-3</v>
      </c>
      <c r="M2296" s="105">
        <f>IF($K$2231&gt;0,PPMT('Assumptions (Petroleum)'!$V$6,Model!Y$1,'Assumptions (Petroleum)'!$V$9,'Assumptions (Petroleum)'!$V$4*Model!$K$2231*AVERAGE('Assumptions (Petroleum)'!$G$2:$I$2)/10^9),0)</f>
        <v>-1.9830898951974031E-3</v>
      </c>
      <c r="N2296" s="105">
        <f>IF($K$2231&gt;0,PPMT('Assumptions (Petroleum)'!$V$6,Model!Z$1,'Assumptions (Petroleum)'!$V$9,'Assumptions (Petroleum)'!$V$4*Model!$K$2231*AVERAGE('Assumptions (Petroleum)'!$G$2:$I$2)/10^9),0)</f>
        <v>-2.0772866652192796E-3</v>
      </c>
      <c r="O2296" s="105">
        <f>IF($K$2231&gt;0,PPMT('Assumptions (Petroleum)'!$V$6,Model!AA$1,'Assumptions (Petroleum)'!$V$9,'Assumptions (Petroleum)'!$V$4*Model!$K$2231*AVERAGE('Assumptions (Petroleum)'!$G$2:$I$2)/10^9),0)</f>
        <v>-2.1759577818171952E-3</v>
      </c>
      <c r="P2296" s="105">
        <f>IF($K$2231&gt;0,PPMT('Assumptions (Petroleum)'!$V$6,Model!AB$1,'Assumptions (Petroleum)'!$V$9,'Assumptions (Petroleum)'!$V$4*Model!$K$2231*AVERAGE('Assumptions (Petroleum)'!$G$2:$I$2)/10^9),0)</f>
        <v>-2.2793157764535122E-3</v>
      </c>
      <c r="Q2296" s="105">
        <f>IF($K$2231&gt;0,PPMT('Assumptions (Petroleum)'!$V$6,Model!AC$1,'Assumptions (Petroleum)'!$V$9,'Assumptions (Petroleum)'!$V$4*Model!$K$2231*AVERAGE('Assumptions (Petroleum)'!$G$2:$I$2)/10^9),0)</f>
        <v>-2.387583275835054E-3</v>
      </c>
      <c r="R2296" s="105">
        <f>IF($K$2231&gt;0,PPMT('Assumptions (Petroleum)'!$V$6,Model!AD$1,'Assumptions (Petroleum)'!$V$9,'Assumptions (Petroleum)'!$V$4*Model!$K$2231*AVERAGE('Assumptions (Petroleum)'!$G$2:$I$2)/10^9),0)</f>
        <v>-2.5009934814372191E-3</v>
      </c>
      <c r="S2296" s="105">
        <f>IF($K$2231&gt;0,PPMT('Assumptions (Petroleum)'!$V$6,Model!AE$1,'Assumptions (Petroleum)'!$V$9,'Assumptions (Petroleum)'!$V$4*Model!$K$2231*AVERAGE('Assumptions (Petroleum)'!$G$2:$I$2)/10^9),0)</f>
        <v>-2.619790671805487E-3</v>
      </c>
      <c r="T2296" s="105">
        <f>IF($K$2231&gt;0,PPMT('Assumptions (Petroleum)'!$V$6,Model!AF$1,'Assumptions (Petroleum)'!$V$9,'Assumptions (Petroleum)'!$V$4*Model!$K$2231*AVERAGE('Assumptions (Petroleum)'!$G$2:$I$2)/10^9),0)</f>
        <v>-2.7442307287162478E-3</v>
      </c>
      <c r="U2296" s="105">
        <f>IF($K$2231&gt;0,PPMT('Assumptions (Petroleum)'!$V$6,Model!AG$1,'Assumptions (Petroleum)'!$V$9,'Assumptions (Petroleum)'!$V$4*Model!$K$2231*AVERAGE('Assumptions (Petroleum)'!$G$2:$I$2)/10^9),0)</f>
        <v>-2.8745816883302697E-3</v>
      </c>
      <c r="V2296" s="105">
        <f>IF($K$2231&gt;0,PPMT('Assumptions (Petroleum)'!$V$6,Model!AH$1,'Assumptions (Petroleum)'!$V$9,'Assumptions (Petroleum)'!$V$4*Model!$K$2231*AVERAGE('Assumptions (Petroleum)'!$G$2:$I$2)/10^9),0)</f>
        <v>-3.0111243185259578E-3</v>
      </c>
      <c r="W2296" s="105">
        <f>IF($K$2231&gt;0,PPMT('Assumptions (Petroleum)'!$V$6,Model!AI$1,'Assumptions (Petroleum)'!$V$9,'Assumptions (Petroleum)'!$V$4*Model!$K$2231*AVERAGE('Assumptions (Petroleum)'!$G$2:$I$2)/10^9),0)</f>
        <v>-3.1541527236559406E-3</v>
      </c>
      <c r="X2296" s="105">
        <f>IF($K$2231&gt;0,PPMT('Assumptions (Petroleum)'!$V$6,Model!AJ$1,'Assumptions (Petroleum)'!$V$9,'Assumptions (Petroleum)'!$V$4*Model!$K$2231*AVERAGE('Assumptions (Petroleum)'!$G$2:$I$2)/10^9),0)</f>
        <v>-3.3039749780295977E-3</v>
      </c>
      <c r="Y2296" s="105">
        <f>IF($K$2231&gt;0,PPMT('Assumptions (Petroleum)'!$V$6,Model!AK$1,'Assumptions (Petroleum)'!$V$9,'Assumptions (Petroleum)'!$V$4*Model!$K$2231*AVERAGE('Assumptions (Petroleum)'!$G$2:$I$2)/10^9),0)</f>
        <v>-3.460913789486003E-3</v>
      </c>
      <c r="Z2296" s="105" t="e">
        <f>IF($K$2231&gt;0,PPMT('Assumptions (Petroleum)'!$V$6,Model!AL$1,'Assumptions (Petroleum)'!$V$9,'Assumptions (Petroleum)'!$V$4*Model!$K$2231*AVERAGE('Assumptions (Petroleum)'!$G$2:$I$2)/10^9),0)</f>
        <v>#NUM!</v>
      </c>
      <c r="AA2296" s="105" t="e">
        <f>IF($K$2231&gt;0,PPMT('Assumptions (Petroleum)'!$V$6,Model!AM$1,'Assumptions (Petroleum)'!$V$9,'Assumptions (Petroleum)'!$V$4*Model!$K$2231*AVERAGE('Assumptions (Petroleum)'!$G$2:$I$2)/10^9),0)</f>
        <v>#NUM!</v>
      </c>
      <c r="AB2296" s="105" t="e">
        <f>IF($K$2231&gt;0,PPMT('Assumptions (Petroleum)'!$V$6,Model!AN$1,'Assumptions (Petroleum)'!$V$9,'Assumptions (Petroleum)'!$V$4*Model!$K$2231*AVERAGE('Assumptions (Petroleum)'!$G$2:$I$2)/10^9),0)</f>
        <v>#NUM!</v>
      </c>
      <c r="AC2296" s="105" t="e">
        <f>IF($K$2231&gt;0,PPMT('Assumptions (Petroleum)'!$V$6,Model!AO$1,'Assumptions (Petroleum)'!$V$9,'Assumptions (Petroleum)'!$V$4*Model!$K$2231*AVERAGE('Assumptions (Petroleum)'!$G$2:$I$2)/10^9),0)</f>
        <v>#NUM!</v>
      </c>
      <c r="AD2296" s="105" t="e">
        <f>IF($K$2231&gt;0,PPMT('Assumptions (Petroleum)'!$V$6,Model!AP$1,'Assumptions (Petroleum)'!$V$9,'Assumptions (Petroleum)'!$V$4*Model!$K$2231*AVERAGE('Assumptions (Petroleum)'!$G$2:$I$2)/10^9),0)</f>
        <v>#NUM!</v>
      </c>
      <c r="AE2296" s="105" t="e">
        <f>IF($K$2231&gt;0,PPMT('Assumptions (Petroleum)'!$V$6,Model!AQ$1,'Assumptions (Petroleum)'!$V$9,'Assumptions (Petroleum)'!$V$4*Model!$K$2231*AVERAGE('Assumptions (Petroleum)'!$G$2:$I$2)/10^9),0)</f>
        <v>#NUM!</v>
      </c>
      <c r="AF2296" s="105" t="e">
        <f>IF($K$2231&gt;0,PPMT('Assumptions (Petroleum)'!$V$6,Model!AR$1,'Assumptions (Petroleum)'!$V$9,'Assumptions (Petroleum)'!$V$4*Model!$K$2231*AVERAGE('Assumptions (Petroleum)'!$G$2:$I$2)/10^9),0)</f>
        <v>#NUM!</v>
      </c>
      <c r="AG2296" s="105" t="e">
        <f>IF($K$2231&gt;0,PPMT('Assumptions (Petroleum)'!$V$6,Model!AS$1,'Assumptions (Petroleum)'!$V$9,'Assumptions (Petroleum)'!$V$4*Model!$K$2231*AVERAGE('Assumptions (Petroleum)'!$G$2:$I$2)/10^9),0)</f>
        <v>#NUM!</v>
      </c>
      <c r="AH2296" s="105" t="e">
        <f>IF($K$2231&gt;0,PPMT('Assumptions (Petroleum)'!$V$6,Model!AT$1,'Assumptions (Petroleum)'!$V$9,'Assumptions (Petroleum)'!$V$4*Model!$K$2231*AVERAGE('Assumptions (Petroleum)'!$G$2:$I$2)/10^9),0)</f>
        <v>#NUM!</v>
      </c>
      <c r="AI2296" s="105" t="e">
        <f>IF($K$2231&gt;0,PPMT('Assumptions (Petroleum)'!$V$6,Model!AU$1,'Assumptions (Petroleum)'!$V$9,'Assumptions (Petroleum)'!$V$4*Model!$K$2231*AVERAGE('Assumptions (Petroleum)'!$G$2:$I$2)/10^9),0)</f>
        <v>#NUM!</v>
      </c>
    </row>
    <row r="2297" spans="1:43" ht="15.75" hidden="1" customHeight="1" outlineLevel="1">
      <c r="A2297" s="447"/>
      <c r="B2297" s="99"/>
      <c r="C2297" s="105"/>
      <c r="D2297" s="105"/>
      <c r="E2297" s="105"/>
      <c r="F2297" s="105"/>
      <c r="G2297" s="105"/>
      <c r="H2297" s="105"/>
      <c r="I2297" s="105"/>
      <c r="J2297" s="105"/>
      <c r="K2297" s="105"/>
      <c r="L2297" s="105">
        <f>IF($L$2231&gt;0,PPMT('Assumptions (Petroleum)'!$V$6,Model!W$1,'Assumptions (Petroleum)'!$V$9,'Assumptions (Petroleum)'!$V$4*Model!$L$2231*AVERAGE('Assumptions (Petroleum)'!$H$2:$J$2)/10^9),0)</f>
        <v>-1.4369119303320103E-3</v>
      </c>
      <c r="M2297" s="105">
        <f>IF($L$2231&gt;0,PPMT('Assumptions (Petroleum)'!$V$6,Model!X$1,'Assumptions (Petroleum)'!$V$9,'Assumptions (Petroleum)'!$V$4*Model!$L$2231*AVERAGE('Assumptions (Petroleum)'!$H$2:$J$2)/10^9),0)</f>
        <v>-1.5051652470227806E-3</v>
      </c>
      <c r="N2297" s="105">
        <f>IF($L$2231&gt;0,PPMT('Assumptions (Petroleum)'!$V$6,Model!Y$1,'Assumptions (Petroleum)'!$V$9,'Assumptions (Petroleum)'!$V$4*Model!$L$2231*AVERAGE('Assumptions (Petroleum)'!$H$2:$J$2)/10^9),0)</f>
        <v>-1.576660596256363E-3</v>
      </c>
      <c r="O2297" s="105">
        <f>IF($L$2231&gt;0,PPMT('Assumptions (Petroleum)'!$V$6,Model!Z$1,'Assumptions (Petroleum)'!$V$9,'Assumptions (Petroleum)'!$V$4*Model!$L$2231*AVERAGE('Assumptions (Petroleum)'!$H$2:$J$2)/10^9),0)</f>
        <v>-1.6515519745785401E-3</v>
      </c>
      <c r="P2297" s="105">
        <f>IF($L$2231&gt;0,PPMT('Assumptions (Petroleum)'!$V$6,Model!AA$1,'Assumptions (Petroleum)'!$V$9,'Assumptions (Petroleum)'!$V$4*Model!$L$2231*AVERAGE('Assumptions (Petroleum)'!$H$2:$J$2)/10^9),0)</f>
        <v>-1.7300006933710205E-3</v>
      </c>
      <c r="Q2297" s="105">
        <f>IF($L$2231&gt;0,PPMT('Assumptions (Petroleum)'!$V$6,Model!AB$1,'Assumptions (Petroleum)'!$V$9,'Assumptions (Petroleum)'!$V$4*Model!$L$2231*AVERAGE('Assumptions (Petroleum)'!$H$2:$J$2)/10^9),0)</f>
        <v>-1.812175726306144E-3</v>
      </c>
      <c r="R2297" s="105">
        <f>IF($L$2231&gt;0,PPMT('Assumptions (Petroleum)'!$V$6,Model!AC$1,'Assumptions (Petroleum)'!$V$9,'Assumptions (Petroleum)'!$V$4*Model!$L$2231*AVERAGE('Assumptions (Petroleum)'!$H$2:$J$2)/10^9),0)</f>
        <v>-1.898254073305686E-3</v>
      </c>
      <c r="S2297" s="105">
        <f>IF($L$2231&gt;0,PPMT('Assumptions (Petroleum)'!$V$6,Model!AD$1,'Assumptions (Petroleum)'!$V$9,'Assumptions (Petroleum)'!$V$4*Model!$L$2231*AVERAGE('Assumptions (Petroleum)'!$H$2:$J$2)/10^9),0)</f>
        <v>-1.9884211417877059E-3</v>
      </c>
      <c r="T2297" s="105">
        <f>IF($L$2231&gt;0,PPMT('Assumptions (Petroleum)'!$V$6,Model!AE$1,'Assumptions (Petroleum)'!$V$9,'Assumptions (Petroleum)'!$V$4*Model!$L$2231*AVERAGE('Assumptions (Petroleum)'!$H$2:$J$2)/10^9),0)</f>
        <v>-2.082871146022622E-3</v>
      </c>
      <c r="U2297" s="105">
        <f>IF($L$2231&gt;0,PPMT('Assumptions (Petroleum)'!$V$6,Model!AF$1,'Assumptions (Petroleum)'!$V$9,'Assumptions (Petroleum)'!$V$4*Model!$L$2231*AVERAGE('Assumptions (Petroleum)'!$H$2:$J$2)/10^9),0)</f>
        <v>-2.1818075254586965E-3</v>
      </c>
      <c r="V2297" s="105">
        <f>IF($L$2231&gt;0,PPMT('Assumptions (Petroleum)'!$V$6,Model!AG$1,'Assumptions (Petroleum)'!$V$9,'Assumptions (Petroleum)'!$V$4*Model!$L$2231*AVERAGE('Assumptions (Petroleum)'!$H$2:$J$2)/10^9),0)</f>
        <v>-2.2854433829179849E-3</v>
      </c>
      <c r="W2297" s="105">
        <f>IF($L$2231&gt;0,PPMT('Assumptions (Petroleum)'!$V$6,Model!AH$1,'Assumptions (Petroleum)'!$V$9,'Assumptions (Petroleum)'!$V$4*Model!$L$2231*AVERAGE('Assumptions (Petroleum)'!$H$2:$J$2)/10^9),0)</f>
        <v>-2.3940019436065893E-3</v>
      </c>
      <c r="X2297" s="105">
        <f>IF($L$2231&gt;0,PPMT('Assumptions (Petroleum)'!$V$6,Model!AI$1,'Assumptions (Petroleum)'!$V$9,'Assumptions (Petroleum)'!$V$4*Model!$L$2231*AVERAGE('Assumptions (Petroleum)'!$H$2:$J$2)/10^9),0)</f>
        <v>-2.5077170359279022E-3</v>
      </c>
      <c r="Y2297" s="105">
        <f>IF($L$2231&gt;0,PPMT('Assumptions (Petroleum)'!$V$6,Model!AJ$1,'Assumptions (Petroleum)'!$V$9,'Assumptions (Petroleum)'!$V$4*Model!$L$2231*AVERAGE('Assumptions (Petroleum)'!$H$2:$J$2)/10^9),0)</f>
        <v>-2.6268335951344776E-3</v>
      </c>
      <c r="Z2297" s="105">
        <f>IF($L$2231&gt;0,PPMT('Assumptions (Petroleum)'!$V$6,Model!AK$1,'Assumptions (Petroleum)'!$V$9,'Assumptions (Petroleum)'!$V$4*Model!$L$2231*AVERAGE('Assumptions (Petroleum)'!$H$2:$J$2)/10^9),0)</f>
        <v>-2.7516081909033652E-3</v>
      </c>
      <c r="AA2297" s="105" t="e">
        <f>IF($L$2231&gt;0,PPMT('Assumptions (Petroleum)'!$V$6,Model!AL$1,'Assumptions (Petroleum)'!$V$9,'Assumptions (Petroleum)'!$V$4*Model!$L$2231*AVERAGE('Assumptions (Petroleum)'!$H$2:$J$2)/10^9),0)</f>
        <v>#NUM!</v>
      </c>
      <c r="AB2297" s="105" t="e">
        <f>IF($L$2231&gt;0,PPMT('Assumptions (Petroleum)'!$V$6,Model!AM$1,'Assumptions (Petroleum)'!$V$9,'Assumptions (Petroleum)'!$V$4*Model!$L$2231*AVERAGE('Assumptions (Petroleum)'!$H$2:$J$2)/10^9),0)</f>
        <v>#NUM!</v>
      </c>
      <c r="AC2297" s="105" t="e">
        <f>IF($L$2231&gt;0,PPMT('Assumptions (Petroleum)'!$V$6,Model!AN$1,'Assumptions (Petroleum)'!$V$9,'Assumptions (Petroleum)'!$V$4*Model!$L$2231*AVERAGE('Assumptions (Petroleum)'!$H$2:$J$2)/10^9),0)</f>
        <v>#NUM!</v>
      </c>
      <c r="AD2297" s="105" t="e">
        <f>IF($L$2231&gt;0,PPMT('Assumptions (Petroleum)'!$V$6,Model!AO$1,'Assumptions (Petroleum)'!$V$9,'Assumptions (Petroleum)'!$V$4*Model!$L$2231*AVERAGE('Assumptions (Petroleum)'!$H$2:$J$2)/10^9),0)</f>
        <v>#NUM!</v>
      </c>
      <c r="AE2297" s="105" t="e">
        <f>IF($L$2231&gt;0,PPMT('Assumptions (Petroleum)'!$V$6,Model!AP$1,'Assumptions (Petroleum)'!$V$9,'Assumptions (Petroleum)'!$V$4*Model!$L$2231*AVERAGE('Assumptions (Petroleum)'!$H$2:$J$2)/10^9),0)</f>
        <v>#NUM!</v>
      </c>
      <c r="AF2297" s="105" t="e">
        <f>IF($L$2231&gt;0,PPMT('Assumptions (Petroleum)'!$V$6,Model!AQ$1,'Assumptions (Petroleum)'!$V$9,'Assumptions (Petroleum)'!$V$4*Model!$L$2231*AVERAGE('Assumptions (Petroleum)'!$H$2:$J$2)/10^9),0)</f>
        <v>#NUM!</v>
      </c>
      <c r="AG2297" s="105" t="e">
        <f>IF($L$2231&gt;0,PPMT('Assumptions (Petroleum)'!$V$6,Model!AR$1,'Assumptions (Petroleum)'!$V$9,'Assumptions (Petroleum)'!$V$4*Model!$L$2231*AVERAGE('Assumptions (Petroleum)'!$H$2:$J$2)/10^9),0)</f>
        <v>#NUM!</v>
      </c>
      <c r="AH2297" s="105" t="e">
        <f>IF($L$2231&gt;0,PPMT('Assumptions (Petroleum)'!$V$6,Model!AS$1,'Assumptions (Petroleum)'!$V$9,'Assumptions (Petroleum)'!$V$4*Model!$L$2231*AVERAGE('Assumptions (Petroleum)'!$H$2:$J$2)/10^9),0)</f>
        <v>#NUM!</v>
      </c>
      <c r="AI2297" s="105" t="e">
        <f>IF($L$2231&gt;0,PPMT('Assumptions (Petroleum)'!$V$6,Model!AT$1,'Assumptions (Petroleum)'!$V$9,'Assumptions (Petroleum)'!$V$4*Model!$L$2231*AVERAGE('Assumptions (Petroleum)'!$H$2:$J$2)/10^9),0)</f>
        <v>#NUM!</v>
      </c>
      <c r="AJ2297" s="105" t="e">
        <f>IF($L$2231&gt;0,PPMT('Assumptions (Petroleum)'!$V$6,Model!AU$1,'Assumptions (Petroleum)'!$V$9,'Assumptions (Petroleum)'!$V$4*Model!$L$2231*AVERAGE('Assumptions (Petroleum)'!$H$2:$J$2)/10^9),0)</f>
        <v>#NUM!</v>
      </c>
    </row>
    <row r="2298" spans="1:43" ht="15.75" hidden="1" customHeight="1" outlineLevel="1">
      <c r="A2298" s="447"/>
      <c r="B2298" s="99"/>
      <c r="C2298" s="105"/>
      <c r="D2298" s="105"/>
      <c r="E2298" s="105"/>
      <c r="F2298" s="105"/>
      <c r="G2298" s="105"/>
      <c r="H2298" s="105"/>
      <c r="I2298" s="105"/>
      <c r="J2298" s="105"/>
      <c r="K2298" s="105"/>
      <c r="L2298" s="105"/>
      <c r="M2298" s="105">
        <f>IF($M$2231&gt;0,PPMT('Assumptions (Petroleum)'!$V$6,Model!W$1,'Assumptions (Petroleum)'!$V$9,'Assumptions (Petroleum)'!$V$4*Model!$M$2231*AVERAGE('Assumptions (Petroleum)'!$I$2:$K$2)/10^9),0)</f>
        <v>-1.9981551030724978E-2</v>
      </c>
      <c r="N2298" s="105">
        <f>IF($M$2231&gt;0,PPMT('Assumptions (Petroleum)'!$V$6,Model!X$1,'Assumptions (Petroleum)'!$V$9,'Assumptions (Petroleum)'!$V$4*Model!$M$2231*AVERAGE('Assumptions (Petroleum)'!$I$2:$K$2)/10^9),0)</f>
        <v>-2.0930674704684415E-2</v>
      </c>
      <c r="O2298" s="105">
        <f>IF($M$2231&gt;0,PPMT('Assumptions (Petroleum)'!$V$6,Model!Y$1,'Assumptions (Petroleum)'!$V$9,'Assumptions (Petroleum)'!$V$4*Model!$M$2231*AVERAGE('Assumptions (Petroleum)'!$I$2:$K$2)/10^9),0)</f>
        <v>-2.1924881753156926E-2</v>
      </c>
      <c r="P2298" s="105">
        <f>IF($M$2231&gt;0,PPMT('Assumptions (Petroleum)'!$V$6,Model!Z$1,'Assumptions (Petroleum)'!$V$9,'Assumptions (Petroleum)'!$V$4*Model!$M$2231*AVERAGE('Assumptions (Petroleum)'!$I$2:$K$2)/10^9),0)</f>
        <v>-2.2966313636431878E-2</v>
      </c>
      <c r="Q2298" s="105">
        <f>IF($M$2231&gt;0,PPMT('Assumptions (Petroleum)'!$V$6,Model!AA$1,'Assumptions (Petroleum)'!$V$9,'Assumptions (Petroleum)'!$V$4*Model!$M$2231*AVERAGE('Assumptions (Petroleum)'!$I$2:$K$2)/10^9),0)</f>
        <v>-2.4057213534162389E-2</v>
      </c>
      <c r="R2298" s="105">
        <f>IF($M$2231&gt;0,PPMT('Assumptions (Petroleum)'!$V$6,Model!AB$1,'Assumptions (Petroleum)'!$V$9,'Assumptions (Petroleum)'!$V$4*Model!$M$2231*AVERAGE('Assumptions (Petroleum)'!$I$2:$K$2)/10^9),0)</f>
        <v>-2.5199931177035107E-2</v>
      </c>
      <c r="S2298" s="105">
        <f>IF($M$2231&gt;0,PPMT('Assumptions (Petroleum)'!$V$6,Model!AC$1,'Assumptions (Petroleum)'!$V$9,'Assumptions (Petroleum)'!$V$4*Model!$M$2231*AVERAGE('Assumptions (Petroleum)'!$I$2:$K$2)/10^9),0)</f>
        <v>-2.6396927907944276E-2</v>
      </c>
      <c r="T2298" s="105">
        <f>IF($M$2231&gt;0,PPMT('Assumptions (Petroleum)'!$V$6,Model!AD$1,'Assumptions (Petroleum)'!$V$9,'Assumptions (Petroleum)'!$V$4*Model!$M$2231*AVERAGE('Assumptions (Petroleum)'!$I$2:$K$2)/10^9),0)</f>
        <v>-2.7650781983571626E-2</v>
      </c>
      <c r="U2298" s="105">
        <f>IF($M$2231&gt;0,PPMT('Assumptions (Petroleum)'!$V$6,Model!AE$1,'Assumptions (Petroleum)'!$V$9,'Assumptions (Petroleum)'!$V$4*Model!$M$2231*AVERAGE('Assumptions (Petroleum)'!$I$2:$K$2)/10^9),0)</f>
        <v>-2.8964194127791276E-2</v>
      </c>
      <c r="V2298" s="105">
        <f>IF($M$2231&gt;0,PPMT('Assumptions (Petroleum)'!$V$6,Model!AF$1,'Assumptions (Petroleum)'!$V$9,'Assumptions (Petroleum)'!$V$4*Model!$M$2231*AVERAGE('Assumptions (Petroleum)'!$I$2:$K$2)/10^9),0)</f>
        <v>-3.0339993348861363E-2</v>
      </c>
      <c r="W2298" s="105">
        <f>IF($M$2231&gt;0,PPMT('Assumptions (Petroleum)'!$V$6,Model!AG$1,'Assumptions (Petroleum)'!$V$9,'Assumptions (Petroleum)'!$V$4*Model!$M$2231*AVERAGE('Assumptions (Petroleum)'!$I$2:$K$2)/10^9),0)</f>
        <v>-3.1781143032932287E-2</v>
      </c>
      <c r="X2298" s="105">
        <f>IF($M$2231&gt;0,PPMT('Assumptions (Petroleum)'!$V$6,Model!AH$1,'Assumptions (Petroleum)'!$V$9,'Assumptions (Petroleum)'!$V$4*Model!$M$2231*AVERAGE('Assumptions (Petroleum)'!$I$2:$K$2)/10^9),0)</f>
        <v>-3.3290747326996564E-2</v>
      </c>
      <c r="Y2298" s="105">
        <f>IF($M$2231&gt;0,PPMT('Assumptions (Petroleum)'!$V$6,Model!AI$1,'Assumptions (Petroleum)'!$V$9,'Assumptions (Petroleum)'!$V$4*Model!$M$2231*AVERAGE('Assumptions (Petroleum)'!$I$2:$K$2)/10^9),0)</f>
        <v>-3.4872057825028904E-2</v>
      </c>
      <c r="Z2298" s="105">
        <f>IF($M$2231&gt;0,PPMT('Assumptions (Petroleum)'!$V$6,Model!AJ$1,'Assumptions (Petroleum)'!$V$9,'Assumptions (Petroleum)'!$V$4*Model!$M$2231*AVERAGE('Assumptions (Petroleum)'!$I$2:$K$2)/10^9),0)</f>
        <v>-3.6528480571717772E-2</v>
      </c>
      <c r="AA2298" s="105">
        <f>IF($M$2231&gt;0,PPMT('Assumptions (Petroleum)'!$V$6,Model!AK$1,'Assumptions (Petroleum)'!$V$9,'Assumptions (Petroleum)'!$V$4*Model!$M$2231*AVERAGE('Assumptions (Petroleum)'!$I$2:$K$2)/10^9),0)</f>
        <v>-3.8263583398874368E-2</v>
      </c>
      <c r="AB2298" s="105" t="e">
        <f>IF($M$2231&gt;0,PPMT('Assumptions (Petroleum)'!$V$6,Model!AL$1,'Assumptions (Petroleum)'!$V$9,'Assumptions (Petroleum)'!$V$4*Model!$M$2231*AVERAGE('Assumptions (Petroleum)'!$I$2:$K$2)/10^9),0)</f>
        <v>#NUM!</v>
      </c>
      <c r="AC2298" s="105" t="e">
        <f>IF($M$2231&gt;0,PPMT('Assumptions (Petroleum)'!$V$6,Model!AM$1,'Assumptions (Petroleum)'!$V$9,'Assumptions (Petroleum)'!$V$4*Model!$M$2231*AVERAGE('Assumptions (Petroleum)'!$I$2:$K$2)/10^9),0)</f>
        <v>#NUM!</v>
      </c>
      <c r="AD2298" s="105" t="e">
        <f>IF($M$2231&gt;0,PPMT('Assumptions (Petroleum)'!$V$6,Model!AN$1,'Assumptions (Petroleum)'!$V$9,'Assumptions (Petroleum)'!$V$4*Model!$M$2231*AVERAGE('Assumptions (Petroleum)'!$I$2:$K$2)/10^9),0)</f>
        <v>#NUM!</v>
      </c>
      <c r="AE2298" s="105" t="e">
        <f>IF($M$2231&gt;0,PPMT('Assumptions (Petroleum)'!$V$6,Model!AO$1,'Assumptions (Petroleum)'!$V$9,'Assumptions (Petroleum)'!$V$4*Model!$M$2231*AVERAGE('Assumptions (Petroleum)'!$I$2:$K$2)/10^9),0)</f>
        <v>#NUM!</v>
      </c>
      <c r="AF2298" s="105" t="e">
        <f>IF($M$2231&gt;0,PPMT('Assumptions (Petroleum)'!$V$6,Model!AP$1,'Assumptions (Petroleum)'!$V$9,'Assumptions (Petroleum)'!$V$4*Model!$M$2231*AVERAGE('Assumptions (Petroleum)'!$I$2:$K$2)/10^9),0)</f>
        <v>#NUM!</v>
      </c>
      <c r="AG2298" s="105" t="e">
        <f>IF($M$2231&gt;0,PPMT('Assumptions (Petroleum)'!$V$6,Model!AQ$1,'Assumptions (Petroleum)'!$V$9,'Assumptions (Petroleum)'!$V$4*Model!$M$2231*AVERAGE('Assumptions (Petroleum)'!$I$2:$K$2)/10^9),0)</f>
        <v>#NUM!</v>
      </c>
      <c r="AH2298" s="105" t="e">
        <f>IF($M$2231&gt;0,PPMT('Assumptions (Petroleum)'!$V$6,Model!AR$1,'Assumptions (Petroleum)'!$V$9,'Assumptions (Petroleum)'!$V$4*Model!$M$2231*AVERAGE('Assumptions (Petroleum)'!$I$2:$K$2)/10^9),0)</f>
        <v>#NUM!</v>
      </c>
      <c r="AI2298" s="105" t="e">
        <f>IF($M$2231&gt;0,PPMT('Assumptions (Petroleum)'!$V$6,Model!AS$1,'Assumptions (Petroleum)'!$V$9,'Assumptions (Petroleum)'!$V$4*Model!$M$2231*AVERAGE('Assumptions (Petroleum)'!$I$2:$K$2)/10^9),0)</f>
        <v>#NUM!</v>
      </c>
      <c r="AJ2298" s="105" t="e">
        <f>IF($M$2231&gt;0,PPMT('Assumptions (Petroleum)'!$V$6,Model!AT$1,'Assumptions (Petroleum)'!$V$9,'Assumptions (Petroleum)'!$V$4*Model!$M$2231*AVERAGE('Assumptions (Petroleum)'!$I$2:$K$2)/10^9),0)</f>
        <v>#NUM!</v>
      </c>
      <c r="AK2298" s="105" t="e">
        <f>IF($M$2231&gt;0,PPMT('Assumptions (Petroleum)'!$V$6,Model!AU$1,'Assumptions (Petroleum)'!$V$9,'Assumptions (Petroleum)'!$V$4*Model!$M$2231*AVERAGE('Assumptions (Petroleum)'!$I$2:$K$2)/10^9),0)</f>
        <v>#NUM!</v>
      </c>
    </row>
    <row r="2299" spans="1:43" ht="15.75" hidden="1" customHeight="1" outlineLevel="1">
      <c r="A2299" s="447"/>
      <c r="B2299" s="99"/>
      <c r="C2299" s="105"/>
      <c r="D2299" s="105"/>
      <c r="E2299" s="105"/>
      <c r="F2299" s="105"/>
      <c r="G2299" s="105"/>
      <c r="H2299" s="105"/>
      <c r="I2299" s="105"/>
      <c r="J2299" s="105"/>
      <c r="K2299" s="105"/>
      <c r="L2299" s="105"/>
      <c r="M2299" s="105"/>
      <c r="N2299" s="91">
        <f>IF($N$2231&gt;0,PPMT('Assumptions (Petroleum)'!$V$6,Model!W$1,'Assumptions (Petroleum)'!$V$9,'Assumptions (Petroleum)'!$V$4*Model!$N$2231*AVERAGE('Assumptions (Petroleum)'!$J$2:$L$2)/10^9),0)</f>
        <v>-7.5598586767788266E-3</v>
      </c>
      <c r="O2299" s="91">
        <f>IF($N$2231&gt;0,PPMT('Assumptions (Petroleum)'!$V$6,Model!X$1,'Assumptions (Petroleum)'!$V$9,'Assumptions (Petroleum)'!$V$4*Model!$N$2231*AVERAGE('Assumptions (Petroleum)'!$J$2:$L$2)/10^9),0)</f>
        <v>-7.9189519639258216E-3</v>
      </c>
      <c r="P2299" s="91">
        <f>IF($N$2231&gt;0,PPMT('Assumptions (Petroleum)'!$V$6,Model!Y$1,'Assumptions (Petroleum)'!$V$9,'Assumptions (Petroleum)'!$V$4*Model!$N$2231*AVERAGE('Assumptions (Petroleum)'!$J$2:$L$2)/10^9),0)</f>
        <v>-8.2951021822122977E-3</v>
      </c>
      <c r="Q2299" s="91">
        <f>IF($N$2231&gt;0,PPMT('Assumptions (Petroleum)'!$V$6,Model!Z$1,'Assumptions (Petroleum)'!$V$9,'Assumptions (Petroleum)'!$V$4*Model!$N$2231*AVERAGE('Assumptions (Petroleum)'!$J$2:$L$2)/10^9),0)</f>
        <v>-8.6891195358673821E-3</v>
      </c>
      <c r="R2299" s="91">
        <f>IF($N$2231&gt;0,PPMT('Assumptions (Petroleum)'!$V$6,Model!AA$1,'Assumptions (Petroleum)'!$V$9,'Assumptions (Petroleum)'!$V$4*Model!$N$2231*AVERAGE('Assumptions (Petroleum)'!$J$2:$L$2)/10^9),0)</f>
        <v>-9.1018527138210809E-3</v>
      </c>
      <c r="S2299" s="91">
        <f>IF($N$2231&gt;0,PPMT('Assumptions (Petroleum)'!$V$6,Model!AB$1,'Assumptions (Petroleum)'!$V$9,'Assumptions (Petroleum)'!$V$4*Model!$N$2231*AVERAGE('Assumptions (Petroleum)'!$J$2:$L$2)/10^9),0)</f>
        <v>-9.5341907177275836E-3</v>
      </c>
      <c r="T2299" s="91">
        <f>IF($N$2231&gt;0,PPMT('Assumptions (Petroleum)'!$V$6,Model!AC$1,'Assumptions (Petroleum)'!$V$9,'Assumptions (Petroleum)'!$V$4*Model!$N$2231*AVERAGE('Assumptions (Petroleum)'!$J$2:$L$2)/10^9),0)</f>
        <v>-9.9870647768196437E-3</v>
      </c>
      <c r="U2299" s="91">
        <f>IF($N$2231&gt;0,PPMT('Assumptions (Petroleum)'!$V$6,Model!AD$1,'Assumptions (Petroleum)'!$V$9,'Assumptions (Petroleum)'!$V$4*Model!$N$2231*AVERAGE('Assumptions (Petroleum)'!$J$2:$L$2)/10^9),0)</f>
        <v>-1.0461450353718576E-2</v>
      </c>
      <c r="V2299" s="91">
        <f>IF($N$2231&gt;0,PPMT('Assumptions (Petroleum)'!$V$6,Model!AE$1,'Assumptions (Petroleum)'!$V$9,'Assumptions (Petroleum)'!$V$4*Model!$N$2231*AVERAGE('Assumptions (Petroleum)'!$J$2:$L$2)/10^9),0)</f>
        <v>-1.0958369245520207E-2</v>
      </c>
      <c r="W2299" s="91">
        <f>IF($N$2231&gt;0,PPMT('Assumptions (Petroleum)'!$V$6,Model!AF$1,'Assumptions (Petroleum)'!$V$9,'Assumptions (Petroleum)'!$V$4*Model!$N$2231*AVERAGE('Assumptions (Petroleum)'!$J$2:$L$2)/10^9),0)</f>
        <v>-1.1478891784682419E-2</v>
      </c>
      <c r="X2299" s="91">
        <f>IF($N$2231&gt;0,PPMT('Assumptions (Petroleum)'!$V$6,Model!AG$1,'Assumptions (Petroleum)'!$V$9,'Assumptions (Petroleum)'!$V$4*Model!$N$2231*AVERAGE('Assumptions (Petroleum)'!$J$2:$L$2)/10^9),0)</f>
        <v>-1.2024139144454835E-2</v>
      </c>
      <c r="Y2299" s="91">
        <f>IF($N$2231&gt;0,PPMT('Assumptions (Petroleum)'!$V$6,Model!AH$1,'Assumptions (Petroleum)'!$V$9,'Assumptions (Petroleum)'!$V$4*Model!$N$2231*AVERAGE('Assumptions (Petroleum)'!$J$2:$L$2)/10^9),0)</f>
        <v>-1.2595285753816439E-2</v>
      </c>
      <c r="Z2299" s="91">
        <f>IF($N$2231&gt;0,PPMT('Assumptions (Petroleum)'!$V$6,Model!AI$1,'Assumptions (Petroleum)'!$V$9,'Assumptions (Petroleum)'!$V$4*Model!$N$2231*AVERAGE('Assumptions (Petroleum)'!$J$2:$L$2)/10^9),0)</f>
        <v>-1.3193561827122719E-2</v>
      </c>
      <c r="AA2299" s="91">
        <f>IF($N$2231&gt;0,PPMT('Assumptions (Petroleum)'!$V$6,Model!AJ$1,'Assumptions (Petroleum)'!$V$9,'Assumptions (Petroleum)'!$V$4*Model!$N$2231*AVERAGE('Assumptions (Petroleum)'!$J$2:$L$2)/10^9),0)</f>
        <v>-1.3820256013911049E-2</v>
      </c>
      <c r="AB2299" s="91">
        <f>IF($N$2231&gt;0,PPMT('Assumptions (Petroleum)'!$V$6,Model!AK$1,'Assumptions (Petroleum)'!$V$9,'Assumptions (Petroleum)'!$V$4*Model!$N$2231*AVERAGE('Assumptions (Petroleum)'!$J$2:$L$2)/10^9),0)</f>
        <v>-1.4476718174571822E-2</v>
      </c>
      <c r="AC2299" s="91" t="e">
        <f>IF($N$2231&gt;0,PPMT('Assumptions (Petroleum)'!$V$6,Model!AL$1,'Assumptions (Petroleum)'!$V$9,'Assumptions (Petroleum)'!$V$4*Model!$N$2231*AVERAGE('Assumptions (Petroleum)'!$J$2:$L$2)/10^9),0)</f>
        <v>#NUM!</v>
      </c>
      <c r="AD2299" s="91" t="e">
        <f>IF($N$2231&gt;0,PPMT('Assumptions (Petroleum)'!$V$6,Model!AM$1,'Assumptions (Petroleum)'!$V$9,'Assumptions (Petroleum)'!$V$4*Model!$N$2231*AVERAGE('Assumptions (Petroleum)'!$J$2:$L$2)/10^9),0)</f>
        <v>#NUM!</v>
      </c>
      <c r="AE2299" s="91" t="e">
        <f>IF($N$2231&gt;0,PPMT('Assumptions (Petroleum)'!$V$6,Model!AN$1,'Assumptions (Petroleum)'!$V$9,'Assumptions (Petroleum)'!$V$4*Model!$N$2231*AVERAGE('Assumptions (Petroleum)'!$J$2:$L$2)/10^9),0)</f>
        <v>#NUM!</v>
      </c>
      <c r="AF2299" s="91" t="e">
        <f>IF($N$2231&gt;0,PPMT('Assumptions (Petroleum)'!$V$6,Model!AO$1,'Assumptions (Petroleum)'!$V$9,'Assumptions (Petroleum)'!$V$4*Model!$N$2231*AVERAGE('Assumptions (Petroleum)'!$J$2:$L$2)/10^9),0)</f>
        <v>#NUM!</v>
      </c>
      <c r="AG2299" s="91" t="e">
        <f>IF($N$2231&gt;0,PPMT('Assumptions (Petroleum)'!$V$6,Model!AP$1,'Assumptions (Petroleum)'!$V$9,'Assumptions (Petroleum)'!$V$4*Model!$N$2231*AVERAGE('Assumptions (Petroleum)'!$J$2:$L$2)/10^9),0)</f>
        <v>#NUM!</v>
      </c>
      <c r="AH2299" s="91" t="e">
        <f>IF($N$2231&gt;0,PPMT('Assumptions (Petroleum)'!$V$6,Model!AQ$1,'Assumptions (Petroleum)'!$V$9,'Assumptions (Petroleum)'!$V$4*Model!$N$2231*AVERAGE('Assumptions (Petroleum)'!$J$2:$L$2)/10^9),0)</f>
        <v>#NUM!</v>
      </c>
      <c r="AI2299" s="91" t="e">
        <f>IF($N$2231&gt;0,PPMT('Assumptions (Petroleum)'!$V$6,Model!AR$1,'Assumptions (Petroleum)'!$V$9,'Assumptions (Petroleum)'!$V$4*Model!$N$2231*AVERAGE('Assumptions (Petroleum)'!$J$2:$L$2)/10^9),0)</f>
        <v>#NUM!</v>
      </c>
      <c r="AJ2299" s="91" t="e">
        <f>IF($N$2231&gt;0,PPMT('Assumptions (Petroleum)'!$V$6,Model!AS$1,'Assumptions (Petroleum)'!$V$9,'Assumptions (Petroleum)'!$V$4*Model!$N$2231*AVERAGE('Assumptions (Petroleum)'!$J$2:$L$2)/10^9),0)</f>
        <v>#NUM!</v>
      </c>
      <c r="AK2299" s="91" t="e">
        <f>IF($N$2231&gt;0,PPMT('Assumptions (Petroleum)'!$V$6,Model!AT$1,'Assumptions (Petroleum)'!$V$9,'Assumptions (Petroleum)'!$V$4*Model!$N$2231*AVERAGE('Assumptions (Petroleum)'!$J$2:$L$2)/10^9),0)</f>
        <v>#NUM!</v>
      </c>
      <c r="AL2299" s="91" t="e">
        <f>IF($N$2231&gt;0,PPMT('Assumptions (Petroleum)'!$V$6,Model!AU$1,'Assumptions (Petroleum)'!$V$9,'Assumptions (Petroleum)'!$V$4*Model!$N$2231*AVERAGE('Assumptions (Petroleum)'!$J$2:$L$2)/10^9),0)</f>
        <v>#NUM!</v>
      </c>
    </row>
    <row r="2300" spans="1:43" ht="15.75" hidden="1" customHeight="1" outlineLevel="1">
      <c r="A2300" s="447"/>
      <c r="B2300" s="99"/>
      <c r="C2300" s="105"/>
      <c r="D2300" s="105"/>
      <c r="E2300" s="105"/>
      <c r="F2300" s="105"/>
      <c r="G2300" s="105"/>
      <c r="H2300" s="105"/>
      <c r="I2300" s="105"/>
      <c r="J2300" s="105"/>
      <c r="K2300" s="105"/>
      <c r="L2300" s="105"/>
      <c r="M2300" s="105"/>
      <c r="N2300" s="105"/>
      <c r="O2300" s="105">
        <f>IF($O$2231&gt;0,PPMT('Assumptions (Petroleum)'!$V$6,Model!W$1,'Assumptions (Petroleum)'!$V$9,'Assumptions (Petroleum)'!$V$4*Model!$O$2231*AVERAGE('Assumptions (Petroleum)'!$K$2:$M$2)/10^9),0)</f>
        <v>-4.3303353901854415E-3</v>
      </c>
      <c r="P2300" s="105">
        <f>IF($O$2231&gt;0,PPMT('Assumptions (Petroleum)'!$V$6,Model!X$1,'Assumptions (Petroleum)'!$V$9,'Assumptions (Petroleum)'!$V$4*Model!$O$2231*AVERAGE('Assumptions (Petroleum)'!$K$2:$M$2)/10^9),0)</f>
        <v>-4.5360263212192494E-3</v>
      </c>
      <c r="Q2300" s="105">
        <f>IF($O$2231&gt;0,PPMT('Assumptions (Petroleum)'!$V$6,Model!Y$1,'Assumptions (Petroleum)'!$V$9,'Assumptions (Petroleum)'!$V$4*Model!$O$2231*AVERAGE('Assumptions (Petroleum)'!$K$2:$M$2)/10^9),0)</f>
        <v>-4.7514875714771638E-3</v>
      </c>
      <c r="R2300" s="105">
        <f>IF($O$2231&gt;0,PPMT('Assumptions (Petroleum)'!$V$6,Model!Z$1,'Assumptions (Petroleum)'!$V$9,'Assumptions (Petroleum)'!$V$4*Model!$O$2231*AVERAGE('Assumptions (Petroleum)'!$K$2:$M$2)/10^9),0)</f>
        <v>-4.9771832311223292E-3</v>
      </c>
      <c r="S2300" s="105">
        <f>IF($O$2231&gt;0,PPMT('Assumptions (Petroleum)'!$V$6,Model!AA$1,'Assumptions (Petroleum)'!$V$9,'Assumptions (Petroleum)'!$V$4*Model!$O$2231*AVERAGE('Assumptions (Petroleum)'!$K$2:$M$2)/10^9),0)</f>
        <v>-5.2135994346006395E-3</v>
      </c>
      <c r="T2300" s="105">
        <f>IF($O$2231&gt;0,PPMT('Assumptions (Petroleum)'!$V$6,Model!AB$1,'Assumptions (Petroleum)'!$V$9,'Assumptions (Petroleum)'!$V$4*Model!$O$2231*AVERAGE('Assumptions (Petroleum)'!$K$2:$M$2)/10^9),0)</f>
        <v>-5.46124540774417E-3</v>
      </c>
      <c r="U2300" s="105">
        <f>IF($O$2231&gt;0,PPMT('Assumptions (Petroleum)'!$V$6,Model!AC$1,'Assumptions (Petroleum)'!$V$9,'Assumptions (Petroleum)'!$V$4*Model!$O$2231*AVERAGE('Assumptions (Petroleum)'!$K$2:$M$2)/10^9),0)</f>
        <v>-5.720654564612019E-3</v>
      </c>
      <c r="V2300" s="105">
        <f>IF($O$2231&gt;0,PPMT('Assumptions (Petroleum)'!$V$6,Model!AD$1,'Assumptions (Petroleum)'!$V$9,'Assumptions (Petroleum)'!$V$4*Model!$O$2231*AVERAGE('Assumptions (Petroleum)'!$K$2:$M$2)/10^9),0)</f>
        <v>-5.9923856564310886E-3</v>
      </c>
      <c r="W2300" s="105">
        <f>IF($O$2231&gt;0,PPMT('Assumptions (Petroleum)'!$V$6,Model!AE$1,'Assumptions (Petroleum)'!$V$9,'Assumptions (Petroleum)'!$V$4*Model!$O$2231*AVERAGE('Assumptions (Petroleum)'!$K$2:$M$2)/10^9),0)</f>
        <v>-6.2770239751115658E-3</v>
      </c>
      <c r="X2300" s="105">
        <f>IF($O$2231&gt;0,PPMT('Assumptions (Petroleum)'!$V$6,Model!AF$1,'Assumptions (Petroleum)'!$V$9,'Assumptions (Petroleum)'!$V$4*Model!$O$2231*AVERAGE('Assumptions (Petroleum)'!$K$2:$M$2)/10^9),0)</f>
        <v>-6.5751826139293654E-3</v>
      </c>
      <c r="Y2300" s="105">
        <f>IF($O$2231&gt;0,PPMT('Assumptions (Petroleum)'!$V$6,Model!AG$1,'Assumptions (Petroleum)'!$V$9,'Assumptions (Petroleum)'!$V$4*Model!$O$2231*AVERAGE('Assumptions (Petroleum)'!$K$2:$M$2)/10^9),0)</f>
        <v>-6.8875037880910114E-3</v>
      </c>
      <c r="Z2300" s="105">
        <f>IF($O$2231&gt;0,PPMT('Assumptions (Petroleum)'!$V$6,Model!AH$1,'Assumptions (Petroleum)'!$V$9,'Assumptions (Petroleum)'!$V$4*Model!$O$2231*AVERAGE('Assumptions (Petroleum)'!$K$2:$M$2)/10^9),0)</f>
        <v>-7.2146602180253334E-3</v>
      </c>
      <c r="AA2300" s="105">
        <f>IF($O$2231&gt;0,PPMT('Assumptions (Petroleum)'!$V$6,Model!AI$1,'Assumptions (Petroleum)'!$V$9,'Assumptions (Petroleum)'!$V$4*Model!$O$2231*AVERAGE('Assumptions (Petroleum)'!$K$2:$M$2)/10^9),0)</f>
        <v>-7.5573565783815366E-3</v>
      </c>
      <c r="AB2300" s="105">
        <f>IF($O$2231&gt;0,PPMT('Assumptions (Petroleum)'!$V$6,Model!AJ$1,'Assumptions (Petroleum)'!$V$9,'Assumptions (Petroleum)'!$V$4*Model!$O$2231*AVERAGE('Assumptions (Petroleum)'!$K$2:$M$2)/10^9),0)</f>
        <v>-7.91633101585466E-3</v>
      </c>
      <c r="AC2300" s="105">
        <f>IF($O$2231&gt;0,PPMT('Assumptions (Petroleum)'!$V$6,Model!AK$1,'Assumptions (Petroleum)'!$V$9,'Assumptions (Petroleum)'!$V$4*Model!$O$2231*AVERAGE('Assumptions (Petroleum)'!$K$2:$M$2)/10^9),0)</f>
        <v>-8.2923567391077549E-3</v>
      </c>
      <c r="AD2300" s="105" t="e">
        <f>IF($O$2231&gt;0,PPMT('Assumptions (Petroleum)'!$V$6,Model!AL$1,'Assumptions (Petroleum)'!$V$9,'Assumptions (Petroleum)'!$V$4*Model!$O$2231*AVERAGE('Assumptions (Petroleum)'!$K$2:$M$2)/10^9),0)</f>
        <v>#NUM!</v>
      </c>
      <c r="AE2300" s="105" t="e">
        <f>IF($O$2231&gt;0,PPMT('Assumptions (Petroleum)'!$V$6,Model!AM$1,'Assumptions (Petroleum)'!$V$9,'Assumptions (Petroleum)'!$V$4*Model!$O$2231*AVERAGE('Assumptions (Petroleum)'!$K$2:$M$2)/10^9),0)</f>
        <v>#NUM!</v>
      </c>
      <c r="AF2300" s="105" t="e">
        <f>IF($O$2231&gt;0,PPMT('Assumptions (Petroleum)'!$V$6,Model!AN$1,'Assumptions (Petroleum)'!$V$9,'Assumptions (Petroleum)'!$V$4*Model!$O$2231*AVERAGE('Assumptions (Petroleum)'!$K$2:$M$2)/10^9),0)</f>
        <v>#NUM!</v>
      </c>
      <c r="AG2300" s="105" t="e">
        <f>IF($O$2231&gt;0,PPMT('Assumptions (Petroleum)'!$V$6,Model!AO$1,'Assumptions (Petroleum)'!$V$9,'Assumptions (Petroleum)'!$V$4*Model!$O$2231*AVERAGE('Assumptions (Petroleum)'!$K$2:$M$2)/10^9),0)</f>
        <v>#NUM!</v>
      </c>
      <c r="AH2300" s="105" t="e">
        <f>IF($O$2231&gt;0,PPMT('Assumptions (Petroleum)'!$V$6,Model!AP$1,'Assumptions (Petroleum)'!$V$9,'Assumptions (Petroleum)'!$V$4*Model!$O$2231*AVERAGE('Assumptions (Petroleum)'!$K$2:$M$2)/10^9),0)</f>
        <v>#NUM!</v>
      </c>
      <c r="AI2300" s="105" t="e">
        <f>IF($O$2231&gt;0,PPMT('Assumptions (Petroleum)'!$V$6,Model!AQ$1,'Assumptions (Petroleum)'!$V$9,'Assumptions (Petroleum)'!$V$4*Model!$O$2231*AVERAGE('Assumptions (Petroleum)'!$K$2:$M$2)/10^9),0)</f>
        <v>#NUM!</v>
      </c>
      <c r="AJ2300" s="105" t="e">
        <f>IF($O$2231&gt;0,PPMT('Assumptions (Petroleum)'!$V$6,Model!AR$1,'Assumptions (Petroleum)'!$V$9,'Assumptions (Petroleum)'!$V$4*Model!$O$2231*AVERAGE('Assumptions (Petroleum)'!$K$2:$M$2)/10^9),0)</f>
        <v>#NUM!</v>
      </c>
      <c r="AK2300" s="105" t="e">
        <f>IF($O$2231&gt;0,PPMT('Assumptions (Petroleum)'!$V$6,Model!AS$1,'Assumptions (Petroleum)'!$V$9,'Assumptions (Petroleum)'!$V$4*Model!$O$2231*AVERAGE('Assumptions (Petroleum)'!$K$2:$M$2)/10^9),0)</f>
        <v>#NUM!</v>
      </c>
      <c r="AL2300" s="105" t="e">
        <f>IF($O$2231&gt;0,PPMT('Assumptions (Petroleum)'!$V$6,Model!AT$1,'Assumptions (Petroleum)'!$V$9,'Assumptions (Petroleum)'!$V$4*Model!$O$2231*AVERAGE('Assumptions (Petroleum)'!$K$2:$M$2)/10^9),0)</f>
        <v>#NUM!</v>
      </c>
      <c r="AM2300" s="105" t="e">
        <f>IF($O$2231&gt;0,PPMT('Assumptions (Petroleum)'!$V$6,Model!AU$1,'Assumptions (Petroleum)'!$V$9,'Assumptions (Petroleum)'!$V$4*Model!$O$2231*AVERAGE('Assumptions (Petroleum)'!$K$2:$M$2)/10^9),0)</f>
        <v>#NUM!</v>
      </c>
    </row>
    <row r="2301" spans="1:43" ht="15.75" hidden="1" customHeight="1" outlineLevel="1">
      <c r="A2301" s="447"/>
      <c r="B2301" s="99"/>
      <c r="C2301" s="105"/>
      <c r="D2301" s="105"/>
      <c r="E2301" s="105"/>
      <c r="F2301" s="105"/>
      <c r="G2301" s="105"/>
      <c r="H2301" s="105"/>
      <c r="I2301" s="105"/>
      <c r="J2301" s="105"/>
      <c r="K2301" s="105"/>
      <c r="L2301" s="105"/>
      <c r="M2301" s="105"/>
      <c r="N2301" s="105"/>
      <c r="O2301" s="105"/>
      <c r="P2301" s="91">
        <f>IF($P$2231&gt;0,PPMT('Assumptions (Petroleum)'!$V$6,Model!W$1,'Assumptions (Petroleum)'!$V$9,'Assumptions (Petroleum)'!$V$4*Model!$P$2231*AVERAGE('Assumptions (Petroleum)'!$L$2:$N$2)/10^9),0)</f>
        <v>-1.3388200876878027E-3</v>
      </c>
      <c r="Q2301" s="91">
        <f>IF($P$2231&gt;0,PPMT('Assumptions (Petroleum)'!$V$6,Model!X$1,'Assumptions (Petroleum)'!$V$9,'Assumptions (Petroleum)'!$V$4*Model!$P$2231*AVERAGE('Assumptions (Petroleum)'!$L$2:$N$2)/10^9),0)</f>
        <v>-1.4024140418529734E-3</v>
      </c>
      <c r="R2301" s="91">
        <f>IF($P$2231&gt;0,PPMT('Assumptions (Petroleum)'!$V$6,Model!Y$1,'Assumptions (Petroleum)'!$V$9,'Assumptions (Petroleum)'!$V$4*Model!$P$2231*AVERAGE('Assumptions (Petroleum)'!$L$2:$N$2)/10^9),0)</f>
        <v>-1.4690287088409896E-3</v>
      </c>
      <c r="S2301" s="91">
        <f>IF($P$2231&gt;0,PPMT('Assumptions (Petroleum)'!$V$6,Model!Z$1,'Assumptions (Petroleum)'!$V$9,'Assumptions (Petroleum)'!$V$4*Model!$P$2231*AVERAGE('Assumptions (Petroleum)'!$L$2:$N$2)/10^9),0)</f>
        <v>-1.5388075725109363E-3</v>
      </c>
      <c r="T2301" s="91">
        <f>IF($P$2231&gt;0,PPMT('Assumptions (Petroleum)'!$V$6,Model!AA$1,'Assumptions (Petroleum)'!$V$9,'Assumptions (Petroleum)'!$V$4*Model!$P$2231*AVERAGE('Assumptions (Petroleum)'!$L$2:$N$2)/10^9),0)</f>
        <v>-1.6119009322052059E-3</v>
      </c>
      <c r="U2301" s="91">
        <f>IF($P$2231&gt;0,PPMT('Assumptions (Petroleum)'!$V$6,Model!AB$1,'Assumptions (Petroleum)'!$V$9,'Assumptions (Petroleum)'!$V$4*Model!$P$2231*AVERAGE('Assumptions (Petroleum)'!$L$2:$N$2)/10^9),0)</f>
        <v>-1.6884662264849532E-3</v>
      </c>
      <c r="V2301" s="91">
        <f>IF($P$2231&gt;0,PPMT('Assumptions (Petroleum)'!$V$6,Model!AC$1,'Assumptions (Petroleum)'!$V$9,'Assumptions (Petroleum)'!$V$4*Model!$P$2231*AVERAGE('Assumptions (Petroleum)'!$L$2:$N$2)/10^9),0)</f>
        <v>-1.7686683722429888E-3</v>
      </c>
      <c r="W2301" s="91">
        <f>IF($P$2231&gt;0,PPMT('Assumptions (Petroleum)'!$V$6,Model!AD$1,'Assumptions (Petroleum)'!$V$9,'Assumptions (Petroleum)'!$V$4*Model!$P$2231*AVERAGE('Assumptions (Petroleum)'!$L$2:$N$2)/10^9),0)</f>
        <v>-1.8526801199245306E-3</v>
      </c>
      <c r="X2301" s="91">
        <f>IF($P$2231&gt;0,PPMT('Assumptions (Petroleum)'!$V$6,Model!AE$1,'Assumptions (Petroleum)'!$V$9,'Assumptions (Petroleum)'!$V$4*Model!$P$2231*AVERAGE('Assumptions (Petroleum)'!$L$2:$N$2)/10^9),0)</f>
        <v>-1.9406824256209454E-3</v>
      </c>
      <c r="Y2301" s="91">
        <f>IF($P$2231&gt;0,PPMT('Assumptions (Petroleum)'!$V$6,Model!AF$1,'Assumptions (Petroleum)'!$V$9,'Assumptions (Petroleum)'!$V$4*Model!$P$2231*AVERAGE('Assumptions (Petroleum)'!$L$2:$N$2)/10^9),0)</f>
        <v>-2.0328648408379406E-3</v>
      </c>
      <c r="Z2301" s="91">
        <f>IF($P$2231&gt;0,PPMT('Assumptions (Petroleum)'!$V$6,Model!AG$1,'Assumptions (Petroleum)'!$V$9,'Assumptions (Petroleum)'!$V$4*Model!$P$2231*AVERAGE('Assumptions (Petroleum)'!$L$2:$N$2)/10^9),0)</f>
        <v>-2.129425920777743E-3</v>
      </c>
      <c r="AA2301" s="91">
        <f>IF($P$2231&gt;0,PPMT('Assumptions (Petroleum)'!$V$6,Model!AH$1,'Assumptions (Petroleum)'!$V$9,'Assumptions (Petroleum)'!$V$4*Model!$P$2231*AVERAGE('Assumptions (Petroleum)'!$L$2:$N$2)/10^9),0)</f>
        <v>-2.2305736520146857E-3</v>
      </c>
      <c r="AB2301" s="91">
        <f>IF($P$2231&gt;0,PPMT('Assumptions (Petroleum)'!$V$6,Model!AI$1,'Assumptions (Petroleum)'!$V$9,'Assumptions (Petroleum)'!$V$4*Model!$P$2231*AVERAGE('Assumptions (Petroleum)'!$L$2:$N$2)/10^9),0)</f>
        <v>-2.3365259004853836E-3</v>
      </c>
      <c r="AC2301" s="91">
        <f>IF($P$2231&gt;0,PPMT('Assumptions (Petroleum)'!$V$6,Model!AJ$1,'Assumptions (Petroleum)'!$V$9,'Assumptions (Petroleum)'!$V$4*Model!$P$2231*AVERAGE('Assumptions (Petroleum)'!$L$2:$N$2)/10^9),0)</f>
        <v>-2.4475108807584388E-3</v>
      </c>
      <c r="AD2301" s="91">
        <f>IF($P$2231&gt;0,PPMT('Assumptions (Petroleum)'!$V$6,Model!AK$1,'Assumptions (Petroleum)'!$V$9,'Assumptions (Petroleum)'!$V$4*Model!$P$2231*AVERAGE('Assumptions (Petroleum)'!$L$2:$N$2)/10^9),0)</f>
        <v>-2.5637676475944648E-3</v>
      </c>
      <c r="AE2301" s="91" t="e">
        <f>IF($P$2231&gt;0,PPMT('Assumptions (Petroleum)'!$V$6,Model!AL$1,'Assumptions (Petroleum)'!$V$9,'Assumptions (Petroleum)'!$V$4*Model!$P$2231*AVERAGE('Assumptions (Petroleum)'!$L$2:$N$2)/10^9),0)</f>
        <v>#NUM!</v>
      </c>
      <c r="AF2301" s="91" t="e">
        <f>IF($P$2231&gt;0,PPMT('Assumptions (Petroleum)'!$V$6,Model!AM$1,'Assumptions (Petroleum)'!$V$9,'Assumptions (Petroleum)'!$V$4*Model!$P$2231*AVERAGE('Assumptions (Petroleum)'!$L$2:$N$2)/10^9),0)</f>
        <v>#NUM!</v>
      </c>
      <c r="AG2301" s="91" t="e">
        <f>IF($P$2231&gt;0,PPMT('Assumptions (Petroleum)'!$V$6,Model!AN$1,'Assumptions (Petroleum)'!$V$9,'Assumptions (Petroleum)'!$V$4*Model!$P$2231*AVERAGE('Assumptions (Petroleum)'!$L$2:$N$2)/10^9),0)</f>
        <v>#NUM!</v>
      </c>
      <c r="AH2301" s="91" t="e">
        <f>IF($P$2231&gt;0,PPMT('Assumptions (Petroleum)'!$V$6,Model!AO$1,'Assumptions (Petroleum)'!$V$9,'Assumptions (Petroleum)'!$V$4*Model!$P$2231*AVERAGE('Assumptions (Petroleum)'!$L$2:$N$2)/10^9),0)</f>
        <v>#NUM!</v>
      </c>
      <c r="AI2301" s="91" t="e">
        <f>IF($P$2231&gt;0,PPMT('Assumptions (Petroleum)'!$V$6,Model!AP$1,'Assumptions (Petroleum)'!$V$9,'Assumptions (Petroleum)'!$V$4*Model!$P$2231*AVERAGE('Assumptions (Petroleum)'!$L$2:$N$2)/10^9),0)</f>
        <v>#NUM!</v>
      </c>
      <c r="AJ2301" s="91" t="e">
        <f>IF($P$2231&gt;0,PPMT('Assumptions (Petroleum)'!$V$6,Model!AQ$1,'Assumptions (Petroleum)'!$V$9,'Assumptions (Petroleum)'!$V$4*Model!$P$2231*AVERAGE('Assumptions (Petroleum)'!$L$2:$N$2)/10^9),0)</f>
        <v>#NUM!</v>
      </c>
      <c r="AK2301" s="91" t="e">
        <f>IF($P$2231&gt;0,PPMT('Assumptions (Petroleum)'!$V$6,Model!AR$1,'Assumptions (Petroleum)'!$V$9,'Assumptions (Petroleum)'!$V$4*Model!$P$2231*AVERAGE('Assumptions (Petroleum)'!$L$2:$N$2)/10^9),0)</f>
        <v>#NUM!</v>
      </c>
      <c r="AL2301" s="91" t="e">
        <f>IF($P$2231&gt;0,PPMT('Assumptions (Petroleum)'!$V$6,Model!AS$1,'Assumptions (Petroleum)'!$V$9,'Assumptions (Petroleum)'!$V$4*Model!$P$2231*AVERAGE('Assumptions (Petroleum)'!$L$2:$N$2)/10^9),0)</f>
        <v>#NUM!</v>
      </c>
      <c r="AM2301" s="91" t="e">
        <f>IF($P$2231&gt;0,PPMT('Assumptions (Petroleum)'!$V$6,Model!AT$1,'Assumptions (Petroleum)'!$V$9,'Assumptions (Petroleum)'!$V$4*Model!$P$2231*AVERAGE('Assumptions (Petroleum)'!$L$2:$N$2)/10^9),0)</f>
        <v>#NUM!</v>
      </c>
      <c r="AN2301" s="91" t="e">
        <f>IF($P$2231&gt;0,PPMT('Assumptions (Petroleum)'!$V$6,Model!AU$1,'Assumptions (Petroleum)'!$V$9,'Assumptions (Petroleum)'!$V$4*Model!$P$2231*AVERAGE('Assumptions (Petroleum)'!$L$2:$N$2)/10^9),0)</f>
        <v>#NUM!</v>
      </c>
    </row>
    <row r="2302" spans="1:43" ht="15.75" hidden="1" customHeight="1" outlineLevel="1">
      <c r="A2302" s="447"/>
      <c r="B2302" s="99"/>
      <c r="C2302" s="105"/>
      <c r="D2302" s="105"/>
      <c r="E2302" s="105"/>
      <c r="F2302" s="105"/>
      <c r="G2302" s="105"/>
      <c r="H2302" s="105"/>
      <c r="I2302" s="105"/>
      <c r="J2302" s="105"/>
      <c r="K2302" s="105"/>
      <c r="L2302" s="105"/>
      <c r="M2302" s="105"/>
      <c r="N2302" s="105"/>
      <c r="O2302" s="105"/>
      <c r="P2302" s="171"/>
      <c r="Q2302" s="105">
        <f>IF($Q$2231&gt;0,PPMT('Assumptions (Petroleum)'!$V$6,Model!W$1,'Assumptions (Petroleum)'!$V$9,'Assumptions (Petroleum)'!$V$4*Model!$Q$2231*AVERAGE('Assumptions (Petroleum)'!$M$2:$O$2)/10^9),0)</f>
        <v>-1.1684756048786903E-3</v>
      </c>
      <c r="R2302" s="105">
        <f>IF($Q$2231&gt;0,PPMT('Assumptions (Petroleum)'!$V$6,Model!X$1,'Assumptions (Petroleum)'!$V$9,'Assumptions (Petroleum)'!$V$4*Model!$Q$2231*AVERAGE('Assumptions (Petroleum)'!$M$2:$O$2)/10^9),0)</f>
        <v>-1.2239781961104282E-3</v>
      </c>
      <c r="S2302" s="105">
        <f>IF($Q$2231&gt;0,PPMT('Assumptions (Petroleum)'!$V$6,Model!Y$1,'Assumptions (Petroleum)'!$V$9,'Assumptions (Petroleum)'!$V$4*Model!$Q$2231*AVERAGE('Assumptions (Petroleum)'!$M$2:$O$2)/10^9),0)</f>
        <v>-1.2821171604256735E-3</v>
      </c>
      <c r="T2302" s="105">
        <f>IF($Q$2231&gt;0,PPMT('Assumptions (Petroleum)'!$V$6,Model!Z$1,'Assumptions (Petroleum)'!$V$9,'Assumptions (Petroleum)'!$V$4*Model!$Q$2231*AVERAGE('Assumptions (Petroleum)'!$M$2:$O$2)/10^9),0)</f>
        <v>-1.3430177255458931E-3</v>
      </c>
      <c r="U2302" s="105">
        <f>IF($Q$2231&gt;0,PPMT('Assumptions (Petroleum)'!$V$6,Model!AA$1,'Assumptions (Petroleum)'!$V$9,'Assumptions (Petroleum)'!$V$4*Model!$Q$2231*AVERAGE('Assumptions (Petroleum)'!$M$2:$O$2)/10^9),0)</f>
        <v>-1.4068110675093228E-3</v>
      </c>
      <c r="V2302" s="105">
        <f>IF($Q$2231&gt;0,PPMT('Assumptions (Petroleum)'!$V$6,Model!AB$1,'Assumptions (Petroleum)'!$V$9,'Assumptions (Petroleum)'!$V$4*Model!$Q$2231*AVERAGE('Assumptions (Petroleum)'!$M$2:$O$2)/10^9),0)</f>
        <v>-1.4736345932160157E-3</v>
      </c>
      <c r="W2302" s="105">
        <f>IF($Q$2231&gt;0,PPMT('Assumptions (Petroleum)'!$V$6,Model!AC$1,'Assumptions (Petroleum)'!$V$9,'Assumptions (Petroleum)'!$V$4*Model!$Q$2231*AVERAGE('Assumptions (Petroleum)'!$M$2:$O$2)/10^9),0)</f>
        <v>-1.5436322363937766E-3</v>
      </c>
      <c r="X2302" s="105">
        <f>IF($Q$2231&gt;0,PPMT('Assumptions (Petroleum)'!$V$6,Model!AD$1,'Assumptions (Petroleum)'!$V$9,'Assumptions (Petroleum)'!$V$4*Model!$Q$2231*AVERAGE('Assumptions (Petroleum)'!$M$2:$O$2)/10^9),0)</f>
        <v>-1.6169547676224809E-3</v>
      </c>
      <c r="Y2302" s="105">
        <f>IF($Q$2231&gt;0,PPMT('Assumptions (Petroleum)'!$V$6,Model!AE$1,'Assumptions (Petroleum)'!$V$9,'Assumptions (Petroleum)'!$V$4*Model!$Q$2231*AVERAGE('Assumptions (Petroleum)'!$M$2:$O$2)/10^9),0)</f>
        <v>-1.6937601190845485E-3</v>
      </c>
      <c r="Z2302" s="105">
        <f>IF($Q$2231&gt;0,PPMT('Assumptions (Petroleum)'!$V$6,Model!AF$1,'Assumptions (Petroleum)'!$V$9,'Assumptions (Petroleum)'!$V$4*Model!$Q$2231*AVERAGE('Assumptions (Petroleum)'!$M$2:$O$2)/10^9),0)</f>
        <v>-1.7742137247410646E-3</v>
      </c>
      <c r="AA2302" s="105">
        <f>IF($Q$2231&gt;0,PPMT('Assumptions (Petroleum)'!$V$6,Model!AG$1,'Assumptions (Petroleum)'!$V$9,'Assumptions (Petroleum)'!$V$4*Model!$Q$2231*AVERAGE('Assumptions (Petroleum)'!$M$2:$O$2)/10^9),0)</f>
        <v>-1.8584888766662656E-3</v>
      </c>
      <c r="AB2302" s="105">
        <f>IF($Q$2231&gt;0,PPMT('Assumptions (Petroleum)'!$V$6,Model!AH$1,'Assumptions (Petroleum)'!$V$9,'Assumptions (Petroleum)'!$V$4*Model!$Q$2231*AVERAGE('Assumptions (Petroleum)'!$M$2:$O$2)/10^9),0)</f>
        <v>-1.9467670983079131E-3</v>
      </c>
      <c r="AC2302" s="105">
        <f>IF($Q$2231&gt;0,PPMT('Assumptions (Petroleum)'!$V$6,Model!AI$1,'Assumptions (Petroleum)'!$V$9,'Assumptions (Petroleum)'!$V$4*Model!$Q$2231*AVERAGE('Assumptions (Petroleum)'!$M$2:$O$2)/10^9),0)</f>
        <v>-2.0392385354775391E-3</v>
      </c>
      <c r="AD2302" s="105">
        <f>IF($Q$2231&gt;0,PPMT('Assumptions (Petroleum)'!$V$6,Model!AJ$1,'Assumptions (Petroleum)'!$V$9,'Assumptions (Petroleum)'!$V$4*Model!$Q$2231*AVERAGE('Assumptions (Petroleum)'!$M$2:$O$2)/10^9),0)</f>
        <v>-2.136102365912722E-3</v>
      </c>
      <c r="AE2302" s="105">
        <f>IF($Q$2231&gt;0,PPMT('Assumptions (Petroleum)'!$V$6,Model!AK$1,'Assumptions (Petroleum)'!$V$9,'Assumptions (Petroleum)'!$V$4*Model!$Q$2231*AVERAGE('Assumptions (Petroleum)'!$M$2:$O$2)/10^9),0)</f>
        <v>-2.2375672282935761E-3</v>
      </c>
      <c r="AF2302" s="105" t="e">
        <f>IF($Q$2231&gt;0,PPMT('Assumptions (Petroleum)'!$V$6,Model!AL$1,'Assumptions (Petroleum)'!$V$9,'Assumptions (Petroleum)'!$V$4*Model!$Q$2231*AVERAGE('Assumptions (Petroleum)'!$M$2:$O$2)/10^9),0)</f>
        <v>#NUM!</v>
      </c>
      <c r="AG2302" s="105" t="e">
        <f>IF($Q$2231&gt;0,PPMT('Assumptions (Petroleum)'!$V$6,Model!AM$1,'Assumptions (Petroleum)'!$V$9,'Assumptions (Petroleum)'!$V$4*Model!$Q$2231*AVERAGE('Assumptions (Petroleum)'!$M$2:$O$2)/10^9),0)</f>
        <v>#NUM!</v>
      </c>
      <c r="AH2302" s="105" t="e">
        <f>IF($Q$2231&gt;0,PPMT('Assumptions (Petroleum)'!$V$6,Model!AN$1,'Assumptions (Petroleum)'!$V$9,'Assumptions (Petroleum)'!$V$4*Model!$Q$2231*AVERAGE('Assumptions (Petroleum)'!$M$2:$O$2)/10^9),0)</f>
        <v>#NUM!</v>
      </c>
      <c r="AI2302" s="105" t="e">
        <f>IF($Q$2231&gt;0,PPMT('Assumptions (Petroleum)'!$V$6,Model!AO$1,'Assumptions (Petroleum)'!$V$9,'Assumptions (Petroleum)'!$V$4*Model!$Q$2231*AVERAGE('Assumptions (Petroleum)'!$M$2:$O$2)/10^9),0)</f>
        <v>#NUM!</v>
      </c>
      <c r="AJ2302" s="105" t="e">
        <f>IF($Q$2231&gt;0,PPMT('Assumptions (Petroleum)'!$V$6,Model!AP$1,'Assumptions (Petroleum)'!$V$9,'Assumptions (Petroleum)'!$V$4*Model!$Q$2231*AVERAGE('Assumptions (Petroleum)'!$M$2:$O$2)/10^9),0)</f>
        <v>#NUM!</v>
      </c>
      <c r="AK2302" s="105" t="e">
        <f>IF($Q$2231&gt;0,PPMT('Assumptions (Petroleum)'!$V$6,Model!AQ$1,'Assumptions (Petroleum)'!$V$9,'Assumptions (Petroleum)'!$V$4*Model!$Q$2231*AVERAGE('Assumptions (Petroleum)'!$M$2:$O$2)/10^9),0)</f>
        <v>#NUM!</v>
      </c>
      <c r="AL2302" s="105" t="e">
        <f>IF($Q$2231&gt;0,PPMT('Assumptions (Petroleum)'!$V$6,Model!AR$1,'Assumptions (Petroleum)'!$V$9,'Assumptions (Petroleum)'!$V$4*Model!$Q$2231*AVERAGE('Assumptions (Petroleum)'!$M$2:$O$2)/10^9),0)</f>
        <v>#NUM!</v>
      </c>
      <c r="AM2302" s="105" t="e">
        <f>IF($Q$2231&gt;0,PPMT('Assumptions (Petroleum)'!$V$6,Model!AS$1,'Assumptions (Petroleum)'!$V$9,'Assumptions (Petroleum)'!$V$4*Model!$Q$2231*AVERAGE('Assumptions (Petroleum)'!$M$2:$O$2)/10^9),0)</f>
        <v>#NUM!</v>
      </c>
      <c r="AN2302" s="105" t="e">
        <f>IF($Q$2231&gt;0,PPMT('Assumptions (Petroleum)'!$V$6,Model!AT$1,'Assumptions (Petroleum)'!$V$9,'Assumptions (Petroleum)'!$V$4*Model!$Q$2231*AVERAGE('Assumptions (Petroleum)'!$M$2:$O$2)/10^9),0)</f>
        <v>#NUM!</v>
      </c>
      <c r="AO2302" s="105" t="e">
        <f>IF($Q$2231&gt;0,PPMT('Assumptions (Petroleum)'!$V$6,Model!AU$1,'Assumptions (Petroleum)'!$V$9,'Assumptions (Petroleum)'!$V$4*Model!$Q$2231*AVERAGE('Assumptions (Petroleum)'!$M$2:$O$2)/10^9),0)</f>
        <v>#NUM!</v>
      </c>
    </row>
    <row r="2303" spans="1:43" ht="15.75" hidden="1" customHeight="1" outlineLevel="1">
      <c r="A2303" s="447"/>
      <c r="B2303" s="99"/>
      <c r="C2303" s="105"/>
      <c r="D2303" s="105"/>
      <c r="E2303" s="105"/>
      <c r="F2303" s="105"/>
      <c r="G2303" s="105"/>
      <c r="H2303" s="105"/>
      <c r="I2303" s="105"/>
      <c r="J2303" s="105"/>
      <c r="K2303" s="105"/>
      <c r="L2303" s="105"/>
      <c r="M2303" s="105"/>
      <c r="N2303" s="105"/>
      <c r="O2303" s="105"/>
      <c r="P2303" s="171"/>
      <c r="Q2303" s="105"/>
      <c r="R2303" s="91">
        <f>IF($R$2231&gt;0,PPMT('Assumptions (Petroleum)'!$V$6,Model!W$1,'Assumptions (Petroleum)'!$V$9,'Assumptions (Petroleum)'!$V$4*Model!$R$2231*AVERAGE('Assumptions (Petroleum)'!$N$2:$P$2)/10^9),0)</f>
        <v>-1.4558921042738509E-3</v>
      </c>
      <c r="S2303" s="91">
        <f>IF($R$2231&gt;0,PPMT('Assumptions (Petroleum)'!$V$6,Model!X$1,'Assumptions (Petroleum)'!$V$9,'Assumptions (Petroleum)'!$V$4*Model!$R$2231*AVERAGE('Assumptions (Petroleum)'!$N$2:$P$2)/10^9),0)</f>
        <v>-1.5250469792268588E-3</v>
      </c>
      <c r="T2303" s="91">
        <f>IF($R$2231&gt;0,PPMT('Assumptions (Petroleum)'!$V$6,Model!Y$1,'Assumptions (Petroleum)'!$V$9,'Assumptions (Petroleum)'!$V$4*Model!$R$2231*AVERAGE('Assumptions (Petroleum)'!$N$2:$P$2)/10^9),0)</f>
        <v>-1.5974867107401347E-3</v>
      </c>
      <c r="U2303" s="91">
        <f>IF($R$2231&gt;0,PPMT('Assumptions (Petroleum)'!$V$6,Model!Z$1,'Assumptions (Petroleum)'!$V$9,'Assumptions (Petroleum)'!$V$4*Model!$R$2231*AVERAGE('Assumptions (Petroleum)'!$N$2:$P$2)/10^9),0)</f>
        <v>-1.6733673295002908E-3</v>
      </c>
      <c r="V2303" s="91">
        <f>IF($R$2231&gt;0,PPMT('Assumptions (Petroleum)'!$V$6,Model!AA$1,'Assumptions (Petroleum)'!$V$9,'Assumptions (Petroleum)'!$V$4*Model!$R$2231*AVERAGE('Assumptions (Petroleum)'!$N$2:$P$2)/10^9),0)</f>
        <v>-1.7528522776515546E-3</v>
      </c>
      <c r="W2303" s="91">
        <f>IF($R$2231&gt;0,PPMT('Assumptions (Petroleum)'!$V$6,Model!AB$1,'Assumptions (Petroleum)'!$V$9,'Assumptions (Petroleum)'!$V$4*Model!$R$2231*AVERAGE('Assumptions (Petroleum)'!$N$2:$P$2)/10^9),0)</f>
        <v>-1.8361127608400038E-3</v>
      </c>
      <c r="X2303" s="91">
        <f>IF($R$2231&gt;0,PPMT('Assumptions (Petroleum)'!$V$6,Model!AC$1,'Assumptions (Petroleum)'!$V$9,'Assumptions (Petroleum)'!$V$4*Model!$R$2231*AVERAGE('Assumptions (Petroleum)'!$N$2:$P$2)/10^9),0)</f>
        <v>-1.923328116979904E-3</v>
      </c>
      <c r="Y2303" s="91">
        <f>IF($R$2231&gt;0,PPMT('Assumptions (Petroleum)'!$V$6,Model!AD$1,'Assumptions (Petroleum)'!$V$9,'Assumptions (Petroleum)'!$V$4*Model!$R$2231*AVERAGE('Assumptions (Petroleum)'!$N$2:$P$2)/10^9),0)</f>
        <v>-2.0146862025364493E-3</v>
      </c>
      <c r="Z2303" s="91">
        <f>IF($R$2231&gt;0,PPMT('Assumptions (Petroleum)'!$V$6,Model!AE$1,'Assumptions (Petroleum)'!$V$9,'Assumptions (Petroleum)'!$V$4*Model!$R$2231*AVERAGE('Assumptions (Petroleum)'!$N$2:$P$2)/10^9),0)</f>
        <v>-2.1103837971569303E-3</v>
      </c>
      <c r="AA2303" s="91">
        <f>IF($R$2231&gt;0,PPMT('Assumptions (Petroleum)'!$V$6,Model!AF$1,'Assumptions (Petroleum)'!$V$9,'Assumptions (Petroleum)'!$V$4*Model!$R$2231*AVERAGE('Assumptions (Petroleum)'!$N$2:$P$2)/10^9),0)</f>
        <v>-2.2106270275218851E-3</v>
      </c>
      <c r="AB2303" s="91">
        <f>IF($R$2231&gt;0,PPMT('Assumptions (Petroleum)'!$V$6,Model!AG$1,'Assumptions (Petroleum)'!$V$9,'Assumptions (Petroleum)'!$V$4*Model!$R$2231*AVERAGE('Assumptions (Petroleum)'!$N$2:$P$2)/10^9),0)</f>
        <v>-2.3156318113291747E-3</v>
      </c>
      <c r="AC2303" s="91">
        <f>IF($R$2231&gt;0,PPMT('Assumptions (Petroleum)'!$V$6,Model!AH$1,'Assumptions (Petroleum)'!$V$9,'Assumptions (Petroleum)'!$V$4*Model!$R$2231*AVERAGE('Assumptions (Petroleum)'!$N$2:$P$2)/10^9),0)</f>
        <v>-2.4256243223673103E-3</v>
      </c>
      <c r="AD2303" s="91">
        <f>IF($R$2231&gt;0,PPMT('Assumptions (Petroleum)'!$V$6,Model!AI$1,'Assumptions (Petroleum)'!$V$9,'Assumptions (Petroleum)'!$V$4*Model!$R$2231*AVERAGE('Assumptions (Petroleum)'!$N$2:$P$2)/10^9),0)</f>
        <v>-2.5408414776797576E-3</v>
      </c>
      <c r="AE2303" s="91">
        <f>IF($R$2231&gt;0,PPMT('Assumptions (Petroleum)'!$V$6,Model!AJ$1,'Assumptions (Petroleum)'!$V$9,'Assumptions (Petroleum)'!$V$4*Model!$R$2231*AVERAGE('Assumptions (Petroleum)'!$N$2:$P$2)/10^9),0)</f>
        <v>-2.6615314478695461E-3</v>
      </c>
      <c r="AF2303" s="91">
        <f>IF($R$2231&gt;0,PPMT('Assumptions (Petroleum)'!$V$6,Model!AK$1,'Assumptions (Petroleum)'!$V$9,'Assumptions (Petroleum)'!$V$4*Model!$R$2231*AVERAGE('Assumptions (Petroleum)'!$N$2:$P$2)/10^9),0)</f>
        <v>-2.7879541916433492E-3</v>
      </c>
      <c r="AG2303" s="91" t="e">
        <f>IF($R$2231&gt;0,PPMT('Assumptions (Petroleum)'!$V$6,Model!AL$1,'Assumptions (Petroleum)'!$V$9,'Assumptions (Petroleum)'!$V$4*Model!$R$2231*AVERAGE('Assumptions (Petroleum)'!$N$2:$P$2)/10^9),0)</f>
        <v>#NUM!</v>
      </c>
      <c r="AH2303" s="91" t="e">
        <f>IF($R$2231&gt;0,PPMT('Assumptions (Petroleum)'!$V$6,Model!AM$1,'Assumptions (Petroleum)'!$V$9,'Assumptions (Petroleum)'!$V$4*Model!$R$2231*AVERAGE('Assumptions (Petroleum)'!$N$2:$P$2)/10^9),0)</f>
        <v>#NUM!</v>
      </c>
      <c r="AI2303" s="91" t="e">
        <f>IF($R$2231&gt;0,PPMT('Assumptions (Petroleum)'!$V$6,Model!AN$1,'Assumptions (Petroleum)'!$V$9,'Assumptions (Petroleum)'!$V$4*Model!$R$2231*AVERAGE('Assumptions (Petroleum)'!$N$2:$P$2)/10^9),0)</f>
        <v>#NUM!</v>
      </c>
      <c r="AJ2303" s="91" t="e">
        <f>IF($R$2231&gt;0,PPMT('Assumptions (Petroleum)'!$V$6,Model!AO$1,'Assumptions (Petroleum)'!$V$9,'Assumptions (Petroleum)'!$V$4*Model!$R$2231*AVERAGE('Assumptions (Petroleum)'!$N$2:$P$2)/10^9),0)</f>
        <v>#NUM!</v>
      </c>
      <c r="AK2303" s="91" t="e">
        <f>IF($R$2231&gt;0,PPMT('Assumptions (Petroleum)'!$V$6,Model!AP$1,'Assumptions (Petroleum)'!$V$9,'Assumptions (Petroleum)'!$V$4*Model!$R$2231*AVERAGE('Assumptions (Petroleum)'!$N$2:$P$2)/10^9),0)</f>
        <v>#NUM!</v>
      </c>
      <c r="AL2303" s="91" t="e">
        <f>IF($R$2231&gt;0,PPMT('Assumptions (Petroleum)'!$V$6,Model!AQ$1,'Assumptions (Petroleum)'!$V$9,'Assumptions (Petroleum)'!$V$4*Model!$R$2231*AVERAGE('Assumptions (Petroleum)'!$N$2:$P$2)/10^9),0)</f>
        <v>#NUM!</v>
      </c>
      <c r="AM2303" s="91" t="e">
        <f>IF($R$2231&gt;0,PPMT('Assumptions (Petroleum)'!$V$6,Model!AR$1,'Assumptions (Petroleum)'!$V$9,'Assumptions (Petroleum)'!$V$4*Model!$R$2231*AVERAGE('Assumptions (Petroleum)'!$N$2:$P$2)/10^9),0)</f>
        <v>#NUM!</v>
      </c>
      <c r="AN2303" s="91" t="e">
        <f>IF($R$2231&gt;0,PPMT('Assumptions (Petroleum)'!$V$6,Model!AS$1,'Assumptions (Petroleum)'!$V$9,'Assumptions (Petroleum)'!$V$4*Model!$R$2231*AVERAGE('Assumptions (Petroleum)'!$N$2:$P$2)/10^9),0)</f>
        <v>#NUM!</v>
      </c>
      <c r="AO2303" s="91" t="e">
        <f>IF($R$2231&gt;0,PPMT('Assumptions (Petroleum)'!$V$6,Model!AT$1,'Assumptions (Petroleum)'!$V$9,'Assumptions (Petroleum)'!$V$4*Model!$R$2231*AVERAGE('Assumptions (Petroleum)'!$N$2:$P$2)/10^9),0)</f>
        <v>#NUM!</v>
      </c>
      <c r="AP2303" s="91" t="e">
        <f>IF($R$2231&gt;0,PPMT('Assumptions (Petroleum)'!$V$6,Model!AU$1,'Assumptions (Petroleum)'!$V$9,'Assumptions (Petroleum)'!$V$4*Model!$R$2231*AVERAGE('Assumptions (Petroleum)'!$N$2:$P$2)/10^9),0)</f>
        <v>#NUM!</v>
      </c>
    </row>
    <row r="2304" spans="1:43" ht="15.75" hidden="1" customHeight="1" outlineLevel="1">
      <c r="A2304" s="447"/>
      <c r="B2304" s="99"/>
      <c r="C2304" s="105"/>
      <c r="D2304" s="105"/>
      <c r="E2304" s="105"/>
      <c r="F2304" s="105"/>
      <c r="G2304" s="105"/>
      <c r="H2304" s="105"/>
      <c r="I2304" s="105"/>
      <c r="J2304" s="105"/>
      <c r="K2304" s="105"/>
      <c r="L2304" s="105"/>
      <c r="M2304" s="105"/>
      <c r="N2304" s="105"/>
      <c r="O2304" s="105"/>
      <c r="P2304" s="171"/>
      <c r="Q2304" s="105"/>
      <c r="R2304" s="91"/>
      <c r="S2304" s="105">
        <f>IF($S$2231&gt;0,PPMT('Assumptions (Petroleum)'!$V$6,Model!W$1,'Assumptions (Petroleum)'!$V$9,'Assumptions (Petroleum)'!$V$4*Model!$S$2231*AVERAGE('Assumptions (Petroleum)'!$O$2:$Q$2)/10^9),0)</f>
        <v>-8.4257635891602477E-4</v>
      </c>
      <c r="T2304" s="105">
        <f>IF($S$2231&gt;0,PPMT('Assumptions (Petroleum)'!$V$6,Model!X$1,'Assumptions (Petroleum)'!$V$9,'Assumptions (Petroleum)'!$V$4*Model!$S$2231*AVERAGE('Assumptions (Petroleum)'!$O$2:$Q$2)/10^9),0)</f>
        <v>-8.8259873596453601E-4</v>
      </c>
      <c r="U2304" s="105">
        <f>IF($S$2231&gt;0,PPMT('Assumptions (Petroleum)'!$V$6,Model!Y$1,'Assumptions (Petroleum)'!$V$9,'Assumptions (Petroleum)'!$V$4*Model!$S$2231*AVERAGE('Assumptions (Petroleum)'!$O$2:$Q$2)/10^9),0)</f>
        <v>-9.2452217592285159E-4</v>
      </c>
      <c r="V2304" s="105">
        <f>IF($S$2231&gt;0,PPMT('Assumptions (Petroleum)'!$V$6,Model!Z$1,'Assumptions (Petroleum)'!$V$9,'Assumptions (Petroleum)'!$V$4*Model!$S$2231*AVERAGE('Assumptions (Petroleum)'!$O$2:$Q$2)/10^9),0)</f>
        <v>-9.6843697927918697E-4</v>
      </c>
      <c r="W2304" s="105">
        <f>IF($S$2231&gt;0,PPMT('Assumptions (Petroleum)'!$V$6,Model!AA$1,'Assumptions (Petroleum)'!$V$9,'Assumptions (Petroleum)'!$V$4*Model!$S$2231*AVERAGE('Assumptions (Petroleum)'!$O$2:$Q$2)/10^9),0)</f>
        <v>-1.0144377357949482E-3</v>
      </c>
      <c r="X2304" s="105">
        <f>IF($S$2231&gt;0,PPMT('Assumptions (Petroleum)'!$V$6,Model!AB$1,'Assumptions (Petroleum)'!$V$9,'Assumptions (Petroleum)'!$V$4*Model!$S$2231*AVERAGE('Assumptions (Petroleum)'!$O$2:$Q$2)/10^9),0)</f>
        <v>-1.0626235282452084E-3</v>
      </c>
      <c r="Y2304" s="105">
        <f>IF($S$2231&gt;0,PPMT('Assumptions (Petroleum)'!$V$6,Model!AC$1,'Assumptions (Petroleum)'!$V$9,'Assumptions (Petroleum)'!$V$4*Model!$S$2231*AVERAGE('Assumptions (Petroleum)'!$O$2:$Q$2)/10^9),0)</f>
        <v>-1.1130981458368557E-3</v>
      </c>
      <c r="Z2304" s="105">
        <f>IF($S$2231&gt;0,PPMT('Assumptions (Petroleum)'!$V$6,Model!AD$1,'Assumptions (Petroleum)'!$V$9,'Assumptions (Petroleum)'!$V$4*Model!$S$2231*AVERAGE('Assumptions (Petroleum)'!$O$2:$Q$2)/10^9),0)</f>
        <v>-1.1659703077641062E-3</v>
      </c>
      <c r="AA2304" s="105">
        <f>IF($S$2231&gt;0,PPMT('Assumptions (Petroleum)'!$V$6,Model!AE$1,'Assumptions (Petroleum)'!$V$9,'Assumptions (Petroleum)'!$V$4*Model!$S$2231*AVERAGE('Assumptions (Petroleum)'!$O$2:$Q$2)/10^9),0)</f>
        <v>-1.2213538973829012E-3</v>
      </c>
      <c r="AB2304" s="105">
        <f>IF($S$2231&gt;0,PPMT('Assumptions (Petroleum)'!$V$6,Model!AF$1,'Assumptions (Petroleum)'!$V$9,'Assumptions (Petroleum)'!$V$4*Model!$S$2231*AVERAGE('Assumptions (Petroleum)'!$O$2:$Q$2)/10^9),0)</f>
        <v>-1.2793682075085892E-3</v>
      </c>
      <c r="AC2304" s="105">
        <f>IF($S$2231&gt;0,PPMT('Assumptions (Petroleum)'!$V$6,Model!AG$1,'Assumptions (Petroleum)'!$V$9,'Assumptions (Petroleum)'!$V$4*Model!$S$2231*AVERAGE('Assumptions (Petroleum)'!$O$2:$Q$2)/10^9),0)</f>
        <v>-1.3401381973652472E-3</v>
      </c>
      <c r="AD2304" s="105">
        <f>IF($S$2231&gt;0,PPMT('Assumptions (Petroleum)'!$V$6,Model!AH$1,'Assumptions (Petroleum)'!$V$9,'Assumptions (Petroleum)'!$V$4*Model!$S$2231*AVERAGE('Assumptions (Petroleum)'!$O$2:$Q$2)/10^9),0)</f>
        <v>-1.4037947617400964E-3</v>
      </c>
      <c r="AE2304" s="105">
        <f>IF($S$2231&gt;0,PPMT('Assumptions (Petroleum)'!$V$6,Model!AI$1,'Assumptions (Petroleum)'!$V$9,'Assumptions (Petroleum)'!$V$4*Model!$S$2231*AVERAGE('Assumptions (Petroleum)'!$O$2:$Q$2)/10^9),0)</f>
        <v>-1.4704750129227511E-3</v>
      </c>
      <c r="AF2304" s="105">
        <f>IF($S$2231&gt;0,PPMT('Assumptions (Petroleum)'!$V$6,Model!AJ$1,'Assumptions (Petroleum)'!$V$9,'Assumptions (Petroleum)'!$V$4*Model!$S$2231*AVERAGE('Assumptions (Petroleum)'!$O$2:$Q$2)/10^9),0)</f>
        <v>-1.5403225760365817E-3</v>
      </c>
      <c r="AG2304" s="105">
        <f>IF($S$2231&gt;0,PPMT('Assumptions (Petroleum)'!$V$6,Model!AK$1,'Assumptions (Petroleum)'!$V$9,'Assumptions (Petroleum)'!$V$4*Model!$S$2231*AVERAGE('Assumptions (Petroleum)'!$O$2:$Q$2)/10^9),0)</f>
        <v>-1.6134878983983195E-3</v>
      </c>
      <c r="AH2304" s="105" t="e">
        <f>IF($S$2231&gt;0,PPMT('Assumptions (Petroleum)'!$V$6,Model!AL$1,'Assumptions (Petroleum)'!$V$9,'Assumptions (Petroleum)'!$V$4*Model!$S$2231*AVERAGE('Assumptions (Petroleum)'!$O$2:$Q$2)/10^9),0)</f>
        <v>#NUM!</v>
      </c>
      <c r="AI2304" s="105" t="e">
        <f>IF($S$2231&gt;0,PPMT('Assumptions (Petroleum)'!$V$6,Model!AM$1,'Assumptions (Petroleum)'!$V$9,'Assumptions (Petroleum)'!$V$4*Model!$S$2231*AVERAGE('Assumptions (Petroleum)'!$O$2:$Q$2)/10^9),0)</f>
        <v>#NUM!</v>
      </c>
      <c r="AJ2304" s="105" t="e">
        <f>IF($S$2231&gt;0,PPMT('Assumptions (Petroleum)'!$V$6,Model!AN$1,'Assumptions (Petroleum)'!$V$9,'Assumptions (Petroleum)'!$V$4*Model!$S$2231*AVERAGE('Assumptions (Petroleum)'!$O$2:$Q$2)/10^9),0)</f>
        <v>#NUM!</v>
      </c>
      <c r="AK2304" s="105" t="e">
        <f>IF($S$2231&gt;0,PPMT('Assumptions (Petroleum)'!$V$6,Model!AO$1,'Assumptions (Petroleum)'!$V$9,'Assumptions (Petroleum)'!$V$4*Model!$S$2231*AVERAGE('Assumptions (Petroleum)'!$O$2:$Q$2)/10^9),0)</f>
        <v>#NUM!</v>
      </c>
      <c r="AL2304" s="105" t="e">
        <f>IF($S$2231&gt;0,PPMT('Assumptions (Petroleum)'!$V$6,Model!AP$1,'Assumptions (Petroleum)'!$V$9,'Assumptions (Petroleum)'!$V$4*Model!$S$2231*AVERAGE('Assumptions (Petroleum)'!$O$2:$Q$2)/10^9),0)</f>
        <v>#NUM!</v>
      </c>
      <c r="AM2304" s="105" t="e">
        <f>IF($S$2231&gt;0,PPMT('Assumptions (Petroleum)'!$V$6,Model!AQ$1,'Assumptions (Petroleum)'!$V$9,'Assumptions (Petroleum)'!$V$4*Model!$S$2231*AVERAGE('Assumptions (Petroleum)'!$O$2:$Q$2)/10^9),0)</f>
        <v>#NUM!</v>
      </c>
      <c r="AN2304" s="105" t="e">
        <f>IF($S$2231&gt;0,PPMT('Assumptions (Petroleum)'!$V$6,Model!AR$1,'Assumptions (Petroleum)'!$V$9,'Assumptions (Petroleum)'!$V$4*Model!$S$2231*AVERAGE('Assumptions (Petroleum)'!$O$2:$Q$2)/10^9),0)</f>
        <v>#NUM!</v>
      </c>
      <c r="AO2304" s="105" t="e">
        <f>IF($S$2231&gt;0,PPMT('Assumptions (Petroleum)'!$V$6,Model!AS$1,'Assumptions (Petroleum)'!$V$9,'Assumptions (Petroleum)'!$V$4*Model!$S$2231*AVERAGE('Assumptions (Petroleum)'!$O$2:$Q$2)/10^9),0)</f>
        <v>#NUM!</v>
      </c>
      <c r="AP2304" s="105" t="e">
        <f>IF($S$2231&gt;0,PPMT('Assumptions (Petroleum)'!$V$6,Model!AT$1,'Assumptions (Petroleum)'!$V$9,'Assumptions (Petroleum)'!$V$4*Model!$S$2231*AVERAGE('Assumptions (Petroleum)'!$O$2:$Q$2)/10^9),0)</f>
        <v>#NUM!</v>
      </c>
      <c r="AQ2304" s="105" t="e">
        <f>IF($S$2231&gt;0,PPMT('Assumptions (Petroleum)'!$V$6,Model!AU$1,'Assumptions (Petroleum)'!$V$9,'Assumptions (Petroleum)'!$V$4*Model!$S$2231*AVERAGE('Assumptions (Petroleum)'!$O$2:$Q$2)/10^9),0)</f>
        <v>#NUM!</v>
      </c>
    </row>
    <row r="2305" spans="1:59" ht="15.75" hidden="1" customHeight="1" outlineLevel="1">
      <c r="A2305" s="447"/>
      <c r="B2305" s="99"/>
      <c r="C2305" s="105"/>
      <c r="D2305" s="105"/>
      <c r="E2305" s="105"/>
      <c r="F2305" s="105"/>
      <c r="G2305" s="105"/>
      <c r="H2305" s="105"/>
      <c r="I2305" s="105"/>
      <c r="J2305" s="105"/>
      <c r="K2305" s="105"/>
      <c r="L2305" s="105"/>
      <c r="M2305" s="105"/>
      <c r="N2305" s="105"/>
      <c r="O2305" s="105"/>
      <c r="P2305" s="171"/>
      <c r="Q2305" s="105"/>
      <c r="R2305" s="91"/>
      <c r="S2305" s="91"/>
      <c r="T2305" s="105">
        <f>IF($T$2231&gt;0,PPMT('Assumptions (Petroleum)'!$V$6,Model!W$1,'Assumptions (Petroleum)'!$V$9,'Assumptions (Petroleum)'!$V$4*Model!$T$2231*AVERAGE('Assumptions (Petroleum)'!$P$2:$R$2)/10^9),0)</f>
        <v>-1.3156051511473551E-3</v>
      </c>
      <c r="U2305" s="105">
        <f>IF($T$2231&gt;0,PPMT('Assumptions (Petroleum)'!$V$6,Model!X$1,'Assumptions (Petroleum)'!$V$9,'Assumptions (Petroleum)'!$V$4*Model!$T$2231*AVERAGE('Assumptions (Petroleum)'!$P$2:$R$2)/10^9),0)</f>
        <v>-1.3780963958268547E-3</v>
      </c>
      <c r="V2305" s="105">
        <f>IF($T$2231&gt;0,PPMT('Assumptions (Petroleum)'!$V$6,Model!Y$1,'Assumptions (Petroleum)'!$V$9,'Assumptions (Petroleum)'!$V$4*Model!$T$2231*AVERAGE('Assumptions (Petroleum)'!$P$2:$R$2)/10^9),0)</f>
        <v>-1.4435559746286302E-3</v>
      </c>
      <c r="W2305" s="105">
        <f>IF($T$2231&gt;0,PPMT('Assumptions (Petroleum)'!$V$6,Model!Z$1,'Assumptions (Petroleum)'!$V$9,'Assumptions (Petroleum)'!$V$4*Model!$T$2231*AVERAGE('Assumptions (Petroleum)'!$P$2:$R$2)/10^9),0)</f>
        <v>-1.5121248834234901E-3</v>
      </c>
      <c r="X2305" s="105">
        <f>IF($T$2231&gt;0,PPMT('Assumptions (Petroleum)'!$V$6,Model!AA$1,'Assumptions (Petroleum)'!$V$9,'Assumptions (Petroleum)'!$V$4*Model!$T$2231*AVERAGE('Assumptions (Petroleum)'!$P$2:$R$2)/10^9),0)</f>
        <v>-1.5839508153861058E-3</v>
      </c>
      <c r="Y2305" s="105">
        <f>IF($T$2231&gt;0,PPMT('Assumptions (Petroleum)'!$V$6,Model!AB$1,'Assumptions (Petroleum)'!$V$9,'Assumptions (Petroleum)'!$V$4*Model!$T$2231*AVERAGE('Assumptions (Petroleum)'!$P$2:$R$2)/10^9),0)</f>
        <v>-1.659188479116946E-3</v>
      </c>
      <c r="Z2305" s="105">
        <f>IF($T$2231&gt;0,PPMT('Assumptions (Petroleum)'!$V$6,Model!AC$1,'Assumptions (Petroleum)'!$V$9,'Assumptions (Petroleum)'!$V$4*Model!$T$2231*AVERAGE('Assumptions (Petroleum)'!$P$2:$R$2)/10^9),0)</f>
        <v>-1.7379999318750008E-3</v>
      </c>
      <c r="AA2305" s="105">
        <f>IF($T$2231&gt;0,PPMT('Assumptions (Petroleum)'!$V$6,Model!AD$1,'Assumptions (Petroleum)'!$V$9,'Assumptions (Petroleum)'!$V$4*Model!$T$2231*AVERAGE('Assumptions (Petroleum)'!$P$2:$R$2)/10^9),0)</f>
        <v>-1.8205549286390633E-3</v>
      </c>
      <c r="AB2305" s="105">
        <f>IF($T$2231&gt;0,PPMT('Assumptions (Petroleum)'!$V$6,Model!AE$1,'Assumptions (Petroleum)'!$V$9,'Assumptions (Petroleum)'!$V$4*Model!$T$2231*AVERAGE('Assumptions (Petroleum)'!$P$2:$R$2)/10^9),0)</f>
        <v>-1.9070312877494189E-3</v>
      </c>
      <c r="AC2305" s="105">
        <f>IF($T$2231&gt;0,PPMT('Assumptions (Petroleum)'!$V$6,Model!AF$1,'Assumptions (Petroleum)'!$V$9,'Assumptions (Petroleum)'!$V$4*Model!$T$2231*AVERAGE('Assumptions (Petroleum)'!$P$2:$R$2)/10^9),0)</f>
        <v>-1.9976152739175166E-3</v>
      </c>
      <c r="AD2305" s="105">
        <f>IF($T$2231&gt;0,PPMT('Assumptions (Petroleum)'!$V$6,Model!AG$1,'Assumptions (Petroleum)'!$V$9,'Assumptions (Petroleum)'!$V$4*Model!$T$2231*AVERAGE('Assumptions (Petroleum)'!$P$2:$R$2)/10^9),0)</f>
        <v>-2.0925019994285986E-3</v>
      </c>
      <c r="AE2305" s="105">
        <f>IF($T$2231&gt;0,PPMT('Assumptions (Petroleum)'!$V$6,Model!AH$1,'Assumptions (Petroleum)'!$V$9,'Assumptions (Petroleum)'!$V$4*Model!$T$2231*AVERAGE('Assumptions (Petroleum)'!$P$2:$R$2)/10^9),0)</f>
        <v>-2.1918958444014569E-3</v>
      </c>
      <c r="AF2305" s="105">
        <f>IF($T$2231&gt;0,PPMT('Assumptions (Petroleum)'!$V$6,Model!AI$1,'Assumptions (Petroleum)'!$V$9,'Assumptions (Petroleum)'!$V$4*Model!$T$2231*AVERAGE('Assumptions (Petroleum)'!$P$2:$R$2)/10^9),0)</f>
        <v>-2.296010897010526E-3</v>
      </c>
      <c r="AG2305" s="105">
        <f>IF($T$2231&gt;0,PPMT('Assumptions (Petroleum)'!$V$6,Model!AJ$1,'Assumptions (Petroleum)'!$V$9,'Assumptions (Petroleum)'!$V$4*Model!$T$2231*AVERAGE('Assumptions (Petroleum)'!$P$2:$R$2)/10^9),0)</f>
        <v>-2.4050714146185261E-3</v>
      </c>
      <c r="AH2305" s="105">
        <f>IF($T$2231&gt;0,PPMT('Assumptions (Petroleum)'!$V$6,Model!AK$1,'Assumptions (Petroleum)'!$V$9,'Assumptions (Petroleum)'!$V$4*Model!$T$2231*AVERAGE('Assumptions (Petroleum)'!$P$2:$R$2)/10^9),0)</f>
        <v>-2.5193123068129059E-3</v>
      </c>
      <c r="AI2305" s="105" t="e">
        <f>IF($T$2231&gt;0,PPMT('Assumptions (Petroleum)'!$V$6,Model!AL$1,'Assumptions (Petroleum)'!$V$9,'Assumptions (Petroleum)'!$V$4*Model!$T$2231*AVERAGE('Assumptions (Petroleum)'!$P$2:$R$2)/10^9),0)</f>
        <v>#NUM!</v>
      </c>
      <c r="AJ2305" s="105" t="e">
        <f>IF($T$2231&gt;0,PPMT('Assumptions (Petroleum)'!$V$6,Model!AM$1,'Assumptions (Petroleum)'!$V$9,'Assumptions (Petroleum)'!$V$4*Model!$T$2231*AVERAGE('Assumptions (Petroleum)'!$P$2:$R$2)/10^9),0)</f>
        <v>#NUM!</v>
      </c>
      <c r="AK2305" s="105" t="e">
        <f>IF($T$2231&gt;0,PPMT('Assumptions (Petroleum)'!$V$6,Model!AN$1,'Assumptions (Petroleum)'!$V$9,'Assumptions (Petroleum)'!$V$4*Model!$T$2231*AVERAGE('Assumptions (Petroleum)'!$P$2:$R$2)/10^9),0)</f>
        <v>#NUM!</v>
      </c>
      <c r="AL2305" s="105" t="e">
        <f>IF($T$2231&gt;0,PPMT('Assumptions (Petroleum)'!$V$6,Model!AO$1,'Assumptions (Petroleum)'!$V$9,'Assumptions (Petroleum)'!$V$4*Model!$T$2231*AVERAGE('Assumptions (Petroleum)'!$P$2:$R$2)/10^9),0)</f>
        <v>#NUM!</v>
      </c>
      <c r="AM2305" s="105" t="e">
        <f>IF($T$2231&gt;0,PPMT('Assumptions (Petroleum)'!$V$6,Model!AP$1,'Assumptions (Petroleum)'!$V$9,'Assumptions (Petroleum)'!$V$4*Model!$T$2231*AVERAGE('Assumptions (Petroleum)'!$P$2:$R$2)/10^9),0)</f>
        <v>#NUM!</v>
      </c>
      <c r="AN2305" s="105" t="e">
        <f>IF($T$2231&gt;0,PPMT('Assumptions (Petroleum)'!$V$6,Model!AQ$1,'Assumptions (Petroleum)'!$V$9,'Assumptions (Petroleum)'!$V$4*Model!$T$2231*AVERAGE('Assumptions (Petroleum)'!$P$2:$R$2)/10^9),0)</f>
        <v>#NUM!</v>
      </c>
      <c r="AO2305" s="105" t="e">
        <f>IF($T$2231&gt;0,PPMT('Assumptions (Petroleum)'!$V$6,Model!AR$1,'Assumptions (Petroleum)'!$V$9,'Assumptions (Petroleum)'!$V$4*Model!$T$2231*AVERAGE('Assumptions (Petroleum)'!$P$2:$R$2)/10^9),0)</f>
        <v>#NUM!</v>
      </c>
      <c r="AP2305" s="105" t="e">
        <f>IF($T$2231&gt;0,PPMT('Assumptions (Petroleum)'!$V$6,Model!AS$1,'Assumptions (Petroleum)'!$V$9,'Assumptions (Petroleum)'!$V$4*Model!$T$2231*AVERAGE('Assumptions (Petroleum)'!$P$2:$R$2)/10^9),0)</f>
        <v>#NUM!</v>
      </c>
      <c r="AQ2305" s="105" t="e">
        <f>IF($T$2231&gt;0,PPMT('Assumptions (Petroleum)'!$V$6,Model!AT$1,'Assumptions (Petroleum)'!$V$9,'Assumptions (Petroleum)'!$V$4*Model!$T$2231*AVERAGE('Assumptions (Petroleum)'!$P$2:$R$2)/10^9),0)</f>
        <v>#NUM!</v>
      </c>
      <c r="AR2305" s="105" t="e">
        <f>IF($T$2231&gt;0,PPMT('Assumptions (Petroleum)'!$V$6,Model!AU$1,'Assumptions (Petroleum)'!$V$9,'Assumptions (Petroleum)'!$V$4*Model!$T$2231*AVERAGE('Assumptions (Petroleum)'!$P$2:$R$2)/10^9),0)</f>
        <v>#NUM!</v>
      </c>
    </row>
    <row r="2306" spans="1:59" ht="15.75" hidden="1" customHeight="1" outlineLevel="1">
      <c r="A2306" s="447"/>
      <c r="B2306" s="99"/>
      <c r="C2306" s="105"/>
      <c r="D2306" s="105"/>
      <c r="E2306" s="105"/>
      <c r="F2306" s="105"/>
      <c r="G2306" s="105"/>
      <c r="H2306" s="105"/>
      <c r="I2306" s="105"/>
      <c r="J2306" s="105"/>
      <c r="K2306" s="105"/>
      <c r="L2306" s="105"/>
      <c r="M2306" s="105"/>
      <c r="N2306" s="105"/>
      <c r="O2306" s="105"/>
      <c r="P2306" s="171"/>
      <c r="Q2306" s="105"/>
      <c r="R2306" s="91"/>
      <c r="S2306" s="91"/>
      <c r="T2306" s="91"/>
      <c r="U2306" s="105">
        <f>IF($U$2231&gt;0,PPMT('Assumptions (Petroleum)'!$V$6,Model!W$1,'Assumptions (Petroleum)'!$V$9,'Assumptions (Petroleum)'!$V$4*Model!$U$2231*AVERAGE('Assumptions (Petroleum)'!$Q$2:$S$2)/10^9),0)</f>
        <v>-5.2956887808253323E-4</v>
      </c>
      <c r="V2306" s="105">
        <f>IF($U$2231&gt;0,PPMT('Assumptions (Petroleum)'!$V$6,Model!X$1,'Assumptions (Petroleum)'!$V$9,'Assumptions (Petroleum)'!$V$4*Model!$U$2231*AVERAGE('Assumptions (Petroleum)'!$Q$2:$S$2)/10^9),0)</f>
        <v>-5.5472339979145354E-4</v>
      </c>
      <c r="W2306" s="105">
        <f>IF($U$2231&gt;0,PPMT('Assumptions (Petroleum)'!$V$6,Model!Y$1,'Assumptions (Petroleum)'!$V$9,'Assumptions (Petroleum)'!$V$4*Model!$U$2231*AVERAGE('Assumptions (Petroleum)'!$Q$2:$S$2)/10^9),0)</f>
        <v>-5.8107276128154764E-4</v>
      </c>
      <c r="X2306" s="105">
        <f>IF($U$2231&gt;0,PPMT('Assumptions (Petroleum)'!$V$6,Model!Z$1,'Assumptions (Petroleum)'!$V$9,'Assumptions (Petroleum)'!$V$4*Model!$U$2231*AVERAGE('Assumptions (Petroleum)'!$Q$2:$S$2)/10^9),0)</f>
        <v>-6.0867371744242102E-4</v>
      </c>
      <c r="Y2306" s="105">
        <f>IF($U$2231&gt;0,PPMT('Assumptions (Petroleum)'!$V$6,Model!AA$1,'Assumptions (Petroleum)'!$V$9,'Assumptions (Petroleum)'!$V$4*Model!$U$2231*AVERAGE('Assumptions (Petroleum)'!$Q$2:$S$2)/10^9),0)</f>
        <v>-6.3758571902093597E-4</v>
      </c>
      <c r="Z2306" s="105">
        <f>IF($U$2231&gt;0,PPMT('Assumptions (Petroleum)'!$V$6,Model!AB$1,'Assumptions (Petroleum)'!$V$9,'Assumptions (Petroleum)'!$V$4*Model!$U$2231*AVERAGE('Assumptions (Petroleum)'!$Q$2:$S$2)/10^9),0)</f>
        <v>-6.6787104067443051E-4</v>
      </c>
      <c r="AA2306" s="105">
        <f>IF($U$2231&gt;0,PPMT('Assumptions (Petroleum)'!$V$6,Model!AC$1,'Assumptions (Petroleum)'!$V$9,'Assumptions (Petroleum)'!$V$4*Model!$U$2231*AVERAGE('Assumptions (Petroleum)'!$Q$2:$S$2)/10^9),0)</f>
        <v>-6.9959491510646597E-4</v>
      </c>
      <c r="AB2306" s="105">
        <f>IF($U$2231&gt;0,PPMT('Assumptions (Petroleum)'!$V$6,Model!AD$1,'Assumptions (Petroleum)'!$V$9,'Assumptions (Petroleum)'!$V$4*Model!$U$2231*AVERAGE('Assumptions (Petroleum)'!$Q$2:$S$2)/10^9),0)</f>
        <v>-7.3282567357402305E-4</v>
      </c>
      <c r="AC2306" s="105">
        <f>IF($U$2231&gt;0,PPMT('Assumptions (Petroleum)'!$V$6,Model!AE$1,'Assumptions (Petroleum)'!$V$9,'Assumptions (Petroleum)'!$V$4*Model!$U$2231*AVERAGE('Assumptions (Petroleum)'!$Q$2:$S$2)/10^9),0)</f>
        <v>-7.6763489306878917E-4</v>
      </c>
      <c r="AD2306" s="105">
        <f>IF($U$2231&gt;0,PPMT('Assumptions (Petroleum)'!$V$6,Model!AF$1,'Assumptions (Petroleum)'!$V$9,'Assumptions (Petroleum)'!$V$4*Model!$U$2231*AVERAGE('Assumptions (Petroleum)'!$Q$2:$S$2)/10^9),0)</f>
        <v>-8.0409755048955664E-4</v>
      </c>
      <c r="AE2306" s="105">
        <f>IF($U$2231&gt;0,PPMT('Assumptions (Petroleum)'!$V$6,Model!AG$1,'Assumptions (Petroleum)'!$V$9,'Assumptions (Petroleum)'!$V$4*Model!$U$2231*AVERAGE('Assumptions (Petroleum)'!$Q$2:$S$2)/10^9),0)</f>
        <v>-8.422921841378107E-4</v>
      </c>
      <c r="AF2306" s="105">
        <f>IF($U$2231&gt;0,PPMT('Assumptions (Petroleum)'!$V$6,Model!AH$1,'Assumptions (Petroleum)'!$V$9,'Assumptions (Petroleum)'!$V$4*Model!$U$2231*AVERAGE('Assumptions (Petroleum)'!$Q$2:$S$2)/10^9),0)</f>
        <v>-8.8230106288435673E-4</v>
      </c>
      <c r="AG2306" s="105">
        <f>IF($U$2231&gt;0,PPMT('Assumptions (Petroleum)'!$V$6,Model!AI$1,'Assumptions (Petroleum)'!$V$9,'Assumptions (Petroleum)'!$V$4*Model!$U$2231*AVERAGE('Assumptions (Petroleum)'!$Q$2:$S$2)/10^9),0)</f>
        <v>-9.2421036337136367E-4</v>
      </c>
      <c r="AH2306" s="105">
        <f>IF($U$2231&gt;0,PPMT('Assumptions (Petroleum)'!$V$6,Model!AJ$1,'Assumptions (Petroleum)'!$V$9,'Assumptions (Petroleum)'!$V$4*Model!$U$2231*AVERAGE('Assumptions (Petroleum)'!$Q$2:$S$2)/10^9),0)</f>
        <v>-9.6811035563150341E-4</v>
      </c>
      <c r="AI2306" s="105">
        <f>IF($U$2231&gt;0,PPMT('Assumptions (Petroleum)'!$V$6,Model!AK$1,'Assumptions (Petroleum)'!$V$9,'Assumptions (Petroleum)'!$V$4*Model!$U$2231*AVERAGE('Assumptions (Petroleum)'!$Q$2:$S$2)/10^9),0)</f>
        <v>-1.0140955975239997E-3</v>
      </c>
      <c r="AJ2306" s="105" t="e">
        <f>IF($U$2231&gt;0,PPMT('Assumptions (Petroleum)'!$V$6,Model!AL$1,'Assumptions (Petroleum)'!$V$9,'Assumptions (Petroleum)'!$V$4*Model!$U$2231*AVERAGE('Assumptions (Petroleum)'!$Q$2:$S$2)/10^9),0)</f>
        <v>#NUM!</v>
      </c>
      <c r="AK2306" s="105" t="e">
        <f>IF($U$2231&gt;0,PPMT('Assumptions (Petroleum)'!$V$6,Model!AM$1,'Assumptions (Petroleum)'!$V$9,'Assumptions (Petroleum)'!$V$4*Model!$U$2231*AVERAGE('Assumptions (Petroleum)'!$Q$2:$S$2)/10^9),0)</f>
        <v>#NUM!</v>
      </c>
      <c r="AL2306" s="105" t="e">
        <f>IF($U$2231&gt;0,PPMT('Assumptions (Petroleum)'!$V$6,Model!AN$1,'Assumptions (Petroleum)'!$V$9,'Assumptions (Petroleum)'!$V$4*Model!$U$2231*AVERAGE('Assumptions (Petroleum)'!$Q$2:$S$2)/10^9),0)</f>
        <v>#NUM!</v>
      </c>
      <c r="AM2306" s="105" t="e">
        <f>IF($U$2231&gt;0,PPMT('Assumptions (Petroleum)'!$V$6,Model!AO$1,'Assumptions (Petroleum)'!$V$9,'Assumptions (Petroleum)'!$V$4*Model!$U$2231*AVERAGE('Assumptions (Petroleum)'!$Q$2:$S$2)/10^9),0)</f>
        <v>#NUM!</v>
      </c>
      <c r="AN2306" s="105" t="e">
        <f>IF($U$2231&gt;0,PPMT('Assumptions (Petroleum)'!$V$6,Model!AP$1,'Assumptions (Petroleum)'!$V$9,'Assumptions (Petroleum)'!$V$4*Model!$U$2231*AVERAGE('Assumptions (Petroleum)'!$Q$2:$S$2)/10^9),0)</f>
        <v>#NUM!</v>
      </c>
      <c r="AO2306" s="105" t="e">
        <f>IF($U$2231&gt;0,PPMT('Assumptions (Petroleum)'!$V$6,Model!AQ$1,'Assumptions (Petroleum)'!$V$9,'Assumptions (Petroleum)'!$V$4*Model!$U$2231*AVERAGE('Assumptions (Petroleum)'!$Q$2:$S$2)/10^9),0)</f>
        <v>#NUM!</v>
      </c>
      <c r="AP2306" s="105" t="e">
        <f>IF($U$2231&gt;0,PPMT('Assumptions (Petroleum)'!$V$6,Model!AR$1,'Assumptions (Petroleum)'!$V$9,'Assumptions (Petroleum)'!$V$4*Model!$U$2231*AVERAGE('Assumptions (Petroleum)'!$Q$2:$S$2)/10^9),0)</f>
        <v>#NUM!</v>
      </c>
      <c r="AQ2306" s="105" t="e">
        <f>IF($U$2231&gt;0,PPMT('Assumptions (Petroleum)'!$V$6,Model!AS$1,'Assumptions (Petroleum)'!$V$9,'Assumptions (Petroleum)'!$V$4*Model!$U$2231*AVERAGE('Assumptions (Petroleum)'!$Q$2:$S$2)/10^9),0)</f>
        <v>#NUM!</v>
      </c>
      <c r="AR2306" s="105" t="e">
        <f>IF($U$2231&gt;0,PPMT('Assumptions (Petroleum)'!$V$6,Model!AT$1,'Assumptions (Petroleum)'!$V$9,'Assumptions (Petroleum)'!$V$4*Model!$U$2231*AVERAGE('Assumptions (Petroleum)'!$Q$2:$S$2)/10^9),0)</f>
        <v>#NUM!</v>
      </c>
      <c r="AS2306" s="105" t="e">
        <f>IF($U$2231&gt;0,PPMT('Assumptions (Petroleum)'!$V$6,Model!AU$1,'Assumptions (Petroleum)'!$V$9,'Assumptions (Petroleum)'!$V$4*Model!$U$2231*AVERAGE('Assumptions (Petroleum)'!$Q$2:$S$2)/10^9),0)</f>
        <v>#NUM!</v>
      </c>
    </row>
    <row r="2307" spans="1:59" ht="15.75" hidden="1" customHeight="1" outlineLevel="1">
      <c r="A2307" s="447"/>
      <c r="B2307" s="99"/>
      <c r="C2307" s="105"/>
      <c r="D2307" s="105"/>
      <c r="E2307" s="105"/>
      <c r="F2307" s="105"/>
      <c r="G2307" s="105"/>
      <c r="H2307" s="105"/>
      <c r="I2307" s="105"/>
      <c r="J2307" s="105"/>
      <c r="K2307" s="105"/>
      <c r="L2307" s="105"/>
      <c r="M2307" s="105"/>
      <c r="N2307" s="105"/>
      <c r="O2307" s="105"/>
      <c r="P2307" s="171"/>
      <c r="Q2307" s="105"/>
      <c r="R2307" s="91"/>
      <c r="S2307" s="91"/>
      <c r="T2307" s="91"/>
      <c r="U2307" s="105"/>
      <c r="V2307" s="105">
        <f>IF($V$2231&gt;0,PPMT('Assumptions (Petroleum)'!$V$6,Model!W$1,'Assumptions (Petroleum)'!$V$9,'Assumptions (Petroleum)'!$V$4*Model!$V$2231*AVERAGE('Assumptions (Petroleum)'!$R$2:$T$2)/10^9),0)</f>
        <v>-5.1131674684764975E-4</v>
      </c>
      <c r="W2307" s="105">
        <f>IF($V$2231&gt;0,PPMT('Assumptions (Petroleum)'!$V$6,Model!X$1,'Assumptions (Petroleum)'!$V$9,'Assumptions (Petroleum)'!$V$4*Model!$V$2231*AVERAGE('Assumptions (Petroleum)'!$R$2:$T$2)/10^9),0)</f>
        <v>-5.3560429232291313E-4</v>
      </c>
      <c r="X2307" s="105">
        <f>IF($V$2231&gt;0,PPMT('Assumptions (Petroleum)'!$V$6,Model!Y$1,'Assumptions (Petroleum)'!$V$9,'Assumptions (Petroleum)'!$V$4*Model!$V$2231*AVERAGE('Assumptions (Petroleum)'!$R$2:$T$2)/10^9),0)</f>
        <v>-5.610454962082516E-4</v>
      </c>
      <c r="Y2307" s="105">
        <f>IF($V$2231&gt;0,PPMT('Assumptions (Petroleum)'!$V$6,Model!Z$1,'Assumptions (Petroleum)'!$V$9,'Assumptions (Petroleum)'!$V$4*Model!$V$2231*AVERAGE('Assumptions (Petroleum)'!$R$2:$T$2)/10^9),0)</f>
        <v>-5.8769515727814347E-4</v>
      </c>
      <c r="Z2307" s="105">
        <f>IF($V$2231&gt;0,PPMT('Assumptions (Petroleum)'!$V$6,Model!AA$1,'Assumptions (Petroleum)'!$V$9,'Assumptions (Petroleum)'!$V$4*Model!$V$2231*AVERAGE('Assumptions (Petroleum)'!$R$2:$T$2)/10^9),0)</f>
        <v>-6.1561067724885525E-4</v>
      </c>
      <c r="AA2307" s="105">
        <f>IF($V$2231&gt;0,PPMT('Assumptions (Petroleum)'!$V$6,Model!AB$1,'Assumptions (Petroleum)'!$V$9,'Assumptions (Petroleum)'!$V$4*Model!$V$2231*AVERAGE('Assumptions (Petroleum)'!$R$2:$T$2)/10^9),0)</f>
        <v>-6.4485218441817595E-4</v>
      </c>
      <c r="AB2307" s="105">
        <f>IF($V$2231&gt;0,PPMT('Assumptions (Petroleum)'!$V$6,Model!AC$1,'Assumptions (Petroleum)'!$V$9,'Assumptions (Petroleum)'!$V$4*Model!$V$2231*AVERAGE('Assumptions (Petroleum)'!$R$2:$T$2)/10^9),0)</f>
        <v>-6.7548266317803932E-4</v>
      </c>
      <c r="AC2307" s="105">
        <f>IF($V$2231&gt;0,PPMT('Assumptions (Petroleum)'!$V$6,Model!AD$1,'Assumptions (Petroleum)'!$V$9,'Assumptions (Petroleum)'!$V$4*Model!$V$2231*AVERAGE('Assumptions (Petroleum)'!$R$2:$T$2)/10^9),0)</f>
        <v>-7.0756808967899611E-4</v>
      </c>
      <c r="AD2307" s="105">
        <f>IF($V$2231&gt;0,PPMT('Assumptions (Petroleum)'!$V$6,Model!AE$1,'Assumptions (Petroleum)'!$V$9,'Assumptions (Petroleum)'!$V$4*Model!$V$2231*AVERAGE('Assumptions (Petroleum)'!$R$2:$T$2)/10^9),0)</f>
        <v>-7.411775739387484E-4</v>
      </c>
      <c r="AE2307" s="105">
        <f>IF($V$2231&gt;0,PPMT('Assumptions (Petroleum)'!$V$6,Model!AF$1,'Assumptions (Petroleum)'!$V$9,'Assumptions (Petroleum)'!$V$4*Model!$V$2231*AVERAGE('Assumptions (Petroleum)'!$R$2:$T$2)/10^9),0)</f>
        <v>-7.7638350870083911E-4</v>
      </c>
      <c r="AF2307" s="105">
        <f>IF($V$2231&gt;0,PPMT('Assumptions (Petroleum)'!$V$6,Model!AG$1,'Assumptions (Petroleum)'!$V$9,'Assumptions (Petroleum)'!$V$4*Model!$V$2231*AVERAGE('Assumptions (Petroleum)'!$R$2:$T$2)/10^9),0)</f>
        <v>-8.1326172536412902E-4</v>
      </c>
      <c r="AG2307" s="105">
        <f>IF($V$2231&gt;0,PPMT('Assumptions (Petroleum)'!$V$6,Model!AH$1,'Assumptions (Petroleum)'!$V$9,'Assumptions (Petroleum)'!$V$4*Model!$V$2231*AVERAGE('Assumptions (Petroleum)'!$R$2:$T$2)/10^9),0)</f>
        <v>-8.51891657318925E-4</v>
      </c>
      <c r="AH2307" s="105">
        <f>IF($V$2231&gt;0,PPMT('Assumptions (Petroleum)'!$V$6,Model!AI$1,'Assumptions (Petroleum)'!$V$9,'Assumptions (Petroleum)'!$V$4*Model!$V$2231*AVERAGE('Assumptions (Petroleum)'!$R$2:$T$2)/10^9),0)</f>
        <v>-8.9235651104157393E-4</v>
      </c>
      <c r="AI2307" s="105">
        <f>IF($V$2231&gt;0,PPMT('Assumptions (Petroleum)'!$V$6,Model!AJ$1,'Assumptions (Petroleum)'!$V$9,'Assumptions (Petroleum)'!$V$4*Model!$V$2231*AVERAGE('Assumptions (Petroleum)'!$R$2:$T$2)/10^9),0)</f>
        <v>-9.3474344531604872E-4</v>
      </c>
      <c r="AJ2307" s="105">
        <f>IF($V$2231&gt;0,PPMT('Assumptions (Petroleum)'!$V$6,Model!AK$1,'Assumptions (Petroleum)'!$V$9,'Assumptions (Petroleum)'!$V$4*Model!$V$2231*AVERAGE('Assumptions (Petroleum)'!$R$2:$T$2)/10^9),0)</f>
        <v>-9.7914375896856099E-4</v>
      </c>
      <c r="AK2307" s="105" t="e">
        <f>IF($V$2231&gt;0,PPMT('Assumptions (Petroleum)'!$V$6,Model!AL$1,'Assumptions (Petroleum)'!$V$9,'Assumptions (Petroleum)'!$V$4*Model!$V$2231*AVERAGE('Assumptions (Petroleum)'!$R$2:$T$2)/10^9),0)</f>
        <v>#NUM!</v>
      </c>
      <c r="AL2307" s="105" t="e">
        <f>IF($V$2231&gt;0,PPMT('Assumptions (Petroleum)'!$V$6,Model!AM$1,'Assumptions (Petroleum)'!$V$9,'Assumptions (Petroleum)'!$V$4*Model!$V$2231*AVERAGE('Assumptions (Petroleum)'!$R$2:$T$2)/10^9),0)</f>
        <v>#NUM!</v>
      </c>
      <c r="AM2307" s="105" t="e">
        <f>IF($V$2231&gt;0,PPMT('Assumptions (Petroleum)'!$V$6,Model!AN$1,'Assumptions (Petroleum)'!$V$9,'Assumptions (Petroleum)'!$V$4*Model!$V$2231*AVERAGE('Assumptions (Petroleum)'!$R$2:$T$2)/10^9),0)</f>
        <v>#NUM!</v>
      </c>
      <c r="AN2307" s="105" t="e">
        <f>IF($V$2231&gt;0,PPMT('Assumptions (Petroleum)'!$V$6,Model!AO$1,'Assumptions (Petroleum)'!$V$9,'Assumptions (Petroleum)'!$V$4*Model!$V$2231*AVERAGE('Assumptions (Petroleum)'!$R$2:$T$2)/10^9),0)</f>
        <v>#NUM!</v>
      </c>
      <c r="AO2307" s="105" t="e">
        <f>IF($V$2231&gt;0,PPMT('Assumptions (Petroleum)'!$V$6,Model!AP$1,'Assumptions (Petroleum)'!$V$9,'Assumptions (Petroleum)'!$V$4*Model!$V$2231*AVERAGE('Assumptions (Petroleum)'!$R$2:$T$2)/10^9),0)</f>
        <v>#NUM!</v>
      </c>
      <c r="AP2307" s="105" t="e">
        <f>IF($V$2231&gt;0,PPMT('Assumptions (Petroleum)'!$V$6,Model!AQ$1,'Assumptions (Petroleum)'!$V$9,'Assumptions (Petroleum)'!$V$4*Model!$V$2231*AVERAGE('Assumptions (Petroleum)'!$R$2:$T$2)/10^9),0)</f>
        <v>#NUM!</v>
      </c>
      <c r="AQ2307" s="105" t="e">
        <f>IF($V$2231&gt;0,PPMT('Assumptions (Petroleum)'!$V$6,Model!AR$1,'Assumptions (Petroleum)'!$V$9,'Assumptions (Petroleum)'!$V$4*Model!$V$2231*AVERAGE('Assumptions (Petroleum)'!$R$2:$T$2)/10^9),0)</f>
        <v>#NUM!</v>
      </c>
      <c r="AR2307" s="105" t="e">
        <f>IF($V$2231&gt;0,PPMT('Assumptions (Petroleum)'!$V$6,Model!AS$1,'Assumptions (Petroleum)'!$V$9,'Assumptions (Petroleum)'!$V$4*Model!$V$2231*AVERAGE('Assumptions (Petroleum)'!$R$2:$T$2)/10^9),0)</f>
        <v>#NUM!</v>
      </c>
      <c r="AS2307" s="105" t="e">
        <f>IF($V$2231&gt;0,PPMT('Assumptions (Petroleum)'!$V$6,Model!AT$1,'Assumptions (Petroleum)'!$V$9,'Assumptions (Petroleum)'!$V$4*Model!$V$2231*AVERAGE('Assumptions (Petroleum)'!$R$2:$T$2)/10^9),0)</f>
        <v>#NUM!</v>
      </c>
      <c r="AT2307" s="105" t="e">
        <f>IF($V$2231&gt;0,PPMT('Assumptions (Petroleum)'!$V$6,Model!AU$1,'Assumptions (Petroleum)'!$V$9,'Assumptions (Petroleum)'!$V$4*Model!$V$2231*AVERAGE('Assumptions (Petroleum)'!$R$2:$T$2)/10^9),0)</f>
        <v>#NUM!</v>
      </c>
    </row>
    <row r="2308" spans="1:59" ht="15.75" hidden="1" customHeight="1" outlineLevel="1">
      <c r="A2308" s="447"/>
      <c r="B2308" s="99"/>
      <c r="C2308" s="99"/>
      <c r="D2308" s="99"/>
      <c r="E2308" s="99"/>
      <c r="F2308" s="99"/>
      <c r="G2308" s="99"/>
      <c r="H2308" s="99"/>
      <c r="I2308" s="99"/>
      <c r="J2308" s="99"/>
      <c r="K2308" s="99"/>
      <c r="L2308" s="99"/>
      <c r="M2308" s="99"/>
      <c r="N2308" s="99"/>
      <c r="O2308" s="99"/>
      <c r="P2308" s="99"/>
      <c r="Q2308" s="99"/>
      <c r="R2308" s="99"/>
      <c r="S2308" s="99"/>
      <c r="T2308" s="99"/>
      <c r="U2308" s="99"/>
      <c r="V2308" s="99"/>
      <c r="W2308" s="105">
        <f>IF($W$2231&gt;0,PPMT('Assumptions (Petroleum)'!$V$6,Model!W$1,'Assumptions (Petroleum)'!$V$9,'Assumptions (Petroleum)'!$V$4*Model!$W$2231*AVERAGE('Assumptions (Petroleum)'!$S$2:$U$2)/10^9),0)</f>
        <v>0</v>
      </c>
      <c r="X2308" s="105">
        <f>IF($W$2231&gt;0,PPMT('Assumptions (Petroleum)'!$V$6,Model!X$1,'Assumptions (Petroleum)'!$V$9,'Assumptions (Petroleum)'!$V$4*Model!$W$2231*AVERAGE('Assumptions (Petroleum)'!$S$2:$U$2)/10^9),0)</f>
        <v>0</v>
      </c>
      <c r="Y2308" s="105">
        <f>IF($W$2231&gt;0,PPMT('Assumptions (Petroleum)'!$V$6,Model!Y$1,'Assumptions (Petroleum)'!$V$9,'Assumptions (Petroleum)'!$V$4*Model!$W$2231*AVERAGE('Assumptions (Petroleum)'!$S$2:$U$2)/10^9),0)</f>
        <v>0</v>
      </c>
      <c r="Z2308" s="105">
        <f>IF($W$2231&gt;0,PPMT('Assumptions (Petroleum)'!$V$6,Model!Z$1,'Assumptions (Petroleum)'!$V$9,'Assumptions (Petroleum)'!$V$4*Model!$W$2231*AVERAGE('Assumptions (Petroleum)'!$S$2:$U$2)/10^9),0)</f>
        <v>0</v>
      </c>
      <c r="AA2308" s="105">
        <f>IF($W$2231&gt;0,PPMT('Assumptions (Petroleum)'!$V$6,Model!AA$1,'Assumptions (Petroleum)'!$V$9,'Assumptions (Petroleum)'!$V$4*Model!$W$2231*AVERAGE('Assumptions (Petroleum)'!$S$2:$U$2)/10^9),0)</f>
        <v>0</v>
      </c>
      <c r="AB2308" s="105">
        <f>IF($W$2231&gt;0,PPMT('Assumptions (Petroleum)'!$V$6,Model!AB$1,'Assumptions (Petroleum)'!$V$9,'Assumptions (Petroleum)'!$V$4*Model!$W$2231*AVERAGE('Assumptions (Petroleum)'!$S$2:$U$2)/10^9),0)</f>
        <v>0</v>
      </c>
      <c r="AC2308" s="105">
        <f>IF($W$2231&gt;0,PPMT('Assumptions (Petroleum)'!$V$6,Model!AC$1,'Assumptions (Petroleum)'!$V$9,'Assumptions (Petroleum)'!$V$4*Model!$W$2231*AVERAGE('Assumptions (Petroleum)'!$S$2:$U$2)/10^9),0)</f>
        <v>0</v>
      </c>
      <c r="AD2308" s="105">
        <f>IF($W$2231&gt;0,PPMT('Assumptions (Petroleum)'!$V$6,Model!AD$1,'Assumptions (Petroleum)'!$V$9,'Assumptions (Petroleum)'!$V$4*Model!$W$2231*AVERAGE('Assumptions (Petroleum)'!$S$2:$U$2)/10^9),0)</f>
        <v>0</v>
      </c>
      <c r="AE2308" s="105">
        <f>IF($W$2231&gt;0,PPMT('Assumptions (Petroleum)'!$V$6,Model!AE$1,'Assumptions (Petroleum)'!$V$9,'Assumptions (Petroleum)'!$V$4*Model!$W$2231*AVERAGE('Assumptions (Petroleum)'!$S$2:$U$2)/10^9),0)</f>
        <v>0</v>
      </c>
      <c r="AF2308" s="105">
        <f>IF($W$2231&gt;0,PPMT('Assumptions (Petroleum)'!$V$6,Model!AF$1,'Assumptions (Petroleum)'!$V$9,'Assumptions (Petroleum)'!$V$4*Model!$W$2231*AVERAGE('Assumptions (Petroleum)'!$S$2:$U$2)/10^9),0)</f>
        <v>0</v>
      </c>
      <c r="AG2308" s="105">
        <f>IF($W$2231&gt;0,PPMT('Assumptions (Petroleum)'!$V$6,Model!AG$1,'Assumptions (Petroleum)'!$V$9,'Assumptions (Petroleum)'!$V$4*Model!$W$2231*AVERAGE('Assumptions (Petroleum)'!$S$2:$U$2)/10^9),0)</f>
        <v>0</v>
      </c>
      <c r="AH2308" s="105">
        <f>IF($W$2231&gt;0,PPMT('Assumptions (Petroleum)'!$V$6,Model!AH$1,'Assumptions (Petroleum)'!$V$9,'Assumptions (Petroleum)'!$V$4*Model!$W$2231*AVERAGE('Assumptions (Petroleum)'!$S$2:$U$2)/10^9),0)</f>
        <v>0</v>
      </c>
      <c r="AI2308" s="105">
        <f>IF($W$2231&gt;0,PPMT('Assumptions (Petroleum)'!$V$6,Model!AI$1,'Assumptions (Petroleum)'!$V$9,'Assumptions (Petroleum)'!$V$4*Model!$W$2231*AVERAGE('Assumptions (Petroleum)'!$S$2:$U$2)/10^9),0)</f>
        <v>0</v>
      </c>
      <c r="AJ2308" s="105">
        <f>IF($W$2231&gt;0,PPMT('Assumptions (Petroleum)'!$V$6,Model!AJ$1,'Assumptions (Petroleum)'!$V$9,'Assumptions (Petroleum)'!$V$4*Model!$W$2231*AVERAGE('Assumptions (Petroleum)'!$S$2:$U$2)/10^9),0)</f>
        <v>0</v>
      </c>
      <c r="AK2308" s="105">
        <f>IF($W$2231&gt;0,PPMT('Assumptions (Petroleum)'!$V$6,Model!AK$1,'Assumptions (Petroleum)'!$V$9,'Assumptions (Petroleum)'!$V$4*Model!$W$2231*AVERAGE('Assumptions (Petroleum)'!$S$2:$U$2)/10^9),0)</f>
        <v>0</v>
      </c>
      <c r="AL2308" s="105">
        <f>IF($W$2231&gt;0,PPMT('Assumptions (Petroleum)'!$V$6,Model!AL$1,'Assumptions (Petroleum)'!$V$9,'Assumptions (Petroleum)'!$V$4*Model!$W$2231*AVERAGE('Assumptions (Petroleum)'!$S$2:$U$2)/10^9),0)</f>
        <v>0</v>
      </c>
      <c r="AM2308" s="105">
        <f>IF($W$2231&gt;0,PPMT('Assumptions (Petroleum)'!$V$6,Model!AM$1,'Assumptions (Petroleum)'!$V$9,'Assumptions (Petroleum)'!$V$4*Model!$W$2231*AVERAGE('Assumptions (Petroleum)'!$S$2:$U$2)/10^9),0)</f>
        <v>0</v>
      </c>
      <c r="AN2308" s="105">
        <f>IF($W$2231&gt;0,PPMT('Assumptions (Petroleum)'!$V$6,Model!AN$1,'Assumptions (Petroleum)'!$V$9,'Assumptions (Petroleum)'!$V$4*Model!$W$2231*AVERAGE('Assumptions (Petroleum)'!$S$2:$U$2)/10^9),0)</f>
        <v>0</v>
      </c>
      <c r="AO2308" s="105">
        <f>IF($W$2231&gt;0,PPMT('Assumptions (Petroleum)'!$V$6,Model!AO$1,'Assumptions (Petroleum)'!$V$9,'Assumptions (Petroleum)'!$V$4*Model!$W$2231*AVERAGE('Assumptions (Petroleum)'!$S$2:$U$2)/10^9),0)</f>
        <v>0</v>
      </c>
      <c r="AP2308" s="105">
        <f>IF($W$2231&gt;0,PPMT('Assumptions (Petroleum)'!$V$6,Model!AP$1,'Assumptions (Petroleum)'!$V$9,'Assumptions (Petroleum)'!$V$4*Model!$W$2231*'Assumptions (Petroleum)'!$V$2/10^9),0)</f>
        <v>0</v>
      </c>
      <c r="AQ2308" s="105">
        <f>IF($W$2231&gt;0,PPMT('Assumptions (Petroleum)'!$V$6,Model!AQ$1,'Assumptions (Petroleum)'!$V$9,'Assumptions (Petroleum)'!$V$4*Model!$W$2231*'Assumptions (Petroleum)'!$V$2/10^9),0)</f>
        <v>0</v>
      </c>
      <c r="AR2308" s="105">
        <f>IF($W$2231&gt;0,PPMT('Assumptions (Petroleum)'!$V$6,Model!AR$1,'Assumptions (Petroleum)'!$V$9,'Assumptions (Petroleum)'!$V$4*Model!$W$2231*'Assumptions (Petroleum)'!$V$2/10^9),0)</f>
        <v>0</v>
      </c>
      <c r="AS2308" s="105">
        <f>IF($W$2231&gt;0,PPMT('Assumptions (Petroleum)'!$V$6,Model!AS$1,'Assumptions (Petroleum)'!$V$9,'Assumptions (Petroleum)'!$V$4*Model!$W$2231*'Assumptions (Petroleum)'!$V$2/10^9),0)</f>
        <v>0</v>
      </c>
      <c r="AT2308" s="105">
        <f>IF($W$2231&gt;0,PPMT('Assumptions (Petroleum)'!$V$6,Model!AT$1,'Assumptions (Petroleum)'!$V$9,'Assumptions (Petroleum)'!$V$4*Model!$W$2231*'Assumptions (Petroleum)'!$V$2/10^9),0)</f>
        <v>0</v>
      </c>
      <c r="AU2308" s="105">
        <f>IF($W$2231&gt;0,PPMT('Assumptions (Petroleum)'!$V$6,Model!AU$1,'Assumptions (Petroleum)'!$V$9,'Assumptions (Petroleum)'!$V$4*Model!$W$2231*'Assumptions (Petroleum)'!$V$2/10^9),0)</f>
        <v>0</v>
      </c>
      <c r="AV2308" s="105"/>
      <c r="AW2308" s="105"/>
      <c r="AX2308" s="105"/>
      <c r="AY2308" s="105"/>
      <c r="AZ2308" s="105"/>
      <c r="BA2308" s="105"/>
    </row>
    <row r="2309" spans="1:59" ht="15.75" hidden="1" customHeight="1" outlineLevel="1">
      <c r="A2309" s="447"/>
      <c r="B2309" s="99"/>
      <c r="C2309" s="99"/>
      <c r="D2309" s="99"/>
      <c r="E2309" s="99"/>
      <c r="F2309" s="99"/>
      <c r="G2309" s="99"/>
      <c r="H2309" s="99"/>
      <c r="I2309" s="99"/>
      <c r="J2309" s="99"/>
      <c r="K2309" s="99"/>
      <c r="L2309" s="99"/>
      <c r="M2309" s="99"/>
      <c r="N2309" s="99"/>
      <c r="O2309" s="99"/>
      <c r="P2309" s="99"/>
      <c r="Q2309" s="99"/>
      <c r="R2309" s="99"/>
      <c r="S2309" s="99"/>
      <c r="T2309" s="99"/>
      <c r="U2309" s="99"/>
      <c r="V2309" s="99"/>
      <c r="W2309" s="105"/>
      <c r="X2309" s="105">
        <f>IF($X$2231&gt;0,PPMT('Assumptions (Petroleum)'!$V$6,Model!W$1,'Assumptions (Petroleum)'!$V$9,'Assumptions (Petroleum)'!$V$4*Model!$X$2231*AVERAGE('Assumptions (Petroleum)'!$T$2:$V$2)/10^9),0)</f>
        <v>0</v>
      </c>
      <c r="Y2309" s="105">
        <f>IF($X$2231&gt;0,PPMT('Assumptions (Petroleum)'!$V$6,Model!X$1,'Assumptions (Petroleum)'!$V$9,'Assumptions (Petroleum)'!$V$4*Model!$X$2231*AVERAGE('Assumptions (Petroleum)'!$T$2:$V$2)/10^9),0)</f>
        <v>0</v>
      </c>
      <c r="Z2309" s="105">
        <f>IF($X$2231&gt;0,PPMT('Assumptions (Petroleum)'!$V$6,Model!Y$1,'Assumptions (Petroleum)'!$V$9,'Assumptions (Petroleum)'!$V$4*Model!$X$2231*AVERAGE('Assumptions (Petroleum)'!$T$2:$V$2)/10^9),0)</f>
        <v>0</v>
      </c>
      <c r="AA2309" s="105">
        <f>IF($X$2231&gt;0,PPMT('Assumptions (Petroleum)'!$V$6,Model!Z$1,'Assumptions (Petroleum)'!$V$9,'Assumptions (Petroleum)'!$V$4*Model!$X$2231*AVERAGE('Assumptions (Petroleum)'!$T$2:$V$2)/10^9),0)</f>
        <v>0</v>
      </c>
      <c r="AB2309" s="105">
        <f>IF($X$2231&gt;0,PPMT('Assumptions (Petroleum)'!$V$6,Model!AA$1,'Assumptions (Petroleum)'!$V$9,'Assumptions (Petroleum)'!$V$4*Model!$X$2231*AVERAGE('Assumptions (Petroleum)'!$T$2:$V$2)/10^9),0)</f>
        <v>0</v>
      </c>
      <c r="AC2309" s="105">
        <f>IF($X$2231&gt;0,PPMT('Assumptions (Petroleum)'!$V$6,Model!AB$1,'Assumptions (Petroleum)'!$V$9,'Assumptions (Petroleum)'!$V$4*Model!$X$2231*AVERAGE('Assumptions (Petroleum)'!$T$2:$V$2)/10^9),0)</f>
        <v>0</v>
      </c>
      <c r="AD2309" s="105">
        <f>IF($X$2231&gt;0,PPMT('Assumptions (Petroleum)'!$V$6,Model!AC$1,'Assumptions (Petroleum)'!$V$9,'Assumptions (Petroleum)'!$V$4*Model!$X$2231*AVERAGE('Assumptions (Petroleum)'!$T$2:$V$2)/10^9),0)</f>
        <v>0</v>
      </c>
      <c r="AE2309" s="105">
        <f>IF($X$2231&gt;0,PPMT('Assumptions (Petroleum)'!$V$6,Model!AD$1,'Assumptions (Petroleum)'!$V$9,'Assumptions (Petroleum)'!$V$4*Model!$X$2231*AVERAGE('Assumptions (Petroleum)'!$T$2:$V$2)/10^9),0)</f>
        <v>0</v>
      </c>
      <c r="AF2309" s="105">
        <f>IF($X$2231&gt;0,PPMT('Assumptions (Petroleum)'!$V$6,Model!AE$1,'Assumptions (Petroleum)'!$V$9,'Assumptions (Petroleum)'!$V$4*Model!$X$2231*AVERAGE('Assumptions (Petroleum)'!$T$2:$V$2)/10^9),0)</f>
        <v>0</v>
      </c>
      <c r="AG2309" s="105">
        <f>IF($X$2231&gt;0,PPMT('Assumptions (Petroleum)'!$V$6,Model!AF$1,'Assumptions (Petroleum)'!$V$9,'Assumptions (Petroleum)'!$V$4*Model!$X$2231*AVERAGE('Assumptions (Petroleum)'!$T$2:$V$2)/10^9),0)</f>
        <v>0</v>
      </c>
      <c r="AH2309" s="105">
        <f>IF($X$2231&gt;0,PPMT('Assumptions (Petroleum)'!$V$6,Model!AG$1,'Assumptions (Petroleum)'!$V$9,'Assumptions (Petroleum)'!$V$4*Model!$X$2231*AVERAGE('Assumptions (Petroleum)'!$T$2:$V$2)/10^9),0)</f>
        <v>0</v>
      </c>
      <c r="AI2309" s="105">
        <f>IF($X$2231&gt;0,PPMT('Assumptions (Petroleum)'!$V$6,Model!AH$1,'Assumptions (Petroleum)'!$V$9,'Assumptions (Petroleum)'!$V$4*Model!$X$2231*AVERAGE('Assumptions (Petroleum)'!$T$2:$V$2)/10^9),0)</f>
        <v>0</v>
      </c>
      <c r="AJ2309" s="105">
        <f>IF($X$2231&gt;0,PPMT('Assumptions (Petroleum)'!$V$6,Model!AI$1,'Assumptions (Petroleum)'!$V$9,'Assumptions (Petroleum)'!$V$4*Model!$X$2231*AVERAGE('Assumptions (Petroleum)'!$T$2:$V$2)/10^9),0)</f>
        <v>0</v>
      </c>
      <c r="AK2309" s="105">
        <f>IF($X$2231&gt;0,PPMT('Assumptions (Petroleum)'!$V$6,Model!AJ$1,'Assumptions (Petroleum)'!$V$9,'Assumptions (Petroleum)'!$V$4*Model!$X$2231*AVERAGE('Assumptions (Petroleum)'!$T$2:$V$2)/10^9),0)</f>
        <v>0</v>
      </c>
      <c r="AL2309" s="105">
        <f>IF($X$2231&gt;0,PPMT('Assumptions (Petroleum)'!$V$6,Model!AK$1,'Assumptions (Petroleum)'!$V$9,'Assumptions (Petroleum)'!$V$4*Model!$X$2231*AVERAGE('Assumptions (Petroleum)'!$T$2:$V$2)/10^9),0)</f>
        <v>0</v>
      </c>
      <c r="AM2309" s="105">
        <f>IF($X$2231&gt;0,PPMT('Assumptions (Petroleum)'!$V$6,Model!AL$1,'Assumptions (Petroleum)'!$V$9,'Assumptions (Petroleum)'!$V$4*Model!$X$2231*'Assumptions (Petroleum)'!$V$2/10^9),0)</f>
        <v>0</v>
      </c>
      <c r="AN2309" s="105">
        <f>IF($X$2231&gt;0,PPMT('Assumptions (Petroleum)'!$V$6,Model!AM$1,'Assumptions (Petroleum)'!$V$9,'Assumptions (Petroleum)'!$V$4*Model!$X$2231*'Assumptions (Petroleum)'!$V$2/10^9),0)</f>
        <v>0</v>
      </c>
      <c r="AO2309" s="105">
        <f>IF($X$2231&gt;0,PPMT('Assumptions (Petroleum)'!$V$6,Model!AN$1,'Assumptions (Petroleum)'!$V$9,'Assumptions (Petroleum)'!$V$4*Model!$X$2231*'Assumptions (Petroleum)'!$V$2/10^9),0)</f>
        <v>0</v>
      </c>
      <c r="AP2309" s="105">
        <f>IF($X$2231&gt;0,PPMT('Assumptions (Petroleum)'!$V$6,Model!AO$1,'Assumptions (Petroleum)'!$V$9,'Assumptions (Petroleum)'!$V$4*Model!$X$2231*'Assumptions (Petroleum)'!$V$2/10^9),0)</f>
        <v>0</v>
      </c>
      <c r="AQ2309" s="105">
        <f>IF($X$2231&gt;0,PPMT('Assumptions (Petroleum)'!$V$6,Model!AP$1,'Assumptions (Petroleum)'!$V$9,'Assumptions (Petroleum)'!$V$4*Model!$X$2231*'Assumptions (Petroleum)'!$V$2/10^9),0)</f>
        <v>0</v>
      </c>
      <c r="AR2309" s="105">
        <f>IF($X$2231&gt;0,PPMT('Assumptions (Petroleum)'!$V$6,Model!AQ$1,'Assumptions (Petroleum)'!$V$9,'Assumptions (Petroleum)'!$V$4*Model!$X$2231*'Assumptions (Petroleum)'!$V$2/10^9),0)</f>
        <v>0</v>
      </c>
      <c r="AS2309" s="105">
        <f>IF($X$2231&gt;0,PPMT('Assumptions (Petroleum)'!$V$6,Model!AR$1,'Assumptions (Petroleum)'!$V$9,'Assumptions (Petroleum)'!$V$4*Model!$X$2231*'Assumptions (Petroleum)'!$V$2/10^9),0)</f>
        <v>0</v>
      </c>
      <c r="AT2309" s="105">
        <f>IF($X$2231&gt;0,PPMT('Assumptions (Petroleum)'!$V$6,Model!AS$1,'Assumptions (Petroleum)'!$V$9,'Assumptions (Petroleum)'!$V$4*Model!$X$2231*'Assumptions (Petroleum)'!$V$2/10^9),0)</f>
        <v>0</v>
      </c>
      <c r="AU2309" s="105">
        <f>IF($X$2231&gt;0,PPMT('Assumptions (Petroleum)'!$V$6,Model!AT$1,'Assumptions (Petroleum)'!$V$9,'Assumptions (Petroleum)'!$V$4*Model!$X$2231*'Assumptions (Petroleum)'!$V$2/10^9),0)</f>
        <v>0</v>
      </c>
      <c r="AV2309" s="105">
        <f>IF($X$2231&gt;0,PPMT('Assumptions (Petroleum)'!$V$6,Model!AU$1,'Assumptions (Petroleum)'!$V$9,'Assumptions (Petroleum)'!$V$4*Model!$X$2231*'Assumptions (Petroleum)'!$V$2/10^9),0)</f>
        <v>0</v>
      </c>
      <c r="AW2309" s="105"/>
      <c r="AX2309" s="105"/>
      <c r="AY2309" s="105"/>
      <c r="AZ2309" s="105"/>
      <c r="BA2309" s="105"/>
    </row>
    <row r="2310" spans="1:59" ht="15.75" hidden="1" customHeight="1" outlineLevel="1">
      <c r="A2310" s="447"/>
      <c r="B2310" s="99"/>
      <c r="C2310" s="99"/>
      <c r="D2310" s="99"/>
      <c r="E2310" s="99"/>
      <c r="F2310" s="99"/>
      <c r="G2310" s="99"/>
      <c r="H2310" s="99"/>
      <c r="I2310" s="99"/>
      <c r="J2310" s="99"/>
      <c r="K2310" s="99"/>
      <c r="L2310" s="99"/>
      <c r="M2310" s="99"/>
      <c r="N2310" s="99"/>
      <c r="O2310" s="99"/>
      <c r="P2310" s="99"/>
      <c r="Q2310" s="99"/>
      <c r="R2310" s="99"/>
      <c r="S2310" s="99"/>
      <c r="T2310" s="99"/>
      <c r="U2310" s="99"/>
      <c r="V2310" s="99"/>
      <c r="W2310" s="105"/>
      <c r="X2310" s="105"/>
      <c r="Y2310" s="105">
        <f>IF($Y$2231&gt;0,PPMT('Assumptions (Petroleum)'!$V$6,Model!W$1,'Assumptions (Petroleum)'!$V$9,'Assumptions (Petroleum)'!$V$4*Model!$Y$2231*AVERAGE('Assumptions (Petroleum)'!$U$2:$W$2)/10^9),0)</f>
        <v>0</v>
      </c>
      <c r="Z2310" s="105">
        <f>IF($Y$2231&gt;0,PPMT('Assumptions (Petroleum)'!$V$6,Model!X$1,'Assumptions (Petroleum)'!$V$9,'Assumptions (Petroleum)'!$V$4*Model!$Y$2231*AVERAGE('Assumptions (Petroleum)'!$U$2:$W$2)/10^9),0)</f>
        <v>0</v>
      </c>
      <c r="AA2310" s="105">
        <f>IF($Y$2231&gt;0,PPMT('Assumptions (Petroleum)'!$V$6,Model!Y$1,'Assumptions (Petroleum)'!$V$9,'Assumptions (Petroleum)'!$V$4*Model!$Y$2231*AVERAGE('Assumptions (Petroleum)'!$U$2:$W$2)/10^9),0)</f>
        <v>0</v>
      </c>
      <c r="AB2310" s="105">
        <f>IF($Y$2231&gt;0,PPMT('Assumptions (Petroleum)'!$V$6,Model!Z$1,'Assumptions (Petroleum)'!$V$9,'Assumptions (Petroleum)'!$V$4*Model!$Y$2231*AVERAGE('Assumptions (Petroleum)'!$U$2:$W$2)/10^9),0)</f>
        <v>0</v>
      </c>
      <c r="AC2310" s="105">
        <f>IF($Y$2231&gt;0,PPMT('Assumptions (Petroleum)'!$V$6,Model!AA$1,'Assumptions (Petroleum)'!$V$9,'Assumptions (Petroleum)'!$V$4*Model!$Y$2231*AVERAGE('Assumptions (Petroleum)'!$U$2:$W$2)/10^9),0)</f>
        <v>0</v>
      </c>
      <c r="AD2310" s="105">
        <f>IF($Y$2231&gt;0,PPMT('Assumptions (Petroleum)'!$V$6,Model!AB$1,'Assumptions (Petroleum)'!$V$9,'Assumptions (Petroleum)'!$V$4*Model!$Y$2231*AVERAGE('Assumptions (Petroleum)'!$U$2:$W$2)/10^9),0)</f>
        <v>0</v>
      </c>
      <c r="AE2310" s="105">
        <f>IF($Y$2231&gt;0,PPMT('Assumptions (Petroleum)'!$V$6,Model!AC$1,'Assumptions (Petroleum)'!$V$9,'Assumptions (Petroleum)'!$V$4*Model!$Y$2231*AVERAGE('Assumptions (Petroleum)'!$U$2:$W$2)/10^9),0)</f>
        <v>0</v>
      </c>
      <c r="AF2310" s="105">
        <f>IF($Y$2231&gt;0,PPMT('Assumptions (Petroleum)'!$V$6,Model!AD$1,'Assumptions (Petroleum)'!$V$9,'Assumptions (Petroleum)'!$V$4*Model!$Y$2231*AVERAGE('Assumptions (Petroleum)'!$U$2:$W$2)/10^9),0)</f>
        <v>0</v>
      </c>
      <c r="AG2310" s="105">
        <f>IF($Y$2231&gt;0,PPMT('Assumptions (Petroleum)'!$V$6,Model!AE$1,'Assumptions (Petroleum)'!$V$9,'Assumptions (Petroleum)'!$V$4*Model!$Y$2231*AVERAGE('Assumptions (Petroleum)'!$U$2:$W$2)/10^9),0)</f>
        <v>0</v>
      </c>
      <c r="AH2310" s="105">
        <f>IF($Y$2231&gt;0,PPMT('Assumptions (Petroleum)'!$V$6,Model!AF$1,'Assumptions (Petroleum)'!$V$9,'Assumptions (Petroleum)'!$V$4*Model!$Y$2231*AVERAGE('Assumptions (Petroleum)'!$U$2:$W$2)/10^9),0)</f>
        <v>0</v>
      </c>
      <c r="AI2310" s="105">
        <f>IF($Y$2231&gt;0,PPMT('Assumptions (Petroleum)'!$V$6,Model!AG$1,'Assumptions (Petroleum)'!$V$9,'Assumptions (Petroleum)'!$V$4*Model!$Y$2231*AVERAGE('Assumptions (Petroleum)'!$U$2:$W$2)/10^9),0)</f>
        <v>0</v>
      </c>
      <c r="AJ2310" s="105">
        <f>IF($Y$2231&gt;0,PPMT('Assumptions (Petroleum)'!$V$6,Model!AH$1,'Assumptions (Petroleum)'!$V$9,'Assumptions (Petroleum)'!$V$4*Model!$Y$2231*AVERAGE('Assumptions (Petroleum)'!$U$2:$W$2)/10^9),0)</f>
        <v>0</v>
      </c>
      <c r="AK2310" s="105">
        <f>IF($Y$2231&gt;0,PPMT('Assumptions (Petroleum)'!$V$6,Model!AI$1,'Assumptions (Petroleum)'!$V$9,'Assumptions (Petroleum)'!$V$4*Model!$Y$2231*AVERAGE('Assumptions (Petroleum)'!$U$2:$W$2)/10^9),0)</f>
        <v>0</v>
      </c>
      <c r="AL2310" s="105">
        <f>IF($Y$2231&gt;0,PPMT('Assumptions (Petroleum)'!$V$6,Model!AJ$1,'Assumptions (Petroleum)'!$V$9,'Assumptions (Petroleum)'!$V$4*Model!$Y$2231*AVERAGE('Assumptions (Petroleum)'!$U$2:$W$2)/10^9),0)</f>
        <v>0</v>
      </c>
      <c r="AM2310" s="105">
        <f>IF($Y$2231&gt;0,PPMT('Assumptions (Petroleum)'!$V$6,Model!AK$1,'Assumptions (Petroleum)'!$V$9,'Assumptions (Petroleum)'!$V$4*Model!$Y$2231*AVERAGE('Assumptions (Petroleum)'!$U$2:$W$2)/10^9),0)</f>
        <v>0</v>
      </c>
      <c r="AN2310" s="105">
        <f>IF($Y$2231&gt;0,PPMT('Assumptions (Petroleum)'!$V$6,Model!AL$1,'Assumptions (Petroleum)'!$V$9,'Assumptions (Petroleum)'!$V$4*Model!$Y$2231*AVERAGE('Assumptions (Petroleum)'!$V$2:$W$2)/10^9),0)</f>
        <v>0</v>
      </c>
      <c r="AO2310" s="105">
        <f>IF($Y$2231&gt;0,PPMT('Assumptions (Petroleum)'!$V$6,Model!AM$1,'Assumptions (Petroleum)'!$V$9,'Assumptions (Petroleum)'!$V$4*Model!$Y$2231*AVERAGE('Assumptions (Petroleum)'!$V$2:$W$2)/10^9),0)</f>
        <v>0</v>
      </c>
      <c r="AP2310" s="105">
        <f>IF($Y$2231&gt;0,PPMT('Assumptions (Petroleum)'!$V$6,Model!AN$1,'Assumptions (Petroleum)'!$V$9,'Assumptions (Petroleum)'!$V$4*Model!$Y$2231*AVERAGE('Assumptions (Petroleum)'!$V$2:$W$2)/10^9),0)</f>
        <v>0</v>
      </c>
      <c r="AQ2310" s="105">
        <f>IF($Y$2231&gt;0,PPMT('Assumptions (Petroleum)'!$V$6,Model!AO$1,'Assumptions (Petroleum)'!$V$9,'Assumptions (Petroleum)'!$V$4*Model!$Y$2231*AVERAGE('Assumptions (Petroleum)'!$V$2:$W$2)/10^9),0)</f>
        <v>0</v>
      </c>
      <c r="AR2310" s="105">
        <f>IF($Y$2231&gt;0,PPMT('Assumptions (Petroleum)'!$V$6,Model!AP$1,'Assumptions (Petroleum)'!$V$9,'Assumptions (Petroleum)'!$V$4*Model!$Y$2231*AVERAGE('Assumptions (Petroleum)'!$V$2:$W$2)/10^9),0)</f>
        <v>0</v>
      </c>
      <c r="AS2310" s="105">
        <f>IF($Y$2231&gt;0,PPMT('Assumptions (Petroleum)'!$V$6,Model!AQ$1,'Assumptions (Petroleum)'!$V$9,'Assumptions (Petroleum)'!$V$4*Model!$Y$2231*AVERAGE('Assumptions (Petroleum)'!$V$2:$W$2)/10^9),0)</f>
        <v>0</v>
      </c>
      <c r="AT2310" s="105">
        <f>IF($Y$2231&gt;0,PPMT('Assumptions (Petroleum)'!$V$6,Model!AR$1,'Assumptions (Petroleum)'!$V$9,'Assumptions (Petroleum)'!$V$4*Model!$Y$2231*AVERAGE('Assumptions (Petroleum)'!$V$2:$W$2)/10^9),0)</f>
        <v>0</v>
      </c>
      <c r="AU2310" s="105">
        <f>IF($Y$2231&gt;0,PPMT('Assumptions (Petroleum)'!$V$6,Model!AS$1,'Assumptions (Petroleum)'!$V$9,'Assumptions (Petroleum)'!$V$4*Model!$Y$2231*AVERAGE('Assumptions (Petroleum)'!$V$2:$W$2)/10^9),0)</f>
        <v>0</v>
      </c>
      <c r="AV2310" s="105">
        <f>IF($Y$2231&gt;0,PPMT('Assumptions (Petroleum)'!$V$6,Model!AT$1,'Assumptions (Petroleum)'!$V$9,'Assumptions (Petroleum)'!$V$4*Model!$Y$2231*AVERAGE('Assumptions (Petroleum)'!$V$2:$W$2)/10^9),0)</f>
        <v>0</v>
      </c>
      <c r="AW2310" s="105">
        <f>IF($Y$2231&gt;0,PPMT('Assumptions (Petroleum)'!$V$6,Model!AU$1,'Assumptions (Petroleum)'!$V$9,'Assumptions (Petroleum)'!$V$4*Model!$Y$2231*AVERAGE('Assumptions (Petroleum)'!$V$2:$W$2)/10^9),0)</f>
        <v>0</v>
      </c>
      <c r="AX2310" s="105"/>
      <c r="AY2310" s="105"/>
      <c r="AZ2310" s="105"/>
      <c r="BA2310" s="105"/>
    </row>
    <row r="2311" spans="1:59" ht="15.75" hidden="1" customHeight="1" outlineLevel="1">
      <c r="A2311" s="447"/>
      <c r="B2311" s="99"/>
      <c r="C2311" s="99"/>
      <c r="D2311" s="99"/>
      <c r="E2311" s="99"/>
      <c r="F2311" s="99"/>
      <c r="G2311" s="99"/>
      <c r="H2311" s="99"/>
      <c r="I2311" s="99"/>
      <c r="J2311" s="99"/>
      <c r="K2311" s="99"/>
      <c r="L2311" s="99"/>
      <c r="M2311" s="99"/>
      <c r="N2311" s="99"/>
      <c r="O2311" s="99"/>
      <c r="P2311" s="99"/>
      <c r="Q2311" s="99"/>
      <c r="R2311" s="99"/>
      <c r="S2311" s="99"/>
      <c r="T2311" s="99"/>
      <c r="U2311" s="99"/>
      <c r="V2311" s="99"/>
      <c r="W2311" s="105"/>
      <c r="X2311" s="105"/>
      <c r="Y2311" s="105"/>
      <c r="Z2311" s="105">
        <f>IF($Z$2231&gt;0,PPMT('Assumptions (Petroleum)'!$V$6,Model!W$1,'Assumptions (Petroleum)'!$V$9,'Assumptions (Petroleum)'!$V$4*Model!$Z$2231*AVERAGE('Assumptions (Petroleum)'!$V$2:$X$2)/10^9),0)</f>
        <v>0</v>
      </c>
      <c r="AA2311" s="105">
        <f>IF($Z$2231&gt;0,PPMT('Assumptions (Petroleum)'!$V$6,Model!X$1,'Assumptions (Petroleum)'!$V$9,'Assumptions (Petroleum)'!$V$4*Model!$Z$2231*AVERAGE('Assumptions (Petroleum)'!$V$2:$X$2)/10^9),0)</f>
        <v>0</v>
      </c>
      <c r="AB2311" s="105">
        <f>IF($Z$2231&gt;0,PPMT('Assumptions (Petroleum)'!$V$6,Model!Y$1,'Assumptions (Petroleum)'!$V$9,'Assumptions (Petroleum)'!$V$4*Model!$Z$2231*AVERAGE('Assumptions (Petroleum)'!$V$2:$X$2)/10^9),0)</f>
        <v>0</v>
      </c>
      <c r="AC2311" s="105">
        <f>IF($Z$2231&gt;0,PPMT('Assumptions (Petroleum)'!$V$6,Model!Z$1,'Assumptions (Petroleum)'!$V$9,'Assumptions (Petroleum)'!$V$4*Model!$Z$2231*AVERAGE('Assumptions (Petroleum)'!$V$2:$X$2)/10^9),0)</f>
        <v>0</v>
      </c>
      <c r="AD2311" s="105">
        <f>IF($Z$2231&gt;0,PPMT('Assumptions (Petroleum)'!$V$6,Model!AA$1,'Assumptions (Petroleum)'!$V$9,'Assumptions (Petroleum)'!$V$4*Model!$Z$2231*AVERAGE('Assumptions (Petroleum)'!$V$2:$X$2)/10^9),0)</f>
        <v>0</v>
      </c>
      <c r="AE2311" s="105">
        <f>IF($Z$2231&gt;0,PPMT('Assumptions (Petroleum)'!$V$6,Model!AB$1,'Assumptions (Petroleum)'!$V$9,'Assumptions (Petroleum)'!$V$4*Model!$Z$2231*AVERAGE('Assumptions (Petroleum)'!$V$2:$X$2)/10^9),0)</f>
        <v>0</v>
      </c>
      <c r="AF2311" s="105">
        <f>IF($Z$2231&gt;0,PPMT('Assumptions (Petroleum)'!$V$6,Model!AC$1,'Assumptions (Petroleum)'!$V$9,'Assumptions (Petroleum)'!$V$4*Model!$Z$2231*AVERAGE('Assumptions (Petroleum)'!$V$2:$X$2)/10^9),0)</f>
        <v>0</v>
      </c>
      <c r="AG2311" s="105">
        <f>IF($Z$2231&gt;0,PPMT('Assumptions (Petroleum)'!$V$6,Model!AD$1,'Assumptions (Petroleum)'!$V$9,'Assumptions (Petroleum)'!$V$4*Model!$Z$2231*AVERAGE('Assumptions (Petroleum)'!$V$2:$X$2)/10^9),0)</f>
        <v>0</v>
      </c>
      <c r="AH2311" s="105">
        <f>IF($Z$2231&gt;0,PPMT('Assumptions (Petroleum)'!$V$6,Model!AE$1,'Assumptions (Petroleum)'!$V$9,'Assumptions (Petroleum)'!$V$4*Model!$Z$2231*AVERAGE('Assumptions (Petroleum)'!$V$2:$X$2)/10^9),0)</f>
        <v>0</v>
      </c>
      <c r="AI2311" s="105">
        <f>IF($Z$2231&gt;0,PPMT('Assumptions (Petroleum)'!$V$6,Model!AF$1,'Assumptions (Petroleum)'!$V$9,'Assumptions (Petroleum)'!$V$4*Model!$Z$2231*AVERAGE('Assumptions (Petroleum)'!$V$2:$X$2)/10^9),0)</f>
        <v>0</v>
      </c>
      <c r="AJ2311" s="105">
        <f>IF($Z$2231&gt;0,PPMT('Assumptions (Petroleum)'!$V$6,Model!AG$1,'Assumptions (Petroleum)'!$V$9,'Assumptions (Petroleum)'!$V$4*Model!$Z$2231*AVERAGE('Assumptions (Petroleum)'!$V$2:$X$2)/10^9),0)</f>
        <v>0</v>
      </c>
      <c r="AK2311" s="105">
        <f>IF($Z$2231&gt;0,PPMT('Assumptions (Petroleum)'!$V$6,Model!AH$1,'Assumptions (Petroleum)'!$V$9,'Assumptions (Petroleum)'!$V$4*Model!$Z$2231*AVERAGE('Assumptions (Petroleum)'!$V$2:$X$2)/10^9),0)</f>
        <v>0</v>
      </c>
      <c r="AL2311" s="105">
        <f>IF($Z$2231&gt;0,PPMT('Assumptions (Petroleum)'!$V$6,Model!AI$1,'Assumptions (Petroleum)'!$V$9,'Assumptions (Petroleum)'!$V$4*Model!$Z$2231*AVERAGE('Assumptions (Petroleum)'!$V$2:$X$2)/10^9),0)</f>
        <v>0</v>
      </c>
      <c r="AM2311" s="105">
        <f>IF($Z$2231&gt;0,PPMT('Assumptions (Petroleum)'!$V$6,Model!AJ$1,'Assumptions (Petroleum)'!$V$9,'Assumptions (Petroleum)'!$V$4*Model!$Z$2231*AVERAGE('Assumptions (Petroleum)'!$V$2:$X$2)/10^9),0)</f>
        <v>0</v>
      </c>
      <c r="AN2311" s="105">
        <f>IF($Z$2231&gt;0,PPMT('Assumptions (Petroleum)'!$V$6,Model!AK$1,'Assumptions (Petroleum)'!$V$9,'Assumptions (Petroleum)'!$V$4*Model!$Z$2231*AVERAGE('Assumptions (Petroleum)'!$V$2:$X$2)/10^9),0)</f>
        <v>0</v>
      </c>
      <c r="AO2311" s="105">
        <f>IF($Z$2231&gt;0,PPMT('Assumptions (Petroleum)'!$V$6,Model!AL$1,'Assumptions (Petroleum)'!$V$9,'Assumptions (Petroleum)'!$V$4*Model!$Z$2231*AVERAGE('Assumptions (Petroleum)'!$V$2:$X$2)/10^9),0)</f>
        <v>0</v>
      </c>
      <c r="AP2311" s="105">
        <f>IF($Z$2231&gt;0,PPMT('Assumptions (Petroleum)'!$V$6,Model!AM$1,'Assumptions (Petroleum)'!$V$9,'Assumptions (Petroleum)'!$V$4*Model!$Z$2231*AVERAGE('Assumptions (Petroleum)'!$V$2:$X$2)/10^9),0)</f>
        <v>0</v>
      </c>
      <c r="AQ2311" s="105">
        <f>IF($Z$2231&gt;0,PPMT('Assumptions (Petroleum)'!$V$6,Model!AN$1,'Assumptions (Petroleum)'!$V$9,'Assumptions (Petroleum)'!$V$4*Model!$Z$2231*AVERAGE('Assumptions (Petroleum)'!$V$2:$X$2)/10^9),0)</f>
        <v>0</v>
      </c>
      <c r="AR2311" s="105">
        <f>IF($Z$2231&gt;0,PPMT('Assumptions (Petroleum)'!$V$6,Model!AO$1,'Assumptions (Petroleum)'!$V$9,'Assumptions (Petroleum)'!$V$4*Model!$Z$2231*AVERAGE('Assumptions (Petroleum)'!$V$2:$X$2)/10^9),0)</f>
        <v>0</v>
      </c>
      <c r="AS2311" s="105">
        <f>IF($Z$2231&gt;0,PPMT('Assumptions (Petroleum)'!$V$6,Model!AP$1,'Assumptions (Petroleum)'!$V$9,'Assumptions (Petroleum)'!$V$4*Model!$Z$2231*AVERAGE('Assumptions (Petroleum)'!$V$2:$X$2)/10^9),0)</f>
        <v>0</v>
      </c>
      <c r="AT2311" s="105">
        <f>IF($Z$2231&gt;0,PPMT('Assumptions (Petroleum)'!$V$6,Model!AQ$1,'Assumptions (Petroleum)'!$V$9,'Assumptions (Petroleum)'!$V$4*Model!$Z$2231*AVERAGE('Assumptions (Petroleum)'!$V$2:$X$2)/10^9),0)</f>
        <v>0</v>
      </c>
      <c r="AU2311" s="105">
        <f>IF($Z$2231&gt;0,PPMT('Assumptions (Petroleum)'!$V$6,Model!AR$1,'Assumptions (Petroleum)'!$V$9,'Assumptions (Petroleum)'!$V$4*Model!$Z$2231*AVERAGE('Assumptions (Petroleum)'!$V$2:$X$2)/10^9),0)</f>
        <v>0</v>
      </c>
      <c r="AV2311" s="105">
        <f>IF($Z$2231&gt;0,PPMT('Assumptions (Petroleum)'!$V$6,Model!AS$1,'Assumptions (Petroleum)'!$V$9,'Assumptions (Petroleum)'!$V$4*Model!$Z$2231*AVERAGE('Assumptions (Petroleum)'!$V$2:$X$2)/10^9),0)</f>
        <v>0</v>
      </c>
      <c r="AW2311" s="105">
        <f>IF($Z$2231&gt;0,PPMT('Assumptions (Petroleum)'!$V$6,Model!AT$1,'Assumptions (Petroleum)'!$V$9,'Assumptions (Petroleum)'!$V$4*Model!$Z$2231*AVERAGE('Assumptions (Petroleum)'!$V$2:$X$2)/10^9),0)</f>
        <v>0</v>
      </c>
      <c r="AX2311" s="105">
        <f>IF($Z$2231&gt;0,PPMT('Assumptions (Petroleum)'!$V$6,Model!AU$1,'Assumptions (Petroleum)'!$V$9,'Assumptions (Petroleum)'!$V$4*Model!$Z$2231*AVERAGE('Assumptions (Petroleum)'!$V$2:$X$2)/10^9),0)</f>
        <v>0</v>
      </c>
      <c r="AY2311" s="105"/>
      <c r="AZ2311" s="105"/>
      <c r="BA2311" s="105"/>
    </row>
    <row r="2312" spans="1:59" ht="15.75" hidden="1" customHeight="1" outlineLevel="1">
      <c r="A2312" s="447"/>
      <c r="B2312" s="99"/>
      <c r="C2312" s="99"/>
      <c r="D2312" s="99"/>
      <c r="E2312" s="99"/>
      <c r="F2312" s="99"/>
      <c r="G2312" s="99"/>
      <c r="H2312" s="99"/>
      <c r="I2312" s="99"/>
      <c r="J2312" s="99"/>
      <c r="K2312" s="99"/>
      <c r="L2312" s="99"/>
      <c r="M2312" s="99"/>
      <c r="N2312" s="99"/>
      <c r="O2312" s="99"/>
      <c r="P2312" s="99"/>
      <c r="Q2312" s="99"/>
      <c r="R2312" s="99"/>
      <c r="S2312" s="99"/>
      <c r="T2312" s="99"/>
      <c r="U2312" s="99"/>
      <c r="V2312" s="99"/>
      <c r="W2312" s="105"/>
      <c r="X2312" s="105"/>
      <c r="Y2312" s="105"/>
      <c r="Z2312" s="105"/>
      <c r="AA2312" s="105">
        <f>IF($AA$2231&gt;0,PPMT('Assumptions (Petroleum)'!$V$6,Model!W$1,'Assumptions (Petroleum)'!$V$9,'Assumptions (Petroleum)'!$V$4*Model!$AA$2231*AVERAGE('Assumptions (Petroleum)'!$W$2:$Y$2)/10^9),0)</f>
        <v>0</v>
      </c>
      <c r="AB2312" s="105">
        <f>IF($AA$2231&gt;0,PPMT('Assumptions (Petroleum)'!$V$6,Model!X$1,'Assumptions (Petroleum)'!$V$9,'Assumptions (Petroleum)'!$V$4*Model!$AA$2231*AVERAGE('Assumptions (Petroleum)'!$W$2:$Y$2)/10^9),0)</f>
        <v>0</v>
      </c>
      <c r="AC2312" s="105">
        <f>IF($AA$2231&gt;0,PPMT('Assumptions (Petroleum)'!$V$6,Model!Y$1,'Assumptions (Petroleum)'!$V$9,'Assumptions (Petroleum)'!$V$4*Model!$AA$2231*AVERAGE('Assumptions (Petroleum)'!$W$2:$Y$2)/10^9),0)</f>
        <v>0</v>
      </c>
      <c r="AD2312" s="105">
        <f>IF($AA$2231&gt;0,PPMT('Assumptions (Petroleum)'!$V$6,Model!Z$1,'Assumptions (Petroleum)'!$V$9,'Assumptions (Petroleum)'!$V$4*Model!$AA$2231*AVERAGE('Assumptions (Petroleum)'!$W$2:$Y$2)/10^9),0)</f>
        <v>0</v>
      </c>
      <c r="AE2312" s="105">
        <f>IF($AA$2231&gt;0,PPMT('Assumptions (Petroleum)'!$V$6,Model!AA$1,'Assumptions (Petroleum)'!$V$9,'Assumptions (Petroleum)'!$V$4*Model!$AA$2231*AVERAGE('Assumptions (Petroleum)'!$W$2:$Y$2)/10^9),0)</f>
        <v>0</v>
      </c>
      <c r="AF2312" s="105">
        <f>IF($AA$2231&gt;0,PPMT('Assumptions (Petroleum)'!$V$6,Model!AB$1,'Assumptions (Petroleum)'!$V$9,'Assumptions (Petroleum)'!$V$4*Model!$AA$2231*AVERAGE('Assumptions (Petroleum)'!$W$2:$Y$2)/10^9),0)</f>
        <v>0</v>
      </c>
      <c r="AG2312" s="105">
        <f>IF($AA$2231&gt;0,PPMT('Assumptions (Petroleum)'!$V$6,Model!AC$1,'Assumptions (Petroleum)'!$V$9,'Assumptions (Petroleum)'!$V$4*Model!$AA$2231*AVERAGE('Assumptions (Petroleum)'!$W$2:$Y$2)/10^9),0)</f>
        <v>0</v>
      </c>
      <c r="AH2312" s="105">
        <f>IF($AA$2231&gt;0,PPMT('Assumptions (Petroleum)'!$V$6,Model!AD$1,'Assumptions (Petroleum)'!$V$9,'Assumptions (Petroleum)'!$V$4*Model!$AA$2231*AVERAGE('Assumptions (Petroleum)'!$W$2:$Y$2)/10^9),0)</f>
        <v>0</v>
      </c>
      <c r="AI2312" s="105">
        <f>IF($AA$2231&gt;0,PPMT('Assumptions (Petroleum)'!$V$6,Model!AE$1,'Assumptions (Petroleum)'!$V$9,'Assumptions (Petroleum)'!$V$4*Model!$AA$2231*AVERAGE('Assumptions (Petroleum)'!$W$2:$Y$2)/10^9),0)</f>
        <v>0</v>
      </c>
      <c r="AJ2312" s="105">
        <f>IF($AA$2231&gt;0,PPMT('Assumptions (Petroleum)'!$V$6,Model!AF$1,'Assumptions (Petroleum)'!$V$9,'Assumptions (Petroleum)'!$V$4*Model!$AA$2231*AVERAGE('Assumptions (Petroleum)'!$W$2:$Y$2)/10^9),0)</f>
        <v>0</v>
      </c>
      <c r="AK2312" s="105">
        <f>IF($AA$2231&gt;0,PPMT('Assumptions (Petroleum)'!$V$6,Model!AG$1,'Assumptions (Petroleum)'!$V$9,'Assumptions (Petroleum)'!$V$4*Model!$AA$2231*AVERAGE('Assumptions (Petroleum)'!$W$2:$Y$2)/10^9),0)</f>
        <v>0</v>
      </c>
      <c r="AL2312" s="105">
        <f>IF($AA$2231&gt;0,PPMT('Assumptions (Petroleum)'!$V$6,Model!AH$1,'Assumptions (Petroleum)'!$V$9,'Assumptions (Petroleum)'!$V$4*Model!$AA$2231*AVERAGE('Assumptions (Petroleum)'!$W$2:$Y$2)/10^9),0)</f>
        <v>0</v>
      </c>
      <c r="AM2312" s="105">
        <f>IF($AA$2231&gt;0,PPMT('Assumptions (Petroleum)'!$V$6,Model!AI$1,'Assumptions (Petroleum)'!$V$9,'Assumptions (Petroleum)'!$V$4*Model!$AA$2231*AVERAGE('Assumptions (Petroleum)'!$W$2:$Y$2)/10^9),0)</f>
        <v>0</v>
      </c>
      <c r="AN2312" s="105">
        <f>IF($AA$2231&gt;0,PPMT('Assumptions (Petroleum)'!$V$6,Model!AJ$1,'Assumptions (Petroleum)'!$V$9,'Assumptions (Petroleum)'!$V$4*Model!$AA$2231*AVERAGE('Assumptions (Petroleum)'!$W$2:$Y$2)/10^9),0)</f>
        <v>0</v>
      </c>
      <c r="AO2312" s="105">
        <f>IF($AA$2231&gt;0,PPMT('Assumptions (Petroleum)'!$V$6,Model!AK$1,'Assumptions (Petroleum)'!$V$9,'Assumptions (Petroleum)'!$V$4*Model!$AA$2231*AVERAGE('Assumptions (Petroleum)'!$W$2:$Y$2)/10^9),0)</f>
        <v>0</v>
      </c>
      <c r="AP2312" s="105">
        <f>IF($AA$2231&gt;0,PPMT('Assumptions (Petroleum)'!$V$6,Model!AL$1,'Assumptions (Petroleum)'!$V$9,'Assumptions (Petroleum)'!$V$4*Model!$AA$2231*AVERAGE('Assumptions (Petroleum)'!$W$2:$Y$2)/10^9),0)</f>
        <v>0</v>
      </c>
      <c r="AQ2312" s="105">
        <f>IF($AA$2231&gt;0,PPMT('Assumptions (Petroleum)'!$V$6,Model!AM$1,'Assumptions (Petroleum)'!$V$9,'Assumptions (Petroleum)'!$V$4*Model!$AA$2231*AVERAGE('Assumptions (Petroleum)'!$W$2:$Y$2)/10^9),0)</f>
        <v>0</v>
      </c>
      <c r="AR2312" s="105">
        <f>IF($AA$2231&gt;0,PPMT('Assumptions (Petroleum)'!$V$6,Model!AN$1,'Assumptions (Petroleum)'!$V$9,'Assumptions (Petroleum)'!$V$4*Model!$AA$2231*AVERAGE('Assumptions (Petroleum)'!$W$2:$Y$2)/10^9),0)</f>
        <v>0</v>
      </c>
      <c r="AS2312" s="105">
        <f>IF($AA$2231&gt;0,PPMT('Assumptions (Petroleum)'!$V$6,Model!AO$1,'Assumptions (Petroleum)'!$V$9,'Assumptions (Petroleum)'!$V$4*Model!$AA$2231*AVERAGE('Assumptions (Petroleum)'!$W$2:$Y$2)/10^9),0)</f>
        <v>0</v>
      </c>
      <c r="AT2312" s="105">
        <f>IF($AA$2231&gt;0,PPMT('Assumptions (Petroleum)'!$V$6,Model!AP$1,'Assumptions (Petroleum)'!$V$9,'Assumptions (Petroleum)'!$V$4*Model!$AA$2231*AVERAGE('Assumptions (Petroleum)'!$W$2:$Y$2)/10^9),0)</f>
        <v>0</v>
      </c>
      <c r="AU2312" s="105">
        <f>IF($AA$2231&gt;0,PPMT('Assumptions (Petroleum)'!$V$6,Model!AQ$1,'Assumptions (Petroleum)'!$V$9,'Assumptions (Petroleum)'!$V$4*Model!$AA$2231*AVERAGE('Assumptions (Petroleum)'!$W$2:$Y$2)/10^9),0)</f>
        <v>0</v>
      </c>
      <c r="AV2312" s="105">
        <f>IF($AA$2231&gt;0,PPMT('Assumptions (Petroleum)'!$V$6,Model!AR$1,'Assumptions (Petroleum)'!$V$9,'Assumptions (Petroleum)'!$V$4*Model!$AA$2231*AVERAGE('Assumptions (Petroleum)'!$W$2:$Y$2)/10^9),0)</f>
        <v>0</v>
      </c>
      <c r="AW2312" s="105">
        <f>IF($AA$2231&gt;0,PPMT('Assumptions (Petroleum)'!$V$6,Model!AS$1,'Assumptions (Petroleum)'!$V$9,'Assumptions (Petroleum)'!$V$4*Model!$AA$2231*AVERAGE('Assumptions (Petroleum)'!$W$2:$Y$2)/10^9),0)</f>
        <v>0</v>
      </c>
      <c r="AX2312" s="105">
        <f>IF($AA$2231&gt;0,PPMT('Assumptions (Petroleum)'!$V$6,Model!AT$1,'Assumptions (Petroleum)'!$V$9,'Assumptions (Petroleum)'!$V$4*Model!$AA$2231*AVERAGE('Assumptions (Petroleum)'!$W$2:$Y$2)/10^9),0)</f>
        <v>0</v>
      </c>
      <c r="AY2312" s="105">
        <f>IF($AA$2231&gt;0,PPMT('Assumptions (Petroleum)'!$V$6,Model!AU$1,'Assumptions (Petroleum)'!$V$9,'Assumptions (Petroleum)'!$V$4*Model!$AA$2231*AVERAGE('Assumptions (Petroleum)'!$W$2:$Y$2)/10^9),0)</f>
        <v>0</v>
      </c>
      <c r="AZ2312" s="105"/>
      <c r="BA2312" s="105"/>
    </row>
    <row r="2313" spans="1:59" ht="15.75" hidden="1" customHeight="1" outlineLevel="1">
      <c r="A2313" s="447"/>
      <c r="B2313" s="99"/>
      <c r="C2313" s="99"/>
      <c r="D2313" s="99"/>
      <c r="E2313" s="99"/>
      <c r="F2313" s="99"/>
      <c r="G2313" s="99"/>
      <c r="H2313" s="99"/>
      <c r="I2313" s="99"/>
      <c r="J2313" s="99"/>
      <c r="K2313" s="99"/>
      <c r="L2313" s="99"/>
      <c r="M2313" s="99"/>
      <c r="N2313" s="99"/>
      <c r="O2313" s="99"/>
      <c r="P2313" s="99"/>
      <c r="Q2313" s="99"/>
      <c r="R2313" s="99"/>
      <c r="S2313" s="99"/>
      <c r="T2313" s="99"/>
      <c r="U2313" s="99"/>
      <c r="V2313" s="99"/>
      <c r="W2313" s="105"/>
      <c r="X2313" s="105"/>
      <c r="Y2313" s="105"/>
      <c r="Z2313" s="105"/>
      <c r="AA2313" s="105"/>
      <c r="AB2313" s="105">
        <f>IF($AB$2231&gt;0,PPMT('Assumptions (Petroleum)'!$V$6,Model!W$1,'Assumptions (Petroleum)'!$V$9,'Assumptions (Petroleum)'!$V$4*Model!$AB$2231*AVERAGE('Assumptions (Petroleum)'!$X$2:$Z$2)/10^9),0)</f>
        <v>0</v>
      </c>
      <c r="AC2313" s="105">
        <f>IF($AB$2231&gt;0,PPMT('Assumptions (Petroleum)'!$V$6,Model!X$1,'Assumptions (Petroleum)'!$V$9,'Assumptions (Petroleum)'!$V$4*Model!$AB$2231*AVERAGE('Assumptions (Petroleum)'!$X$2:$Z$2)/10^9),0)</f>
        <v>0</v>
      </c>
      <c r="AD2313" s="105">
        <f>IF($AB$2231&gt;0,PPMT('Assumptions (Petroleum)'!$V$6,Model!Y$1,'Assumptions (Petroleum)'!$V$9,'Assumptions (Petroleum)'!$V$4*Model!$AB$2231*AVERAGE('Assumptions (Petroleum)'!$X$2:$Z$2)/10^9),0)</f>
        <v>0</v>
      </c>
      <c r="AE2313" s="105">
        <f>IF($AB$2231&gt;0,PPMT('Assumptions (Petroleum)'!$V$6,Model!Z$1,'Assumptions (Petroleum)'!$V$9,'Assumptions (Petroleum)'!$V$4*Model!$AB$2231*AVERAGE('Assumptions (Petroleum)'!$X$2:$Z$2)/10^9),0)</f>
        <v>0</v>
      </c>
      <c r="AF2313" s="105">
        <f>IF($AB$2231&gt;0,PPMT('Assumptions (Petroleum)'!$V$6,Model!AA$1,'Assumptions (Petroleum)'!$V$9,'Assumptions (Petroleum)'!$V$4*Model!$AB$2231*AVERAGE('Assumptions (Petroleum)'!$X$2:$Z$2)/10^9),0)</f>
        <v>0</v>
      </c>
      <c r="AG2313" s="105">
        <f>IF($AB$2231&gt;0,PPMT('Assumptions (Petroleum)'!$V$6,Model!AB$1,'Assumptions (Petroleum)'!$V$9,'Assumptions (Petroleum)'!$V$4*Model!$AB$2231*AVERAGE('Assumptions (Petroleum)'!$X$2:$Z$2)/10^9),0)</f>
        <v>0</v>
      </c>
      <c r="AH2313" s="105">
        <f>IF($AB$2231&gt;0,PPMT('Assumptions (Petroleum)'!$V$6,Model!AC$1,'Assumptions (Petroleum)'!$V$9,'Assumptions (Petroleum)'!$V$4*Model!$AB$2231*AVERAGE('Assumptions (Petroleum)'!$X$2:$Z$2)/10^9),0)</f>
        <v>0</v>
      </c>
      <c r="AI2313" s="105">
        <f>IF($AB$2231&gt;0,PPMT('Assumptions (Petroleum)'!$V$6,Model!AD$1,'Assumptions (Petroleum)'!$V$9,'Assumptions (Petroleum)'!$V$4*Model!$AB$2231*AVERAGE('Assumptions (Petroleum)'!$X$2:$Z$2)/10^9),0)</f>
        <v>0</v>
      </c>
      <c r="AJ2313" s="105">
        <f>IF($AB$2231&gt;0,PPMT('Assumptions (Petroleum)'!$V$6,Model!AE$1,'Assumptions (Petroleum)'!$V$9,'Assumptions (Petroleum)'!$V$4*Model!$AB$2231*AVERAGE('Assumptions (Petroleum)'!$X$2:$Z$2)/10^9),0)</f>
        <v>0</v>
      </c>
      <c r="AK2313" s="105">
        <f>IF($AB$2231&gt;0,PPMT('Assumptions (Petroleum)'!$V$6,Model!AF$1,'Assumptions (Petroleum)'!$V$9,'Assumptions (Petroleum)'!$V$4*Model!$AB$2231*AVERAGE('Assumptions (Petroleum)'!$X$2:$Z$2)/10^9),0)</f>
        <v>0</v>
      </c>
      <c r="AL2313" s="105">
        <f>IF($AB$2231&gt;0,PPMT('Assumptions (Petroleum)'!$V$6,Model!AG$1,'Assumptions (Petroleum)'!$V$9,'Assumptions (Petroleum)'!$V$4*Model!$AB$2231*AVERAGE('Assumptions (Petroleum)'!$X$2:$Z$2)/10^9),0)</f>
        <v>0</v>
      </c>
      <c r="AM2313" s="105">
        <f>IF($AB$2231&gt;0,PPMT('Assumptions (Petroleum)'!$V$6,Model!AH$1,'Assumptions (Petroleum)'!$V$9,'Assumptions (Petroleum)'!$V$4*Model!$AB$2231*AVERAGE('Assumptions (Petroleum)'!$X$2:$Z$2)/10^9),0)</f>
        <v>0</v>
      </c>
      <c r="AN2313" s="105">
        <f>IF($AB$2231&gt;0,PPMT('Assumptions (Petroleum)'!$V$6,Model!AI$1,'Assumptions (Petroleum)'!$V$9,'Assumptions (Petroleum)'!$V$4*Model!$AB$2231*AVERAGE('Assumptions (Petroleum)'!$X$2:$Z$2)/10^9),0)</f>
        <v>0</v>
      </c>
      <c r="AO2313" s="105">
        <f>IF($AB$2231&gt;0,PPMT('Assumptions (Petroleum)'!$V$6,Model!AJ$1,'Assumptions (Petroleum)'!$V$9,'Assumptions (Petroleum)'!$V$4*Model!$AB$2231*AVERAGE('Assumptions (Petroleum)'!$X$2:$Z$2)/10^9),0)</f>
        <v>0</v>
      </c>
      <c r="AP2313" s="105">
        <f>IF($AB$2231&gt;0,PPMT('Assumptions (Petroleum)'!$V$6,Model!AK$1,'Assumptions (Petroleum)'!$V$9,'Assumptions (Petroleum)'!$V$4*Model!$AB$2231*AVERAGE('Assumptions (Petroleum)'!$X$2:$Z$2)/10^9),0)</f>
        <v>0</v>
      </c>
      <c r="AQ2313" s="105">
        <f>IF($AB$2231&gt;0,PPMT('Assumptions (Petroleum)'!$V$6,Model!AL$1,'Assumptions (Petroleum)'!$V$9,'Assumptions (Petroleum)'!$V$4*Model!$AB$2231*AVERAGE('Assumptions (Petroleum)'!$X$2:$Z$2)/10^9),0)</f>
        <v>0</v>
      </c>
      <c r="AR2313" s="105">
        <f>IF($AB$2231&gt;0,PPMT('Assumptions (Petroleum)'!$V$6,Model!AM$1,'Assumptions (Petroleum)'!$V$9,'Assumptions (Petroleum)'!$V$4*Model!$AB$2231*AVERAGE('Assumptions (Petroleum)'!$X$2:$Z$2)/10^9),0)</f>
        <v>0</v>
      </c>
      <c r="AS2313" s="105">
        <f>IF($AB$2231&gt;0,PPMT('Assumptions (Petroleum)'!$V$6,Model!AN$1,'Assumptions (Petroleum)'!$V$9,'Assumptions (Petroleum)'!$V$4*Model!$AB$2231*AVERAGE('Assumptions (Petroleum)'!$X$2:$Z$2)/10^9),0)</f>
        <v>0</v>
      </c>
      <c r="AT2313" s="105">
        <f>IF($AB$2231&gt;0,PPMT('Assumptions (Petroleum)'!$V$6,Model!AO$1,'Assumptions (Petroleum)'!$V$9,'Assumptions (Petroleum)'!$V$4*Model!$AB$2231*AVERAGE('Assumptions (Petroleum)'!$X$2:$Z$2)/10^9),0)</f>
        <v>0</v>
      </c>
      <c r="AU2313" s="105">
        <f>IF($AB$2231&gt;0,PPMT('Assumptions (Petroleum)'!$V$6,Model!AP$1,'Assumptions (Petroleum)'!$V$9,'Assumptions (Petroleum)'!$V$4*Model!$AB$2231*AVERAGE('Assumptions (Petroleum)'!$X$2:$Z$2)/10^9),0)</f>
        <v>0</v>
      </c>
      <c r="AV2313" s="105">
        <f>IF($AB$2231&gt;0,PPMT('Assumptions (Petroleum)'!$V$6,Model!AQ$1,'Assumptions (Petroleum)'!$V$9,'Assumptions (Petroleum)'!$V$4*Model!$AB$2231*AVERAGE('Assumptions (Petroleum)'!$X$2:$Z$2)/10^9),0)</f>
        <v>0</v>
      </c>
      <c r="AW2313" s="105">
        <f>IF($AB$2231&gt;0,PPMT('Assumptions (Petroleum)'!$V$6,Model!AR$1,'Assumptions (Petroleum)'!$V$9,'Assumptions (Petroleum)'!$V$4*Model!$AB$2231*AVERAGE('Assumptions (Petroleum)'!$X$2:$Z$2)/10^9),0)</f>
        <v>0</v>
      </c>
      <c r="AX2313" s="105">
        <f>IF($AB$2231&gt;0,PPMT('Assumptions (Petroleum)'!$V$6,Model!AS$1,'Assumptions (Petroleum)'!$V$9,'Assumptions (Petroleum)'!$V$4*Model!$AB$2231*AVERAGE('Assumptions (Petroleum)'!$X$2:$Z$2)/10^9),0)</f>
        <v>0</v>
      </c>
      <c r="AY2313" s="105">
        <f>IF($AB$2231&gt;0,PPMT('Assumptions (Petroleum)'!$V$6,Model!AT$1,'Assumptions (Petroleum)'!$V$9,'Assumptions (Petroleum)'!$V$4*Model!$AB$2231*AVERAGE('Assumptions (Petroleum)'!$X$2:$Z$2)/10^9),0)</f>
        <v>0</v>
      </c>
      <c r="AZ2313" s="105">
        <f>IF($AB$2231&gt;0,PPMT('Assumptions (Petroleum)'!$V$6,Model!AU$1,'Assumptions (Petroleum)'!$V$9,'Assumptions (Petroleum)'!$V$4*Model!$AB$2231*AVERAGE('Assumptions (Petroleum)'!$X$2:$Z$2)/10^9),0)</f>
        <v>0</v>
      </c>
      <c r="BA2313" s="105"/>
    </row>
    <row r="2314" spans="1:59" ht="15.75" hidden="1" customHeight="1" outlineLevel="1">
      <c r="A2314" s="447"/>
      <c r="B2314" s="99"/>
      <c r="C2314" s="99"/>
      <c r="D2314" s="99"/>
      <c r="E2314" s="99"/>
      <c r="F2314" s="99"/>
      <c r="G2314" s="99"/>
      <c r="H2314" s="99"/>
      <c r="I2314" s="99"/>
      <c r="J2314" s="99"/>
      <c r="K2314" s="99"/>
      <c r="L2314" s="99"/>
      <c r="M2314" s="99"/>
      <c r="N2314" s="99"/>
      <c r="O2314" s="99"/>
      <c r="P2314" s="99"/>
      <c r="Q2314" s="99"/>
      <c r="R2314" s="99"/>
      <c r="S2314" s="99"/>
      <c r="T2314" s="99"/>
      <c r="U2314" s="99"/>
      <c r="V2314" s="99"/>
      <c r="W2314" s="105"/>
      <c r="X2314" s="105"/>
      <c r="Y2314" s="105"/>
      <c r="Z2314" s="105"/>
      <c r="AA2314" s="105"/>
      <c r="AB2314" s="105"/>
      <c r="AC2314" s="105">
        <f>IF($AC$2231&gt;0,PPMT('Assumptions (Petroleum)'!$V$6,Model!W$1,'Assumptions (Petroleum)'!$V$9,'Assumptions (Petroleum)'!$V$4*Model!$AC$2231*AVERAGE('Assumptions (Petroleum)'!$Y$2:$AA$2)/10^9),0)</f>
        <v>0</v>
      </c>
      <c r="AD2314" s="105">
        <f>IF($AC$2231&gt;0,PPMT('Assumptions (Petroleum)'!$V$6,Model!X$1,'Assumptions (Petroleum)'!$V$9,'Assumptions (Petroleum)'!$V$4*Model!$AC$2231*AVERAGE('Assumptions (Petroleum)'!$Y$2:$AA$2)/10^9),0)</f>
        <v>0</v>
      </c>
      <c r="AE2314" s="105">
        <f>IF($AC$2231&gt;0,PPMT('Assumptions (Petroleum)'!$V$6,Model!Y$1,'Assumptions (Petroleum)'!$V$9,'Assumptions (Petroleum)'!$V$4*Model!$AC$2231*AVERAGE('Assumptions (Petroleum)'!$Y$2:$AA$2)/10^9),0)</f>
        <v>0</v>
      </c>
      <c r="AF2314" s="105">
        <f>IF($AC$2231&gt;0,PPMT('Assumptions (Petroleum)'!$V$6,Model!Z$1,'Assumptions (Petroleum)'!$V$9,'Assumptions (Petroleum)'!$V$4*Model!$AC$2231*AVERAGE('Assumptions (Petroleum)'!$Y$2:$AA$2)/10^9),0)</f>
        <v>0</v>
      </c>
      <c r="AG2314" s="105">
        <f>IF($AC$2231&gt;0,PPMT('Assumptions (Petroleum)'!$V$6,Model!AA$1,'Assumptions (Petroleum)'!$V$9,'Assumptions (Petroleum)'!$V$4*Model!$AC$2231*AVERAGE('Assumptions (Petroleum)'!$Y$2:$AA$2)/10^9),0)</f>
        <v>0</v>
      </c>
      <c r="AH2314" s="105">
        <f>IF($AC$2231&gt;0,PPMT('Assumptions (Petroleum)'!$V$6,Model!AB$1,'Assumptions (Petroleum)'!$V$9,'Assumptions (Petroleum)'!$V$4*Model!$AC$2231*AVERAGE('Assumptions (Petroleum)'!$Y$2:$AA$2)/10^9),0)</f>
        <v>0</v>
      </c>
      <c r="AI2314" s="105">
        <f>IF($AC$2231&gt;0,PPMT('Assumptions (Petroleum)'!$V$6,Model!AC$1,'Assumptions (Petroleum)'!$V$9,'Assumptions (Petroleum)'!$V$4*Model!$AC$2231*AVERAGE('Assumptions (Petroleum)'!$Y$2:$AA$2)/10^9),0)</f>
        <v>0</v>
      </c>
      <c r="AJ2314" s="105">
        <f>IF($AC$2231&gt;0,PPMT('Assumptions (Petroleum)'!$V$6,Model!AD$1,'Assumptions (Petroleum)'!$V$9,'Assumptions (Petroleum)'!$V$4*Model!$AC$2231*AVERAGE('Assumptions (Petroleum)'!$Y$2:$AA$2)/10^9),0)</f>
        <v>0</v>
      </c>
      <c r="AK2314" s="105">
        <f>IF($AC$2231&gt;0,PPMT('Assumptions (Petroleum)'!$V$6,Model!AE$1,'Assumptions (Petroleum)'!$V$9,'Assumptions (Petroleum)'!$V$4*Model!$AC$2231*AVERAGE('Assumptions (Petroleum)'!$Y$2:$AA$2)/10^9),0)</f>
        <v>0</v>
      </c>
      <c r="AL2314" s="105">
        <f>IF($AC$2231&gt;0,PPMT('Assumptions (Petroleum)'!$V$6,Model!AF$1,'Assumptions (Petroleum)'!$V$9,'Assumptions (Petroleum)'!$V$4*Model!$AC$2231*AVERAGE('Assumptions (Petroleum)'!$Y$2:$AA$2)/10^9),0)</f>
        <v>0</v>
      </c>
      <c r="AM2314" s="105">
        <f>IF($AC$2231&gt;0,PPMT('Assumptions (Petroleum)'!$V$6,Model!AG$1,'Assumptions (Petroleum)'!$V$9,'Assumptions (Petroleum)'!$V$4*Model!$AC$2231*AVERAGE('Assumptions (Petroleum)'!$Y$2:$AA$2)/10^9),0)</f>
        <v>0</v>
      </c>
      <c r="AN2314" s="105">
        <f>IF($AC$2231&gt;0,PPMT('Assumptions (Petroleum)'!$V$6,Model!AH$1,'Assumptions (Petroleum)'!$V$9,'Assumptions (Petroleum)'!$V$4*Model!$AC$2231*AVERAGE('Assumptions (Petroleum)'!$Y$2:$AA$2)/10^9),0)</f>
        <v>0</v>
      </c>
      <c r="AO2314" s="105">
        <f>IF($AC$2231&gt;0,PPMT('Assumptions (Petroleum)'!$V$6,Model!AI$1,'Assumptions (Petroleum)'!$V$9,'Assumptions (Petroleum)'!$V$4*Model!$AC$2231*AVERAGE('Assumptions (Petroleum)'!$Y$2:$AA$2)/10^9),0)</f>
        <v>0</v>
      </c>
      <c r="AP2314" s="105">
        <f>IF($AC$2231&gt;0,PPMT('Assumptions (Petroleum)'!$V$6,Model!AJ$1,'Assumptions (Petroleum)'!$V$9,'Assumptions (Petroleum)'!$V$4*Model!$AC$2231*AVERAGE('Assumptions (Petroleum)'!$Y$2:$AA$2)/10^9),0)</f>
        <v>0</v>
      </c>
      <c r="AQ2314" s="105">
        <f>IF($AC$2231&gt;0,PPMT('Assumptions (Petroleum)'!$V$6,Model!AK$1,'Assumptions (Petroleum)'!$V$9,'Assumptions (Petroleum)'!$V$4*Model!$AC$2231*AVERAGE('Assumptions (Petroleum)'!$Y$2:$AA$2)/10^9),0)</f>
        <v>0</v>
      </c>
      <c r="AR2314" s="105">
        <f>IF($AC$2231&gt;0,PPMT('Assumptions (Petroleum)'!$V$6,Model!AL$1,'Assumptions (Petroleum)'!$V$9,'Assumptions (Petroleum)'!$V$4*Model!$AC$2231*AVERAGE('Assumptions (Petroleum)'!$Y$2:$AA$2)/10^9),0)</f>
        <v>0</v>
      </c>
      <c r="AS2314" s="105">
        <f>IF($AC$2231&gt;0,PPMT('Assumptions (Petroleum)'!$V$6,Model!AM$1,'Assumptions (Petroleum)'!$V$9,'Assumptions (Petroleum)'!$V$4*Model!$AC$2231*AVERAGE('Assumptions (Petroleum)'!$Y$2:$AA$2)/10^9),0)</f>
        <v>0</v>
      </c>
      <c r="AT2314" s="105">
        <f>IF($AC$2231&gt;0,PPMT('Assumptions (Petroleum)'!$V$6,Model!AN$1,'Assumptions (Petroleum)'!$V$9,'Assumptions (Petroleum)'!$V$4*Model!$AC$2231*AVERAGE('Assumptions (Petroleum)'!$Y$2:$AA$2)/10^9),0)</f>
        <v>0</v>
      </c>
      <c r="AU2314" s="105">
        <f>IF($AC$2231&gt;0,PPMT('Assumptions (Petroleum)'!$V$6,Model!AO$1,'Assumptions (Petroleum)'!$V$9,'Assumptions (Petroleum)'!$V$4*Model!$AC$2231*AVERAGE('Assumptions (Petroleum)'!$Y$2:$AA$2)/10^9),0)</f>
        <v>0</v>
      </c>
      <c r="AV2314" s="105">
        <f>IF($AC$2231&gt;0,PPMT('Assumptions (Petroleum)'!$V$6,Model!AP$1,'Assumptions (Petroleum)'!$V$9,'Assumptions (Petroleum)'!$V$4*Model!$AC$2231*AVERAGE('Assumptions (Petroleum)'!$Y$2:$AA$2)/10^9),0)</f>
        <v>0</v>
      </c>
      <c r="AW2314" s="105">
        <f>IF($AC$2231&gt;0,PPMT('Assumptions (Petroleum)'!$V$6,Model!AQ$1,'Assumptions (Petroleum)'!$V$9,'Assumptions (Petroleum)'!$V$4*Model!$AC$2231*AVERAGE('Assumptions (Petroleum)'!$Y$2:$AA$2)/10^9),0)</f>
        <v>0</v>
      </c>
      <c r="AX2314" s="105">
        <f>IF($AC$2231&gt;0,PPMT('Assumptions (Petroleum)'!$V$6,Model!AR$1,'Assumptions (Petroleum)'!$V$9,'Assumptions (Petroleum)'!$V$4*Model!$AC$2231*AVERAGE('Assumptions (Petroleum)'!$Y$2:$AA$2)/10^9),0)</f>
        <v>0</v>
      </c>
      <c r="AY2314" s="105">
        <f>IF($AC$2231&gt;0,PPMT('Assumptions (Petroleum)'!$V$6,Model!AS$1,'Assumptions (Petroleum)'!$V$9,'Assumptions (Petroleum)'!$V$4*Model!$AC$2231*AVERAGE('Assumptions (Petroleum)'!$Y$2:$AA$2)/10^9),0)</f>
        <v>0</v>
      </c>
      <c r="AZ2314" s="105">
        <f>IF($AC$2231&gt;0,PPMT('Assumptions (Petroleum)'!$V$6,Model!AT$1,'Assumptions (Petroleum)'!$V$9,'Assumptions (Petroleum)'!$V$4*Model!$AC$2231*AVERAGE('Assumptions (Petroleum)'!$Y$2:$AA$2)/10^9),0)</f>
        <v>0</v>
      </c>
      <c r="BA2314" s="105">
        <f>IF($AC$2231&gt;0,PPMT('Assumptions (Petroleum)'!$V$6,Model!AU$1,'Assumptions (Petroleum)'!$V$9,'Assumptions (Petroleum)'!$V$4*Model!$AC$2231*AVERAGE('Assumptions (Petroleum)'!$Y$2:$AA$2)/10^9),0)</f>
        <v>0</v>
      </c>
    </row>
    <row r="2315" spans="1:59" ht="15.75" hidden="1" customHeight="1" outlineLevel="1">
      <c r="A2315" s="447"/>
      <c r="B2315" s="99"/>
      <c r="C2315" s="99"/>
      <c r="D2315" s="99"/>
      <c r="E2315" s="99"/>
      <c r="F2315" s="99"/>
      <c r="G2315" s="99"/>
      <c r="H2315" s="99"/>
      <c r="I2315" s="99"/>
      <c r="J2315" s="99"/>
      <c r="K2315" s="99"/>
      <c r="L2315" s="99"/>
      <c r="M2315" s="99"/>
      <c r="N2315" s="99"/>
      <c r="O2315" s="99"/>
      <c r="P2315" s="99"/>
      <c r="Q2315" s="99"/>
      <c r="R2315" s="99"/>
      <c r="S2315" s="99"/>
      <c r="T2315" s="99"/>
      <c r="U2315" s="99"/>
      <c r="V2315" s="99"/>
      <c r="W2315" s="105"/>
      <c r="X2315" s="105"/>
      <c r="Y2315" s="105"/>
      <c r="Z2315" s="105"/>
      <c r="AA2315" s="105"/>
      <c r="AB2315" s="105"/>
      <c r="AC2315" s="105"/>
      <c r="AD2315" s="105">
        <f>IF($AD$2231&gt;0,PPMT('Assumptions (Petroleum)'!$V$6,Model!W$1,'Assumptions (Petroleum)'!$V$9,'Assumptions (Petroleum)'!$V$4*Model!$AD$2231*AVERAGE('Assumptions (Petroleum)'!$Z$2:$AB$2)/10^9),0)</f>
        <v>0</v>
      </c>
      <c r="AE2315" s="105">
        <f>IF($AD$2231&gt;0,PPMT('Assumptions (Petroleum)'!$V$6,Model!X$1,'Assumptions (Petroleum)'!$V$9,'Assumptions (Petroleum)'!$V$4*Model!$AD$2231*AVERAGE('Assumptions (Petroleum)'!$Z$2:$AB$2)/10^9),0)</f>
        <v>0</v>
      </c>
      <c r="AF2315" s="105">
        <f>IF($AD$2231&gt;0,PPMT('Assumptions (Petroleum)'!$V$6,Model!Y$1,'Assumptions (Petroleum)'!$V$9,'Assumptions (Petroleum)'!$V$4*Model!$AD$2231*AVERAGE('Assumptions (Petroleum)'!$Z$2:$AB$2)/10^9),0)</f>
        <v>0</v>
      </c>
      <c r="AG2315" s="105">
        <f>IF($AD$2231&gt;0,PPMT('Assumptions (Petroleum)'!$V$6,Model!Z$1,'Assumptions (Petroleum)'!$V$9,'Assumptions (Petroleum)'!$V$4*Model!$AD$2231*AVERAGE('Assumptions (Petroleum)'!$Z$2:$AB$2)/10^9),0)</f>
        <v>0</v>
      </c>
      <c r="AH2315" s="105">
        <f>IF($AD$2231&gt;0,PPMT('Assumptions (Petroleum)'!$V$6,Model!AA$1,'Assumptions (Petroleum)'!$V$9,'Assumptions (Petroleum)'!$V$4*Model!$AD$2231*AVERAGE('Assumptions (Petroleum)'!$Z$2:$AB$2)/10^9),0)</f>
        <v>0</v>
      </c>
      <c r="AI2315" s="105">
        <f>IF($AD$2231&gt;0,PPMT('Assumptions (Petroleum)'!$V$6,Model!AB$1,'Assumptions (Petroleum)'!$V$9,'Assumptions (Petroleum)'!$V$4*Model!$AD$2231*AVERAGE('Assumptions (Petroleum)'!$Z$2:$AB$2)/10^9),0)</f>
        <v>0</v>
      </c>
      <c r="AJ2315" s="105">
        <f>IF($AD$2231&gt;0,PPMT('Assumptions (Petroleum)'!$V$6,Model!AC$1,'Assumptions (Petroleum)'!$V$9,'Assumptions (Petroleum)'!$V$4*Model!$AD$2231*AVERAGE('Assumptions (Petroleum)'!$Z$2:$AB$2)/10^9),0)</f>
        <v>0</v>
      </c>
      <c r="AK2315" s="105">
        <f>IF($AD$2231&gt;0,PPMT('Assumptions (Petroleum)'!$V$6,Model!AD$1,'Assumptions (Petroleum)'!$V$9,'Assumptions (Petroleum)'!$V$4*Model!$AD$2231*AVERAGE('Assumptions (Petroleum)'!$Z$2:$AB$2)/10^9),0)</f>
        <v>0</v>
      </c>
      <c r="AL2315" s="105">
        <f>IF($AD$2231&gt;0,PPMT('Assumptions (Petroleum)'!$V$6,Model!AE$1,'Assumptions (Petroleum)'!$V$9,'Assumptions (Petroleum)'!$V$4*Model!$AD$2231*AVERAGE('Assumptions (Petroleum)'!$Z$2:$AB$2)/10^9),0)</f>
        <v>0</v>
      </c>
      <c r="AM2315" s="105">
        <f>IF($AD$2231&gt;0,PPMT('Assumptions (Petroleum)'!$V$6,Model!AF$1,'Assumptions (Petroleum)'!$V$9,'Assumptions (Petroleum)'!$V$4*Model!$AD$2231*AVERAGE('Assumptions (Petroleum)'!$Z$2:$AB$2)/10^9),0)</f>
        <v>0</v>
      </c>
      <c r="AN2315" s="105">
        <f>IF($AD$2231&gt;0,PPMT('Assumptions (Petroleum)'!$V$6,Model!AG$1,'Assumptions (Petroleum)'!$V$9,'Assumptions (Petroleum)'!$V$4*Model!$AD$2231*AVERAGE('Assumptions (Petroleum)'!$Z$2:$AB$2)/10^9),0)</f>
        <v>0</v>
      </c>
      <c r="AO2315" s="105">
        <f>IF($AD$2231&gt;0,PPMT('Assumptions (Petroleum)'!$V$6,Model!AH$1,'Assumptions (Petroleum)'!$V$9,'Assumptions (Petroleum)'!$V$4*Model!$AD$2231*AVERAGE('Assumptions (Petroleum)'!$Z$2:$AB$2)/10^9),0)</f>
        <v>0</v>
      </c>
      <c r="AP2315" s="105">
        <f>IF($AD$2231&gt;0,PPMT('Assumptions (Petroleum)'!$V$6,Model!AI$1,'Assumptions (Petroleum)'!$V$9,'Assumptions (Petroleum)'!$V$4*Model!$AD$2231*AVERAGE('Assumptions (Petroleum)'!$Z$2:$AB$2)/10^9),0)</f>
        <v>0</v>
      </c>
      <c r="AQ2315" s="105">
        <f>IF($AD$2231&gt;0,PPMT('Assumptions (Petroleum)'!$V$6,Model!AJ$1,'Assumptions (Petroleum)'!$V$9,'Assumptions (Petroleum)'!$V$4*Model!$AD$2231*AVERAGE('Assumptions (Petroleum)'!$Z$2:$AB$2)/10^9),0)</f>
        <v>0</v>
      </c>
      <c r="AR2315" s="105">
        <f>IF($AD$2231&gt;0,PPMT('Assumptions (Petroleum)'!$V$6,Model!AK$1,'Assumptions (Petroleum)'!$V$9,'Assumptions (Petroleum)'!$V$4*Model!$AD$2231*AVERAGE('Assumptions (Petroleum)'!$Z$2:$AB$2)/10^9),0)</f>
        <v>0</v>
      </c>
      <c r="AS2315" s="105">
        <f>IF($AD$2231&gt;0,PPMT('Assumptions (Petroleum)'!$V$6,Model!AL$1,'Assumptions (Petroleum)'!$V$9,'Assumptions (Petroleum)'!$V$4*Model!$AD$2231*AVERAGE('Assumptions (Petroleum)'!$Z$2:$AB$2)/10^9),0)</f>
        <v>0</v>
      </c>
      <c r="AT2315" s="105">
        <f>IF($AD$2231&gt;0,PPMT('Assumptions (Petroleum)'!$V$6,Model!AM$1,'Assumptions (Petroleum)'!$V$9,'Assumptions (Petroleum)'!$V$4*Model!$AD$2231*AVERAGE('Assumptions (Petroleum)'!$Z$2:$AB$2)/10^9),0)</f>
        <v>0</v>
      </c>
      <c r="AU2315" s="105">
        <f>IF($AD$2231&gt;0,PPMT('Assumptions (Petroleum)'!$V$6,Model!AN$1,'Assumptions (Petroleum)'!$V$9,'Assumptions (Petroleum)'!$V$4*Model!$AD$2231*AVERAGE('Assumptions (Petroleum)'!$Z$2:$AB$2)/10^9),0)</f>
        <v>0</v>
      </c>
      <c r="AV2315" s="105">
        <f>IF($AD$2231&gt;0,PPMT('Assumptions (Petroleum)'!$V$6,Model!AO$1,'Assumptions (Petroleum)'!$V$9,'Assumptions (Petroleum)'!$V$4*Model!$AD$2231*AVERAGE('Assumptions (Petroleum)'!$Z$2:$AB$2)/10^9),0)</f>
        <v>0</v>
      </c>
      <c r="AW2315" s="105">
        <f>IF($AD$2231&gt;0,PPMT('Assumptions (Petroleum)'!$V$6,Model!AP$1,'Assumptions (Petroleum)'!$V$9,'Assumptions (Petroleum)'!$V$4*Model!$AD$2231*AVERAGE('Assumptions (Petroleum)'!$Z$2:$AB$2)/10^9),0)</f>
        <v>0</v>
      </c>
      <c r="AX2315" s="105">
        <f>IF($AD$2231&gt;0,PPMT('Assumptions (Petroleum)'!$V$6,Model!AQ$1,'Assumptions (Petroleum)'!$V$9,'Assumptions (Petroleum)'!$V$4*Model!$AD$2231*AVERAGE('Assumptions (Petroleum)'!$Z$2:$AB$2)/10^9),0)</f>
        <v>0</v>
      </c>
      <c r="AY2315" s="105">
        <f>IF($AD$2231&gt;0,PPMT('Assumptions (Petroleum)'!$V$6,Model!AR$1,'Assumptions (Petroleum)'!$V$9,'Assumptions (Petroleum)'!$V$4*Model!$AD$2231*AVERAGE('Assumptions (Petroleum)'!$Z$2:$AB$2)/10^9),0)</f>
        <v>0</v>
      </c>
      <c r="AZ2315" s="105">
        <f>IF($AD$2231&gt;0,PPMT('Assumptions (Petroleum)'!$V$6,Model!AS$1,'Assumptions (Petroleum)'!$V$9,'Assumptions (Petroleum)'!$V$4*Model!$AD$2231*AVERAGE('Assumptions (Petroleum)'!$Z$2:$AB$2)/10^9),0)</f>
        <v>0</v>
      </c>
      <c r="BA2315" s="105">
        <f>IF($AD$2231&gt;0,PPMT('Assumptions (Petroleum)'!$V$6,Model!AT$1,'Assumptions (Petroleum)'!$V$9,'Assumptions (Petroleum)'!$V$4*Model!$AD$2231*AVERAGE('Assumptions (Petroleum)'!$Z$2:$AB$2)/10^9),0)</f>
        <v>0</v>
      </c>
      <c r="BB2315" s="105">
        <f>IF($AD$2231&gt;0,PPMT('Assumptions (Petroleum)'!$V$6,Model!AU$1,'Assumptions (Petroleum)'!$V$9,'Assumptions (Petroleum)'!$V$4*Model!$AD$2231*AVERAGE('Assumptions (Petroleum)'!$Z$2:$AB$2)/10^9),0)</f>
        <v>0</v>
      </c>
    </row>
    <row r="2316" spans="1:59" ht="15.75" hidden="1" customHeight="1" outlineLevel="1">
      <c r="A2316" s="447"/>
      <c r="B2316" s="99"/>
      <c r="C2316" s="99"/>
      <c r="D2316" s="99"/>
      <c r="E2316" s="99"/>
      <c r="F2316" s="99"/>
      <c r="G2316" s="99"/>
      <c r="H2316" s="99"/>
      <c r="I2316" s="99"/>
      <c r="J2316" s="99"/>
      <c r="K2316" s="99"/>
      <c r="L2316" s="99"/>
      <c r="M2316" s="99"/>
      <c r="N2316" s="99"/>
      <c r="O2316" s="99"/>
      <c r="P2316" s="99"/>
      <c r="Q2316" s="99"/>
      <c r="R2316" s="99"/>
      <c r="S2316" s="99"/>
      <c r="T2316" s="99"/>
      <c r="U2316" s="99"/>
      <c r="V2316" s="99"/>
      <c r="W2316" s="105"/>
      <c r="X2316" s="105"/>
      <c r="Y2316" s="105"/>
      <c r="Z2316" s="105"/>
      <c r="AA2316" s="105"/>
      <c r="AB2316" s="105"/>
      <c r="AC2316" s="105"/>
      <c r="AD2316" s="105"/>
      <c r="AE2316" s="105">
        <f>IF($AE$2231&gt;0,PPMT('Assumptions (Petroleum)'!$V$6,Model!W$1,'Assumptions (Petroleum)'!$V$9,'Assumptions (Petroleum)'!$V$4*Model!$AE$2231*AVERAGE('Assumptions (Petroleum)'!$AA$2:$AC$2)/10^9),0)</f>
        <v>0</v>
      </c>
      <c r="AF2316" s="105">
        <f>IF($AE$2231&gt;0,PPMT('Assumptions (Petroleum)'!$V$6,Model!X$1,'Assumptions (Petroleum)'!$V$9,'Assumptions (Petroleum)'!$V$4*Model!$AE$2231*AVERAGE('Assumptions (Petroleum)'!$AA$2:$AC$2)/10^9),0)</f>
        <v>0</v>
      </c>
      <c r="AG2316" s="105">
        <f>IF($AE$2231&gt;0,PPMT('Assumptions (Petroleum)'!$V$6,Model!Y$1,'Assumptions (Petroleum)'!$V$9,'Assumptions (Petroleum)'!$V$4*Model!$AE$2231*AVERAGE('Assumptions (Petroleum)'!$AA$2:$AC$2)/10^9),0)</f>
        <v>0</v>
      </c>
      <c r="AH2316" s="105">
        <f>IF($AE$2231&gt;0,PPMT('Assumptions (Petroleum)'!$V$6,Model!Z$1,'Assumptions (Petroleum)'!$V$9,'Assumptions (Petroleum)'!$V$4*Model!$AE$2231*AVERAGE('Assumptions (Petroleum)'!$AA$2:$AC$2)/10^9),0)</f>
        <v>0</v>
      </c>
      <c r="AI2316" s="105">
        <f>IF($AE$2231&gt;0,PPMT('Assumptions (Petroleum)'!$V$6,Model!AA$1,'Assumptions (Petroleum)'!$V$9,'Assumptions (Petroleum)'!$V$4*Model!$AE$2231*AVERAGE('Assumptions (Petroleum)'!$AA$2:$AC$2)/10^9),0)</f>
        <v>0</v>
      </c>
      <c r="AJ2316" s="105">
        <f>IF($AE$2231&gt;0,PPMT('Assumptions (Petroleum)'!$V$6,Model!AB$1,'Assumptions (Petroleum)'!$V$9,'Assumptions (Petroleum)'!$V$4*Model!$AE$2231*AVERAGE('Assumptions (Petroleum)'!$AA$2:$AC$2)/10^9),0)</f>
        <v>0</v>
      </c>
      <c r="AK2316" s="105">
        <f>IF($AE$2231&gt;0,PPMT('Assumptions (Petroleum)'!$V$6,Model!AC$1,'Assumptions (Petroleum)'!$V$9,'Assumptions (Petroleum)'!$V$4*Model!$AE$2231*AVERAGE('Assumptions (Petroleum)'!$AA$2:$AC$2)/10^9),0)</f>
        <v>0</v>
      </c>
      <c r="AL2316" s="105">
        <f>IF($AE$2231&gt;0,PPMT('Assumptions (Petroleum)'!$V$6,Model!AD$1,'Assumptions (Petroleum)'!$V$9,'Assumptions (Petroleum)'!$V$4*Model!$AE$2231*AVERAGE('Assumptions (Petroleum)'!$AA$2:$AC$2)/10^9),0)</f>
        <v>0</v>
      </c>
      <c r="AM2316" s="105">
        <f>IF($AE$2231&gt;0,PPMT('Assumptions (Petroleum)'!$V$6,Model!AE$1,'Assumptions (Petroleum)'!$V$9,'Assumptions (Petroleum)'!$V$4*Model!$AE$2231*AVERAGE('Assumptions (Petroleum)'!$AA$2:$AC$2)/10^9),0)</f>
        <v>0</v>
      </c>
      <c r="AN2316" s="105">
        <f>IF($AE$2231&gt;0,PPMT('Assumptions (Petroleum)'!$V$6,Model!AF$1,'Assumptions (Petroleum)'!$V$9,'Assumptions (Petroleum)'!$V$4*Model!$AE$2231*AVERAGE('Assumptions (Petroleum)'!$AA$2:$AC$2)/10^9),0)</f>
        <v>0</v>
      </c>
      <c r="AO2316" s="105">
        <f>IF($AE$2231&gt;0,PPMT('Assumptions (Petroleum)'!$V$6,Model!AG$1,'Assumptions (Petroleum)'!$V$9,'Assumptions (Petroleum)'!$V$4*Model!$AE$2231*AVERAGE('Assumptions (Petroleum)'!$AA$2:$AC$2)/10^9),0)</f>
        <v>0</v>
      </c>
      <c r="AP2316" s="105">
        <f>IF($AE$2231&gt;0,PPMT('Assumptions (Petroleum)'!$V$6,Model!AH$1,'Assumptions (Petroleum)'!$V$9,'Assumptions (Petroleum)'!$V$4*Model!$AE$2231*AVERAGE('Assumptions (Petroleum)'!$AA$2:$AC$2)/10^9),0)</f>
        <v>0</v>
      </c>
      <c r="AQ2316" s="105">
        <f>IF($AE$2231&gt;0,PPMT('Assumptions (Petroleum)'!$V$6,Model!AI$1,'Assumptions (Petroleum)'!$V$9,'Assumptions (Petroleum)'!$V$4*Model!$AE$2231*AVERAGE('Assumptions (Petroleum)'!$AA$2:$AC$2)/10^9),0)</f>
        <v>0</v>
      </c>
      <c r="AR2316" s="105">
        <f>IF($AE$2231&gt;0,PPMT('Assumptions (Petroleum)'!$V$6,Model!AJ$1,'Assumptions (Petroleum)'!$V$9,'Assumptions (Petroleum)'!$V$4*Model!$AE$2231*AVERAGE('Assumptions (Petroleum)'!$AA$2:$AC$2)/10^9),0)</f>
        <v>0</v>
      </c>
      <c r="AS2316" s="105">
        <f>IF($AE$2231&gt;0,PPMT('Assumptions (Petroleum)'!$V$6,Model!AK$1,'Assumptions (Petroleum)'!$V$9,'Assumptions (Petroleum)'!$V$4*Model!$AE$2231*AVERAGE('Assumptions (Petroleum)'!$AA$2:$AC$2)/10^9),0)</f>
        <v>0</v>
      </c>
      <c r="AT2316" s="105">
        <f>IF($AE$2231&gt;0,PPMT('Assumptions (Petroleum)'!$V$6,Model!AL$1,'Assumptions (Petroleum)'!$V$9,'Assumptions (Petroleum)'!$V$4*Model!$AE$2231*AVERAGE('Assumptions (Petroleum)'!$AA$2:$AC$2)/10^9),0)</f>
        <v>0</v>
      </c>
      <c r="AU2316" s="105">
        <f>IF($AE$2231&gt;0,PPMT('Assumptions (Petroleum)'!$V$6,Model!AM$1,'Assumptions (Petroleum)'!$V$9,'Assumptions (Petroleum)'!$V$4*Model!$AE$2231*AVERAGE('Assumptions (Petroleum)'!$AA$2:$AC$2)/10^9),0)</f>
        <v>0</v>
      </c>
      <c r="AV2316" s="105">
        <f>IF($AE$2231&gt;0,PPMT('Assumptions (Petroleum)'!$V$6,Model!AN$1,'Assumptions (Petroleum)'!$V$9,'Assumptions (Petroleum)'!$V$4*Model!$AE$2231*AVERAGE('Assumptions (Petroleum)'!$AA$2:$AC$2)/10^9),0)</f>
        <v>0</v>
      </c>
      <c r="AW2316" s="105">
        <f>IF($AE$2231&gt;0,PPMT('Assumptions (Petroleum)'!$V$6,Model!AO$1,'Assumptions (Petroleum)'!$V$9,'Assumptions (Petroleum)'!$V$4*Model!$AE$2231*AVERAGE('Assumptions (Petroleum)'!$AA$2:$AC$2)/10^9),0)</f>
        <v>0</v>
      </c>
      <c r="AX2316" s="105">
        <f>IF($AE$2231&gt;0,PPMT('Assumptions (Petroleum)'!$V$6,Model!AP$1,'Assumptions (Petroleum)'!$V$9,'Assumptions (Petroleum)'!$V$4*Model!$AE$2231*AVERAGE('Assumptions (Petroleum)'!$AA$2:$AC$2)/10^9),0)</f>
        <v>0</v>
      </c>
      <c r="AY2316" s="105">
        <f>IF($AE$2231&gt;0,PPMT('Assumptions (Petroleum)'!$V$6,Model!AQ$1,'Assumptions (Petroleum)'!$V$9,'Assumptions (Petroleum)'!$V$4*Model!$AE$2231*AVERAGE('Assumptions (Petroleum)'!$AA$2:$AC$2)/10^9),0)</f>
        <v>0</v>
      </c>
      <c r="AZ2316" s="105">
        <f>IF($AE$2231&gt;0,PPMT('Assumptions (Petroleum)'!$V$6,Model!AR$1,'Assumptions (Petroleum)'!$V$9,'Assumptions (Petroleum)'!$V$4*Model!$AE$2231*AVERAGE('Assumptions (Petroleum)'!$AA$2:$AC$2)/10^9),0)</f>
        <v>0</v>
      </c>
      <c r="BA2316" s="105">
        <f>IF($AE$2231&gt;0,PPMT('Assumptions (Petroleum)'!$V$6,Model!AS$1,'Assumptions (Petroleum)'!$V$9,'Assumptions (Petroleum)'!$V$4*Model!$AE$2231*AVERAGE('Assumptions (Petroleum)'!$AA$2:$AC$2)/10^9),0)</f>
        <v>0</v>
      </c>
      <c r="BB2316" s="105">
        <f>IF($AE$2231&gt;0,PPMT('Assumptions (Petroleum)'!$V$6,Model!AT$1,'Assumptions (Petroleum)'!$V$9,'Assumptions (Petroleum)'!$V$4*Model!$AE$2231*AVERAGE('Assumptions (Petroleum)'!$AA$2:$AC$2)/10^9),0)</f>
        <v>0</v>
      </c>
      <c r="BC2316" s="105">
        <f>IF($AE$2231&gt;0,PPMT('Assumptions (Petroleum)'!$V$6,Model!AU$1,'Assumptions (Petroleum)'!$V$9,'Assumptions (Petroleum)'!$V$4*Model!$AE$2231*AVERAGE('Assumptions (Petroleum)'!$AA$2:$AC$2)/10^9),0)</f>
        <v>0</v>
      </c>
    </row>
    <row r="2317" spans="1:59" ht="15.75" hidden="1" customHeight="1" outlineLevel="1">
      <c r="A2317" s="447"/>
      <c r="B2317" s="99"/>
      <c r="C2317" s="99"/>
      <c r="D2317" s="99"/>
      <c r="E2317" s="99"/>
      <c r="F2317" s="99"/>
      <c r="G2317" s="99"/>
      <c r="H2317" s="99"/>
      <c r="I2317" s="99"/>
      <c r="J2317" s="99"/>
      <c r="K2317" s="99"/>
      <c r="L2317" s="99"/>
      <c r="M2317" s="99"/>
      <c r="N2317" s="99"/>
      <c r="O2317" s="99"/>
      <c r="P2317" s="99"/>
      <c r="Q2317" s="99"/>
      <c r="R2317" s="99"/>
      <c r="S2317" s="99"/>
      <c r="T2317" s="99"/>
      <c r="U2317" s="99"/>
      <c r="V2317" s="99"/>
      <c r="W2317" s="105"/>
      <c r="X2317" s="105"/>
      <c r="Y2317" s="105"/>
      <c r="Z2317" s="105"/>
      <c r="AA2317" s="105"/>
      <c r="AB2317" s="105"/>
      <c r="AC2317" s="105"/>
      <c r="AD2317" s="105"/>
      <c r="AE2317" s="105"/>
      <c r="AF2317" s="105">
        <f>IF($AF$2231&gt;0,PPMT('Assumptions (Petroleum)'!$V$6,Model!W$1,'Assumptions (Petroleum)'!$V$9,'Assumptions (Petroleum)'!$V$4*Model!$AF$2231*AVERAGE('Assumptions (Petroleum)'!$AB$2:$AD$2)/10^9),0)</f>
        <v>0</v>
      </c>
      <c r="AG2317" s="105">
        <f>IF($AF$2231&gt;0,PPMT('Assumptions (Petroleum)'!$V$6,Model!X$1,'Assumptions (Petroleum)'!$V$9,'Assumptions (Petroleum)'!$V$4*Model!$AF$2231*AVERAGE('Assumptions (Petroleum)'!$AB$2:$AD$2)/10^9),0)</f>
        <v>0</v>
      </c>
      <c r="AH2317" s="105">
        <f>IF($AF$2231&gt;0,PPMT('Assumptions (Petroleum)'!$V$6,Model!Y$1,'Assumptions (Petroleum)'!$V$9,'Assumptions (Petroleum)'!$V$4*Model!$AF$2231*AVERAGE('Assumptions (Petroleum)'!$AB$2:$AD$2)/10^9),0)</f>
        <v>0</v>
      </c>
      <c r="AI2317" s="105">
        <f>IF($AF$2231&gt;0,PPMT('Assumptions (Petroleum)'!$V$6,Model!Z$1,'Assumptions (Petroleum)'!$V$9,'Assumptions (Petroleum)'!$V$4*Model!$AF$2231*AVERAGE('Assumptions (Petroleum)'!$AB$2:$AD$2)/10^9),0)</f>
        <v>0</v>
      </c>
      <c r="AJ2317" s="105">
        <f>IF($AF$2231&gt;0,PPMT('Assumptions (Petroleum)'!$V$6,Model!AA$1,'Assumptions (Petroleum)'!$V$9,'Assumptions (Petroleum)'!$V$4*Model!$AF$2231*AVERAGE('Assumptions (Petroleum)'!$AB$2:$AD$2)/10^9),0)</f>
        <v>0</v>
      </c>
      <c r="AK2317" s="105">
        <f>IF($AF$2231&gt;0,PPMT('Assumptions (Petroleum)'!$V$6,Model!AB$1,'Assumptions (Petroleum)'!$V$9,'Assumptions (Petroleum)'!$V$4*Model!$AF$2231*AVERAGE('Assumptions (Petroleum)'!$AB$2:$AD$2)/10^9),0)</f>
        <v>0</v>
      </c>
      <c r="AL2317" s="105">
        <f>IF($AF$2231&gt;0,PPMT('Assumptions (Petroleum)'!$V$6,Model!AC$1,'Assumptions (Petroleum)'!$V$9,'Assumptions (Petroleum)'!$V$4*Model!$AF$2231*AVERAGE('Assumptions (Petroleum)'!$AB$2:$AD$2)/10^9),0)</f>
        <v>0</v>
      </c>
      <c r="AM2317" s="105">
        <f>IF($AF$2231&gt;0,PPMT('Assumptions (Petroleum)'!$V$6,Model!AD$1,'Assumptions (Petroleum)'!$V$9,'Assumptions (Petroleum)'!$V$4*Model!$AF$2231*AVERAGE('Assumptions (Petroleum)'!$AB$2:$AD$2)/10^9),0)</f>
        <v>0</v>
      </c>
      <c r="AN2317" s="105">
        <f>IF($AF$2231&gt;0,PPMT('Assumptions (Petroleum)'!$V$6,Model!AE$1,'Assumptions (Petroleum)'!$V$9,'Assumptions (Petroleum)'!$V$4*Model!$AF$2231*AVERAGE('Assumptions (Petroleum)'!$AB$2:$AD$2)/10^9),0)</f>
        <v>0</v>
      </c>
      <c r="AO2317" s="105">
        <f>IF($AF$2231&gt;0,PPMT('Assumptions (Petroleum)'!$V$6,Model!AF$1,'Assumptions (Petroleum)'!$V$9,'Assumptions (Petroleum)'!$V$4*Model!$AF$2231*AVERAGE('Assumptions (Petroleum)'!$AB$2:$AD$2)/10^9),0)</f>
        <v>0</v>
      </c>
      <c r="AP2317" s="105">
        <f>IF($AF$2231&gt;0,PPMT('Assumptions (Petroleum)'!$V$6,Model!AG$1,'Assumptions (Petroleum)'!$V$9,'Assumptions (Petroleum)'!$V$4*Model!$AF$2231*AVERAGE('Assumptions (Petroleum)'!$AB$2:$AD$2)/10^9),0)</f>
        <v>0</v>
      </c>
      <c r="AQ2317" s="105">
        <f>IF($AF$2231&gt;0,PPMT('Assumptions (Petroleum)'!$V$6,Model!AH$1,'Assumptions (Petroleum)'!$V$9,'Assumptions (Petroleum)'!$V$4*Model!$AF$2231*AVERAGE('Assumptions (Petroleum)'!$AB$2:$AD$2)/10^9),0)</f>
        <v>0</v>
      </c>
      <c r="AR2317" s="105">
        <f>IF($AF$2231&gt;0,PPMT('Assumptions (Petroleum)'!$V$6,Model!AI$1,'Assumptions (Petroleum)'!$V$9,'Assumptions (Petroleum)'!$V$4*Model!$AF$2231*AVERAGE('Assumptions (Petroleum)'!$AB$2:$AD$2)/10^9),0)</f>
        <v>0</v>
      </c>
      <c r="AS2317" s="105">
        <f>IF($AF$2231&gt;0,PPMT('Assumptions (Petroleum)'!$V$6,Model!AJ$1,'Assumptions (Petroleum)'!$V$9,'Assumptions (Petroleum)'!$V$4*Model!$AF$2231*AVERAGE('Assumptions (Petroleum)'!$AB$2:$AD$2)/10^9),0)</f>
        <v>0</v>
      </c>
      <c r="AT2317" s="105">
        <f>IF($AF$2231&gt;0,PPMT('Assumptions (Petroleum)'!$V$6,Model!AK$1,'Assumptions (Petroleum)'!$V$9,'Assumptions (Petroleum)'!$V$4*Model!$AF$2231*AVERAGE('Assumptions (Petroleum)'!$AB$2:$AD$2)/10^9),0)</f>
        <v>0</v>
      </c>
      <c r="AU2317" s="105">
        <f>IF($AF$2231&gt;0,PPMT('Assumptions (Petroleum)'!$V$6,Model!AL$1,'Assumptions (Petroleum)'!$V$9,'Assumptions (Petroleum)'!$V$4*Model!$AF$2231*AVERAGE('Assumptions (Petroleum)'!$AB$2:$AD$2)/10^9),0)</f>
        <v>0</v>
      </c>
      <c r="AV2317" s="105">
        <f>IF($AF$2231&gt;0,PPMT('Assumptions (Petroleum)'!$V$6,Model!AM$1,'Assumptions (Petroleum)'!$V$9,'Assumptions (Petroleum)'!$V$4*Model!$AF$2231*AVERAGE('Assumptions (Petroleum)'!$AB$2:$AD$2)/10^9),0)</f>
        <v>0</v>
      </c>
      <c r="AW2317" s="105">
        <f>IF($AF$2231&gt;0,PPMT('Assumptions (Petroleum)'!$V$6,Model!AN$1,'Assumptions (Petroleum)'!$V$9,'Assumptions (Petroleum)'!$V$4*Model!$AF$2231*AVERAGE('Assumptions (Petroleum)'!$AB$2:$AD$2)/10^9),0)</f>
        <v>0</v>
      </c>
      <c r="AX2317" s="105">
        <f>IF($AF$2231&gt;0,PPMT('Assumptions (Petroleum)'!$V$6,Model!AO$1,'Assumptions (Petroleum)'!$V$9,'Assumptions (Petroleum)'!$V$4*Model!$AF$2231*AVERAGE('Assumptions (Petroleum)'!$AB$2:$AD$2)/10^9),0)</f>
        <v>0</v>
      </c>
      <c r="AY2317" s="105">
        <f>IF($AF$2231&gt;0,PPMT('Assumptions (Petroleum)'!$V$6,Model!AP$1,'Assumptions (Petroleum)'!$V$9,'Assumptions (Petroleum)'!$V$4*Model!$AF$2231*AVERAGE('Assumptions (Petroleum)'!$AB$2:$AD$2)/10^9),0)</f>
        <v>0</v>
      </c>
      <c r="AZ2317" s="105">
        <f>IF($AF$2231&gt;0,PPMT('Assumptions (Petroleum)'!$V$6,Model!AQ$1,'Assumptions (Petroleum)'!$V$9,'Assumptions (Petroleum)'!$V$4*Model!$AF$2231*AVERAGE('Assumptions (Petroleum)'!$AB$2:$AD$2)/10^9),0)</f>
        <v>0</v>
      </c>
      <c r="BA2317" s="105">
        <f>IF($AF$2231&gt;0,PPMT('Assumptions (Petroleum)'!$V$6,Model!AR$1,'Assumptions (Petroleum)'!$V$9,'Assumptions (Petroleum)'!$V$4*Model!$AF$2231*AVERAGE('Assumptions (Petroleum)'!$AB$2:$AD$2)/10^9),0)</f>
        <v>0</v>
      </c>
      <c r="BB2317" s="105">
        <f>IF($AF$2231&gt;0,PPMT('Assumptions (Petroleum)'!$V$6,Model!AS$1,'Assumptions (Petroleum)'!$V$9,'Assumptions (Petroleum)'!$V$4*Model!$AF$2231*AVERAGE('Assumptions (Petroleum)'!$AB$2:$AD$2)/10^9),0)</f>
        <v>0</v>
      </c>
      <c r="BC2317" s="105">
        <f>IF($AF$2231&gt;0,PPMT('Assumptions (Petroleum)'!$V$6,Model!AT$1,'Assumptions (Petroleum)'!$V$9,'Assumptions (Petroleum)'!$V$4*Model!$AF$2231*AVERAGE('Assumptions (Petroleum)'!$AB$2:$AD$2)/10^9),0)</f>
        <v>0</v>
      </c>
      <c r="BD2317" s="105">
        <f>IF($AF$2231&gt;0,PPMT('Assumptions (Petroleum)'!$V$6,Model!AU$1,'Assumptions (Petroleum)'!$V$9,'Assumptions (Petroleum)'!$V$4*Model!$AF$2231*AVERAGE('Assumptions (Petroleum)'!$AB$2:$AD$2)/10^9),0)</f>
        <v>0</v>
      </c>
    </row>
    <row r="2318" spans="1:59" ht="15.75" hidden="1" customHeight="1" outlineLevel="1">
      <c r="A2318" s="447"/>
      <c r="B2318" s="99"/>
      <c r="C2318" s="99"/>
      <c r="D2318" s="99"/>
      <c r="E2318" s="99"/>
      <c r="F2318" s="99"/>
      <c r="G2318" s="99"/>
      <c r="H2318" s="99"/>
      <c r="I2318" s="99"/>
      <c r="J2318" s="99"/>
      <c r="K2318" s="99"/>
      <c r="L2318" s="99"/>
      <c r="M2318" s="99"/>
      <c r="N2318" s="99"/>
      <c r="O2318" s="99"/>
      <c r="P2318" s="99"/>
      <c r="Q2318" s="99"/>
      <c r="R2318" s="99"/>
      <c r="S2318" s="99"/>
      <c r="T2318" s="99"/>
      <c r="U2318" s="99"/>
      <c r="V2318" s="99"/>
      <c r="W2318" s="105"/>
      <c r="X2318" s="105"/>
      <c r="Y2318" s="105"/>
      <c r="Z2318" s="105"/>
      <c r="AA2318" s="105"/>
      <c r="AB2318" s="105"/>
      <c r="AC2318" s="105"/>
      <c r="AD2318" s="105"/>
      <c r="AE2318" s="105"/>
      <c r="AF2318" s="105"/>
      <c r="AG2318" s="105">
        <f>IF($AG$2231&gt;0,PPMT('Assumptions (Petroleum)'!$V$6,Model!W$1,'Assumptions (Petroleum)'!$V$9,'Assumptions (Petroleum)'!$V$4*Model!$AG$2231*AVERAGE('Assumptions (Petroleum)'!$AC$2:$AE$2)/10^9),0)</f>
        <v>0</v>
      </c>
      <c r="AH2318" s="105">
        <f>IF($AG$2231&gt;0,PPMT('Assumptions (Petroleum)'!$V$6,Model!X$1,'Assumptions (Petroleum)'!$V$9,'Assumptions (Petroleum)'!$V$4*Model!$AG$2231*AVERAGE('Assumptions (Petroleum)'!$AC$2:$AE$2)/10^9),0)</f>
        <v>0</v>
      </c>
      <c r="AI2318" s="105">
        <f>IF($AG$2231&gt;0,PPMT('Assumptions (Petroleum)'!$V$6,Model!Y$1,'Assumptions (Petroleum)'!$V$9,'Assumptions (Petroleum)'!$V$4*Model!$AG$2231*AVERAGE('Assumptions (Petroleum)'!$AC$2:$AE$2)/10^9),0)</f>
        <v>0</v>
      </c>
      <c r="AJ2318" s="105">
        <f>IF($AG$2231&gt;0,PPMT('Assumptions (Petroleum)'!$V$6,Model!Z$1,'Assumptions (Petroleum)'!$V$9,'Assumptions (Petroleum)'!$V$4*Model!$AG$2231*AVERAGE('Assumptions (Petroleum)'!$AC$2:$AE$2)/10^9),0)</f>
        <v>0</v>
      </c>
      <c r="AK2318" s="105">
        <f>IF($AG$2231&gt;0,PPMT('Assumptions (Petroleum)'!$V$6,Model!AA$1,'Assumptions (Petroleum)'!$V$9,'Assumptions (Petroleum)'!$V$4*Model!$AG$2231*AVERAGE('Assumptions (Petroleum)'!$AC$2:$AE$2)/10^9),0)</f>
        <v>0</v>
      </c>
      <c r="AL2318" s="105">
        <f>IF($AG$2231&gt;0,PPMT('Assumptions (Petroleum)'!$V$6,Model!AB$1,'Assumptions (Petroleum)'!$V$9,'Assumptions (Petroleum)'!$V$4*Model!$AG$2231*AVERAGE('Assumptions (Petroleum)'!$AC$2:$AE$2)/10^9),0)</f>
        <v>0</v>
      </c>
      <c r="AM2318" s="105">
        <f>IF($AG$2231&gt;0,PPMT('Assumptions (Petroleum)'!$V$6,Model!AC$1,'Assumptions (Petroleum)'!$V$9,'Assumptions (Petroleum)'!$V$4*Model!$AG$2231*AVERAGE('Assumptions (Petroleum)'!$AC$2:$AE$2)/10^9),0)</f>
        <v>0</v>
      </c>
      <c r="AN2318" s="105">
        <f>IF($AG$2231&gt;0,PPMT('Assumptions (Petroleum)'!$V$6,Model!AD$1,'Assumptions (Petroleum)'!$V$9,'Assumptions (Petroleum)'!$V$4*Model!$AG$2231*AVERAGE('Assumptions (Petroleum)'!$AC$2:$AE$2)/10^9),0)</f>
        <v>0</v>
      </c>
      <c r="AO2318" s="105">
        <f>IF($AG$2231&gt;0,PPMT('Assumptions (Petroleum)'!$V$6,Model!AE$1,'Assumptions (Petroleum)'!$V$9,'Assumptions (Petroleum)'!$V$4*Model!$AG$2231*AVERAGE('Assumptions (Petroleum)'!$AC$2:$AE$2)/10^9),0)</f>
        <v>0</v>
      </c>
      <c r="AP2318" s="105">
        <f>IF($AG$2231&gt;0,PPMT('Assumptions (Petroleum)'!$V$6,Model!AF$1,'Assumptions (Petroleum)'!$V$9,'Assumptions (Petroleum)'!$V$4*Model!$AG$2231*AVERAGE('Assumptions (Petroleum)'!$AC$2:$AE$2)/10^9),0)</f>
        <v>0</v>
      </c>
      <c r="AQ2318" s="105">
        <f>IF($AG$2231&gt;0,PPMT('Assumptions (Petroleum)'!$V$6,Model!AG$1,'Assumptions (Petroleum)'!$V$9,'Assumptions (Petroleum)'!$V$4*Model!$AG$2231*AVERAGE('Assumptions (Petroleum)'!$AC$2:$AE$2)/10^9),0)</f>
        <v>0</v>
      </c>
      <c r="AR2318" s="105">
        <f>IF($AG$2231&gt;0,PPMT('Assumptions (Petroleum)'!$V$6,Model!AH$1,'Assumptions (Petroleum)'!$V$9,'Assumptions (Petroleum)'!$V$4*Model!$AG$2231*AVERAGE('Assumptions (Petroleum)'!$AC$2:$AE$2)/10^9),0)</f>
        <v>0</v>
      </c>
      <c r="AS2318" s="105">
        <f>IF($AG$2231&gt;0,PPMT('Assumptions (Petroleum)'!$V$6,Model!AI$1,'Assumptions (Petroleum)'!$V$9,'Assumptions (Petroleum)'!$V$4*Model!$AG$2231*AVERAGE('Assumptions (Petroleum)'!$AC$2:$AE$2)/10^9),0)</f>
        <v>0</v>
      </c>
      <c r="AT2318" s="105">
        <f>IF($AG$2231&gt;0,PPMT('Assumptions (Petroleum)'!$V$6,Model!AJ$1,'Assumptions (Petroleum)'!$V$9,'Assumptions (Petroleum)'!$V$4*Model!$AG$2231*AVERAGE('Assumptions (Petroleum)'!$AC$2:$AE$2)/10^9),0)</f>
        <v>0</v>
      </c>
      <c r="AU2318" s="105">
        <f>IF($AG$2231&gt;0,PPMT('Assumptions (Petroleum)'!$V$6,Model!AK$1,'Assumptions (Petroleum)'!$V$9,'Assumptions (Petroleum)'!$V$4*Model!$AG$2231*AVERAGE('Assumptions (Petroleum)'!$AC$2:$AE$2)/10^9),0)</f>
        <v>0</v>
      </c>
      <c r="AV2318" s="105">
        <f>IF($AG$2231&gt;0,PPMT('Assumptions (Petroleum)'!$V$6,Model!AL$1,'Assumptions (Petroleum)'!$V$9,'Assumptions (Petroleum)'!$V$4*Model!$AG$2231*AVERAGE('Assumptions (Petroleum)'!$AC$2:$AE$2)/10^9),0)</f>
        <v>0</v>
      </c>
      <c r="AW2318" s="105">
        <f>IF($AG$2231&gt;0,PPMT('Assumptions (Petroleum)'!$V$6,Model!AM$1,'Assumptions (Petroleum)'!$V$9,'Assumptions (Petroleum)'!$V$4*Model!$AG$2231*AVERAGE('Assumptions (Petroleum)'!$AC$2:$AE$2)/10^9),0)</f>
        <v>0</v>
      </c>
      <c r="AX2318" s="105">
        <f>IF($AG$2231&gt;0,PPMT('Assumptions (Petroleum)'!$V$6,Model!AN$1,'Assumptions (Petroleum)'!$V$9,'Assumptions (Petroleum)'!$V$4*Model!$AG$2231*AVERAGE('Assumptions (Petroleum)'!$AC$2:$AE$2)/10^9),0)</f>
        <v>0</v>
      </c>
      <c r="AY2318" s="105">
        <f>IF($AG$2231&gt;0,PPMT('Assumptions (Petroleum)'!$V$6,Model!AO$1,'Assumptions (Petroleum)'!$V$9,'Assumptions (Petroleum)'!$V$4*Model!$AG$2231*AVERAGE('Assumptions (Petroleum)'!$AC$2:$AE$2)/10^9),0)</f>
        <v>0</v>
      </c>
      <c r="AZ2318" s="105">
        <f>IF($AG$2231&gt;0,PPMT('Assumptions (Petroleum)'!$V$6,Model!AP$1,'Assumptions (Petroleum)'!$V$9,'Assumptions (Petroleum)'!$V$4*Model!$AG$2231*AVERAGE('Assumptions (Petroleum)'!$AC$2:$AE$2)/10^9),0)</f>
        <v>0</v>
      </c>
      <c r="BA2318" s="105">
        <f>IF($AG$2231&gt;0,PPMT('Assumptions (Petroleum)'!$V$6,Model!AQ$1,'Assumptions (Petroleum)'!$V$9,'Assumptions (Petroleum)'!$V$4*Model!$AG$2231*AVERAGE('Assumptions (Petroleum)'!$AC$2:$AE$2)/10^9),0)</f>
        <v>0</v>
      </c>
      <c r="BB2318" s="105">
        <f>IF($AG$2231&gt;0,PPMT('Assumptions (Petroleum)'!$V$6,Model!AR$1,'Assumptions (Petroleum)'!$V$9,'Assumptions (Petroleum)'!$V$4*Model!$AG$2231*AVERAGE('Assumptions (Petroleum)'!$AC$2:$AE$2)/10^9),0)</f>
        <v>0</v>
      </c>
      <c r="BC2318" s="105">
        <f>IF($AG$2231&gt;0,PPMT('Assumptions (Petroleum)'!$V$6,Model!AS$1,'Assumptions (Petroleum)'!$V$9,'Assumptions (Petroleum)'!$V$4*Model!$AG$2231*AVERAGE('Assumptions (Petroleum)'!$AC$2:$AE$2)/10^9),0)</f>
        <v>0</v>
      </c>
      <c r="BD2318" s="105">
        <f>IF($AG$2231&gt;0,PPMT('Assumptions (Petroleum)'!$V$6,Model!AT$1,'Assumptions (Petroleum)'!$V$9,'Assumptions (Petroleum)'!$V$4*Model!$AG$2231*AVERAGE('Assumptions (Petroleum)'!$AC$2:$AE$2)/10^9),0)</f>
        <v>0</v>
      </c>
      <c r="BE2318" s="105">
        <f>IF($AG$2231&gt;0,PPMT('Assumptions (Petroleum)'!$V$6,Model!AU$1,'Assumptions (Petroleum)'!$V$9,'Assumptions (Petroleum)'!$V$4*Model!$AG$2231*AVERAGE('Assumptions (Petroleum)'!$AC$2:$AE$2)/10^9),0)</f>
        <v>0</v>
      </c>
    </row>
    <row r="2319" spans="1:59" ht="15.75" hidden="1" customHeight="1" outlineLevel="1">
      <c r="A2319" s="447"/>
      <c r="B2319" s="99"/>
      <c r="C2319" s="99"/>
      <c r="D2319" s="99"/>
      <c r="E2319" s="99"/>
      <c r="F2319" s="99"/>
      <c r="G2319" s="99"/>
      <c r="H2319" s="99"/>
      <c r="I2319" s="99"/>
      <c r="J2319" s="99"/>
      <c r="K2319" s="99"/>
      <c r="L2319" s="99"/>
      <c r="M2319" s="99"/>
      <c r="N2319" s="99"/>
      <c r="O2319" s="99"/>
      <c r="P2319" s="99"/>
      <c r="Q2319" s="99"/>
      <c r="R2319" s="99"/>
      <c r="S2319" s="99"/>
      <c r="T2319" s="99"/>
      <c r="U2319" s="99"/>
      <c r="V2319" s="99"/>
      <c r="W2319" s="105"/>
      <c r="X2319" s="105"/>
      <c r="Y2319" s="105"/>
      <c r="Z2319" s="105"/>
      <c r="AA2319" s="105"/>
      <c r="AB2319" s="105"/>
      <c r="AC2319" s="105"/>
      <c r="AD2319" s="105"/>
      <c r="AE2319" s="105"/>
      <c r="AF2319" s="105"/>
      <c r="AG2319" s="105"/>
      <c r="AH2319" s="105">
        <f>IF($AH$2231&gt;0,PPMT('Assumptions (Petroleum)'!$V$6,Model!W$1,'Assumptions (Petroleum)'!$V$9,'Assumptions (Petroleum)'!$V$4*Model!$AH$2231*AVERAGE('Assumptions (Petroleum)'!$AD$2:$AF$2)/10^9),0)</f>
        <v>0</v>
      </c>
      <c r="AI2319" s="105">
        <f>IF($AH$2231&gt;0,PPMT('Assumptions (Petroleum)'!$V$6,Model!X$1,'Assumptions (Petroleum)'!$V$9,'Assumptions (Petroleum)'!$V$4*Model!$AH$2231*AVERAGE('Assumptions (Petroleum)'!$AD$2:$AF$2)/10^9),0)</f>
        <v>0</v>
      </c>
      <c r="AJ2319" s="105">
        <f>IF($AH$2231&gt;0,PPMT('Assumptions (Petroleum)'!$V$6,Model!Y$1,'Assumptions (Petroleum)'!$V$9,'Assumptions (Petroleum)'!$V$4*Model!$AH$2231*AVERAGE('Assumptions (Petroleum)'!$AD$2:$AF$2)/10^9),0)</f>
        <v>0</v>
      </c>
      <c r="AK2319" s="105">
        <f>IF($AH$2231&gt;0,PPMT('Assumptions (Petroleum)'!$V$6,Model!Z$1,'Assumptions (Petroleum)'!$V$9,'Assumptions (Petroleum)'!$V$4*Model!$AH$2231*AVERAGE('Assumptions (Petroleum)'!$AD$2:$AF$2)/10^9),0)</f>
        <v>0</v>
      </c>
      <c r="AL2319" s="105">
        <f>IF($AH$2231&gt;0,PPMT('Assumptions (Petroleum)'!$V$6,Model!AA$1,'Assumptions (Petroleum)'!$V$9,'Assumptions (Petroleum)'!$V$4*Model!$AH$2231*AVERAGE('Assumptions (Petroleum)'!$AD$2:$AF$2)/10^9),0)</f>
        <v>0</v>
      </c>
      <c r="AM2319" s="105">
        <f>IF($AH$2231&gt;0,PPMT('Assumptions (Petroleum)'!$V$6,Model!AB$1,'Assumptions (Petroleum)'!$V$9,'Assumptions (Petroleum)'!$V$4*Model!$AH$2231*AVERAGE('Assumptions (Petroleum)'!$AD$2:$AF$2)/10^9),0)</f>
        <v>0</v>
      </c>
      <c r="AN2319" s="105">
        <f>IF($AH$2231&gt;0,PPMT('Assumptions (Petroleum)'!$V$6,Model!AC$1,'Assumptions (Petroleum)'!$V$9,'Assumptions (Petroleum)'!$V$4*Model!$AH$2231*AVERAGE('Assumptions (Petroleum)'!$AD$2:$AF$2)/10^9),0)</f>
        <v>0</v>
      </c>
      <c r="AO2319" s="105">
        <f>IF($AH$2231&gt;0,PPMT('Assumptions (Petroleum)'!$V$6,Model!AD$1,'Assumptions (Petroleum)'!$V$9,'Assumptions (Petroleum)'!$V$4*Model!$AH$2231*AVERAGE('Assumptions (Petroleum)'!$AD$2:$AF$2)/10^9),0)</f>
        <v>0</v>
      </c>
      <c r="AP2319" s="105">
        <f>IF($AH$2231&gt;0,PPMT('Assumptions (Petroleum)'!$V$6,Model!AE$1,'Assumptions (Petroleum)'!$V$9,'Assumptions (Petroleum)'!$V$4*Model!$AH$2231*AVERAGE('Assumptions (Petroleum)'!$AD$2:$AF$2)/10^9),0)</f>
        <v>0</v>
      </c>
      <c r="AQ2319" s="105">
        <f>IF($AH$2231&gt;0,PPMT('Assumptions (Petroleum)'!$V$6,Model!AF$1,'Assumptions (Petroleum)'!$V$9,'Assumptions (Petroleum)'!$V$4*Model!$AH$2231*AVERAGE('Assumptions (Petroleum)'!$AD$2:$AF$2)/10^9),0)</f>
        <v>0</v>
      </c>
      <c r="AR2319" s="105">
        <f>IF($AH$2231&gt;0,PPMT('Assumptions (Petroleum)'!$V$6,Model!AG$1,'Assumptions (Petroleum)'!$V$9,'Assumptions (Petroleum)'!$V$4*Model!$AH$2231*AVERAGE('Assumptions (Petroleum)'!$AD$2:$AF$2)/10^9),0)</f>
        <v>0</v>
      </c>
      <c r="AS2319" s="105">
        <f>IF($AH$2231&gt;0,PPMT('Assumptions (Petroleum)'!$V$6,Model!AH$1,'Assumptions (Petroleum)'!$V$9,'Assumptions (Petroleum)'!$V$4*Model!$AH$2231*AVERAGE('Assumptions (Petroleum)'!$AD$2:$AF$2)/10^9),0)</f>
        <v>0</v>
      </c>
      <c r="AT2319" s="105">
        <f>IF($AH$2231&gt;0,PPMT('Assumptions (Petroleum)'!$V$6,Model!AI$1,'Assumptions (Petroleum)'!$V$9,'Assumptions (Petroleum)'!$V$4*Model!$AH$2231*AVERAGE('Assumptions (Petroleum)'!$AD$2:$AF$2)/10^9),0)</f>
        <v>0</v>
      </c>
      <c r="AU2319" s="105">
        <f>IF($AH$2231&gt;0,PPMT('Assumptions (Petroleum)'!$V$6,Model!AJ$1,'Assumptions (Petroleum)'!$V$9,'Assumptions (Petroleum)'!$V$4*Model!$AH$2231*AVERAGE('Assumptions (Petroleum)'!$AD$2:$AF$2)/10^9),0)</f>
        <v>0</v>
      </c>
      <c r="AV2319" s="105">
        <f>IF($AH$2231&gt;0,PPMT('Assumptions (Petroleum)'!$V$6,Model!AK$1,'Assumptions (Petroleum)'!$V$9,'Assumptions (Petroleum)'!$V$4*Model!$AH$2231*AVERAGE('Assumptions (Petroleum)'!$AD$2:$AF$2)/10^9),0)</f>
        <v>0</v>
      </c>
      <c r="AW2319" s="105">
        <f>IF($AH$2231&gt;0,PPMT('Assumptions (Petroleum)'!$V$6,Model!AL$1,'Assumptions (Petroleum)'!$V$9,'Assumptions (Petroleum)'!$V$4*Model!$AH$2231*AVERAGE('Assumptions (Petroleum)'!$AD$2:$AF$2)/10^9),0)</f>
        <v>0</v>
      </c>
      <c r="AX2319" s="105">
        <f>IF($AH$2231&gt;0,PPMT('Assumptions (Petroleum)'!$V$6,Model!AM$1,'Assumptions (Petroleum)'!$V$9,'Assumptions (Petroleum)'!$V$4*Model!$AH$2231*AVERAGE('Assumptions (Petroleum)'!$AD$2:$AF$2)/10^9),0)</f>
        <v>0</v>
      </c>
      <c r="AY2319" s="105">
        <f>IF($AH$2231&gt;0,PPMT('Assumptions (Petroleum)'!$V$6,Model!AN$1,'Assumptions (Petroleum)'!$V$9,'Assumptions (Petroleum)'!$V$4*Model!$AH$2231*AVERAGE('Assumptions (Petroleum)'!$AD$2:$AF$2)/10^9),0)</f>
        <v>0</v>
      </c>
      <c r="AZ2319" s="105">
        <f>IF($AH$2231&gt;0,PPMT('Assumptions (Petroleum)'!$V$6,Model!AO$1,'Assumptions (Petroleum)'!$V$9,'Assumptions (Petroleum)'!$V$4*Model!$AH$2231*AVERAGE('Assumptions (Petroleum)'!$AD$2:$AF$2)/10^9),0)</f>
        <v>0</v>
      </c>
      <c r="BA2319" s="105">
        <f>IF($AH$2231&gt;0,PPMT('Assumptions (Petroleum)'!$V$6,Model!AP$1,'Assumptions (Petroleum)'!$V$9,'Assumptions (Petroleum)'!$V$4*Model!$AH$2231*AVERAGE('Assumptions (Petroleum)'!$AD$2:$AF$2)/10^9),0)</f>
        <v>0</v>
      </c>
      <c r="BB2319" s="105">
        <f>IF($AH$2231&gt;0,PPMT('Assumptions (Petroleum)'!$V$6,Model!AQ$1,'Assumptions (Petroleum)'!$V$9,'Assumptions (Petroleum)'!$V$4*Model!$AH$2231*AVERAGE('Assumptions (Petroleum)'!$AD$2:$AF$2)/10^9),0)</f>
        <v>0</v>
      </c>
      <c r="BC2319" s="105">
        <f>IF($AH$2231&gt;0,PPMT('Assumptions (Petroleum)'!$V$6,Model!AR$1,'Assumptions (Petroleum)'!$V$9,'Assumptions (Petroleum)'!$V$4*Model!$AH$2231*AVERAGE('Assumptions (Petroleum)'!$AD$2:$AF$2)/10^9),0)</f>
        <v>0</v>
      </c>
      <c r="BD2319" s="105">
        <f>IF($AH$2231&gt;0,PPMT('Assumptions (Petroleum)'!$V$6,Model!AS$1,'Assumptions (Petroleum)'!$V$9,'Assumptions (Petroleum)'!$V$4*Model!$AH$2231*AVERAGE('Assumptions (Petroleum)'!$AD$2:$AF$2)/10^9),0)</f>
        <v>0</v>
      </c>
      <c r="BE2319" s="105">
        <f>IF($AH$2231&gt;0,PPMT('Assumptions (Petroleum)'!$V$6,Model!AT$1,'Assumptions (Petroleum)'!$V$9,'Assumptions (Petroleum)'!$V$4*Model!$AH$2231*AVERAGE('Assumptions (Petroleum)'!$AD$2:$AF$2)/10^9),0)</f>
        <v>0</v>
      </c>
      <c r="BF2319" s="105">
        <f>IF($AH$2231&gt;0,PPMT('Assumptions (Petroleum)'!$V$6,Model!AU$1,'Assumptions (Petroleum)'!$V$9,'Assumptions (Petroleum)'!$V$4*Model!$AH$2231*AVERAGE('Assumptions (Petroleum)'!$AD$2:$AF$2)/10^9),0)</f>
        <v>0</v>
      </c>
    </row>
    <row r="2320" spans="1:59" ht="15.75" hidden="1" customHeight="1" outlineLevel="1">
      <c r="A2320" s="447"/>
      <c r="B2320" s="99"/>
      <c r="C2320" s="99"/>
      <c r="D2320" s="99"/>
      <c r="E2320" s="99"/>
      <c r="F2320" s="99"/>
      <c r="G2320" s="99"/>
      <c r="H2320" s="99"/>
      <c r="I2320" s="99"/>
      <c r="J2320" s="99"/>
      <c r="K2320" s="99"/>
      <c r="L2320" s="99"/>
      <c r="M2320" s="99"/>
      <c r="N2320" s="99"/>
      <c r="O2320" s="99"/>
      <c r="P2320" s="99"/>
      <c r="Q2320" s="99"/>
      <c r="R2320" s="99"/>
      <c r="S2320" s="99"/>
      <c r="T2320" s="99"/>
      <c r="U2320" s="99"/>
      <c r="V2320" s="99"/>
      <c r="W2320" s="105"/>
      <c r="X2320" s="105"/>
      <c r="Y2320" s="105"/>
      <c r="Z2320" s="105"/>
      <c r="AA2320" s="105"/>
      <c r="AB2320" s="105"/>
      <c r="AC2320" s="105"/>
      <c r="AD2320" s="105"/>
      <c r="AE2320" s="105"/>
      <c r="AF2320" s="105"/>
      <c r="AG2320" s="105"/>
      <c r="AH2320" s="105"/>
      <c r="AI2320" s="105">
        <f>IF($AI$2231&gt;0,PPMT('Assumptions (Petroleum)'!$V$6,Model!W$1,'Assumptions (Petroleum)'!$V$9,'Assumptions (Petroleum)'!$V$4*Model!$AI$2231*AVERAGE('Assumptions (Petroleum)'!$AE$2:$AG$2)/10^9),0)</f>
        <v>0</v>
      </c>
      <c r="AJ2320" s="105">
        <f>IF($AI$2231&gt;0,PPMT('Assumptions (Petroleum)'!$V$6,Model!X$1,'Assumptions (Petroleum)'!$V$9,'Assumptions (Petroleum)'!$V$4*Model!$AI$2231*AVERAGE('Assumptions (Petroleum)'!$AE$2:$AG$2)/10^9),0)</f>
        <v>0</v>
      </c>
      <c r="AK2320" s="105">
        <f>IF($AI$2231&gt;0,PPMT('Assumptions (Petroleum)'!$V$6,Model!Y$1,'Assumptions (Petroleum)'!$V$9,'Assumptions (Petroleum)'!$V$4*Model!$AI$2231*AVERAGE('Assumptions (Petroleum)'!$AE$2:$AG$2)/10^9),0)</f>
        <v>0</v>
      </c>
      <c r="AL2320" s="105">
        <f>IF($AI$2231&gt;0,PPMT('Assumptions (Petroleum)'!$V$6,Model!Z$1,'Assumptions (Petroleum)'!$V$9,'Assumptions (Petroleum)'!$V$4*Model!$AI$2231*AVERAGE('Assumptions (Petroleum)'!$AE$2:$AG$2)/10^9),0)</f>
        <v>0</v>
      </c>
      <c r="AM2320" s="105">
        <f>IF($AI$2231&gt;0,PPMT('Assumptions (Petroleum)'!$V$6,Model!AA$1,'Assumptions (Petroleum)'!$V$9,'Assumptions (Petroleum)'!$V$4*Model!$AI$2231*AVERAGE('Assumptions (Petroleum)'!$AE$2:$AG$2)/10^9),0)</f>
        <v>0</v>
      </c>
      <c r="AN2320" s="105">
        <f>IF($AI$2231&gt;0,PPMT('Assumptions (Petroleum)'!$V$6,Model!AB$1,'Assumptions (Petroleum)'!$V$9,'Assumptions (Petroleum)'!$V$4*Model!$AI$2231*AVERAGE('Assumptions (Petroleum)'!$AE$2:$AG$2)/10^9),0)</f>
        <v>0</v>
      </c>
      <c r="AO2320" s="105">
        <f>IF($AI$2231&gt;0,PPMT('Assumptions (Petroleum)'!$V$6,Model!AC$1,'Assumptions (Petroleum)'!$V$9,'Assumptions (Petroleum)'!$V$4*Model!$AI$2231*AVERAGE('Assumptions (Petroleum)'!$AE$2:$AG$2)/10^9),0)</f>
        <v>0</v>
      </c>
      <c r="AP2320" s="105">
        <f>IF($AI$2231&gt;0,PPMT('Assumptions (Petroleum)'!$V$6,Model!AD$1,'Assumptions (Petroleum)'!$V$9,'Assumptions (Petroleum)'!$V$4*Model!$AI$2231*AVERAGE('Assumptions (Petroleum)'!$AE$2:$AG$2)/10^9),0)</f>
        <v>0</v>
      </c>
      <c r="AQ2320" s="105">
        <f>IF($AI$2231&gt;0,PPMT('Assumptions (Petroleum)'!$V$6,Model!AE$1,'Assumptions (Petroleum)'!$V$9,'Assumptions (Petroleum)'!$V$4*Model!$AI$2231*AVERAGE('Assumptions (Petroleum)'!$AE$2:$AG$2)/10^9),0)</f>
        <v>0</v>
      </c>
      <c r="AR2320" s="105">
        <f>IF($AI$2231&gt;0,PPMT('Assumptions (Petroleum)'!$V$6,Model!AF$1,'Assumptions (Petroleum)'!$V$9,'Assumptions (Petroleum)'!$V$4*Model!$AI$2231*AVERAGE('Assumptions (Petroleum)'!$AE$2:$AG$2)/10^9),0)</f>
        <v>0</v>
      </c>
      <c r="AS2320" s="105">
        <f>IF($AI$2231&gt;0,PPMT('Assumptions (Petroleum)'!$V$6,Model!AG$1,'Assumptions (Petroleum)'!$V$9,'Assumptions (Petroleum)'!$V$4*Model!$AI$2231*AVERAGE('Assumptions (Petroleum)'!$AE$2:$AG$2)/10^9),0)</f>
        <v>0</v>
      </c>
      <c r="AT2320" s="105">
        <f>IF($AI$2231&gt;0,PPMT('Assumptions (Petroleum)'!$V$6,Model!AH$1,'Assumptions (Petroleum)'!$V$9,'Assumptions (Petroleum)'!$V$4*Model!$AI$2231*AVERAGE('Assumptions (Petroleum)'!$AE$2:$AG$2)/10^9),0)</f>
        <v>0</v>
      </c>
      <c r="AU2320" s="105">
        <f>IF($AI$2231&gt;0,PPMT('Assumptions (Petroleum)'!$V$6,Model!AI$1,'Assumptions (Petroleum)'!$V$9,'Assumptions (Petroleum)'!$V$4*Model!$AI$2231*AVERAGE('Assumptions (Petroleum)'!$AE$2:$AG$2)/10^9),0)</f>
        <v>0</v>
      </c>
      <c r="AV2320" s="105">
        <f>IF($AI$2231&gt;0,PPMT('Assumptions (Petroleum)'!$V$6,Model!AJ$1,'Assumptions (Petroleum)'!$V$9,'Assumptions (Petroleum)'!$V$4*Model!$AI$2231*AVERAGE('Assumptions (Petroleum)'!$AE$2:$AG$2)/10^9),0)</f>
        <v>0</v>
      </c>
      <c r="AW2320" s="105">
        <f>IF($AI$2231&gt;0,PPMT('Assumptions (Petroleum)'!$V$6,Model!AK$1,'Assumptions (Petroleum)'!$V$9,'Assumptions (Petroleum)'!$V$4*Model!$AI$2231*AVERAGE('Assumptions (Petroleum)'!$AE$2:$AG$2)/10^9),0)</f>
        <v>0</v>
      </c>
      <c r="AX2320" s="105">
        <f>IF($AI$2231&gt;0,PPMT('Assumptions (Petroleum)'!$V$6,Model!AL$1,'Assumptions (Petroleum)'!$V$9,'Assumptions (Petroleum)'!$V$4*Model!$AI$2231*AVERAGE('Assumptions (Petroleum)'!$AE$2:$AG$2)/10^9),0)</f>
        <v>0</v>
      </c>
      <c r="AY2320" s="105">
        <f>IF($AI$2231&gt;0,PPMT('Assumptions (Petroleum)'!$V$6,Model!AM$1,'Assumptions (Petroleum)'!$V$9,'Assumptions (Petroleum)'!$V$4*Model!$AI$2231*AVERAGE('Assumptions (Petroleum)'!$AE$2:$AG$2)/10^9),0)</f>
        <v>0</v>
      </c>
      <c r="AZ2320" s="105">
        <f>IF($AI$2231&gt;0,PPMT('Assumptions (Petroleum)'!$V$6,Model!AN$1,'Assumptions (Petroleum)'!$V$9,'Assumptions (Petroleum)'!$V$4*Model!$AI$2231*AVERAGE('Assumptions (Petroleum)'!$AE$2:$AG$2)/10^9),0)</f>
        <v>0</v>
      </c>
      <c r="BA2320" s="105">
        <f>IF($AI$2231&gt;0,PPMT('Assumptions (Petroleum)'!$V$6,Model!AO$1,'Assumptions (Petroleum)'!$V$9,'Assumptions (Petroleum)'!$V$4*Model!$AI$2231*AVERAGE('Assumptions (Petroleum)'!$AE$2:$AG$2)/10^9),0)</f>
        <v>0</v>
      </c>
      <c r="BB2320" s="105">
        <f>IF($AI$2231&gt;0,PPMT('Assumptions (Petroleum)'!$V$6,Model!AP$1,'Assumptions (Petroleum)'!$V$9,'Assumptions (Petroleum)'!$V$4*Model!$AI$2231*AVERAGE('Assumptions (Petroleum)'!$AE$2:$AG$2)/10^9),0)</f>
        <v>0</v>
      </c>
      <c r="BC2320" s="105">
        <f>IF($AI$2231&gt;0,PPMT('Assumptions (Petroleum)'!$V$6,Model!AQ$1,'Assumptions (Petroleum)'!$V$9,'Assumptions (Petroleum)'!$V$4*Model!$AI$2231*AVERAGE('Assumptions (Petroleum)'!$AE$2:$AG$2)/10^9),0)</f>
        <v>0</v>
      </c>
      <c r="BD2320" s="105">
        <f>IF($AI$2231&gt;0,PPMT('Assumptions (Petroleum)'!$V$6,Model!AR$1,'Assumptions (Petroleum)'!$V$9,'Assumptions (Petroleum)'!$V$4*Model!$AI$2231*AVERAGE('Assumptions (Petroleum)'!$AE$2:$AG$2)/10^9),0)</f>
        <v>0</v>
      </c>
      <c r="BE2320" s="105">
        <f>IF($AI$2231&gt;0,PPMT('Assumptions (Petroleum)'!$V$6,Model!AS$1,'Assumptions (Petroleum)'!$V$9,'Assumptions (Petroleum)'!$V$4*Model!$AI$2231*AVERAGE('Assumptions (Petroleum)'!$AE$2:$AG$2)/10^9),0)</f>
        <v>0</v>
      </c>
      <c r="BF2320" s="105">
        <f>IF($AI$2231&gt;0,PPMT('Assumptions (Petroleum)'!$V$6,Model!AT$1,'Assumptions (Petroleum)'!$V$9,'Assumptions (Petroleum)'!$V$4*Model!$AI$2231*AVERAGE('Assumptions (Petroleum)'!$AE$2:$AG$2)/10^9),0)</f>
        <v>0</v>
      </c>
      <c r="BG2320" s="105">
        <f>IF($AI$2231&gt;0,PPMT('Assumptions (Petroleum)'!$V$6,Model!AU$1,'Assumptions (Petroleum)'!$V$9,'Assumptions (Petroleum)'!$V$4*Model!$AI$2231*AVERAGE('Assumptions (Petroleum)'!$AE$2:$AG$2)/10^9),0)</f>
        <v>0</v>
      </c>
    </row>
    <row r="2321" spans="1:68" ht="15.75" hidden="1" customHeight="1" outlineLevel="1">
      <c r="A2321" s="447"/>
      <c r="B2321" s="99"/>
      <c r="C2321" s="99"/>
      <c r="D2321" s="99"/>
      <c r="E2321" s="99"/>
      <c r="F2321" s="99"/>
      <c r="G2321" s="99"/>
      <c r="H2321" s="99"/>
      <c r="I2321" s="99"/>
      <c r="J2321" s="99"/>
      <c r="K2321" s="99"/>
      <c r="L2321" s="99"/>
      <c r="M2321" s="99"/>
      <c r="N2321" s="99"/>
      <c r="O2321" s="99"/>
      <c r="P2321" s="99"/>
      <c r="Q2321" s="99"/>
      <c r="R2321" s="99"/>
      <c r="S2321" s="99"/>
      <c r="T2321" s="99"/>
      <c r="U2321" s="99"/>
      <c r="V2321" s="99"/>
      <c r="W2321" s="105"/>
      <c r="X2321" s="105"/>
      <c r="Y2321" s="105"/>
      <c r="Z2321" s="105"/>
      <c r="AA2321" s="105"/>
      <c r="AB2321" s="105"/>
      <c r="AC2321" s="105"/>
      <c r="AD2321" s="105"/>
      <c r="AE2321" s="105"/>
      <c r="AF2321" s="105"/>
      <c r="AG2321" s="105"/>
      <c r="AH2321" s="105"/>
      <c r="AI2321" s="105"/>
      <c r="AJ2321" s="91">
        <f>IF($AJ$2231&gt;0,PPMT('Assumptions (Petroleum)'!$V$6,Model!W$1,'Assumptions (Petroleum)'!$V$9,'Assumptions (Petroleum)'!$V$4*Model!$AJ$2231*AVERAGE('Assumptions (Petroleum)'!$AF$2:$AH$2)/10^9),0)</f>
        <v>0</v>
      </c>
      <c r="AK2321" s="91">
        <f>IF($AJ$2231&gt;0,PPMT('Assumptions (Petroleum)'!$V$6,Model!X$1,'Assumptions (Petroleum)'!$V$9,'Assumptions (Petroleum)'!$V$4*Model!$AJ$2231*AVERAGE('Assumptions (Petroleum)'!$AF$2:$AH$2)/10^9),0)</f>
        <v>0</v>
      </c>
      <c r="AL2321" s="91">
        <f>IF($AJ$2231&gt;0,PPMT('Assumptions (Petroleum)'!$V$6,Model!Y$1,'Assumptions (Petroleum)'!$V$9,'Assumptions (Petroleum)'!$V$4*Model!$AJ$2231*AVERAGE('Assumptions (Petroleum)'!$AF$2:$AH$2)/10^9),0)</f>
        <v>0</v>
      </c>
      <c r="AM2321" s="91">
        <f>IF($AJ$2231&gt;0,PPMT('Assumptions (Petroleum)'!$V$6,Model!Z$1,'Assumptions (Petroleum)'!$V$9,'Assumptions (Petroleum)'!$V$4*Model!$AJ$2231*AVERAGE('Assumptions (Petroleum)'!$AF$2:$AH$2)/10^9),0)</f>
        <v>0</v>
      </c>
      <c r="AN2321" s="91">
        <f>IF($AJ$2231&gt;0,PPMT('Assumptions (Petroleum)'!$V$6,Model!AA$1,'Assumptions (Petroleum)'!$V$9,'Assumptions (Petroleum)'!$V$4*Model!$AJ$2231*AVERAGE('Assumptions (Petroleum)'!$AF$2:$AH$2)/10^9),0)</f>
        <v>0</v>
      </c>
      <c r="AO2321" s="91">
        <f>IF($AJ$2231&gt;0,PPMT('Assumptions (Petroleum)'!$V$6,Model!AB$1,'Assumptions (Petroleum)'!$V$9,'Assumptions (Petroleum)'!$V$4*Model!$AJ$2231*AVERAGE('Assumptions (Petroleum)'!$AF$2:$AH$2)/10^9),0)</f>
        <v>0</v>
      </c>
      <c r="AP2321" s="91">
        <f>IF($AJ$2231&gt;0,PPMT('Assumptions (Petroleum)'!$V$6,Model!AC$1,'Assumptions (Petroleum)'!$V$9,'Assumptions (Petroleum)'!$V$4*Model!$AJ$2231*AVERAGE('Assumptions (Petroleum)'!$AF$2:$AH$2)/10^9),0)</f>
        <v>0</v>
      </c>
      <c r="AQ2321" s="91">
        <f>IF($AJ$2231&gt;0,PPMT('Assumptions (Petroleum)'!$V$6,Model!AD$1,'Assumptions (Petroleum)'!$V$9,'Assumptions (Petroleum)'!$V$4*Model!$AJ$2231*AVERAGE('Assumptions (Petroleum)'!$AF$2:$AH$2)/10^9),0)</f>
        <v>0</v>
      </c>
      <c r="AR2321" s="91">
        <f>IF($AJ$2231&gt;0,PPMT('Assumptions (Petroleum)'!$V$6,Model!AE$1,'Assumptions (Petroleum)'!$V$9,'Assumptions (Petroleum)'!$V$4*Model!$AJ$2231*AVERAGE('Assumptions (Petroleum)'!$AF$2:$AH$2)/10^9),0)</f>
        <v>0</v>
      </c>
      <c r="AS2321" s="91">
        <f>IF($AJ$2231&gt;0,PPMT('Assumptions (Petroleum)'!$V$6,Model!AF$1,'Assumptions (Petroleum)'!$V$9,'Assumptions (Petroleum)'!$V$4*Model!$AJ$2231*AVERAGE('Assumptions (Petroleum)'!$AF$2:$AH$2)/10^9),0)</f>
        <v>0</v>
      </c>
      <c r="AT2321" s="91">
        <f>IF($AJ$2231&gt;0,PPMT('Assumptions (Petroleum)'!$V$6,Model!AG$1,'Assumptions (Petroleum)'!$V$9,'Assumptions (Petroleum)'!$V$4*Model!$AJ$2231*AVERAGE('Assumptions (Petroleum)'!$AF$2:$AH$2)/10^9),0)</f>
        <v>0</v>
      </c>
      <c r="AU2321" s="91">
        <f>IF($AJ$2231&gt;0,PPMT('Assumptions (Petroleum)'!$V$6,Model!AH$1,'Assumptions (Petroleum)'!$V$9,'Assumptions (Petroleum)'!$V$4*Model!$AJ$2231*AVERAGE('Assumptions (Petroleum)'!$AF$2:$AH$2)/10^9),0)</f>
        <v>0</v>
      </c>
      <c r="AV2321" s="91">
        <f>IF($AJ$2231&gt;0,PPMT('Assumptions (Petroleum)'!$V$6,Model!AI$1,'Assumptions (Petroleum)'!$V$9,'Assumptions (Petroleum)'!$V$4*Model!$AJ$2231*AVERAGE('Assumptions (Petroleum)'!$AF$2:$AH$2)/10^9),0)</f>
        <v>0</v>
      </c>
      <c r="AW2321" s="91">
        <f>IF($AJ$2231&gt;0,PPMT('Assumptions (Petroleum)'!$V$6,Model!AJ$1,'Assumptions (Petroleum)'!$V$9,'Assumptions (Petroleum)'!$V$4*Model!$AJ$2231*AVERAGE('Assumptions (Petroleum)'!$AF$2:$AH$2)/10^9),0)</f>
        <v>0</v>
      </c>
      <c r="AX2321" s="91">
        <f>IF($AJ$2231&gt;0,PPMT('Assumptions (Petroleum)'!$V$6,Model!AK$1,'Assumptions (Petroleum)'!$V$9,'Assumptions (Petroleum)'!$V$4*Model!$AJ$2231*AVERAGE('Assumptions (Petroleum)'!$AF$2:$AH$2)/10^9),0)</f>
        <v>0</v>
      </c>
      <c r="AY2321" s="91">
        <f>IF($AJ$2231&gt;0,PPMT('Assumptions (Petroleum)'!$V$6,Model!AL$1,'Assumptions (Petroleum)'!$V$9,'Assumptions (Petroleum)'!$V$4*Model!$AJ$2231*AVERAGE('Assumptions (Petroleum)'!$AF$2:$AH$2)/10^9),0)</f>
        <v>0</v>
      </c>
      <c r="AZ2321" s="91">
        <f>IF($AJ$2231&gt;0,PPMT('Assumptions (Petroleum)'!$V$6,Model!AM$1,'Assumptions (Petroleum)'!$V$9,'Assumptions (Petroleum)'!$V$4*Model!$AJ$2231*AVERAGE('Assumptions (Petroleum)'!$AF$2:$AH$2)/10^9),0)</f>
        <v>0</v>
      </c>
      <c r="BA2321" s="91">
        <f>IF($AJ$2231&gt;0,PPMT('Assumptions (Petroleum)'!$V$6,Model!AN$1,'Assumptions (Petroleum)'!$V$9,'Assumptions (Petroleum)'!$V$4*Model!$AJ$2231*AVERAGE('Assumptions (Petroleum)'!$AF$2:$AH$2)/10^9),0)</f>
        <v>0</v>
      </c>
      <c r="BB2321" s="91">
        <f>IF($AJ$2231&gt;0,PPMT('Assumptions (Petroleum)'!$V$6,Model!AO$1,'Assumptions (Petroleum)'!$V$9,'Assumptions (Petroleum)'!$V$4*Model!$AJ$2231*AVERAGE('Assumptions (Petroleum)'!$AF$2:$AH$2)/10^9),0)</f>
        <v>0</v>
      </c>
      <c r="BC2321" s="91">
        <f>IF($AJ$2231&gt;0,PPMT('Assumptions (Petroleum)'!$V$6,Model!AP$1,'Assumptions (Petroleum)'!$V$9,'Assumptions (Petroleum)'!$V$4*Model!$AJ$2231*AVERAGE('Assumptions (Petroleum)'!$AF$2:$AH$2)/10^9),0)</f>
        <v>0</v>
      </c>
      <c r="BD2321" s="91">
        <f>IF($AJ$2231&gt;0,PPMT('Assumptions (Petroleum)'!$V$6,Model!AQ$1,'Assumptions (Petroleum)'!$V$9,'Assumptions (Petroleum)'!$V$4*Model!$AJ$2231*AVERAGE('Assumptions (Petroleum)'!$AF$2:$AH$2)/10^9),0)</f>
        <v>0</v>
      </c>
      <c r="BE2321" s="91">
        <f>IF($AJ$2231&gt;0,PPMT('Assumptions (Petroleum)'!$V$6,Model!AR$1,'Assumptions (Petroleum)'!$V$9,'Assumptions (Petroleum)'!$V$4*Model!$AJ$2231*AVERAGE('Assumptions (Petroleum)'!$AF$2:$AH$2)/10^9),0)</f>
        <v>0</v>
      </c>
      <c r="BF2321" s="91">
        <f>IF($AJ$2231&gt;0,PPMT('Assumptions (Petroleum)'!$V$6,Model!AS$1,'Assumptions (Petroleum)'!$V$9,'Assumptions (Petroleum)'!$V$4*Model!$AJ$2231*AVERAGE('Assumptions (Petroleum)'!$AF$2:$AH$2)/10^9),0)</f>
        <v>0</v>
      </c>
      <c r="BG2321" s="91">
        <f>IF($AJ$2231&gt;0,PPMT('Assumptions (Petroleum)'!$V$6,Model!AT$1,'Assumptions (Petroleum)'!$V$9,'Assumptions (Petroleum)'!$V$4*Model!$AJ$2231*AVERAGE('Assumptions (Petroleum)'!$AF$2:$AH$2)/10^9),0)</f>
        <v>0</v>
      </c>
      <c r="BH2321" s="91">
        <f>IF($AJ$2231&gt;0,PPMT('Assumptions (Petroleum)'!$V$6,Model!AU$1,'Assumptions (Petroleum)'!$V$9,'Assumptions (Petroleum)'!$V$4*Model!$AJ$2231*AVERAGE('Assumptions (Petroleum)'!$AF$2:$AH$2)/10^9),0)</f>
        <v>0</v>
      </c>
    </row>
    <row r="2322" spans="1:68" ht="15.75" hidden="1" customHeight="1" outlineLevel="1">
      <c r="A2322" s="447"/>
      <c r="B2322" s="99"/>
      <c r="C2322" s="99"/>
      <c r="D2322" s="99"/>
      <c r="E2322" s="99"/>
      <c r="F2322" s="99"/>
      <c r="G2322" s="99"/>
      <c r="H2322" s="99"/>
      <c r="I2322" s="99"/>
      <c r="J2322" s="99"/>
      <c r="K2322" s="99"/>
      <c r="L2322" s="99"/>
      <c r="M2322" s="99"/>
      <c r="N2322" s="99"/>
      <c r="O2322" s="99"/>
      <c r="P2322" s="99"/>
      <c r="Q2322" s="99"/>
      <c r="R2322" s="99"/>
      <c r="S2322" s="99"/>
      <c r="T2322" s="99"/>
      <c r="U2322" s="99"/>
      <c r="V2322" s="99"/>
      <c r="W2322" s="105"/>
      <c r="X2322" s="105"/>
      <c r="Y2322" s="105"/>
      <c r="Z2322" s="105"/>
      <c r="AA2322" s="105"/>
      <c r="AB2322" s="105"/>
      <c r="AC2322" s="105"/>
      <c r="AD2322" s="105"/>
      <c r="AE2322" s="105"/>
      <c r="AF2322" s="105"/>
      <c r="AG2322" s="105"/>
      <c r="AH2322" s="105"/>
      <c r="AI2322" s="105"/>
      <c r="AJ2322" s="171"/>
      <c r="AK2322" s="105">
        <f>IF($AK$2231&gt;0,PPMT('Assumptions (Petroleum)'!$V$6,Model!W$1,'Assumptions (Petroleum)'!$V$9,'Assumptions (Petroleum)'!$V$4*Model!$AK$2231*AVERAGE('Assumptions (Petroleum)'!$AG$2:$AI$2)/10^9),0)</f>
        <v>0</v>
      </c>
      <c r="AL2322" s="105">
        <f>IF($AK$2231&gt;0,PPMT('Assumptions (Petroleum)'!$V$6,Model!X$1,'Assumptions (Petroleum)'!$V$9,'Assumptions (Petroleum)'!$V$4*Model!$AK$2231*AVERAGE('Assumptions (Petroleum)'!$AG$2:$AI$2)/10^9),0)</f>
        <v>0</v>
      </c>
      <c r="AM2322" s="105">
        <f>IF($AK$2231&gt;0,PPMT('Assumptions (Petroleum)'!$V$6,Model!Y$1,'Assumptions (Petroleum)'!$V$9,'Assumptions (Petroleum)'!$V$4*Model!$AK$2231*AVERAGE('Assumptions (Petroleum)'!$AG$2:$AI$2)/10^9),0)</f>
        <v>0</v>
      </c>
      <c r="AN2322" s="105">
        <f>IF($AK$2231&gt;0,PPMT('Assumptions (Petroleum)'!$V$6,Model!Z$1,'Assumptions (Petroleum)'!$V$9,'Assumptions (Petroleum)'!$V$4*Model!$AK$2231*AVERAGE('Assumptions (Petroleum)'!$AG$2:$AI$2)/10^9),0)</f>
        <v>0</v>
      </c>
      <c r="AO2322" s="105">
        <f>IF($AK$2231&gt;0,PPMT('Assumptions (Petroleum)'!$V$6,Model!AA$1,'Assumptions (Petroleum)'!$V$9,'Assumptions (Petroleum)'!$V$4*Model!$AK$2231*AVERAGE('Assumptions (Petroleum)'!$AG$2:$AI$2)/10^9),0)</f>
        <v>0</v>
      </c>
      <c r="AP2322" s="105">
        <f>IF($AK$2231&gt;0,PPMT('Assumptions (Petroleum)'!$V$6,Model!AB$1,'Assumptions (Petroleum)'!$V$9,'Assumptions (Petroleum)'!$V$4*Model!$AK$2231*AVERAGE('Assumptions (Petroleum)'!$AG$2:$AI$2)/10^9),0)</f>
        <v>0</v>
      </c>
      <c r="AQ2322" s="105">
        <f>IF($AK$2231&gt;0,PPMT('Assumptions (Petroleum)'!$V$6,Model!AC$1,'Assumptions (Petroleum)'!$V$9,'Assumptions (Petroleum)'!$V$4*Model!$AK$2231*AVERAGE('Assumptions (Petroleum)'!$AG$2:$AI$2)/10^9),0)</f>
        <v>0</v>
      </c>
      <c r="AR2322" s="105">
        <f>IF($AK$2231&gt;0,PPMT('Assumptions (Petroleum)'!$V$6,Model!AD$1,'Assumptions (Petroleum)'!$V$9,'Assumptions (Petroleum)'!$V$4*Model!$AK$2231*AVERAGE('Assumptions (Petroleum)'!$AG$2:$AI$2)/10^9),0)</f>
        <v>0</v>
      </c>
      <c r="AS2322" s="105">
        <f>IF($AK$2231&gt;0,PPMT('Assumptions (Petroleum)'!$V$6,Model!AE$1,'Assumptions (Petroleum)'!$V$9,'Assumptions (Petroleum)'!$V$4*Model!$AK$2231*AVERAGE('Assumptions (Petroleum)'!$AG$2:$AI$2)/10^9),0)</f>
        <v>0</v>
      </c>
      <c r="AT2322" s="105">
        <f>IF($AK$2231&gt;0,PPMT('Assumptions (Petroleum)'!$V$6,Model!AF$1,'Assumptions (Petroleum)'!$V$9,'Assumptions (Petroleum)'!$V$4*Model!$AK$2231*AVERAGE('Assumptions (Petroleum)'!$AG$2:$AI$2)/10^9),0)</f>
        <v>0</v>
      </c>
      <c r="AU2322" s="105">
        <f>IF($AK$2231&gt;0,PPMT('Assumptions (Petroleum)'!$V$6,Model!AG$1,'Assumptions (Petroleum)'!$V$9,'Assumptions (Petroleum)'!$V$4*Model!$AK$2231*AVERAGE('Assumptions (Petroleum)'!$AG$2:$AI$2)/10^9),0)</f>
        <v>0</v>
      </c>
      <c r="AV2322" s="105">
        <f>IF($AK$2231&gt;0,PPMT('Assumptions (Petroleum)'!$V$6,Model!AH$1,'Assumptions (Petroleum)'!$V$9,'Assumptions (Petroleum)'!$V$4*Model!$AK$2231*AVERAGE('Assumptions (Petroleum)'!$AG$2:$AI$2)/10^9),0)</f>
        <v>0</v>
      </c>
      <c r="AW2322" s="105">
        <f>IF($AK$2231&gt;0,PPMT('Assumptions (Petroleum)'!$V$6,Model!AI$1,'Assumptions (Petroleum)'!$V$9,'Assumptions (Petroleum)'!$V$4*Model!$AK$2231*AVERAGE('Assumptions (Petroleum)'!$AG$2:$AI$2)/10^9),0)</f>
        <v>0</v>
      </c>
      <c r="AX2322" s="105">
        <f>IF($AK$2231&gt;0,PPMT('Assumptions (Petroleum)'!$V$6,Model!AJ$1,'Assumptions (Petroleum)'!$V$9,'Assumptions (Petroleum)'!$V$4*Model!$AK$2231*AVERAGE('Assumptions (Petroleum)'!$AG$2:$AI$2)/10^9),0)</f>
        <v>0</v>
      </c>
      <c r="AY2322" s="105">
        <f>IF($AK$2231&gt;0,PPMT('Assumptions (Petroleum)'!$V$6,Model!AK$1,'Assumptions (Petroleum)'!$V$9,'Assumptions (Petroleum)'!$V$4*Model!$AK$2231*AVERAGE('Assumptions (Petroleum)'!$AG$2:$AI$2)/10^9),0)</f>
        <v>0</v>
      </c>
      <c r="AZ2322" s="105">
        <f>IF($AK$2231&gt;0,PPMT('Assumptions (Petroleum)'!$V$6,Model!AL$1,'Assumptions (Petroleum)'!$V$9,'Assumptions (Petroleum)'!$V$4*Model!$AK$2231*AVERAGE('Assumptions (Petroleum)'!$AG$2:$AI$2)/10^9),0)</f>
        <v>0</v>
      </c>
      <c r="BA2322" s="105">
        <f>IF($AK$2231&gt;0,PPMT('Assumptions (Petroleum)'!$V$6,Model!AM$1,'Assumptions (Petroleum)'!$V$9,'Assumptions (Petroleum)'!$V$4*Model!$AK$2231*AVERAGE('Assumptions (Petroleum)'!$AG$2:$AI$2)/10^9),0)</f>
        <v>0</v>
      </c>
      <c r="BB2322" s="105">
        <f>IF($AK$2231&gt;0,PPMT('Assumptions (Petroleum)'!$V$6,Model!AN$1,'Assumptions (Petroleum)'!$V$9,'Assumptions (Petroleum)'!$V$4*Model!$AK$2231*AVERAGE('Assumptions (Petroleum)'!$AG$2:$AI$2)/10^9),0)</f>
        <v>0</v>
      </c>
      <c r="BC2322" s="105">
        <f>IF($AK$2231&gt;0,PPMT('Assumptions (Petroleum)'!$V$6,Model!AO$1,'Assumptions (Petroleum)'!$V$9,'Assumptions (Petroleum)'!$V$4*Model!$AK$2231*AVERAGE('Assumptions (Petroleum)'!$AG$2:$AI$2)/10^9),0)</f>
        <v>0</v>
      </c>
      <c r="BD2322" s="105">
        <f>IF($AK$2231&gt;0,PPMT('Assumptions (Petroleum)'!$V$6,Model!AP$1,'Assumptions (Petroleum)'!$V$9,'Assumptions (Petroleum)'!$V$4*Model!$AK$2231*AVERAGE('Assumptions (Petroleum)'!$AG$2:$AI$2)/10^9),0)</f>
        <v>0</v>
      </c>
      <c r="BE2322" s="105">
        <f>IF($AK$2231&gt;0,PPMT('Assumptions (Petroleum)'!$V$6,Model!AQ$1,'Assumptions (Petroleum)'!$V$9,'Assumptions (Petroleum)'!$V$4*Model!$AK$2231*AVERAGE('Assumptions (Petroleum)'!$AG$2:$AI$2)/10^9),0)</f>
        <v>0</v>
      </c>
      <c r="BF2322" s="105">
        <f>IF($AK$2231&gt;0,PPMT('Assumptions (Petroleum)'!$V$6,Model!AR$1,'Assumptions (Petroleum)'!$V$9,'Assumptions (Petroleum)'!$V$4*Model!$AK$2231*AVERAGE('Assumptions (Petroleum)'!$AG$2:$AI$2)/10^9),0)</f>
        <v>0</v>
      </c>
      <c r="BG2322" s="105">
        <f>IF($AK$2231&gt;0,PPMT('Assumptions (Petroleum)'!$V$6,Model!AS$1,'Assumptions (Petroleum)'!$V$9,'Assumptions (Petroleum)'!$V$4*Model!$AK$2231*AVERAGE('Assumptions (Petroleum)'!$AG$2:$AI$2)/10^9),0)</f>
        <v>0</v>
      </c>
      <c r="BH2322" s="105">
        <f>IF($AK$2231&gt;0,PPMT('Assumptions (Petroleum)'!$V$6,Model!AT$1,'Assumptions (Petroleum)'!$V$9,'Assumptions (Petroleum)'!$V$4*Model!$AK$2231*AVERAGE('Assumptions (Petroleum)'!$AG$2:$AI$2)/10^9),0)</f>
        <v>0</v>
      </c>
      <c r="BI2322" s="105">
        <f>IF($AK$2231&gt;0,PPMT('Assumptions (Petroleum)'!$V$6,Model!AU$1,'Assumptions (Petroleum)'!$V$9,'Assumptions (Petroleum)'!$V$4*Model!$AK$2231*AVERAGE('Assumptions (Petroleum)'!$AG$2:$AI$2)/10^9),0)</f>
        <v>0</v>
      </c>
    </row>
    <row r="2323" spans="1:68" ht="15.75" hidden="1" customHeight="1" outlineLevel="1">
      <c r="A2323" s="447"/>
      <c r="B2323" s="99"/>
      <c r="C2323" s="99"/>
      <c r="D2323" s="99"/>
      <c r="E2323" s="99"/>
      <c r="F2323" s="99"/>
      <c r="G2323" s="99"/>
      <c r="H2323" s="99"/>
      <c r="I2323" s="99"/>
      <c r="J2323" s="99"/>
      <c r="K2323" s="99"/>
      <c r="L2323" s="99"/>
      <c r="M2323" s="99"/>
      <c r="N2323" s="99"/>
      <c r="O2323" s="99"/>
      <c r="P2323" s="99"/>
      <c r="Q2323" s="99"/>
      <c r="R2323" s="99"/>
      <c r="S2323" s="99"/>
      <c r="T2323" s="99"/>
      <c r="U2323" s="99"/>
      <c r="V2323" s="99"/>
      <c r="W2323" s="105"/>
      <c r="X2323" s="105"/>
      <c r="Y2323" s="105"/>
      <c r="Z2323" s="105"/>
      <c r="AA2323" s="105"/>
      <c r="AB2323" s="105"/>
      <c r="AC2323" s="105"/>
      <c r="AD2323" s="105"/>
      <c r="AE2323" s="105"/>
      <c r="AF2323" s="105"/>
      <c r="AG2323" s="105"/>
      <c r="AH2323" s="105"/>
      <c r="AI2323" s="105"/>
      <c r="AJ2323" s="171"/>
      <c r="AK2323" s="105"/>
      <c r="AL2323" s="91">
        <f>IF($AL$2231&gt;0,PPMT('Assumptions (Petroleum)'!$V$6,Model!W$1,'Assumptions (Petroleum)'!$V$9,'Assumptions (Petroleum)'!$V$4*Model!$AL$2231*AVERAGE('Assumptions (Petroleum)'!$AH$2:$AJ$2)/10^9),0)</f>
        <v>0</v>
      </c>
      <c r="AM2323" s="91">
        <f>IF($AL$2231&gt;0,PPMT('Assumptions (Petroleum)'!$V$6,Model!X$1,'Assumptions (Petroleum)'!$V$9,'Assumptions (Petroleum)'!$V$4*Model!$AL$2231*AVERAGE('Assumptions (Petroleum)'!$AH$2:$AJ$2)/10^9),0)</f>
        <v>0</v>
      </c>
      <c r="AN2323" s="91">
        <f>IF($AL$2231&gt;0,PPMT('Assumptions (Petroleum)'!$V$6,Model!Y$1,'Assumptions (Petroleum)'!$V$9,'Assumptions (Petroleum)'!$V$4*Model!$AL$2231*AVERAGE('Assumptions (Petroleum)'!$AH$2:$AJ$2)/10^9),0)</f>
        <v>0</v>
      </c>
      <c r="AO2323" s="91">
        <f>IF($AL$2231&gt;0,PPMT('Assumptions (Petroleum)'!$V$6,Model!Z$1,'Assumptions (Petroleum)'!$V$9,'Assumptions (Petroleum)'!$V$4*Model!$AL$2231*AVERAGE('Assumptions (Petroleum)'!$AH$2:$AJ$2)/10^9),0)</f>
        <v>0</v>
      </c>
      <c r="AP2323" s="91">
        <f>IF($AL$2231&gt;0,PPMT('Assumptions (Petroleum)'!$V$6,Model!AA$1,'Assumptions (Petroleum)'!$V$9,'Assumptions (Petroleum)'!$V$4*Model!$AL$2231*AVERAGE('Assumptions (Petroleum)'!$AH$2:$AJ$2)/10^9),0)</f>
        <v>0</v>
      </c>
      <c r="AQ2323" s="91">
        <f>IF($AL$2231&gt;0,PPMT('Assumptions (Petroleum)'!$V$6,Model!AB$1,'Assumptions (Petroleum)'!$V$9,'Assumptions (Petroleum)'!$V$4*Model!$AL$2231*AVERAGE('Assumptions (Petroleum)'!$AH$2:$AJ$2)/10^9),0)</f>
        <v>0</v>
      </c>
      <c r="AR2323" s="91">
        <f>IF($AL$2231&gt;0,PPMT('Assumptions (Petroleum)'!$V$6,Model!AC$1,'Assumptions (Petroleum)'!$V$9,'Assumptions (Petroleum)'!$V$4*Model!$AL$2231*AVERAGE('Assumptions (Petroleum)'!$AH$2:$AJ$2)/10^9),0)</f>
        <v>0</v>
      </c>
      <c r="AS2323" s="91">
        <f>IF($AL$2231&gt;0,PPMT('Assumptions (Petroleum)'!$V$6,Model!AD$1,'Assumptions (Petroleum)'!$V$9,'Assumptions (Petroleum)'!$V$4*Model!$AL$2231*AVERAGE('Assumptions (Petroleum)'!$AH$2:$AJ$2)/10^9),0)</f>
        <v>0</v>
      </c>
      <c r="AT2323" s="91">
        <f>IF($AL$2231&gt;0,PPMT('Assumptions (Petroleum)'!$V$6,Model!AE$1,'Assumptions (Petroleum)'!$V$9,'Assumptions (Petroleum)'!$V$4*Model!$AL$2231*AVERAGE('Assumptions (Petroleum)'!$AH$2:$AJ$2)/10^9),0)</f>
        <v>0</v>
      </c>
      <c r="AU2323" s="91">
        <f>IF($AL$2231&gt;0,PPMT('Assumptions (Petroleum)'!$V$6,Model!AF$1,'Assumptions (Petroleum)'!$V$9,'Assumptions (Petroleum)'!$V$4*Model!$AL$2231*AVERAGE('Assumptions (Petroleum)'!$AH$2:$AJ$2)/10^9),0)</f>
        <v>0</v>
      </c>
      <c r="AV2323" s="91">
        <f>IF($AL$2231&gt;0,PPMT('Assumptions (Petroleum)'!$V$6,Model!AG$1,'Assumptions (Petroleum)'!$V$9,'Assumptions (Petroleum)'!$V$4*Model!$AL$2231*AVERAGE('Assumptions (Petroleum)'!$AH$2:$AJ$2)/10^9),0)</f>
        <v>0</v>
      </c>
      <c r="AW2323" s="91">
        <f>IF($AL$2231&gt;0,PPMT('Assumptions (Petroleum)'!$V$6,Model!AH$1,'Assumptions (Petroleum)'!$V$9,'Assumptions (Petroleum)'!$V$4*Model!$AL$2231*AVERAGE('Assumptions (Petroleum)'!$AH$2:$AJ$2)/10^9),0)</f>
        <v>0</v>
      </c>
      <c r="AX2323" s="91">
        <f>IF($AL$2231&gt;0,PPMT('Assumptions (Petroleum)'!$V$6,Model!AI$1,'Assumptions (Petroleum)'!$V$9,'Assumptions (Petroleum)'!$V$4*Model!$AL$2231*AVERAGE('Assumptions (Petroleum)'!$AH$2:$AJ$2)/10^9),0)</f>
        <v>0</v>
      </c>
      <c r="AY2323" s="91">
        <f>IF($AL$2231&gt;0,PPMT('Assumptions (Petroleum)'!$V$6,Model!AJ$1,'Assumptions (Petroleum)'!$V$9,'Assumptions (Petroleum)'!$V$4*Model!$AL$2231*AVERAGE('Assumptions (Petroleum)'!$AH$2:$AJ$2)/10^9),0)</f>
        <v>0</v>
      </c>
      <c r="AZ2323" s="91">
        <f>IF($AL$2231&gt;0,PPMT('Assumptions (Petroleum)'!$V$6,Model!AK$1,'Assumptions (Petroleum)'!$V$9,'Assumptions (Petroleum)'!$V$4*Model!$AL$2231*AVERAGE('Assumptions (Petroleum)'!$AH$2:$AJ$2)/10^9),0)</f>
        <v>0</v>
      </c>
      <c r="BA2323" s="91">
        <f>IF($AL$2231&gt;0,PPMT('Assumptions (Petroleum)'!$V$6,Model!AL$1,'Assumptions (Petroleum)'!$V$9,'Assumptions (Petroleum)'!$V$4*Model!$AL$2231*AVERAGE('Assumptions (Petroleum)'!$AH$2:$AJ$2)/10^9),0)</f>
        <v>0</v>
      </c>
      <c r="BB2323" s="91">
        <f>IF($AL$2231&gt;0,PPMT('Assumptions (Petroleum)'!$V$6,Model!AM$1,'Assumptions (Petroleum)'!$V$9,'Assumptions (Petroleum)'!$V$4*Model!$AL$2231*AVERAGE('Assumptions (Petroleum)'!$AH$2:$AJ$2)/10^9),0)</f>
        <v>0</v>
      </c>
      <c r="BC2323" s="91">
        <f>IF($AL$2231&gt;0,PPMT('Assumptions (Petroleum)'!$V$6,Model!AN$1,'Assumptions (Petroleum)'!$V$9,'Assumptions (Petroleum)'!$V$4*Model!$AL$2231*AVERAGE('Assumptions (Petroleum)'!$AH$2:$AJ$2)/10^9),0)</f>
        <v>0</v>
      </c>
      <c r="BD2323" s="91">
        <f>IF($AL$2231&gt;0,PPMT('Assumptions (Petroleum)'!$V$6,Model!AO$1,'Assumptions (Petroleum)'!$V$9,'Assumptions (Petroleum)'!$V$4*Model!$AL$2231*AVERAGE('Assumptions (Petroleum)'!$AH$2:$AJ$2)/10^9),0)</f>
        <v>0</v>
      </c>
      <c r="BE2323" s="91">
        <f>IF($AL$2231&gt;0,PPMT('Assumptions (Petroleum)'!$V$6,Model!AP$1,'Assumptions (Petroleum)'!$V$9,'Assumptions (Petroleum)'!$V$4*Model!$AL$2231*AVERAGE('Assumptions (Petroleum)'!$AH$2:$AJ$2)/10^9),0)</f>
        <v>0</v>
      </c>
      <c r="BF2323" s="91">
        <f>IF($AL$2231&gt;0,PPMT('Assumptions (Petroleum)'!$V$6,Model!AQ$1,'Assumptions (Petroleum)'!$V$9,'Assumptions (Petroleum)'!$V$4*Model!$AL$2231*AVERAGE('Assumptions (Petroleum)'!$AH$2:$AJ$2)/10^9),0)</f>
        <v>0</v>
      </c>
      <c r="BG2323" s="91">
        <f>IF($AL$2231&gt;0,PPMT('Assumptions (Petroleum)'!$V$6,Model!AR$1,'Assumptions (Petroleum)'!$V$9,'Assumptions (Petroleum)'!$V$4*Model!$AL$2231*AVERAGE('Assumptions (Petroleum)'!$AH$2:$AJ$2)/10^9),0)</f>
        <v>0</v>
      </c>
      <c r="BH2323" s="91">
        <f>IF($AL$2231&gt;0,PPMT('Assumptions (Petroleum)'!$V$6,Model!AS$1,'Assumptions (Petroleum)'!$V$9,'Assumptions (Petroleum)'!$V$4*Model!$AL$2231*AVERAGE('Assumptions (Petroleum)'!$AH$2:$AJ$2)/10^9),0)</f>
        <v>0</v>
      </c>
      <c r="BI2323" s="91">
        <f>IF($AL$2231&gt;0,PPMT('Assumptions (Petroleum)'!$V$6,Model!AT$1,'Assumptions (Petroleum)'!$V$9,'Assumptions (Petroleum)'!$V$4*Model!$AL$2231*AVERAGE('Assumptions (Petroleum)'!$AH$2:$AJ$2)/10^9),0)</f>
        <v>0</v>
      </c>
      <c r="BJ2323" s="91">
        <f>IF($AL$2231&gt;0,PPMT('Assumptions (Petroleum)'!$V$6,Model!AU$1,'Assumptions (Petroleum)'!$V$9,'Assumptions (Petroleum)'!$V$4*Model!$AL$2231*AVERAGE('Assumptions (Petroleum)'!$AH$2:$AJ$2)/10^9),0)</f>
        <v>0</v>
      </c>
    </row>
    <row r="2324" spans="1:68" ht="15.75" hidden="1" customHeight="1" outlineLevel="1">
      <c r="A2324" s="447"/>
      <c r="B2324" s="99"/>
      <c r="C2324" s="99"/>
      <c r="D2324" s="99"/>
      <c r="E2324" s="99"/>
      <c r="F2324" s="99"/>
      <c r="G2324" s="99"/>
      <c r="H2324" s="99"/>
      <c r="I2324" s="99"/>
      <c r="J2324" s="99"/>
      <c r="K2324" s="99"/>
      <c r="L2324" s="99"/>
      <c r="M2324" s="99"/>
      <c r="N2324" s="99"/>
      <c r="O2324" s="99"/>
      <c r="P2324" s="99"/>
      <c r="Q2324" s="99"/>
      <c r="R2324" s="99"/>
      <c r="S2324" s="99"/>
      <c r="T2324" s="99"/>
      <c r="U2324" s="99"/>
      <c r="V2324" s="99"/>
      <c r="W2324" s="105"/>
      <c r="X2324" s="105"/>
      <c r="Y2324" s="105"/>
      <c r="Z2324" s="105"/>
      <c r="AA2324" s="105"/>
      <c r="AB2324" s="105"/>
      <c r="AC2324" s="105"/>
      <c r="AD2324" s="105"/>
      <c r="AE2324" s="105"/>
      <c r="AF2324" s="105"/>
      <c r="AG2324" s="105"/>
      <c r="AH2324" s="105"/>
      <c r="AI2324" s="105"/>
      <c r="AJ2324" s="171"/>
      <c r="AK2324" s="105"/>
      <c r="AL2324" s="91"/>
      <c r="AM2324" s="105">
        <f>IF($AM$2231&gt;0,PPMT('Assumptions (Petroleum)'!$V$6,Model!W$1,'Assumptions (Petroleum)'!$V$9,'Assumptions (Petroleum)'!$V$4*Model!$AM$2231*AVERAGE('Assumptions (Petroleum)'!$AI$2:$AK$2)/10^9),0)</f>
        <v>0</v>
      </c>
      <c r="AN2324" s="105">
        <f>IF($AM$2231&gt;0,PPMT('Assumptions (Petroleum)'!$V$6,Model!X$1,'Assumptions (Petroleum)'!$V$9,'Assumptions (Petroleum)'!$V$4*Model!$AM$2231*AVERAGE('Assumptions (Petroleum)'!$AI$2:$AK$2)/10^9),0)</f>
        <v>0</v>
      </c>
      <c r="AO2324" s="105">
        <f>IF($AM$2231&gt;0,PPMT('Assumptions (Petroleum)'!$V$6,Model!Y$1,'Assumptions (Petroleum)'!$V$9,'Assumptions (Petroleum)'!$V$4*Model!$AM$2231*AVERAGE('Assumptions (Petroleum)'!$AI$2:$AK$2)/10^9),0)</f>
        <v>0</v>
      </c>
      <c r="AP2324" s="105">
        <f>IF($AM$2231&gt;0,PPMT('Assumptions (Petroleum)'!$V$6,Model!Z$1,'Assumptions (Petroleum)'!$V$9,'Assumptions (Petroleum)'!$V$4*Model!$AM$2231*AVERAGE('Assumptions (Petroleum)'!$AI$2:$AK$2)/10^9),0)</f>
        <v>0</v>
      </c>
      <c r="AQ2324" s="105">
        <f>IF($AM$2231&gt;0,PPMT('Assumptions (Petroleum)'!$V$6,Model!AA$1,'Assumptions (Petroleum)'!$V$9,'Assumptions (Petroleum)'!$V$4*Model!$AM$2231*AVERAGE('Assumptions (Petroleum)'!$AI$2:$AK$2)/10^9),0)</f>
        <v>0</v>
      </c>
      <c r="AR2324" s="105">
        <f>IF($AM$2231&gt;0,PPMT('Assumptions (Petroleum)'!$V$6,Model!AB$1,'Assumptions (Petroleum)'!$V$9,'Assumptions (Petroleum)'!$V$4*Model!$AM$2231*AVERAGE('Assumptions (Petroleum)'!$AI$2:$AK$2)/10^9),0)</f>
        <v>0</v>
      </c>
      <c r="AS2324" s="105">
        <f>IF($AM$2231&gt;0,PPMT('Assumptions (Petroleum)'!$V$6,Model!AC$1,'Assumptions (Petroleum)'!$V$9,'Assumptions (Petroleum)'!$V$4*Model!$AM$2231*AVERAGE('Assumptions (Petroleum)'!$AI$2:$AK$2)/10^9),0)</f>
        <v>0</v>
      </c>
      <c r="AT2324" s="105">
        <f>IF($AM$2231&gt;0,PPMT('Assumptions (Petroleum)'!$V$6,Model!AD$1,'Assumptions (Petroleum)'!$V$9,'Assumptions (Petroleum)'!$V$4*Model!$AM$2231*AVERAGE('Assumptions (Petroleum)'!$AI$2:$AK$2)/10^9),0)</f>
        <v>0</v>
      </c>
      <c r="AU2324" s="105">
        <f>IF($AM$2231&gt;0,PPMT('Assumptions (Petroleum)'!$V$6,Model!AE$1,'Assumptions (Petroleum)'!$V$9,'Assumptions (Petroleum)'!$V$4*Model!$AM$2231*AVERAGE('Assumptions (Petroleum)'!$AI$2:$AK$2)/10^9),0)</f>
        <v>0</v>
      </c>
      <c r="AV2324" s="105">
        <f>IF($AM$2231&gt;0,PPMT('Assumptions (Petroleum)'!$V$6,Model!AF$1,'Assumptions (Petroleum)'!$V$9,'Assumptions (Petroleum)'!$V$4*Model!$AM$2231*AVERAGE('Assumptions (Petroleum)'!$AI$2:$AK$2)/10^9),0)</f>
        <v>0</v>
      </c>
      <c r="AW2324" s="105">
        <f>IF($AM$2231&gt;0,PPMT('Assumptions (Petroleum)'!$V$6,Model!AG$1,'Assumptions (Petroleum)'!$V$9,'Assumptions (Petroleum)'!$V$4*Model!$AM$2231*AVERAGE('Assumptions (Petroleum)'!$AI$2:$AK$2)/10^9),0)</f>
        <v>0</v>
      </c>
      <c r="AX2324" s="105">
        <f>IF($AM$2231&gt;0,PPMT('Assumptions (Petroleum)'!$V$6,Model!AH$1,'Assumptions (Petroleum)'!$V$9,'Assumptions (Petroleum)'!$V$4*Model!$AM$2231*AVERAGE('Assumptions (Petroleum)'!$AI$2:$AK$2)/10^9),0)</f>
        <v>0</v>
      </c>
      <c r="AY2324" s="105">
        <f>IF($AM$2231&gt;0,PPMT('Assumptions (Petroleum)'!$V$6,Model!AI$1,'Assumptions (Petroleum)'!$V$9,'Assumptions (Petroleum)'!$V$4*Model!$AM$2231*AVERAGE('Assumptions (Petroleum)'!$AI$2:$AK$2)/10^9),0)</f>
        <v>0</v>
      </c>
      <c r="AZ2324" s="105">
        <f>IF($AM$2231&gt;0,PPMT('Assumptions (Petroleum)'!$V$6,Model!AJ$1,'Assumptions (Petroleum)'!$V$9,'Assumptions (Petroleum)'!$V$4*Model!$AM$2231*AVERAGE('Assumptions (Petroleum)'!$AI$2:$AK$2)/10^9),0)</f>
        <v>0</v>
      </c>
      <c r="BA2324" s="105">
        <f>IF($AM$2231&gt;0,PPMT('Assumptions (Petroleum)'!$V$6,Model!AK$1,'Assumptions (Petroleum)'!$V$9,'Assumptions (Petroleum)'!$V$4*Model!$AM$2231*AVERAGE('Assumptions (Petroleum)'!$AI$2:$AK$2)/10^9),0)</f>
        <v>0</v>
      </c>
      <c r="BB2324" s="105">
        <f>IF($AM$2231&gt;0,PPMT('Assumptions (Petroleum)'!$V$6,Model!AL$1,'Assumptions (Petroleum)'!$V$9,'Assumptions (Petroleum)'!$V$4*Model!$AM$2231*AVERAGE('Assumptions (Petroleum)'!$AI$2:$AK$2)/10^9),0)</f>
        <v>0</v>
      </c>
      <c r="BC2324" s="105">
        <f>IF($AM$2231&gt;0,PPMT('Assumptions (Petroleum)'!$V$6,Model!AM$1,'Assumptions (Petroleum)'!$V$9,'Assumptions (Petroleum)'!$V$4*Model!$AM$2231*AVERAGE('Assumptions (Petroleum)'!$AI$2:$AK$2)/10^9),0)</f>
        <v>0</v>
      </c>
      <c r="BD2324" s="105">
        <f>IF($AM$2231&gt;0,PPMT('Assumptions (Petroleum)'!$V$6,Model!AN$1,'Assumptions (Petroleum)'!$V$9,'Assumptions (Petroleum)'!$V$4*Model!$AM$2231*AVERAGE('Assumptions (Petroleum)'!$AI$2:$AK$2)/10^9),0)</f>
        <v>0</v>
      </c>
      <c r="BE2324" s="105">
        <f>IF($AM$2231&gt;0,PPMT('Assumptions (Petroleum)'!$V$6,Model!AO$1,'Assumptions (Petroleum)'!$V$9,'Assumptions (Petroleum)'!$V$4*Model!$AM$2231*AVERAGE('Assumptions (Petroleum)'!$AI$2:$AK$2)/10^9),0)</f>
        <v>0</v>
      </c>
      <c r="BF2324" s="105">
        <f>IF($AM$2231&gt;0,PPMT('Assumptions (Petroleum)'!$V$6,Model!AP$1,'Assumptions (Petroleum)'!$V$9,'Assumptions (Petroleum)'!$V$4*Model!$AM$2231*AVERAGE('Assumptions (Petroleum)'!$AI$2:$AK$2)/10^9),0)</f>
        <v>0</v>
      </c>
      <c r="BG2324" s="105">
        <f>IF($AM$2231&gt;0,PPMT('Assumptions (Petroleum)'!$V$6,Model!AQ$1,'Assumptions (Petroleum)'!$V$9,'Assumptions (Petroleum)'!$V$4*Model!$AM$2231*AVERAGE('Assumptions (Petroleum)'!$AI$2:$AK$2)/10^9),0)</f>
        <v>0</v>
      </c>
      <c r="BH2324" s="105">
        <f>IF($AM$2231&gt;0,PPMT('Assumptions (Petroleum)'!$V$6,Model!AR$1,'Assumptions (Petroleum)'!$V$9,'Assumptions (Petroleum)'!$V$4*Model!$AM$2231*AVERAGE('Assumptions (Petroleum)'!$AI$2:$AK$2)/10^9),0)</f>
        <v>0</v>
      </c>
      <c r="BI2324" s="105">
        <f>IF($AM$2231&gt;0,PPMT('Assumptions (Petroleum)'!$V$6,Model!AS$1,'Assumptions (Petroleum)'!$V$9,'Assumptions (Petroleum)'!$V$4*Model!$AM$2231*AVERAGE('Assumptions (Petroleum)'!$AI$2:$AK$2)/10^9),0)</f>
        <v>0</v>
      </c>
      <c r="BJ2324" s="105">
        <f>IF($AM$2231&gt;0,PPMT('Assumptions (Petroleum)'!$V$6,Model!AT$1,'Assumptions (Petroleum)'!$V$9,'Assumptions (Petroleum)'!$V$4*Model!$AM$2231*AVERAGE('Assumptions (Petroleum)'!$AI$2:$AK$2)/10^9),0)</f>
        <v>0</v>
      </c>
      <c r="BK2324" s="105">
        <f>IF($AM$2231&gt;0,PPMT('Assumptions (Petroleum)'!$V$6,Model!AU$1,'Assumptions (Petroleum)'!$V$9,'Assumptions (Petroleum)'!$V$4*Model!$AM$2231*AVERAGE('Assumptions (Petroleum)'!$AI$2:$AK$2)/10^9),0)</f>
        <v>0</v>
      </c>
    </row>
    <row r="2325" spans="1:68" ht="15.75" hidden="1" customHeight="1" outlineLevel="1">
      <c r="A2325" s="447"/>
      <c r="B2325" s="99"/>
      <c r="C2325" s="99"/>
      <c r="D2325" s="99"/>
      <c r="E2325" s="99"/>
      <c r="F2325" s="99"/>
      <c r="G2325" s="99"/>
      <c r="H2325" s="99"/>
      <c r="I2325" s="99"/>
      <c r="J2325" s="99"/>
      <c r="K2325" s="99"/>
      <c r="L2325" s="99"/>
      <c r="M2325" s="99"/>
      <c r="N2325" s="99"/>
      <c r="O2325" s="99"/>
      <c r="P2325" s="99"/>
      <c r="Q2325" s="99"/>
      <c r="R2325" s="99"/>
      <c r="S2325" s="99"/>
      <c r="T2325" s="99"/>
      <c r="U2325" s="99"/>
      <c r="V2325" s="99"/>
      <c r="W2325" s="105"/>
      <c r="X2325" s="105"/>
      <c r="Y2325" s="105"/>
      <c r="Z2325" s="105"/>
      <c r="AA2325" s="105"/>
      <c r="AB2325" s="105"/>
      <c r="AC2325" s="105"/>
      <c r="AD2325" s="105"/>
      <c r="AE2325" s="105"/>
      <c r="AF2325" s="105"/>
      <c r="AG2325" s="105"/>
      <c r="AH2325" s="105"/>
      <c r="AI2325" s="105"/>
      <c r="AJ2325" s="171"/>
      <c r="AK2325" s="105"/>
      <c r="AL2325" s="91"/>
      <c r="AM2325" s="91"/>
      <c r="AN2325" s="105">
        <f>IF($AN$2231&gt;0,PPMT('Assumptions (Petroleum)'!$V$6,Model!W$1,'Assumptions (Petroleum)'!$V$9,'Assumptions (Petroleum)'!$V$4*Model!$AN$2231*AVERAGE('Assumptions (Petroleum)'!$AJ$2:$AL$2)/10^9),0)</f>
        <v>0</v>
      </c>
      <c r="AO2325" s="105">
        <f>IF($AN$2231&gt;0,PPMT('Assumptions (Petroleum)'!$V$6,Model!X$1,'Assumptions (Petroleum)'!$V$9,'Assumptions (Petroleum)'!$V$4*Model!$AN$2231*AVERAGE('Assumptions (Petroleum)'!$AJ$2:$AL$2)/10^9),0)</f>
        <v>0</v>
      </c>
      <c r="AP2325" s="105">
        <f>IF($AN$2231&gt;0,PPMT('Assumptions (Petroleum)'!$V$6,Model!Y$1,'Assumptions (Petroleum)'!$V$9,'Assumptions (Petroleum)'!$V$4*Model!$AN$2231*AVERAGE('Assumptions (Petroleum)'!$AJ$2:$AL$2)/10^9),0)</f>
        <v>0</v>
      </c>
      <c r="AQ2325" s="105">
        <f>IF($AN$2231&gt;0,PPMT('Assumptions (Petroleum)'!$V$6,Model!Z$1,'Assumptions (Petroleum)'!$V$9,'Assumptions (Petroleum)'!$V$4*Model!$AN$2231*AVERAGE('Assumptions (Petroleum)'!$AJ$2:$AL$2)/10^9),0)</f>
        <v>0</v>
      </c>
      <c r="AR2325" s="105">
        <f>IF($AN$2231&gt;0,PPMT('Assumptions (Petroleum)'!$V$6,Model!AA$1,'Assumptions (Petroleum)'!$V$9,'Assumptions (Petroleum)'!$V$4*Model!$AN$2231*AVERAGE('Assumptions (Petroleum)'!$AJ$2:$AL$2)/10^9),0)</f>
        <v>0</v>
      </c>
      <c r="AS2325" s="105">
        <f>IF($AN$2231&gt;0,PPMT('Assumptions (Petroleum)'!$V$6,Model!AB$1,'Assumptions (Petroleum)'!$V$9,'Assumptions (Petroleum)'!$V$4*Model!$AN$2231*AVERAGE('Assumptions (Petroleum)'!$AJ$2:$AL$2)/10^9),0)</f>
        <v>0</v>
      </c>
      <c r="AT2325" s="105">
        <f>IF($AN$2231&gt;0,PPMT('Assumptions (Petroleum)'!$V$6,Model!AC$1,'Assumptions (Petroleum)'!$V$9,'Assumptions (Petroleum)'!$V$4*Model!$AN$2231*AVERAGE('Assumptions (Petroleum)'!$AJ$2:$AL$2)/10^9),0)</f>
        <v>0</v>
      </c>
      <c r="AU2325" s="105">
        <f>IF($AN$2231&gt;0,PPMT('Assumptions (Petroleum)'!$V$6,Model!AD$1,'Assumptions (Petroleum)'!$V$9,'Assumptions (Petroleum)'!$V$4*Model!$AN$2231*AVERAGE('Assumptions (Petroleum)'!$AJ$2:$AL$2)/10^9),0)</f>
        <v>0</v>
      </c>
      <c r="AV2325" s="105">
        <f>IF($AN$2231&gt;0,PPMT('Assumptions (Petroleum)'!$V$6,Model!AE$1,'Assumptions (Petroleum)'!$V$9,'Assumptions (Petroleum)'!$V$4*Model!$AN$2231*AVERAGE('Assumptions (Petroleum)'!$AJ$2:$AL$2)/10^9),0)</f>
        <v>0</v>
      </c>
      <c r="AW2325" s="105">
        <f>IF($AN$2231&gt;0,PPMT('Assumptions (Petroleum)'!$V$6,Model!AF$1,'Assumptions (Petroleum)'!$V$9,'Assumptions (Petroleum)'!$V$4*Model!$AN$2231*AVERAGE('Assumptions (Petroleum)'!$AJ$2:$AL$2)/10^9),0)</f>
        <v>0</v>
      </c>
      <c r="AX2325" s="105">
        <f>IF($AN$2231&gt;0,PPMT('Assumptions (Petroleum)'!$V$6,Model!AG$1,'Assumptions (Petroleum)'!$V$9,'Assumptions (Petroleum)'!$V$4*Model!$AN$2231*AVERAGE('Assumptions (Petroleum)'!$AJ$2:$AL$2)/10^9),0)</f>
        <v>0</v>
      </c>
      <c r="AY2325" s="105">
        <f>IF($AN$2231&gt;0,PPMT('Assumptions (Petroleum)'!$V$6,Model!AH$1,'Assumptions (Petroleum)'!$V$9,'Assumptions (Petroleum)'!$V$4*Model!$AN$2231*AVERAGE('Assumptions (Petroleum)'!$AJ$2:$AL$2)/10^9),0)</f>
        <v>0</v>
      </c>
      <c r="AZ2325" s="105">
        <f>IF($AN$2231&gt;0,PPMT('Assumptions (Petroleum)'!$V$6,Model!AI$1,'Assumptions (Petroleum)'!$V$9,'Assumptions (Petroleum)'!$V$4*Model!$AN$2231*AVERAGE('Assumptions (Petroleum)'!$AJ$2:$AL$2)/10^9),0)</f>
        <v>0</v>
      </c>
      <c r="BA2325" s="105">
        <f>IF($AN$2231&gt;0,PPMT('Assumptions (Petroleum)'!$V$6,Model!AJ$1,'Assumptions (Petroleum)'!$V$9,'Assumptions (Petroleum)'!$V$4*Model!$AN$2231*AVERAGE('Assumptions (Petroleum)'!$AJ$2:$AL$2)/10^9),0)</f>
        <v>0</v>
      </c>
      <c r="BB2325" s="105">
        <f>IF($AN$2231&gt;0,PPMT('Assumptions (Petroleum)'!$V$6,Model!AK$1,'Assumptions (Petroleum)'!$V$9,'Assumptions (Petroleum)'!$V$4*Model!$AN$2231*AVERAGE('Assumptions (Petroleum)'!$AJ$2:$AL$2)/10^9),0)</f>
        <v>0</v>
      </c>
      <c r="BC2325" s="105">
        <f>IF($AN$2231&gt;0,PPMT('Assumptions (Petroleum)'!$V$6,Model!AL$1,'Assumptions (Petroleum)'!$V$9,'Assumptions (Petroleum)'!$V$4*Model!$AN$2231*AVERAGE('Assumptions (Petroleum)'!$AJ$2:$AL$2)/10^9),0)</f>
        <v>0</v>
      </c>
      <c r="BD2325" s="105">
        <f>IF($AN$2231&gt;0,PPMT('Assumptions (Petroleum)'!$V$6,Model!AM$1,'Assumptions (Petroleum)'!$V$9,'Assumptions (Petroleum)'!$V$4*Model!$AN$2231*AVERAGE('Assumptions (Petroleum)'!$AJ$2:$AL$2)/10^9),0)</f>
        <v>0</v>
      </c>
      <c r="BE2325" s="105">
        <f>IF($AN$2231&gt;0,PPMT('Assumptions (Petroleum)'!$V$6,Model!AN$1,'Assumptions (Petroleum)'!$V$9,'Assumptions (Petroleum)'!$V$4*Model!$AN$2231*AVERAGE('Assumptions (Petroleum)'!$AJ$2:$AL$2)/10^9),0)</f>
        <v>0</v>
      </c>
      <c r="BF2325" s="105">
        <f>IF($AN$2231&gt;0,PPMT('Assumptions (Petroleum)'!$V$6,Model!AO$1,'Assumptions (Petroleum)'!$V$9,'Assumptions (Petroleum)'!$V$4*Model!$AN$2231*AVERAGE('Assumptions (Petroleum)'!$AJ$2:$AL$2)/10^9),0)</f>
        <v>0</v>
      </c>
      <c r="BG2325" s="105">
        <f>IF($AN$2231&gt;0,PPMT('Assumptions (Petroleum)'!$V$6,Model!AP$1,'Assumptions (Petroleum)'!$V$9,'Assumptions (Petroleum)'!$V$4*Model!$AN$2231*AVERAGE('Assumptions (Petroleum)'!$AJ$2:$AL$2)/10^9),0)</f>
        <v>0</v>
      </c>
      <c r="BH2325" s="105">
        <f>IF($AN$2231&gt;0,PPMT('Assumptions (Petroleum)'!$V$6,Model!AQ$1,'Assumptions (Petroleum)'!$V$9,'Assumptions (Petroleum)'!$V$4*Model!$AN$2231*AVERAGE('Assumptions (Petroleum)'!$AJ$2:$AL$2)/10^9),0)</f>
        <v>0</v>
      </c>
      <c r="BI2325" s="105">
        <f>IF($AN$2231&gt;0,PPMT('Assumptions (Petroleum)'!$V$6,Model!AR$1,'Assumptions (Petroleum)'!$V$9,'Assumptions (Petroleum)'!$V$4*Model!$AN$2231*AVERAGE('Assumptions (Petroleum)'!$AJ$2:$AL$2)/10^9),0)</f>
        <v>0</v>
      </c>
      <c r="BJ2325" s="105">
        <f>IF($AN$2231&gt;0,PPMT('Assumptions (Petroleum)'!$V$6,Model!AS$1,'Assumptions (Petroleum)'!$V$9,'Assumptions (Petroleum)'!$V$4*Model!$AN$2231*AVERAGE('Assumptions (Petroleum)'!$AJ$2:$AL$2)/10^9),0)</f>
        <v>0</v>
      </c>
      <c r="BK2325" s="105">
        <f>IF($AN$2231&gt;0,PPMT('Assumptions (Petroleum)'!$V$6,Model!AT$1,'Assumptions (Petroleum)'!$V$9,'Assumptions (Petroleum)'!$V$4*Model!$AN$2231*AVERAGE('Assumptions (Petroleum)'!$AJ$2:$AL$2)/10^9),0)</f>
        <v>0</v>
      </c>
      <c r="BL2325" s="105">
        <f>IF($AN$2231&gt;0,PPMT('Assumptions (Petroleum)'!$V$6,Model!AU$1,'Assumptions (Petroleum)'!$V$9,'Assumptions (Petroleum)'!$V$4*Model!$AN$2231*AVERAGE('Assumptions (Petroleum)'!$AJ$2:$AL$2)/10^9),0)</f>
        <v>0</v>
      </c>
    </row>
    <row r="2326" spans="1:68" ht="15.75" hidden="1" customHeight="1" outlineLevel="1">
      <c r="A2326" s="447"/>
      <c r="B2326" s="99"/>
      <c r="C2326" s="99"/>
      <c r="D2326" s="99"/>
      <c r="E2326" s="99"/>
      <c r="F2326" s="99"/>
      <c r="G2326" s="99"/>
      <c r="H2326" s="99"/>
      <c r="I2326" s="99"/>
      <c r="J2326" s="99"/>
      <c r="K2326" s="99"/>
      <c r="L2326" s="99"/>
      <c r="M2326" s="99"/>
      <c r="N2326" s="99"/>
      <c r="O2326" s="99"/>
      <c r="P2326" s="99"/>
      <c r="Q2326" s="99"/>
      <c r="R2326" s="99"/>
      <c r="S2326" s="99"/>
      <c r="T2326" s="99"/>
      <c r="U2326" s="99"/>
      <c r="V2326" s="99"/>
      <c r="W2326" s="105"/>
      <c r="X2326" s="105"/>
      <c r="Y2326" s="105"/>
      <c r="Z2326" s="105"/>
      <c r="AA2326" s="105"/>
      <c r="AB2326" s="105"/>
      <c r="AC2326" s="105"/>
      <c r="AD2326" s="105"/>
      <c r="AE2326" s="105"/>
      <c r="AF2326" s="105"/>
      <c r="AG2326" s="105"/>
      <c r="AH2326" s="105"/>
      <c r="AI2326" s="105"/>
      <c r="AJ2326" s="171"/>
      <c r="AK2326" s="105"/>
      <c r="AL2326" s="91"/>
      <c r="AM2326" s="91"/>
      <c r="AN2326" s="91"/>
      <c r="AO2326" s="105">
        <f>IF($AO$2231&gt;0,PPMT('Assumptions (Petroleum)'!$V$6,Model!W$1,'Assumptions (Petroleum)'!$V$9,'Assumptions (Petroleum)'!$V$4*Model!$AO$2231*AVERAGE('Assumptions (Petroleum)'!$AK$2:$AM$2)/10^9),0)</f>
        <v>0</v>
      </c>
      <c r="AP2326" s="105">
        <f>IF($AO$2231&gt;0,PPMT('Assumptions (Petroleum)'!$V$6,Model!X$1,'Assumptions (Petroleum)'!$V$9,'Assumptions (Petroleum)'!$V$4*Model!$AO$2231*AVERAGE('Assumptions (Petroleum)'!$AK$2:$AM$2)/10^9),0)</f>
        <v>0</v>
      </c>
      <c r="AQ2326" s="105">
        <f>IF($AO$2231&gt;0,PPMT('Assumptions (Petroleum)'!$V$6,Model!Y$1,'Assumptions (Petroleum)'!$V$9,'Assumptions (Petroleum)'!$V$4*Model!$AO$2231*AVERAGE('Assumptions (Petroleum)'!$AK$2:$AM$2)/10^9),0)</f>
        <v>0</v>
      </c>
      <c r="AR2326" s="105">
        <f>IF($AO$2231&gt;0,PPMT('Assumptions (Petroleum)'!$V$6,Model!Z$1,'Assumptions (Petroleum)'!$V$9,'Assumptions (Petroleum)'!$V$4*Model!$AO$2231*AVERAGE('Assumptions (Petroleum)'!$AK$2:$AM$2)/10^9),0)</f>
        <v>0</v>
      </c>
      <c r="AS2326" s="105">
        <f>IF($AO$2231&gt;0,PPMT('Assumptions (Petroleum)'!$V$6,Model!AA$1,'Assumptions (Petroleum)'!$V$9,'Assumptions (Petroleum)'!$V$4*Model!$AO$2231*AVERAGE('Assumptions (Petroleum)'!$AK$2:$AM$2)/10^9),0)</f>
        <v>0</v>
      </c>
      <c r="AT2326" s="105">
        <f>IF($AO$2231&gt;0,PPMT('Assumptions (Petroleum)'!$V$6,Model!AB$1,'Assumptions (Petroleum)'!$V$9,'Assumptions (Petroleum)'!$V$4*Model!$AO$2231*AVERAGE('Assumptions (Petroleum)'!$AK$2:$AM$2)/10^9),0)</f>
        <v>0</v>
      </c>
      <c r="AU2326" s="105">
        <f>IF($AO$2231&gt;0,PPMT('Assumptions (Petroleum)'!$V$6,Model!AC$1,'Assumptions (Petroleum)'!$V$9,'Assumptions (Petroleum)'!$V$4*Model!$AO$2231*AVERAGE('Assumptions (Petroleum)'!$AK$2:$AM$2)/10^9),0)</f>
        <v>0</v>
      </c>
      <c r="AV2326" s="105">
        <f>IF($AO$2231&gt;0,PPMT('Assumptions (Petroleum)'!$V$6,Model!AD$1,'Assumptions (Petroleum)'!$V$9,'Assumptions (Petroleum)'!$V$4*Model!$AO$2231*AVERAGE('Assumptions (Petroleum)'!$AK$2:$AM$2)/10^9),0)</f>
        <v>0</v>
      </c>
      <c r="AW2326" s="105">
        <f>IF($AO$2231&gt;0,PPMT('Assumptions (Petroleum)'!$V$6,Model!AE$1,'Assumptions (Petroleum)'!$V$9,'Assumptions (Petroleum)'!$V$4*Model!$AO$2231*AVERAGE('Assumptions (Petroleum)'!$AK$2:$AM$2)/10^9),0)</f>
        <v>0</v>
      </c>
      <c r="AX2326" s="105">
        <f>IF($AO$2231&gt;0,PPMT('Assumptions (Petroleum)'!$V$6,Model!AF$1,'Assumptions (Petroleum)'!$V$9,'Assumptions (Petroleum)'!$V$4*Model!$AO$2231*AVERAGE('Assumptions (Petroleum)'!$AK$2:$AM$2)/10^9),0)</f>
        <v>0</v>
      </c>
      <c r="AY2326" s="105">
        <f>IF($AO$2231&gt;0,PPMT('Assumptions (Petroleum)'!$V$6,Model!AG$1,'Assumptions (Petroleum)'!$V$9,'Assumptions (Petroleum)'!$V$4*Model!$AO$2231*AVERAGE('Assumptions (Petroleum)'!$AK$2:$AM$2)/10^9),0)</f>
        <v>0</v>
      </c>
      <c r="AZ2326" s="105">
        <f>IF($AO$2231&gt;0,PPMT('Assumptions (Petroleum)'!$V$6,Model!AH$1,'Assumptions (Petroleum)'!$V$9,'Assumptions (Petroleum)'!$V$4*Model!$AO$2231*AVERAGE('Assumptions (Petroleum)'!$AK$2:$AM$2)/10^9),0)</f>
        <v>0</v>
      </c>
      <c r="BA2326" s="105">
        <f>IF($AO$2231&gt;0,PPMT('Assumptions (Petroleum)'!$V$6,Model!AI$1,'Assumptions (Petroleum)'!$V$9,'Assumptions (Petroleum)'!$V$4*Model!$AO$2231*AVERAGE('Assumptions (Petroleum)'!$AK$2:$AM$2)/10^9),0)</f>
        <v>0</v>
      </c>
      <c r="BB2326" s="105">
        <f>IF($AO$2231&gt;0,PPMT('Assumptions (Petroleum)'!$V$6,Model!AJ$1,'Assumptions (Petroleum)'!$V$9,'Assumptions (Petroleum)'!$V$4*Model!$AO$2231*AVERAGE('Assumptions (Petroleum)'!$AK$2:$AM$2)/10^9),0)</f>
        <v>0</v>
      </c>
      <c r="BC2326" s="105">
        <f>IF($AO$2231&gt;0,PPMT('Assumptions (Petroleum)'!$V$6,Model!AK$1,'Assumptions (Petroleum)'!$V$9,'Assumptions (Petroleum)'!$V$4*Model!$AO$2231*AVERAGE('Assumptions (Petroleum)'!$AK$2:$AM$2)/10^9),0)</f>
        <v>0</v>
      </c>
      <c r="BD2326" s="105">
        <f>IF($AO$2231&gt;0,PPMT('Assumptions (Petroleum)'!$V$6,Model!AL$1,'Assumptions (Petroleum)'!$V$9,'Assumptions (Petroleum)'!$V$4*Model!$AO$2231*AVERAGE('Assumptions (Petroleum)'!$AK$2:$AM$2)/10^9),0)</f>
        <v>0</v>
      </c>
      <c r="BE2326" s="105">
        <f>IF($AO$2231&gt;0,PPMT('Assumptions (Petroleum)'!$V$6,Model!AM$1,'Assumptions (Petroleum)'!$V$9,'Assumptions (Petroleum)'!$V$4*Model!$AO$2231*AVERAGE('Assumptions (Petroleum)'!$AK$2:$AM$2)/10^9),0)</f>
        <v>0</v>
      </c>
      <c r="BF2326" s="105">
        <f>IF($AO$2231&gt;0,PPMT('Assumptions (Petroleum)'!$V$6,Model!AN$1,'Assumptions (Petroleum)'!$V$9,'Assumptions (Petroleum)'!$V$4*Model!$AO$2231*AVERAGE('Assumptions (Petroleum)'!$AK$2:$AM$2)/10^9),0)</f>
        <v>0</v>
      </c>
      <c r="BG2326" s="105">
        <f>IF($AO$2231&gt;0,PPMT('Assumptions (Petroleum)'!$V$6,Model!AO$1,'Assumptions (Petroleum)'!$V$9,'Assumptions (Petroleum)'!$V$4*Model!$AO$2231*AVERAGE('Assumptions (Petroleum)'!$AK$2:$AM$2)/10^9),0)</f>
        <v>0</v>
      </c>
      <c r="BH2326" s="105">
        <f>IF($AO$2231&gt;0,PPMT('Assumptions (Petroleum)'!$V$6,Model!AP$1,'Assumptions (Petroleum)'!$V$9,'Assumptions (Petroleum)'!$V$4*Model!$AO$2231*AVERAGE('Assumptions (Petroleum)'!$AK$2:$AM$2)/10^9),0)</f>
        <v>0</v>
      </c>
      <c r="BI2326" s="105">
        <f>IF($AO$2231&gt;0,PPMT('Assumptions (Petroleum)'!$V$6,Model!AQ$1,'Assumptions (Petroleum)'!$V$9,'Assumptions (Petroleum)'!$V$4*Model!$AO$2231*AVERAGE('Assumptions (Petroleum)'!$AK$2:$AM$2)/10^9),0)</f>
        <v>0</v>
      </c>
      <c r="BJ2326" s="105">
        <f>IF($AO$2231&gt;0,PPMT('Assumptions (Petroleum)'!$V$6,Model!AR$1,'Assumptions (Petroleum)'!$V$9,'Assumptions (Petroleum)'!$V$4*Model!$AO$2231*AVERAGE('Assumptions (Petroleum)'!$AK$2:$AM$2)/10^9),0)</f>
        <v>0</v>
      </c>
      <c r="BK2326" s="105">
        <f>IF($AO$2231&gt;0,PPMT('Assumptions (Petroleum)'!$V$6,Model!AS$1,'Assumptions (Petroleum)'!$V$9,'Assumptions (Petroleum)'!$V$4*Model!$AO$2231*AVERAGE('Assumptions (Petroleum)'!$AK$2:$AM$2)/10^9),0)</f>
        <v>0</v>
      </c>
      <c r="BL2326" s="105">
        <f>IF($AO$2231&gt;0,PPMT('Assumptions (Petroleum)'!$V$6,Model!AT$1,'Assumptions (Petroleum)'!$V$9,'Assumptions (Petroleum)'!$V$4*Model!$AO$2231*AVERAGE('Assumptions (Petroleum)'!$AK$2:$AM$2)/10^9),0)</f>
        <v>0</v>
      </c>
      <c r="BM2326" s="105">
        <f>IF($AO$2231&gt;0,PPMT('Assumptions (Petroleum)'!$V$6,Model!AU$1,'Assumptions (Petroleum)'!$V$9,'Assumptions (Petroleum)'!$V$4*Model!$AO$2231*AVERAGE('Assumptions (Petroleum)'!$AK$2:$AM$2)/10^9),0)</f>
        <v>0</v>
      </c>
    </row>
    <row r="2327" spans="1:68" ht="15.75" hidden="1" customHeight="1" outlineLevel="1">
      <c r="A2327" s="447"/>
      <c r="B2327" s="99"/>
      <c r="C2327" s="99"/>
      <c r="D2327" s="99"/>
      <c r="E2327" s="99"/>
      <c r="F2327" s="99"/>
      <c r="G2327" s="99"/>
      <c r="H2327" s="99"/>
      <c r="I2327" s="99"/>
      <c r="J2327" s="99"/>
      <c r="K2327" s="99"/>
      <c r="L2327" s="99"/>
      <c r="M2327" s="99"/>
      <c r="N2327" s="99"/>
      <c r="O2327" s="99"/>
      <c r="P2327" s="99"/>
      <c r="Q2327" s="99"/>
      <c r="R2327" s="99"/>
      <c r="S2327" s="99"/>
      <c r="T2327" s="99"/>
      <c r="U2327" s="99"/>
      <c r="V2327" s="99"/>
      <c r="W2327" s="105"/>
      <c r="X2327" s="105"/>
      <c r="Y2327" s="105"/>
      <c r="Z2327" s="105"/>
      <c r="AA2327" s="105"/>
      <c r="AB2327" s="105"/>
      <c r="AC2327" s="105"/>
      <c r="AD2327" s="105"/>
      <c r="AE2327" s="105"/>
      <c r="AF2327" s="105"/>
      <c r="AG2327" s="105"/>
      <c r="AH2327" s="105"/>
      <c r="AI2327" s="105"/>
      <c r="AJ2327" s="171"/>
      <c r="AK2327" s="105"/>
      <c r="AL2327" s="91"/>
      <c r="AM2327" s="91"/>
      <c r="AN2327" s="91"/>
      <c r="AO2327" s="105"/>
      <c r="AP2327" s="105">
        <f>IF($AP$2231&gt;0,PPMT('Assumptions (Petroleum)'!$V$6,Model!W$1,'Assumptions (Petroleum)'!$V$9,'Assumptions (Petroleum)'!$V$4*Model!$AP$2231*AVERAGE('Assumptions (Petroleum)'!$AL$2:$AN$2)/10^9),0)</f>
        <v>0</v>
      </c>
      <c r="AQ2327" s="105">
        <f>IF($AP$2231&gt;0,PPMT('Assumptions (Petroleum)'!$V$6,Model!X$1,'Assumptions (Petroleum)'!$V$9,'Assumptions (Petroleum)'!$V$4*Model!$AP$2231*AVERAGE('Assumptions (Petroleum)'!$AL$2:$AN$2)/10^9),0)</f>
        <v>0</v>
      </c>
      <c r="AR2327" s="105">
        <f>IF($AP$2231&gt;0,PPMT('Assumptions (Petroleum)'!$V$6,Model!Y$1,'Assumptions (Petroleum)'!$V$9,'Assumptions (Petroleum)'!$V$4*Model!$AP$2231*AVERAGE('Assumptions (Petroleum)'!$AL$2:$AN$2)/10^9),0)</f>
        <v>0</v>
      </c>
      <c r="AS2327" s="105">
        <f>IF($AP$2231&gt;0,PPMT('Assumptions (Petroleum)'!$V$6,Model!Z$1,'Assumptions (Petroleum)'!$V$9,'Assumptions (Petroleum)'!$V$4*Model!$AP$2231*AVERAGE('Assumptions (Petroleum)'!$AL$2:$AN$2)/10^9),0)</f>
        <v>0</v>
      </c>
      <c r="AT2327" s="105">
        <f>IF($AP$2231&gt;0,PPMT('Assumptions (Petroleum)'!$V$6,Model!AA$1,'Assumptions (Petroleum)'!$V$9,'Assumptions (Petroleum)'!$V$4*Model!$AP$2231*AVERAGE('Assumptions (Petroleum)'!$AL$2:$AN$2)/10^9),0)</f>
        <v>0</v>
      </c>
      <c r="AU2327" s="105">
        <f>IF($AP$2231&gt;0,PPMT('Assumptions (Petroleum)'!$V$6,Model!AB$1,'Assumptions (Petroleum)'!$V$9,'Assumptions (Petroleum)'!$V$4*Model!$AP$2231*AVERAGE('Assumptions (Petroleum)'!$AL$2:$AN$2)/10^9),0)</f>
        <v>0</v>
      </c>
      <c r="AV2327" s="105">
        <f>IF($AP$2231&gt;0,PPMT('Assumptions (Petroleum)'!$V$6,Model!AC$1,'Assumptions (Petroleum)'!$V$9,'Assumptions (Petroleum)'!$V$4*Model!$AP$2231*AVERAGE('Assumptions (Petroleum)'!$AL$2:$AN$2)/10^9),0)</f>
        <v>0</v>
      </c>
      <c r="AW2327" s="105">
        <f>IF($AP$2231&gt;0,PPMT('Assumptions (Petroleum)'!$V$6,Model!AD$1,'Assumptions (Petroleum)'!$V$9,'Assumptions (Petroleum)'!$V$4*Model!$AP$2231*AVERAGE('Assumptions (Petroleum)'!$AL$2:$AN$2)/10^9),0)</f>
        <v>0</v>
      </c>
      <c r="AX2327" s="105">
        <f>IF($AP$2231&gt;0,PPMT('Assumptions (Petroleum)'!$V$6,Model!AE$1,'Assumptions (Petroleum)'!$V$9,'Assumptions (Petroleum)'!$V$4*Model!$AP$2231*AVERAGE('Assumptions (Petroleum)'!$AL$2:$AN$2)/10^9),0)</f>
        <v>0</v>
      </c>
      <c r="AY2327" s="105">
        <f>IF($AP$2231&gt;0,PPMT('Assumptions (Petroleum)'!$V$6,Model!AF$1,'Assumptions (Petroleum)'!$V$9,'Assumptions (Petroleum)'!$V$4*Model!$AP$2231*AVERAGE('Assumptions (Petroleum)'!$AL$2:$AN$2)/10^9),0)</f>
        <v>0</v>
      </c>
      <c r="AZ2327" s="105">
        <f>IF($AP$2231&gt;0,PPMT('Assumptions (Petroleum)'!$V$6,Model!AG$1,'Assumptions (Petroleum)'!$V$9,'Assumptions (Petroleum)'!$V$4*Model!$AP$2231*AVERAGE('Assumptions (Petroleum)'!$AL$2:$AN$2)/10^9),0)</f>
        <v>0</v>
      </c>
      <c r="BA2327" s="105">
        <f>IF($AP$2231&gt;0,PPMT('Assumptions (Petroleum)'!$V$6,Model!AH$1,'Assumptions (Petroleum)'!$V$9,'Assumptions (Petroleum)'!$V$4*Model!$AP$2231*AVERAGE('Assumptions (Petroleum)'!$AL$2:$AN$2)/10^9),0)</f>
        <v>0</v>
      </c>
      <c r="BB2327" s="105">
        <f>IF($AP$2231&gt;0,PPMT('Assumptions (Petroleum)'!$V$6,Model!AI$1,'Assumptions (Petroleum)'!$V$9,'Assumptions (Petroleum)'!$V$4*Model!$AP$2231*AVERAGE('Assumptions (Petroleum)'!$AL$2:$AN$2)/10^9),0)</f>
        <v>0</v>
      </c>
      <c r="BC2327" s="105">
        <f>IF($AP$2231&gt;0,PPMT('Assumptions (Petroleum)'!$V$6,Model!AJ$1,'Assumptions (Petroleum)'!$V$9,'Assumptions (Petroleum)'!$V$4*Model!$AP$2231*AVERAGE('Assumptions (Petroleum)'!$AL$2:$AN$2)/10^9),0)</f>
        <v>0</v>
      </c>
      <c r="BD2327" s="105">
        <f>IF($AP$2231&gt;0,PPMT('Assumptions (Petroleum)'!$V$6,Model!AK$1,'Assumptions (Petroleum)'!$V$9,'Assumptions (Petroleum)'!$V$4*Model!$AP$2231*AVERAGE('Assumptions (Petroleum)'!$AL$2:$AN$2)/10^9),0)</f>
        <v>0</v>
      </c>
      <c r="BE2327" s="105">
        <f>IF($AP$2231&gt;0,PPMT('Assumptions (Petroleum)'!$V$6,Model!AL$1,'Assumptions (Petroleum)'!$V$9,'Assumptions (Petroleum)'!$V$4*Model!$AP$2231*AVERAGE('Assumptions (Petroleum)'!$AL$2:$AN$2)/10^9),0)</f>
        <v>0</v>
      </c>
      <c r="BF2327" s="105">
        <f>IF($AP$2231&gt;0,PPMT('Assumptions (Petroleum)'!$V$6,Model!AM$1,'Assumptions (Petroleum)'!$V$9,'Assumptions (Petroleum)'!$V$4*Model!$AP$2231*AVERAGE('Assumptions (Petroleum)'!$AL$2:$AN$2)/10^9),0)</f>
        <v>0</v>
      </c>
      <c r="BG2327" s="105">
        <f>IF($AP$2231&gt;0,PPMT('Assumptions (Petroleum)'!$V$6,Model!AN$1,'Assumptions (Petroleum)'!$V$9,'Assumptions (Petroleum)'!$V$4*Model!$AP$2231*AVERAGE('Assumptions (Petroleum)'!$AL$2:$AN$2)/10^9),0)</f>
        <v>0</v>
      </c>
      <c r="BH2327" s="105">
        <f>IF($AP$2231&gt;0,PPMT('Assumptions (Petroleum)'!$V$6,Model!AO$1,'Assumptions (Petroleum)'!$V$9,'Assumptions (Petroleum)'!$V$4*Model!$AP$2231*AVERAGE('Assumptions (Petroleum)'!$AL$2:$AN$2)/10^9),0)</f>
        <v>0</v>
      </c>
      <c r="BI2327" s="105">
        <f>IF($AP$2231&gt;0,PPMT('Assumptions (Petroleum)'!$V$6,Model!AP$1,'Assumptions (Petroleum)'!$V$9,'Assumptions (Petroleum)'!$V$4*Model!$AP$2231*AVERAGE('Assumptions (Petroleum)'!$AL$2:$AN$2)/10^9),0)</f>
        <v>0</v>
      </c>
      <c r="BJ2327" s="105">
        <f>IF($AP$2231&gt;0,PPMT('Assumptions (Petroleum)'!$V$6,Model!AQ$1,'Assumptions (Petroleum)'!$V$9,'Assumptions (Petroleum)'!$V$4*Model!$AP$2231*AVERAGE('Assumptions (Petroleum)'!$AL$2:$AN$2)/10^9),0)</f>
        <v>0</v>
      </c>
      <c r="BK2327" s="105">
        <f>IF($AP$2231&gt;0,PPMT('Assumptions (Petroleum)'!$V$6,Model!AR$1,'Assumptions (Petroleum)'!$V$9,'Assumptions (Petroleum)'!$V$4*Model!$AP$2231*AVERAGE('Assumptions (Petroleum)'!$AL$2:$AN$2)/10^9),0)</f>
        <v>0</v>
      </c>
      <c r="BL2327" s="105">
        <f>IF($AP$2231&gt;0,PPMT('Assumptions (Petroleum)'!$V$6,Model!AS$1,'Assumptions (Petroleum)'!$V$9,'Assumptions (Petroleum)'!$V$4*Model!$AP$2231*AVERAGE('Assumptions (Petroleum)'!$AL$2:$AN$2)/10^9),0)</f>
        <v>0</v>
      </c>
      <c r="BM2327" s="105">
        <f>IF($AP$2231&gt;0,PPMT('Assumptions (Petroleum)'!$V$6,Model!AT$1,'Assumptions (Petroleum)'!$V$9,'Assumptions (Petroleum)'!$V$4*Model!$AP$2231*AVERAGE('Assumptions (Petroleum)'!$AL$2:$AN$2)/10^9),0)</f>
        <v>0</v>
      </c>
      <c r="BN2327" s="105">
        <f>IF($AP$2231&gt;0,PPMT('Assumptions (Petroleum)'!$V$6,Model!AU$1,'Assumptions (Petroleum)'!$V$9,'Assumptions (Petroleum)'!$V$4*Model!$AP$2231*AVERAGE('Assumptions (Petroleum)'!$AL$2:$AN$2)/10^9),0)</f>
        <v>0</v>
      </c>
    </row>
    <row r="2328" spans="1:68" ht="15.75" hidden="1" customHeight="1" outlineLevel="1">
      <c r="A2328" s="447"/>
      <c r="B2328" s="99"/>
      <c r="C2328" s="99"/>
      <c r="D2328" s="99"/>
      <c r="E2328" s="99"/>
      <c r="F2328" s="99"/>
      <c r="G2328" s="99"/>
      <c r="H2328" s="99"/>
      <c r="I2328" s="99"/>
      <c r="J2328" s="99"/>
      <c r="K2328" s="99"/>
      <c r="L2328" s="99"/>
      <c r="M2328" s="99"/>
      <c r="N2328" s="99"/>
      <c r="O2328" s="99"/>
      <c r="P2328" s="99"/>
      <c r="Q2328" s="99"/>
      <c r="R2328" s="99"/>
      <c r="S2328" s="99"/>
      <c r="T2328" s="99"/>
      <c r="U2328" s="99"/>
      <c r="V2328" s="99"/>
      <c r="W2328" s="105"/>
      <c r="X2328" s="105"/>
      <c r="Y2328" s="105"/>
      <c r="Z2328" s="105"/>
      <c r="AA2328" s="105"/>
      <c r="AB2328" s="105"/>
      <c r="AC2328" s="105"/>
      <c r="AD2328" s="105"/>
      <c r="AE2328" s="105"/>
      <c r="AF2328" s="105"/>
      <c r="AG2328" s="105"/>
      <c r="AH2328" s="105"/>
      <c r="AI2328" s="105"/>
      <c r="AJ2328" s="171"/>
      <c r="AK2328" s="105"/>
      <c r="AL2328" s="91"/>
      <c r="AM2328" s="91"/>
      <c r="AN2328" s="91"/>
      <c r="AO2328" s="105"/>
      <c r="AP2328" s="105"/>
      <c r="AQ2328" s="105">
        <f>IF($AQ$2231&gt;0,PPMT('Assumptions (Petroleum)'!$V$6,Model!W$1,'Assumptions (Petroleum)'!$V$9,'Assumptions (Petroleum)'!$V$4*Model!$AQ$2231*AVERAGE('Assumptions (Petroleum)'!$AM$2:$AO$2)/10^9),0)</f>
        <v>0</v>
      </c>
      <c r="AR2328" s="105">
        <f>IF($AQ$2231&gt;0,PPMT('Assumptions (Petroleum)'!$V$6,Model!X$1,'Assumptions (Petroleum)'!$V$9,'Assumptions (Petroleum)'!$V$4*Model!$AQ$2231*AVERAGE('Assumptions (Petroleum)'!$AM$2:$AO$2)/10^9),0)</f>
        <v>0</v>
      </c>
      <c r="AS2328" s="105">
        <f>IF($AQ$2231&gt;0,PPMT('Assumptions (Petroleum)'!$V$6,Model!Y$1,'Assumptions (Petroleum)'!$V$9,'Assumptions (Petroleum)'!$V$4*Model!$AQ$2231*AVERAGE('Assumptions (Petroleum)'!$AM$2:$AO$2)/10^9),0)</f>
        <v>0</v>
      </c>
      <c r="AT2328" s="105">
        <f>IF($AQ$2231&gt;0,PPMT('Assumptions (Petroleum)'!$V$6,Model!Z$1,'Assumptions (Petroleum)'!$V$9,'Assumptions (Petroleum)'!$V$4*Model!$AQ$2231*AVERAGE('Assumptions (Petroleum)'!$AM$2:$AO$2)/10^9),0)</f>
        <v>0</v>
      </c>
      <c r="AU2328" s="105">
        <f>IF($AQ$2231&gt;0,PPMT('Assumptions (Petroleum)'!$V$6,Model!AA$1,'Assumptions (Petroleum)'!$V$9,'Assumptions (Petroleum)'!$V$4*Model!$AQ$2231*AVERAGE('Assumptions (Petroleum)'!$AM$2:$AO$2)/10^9),0)</f>
        <v>0</v>
      </c>
      <c r="AV2328" s="105">
        <f>IF($AQ$2231&gt;0,PPMT('Assumptions (Petroleum)'!$V$6,Model!AB$1,'Assumptions (Petroleum)'!$V$9,'Assumptions (Petroleum)'!$V$4*Model!$AQ$2231*AVERAGE('Assumptions (Petroleum)'!$AM$2:$AO$2)/10^9),0)</f>
        <v>0</v>
      </c>
      <c r="AW2328" s="105">
        <f>IF($AQ$2231&gt;0,PPMT('Assumptions (Petroleum)'!$V$6,Model!AC$1,'Assumptions (Petroleum)'!$V$9,'Assumptions (Petroleum)'!$V$4*Model!$AQ$2231*AVERAGE('Assumptions (Petroleum)'!$AM$2:$AO$2)/10^9),0)</f>
        <v>0</v>
      </c>
      <c r="AX2328" s="105">
        <f>IF($AQ$2231&gt;0,PPMT('Assumptions (Petroleum)'!$V$6,Model!AD$1,'Assumptions (Petroleum)'!$V$9,'Assumptions (Petroleum)'!$V$4*Model!$AQ$2231*AVERAGE('Assumptions (Petroleum)'!$AM$2:$AO$2)/10^9),0)</f>
        <v>0</v>
      </c>
      <c r="AY2328" s="105">
        <f>IF($AQ$2231&gt;0,PPMT('Assumptions (Petroleum)'!$V$6,Model!AE$1,'Assumptions (Petroleum)'!$V$9,'Assumptions (Petroleum)'!$V$4*Model!$AQ$2231*AVERAGE('Assumptions (Petroleum)'!$AM$2:$AO$2)/10^9),0)</f>
        <v>0</v>
      </c>
      <c r="AZ2328" s="105">
        <f>IF($AQ$2231&gt;0,PPMT('Assumptions (Petroleum)'!$V$6,Model!AF$1,'Assumptions (Petroleum)'!$V$9,'Assumptions (Petroleum)'!$V$4*Model!$AQ$2231*AVERAGE('Assumptions (Petroleum)'!$AM$2:$AO$2)/10^9),0)</f>
        <v>0</v>
      </c>
      <c r="BA2328" s="105">
        <f>IF($AQ$2231&gt;0,PPMT('Assumptions (Petroleum)'!$V$6,Model!AG$1,'Assumptions (Petroleum)'!$V$9,'Assumptions (Petroleum)'!$V$4*Model!$AQ$2231*AVERAGE('Assumptions (Petroleum)'!$AM$2:$AO$2)/10^9),0)</f>
        <v>0</v>
      </c>
      <c r="BB2328" s="105">
        <f>IF($AQ$2231&gt;0,PPMT('Assumptions (Petroleum)'!$V$6,Model!AH$1,'Assumptions (Petroleum)'!$V$9,'Assumptions (Petroleum)'!$V$4*Model!$AQ$2231*AVERAGE('Assumptions (Petroleum)'!$AM$2:$AO$2)/10^9),0)</f>
        <v>0</v>
      </c>
      <c r="BC2328" s="105">
        <f>IF($AQ$2231&gt;0,PPMT('Assumptions (Petroleum)'!$V$6,Model!AI$1,'Assumptions (Petroleum)'!$V$9,'Assumptions (Petroleum)'!$V$4*Model!$AQ$2231*AVERAGE('Assumptions (Petroleum)'!$AM$2:$AO$2)/10^9),0)</f>
        <v>0</v>
      </c>
      <c r="BD2328" s="105">
        <f>IF($AQ$2231&gt;0,PPMT('Assumptions (Petroleum)'!$V$6,Model!AJ$1,'Assumptions (Petroleum)'!$V$9,'Assumptions (Petroleum)'!$V$4*Model!$AQ$2231*AVERAGE('Assumptions (Petroleum)'!$AM$2:$AO$2)/10^9),0)</f>
        <v>0</v>
      </c>
      <c r="BE2328" s="105">
        <f>IF($AQ$2231&gt;0,PPMT('Assumptions (Petroleum)'!$V$6,Model!AK$1,'Assumptions (Petroleum)'!$V$9,'Assumptions (Petroleum)'!$V$4*Model!$AQ$2231*AVERAGE('Assumptions (Petroleum)'!$AM$2:$AO$2)/10^9),0)</f>
        <v>0</v>
      </c>
      <c r="BF2328" s="105">
        <f>IF($AQ$2231&gt;0,PPMT('Assumptions (Petroleum)'!$V$6,Model!AL$1,'Assumptions (Petroleum)'!$V$9,'Assumptions (Petroleum)'!$V$4*Model!$AQ$2231*AVERAGE('Assumptions (Petroleum)'!$AM$2:$AO$2)/10^9),0)</f>
        <v>0</v>
      </c>
      <c r="BG2328" s="105">
        <f>IF($AQ$2231&gt;0,PPMT('Assumptions (Petroleum)'!$V$6,Model!AM$1,'Assumptions (Petroleum)'!$V$9,'Assumptions (Petroleum)'!$V$4*Model!$AQ$2231*AVERAGE('Assumptions (Petroleum)'!$AM$2:$AO$2)/10^9),0)</f>
        <v>0</v>
      </c>
      <c r="BH2328" s="105">
        <f>IF($AQ$2231&gt;0,PPMT('Assumptions (Petroleum)'!$V$6,Model!AN$1,'Assumptions (Petroleum)'!$V$9,'Assumptions (Petroleum)'!$V$4*Model!$AQ$2231*AVERAGE('Assumptions (Petroleum)'!$AM$2:$AO$2)/10^9),0)</f>
        <v>0</v>
      </c>
      <c r="BI2328" s="105">
        <f>IF($AQ$2231&gt;0,PPMT('Assumptions (Petroleum)'!$V$6,Model!AO$1,'Assumptions (Petroleum)'!$V$9,'Assumptions (Petroleum)'!$V$4*Model!$AQ$2231*AVERAGE('Assumptions (Petroleum)'!$AM$2:$AO$2)/10^9),0)</f>
        <v>0</v>
      </c>
      <c r="BJ2328" s="105">
        <f>IF($AQ$2231&gt;0,PPMT('Assumptions (Petroleum)'!$V$6,Model!AP$1,'Assumptions (Petroleum)'!$V$9,'Assumptions (Petroleum)'!$V$4*Model!$AQ$2231*AVERAGE('Assumptions (Petroleum)'!$AM$2:$AO$2)/10^9),0)</f>
        <v>0</v>
      </c>
      <c r="BK2328" s="105">
        <f>IF($AQ$2231&gt;0,PPMT('Assumptions (Petroleum)'!$V$6,Model!AQ$1,'Assumptions (Petroleum)'!$V$9,'Assumptions (Petroleum)'!$V$4*Model!$AQ$2231*AVERAGE('Assumptions (Petroleum)'!$AM$2:$AO$2)/10^9),0)</f>
        <v>0</v>
      </c>
      <c r="BL2328" s="105">
        <f>IF($AQ$2231&gt;0,PPMT('Assumptions (Petroleum)'!$V$6,Model!AR$1,'Assumptions (Petroleum)'!$V$9,'Assumptions (Petroleum)'!$V$4*Model!$AQ$2231*AVERAGE('Assumptions (Petroleum)'!$AM$2:$AO$2)/10^9),0)</f>
        <v>0</v>
      </c>
      <c r="BM2328" s="105">
        <f>IF($AQ$2231&gt;0,PPMT('Assumptions (Petroleum)'!$V$6,Model!AS$1,'Assumptions (Petroleum)'!$V$9,'Assumptions (Petroleum)'!$V$4*Model!$AQ$2231*AVERAGE('Assumptions (Petroleum)'!$AM$2:$AO$2)/10^9),0)</f>
        <v>0</v>
      </c>
      <c r="BN2328" s="105">
        <f>IF($AQ$2231&gt;0,PPMT('Assumptions (Petroleum)'!$V$6,Model!AT$1,'Assumptions (Petroleum)'!$V$9,'Assumptions (Petroleum)'!$V$4*Model!$AQ$2231*AVERAGE('Assumptions (Petroleum)'!$AM$2:$AO$2)/10^9),0)</f>
        <v>0</v>
      </c>
      <c r="BO2328" s="105">
        <f>IF($AQ$2231&gt;0,PPMT('Assumptions (Petroleum)'!$V$6,Model!AU$1,'Assumptions (Petroleum)'!$V$9,'Assumptions (Petroleum)'!$V$4*Model!$AQ$2231*AVERAGE('Assumptions (Petroleum)'!$AM$2:$AO$2)/10^9),0)</f>
        <v>0</v>
      </c>
    </row>
    <row r="2329" spans="1:68" ht="15.75" hidden="1" customHeight="1" outlineLevel="1">
      <c r="A2329" s="447"/>
      <c r="B2329" s="99"/>
      <c r="C2329" s="99"/>
      <c r="D2329" s="99"/>
      <c r="E2329" s="99"/>
      <c r="F2329" s="99"/>
      <c r="G2329" s="99"/>
      <c r="H2329" s="99"/>
      <c r="I2329" s="99"/>
      <c r="J2329" s="99"/>
      <c r="K2329" s="99"/>
      <c r="L2329" s="99"/>
      <c r="M2329" s="99"/>
      <c r="N2329" s="99"/>
      <c r="O2329" s="99"/>
      <c r="P2329" s="99"/>
      <c r="Q2329" s="99"/>
      <c r="R2329" s="99"/>
      <c r="S2329" s="99"/>
      <c r="T2329" s="99"/>
      <c r="U2329" s="99"/>
      <c r="V2329" s="99"/>
      <c r="W2329" s="105"/>
      <c r="X2329" s="105"/>
      <c r="Y2329" s="105"/>
      <c r="Z2329" s="105"/>
      <c r="AA2329" s="105"/>
      <c r="AB2329" s="105"/>
      <c r="AC2329" s="105"/>
      <c r="AD2329" s="105"/>
      <c r="AE2329" s="105"/>
      <c r="AF2329" s="105"/>
      <c r="AG2329" s="105"/>
      <c r="AH2329" s="105"/>
      <c r="AI2329" s="105"/>
      <c r="AJ2329" s="171"/>
      <c r="AK2329" s="105"/>
      <c r="AL2329" s="91"/>
      <c r="AM2329" s="91"/>
      <c r="AN2329" s="91"/>
      <c r="AO2329" s="105"/>
      <c r="AP2329" s="105"/>
      <c r="AQ2329" s="105"/>
      <c r="AR2329" s="105">
        <f>IF($AR$2231&gt;0,PPMT('Assumptions (Petroleum)'!$V$6,Model!W$1,'Assumptions (Petroleum)'!$V$9,'Assumptions (Petroleum)'!$V$4*Model!$AR$2231*AVERAGE('Assumptions (Petroleum)'!$AN$2:$AP$2)/10^9),0)</f>
        <v>0</v>
      </c>
      <c r="AS2329" s="105">
        <f>IF($AR$2231&gt;0,PPMT('Assumptions (Petroleum)'!$V$6,Model!X$1,'Assumptions (Petroleum)'!$V$9,'Assumptions (Petroleum)'!$V$4*Model!$AR$2231*AVERAGE('Assumptions (Petroleum)'!$AN$2:$AP$2)/10^9),0)</f>
        <v>0</v>
      </c>
      <c r="AT2329" s="105">
        <f>IF($AR$2231&gt;0,PPMT('Assumptions (Petroleum)'!$V$6,Model!Y$1,'Assumptions (Petroleum)'!$V$9,'Assumptions (Petroleum)'!$V$4*Model!$AR$2231*AVERAGE('Assumptions (Petroleum)'!$AN$2:$AP$2)/10^9),0)</f>
        <v>0</v>
      </c>
      <c r="AU2329" s="105">
        <f>IF($AR$2231&gt;0,PPMT('Assumptions (Petroleum)'!$V$6,Model!Z$1,'Assumptions (Petroleum)'!$V$9,'Assumptions (Petroleum)'!$V$4*Model!$AR$2231*AVERAGE('Assumptions (Petroleum)'!$AN$2:$AP$2)/10^9),0)</f>
        <v>0</v>
      </c>
      <c r="AV2329" s="105">
        <f>IF($AR$2231&gt;0,PPMT('Assumptions (Petroleum)'!$V$6,Model!AA$1,'Assumptions (Petroleum)'!$V$9,'Assumptions (Petroleum)'!$V$4*Model!$AR$2231*AVERAGE('Assumptions (Petroleum)'!$AN$2:$AP$2)/10^9),0)</f>
        <v>0</v>
      </c>
      <c r="AW2329" s="105">
        <f>IF($AR$2231&gt;0,PPMT('Assumptions (Petroleum)'!$V$6,Model!AB$1,'Assumptions (Petroleum)'!$V$9,'Assumptions (Petroleum)'!$V$4*Model!$AR$2231*AVERAGE('Assumptions (Petroleum)'!$AN$2:$AP$2)/10^9),0)</f>
        <v>0</v>
      </c>
      <c r="AX2329" s="105">
        <f>IF($AR$2231&gt;0,PPMT('Assumptions (Petroleum)'!$V$6,Model!AC$1,'Assumptions (Petroleum)'!$V$9,'Assumptions (Petroleum)'!$V$4*Model!$AR$2231*AVERAGE('Assumptions (Petroleum)'!$AN$2:$AP$2)/10^9),0)</f>
        <v>0</v>
      </c>
      <c r="AY2329" s="105">
        <f>IF($AR$2231&gt;0,PPMT('Assumptions (Petroleum)'!$V$6,Model!AD$1,'Assumptions (Petroleum)'!$V$9,'Assumptions (Petroleum)'!$V$4*Model!$AR$2231*AVERAGE('Assumptions (Petroleum)'!$AN$2:$AP$2)/10^9),0)</f>
        <v>0</v>
      </c>
      <c r="AZ2329" s="105">
        <f>IF($AR$2231&gt;0,PPMT('Assumptions (Petroleum)'!$V$6,Model!AE$1,'Assumptions (Petroleum)'!$V$9,'Assumptions (Petroleum)'!$V$4*Model!$AR$2231*AVERAGE('Assumptions (Petroleum)'!$AN$2:$AP$2)/10^9),0)</f>
        <v>0</v>
      </c>
      <c r="BA2329" s="105">
        <f>IF($AR$2231&gt;0,PPMT('Assumptions (Petroleum)'!$V$6,Model!AF$1,'Assumptions (Petroleum)'!$V$9,'Assumptions (Petroleum)'!$V$4*Model!$AR$2231*AVERAGE('Assumptions (Petroleum)'!$AN$2:$AP$2)/10^9),0)</f>
        <v>0</v>
      </c>
      <c r="BB2329" s="105">
        <f>IF($AR$2231&gt;0,PPMT('Assumptions (Petroleum)'!$V$6,Model!AG$1,'Assumptions (Petroleum)'!$V$9,'Assumptions (Petroleum)'!$V$4*Model!$AR$2231*AVERAGE('Assumptions (Petroleum)'!$AN$2:$AP$2)/10^9),0)</f>
        <v>0</v>
      </c>
      <c r="BC2329" s="105">
        <f>IF($AR$2231&gt;0,PPMT('Assumptions (Petroleum)'!$V$6,Model!AH$1,'Assumptions (Petroleum)'!$V$9,'Assumptions (Petroleum)'!$V$4*Model!$AR$2231*AVERAGE('Assumptions (Petroleum)'!$AN$2:$AP$2)/10^9),0)</f>
        <v>0</v>
      </c>
      <c r="BD2329" s="105">
        <f>IF($AR$2231&gt;0,PPMT('Assumptions (Petroleum)'!$V$6,Model!AI$1,'Assumptions (Petroleum)'!$V$9,'Assumptions (Petroleum)'!$V$4*Model!$AR$2231*AVERAGE('Assumptions (Petroleum)'!$AN$2:$AP$2)/10^9),0)</f>
        <v>0</v>
      </c>
      <c r="BE2329" s="105">
        <f>IF($AR$2231&gt;0,PPMT('Assumptions (Petroleum)'!$V$6,Model!AJ$1,'Assumptions (Petroleum)'!$V$9,'Assumptions (Petroleum)'!$V$4*Model!$AR$2231*AVERAGE('Assumptions (Petroleum)'!$AN$2:$AP$2)/10^9),0)</f>
        <v>0</v>
      </c>
      <c r="BF2329" s="105">
        <f>IF($AR$2231&gt;0,PPMT('Assumptions (Petroleum)'!$V$6,Model!AK$1,'Assumptions (Petroleum)'!$V$9,'Assumptions (Petroleum)'!$V$4*Model!$AR$2231*AVERAGE('Assumptions (Petroleum)'!$AN$2:$AP$2)/10^9),0)</f>
        <v>0</v>
      </c>
      <c r="BG2329" s="105">
        <f>IF($AR$2231&gt;0,PPMT('Assumptions (Petroleum)'!$V$6,Model!AL$1,'Assumptions (Petroleum)'!$V$9,'Assumptions (Petroleum)'!$V$4*Model!$AR$2231*AVERAGE('Assumptions (Petroleum)'!$AN$2:$AP$2)/10^9),0)</f>
        <v>0</v>
      </c>
      <c r="BH2329" s="105">
        <f>IF($AR$2231&gt;0,PPMT('Assumptions (Petroleum)'!$V$6,Model!AM$1,'Assumptions (Petroleum)'!$V$9,'Assumptions (Petroleum)'!$V$4*Model!$AR$2231*AVERAGE('Assumptions (Petroleum)'!$AN$2:$AP$2)/10^9),0)</f>
        <v>0</v>
      </c>
      <c r="BI2329" s="105">
        <f>IF($AR$2231&gt;0,PPMT('Assumptions (Petroleum)'!$V$6,Model!AN$1,'Assumptions (Petroleum)'!$V$9,'Assumptions (Petroleum)'!$V$4*Model!$AR$2231*AVERAGE('Assumptions (Petroleum)'!$AN$2:$AP$2)/10^9),0)</f>
        <v>0</v>
      </c>
      <c r="BJ2329" s="105">
        <f>IF($AR$2231&gt;0,PPMT('Assumptions (Petroleum)'!$V$6,Model!AO$1,'Assumptions (Petroleum)'!$V$9,'Assumptions (Petroleum)'!$V$4*Model!$AR$2231*AVERAGE('Assumptions (Petroleum)'!$AN$2:$AP$2)/10^9),0)</f>
        <v>0</v>
      </c>
      <c r="BK2329" s="105">
        <f>IF($AR$2231&gt;0,PPMT('Assumptions (Petroleum)'!$V$6,Model!AP$1,'Assumptions (Petroleum)'!$V$9,'Assumptions (Petroleum)'!$V$4*Model!$AR$2231*AVERAGE('Assumptions (Petroleum)'!$AN$2:$AP$2)/10^9),0)</f>
        <v>0</v>
      </c>
      <c r="BL2329" s="105">
        <f>IF($AR$2231&gt;0,PPMT('Assumptions (Petroleum)'!$V$6,Model!AQ$1,'Assumptions (Petroleum)'!$V$9,'Assumptions (Petroleum)'!$V$4*Model!$AR$2231*AVERAGE('Assumptions (Petroleum)'!$AN$2:$AP$2)/10^9),0)</f>
        <v>0</v>
      </c>
      <c r="BM2329" s="105">
        <f>IF($AR$2231&gt;0,PPMT('Assumptions (Petroleum)'!$V$6,Model!AR$1,'Assumptions (Petroleum)'!$V$9,'Assumptions (Petroleum)'!$V$4*Model!$AR$2231*AVERAGE('Assumptions (Petroleum)'!$AN$2:$AP$2)/10^9),0)</f>
        <v>0</v>
      </c>
      <c r="BN2329" s="105">
        <f>IF($AR$2231&gt;0,PPMT('Assumptions (Petroleum)'!$V$6,Model!AS$1,'Assumptions (Petroleum)'!$V$9,'Assumptions (Petroleum)'!$V$4*Model!$AR$2231*AVERAGE('Assumptions (Petroleum)'!$AN$2:$AP$2)/10^9),0)</f>
        <v>0</v>
      </c>
      <c r="BO2329" s="105">
        <f>IF($AR$2231&gt;0,PPMT('Assumptions (Petroleum)'!$V$6,Model!AT$1,'Assumptions (Petroleum)'!$V$9,'Assumptions (Petroleum)'!$V$4*Model!$AR$2231*AVERAGE('Assumptions (Petroleum)'!$AN$2:$AP$2)/10^9),0)</f>
        <v>0</v>
      </c>
      <c r="BP2329" s="105"/>
    </row>
    <row r="2330" spans="1:68" ht="15.75" hidden="1" customHeight="1" outlineLevel="1">
      <c r="A2330" s="447"/>
      <c r="B2330" s="99"/>
      <c r="C2330" s="99"/>
      <c r="D2330" s="99"/>
      <c r="E2330" s="99"/>
      <c r="F2330" s="99"/>
      <c r="G2330" s="99"/>
      <c r="H2330" s="99"/>
      <c r="I2330" s="99"/>
      <c r="J2330" s="99"/>
      <c r="K2330" s="99"/>
      <c r="L2330" s="99"/>
      <c r="M2330" s="99"/>
      <c r="N2330" s="99"/>
      <c r="O2330" s="99"/>
      <c r="P2330" s="99"/>
      <c r="Q2330" s="99"/>
      <c r="R2330" s="99"/>
      <c r="S2330" s="99"/>
      <c r="T2330" s="99"/>
      <c r="U2330" s="99"/>
      <c r="V2330" s="99"/>
      <c r="W2330" s="105"/>
      <c r="X2330" s="105"/>
      <c r="Y2330" s="105"/>
      <c r="Z2330" s="105"/>
      <c r="AA2330" s="105"/>
      <c r="AB2330" s="105"/>
      <c r="AC2330" s="105"/>
      <c r="AD2330" s="105"/>
      <c r="AE2330" s="105"/>
      <c r="AF2330" s="105"/>
      <c r="AG2330" s="105"/>
      <c r="AH2330" s="105"/>
      <c r="AI2330" s="105"/>
      <c r="AJ2330" s="171"/>
      <c r="AK2330" s="105"/>
      <c r="AL2330" s="91"/>
      <c r="AM2330" s="91"/>
      <c r="AN2330" s="91"/>
      <c r="AO2330" s="105"/>
      <c r="AP2330" s="105"/>
      <c r="AQ2330" s="105"/>
      <c r="AR2330" s="105"/>
      <c r="AS2330" s="105">
        <f>IF($AS$2231&gt;0,PPMT('Assumptions (Petroleum)'!$V$6,Model!W$1,'Assumptions (Petroleum)'!$V$9,'Assumptions (Petroleum)'!$V$4*Model!$AS$2231*AVERAGE('Assumptions (Petroleum)'!$AO$2:$AQ$2)/10^9),0)</f>
        <v>0</v>
      </c>
      <c r="AT2330" s="105">
        <f>IF($AS$2231&gt;0,PPMT('Assumptions (Petroleum)'!$V$6,Model!X$1,'Assumptions (Petroleum)'!$V$9,'Assumptions (Petroleum)'!$V$4*Model!$AS$2231*AVERAGE('Assumptions (Petroleum)'!$AO$2:$AQ$2)/10^9),0)</f>
        <v>0</v>
      </c>
      <c r="AU2330" s="105">
        <f>IF($AS$2231&gt;0,PPMT('Assumptions (Petroleum)'!$V$6,Model!Y$1,'Assumptions (Petroleum)'!$V$9,'Assumptions (Petroleum)'!$V$4*Model!$AS$2231*AVERAGE('Assumptions (Petroleum)'!$AO$2:$AQ$2)/10^9),0)</f>
        <v>0</v>
      </c>
      <c r="AV2330" s="105">
        <f>IF($AS$2231&gt;0,PPMT('Assumptions (Petroleum)'!$V$6,Model!Z$1,'Assumptions (Petroleum)'!$V$9,'Assumptions (Petroleum)'!$V$4*Model!$AS$2231*AVERAGE('Assumptions (Petroleum)'!$AO$2:$AQ$2)/10^9),0)</f>
        <v>0</v>
      </c>
      <c r="AW2330" s="105">
        <f>IF($AS$2231&gt;0,PPMT('Assumptions (Petroleum)'!$V$6,Model!AA$1,'Assumptions (Petroleum)'!$V$9,'Assumptions (Petroleum)'!$V$4*Model!$AS$2231*AVERAGE('Assumptions (Petroleum)'!$AO$2:$AQ$2)/10^9),0)</f>
        <v>0</v>
      </c>
      <c r="AX2330" s="105">
        <f>IF($AS$2231&gt;0,PPMT('Assumptions (Petroleum)'!$V$6,Model!AB$1,'Assumptions (Petroleum)'!$V$9,'Assumptions (Petroleum)'!$V$4*Model!$AS$2231*AVERAGE('Assumptions (Petroleum)'!$AO$2:$AQ$2)/10^9),0)</f>
        <v>0</v>
      </c>
      <c r="AY2330" s="105">
        <f>IF($AS$2231&gt;0,PPMT('Assumptions (Petroleum)'!$V$6,Model!AC$1,'Assumptions (Petroleum)'!$V$9,'Assumptions (Petroleum)'!$V$4*Model!$AS$2231*AVERAGE('Assumptions (Petroleum)'!$AO$2:$AQ$2)/10^9),0)</f>
        <v>0</v>
      </c>
      <c r="AZ2330" s="105">
        <f>IF($AS$2231&gt;0,PPMT('Assumptions (Petroleum)'!$V$6,Model!AD$1,'Assumptions (Petroleum)'!$V$9,'Assumptions (Petroleum)'!$V$4*Model!$AS$2231*AVERAGE('Assumptions (Petroleum)'!$AO$2:$AQ$2)/10^9),0)</f>
        <v>0</v>
      </c>
      <c r="BA2330" s="105">
        <f>IF($AS$2231&gt;0,PPMT('Assumptions (Petroleum)'!$V$6,Model!AE$1,'Assumptions (Petroleum)'!$V$9,'Assumptions (Petroleum)'!$V$4*Model!$AS$2231*AVERAGE('Assumptions (Petroleum)'!$AO$2:$AQ$2)/10^9),0)</f>
        <v>0</v>
      </c>
      <c r="BB2330" s="105">
        <f>IF($AS$2231&gt;0,PPMT('Assumptions (Petroleum)'!$V$6,Model!AF$1,'Assumptions (Petroleum)'!$V$9,'Assumptions (Petroleum)'!$V$4*Model!$AS$2231*AVERAGE('Assumptions (Petroleum)'!$AO$2:$AQ$2)/10^9),0)</f>
        <v>0</v>
      </c>
      <c r="BC2330" s="105">
        <f>IF($AS$2231&gt;0,PPMT('Assumptions (Petroleum)'!$V$6,Model!AG$1,'Assumptions (Petroleum)'!$V$9,'Assumptions (Petroleum)'!$V$4*Model!$AS$2231*AVERAGE('Assumptions (Petroleum)'!$AO$2:$AQ$2)/10^9),0)</f>
        <v>0</v>
      </c>
      <c r="BD2330" s="105">
        <f>IF($AS$2231&gt;0,PPMT('Assumptions (Petroleum)'!$V$6,Model!AH$1,'Assumptions (Petroleum)'!$V$9,'Assumptions (Petroleum)'!$V$4*Model!$AS$2231*AVERAGE('Assumptions (Petroleum)'!$AO$2:$AQ$2)/10^9),0)</f>
        <v>0</v>
      </c>
      <c r="BE2330" s="105">
        <f>IF($AS$2231&gt;0,PPMT('Assumptions (Petroleum)'!$V$6,Model!AI$1,'Assumptions (Petroleum)'!$V$9,'Assumptions (Petroleum)'!$V$4*Model!$AS$2231*AVERAGE('Assumptions (Petroleum)'!$AO$2:$AQ$2)/10^9),0)</f>
        <v>0</v>
      </c>
      <c r="BF2330" s="105">
        <f>IF($AS$2231&gt;0,PPMT('Assumptions (Petroleum)'!$V$6,Model!AJ$1,'Assumptions (Petroleum)'!$V$9,'Assumptions (Petroleum)'!$V$4*Model!$AS$2231*AVERAGE('Assumptions (Petroleum)'!$AO$2:$AQ$2)/10^9),0)</f>
        <v>0</v>
      </c>
      <c r="BG2330" s="105">
        <f>IF($AS$2231&gt;0,PPMT('Assumptions (Petroleum)'!$V$6,Model!AK$1,'Assumptions (Petroleum)'!$V$9,'Assumptions (Petroleum)'!$V$4*Model!$AS$2231*AVERAGE('Assumptions (Petroleum)'!$AO$2:$AQ$2)/10^9),0)</f>
        <v>0</v>
      </c>
      <c r="BH2330" s="105">
        <f>IF($AS$2231&gt;0,PPMT('Assumptions (Petroleum)'!$V$6,Model!AL$1,'Assumptions (Petroleum)'!$V$9,'Assumptions (Petroleum)'!$V$4*Model!$AS$2231*AVERAGE('Assumptions (Petroleum)'!$AO$2:$AQ$2)/10^9),0)</f>
        <v>0</v>
      </c>
      <c r="BI2330" s="105">
        <f>IF($AS$2231&gt;0,PPMT('Assumptions (Petroleum)'!$V$6,Model!AM$1,'Assumptions (Petroleum)'!$V$9,'Assumptions (Petroleum)'!$V$4*Model!$AS$2231*AVERAGE('Assumptions (Petroleum)'!$AO$2:$AQ$2)/10^9),0)</f>
        <v>0</v>
      </c>
      <c r="BJ2330" s="105">
        <f>IF($AS$2231&gt;0,PPMT('Assumptions (Petroleum)'!$V$6,Model!AN$1,'Assumptions (Petroleum)'!$V$9,'Assumptions (Petroleum)'!$V$4*Model!$AS$2231*AVERAGE('Assumptions (Petroleum)'!$AO$2:$AQ$2)/10^9),0)</f>
        <v>0</v>
      </c>
      <c r="BK2330" s="105">
        <f>IF($AS$2231&gt;0,PPMT('Assumptions (Petroleum)'!$V$6,Model!AO$1,'Assumptions (Petroleum)'!$V$9,'Assumptions (Petroleum)'!$V$4*Model!$AS$2231*AVERAGE('Assumptions (Petroleum)'!$AO$2:$AQ$2)/10^9),0)</f>
        <v>0</v>
      </c>
      <c r="BL2330" s="105">
        <f>IF($AS$2231&gt;0,PPMT('Assumptions (Petroleum)'!$V$6,Model!AP$1,'Assumptions (Petroleum)'!$V$9,'Assumptions (Petroleum)'!$V$4*Model!$AS$2231*AVERAGE('Assumptions (Petroleum)'!$AO$2:$AQ$2)/10^9),0)</f>
        <v>0</v>
      </c>
      <c r="BM2330" s="105">
        <f>IF($AS$2231&gt;0,PPMT('Assumptions (Petroleum)'!$V$6,Model!AQ$1,'Assumptions (Petroleum)'!$V$9,'Assumptions (Petroleum)'!$V$4*Model!$AS$2231*AVERAGE('Assumptions (Petroleum)'!$AO$2:$AQ$2)/10^9),0)</f>
        <v>0</v>
      </c>
      <c r="BN2330" s="105">
        <f>IF($AS$2231&gt;0,PPMT('Assumptions (Petroleum)'!$V$6,Model!AR$1,'Assumptions (Petroleum)'!$V$9,'Assumptions (Petroleum)'!$V$4*Model!$AS$2231*AVERAGE('Assumptions (Petroleum)'!$AO$2:$AQ$2)/10^9),0)</f>
        <v>0</v>
      </c>
      <c r="BO2330" s="105">
        <f>IF($AS$2231&gt;0,PPMT('Assumptions (Petroleum)'!$V$6,Model!AS$1,'Assumptions (Petroleum)'!$V$9,'Assumptions (Petroleum)'!$V$4*Model!$AS$2231*AVERAGE('Assumptions (Petroleum)'!$AO$2:$AQ$2)/10^9),0)</f>
        <v>0</v>
      </c>
      <c r="BP2330" s="105"/>
    </row>
    <row r="2331" spans="1:68" ht="15.75" hidden="1" customHeight="1" outlineLevel="1">
      <c r="A2331" s="447"/>
      <c r="B2331" s="99"/>
      <c r="C2331" s="99"/>
      <c r="D2331" s="99"/>
      <c r="E2331" s="99"/>
      <c r="F2331" s="99"/>
      <c r="G2331" s="99"/>
      <c r="H2331" s="99"/>
      <c r="I2331" s="99"/>
      <c r="J2331" s="99"/>
      <c r="K2331" s="99"/>
      <c r="L2331" s="99"/>
      <c r="M2331" s="99"/>
      <c r="N2331" s="99"/>
      <c r="O2331" s="99"/>
      <c r="P2331" s="99"/>
      <c r="Q2331" s="99"/>
      <c r="R2331" s="99"/>
      <c r="S2331" s="99"/>
      <c r="T2331" s="99"/>
      <c r="U2331" s="99"/>
      <c r="V2331" s="99"/>
      <c r="W2331" s="105"/>
      <c r="X2331" s="105"/>
      <c r="Y2331" s="105"/>
      <c r="Z2331" s="105"/>
      <c r="AA2331" s="105"/>
      <c r="AB2331" s="105"/>
      <c r="AC2331" s="105"/>
      <c r="AD2331" s="105"/>
      <c r="AE2331" s="105"/>
      <c r="AF2331" s="105"/>
      <c r="AG2331" s="105"/>
      <c r="AH2331" s="105"/>
      <c r="AI2331" s="105"/>
      <c r="AJ2331" s="171"/>
      <c r="AK2331" s="105"/>
      <c r="AL2331" s="91"/>
      <c r="AM2331" s="91"/>
      <c r="AN2331" s="91"/>
      <c r="AO2331" s="105"/>
      <c r="AP2331" s="105"/>
      <c r="AQ2331" s="105"/>
      <c r="AR2331" s="105"/>
      <c r="AS2331" s="105"/>
      <c r="AT2331" s="105">
        <f>IF($AT$2231&gt;0,PPMT('Assumptions (Petroleum)'!$V$6,Model!W$1,'Assumptions (Petroleum)'!$V$9,'Assumptions (Petroleum)'!$V$4*Model!$AT$2231*AVERAGE('Assumptions (Petroleum)'!$AP$2:$AR$2)/10^9),0)</f>
        <v>0</v>
      </c>
      <c r="AU2331" s="105">
        <f>IF($AT$2231&gt;0,PPMT('Assumptions (Petroleum)'!$V$6,Model!X$1,'Assumptions (Petroleum)'!$V$9,'Assumptions (Petroleum)'!$V$4*Model!$AT$2231*AVERAGE('Assumptions (Petroleum)'!$AP$2:$AR$2)/10^9),0)</f>
        <v>0</v>
      </c>
      <c r="AV2331" s="105">
        <f>IF($AT$2231&gt;0,PPMT('Assumptions (Petroleum)'!$V$6,Model!Y$1,'Assumptions (Petroleum)'!$V$9,'Assumptions (Petroleum)'!$V$4*Model!$AT$2231*AVERAGE('Assumptions (Petroleum)'!$AP$2:$AR$2)/10^9),0)</f>
        <v>0</v>
      </c>
      <c r="AW2331" s="105">
        <f>IF($AT$2231&gt;0,PPMT('Assumptions (Petroleum)'!$V$6,Model!Z$1,'Assumptions (Petroleum)'!$V$9,'Assumptions (Petroleum)'!$V$4*Model!$AT$2231*AVERAGE('Assumptions (Petroleum)'!$AP$2:$AR$2)/10^9),0)</f>
        <v>0</v>
      </c>
      <c r="AX2331" s="105">
        <f>IF($AT$2231&gt;0,PPMT('Assumptions (Petroleum)'!$V$6,Model!AA$1,'Assumptions (Petroleum)'!$V$9,'Assumptions (Petroleum)'!$V$4*Model!$AT$2231*AVERAGE('Assumptions (Petroleum)'!$AP$2:$AR$2)/10^9),0)</f>
        <v>0</v>
      </c>
      <c r="AY2331" s="105">
        <f>IF($AT$2231&gt;0,PPMT('Assumptions (Petroleum)'!$V$6,Model!AB$1,'Assumptions (Petroleum)'!$V$9,'Assumptions (Petroleum)'!$V$4*Model!$AT$2231*AVERAGE('Assumptions (Petroleum)'!$AP$2:$AR$2)/10^9),0)</f>
        <v>0</v>
      </c>
      <c r="AZ2331" s="105">
        <f>IF($AT$2231&gt;0,PPMT('Assumptions (Petroleum)'!$V$6,Model!AC$1,'Assumptions (Petroleum)'!$V$9,'Assumptions (Petroleum)'!$V$4*Model!$AT$2231*AVERAGE('Assumptions (Petroleum)'!$AP$2:$AR$2)/10^9),0)</f>
        <v>0</v>
      </c>
      <c r="BA2331" s="105">
        <f>IF($AT$2231&gt;0,PPMT('Assumptions (Petroleum)'!$V$6,Model!AD$1,'Assumptions (Petroleum)'!$V$9,'Assumptions (Petroleum)'!$V$4*Model!$AT$2231*AVERAGE('Assumptions (Petroleum)'!$AP$2:$AR$2)/10^9),0)</f>
        <v>0</v>
      </c>
      <c r="BB2331" s="105">
        <f>IF($AT$2231&gt;0,PPMT('Assumptions (Petroleum)'!$V$6,Model!AE$1,'Assumptions (Petroleum)'!$V$9,'Assumptions (Petroleum)'!$V$4*Model!$AT$2231*AVERAGE('Assumptions (Petroleum)'!$AP$2:$AR$2)/10^9),0)</f>
        <v>0</v>
      </c>
      <c r="BC2331" s="105">
        <f>IF($AT$2231&gt;0,PPMT('Assumptions (Petroleum)'!$V$6,Model!AF$1,'Assumptions (Petroleum)'!$V$9,'Assumptions (Petroleum)'!$V$4*Model!$AT$2231*AVERAGE('Assumptions (Petroleum)'!$AP$2:$AR$2)/10^9),0)</f>
        <v>0</v>
      </c>
      <c r="BD2331" s="105">
        <f>IF($AT$2231&gt;0,PPMT('Assumptions (Petroleum)'!$V$6,Model!AG$1,'Assumptions (Petroleum)'!$V$9,'Assumptions (Petroleum)'!$V$4*Model!$AT$2231*AVERAGE('Assumptions (Petroleum)'!$AP$2:$AR$2)/10^9),0)</f>
        <v>0</v>
      </c>
      <c r="BE2331" s="105">
        <f>IF($AT$2231&gt;0,PPMT('Assumptions (Petroleum)'!$V$6,Model!AH$1,'Assumptions (Petroleum)'!$V$9,'Assumptions (Petroleum)'!$V$4*Model!$AT$2231*AVERAGE('Assumptions (Petroleum)'!$AP$2:$AR$2)/10^9),0)</f>
        <v>0</v>
      </c>
      <c r="BF2331" s="105">
        <f>IF($AT$2231&gt;0,PPMT('Assumptions (Petroleum)'!$V$6,Model!AI$1,'Assumptions (Petroleum)'!$V$9,'Assumptions (Petroleum)'!$V$4*Model!$AT$2231*AVERAGE('Assumptions (Petroleum)'!$AP$2:$AR$2)/10^9),0)</f>
        <v>0</v>
      </c>
      <c r="BG2331" s="105">
        <f>IF($AT$2231&gt;0,PPMT('Assumptions (Petroleum)'!$V$6,Model!AJ$1,'Assumptions (Petroleum)'!$V$9,'Assumptions (Petroleum)'!$V$4*Model!$AT$2231*AVERAGE('Assumptions (Petroleum)'!$AP$2:$AR$2)/10^9),0)</f>
        <v>0</v>
      </c>
      <c r="BH2331" s="105">
        <f>IF($AT$2231&gt;0,PPMT('Assumptions (Petroleum)'!$V$6,Model!AK$1,'Assumptions (Petroleum)'!$V$9,'Assumptions (Petroleum)'!$V$4*Model!$AT$2231*AVERAGE('Assumptions (Petroleum)'!$AP$2:$AR$2)/10^9),0)</f>
        <v>0</v>
      </c>
      <c r="BI2331" s="105">
        <f>IF($AT$2231&gt;0,PPMT('Assumptions (Petroleum)'!$V$6,Model!AL$1,'Assumptions (Petroleum)'!$V$9,'Assumptions (Petroleum)'!$V$4*Model!$AT$2231*AVERAGE('Assumptions (Petroleum)'!$AP$2:$AR$2)/10^9),0)</f>
        <v>0</v>
      </c>
      <c r="BJ2331" s="105">
        <f>IF($AT$2231&gt;0,PPMT('Assumptions (Petroleum)'!$V$6,Model!AM$1,'Assumptions (Petroleum)'!$V$9,'Assumptions (Petroleum)'!$V$4*Model!$AT$2231*AVERAGE('Assumptions (Petroleum)'!$AP$2:$AR$2)/10^9),0)</f>
        <v>0</v>
      </c>
      <c r="BK2331" s="105">
        <f>IF($AT$2231&gt;0,PPMT('Assumptions (Petroleum)'!$V$6,Model!AN$1,'Assumptions (Petroleum)'!$V$9,'Assumptions (Petroleum)'!$V$4*Model!$AT$2231*AVERAGE('Assumptions (Petroleum)'!$AP$2:$AR$2)/10^9),0)</f>
        <v>0</v>
      </c>
      <c r="BL2331" s="105">
        <f>IF($AT$2231&gt;0,PPMT('Assumptions (Petroleum)'!$V$6,Model!AO$1,'Assumptions (Petroleum)'!$V$9,'Assumptions (Petroleum)'!$V$4*Model!$AT$2231*AVERAGE('Assumptions (Petroleum)'!$AP$2:$AR$2)/10^9),0)</f>
        <v>0</v>
      </c>
      <c r="BM2331" s="105">
        <f>IF($AT$2231&gt;0,PPMT('Assumptions (Petroleum)'!$V$6,Model!AP$1,'Assumptions (Petroleum)'!$V$9,'Assumptions (Petroleum)'!$V$4*Model!$AT$2231*AVERAGE('Assumptions (Petroleum)'!$AP$2:$AR$2)/10^9),0)</f>
        <v>0</v>
      </c>
      <c r="BN2331" s="105">
        <f>IF($AT$2231&gt;0,PPMT('Assumptions (Petroleum)'!$V$6,Model!AQ$1,'Assumptions (Petroleum)'!$V$9,'Assumptions (Petroleum)'!$V$4*Model!$AT$2231*AVERAGE('Assumptions (Petroleum)'!$AP$2:$AR$2)/10^9),0)</f>
        <v>0</v>
      </c>
      <c r="BO2331" s="105">
        <f>IF($AT$2231&gt;0,PPMT('Assumptions (Petroleum)'!$V$6,Model!AR$1,'Assumptions (Petroleum)'!$V$9,'Assumptions (Petroleum)'!$V$4*Model!$AT$2231*AVERAGE('Assumptions (Petroleum)'!$AP$2:$AR$2)/10^9),0)</f>
        <v>0</v>
      </c>
      <c r="BP2331" s="105"/>
    </row>
    <row r="2332" spans="1:68" ht="15.75" hidden="1" customHeight="1" outlineLevel="1">
      <c r="A2332" s="447"/>
      <c r="B2332" s="99"/>
      <c r="C2332" s="99"/>
      <c r="D2332" s="99"/>
      <c r="E2332" s="99"/>
      <c r="F2332" s="99"/>
      <c r="G2332" s="99"/>
      <c r="H2332" s="99"/>
      <c r="I2332" s="99"/>
      <c r="J2332" s="99"/>
      <c r="K2332" s="99"/>
      <c r="L2332" s="99"/>
      <c r="M2332" s="99"/>
      <c r="N2332" s="99"/>
      <c r="O2332" s="99"/>
      <c r="P2332" s="99"/>
      <c r="Q2332" s="99"/>
      <c r="R2332" s="99"/>
      <c r="S2332" s="99"/>
      <c r="T2332" s="99"/>
      <c r="U2332" s="99"/>
      <c r="V2332" s="99"/>
      <c r="W2332" s="105"/>
      <c r="X2332" s="105"/>
      <c r="Y2332" s="105"/>
      <c r="Z2332" s="105"/>
      <c r="AA2332" s="105"/>
      <c r="AB2332" s="105"/>
      <c r="AC2332" s="105"/>
      <c r="AD2332" s="105"/>
      <c r="AE2332" s="105"/>
      <c r="AF2332" s="105"/>
      <c r="AG2332" s="105"/>
      <c r="AH2332" s="105"/>
      <c r="AI2332" s="105"/>
      <c r="AJ2332" s="171"/>
      <c r="AK2332" s="105"/>
      <c r="AL2332" s="91"/>
      <c r="AM2332" s="91"/>
      <c r="AN2332" s="91"/>
      <c r="AO2332" s="105"/>
      <c r="AP2332" s="105"/>
      <c r="AQ2332" s="105"/>
      <c r="AR2332" s="105"/>
      <c r="AS2332" s="105"/>
      <c r="AT2332" s="105"/>
      <c r="AU2332" s="105">
        <f>IF($AU$2231&gt;0,PPMT('Assumptions (Petroleum)'!$V$6,Model!W$1,'Assumptions (Petroleum)'!$V$9,'Assumptions (Petroleum)'!$V$4*Model!$AU$2231*AVERAGE('Assumptions (Petroleum)'!$AQ$2:$AS$2)/10^9),0)</f>
        <v>0</v>
      </c>
      <c r="AV2332" s="105">
        <f>IF($AU$2231&gt;0,PPMT('Assumptions (Petroleum)'!$V$6,Model!X$1,'Assumptions (Petroleum)'!$V$9,'Assumptions (Petroleum)'!$V$4*Model!$AU$2231*AVERAGE('Assumptions (Petroleum)'!$AQ$2:$AS$2)/10^9),0)</f>
        <v>0</v>
      </c>
      <c r="AW2332" s="105">
        <f>IF($AU$2231&gt;0,PPMT('Assumptions (Petroleum)'!$V$6,Model!Y$1,'Assumptions (Petroleum)'!$V$9,'Assumptions (Petroleum)'!$V$4*Model!$AU$2231*AVERAGE('Assumptions (Petroleum)'!$AQ$2:$AS$2)/10^9),0)</f>
        <v>0</v>
      </c>
      <c r="AX2332" s="105">
        <f>IF($AU$2231&gt;0,PPMT('Assumptions (Petroleum)'!$V$6,Model!Z$1,'Assumptions (Petroleum)'!$V$9,'Assumptions (Petroleum)'!$V$4*Model!$AU$2231*AVERAGE('Assumptions (Petroleum)'!$AQ$2:$AS$2)/10^9),0)</f>
        <v>0</v>
      </c>
      <c r="AY2332" s="105">
        <f>IF($AU$2231&gt;0,PPMT('Assumptions (Petroleum)'!$V$6,Model!AA$1,'Assumptions (Petroleum)'!$V$9,'Assumptions (Petroleum)'!$V$4*Model!$AU$2231*AVERAGE('Assumptions (Petroleum)'!$AQ$2:$AS$2)/10^9),0)</f>
        <v>0</v>
      </c>
      <c r="AZ2332" s="105">
        <f>IF($AU$2231&gt;0,PPMT('Assumptions (Petroleum)'!$V$6,Model!AB$1,'Assumptions (Petroleum)'!$V$9,'Assumptions (Petroleum)'!$V$4*Model!$AU$2231*AVERAGE('Assumptions (Petroleum)'!$AQ$2:$AS$2)/10^9),0)</f>
        <v>0</v>
      </c>
      <c r="BA2332" s="105">
        <f>IF($AU$2231&gt;0,PPMT('Assumptions (Petroleum)'!$V$6,Model!AC$1,'Assumptions (Petroleum)'!$V$9,'Assumptions (Petroleum)'!$V$4*Model!$AU$2231*AVERAGE('Assumptions (Petroleum)'!$AQ$2:$AS$2)/10^9),0)</f>
        <v>0</v>
      </c>
      <c r="BB2332" s="105">
        <f>IF($AU$2231&gt;0,PPMT('Assumptions (Petroleum)'!$V$6,Model!AD$1,'Assumptions (Petroleum)'!$V$9,'Assumptions (Petroleum)'!$V$4*Model!$AU$2231*AVERAGE('Assumptions (Petroleum)'!$AQ$2:$AS$2)/10^9),0)</f>
        <v>0</v>
      </c>
      <c r="BC2332" s="105">
        <f>IF($AU$2231&gt;0,PPMT('Assumptions (Petroleum)'!$V$6,Model!AE$1,'Assumptions (Petroleum)'!$V$9,'Assumptions (Petroleum)'!$V$4*Model!$AU$2231*AVERAGE('Assumptions (Petroleum)'!$AQ$2:$AS$2)/10^9),0)</f>
        <v>0</v>
      </c>
      <c r="BD2332" s="105">
        <f>IF($AU$2231&gt;0,PPMT('Assumptions (Petroleum)'!$V$6,Model!AF$1,'Assumptions (Petroleum)'!$V$9,'Assumptions (Petroleum)'!$V$4*Model!$AU$2231*AVERAGE('Assumptions (Petroleum)'!$AQ$2:$AS$2)/10^9),0)</f>
        <v>0</v>
      </c>
      <c r="BE2332" s="105">
        <f>IF($AU$2231&gt;0,PPMT('Assumptions (Petroleum)'!$V$6,Model!AG$1,'Assumptions (Petroleum)'!$V$9,'Assumptions (Petroleum)'!$V$4*Model!$AU$2231*AVERAGE('Assumptions (Petroleum)'!$AQ$2:$AS$2)/10^9),0)</f>
        <v>0</v>
      </c>
      <c r="BF2332" s="105">
        <f>IF($AU$2231&gt;0,PPMT('Assumptions (Petroleum)'!$V$6,Model!AH$1,'Assumptions (Petroleum)'!$V$9,'Assumptions (Petroleum)'!$V$4*Model!$AU$2231*AVERAGE('Assumptions (Petroleum)'!$AQ$2:$AS$2)/10^9),0)</f>
        <v>0</v>
      </c>
      <c r="BG2332" s="105">
        <f>IF($AU$2231&gt;0,PPMT('Assumptions (Petroleum)'!$V$6,Model!AI$1,'Assumptions (Petroleum)'!$V$9,'Assumptions (Petroleum)'!$V$4*Model!$AU$2231*AVERAGE('Assumptions (Petroleum)'!$AQ$2:$AS$2)/10^9),0)</f>
        <v>0</v>
      </c>
      <c r="BH2332" s="105">
        <f>IF($AU$2231&gt;0,PPMT('Assumptions (Petroleum)'!$V$6,Model!AJ$1,'Assumptions (Petroleum)'!$V$9,'Assumptions (Petroleum)'!$V$4*Model!$AU$2231*AVERAGE('Assumptions (Petroleum)'!$AQ$2:$AS$2)/10^9),0)</f>
        <v>0</v>
      </c>
      <c r="BI2332" s="105">
        <f>IF($AU$2231&gt;0,PPMT('Assumptions (Petroleum)'!$V$6,Model!AK$1,'Assumptions (Petroleum)'!$V$9,'Assumptions (Petroleum)'!$V$4*Model!$AU$2231*AVERAGE('Assumptions (Petroleum)'!$AQ$2:$AS$2)/10^9),0)</f>
        <v>0</v>
      </c>
      <c r="BJ2332" s="105">
        <f>IF($AU$2231&gt;0,PPMT('Assumptions (Petroleum)'!$V$6,Model!AL$1,'Assumptions (Petroleum)'!$V$9,'Assumptions (Petroleum)'!$V$4*Model!$AU$2231*AVERAGE('Assumptions (Petroleum)'!$AQ$2:$AS$2)/10^9),0)</f>
        <v>0</v>
      </c>
      <c r="BK2332" s="105">
        <f>IF($AU$2231&gt;0,PPMT('Assumptions (Petroleum)'!$V$6,Model!AM$1,'Assumptions (Petroleum)'!$V$9,'Assumptions (Petroleum)'!$V$4*Model!$AU$2231*AVERAGE('Assumptions (Petroleum)'!$AQ$2:$AS$2)/10^9),0)</f>
        <v>0</v>
      </c>
      <c r="BL2332" s="105">
        <f>IF($AU$2231&gt;0,PPMT('Assumptions (Petroleum)'!$V$6,Model!AN$1,'Assumptions (Petroleum)'!$V$9,'Assumptions (Petroleum)'!$V$4*Model!$AU$2231*AVERAGE('Assumptions (Petroleum)'!$AQ$2:$AS$2)/10^9),0)</f>
        <v>0</v>
      </c>
      <c r="BM2332" s="105">
        <f>IF($AU$2231&gt;0,PPMT('Assumptions (Petroleum)'!$V$6,Model!AO$1,'Assumptions (Petroleum)'!$V$9,'Assumptions (Petroleum)'!$V$4*Model!$AU$2231*AVERAGE('Assumptions (Petroleum)'!$AQ$2:$AS$2)/10^9),0)</f>
        <v>0</v>
      </c>
      <c r="BN2332" s="105">
        <f>IF($AU$2231&gt;0,PPMT('Assumptions (Petroleum)'!$V$6,Model!AP$1,'Assumptions (Petroleum)'!$V$9,'Assumptions (Petroleum)'!$V$4*Model!$AU$2231*AVERAGE('Assumptions (Petroleum)'!$AQ$2:$AS$2)/10^9),0)</f>
        <v>0</v>
      </c>
      <c r="BO2332" s="105">
        <f>IF($AU$2231&gt;0,PPMT('Assumptions (Petroleum)'!$V$6,Model!AQ$1,'Assumptions (Petroleum)'!$V$9,'Assumptions (Petroleum)'!$V$4*Model!$AU$2231*AVERAGE('Assumptions (Petroleum)'!$AQ$2:$AS$2)/10^9),0)</f>
        <v>0</v>
      </c>
      <c r="BP2332" s="105"/>
    </row>
    <row r="2333" spans="1:68" ht="15.75" hidden="1" customHeight="1" outlineLevel="1">
      <c r="A2333" s="447"/>
      <c r="B2333" s="99"/>
      <c r="C2333" s="99"/>
      <c r="D2333" s="99"/>
      <c r="E2333" s="99"/>
      <c r="F2333" s="99"/>
      <c r="G2333" s="99"/>
      <c r="H2333" s="99"/>
      <c r="I2333" s="99"/>
      <c r="J2333" s="99"/>
      <c r="K2333" s="99"/>
      <c r="L2333" s="99"/>
      <c r="M2333" s="99"/>
      <c r="N2333" s="99"/>
      <c r="O2333" s="99"/>
      <c r="P2333" s="99"/>
      <c r="Q2333" s="99"/>
      <c r="R2333" s="99"/>
      <c r="S2333" s="99"/>
      <c r="T2333" s="99"/>
      <c r="U2333" s="99"/>
      <c r="V2333" s="99"/>
      <c r="W2333" s="105"/>
      <c r="X2333" s="105"/>
      <c r="Y2333" s="105"/>
      <c r="Z2333" s="105"/>
      <c r="AA2333" s="105"/>
      <c r="AB2333" s="105"/>
      <c r="AC2333" s="105"/>
      <c r="AD2333" s="105"/>
      <c r="AE2333" s="105"/>
      <c r="AF2333" s="105"/>
      <c r="AG2333" s="105"/>
      <c r="AH2333" s="105"/>
      <c r="AI2333" s="105"/>
      <c r="AJ2333" s="171"/>
      <c r="AK2333" s="105"/>
      <c r="AL2333" s="91"/>
      <c r="AM2333" s="91"/>
      <c r="AN2333" s="91"/>
      <c r="AO2333" s="105"/>
      <c r="AP2333" s="105"/>
      <c r="AQ2333" s="105"/>
      <c r="AR2333" s="105"/>
      <c r="AS2333" s="105"/>
      <c r="AT2333" s="105"/>
      <c r="AU2333" s="105"/>
      <c r="AV2333" s="105">
        <f>IF($AV$2231&gt;0,PPMT('Assumptions (Petroleum)'!$V$6,Model!W$1,'Assumptions (Petroleum)'!$V$9,'Assumptions (Petroleum)'!$V$4*Model!$AV$2231*AVERAGE('Assumptions (Petroleum)'!$AR$2:$AT$2)/10^9),0)</f>
        <v>0</v>
      </c>
      <c r="AW2333" s="105">
        <f>IF($AV$2231&gt;0,PPMT('Assumptions (Petroleum)'!$V$6,Model!X$1,'Assumptions (Petroleum)'!$V$9,'Assumptions (Petroleum)'!$V$4*Model!$AV$2231*AVERAGE('Assumptions (Petroleum)'!$AR$2:$AT$2)/10^9),0)</f>
        <v>0</v>
      </c>
      <c r="AX2333" s="105">
        <f>IF($AV$2231&gt;0,PPMT('Assumptions (Petroleum)'!$V$6,Model!Y$1,'Assumptions (Petroleum)'!$V$9,'Assumptions (Petroleum)'!$V$4*Model!$AV$2231*AVERAGE('Assumptions (Petroleum)'!$AR$2:$AT$2)/10^9),0)</f>
        <v>0</v>
      </c>
      <c r="AY2333" s="105">
        <f>IF($AV$2231&gt;0,PPMT('Assumptions (Petroleum)'!$V$6,Model!Z$1,'Assumptions (Petroleum)'!$V$9,'Assumptions (Petroleum)'!$V$4*Model!$AV$2231*AVERAGE('Assumptions (Petroleum)'!$AR$2:$AT$2)/10^9),0)</f>
        <v>0</v>
      </c>
      <c r="AZ2333" s="105">
        <f>IF($AV$2231&gt;0,PPMT('Assumptions (Petroleum)'!$V$6,Model!AA$1,'Assumptions (Petroleum)'!$V$9,'Assumptions (Petroleum)'!$V$4*Model!$AV$2231*AVERAGE('Assumptions (Petroleum)'!$AR$2:$AT$2)/10^9),0)</f>
        <v>0</v>
      </c>
      <c r="BA2333" s="105">
        <f>IF($AV$2231&gt;0,PPMT('Assumptions (Petroleum)'!$V$6,Model!AB$1,'Assumptions (Petroleum)'!$V$9,'Assumptions (Petroleum)'!$V$4*Model!$AV$2231*AVERAGE('Assumptions (Petroleum)'!$AR$2:$AT$2)/10^9),0)</f>
        <v>0</v>
      </c>
      <c r="BB2333" s="105">
        <f>IF($AV$2231&gt;0,PPMT('Assumptions (Petroleum)'!$V$6,Model!AC$1,'Assumptions (Petroleum)'!$V$9,'Assumptions (Petroleum)'!$V$4*Model!$AV$2231*AVERAGE('Assumptions (Petroleum)'!$AR$2:$AT$2)/10^9),0)</f>
        <v>0</v>
      </c>
      <c r="BC2333" s="105">
        <f>IF($AV$2231&gt;0,PPMT('Assumptions (Petroleum)'!$V$6,Model!AD$1,'Assumptions (Petroleum)'!$V$9,'Assumptions (Petroleum)'!$V$4*Model!$AV$2231*AVERAGE('Assumptions (Petroleum)'!$AR$2:$AT$2)/10^9),0)</f>
        <v>0</v>
      </c>
      <c r="BD2333" s="105">
        <f>IF($AV$2231&gt;0,PPMT('Assumptions (Petroleum)'!$V$6,Model!AE$1,'Assumptions (Petroleum)'!$V$9,'Assumptions (Petroleum)'!$V$4*Model!$AV$2231*AVERAGE('Assumptions (Petroleum)'!$AR$2:$AT$2)/10^9),0)</f>
        <v>0</v>
      </c>
      <c r="BE2333" s="105">
        <f>IF($AV$2231&gt;0,PPMT('Assumptions (Petroleum)'!$V$6,Model!AF$1,'Assumptions (Petroleum)'!$V$9,'Assumptions (Petroleum)'!$V$4*Model!$AV$2231*AVERAGE('Assumptions (Petroleum)'!$AR$2:$AT$2)/10^9),0)</f>
        <v>0</v>
      </c>
      <c r="BF2333" s="105">
        <f>IF($AV$2231&gt;0,PPMT('Assumptions (Petroleum)'!$V$6,Model!AG$1,'Assumptions (Petroleum)'!$V$9,'Assumptions (Petroleum)'!$V$4*Model!$AV$2231*AVERAGE('Assumptions (Petroleum)'!$AR$2:$AT$2)/10^9),0)</f>
        <v>0</v>
      </c>
      <c r="BG2333" s="105">
        <f>IF($AV$2231&gt;0,PPMT('Assumptions (Petroleum)'!$V$6,Model!AH$1,'Assumptions (Petroleum)'!$V$9,'Assumptions (Petroleum)'!$V$4*Model!$AV$2231*AVERAGE('Assumptions (Petroleum)'!$AR$2:$AT$2)/10^9),0)</f>
        <v>0</v>
      </c>
      <c r="BH2333" s="105">
        <f>IF($AV$2231&gt;0,PPMT('Assumptions (Petroleum)'!$V$6,Model!AI$1,'Assumptions (Petroleum)'!$V$9,'Assumptions (Petroleum)'!$V$4*Model!$AV$2231*AVERAGE('Assumptions (Petroleum)'!$AR$2:$AT$2)/10^9),0)</f>
        <v>0</v>
      </c>
      <c r="BI2333" s="105">
        <f>IF($AV$2231&gt;0,PPMT('Assumptions (Petroleum)'!$V$6,Model!AJ$1,'Assumptions (Petroleum)'!$V$9,'Assumptions (Petroleum)'!$V$4*Model!$AV$2231*AVERAGE('Assumptions (Petroleum)'!$AR$2:$AT$2)/10^9),0)</f>
        <v>0</v>
      </c>
      <c r="BJ2333" s="105">
        <f>IF($AV$2231&gt;0,PPMT('Assumptions (Petroleum)'!$V$6,Model!AK$1,'Assumptions (Petroleum)'!$V$9,'Assumptions (Petroleum)'!$V$4*Model!$AV$2231*AVERAGE('Assumptions (Petroleum)'!$AR$2:$AT$2)/10^9),0)</f>
        <v>0</v>
      </c>
      <c r="BK2333" s="105">
        <f>IF($AV$2231&gt;0,PPMT('Assumptions (Petroleum)'!$V$6,Model!AL$1,'Assumptions (Petroleum)'!$V$9,'Assumptions (Petroleum)'!$V$4*Model!$AV$2231*AVERAGE('Assumptions (Petroleum)'!$AR$2:$AT$2)/10^9),0)</f>
        <v>0</v>
      </c>
      <c r="BL2333" s="105">
        <f>IF($AV$2231&gt;0,PPMT('Assumptions (Petroleum)'!$V$6,Model!AM$1,'Assumptions (Petroleum)'!$V$9,'Assumptions (Petroleum)'!$V$4*Model!$AV$2231*AVERAGE('Assumptions (Petroleum)'!$AR$2:$AT$2)/10^9),0)</f>
        <v>0</v>
      </c>
      <c r="BM2333" s="105">
        <f>IF($AV$2231&gt;0,PPMT('Assumptions (Petroleum)'!$V$6,Model!AN$1,'Assumptions (Petroleum)'!$V$9,'Assumptions (Petroleum)'!$V$4*Model!$AV$2231*AVERAGE('Assumptions (Petroleum)'!$AR$2:$AT$2)/10^9),0)</f>
        <v>0</v>
      </c>
      <c r="BN2333" s="105">
        <f>IF($AV$2231&gt;0,PPMT('Assumptions (Petroleum)'!$V$6,Model!AO$1,'Assumptions (Petroleum)'!$V$9,'Assumptions (Petroleum)'!$V$4*Model!$AV$2231*AVERAGE('Assumptions (Petroleum)'!$AR$2:$AT$2)/10^9),0)</f>
        <v>0</v>
      </c>
      <c r="BO2333" s="105">
        <f>IF($AV$2231&gt;0,PPMT('Assumptions (Petroleum)'!$V$6,Model!AP$1,'Assumptions (Petroleum)'!$V$9,'Assumptions (Petroleum)'!$V$4*Model!$AV$2231*AVERAGE('Assumptions (Petroleum)'!$AR$2:$AT$2)/10^9),0)</f>
        <v>0</v>
      </c>
      <c r="BP2333" s="105"/>
    </row>
    <row r="2334" spans="1:68" ht="15.75" hidden="1" customHeight="1" outlineLevel="1">
      <c r="A2334" s="447"/>
      <c r="B2334" s="99"/>
      <c r="C2334" s="99"/>
      <c r="D2334" s="99"/>
      <c r="E2334" s="99"/>
      <c r="F2334" s="99"/>
      <c r="G2334" s="99"/>
      <c r="H2334" s="99"/>
      <c r="I2334" s="99"/>
      <c r="J2334" s="99"/>
      <c r="K2334" s="99"/>
      <c r="L2334" s="99"/>
      <c r="M2334" s="99"/>
      <c r="N2334" s="99"/>
      <c r="O2334" s="99"/>
      <c r="P2334" s="99"/>
      <c r="Q2334" s="99"/>
      <c r="R2334" s="99"/>
      <c r="S2334" s="99"/>
      <c r="T2334" s="99"/>
      <c r="U2334" s="99"/>
      <c r="V2334" s="99"/>
      <c r="W2334" s="105"/>
      <c r="X2334" s="105"/>
      <c r="Y2334" s="105"/>
      <c r="Z2334" s="105"/>
      <c r="AA2334" s="105"/>
      <c r="AB2334" s="105"/>
      <c r="AC2334" s="105"/>
      <c r="AD2334" s="105"/>
      <c r="AE2334" s="105"/>
      <c r="AF2334" s="105"/>
      <c r="AG2334" s="105"/>
      <c r="AH2334" s="105"/>
      <c r="AI2334" s="105"/>
      <c r="AJ2334" s="171"/>
      <c r="AK2334" s="105"/>
      <c r="AL2334" s="91"/>
      <c r="AM2334" s="91"/>
      <c r="AN2334" s="91"/>
      <c r="AO2334" s="105"/>
      <c r="AP2334" s="105"/>
      <c r="AQ2334" s="105"/>
      <c r="AR2334" s="105"/>
      <c r="AS2334" s="105"/>
      <c r="AT2334" s="105"/>
      <c r="AU2334" s="105"/>
      <c r="AV2334" s="105"/>
      <c r="AW2334" s="105">
        <f>IF($AW$2231&gt;0,PPMT('Assumptions (Petroleum)'!$V$6,Model!W$1,'Assumptions (Petroleum)'!$V$9,'Assumptions (Petroleum)'!$V$4*Model!$AW$2231*AVERAGE('Assumptions (Petroleum)'!$AS$2:$AU$2)/10^9),0)</f>
        <v>0</v>
      </c>
      <c r="AX2334" s="105">
        <f>IF($AW$2231&gt;0,PPMT('Assumptions (Petroleum)'!$V$6,Model!X$1,'Assumptions (Petroleum)'!$V$9,'Assumptions (Petroleum)'!$V$4*Model!$AW$2231*AVERAGE('Assumptions (Petroleum)'!$AS$2:$AU$2)/10^9),0)</f>
        <v>0</v>
      </c>
      <c r="AY2334" s="105">
        <f>IF($AW$2231&gt;0,PPMT('Assumptions (Petroleum)'!$V$6,Model!Y$1,'Assumptions (Petroleum)'!$V$9,'Assumptions (Petroleum)'!$V$4*Model!$AW$2231*AVERAGE('Assumptions (Petroleum)'!$AS$2:$AU$2)/10^9),0)</f>
        <v>0</v>
      </c>
      <c r="AZ2334" s="105">
        <f>IF($AW$2231&gt;0,PPMT('Assumptions (Petroleum)'!$V$6,Model!Z$1,'Assumptions (Petroleum)'!$V$9,'Assumptions (Petroleum)'!$V$4*Model!$AW$2231*AVERAGE('Assumptions (Petroleum)'!$AS$2:$AU$2)/10^9),0)</f>
        <v>0</v>
      </c>
      <c r="BA2334" s="105">
        <f>IF($AW$2231&gt;0,PPMT('Assumptions (Petroleum)'!$V$6,Model!AA$1,'Assumptions (Petroleum)'!$V$9,'Assumptions (Petroleum)'!$V$4*Model!$AW$2231*AVERAGE('Assumptions (Petroleum)'!$AS$2:$AU$2)/10^9),0)</f>
        <v>0</v>
      </c>
      <c r="BB2334" s="105">
        <f>IF($AW$2231&gt;0,PPMT('Assumptions (Petroleum)'!$V$6,Model!AB$1,'Assumptions (Petroleum)'!$V$9,'Assumptions (Petroleum)'!$V$4*Model!$AW$2231*AVERAGE('Assumptions (Petroleum)'!$AS$2:$AU$2)/10^9),0)</f>
        <v>0</v>
      </c>
      <c r="BC2334" s="105">
        <f>IF($AW$2231&gt;0,PPMT('Assumptions (Petroleum)'!$V$6,Model!AC$1,'Assumptions (Petroleum)'!$V$9,'Assumptions (Petroleum)'!$V$4*Model!$AW$2231*AVERAGE('Assumptions (Petroleum)'!$AS$2:$AU$2)/10^9),0)</f>
        <v>0</v>
      </c>
      <c r="BD2334" s="105">
        <f>IF($AW$2231&gt;0,PPMT('Assumptions (Petroleum)'!$V$6,Model!AD$1,'Assumptions (Petroleum)'!$V$9,'Assumptions (Petroleum)'!$V$4*Model!$AW$2231*AVERAGE('Assumptions (Petroleum)'!$AS$2:$AU$2)/10^9),0)</f>
        <v>0</v>
      </c>
      <c r="BE2334" s="105">
        <f>IF($AW$2231&gt;0,PPMT('Assumptions (Petroleum)'!$V$6,Model!AE$1,'Assumptions (Petroleum)'!$V$9,'Assumptions (Petroleum)'!$V$4*Model!$AW$2231*AVERAGE('Assumptions (Petroleum)'!$AS$2:$AU$2)/10^9),0)</f>
        <v>0</v>
      </c>
      <c r="BF2334" s="105">
        <f>IF($AW$2231&gt;0,PPMT('Assumptions (Petroleum)'!$V$6,Model!AF$1,'Assumptions (Petroleum)'!$V$9,'Assumptions (Petroleum)'!$V$4*Model!$AW$2231*AVERAGE('Assumptions (Petroleum)'!$AS$2:$AU$2)/10^9),0)</f>
        <v>0</v>
      </c>
      <c r="BG2334" s="105">
        <f>IF($AW$2231&gt;0,PPMT('Assumptions (Petroleum)'!$V$6,Model!AG$1,'Assumptions (Petroleum)'!$V$9,'Assumptions (Petroleum)'!$V$4*Model!$AW$2231*AVERAGE('Assumptions (Petroleum)'!$AS$2:$AU$2)/10^9),0)</f>
        <v>0</v>
      </c>
      <c r="BH2334" s="105">
        <f>IF($AW$2231&gt;0,PPMT('Assumptions (Petroleum)'!$V$6,Model!AH$1,'Assumptions (Petroleum)'!$V$9,'Assumptions (Petroleum)'!$V$4*Model!$AW$2231*AVERAGE('Assumptions (Petroleum)'!$AS$2:$AU$2)/10^9),0)</f>
        <v>0</v>
      </c>
      <c r="BI2334" s="105">
        <f>IF($AW$2231&gt;0,PPMT('Assumptions (Petroleum)'!$V$6,Model!AI$1,'Assumptions (Petroleum)'!$V$9,'Assumptions (Petroleum)'!$V$4*Model!$AW$2231*AVERAGE('Assumptions (Petroleum)'!$AS$2:$AU$2)/10^9),0)</f>
        <v>0</v>
      </c>
      <c r="BJ2334" s="105">
        <f>IF($AW$2231&gt;0,PPMT('Assumptions (Petroleum)'!$V$6,Model!AJ$1,'Assumptions (Petroleum)'!$V$9,'Assumptions (Petroleum)'!$V$4*Model!$AW$2231*AVERAGE('Assumptions (Petroleum)'!$AS$2:$AU$2)/10^9),0)</f>
        <v>0</v>
      </c>
      <c r="BK2334" s="105">
        <f>IF($AW$2231&gt;0,PPMT('Assumptions (Petroleum)'!$V$6,Model!AK$1,'Assumptions (Petroleum)'!$V$9,'Assumptions (Petroleum)'!$V$4*Model!$AW$2231*AVERAGE('Assumptions (Petroleum)'!$AS$2:$AU$2)/10^9),0)</f>
        <v>0</v>
      </c>
      <c r="BL2334" s="105">
        <f>IF($AW$2231&gt;0,PPMT('Assumptions (Petroleum)'!$V$6,Model!AL$1,'Assumptions (Petroleum)'!$V$9,'Assumptions (Petroleum)'!$V$4*Model!$AW$2231*AVERAGE('Assumptions (Petroleum)'!$AS$2:$AU$2)/10^9),0)</f>
        <v>0</v>
      </c>
      <c r="BM2334" s="105">
        <f>IF($AW$2231&gt;0,PPMT('Assumptions (Petroleum)'!$V$6,Model!AM$1,'Assumptions (Petroleum)'!$V$9,'Assumptions (Petroleum)'!$V$4*Model!$AW$2231*AVERAGE('Assumptions (Petroleum)'!$AS$2:$AU$2)/10^9),0)</f>
        <v>0</v>
      </c>
      <c r="BN2334" s="105">
        <f>IF($AW$2231&gt;0,PPMT('Assumptions (Petroleum)'!$V$6,Model!AN$1,'Assumptions (Petroleum)'!$V$9,'Assumptions (Petroleum)'!$V$4*Model!$AW$2231*AVERAGE('Assumptions (Petroleum)'!$AS$2:$AU$2)/10^9),0)</f>
        <v>0</v>
      </c>
      <c r="BO2334" s="105">
        <f>IF($AW$2231&gt;0,PPMT('Assumptions (Petroleum)'!$V$6,Model!AO$1,'Assumptions (Petroleum)'!$V$9,'Assumptions (Petroleum)'!$V$4*Model!$AW$2231*AVERAGE('Assumptions (Petroleum)'!$AS$2:$AU$2)/10^9),0)</f>
        <v>0</v>
      </c>
      <c r="BP2334" s="105"/>
    </row>
    <row r="2335" spans="1:68" ht="15.75" hidden="1" customHeight="1" outlineLevel="1">
      <c r="A2335" s="447"/>
      <c r="B2335" s="99"/>
      <c r="C2335" s="99"/>
      <c r="D2335" s="99"/>
      <c r="E2335" s="99"/>
      <c r="F2335" s="99"/>
      <c r="G2335" s="99"/>
      <c r="H2335" s="99"/>
      <c r="I2335" s="99"/>
      <c r="J2335" s="99"/>
      <c r="K2335" s="99"/>
      <c r="L2335" s="99"/>
      <c r="M2335" s="99"/>
      <c r="N2335" s="99"/>
      <c r="O2335" s="99"/>
      <c r="P2335" s="99"/>
      <c r="Q2335" s="99"/>
      <c r="R2335" s="99"/>
      <c r="S2335" s="99"/>
      <c r="T2335" s="99"/>
      <c r="U2335" s="99"/>
      <c r="V2335" s="99"/>
      <c r="W2335" s="105"/>
      <c r="X2335" s="105"/>
      <c r="Y2335" s="105"/>
      <c r="Z2335" s="105"/>
      <c r="AA2335" s="105"/>
      <c r="AB2335" s="105"/>
      <c r="AC2335" s="105"/>
      <c r="AD2335" s="105"/>
      <c r="AE2335" s="105"/>
      <c r="AF2335" s="105"/>
      <c r="AG2335" s="105"/>
      <c r="AH2335" s="105"/>
      <c r="AI2335" s="105"/>
      <c r="AJ2335" s="171"/>
      <c r="AK2335" s="105"/>
      <c r="AL2335" s="91"/>
      <c r="AM2335" s="91"/>
      <c r="AN2335" s="91"/>
      <c r="AO2335" s="105"/>
      <c r="AP2335" s="105"/>
      <c r="AQ2335" s="105"/>
      <c r="AR2335" s="105"/>
      <c r="AS2335" s="105"/>
      <c r="AT2335" s="105"/>
      <c r="AU2335" s="105"/>
      <c r="AV2335" s="105"/>
      <c r="AW2335" s="105"/>
      <c r="AX2335" s="105">
        <f>IF($AX$2231&gt;0,PPMT('Assumptions (Petroleum)'!$V$6,Model!W$1,'Assumptions (Petroleum)'!$V$9,'Assumptions (Petroleum)'!$V$4*Model!$AX$2231*AVERAGE('Assumptions (Petroleum)'!$AT$2:$AV$2)/10^9),0)</f>
        <v>0</v>
      </c>
      <c r="AY2335" s="105">
        <f>IF($AX$2231&gt;0,PPMT('Assumptions (Petroleum)'!$V$6,Model!X$1,'Assumptions (Petroleum)'!$V$9,'Assumptions (Petroleum)'!$V$4*Model!$AX$2231*AVERAGE('Assumptions (Petroleum)'!$AT$2:$AV$2)/10^9),0)</f>
        <v>0</v>
      </c>
      <c r="AZ2335" s="105">
        <f>IF($AX$2231&gt;0,PPMT('Assumptions (Petroleum)'!$V$6,Model!Y$1,'Assumptions (Petroleum)'!$V$9,'Assumptions (Petroleum)'!$V$4*Model!$AX$2231*AVERAGE('Assumptions (Petroleum)'!$AT$2:$AV$2)/10^9),0)</f>
        <v>0</v>
      </c>
      <c r="BA2335" s="105">
        <f>IF($AX$2231&gt;0,PPMT('Assumptions (Petroleum)'!$V$6,Model!Z$1,'Assumptions (Petroleum)'!$V$9,'Assumptions (Petroleum)'!$V$4*Model!$AX$2231*AVERAGE('Assumptions (Petroleum)'!$AT$2:$AV$2)/10^9),0)</f>
        <v>0</v>
      </c>
      <c r="BB2335" s="105">
        <f>IF($AX$2231&gt;0,PPMT('Assumptions (Petroleum)'!$V$6,Model!AA$1,'Assumptions (Petroleum)'!$V$9,'Assumptions (Petroleum)'!$V$4*Model!$AX$2231*AVERAGE('Assumptions (Petroleum)'!$AT$2:$AV$2)/10^9),0)</f>
        <v>0</v>
      </c>
      <c r="BC2335" s="105">
        <f>IF($AX$2231&gt;0,PPMT('Assumptions (Petroleum)'!$V$6,Model!AB$1,'Assumptions (Petroleum)'!$V$9,'Assumptions (Petroleum)'!$V$4*Model!$AX$2231*AVERAGE('Assumptions (Petroleum)'!$AT$2:$AV$2)/10^9),0)</f>
        <v>0</v>
      </c>
      <c r="BD2335" s="105">
        <f>IF($AX$2231&gt;0,PPMT('Assumptions (Petroleum)'!$V$6,Model!AC$1,'Assumptions (Petroleum)'!$V$9,'Assumptions (Petroleum)'!$V$4*Model!$AX$2231*AVERAGE('Assumptions (Petroleum)'!$AT$2:$AV$2)/10^9),0)</f>
        <v>0</v>
      </c>
      <c r="BE2335" s="105">
        <f>IF($AX$2231&gt;0,PPMT('Assumptions (Petroleum)'!$V$6,Model!AD$1,'Assumptions (Petroleum)'!$V$9,'Assumptions (Petroleum)'!$V$4*Model!$AX$2231*AVERAGE('Assumptions (Petroleum)'!$AT$2:$AV$2)/10^9),0)</f>
        <v>0</v>
      </c>
      <c r="BF2335" s="105">
        <f>IF($AX$2231&gt;0,PPMT('Assumptions (Petroleum)'!$V$6,Model!AE$1,'Assumptions (Petroleum)'!$V$9,'Assumptions (Petroleum)'!$V$4*Model!$AX$2231*AVERAGE('Assumptions (Petroleum)'!$AT$2:$AV$2)/10^9),0)</f>
        <v>0</v>
      </c>
      <c r="BG2335" s="105">
        <f>IF($AX$2231&gt;0,PPMT('Assumptions (Petroleum)'!$V$6,Model!AF$1,'Assumptions (Petroleum)'!$V$9,'Assumptions (Petroleum)'!$V$4*Model!$AX$2231*AVERAGE('Assumptions (Petroleum)'!$AT$2:$AV$2)/10^9),0)</f>
        <v>0</v>
      </c>
      <c r="BH2335" s="105">
        <f>IF($AX$2231&gt;0,PPMT('Assumptions (Petroleum)'!$V$6,Model!AG$1,'Assumptions (Petroleum)'!$V$9,'Assumptions (Petroleum)'!$V$4*Model!$AX$2231*AVERAGE('Assumptions (Petroleum)'!$AT$2:$AV$2)/10^9),0)</f>
        <v>0</v>
      </c>
      <c r="BI2335" s="105">
        <f>IF($AX$2231&gt;0,PPMT('Assumptions (Petroleum)'!$V$6,Model!AH$1,'Assumptions (Petroleum)'!$V$9,'Assumptions (Petroleum)'!$V$4*Model!$AX$2231*AVERAGE('Assumptions (Petroleum)'!$AT$2:$AV$2)/10^9),0)</f>
        <v>0</v>
      </c>
      <c r="BJ2335" s="105">
        <f>IF($AX$2231&gt;0,PPMT('Assumptions (Petroleum)'!$V$6,Model!AI$1,'Assumptions (Petroleum)'!$V$9,'Assumptions (Petroleum)'!$V$4*Model!$AX$2231*AVERAGE('Assumptions (Petroleum)'!$AT$2:$AV$2)/10^9),0)</f>
        <v>0</v>
      </c>
      <c r="BK2335" s="105">
        <f>IF($AX$2231&gt;0,PPMT('Assumptions (Petroleum)'!$V$6,Model!AJ$1,'Assumptions (Petroleum)'!$V$9,'Assumptions (Petroleum)'!$V$4*Model!$AX$2231*AVERAGE('Assumptions (Petroleum)'!$AT$2:$AV$2)/10^9),0)</f>
        <v>0</v>
      </c>
      <c r="BL2335" s="105">
        <f>IF($AX$2231&gt;0,PPMT('Assumptions (Petroleum)'!$V$6,Model!AK$1,'Assumptions (Petroleum)'!$V$9,'Assumptions (Petroleum)'!$V$4*Model!$AX$2231*AVERAGE('Assumptions (Petroleum)'!$AT$2:$AV$2)/10^9),0)</f>
        <v>0</v>
      </c>
      <c r="BM2335" s="105">
        <f>IF($AX$2231&gt;0,PPMT('Assumptions (Petroleum)'!$V$6,Model!AL$1,'Assumptions (Petroleum)'!$V$9,'Assumptions (Petroleum)'!$V$4*Model!$AX$2231*AVERAGE('Assumptions (Petroleum)'!$AT$2:$AV$2)/10^9),0)</f>
        <v>0</v>
      </c>
      <c r="BN2335" s="105">
        <f>IF($AX$2231&gt;0,PPMT('Assumptions (Petroleum)'!$V$6,Model!AM$1,'Assumptions (Petroleum)'!$V$9,'Assumptions (Petroleum)'!$V$4*Model!$AX$2231*AVERAGE('Assumptions (Petroleum)'!$AT$2:$AV$2)/10^9),0)</f>
        <v>0</v>
      </c>
      <c r="BO2335" s="105">
        <f>IF($AX$2231&gt;0,PPMT('Assumptions (Petroleum)'!$V$6,Model!AN$1,'Assumptions (Petroleum)'!$V$9,'Assumptions (Petroleum)'!$V$4*Model!$AX$2231*AVERAGE('Assumptions (Petroleum)'!$AT$2:$AV$2)/10^9),0)</f>
        <v>0</v>
      </c>
      <c r="BP2335" s="105"/>
    </row>
    <row r="2336" spans="1:68" ht="15.75" hidden="1" customHeight="1" outlineLevel="1">
      <c r="A2336" s="447"/>
      <c r="B2336" s="99"/>
      <c r="C2336" s="99"/>
      <c r="D2336" s="99"/>
      <c r="E2336" s="99"/>
      <c r="F2336" s="99"/>
      <c r="G2336" s="99"/>
      <c r="H2336" s="99"/>
      <c r="I2336" s="99"/>
      <c r="J2336" s="99"/>
      <c r="K2336" s="99"/>
      <c r="L2336" s="99"/>
      <c r="M2336" s="99"/>
      <c r="N2336" s="99"/>
      <c r="O2336" s="99"/>
      <c r="P2336" s="99"/>
      <c r="Q2336" s="99"/>
      <c r="R2336" s="99"/>
      <c r="S2336" s="99"/>
      <c r="T2336" s="99"/>
      <c r="U2336" s="99"/>
      <c r="V2336" s="99"/>
      <c r="W2336" s="105"/>
      <c r="X2336" s="105"/>
      <c r="Y2336" s="105"/>
      <c r="Z2336" s="105"/>
      <c r="AA2336" s="105"/>
      <c r="AB2336" s="105"/>
      <c r="AC2336" s="105"/>
      <c r="AD2336" s="105"/>
      <c r="AE2336" s="105"/>
      <c r="AF2336" s="105"/>
      <c r="AG2336" s="105"/>
      <c r="AH2336" s="105"/>
      <c r="AI2336" s="105"/>
      <c r="AJ2336" s="171"/>
      <c r="AK2336" s="105"/>
      <c r="AL2336" s="91"/>
      <c r="AM2336" s="91"/>
      <c r="AN2336" s="91"/>
      <c r="AO2336" s="105"/>
      <c r="AP2336" s="105"/>
      <c r="AQ2336" s="105"/>
      <c r="AR2336" s="105"/>
      <c r="AS2336" s="105"/>
      <c r="AT2336" s="105"/>
      <c r="AU2336" s="105"/>
      <c r="AV2336" s="105"/>
      <c r="AW2336" s="105"/>
      <c r="AX2336" s="105"/>
      <c r="AY2336" s="105">
        <f>IF($AY$2231&gt;0,PPMT('Assumptions (Petroleum)'!$V$6,Model!W$1,'Assumptions (Petroleum)'!$V$9,'Assumptions (Petroleum)'!$V$4*Model!$AY$2231*AVERAGE('Assumptions (Petroleum)'!$AU$2:$AW$2)/10^9),0)</f>
        <v>0</v>
      </c>
      <c r="AZ2336" s="105">
        <f>IF($AY$2231&gt;0,PPMT('Assumptions (Petroleum)'!$V$6,Model!X$1,'Assumptions (Petroleum)'!$V$9,'Assumptions (Petroleum)'!$V$4*Model!$AY$2231*AVERAGE('Assumptions (Petroleum)'!$AU$2:$AW$2)/10^9),0)</f>
        <v>0</v>
      </c>
      <c r="BA2336" s="105">
        <f>IF($AY$2231&gt;0,PPMT('Assumptions (Petroleum)'!$V$6,Model!Y$1,'Assumptions (Petroleum)'!$V$9,'Assumptions (Petroleum)'!$V$4*Model!$AY$2231*AVERAGE('Assumptions (Petroleum)'!$AU$2:$AW$2)/10^9),0)</f>
        <v>0</v>
      </c>
      <c r="BB2336" s="105">
        <f>IF($AY$2231&gt;0,PPMT('Assumptions (Petroleum)'!$V$6,Model!Z$1,'Assumptions (Petroleum)'!$V$9,'Assumptions (Petroleum)'!$V$4*Model!$AY$2231*AVERAGE('Assumptions (Petroleum)'!$AU$2:$AW$2)/10^9),0)</f>
        <v>0</v>
      </c>
      <c r="BC2336" s="105">
        <f>IF($AY$2231&gt;0,PPMT('Assumptions (Petroleum)'!$V$6,Model!AA$1,'Assumptions (Petroleum)'!$V$9,'Assumptions (Petroleum)'!$V$4*Model!$AY$2231*AVERAGE('Assumptions (Petroleum)'!$AU$2:$AW$2)/10^9),0)</f>
        <v>0</v>
      </c>
      <c r="BD2336" s="105">
        <f>IF($AY$2231&gt;0,PPMT('Assumptions (Petroleum)'!$V$6,Model!AB$1,'Assumptions (Petroleum)'!$V$9,'Assumptions (Petroleum)'!$V$4*Model!$AY$2231*AVERAGE('Assumptions (Petroleum)'!$AU$2:$AW$2)/10^9),0)</f>
        <v>0</v>
      </c>
      <c r="BE2336" s="105">
        <f>IF($AY$2231&gt;0,PPMT('Assumptions (Petroleum)'!$V$6,Model!AC$1,'Assumptions (Petroleum)'!$V$9,'Assumptions (Petroleum)'!$V$4*Model!$AY$2231*AVERAGE('Assumptions (Petroleum)'!$AU$2:$AW$2)/10^9),0)</f>
        <v>0</v>
      </c>
      <c r="BF2336" s="105">
        <f>IF($AY$2231&gt;0,PPMT('Assumptions (Petroleum)'!$V$6,Model!AD$1,'Assumptions (Petroleum)'!$V$9,'Assumptions (Petroleum)'!$V$4*Model!$AY$2231*AVERAGE('Assumptions (Petroleum)'!$AU$2:$AW$2)/10^9),0)</f>
        <v>0</v>
      </c>
      <c r="BG2336" s="105">
        <f>IF($AY$2231&gt;0,PPMT('Assumptions (Petroleum)'!$V$6,Model!AE$1,'Assumptions (Petroleum)'!$V$9,'Assumptions (Petroleum)'!$V$4*Model!$AY$2231*AVERAGE('Assumptions (Petroleum)'!$AU$2:$AW$2)/10^9),0)</f>
        <v>0</v>
      </c>
      <c r="BH2336" s="105">
        <f>IF($AY$2231&gt;0,PPMT('Assumptions (Petroleum)'!$V$6,Model!AF$1,'Assumptions (Petroleum)'!$V$9,'Assumptions (Petroleum)'!$V$4*Model!$AY$2231*AVERAGE('Assumptions (Petroleum)'!$AU$2:$AW$2)/10^9),0)</f>
        <v>0</v>
      </c>
      <c r="BI2336" s="105">
        <f>IF($AY$2231&gt;0,PPMT('Assumptions (Petroleum)'!$V$6,Model!AG$1,'Assumptions (Petroleum)'!$V$9,'Assumptions (Petroleum)'!$V$4*Model!$AY$2231*AVERAGE('Assumptions (Petroleum)'!$AU$2:$AW$2)/10^9),0)</f>
        <v>0</v>
      </c>
      <c r="BJ2336" s="105">
        <f>IF($AY$2231&gt;0,PPMT('Assumptions (Petroleum)'!$V$6,Model!AH$1,'Assumptions (Petroleum)'!$V$9,'Assumptions (Petroleum)'!$V$4*Model!$AY$2231*AVERAGE('Assumptions (Petroleum)'!$AU$2:$AW$2)/10^9),0)</f>
        <v>0</v>
      </c>
      <c r="BK2336" s="105">
        <f>IF($AY$2231&gt;0,PPMT('Assumptions (Petroleum)'!$V$6,Model!AI$1,'Assumptions (Petroleum)'!$V$9,'Assumptions (Petroleum)'!$V$4*Model!$AY$2231*AVERAGE('Assumptions (Petroleum)'!$AU$2:$AW$2)/10^9),0)</f>
        <v>0</v>
      </c>
      <c r="BL2336" s="105">
        <f>IF($AY$2231&gt;0,PPMT('Assumptions (Petroleum)'!$V$6,Model!AJ$1,'Assumptions (Petroleum)'!$V$9,'Assumptions (Petroleum)'!$V$4*Model!$AY$2231*AVERAGE('Assumptions (Petroleum)'!$AU$2:$AW$2)/10^9),0)</f>
        <v>0</v>
      </c>
      <c r="BM2336" s="105">
        <f>IF($AY$2231&gt;0,PPMT('Assumptions (Petroleum)'!$V$6,Model!AK$1,'Assumptions (Petroleum)'!$V$9,'Assumptions (Petroleum)'!$V$4*Model!$AY$2231*AVERAGE('Assumptions (Petroleum)'!$AU$2:$AW$2)/10^9),0)</f>
        <v>0</v>
      </c>
      <c r="BN2336" s="105">
        <f>IF($AY$2231&gt;0,PPMT('Assumptions (Petroleum)'!$V$6,Model!AL$1,'Assumptions (Petroleum)'!$V$9,'Assumptions (Petroleum)'!$V$4*Model!$AY$2231*AVERAGE('Assumptions (Petroleum)'!$AU$2:$AW$2)/10^9),0)</f>
        <v>0</v>
      </c>
      <c r="BO2336" s="105">
        <f>IF($AY$2231&gt;0,PPMT('Assumptions (Petroleum)'!$V$6,Model!AM$1,'Assumptions (Petroleum)'!$V$9,'Assumptions (Petroleum)'!$V$4*Model!$AY$2231*AVERAGE('Assumptions (Petroleum)'!$AU$2:$AW$2)/10^9),0)</f>
        <v>0</v>
      </c>
      <c r="BP2336" s="105"/>
    </row>
    <row r="2337" spans="1:68" ht="15.75" hidden="1" customHeight="1" outlineLevel="1">
      <c r="A2337" s="447"/>
      <c r="B2337" s="99"/>
      <c r="C2337" s="99"/>
      <c r="D2337" s="99"/>
      <c r="E2337" s="99"/>
      <c r="F2337" s="99"/>
      <c r="G2337" s="99"/>
      <c r="H2337" s="99"/>
      <c r="I2337" s="99"/>
      <c r="J2337" s="99"/>
      <c r="K2337" s="99"/>
      <c r="L2337" s="99"/>
      <c r="M2337" s="99"/>
      <c r="N2337" s="99"/>
      <c r="O2337" s="99"/>
      <c r="P2337" s="99"/>
      <c r="Q2337" s="99"/>
      <c r="R2337" s="99"/>
      <c r="S2337" s="99"/>
      <c r="T2337" s="99"/>
      <c r="U2337" s="99"/>
      <c r="V2337" s="99"/>
      <c r="W2337" s="105"/>
      <c r="X2337" s="105"/>
      <c r="Y2337" s="105"/>
      <c r="Z2337" s="105"/>
      <c r="AA2337" s="105"/>
      <c r="AB2337" s="105"/>
      <c r="AC2337" s="105"/>
      <c r="AD2337" s="105"/>
      <c r="AE2337" s="105"/>
      <c r="AF2337" s="105"/>
      <c r="AG2337" s="105"/>
      <c r="AH2337" s="105"/>
      <c r="AI2337" s="105"/>
      <c r="AJ2337" s="171"/>
      <c r="AK2337" s="105"/>
      <c r="AL2337" s="91"/>
      <c r="AM2337" s="91"/>
      <c r="AN2337" s="91"/>
      <c r="AO2337" s="105"/>
      <c r="AP2337" s="105"/>
      <c r="AQ2337" s="105"/>
      <c r="AR2337" s="105"/>
      <c r="AS2337" s="105"/>
      <c r="AT2337" s="105"/>
      <c r="AU2337" s="105"/>
      <c r="AV2337" s="105"/>
      <c r="AW2337" s="105"/>
      <c r="AX2337" s="105"/>
      <c r="AY2337" s="105"/>
      <c r="AZ2337" s="105">
        <f>IF($AZ$2231&gt;0,PPMT('Assumptions (Petroleum)'!$V$6,Model!W$1,'Assumptions (Petroleum)'!$V$9,'Assumptions (Petroleum)'!$V$4*Model!$AZ$2231*AVERAGE('Assumptions (Petroleum)'!$AV$2:$AX$2)/10^9),0)</f>
        <v>0</v>
      </c>
      <c r="BA2337" s="105">
        <f>IF($AZ$2231&gt;0,PPMT('Assumptions (Petroleum)'!$V$6,Model!X$1,'Assumptions (Petroleum)'!$V$9,'Assumptions (Petroleum)'!$V$4*Model!$AZ$2231*AVERAGE('Assumptions (Petroleum)'!$AV$2:$AX$2)/10^9),0)</f>
        <v>0</v>
      </c>
      <c r="BB2337" s="105">
        <f>IF($AZ$2231&gt;0,PPMT('Assumptions (Petroleum)'!$V$6,Model!Y$1,'Assumptions (Petroleum)'!$V$9,'Assumptions (Petroleum)'!$V$4*Model!$AZ$2231*AVERAGE('Assumptions (Petroleum)'!$AV$2:$AX$2)/10^9),0)</f>
        <v>0</v>
      </c>
      <c r="BC2337" s="105">
        <f>IF($AZ$2231&gt;0,PPMT('Assumptions (Petroleum)'!$V$6,Model!Z$1,'Assumptions (Petroleum)'!$V$9,'Assumptions (Petroleum)'!$V$4*Model!$AZ$2231*AVERAGE('Assumptions (Petroleum)'!$AV$2:$AX$2)/10^9),0)</f>
        <v>0</v>
      </c>
      <c r="BD2337" s="105">
        <f>IF($AZ$2231&gt;0,PPMT('Assumptions (Petroleum)'!$V$6,Model!AA$1,'Assumptions (Petroleum)'!$V$9,'Assumptions (Petroleum)'!$V$4*Model!$AZ$2231*AVERAGE('Assumptions (Petroleum)'!$AV$2:$AX$2)/10^9),0)</f>
        <v>0</v>
      </c>
      <c r="BE2337" s="105">
        <f>IF($AZ$2231&gt;0,PPMT('Assumptions (Petroleum)'!$V$6,Model!AB$1,'Assumptions (Petroleum)'!$V$9,'Assumptions (Petroleum)'!$V$4*Model!$AZ$2231*AVERAGE('Assumptions (Petroleum)'!$AV$2:$AX$2)/10^9),0)</f>
        <v>0</v>
      </c>
      <c r="BF2337" s="105">
        <f>IF($AZ$2231&gt;0,PPMT('Assumptions (Petroleum)'!$V$6,Model!AC$1,'Assumptions (Petroleum)'!$V$9,'Assumptions (Petroleum)'!$V$4*Model!$AZ$2231*AVERAGE('Assumptions (Petroleum)'!$AV$2:$AX$2)/10^9),0)</f>
        <v>0</v>
      </c>
      <c r="BG2337" s="105">
        <f>IF($AZ$2231&gt;0,PPMT('Assumptions (Petroleum)'!$V$6,Model!AD$1,'Assumptions (Petroleum)'!$V$9,'Assumptions (Petroleum)'!$V$4*Model!$AZ$2231*AVERAGE('Assumptions (Petroleum)'!$AV$2:$AX$2)/10^9),0)</f>
        <v>0</v>
      </c>
      <c r="BH2337" s="105">
        <f>IF($AZ$2231&gt;0,PPMT('Assumptions (Petroleum)'!$V$6,Model!AE$1,'Assumptions (Petroleum)'!$V$9,'Assumptions (Petroleum)'!$V$4*Model!$AZ$2231*AVERAGE('Assumptions (Petroleum)'!$AV$2:$AX$2)/10^9),0)</f>
        <v>0</v>
      </c>
      <c r="BI2337" s="105">
        <f>IF($AZ$2231&gt;0,PPMT('Assumptions (Petroleum)'!$V$6,Model!AF$1,'Assumptions (Petroleum)'!$V$9,'Assumptions (Petroleum)'!$V$4*Model!$AZ$2231*AVERAGE('Assumptions (Petroleum)'!$AV$2:$AX$2)/10^9),0)</f>
        <v>0</v>
      </c>
      <c r="BJ2337" s="105">
        <f>IF($AZ$2231&gt;0,PPMT('Assumptions (Petroleum)'!$V$6,Model!AG$1,'Assumptions (Petroleum)'!$V$9,'Assumptions (Petroleum)'!$V$4*Model!$AZ$2231*AVERAGE('Assumptions (Petroleum)'!$AV$2:$AX$2)/10^9),0)</f>
        <v>0</v>
      </c>
      <c r="BK2337" s="105">
        <f>IF($AZ$2231&gt;0,PPMT('Assumptions (Petroleum)'!$V$6,Model!AH$1,'Assumptions (Petroleum)'!$V$9,'Assumptions (Petroleum)'!$V$4*Model!$AZ$2231*AVERAGE('Assumptions (Petroleum)'!$AV$2:$AX$2)/10^9),0)</f>
        <v>0</v>
      </c>
      <c r="BL2337" s="105">
        <f>IF($AZ$2231&gt;0,PPMT('Assumptions (Petroleum)'!$V$6,Model!AI$1,'Assumptions (Petroleum)'!$V$9,'Assumptions (Petroleum)'!$V$4*Model!$AZ$2231*AVERAGE('Assumptions (Petroleum)'!$AV$2:$AX$2)/10^9),0)</f>
        <v>0</v>
      </c>
      <c r="BM2337" s="105">
        <f>IF($AZ$2231&gt;0,PPMT('Assumptions (Petroleum)'!$V$6,Model!AJ$1,'Assumptions (Petroleum)'!$V$9,'Assumptions (Petroleum)'!$V$4*Model!$AZ$2231*AVERAGE('Assumptions (Petroleum)'!$AV$2:$AX$2)/10^9),0)</f>
        <v>0</v>
      </c>
      <c r="BN2337" s="105">
        <f>IF($AZ$2231&gt;0,PPMT('Assumptions (Petroleum)'!$V$6,Model!AK$1,'Assumptions (Petroleum)'!$V$9,'Assumptions (Petroleum)'!$V$4*Model!$AZ$2231*AVERAGE('Assumptions (Petroleum)'!$AV$2:$AX$2)/10^9),0)</f>
        <v>0</v>
      </c>
      <c r="BO2337" s="105">
        <f>IF($AZ$2231&gt;0,PPMT('Assumptions (Petroleum)'!$V$6,Model!AL$1,'Assumptions (Petroleum)'!$V$9,'Assumptions (Petroleum)'!$V$4*Model!$AZ$2231*AVERAGE('Assumptions (Petroleum)'!$AV$2:$AX$2)/10^9),0)</f>
        <v>0</v>
      </c>
      <c r="BP2337" s="105"/>
    </row>
    <row r="2338" spans="1:68" ht="15.75" hidden="1" customHeight="1" outlineLevel="1">
      <c r="A2338" s="447"/>
      <c r="B2338" s="99"/>
      <c r="C2338" s="99"/>
      <c r="D2338" s="99"/>
      <c r="E2338" s="99"/>
      <c r="F2338" s="99"/>
      <c r="G2338" s="99"/>
      <c r="H2338" s="99"/>
      <c r="I2338" s="99"/>
      <c r="J2338" s="99"/>
      <c r="K2338" s="99"/>
      <c r="L2338" s="99"/>
      <c r="M2338" s="99"/>
      <c r="N2338" s="99"/>
      <c r="O2338" s="99"/>
      <c r="P2338" s="99"/>
      <c r="Q2338" s="99"/>
      <c r="R2338" s="99"/>
      <c r="S2338" s="99"/>
      <c r="T2338" s="99"/>
      <c r="U2338" s="99"/>
      <c r="V2338" s="99"/>
      <c r="W2338" s="105"/>
      <c r="X2338" s="105"/>
      <c r="Y2338" s="105"/>
      <c r="Z2338" s="105"/>
      <c r="AA2338" s="105"/>
      <c r="AB2338" s="105"/>
      <c r="AC2338" s="105"/>
      <c r="AD2338" s="105"/>
      <c r="AE2338" s="105"/>
      <c r="AF2338" s="105"/>
      <c r="AG2338" s="105"/>
      <c r="AH2338" s="105"/>
      <c r="AI2338" s="105"/>
      <c r="AJ2338" s="171"/>
      <c r="AK2338" s="105"/>
      <c r="AL2338" s="91"/>
      <c r="AM2338" s="91"/>
      <c r="AN2338" s="91"/>
      <c r="AO2338" s="105"/>
      <c r="AP2338" s="105"/>
      <c r="AQ2338" s="105"/>
      <c r="AR2338" s="105"/>
      <c r="AS2338" s="105"/>
      <c r="AT2338" s="105"/>
      <c r="AU2338" s="105"/>
      <c r="AV2338" s="105"/>
      <c r="AW2338" s="105"/>
      <c r="AX2338" s="105"/>
      <c r="AY2338" s="105"/>
      <c r="AZ2338" s="105"/>
      <c r="BA2338" s="105">
        <f>IF($BA$2231&gt;0,PPMT('Assumptions (Petroleum)'!$V$6,Model!W$1,'Assumptions (Petroleum)'!$V$9,'Assumptions (Petroleum)'!$V$4*Model!$BA$2231*AVERAGE('Assumptions (Petroleum)'!$AW$2:$AY$2)/10^9),0)</f>
        <v>0</v>
      </c>
      <c r="BB2338" s="105">
        <f>IF($BA$2231&gt;0,PPMT('Assumptions (Petroleum)'!$V$6,Model!X$1,'Assumptions (Petroleum)'!$V$9,'Assumptions (Petroleum)'!$V$4*Model!$BA$2231*AVERAGE('Assumptions (Petroleum)'!$AW$2:$AY$2)/10^9),0)</f>
        <v>0</v>
      </c>
      <c r="BC2338" s="105">
        <f>IF($BA$2231&gt;0,PPMT('Assumptions (Petroleum)'!$V$6,Model!Y$1,'Assumptions (Petroleum)'!$V$9,'Assumptions (Petroleum)'!$V$4*Model!$BA$2231*AVERAGE('Assumptions (Petroleum)'!$AW$2:$AY$2)/10^9),0)</f>
        <v>0</v>
      </c>
      <c r="BD2338" s="105">
        <f>IF($BA$2231&gt;0,PPMT('Assumptions (Petroleum)'!$V$6,Model!Z$1,'Assumptions (Petroleum)'!$V$9,'Assumptions (Petroleum)'!$V$4*Model!$BA$2231*AVERAGE('Assumptions (Petroleum)'!$AW$2:$AY$2)/10^9),0)</f>
        <v>0</v>
      </c>
      <c r="BE2338" s="105">
        <f>IF($BA$2231&gt;0,PPMT('Assumptions (Petroleum)'!$V$6,Model!AA$1,'Assumptions (Petroleum)'!$V$9,'Assumptions (Petroleum)'!$V$4*Model!$BA$2231*AVERAGE('Assumptions (Petroleum)'!$AW$2:$AY$2)/10^9),0)</f>
        <v>0</v>
      </c>
      <c r="BF2338" s="105">
        <f>IF($BA$2231&gt;0,PPMT('Assumptions (Petroleum)'!$V$6,Model!AB$1,'Assumptions (Petroleum)'!$V$9,'Assumptions (Petroleum)'!$V$4*Model!$BA$2231*AVERAGE('Assumptions (Petroleum)'!$AW$2:$AY$2)/10^9),0)</f>
        <v>0</v>
      </c>
      <c r="BG2338" s="105">
        <f>IF($BA$2231&gt;0,PPMT('Assumptions (Petroleum)'!$V$6,Model!AC$1,'Assumptions (Petroleum)'!$V$9,'Assumptions (Petroleum)'!$V$4*Model!$BA$2231*AVERAGE('Assumptions (Petroleum)'!$AW$2:$AY$2)/10^9),0)</f>
        <v>0</v>
      </c>
      <c r="BH2338" s="105">
        <f>IF($BA$2231&gt;0,PPMT('Assumptions (Petroleum)'!$V$6,Model!AD$1,'Assumptions (Petroleum)'!$V$9,'Assumptions (Petroleum)'!$V$4*Model!$BA$2231*AVERAGE('Assumptions (Petroleum)'!$AW$2:$AY$2)/10^9),0)</f>
        <v>0</v>
      </c>
      <c r="BI2338" s="105">
        <f>IF($BA$2231&gt;0,PPMT('Assumptions (Petroleum)'!$V$6,Model!AE$1,'Assumptions (Petroleum)'!$V$9,'Assumptions (Petroleum)'!$V$4*Model!$BA$2231*AVERAGE('Assumptions (Petroleum)'!$AW$2:$AY$2)/10^9),0)</f>
        <v>0</v>
      </c>
      <c r="BJ2338" s="105">
        <f>IF($BA$2231&gt;0,PPMT('Assumptions (Petroleum)'!$V$6,Model!AF$1,'Assumptions (Petroleum)'!$V$9,'Assumptions (Petroleum)'!$V$4*Model!$BA$2231*AVERAGE('Assumptions (Petroleum)'!$AW$2:$AY$2)/10^9),0)</f>
        <v>0</v>
      </c>
      <c r="BK2338" s="105">
        <f>IF($BA$2231&gt;0,PPMT('Assumptions (Petroleum)'!$V$6,Model!AG$1,'Assumptions (Petroleum)'!$V$9,'Assumptions (Petroleum)'!$V$4*Model!$BA$2231*AVERAGE('Assumptions (Petroleum)'!$AW$2:$AY$2)/10^9),0)</f>
        <v>0</v>
      </c>
      <c r="BL2338" s="105">
        <f>IF($BA$2231&gt;0,PPMT('Assumptions (Petroleum)'!$V$6,Model!AH$1,'Assumptions (Petroleum)'!$V$9,'Assumptions (Petroleum)'!$V$4*Model!$BA$2231*AVERAGE('Assumptions (Petroleum)'!$AW$2:$AY$2)/10^9),0)</f>
        <v>0</v>
      </c>
      <c r="BM2338" s="105">
        <f>IF($BA$2231&gt;0,PPMT('Assumptions (Petroleum)'!$V$6,Model!AI$1,'Assumptions (Petroleum)'!$V$9,'Assumptions (Petroleum)'!$V$4*Model!$BA$2231*AVERAGE('Assumptions (Petroleum)'!$AW$2:$AY$2)/10^9),0)</f>
        <v>0</v>
      </c>
      <c r="BN2338" s="105">
        <f>IF($BA$2231&gt;0,PPMT('Assumptions (Petroleum)'!$V$6,Model!AJ$1,'Assumptions (Petroleum)'!$V$9,'Assumptions (Petroleum)'!$V$4*Model!$BA$2231*AVERAGE('Assumptions (Petroleum)'!$AW$2:$AY$2)/10^9),0)</f>
        <v>0</v>
      </c>
      <c r="BO2338" s="105">
        <f>IF($BA$2231&gt;0,PPMT('Assumptions (Petroleum)'!$V$6,Model!AK$1,'Assumptions (Petroleum)'!$V$9,'Assumptions (Petroleum)'!$V$4*Model!$BA$2231*AVERAGE('Assumptions (Petroleum)'!$AW$2:$AY$2)/10^9),0)</f>
        <v>0</v>
      </c>
      <c r="BP2338" s="105"/>
    </row>
    <row r="2339" spans="1:68" ht="15.75" customHeight="1" collapsed="1">
      <c r="A2339" s="449" t="s">
        <v>709</v>
      </c>
      <c r="B2339" s="99" t="s">
        <v>201</v>
      </c>
      <c r="C2339" s="91">
        <f t="array" ref="C2339">SUM(IF(ISERROR(C2340:C2390),"",C2340:C2390))</f>
        <v>-9.6357039547640654E-3</v>
      </c>
      <c r="D2339" s="91">
        <f t="array" ref="D2339">SUM(IF(ISERROR(D2340:D2390),"",D2340:D2390))</f>
        <v>-1.8746711577747995E-2</v>
      </c>
      <c r="E2339" s="91">
        <f t="array" ref="E2339">SUM(IF(ISERROR(E2340:E2390),"",E2340:E2390))</f>
        <v>-2.4752179750638509E-2</v>
      </c>
      <c r="F2339" s="91">
        <f t="array" ref="F2339">SUM(IF(ISERROR(F2340:F2390),"",F2340:F2390))</f>
        <v>-2.8472847840932854E-2</v>
      </c>
      <c r="G2339" s="91">
        <f t="array" ref="G2339">SUM(IF(ISERROR(G2340:G2390),"",G2340:G2390))</f>
        <v>-3.0962297747840178E-2</v>
      </c>
      <c r="H2339" s="91">
        <f t="array" ref="H2339">SUM(IF(ISERROR(H2340:H2390),"",H2340:H2390))</f>
        <v>-3.1441449986858147E-2</v>
      </c>
      <c r="I2339" s="91">
        <f t="array" ref="I2339">SUM(IF(ISERROR(I2340:I2390),"",I2340:I2390))</f>
        <v>-3.281195701726268E-2</v>
      </c>
      <c r="J2339" s="91">
        <f t="array" ref="J2339">SUM(IF(ISERROR(J2340:J2390),"",J2340:J2390))</f>
        <v>-3.5465235040518746E-2</v>
      </c>
      <c r="K2339" s="91">
        <f t="array" ref="K2339">SUM(IF(ISERROR(K2340:K2390),"",K2340:K2390))</f>
        <v>-3.4609734074072342E-2</v>
      </c>
      <c r="L2339" s="91">
        <f t="array" ref="L2339">SUM(IF(ISERROR(L2340:L2390),"",L2340:L2390))</f>
        <v>-3.3168802194469937E-2</v>
      </c>
      <c r="M2339" s="91">
        <f t="array" ref="M2339">SUM(IF(ISERROR(M2340:M2390),"",M2340:M2390))</f>
        <v>-5.0176671275494439E-2</v>
      </c>
      <c r="N2339" s="91">
        <f t="array" ref="N2339">SUM(IF(ISERROR(N2340:N2390),"",N2340:N2390))</f>
        <v>-5.3593512747866598E-2</v>
      </c>
      <c r="O2339" s="91">
        <f t="array" ref="O2339">SUM(IF(ISERROR(O2340:O2390),"",O2340:O2390))</f>
        <v>-5.3203751664447657E-2</v>
      </c>
      <c r="P2339" s="91">
        <f t="array" ref="P2339">SUM(IF(ISERROR(P2340:P2390),"",P2340:P2390))</f>
        <v>-4.9373698583703565E-2</v>
      </c>
      <c r="Q2339" s="91">
        <f t="array" ref="Q2339">SUM(IF(ISERROR(Q2340:Q2390),"",Q2340:Q2390))</f>
        <v>-4.5062804061199953E-2</v>
      </c>
      <c r="R2339" s="91">
        <f t="array" ref="R2339">SUM(IF(ISERROR(R2340:R2390),"",R2340:R2390))</f>
        <v>-4.0724922939188342E-2</v>
      </c>
      <c r="S2339" s="91">
        <f t="array" ref="S2339">SUM(IF(ISERROR(S2340:S2390),"",S2340:S2390))</f>
        <v>-3.633804143075945E-2</v>
      </c>
      <c r="T2339" s="91">
        <f t="array" ref="T2339">SUM(IF(ISERROR(T2340:T2390),"",T2340:T2390))</f>
        <v>-3.30444281531777E-2</v>
      </c>
      <c r="U2339" s="91">
        <f t="array" ref="U2339">SUM(IF(ISERROR(U2340:U2390),"",U2340:U2390))</f>
        <v>-2.9335116652616487E-2</v>
      </c>
      <c r="V2339" s="91">
        <f t="array" ref="V2339">SUM(IF(ISERROR(V2340:V2390),"",V2340:V2390))</f>
        <v>-2.5856345304282734E-2</v>
      </c>
      <c r="W2339" s="91">
        <f t="array" ref="W2339">SUM(IF(ISERROR(W2340:W2390),"",W2340:W2390))</f>
        <v>-2.2036509435299917E-2</v>
      </c>
      <c r="X2339" s="91">
        <f t="array" ref="X2339">SUM(IF(ISERROR(X2340:X2390),"",X2340:X2390))</f>
        <v>-1.8257524052990862E-2</v>
      </c>
      <c r="Y2339" s="91">
        <f t="array" ref="Y2339">SUM(IF(ISERROR(Y2340:Y2390),"",Y2340:Y2390))</f>
        <v>-1.4624659680713322E-2</v>
      </c>
      <c r="Z2339" s="91">
        <f t="array" ref="Z2339">SUM(IF(ISERROR(Z2340:Z2390),"",Z2340:Z2390))</f>
        <v>-1.129103969348806E-2</v>
      </c>
      <c r="AA2339" s="91">
        <f t="array" ref="AA2339">SUM(IF(ISERROR(AA2340:AA2390),"",AA2340:AA2390))</f>
        <v>-7.9712748486077106E-3</v>
      </c>
      <c r="AB2339" s="91">
        <f t="array" ref="AB2339">SUM(IF(ISERROR(AB2340:AB2390),"",AB2340:AB2390))</f>
        <v>-4.630730878644183E-3</v>
      </c>
      <c r="AC2339" s="91">
        <f t="array" ref="AC2339">SUM(IF(ISERROR(AC2340:AC2390),"",AC2340:AC2390))</f>
        <v>-3.0353634915976295E-3</v>
      </c>
      <c r="AD2339" s="91">
        <f t="array" ref="AD2339">SUM(IF(ISERROR(AD2340:AD2390),"",AD2340:AD2390))</f>
        <v>-2.0845233623399033E-3</v>
      </c>
      <c r="AE2339" s="91">
        <f t="array" ref="AE2339">SUM(IF(ISERROR(AE2340:AE2390),"",AE2340:AE2390))</f>
        <v>-1.5011149019426662E-3</v>
      </c>
      <c r="AF2339" s="91">
        <f t="array" ref="AF2339">SUM(IF(ISERROR(AF2340:AF2390),"",AF2340:AF2390))</f>
        <v>-1.0175580036921818E-3</v>
      </c>
      <c r="AG2339" s="91">
        <f t="array" ref="AG2339">SUM(IF(ISERROR(AG2340:AG2390),"",AG2340:AG2390))</f>
        <v>-6.2236510717758207E-4</v>
      </c>
      <c r="AH2339" s="91">
        <f t="array" ref="AH2339">SUM(IF(ISERROR(AH2340:AH2390),"",AH2340:AH2390))</f>
        <v>-3.471186938264931E-4</v>
      </c>
      <c r="AI2339" s="91">
        <f t="array" ref="AI2339">SUM(IF(ISERROR(AI2340:AI2390),"",AI2340:AI2390))</f>
        <v>-1.3907918308590894E-4</v>
      </c>
      <c r="AJ2339" s="91">
        <f t="array" ref="AJ2339">SUM(IF(ISERROR(AJ2340:AJ2390),"",AJ2340:AJ2390))</f>
        <v>-4.650932855100665E-5</v>
      </c>
      <c r="AK2339" s="91">
        <f t="array" ref="AK2339">SUM(IF(ISERROR(AK2340:AK2390),"",AK2340:AK2390))</f>
        <v>0</v>
      </c>
      <c r="AL2339" s="91">
        <f t="array" ref="AL2339">SUM(IF(ISERROR(AL2340:AL2390),"",AL2340:AL2390))</f>
        <v>0</v>
      </c>
      <c r="AM2339" s="91">
        <f t="array" ref="AM2339">SUM(IF(ISERROR(AM2340:AM2390),"",AM2340:AM2390))</f>
        <v>0</v>
      </c>
      <c r="AN2339" s="91">
        <f t="array" ref="AN2339">SUM(IF(ISERROR(AN2340:AN2390),"",AN2340:AN2390))</f>
        <v>0</v>
      </c>
      <c r="AO2339" s="91">
        <f t="array" ref="AO2339">SUM(IF(ISERROR(AO2340:AO2390),"",AO2340:AO2390))</f>
        <v>0</v>
      </c>
      <c r="AP2339" s="91">
        <f t="array" ref="AP2339">SUM(IF(ISERROR(AP2340:AP2390),"",AP2340:AP2390))</f>
        <v>0</v>
      </c>
      <c r="AQ2339" s="91">
        <f t="array" ref="AQ2339">SUM(IF(ISERROR(AQ2340:AQ2390),"",AQ2340:AQ2390))</f>
        <v>0</v>
      </c>
      <c r="AR2339" s="91">
        <f t="array" ref="AR2339">SUM(IF(ISERROR(AR2340:AR2390),"",AR2340:AR2390))</f>
        <v>0</v>
      </c>
      <c r="AS2339" s="91">
        <f t="array" ref="AS2339">SUM(IF(ISERROR(AS2340:AS2390),"",AS2340:AS2390))</f>
        <v>0</v>
      </c>
      <c r="AT2339" s="91">
        <f t="array" ref="AT2339">SUM(IF(ISERROR(AT2340:AT2390),"",AT2340:AT2390))</f>
        <v>0</v>
      </c>
      <c r="AU2339" s="91">
        <f t="array" ref="AU2339">SUM(IF(ISERROR(AU2340:AU2390),"",AU2340:AU2390))</f>
        <v>0</v>
      </c>
      <c r="AV2339" s="91">
        <f t="array" ref="AV2339">SUM(IF(ISERROR(AV2340:AV2390),"",AV2340:AV2390))</f>
        <v>0</v>
      </c>
      <c r="AW2339" s="91">
        <f t="array" ref="AW2339">SUM(IF(ISERROR(AW2340:AW2390),"",AW2340:AW2390))</f>
        <v>0</v>
      </c>
      <c r="AX2339" s="91">
        <f t="array" ref="AX2339">SUM(IF(ISERROR(AX2340:AX2390),"",AX2340:AX2390))</f>
        <v>0</v>
      </c>
      <c r="AY2339" s="91">
        <f t="array" ref="AY2339">SUM(IF(ISERROR(AY2340:AY2390),"",AY2340:AY2390))</f>
        <v>0</v>
      </c>
      <c r="AZ2339" s="91">
        <f t="array" ref="AZ2339">SUM(IF(ISERROR(AZ2340:AZ2390),"",AZ2340:AZ2390))</f>
        <v>0</v>
      </c>
      <c r="BA2339" s="91">
        <f t="array" ref="BA2339">SUM(IF(ISERROR(BA2340:BA2390),"",BA2340:BA2390))</f>
        <v>0</v>
      </c>
      <c r="BB2339" s="91">
        <f t="array" ref="BB2339">SUM(IF(ISERROR(BB2340:BB2390),"",BB2340:BB2390))</f>
        <v>0</v>
      </c>
      <c r="BC2339" s="91">
        <f t="array" ref="BC2339">SUM(IF(ISERROR(BC2340:BC2390),"",BC2340:BC2390))</f>
        <v>0</v>
      </c>
      <c r="BD2339" s="91">
        <f t="array" ref="BD2339">SUM(IF(ISERROR(BD2340:BD2390),"",BD2340:BD2390))</f>
        <v>0</v>
      </c>
      <c r="BE2339" s="91">
        <f t="array" ref="BE2339">SUM(IF(ISERROR(BE2340:BE2390),"",BE2340:BE2390))</f>
        <v>0</v>
      </c>
      <c r="BF2339" s="91">
        <f t="array" ref="BF2339">SUM(IF(ISERROR(BF2340:BF2390),"",BF2340:BF2390))</f>
        <v>0</v>
      </c>
      <c r="BG2339" s="91">
        <f t="array" ref="BG2339">SUM(IF(ISERROR(BG2340:BG2390),"",BG2340:BG2390))</f>
        <v>0</v>
      </c>
      <c r="BH2339" s="91">
        <f t="array" ref="BH2339">SUM(IF(ISERROR(BH2340:BH2390),"",BH2340:BH2390))</f>
        <v>0</v>
      </c>
      <c r="BI2339" s="91">
        <f t="array" ref="BI2339">SUM(IF(ISERROR(BI2340:BI2390),"",BI2340:BI2390))</f>
        <v>0</v>
      </c>
      <c r="BJ2339" s="91">
        <f t="array" ref="BJ2339">SUM(IF(ISERROR(BJ2340:BJ2390),"",BJ2340:BJ2390))</f>
        <v>0</v>
      </c>
      <c r="BK2339" s="91">
        <f t="array" ref="BK2339">SUM(IF(ISERROR(BK2340:BK2390),"",BK2340:BK2390))</f>
        <v>0</v>
      </c>
      <c r="BL2339" s="91">
        <f t="array" ref="BL2339">SUM(IF(ISERROR(BL2340:BL2390),"",BL2340:BL2390))</f>
        <v>0</v>
      </c>
      <c r="BM2339" s="91">
        <f t="array" ref="BM2339">SUM(IF(ISERROR(BM2340:BM2390),"",BM2340:BM2390))</f>
        <v>0</v>
      </c>
      <c r="BN2339" s="91">
        <f t="array" ref="BN2339">SUM(IF(ISERROR(BN2340:BN2390),"",BN2340:BN2390))</f>
        <v>0</v>
      </c>
      <c r="BO2339" s="91">
        <f t="array" ref="BO2339">SUM(IF(ISERROR(BO2340:BO2390),"",BO2340:BO2390))</f>
        <v>0</v>
      </c>
    </row>
    <row r="2340" spans="1:68" ht="15.75" hidden="1" customHeight="1" outlineLevel="1">
      <c r="A2340" s="447"/>
      <c r="B2340" s="99"/>
      <c r="C2340" s="91">
        <f>IF($C$2231&gt;0,IPMT('Assumptions (Petroleum)'!$V$6,Model!W$1,'Assumptions (Petroleum)'!$V$9,'Assumptions (Petroleum)'!$V$4*Model!$C$2231*'Assumptions (Petroleum)'!$B$2/10^9),0)</f>
        <v>-9.6357039547640654E-3</v>
      </c>
      <c r="D2340" s="91">
        <f>IF($C$2231&gt;0,IPMT('Assumptions (Petroleum)'!$V$6,Model!X$1,'Assumptions (Petroleum)'!$V$9,'Assumptions (Petroleum)'!$V$4*Model!$C$2231*'Assumptions (Petroleum)'!$B$2/10^9),0)</f>
        <v>-9.1806950831728046E-3</v>
      </c>
      <c r="E2340" s="91">
        <f>IF($C$2231&gt;0,IPMT('Assumptions (Petroleum)'!$V$6,Model!Y$1,'Assumptions (Petroleum)'!$V$9,'Assumptions (Petroleum)'!$V$4*Model!$C$2231*'Assumptions (Petroleum)'!$B$2/10^9),0)</f>
        <v>-8.7040732901809571E-3</v>
      </c>
      <c r="F2340" s="91">
        <f>IF($C$2231&gt;0,IPMT('Assumptions (Petroleum)'!$V$6,Model!Z$1,'Assumptions (Petroleum)'!$V$9,'Assumptions (Petroleum)'!$V$4*Model!$C$2231*'Assumptions (Petroleum)'!$B$2/10^9),0)</f>
        <v>-8.2048119620220013E-3</v>
      </c>
      <c r="G2340" s="91">
        <f>IF($C$2231&gt;0,IPMT('Assumptions (Petroleum)'!$V$6,Model!AA$1,'Assumptions (Petroleum)'!$V$9,'Assumptions (Petroleum)'!$V$4*Model!$C$2231*'Assumptions (Petroleum)'!$B$2/10^9),0)</f>
        <v>-7.6818357207754937E-3</v>
      </c>
      <c r="H2340" s="91">
        <f>IF($C$2231&gt;0,IPMT('Assumptions (Petroleum)'!$V$6,Model!AB$1,'Assumptions (Petroleum)'!$V$9,'Assumptions (Petroleum)'!$V$4*Model!$C$2231*'Assumptions (Petroleum)'!$B$2/10^9),0)</f>
        <v>-7.134018108069776E-3</v>
      </c>
      <c r="I2340" s="91">
        <f>IF($C$2231&gt;0,IPMT('Assumptions (Petroleum)'!$V$6,Model!AC$1,'Assumptions (Petroleum)'!$V$9,'Assumptions (Petroleum)'!$V$4*Model!$C$2231*'Assumptions (Petroleum)'!$B$2/10^9),0)</f>
        <v>-6.560179158760537E-3</v>
      </c>
      <c r="J2340" s="91">
        <f>IF($C$2231&gt;0,IPMT('Assumptions (Petroleum)'!$V$6,Model!AD$1,'Assumptions (Petroleum)'!$V$9,'Assumptions (Petroleum)'!$V$4*Model!$C$2231*'Assumptions (Petroleum)'!$B$2/10^9),0)</f>
        <v>-5.95908285935911E-3</v>
      </c>
      <c r="K2340" s="91">
        <f>IF($C$2231&gt;0,IPMT('Assumptions (Petroleum)'!$V$6,Model!AE$1,'Assumptions (Petroleum)'!$V$9,'Assumptions (Petroleum)'!$V$4*Model!$C$2231*'Assumptions (Petroleum)'!$B$2/10^9),0)</f>
        <v>-5.3294344857361146E-3</v>
      </c>
      <c r="L2340" s="91">
        <f>IF($C$2231&gt;0,IPMT('Assumptions (Petroleum)'!$V$6,Model!AF$1,'Assumptions (Petroleum)'!$V$9,'Assumptions (Petroleum)'!$V$4*Model!$C$2231*'Assumptions (Petroleum)'!$B$2/10^9),0)</f>
        <v>-4.6698778143660271E-3</v>
      </c>
      <c r="M2340" s="91">
        <f>IF($C$2231&gt;0,IPMT('Assumptions (Petroleum)'!$V$6,Model!AG$1,'Assumptions (Petroleum)'!$V$9,'Assumptions (Petroleum)'!$V$4*Model!$C$2231*'Assumptions (Petroleum)'!$B$2/10^9),0)</f>
        <v>-3.9789922011058609E-3</v>
      </c>
      <c r="N2340" s="91">
        <f>IF($C$2231&gt;0,IPMT('Assumptions (Petroleum)'!$V$6,Model!AH$1,'Assumptions (Petroleum)'!$V$9,'Assumptions (Petroleum)'!$V$4*Model!$C$2231*'Assumptions (Petroleum)'!$B$2/10^9),0)</f>
        <v>-3.2552895212158363E-3</v>
      </c>
      <c r="O2340" s="91">
        <f>IF($C$2231&gt;0,IPMT('Assumptions (Petroleum)'!$V$6,Model!AI$1,'Assumptions (Petroleum)'!$V$9,'Assumptions (Petroleum)'!$V$4*Model!$C$2231*'Assumptions (Petroleum)'!$B$2/10^9),0)</f>
        <v>-2.4972109640310348E-3</v>
      </c>
      <c r="P2340" s="91">
        <f>IF($C$2231&gt;0,IPMT('Assumptions (Petroleum)'!$V$6,Model!AJ$1,'Assumptions (Petroleum)'!$V$9,'Assumptions (Petroleum)'!$V$4*Model!$C$2231*'Assumptions (Petroleum)'!$B$2/10^9),0)</f>
        <v>-1.7031236753799559E-3</v>
      </c>
      <c r="Q2340" s="91">
        <f>IF($C$2231&gt;0,IPMT('Assumptions (Petroleum)'!$V$6,Model!AK$1,'Assumptions (Petroleum)'!$V$9,'Assumptions (Petroleum)'!$V$4*Model!$C$2231*'Assumptions (Petroleum)'!$B$2/10^9),0)</f>
        <v>-8.7131724051795032E-4</v>
      </c>
      <c r="R2340" s="91" t="e">
        <f>IF($C$2231&gt;0,IPMT('Assumptions (Petroleum)'!$V$6,Model!AL$1,'Assumptions (Petroleum)'!$V$9,'Assumptions (Petroleum)'!$V$4*Model!$C$2231*'Assumptions (Petroleum)'!$B$2/10^9),0)</f>
        <v>#NUM!</v>
      </c>
      <c r="S2340" s="91" t="e">
        <f>IF($C$2231&gt;0,IPMT('Assumptions (Petroleum)'!$V$6,Model!AM$1,'Assumptions (Petroleum)'!$V$9,'Assumptions (Petroleum)'!$V$4*Model!$C$2231*'Assumptions (Petroleum)'!$B$2/10^9),0)</f>
        <v>#NUM!</v>
      </c>
      <c r="T2340" s="91" t="e">
        <f>IF($C$2231&gt;0,IPMT('Assumptions (Petroleum)'!$V$6,Model!AN$1,'Assumptions (Petroleum)'!$V$9,'Assumptions (Petroleum)'!$V$4*Model!$C$2231*'Assumptions (Petroleum)'!$B$2/10^9),0)</f>
        <v>#NUM!</v>
      </c>
      <c r="U2340" s="91" t="e">
        <f>IF($C$2231&gt;0,IPMT('Assumptions (Petroleum)'!$V$6,Model!AO$1,'Assumptions (Petroleum)'!$V$9,'Assumptions (Petroleum)'!$V$4*Model!$C$2231*'Assumptions (Petroleum)'!$B$2/10^9),0)</f>
        <v>#NUM!</v>
      </c>
      <c r="V2340" s="91" t="e">
        <f>IF($C$2231&gt;0,IPMT('Assumptions (Petroleum)'!$V$6,Model!AP$1,'Assumptions (Petroleum)'!$V$9,'Assumptions (Petroleum)'!$V$4*Model!$C$2231*'Assumptions (Petroleum)'!$B$2/10^9),0)</f>
        <v>#NUM!</v>
      </c>
      <c r="W2340" s="91" t="e">
        <f>IF($C$2231&gt;0,IPMT('Assumptions (Petroleum)'!$V$6,Model!AQ$1,'Assumptions (Petroleum)'!$V$9,'Assumptions (Petroleum)'!$V$4*Model!$C$2231*'Assumptions (Petroleum)'!$B$2/10^9),0)</f>
        <v>#NUM!</v>
      </c>
      <c r="X2340" s="91" t="e">
        <f>IF($C$2231&gt;0,IPMT('Assumptions (Petroleum)'!$V$6,Model!AR$1,'Assumptions (Petroleum)'!$V$9,'Assumptions (Petroleum)'!$V$4*Model!$C$2231*'Assumptions (Petroleum)'!$B$2/10^9),0)</f>
        <v>#NUM!</v>
      </c>
      <c r="Y2340" s="91" t="e">
        <f>IF($C$2231&gt;0,IPMT('Assumptions (Petroleum)'!$V$6,Model!AS$1,'Assumptions (Petroleum)'!$V$9,'Assumptions (Petroleum)'!$V$4*Model!$C$2231*'Assumptions (Petroleum)'!$B$2/10^9),0)</f>
        <v>#NUM!</v>
      </c>
      <c r="Z2340" s="91" t="e">
        <f>IF($C$2231&gt;0,IPMT('Assumptions (Petroleum)'!$V$6,Model!AT$1,'Assumptions (Petroleum)'!$V$9,'Assumptions (Petroleum)'!$V$4*Model!$C$2231*'Assumptions (Petroleum)'!$B$2/10^9),0)</f>
        <v>#NUM!</v>
      </c>
      <c r="AA2340" s="91" t="e">
        <f>IF($C$2231&gt;0,IPMT('Assumptions (Petroleum)'!$V$6,Model!AU$1,'Assumptions (Petroleum)'!$V$9,'Assumptions (Petroleum)'!$V$4*Model!$C$2231*'Assumptions (Petroleum)'!$B$2/10^9),0)</f>
        <v>#NUM!</v>
      </c>
      <c r="AB2340" s="105"/>
      <c r="AC2340" s="105"/>
      <c r="AD2340" s="105"/>
      <c r="AE2340" s="105"/>
      <c r="AF2340" s="105"/>
      <c r="AG2340" s="105"/>
    </row>
    <row r="2341" spans="1:68" ht="15.75" hidden="1" customHeight="1" outlineLevel="1">
      <c r="A2341" s="447"/>
      <c r="B2341" s="99"/>
      <c r="C2341" s="105"/>
      <c r="D2341" s="91">
        <f>IF($D$2231&gt;0,IPMT('Assumptions (Petroleum)'!$V$6,Model!W$1,'Assumptions (Petroleum)'!$V$9,'Assumptions (Petroleum)'!$V$4*Model!$D$2231*'Assumptions (Petroleum)'!$B$2/10^9),0)</f>
        <v>-9.5660164945751917E-3</v>
      </c>
      <c r="E2341" s="91">
        <f>IF($D$2231&gt;0,IPMT('Assumptions (Petroleum)'!$V$6,Model!X$1,'Assumptions (Petroleum)'!$V$9,'Assumptions (Petroleum)'!$V$4*Model!$D$2231*'Assumptions (Petroleum)'!$B$2/10^9),0)</f>
        <v>-9.1142983439082611E-3</v>
      </c>
      <c r="F2341" s="91">
        <f>IF($D$2231&gt;0,IPMT('Assumptions (Petroleum)'!$V$6,Model!Y$1,'Assumptions (Petroleum)'!$V$9,'Assumptions (Petroleum)'!$V$4*Model!$D$2231*'Assumptions (Petroleum)'!$B$2/10^9),0)</f>
        <v>-8.6411235810846514E-3</v>
      </c>
      <c r="G2341" s="91">
        <f>IF($D$2231&gt;0,IPMT('Assumptions (Petroleum)'!$V$6,Model!Z$1,'Assumptions (Petroleum)'!$V$9,'Assumptions (Petroleum)'!$V$4*Model!$D$2231*'Assumptions (Petroleum)'!$B$2/10^9),0)</f>
        <v>-8.1454730170269236E-3</v>
      </c>
      <c r="H2341" s="91">
        <f>IF($D$2231&gt;0,IPMT('Assumptions (Petroleum)'!$V$6,Model!AA$1,'Assumptions (Petroleum)'!$V$9,'Assumptions (Petroleum)'!$V$4*Model!$D$2231*'Assumptions (Petroleum)'!$B$2/10^9),0)</f>
        <v>-7.6262790511764508E-3</v>
      </c>
      <c r="I2341" s="91">
        <f>IF($D$2231&gt;0,IPMT('Assumptions (Petroleum)'!$V$6,Model!AB$1,'Assumptions (Petroleum)'!$V$9,'Assumptions (Petroleum)'!$V$4*Model!$D$2231*'Assumptions (Petroleum)'!$B$2/10^9),0)</f>
        <v>-7.0824233719480817E-3</v>
      </c>
      <c r="J2341" s="91">
        <f>IF($D$2231&gt;0,IPMT('Assumptions (Petroleum)'!$V$6,Model!AC$1,'Assumptions (Petroleum)'!$V$9,'Assumptions (Petroleum)'!$V$4*Model!$D$2231*'Assumptions (Petroleum)'!$B$2/10^9),0)</f>
        <v>-6.5127345479563652E-3</v>
      </c>
      <c r="K2341" s="91">
        <f>IF($D$2231&gt;0,IPMT('Assumptions (Petroleum)'!$V$6,Model!AD$1,'Assumptions (Petroleum)'!$V$9,'Assumptions (Petroleum)'!$V$4*Model!$D$2231*'Assumptions (Petroleum)'!$B$2/10^9),0)</f>
        <v>-5.9159855048250424E-3</v>
      </c>
      <c r="L2341" s="91">
        <f>IF($D$2231&gt;0,IPMT('Assumptions (Petroleum)'!$V$6,Model!AE$1,'Assumptions (Petroleum)'!$V$9,'Assumptions (Petroleum)'!$V$4*Model!$D$2231*'Assumptions (Petroleum)'!$B$2/10^9),0)</f>
        <v>-5.2908908821449815E-3</v>
      </c>
      <c r="M2341" s="91">
        <f>IF($D$2231&gt;0,IPMT('Assumptions (Petroleum)'!$V$6,Model!AF$1,'Assumptions (Petroleum)'!$V$9,'Assumptions (Petroleum)'!$V$4*Model!$D$2231*'Assumptions (Petroleum)'!$B$2/10^9),0)</f>
        <v>-4.6361042648876173E-3</v>
      </c>
      <c r="N2341" s="91">
        <f>IF($D$2231&gt;0,IPMT('Assumptions (Petroleum)'!$V$6,Model!AG$1,'Assumptions (Petroleum)'!$V$9,'Assumptions (Petroleum)'!$V$4*Model!$D$2231*'Assumptions (Petroleum)'!$B$2/10^9),0)</f>
        <v>-3.9502152833105278E-3</v>
      </c>
      <c r="O2341" s="91">
        <f>IF($D$2231&gt;0,IPMT('Assumptions (Petroleum)'!$V$6,Model!AH$1,'Assumptions (Petroleum)'!$V$9,'Assumptions (Petroleum)'!$V$4*Model!$D$2231*'Assumptions (Petroleum)'!$B$2/10^9),0)</f>
        <v>-3.2317465751085278E-3</v>
      </c>
      <c r="P2341" s="91">
        <f>IF($D$2231&gt;0,IPMT('Assumptions (Petroleum)'!$V$6,Model!AI$1,'Assumptions (Petroleum)'!$V$9,'Assumptions (Petroleum)'!$V$4*Model!$D$2231*'Assumptions (Petroleum)'!$B$2/10^9),0)</f>
        <v>-2.4791506032669319E-3</v>
      </c>
      <c r="Q2341" s="91">
        <f>IF($D$2231&gt;0,IPMT('Assumptions (Petroleum)'!$V$6,Model!AJ$1,'Assumptions (Petroleum)'!$V$9,'Assumptions (Petroleum)'!$V$4*Model!$D$2231*'Assumptions (Petroleum)'!$B$2/10^9),0)</f>
        <v>-1.6908063227628605E-3</v>
      </c>
      <c r="R2341" s="91">
        <f>IF($D$2231&gt;0,IPMT('Assumptions (Petroleum)'!$V$6,Model!AK$1,'Assumptions (Petroleum)'!$V$9,'Assumptions (Petroleum)'!$V$4*Model!$D$2231*'Assumptions (Petroleum)'!$B$2/10^9),0)</f>
        <v>-8.6501568893484549E-4</v>
      </c>
      <c r="S2341" s="91" t="e">
        <f>IF($D$2231&gt;0,IPMT('Assumptions (Petroleum)'!$V$6,Model!AL$1,'Assumptions (Petroleum)'!$V$9,'Assumptions (Petroleum)'!$V$4*Model!$D$2231*'Assumptions (Petroleum)'!$B$2/10^9),0)</f>
        <v>#NUM!</v>
      </c>
      <c r="T2341" s="91" t="e">
        <f>IF($D$2231&gt;0,IPMT('Assumptions (Petroleum)'!$V$6,Model!AM$1,'Assumptions (Petroleum)'!$V$9,'Assumptions (Petroleum)'!$V$4*Model!$D$2231*'Assumptions (Petroleum)'!$B$2/10^9),0)</f>
        <v>#NUM!</v>
      </c>
      <c r="U2341" s="91" t="e">
        <f>IF($D$2231&gt;0,IPMT('Assumptions (Petroleum)'!$V$6,Model!AN$1,'Assumptions (Petroleum)'!$V$9,'Assumptions (Petroleum)'!$V$4*Model!$D$2231*'Assumptions (Petroleum)'!$B$2/10^9),0)</f>
        <v>#NUM!</v>
      </c>
      <c r="V2341" s="91" t="e">
        <f>IF($D$2231&gt;0,IPMT('Assumptions (Petroleum)'!$V$6,Model!AO$1,'Assumptions (Petroleum)'!$V$9,'Assumptions (Petroleum)'!$V$4*Model!$D$2231*'Assumptions (Petroleum)'!$B$2/10^9),0)</f>
        <v>#NUM!</v>
      </c>
      <c r="W2341" s="91" t="e">
        <f>IF($D$2231&gt;0,IPMT('Assumptions (Petroleum)'!$V$6,Model!AP$1,'Assumptions (Petroleum)'!$V$9,'Assumptions (Petroleum)'!$V$4*Model!$D$2231*'Assumptions (Petroleum)'!$B$2/10^9),0)</f>
        <v>#NUM!</v>
      </c>
      <c r="X2341" s="91" t="e">
        <f>IF($D$2231&gt;0,IPMT('Assumptions (Petroleum)'!$V$6,Model!AQ$1,'Assumptions (Petroleum)'!$V$9,'Assumptions (Petroleum)'!$V$4*Model!$D$2231*'Assumptions (Petroleum)'!$B$2/10^9),0)</f>
        <v>#NUM!</v>
      </c>
      <c r="Y2341" s="91" t="e">
        <f>IF($D$2231&gt;0,IPMT('Assumptions (Petroleum)'!$V$6,Model!AR$1,'Assumptions (Petroleum)'!$V$9,'Assumptions (Petroleum)'!$V$4*Model!$D$2231*'Assumptions (Petroleum)'!$B$2/10^9),0)</f>
        <v>#NUM!</v>
      </c>
      <c r="Z2341" s="91" t="e">
        <f>IF($D$2231&gt;0,IPMT('Assumptions (Petroleum)'!$V$6,Model!AS$1,'Assumptions (Petroleum)'!$V$9,'Assumptions (Petroleum)'!$V$4*Model!$D$2231*'Assumptions (Petroleum)'!$B$2/10^9),0)</f>
        <v>#NUM!</v>
      </c>
      <c r="AA2341" s="91" t="e">
        <f>IF($D$2231&gt;0,IPMT('Assumptions (Petroleum)'!$V$6,Model!AT$1,'Assumptions (Petroleum)'!$V$9,'Assumptions (Petroleum)'!$V$4*Model!$D$2231*'Assumptions (Petroleum)'!$B$2/10^9),0)</f>
        <v>#NUM!</v>
      </c>
      <c r="AB2341" s="91" t="e">
        <f>IF($D$2231&gt;0,IPMT('Assumptions (Petroleum)'!$V$6,Model!AU$1,'Assumptions (Petroleum)'!$V$9,'Assumptions (Petroleum)'!$V$4*Model!$D$2231*'Assumptions (Petroleum)'!$B$2/10^9),0)</f>
        <v>#NUM!</v>
      </c>
      <c r="AC2341" s="105"/>
      <c r="AD2341" s="105"/>
      <c r="AE2341" s="105"/>
      <c r="AF2341" s="105"/>
      <c r="AG2341" s="105"/>
    </row>
    <row r="2342" spans="1:68" ht="15.75" hidden="1" customHeight="1" outlineLevel="1">
      <c r="A2342" s="447"/>
      <c r="B2342" s="99"/>
      <c r="C2342" s="105"/>
      <c r="D2342" s="105"/>
      <c r="E2342" s="105">
        <f>IF($E$2231&gt;0,IPMT('Assumptions (Petroleum)'!$V$6,Model!W$1,'Assumptions (Petroleum)'!$V$9,'Assumptions (Petroleum)'!$V$4*Model!$E$2231*AVERAGE('Assumptions (Petroleum)'!$B$2:$C$2)/10^9),0)</f>
        <v>-6.9338081165492916E-3</v>
      </c>
      <c r="F2342" s="105">
        <f>IF($E$2231&gt;0,IPMT('Assumptions (Petroleum)'!$V$6,Model!X$1,'Assumptions (Petroleum)'!$V$9,'Assumptions (Petroleum)'!$V$4*Model!$E$2231*AVERAGE('Assumptions (Petroleum)'!$B$2:$C$2)/10^9),0)</f>
        <v>-6.6063858314985395E-3</v>
      </c>
      <c r="G2342" s="105">
        <f>IF($E$2231&gt;0,IPMT('Assumptions (Petroleum)'!$V$6,Model!Y$1,'Assumptions (Petroleum)'!$V$9,'Assumptions (Petroleum)'!$V$4*Model!$E$2231*AVERAGE('Assumptions (Petroleum)'!$B$2:$C$2)/10^9),0)</f>
        <v>-6.2634109879078758E-3</v>
      </c>
      <c r="H2342" s="105">
        <f>IF($E$2231&gt;0,IPMT('Assumptions (Petroleum)'!$V$6,Model!Z$1,'Assumptions (Petroleum)'!$V$9,'Assumptions (Petroleum)'!$V$4*Model!$E$2231*AVERAGE('Assumptions (Petroleum)'!$B$2:$C$2)/10^9),0)</f>
        <v>-5.9041448392466583E-3</v>
      </c>
      <c r="I2342" s="105">
        <f>IF($E$2231&gt;0,IPMT('Assumptions (Petroleum)'!$V$6,Model!AA$1,'Assumptions (Petroleum)'!$V$9,'Assumptions (Petroleum)'!$V$4*Model!$E$2231*AVERAGE('Assumptions (Petroleum)'!$B$2:$C$2)/10^9),0)</f>
        <v>-5.5278135485240312E-3</v>
      </c>
      <c r="J2342" s="105">
        <f>IF($E$2231&gt;0,IPMT('Assumptions (Petroleum)'!$V$6,Model!AB$1,'Assumptions (Petroleum)'!$V$9,'Assumptions (Petroleum)'!$V$4*Model!$E$2231*AVERAGE('Assumptions (Petroleum)'!$B$2:$C$2)/10^9),0)</f>
        <v>-5.1336065214920802E-3</v>
      </c>
      <c r="K2342" s="105">
        <f>IF($E$2231&gt;0,IPMT('Assumptions (Petroleum)'!$V$6,Model!AC$1,'Assumptions (Petroleum)'!$V$9,'Assumptions (Petroleum)'!$V$4*Model!$E$2231*AVERAGE('Assumptions (Petroleum)'!$B$2:$C$2)/10^9),0)</f>
        <v>-4.7206746606761113E-3</v>
      </c>
      <c r="L2342" s="105">
        <f>IF($E$2231&gt;0,IPMT('Assumptions (Petroleum)'!$V$6,Model!AD$1,'Assumptions (Petroleum)'!$V$9,'Assumptions (Petroleum)'!$V$4*Model!$E$2231*AVERAGE('Assumptions (Petroleum)'!$B$2:$C$2)/10^9),0)</f>
        <v>-4.2881285364713834E-3</v>
      </c>
      <c r="M2342" s="105">
        <f>IF($E$2231&gt;0,IPMT('Assumptions (Petroleum)'!$V$6,Model!AE$1,'Assumptions (Petroleum)'!$V$9,'Assumptions (Petroleum)'!$V$4*Model!$E$2231*AVERAGE('Assumptions (Petroleum)'!$B$2:$C$2)/10^9),0)</f>
        <v>-3.8350364713669325E-3</v>
      </c>
      <c r="N2342" s="91">
        <f>IF($E$2231&gt;0,IPMT('Assumptions (Petroleum)'!$V$6,Model!AF$1,'Assumptions (Petroleum)'!$V$9,'Assumptions (Petroleum)'!$V$4*Model!$E$2231*AVERAGE('Assumptions (Petroleum)'!$B$2:$C$2)/10^9),0)</f>
        <v>-3.3604225331700186E-3</v>
      </c>
      <c r="O2342" s="105">
        <f>IF($E$2231&gt;0,IPMT('Assumptions (Petroleum)'!$V$6,Model!AG$1,'Assumptions (Petroleum)'!$V$9,'Assumptions (Petroleum)'!$V$4*Model!$E$2231*AVERAGE('Assumptions (Petroleum)'!$B$2:$C$2)/10^9),0)</f>
        <v>-2.8632644329087517E-3</v>
      </c>
      <c r="P2342" s="105">
        <f>IF($E$2231&gt;0,IPMT('Assumptions (Petroleum)'!$V$6,Model!AH$1,'Assumptions (Petroleum)'!$V$9,'Assumptions (Petroleum)'!$V$4*Model!$E$2231*AVERAGE('Assumptions (Petroleum)'!$B$2:$C$2)/10^9),0)</f>
        <v>-2.3424913228850749E-3</v>
      </c>
      <c r="Q2342" s="105">
        <f>IF($E$2231&gt;0,IPMT('Assumptions (Petroleum)'!$V$6,Model!AI$1,'Assumptions (Petroleum)'!$V$9,'Assumptions (Petroleum)'!$V$4*Model!$E$2231*AVERAGE('Assumptions (Petroleum)'!$B$2:$C$2)/10^9),0)</f>
        <v>-1.7969814901352727E-3</v>
      </c>
      <c r="R2342" s="105">
        <f>IF($E$2231&gt;0,IPMT('Assumptions (Petroleum)'!$V$6,Model!AJ$1,'Assumptions (Petroleum)'!$V$9,'Assumptions (Petroleum)'!$V$4*Model!$E$2231*AVERAGE('Assumptions (Petroleum)'!$B$2:$C$2)/10^9),0)</f>
        <v>-1.2255599403298552E-3</v>
      </c>
      <c r="S2342" s="105">
        <f>IF($E$2231&gt;0,IPMT('Assumptions (Petroleum)'!$V$6,Model!AK$1,'Assumptions (Petroleum)'!$V$9,'Assumptions (Petroleum)'!$V$4*Model!$E$2231*AVERAGE('Assumptions (Petroleum)'!$B$2:$C$2)/10^9),0)</f>
        <v>-6.2699586690868057E-4</v>
      </c>
      <c r="T2342" s="105" t="e">
        <f>IF($E$2231&gt;0,IPMT('Assumptions (Petroleum)'!$V$6,Model!AL$1,'Assumptions (Petroleum)'!$V$9,'Assumptions (Petroleum)'!$V$4*Model!$E$2231*AVERAGE('Assumptions (Petroleum)'!$B$2:$C$2)/10^9),0)</f>
        <v>#NUM!</v>
      </c>
      <c r="U2342" s="105" t="e">
        <f>IF($E$2231&gt;0,IPMT('Assumptions (Petroleum)'!$V$6,Model!AM$1,'Assumptions (Petroleum)'!$V$9,'Assumptions (Petroleum)'!$V$4*Model!$E$2231*AVERAGE('Assumptions (Petroleum)'!$B$2:$C$2)/10^9),0)</f>
        <v>#NUM!</v>
      </c>
      <c r="V2342" s="105" t="e">
        <f>IF($E$2231&gt;0,IPMT('Assumptions (Petroleum)'!$V$6,Model!AN$1,'Assumptions (Petroleum)'!$V$9,'Assumptions (Petroleum)'!$V$4*Model!$E$2231*AVERAGE('Assumptions (Petroleum)'!$B$2:$C$2)/10^9),0)</f>
        <v>#NUM!</v>
      </c>
      <c r="W2342" s="105" t="e">
        <f>IF($E$2231&gt;0,IPMT('Assumptions (Petroleum)'!$V$6,Model!AO$1,'Assumptions (Petroleum)'!$V$9,'Assumptions (Petroleum)'!$V$4*Model!$E$2231*AVERAGE('Assumptions (Petroleum)'!$B$2:$C$2)/10^9),0)</f>
        <v>#NUM!</v>
      </c>
      <c r="X2342" s="105" t="e">
        <f>IF($E$2231&gt;0,IPMT('Assumptions (Petroleum)'!$V$6,Model!AP$1,'Assumptions (Petroleum)'!$V$9,'Assumptions (Petroleum)'!$V$4*Model!$E$2231*AVERAGE('Assumptions (Petroleum)'!$B$2:$C$2)/10^9),0)</f>
        <v>#NUM!</v>
      </c>
      <c r="Y2342" s="105" t="e">
        <f>IF($E$2231&gt;0,IPMT('Assumptions (Petroleum)'!$V$6,Model!AQ$1,'Assumptions (Petroleum)'!$V$9,'Assumptions (Petroleum)'!$V$4*Model!$E$2231*AVERAGE('Assumptions (Petroleum)'!$B$2:$C$2)/10^9),0)</f>
        <v>#NUM!</v>
      </c>
      <c r="Z2342" s="105" t="e">
        <f>IF($E$2231&gt;0,IPMT('Assumptions (Petroleum)'!$V$6,Model!AR$1,'Assumptions (Petroleum)'!$V$9,'Assumptions (Petroleum)'!$V$4*Model!$E$2231*AVERAGE('Assumptions (Petroleum)'!$B$2:$C$2)/10^9),0)</f>
        <v>#NUM!</v>
      </c>
      <c r="AA2342" s="105" t="e">
        <f>IF($E$2231&gt;0,IPMT('Assumptions (Petroleum)'!$V$6,Model!AS$1,'Assumptions (Petroleum)'!$V$9,'Assumptions (Petroleum)'!$V$4*Model!$E$2231*AVERAGE('Assumptions (Petroleum)'!$B$2:$C$2)/10^9),0)</f>
        <v>#NUM!</v>
      </c>
      <c r="AB2342" s="105" t="e">
        <f>IF($E$2231&gt;0,IPMT('Assumptions (Petroleum)'!$V$6,Model!AT$1,'Assumptions (Petroleum)'!$V$9,'Assumptions (Petroleum)'!$V$4*Model!$E$2231*AVERAGE('Assumptions (Petroleum)'!$B$2:$C$2)/10^9),0)</f>
        <v>#NUM!</v>
      </c>
      <c r="AC2342" s="105" t="e">
        <f>IF($E$2231&gt;0,IPMT('Assumptions (Petroleum)'!$V$6,Model!AU$1,'Assumptions (Petroleum)'!$V$9,'Assumptions (Petroleum)'!$V$4*Model!$E$2231*AVERAGE('Assumptions (Petroleum)'!$B$2:$C$2)/10^9),0)</f>
        <v>#NUM!</v>
      </c>
      <c r="AD2342" s="105"/>
      <c r="AE2342" s="105"/>
      <c r="AF2342" s="105"/>
      <c r="AG2342" s="105"/>
    </row>
    <row r="2343" spans="1:68" ht="15.75" hidden="1" customHeight="1" outlineLevel="1">
      <c r="A2343" s="447"/>
      <c r="B2343" s="99"/>
      <c r="C2343" s="105"/>
      <c r="D2343" s="105"/>
      <c r="E2343" s="105"/>
      <c r="F2343" s="105">
        <f>IF($F$2231&gt;0,IPMT('Assumptions (Petroleum)'!$V$6,Model!W$1,'Assumptions (Petroleum)'!$V$9,'Assumptions (Petroleum)'!$V$4*Model!$F$2231*AVERAGE('Assumptions (Petroleum)'!$B$2:$D$2)/10^9),0)</f>
        <v>-5.0205264663276614E-3</v>
      </c>
      <c r="G2343" s="105">
        <f>IF($F$2231&gt;0,IPMT('Assumptions (Petroleum)'!$V$6,Model!X$1,'Assumptions (Petroleum)'!$V$9,'Assumptions (Petroleum)'!$V$4*Model!$F$2231*AVERAGE('Assumptions (Petroleum)'!$B$2:$D$2)/10^9),0)</f>
        <v>-4.783451511247875E-3</v>
      </c>
      <c r="H2343" s="105">
        <f>IF($F$2231&gt;0,IPMT('Assumptions (Petroleum)'!$V$6,Model!Y$1,'Assumptions (Petroleum)'!$V$9,'Assumptions (Petroleum)'!$V$4*Model!$F$2231*AVERAGE('Assumptions (Petroleum)'!$B$2:$D$2)/10^9),0)</f>
        <v>-4.5351154958017982E-3</v>
      </c>
      <c r="I2343" s="105">
        <f>IF($F$2231&gt;0,IPMT('Assumptions (Petroleum)'!$V$6,Model!Z$1,'Assumptions (Petroleum)'!$V$9,'Assumptions (Petroleum)'!$V$4*Model!$F$2231*AVERAGE('Assumptions (Petroleum)'!$B$2:$D$2)/10^9),0)</f>
        <v>-4.2749835196220351E-3</v>
      </c>
      <c r="J2343" s="105">
        <f>IF($F$2231&gt;0,IPMT('Assumptions (Petroleum)'!$V$6,Model!AA$1,'Assumptions (Petroleum)'!$V$9,'Assumptions (Petroleum)'!$V$4*Model!$F$2231*AVERAGE('Assumptions (Petroleum)'!$B$2:$D$2)/10^9),0)</f>
        <v>-4.002495274573731E-3</v>
      </c>
      <c r="K2343" s="105">
        <f>IF($F$2231&gt;0,IPMT('Assumptions (Petroleum)'!$V$6,Model!AB$1,'Assumptions (Petroleum)'!$V$9,'Assumptions (Petroleum)'!$V$4*Model!$F$2231*AVERAGE('Assumptions (Petroleum)'!$B$2:$D$2)/10^9),0)</f>
        <v>-3.7170638378856342E-3</v>
      </c>
      <c r="L2343" s="105">
        <f>IF($F$2231&gt;0,IPMT('Assumptions (Petroleum)'!$V$6,Model!AC$1,'Assumptions (Petroleum)'!$V$9,'Assumptions (Petroleum)'!$V$4*Model!$F$2231*AVERAGE('Assumptions (Petroleum)'!$B$2:$D$2)/10^9),0)</f>
        <v>-3.4180744079548519E-3</v>
      </c>
      <c r="M2343" s="105">
        <f>IF($F$2231&gt;0,IPMT('Assumptions (Petroleum)'!$V$6,Model!AD$1,'Assumptions (Petroleum)'!$V$9,'Assumptions (Petroleum)'!$V$4*Model!$F$2231*AVERAGE('Assumptions (Petroleum)'!$B$2:$D$2)/10^9),0)</f>
        <v>-3.1048829801023576E-3</v>
      </c>
      <c r="N2343" s="91">
        <f>IF($F$2231&gt;0,IPMT('Assumptions (Petroleum)'!$V$6,Model!AE$1,'Assumptions (Petroleum)'!$V$9,'Assumptions (Petroleum)'!$V$4*Model!$F$2231*AVERAGE('Assumptions (Petroleum)'!$B$2:$D$2)/10^9),0)</f>
        <v>-2.7768149594268703E-3</v>
      </c>
      <c r="O2343" s="105">
        <f>IF($F$2231&gt;0,IPMT('Assumptions (Petroleum)'!$V$6,Model!AF$1,'Assumptions (Petroleum)'!$V$9,'Assumptions (Petroleum)'!$V$4*Model!$F$2231*AVERAGE('Assumptions (Petroleum)'!$B$2:$D$2)/10^9),0)</f>
        <v>-2.4331637077692971E-3</v>
      </c>
      <c r="P2343" s="105">
        <f>IF($F$2231&gt;0,IPMT('Assumptions (Petroleum)'!$V$6,Model!AG$1,'Assumptions (Petroleum)'!$V$9,'Assumptions (Petroleum)'!$V$4*Model!$F$2231*AVERAGE('Assumptions (Petroleum)'!$B$2:$D$2)/10^9),0)</f>
        <v>-2.0731890216579888E-3</v>
      </c>
      <c r="Q2343" s="105">
        <f>IF($F$2231&gt;0,IPMT('Assumptions (Petroleum)'!$V$6,Model!AH$1,'Assumptions (Petroleum)'!$V$9,'Assumptions (Petroleum)'!$V$4*Model!$F$2231*AVERAGE('Assumptions (Petroleum)'!$B$2:$D$2)/10^9),0)</f>
        <v>-1.6961155379563938E-3</v>
      </c>
      <c r="R2343" s="105">
        <f>IF($F$2231&gt;0,IPMT('Assumptions (Petroleum)'!$V$6,Model!AI$1,'Assumptions (Petroleum)'!$V$9,'Assumptions (Petroleum)'!$V$4*Model!$F$2231*AVERAGE('Assumptions (Petroleum)'!$B$2:$D$2)/10^9),0)</f>
        <v>-1.3011310637789726E-3</v>
      </c>
      <c r="S2343" s="105">
        <f>IF($F$2231&gt;0,IPMT('Assumptions (Petroleum)'!$V$6,Model!AJ$1,'Assumptions (Petroleum)'!$V$9,'Assumptions (Petroleum)'!$V$4*Model!$F$2231*AVERAGE('Assumptions (Petroleum)'!$B$2:$D$2)/10^9),0)</f>
        <v>-8.8738482707812415E-4</v>
      </c>
      <c r="T2343" s="105">
        <f>IF($F$2231&gt;0,IPMT('Assumptions (Petroleum)'!$V$6,Model!AK$1,'Assumptions (Petroleum)'!$V$9,'Assumptions (Petroleum)'!$V$4*Model!$F$2231*AVERAGE('Assumptions (Petroleum)'!$B$2:$D$2)/10^9),0)</f>
        <v>-4.5398564413398531E-4</v>
      </c>
      <c r="U2343" s="105" t="e">
        <f>IF($F$2231&gt;0,IPMT('Assumptions (Petroleum)'!$V$6,Model!AL$1,'Assumptions (Petroleum)'!$V$9,'Assumptions (Petroleum)'!$V$4*Model!$F$2231*AVERAGE('Assumptions (Petroleum)'!$B$2:$D$2)/10^9),0)</f>
        <v>#NUM!</v>
      </c>
      <c r="V2343" s="105" t="e">
        <f>IF($F$2231&gt;0,IPMT('Assumptions (Petroleum)'!$V$6,Model!AM$1,'Assumptions (Petroleum)'!$V$9,'Assumptions (Petroleum)'!$V$4*Model!$F$2231*AVERAGE('Assumptions (Petroleum)'!$B$2:$D$2)/10^9),0)</f>
        <v>#NUM!</v>
      </c>
      <c r="W2343" s="105" t="e">
        <f>IF($F$2231&gt;0,IPMT('Assumptions (Petroleum)'!$V$6,Model!AN$1,'Assumptions (Petroleum)'!$V$9,'Assumptions (Petroleum)'!$V$4*Model!$F$2231*AVERAGE('Assumptions (Petroleum)'!$B$2:$D$2)/10^9),0)</f>
        <v>#NUM!</v>
      </c>
      <c r="X2343" s="105" t="e">
        <f>IF($F$2231&gt;0,IPMT('Assumptions (Petroleum)'!$V$6,Model!AO$1,'Assumptions (Petroleum)'!$V$9,'Assumptions (Petroleum)'!$V$4*Model!$F$2231*AVERAGE('Assumptions (Petroleum)'!$B$2:$D$2)/10^9),0)</f>
        <v>#NUM!</v>
      </c>
      <c r="Y2343" s="105" t="e">
        <f>IF($F$2231&gt;0,IPMT('Assumptions (Petroleum)'!$V$6,Model!AP$1,'Assumptions (Petroleum)'!$V$9,'Assumptions (Petroleum)'!$V$4*Model!$F$2231*AVERAGE('Assumptions (Petroleum)'!$B$2:$D$2)/10^9),0)</f>
        <v>#NUM!</v>
      </c>
      <c r="Z2343" s="105" t="e">
        <f>IF($F$2231&gt;0,IPMT('Assumptions (Petroleum)'!$V$6,Model!AQ$1,'Assumptions (Petroleum)'!$V$9,'Assumptions (Petroleum)'!$V$4*Model!$F$2231*AVERAGE('Assumptions (Petroleum)'!$B$2:$D$2)/10^9),0)</f>
        <v>#NUM!</v>
      </c>
      <c r="AA2343" s="105" t="e">
        <f>IF($F$2231&gt;0,IPMT('Assumptions (Petroleum)'!$V$6,Model!AR$1,'Assumptions (Petroleum)'!$V$9,'Assumptions (Petroleum)'!$V$4*Model!$F$2231*AVERAGE('Assumptions (Petroleum)'!$B$2:$D$2)/10^9),0)</f>
        <v>#NUM!</v>
      </c>
      <c r="AB2343" s="105" t="e">
        <f>IF($F$2231&gt;0,IPMT('Assumptions (Petroleum)'!$V$6,Model!AS$1,'Assumptions (Petroleum)'!$V$9,'Assumptions (Petroleum)'!$V$4*Model!$F$2231*AVERAGE('Assumptions (Petroleum)'!$B$2:$D$2)/10^9),0)</f>
        <v>#NUM!</v>
      </c>
      <c r="AC2343" s="105" t="e">
        <f>IF($F$2231&gt;0,IPMT('Assumptions (Petroleum)'!$V$6,Model!AT$1,'Assumptions (Petroleum)'!$V$9,'Assumptions (Petroleum)'!$V$4*Model!$F$2231*AVERAGE('Assumptions (Petroleum)'!$B$2:$D$2)/10^9),0)</f>
        <v>#NUM!</v>
      </c>
      <c r="AD2343" s="105" t="e">
        <f>IF($F$2231&gt;0,IPMT('Assumptions (Petroleum)'!$V$6,Model!AU$1,'Assumptions (Petroleum)'!$V$9,'Assumptions (Petroleum)'!$V$4*Model!$F$2231*AVERAGE('Assumptions (Petroleum)'!$B$2:$D$2)/10^9),0)</f>
        <v>#NUM!</v>
      </c>
      <c r="AE2343" s="105"/>
      <c r="AF2343" s="105"/>
      <c r="AG2343" s="105"/>
    </row>
    <row r="2344" spans="1:68" ht="15.75" hidden="1" customHeight="1" outlineLevel="1">
      <c r="A2344" s="447"/>
      <c r="B2344" s="99"/>
      <c r="C2344" s="105"/>
      <c r="D2344" s="105"/>
      <c r="E2344" s="105"/>
      <c r="F2344" s="105"/>
      <c r="G2344" s="105">
        <f>IF($G$2231&gt;0,IPMT('Assumptions (Petroleum)'!$V$6,Model!W$1,'Assumptions (Petroleum)'!$V$9,'Assumptions (Petroleum)'!$V$4*Model!$G$2231*AVERAGE('Assumptions (Petroleum)'!$C$2:$E$2)/10^9),0)</f>
        <v>-4.0881265108820095E-3</v>
      </c>
      <c r="H2344" s="105">
        <f>IF($G$2231&gt;0,IPMT('Assumptions (Petroleum)'!$V$6,Model!X$1,'Assumptions (Petroleum)'!$V$9,'Assumptions (Petroleum)'!$V$4*Model!$G$2231*AVERAGE('Assumptions (Petroleum)'!$C$2:$E$2)/10^9),0)</f>
        <v>-3.895080539423011E-3</v>
      </c>
      <c r="I2344" s="105">
        <f>IF($G$2231&gt;0,IPMT('Assumptions (Petroleum)'!$V$6,Model!Y$1,'Assumptions (Petroleum)'!$V$9,'Assumptions (Petroleum)'!$V$4*Model!$G$2231*AVERAGE('Assumptions (Petroleum)'!$C$2:$E$2)/10^9),0)</f>
        <v>-3.69286488431971E-3</v>
      </c>
      <c r="J2344" s="105">
        <f>IF($G$2231&gt;0,IPMT('Assumptions (Petroleum)'!$V$6,Model!Z$1,'Assumptions (Petroleum)'!$V$9,'Assumptions (Petroleum)'!$V$4*Model!$G$2231*AVERAGE('Assumptions (Petroleum)'!$C$2:$E$2)/10^9),0)</f>
        <v>-3.4810439855990031E-3</v>
      </c>
      <c r="K2344" s="105">
        <f>IF($G$2231&gt;0,IPMT('Assumptions (Petroleum)'!$V$6,Model!AA$1,'Assumptions (Petroleum)'!$V$9,'Assumptions (Petroleum)'!$V$4*Model!$G$2231*AVERAGE('Assumptions (Petroleum)'!$C$2:$E$2)/10^9),0)</f>
        <v>-3.2591615941890621E-3</v>
      </c>
      <c r="L2344" s="105">
        <f>IF($G$2231&gt;0,IPMT('Assumptions (Petroleum)'!$V$6,Model!AB$1,'Assumptions (Petroleum)'!$V$9,'Assumptions (Petroleum)'!$V$4*Model!$G$2231*AVERAGE('Assumptions (Petroleum)'!$C$2:$E$2)/10^9),0)</f>
        <v>-3.0267397891871493E-3</v>
      </c>
      <c r="M2344" s="105">
        <f>IF($G$2231&gt;0,IPMT('Assumptions (Petroleum)'!$V$6,Model!AC$1,'Assumptions (Petroleum)'!$V$9,'Assumptions (Petroleum)'!$V$4*Model!$G$2231*AVERAGE('Assumptions (Petroleum)'!$C$2:$E$2)/10^9),0)</f>
        <v>-2.7832779484476453E-3</v>
      </c>
      <c r="N2344" s="105">
        <f>IF($G$2231&gt;0,IPMT('Assumptions (Petroleum)'!$V$6,Model!AD$1,'Assumptions (Petroleum)'!$V$9,'Assumptions (Petroleum)'!$V$4*Model!$G$2231*AVERAGE('Assumptions (Petroleum)'!$C$2:$E$2)/10^9),0)</f>
        <v>-2.5282516702730151E-3</v>
      </c>
      <c r="O2344" s="105">
        <f>IF($G$2231&gt;0,IPMT('Assumptions (Petroleum)'!$V$6,Model!AE$1,'Assumptions (Petroleum)'!$V$9,'Assumptions (Petroleum)'!$V$4*Model!$G$2231*AVERAGE('Assumptions (Petroleum)'!$C$2:$E$2)/10^9),0)</f>
        <v>-2.2611116438850903E-3</v>
      </c>
      <c r="P2344" s="105">
        <f>IF($G$2231&gt;0,IPMT('Assumptions (Petroleum)'!$V$6,Model!AF$1,'Assumptions (Petroleum)'!$V$9,'Assumptions (Petroleum)'!$V$4*Model!$G$2231*AVERAGE('Assumptions (Petroleum)'!$C$2:$E$2)/10^9),0)</f>
        <v>-1.9812824662437385E-3</v>
      </c>
      <c r="Q2344" s="105">
        <f>IF($G$2231&gt;0,IPMT('Assumptions (Petroleum)'!$V$6,Model!AG$1,'Assumptions (Petroleum)'!$V$9,'Assumptions (Petroleum)'!$V$4*Model!$G$2231*AVERAGE('Assumptions (Petroleum)'!$C$2:$E$2)/10^9),0)</f>
        <v>-1.6881614026644225E-3</v>
      </c>
      <c r="R2344" s="105">
        <f>IF($G$2231&gt;0,IPMT('Assumptions (Petroleum)'!$V$6,Model!AH$1,'Assumptions (Petroleum)'!$V$9,'Assumptions (Petroleum)'!$V$4*Model!$G$2231*AVERAGE('Assumptions (Petroleum)'!$C$2:$E$2)/10^9),0)</f>
        <v>-1.3811170885650891E-3</v>
      </c>
      <c r="S2344" s="105">
        <f>IF($G$2231&gt;0,IPMT('Assumptions (Petroleum)'!$V$6,Model!AI$1,'Assumptions (Petroleum)'!$V$9,'Assumptions (Petroleum)'!$V$4*Model!$G$2231*AVERAGE('Assumptions (Petroleum)'!$C$2:$E$2)/10^9),0)</f>
        <v>-1.0594881695460373E-3</v>
      </c>
      <c r="T2344" s="105">
        <f>IF($G$2231&gt;0,IPMT('Assumptions (Petroleum)'!$V$6,Model!AJ$1,'Assumptions (Petroleum)'!$V$9,'Assumptions (Petroleum)'!$V$4*Model!$G$2231*AVERAGE('Assumptions (Petroleum)'!$C$2:$E$2)/10^9),0)</f>
        <v>-7.2258187687358061E-4</v>
      </c>
      <c r="U2344" s="105">
        <f>IF($G$2231&gt;0,IPMT('Assumptions (Petroleum)'!$V$6,Model!AK$1,'Assumptions (Petroleum)'!$V$9,'Assumptions (Petroleum)'!$V$4*Model!$G$2231*AVERAGE('Assumptions (Petroleum)'!$C$2:$E$2)/10^9),0)</f>
        <v>-3.6967253529918224E-4</v>
      </c>
      <c r="V2344" s="105" t="e">
        <f>IF($G$2231&gt;0,IPMT('Assumptions (Petroleum)'!$V$6,Model!AL$1,'Assumptions (Petroleum)'!$V$9,'Assumptions (Petroleum)'!$V$4*Model!$G$2231*AVERAGE('Assumptions (Petroleum)'!$C$2:$E$2)/10^9),0)</f>
        <v>#NUM!</v>
      </c>
      <c r="W2344" s="105" t="e">
        <f>IF($G$2231&gt;0,IPMT('Assumptions (Petroleum)'!$V$6,Model!AM$1,'Assumptions (Petroleum)'!$V$9,'Assumptions (Petroleum)'!$V$4*Model!$G$2231*AVERAGE('Assumptions (Petroleum)'!$C$2:$E$2)/10^9),0)</f>
        <v>#NUM!</v>
      </c>
      <c r="X2344" s="105" t="e">
        <f>IF($G$2231&gt;0,IPMT('Assumptions (Petroleum)'!$V$6,Model!AN$1,'Assumptions (Petroleum)'!$V$9,'Assumptions (Petroleum)'!$V$4*Model!$G$2231*AVERAGE('Assumptions (Petroleum)'!$C$2:$E$2)/10^9),0)</f>
        <v>#NUM!</v>
      </c>
      <c r="Y2344" s="105" t="e">
        <f>IF($G$2231&gt;0,IPMT('Assumptions (Petroleum)'!$V$6,Model!AO$1,'Assumptions (Petroleum)'!$V$9,'Assumptions (Petroleum)'!$V$4*Model!$G$2231*AVERAGE('Assumptions (Petroleum)'!$C$2:$E$2)/10^9),0)</f>
        <v>#NUM!</v>
      </c>
      <c r="Z2344" s="105" t="e">
        <f>IF($G$2231&gt;0,IPMT('Assumptions (Petroleum)'!$V$6,Model!AP$1,'Assumptions (Petroleum)'!$V$9,'Assumptions (Petroleum)'!$V$4*Model!$G$2231*AVERAGE('Assumptions (Petroleum)'!$C$2:$E$2)/10^9),0)</f>
        <v>#NUM!</v>
      </c>
      <c r="AA2344" s="105" t="e">
        <f>IF($G$2231&gt;0,IPMT('Assumptions (Petroleum)'!$V$6,Model!AQ$1,'Assumptions (Petroleum)'!$V$9,'Assumptions (Petroleum)'!$V$4*Model!$G$2231*AVERAGE('Assumptions (Petroleum)'!$C$2:$E$2)/10^9),0)</f>
        <v>#NUM!</v>
      </c>
      <c r="AB2344" s="105" t="e">
        <f>IF($G$2231&gt;0,IPMT('Assumptions (Petroleum)'!$V$6,Model!AR$1,'Assumptions (Petroleum)'!$V$9,'Assumptions (Petroleum)'!$V$4*Model!$G$2231*AVERAGE('Assumptions (Petroleum)'!$C$2:$E$2)/10^9),0)</f>
        <v>#NUM!</v>
      </c>
      <c r="AC2344" s="105" t="e">
        <f>IF($G$2231&gt;0,IPMT('Assumptions (Petroleum)'!$V$6,Model!AS$1,'Assumptions (Petroleum)'!$V$9,'Assumptions (Petroleum)'!$V$4*Model!$G$2231*AVERAGE('Assumptions (Petroleum)'!$C$2:$E$2)/10^9),0)</f>
        <v>#NUM!</v>
      </c>
      <c r="AD2344" s="105" t="e">
        <f>IF($G$2231&gt;0,IPMT('Assumptions (Petroleum)'!$V$6,Model!AT$1,'Assumptions (Petroleum)'!$V$9,'Assumptions (Petroleum)'!$V$4*Model!$G$2231*AVERAGE('Assumptions (Petroleum)'!$C$2:$E$2)/10^9),0)</f>
        <v>#NUM!</v>
      </c>
      <c r="AE2344" s="105" t="e">
        <f>IF($G$2231&gt;0,IPMT('Assumptions (Petroleum)'!$V$6,Model!AU$1,'Assumptions (Petroleum)'!$V$9,'Assumptions (Petroleum)'!$V$4*Model!$G$2231*AVERAGE('Assumptions (Petroleum)'!$C$2:$E$2)/10^9),0)</f>
        <v>#NUM!</v>
      </c>
      <c r="AF2344" s="105"/>
      <c r="AG2344" s="105"/>
    </row>
    <row r="2345" spans="1:68" ht="15.75" hidden="1" customHeight="1" outlineLevel="1">
      <c r="A2345" s="447"/>
      <c r="B2345" s="99"/>
      <c r="C2345" s="105"/>
      <c r="D2345" s="105"/>
      <c r="E2345" s="105"/>
      <c r="F2345" s="105"/>
      <c r="G2345" s="105"/>
      <c r="H2345" s="105">
        <f>IF($H$2231&gt;0,IPMT('Assumptions (Petroleum)'!$V$6,Model!W$1,'Assumptions (Petroleum)'!$V$9,'Assumptions (Petroleum)'!$V$4*Model!$H$2231*AVERAGE('Assumptions (Petroleum)'!$D$2:$F$2)/10^9),0)</f>
        <v>-2.3468119531404549E-3</v>
      </c>
      <c r="I2345" s="105">
        <f>IF($H$2231&gt;0,IPMT('Assumptions (Petroleum)'!$V$6,Model!X$1,'Assumptions (Petroleum)'!$V$9,'Assumptions (Petroleum)'!$V$4*Model!$H$2231*AVERAGE('Assumptions (Petroleum)'!$D$2:$F$2)/10^9),0)</f>
        <v>-2.2359928304641744E-3</v>
      </c>
      <c r="J2345" s="105">
        <f>IF($H$2231&gt;0,IPMT('Assumptions (Petroleum)'!$V$6,Model!Y$1,'Assumptions (Petroleum)'!$V$9,'Assumptions (Petroleum)'!$V$4*Model!$H$2231*AVERAGE('Assumptions (Petroleum)'!$D$2:$F$2)/10^9),0)</f>
        <v>-2.1199097994607698E-3</v>
      </c>
      <c r="K2345" s="105">
        <f>IF($H$2231&gt;0,IPMT('Assumptions (Petroleum)'!$V$6,Model!Z$1,'Assumptions (Petroleum)'!$V$9,'Assumptions (Petroleum)'!$V$4*Model!$H$2231*AVERAGE('Assumptions (Petroleum)'!$D$2:$F$2)/10^9),0)</f>
        <v>-1.9983128244847048E-3</v>
      </c>
      <c r="L2345" s="105">
        <f>IF($H$2231&gt;0,IPMT('Assumptions (Petroleum)'!$V$6,Model!AA$1,'Assumptions (Petroleum)'!$V$9,'Assumptions (Petroleum)'!$V$4*Model!$H$2231*AVERAGE('Assumptions (Petroleum)'!$D$2:$F$2)/10^9),0)</f>
        <v>-1.8709399931972762E-3</v>
      </c>
      <c r="M2345" s="105">
        <f>IF($H$2231&gt;0,IPMT('Assumptions (Petroleum)'!$V$6,Model!AB$1,'Assumptions (Petroleum)'!$V$9,'Assumptions (Petroleum)'!$V$4*Model!$H$2231*AVERAGE('Assumptions (Petroleum)'!$D$2:$F$2)/10^9),0)</f>
        <v>-1.7375169524236952E-3</v>
      </c>
      <c r="N2345" s="105">
        <f>IF($H$2231&gt;0,IPMT('Assumptions (Petroleum)'!$V$6,Model!AC$1,'Assumptions (Petroleum)'!$V$9,'Assumptions (Petroleum)'!$V$4*Model!$H$2231*AVERAGE('Assumptions (Petroleum)'!$D$2:$F$2)/10^9),0)</f>
        <v>-1.5977563172133683E-3</v>
      </c>
      <c r="O2345" s="105">
        <f>IF($H$2231&gt;0,IPMT('Assumptions (Petroleum)'!$V$6,Model!AD$1,'Assumptions (Petroleum)'!$V$9,'Assumptions (Petroleum)'!$V$4*Model!$H$2231*AVERAGE('Assumptions (Petroleum)'!$D$2:$F$2)/10^9),0)</f>
        <v>-1.4513570518305515E-3</v>
      </c>
      <c r="P2345" s="105">
        <f>IF($H$2231&gt;0,IPMT('Assumptions (Petroleum)'!$V$6,Model!AE$1,'Assumptions (Petroleum)'!$V$9,'Assumptions (Petroleum)'!$V$4*Model!$H$2231*AVERAGE('Assumptions (Petroleum)'!$D$2:$F$2)/10^9),0)</f>
        <v>-1.2980038213420508E-3</v>
      </c>
      <c r="Q2345" s="105">
        <f>IF($H$2231&gt;0,IPMT('Assumptions (Petroleum)'!$V$6,Model!AF$1,'Assumptions (Petroleum)'!$V$9,'Assumptions (Petroleum)'!$V$4*Model!$H$2231*AVERAGE('Assumptions (Petroleum)'!$D$2:$F$2)/10^9),0)</f>
        <v>-1.1373663124053463E-3</v>
      </c>
      <c r="R2345" s="105">
        <f>IF($H$2231&gt;0,IPMT('Assumptions (Petroleum)'!$V$6,Model!AG$1,'Assumptions (Petroleum)'!$V$9,'Assumptions (Petroleum)'!$V$4*Model!$H$2231*AVERAGE('Assumptions (Petroleum)'!$D$2:$F$2)/10^9),0)</f>
        <v>-9.6909852179414798E-4</v>
      </c>
      <c r="S2345" s="105">
        <f>IF($H$2231&gt;0,IPMT('Assumptions (Petroleum)'!$V$6,Model!AH$1,'Assumptions (Petroleum)'!$V$9,'Assumptions (Petroleum)'!$V$4*Model!$H$2231*AVERAGE('Assumptions (Petroleum)'!$D$2:$F$2)/10^9),0)</f>
        <v>-7.9283801112891813E-4</v>
      </c>
      <c r="T2345" s="105">
        <f>IF($H$2231&gt;0,IPMT('Assumptions (Petroleum)'!$V$6,Model!AI$1,'Assumptions (Petroleum)'!$V$9,'Assumptions (Petroleum)'!$V$4*Model!$H$2231*AVERAGE('Assumptions (Petroleum)'!$D$2:$F$2)/10^9),0)</f>
        <v>-6.082051262070896E-4</v>
      </c>
      <c r="U2345" s="105">
        <f>IF($H$2231&gt;0,IPMT('Assumptions (Petroleum)'!$V$6,Model!AJ$1,'Assumptions (Petroleum)'!$V$9,'Assumptions (Petroleum)'!$V$4*Model!$H$2231*AVERAGE('Assumptions (Petroleum)'!$D$2:$F$2)/10^9),0)</f>
        <v>-4.1480217925147432E-4</v>
      </c>
      <c r="V2345" s="105">
        <f>IF($H$2231&gt;0,IPMT('Assumptions (Petroleum)'!$V$6,Model!AK$1,'Assumptions (Petroleum)'!$V$9,'Assumptions (Petroleum)'!$V$4*Model!$H$2231*AVERAGE('Assumptions (Petroleum)'!$D$2:$F$2)/10^9),0)</f>
        <v>-2.122125923154673E-4</v>
      </c>
      <c r="W2345" s="105" t="e">
        <f>IF($H$2231&gt;0,IPMT('Assumptions (Petroleum)'!$V$6,Model!AL$1,'Assumptions (Petroleum)'!$V$9,'Assumptions (Petroleum)'!$V$4*Model!$H$2231*AVERAGE('Assumptions (Petroleum)'!$D$2:$F$2)/10^9),0)</f>
        <v>#NUM!</v>
      </c>
      <c r="X2345" s="105" t="e">
        <f>IF($H$2231&gt;0,IPMT('Assumptions (Petroleum)'!$V$6,Model!AM$1,'Assumptions (Petroleum)'!$V$9,'Assumptions (Petroleum)'!$V$4*Model!$H$2231*AVERAGE('Assumptions (Petroleum)'!$D$2:$F$2)/10^9),0)</f>
        <v>#NUM!</v>
      </c>
      <c r="Y2345" s="105" t="e">
        <f>IF($H$2231&gt;0,IPMT('Assumptions (Petroleum)'!$V$6,Model!AN$1,'Assumptions (Petroleum)'!$V$9,'Assumptions (Petroleum)'!$V$4*Model!$H$2231*AVERAGE('Assumptions (Petroleum)'!$D$2:$F$2)/10^9),0)</f>
        <v>#NUM!</v>
      </c>
      <c r="Z2345" s="105" t="e">
        <f>IF($H$2231&gt;0,IPMT('Assumptions (Petroleum)'!$V$6,Model!AO$1,'Assumptions (Petroleum)'!$V$9,'Assumptions (Petroleum)'!$V$4*Model!$H$2231*AVERAGE('Assumptions (Petroleum)'!$D$2:$F$2)/10^9),0)</f>
        <v>#NUM!</v>
      </c>
      <c r="AA2345" s="105" t="e">
        <f>IF($H$2231&gt;0,IPMT('Assumptions (Petroleum)'!$V$6,Model!AP$1,'Assumptions (Petroleum)'!$V$9,'Assumptions (Petroleum)'!$V$4*Model!$H$2231*AVERAGE('Assumptions (Petroleum)'!$D$2:$F$2)/10^9),0)</f>
        <v>#NUM!</v>
      </c>
      <c r="AB2345" s="105" t="e">
        <f>IF($H$2231&gt;0,IPMT('Assumptions (Petroleum)'!$V$6,Model!AQ$1,'Assumptions (Petroleum)'!$V$9,'Assumptions (Petroleum)'!$V$4*Model!$H$2231*AVERAGE('Assumptions (Petroleum)'!$D$2:$F$2)/10^9),0)</f>
        <v>#NUM!</v>
      </c>
      <c r="AC2345" s="105" t="e">
        <f>IF($H$2231&gt;0,IPMT('Assumptions (Petroleum)'!$V$6,Model!AR$1,'Assumptions (Petroleum)'!$V$9,'Assumptions (Petroleum)'!$V$4*Model!$H$2231*AVERAGE('Assumptions (Petroleum)'!$D$2:$F$2)/10^9),0)</f>
        <v>#NUM!</v>
      </c>
      <c r="AD2345" s="105" t="e">
        <f>IF($H$2231&gt;0,IPMT('Assumptions (Petroleum)'!$V$6,Model!AS$1,'Assumptions (Petroleum)'!$V$9,'Assumptions (Petroleum)'!$V$4*Model!$H$2231*AVERAGE('Assumptions (Petroleum)'!$D$2:$F$2)/10^9),0)</f>
        <v>#NUM!</v>
      </c>
      <c r="AE2345" s="105" t="e">
        <f>IF($H$2231&gt;0,IPMT('Assumptions (Petroleum)'!$V$6,Model!AT$1,'Assumptions (Petroleum)'!$V$9,'Assumptions (Petroleum)'!$V$4*Model!$H$2231*AVERAGE('Assumptions (Petroleum)'!$D$2:$F$2)/10^9),0)</f>
        <v>#NUM!</v>
      </c>
      <c r="AF2345" s="105" t="e">
        <f>IF($H$2231&gt;0,IPMT('Assumptions (Petroleum)'!$V$6,Model!AU$1,'Assumptions (Petroleum)'!$V$9,'Assumptions (Petroleum)'!$V$4*Model!$H$2231*AVERAGE('Assumptions (Petroleum)'!$D$2:$F$2)/10^9),0)</f>
        <v>#NUM!</v>
      </c>
      <c r="AG2345" s="105"/>
    </row>
    <row r="2346" spans="1:68" ht="15.75" hidden="1" customHeight="1" outlineLevel="1">
      <c r="A2346" s="447"/>
      <c r="B2346" s="99"/>
      <c r="C2346" s="105"/>
      <c r="D2346" s="105"/>
      <c r="E2346" s="105"/>
      <c r="F2346" s="105"/>
      <c r="G2346" s="105"/>
      <c r="H2346" s="105"/>
      <c r="I2346" s="105">
        <f>IF($I$2231&gt;0,IPMT('Assumptions (Petroleum)'!$V$6,Model!W$1,'Assumptions (Petroleum)'!$V$9,'Assumptions (Petroleum)'!$V$4*Model!$I$2231*AVERAGE('Assumptions (Petroleum)'!$E$2:$G$2)/10^9),0)</f>
        <v>-3.437699703624108E-3</v>
      </c>
      <c r="J2346" s="105">
        <f>IF($I$2231&gt;0,IPMT('Assumptions (Petroleum)'!$V$6,Model!X$1,'Assumptions (Petroleum)'!$V$9,'Assumptions (Petroleum)'!$V$4*Model!$I$2231*AVERAGE('Assumptions (Petroleum)'!$E$2:$G$2)/10^9),0)</f>
        <v>-3.2753676238550674E-3</v>
      </c>
      <c r="K2346" s="105">
        <f>IF($I$2231&gt;0,IPMT('Assumptions (Petroleum)'!$V$6,Model!Y$1,'Assumptions (Petroleum)'!$V$9,'Assumptions (Petroleum)'!$V$4*Model!$I$2231*AVERAGE('Assumptions (Petroleum)'!$E$2:$G$2)/10^9),0)</f>
        <v>-3.1053247702969976E-3</v>
      </c>
      <c r="L2346" s="105">
        <f>IF($I$2231&gt;0,IPMT('Assumptions (Petroleum)'!$V$6,Model!Z$1,'Assumptions (Petroleum)'!$V$9,'Assumptions (Petroleum)'!$V$4*Model!$I$2231*AVERAGE('Assumptions (Petroleum)'!$E$2:$G$2)/10^9),0)</f>
        <v>-2.9272048811949205E-3</v>
      </c>
      <c r="M2346" s="105">
        <f>IF($I$2231&gt;0,IPMT('Assumptions (Petroleum)'!$V$6,Model!AA$1,'Assumptions (Petroleum)'!$V$9,'Assumptions (Petroleum)'!$V$4*Model!$I$2231*AVERAGE('Assumptions (Petroleum)'!$E$2:$G$2)/10^9),0)</f>
        <v>-2.7406242973604935E-3</v>
      </c>
      <c r="N2346" s="105">
        <f>IF($I$2231&gt;0,IPMT('Assumptions (Petroleum)'!$V$6,Model!AB$1,'Assumptions (Petroleum)'!$V$9,'Assumptions (Petroleum)'!$V$4*Model!$I$2231*AVERAGE('Assumptions (Petroleum)'!$E$2:$G$2)/10^9),0)</f>
        <v>-2.5451811357939322E-3</v>
      </c>
      <c r="O2346" s="105">
        <f>IF($I$2231&gt;0,IPMT('Assumptions (Petroleum)'!$V$6,Model!AC$1,'Assumptions (Petroleum)'!$V$9,'Assumptions (Petroleum)'!$V$4*Model!$I$2231*AVERAGE('Assumptions (Petroleum)'!$E$2:$G$2)/10^9),0)</f>
        <v>-2.3404544240529586E-3</v>
      </c>
      <c r="P2346" s="105">
        <f>IF($I$2231&gt;0,IPMT('Assumptions (Petroleum)'!$V$6,Model!AD$1,'Assumptions (Petroleum)'!$V$9,'Assumptions (Petroleum)'!$V$4*Model!$I$2231*AVERAGE('Assumptions (Petroleum)'!$E$2:$G$2)/10^9),0)</f>
        <v>-2.1260031935042894E-3</v>
      </c>
      <c r="Q2346" s="105">
        <f>IF($I$2231&gt;0,IPMT('Assumptions (Petroleum)'!$V$6,Model!AE$1,'Assumptions (Petroleum)'!$V$9,'Assumptions (Petroleum)'!$V$4*Model!$I$2231*AVERAGE('Assumptions (Petroleum)'!$E$2:$G$2)/10^9),0)</f>
        <v>-1.9013655295045582E-3</v>
      </c>
      <c r="R2346" s="105">
        <f>IF($I$2231&gt;0,IPMT('Assumptions (Petroleum)'!$V$6,Model!AF$1,'Assumptions (Petroleum)'!$V$9,'Assumptions (Petroleum)'!$V$4*Model!$I$2231*AVERAGE('Assumptions (Petroleum)'!$E$2:$G$2)/10^9),0)</f>
        <v>-1.6660575764648395E-3</v>
      </c>
      <c r="S2346" s="105">
        <f>IF($I$2231&gt;0,IPMT('Assumptions (Petroleum)'!$V$6,Model!AG$1,'Assumptions (Petroleum)'!$V$9,'Assumptions (Petroleum)'!$V$4*Model!$I$2231*AVERAGE('Assumptions (Petroleum)'!$E$2:$G$2)/10^9),0)</f>
        <v>-1.4195724956557344E-3</v>
      </c>
      <c r="T2346" s="105">
        <f>IF($I$2231&gt;0,IPMT('Assumptions (Petroleum)'!$V$6,Model!AH$1,'Assumptions (Petroleum)'!$V$9,'Assumptions (Petroleum)'!$V$4*Model!$I$2231*AVERAGE('Assumptions (Petroleum)'!$E$2:$G$2)/10^9),0)</f>
        <v>-1.1613793735081967E-3</v>
      </c>
      <c r="U2346" s="105">
        <f>IF($I$2231&gt;0,IPMT('Assumptions (Petroleum)'!$V$6,Model!AI$1,'Assumptions (Petroleum)'!$V$9,'Assumptions (Petroleum)'!$V$4*Model!$I$2231*AVERAGE('Assumptions (Petroleum)'!$E$2:$G$2)/10^9),0)</f>
        <v>-8.9092207805865074E-4</v>
      </c>
      <c r="V2346" s="105">
        <f>IF($I$2231&gt;0,IPMT('Assumptions (Petroleum)'!$V$6,Model!AJ$1,'Assumptions (Petroleum)'!$V$9,'Assumptions (Petroleum)'!$V$4*Model!$I$2231*AVERAGE('Assumptions (Petroleum)'!$E$2:$G$2)/10^9),0)</f>
        <v>-6.076180610752515E-4</v>
      </c>
      <c r="W2346" s="105">
        <f>IF($I$2231&gt;0,IPMT('Assumptions (Petroleum)'!$V$6,Model!AK$1,'Assumptions (Petroleum)'!$V$9,'Assumptions (Petroleum)'!$V$4*Model!$I$2231*AVERAGE('Assumptions (Petroleum)'!$E$2:$G$2)/10^9),0)</f>
        <v>-3.1085710328514091E-4</v>
      </c>
      <c r="X2346" s="105" t="e">
        <f>IF($I$2231&gt;0,IPMT('Assumptions (Petroleum)'!$V$6,Model!AL$1,'Assumptions (Petroleum)'!$V$9,'Assumptions (Petroleum)'!$V$4*Model!$I$2231*AVERAGE('Assumptions (Petroleum)'!$E$2:$G$2)/10^9),0)</f>
        <v>#NUM!</v>
      </c>
      <c r="Y2346" s="105" t="e">
        <f>IF($I$2231&gt;0,IPMT('Assumptions (Petroleum)'!$V$6,Model!AM$1,'Assumptions (Petroleum)'!$V$9,'Assumptions (Petroleum)'!$V$4*Model!$I$2231*AVERAGE('Assumptions (Petroleum)'!$E$2:$G$2)/10^9),0)</f>
        <v>#NUM!</v>
      </c>
      <c r="Z2346" s="105" t="e">
        <f>IF($I$2231&gt;0,IPMT('Assumptions (Petroleum)'!$V$6,Model!AN$1,'Assumptions (Petroleum)'!$V$9,'Assumptions (Petroleum)'!$V$4*Model!$I$2231*AVERAGE('Assumptions (Petroleum)'!$E$2:$G$2)/10^9),0)</f>
        <v>#NUM!</v>
      </c>
      <c r="AA2346" s="105" t="e">
        <f>IF($I$2231&gt;0,IPMT('Assumptions (Petroleum)'!$V$6,Model!AO$1,'Assumptions (Petroleum)'!$V$9,'Assumptions (Petroleum)'!$V$4*Model!$I$2231*AVERAGE('Assumptions (Petroleum)'!$E$2:$G$2)/10^9),0)</f>
        <v>#NUM!</v>
      </c>
      <c r="AB2346" s="105" t="e">
        <f>IF($I$2231&gt;0,IPMT('Assumptions (Petroleum)'!$V$6,Model!AP$1,'Assumptions (Petroleum)'!$V$9,'Assumptions (Petroleum)'!$V$4*Model!$I$2231*AVERAGE('Assumptions (Petroleum)'!$E$2:$G$2)/10^9),0)</f>
        <v>#NUM!</v>
      </c>
      <c r="AC2346" s="105" t="e">
        <f>IF($I$2231&gt;0,IPMT('Assumptions (Petroleum)'!$V$6,Model!AQ$1,'Assumptions (Petroleum)'!$V$9,'Assumptions (Petroleum)'!$V$4*Model!$I$2231*AVERAGE('Assumptions (Petroleum)'!$E$2:$G$2)/10^9),0)</f>
        <v>#NUM!</v>
      </c>
      <c r="AD2346" s="105" t="e">
        <f>IF($I$2231&gt;0,IPMT('Assumptions (Petroleum)'!$V$6,Model!AR$1,'Assumptions (Petroleum)'!$V$9,'Assumptions (Petroleum)'!$V$4*Model!$I$2231*AVERAGE('Assumptions (Petroleum)'!$E$2:$G$2)/10^9),0)</f>
        <v>#NUM!</v>
      </c>
      <c r="AE2346" s="105" t="e">
        <f>IF($I$2231&gt;0,IPMT('Assumptions (Petroleum)'!$V$6,Model!AS$1,'Assumptions (Petroleum)'!$V$9,'Assumptions (Petroleum)'!$V$4*Model!$I$2231*AVERAGE('Assumptions (Petroleum)'!$E$2:$G$2)/10^9),0)</f>
        <v>#NUM!</v>
      </c>
      <c r="AF2346" s="105" t="e">
        <f>IF($I$2231&gt;0,IPMT('Assumptions (Petroleum)'!$V$6,Model!AT$1,'Assumptions (Petroleum)'!$V$9,'Assumptions (Petroleum)'!$V$4*Model!$I$2231*AVERAGE('Assumptions (Petroleum)'!$E$2:$G$2)/10^9),0)</f>
        <v>#NUM!</v>
      </c>
      <c r="AG2346" s="105" t="e">
        <f>IF($I$2231&gt;0,IPMT('Assumptions (Petroleum)'!$V$6,Model!AU$1,'Assumptions (Petroleum)'!$V$9,'Assumptions (Petroleum)'!$V$4*Model!$I$2231*AVERAGE('Assumptions (Petroleum)'!$E$2:$G$2)/10^9),0)</f>
        <v>#NUM!</v>
      </c>
    </row>
    <row r="2347" spans="1:68" ht="15.75" hidden="1" customHeight="1" outlineLevel="1">
      <c r="A2347" s="447"/>
      <c r="B2347" s="99"/>
      <c r="C2347" s="105"/>
      <c r="D2347" s="105"/>
      <c r="E2347" s="105"/>
      <c r="F2347" s="105"/>
      <c r="G2347" s="105"/>
      <c r="H2347" s="105"/>
      <c r="I2347" s="105"/>
      <c r="J2347" s="105">
        <f>IF($J$2231&gt;0,IPMT('Assumptions (Petroleum)'!$V$6,Model!W$1,'Assumptions (Petroleum)'!$V$9,'Assumptions (Petroleum)'!$V$4*Model!$J$2231*AVERAGE('Assumptions (Petroleum)'!$F$2:$H$2)/10^9),0)</f>
        <v>-4.9809944282226178E-3</v>
      </c>
      <c r="K2347" s="105">
        <f>IF($J$2231&gt;0,IPMT('Assumptions (Petroleum)'!$V$6,Model!X$1,'Assumptions (Petroleum)'!$V$9,'Assumptions (Petroleum)'!$V$4*Model!$J$2231*AVERAGE('Assumptions (Petroleum)'!$F$2:$H$2)/10^9),0)</f>
        <v>-4.745786220827726E-3</v>
      </c>
      <c r="L2347" s="105">
        <f>IF($J$2231&gt;0,IPMT('Assumptions (Petroleum)'!$V$6,Model!Y$1,'Assumptions (Petroleum)'!$V$9,'Assumptions (Petroleum)'!$V$4*Model!$J$2231*AVERAGE('Assumptions (Petroleum)'!$F$2:$H$2)/10^9),0)</f>
        <v>-4.499405623581575E-3</v>
      </c>
      <c r="M2347" s="105">
        <f>IF($J$2231&gt;0,IPMT('Assumptions (Petroleum)'!$V$6,Model!Z$1,'Assumptions (Petroleum)'!$V$9,'Assumptions (Petroleum)'!$V$4*Model!$J$2231*AVERAGE('Assumptions (Petroleum)'!$F$2:$H$2)/10^9),0)</f>
        <v>-4.2413219479662343E-3</v>
      </c>
      <c r="N2347" s="105">
        <f>IF($J$2231&gt;0,IPMT('Assumptions (Petroleum)'!$V$6,Model!AA$1,'Assumptions (Petroleum)'!$V$9,'Assumptions (Petroleum)'!$V$4*Model!$J$2231*AVERAGE('Assumptions (Petroleum)'!$F$2:$H$2)/10^9),0)</f>
        <v>-3.970979297759164E-3</v>
      </c>
      <c r="O2347" s="105">
        <f>IF($J$2231&gt;0,IPMT('Assumptions (Petroleum)'!$V$6,Model!AB$1,'Assumptions (Petroleum)'!$V$9,'Assumptions (Petroleum)'!$V$4*Model!$J$2231*AVERAGE('Assumptions (Petroleum)'!$F$2:$H$2)/10^9),0)</f>
        <v>-3.687795371667258E-3</v>
      </c>
      <c r="P2347" s="105">
        <f>IF($J$2231&gt;0,IPMT('Assumptions (Petroleum)'!$V$6,Model!AC$1,'Assumptions (Petroleum)'!$V$9,'Assumptions (Petroleum)'!$V$4*Model!$J$2231*AVERAGE('Assumptions (Petroleum)'!$F$2:$H$2)/10^9),0)</f>
        <v>-3.3911602090859871E-3</v>
      </c>
      <c r="Q2347" s="105">
        <f>IF($J$2231&gt;0,IPMT('Assumptions (Petroleum)'!$V$6,Model!AD$1,'Assumptions (Petroleum)'!$V$9,'Assumptions (Petroleum)'!$V$4*Model!$J$2231*AVERAGE('Assumptions (Petroleum)'!$F$2:$H$2)/10^9),0)</f>
        <v>-3.080434876282105E-3</v>
      </c>
      <c r="R2347" s="105">
        <f>IF($J$2231&gt;0,IPMT('Assumptions (Petroleum)'!$V$6,Model!AE$1,'Assumptions (Petroleum)'!$V$9,'Assumptions (Petroleum)'!$V$4*Model!$J$2231*AVERAGE('Assumptions (Petroleum)'!$F$2:$H$2)/10^9),0)</f>
        <v>-2.7549500901700389E-3</v>
      </c>
      <c r="S2347" s="105">
        <f>IF($J$2231&gt;0,IPMT('Assumptions (Petroleum)'!$V$6,Model!AF$1,'Assumptions (Petroleum)'!$V$9,'Assumptions (Petroleum)'!$V$4*Model!$J$2231*AVERAGE('Assumptions (Petroleum)'!$F$2:$H$2)/10^9),0)</f>
        <v>-2.4140047767176494E-3</v>
      </c>
      <c r="T2347" s="105">
        <f>IF($J$2231&gt;0,IPMT('Assumptions (Petroleum)'!$V$6,Model!AG$1,'Assumptions (Petroleum)'!$V$9,'Assumptions (Petroleum)'!$V$4*Model!$J$2231*AVERAGE('Assumptions (Petroleum)'!$F$2:$H$2)/10^9),0)</f>
        <v>-2.0568645608762715E-3</v>
      </c>
      <c r="U2347" s="105">
        <f>IF($J$2231&gt;0,IPMT('Assumptions (Petroleum)'!$V$6,Model!AH$1,'Assumptions (Petroleum)'!$V$9,'Assumptions (Petroleum)'!$V$4*Model!$J$2231*AVERAGE('Assumptions (Petroleum)'!$F$2:$H$2)/10^9),0)</f>
        <v>-1.6827601847824284E-3</v>
      </c>
      <c r="V2347" s="105">
        <f>IF($J$2231&gt;0,IPMT('Assumptions (Petroleum)'!$V$6,Model!AI$1,'Assumptions (Petroleum)'!$V$9,'Assumptions (Petroleum)'!$V$4*Model!$J$2231*AVERAGE('Assumptions (Petroleum)'!$F$2:$H$2)/10^9),0)</f>
        <v>-1.2908858508241272E-3</v>
      </c>
      <c r="W2347" s="105">
        <f>IF($J$2231&gt;0,IPMT('Assumptions (Petroleum)'!$V$6,Model!AJ$1,'Assumptions (Petroleum)'!$V$9,'Assumptions (Petroleum)'!$V$4*Model!$J$2231*AVERAGE('Assumptions (Petroleum)'!$F$2:$H$2)/10^9),0)</f>
        <v>-8.8039748600280679E-4</v>
      </c>
      <c r="X2347" s="105">
        <f>IF($J$2231&gt;0,IPMT('Assumptions (Petroleum)'!$V$6,Model!AK$1,'Assumptions (Petroleum)'!$V$9,'Assumptions (Petroleum)'!$V$4*Model!$J$2231*AVERAGE('Assumptions (Petroleum)'!$F$2:$H$2)/10^9),0)</f>
        <v>-4.5041092385247379E-4</v>
      </c>
      <c r="Y2347" s="105" t="e">
        <f>IF($J$2231&gt;0,IPMT('Assumptions (Petroleum)'!$V$6,Model!AL$1,'Assumptions (Petroleum)'!$V$9,'Assumptions (Petroleum)'!$V$4*Model!$J$2231*AVERAGE('Assumptions (Petroleum)'!$F$2:$H$2)/10^9),0)</f>
        <v>#NUM!</v>
      </c>
      <c r="Z2347" s="105" t="e">
        <f>IF($J$2231&gt;0,IPMT('Assumptions (Petroleum)'!$V$6,Model!AM$1,'Assumptions (Petroleum)'!$V$9,'Assumptions (Petroleum)'!$V$4*Model!$J$2231*AVERAGE('Assumptions (Petroleum)'!$F$2:$H$2)/10^9),0)</f>
        <v>#NUM!</v>
      </c>
      <c r="AA2347" s="105" t="e">
        <f>IF($J$2231&gt;0,IPMT('Assumptions (Petroleum)'!$V$6,Model!AN$1,'Assumptions (Petroleum)'!$V$9,'Assumptions (Petroleum)'!$V$4*Model!$J$2231*AVERAGE('Assumptions (Petroleum)'!$F$2:$H$2)/10^9),0)</f>
        <v>#NUM!</v>
      </c>
      <c r="AB2347" s="105" t="e">
        <f>IF($J$2231&gt;0,IPMT('Assumptions (Petroleum)'!$V$6,Model!AO$1,'Assumptions (Petroleum)'!$V$9,'Assumptions (Petroleum)'!$V$4*Model!$J$2231*AVERAGE('Assumptions (Petroleum)'!$F$2:$H$2)/10^9),0)</f>
        <v>#NUM!</v>
      </c>
      <c r="AC2347" s="105" t="e">
        <f>IF($J$2231&gt;0,IPMT('Assumptions (Petroleum)'!$V$6,Model!AP$1,'Assumptions (Petroleum)'!$V$9,'Assumptions (Petroleum)'!$V$4*Model!$J$2231*AVERAGE('Assumptions (Petroleum)'!$F$2:$H$2)/10^9),0)</f>
        <v>#NUM!</v>
      </c>
      <c r="AD2347" s="105" t="e">
        <f>IF($J$2231&gt;0,IPMT('Assumptions (Petroleum)'!$V$6,Model!AQ$1,'Assumptions (Petroleum)'!$V$9,'Assumptions (Petroleum)'!$V$4*Model!$J$2231*AVERAGE('Assumptions (Petroleum)'!$F$2:$H$2)/10^9),0)</f>
        <v>#NUM!</v>
      </c>
      <c r="AE2347" s="105" t="e">
        <f>IF($J$2231&gt;0,IPMT('Assumptions (Petroleum)'!$V$6,Model!AR$1,'Assumptions (Petroleum)'!$V$9,'Assumptions (Petroleum)'!$V$4*Model!$J$2231*AVERAGE('Assumptions (Petroleum)'!$F$2:$H$2)/10^9),0)</f>
        <v>#NUM!</v>
      </c>
      <c r="AF2347" s="105" t="e">
        <f>IF($J$2231&gt;0,IPMT('Assumptions (Petroleum)'!$V$6,Model!AS$1,'Assumptions (Petroleum)'!$V$9,'Assumptions (Petroleum)'!$V$4*Model!$J$2231*AVERAGE('Assumptions (Petroleum)'!$F$2:$H$2)/10^9),0)</f>
        <v>#NUM!</v>
      </c>
      <c r="AG2347" s="105" t="e">
        <f>IF($J$2231&gt;0,IPMT('Assumptions (Petroleum)'!$V$6,Model!AT$1,'Assumptions (Petroleum)'!$V$9,'Assumptions (Petroleum)'!$V$4*Model!$J$2231*AVERAGE('Assumptions (Petroleum)'!$F$2:$H$2)/10^9),0)</f>
        <v>#NUM!</v>
      </c>
      <c r="AH2347" s="105" t="e">
        <f>IF($J$2231&gt;0,IPMT('Assumptions (Petroleum)'!$V$6,Model!AU$1,'Assumptions (Petroleum)'!$V$9,'Assumptions (Petroleum)'!$V$4*Model!$J$2231*AVERAGE('Assumptions (Petroleum)'!$F$2:$H$2)/10^9),0)</f>
        <v>#NUM!</v>
      </c>
    </row>
    <row r="2348" spans="1:68" ht="15.75" hidden="1" customHeight="1" outlineLevel="1">
      <c r="A2348" s="447"/>
      <c r="B2348" s="99"/>
      <c r="C2348" s="105"/>
      <c r="D2348" s="105"/>
      <c r="E2348" s="105"/>
      <c r="F2348" s="105"/>
      <c r="G2348" s="105"/>
      <c r="H2348" s="105"/>
      <c r="I2348" s="105"/>
      <c r="J2348" s="105"/>
      <c r="K2348" s="105">
        <f>IF($K$2231&gt;0,IPMT('Assumptions (Petroleum)'!$V$6,Model!W$1,'Assumptions (Petroleum)'!$V$9,'Assumptions (Petroleum)'!$V$4*Model!$K$2231*AVERAGE('Assumptions (Petroleum)'!$G$2:$I$2)/10^9),0)</f>
        <v>-1.8179901751509476E-3</v>
      </c>
      <c r="L2348" s="105">
        <f>IF($K$2231&gt;0,IPMT('Assumptions (Petroleum)'!$V$6,Model!X$1,'Assumptions (Petroleum)'!$V$9,'Assumptions (Petroleum)'!$V$4*Model!$K$2231*AVERAGE('Assumptions (Petroleum)'!$G$2:$I$2)/10^9),0)</f>
        <v>-1.7321426167325044E-3</v>
      </c>
      <c r="M2348" s="105">
        <f>IF($K$2231&gt;0,IPMT('Assumptions (Petroleum)'!$V$6,Model!Y$1,'Assumptions (Petroleum)'!$V$9,'Assumptions (Petroleum)'!$V$4*Model!$K$2231*AVERAGE('Assumptions (Petroleum)'!$G$2:$I$2)/10^9),0)</f>
        <v>-1.6422172992891851E-3</v>
      </c>
      <c r="N2348" s="105">
        <f>IF($K$2231&gt;0,IPMT('Assumptions (Petroleum)'!$V$6,Model!Z$1,'Assumptions (Petroleum)'!$V$9,'Assumptions (Petroleum)'!$V$4*Model!$K$2231*AVERAGE('Assumptions (Petroleum)'!$G$2:$I$2)/10^9),0)</f>
        <v>-1.5480205292673088E-3</v>
      </c>
      <c r="O2348" s="105">
        <f>IF($K$2231&gt;0,IPMT('Assumptions (Petroleum)'!$V$6,Model!AA$1,'Assumptions (Petroleum)'!$V$9,'Assumptions (Petroleum)'!$V$4*Model!$K$2231*AVERAGE('Assumptions (Petroleum)'!$G$2:$I$2)/10^9),0)</f>
        <v>-1.449349412669393E-3</v>
      </c>
      <c r="P2348" s="105">
        <f>IF($K$2231&gt;0,IPMT('Assumptions (Petroleum)'!$V$6,Model!AB$1,'Assumptions (Petroleum)'!$V$9,'Assumptions (Petroleum)'!$V$4*Model!$K$2231*AVERAGE('Assumptions (Petroleum)'!$G$2:$I$2)/10^9),0)</f>
        <v>-1.3459914180330762E-3</v>
      </c>
      <c r="Q2348" s="105">
        <f>IF($K$2231&gt;0,IPMT('Assumptions (Petroleum)'!$V$6,Model!AC$1,'Assumptions (Petroleum)'!$V$9,'Assumptions (Petroleum)'!$V$4*Model!$K$2231*AVERAGE('Assumptions (Petroleum)'!$G$2:$I$2)/10^9),0)</f>
        <v>-1.2377239186515342E-3</v>
      </c>
      <c r="R2348" s="105">
        <f>IF($K$2231&gt;0,IPMT('Assumptions (Petroleum)'!$V$6,Model!AD$1,'Assumptions (Petroleum)'!$V$9,'Assumptions (Petroleum)'!$V$4*Model!$K$2231*AVERAGE('Assumptions (Petroleum)'!$G$2:$I$2)/10^9),0)</f>
        <v>-1.1243137130493692E-3</v>
      </c>
      <c r="S2348" s="105">
        <f>IF($K$2231&gt;0,IPMT('Assumptions (Petroleum)'!$V$6,Model!AE$1,'Assumptions (Petroleum)'!$V$9,'Assumptions (Petroleum)'!$V$4*Model!$K$2231*AVERAGE('Assumptions (Petroleum)'!$G$2:$I$2)/10^9),0)</f>
        <v>-1.0055165226811017E-3</v>
      </c>
      <c r="T2348" s="105">
        <f>IF($K$2231&gt;0,IPMT('Assumptions (Petroleum)'!$V$6,Model!AF$1,'Assumptions (Petroleum)'!$V$9,'Assumptions (Petroleum)'!$V$4*Model!$K$2231*AVERAGE('Assumptions (Petroleum)'!$G$2:$I$2)/10^9),0)</f>
        <v>-8.8107646577034076E-4</v>
      </c>
      <c r="U2348" s="105">
        <f>IF($K$2231&gt;0,IPMT('Assumptions (Petroleum)'!$V$6,Model!AG$1,'Assumptions (Petroleum)'!$V$9,'Assumptions (Petroleum)'!$V$4*Model!$K$2231*AVERAGE('Assumptions (Petroleum)'!$G$2:$I$2)/10^9),0)</f>
        <v>-7.5072550615631905E-4</v>
      </c>
      <c r="V2348" s="105">
        <f>IF($K$2231&gt;0,IPMT('Assumptions (Petroleum)'!$V$6,Model!AH$1,'Assumptions (Petroleum)'!$V$9,'Assumptions (Petroleum)'!$V$4*Model!$K$2231*AVERAGE('Assumptions (Petroleum)'!$G$2:$I$2)/10^9),0)</f>
        <v>-6.141828759606313E-4</v>
      </c>
      <c r="W2348" s="105">
        <f>IF($K$2231&gt;0,IPMT('Assumptions (Petroleum)'!$V$6,Model!AI$1,'Assumptions (Petroleum)'!$V$9,'Assumptions (Petroleum)'!$V$4*Model!$K$2231*AVERAGE('Assumptions (Petroleum)'!$G$2:$I$2)/10^9),0)</f>
        <v>-4.7115447083064828E-4</v>
      </c>
      <c r="X2348" s="105">
        <f>IF($K$2231&gt;0,IPMT('Assumptions (Petroleum)'!$V$6,Model!AJ$1,'Assumptions (Petroleum)'!$V$9,'Assumptions (Petroleum)'!$V$4*Model!$K$2231*AVERAGE('Assumptions (Petroleum)'!$G$2:$I$2)/10^9),0)</f>
        <v>-3.2133221645699102E-4</v>
      </c>
      <c r="Y2348" s="105">
        <f>IF($K$2231&gt;0,IPMT('Assumptions (Petroleum)'!$V$6,Model!AK$1,'Assumptions (Petroleum)'!$V$9,'Assumptions (Petroleum)'!$V$4*Model!$K$2231*AVERAGE('Assumptions (Petroleum)'!$G$2:$I$2)/10^9),0)</f>
        <v>-1.6439340500058516E-4</v>
      </c>
      <c r="Z2348" s="105" t="e">
        <f>IF($K$2231&gt;0,IPMT('Assumptions (Petroleum)'!$V$6,Model!AL$1,'Assumptions (Petroleum)'!$V$9,'Assumptions (Petroleum)'!$V$4*Model!$K$2231*AVERAGE('Assumptions (Petroleum)'!$G$2:$I$2)/10^9),0)</f>
        <v>#NUM!</v>
      </c>
      <c r="AA2348" s="105" t="e">
        <f>IF($K$2231&gt;0,IPMT('Assumptions (Petroleum)'!$V$6,Model!AM$1,'Assumptions (Petroleum)'!$V$9,'Assumptions (Petroleum)'!$V$4*Model!$K$2231*AVERAGE('Assumptions (Petroleum)'!$G$2:$I$2)/10^9),0)</f>
        <v>#NUM!</v>
      </c>
      <c r="AB2348" s="105" t="e">
        <f>IF($K$2231&gt;0,IPMT('Assumptions (Petroleum)'!$V$6,Model!AN$1,'Assumptions (Petroleum)'!$V$9,'Assumptions (Petroleum)'!$V$4*Model!$K$2231*AVERAGE('Assumptions (Petroleum)'!$G$2:$I$2)/10^9),0)</f>
        <v>#NUM!</v>
      </c>
      <c r="AC2348" s="105" t="e">
        <f>IF($K$2231&gt;0,IPMT('Assumptions (Petroleum)'!$V$6,Model!AO$1,'Assumptions (Petroleum)'!$V$9,'Assumptions (Petroleum)'!$V$4*Model!$K$2231*AVERAGE('Assumptions (Petroleum)'!$G$2:$I$2)/10^9),0)</f>
        <v>#NUM!</v>
      </c>
      <c r="AD2348" s="105" t="e">
        <f>IF($K$2231&gt;0,IPMT('Assumptions (Petroleum)'!$V$6,Model!AP$1,'Assumptions (Petroleum)'!$V$9,'Assumptions (Petroleum)'!$V$4*Model!$K$2231*AVERAGE('Assumptions (Petroleum)'!$G$2:$I$2)/10^9),0)</f>
        <v>#NUM!</v>
      </c>
      <c r="AE2348" s="105" t="e">
        <f>IF($K$2231&gt;0,IPMT('Assumptions (Petroleum)'!$V$6,Model!AQ$1,'Assumptions (Petroleum)'!$V$9,'Assumptions (Petroleum)'!$V$4*Model!$K$2231*AVERAGE('Assumptions (Petroleum)'!$G$2:$I$2)/10^9),0)</f>
        <v>#NUM!</v>
      </c>
      <c r="AF2348" s="105" t="e">
        <f>IF($K$2231&gt;0,IPMT('Assumptions (Petroleum)'!$V$6,Model!AR$1,'Assumptions (Petroleum)'!$V$9,'Assumptions (Petroleum)'!$V$4*Model!$K$2231*AVERAGE('Assumptions (Petroleum)'!$G$2:$I$2)/10^9),0)</f>
        <v>#NUM!</v>
      </c>
      <c r="AG2348" s="105" t="e">
        <f>IF($K$2231&gt;0,IPMT('Assumptions (Petroleum)'!$V$6,Model!AS$1,'Assumptions (Petroleum)'!$V$9,'Assumptions (Petroleum)'!$V$4*Model!$K$2231*AVERAGE('Assumptions (Petroleum)'!$G$2:$I$2)/10^9),0)</f>
        <v>#NUM!</v>
      </c>
      <c r="AH2348" s="105" t="e">
        <f>IF($K$2231&gt;0,IPMT('Assumptions (Petroleum)'!$V$6,Model!AT$1,'Assumptions (Petroleum)'!$V$9,'Assumptions (Petroleum)'!$V$4*Model!$K$2231*AVERAGE('Assumptions (Petroleum)'!$G$2:$I$2)/10^9),0)</f>
        <v>#NUM!</v>
      </c>
      <c r="AI2348" s="105" t="e">
        <f>IF($K$2231&gt;0,IPMT('Assumptions (Petroleum)'!$V$6,Model!AU$1,'Assumptions (Petroleum)'!$V$9,'Assumptions (Petroleum)'!$V$4*Model!$K$2231*AVERAGE('Assumptions (Petroleum)'!$G$2:$I$2)/10^9),0)</f>
        <v>#NUM!</v>
      </c>
    </row>
    <row r="2349" spans="1:68" ht="15.75" hidden="1" customHeight="1" outlineLevel="1">
      <c r="A2349" s="447"/>
      <c r="B2349" s="99"/>
      <c r="C2349" s="105"/>
      <c r="D2349" s="105"/>
      <c r="E2349" s="105"/>
      <c r="F2349" s="105"/>
      <c r="G2349" s="105"/>
      <c r="H2349" s="105"/>
      <c r="I2349" s="105"/>
      <c r="J2349" s="105"/>
      <c r="K2349" s="105"/>
      <c r="L2349" s="105">
        <f>IF($L$2231&gt;0,IPMT('Assumptions (Petroleum)'!$V$6,Model!W$1,'Assumptions (Petroleum)'!$V$9,'Assumptions (Petroleum)'!$V$4*Model!$L$2231*AVERAGE('Assumptions (Petroleum)'!$H$2:$J$2)/10^9),0)</f>
        <v>-1.4453976496392649E-3</v>
      </c>
      <c r="M2349" s="105">
        <f>IF($L$2231&gt;0,IPMT('Assumptions (Petroleum)'!$V$6,Model!X$1,'Assumptions (Petroleum)'!$V$9,'Assumptions (Petroleum)'!$V$4*Model!$L$2231*AVERAGE('Assumptions (Petroleum)'!$H$2:$J$2)/10^9),0)</f>
        <v>-1.3771443329484941E-3</v>
      </c>
      <c r="N2349" s="105">
        <f>IF($L$2231&gt;0,IPMT('Assumptions (Petroleum)'!$V$6,Model!Y$1,'Assumptions (Petroleum)'!$V$9,'Assumptions (Petroleum)'!$V$4*Model!$L$2231*AVERAGE('Assumptions (Petroleum)'!$H$2:$J$2)/10^9),0)</f>
        <v>-1.3056489837149118E-3</v>
      </c>
      <c r="O2349" s="105">
        <f>IF($L$2231&gt;0,IPMT('Assumptions (Petroleum)'!$V$6,Model!Z$1,'Assumptions (Petroleum)'!$V$9,'Assumptions (Petroleum)'!$V$4*Model!$L$2231*AVERAGE('Assumptions (Petroleum)'!$H$2:$J$2)/10^9),0)</f>
        <v>-1.2307576053927349E-3</v>
      </c>
      <c r="P2349" s="105">
        <f>IF($L$2231&gt;0,IPMT('Assumptions (Petroleum)'!$V$6,Model!AA$1,'Assumptions (Petroleum)'!$V$9,'Assumptions (Petroleum)'!$V$4*Model!$L$2231*AVERAGE('Assumptions (Petroleum)'!$H$2:$J$2)/10^9),0)</f>
        <v>-1.152308886600254E-3</v>
      </c>
      <c r="Q2349" s="105">
        <f>IF($L$2231&gt;0,IPMT('Assumptions (Petroleum)'!$V$6,Model!AB$1,'Assumptions (Petroleum)'!$V$9,'Assumptions (Petroleum)'!$V$4*Model!$L$2231*AVERAGE('Assumptions (Petroleum)'!$H$2:$J$2)/10^9),0)</f>
        <v>-1.0701338536651306E-3</v>
      </c>
      <c r="R2349" s="105">
        <f>IF($L$2231&gt;0,IPMT('Assumptions (Petroleum)'!$V$6,Model!AC$1,'Assumptions (Petroleum)'!$V$9,'Assumptions (Petroleum)'!$V$4*Model!$L$2231*AVERAGE('Assumptions (Petroleum)'!$H$2:$J$2)/10^9),0)</f>
        <v>-9.8405550666558878E-4</v>
      </c>
      <c r="S2349" s="105">
        <f>IF($L$2231&gt;0,IPMT('Assumptions (Petroleum)'!$V$6,Model!AD$1,'Assumptions (Petroleum)'!$V$9,'Assumptions (Petroleum)'!$V$4*Model!$L$2231*AVERAGE('Assumptions (Petroleum)'!$H$2:$J$2)/10^9),0)</f>
        <v>-8.9388843818356877E-4</v>
      </c>
      <c r="T2349" s="105">
        <f>IF($L$2231&gt;0,IPMT('Assumptions (Petroleum)'!$V$6,Model!AE$1,'Assumptions (Petroleum)'!$V$9,'Assumptions (Petroleum)'!$V$4*Model!$L$2231*AVERAGE('Assumptions (Petroleum)'!$H$2:$J$2)/10^9),0)</f>
        <v>-7.9943843394865281E-4</v>
      </c>
      <c r="U2349" s="105">
        <f>IF($L$2231&gt;0,IPMT('Assumptions (Petroleum)'!$V$6,Model!AF$1,'Assumptions (Petroleum)'!$V$9,'Assumptions (Petroleum)'!$V$4*Model!$L$2231*AVERAGE('Assumptions (Petroleum)'!$H$2:$J$2)/10^9),0)</f>
        <v>-7.0050205451257824E-4</v>
      </c>
      <c r="V2349" s="105">
        <f>IF($L$2231&gt;0,IPMT('Assumptions (Petroleum)'!$V$6,Model!AG$1,'Assumptions (Petroleum)'!$V$9,'Assumptions (Petroleum)'!$V$4*Model!$L$2231*AVERAGE('Assumptions (Petroleum)'!$H$2:$J$2)/10^9),0)</f>
        <v>-5.9686619705329018E-4</v>
      </c>
      <c r="W2349" s="105">
        <f>IF($L$2231&gt;0,IPMT('Assumptions (Petroleum)'!$V$6,Model!AH$1,'Assumptions (Petroleum)'!$V$9,'Assumptions (Petroleum)'!$V$4*Model!$L$2231*AVERAGE('Assumptions (Petroleum)'!$H$2:$J$2)/10^9),0)</f>
        <v>-4.8830763636468588E-4</v>
      </c>
      <c r="X2349" s="105">
        <f>IF($L$2231&gt;0,IPMT('Assumptions (Petroleum)'!$V$6,Model!AI$1,'Assumptions (Petroleum)'!$V$9,'Assumptions (Petroleum)'!$V$4*Model!$L$2231*AVERAGE('Assumptions (Petroleum)'!$H$2:$J$2)/10^9),0)</f>
        <v>-3.7459254404337289E-4</v>
      </c>
      <c r="Y2349" s="105">
        <f>IF($L$2231&gt;0,IPMT('Assumptions (Petroleum)'!$V$6,Model!AJ$1,'Assumptions (Petroleum)'!$V$9,'Assumptions (Petroleum)'!$V$4*Model!$L$2231*AVERAGE('Assumptions (Petroleum)'!$H$2:$J$2)/10^9),0)</f>
        <v>-2.5547598483679747E-4</v>
      </c>
      <c r="Z2349" s="105">
        <f>IF($L$2231&gt;0,IPMT('Assumptions (Petroleum)'!$V$6,Model!AK$1,'Assumptions (Petroleum)'!$V$9,'Assumptions (Petroleum)'!$V$4*Model!$L$2231*AVERAGE('Assumptions (Petroleum)'!$H$2:$J$2)/10^9),0)</f>
        <v>-1.3070138906790983E-4</v>
      </c>
      <c r="AA2349" s="105" t="e">
        <f>IF($L$2231&gt;0,IPMT('Assumptions (Petroleum)'!$V$6,Model!AL$1,'Assumptions (Petroleum)'!$V$9,'Assumptions (Petroleum)'!$V$4*Model!$L$2231*AVERAGE('Assumptions (Petroleum)'!$H$2:$J$2)/10^9),0)</f>
        <v>#NUM!</v>
      </c>
      <c r="AB2349" s="105" t="e">
        <f>IF($L$2231&gt;0,IPMT('Assumptions (Petroleum)'!$V$6,Model!AM$1,'Assumptions (Petroleum)'!$V$9,'Assumptions (Petroleum)'!$V$4*Model!$L$2231*AVERAGE('Assumptions (Petroleum)'!$H$2:$J$2)/10^9),0)</f>
        <v>#NUM!</v>
      </c>
      <c r="AC2349" s="105" t="e">
        <f>IF($L$2231&gt;0,IPMT('Assumptions (Petroleum)'!$V$6,Model!AN$1,'Assumptions (Petroleum)'!$V$9,'Assumptions (Petroleum)'!$V$4*Model!$L$2231*AVERAGE('Assumptions (Petroleum)'!$H$2:$J$2)/10^9),0)</f>
        <v>#NUM!</v>
      </c>
      <c r="AD2349" s="105" t="e">
        <f>IF($L$2231&gt;0,IPMT('Assumptions (Petroleum)'!$V$6,Model!AO$1,'Assumptions (Petroleum)'!$V$9,'Assumptions (Petroleum)'!$V$4*Model!$L$2231*AVERAGE('Assumptions (Petroleum)'!$H$2:$J$2)/10^9),0)</f>
        <v>#NUM!</v>
      </c>
      <c r="AE2349" s="105" t="e">
        <f>IF($L$2231&gt;0,IPMT('Assumptions (Petroleum)'!$V$6,Model!AP$1,'Assumptions (Petroleum)'!$V$9,'Assumptions (Petroleum)'!$V$4*Model!$L$2231*AVERAGE('Assumptions (Petroleum)'!$H$2:$J$2)/10^9),0)</f>
        <v>#NUM!</v>
      </c>
      <c r="AF2349" s="105" t="e">
        <f>IF($L$2231&gt;0,IPMT('Assumptions (Petroleum)'!$V$6,Model!AQ$1,'Assumptions (Petroleum)'!$V$9,'Assumptions (Petroleum)'!$V$4*Model!$L$2231*AVERAGE('Assumptions (Petroleum)'!$H$2:$J$2)/10^9),0)</f>
        <v>#NUM!</v>
      </c>
      <c r="AG2349" s="105" t="e">
        <f>IF($L$2231&gt;0,IPMT('Assumptions (Petroleum)'!$V$6,Model!AR$1,'Assumptions (Petroleum)'!$V$9,'Assumptions (Petroleum)'!$V$4*Model!$L$2231*AVERAGE('Assumptions (Petroleum)'!$H$2:$J$2)/10^9),0)</f>
        <v>#NUM!</v>
      </c>
      <c r="AH2349" s="105" t="e">
        <f>IF($L$2231&gt;0,IPMT('Assumptions (Petroleum)'!$V$6,Model!AS$1,'Assumptions (Petroleum)'!$V$9,'Assumptions (Petroleum)'!$V$4*Model!$L$2231*AVERAGE('Assumptions (Petroleum)'!$H$2:$J$2)/10^9),0)</f>
        <v>#NUM!</v>
      </c>
      <c r="AI2349" s="105" t="e">
        <f>IF($L$2231&gt;0,IPMT('Assumptions (Petroleum)'!$V$6,Model!AT$1,'Assumptions (Petroleum)'!$V$9,'Assumptions (Petroleum)'!$V$4*Model!$L$2231*AVERAGE('Assumptions (Petroleum)'!$H$2:$J$2)/10^9),0)</f>
        <v>#NUM!</v>
      </c>
      <c r="AJ2349" s="105" t="e">
        <f>IF($L$2231&gt;0,IPMT('Assumptions (Petroleum)'!$V$6,Model!AU$1,'Assumptions (Petroleum)'!$V$9,'Assumptions (Petroleum)'!$V$4*Model!$L$2231*AVERAGE('Assumptions (Petroleum)'!$H$2:$J$2)/10^9),0)</f>
        <v>#NUM!</v>
      </c>
    </row>
    <row r="2350" spans="1:68" ht="15.75" hidden="1" customHeight="1" outlineLevel="1">
      <c r="A2350" s="447"/>
      <c r="B2350" s="99"/>
      <c r="C2350" s="105"/>
      <c r="D2350" s="105"/>
      <c r="E2350" s="105"/>
      <c r="F2350" s="105"/>
      <c r="G2350" s="105"/>
      <c r="H2350" s="105"/>
      <c r="I2350" s="105"/>
      <c r="J2350" s="105"/>
      <c r="K2350" s="105"/>
      <c r="L2350" s="105"/>
      <c r="M2350" s="105">
        <f>IF($M$2231&gt;0,IPMT('Assumptions (Petroleum)'!$V$6,Model!W$1,'Assumptions (Petroleum)'!$V$9,'Assumptions (Petroleum)'!$V$4*Model!$M$2231*AVERAGE('Assumptions (Petroleum)'!$I$2:$K$2)/10^9),0)</f>
        <v>-2.0099552579595923E-2</v>
      </c>
      <c r="N2350" s="105">
        <f>IF($M$2231&gt;0,IPMT('Assumptions (Petroleum)'!$V$6,Model!X$1,'Assumptions (Petroleum)'!$V$9,'Assumptions (Petroleum)'!$V$4*Model!$M$2231*AVERAGE('Assumptions (Petroleum)'!$I$2:$K$2)/10^9),0)</f>
        <v>-1.9150428905636487E-2</v>
      </c>
      <c r="O2350" s="105">
        <f>IF($M$2231&gt;0,IPMT('Assumptions (Petroleum)'!$V$6,Model!Y$1,'Assumptions (Petroleum)'!$V$9,'Assumptions (Petroleum)'!$V$4*Model!$M$2231*AVERAGE('Assumptions (Petroleum)'!$I$2:$K$2)/10^9),0)</f>
        <v>-1.8156221857163972E-2</v>
      </c>
      <c r="P2350" s="105">
        <f>IF($M$2231&gt;0,IPMT('Assumptions (Petroleum)'!$V$6,Model!Z$1,'Assumptions (Petroleum)'!$V$9,'Assumptions (Petroleum)'!$V$4*Model!$M$2231*AVERAGE('Assumptions (Petroleum)'!$I$2:$K$2)/10^9),0)</f>
        <v>-1.711478997388902E-2</v>
      </c>
      <c r="Q2350" s="105">
        <f>IF($M$2231&gt;0,IPMT('Assumptions (Petroleum)'!$V$6,Model!AA$1,'Assumptions (Petroleum)'!$V$9,'Assumptions (Petroleum)'!$V$4*Model!$M$2231*AVERAGE('Assumptions (Petroleum)'!$I$2:$K$2)/10^9),0)</f>
        <v>-1.6023890076158506E-2</v>
      </c>
      <c r="R2350" s="105">
        <f>IF($M$2231&gt;0,IPMT('Assumptions (Petroleum)'!$V$6,Model!AB$1,'Assumptions (Petroleum)'!$V$9,'Assumptions (Petroleum)'!$V$4*Model!$M$2231*AVERAGE('Assumptions (Petroleum)'!$I$2:$K$2)/10^9),0)</f>
        <v>-1.4881172433285791E-2</v>
      </c>
      <c r="S2350" s="105">
        <f>IF($M$2231&gt;0,IPMT('Assumptions (Petroleum)'!$V$6,Model!AC$1,'Assumptions (Petroleum)'!$V$9,'Assumptions (Petroleum)'!$V$4*Model!$M$2231*AVERAGE('Assumptions (Petroleum)'!$I$2:$K$2)/10^9),0)</f>
        <v>-1.3684175702376624E-2</v>
      </c>
      <c r="T2350" s="105">
        <f>IF($M$2231&gt;0,IPMT('Assumptions (Petroleum)'!$V$6,Model!AD$1,'Assumptions (Petroleum)'!$V$9,'Assumptions (Petroleum)'!$V$4*Model!$M$2231*AVERAGE('Assumptions (Petroleum)'!$I$2:$K$2)/10^9),0)</f>
        <v>-1.2430321626749272E-2</v>
      </c>
      <c r="U2350" s="105">
        <f>IF($M$2231&gt;0,IPMT('Assumptions (Petroleum)'!$V$6,Model!AE$1,'Assumptions (Petroleum)'!$V$9,'Assumptions (Petroleum)'!$V$4*Model!$M$2231*AVERAGE('Assumptions (Petroleum)'!$I$2:$K$2)/10^9),0)</f>
        <v>-1.1116909482529622E-2</v>
      </c>
      <c r="V2350" s="105">
        <f>IF($M$2231&gt;0,IPMT('Assumptions (Petroleum)'!$V$6,Model!AF$1,'Assumptions (Petroleum)'!$V$9,'Assumptions (Petroleum)'!$V$4*Model!$M$2231*AVERAGE('Assumptions (Petroleum)'!$I$2:$K$2)/10^9),0)</f>
        <v>-9.7411102614595353E-3</v>
      </c>
      <c r="W2350" s="105">
        <f>IF($M$2231&gt;0,IPMT('Assumptions (Petroleum)'!$V$6,Model!AG$1,'Assumptions (Petroleum)'!$V$9,'Assumptions (Petroleum)'!$V$4*Model!$M$2231*AVERAGE('Assumptions (Petroleum)'!$I$2:$K$2)/10^9),0)</f>
        <v>-8.2999605773886199E-3</v>
      </c>
      <c r="X2350" s="105">
        <f>IF($M$2231&gt;0,IPMT('Assumptions (Petroleum)'!$V$6,Model!AH$1,'Assumptions (Petroleum)'!$V$9,'Assumptions (Petroleum)'!$V$4*Model!$M$2231*AVERAGE('Assumptions (Petroleum)'!$I$2:$K$2)/10^9),0)</f>
        <v>-6.7903562833243371E-3</v>
      </c>
      <c r="Y2350" s="105">
        <f>IF($M$2231&gt;0,IPMT('Assumptions (Petroleum)'!$V$6,Model!AI$1,'Assumptions (Petroleum)'!$V$9,'Assumptions (Petroleum)'!$V$4*Model!$M$2231*AVERAGE('Assumptions (Petroleum)'!$I$2:$K$2)/10^9),0)</f>
        <v>-5.2090457852919997E-3</v>
      </c>
      <c r="Z2350" s="105">
        <f>IF($M$2231&gt;0,IPMT('Assumptions (Petroleum)'!$V$6,Model!AJ$1,'Assumptions (Petroleum)'!$V$9,'Assumptions (Petroleum)'!$V$4*Model!$M$2231*AVERAGE('Assumptions (Petroleum)'!$I$2:$K$2)/10^9),0)</f>
        <v>-3.5526230386031268E-3</v>
      </c>
      <c r="AA2350" s="105">
        <f>IF($M$2231&gt;0,IPMT('Assumptions (Petroleum)'!$V$6,Model!AK$1,'Assumptions (Petroleum)'!$V$9,'Assumptions (Petroleum)'!$V$4*Model!$M$2231*AVERAGE('Assumptions (Petroleum)'!$I$2:$K$2)/10^9),0)</f>
        <v>-1.8175202114465326E-3</v>
      </c>
      <c r="AB2350" s="105" t="e">
        <f>IF($M$2231&gt;0,IPMT('Assumptions (Petroleum)'!$V$6,Model!AL$1,'Assumptions (Petroleum)'!$V$9,'Assumptions (Petroleum)'!$V$4*Model!$M$2231*AVERAGE('Assumptions (Petroleum)'!$I$2:$K$2)/10^9),0)</f>
        <v>#NUM!</v>
      </c>
      <c r="AC2350" s="105" t="e">
        <f>IF($M$2231&gt;0,IPMT('Assumptions (Petroleum)'!$V$6,Model!AM$1,'Assumptions (Petroleum)'!$V$9,'Assumptions (Petroleum)'!$V$4*Model!$M$2231*AVERAGE('Assumptions (Petroleum)'!$I$2:$K$2)/10^9),0)</f>
        <v>#NUM!</v>
      </c>
      <c r="AD2350" s="105" t="e">
        <f>IF($M$2231&gt;0,IPMT('Assumptions (Petroleum)'!$V$6,Model!AN$1,'Assumptions (Petroleum)'!$V$9,'Assumptions (Petroleum)'!$V$4*Model!$M$2231*AVERAGE('Assumptions (Petroleum)'!$I$2:$K$2)/10^9),0)</f>
        <v>#NUM!</v>
      </c>
      <c r="AE2350" s="105" t="e">
        <f>IF($M$2231&gt;0,IPMT('Assumptions (Petroleum)'!$V$6,Model!AO$1,'Assumptions (Petroleum)'!$V$9,'Assumptions (Petroleum)'!$V$4*Model!$M$2231*AVERAGE('Assumptions (Petroleum)'!$I$2:$K$2)/10^9),0)</f>
        <v>#NUM!</v>
      </c>
      <c r="AF2350" s="105" t="e">
        <f>IF($M$2231&gt;0,IPMT('Assumptions (Petroleum)'!$V$6,Model!AP$1,'Assumptions (Petroleum)'!$V$9,'Assumptions (Petroleum)'!$V$4*Model!$M$2231*AVERAGE('Assumptions (Petroleum)'!$I$2:$K$2)/10^9),0)</f>
        <v>#NUM!</v>
      </c>
      <c r="AG2350" s="105" t="e">
        <f>IF($M$2231&gt;0,IPMT('Assumptions (Petroleum)'!$V$6,Model!AQ$1,'Assumptions (Petroleum)'!$V$9,'Assumptions (Petroleum)'!$V$4*Model!$M$2231*AVERAGE('Assumptions (Petroleum)'!$I$2:$K$2)/10^9),0)</f>
        <v>#NUM!</v>
      </c>
      <c r="AH2350" s="105" t="e">
        <f>IF($M$2231&gt;0,IPMT('Assumptions (Petroleum)'!$V$6,Model!AR$1,'Assumptions (Petroleum)'!$V$9,'Assumptions (Petroleum)'!$V$4*Model!$M$2231*AVERAGE('Assumptions (Petroleum)'!$I$2:$K$2)/10^9),0)</f>
        <v>#NUM!</v>
      </c>
      <c r="AI2350" s="105" t="e">
        <f>IF($M$2231&gt;0,IPMT('Assumptions (Petroleum)'!$V$6,Model!AS$1,'Assumptions (Petroleum)'!$V$9,'Assumptions (Petroleum)'!$V$4*Model!$M$2231*AVERAGE('Assumptions (Petroleum)'!$I$2:$K$2)/10^9),0)</f>
        <v>#NUM!</v>
      </c>
      <c r="AJ2350" s="105" t="e">
        <f>IF($M$2231&gt;0,IPMT('Assumptions (Petroleum)'!$V$6,Model!AT$1,'Assumptions (Petroleum)'!$V$9,'Assumptions (Petroleum)'!$V$4*Model!$M$2231*AVERAGE('Assumptions (Petroleum)'!$I$2:$K$2)/10^9),0)</f>
        <v>#NUM!</v>
      </c>
      <c r="AK2350" s="105" t="e">
        <f>IF($M$2231&gt;0,IPMT('Assumptions (Petroleum)'!$V$6,Model!AU$1,'Assumptions (Petroleum)'!$V$9,'Assumptions (Petroleum)'!$V$4*Model!$M$2231*AVERAGE('Assumptions (Petroleum)'!$I$2:$K$2)/10^9),0)</f>
        <v>#NUM!</v>
      </c>
    </row>
    <row r="2351" spans="1:68" ht="15.75" hidden="1" customHeight="1" outlineLevel="1">
      <c r="A2351" s="447"/>
      <c r="B2351" s="99"/>
      <c r="C2351" s="105"/>
      <c r="D2351" s="105"/>
      <c r="E2351" s="105"/>
      <c r="F2351" s="105"/>
      <c r="G2351" s="105"/>
      <c r="H2351" s="105"/>
      <c r="I2351" s="105"/>
      <c r="J2351" s="105"/>
      <c r="K2351" s="105"/>
      <c r="L2351" s="105"/>
      <c r="M2351" s="105"/>
      <c r="N2351" s="91">
        <f>IF($N$2231&gt;0,IPMT('Assumptions (Petroleum)'!$V$6,Model!W$1,'Assumptions (Petroleum)'!$V$9,'Assumptions (Petroleum)'!$V$4*Model!$N$2231*AVERAGE('Assumptions (Petroleum)'!$J$2:$L$2)/10^9),0)</f>
        <v>-7.6045036110851593E-3</v>
      </c>
      <c r="O2351" s="91">
        <f>IF($N$2231&gt;0,IPMT('Assumptions (Petroleum)'!$V$6,Model!X$1,'Assumptions (Petroleum)'!$V$9,'Assumptions (Petroleum)'!$V$4*Model!$N$2231*AVERAGE('Assumptions (Petroleum)'!$J$2:$L$2)/10^9),0)</f>
        <v>-7.2454103239381635E-3</v>
      </c>
      <c r="P2351" s="91">
        <f>IF($N$2231&gt;0,IPMT('Assumptions (Petroleum)'!$V$6,Model!Y$1,'Assumptions (Petroleum)'!$V$9,'Assumptions (Petroleum)'!$V$4*Model!$N$2231*AVERAGE('Assumptions (Petroleum)'!$J$2:$L$2)/10^9),0)</f>
        <v>-6.8692601056516865E-3</v>
      </c>
      <c r="Q2351" s="91">
        <f>IF($N$2231&gt;0,IPMT('Assumptions (Petroleum)'!$V$6,Model!Z$1,'Assumptions (Petroleum)'!$V$9,'Assumptions (Petroleum)'!$V$4*Model!$N$2231*AVERAGE('Assumptions (Petroleum)'!$J$2:$L$2)/10^9),0)</f>
        <v>-6.4752427519966039E-3</v>
      </c>
      <c r="R2351" s="91">
        <f>IF($N$2231&gt;0,IPMT('Assumptions (Petroleum)'!$V$6,Model!AA$1,'Assumptions (Petroleum)'!$V$9,'Assumptions (Petroleum)'!$V$4*Model!$N$2231*AVERAGE('Assumptions (Petroleum)'!$J$2:$L$2)/10^9),0)</f>
        <v>-6.0625095740429024E-3</v>
      </c>
      <c r="S2351" s="91">
        <f>IF($N$2231&gt;0,IPMT('Assumptions (Petroleum)'!$V$6,Model!AB$1,'Assumptions (Petroleum)'!$V$9,'Assumptions (Petroleum)'!$V$4*Model!$N$2231*AVERAGE('Assumptions (Petroleum)'!$J$2:$L$2)/10^9),0)</f>
        <v>-5.6301715701364014E-3</v>
      </c>
      <c r="T2351" s="91">
        <f>IF($N$2231&gt;0,IPMT('Assumptions (Petroleum)'!$V$6,Model!AC$1,'Assumptions (Petroleum)'!$V$9,'Assumptions (Petroleum)'!$V$4*Model!$N$2231*AVERAGE('Assumptions (Petroleum)'!$J$2:$L$2)/10^9),0)</f>
        <v>-5.1772975110443405E-3</v>
      </c>
      <c r="U2351" s="91">
        <f>IF($N$2231&gt;0,IPMT('Assumptions (Petroleum)'!$V$6,Model!AD$1,'Assumptions (Petroleum)'!$V$9,'Assumptions (Petroleum)'!$V$4*Model!$N$2231*AVERAGE('Assumptions (Petroleum)'!$J$2:$L$2)/10^9),0)</f>
        <v>-4.7029119341454075E-3</v>
      </c>
      <c r="V2351" s="91">
        <f>IF($N$2231&gt;0,IPMT('Assumptions (Petroleum)'!$V$6,Model!AE$1,'Assumptions (Petroleum)'!$V$9,'Assumptions (Petroleum)'!$V$4*Model!$N$2231*AVERAGE('Assumptions (Petroleum)'!$J$2:$L$2)/10^9),0)</f>
        <v>-4.2059930423437759E-3</v>
      </c>
      <c r="W2351" s="91">
        <f>IF($N$2231&gt;0,IPMT('Assumptions (Petroleum)'!$V$6,Model!AF$1,'Assumptions (Petroleum)'!$V$9,'Assumptions (Petroleum)'!$V$4*Model!$N$2231*AVERAGE('Assumptions (Petroleum)'!$J$2:$L$2)/10^9),0)</f>
        <v>-3.685470503181566E-3</v>
      </c>
      <c r="X2351" s="91">
        <f>IF($N$2231&gt;0,IPMT('Assumptions (Petroleum)'!$V$6,Model!AG$1,'Assumptions (Petroleum)'!$V$9,'Assumptions (Petroleum)'!$V$4*Model!$N$2231*AVERAGE('Assumptions (Petroleum)'!$J$2:$L$2)/10^9),0)</f>
        <v>-3.140223143409151E-3</v>
      </c>
      <c r="Y2351" s="91">
        <f>IF($N$2231&gt;0,IPMT('Assumptions (Petroleum)'!$V$6,Model!AH$1,'Assumptions (Petroleum)'!$V$9,'Assumptions (Petroleum)'!$V$4*Model!$N$2231*AVERAGE('Assumptions (Petroleum)'!$J$2:$L$2)/10^9),0)</f>
        <v>-2.5690765340475471E-3</v>
      </c>
      <c r="Z2351" s="91">
        <f>IF($N$2231&gt;0,IPMT('Assumptions (Petroleum)'!$V$6,Model!AI$1,'Assumptions (Petroleum)'!$V$9,'Assumptions (Petroleum)'!$V$4*Model!$N$2231*AVERAGE('Assumptions (Petroleum)'!$J$2:$L$2)/10^9),0)</f>
        <v>-1.9708004607412659E-3</v>
      </c>
      <c r="AA2351" s="91">
        <f>IF($N$2231&gt;0,IPMT('Assumptions (Petroleum)'!$V$6,Model!AJ$1,'Assumptions (Petroleum)'!$V$9,'Assumptions (Petroleum)'!$V$4*Model!$N$2231*AVERAGE('Assumptions (Petroleum)'!$J$2:$L$2)/10^9),0)</f>
        <v>-1.3441062739529364E-3</v>
      </c>
      <c r="AB2351" s="91">
        <f>IF($N$2231&gt;0,IPMT('Assumptions (Petroleum)'!$V$6,Model!AK$1,'Assumptions (Petroleum)'!$V$9,'Assumptions (Petroleum)'!$V$4*Model!$N$2231*AVERAGE('Assumptions (Petroleum)'!$J$2:$L$2)/10^9),0)</f>
        <v>-6.8764411329216152E-4</v>
      </c>
      <c r="AC2351" s="91" t="e">
        <f>IF($N$2231&gt;0,IPMT('Assumptions (Petroleum)'!$V$6,Model!AL$1,'Assumptions (Petroleum)'!$V$9,'Assumptions (Petroleum)'!$V$4*Model!$N$2231*AVERAGE('Assumptions (Petroleum)'!$J$2:$L$2)/10^9),0)</f>
        <v>#NUM!</v>
      </c>
      <c r="AD2351" s="91" t="e">
        <f>IF($N$2231&gt;0,IPMT('Assumptions (Petroleum)'!$V$6,Model!AM$1,'Assumptions (Petroleum)'!$V$9,'Assumptions (Petroleum)'!$V$4*Model!$N$2231*AVERAGE('Assumptions (Petroleum)'!$J$2:$L$2)/10^9),0)</f>
        <v>#NUM!</v>
      </c>
      <c r="AE2351" s="91" t="e">
        <f>IF($N$2231&gt;0,IPMT('Assumptions (Petroleum)'!$V$6,Model!AN$1,'Assumptions (Petroleum)'!$V$9,'Assumptions (Petroleum)'!$V$4*Model!$N$2231*AVERAGE('Assumptions (Petroleum)'!$J$2:$L$2)/10^9),0)</f>
        <v>#NUM!</v>
      </c>
      <c r="AF2351" s="91" t="e">
        <f>IF($N$2231&gt;0,IPMT('Assumptions (Petroleum)'!$V$6,Model!AO$1,'Assumptions (Petroleum)'!$V$9,'Assumptions (Petroleum)'!$V$4*Model!$N$2231*AVERAGE('Assumptions (Petroleum)'!$J$2:$L$2)/10^9),0)</f>
        <v>#NUM!</v>
      </c>
      <c r="AG2351" s="91" t="e">
        <f>IF($N$2231&gt;0,IPMT('Assumptions (Petroleum)'!$V$6,Model!AP$1,'Assumptions (Petroleum)'!$V$9,'Assumptions (Petroleum)'!$V$4*Model!$N$2231*AVERAGE('Assumptions (Petroleum)'!$J$2:$L$2)/10^9),0)</f>
        <v>#NUM!</v>
      </c>
      <c r="AH2351" s="91" t="e">
        <f>IF($N$2231&gt;0,IPMT('Assumptions (Petroleum)'!$V$6,Model!AQ$1,'Assumptions (Petroleum)'!$V$9,'Assumptions (Petroleum)'!$V$4*Model!$N$2231*AVERAGE('Assumptions (Petroleum)'!$J$2:$L$2)/10^9),0)</f>
        <v>#NUM!</v>
      </c>
      <c r="AI2351" s="91" t="e">
        <f>IF($N$2231&gt;0,IPMT('Assumptions (Petroleum)'!$V$6,Model!AR$1,'Assumptions (Petroleum)'!$V$9,'Assumptions (Petroleum)'!$V$4*Model!$N$2231*AVERAGE('Assumptions (Petroleum)'!$J$2:$L$2)/10^9),0)</f>
        <v>#NUM!</v>
      </c>
      <c r="AJ2351" s="91" t="e">
        <f>IF($N$2231&gt;0,IPMT('Assumptions (Petroleum)'!$V$6,Model!AS$1,'Assumptions (Petroleum)'!$V$9,'Assumptions (Petroleum)'!$V$4*Model!$N$2231*AVERAGE('Assumptions (Petroleum)'!$J$2:$L$2)/10^9),0)</f>
        <v>#NUM!</v>
      </c>
      <c r="AK2351" s="91" t="e">
        <f>IF($N$2231&gt;0,IPMT('Assumptions (Petroleum)'!$V$6,Model!AT$1,'Assumptions (Petroleum)'!$V$9,'Assumptions (Petroleum)'!$V$4*Model!$N$2231*AVERAGE('Assumptions (Petroleum)'!$J$2:$L$2)/10^9),0)</f>
        <v>#NUM!</v>
      </c>
      <c r="AL2351" s="91" t="e">
        <f>IF($N$2231&gt;0,IPMT('Assumptions (Petroleum)'!$V$6,Model!AU$1,'Assumptions (Petroleum)'!$V$9,'Assumptions (Petroleum)'!$V$4*Model!$N$2231*AVERAGE('Assumptions (Petroleum)'!$J$2:$L$2)/10^9),0)</f>
        <v>#NUM!</v>
      </c>
    </row>
    <row r="2352" spans="1:68" ht="15.75" hidden="1" customHeight="1" outlineLevel="1">
      <c r="A2352" s="447"/>
      <c r="B2352" s="99"/>
      <c r="C2352" s="105"/>
      <c r="D2352" s="105"/>
      <c r="E2352" s="105"/>
      <c r="F2352" s="105"/>
      <c r="G2352" s="105"/>
      <c r="H2352" s="105"/>
      <c r="I2352" s="105"/>
      <c r="J2352" s="105"/>
      <c r="K2352" s="105"/>
      <c r="L2352" s="105"/>
      <c r="M2352" s="105"/>
      <c r="N2352" s="105"/>
      <c r="O2352" s="105">
        <f>IF($O$2231&gt;0,IPMT('Assumptions (Petroleum)'!$V$6,Model!W$1,'Assumptions (Petroleum)'!$V$9,'Assumptions (Petroleum)'!$V$4*Model!$O$2231*AVERAGE('Assumptions (Petroleum)'!$K$2:$M$2)/10^9),0)</f>
        <v>-4.3559082940299336E-3</v>
      </c>
      <c r="P2352" s="105">
        <f>IF($O$2231&gt;0,IPMT('Assumptions (Petroleum)'!$V$6,Model!X$1,'Assumptions (Petroleum)'!$V$9,'Assumptions (Petroleum)'!$V$4*Model!$O$2231*AVERAGE('Assumptions (Petroleum)'!$K$2:$M$2)/10^9),0)</f>
        <v>-4.1502173629961248E-3</v>
      </c>
      <c r="Q2352" s="105">
        <f>IF($O$2231&gt;0,IPMT('Assumptions (Petroleum)'!$V$6,Model!Y$1,'Assumptions (Petroleum)'!$V$9,'Assumptions (Petroleum)'!$V$4*Model!$O$2231*AVERAGE('Assumptions (Petroleum)'!$K$2:$M$2)/10^9),0)</f>
        <v>-3.9347561127382096E-3</v>
      </c>
      <c r="R2352" s="105">
        <f>IF($O$2231&gt;0,IPMT('Assumptions (Petroleum)'!$V$6,Model!Z$1,'Assumptions (Petroleum)'!$V$9,'Assumptions (Petroleum)'!$V$4*Model!$O$2231*AVERAGE('Assumptions (Petroleum)'!$K$2:$M$2)/10^9),0)</f>
        <v>-3.7090604530930446E-3</v>
      </c>
      <c r="S2352" s="105">
        <f>IF($O$2231&gt;0,IPMT('Assumptions (Petroleum)'!$V$6,Model!AA$1,'Assumptions (Petroleum)'!$V$9,'Assumptions (Petroleum)'!$V$4*Model!$O$2231*AVERAGE('Assumptions (Petroleum)'!$K$2:$M$2)/10^9),0)</f>
        <v>-3.4726442496147343E-3</v>
      </c>
      <c r="T2352" s="105">
        <f>IF($O$2231&gt;0,IPMT('Assumptions (Petroleum)'!$V$6,Model!AB$1,'Assumptions (Petroleum)'!$V$9,'Assumptions (Petroleum)'!$V$4*Model!$O$2231*AVERAGE('Assumptions (Petroleum)'!$K$2:$M$2)/10^9),0)</f>
        <v>-3.2249982764712038E-3</v>
      </c>
      <c r="U2352" s="105">
        <f>IF($O$2231&gt;0,IPMT('Assumptions (Petroleum)'!$V$6,Model!AC$1,'Assumptions (Petroleum)'!$V$9,'Assumptions (Petroleum)'!$V$4*Model!$O$2231*AVERAGE('Assumptions (Petroleum)'!$K$2:$M$2)/10^9),0)</f>
        <v>-2.9655891196033557E-3</v>
      </c>
      <c r="V2352" s="105">
        <f>IF($O$2231&gt;0,IPMT('Assumptions (Petroleum)'!$V$6,Model!AD$1,'Assumptions (Petroleum)'!$V$9,'Assumptions (Petroleum)'!$V$4*Model!$O$2231*AVERAGE('Assumptions (Petroleum)'!$K$2:$M$2)/10^9),0)</f>
        <v>-2.6938580277842848E-3</v>
      </c>
      <c r="W2352" s="105">
        <f>IF($O$2231&gt;0,IPMT('Assumptions (Petroleum)'!$V$6,Model!AE$1,'Assumptions (Petroleum)'!$V$9,'Assumptions (Petroleum)'!$V$4*Model!$O$2231*AVERAGE('Assumptions (Petroleum)'!$K$2:$M$2)/10^9),0)</f>
        <v>-2.4092197091038084E-3</v>
      </c>
      <c r="X2352" s="105">
        <f>IF($O$2231&gt;0,IPMT('Assumptions (Petroleum)'!$V$6,Model!AF$1,'Assumptions (Petroleum)'!$V$9,'Assumptions (Petroleum)'!$V$4*Model!$O$2231*AVERAGE('Assumptions (Petroleum)'!$K$2:$M$2)/10^9),0)</f>
        <v>-2.1110610702860092E-3</v>
      </c>
      <c r="Y2352" s="105">
        <f>IF($O$2231&gt;0,IPMT('Assumptions (Petroleum)'!$V$6,Model!AG$1,'Assumptions (Petroleum)'!$V$9,'Assumptions (Petroleum)'!$V$4*Model!$O$2231*AVERAGE('Assumptions (Petroleum)'!$K$2:$M$2)/10^9),0)</f>
        <v>-1.7987398961243639E-3</v>
      </c>
      <c r="Z2352" s="105">
        <f>IF($O$2231&gt;0,IPMT('Assumptions (Petroleum)'!$V$6,Model!AH$1,'Assumptions (Petroleum)'!$V$9,'Assumptions (Petroleum)'!$V$4*Model!$O$2231*AVERAGE('Assumptions (Petroleum)'!$K$2:$M$2)/10^9),0)</f>
        <v>-1.4715834661900415E-3</v>
      </c>
      <c r="AA2352" s="105">
        <f>IF($O$2231&gt;0,IPMT('Assumptions (Petroleum)'!$V$6,Model!AI$1,'Assumptions (Petroleum)'!$V$9,'Assumptions (Petroleum)'!$V$4*Model!$O$2231*AVERAGE('Assumptions (Petroleum)'!$K$2:$M$2)/10^9),0)</f>
        <v>-1.1288871058338379E-3</v>
      </c>
      <c r="AB2352" s="105">
        <f>IF($O$2231&gt;0,IPMT('Assumptions (Petroleum)'!$V$6,Model!AJ$1,'Assumptions (Petroleum)'!$V$9,'Assumptions (Petroleum)'!$V$4*Model!$O$2231*AVERAGE('Assumptions (Petroleum)'!$K$2:$M$2)/10^9),0)</f>
        <v>-7.6991266836071474E-4</v>
      </c>
      <c r="AC2352" s="105">
        <f>IF($O$2231&gt;0,IPMT('Assumptions (Petroleum)'!$V$6,Model!AK$1,'Assumptions (Petroleum)'!$V$9,'Assumptions (Petroleum)'!$V$4*Model!$O$2231*AVERAGE('Assumptions (Petroleum)'!$K$2:$M$2)/10^9),0)</f>
        <v>-3.9388694510761834E-4</v>
      </c>
      <c r="AD2352" s="105" t="e">
        <f>IF($O$2231&gt;0,IPMT('Assumptions (Petroleum)'!$V$6,Model!AL$1,'Assumptions (Petroleum)'!$V$9,'Assumptions (Petroleum)'!$V$4*Model!$O$2231*AVERAGE('Assumptions (Petroleum)'!$K$2:$M$2)/10^9),0)</f>
        <v>#NUM!</v>
      </c>
      <c r="AE2352" s="105" t="e">
        <f>IF($O$2231&gt;0,IPMT('Assumptions (Petroleum)'!$V$6,Model!AM$1,'Assumptions (Petroleum)'!$V$9,'Assumptions (Petroleum)'!$V$4*Model!$O$2231*AVERAGE('Assumptions (Petroleum)'!$K$2:$M$2)/10^9),0)</f>
        <v>#NUM!</v>
      </c>
      <c r="AF2352" s="105" t="e">
        <f>IF($O$2231&gt;0,IPMT('Assumptions (Petroleum)'!$V$6,Model!AN$1,'Assumptions (Petroleum)'!$V$9,'Assumptions (Petroleum)'!$V$4*Model!$O$2231*AVERAGE('Assumptions (Petroleum)'!$K$2:$M$2)/10^9),0)</f>
        <v>#NUM!</v>
      </c>
      <c r="AG2352" s="105" t="e">
        <f>IF($O$2231&gt;0,IPMT('Assumptions (Petroleum)'!$V$6,Model!AO$1,'Assumptions (Petroleum)'!$V$9,'Assumptions (Petroleum)'!$V$4*Model!$O$2231*AVERAGE('Assumptions (Petroleum)'!$K$2:$M$2)/10^9),0)</f>
        <v>#NUM!</v>
      </c>
      <c r="AH2352" s="105" t="e">
        <f>IF($O$2231&gt;0,IPMT('Assumptions (Petroleum)'!$V$6,Model!AP$1,'Assumptions (Petroleum)'!$V$9,'Assumptions (Petroleum)'!$V$4*Model!$O$2231*AVERAGE('Assumptions (Petroleum)'!$K$2:$M$2)/10^9),0)</f>
        <v>#NUM!</v>
      </c>
      <c r="AI2352" s="105" t="e">
        <f>IF($O$2231&gt;0,IPMT('Assumptions (Petroleum)'!$V$6,Model!AQ$1,'Assumptions (Petroleum)'!$V$9,'Assumptions (Petroleum)'!$V$4*Model!$O$2231*AVERAGE('Assumptions (Petroleum)'!$K$2:$M$2)/10^9),0)</f>
        <v>#NUM!</v>
      </c>
      <c r="AJ2352" s="105" t="e">
        <f>IF($O$2231&gt;0,IPMT('Assumptions (Petroleum)'!$V$6,Model!AR$1,'Assumptions (Petroleum)'!$V$9,'Assumptions (Petroleum)'!$V$4*Model!$O$2231*AVERAGE('Assumptions (Petroleum)'!$K$2:$M$2)/10^9),0)</f>
        <v>#NUM!</v>
      </c>
      <c r="AK2352" s="105" t="e">
        <f>IF($O$2231&gt;0,IPMT('Assumptions (Petroleum)'!$V$6,Model!AS$1,'Assumptions (Petroleum)'!$V$9,'Assumptions (Petroleum)'!$V$4*Model!$O$2231*AVERAGE('Assumptions (Petroleum)'!$K$2:$M$2)/10^9),0)</f>
        <v>#NUM!</v>
      </c>
      <c r="AL2352" s="105" t="e">
        <f>IF($O$2231&gt;0,IPMT('Assumptions (Petroleum)'!$V$6,Model!AT$1,'Assumptions (Petroleum)'!$V$9,'Assumptions (Petroleum)'!$V$4*Model!$O$2231*AVERAGE('Assumptions (Petroleum)'!$K$2:$M$2)/10^9),0)</f>
        <v>#NUM!</v>
      </c>
      <c r="AM2352" s="105" t="e">
        <f>IF($O$2231&gt;0,IPMT('Assumptions (Petroleum)'!$V$6,Model!AU$1,'Assumptions (Petroleum)'!$V$9,'Assumptions (Petroleum)'!$V$4*Model!$O$2231*AVERAGE('Assumptions (Petroleum)'!$K$2:$M$2)/10^9),0)</f>
        <v>#NUM!</v>
      </c>
    </row>
    <row r="2353" spans="1:55" ht="15.75" hidden="1" customHeight="1" outlineLevel="1">
      <c r="A2353" s="447"/>
      <c r="B2353" s="99"/>
      <c r="C2353" s="105"/>
      <c r="D2353" s="105"/>
      <c r="E2353" s="105"/>
      <c r="F2353" s="105"/>
      <c r="G2353" s="105"/>
      <c r="H2353" s="105"/>
      <c r="I2353" s="105"/>
      <c r="J2353" s="105"/>
      <c r="K2353" s="105"/>
      <c r="L2353" s="105"/>
      <c r="M2353" s="105"/>
      <c r="N2353" s="105"/>
      <c r="O2353" s="105"/>
      <c r="P2353" s="91">
        <f>IF($P$2231&gt;0,IPMT('Assumptions (Petroleum)'!$V$6,Model!W$1,'Assumptions (Petroleum)'!$V$9,'Assumptions (Petroleum)'!$V$4*Model!$P$2231*AVERAGE('Assumptions (Petroleum)'!$L$2:$N$2)/10^9),0)</f>
        <v>-1.3467265231673993E-3</v>
      </c>
      <c r="Q2353" s="91">
        <f>IF($P$2231&gt;0,IPMT('Assumptions (Petroleum)'!$V$6,Model!X$1,'Assumptions (Petroleum)'!$V$9,'Assumptions (Petroleum)'!$V$4*Model!$P$2231*AVERAGE('Assumptions (Petroleum)'!$L$2:$N$2)/10^9),0)</f>
        <v>-1.2831325690022286E-3</v>
      </c>
      <c r="R2353" s="91">
        <f>IF($P$2231&gt;0,IPMT('Assumptions (Petroleum)'!$V$6,Model!Y$1,'Assumptions (Petroleum)'!$V$9,'Assumptions (Petroleum)'!$V$4*Model!$P$2231*AVERAGE('Assumptions (Petroleum)'!$L$2:$N$2)/10^9),0)</f>
        <v>-1.2165179020142121E-3</v>
      </c>
      <c r="S2353" s="91">
        <f>IF($P$2231&gt;0,IPMT('Assumptions (Petroleum)'!$V$6,Model!Z$1,'Assumptions (Petroleum)'!$V$9,'Assumptions (Petroleum)'!$V$4*Model!$P$2231*AVERAGE('Assumptions (Petroleum)'!$L$2:$N$2)/10^9),0)</f>
        <v>-1.1467390383442652E-3</v>
      </c>
      <c r="T2353" s="91">
        <f>IF($P$2231&gt;0,IPMT('Assumptions (Petroleum)'!$V$6,Model!AA$1,'Assumptions (Petroleum)'!$V$9,'Assumptions (Petroleum)'!$V$4*Model!$P$2231*AVERAGE('Assumptions (Petroleum)'!$L$2:$N$2)/10^9),0)</f>
        <v>-1.0736456786499956E-3</v>
      </c>
      <c r="U2353" s="91">
        <f>IF($P$2231&gt;0,IPMT('Assumptions (Petroleum)'!$V$6,Model!AB$1,'Assumptions (Petroleum)'!$V$9,'Assumptions (Petroleum)'!$V$4*Model!$P$2231*AVERAGE('Assumptions (Petroleum)'!$L$2:$N$2)/10^9),0)</f>
        <v>-9.9708038437024854E-4</v>
      </c>
      <c r="V2353" s="91">
        <f>IF($P$2231&gt;0,IPMT('Assumptions (Petroleum)'!$V$6,Model!AC$1,'Assumptions (Petroleum)'!$V$9,'Assumptions (Petroleum)'!$V$4*Model!$P$2231*AVERAGE('Assumptions (Petroleum)'!$L$2:$N$2)/10^9),0)</f>
        <v>-9.168782386122132E-4</v>
      </c>
      <c r="W2353" s="91">
        <f>IF($P$2231&gt;0,IPMT('Assumptions (Petroleum)'!$V$6,Model!AD$1,'Assumptions (Petroleum)'!$V$9,'Assumptions (Petroleum)'!$V$4*Model!$P$2231*AVERAGE('Assumptions (Petroleum)'!$L$2:$N$2)/10^9),0)</f>
        <v>-8.3286649093067115E-4</v>
      </c>
      <c r="X2353" s="91">
        <f>IF($P$2231&gt;0,IPMT('Assumptions (Petroleum)'!$V$6,Model!AE$1,'Assumptions (Petroleum)'!$V$9,'Assumptions (Petroleum)'!$V$4*Model!$P$2231*AVERAGE('Assumptions (Petroleum)'!$L$2:$N$2)/10^9),0)</f>
        <v>-7.4486418523425613E-4</v>
      </c>
      <c r="Y2353" s="91">
        <f>IF($P$2231&gt;0,IPMT('Assumptions (Petroleum)'!$V$6,Model!AF$1,'Assumptions (Petroleum)'!$V$9,'Assumptions (Petroleum)'!$V$4*Model!$P$2231*AVERAGE('Assumptions (Petroleum)'!$L$2:$N$2)/10^9),0)</f>
        <v>-6.5268177001726122E-4</v>
      </c>
      <c r="Z2353" s="91">
        <f>IF($P$2231&gt;0,IPMT('Assumptions (Petroleum)'!$V$6,Model!AG$1,'Assumptions (Petroleum)'!$V$9,'Assumptions (Petroleum)'!$V$4*Model!$P$2231*AVERAGE('Assumptions (Petroleum)'!$L$2:$N$2)/10^9),0)</f>
        <v>-5.5612069007745894E-4</v>
      </c>
      <c r="AA2353" s="91">
        <f>IF($P$2231&gt;0,IPMT('Assumptions (Petroleum)'!$V$6,Model!AH$1,'Assumptions (Petroleum)'!$V$9,'Assumptions (Petroleum)'!$V$4*Model!$P$2231*AVERAGE('Assumptions (Petroleum)'!$L$2:$N$2)/10^9),0)</f>
        <v>-4.5497295884051626E-4</v>
      </c>
      <c r="AB2353" s="91">
        <f>IF($P$2231&gt;0,IPMT('Assumptions (Petroleum)'!$V$6,Model!AI$1,'Assumptions (Petroleum)'!$V$9,'Assumptions (Petroleum)'!$V$4*Model!$P$2231*AVERAGE('Assumptions (Petroleum)'!$L$2:$N$2)/10^9),0)</f>
        <v>-3.4902071036981865E-4</v>
      </c>
      <c r="AC2353" s="91">
        <f>IF($P$2231&gt;0,IPMT('Assumptions (Petroleum)'!$V$6,Model!AJ$1,'Assumptions (Petroleum)'!$V$9,'Assumptions (Petroleum)'!$V$4*Model!$P$2231*AVERAGE('Assumptions (Petroleum)'!$L$2:$N$2)/10^9),0)</f>
        <v>-2.3803573009676291E-4</v>
      </c>
      <c r="AD2353" s="91">
        <f>IF($P$2231&gt;0,IPMT('Assumptions (Petroleum)'!$V$6,Model!AK$1,'Assumptions (Petroleum)'!$V$9,'Assumptions (Petroleum)'!$V$4*Model!$P$2231*AVERAGE('Assumptions (Petroleum)'!$L$2:$N$2)/10^9),0)</f>
        <v>-1.2177896326073708E-4</v>
      </c>
      <c r="AE2353" s="91" t="e">
        <f>IF($P$2231&gt;0,IPMT('Assumptions (Petroleum)'!$V$6,Model!AL$1,'Assumptions (Petroleum)'!$V$9,'Assumptions (Petroleum)'!$V$4*Model!$P$2231*AVERAGE('Assumptions (Petroleum)'!$L$2:$N$2)/10^9),0)</f>
        <v>#NUM!</v>
      </c>
      <c r="AF2353" s="91" t="e">
        <f>IF($P$2231&gt;0,IPMT('Assumptions (Petroleum)'!$V$6,Model!AM$1,'Assumptions (Petroleum)'!$V$9,'Assumptions (Petroleum)'!$V$4*Model!$P$2231*AVERAGE('Assumptions (Petroleum)'!$L$2:$N$2)/10^9),0)</f>
        <v>#NUM!</v>
      </c>
      <c r="AG2353" s="91" t="e">
        <f>IF($P$2231&gt;0,IPMT('Assumptions (Petroleum)'!$V$6,Model!AN$1,'Assumptions (Petroleum)'!$V$9,'Assumptions (Petroleum)'!$V$4*Model!$P$2231*AVERAGE('Assumptions (Petroleum)'!$L$2:$N$2)/10^9),0)</f>
        <v>#NUM!</v>
      </c>
      <c r="AH2353" s="91" t="e">
        <f>IF($P$2231&gt;0,IPMT('Assumptions (Petroleum)'!$V$6,Model!AO$1,'Assumptions (Petroleum)'!$V$9,'Assumptions (Petroleum)'!$V$4*Model!$P$2231*AVERAGE('Assumptions (Petroleum)'!$L$2:$N$2)/10^9),0)</f>
        <v>#NUM!</v>
      </c>
      <c r="AI2353" s="91" t="e">
        <f>IF($P$2231&gt;0,IPMT('Assumptions (Petroleum)'!$V$6,Model!AP$1,'Assumptions (Petroleum)'!$V$9,'Assumptions (Petroleum)'!$V$4*Model!$P$2231*AVERAGE('Assumptions (Petroleum)'!$L$2:$N$2)/10^9),0)</f>
        <v>#NUM!</v>
      </c>
      <c r="AJ2353" s="91" t="e">
        <f>IF($P$2231&gt;0,IPMT('Assumptions (Petroleum)'!$V$6,Model!AQ$1,'Assumptions (Petroleum)'!$V$9,'Assumptions (Petroleum)'!$V$4*Model!$P$2231*AVERAGE('Assumptions (Petroleum)'!$L$2:$N$2)/10^9),0)</f>
        <v>#NUM!</v>
      </c>
      <c r="AK2353" s="91" t="e">
        <f>IF($P$2231&gt;0,IPMT('Assumptions (Petroleum)'!$V$6,Model!AR$1,'Assumptions (Petroleum)'!$V$9,'Assumptions (Petroleum)'!$V$4*Model!$P$2231*AVERAGE('Assumptions (Petroleum)'!$L$2:$N$2)/10^9),0)</f>
        <v>#NUM!</v>
      </c>
      <c r="AL2353" s="91" t="e">
        <f>IF($P$2231&gt;0,IPMT('Assumptions (Petroleum)'!$V$6,Model!AS$1,'Assumptions (Petroleum)'!$V$9,'Assumptions (Petroleum)'!$V$4*Model!$P$2231*AVERAGE('Assumptions (Petroleum)'!$L$2:$N$2)/10^9),0)</f>
        <v>#NUM!</v>
      </c>
      <c r="AM2353" s="91" t="e">
        <f>IF($P$2231&gt;0,IPMT('Assumptions (Petroleum)'!$V$6,Model!AT$1,'Assumptions (Petroleum)'!$V$9,'Assumptions (Petroleum)'!$V$4*Model!$P$2231*AVERAGE('Assumptions (Petroleum)'!$L$2:$N$2)/10^9),0)</f>
        <v>#NUM!</v>
      </c>
      <c r="AN2353" s="91" t="e">
        <f>IF($P$2231&gt;0,IPMT('Assumptions (Petroleum)'!$V$6,Model!AU$1,'Assumptions (Petroleum)'!$V$9,'Assumptions (Petroleum)'!$V$4*Model!$P$2231*AVERAGE('Assumptions (Petroleum)'!$L$2:$N$2)/10^9),0)</f>
        <v>#NUM!</v>
      </c>
    </row>
    <row r="2354" spans="1:55" ht="15.75" hidden="1" customHeight="1" outlineLevel="1">
      <c r="A2354" s="447"/>
      <c r="B2354" s="99"/>
      <c r="C2354" s="105"/>
      <c r="D2354" s="105"/>
      <c r="E2354" s="105"/>
      <c r="F2354" s="105"/>
      <c r="G2354" s="105"/>
      <c r="H2354" s="105"/>
      <c r="I2354" s="105"/>
      <c r="J2354" s="105"/>
      <c r="K2354" s="105"/>
      <c r="L2354" s="105"/>
      <c r="M2354" s="105"/>
      <c r="N2354" s="105"/>
      <c r="O2354" s="105"/>
      <c r="P2354" s="171"/>
      <c r="Q2354" s="105">
        <f>IF($Q$2231&gt;0,IPMT('Assumptions (Petroleum)'!$V$6,Model!W$1,'Assumptions (Petroleum)'!$V$9,'Assumptions (Petroleum)'!$V$4*Model!$Q$2231*AVERAGE('Assumptions (Petroleum)'!$M$2:$O$2)/10^9),0)</f>
        <v>-1.1753760667588308E-3</v>
      </c>
      <c r="R2354" s="105">
        <f>IF($Q$2231&gt;0,IPMT('Assumptions (Petroleum)'!$V$6,Model!X$1,'Assumptions (Petroleum)'!$V$9,'Assumptions (Petroleum)'!$V$4*Model!$Q$2231*AVERAGE('Assumptions (Petroleum)'!$M$2:$O$2)/10^9),0)</f>
        <v>-1.1198734755270931E-3</v>
      </c>
      <c r="S2354" s="105">
        <f>IF($Q$2231&gt;0,IPMT('Assumptions (Petroleum)'!$V$6,Model!Y$1,'Assumptions (Petroleum)'!$V$9,'Assumptions (Petroleum)'!$V$4*Model!$Q$2231*AVERAGE('Assumptions (Petroleum)'!$M$2:$O$2)/10^9),0)</f>
        <v>-1.0617345112118473E-3</v>
      </c>
      <c r="T2354" s="105">
        <f>IF($Q$2231&gt;0,IPMT('Assumptions (Petroleum)'!$V$6,Model!Z$1,'Assumptions (Petroleum)'!$V$9,'Assumptions (Petroleum)'!$V$4*Model!$Q$2231*AVERAGE('Assumptions (Petroleum)'!$M$2:$O$2)/10^9),0)</f>
        <v>-1.000833946091628E-3</v>
      </c>
      <c r="U2354" s="105">
        <f>IF($Q$2231&gt;0,IPMT('Assumptions (Petroleum)'!$V$6,Model!AA$1,'Assumptions (Petroleum)'!$V$9,'Assumptions (Petroleum)'!$V$4*Model!$Q$2231*AVERAGE('Assumptions (Petroleum)'!$M$2:$O$2)/10^9),0)</f>
        <v>-9.3704060412819808E-4</v>
      </c>
      <c r="V2354" s="105">
        <f>IF($Q$2231&gt;0,IPMT('Assumptions (Petroleum)'!$V$6,Model!AB$1,'Assumptions (Petroleum)'!$V$9,'Assumptions (Petroleum)'!$V$4*Model!$Q$2231*AVERAGE('Assumptions (Petroleum)'!$M$2:$O$2)/10^9),0)</f>
        <v>-8.7021707842150535E-4</v>
      </c>
      <c r="W2354" s="105">
        <f>IF($Q$2231&gt;0,IPMT('Assumptions (Petroleum)'!$V$6,Model!AC$1,'Assumptions (Petroleum)'!$V$9,'Assumptions (Petroleum)'!$V$4*Model!$Q$2231*AVERAGE('Assumptions (Petroleum)'!$M$2:$O$2)/10^9),0)</f>
        <v>-8.0021943524374449E-4</v>
      </c>
      <c r="X2354" s="105">
        <f>IF($Q$2231&gt;0,IPMT('Assumptions (Petroleum)'!$V$6,Model!AD$1,'Assumptions (Petroleum)'!$V$9,'Assumptions (Petroleum)'!$V$4*Model!$Q$2231*AVERAGE('Assumptions (Petroleum)'!$M$2:$O$2)/10^9),0)</f>
        <v>-7.2689690401504011E-4</v>
      </c>
      <c r="Y2354" s="105">
        <f>IF($Q$2231&gt;0,IPMT('Assumptions (Petroleum)'!$V$6,Model!AE$1,'Assumptions (Petroleum)'!$V$9,'Assumptions (Petroleum)'!$V$4*Model!$Q$2231*AVERAGE('Assumptions (Petroleum)'!$M$2:$O$2)/10^9),0)</f>
        <v>-6.5009155255297245E-4</v>
      </c>
      <c r="Z2354" s="105">
        <f>IF($Q$2231&gt;0,IPMT('Assumptions (Petroleum)'!$V$6,Model!AF$1,'Assumptions (Petroleum)'!$V$9,'Assumptions (Petroleum)'!$V$4*Model!$Q$2231*AVERAGE('Assumptions (Petroleum)'!$M$2:$O$2)/10^9),0)</f>
        <v>-5.6963794689645633E-4</v>
      </c>
      <c r="AA2354" s="105">
        <f>IF($Q$2231&gt;0,IPMT('Assumptions (Petroleum)'!$V$6,Model!AG$1,'Assumptions (Petroleum)'!$V$9,'Assumptions (Petroleum)'!$V$4*Model!$Q$2231*AVERAGE('Assumptions (Petroleum)'!$M$2:$O$2)/10^9),0)</f>
        <v>-4.8536279497125574E-4</v>
      </c>
      <c r="AB2354" s="105">
        <f>IF($Q$2231&gt;0,IPMT('Assumptions (Petroleum)'!$V$6,Model!AH$1,'Assumptions (Petroleum)'!$V$9,'Assumptions (Petroleum)'!$V$4*Model!$Q$2231*AVERAGE('Assumptions (Petroleum)'!$M$2:$O$2)/10^9),0)</f>
        <v>-3.9708457332960815E-4</v>
      </c>
      <c r="AC2354" s="105">
        <f>IF($Q$2231&gt;0,IPMT('Assumptions (Petroleum)'!$V$6,Model!AI$1,'Assumptions (Petroleum)'!$V$9,'Assumptions (Petroleum)'!$V$4*Model!$Q$2231*AVERAGE('Assumptions (Petroleum)'!$M$2:$O$2)/10^9),0)</f>
        <v>-3.0461313615998223E-4</v>
      </c>
      <c r="AD2354" s="105">
        <f>IF($Q$2231&gt;0,IPMT('Assumptions (Petroleum)'!$V$6,Model!AJ$1,'Assumptions (Petroleum)'!$V$9,'Assumptions (Petroleum)'!$V$4*Model!$Q$2231*AVERAGE('Assumptions (Petroleum)'!$M$2:$O$2)/10^9),0)</f>
        <v>-2.0774930572479915E-4</v>
      </c>
      <c r="AE2354" s="105">
        <f>IF($Q$2231&gt;0,IPMT('Assumptions (Petroleum)'!$V$6,Model!AK$1,'Assumptions (Petroleum)'!$V$9,'Assumptions (Petroleum)'!$V$4*Model!$Q$2231*AVERAGE('Assumptions (Petroleum)'!$M$2:$O$2)/10^9),0)</f>
        <v>-1.0628444334394486E-4</v>
      </c>
      <c r="AF2354" s="105" t="e">
        <f>IF($Q$2231&gt;0,IPMT('Assumptions (Petroleum)'!$V$6,Model!AL$1,'Assumptions (Petroleum)'!$V$9,'Assumptions (Petroleum)'!$V$4*Model!$Q$2231*AVERAGE('Assumptions (Petroleum)'!$M$2:$O$2)/10^9),0)</f>
        <v>#NUM!</v>
      </c>
      <c r="AG2354" s="105" t="e">
        <f>IF($Q$2231&gt;0,IPMT('Assumptions (Petroleum)'!$V$6,Model!AM$1,'Assumptions (Petroleum)'!$V$9,'Assumptions (Petroleum)'!$V$4*Model!$Q$2231*AVERAGE('Assumptions (Petroleum)'!$M$2:$O$2)/10^9),0)</f>
        <v>#NUM!</v>
      </c>
      <c r="AH2354" s="105" t="e">
        <f>IF($Q$2231&gt;0,IPMT('Assumptions (Petroleum)'!$V$6,Model!AN$1,'Assumptions (Petroleum)'!$V$9,'Assumptions (Petroleum)'!$V$4*Model!$Q$2231*AVERAGE('Assumptions (Petroleum)'!$M$2:$O$2)/10^9),0)</f>
        <v>#NUM!</v>
      </c>
      <c r="AI2354" s="105" t="e">
        <f>IF($Q$2231&gt;0,IPMT('Assumptions (Petroleum)'!$V$6,Model!AO$1,'Assumptions (Petroleum)'!$V$9,'Assumptions (Petroleum)'!$V$4*Model!$Q$2231*AVERAGE('Assumptions (Petroleum)'!$M$2:$O$2)/10^9),0)</f>
        <v>#NUM!</v>
      </c>
      <c r="AJ2354" s="105" t="e">
        <f>IF($Q$2231&gt;0,IPMT('Assumptions (Petroleum)'!$V$6,Model!AP$1,'Assumptions (Petroleum)'!$V$9,'Assumptions (Petroleum)'!$V$4*Model!$Q$2231*AVERAGE('Assumptions (Petroleum)'!$M$2:$O$2)/10^9),0)</f>
        <v>#NUM!</v>
      </c>
      <c r="AK2354" s="105" t="e">
        <f>IF($Q$2231&gt;0,IPMT('Assumptions (Petroleum)'!$V$6,Model!AQ$1,'Assumptions (Petroleum)'!$V$9,'Assumptions (Petroleum)'!$V$4*Model!$Q$2231*AVERAGE('Assumptions (Petroleum)'!$M$2:$O$2)/10^9),0)</f>
        <v>#NUM!</v>
      </c>
      <c r="AL2354" s="105" t="e">
        <f>IF($Q$2231&gt;0,IPMT('Assumptions (Petroleum)'!$V$6,Model!AR$1,'Assumptions (Petroleum)'!$V$9,'Assumptions (Petroleum)'!$V$4*Model!$Q$2231*AVERAGE('Assumptions (Petroleum)'!$M$2:$O$2)/10^9),0)</f>
        <v>#NUM!</v>
      </c>
      <c r="AM2354" s="105" t="e">
        <f>IF($Q$2231&gt;0,IPMT('Assumptions (Petroleum)'!$V$6,Model!AS$1,'Assumptions (Petroleum)'!$V$9,'Assumptions (Petroleum)'!$V$4*Model!$Q$2231*AVERAGE('Assumptions (Petroleum)'!$M$2:$O$2)/10^9),0)</f>
        <v>#NUM!</v>
      </c>
      <c r="AN2354" s="105" t="e">
        <f>IF($Q$2231&gt;0,IPMT('Assumptions (Petroleum)'!$V$6,Model!AT$1,'Assumptions (Petroleum)'!$V$9,'Assumptions (Petroleum)'!$V$4*Model!$Q$2231*AVERAGE('Assumptions (Petroleum)'!$M$2:$O$2)/10^9),0)</f>
        <v>#NUM!</v>
      </c>
      <c r="AO2354" s="105" t="e">
        <f>IF($Q$2231&gt;0,IPMT('Assumptions (Petroleum)'!$V$6,Model!AU$1,'Assumptions (Petroleum)'!$V$9,'Assumptions (Petroleum)'!$V$4*Model!$Q$2231*AVERAGE('Assumptions (Petroleum)'!$M$2:$O$2)/10^9),0)</f>
        <v>#NUM!</v>
      </c>
    </row>
    <row r="2355" spans="1:55" ht="15.75" hidden="1" customHeight="1" outlineLevel="1">
      <c r="A2355" s="447"/>
      <c r="B2355" s="99"/>
      <c r="C2355" s="105"/>
      <c r="D2355" s="105"/>
      <c r="E2355" s="105"/>
      <c r="F2355" s="105"/>
      <c r="G2355" s="105"/>
      <c r="H2355" s="105"/>
      <c r="I2355" s="105"/>
      <c r="J2355" s="105"/>
      <c r="K2355" s="105"/>
      <c r="L2355" s="105"/>
      <c r="M2355" s="105"/>
      <c r="N2355" s="105"/>
      <c r="O2355" s="105"/>
      <c r="P2355" s="171"/>
      <c r="Q2355" s="105"/>
      <c r="R2355" s="91">
        <f>IF($R$2231&gt;0,IPMT('Assumptions (Petroleum)'!$V$6,Model!W$1,'Assumptions (Petroleum)'!$V$9,'Assumptions (Petroleum)'!$V$4*Model!$R$2231*AVERAGE('Assumptions (Petroleum)'!$N$2:$P$2)/10^9),0)</f>
        <v>-1.4644899114725576E-3</v>
      </c>
      <c r="S2355" s="91">
        <f>IF($R$2231&gt;0,IPMT('Assumptions (Petroleum)'!$V$6,Model!X$1,'Assumptions (Petroleum)'!$V$9,'Assumptions (Petroleum)'!$V$4*Model!$R$2231*AVERAGE('Assumptions (Petroleum)'!$N$2:$P$2)/10^9),0)</f>
        <v>-1.3953350365195497E-3</v>
      </c>
      <c r="T2355" s="91">
        <f>IF($R$2231&gt;0,IPMT('Assumptions (Petroleum)'!$V$6,Model!Y$1,'Assumptions (Petroleum)'!$V$9,'Assumptions (Petroleum)'!$V$4*Model!$R$2231*AVERAGE('Assumptions (Petroleum)'!$N$2:$P$2)/10^9),0)</f>
        <v>-1.3228953050062736E-3</v>
      </c>
      <c r="U2355" s="91">
        <f>IF($R$2231&gt;0,IPMT('Assumptions (Petroleum)'!$V$6,Model!Z$1,'Assumptions (Petroleum)'!$V$9,'Assumptions (Petroleum)'!$V$4*Model!$R$2231*AVERAGE('Assumptions (Petroleum)'!$N$2:$P$2)/10^9),0)</f>
        <v>-1.2470146862461173E-3</v>
      </c>
      <c r="V2355" s="91">
        <f>IF($R$2231&gt;0,IPMT('Assumptions (Petroleum)'!$V$6,Model!AA$1,'Assumptions (Petroleum)'!$V$9,'Assumptions (Petroleum)'!$V$4*Model!$R$2231*AVERAGE('Assumptions (Petroleum)'!$N$2:$P$2)/10^9),0)</f>
        <v>-1.1675297380948535E-3</v>
      </c>
      <c r="W2355" s="91">
        <f>IF($R$2231&gt;0,IPMT('Assumptions (Petroleum)'!$V$6,Model!AB$1,'Assumptions (Petroleum)'!$V$9,'Assumptions (Petroleum)'!$V$4*Model!$R$2231*AVERAGE('Assumptions (Petroleum)'!$N$2:$P$2)/10^9),0)</f>
        <v>-1.0842692549064047E-3</v>
      </c>
      <c r="X2355" s="91">
        <f>IF($R$2231&gt;0,IPMT('Assumptions (Petroleum)'!$V$6,Model!AC$1,'Assumptions (Petroleum)'!$V$9,'Assumptions (Petroleum)'!$V$4*Model!$R$2231*AVERAGE('Assumptions (Petroleum)'!$N$2:$P$2)/10^9),0)</f>
        <v>-9.9705389876650449E-4</v>
      </c>
      <c r="Y2355" s="91">
        <f>IF($R$2231&gt;0,IPMT('Assumptions (Petroleum)'!$V$6,Model!AD$1,'Assumptions (Petroleum)'!$V$9,'Assumptions (Petroleum)'!$V$4*Model!$R$2231*AVERAGE('Assumptions (Petroleum)'!$N$2:$P$2)/10^9),0)</f>
        <v>-9.0569581320995899E-4</v>
      </c>
      <c r="Z2355" s="91">
        <f>IF($R$2231&gt;0,IPMT('Assumptions (Petroleum)'!$V$6,Model!AE$1,'Assumptions (Petroleum)'!$V$9,'Assumptions (Petroleum)'!$V$4*Model!$R$2231*AVERAGE('Assumptions (Petroleum)'!$N$2:$P$2)/10^9),0)</f>
        <v>-8.0999821858947793E-4</v>
      </c>
      <c r="AA2355" s="91">
        <f>IF($R$2231&gt;0,IPMT('Assumptions (Petroleum)'!$V$6,Model!AF$1,'Assumptions (Petroleum)'!$V$9,'Assumptions (Petroleum)'!$V$4*Model!$R$2231*AVERAGE('Assumptions (Petroleum)'!$N$2:$P$2)/10^9),0)</f>
        <v>-7.0975498822452353E-4</v>
      </c>
      <c r="AB2355" s="91">
        <f>IF($R$2231&gt;0,IPMT('Assumptions (Petroleum)'!$V$6,Model!AG$1,'Assumptions (Petroleum)'!$V$9,'Assumptions (Petroleum)'!$V$4*Model!$R$2231*AVERAGE('Assumptions (Petroleum)'!$N$2:$P$2)/10^9),0)</f>
        <v>-6.0475020441723404E-4</v>
      </c>
      <c r="AC2355" s="91">
        <f>IF($R$2231&gt;0,IPMT('Assumptions (Petroleum)'!$V$6,Model!AH$1,'Assumptions (Petroleum)'!$V$9,'Assumptions (Petroleum)'!$V$4*Model!$R$2231*AVERAGE('Assumptions (Petroleum)'!$N$2:$P$2)/10^9),0)</f>
        <v>-4.9475769337909835E-4</v>
      </c>
      <c r="AD2355" s="91">
        <f>IF($R$2231&gt;0,IPMT('Assumptions (Petroleum)'!$V$6,Model!AI$1,'Assumptions (Petroleum)'!$V$9,'Assumptions (Petroleum)'!$V$4*Model!$R$2231*AVERAGE('Assumptions (Petroleum)'!$N$2:$P$2)/10^9),0)</f>
        <v>-3.7954053806665106E-4</v>
      </c>
      <c r="AE2355" s="91">
        <f>IF($R$2231&gt;0,IPMT('Assumptions (Petroleum)'!$V$6,Model!AJ$1,'Assumptions (Petroleum)'!$V$9,'Assumptions (Petroleum)'!$V$4*Model!$R$2231*AVERAGE('Assumptions (Petroleum)'!$N$2:$P$2)/10^9),0)</f>
        <v>-2.5885056787686253E-4</v>
      </c>
      <c r="AF2355" s="91">
        <f>IF($R$2231&gt;0,IPMT('Assumptions (Petroleum)'!$V$6,Model!AK$1,'Assumptions (Petroleum)'!$V$9,'Assumptions (Petroleum)'!$V$4*Model!$R$2231*AVERAGE('Assumptions (Petroleum)'!$N$2:$P$2)/10^9),0)</f>
        <v>-1.3242782410305908E-4</v>
      </c>
      <c r="AG2355" s="91" t="e">
        <f>IF($R$2231&gt;0,IPMT('Assumptions (Petroleum)'!$V$6,Model!AL$1,'Assumptions (Petroleum)'!$V$9,'Assumptions (Petroleum)'!$V$4*Model!$R$2231*AVERAGE('Assumptions (Petroleum)'!$N$2:$P$2)/10^9),0)</f>
        <v>#NUM!</v>
      </c>
      <c r="AH2355" s="91" t="e">
        <f>IF($R$2231&gt;0,IPMT('Assumptions (Petroleum)'!$V$6,Model!AM$1,'Assumptions (Petroleum)'!$V$9,'Assumptions (Petroleum)'!$V$4*Model!$R$2231*AVERAGE('Assumptions (Petroleum)'!$N$2:$P$2)/10^9),0)</f>
        <v>#NUM!</v>
      </c>
      <c r="AI2355" s="91" t="e">
        <f>IF($R$2231&gt;0,IPMT('Assumptions (Petroleum)'!$V$6,Model!AN$1,'Assumptions (Petroleum)'!$V$9,'Assumptions (Petroleum)'!$V$4*Model!$R$2231*AVERAGE('Assumptions (Petroleum)'!$N$2:$P$2)/10^9),0)</f>
        <v>#NUM!</v>
      </c>
      <c r="AJ2355" s="91" t="e">
        <f>IF($R$2231&gt;0,IPMT('Assumptions (Petroleum)'!$V$6,Model!AO$1,'Assumptions (Petroleum)'!$V$9,'Assumptions (Petroleum)'!$V$4*Model!$R$2231*AVERAGE('Assumptions (Petroleum)'!$N$2:$P$2)/10^9),0)</f>
        <v>#NUM!</v>
      </c>
      <c r="AK2355" s="91" t="e">
        <f>IF($R$2231&gt;0,IPMT('Assumptions (Petroleum)'!$V$6,Model!AP$1,'Assumptions (Petroleum)'!$V$9,'Assumptions (Petroleum)'!$V$4*Model!$R$2231*AVERAGE('Assumptions (Petroleum)'!$N$2:$P$2)/10^9),0)</f>
        <v>#NUM!</v>
      </c>
      <c r="AL2355" s="91" t="e">
        <f>IF($R$2231&gt;0,IPMT('Assumptions (Petroleum)'!$V$6,Model!AQ$1,'Assumptions (Petroleum)'!$V$9,'Assumptions (Petroleum)'!$V$4*Model!$R$2231*AVERAGE('Assumptions (Petroleum)'!$N$2:$P$2)/10^9),0)</f>
        <v>#NUM!</v>
      </c>
      <c r="AM2355" s="91" t="e">
        <f>IF($R$2231&gt;0,IPMT('Assumptions (Petroleum)'!$V$6,Model!AR$1,'Assumptions (Petroleum)'!$V$9,'Assumptions (Petroleum)'!$V$4*Model!$R$2231*AVERAGE('Assumptions (Petroleum)'!$N$2:$P$2)/10^9),0)</f>
        <v>#NUM!</v>
      </c>
      <c r="AN2355" s="91" t="e">
        <f>IF($R$2231&gt;0,IPMT('Assumptions (Petroleum)'!$V$6,Model!AS$1,'Assumptions (Petroleum)'!$V$9,'Assumptions (Petroleum)'!$V$4*Model!$R$2231*AVERAGE('Assumptions (Petroleum)'!$N$2:$P$2)/10^9),0)</f>
        <v>#NUM!</v>
      </c>
      <c r="AO2355" s="91" t="e">
        <f>IF($R$2231&gt;0,IPMT('Assumptions (Petroleum)'!$V$6,Model!AT$1,'Assumptions (Petroleum)'!$V$9,'Assumptions (Petroleum)'!$V$4*Model!$R$2231*AVERAGE('Assumptions (Petroleum)'!$N$2:$P$2)/10^9),0)</f>
        <v>#NUM!</v>
      </c>
      <c r="AP2355" s="91" t="e">
        <f>IF($R$2231&gt;0,IPMT('Assumptions (Petroleum)'!$V$6,Model!AU$1,'Assumptions (Petroleum)'!$V$9,'Assumptions (Petroleum)'!$V$4*Model!$R$2231*AVERAGE('Assumptions (Petroleum)'!$N$2:$P$2)/10^9),0)</f>
        <v>#NUM!</v>
      </c>
    </row>
    <row r="2356" spans="1:55" ht="15.75" hidden="1" customHeight="1" outlineLevel="1">
      <c r="A2356" s="447"/>
      <c r="B2356" s="99"/>
      <c r="C2356" s="105"/>
      <c r="D2356" s="105"/>
      <c r="E2356" s="105"/>
      <c r="F2356" s="105"/>
      <c r="G2356" s="105"/>
      <c r="H2356" s="105"/>
      <c r="I2356" s="105"/>
      <c r="J2356" s="105"/>
      <c r="K2356" s="105"/>
      <c r="L2356" s="105"/>
      <c r="M2356" s="105"/>
      <c r="N2356" s="105"/>
      <c r="O2356" s="105"/>
      <c r="P2356" s="171"/>
      <c r="Q2356" s="105"/>
      <c r="R2356" s="91"/>
      <c r="S2356" s="105">
        <f>IF($S$2231&gt;0,IPMT('Assumptions (Petroleum)'!$V$6,Model!W$1,'Assumptions (Petroleum)'!$V$9,'Assumptions (Petroleum)'!$V$4*Model!$S$2231*AVERAGE('Assumptions (Petroleum)'!$O$2:$Q$2)/10^9),0)</f>
        <v>-8.4755221465621479E-4</v>
      </c>
      <c r="T2356" s="105">
        <f>IF($S$2231&gt;0,IPMT('Assumptions (Petroleum)'!$V$6,Model!X$1,'Assumptions (Petroleum)'!$V$9,'Assumptions (Petroleum)'!$V$4*Model!$S$2231*AVERAGE('Assumptions (Petroleum)'!$O$2:$Q$2)/10^9),0)</f>
        <v>-8.0752983760770355E-4</v>
      </c>
      <c r="U2356" s="105">
        <f>IF($S$2231&gt;0,IPMT('Assumptions (Petroleum)'!$V$6,Model!Y$1,'Assumptions (Petroleum)'!$V$9,'Assumptions (Petroleum)'!$V$4*Model!$S$2231*AVERAGE('Assumptions (Petroleum)'!$O$2:$Q$2)/10^9),0)</f>
        <v>-7.6560639764938797E-4</v>
      </c>
      <c r="V2356" s="105">
        <f>IF($S$2231&gt;0,IPMT('Assumptions (Petroleum)'!$V$6,Model!Z$1,'Assumptions (Petroleum)'!$V$9,'Assumptions (Petroleum)'!$V$4*Model!$S$2231*AVERAGE('Assumptions (Petroleum)'!$O$2:$Q$2)/10^9),0)</f>
        <v>-7.2169159429305259E-4</v>
      </c>
      <c r="W2356" s="105">
        <f>IF($S$2231&gt;0,IPMT('Assumptions (Petroleum)'!$V$6,Model!AA$1,'Assumptions (Petroleum)'!$V$9,'Assumptions (Petroleum)'!$V$4*Model!$S$2231*AVERAGE('Assumptions (Petroleum)'!$O$2:$Q$2)/10^9),0)</f>
        <v>-6.7569083777729117E-4</v>
      </c>
      <c r="X2356" s="105">
        <f>IF($S$2231&gt;0,IPMT('Assumptions (Petroleum)'!$V$6,Model!AB$1,'Assumptions (Petroleum)'!$V$9,'Assumptions (Petroleum)'!$V$4*Model!$S$2231*AVERAGE('Assumptions (Petroleum)'!$O$2:$Q$2)/10^9),0)</f>
        <v>-6.2750504532703118E-4</v>
      </c>
      <c r="Y2356" s="105">
        <f>IF($S$2231&gt;0,IPMT('Assumptions (Petroleum)'!$V$6,Model!AC$1,'Assumptions (Petroleum)'!$V$9,'Assumptions (Petroleum)'!$V$4*Model!$S$2231*AVERAGE('Assumptions (Petroleum)'!$O$2:$Q$2)/10^9),0)</f>
        <v>-5.7703042773538376E-4</v>
      </c>
      <c r="Z2356" s="105">
        <f>IF($S$2231&gt;0,IPMT('Assumptions (Petroleum)'!$V$6,Model!AD$1,'Assumptions (Petroleum)'!$V$9,'Assumptions (Petroleum)'!$V$4*Model!$S$2231*AVERAGE('Assumptions (Petroleum)'!$O$2:$Q$2)/10^9),0)</f>
        <v>-5.2415826580813304E-4</v>
      </c>
      <c r="AA2356" s="105">
        <f>IF($S$2231&gt;0,IPMT('Assumptions (Petroleum)'!$V$6,Model!AE$1,'Assumptions (Petroleum)'!$V$9,'Assumptions (Petroleum)'!$V$4*Model!$S$2231*AVERAGE('Assumptions (Petroleum)'!$O$2:$Q$2)/10^9),0)</f>
        <v>-4.6877467618933812E-4</v>
      </c>
      <c r="AB2356" s="105">
        <f>IF($S$2231&gt;0,IPMT('Assumptions (Petroleum)'!$V$6,Model!AF$1,'Assumptions (Petroleum)'!$V$9,'Assumptions (Petroleum)'!$V$4*Model!$S$2231*AVERAGE('Assumptions (Petroleum)'!$O$2:$Q$2)/10^9),0)</f>
        <v>-4.1076036606365034E-4</v>
      </c>
      <c r="AC2356" s="105">
        <f>IF($S$2231&gt;0,IPMT('Assumptions (Petroleum)'!$V$6,Model!AG$1,'Assumptions (Petroleum)'!$V$9,'Assumptions (Petroleum)'!$V$4*Model!$S$2231*AVERAGE('Assumptions (Petroleum)'!$O$2:$Q$2)/10^9),0)</f>
        <v>-3.4999037620699232E-4</v>
      </c>
      <c r="AD2356" s="105">
        <f>IF($S$2231&gt;0,IPMT('Assumptions (Petroleum)'!$V$6,Model!AH$1,'Assumptions (Petroleum)'!$V$9,'Assumptions (Petroleum)'!$V$4*Model!$S$2231*AVERAGE('Assumptions (Petroleum)'!$O$2:$Q$2)/10^9),0)</f>
        <v>-2.8633381183214312E-4</v>
      </c>
      <c r="AE2356" s="105">
        <f>IF($S$2231&gt;0,IPMT('Assumptions (Petroleum)'!$V$6,Model!AI$1,'Assumptions (Petroleum)'!$V$9,'Assumptions (Petroleum)'!$V$4*Model!$S$2231*AVERAGE('Assumptions (Petroleum)'!$O$2:$Q$2)/10^9),0)</f>
        <v>-2.1965356064948847E-4</v>
      </c>
      <c r="AF2356" s="105">
        <f>IF($S$2231&gt;0,IPMT('Assumptions (Petroleum)'!$V$6,Model!AJ$1,'Assumptions (Petroleum)'!$V$9,'Assumptions (Petroleum)'!$V$4*Model!$S$2231*AVERAGE('Assumptions (Petroleum)'!$O$2:$Q$2)/10^9),0)</f>
        <v>-1.4980599753565779E-4</v>
      </c>
      <c r="AG2356" s="105">
        <f>IF($S$2231&gt;0,IPMT('Assumptions (Petroleum)'!$V$6,Model!AK$1,'Assumptions (Petroleum)'!$V$9,'Assumptions (Petroleum)'!$V$4*Model!$S$2231*AVERAGE('Assumptions (Petroleum)'!$O$2:$Q$2)/10^9),0)</f>
        <v>-7.6640675173920175E-5</v>
      </c>
      <c r="AH2356" s="105" t="e">
        <f>IF($S$2231&gt;0,IPMT('Assumptions (Petroleum)'!$V$6,Model!AL$1,'Assumptions (Petroleum)'!$V$9,'Assumptions (Petroleum)'!$V$4*Model!$S$2231*AVERAGE('Assumptions (Petroleum)'!$O$2:$Q$2)/10^9),0)</f>
        <v>#NUM!</v>
      </c>
      <c r="AI2356" s="105" t="e">
        <f>IF($S$2231&gt;0,IPMT('Assumptions (Petroleum)'!$V$6,Model!AM$1,'Assumptions (Petroleum)'!$V$9,'Assumptions (Petroleum)'!$V$4*Model!$S$2231*AVERAGE('Assumptions (Petroleum)'!$O$2:$Q$2)/10^9),0)</f>
        <v>#NUM!</v>
      </c>
      <c r="AJ2356" s="105" t="e">
        <f>IF($S$2231&gt;0,IPMT('Assumptions (Petroleum)'!$V$6,Model!AN$1,'Assumptions (Petroleum)'!$V$9,'Assumptions (Petroleum)'!$V$4*Model!$S$2231*AVERAGE('Assumptions (Petroleum)'!$O$2:$Q$2)/10^9),0)</f>
        <v>#NUM!</v>
      </c>
      <c r="AK2356" s="105" t="e">
        <f>IF($S$2231&gt;0,IPMT('Assumptions (Petroleum)'!$V$6,Model!AO$1,'Assumptions (Petroleum)'!$V$9,'Assumptions (Petroleum)'!$V$4*Model!$S$2231*AVERAGE('Assumptions (Petroleum)'!$O$2:$Q$2)/10^9),0)</f>
        <v>#NUM!</v>
      </c>
      <c r="AL2356" s="105" t="e">
        <f>IF($S$2231&gt;0,IPMT('Assumptions (Petroleum)'!$V$6,Model!AP$1,'Assumptions (Petroleum)'!$V$9,'Assumptions (Petroleum)'!$V$4*Model!$S$2231*AVERAGE('Assumptions (Petroleum)'!$O$2:$Q$2)/10^9),0)</f>
        <v>#NUM!</v>
      </c>
      <c r="AM2356" s="105" t="e">
        <f>IF($S$2231&gt;0,IPMT('Assumptions (Petroleum)'!$V$6,Model!AQ$1,'Assumptions (Petroleum)'!$V$9,'Assumptions (Petroleum)'!$V$4*Model!$S$2231*AVERAGE('Assumptions (Petroleum)'!$O$2:$Q$2)/10^9),0)</f>
        <v>#NUM!</v>
      </c>
      <c r="AN2356" s="105" t="e">
        <f>IF($S$2231&gt;0,IPMT('Assumptions (Petroleum)'!$V$6,Model!AR$1,'Assumptions (Petroleum)'!$V$9,'Assumptions (Petroleum)'!$V$4*Model!$S$2231*AVERAGE('Assumptions (Petroleum)'!$O$2:$Q$2)/10^9),0)</f>
        <v>#NUM!</v>
      </c>
      <c r="AO2356" s="105" t="e">
        <f>IF($S$2231&gt;0,IPMT('Assumptions (Petroleum)'!$V$6,Model!AS$1,'Assumptions (Petroleum)'!$V$9,'Assumptions (Petroleum)'!$V$4*Model!$S$2231*AVERAGE('Assumptions (Petroleum)'!$O$2:$Q$2)/10^9),0)</f>
        <v>#NUM!</v>
      </c>
      <c r="AP2356" s="105" t="e">
        <f>IF($S$2231&gt;0,IPMT('Assumptions (Petroleum)'!$V$6,Model!AT$1,'Assumptions (Petroleum)'!$V$9,'Assumptions (Petroleum)'!$V$4*Model!$S$2231*AVERAGE('Assumptions (Petroleum)'!$O$2:$Q$2)/10^9),0)</f>
        <v>#NUM!</v>
      </c>
      <c r="AQ2356" s="105" t="e">
        <f>IF($S$2231&gt;0,IPMT('Assumptions (Petroleum)'!$V$6,Model!AU$1,'Assumptions (Petroleum)'!$V$9,'Assumptions (Petroleum)'!$V$4*Model!$S$2231*AVERAGE('Assumptions (Petroleum)'!$O$2:$Q$2)/10^9),0)</f>
        <v>#NUM!</v>
      </c>
    </row>
    <row r="2357" spans="1:55" ht="15.75" hidden="1" customHeight="1" outlineLevel="1">
      <c r="A2357" s="447"/>
      <c r="B2357" s="99"/>
      <c r="C2357" s="105"/>
      <c r="D2357" s="105"/>
      <c r="E2357" s="105"/>
      <c r="F2357" s="105"/>
      <c r="G2357" s="105"/>
      <c r="H2357" s="105"/>
      <c r="I2357" s="105"/>
      <c r="J2357" s="105"/>
      <c r="K2357" s="105"/>
      <c r="L2357" s="105"/>
      <c r="M2357" s="105"/>
      <c r="N2357" s="105"/>
      <c r="O2357" s="105"/>
      <c r="P2357" s="171"/>
      <c r="Q2357" s="105"/>
      <c r="R2357" s="91"/>
      <c r="S2357" s="91"/>
      <c r="T2357" s="105">
        <f>IF($T$2231&gt;0,IPMT('Assumptions (Petroleum)'!$V$6,Model!W$1,'Assumptions (Petroleum)'!$V$9,'Assumptions (Petroleum)'!$V$4*Model!$T$2231*AVERAGE('Assumptions (Petroleum)'!$P$2:$R$2)/10^9),0)</f>
        <v>-1.3233744902391639E-3</v>
      </c>
      <c r="U2357" s="105">
        <f>IF($T$2231&gt;0,IPMT('Assumptions (Petroleum)'!$V$6,Model!X$1,'Assumptions (Petroleum)'!$V$9,'Assumptions (Petroleum)'!$V$4*Model!$T$2231*AVERAGE('Assumptions (Petroleum)'!$P$2:$R$2)/10^9),0)</f>
        <v>-1.2608832455596644E-3</v>
      </c>
      <c r="V2357" s="105">
        <f>IF($T$2231&gt;0,IPMT('Assumptions (Petroleum)'!$V$6,Model!Y$1,'Assumptions (Petroleum)'!$V$9,'Assumptions (Petroleum)'!$V$4*Model!$T$2231*AVERAGE('Assumptions (Petroleum)'!$P$2:$R$2)/10^9),0)</f>
        <v>-1.1954236667578886E-3</v>
      </c>
      <c r="W2357" s="105">
        <f>IF($T$2231&gt;0,IPMT('Assumptions (Petroleum)'!$V$6,Model!Z$1,'Assumptions (Petroleum)'!$V$9,'Assumptions (Petroleum)'!$V$4*Model!$T$2231*AVERAGE('Assumptions (Petroleum)'!$P$2:$R$2)/10^9),0)</f>
        <v>-1.1268547579630288E-3</v>
      </c>
      <c r="X2357" s="105">
        <f>IF($T$2231&gt;0,IPMT('Assumptions (Petroleum)'!$V$6,Model!AA$1,'Assumptions (Petroleum)'!$V$9,'Assumptions (Petroleum)'!$V$4*Model!$T$2231*AVERAGE('Assumptions (Petroleum)'!$P$2:$R$2)/10^9),0)</f>
        <v>-1.055028826000413E-3</v>
      </c>
      <c r="Y2357" s="105">
        <f>IF($T$2231&gt;0,IPMT('Assumptions (Petroleum)'!$V$6,Model!AB$1,'Assumptions (Petroleum)'!$V$9,'Assumptions (Petroleum)'!$V$4*Model!$T$2231*AVERAGE('Assumptions (Petroleum)'!$P$2:$R$2)/10^9),0)</f>
        <v>-9.7979116226957303E-4</v>
      </c>
      <c r="Z2357" s="105">
        <f>IF($T$2231&gt;0,IPMT('Assumptions (Petroleum)'!$V$6,Model!AC$1,'Assumptions (Petroleum)'!$V$9,'Assumptions (Petroleum)'!$V$4*Model!$T$2231*AVERAGE('Assumptions (Petroleum)'!$P$2:$R$2)/10^9),0)</f>
        <v>-9.00979709511518E-4</v>
      </c>
      <c r="AA2357" s="105">
        <f>IF($T$2231&gt;0,IPMT('Assumptions (Petroleum)'!$V$6,Model!AD$1,'Assumptions (Petroleum)'!$V$9,'Assumptions (Petroleum)'!$V$4*Model!$T$2231*AVERAGE('Assumptions (Petroleum)'!$P$2:$R$2)/10^9),0)</f>
        <v>-8.1842471274745545E-4</v>
      </c>
      <c r="AB2357" s="105">
        <f>IF($T$2231&gt;0,IPMT('Assumptions (Petroleum)'!$V$6,Model!AE$1,'Assumptions (Petroleum)'!$V$9,'Assumptions (Petroleum)'!$V$4*Model!$T$2231*AVERAGE('Assumptions (Petroleum)'!$P$2:$R$2)/10^9),0)</f>
        <v>-7.3194835363710002E-4</v>
      </c>
      <c r="AC2357" s="105">
        <f>IF($T$2231&gt;0,IPMT('Assumptions (Petroleum)'!$V$6,Model!AF$1,'Assumptions (Petroleum)'!$V$9,'Assumptions (Petroleum)'!$V$4*Model!$T$2231*AVERAGE('Assumptions (Petroleum)'!$P$2:$R$2)/10^9),0)</f>
        <v>-6.4136436746900266E-4</v>
      </c>
      <c r="AD2357" s="105">
        <f>IF($T$2231&gt;0,IPMT('Assumptions (Petroleum)'!$V$6,Model!AG$1,'Assumptions (Petroleum)'!$V$9,'Assumptions (Petroleum)'!$V$4*Model!$T$2231*AVERAGE('Assumptions (Petroleum)'!$P$2:$R$2)/10^9),0)</f>
        <v>-5.4647764195792071E-4</v>
      </c>
      <c r="AE2357" s="105">
        <f>IF($T$2231&gt;0,IPMT('Assumptions (Petroleum)'!$V$6,Model!AH$1,'Assumptions (Petroleum)'!$V$9,'Assumptions (Petroleum)'!$V$4*Model!$T$2231*AVERAGE('Assumptions (Petroleum)'!$P$2:$R$2)/10^9),0)</f>
        <v>-4.4708379698506228E-4</v>
      </c>
      <c r="AF2357" s="105">
        <f>IF($T$2231&gt;0,IPMT('Assumptions (Petroleum)'!$V$6,Model!AI$1,'Assumptions (Petroleum)'!$V$9,'Assumptions (Petroleum)'!$V$4*Model!$T$2231*AVERAGE('Assumptions (Petroleum)'!$P$2:$R$2)/10^9),0)</f>
        <v>-3.42968744375993E-4</v>
      </c>
      <c r="AG2357" s="105">
        <f>IF($T$2231&gt;0,IPMT('Assumptions (Petroleum)'!$V$6,Model!AJ$1,'Assumptions (Petroleum)'!$V$9,'Assumptions (Petroleum)'!$V$4*Model!$T$2231*AVERAGE('Assumptions (Petroleum)'!$P$2:$R$2)/10^9),0)</f>
        <v>-2.3390822676799301E-4</v>
      </c>
      <c r="AH2357" s="105">
        <f>IF($T$2231&gt;0,IPMT('Assumptions (Petroleum)'!$V$6,Model!AK$1,'Assumptions (Petroleum)'!$V$9,'Assumptions (Petroleum)'!$V$4*Model!$T$2231*AVERAGE('Assumptions (Petroleum)'!$P$2:$R$2)/10^9),0)</f>
        <v>-1.1966733457361303E-4</v>
      </c>
      <c r="AI2357" s="105" t="e">
        <f>IF($T$2231&gt;0,IPMT('Assumptions (Petroleum)'!$V$6,Model!AL$1,'Assumptions (Petroleum)'!$V$9,'Assumptions (Petroleum)'!$V$4*Model!$T$2231*AVERAGE('Assumptions (Petroleum)'!$P$2:$R$2)/10^9),0)</f>
        <v>#NUM!</v>
      </c>
      <c r="AJ2357" s="105" t="e">
        <f>IF($T$2231&gt;0,IPMT('Assumptions (Petroleum)'!$V$6,Model!AM$1,'Assumptions (Petroleum)'!$V$9,'Assumptions (Petroleum)'!$V$4*Model!$T$2231*AVERAGE('Assumptions (Petroleum)'!$P$2:$R$2)/10^9),0)</f>
        <v>#NUM!</v>
      </c>
      <c r="AK2357" s="105" t="e">
        <f>IF($T$2231&gt;0,IPMT('Assumptions (Petroleum)'!$V$6,Model!AN$1,'Assumptions (Petroleum)'!$V$9,'Assumptions (Petroleum)'!$V$4*Model!$T$2231*AVERAGE('Assumptions (Petroleum)'!$P$2:$R$2)/10^9),0)</f>
        <v>#NUM!</v>
      </c>
      <c r="AL2357" s="105" t="e">
        <f>IF($T$2231&gt;0,IPMT('Assumptions (Petroleum)'!$V$6,Model!AO$1,'Assumptions (Petroleum)'!$V$9,'Assumptions (Petroleum)'!$V$4*Model!$T$2231*AVERAGE('Assumptions (Petroleum)'!$P$2:$R$2)/10^9),0)</f>
        <v>#NUM!</v>
      </c>
      <c r="AM2357" s="105" t="e">
        <f>IF($T$2231&gt;0,IPMT('Assumptions (Petroleum)'!$V$6,Model!AP$1,'Assumptions (Petroleum)'!$V$9,'Assumptions (Petroleum)'!$V$4*Model!$T$2231*AVERAGE('Assumptions (Petroleum)'!$P$2:$R$2)/10^9),0)</f>
        <v>#NUM!</v>
      </c>
      <c r="AN2357" s="105" t="e">
        <f>IF($T$2231&gt;0,IPMT('Assumptions (Petroleum)'!$V$6,Model!AQ$1,'Assumptions (Petroleum)'!$V$9,'Assumptions (Petroleum)'!$V$4*Model!$T$2231*AVERAGE('Assumptions (Petroleum)'!$P$2:$R$2)/10^9),0)</f>
        <v>#NUM!</v>
      </c>
      <c r="AO2357" s="105" t="e">
        <f>IF($T$2231&gt;0,IPMT('Assumptions (Petroleum)'!$V$6,Model!AR$1,'Assumptions (Petroleum)'!$V$9,'Assumptions (Petroleum)'!$V$4*Model!$T$2231*AVERAGE('Assumptions (Petroleum)'!$P$2:$R$2)/10^9),0)</f>
        <v>#NUM!</v>
      </c>
      <c r="AP2357" s="105" t="e">
        <f>IF($T$2231&gt;0,IPMT('Assumptions (Petroleum)'!$V$6,Model!AS$1,'Assumptions (Petroleum)'!$V$9,'Assumptions (Petroleum)'!$V$4*Model!$T$2231*AVERAGE('Assumptions (Petroleum)'!$P$2:$R$2)/10^9),0)</f>
        <v>#NUM!</v>
      </c>
      <c r="AQ2357" s="105" t="e">
        <f>IF($T$2231&gt;0,IPMT('Assumptions (Petroleum)'!$V$6,Model!AT$1,'Assumptions (Petroleum)'!$V$9,'Assumptions (Petroleum)'!$V$4*Model!$T$2231*AVERAGE('Assumptions (Petroleum)'!$P$2:$R$2)/10^9),0)</f>
        <v>#NUM!</v>
      </c>
      <c r="AR2357" s="105" t="e">
        <f>IF($T$2231&gt;0,IPMT('Assumptions (Petroleum)'!$V$6,Model!AU$1,'Assumptions (Petroleum)'!$V$9,'Assumptions (Petroleum)'!$V$4*Model!$T$2231*AVERAGE('Assumptions (Petroleum)'!$P$2:$R$2)/10^9),0)</f>
        <v>#NUM!</v>
      </c>
    </row>
    <row r="2358" spans="1:55" ht="15.75" hidden="1" customHeight="1" outlineLevel="1">
      <c r="A2358" s="447"/>
      <c r="B2358" s="99"/>
      <c r="C2358" s="105"/>
      <c r="D2358" s="105"/>
      <c r="E2358" s="105"/>
      <c r="F2358" s="105"/>
      <c r="G2358" s="105"/>
      <c r="H2358" s="105"/>
      <c r="I2358" s="105"/>
      <c r="J2358" s="105"/>
      <c r="K2358" s="105"/>
      <c r="L2358" s="105"/>
      <c r="M2358" s="105"/>
      <c r="N2358" s="105"/>
      <c r="O2358" s="105"/>
      <c r="P2358" s="171"/>
      <c r="Q2358" s="105"/>
      <c r="R2358" s="91"/>
      <c r="S2358" s="91"/>
      <c r="T2358" s="91"/>
      <c r="U2358" s="105">
        <f>IF($U$2231&gt;0,IPMT('Assumptions (Petroleum)'!$V$6,Model!W$1,'Assumptions (Petroleum)'!$V$9,'Assumptions (Petroleum)'!$V$4*Model!$U$2231*AVERAGE('Assumptions (Petroleum)'!$Q$2:$S$2)/10^9),0)</f>
        <v>-5.3269626032385658E-4</v>
      </c>
      <c r="V2358" s="105">
        <f>IF($U$2231&gt;0,IPMT('Assumptions (Petroleum)'!$V$6,Model!X$1,'Assumptions (Petroleum)'!$V$9,'Assumptions (Petroleum)'!$V$4*Model!$U$2231*AVERAGE('Assumptions (Petroleum)'!$Q$2:$S$2)/10^9),0)</f>
        <v>-5.0754173861493627E-4</v>
      </c>
      <c r="W2358" s="105">
        <f>IF($U$2231&gt;0,IPMT('Assumptions (Petroleum)'!$V$6,Model!Y$1,'Assumptions (Petroleum)'!$V$9,'Assumptions (Petroleum)'!$V$4*Model!$U$2231*AVERAGE('Assumptions (Petroleum)'!$Q$2:$S$2)/10^9),0)</f>
        <v>-4.8119237712484212E-4</v>
      </c>
      <c r="X2358" s="105">
        <f>IF($U$2231&gt;0,IPMT('Assumptions (Petroleum)'!$V$6,Model!Z$1,'Assumptions (Petroleum)'!$V$9,'Assumptions (Petroleum)'!$V$4*Model!$U$2231*AVERAGE('Assumptions (Petroleum)'!$Q$2:$S$2)/10^9),0)</f>
        <v>-4.5359142096396864E-4</v>
      </c>
      <c r="Y2358" s="105">
        <f>IF($U$2231&gt;0,IPMT('Assumptions (Petroleum)'!$V$6,Model!AA$1,'Assumptions (Petroleum)'!$V$9,'Assumptions (Petroleum)'!$V$4*Model!$U$2231*AVERAGE('Assumptions (Petroleum)'!$Q$2:$S$2)/10^9),0)</f>
        <v>-4.2467941938545368E-4</v>
      </c>
      <c r="Z2358" s="105">
        <f>IF($U$2231&gt;0,IPMT('Assumptions (Petroleum)'!$V$6,Model!AB$1,'Assumptions (Petroleum)'!$V$9,'Assumptions (Petroleum)'!$V$4*Model!$U$2231*AVERAGE('Assumptions (Petroleum)'!$Q$2:$S$2)/10^9),0)</f>
        <v>-3.943940977319592E-4</v>
      </c>
      <c r="AA2358" s="105">
        <f>IF($U$2231&gt;0,IPMT('Assumptions (Petroleum)'!$V$6,Model!AC$1,'Assumptions (Petroleum)'!$V$9,'Assumptions (Petroleum)'!$V$4*Model!$U$2231*AVERAGE('Assumptions (Petroleum)'!$Q$2:$S$2)/10^9),0)</f>
        <v>-3.6267022329992374E-4</v>
      </c>
      <c r="AB2358" s="105">
        <f>IF($U$2231&gt;0,IPMT('Assumptions (Petroleum)'!$V$6,Model!AD$1,'Assumptions (Petroleum)'!$V$9,'Assumptions (Petroleum)'!$V$4*Model!$U$2231*AVERAGE('Assumptions (Petroleum)'!$Q$2:$S$2)/10^9),0)</f>
        <v>-3.2943946483236661E-4</v>
      </c>
      <c r="AC2358" s="105">
        <f>IF($U$2231&gt;0,IPMT('Assumptions (Petroleum)'!$V$6,Model!AE$1,'Assumptions (Petroleum)'!$V$9,'Assumptions (Petroleum)'!$V$4*Model!$U$2231*AVERAGE('Assumptions (Petroleum)'!$Q$2:$S$2)/10^9),0)</f>
        <v>-2.9463024533760059E-4</v>
      </c>
      <c r="AD2358" s="105">
        <f>IF($U$2231&gt;0,IPMT('Assumptions (Petroleum)'!$V$6,Model!AF$1,'Assumptions (Petroleum)'!$V$9,'Assumptions (Petroleum)'!$V$4*Model!$U$2231*AVERAGE('Assumptions (Petroleum)'!$Q$2:$S$2)/10^9),0)</f>
        <v>-2.5816758791683307E-4</v>
      </c>
      <c r="AE2358" s="105">
        <f>IF($U$2231&gt;0,IPMT('Assumptions (Petroleum)'!$V$6,Model!AG$1,'Assumptions (Petroleum)'!$V$9,'Assumptions (Petroleum)'!$V$4*Model!$U$2231*AVERAGE('Assumptions (Petroleum)'!$Q$2:$S$2)/10^9),0)</f>
        <v>-2.1997295426857911E-4</v>
      </c>
      <c r="AF2358" s="105">
        <f>IF($U$2231&gt;0,IPMT('Assumptions (Petroleum)'!$V$6,Model!AH$1,'Assumptions (Petroleum)'!$V$9,'Assumptions (Petroleum)'!$V$4*Model!$U$2231*AVERAGE('Assumptions (Petroleum)'!$Q$2:$S$2)/10^9),0)</f>
        <v>-1.7996407552203314E-4</v>
      </c>
      <c r="AG2358" s="105">
        <f>IF($U$2231&gt;0,IPMT('Assumptions (Petroleum)'!$V$6,Model!AI$1,'Assumptions (Petroleum)'!$V$9,'Assumptions (Petroleum)'!$V$4*Model!$U$2231*AVERAGE('Assumptions (Petroleum)'!$Q$2:$S$2)/10^9),0)</f>
        <v>-1.3805477503502618E-4</v>
      </c>
      <c r="AH2358" s="105">
        <f>IF($U$2231&gt;0,IPMT('Assumptions (Petroleum)'!$V$6,Model!AJ$1,'Assumptions (Petroleum)'!$V$9,'Assumptions (Petroleum)'!$V$4*Model!$U$2231*AVERAGE('Assumptions (Petroleum)'!$Q$2:$S$2)/10^9),0)</f>
        <v>-9.4154782774886407E-5</v>
      </c>
      <c r="AI2358" s="105">
        <f>IF($U$2231&gt;0,IPMT('Assumptions (Petroleum)'!$V$6,Model!AK$1,'Assumptions (Petroleum)'!$V$9,'Assumptions (Petroleum)'!$V$4*Model!$U$2231*AVERAGE('Assumptions (Petroleum)'!$Q$2:$S$2)/10^9),0)</f>
        <v>-4.8169540882389989E-5</v>
      </c>
      <c r="AJ2358" s="105" t="e">
        <f>IF($U$2231&gt;0,IPMT('Assumptions (Petroleum)'!$V$6,Model!AL$1,'Assumptions (Petroleum)'!$V$9,'Assumptions (Petroleum)'!$V$4*Model!$U$2231*AVERAGE('Assumptions (Petroleum)'!$Q$2:$S$2)/10^9),0)</f>
        <v>#NUM!</v>
      </c>
      <c r="AK2358" s="105" t="e">
        <f>IF($U$2231&gt;0,IPMT('Assumptions (Petroleum)'!$V$6,Model!AM$1,'Assumptions (Petroleum)'!$V$9,'Assumptions (Petroleum)'!$V$4*Model!$U$2231*AVERAGE('Assumptions (Petroleum)'!$Q$2:$S$2)/10^9),0)</f>
        <v>#NUM!</v>
      </c>
      <c r="AL2358" s="105" t="e">
        <f>IF($U$2231&gt;0,IPMT('Assumptions (Petroleum)'!$V$6,Model!AN$1,'Assumptions (Petroleum)'!$V$9,'Assumptions (Petroleum)'!$V$4*Model!$U$2231*AVERAGE('Assumptions (Petroleum)'!$Q$2:$S$2)/10^9),0)</f>
        <v>#NUM!</v>
      </c>
      <c r="AM2358" s="105" t="e">
        <f>IF($U$2231&gt;0,IPMT('Assumptions (Petroleum)'!$V$6,Model!AO$1,'Assumptions (Petroleum)'!$V$9,'Assumptions (Petroleum)'!$V$4*Model!$U$2231*AVERAGE('Assumptions (Petroleum)'!$Q$2:$S$2)/10^9),0)</f>
        <v>#NUM!</v>
      </c>
      <c r="AN2358" s="105" t="e">
        <f>IF($U$2231&gt;0,IPMT('Assumptions (Petroleum)'!$V$6,Model!AP$1,'Assumptions (Petroleum)'!$V$9,'Assumptions (Petroleum)'!$V$4*Model!$U$2231*AVERAGE('Assumptions (Petroleum)'!$Q$2:$S$2)/10^9),0)</f>
        <v>#NUM!</v>
      </c>
      <c r="AO2358" s="105" t="e">
        <f>IF($U$2231&gt;0,IPMT('Assumptions (Petroleum)'!$V$6,Model!AQ$1,'Assumptions (Petroleum)'!$V$9,'Assumptions (Petroleum)'!$V$4*Model!$U$2231*AVERAGE('Assumptions (Petroleum)'!$Q$2:$S$2)/10^9),0)</f>
        <v>#NUM!</v>
      </c>
      <c r="AP2358" s="105" t="e">
        <f>IF($U$2231&gt;0,IPMT('Assumptions (Petroleum)'!$V$6,Model!AR$1,'Assumptions (Petroleum)'!$V$9,'Assumptions (Petroleum)'!$V$4*Model!$U$2231*AVERAGE('Assumptions (Petroleum)'!$Q$2:$S$2)/10^9),0)</f>
        <v>#NUM!</v>
      </c>
      <c r="AQ2358" s="105" t="e">
        <f>IF($U$2231&gt;0,IPMT('Assumptions (Petroleum)'!$V$6,Model!AS$1,'Assumptions (Petroleum)'!$V$9,'Assumptions (Petroleum)'!$V$4*Model!$U$2231*AVERAGE('Assumptions (Petroleum)'!$Q$2:$S$2)/10^9),0)</f>
        <v>#NUM!</v>
      </c>
      <c r="AR2358" s="105" t="e">
        <f>IF($U$2231&gt;0,IPMT('Assumptions (Petroleum)'!$V$6,Model!AT$1,'Assumptions (Petroleum)'!$V$9,'Assumptions (Petroleum)'!$V$4*Model!$U$2231*AVERAGE('Assumptions (Petroleum)'!$Q$2:$S$2)/10^9),0)</f>
        <v>#NUM!</v>
      </c>
      <c r="AS2358" s="105" t="e">
        <f>IF($U$2231&gt;0,IPMT('Assumptions (Petroleum)'!$V$6,Model!AU$1,'Assumptions (Petroleum)'!$V$9,'Assumptions (Petroleum)'!$V$4*Model!$U$2231*AVERAGE('Assumptions (Petroleum)'!$Q$2:$S$2)/10^9),0)</f>
        <v>#NUM!</v>
      </c>
    </row>
    <row r="2359" spans="1:55" ht="15.75" hidden="1" customHeight="1" outlineLevel="1">
      <c r="A2359" s="447"/>
      <c r="B2359" s="99"/>
      <c r="C2359" s="105"/>
      <c r="D2359" s="105"/>
      <c r="E2359" s="105"/>
      <c r="F2359" s="105"/>
      <c r="G2359" s="105"/>
      <c r="H2359" s="105"/>
      <c r="I2359" s="105"/>
      <c r="J2359" s="105"/>
      <c r="K2359" s="105"/>
      <c r="L2359" s="105"/>
      <c r="M2359" s="105"/>
      <c r="N2359" s="105"/>
      <c r="O2359" s="105"/>
      <c r="P2359" s="171"/>
      <c r="Q2359" s="105"/>
      <c r="R2359" s="91"/>
      <c r="S2359" s="91"/>
      <c r="T2359" s="91"/>
      <c r="U2359" s="105"/>
      <c r="V2359" s="105">
        <f>IF($V$2231&gt;0,IPMT('Assumptions (Petroleum)'!$V$6,Model!W$1,'Assumptions (Petroleum)'!$V$9,'Assumptions (Petroleum)'!$V$4*Model!$V$2231*AVERAGE('Assumptions (Petroleum)'!$R$2:$T$2)/10^9),0)</f>
        <v>-5.1433634067191798E-4</v>
      </c>
      <c r="W2359" s="105">
        <f>IF($V$2231&gt;0,IPMT('Assumptions (Petroleum)'!$V$6,Model!X$1,'Assumptions (Petroleum)'!$V$9,'Assumptions (Petroleum)'!$V$4*Model!$V$2231*AVERAGE('Assumptions (Petroleum)'!$R$2:$T$2)/10^9),0)</f>
        <v>-4.9004879519665449E-4</v>
      </c>
      <c r="X2359" s="105">
        <f>IF($V$2231&gt;0,IPMT('Assumptions (Petroleum)'!$V$6,Model!Y$1,'Assumptions (Petroleum)'!$V$9,'Assumptions (Petroleum)'!$V$4*Model!$V$2231*AVERAGE('Assumptions (Petroleum)'!$R$2:$T$2)/10^9),0)</f>
        <v>-4.6460759131131601E-4</v>
      </c>
      <c r="Y2359" s="105">
        <f>IF($V$2231&gt;0,IPMT('Assumptions (Petroleum)'!$V$6,Model!Z$1,'Assumptions (Petroleum)'!$V$9,'Assumptions (Petroleum)'!$V$4*Model!$V$2231*AVERAGE('Assumptions (Petroleum)'!$R$2:$T$2)/10^9),0)</f>
        <v>-4.3795793024142414E-4</v>
      </c>
      <c r="Z2359" s="105">
        <f>IF($V$2231&gt;0,IPMT('Assumptions (Petroleum)'!$V$6,Model!AA$1,'Assumptions (Petroleum)'!$V$9,'Assumptions (Petroleum)'!$V$4*Model!$V$2231*AVERAGE('Assumptions (Petroleum)'!$R$2:$T$2)/10^9),0)</f>
        <v>-4.1004241027071232E-4</v>
      </c>
      <c r="AA2359" s="105">
        <f>IF($V$2231&gt;0,IPMT('Assumptions (Petroleum)'!$V$6,Model!AB$1,'Assumptions (Petroleum)'!$V$9,'Assumptions (Petroleum)'!$V$4*Model!$V$2231*AVERAGE('Assumptions (Petroleum)'!$R$2:$T$2)/10^9),0)</f>
        <v>-3.8080090310139167E-4</v>
      </c>
      <c r="AB2359" s="105">
        <f>IF($V$2231&gt;0,IPMT('Assumptions (Petroleum)'!$V$6,Model!AC$1,'Assumptions (Petroleum)'!$V$9,'Assumptions (Petroleum)'!$V$4*Model!$V$2231*AVERAGE('Assumptions (Petroleum)'!$R$2:$T$2)/10^9),0)</f>
        <v>-3.5017042434152835E-4</v>
      </c>
      <c r="AC2359" s="105">
        <f>IF($V$2231&gt;0,IPMT('Assumptions (Petroleum)'!$V$6,Model!AD$1,'Assumptions (Petroleum)'!$V$9,'Assumptions (Petroleum)'!$V$4*Model!$V$2231*AVERAGE('Assumptions (Petroleum)'!$R$2:$T$2)/10^9),0)</f>
        <v>-3.1808499784057145E-4</v>
      </c>
      <c r="AD2359" s="105">
        <f>IF($V$2231&gt;0,IPMT('Assumptions (Petroleum)'!$V$6,Model!AE$1,'Assumptions (Petroleum)'!$V$9,'Assumptions (Petroleum)'!$V$4*Model!$V$2231*AVERAGE('Assumptions (Petroleum)'!$R$2:$T$2)/10^9),0)</f>
        <v>-2.8447551358081917E-4</v>
      </c>
      <c r="AE2359" s="105">
        <f>IF($V$2231&gt;0,IPMT('Assumptions (Petroleum)'!$V$6,Model!AF$1,'Assumptions (Petroleum)'!$V$9,'Assumptions (Petroleum)'!$V$4*Model!$V$2231*AVERAGE('Assumptions (Petroleum)'!$R$2:$T$2)/10^9),0)</f>
        <v>-2.4926957881872867E-4</v>
      </c>
      <c r="AF2359" s="105">
        <f>IF($V$2231&gt;0,IPMT('Assumptions (Petroleum)'!$V$6,Model!AG$1,'Assumptions (Petroleum)'!$V$9,'Assumptions (Petroleum)'!$V$4*Model!$V$2231*AVERAGE('Assumptions (Petroleum)'!$R$2:$T$2)/10^9),0)</f>
        <v>-2.1239136215543878E-4</v>
      </c>
      <c r="AG2359" s="105">
        <f>IF($V$2231&gt;0,IPMT('Assumptions (Petroleum)'!$V$6,Model!AH$1,'Assumptions (Petroleum)'!$V$9,'Assumptions (Petroleum)'!$V$4*Model!$V$2231*AVERAGE('Assumptions (Petroleum)'!$R$2:$T$2)/10^9),0)</f>
        <v>-1.7376143020064269E-4</v>
      </c>
      <c r="AH2359" s="105">
        <f>IF($V$2231&gt;0,IPMT('Assumptions (Petroleum)'!$V$6,Model!AI$1,'Assumptions (Petroleum)'!$V$9,'Assumptions (Petroleum)'!$V$4*Model!$V$2231*AVERAGE('Assumptions (Petroleum)'!$R$2:$T$2)/10^9),0)</f>
        <v>-1.3329657647799371E-4</v>
      </c>
      <c r="AI2359" s="105">
        <f>IF($V$2231&gt;0,IPMT('Assumptions (Petroleum)'!$V$6,Model!AJ$1,'Assumptions (Petroleum)'!$V$9,'Assumptions (Petroleum)'!$V$4*Model!$V$2231*AVERAGE('Assumptions (Petroleum)'!$R$2:$T$2)/10^9),0)</f>
        <v>-9.0909642203518954E-5</v>
      </c>
      <c r="AJ2359" s="105">
        <f>IF($V$2231&gt;0,IPMT('Assumptions (Petroleum)'!$V$6,Model!AK$1,'Assumptions (Petroleum)'!$V$9,'Assumptions (Petroleum)'!$V$4*Model!$V$2231*AVERAGE('Assumptions (Petroleum)'!$R$2:$T$2)/10^9),0)</f>
        <v>-4.650932855100665E-5</v>
      </c>
      <c r="AK2359" s="105" t="e">
        <f>IF($V$2231&gt;0,IPMT('Assumptions (Petroleum)'!$V$6,Model!AL$1,'Assumptions (Petroleum)'!$V$9,'Assumptions (Petroleum)'!$V$4*Model!$V$2231*AVERAGE('Assumptions (Petroleum)'!$R$2:$T$2)/10^9),0)</f>
        <v>#NUM!</v>
      </c>
      <c r="AL2359" s="105" t="e">
        <f>IF($V$2231&gt;0,IPMT('Assumptions (Petroleum)'!$V$6,Model!AM$1,'Assumptions (Petroleum)'!$V$9,'Assumptions (Petroleum)'!$V$4*Model!$V$2231*AVERAGE('Assumptions (Petroleum)'!$R$2:$T$2)/10^9),0)</f>
        <v>#NUM!</v>
      </c>
      <c r="AM2359" s="105" t="e">
        <f>IF($V$2231&gt;0,IPMT('Assumptions (Petroleum)'!$V$6,Model!AN$1,'Assumptions (Petroleum)'!$V$9,'Assumptions (Petroleum)'!$V$4*Model!$V$2231*AVERAGE('Assumptions (Petroleum)'!$R$2:$T$2)/10^9),0)</f>
        <v>#NUM!</v>
      </c>
      <c r="AN2359" s="105" t="e">
        <f>IF($V$2231&gt;0,IPMT('Assumptions (Petroleum)'!$V$6,Model!AO$1,'Assumptions (Petroleum)'!$V$9,'Assumptions (Petroleum)'!$V$4*Model!$V$2231*AVERAGE('Assumptions (Petroleum)'!$R$2:$T$2)/10^9),0)</f>
        <v>#NUM!</v>
      </c>
      <c r="AO2359" s="105" t="e">
        <f>IF($V$2231&gt;0,IPMT('Assumptions (Petroleum)'!$V$6,Model!AP$1,'Assumptions (Petroleum)'!$V$9,'Assumptions (Petroleum)'!$V$4*Model!$V$2231*AVERAGE('Assumptions (Petroleum)'!$R$2:$T$2)/10^9),0)</f>
        <v>#NUM!</v>
      </c>
      <c r="AP2359" s="105" t="e">
        <f>IF($V$2231&gt;0,IPMT('Assumptions (Petroleum)'!$V$6,Model!AQ$1,'Assumptions (Petroleum)'!$V$9,'Assumptions (Petroleum)'!$V$4*Model!$V$2231*AVERAGE('Assumptions (Petroleum)'!$R$2:$T$2)/10^9),0)</f>
        <v>#NUM!</v>
      </c>
      <c r="AQ2359" s="105" t="e">
        <f>IF($V$2231&gt;0,IPMT('Assumptions (Petroleum)'!$V$6,Model!AR$1,'Assumptions (Petroleum)'!$V$9,'Assumptions (Petroleum)'!$V$4*Model!$V$2231*AVERAGE('Assumptions (Petroleum)'!$R$2:$T$2)/10^9),0)</f>
        <v>#NUM!</v>
      </c>
      <c r="AR2359" s="105" t="e">
        <f>IF($V$2231&gt;0,IPMT('Assumptions (Petroleum)'!$V$6,Model!AS$1,'Assumptions (Petroleum)'!$V$9,'Assumptions (Petroleum)'!$V$4*Model!$V$2231*AVERAGE('Assumptions (Petroleum)'!$R$2:$T$2)/10^9),0)</f>
        <v>#NUM!</v>
      </c>
      <c r="AS2359" s="105" t="e">
        <f>IF($V$2231&gt;0,IPMT('Assumptions (Petroleum)'!$V$6,Model!AT$1,'Assumptions (Petroleum)'!$V$9,'Assumptions (Petroleum)'!$V$4*Model!$V$2231*AVERAGE('Assumptions (Petroleum)'!$R$2:$T$2)/10^9),0)</f>
        <v>#NUM!</v>
      </c>
      <c r="AT2359" s="105" t="e">
        <f>IF($V$2231&gt;0,IPMT('Assumptions (Petroleum)'!$V$6,Model!AU$1,'Assumptions (Petroleum)'!$V$9,'Assumptions (Petroleum)'!$V$4*Model!$V$2231*AVERAGE('Assumptions (Petroleum)'!$R$2:$T$2)/10^9),0)</f>
        <v>#NUM!</v>
      </c>
    </row>
    <row r="2360" spans="1:55" ht="15.75" hidden="1" customHeight="1" outlineLevel="1">
      <c r="A2360" s="447"/>
      <c r="B2360" s="99"/>
      <c r="C2360" s="99"/>
      <c r="D2360" s="99"/>
      <c r="E2360" s="99"/>
      <c r="F2360" s="99"/>
      <c r="G2360" s="99"/>
      <c r="H2360" s="99"/>
      <c r="I2360" s="99"/>
      <c r="J2360" s="99"/>
      <c r="K2360" s="99"/>
      <c r="L2360" s="99"/>
      <c r="M2360" s="99"/>
      <c r="N2360" s="99"/>
      <c r="O2360" s="99"/>
      <c r="P2360" s="99"/>
      <c r="Q2360" s="99"/>
      <c r="R2360" s="99"/>
      <c r="S2360" s="99"/>
      <c r="T2360" s="99"/>
      <c r="U2360" s="99"/>
      <c r="V2360" s="99"/>
      <c r="W2360" s="105">
        <f>IF($W$2231&gt;0,IPMT('Assumptions (Petroleum)'!$V$6,Model!W$1,'Assumptions (Petroleum)'!$V$9,'Assumptions (Petroleum)'!$V$4*Model!$W$2231*AVERAGE('Assumptions (Petroleum)'!$S$2:$U$2)/10^9),0)</f>
        <v>0</v>
      </c>
      <c r="X2360" s="105">
        <f>IF($W$2231&gt;0,IPMT('Assumptions (Petroleum)'!$V$6,Model!X$1,'Assumptions (Petroleum)'!$V$9,'Assumptions (Petroleum)'!$V$4*Model!$W$2231*AVERAGE('Assumptions (Petroleum)'!$S$2:$U$2)/10^9),0)</f>
        <v>0</v>
      </c>
      <c r="Y2360" s="105">
        <f>IF($W$2231&gt;0,IPMT('Assumptions (Petroleum)'!$V$6,Model!Y$1,'Assumptions (Petroleum)'!$V$9,'Assumptions (Petroleum)'!$V$4*Model!$W$2231*AVERAGE('Assumptions (Petroleum)'!$S$2:$U$2)/10^9),0)</f>
        <v>0</v>
      </c>
      <c r="Z2360" s="105">
        <f>IF($W$2231&gt;0,IPMT('Assumptions (Petroleum)'!$V$6,Model!Z$1,'Assumptions (Petroleum)'!$V$9,'Assumptions (Petroleum)'!$V$4*Model!$W$2231*AVERAGE('Assumptions (Petroleum)'!$S$2:$U$2)/10^9),0)</f>
        <v>0</v>
      </c>
      <c r="AA2360" s="105">
        <f>IF($W$2231&gt;0,IPMT('Assumptions (Petroleum)'!$V$6,Model!AA$1,'Assumptions (Petroleum)'!$V$9,'Assumptions (Petroleum)'!$V$4*Model!$W$2231*AVERAGE('Assumptions (Petroleum)'!$S$2:$U$2)/10^9),0)</f>
        <v>0</v>
      </c>
      <c r="AB2360" s="105">
        <f>IF($W$2231&gt;0,IPMT('Assumptions (Petroleum)'!$V$6,Model!AB$1,'Assumptions (Petroleum)'!$V$9,'Assumptions (Petroleum)'!$V$4*Model!$W$2231*AVERAGE('Assumptions (Petroleum)'!$S$2:$U$2)/10^9),0)</f>
        <v>0</v>
      </c>
      <c r="AC2360" s="105">
        <f>IF($W$2231&gt;0,IPMT('Assumptions (Petroleum)'!$V$6,Model!AC$1,'Assumptions (Petroleum)'!$V$9,'Assumptions (Petroleum)'!$V$4*Model!$W$2231*AVERAGE('Assumptions (Petroleum)'!$S$2:$U$2)/10^9),0)</f>
        <v>0</v>
      </c>
      <c r="AD2360" s="105">
        <f>IF($W$2231&gt;0,IPMT('Assumptions (Petroleum)'!$V$6,Model!AD$1,'Assumptions (Petroleum)'!$V$9,'Assumptions (Petroleum)'!$V$4*Model!$W$2231*AVERAGE('Assumptions (Petroleum)'!$S$2:$U$2)/10^9),0)</f>
        <v>0</v>
      </c>
      <c r="AE2360" s="105">
        <f>IF($W$2231&gt;0,IPMT('Assumptions (Petroleum)'!$V$6,Model!AE$1,'Assumptions (Petroleum)'!$V$9,'Assumptions (Petroleum)'!$V$4*Model!$W$2231*AVERAGE('Assumptions (Petroleum)'!$S$2:$U$2)/10^9),0)</f>
        <v>0</v>
      </c>
      <c r="AF2360" s="105">
        <f>IF($W$2231&gt;0,IPMT('Assumptions (Petroleum)'!$V$6,Model!AF$1,'Assumptions (Petroleum)'!$V$9,'Assumptions (Petroleum)'!$V$4*Model!$W$2231*AVERAGE('Assumptions (Petroleum)'!$S$2:$U$2)/10^9),0)</f>
        <v>0</v>
      </c>
      <c r="AG2360" s="105">
        <f>IF($W$2231&gt;0,IPMT('Assumptions (Petroleum)'!$V$6,Model!AG$1,'Assumptions (Petroleum)'!$V$9,'Assumptions (Petroleum)'!$V$4*Model!$W$2231*AVERAGE('Assumptions (Petroleum)'!$S$2:$U$2)/10^9),0)</f>
        <v>0</v>
      </c>
      <c r="AH2360" s="105">
        <f>IF($W$2231&gt;0,IPMT('Assumptions (Petroleum)'!$V$6,Model!AH$1,'Assumptions (Petroleum)'!$V$9,'Assumptions (Petroleum)'!$V$4*Model!$W$2231*AVERAGE('Assumptions (Petroleum)'!$S$2:$U$2)/10^9),0)</f>
        <v>0</v>
      </c>
      <c r="AI2360" s="105">
        <f>IF($W$2231&gt;0,IPMT('Assumptions (Petroleum)'!$V$6,Model!AI$1,'Assumptions (Petroleum)'!$V$9,'Assumptions (Petroleum)'!$V$4*Model!$W$2231*AVERAGE('Assumptions (Petroleum)'!$S$2:$U$2)/10^9),0)</f>
        <v>0</v>
      </c>
      <c r="AJ2360" s="105">
        <f>IF($W$2231&gt;0,IPMT('Assumptions (Petroleum)'!$V$6,Model!AJ$1,'Assumptions (Petroleum)'!$V$9,'Assumptions (Petroleum)'!$V$4*Model!$W$2231*AVERAGE('Assumptions (Petroleum)'!$S$2:$U$2)/10^9),0)</f>
        <v>0</v>
      </c>
      <c r="AK2360" s="105">
        <f>IF($W$2231&gt;0,IPMT('Assumptions (Petroleum)'!$V$6,Model!AK$1,'Assumptions (Petroleum)'!$V$9,'Assumptions (Petroleum)'!$V$4*Model!$W$2231*AVERAGE('Assumptions (Petroleum)'!$S$2:$U$2)/10^9),0)</f>
        <v>0</v>
      </c>
      <c r="AL2360" s="105">
        <f>IF($W$2231&gt;0,IPMT('Assumptions (Petroleum)'!$V$6,Model!AL$1,'Assumptions (Petroleum)'!$V$9,'Assumptions (Petroleum)'!$V$4*Model!$W$2231*'Assumptions (Petroleum)'!$V$2/10^9),0)</f>
        <v>0</v>
      </c>
      <c r="AM2360" s="105">
        <f>IF($W$2231&gt;0,IPMT('Assumptions (Petroleum)'!$V$6,Model!AM$1,'Assumptions (Petroleum)'!$V$9,'Assumptions (Petroleum)'!$V$4*Model!$W$2231*'Assumptions (Petroleum)'!$V$2/10^9),0)</f>
        <v>0</v>
      </c>
      <c r="AN2360" s="105">
        <f>IF($W$2231&gt;0,IPMT('Assumptions (Petroleum)'!$V$6,Model!AN$1,'Assumptions (Petroleum)'!$V$9,'Assumptions (Petroleum)'!$V$4*Model!$W$2231*'Assumptions (Petroleum)'!$V$2/10^9),0)</f>
        <v>0</v>
      </c>
      <c r="AO2360" s="105">
        <f>IF($W$2231&gt;0,IPMT('Assumptions (Petroleum)'!$V$6,Model!AO$1,'Assumptions (Petroleum)'!$V$9,'Assumptions (Petroleum)'!$V$4*Model!$W$2231*'Assumptions (Petroleum)'!$V$2/10^9),0)</f>
        <v>0</v>
      </c>
      <c r="AP2360" s="105">
        <f>IF($W$2231&gt;0,IPMT('Assumptions (Petroleum)'!$V$6,Model!AP$1,'Assumptions (Petroleum)'!$V$9,'Assumptions (Petroleum)'!$V$4*Model!$W$2231*'Assumptions (Petroleum)'!$V$2/10^9),0)</f>
        <v>0</v>
      </c>
      <c r="AQ2360" s="105">
        <f>IF($W$2231&gt;0,IPMT('Assumptions (Petroleum)'!$V$6,Model!AQ$1,'Assumptions (Petroleum)'!$V$9,'Assumptions (Petroleum)'!$V$4*Model!$W$2231*'Assumptions (Petroleum)'!$V$2/10^9),0)</f>
        <v>0</v>
      </c>
      <c r="AR2360" s="105">
        <f>IF($W$2231&gt;0,IPMT('Assumptions (Petroleum)'!$V$6,Model!AR$1,'Assumptions (Petroleum)'!$V$9,'Assumptions (Petroleum)'!$V$4*Model!$W$2231*'Assumptions (Petroleum)'!$V$2/10^9),0)</f>
        <v>0</v>
      </c>
      <c r="AS2360" s="105">
        <f>IF($W$2231&gt;0,IPMT('Assumptions (Petroleum)'!$V$6,Model!AS$1,'Assumptions (Petroleum)'!$V$9,'Assumptions (Petroleum)'!$V$4*Model!$W$2231*'Assumptions (Petroleum)'!$V$2/10^9),0)</f>
        <v>0</v>
      </c>
      <c r="AT2360" s="105">
        <f>IF($W$2231&gt;0,IPMT('Assumptions (Petroleum)'!$V$6,Model!AT$1,'Assumptions (Petroleum)'!$V$9,'Assumptions (Petroleum)'!$V$4*Model!$W$2231*'Assumptions (Petroleum)'!$V$2/10^9),0)</f>
        <v>0</v>
      </c>
      <c r="AU2360" s="105">
        <f>IF($W$2231&gt;0,IPMT('Assumptions (Petroleum)'!$V$6,Model!AU$1,'Assumptions (Petroleum)'!$V$9,'Assumptions (Petroleum)'!$V$4*Model!$W$2231*'Assumptions (Petroleum)'!$V$2/10^9),0)</f>
        <v>0</v>
      </c>
      <c r="AV2360" s="105"/>
      <c r="AW2360" s="105"/>
      <c r="AX2360" s="105"/>
      <c r="AY2360" s="105"/>
      <c r="AZ2360" s="105"/>
      <c r="BA2360" s="105"/>
    </row>
    <row r="2361" spans="1:55" ht="15.75" hidden="1" customHeight="1" outlineLevel="1">
      <c r="A2361" s="447"/>
      <c r="B2361" s="99"/>
      <c r="C2361" s="99"/>
      <c r="D2361" s="99"/>
      <c r="E2361" s="99"/>
      <c r="F2361" s="99"/>
      <c r="G2361" s="99"/>
      <c r="H2361" s="99"/>
      <c r="I2361" s="99"/>
      <c r="J2361" s="99"/>
      <c r="K2361" s="99"/>
      <c r="L2361" s="99"/>
      <c r="M2361" s="99"/>
      <c r="N2361" s="99"/>
      <c r="O2361" s="99"/>
      <c r="P2361" s="99"/>
      <c r="Q2361" s="99"/>
      <c r="R2361" s="99"/>
      <c r="S2361" s="99"/>
      <c r="T2361" s="99"/>
      <c r="U2361" s="99"/>
      <c r="V2361" s="99"/>
      <c r="W2361" s="105"/>
      <c r="X2361" s="105">
        <f>IF($X$2231&gt;0,IPMT('Assumptions (Petroleum)'!$V$6,Model!W$1,'Assumptions (Petroleum)'!$V$9,'Assumptions (Petroleum)'!$V$4*Model!$X$2231*AVERAGE('Assumptions (Petroleum)'!$T$2:$V$2)/10^9),0)</f>
        <v>0</v>
      </c>
      <c r="Y2361" s="105">
        <f>IF($X$2231&gt;0,IPMT('Assumptions (Petroleum)'!$V$6,Model!X$1,'Assumptions (Petroleum)'!$V$9,'Assumptions (Petroleum)'!$V$4*Model!$X$2231*AVERAGE('Assumptions (Petroleum)'!$T$2:$V$2)/10^9),0)</f>
        <v>0</v>
      </c>
      <c r="Z2361" s="105">
        <f>IF($X$2231&gt;0,IPMT('Assumptions (Petroleum)'!$V$6,Model!Y$1,'Assumptions (Petroleum)'!$V$9,'Assumptions (Petroleum)'!$V$4*Model!$X$2231*AVERAGE('Assumptions (Petroleum)'!$T$2:$V$2)/10^9),0)</f>
        <v>0</v>
      </c>
      <c r="AA2361" s="105">
        <f>IF($X$2231&gt;0,IPMT('Assumptions (Petroleum)'!$V$6,Model!Z$1,'Assumptions (Petroleum)'!$V$9,'Assumptions (Petroleum)'!$V$4*Model!$X$2231*AVERAGE('Assumptions (Petroleum)'!$T$2:$V$2)/10^9),0)</f>
        <v>0</v>
      </c>
      <c r="AB2361" s="105">
        <f>IF($X$2231&gt;0,IPMT('Assumptions (Petroleum)'!$V$6,Model!AA$1,'Assumptions (Petroleum)'!$V$9,'Assumptions (Petroleum)'!$V$4*Model!$X$2231*AVERAGE('Assumptions (Petroleum)'!$T$2:$V$2)/10^9),0)</f>
        <v>0</v>
      </c>
      <c r="AC2361" s="105">
        <f>IF($X$2231&gt;0,IPMT('Assumptions (Petroleum)'!$V$6,Model!AB$1,'Assumptions (Petroleum)'!$V$9,'Assumptions (Petroleum)'!$V$4*Model!$X$2231*AVERAGE('Assumptions (Petroleum)'!$T$2:$V$2)/10^9),0)</f>
        <v>0</v>
      </c>
      <c r="AD2361" s="105">
        <f>IF($X$2231&gt;0,IPMT('Assumptions (Petroleum)'!$V$6,Model!AC$1,'Assumptions (Petroleum)'!$V$9,'Assumptions (Petroleum)'!$V$4*Model!$X$2231*AVERAGE('Assumptions (Petroleum)'!$T$2:$V$2)/10^9),0)</f>
        <v>0</v>
      </c>
      <c r="AE2361" s="105">
        <f>IF($X$2231&gt;0,IPMT('Assumptions (Petroleum)'!$V$6,Model!AD$1,'Assumptions (Petroleum)'!$V$9,'Assumptions (Petroleum)'!$V$4*Model!$X$2231*AVERAGE('Assumptions (Petroleum)'!$T$2:$V$2)/10^9),0)</f>
        <v>0</v>
      </c>
      <c r="AF2361" s="105">
        <f>IF($X$2231&gt;0,IPMT('Assumptions (Petroleum)'!$V$6,Model!AE$1,'Assumptions (Petroleum)'!$V$9,'Assumptions (Petroleum)'!$V$4*Model!$X$2231*AVERAGE('Assumptions (Petroleum)'!$T$2:$V$2)/10^9),0)</f>
        <v>0</v>
      </c>
      <c r="AG2361" s="105">
        <f>IF($X$2231&gt;0,IPMT('Assumptions (Petroleum)'!$V$6,Model!AF$1,'Assumptions (Petroleum)'!$V$9,'Assumptions (Petroleum)'!$V$4*Model!$X$2231*AVERAGE('Assumptions (Petroleum)'!$T$2:$V$2)/10^9),0)</f>
        <v>0</v>
      </c>
      <c r="AH2361" s="105">
        <f>IF($X$2231&gt;0,IPMT('Assumptions (Petroleum)'!$V$6,Model!AG$1,'Assumptions (Petroleum)'!$V$9,'Assumptions (Petroleum)'!$V$4*Model!$X$2231*AVERAGE('Assumptions (Petroleum)'!$T$2:$V$2)/10^9),0)</f>
        <v>0</v>
      </c>
      <c r="AI2361" s="105">
        <f>IF($X$2231&gt;0,IPMT('Assumptions (Petroleum)'!$V$6,Model!AH$1,'Assumptions (Petroleum)'!$V$9,'Assumptions (Petroleum)'!$V$4*Model!$X$2231*AVERAGE('Assumptions (Petroleum)'!$T$2:$V$2)/10^9),0)</f>
        <v>0</v>
      </c>
      <c r="AJ2361" s="105">
        <f>IF($X$2231&gt;0,IPMT('Assumptions (Petroleum)'!$V$6,Model!AI$1,'Assumptions (Petroleum)'!$V$9,'Assumptions (Petroleum)'!$V$4*Model!$X$2231*AVERAGE('Assumptions (Petroleum)'!$T$2:$V$2)/10^9),0)</f>
        <v>0</v>
      </c>
      <c r="AK2361" s="105">
        <f>IF($X$2231&gt;0,IPMT('Assumptions (Petroleum)'!$V$6,Model!AJ$1,'Assumptions (Petroleum)'!$V$9,'Assumptions (Petroleum)'!$V$4*Model!$X$2231*AVERAGE('Assumptions (Petroleum)'!$T$2:$V$2)/10^9),0)</f>
        <v>0</v>
      </c>
      <c r="AL2361" s="105">
        <f>IF($X$2231&gt;0,IPMT('Assumptions (Petroleum)'!$V$6,Model!AK$1,'Assumptions (Petroleum)'!$V$9,'Assumptions (Petroleum)'!$V$4*Model!$X$2231*AVERAGE('Assumptions (Petroleum)'!$T$2:$V$2)/10^9),0)</f>
        <v>0</v>
      </c>
      <c r="AM2361" s="105">
        <f>IF($X$2231&gt;0,IPMT('Assumptions (Petroleum)'!$V$6,Model!AL$1,'Assumptions (Petroleum)'!$V$9,'Assumptions (Petroleum)'!$V$4*Model!$X$2231*'Assumptions (Petroleum)'!$V$2/10^9),0)</f>
        <v>0</v>
      </c>
      <c r="AN2361" s="105">
        <f>IF($X$2231&gt;0,IPMT('Assumptions (Petroleum)'!$V$6,Model!AM$1,'Assumptions (Petroleum)'!$V$9,'Assumptions (Petroleum)'!$V$4*Model!$X$2231*'Assumptions (Petroleum)'!$V$2/10^9),0)</f>
        <v>0</v>
      </c>
      <c r="AO2361" s="105">
        <f>IF($X$2231&gt;0,IPMT('Assumptions (Petroleum)'!$V$6,Model!AN$1,'Assumptions (Petroleum)'!$V$9,'Assumptions (Petroleum)'!$V$4*Model!$X$2231*'Assumptions (Petroleum)'!$V$2/10^9),0)</f>
        <v>0</v>
      </c>
      <c r="AP2361" s="105">
        <f>IF($X$2231&gt;0,IPMT('Assumptions (Petroleum)'!$V$6,Model!AO$1,'Assumptions (Petroleum)'!$V$9,'Assumptions (Petroleum)'!$V$4*Model!$X$2231*'Assumptions (Petroleum)'!$V$2/10^9),0)</f>
        <v>0</v>
      </c>
      <c r="AQ2361" s="105">
        <f>IF($X$2231&gt;0,IPMT('Assumptions (Petroleum)'!$V$6,Model!AP$1,'Assumptions (Petroleum)'!$V$9,'Assumptions (Petroleum)'!$V$4*Model!$X$2231*'Assumptions (Petroleum)'!$V$2/10^9),0)</f>
        <v>0</v>
      </c>
      <c r="AR2361" s="105">
        <f>IF($X$2231&gt;0,IPMT('Assumptions (Petroleum)'!$V$6,Model!AQ$1,'Assumptions (Petroleum)'!$V$9,'Assumptions (Petroleum)'!$V$4*Model!$X$2231*'Assumptions (Petroleum)'!$V$2/10^9),0)</f>
        <v>0</v>
      </c>
      <c r="AS2361" s="105">
        <f>IF($X$2231&gt;0,IPMT('Assumptions (Petroleum)'!$V$6,Model!AR$1,'Assumptions (Petroleum)'!$V$9,'Assumptions (Petroleum)'!$V$4*Model!$X$2231*'Assumptions (Petroleum)'!$V$2/10^9),0)</f>
        <v>0</v>
      </c>
      <c r="AT2361" s="105">
        <f>IF($X$2231&gt;0,IPMT('Assumptions (Petroleum)'!$V$6,Model!AS$1,'Assumptions (Petroleum)'!$V$9,'Assumptions (Petroleum)'!$V$4*Model!$X$2231*'Assumptions (Petroleum)'!$V$2/10^9),0)</f>
        <v>0</v>
      </c>
      <c r="AU2361" s="105">
        <f>IF($X$2231&gt;0,IPMT('Assumptions (Petroleum)'!$V$6,Model!AT$1,'Assumptions (Petroleum)'!$V$9,'Assumptions (Petroleum)'!$V$4*Model!$X$2231*'Assumptions (Petroleum)'!$V$2/10^9),0)</f>
        <v>0</v>
      </c>
      <c r="AV2361" s="105">
        <f>IF($X$2231&gt;0,IPMT('Assumptions (Petroleum)'!$V$6,Model!AU$1,'Assumptions (Petroleum)'!$V$9,'Assumptions (Petroleum)'!$V$4*Model!$X$2231*'Assumptions (Petroleum)'!$V$2/10^9),0)</f>
        <v>0</v>
      </c>
      <c r="AW2361" s="105"/>
      <c r="AX2361" s="105"/>
      <c r="AY2361" s="105"/>
      <c r="AZ2361" s="105"/>
      <c r="BA2361" s="105"/>
    </row>
    <row r="2362" spans="1:55" ht="15.75" hidden="1" customHeight="1" outlineLevel="1">
      <c r="A2362" s="447"/>
      <c r="B2362" s="99"/>
      <c r="C2362" s="99"/>
      <c r="D2362" s="99"/>
      <c r="E2362" s="99"/>
      <c r="F2362" s="99"/>
      <c r="G2362" s="99"/>
      <c r="H2362" s="99"/>
      <c r="I2362" s="99"/>
      <c r="J2362" s="99"/>
      <c r="K2362" s="99"/>
      <c r="L2362" s="99"/>
      <c r="M2362" s="99"/>
      <c r="N2362" s="99"/>
      <c r="O2362" s="99"/>
      <c r="P2362" s="99"/>
      <c r="Q2362" s="99"/>
      <c r="R2362" s="99"/>
      <c r="S2362" s="99"/>
      <c r="T2362" s="99"/>
      <c r="U2362" s="99"/>
      <c r="V2362" s="99"/>
      <c r="W2362" s="105"/>
      <c r="X2362" s="105"/>
      <c r="Y2362" s="105">
        <f>IF($Y$2231&gt;0,IPMT('Assumptions (Petroleum)'!$V$6,Model!W$1,'Assumptions (Petroleum)'!$V$9,'Assumptions (Petroleum)'!$V$4*Model!$Y$2231*AVERAGE('Assumptions (Petroleum)'!$U$2:$W$2)/10^9),0)</f>
        <v>0</v>
      </c>
      <c r="Z2362" s="105">
        <f>IF($Y$2231&gt;0,IPMT('Assumptions (Petroleum)'!$V$6,Model!X$1,'Assumptions (Petroleum)'!$V$9,'Assumptions (Petroleum)'!$V$4*Model!$Y$2231*AVERAGE('Assumptions (Petroleum)'!$U$2:$W$2)/10^9),0)</f>
        <v>0</v>
      </c>
      <c r="AA2362" s="105">
        <f>IF($Y$2231&gt;0,IPMT('Assumptions (Petroleum)'!$V$6,Model!Y$1,'Assumptions (Petroleum)'!$V$9,'Assumptions (Petroleum)'!$V$4*Model!$Y$2231*AVERAGE('Assumptions (Petroleum)'!$U$2:$W$2)/10^9),0)</f>
        <v>0</v>
      </c>
      <c r="AB2362" s="105">
        <f>IF($Y$2231&gt;0,IPMT('Assumptions (Petroleum)'!$V$6,Model!Z$1,'Assumptions (Petroleum)'!$V$9,'Assumptions (Petroleum)'!$V$4*Model!$Y$2231*AVERAGE('Assumptions (Petroleum)'!$U$2:$W$2)/10^9),0)</f>
        <v>0</v>
      </c>
      <c r="AC2362" s="105">
        <f>IF($Y$2231&gt;0,IPMT('Assumptions (Petroleum)'!$V$6,Model!AA$1,'Assumptions (Petroleum)'!$V$9,'Assumptions (Petroleum)'!$V$4*Model!$Y$2231*AVERAGE('Assumptions (Petroleum)'!$U$2:$W$2)/10^9),0)</f>
        <v>0</v>
      </c>
      <c r="AD2362" s="105">
        <f>IF($Y$2231&gt;0,IPMT('Assumptions (Petroleum)'!$V$6,Model!AB$1,'Assumptions (Petroleum)'!$V$9,'Assumptions (Petroleum)'!$V$4*Model!$Y$2231*AVERAGE('Assumptions (Petroleum)'!$U$2:$W$2)/10^9),0)</f>
        <v>0</v>
      </c>
      <c r="AE2362" s="105">
        <f>IF($Y$2231&gt;0,IPMT('Assumptions (Petroleum)'!$V$6,Model!AC$1,'Assumptions (Petroleum)'!$V$9,'Assumptions (Petroleum)'!$V$4*Model!$Y$2231*AVERAGE('Assumptions (Petroleum)'!$U$2:$W$2)/10^9),0)</f>
        <v>0</v>
      </c>
      <c r="AF2362" s="105">
        <f>IF($Y$2231&gt;0,IPMT('Assumptions (Petroleum)'!$V$6,Model!AD$1,'Assumptions (Petroleum)'!$V$9,'Assumptions (Petroleum)'!$V$4*Model!$Y$2231*AVERAGE('Assumptions (Petroleum)'!$U$2:$W$2)/10^9),0)</f>
        <v>0</v>
      </c>
      <c r="AG2362" s="105">
        <f>IF($Y$2231&gt;0,IPMT('Assumptions (Petroleum)'!$V$6,Model!AE$1,'Assumptions (Petroleum)'!$V$9,'Assumptions (Petroleum)'!$V$4*Model!$Y$2231*AVERAGE('Assumptions (Petroleum)'!$U$2:$W$2)/10^9),0)</f>
        <v>0</v>
      </c>
      <c r="AH2362" s="105">
        <f>IF($Y$2231&gt;0,IPMT('Assumptions (Petroleum)'!$V$6,Model!AF$1,'Assumptions (Petroleum)'!$V$9,'Assumptions (Petroleum)'!$V$4*Model!$Y$2231*AVERAGE('Assumptions (Petroleum)'!$U$2:$W$2)/10^9),0)</f>
        <v>0</v>
      </c>
      <c r="AI2362" s="105">
        <f>IF($Y$2231&gt;0,IPMT('Assumptions (Petroleum)'!$V$6,Model!AG$1,'Assumptions (Petroleum)'!$V$9,'Assumptions (Petroleum)'!$V$4*Model!$Y$2231*AVERAGE('Assumptions (Petroleum)'!$U$2:$W$2)/10^9),0)</f>
        <v>0</v>
      </c>
      <c r="AJ2362" s="105">
        <f>IF($Y$2231&gt;0,IPMT('Assumptions (Petroleum)'!$V$6,Model!AH$1,'Assumptions (Petroleum)'!$V$9,'Assumptions (Petroleum)'!$V$4*Model!$Y$2231*AVERAGE('Assumptions (Petroleum)'!$U$2:$W$2)/10^9),0)</f>
        <v>0</v>
      </c>
      <c r="AK2362" s="105">
        <f>IF($Y$2231&gt;0,IPMT('Assumptions (Petroleum)'!$V$6,Model!AI$1,'Assumptions (Petroleum)'!$V$9,'Assumptions (Petroleum)'!$V$4*Model!$Y$2231*AVERAGE('Assumptions (Petroleum)'!$U$2:$W$2)/10^9),0)</f>
        <v>0</v>
      </c>
      <c r="AL2362" s="105">
        <f>IF($Y$2231&gt;0,IPMT('Assumptions (Petroleum)'!$V$6,Model!AJ$1,'Assumptions (Petroleum)'!$V$9,'Assumptions (Petroleum)'!$V$4*Model!$Y$2231*AVERAGE('Assumptions (Petroleum)'!$U$2:$W$2)/10^9),0)</f>
        <v>0</v>
      </c>
      <c r="AM2362" s="105">
        <f>IF($Y$2231&gt;0,IPMT('Assumptions (Petroleum)'!$V$6,Model!AK$1,'Assumptions (Petroleum)'!$V$9,'Assumptions (Petroleum)'!$V$4*Model!$Y$2231*AVERAGE('Assumptions (Petroleum)'!$U$2:$W$2)/10^9),0)</f>
        <v>0</v>
      </c>
      <c r="AN2362" s="105">
        <f>IF($Y$2231&gt;0,IPMT('Assumptions (Petroleum)'!$V$6,Model!AL$1,'Assumptions (Petroleum)'!$V$9,'Assumptions (Petroleum)'!$V$4*Model!$Y$2231*AVERAGE('Assumptions (Petroleum)'!$V$2:$W$2)/10^9),0)</f>
        <v>0</v>
      </c>
      <c r="AO2362" s="105">
        <f>IF($Y$2231&gt;0,IPMT('Assumptions (Petroleum)'!$V$6,Model!AM$1,'Assumptions (Petroleum)'!$V$9,'Assumptions (Petroleum)'!$V$4*Model!$Y$2231*AVERAGE('Assumptions (Petroleum)'!$V$2:$W$2)/10^9),0)</f>
        <v>0</v>
      </c>
      <c r="AP2362" s="105">
        <f>IF($Y$2231&gt;0,IPMT('Assumptions (Petroleum)'!$V$6,Model!AN$1,'Assumptions (Petroleum)'!$V$9,'Assumptions (Petroleum)'!$V$4*Model!$Y$2231*AVERAGE('Assumptions (Petroleum)'!$V$2:$W$2)/10^9),0)</f>
        <v>0</v>
      </c>
      <c r="AQ2362" s="105">
        <f>IF($Y$2231&gt;0,IPMT('Assumptions (Petroleum)'!$V$6,Model!AO$1,'Assumptions (Petroleum)'!$V$9,'Assumptions (Petroleum)'!$V$4*Model!$Y$2231*AVERAGE('Assumptions (Petroleum)'!$V$2:$W$2)/10^9),0)</f>
        <v>0</v>
      </c>
      <c r="AR2362" s="105">
        <f>IF($Y$2231&gt;0,IPMT('Assumptions (Petroleum)'!$V$6,Model!AP$1,'Assumptions (Petroleum)'!$V$9,'Assumptions (Petroleum)'!$V$4*Model!$Y$2231*AVERAGE('Assumptions (Petroleum)'!$V$2:$W$2)/10^9),0)</f>
        <v>0</v>
      </c>
      <c r="AS2362" s="105">
        <f>IF($Y$2231&gt;0,IPMT('Assumptions (Petroleum)'!$V$6,Model!AQ$1,'Assumptions (Petroleum)'!$V$9,'Assumptions (Petroleum)'!$V$4*Model!$Y$2231*AVERAGE('Assumptions (Petroleum)'!$V$2:$W$2)/10^9),0)</f>
        <v>0</v>
      </c>
      <c r="AT2362" s="105">
        <f>IF($Y$2231&gt;0,IPMT('Assumptions (Petroleum)'!$V$6,Model!AR$1,'Assumptions (Petroleum)'!$V$9,'Assumptions (Petroleum)'!$V$4*Model!$Y$2231*AVERAGE('Assumptions (Petroleum)'!$V$2:$W$2)/10^9),0)</f>
        <v>0</v>
      </c>
      <c r="AU2362" s="105">
        <f>IF($Y$2231&gt;0,IPMT('Assumptions (Petroleum)'!$V$6,Model!AS$1,'Assumptions (Petroleum)'!$V$9,'Assumptions (Petroleum)'!$V$4*Model!$Y$2231*AVERAGE('Assumptions (Petroleum)'!$V$2:$W$2)/10^9),0)</f>
        <v>0</v>
      </c>
      <c r="AV2362" s="105">
        <f>IF($Y$2231&gt;0,IPMT('Assumptions (Petroleum)'!$V$6,Model!AT$1,'Assumptions (Petroleum)'!$V$9,'Assumptions (Petroleum)'!$V$4*Model!$Y$2231*AVERAGE('Assumptions (Petroleum)'!$V$2:$W$2)/10^9),0)</f>
        <v>0</v>
      </c>
      <c r="AW2362" s="105">
        <f>IF($Y$2231&gt;0,IPMT('Assumptions (Petroleum)'!$V$6,Model!AU$1,'Assumptions (Petroleum)'!$V$9,'Assumptions (Petroleum)'!$V$4*Model!$Y$2231*AVERAGE('Assumptions (Petroleum)'!$V$2:$W$2)/10^9),0)</f>
        <v>0</v>
      </c>
      <c r="AX2362" s="105"/>
      <c r="AY2362" s="105"/>
      <c r="AZ2362" s="105"/>
      <c r="BA2362" s="105"/>
    </row>
    <row r="2363" spans="1:55" ht="15.75" hidden="1" customHeight="1" outlineLevel="1">
      <c r="A2363" s="447"/>
      <c r="B2363" s="99"/>
      <c r="C2363" s="99"/>
      <c r="D2363" s="99"/>
      <c r="E2363" s="99"/>
      <c r="F2363" s="99"/>
      <c r="G2363" s="99"/>
      <c r="H2363" s="99"/>
      <c r="I2363" s="99"/>
      <c r="J2363" s="99"/>
      <c r="K2363" s="99"/>
      <c r="L2363" s="99"/>
      <c r="M2363" s="99"/>
      <c r="N2363" s="99"/>
      <c r="O2363" s="99"/>
      <c r="P2363" s="99"/>
      <c r="Q2363" s="99"/>
      <c r="R2363" s="99"/>
      <c r="S2363" s="99"/>
      <c r="T2363" s="99"/>
      <c r="U2363" s="99"/>
      <c r="V2363" s="99"/>
      <c r="W2363" s="105"/>
      <c r="X2363" s="105"/>
      <c r="Y2363" s="105"/>
      <c r="Z2363" s="105">
        <f>IF($Z$2231&gt;0,IPMT('Assumptions (Petroleum)'!$V$6,Model!W$1,'Assumptions (Petroleum)'!$V$9,'Assumptions (Petroleum)'!$V$4*Model!$Z$2231*AVERAGE('Assumptions (Petroleum)'!$V$2:$X$2)/10^9),0)</f>
        <v>0</v>
      </c>
      <c r="AA2363" s="105">
        <f>IF($Z$2231&gt;0,IPMT('Assumptions (Petroleum)'!$V$6,Model!X$1,'Assumptions (Petroleum)'!$V$9,'Assumptions (Petroleum)'!$V$4*Model!$Z$2231*AVERAGE('Assumptions (Petroleum)'!$V$2:$X$2)/10^9),0)</f>
        <v>0</v>
      </c>
      <c r="AB2363" s="105">
        <f>IF($Z$2231&gt;0,IPMT('Assumptions (Petroleum)'!$V$6,Model!Y$1,'Assumptions (Petroleum)'!$V$9,'Assumptions (Petroleum)'!$V$4*Model!$Z$2231*AVERAGE('Assumptions (Petroleum)'!$V$2:$X$2)/10^9),0)</f>
        <v>0</v>
      </c>
      <c r="AC2363" s="105">
        <f>IF($Z$2231&gt;0,IPMT('Assumptions (Petroleum)'!$V$6,Model!Z$1,'Assumptions (Petroleum)'!$V$9,'Assumptions (Petroleum)'!$V$4*Model!$Z$2231*AVERAGE('Assumptions (Petroleum)'!$V$2:$X$2)/10^9),0)</f>
        <v>0</v>
      </c>
      <c r="AD2363" s="105">
        <f>IF($Z$2231&gt;0,IPMT('Assumptions (Petroleum)'!$V$6,Model!AA$1,'Assumptions (Petroleum)'!$V$9,'Assumptions (Petroleum)'!$V$4*Model!$Z$2231*AVERAGE('Assumptions (Petroleum)'!$V$2:$X$2)/10^9),0)</f>
        <v>0</v>
      </c>
      <c r="AE2363" s="105">
        <f>IF($Z$2231&gt;0,IPMT('Assumptions (Petroleum)'!$V$6,Model!AB$1,'Assumptions (Petroleum)'!$V$9,'Assumptions (Petroleum)'!$V$4*Model!$Z$2231*AVERAGE('Assumptions (Petroleum)'!$V$2:$X$2)/10^9),0)</f>
        <v>0</v>
      </c>
      <c r="AF2363" s="105">
        <f>IF($Z$2231&gt;0,IPMT('Assumptions (Petroleum)'!$V$6,Model!AC$1,'Assumptions (Petroleum)'!$V$9,'Assumptions (Petroleum)'!$V$4*Model!$Z$2231*AVERAGE('Assumptions (Petroleum)'!$V$2:$X$2)/10^9),0)</f>
        <v>0</v>
      </c>
      <c r="AG2363" s="105">
        <f>IF($Z$2231&gt;0,IPMT('Assumptions (Petroleum)'!$V$6,Model!AD$1,'Assumptions (Petroleum)'!$V$9,'Assumptions (Petroleum)'!$V$4*Model!$Z$2231*AVERAGE('Assumptions (Petroleum)'!$V$2:$X$2)/10^9),0)</f>
        <v>0</v>
      </c>
      <c r="AH2363" s="105">
        <f>IF($Z$2231&gt;0,IPMT('Assumptions (Petroleum)'!$V$6,Model!AE$1,'Assumptions (Petroleum)'!$V$9,'Assumptions (Petroleum)'!$V$4*Model!$Z$2231*AVERAGE('Assumptions (Petroleum)'!$V$2:$X$2)/10^9),0)</f>
        <v>0</v>
      </c>
      <c r="AI2363" s="105">
        <f>IF($Z$2231&gt;0,IPMT('Assumptions (Petroleum)'!$V$6,Model!AF$1,'Assumptions (Petroleum)'!$V$9,'Assumptions (Petroleum)'!$V$4*Model!$Z$2231*AVERAGE('Assumptions (Petroleum)'!$V$2:$X$2)/10^9),0)</f>
        <v>0</v>
      </c>
      <c r="AJ2363" s="105">
        <f>IF($Z$2231&gt;0,IPMT('Assumptions (Petroleum)'!$V$6,Model!AG$1,'Assumptions (Petroleum)'!$V$9,'Assumptions (Petroleum)'!$V$4*Model!$Z$2231*AVERAGE('Assumptions (Petroleum)'!$V$2:$X$2)/10^9),0)</f>
        <v>0</v>
      </c>
      <c r="AK2363" s="105">
        <f>IF($Z$2231&gt;0,IPMT('Assumptions (Petroleum)'!$V$6,Model!AH$1,'Assumptions (Petroleum)'!$V$9,'Assumptions (Petroleum)'!$V$4*Model!$Z$2231*AVERAGE('Assumptions (Petroleum)'!$V$2:$X$2)/10^9),0)</f>
        <v>0</v>
      </c>
      <c r="AL2363" s="105">
        <f>IF($Z$2231&gt;0,IPMT('Assumptions (Petroleum)'!$V$6,Model!AI$1,'Assumptions (Petroleum)'!$V$9,'Assumptions (Petroleum)'!$V$4*Model!$Z$2231*AVERAGE('Assumptions (Petroleum)'!$V$2:$X$2)/10^9),0)</f>
        <v>0</v>
      </c>
      <c r="AM2363" s="105">
        <f>IF($Z$2231&gt;0,IPMT('Assumptions (Petroleum)'!$V$6,Model!AJ$1,'Assumptions (Petroleum)'!$V$9,'Assumptions (Petroleum)'!$V$4*Model!$Z$2231*AVERAGE('Assumptions (Petroleum)'!$V$2:$X$2)/10^9),0)</f>
        <v>0</v>
      </c>
      <c r="AN2363" s="105">
        <f>IF($Z$2231&gt;0,IPMT('Assumptions (Petroleum)'!$V$6,Model!AK$1,'Assumptions (Petroleum)'!$V$9,'Assumptions (Petroleum)'!$V$4*Model!$Z$2231*AVERAGE('Assumptions (Petroleum)'!$V$2:$X$2)/10^9),0)</f>
        <v>0</v>
      </c>
      <c r="AO2363" s="105">
        <f>IF($Z$2231&gt;0,IPMT('Assumptions (Petroleum)'!$V$6,Model!AL$1,'Assumptions (Petroleum)'!$V$9,'Assumptions (Petroleum)'!$V$4*Model!$Z$2231*AVERAGE('Assumptions (Petroleum)'!$V$2:$X$2)/10^9),0)</f>
        <v>0</v>
      </c>
      <c r="AP2363" s="105">
        <f>IF($Z$2231&gt;0,IPMT('Assumptions (Petroleum)'!$V$6,Model!AM$1,'Assumptions (Petroleum)'!$V$9,'Assumptions (Petroleum)'!$V$4*Model!$Z$2231*AVERAGE('Assumptions (Petroleum)'!$V$2:$X$2)/10^9),0)</f>
        <v>0</v>
      </c>
      <c r="AQ2363" s="105">
        <f>IF($Z$2231&gt;0,IPMT('Assumptions (Petroleum)'!$V$6,Model!AN$1,'Assumptions (Petroleum)'!$V$9,'Assumptions (Petroleum)'!$V$4*Model!$Z$2231*AVERAGE('Assumptions (Petroleum)'!$V$2:$X$2)/10^9),0)</f>
        <v>0</v>
      </c>
      <c r="AR2363" s="105">
        <f>IF($Z$2231&gt;0,IPMT('Assumptions (Petroleum)'!$V$6,Model!AO$1,'Assumptions (Petroleum)'!$V$9,'Assumptions (Petroleum)'!$V$4*Model!$Z$2231*AVERAGE('Assumptions (Petroleum)'!$V$2:$X$2)/10^9),0)</f>
        <v>0</v>
      </c>
      <c r="AS2363" s="105">
        <f>IF($Z$2231&gt;0,IPMT('Assumptions (Petroleum)'!$V$6,Model!AP$1,'Assumptions (Petroleum)'!$V$9,'Assumptions (Petroleum)'!$V$4*Model!$Z$2231*AVERAGE('Assumptions (Petroleum)'!$V$2:$X$2)/10^9),0)</f>
        <v>0</v>
      </c>
      <c r="AT2363" s="105">
        <f>IF($Z$2231&gt;0,IPMT('Assumptions (Petroleum)'!$V$6,Model!AQ$1,'Assumptions (Petroleum)'!$V$9,'Assumptions (Petroleum)'!$V$4*Model!$Z$2231*AVERAGE('Assumptions (Petroleum)'!$V$2:$X$2)/10^9),0)</f>
        <v>0</v>
      </c>
      <c r="AU2363" s="105">
        <f>IF($Z$2231&gt;0,IPMT('Assumptions (Petroleum)'!$V$6,Model!AR$1,'Assumptions (Petroleum)'!$V$9,'Assumptions (Petroleum)'!$V$4*Model!$Z$2231*AVERAGE('Assumptions (Petroleum)'!$V$2:$X$2)/10^9),0)</f>
        <v>0</v>
      </c>
      <c r="AV2363" s="105">
        <f>IF($Z$2231&gt;0,IPMT('Assumptions (Petroleum)'!$V$6,Model!AS$1,'Assumptions (Petroleum)'!$V$9,'Assumptions (Petroleum)'!$V$4*Model!$Z$2231*AVERAGE('Assumptions (Petroleum)'!$V$2:$X$2)/10^9),0)</f>
        <v>0</v>
      </c>
      <c r="AW2363" s="105">
        <f>IF($Z$2231&gt;0,IPMT('Assumptions (Petroleum)'!$V$6,Model!AT$1,'Assumptions (Petroleum)'!$V$9,'Assumptions (Petroleum)'!$V$4*Model!$Z$2231*AVERAGE('Assumptions (Petroleum)'!$V$2:$X$2)/10^9),0)</f>
        <v>0</v>
      </c>
      <c r="AX2363" s="105">
        <f>IF($Z$2231&gt;0,IPMT('Assumptions (Petroleum)'!$V$6,Model!AU$1,'Assumptions (Petroleum)'!$V$9,'Assumptions (Petroleum)'!$V$4*Model!$Z$2231*AVERAGE('Assumptions (Petroleum)'!$V$2:$X$2)/10^9),0)</f>
        <v>0</v>
      </c>
      <c r="AY2363" s="105"/>
      <c r="AZ2363" s="105"/>
      <c r="BA2363" s="105"/>
    </row>
    <row r="2364" spans="1:55" ht="15.75" hidden="1" customHeight="1" outlineLevel="1">
      <c r="A2364" s="447"/>
      <c r="B2364" s="99"/>
      <c r="C2364" s="99"/>
      <c r="D2364" s="99"/>
      <c r="E2364" s="99"/>
      <c r="F2364" s="99"/>
      <c r="G2364" s="99"/>
      <c r="H2364" s="99"/>
      <c r="I2364" s="99"/>
      <c r="J2364" s="99"/>
      <c r="K2364" s="99"/>
      <c r="L2364" s="99"/>
      <c r="M2364" s="99"/>
      <c r="N2364" s="99"/>
      <c r="O2364" s="99"/>
      <c r="P2364" s="99"/>
      <c r="Q2364" s="99"/>
      <c r="R2364" s="99"/>
      <c r="S2364" s="99"/>
      <c r="T2364" s="99"/>
      <c r="U2364" s="99"/>
      <c r="V2364" s="99"/>
      <c r="W2364" s="105"/>
      <c r="X2364" s="105"/>
      <c r="Y2364" s="105"/>
      <c r="Z2364" s="105"/>
      <c r="AA2364" s="105">
        <f>IF($AA$2231&gt;0,IPMT('Assumptions (Petroleum)'!$V$6,Model!W$1,'Assumptions (Petroleum)'!$V$9,'Assumptions (Petroleum)'!$V$4*Model!$AA$2231*AVERAGE('Assumptions (Petroleum)'!$W$2:$Y$2)/10^9),0)</f>
        <v>0</v>
      </c>
      <c r="AB2364" s="105">
        <f>IF($AA$2231&gt;0,IPMT('Assumptions (Petroleum)'!$V$6,Model!X$1,'Assumptions (Petroleum)'!$V$9,'Assumptions (Petroleum)'!$V$4*Model!$AA$2231*AVERAGE('Assumptions (Petroleum)'!$W$2:$Y$2)/10^9),0)</f>
        <v>0</v>
      </c>
      <c r="AC2364" s="105">
        <f>IF($AA$2231&gt;0,IPMT('Assumptions (Petroleum)'!$V$6,Model!Y$1,'Assumptions (Petroleum)'!$V$9,'Assumptions (Petroleum)'!$V$4*Model!$AA$2231*AVERAGE('Assumptions (Petroleum)'!$W$2:$Y$2)/10^9),0)</f>
        <v>0</v>
      </c>
      <c r="AD2364" s="105">
        <f>IF($AA$2231&gt;0,IPMT('Assumptions (Petroleum)'!$V$6,Model!Z$1,'Assumptions (Petroleum)'!$V$9,'Assumptions (Petroleum)'!$V$4*Model!$AA$2231*AVERAGE('Assumptions (Petroleum)'!$W$2:$Y$2)/10^9),0)</f>
        <v>0</v>
      </c>
      <c r="AE2364" s="105">
        <f>IF($AA$2231&gt;0,IPMT('Assumptions (Petroleum)'!$V$6,Model!AA$1,'Assumptions (Petroleum)'!$V$9,'Assumptions (Petroleum)'!$V$4*Model!$AA$2231*AVERAGE('Assumptions (Petroleum)'!$W$2:$Y$2)/10^9),0)</f>
        <v>0</v>
      </c>
      <c r="AF2364" s="105">
        <f>IF($AA$2231&gt;0,IPMT('Assumptions (Petroleum)'!$V$6,Model!AB$1,'Assumptions (Petroleum)'!$V$9,'Assumptions (Petroleum)'!$V$4*Model!$AA$2231*AVERAGE('Assumptions (Petroleum)'!$W$2:$Y$2)/10^9),0)</f>
        <v>0</v>
      </c>
      <c r="AG2364" s="105">
        <f>IF($AA$2231&gt;0,IPMT('Assumptions (Petroleum)'!$V$6,Model!AC$1,'Assumptions (Petroleum)'!$V$9,'Assumptions (Petroleum)'!$V$4*Model!$AA$2231*AVERAGE('Assumptions (Petroleum)'!$W$2:$Y$2)/10^9),0)</f>
        <v>0</v>
      </c>
      <c r="AH2364" s="105">
        <f>IF($AA$2231&gt;0,IPMT('Assumptions (Petroleum)'!$V$6,Model!AD$1,'Assumptions (Petroleum)'!$V$9,'Assumptions (Petroleum)'!$V$4*Model!$AA$2231*AVERAGE('Assumptions (Petroleum)'!$W$2:$Y$2)/10^9),0)</f>
        <v>0</v>
      </c>
      <c r="AI2364" s="105">
        <f>IF($AA$2231&gt;0,IPMT('Assumptions (Petroleum)'!$V$6,Model!AE$1,'Assumptions (Petroleum)'!$V$9,'Assumptions (Petroleum)'!$V$4*Model!$AA$2231*AVERAGE('Assumptions (Petroleum)'!$W$2:$Y$2)/10^9),0)</f>
        <v>0</v>
      </c>
      <c r="AJ2364" s="105">
        <f>IF($AA$2231&gt;0,IPMT('Assumptions (Petroleum)'!$V$6,Model!AF$1,'Assumptions (Petroleum)'!$V$9,'Assumptions (Petroleum)'!$V$4*Model!$AA$2231*AVERAGE('Assumptions (Petroleum)'!$W$2:$Y$2)/10^9),0)</f>
        <v>0</v>
      </c>
      <c r="AK2364" s="105">
        <f>IF($AA$2231&gt;0,IPMT('Assumptions (Petroleum)'!$V$6,Model!AG$1,'Assumptions (Petroleum)'!$V$9,'Assumptions (Petroleum)'!$V$4*Model!$AA$2231*AVERAGE('Assumptions (Petroleum)'!$W$2:$Y$2)/10^9),0)</f>
        <v>0</v>
      </c>
      <c r="AL2364" s="105">
        <f>IF($AA$2231&gt;0,IPMT('Assumptions (Petroleum)'!$V$6,Model!AH$1,'Assumptions (Petroleum)'!$V$9,'Assumptions (Petroleum)'!$V$4*Model!$AA$2231*AVERAGE('Assumptions (Petroleum)'!$W$2:$Y$2)/10^9),0)</f>
        <v>0</v>
      </c>
      <c r="AM2364" s="105">
        <f>IF($AA$2231&gt;0,IPMT('Assumptions (Petroleum)'!$V$6,Model!AI$1,'Assumptions (Petroleum)'!$V$9,'Assumptions (Petroleum)'!$V$4*Model!$AA$2231*AVERAGE('Assumptions (Petroleum)'!$W$2:$Y$2)/10^9),0)</f>
        <v>0</v>
      </c>
      <c r="AN2364" s="105">
        <f>IF($AA$2231&gt;0,IPMT('Assumptions (Petroleum)'!$V$6,Model!AJ$1,'Assumptions (Petroleum)'!$V$9,'Assumptions (Petroleum)'!$V$4*Model!$AA$2231*AVERAGE('Assumptions (Petroleum)'!$W$2:$Y$2)/10^9),0)</f>
        <v>0</v>
      </c>
      <c r="AO2364" s="105">
        <f>IF($AA$2231&gt;0,IPMT('Assumptions (Petroleum)'!$V$6,Model!AK$1,'Assumptions (Petroleum)'!$V$9,'Assumptions (Petroleum)'!$V$4*Model!$AA$2231*AVERAGE('Assumptions (Petroleum)'!$W$2:$Y$2)/10^9),0)</f>
        <v>0</v>
      </c>
      <c r="AP2364" s="105">
        <f>IF($AA$2231&gt;0,IPMT('Assumptions (Petroleum)'!$V$6,Model!AL$1,'Assumptions (Petroleum)'!$V$9,'Assumptions (Petroleum)'!$V$4*Model!$AA$2231*AVERAGE('Assumptions (Petroleum)'!$W$2:$Y$2)/10^9),0)</f>
        <v>0</v>
      </c>
      <c r="AQ2364" s="105">
        <f>IF($AA$2231&gt;0,IPMT('Assumptions (Petroleum)'!$V$6,Model!AM$1,'Assumptions (Petroleum)'!$V$9,'Assumptions (Petroleum)'!$V$4*Model!$AA$2231*AVERAGE('Assumptions (Petroleum)'!$W$2:$Y$2)/10^9),0)</f>
        <v>0</v>
      </c>
      <c r="AR2364" s="105">
        <f>IF($AA$2231&gt;0,IPMT('Assumptions (Petroleum)'!$V$6,Model!AN$1,'Assumptions (Petroleum)'!$V$9,'Assumptions (Petroleum)'!$V$4*Model!$AA$2231*AVERAGE('Assumptions (Petroleum)'!$W$2:$Y$2)/10^9),0)</f>
        <v>0</v>
      </c>
      <c r="AS2364" s="105">
        <f>IF($AA$2231&gt;0,IPMT('Assumptions (Petroleum)'!$V$6,Model!AO$1,'Assumptions (Petroleum)'!$V$9,'Assumptions (Petroleum)'!$V$4*Model!$AA$2231*AVERAGE('Assumptions (Petroleum)'!$W$2:$Y$2)/10^9),0)</f>
        <v>0</v>
      </c>
      <c r="AT2364" s="105">
        <f>IF($AA$2231&gt;0,IPMT('Assumptions (Petroleum)'!$V$6,Model!AP$1,'Assumptions (Petroleum)'!$V$9,'Assumptions (Petroleum)'!$V$4*Model!$AA$2231*AVERAGE('Assumptions (Petroleum)'!$W$2:$Y$2)/10^9),0)</f>
        <v>0</v>
      </c>
      <c r="AU2364" s="105">
        <f>IF($AA$2231&gt;0,IPMT('Assumptions (Petroleum)'!$V$6,Model!AQ$1,'Assumptions (Petroleum)'!$V$9,'Assumptions (Petroleum)'!$V$4*Model!$AA$2231*AVERAGE('Assumptions (Petroleum)'!$W$2:$Y$2)/10^9),0)</f>
        <v>0</v>
      </c>
      <c r="AV2364" s="105">
        <f>IF($AA$2231&gt;0,IPMT('Assumptions (Petroleum)'!$V$6,Model!AR$1,'Assumptions (Petroleum)'!$V$9,'Assumptions (Petroleum)'!$V$4*Model!$AA$2231*AVERAGE('Assumptions (Petroleum)'!$W$2:$Y$2)/10^9),0)</f>
        <v>0</v>
      </c>
      <c r="AW2364" s="105">
        <f>IF($AA$2231&gt;0,IPMT('Assumptions (Petroleum)'!$V$6,Model!AS$1,'Assumptions (Petroleum)'!$V$9,'Assumptions (Petroleum)'!$V$4*Model!$AA$2231*AVERAGE('Assumptions (Petroleum)'!$W$2:$Y$2)/10^9),0)</f>
        <v>0</v>
      </c>
      <c r="AX2364" s="105">
        <f>IF($AA$2231&gt;0,IPMT('Assumptions (Petroleum)'!$V$6,Model!AT$1,'Assumptions (Petroleum)'!$V$9,'Assumptions (Petroleum)'!$V$4*Model!$AA$2231*AVERAGE('Assumptions (Petroleum)'!$W$2:$Y$2)/10^9),0)</f>
        <v>0</v>
      </c>
      <c r="AY2364" s="105">
        <f>IF($AA$2231&gt;0,IPMT('Assumptions (Petroleum)'!$V$6,Model!AU$1,'Assumptions (Petroleum)'!$V$9,'Assumptions (Petroleum)'!$V$4*Model!$AA$2231*AVERAGE('Assumptions (Petroleum)'!$W$2:$Y$2)/10^9),0)</f>
        <v>0</v>
      </c>
      <c r="AZ2364" s="105"/>
      <c r="BA2364" s="105"/>
    </row>
    <row r="2365" spans="1:55" ht="15.75" hidden="1" customHeight="1" outlineLevel="1">
      <c r="A2365" s="447"/>
      <c r="B2365" s="99"/>
      <c r="C2365" s="99"/>
      <c r="D2365" s="99"/>
      <c r="E2365" s="99"/>
      <c r="F2365" s="99"/>
      <c r="G2365" s="99"/>
      <c r="H2365" s="99"/>
      <c r="I2365" s="99"/>
      <c r="J2365" s="99"/>
      <c r="K2365" s="99"/>
      <c r="L2365" s="99"/>
      <c r="M2365" s="99"/>
      <c r="N2365" s="99"/>
      <c r="O2365" s="99"/>
      <c r="P2365" s="99"/>
      <c r="Q2365" s="99"/>
      <c r="R2365" s="99"/>
      <c r="S2365" s="99"/>
      <c r="T2365" s="99"/>
      <c r="U2365" s="99"/>
      <c r="V2365" s="99"/>
      <c r="W2365" s="105"/>
      <c r="X2365" s="105"/>
      <c r="Y2365" s="105"/>
      <c r="Z2365" s="105"/>
      <c r="AA2365" s="105"/>
      <c r="AB2365" s="105">
        <f>IF($AB$2231&gt;0,IPMT('Assumptions (Petroleum)'!$V$6,Model!W$1,'Assumptions (Petroleum)'!$V$9,'Assumptions (Petroleum)'!$V$4*Model!$AB$2231*AVERAGE('Assumptions (Petroleum)'!$X$2:$Z$2)/10^9),0)</f>
        <v>0</v>
      </c>
      <c r="AC2365" s="105">
        <f>IF($AB$2231&gt;0,IPMT('Assumptions (Petroleum)'!$V$6,Model!X$1,'Assumptions (Petroleum)'!$V$9,'Assumptions (Petroleum)'!$V$4*Model!$AB$2231*AVERAGE('Assumptions (Petroleum)'!$X$2:$Z$2)/10^9),0)</f>
        <v>0</v>
      </c>
      <c r="AD2365" s="105">
        <f>IF($AB$2231&gt;0,IPMT('Assumptions (Petroleum)'!$V$6,Model!Y$1,'Assumptions (Petroleum)'!$V$9,'Assumptions (Petroleum)'!$V$4*Model!$AB$2231*AVERAGE('Assumptions (Petroleum)'!$X$2:$Z$2)/10^9),0)</f>
        <v>0</v>
      </c>
      <c r="AE2365" s="105">
        <f>IF($AB$2231&gt;0,IPMT('Assumptions (Petroleum)'!$V$6,Model!Z$1,'Assumptions (Petroleum)'!$V$9,'Assumptions (Petroleum)'!$V$4*Model!$AB$2231*AVERAGE('Assumptions (Petroleum)'!$X$2:$Z$2)/10^9),0)</f>
        <v>0</v>
      </c>
      <c r="AF2365" s="105">
        <f>IF($AB$2231&gt;0,IPMT('Assumptions (Petroleum)'!$V$6,Model!AA$1,'Assumptions (Petroleum)'!$V$9,'Assumptions (Petroleum)'!$V$4*Model!$AB$2231*AVERAGE('Assumptions (Petroleum)'!$X$2:$Z$2)/10^9),0)</f>
        <v>0</v>
      </c>
      <c r="AG2365" s="105">
        <f>IF($AB$2231&gt;0,IPMT('Assumptions (Petroleum)'!$V$6,Model!AB$1,'Assumptions (Petroleum)'!$V$9,'Assumptions (Petroleum)'!$V$4*Model!$AB$2231*AVERAGE('Assumptions (Petroleum)'!$X$2:$Z$2)/10^9),0)</f>
        <v>0</v>
      </c>
      <c r="AH2365" s="105">
        <f>IF($AB$2231&gt;0,IPMT('Assumptions (Petroleum)'!$V$6,Model!AC$1,'Assumptions (Petroleum)'!$V$9,'Assumptions (Petroleum)'!$V$4*Model!$AB$2231*AVERAGE('Assumptions (Petroleum)'!$X$2:$Z$2)/10^9),0)</f>
        <v>0</v>
      </c>
      <c r="AI2365" s="105">
        <f>IF($AB$2231&gt;0,IPMT('Assumptions (Petroleum)'!$V$6,Model!AD$1,'Assumptions (Petroleum)'!$V$9,'Assumptions (Petroleum)'!$V$4*Model!$AB$2231*AVERAGE('Assumptions (Petroleum)'!$X$2:$Z$2)/10^9),0)</f>
        <v>0</v>
      </c>
      <c r="AJ2365" s="105">
        <f>IF($AB$2231&gt;0,IPMT('Assumptions (Petroleum)'!$V$6,Model!AE$1,'Assumptions (Petroleum)'!$V$9,'Assumptions (Petroleum)'!$V$4*Model!$AB$2231*AVERAGE('Assumptions (Petroleum)'!$X$2:$Z$2)/10^9),0)</f>
        <v>0</v>
      </c>
      <c r="AK2365" s="105">
        <f>IF($AB$2231&gt;0,IPMT('Assumptions (Petroleum)'!$V$6,Model!AF$1,'Assumptions (Petroleum)'!$V$9,'Assumptions (Petroleum)'!$V$4*Model!$AB$2231*AVERAGE('Assumptions (Petroleum)'!$X$2:$Z$2)/10^9),0)</f>
        <v>0</v>
      </c>
      <c r="AL2365" s="105">
        <f>IF($AB$2231&gt;0,IPMT('Assumptions (Petroleum)'!$V$6,Model!AG$1,'Assumptions (Petroleum)'!$V$9,'Assumptions (Petroleum)'!$V$4*Model!$AB$2231*AVERAGE('Assumptions (Petroleum)'!$X$2:$Z$2)/10^9),0)</f>
        <v>0</v>
      </c>
      <c r="AM2365" s="105">
        <f>IF($AB$2231&gt;0,IPMT('Assumptions (Petroleum)'!$V$6,Model!AH$1,'Assumptions (Petroleum)'!$V$9,'Assumptions (Petroleum)'!$V$4*Model!$AB$2231*AVERAGE('Assumptions (Petroleum)'!$X$2:$Z$2)/10^9),0)</f>
        <v>0</v>
      </c>
      <c r="AN2365" s="105">
        <f>IF($AB$2231&gt;0,IPMT('Assumptions (Petroleum)'!$V$6,Model!AI$1,'Assumptions (Petroleum)'!$V$9,'Assumptions (Petroleum)'!$V$4*Model!$AB$2231*AVERAGE('Assumptions (Petroleum)'!$X$2:$Z$2)/10^9),0)</f>
        <v>0</v>
      </c>
      <c r="AO2365" s="105">
        <f>IF($AB$2231&gt;0,IPMT('Assumptions (Petroleum)'!$V$6,Model!AJ$1,'Assumptions (Petroleum)'!$V$9,'Assumptions (Petroleum)'!$V$4*Model!$AB$2231*AVERAGE('Assumptions (Petroleum)'!$X$2:$Z$2)/10^9),0)</f>
        <v>0</v>
      </c>
      <c r="AP2365" s="105">
        <f>IF($AB$2231&gt;0,IPMT('Assumptions (Petroleum)'!$V$6,Model!AK$1,'Assumptions (Petroleum)'!$V$9,'Assumptions (Petroleum)'!$V$4*Model!$AB$2231*AVERAGE('Assumptions (Petroleum)'!$X$2:$Z$2)/10^9),0)</f>
        <v>0</v>
      </c>
      <c r="AQ2365" s="105">
        <f>IF($AB$2231&gt;0,IPMT('Assumptions (Petroleum)'!$V$6,Model!AL$1,'Assumptions (Petroleum)'!$V$9,'Assumptions (Petroleum)'!$V$4*Model!$AB$2231*AVERAGE('Assumptions (Petroleum)'!$X$2:$Z$2)/10^9),0)</f>
        <v>0</v>
      </c>
      <c r="AR2365" s="105">
        <f>IF($AB$2231&gt;0,IPMT('Assumptions (Petroleum)'!$V$6,Model!AM$1,'Assumptions (Petroleum)'!$V$9,'Assumptions (Petroleum)'!$V$4*Model!$AB$2231*AVERAGE('Assumptions (Petroleum)'!$X$2:$Z$2)/10^9),0)</f>
        <v>0</v>
      </c>
      <c r="AS2365" s="105">
        <f>IF($AB$2231&gt;0,IPMT('Assumptions (Petroleum)'!$V$6,Model!AN$1,'Assumptions (Petroleum)'!$V$9,'Assumptions (Petroleum)'!$V$4*Model!$AB$2231*AVERAGE('Assumptions (Petroleum)'!$X$2:$Z$2)/10^9),0)</f>
        <v>0</v>
      </c>
      <c r="AT2365" s="105">
        <f>IF($AB$2231&gt;0,IPMT('Assumptions (Petroleum)'!$V$6,Model!AO$1,'Assumptions (Petroleum)'!$V$9,'Assumptions (Petroleum)'!$V$4*Model!$AB$2231*AVERAGE('Assumptions (Petroleum)'!$X$2:$Z$2)/10^9),0)</f>
        <v>0</v>
      </c>
      <c r="AU2365" s="105">
        <f>IF($AB$2231&gt;0,IPMT('Assumptions (Petroleum)'!$V$6,Model!AP$1,'Assumptions (Petroleum)'!$V$9,'Assumptions (Petroleum)'!$V$4*Model!$AB$2231*AVERAGE('Assumptions (Petroleum)'!$X$2:$Z$2)/10^9),0)</f>
        <v>0</v>
      </c>
      <c r="AV2365" s="105">
        <f>IF($AB$2231&gt;0,IPMT('Assumptions (Petroleum)'!$V$6,Model!AQ$1,'Assumptions (Petroleum)'!$V$9,'Assumptions (Petroleum)'!$V$4*Model!$AB$2231*AVERAGE('Assumptions (Petroleum)'!$X$2:$Z$2)/10^9),0)</f>
        <v>0</v>
      </c>
      <c r="AW2365" s="105">
        <f>IF($AB$2231&gt;0,IPMT('Assumptions (Petroleum)'!$V$6,Model!AR$1,'Assumptions (Petroleum)'!$V$9,'Assumptions (Petroleum)'!$V$4*Model!$AB$2231*AVERAGE('Assumptions (Petroleum)'!$X$2:$Z$2)/10^9),0)</f>
        <v>0</v>
      </c>
      <c r="AX2365" s="105">
        <f>IF($AB$2231&gt;0,IPMT('Assumptions (Petroleum)'!$V$6,Model!AS$1,'Assumptions (Petroleum)'!$V$9,'Assumptions (Petroleum)'!$V$4*Model!$AB$2231*AVERAGE('Assumptions (Petroleum)'!$X$2:$Z$2)/10^9),0)</f>
        <v>0</v>
      </c>
      <c r="AY2365" s="105">
        <f>IF($AB$2231&gt;0,IPMT('Assumptions (Petroleum)'!$V$6,Model!AT$1,'Assumptions (Petroleum)'!$V$9,'Assumptions (Petroleum)'!$V$4*Model!$AB$2231*AVERAGE('Assumptions (Petroleum)'!$X$2:$Z$2)/10^9),0)</f>
        <v>0</v>
      </c>
      <c r="AZ2365" s="105">
        <f>IF($AB$2231&gt;0,IPMT('Assumptions (Petroleum)'!$V$6,Model!AU$1,'Assumptions (Petroleum)'!$V$9,'Assumptions (Petroleum)'!$V$4*Model!$AB$2231*AVERAGE('Assumptions (Petroleum)'!$X$2:$Z$2)/10^9),0)</f>
        <v>0</v>
      </c>
      <c r="BA2365" s="105"/>
    </row>
    <row r="2366" spans="1:55" ht="15.75" hidden="1" customHeight="1" outlineLevel="1">
      <c r="A2366" s="447"/>
      <c r="B2366" s="99"/>
      <c r="C2366" s="99"/>
      <c r="D2366" s="99"/>
      <c r="E2366" s="99"/>
      <c r="F2366" s="99"/>
      <c r="G2366" s="99"/>
      <c r="H2366" s="99"/>
      <c r="I2366" s="99"/>
      <c r="J2366" s="99"/>
      <c r="K2366" s="99"/>
      <c r="L2366" s="99"/>
      <c r="M2366" s="99"/>
      <c r="N2366" s="99"/>
      <c r="O2366" s="99"/>
      <c r="P2366" s="99"/>
      <c r="Q2366" s="99"/>
      <c r="R2366" s="99"/>
      <c r="S2366" s="99"/>
      <c r="T2366" s="99"/>
      <c r="U2366" s="99"/>
      <c r="V2366" s="99"/>
      <c r="W2366" s="105"/>
      <c r="X2366" s="105"/>
      <c r="Y2366" s="105"/>
      <c r="Z2366" s="105"/>
      <c r="AA2366" s="105"/>
      <c r="AB2366" s="105"/>
      <c r="AC2366" s="105">
        <f>IF($AC$2231&gt;0,IPMT('Assumptions (Petroleum)'!$V$6,Model!W$1,'Assumptions (Petroleum)'!$V$9,'Assumptions (Petroleum)'!$V$4*Model!$AC$2231*AVERAGE('Assumptions (Petroleum)'!$Y$2:$AA$2)/10^9),0)</f>
        <v>0</v>
      </c>
      <c r="AD2366" s="105">
        <f>IF($AC$2231&gt;0,IPMT('Assumptions (Petroleum)'!$V$6,Model!X$1,'Assumptions (Petroleum)'!$V$9,'Assumptions (Petroleum)'!$V$4*Model!$AC$2231*AVERAGE('Assumptions (Petroleum)'!$Y$2:$AA$2)/10^9),0)</f>
        <v>0</v>
      </c>
      <c r="AE2366" s="105">
        <f>IF($AC$2231&gt;0,IPMT('Assumptions (Petroleum)'!$V$6,Model!Y$1,'Assumptions (Petroleum)'!$V$9,'Assumptions (Petroleum)'!$V$4*Model!$AC$2231*AVERAGE('Assumptions (Petroleum)'!$Y$2:$AA$2)/10^9),0)</f>
        <v>0</v>
      </c>
      <c r="AF2366" s="105">
        <f>IF($AC$2231&gt;0,IPMT('Assumptions (Petroleum)'!$V$6,Model!Z$1,'Assumptions (Petroleum)'!$V$9,'Assumptions (Petroleum)'!$V$4*Model!$AC$2231*AVERAGE('Assumptions (Petroleum)'!$Y$2:$AA$2)/10^9),0)</f>
        <v>0</v>
      </c>
      <c r="AG2366" s="105">
        <f>IF($AC$2231&gt;0,IPMT('Assumptions (Petroleum)'!$V$6,Model!AA$1,'Assumptions (Petroleum)'!$V$9,'Assumptions (Petroleum)'!$V$4*Model!$AC$2231*AVERAGE('Assumptions (Petroleum)'!$Y$2:$AA$2)/10^9),0)</f>
        <v>0</v>
      </c>
      <c r="AH2366" s="105">
        <f>IF($AC$2231&gt;0,IPMT('Assumptions (Petroleum)'!$V$6,Model!AB$1,'Assumptions (Petroleum)'!$V$9,'Assumptions (Petroleum)'!$V$4*Model!$AC$2231*AVERAGE('Assumptions (Petroleum)'!$Y$2:$AA$2)/10^9),0)</f>
        <v>0</v>
      </c>
      <c r="AI2366" s="105">
        <f>IF($AC$2231&gt;0,IPMT('Assumptions (Petroleum)'!$V$6,Model!AC$1,'Assumptions (Petroleum)'!$V$9,'Assumptions (Petroleum)'!$V$4*Model!$AC$2231*AVERAGE('Assumptions (Petroleum)'!$Y$2:$AA$2)/10^9),0)</f>
        <v>0</v>
      </c>
      <c r="AJ2366" s="105">
        <f>IF($AC$2231&gt;0,IPMT('Assumptions (Petroleum)'!$V$6,Model!AD$1,'Assumptions (Petroleum)'!$V$9,'Assumptions (Petroleum)'!$V$4*Model!$AC$2231*AVERAGE('Assumptions (Petroleum)'!$Y$2:$AA$2)/10^9),0)</f>
        <v>0</v>
      </c>
      <c r="AK2366" s="105">
        <f>IF($AC$2231&gt;0,IPMT('Assumptions (Petroleum)'!$V$6,Model!AE$1,'Assumptions (Petroleum)'!$V$9,'Assumptions (Petroleum)'!$V$4*Model!$AC$2231*AVERAGE('Assumptions (Petroleum)'!$Y$2:$AA$2)/10^9),0)</f>
        <v>0</v>
      </c>
      <c r="AL2366" s="105">
        <f>IF($AC$2231&gt;0,IPMT('Assumptions (Petroleum)'!$V$6,Model!AF$1,'Assumptions (Petroleum)'!$V$9,'Assumptions (Petroleum)'!$V$4*Model!$AC$2231*AVERAGE('Assumptions (Petroleum)'!$Y$2:$AA$2)/10^9),0)</f>
        <v>0</v>
      </c>
      <c r="AM2366" s="105">
        <f>IF($AC$2231&gt;0,IPMT('Assumptions (Petroleum)'!$V$6,Model!AG$1,'Assumptions (Petroleum)'!$V$9,'Assumptions (Petroleum)'!$V$4*Model!$AC$2231*AVERAGE('Assumptions (Petroleum)'!$Y$2:$AA$2)/10^9),0)</f>
        <v>0</v>
      </c>
      <c r="AN2366" s="105">
        <f>IF($AC$2231&gt;0,IPMT('Assumptions (Petroleum)'!$V$6,Model!AH$1,'Assumptions (Petroleum)'!$V$9,'Assumptions (Petroleum)'!$V$4*Model!$AC$2231*AVERAGE('Assumptions (Petroleum)'!$Y$2:$AA$2)/10^9),0)</f>
        <v>0</v>
      </c>
      <c r="AO2366" s="105">
        <f>IF($AC$2231&gt;0,IPMT('Assumptions (Petroleum)'!$V$6,Model!AI$1,'Assumptions (Petroleum)'!$V$9,'Assumptions (Petroleum)'!$V$4*Model!$AC$2231*AVERAGE('Assumptions (Petroleum)'!$Y$2:$AA$2)/10^9),0)</f>
        <v>0</v>
      </c>
      <c r="AP2366" s="105">
        <f>IF($AC$2231&gt;0,IPMT('Assumptions (Petroleum)'!$V$6,Model!AJ$1,'Assumptions (Petroleum)'!$V$9,'Assumptions (Petroleum)'!$V$4*Model!$AC$2231*AVERAGE('Assumptions (Petroleum)'!$Y$2:$AA$2)/10^9),0)</f>
        <v>0</v>
      </c>
      <c r="AQ2366" s="105">
        <f>IF($AC$2231&gt;0,IPMT('Assumptions (Petroleum)'!$V$6,Model!AK$1,'Assumptions (Petroleum)'!$V$9,'Assumptions (Petroleum)'!$V$4*Model!$AC$2231*AVERAGE('Assumptions (Petroleum)'!$Y$2:$AA$2)/10^9),0)</f>
        <v>0</v>
      </c>
      <c r="AR2366" s="105">
        <f>IF($AC$2231&gt;0,IPMT('Assumptions (Petroleum)'!$V$6,Model!AL$1,'Assumptions (Petroleum)'!$V$9,'Assumptions (Petroleum)'!$V$4*Model!$AC$2231*AVERAGE('Assumptions (Petroleum)'!$Y$2:$AA$2)/10^9),0)</f>
        <v>0</v>
      </c>
      <c r="AS2366" s="105">
        <f>IF($AC$2231&gt;0,IPMT('Assumptions (Petroleum)'!$V$6,Model!AM$1,'Assumptions (Petroleum)'!$V$9,'Assumptions (Petroleum)'!$V$4*Model!$AC$2231*AVERAGE('Assumptions (Petroleum)'!$Y$2:$AA$2)/10^9),0)</f>
        <v>0</v>
      </c>
      <c r="AT2366" s="105">
        <f>IF($AC$2231&gt;0,IPMT('Assumptions (Petroleum)'!$V$6,Model!AN$1,'Assumptions (Petroleum)'!$V$9,'Assumptions (Petroleum)'!$V$4*Model!$AC$2231*AVERAGE('Assumptions (Petroleum)'!$Y$2:$AA$2)/10^9),0)</f>
        <v>0</v>
      </c>
      <c r="AU2366" s="105">
        <f>IF($AC$2231&gt;0,IPMT('Assumptions (Petroleum)'!$V$6,Model!AO$1,'Assumptions (Petroleum)'!$V$9,'Assumptions (Petroleum)'!$V$4*Model!$AC$2231*AVERAGE('Assumptions (Petroleum)'!$Y$2:$AA$2)/10^9),0)</f>
        <v>0</v>
      </c>
      <c r="AV2366" s="105">
        <f>IF($AC$2231&gt;0,IPMT('Assumptions (Petroleum)'!$V$6,Model!AP$1,'Assumptions (Petroleum)'!$V$9,'Assumptions (Petroleum)'!$V$4*Model!$AC$2231*AVERAGE('Assumptions (Petroleum)'!$Y$2:$AA$2)/10^9),0)</f>
        <v>0</v>
      </c>
      <c r="AW2366" s="105">
        <f>IF($AC$2231&gt;0,IPMT('Assumptions (Petroleum)'!$V$6,Model!AQ$1,'Assumptions (Petroleum)'!$V$9,'Assumptions (Petroleum)'!$V$4*Model!$AC$2231*AVERAGE('Assumptions (Petroleum)'!$Y$2:$AA$2)/10^9),0)</f>
        <v>0</v>
      </c>
      <c r="AX2366" s="105">
        <f>IF($AC$2231&gt;0,IPMT('Assumptions (Petroleum)'!$V$6,Model!AR$1,'Assumptions (Petroleum)'!$V$9,'Assumptions (Petroleum)'!$V$4*Model!$AC$2231*AVERAGE('Assumptions (Petroleum)'!$Y$2:$AA$2)/10^9),0)</f>
        <v>0</v>
      </c>
      <c r="AY2366" s="105">
        <f>IF($AC$2231&gt;0,IPMT('Assumptions (Petroleum)'!$V$6,Model!AS$1,'Assumptions (Petroleum)'!$V$9,'Assumptions (Petroleum)'!$V$4*Model!$AC$2231*AVERAGE('Assumptions (Petroleum)'!$Y$2:$AA$2)/10^9),0)</f>
        <v>0</v>
      </c>
      <c r="AZ2366" s="105">
        <f>IF($AC$2231&gt;0,IPMT('Assumptions (Petroleum)'!$V$6,Model!AT$1,'Assumptions (Petroleum)'!$V$9,'Assumptions (Petroleum)'!$V$4*Model!$AC$2231*AVERAGE('Assumptions (Petroleum)'!$Y$2:$AA$2)/10^9),0)</f>
        <v>0</v>
      </c>
      <c r="BA2366" s="105">
        <f>IF($AC$2231&gt;0,IPMT('Assumptions (Petroleum)'!$V$6,Model!AU$1,'Assumptions (Petroleum)'!$V$9,'Assumptions (Petroleum)'!$V$4*Model!$AC$2231*AVERAGE('Assumptions (Petroleum)'!$Y$2:$AA$2)/10^9),0)</f>
        <v>0</v>
      </c>
    </row>
    <row r="2367" spans="1:55" ht="15.75" hidden="1" customHeight="1" outlineLevel="1">
      <c r="A2367" s="447"/>
      <c r="B2367" s="99"/>
      <c r="C2367" s="99"/>
      <c r="D2367" s="99"/>
      <c r="E2367" s="99"/>
      <c r="F2367" s="99"/>
      <c r="G2367" s="99"/>
      <c r="H2367" s="99"/>
      <c r="I2367" s="99"/>
      <c r="J2367" s="99"/>
      <c r="K2367" s="99"/>
      <c r="L2367" s="99"/>
      <c r="M2367" s="99"/>
      <c r="N2367" s="99"/>
      <c r="O2367" s="99"/>
      <c r="P2367" s="99"/>
      <c r="Q2367" s="99"/>
      <c r="R2367" s="99"/>
      <c r="S2367" s="99"/>
      <c r="T2367" s="99"/>
      <c r="U2367" s="99"/>
      <c r="V2367" s="99"/>
      <c r="W2367" s="105"/>
      <c r="X2367" s="105"/>
      <c r="Y2367" s="105"/>
      <c r="Z2367" s="105"/>
      <c r="AA2367" s="105"/>
      <c r="AB2367" s="105"/>
      <c r="AC2367" s="105"/>
      <c r="AD2367" s="105">
        <f>IF($AD$2231&gt;0,IPMT('Assumptions (Petroleum)'!$V$6,Model!W$1,'Assumptions (Petroleum)'!$V$9,'Assumptions (Petroleum)'!$V$4*Model!$AD$2231*AVERAGE('Assumptions (Petroleum)'!$Z$2:$AB$2)/10^9),0)</f>
        <v>0</v>
      </c>
      <c r="AE2367" s="105">
        <f>IF($AD$2231&gt;0,IPMT('Assumptions (Petroleum)'!$V$6,Model!X$1,'Assumptions (Petroleum)'!$V$9,'Assumptions (Petroleum)'!$V$4*Model!$AD$2231*AVERAGE('Assumptions (Petroleum)'!$Z$2:$AB$2)/10^9),0)</f>
        <v>0</v>
      </c>
      <c r="AF2367" s="105">
        <f>IF($AD$2231&gt;0,IPMT('Assumptions (Petroleum)'!$V$6,Model!Y$1,'Assumptions (Petroleum)'!$V$9,'Assumptions (Petroleum)'!$V$4*Model!$AD$2231*AVERAGE('Assumptions (Petroleum)'!$Z$2:$AB$2)/10^9),0)</f>
        <v>0</v>
      </c>
      <c r="AG2367" s="105">
        <f>IF($AD$2231&gt;0,IPMT('Assumptions (Petroleum)'!$V$6,Model!Z$1,'Assumptions (Petroleum)'!$V$9,'Assumptions (Petroleum)'!$V$4*Model!$AD$2231*AVERAGE('Assumptions (Petroleum)'!$Z$2:$AB$2)/10^9),0)</f>
        <v>0</v>
      </c>
      <c r="AH2367" s="105">
        <f>IF($AD$2231&gt;0,IPMT('Assumptions (Petroleum)'!$V$6,Model!AA$1,'Assumptions (Petroleum)'!$V$9,'Assumptions (Petroleum)'!$V$4*Model!$AD$2231*AVERAGE('Assumptions (Petroleum)'!$Z$2:$AB$2)/10^9),0)</f>
        <v>0</v>
      </c>
      <c r="AI2367" s="105">
        <f>IF($AD$2231&gt;0,IPMT('Assumptions (Petroleum)'!$V$6,Model!AB$1,'Assumptions (Petroleum)'!$V$9,'Assumptions (Petroleum)'!$V$4*Model!$AD$2231*AVERAGE('Assumptions (Petroleum)'!$Z$2:$AB$2)/10^9),0)</f>
        <v>0</v>
      </c>
      <c r="AJ2367" s="105">
        <f>IF($AD$2231&gt;0,IPMT('Assumptions (Petroleum)'!$V$6,Model!AC$1,'Assumptions (Petroleum)'!$V$9,'Assumptions (Petroleum)'!$V$4*Model!$AD$2231*AVERAGE('Assumptions (Petroleum)'!$Z$2:$AB$2)/10^9),0)</f>
        <v>0</v>
      </c>
      <c r="AK2367" s="105">
        <f>IF($AD$2231&gt;0,IPMT('Assumptions (Petroleum)'!$V$6,Model!AD$1,'Assumptions (Petroleum)'!$V$9,'Assumptions (Petroleum)'!$V$4*Model!$AD$2231*AVERAGE('Assumptions (Petroleum)'!$Z$2:$AB$2)/10^9),0)</f>
        <v>0</v>
      </c>
      <c r="AL2367" s="105">
        <f>IF($AD$2231&gt;0,IPMT('Assumptions (Petroleum)'!$V$6,Model!AE$1,'Assumptions (Petroleum)'!$V$9,'Assumptions (Petroleum)'!$V$4*Model!$AD$2231*AVERAGE('Assumptions (Petroleum)'!$Z$2:$AB$2)/10^9),0)</f>
        <v>0</v>
      </c>
      <c r="AM2367" s="105">
        <f>IF($AD$2231&gt;0,IPMT('Assumptions (Petroleum)'!$V$6,Model!AF$1,'Assumptions (Petroleum)'!$V$9,'Assumptions (Petroleum)'!$V$4*Model!$AD$2231*AVERAGE('Assumptions (Petroleum)'!$Z$2:$AB$2)/10^9),0)</f>
        <v>0</v>
      </c>
      <c r="AN2367" s="105">
        <f>IF($AD$2231&gt;0,IPMT('Assumptions (Petroleum)'!$V$6,Model!AG$1,'Assumptions (Petroleum)'!$V$9,'Assumptions (Petroleum)'!$V$4*Model!$AD$2231*AVERAGE('Assumptions (Petroleum)'!$Z$2:$AB$2)/10^9),0)</f>
        <v>0</v>
      </c>
      <c r="AO2367" s="105">
        <f>IF($AD$2231&gt;0,IPMT('Assumptions (Petroleum)'!$V$6,Model!AH$1,'Assumptions (Petroleum)'!$V$9,'Assumptions (Petroleum)'!$V$4*Model!$AD$2231*AVERAGE('Assumptions (Petroleum)'!$Z$2:$AB$2)/10^9),0)</f>
        <v>0</v>
      </c>
      <c r="AP2367" s="105">
        <f>IF($AD$2231&gt;0,IPMT('Assumptions (Petroleum)'!$V$6,Model!AI$1,'Assumptions (Petroleum)'!$V$9,'Assumptions (Petroleum)'!$V$4*Model!$AD$2231*AVERAGE('Assumptions (Petroleum)'!$Z$2:$AB$2)/10^9),0)</f>
        <v>0</v>
      </c>
      <c r="AQ2367" s="105">
        <f>IF($AD$2231&gt;0,IPMT('Assumptions (Petroleum)'!$V$6,Model!AJ$1,'Assumptions (Petroleum)'!$V$9,'Assumptions (Petroleum)'!$V$4*Model!$AD$2231*AVERAGE('Assumptions (Petroleum)'!$Z$2:$AB$2)/10^9),0)</f>
        <v>0</v>
      </c>
      <c r="AR2367" s="105">
        <f>IF($AD$2231&gt;0,IPMT('Assumptions (Petroleum)'!$V$6,Model!AK$1,'Assumptions (Petroleum)'!$V$9,'Assumptions (Petroleum)'!$V$4*Model!$AD$2231*AVERAGE('Assumptions (Petroleum)'!$Z$2:$AB$2)/10^9),0)</f>
        <v>0</v>
      </c>
      <c r="AS2367" s="105">
        <f>IF($AD$2231&gt;0,IPMT('Assumptions (Petroleum)'!$V$6,Model!AL$1,'Assumptions (Petroleum)'!$V$9,'Assumptions (Petroleum)'!$V$4*Model!$AD$2231*AVERAGE('Assumptions (Petroleum)'!$Z$2:$AB$2)/10^9),0)</f>
        <v>0</v>
      </c>
      <c r="AT2367" s="105">
        <f>IF($AD$2231&gt;0,IPMT('Assumptions (Petroleum)'!$V$6,Model!AM$1,'Assumptions (Petroleum)'!$V$9,'Assumptions (Petroleum)'!$V$4*Model!$AD$2231*AVERAGE('Assumptions (Petroleum)'!$Z$2:$AB$2)/10^9),0)</f>
        <v>0</v>
      </c>
      <c r="AU2367" s="105">
        <f>IF($AD$2231&gt;0,IPMT('Assumptions (Petroleum)'!$V$6,Model!AN$1,'Assumptions (Petroleum)'!$V$9,'Assumptions (Petroleum)'!$V$4*Model!$AD$2231*AVERAGE('Assumptions (Petroleum)'!$Z$2:$AB$2)/10^9),0)</f>
        <v>0</v>
      </c>
      <c r="AV2367" s="105">
        <f>IF($AD$2231&gt;0,IPMT('Assumptions (Petroleum)'!$V$6,Model!AO$1,'Assumptions (Petroleum)'!$V$9,'Assumptions (Petroleum)'!$V$4*Model!$AD$2231*AVERAGE('Assumptions (Petroleum)'!$Z$2:$AB$2)/10^9),0)</f>
        <v>0</v>
      </c>
      <c r="AW2367" s="105">
        <f>IF($AD$2231&gt;0,IPMT('Assumptions (Petroleum)'!$V$6,Model!AP$1,'Assumptions (Petroleum)'!$V$9,'Assumptions (Petroleum)'!$V$4*Model!$AD$2231*AVERAGE('Assumptions (Petroleum)'!$Z$2:$AB$2)/10^9),0)</f>
        <v>0</v>
      </c>
      <c r="AX2367" s="105">
        <f>IF($AD$2231&gt;0,IPMT('Assumptions (Petroleum)'!$V$6,Model!AQ$1,'Assumptions (Petroleum)'!$V$9,'Assumptions (Petroleum)'!$V$4*Model!$AD$2231*AVERAGE('Assumptions (Petroleum)'!$Z$2:$AB$2)/10^9),0)</f>
        <v>0</v>
      </c>
      <c r="AY2367" s="105">
        <f>IF($AD$2231&gt;0,IPMT('Assumptions (Petroleum)'!$V$6,Model!AR$1,'Assumptions (Petroleum)'!$V$9,'Assumptions (Petroleum)'!$V$4*Model!$AD$2231*AVERAGE('Assumptions (Petroleum)'!$Z$2:$AB$2)/10^9),0)</f>
        <v>0</v>
      </c>
      <c r="AZ2367" s="105">
        <f>IF($AD$2231&gt;0,IPMT('Assumptions (Petroleum)'!$V$6,Model!AS$1,'Assumptions (Petroleum)'!$V$9,'Assumptions (Petroleum)'!$V$4*Model!$AD$2231*AVERAGE('Assumptions (Petroleum)'!$Z$2:$AB$2)/10^9),0)</f>
        <v>0</v>
      </c>
      <c r="BA2367" s="105">
        <f>IF($AD$2231&gt;0,IPMT('Assumptions (Petroleum)'!$V$6,Model!AT$1,'Assumptions (Petroleum)'!$V$9,'Assumptions (Petroleum)'!$V$4*Model!$AD$2231*AVERAGE('Assumptions (Petroleum)'!$Z$2:$AB$2)/10^9),0)</f>
        <v>0</v>
      </c>
      <c r="BB2367" s="105">
        <f>IF($AD$2231&gt;0,IPMT('Assumptions (Petroleum)'!$V$6,Model!AU$1,'Assumptions (Petroleum)'!$V$9,'Assumptions (Petroleum)'!$V$4*Model!$AD$2231*AVERAGE('Assumptions (Petroleum)'!$Z$2:$AB$2)/10^9),0)</f>
        <v>0</v>
      </c>
    </row>
    <row r="2368" spans="1:55" ht="15.75" hidden="1" customHeight="1" outlineLevel="1">
      <c r="A2368" s="447"/>
      <c r="B2368" s="99"/>
      <c r="C2368" s="99"/>
      <c r="D2368" s="99"/>
      <c r="E2368" s="99"/>
      <c r="F2368" s="99"/>
      <c r="G2368" s="99"/>
      <c r="H2368" s="99"/>
      <c r="I2368" s="99"/>
      <c r="J2368" s="99"/>
      <c r="K2368" s="99"/>
      <c r="L2368" s="99"/>
      <c r="M2368" s="99"/>
      <c r="N2368" s="99"/>
      <c r="O2368" s="99"/>
      <c r="P2368" s="99"/>
      <c r="Q2368" s="99"/>
      <c r="R2368" s="99"/>
      <c r="S2368" s="99"/>
      <c r="T2368" s="99"/>
      <c r="U2368" s="99"/>
      <c r="V2368" s="99"/>
      <c r="W2368" s="105"/>
      <c r="X2368" s="105"/>
      <c r="Y2368" s="105"/>
      <c r="Z2368" s="105"/>
      <c r="AA2368" s="105"/>
      <c r="AB2368" s="105"/>
      <c r="AC2368" s="105"/>
      <c r="AD2368" s="105"/>
      <c r="AE2368" s="105">
        <f>IF($AE$2231&gt;0,IPMT('Assumptions (Petroleum)'!$V$6,Model!W$1,'Assumptions (Petroleum)'!$V$9,'Assumptions (Petroleum)'!$V$4*Model!$AE$2231*AVERAGE('Assumptions (Petroleum)'!$AA$2:$AC$2)/10^9),0)</f>
        <v>0</v>
      </c>
      <c r="AF2368" s="105">
        <f>IF($AE$2231&gt;0,IPMT('Assumptions (Petroleum)'!$V$6,Model!X$1,'Assumptions (Petroleum)'!$V$9,'Assumptions (Petroleum)'!$V$4*Model!$AE$2231*AVERAGE('Assumptions (Petroleum)'!$AA$2:$AC$2)/10^9),0)</f>
        <v>0</v>
      </c>
      <c r="AG2368" s="105">
        <f>IF($AE$2231&gt;0,IPMT('Assumptions (Petroleum)'!$V$6,Model!Y$1,'Assumptions (Petroleum)'!$V$9,'Assumptions (Petroleum)'!$V$4*Model!$AE$2231*AVERAGE('Assumptions (Petroleum)'!$AA$2:$AC$2)/10^9),0)</f>
        <v>0</v>
      </c>
      <c r="AH2368" s="105">
        <f>IF($AE$2231&gt;0,IPMT('Assumptions (Petroleum)'!$V$6,Model!Z$1,'Assumptions (Petroleum)'!$V$9,'Assumptions (Petroleum)'!$V$4*Model!$AE$2231*AVERAGE('Assumptions (Petroleum)'!$AA$2:$AC$2)/10^9),0)</f>
        <v>0</v>
      </c>
      <c r="AI2368" s="105">
        <f>IF($AE$2231&gt;0,IPMT('Assumptions (Petroleum)'!$V$6,Model!AA$1,'Assumptions (Petroleum)'!$V$9,'Assumptions (Petroleum)'!$V$4*Model!$AE$2231*AVERAGE('Assumptions (Petroleum)'!$AA$2:$AC$2)/10^9),0)</f>
        <v>0</v>
      </c>
      <c r="AJ2368" s="105">
        <f>IF($AE$2231&gt;0,IPMT('Assumptions (Petroleum)'!$V$6,Model!AB$1,'Assumptions (Petroleum)'!$V$9,'Assumptions (Petroleum)'!$V$4*Model!$AE$2231*AVERAGE('Assumptions (Petroleum)'!$AA$2:$AC$2)/10^9),0)</f>
        <v>0</v>
      </c>
      <c r="AK2368" s="105">
        <f>IF($AE$2231&gt;0,IPMT('Assumptions (Petroleum)'!$V$6,Model!AC$1,'Assumptions (Petroleum)'!$V$9,'Assumptions (Petroleum)'!$V$4*Model!$AE$2231*AVERAGE('Assumptions (Petroleum)'!$AA$2:$AC$2)/10^9),0)</f>
        <v>0</v>
      </c>
      <c r="AL2368" s="105">
        <f>IF($AE$2231&gt;0,IPMT('Assumptions (Petroleum)'!$V$6,Model!AD$1,'Assumptions (Petroleum)'!$V$9,'Assumptions (Petroleum)'!$V$4*Model!$AE$2231*AVERAGE('Assumptions (Petroleum)'!$AA$2:$AC$2)/10^9),0)</f>
        <v>0</v>
      </c>
      <c r="AM2368" s="105">
        <f>IF($AE$2231&gt;0,IPMT('Assumptions (Petroleum)'!$V$6,Model!AE$1,'Assumptions (Petroleum)'!$V$9,'Assumptions (Petroleum)'!$V$4*Model!$AE$2231*AVERAGE('Assumptions (Petroleum)'!$AA$2:$AC$2)/10^9),0)</f>
        <v>0</v>
      </c>
      <c r="AN2368" s="105">
        <f>IF($AE$2231&gt;0,IPMT('Assumptions (Petroleum)'!$V$6,Model!AF$1,'Assumptions (Petroleum)'!$V$9,'Assumptions (Petroleum)'!$V$4*Model!$AE$2231*AVERAGE('Assumptions (Petroleum)'!$AA$2:$AC$2)/10^9),0)</f>
        <v>0</v>
      </c>
      <c r="AO2368" s="105">
        <f>IF($AE$2231&gt;0,IPMT('Assumptions (Petroleum)'!$V$6,Model!AG$1,'Assumptions (Petroleum)'!$V$9,'Assumptions (Petroleum)'!$V$4*Model!$AE$2231*AVERAGE('Assumptions (Petroleum)'!$AA$2:$AC$2)/10^9),0)</f>
        <v>0</v>
      </c>
      <c r="AP2368" s="105">
        <f>IF($AE$2231&gt;0,IPMT('Assumptions (Petroleum)'!$V$6,Model!AH$1,'Assumptions (Petroleum)'!$V$9,'Assumptions (Petroleum)'!$V$4*Model!$AE$2231*AVERAGE('Assumptions (Petroleum)'!$AA$2:$AC$2)/10^9),0)</f>
        <v>0</v>
      </c>
      <c r="AQ2368" s="105">
        <f>IF($AE$2231&gt;0,IPMT('Assumptions (Petroleum)'!$V$6,Model!AI$1,'Assumptions (Petroleum)'!$V$9,'Assumptions (Petroleum)'!$V$4*Model!$AE$2231*AVERAGE('Assumptions (Petroleum)'!$AA$2:$AC$2)/10^9),0)</f>
        <v>0</v>
      </c>
      <c r="AR2368" s="105">
        <f>IF($AE$2231&gt;0,IPMT('Assumptions (Petroleum)'!$V$6,Model!AJ$1,'Assumptions (Petroleum)'!$V$9,'Assumptions (Petroleum)'!$V$4*Model!$AE$2231*AVERAGE('Assumptions (Petroleum)'!$AA$2:$AC$2)/10^9),0)</f>
        <v>0</v>
      </c>
      <c r="AS2368" s="105">
        <f>IF($AE$2231&gt;0,IPMT('Assumptions (Petroleum)'!$V$6,Model!AK$1,'Assumptions (Petroleum)'!$V$9,'Assumptions (Petroleum)'!$V$4*Model!$AE$2231*AVERAGE('Assumptions (Petroleum)'!$AA$2:$AC$2)/10^9),0)</f>
        <v>0</v>
      </c>
      <c r="AT2368" s="105">
        <f>IF($AE$2231&gt;0,IPMT('Assumptions (Petroleum)'!$V$6,Model!AL$1,'Assumptions (Petroleum)'!$V$9,'Assumptions (Petroleum)'!$V$4*Model!$AE$2231*AVERAGE('Assumptions (Petroleum)'!$AA$2:$AC$2)/10^9),0)</f>
        <v>0</v>
      </c>
      <c r="AU2368" s="105">
        <f>IF($AE$2231&gt;0,IPMT('Assumptions (Petroleum)'!$V$6,Model!AM$1,'Assumptions (Petroleum)'!$V$9,'Assumptions (Petroleum)'!$V$4*Model!$AE$2231*AVERAGE('Assumptions (Petroleum)'!$AA$2:$AC$2)/10^9),0)</f>
        <v>0</v>
      </c>
      <c r="AV2368" s="105">
        <f>IF($AE$2231&gt;0,IPMT('Assumptions (Petroleum)'!$V$6,Model!AN$1,'Assumptions (Petroleum)'!$V$9,'Assumptions (Petroleum)'!$V$4*Model!$AE$2231*AVERAGE('Assumptions (Petroleum)'!$AA$2:$AC$2)/10^9),0)</f>
        <v>0</v>
      </c>
      <c r="AW2368" s="105">
        <f>IF($AE$2231&gt;0,IPMT('Assumptions (Petroleum)'!$V$6,Model!AO$1,'Assumptions (Petroleum)'!$V$9,'Assumptions (Petroleum)'!$V$4*Model!$AE$2231*AVERAGE('Assumptions (Petroleum)'!$AA$2:$AC$2)/10^9),0)</f>
        <v>0</v>
      </c>
      <c r="AX2368" s="105">
        <f>IF($AE$2231&gt;0,IPMT('Assumptions (Petroleum)'!$V$6,Model!AP$1,'Assumptions (Petroleum)'!$V$9,'Assumptions (Petroleum)'!$V$4*Model!$AE$2231*AVERAGE('Assumptions (Petroleum)'!$AA$2:$AC$2)/10^9),0)</f>
        <v>0</v>
      </c>
      <c r="AY2368" s="105">
        <f>IF($AE$2231&gt;0,IPMT('Assumptions (Petroleum)'!$V$6,Model!AQ$1,'Assumptions (Petroleum)'!$V$9,'Assumptions (Petroleum)'!$V$4*Model!$AE$2231*AVERAGE('Assumptions (Petroleum)'!$AA$2:$AC$2)/10^9),0)</f>
        <v>0</v>
      </c>
      <c r="AZ2368" s="105">
        <f>IF($AE$2231&gt;0,IPMT('Assumptions (Petroleum)'!$V$6,Model!AR$1,'Assumptions (Petroleum)'!$V$9,'Assumptions (Petroleum)'!$V$4*Model!$AE$2231*AVERAGE('Assumptions (Petroleum)'!$AA$2:$AC$2)/10^9),0)</f>
        <v>0</v>
      </c>
      <c r="BA2368" s="105">
        <f>IF($AE$2231&gt;0,IPMT('Assumptions (Petroleum)'!$V$6,Model!AS$1,'Assumptions (Petroleum)'!$V$9,'Assumptions (Petroleum)'!$V$4*Model!$AE$2231*AVERAGE('Assumptions (Petroleum)'!$AA$2:$AC$2)/10^9),0)</f>
        <v>0</v>
      </c>
      <c r="BB2368" s="105">
        <f>IF($AE$2231&gt;0,IPMT('Assumptions (Petroleum)'!$V$6,Model!AT$1,'Assumptions (Petroleum)'!$V$9,'Assumptions (Petroleum)'!$V$4*Model!$AE$2231*AVERAGE('Assumptions (Petroleum)'!$AA$2:$AC$2)/10^9),0)</f>
        <v>0</v>
      </c>
      <c r="BC2368" s="105">
        <f>IF($AE$2231&gt;0,IPMT('Assumptions (Petroleum)'!$V$6,Model!AU$1,'Assumptions (Petroleum)'!$V$9,'Assumptions (Petroleum)'!$V$4*Model!$AE$2231*AVERAGE('Assumptions (Petroleum)'!$AA$2:$AC$2)/10^9),0)</f>
        <v>0</v>
      </c>
    </row>
    <row r="2369" spans="1:68" ht="15.75" hidden="1" customHeight="1" outlineLevel="1">
      <c r="A2369" s="447"/>
      <c r="B2369" s="99"/>
      <c r="C2369" s="99"/>
      <c r="D2369" s="99"/>
      <c r="E2369" s="99"/>
      <c r="F2369" s="99"/>
      <c r="G2369" s="99"/>
      <c r="H2369" s="99"/>
      <c r="I2369" s="99"/>
      <c r="J2369" s="99"/>
      <c r="K2369" s="99"/>
      <c r="L2369" s="99"/>
      <c r="M2369" s="99"/>
      <c r="N2369" s="99"/>
      <c r="O2369" s="99"/>
      <c r="P2369" s="99"/>
      <c r="Q2369" s="99"/>
      <c r="R2369" s="99"/>
      <c r="S2369" s="99"/>
      <c r="T2369" s="99"/>
      <c r="U2369" s="99"/>
      <c r="V2369" s="99"/>
      <c r="W2369" s="105"/>
      <c r="X2369" s="105"/>
      <c r="Y2369" s="105"/>
      <c r="Z2369" s="105"/>
      <c r="AA2369" s="105"/>
      <c r="AB2369" s="105"/>
      <c r="AC2369" s="105"/>
      <c r="AD2369" s="105"/>
      <c r="AE2369" s="105"/>
      <c r="AF2369" s="105">
        <f>IF($AF$2231&gt;0,IPMT('Assumptions (Petroleum)'!$V$6,Model!W$1,'Assumptions (Petroleum)'!$V$9,'Assumptions (Petroleum)'!$V$4*Model!$AF$2231*AVERAGE('Assumptions (Petroleum)'!$AB$2:$AD$2)/10^9),0)</f>
        <v>0</v>
      </c>
      <c r="AG2369" s="105">
        <f>IF($AF$2231&gt;0,IPMT('Assumptions (Petroleum)'!$V$6,Model!X$1,'Assumptions (Petroleum)'!$V$9,'Assumptions (Petroleum)'!$V$4*Model!$AF$2231*AVERAGE('Assumptions (Petroleum)'!$AB$2:$AD$2)/10^9),0)</f>
        <v>0</v>
      </c>
      <c r="AH2369" s="105">
        <f>IF($AF$2231&gt;0,IPMT('Assumptions (Petroleum)'!$V$6,Model!Y$1,'Assumptions (Petroleum)'!$V$9,'Assumptions (Petroleum)'!$V$4*Model!$AF$2231*AVERAGE('Assumptions (Petroleum)'!$AB$2:$AD$2)/10^9),0)</f>
        <v>0</v>
      </c>
      <c r="AI2369" s="105">
        <f>IF($AF$2231&gt;0,IPMT('Assumptions (Petroleum)'!$V$6,Model!Z$1,'Assumptions (Petroleum)'!$V$9,'Assumptions (Petroleum)'!$V$4*Model!$AF$2231*AVERAGE('Assumptions (Petroleum)'!$AB$2:$AD$2)/10^9),0)</f>
        <v>0</v>
      </c>
      <c r="AJ2369" s="105">
        <f>IF($AF$2231&gt;0,IPMT('Assumptions (Petroleum)'!$V$6,Model!AA$1,'Assumptions (Petroleum)'!$V$9,'Assumptions (Petroleum)'!$V$4*Model!$AF$2231*AVERAGE('Assumptions (Petroleum)'!$AB$2:$AD$2)/10^9),0)</f>
        <v>0</v>
      </c>
      <c r="AK2369" s="105">
        <f>IF($AF$2231&gt;0,IPMT('Assumptions (Petroleum)'!$V$6,Model!AB$1,'Assumptions (Petroleum)'!$V$9,'Assumptions (Petroleum)'!$V$4*Model!$AF$2231*AVERAGE('Assumptions (Petroleum)'!$AB$2:$AD$2)/10^9),0)</f>
        <v>0</v>
      </c>
      <c r="AL2369" s="105">
        <f>IF($AF$2231&gt;0,IPMT('Assumptions (Petroleum)'!$V$6,Model!AC$1,'Assumptions (Petroleum)'!$V$9,'Assumptions (Petroleum)'!$V$4*Model!$AF$2231*AVERAGE('Assumptions (Petroleum)'!$AB$2:$AD$2)/10^9),0)</f>
        <v>0</v>
      </c>
      <c r="AM2369" s="105">
        <f>IF($AF$2231&gt;0,IPMT('Assumptions (Petroleum)'!$V$6,Model!AD$1,'Assumptions (Petroleum)'!$V$9,'Assumptions (Petroleum)'!$V$4*Model!$AF$2231*AVERAGE('Assumptions (Petroleum)'!$AB$2:$AD$2)/10^9),0)</f>
        <v>0</v>
      </c>
      <c r="AN2369" s="105">
        <f>IF($AF$2231&gt;0,IPMT('Assumptions (Petroleum)'!$V$6,Model!AE$1,'Assumptions (Petroleum)'!$V$9,'Assumptions (Petroleum)'!$V$4*Model!$AF$2231*AVERAGE('Assumptions (Petroleum)'!$AB$2:$AD$2)/10^9),0)</f>
        <v>0</v>
      </c>
      <c r="AO2369" s="105">
        <f>IF($AF$2231&gt;0,IPMT('Assumptions (Petroleum)'!$V$6,Model!AF$1,'Assumptions (Petroleum)'!$V$9,'Assumptions (Petroleum)'!$V$4*Model!$AF$2231*AVERAGE('Assumptions (Petroleum)'!$AB$2:$AD$2)/10^9),0)</f>
        <v>0</v>
      </c>
      <c r="AP2369" s="105">
        <f>IF($AF$2231&gt;0,IPMT('Assumptions (Petroleum)'!$V$6,Model!AG$1,'Assumptions (Petroleum)'!$V$9,'Assumptions (Petroleum)'!$V$4*Model!$AF$2231*AVERAGE('Assumptions (Petroleum)'!$AB$2:$AD$2)/10^9),0)</f>
        <v>0</v>
      </c>
      <c r="AQ2369" s="105">
        <f>IF($AF$2231&gt;0,IPMT('Assumptions (Petroleum)'!$V$6,Model!AH$1,'Assumptions (Petroleum)'!$V$9,'Assumptions (Petroleum)'!$V$4*Model!$AF$2231*AVERAGE('Assumptions (Petroleum)'!$AB$2:$AD$2)/10^9),0)</f>
        <v>0</v>
      </c>
      <c r="AR2369" s="105">
        <f>IF($AF$2231&gt;0,IPMT('Assumptions (Petroleum)'!$V$6,Model!AI$1,'Assumptions (Petroleum)'!$V$9,'Assumptions (Petroleum)'!$V$4*Model!$AF$2231*AVERAGE('Assumptions (Petroleum)'!$AB$2:$AD$2)/10^9),0)</f>
        <v>0</v>
      </c>
      <c r="AS2369" s="105">
        <f>IF($AF$2231&gt;0,IPMT('Assumptions (Petroleum)'!$V$6,Model!AJ$1,'Assumptions (Petroleum)'!$V$9,'Assumptions (Petroleum)'!$V$4*Model!$AF$2231*AVERAGE('Assumptions (Petroleum)'!$AB$2:$AD$2)/10^9),0)</f>
        <v>0</v>
      </c>
      <c r="AT2369" s="105">
        <f>IF($AF$2231&gt;0,IPMT('Assumptions (Petroleum)'!$V$6,Model!AK$1,'Assumptions (Petroleum)'!$V$9,'Assumptions (Petroleum)'!$V$4*Model!$AF$2231*AVERAGE('Assumptions (Petroleum)'!$AB$2:$AD$2)/10^9),0)</f>
        <v>0</v>
      </c>
      <c r="AU2369" s="105">
        <f>IF($AF$2231&gt;0,IPMT('Assumptions (Petroleum)'!$V$6,Model!AL$1,'Assumptions (Petroleum)'!$V$9,'Assumptions (Petroleum)'!$V$4*Model!$AF$2231*AVERAGE('Assumptions (Petroleum)'!$AB$2:$AD$2)/10^9),0)</f>
        <v>0</v>
      </c>
      <c r="AV2369" s="105">
        <f>IF($AF$2231&gt;0,IPMT('Assumptions (Petroleum)'!$V$6,Model!AM$1,'Assumptions (Petroleum)'!$V$9,'Assumptions (Petroleum)'!$V$4*Model!$AF$2231*AVERAGE('Assumptions (Petroleum)'!$AB$2:$AD$2)/10^9),0)</f>
        <v>0</v>
      </c>
      <c r="AW2369" s="105">
        <f>IF($AF$2231&gt;0,IPMT('Assumptions (Petroleum)'!$V$6,Model!AN$1,'Assumptions (Petroleum)'!$V$9,'Assumptions (Petroleum)'!$V$4*Model!$AF$2231*AVERAGE('Assumptions (Petroleum)'!$AB$2:$AD$2)/10^9),0)</f>
        <v>0</v>
      </c>
      <c r="AX2369" s="105">
        <f>IF($AF$2231&gt;0,IPMT('Assumptions (Petroleum)'!$V$6,Model!AO$1,'Assumptions (Petroleum)'!$V$9,'Assumptions (Petroleum)'!$V$4*Model!$AF$2231*AVERAGE('Assumptions (Petroleum)'!$AB$2:$AD$2)/10^9),0)</f>
        <v>0</v>
      </c>
      <c r="AY2369" s="105">
        <f>IF($AF$2231&gt;0,IPMT('Assumptions (Petroleum)'!$V$6,Model!AP$1,'Assumptions (Petroleum)'!$V$9,'Assumptions (Petroleum)'!$V$4*Model!$AF$2231*AVERAGE('Assumptions (Petroleum)'!$AB$2:$AD$2)/10^9),0)</f>
        <v>0</v>
      </c>
      <c r="AZ2369" s="105">
        <f>IF($AF$2231&gt;0,IPMT('Assumptions (Petroleum)'!$V$6,Model!AQ$1,'Assumptions (Petroleum)'!$V$9,'Assumptions (Petroleum)'!$V$4*Model!$AF$2231*AVERAGE('Assumptions (Petroleum)'!$AB$2:$AD$2)/10^9),0)</f>
        <v>0</v>
      </c>
      <c r="BA2369" s="105">
        <f>IF($AF$2231&gt;0,IPMT('Assumptions (Petroleum)'!$V$6,Model!AR$1,'Assumptions (Petroleum)'!$V$9,'Assumptions (Petroleum)'!$V$4*Model!$AF$2231*AVERAGE('Assumptions (Petroleum)'!$AB$2:$AD$2)/10^9),0)</f>
        <v>0</v>
      </c>
      <c r="BB2369" s="105">
        <f>IF($AF$2231&gt;0,IPMT('Assumptions (Petroleum)'!$V$6,Model!AS$1,'Assumptions (Petroleum)'!$V$9,'Assumptions (Petroleum)'!$V$4*Model!$AF$2231*AVERAGE('Assumptions (Petroleum)'!$AB$2:$AD$2)/10^9),0)</f>
        <v>0</v>
      </c>
      <c r="BC2369" s="105">
        <f>IF($AF$2231&gt;0,IPMT('Assumptions (Petroleum)'!$V$6,Model!AT$1,'Assumptions (Petroleum)'!$V$9,'Assumptions (Petroleum)'!$V$4*Model!$AF$2231*AVERAGE('Assumptions (Petroleum)'!$AB$2:$AD$2)/10^9),0)</f>
        <v>0</v>
      </c>
      <c r="BD2369" s="105">
        <f>IF($AF$2231&gt;0,IPMT('Assumptions (Petroleum)'!$V$6,Model!AU$1,'Assumptions (Petroleum)'!$V$9,'Assumptions (Petroleum)'!$V$4*Model!$AF$2231*AVERAGE('Assumptions (Petroleum)'!$AB$2:$AD$2)/10^9),0)</f>
        <v>0</v>
      </c>
    </row>
    <row r="2370" spans="1:68" ht="15.75" hidden="1" customHeight="1" outlineLevel="1">
      <c r="A2370" s="447"/>
      <c r="B2370" s="99"/>
      <c r="C2370" s="99"/>
      <c r="D2370" s="99"/>
      <c r="E2370" s="99"/>
      <c r="F2370" s="99"/>
      <c r="G2370" s="99"/>
      <c r="H2370" s="99"/>
      <c r="I2370" s="99"/>
      <c r="J2370" s="99"/>
      <c r="K2370" s="99"/>
      <c r="L2370" s="99"/>
      <c r="M2370" s="99"/>
      <c r="N2370" s="99"/>
      <c r="O2370" s="99"/>
      <c r="P2370" s="99"/>
      <c r="Q2370" s="99"/>
      <c r="R2370" s="99"/>
      <c r="S2370" s="99"/>
      <c r="T2370" s="99"/>
      <c r="U2370" s="99"/>
      <c r="V2370" s="99"/>
      <c r="W2370" s="105"/>
      <c r="X2370" s="105"/>
      <c r="Y2370" s="105"/>
      <c r="Z2370" s="105"/>
      <c r="AA2370" s="105"/>
      <c r="AB2370" s="105"/>
      <c r="AC2370" s="105"/>
      <c r="AD2370" s="105"/>
      <c r="AE2370" s="105"/>
      <c r="AF2370" s="105"/>
      <c r="AG2370" s="105">
        <f>IF($AG$2231&gt;0,IPMT('Assumptions (Petroleum)'!$V$6,Model!W$1,'Assumptions (Petroleum)'!$V$9,'Assumptions (Petroleum)'!$V$4*Model!$AG$2231*AVERAGE('Assumptions (Petroleum)'!$AC$2:$AE$2)/10^9),0)</f>
        <v>0</v>
      </c>
      <c r="AH2370" s="105">
        <f>IF($AG$2231&gt;0,IPMT('Assumptions (Petroleum)'!$V$6,Model!X$1,'Assumptions (Petroleum)'!$V$9,'Assumptions (Petroleum)'!$V$4*Model!$AG$2231*AVERAGE('Assumptions (Petroleum)'!$AC$2:$AE$2)/10^9),0)</f>
        <v>0</v>
      </c>
      <c r="AI2370" s="105">
        <f>IF($AG$2231&gt;0,IPMT('Assumptions (Petroleum)'!$V$6,Model!Y$1,'Assumptions (Petroleum)'!$V$9,'Assumptions (Petroleum)'!$V$4*Model!$AG$2231*AVERAGE('Assumptions (Petroleum)'!$AC$2:$AE$2)/10^9),0)</f>
        <v>0</v>
      </c>
      <c r="AJ2370" s="105">
        <f>IF($AG$2231&gt;0,IPMT('Assumptions (Petroleum)'!$V$6,Model!Z$1,'Assumptions (Petroleum)'!$V$9,'Assumptions (Petroleum)'!$V$4*Model!$AG$2231*AVERAGE('Assumptions (Petroleum)'!$AC$2:$AE$2)/10^9),0)</f>
        <v>0</v>
      </c>
      <c r="AK2370" s="105">
        <f>IF($AG$2231&gt;0,IPMT('Assumptions (Petroleum)'!$V$6,Model!AA$1,'Assumptions (Petroleum)'!$V$9,'Assumptions (Petroleum)'!$V$4*Model!$AG$2231*AVERAGE('Assumptions (Petroleum)'!$AC$2:$AE$2)/10^9),0)</f>
        <v>0</v>
      </c>
      <c r="AL2370" s="105">
        <f>IF($AG$2231&gt;0,IPMT('Assumptions (Petroleum)'!$V$6,Model!AB$1,'Assumptions (Petroleum)'!$V$9,'Assumptions (Petroleum)'!$V$4*Model!$AG$2231*AVERAGE('Assumptions (Petroleum)'!$AC$2:$AE$2)/10^9),0)</f>
        <v>0</v>
      </c>
      <c r="AM2370" s="105">
        <f>IF($AG$2231&gt;0,IPMT('Assumptions (Petroleum)'!$V$6,Model!AC$1,'Assumptions (Petroleum)'!$V$9,'Assumptions (Petroleum)'!$V$4*Model!$AG$2231*AVERAGE('Assumptions (Petroleum)'!$AC$2:$AE$2)/10^9),0)</f>
        <v>0</v>
      </c>
      <c r="AN2370" s="105">
        <f>IF($AG$2231&gt;0,IPMT('Assumptions (Petroleum)'!$V$6,Model!AD$1,'Assumptions (Petroleum)'!$V$9,'Assumptions (Petroleum)'!$V$4*Model!$AG$2231*AVERAGE('Assumptions (Petroleum)'!$AC$2:$AE$2)/10^9),0)</f>
        <v>0</v>
      </c>
      <c r="AO2370" s="105">
        <f>IF($AG$2231&gt;0,IPMT('Assumptions (Petroleum)'!$V$6,Model!AE$1,'Assumptions (Petroleum)'!$V$9,'Assumptions (Petroleum)'!$V$4*Model!$AG$2231*AVERAGE('Assumptions (Petroleum)'!$AC$2:$AE$2)/10^9),0)</f>
        <v>0</v>
      </c>
      <c r="AP2370" s="105">
        <f>IF($AG$2231&gt;0,IPMT('Assumptions (Petroleum)'!$V$6,Model!AF$1,'Assumptions (Petroleum)'!$V$9,'Assumptions (Petroleum)'!$V$4*Model!$AG$2231*AVERAGE('Assumptions (Petroleum)'!$AC$2:$AE$2)/10^9),0)</f>
        <v>0</v>
      </c>
      <c r="AQ2370" s="105">
        <f>IF($AG$2231&gt;0,IPMT('Assumptions (Petroleum)'!$V$6,Model!AG$1,'Assumptions (Petroleum)'!$V$9,'Assumptions (Petroleum)'!$V$4*Model!$AG$2231*AVERAGE('Assumptions (Petroleum)'!$AC$2:$AE$2)/10^9),0)</f>
        <v>0</v>
      </c>
      <c r="AR2370" s="105">
        <f>IF($AG$2231&gt;0,IPMT('Assumptions (Petroleum)'!$V$6,Model!AH$1,'Assumptions (Petroleum)'!$V$9,'Assumptions (Petroleum)'!$V$4*Model!$AG$2231*AVERAGE('Assumptions (Petroleum)'!$AC$2:$AE$2)/10^9),0)</f>
        <v>0</v>
      </c>
      <c r="AS2370" s="105">
        <f>IF($AG$2231&gt;0,IPMT('Assumptions (Petroleum)'!$V$6,Model!AI$1,'Assumptions (Petroleum)'!$V$9,'Assumptions (Petroleum)'!$V$4*Model!$AG$2231*AVERAGE('Assumptions (Petroleum)'!$AC$2:$AE$2)/10^9),0)</f>
        <v>0</v>
      </c>
      <c r="AT2370" s="105">
        <f>IF($AG$2231&gt;0,IPMT('Assumptions (Petroleum)'!$V$6,Model!AJ$1,'Assumptions (Petroleum)'!$V$9,'Assumptions (Petroleum)'!$V$4*Model!$AG$2231*AVERAGE('Assumptions (Petroleum)'!$AC$2:$AE$2)/10^9),0)</f>
        <v>0</v>
      </c>
      <c r="AU2370" s="105">
        <f>IF($AG$2231&gt;0,IPMT('Assumptions (Petroleum)'!$V$6,Model!AK$1,'Assumptions (Petroleum)'!$V$9,'Assumptions (Petroleum)'!$V$4*Model!$AG$2231*AVERAGE('Assumptions (Petroleum)'!$AC$2:$AE$2)/10^9),0)</f>
        <v>0</v>
      </c>
      <c r="AV2370" s="105">
        <f>IF($AG$2231&gt;0,IPMT('Assumptions (Petroleum)'!$V$6,Model!AL$1,'Assumptions (Petroleum)'!$V$9,'Assumptions (Petroleum)'!$V$4*Model!$AG$2231*AVERAGE('Assumptions (Petroleum)'!$AC$2:$AE$2)/10^9),0)</f>
        <v>0</v>
      </c>
      <c r="AW2370" s="105">
        <f>IF($AG$2231&gt;0,IPMT('Assumptions (Petroleum)'!$V$6,Model!AM$1,'Assumptions (Petroleum)'!$V$9,'Assumptions (Petroleum)'!$V$4*Model!$AG$2231*AVERAGE('Assumptions (Petroleum)'!$AC$2:$AE$2)/10^9),0)</f>
        <v>0</v>
      </c>
      <c r="AX2370" s="105">
        <f>IF($AG$2231&gt;0,IPMT('Assumptions (Petroleum)'!$V$6,Model!AN$1,'Assumptions (Petroleum)'!$V$9,'Assumptions (Petroleum)'!$V$4*Model!$AG$2231*AVERAGE('Assumptions (Petroleum)'!$AC$2:$AE$2)/10^9),0)</f>
        <v>0</v>
      </c>
      <c r="AY2370" s="105">
        <f>IF($AG$2231&gt;0,IPMT('Assumptions (Petroleum)'!$V$6,Model!AO$1,'Assumptions (Petroleum)'!$V$9,'Assumptions (Petroleum)'!$V$4*Model!$AG$2231*AVERAGE('Assumptions (Petroleum)'!$AC$2:$AE$2)/10^9),0)</f>
        <v>0</v>
      </c>
      <c r="AZ2370" s="105">
        <f>IF($AG$2231&gt;0,IPMT('Assumptions (Petroleum)'!$V$6,Model!AP$1,'Assumptions (Petroleum)'!$V$9,'Assumptions (Petroleum)'!$V$4*Model!$AG$2231*AVERAGE('Assumptions (Petroleum)'!$AC$2:$AE$2)/10^9),0)</f>
        <v>0</v>
      </c>
      <c r="BA2370" s="105">
        <f>IF($AG$2231&gt;0,IPMT('Assumptions (Petroleum)'!$V$6,Model!AQ$1,'Assumptions (Petroleum)'!$V$9,'Assumptions (Petroleum)'!$V$4*Model!$AG$2231*AVERAGE('Assumptions (Petroleum)'!$AC$2:$AE$2)/10^9),0)</f>
        <v>0</v>
      </c>
      <c r="BB2370" s="105">
        <f>IF($AG$2231&gt;0,IPMT('Assumptions (Petroleum)'!$V$6,Model!AR$1,'Assumptions (Petroleum)'!$V$9,'Assumptions (Petroleum)'!$V$4*Model!$AG$2231*AVERAGE('Assumptions (Petroleum)'!$AC$2:$AE$2)/10^9),0)</f>
        <v>0</v>
      </c>
      <c r="BC2370" s="105">
        <f>IF($AG$2231&gt;0,IPMT('Assumptions (Petroleum)'!$V$6,Model!AS$1,'Assumptions (Petroleum)'!$V$9,'Assumptions (Petroleum)'!$V$4*Model!$AG$2231*AVERAGE('Assumptions (Petroleum)'!$AC$2:$AE$2)/10^9),0)</f>
        <v>0</v>
      </c>
      <c r="BD2370" s="105">
        <f>IF($AG$2231&gt;0,IPMT('Assumptions (Petroleum)'!$V$6,Model!AT$1,'Assumptions (Petroleum)'!$V$9,'Assumptions (Petroleum)'!$V$4*Model!$AG$2231*AVERAGE('Assumptions (Petroleum)'!$AC$2:$AE$2)/10^9),0)</f>
        <v>0</v>
      </c>
      <c r="BE2370" s="105">
        <f>IF($AG$2231&gt;0,IPMT('Assumptions (Petroleum)'!$V$6,Model!AU$1,'Assumptions (Petroleum)'!$V$9,'Assumptions (Petroleum)'!$V$4*Model!$AG$2231*AVERAGE('Assumptions (Petroleum)'!$AC$2:$AE$2)/10^9),0)</f>
        <v>0</v>
      </c>
    </row>
    <row r="2371" spans="1:68" ht="15.75" hidden="1" customHeight="1" outlineLevel="1">
      <c r="A2371" s="447"/>
      <c r="B2371" s="99"/>
      <c r="C2371" s="99"/>
      <c r="D2371" s="99"/>
      <c r="E2371" s="99"/>
      <c r="F2371" s="99"/>
      <c r="G2371" s="99"/>
      <c r="H2371" s="99"/>
      <c r="I2371" s="99"/>
      <c r="J2371" s="99"/>
      <c r="K2371" s="99"/>
      <c r="L2371" s="99"/>
      <c r="M2371" s="99"/>
      <c r="N2371" s="99"/>
      <c r="O2371" s="99"/>
      <c r="P2371" s="99"/>
      <c r="Q2371" s="99"/>
      <c r="R2371" s="99"/>
      <c r="S2371" s="99"/>
      <c r="T2371" s="99"/>
      <c r="U2371" s="99"/>
      <c r="V2371" s="99"/>
      <c r="W2371" s="105"/>
      <c r="X2371" s="105"/>
      <c r="Y2371" s="105"/>
      <c r="Z2371" s="105"/>
      <c r="AA2371" s="105"/>
      <c r="AB2371" s="105"/>
      <c r="AC2371" s="105"/>
      <c r="AD2371" s="105"/>
      <c r="AE2371" s="105"/>
      <c r="AF2371" s="105"/>
      <c r="AG2371" s="105"/>
      <c r="AH2371" s="105">
        <f>IF($AH$2231&gt;0,IPMT('Assumptions (Petroleum)'!$V$6,Model!W$1,'Assumptions (Petroleum)'!$V$9,'Assumptions (Petroleum)'!$V$4*Model!$AH$2231*AVERAGE('Assumptions (Petroleum)'!$AD$2:$AF$2)/10^9),0)</f>
        <v>0</v>
      </c>
      <c r="AI2371" s="105">
        <f>IF($AH$2231&gt;0,IPMT('Assumptions (Petroleum)'!$V$6,Model!X$1,'Assumptions (Petroleum)'!$V$9,'Assumptions (Petroleum)'!$V$4*Model!$AH$2231*AVERAGE('Assumptions (Petroleum)'!$AD$2:$AF$2)/10^9),0)</f>
        <v>0</v>
      </c>
      <c r="AJ2371" s="105">
        <f>IF($AH$2231&gt;0,IPMT('Assumptions (Petroleum)'!$V$6,Model!Y$1,'Assumptions (Petroleum)'!$V$9,'Assumptions (Petroleum)'!$V$4*Model!$AH$2231*AVERAGE('Assumptions (Petroleum)'!$AD$2:$AF$2)/10^9),0)</f>
        <v>0</v>
      </c>
      <c r="AK2371" s="105">
        <f>IF($AH$2231&gt;0,IPMT('Assumptions (Petroleum)'!$V$6,Model!Z$1,'Assumptions (Petroleum)'!$V$9,'Assumptions (Petroleum)'!$V$4*Model!$AH$2231*AVERAGE('Assumptions (Petroleum)'!$AD$2:$AF$2)/10^9),0)</f>
        <v>0</v>
      </c>
      <c r="AL2371" s="105">
        <f>IF($AH$2231&gt;0,IPMT('Assumptions (Petroleum)'!$V$6,Model!AA$1,'Assumptions (Petroleum)'!$V$9,'Assumptions (Petroleum)'!$V$4*Model!$AH$2231*AVERAGE('Assumptions (Petroleum)'!$AD$2:$AF$2)/10^9),0)</f>
        <v>0</v>
      </c>
      <c r="AM2371" s="105">
        <f>IF($AH$2231&gt;0,IPMT('Assumptions (Petroleum)'!$V$6,Model!AB$1,'Assumptions (Petroleum)'!$V$9,'Assumptions (Petroleum)'!$V$4*Model!$AH$2231*AVERAGE('Assumptions (Petroleum)'!$AD$2:$AF$2)/10^9),0)</f>
        <v>0</v>
      </c>
      <c r="AN2371" s="105">
        <f>IF($AH$2231&gt;0,IPMT('Assumptions (Petroleum)'!$V$6,Model!AC$1,'Assumptions (Petroleum)'!$V$9,'Assumptions (Petroleum)'!$V$4*Model!$AH$2231*AVERAGE('Assumptions (Petroleum)'!$AD$2:$AF$2)/10^9),0)</f>
        <v>0</v>
      </c>
      <c r="AO2371" s="105">
        <f>IF($AH$2231&gt;0,IPMT('Assumptions (Petroleum)'!$V$6,Model!AD$1,'Assumptions (Petroleum)'!$V$9,'Assumptions (Petroleum)'!$V$4*Model!$AH$2231*AVERAGE('Assumptions (Petroleum)'!$AD$2:$AF$2)/10^9),0)</f>
        <v>0</v>
      </c>
      <c r="AP2371" s="105">
        <f>IF($AH$2231&gt;0,IPMT('Assumptions (Petroleum)'!$V$6,Model!AE$1,'Assumptions (Petroleum)'!$V$9,'Assumptions (Petroleum)'!$V$4*Model!$AH$2231*AVERAGE('Assumptions (Petroleum)'!$AD$2:$AF$2)/10^9),0)</f>
        <v>0</v>
      </c>
      <c r="AQ2371" s="105">
        <f>IF($AH$2231&gt;0,IPMT('Assumptions (Petroleum)'!$V$6,Model!AF$1,'Assumptions (Petroleum)'!$V$9,'Assumptions (Petroleum)'!$V$4*Model!$AH$2231*AVERAGE('Assumptions (Petroleum)'!$AD$2:$AF$2)/10^9),0)</f>
        <v>0</v>
      </c>
      <c r="AR2371" s="105">
        <f>IF($AH$2231&gt;0,IPMT('Assumptions (Petroleum)'!$V$6,Model!AG$1,'Assumptions (Petroleum)'!$V$9,'Assumptions (Petroleum)'!$V$4*Model!$AH$2231*AVERAGE('Assumptions (Petroleum)'!$AD$2:$AF$2)/10^9),0)</f>
        <v>0</v>
      </c>
      <c r="AS2371" s="105">
        <f>IF($AH$2231&gt;0,IPMT('Assumptions (Petroleum)'!$V$6,Model!AH$1,'Assumptions (Petroleum)'!$V$9,'Assumptions (Petroleum)'!$V$4*Model!$AH$2231*AVERAGE('Assumptions (Petroleum)'!$AD$2:$AF$2)/10^9),0)</f>
        <v>0</v>
      </c>
      <c r="AT2371" s="105">
        <f>IF($AH$2231&gt;0,IPMT('Assumptions (Petroleum)'!$V$6,Model!AI$1,'Assumptions (Petroleum)'!$V$9,'Assumptions (Petroleum)'!$V$4*Model!$AH$2231*AVERAGE('Assumptions (Petroleum)'!$AD$2:$AF$2)/10^9),0)</f>
        <v>0</v>
      </c>
      <c r="AU2371" s="105">
        <f>IF($AH$2231&gt;0,IPMT('Assumptions (Petroleum)'!$V$6,Model!AJ$1,'Assumptions (Petroleum)'!$V$9,'Assumptions (Petroleum)'!$V$4*Model!$AH$2231*AVERAGE('Assumptions (Petroleum)'!$AD$2:$AF$2)/10^9),0)</f>
        <v>0</v>
      </c>
      <c r="AV2371" s="105">
        <f>IF($AH$2231&gt;0,IPMT('Assumptions (Petroleum)'!$V$6,Model!AK$1,'Assumptions (Petroleum)'!$V$9,'Assumptions (Petroleum)'!$V$4*Model!$AH$2231*AVERAGE('Assumptions (Petroleum)'!$AD$2:$AF$2)/10^9),0)</f>
        <v>0</v>
      </c>
      <c r="AW2371" s="105">
        <f>IF($AH$2231&gt;0,IPMT('Assumptions (Petroleum)'!$V$6,Model!AL$1,'Assumptions (Petroleum)'!$V$9,'Assumptions (Petroleum)'!$V$4*Model!$AH$2231*AVERAGE('Assumptions (Petroleum)'!$AD$2:$AF$2)/10^9),0)</f>
        <v>0</v>
      </c>
      <c r="AX2371" s="105">
        <f>IF($AH$2231&gt;0,IPMT('Assumptions (Petroleum)'!$V$6,Model!AM$1,'Assumptions (Petroleum)'!$V$9,'Assumptions (Petroleum)'!$V$4*Model!$AH$2231*AVERAGE('Assumptions (Petroleum)'!$AD$2:$AF$2)/10^9),0)</f>
        <v>0</v>
      </c>
      <c r="AY2371" s="105">
        <f>IF($AH$2231&gt;0,IPMT('Assumptions (Petroleum)'!$V$6,Model!AN$1,'Assumptions (Petroleum)'!$V$9,'Assumptions (Petroleum)'!$V$4*Model!$AH$2231*AVERAGE('Assumptions (Petroleum)'!$AD$2:$AF$2)/10^9),0)</f>
        <v>0</v>
      </c>
      <c r="AZ2371" s="105">
        <f>IF($AH$2231&gt;0,IPMT('Assumptions (Petroleum)'!$V$6,Model!AO$1,'Assumptions (Petroleum)'!$V$9,'Assumptions (Petroleum)'!$V$4*Model!$AH$2231*AVERAGE('Assumptions (Petroleum)'!$AD$2:$AF$2)/10^9),0)</f>
        <v>0</v>
      </c>
      <c r="BA2371" s="105">
        <f>IF($AH$2231&gt;0,IPMT('Assumptions (Petroleum)'!$V$6,Model!AP$1,'Assumptions (Petroleum)'!$V$9,'Assumptions (Petroleum)'!$V$4*Model!$AH$2231*AVERAGE('Assumptions (Petroleum)'!$AD$2:$AF$2)/10^9),0)</f>
        <v>0</v>
      </c>
      <c r="BB2371" s="105">
        <f>IF($AH$2231&gt;0,IPMT('Assumptions (Petroleum)'!$V$6,Model!AQ$1,'Assumptions (Petroleum)'!$V$9,'Assumptions (Petroleum)'!$V$4*Model!$AH$2231*AVERAGE('Assumptions (Petroleum)'!$AD$2:$AF$2)/10^9),0)</f>
        <v>0</v>
      </c>
      <c r="BC2371" s="105">
        <f>IF($AH$2231&gt;0,IPMT('Assumptions (Petroleum)'!$V$6,Model!AR$1,'Assumptions (Petroleum)'!$V$9,'Assumptions (Petroleum)'!$V$4*Model!$AH$2231*AVERAGE('Assumptions (Petroleum)'!$AD$2:$AF$2)/10^9),0)</f>
        <v>0</v>
      </c>
      <c r="BD2371" s="105">
        <f>IF($AH$2231&gt;0,IPMT('Assumptions (Petroleum)'!$V$6,Model!AS$1,'Assumptions (Petroleum)'!$V$9,'Assumptions (Petroleum)'!$V$4*Model!$AH$2231*AVERAGE('Assumptions (Petroleum)'!$AD$2:$AF$2)/10^9),0)</f>
        <v>0</v>
      </c>
      <c r="BE2371" s="105">
        <f>IF($AH$2231&gt;0,IPMT('Assumptions (Petroleum)'!$V$6,Model!AT$1,'Assumptions (Petroleum)'!$V$9,'Assumptions (Petroleum)'!$V$4*Model!$AH$2231*AVERAGE('Assumptions (Petroleum)'!$AD$2:$AF$2)/10^9),0)</f>
        <v>0</v>
      </c>
      <c r="BF2371" s="105">
        <f>IF($AH$2231&gt;0,IPMT('Assumptions (Petroleum)'!$V$6,Model!AU$1,'Assumptions (Petroleum)'!$V$9,'Assumptions (Petroleum)'!$V$4*Model!$AH$2231*AVERAGE('Assumptions (Petroleum)'!$AD$2:$AF$2)/10^9),0)</f>
        <v>0</v>
      </c>
    </row>
    <row r="2372" spans="1:68" ht="15.75" hidden="1" customHeight="1" outlineLevel="1">
      <c r="A2372" s="447"/>
      <c r="B2372" s="99"/>
      <c r="C2372" s="99"/>
      <c r="D2372" s="99"/>
      <c r="E2372" s="99"/>
      <c r="F2372" s="99"/>
      <c r="G2372" s="99"/>
      <c r="H2372" s="99"/>
      <c r="I2372" s="99"/>
      <c r="J2372" s="99"/>
      <c r="K2372" s="99"/>
      <c r="L2372" s="99"/>
      <c r="M2372" s="99"/>
      <c r="N2372" s="99"/>
      <c r="O2372" s="99"/>
      <c r="P2372" s="99"/>
      <c r="Q2372" s="99"/>
      <c r="R2372" s="99"/>
      <c r="S2372" s="99"/>
      <c r="T2372" s="99"/>
      <c r="U2372" s="99"/>
      <c r="V2372" s="99"/>
      <c r="W2372" s="105"/>
      <c r="X2372" s="105"/>
      <c r="Y2372" s="105"/>
      <c r="Z2372" s="105"/>
      <c r="AA2372" s="105"/>
      <c r="AB2372" s="105"/>
      <c r="AC2372" s="105"/>
      <c r="AD2372" s="105"/>
      <c r="AE2372" s="105"/>
      <c r="AF2372" s="105"/>
      <c r="AG2372" s="105"/>
      <c r="AH2372" s="105"/>
      <c r="AI2372" s="105">
        <f>IF($AI$2231&gt;0,IPMT('Assumptions (Petroleum)'!$V$6,Model!W$1,'Assumptions (Petroleum)'!$V$9,'Assumptions (Petroleum)'!$V$4*Model!$AI$2231*AVERAGE('Assumptions (Petroleum)'!$AE$2:$AG$2)/10^9),0)</f>
        <v>0</v>
      </c>
      <c r="AJ2372" s="105">
        <f>IF($AI$2231&gt;0,IPMT('Assumptions (Petroleum)'!$V$6,Model!X$1,'Assumptions (Petroleum)'!$V$9,'Assumptions (Petroleum)'!$V$4*Model!$AI$2231*AVERAGE('Assumptions (Petroleum)'!$AE$2:$AG$2)/10^9),0)</f>
        <v>0</v>
      </c>
      <c r="AK2372" s="105">
        <f>IF($AI$2231&gt;0,IPMT('Assumptions (Petroleum)'!$V$6,Model!Y$1,'Assumptions (Petroleum)'!$V$9,'Assumptions (Petroleum)'!$V$4*Model!$AI$2231*AVERAGE('Assumptions (Petroleum)'!$AE$2:$AG$2)/10^9),0)</f>
        <v>0</v>
      </c>
      <c r="AL2372" s="105">
        <f>IF($AI$2231&gt;0,IPMT('Assumptions (Petroleum)'!$V$6,Model!Z$1,'Assumptions (Petroleum)'!$V$9,'Assumptions (Petroleum)'!$V$4*Model!$AI$2231*AVERAGE('Assumptions (Petroleum)'!$AE$2:$AG$2)/10^9),0)</f>
        <v>0</v>
      </c>
      <c r="AM2372" s="105">
        <f>IF($AI$2231&gt;0,IPMT('Assumptions (Petroleum)'!$V$6,Model!AA$1,'Assumptions (Petroleum)'!$V$9,'Assumptions (Petroleum)'!$V$4*Model!$AI$2231*AVERAGE('Assumptions (Petroleum)'!$AE$2:$AG$2)/10^9),0)</f>
        <v>0</v>
      </c>
      <c r="AN2372" s="105">
        <f>IF($AI$2231&gt;0,IPMT('Assumptions (Petroleum)'!$V$6,Model!AB$1,'Assumptions (Petroleum)'!$V$9,'Assumptions (Petroleum)'!$V$4*Model!$AI$2231*AVERAGE('Assumptions (Petroleum)'!$AE$2:$AG$2)/10^9),0)</f>
        <v>0</v>
      </c>
      <c r="AO2372" s="105">
        <f>IF($AI$2231&gt;0,IPMT('Assumptions (Petroleum)'!$V$6,Model!AC$1,'Assumptions (Petroleum)'!$V$9,'Assumptions (Petroleum)'!$V$4*Model!$AI$2231*AVERAGE('Assumptions (Petroleum)'!$AE$2:$AG$2)/10^9),0)</f>
        <v>0</v>
      </c>
      <c r="AP2372" s="105">
        <f>IF($AI$2231&gt;0,IPMT('Assumptions (Petroleum)'!$V$6,Model!AD$1,'Assumptions (Petroleum)'!$V$9,'Assumptions (Petroleum)'!$V$4*Model!$AI$2231*AVERAGE('Assumptions (Petroleum)'!$AE$2:$AG$2)/10^9),0)</f>
        <v>0</v>
      </c>
      <c r="AQ2372" s="105">
        <f>IF($AI$2231&gt;0,IPMT('Assumptions (Petroleum)'!$V$6,Model!AE$1,'Assumptions (Petroleum)'!$V$9,'Assumptions (Petroleum)'!$V$4*Model!$AI$2231*AVERAGE('Assumptions (Petroleum)'!$AE$2:$AG$2)/10^9),0)</f>
        <v>0</v>
      </c>
      <c r="AR2372" s="105">
        <f>IF($AI$2231&gt;0,IPMT('Assumptions (Petroleum)'!$V$6,Model!AF$1,'Assumptions (Petroleum)'!$V$9,'Assumptions (Petroleum)'!$V$4*Model!$AI$2231*AVERAGE('Assumptions (Petroleum)'!$AE$2:$AG$2)/10^9),0)</f>
        <v>0</v>
      </c>
      <c r="AS2372" s="105">
        <f>IF($AI$2231&gt;0,IPMT('Assumptions (Petroleum)'!$V$6,Model!AG$1,'Assumptions (Petroleum)'!$V$9,'Assumptions (Petroleum)'!$V$4*Model!$AI$2231*AVERAGE('Assumptions (Petroleum)'!$AE$2:$AG$2)/10^9),0)</f>
        <v>0</v>
      </c>
      <c r="AT2372" s="105">
        <f>IF($AI$2231&gt;0,IPMT('Assumptions (Petroleum)'!$V$6,Model!AH$1,'Assumptions (Petroleum)'!$V$9,'Assumptions (Petroleum)'!$V$4*Model!$AI$2231*AVERAGE('Assumptions (Petroleum)'!$AE$2:$AG$2)/10^9),0)</f>
        <v>0</v>
      </c>
      <c r="AU2372" s="105">
        <f>IF($AI$2231&gt;0,IPMT('Assumptions (Petroleum)'!$V$6,Model!AI$1,'Assumptions (Petroleum)'!$V$9,'Assumptions (Petroleum)'!$V$4*Model!$AI$2231*AVERAGE('Assumptions (Petroleum)'!$AE$2:$AG$2)/10^9),0)</f>
        <v>0</v>
      </c>
      <c r="AV2372" s="105">
        <f>IF($AI$2231&gt;0,IPMT('Assumptions (Petroleum)'!$V$6,Model!AJ$1,'Assumptions (Petroleum)'!$V$9,'Assumptions (Petroleum)'!$V$4*Model!$AI$2231*AVERAGE('Assumptions (Petroleum)'!$AE$2:$AG$2)/10^9),0)</f>
        <v>0</v>
      </c>
      <c r="AW2372" s="105">
        <f>IF($AI$2231&gt;0,IPMT('Assumptions (Petroleum)'!$V$6,Model!AK$1,'Assumptions (Petroleum)'!$V$9,'Assumptions (Petroleum)'!$V$4*Model!$AI$2231*AVERAGE('Assumptions (Petroleum)'!$AE$2:$AG$2)/10^9),0)</f>
        <v>0</v>
      </c>
      <c r="AX2372" s="105">
        <f>IF($AI$2231&gt;0,IPMT('Assumptions (Petroleum)'!$V$6,Model!AL$1,'Assumptions (Petroleum)'!$V$9,'Assumptions (Petroleum)'!$V$4*Model!$AI$2231*AVERAGE('Assumptions (Petroleum)'!$AE$2:$AG$2)/10^9),0)</f>
        <v>0</v>
      </c>
      <c r="AY2372" s="105">
        <f>IF($AI$2231&gt;0,IPMT('Assumptions (Petroleum)'!$V$6,Model!AM$1,'Assumptions (Petroleum)'!$V$9,'Assumptions (Petroleum)'!$V$4*Model!$AI$2231*AVERAGE('Assumptions (Petroleum)'!$AE$2:$AG$2)/10^9),0)</f>
        <v>0</v>
      </c>
      <c r="AZ2372" s="105">
        <f>IF($AI$2231&gt;0,IPMT('Assumptions (Petroleum)'!$V$6,Model!AN$1,'Assumptions (Petroleum)'!$V$9,'Assumptions (Petroleum)'!$V$4*Model!$AI$2231*AVERAGE('Assumptions (Petroleum)'!$AE$2:$AG$2)/10^9),0)</f>
        <v>0</v>
      </c>
      <c r="BA2372" s="105">
        <f>IF($AI$2231&gt;0,IPMT('Assumptions (Petroleum)'!$V$6,Model!AO$1,'Assumptions (Petroleum)'!$V$9,'Assumptions (Petroleum)'!$V$4*Model!$AI$2231*AVERAGE('Assumptions (Petroleum)'!$AE$2:$AG$2)/10^9),0)</f>
        <v>0</v>
      </c>
      <c r="BB2372" s="105">
        <f>IF($AI$2231&gt;0,IPMT('Assumptions (Petroleum)'!$V$6,Model!AP$1,'Assumptions (Petroleum)'!$V$9,'Assumptions (Petroleum)'!$V$4*Model!$AI$2231*AVERAGE('Assumptions (Petroleum)'!$AE$2:$AG$2)/10^9),0)</f>
        <v>0</v>
      </c>
      <c r="BC2372" s="105">
        <f>IF($AI$2231&gt;0,IPMT('Assumptions (Petroleum)'!$V$6,Model!AQ$1,'Assumptions (Petroleum)'!$V$9,'Assumptions (Petroleum)'!$V$4*Model!$AI$2231*AVERAGE('Assumptions (Petroleum)'!$AE$2:$AG$2)/10^9),0)</f>
        <v>0</v>
      </c>
      <c r="BD2372" s="105">
        <f>IF($AI$2231&gt;0,IPMT('Assumptions (Petroleum)'!$V$6,Model!AR$1,'Assumptions (Petroleum)'!$V$9,'Assumptions (Petroleum)'!$V$4*Model!$AI$2231*AVERAGE('Assumptions (Petroleum)'!$AE$2:$AG$2)/10^9),0)</f>
        <v>0</v>
      </c>
      <c r="BE2372" s="105">
        <f>IF($AI$2231&gt;0,IPMT('Assumptions (Petroleum)'!$V$6,Model!AS$1,'Assumptions (Petroleum)'!$V$9,'Assumptions (Petroleum)'!$V$4*Model!$AI$2231*AVERAGE('Assumptions (Petroleum)'!$AE$2:$AG$2)/10^9),0)</f>
        <v>0</v>
      </c>
      <c r="BF2372" s="105">
        <f>IF($AI$2231&gt;0,IPMT('Assumptions (Petroleum)'!$V$6,Model!AT$1,'Assumptions (Petroleum)'!$V$9,'Assumptions (Petroleum)'!$V$4*Model!$AI$2231*AVERAGE('Assumptions (Petroleum)'!$AE$2:$AG$2)/10^9),0)</f>
        <v>0</v>
      </c>
      <c r="BG2372" s="105">
        <f>IF($AI$2231&gt;0,IPMT('Assumptions (Petroleum)'!$V$6,Model!AU$1,'Assumptions (Petroleum)'!$V$9,'Assumptions (Petroleum)'!$V$4*Model!$AI$2231*AVERAGE('Assumptions (Petroleum)'!$AE$2:$AG$2)/10^9),0)</f>
        <v>0</v>
      </c>
    </row>
    <row r="2373" spans="1:68" ht="15.75" hidden="1" customHeight="1" outlineLevel="1">
      <c r="A2373" s="447"/>
      <c r="B2373" s="99"/>
      <c r="C2373" s="99"/>
      <c r="D2373" s="99"/>
      <c r="E2373" s="99"/>
      <c r="F2373" s="99"/>
      <c r="G2373" s="99"/>
      <c r="H2373" s="99"/>
      <c r="I2373" s="99"/>
      <c r="J2373" s="99"/>
      <c r="K2373" s="99"/>
      <c r="L2373" s="99"/>
      <c r="M2373" s="99"/>
      <c r="N2373" s="99"/>
      <c r="O2373" s="99"/>
      <c r="P2373" s="99"/>
      <c r="Q2373" s="99"/>
      <c r="R2373" s="99"/>
      <c r="S2373" s="99"/>
      <c r="T2373" s="99"/>
      <c r="U2373" s="99"/>
      <c r="V2373" s="99"/>
      <c r="W2373" s="105"/>
      <c r="X2373" s="105"/>
      <c r="Y2373" s="105"/>
      <c r="Z2373" s="105"/>
      <c r="AA2373" s="105"/>
      <c r="AB2373" s="105"/>
      <c r="AC2373" s="105"/>
      <c r="AD2373" s="105"/>
      <c r="AE2373" s="105"/>
      <c r="AF2373" s="105"/>
      <c r="AG2373" s="105"/>
      <c r="AH2373" s="105"/>
      <c r="AI2373" s="105"/>
      <c r="AJ2373" s="91">
        <f>IF($AJ$2231&gt;0,IPMT('Assumptions (Petroleum)'!$V$6,Model!W$1,'Assumptions (Petroleum)'!$V$9,'Assumptions (Petroleum)'!$V$4*Model!$AJ$2231*AVERAGE('Assumptions (Petroleum)'!$AF$2:$AH$2)/10^9),0)</f>
        <v>0</v>
      </c>
      <c r="AK2373" s="91">
        <f>IF($AJ$2231&gt;0,IPMT('Assumptions (Petroleum)'!$V$6,Model!X$1,'Assumptions (Petroleum)'!$V$9,'Assumptions (Petroleum)'!$V$4*Model!$AJ$2231*AVERAGE('Assumptions (Petroleum)'!$AF$2:$AH$2)/10^9),0)</f>
        <v>0</v>
      </c>
      <c r="AL2373" s="91">
        <f>IF($AJ$2231&gt;0,IPMT('Assumptions (Petroleum)'!$V$6,Model!Y$1,'Assumptions (Petroleum)'!$V$9,'Assumptions (Petroleum)'!$V$4*Model!$AJ$2231*AVERAGE('Assumptions (Petroleum)'!$AF$2:$AH$2)/10^9),0)</f>
        <v>0</v>
      </c>
      <c r="AM2373" s="91">
        <f>IF($AJ$2231&gt;0,IPMT('Assumptions (Petroleum)'!$V$6,Model!Z$1,'Assumptions (Petroleum)'!$V$9,'Assumptions (Petroleum)'!$V$4*Model!$AJ$2231*AVERAGE('Assumptions (Petroleum)'!$AF$2:$AH$2)/10^9),0)</f>
        <v>0</v>
      </c>
      <c r="AN2373" s="91">
        <f>IF($AJ$2231&gt;0,IPMT('Assumptions (Petroleum)'!$V$6,Model!AA$1,'Assumptions (Petroleum)'!$V$9,'Assumptions (Petroleum)'!$V$4*Model!$AJ$2231*AVERAGE('Assumptions (Petroleum)'!$AF$2:$AH$2)/10^9),0)</f>
        <v>0</v>
      </c>
      <c r="AO2373" s="91">
        <f>IF($AJ$2231&gt;0,IPMT('Assumptions (Petroleum)'!$V$6,Model!AB$1,'Assumptions (Petroleum)'!$V$9,'Assumptions (Petroleum)'!$V$4*Model!$AJ$2231*AVERAGE('Assumptions (Petroleum)'!$AF$2:$AH$2)/10^9),0)</f>
        <v>0</v>
      </c>
      <c r="AP2373" s="91">
        <f>IF($AJ$2231&gt;0,IPMT('Assumptions (Petroleum)'!$V$6,Model!AC$1,'Assumptions (Petroleum)'!$V$9,'Assumptions (Petroleum)'!$V$4*Model!$AJ$2231*AVERAGE('Assumptions (Petroleum)'!$AF$2:$AH$2)/10^9),0)</f>
        <v>0</v>
      </c>
      <c r="AQ2373" s="91">
        <f>IF($AJ$2231&gt;0,IPMT('Assumptions (Petroleum)'!$V$6,Model!AD$1,'Assumptions (Petroleum)'!$V$9,'Assumptions (Petroleum)'!$V$4*Model!$AJ$2231*AVERAGE('Assumptions (Petroleum)'!$AF$2:$AH$2)/10^9),0)</f>
        <v>0</v>
      </c>
      <c r="AR2373" s="91">
        <f>IF($AJ$2231&gt;0,IPMT('Assumptions (Petroleum)'!$V$6,Model!AE$1,'Assumptions (Petroleum)'!$V$9,'Assumptions (Petroleum)'!$V$4*Model!$AJ$2231*AVERAGE('Assumptions (Petroleum)'!$AF$2:$AH$2)/10^9),0)</f>
        <v>0</v>
      </c>
      <c r="AS2373" s="91">
        <f>IF($AJ$2231&gt;0,IPMT('Assumptions (Petroleum)'!$V$6,Model!AF$1,'Assumptions (Petroleum)'!$V$9,'Assumptions (Petroleum)'!$V$4*Model!$AJ$2231*AVERAGE('Assumptions (Petroleum)'!$AF$2:$AH$2)/10^9),0)</f>
        <v>0</v>
      </c>
      <c r="AT2373" s="91">
        <f>IF($AJ$2231&gt;0,IPMT('Assumptions (Petroleum)'!$V$6,Model!AG$1,'Assumptions (Petroleum)'!$V$9,'Assumptions (Petroleum)'!$V$4*Model!$AJ$2231*AVERAGE('Assumptions (Petroleum)'!$AF$2:$AH$2)/10^9),0)</f>
        <v>0</v>
      </c>
      <c r="AU2373" s="91">
        <f>IF($AJ$2231&gt;0,IPMT('Assumptions (Petroleum)'!$V$6,Model!AH$1,'Assumptions (Petroleum)'!$V$9,'Assumptions (Petroleum)'!$V$4*Model!$AJ$2231*AVERAGE('Assumptions (Petroleum)'!$AF$2:$AH$2)/10^9),0)</f>
        <v>0</v>
      </c>
      <c r="AV2373" s="91">
        <f>IF($AJ$2231&gt;0,IPMT('Assumptions (Petroleum)'!$V$6,Model!AI$1,'Assumptions (Petroleum)'!$V$9,'Assumptions (Petroleum)'!$V$4*Model!$AJ$2231*AVERAGE('Assumptions (Petroleum)'!$AF$2:$AH$2)/10^9),0)</f>
        <v>0</v>
      </c>
      <c r="AW2373" s="91">
        <f>IF($AJ$2231&gt;0,IPMT('Assumptions (Petroleum)'!$V$6,Model!AJ$1,'Assumptions (Petroleum)'!$V$9,'Assumptions (Petroleum)'!$V$4*Model!$AJ$2231*AVERAGE('Assumptions (Petroleum)'!$AF$2:$AH$2)/10^9),0)</f>
        <v>0</v>
      </c>
      <c r="AX2373" s="91">
        <f>IF($AJ$2231&gt;0,IPMT('Assumptions (Petroleum)'!$V$6,Model!AK$1,'Assumptions (Petroleum)'!$V$9,'Assumptions (Petroleum)'!$V$4*Model!$AJ$2231*AVERAGE('Assumptions (Petroleum)'!$AF$2:$AH$2)/10^9),0)</f>
        <v>0</v>
      </c>
      <c r="AY2373" s="91">
        <f>IF($AJ$2231&gt;0,IPMT('Assumptions (Petroleum)'!$V$6,Model!AL$1,'Assumptions (Petroleum)'!$V$9,'Assumptions (Petroleum)'!$V$4*Model!$AJ$2231*AVERAGE('Assumptions (Petroleum)'!$AF$2:$AH$2)/10^9),0)</f>
        <v>0</v>
      </c>
      <c r="AZ2373" s="91">
        <f>IF($AJ$2231&gt;0,IPMT('Assumptions (Petroleum)'!$V$6,Model!AM$1,'Assumptions (Petroleum)'!$V$9,'Assumptions (Petroleum)'!$V$4*Model!$AJ$2231*AVERAGE('Assumptions (Petroleum)'!$AF$2:$AH$2)/10^9),0)</f>
        <v>0</v>
      </c>
      <c r="BA2373" s="91">
        <f>IF($AJ$2231&gt;0,IPMT('Assumptions (Petroleum)'!$V$6,Model!AN$1,'Assumptions (Petroleum)'!$V$9,'Assumptions (Petroleum)'!$V$4*Model!$AJ$2231*AVERAGE('Assumptions (Petroleum)'!$AF$2:$AH$2)/10^9),0)</f>
        <v>0</v>
      </c>
      <c r="BB2373" s="91">
        <f>IF($AJ$2231&gt;0,IPMT('Assumptions (Petroleum)'!$V$6,Model!AO$1,'Assumptions (Petroleum)'!$V$9,'Assumptions (Petroleum)'!$V$4*Model!$AJ$2231*AVERAGE('Assumptions (Petroleum)'!$AF$2:$AH$2)/10^9),0)</f>
        <v>0</v>
      </c>
      <c r="BC2373" s="91">
        <f>IF($AJ$2231&gt;0,IPMT('Assumptions (Petroleum)'!$V$6,Model!AP$1,'Assumptions (Petroleum)'!$V$9,'Assumptions (Petroleum)'!$V$4*Model!$AJ$2231*AVERAGE('Assumptions (Petroleum)'!$AF$2:$AH$2)/10^9),0)</f>
        <v>0</v>
      </c>
      <c r="BD2373" s="91">
        <f>IF($AJ$2231&gt;0,IPMT('Assumptions (Petroleum)'!$V$6,Model!AQ$1,'Assumptions (Petroleum)'!$V$9,'Assumptions (Petroleum)'!$V$4*Model!$AJ$2231*AVERAGE('Assumptions (Petroleum)'!$AF$2:$AH$2)/10^9),0)</f>
        <v>0</v>
      </c>
      <c r="BE2373" s="91">
        <f>IF($AJ$2231&gt;0,IPMT('Assumptions (Petroleum)'!$V$6,Model!AR$1,'Assumptions (Petroleum)'!$V$9,'Assumptions (Petroleum)'!$V$4*Model!$AJ$2231*AVERAGE('Assumptions (Petroleum)'!$AF$2:$AH$2)/10^9),0)</f>
        <v>0</v>
      </c>
      <c r="BF2373" s="91">
        <f>IF($AJ$2231&gt;0,IPMT('Assumptions (Petroleum)'!$V$6,Model!AS$1,'Assumptions (Petroleum)'!$V$9,'Assumptions (Petroleum)'!$V$4*Model!$AJ$2231*AVERAGE('Assumptions (Petroleum)'!$AF$2:$AH$2)/10^9),0)</f>
        <v>0</v>
      </c>
      <c r="BG2373" s="91">
        <f>IF($AJ$2231&gt;0,IPMT('Assumptions (Petroleum)'!$V$6,Model!AT$1,'Assumptions (Petroleum)'!$V$9,'Assumptions (Petroleum)'!$V$4*Model!$AJ$2231*AVERAGE('Assumptions (Petroleum)'!$AF$2:$AH$2)/10^9),0)</f>
        <v>0</v>
      </c>
      <c r="BH2373" s="91">
        <f>IF($AJ$2231&gt;0,IPMT('Assumptions (Petroleum)'!$V$6,Model!AU$1,'Assumptions (Petroleum)'!$V$9,'Assumptions (Petroleum)'!$V$4*Model!$AJ$2231*AVERAGE('Assumptions (Petroleum)'!$AF$2:$AH$2)/10^9),0)</f>
        <v>0</v>
      </c>
    </row>
    <row r="2374" spans="1:68" ht="15.75" hidden="1" customHeight="1" outlineLevel="1">
      <c r="A2374" s="447"/>
      <c r="B2374" s="99"/>
      <c r="C2374" s="99"/>
      <c r="D2374" s="99"/>
      <c r="E2374" s="99"/>
      <c r="F2374" s="99"/>
      <c r="G2374" s="99"/>
      <c r="H2374" s="99"/>
      <c r="I2374" s="99"/>
      <c r="J2374" s="99"/>
      <c r="K2374" s="99"/>
      <c r="L2374" s="99"/>
      <c r="M2374" s="99"/>
      <c r="N2374" s="99"/>
      <c r="O2374" s="99"/>
      <c r="P2374" s="99"/>
      <c r="Q2374" s="99"/>
      <c r="R2374" s="99"/>
      <c r="S2374" s="99"/>
      <c r="T2374" s="99"/>
      <c r="U2374" s="99"/>
      <c r="V2374" s="99"/>
      <c r="W2374" s="105"/>
      <c r="X2374" s="105"/>
      <c r="Y2374" s="105"/>
      <c r="Z2374" s="105"/>
      <c r="AA2374" s="105"/>
      <c r="AB2374" s="105"/>
      <c r="AC2374" s="105"/>
      <c r="AD2374" s="105"/>
      <c r="AE2374" s="105"/>
      <c r="AF2374" s="105"/>
      <c r="AG2374" s="105"/>
      <c r="AH2374" s="105"/>
      <c r="AI2374" s="105"/>
      <c r="AJ2374" s="171"/>
      <c r="AK2374" s="105">
        <f>IF($AK$2231&gt;0,IPMT('Assumptions (Petroleum)'!$V$6,Model!W$1,'Assumptions (Petroleum)'!$V$9,'Assumptions (Petroleum)'!$V$4*Model!$AK$2231*AVERAGE('Assumptions (Petroleum)'!$AG$2:$AI$2)/10^9),0)</f>
        <v>0</v>
      </c>
      <c r="AL2374" s="105">
        <f>IF($AK$2231&gt;0,IPMT('Assumptions (Petroleum)'!$V$6,Model!X$1,'Assumptions (Petroleum)'!$V$9,'Assumptions (Petroleum)'!$V$4*Model!$AK$2231*AVERAGE('Assumptions (Petroleum)'!$AG$2:$AI$2)/10^9),0)</f>
        <v>0</v>
      </c>
      <c r="AM2374" s="105">
        <f>IF($AK$2231&gt;0,IPMT('Assumptions (Petroleum)'!$V$6,Model!Y$1,'Assumptions (Petroleum)'!$V$9,'Assumptions (Petroleum)'!$V$4*Model!$AK$2231*AVERAGE('Assumptions (Petroleum)'!$AG$2:$AI$2)/10^9),0)</f>
        <v>0</v>
      </c>
      <c r="AN2374" s="105">
        <f>IF($AK$2231&gt;0,IPMT('Assumptions (Petroleum)'!$V$6,Model!Z$1,'Assumptions (Petroleum)'!$V$9,'Assumptions (Petroleum)'!$V$4*Model!$AK$2231*AVERAGE('Assumptions (Petroleum)'!$AG$2:$AI$2)/10^9),0)</f>
        <v>0</v>
      </c>
      <c r="AO2374" s="105">
        <f>IF($AK$2231&gt;0,IPMT('Assumptions (Petroleum)'!$V$6,Model!AA$1,'Assumptions (Petroleum)'!$V$9,'Assumptions (Petroleum)'!$V$4*Model!$AK$2231*AVERAGE('Assumptions (Petroleum)'!$AG$2:$AI$2)/10^9),0)</f>
        <v>0</v>
      </c>
      <c r="AP2374" s="105">
        <f>IF($AK$2231&gt;0,IPMT('Assumptions (Petroleum)'!$V$6,Model!AB$1,'Assumptions (Petroleum)'!$V$9,'Assumptions (Petroleum)'!$V$4*Model!$AK$2231*AVERAGE('Assumptions (Petroleum)'!$AG$2:$AI$2)/10^9),0)</f>
        <v>0</v>
      </c>
      <c r="AQ2374" s="105">
        <f>IF($AK$2231&gt;0,IPMT('Assumptions (Petroleum)'!$V$6,Model!AC$1,'Assumptions (Petroleum)'!$V$9,'Assumptions (Petroleum)'!$V$4*Model!$AK$2231*AVERAGE('Assumptions (Petroleum)'!$AG$2:$AI$2)/10^9),0)</f>
        <v>0</v>
      </c>
      <c r="AR2374" s="105">
        <f>IF($AK$2231&gt;0,IPMT('Assumptions (Petroleum)'!$V$6,Model!AD$1,'Assumptions (Petroleum)'!$V$9,'Assumptions (Petroleum)'!$V$4*Model!$AK$2231*AVERAGE('Assumptions (Petroleum)'!$AG$2:$AI$2)/10^9),0)</f>
        <v>0</v>
      </c>
      <c r="AS2374" s="105">
        <f>IF($AK$2231&gt;0,IPMT('Assumptions (Petroleum)'!$V$6,Model!AE$1,'Assumptions (Petroleum)'!$V$9,'Assumptions (Petroleum)'!$V$4*Model!$AK$2231*AVERAGE('Assumptions (Petroleum)'!$AG$2:$AI$2)/10^9),0)</f>
        <v>0</v>
      </c>
      <c r="AT2374" s="105">
        <f>IF($AK$2231&gt;0,IPMT('Assumptions (Petroleum)'!$V$6,Model!AF$1,'Assumptions (Petroleum)'!$V$9,'Assumptions (Petroleum)'!$V$4*Model!$AK$2231*AVERAGE('Assumptions (Petroleum)'!$AG$2:$AI$2)/10^9),0)</f>
        <v>0</v>
      </c>
      <c r="AU2374" s="105">
        <f>IF($AK$2231&gt;0,IPMT('Assumptions (Petroleum)'!$V$6,Model!AG$1,'Assumptions (Petroleum)'!$V$9,'Assumptions (Petroleum)'!$V$4*Model!$AK$2231*AVERAGE('Assumptions (Petroleum)'!$AG$2:$AI$2)/10^9),0)</f>
        <v>0</v>
      </c>
      <c r="AV2374" s="105">
        <f>IF($AK$2231&gt;0,IPMT('Assumptions (Petroleum)'!$V$6,Model!AH$1,'Assumptions (Petroleum)'!$V$9,'Assumptions (Petroleum)'!$V$4*Model!$AK$2231*AVERAGE('Assumptions (Petroleum)'!$AG$2:$AI$2)/10^9),0)</f>
        <v>0</v>
      </c>
      <c r="AW2374" s="105">
        <f>IF($AK$2231&gt;0,IPMT('Assumptions (Petroleum)'!$V$6,Model!AI$1,'Assumptions (Petroleum)'!$V$9,'Assumptions (Petroleum)'!$V$4*Model!$AK$2231*AVERAGE('Assumptions (Petroleum)'!$AG$2:$AI$2)/10^9),0)</f>
        <v>0</v>
      </c>
      <c r="AX2374" s="105">
        <f>IF($AK$2231&gt;0,IPMT('Assumptions (Petroleum)'!$V$6,Model!AJ$1,'Assumptions (Petroleum)'!$V$9,'Assumptions (Petroleum)'!$V$4*Model!$AK$2231*AVERAGE('Assumptions (Petroleum)'!$AG$2:$AI$2)/10^9),0)</f>
        <v>0</v>
      </c>
      <c r="AY2374" s="105">
        <f>IF($AK$2231&gt;0,IPMT('Assumptions (Petroleum)'!$V$6,Model!AK$1,'Assumptions (Petroleum)'!$V$9,'Assumptions (Petroleum)'!$V$4*Model!$AK$2231*AVERAGE('Assumptions (Petroleum)'!$AG$2:$AI$2)/10^9),0)</f>
        <v>0</v>
      </c>
      <c r="AZ2374" s="105">
        <f>IF($AK$2231&gt;0,IPMT('Assumptions (Petroleum)'!$V$6,Model!AL$1,'Assumptions (Petroleum)'!$V$9,'Assumptions (Petroleum)'!$V$4*Model!$AK$2231*AVERAGE('Assumptions (Petroleum)'!$AG$2:$AI$2)/10^9),0)</f>
        <v>0</v>
      </c>
      <c r="BA2374" s="105">
        <f>IF($AK$2231&gt;0,IPMT('Assumptions (Petroleum)'!$V$6,Model!AM$1,'Assumptions (Petroleum)'!$V$9,'Assumptions (Petroleum)'!$V$4*Model!$AK$2231*AVERAGE('Assumptions (Petroleum)'!$AG$2:$AI$2)/10^9),0)</f>
        <v>0</v>
      </c>
      <c r="BB2374" s="105">
        <f>IF($AK$2231&gt;0,IPMT('Assumptions (Petroleum)'!$V$6,Model!AN$1,'Assumptions (Petroleum)'!$V$9,'Assumptions (Petroleum)'!$V$4*Model!$AK$2231*AVERAGE('Assumptions (Petroleum)'!$AG$2:$AI$2)/10^9),0)</f>
        <v>0</v>
      </c>
      <c r="BC2374" s="105">
        <f>IF($AK$2231&gt;0,IPMT('Assumptions (Petroleum)'!$V$6,Model!AO$1,'Assumptions (Petroleum)'!$V$9,'Assumptions (Petroleum)'!$V$4*Model!$AK$2231*AVERAGE('Assumptions (Petroleum)'!$AG$2:$AI$2)/10^9),0)</f>
        <v>0</v>
      </c>
      <c r="BD2374" s="105">
        <f>IF($AK$2231&gt;0,IPMT('Assumptions (Petroleum)'!$V$6,Model!AP$1,'Assumptions (Petroleum)'!$V$9,'Assumptions (Petroleum)'!$V$4*Model!$AK$2231*AVERAGE('Assumptions (Petroleum)'!$AG$2:$AI$2)/10^9),0)</f>
        <v>0</v>
      </c>
      <c r="BE2374" s="105">
        <f>IF($AK$2231&gt;0,IPMT('Assumptions (Petroleum)'!$V$6,Model!AQ$1,'Assumptions (Petroleum)'!$V$9,'Assumptions (Petroleum)'!$V$4*Model!$AK$2231*AVERAGE('Assumptions (Petroleum)'!$AG$2:$AI$2)/10^9),0)</f>
        <v>0</v>
      </c>
      <c r="BF2374" s="105">
        <f>IF($AK$2231&gt;0,IPMT('Assumptions (Petroleum)'!$V$6,Model!AR$1,'Assumptions (Petroleum)'!$V$9,'Assumptions (Petroleum)'!$V$4*Model!$AK$2231*AVERAGE('Assumptions (Petroleum)'!$AG$2:$AI$2)/10^9),0)</f>
        <v>0</v>
      </c>
      <c r="BG2374" s="105">
        <f>IF($AK$2231&gt;0,IPMT('Assumptions (Petroleum)'!$V$6,Model!AS$1,'Assumptions (Petroleum)'!$V$9,'Assumptions (Petroleum)'!$V$4*Model!$AK$2231*AVERAGE('Assumptions (Petroleum)'!$AG$2:$AI$2)/10^9),0)</f>
        <v>0</v>
      </c>
      <c r="BH2374" s="105">
        <f>IF($AK$2231&gt;0,IPMT('Assumptions (Petroleum)'!$V$6,Model!AT$1,'Assumptions (Petroleum)'!$V$9,'Assumptions (Petroleum)'!$V$4*Model!$AK$2231*AVERAGE('Assumptions (Petroleum)'!$AG$2:$AI$2)/10^9),0)</f>
        <v>0</v>
      </c>
      <c r="BI2374" s="105">
        <f>IF($AK$2231&gt;0,IPMT('Assumptions (Petroleum)'!$V$6,Model!AU$1,'Assumptions (Petroleum)'!$V$9,'Assumptions (Petroleum)'!$V$4*Model!$AK$2231*AVERAGE('Assumptions (Petroleum)'!$AG$2:$AI$2)/10^9),0)</f>
        <v>0</v>
      </c>
    </row>
    <row r="2375" spans="1:68" ht="15.75" hidden="1" customHeight="1" outlineLevel="1">
      <c r="A2375" s="447"/>
      <c r="B2375" s="99"/>
      <c r="C2375" s="99"/>
      <c r="D2375" s="99"/>
      <c r="E2375" s="99"/>
      <c r="F2375" s="99"/>
      <c r="G2375" s="99"/>
      <c r="H2375" s="99"/>
      <c r="I2375" s="99"/>
      <c r="J2375" s="99"/>
      <c r="K2375" s="99"/>
      <c r="L2375" s="99"/>
      <c r="M2375" s="99"/>
      <c r="N2375" s="99"/>
      <c r="O2375" s="99"/>
      <c r="P2375" s="99"/>
      <c r="Q2375" s="99"/>
      <c r="R2375" s="99"/>
      <c r="S2375" s="99"/>
      <c r="T2375" s="99"/>
      <c r="U2375" s="99"/>
      <c r="V2375" s="99"/>
      <c r="W2375" s="105"/>
      <c r="X2375" s="105"/>
      <c r="Y2375" s="105"/>
      <c r="Z2375" s="105"/>
      <c r="AA2375" s="105"/>
      <c r="AB2375" s="105"/>
      <c r="AC2375" s="105"/>
      <c r="AD2375" s="105"/>
      <c r="AE2375" s="105"/>
      <c r="AF2375" s="105"/>
      <c r="AG2375" s="105"/>
      <c r="AH2375" s="105"/>
      <c r="AI2375" s="105"/>
      <c r="AJ2375" s="171"/>
      <c r="AK2375" s="105"/>
      <c r="AL2375" s="91">
        <f>IF($AL$2231&gt;0,IPMT('Assumptions (Petroleum)'!$V$6,Model!W$1,'Assumptions (Petroleum)'!$V$9,'Assumptions (Petroleum)'!$V$4*Model!$AL$2231*AVERAGE('Assumptions (Petroleum)'!$AH$2:$AJ$2)/10^9),0)</f>
        <v>0</v>
      </c>
      <c r="AM2375" s="91">
        <f>IF($AL$2231&gt;0,IPMT('Assumptions (Petroleum)'!$V$6,Model!X$1,'Assumptions (Petroleum)'!$V$9,'Assumptions (Petroleum)'!$V$4*Model!$AL$2231*AVERAGE('Assumptions (Petroleum)'!$AH$2:$AJ$2)/10^9),0)</f>
        <v>0</v>
      </c>
      <c r="AN2375" s="91">
        <f>IF($AL$2231&gt;0,IPMT('Assumptions (Petroleum)'!$V$6,Model!Y$1,'Assumptions (Petroleum)'!$V$9,'Assumptions (Petroleum)'!$V$4*Model!$AL$2231*AVERAGE('Assumptions (Petroleum)'!$AH$2:$AJ$2)/10^9),0)</f>
        <v>0</v>
      </c>
      <c r="AO2375" s="91">
        <f>IF($AL$2231&gt;0,IPMT('Assumptions (Petroleum)'!$V$6,Model!Z$1,'Assumptions (Petroleum)'!$V$9,'Assumptions (Petroleum)'!$V$4*Model!$AL$2231*AVERAGE('Assumptions (Petroleum)'!$AH$2:$AJ$2)/10^9),0)</f>
        <v>0</v>
      </c>
      <c r="AP2375" s="91">
        <f>IF($AL$2231&gt;0,IPMT('Assumptions (Petroleum)'!$V$6,Model!AA$1,'Assumptions (Petroleum)'!$V$9,'Assumptions (Petroleum)'!$V$4*Model!$AL$2231*AVERAGE('Assumptions (Petroleum)'!$AH$2:$AJ$2)/10^9),0)</f>
        <v>0</v>
      </c>
      <c r="AQ2375" s="91">
        <f>IF($AL$2231&gt;0,IPMT('Assumptions (Petroleum)'!$V$6,Model!AB$1,'Assumptions (Petroleum)'!$V$9,'Assumptions (Petroleum)'!$V$4*Model!$AL$2231*AVERAGE('Assumptions (Petroleum)'!$AH$2:$AJ$2)/10^9),0)</f>
        <v>0</v>
      </c>
      <c r="AR2375" s="91">
        <f>IF($AL$2231&gt;0,IPMT('Assumptions (Petroleum)'!$V$6,Model!AC$1,'Assumptions (Petroleum)'!$V$9,'Assumptions (Petroleum)'!$V$4*Model!$AL$2231*AVERAGE('Assumptions (Petroleum)'!$AH$2:$AJ$2)/10^9),0)</f>
        <v>0</v>
      </c>
      <c r="AS2375" s="91">
        <f>IF($AL$2231&gt;0,IPMT('Assumptions (Petroleum)'!$V$6,Model!AD$1,'Assumptions (Petroleum)'!$V$9,'Assumptions (Petroleum)'!$V$4*Model!$AL$2231*AVERAGE('Assumptions (Petroleum)'!$AH$2:$AJ$2)/10^9),0)</f>
        <v>0</v>
      </c>
      <c r="AT2375" s="91">
        <f>IF($AL$2231&gt;0,IPMT('Assumptions (Petroleum)'!$V$6,Model!AE$1,'Assumptions (Petroleum)'!$V$9,'Assumptions (Petroleum)'!$V$4*Model!$AL$2231*AVERAGE('Assumptions (Petroleum)'!$AH$2:$AJ$2)/10^9),0)</f>
        <v>0</v>
      </c>
      <c r="AU2375" s="91">
        <f>IF($AL$2231&gt;0,IPMT('Assumptions (Petroleum)'!$V$6,Model!AF$1,'Assumptions (Petroleum)'!$V$9,'Assumptions (Petroleum)'!$V$4*Model!$AL$2231*AVERAGE('Assumptions (Petroleum)'!$AH$2:$AJ$2)/10^9),0)</f>
        <v>0</v>
      </c>
      <c r="AV2375" s="91">
        <f>IF($AL$2231&gt;0,IPMT('Assumptions (Petroleum)'!$V$6,Model!AG$1,'Assumptions (Petroleum)'!$V$9,'Assumptions (Petroleum)'!$V$4*Model!$AL$2231*AVERAGE('Assumptions (Petroleum)'!$AH$2:$AJ$2)/10^9),0)</f>
        <v>0</v>
      </c>
      <c r="AW2375" s="91">
        <f>IF($AL$2231&gt;0,IPMT('Assumptions (Petroleum)'!$V$6,Model!AH$1,'Assumptions (Petroleum)'!$V$9,'Assumptions (Petroleum)'!$V$4*Model!$AL$2231*AVERAGE('Assumptions (Petroleum)'!$AH$2:$AJ$2)/10^9),0)</f>
        <v>0</v>
      </c>
      <c r="AX2375" s="91">
        <f>IF($AL$2231&gt;0,IPMT('Assumptions (Petroleum)'!$V$6,Model!AI$1,'Assumptions (Petroleum)'!$V$9,'Assumptions (Petroleum)'!$V$4*Model!$AL$2231*AVERAGE('Assumptions (Petroleum)'!$AH$2:$AJ$2)/10^9),0)</f>
        <v>0</v>
      </c>
      <c r="AY2375" s="91">
        <f>IF($AL$2231&gt;0,IPMT('Assumptions (Petroleum)'!$V$6,Model!AJ$1,'Assumptions (Petroleum)'!$V$9,'Assumptions (Petroleum)'!$V$4*Model!$AL$2231*AVERAGE('Assumptions (Petroleum)'!$AH$2:$AJ$2)/10^9),0)</f>
        <v>0</v>
      </c>
      <c r="AZ2375" s="91">
        <f>IF($AL$2231&gt;0,IPMT('Assumptions (Petroleum)'!$V$6,Model!AK$1,'Assumptions (Petroleum)'!$V$9,'Assumptions (Petroleum)'!$V$4*Model!$AL$2231*AVERAGE('Assumptions (Petroleum)'!$AH$2:$AJ$2)/10^9),0)</f>
        <v>0</v>
      </c>
      <c r="BA2375" s="91">
        <f>IF($AL$2231&gt;0,IPMT('Assumptions (Petroleum)'!$V$6,Model!AL$1,'Assumptions (Petroleum)'!$V$9,'Assumptions (Petroleum)'!$V$4*Model!$AL$2231*AVERAGE('Assumptions (Petroleum)'!$AH$2:$AJ$2)/10^9),0)</f>
        <v>0</v>
      </c>
      <c r="BB2375" s="91">
        <f>IF($AL$2231&gt;0,IPMT('Assumptions (Petroleum)'!$V$6,Model!AM$1,'Assumptions (Petroleum)'!$V$9,'Assumptions (Petroleum)'!$V$4*Model!$AL$2231*AVERAGE('Assumptions (Petroleum)'!$AH$2:$AJ$2)/10^9),0)</f>
        <v>0</v>
      </c>
      <c r="BC2375" s="91">
        <f>IF($AL$2231&gt;0,IPMT('Assumptions (Petroleum)'!$V$6,Model!AN$1,'Assumptions (Petroleum)'!$V$9,'Assumptions (Petroleum)'!$V$4*Model!$AL$2231*AVERAGE('Assumptions (Petroleum)'!$AH$2:$AJ$2)/10^9),0)</f>
        <v>0</v>
      </c>
      <c r="BD2375" s="91">
        <f>IF($AL$2231&gt;0,IPMT('Assumptions (Petroleum)'!$V$6,Model!AO$1,'Assumptions (Petroleum)'!$V$9,'Assumptions (Petroleum)'!$V$4*Model!$AL$2231*AVERAGE('Assumptions (Petroleum)'!$AH$2:$AJ$2)/10^9),0)</f>
        <v>0</v>
      </c>
      <c r="BE2375" s="91">
        <f>IF($AL$2231&gt;0,IPMT('Assumptions (Petroleum)'!$V$6,Model!AP$1,'Assumptions (Petroleum)'!$V$9,'Assumptions (Petroleum)'!$V$4*Model!$AL$2231*AVERAGE('Assumptions (Petroleum)'!$AH$2:$AJ$2)/10^9),0)</f>
        <v>0</v>
      </c>
      <c r="BF2375" s="91">
        <f>IF($AL$2231&gt;0,IPMT('Assumptions (Petroleum)'!$V$6,Model!AQ$1,'Assumptions (Petroleum)'!$V$9,'Assumptions (Petroleum)'!$V$4*Model!$AL$2231*AVERAGE('Assumptions (Petroleum)'!$AH$2:$AJ$2)/10^9),0)</f>
        <v>0</v>
      </c>
      <c r="BG2375" s="91">
        <f>IF($AL$2231&gt;0,IPMT('Assumptions (Petroleum)'!$V$6,Model!AR$1,'Assumptions (Petroleum)'!$V$9,'Assumptions (Petroleum)'!$V$4*Model!$AL$2231*AVERAGE('Assumptions (Petroleum)'!$AH$2:$AJ$2)/10^9),0)</f>
        <v>0</v>
      </c>
      <c r="BH2375" s="91">
        <f>IF($AL$2231&gt;0,IPMT('Assumptions (Petroleum)'!$V$6,Model!AS$1,'Assumptions (Petroleum)'!$V$9,'Assumptions (Petroleum)'!$V$4*Model!$AL$2231*AVERAGE('Assumptions (Petroleum)'!$AH$2:$AJ$2)/10^9),0)</f>
        <v>0</v>
      </c>
      <c r="BI2375" s="91">
        <f>IF($AL$2231&gt;0,IPMT('Assumptions (Petroleum)'!$V$6,Model!AT$1,'Assumptions (Petroleum)'!$V$9,'Assumptions (Petroleum)'!$V$4*Model!$AL$2231*AVERAGE('Assumptions (Petroleum)'!$AH$2:$AJ$2)/10^9),0)</f>
        <v>0</v>
      </c>
      <c r="BJ2375" s="91">
        <f>IF($AL$2231&gt;0,IPMT('Assumptions (Petroleum)'!$V$6,Model!AU$1,'Assumptions (Petroleum)'!$V$9,'Assumptions (Petroleum)'!$V$4*Model!$AL$2231*AVERAGE('Assumptions (Petroleum)'!$AH$2:$AJ$2)/10^9),0)</f>
        <v>0</v>
      </c>
    </row>
    <row r="2376" spans="1:68" ht="15.75" hidden="1" customHeight="1" outlineLevel="1">
      <c r="A2376" s="447"/>
      <c r="B2376" s="99"/>
      <c r="C2376" s="99"/>
      <c r="D2376" s="99"/>
      <c r="E2376" s="99"/>
      <c r="F2376" s="99"/>
      <c r="G2376" s="99"/>
      <c r="H2376" s="99"/>
      <c r="I2376" s="99"/>
      <c r="J2376" s="99"/>
      <c r="K2376" s="99"/>
      <c r="L2376" s="99"/>
      <c r="M2376" s="99"/>
      <c r="N2376" s="99"/>
      <c r="O2376" s="99"/>
      <c r="P2376" s="99"/>
      <c r="Q2376" s="99"/>
      <c r="R2376" s="99"/>
      <c r="S2376" s="99"/>
      <c r="T2376" s="99"/>
      <c r="U2376" s="99"/>
      <c r="V2376" s="99"/>
      <c r="W2376" s="105"/>
      <c r="X2376" s="105"/>
      <c r="Y2376" s="105"/>
      <c r="Z2376" s="105"/>
      <c r="AA2376" s="105"/>
      <c r="AB2376" s="105"/>
      <c r="AC2376" s="105"/>
      <c r="AD2376" s="105"/>
      <c r="AE2376" s="105"/>
      <c r="AF2376" s="105"/>
      <c r="AG2376" s="105"/>
      <c r="AH2376" s="105"/>
      <c r="AI2376" s="105"/>
      <c r="AJ2376" s="171"/>
      <c r="AK2376" s="105"/>
      <c r="AL2376" s="91"/>
      <c r="AM2376" s="105">
        <f>IF($AM$2231&gt;0,IPMT('Assumptions (Petroleum)'!$V$6,Model!W$1,'Assumptions (Petroleum)'!$V$9,'Assumptions (Petroleum)'!$V$4*Model!$AM$2231*AVERAGE('Assumptions (Petroleum)'!$AI$2:$AK$2)/10^9),0)</f>
        <v>0</v>
      </c>
      <c r="AN2376" s="105">
        <f>IF($AM$2231&gt;0,IPMT('Assumptions (Petroleum)'!$V$6,Model!X$1,'Assumptions (Petroleum)'!$V$9,'Assumptions (Petroleum)'!$V$4*Model!$AM$2231*AVERAGE('Assumptions (Petroleum)'!$AI$2:$AK$2)/10^9),0)</f>
        <v>0</v>
      </c>
      <c r="AO2376" s="105">
        <f>IF($AM$2231&gt;0,IPMT('Assumptions (Petroleum)'!$V$6,Model!Y$1,'Assumptions (Petroleum)'!$V$9,'Assumptions (Petroleum)'!$V$4*Model!$AM$2231*AVERAGE('Assumptions (Petroleum)'!$AI$2:$AK$2)/10^9),0)</f>
        <v>0</v>
      </c>
      <c r="AP2376" s="105">
        <f>IF($AM$2231&gt;0,IPMT('Assumptions (Petroleum)'!$V$6,Model!Z$1,'Assumptions (Petroleum)'!$V$9,'Assumptions (Petroleum)'!$V$4*Model!$AM$2231*AVERAGE('Assumptions (Petroleum)'!$AI$2:$AK$2)/10^9),0)</f>
        <v>0</v>
      </c>
      <c r="AQ2376" s="105">
        <f>IF($AM$2231&gt;0,IPMT('Assumptions (Petroleum)'!$V$6,Model!AA$1,'Assumptions (Petroleum)'!$V$9,'Assumptions (Petroleum)'!$V$4*Model!$AM$2231*AVERAGE('Assumptions (Petroleum)'!$AI$2:$AK$2)/10^9),0)</f>
        <v>0</v>
      </c>
      <c r="AR2376" s="105">
        <f>IF($AM$2231&gt;0,IPMT('Assumptions (Petroleum)'!$V$6,Model!AB$1,'Assumptions (Petroleum)'!$V$9,'Assumptions (Petroleum)'!$V$4*Model!$AM$2231*AVERAGE('Assumptions (Petroleum)'!$AI$2:$AK$2)/10^9),0)</f>
        <v>0</v>
      </c>
      <c r="AS2376" s="105">
        <f>IF($AM$2231&gt;0,IPMT('Assumptions (Petroleum)'!$V$6,Model!AC$1,'Assumptions (Petroleum)'!$V$9,'Assumptions (Petroleum)'!$V$4*Model!$AM$2231*AVERAGE('Assumptions (Petroleum)'!$AI$2:$AK$2)/10^9),0)</f>
        <v>0</v>
      </c>
      <c r="AT2376" s="105">
        <f>IF($AM$2231&gt;0,IPMT('Assumptions (Petroleum)'!$V$6,Model!AD$1,'Assumptions (Petroleum)'!$V$9,'Assumptions (Petroleum)'!$V$4*Model!$AM$2231*AVERAGE('Assumptions (Petroleum)'!$AI$2:$AK$2)/10^9),0)</f>
        <v>0</v>
      </c>
      <c r="AU2376" s="105">
        <f>IF($AM$2231&gt;0,IPMT('Assumptions (Petroleum)'!$V$6,Model!AE$1,'Assumptions (Petroleum)'!$V$9,'Assumptions (Petroleum)'!$V$4*Model!$AM$2231*AVERAGE('Assumptions (Petroleum)'!$AI$2:$AK$2)/10^9),0)</f>
        <v>0</v>
      </c>
      <c r="AV2376" s="105">
        <f>IF($AM$2231&gt;0,IPMT('Assumptions (Petroleum)'!$V$6,Model!AF$1,'Assumptions (Petroleum)'!$V$9,'Assumptions (Petroleum)'!$V$4*Model!$AM$2231*AVERAGE('Assumptions (Petroleum)'!$AI$2:$AK$2)/10^9),0)</f>
        <v>0</v>
      </c>
      <c r="AW2376" s="105">
        <f>IF($AM$2231&gt;0,IPMT('Assumptions (Petroleum)'!$V$6,Model!AG$1,'Assumptions (Petroleum)'!$V$9,'Assumptions (Petroleum)'!$V$4*Model!$AM$2231*AVERAGE('Assumptions (Petroleum)'!$AI$2:$AK$2)/10^9),0)</f>
        <v>0</v>
      </c>
      <c r="AX2376" s="105">
        <f>IF($AM$2231&gt;0,IPMT('Assumptions (Petroleum)'!$V$6,Model!AH$1,'Assumptions (Petroleum)'!$V$9,'Assumptions (Petroleum)'!$V$4*Model!$AM$2231*AVERAGE('Assumptions (Petroleum)'!$AI$2:$AK$2)/10^9),0)</f>
        <v>0</v>
      </c>
      <c r="AY2376" s="105">
        <f>IF($AM$2231&gt;0,IPMT('Assumptions (Petroleum)'!$V$6,Model!AI$1,'Assumptions (Petroleum)'!$V$9,'Assumptions (Petroleum)'!$V$4*Model!$AM$2231*AVERAGE('Assumptions (Petroleum)'!$AI$2:$AK$2)/10^9),0)</f>
        <v>0</v>
      </c>
      <c r="AZ2376" s="105">
        <f>IF($AM$2231&gt;0,IPMT('Assumptions (Petroleum)'!$V$6,Model!AJ$1,'Assumptions (Petroleum)'!$V$9,'Assumptions (Petroleum)'!$V$4*Model!$AM$2231*AVERAGE('Assumptions (Petroleum)'!$AI$2:$AK$2)/10^9),0)</f>
        <v>0</v>
      </c>
      <c r="BA2376" s="105">
        <f>IF($AM$2231&gt;0,IPMT('Assumptions (Petroleum)'!$V$6,Model!AK$1,'Assumptions (Petroleum)'!$V$9,'Assumptions (Petroleum)'!$V$4*Model!$AM$2231*AVERAGE('Assumptions (Petroleum)'!$AI$2:$AK$2)/10^9),0)</f>
        <v>0</v>
      </c>
      <c r="BB2376" s="105">
        <f>IF($AM$2231&gt;0,IPMT('Assumptions (Petroleum)'!$V$6,Model!AL$1,'Assumptions (Petroleum)'!$V$9,'Assumptions (Petroleum)'!$V$4*Model!$AM$2231*AVERAGE('Assumptions (Petroleum)'!$AI$2:$AK$2)/10^9),0)</f>
        <v>0</v>
      </c>
      <c r="BC2376" s="105">
        <f>IF($AM$2231&gt;0,IPMT('Assumptions (Petroleum)'!$V$6,Model!AM$1,'Assumptions (Petroleum)'!$V$9,'Assumptions (Petroleum)'!$V$4*Model!$AM$2231*AVERAGE('Assumptions (Petroleum)'!$AI$2:$AK$2)/10^9),0)</f>
        <v>0</v>
      </c>
      <c r="BD2376" s="105">
        <f>IF($AM$2231&gt;0,IPMT('Assumptions (Petroleum)'!$V$6,Model!AN$1,'Assumptions (Petroleum)'!$V$9,'Assumptions (Petroleum)'!$V$4*Model!$AM$2231*AVERAGE('Assumptions (Petroleum)'!$AI$2:$AK$2)/10^9),0)</f>
        <v>0</v>
      </c>
      <c r="BE2376" s="105">
        <f>IF($AM$2231&gt;0,IPMT('Assumptions (Petroleum)'!$V$6,Model!AO$1,'Assumptions (Petroleum)'!$V$9,'Assumptions (Petroleum)'!$V$4*Model!$AM$2231*AVERAGE('Assumptions (Petroleum)'!$AI$2:$AK$2)/10^9),0)</f>
        <v>0</v>
      </c>
      <c r="BF2376" s="105">
        <f>IF($AM$2231&gt;0,IPMT('Assumptions (Petroleum)'!$V$6,Model!AP$1,'Assumptions (Petroleum)'!$V$9,'Assumptions (Petroleum)'!$V$4*Model!$AM$2231*AVERAGE('Assumptions (Petroleum)'!$AI$2:$AK$2)/10^9),0)</f>
        <v>0</v>
      </c>
      <c r="BG2376" s="105">
        <f>IF($AM$2231&gt;0,IPMT('Assumptions (Petroleum)'!$V$6,Model!AQ$1,'Assumptions (Petroleum)'!$V$9,'Assumptions (Petroleum)'!$V$4*Model!$AM$2231*AVERAGE('Assumptions (Petroleum)'!$AI$2:$AK$2)/10^9),0)</f>
        <v>0</v>
      </c>
      <c r="BH2376" s="105">
        <f>IF($AM$2231&gt;0,IPMT('Assumptions (Petroleum)'!$V$6,Model!AR$1,'Assumptions (Petroleum)'!$V$9,'Assumptions (Petroleum)'!$V$4*Model!$AM$2231*AVERAGE('Assumptions (Petroleum)'!$AI$2:$AK$2)/10^9),0)</f>
        <v>0</v>
      </c>
      <c r="BI2376" s="105">
        <f>IF($AM$2231&gt;0,IPMT('Assumptions (Petroleum)'!$V$6,Model!AS$1,'Assumptions (Petroleum)'!$V$9,'Assumptions (Petroleum)'!$V$4*Model!$AM$2231*AVERAGE('Assumptions (Petroleum)'!$AI$2:$AK$2)/10^9),0)</f>
        <v>0</v>
      </c>
      <c r="BJ2376" s="105">
        <f>IF($AM$2231&gt;0,IPMT('Assumptions (Petroleum)'!$V$6,Model!AT$1,'Assumptions (Petroleum)'!$V$9,'Assumptions (Petroleum)'!$V$4*Model!$AM$2231*AVERAGE('Assumptions (Petroleum)'!$AI$2:$AK$2)/10^9),0)</f>
        <v>0</v>
      </c>
      <c r="BK2376" s="105">
        <f>IF($AM$2231&gt;0,IPMT('Assumptions (Petroleum)'!$V$6,Model!AU$1,'Assumptions (Petroleum)'!$V$9,'Assumptions (Petroleum)'!$V$4*Model!$AM$2231*AVERAGE('Assumptions (Petroleum)'!$AI$2:$AK$2)/10^9),0)</f>
        <v>0</v>
      </c>
    </row>
    <row r="2377" spans="1:68" ht="15.75" hidden="1" customHeight="1" outlineLevel="1">
      <c r="A2377" s="447"/>
      <c r="B2377" s="99"/>
      <c r="C2377" s="99"/>
      <c r="D2377" s="99"/>
      <c r="E2377" s="99"/>
      <c r="F2377" s="99"/>
      <c r="G2377" s="99"/>
      <c r="H2377" s="99"/>
      <c r="I2377" s="99"/>
      <c r="J2377" s="99"/>
      <c r="K2377" s="99"/>
      <c r="L2377" s="99"/>
      <c r="M2377" s="99"/>
      <c r="N2377" s="99"/>
      <c r="O2377" s="99"/>
      <c r="P2377" s="99"/>
      <c r="Q2377" s="99"/>
      <c r="R2377" s="99"/>
      <c r="S2377" s="99"/>
      <c r="T2377" s="99"/>
      <c r="U2377" s="99"/>
      <c r="V2377" s="99"/>
      <c r="W2377" s="105"/>
      <c r="X2377" s="105"/>
      <c r="Y2377" s="105"/>
      <c r="Z2377" s="105"/>
      <c r="AA2377" s="105"/>
      <c r="AB2377" s="105"/>
      <c r="AC2377" s="105"/>
      <c r="AD2377" s="105"/>
      <c r="AE2377" s="105"/>
      <c r="AF2377" s="105"/>
      <c r="AG2377" s="105"/>
      <c r="AH2377" s="105"/>
      <c r="AI2377" s="105"/>
      <c r="AJ2377" s="171"/>
      <c r="AK2377" s="105"/>
      <c r="AL2377" s="91"/>
      <c r="AM2377" s="91"/>
      <c r="AN2377" s="105">
        <f>IF($AN$2231&gt;0,IPMT('Assumptions (Petroleum)'!$V$6,Model!W$1,'Assumptions (Petroleum)'!$V$9,'Assumptions (Petroleum)'!$V$4*Model!$AN$2231*AVERAGE('Assumptions (Petroleum)'!$AJ$2:$AL$2)/10^9),0)</f>
        <v>0</v>
      </c>
      <c r="AO2377" s="105">
        <f>IF($AN$2231&gt;0,IPMT('Assumptions (Petroleum)'!$V$6,Model!X$1,'Assumptions (Petroleum)'!$V$9,'Assumptions (Petroleum)'!$V$4*Model!$AN$2231*AVERAGE('Assumptions (Petroleum)'!$AJ$2:$AL$2)/10^9),0)</f>
        <v>0</v>
      </c>
      <c r="AP2377" s="105">
        <f>IF($AN$2231&gt;0,IPMT('Assumptions (Petroleum)'!$V$6,Model!Y$1,'Assumptions (Petroleum)'!$V$9,'Assumptions (Petroleum)'!$V$4*Model!$AN$2231*AVERAGE('Assumptions (Petroleum)'!$AJ$2:$AL$2)/10^9),0)</f>
        <v>0</v>
      </c>
      <c r="AQ2377" s="105">
        <f>IF($AN$2231&gt;0,IPMT('Assumptions (Petroleum)'!$V$6,Model!Z$1,'Assumptions (Petroleum)'!$V$9,'Assumptions (Petroleum)'!$V$4*Model!$AN$2231*AVERAGE('Assumptions (Petroleum)'!$AJ$2:$AL$2)/10^9),0)</f>
        <v>0</v>
      </c>
      <c r="AR2377" s="105">
        <f>IF($AN$2231&gt;0,IPMT('Assumptions (Petroleum)'!$V$6,Model!AA$1,'Assumptions (Petroleum)'!$V$9,'Assumptions (Petroleum)'!$V$4*Model!$AN$2231*AVERAGE('Assumptions (Petroleum)'!$AJ$2:$AL$2)/10^9),0)</f>
        <v>0</v>
      </c>
      <c r="AS2377" s="105">
        <f>IF($AN$2231&gt;0,IPMT('Assumptions (Petroleum)'!$V$6,Model!AB$1,'Assumptions (Petroleum)'!$V$9,'Assumptions (Petroleum)'!$V$4*Model!$AN$2231*AVERAGE('Assumptions (Petroleum)'!$AJ$2:$AL$2)/10^9),0)</f>
        <v>0</v>
      </c>
      <c r="AT2377" s="105">
        <f>IF($AN$2231&gt;0,IPMT('Assumptions (Petroleum)'!$V$6,Model!AC$1,'Assumptions (Petroleum)'!$V$9,'Assumptions (Petroleum)'!$V$4*Model!$AN$2231*AVERAGE('Assumptions (Petroleum)'!$AJ$2:$AL$2)/10^9),0)</f>
        <v>0</v>
      </c>
      <c r="AU2377" s="105">
        <f>IF($AN$2231&gt;0,IPMT('Assumptions (Petroleum)'!$V$6,Model!AD$1,'Assumptions (Petroleum)'!$V$9,'Assumptions (Petroleum)'!$V$4*Model!$AN$2231*AVERAGE('Assumptions (Petroleum)'!$AJ$2:$AL$2)/10^9),0)</f>
        <v>0</v>
      </c>
      <c r="AV2377" s="105">
        <f>IF($AN$2231&gt;0,IPMT('Assumptions (Petroleum)'!$V$6,Model!AE$1,'Assumptions (Petroleum)'!$V$9,'Assumptions (Petroleum)'!$V$4*Model!$AN$2231*AVERAGE('Assumptions (Petroleum)'!$AJ$2:$AL$2)/10^9),0)</f>
        <v>0</v>
      </c>
      <c r="AW2377" s="105">
        <f>IF($AN$2231&gt;0,IPMT('Assumptions (Petroleum)'!$V$6,Model!AF$1,'Assumptions (Petroleum)'!$V$9,'Assumptions (Petroleum)'!$V$4*Model!$AN$2231*AVERAGE('Assumptions (Petroleum)'!$AJ$2:$AL$2)/10^9),0)</f>
        <v>0</v>
      </c>
      <c r="AX2377" s="105">
        <f>IF($AN$2231&gt;0,IPMT('Assumptions (Petroleum)'!$V$6,Model!AG$1,'Assumptions (Petroleum)'!$V$9,'Assumptions (Petroleum)'!$V$4*Model!$AN$2231*AVERAGE('Assumptions (Petroleum)'!$AJ$2:$AL$2)/10^9),0)</f>
        <v>0</v>
      </c>
      <c r="AY2377" s="105">
        <f>IF($AN$2231&gt;0,IPMT('Assumptions (Petroleum)'!$V$6,Model!AH$1,'Assumptions (Petroleum)'!$V$9,'Assumptions (Petroleum)'!$V$4*Model!$AN$2231*AVERAGE('Assumptions (Petroleum)'!$AJ$2:$AL$2)/10^9),0)</f>
        <v>0</v>
      </c>
      <c r="AZ2377" s="105">
        <f>IF($AN$2231&gt;0,IPMT('Assumptions (Petroleum)'!$V$6,Model!AI$1,'Assumptions (Petroleum)'!$V$9,'Assumptions (Petroleum)'!$V$4*Model!$AN$2231*AVERAGE('Assumptions (Petroleum)'!$AJ$2:$AL$2)/10^9),0)</f>
        <v>0</v>
      </c>
      <c r="BA2377" s="105">
        <f>IF($AN$2231&gt;0,IPMT('Assumptions (Petroleum)'!$V$6,Model!AJ$1,'Assumptions (Petroleum)'!$V$9,'Assumptions (Petroleum)'!$V$4*Model!$AN$2231*AVERAGE('Assumptions (Petroleum)'!$AJ$2:$AL$2)/10^9),0)</f>
        <v>0</v>
      </c>
      <c r="BB2377" s="105">
        <f>IF($AN$2231&gt;0,IPMT('Assumptions (Petroleum)'!$V$6,Model!AK$1,'Assumptions (Petroleum)'!$V$9,'Assumptions (Petroleum)'!$V$4*Model!$AN$2231*AVERAGE('Assumptions (Petroleum)'!$AJ$2:$AL$2)/10^9),0)</f>
        <v>0</v>
      </c>
      <c r="BC2377" s="105">
        <f>IF($AN$2231&gt;0,IPMT('Assumptions (Petroleum)'!$V$6,Model!AL$1,'Assumptions (Petroleum)'!$V$9,'Assumptions (Petroleum)'!$V$4*Model!$AN$2231*AVERAGE('Assumptions (Petroleum)'!$AJ$2:$AL$2)/10^9),0)</f>
        <v>0</v>
      </c>
      <c r="BD2377" s="105">
        <f>IF($AN$2231&gt;0,IPMT('Assumptions (Petroleum)'!$V$6,Model!AM$1,'Assumptions (Petroleum)'!$V$9,'Assumptions (Petroleum)'!$V$4*Model!$AN$2231*AVERAGE('Assumptions (Petroleum)'!$AJ$2:$AL$2)/10^9),0)</f>
        <v>0</v>
      </c>
      <c r="BE2377" s="105">
        <f>IF($AN$2231&gt;0,IPMT('Assumptions (Petroleum)'!$V$6,Model!AN$1,'Assumptions (Petroleum)'!$V$9,'Assumptions (Petroleum)'!$V$4*Model!$AN$2231*AVERAGE('Assumptions (Petroleum)'!$AJ$2:$AL$2)/10^9),0)</f>
        <v>0</v>
      </c>
      <c r="BF2377" s="105">
        <f>IF($AN$2231&gt;0,IPMT('Assumptions (Petroleum)'!$V$6,Model!AO$1,'Assumptions (Petroleum)'!$V$9,'Assumptions (Petroleum)'!$V$4*Model!$AN$2231*AVERAGE('Assumptions (Petroleum)'!$AJ$2:$AL$2)/10^9),0)</f>
        <v>0</v>
      </c>
      <c r="BG2377" s="105">
        <f>IF($AN$2231&gt;0,IPMT('Assumptions (Petroleum)'!$V$6,Model!AP$1,'Assumptions (Petroleum)'!$V$9,'Assumptions (Petroleum)'!$V$4*Model!$AN$2231*AVERAGE('Assumptions (Petroleum)'!$AJ$2:$AL$2)/10^9),0)</f>
        <v>0</v>
      </c>
      <c r="BH2377" s="105">
        <f>IF($AN$2231&gt;0,IPMT('Assumptions (Petroleum)'!$V$6,Model!AQ$1,'Assumptions (Petroleum)'!$V$9,'Assumptions (Petroleum)'!$V$4*Model!$AN$2231*AVERAGE('Assumptions (Petroleum)'!$AJ$2:$AL$2)/10^9),0)</f>
        <v>0</v>
      </c>
      <c r="BI2377" s="105">
        <f>IF($AN$2231&gt;0,IPMT('Assumptions (Petroleum)'!$V$6,Model!AR$1,'Assumptions (Petroleum)'!$V$9,'Assumptions (Petroleum)'!$V$4*Model!$AN$2231*AVERAGE('Assumptions (Petroleum)'!$AJ$2:$AL$2)/10^9),0)</f>
        <v>0</v>
      </c>
      <c r="BJ2377" s="105">
        <f>IF($AN$2231&gt;0,IPMT('Assumptions (Petroleum)'!$V$6,Model!AS$1,'Assumptions (Petroleum)'!$V$9,'Assumptions (Petroleum)'!$V$4*Model!$AN$2231*AVERAGE('Assumptions (Petroleum)'!$AJ$2:$AL$2)/10^9),0)</f>
        <v>0</v>
      </c>
      <c r="BK2377" s="105">
        <f>IF($AN$2231&gt;0,IPMT('Assumptions (Petroleum)'!$V$6,Model!AT$1,'Assumptions (Petroleum)'!$V$9,'Assumptions (Petroleum)'!$V$4*Model!$AN$2231*AVERAGE('Assumptions (Petroleum)'!$AJ$2:$AL$2)/10^9),0)</f>
        <v>0</v>
      </c>
      <c r="BL2377" s="105">
        <f>IF($AN$2231&gt;0,IPMT('Assumptions (Petroleum)'!$V$6,Model!AU$1,'Assumptions (Petroleum)'!$V$9,'Assumptions (Petroleum)'!$V$4*Model!$AN$2231*AVERAGE('Assumptions (Petroleum)'!$AJ$2:$AL$2)/10^9),0)</f>
        <v>0</v>
      </c>
    </row>
    <row r="2378" spans="1:68" ht="15.75" hidden="1" customHeight="1" outlineLevel="1">
      <c r="A2378" s="447"/>
      <c r="B2378" s="99"/>
      <c r="C2378" s="99"/>
      <c r="D2378" s="99"/>
      <c r="E2378" s="99"/>
      <c r="F2378" s="99"/>
      <c r="G2378" s="99"/>
      <c r="H2378" s="99"/>
      <c r="I2378" s="99"/>
      <c r="J2378" s="99"/>
      <c r="K2378" s="99"/>
      <c r="L2378" s="99"/>
      <c r="M2378" s="99"/>
      <c r="N2378" s="99"/>
      <c r="O2378" s="99"/>
      <c r="P2378" s="99"/>
      <c r="Q2378" s="99"/>
      <c r="R2378" s="99"/>
      <c r="S2378" s="99"/>
      <c r="T2378" s="99"/>
      <c r="U2378" s="99"/>
      <c r="V2378" s="99"/>
      <c r="W2378" s="105"/>
      <c r="X2378" s="105"/>
      <c r="Y2378" s="105"/>
      <c r="Z2378" s="105"/>
      <c r="AA2378" s="105"/>
      <c r="AB2378" s="105"/>
      <c r="AC2378" s="105"/>
      <c r="AD2378" s="105"/>
      <c r="AE2378" s="105"/>
      <c r="AF2378" s="105"/>
      <c r="AG2378" s="105"/>
      <c r="AH2378" s="105"/>
      <c r="AI2378" s="105"/>
      <c r="AJ2378" s="171"/>
      <c r="AK2378" s="105"/>
      <c r="AL2378" s="91"/>
      <c r="AM2378" s="91"/>
      <c r="AN2378" s="91"/>
      <c r="AO2378" s="105">
        <f>IF($AO$2231&gt;0,IPMT('Assumptions (Petroleum)'!$V$6,Model!W$1,'Assumptions (Petroleum)'!$V$9,'Assumptions (Petroleum)'!$V$4*Model!$AO$2231*AVERAGE('Assumptions (Petroleum)'!$AK$2:$AM$2)/10^9),0)</f>
        <v>0</v>
      </c>
      <c r="AP2378" s="105">
        <f>IF($AO$2231&gt;0,IPMT('Assumptions (Petroleum)'!$V$6,Model!X$1,'Assumptions (Petroleum)'!$V$9,'Assumptions (Petroleum)'!$V$4*Model!$AO$2231*AVERAGE('Assumptions (Petroleum)'!$AK$2:$AM$2)/10^9),0)</f>
        <v>0</v>
      </c>
      <c r="AQ2378" s="105">
        <f>IF($AO$2231&gt;0,IPMT('Assumptions (Petroleum)'!$V$6,Model!Y$1,'Assumptions (Petroleum)'!$V$9,'Assumptions (Petroleum)'!$V$4*Model!$AO$2231*AVERAGE('Assumptions (Petroleum)'!$AK$2:$AM$2)/10^9),0)</f>
        <v>0</v>
      </c>
      <c r="AR2378" s="105">
        <f>IF($AO$2231&gt;0,IPMT('Assumptions (Petroleum)'!$V$6,Model!Z$1,'Assumptions (Petroleum)'!$V$9,'Assumptions (Petroleum)'!$V$4*Model!$AO$2231*AVERAGE('Assumptions (Petroleum)'!$AK$2:$AM$2)/10^9),0)</f>
        <v>0</v>
      </c>
      <c r="AS2378" s="105">
        <f>IF($AO$2231&gt;0,IPMT('Assumptions (Petroleum)'!$V$6,Model!AA$1,'Assumptions (Petroleum)'!$V$9,'Assumptions (Petroleum)'!$V$4*Model!$AO$2231*AVERAGE('Assumptions (Petroleum)'!$AK$2:$AM$2)/10^9),0)</f>
        <v>0</v>
      </c>
      <c r="AT2378" s="105">
        <f>IF($AO$2231&gt;0,IPMT('Assumptions (Petroleum)'!$V$6,Model!AB$1,'Assumptions (Petroleum)'!$V$9,'Assumptions (Petroleum)'!$V$4*Model!$AO$2231*AVERAGE('Assumptions (Petroleum)'!$AK$2:$AM$2)/10^9),0)</f>
        <v>0</v>
      </c>
      <c r="AU2378" s="105">
        <f>IF($AO$2231&gt;0,IPMT('Assumptions (Petroleum)'!$V$6,Model!AC$1,'Assumptions (Petroleum)'!$V$9,'Assumptions (Petroleum)'!$V$4*Model!$AO$2231*AVERAGE('Assumptions (Petroleum)'!$AK$2:$AM$2)/10^9),0)</f>
        <v>0</v>
      </c>
      <c r="AV2378" s="105">
        <f>IF($AO$2231&gt;0,IPMT('Assumptions (Petroleum)'!$V$6,Model!AD$1,'Assumptions (Petroleum)'!$V$9,'Assumptions (Petroleum)'!$V$4*Model!$AO$2231*AVERAGE('Assumptions (Petroleum)'!$AK$2:$AM$2)/10^9),0)</f>
        <v>0</v>
      </c>
      <c r="AW2378" s="105">
        <f>IF($AO$2231&gt;0,IPMT('Assumptions (Petroleum)'!$V$6,Model!AE$1,'Assumptions (Petroleum)'!$V$9,'Assumptions (Petroleum)'!$V$4*Model!$AO$2231*AVERAGE('Assumptions (Petroleum)'!$AK$2:$AM$2)/10^9),0)</f>
        <v>0</v>
      </c>
      <c r="AX2378" s="105">
        <f>IF($AO$2231&gt;0,IPMT('Assumptions (Petroleum)'!$V$6,Model!AF$1,'Assumptions (Petroleum)'!$V$9,'Assumptions (Petroleum)'!$V$4*Model!$AO$2231*AVERAGE('Assumptions (Petroleum)'!$AK$2:$AM$2)/10^9),0)</f>
        <v>0</v>
      </c>
      <c r="AY2378" s="105">
        <f>IF($AO$2231&gt;0,IPMT('Assumptions (Petroleum)'!$V$6,Model!AG$1,'Assumptions (Petroleum)'!$V$9,'Assumptions (Petroleum)'!$V$4*Model!$AO$2231*AVERAGE('Assumptions (Petroleum)'!$AK$2:$AM$2)/10^9),0)</f>
        <v>0</v>
      </c>
      <c r="AZ2378" s="105">
        <f>IF($AO$2231&gt;0,IPMT('Assumptions (Petroleum)'!$V$6,Model!AH$1,'Assumptions (Petroleum)'!$V$9,'Assumptions (Petroleum)'!$V$4*Model!$AO$2231*AVERAGE('Assumptions (Petroleum)'!$AK$2:$AM$2)/10^9),0)</f>
        <v>0</v>
      </c>
      <c r="BA2378" s="105">
        <f>IF($AO$2231&gt;0,IPMT('Assumptions (Petroleum)'!$V$6,Model!AI$1,'Assumptions (Petroleum)'!$V$9,'Assumptions (Petroleum)'!$V$4*Model!$AO$2231*AVERAGE('Assumptions (Petroleum)'!$AK$2:$AM$2)/10^9),0)</f>
        <v>0</v>
      </c>
      <c r="BB2378" s="105">
        <f>IF($AO$2231&gt;0,IPMT('Assumptions (Petroleum)'!$V$6,Model!AJ$1,'Assumptions (Petroleum)'!$V$9,'Assumptions (Petroleum)'!$V$4*Model!$AO$2231*AVERAGE('Assumptions (Petroleum)'!$AK$2:$AM$2)/10^9),0)</f>
        <v>0</v>
      </c>
      <c r="BC2378" s="105">
        <f>IF($AO$2231&gt;0,IPMT('Assumptions (Petroleum)'!$V$6,Model!AK$1,'Assumptions (Petroleum)'!$V$9,'Assumptions (Petroleum)'!$V$4*Model!$AO$2231*AVERAGE('Assumptions (Petroleum)'!$AK$2:$AM$2)/10^9),0)</f>
        <v>0</v>
      </c>
      <c r="BD2378" s="105">
        <f>IF($AO$2231&gt;0,IPMT('Assumptions (Petroleum)'!$V$6,Model!AL$1,'Assumptions (Petroleum)'!$V$9,'Assumptions (Petroleum)'!$V$4*Model!$AO$2231*AVERAGE('Assumptions (Petroleum)'!$AK$2:$AM$2)/10^9),0)</f>
        <v>0</v>
      </c>
      <c r="BE2378" s="105">
        <f>IF($AO$2231&gt;0,IPMT('Assumptions (Petroleum)'!$V$6,Model!AM$1,'Assumptions (Petroleum)'!$V$9,'Assumptions (Petroleum)'!$V$4*Model!$AO$2231*AVERAGE('Assumptions (Petroleum)'!$AK$2:$AM$2)/10^9),0)</f>
        <v>0</v>
      </c>
      <c r="BF2378" s="105">
        <f>IF($AO$2231&gt;0,IPMT('Assumptions (Petroleum)'!$V$6,Model!AN$1,'Assumptions (Petroleum)'!$V$9,'Assumptions (Petroleum)'!$V$4*Model!$AO$2231*AVERAGE('Assumptions (Petroleum)'!$AK$2:$AM$2)/10^9),0)</f>
        <v>0</v>
      </c>
      <c r="BG2378" s="105">
        <f>IF($AO$2231&gt;0,IPMT('Assumptions (Petroleum)'!$V$6,Model!AO$1,'Assumptions (Petroleum)'!$V$9,'Assumptions (Petroleum)'!$V$4*Model!$AO$2231*AVERAGE('Assumptions (Petroleum)'!$AK$2:$AM$2)/10^9),0)</f>
        <v>0</v>
      </c>
      <c r="BH2378" s="105">
        <f>IF($AO$2231&gt;0,IPMT('Assumptions (Petroleum)'!$V$6,Model!AP$1,'Assumptions (Petroleum)'!$V$9,'Assumptions (Petroleum)'!$V$4*Model!$AO$2231*AVERAGE('Assumptions (Petroleum)'!$AK$2:$AM$2)/10^9),0)</f>
        <v>0</v>
      </c>
      <c r="BI2378" s="105">
        <f>IF($AO$2231&gt;0,IPMT('Assumptions (Petroleum)'!$V$6,Model!AQ$1,'Assumptions (Petroleum)'!$V$9,'Assumptions (Petroleum)'!$V$4*Model!$AO$2231*AVERAGE('Assumptions (Petroleum)'!$AK$2:$AM$2)/10^9),0)</f>
        <v>0</v>
      </c>
      <c r="BJ2378" s="105">
        <f>IF($AO$2231&gt;0,IPMT('Assumptions (Petroleum)'!$V$6,Model!AR$1,'Assumptions (Petroleum)'!$V$9,'Assumptions (Petroleum)'!$V$4*Model!$AO$2231*AVERAGE('Assumptions (Petroleum)'!$AK$2:$AM$2)/10^9),0)</f>
        <v>0</v>
      </c>
      <c r="BK2378" s="105">
        <f>IF($AO$2231&gt;0,IPMT('Assumptions (Petroleum)'!$V$6,Model!AS$1,'Assumptions (Petroleum)'!$V$9,'Assumptions (Petroleum)'!$V$4*Model!$AO$2231*AVERAGE('Assumptions (Petroleum)'!$AK$2:$AM$2)/10^9),0)</f>
        <v>0</v>
      </c>
      <c r="BL2378" s="105">
        <f>IF($AO$2231&gt;0,IPMT('Assumptions (Petroleum)'!$V$6,Model!AT$1,'Assumptions (Petroleum)'!$V$9,'Assumptions (Petroleum)'!$V$4*Model!$AO$2231*AVERAGE('Assumptions (Petroleum)'!$AK$2:$AM$2)/10^9),0)</f>
        <v>0</v>
      </c>
      <c r="BM2378" s="105">
        <f>IF($AO$2231&gt;0,IPMT('Assumptions (Petroleum)'!$V$6,Model!AU$1,'Assumptions (Petroleum)'!$V$9,'Assumptions (Petroleum)'!$V$4*Model!$AO$2231*AVERAGE('Assumptions (Petroleum)'!$AK$2:$AM$2)/10^9),0)</f>
        <v>0</v>
      </c>
    </row>
    <row r="2379" spans="1:68" ht="15.75" hidden="1" customHeight="1" outlineLevel="1">
      <c r="A2379" s="447"/>
      <c r="B2379" s="99"/>
      <c r="C2379" s="99"/>
      <c r="D2379" s="99"/>
      <c r="E2379" s="99"/>
      <c r="F2379" s="99"/>
      <c r="G2379" s="99"/>
      <c r="H2379" s="99"/>
      <c r="I2379" s="99"/>
      <c r="J2379" s="99"/>
      <c r="K2379" s="99"/>
      <c r="L2379" s="99"/>
      <c r="M2379" s="99"/>
      <c r="N2379" s="99"/>
      <c r="O2379" s="99"/>
      <c r="P2379" s="99"/>
      <c r="Q2379" s="99"/>
      <c r="R2379" s="99"/>
      <c r="S2379" s="99"/>
      <c r="T2379" s="99"/>
      <c r="U2379" s="99"/>
      <c r="V2379" s="99"/>
      <c r="W2379" s="105"/>
      <c r="X2379" s="105"/>
      <c r="Y2379" s="105"/>
      <c r="Z2379" s="105"/>
      <c r="AA2379" s="105"/>
      <c r="AB2379" s="105"/>
      <c r="AC2379" s="105"/>
      <c r="AD2379" s="105"/>
      <c r="AE2379" s="105"/>
      <c r="AF2379" s="105"/>
      <c r="AG2379" s="105"/>
      <c r="AH2379" s="105"/>
      <c r="AI2379" s="105"/>
      <c r="AJ2379" s="171"/>
      <c r="AK2379" s="105"/>
      <c r="AL2379" s="91"/>
      <c r="AM2379" s="91"/>
      <c r="AN2379" s="91"/>
      <c r="AO2379" s="105"/>
      <c r="AP2379" s="105">
        <f>IF($AP$2231&gt;0,IPMT('Assumptions (Petroleum)'!$V$6,Model!W$1,'Assumptions (Petroleum)'!$V$9,'Assumptions (Petroleum)'!$V$4*Model!$AP$2231*AVERAGE('Assumptions (Petroleum)'!$AL$2:$AN$2)/10^9),0)</f>
        <v>0</v>
      </c>
      <c r="AQ2379" s="105">
        <f>IF($AP$2231&gt;0,IPMT('Assumptions (Petroleum)'!$V$6,Model!X$1,'Assumptions (Petroleum)'!$V$9,'Assumptions (Petroleum)'!$V$4*Model!$AP$2231*AVERAGE('Assumptions (Petroleum)'!$AL$2:$AN$2)/10^9),0)</f>
        <v>0</v>
      </c>
      <c r="AR2379" s="105">
        <f>IF($AP$2231&gt;0,IPMT('Assumptions (Petroleum)'!$V$6,Model!Y$1,'Assumptions (Petroleum)'!$V$9,'Assumptions (Petroleum)'!$V$4*Model!$AP$2231*AVERAGE('Assumptions (Petroleum)'!$AL$2:$AN$2)/10^9),0)</f>
        <v>0</v>
      </c>
      <c r="AS2379" s="105">
        <f>IF($AP$2231&gt;0,IPMT('Assumptions (Petroleum)'!$V$6,Model!Z$1,'Assumptions (Petroleum)'!$V$9,'Assumptions (Petroleum)'!$V$4*Model!$AP$2231*AVERAGE('Assumptions (Petroleum)'!$AL$2:$AN$2)/10^9),0)</f>
        <v>0</v>
      </c>
      <c r="AT2379" s="105">
        <f>IF($AP$2231&gt;0,IPMT('Assumptions (Petroleum)'!$V$6,Model!AA$1,'Assumptions (Petroleum)'!$V$9,'Assumptions (Petroleum)'!$V$4*Model!$AP$2231*AVERAGE('Assumptions (Petroleum)'!$AL$2:$AN$2)/10^9),0)</f>
        <v>0</v>
      </c>
      <c r="AU2379" s="105">
        <f>IF($AP$2231&gt;0,IPMT('Assumptions (Petroleum)'!$V$6,Model!AB$1,'Assumptions (Petroleum)'!$V$9,'Assumptions (Petroleum)'!$V$4*Model!$AP$2231*AVERAGE('Assumptions (Petroleum)'!$AL$2:$AN$2)/10^9),0)</f>
        <v>0</v>
      </c>
      <c r="AV2379" s="105">
        <f>IF($AP$2231&gt;0,IPMT('Assumptions (Petroleum)'!$V$6,Model!AC$1,'Assumptions (Petroleum)'!$V$9,'Assumptions (Petroleum)'!$V$4*Model!$AP$2231*AVERAGE('Assumptions (Petroleum)'!$AL$2:$AN$2)/10^9),0)</f>
        <v>0</v>
      </c>
      <c r="AW2379" s="105">
        <f>IF($AP$2231&gt;0,IPMT('Assumptions (Petroleum)'!$V$6,Model!AD$1,'Assumptions (Petroleum)'!$V$9,'Assumptions (Petroleum)'!$V$4*Model!$AP$2231*AVERAGE('Assumptions (Petroleum)'!$AL$2:$AN$2)/10^9),0)</f>
        <v>0</v>
      </c>
      <c r="AX2379" s="105">
        <f>IF($AP$2231&gt;0,IPMT('Assumptions (Petroleum)'!$V$6,Model!AE$1,'Assumptions (Petroleum)'!$V$9,'Assumptions (Petroleum)'!$V$4*Model!$AP$2231*AVERAGE('Assumptions (Petroleum)'!$AL$2:$AN$2)/10^9),0)</f>
        <v>0</v>
      </c>
      <c r="AY2379" s="105">
        <f>IF($AP$2231&gt;0,IPMT('Assumptions (Petroleum)'!$V$6,Model!AF$1,'Assumptions (Petroleum)'!$V$9,'Assumptions (Petroleum)'!$V$4*Model!$AP$2231*AVERAGE('Assumptions (Petroleum)'!$AL$2:$AN$2)/10^9),0)</f>
        <v>0</v>
      </c>
      <c r="AZ2379" s="105">
        <f>IF($AP$2231&gt;0,IPMT('Assumptions (Petroleum)'!$V$6,Model!AG$1,'Assumptions (Petroleum)'!$V$9,'Assumptions (Petroleum)'!$V$4*Model!$AP$2231*AVERAGE('Assumptions (Petroleum)'!$AL$2:$AN$2)/10^9),0)</f>
        <v>0</v>
      </c>
      <c r="BA2379" s="105">
        <f>IF($AP$2231&gt;0,IPMT('Assumptions (Petroleum)'!$V$6,Model!AH$1,'Assumptions (Petroleum)'!$V$9,'Assumptions (Petroleum)'!$V$4*Model!$AP$2231*AVERAGE('Assumptions (Petroleum)'!$AL$2:$AN$2)/10^9),0)</f>
        <v>0</v>
      </c>
      <c r="BB2379" s="105">
        <f>IF($AP$2231&gt;0,IPMT('Assumptions (Petroleum)'!$V$6,Model!AI$1,'Assumptions (Petroleum)'!$V$9,'Assumptions (Petroleum)'!$V$4*Model!$AP$2231*AVERAGE('Assumptions (Petroleum)'!$AL$2:$AN$2)/10^9),0)</f>
        <v>0</v>
      </c>
      <c r="BC2379" s="105">
        <f>IF($AP$2231&gt;0,IPMT('Assumptions (Petroleum)'!$V$6,Model!AJ$1,'Assumptions (Petroleum)'!$V$9,'Assumptions (Petroleum)'!$V$4*Model!$AP$2231*AVERAGE('Assumptions (Petroleum)'!$AL$2:$AN$2)/10^9),0)</f>
        <v>0</v>
      </c>
      <c r="BD2379" s="105">
        <f>IF($AP$2231&gt;0,IPMT('Assumptions (Petroleum)'!$V$6,Model!AK$1,'Assumptions (Petroleum)'!$V$9,'Assumptions (Petroleum)'!$V$4*Model!$AP$2231*AVERAGE('Assumptions (Petroleum)'!$AL$2:$AN$2)/10^9),0)</f>
        <v>0</v>
      </c>
      <c r="BE2379" s="105">
        <f>IF($AP$2231&gt;0,IPMT('Assumptions (Petroleum)'!$V$6,Model!AL$1,'Assumptions (Petroleum)'!$V$9,'Assumptions (Petroleum)'!$V$4*Model!$AP$2231*AVERAGE('Assumptions (Petroleum)'!$AL$2:$AN$2)/10^9),0)</f>
        <v>0</v>
      </c>
      <c r="BF2379" s="105">
        <f>IF($AP$2231&gt;0,IPMT('Assumptions (Petroleum)'!$V$6,Model!AM$1,'Assumptions (Petroleum)'!$V$9,'Assumptions (Petroleum)'!$V$4*Model!$AP$2231*AVERAGE('Assumptions (Petroleum)'!$AL$2:$AN$2)/10^9),0)</f>
        <v>0</v>
      </c>
      <c r="BG2379" s="105">
        <f>IF($AP$2231&gt;0,IPMT('Assumptions (Petroleum)'!$V$6,Model!AN$1,'Assumptions (Petroleum)'!$V$9,'Assumptions (Petroleum)'!$V$4*Model!$AP$2231*AVERAGE('Assumptions (Petroleum)'!$AL$2:$AN$2)/10^9),0)</f>
        <v>0</v>
      </c>
      <c r="BH2379" s="105">
        <f>IF($AP$2231&gt;0,IPMT('Assumptions (Petroleum)'!$V$6,Model!AO$1,'Assumptions (Petroleum)'!$V$9,'Assumptions (Petroleum)'!$V$4*Model!$AP$2231*AVERAGE('Assumptions (Petroleum)'!$AL$2:$AN$2)/10^9),0)</f>
        <v>0</v>
      </c>
      <c r="BI2379" s="105">
        <f>IF($AP$2231&gt;0,IPMT('Assumptions (Petroleum)'!$V$6,Model!AP$1,'Assumptions (Petroleum)'!$V$9,'Assumptions (Petroleum)'!$V$4*Model!$AP$2231*AVERAGE('Assumptions (Petroleum)'!$AL$2:$AN$2)/10^9),0)</f>
        <v>0</v>
      </c>
      <c r="BJ2379" s="105">
        <f>IF($AP$2231&gt;0,IPMT('Assumptions (Petroleum)'!$V$6,Model!AQ$1,'Assumptions (Petroleum)'!$V$9,'Assumptions (Petroleum)'!$V$4*Model!$AP$2231*AVERAGE('Assumptions (Petroleum)'!$AL$2:$AN$2)/10^9),0)</f>
        <v>0</v>
      </c>
      <c r="BK2379" s="105">
        <f>IF($AP$2231&gt;0,IPMT('Assumptions (Petroleum)'!$V$6,Model!AR$1,'Assumptions (Petroleum)'!$V$9,'Assumptions (Petroleum)'!$V$4*Model!$AP$2231*AVERAGE('Assumptions (Petroleum)'!$AL$2:$AN$2)/10^9),0)</f>
        <v>0</v>
      </c>
      <c r="BL2379" s="105">
        <f>IF($AP$2231&gt;0,IPMT('Assumptions (Petroleum)'!$V$6,Model!AS$1,'Assumptions (Petroleum)'!$V$9,'Assumptions (Petroleum)'!$V$4*Model!$AP$2231*AVERAGE('Assumptions (Petroleum)'!$AL$2:$AN$2)/10^9),0)</f>
        <v>0</v>
      </c>
      <c r="BM2379" s="105">
        <f>IF($AP$2231&gt;0,IPMT('Assumptions (Petroleum)'!$V$6,Model!AT$1,'Assumptions (Petroleum)'!$V$9,'Assumptions (Petroleum)'!$V$4*Model!$AP$2231*AVERAGE('Assumptions (Petroleum)'!$AL$2:$AN$2)/10^9),0)</f>
        <v>0</v>
      </c>
      <c r="BN2379" s="105">
        <f>IF($AP$2231&gt;0,IPMT('Assumptions (Petroleum)'!$V$6,Model!AU$1,'Assumptions (Petroleum)'!$V$9,'Assumptions (Petroleum)'!$V$4*Model!$AP$2231*AVERAGE('Assumptions (Petroleum)'!$AL$2:$AN$2)/10^9),0)</f>
        <v>0</v>
      </c>
    </row>
    <row r="2380" spans="1:68" ht="15.75" hidden="1" customHeight="1" outlineLevel="1">
      <c r="A2380" s="447"/>
      <c r="B2380" s="99"/>
      <c r="C2380" s="99"/>
      <c r="D2380" s="99"/>
      <c r="E2380" s="99"/>
      <c r="F2380" s="99"/>
      <c r="G2380" s="99"/>
      <c r="H2380" s="99"/>
      <c r="I2380" s="99"/>
      <c r="J2380" s="99"/>
      <c r="K2380" s="99"/>
      <c r="L2380" s="99"/>
      <c r="M2380" s="99"/>
      <c r="N2380" s="99"/>
      <c r="O2380" s="99"/>
      <c r="P2380" s="99"/>
      <c r="Q2380" s="99"/>
      <c r="R2380" s="99"/>
      <c r="S2380" s="99"/>
      <c r="T2380" s="99"/>
      <c r="U2380" s="99"/>
      <c r="V2380" s="99"/>
      <c r="W2380" s="105"/>
      <c r="X2380" s="105"/>
      <c r="Y2380" s="105"/>
      <c r="Z2380" s="105"/>
      <c r="AA2380" s="105"/>
      <c r="AB2380" s="105"/>
      <c r="AC2380" s="105"/>
      <c r="AD2380" s="105"/>
      <c r="AE2380" s="105"/>
      <c r="AF2380" s="105"/>
      <c r="AG2380" s="105"/>
      <c r="AH2380" s="105"/>
      <c r="AI2380" s="105"/>
      <c r="AJ2380" s="171"/>
      <c r="AK2380" s="105"/>
      <c r="AL2380" s="91"/>
      <c r="AM2380" s="91"/>
      <c r="AN2380" s="91"/>
      <c r="AO2380" s="105"/>
      <c r="AP2380" s="105"/>
      <c r="AQ2380" s="105">
        <f>IF($AQ$2231&gt;0,IPMT('Assumptions (Petroleum)'!$V$6,Model!W$1,'Assumptions (Petroleum)'!$V$9,'Assumptions (Petroleum)'!$V$4*Model!$AQ$2231*AVERAGE('Assumptions (Petroleum)'!$AM$2:$AO$2)/10^9),0)</f>
        <v>0</v>
      </c>
      <c r="AR2380" s="105">
        <f>IF($AQ$2231&gt;0,IPMT('Assumptions (Petroleum)'!$V$6,Model!X$1,'Assumptions (Petroleum)'!$V$9,'Assumptions (Petroleum)'!$V$4*Model!$AQ$2231*AVERAGE('Assumptions (Petroleum)'!$AM$2:$AO$2)/10^9),0)</f>
        <v>0</v>
      </c>
      <c r="AS2380" s="105">
        <f>IF($AQ$2231&gt;0,IPMT('Assumptions (Petroleum)'!$V$6,Model!Y$1,'Assumptions (Petroleum)'!$V$9,'Assumptions (Petroleum)'!$V$4*Model!$AQ$2231*AVERAGE('Assumptions (Petroleum)'!$AM$2:$AO$2)/10^9),0)</f>
        <v>0</v>
      </c>
      <c r="AT2380" s="105">
        <f>IF($AQ$2231&gt;0,IPMT('Assumptions (Petroleum)'!$V$6,Model!Z$1,'Assumptions (Petroleum)'!$V$9,'Assumptions (Petroleum)'!$V$4*Model!$AQ$2231*AVERAGE('Assumptions (Petroleum)'!$AM$2:$AO$2)/10^9),0)</f>
        <v>0</v>
      </c>
      <c r="AU2380" s="105">
        <f>IF($AQ$2231&gt;0,IPMT('Assumptions (Petroleum)'!$V$6,Model!AA$1,'Assumptions (Petroleum)'!$V$9,'Assumptions (Petroleum)'!$V$4*Model!$AQ$2231*AVERAGE('Assumptions (Petroleum)'!$AM$2:$AO$2)/10^9),0)</f>
        <v>0</v>
      </c>
      <c r="AV2380" s="105">
        <f>IF($AQ$2231&gt;0,IPMT('Assumptions (Petroleum)'!$V$6,Model!AB$1,'Assumptions (Petroleum)'!$V$9,'Assumptions (Petroleum)'!$V$4*Model!$AQ$2231*AVERAGE('Assumptions (Petroleum)'!$AM$2:$AO$2)/10^9),0)</f>
        <v>0</v>
      </c>
      <c r="AW2380" s="105">
        <f>IF($AQ$2231&gt;0,IPMT('Assumptions (Petroleum)'!$V$6,Model!AC$1,'Assumptions (Petroleum)'!$V$9,'Assumptions (Petroleum)'!$V$4*Model!$AQ$2231*AVERAGE('Assumptions (Petroleum)'!$AM$2:$AO$2)/10^9),0)</f>
        <v>0</v>
      </c>
      <c r="AX2380" s="105">
        <f>IF($AQ$2231&gt;0,IPMT('Assumptions (Petroleum)'!$V$6,Model!AD$1,'Assumptions (Petroleum)'!$V$9,'Assumptions (Petroleum)'!$V$4*Model!$AQ$2231*AVERAGE('Assumptions (Petroleum)'!$AM$2:$AO$2)/10^9),0)</f>
        <v>0</v>
      </c>
      <c r="AY2380" s="105">
        <f>IF($AQ$2231&gt;0,IPMT('Assumptions (Petroleum)'!$V$6,Model!AE$1,'Assumptions (Petroleum)'!$V$9,'Assumptions (Petroleum)'!$V$4*Model!$AQ$2231*AVERAGE('Assumptions (Petroleum)'!$AM$2:$AO$2)/10^9),0)</f>
        <v>0</v>
      </c>
      <c r="AZ2380" s="105">
        <f>IF($AQ$2231&gt;0,IPMT('Assumptions (Petroleum)'!$V$6,Model!AF$1,'Assumptions (Petroleum)'!$V$9,'Assumptions (Petroleum)'!$V$4*Model!$AQ$2231*AVERAGE('Assumptions (Petroleum)'!$AM$2:$AO$2)/10^9),0)</f>
        <v>0</v>
      </c>
      <c r="BA2380" s="105">
        <f>IF($AQ$2231&gt;0,IPMT('Assumptions (Petroleum)'!$V$6,Model!AG$1,'Assumptions (Petroleum)'!$V$9,'Assumptions (Petroleum)'!$V$4*Model!$AQ$2231*AVERAGE('Assumptions (Petroleum)'!$AM$2:$AO$2)/10^9),0)</f>
        <v>0</v>
      </c>
      <c r="BB2380" s="105">
        <f>IF($AQ$2231&gt;0,IPMT('Assumptions (Petroleum)'!$V$6,Model!AH$1,'Assumptions (Petroleum)'!$V$9,'Assumptions (Petroleum)'!$V$4*Model!$AQ$2231*AVERAGE('Assumptions (Petroleum)'!$AM$2:$AO$2)/10^9),0)</f>
        <v>0</v>
      </c>
      <c r="BC2380" s="105">
        <f>IF($AQ$2231&gt;0,IPMT('Assumptions (Petroleum)'!$V$6,Model!AI$1,'Assumptions (Petroleum)'!$V$9,'Assumptions (Petroleum)'!$V$4*Model!$AQ$2231*AVERAGE('Assumptions (Petroleum)'!$AM$2:$AO$2)/10^9),0)</f>
        <v>0</v>
      </c>
      <c r="BD2380" s="105">
        <f>IF($AQ$2231&gt;0,IPMT('Assumptions (Petroleum)'!$V$6,Model!AJ$1,'Assumptions (Petroleum)'!$V$9,'Assumptions (Petroleum)'!$V$4*Model!$AQ$2231*AVERAGE('Assumptions (Petroleum)'!$AM$2:$AO$2)/10^9),0)</f>
        <v>0</v>
      </c>
      <c r="BE2380" s="105">
        <f>IF($AQ$2231&gt;0,IPMT('Assumptions (Petroleum)'!$V$6,Model!AK$1,'Assumptions (Petroleum)'!$V$9,'Assumptions (Petroleum)'!$V$4*Model!$AQ$2231*AVERAGE('Assumptions (Petroleum)'!$AM$2:$AO$2)/10^9),0)</f>
        <v>0</v>
      </c>
      <c r="BF2380" s="105">
        <f>IF($AQ$2231&gt;0,IPMT('Assumptions (Petroleum)'!$V$6,Model!AL$1,'Assumptions (Petroleum)'!$V$9,'Assumptions (Petroleum)'!$V$4*Model!$AQ$2231*AVERAGE('Assumptions (Petroleum)'!$AM$2:$AO$2)/10^9),0)</f>
        <v>0</v>
      </c>
      <c r="BG2380" s="105">
        <f>IF($AQ$2231&gt;0,IPMT('Assumptions (Petroleum)'!$V$6,Model!AM$1,'Assumptions (Petroleum)'!$V$9,'Assumptions (Petroleum)'!$V$4*Model!$AQ$2231*AVERAGE('Assumptions (Petroleum)'!$AM$2:$AO$2)/10^9),0)</f>
        <v>0</v>
      </c>
      <c r="BH2380" s="105">
        <f>IF($AQ$2231&gt;0,IPMT('Assumptions (Petroleum)'!$V$6,Model!AN$1,'Assumptions (Petroleum)'!$V$9,'Assumptions (Petroleum)'!$V$4*Model!$AQ$2231*AVERAGE('Assumptions (Petroleum)'!$AM$2:$AO$2)/10^9),0)</f>
        <v>0</v>
      </c>
      <c r="BI2380" s="105">
        <f>IF($AQ$2231&gt;0,IPMT('Assumptions (Petroleum)'!$V$6,Model!AO$1,'Assumptions (Petroleum)'!$V$9,'Assumptions (Petroleum)'!$V$4*Model!$AQ$2231*AVERAGE('Assumptions (Petroleum)'!$AM$2:$AO$2)/10^9),0)</f>
        <v>0</v>
      </c>
      <c r="BJ2380" s="105">
        <f>IF($AQ$2231&gt;0,IPMT('Assumptions (Petroleum)'!$V$6,Model!AP$1,'Assumptions (Petroleum)'!$V$9,'Assumptions (Petroleum)'!$V$4*Model!$AQ$2231*AVERAGE('Assumptions (Petroleum)'!$AM$2:$AO$2)/10^9),0)</f>
        <v>0</v>
      </c>
      <c r="BK2380" s="105">
        <f>IF($AQ$2231&gt;0,IPMT('Assumptions (Petroleum)'!$V$6,Model!AQ$1,'Assumptions (Petroleum)'!$V$9,'Assumptions (Petroleum)'!$V$4*Model!$AQ$2231*AVERAGE('Assumptions (Petroleum)'!$AM$2:$AO$2)/10^9),0)</f>
        <v>0</v>
      </c>
      <c r="BL2380" s="105">
        <f>IF($AQ$2231&gt;0,IPMT('Assumptions (Petroleum)'!$V$6,Model!AR$1,'Assumptions (Petroleum)'!$V$9,'Assumptions (Petroleum)'!$V$4*Model!$AQ$2231*AVERAGE('Assumptions (Petroleum)'!$AM$2:$AO$2)/10^9),0)</f>
        <v>0</v>
      </c>
      <c r="BM2380" s="105">
        <f>IF($AQ$2231&gt;0,IPMT('Assumptions (Petroleum)'!$V$6,Model!AS$1,'Assumptions (Petroleum)'!$V$9,'Assumptions (Petroleum)'!$V$4*Model!$AQ$2231*AVERAGE('Assumptions (Petroleum)'!$AM$2:$AO$2)/10^9),0)</f>
        <v>0</v>
      </c>
      <c r="BN2380" s="105">
        <f>IF($AQ$2231&gt;0,IPMT('Assumptions (Petroleum)'!$V$6,Model!AT$1,'Assumptions (Petroleum)'!$V$9,'Assumptions (Petroleum)'!$V$4*Model!$AQ$2231*AVERAGE('Assumptions (Petroleum)'!$AM$2:$AO$2)/10^9),0)</f>
        <v>0</v>
      </c>
      <c r="BO2380" s="105">
        <f>IF($AQ$2231&gt;0,IPMT('Assumptions (Petroleum)'!$V$6,Model!AU$1,'Assumptions (Petroleum)'!$V$9,'Assumptions (Petroleum)'!$V$4*Model!$AQ$2231*AVERAGE('Assumptions (Petroleum)'!$AM$2:$AO$2)/10^9),0)</f>
        <v>0</v>
      </c>
    </row>
    <row r="2381" spans="1:68" ht="15.75" hidden="1" customHeight="1" outlineLevel="1">
      <c r="A2381" s="447"/>
      <c r="B2381" s="99"/>
      <c r="C2381" s="99"/>
      <c r="D2381" s="99"/>
      <c r="E2381" s="99"/>
      <c r="F2381" s="99"/>
      <c r="G2381" s="99"/>
      <c r="H2381" s="99"/>
      <c r="I2381" s="99"/>
      <c r="J2381" s="99"/>
      <c r="K2381" s="99"/>
      <c r="L2381" s="99"/>
      <c r="M2381" s="99"/>
      <c r="N2381" s="99"/>
      <c r="O2381" s="99"/>
      <c r="P2381" s="99"/>
      <c r="Q2381" s="99"/>
      <c r="R2381" s="99"/>
      <c r="S2381" s="99"/>
      <c r="T2381" s="99"/>
      <c r="U2381" s="99"/>
      <c r="V2381" s="99"/>
      <c r="W2381" s="105"/>
      <c r="X2381" s="105"/>
      <c r="Y2381" s="105"/>
      <c r="Z2381" s="105"/>
      <c r="AA2381" s="105"/>
      <c r="AB2381" s="105"/>
      <c r="AC2381" s="105"/>
      <c r="AD2381" s="105"/>
      <c r="AE2381" s="105"/>
      <c r="AF2381" s="105"/>
      <c r="AG2381" s="105"/>
      <c r="AH2381" s="105"/>
      <c r="AI2381" s="105"/>
      <c r="AJ2381" s="171"/>
      <c r="AK2381" s="105"/>
      <c r="AL2381" s="91"/>
      <c r="AM2381" s="91"/>
      <c r="AN2381" s="91"/>
      <c r="AO2381" s="105"/>
      <c r="AP2381" s="105"/>
      <c r="AQ2381" s="105"/>
      <c r="AR2381" s="105">
        <f>IF($AR$2231&gt;0,IPMT('Assumptions (Petroleum)'!$V$6,Model!W$1,'Assumptions (Petroleum)'!$V$9,'Assumptions (Petroleum)'!$V$4*Model!$AR$2231*AVERAGE('Assumptions (Petroleum)'!$AN$2:$AP$2)/10^9),0)</f>
        <v>0</v>
      </c>
      <c r="AS2381" s="105">
        <f>IF($AR$2231&gt;0,IPMT('Assumptions (Petroleum)'!$V$6,Model!X$1,'Assumptions (Petroleum)'!$V$9,'Assumptions (Petroleum)'!$V$4*Model!$AR$2231*AVERAGE('Assumptions (Petroleum)'!$AN$2:$AP$2)/10^9),0)</f>
        <v>0</v>
      </c>
      <c r="AT2381" s="105">
        <f>IF($AR$2231&gt;0,IPMT('Assumptions (Petroleum)'!$V$6,Model!Y$1,'Assumptions (Petroleum)'!$V$9,'Assumptions (Petroleum)'!$V$4*Model!$AR$2231*AVERAGE('Assumptions (Petroleum)'!$AN$2:$AP$2)/10^9),0)</f>
        <v>0</v>
      </c>
      <c r="AU2381" s="105">
        <f>IF($AR$2231&gt;0,IPMT('Assumptions (Petroleum)'!$V$6,Model!Z$1,'Assumptions (Petroleum)'!$V$9,'Assumptions (Petroleum)'!$V$4*Model!$AR$2231*AVERAGE('Assumptions (Petroleum)'!$AN$2:$AP$2)/10^9),0)</f>
        <v>0</v>
      </c>
      <c r="AV2381" s="105">
        <f>IF($AR$2231&gt;0,IPMT('Assumptions (Petroleum)'!$V$6,Model!AA$1,'Assumptions (Petroleum)'!$V$9,'Assumptions (Petroleum)'!$V$4*Model!$AR$2231*AVERAGE('Assumptions (Petroleum)'!$AN$2:$AP$2)/10^9),0)</f>
        <v>0</v>
      </c>
      <c r="AW2381" s="105">
        <f>IF($AR$2231&gt;0,IPMT('Assumptions (Petroleum)'!$V$6,Model!AB$1,'Assumptions (Petroleum)'!$V$9,'Assumptions (Petroleum)'!$V$4*Model!$AR$2231*AVERAGE('Assumptions (Petroleum)'!$AN$2:$AP$2)/10^9),0)</f>
        <v>0</v>
      </c>
      <c r="AX2381" s="105">
        <f>IF($AR$2231&gt;0,IPMT('Assumptions (Petroleum)'!$V$6,Model!AC$1,'Assumptions (Petroleum)'!$V$9,'Assumptions (Petroleum)'!$V$4*Model!$AR$2231*AVERAGE('Assumptions (Petroleum)'!$AN$2:$AP$2)/10^9),0)</f>
        <v>0</v>
      </c>
      <c r="AY2381" s="105">
        <f>IF($AR$2231&gt;0,IPMT('Assumptions (Petroleum)'!$V$6,Model!AD$1,'Assumptions (Petroleum)'!$V$9,'Assumptions (Petroleum)'!$V$4*Model!$AR$2231*AVERAGE('Assumptions (Petroleum)'!$AN$2:$AP$2)/10^9),0)</f>
        <v>0</v>
      </c>
      <c r="AZ2381" s="105">
        <f>IF($AR$2231&gt;0,IPMT('Assumptions (Petroleum)'!$V$6,Model!AE$1,'Assumptions (Petroleum)'!$V$9,'Assumptions (Petroleum)'!$V$4*Model!$AR$2231*AVERAGE('Assumptions (Petroleum)'!$AN$2:$AP$2)/10^9),0)</f>
        <v>0</v>
      </c>
      <c r="BA2381" s="105">
        <f>IF($AR$2231&gt;0,IPMT('Assumptions (Petroleum)'!$V$6,Model!AF$1,'Assumptions (Petroleum)'!$V$9,'Assumptions (Petroleum)'!$V$4*Model!$AR$2231*AVERAGE('Assumptions (Petroleum)'!$AN$2:$AP$2)/10^9),0)</f>
        <v>0</v>
      </c>
      <c r="BB2381" s="105">
        <f>IF($AR$2231&gt;0,IPMT('Assumptions (Petroleum)'!$V$6,Model!AG$1,'Assumptions (Petroleum)'!$V$9,'Assumptions (Petroleum)'!$V$4*Model!$AR$2231*AVERAGE('Assumptions (Petroleum)'!$AN$2:$AP$2)/10^9),0)</f>
        <v>0</v>
      </c>
      <c r="BC2381" s="105">
        <f>IF($AR$2231&gt;0,IPMT('Assumptions (Petroleum)'!$V$6,Model!AH$1,'Assumptions (Petroleum)'!$V$9,'Assumptions (Petroleum)'!$V$4*Model!$AR$2231*AVERAGE('Assumptions (Petroleum)'!$AN$2:$AP$2)/10^9),0)</f>
        <v>0</v>
      </c>
      <c r="BD2381" s="105">
        <f>IF($AR$2231&gt;0,IPMT('Assumptions (Petroleum)'!$V$6,Model!AI$1,'Assumptions (Petroleum)'!$V$9,'Assumptions (Petroleum)'!$V$4*Model!$AR$2231*AVERAGE('Assumptions (Petroleum)'!$AN$2:$AP$2)/10^9),0)</f>
        <v>0</v>
      </c>
      <c r="BE2381" s="105">
        <f>IF($AR$2231&gt;0,IPMT('Assumptions (Petroleum)'!$V$6,Model!AJ$1,'Assumptions (Petroleum)'!$V$9,'Assumptions (Petroleum)'!$V$4*Model!$AR$2231*AVERAGE('Assumptions (Petroleum)'!$AN$2:$AP$2)/10^9),0)</f>
        <v>0</v>
      </c>
      <c r="BF2381" s="105">
        <f>IF($AR$2231&gt;0,IPMT('Assumptions (Petroleum)'!$V$6,Model!AK$1,'Assumptions (Petroleum)'!$V$9,'Assumptions (Petroleum)'!$V$4*Model!$AR$2231*AVERAGE('Assumptions (Petroleum)'!$AN$2:$AP$2)/10^9),0)</f>
        <v>0</v>
      </c>
      <c r="BG2381" s="105">
        <f>IF($AR$2231&gt;0,IPMT('Assumptions (Petroleum)'!$V$6,Model!AL$1,'Assumptions (Petroleum)'!$V$9,'Assumptions (Petroleum)'!$V$4*Model!$AR$2231*AVERAGE('Assumptions (Petroleum)'!$AN$2:$AP$2)/10^9),0)</f>
        <v>0</v>
      </c>
      <c r="BH2381" s="105">
        <f>IF($AR$2231&gt;0,IPMT('Assumptions (Petroleum)'!$V$6,Model!AM$1,'Assumptions (Petroleum)'!$V$9,'Assumptions (Petroleum)'!$V$4*Model!$AR$2231*AVERAGE('Assumptions (Petroleum)'!$AN$2:$AP$2)/10^9),0)</f>
        <v>0</v>
      </c>
      <c r="BI2381" s="105">
        <f>IF($AR$2231&gt;0,IPMT('Assumptions (Petroleum)'!$V$6,Model!AN$1,'Assumptions (Petroleum)'!$V$9,'Assumptions (Petroleum)'!$V$4*Model!$AR$2231*AVERAGE('Assumptions (Petroleum)'!$AN$2:$AP$2)/10^9),0)</f>
        <v>0</v>
      </c>
      <c r="BJ2381" s="105">
        <f>IF($AR$2231&gt;0,IPMT('Assumptions (Petroleum)'!$V$6,Model!AO$1,'Assumptions (Petroleum)'!$V$9,'Assumptions (Petroleum)'!$V$4*Model!$AR$2231*AVERAGE('Assumptions (Petroleum)'!$AN$2:$AP$2)/10^9),0)</f>
        <v>0</v>
      </c>
      <c r="BK2381" s="105">
        <f>IF($AR$2231&gt;0,IPMT('Assumptions (Petroleum)'!$V$6,Model!AP$1,'Assumptions (Petroleum)'!$V$9,'Assumptions (Petroleum)'!$V$4*Model!$AR$2231*AVERAGE('Assumptions (Petroleum)'!$AN$2:$AP$2)/10^9),0)</f>
        <v>0</v>
      </c>
      <c r="BL2381" s="105">
        <f>IF($AR$2231&gt;0,IPMT('Assumptions (Petroleum)'!$V$6,Model!AQ$1,'Assumptions (Petroleum)'!$V$9,'Assumptions (Petroleum)'!$V$4*Model!$AR$2231*AVERAGE('Assumptions (Petroleum)'!$AN$2:$AP$2)/10^9),0)</f>
        <v>0</v>
      </c>
      <c r="BM2381" s="105">
        <f>IF($AR$2231&gt;0,IPMT('Assumptions (Petroleum)'!$V$6,Model!AR$1,'Assumptions (Petroleum)'!$V$9,'Assumptions (Petroleum)'!$V$4*Model!$AR$2231*AVERAGE('Assumptions (Petroleum)'!$AN$2:$AP$2)/10^9),0)</f>
        <v>0</v>
      </c>
      <c r="BN2381" s="105">
        <f>IF($AR$2231&gt;0,IPMT('Assumptions (Petroleum)'!$V$6,Model!AS$1,'Assumptions (Petroleum)'!$V$9,'Assumptions (Petroleum)'!$V$4*Model!$AR$2231*AVERAGE('Assumptions (Petroleum)'!$AN$2:$AP$2)/10^9),0)</f>
        <v>0</v>
      </c>
      <c r="BO2381" s="105">
        <f>IF($AR$2231&gt;0,IPMT('Assumptions (Petroleum)'!$V$6,Model!AT$1,'Assumptions (Petroleum)'!$V$9,'Assumptions (Petroleum)'!$V$4*Model!$AR$2231*AVERAGE('Assumptions (Petroleum)'!$AN$2:$AP$2)/10^9),0)</f>
        <v>0</v>
      </c>
      <c r="BP2381" s="105">
        <f>IF($AR$2231&gt;0,IPMT('Assumptions (Petroleum)'!$V$6,Model!AU$1,'Assumptions (Petroleum)'!$V$9,'Assumptions (Petroleum)'!$V$4*Model!$AR$2231*AVERAGE('Assumptions (Petroleum)'!$AN$2:$AP$2)/10^9),0)</f>
        <v>0</v>
      </c>
    </row>
    <row r="2382" spans="1:68" ht="15.75" hidden="1" customHeight="1" outlineLevel="1">
      <c r="A2382" s="447"/>
      <c r="B2382" s="99"/>
      <c r="C2382" s="99"/>
      <c r="D2382" s="99"/>
      <c r="E2382" s="99"/>
      <c r="F2382" s="99"/>
      <c r="G2382" s="99"/>
      <c r="H2382" s="99"/>
      <c r="I2382" s="99"/>
      <c r="J2382" s="99"/>
      <c r="K2382" s="99"/>
      <c r="L2382" s="99"/>
      <c r="M2382" s="99"/>
      <c r="N2382" s="99"/>
      <c r="O2382" s="99"/>
      <c r="P2382" s="99"/>
      <c r="Q2382" s="99"/>
      <c r="R2382" s="99"/>
      <c r="S2382" s="99"/>
      <c r="T2382" s="99"/>
      <c r="U2382" s="99"/>
      <c r="V2382" s="99"/>
      <c r="W2382" s="105"/>
      <c r="X2382" s="105"/>
      <c r="Y2382" s="105"/>
      <c r="Z2382" s="105"/>
      <c r="AA2382" s="105"/>
      <c r="AB2382" s="105"/>
      <c r="AC2382" s="105"/>
      <c r="AD2382" s="105"/>
      <c r="AE2382" s="105"/>
      <c r="AF2382" s="105"/>
      <c r="AG2382" s="105"/>
      <c r="AH2382" s="105"/>
      <c r="AI2382" s="105"/>
      <c r="AJ2382" s="171"/>
      <c r="AK2382" s="105"/>
      <c r="AL2382" s="91"/>
      <c r="AM2382" s="91"/>
      <c r="AN2382" s="91"/>
      <c r="AO2382" s="105"/>
      <c r="AP2382" s="105"/>
      <c r="AQ2382" s="105"/>
      <c r="AR2382" s="105"/>
      <c r="AS2382" s="105">
        <f>IF($AS$2231&gt;0,IPMT('Assumptions (Petroleum)'!$V$6,Model!W$1,'Assumptions (Petroleum)'!$V$9,'Assumptions (Petroleum)'!$V$4*Model!$AS$2231*AVERAGE('Assumptions (Petroleum)'!$AO$2:$AQ$2)/10^9),0)</f>
        <v>0</v>
      </c>
      <c r="AT2382" s="105">
        <f>IF($AS$2231&gt;0,IPMT('Assumptions (Petroleum)'!$V$6,Model!X$1,'Assumptions (Petroleum)'!$V$9,'Assumptions (Petroleum)'!$V$4*Model!$AS$2231*AVERAGE('Assumptions (Petroleum)'!$AO$2:$AQ$2)/10^9),0)</f>
        <v>0</v>
      </c>
      <c r="AU2382" s="105">
        <f>IF($AS$2231&gt;0,IPMT('Assumptions (Petroleum)'!$V$6,Model!Y$1,'Assumptions (Petroleum)'!$V$9,'Assumptions (Petroleum)'!$V$4*Model!$AS$2231*AVERAGE('Assumptions (Petroleum)'!$AO$2:$AQ$2)/10^9),0)</f>
        <v>0</v>
      </c>
      <c r="AV2382" s="105">
        <f>IF($AS$2231&gt;0,IPMT('Assumptions (Petroleum)'!$V$6,Model!Z$1,'Assumptions (Petroleum)'!$V$9,'Assumptions (Petroleum)'!$V$4*Model!$AS$2231*AVERAGE('Assumptions (Petroleum)'!$AO$2:$AQ$2)/10^9),0)</f>
        <v>0</v>
      </c>
      <c r="AW2382" s="105">
        <f>IF($AS$2231&gt;0,IPMT('Assumptions (Petroleum)'!$V$6,Model!AA$1,'Assumptions (Petroleum)'!$V$9,'Assumptions (Petroleum)'!$V$4*Model!$AS$2231*AVERAGE('Assumptions (Petroleum)'!$AO$2:$AQ$2)/10^9),0)</f>
        <v>0</v>
      </c>
      <c r="AX2382" s="105">
        <f>IF($AS$2231&gt;0,IPMT('Assumptions (Petroleum)'!$V$6,Model!AB$1,'Assumptions (Petroleum)'!$V$9,'Assumptions (Petroleum)'!$V$4*Model!$AS$2231*AVERAGE('Assumptions (Petroleum)'!$AO$2:$AQ$2)/10^9),0)</f>
        <v>0</v>
      </c>
      <c r="AY2382" s="105">
        <f>IF($AS$2231&gt;0,IPMT('Assumptions (Petroleum)'!$V$6,Model!AC$1,'Assumptions (Petroleum)'!$V$9,'Assumptions (Petroleum)'!$V$4*Model!$AS$2231*AVERAGE('Assumptions (Petroleum)'!$AO$2:$AQ$2)/10^9),0)</f>
        <v>0</v>
      </c>
      <c r="AZ2382" s="105">
        <f>IF($AS$2231&gt;0,IPMT('Assumptions (Petroleum)'!$V$6,Model!AD$1,'Assumptions (Petroleum)'!$V$9,'Assumptions (Petroleum)'!$V$4*Model!$AS$2231*AVERAGE('Assumptions (Petroleum)'!$AO$2:$AQ$2)/10^9),0)</f>
        <v>0</v>
      </c>
      <c r="BA2382" s="105">
        <f>IF($AS$2231&gt;0,IPMT('Assumptions (Petroleum)'!$V$6,Model!AE$1,'Assumptions (Petroleum)'!$V$9,'Assumptions (Petroleum)'!$V$4*Model!$AS$2231*AVERAGE('Assumptions (Petroleum)'!$AO$2:$AQ$2)/10^9),0)</f>
        <v>0</v>
      </c>
      <c r="BB2382" s="105">
        <f>IF($AS$2231&gt;0,IPMT('Assumptions (Petroleum)'!$V$6,Model!AF$1,'Assumptions (Petroleum)'!$V$9,'Assumptions (Petroleum)'!$V$4*Model!$AS$2231*AVERAGE('Assumptions (Petroleum)'!$AO$2:$AQ$2)/10^9),0)</f>
        <v>0</v>
      </c>
      <c r="BC2382" s="105">
        <f>IF($AS$2231&gt;0,IPMT('Assumptions (Petroleum)'!$V$6,Model!AG$1,'Assumptions (Petroleum)'!$V$9,'Assumptions (Petroleum)'!$V$4*Model!$AS$2231*AVERAGE('Assumptions (Petroleum)'!$AO$2:$AQ$2)/10^9),0)</f>
        <v>0</v>
      </c>
      <c r="BD2382" s="105">
        <f>IF($AS$2231&gt;0,IPMT('Assumptions (Petroleum)'!$V$6,Model!AH$1,'Assumptions (Petroleum)'!$V$9,'Assumptions (Petroleum)'!$V$4*Model!$AS$2231*AVERAGE('Assumptions (Petroleum)'!$AO$2:$AQ$2)/10^9),0)</f>
        <v>0</v>
      </c>
      <c r="BE2382" s="105">
        <f>IF($AS$2231&gt;0,IPMT('Assumptions (Petroleum)'!$V$6,Model!AI$1,'Assumptions (Petroleum)'!$V$9,'Assumptions (Petroleum)'!$V$4*Model!$AS$2231*AVERAGE('Assumptions (Petroleum)'!$AO$2:$AQ$2)/10^9),0)</f>
        <v>0</v>
      </c>
      <c r="BF2382" s="105">
        <f>IF($AS$2231&gt;0,IPMT('Assumptions (Petroleum)'!$V$6,Model!AJ$1,'Assumptions (Petroleum)'!$V$9,'Assumptions (Petroleum)'!$V$4*Model!$AS$2231*AVERAGE('Assumptions (Petroleum)'!$AO$2:$AQ$2)/10^9),0)</f>
        <v>0</v>
      </c>
      <c r="BG2382" s="105">
        <f>IF($AS$2231&gt;0,IPMT('Assumptions (Petroleum)'!$V$6,Model!AK$1,'Assumptions (Petroleum)'!$V$9,'Assumptions (Petroleum)'!$V$4*Model!$AS$2231*AVERAGE('Assumptions (Petroleum)'!$AO$2:$AQ$2)/10^9),0)</f>
        <v>0</v>
      </c>
      <c r="BH2382" s="105">
        <f>IF($AS$2231&gt;0,IPMT('Assumptions (Petroleum)'!$V$6,Model!AL$1,'Assumptions (Petroleum)'!$V$9,'Assumptions (Petroleum)'!$V$4*Model!$AS$2231*AVERAGE('Assumptions (Petroleum)'!$AO$2:$AQ$2)/10^9),0)</f>
        <v>0</v>
      </c>
      <c r="BI2382" s="105">
        <f>IF($AS$2231&gt;0,IPMT('Assumptions (Petroleum)'!$V$6,Model!AM$1,'Assumptions (Petroleum)'!$V$9,'Assumptions (Petroleum)'!$V$4*Model!$AS$2231*AVERAGE('Assumptions (Petroleum)'!$AO$2:$AQ$2)/10^9),0)</f>
        <v>0</v>
      </c>
      <c r="BJ2382" s="105">
        <f>IF($AS$2231&gt;0,IPMT('Assumptions (Petroleum)'!$V$6,Model!AN$1,'Assumptions (Petroleum)'!$V$9,'Assumptions (Petroleum)'!$V$4*Model!$AS$2231*AVERAGE('Assumptions (Petroleum)'!$AO$2:$AQ$2)/10^9),0)</f>
        <v>0</v>
      </c>
      <c r="BK2382" s="105">
        <f>IF($AS$2231&gt;0,IPMT('Assumptions (Petroleum)'!$V$6,Model!AO$1,'Assumptions (Petroleum)'!$V$9,'Assumptions (Petroleum)'!$V$4*Model!$AS$2231*AVERAGE('Assumptions (Petroleum)'!$AO$2:$AQ$2)/10^9),0)</f>
        <v>0</v>
      </c>
      <c r="BL2382" s="105">
        <f>IF($AS$2231&gt;0,IPMT('Assumptions (Petroleum)'!$V$6,Model!AP$1,'Assumptions (Petroleum)'!$V$9,'Assumptions (Petroleum)'!$V$4*Model!$AS$2231*AVERAGE('Assumptions (Petroleum)'!$AO$2:$AQ$2)/10^9),0)</f>
        <v>0</v>
      </c>
      <c r="BM2382" s="105">
        <f>IF($AS$2231&gt;0,IPMT('Assumptions (Petroleum)'!$V$6,Model!AQ$1,'Assumptions (Petroleum)'!$V$9,'Assumptions (Petroleum)'!$V$4*Model!$AS$2231*AVERAGE('Assumptions (Petroleum)'!$AO$2:$AQ$2)/10^9),0)</f>
        <v>0</v>
      </c>
      <c r="BN2382" s="105">
        <f>IF($AS$2231&gt;0,IPMT('Assumptions (Petroleum)'!$V$6,Model!AR$1,'Assumptions (Petroleum)'!$V$9,'Assumptions (Petroleum)'!$V$4*Model!$AS$2231*AVERAGE('Assumptions (Petroleum)'!$AO$2:$AQ$2)/10^9),0)</f>
        <v>0</v>
      </c>
      <c r="BO2382" s="105">
        <f>IF($AS$2231&gt;0,IPMT('Assumptions (Petroleum)'!$V$6,Model!AS$1,'Assumptions (Petroleum)'!$V$9,'Assumptions (Petroleum)'!$V$4*Model!$AS$2231*AVERAGE('Assumptions (Petroleum)'!$AO$2:$AQ$2)/10^9),0)</f>
        <v>0</v>
      </c>
      <c r="BP2382" s="105">
        <f>IF($AS$2231&gt;0,IPMT('Assumptions (Petroleum)'!$V$6,Model!AT$1,'Assumptions (Petroleum)'!$V$9,'Assumptions (Petroleum)'!$V$4*Model!$AS$2231*AVERAGE('Assumptions (Petroleum)'!$AO$2:$AQ$2)/10^9),0)</f>
        <v>0</v>
      </c>
    </row>
    <row r="2383" spans="1:68" ht="15.75" hidden="1" customHeight="1" outlineLevel="1">
      <c r="A2383" s="447"/>
      <c r="B2383" s="99"/>
      <c r="C2383" s="99"/>
      <c r="D2383" s="99"/>
      <c r="E2383" s="99"/>
      <c r="F2383" s="99"/>
      <c r="G2383" s="99"/>
      <c r="H2383" s="99"/>
      <c r="I2383" s="99"/>
      <c r="J2383" s="99"/>
      <c r="K2383" s="99"/>
      <c r="L2383" s="99"/>
      <c r="M2383" s="99"/>
      <c r="N2383" s="99"/>
      <c r="O2383" s="99"/>
      <c r="P2383" s="99"/>
      <c r="Q2383" s="99"/>
      <c r="R2383" s="99"/>
      <c r="S2383" s="99"/>
      <c r="T2383" s="99"/>
      <c r="U2383" s="99"/>
      <c r="V2383" s="99"/>
      <c r="W2383" s="105"/>
      <c r="X2383" s="105"/>
      <c r="Y2383" s="105"/>
      <c r="Z2383" s="105"/>
      <c r="AA2383" s="105"/>
      <c r="AB2383" s="105"/>
      <c r="AC2383" s="105"/>
      <c r="AD2383" s="105"/>
      <c r="AE2383" s="105"/>
      <c r="AF2383" s="105"/>
      <c r="AG2383" s="105"/>
      <c r="AH2383" s="105"/>
      <c r="AI2383" s="105"/>
      <c r="AJ2383" s="171"/>
      <c r="AK2383" s="105"/>
      <c r="AL2383" s="91"/>
      <c r="AM2383" s="91"/>
      <c r="AN2383" s="91"/>
      <c r="AO2383" s="105"/>
      <c r="AP2383" s="105"/>
      <c r="AQ2383" s="105"/>
      <c r="AR2383" s="105"/>
      <c r="AS2383" s="105"/>
      <c r="AT2383" s="105">
        <f>IF($AT$2231&gt;0,IPMT('Assumptions (Petroleum)'!$V$6,Model!W$1,'Assumptions (Petroleum)'!$V$9,'Assumptions (Petroleum)'!$V$4*Model!$AT$2231*AVERAGE('Assumptions (Petroleum)'!$AP$2:$AR$2)/10^9),0)</f>
        <v>0</v>
      </c>
      <c r="AU2383" s="105">
        <f>IF($AT$2231&gt;0,IPMT('Assumptions (Petroleum)'!$V$6,Model!X$1,'Assumptions (Petroleum)'!$V$9,'Assumptions (Petroleum)'!$V$4*Model!$AT$2231*AVERAGE('Assumptions (Petroleum)'!$AP$2:$AR$2)/10^9),0)</f>
        <v>0</v>
      </c>
      <c r="AV2383" s="105">
        <f>IF($AT$2231&gt;0,IPMT('Assumptions (Petroleum)'!$V$6,Model!Y$1,'Assumptions (Petroleum)'!$V$9,'Assumptions (Petroleum)'!$V$4*Model!$AT$2231*AVERAGE('Assumptions (Petroleum)'!$AP$2:$AR$2)/10^9),0)</f>
        <v>0</v>
      </c>
      <c r="AW2383" s="105">
        <f>IF($AT$2231&gt;0,IPMT('Assumptions (Petroleum)'!$V$6,Model!Z$1,'Assumptions (Petroleum)'!$V$9,'Assumptions (Petroleum)'!$V$4*Model!$AT$2231*AVERAGE('Assumptions (Petroleum)'!$AP$2:$AR$2)/10^9),0)</f>
        <v>0</v>
      </c>
      <c r="AX2383" s="105">
        <f>IF($AT$2231&gt;0,IPMT('Assumptions (Petroleum)'!$V$6,Model!AA$1,'Assumptions (Petroleum)'!$V$9,'Assumptions (Petroleum)'!$V$4*Model!$AT$2231*AVERAGE('Assumptions (Petroleum)'!$AP$2:$AR$2)/10^9),0)</f>
        <v>0</v>
      </c>
      <c r="AY2383" s="105">
        <f>IF($AT$2231&gt;0,IPMT('Assumptions (Petroleum)'!$V$6,Model!AB$1,'Assumptions (Petroleum)'!$V$9,'Assumptions (Petroleum)'!$V$4*Model!$AT$2231*AVERAGE('Assumptions (Petroleum)'!$AP$2:$AR$2)/10^9),0)</f>
        <v>0</v>
      </c>
      <c r="AZ2383" s="105">
        <f>IF($AT$2231&gt;0,IPMT('Assumptions (Petroleum)'!$V$6,Model!AC$1,'Assumptions (Petroleum)'!$V$9,'Assumptions (Petroleum)'!$V$4*Model!$AT$2231*AVERAGE('Assumptions (Petroleum)'!$AP$2:$AR$2)/10^9),0)</f>
        <v>0</v>
      </c>
      <c r="BA2383" s="105">
        <f>IF($AT$2231&gt;0,IPMT('Assumptions (Petroleum)'!$V$6,Model!AD$1,'Assumptions (Petroleum)'!$V$9,'Assumptions (Petroleum)'!$V$4*Model!$AT$2231*AVERAGE('Assumptions (Petroleum)'!$AP$2:$AR$2)/10^9),0)</f>
        <v>0</v>
      </c>
      <c r="BB2383" s="105">
        <f>IF($AT$2231&gt;0,IPMT('Assumptions (Petroleum)'!$V$6,Model!AE$1,'Assumptions (Petroleum)'!$V$9,'Assumptions (Petroleum)'!$V$4*Model!$AT$2231*AVERAGE('Assumptions (Petroleum)'!$AP$2:$AR$2)/10^9),0)</f>
        <v>0</v>
      </c>
      <c r="BC2383" s="105">
        <f>IF($AT$2231&gt;0,IPMT('Assumptions (Petroleum)'!$V$6,Model!AF$1,'Assumptions (Petroleum)'!$V$9,'Assumptions (Petroleum)'!$V$4*Model!$AT$2231*AVERAGE('Assumptions (Petroleum)'!$AP$2:$AR$2)/10^9),0)</f>
        <v>0</v>
      </c>
      <c r="BD2383" s="105">
        <f>IF($AT$2231&gt;0,IPMT('Assumptions (Petroleum)'!$V$6,Model!AG$1,'Assumptions (Petroleum)'!$V$9,'Assumptions (Petroleum)'!$V$4*Model!$AT$2231*AVERAGE('Assumptions (Petroleum)'!$AP$2:$AR$2)/10^9),0)</f>
        <v>0</v>
      </c>
      <c r="BE2383" s="105">
        <f>IF($AT$2231&gt;0,IPMT('Assumptions (Petroleum)'!$V$6,Model!AH$1,'Assumptions (Petroleum)'!$V$9,'Assumptions (Petroleum)'!$V$4*Model!$AT$2231*AVERAGE('Assumptions (Petroleum)'!$AP$2:$AR$2)/10^9),0)</f>
        <v>0</v>
      </c>
      <c r="BF2383" s="105">
        <f>IF($AT$2231&gt;0,IPMT('Assumptions (Petroleum)'!$V$6,Model!AI$1,'Assumptions (Petroleum)'!$V$9,'Assumptions (Petroleum)'!$V$4*Model!$AT$2231*AVERAGE('Assumptions (Petroleum)'!$AP$2:$AR$2)/10^9),0)</f>
        <v>0</v>
      </c>
      <c r="BG2383" s="105">
        <f>IF($AT$2231&gt;0,IPMT('Assumptions (Petroleum)'!$V$6,Model!AJ$1,'Assumptions (Petroleum)'!$V$9,'Assumptions (Petroleum)'!$V$4*Model!$AT$2231*AVERAGE('Assumptions (Petroleum)'!$AP$2:$AR$2)/10^9),0)</f>
        <v>0</v>
      </c>
      <c r="BH2383" s="105">
        <f>IF($AT$2231&gt;0,IPMT('Assumptions (Petroleum)'!$V$6,Model!AK$1,'Assumptions (Petroleum)'!$V$9,'Assumptions (Petroleum)'!$V$4*Model!$AT$2231*AVERAGE('Assumptions (Petroleum)'!$AP$2:$AR$2)/10^9),0)</f>
        <v>0</v>
      </c>
      <c r="BI2383" s="105">
        <f>IF($AT$2231&gt;0,IPMT('Assumptions (Petroleum)'!$V$6,Model!AL$1,'Assumptions (Petroleum)'!$V$9,'Assumptions (Petroleum)'!$V$4*Model!$AT$2231*AVERAGE('Assumptions (Petroleum)'!$AP$2:$AR$2)/10^9),0)</f>
        <v>0</v>
      </c>
      <c r="BJ2383" s="105">
        <f>IF($AT$2231&gt;0,IPMT('Assumptions (Petroleum)'!$V$6,Model!AM$1,'Assumptions (Petroleum)'!$V$9,'Assumptions (Petroleum)'!$V$4*Model!$AT$2231*AVERAGE('Assumptions (Petroleum)'!$AP$2:$AR$2)/10^9),0)</f>
        <v>0</v>
      </c>
      <c r="BK2383" s="105">
        <f>IF($AT$2231&gt;0,IPMT('Assumptions (Petroleum)'!$V$6,Model!AN$1,'Assumptions (Petroleum)'!$V$9,'Assumptions (Petroleum)'!$V$4*Model!$AT$2231*AVERAGE('Assumptions (Petroleum)'!$AP$2:$AR$2)/10^9),0)</f>
        <v>0</v>
      </c>
      <c r="BL2383" s="105">
        <f>IF($AT$2231&gt;0,IPMT('Assumptions (Petroleum)'!$V$6,Model!AO$1,'Assumptions (Petroleum)'!$V$9,'Assumptions (Petroleum)'!$V$4*Model!$AT$2231*AVERAGE('Assumptions (Petroleum)'!$AP$2:$AR$2)/10^9),0)</f>
        <v>0</v>
      </c>
      <c r="BM2383" s="105">
        <f>IF($AT$2231&gt;0,IPMT('Assumptions (Petroleum)'!$V$6,Model!AP$1,'Assumptions (Petroleum)'!$V$9,'Assumptions (Petroleum)'!$V$4*Model!$AT$2231*AVERAGE('Assumptions (Petroleum)'!$AP$2:$AR$2)/10^9),0)</f>
        <v>0</v>
      </c>
      <c r="BN2383" s="105">
        <f>IF($AT$2231&gt;0,IPMT('Assumptions (Petroleum)'!$V$6,Model!AQ$1,'Assumptions (Petroleum)'!$V$9,'Assumptions (Petroleum)'!$V$4*Model!$AT$2231*AVERAGE('Assumptions (Petroleum)'!$AP$2:$AR$2)/10^9),0)</f>
        <v>0</v>
      </c>
      <c r="BO2383" s="105">
        <f>IF($AT$2231&gt;0,IPMT('Assumptions (Petroleum)'!$V$6,Model!AR$1,'Assumptions (Petroleum)'!$V$9,'Assumptions (Petroleum)'!$V$4*Model!$AT$2231*AVERAGE('Assumptions (Petroleum)'!$AP$2:$AR$2)/10^9),0)</f>
        <v>0</v>
      </c>
      <c r="BP2383" s="105">
        <f>IF($AT$2231&gt;0,IPMT('Assumptions (Petroleum)'!$V$6,Model!AS$1,'Assumptions (Petroleum)'!$V$9,'Assumptions (Petroleum)'!$V$4*Model!$AT$2231*AVERAGE('Assumptions (Petroleum)'!$AP$2:$AR$2)/10^9),0)</f>
        <v>0</v>
      </c>
    </row>
    <row r="2384" spans="1:68" ht="15.75" hidden="1" customHeight="1" outlineLevel="1">
      <c r="A2384" s="447"/>
      <c r="B2384" s="99"/>
      <c r="C2384" s="99"/>
      <c r="D2384" s="99"/>
      <c r="E2384" s="99"/>
      <c r="F2384" s="99"/>
      <c r="G2384" s="99"/>
      <c r="H2384" s="99"/>
      <c r="I2384" s="99"/>
      <c r="J2384" s="99"/>
      <c r="K2384" s="99"/>
      <c r="L2384" s="99"/>
      <c r="M2384" s="99"/>
      <c r="N2384" s="99"/>
      <c r="O2384" s="99"/>
      <c r="P2384" s="99"/>
      <c r="Q2384" s="99"/>
      <c r="R2384" s="99"/>
      <c r="S2384" s="99"/>
      <c r="T2384" s="99"/>
      <c r="U2384" s="99"/>
      <c r="V2384" s="99"/>
      <c r="W2384" s="105"/>
      <c r="X2384" s="105"/>
      <c r="Y2384" s="105"/>
      <c r="Z2384" s="105"/>
      <c r="AA2384" s="105"/>
      <c r="AB2384" s="105"/>
      <c r="AC2384" s="105"/>
      <c r="AD2384" s="105"/>
      <c r="AE2384" s="105"/>
      <c r="AF2384" s="105"/>
      <c r="AG2384" s="105"/>
      <c r="AH2384" s="105"/>
      <c r="AI2384" s="105"/>
      <c r="AJ2384" s="171"/>
      <c r="AK2384" s="105"/>
      <c r="AL2384" s="91"/>
      <c r="AM2384" s="91"/>
      <c r="AN2384" s="91"/>
      <c r="AO2384" s="105"/>
      <c r="AP2384" s="105"/>
      <c r="AQ2384" s="105"/>
      <c r="AR2384" s="105"/>
      <c r="AS2384" s="105"/>
      <c r="AT2384" s="105"/>
      <c r="AU2384" s="105">
        <f>IF($AU$2231&gt;0,IPMT('Assumptions (Petroleum)'!$V$6,Model!W$1,'Assumptions (Petroleum)'!$V$9,'Assumptions (Petroleum)'!$V$4*Model!$AU$2231*AVERAGE('Assumptions (Petroleum)'!$AQ$2:$AS$2)/10^9),0)</f>
        <v>0</v>
      </c>
      <c r="AV2384" s="105">
        <f>IF($AU$2231&gt;0,IPMT('Assumptions (Petroleum)'!$V$6,Model!X$1,'Assumptions (Petroleum)'!$V$9,'Assumptions (Petroleum)'!$V$4*Model!$AU$2231*AVERAGE('Assumptions (Petroleum)'!$AQ$2:$AS$2)/10^9),0)</f>
        <v>0</v>
      </c>
      <c r="AW2384" s="105">
        <f>IF($AU$2231&gt;0,IPMT('Assumptions (Petroleum)'!$V$6,Model!Y$1,'Assumptions (Petroleum)'!$V$9,'Assumptions (Petroleum)'!$V$4*Model!$AU$2231*AVERAGE('Assumptions (Petroleum)'!$AQ$2:$AS$2)/10^9),0)</f>
        <v>0</v>
      </c>
      <c r="AX2384" s="105">
        <f>IF($AU$2231&gt;0,IPMT('Assumptions (Petroleum)'!$V$6,Model!Z$1,'Assumptions (Petroleum)'!$V$9,'Assumptions (Petroleum)'!$V$4*Model!$AU$2231*AVERAGE('Assumptions (Petroleum)'!$AQ$2:$AS$2)/10^9),0)</f>
        <v>0</v>
      </c>
      <c r="AY2384" s="105">
        <f>IF($AU$2231&gt;0,IPMT('Assumptions (Petroleum)'!$V$6,Model!AA$1,'Assumptions (Petroleum)'!$V$9,'Assumptions (Petroleum)'!$V$4*Model!$AU$2231*AVERAGE('Assumptions (Petroleum)'!$AQ$2:$AS$2)/10^9),0)</f>
        <v>0</v>
      </c>
      <c r="AZ2384" s="105">
        <f>IF($AU$2231&gt;0,IPMT('Assumptions (Petroleum)'!$V$6,Model!AB$1,'Assumptions (Petroleum)'!$V$9,'Assumptions (Petroleum)'!$V$4*Model!$AU$2231*AVERAGE('Assumptions (Petroleum)'!$AQ$2:$AS$2)/10^9),0)</f>
        <v>0</v>
      </c>
      <c r="BA2384" s="105">
        <f>IF($AU$2231&gt;0,IPMT('Assumptions (Petroleum)'!$V$6,Model!AC$1,'Assumptions (Petroleum)'!$V$9,'Assumptions (Petroleum)'!$V$4*Model!$AU$2231*AVERAGE('Assumptions (Petroleum)'!$AQ$2:$AS$2)/10^9),0)</f>
        <v>0</v>
      </c>
      <c r="BB2384" s="105">
        <f>IF($AU$2231&gt;0,IPMT('Assumptions (Petroleum)'!$V$6,Model!AD$1,'Assumptions (Petroleum)'!$V$9,'Assumptions (Petroleum)'!$V$4*Model!$AU$2231*AVERAGE('Assumptions (Petroleum)'!$AQ$2:$AS$2)/10^9),0)</f>
        <v>0</v>
      </c>
      <c r="BC2384" s="105">
        <f>IF($AU$2231&gt;0,IPMT('Assumptions (Petroleum)'!$V$6,Model!AE$1,'Assumptions (Petroleum)'!$V$9,'Assumptions (Petroleum)'!$V$4*Model!$AU$2231*AVERAGE('Assumptions (Petroleum)'!$AQ$2:$AS$2)/10^9),0)</f>
        <v>0</v>
      </c>
      <c r="BD2384" s="105">
        <f>IF($AU$2231&gt;0,IPMT('Assumptions (Petroleum)'!$V$6,Model!AF$1,'Assumptions (Petroleum)'!$V$9,'Assumptions (Petroleum)'!$V$4*Model!$AU$2231*AVERAGE('Assumptions (Petroleum)'!$AQ$2:$AS$2)/10^9),0)</f>
        <v>0</v>
      </c>
      <c r="BE2384" s="105">
        <f>IF($AU$2231&gt;0,IPMT('Assumptions (Petroleum)'!$V$6,Model!AG$1,'Assumptions (Petroleum)'!$V$9,'Assumptions (Petroleum)'!$V$4*Model!$AU$2231*AVERAGE('Assumptions (Petroleum)'!$AQ$2:$AS$2)/10^9),0)</f>
        <v>0</v>
      </c>
      <c r="BF2384" s="105">
        <f>IF($AU$2231&gt;0,IPMT('Assumptions (Petroleum)'!$V$6,Model!AH$1,'Assumptions (Petroleum)'!$V$9,'Assumptions (Petroleum)'!$V$4*Model!$AU$2231*AVERAGE('Assumptions (Petroleum)'!$AQ$2:$AS$2)/10^9),0)</f>
        <v>0</v>
      </c>
      <c r="BG2384" s="105">
        <f>IF($AU$2231&gt;0,IPMT('Assumptions (Petroleum)'!$V$6,Model!AI$1,'Assumptions (Petroleum)'!$V$9,'Assumptions (Petroleum)'!$V$4*Model!$AU$2231*AVERAGE('Assumptions (Petroleum)'!$AQ$2:$AS$2)/10^9),0)</f>
        <v>0</v>
      </c>
      <c r="BH2384" s="105">
        <f>IF($AU$2231&gt;0,IPMT('Assumptions (Petroleum)'!$V$6,Model!AJ$1,'Assumptions (Petroleum)'!$V$9,'Assumptions (Petroleum)'!$V$4*Model!$AU$2231*AVERAGE('Assumptions (Petroleum)'!$AQ$2:$AS$2)/10^9),0)</f>
        <v>0</v>
      </c>
      <c r="BI2384" s="105">
        <f>IF($AU$2231&gt;0,IPMT('Assumptions (Petroleum)'!$V$6,Model!AK$1,'Assumptions (Petroleum)'!$V$9,'Assumptions (Petroleum)'!$V$4*Model!$AU$2231*AVERAGE('Assumptions (Petroleum)'!$AQ$2:$AS$2)/10^9),0)</f>
        <v>0</v>
      </c>
      <c r="BJ2384" s="105">
        <f>IF($AU$2231&gt;0,IPMT('Assumptions (Petroleum)'!$V$6,Model!AL$1,'Assumptions (Petroleum)'!$V$9,'Assumptions (Petroleum)'!$V$4*Model!$AU$2231*AVERAGE('Assumptions (Petroleum)'!$AQ$2:$AS$2)/10^9),0)</f>
        <v>0</v>
      </c>
      <c r="BK2384" s="105">
        <f>IF($AU$2231&gt;0,IPMT('Assumptions (Petroleum)'!$V$6,Model!AM$1,'Assumptions (Petroleum)'!$V$9,'Assumptions (Petroleum)'!$V$4*Model!$AU$2231*AVERAGE('Assumptions (Petroleum)'!$AQ$2:$AS$2)/10^9),0)</f>
        <v>0</v>
      </c>
      <c r="BL2384" s="105">
        <f>IF($AU$2231&gt;0,IPMT('Assumptions (Petroleum)'!$V$6,Model!AN$1,'Assumptions (Petroleum)'!$V$9,'Assumptions (Petroleum)'!$V$4*Model!$AU$2231*AVERAGE('Assumptions (Petroleum)'!$AQ$2:$AS$2)/10^9),0)</f>
        <v>0</v>
      </c>
      <c r="BM2384" s="105">
        <f>IF($AU$2231&gt;0,IPMT('Assumptions (Petroleum)'!$V$6,Model!AO$1,'Assumptions (Petroleum)'!$V$9,'Assumptions (Petroleum)'!$V$4*Model!$AU$2231*AVERAGE('Assumptions (Petroleum)'!$AQ$2:$AS$2)/10^9),0)</f>
        <v>0</v>
      </c>
      <c r="BN2384" s="105">
        <f>IF($AU$2231&gt;0,IPMT('Assumptions (Petroleum)'!$V$6,Model!AP$1,'Assumptions (Petroleum)'!$V$9,'Assumptions (Petroleum)'!$V$4*Model!$AU$2231*AVERAGE('Assumptions (Petroleum)'!$AQ$2:$AS$2)/10^9),0)</f>
        <v>0</v>
      </c>
      <c r="BO2384" s="105">
        <f>IF($AU$2231&gt;0,IPMT('Assumptions (Petroleum)'!$V$6,Model!AQ$1,'Assumptions (Petroleum)'!$V$9,'Assumptions (Petroleum)'!$V$4*Model!$AU$2231*AVERAGE('Assumptions (Petroleum)'!$AQ$2:$AS$2)/10^9),0)</f>
        <v>0</v>
      </c>
      <c r="BP2384" s="105">
        <f>IF($AU$2231&gt;0,IPMT('Assumptions (Petroleum)'!$V$6,Model!AR$1,'Assumptions (Petroleum)'!$V$9,'Assumptions (Petroleum)'!$V$4*Model!$AU$2231*AVERAGE('Assumptions (Petroleum)'!$AQ$2:$AS$2)/10^9),0)</f>
        <v>0</v>
      </c>
    </row>
    <row r="2385" spans="1:68" ht="15.75" hidden="1" customHeight="1" outlineLevel="1">
      <c r="A2385" s="447"/>
      <c r="B2385" s="99"/>
      <c r="C2385" s="99"/>
      <c r="D2385" s="99"/>
      <c r="E2385" s="99"/>
      <c r="F2385" s="99"/>
      <c r="G2385" s="99"/>
      <c r="H2385" s="99"/>
      <c r="I2385" s="99"/>
      <c r="J2385" s="99"/>
      <c r="K2385" s="99"/>
      <c r="L2385" s="99"/>
      <c r="M2385" s="99"/>
      <c r="N2385" s="99"/>
      <c r="O2385" s="99"/>
      <c r="P2385" s="99"/>
      <c r="Q2385" s="99"/>
      <c r="R2385" s="99"/>
      <c r="S2385" s="99"/>
      <c r="T2385" s="99"/>
      <c r="U2385" s="99"/>
      <c r="V2385" s="99"/>
      <c r="W2385" s="105"/>
      <c r="X2385" s="105"/>
      <c r="Y2385" s="105"/>
      <c r="Z2385" s="105"/>
      <c r="AA2385" s="105"/>
      <c r="AB2385" s="105"/>
      <c r="AC2385" s="105"/>
      <c r="AD2385" s="105"/>
      <c r="AE2385" s="105"/>
      <c r="AF2385" s="105"/>
      <c r="AG2385" s="105"/>
      <c r="AH2385" s="105"/>
      <c r="AI2385" s="105"/>
      <c r="AJ2385" s="171"/>
      <c r="AK2385" s="105"/>
      <c r="AL2385" s="91"/>
      <c r="AM2385" s="91"/>
      <c r="AN2385" s="91"/>
      <c r="AO2385" s="105"/>
      <c r="AP2385" s="105"/>
      <c r="AQ2385" s="105"/>
      <c r="AR2385" s="105"/>
      <c r="AS2385" s="105"/>
      <c r="AT2385" s="105"/>
      <c r="AU2385" s="105"/>
      <c r="AV2385" s="105">
        <f>IF($AV$2231&gt;0,IPMT('Assumptions (Petroleum)'!$V$6,Model!W$1,'Assumptions (Petroleum)'!$V$9,'Assumptions (Petroleum)'!$V$4*Model!$AV$2231*AVERAGE('Assumptions (Petroleum)'!$AR$2:$AT$2)/10^9),0)</f>
        <v>0</v>
      </c>
      <c r="AW2385" s="105">
        <f>IF($AV$2231&gt;0,IPMT('Assumptions (Petroleum)'!$V$6,Model!X$1,'Assumptions (Petroleum)'!$V$9,'Assumptions (Petroleum)'!$V$4*Model!$AV$2231*AVERAGE('Assumptions (Petroleum)'!$AR$2:$AT$2)/10^9),0)</f>
        <v>0</v>
      </c>
      <c r="AX2385" s="105">
        <f>IF($AV$2231&gt;0,IPMT('Assumptions (Petroleum)'!$V$6,Model!Y$1,'Assumptions (Petroleum)'!$V$9,'Assumptions (Petroleum)'!$V$4*Model!$AV$2231*AVERAGE('Assumptions (Petroleum)'!$AR$2:$AT$2)/10^9),0)</f>
        <v>0</v>
      </c>
      <c r="AY2385" s="105">
        <f>IF($AV$2231&gt;0,IPMT('Assumptions (Petroleum)'!$V$6,Model!Z$1,'Assumptions (Petroleum)'!$V$9,'Assumptions (Petroleum)'!$V$4*Model!$AV$2231*AVERAGE('Assumptions (Petroleum)'!$AR$2:$AT$2)/10^9),0)</f>
        <v>0</v>
      </c>
      <c r="AZ2385" s="105">
        <f>IF($AV$2231&gt;0,IPMT('Assumptions (Petroleum)'!$V$6,Model!AA$1,'Assumptions (Petroleum)'!$V$9,'Assumptions (Petroleum)'!$V$4*Model!$AV$2231*AVERAGE('Assumptions (Petroleum)'!$AR$2:$AT$2)/10^9),0)</f>
        <v>0</v>
      </c>
      <c r="BA2385" s="105">
        <f>IF($AV$2231&gt;0,IPMT('Assumptions (Petroleum)'!$V$6,Model!AB$1,'Assumptions (Petroleum)'!$V$9,'Assumptions (Petroleum)'!$V$4*Model!$AV$2231*AVERAGE('Assumptions (Petroleum)'!$AR$2:$AT$2)/10^9),0)</f>
        <v>0</v>
      </c>
      <c r="BB2385" s="105">
        <f>IF($AV$2231&gt;0,IPMT('Assumptions (Petroleum)'!$V$6,Model!AC$1,'Assumptions (Petroleum)'!$V$9,'Assumptions (Petroleum)'!$V$4*Model!$AV$2231*AVERAGE('Assumptions (Petroleum)'!$AR$2:$AT$2)/10^9),0)</f>
        <v>0</v>
      </c>
      <c r="BC2385" s="105">
        <f>IF($AV$2231&gt;0,IPMT('Assumptions (Petroleum)'!$V$6,Model!AD$1,'Assumptions (Petroleum)'!$V$9,'Assumptions (Petroleum)'!$V$4*Model!$AV$2231*AVERAGE('Assumptions (Petroleum)'!$AR$2:$AT$2)/10^9),0)</f>
        <v>0</v>
      </c>
      <c r="BD2385" s="105">
        <f>IF($AV$2231&gt;0,IPMT('Assumptions (Petroleum)'!$V$6,Model!AE$1,'Assumptions (Petroleum)'!$V$9,'Assumptions (Petroleum)'!$V$4*Model!$AV$2231*AVERAGE('Assumptions (Petroleum)'!$AR$2:$AT$2)/10^9),0)</f>
        <v>0</v>
      </c>
      <c r="BE2385" s="105">
        <f>IF($AV$2231&gt;0,IPMT('Assumptions (Petroleum)'!$V$6,Model!AF$1,'Assumptions (Petroleum)'!$V$9,'Assumptions (Petroleum)'!$V$4*Model!$AV$2231*AVERAGE('Assumptions (Petroleum)'!$AR$2:$AT$2)/10^9),0)</f>
        <v>0</v>
      </c>
      <c r="BF2385" s="105">
        <f>IF($AV$2231&gt;0,IPMT('Assumptions (Petroleum)'!$V$6,Model!AG$1,'Assumptions (Petroleum)'!$V$9,'Assumptions (Petroleum)'!$V$4*Model!$AV$2231*AVERAGE('Assumptions (Petroleum)'!$AR$2:$AT$2)/10^9),0)</f>
        <v>0</v>
      </c>
      <c r="BG2385" s="105">
        <f>IF($AV$2231&gt;0,IPMT('Assumptions (Petroleum)'!$V$6,Model!AH$1,'Assumptions (Petroleum)'!$V$9,'Assumptions (Petroleum)'!$V$4*Model!$AV$2231*AVERAGE('Assumptions (Petroleum)'!$AR$2:$AT$2)/10^9),0)</f>
        <v>0</v>
      </c>
      <c r="BH2385" s="105">
        <f>IF($AV$2231&gt;0,IPMT('Assumptions (Petroleum)'!$V$6,Model!AI$1,'Assumptions (Petroleum)'!$V$9,'Assumptions (Petroleum)'!$V$4*Model!$AV$2231*AVERAGE('Assumptions (Petroleum)'!$AR$2:$AT$2)/10^9),0)</f>
        <v>0</v>
      </c>
      <c r="BI2385" s="105">
        <f>IF($AV$2231&gt;0,IPMT('Assumptions (Petroleum)'!$V$6,Model!AJ$1,'Assumptions (Petroleum)'!$V$9,'Assumptions (Petroleum)'!$V$4*Model!$AV$2231*AVERAGE('Assumptions (Petroleum)'!$AR$2:$AT$2)/10^9),0)</f>
        <v>0</v>
      </c>
      <c r="BJ2385" s="105">
        <f>IF($AV$2231&gt;0,IPMT('Assumptions (Petroleum)'!$V$6,Model!AK$1,'Assumptions (Petroleum)'!$V$9,'Assumptions (Petroleum)'!$V$4*Model!$AV$2231*AVERAGE('Assumptions (Petroleum)'!$AR$2:$AT$2)/10^9),0)</f>
        <v>0</v>
      </c>
      <c r="BK2385" s="105">
        <f>IF($AV$2231&gt;0,IPMT('Assumptions (Petroleum)'!$V$6,Model!AL$1,'Assumptions (Petroleum)'!$V$9,'Assumptions (Petroleum)'!$V$4*Model!$AV$2231*AVERAGE('Assumptions (Petroleum)'!$AR$2:$AT$2)/10^9),0)</f>
        <v>0</v>
      </c>
      <c r="BL2385" s="105">
        <f>IF($AV$2231&gt;0,IPMT('Assumptions (Petroleum)'!$V$6,Model!AM$1,'Assumptions (Petroleum)'!$V$9,'Assumptions (Petroleum)'!$V$4*Model!$AV$2231*AVERAGE('Assumptions (Petroleum)'!$AR$2:$AT$2)/10^9),0)</f>
        <v>0</v>
      </c>
      <c r="BM2385" s="105">
        <f>IF($AV$2231&gt;0,IPMT('Assumptions (Petroleum)'!$V$6,Model!AN$1,'Assumptions (Petroleum)'!$V$9,'Assumptions (Petroleum)'!$V$4*Model!$AV$2231*AVERAGE('Assumptions (Petroleum)'!$AR$2:$AT$2)/10^9),0)</f>
        <v>0</v>
      </c>
      <c r="BN2385" s="105">
        <f>IF($AV$2231&gt;0,IPMT('Assumptions (Petroleum)'!$V$6,Model!AO$1,'Assumptions (Petroleum)'!$V$9,'Assumptions (Petroleum)'!$V$4*Model!$AV$2231*AVERAGE('Assumptions (Petroleum)'!$AR$2:$AT$2)/10^9),0)</f>
        <v>0</v>
      </c>
      <c r="BO2385" s="105">
        <f>IF($AV$2231&gt;0,IPMT('Assumptions (Petroleum)'!$V$6,Model!AP$1,'Assumptions (Petroleum)'!$V$9,'Assumptions (Petroleum)'!$V$4*Model!$AV$2231*AVERAGE('Assumptions (Petroleum)'!$AR$2:$AT$2)/10^9),0)</f>
        <v>0</v>
      </c>
      <c r="BP2385" s="105">
        <f>IF($AV$2231&gt;0,IPMT('Assumptions (Petroleum)'!$V$6,Model!AQ$1,'Assumptions (Petroleum)'!$V$9,'Assumptions (Petroleum)'!$V$4*Model!$AV$2231*AVERAGE('Assumptions (Petroleum)'!$AR$2:$AT$2)/10^9),0)</f>
        <v>0</v>
      </c>
    </row>
    <row r="2386" spans="1:68" ht="15.75" hidden="1" customHeight="1" outlineLevel="1">
      <c r="A2386" s="447"/>
      <c r="B2386" s="99"/>
      <c r="C2386" s="99"/>
      <c r="D2386" s="99"/>
      <c r="E2386" s="99"/>
      <c r="F2386" s="99"/>
      <c r="G2386" s="99"/>
      <c r="H2386" s="99"/>
      <c r="I2386" s="99"/>
      <c r="J2386" s="99"/>
      <c r="K2386" s="99"/>
      <c r="L2386" s="99"/>
      <c r="M2386" s="99"/>
      <c r="N2386" s="99"/>
      <c r="O2386" s="99"/>
      <c r="P2386" s="99"/>
      <c r="Q2386" s="99"/>
      <c r="R2386" s="99"/>
      <c r="S2386" s="99"/>
      <c r="T2386" s="99"/>
      <c r="U2386" s="99"/>
      <c r="V2386" s="99"/>
      <c r="W2386" s="105"/>
      <c r="X2386" s="105"/>
      <c r="Y2386" s="105"/>
      <c r="Z2386" s="105"/>
      <c r="AA2386" s="105"/>
      <c r="AB2386" s="105"/>
      <c r="AC2386" s="105"/>
      <c r="AD2386" s="105"/>
      <c r="AE2386" s="105"/>
      <c r="AF2386" s="105"/>
      <c r="AG2386" s="105"/>
      <c r="AH2386" s="105"/>
      <c r="AI2386" s="105"/>
      <c r="AJ2386" s="171"/>
      <c r="AK2386" s="105"/>
      <c r="AL2386" s="91"/>
      <c r="AM2386" s="91"/>
      <c r="AN2386" s="91"/>
      <c r="AO2386" s="105"/>
      <c r="AP2386" s="105"/>
      <c r="AQ2386" s="105"/>
      <c r="AR2386" s="105"/>
      <c r="AS2386" s="105"/>
      <c r="AT2386" s="105"/>
      <c r="AU2386" s="105"/>
      <c r="AV2386" s="105"/>
      <c r="AW2386" s="105">
        <f>IF($AW$2231&gt;0,IPMT('Assumptions (Petroleum)'!$V$6,Model!W$1,'Assumptions (Petroleum)'!$V$9,'Assumptions (Petroleum)'!$V$4*Model!$AW$2231*AVERAGE('Assumptions (Petroleum)'!$AS$2:$AU$2)/10^9),0)</f>
        <v>0</v>
      </c>
      <c r="AX2386" s="105">
        <f>IF($AW$2231&gt;0,IPMT('Assumptions (Petroleum)'!$V$6,Model!X$1,'Assumptions (Petroleum)'!$V$9,'Assumptions (Petroleum)'!$V$4*Model!$AW$2231*AVERAGE('Assumptions (Petroleum)'!$AS$2:$AU$2)/10^9),0)</f>
        <v>0</v>
      </c>
      <c r="AY2386" s="105">
        <f>IF($AW$2231&gt;0,IPMT('Assumptions (Petroleum)'!$V$6,Model!Y$1,'Assumptions (Petroleum)'!$V$9,'Assumptions (Petroleum)'!$V$4*Model!$AW$2231*AVERAGE('Assumptions (Petroleum)'!$AS$2:$AU$2)/10^9),0)</f>
        <v>0</v>
      </c>
      <c r="AZ2386" s="105">
        <f>IF($AW$2231&gt;0,IPMT('Assumptions (Petroleum)'!$V$6,Model!Z$1,'Assumptions (Petroleum)'!$V$9,'Assumptions (Petroleum)'!$V$4*Model!$AW$2231*AVERAGE('Assumptions (Petroleum)'!$AS$2:$AU$2)/10^9),0)</f>
        <v>0</v>
      </c>
      <c r="BA2386" s="105">
        <f>IF($AW$2231&gt;0,IPMT('Assumptions (Petroleum)'!$V$6,Model!AA$1,'Assumptions (Petroleum)'!$V$9,'Assumptions (Petroleum)'!$V$4*Model!$AW$2231*AVERAGE('Assumptions (Petroleum)'!$AS$2:$AU$2)/10^9),0)</f>
        <v>0</v>
      </c>
      <c r="BB2386" s="105">
        <f>IF($AW$2231&gt;0,IPMT('Assumptions (Petroleum)'!$V$6,Model!AB$1,'Assumptions (Petroleum)'!$V$9,'Assumptions (Petroleum)'!$V$4*Model!$AW$2231*AVERAGE('Assumptions (Petroleum)'!$AS$2:$AU$2)/10^9),0)</f>
        <v>0</v>
      </c>
      <c r="BC2386" s="105">
        <f>IF($AW$2231&gt;0,IPMT('Assumptions (Petroleum)'!$V$6,Model!AC$1,'Assumptions (Petroleum)'!$V$9,'Assumptions (Petroleum)'!$V$4*Model!$AW$2231*AVERAGE('Assumptions (Petroleum)'!$AS$2:$AU$2)/10^9),0)</f>
        <v>0</v>
      </c>
      <c r="BD2386" s="105">
        <f>IF($AW$2231&gt;0,IPMT('Assumptions (Petroleum)'!$V$6,Model!AD$1,'Assumptions (Petroleum)'!$V$9,'Assumptions (Petroleum)'!$V$4*Model!$AW$2231*AVERAGE('Assumptions (Petroleum)'!$AS$2:$AU$2)/10^9),0)</f>
        <v>0</v>
      </c>
      <c r="BE2386" s="105">
        <f>IF($AW$2231&gt;0,IPMT('Assumptions (Petroleum)'!$V$6,Model!AE$1,'Assumptions (Petroleum)'!$V$9,'Assumptions (Petroleum)'!$V$4*Model!$AW$2231*AVERAGE('Assumptions (Petroleum)'!$AS$2:$AU$2)/10^9),0)</f>
        <v>0</v>
      </c>
      <c r="BF2386" s="105">
        <f>IF($AW$2231&gt;0,IPMT('Assumptions (Petroleum)'!$V$6,Model!AF$1,'Assumptions (Petroleum)'!$V$9,'Assumptions (Petroleum)'!$V$4*Model!$AW$2231*AVERAGE('Assumptions (Petroleum)'!$AS$2:$AU$2)/10^9),0)</f>
        <v>0</v>
      </c>
      <c r="BG2386" s="105">
        <f>IF($AW$2231&gt;0,IPMT('Assumptions (Petroleum)'!$V$6,Model!AG$1,'Assumptions (Petroleum)'!$V$9,'Assumptions (Petroleum)'!$V$4*Model!$AW$2231*AVERAGE('Assumptions (Petroleum)'!$AS$2:$AU$2)/10^9),0)</f>
        <v>0</v>
      </c>
      <c r="BH2386" s="105">
        <f>IF($AW$2231&gt;0,IPMT('Assumptions (Petroleum)'!$V$6,Model!AH$1,'Assumptions (Petroleum)'!$V$9,'Assumptions (Petroleum)'!$V$4*Model!$AW$2231*AVERAGE('Assumptions (Petroleum)'!$AS$2:$AU$2)/10^9),0)</f>
        <v>0</v>
      </c>
      <c r="BI2386" s="105">
        <f>IF($AW$2231&gt;0,IPMT('Assumptions (Petroleum)'!$V$6,Model!AI$1,'Assumptions (Petroleum)'!$V$9,'Assumptions (Petroleum)'!$V$4*Model!$AW$2231*AVERAGE('Assumptions (Petroleum)'!$AS$2:$AU$2)/10^9),0)</f>
        <v>0</v>
      </c>
      <c r="BJ2386" s="105">
        <f>IF($AW$2231&gt;0,IPMT('Assumptions (Petroleum)'!$V$6,Model!AJ$1,'Assumptions (Petroleum)'!$V$9,'Assumptions (Petroleum)'!$V$4*Model!$AW$2231*AVERAGE('Assumptions (Petroleum)'!$AS$2:$AU$2)/10^9),0)</f>
        <v>0</v>
      </c>
      <c r="BK2386" s="105">
        <f>IF($AW$2231&gt;0,IPMT('Assumptions (Petroleum)'!$V$6,Model!AK$1,'Assumptions (Petroleum)'!$V$9,'Assumptions (Petroleum)'!$V$4*Model!$AW$2231*AVERAGE('Assumptions (Petroleum)'!$AS$2:$AU$2)/10^9),0)</f>
        <v>0</v>
      </c>
      <c r="BL2386" s="105">
        <f>IF($AW$2231&gt;0,IPMT('Assumptions (Petroleum)'!$V$6,Model!AL$1,'Assumptions (Petroleum)'!$V$9,'Assumptions (Petroleum)'!$V$4*Model!$AW$2231*AVERAGE('Assumptions (Petroleum)'!$AS$2:$AU$2)/10^9),0)</f>
        <v>0</v>
      </c>
      <c r="BM2386" s="105">
        <f>IF($AW$2231&gt;0,IPMT('Assumptions (Petroleum)'!$V$6,Model!AM$1,'Assumptions (Petroleum)'!$V$9,'Assumptions (Petroleum)'!$V$4*Model!$AW$2231*AVERAGE('Assumptions (Petroleum)'!$AS$2:$AU$2)/10^9),0)</f>
        <v>0</v>
      </c>
      <c r="BN2386" s="105">
        <f>IF($AW$2231&gt;0,IPMT('Assumptions (Petroleum)'!$V$6,Model!AN$1,'Assumptions (Petroleum)'!$V$9,'Assumptions (Petroleum)'!$V$4*Model!$AW$2231*AVERAGE('Assumptions (Petroleum)'!$AS$2:$AU$2)/10^9),0)</f>
        <v>0</v>
      </c>
      <c r="BO2386" s="105">
        <f>IF($AW$2231&gt;0,IPMT('Assumptions (Petroleum)'!$V$6,Model!AO$1,'Assumptions (Petroleum)'!$V$9,'Assumptions (Petroleum)'!$V$4*Model!$AW$2231*AVERAGE('Assumptions (Petroleum)'!$AS$2:$AU$2)/10^9),0)</f>
        <v>0</v>
      </c>
      <c r="BP2386" s="105">
        <f>IF($AW$2231&gt;0,IPMT('Assumptions (Petroleum)'!$V$6,Model!AP$1,'Assumptions (Petroleum)'!$V$9,'Assumptions (Petroleum)'!$V$4*Model!$AW$2231*AVERAGE('Assumptions (Petroleum)'!$AS$2:$AU$2)/10^9),0)</f>
        <v>0</v>
      </c>
    </row>
    <row r="2387" spans="1:68" ht="15.75" hidden="1" customHeight="1" outlineLevel="1">
      <c r="A2387" s="447"/>
      <c r="B2387" s="99"/>
      <c r="C2387" s="99"/>
      <c r="D2387" s="99"/>
      <c r="E2387" s="99"/>
      <c r="F2387" s="99"/>
      <c r="G2387" s="99"/>
      <c r="H2387" s="99"/>
      <c r="I2387" s="99"/>
      <c r="J2387" s="99"/>
      <c r="K2387" s="99"/>
      <c r="L2387" s="99"/>
      <c r="M2387" s="99"/>
      <c r="N2387" s="99"/>
      <c r="O2387" s="99"/>
      <c r="P2387" s="99"/>
      <c r="Q2387" s="99"/>
      <c r="R2387" s="99"/>
      <c r="S2387" s="99"/>
      <c r="T2387" s="99"/>
      <c r="U2387" s="99"/>
      <c r="V2387" s="99"/>
      <c r="W2387" s="105"/>
      <c r="X2387" s="105"/>
      <c r="Y2387" s="105"/>
      <c r="Z2387" s="105"/>
      <c r="AA2387" s="105"/>
      <c r="AB2387" s="105"/>
      <c r="AC2387" s="105"/>
      <c r="AD2387" s="105"/>
      <c r="AE2387" s="105"/>
      <c r="AF2387" s="105"/>
      <c r="AG2387" s="105"/>
      <c r="AH2387" s="105"/>
      <c r="AI2387" s="105"/>
      <c r="AJ2387" s="171"/>
      <c r="AK2387" s="105"/>
      <c r="AL2387" s="91"/>
      <c r="AM2387" s="91"/>
      <c r="AN2387" s="91"/>
      <c r="AO2387" s="105"/>
      <c r="AP2387" s="105"/>
      <c r="AQ2387" s="105"/>
      <c r="AR2387" s="105"/>
      <c r="AS2387" s="105"/>
      <c r="AT2387" s="105"/>
      <c r="AU2387" s="105"/>
      <c r="AV2387" s="105"/>
      <c r="AW2387" s="105"/>
      <c r="AX2387" s="105">
        <f>IF($AX$2231&gt;0,IPMT('Assumptions (Petroleum)'!$V$6,Model!W$1,'Assumptions (Petroleum)'!$V$9,'Assumptions (Petroleum)'!$V$4*Model!$AX$2231*AVERAGE('Assumptions (Petroleum)'!$AT$2:$AV$2)/10^9),0)</f>
        <v>0</v>
      </c>
      <c r="AY2387" s="105">
        <f>IF($AX$2231&gt;0,IPMT('Assumptions (Petroleum)'!$V$6,Model!X$1,'Assumptions (Petroleum)'!$V$9,'Assumptions (Petroleum)'!$V$4*Model!$AX$2231*AVERAGE('Assumptions (Petroleum)'!$AT$2:$AV$2)/10^9),0)</f>
        <v>0</v>
      </c>
      <c r="AZ2387" s="105">
        <f>IF($AX$2231&gt;0,IPMT('Assumptions (Petroleum)'!$V$6,Model!Y$1,'Assumptions (Petroleum)'!$V$9,'Assumptions (Petroleum)'!$V$4*Model!$AX$2231*AVERAGE('Assumptions (Petroleum)'!$AT$2:$AV$2)/10^9),0)</f>
        <v>0</v>
      </c>
      <c r="BA2387" s="105">
        <f>IF($AX$2231&gt;0,IPMT('Assumptions (Petroleum)'!$V$6,Model!Z$1,'Assumptions (Petroleum)'!$V$9,'Assumptions (Petroleum)'!$V$4*Model!$AX$2231*AVERAGE('Assumptions (Petroleum)'!$AT$2:$AV$2)/10^9),0)</f>
        <v>0</v>
      </c>
      <c r="BB2387" s="105">
        <f>IF($AX$2231&gt;0,IPMT('Assumptions (Petroleum)'!$V$6,Model!AA$1,'Assumptions (Petroleum)'!$V$9,'Assumptions (Petroleum)'!$V$4*Model!$AX$2231*AVERAGE('Assumptions (Petroleum)'!$AT$2:$AV$2)/10^9),0)</f>
        <v>0</v>
      </c>
      <c r="BC2387" s="105">
        <f>IF($AX$2231&gt;0,IPMT('Assumptions (Petroleum)'!$V$6,Model!AB$1,'Assumptions (Petroleum)'!$V$9,'Assumptions (Petroleum)'!$V$4*Model!$AX$2231*AVERAGE('Assumptions (Petroleum)'!$AT$2:$AV$2)/10^9),0)</f>
        <v>0</v>
      </c>
      <c r="BD2387" s="105">
        <f>IF($AX$2231&gt;0,IPMT('Assumptions (Petroleum)'!$V$6,Model!AC$1,'Assumptions (Petroleum)'!$V$9,'Assumptions (Petroleum)'!$V$4*Model!$AX$2231*AVERAGE('Assumptions (Petroleum)'!$AT$2:$AV$2)/10^9),0)</f>
        <v>0</v>
      </c>
      <c r="BE2387" s="105">
        <f>IF($AX$2231&gt;0,IPMT('Assumptions (Petroleum)'!$V$6,Model!AD$1,'Assumptions (Petroleum)'!$V$9,'Assumptions (Petroleum)'!$V$4*Model!$AX$2231*AVERAGE('Assumptions (Petroleum)'!$AT$2:$AV$2)/10^9),0)</f>
        <v>0</v>
      </c>
      <c r="BF2387" s="105">
        <f>IF($AX$2231&gt;0,IPMT('Assumptions (Petroleum)'!$V$6,Model!AE$1,'Assumptions (Petroleum)'!$V$9,'Assumptions (Petroleum)'!$V$4*Model!$AX$2231*AVERAGE('Assumptions (Petroleum)'!$AT$2:$AV$2)/10^9),0)</f>
        <v>0</v>
      </c>
      <c r="BG2387" s="105">
        <f>IF($AX$2231&gt;0,IPMT('Assumptions (Petroleum)'!$V$6,Model!AF$1,'Assumptions (Petroleum)'!$V$9,'Assumptions (Petroleum)'!$V$4*Model!$AX$2231*AVERAGE('Assumptions (Petroleum)'!$AT$2:$AV$2)/10^9),0)</f>
        <v>0</v>
      </c>
      <c r="BH2387" s="105">
        <f>IF($AX$2231&gt;0,IPMT('Assumptions (Petroleum)'!$V$6,Model!AG$1,'Assumptions (Petroleum)'!$V$9,'Assumptions (Petroleum)'!$V$4*Model!$AX$2231*AVERAGE('Assumptions (Petroleum)'!$AT$2:$AV$2)/10^9),0)</f>
        <v>0</v>
      </c>
      <c r="BI2387" s="105">
        <f>IF($AX$2231&gt;0,IPMT('Assumptions (Petroleum)'!$V$6,Model!AH$1,'Assumptions (Petroleum)'!$V$9,'Assumptions (Petroleum)'!$V$4*Model!$AX$2231*AVERAGE('Assumptions (Petroleum)'!$AT$2:$AV$2)/10^9),0)</f>
        <v>0</v>
      </c>
      <c r="BJ2387" s="105">
        <f>IF($AX$2231&gt;0,IPMT('Assumptions (Petroleum)'!$V$6,Model!AI$1,'Assumptions (Petroleum)'!$V$9,'Assumptions (Petroleum)'!$V$4*Model!$AX$2231*AVERAGE('Assumptions (Petroleum)'!$AT$2:$AV$2)/10^9),0)</f>
        <v>0</v>
      </c>
      <c r="BK2387" s="105">
        <f>IF($AX$2231&gt;0,IPMT('Assumptions (Petroleum)'!$V$6,Model!AJ$1,'Assumptions (Petroleum)'!$V$9,'Assumptions (Petroleum)'!$V$4*Model!$AX$2231*AVERAGE('Assumptions (Petroleum)'!$AT$2:$AV$2)/10^9),0)</f>
        <v>0</v>
      </c>
      <c r="BL2387" s="105">
        <f>IF($AX$2231&gt;0,IPMT('Assumptions (Petroleum)'!$V$6,Model!AK$1,'Assumptions (Petroleum)'!$V$9,'Assumptions (Petroleum)'!$V$4*Model!$AX$2231*AVERAGE('Assumptions (Petroleum)'!$AT$2:$AV$2)/10^9),0)</f>
        <v>0</v>
      </c>
      <c r="BM2387" s="105">
        <f>IF($AX$2231&gt;0,IPMT('Assumptions (Petroleum)'!$V$6,Model!AL$1,'Assumptions (Petroleum)'!$V$9,'Assumptions (Petroleum)'!$V$4*Model!$AX$2231*AVERAGE('Assumptions (Petroleum)'!$AT$2:$AV$2)/10^9),0)</f>
        <v>0</v>
      </c>
      <c r="BN2387" s="105">
        <f>IF($AX$2231&gt;0,IPMT('Assumptions (Petroleum)'!$V$6,Model!AM$1,'Assumptions (Petroleum)'!$V$9,'Assumptions (Petroleum)'!$V$4*Model!$AX$2231*AVERAGE('Assumptions (Petroleum)'!$AT$2:$AV$2)/10^9),0)</f>
        <v>0</v>
      </c>
      <c r="BO2387" s="105">
        <f>IF($AX$2231&gt;0,IPMT('Assumptions (Petroleum)'!$V$6,Model!AN$1,'Assumptions (Petroleum)'!$V$9,'Assumptions (Petroleum)'!$V$4*Model!$AX$2231*AVERAGE('Assumptions (Petroleum)'!$AT$2:$AV$2)/10^9),0)</f>
        <v>0</v>
      </c>
      <c r="BP2387" s="105">
        <f>IF($AX$2231&gt;0,IPMT('Assumptions (Petroleum)'!$V$6,Model!AO$1,'Assumptions (Petroleum)'!$V$9,'Assumptions (Petroleum)'!$V$4*Model!$AX$2231*AVERAGE('Assumptions (Petroleum)'!$AT$2:$AV$2)/10^9),0)</f>
        <v>0</v>
      </c>
    </row>
    <row r="2388" spans="1:68" ht="15.75" hidden="1" customHeight="1" outlineLevel="1">
      <c r="A2388" s="447"/>
      <c r="B2388" s="99"/>
      <c r="C2388" s="99"/>
      <c r="D2388" s="99"/>
      <c r="E2388" s="99"/>
      <c r="F2388" s="99"/>
      <c r="G2388" s="99"/>
      <c r="H2388" s="99"/>
      <c r="I2388" s="99"/>
      <c r="J2388" s="99"/>
      <c r="K2388" s="99"/>
      <c r="L2388" s="99"/>
      <c r="M2388" s="99"/>
      <c r="N2388" s="99"/>
      <c r="O2388" s="99"/>
      <c r="P2388" s="99"/>
      <c r="Q2388" s="99"/>
      <c r="R2388" s="99"/>
      <c r="S2388" s="99"/>
      <c r="T2388" s="99"/>
      <c r="U2388" s="99"/>
      <c r="V2388" s="99"/>
      <c r="W2388" s="105"/>
      <c r="X2388" s="105"/>
      <c r="Y2388" s="105"/>
      <c r="Z2388" s="105"/>
      <c r="AA2388" s="105"/>
      <c r="AB2388" s="105"/>
      <c r="AC2388" s="105"/>
      <c r="AD2388" s="105"/>
      <c r="AE2388" s="105"/>
      <c r="AF2388" s="105"/>
      <c r="AG2388" s="105"/>
      <c r="AH2388" s="105"/>
      <c r="AI2388" s="105"/>
      <c r="AJ2388" s="171"/>
      <c r="AK2388" s="105"/>
      <c r="AL2388" s="91"/>
      <c r="AM2388" s="91"/>
      <c r="AN2388" s="91"/>
      <c r="AO2388" s="105"/>
      <c r="AP2388" s="105"/>
      <c r="AQ2388" s="105"/>
      <c r="AR2388" s="105"/>
      <c r="AS2388" s="105"/>
      <c r="AT2388" s="105"/>
      <c r="AU2388" s="105"/>
      <c r="AV2388" s="105"/>
      <c r="AW2388" s="105"/>
      <c r="AX2388" s="105"/>
      <c r="AY2388" s="105">
        <f>IF($AY$2231&gt;0,IPMT('Assumptions (Petroleum)'!$V$6,Model!W$1,'Assumptions (Petroleum)'!$V$9,'Assumptions (Petroleum)'!$V$4*Model!$AY$2231*AVERAGE('Assumptions (Petroleum)'!$AU$2:$AW$2)/10^9),0)</f>
        <v>0</v>
      </c>
      <c r="AZ2388" s="105">
        <f>IF($AY$2231&gt;0,IPMT('Assumptions (Petroleum)'!$V$6,Model!X$1,'Assumptions (Petroleum)'!$V$9,'Assumptions (Petroleum)'!$V$4*Model!$AY$2231*AVERAGE('Assumptions (Petroleum)'!$AU$2:$AW$2)/10^9),0)</f>
        <v>0</v>
      </c>
      <c r="BA2388" s="105">
        <f>IF($AY$2231&gt;0,IPMT('Assumptions (Petroleum)'!$V$6,Model!Y$1,'Assumptions (Petroleum)'!$V$9,'Assumptions (Petroleum)'!$V$4*Model!$AY$2231*AVERAGE('Assumptions (Petroleum)'!$AU$2:$AW$2)/10^9),0)</f>
        <v>0</v>
      </c>
      <c r="BB2388" s="105">
        <f>IF($AY$2231&gt;0,IPMT('Assumptions (Petroleum)'!$V$6,Model!Z$1,'Assumptions (Petroleum)'!$V$9,'Assumptions (Petroleum)'!$V$4*Model!$AY$2231*AVERAGE('Assumptions (Petroleum)'!$AU$2:$AW$2)/10^9),0)</f>
        <v>0</v>
      </c>
      <c r="BC2388" s="105">
        <f>IF($AY$2231&gt;0,IPMT('Assumptions (Petroleum)'!$V$6,Model!AA$1,'Assumptions (Petroleum)'!$V$9,'Assumptions (Petroleum)'!$V$4*Model!$AY$2231*AVERAGE('Assumptions (Petroleum)'!$AU$2:$AW$2)/10^9),0)</f>
        <v>0</v>
      </c>
      <c r="BD2388" s="105">
        <f>IF($AY$2231&gt;0,IPMT('Assumptions (Petroleum)'!$V$6,Model!AB$1,'Assumptions (Petroleum)'!$V$9,'Assumptions (Petroleum)'!$V$4*Model!$AY$2231*AVERAGE('Assumptions (Petroleum)'!$AU$2:$AW$2)/10^9),0)</f>
        <v>0</v>
      </c>
      <c r="BE2388" s="105">
        <f>IF($AY$2231&gt;0,IPMT('Assumptions (Petroleum)'!$V$6,Model!AC$1,'Assumptions (Petroleum)'!$V$9,'Assumptions (Petroleum)'!$V$4*Model!$AY$2231*AVERAGE('Assumptions (Petroleum)'!$AU$2:$AW$2)/10^9),0)</f>
        <v>0</v>
      </c>
      <c r="BF2388" s="105">
        <f>IF($AY$2231&gt;0,IPMT('Assumptions (Petroleum)'!$V$6,Model!AD$1,'Assumptions (Petroleum)'!$V$9,'Assumptions (Petroleum)'!$V$4*Model!$AY$2231*AVERAGE('Assumptions (Petroleum)'!$AU$2:$AW$2)/10^9),0)</f>
        <v>0</v>
      </c>
      <c r="BG2388" s="105">
        <f>IF($AY$2231&gt;0,IPMT('Assumptions (Petroleum)'!$V$6,Model!AE$1,'Assumptions (Petroleum)'!$V$9,'Assumptions (Petroleum)'!$V$4*Model!$AY$2231*AVERAGE('Assumptions (Petroleum)'!$AU$2:$AW$2)/10^9),0)</f>
        <v>0</v>
      </c>
      <c r="BH2388" s="105">
        <f>IF($AY$2231&gt;0,IPMT('Assumptions (Petroleum)'!$V$6,Model!AF$1,'Assumptions (Petroleum)'!$V$9,'Assumptions (Petroleum)'!$V$4*Model!$AY$2231*AVERAGE('Assumptions (Petroleum)'!$AU$2:$AW$2)/10^9),0)</f>
        <v>0</v>
      </c>
      <c r="BI2388" s="105">
        <f>IF($AY$2231&gt;0,IPMT('Assumptions (Petroleum)'!$V$6,Model!AG$1,'Assumptions (Petroleum)'!$V$9,'Assumptions (Petroleum)'!$V$4*Model!$AY$2231*AVERAGE('Assumptions (Petroleum)'!$AU$2:$AW$2)/10^9),0)</f>
        <v>0</v>
      </c>
      <c r="BJ2388" s="105">
        <f>IF($AY$2231&gt;0,IPMT('Assumptions (Petroleum)'!$V$6,Model!AH$1,'Assumptions (Petroleum)'!$V$9,'Assumptions (Petroleum)'!$V$4*Model!$AY$2231*AVERAGE('Assumptions (Petroleum)'!$AU$2:$AW$2)/10^9),0)</f>
        <v>0</v>
      </c>
      <c r="BK2388" s="105">
        <f>IF($AY$2231&gt;0,IPMT('Assumptions (Petroleum)'!$V$6,Model!AI$1,'Assumptions (Petroleum)'!$V$9,'Assumptions (Petroleum)'!$V$4*Model!$AY$2231*AVERAGE('Assumptions (Petroleum)'!$AU$2:$AW$2)/10^9),0)</f>
        <v>0</v>
      </c>
      <c r="BL2388" s="105">
        <f>IF($AY$2231&gt;0,IPMT('Assumptions (Petroleum)'!$V$6,Model!AJ$1,'Assumptions (Petroleum)'!$V$9,'Assumptions (Petroleum)'!$V$4*Model!$AY$2231*AVERAGE('Assumptions (Petroleum)'!$AU$2:$AW$2)/10^9),0)</f>
        <v>0</v>
      </c>
      <c r="BM2388" s="105">
        <f>IF($AY$2231&gt;0,IPMT('Assumptions (Petroleum)'!$V$6,Model!AK$1,'Assumptions (Petroleum)'!$V$9,'Assumptions (Petroleum)'!$V$4*Model!$AY$2231*AVERAGE('Assumptions (Petroleum)'!$AU$2:$AW$2)/10^9),0)</f>
        <v>0</v>
      </c>
      <c r="BN2388" s="105">
        <f>IF($AY$2231&gt;0,IPMT('Assumptions (Petroleum)'!$V$6,Model!AL$1,'Assumptions (Petroleum)'!$V$9,'Assumptions (Petroleum)'!$V$4*Model!$AY$2231*AVERAGE('Assumptions (Petroleum)'!$AU$2:$AW$2)/10^9),0)</f>
        <v>0</v>
      </c>
      <c r="BO2388" s="105">
        <f>IF($AY$2231&gt;0,IPMT('Assumptions (Petroleum)'!$V$6,Model!AM$1,'Assumptions (Petroleum)'!$V$9,'Assumptions (Petroleum)'!$V$4*Model!$AY$2231*AVERAGE('Assumptions (Petroleum)'!$AU$2:$AW$2)/10^9),0)</f>
        <v>0</v>
      </c>
      <c r="BP2388" s="105">
        <f>IF($AY$2231&gt;0,IPMT('Assumptions (Petroleum)'!$V$6,Model!AN$1,'Assumptions (Petroleum)'!$V$9,'Assumptions (Petroleum)'!$V$4*Model!$AY$2231*AVERAGE('Assumptions (Petroleum)'!$AU$2:$AW$2)/10^9),0)</f>
        <v>0</v>
      </c>
    </row>
    <row r="2389" spans="1:68" ht="15.75" hidden="1" customHeight="1" outlineLevel="1">
      <c r="A2389" s="447"/>
      <c r="B2389" s="99"/>
      <c r="C2389" s="99"/>
      <c r="D2389" s="99"/>
      <c r="E2389" s="99"/>
      <c r="F2389" s="99"/>
      <c r="G2389" s="99"/>
      <c r="H2389" s="99"/>
      <c r="I2389" s="99"/>
      <c r="J2389" s="99"/>
      <c r="K2389" s="99"/>
      <c r="L2389" s="99"/>
      <c r="M2389" s="99"/>
      <c r="N2389" s="99"/>
      <c r="O2389" s="99"/>
      <c r="P2389" s="99"/>
      <c r="Q2389" s="99"/>
      <c r="R2389" s="99"/>
      <c r="S2389" s="99"/>
      <c r="T2389" s="99"/>
      <c r="U2389" s="99"/>
      <c r="V2389" s="99"/>
      <c r="W2389" s="105"/>
      <c r="X2389" s="105"/>
      <c r="Y2389" s="105"/>
      <c r="Z2389" s="105"/>
      <c r="AA2389" s="105"/>
      <c r="AB2389" s="105"/>
      <c r="AC2389" s="105"/>
      <c r="AD2389" s="105"/>
      <c r="AE2389" s="105"/>
      <c r="AF2389" s="105"/>
      <c r="AG2389" s="105"/>
      <c r="AH2389" s="105"/>
      <c r="AI2389" s="105"/>
      <c r="AJ2389" s="171"/>
      <c r="AK2389" s="105"/>
      <c r="AL2389" s="91"/>
      <c r="AM2389" s="91"/>
      <c r="AN2389" s="91"/>
      <c r="AO2389" s="105"/>
      <c r="AP2389" s="105"/>
      <c r="AQ2389" s="105"/>
      <c r="AR2389" s="105"/>
      <c r="AS2389" s="105"/>
      <c r="AT2389" s="105"/>
      <c r="AU2389" s="105"/>
      <c r="AV2389" s="105"/>
      <c r="AW2389" s="105"/>
      <c r="AX2389" s="105"/>
      <c r="AY2389" s="105"/>
      <c r="AZ2389" s="105">
        <f>IF($AZ$2231&gt;0,IPMT('Assumptions (Petroleum)'!$V$6,Model!W$1,'Assumptions (Petroleum)'!$V$9,'Assumptions (Petroleum)'!$V$4*Model!$AZ$2231*AVERAGE('Assumptions (Petroleum)'!$AV$2:$AX$2)/10^9),0)</f>
        <v>0</v>
      </c>
      <c r="BA2389" s="105">
        <f>IF($AZ$2231&gt;0,IPMT('Assumptions (Petroleum)'!$V$6,Model!X$1,'Assumptions (Petroleum)'!$V$9,'Assumptions (Petroleum)'!$V$4*Model!$AZ$2231*AVERAGE('Assumptions (Petroleum)'!$AV$2:$AX$2)/10^9),0)</f>
        <v>0</v>
      </c>
      <c r="BB2389" s="105">
        <f>IF($AZ$2231&gt;0,IPMT('Assumptions (Petroleum)'!$V$6,Model!Y$1,'Assumptions (Petroleum)'!$V$9,'Assumptions (Petroleum)'!$V$4*Model!$AZ$2231*AVERAGE('Assumptions (Petroleum)'!$AV$2:$AX$2)/10^9),0)</f>
        <v>0</v>
      </c>
      <c r="BC2389" s="105">
        <f>IF($AZ$2231&gt;0,IPMT('Assumptions (Petroleum)'!$V$6,Model!Z$1,'Assumptions (Petroleum)'!$V$9,'Assumptions (Petroleum)'!$V$4*Model!$AZ$2231*AVERAGE('Assumptions (Petroleum)'!$AV$2:$AX$2)/10^9),0)</f>
        <v>0</v>
      </c>
      <c r="BD2389" s="105">
        <f>IF($AZ$2231&gt;0,IPMT('Assumptions (Petroleum)'!$V$6,Model!AA$1,'Assumptions (Petroleum)'!$V$9,'Assumptions (Petroleum)'!$V$4*Model!$AZ$2231*AVERAGE('Assumptions (Petroleum)'!$AV$2:$AX$2)/10^9),0)</f>
        <v>0</v>
      </c>
      <c r="BE2389" s="105">
        <f>IF($AZ$2231&gt;0,IPMT('Assumptions (Petroleum)'!$V$6,Model!AB$1,'Assumptions (Petroleum)'!$V$9,'Assumptions (Petroleum)'!$V$4*Model!$AZ$2231*AVERAGE('Assumptions (Petroleum)'!$AV$2:$AX$2)/10^9),0)</f>
        <v>0</v>
      </c>
      <c r="BF2389" s="105">
        <f>IF($AZ$2231&gt;0,IPMT('Assumptions (Petroleum)'!$V$6,Model!AC$1,'Assumptions (Petroleum)'!$V$9,'Assumptions (Petroleum)'!$V$4*Model!$AZ$2231*AVERAGE('Assumptions (Petroleum)'!$AV$2:$AX$2)/10^9),0)</f>
        <v>0</v>
      </c>
      <c r="BG2389" s="105">
        <f>IF($AZ$2231&gt;0,IPMT('Assumptions (Petroleum)'!$V$6,Model!AD$1,'Assumptions (Petroleum)'!$V$9,'Assumptions (Petroleum)'!$V$4*Model!$AZ$2231*AVERAGE('Assumptions (Petroleum)'!$AV$2:$AX$2)/10^9),0)</f>
        <v>0</v>
      </c>
      <c r="BH2389" s="105">
        <f>IF($AZ$2231&gt;0,IPMT('Assumptions (Petroleum)'!$V$6,Model!AE$1,'Assumptions (Petroleum)'!$V$9,'Assumptions (Petroleum)'!$V$4*Model!$AZ$2231*AVERAGE('Assumptions (Petroleum)'!$AV$2:$AX$2)/10^9),0)</f>
        <v>0</v>
      </c>
      <c r="BI2389" s="105">
        <f>IF($AZ$2231&gt;0,IPMT('Assumptions (Petroleum)'!$V$6,Model!AF$1,'Assumptions (Petroleum)'!$V$9,'Assumptions (Petroleum)'!$V$4*Model!$AZ$2231*AVERAGE('Assumptions (Petroleum)'!$AV$2:$AX$2)/10^9),0)</f>
        <v>0</v>
      </c>
      <c r="BJ2389" s="105">
        <f>IF($AZ$2231&gt;0,IPMT('Assumptions (Petroleum)'!$V$6,Model!AG$1,'Assumptions (Petroleum)'!$V$9,'Assumptions (Petroleum)'!$V$4*Model!$AZ$2231*AVERAGE('Assumptions (Petroleum)'!$AV$2:$AX$2)/10^9),0)</f>
        <v>0</v>
      </c>
      <c r="BK2389" s="105">
        <f>IF($AZ$2231&gt;0,IPMT('Assumptions (Petroleum)'!$V$6,Model!AH$1,'Assumptions (Petroleum)'!$V$9,'Assumptions (Petroleum)'!$V$4*Model!$AZ$2231*AVERAGE('Assumptions (Petroleum)'!$AV$2:$AX$2)/10^9),0)</f>
        <v>0</v>
      </c>
      <c r="BL2389" s="105">
        <f>IF($AZ$2231&gt;0,IPMT('Assumptions (Petroleum)'!$V$6,Model!AI$1,'Assumptions (Petroleum)'!$V$9,'Assumptions (Petroleum)'!$V$4*Model!$AZ$2231*AVERAGE('Assumptions (Petroleum)'!$AV$2:$AX$2)/10^9),0)</f>
        <v>0</v>
      </c>
      <c r="BM2389" s="105">
        <f>IF($AZ$2231&gt;0,IPMT('Assumptions (Petroleum)'!$V$6,Model!AJ$1,'Assumptions (Petroleum)'!$V$9,'Assumptions (Petroleum)'!$V$4*Model!$AZ$2231*AVERAGE('Assumptions (Petroleum)'!$AV$2:$AX$2)/10^9),0)</f>
        <v>0</v>
      </c>
      <c r="BN2389" s="105">
        <f>IF($AZ$2231&gt;0,IPMT('Assumptions (Petroleum)'!$V$6,Model!AK$1,'Assumptions (Petroleum)'!$V$9,'Assumptions (Petroleum)'!$V$4*Model!$AZ$2231*AVERAGE('Assumptions (Petroleum)'!$AV$2:$AX$2)/10^9),0)</f>
        <v>0</v>
      </c>
      <c r="BO2389" s="105">
        <f>IF($AZ$2231&gt;0,IPMT('Assumptions (Petroleum)'!$V$6,Model!AL$1,'Assumptions (Petroleum)'!$V$9,'Assumptions (Petroleum)'!$V$4*Model!$AZ$2231*AVERAGE('Assumptions (Petroleum)'!$AV$2:$AX$2)/10^9),0)</f>
        <v>0</v>
      </c>
      <c r="BP2389" s="105">
        <f>IF($AZ$2231&gt;0,IPMT('Assumptions (Petroleum)'!$V$6,Model!AM$1,'Assumptions (Petroleum)'!$V$9,'Assumptions (Petroleum)'!$V$4*Model!$AZ$2231*AVERAGE('Assumptions (Petroleum)'!$AV$2:$AX$2)/10^9),0)</f>
        <v>0</v>
      </c>
    </row>
    <row r="2390" spans="1:68" ht="15.75" hidden="1" customHeight="1" outlineLevel="1">
      <c r="A2390" s="447"/>
      <c r="B2390" s="99"/>
      <c r="C2390" s="99"/>
      <c r="D2390" s="99"/>
      <c r="E2390" s="99"/>
      <c r="F2390" s="99"/>
      <c r="G2390" s="99"/>
      <c r="H2390" s="99"/>
      <c r="I2390" s="99"/>
      <c r="J2390" s="99"/>
      <c r="K2390" s="99"/>
      <c r="L2390" s="99"/>
      <c r="M2390" s="99"/>
      <c r="N2390" s="99"/>
      <c r="O2390" s="99"/>
      <c r="P2390" s="99"/>
      <c r="Q2390" s="99"/>
      <c r="R2390" s="99"/>
      <c r="S2390" s="99"/>
      <c r="T2390" s="99"/>
      <c r="U2390" s="99"/>
      <c r="V2390" s="99"/>
      <c r="W2390" s="105"/>
      <c r="X2390" s="105"/>
      <c r="Y2390" s="105"/>
      <c r="Z2390" s="105"/>
      <c r="AA2390" s="105"/>
      <c r="AB2390" s="105"/>
      <c r="AC2390" s="105"/>
      <c r="AD2390" s="105"/>
      <c r="AE2390" s="105"/>
      <c r="AF2390" s="105"/>
      <c r="AG2390" s="105"/>
      <c r="AH2390" s="105"/>
      <c r="AI2390" s="105"/>
      <c r="AJ2390" s="171"/>
      <c r="AK2390" s="105"/>
      <c r="AL2390" s="91"/>
      <c r="AM2390" s="91"/>
      <c r="AN2390" s="91"/>
      <c r="AO2390" s="105"/>
      <c r="AP2390" s="105"/>
      <c r="AQ2390" s="105"/>
      <c r="AR2390" s="105"/>
      <c r="AS2390" s="105"/>
      <c r="AT2390" s="105"/>
      <c r="AU2390" s="105"/>
      <c r="AV2390" s="105"/>
      <c r="AW2390" s="105"/>
      <c r="AX2390" s="105"/>
      <c r="AY2390" s="105"/>
      <c r="AZ2390" s="105"/>
      <c r="BA2390" s="105">
        <f>IF($BA$2231&gt;0,IPMT('Assumptions (Petroleum)'!$V$6,Model!W$1,'Assumptions (Petroleum)'!$V$9,'Assumptions (Petroleum)'!$V$4*Model!$BA$2231*AVERAGE('Assumptions (Petroleum)'!$AW$2:$AY$2)/10^9),0)</f>
        <v>0</v>
      </c>
      <c r="BB2390" s="105">
        <f>IF($BA$2231&gt;0,IPMT('Assumptions (Petroleum)'!$V$6,Model!X$1,'Assumptions (Petroleum)'!$V$9,'Assumptions (Petroleum)'!$V$4*Model!$BA$2231*AVERAGE('Assumptions (Petroleum)'!$AW$2:$AY$2)/10^9),0)</f>
        <v>0</v>
      </c>
      <c r="BC2390" s="105">
        <f>IF($BA$2231&gt;0,IPMT('Assumptions (Petroleum)'!$V$6,Model!Y$1,'Assumptions (Petroleum)'!$V$9,'Assumptions (Petroleum)'!$V$4*Model!$BA$2231*AVERAGE('Assumptions (Petroleum)'!$AW$2:$AY$2)/10^9),0)</f>
        <v>0</v>
      </c>
      <c r="BD2390" s="105">
        <f>IF($BA$2231&gt;0,IPMT('Assumptions (Petroleum)'!$V$6,Model!Z$1,'Assumptions (Petroleum)'!$V$9,'Assumptions (Petroleum)'!$V$4*Model!$BA$2231*AVERAGE('Assumptions (Petroleum)'!$AW$2:$AY$2)/10^9),0)</f>
        <v>0</v>
      </c>
      <c r="BE2390" s="105">
        <f>IF($BA$2231&gt;0,IPMT('Assumptions (Petroleum)'!$V$6,Model!AA$1,'Assumptions (Petroleum)'!$V$9,'Assumptions (Petroleum)'!$V$4*Model!$BA$2231*AVERAGE('Assumptions (Petroleum)'!$AW$2:$AY$2)/10^9),0)</f>
        <v>0</v>
      </c>
      <c r="BF2390" s="105">
        <f>IF($BA$2231&gt;0,IPMT('Assumptions (Petroleum)'!$V$6,Model!AB$1,'Assumptions (Petroleum)'!$V$9,'Assumptions (Petroleum)'!$V$4*Model!$BA$2231*AVERAGE('Assumptions (Petroleum)'!$AW$2:$AY$2)/10^9),0)</f>
        <v>0</v>
      </c>
      <c r="BG2390" s="105">
        <f>IF($BA$2231&gt;0,IPMT('Assumptions (Petroleum)'!$V$6,Model!AC$1,'Assumptions (Petroleum)'!$V$9,'Assumptions (Petroleum)'!$V$4*Model!$BA$2231*AVERAGE('Assumptions (Petroleum)'!$AW$2:$AY$2)/10^9),0)</f>
        <v>0</v>
      </c>
      <c r="BH2390" s="105">
        <f>IF($BA$2231&gt;0,IPMT('Assumptions (Petroleum)'!$V$6,Model!AD$1,'Assumptions (Petroleum)'!$V$9,'Assumptions (Petroleum)'!$V$4*Model!$BA$2231*AVERAGE('Assumptions (Petroleum)'!$AW$2:$AY$2)/10^9),0)</f>
        <v>0</v>
      </c>
      <c r="BI2390" s="105">
        <f>IF($BA$2231&gt;0,IPMT('Assumptions (Petroleum)'!$V$6,Model!AE$1,'Assumptions (Petroleum)'!$V$9,'Assumptions (Petroleum)'!$V$4*Model!$BA$2231*AVERAGE('Assumptions (Petroleum)'!$AW$2:$AY$2)/10^9),0)</f>
        <v>0</v>
      </c>
      <c r="BJ2390" s="105">
        <f>IF($BA$2231&gt;0,IPMT('Assumptions (Petroleum)'!$V$6,Model!AF$1,'Assumptions (Petroleum)'!$V$9,'Assumptions (Petroleum)'!$V$4*Model!$BA$2231*AVERAGE('Assumptions (Petroleum)'!$AW$2:$AY$2)/10^9),0)</f>
        <v>0</v>
      </c>
      <c r="BK2390" s="105">
        <f>IF($BA$2231&gt;0,IPMT('Assumptions (Petroleum)'!$V$6,Model!AG$1,'Assumptions (Petroleum)'!$V$9,'Assumptions (Petroleum)'!$V$4*Model!$BA$2231*AVERAGE('Assumptions (Petroleum)'!$AW$2:$AY$2)/10^9),0)</f>
        <v>0</v>
      </c>
      <c r="BL2390" s="105">
        <f>IF($BA$2231&gt;0,IPMT('Assumptions (Petroleum)'!$V$6,Model!AH$1,'Assumptions (Petroleum)'!$V$9,'Assumptions (Petroleum)'!$V$4*Model!$BA$2231*AVERAGE('Assumptions (Petroleum)'!$AW$2:$AY$2)/10^9),0)</f>
        <v>0</v>
      </c>
      <c r="BM2390" s="105">
        <f>IF($BA$2231&gt;0,IPMT('Assumptions (Petroleum)'!$V$6,Model!AI$1,'Assumptions (Petroleum)'!$V$9,'Assumptions (Petroleum)'!$V$4*Model!$BA$2231*AVERAGE('Assumptions (Petroleum)'!$AW$2:$AY$2)/10^9),0)</f>
        <v>0</v>
      </c>
      <c r="BN2390" s="105">
        <f>IF($BA$2231&gt;0,IPMT('Assumptions (Petroleum)'!$V$6,Model!AJ$1,'Assumptions (Petroleum)'!$V$9,'Assumptions (Petroleum)'!$V$4*Model!$BA$2231*AVERAGE('Assumptions (Petroleum)'!$AW$2:$AY$2)/10^9),0)</f>
        <v>0</v>
      </c>
      <c r="BO2390" s="105">
        <f>IF($BA$2231&gt;0,IPMT('Assumptions (Petroleum)'!$V$6,Model!AK$1,'Assumptions (Petroleum)'!$V$9,'Assumptions (Petroleum)'!$V$4*Model!$BA$2231*AVERAGE('Assumptions (Petroleum)'!$AW$2:$AY$2)/10^9),0)</f>
        <v>0</v>
      </c>
      <c r="BP2390" s="105">
        <f>IF($BA$2231&gt;0,IPMT('Assumptions (Petroleum)'!$V$6,Model!AL$1,'Assumptions (Petroleum)'!$V$9,'Assumptions (Petroleum)'!$V$4*Model!$BA$2231*AVERAGE('Assumptions (Petroleum)'!$AW$2:$AY$2)/10^9),0)</f>
        <v>0</v>
      </c>
    </row>
    <row r="2391" spans="1:68" ht="15.75" customHeight="1" collapsed="1">
      <c r="A2391" s="449" t="s">
        <v>806</v>
      </c>
      <c r="B2391" s="99" t="s">
        <v>201</v>
      </c>
      <c r="C2391" s="91">
        <f t="shared" ref="C2391:BP2391" si="55">SUM(C2392:C2442)</f>
        <v>1.6904743780287834E-2</v>
      </c>
      <c r="D2391" s="91">
        <f t="shared" si="55"/>
        <v>4.890149826074898E-2</v>
      </c>
      <c r="E2391" s="91">
        <f t="shared" si="55"/>
        <v>7.2958409155945106E-2</v>
      </c>
      <c r="F2391" s="91">
        <f t="shared" si="55"/>
        <v>8.6651989796195719E-2</v>
      </c>
      <c r="G2391" s="91">
        <f t="shared" si="55"/>
        <v>9.3983666244127476E-2</v>
      </c>
      <c r="H2391" s="91">
        <f t="shared" si="55"/>
        <v>9.5863163280420591E-2</v>
      </c>
      <c r="I2391" s="91">
        <f t="shared" si="55"/>
        <v>9.7401043464462128E-2</v>
      </c>
      <c r="J2391" s="91">
        <f t="shared" si="55"/>
        <v>0.105398933083347</v>
      </c>
      <c r="K2391" s="91">
        <f t="shared" si="55"/>
        <v>0.11150061566068806</v>
      </c>
      <c r="L2391" s="91">
        <f t="shared" si="55"/>
        <v>0.11200158064716456</v>
      </c>
      <c r="M2391" s="91">
        <f t="shared" si="55"/>
        <v>0.14550062361529129</v>
      </c>
      <c r="N2391" s="91">
        <f t="shared" si="55"/>
        <v>0.18708520330289236</v>
      </c>
      <c r="O2391" s="91">
        <f t="shared" si="55"/>
        <v>0.19751199849117948</v>
      </c>
      <c r="P2391" s="91">
        <f t="shared" si="55"/>
        <v>0.19679613937011328</v>
      </c>
      <c r="Q2391" s="91">
        <f t="shared" si="55"/>
        <v>0.19127376105244626</v>
      </c>
      <c r="R2391" s="91">
        <f t="shared" si="55"/>
        <v>0.17676766624506182</v>
      </c>
      <c r="S2391" s="91">
        <f t="shared" si="55"/>
        <v>0.15448760852795448</v>
      </c>
      <c r="T2391" s="91">
        <f t="shared" si="55"/>
        <v>0.13791528549627094</v>
      </c>
      <c r="U2391" s="91">
        <f t="shared" si="55"/>
        <v>0.12675585562661337</v>
      </c>
      <c r="V2391" s="91">
        <f t="shared" si="55"/>
        <v>0.1174976669096322</v>
      </c>
      <c r="W2391" s="91">
        <f t="shared" si="55"/>
        <v>0.11040362450874396</v>
      </c>
      <c r="X2391" s="91">
        <f t="shared" si="55"/>
        <v>0.10330189966173413</v>
      </c>
      <c r="Y2391" s="91">
        <f t="shared" si="55"/>
        <v>9.390963071566498E-2</v>
      </c>
      <c r="Z2391" s="91">
        <f t="shared" si="55"/>
        <v>8.6394350091845651E-2</v>
      </c>
      <c r="AA2391" s="91">
        <f t="shared" si="55"/>
        <v>8.2879747139037493E-2</v>
      </c>
      <c r="AB2391" s="91">
        <f t="shared" si="55"/>
        <v>6.0467552306663945E-2</v>
      </c>
      <c r="AC2391" s="91">
        <f t="shared" si="55"/>
        <v>3.177449503575068E-2</v>
      </c>
      <c r="AD2391" s="91">
        <f t="shared" si="55"/>
        <v>1.9386470708312072E-2</v>
      </c>
      <c r="AE2391" s="91">
        <f t="shared" si="55"/>
        <v>1.3476408399342978E-2</v>
      </c>
      <c r="AF2391" s="91">
        <f t="shared" si="55"/>
        <v>1.0880269560830002E-2</v>
      </c>
      <c r="AG2391" s="91">
        <f t="shared" si="55"/>
        <v>8.1676953849035387E-3</v>
      </c>
      <c r="AH2391" s="91">
        <f t="shared" si="55"/>
        <v>5.7908975367828358E-3</v>
      </c>
      <c r="AI2391" s="91">
        <f t="shared" si="55"/>
        <v>3.5392189665557341E-3</v>
      </c>
      <c r="AJ2391" s="91">
        <f t="shared" si="55"/>
        <v>1.6179585057285659E-3</v>
      </c>
      <c r="AK2391" s="91">
        <f t="shared" si="55"/>
        <v>5.3238322981830088E-4</v>
      </c>
      <c r="AL2391" s="91">
        <f t="shared" si="55"/>
        <v>0</v>
      </c>
      <c r="AM2391" s="91">
        <f t="shared" si="55"/>
        <v>0</v>
      </c>
      <c r="AN2391" s="91">
        <f t="shared" si="55"/>
        <v>0</v>
      </c>
      <c r="AO2391" s="91">
        <f t="shared" si="55"/>
        <v>0</v>
      </c>
      <c r="AP2391" s="91">
        <f t="shared" si="55"/>
        <v>0</v>
      </c>
      <c r="AQ2391" s="91">
        <f t="shared" si="55"/>
        <v>0</v>
      </c>
      <c r="AR2391" s="91">
        <f t="shared" si="55"/>
        <v>0</v>
      </c>
      <c r="AS2391" s="91">
        <f t="shared" si="55"/>
        <v>0</v>
      </c>
      <c r="AT2391" s="91">
        <f t="shared" si="55"/>
        <v>0</v>
      </c>
      <c r="AU2391" s="91">
        <f t="shared" si="55"/>
        <v>0</v>
      </c>
      <c r="AV2391" s="91">
        <f t="shared" si="55"/>
        <v>0</v>
      </c>
      <c r="AW2391" s="91">
        <f t="shared" si="55"/>
        <v>0</v>
      </c>
      <c r="AX2391" s="91">
        <f t="shared" si="55"/>
        <v>0</v>
      </c>
      <c r="AY2391" s="91">
        <f t="shared" si="55"/>
        <v>0</v>
      </c>
      <c r="AZ2391" s="91">
        <f t="shared" si="55"/>
        <v>0</v>
      </c>
      <c r="BA2391" s="91">
        <f t="shared" si="55"/>
        <v>0</v>
      </c>
      <c r="BB2391" s="91">
        <f t="shared" si="55"/>
        <v>0</v>
      </c>
      <c r="BC2391" s="91">
        <f t="shared" si="55"/>
        <v>0</v>
      </c>
      <c r="BD2391" s="91">
        <f t="shared" si="55"/>
        <v>0</v>
      </c>
      <c r="BE2391" s="91">
        <f t="shared" si="55"/>
        <v>0</v>
      </c>
      <c r="BF2391" s="91">
        <f t="shared" si="55"/>
        <v>0</v>
      </c>
      <c r="BG2391" s="91">
        <f t="shared" si="55"/>
        <v>0</v>
      </c>
      <c r="BH2391" s="91">
        <f t="shared" si="55"/>
        <v>0</v>
      </c>
      <c r="BI2391" s="91">
        <f t="shared" si="55"/>
        <v>0</v>
      </c>
      <c r="BJ2391" s="91">
        <f t="shared" si="55"/>
        <v>0</v>
      </c>
      <c r="BK2391" s="91">
        <f t="shared" si="55"/>
        <v>0</v>
      </c>
      <c r="BL2391" s="91">
        <f t="shared" si="55"/>
        <v>0</v>
      </c>
      <c r="BM2391" s="91">
        <f t="shared" si="55"/>
        <v>0</v>
      </c>
      <c r="BN2391" s="91">
        <f t="shared" si="55"/>
        <v>0</v>
      </c>
      <c r="BO2391" s="91">
        <f t="shared" si="55"/>
        <v>0</v>
      </c>
      <c r="BP2391" s="91">
        <f t="shared" si="55"/>
        <v>0</v>
      </c>
    </row>
    <row r="2392" spans="1:68" ht="15.75" hidden="1" customHeight="1" outlineLevel="1">
      <c r="A2392" s="447"/>
      <c r="B2392" s="99"/>
      <c r="C2392" s="167">
        <f>IF($C$2231&gt;0,'Assumptions (Petroleum)'!V$10*Model!$C$2231*'Assumptions (Petroleum)'!$B$2/10^9,0)</f>
        <v>1.6904743780287834E-2</v>
      </c>
      <c r="D2392" s="167">
        <f>IF($C$2231&gt;0,'Assumptions (Petroleum)'!W$10*Model!$C$2231*'Assumptions (Petroleum)'!$B$2/10^9,0)</f>
        <v>3.2119013182546889E-2</v>
      </c>
      <c r="E2392" s="167">
        <f>IF($C$2231&gt;0,'Assumptions (Petroleum)'!X$10*Model!$C$2231*'Assumptions (Petroleum)'!$B$2/10^9,0)</f>
        <v>2.89071118642922E-2</v>
      </c>
      <c r="F2392" s="167">
        <f>IF($C$2231&gt;0,'Assumptions (Petroleum)'!Y$10*Model!$C$2231*'Assumptions (Petroleum)'!$B$2/10^9,0)</f>
        <v>2.6033305421643269E-2</v>
      </c>
      <c r="G2392" s="167">
        <f>IF($C$2231&gt;0,'Assumptions (Petroleum)'!Z$10*Model!$C$2231*'Assumptions (Petroleum)'!$B$2/10^9,0)</f>
        <v>2.3429974879478944E-2</v>
      </c>
      <c r="H2392" s="167">
        <f>IF($C$2231&gt;0,'Assumptions (Petroleum)'!AA$10*Model!$C$2231*'Assumptions (Petroleum)'!$B$2/10^9,0)</f>
        <v>2.1063310750238647E-2</v>
      </c>
      <c r="I2392" s="167">
        <f>IF($C$2231&gt;0,'Assumptions (Petroleum)'!AB$10*Model!$C$2231*'Assumptions (Petroleum)'!$B$2/10^9,0)</f>
        <v>1.9947597660739644E-2</v>
      </c>
      <c r="J2392" s="167">
        <f>IF($C$2231&gt;0,'Assumptions (Petroleum)'!AC$10*Model!$C$2231*'Assumptions (Petroleum)'!$B$2/10^9,0)</f>
        <v>1.9947597660739644E-2</v>
      </c>
      <c r="K2392" s="167">
        <f>IF($C$2231&gt;0,'Assumptions (Petroleum)'!AD$10*Model!$C$2231*'Assumptions (Petroleum)'!$B$2/10^9,0)</f>
        <v>1.9981407148300222E-2</v>
      </c>
      <c r="L2392" s="167">
        <f>IF($C$2231&gt;0,'Assumptions (Petroleum)'!AE$10*Model!$C$2231*'Assumptions (Petroleum)'!$B$2/10^9,0)</f>
        <v>1.9947597660739644E-2</v>
      </c>
      <c r="M2392" s="167">
        <f>IF($C$2231&gt;0,'Assumptions (Petroleum)'!AF$10*Model!$C$2231*'Assumptions (Petroleum)'!$B$2/10^9,0)</f>
        <v>1.9981407148300222E-2</v>
      </c>
      <c r="N2392" s="167">
        <f>IF($C$2231&gt;0,'Assumptions (Petroleum)'!AG$10*Model!$C$2231*'Assumptions (Petroleum)'!$B$2/10^9,0)</f>
        <v>1.9947597660739644E-2</v>
      </c>
      <c r="O2392" s="167">
        <f>IF($C$2231&gt;0,'Assumptions (Petroleum)'!AH$10*Model!$C$2231*'Assumptions (Petroleum)'!$B$2/10^9,0)</f>
        <v>1.9981407148300222E-2</v>
      </c>
      <c r="P2392" s="167">
        <f>IF($C$2231&gt;0,'Assumptions (Petroleum)'!AI$10*Model!$C$2231*'Assumptions (Petroleum)'!$B$2/10^9,0)</f>
        <v>1.9947597660739644E-2</v>
      </c>
      <c r="Q2392" s="167">
        <f>IF($C$2231&gt;0,'Assumptions (Petroleum)'!AJ$10*Model!$C$2231*'Assumptions (Petroleum)'!$B$2/10^9,0)</f>
        <v>1.9981407148300222E-2</v>
      </c>
      <c r="R2392" s="167">
        <f>IF($C$2231&gt;0,'Assumptions (Petroleum)'!AK$10*Model!$C$2231*'Assumptions (Petroleum)'!$B$2/10^9,0)</f>
        <v>9.9737988303698222E-3</v>
      </c>
      <c r="S2392" s="91"/>
      <c r="T2392" s="91"/>
      <c r="U2392" s="91"/>
      <c r="V2392" s="91"/>
      <c r="W2392" s="91"/>
      <c r="X2392" s="105"/>
      <c r="Y2392" s="105"/>
      <c r="Z2392" s="105"/>
      <c r="AA2392" s="105"/>
      <c r="AB2392" s="105"/>
      <c r="AC2392" s="105"/>
      <c r="AD2392" s="105"/>
      <c r="AE2392" s="105"/>
      <c r="AF2392" s="105"/>
      <c r="AG2392" s="105"/>
    </row>
    <row r="2393" spans="1:68" ht="15.75" hidden="1" customHeight="1" outlineLevel="1">
      <c r="A2393" s="447"/>
      <c r="B2393" s="99"/>
      <c r="C2393" s="105"/>
      <c r="D2393" s="105">
        <f>IF($D$2231&gt;0,'Assumptions (Petroleum)'!V$10*Model!$D$2231*'Assumptions (Petroleum)'!$B$2/10^9,0)</f>
        <v>1.6782485078202094E-2</v>
      </c>
      <c r="E2393" s="105">
        <f>IF($D$2231&gt;0,'Assumptions (Petroleum)'!W$10*Model!$D$2231*'Assumptions (Petroleum)'!$B$2/10^9,0)</f>
        <v>3.1886721648583978E-2</v>
      </c>
      <c r="F2393" s="105">
        <f>IF($D$2231&gt;0,'Assumptions (Petroleum)'!X$10*Model!$D$2231*'Assumptions (Petroleum)'!$B$2/10^9,0)</f>
        <v>2.869804948372558E-2</v>
      </c>
      <c r="G2393" s="105">
        <f>IF($D$2231&gt;0,'Assumptions (Petroleum)'!Y$10*Model!$D$2231*'Assumptions (Petroleum)'!$B$2/10^9,0)</f>
        <v>2.5845027020431229E-2</v>
      </c>
      <c r="H2393" s="105">
        <f>IF($D$2231&gt;0,'Assumptions (Petroleum)'!Z$10*Model!$D$2231*'Assumptions (Petroleum)'!$B$2/10^9,0)</f>
        <v>2.3260524318388102E-2</v>
      </c>
      <c r="I2393" s="105">
        <f>IF($D$2231&gt;0,'Assumptions (Petroleum)'!AA$10*Model!$D$2231*'Assumptions (Petroleum)'!$B$2/10^9,0)</f>
        <v>2.0910976407439809E-2</v>
      </c>
      <c r="J2393" s="105">
        <f>IF($D$2231&gt;0,'Assumptions (Petroleum)'!AB$10*Model!$D$2231*'Assumptions (Petroleum)'!$B$2/10^9,0)</f>
        <v>1.980333239227847E-2</v>
      </c>
      <c r="K2393" s="105">
        <f>IF($D$2231&gt;0,'Assumptions (Petroleum)'!AC$10*Model!$D$2231*'Assumptions (Petroleum)'!$B$2/10^9,0)</f>
        <v>1.980333239227847E-2</v>
      </c>
      <c r="L2393" s="105">
        <f>IF($D$2231&gt;0,'Assumptions (Petroleum)'!AD$10*Model!$D$2231*'Assumptions (Petroleum)'!$B$2/10^9,0)</f>
        <v>1.9836897362434876E-2</v>
      </c>
      <c r="M2393" s="105">
        <f>IF($D$2231&gt;0,'Assumptions (Petroleum)'!AE$10*Model!$D$2231*'Assumptions (Petroleum)'!$B$2/10^9,0)</f>
        <v>1.980333239227847E-2</v>
      </c>
      <c r="N2393" s="105">
        <f>IF($D$2231&gt;0,'Assumptions (Petroleum)'!AF$10*Model!$D$2231*'Assumptions (Petroleum)'!$B$2/10^9,0)</f>
        <v>1.9836897362434876E-2</v>
      </c>
      <c r="O2393" s="105">
        <f>IF($D$2231&gt;0,'Assumptions (Petroleum)'!AG$10*Model!$D$2231*'Assumptions (Petroleum)'!$B$2/10^9,0)</f>
        <v>1.980333239227847E-2</v>
      </c>
      <c r="P2393" s="105">
        <f>IF($D$2231&gt;0,'Assumptions (Petroleum)'!AH$10*Model!$D$2231*'Assumptions (Petroleum)'!$B$2/10^9,0)</f>
        <v>1.9836897362434876E-2</v>
      </c>
      <c r="Q2393" s="105">
        <f>IF($D$2231&gt;0,'Assumptions (Petroleum)'!AI$10*Model!$D$2231*'Assumptions (Petroleum)'!$B$2/10^9,0)</f>
        <v>1.980333239227847E-2</v>
      </c>
      <c r="R2393" s="105">
        <f>IF($D$2231&gt;0,'Assumptions (Petroleum)'!AJ$10*Model!$D$2231*'Assumptions (Petroleum)'!$B$2/10^9,0)</f>
        <v>1.9836897362434876E-2</v>
      </c>
      <c r="S2393" s="105">
        <f>IF($D$2231&gt;0,'Assumptions (Petroleum)'!AK$10*Model!$D$2231*'Assumptions (Petroleum)'!$B$2/10^9,0)</f>
        <v>9.901666196139235E-3</v>
      </c>
      <c r="T2393" s="105"/>
      <c r="U2393" s="105"/>
      <c r="V2393" s="105"/>
      <c r="W2393" s="105"/>
      <c r="X2393" s="105"/>
      <c r="Y2393" s="105"/>
      <c r="Z2393" s="105"/>
      <c r="AA2393" s="105"/>
      <c r="AB2393" s="105"/>
      <c r="AC2393" s="105"/>
      <c r="AD2393" s="105"/>
      <c r="AE2393" s="105"/>
      <c r="AF2393" s="105"/>
      <c r="AG2393" s="105"/>
    </row>
    <row r="2394" spans="1:68" ht="15.75" hidden="1" customHeight="1" outlineLevel="1">
      <c r="A2394" s="447"/>
      <c r="B2394" s="99"/>
      <c r="C2394" s="105"/>
      <c r="D2394" s="105"/>
      <c r="E2394" s="105">
        <f>IF($E$2231&gt;0,'Assumptions (Petroleum)'!V$10*Model!$E$2231*AVERAGE('Assumptions (Petroleum)'!$B$2:$C$2)/10^9,0)</f>
        <v>1.2164575643068934E-2</v>
      </c>
      <c r="F2394" s="105">
        <f>IF($E$2231&gt;0,'Assumptions (Petroleum)'!W$10*Model!$E$2231*AVERAGE('Assumptions (Petroleum)'!$B$2:$C$2)/10^9,0)</f>
        <v>2.311269372183097E-2</v>
      </c>
      <c r="G2394" s="105">
        <f>IF($E$2231&gt;0,'Assumptions (Petroleum)'!X$10*Model!$E$2231*AVERAGE('Assumptions (Petroleum)'!$B$2:$C$2)/10^9,0)</f>
        <v>2.0801424349647876E-2</v>
      </c>
      <c r="H2394" s="105">
        <f>IF($E$2231&gt;0,'Assumptions (Petroleum)'!Y$10*Model!$E$2231*AVERAGE('Assumptions (Petroleum)'!$B$2:$C$2)/10^9,0)</f>
        <v>1.8733446490326159E-2</v>
      </c>
      <c r="I2394" s="105">
        <f>IF($E$2231&gt;0,'Assumptions (Petroleum)'!Z$10*Model!$E$2231*AVERAGE('Assumptions (Petroleum)'!$B$2:$C$2)/10^9,0)</f>
        <v>1.6860101841293541E-2</v>
      </c>
      <c r="J2394" s="105">
        <f>IF($E$2231&gt;0,'Assumptions (Petroleum)'!AA$10*Model!$E$2231*AVERAGE('Assumptions (Petroleum)'!$B$2:$C$2)/10^9,0)</f>
        <v>1.5157061251263889E-2</v>
      </c>
      <c r="K2394" s="105">
        <f>IF($E$2231&gt;0,'Assumptions (Petroleum)'!AB$10*Model!$E$2231*AVERAGE('Assumptions (Petroleum)'!$B$2:$C$2)/10^9,0)</f>
        <v>1.4354199258821339E-2</v>
      </c>
      <c r="L2394" s="105">
        <f>IF($E$2231&gt;0,'Assumptions (Petroleum)'!AC$10*Model!$E$2231*AVERAGE('Assumptions (Petroleum)'!$B$2:$C$2)/10^9,0)</f>
        <v>1.4354199258821339E-2</v>
      </c>
      <c r="M2394" s="105">
        <f>IF($E$2231&gt;0,'Assumptions (Petroleum)'!AD$10*Model!$E$2231*AVERAGE('Assumptions (Petroleum)'!$B$2:$C$2)/10^9,0)</f>
        <v>1.4378528410107479E-2</v>
      </c>
      <c r="N2394" s="105">
        <f>IF($E$2231&gt;0,'Assumptions (Petroleum)'!AE$10*Model!$E$2231*AVERAGE('Assumptions (Petroleum)'!$B$2:$C$2)/10^9,0)</f>
        <v>1.4354199258821339E-2</v>
      </c>
      <c r="O2394" s="105">
        <f>IF($E$2231&gt;0,'Assumptions (Petroleum)'!AF$10*Model!$E$2231*AVERAGE('Assumptions (Petroleum)'!$B$2:$C$2)/10^9,0)</f>
        <v>1.4378528410107479E-2</v>
      </c>
      <c r="P2394" s="105">
        <f>IF($E$2231&gt;0,'Assumptions (Petroleum)'!AG$10*Model!$E$2231*AVERAGE('Assumptions (Petroleum)'!$B$2:$C$2)/10^9,0)</f>
        <v>1.4354199258821339E-2</v>
      </c>
      <c r="Q2394" s="105">
        <f>IF($E$2231&gt;0,'Assumptions (Petroleum)'!AH$10*Model!$E$2231*AVERAGE('Assumptions (Petroleum)'!$B$2:$C$2)/10^9,0)</f>
        <v>1.4378528410107479E-2</v>
      </c>
      <c r="R2394" s="105">
        <f>IF($E$2231&gt;0,'Assumptions (Petroleum)'!AI$10*Model!$E$2231*AVERAGE('Assumptions (Petroleum)'!$B$2:$C$2)/10^9,0)</f>
        <v>1.4354199258821339E-2</v>
      </c>
      <c r="S2394" s="105">
        <f>IF($E$2231&gt;0,'Assumptions (Petroleum)'!AJ$10*Model!$E$2231*AVERAGE('Assumptions (Petroleum)'!$B$2:$C$2)/10^9,0)</f>
        <v>1.4378528410107479E-2</v>
      </c>
      <c r="T2394" s="105">
        <f>IF($E$2231&gt;0,'Assumptions (Petroleum)'!AK$10*Model!$E$2231*AVERAGE('Assumptions (Petroleum)'!$B$2:$C$2)/10^9,0)</f>
        <v>7.1770996294106696E-3</v>
      </c>
      <c r="U2394" s="105"/>
      <c r="V2394" s="105"/>
      <c r="W2394" s="105"/>
      <c r="X2394" s="105"/>
      <c r="Y2394" s="105"/>
      <c r="Z2394" s="105"/>
      <c r="AA2394" s="105"/>
      <c r="AB2394" s="105"/>
      <c r="AC2394" s="105"/>
      <c r="AD2394" s="105"/>
      <c r="AE2394" s="105"/>
      <c r="AF2394" s="105"/>
      <c r="AG2394" s="105"/>
    </row>
    <row r="2395" spans="1:68" ht="15.75" hidden="1" customHeight="1" outlineLevel="1">
      <c r="A2395" s="447"/>
      <c r="B2395" s="99"/>
      <c r="C2395" s="105"/>
      <c r="D2395" s="105"/>
      <c r="E2395" s="105"/>
      <c r="F2395" s="105">
        <f>IF($F$2231&gt;0,'Assumptions (Petroleum)'!V$10*Model!$F$2231*AVERAGE('Assumptions (Petroleum)'!$B$2:$D$2)/10^9,0)</f>
        <v>8.8079411689958986E-3</v>
      </c>
      <c r="G2395" s="105">
        <f>IF($F$2231&gt;0,'Assumptions (Petroleum)'!W$10*Model!$F$2231*AVERAGE('Assumptions (Petroleum)'!$B$2:$D$2)/10^9,0)</f>
        <v>1.6735088221092206E-2</v>
      </c>
      <c r="H2395" s="105">
        <f>IF($F$2231&gt;0,'Assumptions (Petroleum)'!X$10*Model!$F$2231*AVERAGE('Assumptions (Petroleum)'!$B$2:$D$2)/10^9,0)</f>
        <v>1.5061579398982988E-2</v>
      </c>
      <c r="I2395" s="105">
        <f>IF($F$2231&gt;0,'Assumptions (Petroleum)'!Y$10*Model!$F$2231*AVERAGE('Assumptions (Petroleum)'!$B$2:$D$2)/10^9,0)</f>
        <v>1.3564229400253683E-2</v>
      </c>
      <c r="J2395" s="105">
        <f>IF($F$2231&gt;0,'Assumptions (Petroleum)'!Z$10*Model!$F$2231*AVERAGE('Assumptions (Petroleum)'!$B$2:$D$2)/10^9,0)</f>
        <v>1.2207806460228315E-2</v>
      </c>
      <c r="K2395" s="105">
        <f>IF($F$2231&gt;0,'Assumptions (Petroleum)'!AA$10*Model!$F$2231*AVERAGE('Assumptions (Petroleum)'!$B$2:$D$2)/10^9,0)</f>
        <v>1.0974694696568888E-2</v>
      </c>
      <c r="L2395" s="105">
        <f>IF($F$2231&gt;0,'Assumptions (Petroleum)'!AB$10*Model!$F$2231*AVERAGE('Assumptions (Petroleum)'!$B$2:$D$2)/10^9,0)</f>
        <v>1.0393370579415159E-2</v>
      </c>
      <c r="M2395" s="105">
        <f>IF($F$2231&gt;0,'Assumptions (Petroleum)'!AC$10*Model!$F$2231*AVERAGE('Assumptions (Petroleum)'!$B$2:$D$2)/10^9,0)</f>
        <v>1.0393370579415159E-2</v>
      </c>
      <c r="N2395" s="105">
        <f>IF($F$2231&gt;0,'Assumptions (Petroleum)'!AD$10*Model!$F$2231*AVERAGE('Assumptions (Petroleum)'!$B$2:$D$2)/10^9,0)</f>
        <v>1.041098646175315E-2</v>
      </c>
      <c r="O2395" s="105">
        <f>IF($F$2231&gt;0,'Assumptions (Petroleum)'!AE$10*Model!$F$2231*AVERAGE('Assumptions (Petroleum)'!$B$2:$D$2)/10^9,0)</f>
        <v>1.0393370579415159E-2</v>
      </c>
      <c r="P2395" s="105">
        <f>IF($F$2231&gt;0,'Assumptions (Petroleum)'!AF$10*Model!$F$2231*AVERAGE('Assumptions (Petroleum)'!$B$2:$D$2)/10^9,0)</f>
        <v>1.041098646175315E-2</v>
      </c>
      <c r="Q2395" s="105">
        <f>IF($F$2231&gt;0,'Assumptions (Petroleum)'!AG$10*Model!$F$2231*AVERAGE('Assumptions (Petroleum)'!$B$2:$D$2)/10^9,0)</f>
        <v>1.0393370579415159E-2</v>
      </c>
      <c r="R2395" s="105">
        <f>IF($F$2231&gt;0,'Assumptions (Petroleum)'!AH$10*Model!$F$2231*AVERAGE('Assumptions (Petroleum)'!$B$2:$D$2)/10^9,0)</f>
        <v>1.041098646175315E-2</v>
      </c>
      <c r="S2395" s="105">
        <f>IF($F$2231&gt;0,'Assumptions (Petroleum)'!AI$10*Model!$F$2231*AVERAGE('Assumptions (Petroleum)'!$B$2:$D$2)/10^9,0)</f>
        <v>1.0393370579415159E-2</v>
      </c>
      <c r="T2395" s="105">
        <f>IF($F$2231&gt;0,'Assumptions (Petroleum)'!AJ$10*Model!$F$2231*AVERAGE('Assumptions (Petroleum)'!$B$2:$D$2)/10^9,0)</f>
        <v>1.041098646175315E-2</v>
      </c>
      <c r="U2395" s="105">
        <f>IF($F$2231&gt;0,'Assumptions (Petroleum)'!AK$10*Model!$F$2231*AVERAGE('Assumptions (Petroleum)'!$B$2:$D$2)/10^9,0)</f>
        <v>5.1966852897075795E-3</v>
      </c>
      <c r="V2395" s="105"/>
      <c r="W2395" s="105"/>
      <c r="X2395" s="105"/>
      <c r="Y2395" s="105"/>
      <c r="Z2395" s="105"/>
      <c r="AA2395" s="105"/>
      <c r="AB2395" s="105"/>
      <c r="AC2395" s="105"/>
      <c r="AD2395" s="105"/>
      <c r="AE2395" s="105"/>
      <c r="AF2395" s="105"/>
      <c r="AG2395" s="105"/>
    </row>
    <row r="2396" spans="1:68" ht="15.75" hidden="1" customHeight="1" outlineLevel="1">
      <c r="A2396" s="447"/>
      <c r="B2396" s="99"/>
      <c r="C2396" s="105"/>
      <c r="D2396" s="105"/>
      <c r="E2396" s="105"/>
      <c r="F2396" s="105"/>
      <c r="G2396" s="105">
        <f>IF($G$2231&gt;0,'Assumptions (Petroleum)'!V$10*Model!$G$2231*AVERAGE('Assumptions (Petroleum)'!$C$2:$E$2)/10^9,0)</f>
        <v>7.1721517734772101E-3</v>
      </c>
      <c r="H2396" s="105">
        <f>IF($G$2231&gt;0,'Assumptions (Petroleum)'!W$10*Model!$G$2231*AVERAGE('Assumptions (Petroleum)'!$C$2:$E$2)/10^9,0)</f>
        <v>1.36270883696067E-2</v>
      </c>
      <c r="I2396" s="105">
        <f>IF($G$2231&gt;0,'Assumptions (Petroleum)'!X$10*Model!$G$2231*AVERAGE('Assumptions (Petroleum)'!$C$2:$E$2)/10^9,0)</f>
        <v>1.226437953264603E-2</v>
      </c>
      <c r="J2396" s="105">
        <f>IF($G$2231&gt;0,'Assumptions (Petroleum)'!Y$10*Model!$G$2231*AVERAGE('Assumptions (Petroleum)'!$C$2:$E$2)/10^9,0)</f>
        <v>1.1045113731154904E-2</v>
      </c>
      <c r="K2396" s="105">
        <f>IF($G$2231&gt;0,'Assumptions (Petroleum)'!Z$10*Model!$G$2231*AVERAGE('Assumptions (Petroleum)'!$C$2:$E$2)/10^9,0)</f>
        <v>9.9406023580394139E-3</v>
      </c>
      <c r="L2396" s="105">
        <f>IF($G$2231&gt;0,'Assumptions (Petroleum)'!AA$10*Model!$G$2231*AVERAGE('Assumptions (Petroleum)'!$C$2:$E$2)/10^9,0)</f>
        <v>8.936501109752604E-3</v>
      </c>
      <c r="M2396" s="105">
        <f>IF($G$2231&gt;0,'Assumptions (Petroleum)'!AB$10*Model!$G$2231*AVERAGE('Assumptions (Petroleum)'!$C$2:$E$2)/10^9,0)</f>
        <v>8.4631390927031071E-3</v>
      </c>
      <c r="N2396" s="105">
        <f>IF($G$2231&gt;0,'Assumptions (Petroleum)'!AC$10*Model!$G$2231*AVERAGE('Assumptions (Petroleum)'!$C$2:$E$2)/10^9,0)</f>
        <v>8.4631390927031071E-3</v>
      </c>
      <c r="O2396" s="105">
        <f>IF($G$2231&gt;0,'Assumptions (Petroleum)'!AD$10*Model!$G$2231*AVERAGE('Assumptions (Petroleum)'!$C$2:$E$2)/10^9,0)</f>
        <v>8.4774833962500632E-3</v>
      </c>
      <c r="P2396" s="105">
        <f>IF($G$2231&gt;0,'Assumptions (Petroleum)'!AE$10*Model!$G$2231*AVERAGE('Assumptions (Petroleum)'!$C$2:$E$2)/10^9,0)</f>
        <v>8.4631390927031071E-3</v>
      </c>
      <c r="Q2396" s="105">
        <f>IF($G$2231&gt;0,'Assumptions (Petroleum)'!AF$10*Model!$G$2231*AVERAGE('Assumptions (Petroleum)'!$C$2:$E$2)/10^9,0)</f>
        <v>8.4774833962500632E-3</v>
      </c>
      <c r="R2396" s="105">
        <f>IF($G$2231&gt;0,'Assumptions (Petroleum)'!AG$10*Model!$G$2231*AVERAGE('Assumptions (Petroleum)'!$C$2:$E$2)/10^9,0)</f>
        <v>8.4631390927031071E-3</v>
      </c>
      <c r="S2396" s="105">
        <f>IF($G$2231&gt;0,'Assumptions (Petroleum)'!AH$10*Model!$G$2231*AVERAGE('Assumptions (Petroleum)'!$C$2:$E$2)/10^9,0)</f>
        <v>8.4774833962500632E-3</v>
      </c>
      <c r="T2396" s="105">
        <f>IF($G$2231&gt;0,'Assumptions (Petroleum)'!AI$10*Model!$G$2231*AVERAGE('Assumptions (Petroleum)'!$C$2:$E$2)/10^9,0)</f>
        <v>8.4631390927031071E-3</v>
      </c>
      <c r="U2396" s="105">
        <f>IF($G$2231&gt;0,'Assumptions (Petroleum)'!AJ$10*Model!$G$2231*AVERAGE('Assumptions (Petroleum)'!$C$2:$E$2)/10^9,0)</f>
        <v>8.4774833962500632E-3</v>
      </c>
      <c r="V2396" s="105">
        <f>IF($G$2231&gt;0,'Assumptions (Petroleum)'!AK$10*Model!$G$2231*AVERAGE('Assumptions (Petroleum)'!$C$2:$E$2)/10^9,0)</f>
        <v>4.2315695463515535E-3</v>
      </c>
      <c r="W2396" s="105"/>
      <c r="X2396" s="105"/>
      <c r="Y2396" s="105"/>
      <c r="Z2396" s="105"/>
      <c r="AA2396" s="105"/>
      <c r="AB2396" s="105"/>
      <c r="AC2396" s="105"/>
      <c r="AD2396" s="105"/>
      <c r="AE2396" s="105"/>
      <c r="AF2396" s="105"/>
      <c r="AG2396" s="105"/>
    </row>
    <row r="2397" spans="1:68" ht="15.75" hidden="1" customHeight="1" outlineLevel="1">
      <c r="A2397" s="447"/>
      <c r="B2397" s="99"/>
      <c r="C2397" s="105"/>
      <c r="D2397" s="105"/>
      <c r="E2397" s="105"/>
      <c r="F2397" s="105"/>
      <c r="G2397" s="105"/>
      <c r="H2397" s="105">
        <f>IF($H$2231&gt;0,'Assumptions (Petroleum)'!V$10*Model!$H$2231*AVERAGE('Assumptions (Petroleum)'!$D$2:$F$2)/10^9,0)</f>
        <v>4.1172139528779916E-3</v>
      </c>
      <c r="I2397" s="105">
        <f>IF($H$2231&gt;0,'Assumptions (Petroleum)'!W$10*Model!$H$2231*AVERAGE('Assumptions (Petroleum)'!$D$2:$F$2)/10^9,0)</f>
        <v>7.8227065104681838E-3</v>
      </c>
      <c r="J2397" s="105">
        <f>IF($H$2231&gt;0,'Assumptions (Petroleum)'!X$10*Model!$H$2231*AVERAGE('Assumptions (Petroleum)'!$D$2:$F$2)/10^9,0)</f>
        <v>7.0404358594213659E-3</v>
      </c>
      <c r="K2397" s="105">
        <f>IF($H$2231&gt;0,'Assumptions (Petroleum)'!Y$10*Model!$H$2231*AVERAGE('Assumptions (Petroleum)'!$D$2:$F$2)/10^9,0)</f>
        <v>6.3405094874321062E-3</v>
      </c>
      <c r="L2397" s="105">
        <f>IF($H$2231&gt;0,'Assumptions (Petroleum)'!Z$10*Model!$H$2231*AVERAGE('Assumptions (Petroleum)'!$D$2:$F$2)/10^9,0)</f>
        <v>5.7064585386888966E-3</v>
      </c>
      <c r="M2397" s="105">
        <f>IF($H$2231&gt;0,'Assumptions (Petroleum)'!AA$10*Model!$H$2231*AVERAGE('Assumptions (Petroleum)'!$D$2:$F$2)/10^9,0)</f>
        <v>5.1300485852859776E-3</v>
      </c>
      <c r="N2397" s="105">
        <f>IF($H$2231&gt;0,'Assumptions (Petroleum)'!AB$10*Model!$H$2231*AVERAGE('Assumptions (Petroleum)'!$D$2:$F$2)/10^9,0)</f>
        <v>4.8583124643960295E-3</v>
      </c>
      <c r="O2397" s="105">
        <f>IF($H$2231&gt;0,'Assumptions (Petroleum)'!AC$10*Model!$H$2231*AVERAGE('Assumptions (Petroleum)'!$D$2:$F$2)/10^9,0)</f>
        <v>4.8583124643960295E-3</v>
      </c>
      <c r="P2397" s="105">
        <f>IF($H$2231&gt;0,'Assumptions (Petroleum)'!AD$10*Model!$H$2231*AVERAGE('Assumptions (Petroleum)'!$D$2:$F$2)/10^9,0)</f>
        <v>4.8665468923017857E-3</v>
      </c>
      <c r="Q2397" s="105">
        <f>IF($H$2231&gt;0,'Assumptions (Petroleum)'!AE$10*Model!$H$2231*AVERAGE('Assumptions (Petroleum)'!$D$2:$F$2)/10^9,0)</f>
        <v>4.8583124643960295E-3</v>
      </c>
      <c r="R2397" s="105">
        <f>IF($H$2231&gt;0,'Assumptions (Petroleum)'!AF$10*Model!$H$2231*AVERAGE('Assumptions (Petroleum)'!$D$2:$F$2)/10^9,0)</f>
        <v>4.8665468923017857E-3</v>
      </c>
      <c r="S2397" s="105">
        <f>IF($H$2231&gt;0,'Assumptions (Petroleum)'!AG$10*Model!$H$2231*AVERAGE('Assumptions (Petroleum)'!$D$2:$F$2)/10^9,0)</f>
        <v>4.8583124643960295E-3</v>
      </c>
      <c r="T2397" s="105">
        <f>IF($H$2231&gt;0,'Assumptions (Petroleum)'!AH$10*Model!$H$2231*AVERAGE('Assumptions (Petroleum)'!$D$2:$F$2)/10^9,0)</f>
        <v>4.8665468923017857E-3</v>
      </c>
      <c r="U2397" s="105">
        <f>IF($H$2231&gt;0,'Assumptions (Petroleum)'!AI$10*Model!$H$2231*AVERAGE('Assumptions (Petroleum)'!$D$2:$F$2)/10^9,0)</f>
        <v>4.8583124643960295E-3</v>
      </c>
      <c r="V2397" s="105">
        <f>IF($H$2231&gt;0,'Assumptions (Petroleum)'!AJ$10*Model!$H$2231*AVERAGE('Assumptions (Petroleum)'!$D$2:$F$2)/10^9,0)</f>
        <v>4.8665468923017857E-3</v>
      </c>
      <c r="W2397" s="105">
        <f>IF($H$2231&gt;0,'Assumptions (Petroleum)'!AK$10*Model!$H$2231*AVERAGE('Assumptions (Petroleum)'!$D$2:$F$2)/10^9,0)</f>
        <v>2.4291562321980147E-3</v>
      </c>
      <c r="X2397" s="105"/>
      <c r="Y2397" s="105"/>
      <c r="Z2397" s="105"/>
      <c r="AA2397" s="105"/>
      <c r="AB2397" s="105"/>
      <c r="AC2397" s="105"/>
      <c r="AD2397" s="105"/>
      <c r="AE2397" s="105"/>
      <c r="AF2397" s="105"/>
      <c r="AG2397" s="105"/>
    </row>
    <row r="2398" spans="1:68" ht="15.75" hidden="1" customHeight="1" outlineLevel="1">
      <c r="A2398" s="447"/>
      <c r="B2398" s="99"/>
      <c r="C2398" s="105"/>
      <c r="D2398" s="105"/>
      <c r="E2398" s="105"/>
      <c r="F2398" s="105"/>
      <c r="G2398" s="105"/>
      <c r="H2398" s="105"/>
      <c r="I2398" s="105">
        <f>IF($I$2231&gt;0,'Assumptions (Petroleum)'!V$10*Model!$I$2231*AVERAGE('Assumptions (Petroleum)'!$E$2:$G$2)/10^9,0)</f>
        <v>6.0310521116212421E-3</v>
      </c>
      <c r="J2398" s="105">
        <f>IF($I$2231&gt;0,'Assumptions (Petroleum)'!W$10*Model!$I$2231*AVERAGE('Assumptions (Petroleum)'!$E$2:$G$2)/10^9,0)</f>
        <v>1.145899901208036E-2</v>
      </c>
      <c r="K2398" s="105">
        <f>IF($I$2231&gt;0,'Assumptions (Petroleum)'!X$10*Model!$I$2231*AVERAGE('Assumptions (Petroleum)'!$E$2:$G$2)/10^9,0)</f>
        <v>1.0313099110872324E-2</v>
      </c>
      <c r="L2398" s="105">
        <f>IF($I$2231&gt;0,'Assumptions (Petroleum)'!Y$10*Model!$I$2231*AVERAGE('Assumptions (Petroleum)'!$E$2:$G$2)/10^9,0)</f>
        <v>9.2878202518967123E-3</v>
      </c>
      <c r="M2398" s="105">
        <f>IF($I$2231&gt;0,'Assumptions (Petroleum)'!Z$10*Model!$I$2231*AVERAGE('Assumptions (Petroleum)'!$E$2:$G$2)/10^9,0)</f>
        <v>8.359038226707043E-3</v>
      </c>
      <c r="N2398" s="105">
        <f>IF($I$2231&gt;0,'Assumptions (Petroleum)'!AA$10*Model!$I$2231*AVERAGE('Assumptions (Petroleum)'!$E$2:$G$2)/10^9,0)</f>
        <v>7.5146909310800673E-3</v>
      </c>
      <c r="O2398" s="105">
        <f>IF($I$2231&gt;0,'Assumptions (Petroleum)'!AB$10*Model!$I$2231*AVERAGE('Assumptions (Petroleum)'!$E$2:$G$2)/10^9,0)</f>
        <v>7.116641491713066E-3</v>
      </c>
      <c r="P2398" s="105">
        <f>IF($I$2231&gt;0,'Assumptions (Petroleum)'!AC$10*Model!$I$2231*AVERAGE('Assumptions (Petroleum)'!$E$2:$G$2)/10^9,0)</f>
        <v>7.116641491713066E-3</v>
      </c>
      <c r="Q2398" s="105">
        <f>IF($I$2231&gt;0,'Assumptions (Petroleum)'!AD$10*Model!$I$2231*AVERAGE('Assumptions (Petroleum)'!$E$2:$G$2)/10^9,0)</f>
        <v>7.1287035959363074E-3</v>
      </c>
      <c r="R2398" s="105">
        <f>IF($I$2231&gt;0,'Assumptions (Petroleum)'!AE$10*Model!$I$2231*AVERAGE('Assumptions (Petroleum)'!$E$2:$G$2)/10^9,0)</f>
        <v>7.116641491713066E-3</v>
      </c>
      <c r="S2398" s="105">
        <f>IF($I$2231&gt;0,'Assumptions (Petroleum)'!AF$10*Model!$I$2231*AVERAGE('Assumptions (Petroleum)'!$E$2:$G$2)/10^9,0)</f>
        <v>7.1287035959363074E-3</v>
      </c>
      <c r="T2398" s="105">
        <f>IF($I$2231&gt;0,'Assumptions (Petroleum)'!AG$10*Model!$I$2231*AVERAGE('Assumptions (Petroleum)'!$E$2:$G$2)/10^9,0)</f>
        <v>7.116641491713066E-3</v>
      </c>
      <c r="U2398" s="105">
        <f>IF($I$2231&gt;0,'Assumptions (Petroleum)'!AH$10*Model!$I$2231*AVERAGE('Assumptions (Petroleum)'!$E$2:$G$2)/10^9,0)</f>
        <v>7.1287035959363074E-3</v>
      </c>
      <c r="V2398" s="105">
        <f>IF($I$2231&gt;0,'Assumptions (Petroleum)'!AI$10*Model!$I$2231*AVERAGE('Assumptions (Petroleum)'!$E$2:$G$2)/10^9,0)</f>
        <v>7.116641491713066E-3</v>
      </c>
      <c r="W2398" s="105">
        <f>IF($I$2231&gt;0,'Assumptions (Petroleum)'!AJ$10*Model!$I$2231*AVERAGE('Assumptions (Petroleum)'!$E$2:$G$2)/10^9,0)</f>
        <v>7.1287035959363074E-3</v>
      </c>
      <c r="X2398" s="105">
        <f>IF($I$2231&gt;0,'Assumptions (Petroleum)'!AK$10*Model!$I$2231*AVERAGE('Assumptions (Petroleum)'!$E$2:$G$2)/10^9,0)</f>
        <v>3.558320745856533E-3</v>
      </c>
      <c r="Y2398" s="105"/>
      <c r="Z2398" s="105"/>
      <c r="AA2398" s="105"/>
      <c r="AB2398" s="105"/>
      <c r="AC2398" s="105"/>
      <c r="AD2398" s="105"/>
      <c r="AE2398" s="105"/>
      <c r="AF2398" s="105"/>
      <c r="AG2398" s="105"/>
    </row>
    <row r="2399" spans="1:68" ht="15.75" hidden="1" customHeight="1" outlineLevel="1">
      <c r="A2399" s="447"/>
      <c r="B2399" s="99"/>
      <c r="C2399" s="105"/>
      <c r="D2399" s="105"/>
      <c r="E2399" s="105"/>
      <c r="F2399" s="105"/>
      <c r="G2399" s="105"/>
      <c r="H2399" s="105"/>
      <c r="I2399" s="105"/>
      <c r="J2399" s="105">
        <f>IF($J$2231&gt;0,'Assumptions (Petroleum)'!V$10*Model!$J$2231*AVERAGE('Assumptions (Petroleum)'!$F$2:$H$2)/10^9,0)</f>
        <v>8.7385867161800333E-3</v>
      </c>
      <c r="K2399" s="105">
        <f>IF($J$2231&gt;0,'Assumptions (Petroleum)'!W$10*Model!$J$2231*AVERAGE('Assumptions (Petroleum)'!$F$2:$H$2)/10^9,0)</f>
        <v>1.6603314760742064E-2</v>
      </c>
      <c r="L2399" s="105">
        <f>IF($J$2231&gt;0,'Assumptions (Petroleum)'!X$10*Model!$J$2231*AVERAGE('Assumptions (Petroleum)'!$F$2:$H$2)/10^9,0)</f>
        <v>1.4942983284667855E-2</v>
      </c>
      <c r="M2399" s="105">
        <f>IF($J$2231&gt;0,'Assumptions (Petroleum)'!Y$10*Model!$J$2231*AVERAGE('Assumptions (Petroleum)'!$F$2:$H$2)/10^9,0)</f>
        <v>1.3457423542917249E-2</v>
      </c>
      <c r="N2399" s="105">
        <f>IF($J$2231&gt;0,'Assumptions (Petroleum)'!Z$10*Model!$J$2231*AVERAGE('Assumptions (Petroleum)'!$F$2:$H$2)/10^9,0)</f>
        <v>1.2111681188625524E-2</v>
      </c>
      <c r="O2399" s="105">
        <f>IF($J$2231&gt;0,'Assumptions (Petroleum)'!AA$10*Model!$J$2231*AVERAGE('Assumptions (Petroleum)'!$F$2:$H$2)/10^9,0)</f>
        <v>1.088827904836032E-2</v>
      </c>
      <c r="P2399" s="105">
        <f>IF($J$2231&gt;0,'Assumptions (Petroleum)'!AB$10*Model!$J$2231*AVERAGE('Assumptions (Petroleum)'!$F$2:$H$2)/10^9,0)</f>
        <v>1.0311532325092437E-2</v>
      </c>
      <c r="Q2399" s="105">
        <f>IF($J$2231&gt;0,'Assumptions (Petroleum)'!AC$10*Model!$J$2231*AVERAGE('Assumptions (Petroleum)'!$F$2:$H$2)/10^9,0)</f>
        <v>1.0311532325092437E-2</v>
      </c>
      <c r="R2399" s="105">
        <f>IF($J$2231&gt;0,'Assumptions (Petroleum)'!AD$10*Model!$J$2231*AVERAGE('Assumptions (Petroleum)'!$F$2:$H$2)/10^9,0)</f>
        <v>1.0329009498524798E-2</v>
      </c>
      <c r="S2399" s="105">
        <f>IF($J$2231&gt;0,'Assumptions (Petroleum)'!AE$10*Model!$J$2231*AVERAGE('Assumptions (Petroleum)'!$F$2:$H$2)/10^9,0)</f>
        <v>1.0311532325092437E-2</v>
      </c>
      <c r="T2399" s="105">
        <f>IF($J$2231&gt;0,'Assumptions (Petroleum)'!AF$10*Model!$J$2231*AVERAGE('Assumptions (Petroleum)'!$F$2:$H$2)/10^9,0)</f>
        <v>1.0329009498524798E-2</v>
      </c>
      <c r="U2399" s="105">
        <f>IF($J$2231&gt;0,'Assumptions (Petroleum)'!AG$10*Model!$J$2231*AVERAGE('Assumptions (Petroleum)'!$F$2:$H$2)/10^9,0)</f>
        <v>1.0311532325092437E-2</v>
      </c>
      <c r="V2399" s="105">
        <f>IF($J$2231&gt;0,'Assumptions (Petroleum)'!AH$10*Model!$J$2231*AVERAGE('Assumptions (Petroleum)'!$F$2:$H$2)/10^9,0)</f>
        <v>1.0329009498524798E-2</v>
      </c>
      <c r="W2399" s="105">
        <f>IF($J$2231&gt;0,'Assumptions (Petroleum)'!AI$10*Model!$J$2231*AVERAGE('Assumptions (Petroleum)'!$F$2:$H$2)/10^9,0)</f>
        <v>1.0311532325092437E-2</v>
      </c>
      <c r="X2399" s="105">
        <f>IF($J$2231&gt;0,'Assumptions (Petroleum)'!AJ$10*Model!$J$2231*AVERAGE('Assumptions (Petroleum)'!$F$2:$H$2)/10^9,0)</f>
        <v>1.0329009498524798E-2</v>
      </c>
      <c r="Y2399" s="105">
        <f>IF($J$2231&gt;0,'Assumptions (Petroleum)'!AK$10*Model!$J$2231*AVERAGE('Assumptions (Petroleum)'!$F$2:$H$2)/10^9,0)</f>
        <v>5.1557661625462187E-3</v>
      </c>
      <c r="Z2399" s="105"/>
      <c r="AA2399" s="105"/>
      <c r="AB2399" s="105"/>
      <c r="AC2399" s="105"/>
      <c r="AD2399" s="105"/>
      <c r="AE2399" s="105"/>
      <c r="AF2399" s="105"/>
      <c r="AG2399" s="105"/>
      <c r="AH2399" s="105"/>
    </row>
    <row r="2400" spans="1:68" ht="15.75" hidden="1" customHeight="1" outlineLevel="1">
      <c r="A2400" s="447"/>
      <c r="B2400" s="99"/>
      <c r="C2400" s="105"/>
      <c r="D2400" s="105"/>
      <c r="E2400" s="105"/>
      <c r="F2400" s="105"/>
      <c r="G2400" s="105"/>
      <c r="H2400" s="105"/>
      <c r="I2400" s="105"/>
      <c r="J2400" s="105"/>
      <c r="K2400" s="105">
        <f>IF($K$2231&gt;0,'Assumptions (Petroleum)'!V$10*Model!$K$2231*AVERAGE('Assumptions (Petroleum)'!$G$2:$I$2)/10^9,0)</f>
        <v>3.1894564476332419E-3</v>
      </c>
      <c r="L2400" s="105">
        <f>IF($K$2231&gt;0,'Assumptions (Petroleum)'!W$10*Model!$K$2231*AVERAGE('Assumptions (Petroleum)'!$G$2:$I$2)/10^9,0)</f>
        <v>6.0599672505031593E-3</v>
      </c>
      <c r="M2400" s="105">
        <f>IF($K$2231&gt;0,'Assumptions (Petroleum)'!X$10*Model!$K$2231*AVERAGE('Assumptions (Petroleum)'!$G$2:$I$2)/10^9,0)</f>
        <v>5.4539705254528443E-3</v>
      </c>
      <c r="N2400" s="105">
        <f>IF($K$2231&gt;0,'Assumptions (Petroleum)'!Y$10*Model!$K$2231*AVERAGE('Assumptions (Petroleum)'!$G$2:$I$2)/10^9,0)</f>
        <v>4.9117629293551918E-3</v>
      </c>
      <c r="O2400" s="105">
        <f>IF($K$2231&gt;0,'Assumptions (Petroleum)'!Z$10*Model!$K$2231*AVERAGE('Assumptions (Petroleum)'!$G$2:$I$2)/10^9,0)</f>
        <v>4.4205866364196737E-3</v>
      </c>
      <c r="P2400" s="105">
        <f>IF($K$2231&gt;0,'Assumptions (Petroleum)'!AA$10*Model!$K$2231*AVERAGE('Assumptions (Petroleum)'!$G$2:$I$2)/10^9,0)</f>
        <v>3.9740627337510196E-3</v>
      </c>
      <c r="Q2400" s="105">
        <f>IF($K$2231&gt;0,'Assumptions (Petroleum)'!AB$10*Model!$K$2231*AVERAGE('Assumptions (Petroleum)'!$G$2:$I$2)/10^9,0)</f>
        <v>3.7635586082072252E-3</v>
      </c>
      <c r="R2400" s="105">
        <f>IF($K$2231&gt;0,'Assumptions (Petroleum)'!AC$10*Model!$K$2231*AVERAGE('Assumptions (Petroleum)'!$G$2:$I$2)/10^9,0)</f>
        <v>3.7635586082072252E-3</v>
      </c>
      <c r="S2400" s="105">
        <f>IF($K$2231&gt;0,'Assumptions (Petroleum)'!AD$10*Model!$K$2231*AVERAGE('Assumptions (Petroleum)'!$G$2:$I$2)/10^9,0)</f>
        <v>3.7699375211024916E-3</v>
      </c>
      <c r="T2400" s="105">
        <f>IF($K$2231&gt;0,'Assumptions (Petroleum)'!AE$10*Model!$K$2231*AVERAGE('Assumptions (Petroleum)'!$G$2:$I$2)/10^9,0)</f>
        <v>3.7635586082072252E-3</v>
      </c>
      <c r="U2400" s="105">
        <f>IF($K$2231&gt;0,'Assumptions (Petroleum)'!AF$10*Model!$K$2231*AVERAGE('Assumptions (Petroleum)'!$G$2:$I$2)/10^9,0)</f>
        <v>3.7699375211024916E-3</v>
      </c>
      <c r="V2400" s="105">
        <f>IF($K$2231&gt;0,'Assumptions (Petroleum)'!AG$10*Model!$K$2231*AVERAGE('Assumptions (Petroleum)'!$G$2:$I$2)/10^9,0)</f>
        <v>3.7635586082072252E-3</v>
      </c>
      <c r="W2400" s="105">
        <f>IF($K$2231&gt;0,'Assumptions (Petroleum)'!AH$10*Model!$K$2231*AVERAGE('Assumptions (Petroleum)'!$G$2:$I$2)/10^9,0)</f>
        <v>3.7699375211024916E-3</v>
      </c>
      <c r="X2400" s="105">
        <f>IF($K$2231&gt;0,'Assumptions (Petroleum)'!AI$10*Model!$K$2231*AVERAGE('Assumptions (Petroleum)'!$G$2:$I$2)/10^9,0)</f>
        <v>3.7635586082072252E-3</v>
      </c>
      <c r="Y2400" s="105">
        <f>IF($K$2231&gt;0,'Assumptions (Petroleum)'!AJ$10*Model!$K$2231*AVERAGE('Assumptions (Petroleum)'!$G$2:$I$2)/10^9,0)</f>
        <v>3.7699375211024916E-3</v>
      </c>
      <c r="Z2400" s="105">
        <f>IF($K$2231&gt;0,'Assumptions (Petroleum)'!AK$10*Model!$K$2231*AVERAGE('Assumptions (Petroleum)'!$G$2:$I$2)/10^9,0)</f>
        <v>1.8817793041036126E-3</v>
      </c>
      <c r="AA2400" s="105"/>
      <c r="AB2400" s="105"/>
      <c r="AC2400" s="105"/>
      <c r="AD2400" s="105"/>
      <c r="AE2400" s="105"/>
      <c r="AF2400" s="105"/>
      <c r="AG2400" s="105"/>
      <c r="AH2400" s="105"/>
      <c r="AI2400" s="105"/>
    </row>
    <row r="2401" spans="1:53" ht="15.75" hidden="1" customHeight="1" outlineLevel="1">
      <c r="A2401" s="447"/>
      <c r="B2401" s="99"/>
      <c r="C2401" s="105"/>
      <c r="D2401" s="105"/>
      <c r="E2401" s="105"/>
      <c r="F2401" s="105"/>
      <c r="G2401" s="105"/>
      <c r="H2401" s="105"/>
      <c r="I2401" s="105"/>
      <c r="J2401" s="105"/>
      <c r="K2401" s="105"/>
      <c r="L2401" s="105">
        <f>IF($L$2231&gt;0,'Assumptions (Petroleum)'!V$10*Model!$L$2231*AVERAGE('Assumptions (Petroleum)'!$H$2:$J$2)/10^9,0)</f>
        <v>2.535785350244324E-3</v>
      </c>
      <c r="M2401" s="105">
        <f>IF($L$2231&gt;0,'Assumptions (Petroleum)'!W$10*Model!$L$2231*AVERAGE('Assumptions (Petroleum)'!$H$2:$J$2)/10^9,0)</f>
        <v>4.8179921654642162E-3</v>
      </c>
      <c r="N2401" s="105">
        <f>IF($L$2231&gt;0,'Assumptions (Petroleum)'!X$10*Model!$L$2231*AVERAGE('Assumptions (Petroleum)'!$H$2:$J$2)/10^9,0)</f>
        <v>4.3361929489177942E-3</v>
      </c>
      <c r="O2401" s="105">
        <f>IF($L$2231&gt;0,'Assumptions (Petroleum)'!Y$10*Model!$L$2231*AVERAGE('Assumptions (Petroleum)'!$H$2:$J$2)/10^9,0)</f>
        <v>3.9051094393762584E-3</v>
      </c>
      <c r="P2401" s="105">
        <f>IF($L$2231&gt;0,'Assumptions (Petroleum)'!Z$10*Model!$L$2231*AVERAGE('Assumptions (Petroleum)'!$H$2:$J$2)/10^9,0)</f>
        <v>3.5145984954386335E-3</v>
      </c>
      <c r="Q2401" s="105">
        <f>IF($L$2231&gt;0,'Assumptions (Petroleum)'!AA$10*Model!$L$2231*AVERAGE('Assumptions (Petroleum)'!$H$2:$J$2)/10^9,0)</f>
        <v>3.1595885464044278E-3</v>
      </c>
      <c r="R2401" s="105">
        <f>IF($L$2231&gt;0,'Assumptions (Petroleum)'!AB$10*Model!$L$2231*AVERAGE('Assumptions (Petroleum)'!$H$2:$J$2)/10^9,0)</f>
        <v>2.9922267132883019E-3</v>
      </c>
      <c r="S2401" s="105">
        <f>IF($L$2231&gt;0,'Assumptions (Petroleum)'!AC$10*Model!$L$2231*AVERAGE('Assumptions (Petroleum)'!$H$2:$J$2)/10^9,0)</f>
        <v>2.9922267132883019E-3</v>
      </c>
      <c r="T2401" s="105">
        <f>IF($L$2231&gt;0,'Assumptions (Petroleum)'!AD$10*Model!$L$2231*AVERAGE('Assumptions (Petroleum)'!$H$2:$J$2)/10^9,0)</f>
        <v>2.9972982839887906E-3</v>
      </c>
      <c r="U2401" s="105">
        <f>IF($L$2231&gt;0,'Assumptions (Petroleum)'!AE$10*Model!$L$2231*AVERAGE('Assumptions (Petroleum)'!$H$2:$J$2)/10^9,0)</f>
        <v>2.9922267132883019E-3</v>
      </c>
      <c r="V2401" s="105">
        <f>IF($L$2231&gt;0,'Assumptions (Petroleum)'!AF$10*Model!$L$2231*AVERAGE('Assumptions (Petroleum)'!$H$2:$J$2)/10^9,0)</f>
        <v>2.9972982839887906E-3</v>
      </c>
      <c r="W2401" s="105">
        <f>IF($L$2231&gt;0,'Assumptions (Petroleum)'!AG$10*Model!$L$2231*AVERAGE('Assumptions (Petroleum)'!$H$2:$J$2)/10^9,0)</f>
        <v>2.9922267132883019E-3</v>
      </c>
      <c r="X2401" s="105">
        <f>IF($L$2231&gt;0,'Assumptions (Petroleum)'!AH$10*Model!$L$2231*AVERAGE('Assumptions (Petroleum)'!$H$2:$J$2)/10^9,0)</f>
        <v>2.9972982839887906E-3</v>
      </c>
      <c r="Y2401" s="105">
        <f>IF($L$2231&gt;0,'Assumptions (Petroleum)'!AI$10*Model!$L$2231*AVERAGE('Assumptions (Petroleum)'!$H$2:$J$2)/10^9,0)</f>
        <v>2.9922267132883019E-3</v>
      </c>
      <c r="Z2401" s="105">
        <f>IF($L$2231&gt;0,'Assumptions (Petroleum)'!AJ$10*Model!$L$2231*AVERAGE('Assumptions (Petroleum)'!$H$2:$J$2)/10^9,0)</f>
        <v>2.9972982839887906E-3</v>
      </c>
      <c r="AA2401" s="105">
        <f>IF($L$2231&gt;0,'Assumptions (Petroleum)'!AK$10*Model!$L$2231*AVERAGE('Assumptions (Petroleum)'!$H$2:$J$2)/10^9,0)</f>
        <v>1.4961133566441509E-3</v>
      </c>
      <c r="AB2401" s="105"/>
      <c r="AC2401" s="105"/>
      <c r="AD2401" s="105"/>
      <c r="AE2401" s="105"/>
      <c r="AF2401" s="105"/>
      <c r="AG2401" s="105"/>
      <c r="AH2401" s="105"/>
      <c r="AI2401" s="105"/>
      <c r="AJ2401" s="105"/>
    </row>
    <row r="2402" spans="1:53" ht="15.75" hidden="1" customHeight="1" outlineLevel="1">
      <c r="A2402" s="447"/>
      <c r="B2402" s="99"/>
      <c r="C2402" s="105"/>
      <c r="D2402" s="105"/>
      <c r="E2402" s="105"/>
      <c r="F2402" s="105"/>
      <c r="G2402" s="105"/>
      <c r="H2402" s="105"/>
      <c r="I2402" s="105"/>
      <c r="J2402" s="105"/>
      <c r="K2402" s="105"/>
      <c r="L2402" s="105"/>
      <c r="M2402" s="105">
        <f>IF($M$2231&gt;0,'Assumptions (Petroleum)'!V$10*Model!$M$2231*AVERAGE('Assumptions (Petroleum)'!$I$2:$K$2)/10^9,0)</f>
        <v>3.5262372946659522E-2</v>
      </c>
      <c r="N2402" s="105">
        <f>IF($M$2231&gt;0,'Assumptions (Petroleum)'!W$10*Model!$M$2231*AVERAGE('Assumptions (Petroleum)'!$I$2:$K$2)/10^9,0)</f>
        <v>6.6998508598653084E-2</v>
      </c>
      <c r="O2402" s="105">
        <f>IF($M$2231&gt;0,'Assumptions (Petroleum)'!X$10*Model!$M$2231*AVERAGE('Assumptions (Petroleum)'!$I$2:$K$2)/10^9,0)</f>
        <v>6.029865773878778E-2</v>
      </c>
      <c r="P2402" s="105">
        <f>IF($M$2231&gt;0,'Assumptions (Petroleum)'!Y$10*Model!$M$2231*AVERAGE('Assumptions (Petroleum)'!$I$2:$K$2)/10^9,0)</f>
        <v>5.4304054337855658E-2</v>
      </c>
      <c r="Q2402" s="105">
        <f>IF($M$2231&gt;0,'Assumptions (Petroleum)'!Z$10*Model!$M$2231*AVERAGE('Assumptions (Petroleum)'!$I$2:$K$2)/10^9,0)</f>
        <v>4.8873648904070095E-2</v>
      </c>
      <c r="R2402" s="105">
        <f>IF($M$2231&gt;0,'Assumptions (Petroleum)'!AA$10*Model!$M$2231*AVERAGE('Assumptions (Petroleum)'!$I$2:$K$2)/10^9,0)</f>
        <v>4.3936916691537757E-2</v>
      </c>
      <c r="S2402" s="105">
        <f>IF($M$2231&gt;0,'Assumptions (Petroleum)'!AB$10*Model!$M$2231*AVERAGE('Assumptions (Petroleum)'!$I$2:$K$2)/10^9,0)</f>
        <v>4.1609600077058224E-2</v>
      </c>
      <c r="T2402" s="105">
        <f>IF($M$2231&gt;0,'Assumptions (Petroleum)'!AC$10*Model!$M$2231*AVERAGE('Assumptions (Petroleum)'!$I$2:$K$2)/10^9,0)</f>
        <v>4.1609600077058224E-2</v>
      </c>
      <c r="U2402" s="105">
        <f>IF($M$2231&gt;0,'Assumptions (Petroleum)'!AD$10*Model!$M$2231*AVERAGE('Assumptions (Petroleum)'!$I$2:$K$2)/10^9,0)</f>
        <v>4.1680124822951546E-2</v>
      </c>
      <c r="V2402" s="105">
        <f>IF($M$2231&gt;0,'Assumptions (Petroleum)'!AE$10*Model!$M$2231*AVERAGE('Assumptions (Petroleum)'!$I$2:$K$2)/10^9,0)</f>
        <v>4.1609600077058224E-2</v>
      </c>
      <c r="W2402" s="105">
        <f>IF($M$2231&gt;0,'Assumptions (Petroleum)'!AF$10*Model!$M$2231*AVERAGE('Assumptions (Petroleum)'!$I$2:$K$2)/10^9,0)</f>
        <v>4.1680124822951546E-2</v>
      </c>
      <c r="X2402" s="105">
        <f>IF($M$2231&gt;0,'Assumptions (Petroleum)'!AG$10*Model!$M$2231*AVERAGE('Assumptions (Petroleum)'!$I$2:$K$2)/10^9,0)</f>
        <v>4.1609600077058224E-2</v>
      </c>
      <c r="Y2402" s="105">
        <f>IF($M$2231&gt;0,'Assumptions (Petroleum)'!AH$10*Model!$M$2231*AVERAGE('Assumptions (Petroleum)'!$I$2:$K$2)/10^9,0)</f>
        <v>4.1680124822951546E-2</v>
      </c>
      <c r="Z2402" s="105">
        <f>IF($M$2231&gt;0,'Assumptions (Petroleum)'!AI$10*Model!$M$2231*AVERAGE('Assumptions (Petroleum)'!$I$2:$K$2)/10^9,0)</f>
        <v>4.1609600077058224E-2</v>
      </c>
      <c r="AA2402" s="105">
        <f>IF($M$2231&gt;0,'Assumptions (Petroleum)'!AJ$10*Model!$M$2231*AVERAGE('Assumptions (Petroleum)'!$I$2:$K$2)/10^9,0)</f>
        <v>4.1680124822951546E-2</v>
      </c>
      <c r="AB2402" s="105">
        <f>IF($M$2231&gt;0,'Assumptions (Petroleum)'!AK$10*Model!$M$2231*AVERAGE('Assumptions (Petroleum)'!$I$2:$K$2)/10^9,0)</f>
        <v>2.0804800038529112E-2</v>
      </c>
      <c r="AC2402" s="105"/>
      <c r="AD2402" s="105"/>
      <c r="AE2402" s="105"/>
      <c r="AF2402" s="105"/>
      <c r="AG2402" s="105"/>
      <c r="AH2402" s="105"/>
      <c r="AI2402" s="105"/>
      <c r="AJ2402" s="105"/>
      <c r="AK2402" s="105"/>
    </row>
    <row r="2403" spans="1:53" ht="15.75" hidden="1" customHeight="1" outlineLevel="1">
      <c r="A2403" s="447"/>
      <c r="B2403" s="99"/>
      <c r="C2403" s="105"/>
      <c r="D2403" s="105"/>
      <c r="E2403" s="105"/>
      <c r="F2403" s="105"/>
      <c r="G2403" s="105"/>
      <c r="H2403" s="105"/>
      <c r="I2403" s="105"/>
      <c r="J2403" s="105"/>
      <c r="K2403" s="105"/>
      <c r="L2403" s="105"/>
      <c r="M2403" s="105"/>
      <c r="N2403" s="105">
        <f>IF($N$2231&gt;0,'Assumptions (Petroleum)'!V$10*Model!$N$2231*AVERAGE('Assumptions (Petroleum)'!$J$2:$L$2)/10^9,0)</f>
        <v>1.3341234405412558E-2</v>
      </c>
      <c r="O2403" s="105">
        <f>IF($N$2231&gt;0,'Assumptions (Petroleum)'!W$10*Model!$N$2231*AVERAGE('Assumptions (Petroleum)'!$J$2:$L$2)/10^9,0)</f>
        <v>2.534834537028386E-2</v>
      </c>
      <c r="P2403" s="105">
        <f>IF($N$2231&gt;0,'Assumptions (Petroleum)'!X$10*Model!$N$2231*AVERAGE('Assumptions (Petroleum)'!$J$2:$L$2)/10^9,0)</f>
        <v>2.2813510833255477E-2</v>
      </c>
      <c r="Q2403" s="105">
        <f>IF($N$2231&gt;0,'Assumptions (Petroleum)'!Y$10*Model!$N$2231*AVERAGE('Assumptions (Petroleum)'!$J$2:$L$2)/10^9,0)</f>
        <v>2.054550098433534E-2</v>
      </c>
      <c r="R2403" s="105">
        <f>IF($N$2231&gt;0,'Assumptions (Petroleum)'!Z$10*Model!$N$2231*AVERAGE('Assumptions (Petroleum)'!$J$2:$L$2)/10^9,0)</f>
        <v>1.8490950885901806E-2</v>
      </c>
      <c r="S2403" s="105">
        <f>IF($N$2231&gt;0,'Assumptions (Petroleum)'!AA$10*Model!$N$2231*AVERAGE('Assumptions (Petroleum)'!$J$2:$L$2)/10^9,0)</f>
        <v>1.6623178069144047E-2</v>
      </c>
      <c r="T2403" s="105">
        <f>IF($N$2231&gt;0,'Assumptions (Petroleum)'!AB$10*Model!$N$2231*AVERAGE('Assumptions (Petroleum)'!$J$2:$L$2)/10^9,0)</f>
        <v>1.574265659838682E-2</v>
      </c>
      <c r="U2403" s="105">
        <f>IF($N$2231&gt;0,'Assumptions (Petroleum)'!AC$10*Model!$N$2231*AVERAGE('Assumptions (Petroleum)'!$J$2:$L$2)/10^9,0)</f>
        <v>1.574265659838682E-2</v>
      </c>
      <c r="V2403" s="105">
        <f>IF($N$2231&gt;0,'Assumptions (Petroleum)'!AD$10*Model!$N$2231*AVERAGE('Assumptions (Petroleum)'!$J$2:$L$2)/10^9,0)</f>
        <v>1.5769339067197644E-2</v>
      </c>
      <c r="W2403" s="105">
        <f>IF($N$2231&gt;0,'Assumptions (Petroleum)'!AE$10*Model!$N$2231*AVERAGE('Assumptions (Petroleum)'!$J$2:$L$2)/10^9,0)</f>
        <v>1.574265659838682E-2</v>
      </c>
      <c r="X2403" s="105">
        <f>IF($N$2231&gt;0,'Assumptions (Petroleum)'!AF$10*Model!$N$2231*AVERAGE('Assumptions (Petroleum)'!$J$2:$L$2)/10^9,0)</f>
        <v>1.5769339067197644E-2</v>
      </c>
      <c r="Y2403" s="105">
        <f>IF($N$2231&gt;0,'Assumptions (Petroleum)'!AG$10*Model!$N$2231*AVERAGE('Assumptions (Petroleum)'!$J$2:$L$2)/10^9,0)</f>
        <v>1.574265659838682E-2</v>
      </c>
      <c r="Z2403" s="105">
        <f>IF($N$2231&gt;0,'Assumptions (Petroleum)'!AH$10*Model!$N$2231*AVERAGE('Assumptions (Petroleum)'!$J$2:$L$2)/10^9,0)</f>
        <v>1.5769339067197644E-2</v>
      </c>
      <c r="AA2403" s="105">
        <f>IF($N$2231&gt;0,'Assumptions (Petroleum)'!AI$10*Model!$N$2231*AVERAGE('Assumptions (Petroleum)'!$J$2:$L$2)/10^9,0)</f>
        <v>1.574265659838682E-2</v>
      </c>
      <c r="AB2403" s="105">
        <f>IF($N$2231&gt;0,'Assumptions (Petroleum)'!AJ$10*Model!$N$2231*AVERAGE('Assumptions (Petroleum)'!$J$2:$L$2)/10^9,0)</f>
        <v>1.5769339067197644E-2</v>
      </c>
      <c r="AC2403" s="105">
        <f>IF($N$2231&gt;0,'Assumptions (Petroleum)'!AK$10*Model!$N$2231*AVERAGE('Assumptions (Petroleum)'!$J$2:$L$2)/10^9,0)</f>
        <v>7.87132829919341E-3</v>
      </c>
      <c r="AD2403" s="105"/>
      <c r="AE2403" s="105"/>
      <c r="AF2403" s="105"/>
      <c r="AG2403" s="105"/>
      <c r="AH2403" s="105"/>
      <c r="AI2403" s="105"/>
      <c r="AJ2403" s="105"/>
      <c r="AK2403" s="105"/>
    </row>
    <row r="2404" spans="1:53" ht="15.75" hidden="1" customHeight="1" outlineLevel="1">
      <c r="A2404" s="447"/>
      <c r="B2404" s="99"/>
      <c r="C2404" s="105"/>
      <c r="D2404" s="105"/>
      <c r="E2404" s="105"/>
      <c r="F2404" s="105"/>
      <c r="G2404" s="105"/>
      <c r="H2404" s="105"/>
      <c r="I2404" s="105"/>
      <c r="J2404" s="105"/>
      <c r="K2404" s="105"/>
      <c r="L2404" s="105"/>
      <c r="M2404" s="105"/>
      <c r="N2404" s="105"/>
      <c r="O2404" s="105">
        <f>IF($O$2231&gt;0,'Assumptions (Petroleum)'!V$10*Model!$O$2231*AVERAGE('Assumptions (Petroleum)'!$K$2:$M$2)/10^9,0)</f>
        <v>7.6419443754911108E-3</v>
      </c>
      <c r="P2404" s="105">
        <f>IF($O$2231&gt;0,'Assumptions (Petroleum)'!W$10*Model!$O$2231*AVERAGE('Assumptions (Petroleum)'!$K$2:$M$2)/10^9,0)</f>
        <v>1.4519694313433111E-2</v>
      </c>
      <c r="Q2404" s="105">
        <f>IF($O$2231&gt;0,'Assumptions (Petroleum)'!X$10*Model!$O$2231*AVERAGE('Assumptions (Petroleum)'!$K$2:$M$2)/10^9,0)</f>
        <v>1.30677248820898E-2</v>
      </c>
      <c r="R2404" s="105">
        <f>IF($O$2231&gt;0,'Assumptions (Petroleum)'!Y$10*Model!$O$2231*AVERAGE('Assumptions (Petroleum)'!$K$2:$M$2)/10^9,0)</f>
        <v>1.176859433825631E-2</v>
      </c>
      <c r="S2404" s="105">
        <f>IF($O$2231&gt;0,'Assumptions (Petroleum)'!Z$10*Model!$O$2231*AVERAGE('Assumptions (Petroleum)'!$K$2:$M$2)/10^9,0)</f>
        <v>1.059173490443068E-2</v>
      </c>
      <c r="T2404" s="105">
        <f>IF($O$2231&gt;0,'Assumptions (Petroleum)'!AA$10*Model!$O$2231*AVERAGE('Assumptions (Petroleum)'!$K$2:$M$2)/10^9,0)</f>
        <v>9.5218626918619261E-3</v>
      </c>
      <c r="U2404" s="105">
        <f>IF($O$2231&gt;0,'Assumptions (Petroleum)'!AB$10*Model!$O$2231*AVERAGE('Assumptions (Petroleum)'!$K$2:$M$2)/10^9,0)</f>
        <v>9.0174943630795101E-3</v>
      </c>
      <c r="V2404" s="105">
        <f>IF($O$2231&gt;0,'Assumptions (Petroleum)'!AC$10*Model!$O$2231*AVERAGE('Assumptions (Petroleum)'!$K$2:$M$2)/10^9,0)</f>
        <v>9.0174943630795101E-3</v>
      </c>
      <c r="W2404" s="105">
        <f>IF($O$2231&gt;0,'Assumptions (Petroleum)'!AD$10*Model!$O$2231*AVERAGE('Assumptions (Petroleum)'!$K$2:$M$2)/10^9,0)</f>
        <v>9.0327782518304922E-3</v>
      </c>
      <c r="X2404" s="105">
        <f>IF($O$2231&gt;0,'Assumptions (Petroleum)'!AE$10*Model!$O$2231*AVERAGE('Assumptions (Petroleum)'!$K$2:$M$2)/10^9,0)</f>
        <v>9.0174943630795101E-3</v>
      </c>
      <c r="Y2404" s="105">
        <f>IF($O$2231&gt;0,'Assumptions (Petroleum)'!AF$10*Model!$O$2231*AVERAGE('Assumptions (Petroleum)'!$K$2:$M$2)/10^9,0)</f>
        <v>9.0327782518304922E-3</v>
      </c>
      <c r="Z2404" s="105">
        <f>IF($O$2231&gt;0,'Assumptions (Petroleum)'!AG$10*Model!$O$2231*AVERAGE('Assumptions (Petroleum)'!$K$2:$M$2)/10^9,0)</f>
        <v>9.0174943630795101E-3</v>
      </c>
      <c r="AA2404" s="105">
        <f>IF($O$2231&gt;0,'Assumptions (Petroleum)'!AH$10*Model!$O$2231*AVERAGE('Assumptions (Petroleum)'!$K$2:$M$2)/10^9,0)</f>
        <v>9.0327782518304922E-3</v>
      </c>
      <c r="AB2404" s="105">
        <f>IF($O$2231&gt;0,'Assumptions (Petroleum)'!AI$10*Model!$O$2231*AVERAGE('Assumptions (Petroleum)'!$K$2:$M$2)/10^9,0)</f>
        <v>9.0174943630795101E-3</v>
      </c>
      <c r="AC2404" s="105">
        <f>IF($O$2231&gt;0,'Assumptions (Petroleum)'!AJ$10*Model!$O$2231*AVERAGE('Assumptions (Petroleum)'!$K$2:$M$2)/10^9,0)</f>
        <v>9.0327782518304922E-3</v>
      </c>
      <c r="AD2404" s="105">
        <f>IF($O$2231&gt;0,'Assumptions (Petroleum)'!AK$10*Model!$O$2231*AVERAGE('Assumptions (Petroleum)'!$K$2:$M$2)/10^9,0)</f>
        <v>4.508747181539755E-3</v>
      </c>
      <c r="AE2404" s="105"/>
      <c r="AF2404" s="105"/>
      <c r="AG2404" s="105"/>
      <c r="AH2404" s="105"/>
      <c r="AI2404" s="105"/>
      <c r="AJ2404" s="105"/>
      <c r="AK2404" s="105"/>
    </row>
    <row r="2405" spans="1:53" ht="15.75" hidden="1" customHeight="1" outlineLevel="1">
      <c r="A2405" s="447"/>
      <c r="B2405" s="99"/>
      <c r="C2405" s="105"/>
      <c r="D2405" s="105"/>
      <c r="E2405" s="105"/>
      <c r="F2405" s="105"/>
      <c r="G2405" s="105"/>
      <c r="H2405" s="91"/>
      <c r="I2405" s="105"/>
      <c r="J2405" s="105"/>
      <c r="K2405" s="105"/>
      <c r="L2405" s="105"/>
      <c r="M2405" s="105"/>
      <c r="N2405" s="105"/>
      <c r="O2405" s="105"/>
      <c r="P2405" s="91">
        <f>IF($P$2231&gt;0,'Assumptions (Petroleum)'!V$10*Model!$P$2231*AVERAGE('Assumptions (Petroleum)'!$L$2:$N$2)/10^9,0)</f>
        <v>2.3626781108199986E-3</v>
      </c>
      <c r="Q2405" s="91">
        <f>IF($P$2231&gt;0,'Assumptions (Petroleum)'!W$10*Model!$P$2231*AVERAGE('Assumptions (Petroleum)'!$L$2:$N$2)/10^9,0)</f>
        <v>4.4890884105579986E-3</v>
      </c>
      <c r="R2405" s="91">
        <f>IF($P$2231&gt;0,'Assumptions (Petroleum)'!X$10*Model!$P$2231*AVERAGE('Assumptions (Petroleum)'!$L$2:$N$2)/10^9,0)</f>
        <v>4.0401795695021985E-3</v>
      </c>
      <c r="S2405" s="91">
        <f>IF($P$2231&gt;0,'Assumptions (Petroleum)'!Y$10*Model!$P$2231*AVERAGE('Assumptions (Petroleum)'!$L$2:$N$2)/10^9,0)</f>
        <v>3.6385242906627983E-3</v>
      </c>
      <c r="T2405" s="91">
        <f>IF($P$2231&gt;0,'Assumptions (Petroleum)'!Z$10*Model!$P$2231*AVERAGE('Assumptions (Petroleum)'!$L$2:$N$2)/10^9,0)</f>
        <v>3.2746718615965184E-3</v>
      </c>
      <c r="U2405" s="91">
        <f>IF($P$2231&gt;0,'Assumptions (Petroleum)'!AA$10*Model!$P$2231*AVERAGE('Assumptions (Petroleum)'!$L$2:$N$2)/10^9,0)</f>
        <v>2.9438969260817184E-3</v>
      </c>
      <c r="V2405" s="91">
        <f>IF($P$2231&gt;0,'Assumptions (Petroleum)'!AB$10*Model!$P$2231*AVERAGE('Assumptions (Petroleum)'!$L$2:$N$2)/10^9,0)</f>
        <v>2.7879601707675983E-3</v>
      </c>
      <c r="W2405" s="91">
        <f>IF($P$2231&gt;0,'Assumptions (Petroleum)'!AC$10*Model!$P$2231*AVERAGE('Assumptions (Petroleum)'!$L$2:$N$2)/10^9,0)</f>
        <v>2.7879601707675983E-3</v>
      </c>
      <c r="X2405" s="91">
        <f>IF($P$2231&gt;0,'Assumptions (Petroleum)'!AD$10*Model!$P$2231*AVERAGE('Assumptions (Petroleum)'!$L$2:$N$2)/10^9,0)</f>
        <v>2.7926855269892383E-3</v>
      </c>
      <c r="Y2405" s="91">
        <f>IF($P$2231&gt;0,'Assumptions (Petroleum)'!AE$10*Model!$P$2231*AVERAGE('Assumptions (Petroleum)'!$L$2:$N$2)/10^9,0)</f>
        <v>2.7879601707675983E-3</v>
      </c>
      <c r="Z2405" s="91">
        <f>IF($P$2231&gt;0,'Assumptions (Petroleum)'!AF$10*Model!$P$2231*AVERAGE('Assumptions (Petroleum)'!$L$2:$N$2)/10^9,0)</f>
        <v>2.7926855269892383E-3</v>
      </c>
      <c r="AA2405" s="91">
        <f>IF($P$2231&gt;0,'Assumptions (Petroleum)'!AG$10*Model!$P$2231*AVERAGE('Assumptions (Petroleum)'!$L$2:$N$2)/10^9,0)</f>
        <v>2.7879601707675983E-3</v>
      </c>
      <c r="AB2405" s="91">
        <f>IF($P$2231&gt;0,'Assumptions (Petroleum)'!AH$10*Model!$P$2231*AVERAGE('Assumptions (Petroleum)'!$L$2:$N$2)/10^9,0)</f>
        <v>2.7926855269892383E-3</v>
      </c>
      <c r="AC2405" s="91">
        <f>IF($P$2231&gt;0,'Assumptions (Petroleum)'!AI$10*Model!$P$2231*AVERAGE('Assumptions (Petroleum)'!$L$2:$N$2)/10^9,0)</f>
        <v>2.7879601707675983E-3</v>
      </c>
      <c r="AD2405" s="91">
        <f>IF($P$2231&gt;0,'Assumptions (Petroleum)'!AJ$10*Model!$P$2231*AVERAGE('Assumptions (Petroleum)'!$L$2:$N$2)/10^9,0)</f>
        <v>2.7926855269892383E-3</v>
      </c>
      <c r="AE2405" s="91">
        <f>IF($P$2231&gt;0,'Assumptions (Petroleum)'!AK$10*Model!$P$2231*AVERAGE('Assumptions (Petroleum)'!$L$2:$N$2)/10^9,0)</f>
        <v>1.3939800853837992E-3</v>
      </c>
      <c r="AF2405" s="91"/>
      <c r="AG2405" s="91"/>
      <c r="AH2405" s="91"/>
      <c r="AI2405" s="91"/>
      <c r="AJ2405" s="91"/>
      <c r="AK2405" s="91"/>
    </row>
    <row r="2406" spans="1:53" ht="15.75" hidden="1" customHeight="1" outlineLevel="1">
      <c r="A2406" s="447"/>
      <c r="B2406" s="99"/>
      <c r="C2406" s="105"/>
      <c r="D2406" s="105"/>
      <c r="E2406" s="105"/>
      <c r="F2406" s="105"/>
      <c r="G2406" s="105"/>
      <c r="H2406" s="105"/>
      <c r="I2406" s="105"/>
      <c r="J2406" s="105"/>
      <c r="K2406" s="105"/>
      <c r="L2406" s="105"/>
      <c r="M2406" s="105"/>
      <c r="N2406" s="105"/>
      <c r="O2406" s="105"/>
      <c r="P2406" s="171"/>
      <c r="Q2406" s="105">
        <f>IF($Q$2231&gt;0,'Assumptions (Petroleum)'!V$10*Model!$Q$2231*AVERAGE('Assumptions (Petroleum)'!$L$2:$O$2)/10^9,0)</f>
        <v>2.0419804050052222E-3</v>
      </c>
      <c r="R2406" s="105">
        <f>IF($Q$2231&gt;0,'Assumptions (Petroleum)'!W$10*Model!$Q$2231*AVERAGE('Assumptions (Petroleum)'!$L$2:$O$2)/10^9,0)</f>
        <v>3.8797627695099212E-3</v>
      </c>
      <c r="S2406" s="105">
        <f>IF($Q$2231&gt;0,'Assumptions (Petroleum)'!X$10*Model!$Q$2231*AVERAGE('Assumptions (Petroleum)'!$L$2:$O$2)/10^9,0)</f>
        <v>3.4917864925589296E-3</v>
      </c>
      <c r="T2406" s="105">
        <f>IF($Q$2231&gt;0,'Assumptions (Petroleum)'!Y$10*Model!$Q$2231*AVERAGE('Assumptions (Petroleum)'!$L$2:$O$2)/10^9,0)</f>
        <v>3.1446498237080412E-3</v>
      </c>
      <c r="U2406" s="105">
        <f>IF($Q$2231&gt;0,'Assumptions (Petroleum)'!Z$10*Model!$Q$2231*AVERAGE('Assumptions (Petroleum)'!$L$2:$O$2)/10^9,0)</f>
        <v>2.8301848413372376E-3</v>
      </c>
      <c r="V2406" s="105">
        <f>IF($Q$2231&gt;0,'Assumptions (Petroleum)'!AA$10*Model!$Q$2231*AVERAGE('Assumptions (Petroleum)'!$L$2:$O$2)/10^9,0)</f>
        <v>2.5443075846365063E-3</v>
      </c>
      <c r="W2406" s="105">
        <f>IF($Q$2231&gt;0,'Assumptions (Petroleum)'!AB$10*Model!$Q$2231*AVERAGE('Assumptions (Petroleum)'!$L$2:$O$2)/10^9,0)</f>
        <v>2.4095368779061613E-3</v>
      </c>
      <c r="X2406" s="105">
        <f>IF($Q$2231&gt;0,'Assumptions (Petroleum)'!AC$10*Model!$Q$2231*AVERAGE('Assumptions (Petroleum)'!$L$2:$O$2)/10^9,0)</f>
        <v>2.4095368779061613E-3</v>
      </c>
      <c r="Y2406" s="105">
        <f>IF($Q$2231&gt;0,'Assumptions (Petroleum)'!AD$10*Model!$Q$2231*AVERAGE('Assumptions (Petroleum)'!$L$2:$O$2)/10^9,0)</f>
        <v>2.413620838716172E-3</v>
      </c>
      <c r="Z2406" s="105">
        <f>IF($Q$2231&gt;0,'Assumptions (Petroleum)'!AE$10*Model!$Q$2231*AVERAGE('Assumptions (Petroleum)'!$L$2:$O$2)/10^9,0)</f>
        <v>2.4095368779061613E-3</v>
      </c>
      <c r="AA2406" s="105">
        <f>IF($Q$2231&gt;0,'Assumptions (Petroleum)'!AF$10*Model!$Q$2231*AVERAGE('Assumptions (Petroleum)'!$L$2:$O$2)/10^9,0)</f>
        <v>2.413620838716172E-3</v>
      </c>
      <c r="AB2406" s="105">
        <f>IF($Q$2231&gt;0,'Assumptions (Petroleum)'!AG$10*Model!$Q$2231*AVERAGE('Assumptions (Petroleum)'!$L$2:$O$2)/10^9,0)</f>
        <v>2.4095368779061613E-3</v>
      </c>
      <c r="AC2406" s="105">
        <f>IF($Q$2231&gt;0,'Assumptions (Petroleum)'!AH$10*Model!$Q$2231*AVERAGE('Assumptions (Petroleum)'!$L$2:$O$2)/10^9,0)</f>
        <v>2.413620838716172E-3</v>
      </c>
      <c r="AD2406" s="105">
        <f>IF($Q$2231&gt;0,'Assumptions (Petroleum)'!AI$10*Model!$Q$2231*AVERAGE('Assumptions (Petroleum)'!$L$2:$O$2)/10^9,0)</f>
        <v>2.4095368779061613E-3</v>
      </c>
      <c r="AE2406" s="105">
        <f>IF($Q$2231&gt;0,'Assumptions (Petroleum)'!AJ$10*Model!$Q$2231*AVERAGE('Assumptions (Petroleum)'!$L$2:$O$2)/10^9,0)</f>
        <v>2.413620838716172E-3</v>
      </c>
      <c r="AF2406" s="105">
        <f>IF($Q$2231&gt;0,'Assumptions (Petroleum)'!AK$10*Model!$Q$2231*AVERAGE('Assumptions (Petroleum)'!$L$2:$O$2)/10^9,0)</f>
        <v>1.2047684389530806E-3</v>
      </c>
      <c r="AG2406" s="105"/>
      <c r="AH2406" s="105"/>
      <c r="AI2406" s="105"/>
      <c r="AJ2406" s="105"/>
      <c r="AK2406" s="105"/>
    </row>
    <row r="2407" spans="1:53" ht="15.75" hidden="1" customHeight="1" outlineLevel="1">
      <c r="A2407" s="447"/>
      <c r="B2407" s="99"/>
      <c r="C2407" s="105"/>
      <c r="D2407" s="105"/>
      <c r="E2407" s="105"/>
      <c r="F2407" s="105"/>
      <c r="G2407" s="105"/>
      <c r="H2407" s="105"/>
      <c r="I2407" s="105"/>
      <c r="J2407" s="105"/>
      <c r="K2407" s="105"/>
      <c r="L2407" s="105"/>
      <c r="M2407" s="105"/>
      <c r="N2407" s="105"/>
      <c r="O2407" s="105"/>
      <c r="P2407" s="171"/>
      <c r="Q2407" s="105"/>
      <c r="R2407" s="91">
        <f>IF($R$2231&gt;0,'Assumptions (Petroleum)'!V$10*Model!$R$2231*AVERAGE('Assumptions (Petroleum)'!$M$2:$P$2)/10^9,0)</f>
        <v>2.5442577802363845E-3</v>
      </c>
      <c r="S2407" s="91">
        <f>IF($R$2231&gt;0,'Assumptions (Petroleum)'!W$10*Model!$R$2231*AVERAGE('Assumptions (Petroleum)'!$M$2:$P$2)/10^9,0)</f>
        <v>4.8340897824491295E-3</v>
      </c>
      <c r="T2407" s="91">
        <f>IF($R$2231&gt;0,'Assumptions (Petroleum)'!X$10*Model!$R$2231*AVERAGE('Assumptions (Petroleum)'!$M$2:$P$2)/10^9,0)</f>
        <v>4.3506808042042171E-3</v>
      </c>
      <c r="U2407" s="91">
        <f>IF($R$2231&gt;0,'Assumptions (Petroleum)'!Y$10*Model!$R$2231*AVERAGE('Assumptions (Petroleum)'!$M$2:$P$2)/10^9,0)</f>
        <v>3.9181569815640322E-3</v>
      </c>
      <c r="V2407" s="91">
        <f>IF($R$2231&gt;0,'Assumptions (Petroleum)'!Z$10*Model!$R$2231*AVERAGE('Assumptions (Petroleum)'!$M$2:$P$2)/10^9,0)</f>
        <v>3.5263412834076286E-3</v>
      </c>
      <c r="W2407" s="91">
        <f>IF($R$2231&gt;0,'Assumptions (Petroleum)'!AA$10*Model!$R$2231*AVERAGE('Assumptions (Petroleum)'!$M$2:$P$2)/10^9,0)</f>
        <v>3.1701451941745346E-3</v>
      </c>
      <c r="X2407" s="91">
        <f>IF($R$2231&gt;0,'Assumptions (Petroleum)'!AB$10*Model!$R$2231*AVERAGE('Assumptions (Petroleum)'!$M$2:$P$2)/10^9,0)</f>
        <v>3.0022241806789336E-3</v>
      </c>
      <c r="Y2407" s="91">
        <f>IF($R$2231&gt;0,'Assumptions (Petroleum)'!AC$10*Model!$R$2231*AVERAGE('Assumptions (Petroleum)'!$M$2:$P$2)/10^9,0)</f>
        <v>3.0022241806789336E-3</v>
      </c>
      <c r="Z2407" s="91">
        <f>IF($R$2231&gt;0,'Assumptions (Petroleum)'!AD$10*Model!$R$2231*AVERAGE('Assumptions (Petroleum)'!$M$2:$P$2)/10^9,0)</f>
        <v>3.0073126962394062E-3</v>
      </c>
      <c r="AA2407" s="91">
        <f>IF($R$2231&gt;0,'Assumptions (Petroleum)'!AE$10*Model!$R$2231*AVERAGE('Assumptions (Petroleum)'!$M$2:$P$2)/10^9,0)</f>
        <v>3.0022241806789336E-3</v>
      </c>
      <c r="AB2407" s="91">
        <f>IF($R$2231&gt;0,'Assumptions (Petroleum)'!AF$10*Model!$R$2231*AVERAGE('Assumptions (Petroleum)'!$M$2:$P$2)/10^9,0)</f>
        <v>3.0073126962394062E-3</v>
      </c>
      <c r="AC2407" s="91">
        <f>IF($R$2231&gt;0,'Assumptions (Petroleum)'!AG$10*Model!$R$2231*AVERAGE('Assumptions (Petroleum)'!$M$2:$P$2)/10^9,0)</f>
        <v>3.0022241806789336E-3</v>
      </c>
      <c r="AD2407" s="91">
        <f>IF($R$2231&gt;0,'Assumptions (Petroleum)'!AH$10*Model!$R$2231*AVERAGE('Assumptions (Petroleum)'!$M$2:$P$2)/10^9,0)</f>
        <v>3.0073126962394062E-3</v>
      </c>
      <c r="AE2407" s="91">
        <f>IF($R$2231&gt;0,'Assumptions (Petroleum)'!AI$10*Model!$R$2231*AVERAGE('Assumptions (Petroleum)'!$M$2:$P$2)/10^9,0)</f>
        <v>3.0022241806789336E-3</v>
      </c>
      <c r="AF2407" s="91">
        <f>IF($R$2231&gt;0,'Assumptions (Petroleum)'!AJ$10*Model!$R$2231*AVERAGE('Assumptions (Petroleum)'!$M$2:$P$2)/10^9,0)</f>
        <v>3.0073126962394062E-3</v>
      </c>
      <c r="AG2407" s="91">
        <f>IF($R$2231&gt;0,'Assumptions (Petroleum)'!AK$10*Model!$R$2231*AVERAGE('Assumptions (Petroleum)'!$M$2:$P$2)/10^9,0)</f>
        <v>1.5011120903394668E-3</v>
      </c>
      <c r="AH2407" s="91"/>
      <c r="AI2407" s="91"/>
      <c r="AJ2407" s="91"/>
      <c r="AK2407" s="91"/>
    </row>
    <row r="2408" spans="1:53" ht="15.75" hidden="1" customHeight="1" outlineLevel="1">
      <c r="A2408" s="447"/>
      <c r="B2408" s="99"/>
      <c r="C2408" s="105"/>
      <c r="D2408" s="105"/>
      <c r="E2408" s="105"/>
      <c r="F2408" s="105"/>
      <c r="G2408" s="105"/>
      <c r="H2408" s="105"/>
      <c r="I2408" s="105"/>
      <c r="J2408" s="105"/>
      <c r="K2408" s="105"/>
      <c r="L2408" s="105"/>
      <c r="M2408" s="105"/>
      <c r="N2408" s="105"/>
      <c r="O2408" s="105"/>
      <c r="P2408" s="171"/>
      <c r="Q2408" s="105"/>
      <c r="R2408" s="91"/>
      <c r="S2408" s="105">
        <f>IF($S$2231&gt;0,'Assumptions (Petroleum)'!V$10*Model!$S$2231*AVERAGE('Assumptions (Petroleum)'!$O$2:$Q$2)/10^9,0)</f>
        <v>1.4869337099231838E-3</v>
      </c>
      <c r="T2408" s="105">
        <f>IF($S$2231&gt;0,'Assumptions (Petroleum)'!W$10*Model!$S$2231*AVERAGE('Assumptions (Petroleum)'!$O$2:$Q$2)/10^9,0)</f>
        <v>2.825174048854049E-3</v>
      </c>
      <c r="U2408" s="105">
        <f>IF($S$2231&gt;0,'Assumptions (Petroleum)'!X$10*Model!$S$2231*AVERAGE('Assumptions (Petroleum)'!$O$2:$Q$2)/10^9,0)</f>
        <v>2.5426566439686444E-3</v>
      </c>
      <c r="V2408" s="105">
        <f>IF($S$2231&gt;0,'Assumptions (Petroleum)'!Y$10*Model!$S$2231*AVERAGE('Assumptions (Petroleum)'!$O$2:$Q$2)/10^9,0)</f>
        <v>2.2898779132817029E-3</v>
      </c>
      <c r="W2408" s="105">
        <f>IF($S$2231&gt;0,'Assumptions (Petroleum)'!Z$10*Model!$S$2231*AVERAGE('Assumptions (Petroleum)'!$O$2:$Q$2)/10^9,0)</f>
        <v>2.0608901219535325E-3</v>
      </c>
      <c r="X2408" s="105">
        <f>IF($S$2231&gt;0,'Assumptions (Petroleum)'!AA$10*Model!$S$2231*AVERAGE('Assumptions (Petroleum)'!$O$2:$Q$2)/10^9,0)</f>
        <v>1.8527194025642871E-3</v>
      </c>
      <c r="Y2408" s="105">
        <f>IF($S$2231&gt;0,'Assumptions (Petroleum)'!AB$10*Model!$S$2231*AVERAGE('Assumptions (Petroleum)'!$O$2:$Q$2)/10^9,0)</f>
        <v>1.7545817777093566E-3</v>
      </c>
      <c r="Z2408" s="105">
        <f>IF($S$2231&gt;0,'Assumptions (Petroleum)'!AC$10*Model!$S$2231*AVERAGE('Assumptions (Petroleum)'!$O$2:$Q$2)/10^9,0)</f>
        <v>1.7545817777093566E-3</v>
      </c>
      <c r="AA2408" s="105">
        <f>IF($S$2231&gt;0,'Assumptions (Petroleum)'!AD$10*Model!$S$2231*AVERAGE('Assumptions (Petroleum)'!$O$2:$Q$2)/10^9,0)</f>
        <v>1.7575556451292032E-3</v>
      </c>
      <c r="AB2408" s="105">
        <f>IF($S$2231&gt;0,'Assumptions (Petroleum)'!AE$10*Model!$S$2231*AVERAGE('Assumptions (Petroleum)'!$O$2:$Q$2)/10^9,0)</f>
        <v>1.7545817777093566E-3</v>
      </c>
      <c r="AC2408" s="105">
        <f>IF($S$2231&gt;0,'Assumptions (Petroleum)'!AF$10*Model!$S$2231*AVERAGE('Assumptions (Petroleum)'!$O$2:$Q$2)/10^9,0)</f>
        <v>1.7575556451292032E-3</v>
      </c>
      <c r="AD2408" s="105">
        <f>IF($S$2231&gt;0,'Assumptions (Petroleum)'!AG$10*Model!$S$2231*AVERAGE('Assumptions (Petroleum)'!$O$2:$Q$2)/10^9,0)</f>
        <v>1.7545817777093566E-3</v>
      </c>
      <c r="AE2408" s="105">
        <f>IF($S$2231&gt;0,'Assumptions (Petroleum)'!AH$10*Model!$S$2231*AVERAGE('Assumptions (Petroleum)'!$O$2:$Q$2)/10^9,0)</f>
        <v>1.7575556451292032E-3</v>
      </c>
      <c r="AF2408" s="105">
        <f>IF($S$2231&gt;0,'Assumptions (Petroleum)'!AI$10*Model!$S$2231*AVERAGE('Assumptions (Petroleum)'!$O$2:$Q$2)/10^9,0)</f>
        <v>1.7545817777093566E-3</v>
      </c>
      <c r="AG2408" s="105">
        <f>IF($S$2231&gt;0,'Assumptions (Petroleum)'!AJ$10*Model!$S$2231*AVERAGE('Assumptions (Petroleum)'!$O$2:$Q$2)/10^9,0)</f>
        <v>1.7575556451292032E-3</v>
      </c>
      <c r="AH2408" s="105">
        <f>IF($S$2231&gt;0,'Assumptions (Petroleum)'!AK$10*Model!$S$2231*AVERAGE('Assumptions (Petroleum)'!$O$2:$Q$2)/10^9,0)</f>
        <v>8.7729088885467831E-4</v>
      </c>
      <c r="AI2408" s="105"/>
      <c r="AJ2408" s="105"/>
      <c r="AK2408" s="105"/>
    </row>
    <row r="2409" spans="1:53" ht="15.75" hidden="1" customHeight="1" outlineLevel="1">
      <c r="A2409" s="447"/>
      <c r="B2409" s="99"/>
      <c r="C2409" s="105"/>
      <c r="D2409" s="105"/>
      <c r="E2409" s="105"/>
      <c r="F2409" s="105"/>
      <c r="G2409" s="105"/>
      <c r="H2409" s="105"/>
      <c r="I2409" s="105"/>
      <c r="J2409" s="105"/>
      <c r="K2409" s="105"/>
      <c r="L2409" s="105"/>
      <c r="M2409" s="105"/>
      <c r="N2409" s="105"/>
      <c r="O2409" s="105"/>
      <c r="P2409" s="171"/>
      <c r="Q2409" s="105"/>
      <c r="R2409" s="91"/>
      <c r="S2409" s="91"/>
      <c r="T2409" s="105">
        <f>IF($T$2231&gt;0,'Assumptions (Petroleum)'!V$10*Model!$T$2231*AVERAGE('Assumptions (Petroleum)'!$P$2:$R$2)/10^9,0)</f>
        <v>2.3217096319985337E-3</v>
      </c>
      <c r="U2409" s="105">
        <f>IF($T$2231&gt;0,'Assumptions (Petroleum)'!W$10*Model!$T$2231*AVERAGE('Assumptions (Petroleum)'!$P$2:$R$2)/10^9,0)</f>
        <v>4.411248300797214E-3</v>
      </c>
      <c r="V2409" s="105">
        <f>IF($T$2231&gt;0,'Assumptions (Petroleum)'!X$10*Model!$T$2231*AVERAGE('Assumptions (Petroleum)'!$P$2:$R$2)/10^9,0)</f>
        <v>3.9701234707174926E-3</v>
      </c>
      <c r="W2409" s="105">
        <f>IF($T$2231&gt;0,'Assumptions (Petroleum)'!Y$10*Model!$T$2231*AVERAGE('Assumptions (Petroleum)'!$P$2:$R$2)/10^9,0)</f>
        <v>3.5754328332777414E-3</v>
      </c>
      <c r="X2409" s="105">
        <f>IF($T$2231&gt;0,'Assumptions (Petroleum)'!Z$10*Model!$T$2231*AVERAGE('Assumptions (Petroleum)'!$P$2:$R$2)/10^9,0)</f>
        <v>3.2178895499499678E-3</v>
      </c>
      <c r="Y2409" s="105">
        <f>IF($T$2231&gt;0,'Assumptions (Petroleum)'!AA$10*Model!$T$2231*AVERAGE('Assumptions (Petroleum)'!$P$2:$R$2)/10^9,0)</f>
        <v>2.8928502014701728E-3</v>
      </c>
      <c r="Z2409" s="105">
        <f>IF($T$2231&gt;0,'Assumptions (Petroleum)'!AB$10*Model!$T$2231*AVERAGE('Assumptions (Petroleum)'!$P$2:$R$2)/10^9,0)</f>
        <v>2.7396173657582698E-3</v>
      </c>
      <c r="AA2409" s="105">
        <f>IF($T$2231&gt;0,'Assumptions (Petroleum)'!AC$10*Model!$T$2231*AVERAGE('Assumptions (Petroleum)'!$P$2:$R$2)/10^9,0)</f>
        <v>2.7396173657582698E-3</v>
      </c>
      <c r="AB2409" s="105">
        <f>IF($T$2231&gt;0,'Assumptions (Petroleum)'!AD$10*Model!$T$2231*AVERAGE('Assumptions (Petroleum)'!$P$2:$R$2)/10^9,0)</f>
        <v>2.7442607850222665E-3</v>
      </c>
      <c r="AC2409" s="105">
        <f>IF($T$2231&gt;0,'Assumptions (Petroleum)'!AE$10*Model!$T$2231*AVERAGE('Assumptions (Petroleum)'!$P$2:$R$2)/10^9,0)</f>
        <v>2.7396173657582698E-3</v>
      </c>
      <c r="AD2409" s="105">
        <f>IF($T$2231&gt;0,'Assumptions (Petroleum)'!AF$10*Model!$T$2231*AVERAGE('Assumptions (Petroleum)'!$P$2:$R$2)/10^9,0)</f>
        <v>2.7442607850222665E-3</v>
      </c>
      <c r="AE2409" s="105">
        <f>IF($T$2231&gt;0,'Assumptions (Petroleum)'!AG$10*Model!$T$2231*AVERAGE('Assumptions (Petroleum)'!$P$2:$R$2)/10^9,0)</f>
        <v>2.7396173657582698E-3</v>
      </c>
      <c r="AF2409" s="105">
        <f>IF($T$2231&gt;0,'Assumptions (Petroleum)'!AH$10*Model!$T$2231*AVERAGE('Assumptions (Petroleum)'!$P$2:$R$2)/10^9,0)</f>
        <v>2.7442607850222665E-3</v>
      </c>
      <c r="AG2409" s="105">
        <f>IF($T$2231&gt;0,'Assumptions (Petroleum)'!AI$10*Model!$T$2231*AVERAGE('Assumptions (Petroleum)'!$P$2:$R$2)/10^9,0)</f>
        <v>2.7396173657582698E-3</v>
      </c>
      <c r="AH2409" s="105">
        <f>IF($T$2231&gt;0,'Assumptions (Petroleum)'!AJ$10*Model!$T$2231*AVERAGE('Assumptions (Petroleum)'!$P$2:$R$2)/10^9,0)</f>
        <v>2.7442607850222665E-3</v>
      </c>
      <c r="AI2409" s="105">
        <f>IF($T$2231&gt;0,'Assumptions (Petroleum)'!AK$10*Model!$T$2231*AVERAGE('Assumptions (Petroleum)'!$P$2:$R$2)/10^9,0)</f>
        <v>1.3698086828791349E-3</v>
      </c>
      <c r="AJ2409" s="105"/>
      <c r="AK2409" s="105"/>
    </row>
    <row r="2410" spans="1:53" ht="15.75" hidden="1" customHeight="1" outlineLevel="1">
      <c r="A2410" s="447"/>
      <c r="B2410" s="99"/>
      <c r="C2410" s="105"/>
      <c r="D2410" s="105"/>
      <c r="E2410" s="105"/>
      <c r="F2410" s="105"/>
      <c r="G2410" s="105"/>
      <c r="H2410" s="105"/>
      <c r="I2410" s="105"/>
      <c r="J2410" s="105"/>
      <c r="K2410" s="105"/>
      <c r="L2410" s="105"/>
      <c r="M2410" s="105"/>
      <c r="N2410" s="105"/>
      <c r="O2410" s="105"/>
      <c r="P2410" s="171"/>
      <c r="Q2410" s="105"/>
      <c r="R2410" s="91"/>
      <c r="S2410" s="91"/>
      <c r="T2410" s="91"/>
      <c r="U2410" s="105">
        <f>IF($U$2231&gt;0,'Assumptions (Petroleum)'!V$10*Model!$U$2231*AVERAGE('Assumptions (Petroleum)'!$Q$2:$S$2)/10^9,0)</f>
        <v>9.3455484267343264E-4</v>
      </c>
      <c r="V2410" s="105">
        <f>IF($U$2231&gt;0,'Assumptions (Petroleum)'!W$10*Model!$U$2231*AVERAGE('Assumptions (Petroleum)'!$Q$2:$S$2)/10^9,0)</f>
        <v>1.7756542010795222E-3</v>
      </c>
      <c r="W2410" s="105">
        <f>IF($U$2231&gt;0,'Assumptions (Petroleum)'!X$10*Model!$U$2231*AVERAGE('Assumptions (Petroleum)'!$Q$2:$S$2)/10^9,0)</f>
        <v>1.5980887809715701E-3</v>
      </c>
      <c r="X2410" s="105">
        <f>IF($U$2231&gt;0,'Assumptions (Petroleum)'!Y$10*Model!$U$2231*AVERAGE('Assumptions (Petroleum)'!$Q$2:$S$2)/10^9,0)</f>
        <v>1.4392144577170863E-3</v>
      </c>
      <c r="Y2410" s="105">
        <f>IF($U$2231&gt;0,'Assumptions (Petroleum)'!Z$10*Model!$U$2231*AVERAGE('Assumptions (Petroleum)'!$Q$2:$S$2)/10^9,0)</f>
        <v>1.2952930119453777E-3</v>
      </c>
      <c r="Z2410" s="105">
        <f>IF($U$2231&gt;0,'Assumptions (Petroleum)'!AA$10*Model!$U$2231*AVERAGE('Assumptions (Petroleum)'!$Q$2:$S$2)/10^9,0)</f>
        <v>1.1644553339710973E-3</v>
      </c>
      <c r="AA2410" s="105">
        <f>IF($U$2231&gt;0,'Assumptions (Petroleum)'!AB$10*Model!$U$2231*AVERAGE('Assumptions (Petroleum)'!$Q$2:$S$2)/10^9,0)</f>
        <v>1.1027747143546507E-3</v>
      </c>
      <c r="AB2410" s="105">
        <f>IF($U$2231&gt;0,'Assumptions (Petroleum)'!AC$10*Model!$U$2231*AVERAGE('Assumptions (Petroleum)'!$Q$2:$S$2)/10^9,0)</f>
        <v>1.1027747143546507E-3</v>
      </c>
      <c r="AC2410" s="105">
        <f>IF($U$2231&gt;0,'Assumptions (Petroleum)'!AD$10*Model!$U$2231*AVERAGE('Assumptions (Petroleum)'!$Q$2:$S$2)/10^9,0)</f>
        <v>1.1046438240399975E-3</v>
      </c>
      <c r="AD2410" s="105">
        <f>IF($U$2231&gt;0,'Assumptions (Petroleum)'!AE$10*Model!$U$2231*AVERAGE('Assumptions (Petroleum)'!$Q$2:$S$2)/10^9,0)</f>
        <v>1.1027747143546507E-3</v>
      </c>
      <c r="AE2410" s="105">
        <f>IF($U$2231&gt;0,'Assumptions (Petroleum)'!AF$10*Model!$U$2231*AVERAGE('Assumptions (Petroleum)'!$Q$2:$S$2)/10^9,0)</f>
        <v>1.1046438240399975E-3</v>
      </c>
      <c r="AF2410" s="105">
        <f>IF($U$2231&gt;0,'Assumptions (Petroleum)'!AG$10*Model!$U$2231*AVERAGE('Assumptions (Petroleum)'!$Q$2:$S$2)/10^9,0)</f>
        <v>1.1027747143546507E-3</v>
      </c>
      <c r="AG2410" s="105">
        <f>IF($U$2231&gt;0,'Assumptions (Petroleum)'!AH$10*Model!$U$2231*AVERAGE('Assumptions (Petroleum)'!$Q$2:$S$2)/10^9,0)</f>
        <v>1.1046438240399975E-3</v>
      </c>
      <c r="AH2410" s="105">
        <f>IF($U$2231&gt;0,'Assumptions (Petroleum)'!AI$10*Model!$U$2231*AVERAGE('Assumptions (Petroleum)'!$Q$2:$S$2)/10^9,0)</f>
        <v>1.1027747143546507E-3</v>
      </c>
      <c r="AI2410" s="105">
        <f>IF($U$2231&gt;0,'Assumptions (Petroleum)'!AJ$10*Model!$U$2231*AVERAGE('Assumptions (Petroleum)'!$Q$2:$S$2)/10^9,0)</f>
        <v>1.1046438240399975E-3</v>
      </c>
      <c r="AJ2410" s="105">
        <f>IF($U$2231&gt;0,'Assumptions (Petroleum)'!AK$10*Model!$U$2231*AVERAGE('Assumptions (Petroleum)'!$Q$2:$S$2)/10^9,0)</f>
        <v>5.5138735717732534E-4</v>
      </c>
      <c r="AK2410" s="105"/>
    </row>
    <row r="2411" spans="1:53" ht="15.75" hidden="1" customHeight="1" outlineLevel="1">
      <c r="A2411" s="447"/>
      <c r="B2411" s="99"/>
      <c r="C2411" s="105"/>
      <c r="D2411" s="105"/>
      <c r="E2411" s="105"/>
      <c r="F2411" s="105"/>
      <c r="G2411" s="105"/>
      <c r="H2411" s="105"/>
      <c r="I2411" s="105"/>
      <c r="J2411" s="105"/>
      <c r="K2411" s="105"/>
      <c r="L2411" s="105"/>
      <c r="M2411" s="105"/>
      <c r="N2411" s="105"/>
      <c r="O2411" s="105"/>
      <c r="P2411" s="171"/>
      <c r="Q2411" s="105"/>
      <c r="R2411" s="91"/>
      <c r="S2411" s="91"/>
      <c r="T2411" s="91"/>
      <c r="U2411" s="105"/>
      <c r="V2411" s="105">
        <f>IF($V$2231&gt;0,'Assumptions (Petroleum)'!V$10*Model!$V$2231*AVERAGE('Assumptions (Petroleum)'!$R$2:$T$2)/10^9,0)</f>
        <v>9.0234445731915424E-4</v>
      </c>
      <c r="W2411" s="105">
        <f>IF($V$2231&gt;0,'Assumptions (Petroleum)'!W$10*Model!$V$2231*AVERAGE('Assumptions (Petroleum)'!$R$2:$T$2)/10^9,0)</f>
        <v>1.7144544689063931E-3</v>
      </c>
      <c r="X2411" s="105">
        <f>IF($V$2231&gt;0,'Assumptions (Petroleum)'!X$10*Model!$V$2231*AVERAGE('Assumptions (Petroleum)'!$R$2:$T$2)/10^9,0)</f>
        <v>1.5430090220157539E-3</v>
      </c>
      <c r="Y2411" s="105">
        <f>IF($V$2231&gt;0,'Assumptions (Petroleum)'!Y$10*Model!$V$2231*AVERAGE('Assumptions (Petroleum)'!$R$2:$T$2)/10^9,0)</f>
        <v>1.3896104642714977E-3</v>
      </c>
      <c r="Z2411" s="105">
        <f>IF($V$2231&gt;0,'Assumptions (Petroleum)'!Z$10*Model!$V$2231*AVERAGE('Assumptions (Petroleum)'!$R$2:$T$2)/10^9,0)</f>
        <v>1.2506494178443478E-3</v>
      </c>
      <c r="AA2411" s="105">
        <f>IF($V$2231&gt;0,'Assumptions (Petroleum)'!AA$10*Model!$V$2231*AVERAGE('Assumptions (Petroleum)'!$R$2:$T$2)/10^9,0)</f>
        <v>1.1243211938196662E-3</v>
      </c>
      <c r="AB2411" s="105">
        <f>IF($V$2231&gt;0,'Assumptions (Petroleum)'!AB$10*Model!$V$2231*AVERAGE('Assumptions (Petroleum)'!$R$2:$T$2)/10^9,0)</f>
        <v>1.0647664596366018E-3</v>
      </c>
      <c r="AC2411" s="105">
        <f>IF($V$2231&gt;0,'Assumptions (Petroleum)'!AC$10*Model!$V$2231*AVERAGE('Assumptions (Petroleum)'!$R$2:$T$2)/10^9,0)</f>
        <v>1.0647664596366018E-3</v>
      </c>
      <c r="AD2411" s="105">
        <f>IF($V$2231&gt;0,'Assumptions (Petroleum)'!AD$10*Model!$V$2231*AVERAGE('Assumptions (Petroleum)'!$R$2:$T$2)/10^9,0)</f>
        <v>1.0665711485512404E-3</v>
      </c>
      <c r="AE2411" s="105">
        <f>IF($V$2231&gt;0,'Assumptions (Petroleum)'!AE$10*Model!$V$2231*AVERAGE('Assumptions (Petroleum)'!$R$2:$T$2)/10^9,0)</f>
        <v>1.0647664596366018E-3</v>
      </c>
      <c r="AF2411" s="105">
        <f>IF($V$2231&gt;0,'Assumptions (Petroleum)'!AF$10*Model!$V$2231*AVERAGE('Assumptions (Petroleum)'!$R$2:$T$2)/10^9,0)</f>
        <v>1.0665711485512404E-3</v>
      </c>
      <c r="AG2411" s="105">
        <f>IF($V$2231&gt;0,'Assumptions (Petroleum)'!AG$10*Model!$V$2231*AVERAGE('Assumptions (Petroleum)'!$R$2:$T$2)/10^9,0)</f>
        <v>1.0647664596366018E-3</v>
      </c>
      <c r="AH2411" s="105">
        <f>IF($V$2231&gt;0,'Assumptions (Petroleum)'!AH$10*Model!$V$2231*AVERAGE('Assumptions (Petroleum)'!$R$2:$T$2)/10^9,0)</f>
        <v>1.0665711485512404E-3</v>
      </c>
      <c r="AI2411" s="105">
        <f>IF($V$2231&gt;0,'Assumptions (Petroleum)'!AI$10*Model!$V$2231*AVERAGE('Assumptions (Petroleum)'!$R$2:$T$2)/10^9,0)</f>
        <v>1.0647664596366018E-3</v>
      </c>
      <c r="AJ2411" s="105">
        <f>IF($V$2231&gt;0,'Assumptions (Petroleum)'!AJ$10*Model!$V$2231*AVERAGE('Assumptions (Petroleum)'!$R$2:$T$2)/10^9,0)</f>
        <v>1.0665711485512404E-3</v>
      </c>
      <c r="AK2411" s="105">
        <f>IF($V$2231&gt;0,'Assumptions (Petroleum)'!AK$10*Model!$V$2231*AVERAGE('Assumptions (Petroleum)'!$R$2:$T$2)/10^9,0)</f>
        <v>5.3238322981830088E-4</v>
      </c>
    </row>
    <row r="2412" spans="1:53" ht="15.75" hidden="1" customHeight="1" outlineLevel="1">
      <c r="A2412" s="447"/>
      <c r="B2412" s="99"/>
      <c r="C2412" s="99"/>
      <c r="D2412" s="99"/>
      <c r="E2412" s="99"/>
      <c r="F2412" s="99"/>
      <c r="G2412" s="99"/>
      <c r="H2412" s="99"/>
      <c r="I2412" s="99"/>
      <c r="J2412" s="99"/>
      <c r="K2412" s="99"/>
      <c r="L2412" s="99"/>
      <c r="M2412" s="99"/>
      <c r="N2412" s="99"/>
      <c r="O2412" s="99"/>
      <c r="P2412" s="99"/>
      <c r="Q2412" s="99"/>
      <c r="R2412" s="99"/>
      <c r="S2412" s="99"/>
      <c r="T2412" s="99"/>
      <c r="U2412" s="99"/>
      <c r="V2412" s="99"/>
      <c r="W2412" s="105">
        <f>IF($W$2231&gt;0,'Assumptions (Petroleum)'!V237*Model!$W$2231*AVERAGE('Assumptions (Petroleum)'!$S$2:$U$2)/10^9,0)</f>
        <v>0</v>
      </c>
      <c r="X2412" s="105">
        <f>IF($W$2231&gt;0,'Assumptions (Petroleum)'!W237*Model!$W$2231*AVERAGE('Assumptions (Petroleum)'!$S$2:$U$2)/10^9,0)</f>
        <v>0</v>
      </c>
      <c r="Y2412" s="105">
        <f>IF($W$2231&gt;0,'Assumptions (Petroleum)'!X237*Model!$W$2231*AVERAGE('Assumptions (Petroleum)'!$S$2:$U$2)/10^9,0)</f>
        <v>0</v>
      </c>
      <c r="Z2412" s="105">
        <f>IF($W$2231&gt;0,'Assumptions (Petroleum)'!Y237*Model!$W$2231*AVERAGE('Assumptions (Petroleum)'!$S$2:$U$2)/10^9,0)</f>
        <v>0</v>
      </c>
      <c r="AA2412" s="105">
        <f>IF($W$2231&gt;0,'Assumptions (Petroleum)'!Z237*Model!$W$2231*AVERAGE('Assumptions (Petroleum)'!$S$2:$U$2)/10^9,0)</f>
        <v>0</v>
      </c>
      <c r="AB2412" s="105">
        <f>IF($W$2231&gt;0,'Assumptions (Petroleum)'!AA237*Model!$W$2231*AVERAGE('Assumptions (Petroleum)'!$S$2:$U$2)/10^9,0)</f>
        <v>0</v>
      </c>
      <c r="AC2412" s="105">
        <f>IF($W$2231&gt;0,'Assumptions (Petroleum)'!AB237*Model!$W$2231*AVERAGE('Assumptions (Petroleum)'!$S$2:$U$2)/10^9,0)</f>
        <v>0</v>
      </c>
      <c r="AD2412" s="105">
        <f>IF($W$2231&gt;0,'Assumptions (Petroleum)'!AC237*Model!$W$2231*AVERAGE('Assumptions (Petroleum)'!$S$2:$U$2)/10^9,0)</f>
        <v>0</v>
      </c>
      <c r="AE2412" s="105">
        <f>IF($W$2231&gt;0,'Assumptions (Petroleum)'!AD237*Model!$W$2231*AVERAGE('Assumptions (Petroleum)'!$S$2:$U$2)/10^9,0)</f>
        <v>0</v>
      </c>
      <c r="AF2412" s="105">
        <f>IF($W$2231&gt;0,'Assumptions (Petroleum)'!AE237*Model!$W$2231*AVERAGE('Assumptions (Petroleum)'!$S$2:$U$2)/10^9,0)</f>
        <v>0</v>
      </c>
      <c r="AG2412" s="105">
        <f>IF($W$2231&gt;0,'Assumptions (Petroleum)'!AF237*Model!$W$2231*AVERAGE('Assumptions (Petroleum)'!$S$2:$U$2)/10^9,0)</f>
        <v>0</v>
      </c>
      <c r="AH2412" s="105">
        <f>IF($W$2231&gt;0,'Assumptions (Petroleum)'!AG237*Model!$W$2231*AVERAGE('Assumptions (Petroleum)'!$S$2:$U$2)/10^9,0)</f>
        <v>0</v>
      </c>
      <c r="AI2412" s="105">
        <f>IF($W$2231&gt;0,'Assumptions (Petroleum)'!AH237*Model!$W$2231*AVERAGE('Assumptions (Petroleum)'!$S$2:$U$2)/10^9,0)</f>
        <v>0</v>
      </c>
      <c r="AJ2412" s="105">
        <f>IF($W$2231&gt;0,'Assumptions (Petroleum)'!AI237*Model!$W$2231*AVERAGE('Assumptions (Petroleum)'!$S$2:$U$2)/10^9,0)</f>
        <v>0</v>
      </c>
      <c r="AK2412" s="105">
        <f>IF($W$2231&gt;0,'Assumptions (Petroleum)'!AJ237*Model!$W$2231*AVERAGE('Assumptions (Petroleum)'!$S$2:$U$2)/10^9,0)</f>
        <v>0</v>
      </c>
      <c r="AL2412" s="105">
        <f>IF($W$2231&gt;0,'Assumptions (Petroleum)'!AK237*Model!$W$2231*AVERAGE('Assumptions (Petroleum)'!$S$2:$U$2)/10^9,0)</f>
        <v>0</v>
      </c>
      <c r="AM2412" s="105"/>
      <c r="AN2412" s="105"/>
      <c r="AO2412" s="105"/>
      <c r="AP2412" s="105"/>
      <c r="AQ2412" s="105"/>
      <c r="AR2412" s="105"/>
      <c r="AS2412" s="105"/>
      <c r="AT2412" s="105"/>
      <c r="AU2412" s="105"/>
      <c r="AV2412" s="105"/>
      <c r="AW2412" s="105"/>
      <c r="AX2412" s="105"/>
      <c r="AY2412" s="105"/>
      <c r="AZ2412" s="105"/>
      <c r="BA2412" s="105"/>
    </row>
    <row r="2413" spans="1:53" ht="15.75" hidden="1" customHeight="1" outlineLevel="1">
      <c r="A2413" s="447"/>
      <c r="B2413" s="99"/>
      <c r="C2413" s="99"/>
      <c r="D2413" s="99"/>
      <c r="E2413" s="99"/>
      <c r="F2413" s="99"/>
      <c r="G2413" s="99"/>
      <c r="H2413" s="99"/>
      <c r="I2413" s="99"/>
      <c r="J2413" s="99"/>
      <c r="K2413" s="99"/>
      <c r="L2413" s="99"/>
      <c r="M2413" s="99"/>
      <c r="N2413" s="99"/>
      <c r="O2413" s="99"/>
      <c r="P2413" s="99"/>
      <c r="Q2413" s="99"/>
      <c r="R2413" s="99"/>
      <c r="S2413" s="99"/>
      <c r="T2413" s="99"/>
      <c r="U2413" s="99"/>
      <c r="V2413" s="99"/>
      <c r="W2413" s="105"/>
      <c r="X2413" s="105">
        <f>IF($X$2231&gt;0,'Assumptions (Petroleum)'!V237*Model!$X$2231*AVERAGE('Assumptions (Petroleum)'!$T$2:$V$2)/10^9,0)</f>
        <v>0</v>
      </c>
      <c r="Y2413" s="105">
        <f>IF($X$2231&gt;0,'Assumptions (Petroleum)'!W237*Model!$X$2231*AVERAGE('Assumptions (Petroleum)'!$T$2:$V$2)/10^9,0)</f>
        <v>0</v>
      </c>
      <c r="Z2413" s="105">
        <f>IF($X$2231&gt;0,'Assumptions (Petroleum)'!X237*Model!$X$2231*AVERAGE('Assumptions (Petroleum)'!$T$2:$V$2)/10^9,0)</f>
        <v>0</v>
      </c>
      <c r="AA2413" s="105">
        <f>IF($X$2231&gt;0,'Assumptions (Petroleum)'!Y237*Model!$X$2231*AVERAGE('Assumptions (Petroleum)'!$T$2:$V$2)/10^9,0)</f>
        <v>0</v>
      </c>
      <c r="AB2413" s="105">
        <f>IF($X$2231&gt;0,'Assumptions (Petroleum)'!Z237*Model!$X$2231*AVERAGE('Assumptions (Petroleum)'!$T$2:$V$2)/10^9,0)</f>
        <v>0</v>
      </c>
      <c r="AC2413" s="105">
        <f>IF($X$2231&gt;0,'Assumptions (Petroleum)'!AA237*Model!$X$2231*AVERAGE('Assumptions (Petroleum)'!$T$2:$V$2)/10^9,0)</f>
        <v>0</v>
      </c>
      <c r="AD2413" s="105">
        <f>IF($X$2231&gt;0,'Assumptions (Petroleum)'!AB237*Model!$X$2231*AVERAGE('Assumptions (Petroleum)'!$T$2:$V$2)/10^9,0)</f>
        <v>0</v>
      </c>
      <c r="AE2413" s="105">
        <f>IF($X$2231&gt;0,'Assumptions (Petroleum)'!AC237*Model!$X$2231*AVERAGE('Assumptions (Petroleum)'!$T$2:$V$2)/10^9,0)</f>
        <v>0</v>
      </c>
      <c r="AF2413" s="105">
        <f>IF($X$2231&gt;0,'Assumptions (Petroleum)'!AD237*Model!$X$2231*AVERAGE('Assumptions (Petroleum)'!$T$2:$V$2)/10^9,0)</f>
        <v>0</v>
      </c>
      <c r="AG2413" s="105">
        <f>IF($X$2231&gt;0,'Assumptions (Petroleum)'!AE237*Model!$X$2231*AVERAGE('Assumptions (Petroleum)'!$T$2:$V$2)/10^9,0)</f>
        <v>0</v>
      </c>
      <c r="AH2413" s="105">
        <f>IF($X$2231&gt;0,'Assumptions (Petroleum)'!AF237*Model!$X$2231*AVERAGE('Assumptions (Petroleum)'!$T$2:$V$2)/10^9,0)</f>
        <v>0</v>
      </c>
      <c r="AI2413" s="105">
        <f>IF($X$2231&gt;0,'Assumptions (Petroleum)'!AG237*Model!$X$2231*AVERAGE('Assumptions (Petroleum)'!$T$2:$V$2)/10^9,0)</f>
        <v>0</v>
      </c>
      <c r="AJ2413" s="105">
        <f>IF($X$2231&gt;0,'Assumptions (Petroleum)'!AH237*Model!$X$2231*AVERAGE('Assumptions (Petroleum)'!$T$2:$V$2)/10^9,0)</f>
        <v>0</v>
      </c>
      <c r="AK2413" s="105">
        <f>IF($X$2231&gt;0,'Assumptions (Petroleum)'!AI237*Model!$X$2231*AVERAGE('Assumptions (Petroleum)'!$T$2:$V$2)/10^9,0)</f>
        <v>0</v>
      </c>
      <c r="AL2413" s="105">
        <f>IF($X$2231&gt;0,'Assumptions (Petroleum)'!AJ237*Model!$X$2231*AVERAGE('Assumptions (Petroleum)'!$T$2:$V$2)/10^9,0)</f>
        <v>0</v>
      </c>
      <c r="AM2413" s="105">
        <f>IF($X$2231&gt;0,'Assumptions (Petroleum)'!AK237*Model!$X$2231*AVERAGE('Assumptions (Petroleum)'!$T$2:$V$2)/10^9,0)</f>
        <v>0</v>
      </c>
      <c r="AN2413" s="105"/>
      <c r="AO2413" s="105"/>
      <c r="AP2413" s="105"/>
      <c r="AQ2413" s="105"/>
      <c r="AR2413" s="105"/>
      <c r="AS2413" s="105"/>
      <c r="AT2413" s="105"/>
      <c r="AU2413" s="105"/>
      <c r="AV2413" s="105"/>
      <c r="AW2413" s="105"/>
      <c r="AX2413" s="105"/>
      <c r="AY2413" s="105"/>
      <c r="AZ2413" s="105"/>
      <c r="BA2413" s="105"/>
    </row>
    <row r="2414" spans="1:53" ht="15.75" hidden="1" customHeight="1" outlineLevel="1">
      <c r="A2414" s="447"/>
      <c r="B2414" s="99"/>
      <c r="C2414" s="99"/>
      <c r="D2414" s="99"/>
      <c r="E2414" s="99"/>
      <c r="F2414" s="99"/>
      <c r="G2414" s="99"/>
      <c r="H2414" s="99"/>
      <c r="I2414" s="99"/>
      <c r="J2414" s="99"/>
      <c r="K2414" s="99"/>
      <c r="L2414" s="99"/>
      <c r="M2414" s="99"/>
      <c r="N2414" s="99"/>
      <c r="O2414" s="99"/>
      <c r="P2414" s="99"/>
      <c r="Q2414" s="99"/>
      <c r="R2414" s="99"/>
      <c r="S2414" s="99"/>
      <c r="T2414" s="99"/>
      <c r="U2414" s="99"/>
      <c r="V2414" s="99"/>
      <c r="W2414" s="105"/>
      <c r="X2414" s="105"/>
      <c r="Y2414" s="105">
        <f>IF($Y$2231&gt;0,'Assumptions (Petroleum)'!V237*Model!$Y$2231*AVERAGE('Assumptions (Petroleum)'!$U$2:$W$2)/10^9,0)</f>
        <v>0</v>
      </c>
      <c r="Z2414" s="105">
        <f>IF($Y$2231&gt;0,'Assumptions (Petroleum)'!W237*Model!$Y$2231*AVERAGE('Assumptions (Petroleum)'!$U$2:$W$2)/10^9,0)</f>
        <v>0</v>
      </c>
      <c r="AA2414" s="105">
        <f>IF($Y$2231&gt;0,'Assumptions (Petroleum)'!X237*Model!$Y$2231*AVERAGE('Assumptions (Petroleum)'!$U$2:$W$2)/10^9,0)</f>
        <v>0</v>
      </c>
      <c r="AB2414" s="105">
        <f>IF($Y$2231&gt;0,'Assumptions (Petroleum)'!Y237*Model!$Y$2231*AVERAGE('Assumptions (Petroleum)'!$U$2:$W$2)/10^9,0)</f>
        <v>0</v>
      </c>
      <c r="AC2414" s="105">
        <f>IF($Y$2231&gt;0,'Assumptions (Petroleum)'!Z237*Model!$Y$2231*AVERAGE('Assumptions (Petroleum)'!$U$2:$W$2)/10^9,0)</f>
        <v>0</v>
      </c>
      <c r="AD2414" s="105">
        <f>IF($Y$2231&gt;0,'Assumptions (Petroleum)'!AA237*Model!$Y$2231*AVERAGE('Assumptions (Petroleum)'!$U$2:$W$2)/10^9,0)</f>
        <v>0</v>
      </c>
      <c r="AE2414" s="105">
        <f>IF($Y$2231&gt;0,'Assumptions (Petroleum)'!AB237*Model!$Y$2231*AVERAGE('Assumptions (Petroleum)'!$U$2:$W$2)/10^9,0)</f>
        <v>0</v>
      </c>
      <c r="AF2414" s="105">
        <f>IF($Y$2231&gt;0,'Assumptions (Petroleum)'!AC237*Model!$Y$2231*AVERAGE('Assumptions (Petroleum)'!$U$2:$W$2)/10^9,0)</f>
        <v>0</v>
      </c>
      <c r="AG2414" s="105">
        <f>IF($Y$2231&gt;0,'Assumptions (Petroleum)'!AD237*Model!$Y$2231*AVERAGE('Assumptions (Petroleum)'!$U$2:$W$2)/10^9,0)</f>
        <v>0</v>
      </c>
      <c r="AH2414" s="105">
        <f>IF($Y$2231&gt;0,'Assumptions (Petroleum)'!AE237*Model!$Y$2231*AVERAGE('Assumptions (Petroleum)'!$U$2:$W$2)/10^9,0)</f>
        <v>0</v>
      </c>
      <c r="AI2414" s="105">
        <f>IF($Y$2231&gt;0,'Assumptions (Petroleum)'!AF237*Model!$Y$2231*AVERAGE('Assumptions (Petroleum)'!$U$2:$W$2)/10^9,0)</f>
        <v>0</v>
      </c>
      <c r="AJ2414" s="105">
        <f>IF($Y$2231&gt;0,'Assumptions (Petroleum)'!AG237*Model!$Y$2231*AVERAGE('Assumptions (Petroleum)'!$U$2:$W$2)/10^9,0)</f>
        <v>0</v>
      </c>
      <c r="AK2414" s="105">
        <f>IF($Y$2231&gt;0,'Assumptions (Petroleum)'!AH237*Model!$Y$2231*AVERAGE('Assumptions (Petroleum)'!$U$2:$W$2)/10^9,0)</f>
        <v>0</v>
      </c>
      <c r="AL2414" s="105">
        <f>IF($Y$2231&gt;0,'Assumptions (Petroleum)'!AI237*Model!$Y$2231*AVERAGE('Assumptions (Petroleum)'!$U$2:$W$2)/10^9,0)</f>
        <v>0</v>
      </c>
      <c r="AM2414" s="105">
        <f>IF($Y$2231&gt;0,'Assumptions (Petroleum)'!AJ237*Model!$Y$2231*AVERAGE('Assumptions (Petroleum)'!$U$2:$W$2)/10^9,0)</f>
        <v>0</v>
      </c>
      <c r="AN2414" s="105">
        <f>IF($Y$2231&gt;0,'Assumptions (Petroleum)'!AK237*Model!$Y$2231*AVERAGE('Assumptions (Petroleum)'!$U$2:$W$2)/10^9,0)</f>
        <v>0</v>
      </c>
      <c r="AO2414" s="105"/>
      <c r="AP2414" s="105"/>
      <c r="AQ2414" s="105"/>
      <c r="AR2414" s="105"/>
      <c r="AS2414" s="105"/>
      <c r="AT2414" s="105"/>
      <c r="AU2414" s="105"/>
      <c r="AV2414" s="105"/>
      <c r="AW2414" s="105"/>
      <c r="AX2414" s="105"/>
      <c r="AY2414" s="105"/>
      <c r="AZ2414" s="105"/>
      <c r="BA2414" s="105"/>
    </row>
    <row r="2415" spans="1:53" ht="15.75" hidden="1" customHeight="1" outlineLevel="1">
      <c r="A2415" s="447"/>
      <c r="B2415" s="99"/>
      <c r="C2415" s="99"/>
      <c r="D2415" s="99"/>
      <c r="E2415" s="99"/>
      <c r="F2415" s="99"/>
      <c r="G2415" s="99"/>
      <c r="H2415" s="99"/>
      <c r="I2415" s="99"/>
      <c r="J2415" s="99"/>
      <c r="K2415" s="99"/>
      <c r="L2415" s="99"/>
      <c r="M2415" s="99"/>
      <c r="N2415" s="99"/>
      <c r="O2415" s="99"/>
      <c r="P2415" s="99"/>
      <c r="Q2415" s="99"/>
      <c r="R2415" s="99"/>
      <c r="S2415" s="99"/>
      <c r="T2415" s="99"/>
      <c r="U2415" s="99"/>
      <c r="V2415" s="99"/>
      <c r="W2415" s="105"/>
      <c r="X2415" s="105"/>
      <c r="Y2415" s="105"/>
      <c r="Z2415" s="105">
        <f>IF($Z$2231&gt;0,'Assumptions (Petroleum)'!V237*Model!$Z$2231*AVERAGE('Assumptions (Petroleum)'!$V$2:$X$2)/10^9,0)</f>
        <v>0</v>
      </c>
      <c r="AA2415" s="105">
        <f>IF($Z$2231&gt;0,'Assumptions (Petroleum)'!W237*Model!$Z$2231*AVERAGE('Assumptions (Petroleum)'!$V$2:$X$2)/10^9,0)</f>
        <v>0</v>
      </c>
      <c r="AB2415" s="105">
        <f>IF($Z$2231&gt;0,'Assumptions (Petroleum)'!X237*Model!$Z$2231*AVERAGE('Assumptions (Petroleum)'!$V$2:$X$2)/10^9,0)</f>
        <v>0</v>
      </c>
      <c r="AC2415" s="105">
        <f>IF($Z$2231&gt;0,'Assumptions (Petroleum)'!Y237*Model!$Z$2231*AVERAGE('Assumptions (Petroleum)'!$V$2:$X$2)/10^9,0)</f>
        <v>0</v>
      </c>
      <c r="AD2415" s="105">
        <f>IF($Z$2231&gt;0,'Assumptions (Petroleum)'!Z237*Model!$Z$2231*AVERAGE('Assumptions (Petroleum)'!$V$2:$X$2)/10^9,0)</f>
        <v>0</v>
      </c>
      <c r="AE2415" s="105">
        <f>IF($Z$2231&gt;0,'Assumptions (Petroleum)'!AA237*Model!$Z$2231*AVERAGE('Assumptions (Petroleum)'!$V$2:$X$2)/10^9,0)</f>
        <v>0</v>
      </c>
      <c r="AF2415" s="105">
        <f>IF($Z$2231&gt;0,'Assumptions (Petroleum)'!AB237*Model!$Z$2231*AVERAGE('Assumptions (Petroleum)'!$V$2:$X$2)/10^9,0)</f>
        <v>0</v>
      </c>
      <c r="AG2415" s="105">
        <f>IF($Z$2231&gt;0,'Assumptions (Petroleum)'!AC237*Model!$Z$2231*AVERAGE('Assumptions (Petroleum)'!$V$2:$X$2)/10^9,0)</f>
        <v>0</v>
      </c>
      <c r="AH2415" s="105">
        <f>IF($Z$2231&gt;0,'Assumptions (Petroleum)'!AD237*Model!$Z$2231*AVERAGE('Assumptions (Petroleum)'!$V$2:$X$2)/10^9,0)</f>
        <v>0</v>
      </c>
      <c r="AI2415" s="105">
        <f>IF($Z$2231&gt;0,'Assumptions (Petroleum)'!AE237*Model!$Z$2231*AVERAGE('Assumptions (Petroleum)'!$V$2:$X$2)/10^9,0)</f>
        <v>0</v>
      </c>
      <c r="AJ2415" s="105">
        <f>IF($Z$2231&gt;0,'Assumptions (Petroleum)'!AF237*Model!$Z$2231*AVERAGE('Assumptions (Petroleum)'!$V$2:$X$2)/10^9,0)</f>
        <v>0</v>
      </c>
      <c r="AK2415" s="105">
        <f>IF($Z$2231&gt;0,'Assumptions (Petroleum)'!AG237*Model!$Z$2231*AVERAGE('Assumptions (Petroleum)'!$V$2:$X$2)/10^9,0)</f>
        <v>0</v>
      </c>
      <c r="AL2415" s="105">
        <f>IF($Z$2231&gt;0,'Assumptions (Petroleum)'!AH237*Model!$Z$2231*AVERAGE('Assumptions (Petroleum)'!$V$2:$X$2)/10^9,0)</f>
        <v>0</v>
      </c>
      <c r="AM2415" s="105">
        <f>IF($Z$2231&gt;0,'Assumptions (Petroleum)'!AI237*Model!$Z$2231*AVERAGE('Assumptions (Petroleum)'!$V$2:$X$2)/10^9,0)</f>
        <v>0</v>
      </c>
      <c r="AN2415" s="105">
        <f>IF($Z$2231&gt;0,'Assumptions (Petroleum)'!AJ237*Model!$Z$2231*AVERAGE('Assumptions (Petroleum)'!$V$2:$X$2)/10^9,0)</f>
        <v>0</v>
      </c>
      <c r="AO2415" s="105">
        <f>IF($Z$2231&gt;0,'Assumptions (Petroleum)'!AK237*Model!$Z$2231*AVERAGE('Assumptions (Petroleum)'!$V$2:$X$2)/10^9,0)</f>
        <v>0</v>
      </c>
      <c r="AP2415" s="105"/>
      <c r="AQ2415" s="105"/>
      <c r="AR2415" s="105"/>
      <c r="AS2415" s="105"/>
      <c r="AT2415" s="105"/>
      <c r="AU2415" s="105"/>
      <c r="AV2415" s="105"/>
      <c r="AW2415" s="105"/>
      <c r="AX2415" s="105"/>
      <c r="AY2415" s="105"/>
      <c r="AZ2415" s="105"/>
      <c r="BA2415" s="105"/>
    </row>
    <row r="2416" spans="1:53" ht="15.75" hidden="1" customHeight="1" outlineLevel="1">
      <c r="A2416" s="447"/>
      <c r="B2416" s="99"/>
      <c r="C2416" s="99"/>
      <c r="D2416" s="99"/>
      <c r="E2416" s="99"/>
      <c r="F2416" s="99"/>
      <c r="G2416" s="99"/>
      <c r="H2416" s="99"/>
      <c r="I2416" s="99"/>
      <c r="J2416" s="99"/>
      <c r="K2416" s="99"/>
      <c r="L2416" s="99"/>
      <c r="M2416" s="99"/>
      <c r="N2416" s="99"/>
      <c r="O2416" s="99"/>
      <c r="P2416" s="99"/>
      <c r="Q2416" s="99"/>
      <c r="R2416" s="99"/>
      <c r="S2416" s="99"/>
      <c r="T2416" s="99"/>
      <c r="U2416" s="99"/>
      <c r="V2416" s="99"/>
      <c r="W2416" s="105"/>
      <c r="X2416" s="105"/>
      <c r="Y2416" s="105"/>
      <c r="Z2416" s="105"/>
      <c r="AA2416" s="105">
        <f>IF($AA$2231&gt;0,'Assumptions (Petroleum)'!V237*Model!$AA$2231*AVERAGE('Assumptions (Petroleum)'!$W$2:$Y$2)/10^9,0)</f>
        <v>0</v>
      </c>
      <c r="AB2416" s="105">
        <f>IF($AA$2231&gt;0,'Assumptions (Petroleum)'!W237*Model!$AA$2231*AVERAGE('Assumptions (Petroleum)'!$W$2:$Y$2)/10^9,0)</f>
        <v>0</v>
      </c>
      <c r="AC2416" s="105">
        <f>IF($AA$2231&gt;0,'Assumptions (Petroleum)'!X237*Model!$AA$2231*AVERAGE('Assumptions (Petroleum)'!$W$2:$Y$2)/10^9,0)</f>
        <v>0</v>
      </c>
      <c r="AD2416" s="105">
        <f>IF($AA$2231&gt;0,'Assumptions (Petroleum)'!Y237*Model!$AA$2231*AVERAGE('Assumptions (Petroleum)'!$W$2:$Y$2)/10^9,0)</f>
        <v>0</v>
      </c>
      <c r="AE2416" s="105">
        <f>IF($AA$2231&gt;0,'Assumptions (Petroleum)'!Z237*Model!$AA$2231*AVERAGE('Assumptions (Petroleum)'!$W$2:$Y$2)/10^9,0)</f>
        <v>0</v>
      </c>
      <c r="AF2416" s="105">
        <f>IF($AA$2231&gt;0,'Assumptions (Petroleum)'!AA237*Model!$AA$2231*AVERAGE('Assumptions (Petroleum)'!$W$2:$Y$2)/10^9,0)</f>
        <v>0</v>
      </c>
      <c r="AG2416" s="105">
        <f>IF($AA$2231&gt;0,'Assumptions (Petroleum)'!AB237*Model!$AA$2231*AVERAGE('Assumptions (Petroleum)'!$W$2:$Y$2)/10^9,0)</f>
        <v>0</v>
      </c>
      <c r="AH2416" s="105">
        <f>IF($AA$2231&gt;0,'Assumptions (Petroleum)'!AC237*Model!$AA$2231*AVERAGE('Assumptions (Petroleum)'!$W$2:$Y$2)/10^9,0)</f>
        <v>0</v>
      </c>
      <c r="AI2416" s="105">
        <f>IF($AA$2231&gt;0,'Assumptions (Petroleum)'!AD237*Model!$AA$2231*AVERAGE('Assumptions (Petroleum)'!$W$2:$Y$2)/10^9,0)</f>
        <v>0</v>
      </c>
      <c r="AJ2416" s="105">
        <f>IF($AA$2231&gt;0,'Assumptions (Petroleum)'!AE237*Model!$AA$2231*AVERAGE('Assumptions (Petroleum)'!$W$2:$Y$2)/10^9,0)</f>
        <v>0</v>
      </c>
      <c r="AK2416" s="105">
        <f>IF($AA$2231&gt;0,'Assumptions (Petroleum)'!AF237*Model!$AA$2231*AVERAGE('Assumptions (Petroleum)'!$W$2:$Y$2)/10^9,0)</f>
        <v>0</v>
      </c>
      <c r="AL2416" s="105">
        <f>IF($AA$2231&gt;0,'Assumptions (Petroleum)'!AG237*Model!$AA$2231*AVERAGE('Assumptions (Petroleum)'!$W$2:$Y$2)/10^9,0)</f>
        <v>0</v>
      </c>
      <c r="AM2416" s="105">
        <f>IF($AA$2231&gt;0,'Assumptions (Petroleum)'!AH237*Model!$AA$2231*AVERAGE('Assumptions (Petroleum)'!$W$2:$Y$2)/10^9,0)</f>
        <v>0</v>
      </c>
      <c r="AN2416" s="105">
        <f>IF($AA$2231&gt;0,'Assumptions (Petroleum)'!AI237*Model!$AA$2231*AVERAGE('Assumptions (Petroleum)'!$W$2:$Y$2)/10^9,0)</f>
        <v>0</v>
      </c>
      <c r="AO2416" s="105">
        <f>IF($AA$2231&gt;0,'Assumptions (Petroleum)'!AJ237*Model!$AA$2231*AVERAGE('Assumptions (Petroleum)'!$W$2:$Y$2)/10^9,0)</f>
        <v>0</v>
      </c>
      <c r="AP2416" s="105">
        <f>IF($AA$2231&gt;0,'Assumptions (Petroleum)'!AK237*Model!$AA$2231*AVERAGE('Assumptions (Petroleum)'!$W$2:$Y$2)/10^9,0)</f>
        <v>0</v>
      </c>
      <c r="AQ2416" s="105"/>
      <c r="AR2416" s="105"/>
      <c r="AS2416" s="105"/>
      <c r="AT2416" s="105"/>
      <c r="AU2416" s="105"/>
      <c r="AV2416" s="105"/>
      <c r="AW2416" s="105"/>
      <c r="AX2416" s="105"/>
      <c r="AY2416" s="105"/>
      <c r="AZ2416" s="105"/>
      <c r="BA2416" s="105"/>
    </row>
    <row r="2417" spans="1:67" ht="15.75" hidden="1" customHeight="1" outlineLevel="1">
      <c r="A2417" s="447"/>
      <c r="B2417" s="99"/>
      <c r="C2417" s="99"/>
      <c r="D2417" s="99"/>
      <c r="E2417" s="99"/>
      <c r="F2417" s="99"/>
      <c r="G2417" s="99"/>
      <c r="H2417" s="99"/>
      <c r="I2417" s="99"/>
      <c r="J2417" s="99"/>
      <c r="K2417" s="99"/>
      <c r="L2417" s="99"/>
      <c r="M2417" s="99"/>
      <c r="N2417" s="99"/>
      <c r="O2417" s="99"/>
      <c r="P2417" s="99"/>
      <c r="Q2417" s="99"/>
      <c r="R2417" s="99"/>
      <c r="S2417" s="99"/>
      <c r="T2417" s="99"/>
      <c r="U2417" s="99"/>
      <c r="V2417" s="99"/>
      <c r="W2417" s="105"/>
      <c r="X2417" s="105"/>
      <c r="Y2417" s="105"/>
      <c r="Z2417" s="105"/>
      <c r="AA2417" s="105"/>
      <c r="AB2417" s="105">
        <f>IF($AB$2231&gt;0,'Assumptions (Petroleum)'!V237*Model!$AB$2231*AVERAGE('Assumptions (Petroleum)'!$X$2:$Z$2)/10^9,0)</f>
        <v>0</v>
      </c>
      <c r="AC2417" s="105">
        <f>IF($AB$2231&gt;0,'Assumptions (Petroleum)'!W237*Model!$AB$2231*AVERAGE('Assumptions (Petroleum)'!$X$2:$Z$2)/10^9,0)</f>
        <v>0</v>
      </c>
      <c r="AD2417" s="105">
        <f>IF($AB$2231&gt;0,'Assumptions (Petroleum)'!X237*Model!$AB$2231*AVERAGE('Assumptions (Petroleum)'!$X$2:$Z$2)/10^9,0)</f>
        <v>0</v>
      </c>
      <c r="AE2417" s="105">
        <f>IF($AB$2231&gt;0,'Assumptions (Petroleum)'!Y237*Model!$AB$2231*AVERAGE('Assumptions (Petroleum)'!$X$2:$Z$2)/10^9,0)</f>
        <v>0</v>
      </c>
      <c r="AF2417" s="105">
        <f>IF($AB$2231&gt;0,'Assumptions (Petroleum)'!Z237*Model!$AB$2231*AVERAGE('Assumptions (Petroleum)'!$X$2:$Z$2)/10^9,0)</f>
        <v>0</v>
      </c>
      <c r="AG2417" s="105">
        <f>IF($AB$2231&gt;0,'Assumptions (Petroleum)'!AA237*Model!$AB$2231*AVERAGE('Assumptions (Petroleum)'!$X$2:$Z$2)/10^9,0)</f>
        <v>0</v>
      </c>
      <c r="AH2417" s="105">
        <f>IF($AB$2231&gt;0,'Assumptions (Petroleum)'!AB237*Model!$AB$2231*AVERAGE('Assumptions (Petroleum)'!$X$2:$Z$2)/10^9,0)</f>
        <v>0</v>
      </c>
      <c r="AI2417" s="105">
        <f>IF($AB$2231&gt;0,'Assumptions (Petroleum)'!AC237*Model!$AB$2231*AVERAGE('Assumptions (Petroleum)'!$X$2:$Z$2)/10^9,0)</f>
        <v>0</v>
      </c>
      <c r="AJ2417" s="105">
        <f>IF($AB$2231&gt;0,'Assumptions (Petroleum)'!AD237*Model!$AB$2231*AVERAGE('Assumptions (Petroleum)'!$X$2:$Z$2)/10^9,0)</f>
        <v>0</v>
      </c>
      <c r="AK2417" s="105">
        <f>IF($AB$2231&gt;0,'Assumptions (Petroleum)'!AE237*Model!$AB$2231*AVERAGE('Assumptions (Petroleum)'!$X$2:$Z$2)/10^9,0)</f>
        <v>0</v>
      </c>
      <c r="AL2417" s="105">
        <f>IF($AB$2231&gt;0,'Assumptions (Petroleum)'!AF237*Model!$AB$2231*AVERAGE('Assumptions (Petroleum)'!$X$2:$Z$2)/10^9,0)</f>
        <v>0</v>
      </c>
      <c r="AM2417" s="105">
        <f>IF($AB$2231&gt;0,'Assumptions (Petroleum)'!AG237*Model!$AB$2231*AVERAGE('Assumptions (Petroleum)'!$X$2:$Z$2)/10^9,0)</f>
        <v>0</v>
      </c>
      <c r="AN2417" s="105">
        <f>IF($AB$2231&gt;0,'Assumptions (Petroleum)'!AH237*Model!$AB$2231*AVERAGE('Assumptions (Petroleum)'!$X$2:$Z$2)/10^9,0)</f>
        <v>0</v>
      </c>
      <c r="AO2417" s="105">
        <f>IF($AB$2231&gt;0,'Assumptions (Petroleum)'!AI237*Model!$AB$2231*AVERAGE('Assumptions (Petroleum)'!$X$2:$Z$2)/10^9,0)</f>
        <v>0</v>
      </c>
      <c r="AP2417" s="105">
        <f>IF($AB$2231&gt;0,'Assumptions (Petroleum)'!AJ237*Model!$AB$2231*AVERAGE('Assumptions (Petroleum)'!$X$2:$Z$2)/10^9,0)</f>
        <v>0</v>
      </c>
      <c r="AQ2417" s="105">
        <f>IF($AB$2231&gt;0,'Assumptions (Petroleum)'!AK237*Model!$AB$2231*AVERAGE('Assumptions (Petroleum)'!$X$2:$Z$2)/10^9,0)</f>
        <v>0</v>
      </c>
      <c r="AR2417" s="105"/>
      <c r="AS2417" s="105"/>
      <c r="AT2417" s="105"/>
      <c r="AU2417" s="105"/>
      <c r="AV2417" s="105"/>
      <c r="AW2417" s="105"/>
      <c r="AX2417" s="105"/>
      <c r="AY2417" s="105"/>
      <c r="AZ2417" s="105"/>
      <c r="BA2417" s="105"/>
    </row>
    <row r="2418" spans="1:67" ht="15.75" hidden="1" customHeight="1" outlineLevel="1">
      <c r="A2418" s="447"/>
      <c r="B2418" s="99"/>
      <c r="C2418" s="99"/>
      <c r="D2418" s="99"/>
      <c r="E2418" s="99"/>
      <c r="F2418" s="99"/>
      <c r="G2418" s="99"/>
      <c r="H2418" s="99"/>
      <c r="I2418" s="99"/>
      <c r="J2418" s="99"/>
      <c r="K2418" s="99"/>
      <c r="L2418" s="99"/>
      <c r="M2418" s="99"/>
      <c r="N2418" s="99"/>
      <c r="O2418" s="99"/>
      <c r="P2418" s="99"/>
      <c r="Q2418" s="99"/>
      <c r="R2418" s="99"/>
      <c r="S2418" s="99"/>
      <c r="T2418" s="99"/>
      <c r="U2418" s="99"/>
      <c r="V2418" s="99"/>
      <c r="W2418" s="105"/>
      <c r="X2418" s="105"/>
      <c r="Y2418" s="105"/>
      <c r="Z2418" s="105"/>
      <c r="AA2418" s="105"/>
      <c r="AB2418" s="105"/>
      <c r="AC2418" s="105">
        <f>IF($AC$2231&gt;0,'Assumptions (Petroleum)'!V237*Model!$AC$2231*AVERAGE('Assumptions (Petroleum)'!$Y$2:$AA$2)/10^9,0)</f>
        <v>0</v>
      </c>
      <c r="AD2418" s="105">
        <f>IF($AC$2231&gt;0,'Assumptions (Petroleum)'!W237*Model!$AC$2231*AVERAGE('Assumptions (Petroleum)'!$Y$2:$AA$2)/10^9,0)</f>
        <v>0</v>
      </c>
      <c r="AE2418" s="105">
        <f>IF($AC$2231&gt;0,'Assumptions (Petroleum)'!X237*Model!$AC$2231*AVERAGE('Assumptions (Petroleum)'!$Y$2:$AA$2)/10^9,0)</f>
        <v>0</v>
      </c>
      <c r="AF2418" s="105">
        <f>IF($AC$2231&gt;0,'Assumptions (Petroleum)'!Y237*Model!$AC$2231*AVERAGE('Assumptions (Petroleum)'!$Y$2:$AA$2)/10^9,0)</f>
        <v>0</v>
      </c>
      <c r="AG2418" s="105">
        <f>IF($AC$2231&gt;0,'Assumptions (Petroleum)'!Z237*Model!$AC$2231*AVERAGE('Assumptions (Petroleum)'!$Y$2:$AA$2)/10^9,0)</f>
        <v>0</v>
      </c>
      <c r="AH2418" s="105">
        <f>IF($AC$2231&gt;0,'Assumptions (Petroleum)'!AA237*Model!$AC$2231*AVERAGE('Assumptions (Petroleum)'!$Y$2:$AA$2)/10^9,0)</f>
        <v>0</v>
      </c>
      <c r="AI2418" s="105">
        <f>IF($AC$2231&gt;0,'Assumptions (Petroleum)'!AB237*Model!$AC$2231*AVERAGE('Assumptions (Petroleum)'!$Y$2:$AA$2)/10^9,0)</f>
        <v>0</v>
      </c>
      <c r="AJ2418" s="105">
        <f>IF($AC$2231&gt;0,'Assumptions (Petroleum)'!AC237*Model!$AC$2231*AVERAGE('Assumptions (Petroleum)'!$Y$2:$AA$2)/10^9,0)</f>
        <v>0</v>
      </c>
      <c r="AK2418" s="105">
        <f>IF($AC$2231&gt;0,'Assumptions (Petroleum)'!AD237*Model!$AC$2231*AVERAGE('Assumptions (Petroleum)'!$Y$2:$AA$2)/10^9,0)</f>
        <v>0</v>
      </c>
      <c r="AL2418" s="105">
        <f>IF($AC$2231&gt;0,'Assumptions (Petroleum)'!AE237*Model!$AC$2231*AVERAGE('Assumptions (Petroleum)'!$Y$2:$AA$2)/10^9,0)</f>
        <v>0</v>
      </c>
      <c r="AM2418" s="105">
        <f>IF($AC$2231&gt;0,'Assumptions (Petroleum)'!AF237*Model!$AC$2231*AVERAGE('Assumptions (Petroleum)'!$Y$2:$AA$2)/10^9,0)</f>
        <v>0</v>
      </c>
      <c r="AN2418" s="105">
        <f>IF($AC$2231&gt;0,'Assumptions (Petroleum)'!AG237*Model!$AC$2231*AVERAGE('Assumptions (Petroleum)'!$Y$2:$AA$2)/10^9,0)</f>
        <v>0</v>
      </c>
      <c r="AO2418" s="105">
        <f>IF($AC$2231&gt;0,'Assumptions (Petroleum)'!AH237*Model!$AC$2231*AVERAGE('Assumptions (Petroleum)'!$Y$2:$AA$2)/10^9,0)</f>
        <v>0</v>
      </c>
      <c r="AP2418" s="105">
        <f>IF($AC$2231&gt;0,'Assumptions (Petroleum)'!AI237*Model!$AC$2231*AVERAGE('Assumptions (Petroleum)'!$Y$2:$AA$2)/10^9,0)</f>
        <v>0</v>
      </c>
      <c r="AQ2418" s="105">
        <f>IF($AC$2231&gt;0,'Assumptions (Petroleum)'!AJ237*Model!$AC$2231*AVERAGE('Assumptions (Petroleum)'!$Y$2:$AA$2)/10^9,0)</f>
        <v>0</v>
      </c>
      <c r="AR2418" s="105">
        <f>IF($AC$2231&gt;0,'Assumptions (Petroleum)'!AK237*Model!$AC$2231*AVERAGE('Assumptions (Petroleum)'!$Y$2:$AA$2)/10^9,0)</f>
        <v>0</v>
      </c>
      <c r="AS2418" s="105"/>
      <c r="AT2418" s="105"/>
      <c r="AU2418" s="105"/>
      <c r="AV2418" s="105"/>
      <c r="AW2418" s="105"/>
      <c r="AX2418" s="105"/>
      <c r="AY2418" s="105"/>
      <c r="AZ2418" s="105"/>
      <c r="BA2418" s="105"/>
    </row>
    <row r="2419" spans="1:67" ht="15.75" hidden="1" customHeight="1" outlineLevel="1">
      <c r="A2419" s="447"/>
      <c r="B2419" s="99"/>
      <c r="C2419" s="99"/>
      <c r="D2419" s="99"/>
      <c r="E2419" s="99"/>
      <c r="F2419" s="99"/>
      <c r="G2419" s="99"/>
      <c r="H2419" s="99"/>
      <c r="I2419" s="99"/>
      <c r="J2419" s="99"/>
      <c r="K2419" s="99"/>
      <c r="L2419" s="99"/>
      <c r="M2419" s="99"/>
      <c r="N2419" s="99"/>
      <c r="O2419" s="99"/>
      <c r="P2419" s="99"/>
      <c r="Q2419" s="99"/>
      <c r="R2419" s="99"/>
      <c r="S2419" s="99"/>
      <c r="T2419" s="99"/>
      <c r="U2419" s="99"/>
      <c r="V2419" s="99"/>
      <c r="W2419" s="105"/>
      <c r="X2419" s="105"/>
      <c r="Y2419" s="105"/>
      <c r="Z2419" s="105"/>
      <c r="AA2419" s="105"/>
      <c r="AB2419" s="105"/>
      <c r="AC2419" s="105"/>
      <c r="AD2419" s="105">
        <f>IF($AD$2231&gt;0,'Assumptions (Petroleum)'!V237*Model!$AD$2231*AVERAGE('Assumptions (Petroleum)'!$Z$2:$AB$2)/10^9,0)</f>
        <v>0</v>
      </c>
      <c r="AE2419" s="105">
        <f>IF($AD$2231&gt;0,'Assumptions (Petroleum)'!W237*Model!$AD$2231*AVERAGE('Assumptions (Petroleum)'!$Z$2:$AB$2)/10^9,0)</f>
        <v>0</v>
      </c>
      <c r="AF2419" s="105">
        <f>IF($AD$2231&gt;0,'Assumptions (Petroleum)'!X237*Model!$AD$2231*AVERAGE('Assumptions (Petroleum)'!$Z$2:$AB$2)/10^9,0)</f>
        <v>0</v>
      </c>
      <c r="AG2419" s="105">
        <f>IF($AD$2231&gt;0,'Assumptions (Petroleum)'!Y237*Model!$AD$2231*AVERAGE('Assumptions (Petroleum)'!$Z$2:$AB$2)/10^9,0)</f>
        <v>0</v>
      </c>
      <c r="AH2419" s="105">
        <f>IF($AD$2231&gt;0,'Assumptions (Petroleum)'!Z237*Model!$AD$2231*AVERAGE('Assumptions (Petroleum)'!$Z$2:$AB$2)/10^9,0)</f>
        <v>0</v>
      </c>
      <c r="AI2419" s="105">
        <f>IF($AD$2231&gt;0,'Assumptions (Petroleum)'!AA237*Model!$AD$2231*AVERAGE('Assumptions (Petroleum)'!$Z$2:$AB$2)/10^9,0)</f>
        <v>0</v>
      </c>
      <c r="AJ2419" s="105">
        <f>IF($AD$2231&gt;0,'Assumptions (Petroleum)'!AB237*Model!$AD$2231*AVERAGE('Assumptions (Petroleum)'!$Z$2:$AB$2)/10^9,0)</f>
        <v>0</v>
      </c>
      <c r="AK2419" s="105">
        <f>IF($AD$2231&gt;0,'Assumptions (Petroleum)'!AC237*Model!$AD$2231*AVERAGE('Assumptions (Petroleum)'!$Z$2:$AB$2)/10^9,0)</f>
        <v>0</v>
      </c>
      <c r="AL2419" s="105">
        <f>IF($AD$2231&gt;0,'Assumptions (Petroleum)'!AD237*Model!$AD$2231*AVERAGE('Assumptions (Petroleum)'!$Z$2:$AB$2)/10^9,0)</f>
        <v>0</v>
      </c>
      <c r="AM2419" s="105">
        <f>IF($AD$2231&gt;0,'Assumptions (Petroleum)'!AE237*Model!$AD$2231*AVERAGE('Assumptions (Petroleum)'!$Z$2:$AB$2)/10^9,0)</f>
        <v>0</v>
      </c>
      <c r="AN2419" s="105">
        <f>IF($AD$2231&gt;0,'Assumptions (Petroleum)'!AF237*Model!$AD$2231*AVERAGE('Assumptions (Petroleum)'!$Z$2:$AB$2)/10^9,0)</f>
        <v>0</v>
      </c>
      <c r="AO2419" s="105">
        <f>IF($AD$2231&gt;0,'Assumptions (Petroleum)'!AG237*Model!$AD$2231*AVERAGE('Assumptions (Petroleum)'!$Z$2:$AB$2)/10^9,0)</f>
        <v>0</v>
      </c>
      <c r="AP2419" s="105">
        <f>IF($AD$2231&gt;0,'Assumptions (Petroleum)'!AH237*Model!$AD$2231*AVERAGE('Assumptions (Petroleum)'!$Z$2:$AB$2)/10^9,0)</f>
        <v>0</v>
      </c>
      <c r="AQ2419" s="105">
        <f>IF($AD$2231&gt;0,'Assumptions (Petroleum)'!AI237*Model!$AD$2231*AVERAGE('Assumptions (Petroleum)'!$Z$2:$AB$2)/10^9,0)</f>
        <v>0</v>
      </c>
      <c r="AR2419" s="105">
        <f>IF($AD$2231&gt;0,'Assumptions (Petroleum)'!AJ237*Model!$AD$2231*AVERAGE('Assumptions (Petroleum)'!$Z$2:$AB$2)/10^9,0)</f>
        <v>0</v>
      </c>
      <c r="AS2419" s="105">
        <f>IF($AD$2231&gt;0,'Assumptions (Petroleum)'!AK237*Model!$AD$2231*AVERAGE('Assumptions (Petroleum)'!$Z$2:$AB$2)/10^9,0)</f>
        <v>0</v>
      </c>
      <c r="AT2419" s="105"/>
      <c r="AU2419" s="105"/>
      <c r="AV2419" s="105"/>
      <c r="AW2419" s="105"/>
      <c r="AX2419" s="105"/>
      <c r="AY2419" s="105"/>
      <c r="AZ2419" s="105"/>
      <c r="BA2419" s="105"/>
      <c r="BB2419" s="105"/>
    </row>
    <row r="2420" spans="1:67" ht="15.75" hidden="1" customHeight="1" outlineLevel="1">
      <c r="A2420" s="447"/>
      <c r="B2420" s="99"/>
      <c r="C2420" s="99"/>
      <c r="D2420" s="99"/>
      <c r="E2420" s="99"/>
      <c r="F2420" s="99"/>
      <c r="G2420" s="99"/>
      <c r="H2420" s="99"/>
      <c r="I2420" s="99"/>
      <c r="J2420" s="99"/>
      <c r="K2420" s="99"/>
      <c r="L2420" s="99"/>
      <c r="M2420" s="99"/>
      <c r="N2420" s="99"/>
      <c r="O2420" s="99"/>
      <c r="P2420" s="99"/>
      <c r="Q2420" s="99"/>
      <c r="R2420" s="99"/>
      <c r="S2420" s="99"/>
      <c r="T2420" s="99"/>
      <c r="U2420" s="99"/>
      <c r="V2420" s="99"/>
      <c r="W2420" s="105"/>
      <c r="X2420" s="105"/>
      <c r="Y2420" s="105"/>
      <c r="Z2420" s="105"/>
      <c r="AA2420" s="105"/>
      <c r="AB2420" s="105"/>
      <c r="AC2420" s="105"/>
      <c r="AD2420" s="105"/>
      <c r="AE2420" s="105">
        <f>IF($AE$2231&gt;0,'Assumptions (Petroleum)'!V237*Model!$AE$2231*AVERAGE('Assumptions (Petroleum)'!$AA$2:$AC$2)/10^9,0)</f>
        <v>0</v>
      </c>
      <c r="AF2420" s="105">
        <f>IF($AE$2231&gt;0,'Assumptions (Petroleum)'!W237*Model!$AE$2231*AVERAGE('Assumptions (Petroleum)'!$AA$2:$AC$2)/10^9,0)</f>
        <v>0</v>
      </c>
      <c r="AG2420" s="105">
        <f>IF($AE$2231&gt;0,'Assumptions (Petroleum)'!X237*Model!$AE$2231*AVERAGE('Assumptions (Petroleum)'!$AA$2:$AC$2)/10^9,0)</f>
        <v>0</v>
      </c>
      <c r="AH2420" s="105">
        <f>IF($AE$2231&gt;0,'Assumptions (Petroleum)'!Y237*Model!$AE$2231*AVERAGE('Assumptions (Petroleum)'!$AA$2:$AC$2)/10^9,0)</f>
        <v>0</v>
      </c>
      <c r="AI2420" s="105">
        <f>IF($AE$2231&gt;0,'Assumptions (Petroleum)'!Z237*Model!$AE$2231*AVERAGE('Assumptions (Petroleum)'!$AA$2:$AC$2)/10^9,0)</f>
        <v>0</v>
      </c>
      <c r="AJ2420" s="105">
        <f>IF($AE$2231&gt;0,'Assumptions (Petroleum)'!AA237*Model!$AE$2231*AVERAGE('Assumptions (Petroleum)'!$AA$2:$AC$2)/10^9,0)</f>
        <v>0</v>
      </c>
      <c r="AK2420" s="105">
        <f>IF($AE$2231&gt;0,'Assumptions (Petroleum)'!AB237*Model!$AE$2231*AVERAGE('Assumptions (Petroleum)'!$AA$2:$AC$2)/10^9,0)</f>
        <v>0</v>
      </c>
      <c r="AL2420" s="105">
        <f>IF($AE$2231&gt;0,'Assumptions (Petroleum)'!AC237*Model!$AE$2231*AVERAGE('Assumptions (Petroleum)'!$AA$2:$AC$2)/10^9,0)</f>
        <v>0</v>
      </c>
      <c r="AM2420" s="105">
        <f>IF($AE$2231&gt;0,'Assumptions (Petroleum)'!AD237*Model!$AE$2231*AVERAGE('Assumptions (Petroleum)'!$AA$2:$AC$2)/10^9,0)</f>
        <v>0</v>
      </c>
      <c r="AN2420" s="105">
        <f>IF($AE$2231&gt;0,'Assumptions (Petroleum)'!AE237*Model!$AE$2231*AVERAGE('Assumptions (Petroleum)'!$AA$2:$AC$2)/10^9,0)</f>
        <v>0</v>
      </c>
      <c r="AO2420" s="105">
        <f>IF($AE$2231&gt;0,'Assumptions (Petroleum)'!AF237*Model!$AE$2231*AVERAGE('Assumptions (Petroleum)'!$AA$2:$AC$2)/10^9,0)</f>
        <v>0</v>
      </c>
      <c r="AP2420" s="105">
        <f>IF($AE$2231&gt;0,'Assumptions (Petroleum)'!AG237*Model!$AE$2231*AVERAGE('Assumptions (Petroleum)'!$AA$2:$AC$2)/10^9,0)</f>
        <v>0</v>
      </c>
      <c r="AQ2420" s="105">
        <f>IF($AE$2231&gt;0,'Assumptions (Petroleum)'!AH237*Model!$AE$2231*AVERAGE('Assumptions (Petroleum)'!$AA$2:$AC$2)/10^9,0)</f>
        <v>0</v>
      </c>
      <c r="AR2420" s="105">
        <f>IF($AE$2231&gt;0,'Assumptions (Petroleum)'!AI237*Model!$AE$2231*AVERAGE('Assumptions (Petroleum)'!$AA$2:$AC$2)/10^9,0)</f>
        <v>0</v>
      </c>
      <c r="AS2420" s="105">
        <f>IF($AE$2231&gt;0,'Assumptions (Petroleum)'!AJ237*Model!$AE$2231*AVERAGE('Assumptions (Petroleum)'!$AA$2:$AC$2)/10^9,0)</f>
        <v>0</v>
      </c>
      <c r="AT2420" s="105">
        <f>IF($AE$2231&gt;0,'Assumptions (Petroleum)'!AK237*Model!$AE$2231*AVERAGE('Assumptions (Petroleum)'!$AA$2:$AC$2)/10^9,0)</f>
        <v>0</v>
      </c>
      <c r="AU2420" s="105"/>
      <c r="AV2420" s="105"/>
      <c r="AW2420" s="105"/>
      <c r="AX2420" s="105"/>
      <c r="AY2420" s="105"/>
      <c r="AZ2420" s="105"/>
      <c r="BA2420" s="105"/>
      <c r="BB2420" s="105"/>
      <c r="BC2420" s="105"/>
    </row>
    <row r="2421" spans="1:67" ht="15.75" hidden="1" customHeight="1" outlineLevel="1">
      <c r="A2421" s="447"/>
      <c r="B2421" s="99"/>
      <c r="C2421" s="99"/>
      <c r="D2421" s="99"/>
      <c r="E2421" s="99"/>
      <c r="F2421" s="99"/>
      <c r="G2421" s="99"/>
      <c r="H2421" s="99"/>
      <c r="I2421" s="99"/>
      <c r="J2421" s="99"/>
      <c r="K2421" s="99"/>
      <c r="L2421" s="99"/>
      <c r="M2421" s="99"/>
      <c r="N2421" s="99"/>
      <c r="O2421" s="99"/>
      <c r="P2421" s="99"/>
      <c r="Q2421" s="99"/>
      <c r="R2421" s="99"/>
      <c r="S2421" s="99"/>
      <c r="T2421" s="99"/>
      <c r="U2421" s="99"/>
      <c r="V2421" s="99"/>
      <c r="W2421" s="105"/>
      <c r="X2421" s="105"/>
      <c r="Y2421" s="105"/>
      <c r="Z2421" s="105"/>
      <c r="AA2421" s="105"/>
      <c r="AB2421" s="105"/>
      <c r="AC2421" s="105"/>
      <c r="AD2421" s="105"/>
      <c r="AE2421" s="105"/>
      <c r="AF2421" s="105">
        <f>IF($AF$2231&gt;0,'Assumptions (Petroleum)'!V237*Model!$AF$2231*AVERAGE('Assumptions (Petroleum)'!$AB$2:$AD$2)/10^9,0)</f>
        <v>0</v>
      </c>
      <c r="AG2421" s="105">
        <f>IF($AF$2231&gt;0,'Assumptions (Petroleum)'!W237*Model!$AF$2231*AVERAGE('Assumptions (Petroleum)'!$AB$2:$AD$2)/10^9,0)</f>
        <v>0</v>
      </c>
      <c r="AH2421" s="105">
        <f>IF($AF$2231&gt;0,'Assumptions (Petroleum)'!X237*Model!$AF$2231*AVERAGE('Assumptions (Petroleum)'!$AB$2:$AD$2)/10^9,0)</f>
        <v>0</v>
      </c>
      <c r="AI2421" s="105">
        <f>IF($AF$2231&gt;0,'Assumptions (Petroleum)'!Y237*Model!$AF$2231*AVERAGE('Assumptions (Petroleum)'!$AB$2:$AD$2)/10^9,0)</f>
        <v>0</v>
      </c>
      <c r="AJ2421" s="105">
        <f>IF($AF$2231&gt;0,'Assumptions (Petroleum)'!Z237*Model!$AF$2231*AVERAGE('Assumptions (Petroleum)'!$AB$2:$AD$2)/10^9,0)</f>
        <v>0</v>
      </c>
      <c r="AK2421" s="105">
        <f>IF($AF$2231&gt;0,'Assumptions (Petroleum)'!AA237*Model!$AF$2231*AVERAGE('Assumptions (Petroleum)'!$AB$2:$AD$2)/10^9,0)</f>
        <v>0</v>
      </c>
      <c r="AL2421" s="105">
        <f>IF($AF$2231&gt;0,'Assumptions (Petroleum)'!AB237*Model!$AF$2231*AVERAGE('Assumptions (Petroleum)'!$AB$2:$AD$2)/10^9,0)</f>
        <v>0</v>
      </c>
      <c r="AM2421" s="105">
        <f>IF($AF$2231&gt;0,'Assumptions (Petroleum)'!AC237*Model!$AF$2231*AVERAGE('Assumptions (Petroleum)'!$AB$2:$AD$2)/10^9,0)</f>
        <v>0</v>
      </c>
      <c r="AN2421" s="105">
        <f>IF($AF$2231&gt;0,'Assumptions (Petroleum)'!AD237*Model!$AF$2231*AVERAGE('Assumptions (Petroleum)'!$AB$2:$AD$2)/10^9,0)</f>
        <v>0</v>
      </c>
      <c r="AO2421" s="105">
        <f>IF($AF$2231&gt;0,'Assumptions (Petroleum)'!AE237*Model!$AF$2231*AVERAGE('Assumptions (Petroleum)'!$AB$2:$AD$2)/10^9,0)</f>
        <v>0</v>
      </c>
      <c r="AP2421" s="105">
        <f>IF($AF$2231&gt;0,'Assumptions (Petroleum)'!AF237*Model!$AF$2231*AVERAGE('Assumptions (Petroleum)'!$AB$2:$AD$2)/10^9,0)</f>
        <v>0</v>
      </c>
      <c r="AQ2421" s="105">
        <f>IF($AF$2231&gt;0,'Assumptions (Petroleum)'!AG237*Model!$AF$2231*AVERAGE('Assumptions (Petroleum)'!$AB$2:$AD$2)/10^9,0)</f>
        <v>0</v>
      </c>
      <c r="AR2421" s="105">
        <f>IF($AF$2231&gt;0,'Assumptions (Petroleum)'!AH237*Model!$AF$2231*AVERAGE('Assumptions (Petroleum)'!$AB$2:$AD$2)/10^9,0)</f>
        <v>0</v>
      </c>
      <c r="AS2421" s="105">
        <f>IF($AF$2231&gt;0,'Assumptions (Petroleum)'!AI237*Model!$AF$2231*AVERAGE('Assumptions (Petroleum)'!$AB$2:$AD$2)/10^9,0)</f>
        <v>0</v>
      </c>
      <c r="AT2421" s="105">
        <f>IF($AF$2231&gt;0,'Assumptions (Petroleum)'!AJ237*Model!$AF$2231*AVERAGE('Assumptions (Petroleum)'!$AB$2:$AD$2)/10^9,0)</f>
        <v>0</v>
      </c>
      <c r="AU2421" s="105">
        <f>IF($AF$2231&gt;0,'Assumptions (Petroleum)'!AK237*Model!$AF$2231*AVERAGE('Assumptions (Petroleum)'!$AB$2:$AD$2)/10^9,0)</f>
        <v>0</v>
      </c>
      <c r="AV2421" s="105"/>
      <c r="AW2421" s="105"/>
      <c r="AX2421" s="105"/>
      <c r="AY2421" s="105"/>
      <c r="AZ2421" s="105"/>
      <c r="BA2421" s="105"/>
      <c r="BB2421" s="105"/>
      <c r="BC2421" s="105"/>
      <c r="BD2421" s="105"/>
    </row>
    <row r="2422" spans="1:67" ht="15.75" hidden="1" customHeight="1" outlineLevel="1">
      <c r="A2422" s="447"/>
      <c r="B2422" s="99"/>
      <c r="C2422" s="99"/>
      <c r="D2422" s="99"/>
      <c r="E2422" s="99"/>
      <c r="F2422" s="99"/>
      <c r="G2422" s="99"/>
      <c r="H2422" s="99"/>
      <c r="I2422" s="99"/>
      <c r="J2422" s="99"/>
      <c r="K2422" s="99"/>
      <c r="L2422" s="99"/>
      <c r="M2422" s="99"/>
      <c r="N2422" s="99"/>
      <c r="O2422" s="99"/>
      <c r="P2422" s="99"/>
      <c r="Q2422" s="99"/>
      <c r="R2422" s="99"/>
      <c r="S2422" s="99"/>
      <c r="T2422" s="99"/>
      <c r="U2422" s="99"/>
      <c r="V2422" s="99"/>
      <c r="W2422" s="105"/>
      <c r="X2422" s="105"/>
      <c r="Y2422" s="105"/>
      <c r="Z2422" s="105"/>
      <c r="AA2422" s="105"/>
      <c r="AB2422" s="105"/>
      <c r="AC2422" s="105"/>
      <c r="AD2422" s="105"/>
      <c r="AE2422" s="105"/>
      <c r="AF2422" s="105"/>
      <c r="AG2422" s="105">
        <f>IF($AG$2231&gt;0,'Assumptions (Petroleum)'!V237*Model!$AG$2231*AVERAGE('Assumptions (Petroleum)'!$AC$2:$AE$2)/10^9,0)</f>
        <v>0</v>
      </c>
      <c r="AH2422" s="105">
        <f>IF($AG$2231&gt;0,'Assumptions (Petroleum)'!W237*Model!$AG$2231*AVERAGE('Assumptions (Petroleum)'!$AC$2:$AE$2)/10^9,0)</f>
        <v>0</v>
      </c>
      <c r="AI2422" s="105">
        <f>IF($AG$2231&gt;0,'Assumptions (Petroleum)'!X237*Model!$AG$2231*AVERAGE('Assumptions (Petroleum)'!$AC$2:$AE$2)/10^9,0)</f>
        <v>0</v>
      </c>
      <c r="AJ2422" s="105">
        <f>IF($AG$2231&gt;0,'Assumptions (Petroleum)'!Y237*Model!$AG$2231*AVERAGE('Assumptions (Petroleum)'!$AC$2:$AE$2)/10^9,0)</f>
        <v>0</v>
      </c>
      <c r="AK2422" s="105">
        <f>IF($AG$2231&gt;0,'Assumptions (Petroleum)'!Z237*Model!$AG$2231*AVERAGE('Assumptions (Petroleum)'!$AC$2:$AE$2)/10^9,0)</f>
        <v>0</v>
      </c>
      <c r="AL2422" s="105">
        <f>IF($AG$2231&gt;0,'Assumptions (Petroleum)'!AA237*Model!$AG$2231*AVERAGE('Assumptions (Petroleum)'!$AC$2:$AE$2)/10^9,0)</f>
        <v>0</v>
      </c>
      <c r="AM2422" s="105">
        <f>IF($AG$2231&gt;0,'Assumptions (Petroleum)'!AB237*Model!$AG$2231*AVERAGE('Assumptions (Petroleum)'!$AC$2:$AE$2)/10^9,0)</f>
        <v>0</v>
      </c>
      <c r="AN2422" s="105">
        <f>IF($AG$2231&gt;0,'Assumptions (Petroleum)'!AC237*Model!$AG$2231*AVERAGE('Assumptions (Petroleum)'!$AC$2:$AE$2)/10^9,0)</f>
        <v>0</v>
      </c>
      <c r="AO2422" s="105">
        <f>IF($AG$2231&gt;0,'Assumptions (Petroleum)'!AD237*Model!$AG$2231*AVERAGE('Assumptions (Petroleum)'!$AC$2:$AE$2)/10^9,0)</f>
        <v>0</v>
      </c>
      <c r="AP2422" s="105">
        <f>IF($AG$2231&gt;0,'Assumptions (Petroleum)'!AE237*Model!$AG$2231*AVERAGE('Assumptions (Petroleum)'!$AC$2:$AE$2)/10^9,0)</f>
        <v>0</v>
      </c>
      <c r="AQ2422" s="105">
        <f>IF($AG$2231&gt;0,'Assumptions (Petroleum)'!AF237*Model!$AG$2231*AVERAGE('Assumptions (Petroleum)'!$AC$2:$AE$2)/10^9,0)</f>
        <v>0</v>
      </c>
      <c r="AR2422" s="105">
        <f>IF($AG$2231&gt;0,'Assumptions (Petroleum)'!AG237*Model!$AG$2231*AVERAGE('Assumptions (Petroleum)'!$AC$2:$AE$2)/10^9,0)</f>
        <v>0</v>
      </c>
      <c r="AS2422" s="105">
        <f>IF($AG$2231&gt;0,'Assumptions (Petroleum)'!AH237*Model!$AG$2231*AVERAGE('Assumptions (Petroleum)'!$AC$2:$AE$2)/10^9,0)</f>
        <v>0</v>
      </c>
      <c r="AT2422" s="105">
        <f>IF($AG$2231&gt;0,'Assumptions (Petroleum)'!AI237*Model!$AG$2231*AVERAGE('Assumptions (Petroleum)'!$AC$2:$AE$2)/10^9,0)</f>
        <v>0</v>
      </c>
      <c r="AU2422" s="105">
        <f>IF($AG$2231&gt;0,'Assumptions (Petroleum)'!AJ237*Model!$AG$2231*AVERAGE('Assumptions (Petroleum)'!$AC$2:$AE$2)/10^9,0)</f>
        <v>0</v>
      </c>
      <c r="AV2422" s="105">
        <f>IF($AG$2231&gt;0,'Assumptions (Petroleum)'!AK237*Model!$AG$2231*AVERAGE('Assumptions (Petroleum)'!$AC$2:$AE$2)/10^9,0)</f>
        <v>0</v>
      </c>
      <c r="AW2422" s="105"/>
      <c r="AX2422" s="105"/>
      <c r="AY2422" s="105"/>
      <c r="AZ2422" s="105"/>
      <c r="BA2422" s="105"/>
      <c r="BB2422" s="105"/>
      <c r="BC2422" s="105"/>
      <c r="BD2422" s="105"/>
      <c r="BE2422" s="105"/>
    </row>
    <row r="2423" spans="1:67" ht="15.75" hidden="1" customHeight="1" outlineLevel="1">
      <c r="A2423" s="447"/>
      <c r="B2423" s="99"/>
      <c r="C2423" s="99"/>
      <c r="D2423" s="99"/>
      <c r="E2423" s="99"/>
      <c r="F2423" s="99"/>
      <c r="G2423" s="99"/>
      <c r="H2423" s="99"/>
      <c r="I2423" s="99"/>
      <c r="J2423" s="99"/>
      <c r="K2423" s="99"/>
      <c r="L2423" s="99"/>
      <c r="M2423" s="99"/>
      <c r="N2423" s="99"/>
      <c r="O2423" s="99"/>
      <c r="P2423" s="99"/>
      <c r="Q2423" s="99"/>
      <c r="R2423" s="99"/>
      <c r="S2423" s="99"/>
      <c r="T2423" s="99"/>
      <c r="U2423" s="99"/>
      <c r="V2423" s="99"/>
      <c r="W2423" s="105"/>
      <c r="X2423" s="105"/>
      <c r="Y2423" s="105"/>
      <c r="Z2423" s="105"/>
      <c r="AA2423" s="105"/>
      <c r="AB2423" s="105"/>
      <c r="AC2423" s="105"/>
      <c r="AD2423" s="105"/>
      <c r="AE2423" s="105"/>
      <c r="AF2423" s="105"/>
      <c r="AG2423" s="105"/>
      <c r="AH2423" s="105">
        <f>IF($AH$2231&gt;0,'Assumptions (Petroleum)'!V237*Model!$AH$2231*AVERAGE('Assumptions (Petroleum)'!$AD$2:$AF$2)/10^9,0)</f>
        <v>0</v>
      </c>
      <c r="AI2423" s="105">
        <f>IF($AH$2231&gt;0,'Assumptions (Petroleum)'!W237*Model!$AH$2231*AVERAGE('Assumptions (Petroleum)'!$AD$2:$AF$2)/10^9,0)</f>
        <v>0</v>
      </c>
      <c r="AJ2423" s="105">
        <f>IF($AH$2231&gt;0,'Assumptions (Petroleum)'!X237*Model!$AH$2231*AVERAGE('Assumptions (Petroleum)'!$AD$2:$AF$2)/10^9,0)</f>
        <v>0</v>
      </c>
      <c r="AK2423" s="105">
        <f>IF($AH$2231&gt;0,'Assumptions (Petroleum)'!Y237*Model!$AH$2231*AVERAGE('Assumptions (Petroleum)'!$AD$2:$AF$2)/10^9,0)</f>
        <v>0</v>
      </c>
      <c r="AL2423" s="105">
        <f>IF($AH$2231&gt;0,'Assumptions (Petroleum)'!Z237*Model!$AH$2231*AVERAGE('Assumptions (Petroleum)'!$AD$2:$AF$2)/10^9,0)</f>
        <v>0</v>
      </c>
      <c r="AM2423" s="105">
        <f>IF($AH$2231&gt;0,'Assumptions (Petroleum)'!AA237*Model!$AH$2231*AVERAGE('Assumptions (Petroleum)'!$AD$2:$AF$2)/10^9,0)</f>
        <v>0</v>
      </c>
      <c r="AN2423" s="105">
        <f>IF($AH$2231&gt;0,'Assumptions (Petroleum)'!AB237*Model!$AH$2231*AVERAGE('Assumptions (Petroleum)'!$AD$2:$AF$2)/10^9,0)</f>
        <v>0</v>
      </c>
      <c r="AO2423" s="105">
        <f>IF($AH$2231&gt;0,'Assumptions (Petroleum)'!AC237*Model!$AH$2231*AVERAGE('Assumptions (Petroleum)'!$AD$2:$AF$2)/10^9,0)</f>
        <v>0</v>
      </c>
      <c r="AP2423" s="105">
        <f>IF($AH$2231&gt;0,'Assumptions (Petroleum)'!AD237*Model!$AH$2231*AVERAGE('Assumptions (Petroleum)'!$AD$2:$AF$2)/10^9,0)</f>
        <v>0</v>
      </c>
      <c r="AQ2423" s="105">
        <f>IF($AH$2231&gt;0,'Assumptions (Petroleum)'!AE237*Model!$AH$2231*AVERAGE('Assumptions (Petroleum)'!$AD$2:$AF$2)/10^9,0)</f>
        <v>0</v>
      </c>
      <c r="AR2423" s="105">
        <f>IF($AH$2231&gt;0,'Assumptions (Petroleum)'!AF237*Model!$AH$2231*AVERAGE('Assumptions (Petroleum)'!$AD$2:$AF$2)/10^9,0)</f>
        <v>0</v>
      </c>
      <c r="AS2423" s="105">
        <f>IF($AH$2231&gt;0,'Assumptions (Petroleum)'!AG237*Model!$AH$2231*AVERAGE('Assumptions (Petroleum)'!$AD$2:$AF$2)/10^9,0)</f>
        <v>0</v>
      </c>
      <c r="AT2423" s="105">
        <f>IF($AH$2231&gt;0,'Assumptions (Petroleum)'!AH237*Model!$AH$2231*AVERAGE('Assumptions (Petroleum)'!$AD$2:$AF$2)/10^9,0)</f>
        <v>0</v>
      </c>
      <c r="AU2423" s="105">
        <f>IF($AH$2231&gt;0,'Assumptions (Petroleum)'!AI237*Model!$AH$2231*AVERAGE('Assumptions (Petroleum)'!$AD$2:$AF$2)/10^9,0)</f>
        <v>0</v>
      </c>
      <c r="AV2423" s="105">
        <f>IF($AH$2231&gt;0,'Assumptions (Petroleum)'!AJ237*Model!$AH$2231*AVERAGE('Assumptions (Petroleum)'!$AD$2:$AF$2)/10^9,0)</f>
        <v>0</v>
      </c>
      <c r="AW2423" s="105">
        <f>IF($AH$2231&gt;0,'Assumptions (Petroleum)'!AK237*Model!$AH$2231*AVERAGE('Assumptions (Petroleum)'!$AD$2:$AF$2)/10^9,0)</f>
        <v>0</v>
      </c>
      <c r="AX2423" s="105"/>
      <c r="AY2423" s="105"/>
      <c r="AZ2423" s="105"/>
      <c r="BA2423" s="105"/>
      <c r="BB2423" s="105"/>
      <c r="BC2423" s="105"/>
      <c r="BD2423" s="105"/>
      <c r="BE2423" s="105"/>
      <c r="BF2423" s="105"/>
    </row>
    <row r="2424" spans="1:67" ht="15.75" hidden="1" customHeight="1" outlineLevel="1">
      <c r="A2424" s="447"/>
      <c r="B2424" s="99"/>
      <c r="C2424" s="99"/>
      <c r="D2424" s="99"/>
      <c r="E2424" s="99"/>
      <c r="F2424" s="99"/>
      <c r="G2424" s="99"/>
      <c r="H2424" s="99"/>
      <c r="I2424" s="99"/>
      <c r="J2424" s="99"/>
      <c r="K2424" s="99"/>
      <c r="L2424" s="99"/>
      <c r="M2424" s="99"/>
      <c r="N2424" s="99"/>
      <c r="O2424" s="99"/>
      <c r="P2424" s="99"/>
      <c r="Q2424" s="99"/>
      <c r="R2424" s="99"/>
      <c r="S2424" s="99"/>
      <c r="T2424" s="99"/>
      <c r="U2424" s="99"/>
      <c r="V2424" s="99"/>
      <c r="W2424" s="105"/>
      <c r="X2424" s="105"/>
      <c r="Y2424" s="105"/>
      <c r="Z2424" s="105"/>
      <c r="AA2424" s="105"/>
      <c r="AB2424" s="105"/>
      <c r="AC2424" s="105"/>
      <c r="AD2424" s="105"/>
      <c r="AE2424" s="105"/>
      <c r="AF2424" s="105"/>
      <c r="AG2424" s="105"/>
      <c r="AH2424" s="105"/>
      <c r="AI2424" s="105">
        <f>IF($AI$2231&gt;0,'Assumptions (Petroleum)'!V237*Model!$AI$2231*AVERAGE('Assumptions (Petroleum)'!$AE$2:$AG$2)/10^9,0)</f>
        <v>0</v>
      </c>
      <c r="AJ2424" s="105">
        <f>IF($AI$2231&gt;0,'Assumptions (Petroleum)'!W237*Model!$AI$2231*AVERAGE('Assumptions (Petroleum)'!$AE$2:$AG$2)/10^9,0)</f>
        <v>0</v>
      </c>
      <c r="AK2424" s="105">
        <f>IF($AI$2231&gt;0,'Assumptions (Petroleum)'!X237*Model!$AI$2231*AVERAGE('Assumptions (Petroleum)'!$AE$2:$AG$2)/10^9,0)</f>
        <v>0</v>
      </c>
      <c r="AL2424" s="105">
        <f>IF($AI$2231&gt;0,'Assumptions (Petroleum)'!Y237*Model!$AI$2231*AVERAGE('Assumptions (Petroleum)'!$AE$2:$AG$2)/10^9,0)</f>
        <v>0</v>
      </c>
      <c r="AM2424" s="105">
        <f>IF($AI$2231&gt;0,'Assumptions (Petroleum)'!Z237*Model!$AI$2231*AVERAGE('Assumptions (Petroleum)'!$AE$2:$AG$2)/10^9,0)</f>
        <v>0</v>
      </c>
      <c r="AN2424" s="105">
        <f>IF($AI$2231&gt;0,'Assumptions (Petroleum)'!AA237*Model!$AI$2231*AVERAGE('Assumptions (Petroleum)'!$AE$2:$AG$2)/10^9,0)</f>
        <v>0</v>
      </c>
      <c r="AO2424" s="105">
        <f>IF($AI$2231&gt;0,'Assumptions (Petroleum)'!AB237*Model!$AI$2231*AVERAGE('Assumptions (Petroleum)'!$AE$2:$AG$2)/10^9,0)</f>
        <v>0</v>
      </c>
      <c r="AP2424" s="105">
        <f>IF($AI$2231&gt;0,'Assumptions (Petroleum)'!AC237*Model!$AI$2231*AVERAGE('Assumptions (Petroleum)'!$AE$2:$AG$2)/10^9,0)</f>
        <v>0</v>
      </c>
      <c r="AQ2424" s="105">
        <f>IF($AI$2231&gt;0,'Assumptions (Petroleum)'!AD237*Model!$AI$2231*AVERAGE('Assumptions (Petroleum)'!$AE$2:$AG$2)/10^9,0)</f>
        <v>0</v>
      </c>
      <c r="AR2424" s="105">
        <f>IF($AI$2231&gt;0,'Assumptions (Petroleum)'!AE237*Model!$AI$2231*AVERAGE('Assumptions (Petroleum)'!$AE$2:$AG$2)/10^9,0)</f>
        <v>0</v>
      </c>
      <c r="AS2424" s="105">
        <f>IF($AI$2231&gt;0,'Assumptions (Petroleum)'!AF237*Model!$AI$2231*AVERAGE('Assumptions (Petroleum)'!$AE$2:$AG$2)/10^9,0)</f>
        <v>0</v>
      </c>
      <c r="AT2424" s="105">
        <f>IF($AI$2231&gt;0,'Assumptions (Petroleum)'!AG237*Model!$AI$2231*AVERAGE('Assumptions (Petroleum)'!$AE$2:$AG$2)/10^9,0)</f>
        <v>0</v>
      </c>
      <c r="AU2424" s="105">
        <f>IF($AI$2231&gt;0,'Assumptions (Petroleum)'!AH237*Model!$AI$2231*AVERAGE('Assumptions (Petroleum)'!$AE$2:$AG$2)/10^9,0)</f>
        <v>0</v>
      </c>
      <c r="AV2424" s="105">
        <f>IF($AI$2231&gt;0,'Assumptions (Petroleum)'!AI237*Model!$AI$2231*AVERAGE('Assumptions (Petroleum)'!$AE$2:$AG$2)/10^9,0)</f>
        <v>0</v>
      </c>
      <c r="AW2424" s="105">
        <f>IF($AI$2231&gt;0,'Assumptions (Petroleum)'!AJ237*Model!$AI$2231*AVERAGE('Assumptions (Petroleum)'!$AE$2:$AG$2)/10^9,0)</f>
        <v>0</v>
      </c>
      <c r="AX2424" s="105">
        <f>IF($AI$2231&gt;0,'Assumptions (Petroleum)'!AK237*Model!$AI$2231*AVERAGE('Assumptions (Petroleum)'!$AE$2:$AG$2)/10^9,0)</f>
        <v>0</v>
      </c>
      <c r="AY2424" s="105"/>
      <c r="AZ2424" s="105"/>
      <c r="BA2424" s="105"/>
      <c r="BB2424" s="105"/>
      <c r="BC2424" s="105"/>
      <c r="BD2424" s="105"/>
      <c r="BE2424" s="105"/>
      <c r="BF2424" s="105"/>
      <c r="BG2424" s="105"/>
    </row>
    <row r="2425" spans="1:67" ht="15.75" hidden="1" customHeight="1" outlineLevel="1">
      <c r="A2425" s="447"/>
      <c r="B2425" s="99"/>
      <c r="C2425" s="99"/>
      <c r="D2425" s="99"/>
      <c r="E2425" s="99"/>
      <c r="F2425" s="99"/>
      <c r="G2425" s="99"/>
      <c r="H2425" s="99"/>
      <c r="I2425" s="99"/>
      <c r="J2425" s="99"/>
      <c r="K2425" s="99"/>
      <c r="L2425" s="99"/>
      <c r="M2425" s="99"/>
      <c r="N2425" s="99"/>
      <c r="O2425" s="99"/>
      <c r="P2425" s="99"/>
      <c r="Q2425" s="99"/>
      <c r="R2425" s="99"/>
      <c r="S2425" s="99"/>
      <c r="T2425" s="99"/>
      <c r="U2425" s="99"/>
      <c r="V2425" s="99"/>
      <c r="W2425" s="105"/>
      <c r="X2425" s="105"/>
      <c r="Y2425" s="105"/>
      <c r="Z2425" s="105"/>
      <c r="AA2425" s="105"/>
      <c r="AB2425" s="91"/>
      <c r="AC2425" s="105"/>
      <c r="AD2425" s="105"/>
      <c r="AE2425" s="105"/>
      <c r="AF2425" s="105"/>
      <c r="AG2425" s="105"/>
      <c r="AH2425" s="105"/>
      <c r="AI2425" s="105"/>
      <c r="AJ2425" s="91">
        <f>IF($AJ$2231&gt;0,'Assumptions (Petroleum)'!V237*Model!$AJ$2231*AVERAGE('Assumptions (Petroleum)'!$AF$2:$AH$2)/10^9,0)</f>
        <v>0</v>
      </c>
      <c r="AK2425" s="91">
        <f>IF($AJ$2231&gt;0,'Assumptions (Petroleum)'!W237*Model!$AJ$2231*AVERAGE('Assumptions (Petroleum)'!$AF$2:$AH$2)/10^9,0)</f>
        <v>0</v>
      </c>
      <c r="AL2425" s="91">
        <f>IF($AJ$2231&gt;0,'Assumptions (Petroleum)'!X237*Model!$AJ$2231*AVERAGE('Assumptions (Petroleum)'!$AF$2:$AH$2)/10^9,0)</f>
        <v>0</v>
      </c>
      <c r="AM2425" s="91">
        <f>IF($AJ$2231&gt;0,'Assumptions (Petroleum)'!Y237*Model!$AJ$2231*AVERAGE('Assumptions (Petroleum)'!$AF$2:$AH$2)/10^9,0)</f>
        <v>0</v>
      </c>
      <c r="AN2425" s="91">
        <f>IF($AJ$2231&gt;0,'Assumptions (Petroleum)'!Z237*Model!$AJ$2231*AVERAGE('Assumptions (Petroleum)'!$AF$2:$AH$2)/10^9,0)</f>
        <v>0</v>
      </c>
      <c r="AO2425" s="91">
        <f>IF($AJ$2231&gt;0,'Assumptions (Petroleum)'!AA237*Model!$AJ$2231*AVERAGE('Assumptions (Petroleum)'!$AF$2:$AH$2)/10^9,0)</f>
        <v>0</v>
      </c>
      <c r="AP2425" s="91">
        <f>IF($AJ$2231&gt;0,'Assumptions (Petroleum)'!AB237*Model!$AJ$2231*AVERAGE('Assumptions (Petroleum)'!$AF$2:$AH$2)/10^9,0)</f>
        <v>0</v>
      </c>
      <c r="AQ2425" s="91">
        <f>IF($AJ$2231&gt;0,'Assumptions (Petroleum)'!AC237*Model!$AJ$2231*AVERAGE('Assumptions (Petroleum)'!$AF$2:$AH$2)/10^9,0)</f>
        <v>0</v>
      </c>
      <c r="AR2425" s="91">
        <f>IF($AJ$2231&gt;0,'Assumptions (Petroleum)'!AD237*Model!$AJ$2231*AVERAGE('Assumptions (Petroleum)'!$AF$2:$AH$2)/10^9,0)</f>
        <v>0</v>
      </c>
      <c r="AS2425" s="91">
        <f>IF($AJ$2231&gt;0,'Assumptions (Petroleum)'!AE237*Model!$AJ$2231*AVERAGE('Assumptions (Petroleum)'!$AF$2:$AH$2)/10^9,0)</f>
        <v>0</v>
      </c>
      <c r="AT2425" s="91">
        <f>IF($AJ$2231&gt;0,'Assumptions (Petroleum)'!AF237*Model!$AJ$2231*AVERAGE('Assumptions (Petroleum)'!$AF$2:$AH$2)/10^9,0)</f>
        <v>0</v>
      </c>
      <c r="AU2425" s="91">
        <f>IF($AJ$2231&gt;0,'Assumptions (Petroleum)'!AG237*Model!$AJ$2231*AVERAGE('Assumptions (Petroleum)'!$AF$2:$AH$2)/10^9,0)</f>
        <v>0</v>
      </c>
      <c r="AV2425" s="91">
        <f>IF($AJ$2231&gt;0,'Assumptions (Petroleum)'!AH237*Model!$AJ$2231*AVERAGE('Assumptions (Petroleum)'!$AF$2:$AH$2)/10^9,0)</f>
        <v>0</v>
      </c>
      <c r="AW2425" s="91">
        <f>IF($AJ$2231&gt;0,'Assumptions (Petroleum)'!AI237*Model!$AJ$2231*AVERAGE('Assumptions (Petroleum)'!$AF$2:$AH$2)/10^9,0)</f>
        <v>0</v>
      </c>
      <c r="AX2425" s="91">
        <f>IF($AJ$2231&gt;0,'Assumptions (Petroleum)'!AJ237*Model!$AJ$2231*AVERAGE('Assumptions (Petroleum)'!$AF$2:$AH$2)/10^9,0)</f>
        <v>0</v>
      </c>
      <c r="AY2425" s="91">
        <f>IF($AJ$2231&gt;0,'Assumptions (Petroleum)'!AK237*Model!$AJ$2231*AVERAGE('Assumptions (Petroleum)'!$AF$2:$AH$2)/10^9,0)</f>
        <v>0</v>
      </c>
      <c r="AZ2425" s="91"/>
      <c r="BA2425" s="91"/>
      <c r="BB2425" s="91"/>
      <c r="BC2425" s="91"/>
      <c r="BD2425" s="91"/>
      <c r="BE2425" s="91"/>
      <c r="BF2425" s="91"/>
      <c r="BG2425" s="91"/>
      <c r="BH2425" s="91"/>
    </row>
    <row r="2426" spans="1:67" ht="15.75" hidden="1" customHeight="1" outlineLevel="1">
      <c r="A2426" s="447"/>
      <c r="B2426" s="99"/>
      <c r="C2426" s="99"/>
      <c r="D2426" s="99"/>
      <c r="E2426" s="99"/>
      <c r="F2426" s="99"/>
      <c r="G2426" s="99"/>
      <c r="H2426" s="99"/>
      <c r="I2426" s="99"/>
      <c r="J2426" s="99"/>
      <c r="K2426" s="99"/>
      <c r="L2426" s="99"/>
      <c r="M2426" s="99"/>
      <c r="N2426" s="99"/>
      <c r="O2426" s="99"/>
      <c r="P2426" s="99"/>
      <c r="Q2426" s="99"/>
      <c r="R2426" s="99"/>
      <c r="S2426" s="99"/>
      <c r="T2426" s="99"/>
      <c r="U2426" s="99"/>
      <c r="V2426" s="99"/>
      <c r="W2426" s="105"/>
      <c r="X2426" s="105"/>
      <c r="Y2426" s="105"/>
      <c r="Z2426" s="105"/>
      <c r="AA2426" s="105"/>
      <c r="AB2426" s="105"/>
      <c r="AC2426" s="105"/>
      <c r="AD2426" s="105"/>
      <c r="AE2426" s="105"/>
      <c r="AF2426" s="105"/>
      <c r="AG2426" s="105"/>
      <c r="AH2426" s="105"/>
      <c r="AI2426" s="105"/>
      <c r="AJ2426" s="171"/>
      <c r="AK2426" s="91">
        <f>IF($AK$2231&gt;0,'Assumptions (Petroleum)'!V237*Model!$AK$2231*AVERAGE('Assumptions (Petroleum)'!$AG$2:$AI$2)/10^9,0)</f>
        <v>0</v>
      </c>
      <c r="AL2426" s="91">
        <f>IF($AK$2231&gt;0,'Assumptions (Petroleum)'!W237*Model!$AK$2231*AVERAGE('Assumptions (Petroleum)'!$AG$2:$AI$2)/10^9,0)</f>
        <v>0</v>
      </c>
      <c r="AM2426" s="91">
        <f>IF($AK$2231&gt;0,'Assumptions (Petroleum)'!X237*Model!$AK$2231*AVERAGE('Assumptions (Petroleum)'!$AG$2:$AI$2)/10^9,0)</f>
        <v>0</v>
      </c>
      <c r="AN2426" s="91">
        <f>IF($AK$2231&gt;0,'Assumptions (Petroleum)'!Y237*Model!$AK$2231*AVERAGE('Assumptions (Petroleum)'!$AG$2:$AI$2)/10^9,0)</f>
        <v>0</v>
      </c>
      <c r="AO2426" s="91">
        <f>IF($AK$2231&gt;0,'Assumptions (Petroleum)'!Z237*Model!$AK$2231*AVERAGE('Assumptions (Petroleum)'!$AG$2:$AI$2)/10^9,0)</f>
        <v>0</v>
      </c>
      <c r="AP2426" s="91">
        <f>IF($AK$2231&gt;0,'Assumptions (Petroleum)'!AA237*Model!$AK$2231*AVERAGE('Assumptions (Petroleum)'!$AG$2:$AI$2)/10^9,0)</f>
        <v>0</v>
      </c>
      <c r="AQ2426" s="91">
        <f>IF($AK$2231&gt;0,'Assumptions (Petroleum)'!AB237*Model!$AK$2231*AVERAGE('Assumptions (Petroleum)'!$AG$2:$AI$2)/10^9,0)</f>
        <v>0</v>
      </c>
      <c r="AR2426" s="91">
        <f>IF($AK$2231&gt;0,'Assumptions (Petroleum)'!AC237*Model!$AK$2231*AVERAGE('Assumptions (Petroleum)'!$AG$2:$AI$2)/10^9,0)</f>
        <v>0</v>
      </c>
      <c r="AS2426" s="91">
        <f>IF($AK$2231&gt;0,'Assumptions (Petroleum)'!AD237*Model!$AK$2231*AVERAGE('Assumptions (Petroleum)'!$AG$2:$AI$2)/10^9,0)</f>
        <v>0</v>
      </c>
      <c r="AT2426" s="91">
        <f>IF($AK$2231&gt;0,'Assumptions (Petroleum)'!AE237*Model!$AK$2231*AVERAGE('Assumptions (Petroleum)'!$AG$2:$AI$2)/10^9,0)</f>
        <v>0</v>
      </c>
      <c r="AU2426" s="91">
        <f>IF($AK$2231&gt;0,'Assumptions (Petroleum)'!AF237*Model!$AK$2231*AVERAGE('Assumptions (Petroleum)'!$AG$2:$AI$2)/10^9,0)</f>
        <v>0</v>
      </c>
      <c r="AV2426" s="91">
        <f>IF($AK$2231&gt;0,'Assumptions (Petroleum)'!AG237*Model!$AK$2231*AVERAGE('Assumptions (Petroleum)'!$AG$2:$AI$2)/10^9,0)</f>
        <v>0</v>
      </c>
      <c r="AW2426" s="91">
        <f>IF($AK$2231&gt;0,'Assumptions (Petroleum)'!AH237*Model!$AK$2231*AVERAGE('Assumptions (Petroleum)'!$AG$2:$AI$2)/10^9,0)</f>
        <v>0</v>
      </c>
      <c r="AX2426" s="91">
        <f>IF($AK$2231&gt;0,'Assumptions (Petroleum)'!AI237*Model!$AK$2231*AVERAGE('Assumptions (Petroleum)'!$AG$2:$AI$2)/10^9,0)</f>
        <v>0</v>
      </c>
      <c r="AY2426" s="91">
        <f>IF($AK$2231&gt;0,'Assumptions (Petroleum)'!AJ237*Model!$AK$2231*AVERAGE('Assumptions (Petroleum)'!$AG$2:$AI$2)/10^9,0)</f>
        <v>0</v>
      </c>
      <c r="AZ2426" s="91">
        <f>IF($AK$2231&gt;0,'Assumptions (Petroleum)'!AK237*Model!$AK$2231*AVERAGE('Assumptions (Petroleum)'!$AG$2:$AI$2)/10^9,0)</f>
        <v>0</v>
      </c>
      <c r="BA2426" s="91"/>
      <c r="BB2426" s="91"/>
      <c r="BC2426" s="91"/>
      <c r="BD2426" s="91"/>
      <c r="BE2426" s="91"/>
      <c r="BF2426" s="91"/>
      <c r="BG2426" s="91"/>
      <c r="BH2426" s="91"/>
      <c r="BI2426" s="91"/>
    </row>
    <row r="2427" spans="1:67" ht="15.75" hidden="1" customHeight="1" outlineLevel="1">
      <c r="A2427" s="447"/>
      <c r="B2427" s="99"/>
      <c r="C2427" s="99"/>
      <c r="D2427" s="99"/>
      <c r="E2427" s="99"/>
      <c r="F2427" s="99"/>
      <c r="G2427" s="99"/>
      <c r="H2427" s="99"/>
      <c r="I2427" s="99"/>
      <c r="J2427" s="99"/>
      <c r="K2427" s="99"/>
      <c r="L2427" s="99"/>
      <c r="M2427" s="99"/>
      <c r="N2427" s="99"/>
      <c r="O2427" s="99"/>
      <c r="P2427" s="99"/>
      <c r="Q2427" s="99"/>
      <c r="R2427" s="99"/>
      <c r="S2427" s="99"/>
      <c r="T2427" s="99"/>
      <c r="U2427" s="99"/>
      <c r="V2427" s="99"/>
      <c r="W2427" s="105"/>
      <c r="X2427" s="105"/>
      <c r="Y2427" s="105"/>
      <c r="Z2427" s="105"/>
      <c r="AA2427" s="105"/>
      <c r="AB2427" s="105"/>
      <c r="AC2427" s="105"/>
      <c r="AD2427" s="105"/>
      <c r="AE2427" s="105"/>
      <c r="AF2427" s="105"/>
      <c r="AG2427" s="105"/>
      <c r="AH2427" s="105"/>
      <c r="AI2427" s="105"/>
      <c r="AJ2427" s="171"/>
      <c r="AK2427" s="105"/>
      <c r="AL2427" s="91">
        <f>IF($AL$2231&gt;0,'Assumptions (Petroleum)'!V237*Model!$AL$2231*AVERAGE('Assumptions (Petroleum)'!$AH$2:$AJ$2)/10^9,0)</f>
        <v>0</v>
      </c>
      <c r="AM2427" s="91">
        <f>IF($AL$2231&gt;0,'Assumptions (Petroleum)'!W237*Model!$AL$2231*AVERAGE('Assumptions (Petroleum)'!$AH$2:$AJ$2)/10^9,0)</f>
        <v>0</v>
      </c>
      <c r="AN2427" s="91">
        <f>IF($AL$2231&gt;0,'Assumptions (Petroleum)'!X237*Model!$AL$2231*AVERAGE('Assumptions (Petroleum)'!$AH$2:$AJ$2)/10^9,0)</f>
        <v>0</v>
      </c>
      <c r="AO2427" s="91">
        <f>IF($AL$2231&gt;0,'Assumptions (Petroleum)'!Y237*Model!$AL$2231*AVERAGE('Assumptions (Petroleum)'!$AH$2:$AJ$2)/10^9,0)</f>
        <v>0</v>
      </c>
      <c r="AP2427" s="91">
        <f>IF($AL$2231&gt;0,'Assumptions (Petroleum)'!Z237*Model!$AL$2231*AVERAGE('Assumptions (Petroleum)'!$AH$2:$AJ$2)/10^9,0)</f>
        <v>0</v>
      </c>
      <c r="AQ2427" s="91">
        <f>IF($AL$2231&gt;0,'Assumptions (Petroleum)'!AA237*Model!$AL$2231*AVERAGE('Assumptions (Petroleum)'!$AH$2:$AJ$2)/10^9,0)</f>
        <v>0</v>
      </c>
      <c r="AR2427" s="91">
        <f>IF($AL$2231&gt;0,'Assumptions (Petroleum)'!AB237*Model!$AL$2231*AVERAGE('Assumptions (Petroleum)'!$AH$2:$AJ$2)/10^9,0)</f>
        <v>0</v>
      </c>
      <c r="AS2427" s="91">
        <f>IF($AL$2231&gt;0,'Assumptions (Petroleum)'!AC237*Model!$AL$2231*AVERAGE('Assumptions (Petroleum)'!$AH$2:$AJ$2)/10^9,0)</f>
        <v>0</v>
      </c>
      <c r="AT2427" s="91">
        <f>IF($AL$2231&gt;0,'Assumptions (Petroleum)'!AD237*Model!$AL$2231*AVERAGE('Assumptions (Petroleum)'!$AH$2:$AJ$2)/10^9,0)</f>
        <v>0</v>
      </c>
      <c r="AU2427" s="91">
        <f>IF($AL$2231&gt;0,'Assumptions (Petroleum)'!AE237*Model!$AL$2231*AVERAGE('Assumptions (Petroleum)'!$AH$2:$AJ$2)/10^9,0)</f>
        <v>0</v>
      </c>
      <c r="AV2427" s="91">
        <f>IF($AL$2231&gt;0,'Assumptions (Petroleum)'!AF237*Model!$AL$2231*AVERAGE('Assumptions (Petroleum)'!$AH$2:$AJ$2)/10^9,0)</f>
        <v>0</v>
      </c>
      <c r="AW2427" s="91">
        <f>IF($AL$2231&gt;0,'Assumptions (Petroleum)'!AG237*Model!$AL$2231*AVERAGE('Assumptions (Petroleum)'!$AH$2:$AJ$2)/10^9,0)</f>
        <v>0</v>
      </c>
      <c r="AX2427" s="91">
        <f>IF($AL$2231&gt;0,'Assumptions (Petroleum)'!AH237*Model!$AL$2231*AVERAGE('Assumptions (Petroleum)'!$AH$2:$AJ$2)/10^9,0)</f>
        <v>0</v>
      </c>
      <c r="AY2427" s="91">
        <f>IF($AL$2231&gt;0,'Assumptions (Petroleum)'!AI237*Model!$AL$2231*AVERAGE('Assumptions (Petroleum)'!$AH$2:$AJ$2)/10^9,0)</f>
        <v>0</v>
      </c>
      <c r="AZ2427" s="91">
        <f>IF($AL$2231&gt;0,'Assumptions (Petroleum)'!AJ237*Model!$AL$2231*AVERAGE('Assumptions (Petroleum)'!$AH$2:$AJ$2)/10^9,0)</f>
        <v>0</v>
      </c>
      <c r="BA2427" s="91">
        <f>IF($AL$2231&gt;0,'Assumptions (Petroleum)'!AK237*Model!$AL$2231*AVERAGE('Assumptions (Petroleum)'!$AH$2:$AJ$2)/10^9,0)</f>
        <v>0</v>
      </c>
      <c r="BB2427" s="91"/>
      <c r="BC2427" s="91"/>
      <c r="BD2427" s="91"/>
      <c r="BE2427" s="91"/>
      <c r="BF2427" s="91"/>
      <c r="BG2427" s="91"/>
      <c r="BH2427" s="91"/>
      <c r="BI2427" s="91"/>
      <c r="BJ2427" s="91"/>
    </row>
    <row r="2428" spans="1:67" ht="15.75" hidden="1" customHeight="1" outlineLevel="1">
      <c r="A2428" s="447"/>
      <c r="B2428" s="99"/>
      <c r="C2428" s="99"/>
      <c r="D2428" s="99"/>
      <c r="E2428" s="99"/>
      <c r="F2428" s="99"/>
      <c r="G2428" s="99"/>
      <c r="H2428" s="99"/>
      <c r="I2428" s="99"/>
      <c r="J2428" s="99"/>
      <c r="K2428" s="99"/>
      <c r="L2428" s="99"/>
      <c r="M2428" s="99"/>
      <c r="N2428" s="99"/>
      <c r="O2428" s="99"/>
      <c r="P2428" s="99"/>
      <c r="Q2428" s="99"/>
      <c r="R2428" s="99"/>
      <c r="S2428" s="99"/>
      <c r="T2428" s="99"/>
      <c r="U2428" s="99"/>
      <c r="V2428" s="99"/>
      <c r="W2428" s="105"/>
      <c r="X2428" s="105"/>
      <c r="Y2428" s="105"/>
      <c r="Z2428" s="105"/>
      <c r="AA2428" s="105"/>
      <c r="AB2428" s="105"/>
      <c r="AC2428" s="105"/>
      <c r="AD2428" s="105"/>
      <c r="AE2428" s="105"/>
      <c r="AF2428" s="105"/>
      <c r="AG2428" s="105"/>
      <c r="AH2428" s="105"/>
      <c r="AI2428" s="105"/>
      <c r="AJ2428" s="171"/>
      <c r="AK2428" s="105"/>
      <c r="AL2428" s="91"/>
      <c r="AM2428" s="105">
        <f>IF($AM$2231&gt;0,'Assumptions (Petroleum)'!V237*Model!$AM$2231*AVERAGE('Assumptions (Petroleum)'!$AI$2:$AK$2)/10^9,0)</f>
        <v>0</v>
      </c>
      <c r="AN2428" s="105">
        <f>IF($AM$2231&gt;0,'Assumptions (Petroleum)'!W237*Model!$AM$2231*AVERAGE('Assumptions (Petroleum)'!$AI$2:$AK$2)/10^9,0)</f>
        <v>0</v>
      </c>
      <c r="AO2428" s="105">
        <f>IF($AM$2231&gt;0,'Assumptions (Petroleum)'!X237*Model!$AM$2231*AVERAGE('Assumptions (Petroleum)'!$AI$2:$AK$2)/10^9,0)</f>
        <v>0</v>
      </c>
      <c r="AP2428" s="105">
        <f>IF($AM$2231&gt;0,'Assumptions (Petroleum)'!Y237*Model!$AM$2231*AVERAGE('Assumptions (Petroleum)'!$AI$2:$AK$2)/10^9,0)</f>
        <v>0</v>
      </c>
      <c r="AQ2428" s="105">
        <f>IF($AM$2231&gt;0,'Assumptions (Petroleum)'!Z237*Model!$AM$2231*AVERAGE('Assumptions (Petroleum)'!$AI$2:$AK$2)/10^9,0)</f>
        <v>0</v>
      </c>
      <c r="AR2428" s="105">
        <f>IF($AM$2231&gt;0,'Assumptions (Petroleum)'!AA237*Model!$AM$2231*AVERAGE('Assumptions (Petroleum)'!$AI$2:$AK$2)/10^9,0)</f>
        <v>0</v>
      </c>
      <c r="AS2428" s="105">
        <f>IF($AM$2231&gt;0,'Assumptions (Petroleum)'!AB237*Model!$AM$2231*AVERAGE('Assumptions (Petroleum)'!$AI$2:$AK$2)/10^9,0)</f>
        <v>0</v>
      </c>
      <c r="AT2428" s="105">
        <f>IF($AM$2231&gt;0,'Assumptions (Petroleum)'!AC237*Model!$AM$2231*AVERAGE('Assumptions (Petroleum)'!$AI$2:$AK$2)/10^9,0)</f>
        <v>0</v>
      </c>
      <c r="AU2428" s="105">
        <f>IF($AM$2231&gt;0,'Assumptions (Petroleum)'!AD237*Model!$AM$2231*AVERAGE('Assumptions (Petroleum)'!$AI$2:$AK$2)/10^9,0)</f>
        <v>0</v>
      </c>
      <c r="AV2428" s="105">
        <f>IF($AM$2231&gt;0,'Assumptions (Petroleum)'!AE237*Model!$AM$2231*AVERAGE('Assumptions (Petroleum)'!$AI$2:$AK$2)/10^9,0)</f>
        <v>0</v>
      </c>
      <c r="AW2428" s="105">
        <f>IF($AM$2231&gt;0,'Assumptions (Petroleum)'!AF237*Model!$AM$2231*AVERAGE('Assumptions (Petroleum)'!$AI$2:$AK$2)/10^9,0)</f>
        <v>0</v>
      </c>
      <c r="AX2428" s="105">
        <f>IF($AM$2231&gt;0,'Assumptions (Petroleum)'!AG237*Model!$AM$2231*AVERAGE('Assumptions (Petroleum)'!$AI$2:$AK$2)/10^9,0)</f>
        <v>0</v>
      </c>
      <c r="AY2428" s="105">
        <f>IF($AM$2231&gt;0,'Assumptions (Petroleum)'!AH237*Model!$AM$2231*AVERAGE('Assumptions (Petroleum)'!$AI$2:$AK$2)/10^9,0)</f>
        <v>0</v>
      </c>
      <c r="AZ2428" s="105">
        <f>IF($AM$2231&gt;0,'Assumptions (Petroleum)'!AI237*Model!$AM$2231*AVERAGE('Assumptions (Petroleum)'!$AI$2:$AK$2)/10^9,0)</f>
        <v>0</v>
      </c>
      <c r="BA2428" s="105">
        <f>IF($AM$2231&gt;0,'Assumptions (Petroleum)'!AJ237*Model!$AM$2231*AVERAGE('Assumptions (Petroleum)'!$AI$2:$AK$2)/10^9,0)</f>
        <v>0</v>
      </c>
      <c r="BB2428" s="105">
        <f>IF($AM$2231&gt;0,'Assumptions (Petroleum)'!AK237*Model!$AM$2231*AVERAGE('Assumptions (Petroleum)'!$AI$2:$AK$2)/10^9,0)</f>
        <v>0</v>
      </c>
      <c r="BC2428" s="105"/>
      <c r="BD2428" s="105"/>
      <c r="BE2428" s="105"/>
      <c r="BF2428" s="105"/>
      <c r="BG2428" s="105"/>
      <c r="BH2428" s="105"/>
      <c r="BI2428" s="105"/>
      <c r="BJ2428" s="105"/>
      <c r="BK2428" s="105"/>
    </row>
    <row r="2429" spans="1:67" ht="15.75" hidden="1" customHeight="1" outlineLevel="1">
      <c r="A2429" s="447"/>
      <c r="B2429" s="99"/>
      <c r="C2429" s="99"/>
      <c r="D2429" s="99"/>
      <c r="E2429" s="99"/>
      <c r="F2429" s="99"/>
      <c r="G2429" s="99"/>
      <c r="H2429" s="99"/>
      <c r="I2429" s="99"/>
      <c r="J2429" s="99"/>
      <c r="K2429" s="99"/>
      <c r="L2429" s="99"/>
      <c r="M2429" s="99"/>
      <c r="N2429" s="99"/>
      <c r="O2429" s="99"/>
      <c r="P2429" s="99"/>
      <c r="Q2429" s="99"/>
      <c r="R2429" s="99"/>
      <c r="S2429" s="99"/>
      <c r="T2429" s="99"/>
      <c r="U2429" s="99"/>
      <c r="V2429" s="99"/>
      <c r="W2429" s="105"/>
      <c r="X2429" s="105"/>
      <c r="Y2429" s="105"/>
      <c r="Z2429" s="105"/>
      <c r="AA2429" s="105"/>
      <c r="AB2429" s="105"/>
      <c r="AC2429" s="105"/>
      <c r="AD2429" s="105"/>
      <c r="AE2429" s="105"/>
      <c r="AF2429" s="105"/>
      <c r="AG2429" s="105"/>
      <c r="AH2429" s="105"/>
      <c r="AI2429" s="105"/>
      <c r="AJ2429" s="171"/>
      <c r="AK2429" s="105"/>
      <c r="AL2429" s="91"/>
      <c r="AM2429" s="91"/>
      <c r="AN2429" s="105">
        <f>IF($AN$2231&gt;0,'Assumptions (Petroleum)'!V237*Model!$AN$2231*AVERAGE('Assumptions (Petroleum)'!$AJ$2:$AL$2)/10^9,0)</f>
        <v>0</v>
      </c>
      <c r="AO2429" s="105">
        <f>IF($AN$2231&gt;0,'Assumptions (Petroleum)'!W237*Model!$AN$2231*AVERAGE('Assumptions (Petroleum)'!$AJ$2:$AL$2)/10^9,0)</f>
        <v>0</v>
      </c>
      <c r="AP2429" s="105">
        <f>IF($AN$2231&gt;0,'Assumptions (Petroleum)'!X237*Model!$AN$2231*AVERAGE('Assumptions (Petroleum)'!$AJ$2:$AL$2)/10^9,0)</f>
        <v>0</v>
      </c>
      <c r="AQ2429" s="105">
        <f>IF($AN$2231&gt;0,'Assumptions (Petroleum)'!Y237*Model!$AN$2231*AVERAGE('Assumptions (Petroleum)'!$AJ$2:$AL$2)/10^9,0)</f>
        <v>0</v>
      </c>
      <c r="AR2429" s="105">
        <f>IF($AN$2231&gt;0,'Assumptions (Petroleum)'!Z237*Model!$AN$2231*AVERAGE('Assumptions (Petroleum)'!$AJ$2:$AL$2)/10^9,0)</f>
        <v>0</v>
      </c>
      <c r="AS2429" s="105">
        <f>IF($AN$2231&gt;0,'Assumptions (Petroleum)'!AA237*Model!$AN$2231*AVERAGE('Assumptions (Petroleum)'!$AJ$2:$AL$2)/10^9,0)</f>
        <v>0</v>
      </c>
      <c r="AT2429" s="105">
        <f>IF($AN$2231&gt;0,'Assumptions (Petroleum)'!AB237*Model!$AN$2231*AVERAGE('Assumptions (Petroleum)'!$AJ$2:$AL$2)/10^9,0)</f>
        <v>0</v>
      </c>
      <c r="AU2429" s="105">
        <f>IF($AN$2231&gt;0,'Assumptions (Petroleum)'!AC237*Model!$AN$2231*AVERAGE('Assumptions (Petroleum)'!$AJ$2:$AL$2)/10^9,0)</f>
        <v>0</v>
      </c>
      <c r="AV2429" s="105">
        <f>IF($AN$2231&gt;0,'Assumptions (Petroleum)'!AD237*Model!$AN$2231*AVERAGE('Assumptions (Petroleum)'!$AJ$2:$AL$2)/10^9,0)</f>
        <v>0</v>
      </c>
      <c r="AW2429" s="105">
        <f>IF($AN$2231&gt;0,'Assumptions (Petroleum)'!AE237*Model!$AN$2231*AVERAGE('Assumptions (Petroleum)'!$AJ$2:$AL$2)/10^9,0)</f>
        <v>0</v>
      </c>
      <c r="AX2429" s="105">
        <f>IF($AN$2231&gt;0,'Assumptions (Petroleum)'!AF237*Model!$AN$2231*AVERAGE('Assumptions (Petroleum)'!$AJ$2:$AL$2)/10^9,0)</f>
        <v>0</v>
      </c>
      <c r="AY2429" s="105">
        <f>IF($AN$2231&gt;0,'Assumptions (Petroleum)'!AG237*Model!$AN$2231*AVERAGE('Assumptions (Petroleum)'!$AJ$2:$AL$2)/10^9,0)</f>
        <v>0</v>
      </c>
      <c r="AZ2429" s="105">
        <f>IF($AN$2231&gt;0,'Assumptions (Petroleum)'!AH237*Model!$AN$2231*AVERAGE('Assumptions (Petroleum)'!$AJ$2:$AL$2)/10^9,0)</f>
        <v>0</v>
      </c>
      <c r="BA2429" s="105">
        <f>IF($AN$2231&gt;0,'Assumptions (Petroleum)'!AI237*Model!$AN$2231*AVERAGE('Assumptions (Petroleum)'!$AJ$2:$AL$2)/10^9,0)</f>
        <v>0</v>
      </c>
      <c r="BB2429" s="105">
        <f>IF($AN$2231&gt;0,'Assumptions (Petroleum)'!AJ237*Model!$AN$2231*AVERAGE('Assumptions (Petroleum)'!$AJ$2:$AL$2)/10^9,0)</f>
        <v>0</v>
      </c>
      <c r="BC2429" s="105">
        <f>IF($AN$2231&gt;0,'Assumptions (Petroleum)'!AK237*Model!$AN$2231*AVERAGE('Assumptions (Petroleum)'!$AJ$2:$AL$2)/10^9,0)</f>
        <v>0</v>
      </c>
      <c r="BD2429" s="105"/>
      <c r="BE2429" s="105"/>
      <c r="BF2429" s="105"/>
      <c r="BG2429" s="105"/>
      <c r="BH2429" s="105"/>
      <c r="BI2429" s="105"/>
      <c r="BJ2429" s="105"/>
      <c r="BK2429" s="105"/>
      <c r="BL2429" s="105"/>
    </row>
    <row r="2430" spans="1:67" ht="15.75" hidden="1" customHeight="1" outlineLevel="1">
      <c r="A2430" s="447"/>
      <c r="B2430" s="99"/>
      <c r="C2430" s="99"/>
      <c r="D2430" s="99"/>
      <c r="E2430" s="99"/>
      <c r="F2430" s="99"/>
      <c r="G2430" s="99"/>
      <c r="H2430" s="99"/>
      <c r="I2430" s="99"/>
      <c r="J2430" s="99"/>
      <c r="K2430" s="99"/>
      <c r="L2430" s="99"/>
      <c r="M2430" s="99"/>
      <c r="N2430" s="99"/>
      <c r="O2430" s="99"/>
      <c r="P2430" s="99"/>
      <c r="Q2430" s="99"/>
      <c r="R2430" s="99"/>
      <c r="S2430" s="99"/>
      <c r="T2430" s="99"/>
      <c r="U2430" s="99"/>
      <c r="V2430" s="99"/>
      <c r="W2430" s="105"/>
      <c r="X2430" s="105"/>
      <c r="Y2430" s="105"/>
      <c r="Z2430" s="105"/>
      <c r="AA2430" s="105"/>
      <c r="AB2430" s="105"/>
      <c r="AC2430" s="105"/>
      <c r="AD2430" s="105"/>
      <c r="AE2430" s="105"/>
      <c r="AF2430" s="105"/>
      <c r="AG2430" s="105"/>
      <c r="AH2430" s="105"/>
      <c r="AI2430" s="105"/>
      <c r="AJ2430" s="171"/>
      <c r="AK2430" s="105"/>
      <c r="AL2430" s="91"/>
      <c r="AM2430" s="91"/>
      <c r="AN2430" s="91"/>
      <c r="AO2430" s="105">
        <f>IF($AO$2231&gt;0,'Assumptions (Petroleum)'!V237*Model!$AO$2231*AVERAGE('Assumptions (Petroleum)'!$AK$2:$AM$2)/10^9,0)</f>
        <v>0</v>
      </c>
      <c r="AP2430" s="105">
        <f>IF($AO$2231&gt;0,'Assumptions (Petroleum)'!W237*Model!$AO$2231*AVERAGE('Assumptions (Petroleum)'!$AK$2:$AM$2)/10^9,0)</f>
        <v>0</v>
      </c>
      <c r="AQ2430" s="105">
        <f>IF($AO$2231&gt;0,'Assumptions (Petroleum)'!X237*Model!$AO$2231*AVERAGE('Assumptions (Petroleum)'!$AK$2:$AM$2)/10^9,0)</f>
        <v>0</v>
      </c>
      <c r="AR2430" s="105">
        <f>IF($AO$2231&gt;0,'Assumptions (Petroleum)'!Y237*Model!$AO$2231*AVERAGE('Assumptions (Petroleum)'!$AK$2:$AM$2)/10^9,0)</f>
        <v>0</v>
      </c>
      <c r="AS2430" s="105">
        <f>IF($AO$2231&gt;0,'Assumptions (Petroleum)'!Z237*Model!$AO$2231*AVERAGE('Assumptions (Petroleum)'!$AK$2:$AM$2)/10^9,0)</f>
        <v>0</v>
      </c>
      <c r="AT2430" s="105">
        <f>IF($AO$2231&gt;0,'Assumptions (Petroleum)'!AA237*Model!$AO$2231*AVERAGE('Assumptions (Petroleum)'!$AK$2:$AM$2)/10^9,0)</f>
        <v>0</v>
      </c>
      <c r="AU2430" s="105">
        <f>IF($AO$2231&gt;0,'Assumptions (Petroleum)'!AB237*Model!$AO$2231*AVERAGE('Assumptions (Petroleum)'!$AK$2:$AM$2)/10^9,0)</f>
        <v>0</v>
      </c>
      <c r="AV2430" s="105">
        <f>IF($AO$2231&gt;0,'Assumptions (Petroleum)'!AC237*Model!$AO$2231*AVERAGE('Assumptions (Petroleum)'!$AK$2:$AM$2)/10^9,0)</f>
        <v>0</v>
      </c>
      <c r="AW2430" s="105">
        <f>IF($AO$2231&gt;0,'Assumptions (Petroleum)'!AD237*Model!$AO$2231*AVERAGE('Assumptions (Petroleum)'!$AK$2:$AM$2)/10^9,0)</f>
        <v>0</v>
      </c>
      <c r="AX2430" s="105">
        <f>IF($AO$2231&gt;0,'Assumptions (Petroleum)'!AE237*Model!$AO$2231*AVERAGE('Assumptions (Petroleum)'!$AK$2:$AM$2)/10^9,0)</f>
        <v>0</v>
      </c>
      <c r="AY2430" s="105">
        <f>IF($AO$2231&gt;0,'Assumptions (Petroleum)'!AF237*Model!$AO$2231*AVERAGE('Assumptions (Petroleum)'!$AK$2:$AM$2)/10^9,0)</f>
        <v>0</v>
      </c>
      <c r="AZ2430" s="105">
        <f>IF($AO$2231&gt;0,'Assumptions (Petroleum)'!AG237*Model!$AO$2231*AVERAGE('Assumptions (Petroleum)'!$AK$2:$AM$2)/10^9,0)</f>
        <v>0</v>
      </c>
      <c r="BA2430" s="105">
        <f>IF($AO$2231&gt;0,'Assumptions (Petroleum)'!AH237*Model!$AO$2231*AVERAGE('Assumptions (Petroleum)'!$AK$2:$AM$2)/10^9,0)</f>
        <v>0</v>
      </c>
      <c r="BB2430" s="105">
        <f>IF($AO$2231&gt;0,'Assumptions (Petroleum)'!AI237*Model!$AO$2231*AVERAGE('Assumptions (Petroleum)'!$AK$2:$AM$2)/10^9,0)</f>
        <v>0</v>
      </c>
      <c r="BC2430" s="105">
        <f>IF($AO$2231&gt;0,'Assumptions (Petroleum)'!AJ237*Model!$AO$2231*AVERAGE('Assumptions (Petroleum)'!$AK$2:$AM$2)/10^9,0)</f>
        <v>0</v>
      </c>
      <c r="BD2430" s="105">
        <f>IF($AO$2231&gt;0,'Assumptions (Petroleum)'!AK237*Model!$AO$2231*AVERAGE('Assumptions (Petroleum)'!$AK$2:$AM$2)/10^9,0)</f>
        <v>0</v>
      </c>
      <c r="BE2430" s="105"/>
      <c r="BF2430" s="105"/>
      <c r="BG2430" s="105"/>
      <c r="BH2430" s="105"/>
      <c r="BI2430" s="105"/>
      <c r="BJ2430" s="105"/>
      <c r="BK2430" s="105"/>
      <c r="BL2430" s="105"/>
      <c r="BM2430" s="105"/>
    </row>
    <row r="2431" spans="1:67" ht="15.75" hidden="1" customHeight="1" outlineLevel="1">
      <c r="A2431" s="447"/>
      <c r="B2431" s="99"/>
      <c r="C2431" s="99"/>
      <c r="D2431" s="99"/>
      <c r="E2431" s="99"/>
      <c r="F2431" s="99"/>
      <c r="G2431" s="99"/>
      <c r="H2431" s="99"/>
      <c r="I2431" s="99"/>
      <c r="J2431" s="99"/>
      <c r="K2431" s="99"/>
      <c r="L2431" s="99"/>
      <c r="M2431" s="99"/>
      <c r="N2431" s="99"/>
      <c r="O2431" s="99"/>
      <c r="P2431" s="99"/>
      <c r="Q2431" s="99"/>
      <c r="R2431" s="99"/>
      <c r="S2431" s="99"/>
      <c r="T2431" s="99"/>
      <c r="U2431" s="99"/>
      <c r="V2431" s="99"/>
      <c r="W2431" s="105"/>
      <c r="X2431" s="105"/>
      <c r="Y2431" s="105"/>
      <c r="Z2431" s="105"/>
      <c r="AA2431" s="105"/>
      <c r="AB2431" s="105"/>
      <c r="AC2431" s="105"/>
      <c r="AD2431" s="105"/>
      <c r="AE2431" s="105"/>
      <c r="AF2431" s="105"/>
      <c r="AG2431" s="105"/>
      <c r="AH2431" s="105"/>
      <c r="AI2431" s="105"/>
      <c r="AJ2431" s="171"/>
      <c r="AK2431" s="105"/>
      <c r="AL2431" s="91"/>
      <c r="AM2431" s="91"/>
      <c r="AN2431" s="91"/>
      <c r="AO2431" s="105"/>
      <c r="AP2431" s="105">
        <f>IF($AP$2231&gt;0,'Assumptions (Petroleum)'!V237*Model!$AP$2231*AVERAGE('Assumptions (Petroleum)'!$AL$2:$AN$2)/10^9,0)</f>
        <v>0</v>
      </c>
      <c r="AQ2431" s="105">
        <f>IF($AP$2231&gt;0,'Assumptions (Petroleum)'!W237*Model!$AP$2231*AVERAGE('Assumptions (Petroleum)'!$AL$2:$AN$2)/10^9,0)</f>
        <v>0</v>
      </c>
      <c r="AR2431" s="105">
        <f>IF($AP$2231&gt;0,'Assumptions (Petroleum)'!X237*Model!$AP$2231*AVERAGE('Assumptions (Petroleum)'!$AL$2:$AN$2)/10^9,0)</f>
        <v>0</v>
      </c>
      <c r="AS2431" s="105">
        <f>IF($AP$2231&gt;0,'Assumptions (Petroleum)'!Y237*Model!$AP$2231*AVERAGE('Assumptions (Petroleum)'!$AL$2:$AN$2)/10^9,0)</f>
        <v>0</v>
      </c>
      <c r="AT2431" s="105">
        <f>IF($AP$2231&gt;0,'Assumptions (Petroleum)'!Z237*Model!$AP$2231*AVERAGE('Assumptions (Petroleum)'!$AL$2:$AN$2)/10^9,0)</f>
        <v>0</v>
      </c>
      <c r="AU2431" s="105">
        <f>IF($AP$2231&gt;0,'Assumptions (Petroleum)'!AA237*Model!$AP$2231*AVERAGE('Assumptions (Petroleum)'!$AL$2:$AN$2)/10^9,0)</f>
        <v>0</v>
      </c>
      <c r="AV2431" s="105">
        <f>IF($AP$2231&gt;0,'Assumptions (Petroleum)'!AB237*Model!$AP$2231*AVERAGE('Assumptions (Petroleum)'!$AL$2:$AN$2)/10^9,0)</f>
        <v>0</v>
      </c>
      <c r="AW2431" s="105">
        <f>IF($AP$2231&gt;0,'Assumptions (Petroleum)'!AC237*Model!$AP$2231*AVERAGE('Assumptions (Petroleum)'!$AL$2:$AN$2)/10^9,0)</f>
        <v>0</v>
      </c>
      <c r="AX2431" s="105">
        <f>IF($AP$2231&gt;0,'Assumptions (Petroleum)'!AD237*Model!$AP$2231*AVERAGE('Assumptions (Petroleum)'!$AL$2:$AN$2)/10^9,0)</f>
        <v>0</v>
      </c>
      <c r="AY2431" s="105">
        <f>IF($AP$2231&gt;0,'Assumptions (Petroleum)'!AE237*Model!$AP$2231*AVERAGE('Assumptions (Petroleum)'!$AL$2:$AN$2)/10^9,0)</f>
        <v>0</v>
      </c>
      <c r="AZ2431" s="105">
        <f>IF($AP$2231&gt;0,'Assumptions (Petroleum)'!AF237*Model!$AP$2231*AVERAGE('Assumptions (Petroleum)'!$AL$2:$AN$2)/10^9,0)</f>
        <v>0</v>
      </c>
      <c r="BA2431" s="105">
        <f>IF($AP$2231&gt;0,'Assumptions (Petroleum)'!AG237*Model!$AP$2231*AVERAGE('Assumptions (Petroleum)'!$AL$2:$AN$2)/10^9,0)</f>
        <v>0</v>
      </c>
      <c r="BB2431" s="105">
        <f>IF($AP$2231&gt;0,'Assumptions (Petroleum)'!AH237*Model!$AP$2231*AVERAGE('Assumptions (Petroleum)'!$AL$2:$AN$2)/10^9,0)</f>
        <v>0</v>
      </c>
      <c r="BC2431" s="105">
        <f>IF($AP$2231&gt;0,'Assumptions (Petroleum)'!AI237*Model!$AP$2231*AVERAGE('Assumptions (Petroleum)'!$AL$2:$AN$2)/10^9,0)</f>
        <v>0</v>
      </c>
      <c r="BD2431" s="105">
        <f>IF($AP$2231&gt;0,'Assumptions (Petroleum)'!AJ237*Model!$AP$2231*AVERAGE('Assumptions (Petroleum)'!$AL$2:$AN$2)/10^9,0)</f>
        <v>0</v>
      </c>
      <c r="BE2431" s="105">
        <f>IF($AP$2231&gt;0,'Assumptions (Petroleum)'!AK237*Model!$AP$2231*AVERAGE('Assumptions (Petroleum)'!$AL$2:$AN$2)/10^9,0)</f>
        <v>0</v>
      </c>
      <c r="BF2431" s="105"/>
      <c r="BG2431" s="105"/>
      <c r="BH2431" s="105"/>
      <c r="BI2431" s="105"/>
      <c r="BJ2431" s="105"/>
      <c r="BK2431" s="105"/>
      <c r="BL2431" s="105"/>
      <c r="BM2431" s="105"/>
      <c r="BN2431" s="105"/>
    </row>
    <row r="2432" spans="1:67" ht="15.75" hidden="1" customHeight="1" outlineLevel="1">
      <c r="A2432" s="447"/>
      <c r="B2432" s="99"/>
      <c r="C2432" s="99"/>
      <c r="D2432" s="99"/>
      <c r="E2432" s="99"/>
      <c r="F2432" s="99"/>
      <c r="G2432" s="99"/>
      <c r="H2432" s="99"/>
      <c r="I2432" s="99"/>
      <c r="J2432" s="99"/>
      <c r="K2432" s="99"/>
      <c r="L2432" s="99"/>
      <c r="M2432" s="99"/>
      <c r="N2432" s="99"/>
      <c r="O2432" s="99"/>
      <c r="P2432" s="99"/>
      <c r="Q2432" s="99"/>
      <c r="R2432" s="99"/>
      <c r="S2432" s="99"/>
      <c r="T2432" s="99"/>
      <c r="U2432" s="99"/>
      <c r="V2432" s="99"/>
      <c r="W2432" s="105"/>
      <c r="X2432" s="105"/>
      <c r="Y2432" s="105"/>
      <c r="Z2432" s="105"/>
      <c r="AA2432" s="105"/>
      <c r="AB2432" s="105"/>
      <c r="AC2432" s="105"/>
      <c r="AD2432" s="105"/>
      <c r="AE2432" s="105"/>
      <c r="AF2432" s="105"/>
      <c r="AG2432" s="105"/>
      <c r="AH2432" s="105"/>
      <c r="AI2432" s="105"/>
      <c r="AJ2432" s="171"/>
      <c r="AK2432" s="105"/>
      <c r="AL2432" s="91"/>
      <c r="AM2432" s="91"/>
      <c r="AN2432" s="91"/>
      <c r="AO2432" s="105"/>
      <c r="AP2432" s="105"/>
      <c r="AQ2432" s="105">
        <f>IF($AQ$2231&gt;0,'Assumptions (Petroleum)'!V237*Model!$AQ$2231*AVERAGE('Assumptions (Petroleum)'!$AM$2:$AO$2)/10^9,0)</f>
        <v>0</v>
      </c>
      <c r="AR2432" s="105">
        <f>IF($AQ$2231&gt;0,'Assumptions (Petroleum)'!W237*Model!$AQ$2231*AVERAGE('Assumptions (Petroleum)'!$AM$2:$AO$2)/10^9,0)</f>
        <v>0</v>
      </c>
      <c r="AS2432" s="105">
        <f>IF($AQ$2231&gt;0,'Assumptions (Petroleum)'!X237*Model!$AQ$2231*AVERAGE('Assumptions (Petroleum)'!$AM$2:$AO$2)/10^9,0)</f>
        <v>0</v>
      </c>
      <c r="AT2432" s="105">
        <f>IF($AQ$2231&gt;0,'Assumptions (Petroleum)'!Y237*Model!$AQ$2231*AVERAGE('Assumptions (Petroleum)'!$AM$2:$AO$2)/10^9,0)</f>
        <v>0</v>
      </c>
      <c r="AU2432" s="105">
        <f>IF($AQ$2231&gt;0,'Assumptions (Petroleum)'!Z237*Model!$AQ$2231*AVERAGE('Assumptions (Petroleum)'!$AM$2:$AO$2)/10^9,0)</f>
        <v>0</v>
      </c>
      <c r="AV2432" s="105">
        <f>IF($AQ$2231&gt;0,'Assumptions (Petroleum)'!AA237*Model!$AQ$2231*AVERAGE('Assumptions (Petroleum)'!$AM$2:$AO$2)/10^9,0)</f>
        <v>0</v>
      </c>
      <c r="AW2432" s="105">
        <f>IF($AQ$2231&gt;0,'Assumptions (Petroleum)'!AB237*Model!$AQ$2231*AVERAGE('Assumptions (Petroleum)'!$AM$2:$AO$2)/10^9,0)</f>
        <v>0</v>
      </c>
      <c r="AX2432" s="105">
        <f>IF($AQ$2231&gt;0,'Assumptions (Petroleum)'!AC237*Model!$AQ$2231*AVERAGE('Assumptions (Petroleum)'!$AM$2:$AO$2)/10^9,0)</f>
        <v>0</v>
      </c>
      <c r="AY2432" s="105">
        <f>IF($AQ$2231&gt;0,'Assumptions (Petroleum)'!AD237*Model!$AQ$2231*AVERAGE('Assumptions (Petroleum)'!$AM$2:$AO$2)/10^9,0)</f>
        <v>0</v>
      </c>
      <c r="AZ2432" s="105">
        <f>IF($AQ$2231&gt;0,'Assumptions (Petroleum)'!AE237*Model!$AQ$2231*AVERAGE('Assumptions (Petroleum)'!$AM$2:$AO$2)/10^9,0)</f>
        <v>0</v>
      </c>
      <c r="BA2432" s="105">
        <f>IF($AQ$2231&gt;0,'Assumptions (Petroleum)'!AF237*Model!$AQ$2231*AVERAGE('Assumptions (Petroleum)'!$AM$2:$AO$2)/10^9,0)</f>
        <v>0</v>
      </c>
      <c r="BB2432" s="105">
        <f>IF($AQ$2231&gt;0,'Assumptions (Petroleum)'!AG237*Model!$AQ$2231*AVERAGE('Assumptions (Petroleum)'!$AM$2:$AO$2)/10^9,0)</f>
        <v>0</v>
      </c>
      <c r="BC2432" s="105">
        <f>IF($AQ$2231&gt;0,'Assumptions (Petroleum)'!AH237*Model!$AQ$2231*AVERAGE('Assumptions (Petroleum)'!$AM$2:$AO$2)/10^9,0)</f>
        <v>0</v>
      </c>
      <c r="BD2432" s="105">
        <f>IF($AQ$2231&gt;0,'Assumptions (Petroleum)'!AI237*Model!$AQ$2231*AVERAGE('Assumptions (Petroleum)'!$AM$2:$AO$2)/10^9,0)</f>
        <v>0</v>
      </c>
      <c r="BE2432" s="105">
        <f>IF($AQ$2231&gt;0,'Assumptions (Petroleum)'!AJ237*Model!$AQ$2231*AVERAGE('Assumptions (Petroleum)'!$AM$2:$AO$2)/10^9,0)</f>
        <v>0</v>
      </c>
      <c r="BF2432" s="105">
        <f>IF($AQ$2231&gt;0,'Assumptions (Petroleum)'!AK237*Model!$AQ$2231*AVERAGE('Assumptions (Petroleum)'!$AM$2:$AO$2)/10^9,0)</f>
        <v>0</v>
      </c>
      <c r="BG2432" s="105"/>
      <c r="BH2432" s="105"/>
      <c r="BI2432" s="105"/>
      <c r="BJ2432" s="105"/>
      <c r="BK2432" s="105"/>
      <c r="BL2432" s="105"/>
      <c r="BM2432" s="105"/>
      <c r="BN2432" s="105"/>
      <c r="BO2432" s="105"/>
    </row>
    <row r="2433" spans="1:68" ht="15.75" hidden="1" customHeight="1" outlineLevel="1">
      <c r="A2433" s="447"/>
      <c r="B2433" s="99"/>
      <c r="C2433" s="99"/>
      <c r="D2433" s="99"/>
      <c r="E2433" s="99"/>
      <c r="F2433" s="99"/>
      <c r="G2433" s="99"/>
      <c r="H2433" s="99"/>
      <c r="I2433" s="99"/>
      <c r="J2433" s="99"/>
      <c r="K2433" s="99"/>
      <c r="L2433" s="99"/>
      <c r="M2433" s="99"/>
      <c r="N2433" s="99"/>
      <c r="O2433" s="99"/>
      <c r="P2433" s="99"/>
      <c r="Q2433" s="99"/>
      <c r="R2433" s="99"/>
      <c r="S2433" s="99"/>
      <c r="T2433" s="99"/>
      <c r="U2433" s="99"/>
      <c r="V2433" s="99"/>
      <c r="W2433" s="105"/>
      <c r="X2433" s="105"/>
      <c r="Y2433" s="105"/>
      <c r="Z2433" s="105"/>
      <c r="AA2433" s="105"/>
      <c r="AB2433" s="105"/>
      <c r="AC2433" s="105"/>
      <c r="AD2433" s="105"/>
      <c r="AE2433" s="105"/>
      <c r="AF2433" s="105"/>
      <c r="AG2433" s="105"/>
      <c r="AH2433" s="105"/>
      <c r="AI2433" s="105"/>
      <c r="AJ2433" s="171"/>
      <c r="AK2433" s="105"/>
      <c r="AL2433" s="91"/>
      <c r="AM2433" s="91"/>
      <c r="AN2433" s="91"/>
      <c r="AO2433" s="105"/>
      <c r="AP2433" s="105"/>
      <c r="AQ2433" s="105"/>
      <c r="AR2433" s="105">
        <f>IF($AR$2231&gt;0,'Assumptions (Petroleum)'!V237*Model!$AR$2231*AVERAGE('Assumptions (Petroleum)'!$AN$2:$AP$2)/10^9,0)</f>
        <v>0</v>
      </c>
      <c r="AS2433" s="105">
        <f>IF($AR$2231&gt;0,'Assumptions (Petroleum)'!W237*Model!$AR$2231*AVERAGE('Assumptions (Petroleum)'!$AN$2:$AP$2)/10^9,0)</f>
        <v>0</v>
      </c>
      <c r="AT2433" s="105">
        <f>IF($AR$2231&gt;0,'Assumptions (Petroleum)'!X237*Model!$AR$2231*AVERAGE('Assumptions (Petroleum)'!$AN$2:$AP$2)/10^9,0)</f>
        <v>0</v>
      </c>
      <c r="AU2433" s="105">
        <f>IF($AR$2231&gt;0,'Assumptions (Petroleum)'!Y237*Model!$AR$2231*AVERAGE('Assumptions (Petroleum)'!$AN$2:$AP$2)/10^9,0)</f>
        <v>0</v>
      </c>
      <c r="AV2433" s="105">
        <f>IF($AR$2231&gt;0,'Assumptions (Petroleum)'!Z237*Model!$AR$2231*AVERAGE('Assumptions (Petroleum)'!$AN$2:$AP$2)/10^9,0)</f>
        <v>0</v>
      </c>
      <c r="AW2433" s="105">
        <f>IF($AR$2231&gt;0,'Assumptions (Petroleum)'!AA237*Model!$AR$2231*AVERAGE('Assumptions (Petroleum)'!$AN$2:$AP$2)/10^9,0)</f>
        <v>0</v>
      </c>
      <c r="AX2433" s="105">
        <f>IF($AR$2231&gt;0,'Assumptions (Petroleum)'!AB237*Model!$AR$2231*AVERAGE('Assumptions (Petroleum)'!$AN$2:$AP$2)/10^9,0)</f>
        <v>0</v>
      </c>
      <c r="AY2433" s="105">
        <f>IF($AR$2231&gt;0,'Assumptions (Petroleum)'!AC237*Model!$AR$2231*AVERAGE('Assumptions (Petroleum)'!$AN$2:$AP$2)/10^9,0)</f>
        <v>0</v>
      </c>
      <c r="AZ2433" s="105">
        <f>IF($AR$2231&gt;0,'Assumptions (Petroleum)'!AD237*Model!$AR$2231*AVERAGE('Assumptions (Petroleum)'!$AN$2:$AP$2)/10^9,0)</f>
        <v>0</v>
      </c>
      <c r="BA2433" s="105">
        <f>IF($AR$2231&gt;0,'Assumptions (Petroleum)'!AE237*Model!$AR$2231*AVERAGE('Assumptions (Petroleum)'!$AN$2:$AP$2)/10^9,0)</f>
        <v>0</v>
      </c>
      <c r="BB2433" s="105">
        <f>IF($AR$2231&gt;0,'Assumptions (Petroleum)'!AF237*Model!$AR$2231*AVERAGE('Assumptions (Petroleum)'!$AN$2:$AP$2)/10^9,0)</f>
        <v>0</v>
      </c>
      <c r="BC2433" s="105">
        <f>IF($AR$2231&gt;0,'Assumptions (Petroleum)'!AG237*Model!$AR$2231*AVERAGE('Assumptions (Petroleum)'!$AN$2:$AP$2)/10^9,0)</f>
        <v>0</v>
      </c>
      <c r="BD2433" s="105">
        <f>IF($AR$2231&gt;0,'Assumptions (Petroleum)'!AH237*Model!$AR$2231*AVERAGE('Assumptions (Petroleum)'!$AN$2:$AP$2)/10^9,0)</f>
        <v>0</v>
      </c>
      <c r="BE2433" s="105">
        <f>IF($AR$2231&gt;0,'Assumptions (Petroleum)'!AI237*Model!$AR$2231*AVERAGE('Assumptions (Petroleum)'!$AN$2:$AP$2)/10^9,0)</f>
        <v>0</v>
      </c>
      <c r="BF2433" s="105">
        <f>IF($AR$2231&gt;0,'Assumptions (Petroleum)'!AJ237*Model!$AR$2231*AVERAGE('Assumptions (Petroleum)'!$AN$2:$AP$2)/10^9,0)</f>
        <v>0</v>
      </c>
      <c r="BG2433" s="105">
        <f>IF($AR$2231&gt;0,'Assumptions (Petroleum)'!AK237*Model!$AR$2231*AVERAGE('Assumptions (Petroleum)'!$AN$2:$AP$2)/10^9,0)</f>
        <v>0</v>
      </c>
      <c r="BH2433" s="105"/>
      <c r="BI2433" s="105"/>
      <c r="BJ2433" s="105"/>
      <c r="BK2433" s="105"/>
      <c r="BL2433" s="105"/>
      <c r="BM2433" s="105"/>
      <c r="BN2433" s="105"/>
      <c r="BO2433" s="105"/>
      <c r="BP2433" s="105"/>
    </row>
    <row r="2434" spans="1:68" ht="15.75" hidden="1" customHeight="1" outlineLevel="1">
      <c r="A2434" s="447"/>
      <c r="B2434" s="99"/>
      <c r="C2434" s="99"/>
      <c r="D2434" s="99"/>
      <c r="E2434" s="99"/>
      <c r="F2434" s="99"/>
      <c r="G2434" s="99"/>
      <c r="H2434" s="99"/>
      <c r="I2434" s="99"/>
      <c r="J2434" s="99"/>
      <c r="K2434" s="99"/>
      <c r="L2434" s="99"/>
      <c r="M2434" s="99"/>
      <c r="N2434" s="99"/>
      <c r="O2434" s="99"/>
      <c r="P2434" s="99"/>
      <c r="Q2434" s="99"/>
      <c r="R2434" s="99"/>
      <c r="S2434" s="99"/>
      <c r="T2434" s="99"/>
      <c r="U2434" s="99"/>
      <c r="V2434" s="99"/>
      <c r="W2434" s="105"/>
      <c r="X2434" s="105"/>
      <c r="Y2434" s="105"/>
      <c r="Z2434" s="105"/>
      <c r="AA2434" s="105"/>
      <c r="AB2434" s="105"/>
      <c r="AC2434" s="105"/>
      <c r="AD2434" s="105"/>
      <c r="AE2434" s="105"/>
      <c r="AF2434" s="105"/>
      <c r="AG2434" s="105"/>
      <c r="AH2434" s="105"/>
      <c r="AI2434" s="105"/>
      <c r="AJ2434" s="171"/>
      <c r="AK2434" s="105"/>
      <c r="AL2434" s="91"/>
      <c r="AM2434" s="91"/>
      <c r="AN2434" s="91"/>
      <c r="AO2434" s="105"/>
      <c r="AP2434" s="105"/>
      <c r="AQ2434" s="105"/>
      <c r="AR2434" s="105"/>
      <c r="AS2434" s="105">
        <f>IF($AS$2231&gt;0,'Assumptions (Petroleum)'!V237*Model!$AS$2231*AVERAGE('Assumptions (Petroleum)'!$AO$2:$AQ$2)/10^9,0)</f>
        <v>0</v>
      </c>
      <c r="AT2434" s="105">
        <f>IF($AS$2231&gt;0,'Assumptions (Petroleum)'!W237*Model!$AS$2231*AVERAGE('Assumptions (Petroleum)'!$AO$2:$AQ$2)/10^9,0)</f>
        <v>0</v>
      </c>
      <c r="AU2434" s="105">
        <f>IF($AS$2231&gt;0,'Assumptions (Petroleum)'!X237*Model!$AS$2231*AVERAGE('Assumptions (Petroleum)'!$AO$2:$AQ$2)/10^9,0)</f>
        <v>0</v>
      </c>
      <c r="AV2434" s="105">
        <f>IF($AS$2231&gt;0,'Assumptions (Petroleum)'!Y237*Model!$AS$2231*AVERAGE('Assumptions (Petroleum)'!$AO$2:$AQ$2)/10^9,0)</f>
        <v>0</v>
      </c>
      <c r="AW2434" s="105">
        <f>IF($AS$2231&gt;0,'Assumptions (Petroleum)'!Z237*Model!$AS$2231*AVERAGE('Assumptions (Petroleum)'!$AO$2:$AQ$2)/10^9,0)</f>
        <v>0</v>
      </c>
      <c r="AX2434" s="105">
        <f>IF($AS$2231&gt;0,'Assumptions (Petroleum)'!AA237*Model!$AS$2231*AVERAGE('Assumptions (Petroleum)'!$AO$2:$AQ$2)/10^9,0)</f>
        <v>0</v>
      </c>
      <c r="AY2434" s="105">
        <f>IF($AS$2231&gt;0,'Assumptions (Petroleum)'!AB237*Model!$AS$2231*AVERAGE('Assumptions (Petroleum)'!$AO$2:$AQ$2)/10^9,0)</f>
        <v>0</v>
      </c>
      <c r="AZ2434" s="105">
        <f>IF($AS$2231&gt;0,'Assumptions (Petroleum)'!AC237*Model!$AS$2231*AVERAGE('Assumptions (Petroleum)'!$AO$2:$AQ$2)/10^9,0)</f>
        <v>0</v>
      </c>
      <c r="BA2434" s="105">
        <f>IF($AS$2231&gt;0,'Assumptions (Petroleum)'!AD237*Model!$AS$2231*AVERAGE('Assumptions (Petroleum)'!$AO$2:$AQ$2)/10^9,0)</f>
        <v>0</v>
      </c>
      <c r="BB2434" s="105">
        <f>IF($AS$2231&gt;0,'Assumptions (Petroleum)'!AE237*Model!$AS$2231*AVERAGE('Assumptions (Petroleum)'!$AO$2:$AQ$2)/10^9,0)</f>
        <v>0</v>
      </c>
      <c r="BC2434" s="105">
        <f>IF($AS$2231&gt;0,'Assumptions (Petroleum)'!AF237*Model!$AS$2231*AVERAGE('Assumptions (Petroleum)'!$AO$2:$AQ$2)/10^9,0)</f>
        <v>0</v>
      </c>
      <c r="BD2434" s="105">
        <f>IF($AS$2231&gt;0,'Assumptions (Petroleum)'!AG237*Model!$AS$2231*AVERAGE('Assumptions (Petroleum)'!$AO$2:$AQ$2)/10^9,0)</f>
        <v>0</v>
      </c>
      <c r="BE2434" s="105">
        <f>IF($AS$2231&gt;0,'Assumptions (Petroleum)'!AH237*Model!$AS$2231*AVERAGE('Assumptions (Petroleum)'!$AO$2:$AQ$2)/10^9,0)</f>
        <v>0</v>
      </c>
      <c r="BF2434" s="105">
        <f>IF($AS$2231&gt;0,'Assumptions (Petroleum)'!AI237*Model!$AS$2231*AVERAGE('Assumptions (Petroleum)'!$AO$2:$AQ$2)/10^9,0)</f>
        <v>0</v>
      </c>
      <c r="BG2434" s="105">
        <f>IF($AS$2231&gt;0,'Assumptions (Petroleum)'!AJ237*Model!$AS$2231*AVERAGE('Assumptions (Petroleum)'!$AO$2:$AQ$2)/10^9,0)</f>
        <v>0</v>
      </c>
      <c r="BH2434" s="105">
        <f>IF($AS$2231&gt;0,'Assumptions (Petroleum)'!AK237*Model!$AS$2231*AVERAGE('Assumptions (Petroleum)'!$AO$2:$AQ$2)/10^9,0)</f>
        <v>0</v>
      </c>
      <c r="BI2434" s="105"/>
      <c r="BJ2434" s="105"/>
      <c r="BK2434" s="105"/>
      <c r="BL2434" s="105"/>
      <c r="BM2434" s="105"/>
      <c r="BN2434" s="105"/>
      <c r="BO2434" s="105"/>
      <c r="BP2434" s="105"/>
    </row>
    <row r="2435" spans="1:68" ht="15.75" hidden="1" customHeight="1" outlineLevel="1">
      <c r="A2435" s="447"/>
      <c r="B2435" s="99"/>
      <c r="C2435" s="99"/>
      <c r="D2435" s="99"/>
      <c r="E2435" s="99"/>
      <c r="F2435" s="99"/>
      <c r="G2435" s="99"/>
      <c r="H2435" s="99"/>
      <c r="I2435" s="99"/>
      <c r="J2435" s="99"/>
      <c r="K2435" s="99"/>
      <c r="L2435" s="99"/>
      <c r="M2435" s="99"/>
      <c r="N2435" s="99"/>
      <c r="O2435" s="99"/>
      <c r="P2435" s="99"/>
      <c r="Q2435" s="99"/>
      <c r="R2435" s="99"/>
      <c r="S2435" s="99"/>
      <c r="T2435" s="99"/>
      <c r="U2435" s="99"/>
      <c r="V2435" s="99"/>
      <c r="W2435" s="105"/>
      <c r="X2435" s="105"/>
      <c r="Y2435" s="105"/>
      <c r="Z2435" s="105"/>
      <c r="AA2435" s="105"/>
      <c r="AB2435" s="105"/>
      <c r="AC2435" s="105"/>
      <c r="AD2435" s="105"/>
      <c r="AE2435" s="105"/>
      <c r="AF2435" s="105"/>
      <c r="AG2435" s="105"/>
      <c r="AH2435" s="105"/>
      <c r="AI2435" s="105"/>
      <c r="AJ2435" s="171"/>
      <c r="AK2435" s="105"/>
      <c r="AL2435" s="91"/>
      <c r="AM2435" s="91"/>
      <c r="AN2435" s="91"/>
      <c r="AO2435" s="105"/>
      <c r="AP2435" s="105"/>
      <c r="AQ2435" s="105"/>
      <c r="AR2435" s="105"/>
      <c r="AS2435" s="105"/>
      <c r="AT2435" s="105">
        <f>IF($AT$2231&gt;0,'Assumptions (Petroleum)'!V237*Model!$AT$2231*AVERAGE('Assumptions (Petroleum)'!$AP$2:$AR$2)/10^9,0)</f>
        <v>0</v>
      </c>
      <c r="AU2435" s="105">
        <f>IF($AT$2231&gt;0,'Assumptions (Petroleum)'!W237*Model!$AT$2231*AVERAGE('Assumptions (Petroleum)'!$AP$2:$AR$2)/10^9,0)</f>
        <v>0</v>
      </c>
      <c r="AV2435" s="105">
        <f>IF($AT$2231&gt;0,'Assumptions (Petroleum)'!X237*Model!$AT$2231*AVERAGE('Assumptions (Petroleum)'!$AP$2:$AR$2)/10^9,0)</f>
        <v>0</v>
      </c>
      <c r="AW2435" s="105">
        <f>IF($AT$2231&gt;0,'Assumptions (Petroleum)'!Y237*Model!$AT$2231*AVERAGE('Assumptions (Petroleum)'!$AP$2:$AR$2)/10^9,0)</f>
        <v>0</v>
      </c>
      <c r="AX2435" s="105">
        <f>IF($AT$2231&gt;0,'Assumptions (Petroleum)'!Z237*Model!$AT$2231*AVERAGE('Assumptions (Petroleum)'!$AP$2:$AR$2)/10^9,0)</f>
        <v>0</v>
      </c>
      <c r="AY2435" s="105">
        <f>IF($AT$2231&gt;0,'Assumptions (Petroleum)'!AA237*Model!$AT$2231*AVERAGE('Assumptions (Petroleum)'!$AP$2:$AR$2)/10^9,0)</f>
        <v>0</v>
      </c>
      <c r="AZ2435" s="105">
        <f>IF($AT$2231&gt;0,'Assumptions (Petroleum)'!AB237*Model!$AT$2231*AVERAGE('Assumptions (Petroleum)'!$AP$2:$AR$2)/10^9,0)</f>
        <v>0</v>
      </c>
      <c r="BA2435" s="105">
        <f>IF($AT$2231&gt;0,'Assumptions (Petroleum)'!AC237*Model!$AT$2231*AVERAGE('Assumptions (Petroleum)'!$AP$2:$AR$2)/10^9,0)</f>
        <v>0</v>
      </c>
      <c r="BB2435" s="105">
        <f>IF($AT$2231&gt;0,'Assumptions (Petroleum)'!AD237*Model!$AT$2231*AVERAGE('Assumptions (Petroleum)'!$AP$2:$AR$2)/10^9,0)</f>
        <v>0</v>
      </c>
      <c r="BC2435" s="105">
        <f>IF($AT$2231&gt;0,'Assumptions (Petroleum)'!AE237*Model!$AT$2231*AVERAGE('Assumptions (Petroleum)'!$AP$2:$AR$2)/10^9,0)</f>
        <v>0</v>
      </c>
      <c r="BD2435" s="105">
        <f>IF($AT$2231&gt;0,'Assumptions (Petroleum)'!AF237*Model!$AT$2231*AVERAGE('Assumptions (Petroleum)'!$AP$2:$AR$2)/10^9,0)</f>
        <v>0</v>
      </c>
      <c r="BE2435" s="105">
        <f>IF($AT$2231&gt;0,'Assumptions (Petroleum)'!AG237*Model!$AT$2231*AVERAGE('Assumptions (Petroleum)'!$AP$2:$AR$2)/10^9,0)</f>
        <v>0</v>
      </c>
      <c r="BF2435" s="105">
        <f>IF($AT$2231&gt;0,'Assumptions (Petroleum)'!AH237*Model!$AT$2231*AVERAGE('Assumptions (Petroleum)'!$AP$2:$AR$2)/10^9,0)</f>
        <v>0</v>
      </c>
      <c r="BG2435" s="105">
        <f>IF($AT$2231&gt;0,'Assumptions (Petroleum)'!AI237*Model!$AT$2231*AVERAGE('Assumptions (Petroleum)'!$AP$2:$AR$2)/10^9,0)</f>
        <v>0</v>
      </c>
      <c r="BH2435" s="105">
        <f>IF($AT$2231&gt;0,'Assumptions (Petroleum)'!AJ237*Model!$AT$2231*AVERAGE('Assumptions (Petroleum)'!$AP$2:$AR$2)/10^9,0)</f>
        <v>0</v>
      </c>
      <c r="BI2435" s="105">
        <f>IF($AT$2231&gt;0,'Assumptions (Petroleum)'!AK237*Model!$AT$2231*AVERAGE('Assumptions (Petroleum)'!$AP$2:$AR$2)/10^9,0)</f>
        <v>0</v>
      </c>
      <c r="BJ2435" s="105"/>
      <c r="BK2435" s="105"/>
      <c r="BL2435" s="105"/>
      <c r="BM2435" s="105"/>
      <c r="BN2435" s="105"/>
      <c r="BO2435" s="105"/>
      <c r="BP2435" s="105"/>
    </row>
    <row r="2436" spans="1:68" ht="15.75" hidden="1" customHeight="1" outlineLevel="1">
      <c r="A2436" s="447"/>
      <c r="B2436" s="99"/>
      <c r="C2436" s="99"/>
      <c r="D2436" s="99"/>
      <c r="E2436" s="99"/>
      <c r="F2436" s="99"/>
      <c r="G2436" s="99"/>
      <c r="H2436" s="99"/>
      <c r="I2436" s="99"/>
      <c r="J2436" s="99"/>
      <c r="K2436" s="99"/>
      <c r="L2436" s="99"/>
      <c r="M2436" s="99"/>
      <c r="N2436" s="99"/>
      <c r="O2436" s="99"/>
      <c r="P2436" s="99"/>
      <c r="Q2436" s="99"/>
      <c r="R2436" s="99"/>
      <c r="S2436" s="99"/>
      <c r="T2436" s="99"/>
      <c r="U2436" s="99"/>
      <c r="V2436" s="99"/>
      <c r="W2436" s="105"/>
      <c r="X2436" s="105"/>
      <c r="Y2436" s="105"/>
      <c r="Z2436" s="105"/>
      <c r="AA2436" s="105"/>
      <c r="AB2436" s="105"/>
      <c r="AC2436" s="105"/>
      <c r="AD2436" s="105"/>
      <c r="AE2436" s="105"/>
      <c r="AF2436" s="105"/>
      <c r="AG2436" s="105"/>
      <c r="AH2436" s="105"/>
      <c r="AI2436" s="105"/>
      <c r="AJ2436" s="171"/>
      <c r="AK2436" s="105"/>
      <c r="AL2436" s="91"/>
      <c r="AM2436" s="91"/>
      <c r="AN2436" s="91"/>
      <c r="AO2436" s="105"/>
      <c r="AP2436" s="105"/>
      <c r="AQ2436" s="105"/>
      <c r="AR2436" s="105"/>
      <c r="AS2436" s="105"/>
      <c r="AT2436" s="105"/>
      <c r="AU2436" s="105">
        <f>IF($AU$2231&gt;0,'Assumptions (Petroleum)'!V237*Model!$AU$2231*AVERAGE('Assumptions (Petroleum)'!$AQ$2:$AS$2)/10^9,0)</f>
        <v>0</v>
      </c>
      <c r="AV2436" s="105">
        <f>IF($AU$2231&gt;0,'Assumptions (Petroleum)'!W237*Model!$AU$2231*AVERAGE('Assumptions (Petroleum)'!$AQ$2:$AS$2)/10^9,0)</f>
        <v>0</v>
      </c>
      <c r="AW2436" s="105">
        <f>IF($AU$2231&gt;0,'Assumptions (Petroleum)'!X237*Model!$AU$2231*AVERAGE('Assumptions (Petroleum)'!$AQ$2:$AS$2)/10^9,0)</f>
        <v>0</v>
      </c>
      <c r="AX2436" s="105">
        <f>IF($AU$2231&gt;0,'Assumptions (Petroleum)'!Y237*Model!$AU$2231*AVERAGE('Assumptions (Petroleum)'!$AQ$2:$AS$2)/10^9,0)</f>
        <v>0</v>
      </c>
      <c r="AY2436" s="105">
        <f>IF($AU$2231&gt;0,'Assumptions (Petroleum)'!Z237*Model!$AU$2231*AVERAGE('Assumptions (Petroleum)'!$AQ$2:$AS$2)/10^9,0)</f>
        <v>0</v>
      </c>
      <c r="AZ2436" s="105">
        <f>IF($AU$2231&gt;0,'Assumptions (Petroleum)'!AA237*Model!$AU$2231*AVERAGE('Assumptions (Petroleum)'!$AQ$2:$AS$2)/10^9,0)</f>
        <v>0</v>
      </c>
      <c r="BA2436" s="105">
        <f>IF($AU$2231&gt;0,'Assumptions (Petroleum)'!AB237*Model!$AU$2231*AVERAGE('Assumptions (Petroleum)'!$AQ$2:$AS$2)/10^9,0)</f>
        <v>0</v>
      </c>
      <c r="BB2436" s="105">
        <f>IF($AU$2231&gt;0,'Assumptions (Petroleum)'!AC237*Model!$AU$2231*AVERAGE('Assumptions (Petroleum)'!$AQ$2:$AS$2)/10^9,0)</f>
        <v>0</v>
      </c>
      <c r="BC2436" s="105">
        <f>IF($AU$2231&gt;0,'Assumptions (Petroleum)'!AD237*Model!$AU$2231*AVERAGE('Assumptions (Petroleum)'!$AQ$2:$AS$2)/10^9,0)</f>
        <v>0</v>
      </c>
      <c r="BD2436" s="105">
        <f>IF($AU$2231&gt;0,'Assumptions (Petroleum)'!AE237*Model!$AU$2231*AVERAGE('Assumptions (Petroleum)'!$AQ$2:$AS$2)/10^9,0)</f>
        <v>0</v>
      </c>
      <c r="BE2436" s="105">
        <f>IF($AU$2231&gt;0,'Assumptions (Petroleum)'!AF237*Model!$AU$2231*AVERAGE('Assumptions (Petroleum)'!$AQ$2:$AS$2)/10^9,0)</f>
        <v>0</v>
      </c>
      <c r="BF2436" s="105">
        <f>IF($AU$2231&gt;0,'Assumptions (Petroleum)'!AG237*Model!$AU$2231*AVERAGE('Assumptions (Petroleum)'!$AQ$2:$AS$2)/10^9,0)</f>
        <v>0</v>
      </c>
      <c r="BG2436" s="105">
        <f>IF($AU$2231&gt;0,'Assumptions (Petroleum)'!AH237*Model!$AU$2231*AVERAGE('Assumptions (Petroleum)'!$AQ$2:$AS$2)/10^9,0)</f>
        <v>0</v>
      </c>
      <c r="BH2436" s="105">
        <f>IF($AU$2231&gt;0,'Assumptions (Petroleum)'!AI237*Model!$AU$2231*AVERAGE('Assumptions (Petroleum)'!$AQ$2:$AS$2)/10^9,0)</f>
        <v>0</v>
      </c>
      <c r="BI2436" s="105">
        <f>IF($AU$2231&gt;0,'Assumptions (Petroleum)'!AJ237*Model!$AU$2231*AVERAGE('Assumptions (Petroleum)'!$AQ$2:$AS$2)/10^9,0)</f>
        <v>0</v>
      </c>
      <c r="BJ2436" s="105">
        <f>IF($AU$2231&gt;0,'Assumptions (Petroleum)'!AK237*Model!$AU$2231*AVERAGE('Assumptions (Petroleum)'!$AQ$2:$AS$2)/10^9,0)</f>
        <v>0</v>
      </c>
      <c r="BK2436" s="105"/>
      <c r="BL2436" s="105"/>
      <c r="BM2436" s="105"/>
      <c r="BN2436" s="105"/>
      <c r="BO2436" s="105"/>
      <c r="BP2436" s="105"/>
    </row>
    <row r="2437" spans="1:68" ht="15.75" hidden="1" customHeight="1" outlineLevel="1">
      <c r="A2437" s="447"/>
      <c r="B2437" s="99"/>
      <c r="C2437" s="99"/>
      <c r="D2437" s="99"/>
      <c r="E2437" s="99"/>
      <c r="F2437" s="99"/>
      <c r="G2437" s="99"/>
      <c r="H2437" s="99"/>
      <c r="I2437" s="99"/>
      <c r="J2437" s="99"/>
      <c r="K2437" s="99"/>
      <c r="L2437" s="99"/>
      <c r="M2437" s="99"/>
      <c r="N2437" s="99"/>
      <c r="O2437" s="99"/>
      <c r="P2437" s="99"/>
      <c r="Q2437" s="99"/>
      <c r="R2437" s="99"/>
      <c r="S2437" s="99"/>
      <c r="T2437" s="99"/>
      <c r="U2437" s="99"/>
      <c r="V2437" s="99"/>
      <c r="W2437" s="105"/>
      <c r="X2437" s="105"/>
      <c r="Y2437" s="105"/>
      <c r="Z2437" s="105"/>
      <c r="AA2437" s="105"/>
      <c r="AB2437" s="105"/>
      <c r="AC2437" s="105"/>
      <c r="AD2437" s="105"/>
      <c r="AE2437" s="105"/>
      <c r="AF2437" s="105"/>
      <c r="AG2437" s="105"/>
      <c r="AH2437" s="105"/>
      <c r="AI2437" s="105"/>
      <c r="AJ2437" s="171"/>
      <c r="AK2437" s="105"/>
      <c r="AL2437" s="91"/>
      <c r="AM2437" s="91"/>
      <c r="AN2437" s="91"/>
      <c r="AO2437" s="105"/>
      <c r="AP2437" s="105"/>
      <c r="AQ2437" s="105"/>
      <c r="AR2437" s="105"/>
      <c r="AS2437" s="105"/>
      <c r="AT2437" s="105"/>
      <c r="AU2437" s="105"/>
      <c r="AV2437" s="105">
        <f>IF($AV$2231&gt;0,'Assumptions (Petroleum)'!V237*Model!$AV$2231*AVERAGE('Assumptions (Petroleum)'!$AR$2:$AT$2)/10^9,0)</f>
        <v>0</v>
      </c>
      <c r="AW2437" s="105">
        <f>IF($AV$2231&gt;0,'Assumptions (Petroleum)'!W237*Model!$AV$2231*AVERAGE('Assumptions (Petroleum)'!$AR$2:$AT$2)/10^9,0)</f>
        <v>0</v>
      </c>
      <c r="AX2437" s="105">
        <f>IF($AV$2231&gt;0,'Assumptions (Petroleum)'!X237*Model!$AV$2231*AVERAGE('Assumptions (Petroleum)'!$AR$2:$AT$2)/10^9,0)</f>
        <v>0</v>
      </c>
      <c r="AY2437" s="105">
        <f>IF($AV$2231&gt;0,'Assumptions (Petroleum)'!Y237*Model!$AV$2231*AVERAGE('Assumptions (Petroleum)'!$AR$2:$AT$2)/10^9,0)</f>
        <v>0</v>
      </c>
      <c r="AZ2437" s="105">
        <f>IF($AV$2231&gt;0,'Assumptions (Petroleum)'!Z237*Model!$AV$2231*AVERAGE('Assumptions (Petroleum)'!$AR$2:$AT$2)/10^9,0)</f>
        <v>0</v>
      </c>
      <c r="BA2437" s="105">
        <f>IF($AV$2231&gt;0,'Assumptions (Petroleum)'!AA237*Model!$AV$2231*AVERAGE('Assumptions (Petroleum)'!$AR$2:$AT$2)/10^9,0)</f>
        <v>0</v>
      </c>
      <c r="BB2437" s="105">
        <f>IF($AV$2231&gt;0,'Assumptions (Petroleum)'!AB237*Model!$AV$2231*AVERAGE('Assumptions (Petroleum)'!$AR$2:$AT$2)/10^9,0)</f>
        <v>0</v>
      </c>
      <c r="BC2437" s="105">
        <f>IF($AV$2231&gt;0,'Assumptions (Petroleum)'!AC237*Model!$AV$2231*AVERAGE('Assumptions (Petroleum)'!$AR$2:$AT$2)/10^9,0)</f>
        <v>0</v>
      </c>
      <c r="BD2437" s="105">
        <f>IF($AV$2231&gt;0,'Assumptions (Petroleum)'!AD237*Model!$AV$2231*AVERAGE('Assumptions (Petroleum)'!$AR$2:$AT$2)/10^9,0)</f>
        <v>0</v>
      </c>
      <c r="BE2437" s="105">
        <f>IF($AV$2231&gt;0,'Assumptions (Petroleum)'!AE237*Model!$AV$2231*AVERAGE('Assumptions (Petroleum)'!$AR$2:$AT$2)/10^9,0)</f>
        <v>0</v>
      </c>
      <c r="BF2437" s="105">
        <f>IF($AV$2231&gt;0,'Assumptions (Petroleum)'!AF237*Model!$AV$2231*AVERAGE('Assumptions (Petroleum)'!$AR$2:$AT$2)/10^9,0)</f>
        <v>0</v>
      </c>
      <c r="BG2437" s="105">
        <f>IF($AV$2231&gt;0,'Assumptions (Petroleum)'!AG237*Model!$AV$2231*AVERAGE('Assumptions (Petroleum)'!$AR$2:$AT$2)/10^9,0)</f>
        <v>0</v>
      </c>
      <c r="BH2437" s="105">
        <f>IF($AV$2231&gt;0,'Assumptions (Petroleum)'!AH237*Model!$AV$2231*AVERAGE('Assumptions (Petroleum)'!$AR$2:$AT$2)/10^9,0)</f>
        <v>0</v>
      </c>
      <c r="BI2437" s="105">
        <f>IF($AV$2231&gt;0,'Assumptions (Petroleum)'!AI237*Model!$AV$2231*AVERAGE('Assumptions (Petroleum)'!$AR$2:$AT$2)/10^9,0)</f>
        <v>0</v>
      </c>
      <c r="BJ2437" s="105">
        <f>IF($AV$2231&gt;0,'Assumptions (Petroleum)'!AJ237*Model!$AV$2231*AVERAGE('Assumptions (Petroleum)'!$AR$2:$AT$2)/10^9,0)</f>
        <v>0</v>
      </c>
      <c r="BK2437" s="105">
        <f>IF($AV$2231&gt;0,'Assumptions (Petroleum)'!AK237*Model!$AV$2231*AVERAGE('Assumptions (Petroleum)'!$AR$2:$AT$2)/10^9,0)</f>
        <v>0</v>
      </c>
      <c r="BL2437" s="105"/>
      <c r="BM2437" s="105"/>
      <c r="BN2437" s="105"/>
      <c r="BO2437" s="105"/>
      <c r="BP2437" s="105"/>
    </row>
    <row r="2438" spans="1:68" ht="15.75" hidden="1" customHeight="1" outlineLevel="1">
      <c r="A2438" s="447"/>
      <c r="B2438" s="99"/>
      <c r="C2438" s="99"/>
      <c r="D2438" s="99"/>
      <c r="E2438" s="99"/>
      <c r="F2438" s="99"/>
      <c r="G2438" s="99"/>
      <c r="H2438" s="99"/>
      <c r="I2438" s="99"/>
      <c r="J2438" s="99"/>
      <c r="K2438" s="99"/>
      <c r="L2438" s="99"/>
      <c r="M2438" s="99"/>
      <c r="N2438" s="99"/>
      <c r="O2438" s="99"/>
      <c r="P2438" s="99"/>
      <c r="Q2438" s="99"/>
      <c r="R2438" s="99"/>
      <c r="S2438" s="99"/>
      <c r="T2438" s="99"/>
      <c r="U2438" s="99"/>
      <c r="V2438" s="99"/>
      <c r="W2438" s="105"/>
      <c r="X2438" s="105"/>
      <c r="Y2438" s="105"/>
      <c r="Z2438" s="105"/>
      <c r="AA2438" s="105"/>
      <c r="AB2438" s="105"/>
      <c r="AC2438" s="105"/>
      <c r="AD2438" s="105"/>
      <c r="AE2438" s="105"/>
      <c r="AF2438" s="105"/>
      <c r="AG2438" s="105"/>
      <c r="AH2438" s="105"/>
      <c r="AI2438" s="105"/>
      <c r="AJ2438" s="171"/>
      <c r="AK2438" s="105"/>
      <c r="AL2438" s="91"/>
      <c r="AM2438" s="91"/>
      <c r="AN2438" s="91"/>
      <c r="AO2438" s="105"/>
      <c r="AP2438" s="105"/>
      <c r="AQ2438" s="105"/>
      <c r="AR2438" s="105"/>
      <c r="AS2438" s="105"/>
      <c r="AT2438" s="105"/>
      <c r="AU2438" s="105"/>
      <c r="AV2438" s="105"/>
      <c r="AW2438" s="105">
        <f>IF($AW$2231&gt;0,'Assumptions (Petroleum)'!V237*Model!$AW$2231*AVERAGE('Assumptions (Petroleum)'!$AS$2:$AU$2)/10^9,0)</f>
        <v>0</v>
      </c>
      <c r="AX2438" s="105">
        <f>IF($AW$2231&gt;0,'Assumptions (Petroleum)'!W237*Model!$AW$2231*AVERAGE('Assumptions (Petroleum)'!$AS$2:$AU$2)/10^9,0)</f>
        <v>0</v>
      </c>
      <c r="AY2438" s="105">
        <f>IF($AW$2231&gt;0,'Assumptions (Petroleum)'!X237*Model!$AW$2231*AVERAGE('Assumptions (Petroleum)'!$AS$2:$AU$2)/10^9,0)</f>
        <v>0</v>
      </c>
      <c r="AZ2438" s="105">
        <f>IF($AW$2231&gt;0,'Assumptions (Petroleum)'!Y237*Model!$AW$2231*AVERAGE('Assumptions (Petroleum)'!$AS$2:$AU$2)/10^9,0)</f>
        <v>0</v>
      </c>
      <c r="BA2438" s="105">
        <f>IF($AW$2231&gt;0,'Assumptions (Petroleum)'!Z237*Model!$AW$2231*AVERAGE('Assumptions (Petroleum)'!$AS$2:$AU$2)/10^9,0)</f>
        <v>0</v>
      </c>
      <c r="BB2438" s="105">
        <f>IF($AW$2231&gt;0,'Assumptions (Petroleum)'!AA237*Model!$AW$2231*AVERAGE('Assumptions (Petroleum)'!$AS$2:$AU$2)/10^9,0)</f>
        <v>0</v>
      </c>
      <c r="BC2438" s="105">
        <f>IF($AW$2231&gt;0,'Assumptions (Petroleum)'!AB237*Model!$AW$2231*AVERAGE('Assumptions (Petroleum)'!$AS$2:$AU$2)/10^9,0)</f>
        <v>0</v>
      </c>
      <c r="BD2438" s="105">
        <f>IF($AW$2231&gt;0,'Assumptions (Petroleum)'!AC237*Model!$AW$2231*AVERAGE('Assumptions (Petroleum)'!$AS$2:$AU$2)/10^9,0)</f>
        <v>0</v>
      </c>
      <c r="BE2438" s="105">
        <f>IF($AW$2231&gt;0,'Assumptions (Petroleum)'!AD237*Model!$AW$2231*AVERAGE('Assumptions (Petroleum)'!$AS$2:$AU$2)/10^9,0)</f>
        <v>0</v>
      </c>
      <c r="BF2438" s="105">
        <f>IF($AW$2231&gt;0,'Assumptions (Petroleum)'!AE237*Model!$AW$2231*AVERAGE('Assumptions (Petroleum)'!$AS$2:$AU$2)/10^9,0)</f>
        <v>0</v>
      </c>
      <c r="BG2438" s="105">
        <f>IF($AW$2231&gt;0,'Assumptions (Petroleum)'!AF237*Model!$AW$2231*AVERAGE('Assumptions (Petroleum)'!$AS$2:$AU$2)/10^9,0)</f>
        <v>0</v>
      </c>
      <c r="BH2438" s="105">
        <f>IF($AW$2231&gt;0,'Assumptions (Petroleum)'!AG237*Model!$AW$2231*AVERAGE('Assumptions (Petroleum)'!$AS$2:$AU$2)/10^9,0)</f>
        <v>0</v>
      </c>
      <c r="BI2438" s="105">
        <f>IF($AW$2231&gt;0,'Assumptions (Petroleum)'!AH237*Model!$AW$2231*AVERAGE('Assumptions (Petroleum)'!$AS$2:$AU$2)/10^9,0)</f>
        <v>0</v>
      </c>
      <c r="BJ2438" s="105">
        <f>IF($AW$2231&gt;0,'Assumptions (Petroleum)'!AI237*Model!$AW$2231*AVERAGE('Assumptions (Petroleum)'!$AS$2:$AU$2)/10^9,0)</f>
        <v>0</v>
      </c>
      <c r="BK2438" s="105">
        <f>IF($AW$2231&gt;0,'Assumptions (Petroleum)'!AJ237*Model!$AW$2231*AVERAGE('Assumptions (Petroleum)'!$AS$2:$AU$2)/10^9,0)</f>
        <v>0</v>
      </c>
      <c r="BL2438" s="105">
        <f>IF($AW$2231&gt;0,'Assumptions (Petroleum)'!AK237*Model!$AW$2231*AVERAGE('Assumptions (Petroleum)'!$AS$2:$AU$2)/10^9,0)</f>
        <v>0</v>
      </c>
      <c r="BM2438" s="105"/>
      <c r="BN2438" s="105"/>
      <c r="BO2438" s="105"/>
      <c r="BP2438" s="105"/>
    </row>
    <row r="2439" spans="1:68" ht="15.75" hidden="1" customHeight="1" outlineLevel="1">
      <c r="A2439" s="447"/>
      <c r="B2439" s="99"/>
      <c r="C2439" s="99"/>
      <c r="D2439" s="99"/>
      <c r="E2439" s="99"/>
      <c r="F2439" s="99"/>
      <c r="G2439" s="99"/>
      <c r="H2439" s="99"/>
      <c r="I2439" s="99"/>
      <c r="J2439" s="99"/>
      <c r="K2439" s="99"/>
      <c r="L2439" s="99"/>
      <c r="M2439" s="99"/>
      <c r="N2439" s="99"/>
      <c r="O2439" s="99"/>
      <c r="P2439" s="99"/>
      <c r="Q2439" s="99"/>
      <c r="R2439" s="99"/>
      <c r="S2439" s="99"/>
      <c r="T2439" s="99"/>
      <c r="U2439" s="99"/>
      <c r="V2439" s="99"/>
      <c r="W2439" s="105"/>
      <c r="X2439" s="105"/>
      <c r="Y2439" s="105"/>
      <c r="Z2439" s="105"/>
      <c r="AA2439" s="105"/>
      <c r="AB2439" s="105"/>
      <c r="AC2439" s="105"/>
      <c r="AD2439" s="105"/>
      <c r="AE2439" s="105"/>
      <c r="AF2439" s="105"/>
      <c r="AG2439" s="105"/>
      <c r="AH2439" s="105"/>
      <c r="AI2439" s="105"/>
      <c r="AJ2439" s="171"/>
      <c r="AK2439" s="105"/>
      <c r="AL2439" s="91"/>
      <c r="AM2439" s="91"/>
      <c r="AN2439" s="91"/>
      <c r="AO2439" s="105"/>
      <c r="AP2439" s="105"/>
      <c r="AQ2439" s="105"/>
      <c r="AR2439" s="105"/>
      <c r="AS2439" s="105"/>
      <c r="AT2439" s="105"/>
      <c r="AU2439" s="105"/>
      <c r="AV2439" s="105"/>
      <c r="AW2439" s="105"/>
      <c r="AX2439" s="105">
        <f>IF($AX$2231&gt;0,'Assumptions (Petroleum)'!V237*Model!$AX$2231*AVERAGE('Assumptions (Petroleum)'!$AT$2:$AV$2)/10^9,0)</f>
        <v>0</v>
      </c>
      <c r="AY2439" s="105">
        <f>IF($AX$2231&gt;0,'Assumptions (Petroleum)'!W237*Model!$AX$2231*AVERAGE('Assumptions (Petroleum)'!$AT$2:$AV$2)/10^9,0)</f>
        <v>0</v>
      </c>
      <c r="AZ2439" s="105">
        <f>IF($AX$2231&gt;0,'Assumptions (Petroleum)'!X237*Model!$AX$2231*AVERAGE('Assumptions (Petroleum)'!$AT$2:$AV$2)/10^9,0)</f>
        <v>0</v>
      </c>
      <c r="BA2439" s="105">
        <f>IF($AX$2231&gt;0,'Assumptions (Petroleum)'!Y237*Model!$AX$2231*AVERAGE('Assumptions (Petroleum)'!$AT$2:$AV$2)/10^9,0)</f>
        <v>0</v>
      </c>
      <c r="BB2439" s="105">
        <f>IF($AX$2231&gt;0,'Assumptions (Petroleum)'!Z237*Model!$AX$2231*AVERAGE('Assumptions (Petroleum)'!$AT$2:$AV$2)/10^9,0)</f>
        <v>0</v>
      </c>
      <c r="BC2439" s="105">
        <f>IF($AX$2231&gt;0,'Assumptions (Petroleum)'!AA237*Model!$AX$2231*AVERAGE('Assumptions (Petroleum)'!$AT$2:$AV$2)/10^9,0)</f>
        <v>0</v>
      </c>
      <c r="BD2439" s="105">
        <f>IF($AX$2231&gt;0,'Assumptions (Petroleum)'!AB237*Model!$AX$2231*AVERAGE('Assumptions (Petroleum)'!$AT$2:$AV$2)/10^9,0)</f>
        <v>0</v>
      </c>
      <c r="BE2439" s="105">
        <f>IF($AX$2231&gt;0,'Assumptions (Petroleum)'!AC237*Model!$AX$2231*AVERAGE('Assumptions (Petroleum)'!$AT$2:$AV$2)/10^9,0)</f>
        <v>0</v>
      </c>
      <c r="BF2439" s="105">
        <f>IF($AX$2231&gt;0,'Assumptions (Petroleum)'!AD237*Model!$AX$2231*AVERAGE('Assumptions (Petroleum)'!$AT$2:$AV$2)/10^9,0)</f>
        <v>0</v>
      </c>
      <c r="BG2439" s="105">
        <f>IF($AX$2231&gt;0,'Assumptions (Petroleum)'!AE237*Model!$AX$2231*AVERAGE('Assumptions (Petroleum)'!$AT$2:$AV$2)/10^9,0)</f>
        <v>0</v>
      </c>
      <c r="BH2439" s="105">
        <f>IF($AX$2231&gt;0,'Assumptions (Petroleum)'!AF237*Model!$AX$2231*AVERAGE('Assumptions (Petroleum)'!$AT$2:$AV$2)/10^9,0)</f>
        <v>0</v>
      </c>
      <c r="BI2439" s="105">
        <f>IF($AX$2231&gt;0,'Assumptions (Petroleum)'!AG237*Model!$AX$2231*AVERAGE('Assumptions (Petroleum)'!$AT$2:$AV$2)/10^9,0)</f>
        <v>0</v>
      </c>
      <c r="BJ2439" s="105">
        <f>IF($AX$2231&gt;0,'Assumptions (Petroleum)'!AH237*Model!$AX$2231*AVERAGE('Assumptions (Petroleum)'!$AT$2:$AV$2)/10^9,0)</f>
        <v>0</v>
      </c>
      <c r="BK2439" s="105">
        <f>IF($AX$2231&gt;0,'Assumptions (Petroleum)'!AI237*Model!$AX$2231*AVERAGE('Assumptions (Petroleum)'!$AT$2:$AV$2)/10^9,0)</f>
        <v>0</v>
      </c>
      <c r="BL2439" s="105">
        <f>IF($AX$2231&gt;0,'Assumptions (Petroleum)'!AJ237*Model!$AX$2231*AVERAGE('Assumptions (Petroleum)'!$AT$2:$AV$2)/10^9,0)</f>
        <v>0</v>
      </c>
      <c r="BM2439" s="105">
        <f>IF($AX$2231&gt;0,'Assumptions (Petroleum)'!AK237*Model!$AX$2231*AVERAGE('Assumptions (Petroleum)'!$AT$2:$AV$2)/10^9,0)</f>
        <v>0</v>
      </c>
      <c r="BN2439" s="105"/>
      <c r="BO2439" s="105"/>
      <c r="BP2439" s="105"/>
    </row>
    <row r="2440" spans="1:68" ht="15.75" hidden="1" customHeight="1" outlineLevel="1">
      <c r="A2440" s="447"/>
      <c r="B2440" s="99"/>
      <c r="C2440" s="99"/>
      <c r="D2440" s="99"/>
      <c r="E2440" s="99"/>
      <c r="F2440" s="99"/>
      <c r="G2440" s="99"/>
      <c r="H2440" s="99"/>
      <c r="I2440" s="99"/>
      <c r="J2440" s="99"/>
      <c r="K2440" s="99"/>
      <c r="L2440" s="99"/>
      <c r="M2440" s="99"/>
      <c r="N2440" s="99"/>
      <c r="O2440" s="99"/>
      <c r="P2440" s="99"/>
      <c r="Q2440" s="99"/>
      <c r="R2440" s="99"/>
      <c r="S2440" s="99"/>
      <c r="T2440" s="99"/>
      <c r="U2440" s="99"/>
      <c r="V2440" s="99"/>
      <c r="W2440" s="105"/>
      <c r="X2440" s="105"/>
      <c r="Y2440" s="105"/>
      <c r="Z2440" s="105"/>
      <c r="AA2440" s="105"/>
      <c r="AB2440" s="105"/>
      <c r="AC2440" s="105"/>
      <c r="AD2440" s="105"/>
      <c r="AE2440" s="105"/>
      <c r="AF2440" s="105"/>
      <c r="AG2440" s="105"/>
      <c r="AH2440" s="105"/>
      <c r="AI2440" s="105"/>
      <c r="AJ2440" s="171"/>
      <c r="AK2440" s="105"/>
      <c r="AL2440" s="91"/>
      <c r="AM2440" s="91"/>
      <c r="AN2440" s="91"/>
      <c r="AO2440" s="105"/>
      <c r="AP2440" s="105"/>
      <c r="AQ2440" s="105"/>
      <c r="AR2440" s="105"/>
      <c r="AS2440" s="105"/>
      <c r="AT2440" s="105"/>
      <c r="AU2440" s="105"/>
      <c r="AV2440" s="105"/>
      <c r="AW2440" s="105"/>
      <c r="AX2440" s="105"/>
      <c r="AY2440" s="105">
        <f>IF($AY$2231&gt;0,'Assumptions (Petroleum)'!V237*Model!$AY$2231*AVERAGE('Assumptions (Petroleum)'!$AU$2:$AW$2)/10^9,0)</f>
        <v>0</v>
      </c>
      <c r="AZ2440" s="105">
        <f>IF($AY$2231&gt;0,'Assumptions (Petroleum)'!W237*Model!$AY$2231*AVERAGE('Assumptions (Petroleum)'!$AU$2:$AW$2)/10^9,0)</f>
        <v>0</v>
      </c>
      <c r="BA2440" s="105">
        <f>IF($AY$2231&gt;0,'Assumptions (Petroleum)'!X237*Model!$AY$2231*AVERAGE('Assumptions (Petroleum)'!$AU$2:$AW$2)/10^9,0)</f>
        <v>0</v>
      </c>
      <c r="BB2440" s="105">
        <f>IF($AY$2231&gt;0,'Assumptions (Petroleum)'!Y237*Model!$AY$2231*AVERAGE('Assumptions (Petroleum)'!$AU$2:$AW$2)/10^9,0)</f>
        <v>0</v>
      </c>
      <c r="BC2440" s="105">
        <f>IF($AY$2231&gt;0,'Assumptions (Petroleum)'!Z237*Model!$AY$2231*AVERAGE('Assumptions (Petroleum)'!$AU$2:$AW$2)/10^9,0)</f>
        <v>0</v>
      </c>
      <c r="BD2440" s="105">
        <f>IF($AY$2231&gt;0,'Assumptions (Petroleum)'!AA237*Model!$AY$2231*AVERAGE('Assumptions (Petroleum)'!$AU$2:$AW$2)/10^9,0)</f>
        <v>0</v>
      </c>
      <c r="BE2440" s="105">
        <f>IF($AY$2231&gt;0,'Assumptions (Petroleum)'!AB237*Model!$AY$2231*AVERAGE('Assumptions (Petroleum)'!$AU$2:$AW$2)/10^9,0)</f>
        <v>0</v>
      </c>
      <c r="BF2440" s="105">
        <f>IF($AY$2231&gt;0,'Assumptions (Petroleum)'!AC237*Model!$AY$2231*AVERAGE('Assumptions (Petroleum)'!$AU$2:$AW$2)/10^9,0)</f>
        <v>0</v>
      </c>
      <c r="BG2440" s="105">
        <f>IF($AY$2231&gt;0,'Assumptions (Petroleum)'!AD237*Model!$AY$2231*AVERAGE('Assumptions (Petroleum)'!$AU$2:$AW$2)/10^9,0)</f>
        <v>0</v>
      </c>
      <c r="BH2440" s="105">
        <f>IF($AY$2231&gt;0,'Assumptions (Petroleum)'!AE237*Model!$AY$2231*AVERAGE('Assumptions (Petroleum)'!$AU$2:$AW$2)/10^9,0)</f>
        <v>0</v>
      </c>
      <c r="BI2440" s="105">
        <f>IF($AY$2231&gt;0,'Assumptions (Petroleum)'!AF237*Model!$AY$2231*AVERAGE('Assumptions (Petroleum)'!$AU$2:$AW$2)/10^9,0)</f>
        <v>0</v>
      </c>
      <c r="BJ2440" s="105">
        <f>IF($AY$2231&gt;0,'Assumptions (Petroleum)'!AG237*Model!$AY$2231*AVERAGE('Assumptions (Petroleum)'!$AU$2:$AW$2)/10^9,0)</f>
        <v>0</v>
      </c>
      <c r="BK2440" s="105">
        <f>IF($AY$2231&gt;0,'Assumptions (Petroleum)'!AH237*Model!$AY$2231*AVERAGE('Assumptions (Petroleum)'!$AU$2:$AW$2)/10^9,0)</f>
        <v>0</v>
      </c>
      <c r="BL2440" s="105">
        <f>IF($AY$2231&gt;0,'Assumptions (Petroleum)'!AI237*Model!$AY$2231*AVERAGE('Assumptions (Petroleum)'!$AU$2:$AW$2)/10^9,0)</f>
        <v>0</v>
      </c>
      <c r="BM2440" s="105">
        <f>IF($AY$2231&gt;0,'Assumptions (Petroleum)'!AJ237*Model!$AY$2231*AVERAGE('Assumptions (Petroleum)'!$AU$2:$AW$2)/10^9,0)</f>
        <v>0</v>
      </c>
      <c r="BN2440" s="105">
        <f>IF($AY$2231&gt;0,'Assumptions (Petroleum)'!AK237*Model!$AY$2231*AVERAGE('Assumptions (Petroleum)'!$AU$2:$AW$2)/10^9,0)</f>
        <v>0</v>
      </c>
      <c r="BO2440" s="105"/>
      <c r="BP2440" s="105"/>
    </row>
    <row r="2441" spans="1:68" ht="15.75" hidden="1" customHeight="1" outlineLevel="1">
      <c r="A2441" s="447"/>
      <c r="B2441" s="99"/>
      <c r="C2441" s="99"/>
      <c r="D2441" s="99"/>
      <c r="E2441" s="99"/>
      <c r="F2441" s="99"/>
      <c r="G2441" s="99"/>
      <c r="H2441" s="99"/>
      <c r="I2441" s="99"/>
      <c r="J2441" s="99"/>
      <c r="K2441" s="99"/>
      <c r="L2441" s="99"/>
      <c r="M2441" s="99"/>
      <c r="N2441" s="99"/>
      <c r="O2441" s="99"/>
      <c r="P2441" s="99"/>
      <c r="Q2441" s="99"/>
      <c r="R2441" s="99"/>
      <c r="S2441" s="99"/>
      <c r="T2441" s="99"/>
      <c r="U2441" s="99"/>
      <c r="V2441" s="99"/>
      <c r="W2441" s="105"/>
      <c r="X2441" s="105"/>
      <c r="Y2441" s="105"/>
      <c r="Z2441" s="105"/>
      <c r="AA2441" s="105"/>
      <c r="AB2441" s="105"/>
      <c r="AC2441" s="105"/>
      <c r="AD2441" s="105"/>
      <c r="AE2441" s="105"/>
      <c r="AF2441" s="105"/>
      <c r="AG2441" s="105"/>
      <c r="AH2441" s="105"/>
      <c r="AI2441" s="105"/>
      <c r="AJ2441" s="171"/>
      <c r="AK2441" s="105"/>
      <c r="AL2441" s="91"/>
      <c r="AM2441" s="91"/>
      <c r="AN2441" s="91"/>
      <c r="AO2441" s="105"/>
      <c r="AP2441" s="105"/>
      <c r="AQ2441" s="105"/>
      <c r="AR2441" s="105"/>
      <c r="AS2441" s="105"/>
      <c r="AT2441" s="105"/>
      <c r="AU2441" s="105"/>
      <c r="AV2441" s="105"/>
      <c r="AW2441" s="105"/>
      <c r="AX2441" s="105"/>
      <c r="AY2441" s="105"/>
      <c r="AZ2441" s="105">
        <f>IF($AZ$2231&gt;0,'Assumptions (Petroleum)'!V237*Model!$AZ$2231*AVERAGE('Assumptions (Petroleum)'!$AV$2:$AX$2)/10^9,0)</f>
        <v>0</v>
      </c>
      <c r="BA2441" s="105">
        <f>IF($AZ$2231&gt;0,'Assumptions (Petroleum)'!W237*Model!$AZ$2231*AVERAGE('Assumptions (Petroleum)'!$AV$2:$AX$2)/10^9,0)</f>
        <v>0</v>
      </c>
      <c r="BB2441" s="105">
        <f>IF($AZ$2231&gt;0,'Assumptions (Petroleum)'!X237*Model!$AZ$2231*AVERAGE('Assumptions (Petroleum)'!$AV$2:$AX$2)/10^9,0)</f>
        <v>0</v>
      </c>
      <c r="BC2441" s="105">
        <f>IF($AZ$2231&gt;0,'Assumptions (Petroleum)'!Y237*Model!$AZ$2231*AVERAGE('Assumptions (Petroleum)'!$AV$2:$AX$2)/10^9,0)</f>
        <v>0</v>
      </c>
      <c r="BD2441" s="105">
        <f>IF($AZ$2231&gt;0,'Assumptions (Petroleum)'!Z237*Model!$AZ$2231*AVERAGE('Assumptions (Petroleum)'!$AV$2:$AX$2)/10^9,0)</f>
        <v>0</v>
      </c>
      <c r="BE2441" s="105">
        <f>IF($AZ$2231&gt;0,'Assumptions (Petroleum)'!AA237*Model!$AZ$2231*AVERAGE('Assumptions (Petroleum)'!$AV$2:$AX$2)/10^9,0)</f>
        <v>0</v>
      </c>
      <c r="BF2441" s="105">
        <f>IF($AZ$2231&gt;0,'Assumptions (Petroleum)'!AB237*Model!$AZ$2231*AVERAGE('Assumptions (Petroleum)'!$AV$2:$AX$2)/10^9,0)</f>
        <v>0</v>
      </c>
      <c r="BG2441" s="105">
        <f>IF($AZ$2231&gt;0,'Assumptions (Petroleum)'!AC237*Model!$AZ$2231*AVERAGE('Assumptions (Petroleum)'!$AV$2:$AX$2)/10^9,0)</f>
        <v>0</v>
      </c>
      <c r="BH2441" s="105">
        <f>IF($AZ$2231&gt;0,'Assumptions (Petroleum)'!AD237*Model!$AZ$2231*AVERAGE('Assumptions (Petroleum)'!$AV$2:$AX$2)/10^9,0)</f>
        <v>0</v>
      </c>
      <c r="BI2441" s="105">
        <f>IF($AZ$2231&gt;0,'Assumptions (Petroleum)'!AE237*Model!$AZ$2231*AVERAGE('Assumptions (Petroleum)'!$AV$2:$AX$2)/10^9,0)</f>
        <v>0</v>
      </c>
      <c r="BJ2441" s="105">
        <f>IF($AZ$2231&gt;0,'Assumptions (Petroleum)'!AF237*Model!$AZ$2231*AVERAGE('Assumptions (Petroleum)'!$AV$2:$AX$2)/10^9,0)</f>
        <v>0</v>
      </c>
      <c r="BK2441" s="105">
        <f>IF($AZ$2231&gt;0,'Assumptions (Petroleum)'!AG237*Model!$AZ$2231*AVERAGE('Assumptions (Petroleum)'!$AV$2:$AX$2)/10^9,0)</f>
        <v>0</v>
      </c>
      <c r="BL2441" s="105">
        <f>IF($AZ$2231&gt;0,'Assumptions (Petroleum)'!AH237*Model!$AZ$2231*AVERAGE('Assumptions (Petroleum)'!$AV$2:$AX$2)/10^9,0)</f>
        <v>0</v>
      </c>
      <c r="BM2441" s="105">
        <f>IF($AZ$2231&gt;0,'Assumptions (Petroleum)'!AI237*Model!$AZ$2231*AVERAGE('Assumptions (Petroleum)'!$AV$2:$AX$2)/10^9,0)</f>
        <v>0</v>
      </c>
      <c r="BN2441" s="105">
        <f>IF($AZ$2231&gt;0,'Assumptions (Petroleum)'!AJ237*Model!$AZ$2231*AVERAGE('Assumptions (Petroleum)'!$AV$2:$AX$2)/10^9,0)</f>
        <v>0</v>
      </c>
      <c r="BO2441" s="105">
        <f>IF($AZ$2231&gt;0,'Assumptions (Petroleum)'!AK237*Model!$AZ$2231*AVERAGE('Assumptions (Petroleum)'!$AV$2:$AX$2)/10^9,0)</f>
        <v>0</v>
      </c>
      <c r="BP2441" s="105"/>
    </row>
    <row r="2442" spans="1:68" ht="15.75" hidden="1" customHeight="1" outlineLevel="1">
      <c r="A2442" s="447"/>
      <c r="B2442" s="99"/>
      <c r="C2442" s="99"/>
      <c r="D2442" s="99"/>
      <c r="E2442" s="99"/>
      <c r="F2442" s="99"/>
      <c r="G2442" s="99"/>
      <c r="H2442" s="99"/>
      <c r="I2442" s="99"/>
      <c r="J2442" s="99"/>
      <c r="K2442" s="99"/>
      <c r="L2442" s="99"/>
      <c r="M2442" s="99"/>
      <c r="N2442" s="99"/>
      <c r="O2442" s="99"/>
      <c r="P2442" s="99"/>
      <c r="Q2442" s="99"/>
      <c r="R2442" s="99"/>
      <c r="S2442" s="99"/>
      <c r="T2442" s="99"/>
      <c r="U2442" s="99"/>
      <c r="V2442" s="99"/>
      <c r="W2442" s="105"/>
      <c r="X2442" s="105"/>
      <c r="Y2442" s="105"/>
      <c r="Z2442" s="105"/>
      <c r="AA2442" s="105"/>
      <c r="AB2442" s="105"/>
      <c r="AC2442" s="105"/>
      <c r="AD2442" s="105"/>
      <c r="AE2442" s="105"/>
      <c r="AF2442" s="105"/>
      <c r="AG2442" s="105"/>
      <c r="AH2442" s="105"/>
      <c r="AI2442" s="105"/>
      <c r="AJ2442" s="171"/>
      <c r="AK2442" s="105"/>
      <c r="AL2442" s="91"/>
      <c r="AM2442" s="91"/>
      <c r="AN2442" s="91"/>
      <c r="AO2442" s="105"/>
      <c r="AP2442" s="105"/>
      <c r="AQ2442" s="105"/>
      <c r="AR2442" s="105"/>
      <c r="AS2442" s="105"/>
      <c r="AT2442" s="105"/>
      <c r="AU2442" s="105"/>
      <c r="AV2442" s="105"/>
      <c r="AW2442" s="105"/>
      <c r="AX2442" s="105"/>
      <c r="AY2442" s="105"/>
      <c r="AZ2442" s="105"/>
      <c r="BA2442" s="105">
        <f>IF($BA$2231&gt;0,'Assumptions (Petroleum)'!V237*Model!$BA$2231*AVERAGE('Assumptions (Petroleum)'!$AW$2:$AY$2)/10^9,0)</f>
        <v>0</v>
      </c>
      <c r="BB2442" s="105">
        <f>IF($BA$2231&gt;0,'Assumptions (Petroleum)'!W237*Model!$BA$2231*AVERAGE('Assumptions (Petroleum)'!$AW$2:$AY$2)/10^9,0)</f>
        <v>0</v>
      </c>
      <c r="BC2442" s="105">
        <f>IF($BA$2231&gt;0,'Assumptions (Petroleum)'!X237*Model!$BA$2231*AVERAGE('Assumptions (Petroleum)'!$AW$2:$AY$2)/10^9,0)</f>
        <v>0</v>
      </c>
      <c r="BD2442" s="105">
        <f>IF($BA$2231&gt;0,'Assumptions (Petroleum)'!Y237*Model!$BA$2231*AVERAGE('Assumptions (Petroleum)'!$AW$2:$AY$2)/10^9,0)</f>
        <v>0</v>
      </c>
      <c r="BE2442" s="105">
        <f>IF($BA$2231&gt;0,'Assumptions (Petroleum)'!Z237*Model!$BA$2231*AVERAGE('Assumptions (Petroleum)'!$AW$2:$AY$2)/10^9,0)</f>
        <v>0</v>
      </c>
      <c r="BF2442" s="105">
        <f>IF($BA$2231&gt;0,'Assumptions (Petroleum)'!AA237*Model!$BA$2231*AVERAGE('Assumptions (Petroleum)'!$AW$2:$AY$2)/10^9,0)</f>
        <v>0</v>
      </c>
      <c r="BG2442" s="105">
        <f>IF($BA$2231&gt;0,'Assumptions (Petroleum)'!AB237*Model!$BA$2231*AVERAGE('Assumptions (Petroleum)'!$AW$2:$AY$2)/10^9,0)</f>
        <v>0</v>
      </c>
      <c r="BH2442" s="105">
        <f>IF($BA$2231&gt;0,'Assumptions (Petroleum)'!AC237*Model!$BA$2231*AVERAGE('Assumptions (Petroleum)'!$AW$2:$AY$2)/10^9,0)</f>
        <v>0</v>
      </c>
      <c r="BI2442" s="105">
        <f>IF($BA$2231&gt;0,'Assumptions (Petroleum)'!AD237*Model!$BA$2231*AVERAGE('Assumptions (Petroleum)'!$AW$2:$AY$2)/10^9,0)</f>
        <v>0</v>
      </c>
      <c r="BJ2442" s="105">
        <f>IF($BA$2231&gt;0,'Assumptions (Petroleum)'!AE237*Model!$BA$2231*AVERAGE('Assumptions (Petroleum)'!$AW$2:$AY$2)/10^9,0)</f>
        <v>0</v>
      </c>
      <c r="BK2442" s="105">
        <f>IF($BA$2231&gt;0,'Assumptions (Petroleum)'!AF237*Model!$BA$2231*AVERAGE('Assumptions (Petroleum)'!$AW$2:$AY$2)/10^9,0)</f>
        <v>0</v>
      </c>
      <c r="BL2442" s="105">
        <f>IF($BA$2231&gt;0,'Assumptions (Petroleum)'!AG237*Model!$BA$2231*AVERAGE('Assumptions (Petroleum)'!$AW$2:$AY$2)/10^9,0)</f>
        <v>0</v>
      </c>
      <c r="BM2442" s="105">
        <f>IF($BA$2231&gt;0,'Assumptions (Petroleum)'!AH237*Model!$BA$2231*AVERAGE('Assumptions (Petroleum)'!$AW$2:$AY$2)/10^9,0)</f>
        <v>0</v>
      </c>
      <c r="BN2442" s="105">
        <f>IF($BA$2231&gt;0,'Assumptions (Petroleum)'!AI237*Model!$BA$2231*AVERAGE('Assumptions (Petroleum)'!$AW$2:$AY$2)/10^9,0)</f>
        <v>0</v>
      </c>
      <c r="BO2442" s="105">
        <f>IF($BA$2231&gt;0,'Assumptions (Petroleum)'!AJ237*Model!$BA$2231*AVERAGE('Assumptions (Petroleum)'!$AW$2:$AY$2)/10^9,0)</f>
        <v>0</v>
      </c>
      <c r="BP2442" s="105">
        <f>IF($BA$2231&gt;0,'Assumptions (Petroleum)'!AK237*Model!$BA$2231*AVERAGE('Assumptions (Petroleum)'!$AW$2:$AY$2)/10^9,0)</f>
        <v>0</v>
      </c>
    </row>
    <row r="2443" spans="1:68" ht="15.75" customHeight="1" collapsed="1">
      <c r="A2443" s="447" t="s">
        <v>62</v>
      </c>
      <c r="B2443" s="99" t="s">
        <v>201</v>
      </c>
      <c r="C2443" s="409">
        <f>IF(Model!C2229+Model!C2230-C2228-C2391+C2339&gt;0,(1-'Assumptions (Petroleum)'!B22)*(Model!C2229+Model!C2230-C2228-C2391+C2339)+Model!C2391-C2286+Model!C2287,Model!C2229+Model!C2230-C2228+C2339-C2286+Model!C2287)</f>
        <v>3.6388187910088785</v>
      </c>
      <c r="D2443" s="409">
        <f>IF(Model!D2229+Model!D2230-D2228-D2391+D2339&gt;0,(1-'Assumptions (Petroleum)'!C22)*(Model!D2229+Model!D2230-D2228-D2391+D2339)+Model!D2391-D2286+Model!D2287,Model!D2229+Model!D2230-D2228+D2339-D2286+Model!D2287)</f>
        <v>4.559521058422531</v>
      </c>
      <c r="E2443" s="409">
        <f>IF(Model!E2229+Model!E2230-E2228-E2391+E2339&gt;0,(1-'Assumptions (Petroleum)'!D22)*(Model!E2229+Model!E2230-E2228-E2391+E2339)+Model!E2391-E2286+Model!E2287,Model!E2229+Model!E2230-E2228+E2339-E2286+Model!E2287)</f>
        <v>2.886018264951479</v>
      </c>
      <c r="F2443" s="409">
        <f>IF(Model!F2229+Model!F2230-F2228-F2391+F2339&gt;0,(1-'Assumptions (Petroleum)'!E22)*(Model!F2229+Model!F2230-F2228-F2391+F2339)+Model!F2391-F2286+Model!F2287,Model!F2229+Model!F2230-F2228+F2339-F2286+Model!F2287)</f>
        <v>4.8327550522901435</v>
      </c>
      <c r="G2443" s="409">
        <f>IF(Model!G2229+Model!G2230-G2228-G2391+G2339&gt;0,(1-'Assumptions (Petroleum)'!F22)*(Model!G2229+Model!G2230-G2228-G2391+G2339)+Model!G2391-G2286+Model!G2287,Model!G2229+Model!G2230-G2228+G2339-G2286+Model!G2287)</f>
        <v>5.1663519508146045</v>
      </c>
      <c r="H2443" s="409">
        <f>IF(Model!H2229+Model!H2230-H2228-H2391+H2339&gt;0,(1-'Assumptions (Petroleum)'!G22)*(Model!H2229+Model!H2230-H2228-H2391+H2339)+Model!H2391-H2286+Model!H2287,Model!H2229+Model!H2230-H2228+H2339-H2286+Model!H2287)</f>
        <v>6.4246387305404928</v>
      </c>
      <c r="I2443" s="409">
        <f>IF(Model!I2229+Model!I2230-I2228-I2391+I2339&gt;0,(1-'Assumptions (Petroleum)'!H22)*(Model!I2229+Model!I2230-I2228-I2391+I2339)+Model!I2391-I2286+Model!I2287,Model!I2229+Model!I2230-I2228+I2339-I2286+Model!I2287)</f>
        <v>2.5670191633300319</v>
      </c>
      <c r="J2443" s="409">
        <f>IF(Model!J2229+Model!J2230-J2228-J2391+J2339&gt;0,(1-'Assumptions (Petroleum)'!I22)*(Model!J2229+Model!J2230-J2228-J2391+J2339)+Model!J2391-J2286+Model!J2287,Model!J2229+Model!J2230-J2228+J2339-J2286+Model!J2287)</f>
        <v>2.6272573639452683</v>
      </c>
      <c r="K2443" s="409">
        <f>IF(Model!K2229+Model!K2230-K2228-K2391+K2339&gt;0,(1-'Assumptions (Petroleum)'!J22)*(Model!K2229+Model!K2230-K2228-K2391+K2339)+Model!K2391-K2286+Model!K2287,Model!K2229+Model!K2230-K2228+K2339-K2286+Model!K2287)</f>
        <v>1.8500045239961973</v>
      </c>
      <c r="L2443" s="409">
        <f>IF(Model!L2229+Model!L2230-L2228-L2391+L2339&gt;0,(1-'Assumptions (Petroleum)'!K22)*(Model!L2229+Model!L2230-L2228-L2391+L2339)+Model!L2391-L2286+Model!L2287,Model!L2229+Model!L2230-L2228+L2339-L2286+Model!L2287)</f>
        <v>0.78592123054885277</v>
      </c>
      <c r="M2443" s="409">
        <f>IF(Model!M2229+Model!M2230-M2228-M2391+M2339&gt;0,(1-'Assumptions (Petroleum)'!L22)*(Model!M2229+Model!M2230-M2228-M2391+M2339)+Model!M2391-M2286+Model!M2287,Model!M2229+Model!M2230-M2228+M2339-M2286+Model!M2287)</f>
        <v>0.83141766079684076</v>
      </c>
      <c r="N2443" s="409">
        <f>IF(Model!N2229+Model!N2230-N2228-N2391+N2339&gt;0,(1-'Assumptions (Petroleum)'!M22)*(Model!N2229+Model!N2230-N2228-N2391+N2339)+Model!N2391-N2286+Model!N2287,Model!N2229+Model!N2230-N2228+N2339-N2286+Model!N2287)</f>
        <v>0.53655606872951522</v>
      </c>
      <c r="O2443" s="409">
        <f>IF(Model!O2229+Model!O2230-O2228-O2391+O2339&gt;0,(1-'Assumptions (Petroleum)'!N22)*(Model!O2229+Model!O2230-O2228-O2391+O2339)+Model!O2391-O2286+Model!O2287,Model!O2229+Model!O2230-O2228+O2339-O2286+Model!O2287)</f>
        <v>0.18296681168696696</v>
      </c>
      <c r="P2443" s="409">
        <f>IF(Model!P2229+Model!P2230-P2228-P2391+P2339&gt;0,(1-'Assumptions (Petroleum)'!O22)*(Model!P2229+Model!P2230-P2228-P2391+P2339)+Model!P2391-P2286+Model!P2287,Model!P2229+Model!P2230-P2228+P2339-P2286+Model!P2287)</f>
        <v>0.44934999755109795</v>
      </c>
      <c r="Q2443" s="409">
        <f>IF(Model!Q2229+Model!Q2230-Q2228-Q2391+Q2339&gt;0,(1-'Assumptions (Petroleum)'!P22)*(Model!Q2229+Model!Q2230-Q2228-Q2391+Q2339)+Model!Q2391-Q2286+Model!Q2287,Model!Q2229+Model!Q2230-Q2228+Q2339-Q2286+Model!Q2287)</f>
        <v>0.68245357694829656</v>
      </c>
      <c r="R2443" s="409">
        <f>IF(Model!R2229+Model!R2230-R2228-R2391+R2339&gt;0,(1-'Assumptions (Petroleum)'!Q22)*(Model!R2229+Model!R2230-R2228-R2391+R2339)+Model!R2391-R2286+Model!R2287,Model!R2229+Model!R2230-R2228+R2339-R2286+Model!R2287)</f>
        <v>0.44134826337903915</v>
      </c>
      <c r="S2443" s="409">
        <f>IF(Model!S2229+Model!S2230-S2228-S2391+S2339&gt;0,(1-'Assumptions (Petroleum)'!R22)*(Model!S2229+Model!S2230-S2228-S2391+S2339)+Model!S2391-S2286+Model!S2287,Model!S2229+Model!S2230-S2228+S2339-S2286+Model!S2287)</f>
        <v>0.37033765684342129</v>
      </c>
      <c r="T2443" s="409">
        <f>IF(Model!T2229+Model!T2230-T2228-T2391+T2339&gt;0,(1-'Assumptions (Petroleum)'!S22)*(Model!T2229+Model!T2230-T2228-T2391+T2339)+Model!T2391-T2286+Model!T2287,Model!T2229+Model!T2230-T2228+T2339-T2286+Model!T2287)</f>
        <v>0.23055795885224767</v>
      </c>
      <c r="U2443" s="409">
        <f>IF(Model!U2229+Model!U2230-U2228-U2391+U2339&gt;0,(1-'Assumptions (Petroleum)'!T22)*(Model!U2229+Model!U2230-U2228-U2391+U2339)+Model!U2391-U2286+Model!U2287,Model!U2229+Model!U2230-U2228+U2339-U2286+Model!U2287)</f>
        <v>0.27412587413181194</v>
      </c>
      <c r="V2443" s="409">
        <f>IF(Model!V2229+Model!V2230-V2228-V2391+V2339&gt;0,(1-'Assumptions (Petroleum)'!U22)*(Model!V2229+Model!V2230-V2228-V2391+V2339)+Model!V2391-V2286+Model!V2287,Model!V2229+Model!V2230-V2228+V2339-V2286+Model!V2287)</f>
        <v>0.14452166565041177</v>
      </c>
      <c r="W2443" s="409">
        <f>IF(Model!W2229+Model!W2230-W2228-W2391+W2339&gt;0,(1-'Assumptions (Petroleum)'!V22)*(Model!W2229+Model!W2230-W2228-W2391+W2339)+Model!W2391-W2286+Model!W2287,Model!W2229+Model!W2230-W2228+W2339-W2286+Model!W2287)</f>
        <v>0.15646705338879696</v>
      </c>
      <c r="X2443" s="409">
        <f>IF(Model!X2229+Model!X2230-X2228-X2391+X2339&gt;0,(1-'Assumptions (Petroleum)'!W22)*(Model!X2229+Model!X2230-X2228-X2391+X2339)+Model!X2391-X2286+Model!X2287,Model!X2229+Model!X2230-X2228+X2339-X2286+Model!X2287)</f>
        <v>0.15189644663018775</v>
      </c>
      <c r="Y2443" s="409">
        <f>IF(Model!Y2229+Model!Y2230-Y2228-Y2391+Y2339&gt;0,(1-'Assumptions (Petroleum)'!X22)*(Model!Y2229+Model!Y2230-Y2228-Y2391+Y2339)+Model!Y2391-Y2286+Model!Y2287,Model!Y2229+Model!Y2230-Y2228+Y2339-Y2286+Model!Y2287)</f>
        <v>0.15078547750794891</v>
      </c>
      <c r="Z2443" s="409">
        <f>IF(Model!Z2229+Model!Z2230-Z2228-Z2391+Z2339&gt;0,(1-'Assumptions (Petroleum)'!Y22)*(Model!Z2229+Model!Z2230-Z2228-Z2391+Z2339)+Model!Z2391-Z2286+Model!Z2287,Model!Z2229+Model!Z2230-Z2228+Z2339-Z2286+Model!Z2287)</f>
        <v>0.14716111704127838</v>
      </c>
      <c r="AA2443" s="409">
        <f>IF(Model!AA2229+Model!AA2230-AA2228-AA2391+AA2339&gt;0,(1-'Assumptions (Petroleum)'!Z22)*(Model!AA2229+Model!AA2230-AA2228-AA2391+AA2339)+Model!AA2391-AA2286+Model!AA2287,Model!AA2229+Model!AA2230-AA2228+AA2339-AA2286+Model!AA2287)</f>
        <v>0.14471633644585635</v>
      </c>
      <c r="AB2443" s="409">
        <f>IF(Model!AB2229+Model!AB2230-AB2228-AB2391+AB2339&gt;0,(1-'Assumptions (Petroleum)'!AA22)*(Model!AB2229+Model!AB2230-AB2228-AB2391+AB2339)+Model!AB2391-AB2286+Model!AB2287,Model!AB2229+Model!AB2230-AB2228+AB2339-AB2286+Model!AB2287)</f>
        <v>0.17944296102591203</v>
      </c>
      <c r="AC2443" s="409">
        <f>IF(Model!AC2229+Model!AC2230-AC2228-AC2391+AC2339&gt;0,(1-'Assumptions (Petroleum)'!AB22)*(Model!AC2229+Model!AC2230-AC2228-AC2391+AC2339)+Model!AC2391-AC2286+Model!AC2287,Model!AC2229+Model!AC2230-AC2228+AC2339-AC2286+Model!AC2287)</f>
        <v>0.18253218961144499</v>
      </c>
      <c r="AD2443" s="409">
        <f>IF(Model!AD2229+Model!AD2230-AD2228-AD2391+AD2339&gt;0,(1-'Assumptions (Petroleum)'!AC22)*(Model!AD2229+Model!AD2230-AD2228-AD2391+AD2339)+Model!AD2391-AD2286+Model!AD2287,Model!AD2229+Model!AD2230-AD2228+AD2339-AD2286+Model!AD2287)</f>
        <v>0.18404937259285736</v>
      </c>
      <c r="AE2443" s="409">
        <f>IF(Model!AE2229+Model!AE2230-AE2228-AE2391+AE2339&gt;0,(1-'Assumptions (Petroleum)'!AD22)*(Model!AE2229+Model!AE2230-AE2228-AE2391+AE2339)+Model!AE2391-AE2286+Model!AE2287,Model!AE2229+Model!AE2230-AE2228+AE2339-AE2286+Model!AE2287)</f>
        <v>0.17985477634269564</v>
      </c>
      <c r="AF2443" s="409">
        <f>IF(Model!AF2229+Model!AF2230-AF2228-AF2391+AF2339&gt;0,(1-'Assumptions (Petroleum)'!AE22)*(Model!AF2229+Model!AF2230-AF2228-AF2391+AF2339)+Model!AF2391-AF2286+Model!AF2287,Model!AF2229+Model!AF2230-AF2228+AF2339-AF2286+Model!AF2287)</f>
        <v>0.17616521931588114</v>
      </c>
      <c r="AG2443" s="409">
        <f>IF(Model!AG2229+Model!AG2230-AG2228-AG2391+AG2339&gt;0,(1-'Assumptions (Petroleum)'!AF22)*(Model!AG2229+Model!AG2230-AG2228-AG2391+AG2339)+Model!AG2391-AG2286+Model!AG2287,Model!AG2229+Model!AG2230-AG2228+AG2339-AG2286+Model!AG2287)</f>
        <v>0.17281673371889092</v>
      </c>
      <c r="AH2443" s="409">
        <f>IF(Model!AH2229+Model!AH2230-AH2228-AH2391+AH2339&gt;0,(1-'Assumptions (Petroleum)'!AG22)*(Model!AH2229+Model!AH2230-AH2228-AH2391+AH2339)+Model!AH2391-AH2286+Model!AH2287,Model!AH2229+Model!AH2230-AH2228+AH2339-AH2286+Model!AH2287)</f>
        <v>0.16865283198307807</v>
      </c>
      <c r="AI2443" s="409">
        <f>IF(Model!AI2229+Model!AI2230-AI2228-AI2391+AI2339&gt;0,(1-'Assumptions (Petroleum)'!AH22)*(Model!AI2229+Model!AI2230-AI2228-AI2391+AI2339)+Model!AI2391-AI2286+Model!AI2287,Model!AI2229+Model!AI2230-AI2228+AI2339-AI2286+Model!AI2287)</f>
        <v>0.1635883407928555</v>
      </c>
      <c r="AJ2443" s="409">
        <f>IF(Model!AJ2229+Model!AJ2230-AJ2228-AJ2391+AJ2339&gt;0,(1-'Assumptions (Petroleum)'!AI22)*(Model!AJ2229+Model!AJ2230-AJ2228-AJ2391+AJ2339)+Model!AJ2391-AJ2286+Model!AJ2287,Model!AJ2229+Model!AJ2230-AJ2228+AJ2339-AJ2286+Model!AJ2287)</f>
        <v>0.15665375714807109</v>
      </c>
      <c r="AK2443" s="409">
        <f>IF(Model!AK2229+Model!AK2230-AK2228-AK2391+AK2339&gt;0,(1-'Assumptions (Petroleum)'!AJ22)*(Model!AK2229+Model!AK2230-AK2228-AK2391+AK2339)+Model!AK2391-AK2286+Model!AK2287,Model!AK2229+Model!AK2230-AK2228+AK2339-AK2286+Model!AK2287)</f>
        <v>0.14971881490889122</v>
      </c>
      <c r="AL2443" s="409">
        <f>IF(Model!AL2229+Model!AL2230-AL2228-AL2391+AL2339&gt;0,(1-'Assumptions (Petroleum)'!AK22)*(Model!AL2229+Model!AL2230-AL2228-AL2391+AL2339)+Model!AL2391-AL2286+Model!AL2287,Model!AL2229+Model!AL2230-AL2228+AL2339-AL2286+Model!AL2287)</f>
        <v>0.14219519555066712</v>
      </c>
      <c r="AM2443" s="409">
        <f>IF(Model!AM2229+Model!AM2230-AM2228-AM2391+AM2339&gt;0,(1-'Assumptions (Petroleum)'!AL22)*(Model!AM2229+Model!AM2230-AM2228-AM2391+AM2339)+Model!AM2391-AM2286+Model!AM2287,Model!AM2229+Model!AM2230-AM2228+AM2339-AM2286+Model!AM2287)</f>
        <v>0.13577157807256279</v>
      </c>
      <c r="AN2443" s="409">
        <f>IF(Model!AN2229+Model!AN2230-AN2228-AN2391+AN2339&gt;0,(1-'Assumptions (Petroleum)'!AM22)*(Model!AN2229+Model!AN2230-AN2228-AN2391+AN2339)+Model!AN2391-AN2286+Model!AN2287,Model!AN2229+Model!AN2230-AN2228+AN2339-AN2286+Model!AN2287)</f>
        <v>0.12866922342465001</v>
      </c>
      <c r="AO2443" s="409">
        <f>IF(Model!AO2229+Model!AO2230-AO2228-AO2391+AO2339&gt;0,(1-'Assumptions (Petroleum)'!AN22)*(Model!AO2229+Model!AO2230-AO2228-AO2391+AO2339)+Model!AO2391-AO2286+Model!AO2287,Model!AO2229+Model!AO2230-AO2228+AO2339-AO2286+Model!AO2287)</f>
        <v>0.12198197429373477</v>
      </c>
      <c r="AP2443" s="409">
        <f>IF(Model!AP2229+Model!AP2230-AP2228-AP2391+AP2339&gt;0,(1-'Assumptions (Petroleum)'!AO22)*(Model!AP2229+Model!AP2230-AP2228-AP2391+AP2339)+Model!AP2391-AP2286+Model!AP2287,Model!AP2229+Model!AP2230-AP2228+AP2339-AP2286+Model!AP2287)</f>
        <v>0.1148071812284861</v>
      </c>
      <c r="AQ2443" s="409">
        <f>IF(Model!AQ2229+Model!AQ2230-AQ2228-AQ2391+AQ2339&gt;0,(1-'Assumptions (Petroleum)'!AP22)*(Model!AQ2229+Model!AQ2230-AQ2228-AQ2391+AQ2339)+Model!AQ2391-AQ2286+Model!AQ2287,Model!AQ2229+Model!AQ2230-AQ2228+AQ2339-AQ2286+Model!AQ2287)</f>
        <v>0.10669114357127106</v>
      </c>
      <c r="AR2443" s="409">
        <f>IF(Model!AR2229+Model!AR2230-AR2228-AR2391+AR2339&gt;0,(1-'Assumptions (Petroleum)'!AQ22)*(Model!AR2229+Model!AR2230-AR2228-AR2391+AR2339)+Model!AR2391-AR2286+Model!AR2287,Model!AR2229+Model!AR2230-AR2228+AR2339-AR2286+Model!AR2287)</f>
        <v>9.7969018923078882E-2</v>
      </c>
      <c r="AS2443" s="409">
        <f>IF(Model!AS2229+Model!AS2230-AS2228-AS2391+AS2339&gt;0,(1-'Assumptions (Petroleum)'!AR22)*(Model!AS2229+Model!AS2230-AS2228-AS2391+AS2339)+Model!AS2391-AS2286+Model!AS2287,Model!AS2229+Model!AS2230-AS2228+AS2339-AS2286+Model!AS2287)</f>
        <v>8.8748015851976433E-2</v>
      </c>
      <c r="AT2443" s="409">
        <f>IF(Model!AT2229+Model!AT2230-AT2228-AT2391+AT2339&gt;0,(1-'Assumptions (Petroleum)'!AS22)*(Model!AT2229+Model!AT2230-AT2228-AT2391+AT2339)+Model!AT2391-AT2286+Model!AT2287,Model!AT2229+Model!AT2230-AT2228+AT2339-AT2286+Model!AT2287)</f>
        <v>7.9275337251355493E-2</v>
      </c>
      <c r="AU2443" s="409">
        <f>IF(Model!AU2229+Model!AU2230-AU2228-AU2391+AU2339&gt;0,(1-'Assumptions (Petroleum)'!AT22)*(Model!AU2229+Model!AU2230-AU2228-AU2391+AU2339)+Model!AU2391-AU2286+Model!AU2287,Model!AU2229+Model!AU2230-AU2228+AU2339-AU2286+Model!AU2287)</f>
        <v>6.9511151651504982E-2</v>
      </c>
      <c r="AV2443" s="409">
        <f>IF(Model!AV2229+Model!AV2230-AV2228-AV2391+AV2339&gt;0,(1-'Assumptions (Petroleum)'!AU22)*(Model!AV2229+Model!AV2230-AV2228-AV2391+AV2339)+Model!AV2391-AV2286+Model!AV2287,Model!AV2229+Model!AV2230-AV2228+AV2339-AV2286+Model!AV2287)</f>
        <v>5.926933978357686E-2</v>
      </c>
      <c r="AW2443" s="409">
        <f>IF(Model!AW2229+Model!AW2230-AW2228-AW2391+AW2339&gt;0,(1-'Assumptions (Petroleum)'!AV22)*(Model!AW2229+Model!AW2230-AW2228-AW2391+AW2339)+Model!AW2391-AW2286+Model!AW2287,Model!AW2229+Model!AW2230-AW2228+AW2339-AW2286+Model!AW2287)</f>
        <v>4.8281225178206058E-2</v>
      </c>
      <c r="AX2443" s="409">
        <f>IF(Model!AX2229+Model!AX2230-AX2228-AX2391+AX2339&gt;0,(1-'Assumptions (Petroleum)'!AW22)*(Model!AX2229+Model!AX2230-AX2228-AX2391+AX2339)+Model!AX2391-AX2286+Model!AX2287,Model!AX2229+Model!AX2230-AX2228+AX2339-AX2286+Model!AX2287)</f>
        <v>3.7145325393216432E-2</v>
      </c>
      <c r="AY2443" s="409">
        <f>IF(Model!AY2229+Model!AY2230-AY2228-AY2391+AY2339&gt;0,(1-'Assumptions (Petroleum)'!AX22)*(Model!AY2229+Model!AY2230-AY2228-AY2391+AY2339)+Model!AY2391-AY2286+Model!AY2287,Model!AY2229+Model!AY2230-AY2228+AY2339-AY2286+Model!AY2287)</f>
        <v>2.6195670340446443E-2</v>
      </c>
      <c r="AZ2443" s="409">
        <f>IF(Model!AZ2229+Model!AZ2230-AZ2228-AZ2391+AZ2339&gt;0,(1-'Assumptions (Petroleum)'!AY22)*(Model!AZ2229+Model!AZ2230-AZ2228-AZ2391+AZ2339)+Model!AZ2391-AZ2286+Model!AZ2287,Model!AZ2229+Model!AZ2230-AZ2228+AZ2339-AZ2286+Model!AZ2287)</f>
        <v>1.3569239554049246E-2</v>
      </c>
      <c r="BA2443" s="409">
        <f>IF(Model!BA2229+Model!BA2230-BA2228-BA2391+BA2339&gt;0,(1-'Assumptions (Petroleum)'!AZ22)*(Model!BA2229+Model!BA2230-BA2228-BA2391+BA2339)+Model!BA2391-BA2286+Model!BA2287,Model!BA2229+Model!BA2230-BA2228+BA2339-BA2286+Model!BA2287)</f>
        <v>-1.9426022659953678E-6</v>
      </c>
    </row>
    <row r="2444" spans="1:68" ht="15.75" customHeight="1">
      <c r="A2444" s="447" t="s">
        <v>64</v>
      </c>
      <c r="B2444" s="99" t="s">
        <v>201</v>
      </c>
      <c r="C2444" s="409">
        <f>IF(C2229+C2230-C2228-C2391+C2339&gt;0,'Assumptions (Petroleum)'!B22*(C2229+C2230-C2228-C2391+C2339)-'Assumptions (Petroleum)'!B23*Model!C2227/10^3,'Assumptions (Petroleum)'!B23*Model!C2227/10^3)</f>
        <v>2.1475195983403275</v>
      </c>
      <c r="D2444" s="409">
        <f>IF(D2229+D2230-D2228-D2391+D2339&gt;0,'Assumptions (Petroleum)'!C22*(D2229+D2230-D2228-D2391+D2339)-'Assumptions (Petroleum)'!C23*Model!D2227/10^3,'Assumptions (Petroleum)'!C23*Model!D2227/10^3)</f>
        <v>2.4796997347878724</v>
      </c>
      <c r="E2444" s="409">
        <f>IF(E2229+E2230-E2228-E2391+E2339&gt;0,'Assumptions (Petroleum)'!D22*(E2229+E2230-E2228-E2391+E2339)-'Assumptions (Petroleum)'!D23*Model!E2227/10^3,'Assumptions (Petroleum)'!D23*Model!E2227/10^3)</f>
        <v>1.5584506826203244</v>
      </c>
      <c r="F2444" s="409">
        <f>IF(F2229+F2230-F2228-F2391+F2339&gt;0,'Assumptions (Petroleum)'!E22*(F2229+F2230-F2228-F2391+F2339)-'Assumptions (Petroleum)'!E23*Model!F2227/10^3,'Assumptions (Petroleum)'!E23*Model!F2227/10^3)</f>
        <v>2.5986198608331486</v>
      </c>
      <c r="G2444" s="409">
        <f>IF(G2229+G2230-G2228-G2391+G2339&gt;0,'Assumptions (Petroleum)'!F22*(G2229+G2230-G2228-G2391+G2339)-'Assumptions (Petroleum)'!F23*Model!G2227/10^3,'Assumptions (Petroleum)'!F23*Model!G2227/10^3)</f>
        <v>2.7794353410926993</v>
      </c>
      <c r="H2444" s="409">
        <f>IF(H2229+H2230-H2228-H2391+H2339&gt;0,'Assumptions (Petroleum)'!G22*(H2229+H2230-H2228-H2391+H2339)-'Assumptions (Petroleum)'!G23*Model!H2227/10^3,'Assumptions (Petroleum)'!G23*Model!H2227/10^3)</f>
        <v>3.4571034298864554</v>
      </c>
      <c r="I2444" s="409">
        <f>IF(I2229+I2230-I2228-I2391+I2339&gt;0,'Assumptions (Petroleum)'!H22*(I2229+I2230-I2228-I2391+I2339)-'Assumptions (Petroleum)'!H23*Model!I2227/10^3,'Assumptions (Petroleum)'!H23*Model!I2227/10^3)</f>
        <v>1.3771268367347169</v>
      </c>
      <c r="J2444" s="409">
        <f>IF(J2229+J2230-J2228-J2391+J2339&gt;0,'Assumptions (Petroleum)'!I22*(J2229+J2230-J2228-J2391+J2339)-'Assumptions (Petroleum)'!I23*Model!J2227/10^3,'Assumptions (Petroleum)'!I23*Model!J2227/10^3)</f>
        <v>1.4461757767785473</v>
      </c>
      <c r="K2444" s="409">
        <f>IF(K2229+K2230-K2228-K2391+K2339&gt;0,'Assumptions (Petroleum)'!J22*(K2229+K2230-K2228-K2391+K2339)-'Assumptions (Petroleum)'!J23*Model!K2227/10^3,'Assumptions (Petroleum)'!J23*Model!K2227/10^3)</f>
        <v>1.0419555810812555</v>
      </c>
      <c r="L2444" s="409">
        <f>IF(L2229+L2230-L2228-L2391+L2339&gt;0,'Assumptions (Petroleum)'!K22*(L2229+L2230-L2228-L2391+L2339)-'Assumptions (Petroleum)'!K23*Model!L2227/10^3,'Assumptions (Petroleum)'!K23*Model!L2227/10^3)</f>
        <v>0.47947692438454032</v>
      </c>
      <c r="M2444" s="409">
        <f>IF(M2229+M2230-M2228-M2391+M2339&gt;0,'Assumptions (Petroleum)'!L22*(M2229+M2230-M2228-M2391+M2339)-'Assumptions (Petroleum)'!L23*Model!M2227/10^3,'Assumptions (Petroleum)'!L23*Model!M2227/10^3)</f>
        <v>0.45064586201504064</v>
      </c>
      <c r="N2444" s="409">
        <f>IF(N2229+N2230-N2228-N2391+N2339&gt;0,'Assumptions (Petroleum)'!M22*(N2229+N2230-N2228-N2391+N2339)-'Assumptions (Petroleum)'!M23*Model!N2227/10^3,'Assumptions (Petroleum)'!M23*Model!N2227/10^3)</f>
        <v>0.25945932293448598</v>
      </c>
      <c r="O2444" s="409">
        <f>IF(O2229+O2230-O2228-O2391+O2339&gt;0,'Assumptions (Petroleum)'!N22*(O2229+O2230-O2228-O2391+O2339)-'Assumptions (Petroleum)'!N23*Model!O2227/10^3,'Assumptions (Petroleum)'!N23*Model!O2227/10^3)</f>
        <v>6.0889017297348386E-2</v>
      </c>
      <c r="P2444" s="409">
        <f>IF(P2229+P2230-P2228-P2391+P2339&gt;0,'Assumptions (Petroleum)'!O22*(P2229+P2230-P2228-P2391+P2339)-'Assumptions (Petroleum)'!O23*Model!P2227/10^3,'Assumptions (Petroleum)'!O23*Model!P2227/10^3)</f>
        <v>0.20698450244939809</v>
      </c>
      <c r="Q2444" s="409">
        <f>IF(Q2229+Q2230-Q2228-Q2391+Q2339&gt;0,'Assumptions (Petroleum)'!P22*(Q2229+Q2230-Q2228-Q2391+Q2339)-'Assumptions (Petroleum)'!P23*Model!Q2227/10^3,'Assumptions (Petroleum)'!P23*Model!Q2227/10^3)</f>
        <v>0.33942256885577277</v>
      </c>
      <c r="R2444" s="409">
        <f>IF(R2229+R2230-R2228-R2391+R2339&gt;0,'Assumptions (Petroleum)'!Q22*(R2229+R2230-R2228-R2391+R2339)-'Assumptions (Petroleum)'!Q23*Model!R2227/10^3,'Assumptions (Petroleum)'!Q23*Model!R2227/10^3)</f>
        <v>0.2086304288259217</v>
      </c>
      <c r="S2444" s="409">
        <f>IF(S2229+S2230-S2228-S2391+S2339&gt;0,'Assumptions (Petroleum)'!R22*(S2229+S2230-S2228-S2391+S2339)-'Assumptions (Petroleum)'!R23*Model!S2227/10^3,'Assumptions (Petroleum)'!R23*Model!S2227/10^3)</f>
        <v>0.1745770913744128</v>
      </c>
      <c r="T2444" s="409">
        <f>IF(T2229+T2230-T2228-T2391+T2339&gt;0,'Assumptions (Petroleum)'!S22*(T2229+T2230-T2228-T2391+T2339)-'Assumptions (Petroleum)'!S23*Model!T2227/10^3,'Assumptions (Petroleum)'!S23*Model!T2227/10^3)</f>
        <v>0.10063614303875294</v>
      </c>
      <c r="U2444" s="409">
        <f>IF(U2229+U2230-U2228-U2391+U2339&gt;0,'Assumptions (Petroleum)'!T22*(U2229+U2230-U2228-U2391+U2339)-'Assumptions (Petroleum)'!T23*Model!U2227/10^3,'Assumptions (Petroleum)'!T23*Model!U2227/10^3)</f>
        <v>6.2173158139901666E-2</v>
      </c>
      <c r="V2444" s="409">
        <f>IF(V2229+V2230-V2228-V2391+V2339&gt;0,'Assumptions (Petroleum)'!U22*(V2229+V2230-V2228-V2391+V2339)-'Assumptions (Petroleum)'!U23*Model!V2227/10^3,'Assumptions (Petroleum)'!U23*Model!V2227/10^3)</f>
        <v>2.8560424248518793E-2</v>
      </c>
      <c r="W2444" s="409">
        <f>IF(W2229+W2230-W2228-W2391+W2339&gt;0,'Assumptions (Petroleum)'!V22*(W2229+W2230-W2228-W2391+W2339)-'Assumptions (Petroleum)'!V23*Model!W2227/10^3,'Assumptions (Petroleum)'!V23*Model!W2227/10^3)</f>
        <v>3.3392928270844204E-2</v>
      </c>
      <c r="X2444" s="409">
        <f>IF(X2229+X2230-X2228-X2391+X2339&gt;0,'Assumptions (Petroleum)'!W22*(X2229+X2230-X2228-X2391+X2339)-'Assumptions (Petroleum)'!W23*Model!X2227/10^3,'Assumptions (Petroleum)'!W23*Model!X2227/10^3)</f>
        <v>3.3248024628610512E-2</v>
      </c>
      <c r="Y2444" s="409">
        <f>IF(Y2229+Y2230-Y2228-Y2391+Y2339&gt;0,'Assumptions (Petroleum)'!X22*(Y2229+Y2230-Y2228-Y2391+Y2339)-'Assumptions (Petroleum)'!X23*Model!Y2227/10^3,'Assumptions (Petroleum)'!X23*Model!Y2227/10^3)</f>
        <v>3.3774730688083593E-2</v>
      </c>
      <c r="Z2444" s="409">
        <f>IF(Z2229+Z2230-Z2228-Z2391+Z2339&gt;0,'Assumptions (Petroleum)'!Y22*(Z2229+Z2230-Z2228-Z2391+Z2339)-'Assumptions (Petroleum)'!Y23*Model!Z2227/10^3,'Assumptions (Petroleum)'!Y23*Model!Z2227/10^3)</f>
        <v>3.4731488814003057E-2</v>
      </c>
      <c r="AA2444" s="409">
        <f>IF(AA2229+AA2230-AA2228-AA2391+AA2339&gt;0,'Assumptions (Petroleum)'!Z22*(AA2229+AA2230-AA2228-AA2391+AA2339)-'Assumptions (Petroleum)'!Z23*Model!AA2227/10^3,'Assumptions (Petroleum)'!Z23*Model!AA2227/10^3)</f>
        <v>3.513215754904353E-2</v>
      </c>
      <c r="AB2444" s="409">
        <f>IF(AB2229+AB2230-AB2228-AB2391+AB2339&gt;0,'Assumptions (Petroleum)'!AA22*(AB2229+AB2230-AB2228-AB2391+AB2339)-'Assumptions (Petroleum)'!AA23*Model!AB2227/10^3,'Assumptions (Petroleum)'!AA23*Model!AB2227/10^3)</f>
        <v>4.0554479766936068E-2</v>
      </c>
      <c r="AC2444" s="409">
        <f>IF(AC2229+AC2230-AC2228-AC2391+AC2339&gt;0,'Assumptions (Petroleum)'!AB22*(AC2229+AC2230-AC2228-AC2391+AC2339)-'Assumptions (Petroleum)'!AB23*Model!AC2227/10^3,'Assumptions (Petroleum)'!AB23*Model!AC2227/10^3)</f>
        <v>4.5395987489318397E-2</v>
      </c>
      <c r="AD2444" s="409">
        <f>IF(AD2229+AD2230-AD2228-AD2391+AD2339&gt;0,'Assumptions (Petroleum)'!AC22*(AD2229+AD2230-AD2228-AD2391+AD2339)-'Assumptions (Petroleum)'!AC23*Model!AD2227/10^3,'Assumptions (Petroleum)'!AC23*Model!AD2227/10^3)</f>
        <v>4.7036061904910303E-2</v>
      </c>
      <c r="AE2444" s="409">
        <f>IF(AE2229+AE2230-AE2228-AE2391+AE2339&gt;0,'Assumptions (Petroleum)'!AD22*(AE2229+AE2230-AE2228-AE2391+AE2339)-'Assumptions (Petroleum)'!AD23*Model!AE2227/10^3,'Assumptions (Petroleum)'!AD23*Model!AE2227/10^3)</f>
        <v>4.6933275652699391E-2</v>
      </c>
      <c r="AF2444" s="409">
        <f>IF(AF2229+AF2230-AF2228-AF2391+AF2339&gt;0,'Assumptions (Petroleum)'!AE22*(AF2229+AF2230-AF2228-AF2391+AF2339)-'Assumptions (Petroleum)'!AE23*Model!AF2227/10^3,'Assumptions (Petroleum)'!AE23*Model!AF2227/10^3)</f>
        <v>4.6148111447693568E-2</v>
      </c>
      <c r="AG2444" s="409">
        <f>IF(AG2229+AG2230-AG2228-AG2391+AG2339&gt;0,'Assumptions (Petroleum)'!AF22*(AG2229+AG2230-AG2228-AG2391+AG2339)-'Assumptions (Petroleum)'!AF23*Model!AG2227/10^3,'Assumptions (Petroleum)'!AF23*Model!AG2227/10^3)</f>
        <v>4.5307818899007403E-2</v>
      </c>
      <c r="AH2444" s="409">
        <f>IF(AH2229+AH2230-AH2228-AH2391+AH2339&gt;0,'Assumptions (Petroleum)'!AG22*(AH2229+AH2230-AH2228-AH2391+AH2339)-'Assumptions (Petroleum)'!AG23*Model!AH2227/10^3,'Assumptions (Petroleum)'!AG23*Model!AH2227/10^3)</f>
        <v>4.4456658050827914E-2</v>
      </c>
      <c r="AI2444" s="409">
        <f>IF(AI2229+AI2230-AI2228-AI2391+AI2339&gt;0,'Assumptions (Petroleum)'!AH22*(AI2229+AI2230-AI2228-AI2391+AI2339)-'Assumptions (Petroleum)'!AH23*Model!AI2227/10^3,'Assumptions (Petroleum)'!AH23*Model!AI2227/10^3)</f>
        <v>4.3062749091796651E-2</v>
      </c>
      <c r="AJ2444" s="409">
        <f>IF(AJ2229+AJ2230-AJ2228-AJ2391+AJ2339&gt;0,'Assumptions (Petroleum)'!AI22*(AJ2229+AJ2230-AJ2228-AJ2391+AJ2339)-'Assumptions (Petroleum)'!AI23*Model!AJ2227/10^3,'Assumptions (Petroleum)'!AI23*Model!AJ2227/10^3)</f>
        <v>4.1472326461108003E-2</v>
      </c>
      <c r="AK2444" s="409">
        <f>IF(AK2229+AK2230-AK2228-AK2391+AK2339&gt;0,'Assumptions (Petroleum)'!AJ22*(AK2229+AK2230-AK2228-AK2391+AK2339)-'Assumptions (Petroleum)'!AJ23*Model!AK2227/10^3,'Assumptions (Petroleum)'!AJ23*Model!AK2227/10^3)</f>
        <v>3.9657152724816847E-2</v>
      </c>
      <c r="AL2444" s="409">
        <f>IF(AL2229+AL2230-AL2228-AL2391+AL2339&gt;0,'Assumptions (Petroleum)'!AK22*(AL2229+AL2230-AL2228-AL2391+AL2339)-'Assumptions (Petroleum)'!AK23*Model!AL2227/10^3,'Assumptions (Petroleum)'!AK23*Model!AL2227/10^3)</f>
        <v>3.779872286789885E-2</v>
      </c>
      <c r="AM2444" s="409">
        <f>IF(AM2229+AM2230-AM2228-AM2391+AM2339&gt;0,'Assumptions (Petroleum)'!AL22*(AM2229+AM2230-AM2228-AM2391+AM2339)-'Assumptions (Petroleum)'!AL23*Model!AM2227/10^3,'Assumptions (Petroleum)'!AL23*Model!AM2227/10^3)</f>
        <v>3.6091178981314156E-2</v>
      </c>
      <c r="AN2444" s="409">
        <f>IF(AN2229+AN2230-AN2228-AN2391+AN2339&gt;0,'Assumptions (Petroleum)'!AM22*(AN2229+AN2230-AN2228-AN2391+AN2339)-'Assumptions (Petroleum)'!AM23*Model!AN2227/10^3,'Assumptions (Petroleum)'!AM23*Model!AN2227/10^3)</f>
        <v>3.4203211290096833E-2</v>
      </c>
      <c r="AO2444" s="409">
        <f>IF(AO2229+AO2230-AO2228-AO2391+AO2339&gt;0,'Assumptions (Petroleum)'!AN22*(AO2229+AO2230-AO2228-AO2391+AO2339)-'Assumptions (Petroleum)'!AN23*Model!AO2227/10^3,'Assumptions (Petroleum)'!AN23*Model!AO2227/10^3)</f>
        <v>3.2425588103397844E-2</v>
      </c>
      <c r="AP2444" s="409">
        <f>IF(AP2229+AP2230-AP2228-AP2391+AP2339&gt;0,'Assumptions (Petroleum)'!AO22*(AP2229+AP2230-AP2228-AP2391+AP2339)-'Assumptions (Petroleum)'!AO23*Model!AP2227/10^3,'Assumptions (Petroleum)'!AO23*Model!AP2227/10^3)</f>
        <v>3.0518364630357064E-2</v>
      </c>
      <c r="AQ2444" s="409">
        <f>IF(AQ2229+AQ2230-AQ2228-AQ2391+AQ2339&gt;0,'Assumptions (Petroleum)'!AP22*(AQ2229+AQ2230-AQ2228-AQ2391+AQ2339)-'Assumptions (Petroleum)'!AP23*Model!AQ2227/10^3,'Assumptions (Petroleum)'!AP23*Model!AQ2227/10^3)</f>
        <v>2.8360936898692304E-2</v>
      </c>
      <c r="AR2444" s="409">
        <f>IF(AR2229+AR2230-AR2228-AR2391+AR2339&gt;0,'Assumptions (Petroleum)'!AQ22*(AR2229+AR2230-AR2228-AR2391+AR2339)-'Assumptions (Petroleum)'!AQ23*Model!AR2227/10^3,'Assumptions (Petroleum)'!AQ23*Model!AR2227/10^3)</f>
        <v>2.6042397435248815E-2</v>
      </c>
      <c r="AS2444" s="409">
        <f>IF(AS2229+AS2230-AS2228-AS2391+AS2339&gt;0,'Assumptions (Petroleum)'!AR22*(AS2229+AS2230-AS2228-AS2391+AS2339)-'Assumptions (Petroleum)'!AR23*Model!AS2227/10^3,'Assumptions (Petroleum)'!AR23*Model!AS2227/10^3)</f>
        <v>2.3591244720145635E-2</v>
      </c>
      <c r="AT2444" s="409">
        <f>IF(AT2229+AT2230-AT2228-AT2391+AT2339&gt;0,'Assumptions (Petroleum)'!AS22*(AT2229+AT2230-AT2228-AT2391+AT2339)-'Assumptions (Petroleum)'!AS23*Model!AT2227/10^3,'Assumptions (Petroleum)'!AS23*Model!AT2227/10^3)</f>
        <v>2.1073190914917279E-2</v>
      </c>
      <c r="AU2444" s="409">
        <f>IF(AU2229+AU2230-AU2228-AU2391+AU2339&gt;0,'Assumptions (Petroleum)'!AT22*(AU2229+AU2230-AU2228-AU2391+AU2339)-'Assumptions (Petroleum)'!AT23*Model!AU2227/10^3,'Assumptions (Petroleum)'!AT23*Model!AU2227/10^3)</f>
        <v>1.8477647907362085E-2</v>
      </c>
      <c r="AV2444" s="409">
        <f>IF(AV2229+AV2230-AV2228-AV2391+AV2339&gt;0,'Assumptions (Petroleum)'!AU22*(AV2229+AV2230-AV2228-AV2391+AV2339)-'Assumptions (Petroleum)'!AU23*Model!AV2227/10^3,'Assumptions (Petroleum)'!AU23*Model!AV2227/10^3)</f>
        <v>1.5755140955128023E-2</v>
      </c>
      <c r="AW2444" s="409">
        <f>IF(AW2229+AW2230-AW2228-AW2391+AW2339&gt;0,'Assumptions (Petroleum)'!AV22*(AW2229+AW2230-AW2228-AW2391+AW2339)-'Assumptions (Petroleum)'!AV23*Model!AW2227/10^3,'Assumptions (Petroleum)'!AV23*Model!AW2227/10^3)</f>
        <v>1.2834249730915532E-2</v>
      </c>
      <c r="AX2444" s="409">
        <f>IF(AX2229+AX2230-AX2228-AX2391+AX2339&gt;0,'Assumptions (Petroleum)'!AW22*(AX2229+AX2230-AX2228-AX2391+AX2339)-'Assumptions (Petroleum)'!AW23*Model!AX2227/10^3,'Assumptions (Petroleum)'!AW23*Model!AX2227/10^3)</f>
        <v>9.8740738387031006E-3</v>
      </c>
      <c r="AY2444" s="409">
        <f>IF(AY2229+AY2230-AY2228-AY2391+AY2339&gt;0,'Assumptions (Petroleum)'!AX22*(AY2229+AY2230-AY2228-AY2391+AY2339)-'Assumptions (Petroleum)'!AX23*Model!AY2227/10^3,'Assumptions (Petroleum)'!AX23*Model!AY2227/10^3)</f>
        <v>6.9634060398655094E-3</v>
      </c>
      <c r="AZ2444" s="409">
        <f>IF(AZ2229+AZ2230-AZ2228-AZ2391+AZ2339&gt;0,'Assumptions (Petroleum)'!AY22*(AZ2229+AZ2230-AZ2228-AZ2391+AZ2339)-'Assumptions (Petroleum)'!AY23*Model!AZ2227/10^3,'Assumptions (Petroleum)'!AY23*Model!AZ2227/10^3)</f>
        <v>3.6070130460130905E-3</v>
      </c>
      <c r="BA2444" s="409">
        <f>IF(BA2229+BA2230-BA2228-BA2391+BA2339&gt;0,'Assumptions (Petroleum)'!AZ22*(BA2229+BA2230-BA2228-BA2391+BA2339)-'Assumptions (Petroleum)'!AZ23*Model!BA2227/10^3,'Assumptions (Petroleum)'!AZ23*Model!BA2227/10^3)</f>
        <v>0</v>
      </c>
    </row>
    <row r="2445" spans="1:68" ht="15.75" customHeight="1">
      <c r="A2445" s="447" t="s">
        <v>66</v>
      </c>
      <c r="B2445" s="43"/>
      <c r="C2445" s="99"/>
      <c r="D2445" s="99"/>
      <c r="E2445" s="99"/>
      <c r="F2445" s="99"/>
      <c r="G2445" s="99"/>
      <c r="H2445" s="99"/>
      <c r="I2445" s="99"/>
      <c r="J2445" s="99"/>
      <c r="K2445" s="99"/>
      <c r="L2445" s="99"/>
      <c r="M2445" s="99"/>
      <c r="N2445" s="99"/>
      <c r="O2445" s="99"/>
      <c r="P2445" s="99"/>
      <c r="Q2445" s="99"/>
      <c r="R2445" s="99"/>
      <c r="S2445" s="99"/>
      <c r="T2445" s="99"/>
      <c r="U2445" s="99"/>
      <c r="V2445" s="99"/>
      <c r="W2445" s="86"/>
    </row>
    <row r="2446" spans="1:68" ht="15.75" customHeight="1">
      <c r="A2446" s="450" t="s">
        <v>880</v>
      </c>
      <c r="B2446" s="43"/>
      <c r="C2446" s="99"/>
      <c r="D2446" s="99"/>
      <c r="E2446" s="99"/>
      <c r="F2446" s="99"/>
      <c r="G2446" s="99"/>
      <c r="H2446" s="99"/>
      <c r="I2446" s="99"/>
      <c r="J2446" s="99"/>
      <c r="K2446" s="99"/>
      <c r="L2446" s="99"/>
      <c r="M2446" s="99"/>
      <c r="N2446" s="99"/>
      <c r="O2446" s="99"/>
      <c r="P2446" s="99"/>
      <c r="Q2446" s="99"/>
      <c r="R2446" s="99"/>
      <c r="S2446" s="99"/>
      <c r="T2446" s="99"/>
      <c r="U2446" s="99"/>
      <c r="V2446" s="99"/>
      <c r="W2446" s="86"/>
    </row>
    <row r="2447" spans="1:68" ht="15.75" customHeight="1">
      <c r="A2447" s="451" t="s">
        <v>25</v>
      </c>
      <c r="B2447" s="99" t="s">
        <v>152</v>
      </c>
      <c r="C2447" s="127">
        <v>0</v>
      </c>
      <c r="D2447" s="127">
        <v>0</v>
      </c>
      <c r="E2447" s="127">
        <v>0</v>
      </c>
      <c r="F2447" s="127">
        <v>0</v>
      </c>
      <c r="G2447" s="127">
        <v>0</v>
      </c>
      <c r="H2447" s="127">
        <v>0</v>
      </c>
      <c r="I2447" s="127">
        <v>0</v>
      </c>
      <c r="J2447" s="127">
        <v>0</v>
      </c>
      <c r="K2447" s="127">
        <f>SUM(K2452)</f>
        <v>2</v>
      </c>
      <c r="L2447" s="127">
        <f t="shared" ref="L2447:W2447" si="56">SUM($K$2452:L2452)</f>
        <v>6</v>
      </c>
      <c r="M2447" s="127">
        <f t="shared" si="56"/>
        <v>10</v>
      </c>
      <c r="N2447" s="127">
        <f t="shared" si="56"/>
        <v>42.8</v>
      </c>
      <c r="O2447" s="127">
        <f t="shared" si="56"/>
        <v>85.6</v>
      </c>
      <c r="P2447" s="127">
        <f t="shared" si="56"/>
        <v>101.1</v>
      </c>
      <c r="Q2447" s="127">
        <f t="shared" si="56"/>
        <v>128.29999999999998</v>
      </c>
      <c r="R2447" s="127">
        <f t="shared" si="56"/>
        <v>274.39999999999998</v>
      </c>
      <c r="S2447" s="127">
        <f t="shared" si="56"/>
        <v>469.59999999999997</v>
      </c>
      <c r="T2447" s="127">
        <f t="shared" si="56"/>
        <v>579</v>
      </c>
      <c r="U2447" s="127">
        <f t="shared" si="56"/>
        <v>707.5</v>
      </c>
      <c r="V2447" s="127">
        <f t="shared" si="56"/>
        <v>907.5</v>
      </c>
      <c r="W2447" s="127">
        <f t="shared" si="56"/>
        <v>1307.5</v>
      </c>
      <c r="X2447" s="101">
        <f t="shared" ref="X2447:AZ2447" si="57">W2447+($BA$2447-$W$2447)/($BA$2-$W$2)</f>
        <v>1263.9166666666667</v>
      </c>
      <c r="Y2447" s="101">
        <f t="shared" si="57"/>
        <v>1220.3333333333335</v>
      </c>
      <c r="Z2447" s="101">
        <f t="shared" si="57"/>
        <v>1176.7500000000002</v>
      </c>
      <c r="AA2447" s="101">
        <f t="shared" si="57"/>
        <v>1133.166666666667</v>
      </c>
      <c r="AB2447" s="101">
        <f t="shared" si="57"/>
        <v>1089.5833333333337</v>
      </c>
      <c r="AC2447" s="101">
        <f t="shared" si="57"/>
        <v>1046.0000000000005</v>
      </c>
      <c r="AD2447" s="101">
        <f t="shared" si="57"/>
        <v>1002.4166666666671</v>
      </c>
      <c r="AE2447" s="101">
        <f t="shared" si="57"/>
        <v>958.83333333333371</v>
      </c>
      <c r="AF2447" s="101">
        <f t="shared" si="57"/>
        <v>915.25000000000034</v>
      </c>
      <c r="AG2447" s="101">
        <f t="shared" si="57"/>
        <v>871.66666666666697</v>
      </c>
      <c r="AH2447" s="101">
        <f t="shared" si="57"/>
        <v>828.0833333333336</v>
      </c>
      <c r="AI2447" s="101">
        <f t="shared" si="57"/>
        <v>784.50000000000023</v>
      </c>
      <c r="AJ2447" s="101">
        <f t="shared" si="57"/>
        <v>740.91666666666686</v>
      </c>
      <c r="AK2447" s="101">
        <f t="shared" si="57"/>
        <v>697.33333333333348</v>
      </c>
      <c r="AL2447" s="101">
        <f t="shared" si="57"/>
        <v>653.75000000000011</v>
      </c>
      <c r="AM2447" s="101">
        <f t="shared" si="57"/>
        <v>610.16666666666674</v>
      </c>
      <c r="AN2447" s="101">
        <f t="shared" si="57"/>
        <v>566.58333333333337</v>
      </c>
      <c r="AO2447" s="101">
        <f t="shared" si="57"/>
        <v>523</v>
      </c>
      <c r="AP2447" s="101">
        <f t="shared" si="57"/>
        <v>479.41666666666669</v>
      </c>
      <c r="AQ2447" s="101">
        <f t="shared" si="57"/>
        <v>435.83333333333337</v>
      </c>
      <c r="AR2447" s="101">
        <f t="shared" si="57"/>
        <v>392.25000000000006</v>
      </c>
      <c r="AS2447" s="101">
        <f t="shared" si="57"/>
        <v>348.66666666666674</v>
      </c>
      <c r="AT2447" s="101">
        <f t="shared" si="57"/>
        <v>305.08333333333343</v>
      </c>
      <c r="AU2447" s="101">
        <f t="shared" si="57"/>
        <v>261.50000000000011</v>
      </c>
      <c r="AV2447" s="101">
        <f t="shared" si="57"/>
        <v>217.91666666666677</v>
      </c>
      <c r="AW2447" s="101">
        <f t="shared" si="57"/>
        <v>174.33333333333343</v>
      </c>
      <c r="AX2447" s="101">
        <f t="shared" si="57"/>
        <v>130.75000000000009</v>
      </c>
      <c r="AY2447" s="101">
        <f t="shared" si="57"/>
        <v>87.166666666666742</v>
      </c>
      <c r="AZ2447" s="101">
        <f t="shared" si="57"/>
        <v>43.583333333333407</v>
      </c>
      <c r="BA2447" s="103">
        <f>Inputs!$H$14</f>
        <v>0</v>
      </c>
    </row>
    <row r="2448" spans="1:68" ht="15.75" customHeight="1">
      <c r="A2448" s="452" t="s">
        <v>881</v>
      </c>
      <c r="B2448" s="99" t="s">
        <v>153</v>
      </c>
      <c r="C2448" s="63">
        <v>0</v>
      </c>
      <c r="D2448" s="63">
        <v>0</v>
      </c>
      <c r="E2448" s="63">
        <v>0</v>
      </c>
      <c r="F2448" s="63">
        <v>0</v>
      </c>
      <c r="G2448" s="63">
        <v>0</v>
      </c>
      <c r="H2448" s="63">
        <v>0</v>
      </c>
      <c r="I2448" s="63">
        <v>0</v>
      </c>
      <c r="J2448" s="63">
        <v>0</v>
      </c>
      <c r="K2448" s="63">
        <f>K2447*'Assumptions (Battery)'!J15*'Assumptions (Battery)'!J16*'Assumptions (Battery)'!J17*'Assumptions (Battery)'!J18/10^6</f>
        <v>2.8E-3</v>
      </c>
      <c r="L2448" s="63">
        <f>L2447*'Assumptions (Battery)'!K15*'Assumptions (Battery)'!K16*'Assumptions (Battery)'!K17*'Assumptions (Battery)'!K18/10^6</f>
        <v>8.3999999999999995E-3</v>
      </c>
      <c r="M2448" s="63">
        <f>M2447*'Assumptions (Battery)'!L15*'Assumptions (Battery)'!L16*'Assumptions (Battery)'!L17*'Assumptions (Battery)'!L18/10^6</f>
        <v>1.4E-2</v>
      </c>
      <c r="N2448" s="63">
        <f>N2447*'Assumptions (Battery)'!M15*'Assumptions (Battery)'!M16*'Assumptions (Battery)'!M17*'Assumptions (Battery)'!M18/10^6</f>
        <v>5.9919999999999994E-2</v>
      </c>
      <c r="O2448" s="63">
        <f>O2447*'Assumptions (Battery)'!N15*'Assumptions (Battery)'!N16*'Assumptions (Battery)'!N17*'Assumptions (Battery)'!N18/10^6</f>
        <v>0.11983999999999999</v>
      </c>
      <c r="P2448" s="63">
        <f>P2447*'Assumptions (Battery)'!O15*'Assumptions (Battery)'!O16*'Assumptions (Battery)'!O17*'Assumptions (Battery)'!O18/10^6</f>
        <v>0.14154</v>
      </c>
      <c r="Q2448" s="63">
        <f>Q2447*'Assumptions (Battery)'!P15*'Assumptions (Battery)'!P16*'Assumptions (Battery)'!P17*'Assumptions (Battery)'!P18/10^6</f>
        <v>0.17961999999999997</v>
      </c>
      <c r="R2448" s="63">
        <f>R2447*'Assumptions (Battery)'!Q15*'Assumptions (Battery)'!Q16*'Assumptions (Battery)'!Q17*'Assumptions (Battery)'!Q18/10^6</f>
        <v>0.38415999999999995</v>
      </c>
      <c r="S2448" s="63">
        <f>S2447*'Assumptions (Battery)'!R15*'Assumptions (Battery)'!R16*'Assumptions (Battery)'!R17*'Assumptions (Battery)'!R18/10^6</f>
        <v>0.65744000000000002</v>
      </c>
      <c r="T2448" s="63">
        <f>T2447*'Assumptions (Battery)'!S15*'Assumptions (Battery)'!S16*'Assumptions (Battery)'!S17*'Assumptions (Battery)'!S18/10^6</f>
        <v>0.81059999999999999</v>
      </c>
      <c r="U2448" s="63">
        <f>U2447*'Assumptions (Battery)'!T15*'Assumptions (Battery)'!T16*'Assumptions (Battery)'!T17*'Assumptions (Battery)'!T18/10^6</f>
        <v>0.99050000000000005</v>
      </c>
      <c r="V2448" s="63">
        <f>V2447*'Assumptions (Battery)'!U15*'Assumptions (Battery)'!U16*'Assumptions (Battery)'!U17*'Assumptions (Battery)'!U18/10^6</f>
        <v>1.2705</v>
      </c>
      <c r="W2448" s="63">
        <f>W2447*'Assumptions (Battery)'!V15*'Assumptions (Battery)'!V16*'Assumptions (Battery)'!V17*'Assumptions (Battery)'!V18/10^6</f>
        <v>1.8305</v>
      </c>
      <c r="X2448" s="101">
        <f t="shared" ref="X2448:AZ2448" si="58">W2448+($BA$2448-$W$2448)/($BA$2-$W$2)</f>
        <v>1.7694833333333333</v>
      </c>
      <c r="Y2448" s="101">
        <f t="shared" si="58"/>
        <v>1.7084666666666666</v>
      </c>
      <c r="Z2448" s="101">
        <f t="shared" si="58"/>
        <v>1.6474499999999999</v>
      </c>
      <c r="AA2448" s="101">
        <f t="shared" si="58"/>
        <v>1.5864333333333331</v>
      </c>
      <c r="AB2448" s="101">
        <f t="shared" si="58"/>
        <v>1.5254166666666664</v>
      </c>
      <c r="AC2448" s="101">
        <f t="shared" si="58"/>
        <v>1.4643999999999997</v>
      </c>
      <c r="AD2448" s="101">
        <f t="shared" si="58"/>
        <v>1.403383333333333</v>
      </c>
      <c r="AE2448" s="101">
        <f t="shared" si="58"/>
        <v>1.3423666666666663</v>
      </c>
      <c r="AF2448" s="101">
        <f t="shared" si="58"/>
        <v>1.2813499999999995</v>
      </c>
      <c r="AG2448" s="101">
        <f t="shared" si="58"/>
        <v>1.2203333333333328</v>
      </c>
      <c r="AH2448" s="101">
        <f t="shared" si="58"/>
        <v>1.1593166666666661</v>
      </c>
      <c r="AI2448" s="101">
        <f t="shared" si="58"/>
        <v>1.0982999999999994</v>
      </c>
      <c r="AJ2448" s="101">
        <f t="shared" si="58"/>
        <v>1.0372833333333327</v>
      </c>
      <c r="AK2448" s="101">
        <f t="shared" si="58"/>
        <v>0.97626666666666595</v>
      </c>
      <c r="AL2448" s="101">
        <f t="shared" si="58"/>
        <v>0.91524999999999923</v>
      </c>
      <c r="AM2448" s="101">
        <f t="shared" si="58"/>
        <v>0.85423333333333251</v>
      </c>
      <c r="AN2448" s="101">
        <f t="shared" si="58"/>
        <v>0.79321666666666579</v>
      </c>
      <c r="AO2448" s="101">
        <f t="shared" si="58"/>
        <v>0.73219999999999907</v>
      </c>
      <c r="AP2448" s="101">
        <f t="shared" si="58"/>
        <v>0.67118333333333235</v>
      </c>
      <c r="AQ2448" s="101">
        <f t="shared" si="58"/>
        <v>0.61016666666666564</v>
      </c>
      <c r="AR2448" s="101">
        <f t="shared" si="58"/>
        <v>0.54914999999999892</v>
      </c>
      <c r="AS2448" s="101">
        <f t="shared" si="58"/>
        <v>0.48813333333333225</v>
      </c>
      <c r="AT2448" s="101">
        <f t="shared" si="58"/>
        <v>0.42711666666666559</v>
      </c>
      <c r="AU2448" s="101">
        <f t="shared" si="58"/>
        <v>0.36609999999999893</v>
      </c>
      <c r="AV2448" s="101">
        <f t="shared" si="58"/>
        <v>0.30508333333333226</v>
      </c>
      <c r="AW2448" s="101">
        <f t="shared" si="58"/>
        <v>0.2440666666666656</v>
      </c>
      <c r="AX2448" s="101">
        <f t="shared" si="58"/>
        <v>0.18304999999999894</v>
      </c>
      <c r="AY2448" s="101">
        <f t="shared" si="58"/>
        <v>0.12203333333333227</v>
      </c>
      <c r="AZ2448" s="101">
        <f t="shared" si="58"/>
        <v>6.1016666666665602E-2</v>
      </c>
      <c r="BA2448" s="104">
        <f>Inputs!$I$14</f>
        <v>0</v>
      </c>
    </row>
    <row r="2449" spans="1:53" ht="15.75" customHeight="1">
      <c r="A2449" s="452" t="s">
        <v>882</v>
      </c>
      <c r="B2449" s="99" t="s">
        <v>201</v>
      </c>
      <c r="C2449" s="63">
        <v>0</v>
      </c>
      <c r="D2449" s="63">
        <v>0</v>
      </c>
      <c r="E2449" s="63">
        <v>0</v>
      </c>
      <c r="F2449" s="63">
        <v>0</v>
      </c>
      <c r="G2449" s="63">
        <v>0</v>
      </c>
      <c r="H2449" s="63">
        <v>0</v>
      </c>
      <c r="I2449" s="63">
        <v>0</v>
      </c>
      <c r="J2449" s="63">
        <v>0</v>
      </c>
      <c r="K2449" s="409">
        <f>K2448*('Assumptions (Battery)'!J21+'Assumptions (Battery)'!J25+('Assumptions (Battery)'!J22/'Assumptions (Battery)'!J24))/10^3</f>
        <v>2.9936441332655429E-4</v>
      </c>
      <c r="L2449" s="409">
        <f>L2448*('Assumptions (Battery)'!K21+'Assumptions (Battery)'!K25+('Assumptions (Battery)'!K22/'Assumptions (Battery)'!K24))/10^3</f>
        <v>9.1117539507947192E-4</v>
      </c>
      <c r="M2449" s="409">
        <f>M2448*('Assumptions (Battery)'!L21+'Assumptions (Battery)'!L25+('Assumptions (Battery)'!L22/'Assumptions (Battery)'!L24))/10^3</f>
        <v>1.5408070203927478E-3</v>
      </c>
      <c r="N2449" s="453">
        <f>N2448*('Assumptions (Battery)'!M21+'Assumptions (Battery)'!M25+('Assumptions (Battery)'!M22/'Assumptions (Battery)'!M24))/10^3</f>
        <v>6.6912369934280088E-3</v>
      </c>
      <c r="O2449" s="453">
        <f>O2448*('Assumptions (Battery)'!N21+'Assumptions (Battery)'!N25+('Assumptions (Battery)'!N22/'Assumptions (Battery)'!N24))/10^3</f>
        <v>1.357899416081544E-2</v>
      </c>
      <c r="P2449" s="453">
        <f>P2448*('Assumptions (Battery)'!O21+'Assumptions (Battery)'!O25+('Assumptions (Battery)'!O22/'Assumptions (Battery)'!O24))/10^3</f>
        <v>1.6273947251426165E-2</v>
      </c>
      <c r="Q2449" s="453">
        <f>Q2448*('Assumptions (Battery)'!P21+'Assumptions (Battery)'!P25+('Assumptions (Battery)'!P22/'Assumptions (Battery)'!P24))/10^3</f>
        <v>2.0957185230546661E-2</v>
      </c>
      <c r="R2449" s="453">
        <f>R2448*('Assumptions (Battery)'!Q21+'Assumptions (Battery)'!Q25+('Assumptions (Battery)'!Q22/'Assumptions (Battery)'!Q24))/10^3</f>
        <v>4.5485345969719308E-2</v>
      </c>
      <c r="S2449" s="453">
        <f>S2448*('Assumptions (Battery)'!R21+'Assumptions (Battery)'!R25+('Assumptions (Battery)'!R22/'Assumptions (Battery)'!R24))/10^3</f>
        <v>7.8997446261340545E-2</v>
      </c>
      <c r="T2449" s="453">
        <f>T2448*('Assumptions (Battery)'!S21+'Assumptions (Battery)'!S25+('Assumptions (Battery)'!S22/'Assumptions (Battery)'!S24))/10^3</f>
        <v>9.8850183597507926E-2</v>
      </c>
      <c r="U2449" s="453">
        <f>U2448*('Assumptions (Battery)'!T21+'Assumptions (Battery)'!T25+('Assumptions (Battery)'!T22/'Assumptions (Battery)'!T24))/10^3</f>
        <v>0.12259016003942649</v>
      </c>
      <c r="V2449" s="453">
        <f>V2448*('Assumptions (Battery)'!U21+'Assumptions (Battery)'!U25+('Assumptions (Battery)'!U22/'Assumptions (Battery)'!U24))/10^3</f>
        <v>0.15959609659141646</v>
      </c>
      <c r="W2449" s="453">
        <f>W2448*('Assumptions (Battery)'!V21+'Assumptions (Battery)'!V25+('Assumptions (Battery)'!V22/'Assumptions (Battery)'!V24))/10^3</f>
        <v>0.23338875000000001</v>
      </c>
      <c r="X2449" s="453">
        <f>X2448*('Assumptions (Battery)'!W21+'Assumptions (Battery)'!W25+('Assumptions (Battery)'!W22/'Assumptions (Battery)'!W24))/10^3</f>
        <v>0.22899989743749999</v>
      </c>
      <c r="Y2449" s="453">
        <f>Y2448*('Assumptions (Battery)'!X21+'Assumptions (Battery)'!X25+('Assumptions (Battery)'!X22/'Assumptions (Battery)'!X24))/10^3</f>
        <v>0.22443464462387505</v>
      </c>
      <c r="Z2449" s="453">
        <f>Z2448*('Assumptions (Battery)'!Y21+'Assumptions (Battery)'!Y25+('Assumptions (Battery)'!Y22/'Assumptions (Battery)'!Y24))/10^3</f>
        <v>0.21968786388318429</v>
      </c>
      <c r="AA2449" s="453">
        <f>AA2448*('Assumptions (Battery)'!Z21+'Assumptions (Battery)'!Z25+('Assumptions (Battery)'!Z22/'Assumptions (Battery)'!Z24))/10^3</f>
        <v>0.21475429401348617</v>
      </c>
      <c r="AB2449" s="453">
        <f>AB2448*('Assumptions (Battery)'!AA21+'Assumptions (Battery)'!AA25+('Assumptions (Battery)'!AA22/'Assumptions (Battery)'!AA24))/10^3</f>
        <v>0.20962853703830575</v>
      </c>
      <c r="AC2449" s="453">
        <f>AC2448*('Assumptions (Battery)'!AB21+'Assumptions (Battery)'!AB25+('Assumptions (Battery)'!AB22/'Assumptions (Battery)'!AB24))/10^3</f>
        <v>0.20430505488265008</v>
      </c>
      <c r="AD2449" s="453">
        <f>AD2448*('Assumptions (Battery)'!AC21+'Assumptions (Battery)'!AC25+('Assumptions (Battery)'!AC22/'Assumptions (Battery)'!AC24))/10^3</f>
        <v>0.19877816597187598</v>
      </c>
      <c r="AE2449" s="453">
        <f>AE2448*('Assumptions (Battery)'!AD21+'Assumptions (Battery)'!AD25+('Assumptions (Battery)'!AD22/'Assumptions (Battery)'!AD24))/10^3</f>
        <v>0.19304204175167583</v>
      </c>
      <c r="AF2449" s="453">
        <f>AF2448*('Assumptions (Battery)'!AE21+'Assumptions (Battery)'!AE25+('Assumptions (Battery)'!AE22/'Assumptions (Battery)'!AE24))/10^3</f>
        <v>0.18709070312741102</v>
      </c>
      <c r="AG2449" s="453">
        <f>AG2448*('Assumptions (Battery)'!AF21+'Assumptions (Battery)'!AF25+('Assumptions (Battery)'!AF22/'Assumptions (Battery)'!AF24))/10^3</f>
        <v>0.18091801682098294</v>
      </c>
      <c r="AH2449" s="453">
        <f>AH2448*('Assumptions (Battery)'!AG21+'Assumptions (Battery)'!AG25+('Assumptions (Battery)'!AG22/'Assumptions (Battery)'!AG24))/10^3</f>
        <v>0.17451769164339123</v>
      </c>
      <c r="AI2449" s="453">
        <f>AI2448*('Assumptions (Battery)'!AH21+'Assumptions (Battery)'!AH25+('Assumptions (Battery)'!AH22/'Assumptions (Battery)'!AH24))/10^3</f>
        <v>0.16788327468108966</v>
      </c>
      <c r="AJ2449" s="453">
        <f>AJ2448*('Assumptions (Battery)'!AI21+'Assumptions (Battery)'!AI25+('Assumptions (Battery)'!AI22/'Assumptions (Battery)'!AI24))/10^3</f>
        <v>0.16100814739420705</v>
      </c>
      <c r="AK2449" s="453">
        <f>AK2448*('Assumptions (Battery)'!AJ21+'Assumptions (Battery)'!AJ25+('Assumptions (Battery)'!AJ22/'Assumptions (Battery)'!AJ24))/10^3</f>
        <v>0.15388552162466038</v>
      </c>
      <c r="AL2449" s="453">
        <f>AL2448*('Assumptions (Battery)'!AK21+'Assumptions (Battery)'!AK25+('Assumptions (Battery)'!AK22/'Assumptions (Battery)'!AK24))/10^3</f>
        <v>0.14650843551214188</v>
      </c>
      <c r="AM2449" s="453">
        <f>AM2448*('Assumptions (Battery)'!AL21+'Assumptions (Battery)'!AL25+('Assumptions (Battery)'!AL22/'Assumptions (Battery)'!AL24))/10^3</f>
        <v>0.13886974931591911</v>
      </c>
      <c r="AN2449" s="453">
        <f>AN2448*('Assumptions (Battery)'!AM21+'Assumptions (Battery)'!AM25+('Assumptions (Battery)'!AM22/'Assumptions (Battery)'!AM24))/10^3</f>
        <v>0.1309621411403418</v>
      </c>
      <c r="AO2449" s="453">
        <f>AO2448*('Assumptions (Battery)'!AN21+'Assumptions (Battery)'!AN25+('Assumptions (Battery)'!AN22/'Assumptions (Battery)'!AN24))/10^3</f>
        <v>0.1227781025619029</v>
      </c>
      <c r="AP2449" s="453">
        <f>AP2448*('Assumptions (Battery)'!AO21+'Assumptions (Battery)'!AO25+('Assumptions (Battery)'!AO22/'Assumptions (Battery)'!AO24))/10^3</f>
        <v>0.11430993415565373</v>
      </c>
      <c r="AQ2449" s="453">
        <f>AQ2448*('Assumptions (Battery)'!AP21+'Assumptions (Battery)'!AP25+('Assumptions (Battery)'!AP22/'Assumptions (Battery)'!AP24))/10^3</f>
        <v>0.10554974091872664</v>
      </c>
      <c r="AR2449" s="453">
        <f>AR2448*('Assumptions (Battery)'!AQ21+'Assumptions (Battery)'!AQ25+('Assumptions (Battery)'!AQ22/'Assumptions (Battery)'!AQ24))/10^3</f>
        <v>9.6489427588667825E-2</v>
      </c>
      <c r="AS2449" s="453">
        <f>AS2448*('Assumptions (Battery)'!AR21+'Assumptions (Battery)'!AR25+('Assumptions (Battery)'!AR22/'Assumptions (Battery)'!AR24))/10^3</f>
        <v>8.712069385423353E-2</v>
      </c>
      <c r="AT2449" s="453">
        <f>AT2448*('Assumptions (Battery)'!AS21+'Assumptions (Battery)'!AS25+('Assumptions (Battery)'!AS22/'Assumptions (Battery)'!AS24))/10^3</f>
        <v>7.7435029456251872E-2</v>
      </c>
      <c r="AU2449" s="453">
        <f>AU2448*('Assumptions (Battery)'!AT21+'Assumptions (Battery)'!AT25+('Assumptions (Battery)'!AT22/'Assumptions (Battery)'!AT24))/10^3</f>
        <v>6.7423709176099828E-2</v>
      </c>
      <c r="AV2449" s="453">
        <f>AV2448*('Assumptions (Battery)'!AU21+'Assumptions (Battery)'!AU25+('Assumptions (Battery)'!AU22/'Assumptions (Battery)'!AU24))/10^3</f>
        <v>5.7077787709291582E-2</v>
      </c>
      <c r="AW2449" s="453">
        <f>AW2448*('Assumptions (Battery)'!AV21+'Assumptions (Battery)'!AV25+('Assumptions (Battery)'!AV22/'Assumptions (Battery)'!AV24))/10^3</f>
        <v>4.6388094421619848E-2</v>
      </c>
      <c r="AX2449" s="453">
        <f>AX2448*('Assumptions (Battery)'!AW21+'Assumptions (Battery)'!AW25+('Assumptions (Battery)'!AW22/'Assumptions (Battery)'!AW24))/10^3</f>
        <v>3.5345227985236108E-2</v>
      </c>
      <c r="AY2449" s="453">
        <f>AY2448*('Assumptions (Battery)'!AX21+'Assumptions (Battery)'!AX25+('Assumptions (Battery)'!AX22/'Assumptions (Battery)'!AX24))/10^3</f>
        <v>2.393955089199867E-2</v>
      </c>
      <c r="AZ2449" s="453">
        <f>AZ2448*('Assumptions (Battery)'!AY21+'Assumptions (Battery)'!AY25+('Assumptions (Battery)'!AY22/'Assumptions (Battery)'!AY24))/10^3</f>
        <v>1.2161183841359297E-2</v>
      </c>
      <c r="BA2449" s="453">
        <f>BA2448*('Assumptions (Battery)'!AZ21+'Assumptions (Battery)'!AZ25+('Assumptions (Battery)'!AZ22/'Assumptions (Battery)'!AZ24))/10^3</f>
        <v>0</v>
      </c>
    </row>
    <row r="2450" spans="1:53" ht="15.75" customHeight="1">
      <c r="A2450" s="451" t="s">
        <v>36</v>
      </c>
      <c r="B2450" s="99" t="s">
        <v>201</v>
      </c>
      <c r="C2450" s="63">
        <v>0</v>
      </c>
      <c r="D2450" s="63">
        <v>0</v>
      </c>
      <c r="E2450" s="63">
        <v>0</v>
      </c>
      <c r="F2450" s="63">
        <v>0</v>
      </c>
      <c r="G2450" s="63">
        <v>0</v>
      </c>
      <c r="H2450" s="63">
        <v>0</v>
      </c>
      <c r="I2450" s="63">
        <v>0</v>
      </c>
      <c r="J2450" s="63">
        <v>0</v>
      </c>
      <c r="K2450" s="147">
        <f>K2448*'Assumptions (Battery)'!J37/10^3</f>
        <v>2.8402696000000001E-4</v>
      </c>
      <c r="L2450" s="147">
        <f>L2448*'Assumptions (Battery)'!K37/10^3</f>
        <v>5.9493083999999981E-4</v>
      </c>
      <c r="M2450" s="147">
        <f>M2448*'Assumptions (Battery)'!L37/10^3</f>
        <v>1.0252045999999998E-3</v>
      </c>
      <c r="N2450" s="147">
        <f>N2448*'Assumptions (Battery)'!M37/10^3</f>
        <v>4.2268946159999994E-3</v>
      </c>
      <c r="O2450" s="147">
        <f>O2448*'Assumptions (Battery)'!N37/10^3</f>
        <v>7.3099763519999987E-3</v>
      </c>
      <c r="P2450" s="147">
        <f>P2448*'Assumptions (Battery)'!O37/10^3</f>
        <v>9.584282022000002E-3</v>
      </c>
      <c r="Q2450" s="147">
        <f>Q2448*'Assumptions (Battery)'!P37/10^3</f>
        <v>1.3051781945999997E-2</v>
      </c>
      <c r="R2450" s="147">
        <f>R2448*'Assumptions (Battery)'!Q37/10^3</f>
        <v>2.2998353055999995E-2</v>
      </c>
      <c r="S2450" s="147">
        <f>S2448*'Assumptions (Battery)'!R37/10^3</f>
        <v>4.2122180799999992E-2</v>
      </c>
      <c r="T2450" s="147">
        <f>T2448*'Assumptions (Battery)'!S37/10^3</f>
        <v>5.0694924000000002E-2</v>
      </c>
      <c r="U2450" s="147">
        <f>U2448*'Assumptions (Battery)'!T37/10^3</f>
        <v>6.3590100000000011E-2</v>
      </c>
      <c r="V2450" s="147">
        <f>V2448*'Assumptions (Battery)'!U37/10^3</f>
        <v>8.2696844999999991E-2</v>
      </c>
      <c r="W2450" s="147">
        <f>W2448*'Assumptions (Battery)'!V37/10^3</f>
        <v>0.12427864904000001</v>
      </c>
      <c r="X2450" s="147">
        <f>X2448*'Assumptions (Battery)'!W37/10^3</f>
        <v>0.12104722284783334</v>
      </c>
      <c r="Y2450" s="147">
        <f>Y2448*'Assumptions (Battery)'!X37/10^3</f>
        <v>0.117952265312</v>
      </c>
      <c r="Z2450" s="147">
        <f>Z2448*'Assumptions (Battery)'!Y37/10^3</f>
        <v>0.1155948613785</v>
      </c>
      <c r="AA2450" s="147">
        <f>AA2448*'Assumptions (Battery)'!Z37/10^3</f>
        <v>0.11342925357399998</v>
      </c>
      <c r="AB2450" s="147">
        <f>AB2448*'Assumptions (Battery)'!AA37/10^3</f>
        <v>0.11214343166249997</v>
      </c>
      <c r="AC2450" s="147">
        <f>AC2448*'Assumptions (Battery)'!AB37/10^3</f>
        <v>0.10939598112799997</v>
      </c>
      <c r="AD2450" s="147">
        <f>AD2448*'Assumptions (Battery)'!AC37/10^3</f>
        <v>0.10689796794716665</v>
      </c>
      <c r="AE2450" s="147">
        <f>AE2448*'Assumptions (Battery)'!AD37/10^3</f>
        <v>0.10404614230266662</v>
      </c>
      <c r="AF2450" s="147">
        <f>AF2448*'Assumptions (Battery)'!AE37/10^3</f>
        <v>0.10114596339049997</v>
      </c>
      <c r="AG2450" s="147">
        <f>AG2448*'Assumptions (Battery)'!AF37/10^3</f>
        <v>9.8108405453333311E-2</v>
      </c>
      <c r="AH2450" s="147">
        <f>AH2448*'Assumptions (Battery)'!AG37/10^3</f>
        <v>9.5063062399666637E-2</v>
      </c>
      <c r="AI2450" s="147">
        <f>AI2448*'Assumptions (Battery)'!AH37/10^3</f>
        <v>9.147537514499994E-2</v>
      </c>
      <c r="AJ2450" s="147">
        <f>AJ2448*'Assumptions (Battery)'!AI37/10^3</f>
        <v>8.7704567110999943E-2</v>
      </c>
      <c r="AK2450" s="147">
        <f>AK2448*'Assumptions (Battery)'!AJ37/10^3</f>
        <v>8.380522990933327E-2</v>
      </c>
      <c r="AL2450" s="147">
        <f>AL2448*'Assumptions (Battery)'!AK37/10^3</f>
        <v>7.9885308124999943E-2</v>
      </c>
      <c r="AM2450" s="147">
        <f>AM2448*'Assumptions (Battery)'!AL37/10^3</f>
        <v>7.6104980270666589E-2</v>
      </c>
      <c r="AN2450" s="147">
        <f>AN2448*'Assumptions (Battery)'!AM37/10^3</f>
        <v>7.2059855337166578E-2</v>
      </c>
      <c r="AO2450" s="147">
        <f>AO2448*'Assumptions (Battery)'!AN37/10^3</f>
        <v>6.8010301813999918E-2</v>
      </c>
      <c r="AP2450" s="147">
        <f>AP2448*'Assumptions (Battery)'!AO37/10^3</f>
        <v>6.3735824382999906E-2</v>
      </c>
      <c r="AQ2450" s="147">
        <f>AQ2448*'Assumptions (Battery)'!AP37/10^3</f>
        <v>5.91239601749999E-2</v>
      </c>
      <c r="AR2450" s="147">
        <f>AR2448*'Assumptions (Battery)'!AQ37/10^3</f>
        <v>5.4252132017999888E-2</v>
      </c>
      <c r="AS2450" s="147">
        <f>AS2448*'Assumptions (Battery)'!AR37/10^3</f>
        <v>4.9142784282666559E-2</v>
      </c>
      <c r="AT2450" s="147">
        <f>AT2448*'Assumptions (Battery)'!AS37/10^3</f>
        <v>4.3851987014499889E-2</v>
      </c>
      <c r="AU2450" s="147">
        <f>AU2448*'Assumptions (Battery)'!AT37/10^3</f>
        <v>3.8366599053999882E-2</v>
      </c>
      <c r="AV2450" s="147">
        <f>AV2448*'Assumptions (Battery)'!AU37/10^3</f>
        <v>3.2638159744166548E-2</v>
      </c>
      <c r="AW2450" s="147">
        <f>AW2448*'Assumptions (Battery)'!AV37/10^3</f>
        <v>2.6598234011999882E-2</v>
      </c>
      <c r="AX2450" s="147">
        <f>AX2448*'Assumptions (Battery)'!AW37/10^3</f>
        <v>2.0387124190999882E-2</v>
      </c>
      <c r="AY2450" s="147">
        <f>AY2448*'Assumptions (Battery)'!AX37/10^3</f>
        <v>1.408134213033321E-2</v>
      </c>
      <c r="AZ2450" s="147">
        <f>AZ2448*'Assumptions (Battery)'!AY37/10^3</f>
        <v>7.2282173833332066E-3</v>
      </c>
      <c r="BA2450" s="147">
        <f>BA2448*'Assumptions (Battery)'!AZ37/10^3</f>
        <v>0</v>
      </c>
    </row>
    <row r="2451" spans="1:53" ht="15.75" customHeight="1">
      <c r="A2451" s="451" t="s">
        <v>38</v>
      </c>
      <c r="B2451" s="99" t="s">
        <v>201</v>
      </c>
      <c r="C2451" s="63">
        <v>0</v>
      </c>
      <c r="D2451" s="63">
        <v>0</v>
      </c>
      <c r="E2451" s="63">
        <v>0</v>
      </c>
      <c r="F2451" s="63">
        <v>0</v>
      </c>
      <c r="G2451" s="63">
        <v>0</v>
      </c>
      <c r="H2451" s="63">
        <v>0</v>
      </c>
      <c r="I2451" s="63">
        <v>0</v>
      </c>
      <c r="J2451" s="63">
        <v>0</v>
      </c>
      <c r="K2451" s="147">
        <f>K2447*'Assumptions (Battery)'!J40*'Assumptions (Battery)'!J39*365/10^9</f>
        <v>0</v>
      </c>
      <c r="L2451" s="147">
        <f>L2447*'Assumptions (Battery)'!K40*'Assumptions (Battery)'!K39*365/10^9</f>
        <v>0</v>
      </c>
      <c r="M2451" s="147">
        <f>M2447*'Assumptions (Battery)'!L40*'Assumptions (Battery)'!L39*365/10^9</f>
        <v>0</v>
      </c>
      <c r="N2451" s="147">
        <f>N2447*'Assumptions (Battery)'!M40*'Assumptions (Battery)'!M39*365/10^9</f>
        <v>0</v>
      </c>
      <c r="O2451" s="147">
        <f>O2447*'Assumptions (Battery)'!N40*'Assumptions (Battery)'!N39*365/10^9</f>
        <v>0</v>
      </c>
      <c r="P2451" s="147">
        <f>P2447*'Assumptions (Battery)'!O40*'Assumptions (Battery)'!O39*365/10^9</f>
        <v>0</v>
      </c>
      <c r="Q2451" s="147">
        <f>Q2447*'Assumptions (Battery)'!P40*'Assumptions (Battery)'!P39*365/10^9</f>
        <v>0</v>
      </c>
      <c r="R2451" s="147">
        <f>R2447*'Assumptions (Battery)'!Q40*'Assumptions (Battery)'!Q39*365/10^9</f>
        <v>0</v>
      </c>
      <c r="S2451" s="147">
        <f>S2447*'Assumptions (Battery)'!R40*'Assumptions (Battery)'!R39*365/10^9</f>
        <v>0</v>
      </c>
      <c r="T2451" s="147">
        <f>T2447*'Assumptions (Battery)'!S40*'Assumptions (Battery)'!S39*365/10^9</f>
        <v>0</v>
      </c>
      <c r="U2451" s="147">
        <f>U2447*'Assumptions (Battery)'!T40*'Assumptions (Battery)'!T39*365/10^9</f>
        <v>0</v>
      </c>
      <c r="V2451" s="147">
        <f>V2447*'Assumptions (Battery)'!U40*'Assumptions (Battery)'!U39*365/10^9</f>
        <v>0</v>
      </c>
      <c r="W2451" s="147">
        <f>W2447*'Assumptions (Battery)'!V40*'Assumptions (Battery)'!V39*365/10^9</f>
        <v>0</v>
      </c>
      <c r="X2451" s="147">
        <f>X2447*'Assumptions (Battery)'!W40*'Assumptions (Battery)'!W39*365/10^9</f>
        <v>0</v>
      </c>
      <c r="Y2451" s="147">
        <f>Y2447*'Assumptions (Battery)'!X40*'Assumptions (Battery)'!X39*365/10^9</f>
        <v>0</v>
      </c>
      <c r="Z2451" s="147">
        <f>Z2447*'Assumptions (Battery)'!Y40*'Assumptions (Battery)'!Y39*365/10^9</f>
        <v>0</v>
      </c>
      <c r="AA2451" s="147">
        <f>AA2447*'Assumptions (Battery)'!Z40*'Assumptions (Battery)'!Z39*365/10^9</f>
        <v>0</v>
      </c>
      <c r="AB2451" s="147">
        <f>AB2447*'Assumptions (Battery)'!AA40*'Assumptions (Battery)'!AA39*365/10^9</f>
        <v>0</v>
      </c>
      <c r="AC2451" s="147">
        <f>AC2447*'Assumptions (Battery)'!AB40*'Assumptions (Battery)'!AB39*365/10^9</f>
        <v>0</v>
      </c>
      <c r="AD2451" s="147">
        <f>AD2447*'Assumptions (Battery)'!AC40*'Assumptions (Battery)'!AC39*365/10^9</f>
        <v>0</v>
      </c>
      <c r="AE2451" s="147">
        <f>AE2447*'Assumptions (Battery)'!AD40*'Assumptions (Battery)'!AD39*365/10^9</f>
        <v>0</v>
      </c>
      <c r="AF2451" s="147">
        <f>AF2447*'Assumptions (Battery)'!AE40*'Assumptions (Battery)'!AE39*365/10^9</f>
        <v>0</v>
      </c>
      <c r="AG2451" s="147">
        <f>AG2447*'Assumptions (Battery)'!AF40*'Assumptions (Battery)'!AF39*365/10^9</f>
        <v>0</v>
      </c>
      <c r="AH2451" s="147">
        <f>AH2447*'Assumptions (Battery)'!AG40*'Assumptions (Battery)'!AG39*365/10^9</f>
        <v>0</v>
      </c>
      <c r="AI2451" s="147">
        <f>AI2447*'Assumptions (Battery)'!AH40*'Assumptions (Battery)'!AH39*365/10^9</f>
        <v>0</v>
      </c>
      <c r="AJ2451" s="147">
        <f>AJ2447*'Assumptions (Battery)'!AI40*'Assumptions (Battery)'!AI39*365/10^9</f>
        <v>0</v>
      </c>
      <c r="AK2451" s="147">
        <f>AK2447*'Assumptions (Battery)'!AJ40*'Assumptions (Battery)'!AJ39*365/10^9</f>
        <v>0</v>
      </c>
      <c r="AL2451" s="147">
        <f>AL2447*'Assumptions (Battery)'!AK40*'Assumptions (Battery)'!AK39*365/10^9</f>
        <v>0</v>
      </c>
      <c r="AM2451" s="147">
        <f>AM2447*'Assumptions (Battery)'!AL40*'Assumptions (Battery)'!AL39*365/10^9</f>
        <v>0</v>
      </c>
      <c r="AN2451" s="147">
        <f>AN2447*'Assumptions (Battery)'!AM40*'Assumptions (Battery)'!AM39*365/10^9</f>
        <v>0</v>
      </c>
      <c r="AO2451" s="147">
        <f>AO2447*'Assumptions (Battery)'!AN40*'Assumptions (Battery)'!AN39*365/10^9</f>
        <v>0</v>
      </c>
      <c r="AP2451" s="147">
        <f>AP2447*'Assumptions (Battery)'!AO40*'Assumptions (Battery)'!AO39*365/10^9</f>
        <v>0</v>
      </c>
      <c r="AQ2451" s="147">
        <f>AQ2447*'Assumptions (Battery)'!AP40*'Assumptions (Battery)'!AP39*365/10^9</f>
        <v>0</v>
      </c>
      <c r="AR2451" s="147">
        <f>AR2447*'Assumptions (Battery)'!AQ40*'Assumptions (Battery)'!AQ39*365/10^9</f>
        <v>0</v>
      </c>
      <c r="AS2451" s="147">
        <f>AS2447*'Assumptions (Battery)'!AR40*'Assumptions (Battery)'!AR39*365/10^9</f>
        <v>0</v>
      </c>
      <c r="AT2451" s="147">
        <f>AT2447*'Assumptions (Battery)'!AS40*'Assumptions (Battery)'!AS39*365/10^9</f>
        <v>0</v>
      </c>
      <c r="AU2451" s="147">
        <f>AU2447*'Assumptions (Battery)'!AT40*'Assumptions (Battery)'!AT39*365/10^9</f>
        <v>0</v>
      </c>
      <c r="AV2451" s="147">
        <f>AV2447*'Assumptions (Battery)'!AU40*'Assumptions (Battery)'!AU39*365/10^9</f>
        <v>0</v>
      </c>
      <c r="AW2451" s="147">
        <f>AW2447*'Assumptions (Battery)'!AV40*'Assumptions (Battery)'!AV39*365/10^9</f>
        <v>0</v>
      </c>
      <c r="AX2451" s="147">
        <f>AX2447*'Assumptions (Battery)'!AW40*'Assumptions (Battery)'!AW39*365/10^9</f>
        <v>0</v>
      </c>
      <c r="AY2451" s="147">
        <f>AY2447*'Assumptions (Battery)'!AX40*'Assumptions (Battery)'!AX39*365/10^9</f>
        <v>0</v>
      </c>
      <c r="AZ2451" s="147">
        <f>AZ2447*'Assumptions (Battery)'!AY40*'Assumptions (Battery)'!AY39*365/10^9</f>
        <v>0</v>
      </c>
      <c r="BA2451" s="147">
        <f>BA2447*'Assumptions (Battery)'!AZ40*'Assumptions (Battery)'!AZ39*365/10^9</f>
        <v>0</v>
      </c>
    </row>
    <row r="2452" spans="1:53" ht="15.75" customHeight="1">
      <c r="A2452" s="454" t="s">
        <v>46</v>
      </c>
      <c r="B2452" s="99" t="s">
        <v>152</v>
      </c>
      <c r="C2452" s="63">
        <v>0</v>
      </c>
      <c r="D2452" s="63">
        <v>0</v>
      </c>
      <c r="E2452" s="63">
        <v>0</v>
      </c>
      <c r="F2452" s="63">
        <v>0</v>
      </c>
      <c r="G2452" s="63">
        <v>0</v>
      </c>
      <c r="H2452" s="63">
        <v>0</v>
      </c>
      <c r="I2452" s="63">
        <v>0</v>
      </c>
      <c r="J2452" s="63">
        <v>0</v>
      </c>
      <c r="K2452" s="127">
        <v>2</v>
      </c>
      <c r="L2452" s="127">
        <v>4</v>
      </c>
      <c r="M2452" s="127">
        <v>4</v>
      </c>
      <c r="N2452" s="127">
        <v>32.799999999999997</v>
      </c>
      <c r="O2452" s="127">
        <v>42.8</v>
      </c>
      <c r="P2452" s="127">
        <v>15.5</v>
      </c>
      <c r="Q2452" s="127">
        <v>27.2</v>
      </c>
      <c r="R2452" s="127">
        <v>146.1</v>
      </c>
      <c r="S2452" s="127">
        <v>195.2</v>
      </c>
      <c r="T2452" s="63">
        <v>109.4</v>
      </c>
      <c r="U2452" s="63">
        <v>128.5</v>
      </c>
      <c r="V2452" s="63">
        <v>200</v>
      </c>
      <c r="W2452" s="421">
        <v>400</v>
      </c>
      <c r="X2452" s="90">
        <f t="shared" ref="X2452:BA2452" si="59">X2447-W2447</f>
        <v>-43.583333333333258</v>
      </c>
      <c r="Y2452" s="90">
        <f t="shared" si="59"/>
        <v>-43.583333333333258</v>
      </c>
      <c r="Z2452" s="90">
        <f t="shared" si="59"/>
        <v>-43.583333333333258</v>
      </c>
      <c r="AA2452" s="90">
        <f t="shared" si="59"/>
        <v>-43.583333333333258</v>
      </c>
      <c r="AB2452" s="90">
        <f t="shared" si="59"/>
        <v>-43.583333333333258</v>
      </c>
      <c r="AC2452" s="90">
        <f t="shared" si="59"/>
        <v>-43.583333333333258</v>
      </c>
      <c r="AD2452" s="90">
        <f t="shared" si="59"/>
        <v>-43.583333333333371</v>
      </c>
      <c r="AE2452" s="90">
        <f t="shared" si="59"/>
        <v>-43.583333333333371</v>
      </c>
      <c r="AF2452" s="90">
        <f t="shared" si="59"/>
        <v>-43.583333333333371</v>
      </c>
      <c r="AG2452" s="90">
        <f t="shared" si="59"/>
        <v>-43.583333333333371</v>
      </c>
      <c r="AH2452" s="90">
        <f t="shared" si="59"/>
        <v>-43.583333333333371</v>
      </c>
      <c r="AI2452" s="90">
        <f t="shared" si="59"/>
        <v>-43.583333333333371</v>
      </c>
      <c r="AJ2452" s="90">
        <f t="shared" si="59"/>
        <v>-43.583333333333371</v>
      </c>
      <c r="AK2452" s="90">
        <f t="shared" si="59"/>
        <v>-43.583333333333371</v>
      </c>
      <c r="AL2452" s="90">
        <f t="shared" si="59"/>
        <v>-43.583333333333371</v>
      </c>
      <c r="AM2452" s="90">
        <f t="shared" si="59"/>
        <v>-43.583333333333371</v>
      </c>
      <c r="AN2452" s="90">
        <f t="shared" si="59"/>
        <v>-43.583333333333371</v>
      </c>
      <c r="AO2452" s="90">
        <f t="shared" si="59"/>
        <v>-43.583333333333371</v>
      </c>
      <c r="AP2452" s="90">
        <f t="shared" si="59"/>
        <v>-43.583333333333314</v>
      </c>
      <c r="AQ2452" s="90">
        <f t="shared" si="59"/>
        <v>-43.583333333333314</v>
      </c>
      <c r="AR2452" s="90">
        <f t="shared" si="59"/>
        <v>-43.583333333333314</v>
      </c>
      <c r="AS2452" s="90">
        <f t="shared" si="59"/>
        <v>-43.583333333333314</v>
      </c>
      <c r="AT2452" s="90">
        <f t="shared" si="59"/>
        <v>-43.583333333333314</v>
      </c>
      <c r="AU2452" s="90">
        <f t="shared" si="59"/>
        <v>-43.583333333333314</v>
      </c>
      <c r="AV2452" s="90">
        <f t="shared" si="59"/>
        <v>-43.583333333333343</v>
      </c>
      <c r="AW2452" s="90">
        <f t="shared" si="59"/>
        <v>-43.583333333333343</v>
      </c>
      <c r="AX2452" s="90">
        <f t="shared" si="59"/>
        <v>-43.583333333333343</v>
      </c>
      <c r="AY2452" s="90">
        <f t="shared" si="59"/>
        <v>-43.583333333333343</v>
      </c>
      <c r="AZ2452" s="90">
        <f t="shared" si="59"/>
        <v>-43.583333333333336</v>
      </c>
      <c r="BA2452" s="90">
        <f t="shared" si="59"/>
        <v>-43.583333333333407</v>
      </c>
    </row>
    <row r="2453" spans="1:53" ht="15.75" customHeight="1">
      <c r="A2453" s="454" t="s">
        <v>48</v>
      </c>
      <c r="B2453" s="99" t="s">
        <v>153</v>
      </c>
      <c r="C2453" s="90">
        <f>IF(B2452='Assumptions (Battery)'!$V$12,Model!C2448-Model!C2447*'Assumptions (Battery)'!A$16*0.00876,0)</f>
        <v>0</v>
      </c>
      <c r="D2453" s="90">
        <f>IF(C2452='Assumptions (Battery)'!$V$12,Model!D2448-Model!D2447*'Assumptions (Battery)'!B$16*0.00876,0)</f>
        <v>0</v>
      </c>
      <c r="E2453" s="90">
        <f>IF(D2452='Assumptions (Battery)'!$V$12,Model!E2448-Model!E2447*'Assumptions (Battery)'!C$16*0.00876,0)</f>
        <v>0</v>
      </c>
      <c r="F2453" s="90">
        <f>IF(E2452='Assumptions (Battery)'!$V$12,Model!F2448-Model!F2447*'Assumptions (Battery)'!D$16*0.00876,0)</f>
        <v>0</v>
      </c>
      <c r="G2453" s="90">
        <f>IF(F2452='Assumptions (Battery)'!$V$12,Model!G2448-Model!G2447*'Assumptions (Battery)'!E$16*0.00876,0)</f>
        <v>0</v>
      </c>
      <c r="H2453" s="90">
        <f>IF(G2452='Assumptions (Battery)'!$V$12,Model!H2448-Model!H2447*'Assumptions (Battery)'!F$16*0.00876,0)</f>
        <v>0</v>
      </c>
      <c r="I2453" s="90">
        <f>IF(H2452='Assumptions (Battery)'!$V$12,Model!I2448-Model!I2447*'Assumptions (Battery)'!G$16*0.00876,0)</f>
        <v>0</v>
      </c>
      <c r="J2453" s="90">
        <f>IF(I2452='Assumptions (Battery)'!$V$12,Model!J2448-Model!J2447*'Assumptions (Battery)'!H$16*0.00876,0)</f>
        <v>0</v>
      </c>
      <c r="K2453" s="90">
        <f>IF(J2452='Assumptions (Battery)'!$V$12,Model!K2448-Model!K2447*'Assumptions (Battery)'!I$16*0.00876,0)</f>
        <v>2.8E-3</v>
      </c>
      <c r="L2453" s="90">
        <f>IF(K2452='Assumptions (Battery)'!$V$12,Model!L2448-Model!L2447*'Assumptions (Battery)'!J$16*0.00876,0)</f>
        <v>0</v>
      </c>
      <c r="M2453" s="90">
        <f>IF(L2452='Assumptions (Battery)'!$V$12,Model!M2448-Model!M2447*'Assumptions (Battery)'!K$16*0.00876,0)</f>
        <v>0</v>
      </c>
      <c r="N2453" s="90">
        <f>IF(M2452='Assumptions (Battery)'!$V$12,Model!N2448-Model!N2447*'Assumptions (Battery)'!L$16*0.00876,0)</f>
        <v>0</v>
      </c>
      <c r="O2453" s="90">
        <f>IF(N2452='Assumptions (Battery)'!$V$12,Model!O2448-Model!O2447*'Assumptions (Battery)'!M$16*0.00876,0)</f>
        <v>0</v>
      </c>
      <c r="P2453" s="90">
        <f>IF(O2452='Assumptions (Battery)'!$V$12,Model!P2448-Model!P2447*'Assumptions (Battery)'!N$16*0.00876,0)</f>
        <v>0</v>
      </c>
      <c r="Q2453" s="90">
        <f>IF(P2452='Assumptions (Battery)'!$V$12,Model!Q2448-Model!Q2447*'Assumptions (Battery)'!O$16*0.00876,0)</f>
        <v>0</v>
      </c>
      <c r="R2453" s="90">
        <f>IF(Q2452='Assumptions (Battery)'!$V$12,Model!R2448-Model!R2447*'Assumptions (Battery)'!P$16*0.00876,0)</f>
        <v>0</v>
      </c>
      <c r="S2453" s="90">
        <f>IF(R2452='Assumptions (Battery)'!$V$12,Model!S2448-Model!S2447*'Assumptions (Battery)'!Q$16*0.00876,0)</f>
        <v>0</v>
      </c>
      <c r="T2453" s="90">
        <f>IF(S2452='Assumptions (Battery)'!$V$12,Model!T2448-Model!T2447*'Assumptions (Battery)'!R$16*0.00876,0)</f>
        <v>0</v>
      </c>
      <c r="U2453" s="90">
        <f>IF(T2452='Assumptions (Battery)'!$V$12,Model!U2448-Model!U2447*'Assumptions (Battery)'!S$16*0.00876,0)</f>
        <v>0</v>
      </c>
      <c r="V2453" s="90">
        <f>IF(U2452='Assumptions (Battery)'!$V$12,Model!V2448-Model!V2447*'Assumptions (Battery)'!T$16*0.00876,0)</f>
        <v>0</v>
      </c>
      <c r="W2453" s="90">
        <f>IF(V2452='Assumptions (Battery)'!$V$12,Model!W2448-Model!W2447*'Assumptions (Battery)'!U$16*0.00876,0)</f>
        <v>0</v>
      </c>
      <c r="X2453" s="90">
        <f>IF(W2452='Assumptions (Battery)'!$V$12,Model!X2448-Model!X2447*'Assumptions (Battery)'!V$16*0.00876,0)</f>
        <v>0</v>
      </c>
      <c r="Y2453" s="90">
        <f>IF(X2452='Assumptions (Battery)'!$V$12,Model!Y2448-Model!Y2447*'Assumptions (Battery)'!W$16*0.00876,0)</f>
        <v>0</v>
      </c>
      <c r="Z2453" s="90">
        <f>IF(Y2452='Assumptions (Battery)'!$V$12,Model!Z2448-Model!Z2447*'Assumptions (Battery)'!X$16*0.00876,0)</f>
        <v>0</v>
      </c>
      <c r="AA2453" s="90">
        <f>IF(Z2452='Assumptions (Battery)'!$V$12,Model!AA2448-Model!AA2447*'Assumptions (Battery)'!Y$16*0.00876,0)</f>
        <v>0</v>
      </c>
      <c r="AB2453" s="90">
        <f>IF(AA2452='Assumptions (Battery)'!$V$12,Model!AB2448-Model!AB2447*'Assumptions (Battery)'!Z$16*0.00876,0)</f>
        <v>0</v>
      </c>
      <c r="AC2453" s="90">
        <f>IF(AB2452='Assumptions (Battery)'!$V$12,Model!AC2448-Model!AC2447*'Assumptions (Battery)'!AA$16*0.00876,0)</f>
        <v>0</v>
      </c>
      <c r="AD2453" s="90">
        <f>IF(AC2452='Assumptions (Battery)'!$V$12,Model!AD2448-Model!AD2447*'Assumptions (Battery)'!AB$16*0.00876,0)</f>
        <v>0</v>
      </c>
      <c r="AE2453" s="90">
        <f>IF(AD2452='Assumptions (Battery)'!$V$12,Model!AE2448-Model!AE2447*'Assumptions (Battery)'!AC$16*0.00876,0)</f>
        <v>0</v>
      </c>
      <c r="AF2453" s="90">
        <f>IF(AE2452='Assumptions (Battery)'!$V$12,Model!AF2448-Model!AF2447*'Assumptions (Battery)'!AD$16*0.00876,0)</f>
        <v>0</v>
      </c>
      <c r="AG2453" s="90">
        <f>IF(AF2452='Assumptions (Battery)'!$V$12,Model!AG2448-Model!AG2447*'Assumptions (Battery)'!AE$16*0.00876,0)</f>
        <v>0</v>
      </c>
      <c r="AH2453" s="90">
        <f>IF(AG2452='Assumptions (Battery)'!$V$12,Model!AH2448-Model!AH2447*'Assumptions (Battery)'!AF$16*0.00876,0)</f>
        <v>0</v>
      </c>
      <c r="AI2453" s="90">
        <f>IF(AH2452='Assumptions (Battery)'!$V$12,Model!AI2448-Model!AI2447*'Assumptions (Battery)'!AG$16*0.00876,0)</f>
        <v>0</v>
      </c>
      <c r="AJ2453" s="90">
        <f>IF(AI2452='Assumptions (Battery)'!$V$12,Model!AJ2448-Model!AJ2447*'Assumptions (Battery)'!AH$16*0.00876,0)</f>
        <v>0</v>
      </c>
      <c r="AK2453" s="90">
        <f>IF(AJ2452='Assumptions (Battery)'!$V$12,Model!AK2448-Model!AK2447*'Assumptions (Battery)'!AI$16*0.00876,0)</f>
        <v>0</v>
      </c>
      <c r="AL2453" s="90">
        <f>IF(AK2452='Assumptions (Battery)'!$V$12,Model!AL2448-Model!AL2447*'Assumptions (Battery)'!AJ$16*0.00876,0)</f>
        <v>0</v>
      </c>
      <c r="AM2453" s="90">
        <f>IF(AL2452='Assumptions (Battery)'!$V$12,Model!AM2448-Model!AM2447*'Assumptions (Battery)'!AK$16*0.00876,0)</f>
        <v>0</v>
      </c>
      <c r="AN2453" s="90">
        <f>IF(AM2452='Assumptions (Battery)'!$V$12,Model!AN2448-Model!AN2447*'Assumptions (Battery)'!AL$16*0.00876,0)</f>
        <v>0</v>
      </c>
      <c r="AO2453" s="90">
        <f>IF(AN2452='Assumptions (Battery)'!$V$12,Model!AO2448-Model!AO2447*'Assumptions (Battery)'!AM$16*0.00876,0)</f>
        <v>0</v>
      </c>
      <c r="AP2453" s="90">
        <f>IF(AO2452='Assumptions (Battery)'!$V$12,Model!AP2448-Model!AP2447*'Assumptions (Battery)'!AN$16*0.00876,0)</f>
        <v>0</v>
      </c>
      <c r="AQ2453" s="90">
        <f>IF(AP2452='Assumptions (Battery)'!$V$12,Model!AQ2448-Model!AQ2447*'Assumptions (Battery)'!AO$16*0.00876,0)</f>
        <v>0</v>
      </c>
      <c r="AR2453" s="90">
        <f>IF(AQ2452='Assumptions (Battery)'!$V$12,Model!AR2448-Model!AR2447*'Assumptions (Battery)'!AP$16*0.00876,0)</f>
        <v>0</v>
      </c>
      <c r="AS2453" s="90">
        <f>IF(AR2452='Assumptions (Battery)'!$V$12,Model!AS2448-Model!AS2447*'Assumptions (Battery)'!AQ$16*0.00876,0)</f>
        <v>0</v>
      </c>
      <c r="AT2453" s="90">
        <f>IF(AS2452='Assumptions (Battery)'!$V$12,Model!AT2448-Model!AT2447*'Assumptions (Battery)'!AR$16*0.00876,0)</f>
        <v>0</v>
      </c>
      <c r="AU2453" s="90">
        <f>IF(AT2452='Assumptions (Battery)'!$V$12,Model!AU2448-Model!AU2447*'Assumptions (Battery)'!AS$16*0.00876,0)</f>
        <v>0</v>
      </c>
      <c r="AV2453" s="90">
        <f>IF(AU2452='Assumptions (Battery)'!$V$12,Model!AV2448-Model!AV2447*'Assumptions (Battery)'!AT$16*0.00876,0)</f>
        <v>0</v>
      </c>
      <c r="AW2453" s="90">
        <f>IF(AV2452='Assumptions (Battery)'!$V$12,Model!AW2448-Model!AW2447*'Assumptions (Battery)'!AU$16*0.00876,0)</f>
        <v>0</v>
      </c>
      <c r="AX2453" s="90">
        <f>IF(AW2452='Assumptions (Battery)'!$V$12,Model!AX2448-Model!AX2447*'Assumptions (Battery)'!AV$16*0.00876,0)</f>
        <v>0</v>
      </c>
      <c r="AY2453" s="90">
        <f>IF(AX2452='Assumptions (Battery)'!$V$12,Model!AY2448-Model!AY2447*'Assumptions (Battery)'!AW$16*0.00876,0)</f>
        <v>0</v>
      </c>
      <c r="AZ2453" s="90">
        <f>IF(AY2452='Assumptions (Battery)'!$V$12,Model!AZ2448-Model!AZ2447*'Assumptions (Battery)'!AX$16*0.00876,0)</f>
        <v>0</v>
      </c>
      <c r="BA2453" s="90">
        <f>IF(AZ2452='Assumptions (Battery)'!$V$12,Model!BA2448-Model!BA2447*'Assumptions (Battery)'!AY$16*0.00876,0)</f>
        <v>0</v>
      </c>
    </row>
    <row r="2454" spans="1:53" ht="15.75" customHeight="1">
      <c r="A2454" s="452" t="s">
        <v>290</v>
      </c>
      <c r="B2454" s="99" t="s">
        <v>201</v>
      </c>
      <c r="C2454" s="91">
        <f t="shared" ref="C2454:BA2454" si="60">SUM(C2455:C2505)</f>
        <v>0</v>
      </c>
      <c r="D2454" s="91">
        <f t="shared" si="60"/>
        <v>0</v>
      </c>
      <c r="E2454" s="91">
        <f t="shared" si="60"/>
        <v>0</v>
      </c>
      <c r="F2454" s="91">
        <f t="shared" si="60"/>
        <v>0</v>
      </c>
      <c r="G2454" s="91">
        <f t="shared" si="60"/>
        <v>0</v>
      </c>
      <c r="H2454" s="91">
        <f t="shared" si="60"/>
        <v>0</v>
      </c>
      <c r="I2454" s="91">
        <f t="shared" si="60"/>
        <v>0</v>
      </c>
      <c r="J2454" s="455">
        <f t="shared" si="60"/>
        <v>2.5664679832657824E-3</v>
      </c>
      <c r="K2454" s="91">
        <f t="shared" si="60"/>
        <v>5.2355946858621957E-3</v>
      </c>
      <c r="L2454" s="91">
        <f t="shared" si="60"/>
        <v>5.3403065795794395E-3</v>
      </c>
      <c r="M2454" s="91">
        <f t="shared" si="60"/>
        <v>4.4666324231602439E-2</v>
      </c>
      <c r="N2454" s="91">
        <f t="shared" si="60"/>
        <v>5.9449788129720606E-2</v>
      </c>
      <c r="O2454" s="91">
        <f t="shared" si="60"/>
        <v>2.1960307250721563E-2</v>
      </c>
      <c r="P2454" s="91">
        <f t="shared" si="60"/>
        <v>3.9307533184775423E-2</v>
      </c>
      <c r="Q2454" s="91">
        <f t="shared" si="60"/>
        <v>0.21535614743608836</v>
      </c>
      <c r="R2454" s="91">
        <f t="shared" si="60"/>
        <v>0.29348576577080721</v>
      </c>
      <c r="S2454" s="91">
        <f t="shared" si="60"/>
        <v>0.16777402474811906</v>
      </c>
      <c r="T2454" s="91">
        <f t="shared" si="60"/>
        <v>0.20100677718223003</v>
      </c>
      <c r="U2454" s="91">
        <f t="shared" si="60"/>
        <v>0.31910803537101112</v>
      </c>
      <c r="V2454" s="91">
        <f t="shared" si="60"/>
        <v>0.66400000000000003</v>
      </c>
      <c r="W2454" s="91">
        <f t="shared" si="60"/>
        <v>0</v>
      </c>
      <c r="X2454" s="91">
        <f t="shared" si="60"/>
        <v>0</v>
      </c>
      <c r="Y2454" s="91">
        <f t="shared" si="60"/>
        <v>0</v>
      </c>
      <c r="Z2454" s="91">
        <f t="shared" si="60"/>
        <v>0</v>
      </c>
      <c r="AA2454" s="91">
        <f t="shared" si="60"/>
        <v>0</v>
      </c>
      <c r="AB2454" s="91">
        <f t="shared" si="60"/>
        <v>0</v>
      </c>
      <c r="AC2454" s="91">
        <f t="shared" si="60"/>
        <v>0</v>
      </c>
      <c r="AD2454" s="91">
        <f t="shared" si="60"/>
        <v>0</v>
      </c>
      <c r="AE2454" s="91">
        <f t="shared" si="60"/>
        <v>0</v>
      </c>
      <c r="AF2454" s="91">
        <f t="shared" si="60"/>
        <v>0</v>
      </c>
      <c r="AG2454" s="91">
        <f t="shared" si="60"/>
        <v>0</v>
      </c>
      <c r="AH2454" s="91">
        <f t="shared" si="60"/>
        <v>0</v>
      </c>
      <c r="AI2454" s="91">
        <f t="shared" si="60"/>
        <v>0</v>
      </c>
      <c r="AJ2454" s="91">
        <f t="shared" si="60"/>
        <v>0</v>
      </c>
      <c r="AK2454" s="91">
        <f t="shared" si="60"/>
        <v>0</v>
      </c>
      <c r="AL2454" s="91">
        <f t="shared" si="60"/>
        <v>0</v>
      </c>
      <c r="AM2454" s="91">
        <f t="shared" si="60"/>
        <v>0</v>
      </c>
      <c r="AN2454" s="91">
        <f t="shared" si="60"/>
        <v>0</v>
      </c>
      <c r="AO2454" s="91">
        <f t="shared" si="60"/>
        <v>0</v>
      </c>
      <c r="AP2454" s="91">
        <f t="shared" si="60"/>
        <v>0</v>
      </c>
      <c r="AQ2454" s="91">
        <f t="shared" si="60"/>
        <v>0</v>
      </c>
      <c r="AR2454" s="91">
        <f t="shared" si="60"/>
        <v>0</v>
      </c>
      <c r="AS2454" s="91">
        <f t="shared" si="60"/>
        <v>0</v>
      </c>
      <c r="AT2454" s="91">
        <f t="shared" si="60"/>
        <v>0</v>
      </c>
      <c r="AU2454" s="91">
        <f t="shared" si="60"/>
        <v>0</v>
      </c>
      <c r="AV2454" s="91">
        <f t="shared" si="60"/>
        <v>0</v>
      </c>
      <c r="AW2454" s="91">
        <f t="shared" si="60"/>
        <v>0</v>
      </c>
      <c r="AX2454" s="91">
        <f t="shared" si="60"/>
        <v>0</v>
      </c>
      <c r="AY2454" s="91">
        <f t="shared" si="60"/>
        <v>0</v>
      </c>
      <c r="AZ2454" s="91">
        <f t="shared" si="60"/>
        <v>0</v>
      </c>
      <c r="BA2454" s="91">
        <f t="shared" si="60"/>
        <v>0</v>
      </c>
    </row>
    <row r="2455" spans="1:53" ht="15.75" hidden="1" customHeight="1" outlineLevel="1">
      <c r="A2455" s="454"/>
      <c r="B2455" s="99"/>
      <c r="C2455" s="91">
        <f>IF($C$2452&gt;0,3*'Assumptions (Battery)'!$V$14*Model!$C$2452*'Assumptions (Battery)'!B$2/10^9,0)</f>
        <v>0</v>
      </c>
      <c r="D2455" s="105"/>
      <c r="E2455" s="105"/>
      <c r="F2455" s="105"/>
      <c r="G2455" s="105"/>
      <c r="H2455" s="105"/>
      <c r="I2455" s="105"/>
      <c r="J2455" s="105"/>
      <c r="K2455" s="105"/>
      <c r="L2455" s="105"/>
      <c r="M2455" s="105"/>
      <c r="N2455" s="105"/>
      <c r="O2455" s="105"/>
      <c r="P2455" s="105"/>
      <c r="Q2455" s="105"/>
      <c r="R2455" s="105"/>
      <c r="S2455" s="105"/>
      <c r="T2455" s="105"/>
      <c r="U2455" s="105"/>
      <c r="V2455" s="99"/>
      <c r="W2455" s="147"/>
      <c r="X2455" s="147"/>
      <c r="Y2455" s="147"/>
      <c r="Z2455" s="147"/>
      <c r="AA2455" s="147"/>
      <c r="AB2455" s="147"/>
      <c r="AC2455" s="147"/>
      <c r="AD2455" s="147"/>
      <c r="AE2455" s="147"/>
      <c r="AF2455" s="147"/>
      <c r="AG2455" s="147"/>
      <c r="AH2455" s="147"/>
      <c r="AI2455" s="147"/>
      <c r="AJ2455" s="147"/>
      <c r="AK2455" s="147"/>
      <c r="AL2455" s="147"/>
      <c r="AM2455" s="147"/>
      <c r="AN2455" s="147"/>
      <c r="AO2455" s="147"/>
      <c r="AP2455" s="147"/>
      <c r="AQ2455" s="147"/>
      <c r="AR2455" s="147"/>
      <c r="AS2455" s="147"/>
      <c r="AT2455" s="147"/>
      <c r="AU2455" s="147"/>
      <c r="AV2455" s="147"/>
      <c r="AW2455" s="147"/>
      <c r="AX2455" s="147"/>
      <c r="AY2455" s="147"/>
      <c r="AZ2455" s="147"/>
      <c r="BA2455" s="147"/>
    </row>
    <row r="2456" spans="1:53" ht="15.75" hidden="1" customHeight="1" outlineLevel="1">
      <c r="A2456" s="454"/>
      <c r="B2456" s="99"/>
      <c r="C2456" s="91">
        <f>IF($D$2452&gt;0,3*'Assumptions (Battery)'!$V$14*Model!$D$2452*'Assumptions (Battery)'!B$2/10^9,0)</f>
        <v>0</v>
      </c>
      <c r="D2456" s="91"/>
      <c r="E2456" s="91"/>
      <c r="F2456" s="91"/>
      <c r="G2456" s="91"/>
      <c r="H2456" s="91"/>
      <c r="I2456" s="91"/>
      <c r="J2456" s="91"/>
      <c r="K2456" s="91"/>
      <c r="L2456" s="91"/>
      <c r="M2456" s="105"/>
      <c r="N2456" s="105"/>
      <c r="O2456" s="105"/>
      <c r="P2456" s="105"/>
      <c r="Q2456" s="105"/>
      <c r="R2456" s="105"/>
      <c r="S2456" s="105"/>
      <c r="T2456" s="105"/>
      <c r="U2456" s="105"/>
      <c r="V2456" s="99"/>
      <c r="W2456" s="147"/>
      <c r="X2456" s="147"/>
      <c r="Y2456" s="147"/>
      <c r="Z2456" s="147"/>
      <c r="AA2456" s="147"/>
      <c r="AB2456" s="147"/>
      <c r="AC2456" s="147"/>
      <c r="AD2456" s="147"/>
      <c r="AE2456" s="147"/>
      <c r="AF2456" s="147"/>
      <c r="AG2456" s="147"/>
      <c r="AH2456" s="147"/>
      <c r="AI2456" s="147"/>
      <c r="AJ2456" s="147"/>
      <c r="AK2456" s="147"/>
      <c r="AL2456" s="147"/>
      <c r="AM2456" s="147"/>
      <c r="AN2456" s="147"/>
      <c r="AO2456" s="147"/>
      <c r="AP2456" s="147"/>
      <c r="AQ2456" s="147"/>
      <c r="AR2456" s="147"/>
      <c r="AS2456" s="147"/>
      <c r="AT2456" s="147"/>
      <c r="AU2456" s="147"/>
      <c r="AV2456" s="147"/>
      <c r="AW2456" s="147"/>
      <c r="AX2456" s="147"/>
      <c r="AY2456" s="147"/>
      <c r="AZ2456" s="147"/>
      <c r="BA2456" s="147"/>
    </row>
    <row r="2457" spans="1:53" ht="15.75" hidden="1" customHeight="1" outlineLevel="1">
      <c r="A2457" s="454"/>
      <c r="B2457" s="99"/>
      <c r="C2457" s="91"/>
      <c r="D2457" s="91">
        <f>IF($E$2452&gt;0,'Assumptions (Battery)'!$V$14*Model!$E$2452*'Assumptions (Battery)'!C$2/10^9,0)</f>
        <v>0</v>
      </c>
      <c r="E2457" s="91"/>
      <c r="F2457" s="91"/>
      <c r="G2457" s="91"/>
      <c r="H2457" s="91"/>
      <c r="I2457" s="91"/>
      <c r="J2457" s="91"/>
      <c r="K2457" s="91"/>
      <c r="L2457" s="91"/>
      <c r="M2457" s="105"/>
      <c r="N2457" s="105"/>
      <c r="O2457" s="105"/>
      <c r="P2457" s="105"/>
      <c r="Q2457" s="105"/>
      <c r="R2457" s="105"/>
      <c r="S2457" s="105"/>
      <c r="T2457" s="105"/>
      <c r="U2457" s="105"/>
      <c r="V2457" s="99"/>
      <c r="W2457" s="147"/>
      <c r="X2457" s="147"/>
      <c r="Y2457" s="147"/>
      <c r="Z2457" s="147"/>
      <c r="AA2457" s="147"/>
      <c r="AB2457" s="147"/>
      <c r="AC2457" s="147"/>
      <c r="AD2457" s="147"/>
      <c r="AE2457" s="147"/>
      <c r="AF2457" s="147"/>
      <c r="AG2457" s="147"/>
      <c r="AH2457" s="147"/>
      <c r="AI2457" s="147"/>
      <c r="AJ2457" s="147"/>
      <c r="AK2457" s="147"/>
      <c r="AL2457" s="147"/>
      <c r="AM2457" s="147"/>
      <c r="AN2457" s="147"/>
      <c r="AO2457" s="147"/>
      <c r="AP2457" s="147"/>
      <c r="AQ2457" s="147"/>
      <c r="AR2457" s="147"/>
      <c r="AS2457" s="147"/>
      <c r="AT2457" s="147"/>
      <c r="AU2457" s="147"/>
      <c r="AV2457" s="147"/>
      <c r="AW2457" s="147"/>
      <c r="AX2457" s="147"/>
      <c r="AY2457" s="147"/>
      <c r="AZ2457" s="147"/>
      <c r="BA2457" s="147"/>
    </row>
    <row r="2458" spans="1:53" ht="15.75" hidden="1" customHeight="1" outlineLevel="1">
      <c r="A2458" s="454"/>
      <c r="B2458" s="99"/>
      <c r="C2458" s="91"/>
      <c r="D2458" s="91"/>
      <c r="E2458" s="91">
        <f>IF($F$2452&gt;0,'Assumptions (Battery)'!$V$14*Model!$F$2452*'Assumptions (Battery)'!D$2/10^9,0)</f>
        <v>0</v>
      </c>
      <c r="F2458" s="91"/>
      <c r="G2458" s="91"/>
      <c r="H2458" s="91"/>
      <c r="I2458" s="91"/>
      <c r="J2458" s="91"/>
      <c r="K2458" s="91"/>
      <c r="L2458" s="91"/>
      <c r="M2458" s="105"/>
      <c r="N2458" s="105"/>
      <c r="O2458" s="105"/>
      <c r="P2458" s="105"/>
      <c r="Q2458" s="105"/>
      <c r="R2458" s="105"/>
      <c r="S2458" s="105"/>
      <c r="T2458" s="105"/>
      <c r="U2458" s="105"/>
      <c r="V2458" s="99"/>
      <c r="W2458" s="147"/>
      <c r="X2458" s="147"/>
      <c r="Y2458" s="147"/>
      <c r="Z2458" s="147"/>
      <c r="AA2458" s="147"/>
      <c r="AB2458" s="147"/>
      <c r="AC2458" s="147"/>
      <c r="AD2458" s="147"/>
      <c r="AE2458" s="147"/>
      <c r="AF2458" s="147"/>
      <c r="AG2458" s="147"/>
      <c r="AH2458" s="147"/>
      <c r="AI2458" s="147"/>
      <c r="AJ2458" s="147"/>
      <c r="AK2458" s="147"/>
      <c r="AL2458" s="147"/>
      <c r="AM2458" s="147"/>
      <c r="AN2458" s="147"/>
      <c r="AO2458" s="147"/>
      <c r="AP2458" s="147"/>
      <c r="AQ2458" s="147"/>
      <c r="AR2458" s="147"/>
      <c r="AS2458" s="147"/>
      <c r="AT2458" s="147"/>
      <c r="AU2458" s="147"/>
      <c r="AV2458" s="147"/>
      <c r="AW2458" s="147"/>
      <c r="AX2458" s="147"/>
      <c r="AY2458" s="147"/>
      <c r="AZ2458" s="147"/>
      <c r="BA2458" s="147"/>
    </row>
    <row r="2459" spans="1:53" ht="15.75" hidden="1" customHeight="1" outlineLevel="1">
      <c r="A2459" s="454"/>
      <c r="B2459" s="99"/>
      <c r="C2459" s="91"/>
      <c r="D2459" s="91"/>
      <c r="E2459" s="91"/>
      <c r="F2459" s="91">
        <f>IF($G$2452&gt;0,'Assumptions (Battery)'!$V$14*Model!$G$2452*'Assumptions (Battery)'!E$2/10^9,0)</f>
        <v>0</v>
      </c>
      <c r="G2459" s="91"/>
      <c r="H2459" s="91"/>
      <c r="I2459" s="91"/>
      <c r="J2459" s="91"/>
      <c r="K2459" s="91"/>
      <c r="L2459" s="91"/>
      <c r="M2459" s="105"/>
      <c r="N2459" s="105"/>
      <c r="O2459" s="105"/>
      <c r="P2459" s="105"/>
      <c r="Q2459" s="105"/>
      <c r="R2459" s="105"/>
      <c r="S2459" s="105"/>
      <c r="T2459" s="105"/>
      <c r="U2459" s="105"/>
      <c r="V2459" s="99"/>
      <c r="W2459" s="147"/>
      <c r="X2459" s="147"/>
      <c r="Y2459" s="147"/>
      <c r="Z2459" s="147"/>
      <c r="AA2459" s="147"/>
      <c r="AB2459" s="147"/>
      <c r="AC2459" s="147"/>
      <c r="AD2459" s="147"/>
      <c r="AE2459" s="147"/>
      <c r="AF2459" s="147"/>
      <c r="AG2459" s="147"/>
      <c r="AH2459" s="147"/>
      <c r="AI2459" s="147"/>
      <c r="AJ2459" s="147"/>
      <c r="AK2459" s="147"/>
      <c r="AL2459" s="147"/>
      <c r="AM2459" s="147"/>
      <c r="AN2459" s="147"/>
      <c r="AO2459" s="147"/>
      <c r="AP2459" s="147"/>
      <c r="AQ2459" s="147"/>
      <c r="AR2459" s="147"/>
      <c r="AS2459" s="147"/>
      <c r="AT2459" s="147"/>
      <c r="AU2459" s="147"/>
      <c r="AV2459" s="147"/>
      <c r="AW2459" s="147"/>
      <c r="AX2459" s="147"/>
      <c r="AY2459" s="147"/>
      <c r="AZ2459" s="147"/>
      <c r="BA2459" s="147"/>
    </row>
    <row r="2460" spans="1:53" ht="15.75" hidden="1" customHeight="1" outlineLevel="1">
      <c r="A2460" s="454"/>
      <c r="B2460" s="99"/>
      <c r="C2460" s="91"/>
      <c r="D2460" s="91"/>
      <c r="E2460" s="91"/>
      <c r="F2460" s="91"/>
      <c r="G2460" s="91">
        <f>IF($H$2452&gt;0,'Assumptions (Battery)'!$V$14*Model!$H$2452*'Assumptions (Battery)'!F$2/10^9,0)</f>
        <v>0</v>
      </c>
      <c r="H2460" s="91"/>
      <c r="I2460" s="91"/>
      <c r="J2460" s="91"/>
      <c r="K2460" s="91"/>
      <c r="L2460" s="91"/>
      <c r="M2460" s="105"/>
      <c r="N2460" s="105"/>
      <c r="O2460" s="105"/>
      <c r="P2460" s="105"/>
      <c r="Q2460" s="105"/>
      <c r="R2460" s="105"/>
      <c r="S2460" s="105"/>
      <c r="T2460" s="105"/>
      <c r="U2460" s="105"/>
      <c r="V2460" s="99"/>
      <c r="W2460" s="147"/>
      <c r="X2460" s="147"/>
      <c r="Y2460" s="147"/>
      <c r="Z2460" s="147"/>
      <c r="AA2460" s="147"/>
      <c r="AB2460" s="147"/>
      <c r="AC2460" s="147"/>
      <c r="AD2460" s="147"/>
      <c r="AE2460" s="147"/>
      <c r="AF2460" s="147"/>
      <c r="AG2460" s="147"/>
      <c r="AH2460" s="147"/>
      <c r="AI2460" s="147"/>
      <c r="AJ2460" s="147"/>
      <c r="AK2460" s="147"/>
      <c r="AL2460" s="147"/>
      <c r="AM2460" s="147"/>
      <c r="AN2460" s="147"/>
      <c r="AO2460" s="147"/>
      <c r="AP2460" s="147"/>
      <c r="AQ2460" s="147"/>
      <c r="AR2460" s="147"/>
      <c r="AS2460" s="147"/>
      <c r="AT2460" s="147"/>
      <c r="AU2460" s="147"/>
      <c r="AV2460" s="147"/>
      <c r="AW2460" s="147"/>
      <c r="AX2460" s="147"/>
      <c r="AY2460" s="147"/>
      <c r="AZ2460" s="147"/>
      <c r="BA2460" s="147"/>
    </row>
    <row r="2461" spans="1:53" ht="15.75" hidden="1" customHeight="1" outlineLevel="1">
      <c r="A2461" s="454"/>
      <c r="B2461" s="99"/>
      <c r="C2461" s="91"/>
      <c r="D2461" s="91"/>
      <c r="E2461" s="91"/>
      <c r="F2461" s="91"/>
      <c r="G2461" s="91"/>
      <c r="H2461" s="91">
        <f>IF($I$2452&gt;0,'Assumptions (Battery)'!$V$14*Model!$I$2452*'Assumptions (Battery)'!G$2/10^9,0)</f>
        <v>0</v>
      </c>
      <c r="I2461" s="91"/>
      <c r="J2461" s="91"/>
      <c r="K2461" s="91"/>
      <c r="L2461" s="91"/>
      <c r="M2461" s="105"/>
      <c r="N2461" s="105"/>
      <c r="O2461" s="105"/>
      <c r="P2461" s="105"/>
      <c r="Q2461" s="105"/>
      <c r="R2461" s="105"/>
      <c r="S2461" s="105"/>
      <c r="T2461" s="105"/>
      <c r="U2461" s="105"/>
      <c r="V2461" s="99"/>
      <c r="W2461" s="147"/>
      <c r="X2461" s="147"/>
      <c r="Y2461" s="147"/>
      <c r="Z2461" s="147"/>
      <c r="AA2461" s="147"/>
      <c r="AB2461" s="147"/>
      <c r="AC2461" s="147"/>
      <c r="AD2461" s="147"/>
      <c r="AE2461" s="147"/>
      <c r="AF2461" s="147"/>
      <c r="AG2461" s="147"/>
      <c r="AH2461" s="147"/>
      <c r="AI2461" s="147"/>
      <c r="AJ2461" s="147"/>
      <c r="AK2461" s="147"/>
      <c r="AL2461" s="147"/>
      <c r="AM2461" s="147"/>
      <c r="AN2461" s="147"/>
      <c r="AO2461" s="147"/>
      <c r="AP2461" s="147"/>
      <c r="AQ2461" s="147"/>
      <c r="AR2461" s="147"/>
      <c r="AS2461" s="147"/>
      <c r="AT2461" s="147"/>
      <c r="AU2461" s="147"/>
      <c r="AV2461" s="147"/>
      <c r="AW2461" s="147"/>
      <c r="AX2461" s="147"/>
      <c r="AY2461" s="147"/>
      <c r="AZ2461" s="147"/>
      <c r="BA2461" s="147"/>
    </row>
    <row r="2462" spans="1:53" ht="15.75" hidden="1" customHeight="1" outlineLevel="1">
      <c r="A2462" s="454"/>
      <c r="B2462" s="99"/>
      <c r="C2462" s="91"/>
      <c r="D2462" s="91"/>
      <c r="E2462" s="91"/>
      <c r="F2462" s="91"/>
      <c r="G2462" s="91"/>
      <c r="H2462" s="91"/>
      <c r="I2462" s="91">
        <f>IF($J$2452&gt;0,'Assumptions (Battery)'!$V$14*Model!$J$2452*'Assumptions (Battery)'!H$2/10^9,0)</f>
        <v>0</v>
      </c>
      <c r="J2462" s="91"/>
      <c r="K2462" s="91"/>
      <c r="L2462" s="91"/>
      <c r="M2462" s="105"/>
      <c r="N2462" s="105"/>
      <c r="O2462" s="105"/>
      <c r="P2462" s="105"/>
      <c r="Q2462" s="105"/>
      <c r="R2462" s="105"/>
      <c r="S2462" s="105"/>
      <c r="T2462" s="105"/>
      <c r="U2462" s="105"/>
      <c r="V2462" s="99"/>
      <c r="W2462" s="147"/>
      <c r="X2462" s="147"/>
      <c r="Y2462" s="147"/>
      <c r="Z2462" s="147"/>
      <c r="AA2462" s="147"/>
      <c r="AB2462" s="147"/>
      <c r="AC2462" s="147"/>
      <c r="AD2462" s="147"/>
      <c r="AE2462" s="147"/>
      <c r="AF2462" s="147"/>
      <c r="AG2462" s="147"/>
      <c r="AH2462" s="147"/>
      <c r="AI2462" s="147"/>
      <c r="AJ2462" s="147"/>
      <c r="AK2462" s="147"/>
      <c r="AL2462" s="147"/>
      <c r="AM2462" s="147"/>
      <c r="AN2462" s="147"/>
      <c r="AO2462" s="147"/>
      <c r="AP2462" s="147"/>
      <c r="AQ2462" s="147"/>
      <c r="AR2462" s="147"/>
      <c r="AS2462" s="147"/>
      <c r="AT2462" s="147"/>
      <c r="AU2462" s="147"/>
      <c r="AV2462" s="147"/>
      <c r="AW2462" s="147"/>
      <c r="AX2462" s="147"/>
      <c r="AY2462" s="147"/>
      <c r="AZ2462" s="147"/>
      <c r="BA2462" s="147"/>
    </row>
    <row r="2463" spans="1:53" ht="15.75" hidden="1" customHeight="1" outlineLevel="1">
      <c r="A2463" s="454"/>
      <c r="B2463" s="99"/>
      <c r="C2463" s="91"/>
      <c r="D2463" s="91"/>
      <c r="E2463" s="91"/>
      <c r="F2463" s="91"/>
      <c r="G2463" s="91"/>
      <c r="H2463" s="91"/>
      <c r="I2463" s="91"/>
      <c r="J2463" s="456">
        <f>IF($K$2452&gt;0,'Assumptions (Battery)'!$V$14*Model!$K$2452*'Assumptions (Battery)'!I$2/10^9,0)</f>
        <v>2.5664679832657824E-3</v>
      </c>
      <c r="K2463" s="91"/>
      <c r="L2463" s="91"/>
      <c r="M2463" s="105"/>
      <c r="N2463" s="105"/>
      <c r="O2463" s="105"/>
      <c r="P2463" s="105"/>
      <c r="Q2463" s="105"/>
      <c r="R2463" s="105"/>
      <c r="S2463" s="105"/>
      <c r="T2463" s="105"/>
      <c r="U2463" s="105"/>
      <c r="V2463" s="99"/>
      <c r="W2463" s="147"/>
      <c r="X2463" s="147"/>
      <c r="Y2463" s="147"/>
      <c r="Z2463" s="147"/>
      <c r="AA2463" s="147"/>
      <c r="AB2463" s="147"/>
      <c r="AC2463" s="147"/>
      <c r="AD2463" s="147"/>
      <c r="AE2463" s="147"/>
      <c r="AF2463" s="147"/>
      <c r="AG2463" s="147"/>
      <c r="AH2463" s="147"/>
      <c r="AI2463" s="147"/>
      <c r="AJ2463" s="147"/>
      <c r="AK2463" s="147"/>
      <c r="AL2463" s="147"/>
      <c r="AM2463" s="147"/>
      <c r="AN2463" s="147"/>
      <c r="AO2463" s="147"/>
      <c r="AP2463" s="147"/>
      <c r="AQ2463" s="147"/>
      <c r="AR2463" s="147"/>
      <c r="AS2463" s="147"/>
      <c r="AT2463" s="147"/>
      <c r="AU2463" s="147"/>
      <c r="AV2463" s="147"/>
      <c r="AW2463" s="147"/>
      <c r="AX2463" s="147"/>
      <c r="AY2463" s="147"/>
      <c r="AZ2463" s="147"/>
      <c r="BA2463" s="147"/>
    </row>
    <row r="2464" spans="1:53" ht="15.75" hidden="1" customHeight="1" outlineLevel="1">
      <c r="A2464" s="454"/>
      <c r="B2464" s="99"/>
      <c r="C2464" s="91"/>
      <c r="D2464" s="91"/>
      <c r="E2464" s="91"/>
      <c r="F2464" s="91"/>
      <c r="G2464" s="91"/>
      <c r="H2464" s="91"/>
      <c r="I2464" s="91"/>
      <c r="J2464" s="91"/>
      <c r="K2464" s="91">
        <f>IF($L$2452&gt;0,'Assumptions (Battery)'!$V$14*Model!$L$2452*'Assumptions (Battery)'!J$2/10^9,0)</f>
        <v>5.2355946858621957E-3</v>
      </c>
      <c r="L2464" s="91"/>
      <c r="M2464" s="105"/>
      <c r="N2464" s="105"/>
      <c r="O2464" s="105"/>
      <c r="P2464" s="105"/>
      <c r="Q2464" s="105"/>
      <c r="R2464" s="105"/>
      <c r="S2464" s="105"/>
      <c r="T2464" s="105"/>
      <c r="U2464" s="105"/>
      <c r="V2464" s="99"/>
      <c r="W2464" s="147"/>
      <c r="X2464" s="147"/>
      <c r="Y2464" s="147"/>
      <c r="Z2464" s="147"/>
      <c r="AA2464" s="147"/>
      <c r="AB2464" s="147"/>
      <c r="AC2464" s="147"/>
      <c r="AD2464" s="147"/>
      <c r="AE2464" s="147"/>
      <c r="AF2464" s="147"/>
      <c r="AG2464" s="147"/>
      <c r="AH2464" s="147"/>
      <c r="AI2464" s="147"/>
      <c r="AJ2464" s="147"/>
      <c r="AK2464" s="147"/>
      <c r="AL2464" s="147"/>
      <c r="AM2464" s="147"/>
      <c r="AN2464" s="147"/>
      <c r="AO2464" s="147"/>
      <c r="AP2464" s="147"/>
      <c r="AQ2464" s="147"/>
      <c r="AR2464" s="147"/>
      <c r="AS2464" s="147"/>
      <c r="AT2464" s="147"/>
      <c r="AU2464" s="147"/>
      <c r="AV2464" s="147"/>
      <c r="AW2464" s="147"/>
      <c r="AX2464" s="147"/>
      <c r="AY2464" s="147"/>
      <c r="AZ2464" s="147"/>
      <c r="BA2464" s="147"/>
    </row>
    <row r="2465" spans="1:53" ht="15.75" hidden="1" customHeight="1" outlineLevel="1">
      <c r="A2465" s="454"/>
      <c r="B2465" s="99"/>
      <c r="C2465" s="91"/>
      <c r="D2465" s="91"/>
      <c r="E2465" s="91"/>
      <c r="F2465" s="91"/>
      <c r="G2465" s="91"/>
      <c r="H2465" s="91"/>
      <c r="I2465" s="91"/>
      <c r="J2465" s="91"/>
      <c r="K2465" s="91"/>
      <c r="L2465" s="91">
        <f>IF($M$2452&gt;0,'Assumptions (Battery)'!$V$14*Model!$M$2452*'Assumptions (Battery)'!K$2/10^9,0)</f>
        <v>5.3403065795794395E-3</v>
      </c>
      <c r="M2465" s="105"/>
      <c r="N2465" s="105"/>
      <c r="O2465" s="105"/>
      <c r="P2465" s="105"/>
      <c r="Q2465" s="105"/>
      <c r="R2465" s="105"/>
      <c r="S2465" s="105"/>
      <c r="T2465" s="105"/>
      <c r="U2465" s="105"/>
      <c r="V2465" s="99"/>
      <c r="W2465" s="147"/>
      <c r="X2465" s="147"/>
      <c r="Y2465" s="147"/>
      <c r="Z2465" s="147"/>
      <c r="AA2465" s="147"/>
      <c r="AB2465" s="147"/>
      <c r="AC2465" s="147"/>
      <c r="AD2465" s="147"/>
      <c r="AE2465" s="147"/>
      <c r="AF2465" s="147"/>
      <c r="AG2465" s="147"/>
      <c r="AH2465" s="147"/>
      <c r="AI2465" s="147"/>
      <c r="AJ2465" s="147"/>
      <c r="AK2465" s="147"/>
      <c r="AL2465" s="147"/>
      <c r="AM2465" s="147"/>
      <c r="AN2465" s="147"/>
      <c r="AO2465" s="147"/>
      <c r="AP2465" s="147"/>
      <c r="AQ2465" s="147"/>
      <c r="AR2465" s="147"/>
      <c r="AS2465" s="147"/>
      <c r="AT2465" s="147"/>
      <c r="AU2465" s="147"/>
      <c r="AV2465" s="147"/>
      <c r="AW2465" s="147"/>
      <c r="AX2465" s="147"/>
      <c r="AY2465" s="147"/>
      <c r="AZ2465" s="147"/>
      <c r="BA2465" s="147"/>
    </row>
    <row r="2466" spans="1:53" ht="15.75" hidden="1" customHeight="1" outlineLevel="1">
      <c r="A2466" s="454"/>
      <c r="B2466" s="99"/>
      <c r="C2466" s="105"/>
      <c r="D2466" s="105"/>
      <c r="E2466" s="105"/>
      <c r="F2466" s="105"/>
      <c r="G2466" s="105"/>
      <c r="H2466" s="105"/>
      <c r="I2466" s="105"/>
      <c r="J2466" s="105"/>
      <c r="K2466" s="105"/>
      <c r="L2466" s="105"/>
      <c r="M2466" s="105">
        <f>IF($N$2452&gt;0,'Assumptions (Battery)'!$V$14*Model!$N$2452*'Assumptions (Battery)'!L$2/10^9,0)</f>
        <v>4.4666324231602439E-2</v>
      </c>
      <c r="N2466" s="105"/>
      <c r="O2466" s="105"/>
      <c r="P2466" s="105"/>
      <c r="Q2466" s="105"/>
      <c r="R2466" s="105"/>
      <c r="S2466" s="105"/>
      <c r="T2466" s="105"/>
      <c r="U2466" s="105"/>
      <c r="V2466" s="99"/>
      <c r="W2466" s="147"/>
      <c r="X2466" s="147"/>
      <c r="Y2466" s="147"/>
      <c r="Z2466" s="147"/>
      <c r="AA2466" s="147"/>
      <c r="AB2466" s="147"/>
      <c r="AC2466" s="147"/>
      <c r="AD2466" s="147"/>
      <c r="AE2466" s="147"/>
      <c r="AF2466" s="147"/>
      <c r="AG2466" s="147"/>
      <c r="AH2466" s="147"/>
      <c r="AI2466" s="147"/>
      <c r="AJ2466" s="147"/>
      <c r="AK2466" s="147"/>
      <c r="AL2466" s="147"/>
      <c r="AM2466" s="147"/>
      <c r="AN2466" s="147"/>
      <c r="AO2466" s="147"/>
      <c r="AP2466" s="147"/>
      <c r="AQ2466" s="147"/>
      <c r="AR2466" s="147"/>
      <c r="AS2466" s="147"/>
      <c r="AT2466" s="147"/>
      <c r="AU2466" s="147"/>
      <c r="AV2466" s="147"/>
      <c r="AW2466" s="147"/>
      <c r="AX2466" s="147"/>
      <c r="AY2466" s="147"/>
      <c r="AZ2466" s="147"/>
      <c r="BA2466" s="147"/>
    </row>
    <row r="2467" spans="1:53" ht="15.75" hidden="1" customHeight="1" outlineLevel="1">
      <c r="A2467" s="454"/>
      <c r="B2467" s="99"/>
      <c r="C2467" s="105"/>
      <c r="D2467" s="105"/>
      <c r="E2467" s="105"/>
      <c r="F2467" s="105"/>
      <c r="G2467" s="105"/>
      <c r="H2467" s="105"/>
      <c r="I2467" s="105"/>
      <c r="J2467" s="105"/>
      <c r="K2467" s="105"/>
      <c r="L2467" s="105"/>
      <c r="M2467" s="105"/>
      <c r="N2467" s="105">
        <f>IF($O$2452&gt;0,'Assumptions (Battery)'!$V$14*Model!$O$2452*'Assumptions (Battery)'!M$2/10^9,0)</f>
        <v>5.9449788129720606E-2</v>
      </c>
      <c r="O2467" s="105"/>
      <c r="P2467" s="105"/>
      <c r="Q2467" s="105"/>
      <c r="R2467" s="105"/>
      <c r="S2467" s="105"/>
      <c r="T2467" s="105"/>
      <c r="U2467" s="105"/>
      <c r="V2467" s="99"/>
      <c r="W2467" s="147"/>
      <c r="X2467" s="147"/>
      <c r="Y2467" s="147"/>
      <c r="Z2467" s="147"/>
      <c r="AA2467" s="147"/>
      <c r="AB2467" s="147"/>
      <c r="AC2467" s="147"/>
      <c r="AD2467" s="147"/>
      <c r="AE2467" s="147"/>
      <c r="AF2467" s="147"/>
      <c r="AG2467" s="147"/>
      <c r="AH2467" s="147"/>
      <c r="AI2467" s="147"/>
      <c r="AJ2467" s="147"/>
      <c r="AK2467" s="147"/>
      <c r="AL2467" s="147"/>
      <c r="AM2467" s="147"/>
      <c r="AN2467" s="147"/>
      <c r="AO2467" s="147"/>
      <c r="AP2467" s="147"/>
      <c r="AQ2467" s="147"/>
      <c r="AR2467" s="147"/>
      <c r="AS2467" s="147"/>
      <c r="AT2467" s="147"/>
      <c r="AU2467" s="147"/>
      <c r="AV2467" s="147"/>
      <c r="AW2467" s="147"/>
      <c r="AX2467" s="147"/>
      <c r="AY2467" s="147"/>
      <c r="AZ2467" s="147"/>
      <c r="BA2467" s="147"/>
    </row>
    <row r="2468" spans="1:53" ht="15.75" hidden="1" customHeight="1" outlineLevel="1">
      <c r="A2468" s="454"/>
      <c r="B2468" s="99"/>
      <c r="C2468" s="105"/>
      <c r="D2468" s="105"/>
      <c r="E2468" s="105"/>
      <c r="F2468" s="105"/>
      <c r="G2468" s="105"/>
      <c r="H2468" s="105"/>
      <c r="I2468" s="105"/>
      <c r="J2468" s="91"/>
      <c r="K2468" s="91"/>
      <c r="L2468" s="91"/>
      <c r="M2468" s="91"/>
      <c r="N2468" s="91"/>
      <c r="O2468" s="91">
        <f>IF($P$2452&gt;0,'Assumptions (Battery)'!$V$14*Model!$P$2452*'Assumptions (Battery)'!N$2/10^9,0)</f>
        <v>2.1960307250721563E-2</v>
      </c>
      <c r="P2468" s="91"/>
      <c r="Q2468" s="105"/>
      <c r="R2468" s="91"/>
      <c r="S2468" s="91"/>
      <c r="T2468" s="91"/>
      <c r="U2468" s="91"/>
      <c r="V2468" s="99"/>
      <c r="W2468" s="147"/>
      <c r="X2468" s="147"/>
      <c r="Y2468" s="147"/>
      <c r="Z2468" s="147"/>
      <c r="AA2468" s="147"/>
      <c r="AB2468" s="147"/>
      <c r="AC2468" s="147"/>
      <c r="AD2468" s="147"/>
      <c r="AE2468" s="147"/>
      <c r="AF2468" s="147"/>
      <c r="AG2468" s="147"/>
      <c r="AH2468" s="147"/>
      <c r="AI2468" s="147"/>
      <c r="AJ2468" s="147"/>
      <c r="AK2468" s="147"/>
      <c r="AL2468" s="147"/>
      <c r="AM2468" s="147"/>
      <c r="AN2468" s="147"/>
      <c r="AO2468" s="147"/>
      <c r="AP2468" s="147"/>
      <c r="AQ2468" s="147"/>
      <c r="AR2468" s="147"/>
      <c r="AS2468" s="147"/>
      <c r="AT2468" s="147"/>
      <c r="AU2468" s="147"/>
      <c r="AV2468" s="147"/>
      <c r="AW2468" s="147"/>
      <c r="AX2468" s="147"/>
      <c r="AY2468" s="147"/>
      <c r="AZ2468" s="147"/>
      <c r="BA2468" s="147"/>
    </row>
    <row r="2469" spans="1:53" ht="15.75" hidden="1" customHeight="1" outlineLevel="1">
      <c r="A2469" s="454"/>
      <c r="B2469" s="99"/>
      <c r="C2469" s="105"/>
      <c r="D2469" s="105"/>
      <c r="E2469" s="105"/>
      <c r="F2469" s="105"/>
      <c r="G2469" s="105"/>
      <c r="H2469" s="105"/>
      <c r="I2469" s="105"/>
      <c r="J2469" s="105"/>
      <c r="K2469" s="91"/>
      <c r="L2469" s="91"/>
      <c r="M2469" s="91"/>
      <c r="N2469" s="91"/>
      <c r="O2469" s="91"/>
      <c r="P2469" s="91">
        <f>IF($Q$2452&gt;0,'Assumptions (Battery)'!$V$14*Model!$Q$2452*'Assumptions (Battery)'!O$2/10^9,0)</f>
        <v>3.9307533184775423E-2</v>
      </c>
      <c r="Q2469" s="105"/>
      <c r="R2469" s="91"/>
      <c r="S2469" s="91"/>
      <c r="T2469" s="91"/>
      <c r="U2469" s="91"/>
      <c r="V2469" s="99"/>
      <c r="W2469" s="147"/>
      <c r="X2469" s="147"/>
      <c r="Y2469" s="147"/>
      <c r="Z2469" s="147"/>
      <c r="AA2469" s="147"/>
      <c r="AB2469" s="147"/>
      <c r="AC2469" s="147"/>
      <c r="AD2469" s="147"/>
      <c r="AE2469" s="147"/>
      <c r="AF2469" s="147"/>
      <c r="AG2469" s="147"/>
      <c r="AH2469" s="147"/>
      <c r="AI2469" s="147"/>
      <c r="AJ2469" s="147"/>
      <c r="AK2469" s="147"/>
      <c r="AL2469" s="147"/>
      <c r="AM2469" s="147"/>
      <c r="AN2469" s="147"/>
      <c r="AO2469" s="147"/>
      <c r="AP2469" s="147"/>
      <c r="AQ2469" s="147"/>
      <c r="AR2469" s="147"/>
      <c r="AS2469" s="147"/>
      <c r="AT2469" s="147"/>
      <c r="AU2469" s="147"/>
      <c r="AV2469" s="147"/>
      <c r="AW2469" s="147"/>
      <c r="AX2469" s="147"/>
      <c r="AY2469" s="147"/>
      <c r="AZ2469" s="147"/>
      <c r="BA2469" s="147"/>
    </row>
    <row r="2470" spans="1:53" ht="15.75" hidden="1" customHeight="1" outlineLevel="1">
      <c r="A2470" s="454"/>
      <c r="B2470" s="99"/>
      <c r="C2470" s="105"/>
      <c r="D2470" s="105"/>
      <c r="E2470" s="105"/>
      <c r="F2470" s="105"/>
      <c r="G2470" s="105"/>
      <c r="H2470" s="105"/>
      <c r="I2470" s="105"/>
      <c r="J2470" s="105"/>
      <c r="K2470" s="105"/>
      <c r="L2470" s="167"/>
      <c r="M2470" s="167"/>
      <c r="N2470" s="167"/>
      <c r="O2470" s="167"/>
      <c r="P2470" s="167"/>
      <c r="Q2470" s="167">
        <f>IF($R$2452&gt;0,'Assumptions (Battery)'!$V$14*Model!$R$2452*'Assumptions (Battery)'!P$2/10^9,0)</f>
        <v>0.21535614743608836</v>
      </c>
      <c r="R2470" s="91"/>
      <c r="S2470" s="91"/>
      <c r="T2470" s="91"/>
      <c r="U2470" s="91"/>
      <c r="V2470" s="99"/>
      <c r="W2470" s="147"/>
      <c r="X2470" s="147"/>
      <c r="Y2470" s="147"/>
      <c r="Z2470" s="147"/>
      <c r="AA2470" s="147"/>
      <c r="AB2470" s="147"/>
      <c r="AC2470" s="147"/>
      <c r="AD2470" s="147"/>
      <c r="AE2470" s="147"/>
      <c r="AF2470" s="147"/>
      <c r="AG2470" s="147"/>
      <c r="AH2470" s="147"/>
      <c r="AI2470" s="147"/>
      <c r="AJ2470" s="147"/>
      <c r="AK2470" s="147"/>
      <c r="AL2470" s="147"/>
      <c r="AM2470" s="147"/>
      <c r="AN2470" s="147"/>
      <c r="AO2470" s="147"/>
      <c r="AP2470" s="147"/>
      <c r="AQ2470" s="147"/>
      <c r="AR2470" s="147"/>
      <c r="AS2470" s="147"/>
      <c r="AT2470" s="147"/>
      <c r="AU2470" s="147"/>
      <c r="AV2470" s="147"/>
      <c r="AW2470" s="147"/>
      <c r="AX2470" s="147"/>
      <c r="AY2470" s="147"/>
      <c r="AZ2470" s="147"/>
      <c r="BA2470" s="147"/>
    </row>
    <row r="2471" spans="1:53" ht="15.75" hidden="1" customHeight="1" outlineLevel="1">
      <c r="A2471" s="454"/>
      <c r="B2471" s="99"/>
      <c r="C2471" s="105"/>
      <c r="D2471" s="105"/>
      <c r="E2471" s="105"/>
      <c r="F2471" s="105"/>
      <c r="G2471" s="105"/>
      <c r="H2471" s="105"/>
      <c r="I2471" s="105"/>
      <c r="J2471" s="105"/>
      <c r="K2471" s="105"/>
      <c r="L2471" s="105"/>
      <c r="M2471" s="105"/>
      <c r="N2471" s="105"/>
      <c r="O2471" s="105"/>
      <c r="P2471" s="105"/>
      <c r="Q2471" s="105"/>
      <c r="R2471" s="105">
        <f>IF($S$2452&gt;0,'Assumptions (Battery)'!$V$14*Model!$S$2452*'Assumptions (Battery)'!Q$2/10^9,0)</f>
        <v>0.29348576577080721</v>
      </c>
      <c r="S2471" s="105"/>
      <c r="T2471" s="105"/>
      <c r="U2471" s="105"/>
      <c r="V2471" s="99"/>
      <c r="W2471" s="147"/>
      <c r="X2471" s="147"/>
      <c r="Y2471" s="147"/>
      <c r="Z2471" s="147"/>
      <c r="AA2471" s="147"/>
      <c r="AB2471" s="147"/>
      <c r="AC2471" s="147"/>
      <c r="AD2471" s="147"/>
      <c r="AE2471" s="147"/>
      <c r="AF2471" s="147"/>
      <c r="AG2471" s="147"/>
      <c r="AH2471" s="147"/>
      <c r="AI2471" s="147"/>
      <c r="AJ2471" s="147"/>
      <c r="AK2471" s="147"/>
      <c r="AL2471" s="147"/>
      <c r="AM2471" s="147"/>
      <c r="AN2471" s="147"/>
      <c r="AO2471" s="147"/>
      <c r="AP2471" s="147"/>
      <c r="AQ2471" s="147"/>
      <c r="AR2471" s="147"/>
      <c r="AS2471" s="147"/>
      <c r="AT2471" s="147"/>
      <c r="AU2471" s="147"/>
      <c r="AV2471" s="147"/>
      <c r="AW2471" s="147"/>
      <c r="AX2471" s="147"/>
      <c r="AY2471" s="147"/>
      <c r="AZ2471" s="147"/>
      <c r="BA2471" s="147"/>
    </row>
    <row r="2472" spans="1:53" ht="15.75" hidden="1" customHeight="1" outlineLevel="1">
      <c r="A2472" s="454"/>
      <c r="B2472" s="99"/>
      <c r="C2472" s="105"/>
      <c r="D2472" s="105"/>
      <c r="E2472" s="105"/>
      <c r="F2472" s="105"/>
      <c r="G2472" s="105"/>
      <c r="H2472" s="105"/>
      <c r="I2472" s="105"/>
      <c r="J2472" s="105"/>
      <c r="K2472" s="105"/>
      <c r="L2472" s="105"/>
      <c r="M2472" s="105"/>
      <c r="N2472" s="105"/>
      <c r="O2472" s="105"/>
      <c r="P2472" s="105"/>
      <c r="Q2472" s="105"/>
      <c r="R2472" s="105"/>
      <c r="S2472" s="105">
        <f>IF($T$2452&gt;0,'Assumptions (Battery)'!$V$14*Model!$T$2452*'Assumptions (Battery)'!R$2/10^9,0)</f>
        <v>0.16777402474811906</v>
      </c>
      <c r="T2472" s="105"/>
      <c r="U2472" s="105"/>
      <c r="V2472" s="99"/>
      <c r="W2472" s="147"/>
      <c r="X2472" s="147"/>
      <c r="Y2472" s="147"/>
      <c r="Z2472" s="147"/>
      <c r="AA2472" s="147"/>
      <c r="AB2472" s="147"/>
      <c r="AC2472" s="147"/>
      <c r="AD2472" s="147"/>
      <c r="AE2472" s="147"/>
      <c r="AF2472" s="147"/>
      <c r="AG2472" s="147"/>
      <c r="AH2472" s="147"/>
      <c r="AI2472" s="147"/>
      <c r="AJ2472" s="147"/>
      <c r="AK2472" s="147"/>
      <c r="AL2472" s="147"/>
      <c r="AM2472" s="147"/>
      <c r="AN2472" s="147"/>
      <c r="AO2472" s="147"/>
      <c r="AP2472" s="147"/>
      <c r="AQ2472" s="147"/>
      <c r="AR2472" s="147"/>
      <c r="AS2472" s="147"/>
      <c r="AT2472" s="147"/>
      <c r="AU2472" s="147"/>
      <c r="AV2472" s="147"/>
      <c r="AW2472" s="147"/>
      <c r="AX2472" s="147"/>
      <c r="AY2472" s="147"/>
      <c r="AZ2472" s="147"/>
      <c r="BA2472" s="147"/>
    </row>
    <row r="2473" spans="1:53" ht="15.75" hidden="1" customHeight="1" outlineLevel="1">
      <c r="A2473" s="454"/>
      <c r="B2473" s="99"/>
      <c r="C2473" s="105"/>
      <c r="D2473" s="105"/>
      <c r="E2473" s="105"/>
      <c r="F2473" s="105"/>
      <c r="G2473" s="105"/>
      <c r="H2473" s="105"/>
      <c r="I2473" s="105"/>
      <c r="J2473" s="105"/>
      <c r="K2473" s="105"/>
      <c r="L2473" s="105"/>
      <c r="M2473" s="105"/>
      <c r="N2473" s="105"/>
      <c r="O2473" s="91"/>
      <c r="P2473" s="91"/>
      <c r="Q2473" s="91"/>
      <c r="R2473" s="91"/>
      <c r="S2473" s="91"/>
      <c r="T2473" s="91">
        <f>IF($U$2452&gt;0,'Assumptions (Battery)'!$V$14*Model!$U$2452*'Assumptions (Battery)'!S$2/10^9,0)</f>
        <v>0.20100677718223003</v>
      </c>
      <c r="U2473" s="105"/>
      <c r="V2473" s="99"/>
      <c r="W2473" s="147"/>
      <c r="X2473" s="147"/>
      <c r="Y2473" s="147"/>
      <c r="Z2473" s="147"/>
      <c r="AA2473" s="147"/>
      <c r="AB2473" s="147"/>
      <c r="AC2473" s="147"/>
      <c r="AD2473" s="147"/>
      <c r="AE2473" s="147"/>
      <c r="AF2473" s="147"/>
      <c r="AG2473" s="147"/>
      <c r="AH2473" s="147"/>
      <c r="AI2473" s="147"/>
      <c r="AJ2473" s="147"/>
      <c r="AK2473" s="147"/>
      <c r="AL2473" s="147"/>
      <c r="AM2473" s="147"/>
      <c r="AN2473" s="147"/>
      <c r="AO2473" s="147"/>
      <c r="AP2473" s="147"/>
      <c r="AQ2473" s="147"/>
      <c r="AR2473" s="147"/>
      <c r="AS2473" s="147"/>
      <c r="AT2473" s="147"/>
      <c r="AU2473" s="147"/>
      <c r="AV2473" s="147"/>
      <c r="AW2473" s="147"/>
      <c r="AX2473" s="147"/>
      <c r="AY2473" s="147"/>
      <c r="AZ2473" s="147"/>
      <c r="BA2473" s="147"/>
    </row>
    <row r="2474" spans="1:53" ht="15.75" hidden="1" customHeight="1" outlineLevel="1">
      <c r="A2474" s="454"/>
      <c r="B2474" s="99"/>
      <c r="C2474" s="105"/>
      <c r="D2474" s="105"/>
      <c r="E2474" s="105"/>
      <c r="F2474" s="105"/>
      <c r="G2474" s="105"/>
      <c r="H2474" s="105"/>
      <c r="I2474" s="105"/>
      <c r="J2474" s="105"/>
      <c r="K2474" s="105"/>
      <c r="L2474" s="105"/>
      <c r="M2474" s="105"/>
      <c r="N2474" s="105"/>
      <c r="O2474" s="105"/>
      <c r="P2474" s="105"/>
      <c r="Q2474" s="105"/>
      <c r="R2474" s="105"/>
      <c r="S2474" s="105"/>
      <c r="T2474" s="105"/>
      <c r="U2474" s="105">
        <f>IF($V$2452&gt;0,'Assumptions (Battery)'!$V$14*Model!$V$2452*'Assumptions (Battery)'!T$2/10^9,0)</f>
        <v>0.31910803537101112</v>
      </c>
      <c r="V2474" s="99"/>
      <c r="W2474" s="147"/>
      <c r="X2474" s="147"/>
      <c r="Y2474" s="147"/>
      <c r="Z2474" s="147"/>
      <c r="AA2474" s="147"/>
      <c r="AB2474" s="147"/>
      <c r="AC2474" s="147"/>
      <c r="AD2474" s="147"/>
      <c r="AE2474" s="147"/>
      <c r="AF2474" s="147"/>
      <c r="AG2474" s="147"/>
      <c r="AH2474" s="147"/>
      <c r="AI2474" s="147"/>
      <c r="AJ2474" s="147"/>
      <c r="AK2474" s="147"/>
      <c r="AL2474" s="147"/>
      <c r="AM2474" s="147"/>
      <c r="AN2474" s="147"/>
      <c r="AO2474" s="147"/>
      <c r="AP2474" s="147"/>
      <c r="AQ2474" s="147"/>
      <c r="AR2474" s="147"/>
      <c r="AS2474" s="147"/>
      <c r="AT2474" s="147"/>
      <c r="AU2474" s="147"/>
      <c r="AV2474" s="147"/>
      <c r="AW2474" s="147"/>
      <c r="AX2474" s="147"/>
      <c r="AY2474" s="147"/>
      <c r="AZ2474" s="147"/>
      <c r="BA2474" s="147"/>
    </row>
    <row r="2475" spans="1:53" ht="15.75" hidden="1" customHeight="1" outlineLevel="1">
      <c r="A2475" s="454"/>
      <c r="B2475" s="99"/>
      <c r="C2475" s="99"/>
      <c r="D2475" s="99"/>
      <c r="E2475" s="99"/>
      <c r="F2475" s="99"/>
      <c r="G2475" s="99"/>
      <c r="H2475" s="99"/>
      <c r="I2475" s="99"/>
      <c r="J2475" s="99"/>
      <c r="K2475" s="99"/>
      <c r="L2475" s="99"/>
      <c r="M2475" s="99"/>
      <c r="N2475" s="99"/>
      <c r="O2475" s="99"/>
      <c r="P2475" s="99"/>
      <c r="Q2475" s="99"/>
      <c r="R2475" s="99"/>
      <c r="S2475" s="99"/>
      <c r="T2475" s="99"/>
      <c r="U2475" s="99"/>
      <c r="V2475" s="91">
        <f>IF($W$2452&gt;0,'Assumptions (Battery)'!$V$14*Model!$W$2452*'Assumptions (Battery)'!V$2/10^9,0)</f>
        <v>0.66400000000000003</v>
      </c>
      <c r="X2475" s="91"/>
      <c r="Y2475" s="91"/>
      <c r="Z2475" s="91"/>
      <c r="AA2475" s="91"/>
      <c r="AB2475" s="91"/>
      <c r="AC2475" s="91"/>
      <c r="AD2475" s="91"/>
      <c r="AE2475" s="91"/>
      <c r="AF2475" s="91"/>
      <c r="AG2475" s="91"/>
      <c r="AH2475" s="91"/>
      <c r="AI2475" s="91"/>
      <c r="AJ2475" s="91"/>
      <c r="AK2475" s="91"/>
      <c r="AL2475" s="91"/>
      <c r="AM2475" s="91"/>
      <c r="AN2475" s="91"/>
      <c r="AO2475" s="91"/>
      <c r="AP2475" s="91"/>
      <c r="AQ2475" s="91"/>
      <c r="AR2475" s="91"/>
      <c r="AS2475" s="91"/>
      <c r="AT2475" s="91"/>
      <c r="AU2475" s="91"/>
      <c r="AV2475" s="91"/>
      <c r="AW2475" s="91"/>
      <c r="AX2475" s="91"/>
      <c r="AY2475" s="91"/>
      <c r="AZ2475" s="91"/>
      <c r="BA2475" s="91"/>
    </row>
    <row r="2476" spans="1:53" ht="15.75" hidden="1" customHeight="1" outlineLevel="1">
      <c r="A2476" s="454"/>
      <c r="B2476" s="99"/>
      <c r="C2476" s="99"/>
      <c r="D2476" s="99"/>
      <c r="E2476" s="99"/>
      <c r="F2476" s="99"/>
      <c r="G2476" s="99"/>
      <c r="H2476" s="99"/>
      <c r="I2476" s="99"/>
      <c r="J2476" s="99"/>
      <c r="K2476" s="99"/>
      <c r="L2476" s="99"/>
      <c r="M2476" s="99"/>
      <c r="N2476" s="99"/>
      <c r="O2476" s="99"/>
      <c r="P2476" s="99"/>
      <c r="Q2476" s="99"/>
      <c r="R2476" s="99"/>
      <c r="S2476" s="99"/>
      <c r="T2476" s="99"/>
      <c r="U2476" s="99"/>
      <c r="V2476" s="99"/>
      <c r="W2476" s="91">
        <f>IF($X$2452&gt;0,'Assumptions (Battery)'!$V$14*Model!$X$2452*'Assumptions (Battery)'!V$2/10^9,0)</f>
        <v>0</v>
      </c>
      <c r="X2476" s="91"/>
      <c r="Y2476" s="91"/>
      <c r="Z2476" s="91"/>
      <c r="AA2476" s="91"/>
      <c r="AB2476" s="91"/>
      <c r="AC2476" s="91"/>
      <c r="AD2476" s="91"/>
      <c r="AE2476" s="91"/>
      <c r="AF2476" s="91"/>
      <c r="AG2476" s="91"/>
      <c r="AH2476" s="91"/>
      <c r="AI2476" s="91"/>
      <c r="AJ2476" s="91"/>
      <c r="AK2476" s="91"/>
      <c r="AL2476" s="91"/>
      <c r="AM2476" s="91"/>
      <c r="AN2476" s="91"/>
      <c r="AO2476" s="91"/>
      <c r="AP2476" s="91"/>
      <c r="AQ2476" s="91"/>
      <c r="AR2476" s="91"/>
      <c r="AS2476" s="91"/>
      <c r="AT2476" s="91"/>
      <c r="AU2476" s="91"/>
      <c r="AV2476" s="91"/>
      <c r="AW2476" s="91"/>
      <c r="AX2476" s="91"/>
      <c r="AY2476" s="91"/>
      <c r="AZ2476" s="91"/>
      <c r="BA2476" s="91"/>
    </row>
    <row r="2477" spans="1:53" ht="15.75" hidden="1" customHeight="1" outlineLevel="1">
      <c r="A2477" s="454"/>
      <c r="B2477" s="99"/>
      <c r="C2477" s="99"/>
      <c r="D2477" s="99"/>
      <c r="E2477" s="99"/>
      <c r="F2477" s="99"/>
      <c r="G2477" s="99"/>
      <c r="H2477" s="99"/>
      <c r="I2477" s="99"/>
      <c r="J2477" s="99"/>
      <c r="K2477" s="99"/>
      <c r="L2477" s="99"/>
      <c r="M2477" s="99"/>
      <c r="N2477" s="99"/>
      <c r="O2477" s="99"/>
      <c r="P2477" s="99"/>
      <c r="Q2477" s="99"/>
      <c r="R2477" s="99"/>
      <c r="S2477" s="99"/>
      <c r="T2477" s="99"/>
      <c r="U2477" s="99"/>
      <c r="V2477" s="99"/>
      <c r="W2477" s="91"/>
      <c r="X2477" s="91">
        <f>IF($Y$2452&gt;0,'Assumptions (Battery)'!$V$14*Model!$Y$2452*'Assumptions (Battery)'!W$2/10^9,0)</f>
        <v>0</v>
      </c>
      <c r="Y2477" s="91"/>
      <c r="Z2477" s="91"/>
      <c r="AA2477" s="91"/>
      <c r="AB2477" s="91"/>
      <c r="AC2477" s="91"/>
      <c r="AD2477" s="91"/>
      <c r="AE2477" s="91"/>
      <c r="AF2477" s="91"/>
      <c r="AG2477" s="91"/>
      <c r="AH2477" s="91"/>
      <c r="AI2477" s="91"/>
      <c r="AJ2477" s="91"/>
      <c r="AK2477" s="91"/>
      <c r="AL2477" s="91"/>
      <c r="AM2477" s="91"/>
      <c r="AN2477" s="91"/>
      <c r="AO2477" s="91"/>
      <c r="AP2477" s="91"/>
      <c r="AQ2477" s="91"/>
      <c r="AR2477" s="91"/>
      <c r="AS2477" s="91"/>
      <c r="AT2477" s="91"/>
      <c r="AU2477" s="91"/>
      <c r="AV2477" s="91"/>
      <c r="AW2477" s="91"/>
      <c r="AX2477" s="91"/>
      <c r="AY2477" s="91"/>
      <c r="AZ2477" s="91"/>
      <c r="BA2477" s="91"/>
    </row>
    <row r="2478" spans="1:53" ht="15.75" hidden="1" customHeight="1" outlineLevel="1">
      <c r="A2478" s="454"/>
      <c r="B2478" s="99"/>
      <c r="C2478" s="99"/>
      <c r="D2478" s="99"/>
      <c r="E2478" s="99"/>
      <c r="F2478" s="99"/>
      <c r="G2478" s="99"/>
      <c r="H2478" s="99"/>
      <c r="I2478" s="99"/>
      <c r="J2478" s="99"/>
      <c r="K2478" s="99"/>
      <c r="L2478" s="99"/>
      <c r="M2478" s="99"/>
      <c r="N2478" s="99"/>
      <c r="O2478" s="99"/>
      <c r="P2478" s="99"/>
      <c r="Q2478" s="99"/>
      <c r="R2478" s="99"/>
      <c r="S2478" s="99"/>
      <c r="T2478" s="99"/>
      <c r="U2478" s="99"/>
      <c r="V2478" s="99"/>
      <c r="W2478" s="91"/>
      <c r="X2478" s="91"/>
      <c r="Y2478" s="91">
        <f>IF($Z$2452&gt;0,'Assumptions (Battery)'!$V$14*Model!$Z$2452*'Assumptions (Battery)'!X$2/10^9,0)</f>
        <v>0</v>
      </c>
      <c r="Z2478" s="91"/>
      <c r="AA2478" s="91"/>
      <c r="AB2478" s="91"/>
      <c r="AC2478" s="91"/>
      <c r="AD2478" s="91"/>
      <c r="AE2478" s="91"/>
      <c r="AF2478" s="91"/>
      <c r="AG2478" s="91"/>
      <c r="AH2478" s="91"/>
      <c r="AI2478" s="91"/>
      <c r="AJ2478" s="91"/>
      <c r="AK2478" s="91"/>
      <c r="AL2478" s="91"/>
      <c r="AM2478" s="91"/>
      <c r="AN2478" s="91"/>
      <c r="AO2478" s="91"/>
      <c r="AP2478" s="91"/>
      <c r="AQ2478" s="91"/>
      <c r="AR2478" s="91"/>
      <c r="AS2478" s="91"/>
      <c r="AT2478" s="91"/>
      <c r="AU2478" s="91"/>
      <c r="AV2478" s="91"/>
      <c r="AW2478" s="91"/>
      <c r="AX2478" s="91"/>
      <c r="AY2478" s="91"/>
      <c r="AZ2478" s="91"/>
      <c r="BA2478" s="91"/>
    </row>
    <row r="2479" spans="1:53" ht="15.75" hidden="1" customHeight="1" outlineLevel="1">
      <c r="A2479" s="454"/>
      <c r="B2479" s="99"/>
      <c r="C2479" s="99"/>
      <c r="D2479" s="99"/>
      <c r="E2479" s="99"/>
      <c r="F2479" s="99"/>
      <c r="G2479" s="99"/>
      <c r="H2479" s="99"/>
      <c r="I2479" s="99"/>
      <c r="J2479" s="99"/>
      <c r="K2479" s="99"/>
      <c r="L2479" s="99"/>
      <c r="M2479" s="99"/>
      <c r="N2479" s="99"/>
      <c r="O2479" s="99"/>
      <c r="P2479" s="99"/>
      <c r="Q2479" s="99"/>
      <c r="R2479" s="99"/>
      <c r="S2479" s="99"/>
      <c r="T2479" s="99"/>
      <c r="U2479" s="99"/>
      <c r="V2479" s="99"/>
      <c r="W2479" s="91"/>
      <c r="X2479" s="91"/>
      <c r="Y2479" s="91"/>
      <c r="Z2479" s="91">
        <f>IF($AA$2452&gt;0,'Assumptions (Battery)'!$V$14*Model!$AA$2452*'Assumptions (Battery)'!Y$2/10^9,0)</f>
        <v>0</v>
      </c>
      <c r="AA2479" s="91"/>
      <c r="AB2479" s="91"/>
      <c r="AC2479" s="91"/>
      <c r="AD2479" s="91"/>
      <c r="AE2479" s="91"/>
      <c r="AF2479" s="91"/>
      <c r="AG2479" s="91"/>
      <c r="AH2479" s="91"/>
      <c r="AI2479" s="91"/>
      <c r="AJ2479" s="91"/>
      <c r="AK2479" s="91"/>
      <c r="AL2479" s="91"/>
      <c r="AM2479" s="91"/>
      <c r="AN2479" s="91"/>
      <c r="AO2479" s="91"/>
      <c r="AP2479" s="91"/>
      <c r="AQ2479" s="91"/>
      <c r="AR2479" s="91"/>
      <c r="AS2479" s="91"/>
      <c r="AT2479" s="91"/>
      <c r="AU2479" s="91"/>
      <c r="AV2479" s="91"/>
      <c r="AW2479" s="91"/>
      <c r="AX2479" s="91"/>
      <c r="AY2479" s="91"/>
      <c r="AZ2479" s="91"/>
      <c r="BA2479" s="91"/>
    </row>
    <row r="2480" spans="1:53" ht="15.75" hidden="1" customHeight="1" outlineLevel="1">
      <c r="A2480" s="454"/>
      <c r="B2480" s="99"/>
      <c r="C2480" s="99"/>
      <c r="D2480" s="99"/>
      <c r="E2480" s="99"/>
      <c r="F2480" s="99"/>
      <c r="G2480" s="99"/>
      <c r="H2480" s="99"/>
      <c r="I2480" s="99"/>
      <c r="J2480" s="99"/>
      <c r="K2480" s="99"/>
      <c r="L2480" s="99"/>
      <c r="M2480" s="99"/>
      <c r="N2480" s="99"/>
      <c r="O2480" s="99"/>
      <c r="P2480" s="99"/>
      <c r="Q2480" s="99"/>
      <c r="R2480" s="99"/>
      <c r="S2480" s="99"/>
      <c r="T2480" s="99"/>
      <c r="U2480" s="99"/>
      <c r="V2480" s="99"/>
      <c r="W2480" s="86"/>
      <c r="Y2480" s="91"/>
      <c r="Z2480" s="91"/>
      <c r="AA2480" s="91">
        <f>IF($AB$2452&gt;0,'Assumptions (Battery)'!$V$14*Model!$AB$2452*'Assumptions (Battery)'!Z$2/10^9,0)</f>
        <v>0</v>
      </c>
    </row>
    <row r="2481" spans="1:43" ht="15.75" hidden="1" customHeight="1" outlineLevel="1">
      <c r="A2481" s="454"/>
      <c r="B2481" s="99"/>
      <c r="C2481" s="99"/>
      <c r="D2481" s="99"/>
      <c r="E2481" s="99"/>
      <c r="F2481" s="99"/>
      <c r="G2481" s="99"/>
      <c r="H2481" s="99"/>
      <c r="I2481" s="99"/>
      <c r="J2481" s="99"/>
      <c r="K2481" s="99"/>
      <c r="L2481" s="99"/>
      <c r="M2481" s="99"/>
      <c r="N2481" s="99"/>
      <c r="O2481" s="99"/>
      <c r="P2481" s="99"/>
      <c r="Q2481" s="99"/>
      <c r="R2481" s="99"/>
      <c r="S2481" s="99"/>
      <c r="T2481" s="99"/>
      <c r="U2481" s="99"/>
      <c r="V2481" s="99"/>
      <c r="W2481" s="86"/>
      <c r="Z2481" s="91"/>
      <c r="AA2481" s="91"/>
      <c r="AB2481" s="91">
        <f>IF($AC$2452&gt;0,'Assumptions (Battery)'!$V$14*Model!$AC$2452*'Assumptions (Battery)'!AA$2/10^9,0)</f>
        <v>0</v>
      </c>
    </row>
    <row r="2482" spans="1:43" ht="15.75" hidden="1" customHeight="1" outlineLevel="1">
      <c r="A2482" s="454"/>
      <c r="B2482" s="99"/>
      <c r="C2482" s="99"/>
      <c r="D2482" s="99"/>
      <c r="E2482" s="99"/>
      <c r="F2482" s="99"/>
      <c r="G2482" s="99"/>
      <c r="H2482" s="99"/>
      <c r="I2482" s="99"/>
      <c r="J2482" s="99"/>
      <c r="K2482" s="99"/>
      <c r="L2482" s="99"/>
      <c r="M2482" s="99"/>
      <c r="N2482" s="99"/>
      <c r="O2482" s="99"/>
      <c r="P2482" s="99"/>
      <c r="Q2482" s="99"/>
      <c r="R2482" s="99"/>
      <c r="S2482" s="99"/>
      <c r="T2482" s="99"/>
      <c r="U2482" s="99"/>
      <c r="V2482" s="99"/>
      <c r="W2482" s="86"/>
      <c r="AA2482" s="91"/>
      <c r="AB2482" s="91"/>
      <c r="AC2482" s="91">
        <f>IF($AD$2452&gt;0,'Assumptions (Battery)'!$V$14*Model!$AD$2452*'Assumptions (Battery)'!AB$2/10^9,0)</f>
        <v>0</v>
      </c>
    </row>
    <row r="2483" spans="1:43" ht="15.75" hidden="1" customHeight="1" outlineLevel="1">
      <c r="A2483" s="454"/>
      <c r="B2483" s="99"/>
      <c r="C2483" s="99"/>
      <c r="D2483" s="99"/>
      <c r="E2483" s="99"/>
      <c r="F2483" s="99"/>
      <c r="G2483" s="99"/>
      <c r="H2483" s="99"/>
      <c r="I2483" s="99"/>
      <c r="J2483" s="99"/>
      <c r="K2483" s="99"/>
      <c r="L2483" s="99"/>
      <c r="M2483" s="99"/>
      <c r="N2483" s="99"/>
      <c r="O2483" s="99"/>
      <c r="P2483" s="99"/>
      <c r="Q2483" s="99"/>
      <c r="R2483" s="99"/>
      <c r="S2483" s="99"/>
      <c r="T2483" s="99"/>
      <c r="U2483" s="99"/>
      <c r="V2483" s="99"/>
      <c r="W2483" s="86"/>
      <c r="AB2483" s="91"/>
      <c r="AC2483" s="91"/>
      <c r="AD2483" s="91">
        <f>IF($AE$2452&gt;0,'Assumptions (Battery)'!$V$14*Model!$AE$2452*'Assumptions (Battery)'!AC$2/10^9,0)</f>
        <v>0</v>
      </c>
    </row>
    <row r="2484" spans="1:43" ht="15.75" hidden="1" customHeight="1" outlineLevel="1">
      <c r="A2484" s="454"/>
      <c r="B2484" s="99"/>
      <c r="C2484" s="99"/>
      <c r="D2484" s="99"/>
      <c r="E2484" s="99"/>
      <c r="F2484" s="99"/>
      <c r="G2484" s="99"/>
      <c r="H2484" s="99"/>
      <c r="I2484" s="99"/>
      <c r="J2484" s="99"/>
      <c r="K2484" s="99"/>
      <c r="L2484" s="99"/>
      <c r="M2484" s="99"/>
      <c r="N2484" s="99"/>
      <c r="O2484" s="99"/>
      <c r="P2484" s="99"/>
      <c r="Q2484" s="99"/>
      <c r="R2484" s="99"/>
      <c r="S2484" s="99"/>
      <c r="T2484" s="99"/>
      <c r="U2484" s="99"/>
      <c r="V2484" s="99"/>
      <c r="W2484" s="86"/>
      <c r="AC2484" s="91"/>
      <c r="AD2484" s="91"/>
      <c r="AE2484" s="91">
        <f>IF($AF$2452&gt;0,'Assumptions (Battery)'!$V$14*Model!$AF$2452*'Assumptions (Battery)'!AD$2/10^9,0)</f>
        <v>0</v>
      </c>
    </row>
    <row r="2485" spans="1:43" ht="15.75" hidden="1" customHeight="1" outlineLevel="1">
      <c r="A2485" s="454"/>
      <c r="B2485" s="99"/>
      <c r="C2485" s="99"/>
      <c r="D2485" s="99"/>
      <c r="E2485" s="99"/>
      <c r="F2485" s="99"/>
      <c r="G2485" s="99"/>
      <c r="H2485" s="99"/>
      <c r="I2485" s="99"/>
      <c r="J2485" s="99"/>
      <c r="K2485" s="99"/>
      <c r="L2485" s="99"/>
      <c r="M2485" s="99"/>
      <c r="N2485" s="99"/>
      <c r="O2485" s="99"/>
      <c r="P2485" s="99"/>
      <c r="Q2485" s="99"/>
      <c r="R2485" s="99"/>
      <c r="S2485" s="99"/>
      <c r="T2485" s="99"/>
      <c r="U2485" s="99"/>
      <c r="V2485" s="99"/>
      <c r="W2485" s="86"/>
      <c r="AD2485" s="91"/>
      <c r="AE2485" s="91"/>
      <c r="AF2485" s="91">
        <f>IF($AG$2452&gt;0,'Assumptions (Battery)'!$V$14*Model!$AG$2452*'Assumptions (Battery)'!AE$2/10^9,0)</f>
        <v>0</v>
      </c>
    </row>
    <row r="2486" spans="1:43" ht="15.75" hidden="1" customHeight="1" outlineLevel="1">
      <c r="A2486" s="454"/>
      <c r="B2486" s="99"/>
      <c r="C2486" s="99"/>
      <c r="D2486" s="99"/>
      <c r="E2486" s="99"/>
      <c r="F2486" s="99"/>
      <c r="G2486" s="99"/>
      <c r="H2486" s="99"/>
      <c r="I2486" s="99"/>
      <c r="J2486" s="99"/>
      <c r="K2486" s="99"/>
      <c r="L2486" s="99"/>
      <c r="M2486" s="99"/>
      <c r="N2486" s="99"/>
      <c r="O2486" s="99"/>
      <c r="P2486" s="99"/>
      <c r="Q2486" s="99"/>
      <c r="R2486" s="99"/>
      <c r="S2486" s="99"/>
      <c r="T2486" s="99"/>
      <c r="U2486" s="99"/>
      <c r="V2486" s="99"/>
      <c r="W2486" s="86"/>
      <c r="AE2486" s="91"/>
      <c r="AF2486" s="91"/>
      <c r="AG2486" s="91">
        <f>IF($AH$2452&gt;0,'Assumptions (Battery)'!$V$14*Model!$AH$2452*'Assumptions (Battery)'!AF$2/10^9,0)</f>
        <v>0</v>
      </c>
    </row>
    <row r="2487" spans="1:43" ht="15.75" hidden="1" customHeight="1" outlineLevel="1">
      <c r="A2487" s="454"/>
      <c r="B2487" s="99"/>
      <c r="C2487" s="99"/>
      <c r="D2487" s="99"/>
      <c r="E2487" s="99"/>
      <c r="F2487" s="99"/>
      <c r="G2487" s="99"/>
      <c r="H2487" s="99"/>
      <c r="I2487" s="99"/>
      <c r="J2487" s="99"/>
      <c r="K2487" s="99"/>
      <c r="L2487" s="99"/>
      <c r="M2487" s="99"/>
      <c r="N2487" s="99"/>
      <c r="O2487" s="99"/>
      <c r="P2487" s="99"/>
      <c r="Q2487" s="99"/>
      <c r="R2487" s="99"/>
      <c r="S2487" s="99"/>
      <c r="T2487" s="99"/>
      <c r="U2487" s="99"/>
      <c r="V2487" s="99"/>
      <c r="W2487" s="86"/>
      <c r="AF2487" s="91"/>
      <c r="AG2487" s="91"/>
      <c r="AH2487" s="91">
        <f>IF($AI$2452&gt;0,'Assumptions (Battery)'!$V$14*Model!$AI$2452*'Assumptions (Battery)'!AG$2/10^9,0)</f>
        <v>0</v>
      </c>
    </row>
    <row r="2488" spans="1:43" ht="15.75" hidden="1" customHeight="1" outlineLevel="1">
      <c r="A2488" s="454"/>
      <c r="B2488" s="99"/>
      <c r="C2488" s="99"/>
      <c r="D2488" s="99"/>
      <c r="E2488" s="99"/>
      <c r="F2488" s="99"/>
      <c r="G2488" s="99"/>
      <c r="H2488" s="99"/>
      <c r="I2488" s="99"/>
      <c r="J2488" s="99"/>
      <c r="K2488" s="99"/>
      <c r="L2488" s="99"/>
      <c r="M2488" s="99"/>
      <c r="N2488" s="99"/>
      <c r="O2488" s="99"/>
      <c r="P2488" s="99"/>
      <c r="Q2488" s="99"/>
      <c r="R2488" s="99"/>
      <c r="S2488" s="99"/>
      <c r="T2488" s="99"/>
      <c r="U2488" s="99"/>
      <c r="V2488" s="99"/>
      <c r="W2488" s="86"/>
      <c r="AG2488" s="91"/>
      <c r="AH2488" s="91"/>
      <c r="AI2488" s="91">
        <f>IF($AJ$2452&gt;0,'Assumptions (Battery)'!$V$14*Model!$AJ$2452*'Assumptions (Battery)'!AH$2/10^9,0)</f>
        <v>0</v>
      </c>
    </row>
    <row r="2489" spans="1:43" ht="15.75" hidden="1" customHeight="1" outlineLevel="1">
      <c r="A2489" s="454"/>
      <c r="B2489" s="99"/>
      <c r="C2489" s="99"/>
      <c r="D2489" s="99"/>
      <c r="E2489" s="99"/>
      <c r="F2489" s="99"/>
      <c r="G2489" s="99"/>
      <c r="H2489" s="99"/>
      <c r="I2489" s="99"/>
      <c r="J2489" s="99"/>
      <c r="K2489" s="99"/>
      <c r="L2489" s="99"/>
      <c r="M2489" s="99"/>
      <c r="N2489" s="99"/>
      <c r="O2489" s="99"/>
      <c r="P2489" s="99"/>
      <c r="Q2489" s="99"/>
      <c r="R2489" s="99"/>
      <c r="S2489" s="99"/>
      <c r="T2489" s="99"/>
      <c r="U2489" s="99"/>
      <c r="V2489" s="99"/>
      <c r="W2489" s="86"/>
      <c r="AH2489" s="91"/>
      <c r="AI2489" s="91"/>
      <c r="AJ2489" s="91">
        <f>IF($AK$2452&gt;0,'Assumptions (Battery)'!$V$14*Model!$AK$2452*'Assumptions (Battery)'!AI$2/10^9,0)</f>
        <v>0</v>
      </c>
    </row>
    <row r="2490" spans="1:43" ht="15.75" hidden="1" customHeight="1" outlineLevel="1">
      <c r="A2490" s="454"/>
      <c r="B2490" s="99"/>
      <c r="C2490" s="99"/>
      <c r="D2490" s="99"/>
      <c r="E2490" s="99"/>
      <c r="F2490" s="99"/>
      <c r="G2490" s="99"/>
      <c r="H2490" s="99"/>
      <c r="I2490" s="99"/>
      <c r="J2490" s="99"/>
      <c r="K2490" s="99"/>
      <c r="L2490" s="99"/>
      <c r="M2490" s="99"/>
      <c r="N2490" s="99"/>
      <c r="O2490" s="99"/>
      <c r="P2490" s="99"/>
      <c r="Q2490" s="99"/>
      <c r="R2490" s="99"/>
      <c r="S2490" s="99"/>
      <c r="T2490" s="99"/>
      <c r="U2490" s="99"/>
      <c r="V2490" s="99"/>
      <c r="W2490" s="86"/>
      <c r="AI2490" s="91"/>
      <c r="AJ2490" s="91"/>
      <c r="AK2490" s="91">
        <f>IF($AL$2452&gt;0,'Assumptions (Battery)'!$V$14*Model!$AL$2452*'Assumptions (Battery)'!AJ$2/10^9,0)</f>
        <v>0</v>
      </c>
    </row>
    <row r="2491" spans="1:43" ht="15.75" hidden="1" customHeight="1" outlineLevel="1">
      <c r="A2491" s="454"/>
      <c r="B2491" s="99"/>
      <c r="C2491" s="99"/>
      <c r="D2491" s="99"/>
      <c r="E2491" s="99"/>
      <c r="F2491" s="99"/>
      <c r="G2491" s="99"/>
      <c r="H2491" s="99"/>
      <c r="I2491" s="99"/>
      <c r="J2491" s="99"/>
      <c r="K2491" s="99"/>
      <c r="L2491" s="99"/>
      <c r="M2491" s="99"/>
      <c r="N2491" s="99"/>
      <c r="O2491" s="99"/>
      <c r="P2491" s="99"/>
      <c r="Q2491" s="99"/>
      <c r="R2491" s="99"/>
      <c r="S2491" s="99"/>
      <c r="T2491" s="99"/>
      <c r="U2491" s="99"/>
      <c r="V2491" s="99"/>
      <c r="W2491" s="86"/>
      <c r="AJ2491" s="91"/>
      <c r="AK2491" s="91"/>
      <c r="AL2491" s="91">
        <f>IF($AM$2452&gt;0,'Assumptions (Battery)'!$V$14*Model!$AM$2452*'Assumptions (Battery)'!AK$2/10^9,0)</f>
        <v>0</v>
      </c>
    </row>
    <row r="2492" spans="1:43" ht="15.75" hidden="1" customHeight="1" outlineLevel="1">
      <c r="A2492" s="454"/>
      <c r="B2492" s="99"/>
      <c r="C2492" s="99"/>
      <c r="D2492" s="99"/>
      <c r="E2492" s="99"/>
      <c r="F2492" s="99"/>
      <c r="G2492" s="99"/>
      <c r="H2492" s="99"/>
      <c r="I2492" s="99"/>
      <c r="J2492" s="99"/>
      <c r="K2492" s="99"/>
      <c r="L2492" s="99"/>
      <c r="M2492" s="99"/>
      <c r="N2492" s="99"/>
      <c r="O2492" s="99"/>
      <c r="P2492" s="99"/>
      <c r="Q2492" s="99"/>
      <c r="R2492" s="99"/>
      <c r="S2492" s="99"/>
      <c r="T2492" s="99"/>
      <c r="U2492" s="99"/>
      <c r="V2492" s="99"/>
      <c r="W2492" s="86"/>
      <c r="AK2492" s="91"/>
      <c r="AL2492" s="91"/>
      <c r="AM2492" s="91">
        <f>IF($AN$2452&gt;0,'Assumptions (Battery)'!$V$14*Model!$AN$2452*'Assumptions (Battery)'!AL$2/10^9,0)</f>
        <v>0</v>
      </c>
    </row>
    <row r="2493" spans="1:43" ht="15.75" hidden="1" customHeight="1" outlineLevel="1">
      <c r="A2493" s="454"/>
      <c r="B2493" s="99"/>
      <c r="C2493" s="99"/>
      <c r="D2493" s="99"/>
      <c r="E2493" s="99"/>
      <c r="F2493" s="99"/>
      <c r="G2493" s="99"/>
      <c r="H2493" s="99"/>
      <c r="I2493" s="99"/>
      <c r="J2493" s="99"/>
      <c r="K2493" s="99"/>
      <c r="L2493" s="99"/>
      <c r="M2493" s="99"/>
      <c r="N2493" s="99"/>
      <c r="O2493" s="99"/>
      <c r="P2493" s="99"/>
      <c r="Q2493" s="99"/>
      <c r="R2493" s="99"/>
      <c r="S2493" s="99"/>
      <c r="T2493" s="99"/>
      <c r="U2493" s="99"/>
      <c r="V2493" s="99"/>
      <c r="W2493" s="86"/>
      <c r="AL2493" s="91"/>
      <c r="AM2493" s="91"/>
      <c r="AN2493" s="91">
        <f>IF($AO$2452&gt;0,'Assumptions (Battery)'!$V$14*Model!$AO$2452*'Assumptions (Battery)'!AM$2/10^9,0)</f>
        <v>0</v>
      </c>
    </row>
    <row r="2494" spans="1:43" ht="15.75" hidden="1" customHeight="1" outlineLevel="1">
      <c r="A2494" s="454"/>
      <c r="B2494" s="99"/>
      <c r="C2494" s="99"/>
      <c r="D2494" s="99"/>
      <c r="E2494" s="99"/>
      <c r="F2494" s="99"/>
      <c r="G2494" s="99"/>
      <c r="H2494" s="99"/>
      <c r="I2494" s="99"/>
      <c r="J2494" s="99"/>
      <c r="K2494" s="99"/>
      <c r="L2494" s="99"/>
      <c r="M2494" s="99"/>
      <c r="N2494" s="99"/>
      <c r="O2494" s="99"/>
      <c r="P2494" s="99"/>
      <c r="Q2494" s="99"/>
      <c r="R2494" s="99"/>
      <c r="S2494" s="99"/>
      <c r="T2494" s="99"/>
      <c r="U2494" s="99"/>
      <c r="V2494" s="99"/>
      <c r="W2494" s="86"/>
      <c r="AM2494" s="91"/>
      <c r="AN2494" s="91"/>
      <c r="AO2494" s="91">
        <f>IF($AP$2452&gt;0,'Assumptions (Battery)'!$V$14*Model!$AP$2452*'Assumptions (Battery)'!AN$2/10^9,0)</f>
        <v>0</v>
      </c>
    </row>
    <row r="2495" spans="1:43" ht="15.75" hidden="1" customHeight="1" outlineLevel="1">
      <c r="A2495" s="454"/>
      <c r="B2495" s="99"/>
      <c r="C2495" s="99"/>
      <c r="D2495" s="99"/>
      <c r="E2495" s="99"/>
      <c r="F2495" s="99"/>
      <c r="G2495" s="99"/>
      <c r="H2495" s="99"/>
      <c r="I2495" s="99"/>
      <c r="J2495" s="99"/>
      <c r="K2495" s="99"/>
      <c r="L2495" s="99"/>
      <c r="M2495" s="99"/>
      <c r="N2495" s="99"/>
      <c r="O2495" s="99"/>
      <c r="P2495" s="99"/>
      <c r="Q2495" s="99"/>
      <c r="R2495" s="99"/>
      <c r="S2495" s="99"/>
      <c r="T2495" s="99"/>
      <c r="U2495" s="99"/>
      <c r="V2495" s="99"/>
      <c r="W2495" s="86"/>
      <c r="AN2495" s="91"/>
      <c r="AO2495" s="91"/>
      <c r="AP2495" s="91">
        <f>IF($AQ$2452&gt;0,'Assumptions (Battery)'!$V$14*Model!$AQ$2452*'Assumptions (Battery)'!AO$2/10^9,0)</f>
        <v>0</v>
      </c>
    </row>
    <row r="2496" spans="1:43" ht="15.75" hidden="1" customHeight="1" outlineLevel="1">
      <c r="A2496" s="454"/>
      <c r="B2496" s="99"/>
      <c r="C2496" s="99"/>
      <c r="D2496" s="99"/>
      <c r="E2496" s="99"/>
      <c r="F2496" s="99"/>
      <c r="G2496" s="99"/>
      <c r="H2496" s="99"/>
      <c r="I2496" s="99"/>
      <c r="J2496" s="99"/>
      <c r="K2496" s="99"/>
      <c r="L2496" s="99"/>
      <c r="M2496" s="99"/>
      <c r="N2496" s="99"/>
      <c r="O2496" s="99"/>
      <c r="P2496" s="99"/>
      <c r="Q2496" s="99"/>
      <c r="R2496" s="99"/>
      <c r="S2496" s="99"/>
      <c r="T2496" s="99"/>
      <c r="U2496" s="99"/>
      <c r="V2496" s="99"/>
      <c r="W2496" s="86"/>
      <c r="AO2496" s="91"/>
      <c r="AP2496" s="91"/>
      <c r="AQ2496" s="91">
        <f>IF($AR$2452&gt;0,'Assumptions (Battery)'!$V$14*Model!$AR$2452*'Assumptions (Battery)'!AP$2/10^9,0)</f>
        <v>0</v>
      </c>
    </row>
    <row r="2497" spans="1:67" ht="15.75" hidden="1" customHeight="1" outlineLevel="1">
      <c r="A2497" s="454"/>
      <c r="B2497" s="99"/>
      <c r="C2497" s="99"/>
      <c r="D2497" s="99"/>
      <c r="E2497" s="99"/>
      <c r="F2497" s="99"/>
      <c r="G2497" s="99"/>
      <c r="H2497" s="99"/>
      <c r="I2497" s="99"/>
      <c r="J2497" s="99"/>
      <c r="K2497" s="99"/>
      <c r="L2497" s="99"/>
      <c r="M2497" s="99"/>
      <c r="N2497" s="99"/>
      <c r="O2497" s="99"/>
      <c r="P2497" s="99"/>
      <c r="Q2497" s="99"/>
      <c r="R2497" s="99"/>
      <c r="S2497" s="99"/>
      <c r="T2497" s="99"/>
      <c r="U2497" s="99"/>
      <c r="V2497" s="99"/>
      <c r="W2497" s="86"/>
      <c r="AP2497" s="91"/>
      <c r="AQ2497" s="91"/>
      <c r="AR2497" s="91">
        <f>IF($AS$2452&gt;0,'Assumptions (Battery)'!$V$14*Model!$AS$2452*'Assumptions (Battery)'!AQ$2/10^9,0)</f>
        <v>0</v>
      </c>
    </row>
    <row r="2498" spans="1:67" ht="15.75" hidden="1" customHeight="1" outlineLevel="1">
      <c r="A2498" s="454"/>
      <c r="B2498" s="99"/>
      <c r="C2498" s="99"/>
      <c r="D2498" s="99"/>
      <c r="E2498" s="99"/>
      <c r="F2498" s="99"/>
      <c r="G2498" s="99"/>
      <c r="H2498" s="99"/>
      <c r="I2498" s="99"/>
      <c r="J2498" s="99"/>
      <c r="K2498" s="99"/>
      <c r="L2498" s="99"/>
      <c r="M2498" s="99"/>
      <c r="N2498" s="99"/>
      <c r="O2498" s="99"/>
      <c r="P2498" s="99"/>
      <c r="Q2498" s="99"/>
      <c r="R2498" s="99"/>
      <c r="S2498" s="99"/>
      <c r="T2498" s="99"/>
      <c r="U2498" s="99"/>
      <c r="V2498" s="99"/>
      <c r="W2498" s="86"/>
      <c r="AQ2498" s="91"/>
      <c r="AR2498" s="91"/>
      <c r="AS2498" s="91">
        <f>IF($AT$2452&gt;0,'Assumptions (Battery)'!$V$14*Model!$AT$2452*'Assumptions (Battery)'!AR$2/10^9,0)</f>
        <v>0</v>
      </c>
    </row>
    <row r="2499" spans="1:67" ht="15.75" hidden="1" customHeight="1" outlineLevel="1">
      <c r="A2499" s="454"/>
      <c r="B2499" s="99"/>
      <c r="C2499" s="99"/>
      <c r="D2499" s="99"/>
      <c r="E2499" s="99"/>
      <c r="F2499" s="99"/>
      <c r="G2499" s="99"/>
      <c r="H2499" s="99"/>
      <c r="I2499" s="99"/>
      <c r="J2499" s="99"/>
      <c r="K2499" s="99"/>
      <c r="L2499" s="99"/>
      <c r="M2499" s="99"/>
      <c r="N2499" s="99"/>
      <c r="O2499" s="99"/>
      <c r="P2499" s="99"/>
      <c r="Q2499" s="99"/>
      <c r="R2499" s="99"/>
      <c r="S2499" s="99"/>
      <c r="T2499" s="99"/>
      <c r="U2499" s="99"/>
      <c r="V2499" s="99"/>
      <c r="W2499" s="86"/>
      <c r="AR2499" s="91"/>
      <c r="AS2499" s="91"/>
      <c r="AT2499" s="91">
        <f>IF($AU$2452&gt;0,'Assumptions (Battery)'!$V$14*Model!$AU$2452*'Assumptions (Battery)'!AS$2/10^9,0)</f>
        <v>0</v>
      </c>
    </row>
    <row r="2500" spans="1:67" ht="15.75" hidden="1" customHeight="1" outlineLevel="1">
      <c r="A2500" s="454"/>
      <c r="B2500" s="99"/>
      <c r="C2500" s="99"/>
      <c r="D2500" s="99"/>
      <c r="E2500" s="99"/>
      <c r="F2500" s="99"/>
      <c r="G2500" s="99"/>
      <c r="H2500" s="99"/>
      <c r="I2500" s="99"/>
      <c r="J2500" s="99"/>
      <c r="K2500" s="99"/>
      <c r="L2500" s="99"/>
      <c r="M2500" s="99"/>
      <c r="N2500" s="99"/>
      <c r="O2500" s="99"/>
      <c r="P2500" s="99"/>
      <c r="Q2500" s="99"/>
      <c r="R2500" s="99"/>
      <c r="S2500" s="99"/>
      <c r="T2500" s="99"/>
      <c r="U2500" s="99"/>
      <c r="V2500" s="99"/>
      <c r="W2500" s="86"/>
      <c r="AS2500" s="91"/>
      <c r="AT2500" s="91"/>
      <c r="AU2500" s="91">
        <f>IF($AV$2452&gt;0,'Assumptions (Battery)'!$V$14*Model!$AV$2452*'Assumptions (Battery)'!AT$2/10^9,0)</f>
        <v>0</v>
      </c>
    </row>
    <row r="2501" spans="1:67" ht="15.75" hidden="1" customHeight="1" outlineLevel="1">
      <c r="A2501" s="454"/>
      <c r="B2501" s="99"/>
      <c r="C2501" s="99"/>
      <c r="D2501" s="99"/>
      <c r="E2501" s="99"/>
      <c r="F2501" s="99"/>
      <c r="G2501" s="99"/>
      <c r="H2501" s="99"/>
      <c r="I2501" s="99"/>
      <c r="J2501" s="99"/>
      <c r="K2501" s="99"/>
      <c r="L2501" s="99"/>
      <c r="M2501" s="99"/>
      <c r="N2501" s="99"/>
      <c r="O2501" s="99"/>
      <c r="P2501" s="99"/>
      <c r="Q2501" s="99"/>
      <c r="R2501" s="99"/>
      <c r="S2501" s="99"/>
      <c r="T2501" s="99"/>
      <c r="U2501" s="99"/>
      <c r="V2501" s="99"/>
      <c r="W2501" s="86"/>
      <c r="AT2501" s="91"/>
      <c r="AU2501" s="91"/>
      <c r="AV2501" s="91">
        <f>IF($AW$2452&gt;0,'Assumptions (Battery)'!$V$14*Model!$AW$2452*'Assumptions (Battery)'!AU$2/10^9,0)</f>
        <v>0</v>
      </c>
    </row>
    <row r="2502" spans="1:67" ht="15.75" hidden="1" customHeight="1" outlineLevel="1">
      <c r="A2502" s="454"/>
      <c r="B2502" s="99"/>
      <c r="C2502" s="99"/>
      <c r="D2502" s="99"/>
      <c r="E2502" s="99"/>
      <c r="F2502" s="99"/>
      <c r="G2502" s="99"/>
      <c r="H2502" s="99"/>
      <c r="I2502" s="99"/>
      <c r="J2502" s="99"/>
      <c r="K2502" s="99"/>
      <c r="L2502" s="99"/>
      <c r="M2502" s="99"/>
      <c r="N2502" s="99"/>
      <c r="O2502" s="99"/>
      <c r="P2502" s="99"/>
      <c r="Q2502" s="99"/>
      <c r="R2502" s="99"/>
      <c r="S2502" s="99"/>
      <c r="T2502" s="99"/>
      <c r="U2502" s="99"/>
      <c r="V2502" s="99"/>
      <c r="W2502" s="86"/>
      <c r="AU2502" s="91"/>
      <c r="AV2502" s="91"/>
      <c r="AW2502" s="91">
        <f>IF($AX$2452&gt;0,'Assumptions (Battery)'!$V$14*Model!$AX$2452*'Assumptions (Battery)'!AV$2/10^9,0)</f>
        <v>0</v>
      </c>
    </row>
    <row r="2503" spans="1:67" ht="15.75" hidden="1" customHeight="1" outlineLevel="1">
      <c r="A2503" s="454"/>
      <c r="B2503" s="99"/>
      <c r="C2503" s="99"/>
      <c r="D2503" s="99"/>
      <c r="E2503" s="99"/>
      <c r="F2503" s="99"/>
      <c r="G2503" s="99"/>
      <c r="H2503" s="99"/>
      <c r="I2503" s="99"/>
      <c r="J2503" s="99"/>
      <c r="K2503" s="99"/>
      <c r="L2503" s="99"/>
      <c r="M2503" s="99"/>
      <c r="N2503" s="99"/>
      <c r="O2503" s="99"/>
      <c r="P2503" s="99"/>
      <c r="Q2503" s="99"/>
      <c r="R2503" s="99"/>
      <c r="S2503" s="99"/>
      <c r="T2503" s="99"/>
      <c r="U2503" s="99"/>
      <c r="V2503" s="99"/>
      <c r="W2503" s="86"/>
      <c r="AV2503" s="91"/>
      <c r="AW2503" s="91"/>
      <c r="AX2503" s="91">
        <f>IF($AY$2452&gt;0,'Assumptions (Battery)'!$V$14*Model!$AY$2452*'Assumptions (Battery)'!AW$2/10^9,0)</f>
        <v>0</v>
      </c>
    </row>
    <row r="2504" spans="1:67" ht="15.75" hidden="1" customHeight="1" outlineLevel="1">
      <c r="A2504" s="454"/>
      <c r="B2504" s="99"/>
      <c r="C2504" s="99"/>
      <c r="D2504" s="99"/>
      <c r="E2504" s="99"/>
      <c r="F2504" s="99"/>
      <c r="G2504" s="99"/>
      <c r="H2504" s="99"/>
      <c r="I2504" s="99"/>
      <c r="J2504" s="99"/>
      <c r="K2504" s="99"/>
      <c r="L2504" s="99"/>
      <c r="M2504" s="99"/>
      <c r="N2504" s="99"/>
      <c r="O2504" s="99"/>
      <c r="P2504" s="99"/>
      <c r="Q2504" s="99"/>
      <c r="R2504" s="99"/>
      <c r="S2504" s="99"/>
      <c r="T2504" s="99"/>
      <c r="U2504" s="99"/>
      <c r="V2504" s="99"/>
      <c r="W2504" s="86"/>
      <c r="AW2504" s="91"/>
      <c r="AX2504" s="91"/>
      <c r="AY2504" s="91">
        <f>IF($AZ$2452&gt;0,'Assumptions (Battery)'!$V$14*Model!$AZ$2452*'Assumptions (Battery)'!AX$2/10^9,0)</f>
        <v>0</v>
      </c>
    </row>
    <row r="2505" spans="1:67" ht="15.75" hidden="1" customHeight="1" outlineLevel="1">
      <c r="A2505" s="454"/>
      <c r="B2505" s="99"/>
      <c r="C2505" s="99"/>
      <c r="D2505" s="99"/>
      <c r="E2505" s="99"/>
      <c r="F2505" s="99"/>
      <c r="G2505" s="99"/>
      <c r="H2505" s="99"/>
      <c r="I2505" s="99"/>
      <c r="J2505" s="99"/>
      <c r="K2505" s="99"/>
      <c r="L2505" s="99"/>
      <c r="M2505" s="99"/>
      <c r="N2505" s="99"/>
      <c r="O2505" s="99"/>
      <c r="P2505" s="99"/>
      <c r="Q2505" s="99"/>
      <c r="R2505" s="99"/>
      <c r="S2505" s="99"/>
      <c r="T2505" s="99"/>
      <c r="U2505" s="99"/>
      <c r="V2505" s="99"/>
      <c r="W2505" s="86"/>
      <c r="AX2505" s="91"/>
      <c r="AY2505" s="91"/>
      <c r="AZ2505" s="91">
        <f>IF($BA$2452&gt;0,'Assumptions (Battery)'!$V$14*Model!$BA$2452*'Assumptions (Battery)'!AY$2/10^9,0)</f>
        <v>0</v>
      </c>
    </row>
    <row r="2506" spans="1:67" ht="15.75" customHeight="1" collapsed="1">
      <c r="A2506" s="457" t="s">
        <v>52</v>
      </c>
      <c r="B2506" s="99" t="s">
        <v>201</v>
      </c>
      <c r="C2506" s="417">
        <f>'Assumptions (Battery)'!$V$5*Model!C2454</f>
        <v>0</v>
      </c>
      <c r="D2506" s="417">
        <f>'Assumptions (Battery)'!$V$5*Model!D2454</f>
        <v>0</v>
      </c>
      <c r="E2506" s="417">
        <f>'Assumptions (Battery)'!$V$5*Model!E2454</f>
        <v>0</v>
      </c>
      <c r="F2506" s="417">
        <f>'Assumptions (Battery)'!$V$5*Model!F2454</f>
        <v>0</v>
      </c>
      <c r="G2506" s="417">
        <f>'Assumptions (Battery)'!$V$5*Model!G2454</f>
        <v>0</v>
      </c>
      <c r="H2506" s="417">
        <f>'Assumptions (Battery)'!$V$5*Model!H2454</f>
        <v>0</v>
      </c>
      <c r="I2506" s="417">
        <f>'Assumptions (Battery)'!$V$5*Model!I2454</f>
        <v>0</v>
      </c>
      <c r="J2506" s="417">
        <f>'Assumptions (Battery)'!$V$5*Model!J2454</f>
        <v>5.1329359665315652E-4</v>
      </c>
      <c r="K2506" s="417">
        <f>'Assumptions (Battery)'!$V$5*Model!K2454</f>
        <v>1.0471189371724391E-3</v>
      </c>
      <c r="L2506" s="417">
        <f>'Assumptions (Battery)'!$V$5*Model!L2454</f>
        <v>1.068061315915888E-3</v>
      </c>
      <c r="M2506" s="417">
        <f>'Assumptions (Battery)'!$V$5*Model!M2454</f>
        <v>8.9332648463204874E-3</v>
      </c>
      <c r="N2506" s="417">
        <f>'Assumptions (Battery)'!$V$5*Model!N2454</f>
        <v>1.1889957625944123E-2</v>
      </c>
      <c r="O2506" s="417">
        <f>'Assumptions (Battery)'!$V$5*Model!O2454</f>
        <v>4.3920614501443125E-3</v>
      </c>
      <c r="P2506" s="417">
        <f>'Assumptions (Battery)'!$V$5*Model!P2454</f>
        <v>7.8615066369550849E-3</v>
      </c>
      <c r="Q2506" s="417">
        <f>'Assumptions (Battery)'!$V$5*Model!Q2454</f>
        <v>4.3071229487217672E-2</v>
      </c>
      <c r="R2506" s="417">
        <f>'Assumptions (Battery)'!$V$5*Model!R2454</f>
        <v>5.8697153154161442E-2</v>
      </c>
      <c r="S2506" s="417">
        <f>'Assumptions (Battery)'!$V$5*Model!S2454</f>
        <v>3.3554804949623811E-2</v>
      </c>
      <c r="T2506" s="417">
        <f>'Assumptions (Battery)'!$V$5*Model!T2454</f>
        <v>4.0201355436446012E-2</v>
      </c>
      <c r="U2506" s="417">
        <f>'Assumptions (Battery)'!$V$5*Model!U2454</f>
        <v>6.382160707420223E-2</v>
      </c>
      <c r="V2506" s="417">
        <f>'Assumptions (Battery)'!$V$5*Model!V2454</f>
        <v>0.1328</v>
      </c>
      <c r="W2506" s="417">
        <f>'Assumptions (Battery)'!$V$5*Model!W2454</f>
        <v>0</v>
      </c>
      <c r="X2506" s="417">
        <f>'Assumptions (Battery)'!$V$5*Model!X2454</f>
        <v>0</v>
      </c>
      <c r="Y2506" s="417">
        <f>'Assumptions (Battery)'!$V$5*Model!Y2454</f>
        <v>0</v>
      </c>
      <c r="Z2506" s="417">
        <f>'Assumptions (Battery)'!$V$5*Model!Z2454</f>
        <v>0</v>
      </c>
      <c r="AA2506" s="417">
        <f>'Assumptions (Battery)'!$V$5*Model!AA2454</f>
        <v>0</v>
      </c>
      <c r="AB2506" s="417">
        <f>'Assumptions (Battery)'!$V$5*Model!AB2454</f>
        <v>0</v>
      </c>
      <c r="AC2506" s="417">
        <f>'Assumptions (Battery)'!$V$5*Model!AC2454</f>
        <v>0</v>
      </c>
      <c r="AD2506" s="417">
        <f>'Assumptions (Battery)'!$V$5*Model!AD2454</f>
        <v>0</v>
      </c>
      <c r="AE2506" s="417">
        <f>'Assumptions (Battery)'!$V$5*Model!AE2454</f>
        <v>0</v>
      </c>
      <c r="AF2506" s="417">
        <f>'Assumptions (Battery)'!$V$5*Model!AF2454</f>
        <v>0</v>
      </c>
      <c r="AG2506" s="417">
        <f>'Assumptions (Battery)'!$V$5*Model!AG2454</f>
        <v>0</v>
      </c>
      <c r="AH2506" s="417">
        <f>'Assumptions (Battery)'!$V$5*Model!AH2454</f>
        <v>0</v>
      </c>
      <c r="AI2506" s="417">
        <f>'Assumptions (Battery)'!$V$5*Model!AI2454</f>
        <v>0</v>
      </c>
      <c r="AJ2506" s="417">
        <f>'Assumptions (Battery)'!$V$5*Model!AJ2454</f>
        <v>0</v>
      </c>
      <c r="AK2506" s="417">
        <f>'Assumptions (Battery)'!$V$5*Model!AK2454</f>
        <v>0</v>
      </c>
      <c r="AL2506" s="417">
        <f>'Assumptions (Battery)'!$V$5*Model!AL2454</f>
        <v>0</v>
      </c>
      <c r="AM2506" s="417">
        <f>'Assumptions (Battery)'!$V$5*Model!AM2454</f>
        <v>0</v>
      </c>
      <c r="AN2506" s="417">
        <f>'Assumptions (Battery)'!$V$5*Model!AN2454</f>
        <v>0</v>
      </c>
      <c r="AO2506" s="417">
        <f>'Assumptions (Battery)'!$V$5*Model!AO2454</f>
        <v>0</v>
      </c>
      <c r="AP2506" s="417">
        <f>'Assumptions (Battery)'!$V$5*Model!AP2454</f>
        <v>0</v>
      </c>
      <c r="AQ2506" s="417">
        <f>'Assumptions (Battery)'!$V$5*Model!AQ2454</f>
        <v>0</v>
      </c>
      <c r="AR2506" s="417">
        <f>'Assumptions (Battery)'!$V$5*Model!AR2454</f>
        <v>0</v>
      </c>
      <c r="AS2506" s="417">
        <f>'Assumptions (Battery)'!$V$5*Model!AS2454</f>
        <v>0</v>
      </c>
      <c r="AT2506" s="417">
        <f>'Assumptions (Battery)'!$V$5*Model!AT2454</f>
        <v>0</v>
      </c>
      <c r="AU2506" s="417">
        <f>'Assumptions (Battery)'!$V$5*Model!AU2454</f>
        <v>0</v>
      </c>
      <c r="AV2506" s="417">
        <f>'Assumptions (Battery)'!$V$5*Model!AV2454</f>
        <v>0</v>
      </c>
      <c r="AW2506" s="417">
        <f>'Assumptions (Battery)'!$V$5*Model!AW2454</f>
        <v>0</v>
      </c>
      <c r="AX2506" s="417">
        <f>'Assumptions (Battery)'!$V$5*Model!AX2454</f>
        <v>0</v>
      </c>
      <c r="AY2506" s="417">
        <f>'Assumptions (Battery)'!$V$5*Model!AY2454</f>
        <v>0</v>
      </c>
      <c r="AZ2506" s="417">
        <f>'Assumptions (Battery)'!$V$5*Model!AZ2454</f>
        <v>0</v>
      </c>
      <c r="BA2506" s="417"/>
    </row>
    <row r="2507" spans="1:67" ht="15.75" customHeight="1">
      <c r="A2507" s="457" t="s">
        <v>54</v>
      </c>
      <c r="B2507" s="99" t="s">
        <v>201</v>
      </c>
      <c r="C2507" s="417">
        <f>'Assumptions (Battery)'!$V$6*Model!C2454</f>
        <v>0</v>
      </c>
      <c r="D2507" s="417">
        <f>'Assumptions (Battery)'!$V$6*Model!D2454</f>
        <v>0</v>
      </c>
      <c r="E2507" s="417">
        <f>'Assumptions (Battery)'!$V$6*Model!E2454</f>
        <v>0</v>
      </c>
      <c r="F2507" s="417">
        <f>'Assumptions (Battery)'!$V$6*Model!F2454</f>
        <v>0</v>
      </c>
      <c r="G2507" s="417">
        <f>'Assumptions (Battery)'!$V$6*Model!G2454</f>
        <v>0</v>
      </c>
      <c r="H2507" s="417">
        <f>'Assumptions (Battery)'!$V$6*Model!H2454</f>
        <v>0</v>
      </c>
      <c r="I2507" s="417">
        <f>'Assumptions (Battery)'!$V$6*Model!I2454</f>
        <v>0</v>
      </c>
      <c r="J2507" s="417">
        <f>'Assumptions (Battery)'!$V$6*Model!J2454</f>
        <v>2.0531743866126261E-3</v>
      </c>
      <c r="K2507" s="417">
        <f>'Assumptions (Battery)'!$V$6*Model!K2454</f>
        <v>4.1884757486897566E-3</v>
      </c>
      <c r="L2507" s="417">
        <f>'Assumptions (Battery)'!$V$6*Model!L2454</f>
        <v>4.272245263663552E-3</v>
      </c>
      <c r="M2507" s="417">
        <f>'Assumptions (Battery)'!$V$6*Model!M2454</f>
        <v>3.573305938528195E-2</v>
      </c>
      <c r="N2507" s="417">
        <f>'Assumptions (Battery)'!$V$6*Model!N2454</f>
        <v>4.755983050377649E-2</v>
      </c>
      <c r="O2507" s="417">
        <f>'Assumptions (Battery)'!$V$6*Model!O2454</f>
        <v>1.756824580057725E-2</v>
      </c>
      <c r="P2507" s="417">
        <f>'Assumptions (Battery)'!$V$6*Model!P2454</f>
        <v>3.144602654782034E-2</v>
      </c>
      <c r="Q2507" s="417">
        <f>'Assumptions (Battery)'!$V$6*Model!Q2454</f>
        <v>0.17228491794887069</v>
      </c>
      <c r="R2507" s="417">
        <f>'Assumptions (Battery)'!$V$6*Model!R2454</f>
        <v>0.23478861261664577</v>
      </c>
      <c r="S2507" s="417">
        <f>'Assumptions (Battery)'!$V$6*Model!S2454</f>
        <v>0.13421921979849524</v>
      </c>
      <c r="T2507" s="417">
        <f>'Assumptions (Battery)'!$V$6*Model!T2454</f>
        <v>0.16080542174578405</v>
      </c>
      <c r="U2507" s="417">
        <f>'Assumptions (Battery)'!$V$6*Model!U2454</f>
        <v>0.25528642829680892</v>
      </c>
      <c r="V2507" s="417">
        <f>'Assumptions (Battery)'!$V$6*Model!V2454</f>
        <v>0.53120000000000001</v>
      </c>
      <c r="W2507" s="417">
        <f>'Assumptions (Battery)'!$V$6*Model!W2454</f>
        <v>0</v>
      </c>
      <c r="X2507" s="417">
        <f>'Assumptions (Battery)'!$V$6*Model!X2454</f>
        <v>0</v>
      </c>
      <c r="Y2507" s="417">
        <f>'Assumptions (Battery)'!$V$6*Model!Y2454</f>
        <v>0</v>
      </c>
      <c r="Z2507" s="417">
        <f>'Assumptions (Battery)'!$V$6*Model!Z2454</f>
        <v>0</v>
      </c>
      <c r="AA2507" s="417">
        <f>'Assumptions (Battery)'!$V$6*Model!AA2454</f>
        <v>0</v>
      </c>
      <c r="AB2507" s="417">
        <f>'Assumptions (Battery)'!$V$6*Model!AB2454</f>
        <v>0</v>
      </c>
      <c r="AC2507" s="417">
        <f>'Assumptions (Battery)'!$V$6*Model!AC2454</f>
        <v>0</v>
      </c>
      <c r="AD2507" s="417">
        <f>'Assumptions (Battery)'!$V$6*Model!AD2454</f>
        <v>0</v>
      </c>
      <c r="AE2507" s="417">
        <f>'Assumptions (Battery)'!$V$6*Model!AE2454</f>
        <v>0</v>
      </c>
      <c r="AF2507" s="417">
        <f>'Assumptions (Battery)'!$V$6*Model!AF2454</f>
        <v>0</v>
      </c>
      <c r="AG2507" s="417">
        <f>'Assumptions (Battery)'!$V$6*Model!AG2454</f>
        <v>0</v>
      </c>
      <c r="AH2507" s="417">
        <f>'Assumptions (Battery)'!$V$6*Model!AH2454</f>
        <v>0</v>
      </c>
      <c r="AI2507" s="417">
        <f>'Assumptions (Battery)'!$V$6*Model!AI2454</f>
        <v>0</v>
      </c>
      <c r="AJ2507" s="417">
        <f>'Assumptions (Battery)'!$V$6*Model!AJ2454</f>
        <v>0</v>
      </c>
      <c r="AK2507" s="417">
        <f>'Assumptions (Battery)'!$V$6*Model!AK2454</f>
        <v>0</v>
      </c>
      <c r="AL2507" s="417">
        <f>'Assumptions (Battery)'!$V$6*Model!AL2454</f>
        <v>0</v>
      </c>
      <c r="AM2507" s="417">
        <f>'Assumptions (Battery)'!$V$6*Model!AM2454</f>
        <v>0</v>
      </c>
      <c r="AN2507" s="417">
        <f>'Assumptions (Battery)'!$V$6*Model!AN2454</f>
        <v>0</v>
      </c>
      <c r="AO2507" s="417">
        <f>'Assumptions (Battery)'!$V$6*Model!AO2454</f>
        <v>0</v>
      </c>
      <c r="AP2507" s="417">
        <f>'Assumptions (Battery)'!$V$6*Model!AP2454</f>
        <v>0</v>
      </c>
      <c r="AQ2507" s="417">
        <f>'Assumptions (Battery)'!$V$6*Model!AQ2454</f>
        <v>0</v>
      </c>
      <c r="AR2507" s="417">
        <f>'Assumptions (Battery)'!$V$6*Model!AR2454</f>
        <v>0</v>
      </c>
      <c r="AS2507" s="417">
        <f>'Assumptions (Battery)'!$V$6*Model!AS2454</f>
        <v>0</v>
      </c>
      <c r="AT2507" s="417">
        <f>'Assumptions (Battery)'!$V$6*Model!AT2454</f>
        <v>0</v>
      </c>
      <c r="AU2507" s="417">
        <f>'Assumptions (Battery)'!$V$6*Model!AU2454</f>
        <v>0</v>
      </c>
      <c r="AV2507" s="417">
        <f>'Assumptions (Battery)'!$V$6*Model!AV2454</f>
        <v>0</v>
      </c>
      <c r="AW2507" s="417">
        <f>'Assumptions (Battery)'!$V$6*Model!AW2454</f>
        <v>0</v>
      </c>
      <c r="AX2507" s="417">
        <f>'Assumptions (Battery)'!$V$6*Model!AX2454</f>
        <v>0</v>
      </c>
      <c r="AY2507" s="417">
        <f>'Assumptions (Battery)'!$V$6*Model!AY2454</f>
        <v>0</v>
      </c>
      <c r="AZ2507" s="417">
        <f>'Assumptions (Battery)'!$V$6*Model!AZ2454</f>
        <v>0</v>
      </c>
      <c r="BA2507" s="417"/>
    </row>
    <row r="2508" spans="1:67" ht="15.75" customHeight="1">
      <c r="A2508" s="457" t="s">
        <v>336</v>
      </c>
      <c r="B2508" s="99" t="s">
        <v>201</v>
      </c>
      <c r="C2508" s="91">
        <f t="array" ref="C2508">SUM(IF(ISERROR(C2509:C2559),"",C2509:C2559))</f>
        <v>0</v>
      </c>
      <c r="D2508" s="91">
        <f t="array" ref="D2508">SUM(IF(ISERROR(D2509:D2559),"",D2509:D2559))</f>
        <v>0</v>
      </c>
      <c r="E2508" s="91">
        <f t="array" ref="E2508">SUM(IF(ISERROR(E2509:E2559),"",E2509:E2559))</f>
        <v>0</v>
      </c>
      <c r="F2508" s="91">
        <f t="array" ref="F2508">SUM(IF(ISERROR(F2509:F2559),"",F2509:F2559))</f>
        <v>0</v>
      </c>
      <c r="G2508" s="91">
        <f t="array" ref="G2508">SUM(IF(ISERROR(G2509:G2559),"",G2509:G2559))</f>
        <v>0</v>
      </c>
      <c r="H2508" s="91">
        <f t="array" ref="H2508">SUM(IF(ISERROR(H2509:H2559),"",H2509:H2559))</f>
        <v>0</v>
      </c>
      <c r="I2508" s="91">
        <f t="array" ref="I2508">SUM(IF(ISERROR(I2509:I2559),"",I2509:I2559))</f>
        <v>0</v>
      </c>
      <c r="J2508" s="91">
        <f t="array" ref="J2508">SUM(IF(ISERROR(J2509:J2559),"",J2509:J2559))</f>
        <v>0</v>
      </c>
      <c r="K2508" s="91">
        <f t="array" ref="K2508">SUM(IF(ISERROR(K2509:K2559),"",K2509:K2559))</f>
        <v>-3.5432394528450249E-5</v>
      </c>
      <c r="L2508" s="91">
        <f t="array" ref="L2508">SUM(IF(ISERROR(L2509:L2559),"",L2509:L2559))</f>
        <v>-1.1054907092876479E-4</v>
      </c>
      <c r="M2508" s="91">
        <f t="array" ref="M2508">SUM(IF(ISERROR(M2509:M2559),"",M2509:M2559))</f>
        <v>-1.9312072313786526E-4</v>
      </c>
      <c r="N2508" s="91">
        <f t="array" ref="N2508">SUM(IF(ISERROR(N2509:N2559),"",N2509:N2559))</f>
        <v>-8.2522908572595576E-4</v>
      </c>
      <c r="O2508" s="91">
        <f t="array" ref="O2508">SUM(IF(ISERROR(O2509:O2559),"",O2509:O2559))</f>
        <v>-1.7120051081328481E-3</v>
      </c>
      <c r="P2508" s="91">
        <f t="array" ref="P2508">SUM(IF(ISERROR(P2509:P2559),"",P2509:P2559))</f>
        <v>-2.1521472730130732E-3</v>
      </c>
      <c r="Q2508" s="91">
        <f t="array" ref="Q2508">SUM(IF(ISERROR(Q2509:Q2559),"",Q2509:Q2559))</f>
        <v>-2.8669948383917938E-3</v>
      </c>
      <c r="R2508" s="91">
        <f t="array" ref="R2508">SUM(IF(ISERROR(R2509:R2559),"",R2509:R2559))</f>
        <v>-6.0695393745201706E-3</v>
      </c>
      <c r="S2508" s="91">
        <f t="array" ref="S2508">SUM(IF(ISERROR(S2509:S2559),"",S2509:S2559))</f>
        <v>-1.0606936994687476E-2</v>
      </c>
      <c r="T2508" s="91">
        <f t="array" ref="T2508">SUM(IF(ISERROR(T2509:T2559),"",T2509:T2559))</f>
        <v>-1.3771762983265101E-2</v>
      </c>
      <c r="U2508" s="91">
        <f t="array" ref="U2508">SUM(IF(ISERROR(U2509:U2559),"",U2509:U2559))</f>
        <v>-1.7572087150372871E-2</v>
      </c>
      <c r="V2508" s="91">
        <f t="array" ref="V2508">SUM(IF(ISERROR(V2509:V2559),"",V2509:V2559))</f>
        <v>-2.32273754267487E-2</v>
      </c>
      <c r="W2508" s="91">
        <f t="array" ref="W2508">SUM(IF(ISERROR(W2509:W2559),"",W2509:W2559))</f>
        <v>-3.3913761553562495E-2</v>
      </c>
      <c r="X2508" s="91">
        <f t="array" ref="X2508">SUM(IF(ISERROR(X2509:X2559),"",X2509:X2559))</f>
        <v>-3.52955425854048E-2</v>
      </c>
      <c r="Y2508" s="91">
        <f t="array" ref="Y2508">SUM(IF(ISERROR(Y2509:Y2559),"",Y2509:Y2559))</f>
        <v>-3.634723168661283E-2</v>
      </c>
      <c r="Z2508" s="91">
        <f t="array" ref="Z2508">SUM(IF(ISERROR(Z2509:Z2559),"",Z2509:Z2559))</f>
        <v>-3.8600463549300724E-2</v>
      </c>
      <c r="AA2508" s="91">
        <f t="array" ref="AA2508">SUM(IF(ISERROR(AA2509:AA2559),"",AA2509:AA2559))</f>
        <v>-4.0516904318750699E-2</v>
      </c>
      <c r="AB2508" s="91">
        <f t="array" ref="AB2508">SUM(IF(ISERROR(AB2509:AB2559),"",AB2509:AB2559))</f>
        <v>-3.7339373356216309E-2</v>
      </c>
      <c r="AC2508" s="91">
        <f t="array" ref="AC2508">SUM(IF(ISERROR(AC2509:AC2559),"",AC2509:AC2559))</f>
        <v>-3.1578916502175002E-2</v>
      </c>
      <c r="AD2508" s="91">
        <f t="array" ref="AD2508">SUM(IF(ISERROR(AD2509:AD2559),"",AD2509:AD2559))</f>
        <v>-2.9104574397376473E-2</v>
      </c>
      <c r="AE2508" s="91">
        <f t="array" ref="AE2508">SUM(IF(ISERROR(AE2509:AE2559),"",AE2509:AE2559))</f>
        <v>-2.5441752903543648E-2</v>
      </c>
      <c r="AF2508" s="91">
        <f t="array" ref="AF2508">SUM(IF(ISERROR(AF2509:AF2559),"",AF2509:AF2559))</f>
        <v>-1.796579166573313E-2</v>
      </c>
      <c r="AG2508" s="91">
        <f t="array" ref="AG2508">SUM(IF(ISERROR(AG2509:AG2559),"",AG2509:AG2559))</f>
        <v>0</v>
      </c>
      <c r="AH2508" s="91">
        <f t="array" ref="AH2508">SUM(IF(ISERROR(AH2509:AH2559),"",AH2509:AH2559))</f>
        <v>0</v>
      </c>
      <c r="AI2508" s="91">
        <f t="array" ref="AI2508">SUM(IF(ISERROR(AI2509:AI2559),"",AI2509:AI2559))</f>
        <v>0</v>
      </c>
      <c r="AJ2508" s="91">
        <f t="array" ref="AJ2508">SUM(IF(ISERROR(AJ2509:AJ2559),"",AJ2509:AJ2559))</f>
        <v>0</v>
      </c>
      <c r="AK2508" s="91">
        <f t="array" ref="AK2508">SUM(IF(ISERROR(AK2509:AK2559),"",AK2509:AK2559))</f>
        <v>0</v>
      </c>
      <c r="AL2508" s="91">
        <f t="array" ref="AL2508">SUM(IF(ISERROR(AL2509:AL2559),"",AL2509:AL2559))</f>
        <v>0</v>
      </c>
      <c r="AM2508" s="91">
        <f t="array" ref="AM2508">SUM(IF(ISERROR(AM2509:AM2559),"",AM2509:AM2559))</f>
        <v>0</v>
      </c>
      <c r="AN2508" s="91">
        <f t="array" ref="AN2508">SUM(IF(ISERROR(AN2509:AN2559),"",AN2509:AN2559))</f>
        <v>0</v>
      </c>
      <c r="AO2508" s="91">
        <f t="array" ref="AO2508">SUM(IF(ISERROR(AO2509:AO2559),"",AO2509:AO2559))</f>
        <v>0</v>
      </c>
      <c r="AP2508" s="91">
        <f t="array" ref="AP2508">SUM(IF(ISERROR(AP2509:AP2559),"",AP2509:AP2559))</f>
        <v>0</v>
      </c>
      <c r="AQ2508" s="91">
        <f t="array" ref="AQ2508">SUM(IF(ISERROR(AQ2509:AQ2559),"",AQ2509:AQ2559))</f>
        <v>0</v>
      </c>
      <c r="AR2508" s="91">
        <f t="array" ref="AR2508">SUM(IF(ISERROR(AR2509:AR2559),"",AR2509:AR2559))</f>
        <v>0</v>
      </c>
      <c r="AS2508" s="91">
        <f t="array" ref="AS2508">SUM(IF(ISERROR(AS2509:AS2559),"",AS2509:AS2559))</f>
        <v>0</v>
      </c>
      <c r="AT2508" s="91">
        <f t="array" ref="AT2508">SUM(IF(ISERROR(AT2509:AT2559),"",AT2509:AT2559))</f>
        <v>0</v>
      </c>
      <c r="AU2508" s="91">
        <f t="array" ref="AU2508">SUM(IF(ISERROR(AU2509:AU2559),"",AU2509:AU2559))</f>
        <v>0</v>
      </c>
      <c r="AV2508" s="91">
        <f t="array" ref="AV2508">SUM(IF(ISERROR(AV2509:AV2559),"",AV2509:AV2559))</f>
        <v>0</v>
      </c>
      <c r="AW2508" s="91">
        <f t="array" ref="AW2508">SUM(IF(ISERROR(AW2509:AW2559),"",AW2509:AW2559))</f>
        <v>0</v>
      </c>
      <c r="AX2508" s="91">
        <f t="array" ref="AX2508">SUM(IF(ISERROR(AX2509:AX2559),"",AX2509:AX2559))</f>
        <v>0</v>
      </c>
      <c r="AY2508" s="91">
        <f t="array" ref="AY2508">SUM(IF(ISERROR(AY2509:AY2559),"",AY2509:AY2559))</f>
        <v>0</v>
      </c>
      <c r="AZ2508" s="91">
        <f t="array" ref="AZ2508">SUM(IF(ISERROR(AZ2509:AZ2559),"",AZ2509:AZ2559))</f>
        <v>0</v>
      </c>
      <c r="BA2508" s="91">
        <f t="array" ref="BA2508">SUM(IF(ISERROR(BA2509:BA2559),"",BA2509:BA2559))</f>
        <v>0</v>
      </c>
      <c r="BB2508" s="91">
        <f t="array" ref="BB2508">SUM(IF(ISERROR(BB2509:BB2559),"",BB2509:BB2559))</f>
        <v>0</v>
      </c>
      <c r="BC2508" s="91">
        <f t="array" ref="BC2508">SUM(IF(ISERROR(BC2509:BC2559),"",BC2509:BC2559))</f>
        <v>0</v>
      </c>
      <c r="BD2508" s="91">
        <f t="array" ref="BD2508">SUM(IF(ISERROR(BD2509:BD2559),"",BD2509:BD2559))</f>
        <v>0</v>
      </c>
      <c r="BE2508" s="91">
        <f t="array" ref="BE2508">SUM(IF(ISERROR(BE2509:BE2559),"",BE2509:BE2559))</f>
        <v>0</v>
      </c>
      <c r="BF2508" s="91">
        <f t="array" ref="BF2508">SUM(IF(ISERROR(BF2509:BF2559),"",BF2509:BF2559))</f>
        <v>0</v>
      </c>
      <c r="BG2508" s="91">
        <f t="array" ref="BG2508">SUM(IF(ISERROR(BG2509:BG2559),"",BG2509:BG2559))</f>
        <v>0</v>
      </c>
      <c r="BH2508" s="91">
        <f t="array" ref="BH2508">SUM(IF(ISERROR(BH2509:BH2559),"",BH2509:BH2559))</f>
        <v>0</v>
      </c>
      <c r="BI2508" s="91">
        <f t="array" ref="BI2508">SUM(IF(ISERROR(BI2509:BI2559),"",BI2509:BI2559))</f>
        <v>0</v>
      </c>
      <c r="BJ2508" s="91">
        <f t="array" ref="BJ2508">SUM(IF(ISERROR(BJ2509:BJ2559),"",BJ2509:BJ2559))</f>
        <v>0</v>
      </c>
      <c r="BK2508" s="91">
        <f t="array" ref="BK2508">SUM(IF(ISERROR(BK2509:BK2559),"",BK2509:BK2559))</f>
        <v>0</v>
      </c>
      <c r="BL2508" s="91">
        <f t="array" ref="BL2508">SUM(IF(ISERROR(BL2509:BL2559),"",BL2509:BL2559))</f>
        <v>0</v>
      </c>
      <c r="BM2508" s="91">
        <f t="array" ref="BM2508">SUM(IF(ISERROR(BM2509:BM2559),"",BM2509:BM2559))</f>
        <v>0</v>
      </c>
      <c r="BN2508" s="91">
        <f t="array" ref="BN2508">SUM(IF(ISERROR(BN2509:BN2559),"",BN2509:BN2559))</f>
        <v>0</v>
      </c>
      <c r="BO2508" s="91">
        <f t="array" ref="BO2508">SUM(IF(ISERROR(BO2509:BO2559),"",BO2509:BO2559))</f>
        <v>0</v>
      </c>
    </row>
    <row r="2509" spans="1:67" ht="15.75" hidden="1" customHeight="1" outlineLevel="1">
      <c r="A2509" s="454"/>
      <c r="B2509" s="99"/>
      <c r="C2509" s="91">
        <f>IF($C$2452&gt;0,PPMT('Assumptions (Battery)'!$V$7,Model!W$1,'Assumptions (Battery)'!$V$10,'Assumptions (Battery)'!$V$5*Model!$C$2452*'Assumptions (Battery)'!$B$2/10^9),0)</f>
        <v>0</v>
      </c>
      <c r="D2509" s="91">
        <f>IF($C$2452&gt;0,PPMT('Assumptions (Battery)'!$V$7,Model!X$1,'Assumptions (Battery)'!$V$10,'Assumptions (Battery)'!$V$5*Model!$C$2452*'Assumptions (Battery)'!$B$2/10^9),0)</f>
        <v>0</v>
      </c>
      <c r="E2509" s="91">
        <f>IF($C$2452&gt;0,PPMT('Assumptions (Battery)'!$V$7,Model!Y$1,'Assumptions (Battery)'!$V$10,'Assumptions (Battery)'!$V$5*Model!$C$2452*'Assumptions (Battery)'!$B$2/10^9),0)</f>
        <v>0</v>
      </c>
      <c r="F2509" s="91">
        <f>IF($C$2452&gt;0,PPMT('Assumptions (Battery)'!$V$7,Model!Z$1,'Assumptions (Battery)'!$V$10,'Assumptions (Battery)'!$V$5*Model!$C$2452*'Assumptions (Battery)'!$B$2/10^9),0)</f>
        <v>0</v>
      </c>
      <c r="G2509" s="91">
        <f>IF($C$2452&gt;0,PPMT('Assumptions (Battery)'!$V$7,Model!AA$1,'Assumptions (Battery)'!$V$10,'Assumptions (Battery)'!$V$5*Model!$C$2452*'Assumptions (Battery)'!$B$2/10^9),0)</f>
        <v>0</v>
      </c>
      <c r="H2509" s="91">
        <f>IF($C$2452&gt;0,PPMT('Assumptions (Battery)'!$V$7,Model!AB$1,'Assumptions (Battery)'!$V$10,'Assumptions (Battery)'!$V$5*Model!$C$2452*'Assumptions (Battery)'!$B$2/10^9),0)</f>
        <v>0</v>
      </c>
      <c r="I2509" s="91">
        <f>IF($C$2452&gt;0,PPMT('Assumptions (Battery)'!$V$7,Model!AC$1,'Assumptions (Battery)'!$V$10,'Assumptions (Battery)'!$V$5*Model!$C$2452*'Assumptions (Battery)'!$B$2/10^9),0)</f>
        <v>0</v>
      </c>
      <c r="J2509" s="91">
        <f>IF($C$2452&gt;0,PPMT('Assumptions (Battery)'!$V$7,Model!AD$1,'Assumptions (Battery)'!$V$10,'Assumptions (Battery)'!$V$5*Model!$C$2452*'Assumptions (Battery)'!$B$2/10^9),0)</f>
        <v>0</v>
      </c>
      <c r="K2509" s="91">
        <f>IF($C$2452&gt;0,PPMT('Assumptions (Battery)'!$V$7,Model!AE$1,'Assumptions (Battery)'!$V$10,'Assumptions (Battery)'!$V$5*Model!$C$2452*'Assumptions (Battery)'!$B$2/10^9),0)</f>
        <v>0</v>
      </c>
      <c r="L2509" s="91">
        <f>IF($C$2452&gt;0,PPMT('Assumptions (Battery)'!$V$7,Model!AF$1,'Assumptions (Battery)'!$V$10,'Assumptions (Battery)'!$V$5*Model!$C$2452*'Assumptions (Battery)'!$B$2/10^9),0)</f>
        <v>0</v>
      </c>
      <c r="M2509" s="91">
        <f>IF($C$2452&gt;0,PPMT('Assumptions (Battery)'!$V$7,Model!AG$1,'Assumptions (Battery)'!$V$10,'Assumptions (Battery)'!$V$5*Model!$C$2452*'Assumptions (Battery)'!$B$2/10^9),0)</f>
        <v>0</v>
      </c>
      <c r="N2509" s="91">
        <f>IF($C$2452&gt;0,PPMT('Assumptions (Battery)'!$V$7,Model!AH$1,'Assumptions (Battery)'!$V$10,'Assumptions (Battery)'!$V$5*Model!$C$2452*'Assumptions (Battery)'!$B$2/10^9),0)</f>
        <v>0</v>
      </c>
      <c r="O2509" s="91">
        <f>IF($C$2452&gt;0,PPMT('Assumptions (Battery)'!$V$7,Model!AI$1,'Assumptions (Battery)'!$V$10,'Assumptions (Battery)'!$V$5*Model!$C$2452*'Assumptions (Battery)'!$B$2/10^9),0)</f>
        <v>0</v>
      </c>
      <c r="P2509" s="91">
        <f>IF($C$2452&gt;0,PPMT('Assumptions (Battery)'!$V$7,Model!AJ$1,'Assumptions (Battery)'!$V$10,'Assumptions (Battery)'!$V$5*Model!$C$2452*'Assumptions (Battery)'!$B$2/10^9),0)</f>
        <v>0</v>
      </c>
      <c r="Q2509" s="91">
        <f>IF($C$2452&gt;0,PPMT('Assumptions (Battery)'!$V$7,Model!AK$1,'Assumptions (Battery)'!$V$10,'Assumptions (Battery)'!$V$5*Model!$C$2452*'Assumptions (Battery)'!$B$2/10^9),0)</f>
        <v>0</v>
      </c>
      <c r="R2509" s="91"/>
      <c r="S2509" s="91"/>
      <c r="T2509" s="91"/>
      <c r="U2509" s="91"/>
      <c r="V2509" s="91"/>
      <c r="W2509" s="91"/>
      <c r="X2509" s="91"/>
      <c r="Y2509" s="91"/>
      <c r="Z2509" s="91"/>
      <c r="AA2509" s="91"/>
      <c r="AB2509" s="105"/>
      <c r="AC2509" s="105"/>
      <c r="AD2509" s="105"/>
      <c r="AE2509" s="105"/>
      <c r="AF2509" s="105"/>
      <c r="AG2509" s="105"/>
    </row>
    <row r="2510" spans="1:67" ht="15.75" hidden="1" customHeight="1" outlineLevel="1">
      <c r="A2510" s="454"/>
      <c r="B2510" s="99"/>
      <c r="C2510" s="105"/>
      <c r="D2510" s="91">
        <f>IF($D$2452&gt;0,PPMT('Assumptions (Battery)'!$V$7,Model!W$1,'Assumptions (Battery)'!$V$10,'Assumptions (Battery)'!$V$5*Model!$D$2452*'Assumptions (Battery)'!$B$2/10^9),0)</f>
        <v>0</v>
      </c>
      <c r="E2510" s="91">
        <f>IF($D$2452&gt;0,PPMT('Assumptions (Battery)'!$V$7,Model!X$1,'Assumptions (Battery)'!$V$10,'Assumptions (Battery)'!$V$5*Model!$D$2452*'Assumptions (Battery)'!$B$2/10^9),0)</f>
        <v>0</v>
      </c>
      <c r="F2510" s="91">
        <f>IF($D$2452&gt;0,PPMT('Assumptions (Battery)'!$V$7,Model!Y$1,'Assumptions (Battery)'!$V$10,'Assumptions (Battery)'!$V$5*Model!$D$2452*'Assumptions (Battery)'!$B$2/10^9),0)</f>
        <v>0</v>
      </c>
      <c r="G2510" s="91">
        <f>IF($D$2452&gt;0,PPMT('Assumptions (Battery)'!$V$7,Model!Z$1,'Assumptions (Battery)'!$V$10,'Assumptions (Battery)'!$V$5*Model!$D$2452*'Assumptions (Battery)'!$B$2/10^9),0)</f>
        <v>0</v>
      </c>
      <c r="H2510" s="91">
        <f>IF($D$2452&gt;0,PPMT('Assumptions (Battery)'!$V$7,Model!AA$1,'Assumptions (Battery)'!$V$10,'Assumptions (Battery)'!$V$5*Model!$D$2452*'Assumptions (Battery)'!$B$2/10^9),0)</f>
        <v>0</v>
      </c>
      <c r="I2510" s="91">
        <f>IF($D$2452&gt;0,PPMT('Assumptions (Battery)'!$V$7,Model!AB$1,'Assumptions (Battery)'!$V$10,'Assumptions (Battery)'!$V$5*Model!$D$2452*'Assumptions (Battery)'!$B$2/10^9),0)</f>
        <v>0</v>
      </c>
      <c r="J2510" s="91">
        <f>IF($D$2452&gt;0,PPMT('Assumptions (Battery)'!$V$7,Model!AC$1,'Assumptions (Battery)'!$V$10,'Assumptions (Battery)'!$V$5*Model!$D$2452*'Assumptions (Battery)'!$B$2/10^9),0)</f>
        <v>0</v>
      </c>
      <c r="K2510" s="91">
        <f>IF($D$2452&gt;0,PPMT('Assumptions (Battery)'!$V$7,Model!AD$1,'Assumptions (Battery)'!$V$10,'Assumptions (Battery)'!$V$5*Model!$D$2452*'Assumptions (Battery)'!$B$2/10^9),0)</f>
        <v>0</v>
      </c>
      <c r="L2510" s="91">
        <f>IF($D$2452&gt;0,PPMT('Assumptions (Battery)'!$V$7,Model!AE$1,'Assumptions (Battery)'!$V$10,'Assumptions (Battery)'!$V$5*Model!$D$2452*'Assumptions (Battery)'!$B$2/10^9),0)</f>
        <v>0</v>
      </c>
      <c r="M2510" s="91">
        <f>IF($D$2452&gt;0,PPMT('Assumptions (Battery)'!$V$7,Model!AF$1,'Assumptions (Battery)'!$V$10,'Assumptions (Battery)'!$V$5*Model!$D$2452*'Assumptions (Battery)'!$B$2/10^9),0)</f>
        <v>0</v>
      </c>
      <c r="N2510" s="91">
        <f>IF($D$2452&gt;0,PPMT('Assumptions (Battery)'!$V$7,Model!AG$1,'Assumptions (Battery)'!$V$10,'Assumptions (Battery)'!$V$5*Model!$D$2452*'Assumptions (Battery)'!$B$2/10^9),0)</f>
        <v>0</v>
      </c>
      <c r="O2510" s="91">
        <f>IF($D$2452&gt;0,PPMT('Assumptions (Battery)'!$V$7,Model!AH$1,'Assumptions (Battery)'!$V$10,'Assumptions (Battery)'!$V$5*Model!$D$2452*'Assumptions (Battery)'!$B$2/10^9),0)</f>
        <v>0</v>
      </c>
      <c r="P2510" s="91">
        <f>IF($D$2452&gt;0,PPMT('Assumptions (Battery)'!$V$7,Model!AI$1,'Assumptions (Battery)'!$V$10,'Assumptions (Battery)'!$V$5*Model!$D$2452*'Assumptions (Battery)'!$B$2/10^9),0)</f>
        <v>0</v>
      </c>
      <c r="Q2510" s="91">
        <f>IF($D$2452&gt;0,PPMT('Assumptions (Battery)'!$V$7,Model!AJ$1,'Assumptions (Battery)'!$V$10,'Assumptions (Battery)'!$V$5*Model!$D$2452*'Assumptions (Battery)'!$B$2/10^9),0)</f>
        <v>0</v>
      </c>
      <c r="R2510" s="91">
        <f>IF($D$2452&gt;0,PPMT('Assumptions (Battery)'!$V$7,Model!AK$1,'Assumptions (Battery)'!$V$10,'Assumptions (Battery)'!$V$5*Model!$D$2452*'Assumptions (Battery)'!$B$2/10^9),0)</f>
        <v>0</v>
      </c>
      <c r="S2510" s="91"/>
      <c r="T2510" s="91"/>
      <c r="U2510" s="91"/>
      <c r="V2510" s="91"/>
      <c r="W2510" s="91"/>
      <c r="X2510" s="91"/>
      <c r="Y2510" s="91"/>
      <c r="Z2510" s="91"/>
      <c r="AA2510" s="91"/>
      <c r="AB2510" s="91"/>
      <c r="AC2510" s="105"/>
      <c r="AD2510" s="105"/>
      <c r="AE2510" s="105"/>
      <c r="AF2510" s="105"/>
      <c r="AG2510" s="105"/>
    </row>
    <row r="2511" spans="1:67" ht="15.75" hidden="1" customHeight="1" outlineLevel="1">
      <c r="A2511" s="454"/>
      <c r="B2511" s="99"/>
      <c r="C2511" s="105"/>
      <c r="D2511" s="105"/>
      <c r="E2511" s="105">
        <f>IF($E$2452&gt;0,PPMT('Assumptions (Battery)'!$V$7,Model!W$1,'Assumptions (Battery)'!$V$10,'Assumptions (Battery)'!$V$5*Model!$E$2452*'Assumptions (Battery)'!$C$2/10^9),0)</f>
        <v>0</v>
      </c>
      <c r="F2511" s="105">
        <f>IF($E$2452&gt;0,PPMT('Assumptions (Battery)'!$V$7,Model!X$1,'Assumptions (Battery)'!$V$10,'Assumptions (Battery)'!$V$5*Model!$E$2452*'Assumptions (Battery)'!$C$2/10^9),0)</f>
        <v>0</v>
      </c>
      <c r="G2511" s="105">
        <f>IF($E$2452&gt;0,PPMT('Assumptions (Battery)'!$V$7,Model!Y$1,'Assumptions (Battery)'!$V$10,'Assumptions (Battery)'!$V$5*Model!$E$2452*'Assumptions (Battery)'!$C$2/10^9),0)</f>
        <v>0</v>
      </c>
      <c r="H2511" s="105">
        <f>IF($E$2452&gt;0,PPMT('Assumptions (Battery)'!$V$7,Model!Z$1,'Assumptions (Battery)'!$V$10,'Assumptions (Battery)'!$V$5*Model!$E$2452*'Assumptions (Battery)'!$C$2/10^9),0)</f>
        <v>0</v>
      </c>
      <c r="I2511" s="105">
        <f>IF($E$2452&gt;0,PPMT('Assumptions (Battery)'!$V$7,Model!AA$1,'Assumptions (Battery)'!$V$10,'Assumptions (Battery)'!$V$5*Model!$E$2452*'Assumptions (Battery)'!$C$2/10^9),0)</f>
        <v>0</v>
      </c>
      <c r="J2511" s="105">
        <f>IF($E$2452&gt;0,PPMT('Assumptions (Battery)'!$V$7,Model!AB$1,'Assumptions (Battery)'!$V$10,'Assumptions (Battery)'!$V$5*Model!$E$2452*'Assumptions (Battery)'!$C$2/10^9),0)</f>
        <v>0</v>
      </c>
      <c r="K2511" s="105">
        <f>IF($E$2452&gt;0,PPMT('Assumptions (Battery)'!$V$7,Model!AC$1,'Assumptions (Battery)'!$V$10,'Assumptions (Battery)'!$V$5*Model!$E$2452*'Assumptions (Battery)'!$C$2/10^9),0)</f>
        <v>0</v>
      </c>
      <c r="L2511" s="105">
        <f>IF($E$2452&gt;0,PPMT('Assumptions (Battery)'!$V$7,Model!AD$1,'Assumptions (Battery)'!$V$10,'Assumptions (Battery)'!$V$5*Model!$E$2452*'Assumptions (Battery)'!$C$2/10^9),0)</f>
        <v>0</v>
      </c>
      <c r="M2511" s="105">
        <f>IF($E$2452&gt;0,PPMT('Assumptions (Battery)'!$V$7,Model!AE$1,'Assumptions (Battery)'!$V$10,'Assumptions (Battery)'!$V$5*Model!$E$2452*'Assumptions (Battery)'!$C$2/10^9),0)</f>
        <v>0</v>
      </c>
      <c r="N2511" s="105">
        <f>IF($E$2452&gt;0,PPMT('Assumptions (Battery)'!$V$7,Model!AF$1,'Assumptions (Battery)'!$V$10,'Assumptions (Battery)'!$V$5*Model!$E$2452*'Assumptions (Battery)'!$C$2/10^9),0)</f>
        <v>0</v>
      </c>
      <c r="O2511" s="105">
        <f>IF($E$2452&gt;0,PPMT('Assumptions (Battery)'!$V$7,Model!AG$1,'Assumptions (Battery)'!$V$10,'Assumptions (Battery)'!$V$5*Model!$E$2452*'Assumptions (Battery)'!$C$2/10^9),0)</f>
        <v>0</v>
      </c>
      <c r="P2511" s="105">
        <f>IF($E$2452&gt;0,PPMT('Assumptions (Battery)'!$V$7,Model!AH$1,'Assumptions (Battery)'!$V$10,'Assumptions (Battery)'!$V$5*Model!$E$2452*'Assumptions (Battery)'!$C$2/10^9),0)</f>
        <v>0</v>
      </c>
      <c r="Q2511" s="105">
        <f>IF($E$2452&gt;0,PPMT('Assumptions (Battery)'!$V$7,Model!AI$1,'Assumptions (Battery)'!$V$10,'Assumptions (Battery)'!$V$5*Model!$E$2452*'Assumptions (Battery)'!$C$2/10^9),0)</f>
        <v>0</v>
      </c>
      <c r="R2511" s="105">
        <f>IF($E$2452&gt;0,PPMT('Assumptions (Battery)'!$V$7,Model!AJ$1,'Assumptions (Battery)'!$V$10,'Assumptions (Battery)'!$V$5*Model!$E$2452*'Assumptions (Battery)'!$C$2/10^9),0)</f>
        <v>0</v>
      </c>
      <c r="S2511" s="105">
        <f>IF($E$2452&gt;0,PPMT('Assumptions (Battery)'!$V$7,Model!AK$1,'Assumptions (Battery)'!$V$10,'Assumptions (Battery)'!$V$5*Model!$E$2452*'Assumptions (Battery)'!$C$2/10^9),0)</f>
        <v>0</v>
      </c>
      <c r="T2511" s="105"/>
      <c r="U2511" s="105"/>
      <c r="V2511" s="105"/>
      <c r="W2511" s="105"/>
      <c r="X2511" s="105"/>
      <c r="Y2511" s="105"/>
      <c r="Z2511" s="105"/>
      <c r="AA2511" s="105"/>
      <c r="AB2511" s="105"/>
      <c r="AC2511" s="105"/>
      <c r="AD2511" s="105"/>
      <c r="AE2511" s="105"/>
      <c r="AF2511" s="105"/>
      <c r="AG2511" s="105"/>
    </row>
    <row r="2512" spans="1:67" ht="15.75" hidden="1" customHeight="1" outlineLevel="1">
      <c r="A2512" s="454"/>
      <c r="B2512" s="99"/>
      <c r="C2512" s="105"/>
      <c r="D2512" s="105"/>
      <c r="E2512" s="105"/>
      <c r="F2512" s="105">
        <f>IF($F$2452&gt;0,PPMT('Assumptions (Battery)'!$V$7,Model!W$1,'Assumptions (Battery)'!$V$10,'Assumptions (Battery)'!$V$5*Model!$F$2452*'Assumptions (Battery)'!$D$2/10^9),0)</f>
        <v>0</v>
      </c>
      <c r="G2512" s="105">
        <f>IF($F$2452&gt;0,PPMT('Assumptions (Battery)'!$V$7,Model!X$1,'Assumptions (Battery)'!$V$10,'Assumptions (Battery)'!$V$5*Model!$F$2452*'Assumptions (Battery)'!$D$2/10^9),0)</f>
        <v>0</v>
      </c>
      <c r="H2512" s="105">
        <f>IF($F$2452&gt;0,PPMT('Assumptions (Battery)'!$V$7,Model!Y$1,'Assumptions (Battery)'!$V$10,'Assumptions (Battery)'!$V$5*Model!$F$2452*'Assumptions (Battery)'!$D$2/10^9),0)</f>
        <v>0</v>
      </c>
      <c r="I2512" s="105">
        <f>IF($F$2452&gt;0,PPMT('Assumptions (Battery)'!$V$7,Model!Z$1,'Assumptions (Battery)'!$V$10,'Assumptions (Battery)'!$V$5*Model!$F$2452*'Assumptions (Battery)'!$D$2/10^9),0)</f>
        <v>0</v>
      </c>
      <c r="J2512" s="105">
        <f>IF($F$2452&gt;0,PPMT('Assumptions (Battery)'!$V$7,Model!AA$1,'Assumptions (Battery)'!$V$10,'Assumptions (Battery)'!$V$5*Model!$F$2452*'Assumptions (Battery)'!$D$2/10^9),0)</f>
        <v>0</v>
      </c>
      <c r="K2512" s="105">
        <f>IF($F$2452&gt;0,PPMT('Assumptions (Battery)'!$V$7,Model!AB$1,'Assumptions (Battery)'!$V$10,'Assumptions (Battery)'!$V$5*Model!$F$2452*'Assumptions (Battery)'!$D$2/10^9),0)</f>
        <v>0</v>
      </c>
      <c r="L2512" s="105">
        <f>IF($F$2452&gt;0,PPMT('Assumptions (Battery)'!$V$7,Model!AC$1,'Assumptions (Battery)'!$V$10,'Assumptions (Battery)'!$V$5*Model!$F$2452*'Assumptions (Battery)'!$D$2/10^9),0)</f>
        <v>0</v>
      </c>
      <c r="M2512" s="105">
        <f>IF($F$2452&gt;0,PPMT('Assumptions (Battery)'!$V$7,Model!AD$1,'Assumptions (Battery)'!$V$10,'Assumptions (Battery)'!$V$5*Model!$F$2452*'Assumptions (Battery)'!$D$2/10^9),0)</f>
        <v>0</v>
      </c>
      <c r="N2512" s="105">
        <f>IF($F$2452&gt;0,PPMT('Assumptions (Battery)'!$V$7,Model!AE$1,'Assumptions (Battery)'!$V$10,'Assumptions (Battery)'!$V$5*Model!$F$2452*'Assumptions (Battery)'!$D$2/10^9),0)</f>
        <v>0</v>
      </c>
      <c r="O2512" s="105">
        <f>IF($F$2452&gt;0,PPMT('Assumptions (Battery)'!$V$7,Model!AF$1,'Assumptions (Battery)'!$V$10,'Assumptions (Battery)'!$V$5*Model!$F$2452*'Assumptions (Battery)'!$D$2/10^9),0)</f>
        <v>0</v>
      </c>
      <c r="P2512" s="105">
        <f>IF($F$2452&gt;0,PPMT('Assumptions (Battery)'!$V$7,Model!AG$1,'Assumptions (Battery)'!$V$10,'Assumptions (Battery)'!$V$5*Model!$F$2452*'Assumptions (Battery)'!$D$2/10^9),0)</f>
        <v>0</v>
      </c>
      <c r="Q2512" s="105">
        <f>IF($F$2452&gt;0,PPMT('Assumptions (Battery)'!$V$7,Model!AH$1,'Assumptions (Battery)'!$V$10,'Assumptions (Battery)'!$V$5*Model!$F$2452*'Assumptions (Battery)'!$D$2/10^9),0)</f>
        <v>0</v>
      </c>
      <c r="R2512" s="105">
        <f>IF($F$2452&gt;0,PPMT('Assumptions (Battery)'!$V$7,Model!AI$1,'Assumptions (Battery)'!$V$10,'Assumptions (Battery)'!$V$5*Model!$F$2452*'Assumptions (Battery)'!$D$2/10^9),0)</f>
        <v>0</v>
      </c>
      <c r="S2512" s="105">
        <f>IF($F$2452&gt;0,PPMT('Assumptions (Battery)'!$V$7,Model!AJ$1,'Assumptions (Battery)'!$V$10,'Assumptions (Battery)'!$V$5*Model!$F$2452*'Assumptions (Battery)'!$D$2/10^9),0)</f>
        <v>0</v>
      </c>
      <c r="T2512" s="105">
        <f>IF($F$2452&gt;0,PPMT('Assumptions (Battery)'!$V$7,Model!AK$1,'Assumptions (Battery)'!$V$10,'Assumptions (Battery)'!$V$5*Model!$F$2452*'Assumptions (Battery)'!$D$2/10^9),0)</f>
        <v>0</v>
      </c>
      <c r="U2512" s="105"/>
      <c r="V2512" s="105"/>
      <c r="W2512" s="105"/>
      <c r="X2512" s="105"/>
      <c r="Y2512" s="105"/>
      <c r="Z2512" s="105"/>
      <c r="AA2512" s="105"/>
      <c r="AB2512" s="105"/>
      <c r="AC2512" s="105"/>
      <c r="AD2512" s="105"/>
      <c r="AE2512" s="105"/>
      <c r="AF2512" s="105"/>
      <c r="AG2512" s="105"/>
    </row>
    <row r="2513" spans="1:46" ht="15.75" hidden="1" customHeight="1" outlineLevel="1">
      <c r="A2513" s="454"/>
      <c r="B2513" s="99"/>
      <c r="C2513" s="105"/>
      <c r="D2513" s="105"/>
      <c r="E2513" s="105"/>
      <c r="F2513" s="105"/>
      <c r="G2513" s="105">
        <f>IF($G$2452&gt;0,PPMT('Assumptions (Battery)'!$V$7,Model!W$1,'Assumptions (Battery)'!$V$10,'Assumptions (Battery)'!$V$5*Model!$G$2452*'Assumptions (Battery)'!$E$2/10^9),0)</f>
        <v>0</v>
      </c>
      <c r="H2513" s="105">
        <f>IF($G$2452&gt;0,PPMT('Assumptions (Battery)'!$V$7,Model!X$1,'Assumptions (Battery)'!$V$10,'Assumptions (Battery)'!$V$5*Model!$G$2452*'Assumptions (Battery)'!$E$2/10^9),0)</f>
        <v>0</v>
      </c>
      <c r="I2513" s="105">
        <f>IF($G$2452&gt;0,PPMT('Assumptions (Battery)'!$V$7,Model!Y$1,'Assumptions (Battery)'!$V$10,'Assumptions (Battery)'!$V$5*Model!$G$2452*'Assumptions (Battery)'!$E$2/10^9),0)</f>
        <v>0</v>
      </c>
      <c r="J2513" s="105">
        <f>IF($G$2452&gt;0,PPMT('Assumptions (Battery)'!$V$7,Model!Z$1,'Assumptions (Battery)'!$V$10,'Assumptions (Battery)'!$V$5*Model!$G$2452*'Assumptions (Battery)'!$E$2/10^9),0)</f>
        <v>0</v>
      </c>
      <c r="K2513" s="105">
        <f>IF($G$2452&gt;0,PPMT('Assumptions (Battery)'!$V$7,Model!AA$1,'Assumptions (Battery)'!$V$10,'Assumptions (Battery)'!$V$5*Model!$G$2452*'Assumptions (Battery)'!$E$2/10^9),0)</f>
        <v>0</v>
      </c>
      <c r="L2513" s="105">
        <f>IF($G$2452&gt;0,PPMT('Assumptions (Battery)'!$V$7,Model!AB$1,'Assumptions (Battery)'!$V$10,'Assumptions (Battery)'!$V$5*Model!$G$2452*'Assumptions (Battery)'!$E$2/10^9),0)</f>
        <v>0</v>
      </c>
      <c r="M2513" s="105">
        <f>IF($G$2452&gt;0,PPMT('Assumptions (Battery)'!$V$7,Model!AC$1,'Assumptions (Battery)'!$V$10,'Assumptions (Battery)'!$V$5*Model!$G$2452*'Assumptions (Battery)'!$E$2/10^9),0)</f>
        <v>0</v>
      </c>
      <c r="N2513" s="105">
        <f>IF($G$2452&gt;0,PPMT('Assumptions (Battery)'!$V$7,Model!AD$1,'Assumptions (Battery)'!$V$10,'Assumptions (Battery)'!$V$5*Model!$G$2452*'Assumptions (Battery)'!$E$2/10^9),0)</f>
        <v>0</v>
      </c>
      <c r="O2513" s="105">
        <f>IF($G$2452&gt;0,PPMT('Assumptions (Battery)'!$V$7,Model!AE$1,'Assumptions (Battery)'!$V$10,'Assumptions (Battery)'!$V$5*Model!$G$2452*'Assumptions (Battery)'!$E$2/10^9),0)</f>
        <v>0</v>
      </c>
      <c r="P2513" s="105">
        <f>IF($G$2452&gt;0,PPMT('Assumptions (Battery)'!$V$7,Model!AF$1,'Assumptions (Battery)'!$V$10,'Assumptions (Battery)'!$V$5*Model!$G$2452*'Assumptions (Battery)'!$E$2/10^9),0)</f>
        <v>0</v>
      </c>
      <c r="Q2513" s="105">
        <f>IF($G$2452&gt;0,PPMT('Assumptions (Battery)'!$V$7,Model!AG$1,'Assumptions (Battery)'!$V$10,'Assumptions (Battery)'!$V$5*Model!$G$2452*'Assumptions (Battery)'!$E$2/10^9),0)</f>
        <v>0</v>
      </c>
      <c r="R2513" s="105">
        <f>IF($G$2452&gt;0,PPMT('Assumptions (Battery)'!$V$7,Model!AH$1,'Assumptions (Battery)'!$V$10,'Assumptions (Battery)'!$V$5*Model!$G$2452*'Assumptions (Battery)'!$E$2/10^9),0)</f>
        <v>0</v>
      </c>
      <c r="S2513" s="105">
        <f>IF($G$2452&gt;0,PPMT('Assumptions (Battery)'!$V$7,Model!AI$1,'Assumptions (Battery)'!$V$10,'Assumptions (Battery)'!$V$5*Model!$G$2452*'Assumptions (Battery)'!$E$2/10^9),0)</f>
        <v>0</v>
      </c>
      <c r="T2513" s="105">
        <f>IF($G$2452&gt;0,PPMT('Assumptions (Battery)'!$V$7,Model!AJ$1,'Assumptions (Battery)'!$V$10,'Assumptions (Battery)'!$V$5*Model!$G$2452*'Assumptions (Battery)'!$E$2/10^9),0)</f>
        <v>0</v>
      </c>
      <c r="U2513" s="105">
        <f>IF($G$2452&gt;0,PPMT('Assumptions (Battery)'!$V$7,Model!AK$1,'Assumptions (Battery)'!$V$10,'Assumptions (Battery)'!$V$5*Model!$G$2452*'Assumptions (Battery)'!$E$2/10^9),0)</f>
        <v>0</v>
      </c>
      <c r="V2513" s="105"/>
      <c r="W2513" s="105"/>
      <c r="X2513" s="105"/>
      <c r="Y2513" s="105"/>
      <c r="Z2513" s="105"/>
      <c r="AA2513" s="105"/>
      <c r="AB2513" s="105"/>
      <c r="AC2513" s="105"/>
      <c r="AD2513" s="105"/>
      <c r="AE2513" s="105"/>
      <c r="AF2513" s="105"/>
      <c r="AG2513" s="105"/>
    </row>
    <row r="2514" spans="1:46" ht="15.75" hidden="1" customHeight="1" outlineLevel="1">
      <c r="A2514" s="454"/>
      <c r="B2514" s="99"/>
      <c r="C2514" s="105"/>
      <c r="D2514" s="105"/>
      <c r="E2514" s="105"/>
      <c r="F2514" s="105"/>
      <c r="G2514" s="105"/>
      <c r="H2514" s="105">
        <f>IF($H$2452&gt;0,PPMT('Assumptions (Battery)'!$V$7,Model!W$1,'Assumptions (Battery)'!$V$10,'Assumptions (Battery)'!$V$5*Model!$H$2452*'Assumptions (Battery)'!$F$2/10^9),0)</f>
        <v>0</v>
      </c>
      <c r="I2514" s="105">
        <f>IF($H$2452&gt;0,PPMT('Assumptions (Battery)'!$V$7,Model!X$1,'Assumptions (Battery)'!$V$10,'Assumptions (Battery)'!$V$5*Model!$H$2452*'Assumptions (Battery)'!$F$2/10^9),0)</f>
        <v>0</v>
      </c>
      <c r="J2514" s="105">
        <f>IF($H$2452&gt;0,PPMT('Assumptions (Battery)'!$V$7,Model!Y$1,'Assumptions (Battery)'!$V$10,'Assumptions (Battery)'!$V$5*Model!$H$2452*'Assumptions (Battery)'!$F$2/10^9),0)</f>
        <v>0</v>
      </c>
      <c r="K2514" s="105">
        <f>IF($H$2452&gt;0,PPMT('Assumptions (Battery)'!$V$7,Model!Z$1,'Assumptions (Battery)'!$V$10,'Assumptions (Battery)'!$V$5*Model!$H$2452*'Assumptions (Battery)'!$F$2/10^9),0)</f>
        <v>0</v>
      </c>
      <c r="L2514" s="105">
        <f>IF($H$2452&gt;0,PPMT('Assumptions (Battery)'!$V$7,Model!AA$1,'Assumptions (Battery)'!$V$10,'Assumptions (Battery)'!$V$5*Model!$H$2452*'Assumptions (Battery)'!$F$2/10^9),0)</f>
        <v>0</v>
      </c>
      <c r="M2514" s="105">
        <f>IF($H$2452&gt;0,PPMT('Assumptions (Battery)'!$V$7,Model!AB$1,'Assumptions (Battery)'!$V$10,'Assumptions (Battery)'!$V$5*Model!$H$2452*'Assumptions (Battery)'!$F$2/10^9),0)</f>
        <v>0</v>
      </c>
      <c r="N2514" s="105">
        <f>IF($H$2452&gt;0,PPMT('Assumptions (Battery)'!$V$7,Model!AC$1,'Assumptions (Battery)'!$V$10,'Assumptions (Battery)'!$V$5*Model!$H$2452*'Assumptions (Battery)'!$F$2/10^9),0)</f>
        <v>0</v>
      </c>
      <c r="O2514" s="105">
        <f>IF($H$2452&gt;0,PPMT('Assumptions (Battery)'!$V$7,Model!AD$1,'Assumptions (Battery)'!$V$10,'Assumptions (Battery)'!$V$5*Model!$H$2452*'Assumptions (Battery)'!$F$2/10^9),0)</f>
        <v>0</v>
      </c>
      <c r="P2514" s="105">
        <f>IF($H$2452&gt;0,PPMT('Assumptions (Battery)'!$V$7,Model!AE$1,'Assumptions (Battery)'!$V$10,'Assumptions (Battery)'!$V$5*Model!$H$2452*'Assumptions (Battery)'!$F$2/10^9),0)</f>
        <v>0</v>
      </c>
      <c r="Q2514" s="105">
        <f>IF($H$2452&gt;0,PPMT('Assumptions (Battery)'!$V$7,Model!AF$1,'Assumptions (Battery)'!$V$10,'Assumptions (Battery)'!$V$5*Model!$H$2452*'Assumptions (Battery)'!$F$2/10^9),0)</f>
        <v>0</v>
      </c>
      <c r="R2514" s="105">
        <f>IF($H$2452&gt;0,PPMT('Assumptions (Battery)'!$V$7,Model!AG$1,'Assumptions (Battery)'!$V$10,'Assumptions (Battery)'!$V$5*Model!$H$2452*'Assumptions (Battery)'!$F$2/10^9),0)</f>
        <v>0</v>
      </c>
      <c r="S2514" s="105">
        <f>IF($H$2452&gt;0,PPMT('Assumptions (Battery)'!$V$7,Model!AH$1,'Assumptions (Battery)'!$V$10,'Assumptions (Battery)'!$V$5*Model!$H$2452*'Assumptions (Battery)'!$F$2/10^9),0)</f>
        <v>0</v>
      </c>
      <c r="T2514" s="105">
        <f>IF($H$2452&gt;0,PPMT('Assumptions (Battery)'!$V$7,Model!AI$1,'Assumptions (Battery)'!$V$10,'Assumptions (Battery)'!$V$5*Model!$H$2452*'Assumptions (Battery)'!$F$2/10^9),0)</f>
        <v>0</v>
      </c>
      <c r="U2514" s="105">
        <f>IF($H$2452&gt;0,PPMT('Assumptions (Battery)'!$V$7,Model!AJ$1,'Assumptions (Battery)'!$V$10,'Assumptions (Battery)'!$V$5*Model!$H$2452*'Assumptions (Battery)'!$F$2/10^9),0)</f>
        <v>0</v>
      </c>
      <c r="V2514" s="105">
        <f>IF($H$2452&gt;0,PPMT('Assumptions (Battery)'!$V$7,Model!AK$1,'Assumptions (Battery)'!$V$10,'Assumptions (Battery)'!$V$5*Model!$H$2452*'Assumptions (Battery)'!$F$2/10^9),0)</f>
        <v>0</v>
      </c>
      <c r="W2514" s="105"/>
      <c r="X2514" s="105"/>
      <c r="Y2514" s="105"/>
      <c r="Z2514" s="105"/>
      <c r="AA2514" s="105"/>
      <c r="AB2514" s="105"/>
      <c r="AC2514" s="105"/>
      <c r="AD2514" s="105"/>
      <c r="AE2514" s="105"/>
      <c r="AF2514" s="105"/>
      <c r="AG2514" s="105"/>
    </row>
    <row r="2515" spans="1:46" ht="15.75" hidden="1" customHeight="1" outlineLevel="1">
      <c r="A2515" s="454"/>
      <c r="B2515" s="99"/>
      <c r="C2515" s="105"/>
      <c r="D2515" s="105"/>
      <c r="E2515" s="105"/>
      <c r="F2515" s="105"/>
      <c r="G2515" s="105"/>
      <c r="H2515" s="105"/>
      <c r="I2515" s="105">
        <f>IF($I$2452&gt;0,PPMT('Assumptions (Battery)'!$V$7,Model!W$1,'Assumptions (Battery)'!$V$10,'Assumptions (Battery)'!$V$5*Model!$I$2452*'Assumptions (Battery)'!$G$2/10^9),0)</f>
        <v>0</v>
      </c>
      <c r="J2515" s="105">
        <f>IF($I$2452&gt;0,PPMT('Assumptions (Battery)'!$V$7,Model!X$1,'Assumptions (Battery)'!$V$10,'Assumptions (Battery)'!$V$5*Model!$I$2452*'Assumptions (Battery)'!$G$2/10^9),0)</f>
        <v>0</v>
      </c>
      <c r="K2515" s="105">
        <f>IF($I$2452&gt;0,PPMT('Assumptions (Battery)'!$V$7,Model!Y$1,'Assumptions (Battery)'!$V$10,'Assumptions (Battery)'!$V$5*Model!$I$2452*'Assumptions (Battery)'!$G$2/10^9),0)</f>
        <v>0</v>
      </c>
      <c r="L2515" s="105">
        <f>IF($I$2452&gt;0,PPMT('Assumptions (Battery)'!$V$7,Model!Z$1,'Assumptions (Battery)'!$V$10,'Assumptions (Battery)'!$V$5*Model!$I$2452*'Assumptions (Battery)'!$G$2/10^9),0)</f>
        <v>0</v>
      </c>
      <c r="M2515" s="105">
        <f>IF($I$2452&gt;0,PPMT('Assumptions (Battery)'!$V$7,Model!AA$1,'Assumptions (Battery)'!$V$10,'Assumptions (Battery)'!$V$5*Model!$I$2452*'Assumptions (Battery)'!$G$2/10^9),0)</f>
        <v>0</v>
      </c>
      <c r="N2515" s="105">
        <f>IF($I$2452&gt;0,PPMT('Assumptions (Battery)'!$V$7,Model!AB$1,'Assumptions (Battery)'!$V$10,'Assumptions (Battery)'!$V$5*Model!$I$2452*'Assumptions (Battery)'!$G$2/10^9),0)</f>
        <v>0</v>
      </c>
      <c r="O2515" s="105">
        <f>IF($I$2452&gt;0,PPMT('Assumptions (Battery)'!$V$7,Model!AC$1,'Assumptions (Battery)'!$V$10,'Assumptions (Battery)'!$V$5*Model!$I$2452*'Assumptions (Battery)'!$G$2/10^9),0)</f>
        <v>0</v>
      </c>
      <c r="P2515" s="105">
        <f>IF($I$2452&gt;0,PPMT('Assumptions (Battery)'!$V$7,Model!AD$1,'Assumptions (Battery)'!$V$10,'Assumptions (Battery)'!$V$5*Model!$I$2452*'Assumptions (Battery)'!$G$2/10^9),0)</f>
        <v>0</v>
      </c>
      <c r="Q2515" s="105">
        <f>IF($I$2452&gt;0,PPMT('Assumptions (Battery)'!$V$7,Model!AE$1,'Assumptions (Battery)'!$V$10,'Assumptions (Battery)'!$V$5*Model!$I$2452*'Assumptions (Battery)'!$G$2/10^9),0)</f>
        <v>0</v>
      </c>
      <c r="R2515" s="105">
        <f>IF($I$2452&gt;0,PPMT('Assumptions (Battery)'!$V$7,Model!AF$1,'Assumptions (Battery)'!$V$10,'Assumptions (Battery)'!$V$5*Model!$I$2452*'Assumptions (Battery)'!$G$2/10^9),0)</f>
        <v>0</v>
      </c>
      <c r="S2515" s="105">
        <f>IF($I$2452&gt;0,PPMT('Assumptions (Battery)'!$V$7,Model!AG$1,'Assumptions (Battery)'!$V$10,'Assumptions (Battery)'!$V$5*Model!$I$2452*'Assumptions (Battery)'!$G$2/10^9),0)</f>
        <v>0</v>
      </c>
      <c r="T2515" s="105">
        <f>IF($I$2452&gt;0,PPMT('Assumptions (Battery)'!$V$7,Model!AH$1,'Assumptions (Battery)'!$V$10,'Assumptions (Battery)'!$V$5*Model!$I$2452*'Assumptions (Battery)'!$G$2/10^9),0)</f>
        <v>0</v>
      </c>
      <c r="U2515" s="105">
        <f>IF($I$2452&gt;0,PPMT('Assumptions (Battery)'!$V$7,Model!AI$1,'Assumptions (Battery)'!$V$10,'Assumptions (Battery)'!$V$5*Model!$I$2452*'Assumptions (Battery)'!$G$2/10^9),0)</f>
        <v>0</v>
      </c>
      <c r="V2515" s="105">
        <f>IF($I$2452&gt;0,PPMT('Assumptions (Battery)'!$V$7,Model!AJ$1,'Assumptions (Battery)'!$V$10,'Assumptions (Battery)'!$V$5*Model!$I$2452*'Assumptions (Battery)'!$G$2/10^9),0)</f>
        <v>0</v>
      </c>
      <c r="W2515" s="105">
        <f>IF($I$2452&gt;0,PPMT('Assumptions (Battery)'!$V$7,Model!AK$1,'Assumptions (Battery)'!$V$10,'Assumptions (Battery)'!$V$5*Model!$I$2452*'Assumptions (Battery)'!$G$2/10^9),0)</f>
        <v>0</v>
      </c>
      <c r="X2515" s="105"/>
      <c r="Y2515" s="105"/>
      <c r="Z2515" s="105"/>
      <c r="AA2515" s="105"/>
      <c r="AB2515" s="105"/>
      <c r="AC2515" s="105"/>
      <c r="AD2515" s="105"/>
      <c r="AE2515" s="105"/>
      <c r="AF2515" s="105"/>
      <c r="AG2515" s="105"/>
    </row>
    <row r="2516" spans="1:46" ht="15.75" hidden="1" customHeight="1" outlineLevel="1">
      <c r="A2516" s="454"/>
      <c r="B2516" s="99"/>
      <c r="C2516" s="105"/>
      <c r="D2516" s="105"/>
      <c r="E2516" s="105"/>
      <c r="F2516" s="105"/>
      <c r="G2516" s="105"/>
      <c r="H2516" s="105"/>
      <c r="I2516" s="105"/>
      <c r="J2516" s="105">
        <f>IF($J$2452&gt;0,PPMT('Assumptions (Battery)'!$V$7,Model!W$1,'Assumptions (Battery)'!$V$10,'Assumptions (Battery)'!$V$5*Model!$J$2452*'Assumptions (Battery)'!$H$2/10^9),0)</f>
        <v>0</v>
      </c>
      <c r="K2516" s="105">
        <f>IF($J$2452&gt;0,PPMT('Assumptions (Battery)'!$V$7,Model!X$1,'Assumptions (Battery)'!$V$10,'Assumptions (Battery)'!$V$5*Model!$J$2452*'Assumptions (Battery)'!$H$2/10^9),0)</f>
        <v>0</v>
      </c>
      <c r="L2516" s="105">
        <f>IF($J$2452&gt;0,PPMT('Assumptions (Battery)'!$V$7,Model!Y$1,'Assumptions (Battery)'!$V$10,'Assumptions (Battery)'!$V$5*Model!$J$2452*'Assumptions (Battery)'!$H$2/10^9),0)</f>
        <v>0</v>
      </c>
      <c r="M2516" s="105">
        <f>IF($J$2452&gt;0,PPMT('Assumptions (Battery)'!$V$7,Model!Z$1,'Assumptions (Battery)'!$V$10,'Assumptions (Battery)'!$V$5*Model!$J$2452*'Assumptions (Battery)'!$H$2/10^9),0)</f>
        <v>0</v>
      </c>
      <c r="N2516" s="105">
        <f>IF($J$2452&gt;0,PPMT('Assumptions (Battery)'!$V$7,Model!AA$1,'Assumptions (Battery)'!$V$10,'Assumptions (Battery)'!$V$5*Model!$J$2452*'Assumptions (Battery)'!$H$2/10^9),0)</f>
        <v>0</v>
      </c>
      <c r="O2516" s="105">
        <f>IF($J$2452&gt;0,PPMT('Assumptions (Battery)'!$V$7,Model!AB$1,'Assumptions (Battery)'!$V$10,'Assumptions (Battery)'!$V$5*Model!$J$2452*'Assumptions (Battery)'!$H$2/10^9),0)</f>
        <v>0</v>
      </c>
      <c r="P2516" s="105">
        <f>IF($J$2452&gt;0,PPMT('Assumptions (Battery)'!$V$7,Model!AC$1,'Assumptions (Battery)'!$V$10,'Assumptions (Battery)'!$V$5*Model!$J$2452*'Assumptions (Battery)'!$H$2/10^9),0)</f>
        <v>0</v>
      </c>
      <c r="Q2516" s="105">
        <f>IF($J$2452&gt;0,PPMT('Assumptions (Battery)'!$V$7,Model!AD$1,'Assumptions (Battery)'!$V$10,'Assumptions (Battery)'!$V$5*Model!$J$2452*'Assumptions (Battery)'!$H$2/10^9),0)</f>
        <v>0</v>
      </c>
      <c r="R2516" s="105">
        <f>IF($J$2452&gt;0,PPMT('Assumptions (Battery)'!$V$7,Model!AE$1,'Assumptions (Battery)'!$V$10,'Assumptions (Battery)'!$V$5*Model!$J$2452*'Assumptions (Battery)'!$H$2/10^9),0)</f>
        <v>0</v>
      </c>
      <c r="S2516" s="105">
        <f>IF($J$2452&gt;0,PPMT('Assumptions (Battery)'!$V$7,Model!AF$1,'Assumptions (Battery)'!$V$10,'Assumptions (Battery)'!$V$5*Model!$J$2452*'Assumptions (Battery)'!$H$2/10^9),0)</f>
        <v>0</v>
      </c>
      <c r="T2516" s="105">
        <f>IF($J$2452&gt;0,PPMT('Assumptions (Battery)'!$V$7,Model!AG$1,'Assumptions (Battery)'!$V$10,'Assumptions (Battery)'!$V$5*Model!$J$2452*'Assumptions (Battery)'!$H$2/10^9),0)</f>
        <v>0</v>
      </c>
      <c r="U2516" s="105">
        <f>IF($J$2452&gt;0,PPMT('Assumptions (Battery)'!$V$7,Model!AH$1,'Assumptions (Battery)'!$V$10,'Assumptions (Battery)'!$V$5*Model!$J$2452*'Assumptions (Battery)'!$H$2/10^9),0)</f>
        <v>0</v>
      </c>
      <c r="V2516" s="105">
        <f>IF($J$2452&gt;0,PPMT('Assumptions (Battery)'!$V$7,Model!AI$1,'Assumptions (Battery)'!$V$10,'Assumptions (Battery)'!$V$5*Model!$J$2452*'Assumptions (Battery)'!$H$2/10^9),0)</f>
        <v>0</v>
      </c>
      <c r="W2516" s="105">
        <f>IF($J$2452&gt;0,PPMT('Assumptions (Battery)'!$V$7,Model!AJ$1,'Assumptions (Battery)'!$V$10,'Assumptions (Battery)'!$V$5*Model!$J$2452*'Assumptions (Battery)'!$H$2/10^9),0)</f>
        <v>0</v>
      </c>
      <c r="X2516" s="105">
        <f>IF($J$2452&gt;0,PPMT('Assumptions (Battery)'!$V$7,Model!AK$1,'Assumptions (Battery)'!$V$10,'Assumptions (Battery)'!$V$5*Model!$J$2452*'Assumptions (Battery)'!$H$2/10^9),0)</f>
        <v>0</v>
      </c>
      <c r="Y2516" s="105"/>
      <c r="Z2516" s="105"/>
      <c r="AA2516" s="105"/>
      <c r="AB2516" s="105"/>
      <c r="AC2516" s="105"/>
      <c r="AD2516" s="105"/>
      <c r="AE2516" s="105"/>
      <c r="AF2516" s="105"/>
      <c r="AG2516" s="105"/>
      <c r="AH2516" s="105"/>
    </row>
    <row r="2517" spans="1:46" ht="15.75" hidden="1" customHeight="1" outlineLevel="1">
      <c r="A2517" s="454"/>
      <c r="B2517" s="99"/>
      <c r="C2517" s="105"/>
      <c r="D2517" s="105"/>
      <c r="E2517" s="105"/>
      <c r="F2517" s="105"/>
      <c r="G2517" s="105"/>
      <c r="H2517" s="105"/>
      <c r="I2517" s="105"/>
      <c r="J2517" s="105"/>
      <c r="K2517" s="105">
        <f>IF($K$2452&gt;0,PPMT('Assumptions (Battery)'!$V$7,Model!W$1,'Assumptions (Battery)'!$V$10,'Assumptions (Battery)'!$V$5*Model!$K$2452*'Assumptions (Battery)'!$I$2/10^9),0)</f>
        <v>-3.5432394528450249E-5</v>
      </c>
      <c r="L2517" s="105">
        <f>IF($K$2452&gt;0,PPMT('Assumptions (Battery)'!$V$7,Model!X$1,'Assumptions (Battery)'!$V$10,'Assumptions (Battery)'!$V$5*Model!$K$2452*'Assumptions (Battery)'!$I$2/10^9),0)</f>
        <v>-3.8266986090726275E-5</v>
      </c>
      <c r="M2517" s="105">
        <f>IF($K$2452&gt;0,PPMT('Assumptions (Battery)'!$V$7,Model!Y$1,'Assumptions (Battery)'!$V$10,'Assumptions (Battery)'!$V$5*Model!$K$2452*'Assumptions (Battery)'!$I$2/10^9),0)</f>
        <v>-4.1328344977984372E-5</v>
      </c>
      <c r="N2517" s="105">
        <f>IF($K$2452&gt;0,PPMT('Assumptions (Battery)'!$V$7,Model!Z$1,'Assumptions (Battery)'!$V$10,'Assumptions (Battery)'!$V$5*Model!$K$2452*'Assumptions (Battery)'!$I$2/10^9),0)</f>
        <v>-4.4634612576223125E-5</v>
      </c>
      <c r="O2517" s="105">
        <f>IF($K$2452&gt;0,PPMT('Assumptions (Battery)'!$V$7,Model!AA$1,'Assumptions (Battery)'!$V$10,'Assumptions (Battery)'!$V$5*Model!$K$2452*'Assumptions (Battery)'!$I$2/10^9),0)</f>
        <v>-4.8205381582320974E-5</v>
      </c>
      <c r="P2517" s="105">
        <f>IF($K$2452&gt;0,PPMT('Assumptions (Battery)'!$V$7,Model!AB$1,'Assumptions (Battery)'!$V$10,'Assumptions (Battery)'!$V$5*Model!$K$2452*'Assumptions (Battery)'!$I$2/10^9),0)</f>
        <v>-5.2061812108906654E-5</v>
      </c>
      <c r="Q2517" s="105">
        <f>IF($K$2452&gt;0,PPMT('Assumptions (Battery)'!$V$7,Model!AC$1,'Assumptions (Battery)'!$V$10,'Assumptions (Battery)'!$V$5*Model!$K$2452*'Assumptions (Battery)'!$I$2/10^9),0)</f>
        <v>-5.6226757077619183E-5</v>
      </c>
      <c r="R2517" s="105">
        <f>IF($K$2452&gt;0,PPMT('Assumptions (Battery)'!$V$7,Model!AD$1,'Assumptions (Battery)'!$V$10,'Assumptions (Battery)'!$V$5*Model!$K$2452*'Assumptions (Battery)'!$I$2/10^9),0)</f>
        <v>-6.0724897643828717E-5</v>
      </c>
      <c r="S2517" s="105">
        <f>IF($K$2452&gt;0,PPMT('Assumptions (Battery)'!$V$7,Model!AE$1,'Assumptions (Battery)'!$V$10,'Assumptions (Battery)'!$V$5*Model!$K$2452*'Assumptions (Battery)'!$I$2/10^9),0)</f>
        <v>-6.5582889455335011E-5</v>
      </c>
      <c r="T2517" s="105">
        <f>IF($K$2452&gt;0,PPMT('Assumptions (Battery)'!$V$7,Model!AF$1,'Assumptions (Battery)'!$V$10,'Assumptions (Battery)'!$V$5*Model!$K$2452*'Assumptions (Battery)'!$I$2/10^9),0)</f>
        <v>-7.0829520611761813E-5</v>
      </c>
      <c r="U2517" s="105" t="e">
        <f>IF($K$2452&gt;0,PPMT('Assumptions (Battery)'!$V$7,Model!AG$1,'Assumptions (Battery)'!$V$10,'Assumptions (Battery)'!$V$5*Model!$K$2452*'Assumptions (Battery)'!$I$2/10^9),0)</f>
        <v>#NUM!</v>
      </c>
      <c r="V2517" s="105" t="e">
        <f>IF($K$2452&gt;0,PPMT('Assumptions (Battery)'!$V$7,Model!AH$1,'Assumptions (Battery)'!$V$10,'Assumptions (Battery)'!$V$5*Model!$K$2452*'Assumptions (Battery)'!$I$2/10^9),0)</f>
        <v>#NUM!</v>
      </c>
      <c r="W2517" s="105" t="e">
        <f>IF($K$2452&gt;0,PPMT('Assumptions (Battery)'!$V$7,Model!AI$1,'Assumptions (Battery)'!$V$10,'Assumptions (Battery)'!$V$5*Model!$K$2452*'Assumptions (Battery)'!$I$2/10^9),0)</f>
        <v>#NUM!</v>
      </c>
      <c r="X2517" s="105" t="e">
        <f>IF($K$2452&gt;0,PPMT('Assumptions (Battery)'!$V$7,Model!AJ$1,'Assumptions (Battery)'!$V$10,'Assumptions (Battery)'!$V$5*Model!$K$2452*'Assumptions (Battery)'!$I$2/10^9),0)</f>
        <v>#NUM!</v>
      </c>
      <c r="Y2517" s="105" t="e">
        <f>IF($K$2452&gt;0,PPMT('Assumptions (Battery)'!$V$7,Model!AK$1,'Assumptions (Battery)'!$V$10,'Assumptions (Battery)'!$V$5*Model!$K$2452*'Assumptions (Battery)'!$I$2/10^9),0)</f>
        <v>#NUM!</v>
      </c>
      <c r="Z2517" s="105"/>
      <c r="AA2517" s="105"/>
      <c r="AB2517" s="105"/>
      <c r="AC2517" s="105"/>
      <c r="AD2517" s="105"/>
      <c r="AE2517" s="105"/>
      <c r="AF2517" s="105"/>
      <c r="AG2517" s="105"/>
      <c r="AH2517" s="105"/>
      <c r="AI2517" s="105"/>
    </row>
    <row r="2518" spans="1:46" ht="15.75" hidden="1" customHeight="1" outlineLevel="1">
      <c r="A2518" s="454"/>
      <c r="B2518" s="99"/>
      <c r="C2518" s="105"/>
      <c r="D2518" s="105"/>
      <c r="E2518" s="105"/>
      <c r="F2518" s="105"/>
      <c r="G2518" s="105"/>
      <c r="H2518" s="105"/>
      <c r="I2518" s="105"/>
      <c r="J2518" s="105"/>
      <c r="K2518" s="105"/>
      <c r="L2518" s="105">
        <f>IF($L$2452&gt;0,PPMT('Assumptions (Battery)'!$V$7,Model!W$1,'Assumptions (Battery)'!$V$10,'Assumptions (Battery)'!$V$5*Model!$L$2452*'Assumptions (Battery)'!$J$2/10^9),0)</f>
        <v>-7.2282084838038514E-5</v>
      </c>
      <c r="M2518" s="105">
        <f>IF($L$2452&gt;0,PPMT('Assumptions (Battery)'!$V$7,Model!X$1,'Assumptions (Battery)'!$V$10,'Assumptions (Battery)'!$V$5*Model!$L$2452*'Assumptions (Battery)'!$J$2/10^9),0)</f>
        <v>-7.8064651625081601E-5</v>
      </c>
      <c r="N2518" s="105">
        <f>IF($L$2452&gt;0,PPMT('Assumptions (Battery)'!$V$7,Model!Y$1,'Assumptions (Battery)'!$V$10,'Assumptions (Battery)'!$V$5*Model!$L$2452*'Assumptions (Battery)'!$J$2/10^9),0)</f>
        <v>-8.4309823755088117E-5</v>
      </c>
      <c r="O2518" s="105">
        <f>IF($L$2452&gt;0,PPMT('Assumptions (Battery)'!$V$7,Model!Z$1,'Assumptions (Battery)'!$V$10,'Assumptions (Battery)'!$V$5*Model!$L$2452*'Assumptions (Battery)'!$J$2/10^9),0)</f>
        <v>-9.1054609655495181E-5</v>
      </c>
      <c r="P2518" s="105">
        <f>IF($L$2452&gt;0,PPMT('Assumptions (Battery)'!$V$7,Model!AA$1,'Assumptions (Battery)'!$V$10,'Assumptions (Battery)'!$V$5*Model!$L$2452*'Assumptions (Battery)'!$J$2/10^9),0)</f>
        <v>-9.8338978427934802E-5</v>
      </c>
      <c r="Q2518" s="105">
        <f>IF($L$2452&gt;0,PPMT('Assumptions (Battery)'!$V$7,Model!AB$1,'Assumptions (Battery)'!$V$10,'Assumptions (Battery)'!$V$5*Model!$L$2452*'Assumptions (Battery)'!$J$2/10^9),0)</f>
        <v>-1.0620609670216957E-4</v>
      </c>
      <c r="R2518" s="105">
        <f>IF($L$2452&gt;0,PPMT('Assumptions (Battery)'!$V$7,Model!AC$1,'Assumptions (Battery)'!$V$10,'Assumptions (Battery)'!$V$5*Model!$L$2452*'Assumptions (Battery)'!$J$2/10^9),0)</f>
        <v>-1.1470258443834314E-4</v>
      </c>
      <c r="S2518" s="105">
        <f>IF($L$2452&gt;0,PPMT('Assumptions (Battery)'!$V$7,Model!AD$1,'Assumptions (Battery)'!$V$10,'Assumptions (Battery)'!$V$5*Model!$L$2452*'Assumptions (Battery)'!$J$2/10^9),0)</f>
        <v>-1.238787911934106E-4</v>
      </c>
      <c r="T2518" s="105">
        <f>IF($L$2452&gt;0,PPMT('Assumptions (Battery)'!$V$7,Model!AE$1,'Assumptions (Battery)'!$V$10,'Assumptions (Battery)'!$V$5*Model!$L$2452*'Assumptions (Battery)'!$J$2/10^9),0)</f>
        <v>-1.3378909448888342E-4</v>
      </c>
      <c r="U2518" s="105">
        <f>IF($L$2452&gt;0,PPMT('Assumptions (Battery)'!$V$7,Model!AF$1,'Assumptions (Battery)'!$V$10,'Assumptions (Battery)'!$V$5*Model!$L$2452*'Assumptions (Battery)'!$J$2/10^9),0)</f>
        <v>-1.4449222204799411E-4</v>
      </c>
      <c r="V2518" s="105" t="e">
        <f>IF($L$2452&gt;0,PPMT('Assumptions (Battery)'!$V$7,Model!AG$1,'Assumptions (Battery)'!$V$10,'Assumptions (Battery)'!$V$5*Model!$L$2452*'Assumptions (Battery)'!$J$2/10^9),0)</f>
        <v>#NUM!</v>
      </c>
      <c r="W2518" s="105" t="e">
        <f>IF($L$2452&gt;0,PPMT('Assumptions (Battery)'!$V$7,Model!AH$1,'Assumptions (Battery)'!$V$10,'Assumptions (Battery)'!$V$5*Model!$L$2452*'Assumptions (Battery)'!$J$2/10^9),0)</f>
        <v>#NUM!</v>
      </c>
      <c r="X2518" s="105" t="e">
        <f>IF($L$2452&gt;0,PPMT('Assumptions (Battery)'!$V$7,Model!AI$1,'Assumptions (Battery)'!$V$10,'Assumptions (Battery)'!$V$5*Model!$L$2452*'Assumptions (Battery)'!$J$2/10^9),0)</f>
        <v>#NUM!</v>
      </c>
      <c r="Y2518" s="105" t="e">
        <f>IF($L$2452&gt;0,PPMT('Assumptions (Battery)'!$V$7,Model!AJ$1,'Assumptions (Battery)'!$V$10,'Assumptions (Battery)'!$V$5*Model!$L$2452*'Assumptions (Battery)'!$J$2/10^9),0)</f>
        <v>#NUM!</v>
      </c>
      <c r="Z2518" s="105" t="e">
        <f>IF($L$2452&gt;0,PPMT('Assumptions (Battery)'!$V$7,Model!AK$1,'Assumptions (Battery)'!$V$10,'Assumptions (Battery)'!$V$5*Model!$L$2452*'Assumptions (Battery)'!$J$2/10^9),0)</f>
        <v>#NUM!</v>
      </c>
      <c r="AA2518" s="105"/>
      <c r="AB2518" s="105"/>
      <c r="AC2518" s="105"/>
      <c r="AD2518" s="105"/>
      <c r="AE2518" s="105"/>
      <c r="AF2518" s="105"/>
      <c r="AG2518" s="105"/>
      <c r="AH2518" s="105"/>
      <c r="AI2518" s="105"/>
      <c r="AJ2518" s="105"/>
    </row>
    <row r="2519" spans="1:46" ht="15.75" hidden="1" customHeight="1" outlineLevel="1">
      <c r="A2519" s="454"/>
      <c r="B2519" s="99"/>
      <c r="C2519" s="105"/>
      <c r="D2519" s="105"/>
      <c r="E2519" s="105"/>
      <c r="F2519" s="105"/>
      <c r="G2519" s="105"/>
      <c r="H2519" s="105"/>
      <c r="I2519" s="105"/>
      <c r="J2519" s="105"/>
      <c r="K2519" s="105"/>
      <c r="L2519" s="105"/>
      <c r="M2519" s="105">
        <f>IF($M$2452&gt;0,PPMT('Assumptions (Battery)'!$V$7,Model!W$1,'Assumptions (Battery)'!$V$10,'Assumptions (Battery)'!$V$5*Model!$M$2452*'Assumptions (Battery)'!$K$2/10^9),0)</f>
        <v>-7.3727726534799276E-5</v>
      </c>
      <c r="N2519" s="105">
        <f>IF($M$2452&gt;0,PPMT('Assumptions (Battery)'!$V$7,Model!X$1,'Assumptions (Battery)'!$V$10,'Assumptions (Battery)'!$V$5*Model!$M$2452*'Assumptions (Battery)'!$K$2/10^9),0)</f>
        <v>-7.962594465758322E-5</v>
      </c>
      <c r="O2519" s="105">
        <f>IF($M$2452&gt;0,PPMT('Assumptions (Battery)'!$V$7,Model!Y$1,'Assumptions (Battery)'!$V$10,'Assumptions (Battery)'!$V$5*Model!$M$2452*'Assumptions (Battery)'!$K$2/10^9),0)</f>
        <v>-8.5996020230189873E-5</v>
      </c>
      <c r="P2519" s="105">
        <f>IF($M$2452&gt;0,PPMT('Assumptions (Battery)'!$V$7,Model!Z$1,'Assumptions (Battery)'!$V$10,'Assumptions (Battery)'!$V$5*Model!$M$2452*'Assumptions (Battery)'!$K$2/10^9),0)</f>
        <v>-9.287570184860508E-5</v>
      </c>
      <c r="Q2519" s="105">
        <f>IF($M$2452&gt;0,PPMT('Assumptions (Battery)'!$V$7,Model!AA$1,'Assumptions (Battery)'!$V$10,'Assumptions (Battery)'!$V$5*Model!$M$2452*'Assumptions (Battery)'!$K$2/10^9),0)</f>
        <v>-1.0030575799649349E-4</v>
      </c>
      <c r="R2519" s="105">
        <f>IF($M$2452&gt;0,PPMT('Assumptions (Battery)'!$V$7,Model!AB$1,'Assumptions (Battery)'!$V$10,'Assumptions (Battery)'!$V$5*Model!$M$2452*'Assumptions (Battery)'!$K$2/10^9),0)</f>
        <v>-1.0833021863621296E-4</v>
      </c>
      <c r="S2519" s="105">
        <f>IF($M$2452&gt;0,PPMT('Assumptions (Battery)'!$V$7,Model!AC$1,'Assumptions (Battery)'!$V$10,'Assumptions (Battery)'!$V$5*Model!$M$2452*'Assumptions (Battery)'!$K$2/10^9),0)</f>
        <v>-1.1699663612710999E-4</v>
      </c>
      <c r="T2519" s="105">
        <f>IF($M$2452&gt;0,PPMT('Assumptions (Battery)'!$V$7,Model!AD$1,'Assumptions (Battery)'!$V$10,'Assumptions (Battery)'!$V$5*Model!$M$2452*'Assumptions (Battery)'!$K$2/10^9),0)</f>
        <v>-1.2635636701727879E-4</v>
      </c>
      <c r="U2519" s="105">
        <f>IF($M$2452&gt;0,PPMT('Assumptions (Battery)'!$V$7,Model!AE$1,'Assumptions (Battery)'!$V$10,'Assumptions (Battery)'!$V$5*Model!$M$2452*'Assumptions (Battery)'!$K$2/10^9),0)</f>
        <v>-1.3646487637866109E-4</v>
      </c>
      <c r="V2519" s="105">
        <f>IF($M$2452&gt;0,PPMT('Assumptions (Battery)'!$V$7,Model!AF$1,'Assumptions (Battery)'!$V$10,'Assumptions (Battery)'!$V$5*Model!$M$2452*'Assumptions (Battery)'!$K$2/10^9),0)</f>
        <v>-1.4738206648895398E-4</v>
      </c>
      <c r="W2519" s="105" t="e">
        <f>IF($M$2452&gt;0,PPMT('Assumptions (Battery)'!$V$7,Model!AG$1,'Assumptions (Battery)'!$V$10,'Assumptions (Battery)'!$V$5*Model!$M$2452*'Assumptions (Battery)'!$K$2/10^9),0)</f>
        <v>#NUM!</v>
      </c>
      <c r="X2519" s="105" t="e">
        <f>IF($M$2452&gt;0,PPMT('Assumptions (Battery)'!$V$7,Model!AH$1,'Assumptions (Battery)'!$V$10,'Assumptions (Battery)'!$V$5*Model!$M$2452*'Assumptions (Battery)'!$K$2/10^9),0)</f>
        <v>#NUM!</v>
      </c>
      <c r="Y2519" s="105" t="e">
        <f>IF($M$2452&gt;0,PPMT('Assumptions (Battery)'!$V$7,Model!AI$1,'Assumptions (Battery)'!$V$10,'Assumptions (Battery)'!$V$5*Model!$M$2452*'Assumptions (Battery)'!$K$2/10^9),0)</f>
        <v>#NUM!</v>
      </c>
      <c r="Z2519" s="105" t="e">
        <f>IF($M$2452&gt;0,PPMT('Assumptions (Battery)'!$V$7,Model!AJ$1,'Assumptions (Battery)'!$V$10,'Assumptions (Battery)'!$V$5*Model!$M$2452*'Assumptions (Battery)'!$K$2/10^9),0)</f>
        <v>#NUM!</v>
      </c>
      <c r="AA2519" s="105" t="e">
        <f>IF($M$2452&gt;0,PPMT('Assumptions (Battery)'!$V$7,Model!AK$1,'Assumptions (Battery)'!$V$10,'Assumptions (Battery)'!$V$5*Model!$M$2452*'Assumptions (Battery)'!$K$2/10^9),0)</f>
        <v>#NUM!</v>
      </c>
      <c r="AB2519" s="105"/>
      <c r="AC2519" s="105"/>
      <c r="AD2519" s="105"/>
      <c r="AE2519" s="105"/>
      <c r="AF2519" s="105"/>
      <c r="AG2519" s="105"/>
      <c r="AH2519" s="105"/>
      <c r="AI2519" s="105"/>
      <c r="AJ2519" s="105"/>
      <c r="AK2519" s="105"/>
    </row>
    <row r="2520" spans="1:46" ht="15.75" hidden="1" customHeight="1" outlineLevel="1">
      <c r="A2520" s="454"/>
      <c r="B2520" s="99"/>
      <c r="C2520" s="105"/>
      <c r="D2520" s="105"/>
      <c r="E2520" s="105"/>
      <c r="F2520" s="105"/>
      <c r="G2520" s="105"/>
      <c r="H2520" s="105"/>
      <c r="I2520" s="105"/>
      <c r="J2520" s="105"/>
      <c r="K2520" s="105"/>
      <c r="L2520" s="105"/>
      <c r="M2520" s="105"/>
      <c r="N2520" s="91">
        <f>IF($N$2452&gt;0,PPMT('Assumptions (Battery)'!$V$7,Model!W$1,'Assumptions (Battery)'!$V$10,'Assumptions (Battery)'!$V$5*Model!$N$2452*'Assumptions (Battery)'!$L$2/10^9),0)</f>
        <v>-6.1665870473706131E-4</v>
      </c>
      <c r="O2520" s="91">
        <f>IF($N$2452&gt;0,PPMT('Assumptions (Battery)'!$V$7,Model!X$1,'Assumptions (Battery)'!$V$10,'Assumptions (Battery)'!$V$5*Model!$N$2452*'Assumptions (Battery)'!$L$2/10^9),0)</f>
        <v>-6.6599140111602635E-4</v>
      </c>
      <c r="P2520" s="91">
        <f>IF($N$2452&gt;0,PPMT('Assumptions (Battery)'!$V$7,Model!Y$1,'Assumptions (Battery)'!$V$10,'Assumptions (Battery)'!$V$5*Model!$N$2452*'Assumptions (Battery)'!$L$2/10^9),0)</f>
        <v>-7.1927071320530833E-4</v>
      </c>
      <c r="Q2520" s="91">
        <f>IF($N$2452&gt;0,PPMT('Assumptions (Battery)'!$V$7,Model!Z$1,'Assumptions (Battery)'!$V$10,'Assumptions (Battery)'!$V$5*Model!$N$2452*'Assumptions (Battery)'!$L$2/10^9),0)</f>
        <v>-7.7681237026173305E-4</v>
      </c>
      <c r="R2520" s="91">
        <f>IF($N$2452&gt;0,PPMT('Assumptions (Battery)'!$V$7,Model!AA$1,'Assumptions (Battery)'!$V$10,'Assumptions (Battery)'!$V$5*Model!$N$2452*'Assumptions (Battery)'!$L$2/10^9),0)</f>
        <v>-8.3895735988267182E-4</v>
      </c>
      <c r="S2520" s="91">
        <f>IF($N$2452&gt;0,PPMT('Assumptions (Battery)'!$V$7,Model!AB$1,'Assumptions (Battery)'!$V$10,'Assumptions (Battery)'!$V$5*Model!$N$2452*'Assumptions (Battery)'!$L$2/10^9),0)</f>
        <v>-9.0607394867328541E-4</v>
      </c>
      <c r="T2520" s="91">
        <f>IF($N$2452&gt;0,PPMT('Assumptions (Battery)'!$V$7,Model!AC$1,'Assumptions (Battery)'!$V$10,'Assumptions (Battery)'!$V$5*Model!$N$2452*'Assumptions (Battery)'!$L$2/10^9),0)</f>
        <v>-9.7855986456714806E-4</v>
      </c>
      <c r="U2520" s="91">
        <f>IF($N$2452&gt;0,PPMT('Assumptions (Battery)'!$V$7,Model!AD$1,'Assumptions (Battery)'!$V$10,'Assumptions (Battery)'!$V$5*Model!$N$2452*'Assumptions (Battery)'!$L$2/10^9),0)</f>
        <v>-1.0568446537325201E-3</v>
      </c>
      <c r="V2520" s="91">
        <f>IF($N$2452&gt;0,PPMT('Assumptions (Battery)'!$V$7,Model!AE$1,'Assumptions (Battery)'!$V$10,'Assumptions (Battery)'!$V$5*Model!$N$2452*'Assumptions (Battery)'!$L$2/10^9),0)</f>
        <v>-1.1413922260311215E-3</v>
      </c>
      <c r="W2520" s="91">
        <f>IF($N$2452&gt;0,PPMT('Assumptions (Battery)'!$V$7,Model!AF$1,'Assumptions (Battery)'!$V$10,'Assumptions (Battery)'!$V$5*Model!$N$2452*'Assumptions (Battery)'!$L$2/10^9),0)</f>
        <v>-1.2327036041136113E-3</v>
      </c>
      <c r="X2520" s="91" t="e">
        <f>IF($N$2452&gt;0,PPMT('Assumptions (Battery)'!$V$7,Model!AG$1,'Assumptions (Battery)'!$V$10,'Assumptions (Battery)'!$V$5*Model!$N$2452*'Assumptions (Battery)'!$L$2/10^9),0)</f>
        <v>#NUM!</v>
      </c>
      <c r="Y2520" s="91" t="e">
        <f>IF($N$2452&gt;0,PPMT('Assumptions (Battery)'!$V$7,Model!AH$1,'Assumptions (Battery)'!$V$10,'Assumptions (Battery)'!$V$5*Model!$N$2452*'Assumptions (Battery)'!$L$2/10^9),0)</f>
        <v>#NUM!</v>
      </c>
      <c r="Z2520" s="91" t="e">
        <f>IF($N$2452&gt;0,PPMT('Assumptions (Battery)'!$V$7,Model!AI$1,'Assumptions (Battery)'!$V$10,'Assumptions (Battery)'!$V$5*Model!$N$2452*'Assumptions (Battery)'!$L$2/10^9),0)</f>
        <v>#NUM!</v>
      </c>
      <c r="AA2520" s="91" t="e">
        <f>IF($N$2452&gt;0,PPMT('Assumptions (Battery)'!$V$7,Model!AJ$1,'Assumptions (Battery)'!$V$10,'Assumptions (Battery)'!$V$5*Model!$N$2452*'Assumptions (Battery)'!$L$2/10^9),0)</f>
        <v>#NUM!</v>
      </c>
      <c r="AB2520" s="91" t="e">
        <f>IF($N$2452&gt;0,PPMT('Assumptions (Battery)'!$V$7,Model!AK$1,'Assumptions (Battery)'!$V$10,'Assumptions (Battery)'!$V$5*Model!$N$2452*'Assumptions (Battery)'!$L$2/10^9),0)</f>
        <v>#NUM!</v>
      </c>
      <c r="AC2520" s="91"/>
      <c r="AD2520" s="91"/>
      <c r="AE2520" s="91"/>
      <c r="AF2520" s="91"/>
      <c r="AG2520" s="91"/>
      <c r="AH2520" s="91"/>
      <c r="AI2520" s="91"/>
      <c r="AJ2520" s="91"/>
      <c r="AK2520" s="91"/>
      <c r="AL2520" s="91"/>
    </row>
    <row r="2521" spans="1:46" ht="15.75" hidden="1" customHeight="1" outlineLevel="1">
      <c r="A2521" s="454"/>
      <c r="B2521" s="99"/>
      <c r="C2521" s="105"/>
      <c r="D2521" s="105"/>
      <c r="E2521" s="105"/>
      <c r="F2521" s="105"/>
      <c r="G2521" s="105"/>
      <c r="H2521" s="105"/>
      <c r="I2521" s="105"/>
      <c r="J2521" s="105"/>
      <c r="K2521" s="105"/>
      <c r="L2521" s="105"/>
      <c r="M2521" s="105"/>
      <c r="N2521" s="105"/>
      <c r="O2521" s="105">
        <f>IF($O$2452&gt;0,PPMT('Assumptions (Battery)'!$V$7,Model!W$1,'Assumptions (Battery)'!$V$10,'Assumptions (Battery)'!$V$5*Model!$O$2452*'Assumptions (Battery)'!$M$2/10^9),0)</f>
        <v>-8.2075769554881557E-4</v>
      </c>
      <c r="P2521" s="105">
        <f>IF($O$2452&gt;0,PPMT('Assumptions (Battery)'!$V$7,Model!X$1,'Assumptions (Battery)'!$V$10,'Assumptions (Battery)'!$V$5*Model!$O$2452*'Assumptions (Battery)'!$M$2/10^9),0)</f>
        <v>-8.8641831119272083E-4</v>
      </c>
      <c r="Q2521" s="105">
        <f>IF($O$2452&gt;0,PPMT('Assumptions (Battery)'!$V$7,Model!Y$1,'Assumptions (Battery)'!$V$10,'Assumptions (Battery)'!$V$5*Model!$O$2452*'Assumptions (Battery)'!$M$2/10^9),0)</f>
        <v>-9.5733177608813848E-4</v>
      </c>
      <c r="R2521" s="105">
        <f>IF($O$2452&gt;0,PPMT('Assumptions (Battery)'!$V$7,Model!Z$1,'Assumptions (Battery)'!$V$10,'Assumptions (Battery)'!$V$5*Model!$O$2452*'Assumptions (Battery)'!$M$2/10^9),0)</f>
        <v>-1.0339183181751895E-3</v>
      </c>
      <c r="S2521" s="105">
        <f>IF($O$2452&gt;0,PPMT('Assumptions (Battery)'!$V$7,Model!AA$1,'Assumptions (Battery)'!$V$10,'Assumptions (Battery)'!$V$5*Model!$O$2452*'Assumptions (Battery)'!$M$2/10^9),0)</f>
        <v>-1.1166317836292048E-3</v>
      </c>
      <c r="T2521" s="105">
        <f>IF($O$2452&gt;0,PPMT('Assumptions (Battery)'!$V$7,Model!AB$1,'Assumptions (Battery)'!$V$10,'Assumptions (Battery)'!$V$5*Model!$O$2452*'Assumptions (Battery)'!$M$2/10^9),0)</f>
        <v>-1.2059623263195409E-3</v>
      </c>
      <c r="U2521" s="105">
        <f>IF($O$2452&gt;0,PPMT('Assumptions (Battery)'!$V$7,Model!AC$1,'Assumptions (Battery)'!$V$10,'Assumptions (Battery)'!$V$5*Model!$O$2452*'Assumptions (Battery)'!$M$2/10^9),0)</f>
        <v>-1.3024393124251043E-3</v>
      </c>
      <c r="V2521" s="105">
        <f>IF($O$2452&gt;0,PPMT('Assumptions (Battery)'!$V$7,Model!AD$1,'Assumptions (Battery)'!$V$10,'Assumptions (Battery)'!$V$5*Model!$O$2452*'Assumptions (Battery)'!$M$2/10^9),0)</f>
        <v>-1.4066344574191129E-3</v>
      </c>
      <c r="W2521" s="105">
        <f>IF($O$2452&gt;0,PPMT('Assumptions (Battery)'!$V$7,Model!AE$1,'Assumptions (Battery)'!$V$10,'Assumptions (Battery)'!$V$5*Model!$O$2452*'Assumptions (Battery)'!$M$2/10^9),0)</f>
        <v>-1.5191652140126416E-3</v>
      </c>
      <c r="X2521" s="105">
        <f>IF($O$2452&gt;0,PPMT('Assumptions (Battery)'!$V$7,Model!AF$1,'Assumptions (Battery)'!$V$10,'Assumptions (Battery)'!$V$5*Model!$O$2452*'Assumptions (Battery)'!$M$2/10^9),0)</f>
        <v>-1.6406984311336532E-3</v>
      </c>
      <c r="Y2521" s="105" t="e">
        <f>IF($O$2452&gt;0,PPMT('Assumptions (Battery)'!$V$7,Model!AG$1,'Assumptions (Battery)'!$V$10,'Assumptions (Battery)'!$V$5*Model!$O$2452*'Assumptions (Battery)'!$M$2/10^9),0)</f>
        <v>#NUM!</v>
      </c>
      <c r="Z2521" s="105" t="e">
        <f>IF($O$2452&gt;0,PPMT('Assumptions (Battery)'!$V$7,Model!AH$1,'Assumptions (Battery)'!$V$10,'Assumptions (Battery)'!$V$5*Model!$O$2452*'Assumptions (Battery)'!$M$2/10^9),0)</f>
        <v>#NUM!</v>
      </c>
      <c r="AA2521" s="105" t="e">
        <f>IF($O$2452&gt;0,PPMT('Assumptions (Battery)'!$V$7,Model!AI$1,'Assumptions (Battery)'!$V$10,'Assumptions (Battery)'!$V$5*Model!$O$2452*'Assumptions (Battery)'!$M$2/10^9),0)</f>
        <v>#NUM!</v>
      </c>
      <c r="AB2521" s="105" t="e">
        <f>IF($O$2452&gt;0,PPMT('Assumptions (Battery)'!$V$7,Model!AJ$1,'Assumptions (Battery)'!$V$10,'Assumptions (Battery)'!$V$5*Model!$O$2452*'Assumptions (Battery)'!$M$2/10^9),0)</f>
        <v>#NUM!</v>
      </c>
      <c r="AC2521" s="105" t="e">
        <f>IF($O$2452&gt;0,PPMT('Assumptions (Battery)'!$V$7,Model!AK$1,'Assumptions (Battery)'!$V$10,'Assumptions (Battery)'!$V$5*Model!$O$2452*'Assumptions (Battery)'!$M$2/10^9),0)</f>
        <v>#NUM!</v>
      </c>
      <c r="AD2521" s="105"/>
      <c r="AE2521" s="105"/>
      <c r="AF2521" s="105"/>
      <c r="AG2521" s="105"/>
      <c r="AH2521" s="105"/>
      <c r="AI2521" s="105"/>
      <c r="AJ2521" s="105"/>
      <c r="AK2521" s="105"/>
      <c r="AL2521" s="105"/>
      <c r="AM2521" s="105"/>
    </row>
    <row r="2522" spans="1:46" ht="15.75" hidden="1" customHeight="1" outlineLevel="1">
      <c r="A2522" s="454"/>
      <c r="B2522" s="99"/>
      <c r="C2522" s="105"/>
      <c r="D2522" s="105"/>
      <c r="E2522" s="105"/>
      <c r="F2522" s="105"/>
      <c r="G2522" s="105"/>
      <c r="H2522" s="105"/>
      <c r="I2522" s="105"/>
      <c r="J2522" s="105"/>
      <c r="K2522" s="105"/>
      <c r="L2522" s="105"/>
      <c r="M2522" s="105"/>
      <c r="N2522" s="105"/>
      <c r="O2522" s="105"/>
      <c r="P2522" s="91">
        <f>IF($P$2452&gt;0,PPMT('Assumptions (Battery)'!$V$7,Model!W$1,'Assumptions (Battery)'!$V$10,'Assumptions (Battery)'!$V$5*Model!$P$2452*'Assumptions (Battery)'!$N$2/10^9),0)</f>
        <v>-3.0318175622959752E-4</v>
      </c>
      <c r="Q2522" s="91">
        <f>IF($P$2452&gt;0,PPMT('Assumptions (Battery)'!$V$7,Model!X$1,'Assumptions (Battery)'!$V$10,'Assumptions (Battery)'!$V$5*Model!$P$2452*'Assumptions (Battery)'!$N$2/10^9),0)</f>
        <v>-3.274362967279654E-4</v>
      </c>
      <c r="R2522" s="91">
        <f>IF($P$2452&gt;0,PPMT('Assumptions (Battery)'!$V$7,Model!Y$1,'Assumptions (Battery)'!$V$10,'Assumptions (Battery)'!$V$5*Model!$P$2452*'Assumptions (Battery)'!$N$2/10^9),0)</f>
        <v>-3.5363120046620253E-4</v>
      </c>
      <c r="S2522" s="91">
        <f>IF($P$2452&gt;0,PPMT('Assumptions (Battery)'!$V$7,Model!Z$1,'Assumptions (Battery)'!$V$10,'Assumptions (Battery)'!$V$5*Model!$P$2452*'Assumptions (Battery)'!$N$2/10^9),0)</f>
        <v>-3.8192169650349877E-4</v>
      </c>
      <c r="T2522" s="91">
        <f>IF($P$2452&gt;0,PPMT('Assumptions (Battery)'!$V$7,Model!AA$1,'Assumptions (Battery)'!$V$10,'Assumptions (Battery)'!$V$5*Model!$P$2452*'Assumptions (Battery)'!$N$2/10^9),0)</f>
        <v>-4.1247543222377872E-4</v>
      </c>
      <c r="U2522" s="91">
        <f>IF($P$2452&gt;0,PPMT('Assumptions (Battery)'!$V$7,Model!AB$1,'Assumptions (Battery)'!$V$10,'Assumptions (Battery)'!$V$5*Model!$P$2452*'Assumptions (Battery)'!$N$2/10^9),0)</f>
        <v>-4.4547346680168091E-4</v>
      </c>
      <c r="V2522" s="91">
        <f>IF($P$2452&gt;0,PPMT('Assumptions (Battery)'!$V$7,Model!AC$1,'Assumptions (Battery)'!$V$10,'Assumptions (Battery)'!$V$5*Model!$P$2452*'Assumptions (Battery)'!$N$2/10^9),0)</f>
        <v>-4.8111134414581536E-4</v>
      </c>
      <c r="W2522" s="91">
        <f>IF($P$2452&gt;0,PPMT('Assumptions (Battery)'!$V$7,Model!AD$1,'Assumptions (Battery)'!$V$10,'Assumptions (Battery)'!$V$5*Model!$P$2452*'Assumptions (Battery)'!$N$2/10^9),0)</f>
        <v>-5.1960025167748067E-4</v>
      </c>
      <c r="X2522" s="91">
        <f>IF($P$2452&gt;0,PPMT('Assumptions (Battery)'!$V$7,Model!AE$1,'Assumptions (Battery)'!$V$10,'Assumptions (Battery)'!$V$5*Model!$P$2452*'Assumptions (Battery)'!$N$2/10^9),0)</f>
        <v>-5.6116827181167909E-4</v>
      </c>
      <c r="Y2522" s="91">
        <f>IF($P$2452&gt;0,PPMT('Assumptions (Battery)'!$V$7,Model!AF$1,'Assumptions (Battery)'!$V$10,'Assumptions (Battery)'!$V$5*Model!$P$2452*'Assumptions (Battery)'!$N$2/10^9),0)</f>
        <v>-6.0606173355661343E-4</v>
      </c>
      <c r="Z2522" s="91" t="e">
        <f>IF($P$2452&gt;0,PPMT('Assumptions (Battery)'!$V$7,Model!AG$1,'Assumptions (Battery)'!$V$10,'Assumptions (Battery)'!$V$5*Model!$P$2452*'Assumptions (Battery)'!$N$2/10^9),0)</f>
        <v>#NUM!</v>
      </c>
      <c r="AA2522" s="91" t="e">
        <f>IF($P$2452&gt;0,PPMT('Assumptions (Battery)'!$V$7,Model!AH$1,'Assumptions (Battery)'!$V$10,'Assumptions (Battery)'!$V$5*Model!$P$2452*'Assumptions (Battery)'!$N$2/10^9),0)</f>
        <v>#NUM!</v>
      </c>
      <c r="AB2522" s="91" t="e">
        <f>IF($P$2452&gt;0,PPMT('Assumptions (Battery)'!$V$7,Model!AI$1,'Assumptions (Battery)'!$V$10,'Assumptions (Battery)'!$V$5*Model!$P$2452*'Assumptions (Battery)'!$N$2/10^9),0)</f>
        <v>#NUM!</v>
      </c>
      <c r="AC2522" s="91" t="e">
        <f>IF($P$2452&gt;0,PPMT('Assumptions (Battery)'!$V$7,Model!AJ$1,'Assumptions (Battery)'!$V$10,'Assumptions (Battery)'!$V$5*Model!$P$2452*'Assumptions (Battery)'!$N$2/10^9),0)</f>
        <v>#NUM!</v>
      </c>
      <c r="AD2522" s="91" t="e">
        <f>IF($P$2452&gt;0,PPMT('Assumptions (Battery)'!$V$7,Model!AK$1,'Assumptions (Battery)'!$V$10,'Assumptions (Battery)'!$V$5*Model!$P$2452*'Assumptions (Battery)'!$N$2/10^9),0)</f>
        <v>#NUM!</v>
      </c>
      <c r="AE2522" s="91"/>
      <c r="AF2522" s="91"/>
      <c r="AG2522" s="91"/>
      <c r="AH2522" s="91"/>
      <c r="AI2522" s="91"/>
      <c r="AJ2522" s="91"/>
      <c r="AK2522" s="91"/>
      <c r="AL2522" s="91"/>
      <c r="AM2522" s="91"/>
      <c r="AN2522" s="91"/>
    </row>
    <row r="2523" spans="1:46" ht="15.75" hidden="1" customHeight="1" outlineLevel="1">
      <c r="A2523" s="454"/>
      <c r="B2523" s="99"/>
      <c r="C2523" s="105"/>
      <c r="D2523" s="105"/>
      <c r="E2523" s="105"/>
      <c r="F2523" s="105"/>
      <c r="G2523" s="105"/>
      <c r="H2523" s="105"/>
      <c r="I2523" s="105"/>
      <c r="J2523" s="105"/>
      <c r="K2523" s="105"/>
      <c r="L2523" s="105"/>
      <c r="M2523" s="105"/>
      <c r="N2523" s="105"/>
      <c r="O2523" s="105"/>
      <c r="P2523" s="171"/>
      <c r="Q2523" s="105">
        <f>IF($Q$2452&gt;0,PPMT('Assumptions (Battery)'!$V$7,Model!W$1,'Assumptions (Battery)'!$V$10,'Assumptions (Battery)'!$V$5*Model!$Q$2452*'Assumptions (Battery)'!$O$2/10^9),0)</f>
        <v>-5.4267578353767436E-4</v>
      </c>
      <c r="R2523" s="105">
        <f>IF($Q$2452&gt;0,PPMT('Assumptions (Battery)'!$V$7,Model!X$1,'Assumptions (Battery)'!$V$10,'Assumptions (Battery)'!$V$5*Model!$Q$2452*'Assumptions (Battery)'!$O$2/10^9),0)</f>
        <v>-5.8608984622068839E-4</v>
      </c>
      <c r="S2523" s="105">
        <f>IF($Q$2452&gt;0,PPMT('Assumptions (Battery)'!$V$7,Model!Y$1,'Assumptions (Battery)'!$V$10,'Assumptions (Battery)'!$V$5*Model!$Q$2452*'Assumptions (Battery)'!$O$2/10^9),0)</f>
        <v>-6.3297703391834346E-4</v>
      </c>
      <c r="T2523" s="105">
        <f>IF($Q$2452&gt;0,PPMT('Assumptions (Battery)'!$V$7,Model!Z$1,'Assumptions (Battery)'!$V$10,'Assumptions (Battery)'!$V$5*Model!$Q$2452*'Assumptions (Battery)'!$O$2/10^9),0)</f>
        <v>-6.8361519663181092E-4</v>
      </c>
      <c r="U2523" s="105">
        <f>IF($Q$2452&gt;0,PPMT('Assumptions (Battery)'!$V$7,Model!AA$1,'Assumptions (Battery)'!$V$10,'Assumptions (Battery)'!$V$5*Model!$Q$2452*'Assumptions (Battery)'!$O$2/10^9),0)</f>
        <v>-7.3830441236235581E-4</v>
      </c>
      <c r="V2523" s="105">
        <f>IF($Q$2452&gt;0,PPMT('Assumptions (Battery)'!$V$7,Model!AB$1,'Assumptions (Battery)'!$V$10,'Assumptions (Battery)'!$V$5*Model!$Q$2452*'Assumptions (Battery)'!$O$2/10^9),0)</f>
        <v>-7.9736876535134427E-4</v>
      </c>
      <c r="W2523" s="105">
        <f>IF($Q$2452&gt;0,PPMT('Assumptions (Battery)'!$V$7,Model!AC$1,'Assumptions (Battery)'!$V$10,'Assumptions (Battery)'!$V$5*Model!$Q$2452*'Assumptions (Battery)'!$O$2/10^9),0)</f>
        <v>-8.6115826657945176E-4</v>
      </c>
      <c r="X2523" s="105">
        <f>IF($Q$2452&gt;0,PPMT('Assumptions (Battery)'!$V$7,Model!AD$1,'Assumptions (Battery)'!$V$10,'Assumptions (Battery)'!$V$5*Model!$Q$2452*'Assumptions (Battery)'!$O$2/10^9),0)</f>
        <v>-9.3005092790580794E-4</v>
      </c>
      <c r="Y2523" s="105">
        <f>IF($Q$2452&gt;0,PPMT('Assumptions (Battery)'!$V$7,Model!AE$1,'Assumptions (Battery)'!$V$10,'Assumptions (Battery)'!$V$5*Model!$Q$2452*'Assumptions (Battery)'!$O$2/10^9),0)</f>
        <v>-1.0044550021382724E-3</v>
      </c>
      <c r="Z2523" s="105">
        <f>IF($Q$2452&gt;0,PPMT('Assumptions (Battery)'!$V$7,Model!AF$1,'Assumptions (Battery)'!$V$10,'Assumptions (Battery)'!$V$5*Model!$Q$2452*'Assumptions (Battery)'!$O$2/10^9),0)</f>
        <v>-1.0848114023093343E-3</v>
      </c>
      <c r="AA2523" s="105" t="e">
        <f>IF($Q$2452&gt;0,PPMT('Assumptions (Battery)'!$V$7,Model!AG$1,'Assumptions (Battery)'!$V$10,'Assumptions (Battery)'!$V$5*Model!$Q$2452*'Assumptions (Battery)'!$O$2/10^9),0)</f>
        <v>#NUM!</v>
      </c>
      <c r="AB2523" s="105" t="e">
        <f>IF($Q$2452&gt;0,PPMT('Assumptions (Battery)'!$V$7,Model!AH$1,'Assumptions (Battery)'!$V$10,'Assumptions (Battery)'!$V$5*Model!$Q$2452*'Assumptions (Battery)'!$O$2/10^9),0)</f>
        <v>#NUM!</v>
      </c>
      <c r="AC2523" s="105" t="e">
        <f>IF($Q$2452&gt;0,PPMT('Assumptions (Battery)'!$V$7,Model!AI$1,'Assumptions (Battery)'!$V$10,'Assumptions (Battery)'!$V$5*Model!$Q$2452*'Assumptions (Battery)'!$O$2/10^9),0)</f>
        <v>#NUM!</v>
      </c>
      <c r="AD2523" s="105" t="e">
        <f>IF($Q$2452&gt;0,PPMT('Assumptions (Battery)'!$V$7,Model!AJ$1,'Assumptions (Battery)'!$V$10,'Assumptions (Battery)'!$V$5*Model!$Q$2452*'Assumptions (Battery)'!$O$2/10^9),0)</f>
        <v>#NUM!</v>
      </c>
      <c r="AE2523" s="105" t="e">
        <f>IF($Q$2452&gt;0,PPMT('Assumptions (Battery)'!$V$7,Model!AK$1,'Assumptions (Battery)'!$V$10,'Assumptions (Battery)'!$V$5*Model!$Q$2452*'Assumptions (Battery)'!$O$2/10^9),0)</f>
        <v>#NUM!</v>
      </c>
      <c r="AF2523" s="105"/>
      <c r="AG2523" s="105"/>
      <c r="AH2523" s="105"/>
      <c r="AI2523" s="105"/>
      <c r="AJ2523" s="105"/>
      <c r="AK2523" s="105"/>
      <c r="AL2523" s="105"/>
      <c r="AM2523" s="105"/>
      <c r="AN2523" s="105"/>
      <c r="AO2523" s="105"/>
    </row>
    <row r="2524" spans="1:46" ht="15.75" hidden="1" customHeight="1" outlineLevel="1">
      <c r="A2524" s="454"/>
      <c r="B2524" s="99"/>
      <c r="C2524" s="105"/>
      <c r="D2524" s="105"/>
      <c r="E2524" s="105"/>
      <c r="F2524" s="105"/>
      <c r="G2524" s="105"/>
      <c r="H2524" s="105"/>
      <c r="I2524" s="105"/>
      <c r="J2524" s="105"/>
      <c r="K2524" s="105"/>
      <c r="L2524" s="105"/>
      <c r="M2524" s="105"/>
      <c r="N2524" s="105"/>
      <c r="O2524" s="105"/>
      <c r="P2524" s="171"/>
      <c r="Q2524" s="105"/>
      <c r="R2524" s="91">
        <f>IF($R$2452&gt;0,PPMT('Assumptions (Battery)'!$V$7,Model!W$1,'Assumptions (Battery)'!$V$10,'Assumptions (Battery)'!$V$5*Model!$R$2452*'Assumptions (Battery)'!$P$2/10^9),0)</f>
        <v>-2.9731849490570333E-3</v>
      </c>
      <c r="S2524" s="91">
        <f>IF($R$2452&gt;0,PPMT('Assumptions (Battery)'!$V$7,Model!X$1,'Assumptions (Battery)'!$V$10,'Assumptions (Battery)'!$V$5*Model!$R$2452*'Assumptions (Battery)'!$P$2/10^9),0)</f>
        <v>-3.2110397449815965E-3</v>
      </c>
      <c r="T2524" s="91">
        <f>IF($R$2452&gt;0,PPMT('Assumptions (Battery)'!$V$7,Model!Y$1,'Assumptions (Battery)'!$V$10,'Assumptions (Battery)'!$V$5*Model!$R$2452*'Assumptions (Battery)'!$P$2/10^9),0)</f>
        <v>-3.4679229245801234E-3</v>
      </c>
      <c r="U2524" s="91">
        <f>IF($R$2452&gt;0,PPMT('Assumptions (Battery)'!$V$7,Model!Z$1,'Assumptions (Battery)'!$V$10,'Assumptions (Battery)'!$V$5*Model!$R$2452*'Assumptions (Battery)'!$P$2/10^9),0)</f>
        <v>-3.7453567585465342E-3</v>
      </c>
      <c r="V2524" s="91">
        <f>IF($R$2452&gt;0,PPMT('Assumptions (Battery)'!$V$7,Model!AA$1,'Assumptions (Battery)'!$V$10,'Assumptions (Battery)'!$V$5*Model!$R$2452*'Assumptions (Battery)'!$P$2/10^9),0)</f>
        <v>-4.044985299230257E-3</v>
      </c>
      <c r="W2524" s="91">
        <f>IF($R$2452&gt;0,PPMT('Assumptions (Battery)'!$V$7,Model!AB$1,'Assumptions (Battery)'!$V$10,'Assumptions (Battery)'!$V$5*Model!$R$2452*'Assumptions (Battery)'!$P$2/10^9),0)</f>
        <v>-4.3685841231686767E-3</v>
      </c>
      <c r="X2524" s="91">
        <f>IF($R$2452&gt;0,PPMT('Assumptions (Battery)'!$V$7,Model!AC$1,'Assumptions (Battery)'!$V$10,'Assumptions (Battery)'!$V$5*Model!$R$2452*'Assumptions (Battery)'!$P$2/10^9),0)</f>
        <v>-4.7180708530221707E-3</v>
      </c>
      <c r="Y2524" s="91">
        <f>IF($R$2452&gt;0,PPMT('Assumptions (Battery)'!$V$7,Model!AD$1,'Assumptions (Battery)'!$V$10,'Assumptions (Battery)'!$V$5*Model!$R$2452*'Assumptions (Battery)'!$P$2/10^9),0)</f>
        <v>-5.0955165212639457E-3</v>
      </c>
      <c r="Z2524" s="91">
        <f>IF($R$2452&gt;0,PPMT('Assumptions (Battery)'!$V$7,Model!AE$1,'Assumptions (Battery)'!$V$10,'Assumptions (Battery)'!$V$5*Model!$R$2452*'Assumptions (Battery)'!$P$2/10^9),0)</f>
        <v>-5.5031578429650596E-3</v>
      </c>
      <c r="AA2524" s="91">
        <f>IF($R$2452&gt;0,PPMT('Assumptions (Battery)'!$V$7,Model!AF$1,'Assumptions (Battery)'!$V$10,'Assumptions (Battery)'!$V$5*Model!$R$2452*'Assumptions (Battery)'!$P$2/10^9),0)</f>
        <v>-5.9434104704022654E-3</v>
      </c>
      <c r="AB2524" s="91" t="e">
        <f>IF($R$2452&gt;0,PPMT('Assumptions (Battery)'!$V$7,Model!AG$1,'Assumptions (Battery)'!$V$10,'Assumptions (Battery)'!$V$5*Model!$R$2452*'Assumptions (Battery)'!$P$2/10^9),0)</f>
        <v>#NUM!</v>
      </c>
      <c r="AC2524" s="91" t="e">
        <f>IF($R$2452&gt;0,PPMT('Assumptions (Battery)'!$V$7,Model!AH$1,'Assumptions (Battery)'!$V$10,'Assumptions (Battery)'!$V$5*Model!$R$2452*'Assumptions (Battery)'!$P$2/10^9),0)</f>
        <v>#NUM!</v>
      </c>
      <c r="AD2524" s="91" t="e">
        <f>IF($R$2452&gt;0,PPMT('Assumptions (Battery)'!$V$7,Model!AI$1,'Assumptions (Battery)'!$V$10,'Assumptions (Battery)'!$V$5*Model!$R$2452*'Assumptions (Battery)'!$P$2/10^9),0)</f>
        <v>#NUM!</v>
      </c>
      <c r="AE2524" s="91" t="e">
        <f>IF($R$2452&gt;0,PPMT('Assumptions (Battery)'!$V$7,Model!AJ$1,'Assumptions (Battery)'!$V$10,'Assumptions (Battery)'!$V$5*Model!$R$2452*'Assumptions (Battery)'!$P$2/10^9),0)</f>
        <v>#NUM!</v>
      </c>
      <c r="AF2524" s="91" t="e">
        <f>IF($R$2452&gt;0,PPMT('Assumptions (Battery)'!$V$7,Model!AK$1,'Assumptions (Battery)'!$V$10,'Assumptions (Battery)'!$V$5*Model!$R$2452*'Assumptions (Battery)'!$P$2/10^9),0)</f>
        <v>#NUM!</v>
      </c>
      <c r="AG2524" s="91"/>
      <c r="AH2524" s="91"/>
      <c r="AI2524" s="91"/>
      <c r="AJ2524" s="91"/>
      <c r="AK2524" s="91"/>
      <c r="AL2524" s="91"/>
      <c r="AM2524" s="91"/>
      <c r="AN2524" s="91"/>
      <c r="AO2524" s="91"/>
      <c r="AP2524" s="91"/>
    </row>
    <row r="2525" spans="1:46" ht="15.75" hidden="1" customHeight="1" outlineLevel="1">
      <c r="A2525" s="454"/>
      <c r="B2525" s="99"/>
      <c r="C2525" s="105"/>
      <c r="D2525" s="105"/>
      <c r="E2525" s="105"/>
      <c r="F2525" s="105"/>
      <c r="G2525" s="105"/>
      <c r="H2525" s="105"/>
      <c r="I2525" s="105"/>
      <c r="J2525" s="105"/>
      <c r="K2525" s="105"/>
      <c r="L2525" s="105"/>
      <c r="M2525" s="105"/>
      <c r="N2525" s="105"/>
      <c r="O2525" s="105"/>
      <c r="P2525" s="171"/>
      <c r="Q2525" s="105"/>
      <c r="R2525" s="91"/>
      <c r="S2525" s="105">
        <f>IF($S$2452&gt;0,PPMT('Assumptions (Battery)'!$V$7,Model!W$1,'Assumptions (Battery)'!$V$10,'Assumptions (Battery)'!$V$5*Model!$S$2452*'Assumptions (Battery)'!$Q$2/10^9),0)</f>
        <v>-4.0518344702056919E-3</v>
      </c>
      <c r="T2525" s="105">
        <f>IF($S$2452&gt;0,PPMT('Assumptions (Battery)'!$V$7,Model!X$1,'Assumptions (Battery)'!$V$10,'Assumptions (Battery)'!$V$5*Model!$S$2452*'Assumptions (Battery)'!$Q$2/10^9),0)</f>
        <v>-4.3759812278221476E-3</v>
      </c>
      <c r="U2525" s="105">
        <f>IF($S$2452&gt;0,PPMT('Assumptions (Battery)'!$V$7,Model!Y$1,'Assumptions (Battery)'!$V$10,'Assumptions (Battery)'!$V$5*Model!$S$2452*'Assumptions (Battery)'!$Q$2/10^9),0)</f>
        <v>-4.7260597260479192E-3</v>
      </c>
      <c r="V2525" s="105">
        <f>IF($S$2452&gt;0,PPMT('Assumptions (Battery)'!$V$7,Model!Z$1,'Assumptions (Battery)'!$V$10,'Assumptions (Battery)'!$V$5*Model!$S$2452*'Assumptions (Battery)'!$Q$2/10^9),0)</f>
        <v>-5.1041445041317534E-3</v>
      </c>
      <c r="W2525" s="105">
        <f>IF($S$2452&gt;0,PPMT('Assumptions (Battery)'!$V$7,Model!AA$1,'Assumptions (Battery)'!$V$10,'Assumptions (Battery)'!$V$5*Model!$S$2452*'Assumptions (Battery)'!$Q$2/10^9),0)</f>
        <v>-5.5124760644622937E-3</v>
      </c>
      <c r="X2525" s="105">
        <f>IF($S$2452&gt;0,PPMT('Assumptions (Battery)'!$V$7,Model!AB$1,'Assumptions (Battery)'!$V$10,'Assumptions (Battery)'!$V$5*Model!$S$2452*'Assumptions (Battery)'!$Q$2/10^9),0)</f>
        <v>-5.9534741496192756E-3</v>
      </c>
      <c r="Y2525" s="105">
        <f>IF($S$2452&gt;0,PPMT('Assumptions (Battery)'!$V$7,Model!AC$1,'Assumptions (Battery)'!$V$10,'Assumptions (Battery)'!$V$5*Model!$S$2452*'Assumptions (Battery)'!$Q$2/10^9),0)</f>
        <v>-6.4297520815888177E-3</v>
      </c>
      <c r="Z2525" s="105">
        <f>IF($S$2452&gt;0,PPMT('Assumptions (Battery)'!$V$7,Model!AD$1,'Assumptions (Battery)'!$V$10,'Assumptions (Battery)'!$V$5*Model!$S$2452*'Assumptions (Battery)'!$Q$2/10^9),0)</f>
        <v>-6.9441322481159241E-3</v>
      </c>
      <c r="AA2525" s="105">
        <f>IF($S$2452&gt;0,PPMT('Assumptions (Battery)'!$V$7,Model!AE$1,'Assumptions (Battery)'!$V$10,'Assumptions (Battery)'!$V$5*Model!$S$2452*'Assumptions (Battery)'!$Q$2/10^9),0)</f>
        <v>-7.499662827965198E-3</v>
      </c>
      <c r="AB2525" s="105">
        <f>IF($S$2452&gt;0,PPMT('Assumptions (Battery)'!$V$7,Model!AF$1,'Assumptions (Battery)'!$V$10,'Assumptions (Battery)'!$V$5*Model!$S$2452*'Assumptions (Battery)'!$Q$2/10^9),0)</f>
        <v>-8.0996358542024145E-3</v>
      </c>
      <c r="AC2525" s="105" t="e">
        <f>IF($S$2452&gt;0,PPMT('Assumptions (Battery)'!$V$7,Model!AG$1,'Assumptions (Battery)'!$V$10,'Assumptions (Battery)'!$V$5*Model!$S$2452*'Assumptions (Battery)'!$Q$2/10^9),0)</f>
        <v>#NUM!</v>
      </c>
      <c r="AD2525" s="105" t="e">
        <f>IF($S$2452&gt;0,PPMT('Assumptions (Battery)'!$V$7,Model!AH$1,'Assumptions (Battery)'!$V$10,'Assumptions (Battery)'!$V$5*Model!$S$2452*'Assumptions (Battery)'!$Q$2/10^9),0)</f>
        <v>#NUM!</v>
      </c>
      <c r="AE2525" s="105" t="e">
        <f>IF($S$2452&gt;0,PPMT('Assumptions (Battery)'!$V$7,Model!AI$1,'Assumptions (Battery)'!$V$10,'Assumptions (Battery)'!$V$5*Model!$S$2452*'Assumptions (Battery)'!$Q$2/10^9),0)</f>
        <v>#NUM!</v>
      </c>
      <c r="AF2525" s="105" t="e">
        <f>IF($S$2452&gt;0,PPMT('Assumptions (Battery)'!$V$7,Model!AJ$1,'Assumptions (Battery)'!$V$10,'Assumptions (Battery)'!$V$5*Model!$S$2452*'Assumptions (Battery)'!$Q$2/10^9),0)</f>
        <v>#NUM!</v>
      </c>
      <c r="AG2525" s="105" t="e">
        <f>IF($S$2452&gt;0,PPMT('Assumptions (Battery)'!$V$7,Model!AK$1,'Assumptions (Battery)'!$V$10,'Assumptions (Battery)'!$V$5*Model!$S$2452*'Assumptions (Battery)'!$Q$2/10^9),0)</f>
        <v>#NUM!</v>
      </c>
      <c r="AH2525" s="105"/>
      <c r="AI2525" s="105"/>
      <c r="AJ2525" s="105"/>
      <c r="AK2525" s="105"/>
      <c r="AL2525" s="105"/>
      <c r="AM2525" s="105"/>
      <c r="AN2525" s="105"/>
      <c r="AO2525" s="105"/>
      <c r="AP2525" s="105"/>
      <c r="AQ2525" s="105"/>
    </row>
    <row r="2526" spans="1:46" ht="15.75" hidden="1" customHeight="1" outlineLevel="1">
      <c r="A2526" s="454"/>
      <c r="B2526" s="99"/>
      <c r="C2526" s="105"/>
      <c r="D2526" s="105"/>
      <c r="E2526" s="105"/>
      <c r="F2526" s="105"/>
      <c r="G2526" s="105"/>
      <c r="H2526" s="105"/>
      <c r="I2526" s="105"/>
      <c r="J2526" s="105"/>
      <c r="K2526" s="105"/>
      <c r="L2526" s="105"/>
      <c r="M2526" s="105"/>
      <c r="N2526" s="105"/>
      <c r="O2526" s="105"/>
      <c r="P2526" s="171"/>
      <c r="Q2526" s="105"/>
      <c r="R2526" s="91"/>
      <c r="S2526" s="91"/>
      <c r="T2526" s="105">
        <f>IF($T$2452&gt;0,PPMT('Assumptions (Battery)'!$V$7,Model!W$1,'Assumptions (Battery)'!$V$10,'Assumptions (Battery)'!$V$5*Model!$T$2452*'Assumptions (Battery)'!$R$2/10^9),0)</f>
        <v>-2.3162710290026279E-3</v>
      </c>
      <c r="U2526" s="105">
        <f>IF($T$2452&gt;0,PPMT('Assumptions (Battery)'!$V$7,Model!X$1,'Assumptions (Battery)'!$V$10,'Assumptions (Battery)'!$V$5*Model!$T$2452*'Assumptions (Battery)'!$R$2/10^9),0)</f>
        <v>-2.501572711322838E-3</v>
      </c>
      <c r="V2526" s="105">
        <f>IF($T$2452&gt;0,PPMT('Assumptions (Battery)'!$V$7,Model!Y$1,'Assumptions (Battery)'!$V$10,'Assumptions (Battery)'!$V$5*Model!$T$2452*'Assumptions (Battery)'!$R$2/10^9),0)</f>
        <v>-2.701698528228665E-3</v>
      </c>
      <c r="W2526" s="105">
        <f>IF($T$2452&gt;0,PPMT('Assumptions (Battery)'!$V$7,Model!Z$1,'Assumptions (Battery)'!$V$10,'Assumptions (Battery)'!$V$5*Model!$T$2452*'Assumptions (Battery)'!$R$2/10^9),0)</f>
        <v>-2.9178344104869585E-3</v>
      </c>
      <c r="X2526" s="105">
        <f>IF($T$2452&gt;0,PPMT('Assumptions (Battery)'!$V$7,Model!AA$1,'Assumptions (Battery)'!$V$10,'Assumptions (Battery)'!$V$5*Model!$T$2452*'Assumptions (Battery)'!$R$2/10^9),0)</f>
        <v>-3.1512611633259151E-3</v>
      </c>
      <c r="Y2526" s="105">
        <f>IF($T$2452&gt;0,PPMT('Assumptions (Battery)'!$V$7,Model!AB$1,'Assumptions (Battery)'!$V$10,'Assumptions (Battery)'!$V$5*Model!$T$2452*'Assumptions (Battery)'!$R$2/10^9),0)</f>
        <v>-3.4033620563919884E-3</v>
      </c>
      <c r="Z2526" s="105">
        <f>IF($T$2452&gt;0,PPMT('Assumptions (Battery)'!$V$7,Model!AC$1,'Assumptions (Battery)'!$V$10,'Assumptions (Battery)'!$V$5*Model!$T$2452*'Assumptions (Battery)'!$R$2/10^9),0)</f>
        <v>-3.6756310209033471E-3</v>
      </c>
      <c r="AA2526" s="105">
        <f>IF($T$2452&gt;0,PPMT('Assumptions (Battery)'!$V$7,Model!AD$1,'Assumptions (Battery)'!$V$10,'Assumptions (Battery)'!$V$5*Model!$T$2452*'Assumptions (Battery)'!$R$2/10^9),0)</f>
        <v>-3.9696815025756149E-3</v>
      </c>
      <c r="AB2526" s="105">
        <f>IF($T$2452&gt;0,PPMT('Assumptions (Battery)'!$V$7,Model!AE$1,'Assumptions (Battery)'!$V$10,'Assumptions (Battery)'!$V$5*Model!$T$2452*'Assumptions (Battery)'!$R$2/10^9),0)</f>
        <v>-4.2872560227816643E-3</v>
      </c>
      <c r="AC2526" s="105">
        <f>IF($T$2452&gt;0,PPMT('Assumptions (Battery)'!$V$7,Model!AF$1,'Assumptions (Battery)'!$V$10,'Assumptions (Battery)'!$V$5*Model!$T$2452*'Assumptions (Battery)'!$R$2/10^9),0)</f>
        <v>-4.6302365046041981E-3</v>
      </c>
      <c r="AD2526" s="105" t="e">
        <f>IF($T$2452&gt;0,PPMT('Assumptions (Battery)'!$V$7,Model!AG$1,'Assumptions (Battery)'!$V$10,'Assumptions (Battery)'!$V$5*Model!$T$2452*'Assumptions (Battery)'!$R$2/10^9),0)</f>
        <v>#NUM!</v>
      </c>
      <c r="AE2526" s="105" t="e">
        <f>IF($T$2452&gt;0,PPMT('Assumptions (Battery)'!$V$7,Model!AH$1,'Assumptions (Battery)'!$V$10,'Assumptions (Battery)'!$V$5*Model!$T$2452*'Assumptions (Battery)'!$R$2/10^9),0)</f>
        <v>#NUM!</v>
      </c>
      <c r="AF2526" s="105" t="e">
        <f>IF($T$2452&gt;0,PPMT('Assumptions (Battery)'!$V$7,Model!AI$1,'Assumptions (Battery)'!$V$10,'Assumptions (Battery)'!$V$5*Model!$T$2452*'Assumptions (Battery)'!$R$2/10^9),0)</f>
        <v>#NUM!</v>
      </c>
      <c r="AG2526" s="105" t="e">
        <f>IF($T$2452&gt;0,PPMT('Assumptions (Battery)'!$V$7,Model!AJ$1,'Assumptions (Battery)'!$V$10,'Assumptions (Battery)'!$V$5*Model!$T$2452*'Assumptions (Battery)'!$R$2/10^9),0)</f>
        <v>#NUM!</v>
      </c>
      <c r="AH2526" s="105" t="e">
        <f>IF($T$2452&gt;0,PPMT('Assumptions (Battery)'!$V$7,Model!AK$1,'Assumptions (Battery)'!$V$10,'Assumptions (Battery)'!$V$5*Model!$T$2452*'Assumptions (Battery)'!$R$2/10^9),0)</f>
        <v>#NUM!</v>
      </c>
      <c r="AI2526" s="105"/>
      <c r="AJ2526" s="105"/>
      <c r="AK2526" s="105"/>
      <c r="AL2526" s="105"/>
      <c r="AM2526" s="105"/>
      <c r="AN2526" s="105"/>
      <c r="AO2526" s="105"/>
      <c r="AP2526" s="105"/>
      <c r="AQ2526" s="105"/>
      <c r="AR2526" s="105"/>
    </row>
    <row r="2527" spans="1:46" ht="15.75" hidden="1" customHeight="1" outlineLevel="1">
      <c r="A2527" s="454"/>
      <c r="B2527" s="99"/>
      <c r="C2527" s="105"/>
      <c r="D2527" s="105"/>
      <c r="E2527" s="105"/>
      <c r="F2527" s="105"/>
      <c r="G2527" s="105"/>
      <c r="H2527" s="105"/>
      <c r="I2527" s="105"/>
      <c r="J2527" s="105"/>
      <c r="K2527" s="105"/>
      <c r="L2527" s="105"/>
      <c r="M2527" s="105"/>
      <c r="N2527" s="105"/>
      <c r="O2527" s="105"/>
      <c r="P2527" s="171"/>
      <c r="Q2527" s="105"/>
      <c r="R2527" s="91"/>
      <c r="S2527" s="91"/>
      <c r="T2527" s="91"/>
      <c r="U2527" s="105">
        <f>IF($U$2452&gt;0,PPMT('Assumptions (Battery)'!$V$7,Model!W$1,'Assumptions (Battery)'!$V$10,'Assumptions (Battery)'!$V$5*Model!$U$2452*'Assumptions (Battery)'!$S$2/10^9),0)</f>
        <v>-2.7750790107072616E-3</v>
      </c>
      <c r="V2527" s="105">
        <f>IF($U$2452&gt;0,PPMT('Assumptions (Battery)'!$V$7,Model!X$1,'Assumptions (Battery)'!$V$10,'Assumptions (Battery)'!$V$5*Model!$U$2452*'Assumptions (Battery)'!$S$2/10^9),0)</f>
        <v>-2.9970853315638424E-3</v>
      </c>
      <c r="W2527" s="105">
        <f>IF($U$2452&gt;0,PPMT('Assumptions (Battery)'!$V$7,Model!Y$1,'Assumptions (Battery)'!$V$10,'Assumptions (Battery)'!$V$5*Model!$U$2452*'Assumptions (Battery)'!$S$2/10^9),0)</f>
        <v>-3.23685215808895E-3</v>
      </c>
      <c r="X2527" s="105">
        <f>IF($U$2452&gt;0,PPMT('Assumptions (Battery)'!$V$7,Model!Z$1,'Assumptions (Battery)'!$V$10,'Assumptions (Battery)'!$V$5*Model!$U$2452*'Assumptions (Battery)'!$S$2/10^9),0)</f>
        <v>-3.495800330736066E-3</v>
      </c>
      <c r="Y2527" s="105">
        <f>IF($U$2452&gt;0,PPMT('Assumptions (Battery)'!$V$7,Model!AA$1,'Assumptions (Battery)'!$V$10,'Assumptions (Battery)'!$V$5*Model!$U$2452*'Assumptions (Battery)'!$S$2/10^9),0)</f>
        <v>-3.7754643571949516E-3</v>
      </c>
      <c r="Z2527" s="105">
        <f>IF($U$2452&gt;0,PPMT('Assumptions (Battery)'!$V$7,Model!AB$1,'Assumptions (Battery)'!$V$10,'Assumptions (Battery)'!$V$5*Model!$U$2452*'Assumptions (Battery)'!$S$2/10^9),0)</f>
        <v>-4.0775015057705468E-3</v>
      </c>
      <c r="AA2527" s="105">
        <f>IF($U$2452&gt;0,PPMT('Assumptions (Battery)'!$V$7,Model!AC$1,'Assumptions (Battery)'!$V$10,'Assumptions (Battery)'!$V$5*Model!$U$2452*'Assumptions (Battery)'!$S$2/10^9),0)</f>
        <v>-4.4037016262321906E-3</v>
      </c>
      <c r="AB2527" s="105">
        <f>IF($U$2452&gt;0,PPMT('Assumptions (Battery)'!$V$7,Model!AD$1,'Assumptions (Battery)'!$V$10,'Assumptions (Battery)'!$V$5*Model!$U$2452*'Assumptions (Battery)'!$S$2/10^9),0)</f>
        <v>-4.7559977563307659E-3</v>
      </c>
      <c r="AC2527" s="105">
        <f>IF($U$2452&gt;0,PPMT('Assumptions (Battery)'!$V$7,Model!AE$1,'Assumptions (Battery)'!$V$10,'Assumptions (Battery)'!$V$5*Model!$U$2452*'Assumptions (Battery)'!$S$2/10^9),0)</f>
        <v>-5.1364775768372277E-3</v>
      </c>
      <c r="AD2527" s="105">
        <f>IF($U$2452&gt;0,PPMT('Assumptions (Battery)'!$V$7,Model!AF$1,'Assumptions (Battery)'!$V$10,'Assumptions (Battery)'!$V$5*Model!$U$2452*'Assumptions (Battery)'!$S$2/10^9),0)</f>
        <v>-5.5473957829842062E-3</v>
      </c>
      <c r="AE2527" s="105" t="e">
        <f>IF($U$2452&gt;0,PPMT('Assumptions (Battery)'!$V$7,Model!AG$1,'Assumptions (Battery)'!$V$10,'Assumptions (Battery)'!$V$5*Model!$U$2452*'Assumptions (Battery)'!$S$2/10^9),0)</f>
        <v>#NUM!</v>
      </c>
      <c r="AF2527" s="105" t="e">
        <f>IF($U$2452&gt;0,PPMT('Assumptions (Battery)'!$V$7,Model!AH$1,'Assumptions (Battery)'!$V$10,'Assumptions (Battery)'!$V$5*Model!$U$2452*'Assumptions (Battery)'!$S$2/10^9),0)</f>
        <v>#NUM!</v>
      </c>
      <c r="AG2527" s="105" t="e">
        <f>IF($U$2452&gt;0,PPMT('Assumptions (Battery)'!$V$7,Model!AI$1,'Assumptions (Battery)'!$V$10,'Assumptions (Battery)'!$V$5*Model!$U$2452*'Assumptions (Battery)'!$S$2/10^9),0)</f>
        <v>#NUM!</v>
      </c>
      <c r="AH2527" s="105" t="e">
        <f>IF($U$2452&gt;0,PPMT('Assumptions (Battery)'!$V$7,Model!AJ$1,'Assumptions (Battery)'!$V$10,'Assumptions (Battery)'!$V$5*Model!$U$2452*'Assumptions (Battery)'!$S$2/10^9),0)</f>
        <v>#NUM!</v>
      </c>
      <c r="AI2527" s="105" t="e">
        <f>IF($U$2452&gt;0,PPMT('Assumptions (Battery)'!$V$7,Model!AK$1,'Assumptions (Battery)'!$V$10,'Assumptions (Battery)'!$V$5*Model!$U$2452*'Assumptions (Battery)'!$S$2/10^9),0)</f>
        <v>#NUM!</v>
      </c>
      <c r="AJ2527" s="105"/>
      <c r="AK2527" s="105"/>
      <c r="AL2527" s="105"/>
      <c r="AM2527" s="105"/>
      <c r="AN2527" s="105"/>
      <c r="AO2527" s="105"/>
      <c r="AP2527" s="105"/>
      <c r="AQ2527" s="105"/>
      <c r="AR2527" s="105"/>
      <c r="AS2527" s="105"/>
    </row>
    <row r="2528" spans="1:46" ht="15.75" hidden="1" customHeight="1" outlineLevel="1">
      <c r="A2528" s="454"/>
      <c r="B2528" s="99"/>
      <c r="C2528" s="105"/>
      <c r="D2528" s="105"/>
      <c r="E2528" s="105"/>
      <c r="F2528" s="105"/>
      <c r="G2528" s="105"/>
      <c r="H2528" s="105"/>
      <c r="I2528" s="105"/>
      <c r="J2528" s="105"/>
      <c r="K2528" s="105"/>
      <c r="L2528" s="105"/>
      <c r="M2528" s="105"/>
      <c r="N2528" s="105"/>
      <c r="O2528" s="105"/>
      <c r="P2528" s="171"/>
      <c r="Q2528" s="105"/>
      <c r="R2528" s="91"/>
      <c r="S2528" s="91"/>
      <c r="T2528" s="91"/>
      <c r="U2528" s="105"/>
      <c r="V2528" s="105">
        <f>IF($V$2452&gt;0,PPMT('Assumptions (Battery)'!$V$7,Model!W$1,'Assumptions (Battery)'!$V$10,'Assumptions (Battery)'!$V$5*Model!$V$2452*'Assumptions (Battery)'!$T$2/10^9),0)</f>
        <v>-4.405572904157831E-3</v>
      </c>
      <c r="W2528" s="105">
        <f>IF($V$2452&gt;0,PPMT('Assumptions (Battery)'!$V$7,Model!X$1,'Assumptions (Battery)'!$V$10,'Assumptions (Battery)'!$V$5*Model!$V$2452*'Assumptions (Battery)'!$T$2/10^9),0)</f>
        <v>-4.7580187364904582E-3</v>
      </c>
      <c r="X2528" s="105">
        <f>IF($V$2452&gt;0,PPMT('Assumptions (Battery)'!$V$7,Model!Y$1,'Assumptions (Battery)'!$V$10,'Assumptions (Battery)'!$V$5*Model!$V$2452*'Assumptions (Battery)'!$T$2/10^9),0)</f>
        <v>-5.1386602354096941E-3</v>
      </c>
      <c r="Y2528" s="105">
        <f>IF($V$2452&gt;0,PPMT('Assumptions (Battery)'!$V$7,Model!Z$1,'Assumptions (Battery)'!$V$10,'Assumptions (Battery)'!$V$5*Model!$V$2452*'Assumptions (Battery)'!$T$2/10^9),0)</f>
        <v>-5.54975305424247E-3</v>
      </c>
      <c r="Z2528" s="105">
        <f>IF($V$2452&gt;0,PPMT('Assumptions (Battery)'!$V$7,Model!AA$1,'Assumptions (Battery)'!$V$10,'Assumptions (Battery)'!$V$5*Model!$V$2452*'Assumptions (Battery)'!$T$2/10^9),0)</f>
        <v>-5.9937332985818687E-3</v>
      </c>
      <c r="AA2528" s="105">
        <f>IF($V$2452&gt;0,PPMT('Assumptions (Battery)'!$V$7,Model!AB$1,'Assumptions (Battery)'!$V$10,'Assumptions (Battery)'!$V$5*Model!$V$2452*'Assumptions (Battery)'!$T$2/10^9),0)</f>
        <v>-6.4732319624684169E-3</v>
      </c>
      <c r="AB2528" s="105">
        <f>IF($V$2452&gt;0,PPMT('Assumptions (Battery)'!$V$7,Model!AC$1,'Assumptions (Battery)'!$V$10,'Assumptions (Battery)'!$V$5*Model!$V$2452*'Assumptions (Battery)'!$T$2/10^9),0)</f>
        <v>-6.9910905194658906E-3</v>
      </c>
      <c r="AC2528" s="105">
        <f>IF($V$2452&gt;0,PPMT('Assumptions (Battery)'!$V$7,Model!AD$1,'Assumptions (Battery)'!$V$10,'Assumptions (Battery)'!$V$5*Model!$V$2452*'Assumptions (Battery)'!$T$2/10^9),0)</f>
        <v>-7.5503777610231616E-3</v>
      </c>
      <c r="AD2528" s="105">
        <f>IF($V$2452&gt;0,PPMT('Assumptions (Battery)'!$V$7,Model!AE$1,'Assumptions (Battery)'!$V$10,'Assumptions (Battery)'!$V$5*Model!$V$2452*'Assumptions (Battery)'!$T$2/10^9),0)</f>
        <v>-8.1544079819050146E-3</v>
      </c>
      <c r="AE2528" s="105">
        <f>IF($V$2452&gt;0,PPMT('Assumptions (Battery)'!$V$7,Model!AF$1,'Assumptions (Battery)'!$V$10,'Assumptions (Battery)'!$V$5*Model!$V$2452*'Assumptions (Battery)'!$T$2/10^9),0)</f>
        <v>-8.8067606204574166E-3</v>
      </c>
      <c r="AF2528" s="105" t="e">
        <f>IF($V$2452&gt;0,PPMT('Assumptions (Battery)'!$V$7,Model!AG$1,'Assumptions (Battery)'!$V$10,'Assumptions (Battery)'!$V$5*Model!$V$2452*'Assumptions (Battery)'!$T$2/10^9),0)</f>
        <v>#NUM!</v>
      </c>
      <c r="AG2528" s="105" t="e">
        <f>IF($V$2452&gt;0,PPMT('Assumptions (Battery)'!$V$7,Model!AH$1,'Assumptions (Battery)'!$V$10,'Assumptions (Battery)'!$V$5*Model!$V$2452*'Assumptions (Battery)'!$T$2/10^9),0)</f>
        <v>#NUM!</v>
      </c>
      <c r="AH2528" s="105" t="e">
        <f>IF($V$2452&gt;0,PPMT('Assumptions (Battery)'!$V$7,Model!AI$1,'Assumptions (Battery)'!$V$10,'Assumptions (Battery)'!$V$5*Model!$V$2452*'Assumptions (Battery)'!$T$2/10^9),0)</f>
        <v>#NUM!</v>
      </c>
      <c r="AI2528" s="105" t="e">
        <f>IF($V$2452&gt;0,PPMT('Assumptions (Battery)'!$V$7,Model!AJ$1,'Assumptions (Battery)'!$V$10,'Assumptions (Battery)'!$V$5*Model!$V$2452*'Assumptions (Battery)'!$T$2/10^9),0)</f>
        <v>#NUM!</v>
      </c>
      <c r="AJ2528" s="105" t="e">
        <f>IF($V$2452&gt;0,PPMT('Assumptions (Battery)'!$V$7,Model!AK$1,'Assumptions (Battery)'!$V$10,'Assumptions (Battery)'!$V$5*Model!$V$2452*'Assumptions (Battery)'!$T$2/10^9),0)</f>
        <v>#NUM!</v>
      </c>
      <c r="AK2528" s="105"/>
      <c r="AL2528" s="105"/>
      <c r="AM2528" s="105"/>
      <c r="AN2528" s="105"/>
      <c r="AO2528" s="105"/>
      <c r="AP2528" s="105"/>
      <c r="AQ2528" s="105"/>
      <c r="AR2528" s="105"/>
      <c r="AS2528" s="105"/>
      <c r="AT2528" s="105"/>
    </row>
    <row r="2529" spans="1:62" ht="15.75" hidden="1" customHeight="1" outlineLevel="1">
      <c r="A2529" s="454"/>
      <c r="B2529" s="99"/>
      <c r="C2529" s="99"/>
      <c r="D2529" s="99"/>
      <c r="E2529" s="99"/>
      <c r="F2529" s="99"/>
      <c r="G2529" s="99"/>
      <c r="H2529" s="99"/>
      <c r="I2529" s="99"/>
      <c r="J2529" s="99"/>
      <c r="K2529" s="99"/>
      <c r="L2529" s="99"/>
      <c r="M2529" s="99"/>
      <c r="N2529" s="99"/>
      <c r="O2529" s="99"/>
      <c r="P2529" s="99"/>
      <c r="Q2529" s="99"/>
      <c r="R2529" s="99"/>
      <c r="S2529" s="99"/>
      <c r="T2529" s="99"/>
      <c r="U2529" s="99"/>
      <c r="V2529" s="99"/>
      <c r="W2529" s="105">
        <f>IF($W$2452&gt;0,PPMT('Assumptions (Battery)'!$V$7,Model!W$1,'Assumptions (Battery)'!$V$10,'Assumptions (Battery)'!$V$5*Model!$W$2452*'Assumptions (Battery)'!$U$2/10^9),0)</f>
        <v>-8.9873687244819752E-3</v>
      </c>
      <c r="X2529" s="105">
        <f>IF($W$2452&gt;0,PPMT('Assumptions (Battery)'!$V$7,Model!X$1,'Assumptions (Battery)'!$V$10,'Assumptions (Battery)'!$V$5*Model!$W$2452*'Assumptions (Battery)'!$U$2/10^9),0)</f>
        <v>-9.7063582224405347E-3</v>
      </c>
      <c r="Y2529" s="105">
        <f>IF($W$2452&gt;0,PPMT('Assumptions (Battery)'!$V$7,Model!Y$1,'Assumptions (Battery)'!$V$10,'Assumptions (Battery)'!$V$5*Model!$W$2452*'Assumptions (Battery)'!$U$2/10^9),0)</f>
        <v>-1.0482866880235777E-2</v>
      </c>
      <c r="Z2529" s="105">
        <f>IF($W$2452&gt;0,PPMT('Assumptions (Battery)'!$V$7,Model!Z$1,'Assumptions (Battery)'!$V$10,'Assumptions (Battery)'!$V$5*Model!$W$2452*'Assumptions (Battery)'!$U$2/10^9),0)</f>
        <v>-1.132149623065464E-2</v>
      </c>
      <c r="AA2529" s="105">
        <f>IF($W$2452&gt;0,PPMT('Assumptions (Battery)'!$V$7,Model!AA$1,'Assumptions (Battery)'!$V$10,'Assumptions (Battery)'!$V$5*Model!$W$2452*'Assumptions (Battery)'!$U$2/10^9),0)</f>
        <v>-1.2227215929107011E-2</v>
      </c>
      <c r="AB2529" s="105">
        <f>IF($W$2452&gt;0,PPMT('Assumptions (Battery)'!$V$7,Model!AB$1,'Assumptions (Battery)'!$V$10,'Assumptions (Battery)'!$V$5*Model!$W$2452*'Assumptions (Battery)'!$U$2/10^9),0)</f>
        <v>-1.320539320343557E-2</v>
      </c>
      <c r="AC2529" s="105">
        <f>IF($W$2452&gt;0,PPMT('Assumptions (Battery)'!$V$7,Model!AC$1,'Assumptions (Battery)'!$V$10,'Assumptions (Battery)'!$V$5*Model!$W$2452*'Assumptions (Battery)'!$U$2/10^9),0)</f>
        <v>-1.4261824659710416E-2</v>
      </c>
      <c r="AD2529" s="105">
        <f>IF($W$2452&gt;0,PPMT('Assumptions (Battery)'!$V$7,Model!AD$1,'Assumptions (Battery)'!$V$10,'Assumptions (Battery)'!$V$5*Model!$W$2452*'Assumptions (Battery)'!$U$2/10^9),0)</f>
        <v>-1.5402770632487251E-2</v>
      </c>
      <c r="AE2529" s="105">
        <f>IF($W$2452&gt;0,PPMT('Assumptions (Battery)'!$V$7,Model!AE$1,'Assumptions (Battery)'!$V$10,'Assumptions (Battery)'!$V$5*Model!$W$2452*'Assumptions (Battery)'!$U$2/10^9),0)</f>
        <v>-1.6634992283086229E-2</v>
      </c>
      <c r="AF2529" s="105">
        <f>IF($W$2452&gt;0,PPMT('Assumptions (Battery)'!$V$7,Model!AF$1,'Assumptions (Battery)'!$V$10,'Assumptions (Battery)'!$V$5*Model!$W$2452*'Assumptions (Battery)'!$U$2/10^9),0)</f>
        <v>-1.796579166573313E-2</v>
      </c>
      <c r="AG2529" s="105" t="e">
        <f>IF($W$2452&gt;0,PPMT('Assumptions (Battery)'!$V$7,Model!AG$1,'Assumptions (Battery)'!$V$10,'Assumptions (Battery)'!$V$5*Model!$W$2452*'Assumptions (Battery)'!$U$2/10^9),0)</f>
        <v>#NUM!</v>
      </c>
      <c r="AH2529" s="105" t="e">
        <f>IF($W$2452&gt;0,PPMT('Assumptions (Battery)'!$V$7,Model!AH$1,'Assumptions (Battery)'!$V$10,'Assumptions (Battery)'!$V$5*Model!$W$2452*'Assumptions (Battery)'!$U$2/10^9),0)</f>
        <v>#NUM!</v>
      </c>
      <c r="AI2529" s="105" t="e">
        <f>IF($W$2452&gt;0,PPMT('Assumptions (Battery)'!$V$7,Model!AI$1,'Assumptions (Battery)'!$V$10,'Assumptions (Battery)'!$V$5*Model!$W$2452*'Assumptions (Battery)'!$U$2/10^9),0)</f>
        <v>#NUM!</v>
      </c>
      <c r="AJ2529" s="105" t="e">
        <f>IF($W$2452&gt;0,PPMT('Assumptions (Battery)'!$V$7,Model!AJ$1,'Assumptions (Battery)'!$V$10,'Assumptions (Battery)'!$V$5*Model!$W$2452*'Assumptions (Battery)'!$U$2/10^9),0)</f>
        <v>#NUM!</v>
      </c>
      <c r="AK2529" s="105" t="e">
        <f>IF($W$2452&gt;0,PPMT('Assumptions (Battery)'!$V$7,Model!AK$1,'Assumptions (Battery)'!$V$10,'Assumptions (Battery)'!$V$5*Model!$W$2452*'Assumptions (Battery)'!$U$2/10^9),0)</f>
        <v>#NUM!</v>
      </c>
      <c r="AL2529" s="105"/>
      <c r="AM2529" s="105"/>
      <c r="AN2529" s="105"/>
      <c r="AO2529" s="105"/>
      <c r="AP2529" s="105"/>
      <c r="AQ2529" s="105"/>
      <c r="AR2529" s="105"/>
      <c r="AS2529" s="105"/>
      <c r="AT2529" s="105"/>
      <c r="AU2529" s="105"/>
      <c r="AV2529" s="105"/>
      <c r="AW2529" s="105"/>
      <c r="AX2529" s="105"/>
      <c r="AY2529" s="105"/>
      <c r="AZ2529" s="105"/>
      <c r="BA2529" s="105"/>
    </row>
    <row r="2530" spans="1:62" ht="15.75" hidden="1" customHeight="1" outlineLevel="1">
      <c r="A2530" s="454"/>
      <c r="B2530" s="99"/>
      <c r="C2530" s="99"/>
      <c r="D2530" s="99"/>
      <c r="E2530" s="99"/>
      <c r="F2530" s="99"/>
      <c r="G2530" s="99"/>
      <c r="H2530" s="99"/>
      <c r="I2530" s="99"/>
      <c r="J2530" s="99"/>
      <c r="K2530" s="99"/>
      <c r="L2530" s="99"/>
      <c r="M2530" s="99"/>
      <c r="N2530" s="99"/>
      <c r="O2530" s="99"/>
      <c r="P2530" s="99"/>
      <c r="Q2530" s="99"/>
      <c r="R2530" s="99"/>
      <c r="S2530" s="99"/>
      <c r="T2530" s="99"/>
      <c r="U2530" s="99"/>
      <c r="V2530" s="99"/>
      <c r="W2530" s="105"/>
      <c r="X2530" s="105">
        <f>IF($X$2452&gt;0,PPMT('Assumptions (Battery)'!$V$7,Model!W$1,'Assumptions (Battery)'!$V$10,'Assumptions (Battery)'!$V$5*Model!$X$2452*'Assumptions (Battery)'!$V$2/10^9),0)</f>
        <v>0</v>
      </c>
      <c r="Y2530" s="105">
        <f>IF($X$2452&gt;0,PPMT('Assumptions (Battery)'!$V$7,Model!X$1,'Assumptions (Battery)'!$V$10,'Assumptions (Battery)'!$V$5*Model!$X$2452*'Assumptions (Battery)'!$V$2/10^9),0)</f>
        <v>0</v>
      </c>
      <c r="Z2530" s="105">
        <f>IF($X$2452&gt;0,PPMT('Assumptions (Battery)'!$V$7,Model!Y$1,'Assumptions (Battery)'!$V$10,'Assumptions (Battery)'!$V$5*Model!$X$2452*'Assumptions (Battery)'!$V$2/10^9),0)</f>
        <v>0</v>
      </c>
      <c r="AA2530" s="105">
        <f>IF($X$2452&gt;0,PPMT('Assumptions (Battery)'!$V$7,Model!Z$1,'Assumptions (Battery)'!$V$10,'Assumptions (Battery)'!$V$5*Model!$X$2452*'Assumptions (Battery)'!$V$2/10^9),0)</f>
        <v>0</v>
      </c>
      <c r="AB2530" s="105">
        <f>IF($X$2452&gt;0,PPMT('Assumptions (Battery)'!$V$7,Model!AA$1,'Assumptions (Battery)'!$V$10,'Assumptions (Battery)'!$V$5*Model!$X$2452*'Assumptions (Battery)'!$V$2/10^9),0)</f>
        <v>0</v>
      </c>
      <c r="AC2530" s="105">
        <f>IF($X$2452&gt;0,PPMT('Assumptions (Battery)'!$V$7,Model!AB$1,'Assumptions (Battery)'!$V$10,'Assumptions (Battery)'!$V$5*Model!$X$2452*'Assumptions (Battery)'!$V$2/10^9),0)</f>
        <v>0</v>
      </c>
      <c r="AD2530" s="105">
        <f>IF($X$2452&gt;0,PPMT('Assumptions (Battery)'!$V$7,Model!AC$1,'Assumptions (Battery)'!$V$10,'Assumptions (Battery)'!$V$5*Model!$X$2452*'Assumptions (Battery)'!$V$2/10^9),0)</f>
        <v>0</v>
      </c>
      <c r="AE2530" s="105">
        <f>IF($X$2452&gt;0,PPMT('Assumptions (Battery)'!$V$7,Model!AD$1,'Assumptions (Battery)'!$V$10,'Assumptions (Battery)'!$V$5*Model!$X$2452*'Assumptions (Battery)'!$V$2/10^9),0)</f>
        <v>0</v>
      </c>
      <c r="AF2530" s="105">
        <f>IF($X$2452&gt;0,PPMT('Assumptions (Battery)'!$V$7,Model!AE$1,'Assumptions (Battery)'!$V$10,'Assumptions (Battery)'!$V$5*Model!$X$2452*'Assumptions (Battery)'!$V$2/10^9),0)</f>
        <v>0</v>
      </c>
      <c r="AG2530" s="105">
        <f>IF($X$2452&gt;0,PPMT('Assumptions (Battery)'!$V$7,Model!AF$1,'Assumptions (Battery)'!$V$10,'Assumptions (Battery)'!$V$5*Model!$X$2452*'Assumptions (Battery)'!$V$2/10^9),0)</f>
        <v>0</v>
      </c>
      <c r="AH2530" s="105">
        <f>IF($X$2452&gt;0,PPMT('Assumptions (Battery)'!$V$7,Model!AG$1,'Assumptions (Battery)'!$V$10,'Assumptions (Battery)'!$V$5*Model!$X$2452*'Assumptions (Battery)'!$V$2/10^9),0)</f>
        <v>0</v>
      </c>
      <c r="AI2530" s="105">
        <f>IF($X$2452&gt;0,PPMT('Assumptions (Battery)'!$V$7,Model!AH$1,'Assumptions (Battery)'!$V$10,'Assumptions (Battery)'!$V$5*Model!$X$2452*'Assumptions (Battery)'!$V$2/10^9),0)</f>
        <v>0</v>
      </c>
      <c r="AJ2530" s="105">
        <f>IF($X$2452&gt;0,PPMT('Assumptions (Battery)'!$V$7,Model!AI$1,'Assumptions (Battery)'!$V$10,'Assumptions (Battery)'!$V$5*Model!$X$2452*'Assumptions (Battery)'!$V$2/10^9),0)</f>
        <v>0</v>
      </c>
      <c r="AK2530" s="105">
        <f>IF($X$2452&gt;0,PPMT('Assumptions (Battery)'!$V$7,Model!AJ$1,'Assumptions (Battery)'!$V$10,'Assumptions (Battery)'!$V$5*Model!$X$2452*'Assumptions (Battery)'!$V$2/10^9),0)</f>
        <v>0</v>
      </c>
      <c r="AL2530" s="105">
        <f>IF($X$2452&gt;0,PPMT('Assumptions (Battery)'!$V$7,Model!AK$1,'Assumptions (Battery)'!$V$10,'Assumptions (Battery)'!$V$5*Model!$X$2452*'Assumptions (Battery)'!$V$2/10^9),0)</f>
        <v>0</v>
      </c>
      <c r="AM2530" s="105"/>
      <c r="AN2530" s="105"/>
      <c r="AO2530" s="105"/>
      <c r="AP2530" s="105"/>
      <c r="AQ2530" s="105"/>
      <c r="AR2530" s="105"/>
      <c r="AS2530" s="105"/>
      <c r="AT2530" s="105"/>
      <c r="AU2530" s="105"/>
      <c r="AV2530" s="105"/>
      <c r="AW2530" s="105"/>
      <c r="AX2530" s="105"/>
      <c r="AY2530" s="105"/>
      <c r="AZ2530" s="105"/>
      <c r="BA2530" s="105"/>
    </row>
    <row r="2531" spans="1:62" ht="15.75" hidden="1" customHeight="1" outlineLevel="1">
      <c r="A2531" s="454"/>
      <c r="B2531" s="99"/>
      <c r="C2531" s="99"/>
      <c r="D2531" s="99"/>
      <c r="E2531" s="99"/>
      <c r="F2531" s="99"/>
      <c r="G2531" s="99"/>
      <c r="H2531" s="99"/>
      <c r="I2531" s="99"/>
      <c r="J2531" s="99"/>
      <c r="K2531" s="99"/>
      <c r="L2531" s="99"/>
      <c r="M2531" s="99"/>
      <c r="N2531" s="99"/>
      <c r="O2531" s="99"/>
      <c r="P2531" s="99"/>
      <c r="Q2531" s="99"/>
      <c r="R2531" s="99"/>
      <c r="S2531" s="99"/>
      <c r="T2531" s="99"/>
      <c r="U2531" s="99"/>
      <c r="V2531" s="99"/>
      <c r="W2531" s="105"/>
      <c r="X2531" s="105"/>
      <c r="Y2531" s="105">
        <f>IF($Y$2452&gt;0,PPMT('Assumptions (Battery)'!$V$7,Model!W$1,'Assumptions (Battery)'!$V$10,'Assumptions (Battery)'!$V$5*Model!$Y$2452*'Assumptions (Battery)'!$W$2/10^9),0)</f>
        <v>0</v>
      </c>
      <c r="Z2531" s="105">
        <f>IF($Y$2452&gt;0,PPMT('Assumptions (Battery)'!$V$7,Model!X$1,'Assumptions (Battery)'!$V$10,'Assumptions (Battery)'!$V$5*Model!$Y$2452*'Assumptions (Battery)'!$W$2/10^9),0)</f>
        <v>0</v>
      </c>
      <c r="AA2531" s="105">
        <f>IF($Y$2452&gt;0,PPMT('Assumptions (Battery)'!$V$7,Model!Y$1,'Assumptions (Battery)'!$V$10,'Assumptions (Battery)'!$V$5*Model!$Y$2452*'Assumptions (Battery)'!$W$2/10^9),0)</f>
        <v>0</v>
      </c>
      <c r="AB2531" s="105">
        <f>IF($Y$2452&gt;0,PPMT('Assumptions (Battery)'!$V$7,Model!Z$1,'Assumptions (Battery)'!$V$10,'Assumptions (Battery)'!$V$5*Model!$Y$2452*'Assumptions (Battery)'!$W$2/10^9),0)</f>
        <v>0</v>
      </c>
      <c r="AC2531" s="105">
        <f>IF($Y$2452&gt;0,PPMT('Assumptions (Battery)'!$V$7,Model!AA$1,'Assumptions (Battery)'!$V$10,'Assumptions (Battery)'!$V$5*Model!$Y$2452*'Assumptions (Battery)'!$W$2/10^9),0)</f>
        <v>0</v>
      </c>
      <c r="AD2531" s="105">
        <f>IF($Y$2452&gt;0,PPMT('Assumptions (Battery)'!$V$7,Model!AB$1,'Assumptions (Battery)'!$V$10,'Assumptions (Battery)'!$V$5*Model!$Y$2452*'Assumptions (Battery)'!$W$2/10^9),0)</f>
        <v>0</v>
      </c>
      <c r="AE2531" s="105">
        <f>IF($Y$2452&gt;0,PPMT('Assumptions (Battery)'!$V$7,Model!AC$1,'Assumptions (Battery)'!$V$10,'Assumptions (Battery)'!$V$5*Model!$Y$2452*'Assumptions (Battery)'!$W$2/10^9),0)</f>
        <v>0</v>
      </c>
      <c r="AF2531" s="105">
        <f>IF($Y$2452&gt;0,PPMT('Assumptions (Battery)'!$V$7,Model!AD$1,'Assumptions (Battery)'!$V$10,'Assumptions (Battery)'!$V$5*Model!$Y$2452*'Assumptions (Battery)'!$W$2/10^9),0)</f>
        <v>0</v>
      </c>
      <c r="AG2531" s="105">
        <f>IF($Y$2452&gt;0,PPMT('Assumptions (Battery)'!$V$7,Model!AE$1,'Assumptions (Battery)'!$V$10,'Assumptions (Battery)'!$V$5*Model!$Y$2452*'Assumptions (Battery)'!$W$2/10^9),0)</f>
        <v>0</v>
      </c>
      <c r="AH2531" s="105">
        <f>IF($Y$2452&gt;0,PPMT('Assumptions (Battery)'!$V$7,Model!AF$1,'Assumptions (Battery)'!$V$10,'Assumptions (Battery)'!$V$5*Model!$Y$2452*'Assumptions (Battery)'!$W$2/10^9),0)</f>
        <v>0</v>
      </c>
      <c r="AI2531" s="105">
        <f>IF($Y$2452&gt;0,PPMT('Assumptions (Battery)'!$V$7,Model!AG$1,'Assumptions (Battery)'!$V$10,'Assumptions (Battery)'!$V$5*Model!$Y$2452*'Assumptions (Battery)'!$W$2/10^9),0)</f>
        <v>0</v>
      </c>
      <c r="AJ2531" s="105">
        <f>IF($Y$2452&gt;0,PPMT('Assumptions (Battery)'!$V$7,Model!AH$1,'Assumptions (Battery)'!$V$10,'Assumptions (Battery)'!$V$5*Model!$Y$2452*'Assumptions (Battery)'!$W$2/10^9),0)</f>
        <v>0</v>
      </c>
      <c r="AK2531" s="105">
        <f>IF($Y$2452&gt;0,PPMT('Assumptions (Battery)'!$V$7,Model!AI$1,'Assumptions (Battery)'!$V$10,'Assumptions (Battery)'!$V$5*Model!$Y$2452*'Assumptions (Battery)'!$W$2/10^9),0)</f>
        <v>0</v>
      </c>
      <c r="AL2531" s="105">
        <f>IF($Y$2452&gt;0,PPMT('Assumptions (Battery)'!$V$7,Model!AJ$1,'Assumptions (Battery)'!$V$10,'Assumptions (Battery)'!$V$5*Model!$Y$2452*'Assumptions (Battery)'!$W$2/10^9),0)</f>
        <v>0</v>
      </c>
      <c r="AM2531" s="105">
        <f>IF($Y$2452&gt;0,PPMT('Assumptions (Battery)'!$V$7,Model!AK$1,'Assumptions (Battery)'!$V$10,'Assumptions (Battery)'!$V$5*Model!$Y$2452*'Assumptions (Battery)'!$W$2/10^9),0)</f>
        <v>0</v>
      </c>
      <c r="AN2531" s="105"/>
      <c r="AO2531" s="105"/>
      <c r="AP2531" s="105"/>
      <c r="AQ2531" s="105"/>
      <c r="AR2531" s="105"/>
      <c r="AS2531" s="105"/>
      <c r="AT2531" s="105"/>
      <c r="AU2531" s="105"/>
      <c r="AV2531" s="105"/>
      <c r="AW2531" s="105"/>
      <c r="AX2531" s="105"/>
      <c r="AY2531" s="105"/>
      <c r="AZ2531" s="105"/>
      <c r="BA2531" s="105"/>
    </row>
    <row r="2532" spans="1:62" ht="15.75" hidden="1" customHeight="1" outlineLevel="1">
      <c r="A2532" s="454"/>
      <c r="B2532" s="99"/>
      <c r="C2532" s="99"/>
      <c r="D2532" s="99"/>
      <c r="E2532" s="99"/>
      <c r="F2532" s="99"/>
      <c r="G2532" s="99"/>
      <c r="H2532" s="99"/>
      <c r="I2532" s="99"/>
      <c r="J2532" s="99"/>
      <c r="K2532" s="99"/>
      <c r="L2532" s="99"/>
      <c r="M2532" s="99"/>
      <c r="N2532" s="99"/>
      <c r="O2532" s="99"/>
      <c r="P2532" s="99"/>
      <c r="Q2532" s="99"/>
      <c r="R2532" s="99"/>
      <c r="S2532" s="99"/>
      <c r="T2532" s="99"/>
      <c r="U2532" s="99"/>
      <c r="V2532" s="99"/>
      <c r="W2532" s="105"/>
      <c r="X2532" s="105"/>
      <c r="Y2532" s="105"/>
      <c r="Z2532" s="105">
        <f>IF($Z$2452&gt;0,PPMT('Assumptions (Battery)'!$V$7,Model!W$1,'Assumptions (Battery)'!$V$10,'Assumptions (Battery)'!$V$5*Model!$Z$2452*'Assumptions (Battery)'!$X$2/10^9),0)</f>
        <v>0</v>
      </c>
      <c r="AA2532" s="105">
        <f>IF($Z$2452&gt;0,PPMT('Assumptions (Battery)'!$V$7,Model!X$1,'Assumptions (Battery)'!$V$10,'Assumptions (Battery)'!$V$5*Model!$Z$2452*'Assumptions (Battery)'!$X$2/10^9),0)</f>
        <v>0</v>
      </c>
      <c r="AB2532" s="105">
        <f>IF($Z$2452&gt;0,PPMT('Assumptions (Battery)'!$V$7,Model!Y$1,'Assumptions (Battery)'!$V$10,'Assumptions (Battery)'!$V$5*Model!$Z$2452*'Assumptions (Battery)'!$X$2/10^9),0)</f>
        <v>0</v>
      </c>
      <c r="AC2532" s="105">
        <f>IF($Z$2452&gt;0,PPMT('Assumptions (Battery)'!$V$7,Model!Z$1,'Assumptions (Battery)'!$V$10,'Assumptions (Battery)'!$V$5*Model!$Z$2452*'Assumptions (Battery)'!$X$2/10^9),0)</f>
        <v>0</v>
      </c>
      <c r="AD2532" s="105">
        <f>IF($Z$2452&gt;0,PPMT('Assumptions (Battery)'!$V$7,Model!AA$1,'Assumptions (Battery)'!$V$10,'Assumptions (Battery)'!$V$5*Model!$Z$2452*'Assumptions (Battery)'!$X$2/10^9),0)</f>
        <v>0</v>
      </c>
      <c r="AE2532" s="105">
        <f>IF($Z$2452&gt;0,PPMT('Assumptions (Battery)'!$V$7,Model!AB$1,'Assumptions (Battery)'!$V$10,'Assumptions (Battery)'!$V$5*Model!$Z$2452*'Assumptions (Battery)'!$X$2/10^9),0)</f>
        <v>0</v>
      </c>
      <c r="AF2532" s="105">
        <f>IF($Z$2452&gt;0,PPMT('Assumptions (Battery)'!$V$7,Model!AC$1,'Assumptions (Battery)'!$V$10,'Assumptions (Battery)'!$V$5*Model!$Z$2452*'Assumptions (Battery)'!$X$2/10^9),0)</f>
        <v>0</v>
      </c>
      <c r="AG2532" s="105">
        <f>IF($Z$2452&gt;0,PPMT('Assumptions (Battery)'!$V$7,Model!AD$1,'Assumptions (Battery)'!$V$10,'Assumptions (Battery)'!$V$5*Model!$Z$2452*'Assumptions (Battery)'!$X$2/10^9),0)</f>
        <v>0</v>
      </c>
      <c r="AH2532" s="105">
        <f>IF($Z$2452&gt;0,PPMT('Assumptions (Battery)'!$V$7,Model!AE$1,'Assumptions (Battery)'!$V$10,'Assumptions (Battery)'!$V$5*Model!$Z$2452*'Assumptions (Battery)'!$X$2/10^9),0)</f>
        <v>0</v>
      </c>
      <c r="AI2532" s="105">
        <f>IF($Z$2452&gt;0,PPMT('Assumptions (Battery)'!$V$7,Model!AF$1,'Assumptions (Battery)'!$V$10,'Assumptions (Battery)'!$V$5*Model!$Z$2452*'Assumptions (Battery)'!$X$2/10^9),0)</f>
        <v>0</v>
      </c>
      <c r="AJ2532" s="105">
        <f>IF($Z$2452&gt;0,PPMT('Assumptions (Battery)'!$V$7,Model!AG$1,'Assumptions (Battery)'!$V$10,'Assumptions (Battery)'!$V$5*Model!$Z$2452*'Assumptions (Battery)'!$X$2/10^9),0)</f>
        <v>0</v>
      </c>
      <c r="AK2532" s="105">
        <f>IF($Z$2452&gt;0,PPMT('Assumptions (Battery)'!$V$7,Model!AH$1,'Assumptions (Battery)'!$V$10,'Assumptions (Battery)'!$V$5*Model!$Z$2452*'Assumptions (Battery)'!$X$2/10^9),0)</f>
        <v>0</v>
      </c>
      <c r="AL2532" s="105">
        <f>IF($Z$2452&gt;0,PPMT('Assumptions (Battery)'!$V$7,Model!AI$1,'Assumptions (Battery)'!$V$10,'Assumptions (Battery)'!$V$5*Model!$Z$2452*'Assumptions (Battery)'!$X$2/10^9),0)</f>
        <v>0</v>
      </c>
      <c r="AM2532" s="105">
        <f>IF($Z$2452&gt;0,PPMT('Assumptions (Battery)'!$V$7,Model!AJ$1,'Assumptions (Battery)'!$V$10,'Assumptions (Battery)'!$V$5*Model!$Z$2452*'Assumptions (Battery)'!$X$2/10^9),0)</f>
        <v>0</v>
      </c>
      <c r="AN2532" s="105">
        <f>IF($Z$2452&gt;0,PPMT('Assumptions (Battery)'!$V$7,Model!AK$1,'Assumptions (Battery)'!$V$10,'Assumptions (Battery)'!$V$5*Model!$Z$2452*'Assumptions (Battery)'!$X$2/10^9),0)</f>
        <v>0</v>
      </c>
      <c r="AO2532" s="105"/>
      <c r="AP2532" s="105"/>
      <c r="AQ2532" s="105"/>
      <c r="AR2532" s="105"/>
      <c r="AS2532" s="105"/>
      <c r="AT2532" s="105"/>
      <c r="AU2532" s="105"/>
      <c r="AV2532" s="105"/>
      <c r="AW2532" s="105"/>
      <c r="AX2532" s="105"/>
      <c r="AY2532" s="105"/>
      <c r="AZ2532" s="105"/>
      <c r="BA2532" s="105"/>
    </row>
    <row r="2533" spans="1:62" ht="15.75" hidden="1" customHeight="1" outlineLevel="1">
      <c r="A2533" s="454"/>
      <c r="B2533" s="99"/>
      <c r="C2533" s="99"/>
      <c r="D2533" s="99"/>
      <c r="E2533" s="99"/>
      <c r="F2533" s="99"/>
      <c r="G2533" s="99"/>
      <c r="H2533" s="99"/>
      <c r="I2533" s="99"/>
      <c r="J2533" s="99"/>
      <c r="K2533" s="99"/>
      <c r="L2533" s="99"/>
      <c r="M2533" s="99"/>
      <c r="N2533" s="99"/>
      <c r="O2533" s="99"/>
      <c r="P2533" s="99"/>
      <c r="Q2533" s="99"/>
      <c r="R2533" s="99"/>
      <c r="S2533" s="99"/>
      <c r="T2533" s="99"/>
      <c r="U2533" s="99"/>
      <c r="V2533" s="99"/>
      <c r="W2533" s="105"/>
      <c r="X2533" s="105"/>
      <c r="Y2533" s="105"/>
      <c r="Z2533" s="105"/>
      <c r="AA2533" s="105">
        <f>IF($AA$2452&gt;0,PPMT('Assumptions (Battery)'!$V$7,Model!W$1,'Assumptions (Battery)'!$V$10,'Assumptions (Battery)'!$V$5*Model!$AA$2452*'Assumptions (Battery)'!$Y$2/10^9),0)</f>
        <v>0</v>
      </c>
      <c r="AB2533" s="105">
        <f>IF($AA$2452&gt;0,PPMT('Assumptions (Battery)'!$V$7,Model!X$1,'Assumptions (Battery)'!$V$10,'Assumptions (Battery)'!$V$5*Model!$AA$2452*'Assumptions (Battery)'!$Y$2/10^9),0)</f>
        <v>0</v>
      </c>
      <c r="AC2533" s="105">
        <f>IF($AA$2452&gt;0,PPMT('Assumptions (Battery)'!$V$7,Model!Y$1,'Assumptions (Battery)'!$V$10,'Assumptions (Battery)'!$V$5*Model!$AA$2452*'Assumptions (Battery)'!$Y$2/10^9),0)</f>
        <v>0</v>
      </c>
      <c r="AD2533" s="105">
        <f>IF($AA$2452&gt;0,PPMT('Assumptions (Battery)'!$V$7,Model!Z$1,'Assumptions (Battery)'!$V$10,'Assumptions (Battery)'!$V$5*Model!$AA$2452*'Assumptions (Battery)'!$Y$2/10^9),0)</f>
        <v>0</v>
      </c>
      <c r="AE2533" s="105">
        <f>IF($AA$2452&gt;0,PPMT('Assumptions (Battery)'!$V$7,Model!AA$1,'Assumptions (Battery)'!$V$10,'Assumptions (Battery)'!$V$5*Model!$AA$2452*'Assumptions (Battery)'!$Y$2/10^9),0)</f>
        <v>0</v>
      </c>
      <c r="AF2533" s="105">
        <f>IF($AA$2452&gt;0,PPMT('Assumptions (Battery)'!$V$7,Model!AB$1,'Assumptions (Battery)'!$V$10,'Assumptions (Battery)'!$V$5*Model!$AA$2452*'Assumptions (Battery)'!$Y$2/10^9),0)</f>
        <v>0</v>
      </c>
      <c r="AG2533" s="105">
        <f>IF($AA$2452&gt;0,PPMT('Assumptions (Battery)'!$V$7,Model!AC$1,'Assumptions (Battery)'!$V$10,'Assumptions (Battery)'!$V$5*Model!$AA$2452*'Assumptions (Battery)'!$Y$2/10^9),0)</f>
        <v>0</v>
      </c>
      <c r="AH2533" s="105">
        <f>IF($AA$2452&gt;0,PPMT('Assumptions (Battery)'!$V$7,Model!AD$1,'Assumptions (Battery)'!$V$10,'Assumptions (Battery)'!$V$5*Model!$AA$2452*'Assumptions (Battery)'!$Y$2/10^9),0)</f>
        <v>0</v>
      </c>
      <c r="AI2533" s="105">
        <f>IF($AA$2452&gt;0,PPMT('Assumptions (Battery)'!$V$7,Model!AE$1,'Assumptions (Battery)'!$V$10,'Assumptions (Battery)'!$V$5*Model!$AA$2452*'Assumptions (Battery)'!$Y$2/10^9),0)</f>
        <v>0</v>
      </c>
      <c r="AJ2533" s="105">
        <f>IF($AA$2452&gt;0,PPMT('Assumptions (Battery)'!$V$7,Model!AF$1,'Assumptions (Battery)'!$V$10,'Assumptions (Battery)'!$V$5*Model!$AA$2452*'Assumptions (Battery)'!$Y$2/10^9),0)</f>
        <v>0</v>
      </c>
      <c r="AK2533" s="105">
        <f>IF($AA$2452&gt;0,PPMT('Assumptions (Battery)'!$V$7,Model!AG$1,'Assumptions (Battery)'!$V$10,'Assumptions (Battery)'!$V$5*Model!$AA$2452*'Assumptions (Battery)'!$Y$2/10^9),0)</f>
        <v>0</v>
      </c>
      <c r="AL2533" s="105">
        <f>IF($AA$2452&gt;0,PPMT('Assumptions (Battery)'!$V$7,Model!AH$1,'Assumptions (Battery)'!$V$10,'Assumptions (Battery)'!$V$5*Model!$AA$2452*'Assumptions (Battery)'!$Y$2/10^9),0)</f>
        <v>0</v>
      </c>
      <c r="AM2533" s="105">
        <f>IF($AA$2452&gt;0,PPMT('Assumptions (Battery)'!$V$7,Model!AI$1,'Assumptions (Battery)'!$V$10,'Assumptions (Battery)'!$V$5*Model!$AA$2452*'Assumptions (Battery)'!$Y$2/10^9),0)</f>
        <v>0</v>
      </c>
      <c r="AN2533" s="105">
        <f>IF($AA$2452&gt;0,PPMT('Assumptions (Battery)'!$V$7,Model!AJ$1,'Assumptions (Battery)'!$V$10,'Assumptions (Battery)'!$V$5*Model!$AA$2452*'Assumptions (Battery)'!$Y$2/10^9),0)</f>
        <v>0</v>
      </c>
      <c r="AO2533" s="105">
        <f>IF($AA$2452&gt;0,PPMT('Assumptions (Battery)'!$V$7,Model!AK$1,'Assumptions (Battery)'!$V$10,'Assumptions (Battery)'!$V$5*Model!$AA$2452*'Assumptions (Battery)'!$Y$2/10^9),0)</f>
        <v>0</v>
      </c>
      <c r="AP2533" s="105"/>
      <c r="AQ2533" s="105"/>
      <c r="AR2533" s="105"/>
      <c r="AS2533" s="105"/>
      <c r="AT2533" s="105"/>
      <c r="AU2533" s="105"/>
      <c r="AV2533" s="105"/>
      <c r="AW2533" s="105"/>
      <c r="AX2533" s="105"/>
      <c r="AY2533" s="105"/>
      <c r="AZ2533" s="105"/>
      <c r="BA2533" s="105"/>
    </row>
    <row r="2534" spans="1:62" ht="15.75" hidden="1" customHeight="1" outlineLevel="1">
      <c r="A2534" s="454"/>
      <c r="B2534" s="99"/>
      <c r="C2534" s="99"/>
      <c r="D2534" s="99"/>
      <c r="E2534" s="99"/>
      <c r="F2534" s="99"/>
      <c r="G2534" s="99"/>
      <c r="H2534" s="99"/>
      <c r="I2534" s="99"/>
      <c r="J2534" s="99"/>
      <c r="K2534" s="99"/>
      <c r="L2534" s="99"/>
      <c r="M2534" s="99"/>
      <c r="N2534" s="99"/>
      <c r="O2534" s="99"/>
      <c r="P2534" s="99"/>
      <c r="Q2534" s="99"/>
      <c r="R2534" s="99"/>
      <c r="S2534" s="99"/>
      <c r="T2534" s="99"/>
      <c r="U2534" s="99"/>
      <c r="V2534" s="99"/>
      <c r="W2534" s="105"/>
      <c r="X2534" s="105"/>
      <c r="Y2534" s="105"/>
      <c r="Z2534" s="105"/>
      <c r="AA2534" s="105"/>
      <c r="AB2534" s="105">
        <f>IF($AB$2452&gt;0,PPMT('Assumptions (Battery)'!$V$7,Model!W$1,'Assumptions (Battery)'!$V$10,'Assumptions (Battery)'!$V$5*Model!$AB$2452*'Assumptions (Battery)'!$Z$2/10^9),0)</f>
        <v>0</v>
      </c>
      <c r="AC2534" s="105">
        <f>IF($AB$2452&gt;0,PPMT('Assumptions (Battery)'!$V$7,Model!X$1,'Assumptions (Battery)'!$V$10,'Assumptions (Battery)'!$V$5*Model!$AB$2452*'Assumptions (Battery)'!$Z$2/10^9),0)</f>
        <v>0</v>
      </c>
      <c r="AD2534" s="105">
        <f>IF($AB$2452&gt;0,PPMT('Assumptions (Battery)'!$V$7,Model!Y$1,'Assumptions (Battery)'!$V$10,'Assumptions (Battery)'!$V$5*Model!$AB$2452*'Assumptions (Battery)'!$Z$2/10^9),0)</f>
        <v>0</v>
      </c>
      <c r="AE2534" s="105">
        <f>IF($AB$2452&gt;0,PPMT('Assumptions (Battery)'!$V$7,Model!Z$1,'Assumptions (Battery)'!$V$10,'Assumptions (Battery)'!$V$5*Model!$AB$2452*'Assumptions (Battery)'!$Z$2/10^9),0)</f>
        <v>0</v>
      </c>
      <c r="AF2534" s="105">
        <f>IF($AB$2452&gt;0,PPMT('Assumptions (Battery)'!$V$7,Model!AA$1,'Assumptions (Battery)'!$V$10,'Assumptions (Battery)'!$V$5*Model!$AB$2452*'Assumptions (Battery)'!$Z$2/10^9),0)</f>
        <v>0</v>
      </c>
      <c r="AG2534" s="105">
        <f>IF($AB$2452&gt;0,PPMT('Assumptions (Battery)'!$V$7,Model!AB$1,'Assumptions (Battery)'!$V$10,'Assumptions (Battery)'!$V$5*Model!$AB$2452*'Assumptions (Battery)'!$Z$2/10^9),0)</f>
        <v>0</v>
      </c>
      <c r="AH2534" s="105">
        <f>IF($AB$2452&gt;0,PPMT('Assumptions (Battery)'!$V$7,Model!AC$1,'Assumptions (Battery)'!$V$10,'Assumptions (Battery)'!$V$5*Model!$AB$2452*'Assumptions (Battery)'!$Z$2/10^9),0)</f>
        <v>0</v>
      </c>
      <c r="AI2534" s="105">
        <f>IF($AB$2452&gt;0,PPMT('Assumptions (Battery)'!$V$7,Model!AD$1,'Assumptions (Battery)'!$V$10,'Assumptions (Battery)'!$V$5*Model!$AB$2452*'Assumptions (Battery)'!$Z$2/10^9),0)</f>
        <v>0</v>
      </c>
      <c r="AJ2534" s="105">
        <f>IF($AB$2452&gt;0,PPMT('Assumptions (Battery)'!$V$7,Model!AE$1,'Assumptions (Battery)'!$V$10,'Assumptions (Battery)'!$V$5*Model!$AB$2452*'Assumptions (Battery)'!$Z$2/10^9),0)</f>
        <v>0</v>
      </c>
      <c r="AK2534" s="105">
        <f>IF($AB$2452&gt;0,PPMT('Assumptions (Battery)'!$V$7,Model!AF$1,'Assumptions (Battery)'!$V$10,'Assumptions (Battery)'!$V$5*Model!$AB$2452*'Assumptions (Battery)'!$Z$2/10^9),0)</f>
        <v>0</v>
      </c>
      <c r="AL2534" s="105">
        <f>IF($AB$2452&gt;0,PPMT('Assumptions (Battery)'!$V$7,Model!AG$1,'Assumptions (Battery)'!$V$10,'Assumptions (Battery)'!$V$5*Model!$AB$2452*'Assumptions (Battery)'!$Z$2/10^9),0)</f>
        <v>0</v>
      </c>
      <c r="AM2534" s="105">
        <f>IF($AB$2452&gt;0,PPMT('Assumptions (Battery)'!$V$7,Model!AH$1,'Assumptions (Battery)'!$V$10,'Assumptions (Battery)'!$V$5*Model!$AB$2452*'Assumptions (Battery)'!$Z$2/10^9),0)</f>
        <v>0</v>
      </c>
      <c r="AN2534" s="105">
        <f>IF($AB$2452&gt;0,PPMT('Assumptions (Battery)'!$V$7,Model!AI$1,'Assumptions (Battery)'!$V$10,'Assumptions (Battery)'!$V$5*Model!$AB$2452*'Assumptions (Battery)'!$Z$2/10^9),0)</f>
        <v>0</v>
      </c>
      <c r="AO2534" s="105">
        <f>IF($AB$2452&gt;0,PPMT('Assumptions (Battery)'!$V$7,Model!AJ$1,'Assumptions (Battery)'!$V$10,'Assumptions (Battery)'!$V$5*Model!$AB$2452*'Assumptions (Battery)'!$Z$2/10^9),0)</f>
        <v>0</v>
      </c>
      <c r="AP2534" s="105">
        <f>IF($AB$2452&gt;0,PPMT('Assumptions (Battery)'!$V$7,Model!AK$1,'Assumptions (Battery)'!$V$10,'Assumptions (Battery)'!$V$5*Model!$AB$2452*'Assumptions (Battery)'!$Z$2/10^9),0)</f>
        <v>0</v>
      </c>
      <c r="AQ2534" s="105"/>
      <c r="AR2534" s="105"/>
      <c r="AS2534" s="105"/>
      <c r="AT2534" s="105"/>
      <c r="AU2534" s="105"/>
      <c r="AV2534" s="105"/>
      <c r="AW2534" s="105"/>
      <c r="AX2534" s="105"/>
      <c r="AY2534" s="105"/>
      <c r="AZ2534" s="105"/>
      <c r="BA2534" s="105"/>
    </row>
    <row r="2535" spans="1:62" ht="15.75" hidden="1" customHeight="1" outlineLevel="1">
      <c r="A2535" s="454"/>
      <c r="B2535" s="99"/>
      <c r="C2535" s="99"/>
      <c r="D2535" s="99"/>
      <c r="E2535" s="99"/>
      <c r="F2535" s="99"/>
      <c r="G2535" s="99"/>
      <c r="H2535" s="99"/>
      <c r="I2535" s="99"/>
      <c r="J2535" s="99"/>
      <c r="K2535" s="99"/>
      <c r="L2535" s="99"/>
      <c r="M2535" s="99"/>
      <c r="N2535" s="99"/>
      <c r="O2535" s="99"/>
      <c r="P2535" s="99"/>
      <c r="Q2535" s="99"/>
      <c r="R2535" s="99"/>
      <c r="S2535" s="99"/>
      <c r="T2535" s="99"/>
      <c r="U2535" s="99"/>
      <c r="V2535" s="99"/>
      <c r="W2535" s="105"/>
      <c r="X2535" s="105"/>
      <c r="Y2535" s="105"/>
      <c r="Z2535" s="105"/>
      <c r="AA2535" s="105"/>
      <c r="AB2535" s="105"/>
      <c r="AC2535" s="105">
        <f>IF($AC$2452&gt;0,PPMT('Assumptions (Battery)'!$V$7,Model!W$1,'Assumptions (Battery)'!$V$10,'Assumptions (Battery)'!$V$5*Model!$AC$2452*'Assumptions (Battery)'!$AA$2/10^9),0)</f>
        <v>0</v>
      </c>
      <c r="AD2535" s="105">
        <f>IF($AC$2452&gt;0,PPMT('Assumptions (Battery)'!$V$7,Model!X$1,'Assumptions (Battery)'!$V$10,'Assumptions (Battery)'!$V$5*Model!$AC$2452*'Assumptions (Battery)'!$AA$2/10^9),0)</f>
        <v>0</v>
      </c>
      <c r="AE2535" s="105">
        <f>IF($AC$2452&gt;0,PPMT('Assumptions (Battery)'!$V$7,Model!Y$1,'Assumptions (Battery)'!$V$10,'Assumptions (Battery)'!$V$5*Model!$AC$2452*'Assumptions (Battery)'!$AA$2/10^9),0)</f>
        <v>0</v>
      </c>
      <c r="AF2535" s="105">
        <f>IF($AC$2452&gt;0,PPMT('Assumptions (Battery)'!$V$7,Model!Z$1,'Assumptions (Battery)'!$V$10,'Assumptions (Battery)'!$V$5*Model!$AC$2452*'Assumptions (Battery)'!$AA$2/10^9),0)</f>
        <v>0</v>
      </c>
      <c r="AG2535" s="105">
        <f>IF($AC$2452&gt;0,PPMT('Assumptions (Battery)'!$V$7,Model!AA$1,'Assumptions (Battery)'!$V$10,'Assumptions (Battery)'!$V$5*Model!$AC$2452*'Assumptions (Battery)'!$AA$2/10^9),0)</f>
        <v>0</v>
      </c>
      <c r="AH2535" s="105">
        <f>IF($AC$2452&gt;0,PPMT('Assumptions (Battery)'!$V$7,Model!AB$1,'Assumptions (Battery)'!$V$10,'Assumptions (Battery)'!$V$5*Model!$AC$2452*'Assumptions (Battery)'!$AA$2/10^9),0)</f>
        <v>0</v>
      </c>
      <c r="AI2535" s="105">
        <f>IF($AC$2452&gt;0,PPMT('Assumptions (Battery)'!$V$7,Model!AC$1,'Assumptions (Battery)'!$V$10,'Assumptions (Battery)'!$V$5*Model!$AC$2452*'Assumptions (Battery)'!$AA$2/10^9),0)</f>
        <v>0</v>
      </c>
      <c r="AJ2535" s="105">
        <f>IF($AC$2452&gt;0,PPMT('Assumptions (Battery)'!$V$7,Model!AD$1,'Assumptions (Battery)'!$V$10,'Assumptions (Battery)'!$V$5*Model!$AC$2452*'Assumptions (Battery)'!$AA$2/10^9),0)</f>
        <v>0</v>
      </c>
      <c r="AK2535" s="105">
        <f>IF($AC$2452&gt;0,PPMT('Assumptions (Battery)'!$V$7,Model!AE$1,'Assumptions (Battery)'!$V$10,'Assumptions (Battery)'!$V$5*Model!$AC$2452*'Assumptions (Battery)'!$AA$2/10^9),0)</f>
        <v>0</v>
      </c>
      <c r="AL2535" s="105">
        <f>IF($AC$2452&gt;0,PPMT('Assumptions (Battery)'!$V$7,Model!AF$1,'Assumptions (Battery)'!$V$10,'Assumptions (Battery)'!$V$5*Model!$AC$2452*'Assumptions (Battery)'!$AA$2/10^9),0)</f>
        <v>0</v>
      </c>
      <c r="AM2535" s="105">
        <f>IF($AC$2452&gt;0,PPMT('Assumptions (Battery)'!$V$7,Model!AG$1,'Assumptions (Battery)'!$V$10,'Assumptions (Battery)'!$V$5*Model!$AC$2452*'Assumptions (Battery)'!$AA$2/10^9),0)</f>
        <v>0</v>
      </c>
      <c r="AN2535" s="105">
        <f>IF($AC$2452&gt;0,PPMT('Assumptions (Battery)'!$V$7,Model!AH$1,'Assumptions (Battery)'!$V$10,'Assumptions (Battery)'!$V$5*Model!$AC$2452*'Assumptions (Battery)'!$AA$2/10^9),0)</f>
        <v>0</v>
      </c>
      <c r="AO2535" s="105">
        <f>IF($AC$2452&gt;0,PPMT('Assumptions (Battery)'!$V$7,Model!AI$1,'Assumptions (Battery)'!$V$10,'Assumptions (Battery)'!$V$5*Model!$AC$2452*'Assumptions (Battery)'!$AA$2/10^9),0)</f>
        <v>0</v>
      </c>
      <c r="AP2535" s="105">
        <f>IF($AC$2452&gt;0,PPMT('Assumptions (Battery)'!$V$7,Model!AJ$1,'Assumptions (Battery)'!$V$10,'Assumptions (Battery)'!$V$5*Model!$AC$2452*'Assumptions (Battery)'!$AA$2/10^9),0)</f>
        <v>0</v>
      </c>
      <c r="AQ2535" s="105">
        <f>IF($AC$2452&gt;0,PPMT('Assumptions (Battery)'!$V$7,Model!AK$1,'Assumptions (Battery)'!$V$10,'Assumptions (Battery)'!$V$5*Model!$AC$2452*'Assumptions (Battery)'!$AA$2/10^9),0)</f>
        <v>0</v>
      </c>
      <c r="AR2535" s="105"/>
      <c r="AS2535" s="105"/>
      <c r="AT2535" s="105"/>
      <c r="AU2535" s="105"/>
      <c r="AV2535" s="105"/>
      <c r="AW2535" s="105"/>
      <c r="AX2535" s="105"/>
      <c r="AY2535" s="105"/>
      <c r="AZ2535" s="105"/>
      <c r="BA2535" s="105"/>
    </row>
    <row r="2536" spans="1:62" ht="15.75" hidden="1" customHeight="1" outlineLevel="1">
      <c r="A2536" s="454"/>
      <c r="B2536" s="99"/>
      <c r="C2536" s="99"/>
      <c r="D2536" s="99"/>
      <c r="E2536" s="99"/>
      <c r="F2536" s="99"/>
      <c r="G2536" s="99"/>
      <c r="H2536" s="99"/>
      <c r="I2536" s="99"/>
      <c r="J2536" s="99"/>
      <c r="K2536" s="99"/>
      <c r="L2536" s="99"/>
      <c r="M2536" s="99"/>
      <c r="N2536" s="99"/>
      <c r="O2536" s="99"/>
      <c r="P2536" s="99"/>
      <c r="Q2536" s="99"/>
      <c r="R2536" s="99"/>
      <c r="S2536" s="99"/>
      <c r="T2536" s="99"/>
      <c r="U2536" s="99"/>
      <c r="V2536" s="99"/>
      <c r="W2536" s="105"/>
      <c r="X2536" s="105"/>
      <c r="Y2536" s="105"/>
      <c r="Z2536" s="105"/>
      <c r="AA2536" s="105"/>
      <c r="AB2536" s="105"/>
      <c r="AC2536" s="105"/>
      <c r="AD2536" s="105">
        <f>IF($AD$2452&gt;0,PPMT('Assumptions (Battery)'!$V$7,Model!W$1,'Assumptions (Battery)'!$V$10,'Assumptions (Battery)'!$V$5*Model!$AD$2452*'Assumptions (Battery)'!$AB$2/10^9),0)</f>
        <v>0</v>
      </c>
      <c r="AE2536" s="105">
        <f>IF($AD$2452&gt;0,PPMT('Assumptions (Battery)'!$V$7,Model!X$1,'Assumptions (Battery)'!$V$10,'Assumptions (Battery)'!$V$5*Model!$AD$2452*'Assumptions (Battery)'!$AB$2/10^9),0)</f>
        <v>0</v>
      </c>
      <c r="AF2536" s="105">
        <f>IF($AD$2452&gt;0,PPMT('Assumptions (Battery)'!$V$7,Model!Y$1,'Assumptions (Battery)'!$V$10,'Assumptions (Battery)'!$V$5*Model!$AD$2452*'Assumptions (Battery)'!$AB$2/10^9),0)</f>
        <v>0</v>
      </c>
      <c r="AG2536" s="105">
        <f>IF($AD$2452&gt;0,PPMT('Assumptions (Battery)'!$V$7,Model!Z$1,'Assumptions (Battery)'!$V$10,'Assumptions (Battery)'!$V$5*Model!$AD$2452*'Assumptions (Battery)'!$AB$2/10^9),0)</f>
        <v>0</v>
      </c>
      <c r="AH2536" s="105">
        <f>IF($AD$2452&gt;0,PPMT('Assumptions (Battery)'!$V$7,Model!AA$1,'Assumptions (Battery)'!$V$10,'Assumptions (Battery)'!$V$5*Model!$AD$2452*'Assumptions (Battery)'!$AB$2/10^9),0)</f>
        <v>0</v>
      </c>
      <c r="AI2536" s="105">
        <f>IF($AD$2452&gt;0,PPMT('Assumptions (Battery)'!$V$7,Model!AB$1,'Assumptions (Battery)'!$V$10,'Assumptions (Battery)'!$V$5*Model!$AD$2452*'Assumptions (Battery)'!$AB$2/10^9),0)</f>
        <v>0</v>
      </c>
      <c r="AJ2536" s="105">
        <f>IF($AD$2452&gt;0,PPMT('Assumptions (Battery)'!$V$7,Model!AC$1,'Assumptions (Battery)'!$V$10,'Assumptions (Battery)'!$V$5*Model!$AD$2452*'Assumptions (Battery)'!$AB$2/10^9),0)</f>
        <v>0</v>
      </c>
      <c r="AK2536" s="105">
        <f>IF($AD$2452&gt;0,PPMT('Assumptions (Battery)'!$V$7,Model!AD$1,'Assumptions (Battery)'!$V$10,'Assumptions (Battery)'!$V$5*Model!$AD$2452*'Assumptions (Battery)'!$AB$2/10^9),0)</f>
        <v>0</v>
      </c>
      <c r="AL2536" s="105">
        <f>IF($AD$2452&gt;0,PPMT('Assumptions (Battery)'!$V$7,Model!AE$1,'Assumptions (Battery)'!$V$10,'Assumptions (Battery)'!$V$5*Model!$AD$2452*'Assumptions (Battery)'!$AB$2/10^9),0)</f>
        <v>0</v>
      </c>
      <c r="AM2536" s="105">
        <f>IF($AD$2452&gt;0,PPMT('Assumptions (Battery)'!$V$7,Model!AF$1,'Assumptions (Battery)'!$V$10,'Assumptions (Battery)'!$V$5*Model!$AD$2452*'Assumptions (Battery)'!$AB$2/10^9),0)</f>
        <v>0</v>
      </c>
      <c r="AN2536" s="105">
        <f>IF($AD$2452&gt;0,PPMT('Assumptions (Battery)'!$V$7,Model!AG$1,'Assumptions (Battery)'!$V$10,'Assumptions (Battery)'!$V$5*Model!$AD$2452*'Assumptions (Battery)'!$AB$2/10^9),0)</f>
        <v>0</v>
      </c>
      <c r="AO2536" s="105">
        <f>IF($AD$2452&gt;0,PPMT('Assumptions (Battery)'!$V$7,Model!AH$1,'Assumptions (Battery)'!$V$10,'Assumptions (Battery)'!$V$5*Model!$AD$2452*'Assumptions (Battery)'!$AB$2/10^9),0)</f>
        <v>0</v>
      </c>
      <c r="AP2536" s="105">
        <f>IF($AD$2452&gt;0,PPMT('Assumptions (Battery)'!$V$7,Model!AI$1,'Assumptions (Battery)'!$V$10,'Assumptions (Battery)'!$V$5*Model!$AD$2452*'Assumptions (Battery)'!$AB$2/10^9),0)</f>
        <v>0</v>
      </c>
      <c r="AQ2536" s="105">
        <f>IF($AD$2452&gt;0,PPMT('Assumptions (Battery)'!$V$7,Model!AJ$1,'Assumptions (Battery)'!$V$10,'Assumptions (Battery)'!$V$5*Model!$AD$2452*'Assumptions (Battery)'!$AB$2/10^9),0)</f>
        <v>0</v>
      </c>
      <c r="AR2536" s="105">
        <f>IF($AD$2452&gt;0,PPMT('Assumptions (Battery)'!$V$7,Model!AK$1,'Assumptions (Battery)'!$V$10,'Assumptions (Battery)'!$V$5*Model!$AD$2452*'Assumptions (Battery)'!$AB$2/10^9),0)</f>
        <v>0</v>
      </c>
      <c r="AS2536" s="105"/>
      <c r="AT2536" s="105"/>
      <c r="AU2536" s="105"/>
      <c r="AV2536" s="105"/>
      <c r="AW2536" s="105"/>
      <c r="AX2536" s="105"/>
      <c r="AY2536" s="105"/>
      <c r="AZ2536" s="105"/>
      <c r="BA2536" s="105"/>
      <c r="BB2536" s="105"/>
    </row>
    <row r="2537" spans="1:62" ht="15.75" hidden="1" customHeight="1" outlineLevel="1">
      <c r="A2537" s="454"/>
      <c r="B2537" s="99"/>
      <c r="C2537" s="99"/>
      <c r="D2537" s="99"/>
      <c r="E2537" s="99"/>
      <c r="F2537" s="99"/>
      <c r="G2537" s="99"/>
      <c r="H2537" s="99"/>
      <c r="I2537" s="99"/>
      <c r="J2537" s="99"/>
      <c r="K2537" s="99"/>
      <c r="L2537" s="99"/>
      <c r="M2537" s="99"/>
      <c r="N2537" s="99"/>
      <c r="O2537" s="99"/>
      <c r="P2537" s="99"/>
      <c r="Q2537" s="99"/>
      <c r="R2537" s="99"/>
      <c r="S2537" s="99"/>
      <c r="T2537" s="99"/>
      <c r="U2537" s="99"/>
      <c r="V2537" s="99"/>
      <c r="W2537" s="105"/>
      <c r="X2537" s="105"/>
      <c r="Y2537" s="105"/>
      <c r="Z2537" s="105"/>
      <c r="AA2537" s="105"/>
      <c r="AB2537" s="105"/>
      <c r="AC2537" s="105"/>
      <c r="AD2537" s="105"/>
      <c r="AE2537" s="105">
        <f>IF($AE$2452&gt;0,PPMT('Assumptions (Battery)'!$V$7,Model!W$1,'Assumptions (Battery)'!$V$10,'Assumptions (Battery)'!$V$5*Model!$AE$2452*'Assumptions (Battery)'!$AC$2/10^9),0)</f>
        <v>0</v>
      </c>
      <c r="AF2537" s="105">
        <f>IF($AE$2452&gt;0,PPMT('Assumptions (Battery)'!$V$7,Model!X$1,'Assumptions (Battery)'!$V$10,'Assumptions (Battery)'!$V$5*Model!$AE$2452*'Assumptions (Battery)'!$AC$2/10^9),0)</f>
        <v>0</v>
      </c>
      <c r="AG2537" s="105">
        <f>IF($AE$2452&gt;0,PPMT('Assumptions (Battery)'!$V$7,Model!Y$1,'Assumptions (Battery)'!$V$10,'Assumptions (Battery)'!$V$5*Model!$AE$2452*'Assumptions (Battery)'!$AC$2/10^9),0)</f>
        <v>0</v>
      </c>
      <c r="AH2537" s="105">
        <f>IF($AE$2452&gt;0,PPMT('Assumptions (Battery)'!$V$7,Model!Z$1,'Assumptions (Battery)'!$V$10,'Assumptions (Battery)'!$V$5*Model!$AE$2452*'Assumptions (Battery)'!$AC$2/10^9),0)</f>
        <v>0</v>
      </c>
      <c r="AI2537" s="105">
        <f>IF($AE$2452&gt;0,PPMT('Assumptions (Battery)'!$V$7,Model!AA$1,'Assumptions (Battery)'!$V$10,'Assumptions (Battery)'!$V$5*Model!$AE$2452*'Assumptions (Battery)'!$AC$2/10^9),0)</f>
        <v>0</v>
      </c>
      <c r="AJ2537" s="105">
        <f>IF($AE$2452&gt;0,PPMT('Assumptions (Battery)'!$V$7,Model!AB$1,'Assumptions (Battery)'!$V$10,'Assumptions (Battery)'!$V$5*Model!$AE$2452*'Assumptions (Battery)'!$AC$2/10^9),0)</f>
        <v>0</v>
      </c>
      <c r="AK2537" s="105">
        <f>IF($AE$2452&gt;0,PPMT('Assumptions (Battery)'!$V$7,Model!AC$1,'Assumptions (Battery)'!$V$10,'Assumptions (Battery)'!$V$5*Model!$AE$2452*'Assumptions (Battery)'!$AC$2/10^9),0)</f>
        <v>0</v>
      </c>
      <c r="AL2537" s="105">
        <f>IF($AE$2452&gt;0,PPMT('Assumptions (Battery)'!$V$7,Model!AD$1,'Assumptions (Battery)'!$V$10,'Assumptions (Battery)'!$V$5*Model!$AE$2452*'Assumptions (Battery)'!$AC$2/10^9),0)</f>
        <v>0</v>
      </c>
      <c r="AM2537" s="105">
        <f>IF($AE$2452&gt;0,PPMT('Assumptions (Battery)'!$V$7,Model!AE$1,'Assumptions (Battery)'!$V$10,'Assumptions (Battery)'!$V$5*Model!$AE$2452*'Assumptions (Battery)'!$AC$2/10^9),0)</f>
        <v>0</v>
      </c>
      <c r="AN2537" s="105">
        <f>IF($AE$2452&gt;0,PPMT('Assumptions (Battery)'!$V$7,Model!AF$1,'Assumptions (Battery)'!$V$10,'Assumptions (Battery)'!$V$5*Model!$AE$2452*'Assumptions (Battery)'!$AC$2/10^9),0)</f>
        <v>0</v>
      </c>
      <c r="AO2537" s="105">
        <f>IF($AE$2452&gt;0,PPMT('Assumptions (Battery)'!$V$7,Model!AG$1,'Assumptions (Battery)'!$V$10,'Assumptions (Battery)'!$V$5*Model!$AE$2452*'Assumptions (Battery)'!$AC$2/10^9),0)</f>
        <v>0</v>
      </c>
      <c r="AP2537" s="105">
        <f>IF($AE$2452&gt;0,PPMT('Assumptions (Battery)'!$V$7,Model!AH$1,'Assumptions (Battery)'!$V$10,'Assumptions (Battery)'!$V$5*Model!$AE$2452*'Assumptions (Battery)'!$AC$2/10^9),0)</f>
        <v>0</v>
      </c>
      <c r="AQ2537" s="105">
        <f>IF($AE$2452&gt;0,PPMT('Assumptions (Battery)'!$V$7,Model!AI$1,'Assumptions (Battery)'!$V$10,'Assumptions (Battery)'!$V$5*Model!$AE$2452*'Assumptions (Battery)'!$AC$2/10^9),0)</f>
        <v>0</v>
      </c>
      <c r="AR2537" s="105">
        <f>IF($AE$2452&gt;0,PPMT('Assumptions (Battery)'!$V$7,Model!AJ$1,'Assumptions (Battery)'!$V$10,'Assumptions (Battery)'!$V$5*Model!$AE$2452*'Assumptions (Battery)'!$AC$2/10^9),0)</f>
        <v>0</v>
      </c>
      <c r="AS2537" s="105">
        <f>IF($AE$2452&gt;0,PPMT('Assumptions (Battery)'!$V$7,Model!AK$1,'Assumptions (Battery)'!$V$10,'Assumptions (Battery)'!$V$5*Model!$AE$2452*'Assumptions (Battery)'!$AC$2/10^9),0)</f>
        <v>0</v>
      </c>
      <c r="AT2537" s="105"/>
      <c r="AU2537" s="105"/>
      <c r="AV2537" s="105"/>
      <c r="AW2537" s="105"/>
      <c r="AX2537" s="105"/>
      <c r="AY2537" s="105"/>
      <c r="AZ2537" s="105"/>
      <c r="BA2537" s="105"/>
      <c r="BB2537" s="105"/>
      <c r="BC2537" s="105"/>
    </row>
    <row r="2538" spans="1:62" ht="15.75" hidden="1" customHeight="1" outlineLevel="1">
      <c r="A2538" s="454"/>
      <c r="B2538" s="99"/>
      <c r="C2538" s="99"/>
      <c r="D2538" s="99"/>
      <c r="E2538" s="99"/>
      <c r="F2538" s="99"/>
      <c r="G2538" s="99"/>
      <c r="H2538" s="99"/>
      <c r="I2538" s="99"/>
      <c r="J2538" s="99"/>
      <c r="K2538" s="99"/>
      <c r="L2538" s="99"/>
      <c r="M2538" s="99"/>
      <c r="N2538" s="99"/>
      <c r="O2538" s="99"/>
      <c r="P2538" s="99"/>
      <c r="Q2538" s="99"/>
      <c r="R2538" s="99"/>
      <c r="S2538" s="99"/>
      <c r="T2538" s="99"/>
      <c r="U2538" s="99"/>
      <c r="V2538" s="99"/>
      <c r="W2538" s="105"/>
      <c r="X2538" s="105"/>
      <c r="Y2538" s="105"/>
      <c r="Z2538" s="105"/>
      <c r="AA2538" s="105"/>
      <c r="AB2538" s="105"/>
      <c r="AC2538" s="105"/>
      <c r="AD2538" s="105"/>
      <c r="AE2538" s="105"/>
      <c r="AF2538" s="105">
        <f>IF($AF$2452&gt;0,PPMT('Assumptions (Battery)'!$V$7,Model!W$1,'Assumptions (Battery)'!$V$10,'Assumptions (Battery)'!$V$5*Model!$AF$2452*'Assumptions (Battery)'!$AD$2/10^9),0)</f>
        <v>0</v>
      </c>
      <c r="AG2538" s="105">
        <f>IF($AF$2452&gt;0,PPMT('Assumptions (Battery)'!$V$7,Model!X$1,'Assumptions (Battery)'!$V$10,'Assumptions (Battery)'!$V$5*Model!$AF$2452*'Assumptions (Battery)'!$AD$2/10^9),0)</f>
        <v>0</v>
      </c>
      <c r="AH2538" s="105">
        <f>IF($AF$2452&gt;0,PPMT('Assumptions (Battery)'!$V$7,Model!Y$1,'Assumptions (Battery)'!$V$10,'Assumptions (Battery)'!$V$5*Model!$AF$2452*'Assumptions (Battery)'!$AD$2/10^9),0)</f>
        <v>0</v>
      </c>
      <c r="AI2538" s="105">
        <f>IF($AF$2452&gt;0,PPMT('Assumptions (Battery)'!$V$7,Model!Z$1,'Assumptions (Battery)'!$V$10,'Assumptions (Battery)'!$V$5*Model!$AF$2452*'Assumptions (Battery)'!$AD$2/10^9),0)</f>
        <v>0</v>
      </c>
      <c r="AJ2538" s="105">
        <f>IF($AF$2452&gt;0,PPMT('Assumptions (Battery)'!$V$7,Model!AA$1,'Assumptions (Battery)'!$V$10,'Assumptions (Battery)'!$V$5*Model!$AF$2452*'Assumptions (Battery)'!$AD$2/10^9),0)</f>
        <v>0</v>
      </c>
      <c r="AK2538" s="105">
        <f>IF($AF$2452&gt;0,PPMT('Assumptions (Battery)'!$V$7,Model!AB$1,'Assumptions (Battery)'!$V$10,'Assumptions (Battery)'!$V$5*Model!$AF$2452*'Assumptions (Battery)'!$AD$2/10^9),0)</f>
        <v>0</v>
      </c>
      <c r="AL2538" s="105">
        <f>IF($AF$2452&gt;0,PPMT('Assumptions (Battery)'!$V$7,Model!AC$1,'Assumptions (Battery)'!$V$10,'Assumptions (Battery)'!$V$5*Model!$AF$2452*'Assumptions (Battery)'!$AD$2/10^9),0)</f>
        <v>0</v>
      </c>
      <c r="AM2538" s="105">
        <f>IF($AF$2452&gt;0,PPMT('Assumptions (Battery)'!$V$7,Model!AD$1,'Assumptions (Battery)'!$V$10,'Assumptions (Battery)'!$V$5*Model!$AF$2452*'Assumptions (Battery)'!$AD$2/10^9),0)</f>
        <v>0</v>
      </c>
      <c r="AN2538" s="105">
        <f>IF($AF$2452&gt;0,PPMT('Assumptions (Battery)'!$V$7,Model!AE$1,'Assumptions (Battery)'!$V$10,'Assumptions (Battery)'!$V$5*Model!$AF$2452*'Assumptions (Battery)'!$AD$2/10^9),0)</f>
        <v>0</v>
      </c>
      <c r="AO2538" s="105">
        <f>IF($AF$2452&gt;0,PPMT('Assumptions (Battery)'!$V$7,Model!AF$1,'Assumptions (Battery)'!$V$10,'Assumptions (Battery)'!$V$5*Model!$AF$2452*'Assumptions (Battery)'!$AD$2/10^9),0)</f>
        <v>0</v>
      </c>
      <c r="AP2538" s="105">
        <f>IF($AF$2452&gt;0,PPMT('Assumptions (Battery)'!$V$7,Model!AG$1,'Assumptions (Battery)'!$V$10,'Assumptions (Battery)'!$V$5*Model!$AF$2452*'Assumptions (Battery)'!$AD$2/10^9),0)</f>
        <v>0</v>
      </c>
      <c r="AQ2538" s="105">
        <f>IF($AF$2452&gt;0,PPMT('Assumptions (Battery)'!$V$7,Model!AH$1,'Assumptions (Battery)'!$V$10,'Assumptions (Battery)'!$V$5*Model!$AF$2452*'Assumptions (Battery)'!$AD$2/10^9),0)</f>
        <v>0</v>
      </c>
      <c r="AR2538" s="105">
        <f>IF($AF$2452&gt;0,PPMT('Assumptions (Battery)'!$V$7,Model!AI$1,'Assumptions (Battery)'!$V$10,'Assumptions (Battery)'!$V$5*Model!$AF$2452*'Assumptions (Battery)'!$AD$2/10^9),0)</f>
        <v>0</v>
      </c>
      <c r="AS2538" s="105">
        <f>IF($AF$2452&gt;0,PPMT('Assumptions (Battery)'!$V$7,Model!AJ$1,'Assumptions (Battery)'!$V$10,'Assumptions (Battery)'!$V$5*Model!$AF$2452*'Assumptions (Battery)'!$AD$2/10^9),0)</f>
        <v>0</v>
      </c>
      <c r="AT2538" s="105">
        <f>IF($AF$2452&gt;0,PPMT('Assumptions (Battery)'!$V$7,Model!AK$1,'Assumptions (Battery)'!$V$10,'Assumptions (Battery)'!$V$5*Model!$AF$2452*'Assumptions (Battery)'!$AD$2/10^9),0)</f>
        <v>0</v>
      </c>
      <c r="AU2538" s="105"/>
      <c r="AV2538" s="105"/>
      <c r="AW2538" s="105"/>
      <c r="AX2538" s="105"/>
      <c r="AY2538" s="105"/>
      <c r="AZ2538" s="105"/>
      <c r="BA2538" s="105"/>
      <c r="BB2538" s="105"/>
      <c r="BC2538" s="105"/>
      <c r="BD2538" s="105"/>
    </row>
    <row r="2539" spans="1:62" ht="15.75" hidden="1" customHeight="1" outlineLevel="1">
      <c r="A2539" s="454"/>
      <c r="B2539" s="99"/>
      <c r="C2539" s="99"/>
      <c r="D2539" s="99"/>
      <c r="E2539" s="99"/>
      <c r="F2539" s="99"/>
      <c r="G2539" s="99"/>
      <c r="H2539" s="99"/>
      <c r="I2539" s="99"/>
      <c r="J2539" s="99"/>
      <c r="K2539" s="99"/>
      <c r="L2539" s="99"/>
      <c r="M2539" s="99"/>
      <c r="N2539" s="99"/>
      <c r="O2539" s="99"/>
      <c r="P2539" s="99"/>
      <c r="Q2539" s="99"/>
      <c r="R2539" s="99"/>
      <c r="S2539" s="99"/>
      <c r="T2539" s="99"/>
      <c r="U2539" s="99"/>
      <c r="V2539" s="99"/>
      <c r="W2539" s="105"/>
      <c r="X2539" s="105"/>
      <c r="Y2539" s="105"/>
      <c r="Z2539" s="105"/>
      <c r="AA2539" s="105"/>
      <c r="AB2539" s="105"/>
      <c r="AC2539" s="105"/>
      <c r="AD2539" s="105"/>
      <c r="AE2539" s="105"/>
      <c r="AF2539" s="105"/>
      <c r="AG2539" s="105">
        <f>IF($AG$2452&gt;0,PPMT('Assumptions (Battery)'!$V$7,Model!W$1,'Assumptions (Battery)'!$V$10,'Assumptions (Battery)'!$V$5*Model!$AG$2452*'Assumptions (Battery)'!$AE$2/10^9),0)</f>
        <v>0</v>
      </c>
      <c r="AH2539" s="105">
        <f>IF($AG$2452&gt;0,PPMT('Assumptions (Battery)'!$V$7,Model!X$1,'Assumptions (Battery)'!$V$10,'Assumptions (Battery)'!$V$5*Model!$AG$2452*'Assumptions (Battery)'!$AE$2/10^9),0)</f>
        <v>0</v>
      </c>
      <c r="AI2539" s="105">
        <f>IF($AG$2452&gt;0,PPMT('Assumptions (Battery)'!$V$7,Model!Y$1,'Assumptions (Battery)'!$V$10,'Assumptions (Battery)'!$V$5*Model!$AG$2452*'Assumptions (Battery)'!$AE$2/10^9),0)</f>
        <v>0</v>
      </c>
      <c r="AJ2539" s="105">
        <f>IF($AG$2452&gt;0,PPMT('Assumptions (Battery)'!$V$7,Model!Z$1,'Assumptions (Battery)'!$V$10,'Assumptions (Battery)'!$V$5*Model!$AG$2452*'Assumptions (Battery)'!$AE$2/10^9),0)</f>
        <v>0</v>
      </c>
      <c r="AK2539" s="105">
        <f>IF($AG$2452&gt;0,PPMT('Assumptions (Battery)'!$V$7,Model!AA$1,'Assumptions (Battery)'!$V$10,'Assumptions (Battery)'!$V$5*Model!$AG$2452*'Assumptions (Battery)'!$AE$2/10^9),0)</f>
        <v>0</v>
      </c>
      <c r="AL2539" s="105">
        <f>IF($AG$2452&gt;0,PPMT('Assumptions (Battery)'!$V$7,Model!AB$1,'Assumptions (Battery)'!$V$10,'Assumptions (Battery)'!$V$5*Model!$AG$2452*'Assumptions (Battery)'!$AE$2/10^9),0)</f>
        <v>0</v>
      </c>
      <c r="AM2539" s="105">
        <f>IF($AG$2452&gt;0,PPMT('Assumptions (Battery)'!$V$7,Model!AC$1,'Assumptions (Battery)'!$V$10,'Assumptions (Battery)'!$V$5*Model!$AG$2452*'Assumptions (Battery)'!$AE$2/10^9),0)</f>
        <v>0</v>
      </c>
      <c r="AN2539" s="105">
        <f>IF($AG$2452&gt;0,PPMT('Assumptions (Battery)'!$V$7,Model!AD$1,'Assumptions (Battery)'!$V$10,'Assumptions (Battery)'!$V$5*Model!$AG$2452*'Assumptions (Battery)'!$AE$2/10^9),0)</f>
        <v>0</v>
      </c>
      <c r="AO2539" s="105">
        <f>IF($AG$2452&gt;0,PPMT('Assumptions (Battery)'!$V$7,Model!AE$1,'Assumptions (Battery)'!$V$10,'Assumptions (Battery)'!$V$5*Model!$AG$2452*'Assumptions (Battery)'!$AE$2/10^9),0)</f>
        <v>0</v>
      </c>
      <c r="AP2539" s="105">
        <f>IF($AG$2452&gt;0,PPMT('Assumptions (Battery)'!$V$7,Model!AF$1,'Assumptions (Battery)'!$V$10,'Assumptions (Battery)'!$V$5*Model!$AG$2452*'Assumptions (Battery)'!$AE$2/10^9),0)</f>
        <v>0</v>
      </c>
      <c r="AQ2539" s="105">
        <f>IF($AG$2452&gt;0,PPMT('Assumptions (Battery)'!$V$7,Model!AG$1,'Assumptions (Battery)'!$V$10,'Assumptions (Battery)'!$V$5*Model!$AG$2452*'Assumptions (Battery)'!$AE$2/10^9),0)</f>
        <v>0</v>
      </c>
      <c r="AR2539" s="105">
        <f>IF($AG$2452&gt;0,PPMT('Assumptions (Battery)'!$V$7,Model!AH$1,'Assumptions (Battery)'!$V$10,'Assumptions (Battery)'!$V$5*Model!$AG$2452*'Assumptions (Battery)'!$AE$2/10^9),0)</f>
        <v>0</v>
      </c>
      <c r="AS2539" s="105">
        <f>IF($AG$2452&gt;0,PPMT('Assumptions (Battery)'!$V$7,Model!AI$1,'Assumptions (Battery)'!$V$10,'Assumptions (Battery)'!$V$5*Model!$AG$2452*'Assumptions (Battery)'!$AE$2/10^9),0)</f>
        <v>0</v>
      </c>
      <c r="AT2539" s="105">
        <f>IF($AG$2452&gt;0,PPMT('Assumptions (Battery)'!$V$7,Model!AJ$1,'Assumptions (Battery)'!$V$10,'Assumptions (Battery)'!$V$5*Model!$AG$2452*'Assumptions (Battery)'!$AE$2/10^9),0)</f>
        <v>0</v>
      </c>
      <c r="AU2539" s="105">
        <f>IF($AG$2452&gt;0,PPMT('Assumptions (Battery)'!$V$7,Model!AK$1,'Assumptions (Battery)'!$V$10,'Assumptions (Battery)'!$V$5*Model!$AG$2452*'Assumptions (Battery)'!$AE$2/10^9),0)</f>
        <v>0</v>
      </c>
      <c r="AV2539" s="105"/>
      <c r="AW2539" s="105"/>
      <c r="AX2539" s="105"/>
      <c r="AY2539" s="105"/>
      <c r="AZ2539" s="105"/>
      <c r="BA2539" s="105"/>
      <c r="BB2539" s="105"/>
      <c r="BC2539" s="105"/>
      <c r="BD2539" s="105"/>
      <c r="BE2539" s="105"/>
    </row>
    <row r="2540" spans="1:62" ht="15.75" hidden="1" customHeight="1" outlineLevel="1">
      <c r="A2540" s="454"/>
      <c r="B2540" s="99"/>
      <c r="C2540" s="99"/>
      <c r="D2540" s="99"/>
      <c r="E2540" s="99"/>
      <c r="F2540" s="99"/>
      <c r="G2540" s="99"/>
      <c r="H2540" s="99"/>
      <c r="I2540" s="99"/>
      <c r="J2540" s="99"/>
      <c r="K2540" s="99"/>
      <c r="L2540" s="99"/>
      <c r="M2540" s="99"/>
      <c r="N2540" s="99"/>
      <c r="O2540" s="99"/>
      <c r="P2540" s="99"/>
      <c r="Q2540" s="99"/>
      <c r="R2540" s="99"/>
      <c r="S2540" s="99"/>
      <c r="T2540" s="99"/>
      <c r="U2540" s="99"/>
      <c r="V2540" s="99"/>
      <c r="W2540" s="105"/>
      <c r="X2540" s="105"/>
      <c r="Y2540" s="105"/>
      <c r="Z2540" s="105"/>
      <c r="AA2540" s="105"/>
      <c r="AB2540" s="105"/>
      <c r="AC2540" s="105"/>
      <c r="AD2540" s="105"/>
      <c r="AE2540" s="105"/>
      <c r="AF2540" s="105"/>
      <c r="AG2540" s="105"/>
      <c r="AH2540" s="105">
        <f>IF($AH$2452&gt;0,PPMT('Assumptions (Battery)'!$V$7,Model!W$1,'Assumptions (Battery)'!$V$10,'Assumptions (Battery)'!$V$5*Model!$AH$2452*'Assumptions (Battery)'!$AF$2/10^9),0)</f>
        <v>0</v>
      </c>
      <c r="AI2540" s="105">
        <f>IF($AH$2452&gt;0,PPMT('Assumptions (Battery)'!$V$7,Model!X$1,'Assumptions (Battery)'!$V$10,'Assumptions (Battery)'!$V$5*Model!$AH$2452*'Assumptions (Battery)'!$AF$2/10^9),0)</f>
        <v>0</v>
      </c>
      <c r="AJ2540" s="105">
        <f>IF($AH$2452&gt;0,PPMT('Assumptions (Battery)'!$V$7,Model!Y$1,'Assumptions (Battery)'!$V$10,'Assumptions (Battery)'!$V$5*Model!$AH$2452*'Assumptions (Battery)'!$AF$2/10^9),0)</f>
        <v>0</v>
      </c>
      <c r="AK2540" s="105">
        <f>IF($AH$2452&gt;0,PPMT('Assumptions (Battery)'!$V$7,Model!Z$1,'Assumptions (Battery)'!$V$10,'Assumptions (Battery)'!$V$5*Model!$AH$2452*'Assumptions (Battery)'!$AF$2/10^9),0)</f>
        <v>0</v>
      </c>
      <c r="AL2540" s="105">
        <f>IF($AH$2452&gt;0,PPMT('Assumptions (Battery)'!$V$7,Model!AA$1,'Assumptions (Battery)'!$V$10,'Assumptions (Battery)'!$V$5*Model!$AH$2452*'Assumptions (Battery)'!$AF$2/10^9),0)</f>
        <v>0</v>
      </c>
      <c r="AM2540" s="105">
        <f>IF($AH$2452&gt;0,PPMT('Assumptions (Battery)'!$V$7,Model!AB$1,'Assumptions (Battery)'!$V$10,'Assumptions (Battery)'!$V$5*Model!$AH$2452*'Assumptions (Battery)'!$AF$2/10^9),0)</f>
        <v>0</v>
      </c>
      <c r="AN2540" s="105">
        <f>IF($AH$2452&gt;0,PPMT('Assumptions (Battery)'!$V$7,Model!AC$1,'Assumptions (Battery)'!$V$10,'Assumptions (Battery)'!$V$5*Model!$AH$2452*'Assumptions (Battery)'!$AF$2/10^9),0)</f>
        <v>0</v>
      </c>
      <c r="AO2540" s="105">
        <f>IF($AH$2452&gt;0,PPMT('Assumptions (Battery)'!$V$7,Model!AD$1,'Assumptions (Battery)'!$V$10,'Assumptions (Battery)'!$V$5*Model!$AH$2452*'Assumptions (Battery)'!$AF$2/10^9),0)</f>
        <v>0</v>
      </c>
      <c r="AP2540" s="105">
        <f>IF($AH$2452&gt;0,PPMT('Assumptions (Battery)'!$V$7,Model!AE$1,'Assumptions (Battery)'!$V$10,'Assumptions (Battery)'!$V$5*Model!$AH$2452*'Assumptions (Battery)'!$AF$2/10^9),0)</f>
        <v>0</v>
      </c>
      <c r="AQ2540" s="105">
        <f>IF($AH$2452&gt;0,PPMT('Assumptions (Battery)'!$V$7,Model!AF$1,'Assumptions (Battery)'!$V$10,'Assumptions (Battery)'!$V$5*Model!$AH$2452*'Assumptions (Battery)'!$AF$2/10^9),0)</f>
        <v>0</v>
      </c>
      <c r="AR2540" s="105">
        <f>IF($AH$2452&gt;0,PPMT('Assumptions (Battery)'!$V$7,Model!AG$1,'Assumptions (Battery)'!$V$10,'Assumptions (Battery)'!$V$5*Model!$AH$2452*'Assumptions (Battery)'!$AF$2/10^9),0)</f>
        <v>0</v>
      </c>
      <c r="AS2540" s="105">
        <f>IF($AH$2452&gt;0,PPMT('Assumptions (Battery)'!$V$7,Model!AH$1,'Assumptions (Battery)'!$V$10,'Assumptions (Battery)'!$V$5*Model!$AH$2452*'Assumptions (Battery)'!$AF$2/10^9),0)</f>
        <v>0</v>
      </c>
      <c r="AT2540" s="105">
        <f>IF($AH$2452&gt;0,PPMT('Assumptions (Battery)'!$V$7,Model!AI$1,'Assumptions (Battery)'!$V$10,'Assumptions (Battery)'!$V$5*Model!$AH$2452*'Assumptions (Battery)'!$AF$2/10^9),0)</f>
        <v>0</v>
      </c>
      <c r="AU2540" s="105">
        <f>IF($AH$2452&gt;0,PPMT('Assumptions (Battery)'!$V$7,Model!AJ$1,'Assumptions (Battery)'!$V$10,'Assumptions (Battery)'!$V$5*Model!$AH$2452*'Assumptions (Battery)'!$AF$2/10^9),0)</f>
        <v>0</v>
      </c>
      <c r="AV2540" s="105">
        <f>IF($AH$2452&gt;0,PPMT('Assumptions (Battery)'!$V$7,Model!AK$1,'Assumptions (Battery)'!$V$10,'Assumptions (Battery)'!$V$5*Model!$AH$2452*'Assumptions (Battery)'!$AF$2/10^9),0)</f>
        <v>0</v>
      </c>
      <c r="AW2540" s="105"/>
      <c r="AX2540" s="105"/>
      <c r="AY2540" s="105"/>
      <c r="AZ2540" s="105"/>
      <c r="BA2540" s="105"/>
      <c r="BB2540" s="105"/>
      <c r="BC2540" s="105"/>
      <c r="BD2540" s="105"/>
      <c r="BE2540" s="105"/>
      <c r="BF2540" s="105"/>
    </row>
    <row r="2541" spans="1:62" ht="15.75" hidden="1" customHeight="1" outlineLevel="1">
      <c r="A2541" s="454"/>
      <c r="B2541" s="99"/>
      <c r="C2541" s="99"/>
      <c r="D2541" s="99"/>
      <c r="E2541" s="99"/>
      <c r="F2541" s="99"/>
      <c r="G2541" s="99"/>
      <c r="H2541" s="99"/>
      <c r="I2541" s="99"/>
      <c r="J2541" s="99"/>
      <c r="K2541" s="99"/>
      <c r="L2541" s="99"/>
      <c r="M2541" s="99"/>
      <c r="N2541" s="99"/>
      <c r="O2541" s="99"/>
      <c r="P2541" s="99"/>
      <c r="Q2541" s="99"/>
      <c r="R2541" s="99"/>
      <c r="S2541" s="99"/>
      <c r="T2541" s="99"/>
      <c r="U2541" s="99"/>
      <c r="V2541" s="99"/>
      <c r="W2541" s="105"/>
      <c r="X2541" s="105"/>
      <c r="Y2541" s="105"/>
      <c r="Z2541" s="105"/>
      <c r="AA2541" s="105"/>
      <c r="AB2541" s="105"/>
      <c r="AC2541" s="105"/>
      <c r="AD2541" s="105"/>
      <c r="AE2541" s="105"/>
      <c r="AF2541" s="105"/>
      <c r="AG2541" s="105"/>
      <c r="AH2541" s="105"/>
      <c r="AI2541" s="105">
        <f>IF($AI$2452&gt;0,PPMT('Assumptions (Battery)'!$V$7,Model!W$1,'Assumptions (Battery)'!$V$10,'Assumptions (Battery)'!$V$5*Model!$AI$2452*'Assumptions (Battery)'!$AG$2/10^9),0)</f>
        <v>0</v>
      </c>
      <c r="AJ2541" s="105">
        <f>IF($AI$2452&gt;0,PPMT('Assumptions (Battery)'!$V$7,Model!X$1,'Assumptions (Battery)'!$V$10,'Assumptions (Battery)'!$V$5*Model!$AI$2452*'Assumptions (Battery)'!$AG$2/10^9),0)</f>
        <v>0</v>
      </c>
      <c r="AK2541" s="105">
        <f>IF($AI$2452&gt;0,PPMT('Assumptions (Battery)'!$V$7,Model!Y$1,'Assumptions (Battery)'!$V$10,'Assumptions (Battery)'!$V$5*Model!$AI$2452*'Assumptions (Battery)'!$AG$2/10^9),0)</f>
        <v>0</v>
      </c>
      <c r="AL2541" s="105">
        <f>IF($AI$2452&gt;0,PPMT('Assumptions (Battery)'!$V$7,Model!Z$1,'Assumptions (Battery)'!$V$10,'Assumptions (Battery)'!$V$5*Model!$AI$2452*'Assumptions (Battery)'!$AG$2/10^9),0)</f>
        <v>0</v>
      </c>
      <c r="AM2541" s="105">
        <f>IF($AI$2452&gt;0,PPMT('Assumptions (Battery)'!$V$7,Model!AA$1,'Assumptions (Battery)'!$V$10,'Assumptions (Battery)'!$V$5*Model!$AI$2452*'Assumptions (Battery)'!$AG$2/10^9),0)</f>
        <v>0</v>
      </c>
      <c r="AN2541" s="105">
        <f>IF($AI$2452&gt;0,PPMT('Assumptions (Battery)'!$V$7,Model!AB$1,'Assumptions (Battery)'!$V$10,'Assumptions (Battery)'!$V$5*Model!$AI$2452*'Assumptions (Battery)'!$AG$2/10^9),0)</f>
        <v>0</v>
      </c>
      <c r="AO2541" s="105">
        <f>IF($AI$2452&gt;0,PPMT('Assumptions (Battery)'!$V$7,Model!AC$1,'Assumptions (Battery)'!$V$10,'Assumptions (Battery)'!$V$5*Model!$AI$2452*'Assumptions (Battery)'!$AG$2/10^9),0)</f>
        <v>0</v>
      </c>
      <c r="AP2541" s="105">
        <f>IF($AI$2452&gt;0,PPMT('Assumptions (Battery)'!$V$7,Model!AD$1,'Assumptions (Battery)'!$V$10,'Assumptions (Battery)'!$V$5*Model!$AI$2452*'Assumptions (Battery)'!$AG$2/10^9),0)</f>
        <v>0</v>
      </c>
      <c r="AQ2541" s="105">
        <f>IF($AI$2452&gt;0,PPMT('Assumptions (Battery)'!$V$7,Model!AE$1,'Assumptions (Battery)'!$V$10,'Assumptions (Battery)'!$V$5*Model!$AI$2452*'Assumptions (Battery)'!$AG$2/10^9),0)</f>
        <v>0</v>
      </c>
      <c r="AR2541" s="105">
        <f>IF($AI$2452&gt;0,PPMT('Assumptions (Battery)'!$V$7,Model!AF$1,'Assumptions (Battery)'!$V$10,'Assumptions (Battery)'!$V$5*Model!$AI$2452*'Assumptions (Battery)'!$AG$2/10^9),0)</f>
        <v>0</v>
      </c>
      <c r="AS2541" s="105">
        <f>IF($AI$2452&gt;0,PPMT('Assumptions (Battery)'!$V$7,Model!AG$1,'Assumptions (Battery)'!$V$10,'Assumptions (Battery)'!$V$5*Model!$AI$2452*'Assumptions (Battery)'!$AG$2/10^9),0)</f>
        <v>0</v>
      </c>
      <c r="AT2541" s="105">
        <f>IF($AI$2452&gt;0,PPMT('Assumptions (Battery)'!$V$7,Model!AH$1,'Assumptions (Battery)'!$V$10,'Assumptions (Battery)'!$V$5*Model!$AI$2452*'Assumptions (Battery)'!$AG$2/10^9),0)</f>
        <v>0</v>
      </c>
      <c r="AU2541" s="105">
        <f>IF($AI$2452&gt;0,PPMT('Assumptions (Battery)'!$V$7,Model!AI$1,'Assumptions (Battery)'!$V$10,'Assumptions (Battery)'!$V$5*Model!$AI$2452*'Assumptions (Battery)'!$AG$2/10^9),0)</f>
        <v>0</v>
      </c>
      <c r="AV2541" s="105">
        <f>IF($AI$2452&gt;0,PPMT('Assumptions (Battery)'!$V$7,Model!AJ$1,'Assumptions (Battery)'!$V$10,'Assumptions (Battery)'!$V$5*Model!$AI$2452*'Assumptions (Battery)'!$AG$2/10^9),0)</f>
        <v>0</v>
      </c>
      <c r="AW2541" s="105">
        <f>IF($AI$2452&gt;0,PPMT('Assumptions (Battery)'!$V$7,Model!AK$1,'Assumptions (Battery)'!$V$10,'Assumptions (Battery)'!$V$5*Model!$AI$2452*'Assumptions (Battery)'!$AG$2/10^9),0)</f>
        <v>0</v>
      </c>
      <c r="AX2541" s="105"/>
      <c r="AY2541" s="105"/>
      <c r="AZ2541" s="105"/>
      <c r="BA2541" s="105"/>
      <c r="BB2541" s="105"/>
      <c r="BC2541" s="105"/>
      <c r="BD2541" s="105"/>
      <c r="BE2541" s="105"/>
      <c r="BF2541" s="105"/>
      <c r="BG2541" s="105"/>
    </row>
    <row r="2542" spans="1:62" ht="15.75" hidden="1" customHeight="1" outlineLevel="1">
      <c r="A2542" s="454"/>
      <c r="B2542" s="99"/>
      <c r="C2542" s="99"/>
      <c r="D2542" s="99"/>
      <c r="E2542" s="99"/>
      <c r="F2542" s="99"/>
      <c r="G2542" s="99"/>
      <c r="H2542" s="99"/>
      <c r="I2542" s="99"/>
      <c r="J2542" s="99"/>
      <c r="K2542" s="99"/>
      <c r="L2542" s="99"/>
      <c r="M2542" s="99"/>
      <c r="N2542" s="99"/>
      <c r="O2542" s="99"/>
      <c r="P2542" s="99"/>
      <c r="Q2542" s="99"/>
      <c r="R2542" s="99"/>
      <c r="S2542" s="99"/>
      <c r="T2542" s="99"/>
      <c r="U2542" s="99"/>
      <c r="V2542" s="99"/>
      <c r="W2542" s="105"/>
      <c r="X2542" s="105"/>
      <c r="Y2542" s="105"/>
      <c r="Z2542" s="105"/>
      <c r="AA2542" s="105"/>
      <c r="AB2542" s="105"/>
      <c r="AC2542" s="105"/>
      <c r="AD2542" s="105"/>
      <c r="AE2542" s="105"/>
      <c r="AF2542" s="105"/>
      <c r="AG2542" s="105"/>
      <c r="AH2542" s="105"/>
      <c r="AI2542" s="105"/>
      <c r="AJ2542" s="91">
        <f>IF($AJ$2452&gt;0,PPMT('Assumptions (Battery)'!$V$7,Model!W$1,'Assumptions (Battery)'!$V$10,'Assumptions (Battery)'!$V$5*Model!$AJ$2452*'Assumptions (Battery)'!$AH$2/10^9),0)</f>
        <v>0</v>
      </c>
      <c r="AK2542" s="91">
        <f>IF($AJ$2452&gt;0,PPMT('Assumptions (Battery)'!$V$7,Model!X$1,'Assumptions (Battery)'!$V$10,'Assumptions (Battery)'!$V$5*Model!$AJ$2452*'Assumptions (Battery)'!$AH$2/10^9),0)</f>
        <v>0</v>
      </c>
      <c r="AL2542" s="91">
        <f>IF($AJ$2452&gt;0,PPMT('Assumptions (Battery)'!$V$7,Model!Y$1,'Assumptions (Battery)'!$V$10,'Assumptions (Battery)'!$V$5*Model!$AJ$2452*'Assumptions (Battery)'!$AH$2/10^9),0)</f>
        <v>0</v>
      </c>
      <c r="AM2542" s="91">
        <f>IF($AJ$2452&gt;0,PPMT('Assumptions (Battery)'!$V$7,Model!Z$1,'Assumptions (Battery)'!$V$10,'Assumptions (Battery)'!$V$5*Model!$AJ$2452*'Assumptions (Battery)'!$AH$2/10^9),0)</f>
        <v>0</v>
      </c>
      <c r="AN2542" s="91">
        <f>IF($AJ$2452&gt;0,PPMT('Assumptions (Battery)'!$V$7,Model!AA$1,'Assumptions (Battery)'!$V$10,'Assumptions (Battery)'!$V$5*Model!$AJ$2452*'Assumptions (Battery)'!$AH$2/10^9),0)</f>
        <v>0</v>
      </c>
      <c r="AO2542" s="91">
        <f>IF($AJ$2452&gt;0,PPMT('Assumptions (Battery)'!$V$7,Model!AB$1,'Assumptions (Battery)'!$V$10,'Assumptions (Battery)'!$V$5*Model!$AJ$2452*'Assumptions (Battery)'!$AH$2/10^9),0)</f>
        <v>0</v>
      </c>
      <c r="AP2542" s="91">
        <f>IF($AJ$2452&gt;0,PPMT('Assumptions (Battery)'!$V$7,Model!AC$1,'Assumptions (Battery)'!$V$10,'Assumptions (Battery)'!$V$5*Model!$AJ$2452*'Assumptions (Battery)'!$AH$2/10^9),0)</f>
        <v>0</v>
      </c>
      <c r="AQ2542" s="91">
        <f>IF($AJ$2452&gt;0,PPMT('Assumptions (Battery)'!$V$7,Model!AD$1,'Assumptions (Battery)'!$V$10,'Assumptions (Battery)'!$V$5*Model!$AJ$2452*'Assumptions (Battery)'!$AH$2/10^9),0)</f>
        <v>0</v>
      </c>
      <c r="AR2542" s="91">
        <f>IF($AJ$2452&gt;0,PPMT('Assumptions (Battery)'!$V$7,Model!AE$1,'Assumptions (Battery)'!$V$10,'Assumptions (Battery)'!$V$5*Model!$AJ$2452*'Assumptions (Battery)'!$AH$2/10^9),0)</f>
        <v>0</v>
      </c>
      <c r="AS2542" s="91">
        <f>IF($AJ$2452&gt;0,PPMT('Assumptions (Battery)'!$V$7,Model!AF$1,'Assumptions (Battery)'!$V$10,'Assumptions (Battery)'!$V$5*Model!$AJ$2452*'Assumptions (Battery)'!$AH$2/10^9),0)</f>
        <v>0</v>
      </c>
      <c r="AT2542" s="91">
        <f>IF($AJ$2452&gt;0,PPMT('Assumptions (Battery)'!$V$7,Model!AG$1,'Assumptions (Battery)'!$V$10,'Assumptions (Battery)'!$V$5*Model!$AJ$2452*'Assumptions (Battery)'!$AH$2/10^9),0)</f>
        <v>0</v>
      </c>
      <c r="AU2542" s="91">
        <f>IF($AJ$2452&gt;0,PPMT('Assumptions (Battery)'!$V$7,Model!AH$1,'Assumptions (Battery)'!$V$10,'Assumptions (Battery)'!$V$5*Model!$AJ$2452*'Assumptions (Battery)'!$AH$2/10^9),0)</f>
        <v>0</v>
      </c>
      <c r="AV2542" s="91">
        <f>IF($AJ$2452&gt;0,PPMT('Assumptions (Battery)'!$V$7,Model!AI$1,'Assumptions (Battery)'!$V$10,'Assumptions (Battery)'!$V$5*Model!$AJ$2452*'Assumptions (Battery)'!$AH$2/10^9),0)</f>
        <v>0</v>
      </c>
      <c r="AW2542" s="91">
        <f>IF($AJ$2452&gt;0,PPMT('Assumptions (Battery)'!$V$7,Model!AJ$1,'Assumptions (Battery)'!$V$10,'Assumptions (Battery)'!$V$5*Model!$AJ$2452*'Assumptions (Battery)'!$AH$2/10^9),0)</f>
        <v>0</v>
      </c>
      <c r="AX2542" s="91">
        <f>IF($AJ$2452&gt;0,PPMT('Assumptions (Battery)'!$V$7,Model!AK$1,'Assumptions (Battery)'!$V$10,'Assumptions (Battery)'!$V$5*Model!$AJ$2452*'Assumptions (Battery)'!$AH$2/10^9),0)</f>
        <v>0</v>
      </c>
      <c r="AY2542" s="91"/>
      <c r="AZ2542" s="91"/>
      <c r="BA2542" s="91"/>
      <c r="BB2542" s="91"/>
      <c r="BC2542" s="91"/>
      <c r="BD2542" s="91"/>
      <c r="BE2542" s="91"/>
      <c r="BF2542" s="91"/>
      <c r="BG2542" s="91"/>
      <c r="BH2542" s="91"/>
    </row>
    <row r="2543" spans="1:62" ht="15.75" hidden="1" customHeight="1" outlineLevel="1">
      <c r="A2543" s="454"/>
      <c r="B2543" s="99"/>
      <c r="C2543" s="99"/>
      <c r="D2543" s="99"/>
      <c r="E2543" s="99"/>
      <c r="F2543" s="99"/>
      <c r="G2543" s="99"/>
      <c r="H2543" s="99"/>
      <c r="I2543" s="99"/>
      <c r="J2543" s="99"/>
      <c r="K2543" s="99"/>
      <c r="L2543" s="99"/>
      <c r="M2543" s="99"/>
      <c r="N2543" s="99"/>
      <c r="O2543" s="99"/>
      <c r="P2543" s="99"/>
      <c r="Q2543" s="99"/>
      <c r="R2543" s="99"/>
      <c r="S2543" s="99"/>
      <c r="T2543" s="99"/>
      <c r="U2543" s="99"/>
      <c r="V2543" s="99"/>
      <c r="W2543" s="105"/>
      <c r="X2543" s="105"/>
      <c r="Y2543" s="105"/>
      <c r="Z2543" s="105"/>
      <c r="AA2543" s="105"/>
      <c r="AB2543" s="105"/>
      <c r="AC2543" s="105"/>
      <c r="AD2543" s="105"/>
      <c r="AE2543" s="105"/>
      <c r="AF2543" s="105"/>
      <c r="AG2543" s="105"/>
      <c r="AH2543" s="105"/>
      <c r="AI2543" s="105"/>
      <c r="AJ2543" s="171"/>
      <c r="AK2543" s="105">
        <f>IF($AK$2452&gt;0,PPMT('Assumptions (Battery)'!$V$7,Model!W$1,'Assumptions (Battery)'!$V$10,'Assumptions (Battery)'!$V$5*Model!$AK$2452*'Assumptions (Battery)'!$AI$2/10^9),0)</f>
        <v>0</v>
      </c>
      <c r="AL2543" s="105">
        <f>IF($AK$2452&gt;0,PPMT('Assumptions (Battery)'!$V$7,Model!X$1,'Assumptions (Battery)'!$V$10,'Assumptions (Battery)'!$V$5*Model!$AK$2452*'Assumptions (Battery)'!$AI$2/10^9),0)</f>
        <v>0</v>
      </c>
      <c r="AM2543" s="105">
        <f>IF($AK$2452&gt;0,PPMT('Assumptions (Battery)'!$V$7,Model!Y$1,'Assumptions (Battery)'!$V$10,'Assumptions (Battery)'!$V$5*Model!$AK$2452*'Assumptions (Battery)'!$AI$2/10^9),0)</f>
        <v>0</v>
      </c>
      <c r="AN2543" s="105">
        <f>IF($AK$2452&gt;0,PPMT('Assumptions (Battery)'!$V$7,Model!Z$1,'Assumptions (Battery)'!$V$10,'Assumptions (Battery)'!$V$5*Model!$AK$2452*'Assumptions (Battery)'!$AI$2/10^9),0)</f>
        <v>0</v>
      </c>
      <c r="AO2543" s="105">
        <f>IF($AK$2452&gt;0,PPMT('Assumptions (Battery)'!$V$7,Model!AA$1,'Assumptions (Battery)'!$V$10,'Assumptions (Battery)'!$V$5*Model!$AK$2452*'Assumptions (Battery)'!$AI$2/10^9),0)</f>
        <v>0</v>
      </c>
      <c r="AP2543" s="105">
        <f>IF($AK$2452&gt;0,PPMT('Assumptions (Battery)'!$V$7,Model!AB$1,'Assumptions (Battery)'!$V$10,'Assumptions (Battery)'!$V$5*Model!$AK$2452*'Assumptions (Battery)'!$AI$2/10^9),0)</f>
        <v>0</v>
      </c>
      <c r="AQ2543" s="105">
        <f>IF($AK$2452&gt;0,PPMT('Assumptions (Battery)'!$V$7,Model!AC$1,'Assumptions (Battery)'!$V$10,'Assumptions (Battery)'!$V$5*Model!$AK$2452*'Assumptions (Battery)'!$AI$2/10^9),0)</f>
        <v>0</v>
      </c>
      <c r="AR2543" s="105">
        <f>IF($AK$2452&gt;0,PPMT('Assumptions (Battery)'!$V$7,Model!AD$1,'Assumptions (Battery)'!$V$10,'Assumptions (Battery)'!$V$5*Model!$AK$2452*'Assumptions (Battery)'!$AI$2/10^9),0)</f>
        <v>0</v>
      </c>
      <c r="AS2543" s="105">
        <f>IF($AK$2452&gt;0,PPMT('Assumptions (Battery)'!$V$7,Model!AE$1,'Assumptions (Battery)'!$V$10,'Assumptions (Battery)'!$V$5*Model!$AK$2452*'Assumptions (Battery)'!$AI$2/10^9),0)</f>
        <v>0</v>
      </c>
      <c r="AT2543" s="105">
        <f>IF($AK$2452&gt;0,PPMT('Assumptions (Battery)'!$V$7,Model!AF$1,'Assumptions (Battery)'!$V$10,'Assumptions (Battery)'!$V$5*Model!$AK$2452*'Assumptions (Battery)'!$AI$2/10^9),0)</f>
        <v>0</v>
      </c>
      <c r="AU2543" s="105">
        <f>IF($AK$2452&gt;0,PPMT('Assumptions (Battery)'!$V$7,Model!AG$1,'Assumptions (Battery)'!$V$10,'Assumptions (Battery)'!$V$5*Model!$AK$2452*'Assumptions (Battery)'!$AI$2/10^9),0)</f>
        <v>0</v>
      </c>
      <c r="AV2543" s="105">
        <f>IF($AK$2452&gt;0,PPMT('Assumptions (Battery)'!$V$7,Model!AH$1,'Assumptions (Battery)'!$V$10,'Assumptions (Battery)'!$V$5*Model!$AK$2452*'Assumptions (Battery)'!$AI$2/10^9),0)</f>
        <v>0</v>
      </c>
      <c r="AW2543" s="105">
        <f>IF($AK$2452&gt;0,PPMT('Assumptions (Battery)'!$V$7,Model!AI$1,'Assumptions (Battery)'!$V$10,'Assumptions (Battery)'!$V$5*Model!$AK$2452*'Assumptions (Battery)'!$AI$2/10^9),0)</f>
        <v>0</v>
      </c>
      <c r="AX2543" s="105">
        <f>IF($AK$2452&gt;0,PPMT('Assumptions (Battery)'!$V$7,Model!AJ$1,'Assumptions (Battery)'!$V$10,'Assumptions (Battery)'!$V$5*Model!$AK$2452*'Assumptions (Battery)'!$AI$2/10^9),0)</f>
        <v>0</v>
      </c>
      <c r="AY2543" s="105">
        <f>IF($AK$2452&gt;0,PPMT('Assumptions (Battery)'!$V$7,Model!AK$1,'Assumptions (Battery)'!$V$10,'Assumptions (Battery)'!$V$5*Model!$AK$2452*'Assumptions (Battery)'!$AI$2/10^9),0)</f>
        <v>0</v>
      </c>
      <c r="AZ2543" s="105"/>
      <c r="BA2543" s="105"/>
      <c r="BB2543" s="105"/>
      <c r="BC2543" s="105"/>
      <c r="BD2543" s="105"/>
      <c r="BE2543" s="105"/>
      <c r="BF2543" s="105"/>
      <c r="BG2543" s="105"/>
      <c r="BH2543" s="105"/>
      <c r="BI2543" s="105"/>
    </row>
    <row r="2544" spans="1:62" ht="15.75" hidden="1" customHeight="1" outlineLevel="1">
      <c r="A2544" s="454"/>
      <c r="B2544" s="99"/>
      <c r="C2544" s="99"/>
      <c r="D2544" s="99"/>
      <c r="E2544" s="99"/>
      <c r="F2544" s="99"/>
      <c r="G2544" s="99"/>
      <c r="H2544" s="99"/>
      <c r="I2544" s="99"/>
      <c r="J2544" s="99"/>
      <c r="K2544" s="99"/>
      <c r="L2544" s="99"/>
      <c r="M2544" s="99"/>
      <c r="N2544" s="99"/>
      <c r="O2544" s="99"/>
      <c r="P2544" s="99"/>
      <c r="Q2544" s="99"/>
      <c r="R2544" s="99"/>
      <c r="S2544" s="99"/>
      <c r="T2544" s="99"/>
      <c r="U2544" s="99"/>
      <c r="V2544" s="99"/>
      <c r="W2544" s="105"/>
      <c r="X2544" s="105"/>
      <c r="Y2544" s="105"/>
      <c r="Z2544" s="105"/>
      <c r="AA2544" s="105"/>
      <c r="AB2544" s="105"/>
      <c r="AC2544" s="105"/>
      <c r="AD2544" s="105"/>
      <c r="AE2544" s="105"/>
      <c r="AF2544" s="105"/>
      <c r="AG2544" s="105"/>
      <c r="AH2544" s="105"/>
      <c r="AI2544" s="105"/>
      <c r="AJ2544" s="171"/>
      <c r="AK2544" s="105"/>
      <c r="AL2544" s="91">
        <f>IF($AL$2452&gt;0,PPMT('Assumptions (Battery)'!$V$7,Model!W$1,'Assumptions (Battery)'!$V$10,'Assumptions (Battery)'!$V$5*Model!$AL$2452*'Assumptions (Battery)'!$AJ$2/10^9),0)</f>
        <v>0</v>
      </c>
      <c r="AM2544" s="91">
        <f>IF($AL$2452&gt;0,PPMT('Assumptions (Battery)'!$V$7,Model!X$1,'Assumptions (Battery)'!$V$10,'Assumptions (Battery)'!$V$5*Model!$AL$2452*'Assumptions (Battery)'!$AJ$2/10^9),0)</f>
        <v>0</v>
      </c>
      <c r="AN2544" s="91">
        <f>IF($AL$2452&gt;0,PPMT('Assumptions (Battery)'!$V$7,Model!Y$1,'Assumptions (Battery)'!$V$10,'Assumptions (Battery)'!$V$5*Model!$AL$2452*'Assumptions (Battery)'!$AJ$2/10^9),0)</f>
        <v>0</v>
      </c>
      <c r="AO2544" s="91">
        <f>IF($AL$2452&gt;0,PPMT('Assumptions (Battery)'!$V$7,Model!Z$1,'Assumptions (Battery)'!$V$10,'Assumptions (Battery)'!$V$5*Model!$AL$2452*'Assumptions (Battery)'!$AJ$2/10^9),0)</f>
        <v>0</v>
      </c>
      <c r="AP2544" s="91">
        <f>IF($AL$2452&gt;0,PPMT('Assumptions (Battery)'!$V$7,Model!AA$1,'Assumptions (Battery)'!$V$10,'Assumptions (Battery)'!$V$5*Model!$AL$2452*'Assumptions (Battery)'!$AJ$2/10^9),0)</f>
        <v>0</v>
      </c>
      <c r="AQ2544" s="91">
        <f>IF($AL$2452&gt;0,PPMT('Assumptions (Battery)'!$V$7,Model!AB$1,'Assumptions (Battery)'!$V$10,'Assumptions (Battery)'!$V$5*Model!$AL$2452*'Assumptions (Battery)'!$AJ$2/10^9),0)</f>
        <v>0</v>
      </c>
      <c r="AR2544" s="91">
        <f>IF($AL$2452&gt;0,PPMT('Assumptions (Battery)'!$V$7,Model!AC$1,'Assumptions (Battery)'!$V$10,'Assumptions (Battery)'!$V$5*Model!$AL$2452*'Assumptions (Battery)'!$AJ$2/10^9),0)</f>
        <v>0</v>
      </c>
      <c r="AS2544" s="91">
        <f>IF($AL$2452&gt;0,PPMT('Assumptions (Battery)'!$V$7,Model!AD$1,'Assumptions (Battery)'!$V$10,'Assumptions (Battery)'!$V$5*Model!$AL$2452*'Assumptions (Battery)'!$AJ$2/10^9),0)</f>
        <v>0</v>
      </c>
      <c r="AT2544" s="91">
        <f>IF($AL$2452&gt;0,PPMT('Assumptions (Battery)'!$V$7,Model!AE$1,'Assumptions (Battery)'!$V$10,'Assumptions (Battery)'!$V$5*Model!$AL$2452*'Assumptions (Battery)'!$AJ$2/10^9),0)</f>
        <v>0</v>
      </c>
      <c r="AU2544" s="91">
        <f>IF($AL$2452&gt;0,PPMT('Assumptions (Battery)'!$V$7,Model!AF$1,'Assumptions (Battery)'!$V$10,'Assumptions (Battery)'!$V$5*Model!$AL$2452*'Assumptions (Battery)'!$AJ$2/10^9),0)</f>
        <v>0</v>
      </c>
      <c r="AV2544" s="91">
        <f>IF($AL$2452&gt;0,PPMT('Assumptions (Battery)'!$V$7,Model!AG$1,'Assumptions (Battery)'!$V$10,'Assumptions (Battery)'!$V$5*Model!$AL$2452*'Assumptions (Battery)'!$AJ$2/10^9),0)</f>
        <v>0</v>
      </c>
      <c r="AW2544" s="91">
        <f>IF($AL$2452&gt;0,PPMT('Assumptions (Battery)'!$V$7,Model!AH$1,'Assumptions (Battery)'!$V$10,'Assumptions (Battery)'!$V$5*Model!$AL$2452*'Assumptions (Battery)'!$AJ$2/10^9),0)</f>
        <v>0</v>
      </c>
      <c r="AX2544" s="91">
        <f>IF($AL$2452&gt;0,PPMT('Assumptions (Battery)'!$V$7,Model!AI$1,'Assumptions (Battery)'!$V$10,'Assumptions (Battery)'!$V$5*Model!$AL$2452*'Assumptions (Battery)'!$AJ$2/10^9),0)</f>
        <v>0</v>
      </c>
      <c r="AY2544" s="91">
        <f>IF($AL$2452&gt;0,PPMT('Assumptions (Battery)'!$V$7,Model!AJ$1,'Assumptions (Battery)'!$V$10,'Assumptions (Battery)'!$V$5*Model!$AL$2452*'Assumptions (Battery)'!$AJ$2/10^9),0)</f>
        <v>0</v>
      </c>
      <c r="AZ2544" s="91">
        <f>IF($AL$2452&gt;0,PPMT('Assumptions (Battery)'!$V$7,Model!AK$1,'Assumptions (Battery)'!$V$10,'Assumptions (Battery)'!$V$5*Model!$AL$2452*'Assumptions (Battery)'!$AJ$2/10^9),0)</f>
        <v>0</v>
      </c>
      <c r="BA2544" s="91"/>
      <c r="BB2544" s="91"/>
      <c r="BC2544" s="91"/>
      <c r="BD2544" s="91"/>
      <c r="BE2544" s="91"/>
      <c r="BF2544" s="91"/>
      <c r="BG2544" s="91"/>
      <c r="BH2544" s="91"/>
      <c r="BI2544" s="91"/>
      <c r="BJ2544" s="91"/>
    </row>
    <row r="2545" spans="1:68" ht="15.75" hidden="1" customHeight="1" outlineLevel="1">
      <c r="A2545" s="454"/>
      <c r="B2545" s="99"/>
      <c r="C2545" s="99"/>
      <c r="D2545" s="99"/>
      <c r="E2545" s="99"/>
      <c r="F2545" s="99"/>
      <c r="G2545" s="99"/>
      <c r="H2545" s="99"/>
      <c r="I2545" s="99"/>
      <c r="J2545" s="99"/>
      <c r="K2545" s="99"/>
      <c r="L2545" s="99"/>
      <c r="M2545" s="99"/>
      <c r="N2545" s="99"/>
      <c r="O2545" s="99"/>
      <c r="P2545" s="99"/>
      <c r="Q2545" s="99"/>
      <c r="R2545" s="99"/>
      <c r="S2545" s="99"/>
      <c r="T2545" s="99"/>
      <c r="U2545" s="99"/>
      <c r="V2545" s="99"/>
      <c r="W2545" s="105"/>
      <c r="X2545" s="105"/>
      <c r="Y2545" s="105"/>
      <c r="Z2545" s="105"/>
      <c r="AA2545" s="105"/>
      <c r="AB2545" s="105"/>
      <c r="AC2545" s="105"/>
      <c r="AD2545" s="105"/>
      <c r="AE2545" s="105"/>
      <c r="AF2545" s="105"/>
      <c r="AG2545" s="105"/>
      <c r="AH2545" s="105"/>
      <c r="AI2545" s="105"/>
      <c r="AJ2545" s="171"/>
      <c r="AK2545" s="105"/>
      <c r="AL2545" s="91"/>
      <c r="AM2545" s="105">
        <f>IF($AM$2452&gt;0,PPMT('Assumptions (Battery)'!$V$7,Model!W$1,'Assumptions (Battery)'!$V$10,'Assumptions (Battery)'!$V$5*Model!$AM$2452*'Assumptions (Battery)'!$AK$2/10^9),0)</f>
        <v>0</v>
      </c>
      <c r="AN2545" s="105">
        <f>IF($AM$2452&gt;0,PPMT('Assumptions (Battery)'!$V$7,Model!X$1,'Assumptions (Battery)'!$V$10,'Assumptions (Battery)'!$V$5*Model!$AM$2452*'Assumptions (Battery)'!$AK$2/10^9),0)</f>
        <v>0</v>
      </c>
      <c r="AO2545" s="105">
        <f>IF($AM$2452&gt;0,PPMT('Assumptions (Battery)'!$V$7,Model!Y$1,'Assumptions (Battery)'!$V$10,'Assumptions (Battery)'!$V$5*Model!$AM$2452*'Assumptions (Battery)'!$AK$2/10^9),0)</f>
        <v>0</v>
      </c>
      <c r="AP2545" s="105">
        <f>IF($AM$2452&gt;0,PPMT('Assumptions (Battery)'!$V$7,Model!Z$1,'Assumptions (Battery)'!$V$10,'Assumptions (Battery)'!$V$5*Model!$AM$2452*'Assumptions (Battery)'!$AK$2/10^9),0)</f>
        <v>0</v>
      </c>
      <c r="AQ2545" s="105">
        <f>IF($AM$2452&gt;0,PPMT('Assumptions (Battery)'!$V$7,Model!AA$1,'Assumptions (Battery)'!$V$10,'Assumptions (Battery)'!$V$5*Model!$AM$2452*'Assumptions (Battery)'!$AK$2/10^9),0)</f>
        <v>0</v>
      </c>
      <c r="AR2545" s="105">
        <f>IF($AM$2452&gt;0,PPMT('Assumptions (Battery)'!$V$7,Model!AB$1,'Assumptions (Battery)'!$V$10,'Assumptions (Battery)'!$V$5*Model!$AM$2452*'Assumptions (Battery)'!$AK$2/10^9),0)</f>
        <v>0</v>
      </c>
      <c r="AS2545" s="105">
        <f>IF($AM$2452&gt;0,PPMT('Assumptions (Battery)'!$V$7,Model!AC$1,'Assumptions (Battery)'!$V$10,'Assumptions (Battery)'!$V$5*Model!$AM$2452*'Assumptions (Battery)'!$AK$2/10^9),0)</f>
        <v>0</v>
      </c>
      <c r="AT2545" s="105">
        <f>IF($AM$2452&gt;0,PPMT('Assumptions (Battery)'!$V$7,Model!AD$1,'Assumptions (Battery)'!$V$10,'Assumptions (Battery)'!$V$5*Model!$AM$2452*'Assumptions (Battery)'!$AK$2/10^9),0)</f>
        <v>0</v>
      </c>
      <c r="AU2545" s="105">
        <f>IF($AM$2452&gt;0,PPMT('Assumptions (Battery)'!$V$7,Model!AE$1,'Assumptions (Battery)'!$V$10,'Assumptions (Battery)'!$V$5*Model!$AM$2452*'Assumptions (Battery)'!$AK$2/10^9),0)</f>
        <v>0</v>
      </c>
      <c r="AV2545" s="105">
        <f>IF($AM$2452&gt;0,PPMT('Assumptions (Battery)'!$V$7,Model!AF$1,'Assumptions (Battery)'!$V$10,'Assumptions (Battery)'!$V$5*Model!$AM$2452*'Assumptions (Battery)'!$AK$2/10^9),0)</f>
        <v>0</v>
      </c>
      <c r="AW2545" s="105">
        <f>IF($AM$2452&gt;0,PPMT('Assumptions (Battery)'!$V$7,Model!AG$1,'Assumptions (Battery)'!$V$10,'Assumptions (Battery)'!$V$5*Model!$AM$2452*'Assumptions (Battery)'!$AK$2/10^9),0)</f>
        <v>0</v>
      </c>
      <c r="AX2545" s="105">
        <f>IF($AM$2452&gt;0,PPMT('Assumptions (Battery)'!$V$7,Model!AH$1,'Assumptions (Battery)'!$V$10,'Assumptions (Battery)'!$V$5*Model!$AM$2452*'Assumptions (Battery)'!$AK$2/10^9),0)</f>
        <v>0</v>
      </c>
      <c r="AY2545" s="105">
        <f>IF($AM$2452&gt;0,PPMT('Assumptions (Battery)'!$V$7,Model!AI$1,'Assumptions (Battery)'!$V$10,'Assumptions (Battery)'!$V$5*Model!$AM$2452*'Assumptions (Battery)'!$AK$2/10^9),0)</f>
        <v>0</v>
      </c>
      <c r="AZ2545" s="105">
        <f>IF($AM$2452&gt;0,PPMT('Assumptions (Battery)'!$V$7,Model!AJ$1,'Assumptions (Battery)'!$V$10,'Assumptions (Battery)'!$V$5*Model!$AM$2452*'Assumptions (Battery)'!$AK$2/10^9),0)</f>
        <v>0</v>
      </c>
      <c r="BA2545" s="105">
        <f>IF($AM$2452&gt;0,PPMT('Assumptions (Battery)'!$V$7,Model!AK$1,'Assumptions (Battery)'!$V$10,'Assumptions (Battery)'!$V$5*Model!$AM$2452*'Assumptions (Battery)'!$AK$2/10^9),0)</f>
        <v>0</v>
      </c>
      <c r="BB2545" s="105"/>
      <c r="BC2545" s="105"/>
      <c r="BD2545" s="105"/>
      <c r="BE2545" s="105"/>
      <c r="BF2545" s="105"/>
      <c r="BG2545" s="105"/>
      <c r="BH2545" s="105"/>
      <c r="BI2545" s="105"/>
      <c r="BJ2545" s="105"/>
      <c r="BK2545" s="105"/>
    </row>
    <row r="2546" spans="1:68" ht="15.75" hidden="1" customHeight="1" outlineLevel="1">
      <c r="A2546" s="454"/>
      <c r="B2546" s="99"/>
      <c r="C2546" s="99"/>
      <c r="D2546" s="99"/>
      <c r="E2546" s="99"/>
      <c r="F2546" s="99"/>
      <c r="G2546" s="99"/>
      <c r="H2546" s="99"/>
      <c r="I2546" s="99"/>
      <c r="J2546" s="99"/>
      <c r="K2546" s="99"/>
      <c r="L2546" s="99"/>
      <c r="M2546" s="99"/>
      <c r="N2546" s="99"/>
      <c r="O2546" s="99"/>
      <c r="P2546" s="99"/>
      <c r="Q2546" s="99"/>
      <c r="R2546" s="99"/>
      <c r="S2546" s="99"/>
      <c r="T2546" s="99"/>
      <c r="U2546" s="99"/>
      <c r="V2546" s="99"/>
      <c r="W2546" s="105"/>
      <c r="X2546" s="105"/>
      <c r="Y2546" s="105"/>
      <c r="Z2546" s="105"/>
      <c r="AA2546" s="105"/>
      <c r="AB2546" s="105"/>
      <c r="AC2546" s="105"/>
      <c r="AD2546" s="105"/>
      <c r="AE2546" s="105"/>
      <c r="AF2546" s="105"/>
      <c r="AG2546" s="105"/>
      <c r="AH2546" s="105"/>
      <c r="AI2546" s="105"/>
      <c r="AJ2546" s="171"/>
      <c r="AK2546" s="105"/>
      <c r="AL2546" s="91"/>
      <c r="AM2546" s="91"/>
      <c r="AN2546" s="105">
        <f>IF($AN$2452&gt;0,PPMT('Assumptions (Battery)'!$V$7,Model!W$1,'Assumptions (Battery)'!$V$10,'Assumptions (Battery)'!$V$5*Model!$AN$2452*'Assumptions (Battery)'!$AL$2/10^9),0)</f>
        <v>0</v>
      </c>
      <c r="AO2546" s="105">
        <f>IF($AN$2452&gt;0,PPMT('Assumptions (Battery)'!$V$7,Model!X$1,'Assumptions (Battery)'!$V$10,'Assumptions (Battery)'!$V$5*Model!$AN$2452*'Assumptions (Battery)'!$AL$2/10^9),0)</f>
        <v>0</v>
      </c>
      <c r="AP2546" s="105">
        <f>IF($AN$2452&gt;0,PPMT('Assumptions (Battery)'!$V$7,Model!Y$1,'Assumptions (Battery)'!$V$10,'Assumptions (Battery)'!$V$5*Model!$AN$2452*'Assumptions (Battery)'!$AL$2/10^9),0)</f>
        <v>0</v>
      </c>
      <c r="AQ2546" s="105">
        <f>IF($AN$2452&gt;0,PPMT('Assumptions (Battery)'!$V$7,Model!Z$1,'Assumptions (Battery)'!$V$10,'Assumptions (Battery)'!$V$5*Model!$AN$2452*'Assumptions (Battery)'!$AL$2/10^9),0)</f>
        <v>0</v>
      </c>
      <c r="AR2546" s="105">
        <f>IF($AN$2452&gt;0,PPMT('Assumptions (Battery)'!$V$7,Model!AA$1,'Assumptions (Battery)'!$V$10,'Assumptions (Battery)'!$V$5*Model!$AN$2452*'Assumptions (Battery)'!$AL$2/10^9),0)</f>
        <v>0</v>
      </c>
      <c r="AS2546" s="105">
        <f>IF($AN$2452&gt;0,PPMT('Assumptions (Battery)'!$V$7,Model!AB$1,'Assumptions (Battery)'!$V$10,'Assumptions (Battery)'!$V$5*Model!$AN$2452*'Assumptions (Battery)'!$AL$2/10^9),0)</f>
        <v>0</v>
      </c>
      <c r="AT2546" s="105">
        <f>IF($AN$2452&gt;0,PPMT('Assumptions (Battery)'!$V$7,Model!AC$1,'Assumptions (Battery)'!$V$10,'Assumptions (Battery)'!$V$5*Model!$AN$2452*'Assumptions (Battery)'!$AL$2/10^9),0)</f>
        <v>0</v>
      </c>
      <c r="AU2546" s="105">
        <f>IF($AN$2452&gt;0,PPMT('Assumptions (Battery)'!$V$7,Model!AD$1,'Assumptions (Battery)'!$V$10,'Assumptions (Battery)'!$V$5*Model!$AN$2452*'Assumptions (Battery)'!$AL$2/10^9),0)</f>
        <v>0</v>
      </c>
      <c r="AV2546" s="105">
        <f>IF($AN$2452&gt;0,PPMT('Assumptions (Battery)'!$V$7,Model!AE$1,'Assumptions (Battery)'!$V$10,'Assumptions (Battery)'!$V$5*Model!$AN$2452*'Assumptions (Battery)'!$AL$2/10^9),0)</f>
        <v>0</v>
      </c>
      <c r="AW2546" s="105">
        <f>IF($AN$2452&gt;0,PPMT('Assumptions (Battery)'!$V$7,Model!AF$1,'Assumptions (Battery)'!$V$10,'Assumptions (Battery)'!$V$5*Model!$AN$2452*'Assumptions (Battery)'!$AL$2/10^9),0)</f>
        <v>0</v>
      </c>
      <c r="AX2546" s="105">
        <f>IF($AN$2452&gt;0,PPMT('Assumptions (Battery)'!$V$7,Model!AG$1,'Assumptions (Battery)'!$V$10,'Assumptions (Battery)'!$V$5*Model!$AN$2452*'Assumptions (Battery)'!$AL$2/10^9),0)</f>
        <v>0</v>
      </c>
      <c r="AY2546" s="105">
        <f>IF($AN$2452&gt;0,PPMT('Assumptions (Battery)'!$V$7,Model!AH$1,'Assumptions (Battery)'!$V$10,'Assumptions (Battery)'!$V$5*Model!$AN$2452*'Assumptions (Battery)'!$AL$2/10^9),0)</f>
        <v>0</v>
      </c>
      <c r="AZ2546" s="105">
        <f>IF($AN$2452&gt;0,PPMT('Assumptions (Battery)'!$V$7,Model!AI$1,'Assumptions (Battery)'!$V$10,'Assumptions (Battery)'!$V$5*Model!$AN$2452*'Assumptions (Battery)'!$AL$2/10^9),0)</f>
        <v>0</v>
      </c>
      <c r="BA2546" s="105">
        <f>IF($AN$2452&gt;0,PPMT('Assumptions (Battery)'!$V$7,Model!AJ$1,'Assumptions (Battery)'!$V$10,'Assumptions (Battery)'!$V$5*Model!$AN$2452*'Assumptions (Battery)'!$AL$2/10^9),0)</f>
        <v>0</v>
      </c>
      <c r="BB2546" s="105">
        <f>IF($AN$2452&gt;0,PPMT('Assumptions (Battery)'!$V$7,Model!AK$1,'Assumptions (Battery)'!$V$10,'Assumptions (Battery)'!$V$5*Model!$AN$2452*'Assumptions (Battery)'!$AL$2/10^9),0)</f>
        <v>0</v>
      </c>
      <c r="BC2546" s="105"/>
      <c r="BD2546" s="105"/>
      <c r="BE2546" s="105"/>
      <c r="BF2546" s="105"/>
      <c r="BG2546" s="105"/>
      <c r="BH2546" s="105"/>
      <c r="BI2546" s="105"/>
      <c r="BJ2546" s="105"/>
      <c r="BK2546" s="105"/>
      <c r="BL2546" s="105"/>
    </row>
    <row r="2547" spans="1:68" ht="15.75" hidden="1" customHeight="1" outlineLevel="1">
      <c r="A2547" s="454"/>
      <c r="B2547" s="99"/>
      <c r="C2547" s="99"/>
      <c r="D2547" s="99"/>
      <c r="E2547" s="99"/>
      <c r="F2547" s="99"/>
      <c r="G2547" s="99"/>
      <c r="H2547" s="99"/>
      <c r="I2547" s="99"/>
      <c r="J2547" s="99"/>
      <c r="K2547" s="99"/>
      <c r="L2547" s="99"/>
      <c r="M2547" s="99"/>
      <c r="N2547" s="99"/>
      <c r="O2547" s="99"/>
      <c r="P2547" s="99"/>
      <c r="Q2547" s="99"/>
      <c r="R2547" s="99"/>
      <c r="S2547" s="99"/>
      <c r="T2547" s="99"/>
      <c r="U2547" s="99"/>
      <c r="V2547" s="99"/>
      <c r="W2547" s="105"/>
      <c r="X2547" s="105"/>
      <c r="Y2547" s="105"/>
      <c r="Z2547" s="105"/>
      <c r="AA2547" s="105"/>
      <c r="AB2547" s="105"/>
      <c r="AC2547" s="105"/>
      <c r="AD2547" s="105"/>
      <c r="AE2547" s="105"/>
      <c r="AF2547" s="105"/>
      <c r="AG2547" s="105"/>
      <c r="AH2547" s="105"/>
      <c r="AI2547" s="105"/>
      <c r="AJ2547" s="171"/>
      <c r="AK2547" s="105"/>
      <c r="AL2547" s="91"/>
      <c r="AM2547" s="91"/>
      <c r="AN2547" s="91"/>
      <c r="AO2547" s="105">
        <f>IF($AO$2452&gt;0,PPMT('Assumptions (Battery)'!$V$7,Model!W$1,'Assumptions (Battery)'!$V$10,'Assumptions (Battery)'!$V$5*Model!$AO$2452*'Assumptions (Battery)'!$AM$2/10^9),0)</f>
        <v>0</v>
      </c>
      <c r="AP2547" s="105">
        <f>IF($AO$2452&gt;0,PPMT('Assumptions (Battery)'!$V$7,Model!X$1,'Assumptions (Battery)'!$V$10,'Assumptions (Battery)'!$V$5*Model!$AO$2452*'Assumptions (Battery)'!$AM$2/10^9),0)</f>
        <v>0</v>
      </c>
      <c r="AQ2547" s="105">
        <f>IF($AO$2452&gt;0,PPMT('Assumptions (Battery)'!$V$7,Model!Y$1,'Assumptions (Battery)'!$V$10,'Assumptions (Battery)'!$V$5*Model!$AO$2452*'Assumptions (Battery)'!$AM$2/10^9),0)</f>
        <v>0</v>
      </c>
      <c r="AR2547" s="105">
        <f>IF($AO$2452&gt;0,PPMT('Assumptions (Battery)'!$V$7,Model!Z$1,'Assumptions (Battery)'!$V$10,'Assumptions (Battery)'!$V$5*Model!$AO$2452*'Assumptions (Battery)'!$AM$2/10^9),0)</f>
        <v>0</v>
      </c>
      <c r="AS2547" s="105">
        <f>IF($AO$2452&gt;0,PPMT('Assumptions (Battery)'!$V$7,Model!AA$1,'Assumptions (Battery)'!$V$10,'Assumptions (Battery)'!$V$5*Model!$AO$2452*'Assumptions (Battery)'!$AM$2/10^9),0)</f>
        <v>0</v>
      </c>
      <c r="AT2547" s="105">
        <f>IF($AO$2452&gt;0,PPMT('Assumptions (Battery)'!$V$7,Model!AB$1,'Assumptions (Battery)'!$V$10,'Assumptions (Battery)'!$V$5*Model!$AO$2452*'Assumptions (Battery)'!$AM$2/10^9),0)</f>
        <v>0</v>
      </c>
      <c r="AU2547" s="105">
        <f>IF($AO$2452&gt;0,PPMT('Assumptions (Battery)'!$V$7,Model!AC$1,'Assumptions (Battery)'!$V$10,'Assumptions (Battery)'!$V$5*Model!$AO$2452*'Assumptions (Battery)'!$AM$2/10^9),0)</f>
        <v>0</v>
      </c>
      <c r="AV2547" s="105">
        <f>IF($AO$2452&gt;0,PPMT('Assumptions (Battery)'!$V$7,Model!AD$1,'Assumptions (Battery)'!$V$10,'Assumptions (Battery)'!$V$5*Model!$AO$2452*'Assumptions (Battery)'!$AM$2/10^9),0)</f>
        <v>0</v>
      </c>
      <c r="AW2547" s="105">
        <f>IF($AO$2452&gt;0,PPMT('Assumptions (Battery)'!$V$7,Model!AE$1,'Assumptions (Battery)'!$V$10,'Assumptions (Battery)'!$V$5*Model!$AO$2452*'Assumptions (Battery)'!$AM$2/10^9),0)</f>
        <v>0</v>
      </c>
      <c r="AX2547" s="105">
        <f>IF($AO$2452&gt;0,PPMT('Assumptions (Battery)'!$V$7,Model!AF$1,'Assumptions (Battery)'!$V$10,'Assumptions (Battery)'!$V$5*Model!$AO$2452*'Assumptions (Battery)'!$AM$2/10^9),0)</f>
        <v>0</v>
      </c>
      <c r="AY2547" s="105">
        <f>IF($AO$2452&gt;0,PPMT('Assumptions (Battery)'!$V$7,Model!AG$1,'Assumptions (Battery)'!$V$10,'Assumptions (Battery)'!$V$5*Model!$AO$2452*'Assumptions (Battery)'!$AM$2/10^9),0)</f>
        <v>0</v>
      </c>
      <c r="AZ2547" s="105">
        <f>IF($AO$2452&gt;0,PPMT('Assumptions (Battery)'!$V$7,Model!AH$1,'Assumptions (Battery)'!$V$10,'Assumptions (Battery)'!$V$5*Model!$AO$2452*'Assumptions (Battery)'!$AM$2/10^9),0)</f>
        <v>0</v>
      </c>
      <c r="BA2547" s="105">
        <f>IF($AO$2452&gt;0,PPMT('Assumptions (Battery)'!$V$7,Model!AI$1,'Assumptions (Battery)'!$V$10,'Assumptions (Battery)'!$V$5*Model!$AO$2452*'Assumptions (Battery)'!$AM$2/10^9),0)</f>
        <v>0</v>
      </c>
      <c r="BB2547" s="105">
        <f>IF($AO$2452&gt;0,PPMT('Assumptions (Battery)'!$V$7,Model!AJ$1,'Assumptions (Battery)'!$V$10,'Assumptions (Battery)'!$V$5*Model!$AO$2452*'Assumptions (Battery)'!$AM$2/10^9),0)</f>
        <v>0</v>
      </c>
      <c r="BC2547" s="105">
        <f>IF($AO$2452&gt;0,PPMT('Assumptions (Battery)'!$V$7,Model!AK$1,'Assumptions (Battery)'!$V$10,'Assumptions (Battery)'!$V$5*Model!$AO$2452*'Assumptions (Battery)'!$AM$2/10^9),0)</f>
        <v>0</v>
      </c>
      <c r="BD2547" s="105"/>
      <c r="BE2547" s="105"/>
      <c r="BF2547" s="105"/>
      <c r="BG2547" s="105"/>
      <c r="BH2547" s="105"/>
      <c r="BI2547" s="105"/>
      <c r="BJ2547" s="105"/>
      <c r="BK2547" s="105"/>
      <c r="BL2547" s="105"/>
      <c r="BM2547" s="105"/>
    </row>
    <row r="2548" spans="1:68" ht="15.75" hidden="1" customHeight="1" outlineLevel="1">
      <c r="A2548" s="454"/>
      <c r="B2548" s="99"/>
      <c r="C2548" s="99"/>
      <c r="D2548" s="99"/>
      <c r="E2548" s="99"/>
      <c r="F2548" s="99"/>
      <c r="G2548" s="99"/>
      <c r="H2548" s="99"/>
      <c r="I2548" s="99"/>
      <c r="J2548" s="99"/>
      <c r="K2548" s="99"/>
      <c r="L2548" s="99"/>
      <c r="M2548" s="99"/>
      <c r="N2548" s="99"/>
      <c r="O2548" s="99"/>
      <c r="P2548" s="99"/>
      <c r="Q2548" s="99"/>
      <c r="R2548" s="99"/>
      <c r="S2548" s="99"/>
      <c r="T2548" s="99"/>
      <c r="U2548" s="99"/>
      <c r="V2548" s="99"/>
      <c r="W2548" s="105"/>
      <c r="X2548" s="105"/>
      <c r="Y2548" s="105"/>
      <c r="Z2548" s="105"/>
      <c r="AA2548" s="105"/>
      <c r="AB2548" s="105"/>
      <c r="AC2548" s="105"/>
      <c r="AD2548" s="105"/>
      <c r="AE2548" s="105"/>
      <c r="AF2548" s="105"/>
      <c r="AG2548" s="105"/>
      <c r="AH2548" s="105"/>
      <c r="AI2548" s="105"/>
      <c r="AJ2548" s="171"/>
      <c r="AK2548" s="105"/>
      <c r="AL2548" s="91"/>
      <c r="AM2548" s="91"/>
      <c r="AN2548" s="91"/>
      <c r="AO2548" s="105"/>
      <c r="AP2548" s="105">
        <f>IF($AP$2452&gt;0,PPMT('Assumptions (Battery)'!$V$7,Model!W$1,'Assumptions (Battery)'!$V$10,'Assumptions (Battery)'!$V$5*Model!$AP$2452*'Assumptions (Battery)'!$AN$2/10^9),0)</f>
        <v>0</v>
      </c>
      <c r="AQ2548" s="105">
        <f>IF($AP$2452&gt;0,PPMT('Assumptions (Battery)'!$V$7,Model!X$1,'Assumptions (Battery)'!$V$10,'Assumptions (Battery)'!$V$5*Model!$AP$2452*'Assumptions (Battery)'!$AN$2/10^9),0)</f>
        <v>0</v>
      </c>
      <c r="AR2548" s="105">
        <f>IF($AP$2452&gt;0,PPMT('Assumptions (Battery)'!$V$7,Model!Y$1,'Assumptions (Battery)'!$V$10,'Assumptions (Battery)'!$V$5*Model!$AP$2452*'Assumptions (Battery)'!$AN$2/10^9),0)</f>
        <v>0</v>
      </c>
      <c r="AS2548" s="105">
        <f>IF($AP$2452&gt;0,PPMT('Assumptions (Battery)'!$V$7,Model!Z$1,'Assumptions (Battery)'!$V$10,'Assumptions (Battery)'!$V$5*Model!$AP$2452*'Assumptions (Battery)'!$AN$2/10^9),0)</f>
        <v>0</v>
      </c>
      <c r="AT2548" s="105">
        <f>IF($AP$2452&gt;0,PPMT('Assumptions (Battery)'!$V$7,Model!AA$1,'Assumptions (Battery)'!$V$10,'Assumptions (Battery)'!$V$5*Model!$AP$2452*'Assumptions (Battery)'!$AN$2/10^9),0)</f>
        <v>0</v>
      </c>
      <c r="AU2548" s="105">
        <f>IF($AP$2452&gt;0,PPMT('Assumptions (Battery)'!$V$7,Model!AB$1,'Assumptions (Battery)'!$V$10,'Assumptions (Battery)'!$V$5*Model!$AP$2452*'Assumptions (Battery)'!$AN$2/10^9),0)</f>
        <v>0</v>
      </c>
      <c r="AV2548" s="105">
        <f>IF($AP$2452&gt;0,PPMT('Assumptions (Battery)'!$V$7,Model!AC$1,'Assumptions (Battery)'!$V$10,'Assumptions (Battery)'!$V$5*Model!$AP$2452*'Assumptions (Battery)'!$AN$2/10^9),0)</f>
        <v>0</v>
      </c>
      <c r="AW2548" s="105">
        <f>IF($AP$2452&gt;0,PPMT('Assumptions (Battery)'!$V$7,Model!AD$1,'Assumptions (Battery)'!$V$10,'Assumptions (Battery)'!$V$5*Model!$AP$2452*'Assumptions (Battery)'!$AN$2/10^9),0)</f>
        <v>0</v>
      </c>
      <c r="AX2548" s="105">
        <f>IF($AP$2452&gt;0,PPMT('Assumptions (Battery)'!$V$7,Model!AE$1,'Assumptions (Battery)'!$V$10,'Assumptions (Battery)'!$V$5*Model!$AP$2452*'Assumptions (Battery)'!$AN$2/10^9),0)</f>
        <v>0</v>
      </c>
      <c r="AY2548" s="105">
        <f>IF($AP$2452&gt;0,PPMT('Assumptions (Battery)'!$V$7,Model!AF$1,'Assumptions (Battery)'!$V$10,'Assumptions (Battery)'!$V$5*Model!$AP$2452*'Assumptions (Battery)'!$AN$2/10^9),0)</f>
        <v>0</v>
      </c>
      <c r="AZ2548" s="105">
        <f>IF($AP$2452&gt;0,PPMT('Assumptions (Battery)'!$V$7,Model!AG$1,'Assumptions (Battery)'!$V$10,'Assumptions (Battery)'!$V$5*Model!$AP$2452*'Assumptions (Battery)'!$AN$2/10^9),0)</f>
        <v>0</v>
      </c>
      <c r="BA2548" s="105">
        <f>IF($AP$2452&gt;0,PPMT('Assumptions (Battery)'!$V$7,Model!AH$1,'Assumptions (Battery)'!$V$10,'Assumptions (Battery)'!$V$5*Model!$AP$2452*'Assumptions (Battery)'!$AN$2/10^9),0)</f>
        <v>0</v>
      </c>
      <c r="BB2548" s="105">
        <f>IF($AP$2452&gt;0,PPMT('Assumptions (Battery)'!$V$7,Model!AI$1,'Assumptions (Battery)'!$V$10,'Assumptions (Battery)'!$V$5*Model!$AP$2452*'Assumptions (Battery)'!$AN$2/10^9),0)</f>
        <v>0</v>
      </c>
      <c r="BC2548" s="105">
        <f>IF($AP$2452&gt;0,PPMT('Assumptions (Battery)'!$V$7,Model!AJ$1,'Assumptions (Battery)'!$V$10,'Assumptions (Battery)'!$V$5*Model!$AP$2452*'Assumptions (Battery)'!$AN$2/10^9),0)</f>
        <v>0</v>
      </c>
      <c r="BD2548" s="105">
        <f>IF($AP$2452&gt;0,PPMT('Assumptions (Battery)'!$V$7,Model!AK$1,'Assumptions (Battery)'!$V$10,'Assumptions (Battery)'!$V$5*Model!$AP$2452*'Assumptions (Battery)'!$AN$2/10^9),0)</f>
        <v>0</v>
      </c>
      <c r="BE2548" s="105"/>
      <c r="BF2548" s="105"/>
      <c r="BG2548" s="105"/>
      <c r="BH2548" s="105"/>
      <c r="BI2548" s="105"/>
      <c r="BJ2548" s="105"/>
      <c r="BK2548" s="105"/>
      <c r="BL2548" s="105"/>
      <c r="BM2548" s="105"/>
      <c r="BN2548" s="105"/>
    </row>
    <row r="2549" spans="1:68" ht="15.75" hidden="1" customHeight="1" outlineLevel="1">
      <c r="A2549" s="454"/>
      <c r="B2549" s="99"/>
      <c r="C2549" s="99"/>
      <c r="D2549" s="99"/>
      <c r="E2549" s="99"/>
      <c r="F2549" s="99"/>
      <c r="G2549" s="99"/>
      <c r="H2549" s="99"/>
      <c r="I2549" s="99"/>
      <c r="J2549" s="99"/>
      <c r="K2549" s="99"/>
      <c r="L2549" s="99"/>
      <c r="M2549" s="99"/>
      <c r="N2549" s="99"/>
      <c r="O2549" s="99"/>
      <c r="P2549" s="99"/>
      <c r="Q2549" s="99"/>
      <c r="R2549" s="99"/>
      <c r="S2549" s="99"/>
      <c r="T2549" s="99"/>
      <c r="U2549" s="99"/>
      <c r="V2549" s="99"/>
      <c r="W2549" s="105"/>
      <c r="X2549" s="105"/>
      <c r="Y2549" s="105"/>
      <c r="Z2549" s="105"/>
      <c r="AA2549" s="105"/>
      <c r="AB2549" s="105"/>
      <c r="AC2549" s="105"/>
      <c r="AD2549" s="105"/>
      <c r="AE2549" s="105"/>
      <c r="AF2549" s="105"/>
      <c r="AG2549" s="105"/>
      <c r="AH2549" s="105"/>
      <c r="AI2549" s="105"/>
      <c r="AJ2549" s="171"/>
      <c r="AK2549" s="105"/>
      <c r="AL2549" s="91"/>
      <c r="AM2549" s="91"/>
      <c r="AN2549" s="91"/>
      <c r="AO2549" s="105"/>
      <c r="AP2549" s="105"/>
      <c r="AQ2549" s="105">
        <f>IF($AQ$2452&gt;0,PPMT('Assumptions (Battery)'!$V$7,Model!W$1,'Assumptions (Battery)'!$V$10,'Assumptions (Battery)'!$V$5*Model!$AQ$2452*'Assumptions (Battery)'!$AO$2/10^9),0)</f>
        <v>0</v>
      </c>
      <c r="AR2549" s="105">
        <f>IF($AQ$2452&gt;0,PPMT('Assumptions (Battery)'!$V$7,Model!X$1,'Assumptions (Battery)'!$V$10,'Assumptions (Battery)'!$V$5*Model!$AQ$2452*'Assumptions (Battery)'!$AO$2/10^9),0)</f>
        <v>0</v>
      </c>
      <c r="AS2549" s="105">
        <f>IF($AQ$2452&gt;0,PPMT('Assumptions (Battery)'!$V$7,Model!Y$1,'Assumptions (Battery)'!$V$10,'Assumptions (Battery)'!$V$5*Model!$AQ$2452*'Assumptions (Battery)'!$AO$2/10^9),0)</f>
        <v>0</v>
      </c>
      <c r="AT2549" s="105">
        <f>IF($AQ$2452&gt;0,PPMT('Assumptions (Battery)'!$V$7,Model!Z$1,'Assumptions (Battery)'!$V$10,'Assumptions (Battery)'!$V$5*Model!$AQ$2452*'Assumptions (Battery)'!$AO$2/10^9),0)</f>
        <v>0</v>
      </c>
      <c r="AU2549" s="105">
        <f>IF($AQ$2452&gt;0,PPMT('Assumptions (Battery)'!$V$7,Model!AA$1,'Assumptions (Battery)'!$V$10,'Assumptions (Battery)'!$V$5*Model!$AQ$2452*'Assumptions (Battery)'!$AO$2/10^9),0)</f>
        <v>0</v>
      </c>
      <c r="AV2549" s="105">
        <f>IF($AQ$2452&gt;0,PPMT('Assumptions (Battery)'!$V$7,Model!AB$1,'Assumptions (Battery)'!$V$10,'Assumptions (Battery)'!$V$5*Model!$AQ$2452*'Assumptions (Battery)'!$AO$2/10^9),0)</f>
        <v>0</v>
      </c>
      <c r="AW2549" s="105">
        <f>IF($AQ$2452&gt;0,PPMT('Assumptions (Battery)'!$V$7,Model!AC$1,'Assumptions (Battery)'!$V$10,'Assumptions (Battery)'!$V$5*Model!$AQ$2452*'Assumptions (Battery)'!$AO$2/10^9),0)</f>
        <v>0</v>
      </c>
      <c r="AX2549" s="105">
        <f>IF($AQ$2452&gt;0,PPMT('Assumptions (Battery)'!$V$7,Model!AD$1,'Assumptions (Battery)'!$V$10,'Assumptions (Battery)'!$V$5*Model!$AQ$2452*'Assumptions (Battery)'!$AO$2/10^9),0)</f>
        <v>0</v>
      </c>
      <c r="AY2549" s="105">
        <f>IF($AQ$2452&gt;0,PPMT('Assumptions (Battery)'!$V$7,Model!AE$1,'Assumptions (Battery)'!$V$10,'Assumptions (Battery)'!$V$5*Model!$AQ$2452*'Assumptions (Battery)'!$AO$2/10^9),0)</f>
        <v>0</v>
      </c>
      <c r="AZ2549" s="105">
        <f>IF($AQ$2452&gt;0,PPMT('Assumptions (Battery)'!$V$7,Model!AF$1,'Assumptions (Battery)'!$V$10,'Assumptions (Battery)'!$V$5*Model!$AQ$2452*'Assumptions (Battery)'!$AO$2/10^9),0)</f>
        <v>0</v>
      </c>
      <c r="BA2549" s="105">
        <f>IF($AQ$2452&gt;0,PPMT('Assumptions (Battery)'!$V$7,Model!AG$1,'Assumptions (Battery)'!$V$10,'Assumptions (Battery)'!$V$5*Model!$AQ$2452*'Assumptions (Battery)'!$AO$2/10^9),0)</f>
        <v>0</v>
      </c>
      <c r="BB2549" s="105">
        <f>IF($AQ$2452&gt;0,PPMT('Assumptions (Battery)'!$V$7,Model!AH$1,'Assumptions (Battery)'!$V$10,'Assumptions (Battery)'!$V$5*Model!$AQ$2452*'Assumptions (Battery)'!$AO$2/10^9),0)</f>
        <v>0</v>
      </c>
      <c r="BC2549" s="105">
        <f>IF($AQ$2452&gt;0,PPMT('Assumptions (Battery)'!$V$7,Model!AI$1,'Assumptions (Battery)'!$V$10,'Assumptions (Battery)'!$V$5*Model!$AQ$2452*'Assumptions (Battery)'!$AO$2/10^9),0)</f>
        <v>0</v>
      </c>
      <c r="BD2549" s="105">
        <f>IF($AQ$2452&gt;0,PPMT('Assumptions (Battery)'!$V$7,Model!AJ$1,'Assumptions (Battery)'!$V$10,'Assumptions (Battery)'!$V$5*Model!$AQ$2452*'Assumptions (Battery)'!$AO$2/10^9),0)</f>
        <v>0</v>
      </c>
      <c r="BE2549" s="105">
        <f>IF($AQ$2452&gt;0,PPMT('Assumptions (Battery)'!$V$7,Model!AK$1,'Assumptions (Battery)'!$V$10,'Assumptions (Battery)'!$V$5*Model!$AQ$2452*'Assumptions (Battery)'!$AO$2/10^9),0)</f>
        <v>0</v>
      </c>
      <c r="BF2549" s="105"/>
      <c r="BG2549" s="105"/>
      <c r="BH2549" s="105"/>
      <c r="BI2549" s="105"/>
      <c r="BJ2549" s="105"/>
      <c r="BK2549" s="105"/>
      <c r="BL2549" s="105"/>
      <c r="BM2549" s="105"/>
      <c r="BN2549" s="105"/>
      <c r="BO2549" s="105"/>
    </row>
    <row r="2550" spans="1:68" ht="15.75" hidden="1" customHeight="1" outlineLevel="1">
      <c r="A2550" s="454"/>
      <c r="B2550" s="99"/>
      <c r="C2550" s="99"/>
      <c r="D2550" s="99"/>
      <c r="E2550" s="99"/>
      <c r="F2550" s="99"/>
      <c r="G2550" s="99"/>
      <c r="H2550" s="99"/>
      <c r="I2550" s="99"/>
      <c r="J2550" s="99"/>
      <c r="K2550" s="99"/>
      <c r="L2550" s="99"/>
      <c r="M2550" s="99"/>
      <c r="N2550" s="99"/>
      <c r="O2550" s="99"/>
      <c r="P2550" s="99"/>
      <c r="Q2550" s="99"/>
      <c r="R2550" s="99"/>
      <c r="S2550" s="99"/>
      <c r="T2550" s="99"/>
      <c r="U2550" s="99"/>
      <c r="V2550" s="99"/>
      <c r="W2550" s="105"/>
      <c r="X2550" s="105"/>
      <c r="Y2550" s="105"/>
      <c r="Z2550" s="105"/>
      <c r="AA2550" s="105"/>
      <c r="AB2550" s="105"/>
      <c r="AC2550" s="105"/>
      <c r="AD2550" s="105"/>
      <c r="AE2550" s="105"/>
      <c r="AF2550" s="105"/>
      <c r="AG2550" s="105"/>
      <c r="AH2550" s="105"/>
      <c r="AI2550" s="105"/>
      <c r="AJ2550" s="171"/>
      <c r="AK2550" s="105"/>
      <c r="AL2550" s="91"/>
      <c r="AM2550" s="91"/>
      <c r="AN2550" s="91"/>
      <c r="AO2550" s="105"/>
      <c r="AP2550" s="105"/>
      <c r="AQ2550" s="105"/>
      <c r="AR2550" s="105">
        <f>IF($AR$2452&gt;0,PPMT('Assumptions (Battery)'!$V$7,Model!W$1,'Assumptions (Battery)'!$V$10,'Assumptions (Battery)'!$V$5*Model!$AR$2452*'Assumptions (Battery)'!$AP$2/10^9),0)</f>
        <v>0</v>
      </c>
      <c r="AS2550" s="105">
        <f>IF($AR$2452&gt;0,PPMT('Assumptions (Battery)'!$V$7,Model!X$1,'Assumptions (Battery)'!$V$10,'Assumptions (Battery)'!$V$5*Model!$AR$2452*'Assumptions (Battery)'!$AP$2/10^9),0)</f>
        <v>0</v>
      </c>
      <c r="AT2550" s="105">
        <f>IF($AR$2452&gt;0,PPMT('Assumptions (Battery)'!$V$7,Model!Y$1,'Assumptions (Battery)'!$V$10,'Assumptions (Battery)'!$V$5*Model!$AR$2452*'Assumptions (Battery)'!$AP$2/10^9),0)</f>
        <v>0</v>
      </c>
      <c r="AU2550" s="105">
        <f>IF($AR$2452&gt;0,PPMT('Assumptions (Battery)'!$V$7,Model!Z$1,'Assumptions (Battery)'!$V$10,'Assumptions (Battery)'!$V$5*Model!$AR$2452*'Assumptions (Battery)'!$AP$2/10^9),0)</f>
        <v>0</v>
      </c>
      <c r="AV2550" s="105">
        <f>IF($AR$2452&gt;0,PPMT('Assumptions (Battery)'!$V$7,Model!AA$1,'Assumptions (Battery)'!$V$10,'Assumptions (Battery)'!$V$5*Model!$AR$2452*'Assumptions (Battery)'!$AP$2/10^9),0)</f>
        <v>0</v>
      </c>
      <c r="AW2550" s="105">
        <f>IF($AR$2452&gt;0,PPMT('Assumptions (Battery)'!$V$7,Model!AB$1,'Assumptions (Battery)'!$V$10,'Assumptions (Battery)'!$V$5*Model!$AR$2452*'Assumptions (Battery)'!$AP$2/10^9),0)</f>
        <v>0</v>
      </c>
      <c r="AX2550" s="105">
        <f>IF($AR$2452&gt;0,PPMT('Assumptions (Battery)'!$V$7,Model!AC$1,'Assumptions (Battery)'!$V$10,'Assumptions (Battery)'!$V$5*Model!$AR$2452*'Assumptions (Battery)'!$AP$2/10^9),0)</f>
        <v>0</v>
      </c>
      <c r="AY2550" s="105">
        <f>IF($AR$2452&gt;0,PPMT('Assumptions (Battery)'!$V$7,Model!AD$1,'Assumptions (Battery)'!$V$10,'Assumptions (Battery)'!$V$5*Model!$AR$2452*'Assumptions (Battery)'!$AP$2/10^9),0)</f>
        <v>0</v>
      </c>
      <c r="AZ2550" s="105">
        <f>IF($AR$2452&gt;0,PPMT('Assumptions (Battery)'!$V$7,Model!AE$1,'Assumptions (Battery)'!$V$10,'Assumptions (Battery)'!$V$5*Model!$AR$2452*'Assumptions (Battery)'!$AP$2/10^9),0)</f>
        <v>0</v>
      </c>
      <c r="BA2550" s="105">
        <f>IF($AR$2452&gt;0,PPMT('Assumptions (Battery)'!$V$7,Model!AF$1,'Assumptions (Battery)'!$V$10,'Assumptions (Battery)'!$V$5*Model!$AR$2452*'Assumptions (Battery)'!$AP$2/10^9),0)</f>
        <v>0</v>
      </c>
      <c r="BB2550" s="105">
        <f>IF($AR$2452&gt;0,PPMT('Assumptions (Battery)'!$V$7,Model!AG$1,'Assumptions (Battery)'!$V$10,'Assumptions (Battery)'!$V$5*Model!$AR$2452*'Assumptions (Battery)'!$AP$2/10^9),0)</f>
        <v>0</v>
      </c>
      <c r="BC2550" s="105">
        <f>IF($AR$2452&gt;0,PPMT('Assumptions (Battery)'!$V$7,Model!AH$1,'Assumptions (Battery)'!$V$10,'Assumptions (Battery)'!$V$5*Model!$AR$2452*'Assumptions (Battery)'!$AP$2/10^9),0)</f>
        <v>0</v>
      </c>
      <c r="BD2550" s="105">
        <f>IF($AR$2452&gt;0,PPMT('Assumptions (Battery)'!$V$7,Model!AI$1,'Assumptions (Battery)'!$V$10,'Assumptions (Battery)'!$V$5*Model!$AR$2452*'Assumptions (Battery)'!$AP$2/10^9),0)</f>
        <v>0</v>
      </c>
      <c r="BE2550" s="105">
        <f>IF($AR$2452&gt;0,PPMT('Assumptions (Battery)'!$V$7,Model!AJ$1,'Assumptions (Battery)'!$V$10,'Assumptions (Battery)'!$V$5*Model!$AR$2452*'Assumptions (Battery)'!$AP$2/10^9),0)</f>
        <v>0</v>
      </c>
      <c r="BF2550" s="105">
        <f>IF($AR$2452&gt;0,PPMT('Assumptions (Battery)'!$V$7,Model!AK$1,'Assumptions (Battery)'!$V$10,'Assumptions (Battery)'!$V$5*Model!$AR$2452*'Assumptions (Battery)'!$AP$2/10^9),0)</f>
        <v>0</v>
      </c>
      <c r="BG2550" s="105"/>
      <c r="BH2550" s="105"/>
      <c r="BI2550" s="105"/>
      <c r="BJ2550" s="105"/>
      <c r="BK2550" s="105"/>
      <c r="BL2550" s="105"/>
      <c r="BM2550" s="105"/>
      <c r="BN2550" s="105"/>
      <c r="BO2550" s="105"/>
      <c r="BP2550" s="105"/>
    </row>
    <row r="2551" spans="1:68" ht="15.75" hidden="1" customHeight="1" outlineLevel="1">
      <c r="A2551" s="454"/>
      <c r="B2551" s="99"/>
      <c r="C2551" s="99"/>
      <c r="D2551" s="99"/>
      <c r="E2551" s="99"/>
      <c r="F2551" s="99"/>
      <c r="G2551" s="99"/>
      <c r="H2551" s="99"/>
      <c r="I2551" s="99"/>
      <c r="J2551" s="99"/>
      <c r="K2551" s="99"/>
      <c r="L2551" s="99"/>
      <c r="M2551" s="99"/>
      <c r="N2551" s="99"/>
      <c r="O2551" s="99"/>
      <c r="P2551" s="99"/>
      <c r="Q2551" s="99"/>
      <c r="R2551" s="99"/>
      <c r="S2551" s="99"/>
      <c r="T2551" s="99"/>
      <c r="U2551" s="99"/>
      <c r="V2551" s="99"/>
      <c r="W2551" s="105"/>
      <c r="X2551" s="105"/>
      <c r="Y2551" s="105"/>
      <c r="Z2551" s="105"/>
      <c r="AA2551" s="105"/>
      <c r="AB2551" s="105"/>
      <c r="AC2551" s="105"/>
      <c r="AD2551" s="105"/>
      <c r="AE2551" s="105"/>
      <c r="AF2551" s="105"/>
      <c r="AG2551" s="105"/>
      <c r="AH2551" s="105"/>
      <c r="AI2551" s="105"/>
      <c r="AJ2551" s="171"/>
      <c r="AK2551" s="105"/>
      <c r="AL2551" s="91"/>
      <c r="AM2551" s="91"/>
      <c r="AN2551" s="91"/>
      <c r="AO2551" s="105"/>
      <c r="AP2551" s="105"/>
      <c r="AQ2551" s="105"/>
      <c r="AR2551" s="105"/>
      <c r="AS2551" s="105">
        <f>IF($AS$2452&gt;0,PPMT('Assumptions (Battery)'!$V$7,Model!W$1,'Assumptions (Battery)'!$V$10,'Assumptions (Battery)'!$V$5*Model!$AS$2452*'Assumptions (Battery)'!$AQ$2/10^9),0)</f>
        <v>0</v>
      </c>
      <c r="AT2551" s="105">
        <f>IF($AS$2452&gt;0,PPMT('Assumptions (Battery)'!$V$7,Model!X$1,'Assumptions (Battery)'!$V$10,'Assumptions (Battery)'!$V$5*Model!$AS$2452*'Assumptions (Battery)'!$AQ$2/10^9),0)</f>
        <v>0</v>
      </c>
      <c r="AU2551" s="105">
        <f>IF($AS$2452&gt;0,PPMT('Assumptions (Battery)'!$V$7,Model!Y$1,'Assumptions (Battery)'!$V$10,'Assumptions (Battery)'!$V$5*Model!$AS$2452*'Assumptions (Battery)'!$AQ$2/10^9),0)</f>
        <v>0</v>
      </c>
      <c r="AV2551" s="105">
        <f>IF($AS$2452&gt;0,PPMT('Assumptions (Battery)'!$V$7,Model!Z$1,'Assumptions (Battery)'!$V$10,'Assumptions (Battery)'!$V$5*Model!$AS$2452*'Assumptions (Battery)'!$AQ$2/10^9),0)</f>
        <v>0</v>
      </c>
      <c r="AW2551" s="105">
        <f>IF($AS$2452&gt;0,PPMT('Assumptions (Battery)'!$V$7,Model!AA$1,'Assumptions (Battery)'!$V$10,'Assumptions (Battery)'!$V$5*Model!$AS$2452*'Assumptions (Battery)'!$AQ$2/10^9),0)</f>
        <v>0</v>
      </c>
      <c r="AX2551" s="105">
        <f>IF($AS$2452&gt;0,PPMT('Assumptions (Battery)'!$V$7,Model!AB$1,'Assumptions (Battery)'!$V$10,'Assumptions (Battery)'!$V$5*Model!$AS$2452*'Assumptions (Battery)'!$AQ$2/10^9),0)</f>
        <v>0</v>
      </c>
      <c r="AY2551" s="105">
        <f>IF($AS$2452&gt;0,PPMT('Assumptions (Battery)'!$V$7,Model!AC$1,'Assumptions (Battery)'!$V$10,'Assumptions (Battery)'!$V$5*Model!$AS$2452*'Assumptions (Battery)'!$AQ$2/10^9),0)</f>
        <v>0</v>
      </c>
      <c r="AZ2551" s="105">
        <f>IF($AS$2452&gt;0,PPMT('Assumptions (Battery)'!$V$7,Model!AD$1,'Assumptions (Battery)'!$V$10,'Assumptions (Battery)'!$V$5*Model!$AS$2452*'Assumptions (Battery)'!$AQ$2/10^9),0)</f>
        <v>0</v>
      </c>
      <c r="BA2551" s="105">
        <f>IF($AS$2452&gt;0,PPMT('Assumptions (Battery)'!$V$7,Model!AE$1,'Assumptions (Battery)'!$V$10,'Assumptions (Battery)'!$V$5*Model!$AS$2452*'Assumptions (Battery)'!$AQ$2/10^9),0)</f>
        <v>0</v>
      </c>
      <c r="BB2551" s="105">
        <f>IF($AS$2452&gt;0,PPMT('Assumptions (Battery)'!$V$7,Model!AF$1,'Assumptions (Battery)'!$V$10,'Assumptions (Battery)'!$V$5*Model!$AS$2452*'Assumptions (Battery)'!$AQ$2/10^9),0)</f>
        <v>0</v>
      </c>
      <c r="BC2551" s="105">
        <f>IF($AS$2452&gt;0,PPMT('Assumptions (Battery)'!$V$7,Model!AG$1,'Assumptions (Battery)'!$V$10,'Assumptions (Battery)'!$V$5*Model!$AS$2452*'Assumptions (Battery)'!$AQ$2/10^9),0)</f>
        <v>0</v>
      </c>
      <c r="BD2551" s="105">
        <f>IF($AS$2452&gt;0,PPMT('Assumptions (Battery)'!$V$7,Model!AH$1,'Assumptions (Battery)'!$V$10,'Assumptions (Battery)'!$V$5*Model!$AS$2452*'Assumptions (Battery)'!$AQ$2/10^9),0)</f>
        <v>0</v>
      </c>
      <c r="BE2551" s="105">
        <f>IF($AS$2452&gt;0,PPMT('Assumptions (Battery)'!$V$7,Model!AI$1,'Assumptions (Battery)'!$V$10,'Assumptions (Battery)'!$V$5*Model!$AS$2452*'Assumptions (Battery)'!$AQ$2/10^9),0)</f>
        <v>0</v>
      </c>
      <c r="BF2551" s="105">
        <f>IF($AS$2452&gt;0,PPMT('Assumptions (Battery)'!$V$7,Model!AJ$1,'Assumptions (Battery)'!$V$10,'Assumptions (Battery)'!$V$5*Model!$AS$2452*'Assumptions (Battery)'!$AQ$2/10^9),0)</f>
        <v>0</v>
      </c>
      <c r="BG2551" s="105">
        <f>IF($AS$2452&gt;0,PPMT('Assumptions (Battery)'!$V$7,Model!AK$1,'Assumptions (Battery)'!$V$10,'Assumptions (Battery)'!$V$5*Model!$AS$2452*'Assumptions (Battery)'!$AQ$2/10^9),0)</f>
        <v>0</v>
      </c>
      <c r="BH2551" s="105"/>
      <c r="BI2551" s="105"/>
      <c r="BJ2551" s="105"/>
      <c r="BK2551" s="105"/>
      <c r="BL2551" s="105"/>
      <c r="BM2551" s="105"/>
      <c r="BN2551" s="105"/>
      <c r="BO2551" s="105"/>
      <c r="BP2551" s="105"/>
    </row>
    <row r="2552" spans="1:68" ht="15.75" hidden="1" customHeight="1" outlineLevel="1">
      <c r="A2552" s="454"/>
      <c r="B2552" s="99"/>
      <c r="C2552" s="99"/>
      <c r="D2552" s="99"/>
      <c r="E2552" s="99"/>
      <c r="F2552" s="99"/>
      <c r="G2552" s="99"/>
      <c r="H2552" s="99"/>
      <c r="I2552" s="99"/>
      <c r="J2552" s="99"/>
      <c r="K2552" s="99"/>
      <c r="L2552" s="99"/>
      <c r="M2552" s="99"/>
      <c r="N2552" s="99"/>
      <c r="O2552" s="99"/>
      <c r="P2552" s="99"/>
      <c r="Q2552" s="99"/>
      <c r="R2552" s="99"/>
      <c r="S2552" s="99"/>
      <c r="T2552" s="99"/>
      <c r="U2552" s="99"/>
      <c r="V2552" s="99"/>
      <c r="W2552" s="105"/>
      <c r="X2552" s="105"/>
      <c r="Y2552" s="105"/>
      <c r="Z2552" s="105"/>
      <c r="AA2552" s="105"/>
      <c r="AB2552" s="105"/>
      <c r="AC2552" s="105"/>
      <c r="AD2552" s="105"/>
      <c r="AE2552" s="105"/>
      <c r="AF2552" s="105"/>
      <c r="AG2552" s="105"/>
      <c r="AH2552" s="105"/>
      <c r="AI2552" s="105"/>
      <c r="AJ2552" s="171"/>
      <c r="AK2552" s="105"/>
      <c r="AL2552" s="91"/>
      <c r="AM2552" s="91"/>
      <c r="AN2552" s="91"/>
      <c r="AO2552" s="105"/>
      <c r="AP2552" s="105"/>
      <c r="AQ2552" s="105"/>
      <c r="AR2552" s="105"/>
      <c r="AS2552" s="105"/>
      <c r="AT2552" s="105">
        <f>IF($AT$2452&gt;0,PPMT('Assumptions (Battery)'!$V$7,Model!W$1,'Assumptions (Battery)'!$V$10,'Assumptions (Battery)'!$V$5*Model!$AT$2452*'Assumptions (Battery)'!$AR$2/10^9),0)</f>
        <v>0</v>
      </c>
      <c r="AU2552" s="105">
        <f>IF($AT$2452&gt;0,PPMT('Assumptions (Battery)'!$V$7,Model!X$1,'Assumptions (Battery)'!$V$10,'Assumptions (Battery)'!$V$5*Model!$AT$2452*'Assumptions (Battery)'!$AR$2/10^9),0)</f>
        <v>0</v>
      </c>
      <c r="AV2552" s="105">
        <f>IF($AT$2452&gt;0,PPMT('Assumptions (Battery)'!$V$7,Model!Y$1,'Assumptions (Battery)'!$V$10,'Assumptions (Battery)'!$V$5*Model!$AT$2452*'Assumptions (Battery)'!$AR$2/10^9),0)</f>
        <v>0</v>
      </c>
      <c r="AW2552" s="105">
        <f>IF($AT$2452&gt;0,PPMT('Assumptions (Battery)'!$V$7,Model!Z$1,'Assumptions (Battery)'!$V$10,'Assumptions (Battery)'!$V$5*Model!$AT$2452*'Assumptions (Battery)'!$AR$2/10^9),0)</f>
        <v>0</v>
      </c>
      <c r="AX2552" s="105">
        <f>IF($AT$2452&gt;0,PPMT('Assumptions (Battery)'!$V$7,Model!AA$1,'Assumptions (Battery)'!$V$10,'Assumptions (Battery)'!$V$5*Model!$AT$2452*'Assumptions (Battery)'!$AR$2/10^9),0)</f>
        <v>0</v>
      </c>
      <c r="AY2552" s="105">
        <f>IF($AT$2452&gt;0,PPMT('Assumptions (Battery)'!$V$7,Model!AB$1,'Assumptions (Battery)'!$V$10,'Assumptions (Battery)'!$V$5*Model!$AT$2452*'Assumptions (Battery)'!$AR$2/10^9),0)</f>
        <v>0</v>
      </c>
      <c r="AZ2552" s="105">
        <f>IF($AT$2452&gt;0,PPMT('Assumptions (Battery)'!$V$7,Model!AC$1,'Assumptions (Battery)'!$V$10,'Assumptions (Battery)'!$V$5*Model!$AT$2452*'Assumptions (Battery)'!$AR$2/10^9),0)</f>
        <v>0</v>
      </c>
      <c r="BA2552" s="105">
        <f>IF($AT$2452&gt;0,PPMT('Assumptions (Battery)'!$V$7,Model!AD$1,'Assumptions (Battery)'!$V$10,'Assumptions (Battery)'!$V$5*Model!$AT$2452*'Assumptions (Battery)'!$AR$2/10^9),0)</f>
        <v>0</v>
      </c>
      <c r="BB2552" s="105">
        <f>IF($AT$2452&gt;0,PPMT('Assumptions (Battery)'!$V$7,Model!AE$1,'Assumptions (Battery)'!$V$10,'Assumptions (Battery)'!$V$5*Model!$AT$2452*'Assumptions (Battery)'!$AR$2/10^9),0)</f>
        <v>0</v>
      </c>
      <c r="BC2552" s="105">
        <f>IF($AT$2452&gt;0,PPMT('Assumptions (Battery)'!$V$7,Model!AF$1,'Assumptions (Battery)'!$V$10,'Assumptions (Battery)'!$V$5*Model!$AT$2452*'Assumptions (Battery)'!$AR$2/10^9),0)</f>
        <v>0</v>
      </c>
      <c r="BD2552" s="105">
        <f>IF($AT$2452&gt;0,PPMT('Assumptions (Battery)'!$V$7,Model!AG$1,'Assumptions (Battery)'!$V$10,'Assumptions (Battery)'!$V$5*Model!$AT$2452*'Assumptions (Battery)'!$AR$2/10^9),0)</f>
        <v>0</v>
      </c>
      <c r="BE2552" s="105">
        <f>IF($AT$2452&gt;0,PPMT('Assumptions (Battery)'!$V$7,Model!AH$1,'Assumptions (Battery)'!$V$10,'Assumptions (Battery)'!$V$5*Model!$AT$2452*'Assumptions (Battery)'!$AR$2/10^9),0)</f>
        <v>0</v>
      </c>
      <c r="BF2552" s="105">
        <f>IF($AT$2452&gt;0,PPMT('Assumptions (Battery)'!$V$7,Model!AI$1,'Assumptions (Battery)'!$V$10,'Assumptions (Battery)'!$V$5*Model!$AT$2452*'Assumptions (Battery)'!$AR$2/10^9),0)</f>
        <v>0</v>
      </c>
      <c r="BG2552" s="105">
        <f>IF($AT$2452&gt;0,PPMT('Assumptions (Battery)'!$V$7,Model!AJ$1,'Assumptions (Battery)'!$V$10,'Assumptions (Battery)'!$V$5*Model!$AT$2452*'Assumptions (Battery)'!$AR$2/10^9),0)</f>
        <v>0</v>
      </c>
      <c r="BH2552" s="105">
        <f>IF($AT$2452&gt;0,PPMT('Assumptions (Battery)'!$V$7,Model!AK$1,'Assumptions (Battery)'!$V$10,'Assumptions (Battery)'!$V$5*Model!$AT$2452*'Assumptions (Battery)'!$AR$2/10^9),0)</f>
        <v>0</v>
      </c>
      <c r="BI2552" s="105"/>
      <c r="BJ2552" s="105"/>
      <c r="BK2552" s="105"/>
      <c r="BL2552" s="105"/>
      <c r="BM2552" s="105"/>
      <c r="BN2552" s="105"/>
      <c r="BO2552" s="105"/>
      <c r="BP2552" s="105"/>
    </row>
    <row r="2553" spans="1:68" ht="15.75" hidden="1" customHeight="1" outlineLevel="1">
      <c r="A2553" s="454"/>
      <c r="B2553" s="99"/>
      <c r="C2553" s="99"/>
      <c r="D2553" s="99"/>
      <c r="E2553" s="99"/>
      <c r="F2553" s="99"/>
      <c r="G2553" s="99"/>
      <c r="H2553" s="99"/>
      <c r="I2553" s="99"/>
      <c r="J2553" s="99"/>
      <c r="K2553" s="99"/>
      <c r="L2553" s="99"/>
      <c r="M2553" s="99"/>
      <c r="N2553" s="99"/>
      <c r="O2553" s="99"/>
      <c r="P2553" s="99"/>
      <c r="Q2553" s="99"/>
      <c r="R2553" s="99"/>
      <c r="S2553" s="99"/>
      <c r="T2553" s="99"/>
      <c r="U2553" s="99"/>
      <c r="V2553" s="99"/>
      <c r="W2553" s="105"/>
      <c r="X2553" s="105"/>
      <c r="Y2553" s="105"/>
      <c r="Z2553" s="105"/>
      <c r="AA2553" s="105"/>
      <c r="AB2553" s="105"/>
      <c r="AC2553" s="105"/>
      <c r="AD2553" s="105"/>
      <c r="AE2553" s="105"/>
      <c r="AF2553" s="105"/>
      <c r="AG2553" s="105"/>
      <c r="AH2553" s="105"/>
      <c r="AI2553" s="105"/>
      <c r="AJ2553" s="171"/>
      <c r="AK2553" s="105"/>
      <c r="AL2553" s="91"/>
      <c r="AM2553" s="91"/>
      <c r="AN2553" s="91"/>
      <c r="AO2553" s="105"/>
      <c r="AP2553" s="105"/>
      <c r="AQ2553" s="105"/>
      <c r="AR2553" s="105"/>
      <c r="AS2553" s="105"/>
      <c r="AT2553" s="105"/>
      <c r="AU2553" s="105">
        <f>IF($AU$2452&gt;0,PPMT('Assumptions (Battery)'!$V$7,Model!W$1,'Assumptions (Battery)'!$V$10,'Assumptions (Battery)'!$V$5*Model!$AU$2452*'Assumptions (Battery)'!$AS$2/10^9),0)</f>
        <v>0</v>
      </c>
      <c r="AV2553" s="105">
        <f>IF($AU$2452&gt;0,PPMT('Assumptions (Battery)'!$V$7,Model!X$1,'Assumptions (Battery)'!$V$10,'Assumptions (Battery)'!$V$5*Model!$AU$2452*'Assumptions (Battery)'!$AS$2/10^9),0)</f>
        <v>0</v>
      </c>
      <c r="AW2553" s="105">
        <f>IF($AU$2452&gt;0,PPMT('Assumptions (Battery)'!$V$7,Model!Y$1,'Assumptions (Battery)'!$V$10,'Assumptions (Battery)'!$V$5*Model!$AU$2452*'Assumptions (Battery)'!$AS$2/10^9),0)</f>
        <v>0</v>
      </c>
      <c r="AX2553" s="105">
        <f>IF($AU$2452&gt;0,PPMT('Assumptions (Battery)'!$V$7,Model!Z$1,'Assumptions (Battery)'!$V$10,'Assumptions (Battery)'!$V$5*Model!$AU$2452*'Assumptions (Battery)'!$AS$2/10^9),0)</f>
        <v>0</v>
      </c>
      <c r="AY2553" s="105">
        <f>IF($AU$2452&gt;0,PPMT('Assumptions (Battery)'!$V$7,Model!AA$1,'Assumptions (Battery)'!$V$10,'Assumptions (Battery)'!$V$5*Model!$AU$2452*'Assumptions (Battery)'!$AS$2/10^9),0)</f>
        <v>0</v>
      </c>
      <c r="AZ2553" s="105">
        <f>IF($AU$2452&gt;0,PPMT('Assumptions (Battery)'!$V$7,Model!AB$1,'Assumptions (Battery)'!$V$10,'Assumptions (Battery)'!$V$5*Model!$AU$2452*'Assumptions (Battery)'!$AS$2/10^9),0)</f>
        <v>0</v>
      </c>
      <c r="BA2553" s="105">
        <f>IF($AU$2452&gt;0,PPMT('Assumptions (Battery)'!$V$7,Model!AC$1,'Assumptions (Battery)'!$V$10,'Assumptions (Battery)'!$V$5*Model!$AU$2452*'Assumptions (Battery)'!$AS$2/10^9),0)</f>
        <v>0</v>
      </c>
      <c r="BB2553" s="105">
        <f>IF($AU$2452&gt;0,PPMT('Assumptions (Battery)'!$V$7,Model!AD$1,'Assumptions (Battery)'!$V$10,'Assumptions (Battery)'!$V$5*Model!$AU$2452*'Assumptions (Battery)'!$AS$2/10^9),0)</f>
        <v>0</v>
      </c>
      <c r="BC2553" s="105">
        <f>IF($AU$2452&gt;0,PPMT('Assumptions (Battery)'!$V$7,Model!AE$1,'Assumptions (Battery)'!$V$10,'Assumptions (Battery)'!$V$5*Model!$AU$2452*'Assumptions (Battery)'!$AS$2/10^9),0)</f>
        <v>0</v>
      </c>
      <c r="BD2553" s="105">
        <f>IF($AU$2452&gt;0,PPMT('Assumptions (Battery)'!$V$7,Model!AF$1,'Assumptions (Battery)'!$V$10,'Assumptions (Battery)'!$V$5*Model!$AU$2452*'Assumptions (Battery)'!$AS$2/10^9),0)</f>
        <v>0</v>
      </c>
      <c r="BE2553" s="105">
        <f>IF($AU$2452&gt;0,PPMT('Assumptions (Battery)'!$V$7,Model!AG$1,'Assumptions (Battery)'!$V$10,'Assumptions (Battery)'!$V$5*Model!$AU$2452*'Assumptions (Battery)'!$AS$2/10^9),0)</f>
        <v>0</v>
      </c>
      <c r="BF2553" s="105">
        <f>IF($AU$2452&gt;0,PPMT('Assumptions (Battery)'!$V$7,Model!AH$1,'Assumptions (Battery)'!$V$10,'Assumptions (Battery)'!$V$5*Model!$AU$2452*'Assumptions (Battery)'!$AS$2/10^9),0)</f>
        <v>0</v>
      </c>
      <c r="BG2553" s="105">
        <f>IF($AU$2452&gt;0,PPMT('Assumptions (Battery)'!$V$7,Model!AI$1,'Assumptions (Battery)'!$V$10,'Assumptions (Battery)'!$V$5*Model!$AU$2452*'Assumptions (Battery)'!$AS$2/10^9),0)</f>
        <v>0</v>
      </c>
      <c r="BH2553" s="105">
        <f>IF($AU$2452&gt;0,PPMT('Assumptions (Battery)'!$V$7,Model!AJ$1,'Assumptions (Battery)'!$V$10,'Assumptions (Battery)'!$V$5*Model!$AU$2452*'Assumptions (Battery)'!$AS$2/10^9),0)</f>
        <v>0</v>
      </c>
      <c r="BI2553" s="105">
        <f>IF($AU$2452&gt;0,PPMT('Assumptions (Battery)'!$V$7,Model!AK$1,'Assumptions (Battery)'!$V$10,'Assumptions (Battery)'!$V$5*Model!$AU$2452*'Assumptions (Battery)'!$AS$2/10^9),0)</f>
        <v>0</v>
      </c>
      <c r="BJ2553" s="105"/>
      <c r="BK2553" s="105"/>
      <c r="BL2553" s="105"/>
      <c r="BM2553" s="105"/>
      <c r="BN2553" s="105"/>
      <c r="BO2553" s="105"/>
      <c r="BP2553" s="105"/>
    </row>
    <row r="2554" spans="1:68" ht="15.75" hidden="1" customHeight="1" outlineLevel="1">
      <c r="A2554" s="454"/>
      <c r="B2554" s="99"/>
      <c r="C2554" s="99"/>
      <c r="D2554" s="99"/>
      <c r="E2554" s="99"/>
      <c r="F2554" s="99"/>
      <c r="G2554" s="99"/>
      <c r="H2554" s="99"/>
      <c r="I2554" s="99"/>
      <c r="J2554" s="99"/>
      <c r="K2554" s="99"/>
      <c r="L2554" s="99"/>
      <c r="M2554" s="99"/>
      <c r="N2554" s="99"/>
      <c r="O2554" s="99"/>
      <c r="P2554" s="99"/>
      <c r="Q2554" s="99"/>
      <c r="R2554" s="99"/>
      <c r="S2554" s="99"/>
      <c r="T2554" s="99"/>
      <c r="U2554" s="99"/>
      <c r="V2554" s="99"/>
      <c r="W2554" s="105"/>
      <c r="X2554" s="105"/>
      <c r="Y2554" s="105"/>
      <c r="Z2554" s="105"/>
      <c r="AA2554" s="105"/>
      <c r="AB2554" s="105"/>
      <c r="AC2554" s="105"/>
      <c r="AD2554" s="105"/>
      <c r="AE2554" s="105"/>
      <c r="AF2554" s="105"/>
      <c r="AG2554" s="105"/>
      <c r="AH2554" s="105"/>
      <c r="AI2554" s="105"/>
      <c r="AJ2554" s="171"/>
      <c r="AK2554" s="105"/>
      <c r="AL2554" s="91"/>
      <c r="AM2554" s="91"/>
      <c r="AN2554" s="91"/>
      <c r="AO2554" s="105"/>
      <c r="AP2554" s="105"/>
      <c r="AQ2554" s="105"/>
      <c r="AR2554" s="105"/>
      <c r="AS2554" s="105"/>
      <c r="AT2554" s="105"/>
      <c r="AU2554" s="105"/>
      <c r="AV2554" s="105">
        <f>IF($AV$2452&gt;0,PPMT('Assumptions (Battery)'!$V$7,Model!W$1,'Assumptions (Battery)'!$V$10,'Assumptions (Battery)'!$V$5*Model!$AV$2452*'Assumptions (Battery)'!$AT$2/10^9),0)</f>
        <v>0</v>
      </c>
      <c r="AW2554" s="105">
        <f>IF($AV$2452&gt;0,PPMT('Assumptions (Battery)'!$V$7,Model!X$1,'Assumptions (Battery)'!$V$10,'Assumptions (Battery)'!$V$5*Model!$AV$2452*'Assumptions (Battery)'!$AT$2/10^9),0)</f>
        <v>0</v>
      </c>
      <c r="AX2554" s="105">
        <f>IF($AV$2452&gt;0,PPMT('Assumptions (Battery)'!$V$7,Model!Y$1,'Assumptions (Battery)'!$V$10,'Assumptions (Battery)'!$V$5*Model!$AV$2452*'Assumptions (Battery)'!$AT$2/10^9),0)</f>
        <v>0</v>
      </c>
      <c r="AY2554" s="105">
        <f>IF($AV$2452&gt;0,PPMT('Assumptions (Battery)'!$V$7,Model!Z$1,'Assumptions (Battery)'!$V$10,'Assumptions (Battery)'!$V$5*Model!$AV$2452*'Assumptions (Battery)'!$AT$2/10^9),0)</f>
        <v>0</v>
      </c>
      <c r="AZ2554" s="105">
        <f>IF($AV$2452&gt;0,PPMT('Assumptions (Battery)'!$V$7,Model!AA$1,'Assumptions (Battery)'!$V$10,'Assumptions (Battery)'!$V$5*Model!$AV$2452*'Assumptions (Battery)'!$AT$2/10^9),0)</f>
        <v>0</v>
      </c>
      <c r="BA2554" s="105">
        <f>IF($AV$2452&gt;0,PPMT('Assumptions (Battery)'!$V$7,Model!AB$1,'Assumptions (Battery)'!$V$10,'Assumptions (Battery)'!$V$5*Model!$AV$2452*'Assumptions (Battery)'!$AT$2/10^9),0)</f>
        <v>0</v>
      </c>
      <c r="BB2554" s="105">
        <f>IF($AV$2452&gt;0,PPMT('Assumptions (Battery)'!$V$7,Model!AC$1,'Assumptions (Battery)'!$V$10,'Assumptions (Battery)'!$V$5*Model!$AV$2452*'Assumptions (Battery)'!$AT$2/10^9),0)</f>
        <v>0</v>
      </c>
      <c r="BC2554" s="105">
        <f>IF($AV$2452&gt;0,PPMT('Assumptions (Battery)'!$V$7,Model!AD$1,'Assumptions (Battery)'!$V$10,'Assumptions (Battery)'!$V$5*Model!$AV$2452*'Assumptions (Battery)'!$AT$2/10^9),0)</f>
        <v>0</v>
      </c>
      <c r="BD2554" s="105">
        <f>IF($AV$2452&gt;0,PPMT('Assumptions (Battery)'!$V$7,Model!AE$1,'Assumptions (Battery)'!$V$10,'Assumptions (Battery)'!$V$5*Model!$AV$2452*'Assumptions (Battery)'!$AT$2/10^9),0)</f>
        <v>0</v>
      </c>
      <c r="BE2554" s="105">
        <f>IF($AV$2452&gt;0,PPMT('Assumptions (Battery)'!$V$7,Model!AF$1,'Assumptions (Battery)'!$V$10,'Assumptions (Battery)'!$V$5*Model!$AV$2452*'Assumptions (Battery)'!$AT$2/10^9),0)</f>
        <v>0</v>
      </c>
      <c r="BF2554" s="105">
        <f>IF($AV$2452&gt;0,PPMT('Assumptions (Battery)'!$V$7,Model!AG$1,'Assumptions (Battery)'!$V$10,'Assumptions (Battery)'!$V$5*Model!$AV$2452*'Assumptions (Battery)'!$AT$2/10^9),0)</f>
        <v>0</v>
      </c>
      <c r="BG2554" s="105">
        <f>IF($AV$2452&gt;0,PPMT('Assumptions (Battery)'!$V$7,Model!AH$1,'Assumptions (Battery)'!$V$10,'Assumptions (Battery)'!$V$5*Model!$AV$2452*'Assumptions (Battery)'!$AT$2/10^9),0)</f>
        <v>0</v>
      </c>
      <c r="BH2554" s="105">
        <f>IF($AV$2452&gt;0,PPMT('Assumptions (Battery)'!$V$7,Model!AI$1,'Assumptions (Battery)'!$V$10,'Assumptions (Battery)'!$V$5*Model!$AV$2452*'Assumptions (Battery)'!$AT$2/10^9),0)</f>
        <v>0</v>
      </c>
      <c r="BI2554" s="105">
        <f>IF($AV$2452&gt;0,PPMT('Assumptions (Battery)'!$V$7,Model!AJ$1,'Assumptions (Battery)'!$V$10,'Assumptions (Battery)'!$V$5*Model!$AV$2452*'Assumptions (Battery)'!$AT$2/10^9),0)</f>
        <v>0</v>
      </c>
      <c r="BJ2554" s="105">
        <f>IF($AV$2452&gt;0,PPMT('Assumptions (Battery)'!$V$7,Model!AK$1,'Assumptions (Battery)'!$V$10,'Assumptions (Battery)'!$V$5*Model!$AV$2452*'Assumptions (Battery)'!$AT$2/10^9),0)</f>
        <v>0</v>
      </c>
      <c r="BK2554" s="105"/>
      <c r="BL2554" s="105"/>
      <c r="BM2554" s="105"/>
      <c r="BN2554" s="105"/>
      <c r="BO2554" s="105"/>
      <c r="BP2554" s="105"/>
    </row>
    <row r="2555" spans="1:68" ht="15.75" hidden="1" customHeight="1" outlineLevel="1">
      <c r="A2555" s="454"/>
      <c r="B2555" s="99"/>
      <c r="C2555" s="99"/>
      <c r="D2555" s="99"/>
      <c r="E2555" s="99"/>
      <c r="F2555" s="99"/>
      <c r="G2555" s="99"/>
      <c r="H2555" s="99"/>
      <c r="I2555" s="99"/>
      <c r="J2555" s="99"/>
      <c r="K2555" s="99"/>
      <c r="L2555" s="99"/>
      <c r="M2555" s="99"/>
      <c r="N2555" s="99"/>
      <c r="O2555" s="99"/>
      <c r="P2555" s="99"/>
      <c r="Q2555" s="99"/>
      <c r="R2555" s="99"/>
      <c r="S2555" s="99"/>
      <c r="T2555" s="99"/>
      <c r="U2555" s="99"/>
      <c r="V2555" s="99"/>
      <c r="W2555" s="105"/>
      <c r="X2555" s="105"/>
      <c r="Y2555" s="105"/>
      <c r="Z2555" s="105"/>
      <c r="AA2555" s="105"/>
      <c r="AB2555" s="105"/>
      <c r="AC2555" s="105"/>
      <c r="AD2555" s="105"/>
      <c r="AE2555" s="105"/>
      <c r="AF2555" s="105"/>
      <c r="AG2555" s="105"/>
      <c r="AH2555" s="105"/>
      <c r="AI2555" s="105"/>
      <c r="AJ2555" s="171"/>
      <c r="AK2555" s="105"/>
      <c r="AL2555" s="91"/>
      <c r="AM2555" s="91"/>
      <c r="AN2555" s="91"/>
      <c r="AO2555" s="105"/>
      <c r="AP2555" s="105"/>
      <c r="AQ2555" s="105"/>
      <c r="AR2555" s="105"/>
      <c r="AS2555" s="105"/>
      <c r="AT2555" s="105"/>
      <c r="AU2555" s="105"/>
      <c r="AV2555" s="105"/>
      <c r="AW2555" s="105">
        <f>IF($AW$2452&gt;0,PPMT('Assumptions (Battery)'!$V$7,Model!W$1,'Assumptions (Battery)'!$V$10,'Assumptions (Battery)'!$V$5*Model!$AW$2452*'Assumptions (Battery)'!$AU$2/10^9),0)</f>
        <v>0</v>
      </c>
      <c r="AX2555" s="105">
        <f>IF($AW$2452&gt;0,PPMT('Assumptions (Battery)'!$V$7,Model!X$1,'Assumptions (Battery)'!$V$10,'Assumptions (Battery)'!$V$5*Model!$AW$2452*'Assumptions (Battery)'!$AU$2/10^9),0)</f>
        <v>0</v>
      </c>
      <c r="AY2555" s="105">
        <f>IF($AW$2452&gt;0,PPMT('Assumptions (Battery)'!$V$7,Model!Y$1,'Assumptions (Battery)'!$V$10,'Assumptions (Battery)'!$V$5*Model!$AW$2452*'Assumptions (Battery)'!$AU$2/10^9),0)</f>
        <v>0</v>
      </c>
      <c r="AZ2555" s="105">
        <f>IF($AW$2452&gt;0,PPMT('Assumptions (Battery)'!$V$7,Model!Z$1,'Assumptions (Battery)'!$V$10,'Assumptions (Battery)'!$V$5*Model!$AW$2452*'Assumptions (Battery)'!$AU$2/10^9),0)</f>
        <v>0</v>
      </c>
      <c r="BA2555" s="105">
        <f>IF($AW$2452&gt;0,PPMT('Assumptions (Battery)'!$V$7,Model!AA$1,'Assumptions (Battery)'!$V$10,'Assumptions (Battery)'!$V$5*Model!$AW$2452*'Assumptions (Battery)'!$AU$2/10^9),0)</f>
        <v>0</v>
      </c>
      <c r="BB2555" s="105">
        <f>IF($AW$2452&gt;0,PPMT('Assumptions (Battery)'!$V$7,Model!AB$1,'Assumptions (Battery)'!$V$10,'Assumptions (Battery)'!$V$5*Model!$AW$2452*'Assumptions (Battery)'!$AU$2/10^9),0)</f>
        <v>0</v>
      </c>
      <c r="BC2555" s="105">
        <f>IF($AW$2452&gt;0,PPMT('Assumptions (Battery)'!$V$7,Model!AC$1,'Assumptions (Battery)'!$V$10,'Assumptions (Battery)'!$V$5*Model!$AW$2452*'Assumptions (Battery)'!$AU$2/10^9),0)</f>
        <v>0</v>
      </c>
      <c r="BD2555" s="105">
        <f>IF($AW$2452&gt;0,PPMT('Assumptions (Battery)'!$V$7,Model!AD$1,'Assumptions (Battery)'!$V$10,'Assumptions (Battery)'!$V$5*Model!$AW$2452*'Assumptions (Battery)'!$AU$2/10^9),0)</f>
        <v>0</v>
      </c>
      <c r="BE2555" s="105">
        <f>IF($AW$2452&gt;0,PPMT('Assumptions (Battery)'!$V$7,Model!AE$1,'Assumptions (Battery)'!$V$10,'Assumptions (Battery)'!$V$5*Model!$AW$2452*'Assumptions (Battery)'!$AU$2/10^9),0)</f>
        <v>0</v>
      </c>
      <c r="BF2555" s="105">
        <f>IF($AW$2452&gt;0,PPMT('Assumptions (Battery)'!$V$7,Model!AF$1,'Assumptions (Battery)'!$V$10,'Assumptions (Battery)'!$V$5*Model!$AW$2452*'Assumptions (Battery)'!$AU$2/10^9),0)</f>
        <v>0</v>
      </c>
      <c r="BG2555" s="105">
        <f>IF($AW$2452&gt;0,PPMT('Assumptions (Battery)'!$V$7,Model!AG$1,'Assumptions (Battery)'!$V$10,'Assumptions (Battery)'!$V$5*Model!$AW$2452*'Assumptions (Battery)'!$AU$2/10^9),0)</f>
        <v>0</v>
      </c>
      <c r="BH2555" s="105">
        <f>IF($AW$2452&gt;0,PPMT('Assumptions (Battery)'!$V$7,Model!AH$1,'Assumptions (Battery)'!$V$10,'Assumptions (Battery)'!$V$5*Model!$AW$2452*'Assumptions (Battery)'!$AU$2/10^9),0)</f>
        <v>0</v>
      </c>
      <c r="BI2555" s="105">
        <f>IF($AW$2452&gt;0,PPMT('Assumptions (Battery)'!$V$7,Model!AI$1,'Assumptions (Battery)'!$V$10,'Assumptions (Battery)'!$V$5*Model!$AW$2452*'Assumptions (Battery)'!$AU$2/10^9),0)</f>
        <v>0</v>
      </c>
      <c r="BJ2555" s="105">
        <f>IF($AW$2452&gt;0,PPMT('Assumptions (Battery)'!$V$7,Model!AJ$1,'Assumptions (Battery)'!$V$10,'Assumptions (Battery)'!$V$5*Model!$AW$2452*'Assumptions (Battery)'!$AU$2/10^9),0)</f>
        <v>0</v>
      </c>
      <c r="BK2555" s="105">
        <f>IF($AW$2452&gt;0,PPMT('Assumptions (Battery)'!$V$7,Model!AK$1,'Assumptions (Battery)'!$V$10,'Assumptions (Battery)'!$V$5*Model!$AW$2452*'Assumptions (Battery)'!$AU$2/10^9),0)</f>
        <v>0</v>
      </c>
      <c r="BL2555" s="105"/>
      <c r="BM2555" s="105"/>
      <c r="BN2555" s="105"/>
      <c r="BO2555" s="105"/>
      <c r="BP2555" s="105"/>
    </row>
    <row r="2556" spans="1:68" ht="15.75" hidden="1" customHeight="1" outlineLevel="1">
      <c r="A2556" s="454"/>
      <c r="B2556" s="99"/>
      <c r="C2556" s="99"/>
      <c r="D2556" s="99"/>
      <c r="E2556" s="99"/>
      <c r="F2556" s="99"/>
      <c r="G2556" s="99"/>
      <c r="H2556" s="99"/>
      <c r="I2556" s="99"/>
      <c r="J2556" s="99"/>
      <c r="K2556" s="99"/>
      <c r="L2556" s="99"/>
      <c r="M2556" s="99"/>
      <c r="N2556" s="99"/>
      <c r="O2556" s="99"/>
      <c r="P2556" s="99"/>
      <c r="Q2556" s="99"/>
      <c r="R2556" s="99"/>
      <c r="S2556" s="99"/>
      <c r="T2556" s="99"/>
      <c r="U2556" s="99"/>
      <c r="V2556" s="99"/>
      <c r="W2556" s="105"/>
      <c r="X2556" s="105"/>
      <c r="Y2556" s="105"/>
      <c r="Z2556" s="105"/>
      <c r="AA2556" s="105"/>
      <c r="AB2556" s="105"/>
      <c r="AC2556" s="105"/>
      <c r="AD2556" s="105"/>
      <c r="AE2556" s="105"/>
      <c r="AF2556" s="105"/>
      <c r="AG2556" s="105"/>
      <c r="AH2556" s="105"/>
      <c r="AI2556" s="105"/>
      <c r="AJ2556" s="171"/>
      <c r="AK2556" s="105"/>
      <c r="AL2556" s="91"/>
      <c r="AM2556" s="91"/>
      <c r="AN2556" s="91"/>
      <c r="AO2556" s="105"/>
      <c r="AP2556" s="105"/>
      <c r="AQ2556" s="105"/>
      <c r="AR2556" s="105"/>
      <c r="AS2556" s="105"/>
      <c r="AT2556" s="105"/>
      <c r="AU2556" s="105"/>
      <c r="AV2556" s="105"/>
      <c r="AW2556" s="105"/>
      <c r="AX2556" s="105">
        <f>IF($AX$2452&gt;0,PPMT('Assumptions (Battery)'!$V$7,Model!W$1,'Assumptions (Battery)'!$V$10,'Assumptions (Battery)'!$V$5*Model!$AX$2452*'Assumptions (Battery)'!$AV$2/10^9),0)</f>
        <v>0</v>
      </c>
      <c r="AY2556" s="105">
        <f>IF($AX$2452&gt;0,PPMT('Assumptions (Battery)'!$V$7,Model!X$1,'Assumptions (Battery)'!$V$10,'Assumptions (Battery)'!$V$5*Model!$AX$2452*'Assumptions (Battery)'!$AV$2/10^9),0)</f>
        <v>0</v>
      </c>
      <c r="AZ2556" s="105">
        <f>IF($AX$2452&gt;0,PPMT('Assumptions (Battery)'!$V$7,Model!Y$1,'Assumptions (Battery)'!$V$10,'Assumptions (Battery)'!$V$5*Model!$AX$2452*'Assumptions (Battery)'!$AV$2/10^9),0)</f>
        <v>0</v>
      </c>
      <c r="BA2556" s="105">
        <f>IF($AX$2452&gt;0,PPMT('Assumptions (Battery)'!$V$7,Model!Z$1,'Assumptions (Battery)'!$V$10,'Assumptions (Battery)'!$V$5*Model!$AX$2452*'Assumptions (Battery)'!$AV$2/10^9),0)</f>
        <v>0</v>
      </c>
      <c r="BB2556" s="105">
        <f>IF($AX$2452&gt;0,PPMT('Assumptions (Battery)'!$V$7,Model!AA$1,'Assumptions (Battery)'!$V$10,'Assumptions (Battery)'!$V$5*Model!$AX$2452*'Assumptions (Battery)'!$AV$2/10^9),0)</f>
        <v>0</v>
      </c>
      <c r="BC2556" s="105">
        <f>IF($AX$2452&gt;0,PPMT('Assumptions (Battery)'!$V$7,Model!AB$1,'Assumptions (Battery)'!$V$10,'Assumptions (Battery)'!$V$5*Model!$AX$2452*'Assumptions (Battery)'!$AV$2/10^9),0)</f>
        <v>0</v>
      </c>
      <c r="BD2556" s="105">
        <f>IF($AX$2452&gt;0,PPMT('Assumptions (Battery)'!$V$7,Model!AC$1,'Assumptions (Battery)'!$V$10,'Assumptions (Battery)'!$V$5*Model!$AX$2452*'Assumptions (Battery)'!$AV$2/10^9),0)</f>
        <v>0</v>
      </c>
      <c r="BE2556" s="105">
        <f>IF($AX$2452&gt;0,PPMT('Assumptions (Battery)'!$V$7,Model!AD$1,'Assumptions (Battery)'!$V$10,'Assumptions (Battery)'!$V$5*Model!$AX$2452*'Assumptions (Battery)'!$AV$2/10^9),0)</f>
        <v>0</v>
      </c>
      <c r="BF2556" s="105">
        <f>IF($AX$2452&gt;0,PPMT('Assumptions (Battery)'!$V$7,Model!AE$1,'Assumptions (Battery)'!$V$10,'Assumptions (Battery)'!$V$5*Model!$AX$2452*'Assumptions (Battery)'!$AV$2/10^9),0)</f>
        <v>0</v>
      </c>
      <c r="BG2556" s="105">
        <f>IF($AX$2452&gt;0,PPMT('Assumptions (Battery)'!$V$7,Model!AF$1,'Assumptions (Battery)'!$V$10,'Assumptions (Battery)'!$V$5*Model!$AX$2452*'Assumptions (Battery)'!$AV$2/10^9),0)</f>
        <v>0</v>
      </c>
      <c r="BH2556" s="105">
        <f>IF($AX$2452&gt;0,PPMT('Assumptions (Battery)'!$V$7,Model!AG$1,'Assumptions (Battery)'!$V$10,'Assumptions (Battery)'!$V$5*Model!$AX$2452*'Assumptions (Battery)'!$AV$2/10^9),0)</f>
        <v>0</v>
      </c>
      <c r="BI2556" s="105">
        <f>IF($AX$2452&gt;0,PPMT('Assumptions (Battery)'!$V$7,Model!AH$1,'Assumptions (Battery)'!$V$10,'Assumptions (Battery)'!$V$5*Model!$AX$2452*'Assumptions (Battery)'!$AV$2/10^9),0)</f>
        <v>0</v>
      </c>
      <c r="BJ2556" s="105">
        <f>IF($AX$2452&gt;0,PPMT('Assumptions (Battery)'!$V$7,Model!AI$1,'Assumptions (Battery)'!$V$10,'Assumptions (Battery)'!$V$5*Model!$AX$2452*'Assumptions (Battery)'!$AV$2/10^9),0)</f>
        <v>0</v>
      </c>
      <c r="BK2556" s="105">
        <f>IF($AX$2452&gt;0,PPMT('Assumptions (Battery)'!$V$7,Model!AJ$1,'Assumptions (Battery)'!$V$10,'Assumptions (Battery)'!$V$5*Model!$AX$2452*'Assumptions (Battery)'!$AV$2/10^9),0)</f>
        <v>0</v>
      </c>
      <c r="BL2556" s="105">
        <f>IF($AX$2452&gt;0,PPMT('Assumptions (Battery)'!$V$7,Model!AK$1,'Assumptions (Battery)'!$V$10,'Assumptions (Battery)'!$V$5*Model!$AX$2452*'Assumptions (Battery)'!$AV$2/10^9),0)</f>
        <v>0</v>
      </c>
      <c r="BM2556" s="105"/>
      <c r="BN2556" s="105"/>
      <c r="BO2556" s="105"/>
      <c r="BP2556" s="105"/>
    </row>
    <row r="2557" spans="1:68" ht="15.75" hidden="1" customHeight="1" outlineLevel="1">
      <c r="A2557" s="454"/>
      <c r="B2557" s="99"/>
      <c r="C2557" s="99"/>
      <c r="D2557" s="99"/>
      <c r="E2557" s="99"/>
      <c r="F2557" s="99"/>
      <c r="G2557" s="99"/>
      <c r="H2557" s="99"/>
      <c r="I2557" s="99"/>
      <c r="J2557" s="99"/>
      <c r="K2557" s="99"/>
      <c r="L2557" s="99"/>
      <c r="M2557" s="99"/>
      <c r="N2557" s="99"/>
      <c r="O2557" s="99"/>
      <c r="P2557" s="99"/>
      <c r="Q2557" s="99"/>
      <c r="R2557" s="99"/>
      <c r="S2557" s="99"/>
      <c r="T2557" s="99"/>
      <c r="U2557" s="99"/>
      <c r="V2557" s="99"/>
      <c r="W2557" s="105"/>
      <c r="X2557" s="105"/>
      <c r="Y2557" s="105"/>
      <c r="Z2557" s="105"/>
      <c r="AA2557" s="105"/>
      <c r="AB2557" s="105"/>
      <c r="AC2557" s="105"/>
      <c r="AD2557" s="105"/>
      <c r="AE2557" s="105"/>
      <c r="AF2557" s="105"/>
      <c r="AG2557" s="105"/>
      <c r="AH2557" s="105"/>
      <c r="AI2557" s="105"/>
      <c r="AJ2557" s="171"/>
      <c r="AK2557" s="105"/>
      <c r="AL2557" s="91"/>
      <c r="AM2557" s="91"/>
      <c r="AN2557" s="91"/>
      <c r="AO2557" s="105"/>
      <c r="AP2557" s="105"/>
      <c r="AQ2557" s="105"/>
      <c r="AR2557" s="105"/>
      <c r="AS2557" s="105"/>
      <c r="AT2557" s="105"/>
      <c r="AU2557" s="105"/>
      <c r="AV2557" s="105"/>
      <c r="AW2557" s="105"/>
      <c r="AX2557" s="105"/>
      <c r="AY2557" s="105">
        <f>IF($AY$2452&gt;0,PPMT('Assumptions (Battery)'!$V$7,Model!W$1,'Assumptions (Battery)'!$V$10,'Assumptions (Battery)'!$V$5*Model!$AY$2452*'Assumptions (Battery)'!$AW$2/10^9),0)</f>
        <v>0</v>
      </c>
      <c r="AZ2557" s="105">
        <f>IF($AY$2452&gt;0,PPMT('Assumptions (Battery)'!$V$7,Model!X$1,'Assumptions (Battery)'!$V$10,'Assumptions (Battery)'!$V$5*Model!$AY$2452*'Assumptions (Battery)'!$AW$2/10^9),0)</f>
        <v>0</v>
      </c>
      <c r="BA2557" s="105">
        <f>IF($AY$2452&gt;0,PPMT('Assumptions (Battery)'!$V$7,Model!Y$1,'Assumptions (Battery)'!$V$10,'Assumptions (Battery)'!$V$5*Model!$AY$2452*'Assumptions (Battery)'!$AW$2/10^9),0)</f>
        <v>0</v>
      </c>
      <c r="BB2557" s="105">
        <f>IF($AY$2452&gt;0,PPMT('Assumptions (Battery)'!$V$7,Model!Z$1,'Assumptions (Battery)'!$V$10,'Assumptions (Battery)'!$V$5*Model!$AY$2452*'Assumptions (Battery)'!$AW$2/10^9),0)</f>
        <v>0</v>
      </c>
      <c r="BC2557" s="105">
        <f>IF($AY$2452&gt;0,PPMT('Assumptions (Battery)'!$V$7,Model!AA$1,'Assumptions (Battery)'!$V$10,'Assumptions (Battery)'!$V$5*Model!$AY$2452*'Assumptions (Battery)'!$AW$2/10^9),0)</f>
        <v>0</v>
      </c>
      <c r="BD2557" s="105">
        <f>IF($AY$2452&gt;0,PPMT('Assumptions (Battery)'!$V$7,Model!AB$1,'Assumptions (Battery)'!$V$10,'Assumptions (Battery)'!$V$5*Model!$AY$2452*'Assumptions (Battery)'!$AW$2/10^9),0)</f>
        <v>0</v>
      </c>
      <c r="BE2557" s="105">
        <f>IF($AY$2452&gt;0,PPMT('Assumptions (Battery)'!$V$7,Model!AC$1,'Assumptions (Battery)'!$V$10,'Assumptions (Battery)'!$V$5*Model!$AY$2452*'Assumptions (Battery)'!$AW$2/10^9),0)</f>
        <v>0</v>
      </c>
      <c r="BF2557" s="105">
        <f>IF($AY$2452&gt;0,PPMT('Assumptions (Battery)'!$V$7,Model!AD$1,'Assumptions (Battery)'!$V$10,'Assumptions (Battery)'!$V$5*Model!$AY$2452*'Assumptions (Battery)'!$AW$2/10^9),0)</f>
        <v>0</v>
      </c>
      <c r="BG2557" s="105">
        <f>IF($AY$2452&gt;0,PPMT('Assumptions (Battery)'!$V$7,Model!AE$1,'Assumptions (Battery)'!$V$10,'Assumptions (Battery)'!$V$5*Model!$AY$2452*'Assumptions (Battery)'!$AW$2/10^9),0)</f>
        <v>0</v>
      </c>
      <c r="BH2557" s="105">
        <f>IF($AY$2452&gt;0,PPMT('Assumptions (Battery)'!$V$7,Model!AF$1,'Assumptions (Battery)'!$V$10,'Assumptions (Battery)'!$V$5*Model!$AY$2452*'Assumptions (Battery)'!$AW$2/10^9),0)</f>
        <v>0</v>
      </c>
      <c r="BI2557" s="105">
        <f>IF($AY$2452&gt;0,PPMT('Assumptions (Battery)'!$V$7,Model!AG$1,'Assumptions (Battery)'!$V$10,'Assumptions (Battery)'!$V$5*Model!$AY$2452*'Assumptions (Battery)'!$AW$2/10^9),0)</f>
        <v>0</v>
      </c>
      <c r="BJ2557" s="105">
        <f>IF($AY$2452&gt;0,PPMT('Assumptions (Battery)'!$V$7,Model!AH$1,'Assumptions (Battery)'!$V$10,'Assumptions (Battery)'!$V$5*Model!$AY$2452*'Assumptions (Battery)'!$AW$2/10^9),0)</f>
        <v>0</v>
      </c>
      <c r="BK2557" s="105">
        <f>IF($AY$2452&gt;0,PPMT('Assumptions (Battery)'!$V$7,Model!AI$1,'Assumptions (Battery)'!$V$10,'Assumptions (Battery)'!$V$5*Model!$AY$2452*'Assumptions (Battery)'!$AW$2/10^9),0)</f>
        <v>0</v>
      </c>
      <c r="BL2557" s="105">
        <f>IF($AY$2452&gt;0,PPMT('Assumptions (Battery)'!$V$7,Model!AJ$1,'Assumptions (Battery)'!$V$10,'Assumptions (Battery)'!$V$5*Model!$AY$2452*'Assumptions (Battery)'!$AW$2/10^9),0)</f>
        <v>0</v>
      </c>
      <c r="BM2557" s="105">
        <f>IF($AY$2452&gt;0,PPMT('Assumptions (Battery)'!$V$7,Model!AK$1,'Assumptions (Battery)'!$V$10,'Assumptions (Battery)'!$V$5*Model!$AY$2452*'Assumptions (Battery)'!$AW$2/10^9),0)</f>
        <v>0</v>
      </c>
      <c r="BN2557" s="105"/>
      <c r="BO2557" s="105"/>
      <c r="BP2557" s="105"/>
    </row>
    <row r="2558" spans="1:68" ht="15.75" hidden="1" customHeight="1" outlineLevel="1">
      <c r="A2558" s="454"/>
      <c r="B2558" s="99"/>
      <c r="C2558" s="99"/>
      <c r="D2558" s="99"/>
      <c r="E2558" s="99"/>
      <c r="F2558" s="99"/>
      <c r="G2558" s="99"/>
      <c r="H2558" s="99"/>
      <c r="I2558" s="99"/>
      <c r="J2558" s="99"/>
      <c r="K2558" s="99"/>
      <c r="L2558" s="99"/>
      <c r="M2558" s="99"/>
      <c r="N2558" s="99"/>
      <c r="O2558" s="99"/>
      <c r="P2558" s="99"/>
      <c r="Q2558" s="99"/>
      <c r="R2558" s="99"/>
      <c r="S2558" s="99"/>
      <c r="T2558" s="99"/>
      <c r="U2558" s="99"/>
      <c r="V2558" s="99"/>
      <c r="W2558" s="105"/>
      <c r="X2558" s="105"/>
      <c r="Y2558" s="105"/>
      <c r="Z2558" s="105"/>
      <c r="AA2558" s="105"/>
      <c r="AB2558" s="105"/>
      <c r="AC2558" s="105"/>
      <c r="AD2558" s="105"/>
      <c r="AE2558" s="105"/>
      <c r="AF2558" s="105"/>
      <c r="AG2558" s="105"/>
      <c r="AH2558" s="105"/>
      <c r="AI2558" s="105"/>
      <c r="AJ2558" s="171"/>
      <c r="AK2558" s="105"/>
      <c r="AL2558" s="91"/>
      <c r="AM2558" s="91"/>
      <c r="AN2558" s="91"/>
      <c r="AO2558" s="105"/>
      <c r="AP2558" s="105"/>
      <c r="AQ2558" s="105"/>
      <c r="AR2558" s="105"/>
      <c r="AS2558" s="105"/>
      <c r="AT2558" s="105"/>
      <c r="AU2558" s="105"/>
      <c r="AV2558" s="105"/>
      <c r="AW2558" s="105"/>
      <c r="AX2558" s="105"/>
      <c r="AY2558" s="105"/>
      <c r="AZ2558" s="105">
        <f>IF($AZ$2452&gt;0,PPMT('Assumptions (Battery)'!$V$7,Model!W$1,'Assumptions (Battery)'!$V$10,'Assumptions (Battery)'!$V$5*Model!$AZ$2452*'Assumptions (Battery)'!$AX$2/10^9),0)</f>
        <v>0</v>
      </c>
      <c r="BA2558" s="105">
        <f>IF($AZ$2452&gt;0,PPMT('Assumptions (Battery)'!$V$7,Model!X$1,'Assumptions (Battery)'!$V$10,'Assumptions (Battery)'!$V$5*Model!$AZ$2452*'Assumptions (Battery)'!$AX$2/10^9),0)</f>
        <v>0</v>
      </c>
      <c r="BB2558" s="105">
        <f>IF($AZ$2452&gt;0,PPMT('Assumptions (Battery)'!$V$7,Model!Y$1,'Assumptions (Battery)'!$V$10,'Assumptions (Battery)'!$V$5*Model!$AZ$2452*'Assumptions (Battery)'!$AX$2/10^9),0)</f>
        <v>0</v>
      </c>
      <c r="BC2558" s="105">
        <f>IF($AZ$2452&gt;0,PPMT('Assumptions (Battery)'!$V$7,Model!Z$1,'Assumptions (Battery)'!$V$10,'Assumptions (Battery)'!$V$5*Model!$AZ$2452*'Assumptions (Battery)'!$AX$2/10^9),0)</f>
        <v>0</v>
      </c>
      <c r="BD2558" s="105">
        <f>IF($AZ$2452&gt;0,PPMT('Assumptions (Battery)'!$V$7,Model!AA$1,'Assumptions (Battery)'!$V$10,'Assumptions (Battery)'!$V$5*Model!$AZ$2452*'Assumptions (Battery)'!$AX$2/10^9),0)</f>
        <v>0</v>
      </c>
      <c r="BE2558" s="105">
        <f>IF($AZ$2452&gt;0,PPMT('Assumptions (Battery)'!$V$7,Model!AB$1,'Assumptions (Battery)'!$V$10,'Assumptions (Battery)'!$V$5*Model!$AZ$2452*'Assumptions (Battery)'!$AX$2/10^9),0)</f>
        <v>0</v>
      </c>
      <c r="BF2558" s="105">
        <f>IF($AZ$2452&gt;0,PPMT('Assumptions (Battery)'!$V$7,Model!AC$1,'Assumptions (Battery)'!$V$10,'Assumptions (Battery)'!$V$5*Model!$AZ$2452*'Assumptions (Battery)'!$AX$2/10^9),0)</f>
        <v>0</v>
      </c>
      <c r="BG2558" s="105">
        <f>IF($AZ$2452&gt;0,PPMT('Assumptions (Battery)'!$V$7,Model!AD$1,'Assumptions (Battery)'!$V$10,'Assumptions (Battery)'!$V$5*Model!$AZ$2452*'Assumptions (Battery)'!$AX$2/10^9),0)</f>
        <v>0</v>
      </c>
      <c r="BH2558" s="105">
        <f>IF($AZ$2452&gt;0,PPMT('Assumptions (Battery)'!$V$7,Model!AE$1,'Assumptions (Battery)'!$V$10,'Assumptions (Battery)'!$V$5*Model!$AZ$2452*'Assumptions (Battery)'!$AX$2/10^9),0)</f>
        <v>0</v>
      </c>
      <c r="BI2558" s="105">
        <f>IF($AZ$2452&gt;0,PPMT('Assumptions (Battery)'!$V$7,Model!AF$1,'Assumptions (Battery)'!$V$10,'Assumptions (Battery)'!$V$5*Model!$AZ$2452*'Assumptions (Battery)'!$AX$2/10^9),0)</f>
        <v>0</v>
      </c>
      <c r="BJ2558" s="105">
        <f>IF($AZ$2452&gt;0,PPMT('Assumptions (Battery)'!$V$7,Model!AG$1,'Assumptions (Battery)'!$V$10,'Assumptions (Battery)'!$V$5*Model!$AZ$2452*'Assumptions (Battery)'!$AX$2/10^9),0)</f>
        <v>0</v>
      </c>
      <c r="BK2558" s="105">
        <f>IF($AZ$2452&gt;0,PPMT('Assumptions (Battery)'!$V$7,Model!AH$1,'Assumptions (Battery)'!$V$10,'Assumptions (Battery)'!$V$5*Model!$AZ$2452*'Assumptions (Battery)'!$AX$2/10^9),0)</f>
        <v>0</v>
      </c>
      <c r="BL2558" s="105">
        <f>IF($AZ$2452&gt;0,PPMT('Assumptions (Battery)'!$V$7,Model!AI$1,'Assumptions (Battery)'!$V$10,'Assumptions (Battery)'!$V$5*Model!$AZ$2452*'Assumptions (Battery)'!$AX$2/10^9),0)</f>
        <v>0</v>
      </c>
      <c r="BM2558" s="105">
        <f>IF($AZ$2452&gt;0,PPMT('Assumptions (Battery)'!$V$7,Model!AJ$1,'Assumptions (Battery)'!$V$10,'Assumptions (Battery)'!$V$5*Model!$AZ$2452*'Assumptions (Battery)'!$AX$2/10^9),0)</f>
        <v>0</v>
      </c>
      <c r="BN2558" s="105">
        <f>IF($AZ$2452&gt;0,PPMT('Assumptions (Battery)'!$V$7,Model!AK$1,'Assumptions (Battery)'!$V$10,'Assumptions (Battery)'!$V$5*Model!$AZ$2452*'Assumptions (Battery)'!$AX$2/10^9),0)</f>
        <v>0</v>
      </c>
      <c r="BO2558" s="105"/>
      <c r="BP2558" s="105"/>
    </row>
    <row r="2559" spans="1:68" ht="15.75" hidden="1" customHeight="1" outlineLevel="1">
      <c r="A2559" s="454"/>
      <c r="B2559" s="99"/>
      <c r="C2559" s="99"/>
      <c r="D2559" s="99"/>
      <c r="E2559" s="99"/>
      <c r="F2559" s="99"/>
      <c r="G2559" s="99"/>
      <c r="H2559" s="99"/>
      <c r="I2559" s="99"/>
      <c r="J2559" s="99"/>
      <c r="K2559" s="99"/>
      <c r="L2559" s="99"/>
      <c r="M2559" s="99"/>
      <c r="N2559" s="99"/>
      <c r="O2559" s="99"/>
      <c r="P2559" s="99"/>
      <c r="Q2559" s="99"/>
      <c r="R2559" s="99"/>
      <c r="S2559" s="99"/>
      <c r="T2559" s="99"/>
      <c r="U2559" s="99"/>
      <c r="V2559" s="99"/>
      <c r="W2559" s="105"/>
      <c r="X2559" s="105"/>
      <c r="Y2559" s="105"/>
      <c r="Z2559" s="105"/>
      <c r="AA2559" s="105"/>
      <c r="AB2559" s="105"/>
      <c r="AC2559" s="105"/>
      <c r="AD2559" s="105"/>
      <c r="AE2559" s="105"/>
      <c r="AF2559" s="105"/>
      <c r="AG2559" s="105"/>
      <c r="AH2559" s="105"/>
      <c r="AI2559" s="105"/>
      <c r="AJ2559" s="171"/>
      <c r="AK2559" s="105"/>
      <c r="AL2559" s="91"/>
      <c r="AM2559" s="91"/>
      <c r="AN2559" s="91"/>
      <c r="AO2559" s="105"/>
      <c r="AP2559" s="105"/>
      <c r="AQ2559" s="105"/>
      <c r="AR2559" s="105"/>
      <c r="AS2559" s="105"/>
      <c r="AT2559" s="105"/>
      <c r="AU2559" s="105"/>
      <c r="AV2559" s="105"/>
      <c r="AW2559" s="105"/>
      <c r="AX2559" s="105"/>
      <c r="AY2559" s="105"/>
      <c r="AZ2559" s="105"/>
      <c r="BA2559" s="105">
        <f>IF($BA$2452&gt;0,PPMT('Assumptions (Battery)'!$V$7,Model!W$1,'Assumptions (Battery)'!$V$10,'Assumptions (Battery)'!$V$5*Model!$BA$2452*'Assumptions (Battery)'!$AY$2/10^9),0)</f>
        <v>0</v>
      </c>
      <c r="BB2559" s="105">
        <f>IF($BA$2452&gt;0,PPMT('Assumptions (Battery)'!$V$7,Model!X$1,'Assumptions (Battery)'!$V$10,'Assumptions (Battery)'!$V$5*Model!$BA$2452*'Assumptions (Battery)'!$AY$2/10^9),0)</f>
        <v>0</v>
      </c>
      <c r="BC2559" s="105">
        <f>IF($BA$2452&gt;0,PPMT('Assumptions (Battery)'!$V$7,Model!Y$1,'Assumptions (Battery)'!$V$10,'Assumptions (Battery)'!$V$5*Model!$BA$2452*'Assumptions (Battery)'!$AY$2/10^9),0)</f>
        <v>0</v>
      </c>
      <c r="BD2559" s="105">
        <f>IF($BA$2452&gt;0,PPMT('Assumptions (Battery)'!$V$7,Model!Z$1,'Assumptions (Battery)'!$V$10,'Assumptions (Battery)'!$V$5*Model!$BA$2452*'Assumptions (Battery)'!$AY$2/10^9),0)</f>
        <v>0</v>
      </c>
      <c r="BE2559" s="105">
        <f>IF($BA$2452&gt;0,PPMT('Assumptions (Battery)'!$V$7,Model!AA$1,'Assumptions (Battery)'!$V$10,'Assumptions (Battery)'!$V$5*Model!$BA$2452*'Assumptions (Battery)'!$AY$2/10^9),0)</f>
        <v>0</v>
      </c>
      <c r="BF2559" s="105">
        <f>IF($BA$2452&gt;0,PPMT('Assumptions (Battery)'!$V$7,Model!AB$1,'Assumptions (Battery)'!$V$10,'Assumptions (Battery)'!$V$5*Model!$BA$2452*'Assumptions (Battery)'!$AY$2/10^9),0)</f>
        <v>0</v>
      </c>
      <c r="BG2559" s="105">
        <f>IF($BA$2452&gt;0,PPMT('Assumptions (Battery)'!$V$7,Model!AC$1,'Assumptions (Battery)'!$V$10,'Assumptions (Battery)'!$V$5*Model!$BA$2452*'Assumptions (Battery)'!$AY$2/10^9),0)</f>
        <v>0</v>
      </c>
      <c r="BH2559" s="105">
        <f>IF($BA$2452&gt;0,PPMT('Assumptions (Battery)'!$V$7,Model!AD$1,'Assumptions (Battery)'!$V$10,'Assumptions (Battery)'!$V$5*Model!$BA$2452*'Assumptions (Battery)'!$AY$2/10^9),0)</f>
        <v>0</v>
      </c>
      <c r="BI2559" s="105">
        <f>IF($BA$2452&gt;0,PPMT('Assumptions (Battery)'!$V$7,Model!AE$1,'Assumptions (Battery)'!$V$10,'Assumptions (Battery)'!$V$5*Model!$BA$2452*'Assumptions (Battery)'!$AY$2/10^9),0)</f>
        <v>0</v>
      </c>
      <c r="BJ2559" s="105">
        <f>IF($BA$2452&gt;0,PPMT('Assumptions (Battery)'!$V$7,Model!AF$1,'Assumptions (Battery)'!$V$10,'Assumptions (Battery)'!$V$5*Model!$BA$2452*'Assumptions (Battery)'!$AY$2/10^9),0)</f>
        <v>0</v>
      </c>
      <c r="BK2559" s="105">
        <f>IF($BA$2452&gt;0,PPMT('Assumptions (Battery)'!$V$7,Model!AG$1,'Assumptions (Battery)'!$V$10,'Assumptions (Battery)'!$V$5*Model!$BA$2452*'Assumptions (Battery)'!$AY$2/10^9),0)</f>
        <v>0</v>
      </c>
      <c r="BL2559" s="105">
        <f>IF($BA$2452&gt;0,PPMT('Assumptions (Battery)'!$V$7,Model!AH$1,'Assumptions (Battery)'!$V$10,'Assumptions (Battery)'!$V$5*Model!$BA$2452*'Assumptions (Battery)'!$AY$2/10^9),0)</f>
        <v>0</v>
      </c>
      <c r="BM2559" s="105">
        <f>IF($BA$2452&gt;0,PPMT('Assumptions (Battery)'!$V$7,Model!AI$1,'Assumptions (Battery)'!$V$10,'Assumptions (Battery)'!$V$5*Model!$BA$2452*'Assumptions (Battery)'!$AY$2/10^9),0)</f>
        <v>0</v>
      </c>
      <c r="BN2559" s="105">
        <f>IF($BA$2452&gt;0,PPMT('Assumptions (Battery)'!$V$7,Model!AJ$1,'Assumptions (Battery)'!$V$10,'Assumptions (Battery)'!$V$5*Model!$BA$2452*'Assumptions (Battery)'!$AY$2/10^9),0)</f>
        <v>0</v>
      </c>
      <c r="BO2559" s="105">
        <f>IF($BA$2452&gt;0,PPMT('Assumptions (Battery)'!$V$7,Model!AK$1,'Assumptions (Battery)'!$V$10,'Assumptions (Battery)'!$V$5*Model!$BA$2452*'Assumptions (Battery)'!$AY$2/10^9),0)</f>
        <v>0</v>
      </c>
      <c r="BP2559" s="105"/>
    </row>
    <row r="2560" spans="1:68" ht="15.75" customHeight="1" collapsed="1">
      <c r="A2560" s="457" t="s">
        <v>709</v>
      </c>
      <c r="B2560" s="99" t="s">
        <v>201</v>
      </c>
      <c r="C2560" s="91">
        <f t="array" ref="C2560">SUM(IF(ISERROR(C2561:C2611),"",C2561:C2611))</f>
        <v>0</v>
      </c>
      <c r="D2560" s="91">
        <f t="array" ref="D2560">SUM(IF(ISERROR(D2561:D2611),"",D2561:D2611))</f>
        <v>0</v>
      </c>
      <c r="E2560" s="91">
        <f t="array" ref="E2560">SUM(IF(ISERROR(E2561:E2611),"",E2561:E2611))</f>
        <v>0</v>
      </c>
      <c r="F2560" s="91">
        <f t="array" ref="F2560">SUM(IF(ISERROR(F2561:F2611),"",F2561:F2611))</f>
        <v>0</v>
      </c>
      <c r="G2560" s="91">
        <f t="array" ref="G2560">SUM(IF(ISERROR(G2561:G2611),"",G2561:G2611))</f>
        <v>0</v>
      </c>
      <c r="H2560" s="91">
        <f t="array" ref="H2560">SUM(IF(ISERROR(H2561:H2611),"",H2561:H2611))</f>
        <v>0</v>
      </c>
      <c r="I2560" s="91">
        <f t="array" ref="I2560">SUM(IF(ISERROR(I2561:I2611),"",I2561:I2611))</f>
        <v>0</v>
      </c>
      <c r="J2560" s="91">
        <f t="array" ref="J2560">SUM(IF(ISERROR(J2561:J2611),"",J2561:J2611))</f>
        <v>0</v>
      </c>
      <c r="K2560" s="91">
        <f t="array" ref="K2560">SUM(IF(ISERROR(K2561:K2611),"",K2561:K2611))</f>
        <v>-4.1063487732252511E-5</v>
      </c>
      <c r="L2560" s="91">
        <f t="array" ref="L2560">SUM(IF(ISERROR(L2561:L2611),"",L2561:L2611))</f>
        <v>-1.2199841114377164E-4</v>
      </c>
      <c r="M2560" s="91">
        <f t="array" ref="M2560">SUM(IF(ISERROR(M2561:M2611),"",M2561:M2611))</f>
        <v>-1.9859939074274148E-4</v>
      </c>
      <c r="N2560" s="91">
        <f t="array" ref="N2560">SUM(IF(ISERROR(N2561:N2611),"",N2561:N2611))</f>
        <v>-8.9781092059735125E-4</v>
      </c>
      <c r="O2560" s="91">
        <f t="array" ref="O2560">SUM(IF(ISERROR(O2561:O2611),"",O2561:O2611))</f>
        <v>-1.7829892038148049E-3</v>
      </c>
      <c r="P2560" s="91">
        <f t="array" ref="P2560">SUM(IF(ISERROR(P2561:P2611),"",P2561:P2611))</f>
        <v>-1.9973937111757217E-3</v>
      </c>
      <c r="Q2560" s="91">
        <f t="array" ref="Q2560">SUM(IF(ISERROR(Q2561:Q2611),"",Q2561:Q2611))</f>
        <v>-2.4541424602910825E-3</v>
      </c>
      <c r="R2560" s="91">
        <f t="array" ref="R2560">SUM(IF(ISERROR(R2561:R2611),"",R2561:R2611))</f>
        <v>-5.6704812321971528E-3</v>
      </c>
      <c r="S2560" s="91">
        <f t="array" ref="S2560">SUM(IF(ISERROR(S2561:S2611),"",S2561:S2611))</f>
        <v>-9.8806903345684538E-3</v>
      </c>
      <c r="T2560" s="91">
        <f t="array" ref="T2560">SUM(IF(ISERROR(T2561:T2611),"",T2561:T2611))</f>
        <v>-1.1716519770963362E-2</v>
      </c>
      <c r="U2560" s="91">
        <f t="array" ref="U2560">SUM(IF(ISERROR(U2561:U2611),"",U2561:U2611))</f>
        <v>-1.3830887167217833E-2</v>
      </c>
      <c r="V2560" s="91">
        <f t="array" ref="V2560">SUM(IF(ISERROR(V2561:V2611),"",V2561:V2611))</f>
        <v>-1.7530848761124179E-2</v>
      </c>
      <c r="W2560" s="91">
        <f t="array" ref="W2560">SUM(IF(ISERROR(W2561:W2611),"",W2561:W2611))</f>
        <v>-2.6088345001494088E-2</v>
      </c>
      <c r="X2560" s="91">
        <f t="array" ref="X2560">SUM(IF(ISERROR(X2561:X2611),"",X2561:X2611))</f>
        <v>-2.337524407720909E-2</v>
      </c>
      <c r="Y2560" s="91">
        <f t="array" ref="Y2560">SUM(IF(ISERROR(Y2561:Y2611),"",Y2561:Y2611))</f>
        <v>-2.0551600670376702E-2</v>
      </c>
      <c r="Z2560" s="91">
        <f t="array" ref="Z2560">SUM(IF(ISERROR(Z2561:Z2611),"",Z2561:Z2611))</f>
        <v>-1.7643822135447677E-2</v>
      </c>
      <c r="AA2560" s="91">
        <f t="array" ref="AA2560">SUM(IF(ISERROR(AA2561:AA2611),"",AA2561:AA2611))</f>
        <v>-1.4555785051503619E-2</v>
      </c>
      <c r="AB2560" s="91">
        <f t="array" ref="AB2560">SUM(IF(ISERROR(AB2561:AB2611),"",AB2561:AB2611))</f>
        <v>-1.1314432706003564E-2</v>
      </c>
      <c r="AC2560" s="91">
        <f t="array" ref="AC2560">SUM(IF(ISERROR(AC2561:AC2611),"",AC2561:AC2611))</f>
        <v>-8.3272828375062589E-3</v>
      </c>
      <c r="AD2560" s="91">
        <f t="array" ref="AD2560">SUM(IF(ISERROR(AD2561:AD2611),"",AD2561:AD2611))</f>
        <v>-5.8009695173322599E-3</v>
      </c>
      <c r="AE2560" s="91">
        <f t="array" ref="AE2560">SUM(IF(ISERROR(AE2561:AE2611),"",AE2561:AE2611))</f>
        <v>-3.4726035655421421E-3</v>
      </c>
      <c r="AF2560" s="91">
        <f t="array" ref="AF2560">SUM(IF(ISERROR(AF2561:AF2611),"",AF2561:AF2611))</f>
        <v>-1.4372633332586501E-3</v>
      </c>
      <c r="AG2560" s="91">
        <f t="array" ref="AG2560">SUM(IF(ISERROR(AG2561:AG2611),"",AG2561:AG2611))</f>
        <v>0</v>
      </c>
      <c r="AH2560" s="91">
        <f t="array" ref="AH2560">SUM(IF(ISERROR(AH2561:AH2611),"",AH2561:AH2611))</f>
        <v>0</v>
      </c>
      <c r="AI2560" s="91">
        <f t="array" ref="AI2560">SUM(IF(ISERROR(AI2561:AI2611),"",AI2561:AI2611))</f>
        <v>0</v>
      </c>
      <c r="AJ2560" s="91">
        <f t="array" ref="AJ2560">SUM(IF(ISERROR(AJ2561:AJ2611),"",AJ2561:AJ2611))</f>
        <v>0</v>
      </c>
      <c r="AK2560" s="91">
        <f t="array" ref="AK2560">SUM(IF(ISERROR(AK2561:AK2611),"",AK2561:AK2611))</f>
        <v>0</v>
      </c>
      <c r="AL2560" s="91">
        <f t="array" ref="AL2560">SUM(IF(ISERROR(AL2561:AL2611),"",AL2561:AL2611))</f>
        <v>0</v>
      </c>
      <c r="AM2560" s="91">
        <f t="array" ref="AM2560">SUM(IF(ISERROR(AM2561:AM2611),"",AM2561:AM2611))</f>
        <v>0</v>
      </c>
      <c r="AN2560" s="91">
        <f t="array" ref="AN2560">SUM(IF(ISERROR(AN2561:AN2611),"",AN2561:AN2611))</f>
        <v>0</v>
      </c>
      <c r="AO2560" s="91">
        <f t="array" ref="AO2560">SUM(IF(ISERROR(AO2561:AO2611),"",AO2561:AO2611))</f>
        <v>0</v>
      </c>
      <c r="AP2560" s="91">
        <f t="array" ref="AP2560">SUM(IF(ISERROR(AP2561:AP2611),"",AP2561:AP2611))</f>
        <v>0</v>
      </c>
      <c r="AQ2560" s="91">
        <f t="array" ref="AQ2560">SUM(IF(ISERROR(AQ2561:AQ2611),"",AQ2561:AQ2611))</f>
        <v>0</v>
      </c>
      <c r="AR2560" s="91">
        <f t="array" ref="AR2560">SUM(IF(ISERROR(AR2561:AR2611),"",AR2561:AR2611))</f>
        <v>0</v>
      </c>
      <c r="AS2560" s="91">
        <f t="array" ref="AS2560">SUM(IF(ISERROR(AS2561:AS2611),"",AS2561:AS2611))</f>
        <v>0</v>
      </c>
      <c r="AT2560" s="91">
        <f t="array" ref="AT2560">SUM(IF(ISERROR(AT2561:AT2611),"",AT2561:AT2611))</f>
        <v>0</v>
      </c>
      <c r="AU2560" s="91">
        <f t="array" ref="AU2560">SUM(IF(ISERROR(AU2561:AU2611),"",AU2561:AU2611))</f>
        <v>0</v>
      </c>
      <c r="AV2560" s="91">
        <f t="array" ref="AV2560">SUM(IF(ISERROR(AV2561:AV2611),"",AV2561:AV2611))</f>
        <v>0</v>
      </c>
      <c r="AW2560" s="91">
        <f t="array" ref="AW2560">SUM(IF(ISERROR(AW2561:AW2611),"",AW2561:AW2611))</f>
        <v>0</v>
      </c>
      <c r="AX2560" s="91">
        <f t="array" ref="AX2560">SUM(IF(ISERROR(AX2561:AX2611),"",AX2561:AX2611))</f>
        <v>0</v>
      </c>
      <c r="AY2560" s="91">
        <f t="array" ref="AY2560">SUM(IF(ISERROR(AY2561:AY2611),"",AY2561:AY2611))</f>
        <v>0</v>
      </c>
      <c r="AZ2560" s="91">
        <f t="array" ref="AZ2560">SUM(IF(ISERROR(AZ2561:AZ2611),"",AZ2561:AZ2611))</f>
        <v>0</v>
      </c>
      <c r="BA2560" s="91">
        <f t="array" ref="BA2560">SUM(IF(ISERROR(BA2561:BA2611),"",BA2561:BA2611))</f>
        <v>0</v>
      </c>
      <c r="BB2560" s="91">
        <f t="array" ref="BB2560">SUM(IF(ISERROR(BB2561:BB2611),"",BB2561:BB2611))</f>
        <v>0</v>
      </c>
      <c r="BC2560" s="91">
        <f t="array" ref="BC2560">SUM(IF(ISERROR(BC2561:BC2611),"",BC2561:BC2611))</f>
        <v>0</v>
      </c>
      <c r="BD2560" s="91">
        <f t="array" ref="BD2560">SUM(IF(ISERROR(BD2561:BD2611),"",BD2561:BD2611))</f>
        <v>0</v>
      </c>
      <c r="BE2560" s="91">
        <f t="array" ref="BE2560">SUM(IF(ISERROR(BE2561:BE2611),"",BE2561:BE2611))</f>
        <v>0</v>
      </c>
      <c r="BF2560" s="91">
        <f t="array" ref="BF2560">SUM(IF(ISERROR(BF2561:BF2611),"",BF2561:BF2611))</f>
        <v>0</v>
      </c>
      <c r="BG2560" s="91">
        <f t="array" ref="BG2560">SUM(IF(ISERROR(BG2561:BG2611),"",BG2561:BG2611))</f>
        <v>0</v>
      </c>
      <c r="BH2560" s="91">
        <f t="array" ref="BH2560">SUM(IF(ISERROR(BH2561:BH2611),"",BH2561:BH2611))</f>
        <v>0</v>
      </c>
      <c r="BI2560" s="91">
        <f t="array" ref="BI2560">SUM(IF(ISERROR(BI2561:BI2611),"",BI2561:BI2611))</f>
        <v>0</v>
      </c>
      <c r="BJ2560" s="91">
        <f t="array" ref="BJ2560">SUM(IF(ISERROR(BJ2561:BJ2611),"",BJ2561:BJ2611))</f>
        <v>0</v>
      </c>
      <c r="BK2560" s="91">
        <f t="array" ref="BK2560">SUM(IF(ISERROR(BK2561:BK2611),"",BK2561:BK2611))</f>
        <v>0</v>
      </c>
      <c r="BL2560" s="91">
        <f t="array" ref="BL2560">SUM(IF(ISERROR(BL2561:BL2611),"",BL2561:BL2611))</f>
        <v>0</v>
      </c>
      <c r="BM2560" s="91">
        <f t="array" ref="BM2560">SUM(IF(ISERROR(BM2561:BM2611),"",BM2561:BM2611))</f>
        <v>0</v>
      </c>
      <c r="BN2560" s="91">
        <f t="array" ref="BN2560">SUM(IF(ISERROR(BN2561:BN2611),"",BN2561:BN2611))</f>
        <v>0</v>
      </c>
      <c r="BO2560" s="91">
        <f t="array" ref="BO2560">SUM(IF(ISERROR(BO2561:BO2611),"",BO2561:BO2611))</f>
        <v>0</v>
      </c>
    </row>
    <row r="2561" spans="1:42" ht="15.75" hidden="1" customHeight="1" outlineLevel="1">
      <c r="A2561" s="454"/>
      <c r="B2561" s="99"/>
      <c r="C2561" s="91">
        <f>IF($C$2452&gt;0,IPMT('Assumptions (Battery)'!$V$7,Model!W$1,'Assumptions (Battery)'!$V$10,'Assumptions (Battery)'!$V$5*Model!$C$2452*'Assumptions (Battery)'!$B$2/10^9),0)</f>
        <v>0</v>
      </c>
      <c r="D2561" s="91">
        <f>IF($C$2452&gt;0,IPMT('Assumptions (Battery)'!$V$7,Model!X$1,'Assumptions (Battery)'!$V$10,'Assumptions (Battery)'!$V$5*Model!$C$2452*'Assumptions (Battery)'!$B$2/10^9),0)</f>
        <v>0</v>
      </c>
      <c r="E2561" s="91">
        <f>IF($C$2452&gt;0,IPMT('Assumptions (Battery)'!$V$7,Model!Y$1,'Assumptions (Battery)'!$V$10,'Assumptions (Battery)'!$V$5*Model!$C$2452*'Assumptions (Battery)'!$B$2/10^9),0)</f>
        <v>0</v>
      </c>
      <c r="F2561" s="91">
        <f>IF($C$2452&gt;0,IPMT('Assumptions (Battery)'!$V$7,Model!Z$1,'Assumptions (Battery)'!$V$10,'Assumptions (Battery)'!$V$5*Model!$C$2452*'Assumptions (Battery)'!$B$2/10^9),0)</f>
        <v>0</v>
      </c>
      <c r="G2561" s="91">
        <f>IF($C$2452&gt;0,IPMT('Assumptions (Battery)'!$V$7,Model!AA$1,'Assumptions (Battery)'!$V$10,'Assumptions (Battery)'!$V$5*Model!$C$2452*'Assumptions (Battery)'!$B$2/10^9),0)</f>
        <v>0</v>
      </c>
      <c r="H2561" s="91">
        <f>IF($C$2452&gt;0,IPMT('Assumptions (Battery)'!$V$7,Model!AB$1,'Assumptions (Battery)'!$V$10,'Assumptions (Battery)'!$V$5*Model!$C$2452*'Assumptions (Battery)'!$B$2/10^9),0)</f>
        <v>0</v>
      </c>
      <c r="I2561" s="91">
        <f>IF($C$2452&gt;0,IPMT('Assumptions (Battery)'!$V$7,Model!AC$1,'Assumptions (Battery)'!$V$10,'Assumptions (Battery)'!$V$5*Model!$C$2452*'Assumptions (Battery)'!$B$2/10^9),0)</f>
        <v>0</v>
      </c>
      <c r="J2561" s="91">
        <f>IF($C$2452&gt;0,IPMT('Assumptions (Battery)'!$V$7,Model!AD$1,'Assumptions (Battery)'!$V$10,'Assumptions (Battery)'!$V$5*Model!$C$2452*'Assumptions (Battery)'!$B$2/10^9),0)</f>
        <v>0</v>
      </c>
      <c r="K2561" s="91">
        <f>IF($C$2452&gt;0,IPMT('Assumptions (Battery)'!$V$7,Model!AE$1,'Assumptions (Battery)'!$V$10,'Assumptions (Battery)'!$V$5*Model!$C$2452*'Assumptions (Battery)'!$B$2/10^9),0)</f>
        <v>0</v>
      </c>
      <c r="L2561" s="91">
        <f>IF($C$2452&gt;0,IPMT('Assumptions (Battery)'!$V$7,Model!AF$1,'Assumptions (Battery)'!$V$10,'Assumptions (Battery)'!$V$5*Model!$C$2452*'Assumptions (Battery)'!$B$2/10^9),0)</f>
        <v>0</v>
      </c>
      <c r="M2561" s="91">
        <f>IF($C$2452&gt;0,IPMT('Assumptions (Battery)'!$V$7,Model!AG$1,'Assumptions (Battery)'!$V$10,'Assumptions (Battery)'!$V$5*Model!$C$2452*'Assumptions (Battery)'!$B$2/10^9),0)</f>
        <v>0</v>
      </c>
      <c r="N2561" s="91">
        <f>IF($C$2452&gt;0,IPMT('Assumptions (Battery)'!$V$7,Model!AH$1,'Assumptions (Battery)'!$V$10,'Assumptions (Battery)'!$V$5*Model!$C$2452*'Assumptions (Battery)'!$B$2/10^9),0)</f>
        <v>0</v>
      </c>
      <c r="O2561" s="91">
        <f>IF($C$2452&gt;0,IPMT('Assumptions (Battery)'!$V$7,Model!AI$1,'Assumptions (Battery)'!$V$10,'Assumptions (Battery)'!$V$5*Model!$C$2452*'Assumptions (Battery)'!$B$2/10^9),0)</f>
        <v>0</v>
      </c>
      <c r="P2561" s="91">
        <f>IF($C$2452&gt;0,IPMT('Assumptions (Battery)'!$V$7,Model!AJ$1,'Assumptions (Battery)'!$V$10,'Assumptions (Battery)'!$V$5*Model!$C$2452*'Assumptions (Battery)'!$B$2/10^9),0)</f>
        <v>0</v>
      </c>
      <c r="Q2561" s="91">
        <f>IF($C$2452&gt;0,IPMT('Assumptions (Battery)'!$V$7,Model!AK$1,'Assumptions (Battery)'!$V$10,'Assumptions (Battery)'!$V$5*Model!$C$2452*'Assumptions (Battery)'!$B$2/10^9),0)</f>
        <v>0</v>
      </c>
      <c r="R2561" s="91"/>
      <c r="S2561" s="91"/>
      <c r="T2561" s="91"/>
      <c r="U2561" s="91"/>
      <c r="V2561" s="91"/>
      <c r="W2561" s="91"/>
      <c r="X2561" s="91"/>
      <c r="Y2561" s="91"/>
      <c r="Z2561" s="91"/>
      <c r="AA2561" s="91"/>
      <c r="AB2561" s="105"/>
      <c r="AC2561" s="105"/>
      <c r="AD2561" s="105"/>
      <c r="AE2561" s="105"/>
      <c r="AF2561" s="105"/>
      <c r="AG2561" s="105"/>
    </row>
    <row r="2562" spans="1:42" ht="15.75" hidden="1" customHeight="1" outlineLevel="1">
      <c r="A2562" s="454"/>
      <c r="B2562" s="99"/>
      <c r="C2562" s="105"/>
      <c r="D2562" s="91">
        <f>IF($D$2452&gt;0,IPMT('Assumptions (Battery)'!$V$7,Model!W$1,'Assumptions (Battery)'!$V$10,'Assumptions (Battery)'!$V$5*Model!$D$2452*'Assumptions (Battery)'!$B$2/10^9),0)</f>
        <v>0</v>
      </c>
      <c r="E2562" s="91">
        <f>IF($D$2452&gt;0,IPMT('Assumptions (Battery)'!$V$7,Model!X$1,'Assumptions (Battery)'!$V$10,'Assumptions (Battery)'!$V$5*Model!$D$2452*'Assumptions (Battery)'!$B$2/10^9),0)</f>
        <v>0</v>
      </c>
      <c r="F2562" s="91">
        <f>IF($D$2452&gt;0,IPMT('Assumptions (Battery)'!$V$7,Model!Y$1,'Assumptions (Battery)'!$V$10,'Assumptions (Battery)'!$V$5*Model!$D$2452*'Assumptions (Battery)'!$B$2/10^9),0)</f>
        <v>0</v>
      </c>
      <c r="G2562" s="91">
        <f>IF($D$2452&gt;0,IPMT('Assumptions (Battery)'!$V$7,Model!Z$1,'Assumptions (Battery)'!$V$10,'Assumptions (Battery)'!$V$5*Model!$D$2452*'Assumptions (Battery)'!$B$2/10^9),0)</f>
        <v>0</v>
      </c>
      <c r="H2562" s="91">
        <f>IF($D$2452&gt;0,IPMT('Assumptions (Battery)'!$V$7,Model!AA$1,'Assumptions (Battery)'!$V$10,'Assumptions (Battery)'!$V$5*Model!$D$2452*'Assumptions (Battery)'!$B$2/10^9),0)</f>
        <v>0</v>
      </c>
      <c r="I2562" s="91">
        <f>IF($D$2452&gt;0,IPMT('Assumptions (Battery)'!$V$7,Model!AB$1,'Assumptions (Battery)'!$V$10,'Assumptions (Battery)'!$V$5*Model!$D$2452*'Assumptions (Battery)'!$B$2/10^9),0)</f>
        <v>0</v>
      </c>
      <c r="J2562" s="91">
        <f>IF($D$2452&gt;0,IPMT('Assumptions (Battery)'!$V$7,Model!AC$1,'Assumptions (Battery)'!$V$10,'Assumptions (Battery)'!$V$5*Model!$D$2452*'Assumptions (Battery)'!$B$2/10^9),0)</f>
        <v>0</v>
      </c>
      <c r="K2562" s="91">
        <f>IF($D$2452&gt;0,IPMT('Assumptions (Battery)'!$V$7,Model!AD$1,'Assumptions (Battery)'!$V$10,'Assumptions (Battery)'!$V$5*Model!$D$2452*'Assumptions (Battery)'!$B$2/10^9),0)</f>
        <v>0</v>
      </c>
      <c r="L2562" s="91">
        <f>IF($D$2452&gt;0,IPMT('Assumptions (Battery)'!$V$7,Model!AE$1,'Assumptions (Battery)'!$V$10,'Assumptions (Battery)'!$V$5*Model!$D$2452*'Assumptions (Battery)'!$B$2/10^9),0)</f>
        <v>0</v>
      </c>
      <c r="M2562" s="91">
        <f>IF($D$2452&gt;0,IPMT('Assumptions (Battery)'!$V$7,Model!AF$1,'Assumptions (Battery)'!$V$10,'Assumptions (Battery)'!$V$5*Model!$D$2452*'Assumptions (Battery)'!$B$2/10^9),0)</f>
        <v>0</v>
      </c>
      <c r="N2562" s="91">
        <f>IF($D$2452&gt;0,IPMT('Assumptions (Battery)'!$V$7,Model!AG$1,'Assumptions (Battery)'!$V$10,'Assumptions (Battery)'!$V$5*Model!$D$2452*'Assumptions (Battery)'!$B$2/10^9),0)</f>
        <v>0</v>
      </c>
      <c r="O2562" s="91">
        <f>IF($D$2452&gt;0,IPMT('Assumptions (Battery)'!$V$7,Model!AH$1,'Assumptions (Battery)'!$V$10,'Assumptions (Battery)'!$V$5*Model!$D$2452*'Assumptions (Battery)'!$B$2/10^9),0)</f>
        <v>0</v>
      </c>
      <c r="P2562" s="91">
        <f>IF($D$2452&gt;0,IPMT('Assumptions (Battery)'!$V$7,Model!AI$1,'Assumptions (Battery)'!$V$10,'Assumptions (Battery)'!$V$5*Model!$D$2452*'Assumptions (Battery)'!$B$2/10^9),0)</f>
        <v>0</v>
      </c>
      <c r="Q2562" s="91">
        <f>IF($D$2452&gt;0,IPMT('Assumptions (Battery)'!$V$7,Model!AJ$1,'Assumptions (Battery)'!$V$10,'Assumptions (Battery)'!$V$5*Model!$D$2452*'Assumptions (Battery)'!$B$2/10^9),0)</f>
        <v>0</v>
      </c>
      <c r="R2562" s="91">
        <f>IF($D$2452&gt;0,IPMT('Assumptions (Battery)'!$V$7,Model!AK$1,'Assumptions (Battery)'!$V$10,'Assumptions (Battery)'!$V$5*Model!$D$2452*'Assumptions (Battery)'!$B$2/10^9),0)</f>
        <v>0</v>
      </c>
      <c r="S2562" s="91"/>
      <c r="T2562" s="91"/>
      <c r="U2562" s="91"/>
      <c r="V2562" s="91"/>
      <c r="W2562" s="91"/>
      <c r="X2562" s="91"/>
      <c r="Y2562" s="91"/>
      <c r="Z2562" s="91"/>
      <c r="AA2562" s="91"/>
      <c r="AB2562" s="91"/>
      <c r="AC2562" s="105"/>
      <c r="AD2562" s="105"/>
      <c r="AE2562" s="105"/>
      <c r="AF2562" s="105"/>
      <c r="AG2562" s="105"/>
    </row>
    <row r="2563" spans="1:42" ht="15.75" hidden="1" customHeight="1" outlineLevel="1">
      <c r="A2563" s="454"/>
      <c r="B2563" s="99"/>
      <c r="C2563" s="105"/>
      <c r="D2563" s="105"/>
      <c r="E2563" s="105">
        <f>IF($E$2452&gt;0,IPMT('Assumptions (Battery)'!$V$7,Model!W$1,'Assumptions (Battery)'!$V$10,'Assumptions (Battery)'!$V$5*Model!$E$2452*'Assumptions (Battery)'!$C$2/10^9),0)</f>
        <v>0</v>
      </c>
      <c r="F2563" s="105">
        <f>IF($E$2452&gt;0,IPMT('Assumptions (Battery)'!$V$7,Model!X$1,'Assumptions (Battery)'!$V$10,'Assumptions (Battery)'!$V$5*Model!$E$2452*'Assumptions (Battery)'!$C$2/10^9),0)</f>
        <v>0</v>
      </c>
      <c r="G2563" s="105">
        <f>IF($E$2452&gt;0,IPMT('Assumptions (Battery)'!$V$7,Model!Y$1,'Assumptions (Battery)'!$V$10,'Assumptions (Battery)'!$V$5*Model!$E$2452*'Assumptions (Battery)'!$C$2/10^9),0)</f>
        <v>0</v>
      </c>
      <c r="H2563" s="105">
        <f>IF($E$2452&gt;0,IPMT('Assumptions (Battery)'!$V$7,Model!Z$1,'Assumptions (Battery)'!$V$10,'Assumptions (Battery)'!$V$5*Model!$E$2452*'Assumptions (Battery)'!$C$2/10^9),0)</f>
        <v>0</v>
      </c>
      <c r="I2563" s="105">
        <f>IF($E$2452&gt;0,IPMT('Assumptions (Battery)'!$V$7,Model!AA$1,'Assumptions (Battery)'!$V$10,'Assumptions (Battery)'!$V$5*Model!$E$2452*'Assumptions (Battery)'!$C$2/10^9),0)</f>
        <v>0</v>
      </c>
      <c r="J2563" s="105">
        <f>IF($E$2452&gt;0,IPMT('Assumptions (Battery)'!$V$7,Model!AB$1,'Assumptions (Battery)'!$V$10,'Assumptions (Battery)'!$V$5*Model!$E$2452*'Assumptions (Battery)'!$C$2/10^9),0)</f>
        <v>0</v>
      </c>
      <c r="K2563" s="105">
        <f>IF($E$2452&gt;0,IPMT('Assumptions (Battery)'!$V$7,Model!AC$1,'Assumptions (Battery)'!$V$10,'Assumptions (Battery)'!$V$5*Model!$E$2452*'Assumptions (Battery)'!$C$2/10^9),0)</f>
        <v>0</v>
      </c>
      <c r="L2563" s="105">
        <f>IF($E$2452&gt;0,IPMT('Assumptions (Battery)'!$V$7,Model!AD$1,'Assumptions (Battery)'!$V$10,'Assumptions (Battery)'!$V$5*Model!$E$2452*'Assumptions (Battery)'!$C$2/10^9),0)</f>
        <v>0</v>
      </c>
      <c r="M2563" s="105">
        <f>IF($E$2452&gt;0,IPMT('Assumptions (Battery)'!$V$7,Model!AE$1,'Assumptions (Battery)'!$V$10,'Assumptions (Battery)'!$V$5*Model!$E$2452*'Assumptions (Battery)'!$C$2/10^9),0)</f>
        <v>0</v>
      </c>
      <c r="N2563" s="105">
        <f>IF($E$2452&gt;0,IPMT('Assumptions (Battery)'!$V$7,Model!AF$1,'Assumptions (Battery)'!$V$10,'Assumptions (Battery)'!$V$5*Model!$E$2452*'Assumptions (Battery)'!$C$2/10^9),0)</f>
        <v>0</v>
      </c>
      <c r="O2563" s="105">
        <f>IF($E$2452&gt;0,IPMT('Assumptions (Battery)'!$V$7,Model!AG$1,'Assumptions (Battery)'!$V$10,'Assumptions (Battery)'!$V$5*Model!$E$2452*'Assumptions (Battery)'!$C$2/10^9),0)</f>
        <v>0</v>
      </c>
      <c r="P2563" s="105">
        <f>IF($E$2452&gt;0,IPMT('Assumptions (Battery)'!$V$7,Model!AH$1,'Assumptions (Battery)'!$V$10,'Assumptions (Battery)'!$V$5*Model!$E$2452*'Assumptions (Battery)'!$C$2/10^9),0)</f>
        <v>0</v>
      </c>
      <c r="Q2563" s="105">
        <f>IF($E$2452&gt;0,IPMT('Assumptions (Battery)'!$V$7,Model!AI$1,'Assumptions (Battery)'!$V$10,'Assumptions (Battery)'!$V$5*Model!$E$2452*'Assumptions (Battery)'!$C$2/10^9),0)</f>
        <v>0</v>
      </c>
      <c r="R2563" s="105">
        <f>IF($E$2452&gt;0,IPMT('Assumptions (Battery)'!$V$7,Model!AJ$1,'Assumptions (Battery)'!$V$10,'Assumptions (Battery)'!$V$5*Model!$E$2452*'Assumptions (Battery)'!$C$2/10^9),0)</f>
        <v>0</v>
      </c>
      <c r="S2563" s="105">
        <f>IF($E$2452&gt;0,IPMT('Assumptions (Battery)'!$V$7,Model!AK$1,'Assumptions (Battery)'!$V$10,'Assumptions (Battery)'!$V$5*Model!$E$2452*'Assumptions (Battery)'!$C$2/10^9),0)</f>
        <v>0</v>
      </c>
      <c r="T2563" s="105"/>
      <c r="U2563" s="105"/>
      <c r="V2563" s="105"/>
      <c r="W2563" s="105"/>
      <c r="X2563" s="105"/>
      <c r="Y2563" s="105"/>
      <c r="Z2563" s="105"/>
      <c r="AA2563" s="105"/>
      <c r="AB2563" s="105"/>
      <c r="AC2563" s="105"/>
      <c r="AD2563" s="105"/>
      <c r="AE2563" s="105"/>
      <c r="AF2563" s="105"/>
      <c r="AG2563" s="105"/>
    </row>
    <row r="2564" spans="1:42" ht="15.75" hidden="1" customHeight="1" outlineLevel="1">
      <c r="A2564" s="454"/>
      <c r="B2564" s="99"/>
      <c r="C2564" s="105"/>
      <c r="D2564" s="105"/>
      <c r="E2564" s="105"/>
      <c r="F2564" s="105">
        <f>IF($F$2452&gt;0,IPMT('Assumptions (Battery)'!$V$7,Model!W$1,'Assumptions (Battery)'!$V$10,'Assumptions (Battery)'!$V$5*Model!$F$2452*'Assumptions (Battery)'!$D$2/10^9),0)</f>
        <v>0</v>
      </c>
      <c r="G2564" s="105">
        <f>IF($F$2452&gt;0,IPMT('Assumptions (Battery)'!$V$7,Model!X$1,'Assumptions (Battery)'!$V$10,'Assumptions (Battery)'!$V$5*Model!$F$2452*'Assumptions (Battery)'!$D$2/10^9),0)</f>
        <v>0</v>
      </c>
      <c r="H2564" s="105">
        <f>IF($F$2452&gt;0,IPMT('Assumptions (Battery)'!$V$7,Model!Y$1,'Assumptions (Battery)'!$V$10,'Assumptions (Battery)'!$V$5*Model!$F$2452*'Assumptions (Battery)'!$D$2/10^9),0)</f>
        <v>0</v>
      </c>
      <c r="I2564" s="105">
        <f>IF($F$2452&gt;0,IPMT('Assumptions (Battery)'!$V$7,Model!Z$1,'Assumptions (Battery)'!$V$10,'Assumptions (Battery)'!$V$5*Model!$F$2452*'Assumptions (Battery)'!$D$2/10^9),0)</f>
        <v>0</v>
      </c>
      <c r="J2564" s="105">
        <f>IF($F$2452&gt;0,IPMT('Assumptions (Battery)'!$V$7,Model!AA$1,'Assumptions (Battery)'!$V$10,'Assumptions (Battery)'!$V$5*Model!$F$2452*'Assumptions (Battery)'!$D$2/10^9),0)</f>
        <v>0</v>
      </c>
      <c r="K2564" s="105">
        <f>IF($F$2452&gt;0,IPMT('Assumptions (Battery)'!$V$7,Model!AB$1,'Assumptions (Battery)'!$V$10,'Assumptions (Battery)'!$V$5*Model!$F$2452*'Assumptions (Battery)'!$D$2/10^9),0)</f>
        <v>0</v>
      </c>
      <c r="L2564" s="105">
        <f>IF($F$2452&gt;0,IPMT('Assumptions (Battery)'!$V$7,Model!AC$1,'Assumptions (Battery)'!$V$10,'Assumptions (Battery)'!$V$5*Model!$F$2452*'Assumptions (Battery)'!$D$2/10^9),0)</f>
        <v>0</v>
      </c>
      <c r="M2564" s="105">
        <f>IF($F$2452&gt;0,IPMT('Assumptions (Battery)'!$V$7,Model!AD$1,'Assumptions (Battery)'!$V$10,'Assumptions (Battery)'!$V$5*Model!$F$2452*'Assumptions (Battery)'!$D$2/10^9),0)</f>
        <v>0</v>
      </c>
      <c r="N2564" s="105">
        <f>IF($F$2452&gt;0,IPMT('Assumptions (Battery)'!$V$7,Model!AE$1,'Assumptions (Battery)'!$V$10,'Assumptions (Battery)'!$V$5*Model!$F$2452*'Assumptions (Battery)'!$D$2/10^9),0)</f>
        <v>0</v>
      </c>
      <c r="O2564" s="105">
        <f>IF($F$2452&gt;0,IPMT('Assumptions (Battery)'!$V$7,Model!AF$1,'Assumptions (Battery)'!$V$10,'Assumptions (Battery)'!$V$5*Model!$F$2452*'Assumptions (Battery)'!$D$2/10^9),0)</f>
        <v>0</v>
      </c>
      <c r="P2564" s="105">
        <f>IF($F$2452&gt;0,IPMT('Assumptions (Battery)'!$V$7,Model!AG$1,'Assumptions (Battery)'!$V$10,'Assumptions (Battery)'!$V$5*Model!$F$2452*'Assumptions (Battery)'!$D$2/10^9),0)</f>
        <v>0</v>
      </c>
      <c r="Q2564" s="105">
        <f>IF($F$2452&gt;0,IPMT('Assumptions (Battery)'!$V$7,Model!AH$1,'Assumptions (Battery)'!$V$10,'Assumptions (Battery)'!$V$5*Model!$F$2452*'Assumptions (Battery)'!$D$2/10^9),0)</f>
        <v>0</v>
      </c>
      <c r="R2564" s="105">
        <f>IF($F$2452&gt;0,IPMT('Assumptions (Battery)'!$V$7,Model!AI$1,'Assumptions (Battery)'!$V$10,'Assumptions (Battery)'!$V$5*Model!$F$2452*'Assumptions (Battery)'!$D$2/10^9),0)</f>
        <v>0</v>
      </c>
      <c r="S2564" s="105">
        <f>IF($F$2452&gt;0,IPMT('Assumptions (Battery)'!$V$7,Model!AJ$1,'Assumptions (Battery)'!$V$10,'Assumptions (Battery)'!$V$5*Model!$F$2452*'Assumptions (Battery)'!$D$2/10^9),0)</f>
        <v>0</v>
      </c>
      <c r="T2564" s="105">
        <f>IF($F$2452&gt;0,IPMT('Assumptions (Battery)'!$V$7,Model!AK$1,'Assumptions (Battery)'!$V$10,'Assumptions (Battery)'!$V$5*Model!$F$2452*'Assumptions (Battery)'!$D$2/10^9),0)</f>
        <v>0</v>
      </c>
      <c r="U2564" s="105"/>
      <c r="V2564" s="105"/>
      <c r="W2564" s="105"/>
      <c r="X2564" s="105"/>
      <c r="Y2564" s="105"/>
      <c r="Z2564" s="105"/>
      <c r="AA2564" s="105"/>
      <c r="AB2564" s="105"/>
      <c r="AC2564" s="105"/>
      <c r="AD2564" s="105"/>
      <c r="AE2564" s="105"/>
      <c r="AF2564" s="105"/>
      <c r="AG2564" s="105"/>
    </row>
    <row r="2565" spans="1:42" ht="15.75" hidden="1" customHeight="1" outlineLevel="1">
      <c r="A2565" s="454"/>
      <c r="B2565" s="99"/>
      <c r="C2565" s="105"/>
      <c r="D2565" s="105"/>
      <c r="E2565" s="105"/>
      <c r="F2565" s="105"/>
      <c r="G2565" s="105">
        <f>IF($G$2452&gt;0,IPMT('Assumptions (Battery)'!$V$7,Model!W$1,'Assumptions (Battery)'!$V$10,'Assumptions (Battery)'!$V$5*Model!$G$2452*'Assumptions (Battery)'!$E$2/10^9),0)</f>
        <v>0</v>
      </c>
      <c r="H2565" s="105">
        <f>IF($G$2452&gt;0,IPMT('Assumptions (Battery)'!$V$7,Model!X$1,'Assumptions (Battery)'!$V$10,'Assumptions (Battery)'!$V$5*Model!$G$2452*'Assumptions (Battery)'!$E$2/10^9),0)</f>
        <v>0</v>
      </c>
      <c r="I2565" s="105">
        <f>IF($G$2452&gt;0,IPMT('Assumptions (Battery)'!$V$7,Model!Y$1,'Assumptions (Battery)'!$V$10,'Assumptions (Battery)'!$V$5*Model!$G$2452*'Assumptions (Battery)'!$E$2/10^9),0)</f>
        <v>0</v>
      </c>
      <c r="J2565" s="105">
        <f>IF($G$2452&gt;0,IPMT('Assumptions (Battery)'!$V$7,Model!Z$1,'Assumptions (Battery)'!$V$10,'Assumptions (Battery)'!$V$5*Model!$G$2452*'Assumptions (Battery)'!$E$2/10^9),0)</f>
        <v>0</v>
      </c>
      <c r="K2565" s="105">
        <f>IF($G$2452&gt;0,IPMT('Assumptions (Battery)'!$V$7,Model!AA$1,'Assumptions (Battery)'!$V$10,'Assumptions (Battery)'!$V$5*Model!$G$2452*'Assumptions (Battery)'!$E$2/10^9),0)</f>
        <v>0</v>
      </c>
      <c r="L2565" s="105">
        <f>IF($G$2452&gt;0,IPMT('Assumptions (Battery)'!$V$7,Model!AB$1,'Assumptions (Battery)'!$V$10,'Assumptions (Battery)'!$V$5*Model!$G$2452*'Assumptions (Battery)'!$E$2/10^9),0)</f>
        <v>0</v>
      </c>
      <c r="M2565" s="105">
        <f>IF($G$2452&gt;0,IPMT('Assumptions (Battery)'!$V$7,Model!AC$1,'Assumptions (Battery)'!$V$10,'Assumptions (Battery)'!$V$5*Model!$G$2452*'Assumptions (Battery)'!$E$2/10^9),0)</f>
        <v>0</v>
      </c>
      <c r="N2565" s="105">
        <f>IF($G$2452&gt;0,IPMT('Assumptions (Battery)'!$V$7,Model!AD$1,'Assumptions (Battery)'!$V$10,'Assumptions (Battery)'!$V$5*Model!$G$2452*'Assumptions (Battery)'!$E$2/10^9),0)</f>
        <v>0</v>
      </c>
      <c r="O2565" s="105">
        <f>IF($G$2452&gt;0,IPMT('Assumptions (Battery)'!$V$7,Model!AE$1,'Assumptions (Battery)'!$V$10,'Assumptions (Battery)'!$V$5*Model!$G$2452*'Assumptions (Battery)'!$E$2/10^9),0)</f>
        <v>0</v>
      </c>
      <c r="P2565" s="105">
        <f>IF($G$2452&gt;0,IPMT('Assumptions (Battery)'!$V$7,Model!AF$1,'Assumptions (Battery)'!$V$10,'Assumptions (Battery)'!$V$5*Model!$G$2452*'Assumptions (Battery)'!$E$2/10^9),0)</f>
        <v>0</v>
      </c>
      <c r="Q2565" s="105">
        <f>IF($G$2452&gt;0,IPMT('Assumptions (Battery)'!$V$7,Model!AG$1,'Assumptions (Battery)'!$V$10,'Assumptions (Battery)'!$V$5*Model!$G$2452*'Assumptions (Battery)'!$E$2/10^9),0)</f>
        <v>0</v>
      </c>
      <c r="R2565" s="105">
        <f>IF($G$2452&gt;0,IPMT('Assumptions (Battery)'!$V$7,Model!AH$1,'Assumptions (Battery)'!$V$10,'Assumptions (Battery)'!$V$5*Model!$G$2452*'Assumptions (Battery)'!$E$2/10^9),0)</f>
        <v>0</v>
      </c>
      <c r="S2565" s="105">
        <f>IF($G$2452&gt;0,IPMT('Assumptions (Battery)'!$V$7,Model!AI$1,'Assumptions (Battery)'!$V$10,'Assumptions (Battery)'!$V$5*Model!$G$2452*'Assumptions (Battery)'!$E$2/10^9),0)</f>
        <v>0</v>
      </c>
      <c r="T2565" s="105">
        <f>IF($G$2452&gt;0,IPMT('Assumptions (Battery)'!$V$7,Model!AJ$1,'Assumptions (Battery)'!$V$10,'Assumptions (Battery)'!$V$5*Model!$G$2452*'Assumptions (Battery)'!$E$2/10^9),0)</f>
        <v>0</v>
      </c>
      <c r="U2565" s="105">
        <f>IF($G$2452&gt;0,IPMT('Assumptions (Battery)'!$V$7,Model!AK$1,'Assumptions (Battery)'!$V$10,'Assumptions (Battery)'!$V$5*Model!$G$2452*'Assumptions (Battery)'!$E$2/10^9),0)</f>
        <v>0</v>
      </c>
      <c r="V2565" s="105"/>
      <c r="W2565" s="105"/>
      <c r="X2565" s="105"/>
      <c r="Y2565" s="105"/>
      <c r="Z2565" s="105"/>
      <c r="AA2565" s="105"/>
      <c r="AB2565" s="105"/>
      <c r="AC2565" s="105"/>
      <c r="AD2565" s="105"/>
      <c r="AE2565" s="105"/>
      <c r="AF2565" s="105"/>
      <c r="AG2565" s="105"/>
    </row>
    <row r="2566" spans="1:42" ht="15.75" hidden="1" customHeight="1" outlineLevel="1">
      <c r="A2566" s="454"/>
      <c r="B2566" s="99"/>
      <c r="C2566" s="105"/>
      <c r="D2566" s="105"/>
      <c r="E2566" s="105"/>
      <c r="F2566" s="105"/>
      <c r="G2566" s="105"/>
      <c r="H2566" s="105">
        <f>IF($H$2452&gt;0,IPMT('Assumptions (Battery)'!$V$7,Model!W$1,'Assumptions (Battery)'!$V$10,'Assumptions (Battery)'!$V$5*Model!$H$2452*'Assumptions (Battery)'!$F$2/10^9),0)</f>
        <v>0</v>
      </c>
      <c r="I2566" s="105">
        <f>IF($H$2452&gt;0,IPMT('Assumptions (Battery)'!$V$7,Model!X$1,'Assumptions (Battery)'!$V$10,'Assumptions (Battery)'!$V$5*Model!$H$2452*'Assumptions (Battery)'!$F$2/10^9),0)</f>
        <v>0</v>
      </c>
      <c r="J2566" s="105">
        <f>IF($H$2452&gt;0,IPMT('Assumptions (Battery)'!$V$7,Model!Y$1,'Assumptions (Battery)'!$V$10,'Assumptions (Battery)'!$V$5*Model!$H$2452*'Assumptions (Battery)'!$F$2/10^9),0)</f>
        <v>0</v>
      </c>
      <c r="K2566" s="105">
        <f>IF($H$2452&gt;0,IPMT('Assumptions (Battery)'!$V$7,Model!Z$1,'Assumptions (Battery)'!$V$10,'Assumptions (Battery)'!$V$5*Model!$H$2452*'Assumptions (Battery)'!$F$2/10^9),0)</f>
        <v>0</v>
      </c>
      <c r="L2566" s="105">
        <f>IF($H$2452&gt;0,IPMT('Assumptions (Battery)'!$V$7,Model!AA$1,'Assumptions (Battery)'!$V$10,'Assumptions (Battery)'!$V$5*Model!$H$2452*'Assumptions (Battery)'!$F$2/10^9),0)</f>
        <v>0</v>
      </c>
      <c r="M2566" s="105">
        <f>IF($H$2452&gt;0,IPMT('Assumptions (Battery)'!$V$7,Model!AB$1,'Assumptions (Battery)'!$V$10,'Assumptions (Battery)'!$V$5*Model!$H$2452*'Assumptions (Battery)'!$F$2/10^9),0)</f>
        <v>0</v>
      </c>
      <c r="N2566" s="105">
        <f>IF($H$2452&gt;0,IPMT('Assumptions (Battery)'!$V$7,Model!AC$1,'Assumptions (Battery)'!$V$10,'Assumptions (Battery)'!$V$5*Model!$H$2452*'Assumptions (Battery)'!$F$2/10^9),0)</f>
        <v>0</v>
      </c>
      <c r="O2566" s="105">
        <f>IF($H$2452&gt;0,IPMT('Assumptions (Battery)'!$V$7,Model!AD$1,'Assumptions (Battery)'!$V$10,'Assumptions (Battery)'!$V$5*Model!$H$2452*'Assumptions (Battery)'!$F$2/10^9),0)</f>
        <v>0</v>
      </c>
      <c r="P2566" s="105">
        <f>IF($H$2452&gt;0,IPMT('Assumptions (Battery)'!$V$7,Model!AE$1,'Assumptions (Battery)'!$V$10,'Assumptions (Battery)'!$V$5*Model!$H$2452*'Assumptions (Battery)'!$F$2/10^9),0)</f>
        <v>0</v>
      </c>
      <c r="Q2566" s="105">
        <f>IF($H$2452&gt;0,IPMT('Assumptions (Battery)'!$V$7,Model!AF$1,'Assumptions (Battery)'!$V$10,'Assumptions (Battery)'!$V$5*Model!$H$2452*'Assumptions (Battery)'!$F$2/10^9),0)</f>
        <v>0</v>
      </c>
      <c r="R2566" s="105">
        <f>IF($H$2452&gt;0,IPMT('Assumptions (Battery)'!$V$7,Model!AG$1,'Assumptions (Battery)'!$V$10,'Assumptions (Battery)'!$V$5*Model!$H$2452*'Assumptions (Battery)'!$F$2/10^9),0)</f>
        <v>0</v>
      </c>
      <c r="S2566" s="105">
        <f>IF($H$2452&gt;0,IPMT('Assumptions (Battery)'!$V$7,Model!AH$1,'Assumptions (Battery)'!$V$10,'Assumptions (Battery)'!$V$5*Model!$H$2452*'Assumptions (Battery)'!$F$2/10^9),0)</f>
        <v>0</v>
      </c>
      <c r="T2566" s="105">
        <f>IF($H$2452&gt;0,IPMT('Assumptions (Battery)'!$V$7,Model!AI$1,'Assumptions (Battery)'!$V$10,'Assumptions (Battery)'!$V$5*Model!$H$2452*'Assumptions (Battery)'!$F$2/10^9),0)</f>
        <v>0</v>
      </c>
      <c r="U2566" s="105">
        <f>IF($H$2452&gt;0,IPMT('Assumptions (Battery)'!$V$7,Model!AJ$1,'Assumptions (Battery)'!$V$10,'Assumptions (Battery)'!$V$5*Model!$H$2452*'Assumptions (Battery)'!$F$2/10^9),0)</f>
        <v>0</v>
      </c>
      <c r="V2566" s="105">
        <f>IF($H$2452&gt;0,IPMT('Assumptions (Battery)'!$V$7,Model!AK$1,'Assumptions (Battery)'!$V$10,'Assumptions (Battery)'!$V$5*Model!$H$2452*'Assumptions (Battery)'!$F$2/10^9),0)</f>
        <v>0</v>
      </c>
      <c r="W2566" s="105"/>
      <c r="X2566" s="105"/>
      <c r="Y2566" s="105"/>
      <c r="Z2566" s="105"/>
      <c r="AA2566" s="105"/>
      <c r="AB2566" s="105"/>
      <c r="AC2566" s="105"/>
      <c r="AD2566" s="105"/>
      <c r="AE2566" s="105"/>
      <c r="AF2566" s="105"/>
      <c r="AG2566" s="105"/>
    </row>
    <row r="2567" spans="1:42" ht="15.75" hidden="1" customHeight="1" outlineLevel="1">
      <c r="A2567" s="454"/>
      <c r="B2567" s="99"/>
      <c r="C2567" s="105"/>
      <c r="D2567" s="105"/>
      <c r="E2567" s="105"/>
      <c r="F2567" s="105"/>
      <c r="G2567" s="105"/>
      <c r="H2567" s="105"/>
      <c r="I2567" s="105">
        <f>IF($I$2452&gt;0,IPMT('Assumptions (Battery)'!$V$7,Model!W$1,'Assumptions (Battery)'!$V$10,'Assumptions (Battery)'!$V$5*Model!$I$2452*'Assumptions (Battery)'!$G$2/10^9),0)</f>
        <v>0</v>
      </c>
      <c r="J2567" s="105">
        <f>IF($I$2452&gt;0,IPMT('Assumptions (Battery)'!$V$7,Model!X$1,'Assumptions (Battery)'!$V$10,'Assumptions (Battery)'!$V$5*Model!$I$2452*'Assumptions (Battery)'!$G$2/10^9),0)</f>
        <v>0</v>
      </c>
      <c r="K2567" s="105">
        <f>IF($I$2452&gt;0,IPMT('Assumptions (Battery)'!$V$7,Model!Y$1,'Assumptions (Battery)'!$V$10,'Assumptions (Battery)'!$V$5*Model!$I$2452*'Assumptions (Battery)'!$G$2/10^9),0)</f>
        <v>0</v>
      </c>
      <c r="L2567" s="105">
        <f>IF($I$2452&gt;0,IPMT('Assumptions (Battery)'!$V$7,Model!Z$1,'Assumptions (Battery)'!$V$10,'Assumptions (Battery)'!$V$5*Model!$I$2452*'Assumptions (Battery)'!$G$2/10^9),0)</f>
        <v>0</v>
      </c>
      <c r="M2567" s="105">
        <f>IF($I$2452&gt;0,IPMT('Assumptions (Battery)'!$V$7,Model!AA$1,'Assumptions (Battery)'!$V$10,'Assumptions (Battery)'!$V$5*Model!$I$2452*'Assumptions (Battery)'!$G$2/10^9),0)</f>
        <v>0</v>
      </c>
      <c r="N2567" s="105">
        <f>IF($I$2452&gt;0,IPMT('Assumptions (Battery)'!$V$7,Model!AB$1,'Assumptions (Battery)'!$V$10,'Assumptions (Battery)'!$V$5*Model!$I$2452*'Assumptions (Battery)'!$G$2/10^9),0)</f>
        <v>0</v>
      </c>
      <c r="O2567" s="105">
        <f>IF($I$2452&gt;0,IPMT('Assumptions (Battery)'!$V$7,Model!AC$1,'Assumptions (Battery)'!$V$10,'Assumptions (Battery)'!$V$5*Model!$I$2452*'Assumptions (Battery)'!$G$2/10^9),0)</f>
        <v>0</v>
      </c>
      <c r="P2567" s="105">
        <f>IF($I$2452&gt;0,IPMT('Assumptions (Battery)'!$V$7,Model!AD$1,'Assumptions (Battery)'!$V$10,'Assumptions (Battery)'!$V$5*Model!$I$2452*'Assumptions (Battery)'!$G$2/10^9),0)</f>
        <v>0</v>
      </c>
      <c r="Q2567" s="105">
        <f>IF($I$2452&gt;0,IPMT('Assumptions (Battery)'!$V$7,Model!AE$1,'Assumptions (Battery)'!$V$10,'Assumptions (Battery)'!$V$5*Model!$I$2452*'Assumptions (Battery)'!$G$2/10^9),0)</f>
        <v>0</v>
      </c>
      <c r="R2567" s="105">
        <f>IF($I$2452&gt;0,IPMT('Assumptions (Battery)'!$V$7,Model!AF$1,'Assumptions (Battery)'!$V$10,'Assumptions (Battery)'!$V$5*Model!$I$2452*'Assumptions (Battery)'!$G$2/10^9),0)</f>
        <v>0</v>
      </c>
      <c r="S2567" s="105">
        <f>IF($I$2452&gt;0,IPMT('Assumptions (Battery)'!$V$7,Model!AG$1,'Assumptions (Battery)'!$V$10,'Assumptions (Battery)'!$V$5*Model!$I$2452*'Assumptions (Battery)'!$G$2/10^9),0)</f>
        <v>0</v>
      </c>
      <c r="T2567" s="105">
        <f>IF($I$2452&gt;0,IPMT('Assumptions (Battery)'!$V$7,Model!AH$1,'Assumptions (Battery)'!$V$10,'Assumptions (Battery)'!$V$5*Model!$I$2452*'Assumptions (Battery)'!$G$2/10^9),0)</f>
        <v>0</v>
      </c>
      <c r="U2567" s="105">
        <f>IF($I$2452&gt;0,IPMT('Assumptions (Battery)'!$V$7,Model!AI$1,'Assumptions (Battery)'!$V$10,'Assumptions (Battery)'!$V$5*Model!$I$2452*'Assumptions (Battery)'!$G$2/10^9),0)</f>
        <v>0</v>
      </c>
      <c r="V2567" s="105">
        <f>IF($I$2452&gt;0,IPMT('Assumptions (Battery)'!$V$7,Model!AJ$1,'Assumptions (Battery)'!$V$10,'Assumptions (Battery)'!$V$5*Model!$I$2452*'Assumptions (Battery)'!$G$2/10^9),0)</f>
        <v>0</v>
      </c>
      <c r="W2567" s="105">
        <f>IF($I$2452&gt;0,IPMT('Assumptions (Battery)'!$V$7,Model!AK$1,'Assumptions (Battery)'!$V$10,'Assumptions (Battery)'!$V$5*Model!$I$2452*'Assumptions (Battery)'!$G$2/10^9),0)</f>
        <v>0</v>
      </c>
      <c r="X2567" s="105"/>
      <c r="Y2567" s="105"/>
      <c r="Z2567" s="105"/>
      <c r="AA2567" s="105"/>
      <c r="AB2567" s="105"/>
      <c r="AC2567" s="105"/>
      <c r="AD2567" s="105"/>
      <c r="AE2567" s="105"/>
      <c r="AF2567" s="105"/>
      <c r="AG2567" s="105"/>
    </row>
    <row r="2568" spans="1:42" ht="15.75" hidden="1" customHeight="1" outlineLevel="1">
      <c r="A2568" s="454"/>
      <c r="B2568" s="99"/>
      <c r="C2568" s="105"/>
      <c r="D2568" s="105"/>
      <c r="E2568" s="105"/>
      <c r="F2568" s="105"/>
      <c r="G2568" s="105"/>
      <c r="H2568" s="105"/>
      <c r="I2568" s="105"/>
      <c r="J2568" s="105">
        <f>IF($J$2452&gt;0,IPMT('Assumptions (Battery)'!$V$7,Model!W$1,'Assumptions (Battery)'!$V$10,'Assumptions (Battery)'!$V$5*Model!$J$2452*'Assumptions (Battery)'!$H$2/10^9),0)</f>
        <v>0</v>
      </c>
      <c r="K2568" s="105">
        <f>IF($J$2452&gt;0,IPMT('Assumptions (Battery)'!$V$7,Model!X$1,'Assumptions (Battery)'!$V$10,'Assumptions (Battery)'!$V$5*Model!$J$2452*'Assumptions (Battery)'!$H$2/10^9),0)</f>
        <v>0</v>
      </c>
      <c r="L2568" s="105">
        <f>IF($J$2452&gt;0,IPMT('Assumptions (Battery)'!$V$7,Model!Y$1,'Assumptions (Battery)'!$V$10,'Assumptions (Battery)'!$V$5*Model!$J$2452*'Assumptions (Battery)'!$H$2/10^9),0)</f>
        <v>0</v>
      </c>
      <c r="M2568" s="105">
        <f>IF($J$2452&gt;0,IPMT('Assumptions (Battery)'!$V$7,Model!Z$1,'Assumptions (Battery)'!$V$10,'Assumptions (Battery)'!$V$5*Model!$J$2452*'Assumptions (Battery)'!$H$2/10^9),0)</f>
        <v>0</v>
      </c>
      <c r="N2568" s="105">
        <f>IF($J$2452&gt;0,IPMT('Assumptions (Battery)'!$V$7,Model!AA$1,'Assumptions (Battery)'!$V$10,'Assumptions (Battery)'!$V$5*Model!$J$2452*'Assumptions (Battery)'!$H$2/10^9),0)</f>
        <v>0</v>
      </c>
      <c r="O2568" s="105">
        <f>IF($J$2452&gt;0,IPMT('Assumptions (Battery)'!$V$7,Model!AB$1,'Assumptions (Battery)'!$V$10,'Assumptions (Battery)'!$V$5*Model!$J$2452*'Assumptions (Battery)'!$H$2/10^9),0)</f>
        <v>0</v>
      </c>
      <c r="P2568" s="105">
        <f>IF($J$2452&gt;0,IPMT('Assumptions (Battery)'!$V$7,Model!AC$1,'Assumptions (Battery)'!$V$10,'Assumptions (Battery)'!$V$5*Model!$J$2452*'Assumptions (Battery)'!$H$2/10^9),0)</f>
        <v>0</v>
      </c>
      <c r="Q2568" s="105">
        <f>IF($J$2452&gt;0,IPMT('Assumptions (Battery)'!$V$7,Model!AD$1,'Assumptions (Battery)'!$V$10,'Assumptions (Battery)'!$V$5*Model!$J$2452*'Assumptions (Battery)'!$H$2/10^9),0)</f>
        <v>0</v>
      </c>
      <c r="R2568" s="105">
        <f>IF($J$2452&gt;0,IPMT('Assumptions (Battery)'!$V$7,Model!AE$1,'Assumptions (Battery)'!$V$10,'Assumptions (Battery)'!$V$5*Model!$J$2452*'Assumptions (Battery)'!$H$2/10^9),0)</f>
        <v>0</v>
      </c>
      <c r="S2568" s="105">
        <f>IF($J$2452&gt;0,IPMT('Assumptions (Battery)'!$V$7,Model!AF$1,'Assumptions (Battery)'!$V$10,'Assumptions (Battery)'!$V$5*Model!$J$2452*'Assumptions (Battery)'!$H$2/10^9),0)</f>
        <v>0</v>
      </c>
      <c r="T2568" s="105">
        <f>IF($J$2452&gt;0,IPMT('Assumptions (Battery)'!$V$7,Model!AG$1,'Assumptions (Battery)'!$V$10,'Assumptions (Battery)'!$V$5*Model!$J$2452*'Assumptions (Battery)'!$H$2/10^9),0)</f>
        <v>0</v>
      </c>
      <c r="U2568" s="105">
        <f>IF($J$2452&gt;0,IPMT('Assumptions (Battery)'!$V$7,Model!AH$1,'Assumptions (Battery)'!$V$10,'Assumptions (Battery)'!$V$5*Model!$J$2452*'Assumptions (Battery)'!$H$2/10^9),0)</f>
        <v>0</v>
      </c>
      <c r="V2568" s="105">
        <f>IF($J$2452&gt;0,IPMT('Assumptions (Battery)'!$V$7,Model!AI$1,'Assumptions (Battery)'!$V$10,'Assumptions (Battery)'!$V$5*Model!$J$2452*'Assumptions (Battery)'!$H$2/10^9),0)</f>
        <v>0</v>
      </c>
      <c r="W2568" s="105">
        <f>IF($J$2452&gt;0,IPMT('Assumptions (Battery)'!$V$7,Model!AJ$1,'Assumptions (Battery)'!$V$10,'Assumptions (Battery)'!$V$5*Model!$J$2452*'Assumptions (Battery)'!$H$2/10^9),0)</f>
        <v>0</v>
      </c>
      <c r="X2568" s="105">
        <f>IF($J$2452&gt;0,IPMT('Assumptions (Battery)'!$V$7,Model!AK$1,'Assumptions (Battery)'!$V$10,'Assumptions (Battery)'!$V$5*Model!$J$2452*'Assumptions (Battery)'!$H$2/10^9),0)</f>
        <v>0</v>
      </c>
      <c r="Y2568" s="105"/>
      <c r="Z2568" s="105"/>
      <c r="AA2568" s="105"/>
      <c r="AB2568" s="105"/>
      <c r="AC2568" s="105"/>
      <c r="AD2568" s="105"/>
      <c r="AE2568" s="105"/>
      <c r="AF2568" s="105"/>
      <c r="AG2568" s="105"/>
      <c r="AH2568" s="105"/>
    </row>
    <row r="2569" spans="1:42" ht="15.75" hidden="1" customHeight="1" outlineLevel="1">
      <c r="A2569" s="454"/>
      <c r="B2569" s="99"/>
      <c r="C2569" s="105"/>
      <c r="D2569" s="105"/>
      <c r="E2569" s="105"/>
      <c r="F2569" s="105"/>
      <c r="G2569" s="105"/>
      <c r="H2569" s="105"/>
      <c r="I2569" s="105"/>
      <c r="J2569" s="105"/>
      <c r="K2569" s="105">
        <f>IF($K$2452&gt;0,IPMT('Assumptions (Battery)'!$V$7,Model!W$1,'Assumptions (Battery)'!$V$10,'Assumptions (Battery)'!$V$5*Model!$K$2452*'Assumptions (Battery)'!$I$2/10^9),0)</f>
        <v>-4.1063487732252511E-5</v>
      </c>
      <c r="L2569" s="105">
        <f>IF($K$2452&gt;0,IPMT('Assumptions (Battery)'!$V$7,Model!X$1,'Assumptions (Battery)'!$V$10,'Assumptions (Battery)'!$V$5*Model!$K$2452*'Assumptions (Battery)'!$I$2/10^9),0)</f>
        <v>-3.8228896169976499E-5</v>
      </c>
      <c r="M2569" s="105">
        <f>IF($K$2452&gt;0,IPMT('Assumptions (Battery)'!$V$7,Model!Y$1,'Assumptions (Battery)'!$V$10,'Assumptions (Battery)'!$V$5*Model!$K$2452*'Assumptions (Battery)'!$I$2/10^9),0)</f>
        <v>-3.5167537282718388E-5</v>
      </c>
      <c r="N2569" s="105">
        <f>IF($K$2452&gt;0,IPMT('Assumptions (Battery)'!$V$7,Model!Z$1,'Assumptions (Battery)'!$V$10,'Assumptions (Battery)'!$V$5*Model!$K$2452*'Assumptions (Battery)'!$I$2/10^9),0)</f>
        <v>-3.1861269684479635E-5</v>
      </c>
      <c r="O2569" s="105">
        <f>IF($K$2452&gt;0,IPMT('Assumptions (Battery)'!$V$7,Model!AA$1,'Assumptions (Battery)'!$V$10,'Assumptions (Battery)'!$V$5*Model!$K$2452*'Assumptions (Battery)'!$I$2/10^9),0)</f>
        <v>-2.8290500678381789E-5</v>
      </c>
      <c r="P2569" s="105">
        <f>IF($K$2452&gt;0,IPMT('Assumptions (Battery)'!$V$7,Model!AB$1,'Assumptions (Battery)'!$V$10,'Assumptions (Battery)'!$V$5*Model!$K$2452*'Assumptions (Battery)'!$I$2/10^9),0)</f>
        <v>-2.4434070151796115E-5</v>
      </c>
      <c r="Q2569" s="105">
        <f>IF($K$2452&gt;0,IPMT('Assumptions (Battery)'!$V$7,Model!AC$1,'Assumptions (Battery)'!$V$10,'Assumptions (Battery)'!$V$5*Model!$K$2452*'Assumptions (Battery)'!$I$2/10^9),0)</f>
        <v>-2.0269125183083577E-5</v>
      </c>
      <c r="R2569" s="105">
        <f>IF($K$2452&gt;0,IPMT('Assumptions (Battery)'!$V$7,Model!AD$1,'Assumptions (Battery)'!$V$10,'Assumptions (Battery)'!$V$5*Model!$K$2452*'Assumptions (Battery)'!$I$2/10^9),0)</f>
        <v>-1.5770984616874043E-5</v>
      </c>
      <c r="S2569" s="105">
        <f>IF($K$2452&gt;0,IPMT('Assumptions (Battery)'!$V$7,Model!AE$1,'Assumptions (Battery)'!$V$10,'Assumptions (Battery)'!$V$5*Model!$K$2452*'Assumptions (Battery)'!$I$2/10^9),0)</f>
        <v>-1.0912992805367746E-5</v>
      </c>
      <c r="T2569" s="105">
        <f>IF($K$2452&gt;0,IPMT('Assumptions (Battery)'!$V$7,Model!AF$1,'Assumptions (Battery)'!$V$10,'Assumptions (Battery)'!$V$5*Model!$K$2452*'Assumptions (Battery)'!$I$2/10^9),0)</f>
        <v>-5.6663616489409455E-6</v>
      </c>
      <c r="U2569" s="105" t="e">
        <f>IF($K$2452&gt;0,IPMT('Assumptions (Battery)'!$V$7,Model!AG$1,'Assumptions (Battery)'!$V$10,'Assumptions (Battery)'!$V$5*Model!$K$2452*'Assumptions (Battery)'!$I$2/10^9),0)</f>
        <v>#NUM!</v>
      </c>
      <c r="V2569" s="105" t="e">
        <f>IF($K$2452&gt;0,IPMT('Assumptions (Battery)'!$V$7,Model!AH$1,'Assumptions (Battery)'!$V$10,'Assumptions (Battery)'!$V$5*Model!$K$2452*'Assumptions (Battery)'!$I$2/10^9),0)</f>
        <v>#NUM!</v>
      </c>
      <c r="W2569" s="105" t="e">
        <f>IF($K$2452&gt;0,IPMT('Assumptions (Battery)'!$V$7,Model!AI$1,'Assumptions (Battery)'!$V$10,'Assumptions (Battery)'!$V$5*Model!$K$2452*'Assumptions (Battery)'!$I$2/10^9),0)</f>
        <v>#NUM!</v>
      </c>
      <c r="X2569" s="105" t="e">
        <f>IF($K$2452&gt;0,IPMT('Assumptions (Battery)'!$V$7,Model!AJ$1,'Assumptions (Battery)'!$V$10,'Assumptions (Battery)'!$V$5*Model!$K$2452*'Assumptions (Battery)'!$I$2/10^9),0)</f>
        <v>#NUM!</v>
      </c>
      <c r="Y2569" s="105" t="e">
        <f>IF($K$2452&gt;0,IPMT('Assumptions (Battery)'!$V$7,Model!AK$1,'Assumptions (Battery)'!$V$10,'Assumptions (Battery)'!$V$5*Model!$K$2452*'Assumptions (Battery)'!$I$2/10^9),0)</f>
        <v>#NUM!</v>
      </c>
      <c r="Z2569" s="105"/>
      <c r="AA2569" s="105"/>
      <c r="AB2569" s="105"/>
      <c r="AC2569" s="105"/>
      <c r="AD2569" s="105"/>
      <c r="AE2569" s="105"/>
      <c r="AF2569" s="105"/>
      <c r="AG2569" s="105"/>
      <c r="AH2569" s="105"/>
      <c r="AI2569" s="105"/>
    </row>
    <row r="2570" spans="1:42" ht="15.75" hidden="1" customHeight="1" outlineLevel="1">
      <c r="A2570" s="454"/>
      <c r="B2570" s="99"/>
      <c r="C2570" s="105"/>
      <c r="D2570" s="105"/>
      <c r="E2570" s="105"/>
      <c r="F2570" s="105"/>
      <c r="G2570" s="105"/>
      <c r="H2570" s="105"/>
      <c r="I2570" s="105"/>
      <c r="J2570" s="105"/>
      <c r="K2570" s="105"/>
      <c r="L2570" s="105">
        <f>IF($L$2452&gt;0,IPMT('Assumptions (Battery)'!$V$7,Model!W$1,'Assumptions (Battery)'!$V$10,'Assumptions (Battery)'!$V$5*Model!$L$2452*'Assumptions (Battery)'!$J$2/10^9),0)</f>
        <v>-8.3769514973795138E-5</v>
      </c>
      <c r="M2570" s="105">
        <f>IF($L$2452&gt;0,IPMT('Assumptions (Battery)'!$V$7,Model!X$1,'Assumptions (Battery)'!$V$10,'Assumptions (Battery)'!$V$5*Model!$L$2452*'Assumptions (Battery)'!$J$2/10^9),0)</f>
        <v>-7.7986948186752064E-5</v>
      </c>
      <c r="N2570" s="105">
        <f>IF($L$2452&gt;0,IPMT('Assumptions (Battery)'!$V$7,Model!Y$1,'Assumptions (Battery)'!$V$10,'Assumptions (Battery)'!$V$5*Model!$L$2452*'Assumptions (Battery)'!$J$2/10^9),0)</f>
        <v>-7.1741776056745521E-5</v>
      </c>
      <c r="O2570" s="105">
        <f>IF($L$2452&gt;0,IPMT('Assumptions (Battery)'!$V$7,Model!Z$1,'Assumptions (Battery)'!$V$10,'Assumptions (Battery)'!$V$5*Model!$L$2452*'Assumptions (Battery)'!$J$2/10^9),0)</f>
        <v>-6.4996990156338457E-5</v>
      </c>
      <c r="P2570" s="105">
        <f>IF($L$2452&gt;0,IPMT('Assumptions (Battery)'!$V$7,Model!AA$1,'Assumptions (Battery)'!$V$10,'Assumptions (Battery)'!$V$5*Model!$L$2452*'Assumptions (Battery)'!$J$2/10^9),0)</f>
        <v>-5.771262138389885E-5</v>
      </c>
      <c r="Q2570" s="105">
        <f>IF($L$2452&gt;0,IPMT('Assumptions (Battery)'!$V$7,Model!AB$1,'Assumptions (Battery)'!$V$10,'Assumptions (Battery)'!$V$5*Model!$L$2452*'Assumptions (Battery)'!$J$2/10^9),0)</f>
        <v>-4.9845503109664072E-5</v>
      </c>
      <c r="R2570" s="105">
        <f>IF($L$2452&gt;0,IPMT('Assumptions (Battery)'!$V$7,Model!AC$1,'Assumptions (Battery)'!$V$10,'Assumptions (Battery)'!$V$5*Model!$L$2452*'Assumptions (Battery)'!$J$2/10^9),0)</f>
        <v>-4.1349015373490499E-5</v>
      </c>
      <c r="S2570" s="105">
        <f>IF($L$2452&gt;0,IPMT('Assumptions (Battery)'!$V$7,Model!AD$1,'Assumptions (Battery)'!$V$10,'Assumptions (Battery)'!$V$5*Model!$L$2452*'Assumptions (Battery)'!$J$2/10^9),0)</f>
        <v>-3.2172808618423051E-5</v>
      </c>
      <c r="T2570" s="105">
        <f>IF($L$2452&gt;0,IPMT('Assumptions (Battery)'!$V$7,Model!AE$1,'Assumptions (Battery)'!$V$10,'Assumptions (Battery)'!$V$5*Model!$L$2452*'Assumptions (Battery)'!$J$2/10^9),0)</f>
        <v>-2.2262505322950206E-5</v>
      </c>
      <c r="U2570" s="105">
        <f>IF($L$2452&gt;0,IPMT('Assumptions (Battery)'!$V$7,Model!AF$1,'Assumptions (Battery)'!$V$10,'Assumptions (Battery)'!$V$5*Model!$L$2452*'Assumptions (Battery)'!$J$2/10^9),0)</f>
        <v>-1.155937776383953E-5</v>
      </c>
      <c r="V2570" s="105" t="e">
        <f>IF($L$2452&gt;0,IPMT('Assumptions (Battery)'!$V$7,Model!AG$1,'Assumptions (Battery)'!$V$10,'Assumptions (Battery)'!$V$5*Model!$L$2452*'Assumptions (Battery)'!$J$2/10^9),0)</f>
        <v>#NUM!</v>
      </c>
      <c r="W2570" s="105" t="e">
        <f>IF($L$2452&gt;0,IPMT('Assumptions (Battery)'!$V$7,Model!AH$1,'Assumptions (Battery)'!$V$10,'Assumptions (Battery)'!$V$5*Model!$L$2452*'Assumptions (Battery)'!$J$2/10^9),0)</f>
        <v>#NUM!</v>
      </c>
      <c r="X2570" s="105" t="e">
        <f>IF($L$2452&gt;0,IPMT('Assumptions (Battery)'!$V$7,Model!AI$1,'Assumptions (Battery)'!$V$10,'Assumptions (Battery)'!$V$5*Model!$L$2452*'Assumptions (Battery)'!$J$2/10^9),0)</f>
        <v>#NUM!</v>
      </c>
      <c r="Y2570" s="105" t="e">
        <f>IF($L$2452&gt;0,IPMT('Assumptions (Battery)'!$V$7,Model!AJ$1,'Assumptions (Battery)'!$V$10,'Assumptions (Battery)'!$V$5*Model!$L$2452*'Assumptions (Battery)'!$J$2/10^9),0)</f>
        <v>#NUM!</v>
      </c>
      <c r="Z2570" s="105" t="e">
        <f>IF($L$2452&gt;0,IPMT('Assumptions (Battery)'!$V$7,Model!AK$1,'Assumptions (Battery)'!$V$10,'Assumptions (Battery)'!$V$5*Model!$L$2452*'Assumptions (Battery)'!$J$2/10^9),0)</f>
        <v>#NUM!</v>
      </c>
      <c r="AA2570" s="105"/>
      <c r="AB2570" s="105"/>
      <c r="AC2570" s="105"/>
      <c r="AD2570" s="105"/>
      <c r="AE2570" s="105"/>
      <c r="AF2570" s="105"/>
      <c r="AG2570" s="105"/>
      <c r="AH2570" s="105"/>
      <c r="AI2570" s="105"/>
      <c r="AJ2570" s="105"/>
    </row>
    <row r="2571" spans="1:42" ht="15.75" hidden="1" customHeight="1" outlineLevel="1">
      <c r="A2571" s="454"/>
      <c r="B2571" s="99"/>
      <c r="C2571" s="105"/>
      <c r="D2571" s="105"/>
      <c r="E2571" s="105"/>
      <c r="F2571" s="105"/>
      <c r="G2571" s="105"/>
      <c r="H2571" s="105"/>
      <c r="I2571" s="105"/>
      <c r="J2571" s="105"/>
      <c r="K2571" s="105"/>
      <c r="L2571" s="105"/>
      <c r="M2571" s="105">
        <f>IF($M$2452&gt;0,IPMT('Assumptions (Battery)'!$V$7,Model!W$1,'Assumptions (Battery)'!$V$10,'Assumptions (Battery)'!$V$5*Model!$M$2452*'Assumptions (Battery)'!$K$2/10^9),0)</f>
        <v>-8.5444905273271022E-5</v>
      </c>
      <c r="N2571" s="105">
        <f>IF($M$2452&gt;0,IPMT('Assumptions (Battery)'!$V$7,Model!X$1,'Assumptions (Battery)'!$V$10,'Assumptions (Battery)'!$V$5*Model!$M$2452*'Assumptions (Battery)'!$K$2/10^9),0)</f>
        <v>-7.9546687150487092E-5</v>
      </c>
      <c r="O2571" s="105">
        <f>IF($M$2452&gt;0,IPMT('Assumptions (Battery)'!$V$7,Model!Y$1,'Assumptions (Battery)'!$V$10,'Assumptions (Battery)'!$V$5*Model!$M$2452*'Assumptions (Battery)'!$K$2/10^9),0)</f>
        <v>-7.3176611577880426E-5</v>
      </c>
      <c r="P2571" s="105">
        <f>IF($M$2452&gt;0,IPMT('Assumptions (Battery)'!$V$7,Model!Z$1,'Assumptions (Battery)'!$V$10,'Assumptions (Battery)'!$V$5*Model!$M$2452*'Assumptions (Battery)'!$K$2/10^9),0)</f>
        <v>-6.6296929959465232E-5</v>
      </c>
      <c r="Q2571" s="105">
        <f>IF($M$2452&gt;0,IPMT('Assumptions (Battery)'!$V$7,Model!AA$1,'Assumptions (Battery)'!$V$10,'Assumptions (Battery)'!$V$5*Model!$M$2452*'Assumptions (Battery)'!$K$2/10^9),0)</f>
        <v>-5.8866873811576829E-5</v>
      </c>
      <c r="R2571" s="105">
        <f>IF($M$2452&gt;0,IPMT('Assumptions (Battery)'!$V$7,Model!AB$1,'Assumptions (Battery)'!$V$10,'Assumptions (Battery)'!$V$5*Model!$M$2452*'Assumptions (Battery)'!$K$2/10^9),0)</f>
        <v>-5.0842413171857349E-5</v>
      </c>
      <c r="S2571" s="105">
        <f>IF($M$2452&gt;0,IPMT('Assumptions (Battery)'!$V$7,Model!AC$1,'Assumptions (Battery)'!$V$10,'Assumptions (Battery)'!$V$5*Model!$M$2452*'Assumptions (Battery)'!$K$2/10^9),0)</f>
        <v>-4.2175995680960304E-5</v>
      </c>
      <c r="T2571" s="105">
        <f>IF($M$2452&gt;0,IPMT('Assumptions (Battery)'!$V$7,Model!AD$1,'Assumptions (Battery)'!$V$10,'Assumptions (Battery)'!$V$5*Model!$M$2452*'Assumptions (Battery)'!$K$2/10^9),0)</f>
        <v>-3.2816264790791512E-5</v>
      </c>
      <c r="U2571" s="105">
        <f>IF($M$2452&gt;0,IPMT('Assumptions (Battery)'!$V$7,Model!AE$1,'Assumptions (Battery)'!$V$10,'Assumptions (Battery)'!$V$5*Model!$M$2452*'Assumptions (Battery)'!$K$2/10^9),0)</f>
        <v>-2.2707755429409207E-5</v>
      </c>
      <c r="V2571" s="105">
        <f>IF($M$2452&gt;0,IPMT('Assumptions (Battery)'!$V$7,Model!AF$1,'Assumptions (Battery)'!$V$10,'Assumptions (Battery)'!$V$5*Model!$M$2452*'Assumptions (Battery)'!$K$2/10^9),0)</f>
        <v>-1.1790565319116318E-5</v>
      </c>
      <c r="W2571" s="105" t="e">
        <f>IF($M$2452&gt;0,IPMT('Assumptions (Battery)'!$V$7,Model!AG$1,'Assumptions (Battery)'!$V$10,'Assumptions (Battery)'!$V$5*Model!$M$2452*'Assumptions (Battery)'!$K$2/10^9),0)</f>
        <v>#NUM!</v>
      </c>
      <c r="X2571" s="105" t="e">
        <f>IF($M$2452&gt;0,IPMT('Assumptions (Battery)'!$V$7,Model!AH$1,'Assumptions (Battery)'!$V$10,'Assumptions (Battery)'!$V$5*Model!$M$2452*'Assumptions (Battery)'!$K$2/10^9),0)</f>
        <v>#NUM!</v>
      </c>
      <c r="Y2571" s="105" t="e">
        <f>IF($M$2452&gt;0,IPMT('Assumptions (Battery)'!$V$7,Model!AI$1,'Assumptions (Battery)'!$V$10,'Assumptions (Battery)'!$V$5*Model!$M$2452*'Assumptions (Battery)'!$K$2/10^9),0)</f>
        <v>#NUM!</v>
      </c>
      <c r="Z2571" s="105" t="e">
        <f>IF($M$2452&gt;0,IPMT('Assumptions (Battery)'!$V$7,Model!AJ$1,'Assumptions (Battery)'!$V$10,'Assumptions (Battery)'!$V$5*Model!$M$2452*'Assumptions (Battery)'!$K$2/10^9),0)</f>
        <v>#NUM!</v>
      </c>
      <c r="AA2571" s="105" t="e">
        <f>IF($M$2452&gt;0,IPMT('Assumptions (Battery)'!$V$7,Model!AK$1,'Assumptions (Battery)'!$V$10,'Assumptions (Battery)'!$V$5*Model!$M$2452*'Assumptions (Battery)'!$K$2/10^9),0)</f>
        <v>#NUM!</v>
      </c>
      <c r="AB2571" s="105"/>
      <c r="AC2571" s="105"/>
      <c r="AD2571" s="105"/>
      <c r="AE2571" s="105"/>
      <c r="AF2571" s="105"/>
      <c r="AG2571" s="105"/>
      <c r="AH2571" s="105"/>
      <c r="AI2571" s="105"/>
      <c r="AJ2571" s="105"/>
      <c r="AK2571" s="105"/>
    </row>
    <row r="2572" spans="1:42" ht="15.75" hidden="1" customHeight="1" outlineLevel="1">
      <c r="A2572" s="454"/>
      <c r="B2572" s="99"/>
      <c r="C2572" s="105"/>
      <c r="D2572" s="105"/>
      <c r="E2572" s="105"/>
      <c r="F2572" s="105"/>
      <c r="G2572" s="105"/>
      <c r="H2572" s="105"/>
      <c r="I2572" s="105"/>
      <c r="J2572" s="105"/>
      <c r="K2572" s="105"/>
      <c r="L2572" s="105"/>
      <c r="M2572" s="105"/>
      <c r="N2572" s="91">
        <f>IF($N$2452&gt;0,IPMT('Assumptions (Battery)'!$V$7,Model!W$1,'Assumptions (Battery)'!$V$10,'Assumptions (Battery)'!$V$5*Model!$N$2452*'Assumptions (Battery)'!$L$2/10^9),0)</f>
        <v>-7.1466118770563902E-4</v>
      </c>
      <c r="O2572" s="91">
        <f>IF($N$2452&gt;0,IPMT('Assumptions (Battery)'!$V$7,Model!X$1,'Assumptions (Battery)'!$V$10,'Assumptions (Battery)'!$V$5*Model!$N$2452*'Assumptions (Battery)'!$L$2/10^9),0)</f>
        <v>-6.6532849132667409E-4</v>
      </c>
      <c r="P2572" s="91">
        <f>IF($N$2452&gt;0,IPMT('Assumptions (Battery)'!$V$7,Model!Y$1,'Assumptions (Battery)'!$V$10,'Assumptions (Battery)'!$V$5*Model!$N$2452*'Assumptions (Battery)'!$L$2/10^9),0)</f>
        <v>-6.12049179237392E-4</v>
      </c>
      <c r="Q2572" s="91">
        <f>IF($N$2452&gt;0,IPMT('Assumptions (Battery)'!$V$7,Model!Z$1,'Assumptions (Battery)'!$V$10,'Assumptions (Battery)'!$V$5*Model!$N$2452*'Assumptions (Battery)'!$L$2/10^9),0)</f>
        <v>-5.5450752218096728E-4</v>
      </c>
      <c r="R2572" s="91">
        <f>IF($N$2452&gt;0,IPMT('Assumptions (Battery)'!$V$7,Model!AA$1,'Assumptions (Battery)'!$V$10,'Assumptions (Battery)'!$V$5*Model!$N$2452*'Assumptions (Battery)'!$L$2/10^9),0)</f>
        <v>-4.9236253256002861E-4</v>
      </c>
      <c r="S2572" s="91">
        <f>IF($N$2452&gt;0,IPMT('Assumptions (Battery)'!$V$7,Model!AB$1,'Assumptions (Battery)'!$V$10,'Assumptions (Battery)'!$V$5*Model!$N$2452*'Assumptions (Battery)'!$L$2/10^9),0)</f>
        <v>-4.2524594376941498E-4</v>
      </c>
      <c r="T2572" s="91">
        <f>IF($N$2452&gt;0,IPMT('Assumptions (Battery)'!$V$7,Model!AC$1,'Assumptions (Battery)'!$V$10,'Assumptions (Battery)'!$V$5*Model!$N$2452*'Assumptions (Battery)'!$L$2/10^9),0)</f>
        <v>-3.527600278755521E-4</v>
      </c>
      <c r="U2572" s="91">
        <f>IF($N$2452&gt;0,IPMT('Assumptions (Battery)'!$V$7,Model!AD$1,'Assumptions (Battery)'!$V$10,'Assumptions (Battery)'!$V$5*Model!$N$2452*'Assumptions (Battery)'!$L$2/10^9),0)</f>
        <v>-2.7447523871018025E-4</v>
      </c>
      <c r="V2572" s="91">
        <f>IF($N$2452&gt;0,IPMT('Assumptions (Battery)'!$V$7,Model!AE$1,'Assumptions (Battery)'!$V$10,'Assumptions (Battery)'!$V$5*Model!$N$2452*'Assumptions (Battery)'!$L$2/10^9),0)</f>
        <v>-1.8992766641157864E-4</v>
      </c>
      <c r="W2572" s="91">
        <f>IF($N$2452&gt;0,IPMT('Assumptions (Battery)'!$V$7,Model!AF$1,'Assumptions (Battery)'!$V$10,'Assumptions (Battery)'!$V$5*Model!$N$2452*'Assumptions (Battery)'!$L$2/10^9),0)</f>
        <v>-9.8616288329088909E-5</v>
      </c>
      <c r="X2572" s="91" t="e">
        <f>IF($N$2452&gt;0,IPMT('Assumptions (Battery)'!$V$7,Model!AG$1,'Assumptions (Battery)'!$V$10,'Assumptions (Battery)'!$V$5*Model!$N$2452*'Assumptions (Battery)'!$L$2/10^9),0)</f>
        <v>#NUM!</v>
      </c>
      <c r="Y2572" s="91" t="e">
        <f>IF($N$2452&gt;0,IPMT('Assumptions (Battery)'!$V$7,Model!AH$1,'Assumptions (Battery)'!$V$10,'Assumptions (Battery)'!$V$5*Model!$N$2452*'Assumptions (Battery)'!$L$2/10^9),0)</f>
        <v>#NUM!</v>
      </c>
      <c r="Z2572" s="91" t="e">
        <f>IF($N$2452&gt;0,IPMT('Assumptions (Battery)'!$V$7,Model!AI$1,'Assumptions (Battery)'!$V$10,'Assumptions (Battery)'!$V$5*Model!$N$2452*'Assumptions (Battery)'!$L$2/10^9),0)</f>
        <v>#NUM!</v>
      </c>
      <c r="AA2572" s="91" t="e">
        <f>IF($N$2452&gt;0,IPMT('Assumptions (Battery)'!$V$7,Model!AJ$1,'Assumptions (Battery)'!$V$10,'Assumptions (Battery)'!$V$5*Model!$N$2452*'Assumptions (Battery)'!$L$2/10^9),0)</f>
        <v>#NUM!</v>
      </c>
      <c r="AB2572" s="91" t="e">
        <f>IF($N$2452&gt;0,IPMT('Assumptions (Battery)'!$V$7,Model!AK$1,'Assumptions (Battery)'!$V$10,'Assumptions (Battery)'!$V$5*Model!$N$2452*'Assumptions (Battery)'!$L$2/10^9),0)</f>
        <v>#NUM!</v>
      </c>
      <c r="AC2572" s="91"/>
      <c r="AD2572" s="91"/>
      <c r="AE2572" s="91"/>
      <c r="AF2572" s="91"/>
      <c r="AG2572" s="91"/>
      <c r="AH2572" s="91"/>
      <c r="AI2572" s="91"/>
      <c r="AJ2572" s="91"/>
      <c r="AK2572" s="91"/>
      <c r="AL2572" s="91"/>
    </row>
    <row r="2573" spans="1:42" ht="15.75" hidden="1" customHeight="1" outlineLevel="1">
      <c r="A2573" s="454"/>
      <c r="B2573" s="99"/>
      <c r="C2573" s="105"/>
      <c r="D2573" s="105"/>
      <c r="E2573" s="105"/>
      <c r="F2573" s="105"/>
      <c r="G2573" s="105"/>
      <c r="H2573" s="105"/>
      <c r="I2573" s="105"/>
      <c r="J2573" s="105"/>
      <c r="K2573" s="105"/>
      <c r="L2573" s="105"/>
      <c r="M2573" s="105"/>
      <c r="N2573" s="105"/>
      <c r="O2573" s="105">
        <f>IF($O$2452&gt;0,IPMT('Assumptions (Battery)'!$V$7,Model!W$1,'Assumptions (Battery)'!$V$10,'Assumptions (Battery)'!$V$5*Model!$O$2452*'Assumptions (Battery)'!$M$2/10^9),0)</f>
        <v>-9.5119661007552999E-4</v>
      </c>
      <c r="P2573" s="105">
        <f>IF($O$2452&gt;0,IPMT('Assumptions (Battery)'!$V$7,Model!X$1,'Assumptions (Battery)'!$V$10,'Assumptions (Battery)'!$V$5*Model!$O$2452*'Assumptions (Battery)'!$M$2/10^9),0)</f>
        <v>-8.8553599443162462E-4</v>
      </c>
      <c r="Q2573" s="105">
        <f>IF($O$2452&gt;0,IPMT('Assumptions (Battery)'!$V$7,Model!Y$1,'Assumptions (Battery)'!$V$10,'Assumptions (Battery)'!$V$5*Model!$O$2452*'Assumptions (Battery)'!$M$2/10^9),0)</f>
        <v>-8.1462252953620686E-4</v>
      </c>
      <c r="R2573" s="105">
        <f>IF($O$2452&gt;0,IPMT('Assumptions (Battery)'!$V$7,Model!Z$1,'Assumptions (Battery)'!$V$10,'Assumptions (Battery)'!$V$5*Model!$O$2452*'Assumptions (Battery)'!$M$2/10^9),0)</f>
        <v>-7.380359874491557E-4</v>
      </c>
      <c r="S2573" s="105">
        <f>IF($O$2452&gt;0,IPMT('Assumptions (Battery)'!$V$7,Model!AA$1,'Assumptions (Battery)'!$V$10,'Assumptions (Battery)'!$V$5*Model!$O$2452*'Assumptions (Battery)'!$M$2/10^9),0)</f>
        <v>-6.5532252199514054E-4</v>
      </c>
      <c r="T2573" s="105">
        <f>IF($O$2452&gt;0,IPMT('Assumptions (Battery)'!$V$7,Model!AB$1,'Assumptions (Battery)'!$V$10,'Assumptions (Battery)'!$V$5*Model!$O$2452*'Assumptions (Battery)'!$M$2/10^9),0)</f>
        <v>-5.6599197930480431E-4</v>
      </c>
      <c r="U2573" s="105">
        <f>IF($O$2452&gt;0,IPMT('Assumptions (Battery)'!$V$7,Model!AC$1,'Assumptions (Battery)'!$V$10,'Assumptions (Battery)'!$V$5*Model!$O$2452*'Assumptions (Battery)'!$M$2/10^9),0)</f>
        <v>-4.6951499319924087E-4</v>
      </c>
      <c r="V2573" s="105">
        <f>IF($O$2452&gt;0,IPMT('Assumptions (Battery)'!$V$7,Model!AD$1,'Assumptions (Battery)'!$V$10,'Assumptions (Battery)'!$V$5*Model!$O$2452*'Assumptions (Battery)'!$M$2/10^9),0)</f>
        <v>-3.6531984820523258E-4</v>
      </c>
      <c r="W2573" s="105">
        <f>IF($O$2452&gt;0,IPMT('Assumptions (Battery)'!$V$7,Model!AE$1,'Assumptions (Battery)'!$V$10,'Assumptions (Battery)'!$V$5*Model!$O$2452*'Assumptions (Battery)'!$M$2/10^9),0)</f>
        <v>-2.5278909161170358E-4</v>
      </c>
      <c r="X2573" s="105">
        <f>IF($O$2452&gt;0,IPMT('Assumptions (Battery)'!$V$7,Model!AF$1,'Assumptions (Battery)'!$V$10,'Assumptions (Battery)'!$V$5*Model!$O$2452*'Assumptions (Battery)'!$M$2/10^9),0)</f>
        <v>-1.3125587449069225E-4</v>
      </c>
      <c r="Y2573" s="105" t="e">
        <f>IF($O$2452&gt;0,IPMT('Assumptions (Battery)'!$V$7,Model!AG$1,'Assumptions (Battery)'!$V$10,'Assumptions (Battery)'!$V$5*Model!$O$2452*'Assumptions (Battery)'!$M$2/10^9),0)</f>
        <v>#NUM!</v>
      </c>
      <c r="Z2573" s="105" t="e">
        <f>IF($O$2452&gt;0,IPMT('Assumptions (Battery)'!$V$7,Model!AH$1,'Assumptions (Battery)'!$V$10,'Assumptions (Battery)'!$V$5*Model!$O$2452*'Assumptions (Battery)'!$M$2/10^9),0)</f>
        <v>#NUM!</v>
      </c>
      <c r="AA2573" s="105" t="e">
        <f>IF($O$2452&gt;0,IPMT('Assumptions (Battery)'!$V$7,Model!AI$1,'Assumptions (Battery)'!$V$10,'Assumptions (Battery)'!$V$5*Model!$O$2452*'Assumptions (Battery)'!$M$2/10^9),0)</f>
        <v>#NUM!</v>
      </c>
      <c r="AB2573" s="105" t="e">
        <f>IF($O$2452&gt;0,IPMT('Assumptions (Battery)'!$V$7,Model!AJ$1,'Assumptions (Battery)'!$V$10,'Assumptions (Battery)'!$V$5*Model!$O$2452*'Assumptions (Battery)'!$M$2/10^9),0)</f>
        <v>#NUM!</v>
      </c>
      <c r="AC2573" s="105" t="e">
        <f>IF($O$2452&gt;0,IPMT('Assumptions (Battery)'!$V$7,Model!AK$1,'Assumptions (Battery)'!$V$10,'Assumptions (Battery)'!$V$5*Model!$O$2452*'Assumptions (Battery)'!$M$2/10^9),0)</f>
        <v>#NUM!</v>
      </c>
      <c r="AD2573" s="105"/>
      <c r="AE2573" s="105"/>
      <c r="AF2573" s="105"/>
      <c r="AG2573" s="105"/>
      <c r="AH2573" s="105"/>
      <c r="AI2573" s="105"/>
      <c r="AJ2573" s="105"/>
      <c r="AK2573" s="105"/>
      <c r="AL2573" s="105"/>
      <c r="AM2573" s="105"/>
    </row>
    <row r="2574" spans="1:42" ht="15.75" hidden="1" customHeight="1" outlineLevel="1">
      <c r="A2574" s="454"/>
      <c r="B2574" s="99"/>
      <c r="C2574" s="105"/>
      <c r="D2574" s="105"/>
      <c r="E2574" s="105"/>
      <c r="F2574" s="105"/>
      <c r="G2574" s="105"/>
      <c r="H2574" s="105"/>
      <c r="I2574" s="105"/>
      <c r="J2574" s="105"/>
      <c r="K2574" s="105"/>
      <c r="L2574" s="105"/>
      <c r="M2574" s="105"/>
      <c r="N2574" s="105"/>
      <c r="O2574" s="105"/>
      <c r="P2574" s="91">
        <f>IF($P$2452&gt;0,IPMT('Assumptions (Battery)'!$V$7,Model!W$1,'Assumptions (Battery)'!$V$10,'Assumptions (Battery)'!$V$5*Model!$P$2452*'Assumptions (Battery)'!$N$2/10^9),0)</f>
        <v>-3.51364916011545E-4</v>
      </c>
      <c r="Q2574" s="91">
        <f>IF($P$2452&gt;0,IPMT('Assumptions (Battery)'!$V$7,Model!X$1,'Assumptions (Battery)'!$V$10,'Assumptions (Battery)'!$V$5*Model!$P$2452*'Assumptions (Battery)'!$N$2/10^9),0)</f>
        <v>-3.2711037551317728E-4</v>
      </c>
      <c r="R2574" s="91">
        <f>IF($P$2452&gt;0,IPMT('Assumptions (Battery)'!$V$7,Model!Y$1,'Assumptions (Battery)'!$V$10,'Assumptions (Battery)'!$V$5*Model!$P$2452*'Assumptions (Battery)'!$N$2/10^9),0)</f>
        <v>-3.0091547177493993E-4</v>
      </c>
      <c r="S2574" s="91">
        <f>IF($P$2452&gt;0,IPMT('Assumptions (Battery)'!$V$7,Model!Z$1,'Assumptions (Battery)'!$V$10,'Assumptions (Battery)'!$V$5*Model!$P$2452*'Assumptions (Battery)'!$N$2/10^9),0)</f>
        <v>-2.7262497573764374E-4</v>
      </c>
      <c r="T2574" s="91">
        <f>IF($P$2452&gt;0,IPMT('Assumptions (Battery)'!$V$7,Model!AA$1,'Assumptions (Battery)'!$V$10,'Assumptions (Battery)'!$V$5*Model!$P$2452*'Assumptions (Battery)'!$N$2/10^9),0)</f>
        <v>-2.4207124001736385E-4</v>
      </c>
      <c r="U2574" s="91">
        <f>IF($P$2452&gt;0,IPMT('Assumptions (Battery)'!$V$7,Model!AB$1,'Assumptions (Battery)'!$V$10,'Assumptions (Battery)'!$V$5*Model!$P$2452*'Assumptions (Battery)'!$N$2/10^9),0)</f>
        <v>-2.0907320543946161E-4</v>
      </c>
      <c r="V2574" s="91">
        <f>IF($P$2452&gt;0,IPMT('Assumptions (Battery)'!$V$7,Model!AC$1,'Assumptions (Battery)'!$V$10,'Assumptions (Battery)'!$V$5*Model!$P$2452*'Assumptions (Battery)'!$N$2/10^9),0)</f>
        <v>-1.7343532809532708E-4</v>
      </c>
      <c r="W2574" s="91">
        <f>IF($P$2452&gt;0,IPMT('Assumptions (Battery)'!$V$7,Model!AD$1,'Assumptions (Battery)'!$V$10,'Assumptions (Battery)'!$V$5*Model!$P$2452*'Assumptions (Battery)'!$N$2/10^9),0)</f>
        <v>-1.3494642056366185E-4</v>
      </c>
      <c r="X2574" s="91">
        <f>IF($P$2452&gt;0,IPMT('Assumptions (Battery)'!$V$7,Model!AE$1,'Assumptions (Battery)'!$V$10,'Assumptions (Battery)'!$V$5*Model!$P$2452*'Assumptions (Battery)'!$N$2/10^9),0)</f>
        <v>-9.3378400429463391E-5</v>
      </c>
      <c r="Y2574" s="91">
        <f>IF($P$2452&gt;0,IPMT('Assumptions (Battery)'!$V$7,Model!AF$1,'Assumptions (Battery)'!$V$10,'Assumptions (Battery)'!$V$5*Model!$P$2452*'Assumptions (Battery)'!$N$2/10^9),0)</f>
        <v>-4.8484938684529078E-5</v>
      </c>
      <c r="Z2574" s="91" t="e">
        <f>IF($P$2452&gt;0,IPMT('Assumptions (Battery)'!$V$7,Model!AG$1,'Assumptions (Battery)'!$V$10,'Assumptions (Battery)'!$V$5*Model!$P$2452*'Assumptions (Battery)'!$N$2/10^9),0)</f>
        <v>#NUM!</v>
      </c>
      <c r="AA2574" s="91" t="e">
        <f>IF($P$2452&gt;0,IPMT('Assumptions (Battery)'!$V$7,Model!AH$1,'Assumptions (Battery)'!$V$10,'Assumptions (Battery)'!$V$5*Model!$P$2452*'Assumptions (Battery)'!$N$2/10^9),0)</f>
        <v>#NUM!</v>
      </c>
      <c r="AB2574" s="91" t="e">
        <f>IF($P$2452&gt;0,IPMT('Assumptions (Battery)'!$V$7,Model!AI$1,'Assumptions (Battery)'!$V$10,'Assumptions (Battery)'!$V$5*Model!$P$2452*'Assumptions (Battery)'!$N$2/10^9),0)</f>
        <v>#NUM!</v>
      </c>
      <c r="AC2574" s="91" t="e">
        <f>IF($P$2452&gt;0,IPMT('Assumptions (Battery)'!$V$7,Model!AJ$1,'Assumptions (Battery)'!$V$10,'Assumptions (Battery)'!$V$5*Model!$P$2452*'Assumptions (Battery)'!$N$2/10^9),0)</f>
        <v>#NUM!</v>
      </c>
      <c r="AD2574" s="91" t="e">
        <f>IF($P$2452&gt;0,IPMT('Assumptions (Battery)'!$V$7,Model!AK$1,'Assumptions (Battery)'!$V$10,'Assumptions (Battery)'!$V$5*Model!$P$2452*'Assumptions (Battery)'!$N$2/10^9),0)</f>
        <v>#NUM!</v>
      </c>
      <c r="AE2574" s="91"/>
      <c r="AF2574" s="91"/>
      <c r="AG2574" s="91"/>
      <c r="AH2574" s="91"/>
      <c r="AI2574" s="91"/>
      <c r="AJ2574" s="91"/>
      <c r="AK2574" s="91"/>
      <c r="AL2574" s="91"/>
      <c r="AM2574" s="91"/>
      <c r="AN2574" s="91"/>
    </row>
    <row r="2575" spans="1:42" ht="15.75" hidden="1" customHeight="1" outlineLevel="1">
      <c r="A2575" s="454"/>
      <c r="B2575" s="99"/>
      <c r="C2575" s="105"/>
      <c r="D2575" s="105"/>
      <c r="E2575" s="105"/>
      <c r="F2575" s="105"/>
      <c r="G2575" s="105"/>
      <c r="H2575" s="105"/>
      <c r="I2575" s="105"/>
      <c r="J2575" s="105"/>
      <c r="K2575" s="105"/>
      <c r="L2575" s="105"/>
      <c r="M2575" s="105"/>
      <c r="N2575" s="105"/>
      <c r="O2575" s="105"/>
      <c r="P2575" s="171"/>
      <c r="Q2575" s="105">
        <f>IF($Q$2452&gt;0,IPMT('Assumptions (Battery)'!$V$7,Model!W$1,'Assumptions (Battery)'!$V$10,'Assumptions (Battery)'!$V$5*Model!$Q$2452*'Assumptions (Battery)'!$O$2/10^9),0)</f>
        <v>-6.2892053095640681E-4</v>
      </c>
      <c r="R2575" s="105">
        <f>IF($Q$2452&gt;0,IPMT('Assumptions (Battery)'!$V$7,Model!X$1,'Assumptions (Battery)'!$V$10,'Assumptions (Battery)'!$V$5*Model!$Q$2452*'Assumptions (Battery)'!$O$2/10^9),0)</f>
        <v>-5.855064682733929E-4</v>
      </c>
      <c r="S2575" s="105">
        <f>IF($Q$2452&gt;0,IPMT('Assumptions (Battery)'!$V$7,Model!Y$1,'Assumptions (Battery)'!$V$10,'Assumptions (Battery)'!$V$5*Model!$Q$2452*'Assumptions (Battery)'!$O$2/10^9),0)</f>
        <v>-5.3861928057573772E-4</v>
      </c>
      <c r="T2575" s="105">
        <f>IF($Q$2452&gt;0,IPMT('Assumptions (Battery)'!$V$7,Model!Z$1,'Assumptions (Battery)'!$V$10,'Assumptions (Battery)'!$V$5*Model!$Q$2452*'Assumptions (Battery)'!$O$2/10^9),0)</f>
        <v>-4.8798111786227014E-4</v>
      </c>
      <c r="U2575" s="105">
        <f>IF($Q$2452&gt;0,IPMT('Assumptions (Battery)'!$V$7,Model!AA$1,'Assumptions (Battery)'!$V$10,'Assumptions (Battery)'!$V$5*Model!$Q$2452*'Assumptions (Battery)'!$O$2/10^9),0)</f>
        <v>-4.3329190213172532E-4</v>
      </c>
      <c r="V2575" s="105">
        <f>IF($Q$2452&gt;0,IPMT('Assumptions (Battery)'!$V$7,Model!AB$1,'Assumptions (Battery)'!$V$10,'Assumptions (Battery)'!$V$5*Model!$Q$2452*'Assumptions (Battery)'!$O$2/10^9),0)</f>
        <v>-3.7422754914273691E-4</v>
      </c>
      <c r="W2575" s="105">
        <f>IF($Q$2452&gt;0,IPMT('Assumptions (Battery)'!$V$7,Model!AC$1,'Assumptions (Battery)'!$V$10,'Assumptions (Battery)'!$V$5*Model!$Q$2452*'Assumptions (Battery)'!$O$2/10^9),0)</f>
        <v>-3.1043804791462931E-4</v>
      </c>
      <c r="X2575" s="105">
        <f>IF($Q$2452&gt;0,IPMT('Assumptions (Battery)'!$V$7,Model!AD$1,'Assumptions (Battery)'!$V$10,'Assumptions (Battery)'!$V$5*Model!$Q$2452*'Assumptions (Battery)'!$O$2/10^9),0)</f>
        <v>-2.4154538658827319E-4</v>
      </c>
      <c r="Y2575" s="105">
        <f>IF($Q$2452&gt;0,IPMT('Assumptions (Battery)'!$V$7,Model!AE$1,'Assumptions (Battery)'!$V$10,'Assumptions (Battery)'!$V$5*Model!$Q$2452*'Assumptions (Battery)'!$O$2/10^9),0)</f>
        <v>-1.6714131235580853E-4</v>
      </c>
      <c r="Z2575" s="105">
        <f>IF($Q$2452&gt;0,IPMT('Assumptions (Battery)'!$V$7,Model!AF$1,'Assumptions (Battery)'!$V$10,'Assumptions (Battery)'!$V$5*Model!$Q$2452*'Assumptions (Battery)'!$O$2/10^9),0)</f>
        <v>-8.6784912184746738E-5</v>
      </c>
      <c r="AA2575" s="105" t="e">
        <f>IF($Q$2452&gt;0,IPMT('Assumptions (Battery)'!$V$7,Model!AG$1,'Assumptions (Battery)'!$V$10,'Assumptions (Battery)'!$V$5*Model!$Q$2452*'Assumptions (Battery)'!$O$2/10^9),0)</f>
        <v>#NUM!</v>
      </c>
      <c r="AB2575" s="105" t="e">
        <f>IF($Q$2452&gt;0,IPMT('Assumptions (Battery)'!$V$7,Model!AH$1,'Assumptions (Battery)'!$V$10,'Assumptions (Battery)'!$V$5*Model!$Q$2452*'Assumptions (Battery)'!$O$2/10^9),0)</f>
        <v>#NUM!</v>
      </c>
      <c r="AC2575" s="105" t="e">
        <f>IF($Q$2452&gt;0,IPMT('Assumptions (Battery)'!$V$7,Model!AI$1,'Assumptions (Battery)'!$V$10,'Assumptions (Battery)'!$V$5*Model!$Q$2452*'Assumptions (Battery)'!$O$2/10^9),0)</f>
        <v>#NUM!</v>
      </c>
      <c r="AD2575" s="105" t="e">
        <f>IF($Q$2452&gt;0,IPMT('Assumptions (Battery)'!$V$7,Model!AJ$1,'Assumptions (Battery)'!$V$10,'Assumptions (Battery)'!$V$5*Model!$Q$2452*'Assumptions (Battery)'!$O$2/10^9),0)</f>
        <v>#NUM!</v>
      </c>
      <c r="AE2575" s="105" t="e">
        <f>IF($Q$2452&gt;0,IPMT('Assumptions (Battery)'!$V$7,Model!AK$1,'Assumptions (Battery)'!$V$10,'Assumptions (Battery)'!$V$5*Model!$Q$2452*'Assumptions (Battery)'!$O$2/10^9),0)</f>
        <v>#NUM!</v>
      </c>
      <c r="AF2575" s="105"/>
      <c r="AG2575" s="105"/>
      <c r="AH2575" s="105"/>
      <c r="AI2575" s="105"/>
      <c r="AJ2575" s="105"/>
      <c r="AK2575" s="105"/>
      <c r="AL2575" s="105"/>
      <c r="AM2575" s="105"/>
      <c r="AN2575" s="105"/>
      <c r="AO2575" s="105"/>
    </row>
    <row r="2576" spans="1:42" ht="15.75" hidden="1" customHeight="1" outlineLevel="1">
      <c r="A2576" s="454"/>
      <c r="B2576" s="99"/>
      <c r="C2576" s="105"/>
      <c r="D2576" s="105"/>
      <c r="E2576" s="105"/>
      <c r="F2576" s="105"/>
      <c r="G2576" s="105"/>
      <c r="H2576" s="105"/>
      <c r="I2576" s="105"/>
      <c r="J2576" s="105"/>
      <c r="K2576" s="105"/>
      <c r="L2576" s="105"/>
      <c r="M2576" s="105"/>
      <c r="N2576" s="105"/>
      <c r="O2576" s="105"/>
      <c r="P2576" s="171"/>
      <c r="Q2576" s="105"/>
      <c r="R2576" s="91">
        <f>IF($R$2452&gt;0,IPMT('Assumptions (Battery)'!$V$7,Model!W$1,'Assumptions (Battery)'!$V$10,'Assumptions (Battery)'!$V$5*Model!$R$2452*'Assumptions (Battery)'!$P$2/10^9),0)</f>
        <v>-3.4456983589774134E-3</v>
      </c>
      <c r="S2576" s="91">
        <f>IF($R$2452&gt;0,IPMT('Assumptions (Battery)'!$V$7,Model!X$1,'Assumptions (Battery)'!$V$10,'Assumptions (Battery)'!$V$5*Model!$R$2452*'Assumptions (Battery)'!$P$2/10^9),0)</f>
        <v>-3.2078435630528506E-3</v>
      </c>
      <c r="T2576" s="91">
        <f>IF($R$2452&gt;0,IPMT('Assumptions (Battery)'!$V$7,Model!Y$1,'Assumptions (Battery)'!$V$10,'Assumptions (Battery)'!$V$5*Model!$R$2452*'Assumptions (Battery)'!$P$2/10^9),0)</f>
        <v>-2.9509603834543228E-3</v>
      </c>
      <c r="U2576" s="91">
        <f>IF($R$2452&gt;0,IPMT('Assumptions (Battery)'!$V$7,Model!Z$1,'Assumptions (Battery)'!$V$10,'Assumptions (Battery)'!$V$5*Model!$R$2452*'Assumptions (Battery)'!$P$2/10^9),0)</f>
        <v>-2.6735265494879125E-3</v>
      </c>
      <c r="V2576" s="91">
        <f>IF($R$2452&gt;0,IPMT('Assumptions (Battery)'!$V$7,Model!AA$1,'Assumptions (Battery)'!$V$10,'Assumptions (Battery)'!$V$5*Model!$R$2452*'Assumptions (Battery)'!$P$2/10^9),0)</f>
        <v>-2.3738980088041902E-3</v>
      </c>
      <c r="W2576" s="91">
        <f>IF($R$2452&gt;0,IPMT('Assumptions (Battery)'!$V$7,Model!AB$1,'Assumptions (Battery)'!$V$10,'Assumptions (Battery)'!$V$5*Model!$R$2452*'Assumptions (Battery)'!$P$2/10^9),0)</f>
        <v>-2.0502991848657696E-3</v>
      </c>
      <c r="X2576" s="91">
        <f>IF($R$2452&gt;0,IPMT('Assumptions (Battery)'!$V$7,Model!AC$1,'Assumptions (Battery)'!$V$10,'Assumptions (Battery)'!$V$5*Model!$R$2452*'Assumptions (Battery)'!$P$2/10^9),0)</f>
        <v>-1.7008124550122754E-3</v>
      </c>
      <c r="Y2576" s="91">
        <f>IF($R$2452&gt;0,IPMT('Assumptions (Battery)'!$V$7,Model!AD$1,'Assumptions (Battery)'!$V$10,'Assumptions (Battery)'!$V$5*Model!$R$2452*'Assumptions (Battery)'!$P$2/10^9),0)</f>
        <v>-1.3233667867705015E-3</v>
      </c>
      <c r="Z2576" s="91">
        <f>IF($R$2452&gt;0,IPMT('Assumptions (Battery)'!$V$7,Model!AE$1,'Assumptions (Battery)'!$V$10,'Assumptions (Battery)'!$V$5*Model!$R$2452*'Assumptions (Battery)'!$P$2/10^9),0)</f>
        <v>-9.1572546506938604E-4</v>
      </c>
      <c r="AA2576" s="91">
        <f>IF($R$2452&gt;0,IPMT('Assumptions (Battery)'!$V$7,Model!AF$1,'Assumptions (Battery)'!$V$10,'Assumptions (Battery)'!$V$5*Model!$R$2452*'Assumptions (Battery)'!$P$2/10^9),0)</f>
        <v>-4.7547283763218118E-4</v>
      </c>
      <c r="AB2576" s="91" t="e">
        <f>IF($R$2452&gt;0,IPMT('Assumptions (Battery)'!$V$7,Model!AG$1,'Assumptions (Battery)'!$V$10,'Assumptions (Battery)'!$V$5*Model!$R$2452*'Assumptions (Battery)'!$P$2/10^9),0)</f>
        <v>#NUM!</v>
      </c>
      <c r="AC2576" s="91" t="e">
        <f>IF($R$2452&gt;0,IPMT('Assumptions (Battery)'!$V$7,Model!AH$1,'Assumptions (Battery)'!$V$10,'Assumptions (Battery)'!$V$5*Model!$R$2452*'Assumptions (Battery)'!$P$2/10^9),0)</f>
        <v>#NUM!</v>
      </c>
      <c r="AD2576" s="91" t="e">
        <f>IF($R$2452&gt;0,IPMT('Assumptions (Battery)'!$V$7,Model!AI$1,'Assumptions (Battery)'!$V$10,'Assumptions (Battery)'!$V$5*Model!$R$2452*'Assumptions (Battery)'!$P$2/10^9),0)</f>
        <v>#NUM!</v>
      </c>
      <c r="AE2576" s="91" t="e">
        <f>IF($R$2452&gt;0,IPMT('Assumptions (Battery)'!$V$7,Model!AJ$1,'Assumptions (Battery)'!$V$10,'Assumptions (Battery)'!$V$5*Model!$R$2452*'Assumptions (Battery)'!$P$2/10^9),0)</f>
        <v>#NUM!</v>
      </c>
      <c r="AF2576" s="91" t="e">
        <f>IF($R$2452&gt;0,IPMT('Assumptions (Battery)'!$V$7,Model!AK$1,'Assumptions (Battery)'!$V$10,'Assumptions (Battery)'!$V$5*Model!$R$2452*'Assumptions (Battery)'!$P$2/10^9),0)</f>
        <v>#NUM!</v>
      </c>
      <c r="AG2576" s="91"/>
      <c r="AH2576" s="91"/>
      <c r="AI2576" s="91"/>
      <c r="AJ2576" s="91"/>
      <c r="AK2576" s="91"/>
      <c r="AL2576" s="91"/>
      <c r="AM2576" s="91"/>
      <c r="AN2576" s="91"/>
      <c r="AO2576" s="91"/>
      <c r="AP2576" s="91"/>
    </row>
    <row r="2577" spans="1:58" ht="15.75" hidden="1" customHeight="1" outlineLevel="1">
      <c r="A2577" s="454"/>
      <c r="B2577" s="99"/>
      <c r="C2577" s="105"/>
      <c r="D2577" s="105"/>
      <c r="E2577" s="105"/>
      <c r="F2577" s="105"/>
      <c r="G2577" s="105"/>
      <c r="H2577" s="105"/>
      <c r="I2577" s="105"/>
      <c r="J2577" s="105"/>
      <c r="K2577" s="105"/>
      <c r="L2577" s="105"/>
      <c r="M2577" s="105"/>
      <c r="N2577" s="105"/>
      <c r="O2577" s="105"/>
      <c r="P2577" s="171"/>
      <c r="Q2577" s="105"/>
      <c r="R2577" s="91"/>
      <c r="S2577" s="105">
        <f>IF($S$2452&gt;0,IPMT('Assumptions (Battery)'!$V$7,Model!W$1,'Assumptions (Battery)'!$V$10,'Assumptions (Battery)'!$V$5*Model!$S$2452*'Assumptions (Battery)'!$Q$2/10^9),0)</f>
        <v>-4.6957722523329158E-3</v>
      </c>
      <c r="T2577" s="105">
        <f>IF($S$2452&gt;0,IPMT('Assumptions (Battery)'!$V$7,Model!X$1,'Assumptions (Battery)'!$V$10,'Assumptions (Battery)'!$V$5*Model!$S$2452*'Assumptions (Battery)'!$Q$2/10^9),0)</f>
        <v>-4.3716254947164601E-3</v>
      </c>
      <c r="U2577" s="105">
        <f>IF($S$2452&gt;0,IPMT('Assumptions (Battery)'!$V$7,Model!Y$1,'Assumptions (Battery)'!$V$10,'Assumptions (Battery)'!$V$5*Model!$S$2452*'Assumptions (Battery)'!$Q$2/10^9),0)</f>
        <v>-4.0215469964906877E-3</v>
      </c>
      <c r="V2577" s="105">
        <f>IF($S$2452&gt;0,IPMT('Assumptions (Battery)'!$V$7,Model!Z$1,'Assumptions (Battery)'!$V$10,'Assumptions (Battery)'!$V$5*Model!$S$2452*'Assumptions (Battery)'!$Q$2/10^9),0)</f>
        <v>-3.6434622184068539E-3</v>
      </c>
      <c r="W2577" s="105">
        <f>IF($S$2452&gt;0,IPMT('Assumptions (Battery)'!$V$7,Model!AA$1,'Assumptions (Battery)'!$V$10,'Assumptions (Battery)'!$V$5*Model!$S$2452*'Assumptions (Battery)'!$Q$2/10^9),0)</f>
        <v>-3.2351306580763141E-3</v>
      </c>
      <c r="X2577" s="105">
        <f>IF($S$2452&gt;0,IPMT('Assumptions (Battery)'!$V$7,Model!AB$1,'Assumptions (Battery)'!$V$10,'Assumptions (Battery)'!$V$5*Model!$S$2452*'Assumptions (Battery)'!$Q$2/10^9),0)</f>
        <v>-2.7941325729193309E-3</v>
      </c>
      <c r="Y2577" s="105">
        <f>IF($S$2452&gt;0,IPMT('Assumptions (Battery)'!$V$7,Model!AC$1,'Assumptions (Battery)'!$V$10,'Assumptions (Battery)'!$V$5*Model!$S$2452*'Assumptions (Battery)'!$Q$2/10^9),0)</f>
        <v>-2.3178546409497879E-3</v>
      </c>
      <c r="Z2577" s="105">
        <f>IF($S$2452&gt;0,IPMT('Assumptions (Battery)'!$V$7,Model!AD$1,'Assumptions (Battery)'!$V$10,'Assumptions (Battery)'!$V$5*Model!$S$2452*'Assumptions (Battery)'!$Q$2/10^9),0)</f>
        <v>-1.8034744744226828E-3</v>
      </c>
      <c r="AA2577" s="105">
        <f>IF($S$2452&gt;0,IPMT('Assumptions (Battery)'!$V$7,Model!AE$1,'Assumptions (Battery)'!$V$10,'Assumptions (Battery)'!$V$5*Model!$S$2452*'Assumptions (Battery)'!$Q$2/10^9),0)</f>
        <v>-1.2479438945734089E-3</v>
      </c>
      <c r="AB2577" s="105">
        <f>IF($S$2452&gt;0,IPMT('Assumptions (Battery)'!$V$7,Model!AF$1,'Assumptions (Battery)'!$V$10,'Assumptions (Battery)'!$V$5*Model!$S$2452*'Assumptions (Battery)'!$Q$2/10^9),0)</f>
        <v>-6.4797086833619309E-4</v>
      </c>
      <c r="AC2577" s="105" t="e">
        <f>IF($S$2452&gt;0,IPMT('Assumptions (Battery)'!$V$7,Model!AG$1,'Assumptions (Battery)'!$V$10,'Assumptions (Battery)'!$V$5*Model!$S$2452*'Assumptions (Battery)'!$Q$2/10^9),0)</f>
        <v>#NUM!</v>
      </c>
      <c r="AD2577" s="105" t="e">
        <f>IF($S$2452&gt;0,IPMT('Assumptions (Battery)'!$V$7,Model!AH$1,'Assumptions (Battery)'!$V$10,'Assumptions (Battery)'!$V$5*Model!$S$2452*'Assumptions (Battery)'!$Q$2/10^9),0)</f>
        <v>#NUM!</v>
      </c>
      <c r="AE2577" s="105" t="e">
        <f>IF($S$2452&gt;0,IPMT('Assumptions (Battery)'!$V$7,Model!AI$1,'Assumptions (Battery)'!$V$10,'Assumptions (Battery)'!$V$5*Model!$S$2452*'Assumptions (Battery)'!$Q$2/10^9),0)</f>
        <v>#NUM!</v>
      </c>
      <c r="AF2577" s="105" t="e">
        <f>IF($S$2452&gt;0,IPMT('Assumptions (Battery)'!$V$7,Model!AJ$1,'Assumptions (Battery)'!$V$10,'Assumptions (Battery)'!$V$5*Model!$S$2452*'Assumptions (Battery)'!$Q$2/10^9),0)</f>
        <v>#NUM!</v>
      </c>
      <c r="AG2577" s="105" t="e">
        <f>IF($S$2452&gt;0,IPMT('Assumptions (Battery)'!$V$7,Model!AK$1,'Assumptions (Battery)'!$V$10,'Assumptions (Battery)'!$V$5*Model!$S$2452*'Assumptions (Battery)'!$Q$2/10^9),0)</f>
        <v>#NUM!</v>
      </c>
      <c r="AH2577" s="105"/>
      <c r="AI2577" s="105"/>
      <c r="AJ2577" s="105"/>
      <c r="AK2577" s="105"/>
      <c r="AL2577" s="105"/>
      <c r="AM2577" s="105"/>
      <c r="AN2577" s="105"/>
      <c r="AO2577" s="105"/>
      <c r="AP2577" s="105"/>
      <c r="AQ2577" s="105"/>
    </row>
    <row r="2578" spans="1:58" ht="15.75" hidden="1" customHeight="1" outlineLevel="1">
      <c r="A2578" s="454"/>
      <c r="B2578" s="99"/>
      <c r="C2578" s="105"/>
      <c r="D2578" s="105"/>
      <c r="E2578" s="105"/>
      <c r="F2578" s="105"/>
      <c r="G2578" s="105"/>
      <c r="H2578" s="105"/>
      <c r="I2578" s="105"/>
      <c r="J2578" s="105"/>
      <c r="K2578" s="105"/>
      <c r="L2578" s="105"/>
      <c r="M2578" s="105"/>
      <c r="N2578" s="105"/>
      <c r="O2578" s="105"/>
      <c r="P2578" s="171"/>
      <c r="Q2578" s="105"/>
      <c r="R2578" s="91"/>
      <c r="S2578" s="91"/>
      <c r="T2578" s="105">
        <f>IF($T$2452&gt;0,IPMT('Assumptions (Battery)'!$V$7,Model!W$1,'Assumptions (Battery)'!$V$10,'Assumptions (Battery)'!$V$5*Model!$T$2452*'Assumptions (Battery)'!$R$2/10^9),0)</f>
        <v>-2.6843843959699059E-3</v>
      </c>
      <c r="U2578" s="105">
        <f>IF($T$2452&gt;0,IPMT('Assumptions (Battery)'!$V$7,Model!X$1,'Assumptions (Battery)'!$V$10,'Assumptions (Battery)'!$V$5*Model!$T$2452*'Assumptions (Battery)'!$R$2/10^9),0)</f>
        <v>-2.4990827136496955E-3</v>
      </c>
      <c r="V2578" s="105">
        <f>IF($T$2452&gt;0,IPMT('Assumptions (Battery)'!$V$7,Model!Y$1,'Assumptions (Battery)'!$V$10,'Assumptions (Battery)'!$V$5*Model!$T$2452*'Assumptions (Battery)'!$R$2/10^9),0)</f>
        <v>-2.298956896743868E-3</v>
      </c>
      <c r="W2578" s="105">
        <f>IF($T$2452&gt;0,IPMT('Assumptions (Battery)'!$V$7,Model!Z$1,'Assumptions (Battery)'!$V$10,'Assumptions (Battery)'!$V$5*Model!$T$2452*'Assumptions (Battery)'!$R$2/10^9),0)</f>
        <v>-2.0828210144855745E-3</v>
      </c>
      <c r="X2578" s="105">
        <f>IF($T$2452&gt;0,IPMT('Assumptions (Battery)'!$V$7,Model!AA$1,'Assumptions (Battery)'!$V$10,'Assumptions (Battery)'!$V$5*Model!$T$2452*'Assumptions (Battery)'!$R$2/10^9),0)</f>
        <v>-1.8493942616466181E-3</v>
      </c>
      <c r="Y2578" s="105">
        <f>IF($T$2452&gt;0,IPMT('Assumptions (Battery)'!$V$7,Model!AB$1,'Assumptions (Battery)'!$V$10,'Assumptions (Battery)'!$V$5*Model!$T$2452*'Assumptions (Battery)'!$R$2/10^9),0)</f>
        <v>-1.5972933685805453E-3</v>
      </c>
      <c r="Z2578" s="105">
        <f>IF($T$2452&gt;0,IPMT('Assumptions (Battery)'!$V$7,Model!AC$1,'Assumptions (Battery)'!$V$10,'Assumptions (Battery)'!$V$5*Model!$T$2452*'Assumptions (Battery)'!$R$2/10^9),0)</f>
        <v>-1.3250244040691858E-3</v>
      </c>
      <c r="AA2578" s="105">
        <f>IF($T$2452&gt;0,IPMT('Assumptions (Battery)'!$V$7,Model!AD$1,'Assumptions (Battery)'!$V$10,'Assumptions (Battery)'!$V$5*Model!$T$2452*'Assumptions (Battery)'!$R$2/10^9),0)</f>
        <v>-1.0309739223969181E-3</v>
      </c>
      <c r="AB2578" s="105">
        <f>IF($T$2452&gt;0,IPMT('Assumptions (Battery)'!$V$7,Model!AE$1,'Assumptions (Battery)'!$V$10,'Assumptions (Battery)'!$V$5*Model!$T$2452*'Assumptions (Battery)'!$R$2/10^9),0)</f>
        <v>-7.1339940219086891E-4</v>
      </c>
      <c r="AC2578" s="105">
        <f>IF($T$2452&gt;0,IPMT('Assumptions (Battery)'!$V$7,Model!AF$1,'Assumptions (Battery)'!$V$10,'Assumptions (Battery)'!$V$5*Model!$T$2452*'Assumptions (Battery)'!$R$2/10^9),0)</f>
        <v>-3.7041892036833576E-4</v>
      </c>
      <c r="AD2578" s="105" t="e">
        <f>IF($T$2452&gt;0,IPMT('Assumptions (Battery)'!$V$7,Model!AG$1,'Assumptions (Battery)'!$V$10,'Assumptions (Battery)'!$V$5*Model!$T$2452*'Assumptions (Battery)'!$R$2/10^9),0)</f>
        <v>#NUM!</v>
      </c>
      <c r="AE2578" s="105" t="e">
        <f>IF($T$2452&gt;0,IPMT('Assumptions (Battery)'!$V$7,Model!AH$1,'Assumptions (Battery)'!$V$10,'Assumptions (Battery)'!$V$5*Model!$T$2452*'Assumptions (Battery)'!$R$2/10^9),0)</f>
        <v>#NUM!</v>
      </c>
      <c r="AF2578" s="105" t="e">
        <f>IF($T$2452&gt;0,IPMT('Assumptions (Battery)'!$V$7,Model!AI$1,'Assumptions (Battery)'!$V$10,'Assumptions (Battery)'!$V$5*Model!$T$2452*'Assumptions (Battery)'!$R$2/10^9),0)</f>
        <v>#NUM!</v>
      </c>
      <c r="AG2578" s="105" t="e">
        <f>IF($T$2452&gt;0,IPMT('Assumptions (Battery)'!$V$7,Model!AJ$1,'Assumptions (Battery)'!$V$10,'Assumptions (Battery)'!$V$5*Model!$T$2452*'Assumptions (Battery)'!$R$2/10^9),0)</f>
        <v>#NUM!</v>
      </c>
      <c r="AH2578" s="105" t="e">
        <f>IF($T$2452&gt;0,IPMT('Assumptions (Battery)'!$V$7,Model!AK$1,'Assumptions (Battery)'!$V$10,'Assumptions (Battery)'!$V$5*Model!$T$2452*'Assumptions (Battery)'!$R$2/10^9),0)</f>
        <v>#NUM!</v>
      </c>
      <c r="AI2578" s="105"/>
      <c r="AJ2578" s="105"/>
      <c r="AK2578" s="105"/>
      <c r="AL2578" s="105"/>
      <c r="AM2578" s="105"/>
      <c r="AN2578" s="105"/>
      <c r="AO2578" s="105"/>
      <c r="AP2578" s="105"/>
      <c r="AQ2578" s="105"/>
      <c r="AR2578" s="105"/>
    </row>
    <row r="2579" spans="1:58" ht="15.75" hidden="1" customHeight="1" outlineLevel="1">
      <c r="A2579" s="454"/>
      <c r="B2579" s="99"/>
      <c r="C2579" s="105"/>
      <c r="D2579" s="105"/>
      <c r="E2579" s="105"/>
      <c r="F2579" s="105"/>
      <c r="G2579" s="105"/>
      <c r="H2579" s="105"/>
      <c r="I2579" s="105"/>
      <c r="J2579" s="105"/>
      <c r="K2579" s="105"/>
      <c r="L2579" s="105"/>
      <c r="M2579" s="105"/>
      <c r="N2579" s="105"/>
      <c r="O2579" s="105"/>
      <c r="P2579" s="171"/>
      <c r="Q2579" s="105"/>
      <c r="R2579" s="91"/>
      <c r="S2579" s="91"/>
      <c r="T2579" s="91"/>
      <c r="U2579" s="105">
        <f>IF($U$2452&gt;0,IPMT('Assumptions (Battery)'!$V$7,Model!W$1,'Assumptions (Battery)'!$V$10,'Assumptions (Battery)'!$V$5*Model!$U$2452*'Assumptions (Battery)'!$S$2/10^9),0)</f>
        <v>-3.2161084349156812E-3</v>
      </c>
      <c r="V2579" s="105">
        <f>IF($U$2452&gt;0,IPMT('Assumptions (Battery)'!$V$7,Model!X$1,'Assumptions (Battery)'!$V$10,'Assumptions (Battery)'!$V$5*Model!$U$2452*'Assumptions (Battery)'!$S$2/10^9),0)</f>
        <v>-2.9941021140591001E-3</v>
      </c>
      <c r="W2579" s="105">
        <f>IF($U$2452&gt;0,IPMT('Assumptions (Battery)'!$V$7,Model!Y$1,'Assumptions (Battery)'!$V$10,'Assumptions (Battery)'!$V$5*Model!$U$2452*'Assumptions (Battery)'!$S$2/10^9),0)</f>
        <v>-2.7543352875339924E-3</v>
      </c>
      <c r="X2579" s="105">
        <f>IF($U$2452&gt;0,IPMT('Assumptions (Battery)'!$V$7,Model!Z$1,'Assumptions (Battery)'!$V$10,'Assumptions (Battery)'!$V$5*Model!$U$2452*'Assumptions (Battery)'!$S$2/10^9),0)</f>
        <v>-2.495387114886876E-3</v>
      </c>
      <c r="Y2579" s="105">
        <f>IF($U$2452&gt;0,IPMT('Assumptions (Battery)'!$V$7,Model!AA$1,'Assumptions (Battery)'!$V$10,'Assumptions (Battery)'!$V$5*Model!$U$2452*'Assumptions (Battery)'!$S$2/10^9),0)</f>
        <v>-2.2157230884279912E-3</v>
      </c>
      <c r="Z2579" s="105">
        <f>IF($U$2452&gt;0,IPMT('Assumptions (Battery)'!$V$7,Model!AB$1,'Assumptions (Battery)'!$V$10,'Assumptions (Battery)'!$V$5*Model!$U$2452*'Assumptions (Battery)'!$S$2/10^9),0)</f>
        <v>-1.9136859398523952E-3</v>
      </c>
      <c r="AA2579" s="105">
        <f>IF($U$2452&gt;0,IPMT('Assumptions (Battery)'!$V$7,Model!AC$1,'Assumptions (Battery)'!$V$10,'Assumptions (Battery)'!$V$5*Model!$U$2452*'Assumptions (Battery)'!$S$2/10^9),0)</f>
        <v>-1.587485819390751E-3</v>
      </c>
      <c r="AB2579" s="105">
        <f>IF($U$2452&gt;0,IPMT('Assumptions (Battery)'!$V$7,Model!AD$1,'Assumptions (Battery)'!$V$10,'Assumptions (Battery)'!$V$5*Model!$U$2452*'Assumptions (Battery)'!$S$2/10^9),0)</f>
        <v>-1.2351896892921759E-3</v>
      </c>
      <c r="AC2579" s="105">
        <f>IF($U$2452&gt;0,IPMT('Assumptions (Battery)'!$V$7,Model!AE$1,'Assumptions (Battery)'!$V$10,'Assumptions (Battery)'!$V$5*Model!$U$2452*'Assumptions (Battery)'!$S$2/10^9),0)</f>
        <v>-8.5470986878571464E-4</v>
      </c>
      <c r="AD2579" s="105">
        <f>IF($U$2452&gt;0,IPMT('Assumptions (Battery)'!$V$7,Model!AF$1,'Assumptions (Battery)'!$V$10,'Assumptions (Battery)'!$V$5*Model!$U$2452*'Assumptions (Battery)'!$S$2/10^9),0)</f>
        <v>-4.4379166263873644E-4</v>
      </c>
      <c r="AE2579" s="105" t="e">
        <f>IF($U$2452&gt;0,IPMT('Assumptions (Battery)'!$V$7,Model!AG$1,'Assumptions (Battery)'!$V$10,'Assumptions (Battery)'!$V$5*Model!$U$2452*'Assumptions (Battery)'!$S$2/10^9),0)</f>
        <v>#NUM!</v>
      </c>
      <c r="AF2579" s="105" t="e">
        <f>IF($U$2452&gt;0,IPMT('Assumptions (Battery)'!$V$7,Model!AH$1,'Assumptions (Battery)'!$V$10,'Assumptions (Battery)'!$V$5*Model!$U$2452*'Assumptions (Battery)'!$S$2/10^9),0)</f>
        <v>#NUM!</v>
      </c>
      <c r="AG2579" s="105" t="e">
        <f>IF($U$2452&gt;0,IPMT('Assumptions (Battery)'!$V$7,Model!AI$1,'Assumptions (Battery)'!$V$10,'Assumptions (Battery)'!$V$5*Model!$U$2452*'Assumptions (Battery)'!$S$2/10^9),0)</f>
        <v>#NUM!</v>
      </c>
      <c r="AH2579" s="105" t="e">
        <f>IF($U$2452&gt;0,IPMT('Assumptions (Battery)'!$V$7,Model!AJ$1,'Assumptions (Battery)'!$V$10,'Assumptions (Battery)'!$V$5*Model!$U$2452*'Assumptions (Battery)'!$S$2/10^9),0)</f>
        <v>#NUM!</v>
      </c>
      <c r="AI2579" s="105" t="e">
        <f>IF($U$2452&gt;0,IPMT('Assumptions (Battery)'!$V$7,Model!AK$1,'Assumptions (Battery)'!$V$10,'Assumptions (Battery)'!$V$5*Model!$U$2452*'Assumptions (Battery)'!$S$2/10^9),0)</f>
        <v>#NUM!</v>
      </c>
      <c r="AJ2579" s="105"/>
      <c r="AK2579" s="105"/>
      <c r="AL2579" s="105"/>
      <c r="AM2579" s="105"/>
      <c r="AN2579" s="105"/>
      <c r="AO2579" s="105"/>
      <c r="AP2579" s="105"/>
      <c r="AQ2579" s="105"/>
      <c r="AR2579" s="105"/>
      <c r="AS2579" s="105"/>
    </row>
    <row r="2580" spans="1:58" ht="15.75" hidden="1" customHeight="1" outlineLevel="1">
      <c r="A2580" s="454"/>
      <c r="B2580" s="99"/>
      <c r="C2580" s="105"/>
      <c r="D2580" s="105"/>
      <c r="E2580" s="105"/>
      <c r="F2580" s="105"/>
      <c r="G2580" s="105"/>
      <c r="H2580" s="105"/>
      <c r="I2580" s="105"/>
      <c r="J2580" s="105"/>
      <c r="K2580" s="105"/>
      <c r="L2580" s="105"/>
      <c r="M2580" s="105"/>
      <c r="N2580" s="105"/>
      <c r="O2580" s="105"/>
      <c r="P2580" s="171"/>
      <c r="Q2580" s="105"/>
      <c r="R2580" s="91"/>
      <c r="S2580" s="91"/>
      <c r="T2580" s="91"/>
      <c r="U2580" s="105"/>
      <c r="V2580" s="105">
        <f>IF($V$2452&gt;0,IPMT('Assumptions (Battery)'!$V$7,Model!W$1,'Assumptions (Battery)'!$V$10,'Assumptions (Battery)'!$V$5*Model!$V$2452*'Assumptions (Battery)'!$T$2/10^9),0)</f>
        <v>-5.1057285659361785E-3</v>
      </c>
      <c r="W2580" s="105">
        <f>IF($V$2452&gt;0,IPMT('Assumptions (Battery)'!$V$7,Model!X$1,'Assumptions (Battery)'!$V$10,'Assumptions (Battery)'!$V$5*Model!$V$2452*'Assumptions (Battery)'!$T$2/10^9),0)</f>
        <v>-4.7532827336035522E-3</v>
      </c>
      <c r="X2580" s="105">
        <f>IF($V$2452&gt;0,IPMT('Assumptions (Battery)'!$V$7,Model!Y$1,'Assumptions (Battery)'!$V$10,'Assumptions (Battery)'!$V$5*Model!$V$2452*'Assumptions (Battery)'!$T$2/10^9),0)</f>
        <v>-4.3726412346843145E-3</v>
      </c>
      <c r="Y2580" s="105">
        <f>IF($V$2452&gt;0,IPMT('Assumptions (Battery)'!$V$7,Model!Z$1,'Assumptions (Battery)'!$V$10,'Assumptions (Battery)'!$V$5*Model!$V$2452*'Assumptions (Battery)'!$T$2/10^9),0)</f>
        <v>-3.9615484158515386E-3</v>
      </c>
      <c r="Z2580" s="105">
        <f>IF($V$2452&gt;0,IPMT('Assumptions (Battery)'!$V$7,Model!AA$1,'Assumptions (Battery)'!$V$10,'Assumptions (Battery)'!$V$5*Model!$V$2452*'Assumptions (Battery)'!$T$2/10^9),0)</f>
        <v>-3.5175681715121417E-3</v>
      </c>
      <c r="AA2580" s="105">
        <f>IF($V$2452&gt;0,IPMT('Assumptions (Battery)'!$V$7,Model!AB$1,'Assumptions (Battery)'!$V$10,'Assumptions (Battery)'!$V$5*Model!$V$2452*'Assumptions (Battery)'!$T$2/10^9),0)</f>
        <v>-3.0380695076255922E-3</v>
      </c>
      <c r="AB2580" s="105">
        <f>IF($V$2452&gt;0,IPMT('Assumptions (Battery)'!$V$7,Model!AC$1,'Assumptions (Battery)'!$V$10,'Assumptions (Battery)'!$V$5*Model!$V$2452*'Assumptions (Battery)'!$T$2/10^9),0)</f>
        <v>-2.5202109506281185E-3</v>
      </c>
      <c r="AC2580" s="105">
        <f>IF($V$2452&gt;0,IPMT('Assumptions (Battery)'!$V$7,Model!AD$1,'Assumptions (Battery)'!$V$10,'Assumptions (Battery)'!$V$5*Model!$V$2452*'Assumptions (Battery)'!$T$2/10^9),0)</f>
        <v>-1.9609237090708474E-3</v>
      </c>
      <c r="AD2580" s="105">
        <f>IF($V$2452&gt;0,IPMT('Assumptions (Battery)'!$V$7,Model!AE$1,'Assumptions (Battery)'!$V$10,'Assumptions (Battery)'!$V$5*Model!$V$2452*'Assumptions (Battery)'!$T$2/10^9),0)</f>
        <v>-1.3568934881889943E-3</v>
      </c>
      <c r="AE2580" s="105">
        <f>IF($V$2452&gt;0,IPMT('Assumptions (Battery)'!$V$7,Model!AF$1,'Assumptions (Battery)'!$V$10,'Assumptions (Battery)'!$V$5*Model!$V$2452*'Assumptions (Battery)'!$T$2/10^9),0)</f>
        <v>-7.045408496365932E-4</v>
      </c>
      <c r="AF2580" s="105" t="e">
        <f>IF($V$2452&gt;0,IPMT('Assumptions (Battery)'!$V$7,Model!AG$1,'Assumptions (Battery)'!$V$10,'Assumptions (Battery)'!$V$5*Model!$V$2452*'Assumptions (Battery)'!$T$2/10^9),0)</f>
        <v>#NUM!</v>
      </c>
      <c r="AG2580" s="105" t="e">
        <f>IF($V$2452&gt;0,IPMT('Assumptions (Battery)'!$V$7,Model!AH$1,'Assumptions (Battery)'!$V$10,'Assumptions (Battery)'!$V$5*Model!$V$2452*'Assumptions (Battery)'!$T$2/10^9),0)</f>
        <v>#NUM!</v>
      </c>
      <c r="AH2580" s="105" t="e">
        <f>IF($V$2452&gt;0,IPMT('Assumptions (Battery)'!$V$7,Model!AI$1,'Assumptions (Battery)'!$V$10,'Assumptions (Battery)'!$V$5*Model!$V$2452*'Assumptions (Battery)'!$T$2/10^9),0)</f>
        <v>#NUM!</v>
      </c>
      <c r="AI2580" s="105" t="e">
        <f>IF($V$2452&gt;0,IPMT('Assumptions (Battery)'!$V$7,Model!AJ$1,'Assumptions (Battery)'!$V$10,'Assumptions (Battery)'!$V$5*Model!$V$2452*'Assumptions (Battery)'!$T$2/10^9),0)</f>
        <v>#NUM!</v>
      </c>
      <c r="AJ2580" s="105" t="e">
        <f>IF($V$2452&gt;0,IPMT('Assumptions (Battery)'!$V$7,Model!AK$1,'Assumptions (Battery)'!$V$10,'Assumptions (Battery)'!$V$5*Model!$V$2452*'Assumptions (Battery)'!$T$2/10^9),0)</f>
        <v>#NUM!</v>
      </c>
      <c r="AK2580" s="105"/>
      <c r="AL2580" s="105"/>
      <c r="AM2580" s="105"/>
      <c r="AN2580" s="105"/>
      <c r="AO2580" s="105"/>
      <c r="AP2580" s="105"/>
      <c r="AQ2580" s="105"/>
      <c r="AR2580" s="105"/>
      <c r="AS2580" s="105"/>
      <c r="AT2580" s="105"/>
    </row>
    <row r="2581" spans="1:58" ht="15.75" hidden="1" customHeight="1" outlineLevel="1">
      <c r="A2581" s="454"/>
      <c r="B2581" s="99"/>
      <c r="C2581" s="99"/>
      <c r="D2581" s="99"/>
      <c r="E2581" s="99"/>
      <c r="F2581" s="99"/>
      <c r="G2581" s="99"/>
      <c r="H2581" s="99"/>
      <c r="I2581" s="99"/>
      <c r="J2581" s="99"/>
      <c r="K2581" s="99"/>
      <c r="L2581" s="99"/>
      <c r="M2581" s="99"/>
      <c r="N2581" s="99"/>
      <c r="O2581" s="99"/>
      <c r="P2581" s="99"/>
      <c r="Q2581" s="99"/>
      <c r="R2581" s="99"/>
      <c r="S2581" s="99"/>
      <c r="T2581" s="99"/>
      <c r="U2581" s="99"/>
      <c r="V2581" s="99"/>
      <c r="W2581" s="105">
        <f>IF($W$2452&gt;0,IPMT('Assumptions (Battery)'!$V$7,Model!W$1,'Assumptions (Battery)'!$V$10,'Assumptions (Battery)'!$V$5*Model!$W$2452*'Assumptions (Battery)'!$U$2/10^9),0)</f>
        <v>-1.0415686274509804E-2</v>
      </c>
      <c r="X2581" s="105">
        <f>IF($W$2452&gt;0,IPMT('Assumptions (Battery)'!$V$7,Model!X$1,'Assumptions (Battery)'!$V$10,'Assumptions (Battery)'!$V$5*Model!$W$2452*'Assumptions (Battery)'!$U$2/10^9),0)</f>
        <v>-9.6966967765512464E-3</v>
      </c>
      <c r="Y2581" s="105">
        <f>IF($W$2452&gt;0,IPMT('Assumptions (Battery)'!$V$7,Model!Y$1,'Assumptions (Battery)'!$V$10,'Assumptions (Battery)'!$V$5*Model!$W$2452*'Assumptions (Battery)'!$U$2/10^9),0)</f>
        <v>-8.9201881187560023E-3</v>
      </c>
      <c r="Z2581" s="105">
        <f>IF($W$2452&gt;0,IPMT('Assumptions (Battery)'!$V$7,Model!Z$1,'Assumptions (Battery)'!$V$10,'Assumptions (Battery)'!$V$5*Model!$W$2452*'Assumptions (Battery)'!$U$2/10^9),0)</f>
        <v>-8.0815587683371378E-3</v>
      </c>
      <c r="AA2581" s="105">
        <f>IF($W$2452&gt;0,IPMT('Assumptions (Battery)'!$V$7,Model!AA$1,'Assumptions (Battery)'!$V$10,'Assumptions (Battery)'!$V$5*Model!$W$2452*'Assumptions (Battery)'!$U$2/10^9),0)</f>
        <v>-7.1758390698847679E-3</v>
      </c>
      <c r="AB2581" s="105">
        <f>IF($W$2452&gt;0,IPMT('Assumptions (Battery)'!$V$7,Model!AB$1,'Assumptions (Battery)'!$V$10,'Assumptions (Battery)'!$V$5*Model!$W$2452*'Assumptions (Battery)'!$U$2/10^9),0)</f>
        <v>-6.1976617955562079E-3</v>
      </c>
      <c r="AC2581" s="105">
        <f>IF($W$2452&gt;0,IPMT('Assumptions (Battery)'!$V$7,Model!AC$1,'Assumptions (Battery)'!$V$10,'Assumptions (Battery)'!$V$5*Model!$W$2452*'Assumptions (Battery)'!$U$2/10^9),0)</f>
        <v>-5.1412303392813609E-3</v>
      </c>
      <c r="AD2581" s="105">
        <f>IF($W$2452&gt;0,IPMT('Assumptions (Battery)'!$V$7,Model!AD$1,'Assumptions (Battery)'!$V$10,'Assumptions (Battery)'!$V$5*Model!$W$2452*'Assumptions (Battery)'!$U$2/10^9),0)</f>
        <v>-4.0002843665045288E-3</v>
      </c>
      <c r="AE2581" s="105">
        <f>IF($W$2452&gt;0,IPMT('Assumptions (Battery)'!$V$7,Model!AE$1,'Assumptions (Battery)'!$V$10,'Assumptions (Battery)'!$V$5*Model!$W$2452*'Assumptions (Battery)'!$U$2/10^9),0)</f>
        <v>-2.7680627159055488E-3</v>
      </c>
      <c r="AF2581" s="105">
        <f>IF($W$2452&gt;0,IPMT('Assumptions (Battery)'!$V$7,Model!AF$1,'Assumptions (Battery)'!$V$10,'Assumptions (Battery)'!$V$5*Model!$W$2452*'Assumptions (Battery)'!$U$2/10^9),0)</f>
        <v>-1.4372633332586501E-3</v>
      </c>
      <c r="AG2581" s="105" t="e">
        <f>IF($W$2452&gt;0,IPMT('Assumptions (Battery)'!$V$7,Model!AG$1,'Assumptions (Battery)'!$V$10,'Assumptions (Battery)'!$V$5*Model!$W$2452*'Assumptions (Battery)'!$U$2/10^9),0)</f>
        <v>#NUM!</v>
      </c>
      <c r="AH2581" s="105" t="e">
        <f>IF($W$2452&gt;0,IPMT('Assumptions (Battery)'!$V$7,Model!AH$1,'Assumptions (Battery)'!$V$10,'Assumptions (Battery)'!$V$5*Model!$W$2452*'Assumptions (Battery)'!$U$2/10^9),0)</f>
        <v>#NUM!</v>
      </c>
      <c r="AI2581" s="105" t="e">
        <f>IF($W$2452&gt;0,IPMT('Assumptions (Battery)'!$V$7,Model!AI$1,'Assumptions (Battery)'!$V$10,'Assumptions (Battery)'!$V$5*Model!$W$2452*'Assumptions (Battery)'!$U$2/10^9),0)</f>
        <v>#NUM!</v>
      </c>
      <c r="AJ2581" s="105" t="e">
        <f>IF($W$2452&gt;0,IPMT('Assumptions (Battery)'!$V$7,Model!AJ$1,'Assumptions (Battery)'!$V$10,'Assumptions (Battery)'!$V$5*Model!$W$2452*'Assumptions (Battery)'!$U$2/10^9),0)</f>
        <v>#NUM!</v>
      </c>
      <c r="AK2581" s="105" t="e">
        <f>IF($W$2452&gt;0,IPMT('Assumptions (Battery)'!$V$7,Model!AK$1,'Assumptions (Battery)'!$V$10,'Assumptions (Battery)'!$V$5*Model!$W$2452*'Assumptions (Battery)'!$U$2/10^9),0)</f>
        <v>#NUM!</v>
      </c>
      <c r="AL2581" s="105"/>
      <c r="AM2581" s="105"/>
      <c r="AN2581" s="105"/>
      <c r="AO2581" s="105"/>
      <c r="AP2581" s="105"/>
      <c r="AQ2581" s="105"/>
      <c r="AR2581" s="105"/>
      <c r="AS2581" s="105"/>
      <c r="AT2581" s="105"/>
      <c r="AU2581" s="105"/>
      <c r="AV2581" s="105"/>
      <c r="AW2581" s="105"/>
      <c r="AX2581" s="105"/>
      <c r="AY2581" s="105"/>
      <c r="AZ2581" s="105"/>
      <c r="BA2581" s="105"/>
    </row>
    <row r="2582" spans="1:58" ht="15.75" hidden="1" customHeight="1" outlineLevel="1">
      <c r="A2582" s="454"/>
      <c r="B2582" s="99"/>
      <c r="C2582" s="99"/>
      <c r="D2582" s="99"/>
      <c r="E2582" s="99"/>
      <c r="F2582" s="99"/>
      <c r="G2582" s="99"/>
      <c r="H2582" s="99"/>
      <c r="I2582" s="99"/>
      <c r="J2582" s="99"/>
      <c r="K2582" s="99"/>
      <c r="L2582" s="99"/>
      <c r="M2582" s="99"/>
      <c r="N2582" s="99"/>
      <c r="O2582" s="99"/>
      <c r="P2582" s="99"/>
      <c r="Q2582" s="99"/>
      <c r="R2582" s="99"/>
      <c r="S2582" s="99"/>
      <c r="T2582" s="99"/>
      <c r="U2582" s="99"/>
      <c r="V2582" s="99"/>
      <c r="W2582" s="105"/>
      <c r="X2582" s="105">
        <f>IF($X$2452&gt;0,IPMT('Assumptions (Battery)'!$V$7,Model!W$1,'Assumptions (Battery)'!$V$10,'Assumptions (Battery)'!$V$5*Model!$X$2452*'Assumptions (Battery)'!$V$2/10^9),0)</f>
        <v>0</v>
      </c>
      <c r="Y2582" s="105">
        <f>IF($X$2452&gt;0,IPMT('Assumptions (Battery)'!$V$7,Model!X$1,'Assumptions (Battery)'!$V$10,'Assumptions (Battery)'!$V$5*Model!$X$2452*'Assumptions (Battery)'!$V$2/10^9),0)</f>
        <v>0</v>
      </c>
      <c r="Z2582" s="105">
        <f>IF($X$2452&gt;0,IPMT('Assumptions (Battery)'!$V$7,Model!Y$1,'Assumptions (Battery)'!$V$10,'Assumptions (Battery)'!$V$5*Model!$X$2452*'Assumptions (Battery)'!$V$2/10^9),0)</f>
        <v>0</v>
      </c>
      <c r="AA2582" s="105">
        <f>IF($X$2452&gt;0,IPMT('Assumptions (Battery)'!$V$7,Model!Z$1,'Assumptions (Battery)'!$V$10,'Assumptions (Battery)'!$V$5*Model!$X$2452*'Assumptions (Battery)'!$V$2/10^9),0)</f>
        <v>0</v>
      </c>
      <c r="AB2582" s="105">
        <f>IF($X$2452&gt;0,IPMT('Assumptions (Battery)'!$V$7,Model!AA$1,'Assumptions (Battery)'!$V$10,'Assumptions (Battery)'!$V$5*Model!$X$2452*'Assumptions (Battery)'!$V$2/10^9),0)</f>
        <v>0</v>
      </c>
      <c r="AC2582" s="105">
        <f>IF($X$2452&gt;0,IPMT('Assumptions (Battery)'!$V$7,Model!AB$1,'Assumptions (Battery)'!$V$10,'Assumptions (Battery)'!$V$5*Model!$X$2452*'Assumptions (Battery)'!$V$2/10^9),0)</f>
        <v>0</v>
      </c>
      <c r="AD2582" s="105">
        <f>IF($X$2452&gt;0,IPMT('Assumptions (Battery)'!$V$7,Model!AC$1,'Assumptions (Battery)'!$V$10,'Assumptions (Battery)'!$V$5*Model!$X$2452*'Assumptions (Battery)'!$V$2/10^9),0)</f>
        <v>0</v>
      </c>
      <c r="AE2582" s="105">
        <f>IF($X$2452&gt;0,IPMT('Assumptions (Battery)'!$V$7,Model!AD$1,'Assumptions (Battery)'!$V$10,'Assumptions (Battery)'!$V$5*Model!$X$2452*'Assumptions (Battery)'!$V$2/10^9),0)</f>
        <v>0</v>
      </c>
      <c r="AF2582" s="105">
        <f>IF($X$2452&gt;0,IPMT('Assumptions (Battery)'!$V$7,Model!AE$1,'Assumptions (Battery)'!$V$10,'Assumptions (Battery)'!$V$5*Model!$X$2452*'Assumptions (Battery)'!$V$2/10^9),0)</f>
        <v>0</v>
      </c>
      <c r="AG2582" s="105">
        <f>IF($X$2452&gt;0,IPMT('Assumptions (Battery)'!$V$7,Model!AF$1,'Assumptions (Battery)'!$V$10,'Assumptions (Battery)'!$V$5*Model!$X$2452*'Assumptions (Battery)'!$V$2/10^9),0)</f>
        <v>0</v>
      </c>
      <c r="AH2582" s="105">
        <f>IF($X$2452&gt;0,IPMT('Assumptions (Battery)'!$V$7,Model!AG$1,'Assumptions (Battery)'!$V$10,'Assumptions (Battery)'!$V$5*Model!$X$2452*'Assumptions (Battery)'!$V$2/10^9),0)</f>
        <v>0</v>
      </c>
      <c r="AI2582" s="105">
        <f>IF($X$2452&gt;0,IPMT('Assumptions (Battery)'!$V$7,Model!AH$1,'Assumptions (Battery)'!$V$10,'Assumptions (Battery)'!$V$5*Model!$X$2452*'Assumptions (Battery)'!$V$2/10^9),0)</f>
        <v>0</v>
      </c>
      <c r="AJ2582" s="105">
        <f>IF($X$2452&gt;0,IPMT('Assumptions (Battery)'!$V$7,Model!AI$1,'Assumptions (Battery)'!$V$10,'Assumptions (Battery)'!$V$5*Model!$X$2452*'Assumptions (Battery)'!$V$2/10^9),0)</f>
        <v>0</v>
      </c>
      <c r="AK2582" s="105">
        <f>IF($X$2452&gt;0,IPMT('Assumptions (Battery)'!$V$7,Model!AJ$1,'Assumptions (Battery)'!$V$10,'Assumptions (Battery)'!$V$5*Model!$X$2452*'Assumptions (Battery)'!$V$2/10^9),0)</f>
        <v>0</v>
      </c>
      <c r="AL2582" s="105">
        <f>IF($X$2452&gt;0,IPMT('Assumptions (Battery)'!$V$7,Model!AK$1,'Assumptions (Battery)'!$V$10,'Assumptions (Battery)'!$V$5*Model!$X$2452*'Assumptions (Battery)'!$V$2/10^9),0)</f>
        <v>0</v>
      </c>
      <c r="AM2582" s="105"/>
      <c r="AN2582" s="105"/>
      <c r="AO2582" s="105"/>
      <c r="AP2582" s="105"/>
      <c r="AQ2582" s="105"/>
      <c r="AR2582" s="105"/>
      <c r="AS2582" s="105"/>
      <c r="AT2582" s="105"/>
      <c r="AU2582" s="105"/>
      <c r="AV2582" s="105"/>
      <c r="AW2582" s="105"/>
      <c r="AX2582" s="105"/>
      <c r="AY2582" s="105"/>
      <c r="AZ2582" s="105"/>
      <c r="BA2582" s="105"/>
    </row>
    <row r="2583" spans="1:58" ht="15.75" hidden="1" customHeight="1" outlineLevel="1">
      <c r="A2583" s="454"/>
      <c r="B2583" s="99"/>
      <c r="C2583" s="99"/>
      <c r="D2583" s="99"/>
      <c r="E2583" s="99"/>
      <c r="F2583" s="99"/>
      <c r="G2583" s="99"/>
      <c r="H2583" s="99"/>
      <c r="I2583" s="99"/>
      <c r="J2583" s="99"/>
      <c r="K2583" s="99"/>
      <c r="L2583" s="99"/>
      <c r="M2583" s="99"/>
      <c r="N2583" s="99"/>
      <c r="O2583" s="99"/>
      <c r="P2583" s="99"/>
      <c r="Q2583" s="99"/>
      <c r="R2583" s="99"/>
      <c r="S2583" s="99"/>
      <c r="T2583" s="99"/>
      <c r="U2583" s="99"/>
      <c r="V2583" s="99"/>
      <c r="W2583" s="105"/>
      <c r="X2583" s="105"/>
      <c r="Y2583" s="105">
        <f>IF($Y$2452&gt;0,IPMT('Assumptions (Battery)'!$V$7,Model!W$1,'Assumptions (Battery)'!$V$10,'Assumptions (Battery)'!$V$5*Model!$Y$2452*'Assumptions (Battery)'!$W$2/10^9),0)</f>
        <v>0</v>
      </c>
      <c r="Z2583" s="105">
        <f>IF($Y$2452&gt;0,IPMT('Assumptions (Battery)'!$V$7,Model!X$1,'Assumptions (Battery)'!$V$10,'Assumptions (Battery)'!$V$5*Model!$Y$2452*'Assumptions (Battery)'!$W$2/10^9),0)</f>
        <v>0</v>
      </c>
      <c r="AA2583" s="105">
        <f>IF($Y$2452&gt;0,IPMT('Assumptions (Battery)'!$V$7,Model!Y$1,'Assumptions (Battery)'!$V$10,'Assumptions (Battery)'!$V$5*Model!$Y$2452*'Assumptions (Battery)'!$W$2/10^9),0)</f>
        <v>0</v>
      </c>
      <c r="AB2583" s="105">
        <f>IF($Y$2452&gt;0,IPMT('Assumptions (Battery)'!$V$7,Model!Z$1,'Assumptions (Battery)'!$V$10,'Assumptions (Battery)'!$V$5*Model!$Y$2452*'Assumptions (Battery)'!$W$2/10^9),0)</f>
        <v>0</v>
      </c>
      <c r="AC2583" s="105">
        <f>IF($Y$2452&gt;0,IPMT('Assumptions (Battery)'!$V$7,Model!AA$1,'Assumptions (Battery)'!$V$10,'Assumptions (Battery)'!$V$5*Model!$Y$2452*'Assumptions (Battery)'!$W$2/10^9),0)</f>
        <v>0</v>
      </c>
      <c r="AD2583" s="105">
        <f>IF($Y$2452&gt;0,IPMT('Assumptions (Battery)'!$V$7,Model!AB$1,'Assumptions (Battery)'!$V$10,'Assumptions (Battery)'!$V$5*Model!$Y$2452*'Assumptions (Battery)'!$W$2/10^9),0)</f>
        <v>0</v>
      </c>
      <c r="AE2583" s="105">
        <f>IF($Y$2452&gt;0,IPMT('Assumptions (Battery)'!$V$7,Model!AC$1,'Assumptions (Battery)'!$V$10,'Assumptions (Battery)'!$V$5*Model!$Y$2452*'Assumptions (Battery)'!$W$2/10^9),0)</f>
        <v>0</v>
      </c>
      <c r="AF2583" s="105">
        <f>IF($Y$2452&gt;0,IPMT('Assumptions (Battery)'!$V$7,Model!AD$1,'Assumptions (Battery)'!$V$10,'Assumptions (Battery)'!$V$5*Model!$Y$2452*'Assumptions (Battery)'!$W$2/10^9),0)</f>
        <v>0</v>
      </c>
      <c r="AG2583" s="105">
        <f>IF($Y$2452&gt;0,IPMT('Assumptions (Battery)'!$V$7,Model!AE$1,'Assumptions (Battery)'!$V$10,'Assumptions (Battery)'!$V$5*Model!$Y$2452*'Assumptions (Battery)'!$W$2/10^9),0)</f>
        <v>0</v>
      </c>
      <c r="AH2583" s="105">
        <f>IF($Y$2452&gt;0,IPMT('Assumptions (Battery)'!$V$7,Model!AF$1,'Assumptions (Battery)'!$V$10,'Assumptions (Battery)'!$V$5*Model!$Y$2452*'Assumptions (Battery)'!$W$2/10^9),0)</f>
        <v>0</v>
      </c>
      <c r="AI2583" s="105">
        <f>IF($Y$2452&gt;0,IPMT('Assumptions (Battery)'!$V$7,Model!AG$1,'Assumptions (Battery)'!$V$10,'Assumptions (Battery)'!$V$5*Model!$Y$2452*'Assumptions (Battery)'!$W$2/10^9),0)</f>
        <v>0</v>
      </c>
      <c r="AJ2583" s="105">
        <f>IF($Y$2452&gt;0,IPMT('Assumptions (Battery)'!$V$7,Model!AH$1,'Assumptions (Battery)'!$V$10,'Assumptions (Battery)'!$V$5*Model!$Y$2452*'Assumptions (Battery)'!$W$2/10^9),0)</f>
        <v>0</v>
      </c>
      <c r="AK2583" s="105">
        <f>IF($Y$2452&gt;0,IPMT('Assumptions (Battery)'!$V$7,Model!AI$1,'Assumptions (Battery)'!$V$10,'Assumptions (Battery)'!$V$5*Model!$Y$2452*'Assumptions (Battery)'!$W$2/10^9),0)</f>
        <v>0</v>
      </c>
      <c r="AL2583" s="105">
        <f>IF($Y$2452&gt;0,IPMT('Assumptions (Battery)'!$V$7,Model!AJ$1,'Assumptions (Battery)'!$V$10,'Assumptions (Battery)'!$V$5*Model!$Y$2452*'Assumptions (Battery)'!$W$2/10^9),0)</f>
        <v>0</v>
      </c>
      <c r="AM2583" s="105">
        <f>IF($Y$2452&gt;0,IPMT('Assumptions (Battery)'!$V$7,Model!AK$1,'Assumptions (Battery)'!$V$10,'Assumptions (Battery)'!$V$5*Model!$Y$2452*'Assumptions (Battery)'!$W$2/10^9),0)</f>
        <v>0</v>
      </c>
      <c r="AN2583" s="105"/>
      <c r="AO2583" s="105"/>
      <c r="AP2583" s="105"/>
      <c r="AQ2583" s="105"/>
      <c r="AR2583" s="105"/>
      <c r="AS2583" s="105"/>
      <c r="AT2583" s="105"/>
      <c r="AU2583" s="105"/>
      <c r="AV2583" s="105"/>
      <c r="AW2583" s="105"/>
      <c r="AX2583" s="105"/>
      <c r="AY2583" s="105"/>
      <c r="AZ2583" s="105"/>
      <c r="BA2583" s="105"/>
    </row>
    <row r="2584" spans="1:58" ht="15.75" hidden="1" customHeight="1" outlineLevel="1">
      <c r="A2584" s="454"/>
      <c r="B2584" s="99"/>
      <c r="C2584" s="99"/>
      <c r="D2584" s="99"/>
      <c r="E2584" s="99"/>
      <c r="F2584" s="99"/>
      <c r="G2584" s="99"/>
      <c r="H2584" s="99"/>
      <c r="I2584" s="99"/>
      <c r="J2584" s="99"/>
      <c r="K2584" s="99"/>
      <c r="L2584" s="99"/>
      <c r="M2584" s="99"/>
      <c r="N2584" s="99"/>
      <c r="O2584" s="99"/>
      <c r="P2584" s="99"/>
      <c r="Q2584" s="99"/>
      <c r="R2584" s="99"/>
      <c r="S2584" s="99"/>
      <c r="T2584" s="99"/>
      <c r="U2584" s="99"/>
      <c r="V2584" s="99"/>
      <c r="W2584" s="105"/>
      <c r="X2584" s="105"/>
      <c r="Y2584" s="105"/>
      <c r="Z2584" s="105">
        <f>IF($Z$2452&gt;0,IPMT('Assumptions (Battery)'!$V$7,Model!W$1,'Assumptions (Battery)'!$V$10,'Assumptions (Battery)'!$V$5*Model!$Z$2452*'Assumptions (Battery)'!$X$2/10^9),0)</f>
        <v>0</v>
      </c>
      <c r="AA2584" s="105">
        <f>IF($Z$2452&gt;0,IPMT('Assumptions (Battery)'!$V$7,Model!X$1,'Assumptions (Battery)'!$V$10,'Assumptions (Battery)'!$V$5*Model!$Z$2452*'Assumptions (Battery)'!$X$2/10^9),0)</f>
        <v>0</v>
      </c>
      <c r="AB2584" s="105">
        <f>IF($Z$2452&gt;0,IPMT('Assumptions (Battery)'!$V$7,Model!Y$1,'Assumptions (Battery)'!$V$10,'Assumptions (Battery)'!$V$5*Model!$Z$2452*'Assumptions (Battery)'!$X$2/10^9),0)</f>
        <v>0</v>
      </c>
      <c r="AC2584" s="105">
        <f>IF($Z$2452&gt;0,IPMT('Assumptions (Battery)'!$V$7,Model!Z$1,'Assumptions (Battery)'!$V$10,'Assumptions (Battery)'!$V$5*Model!$Z$2452*'Assumptions (Battery)'!$X$2/10^9),0)</f>
        <v>0</v>
      </c>
      <c r="AD2584" s="105">
        <f>IF($Z$2452&gt;0,IPMT('Assumptions (Battery)'!$V$7,Model!AA$1,'Assumptions (Battery)'!$V$10,'Assumptions (Battery)'!$V$5*Model!$Z$2452*'Assumptions (Battery)'!$X$2/10^9),0)</f>
        <v>0</v>
      </c>
      <c r="AE2584" s="105">
        <f>IF($Z$2452&gt;0,IPMT('Assumptions (Battery)'!$V$7,Model!AB$1,'Assumptions (Battery)'!$V$10,'Assumptions (Battery)'!$V$5*Model!$Z$2452*'Assumptions (Battery)'!$X$2/10^9),0)</f>
        <v>0</v>
      </c>
      <c r="AF2584" s="105">
        <f>IF($Z$2452&gt;0,IPMT('Assumptions (Battery)'!$V$7,Model!AC$1,'Assumptions (Battery)'!$V$10,'Assumptions (Battery)'!$V$5*Model!$Z$2452*'Assumptions (Battery)'!$X$2/10^9),0)</f>
        <v>0</v>
      </c>
      <c r="AG2584" s="105">
        <f>IF($Z$2452&gt;0,IPMT('Assumptions (Battery)'!$V$7,Model!AD$1,'Assumptions (Battery)'!$V$10,'Assumptions (Battery)'!$V$5*Model!$Z$2452*'Assumptions (Battery)'!$X$2/10^9),0)</f>
        <v>0</v>
      </c>
      <c r="AH2584" s="105">
        <f>IF($Z$2452&gt;0,IPMT('Assumptions (Battery)'!$V$7,Model!AE$1,'Assumptions (Battery)'!$V$10,'Assumptions (Battery)'!$V$5*Model!$Z$2452*'Assumptions (Battery)'!$X$2/10^9),0)</f>
        <v>0</v>
      </c>
      <c r="AI2584" s="105">
        <f>IF($Z$2452&gt;0,IPMT('Assumptions (Battery)'!$V$7,Model!AF$1,'Assumptions (Battery)'!$V$10,'Assumptions (Battery)'!$V$5*Model!$Z$2452*'Assumptions (Battery)'!$X$2/10^9),0)</f>
        <v>0</v>
      </c>
      <c r="AJ2584" s="105">
        <f>IF($Z$2452&gt;0,IPMT('Assumptions (Battery)'!$V$7,Model!AG$1,'Assumptions (Battery)'!$V$10,'Assumptions (Battery)'!$V$5*Model!$Z$2452*'Assumptions (Battery)'!$X$2/10^9),0)</f>
        <v>0</v>
      </c>
      <c r="AK2584" s="105">
        <f>IF($Z$2452&gt;0,IPMT('Assumptions (Battery)'!$V$7,Model!AH$1,'Assumptions (Battery)'!$V$10,'Assumptions (Battery)'!$V$5*Model!$Z$2452*'Assumptions (Battery)'!$X$2/10^9),0)</f>
        <v>0</v>
      </c>
      <c r="AL2584" s="105">
        <f>IF($Z$2452&gt;0,IPMT('Assumptions (Battery)'!$V$7,Model!AI$1,'Assumptions (Battery)'!$V$10,'Assumptions (Battery)'!$V$5*Model!$Z$2452*'Assumptions (Battery)'!$X$2/10^9),0)</f>
        <v>0</v>
      </c>
      <c r="AM2584" s="105">
        <f>IF($Z$2452&gt;0,IPMT('Assumptions (Battery)'!$V$7,Model!AJ$1,'Assumptions (Battery)'!$V$10,'Assumptions (Battery)'!$V$5*Model!$Z$2452*'Assumptions (Battery)'!$X$2/10^9),0)</f>
        <v>0</v>
      </c>
      <c r="AN2584" s="105">
        <f>IF($Z$2452&gt;0,IPMT('Assumptions (Battery)'!$V$7,Model!AK$1,'Assumptions (Battery)'!$V$10,'Assumptions (Battery)'!$V$5*Model!$Z$2452*'Assumptions (Battery)'!$X$2/10^9),0)</f>
        <v>0</v>
      </c>
      <c r="AO2584" s="105"/>
      <c r="AP2584" s="105"/>
      <c r="AQ2584" s="105"/>
      <c r="AR2584" s="105"/>
      <c r="AS2584" s="105"/>
      <c r="AT2584" s="105"/>
      <c r="AU2584" s="105"/>
      <c r="AV2584" s="105"/>
      <c r="AW2584" s="105"/>
      <c r="AX2584" s="105"/>
      <c r="AY2584" s="105"/>
      <c r="AZ2584" s="105"/>
      <c r="BA2584" s="105"/>
    </row>
    <row r="2585" spans="1:58" ht="15.75" hidden="1" customHeight="1" outlineLevel="1">
      <c r="A2585" s="454"/>
      <c r="B2585" s="99"/>
      <c r="C2585" s="99"/>
      <c r="D2585" s="99"/>
      <c r="E2585" s="99"/>
      <c r="F2585" s="99"/>
      <c r="G2585" s="99"/>
      <c r="H2585" s="99"/>
      <c r="I2585" s="99"/>
      <c r="J2585" s="99"/>
      <c r="K2585" s="99"/>
      <c r="L2585" s="99"/>
      <c r="M2585" s="99"/>
      <c r="N2585" s="99"/>
      <c r="O2585" s="99"/>
      <c r="P2585" s="99"/>
      <c r="Q2585" s="99"/>
      <c r="R2585" s="99"/>
      <c r="S2585" s="99"/>
      <c r="T2585" s="99"/>
      <c r="U2585" s="99"/>
      <c r="V2585" s="99"/>
      <c r="W2585" s="105"/>
      <c r="X2585" s="105"/>
      <c r="Y2585" s="105"/>
      <c r="Z2585" s="105"/>
      <c r="AA2585" s="105">
        <f>IF($AA$2452&gt;0,IPMT('Assumptions (Battery)'!$V$7,Model!W$1,'Assumptions (Battery)'!$V$10,'Assumptions (Battery)'!$V$5*Model!$AA$2452*'Assumptions (Battery)'!$Y$2/10^9),0)</f>
        <v>0</v>
      </c>
      <c r="AB2585" s="105">
        <f>IF($AA$2452&gt;0,IPMT('Assumptions (Battery)'!$V$7,Model!X$1,'Assumptions (Battery)'!$V$10,'Assumptions (Battery)'!$V$5*Model!$AA$2452*'Assumptions (Battery)'!$Y$2/10^9),0)</f>
        <v>0</v>
      </c>
      <c r="AC2585" s="105">
        <f>IF($AA$2452&gt;0,IPMT('Assumptions (Battery)'!$V$7,Model!Y$1,'Assumptions (Battery)'!$V$10,'Assumptions (Battery)'!$V$5*Model!$AA$2452*'Assumptions (Battery)'!$Y$2/10^9),0)</f>
        <v>0</v>
      </c>
      <c r="AD2585" s="105">
        <f>IF($AA$2452&gt;0,IPMT('Assumptions (Battery)'!$V$7,Model!Z$1,'Assumptions (Battery)'!$V$10,'Assumptions (Battery)'!$V$5*Model!$AA$2452*'Assumptions (Battery)'!$Y$2/10^9),0)</f>
        <v>0</v>
      </c>
      <c r="AE2585" s="105">
        <f>IF($AA$2452&gt;0,IPMT('Assumptions (Battery)'!$V$7,Model!AA$1,'Assumptions (Battery)'!$V$10,'Assumptions (Battery)'!$V$5*Model!$AA$2452*'Assumptions (Battery)'!$Y$2/10^9),0)</f>
        <v>0</v>
      </c>
      <c r="AF2585" s="105">
        <f>IF($AA$2452&gt;0,IPMT('Assumptions (Battery)'!$V$7,Model!AB$1,'Assumptions (Battery)'!$V$10,'Assumptions (Battery)'!$V$5*Model!$AA$2452*'Assumptions (Battery)'!$Y$2/10^9),0)</f>
        <v>0</v>
      </c>
      <c r="AG2585" s="105">
        <f>IF($AA$2452&gt;0,IPMT('Assumptions (Battery)'!$V$7,Model!AC$1,'Assumptions (Battery)'!$V$10,'Assumptions (Battery)'!$V$5*Model!$AA$2452*'Assumptions (Battery)'!$Y$2/10^9),0)</f>
        <v>0</v>
      </c>
      <c r="AH2585" s="105">
        <f>IF($AA$2452&gt;0,IPMT('Assumptions (Battery)'!$V$7,Model!AD$1,'Assumptions (Battery)'!$V$10,'Assumptions (Battery)'!$V$5*Model!$AA$2452*'Assumptions (Battery)'!$Y$2/10^9),0)</f>
        <v>0</v>
      </c>
      <c r="AI2585" s="105">
        <f>IF($AA$2452&gt;0,IPMT('Assumptions (Battery)'!$V$7,Model!AE$1,'Assumptions (Battery)'!$V$10,'Assumptions (Battery)'!$V$5*Model!$AA$2452*'Assumptions (Battery)'!$Y$2/10^9),0)</f>
        <v>0</v>
      </c>
      <c r="AJ2585" s="105">
        <f>IF($AA$2452&gt;0,IPMT('Assumptions (Battery)'!$V$7,Model!AF$1,'Assumptions (Battery)'!$V$10,'Assumptions (Battery)'!$V$5*Model!$AA$2452*'Assumptions (Battery)'!$Y$2/10^9),0)</f>
        <v>0</v>
      </c>
      <c r="AK2585" s="105">
        <f>IF($AA$2452&gt;0,IPMT('Assumptions (Battery)'!$V$7,Model!AG$1,'Assumptions (Battery)'!$V$10,'Assumptions (Battery)'!$V$5*Model!$AA$2452*'Assumptions (Battery)'!$Y$2/10^9),0)</f>
        <v>0</v>
      </c>
      <c r="AL2585" s="105">
        <f>IF($AA$2452&gt;0,IPMT('Assumptions (Battery)'!$V$7,Model!AH$1,'Assumptions (Battery)'!$V$10,'Assumptions (Battery)'!$V$5*Model!$AA$2452*'Assumptions (Battery)'!$Y$2/10^9),0)</f>
        <v>0</v>
      </c>
      <c r="AM2585" s="105">
        <f>IF($AA$2452&gt;0,IPMT('Assumptions (Battery)'!$V$7,Model!AI$1,'Assumptions (Battery)'!$V$10,'Assumptions (Battery)'!$V$5*Model!$AA$2452*'Assumptions (Battery)'!$Y$2/10^9),0)</f>
        <v>0</v>
      </c>
      <c r="AN2585" s="105">
        <f>IF($AA$2452&gt;0,IPMT('Assumptions (Battery)'!$V$7,Model!AJ$1,'Assumptions (Battery)'!$V$10,'Assumptions (Battery)'!$V$5*Model!$AA$2452*'Assumptions (Battery)'!$Y$2/10^9),0)</f>
        <v>0</v>
      </c>
      <c r="AO2585" s="105">
        <f>IF($AA$2452&gt;0,IPMT('Assumptions (Battery)'!$V$7,Model!AK$1,'Assumptions (Battery)'!$V$10,'Assumptions (Battery)'!$V$5*Model!$AA$2452*'Assumptions (Battery)'!$Y$2/10^9),0)</f>
        <v>0</v>
      </c>
      <c r="AP2585" s="105"/>
      <c r="AQ2585" s="105"/>
      <c r="AR2585" s="105"/>
      <c r="AS2585" s="105"/>
      <c r="AT2585" s="105"/>
      <c r="AU2585" s="105"/>
      <c r="AV2585" s="105"/>
      <c r="AW2585" s="105"/>
      <c r="AX2585" s="105"/>
      <c r="AY2585" s="105"/>
      <c r="AZ2585" s="105"/>
      <c r="BA2585" s="105"/>
    </row>
    <row r="2586" spans="1:58" ht="15.75" hidden="1" customHeight="1" outlineLevel="1">
      <c r="A2586" s="454"/>
      <c r="B2586" s="99"/>
      <c r="C2586" s="99"/>
      <c r="D2586" s="99"/>
      <c r="E2586" s="99"/>
      <c r="F2586" s="99"/>
      <c r="G2586" s="99"/>
      <c r="H2586" s="99"/>
      <c r="I2586" s="99"/>
      <c r="J2586" s="99"/>
      <c r="K2586" s="99"/>
      <c r="L2586" s="99"/>
      <c r="M2586" s="99"/>
      <c r="N2586" s="99"/>
      <c r="O2586" s="99"/>
      <c r="P2586" s="99"/>
      <c r="Q2586" s="99"/>
      <c r="R2586" s="99"/>
      <c r="S2586" s="99"/>
      <c r="T2586" s="99"/>
      <c r="U2586" s="99"/>
      <c r="V2586" s="99"/>
      <c r="W2586" s="105"/>
      <c r="X2586" s="105"/>
      <c r="Y2586" s="105"/>
      <c r="Z2586" s="105"/>
      <c r="AA2586" s="105"/>
      <c r="AB2586" s="105">
        <f>IF($AB$2452&gt;0,IPMT('Assumptions (Battery)'!$V$7,Model!W$1,'Assumptions (Battery)'!$V$10,'Assumptions (Battery)'!$V$5*Model!$AB$2452*'Assumptions (Battery)'!$Z$2/10^9),0)</f>
        <v>0</v>
      </c>
      <c r="AC2586" s="105">
        <f>IF($AB$2452&gt;0,IPMT('Assumptions (Battery)'!$V$7,Model!X$1,'Assumptions (Battery)'!$V$10,'Assumptions (Battery)'!$V$5*Model!$AB$2452*'Assumptions (Battery)'!$Z$2/10^9),0)</f>
        <v>0</v>
      </c>
      <c r="AD2586" s="105">
        <f>IF($AB$2452&gt;0,IPMT('Assumptions (Battery)'!$V$7,Model!Y$1,'Assumptions (Battery)'!$V$10,'Assumptions (Battery)'!$V$5*Model!$AB$2452*'Assumptions (Battery)'!$Z$2/10^9),0)</f>
        <v>0</v>
      </c>
      <c r="AE2586" s="105">
        <f>IF($AB$2452&gt;0,IPMT('Assumptions (Battery)'!$V$7,Model!Z$1,'Assumptions (Battery)'!$V$10,'Assumptions (Battery)'!$V$5*Model!$AB$2452*'Assumptions (Battery)'!$Z$2/10^9),0)</f>
        <v>0</v>
      </c>
      <c r="AF2586" s="105">
        <f>IF($AB$2452&gt;0,IPMT('Assumptions (Battery)'!$V$7,Model!AA$1,'Assumptions (Battery)'!$V$10,'Assumptions (Battery)'!$V$5*Model!$AB$2452*'Assumptions (Battery)'!$Z$2/10^9),0)</f>
        <v>0</v>
      </c>
      <c r="AG2586" s="105">
        <f>IF($AB$2452&gt;0,IPMT('Assumptions (Battery)'!$V$7,Model!AB$1,'Assumptions (Battery)'!$V$10,'Assumptions (Battery)'!$V$5*Model!$AB$2452*'Assumptions (Battery)'!$Z$2/10^9),0)</f>
        <v>0</v>
      </c>
      <c r="AH2586" s="105">
        <f>IF($AB$2452&gt;0,IPMT('Assumptions (Battery)'!$V$7,Model!AC$1,'Assumptions (Battery)'!$V$10,'Assumptions (Battery)'!$V$5*Model!$AB$2452*'Assumptions (Battery)'!$Z$2/10^9),0)</f>
        <v>0</v>
      </c>
      <c r="AI2586" s="105">
        <f>IF($AB$2452&gt;0,IPMT('Assumptions (Battery)'!$V$7,Model!AD$1,'Assumptions (Battery)'!$V$10,'Assumptions (Battery)'!$V$5*Model!$AB$2452*'Assumptions (Battery)'!$Z$2/10^9),0)</f>
        <v>0</v>
      </c>
      <c r="AJ2586" s="105">
        <f>IF($AB$2452&gt;0,IPMT('Assumptions (Battery)'!$V$7,Model!AE$1,'Assumptions (Battery)'!$V$10,'Assumptions (Battery)'!$V$5*Model!$AB$2452*'Assumptions (Battery)'!$Z$2/10^9),0)</f>
        <v>0</v>
      </c>
      <c r="AK2586" s="105">
        <f>IF($AB$2452&gt;0,IPMT('Assumptions (Battery)'!$V$7,Model!AF$1,'Assumptions (Battery)'!$V$10,'Assumptions (Battery)'!$V$5*Model!$AB$2452*'Assumptions (Battery)'!$Z$2/10^9),0)</f>
        <v>0</v>
      </c>
      <c r="AL2586" s="105">
        <f>IF($AB$2452&gt;0,IPMT('Assumptions (Battery)'!$V$7,Model!AG$1,'Assumptions (Battery)'!$V$10,'Assumptions (Battery)'!$V$5*Model!$AB$2452*'Assumptions (Battery)'!$Z$2/10^9),0)</f>
        <v>0</v>
      </c>
      <c r="AM2586" s="105">
        <f>IF($AB$2452&gt;0,IPMT('Assumptions (Battery)'!$V$7,Model!AH$1,'Assumptions (Battery)'!$V$10,'Assumptions (Battery)'!$V$5*Model!$AB$2452*'Assumptions (Battery)'!$Z$2/10^9),0)</f>
        <v>0</v>
      </c>
      <c r="AN2586" s="105">
        <f>IF($AB$2452&gt;0,IPMT('Assumptions (Battery)'!$V$7,Model!AI$1,'Assumptions (Battery)'!$V$10,'Assumptions (Battery)'!$V$5*Model!$AB$2452*'Assumptions (Battery)'!$Z$2/10^9),0)</f>
        <v>0</v>
      </c>
      <c r="AO2586" s="105">
        <f>IF($AB$2452&gt;0,IPMT('Assumptions (Battery)'!$V$7,Model!AJ$1,'Assumptions (Battery)'!$V$10,'Assumptions (Battery)'!$V$5*Model!$AB$2452*'Assumptions (Battery)'!$Z$2/10^9),0)</f>
        <v>0</v>
      </c>
      <c r="AP2586" s="105">
        <f>IF($AB$2452&gt;0,IPMT('Assumptions (Battery)'!$V$7,Model!AK$1,'Assumptions (Battery)'!$V$10,'Assumptions (Battery)'!$V$5*Model!$AB$2452*'Assumptions (Battery)'!$Z$2/10^9),0)</f>
        <v>0</v>
      </c>
      <c r="AQ2586" s="105"/>
      <c r="AR2586" s="105"/>
      <c r="AS2586" s="105"/>
      <c r="AT2586" s="105"/>
      <c r="AU2586" s="105"/>
      <c r="AV2586" s="105"/>
      <c r="AW2586" s="105"/>
      <c r="AX2586" s="105"/>
      <c r="AY2586" s="105"/>
      <c r="AZ2586" s="105"/>
      <c r="BA2586" s="105"/>
    </row>
    <row r="2587" spans="1:58" ht="15.75" hidden="1" customHeight="1" outlineLevel="1">
      <c r="A2587" s="454"/>
      <c r="B2587" s="99"/>
      <c r="C2587" s="99"/>
      <c r="D2587" s="99"/>
      <c r="E2587" s="99"/>
      <c r="F2587" s="99"/>
      <c r="G2587" s="99"/>
      <c r="H2587" s="99"/>
      <c r="I2587" s="99"/>
      <c r="J2587" s="99"/>
      <c r="K2587" s="99"/>
      <c r="L2587" s="99"/>
      <c r="M2587" s="99"/>
      <c r="N2587" s="99"/>
      <c r="O2587" s="99"/>
      <c r="P2587" s="99"/>
      <c r="Q2587" s="99"/>
      <c r="R2587" s="99"/>
      <c r="S2587" s="99"/>
      <c r="T2587" s="99"/>
      <c r="U2587" s="99"/>
      <c r="V2587" s="99"/>
      <c r="W2587" s="105"/>
      <c r="X2587" s="105"/>
      <c r="Y2587" s="105"/>
      <c r="Z2587" s="105"/>
      <c r="AA2587" s="105"/>
      <c r="AB2587" s="105"/>
      <c r="AC2587" s="105">
        <f>IF($AC$2452&gt;0,IPMT('Assumptions (Battery)'!$V$7,Model!W$1,'Assumptions (Battery)'!$V$10,'Assumptions (Battery)'!$V$5*Model!$AC$2452*'Assumptions (Battery)'!$AA$2/10^9),0)</f>
        <v>0</v>
      </c>
      <c r="AD2587" s="105">
        <f>IF($AC$2452&gt;0,IPMT('Assumptions (Battery)'!$V$7,Model!X$1,'Assumptions (Battery)'!$V$10,'Assumptions (Battery)'!$V$5*Model!$AC$2452*'Assumptions (Battery)'!$AA$2/10^9),0)</f>
        <v>0</v>
      </c>
      <c r="AE2587" s="105">
        <f>IF($AC$2452&gt;0,IPMT('Assumptions (Battery)'!$V$7,Model!Y$1,'Assumptions (Battery)'!$V$10,'Assumptions (Battery)'!$V$5*Model!$AC$2452*'Assumptions (Battery)'!$AA$2/10^9),0)</f>
        <v>0</v>
      </c>
      <c r="AF2587" s="105">
        <f>IF($AC$2452&gt;0,IPMT('Assumptions (Battery)'!$V$7,Model!Z$1,'Assumptions (Battery)'!$V$10,'Assumptions (Battery)'!$V$5*Model!$AC$2452*'Assumptions (Battery)'!$AA$2/10^9),0)</f>
        <v>0</v>
      </c>
      <c r="AG2587" s="105">
        <f>IF($AC$2452&gt;0,IPMT('Assumptions (Battery)'!$V$7,Model!AA$1,'Assumptions (Battery)'!$V$10,'Assumptions (Battery)'!$V$5*Model!$AC$2452*'Assumptions (Battery)'!$AA$2/10^9),0)</f>
        <v>0</v>
      </c>
      <c r="AH2587" s="105">
        <f>IF($AC$2452&gt;0,IPMT('Assumptions (Battery)'!$V$7,Model!AB$1,'Assumptions (Battery)'!$V$10,'Assumptions (Battery)'!$V$5*Model!$AC$2452*'Assumptions (Battery)'!$AA$2/10^9),0)</f>
        <v>0</v>
      </c>
      <c r="AI2587" s="105">
        <f>IF($AC$2452&gt;0,IPMT('Assumptions (Battery)'!$V$7,Model!AC$1,'Assumptions (Battery)'!$V$10,'Assumptions (Battery)'!$V$5*Model!$AC$2452*'Assumptions (Battery)'!$AA$2/10^9),0)</f>
        <v>0</v>
      </c>
      <c r="AJ2587" s="105">
        <f>IF($AC$2452&gt;0,IPMT('Assumptions (Battery)'!$V$7,Model!AD$1,'Assumptions (Battery)'!$V$10,'Assumptions (Battery)'!$V$5*Model!$AC$2452*'Assumptions (Battery)'!$AA$2/10^9),0)</f>
        <v>0</v>
      </c>
      <c r="AK2587" s="105">
        <f>IF($AC$2452&gt;0,IPMT('Assumptions (Battery)'!$V$7,Model!AE$1,'Assumptions (Battery)'!$V$10,'Assumptions (Battery)'!$V$5*Model!$AC$2452*'Assumptions (Battery)'!$AA$2/10^9),0)</f>
        <v>0</v>
      </c>
      <c r="AL2587" s="105">
        <f>IF($AC$2452&gt;0,IPMT('Assumptions (Battery)'!$V$7,Model!AF$1,'Assumptions (Battery)'!$V$10,'Assumptions (Battery)'!$V$5*Model!$AC$2452*'Assumptions (Battery)'!$AA$2/10^9),0)</f>
        <v>0</v>
      </c>
      <c r="AM2587" s="105">
        <f>IF($AC$2452&gt;0,IPMT('Assumptions (Battery)'!$V$7,Model!AG$1,'Assumptions (Battery)'!$V$10,'Assumptions (Battery)'!$V$5*Model!$AC$2452*'Assumptions (Battery)'!$AA$2/10^9),0)</f>
        <v>0</v>
      </c>
      <c r="AN2587" s="105">
        <f>IF($AC$2452&gt;0,IPMT('Assumptions (Battery)'!$V$7,Model!AH$1,'Assumptions (Battery)'!$V$10,'Assumptions (Battery)'!$V$5*Model!$AC$2452*'Assumptions (Battery)'!$AA$2/10^9),0)</f>
        <v>0</v>
      </c>
      <c r="AO2587" s="105">
        <f>IF($AC$2452&gt;0,IPMT('Assumptions (Battery)'!$V$7,Model!AI$1,'Assumptions (Battery)'!$V$10,'Assumptions (Battery)'!$V$5*Model!$AC$2452*'Assumptions (Battery)'!$AA$2/10^9),0)</f>
        <v>0</v>
      </c>
      <c r="AP2587" s="105">
        <f>IF($AC$2452&gt;0,IPMT('Assumptions (Battery)'!$V$7,Model!AJ$1,'Assumptions (Battery)'!$V$10,'Assumptions (Battery)'!$V$5*Model!$AC$2452*'Assumptions (Battery)'!$AA$2/10^9),0)</f>
        <v>0</v>
      </c>
      <c r="AQ2587" s="105">
        <f>IF($AC$2452&gt;0,IPMT('Assumptions (Battery)'!$V$7,Model!AK$1,'Assumptions (Battery)'!$V$10,'Assumptions (Battery)'!$V$5*Model!$AC$2452*'Assumptions (Battery)'!$AA$2/10^9),0)</f>
        <v>0</v>
      </c>
      <c r="AR2587" s="105"/>
      <c r="AS2587" s="105"/>
      <c r="AT2587" s="105"/>
      <c r="AU2587" s="105"/>
      <c r="AV2587" s="105"/>
      <c r="AW2587" s="105"/>
      <c r="AX2587" s="105"/>
      <c r="AY2587" s="105"/>
      <c r="AZ2587" s="105"/>
      <c r="BA2587" s="105"/>
    </row>
    <row r="2588" spans="1:58" ht="15.75" hidden="1" customHeight="1" outlineLevel="1">
      <c r="A2588" s="454"/>
      <c r="B2588" s="99"/>
      <c r="C2588" s="99"/>
      <c r="D2588" s="99"/>
      <c r="E2588" s="99"/>
      <c r="F2588" s="99"/>
      <c r="G2588" s="99"/>
      <c r="H2588" s="99"/>
      <c r="I2588" s="99"/>
      <c r="J2588" s="99"/>
      <c r="K2588" s="99"/>
      <c r="L2588" s="99"/>
      <c r="M2588" s="99"/>
      <c r="N2588" s="99"/>
      <c r="O2588" s="99"/>
      <c r="P2588" s="99"/>
      <c r="Q2588" s="99"/>
      <c r="R2588" s="99"/>
      <c r="S2588" s="99"/>
      <c r="T2588" s="99"/>
      <c r="U2588" s="99"/>
      <c r="V2588" s="99"/>
      <c r="W2588" s="105"/>
      <c r="X2588" s="105"/>
      <c r="Y2588" s="105"/>
      <c r="Z2588" s="105"/>
      <c r="AA2588" s="105"/>
      <c r="AB2588" s="105"/>
      <c r="AC2588" s="105"/>
      <c r="AD2588" s="105">
        <f>IF($AD$2452&gt;0,IPMT('Assumptions (Battery)'!$V$7,Model!W$1,'Assumptions (Battery)'!$V$10,'Assumptions (Battery)'!$V$5*Model!$AD$2452*'Assumptions (Battery)'!$AB$2/10^9),0)</f>
        <v>0</v>
      </c>
      <c r="AE2588" s="105">
        <f>IF($AD$2452&gt;0,IPMT('Assumptions (Battery)'!$V$7,Model!X$1,'Assumptions (Battery)'!$V$10,'Assumptions (Battery)'!$V$5*Model!$AD$2452*'Assumptions (Battery)'!$AB$2/10^9),0)</f>
        <v>0</v>
      </c>
      <c r="AF2588" s="105">
        <f>IF($AD$2452&gt;0,IPMT('Assumptions (Battery)'!$V$7,Model!Y$1,'Assumptions (Battery)'!$V$10,'Assumptions (Battery)'!$V$5*Model!$AD$2452*'Assumptions (Battery)'!$AB$2/10^9),0)</f>
        <v>0</v>
      </c>
      <c r="AG2588" s="105">
        <f>IF($AD$2452&gt;0,IPMT('Assumptions (Battery)'!$V$7,Model!Z$1,'Assumptions (Battery)'!$V$10,'Assumptions (Battery)'!$V$5*Model!$AD$2452*'Assumptions (Battery)'!$AB$2/10^9),0)</f>
        <v>0</v>
      </c>
      <c r="AH2588" s="105">
        <f>IF($AD$2452&gt;0,IPMT('Assumptions (Battery)'!$V$7,Model!AA$1,'Assumptions (Battery)'!$V$10,'Assumptions (Battery)'!$V$5*Model!$AD$2452*'Assumptions (Battery)'!$AB$2/10^9),0)</f>
        <v>0</v>
      </c>
      <c r="AI2588" s="105">
        <f>IF($AD$2452&gt;0,IPMT('Assumptions (Battery)'!$V$7,Model!AB$1,'Assumptions (Battery)'!$V$10,'Assumptions (Battery)'!$V$5*Model!$AD$2452*'Assumptions (Battery)'!$AB$2/10^9),0)</f>
        <v>0</v>
      </c>
      <c r="AJ2588" s="105">
        <f>IF($AD$2452&gt;0,IPMT('Assumptions (Battery)'!$V$7,Model!AC$1,'Assumptions (Battery)'!$V$10,'Assumptions (Battery)'!$V$5*Model!$AD$2452*'Assumptions (Battery)'!$AB$2/10^9),0)</f>
        <v>0</v>
      </c>
      <c r="AK2588" s="105">
        <f>IF($AD$2452&gt;0,IPMT('Assumptions (Battery)'!$V$7,Model!AD$1,'Assumptions (Battery)'!$V$10,'Assumptions (Battery)'!$V$5*Model!$AD$2452*'Assumptions (Battery)'!$AB$2/10^9),0)</f>
        <v>0</v>
      </c>
      <c r="AL2588" s="105">
        <f>IF($AD$2452&gt;0,IPMT('Assumptions (Battery)'!$V$7,Model!AE$1,'Assumptions (Battery)'!$V$10,'Assumptions (Battery)'!$V$5*Model!$AD$2452*'Assumptions (Battery)'!$AB$2/10^9),0)</f>
        <v>0</v>
      </c>
      <c r="AM2588" s="105">
        <f>IF($AD$2452&gt;0,IPMT('Assumptions (Battery)'!$V$7,Model!AF$1,'Assumptions (Battery)'!$V$10,'Assumptions (Battery)'!$V$5*Model!$AD$2452*'Assumptions (Battery)'!$AB$2/10^9),0)</f>
        <v>0</v>
      </c>
      <c r="AN2588" s="105">
        <f>IF($AD$2452&gt;0,IPMT('Assumptions (Battery)'!$V$7,Model!AG$1,'Assumptions (Battery)'!$V$10,'Assumptions (Battery)'!$V$5*Model!$AD$2452*'Assumptions (Battery)'!$AB$2/10^9),0)</f>
        <v>0</v>
      </c>
      <c r="AO2588" s="105">
        <f>IF($AD$2452&gt;0,IPMT('Assumptions (Battery)'!$V$7,Model!AH$1,'Assumptions (Battery)'!$V$10,'Assumptions (Battery)'!$V$5*Model!$AD$2452*'Assumptions (Battery)'!$AB$2/10^9),0)</f>
        <v>0</v>
      </c>
      <c r="AP2588" s="105">
        <f>IF($AD$2452&gt;0,IPMT('Assumptions (Battery)'!$V$7,Model!AI$1,'Assumptions (Battery)'!$V$10,'Assumptions (Battery)'!$V$5*Model!$AD$2452*'Assumptions (Battery)'!$AB$2/10^9),0)</f>
        <v>0</v>
      </c>
      <c r="AQ2588" s="105">
        <f>IF($AD$2452&gt;0,IPMT('Assumptions (Battery)'!$V$7,Model!AJ$1,'Assumptions (Battery)'!$V$10,'Assumptions (Battery)'!$V$5*Model!$AD$2452*'Assumptions (Battery)'!$AB$2/10^9),0)</f>
        <v>0</v>
      </c>
      <c r="AR2588" s="105">
        <f>IF($AD$2452&gt;0,IPMT('Assumptions (Battery)'!$V$7,Model!AK$1,'Assumptions (Battery)'!$V$10,'Assumptions (Battery)'!$V$5*Model!$AD$2452*'Assumptions (Battery)'!$AB$2/10^9),0)</f>
        <v>0</v>
      </c>
      <c r="AS2588" s="105"/>
      <c r="AT2588" s="105"/>
      <c r="AU2588" s="105"/>
      <c r="AV2588" s="105"/>
      <c r="AW2588" s="105"/>
      <c r="AX2588" s="105"/>
      <c r="AY2588" s="105"/>
      <c r="AZ2588" s="105"/>
      <c r="BA2588" s="105"/>
      <c r="BB2588" s="105"/>
    </row>
    <row r="2589" spans="1:58" ht="15.75" hidden="1" customHeight="1" outlineLevel="1">
      <c r="A2589" s="454"/>
      <c r="B2589" s="99"/>
      <c r="C2589" s="99"/>
      <c r="D2589" s="99"/>
      <c r="E2589" s="99"/>
      <c r="F2589" s="99"/>
      <c r="G2589" s="99"/>
      <c r="H2589" s="99"/>
      <c r="I2589" s="99"/>
      <c r="J2589" s="99"/>
      <c r="K2589" s="99"/>
      <c r="L2589" s="99"/>
      <c r="M2589" s="99"/>
      <c r="N2589" s="99"/>
      <c r="O2589" s="99"/>
      <c r="P2589" s="99"/>
      <c r="Q2589" s="99"/>
      <c r="R2589" s="99"/>
      <c r="S2589" s="99"/>
      <c r="T2589" s="99"/>
      <c r="U2589" s="99"/>
      <c r="V2589" s="99"/>
      <c r="W2589" s="105"/>
      <c r="X2589" s="105"/>
      <c r="Y2589" s="105"/>
      <c r="Z2589" s="105"/>
      <c r="AA2589" s="105"/>
      <c r="AB2589" s="105"/>
      <c r="AC2589" s="105"/>
      <c r="AD2589" s="105"/>
      <c r="AE2589" s="105">
        <f>IF($AE$2452&gt;0,IPMT('Assumptions (Battery)'!$V$7,Model!W$1,'Assumptions (Battery)'!$V$10,'Assumptions (Battery)'!$V$5*Model!$AE$2452*'Assumptions (Battery)'!$AC$2/10^9),0)</f>
        <v>0</v>
      </c>
      <c r="AF2589" s="105">
        <f>IF($AE$2452&gt;0,IPMT('Assumptions (Battery)'!$V$7,Model!X$1,'Assumptions (Battery)'!$V$10,'Assumptions (Battery)'!$V$5*Model!$AE$2452*'Assumptions (Battery)'!$AC$2/10^9),0)</f>
        <v>0</v>
      </c>
      <c r="AG2589" s="105">
        <f>IF($AE$2452&gt;0,IPMT('Assumptions (Battery)'!$V$7,Model!Y$1,'Assumptions (Battery)'!$V$10,'Assumptions (Battery)'!$V$5*Model!$AE$2452*'Assumptions (Battery)'!$AC$2/10^9),0)</f>
        <v>0</v>
      </c>
      <c r="AH2589" s="105">
        <f>IF($AE$2452&gt;0,IPMT('Assumptions (Battery)'!$V$7,Model!Z$1,'Assumptions (Battery)'!$V$10,'Assumptions (Battery)'!$V$5*Model!$AE$2452*'Assumptions (Battery)'!$AC$2/10^9),0)</f>
        <v>0</v>
      </c>
      <c r="AI2589" s="105">
        <f>IF($AE$2452&gt;0,IPMT('Assumptions (Battery)'!$V$7,Model!AA$1,'Assumptions (Battery)'!$V$10,'Assumptions (Battery)'!$V$5*Model!$AE$2452*'Assumptions (Battery)'!$AC$2/10^9),0)</f>
        <v>0</v>
      </c>
      <c r="AJ2589" s="105">
        <f>IF($AE$2452&gt;0,IPMT('Assumptions (Battery)'!$V$7,Model!AB$1,'Assumptions (Battery)'!$V$10,'Assumptions (Battery)'!$V$5*Model!$AE$2452*'Assumptions (Battery)'!$AC$2/10^9),0)</f>
        <v>0</v>
      </c>
      <c r="AK2589" s="105">
        <f>IF($AE$2452&gt;0,IPMT('Assumptions (Battery)'!$V$7,Model!AC$1,'Assumptions (Battery)'!$V$10,'Assumptions (Battery)'!$V$5*Model!$AE$2452*'Assumptions (Battery)'!$AC$2/10^9),0)</f>
        <v>0</v>
      </c>
      <c r="AL2589" s="105">
        <f>IF($AE$2452&gt;0,IPMT('Assumptions (Battery)'!$V$7,Model!AD$1,'Assumptions (Battery)'!$V$10,'Assumptions (Battery)'!$V$5*Model!$AE$2452*'Assumptions (Battery)'!$AC$2/10^9),0)</f>
        <v>0</v>
      </c>
      <c r="AM2589" s="105">
        <f>IF($AE$2452&gt;0,IPMT('Assumptions (Battery)'!$V$7,Model!AE$1,'Assumptions (Battery)'!$V$10,'Assumptions (Battery)'!$V$5*Model!$AE$2452*'Assumptions (Battery)'!$AC$2/10^9),0)</f>
        <v>0</v>
      </c>
      <c r="AN2589" s="105">
        <f>IF($AE$2452&gt;0,IPMT('Assumptions (Battery)'!$V$7,Model!AF$1,'Assumptions (Battery)'!$V$10,'Assumptions (Battery)'!$V$5*Model!$AE$2452*'Assumptions (Battery)'!$AC$2/10^9),0)</f>
        <v>0</v>
      </c>
      <c r="AO2589" s="105">
        <f>IF($AE$2452&gt;0,IPMT('Assumptions (Battery)'!$V$7,Model!AG$1,'Assumptions (Battery)'!$V$10,'Assumptions (Battery)'!$V$5*Model!$AE$2452*'Assumptions (Battery)'!$AC$2/10^9),0)</f>
        <v>0</v>
      </c>
      <c r="AP2589" s="105">
        <f>IF($AE$2452&gt;0,IPMT('Assumptions (Battery)'!$V$7,Model!AH$1,'Assumptions (Battery)'!$V$10,'Assumptions (Battery)'!$V$5*Model!$AE$2452*'Assumptions (Battery)'!$AC$2/10^9),0)</f>
        <v>0</v>
      </c>
      <c r="AQ2589" s="105">
        <f>IF($AE$2452&gt;0,IPMT('Assumptions (Battery)'!$V$7,Model!AI$1,'Assumptions (Battery)'!$V$10,'Assumptions (Battery)'!$V$5*Model!$AE$2452*'Assumptions (Battery)'!$AC$2/10^9),0)</f>
        <v>0</v>
      </c>
      <c r="AR2589" s="105">
        <f>IF($AE$2452&gt;0,IPMT('Assumptions (Battery)'!$V$7,Model!AJ$1,'Assumptions (Battery)'!$V$10,'Assumptions (Battery)'!$V$5*Model!$AE$2452*'Assumptions (Battery)'!$AC$2/10^9),0)</f>
        <v>0</v>
      </c>
      <c r="AS2589" s="105">
        <f>IF($AE$2452&gt;0,IPMT('Assumptions (Battery)'!$V$7,Model!AK$1,'Assumptions (Battery)'!$V$10,'Assumptions (Battery)'!$V$5*Model!$AE$2452*'Assumptions (Battery)'!$AC$2/10^9),0)</f>
        <v>0</v>
      </c>
      <c r="AT2589" s="105"/>
      <c r="AU2589" s="105"/>
      <c r="AV2589" s="105"/>
      <c r="AW2589" s="105"/>
      <c r="AX2589" s="105"/>
      <c r="AY2589" s="105"/>
      <c r="AZ2589" s="105"/>
      <c r="BA2589" s="105"/>
      <c r="BB2589" s="105"/>
      <c r="BC2589" s="105"/>
    </row>
    <row r="2590" spans="1:58" ht="15.75" hidden="1" customHeight="1" outlineLevel="1">
      <c r="A2590" s="454"/>
      <c r="B2590" s="99"/>
      <c r="C2590" s="99"/>
      <c r="D2590" s="99"/>
      <c r="E2590" s="99"/>
      <c r="F2590" s="99"/>
      <c r="G2590" s="99"/>
      <c r="H2590" s="99"/>
      <c r="I2590" s="99"/>
      <c r="J2590" s="99"/>
      <c r="K2590" s="99"/>
      <c r="L2590" s="99"/>
      <c r="M2590" s="99"/>
      <c r="N2590" s="99"/>
      <c r="O2590" s="99"/>
      <c r="P2590" s="99"/>
      <c r="Q2590" s="99"/>
      <c r="R2590" s="99"/>
      <c r="S2590" s="99"/>
      <c r="T2590" s="99"/>
      <c r="U2590" s="99"/>
      <c r="V2590" s="99"/>
      <c r="W2590" s="105"/>
      <c r="X2590" s="105"/>
      <c r="Y2590" s="105"/>
      <c r="Z2590" s="105"/>
      <c r="AA2590" s="105"/>
      <c r="AB2590" s="105"/>
      <c r="AC2590" s="105"/>
      <c r="AD2590" s="105"/>
      <c r="AE2590" s="105"/>
      <c r="AF2590" s="105">
        <f>IF($AF$2452&gt;0,IPMT('Assumptions (Battery)'!$V$7,Model!W$1,'Assumptions (Battery)'!$V$10,'Assumptions (Battery)'!$V$5*Model!$AF$2452*'Assumptions (Battery)'!$AD$2/10^9),0)</f>
        <v>0</v>
      </c>
      <c r="AG2590" s="105">
        <f>IF($AF$2452&gt;0,IPMT('Assumptions (Battery)'!$V$7,Model!X$1,'Assumptions (Battery)'!$V$10,'Assumptions (Battery)'!$V$5*Model!$AF$2452*'Assumptions (Battery)'!$AD$2/10^9),0)</f>
        <v>0</v>
      </c>
      <c r="AH2590" s="105">
        <f>IF($AF$2452&gt;0,IPMT('Assumptions (Battery)'!$V$7,Model!Y$1,'Assumptions (Battery)'!$V$10,'Assumptions (Battery)'!$V$5*Model!$AF$2452*'Assumptions (Battery)'!$AD$2/10^9),0)</f>
        <v>0</v>
      </c>
      <c r="AI2590" s="105">
        <f>IF($AF$2452&gt;0,IPMT('Assumptions (Battery)'!$V$7,Model!Z$1,'Assumptions (Battery)'!$V$10,'Assumptions (Battery)'!$V$5*Model!$AF$2452*'Assumptions (Battery)'!$AD$2/10^9),0)</f>
        <v>0</v>
      </c>
      <c r="AJ2590" s="105">
        <f>IF($AF$2452&gt;0,IPMT('Assumptions (Battery)'!$V$7,Model!AA$1,'Assumptions (Battery)'!$V$10,'Assumptions (Battery)'!$V$5*Model!$AF$2452*'Assumptions (Battery)'!$AD$2/10^9),0)</f>
        <v>0</v>
      </c>
      <c r="AK2590" s="105">
        <f>IF($AF$2452&gt;0,IPMT('Assumptions (Battery)'!$V$7,Model!AB$1,'Assumptions (Battery)'!$V$10,'Assumptions (Battery)'!$V$5*Model!$AF$2452*'Assumptions (Battery)'!$AD$2/10^9),0)</f>
        <v>0</v>
      </c>
      <c r="AL2590" s="105">
        <f>IF($AF$2452&gt;0,IPMT('Assumptions (Battery)'!$V$7,Model!AC$1,'Assumptions (Battery)'!$V$10,'Assumptions (Battery)'!$V$5*Model!$AF$2452*'Assumptions (Battery)'!$AD$2/10^9),0)</f>
        <v>0</v>
      </c>
      <c r="AM2590" s="105">
        <f>IF($AF$2452&gt;0,IPMT('Assumptions (Battery)'!$V$7,Model!AD$1,'Assumptions (Battery)'!$V$10,'Assumptions (Battery)'!$V$5*Model!$AF$2452*'Assumptions (Battery)'!$AD$2/10^9),0)</f>
        <v>0</v>
      </c>
      <c r="AN2590" s="105">
        <f>IF($AF$2452&gt;0,IPMT('Assumptions (Battery)'!$V$7,Model!AE$1,'Assumptions (Battery)'!$V$10,'Assumptions (Battery)'!$V$5*Model!$AF$2452*'Assumptions (Battery)'!$AD$2/10^9),0)</f>
        <v>0</v>
      </c>
      <c r="AO2590" s="105">
        <f>IF($AF$2452&gt;0,IPMT('Assumptions (Battery)'!$V$7,Model!AF$1,'Assumptions (Battery)'!$V$10,'Assumptions (Battery)'!$V$5*Model!$AF$2452*'Assumptions (Battery)'!$AD$2/10^9),0)</f>
        <v>0</v>
      </c>
      <c r="AP2590" s="105">
        <f>IF($AF$2452&gt;0,IPMT('Assumptions (Battery)'!$V$7,Model!AG$1,'Assumptions (Battery)'!$V$10,'Assumptions (Battery)'!$V$5*Model!$AF$2452*'Assumptions (Battery)'!$AD$2/10^9),0)</f>
        <v>0</v>
      </c>
      <c r="AQ2590" s="105">
        <f>IF($AF$2452&gt;0,IPMT('Assumptions (Battery)'!$V$7,Model!AH$1,'Assumptions (Battery)'!$V$10,'Assumptions (Battery)'!$V$5*Model!$AF$2452*'Assumptions (Battery)'!$AD$2/10^9),0)</f>
        <v>0</v>
      </c>
      <c r="AR2590" s="105">
        <f>IF($AF$2452&gt;0,IPMT('Assumptions (Battery)'!$V$7,Model!AI$1,'Assumptions (Battery)'!$V$10,'Assumptions (Battery)'!$V$5*Model!$AF$2452*'Assumptions (Battery)'!$AD$2/10^9),0)</f>
        <v>0</v>
      </c>
      <c r="AS2590" s="105">
        <f>IF($AF$2452&gt;0,IPMT('Assumptions (Battery)'!$V$7,Model!AJ$1,'Assumptions (Battery)'!$V$10,'Assumptions (Battery)'!$V$5*Model!$AF$2452*'Assumptions (Battery)'!$AD$2/10^9),0)</f>
        <v>0</v>
      </c>
      <c r="AT2590" s="105">
        <f>IF($AF$2452&gt;0,IPMT('Assumptions (Battery)'!$V$7,Model!AK$1,'Assumptions (Battery)'!$V$10,'Assumptions (Battery)'!$V$5*Model!$AF$2452*'Assumptions (Battery)'!$AD$2/10^9),0)</f>
        <v>0</v>
      </c>
      <c r="AU2590" s="105"/>
      <c r="AV2590" s="105"/>
      <c r="AW2590" s="105"/>
      <c r="AX2590" s="105"/>
      <c r="AY2590" s="105"/>
      <c r="AZ2590" s="105"/>
      <c r="BA2590" s="105"/>
      <c r="BB2590" s="105"/>
      <c r="BC2590" s="105"/>
      <c r="BD2590" s="105"/>
    </row>
    <row r="2591" spans="1:58" ht="15.75" hidden="1" customHeight="1" outlineLevel="1">
      <c r="A2591" s="454"/>
      <c r="B2591" s="99"/>
      <c r="C2591" s="99"/>
      <c r="D2591" s="99"/>
      <c r="E2591" s="99"/>
      <c r="F2591" s="99"/>
      <c r="G2591" s="99"/>
      <c r="H2591" s="99"/>
      <c r="I2591" s="99"/>
      <c r="J2591" s="99"/>
      <c r="K2591" s="99"/>
      <c r="L2591" s="99"/>
      <c r="M2591" s="99"/>
      <c r="N2591" s="99"/>
      <c r="O2591" s="99"/>
      <c r="P2591" s="99"/>
      <c r="Q2591" s="99"/>
      <c r="R2591" s="99"/>
      <c r="S2591" s="99"/>
      <c r="T2591" s="99"/>
      <c r="U2591" s="99"/>
      <c r="V2591" s="99"/>
      <c r="W2591" s="105"/>
      <c r="X2591" s="105"/>
      <c r="Y2591" s="105"/>
      <c r="Z2591" s="105"/>
      <c r="AA2591" s="105"/>
      <c r="AB2591" s="105"/>
      <c r="AC2591" s="105"/>
      <c r="AD2591" s="105"/>
      <c r="AE2591" s="105"/>
      <c r="AF2591" s="105"/>
      <c r="AG2591" s="105">
        <f>IF($AG$2452&gt;0,IPMT('Assumptions (Battery)'!$V$7,Model!W$1,'Assumptions (Battery)'!$V$10,'Assumptions (Battery)'!$V$5*Model!$AG$2452*'Assumptions (Battery)'!$AE$2/10^9),0)</f>
        <v>0</v>
      </c>
      <c r="AH2591" s="105">
        <f>IF($AG$2452&gt;0,IPMT('Assumptions (Battery)'!$V$7,Model!X$1,'Assumptions (Battery)'!$V$10,'Assumptions (Battery)'!$V$5*Model!$AG$2452*'Assumptions (Battery)'!$AE$2/10^9),0)</f>
        <v>0</v>
      </c>
      <c r="AI2591" s="105">
        <f>IF($AG$2452&gt;0,IPMT('Assumptions (Battery)'!$V$7,Model!Y$1,'Assumptions (Battery)'!$V$10,'Assumptions (Battery)'!$V$5*Model!$AG$2452*'Assumptions (Battery)'!$AE$2/10^9),0)</f>
        <v>0</v>
      </c>
      <c r="AJ2591" s="105">
        <f>IF($AG$2452&gt;0,IPMT('Assumptions (Battery)'!$V$7,Model!Z$1,'Assumptions (Battery)'!$V$10,'Assumptions (Battery)'!$V$5*Model!$AG$2452*'Assumptions (Battery)'!$AE$2/10^9),0)</f>
        <v>0</v>
      </c>
      <c r="AK2591" s="105">
        <f>IF($AG$2452&gt;0,IPMT('Assumptions (Battery)'!$V$7,Model!AA$1,'Assumptions (Battery)'!$V$10,'Assumptions (Battery)'!$V$5*Model!$AG$2452*'Assumptions (Battery)'!$AE$2/10^9),0)</f>
        <v>0</v>
      </c>
      <c r="AL2591" s="105">
        <f>IF($AG$2452&gt;0,IPMT('Assumptions (Battery)'!$V$7,Model!AB$1,'Assumptions (Battery)'!$V$10,'Assumptions (Battery)'!$V$5*Model!$AG$2452*'Assumptions (Battery)'!$AE$2/10^9),0)</f>
        <v>0</v>
      </c>
      <c r="AM2591" s="105">
        <f>IF($AG$2452&gt;0,IPMT('Assumptions (Battery)'!$V$7,Model!AC$1,'Assumptions (Battery)'!$V$10,'Assumptions (Battery)'!$V$5*Model!$AG$2452*'Assumptions (Battery)'!$AE$2/10^9),0)</f>
        <v>0</v>
      </c>
      <c r="AN2591" s="105">
        <f>IF($AG$2452&gt;0,IPMT('Assumptions (Battery)'!$V$7,Model!AD$1,'Assumptions (Battery)'!$V$10,'Assumptions (Battery)'!$V$5*Model!$AG$2452*'Assumptions (Battery)'!$AE$2/10^9),0)</f>
        <v>0</v>
      </c>
      <c r="AO2591" s="105">
        <f>IF($AG$2452&gt;0,IPMT('Assumptions (Battery)'!$V$7,Model!AE$1,'Assumptions (Battery)'!$V$10,'Assumptions (Battery)'!$V$5*Model!$AG$2452*'Assumptions (Battery)'!$AE$2/10^9),0)</f>
        <v>0</v>
      </c>
      <c r="AP2591" s="105">
        <f>IF($AG$2452&gt;0,IPMT('Assumptions (Battery)'!$V$7,Model!AF$1,'Assumptions (Battery)'!$V$10,'Assumptions (Battery)'!$V$5*Model!$AG$2452*'Assumptions (Battery)'!$AE$2/10^9),0)</f>
        <v>0</v>
      </c>
      <c r="AQ2591" s="105">
        <f>IF($AG$2452&gt;0,IPMT('Assumptions (Battery)'!$V$7,Model!AG$1,'Assumptions (Battery)'!$V$10,'Assumptions (Battery)'!$V$5*Model!$AG$2452*'Assumptions (Battery)'!$AE$2/10^9),0)</f>
        <v>0</v>
      </c>
      <c r="AR2591" s="105">
        <f>IF($AG$2452&gt;0,IPMT('Assumptions (Battery)'!$V$7,Model!AH$1,'Assumptions (Battery)'!$V$10,'Assumptions (Battery)'!$V$5*Model!$AG$2452*'Assumptions (Battery)'!$AE$2/10^9),0)</f>
        <v>0</v>
      </c>
      <c r="AS2591" s="105">
        <f>IF($AG$2452&gt;0,IPMT('Assumptions (Battery)'!$V$7,Model!AI$1,'Assumptions (Battery)'!$V$10,'Assumptions (Battery)'!$V$5*Model!$AG$2452*'Assumptions (Battery)'!$AE$2/10^9),0)</f>
        <v>0</v>
      </c>
      <c r="AT2591" s="105">
        <f>IF($AG$2452&gt;0,IPMT('Assumptions (Battery)'!$V$7,Model!AJ$1,'Assumptions (Battery)'!$V$10,'Assumptions (Battery)'!$V$5*Model!$AG$2452*'Assumptions (Battery)'!$AE$2/10^9),0)</f>
        <v>0</v>
      </c>
      <c r="AU2591" s="105">
        <f>IF($AG$2452&gt;0,IPMT('Assumptions (Battery)'!$V$7,Model!AK$1,'Assumptions (Battery)'!$V$10,'Assumptions (Battery)'!$V$5*Model!$AG$2452*'Assumptions (Battery)'!$AE$2/10^9),0)</f>
        <v>0</v>
      </c>
      <c r="AV2591" s="105"/>
      <c r="AW2591" s="105"/>
      <c r="AX2591" s="105"/>
      <c r="AY2591" s="105"/>
      <c r="AZ2591" s="105"/>
      <c r="BA2591" s="105"/>
      <c r="BB2591" s="105"/>
      <c r="BC2591" s="105"/>
      <c r="BD2591" s="105"/>
      <c r="BE2591" s="105"/>
    </row>
    <row r="2592" spans="1:58" ht="15.75" hidden="1" customHeight="1" outlineLevel="1">
      <c r="A2592" s="454"/>
      <c r="B2592" s="99"/>
      <c r="C2592" s="99"/>
      <c r="D2592" s="99"/>
      <c r="E2592" s="99"/>
      <c r="F2592" s="99"/>
      <c r="G2592" s="99"/>
      <c r="H2592" s="99"/>
      <c r="I2592" s="99"/>
      <c r="J2592" s="99"/>
      <c r="K2592" s="99"/>
      <c r="L2592" s="99"/>
      <c r="M2592" s="99"/>
      <c r="N2592" s="99"/>
      <c r="O2592" s="99"/>
      <c r="P2592" s="99"/>
      <c r="Q2592" s="99"/>
      <c r="R2592" s="99"/>
      <c r="S2592" s="99"/>
      <c r="T2592" s="99"/>
      <c r="U2592" s="99"/>
      <c r="V2592" s="99"/>
      <c r="W2592" s="105"/>
      <c r="X2592" s="105"/>
      <c r="Y2592" s="105"/>
      <c r="Z2592" s="105"/>
      <c r="AA2592" s="105"/>
      <c r="AB2592" s="105"/>
      <c r="AC2592" s="105"/>
      <c r="AD2592" s="105"/>
      <c r="AE2592" s="105"/>
      <c r="AF2592" s="105"/>
      <c r="AG2592" s="105"/>
      <c r="AH2592" s="105">
        <f>IF($AH$2452&gt;0,IPMT('Assumptions (Battery)'!$V$7,Model!W$1,'Assumptions (Battery)'!$V$10,'Assumptions (Battery)'!$V$5*Model!$AH$2452*'Assumptions (Battery)'!$AF$2/10^9),0)</f>
        <v>0</v>
      </c>
      <c r="AI2592" s="105">
        <f>IF($AH$2452&gt;0,IPMT('Assumptions (Battery)'!$V$7,Model!X$1,'Assumptions (Battery)'!$V$10,'Assumptions (Battery)'!$V$5*Model!$AH$2452*'Assumptions (Battery)'!$AF$2/10^9),0)</f>
        <v>0</v>
      </c>
      <c r="AJ2592" s="105">
        <f>IF($AH$2452&gt;0,IPMT('Assumptions (Battery)'!$V$7,Model!Y$1,'Assumptions (Battery)'!$V$10,'Assumptions (Battery)'!$V$5*Model!$AH$2452*'Assumptions (Battery)'!$AF$2/10^9),0)</f>
        <v>0</v>
      </c>
      <c r="AK2592" s="105">
        <f>IF($AH$2452&gt;0,IPMT('Assumptions (Battery)'!$V$7,Model!Z$1,'Assumptions (Battery)'!$V$10,'Assumptions (Battery)'!$V$5*Model!$AH$2452*'Assumptions (Battery)'!$AF$2/10^9),0)</f>
        <v>0</v>
      </c>
      <c r="AL2592" s="105">
        <f>IF($AH$2452&gt;0,IPMT('Assumptions (Battery)'!$V$7,Model!AA$1,'Assumptions (Battery)'!$V$10,'Assumptions (Battery)'!$V$5*Model!$AH$2452*'Assumptions (Battery)'!$AF$2/10^9),0)</f>
        <v>0</v>
      </c>
      <c r="AM2592" s="105">
        <f>IF($AH$2452&gt;0,IPMT('Assumptions (Battery)'!$V$7,Model!AB$1,'Assumptions (Battery)'!$V$10,'Assumptions (Battery)'!$V$5*Model!$AH$2452*'Assumptions (Battery)'!$AF$2/10^9),0)</f>
        <v>0</v>
      </c>
      <c r="AN2592" s="105">
        <f>IF($AH$2452&gt;0,IPMT('Assumptions (Battery)'!$V$7,Model!AC$1,'Assumptions (Battery)'!$V$10,'Assumptions (Battery)'!$V$5*Model!$AH$2452*'Assumptions (Battery)'!$AF$2/10^9),0)</f>
        <v>0</v>
      </c>
      <c r="AO2592" s="105">
        <f>IF($AH$2452&gt;0,IPMT('Assumptions (Battery)'!$V$7,Model!AD$1,'Assumptions (Battery)'!$V$10,'Assumptions (Battery)'!$V$5*Model!$AH$2452*'Assumptions (Battery)'!$AF$2/10^9),0)</f>
        <v>0</v>
      </c>
      <c r="AP2592" s="105">
        <f>IF($AH$2452&gt;0,IPMT('Assumptions (Battery)'!$V$7,Model!AE$1,'Assumptions (Battery)'!$V$10,'Assumptions (Battery)'!$V$5*Model!$AH$2452*'Assumptions (Battery)'!$AF$2/10^9),0)</f>
        <v>0</v>
      </c>
      <c r="AQ2592" s="105">
        <f>IF($AH$2452&gt;0,IPMT('Assumptions (Battery)'!$V$7,Model!AF$1,'Assumptions (Battery)'!$V$10,'Assumptions (Battery)'!$V$5*Model!$AH$2452*'Assumptions (Battery)'!$AF$2/10^9),0)</f>
        <v>0</v>
      </c>
      <c r="AR2592" s="105">
        <f>IF($AH$2452&gt;0,IPMT('Assumptions (Battery)'!$V$7,Model!AG$1,'Assumptions (Battery)'!$V$10,'Assumptions (Battery)'!$V$5*Model!$AH$2452*'Assumptions (Battery)'!$AF$2/10^9),0)</f>
        <v>0</v>
      </c>
      <c r="AS2592" s="105">
        <f>IF($AH$2452&gt;0,IPMT('Assumptions (Battery)'!$V$7,Model!AH$1,'Assumptions (Battery)'!$V$10,'Assumptions (Battery)'!$V$5*Model!$AH$2452*'Assumptions (Battery)'!$AF$2/10^9),0)</f>
        <v>0</v>
      </c>
      <c r="AT2592" s="105">
        <f>IF($AH$2452&gt;0,IPMT('Assumptions (Battery)'!$V$7,Model!AI$1,'Assumptions (Battery)'!$V$10,'Assumptions (Battery)'!$V$5*Model!$AH$2452*'Assumptions (Battery)'!$AF$2/10^9),0)</f>
        <v>0</v>
      </c>
      <c r="AU2592" s="105">
        <f>IF($AH$2452&gt;0,IPMT('Assumptions (Battery)'!$V$7,Model!AJ$1,'Assumptions (Battery)'!$V$10,'Assumptions (Battery)'!$V$5*Model!$AH$2452*'Assumptions (Battery)'!$AF$2/10^9),0)</f>
        <v>0</v>
      </c>
      <c r="AV2592" s="105">
        <f>IF($AH$2452&gt;0,IPMT('Assumptions (Battery)'!$V$7,Model!AK$1,'Assumptions (Battery)'!$V$10,'Assumptions (Battery)'!$V$5*Model!$AH$2452*'Assumptions (Battery)'!$AF$2/10^9),0)</f>
        <v>0</v>
      </c>
      <c r="AW2592" s="105"/>
      <c r="AX2592" s="105"/>
      <c r="AY2592" s="105"/>
      <c r="AZ2592" s="105"/>
      <c r="BA2592" s="105"/>
      <c r="BB2592" s="105"/>
      <c r="BC2592" s="105"/>
      <c r="BD2592" s="105"/>
      <c r="BE2592" s="105"/>
      <c r="BF2592" s="105"/>
    </row>
    <row r="2593" spans="1:68" ht="15.75" hidden="1" customHeight="1" outlineLevel="1">
      <c r="A2593" s="454"/>
      <c r="B2593" s="99"/>
      <c r="C2593" s="99"/>
      <c r="D2593" s="99"/>
      <c r="E2593" s="99"/>
      <c r="F2593" s="99"/>
      <c r="G2593" s="99"/>
      <c r="H2593" s="99"/>
      <c r="I2593" s="99"/>
      <c r="J2593" s="99"/>
      <c r="K2593" s="99"/>
      <c r="L2593" s="99"/>
      <c r="M2593" s="99"/>
      <c r="N2593" s="99"/>
      <c r="O2593" s="99"/>
      <c r="P2593" s="99"/>
      <c r="Q2593" s="99"/>
      <c r="R2593" s="99"/>
      <c r="S2593" s="99"/>
      <c r="T2593" s="99"/>
      <c r="U2593" s="99"/>
      <c r="V2593" s="99"/>
      <c r="W2593" s="105"/>
      <c r="X2593" s="105"/>
      <c r="Y2593" s="105"/>
      <c r="Z2593" s="105"/>
      <c r="AA2593" s="105"/>
      <c r="AB2593" s="105"/>
      <c r="AC2593" s="105"/>
      <c r="AD2593" s="105"/>
      <c r="AE2593" s="105"/>
      <c r="AF2593" s="105"/>
      <c r="AG2593" s="105"/>
      <c r="AH2593" s="105"/>
      <c r="AI2593" s="105">
        <f>IF($AI$2452&gt;0,IPMT('Assumptions (Battery)'!$V$7,Model!W$1,'Assumptions (Battery)'!$V$10,'Assumptions (Battery)'!$V$5*Model!$AI$2452*'Assumptions (Battery)'!$AG$2/10^9),0)</f>
        <v>0</v>
      </c>
      <c r="AJ2593" s="105">
        <f>IF($AI$2452&gt;0,IPMT('Assumptions (Battery)'!$V$7,Model!X$1,'Assumptions (Battery)'!$V$10,'Assumptions (Battery)'!$V$5*Model!$AI$2452*'Assumptions (Battery)'!$AG$2/10^9),0)</f>
        <v>0</v>
      </c>
      <c r="AK2593" s="105">
        <f>IF($AI$2452&gt;0,IPMT('Assumptions (Battery)'!$V$7,Model!Y$1,'Assumptions (Battery)'!$V$10,'Assumptions (Battery)'!$V$5*Model!$AI$2452*'Assumptions (Battery)'!$AG$2/10^9),0)</f>
        <v>0</v>
      </c>
      <c r="AL2593" s="105">
        <f>IF($AI$2452&gt;0,IPMT('Assumptions (Battery)'!$V$7,Model!Z$1,'Assumptions (Battery)'!$V$10,'Assumptions (Battery)'!$V$5*Model!$AI$2452*'Assumptions (Battery)'!$AG$2/10^9),0)</f>
        <v>0</v>
      </c>
      <c r="AM2593" s="105">
        <f>IF($AI$2452&gt;0,IPMT('Assumptions (Battery)'!$V$7,Model!AA$1,'Assumptions (Battery)'!$V$10,'Assumptions (Battery)'!$V$5*Model!$AI$2452*'Assumptions (Battery)'!$AG$2/10^9),0)</f>
        <v>0</v>
      </c>
      <c r="AN2593" s="105">
        <f>IF($AI$2452&gt;0,IPMT('Assumptions (Battery)'!$V$7,Model!AB$1,'Assumptions (Battery)'!$V$10,'Assumptions (Battery)'!$V$5*Model!$AI$2452*'Assumptions (Battery)'!$AG$2/10^9),0)</f>
        <v>0</v>
      </c>
      <c r="AO2593" s="105">
        <f>IF($AI$2452&gt;0,IPMT('Assumptions (Battery)'!$V$7,Model!AC$1,'Assumptions (Battery)'!$V$10,'Assumptions (Battery)'!$V$5*Model!$AI$2452*'Assumptions (Battery)'!$AG$2/10^9),0)</f>
        <v>0</v>
      </c>
      <c r="AP2593" s="105">
        <f>IF($AI$2452&gt;0,IPMT('Assumptions (Battery)'!$V$7,Model!AD$1,'Assumptions (Battery)'!$V$10,'Assumptions (Battery)'!$V$5*Model!$AI$2452*'Assumptions (Battery)'!$AG$2/10^9),0)</f>
        <v>0</v>
      </c>
      <c r="AQ2593" s="105">
        <f>IF($AI$2452&gt;0,IPMT('Assumptions (Battery)'!$V$7,Model!AE$1,'Assumptions (Battery)'!$V$10,'Assumptions (Battery)'!$V$5*Model!$AI$2452*'Assumptions (Battery)'!$AG$2/10^9),0)</f>
        <v>0</v>
      </c>
      <c r="AR2593" s="105">
        <f>IF($AI$2452&gt;0,IPMT('Assumptions (Battery)'!$V$7,Model!AF$1,'Assumptions (Battery)'!$V$10,'Assumptions (Battery)'!$V$5*Model!$AI$2452*'Assumptions (Battery)'!$AG$2/10^9),0)</f>
        <v>0</v>
      </c>
      <c r="AS2593" s="105">
        <f>IF($AI$2452&gt;0,IPMT('Assumptions (Battery)'!$V$7,Model!AG$1,'Assumptions (Battery)'!$V$10,'Assumptions (Battery)'!$V$5*Model!$AI$2452*'Assumptions (Battery)'!$AG$2/10^9),0)</f>
        <v>0</v>
      </c>
      <c r="AT2593" s="105">
        <f>IF($AI$2452&gt;0,IPMT('Assumptions (Battery)'!$V$7,Model!AH$1,'Assumptions (Battery)'!$V$10,'Assumptions (Battery)'!$V$5*Model!$AI$2452*'Assumptions (Battery)'!$AG$2/10^9),0)</f>
        <v>0</v>
      </c>
      <c r="AU2593" s="105">
        <f>IF($AI$2452&gt;0,IPMT('Assumptions (Battery)'!$V$7,Model!AI$1,'Assumptions (Battery)'!$V$10,'Assumptions (Battery)'!$V$5*Model!$AI$2452*'Assumptions (Battery)'!$AG$2/10^9),0)</f>
        <v>0</v>
      </c>
      <c r="AV2593" s="105">
        <f>IF($AI$2452&gt;0,IPMT('Assumptions (Battery)'!$V$7,Model!AJ$1,'Assumptions (Battery)'!$V$10,'Assumptions (Battery)'!$V$5*Model!$AI$2452*'Assumptions (Battery)'!$AG$2/10^9),0)</f>
        <v>0</v>
      </c>
      <c r="AW2593" s="105">
        <f>IF($AI$2452&gt;0,IPMT('Assumptions (Battery)'!$V$7,Model!AK$1,'Assumptions (Battery)'!$V$10,'Assumptions (Battery)'!$V$5*Model!$AI$2452*'Assumptions (Battery)'!$AG$2/10^9),0)</f>
        <v>0</v>
      </c>
      <c r="AX2593" s="105"/>
      <c r="AY2593" s="105"/>
      <c r="AZ2593" s="105"/>
      <c r="BA2593" s="105"/>
      <c r="BB2593" s="105"/>
      <c r="BC2593" s="105"/>
      <c r="BD2593" s="105"/>
      <c r="BE2593" s="105"/>
      <c r="BF2593" s="105"/>
      <c r="BG2593" s="105"/>
    </row>
    <row r="2594" spans="1:68" ht="15.75" hidden="1" customHeight="1" outlineLevel="1">
      <c r="A2594" s="454"/>
      <c r="B2594" s="99"/>
      <c r="C2594" s="99"/>
      <c r="D2594" s="99"/>
      <c r="E2594" s="99"/>
      <c r="F2594" s="99"/>
      <c r="G2594" s="99"/>
      <c r="H2594" s="99"/>
      <c r="I2594" s="99"/>
      <c r="J2594" s="99"/>
      <c r="K2594" s="99"/>
      <c r="L2594" s="99"/>
      <c r="M2594" s="99"/>
      <c r="N2594" s="99"/>
      <c r="O2594" s="99"/>
      <c r="P2594" s="99"/>
      <c r="Q2594" s="99"/>
      <c r="R2594" s="99"/>
      <c r="S2594" s="99"/>
      <c r="T2594" s="99"/>
      <c r="U2594" s="99"/>
      <c r="V2594" s="99"/>
      <c r="W2594" s="105"/>
      <c r="X2594" s="105"/>
      <c r="Y2594" s="105"/>
      <c r="Z2594" s="105"/>
      <c r="AA2594" s="105"/>
      <c r="AB2594" s="105"/>
      <c r="AC2594" s="105"/>
      <c r="AD2594" s="105"/>
      <c r="AE2594" s="105"/>
      <c r="AF2594" s="105"/>
      <c r="AG2594" s="105"/>
      <c r="AH2594" s="105"/>
      <c r="AI2594" s="105"/>
      <c r="AJ2594" s="91">
        <f>IF($AJ$2452&gt;0,IPMT('Assumptions (Battery)'!$V$7,Model!W$1,'Assumptions (Battery)'!$V$10,'Assumptions (Battery)'!$V$5*Model!$AJ$2452*'Assumptions (Battery)'!$AH$2/10^9),0)</f>
        <v>0</v>
      </c>
      <c r="AK2594" s="91">
        <f>IF($AJ$2452&gt;0,IPMT('Assumptions (Battery)'!$V$7,Model!X$1,'Assumptions (Battery)'!$V$10,'Assumptions (Battery)'!$V$5*Model!$AJ$2452*'Assumptions (Battery)'!$AH$2/10^9),0)</f>
        <v>0</v>
      </c>
      <c r="AL2594" s="91">
        <f>IF($AJ$2452&gt;0,IPMT('Assumptions (Battery)'!$V$7,Model!Y$1,'Assumptions (Battery)'!$V$10,'Assumptions (Battery)'!$V$5*Model!$AJ$2452*'Assumptions (Battery)'!$AH$2/10^9),0)</f>
        <v>0</v>
      </c>
      <c r="AM2594" s="91">
        <f>IF($AJ$2452&gt;0,IPMT('Assumptions (Battery)'!$V$7,Model!Z$1,'Assumptions (Battery)'!$V$10,'Assumptions (Battery)'!$V$5*Model!$AJ$2452*'Assumptions (Battery)'!$AH$2/10^9),0)</f>
        <v>0</v>
      </c>
      <c r="AN2594" s="91">
        <f>IF($AJ$2452&gt;0,IPMT('Assumptions (Battery)'!$V$7,Model!AA$1,'Assumptions (Battery)'!$V$10,'Assumptions (Battery)'!$V$5*Model!$AJ$2452*'Assumptions (Battery)'!$AH$2/10^9),0)</f>
        <v>0</v>
      </c>
      <c r="AO2594" s="91">
        <f>IF($AJ$2452&gt;0,IPMT('Assumptions (Battery)'!$V$7,Model!AB$1,'Assumptions (Battery)'!$V$10,'Assumptions (Battery)'!$V$5*Model!$AJ$2452*'Assumptions (Battery)'!$AH$2/10^9),0)</f>
        <v>0</v>
      </c>
      <c r="AP2594" s="91">
        <f>IF($AJ$2452&gt;0,IPMT('Assumptions (Battery)'!$V$7,Model!AC$1,'Assumptions (Battery)'!$V$10,'Assumptions (Battery)'!$V$5*Model!$AJ$2452*'Assumptions (Battery)'!$AH$2/10^9),0)</f>
        <v>0</v>
      </c>
      <c r="AQ2594" s="91">
        <f>IF($AJ$2452&gt;0,IPMT('Assumptions (Battery)'!$V$7,Model!AD$1,'Assumptions (Battery)'!$V$10,'Assumptions (Battery)'!$V$5*Model!$AJ$2452*'Assumptions (Battery)'!$AH$2/10^9),0)</f>
        <v>0</v>
      </c>
      <c r="AR2594" s="91">
        <f>IF($AJ$2452&gt;0,IPMT('Assumptions (Battery)'!$V$7,Model!AE$1,'Assumptions (Battery)'!$V$10,'Assumptions (Battery)'!$V$5*Model!$AJ$2452*'Assumptions (Battery)'!$AH$2/10^9),0)</f>
        <v>0</v>
      </c>
      <c r="AS2594" s="91">
        <f>IF($AJ$2452&gt;0,IPMT('Assumptions (Battery)'!$V$7,Model!AF$1,'Assumptions (Battery)'!$V$10,'Assumptions (Battery)'!$V$5*Model!$AJ$2452*'Assumptions (Battery)'!$AH$2/10^9),0)</f>
        <v>0</v>
      </c>
      <c r="AT2594" s="91">
        <f>IF($AJ$2452&gt;0,IPMT('Assumptions (Battery)'!$V$7,Model!AG$1,'Assumptions (Battery)'!$V$10,'Assumptions (Battery)'!$V$5*Model!$AJ$2452*'Assumptions (Battery)'!$AH$2/10^9),0)</f>
        <v>0</v>
      </c>
      <c r="AU2594" s="91">
        <f>IF($AJ$2452&gt;0,IPMT('Assumptions (Battery)'!$V$7,Model!AH$1,'Assumptions (Battery)'!$V$10,'Assumptions (Battery)'!$V$5*Model!$AJ$2452*'Assumptions (Battery)'!$AH$2/10^9),0)</f>
        <v>0</v>
      </c>
      <c r="AV2594" s="91">
        <f>IF($AJ$2452&gt;0,IPMT('Assumptions (Battery)'!$V$7,Model!AI$1,'Assumptions (Battery)'!$V$10,'Assumptions (Battery)'!$V$5*Model!$AJ$2452*'Assumptions (Battery)'!$AH$2/10^9),0)</f>
        <v>0</v>
      </c>
      <c r="AW2594" s="91">
        <f>IF($AJ$2452&gt;0,IPMT('Assumptions (Battery)'!$V$7,Model!AJ$1,'Assumptions (Battery)'!$V$10,'Assumptions (Battery)'!$V$5*Model!$AJ$2452*'Assumptions (Battery)'!$AH$2/10^9),0)</f>
        <v>0</v>
      </c>
      <c r="AX2594" s="91">
        <f>IF($AJ$2452&gt;0,IPMT('Assumptions (Battery)'!$V$7,Model!AK$1,'Assumptions (Battery)'!$V$10,'Assumptions (Battery)'!$V$5*Model!$AJ$2452*'Assumptions (Battery)'!$AH$2/10^9),0)</f>
        <v>0</v>
      </c>
      <c r="AY2594" s="91"/>
      <c r="AZ2594" s="91"/>
      <c r="BA2594" s="91"/>
      <c r="BB2594" s="91"/>
      <c r="BC2594" s="91"/>
      <c r="BD2594" s="91"/>
      <c r="BE2594" s="91"/>
      <c r="BF2594" s="91"/>
      <c r="BG2594" s="91"/>
      <c r="BH2594" s="91"/>
    </row>
    <row r="2595" spans="1:68" ht="15.75" hidden="1" customHeight="1" outlineLevel="1">
      <c r="A2595" s="454"/>
      <c r="B2595" s="99"/>
      <c r="C2595" s="99"/>
      <c r="D2595" s="99"/>
      <c r="E2595" s="99"/>
      <c r="F2595" s="99"/>
      <c r="G2595" s="99"/>
      <c r="H2595" s="99"/>
      <c r="I2595" s="99"/>
      <c r="J2595" s="99"/>
      <c r="K2595" s="99"/>
      <c r="L2595" s="99"/>
      <c r="M2595" s="99"/>
      <c r="N2595" s="99"/>
      <c r="O2595" s="99"/>
      <c r="P2595" s="99"/>
      <c r="Q2595" s="99"/>
      <c r="R2595" s="99"/>
      <c r="S2595" s="99"/>
      <c r="T2595" s="99"/>
      <c r="U2595" s="99"/>
      <c r="V2595" s="99"/>
      <c r="W2595" s="105"/>
      <c r="X2595" s="105"/>
      <c r="Y2595" s="105"/>
      <c r="Z2595" s="105"/>
      <c r="AA2595" s="105"/>
      <c r="AB2595" s="105"/>
      <c r="AC2595" s="105"/>
      <c r="AD2595" s="105"/>
      <c r="AE2595" s="105"/>
      <c r="AF2595" s="105"/>
      <c r="AG2595" s="105"/>
      <c r="AH2595" s="105"/>
      <c r="AI2595" s="105"/>
      <c r="AJ2595" s="171"/>
      <c r="AK2595" s="105">
        <f>IF($AK$2452&gt;0,IPMT('Assumptions (Battery)'!$V$7,Model!W$1,'Assumptions (Battery)'!$V$10,'Assumptions (Battery)'!$V$5*Model!$AK$2452*'Assumptions (Battery)'!$AI$2/10^9),0)</f>
        <v>0</v>
      </c>
      <c r="AL2595" s="105">
        <f>IF($AK$2452&gt;0,IPMT('Assumptions (Battery)'!$V$7,Model!X$1,'Assumptions (Battery)'!$V$10,'Assumptions (Battery)'!$V$5*Model!$AK$2452*'Assumptions (Battery)'!$AI$2/10^9),0)</f>
        <v>0</v>
      </c>
      <c r="AM2595" s="105">
        <f>IF($AK$2452&gt;0,IPMT('Assumptions (Battery)'!$V$7,Model!Y$1,'Assumptions (Battery)'!$V$10,'Assumptions (Battery)'!$V$5*Model!$AK$2452*'Assumptions (Battery)'!$AI$2/10^9),0)</f>
        <v>0</v>
      </c>
      <c r="AN2595" s="105">
        <f>IF($AK$2452&gt;0,IPMT('Assumptions (Battery)'!$V$7,Model!Z$1,'Assumptions (Battery)'!$V$10,'Assumptions (Battery)'!$V$5*Model!$AK$2452*'Assumptions (Battery)'!$AI$2/10^9),0)</f>
        <v>0</v>
      </c>
      <c r="AO2595" s="105">
        <f>IF($AK$2452&gt;0,IPMT('Assumptions (Battery)'!$V$7,Model!AA$1,'Assumptions (Battery)'!$V$10,'Assumptions (Battery)'!$V$5*Model!$AK$2452*'Assumptions (Battery)'!$AI$2/10^9),0)</f>
        <v>0</v>
      </c>
      <c r="AP2595" s="105">
        <f>IF($AK$2452&gt;0,IPMT('Assumptions (Battery)'!$V$7,Model!AB$1,'Assumptions (Battery)'!$V$10,'Assumptions (Battery)'!$V$5*Model!$AK$2452*'Assumptions (Battery)'!$AI$2/10^9),0)</f>
        <v>0</v>
      </c>
      <c r="AQ2595" s="105">
        <f>IF($AK$2452&gt;0,IPMT('Assumptions (Battery)'!$V$7,Model!AC$1,'Assumptions (Battery)'!$V$10,'Assumptions (Battery)'!$V$5*Model!$AK$2452*'Assumptions (Battery)'!$AI$2/10^9),0)</f>
        <v>0</v>
      </c>
      <c r="AR2595" s="105">
        <f>IF($AK$2452&gt;0,IPMT('Assumptions (Battery)'!$V$7,Model!AD$1,'Assumptions (Battery)'!$V$10,'Assumptions (Battery)'!$V$5*Model!$AK$2452*'Assumptions (Battery)'!$AI$2/10^9),0)</f>
        <v>0</v>
      </c>
      <c r="AS2595" s="105">
        <f>IF($AK$2452&gt;0,IPMT('Assumptions (Battery)'!$V$7,Model!AE$1,'Assumptions (Battery)'!$V$10,'Assumptions (Battery)'!$V$5*Model!$AK$2452*'Assumptions (Battery)'!$AI$2/10^9),0)</f>
        <v>0</v>
      </c>
      <c r="AT2595" s="105">
        <f>IF($AK$2452&gt;0,IPMT('Assumptions (Battery)'!$V$7,Model!AF$1,'Assumptions (Battery)'!$V$10,'Assumptions (Battery)'!$V$5*Model!$AK$2452*'Assumptions (Battery)'!$AI$2/10^9),0)</f>
        <v>0</v>
      </c>
      <c r="AU2595" s="105">
        <f>IF($AK$2452&gt;0,IPMT('Assumptions (Battery)'!$V$7,Model!AG$1,'Assumptions (Battery)'!$V$10,'Assumptions (Battery)'!$V$5*Model!$AK$2452*'Assumptions (Battery)'!$AI$2/10^9),0)</f>
        <v>0</v>
      </c>
      <c r="AV2595" s="105">
        <f>IF($AK$2452&gt;0,IPMT('Assumptions (Battery)'!$V$7,Model!AH$1,'Assumptions (Battery)'!$V$10,'Assumptions (Battery)'!$V$5*Model!$AK$2452*'Assumptions (Battery)'!$AI$2/10^9),0)</f>
        <v>0</v>
      </c>
      <c r="AW2595" s="105">
        <f>IF($AK$2452&gt;0,IPMT('Assumptions (Battery)'!$V$7,Model!AI$1,'Assumptions (Battery)'!$V$10,'Assumptions (Battery)'!$V$5*Model!$AK$2452*'Assumptions (Battery)'!$AI$2/10^9),0)</f>
        <v>0</v>
      </c>
      <c r="AX2595" s="105">
        <f>IF($AK$2452&gt;0,IPMT('Assumptions (Battery)'!$V$7,Model!AJ$1,'Assumptions (Battery)'!$V$10,'Assumptions (Battery)'!$V$5*Model!$AK$2452*'Assumptions (Battery)'!$AI$2/10^9),0)</f>
        <v>0</v>
      </c>
      <c r="AY2595" s="105">
        <f>IF($AK$2452&gt;0,IPMT('Assumptions (Battery)'!$V$7,Model!AK$1,'Assumptions (Battery)'!$V$10,'Assumptions (Battery)'!$V$5*Model!$AK$2452*'Assumptions (Battery)'!$AI$2/10^9),0)</f>
        <v>0</v>
      </c>
      <c r="AZ2595" s="105"/>
      <c r="BA2595" s="105"/>
      <c r="BB2595" s="105"/>
      <c r="BC2595" s="105"/>
      <c r="BD2595" s="105"/>
      <c r="BE2595" s="105"/>
      <c r="BF2595" s="105"/>
      <c r="BG2595" s="105"/>
      <c r="BH2595" s="105"/>
      <c r="BI2595" s="105"/>
    </row>
    <row r="2596" spans="1:68" ht="15.75" hidden="1" customHeight="1" outlineLevel="1">
      <c r="A2596" s="454"/>
      <c r="B2596" s="99"/>
      <c r="C2596" s="99"/>
      <c r="D2596" s="99"/>
      <c r="E2596" s="99"/>
      <c r="F2596" s="99"/>
      <c r="G2596" s="99"/>
      <c r="H2596" s="99"/>
      <c r="I2596" s="99"/>
      <c r="J2596" s="99"/>
      <c r="K2596" s="99"/>
      <c r="L2596" s="99"/>
      <c r="M2596" s="99"/>
      <c r="N2596" s="99"/>
      <c r="O2596" s="99"/>
      <c r="P2596" s="99"/>
      <c r="Q2596" s="99"/>
      <c r="R2596" s="99"/>
      <c r="S2596" s="99"/>
      <c r="T2596" s="99"/>
      <c r="U2596" s="99"/>
      <c r="V2596" s="99"/>
      <c r="W2596" s="105"/>
      <c r="X2596" s="105"/>
      <c r="Y2596" s="105"/>
      <c r="Z2596" s="105"/>
      <c r="AA2596" s="105"/>
      <c r="AB2596" s="105"/>
      <c r="AC2596" s="105"/>
      <c r="AD2596" s="105"/>
      <c r="AE2596" s="105"/>
      <c r="AF2596" s="105"/>
      <c r="AG2596" s="105"/>
      <c r="AH2596" s="105"/>
      <c r="AI2596" s="105"/>
      <c r="AJ2596" s="171"/>
      <c r="AK2596" s="105"/>
      <c r="AL2596" s="91">
        <f>IF($AL$2452&gt;0,IPMT('Assumptions (Battery)'!$V$7,Model!W$1,'Assumptions (Battery)'!$V$10,'Assumptions (Battery)'!$V$5*Model!$AL$2452*'Assumptions (Battery)'!$AJ$2/10^9),0)</f>
        <v>0</v>
      </c>
      <c r="AM2596" s="91">
        <f>IF($AL$2452&gt;0,IPMT('Assumptions (Battery)'!$V$7,Model!X$1,'Assumptions (Battery)'!$V$10,'Assumptions (Battery)'!$V$5*Model!$AL$2452*'Assumptions (Battery)'!$AJ$2/10^9),0)</f>
        <v>0</v>
      </c>
      <c r="AN2596" s="91">
        <f>IF($AL$2452&gt;0,IPMT('Assumptions (Battery)'!$V$7,Model!Y$1,'Assumptions (Battery)'!$V$10,'Assumptions (Battery)'!$V$5*Model!$AL$2452*'Assumptions (Battery)'!$AJ$2/10^9),0)</f>
        <v>0</v>
      </c>
      <c r="AO2596" s="91">
        <f>IF($AL$2452&gt;0,IPMT('Assumptions (Battery)'!$V$7,Model!Z$1,'Assumptions (Battery)'!$V$10,'Assumptions (Battery)'!$V$5*Model!$AL$2452*'Assumptions (Battery)'!$AJ$2/10^9),0)</f>
        <v>0</v>
      </c>
      <c r="AP2596" s="91">
        <f>IF($AL$2452&gt;0,IPMT('Assumptions (Battery)'!$V$7,Model!AA$1,'Assumptions (Battery)'!$V$10,'Assumptions (Battery)'!$V$5*Model!$AL$2452*'Assumptions (Battery)'!$AJ$2/10^9),0)</f>
        <v>0</v>
      </c>
      <c r="AQ2596" s="91">
        <f>IF($AL$2452&gt;0,IPMT('Assumptions (Battery)'!$V$7,Model!AB$1,'Assumptions (Battery)'!$V$10,'Assumptions (Battery)'!$V$5*Model!$AL$2452*'Assumptions (Battery)'!$AJ$2/10^9),0)</f>
        <v>0</v>
      </c>
      <c r="AR2596" s="91">
        <f>IF($AL$2452&gt;0,IPMT('Assumptions (Battery)'!$V$7,Model!AC$1,'Assumptions (Battery)'!$V$10,'Assumptions (Battery)'!$V$5*Model!$AL$2452*'Assumptions (Battery)'!$AJ$2/10^9),0)</f>
        <v>0</v>
      </c>
      <c r="AS2596" s="91">
        <f>IF($AL$2452&gt;0,IPMT('Assumptions (Battery)'!$V$7,Model!AD$1,'Assumptions (Battery)'!$V$10,'Assumptions (Battery)'!$V$5*Model!$AL$2452*'Assumptions (Battery)'!$AJ$2/10^9),0)</f>
        <v>0</v>
      </c>
      <c r="AT2596" s="91">
        <f>IF($AL$2452&gt;0,IPMT('Assumptions (Battery)'!$V$7,Model!AE$1,'Assumptions (Battery)'!$V$10,'Assumptions (Battery)'!$V$5*Model!$AL$2452*'Assumptions (Battery)'!$AJ$2/10^9),0)</f>
        <v>0</v>
      </c>
      <c r="AU2596" s="91">
        <f>IF($AL$2452&gt;0,IPMT('Assumptions (Battery)'!$V$7,Model!AF$1,'Assumptions (Battery)'!$V$10,'Assumptions (Battery)'!$V$5*Model!$AL$2452*'Assumptions (Battery)'!$AJ$2/10^9),0)</f>
        <v>0</v>
      </c>
      <c r="AV2596" s="91">
        <f>IF($AL$2452&gt;0,IPMT('Assumptions (Battery)'!$V$7,Model!AG$1,'Assumptions (Battery)'!$V$10,'Assumptions (Battery)'!$V$5*Model!$AL$2452*'Assumptions (Battery)'!$AJ$2/10^9),0)</f>
        <v>0</v>
      </c>
      <c r="AW2596" s="91">
        <f>IF($AL$2452&gt;0,IPMT('Assumptions (Battery)'!$V$7,Model!AH$1,'Assumptions (Battery)'!$V$10,'Assumptions (Battery)'!$V$5*Model!$AL$2452*'Assumptions (Battery)'!$AJ$2/10^9),0)</f>
        <v>0</v>
      </c>
      <c r="AX2596" s="91">
        <f>IF($AL$2452&gt;0,IPMT('Assumptions (Battery)'!$V$7,Model!AI$1,'Assumptions (Battery)'!$V$10,'Assumptions (Battery)'!$V$5*Model!$AL$2452*'Assumptions (Battery)'!$AJ$2/10^9),0)</f>
        <v>0</v>
      </c>
      <c r="AY2596" s="91">
        <f>IF($AL$2452&gt;0,IPMT('Assumptions (Battery)'!$V$7,Model!AJ$1,'Assumptions (Battery)'!$V$10,'Assumptions (Battery)'!$V$5*Model!$AL$2452*'Assumptions (Battery)'!$AJ$2/10^9),0)</f>
        <v>0</v>
      </c>
      <c r="AZ2596" s="91">
        <f>IF($AL$2452&gt;0,IPMT('Assumptions (Battery)'!$V$7,Model!AK$1,'Assumptions (Battery)'!$V$10,'Assumptions (Battery)'!$V$5*Model!$AL$2452*'Assumptions (Battery)'!$AJ$2/10^9),0)</f>
        <v>0</v>
      </c>
      <c r="BA2596" s="91"/>
      <c r="BB2596" s="91"/>
      <c r="BC2596" s="91"/>
      <c r="BD2596" s="91"/>
      <c r="BE2596" s="91"/>
      <c r="BF2596" s="91"/>
      <c r="BG2596" s="91"/>
      <c r="BH2596" s="91"/>
      <c r="BI2596" s="91"/>
      <c r="BJ2596" s="91"/>
    </row>
    <row r="2597" spans="1:68" ht="15.75" hidden="1" customHeight="1" outlineLevel="1">
      <c r="A2597" s="454"/>
      <c r="B2597" s="99"/>
      <c r="C2597" s="99"/>
      <c r="D2597" s="99"/>
      <c r="E2597" s="99"/>
      <c r="F2597" s="99"/>
      <c r="G2597" s="99"/>
      <c r="H2597" s="99"/>
      <c r="I2597" s="99"/>
      <c r="J2597" s="99"/>
      <c r="K2597" s="99"/>
      <c r="L2597" s="99"/>
      <c r="M2597" s="99"/>
      <c r="N2597" s="99"/>
      <c r="O2597" s="99"/>
      <c r="P2597" s="99"/>
      <c r="Q2597" s="99"/>
      <c r="R2597" s="99"/>
      <c r="S2597" s="99"/>
      <c r="T2597" s="99"/>
      <c r="U2597" s="99"/>
      <c r="V2597" s="99"/>
      <c r="W2597" s="105"/>
      <c r="X2597" s="105"/>
      <c r="Y2597" s="105"/>
      <c r="Z2597" s="105"/>
      <c r="AA2597" s="105"/>
      <c r="AB2597" s="105"/>
      <c r="AC2597" s="105"/>
      <c r="AD2597" s="105"/>
      <c r="AE2597" s="105"/>
      <c r="AF2597" s="105"/>
      <c r="AG2597" s="105"/>
      <c r="AH2597" s="105"/>
      <c r="AI2597" s="105"/>
      <c r="AJ2597" s="171"/>
      <c r="AK2597" s="105"/>
      <c r="AL2597" s="91"/>
      <c r="AM2597" s="105">
        <f>IF($AM$2452&gt;0,IPMT('Assumptions (Battery)'!$V$7,Model!W$1,'Assumptions (Battery)'!$V$10,'Assumptions (Battery)'!$V$5*Model!$AM$2452*'Assumptions (Battery)'!$AK$2/10^9),0)</f>
        <v>0</v>
      </c>
      <c r="AN2597" s="105">
        <f>IF($AM$2452&gt;0,IPMT('Assumptions (Battery)'!$V$7,Model!X$1,'Assumptions (Battery)'!$V$10,'Assumptions (Battery)'!$V$5*Model!$AM$2452*'Assumptions (Battery)'!$AK$2/10^9),0)</f>
        <v>0</v>
      </c>
      <c r="AO2597" s="105">
        <f>IF($AM$2452&gt;0,IPMT('Assumptions (Battery)'!$V$7,Model!Y$1,'Assumptions (Battery)'!$V$10,'Assumptions (Battery)'!$V$5*Model!$AM$2452*'Assumptions (Battery)'!$AK$2/10^9),0)</f>
        <v>0</v>
      </c>
      <c r="AP2597" s="105">
        <f>IF($AM$2452&gt;0,IPMT('Assumptions (Battery)'!$V$7,Model!Z$1,'Assumptions (Battery)'!$V$10,'Assumptions (Battery)'!$V$5*Model!$AM$2452*'Assumptions (Battery)'!$AK$2/10^9),0)</f>
        <v>0</v>
      </c>
      <c r="AQ2597" s="105">
        <f>IF($AM$2452&gt;0,IPMT('Assumptions (Battery)'!$V$7,Model!AA$1,'Assumptions (Battery)'!$V$10,'Assumptions (Battery)'!$V$5*Model!$AM$2452*'Assumptions (Battery)'!$AK$2/10^9),0)</f>
        <v>0</v>
      </c>
      <c r="AR2597" s="105">
        <f>IF($AM$2452&gt;0,IPMT('Assumptions (Battery)'!$V$7,Model!AB$1,'Assumptions (Battery)'!$V$10,'Assumptions (Battery)'!$V$5*Model!$AM$2452*'Assumptions (Battery)'!$AK$2/10^9),0)</f>
        <v>0</v>
      </c>
      <c r="AS2597" s="105">
        <f>IF($AM$2452&gt;0,IPMT('Assumptions (Battery)'!$V$7,Model!AC$1,'Assumptions (Battery)'!$V$10,'Assumptions (Battery)'!$V$5*Model!$AM$2452*'Assumptions (Battery)'!$AK$2/10^9),0)</f>
        <v>0</v>
      </c>
      <c r="AT2597" s="105">
        <f>IF($AM$2452&gt;0,IPMT('Assumptions (Battery)'!$V$7,Model!AD$1,'Assumptions (Battery)'!$V$10,'Assumptions (Battery)'!$V$5*Model!$AM$2452*'Assumptions (Battery)'!$AK$2/10^9),0)</f>
        <v>0</v>
      </c>
      <c r="AU2597" s="105">
        <f>IF($AM$2452&gt;0,IPMT('Assumptions (Battery)'!$V$7,Model!AE$1,'Assumptions (Battery)'!$V$10,'Assumptions (Battery)'!$V$5*Model!$AM$2452*'Assumptions (Battery)'!$AK$2/10^9),0)</f>
        <v>0</v>
      </c>
      <c r="AV2597" s="105">
        <f>IF($AM$2452&gt;0,IPMT('Assumptions (Battery)'!$V$7,Model!AF$1,'Assumptions (Battery)'!$V$10,'Assumptions (Battery)'!$V$5*Model!$AM$2452*'Assumptions (Battery)'!$AK$2/10^9),0)</f>
        <v>0</v>
      </c>
      <c r="AW2597" s="105">
        <f>IF($AM$2452&gt;0,IPMT('Assumptions (Battery)'!$V$7,Model!AG$1,'Assumptions (Battery)'!$V$10,'Assumptions (Battery)'!$V$5*Model!$AM$2452*'Assumptions (Battery)'!$AK$2/10^9),0)</f>
        <v>0</v>
      </c>
      <c r="AX2597" s="105">
        <f>IF($AM$2452&gt;0,IPMT('Assumptions (Battery)'!$V$7,Model!AH$1,'Assumptions (Battery)'!$V$10,'Assumptions (Battery)'!$V$5*Model!$AM$2452*'Assumptions (Battery)'!$AK$2/10^9),0)</f>
        <v>0</v>
      </c>
      <c r="AY2597" s="105">
        <f>IF($AM$2452&gt;0,IPMT('Assumptions (Battery)'!$V$7,Model!AI$1,'Assumptions (Battery)'!$V$10,'Assumptions (Battery)'!$V$5*Model!$AM$2452*'Assumptions (Battery)'!$AK$2/10^9),0)</f>
        <v>0</v>
      </c>
      <c r="AZ2597" s="105">
        <f>IF($AM$2452&gt;0,IPMT('Assumptions (Battery)'!$V$7,Model!AJ$1,'Assumptions (Battery)'!$V$10,'Assumptions (Battery)'!$V$5*Model!$AM$2452*'Assumptions (Battery)'!$AK$2/10^9),0)</f>
        <v>0</v>
      </c>
      <c r="BA2597" s="105">
        <f>IF($AM$2452&gt;0,IPMT('Assumptions (Battery)'!$V$7,Model!AK$1,'Assumptions (Battery)'!$V$10,'Assumptions (Battery)'!$V$5*Model!$AM$2452*'Assumptions (Battery)'!$AK$2/10^9),0)</f>
        <v>0</v>
      </c>
      <c r="BB2597" s="105"/>
      <c r="BC2597" s="105"/>
      <c r="BD2597" s="105"/>
      <c r="BE2597" s="105"/>
      <c r="BF2597" s="105"/>
      <c r="BG2597" s="105"/>
      <c r="BH2597" s="105"/>
      <c r="BI2597" s="105"/>
      <c r="BJ2597" s="105"/>
      <c r="BK2597" s="105"/>
    </row>
    <row r="2598" spans="1:68" ht="15.75" hidden="1" customHeight="1" outlineLevel="1">
      <c r="A2598" s="454"/>
      <c r="B2598" s="99"/>
      <c r="C2598" s="99"/>
      <c r="D2598" s="99"/>
      <c r="E2598" s="99"/>
      <c r="F2598" s="99"/>
      <c r="G2598" s="99"/>
      <c r="H2598" s="99"/>
      <c r="I2598" s="99"/>
      <c r="J2598" s="99"/>
      <c r="K2598" s="99"/>
      <c r="L2598" s="99"/>
      <c r="M2598" s="99"/>
      <c r="N2598" s="99"/>
      <c r="O2598" s="99"/>
      <c r="P2598" s="99"/>
      <c r="Q2598" s="99"/>
      <c r="R2598" s="99"/>
      <c r="S2598" s="99"/>
      <c r="T2598" s="99"/>
      <c r="U2598" s="99"/>
      <c r="V2598" s="99"/>
      <c r="W2598" s="105"/>
      <c r="X2598" s="105"/>
      <c r="Y2598" s="105"/>
      <c r="Z2598" s="105"/>
      <c r="AA2598" s="105"/>
      <c r="AB2598" s="105"/>
      <c r="AC2598" s="105"/>
      <c r="AD2598" s="105"/>
      <c r="AE2598" s="105"/>
      <c r="AF2598" s="105"/>
      <c r="AG2598" s="105"/>
      <c r="AH2598" s="105"/>
      <c r="AI2598" s="105"/>
      <c r="AJ2598" s="171"/>
      <c r="AK2598" s="105"/>
      <c r="AL2598" s="91"/>
      <c r="AM2598" s="91"/>
      <c r="AN2598" s="105">
        <f>IF($AN$2452&gt;0,IPMT('Assumptions (Battery)'!$V$7,Model!W$1,'Assumptions (Battery)'!$V$10,'Assumptions (Battery)'!$V$5*Model!$AN$2452*'Assumptions (Battery)'!$AL$2/10^9),0)</f>
        <v>0</v>
      </c>
      <c r="AO2598" s="105">
        <f>IF($AN$2452&gt;0,IPMT('Assumptions (Battery)'!$V$7,Model!X$1,'Assumptions (Battery)'!$V$10,'Assumptions (Battery)'!$V$5*Model!$AN$2452*'Assumptions (Battery)'!$AL$2/10^9),0)</f>
        <v>0</v>
      </c>
      <c r="AP2598" s="105">
        <f>IF($AN$2452&gt;0,IPMT('Assumptions (Battery)'!$V$7,Model!Y$1,'Assumptions (Battery)'!$V$10,'Assumptions (Battery)'!$V$5*Model!$AN$2452*'Assumptions (Battery)'!$AL$2/10^9),0)</f>
        <v>0</v>
      </c>
      <c r="AQ2598" s="105">
        <f>IF($AN$2452&gt;0,IPMT('Assumptions (Battery)'!$V$7,Model!Z$1,'Assumptions (Battery)'!$V$10,'Assumptions (Battery)'!$V$5*Model!$AN$2452*'Assumptions (Battery)'!$AL$2/10^9),0)</f>
        <v>0</v>
      </c>
      <c r="AR2598" s="105">
        <f>IF($AN$2452&gt;0,IPMT('Assumptions (Battery)'!$V$7,Model!AA$1,'Assumptions (Battery)'!$V$10,'Assumptions (Battery)'!$V$5*Model!$AN$2452*'Assumptions (Battery)'!$AL$2/10^9),0)</f>
        <v>0</v>
      </c>
      <c r="AS2598" s="105">
        <f>IF($AN$2452&gt;0,IPMT('Assumptions (Battery)'!$V$7,Model!AB$1,'Assumptions (Battery)'!$V$10,'Assumptions (Battery)'!$V$5*Model!$AN$2452*'Assumptions (Battery)'!$AL$2/10^9),0)</f>
        <v>0</v>
      </c>
      <c r="AT2598" s="105">
        <f>IF($AN$2452&gt;0,IPMT('Assumptions (Battery)'!$V$7,Model!AC$1,'Assumptions (Battery)'!$V$10,'Assumptions (Battery)'!$V$5*Model!$AN$2452*'Assumptions (Battery)'!$AL$2/10^9),0)</f>
        <v>0</v>
      </c>
      <c r="AU2598" s="105">
        <f>IF($AN$2452&gt;0,IPMT('Assumptions (Battery)'!$V$7,Model!AD$1,'Assumptions (Battery)'!$V$10,'Assumptions (Battery)'!$V$5*Model!$AN$2452*'Assumptions (Battery)'!$AL$2/10^9),0)</f>
        <v>0</v>
      </c>
      <c r="AV2598" s="105">
        <f>IF($AN$2452&gt;0,IPMT('Assumptions (Battery)'!$V$7,Model!AE$1,'Assumptions (Battery)'!$V$10,'Assumptions (Battery)'!$V$5*Model!$AN$2452*'Assumptions (Battery)'!$AL$2/10^9),0)</f>
        <v>0</v>
      </c>
      <c r="AW2598" s="105">
        <f>IF($AN$2452&gt;0,IPMT('Assumptions (Battery)'!$V$7,Model!AF$1,'Assumptions (Battery)'!$V$10,'Assumptions (Battery)'!$V$5*Model!$AN$2452*'Assumptions (Battery)'!$AL$2/10^9),0)</f>
        <v>0</v>
      </c>
      <c r="AX2598" s="105">
        <f>IF($AN$2452&gt;0,IPMT('Assumptions (Battery)'!$V$7,Model!AG$1,'Assumptions (Battery)'!$V$10,'Assumptions (Battery)'!$V$5*Model!$AN$2452*'Assumptions (Battery)'!$AL$2/10^9),0)</f>
        <v>0</v>
      </c>
      <c r="AY2598" s="105">
        <f>IF($AN$2452&gt;0,IPMT('Assumptions (Battery)'!$V$7,Model!AH$1,'Assumptions (Battery)'!$V$10,'Assumptions (Battery)'!$V$5*Model!$AN$2452*'Assumptions (Battery)'!$AL$2/10^9),0)</f>
        <v>0</v>
      </c>
      <c r="AZ2598" s="105">
        <f>IF($AN$2452&gt;0,IPMT('Assumptions (Battery)'!$V$7,Model!AI$1,'Assumptions (Battery)'!$V$10,'Assumptions (Battery)'!$V$5*Model!$AN$2452*'Assumptions (Battery)'!$AL$2/10^9),0)</f>
        <v>0</v>
      </c>
      <c r="BA2598" s="105">
        <f>IF($AN$2452&gt;0,IPMT('Assumptions (Battery)'!$V$7,Model!AJ$1,'Assumptions (Battery)'!$V$10,'Assumptions (Battery)'!$V$5*Model!$AN$2452*'Assumptions (Battery)'!$AL$2/10^9),0)</f>
        <v>0</v>
      </c>
      <c r="BB2598" s="105">
        <f>IF($AN$2452&gt;0,IPMT('Assumptions (Battery)'!$V$7,Model!AK$1,'Assumptions (Battery)'!$V$10,'Assumptions (Battery)'!$V$5*Model!$AN$2452*'Assumptions (Battery)'!$AL$2/10^9),0)</f>
        <v>0</v>
      </c>
      <c r="BC2598" s="105"/>
      <c r="BD2598" s="105"/>
      <c r="BE2598" s="105"/>
      <c r="BF2598" s="105"/>
      <c r="BG2598" s="105"/>
      <c r="BH2598" s="105"/>
      <c r="BI2598" s="105"/>
      <c r="BJ2598" s="105"/>
      <c r="BK2598" s="105"/>
      <c r="BL2598" s="105"/>
    </row>
    <row r="2599" spans="1:68" ht="15.75" hidden="1" customHeight="1" outlineLevel="1">
      <c r="A2599" s="454"/>
      <c r="B2599" s="99"/>
      <c r="C2599" s="99"/>
      <c r="D2599" s="99"/>
      <c r="E2599" s="99"/>
      <c r="F2599" s="99"/>
      <c r="G2599" s="99"/>
      <c r="H2599" s="99"/>
      <c r="I2599" s="99"/>
      <c r="J2599" s="99"/>
      <c r="K2599" s="99"/>
      <c r="L2599" s="99"/>
      <c r="M2599" s="99"/>
      <c r="N2599" s="99"/>
      <c r="O2599" s="99"/>
      <c r="P2599" s="99"/>
      <c r="Q2599" s="99"/>
      <c r="R2599" s="99"/>
      <c r="S2599" s="99"/>
      <c r="T2599" s="99"/>
      <c r="U2599" s="99"/>
      <c r="V2599" s="99"/>
      <c r="W2599" s="105"/>
      <c r="X2599" s="105"/>
      <c r="Y2599" s="105"/>
      <c r="Z2599" s="105"/>
      <c r="AA2599" s="105"/>
      <c r="AB2599" s="105"/>
      <c r="AC2599" s="105"/>
      <c r="AD2599" s="105"/>
      <c r="AE2599" s="105"/>
      <c r="AF2599" s="105"/>
      <c r="AG2599" s="105"/>
      <c r="AH2599" s="105"/>
      <c r="AI2599" s="105"/>
      <c r="AJ2599" s="171"/>
      <c r="AK2599" s="105"/>
      <c r="AL2599" s="91"/>
      <c r="AM2599" s="91"/>
      <c r="AN2599" s="91"/>
      <c r="AO2599" s="105">
        <f>IF($AO$2452&gt;0,IPMT('Assumptions (Battery)'!$V$7,Model!W$1,'Assumptions (Battery)'!$V$10,'Assumptions (Battery)'!$V$5*Model!$AO$2452*'Assumptions (Battery)'!$AM$2/10^9),0)</f>
        <v>0</v>
      </c>
      <c r="AP2599" s="105">
        <f>IF($AO$2452&gt;0,IPMT('Assumptions (Battery)'!$V$7,Model!X$1,'Assumptions (Battery)'!$V$10,'Assumptions (Battery)'!$V$5*Model!$AO$2452*'Assumptions (Battery)'!$AM$2/10^9),0)</f>
        <v>0</v>
      </c>
      <c r="AQ2599" s="105">
        <f>IF($AO$2452&gt;0,IPMT('Assumptions (Battery)'!$V$7,Model!Y$1,'Assumptions (Battery)'!$V$10,'Assumptions (Battery)'!$V$5*Model!$AO$2452*'Assumptions (Battery)'!$AM$2/10^9),0)</f>
        <v>0</v>
      </c>
      <c r="AR2599" s="105">
        <f>IF($AO$2452&gt;0,IPMT('Assumptions (Battery)'!$V$7,Model!Z$1,'Assumptions (Battery)'!$V$10,'Assumptions (Battery)'!$V$5*Model!$AO$2452*'Assumptions (Battery)'!$AM$2/10^9),0)</f>
        <v>0</v>
      </c>
      <c r="AS2599" s="105">
        <f>IF($AO$2452&gt;0,IPMT('Assumptions (Battery)'!$V$7,Model!AA$1,'Assumptions (Battery)'!$V$10,'Assumptions (Battery)'!$V$5*Model!$AO$2452*'Assumptions (Battery)'!$AM$2/10^9),0)</f>
        <v>0</v>
      </c>
      <c r="AT2599" s="105">
        <f>IF($AO$2452&gt;0,IPMT('Assumptions (Battery)'!$V$7,Model!AB$1,'Assumptions (Battery)'!$V$10,'Assumptions (Battery)'!$V$5*Model!$AO$2452*'Assumptions (Battery)'!$AM$2/10^9),0)</f>
        <v>0</v>
      </c>
      <c r="AU2599" s="105">
        <f>IF($AO$2452&gt;0,IPMT('Assumptions (Battery)'!$V$7,Model!AC$1,'Assumptions (Battery)'!$V$10,'Assumptions (Battery)'!$V$5*Model!$AO$2452*'Assumptions (Battery)'!$AM$2/10^9),0)</f>
        <v>0</v>
      </c>
      <c r="AV2599" s="105">
        <f>IF($AO$2452&gt;0,IPMT('Assumptions (Battery)'!$V$7,Model!AD$1,'Assumptions (Battery)'!$V$10,'Assumptions (Battery)'!$V$5*Model!$AO$2452*'Assumptions (Battery)'!$AM$2/10^9),0)</f>
        <v>0</v>
      </c>
      <c r="AW2599" s="105">
        <f>IF($AO$2452&gt;0,IPMT('Assumptions (Battery)'!$V$7,Model!AE$1,'Assumptions (Battery)'!$V$10,'Assumptions (Battery)'!$V$5*Model!$AO$2452*'Assumptions (Battery)'!$AM$2/10^9),0)</f>
        <v>0</v>
      </c>
      <c r="AX2599" s="105">
        <f>IF($AO$2452&gt;0,IPMT('Assumptions (Battery)'!$V$7,Model!AF$1,'Assumptions (Battery)'!$V$10,'Assumptions (Battery)'!$V$5*Model!$AO$2452*'Assumptions (Battery)'!$AM$2/10^9),0)</f>
        <v>0</v>
      </c>
      <c r="AY2599" s="105">
        <f>IF($AO$2452&gt;0,IPMT('Assumptions (Battery)'!$V$7,Model!AG$1,'Assumptions (Battery)'!$V$10,'Assumptions (Battery)'!$V$5*Model!$AO$2452*'Assumptions (Battery)'!$AM$2/10^9),0)</f>
        <v>0</v>
      </c>
      <c r="AZ2599" s="105">
        <f>IF($AO$2452&gt;0,IPMT('Assumptions (Battery)'!$V$7,Model!AH$1,'Assumptions (Battery)'!$V$10,'Assumptions (Battery)'!$V$5*Model!$AO$2452*'Assumptions (Battery)'!$AM$2/10^9),0)</f>
        <v>0</v>
      </c>
      <c r="BA2599" s="105">
        <f>IF($AO$2452&gt;0,IPMT('Assumptions (Battery)'!$V$7,Model!AI$1,'Assumptions (Battery)'!$V$10,'Assumptions (Battery)'!$V$5*Model!$AO$2452*'Assumptions (Battery)'!$AM$2/10^9),0)</f>
        <v>0</v>
      </c>
      <c r="BB2599" s="105">
        <f>IF($AO$2452&gt;0,IPMT('Assumptions (Battery)'!$V$7,Model!AJ$1,'Assumptions (Battery)'!$V$10,'Assumptions (Battery)'!$V$5*Model!$AO$2452*'Assumptions (Battery)'!$AM$2/10^9),0)</f>
        <v>0</v>
      </c>
      <c r="BC2599" s="105">
        <f>IF($AO$2452&gt;0,IPMT('Assumptions (Battery)'!$V$7,Model!AK$1,'Assumptions (Battery)'!$V$10,'Assumptions (Battery)'!$V$5*Model!$AO$2452*'Assumptions (Battery)'!$AM$2/10^9),0)</f>
        <v>0</v>
      </c>
      <c r="BD2599" s="105"/>
      <c r="BE2599" s="105"/>
      <c r="BF2599" s="105"/>
      <c r="BG2599" s="105"/>
      <c r="BH2599" s="105"/>
      <c r="BI2599" s="105"/>
      <c r="BJ2599" s="105"/>
      <c r="BK2599" s="105"/>
      <c r="BL2599" s="105"/>
      <c r="BM2599" s="105"/>
    </row>
    <row r="2600" spans="1:68" ht="15.75" hidden="1" customHeight="1" outlineLevel="1">
      <c r="A2600" s="454"/>
      <c r="B2600" s="99"/>
      <c r="C2600" s="99"/>
      <c r="D2600" s="99"/>
      <c r="E2600" s="99"/>
      <c r="F2600" s="99"/>
      <c r="G2600" s="99"/>
      <c r="H2600" s="99"/>
      <c r="I2600" s="99"/>
      <c r="J2600" s="99"/>
      <c r="K2600" s="99"/>
      <c r="L2600" s="99"/>
      <c r="M2600" s="99"/>
      <c r="N2600" s="99"/>
      <c r="O2600" s="99"/>
      <c r="P2600" s="99"/>
      <c r="Q2600" s="99"/>
      <c r="R2600" s="99"/>
      <c r="S2600" s="99"/>
      <c r="T2600" s="99"/>
      <c r="U2600" s="99"/>
      <c r="V2600" s="99"/>
      <c r="W2600" s="105"/>
      <c r="X2600" s="105"/>
      <c r="Y2600" s="105"/>
      <c r="Z2600" s="105"/>
      <c r="AA2600" s="105"/>
      <c r="AB2600" s="105"/>
      <c r="AC2600" s="105"/>
      <c r="AD2600" s="105"/>
      <c r="AE2600" s="105"/>
      <c r="AF2600" s="105"/>
      <c r="AG2600" s="105"/>
      <c r="AH2600" s="105"/>
      <c r="AI2600" s="105"/>
      <c r="AJ2600" s="171"/>
      <c r="AK2600" s="105"/>
      <c r="AL2600" s="91"/>
      <c r="AM2600" s="91"/>
      <c r="AN2600" s="91"/>
      <c r="AO2600" s="105"/>
      <c r="AP2600" s="105">
        <f>IF($AP$2452&gt;0,IPMT('Assumptions (Battery)'!$V$7,Model!W$1,'Assumptions (Battery)'!$V$10,'Assumptions (Battery)'!$V$5*Model!$AP$2452*'Assumptions (Battery)'!$AN$2/10^9),0)</f>
        <v>0</v>
      </c>
      <c r="AQ2600" s="105">
        <f>IF($AP$2452&gt;0,IPMT('Assumptions (Battery)'!$V$7,Model!X$1,'Assumptions (Battery)'!$V$10,'Assumptions (Battery)'!$V$5*Model!$AP$2452*'Assumptions (Battery)'!$AN$2/10^9),0)</f>
        <v>0</v>
      </c>
      <c r="AR2600" s="105">
        <f>IF($AP$2452&gt;0,IPMT('Assumptions (Battery)'!$V$7,Model!Y$1,'Assumptions (Battery)'!$V$10,'Assumptions (Battery)'!$V$5*Model!$AP$2452*'Assumptions (Battery)'!$AN$2/10^9),0)</f>
        <v>0</v>
      </c>
      <c r="AS2600" s="105">
        <f>IF($AP$2452&gt;0,IPMT('Assumptions (Battery)'!$V$7,Model!Z$1,'Assumptions (Battery)'!$V$10,'Assumptions (Battery)'!$V$5*Model!$AP$2452*'Assumptions (Battery)'!$AN$2/10^9),0)</f>
        <v>0</v>
      </c>
      <c r="AT2600" s="105">
        <f>IF($AP$2452&gt;0,IPMT('Assumptions (Battery)'!$V$7,Model!AA$1,'Assumptions (Battery)'!$V$10,'Assumptions (Battery)'!$V$5*Model!$AP$2452*'Assumptions (Battery)'!$AN$2/10^9),0)</f>
        <v>0</v>
      </c>
      <c r="AU2600" s="105">
        <f>IF($AP$2452&gt;0,IPMT('Assumptions (Battery)'!$V$7,Model!AB$1,'Assumptions (Battery)'!$V$10,'Assumptions (Battery)'!$V$5*Model!$AP$2452*'Assumptions (Battery)'!$AN$2/10^9),0)</f>
        <v>0</v>
      </c>
      <c r="AV2600" s="105">
        <f>IF($AP$2452&gt;0,IPMT('Assumptions (Battery)'!$V$7,Model!AC$1,'Assumptions (Battery)'!$V$10,'Assumptions (Battery)'!$V$5*Model!$AP$2452*'Assumptions (Battery)'!$AN$2/10^9),0)</f>
        <v>0</v>
      </c>
      <c r="AW2600" s="105">
        <f>IF($AP$2452&gt;0,IPMT('Assumptions (Battery)'!$V$7,Model!AD$1,'Assumptions (Battery)'!$V$10,'Assumptions (Battery)'!$V$5*Model!$AP$2452*'Assumptions (Battery)'!$AN$2/10^9),0)</f>
        <v>0</v>
      </c>
      <c r="AX2600" s="105">
        <f>IF($AP$2452&gt;0,IPMT('Assumptions (Battery)'!$V$7,Model!AE$1,'Assumptions (Battery)'!$V$10,'Assumptions (Battery)'!$V$5*Model!$AP$2452*'Assumptions (Battery)'!$AN$2/10^9),0)</f>
        <v>0</v>
      </c>
      <c r="AY2600" s="105">
        <f>IF($AP$2452&gt;0,IPMT('Assumptions (Battery)'!$V$7,Model!AF$1,'Assumptions (Battery)'!$V$10,'Assumptions (Battery)'!$V$5*Model!$AP$2452*'Assumptions (Battery)'!$AN$2/10^9),0)</f>
        <v>0</v>
      </c>
      <c r="AZ2600" s="105">
        <f>IF($AP$2452&gt;0,IPMT('Assumptions (Battery)'!$V$7,Model!AG$1,'Assumptions (Battery)'!$V$10,'Assumptions (Battery)'!$V$5*Model!$AP$2452*'Assumptions (Battery)'!$AN$2/10^9),0)</f>
        <v>0</v>
      </c>
      <c r="BA2600" s="105">
        <f>IF($AP$2452&gt;0,IPMT('Assumptions (Battery)'!$V$7,Model!AH$1,'Assumptions (Battery)'!$V$10,'Assumptions (Battery)'!$V$5*Model!$AP$2452*'Assumptions (Battery)'!$AN$2/10^9),0)</f>
        <v>0</v>
      </c>
      <c r="BB2600" s="105">
        <f>IF($AP$2452&gt;0,IPMT('Assumptions (Battery)'!$V$7,Model!AI$1,'Assumptions (Battery)'!$V$10,'Assumptions (Battery)'!$V$5*Model!$AP$2452*'Assumptions (Battery)'!$AN$2/10^9),0)</f>
        <v>0</v>
      </c>
      <c r="BC2600" s="105">
        <f>IF($AP$2452&gt;0,IPMT('Assumptions (Battery)'!$V$7,Model!AJ$1,'Assumptions (Battery)'!$V$10,'Assumptions (Battery)'!$V$5*Model!$AP$2452*'Assumptions (Battery)'!$AN$2/10^9),0)</f>
        <v>0</v>
      </c>
      <c r="BD2600" s="105">
        <f>IF($AP$2452&gt;0,IPMT('Assumptions (Battery)'!$V$7,Model!AK$1,'Assumptions (Battery)'!$V$10,'Assumptions (Battery)'!$V$5*Model!$AP$2452*'Assumptions (Battery)'!$AN$2/10^9),0)</f>
        <v>0</v>
      </c>
      <c r="BE2600" s="105"/>
      <c r="BF2600" s="105"/>
      <c r="BG2600" s="105"/>
      <c r="BH2600" s="105"/>
      <c r="BI2600" s="105"/>
      <c r="BJ2600" s="105"/>
      <c r="BK2600" s="105"/>
      <c r="BL2600" s="105"/>
      <c r="BM2600" s="105"/>
      <c r="BN2600" s="105"/>
    </row>
    <row r="2601" spans="1:68" ht="15.75" hidden="1" customHeight="1" outlineLevel="1">
      <c r="A2601" s="454"/>
      <c r="B2601" s="99"/>
      <c r="C2601" s="99"/>
      <c r="D2601" s="99"/>
      <c r="E2601" s="99"/>
      <c r="F2601" s="99"/>
      <c r="G2601" s="99"/>
      <c r="H2601" s="99"/>
      <c r="I2601" s="99"/>
      <c r="J2601" s="99"/>
      <c r="K2601" s="99"/>
      <c r="L2601" s="99"/>
      <c r="M2601" s="99"/>
      <c r="N2601" s="99"/>
      <c r="O2601" s="99"/>
      <c r="P2601" s="99"/>
      <c r="Q2601" s="99"/>
      <c r="R2601" s="99"/>
      <c r="S2601" s="99"/>
      <c r="T2601" s="99"/>
      <c r="U2601" s="99"/>
      <c r="V2601" s="99"/>
      <c r="W2601" s="105"/>
      <c r="X2601" s="105"/>
      <c r="Y2601" s="105"/>
      <c r="Z2601" s="105"/>
      <c r="AA2601" s="105"/>
      <c r="AB2601" s="105"/>
      <c r="AC2601" s="105"/>
      <c r="AD2601" s="105"/>
      <c r="AE2601" s="105"/>
      <c r="AF2601" s="105"/>
      <c r="AG2601" s="105"/>
      <c r="AH2601" s="105"/>
      <c r="AI2601" s="105"/>
      <c r="AJ2601" s="171"/>
      <c r="AK2601" s="105"/>
      <c r="AL2601" s="91"/>
      <c r="AM2601" s="91"/>
      <c r="AN2601" s="91"/>
      <c r="AO2601" s="105"/>
      <c r="AP2601" s="105"/>
      <c r="AQ2601" s="105">
        <f>IF($AQ$2452&gt;0,IPMT('Assumptions (Battery)'!$V$7,Model!W$1,'Assumptions (Battery)'!$V$10,'Assumptions (Battery)'!$V$5*Model!$AQ$2452*'Assumptions (Battery)'!$AO$2/10^9),0)</f>
        <v>0</v>
      </c>
      <c r="AR2601" s="105">
        <f>IF($AQ$2452&gt;0,IPMT('Assumptions (Battery)'!$V$7,Model!X$1,'Assumptions (Battery)'!$V$10,'Assumptions (Battery)'!$V$5*Model!$AQ$2452*'Assumptions (Battery)'!$AO$2/10^9),0)</f>
        <v>0</v>
      </c>
      <c r="AS2601" s="105">
        <f>IF($AQ$2452&gt;0,IPMT('Assumptions (Battery)'!$V$7,Model!Y$1,'Assumptions (Battery)'!$V$10,'Assumptions (Battery)'!$V$5*Model!$AQ$2452*'Assumptions (Battery)'!$AO$2/10^9),0)</f>
        <v>0</v>
      </c>
      <c r="AT2601" s="105">
        <f>IF($AQ$2452&gt;0,IPMT('Assumptions (Battery)'!$V$7,Model!Z$1,'Assumptions (Battery)'!$V$10,'Assumptions (Battery)'!$V$5*Model!$AQ$2452*'Assumptions (Battery)'!$AO$2/10^9),0)</f>
        <v>0</v>
      </c>
      <c r="AU2601" s="105">
        <f>IF($AQ$2452&gt;0,IPMT('Assumptions (Battery)'!$V$7,Model!AA$1,'Assumptions (Battery)'!$V$10,'Assumptions (Battery)'!$V$5*Model!$AQ$2452*'Assumptions (Battery)'!$AO$2/10^9),0)</f>
        <v>0</v>
      </c>
      <c r="AV2601" s="105">
        <f>IF($AQ$2452&gt;0,IPMT('Assumptions (Battery)'!$V$7,Model!AB$1,'Assumptions (Battery)'!$V$10,'Assumptions (Battery)'!$V$5*Model!$AQ$2452*'Assumptions (Battery)'!$AO$2/10^9),0)</f>
        <v>0</v>
      </c>
      <c r="AW2601" s="105">
        <f>IF($AQ$2452&gt;0,IPMT('Assumptions (Battery)'!$V$7,Model!AC$1,'Assumptions (Battery)'!$V$10,'Assumptions (Battery)'!$V$5*Model!$AQ$2452*'Assumptions (Battery)'!$AO$2/10^9),0)</f>
        <v>0</v>
      </c>
      <c r="AX2601" s="105">
        <f>IF($AQ$2452&gt;0,IPMT('Assumptions (Battery)'!$V$7,Model!AD$1,'Assumptions (Battery)'!$V$10,'Assumptions (Battery)'!$V$5*Model!$AQ$2452*'Assumptions (Battery)'!$AO$2/10^9),0)</f>
        <v>0</v>
      </c>
      <c r="AY2601" s="105">
        <f>IF($AQ$2452&gt;0,IPMT('Assumptions (Battery)'!$V$7,Model!AE$1,'Assumptions (Battery)'!$V$10,'Assumptions (Battery)'!$V$5*Model!$AQ$2452*'Assumptions (Battery)'!$AO$2/10^9),0)</f>
        <v>0</v>
      </c>
      <c r="AZ2601" s="105">
        <f>IF($AQ$2452&gt;0,IPMT('Assumptions (Battery)'!$V$7,Model!AF$1,'Assumptions (Battery)'!$V$10,'Assumptions (Battery)'!$V$5*Model!$AQ$2452*'Assumptions (Battery)'!$AO$2/10^9),0)</f>
        <v>0</v>
      </c>
      <c r="BA2601" s="105">
        <f>IF($AQ$2452&gt;0,IPMT('Assumptions (Battery)'!$V$7,Model!AG$1,'Assumptions (Battery)'!$V$10,'Assumptions (Battery)'!$V$5*Model!$AQ$2452*'Assumptions (Battery)'!$AO$2/10^9),0)</f>
        <v>0</v>
      </c>
      <c r="BB2601" s="105">
        <f>IF($AQ$2452&gt;0,IPMT('Assumptions (Battery)'!$V$7,Model!AH$1,'Assumptions (Battery)'!$V$10,'Assumptions (Battery)'!$V$5*Model!$AQ$2452*'Assumptions (Battery)'!$AO$2/10^9),0)</f>
        <v>0</v>
      </c>
      <c r="BC2601" s="105">
        <f>IF($AQ$2452&gt;0,IPMT('Assumptions (Battery)'!$V$7,Model!AI$1,'Assumptions (Battery)'!$V$10,'Assumptions (Battery)'!$V$5*Model!$AQ$2452*'Assumptions (Battery)'!$AO$2/10^9),0)</f>
        <v>0</v>
      </c>
      <c r="BD2601" s="105">
        <f>IF($AQ$2452&gt;0,IPMT('Assumptions (Battery)'!$V$7,Model!AJ$1,'Assumptions (Battery)'!$V$10,'Assumptions (Battery)'!$V$5*Model!$AQ$2452*'Assumptions (Battery)'!$AO$2/10^9),0)</f>
        <v>0</v>
      </c>
      <c r="BE2601" s="105">
        <f>IF($AQ$2452&gt;0,IPMT('Assumptions (Battery)'!$V$7,Model!AK$1,'Assumptions (Battery)'!$V$10,'Assumptions (Battery)'!$V$5*Model!$AQ$2452*'Assumptions (Battery)'!$AO$2/10^9),0)</f>
        <v>0</v>
      </c>
      <c r="BF2601" s="105"/>
      <c r="BG2601" s="105"/>
      <c r="BH2601" s="105"/>
      <c r="BI2601" s="105"/>
      <c r="BJ2601" s="105"/>
      <c r="BK2601" s="105"/>
      <c r="BL2601" s="105"/>
      <c r="BM2601" s="105"/>
      <c r="BN2601" s="105"/>
      <c r="BO2601" s="105"/>
    </row>
    <row r="2602" spans="1:68" ht="15.75" hidden="1" customHeight="1" outlineLevel="1">
      <c r="A2602" s="454"/>
      <c r="B2602" s="99"/>
      <c r="C2602" s="99"/>
      <c r="D2602" s="99"/>
      <c r="E2602" s="99"/>
      <c r="F2602" s="99"/>
      <c r="G2602" s="99"/>
      <c r="H2602" s="99"/>
      <c r="I2602" s="99"/>
      <c r="J2602" s="99"/>
      <c r="K2602" s="99"/>
      <c r="L2602" s="99"/>
      <c r="M2602" s="99"/>
      <c r="N2602" s="99"/>
      <c r="O2602" s="99"/>
      <c r="P2602" s="99"/>
      <c r="Q2602" s="99"/>
      <c r="R2602" s="99"/>
      <c r="S2602" s="99"/>
      <c r="T2602" s="99"/>
      <c r="U2602" s="99"/>
      <c r="V2602" s="99"/>
      <c r="W2602" s="105"/>
      <c r="X2602" s="105"/>
      <c r="Y2602" s="105"/>
      <c r="Z2602" s="105"/>
      <c r="AA2602" s="105"/>
      <c r="AB2602" s="105"/>
      <c r="AC2602" s="105"/>
      <c r="AD2602" s="105"/>
      <c r="AE2602" s="105"/>
      <c r="AF2602" s="105"/>
      <c r="AG2602" s="105"/>
      <c r="AH2602" s="105"/>
      <c r="AI2602" s="105"/>
      <c r="AJ2602" s="171"/>
      <c r="AK2602" s="105"/>
      <c r="AL2602" s="91"/>
      <c r="AM2602" s="91"/>
      <c r="AN2602" s="91"/>
      <c r="AO2602" s="105"/>
      <c r="AP2602" s="105"/>
      <c r="AQ2602" s="105"/>
      <c r="AR2602" s="105">
        <f>IF($AR$2452&gt;0,IPMT('Assumptions (Battery)'!$V$7,Model!W$1,'Assumptions (Battery)'!$V$10,'Assumptions (Battery)'!$V$5*Model!$AR$2452*'Assumptions (Battery)'!$AP$2/10^9),0)</f>
        <v>0</v>
      </c>
      <c r="AS2602" s="105">
        <f>IF($AR$2452&gt;0,IPMT('Assumptions (Battery)'!$V$7,Model!X$1,'Assumptions (Battery)'!$V$10,'Assumptions (Battery)'!$V$5*Model!$AR$2452*'Assumptions (Battery)'!$AP$2/10^9),0)</f>
        <v>0</v>
      </c>
      <c r="AT2602" s="105">
        <f>IF($AR$2452&gt;0,IPMT('Assumptions (Battery)'!$V$7,Model!Y$1,'Assumptions (Battery)'!$V$10,'Assumptions (Battery)'!$V$5*Model!$AR$2452*'Assumptions (Battery)'!$AP$2/10^9),0)</f>
        <v>0</v>
      </c>
      <c r="AU2602" s="105">
        <f>IF($AR$2452&gt;0,IPMT('Assumptions (Battery)'!$V$7,Model!Z$1,'Assumptions (Battery)'!$V$10,'Assumptions (Battery)'!$V$5*Model!$AR$2452*'Assumptions (Battery)'!$AP$2/10^9),0)</f>
        <v>0</v>
      </c>
      <c r="AV2602" s="105">
        <f>IF($AR$2452&gt;0,IPMT('Assumptions (Battery)'!$V$7,Model!AA$1,'Assumptions (Battery)'!$V$10,'Assumptions (Battery)'!$V$5*Model!$AR$2452*'Assumptions (Battery)'!$AP$2/10^9),0)</f>
        <v>0</v>
      </c>
      <c r="AW2602" s="105">
        <f>IF($AR$2452&gt;0,IPMT('Assumptions (Battery)'!$V$7,Model!AB$1,'Assumptions (Battery)'!$V$10,'Assumptions (Battery)'!$V$5*Model!$AR$2452*'Assumptions (Battery)'!$AP$2/10^9),0)</f>
        <v>0</v>
      </c>
      <c r="AX2602" s="105">
        <f>IF($AR$2452&gt;0,IPMT('Assumptions (Battery)'!$V$7,Model!AC$1,'Assumptions (Battery)'!$V$10,'Assumptions (Battery)'!$V$5*Model!$AR$2452*'Assumptions (Battery)'!$AP$2/10^9),0)</f>
        <v>0</v>
      </c>
      <c r="AY2602" s="105">
        <f>IF($AR$2452&gt;0,IPMT('Assumptions (Battery)'!$V$7,Model!AD$1,'Assumptions (Battery)'!$V$10,'Assumptions (Battery)'!$V$5*Model!$AR$2452*'Assumptions (Battery)'!$AP$2/10^9),0)</f>
        <v>0</v>
      </c>
      <c r="AZ2602" s="105">
        <f>IF($AR$2452&gt;0,IPMT('Assumptions (Battery)'!$V$7,Model!AE$1,'Assumptions (Battery)'!$V$10,'Assumptions (Battery)'!$V$5*Model!$AR$2452*'Assumptions (Battery)'!$AP$2/10^9),0)</f>
        <v>0</v>
      </c>
      <c r="BA2602" s="105">
        <f>IF($AR$2452&gt;0,IPMT('Assumptions (Battery)'!$V$7,Model!AF$1,'Assumptions (Battery)'!$V$10,'Assumptions (Battery)'!$V$5*Model!$AR$2452*'Assumptions (Battery)'!$AP$2/10^9),0)</f>
        <v>0</v>
      </c>
      <c r="BB2602" s="105">
        <f>IF($AR$2452&gt;0,IPMT('Assumptions (Battery)'!$V$7,Model!AG$1,'Assumptions (Battery)'!$V$10,'Assumptions (Battery)'!$V$5*Model!$AR$2452*'Assumptions (Battery)'!$AP$2/10^9),0)</f>
        <v>0</v>
      </c>
      <c r="BC2602" s="105">
        <f>IF($AR$2452&gt;0,IPMT('Assumptions (Battery)'!$V$7,Model!AH$1,'Assumptions (Battery)'!$V$10,'Assumptions (Battery)'!$V$5*Model!$AR$2452*'Assumptions (Battery)'!$AP$2/10^9),0)</f>
        <v>0</v>
      </c>
      <c r="BD2602" s="105">
        <f>IF($AR$2452&gt;0,IPMT('Assumptions (Battery)'!$V$7,Model!AI$1,'Assumptions (Battery)'!$V$10,'Assumptions (Battery)'!$V$5*Model!$AR$2452*'Assumptions (Battery)'!$AP$2/10^9),0)</f>
        <v>0</v>
      </c>
      <c r="BE2602" s="105">
        <f>IF($AR$2452&gt;0,IPMT('Assumptions (Battery)'!$V$7,Model!AJ$1,'Assumptions (Battery)'!$V$10,'Assumptions (Battery)'!$V$5*Model!$AR$2452*'Assumptions (Battery)'!$AP$2/10^9),0)</f>
        <v>0</v>
      </c>
      <c r="BF2602" s="105">
        <f>IF($AR$2452&gt;0,IPMT('Assumptions (Battery)'!$V$7,Model!AK$1,'Assumptions (Battery)'!$V$10,'Assumptions (Battery)'!$V$5*Model!$AR$2452*'Assumptions (Battery)'!$AP$2/10^9),0)</f>
        <v>0</v>
      </c>
      <c r="BG2602" s="105"/>
      <c r="BH2602" s="105"/>
      <c r="BI2602" s="105"/>
      <c r="BJ2602" s="105"/>
      <c r="BK2602" s="105"/>
      <c r="BL2602" s="105"/>
      <c r="BM2602" s="105"/>
      <c r="BN2602" s="105"/>
      <c r="BO2602" s="105"/>
      <c r="BP2602" s="105"/>
    </row>
    <row r="2603" spans="1:68" ht="15.75" hidden="1" customHeight="1" outlineLevel="1">
      <c r="A2603" s="454"/>
      <c r="B2603" s="99"/>
      <c r="C2603" s="99"/>
      <c r="D2603" s="99"/>
      <c r="E2603" s="99"/>
      <c r="F2603" s="99"/>
      <c r="G2603" s="99"/>
      <c r="H2603" s="99"/>
      <c r="I2603" s="99"/>
      <c r="J2603" s="99"/>
      <c r="K2603" s="99"/>
      <c r="L2603" s="99"/>
      <c r="M2603" s="99"/>
      <c r="N2603" s="99"/>
      <c r="O2603" s="99"/>
      <c r="P2603" s="99"/>
      <c r="Q2603" s="99"/>
      <c r="R2603" s="99"/>
      <c r="S2603" s="99"/>
      <c r="T2603" s="99"/>
      <c r="U2603" s="99"/>
      <c r="V2603" s="99"/>
      <c r="W2603" s="105"/>
      <c r="X2603" s="105"/>
      <c r="Y2603" s="105"/>
      <c r="Z2603" s="105"/>
      <c r="AA2603" s="105"/>
      <c r="AB2603" s="105"/>
      <c r="AC2603" s="105"/>
      <c r="AD2603" s="105"/>
      <c r="AE2603" s="105"/>
      <c r="AF2603" s="105"/>
      <c r="AG2603" s="105"/>
      <c r="AH2603" s="105"/>
      <c r="AI2603" s="105"/>
      <c r="AJ2603" s="171"/>
      <c r="AK2603" s="105"/>
      <c r="AL2603" s="91"/>
      <c r="AM2603" s="91"/>
      <c r="AN2603" s="91"/>
      <c r="AO2603" s="105"/>
      <c r="AP2603" s="105"/>
      <c r="AQ2603" s="105"/>
      <c r="AR2603" s="105"/>
      <c r="AS2603" s="105">
        <f>IF($AS$2452&gt;0,IPMT('Assumptions (Battery)'!$V$7,Model!W$1,'Assumptions (Battery)'!$V$10,'Assumptions (Battery)'!$V$5*Model!$AS$2452*'Assumptions (Battery)'!$AQ$2/10^9),0)</f>
        <v>0</v>
      </c>
      <c r="AT2603" s="105">
        <f>IF($AS$2452&gt;0,IPMT('Assumptions (Battery)'!$V$7,Model!X$1,'Assumptions (Battery)'!$V$10,'Assumptions (Battery)'!$V$5*Model!$AS$2452*'Assumptions (Battery)'!$AQ$2/10^9),0)</f>
        <v>0</v>
      </c>
      <c r="AU2603" s="105">
        <f>IF($AS$2452&gt;0,IPMT('Assumptions (Battery)'!$V$7,Model!Y$1,'Assumptions (Battery)'!$V$10,'Assumptions (Battery)'!$V$5*Model!$AS$2452*'Assumptions (Battery)'!$AQ$2/10^9),0)</f>
        <v>0</v>
      </c>
      <c r="AV2603" s="105">
        <f>IF($AS$2452&gt;0,IPMT('Assumptions (Battery)'!$V$7,Model!Z$1,'Assumptions (Battery)'!$V$10,'Assumptions (Battery)'!$V$5*Model!$AS$2452*'Assumptions (Battery)'!$AQ$2/10^9),0)</f>
        <v>0</v>
      </c>
      <c r="AW2603" s="105">
        <f>IF($AS$2452&gt;0,IPMT('Assumptions (Battery)'!$V$7,Model!AA$1,'Assumptions (Battery)'!$V$10,'Assumptions (Battery)'!$V$5*Model!$AS$2452*'Assumptions (Battery)'!$AQ$2/10^9),0)</f>
        <v>0</v>
      </c>
      <c r="AX2603" s="105">
        <f>IF($AS$2452&gt;0,IPMT('Assumptions (Battery)'!$V$7,Model!AB$1,'Assumptions (Battery)'!$V$10,'Assumptions (Battery)'!$V$5*Model!$AS$2452*'Assumptions (Battery)'!$AQ$2/10^9),0)</f>
        <v>0</v>
      </c>
      <c r="AY2603" s="105">
        <f>IF($AS$2452&gt;0,IPMT('Assumptions (Battery)'!$V$7,Model!AC$1,'Assumptions (Battery)'!$V$10,'Assumptions (Battery)'!$V$5*Model!$AS$2452*'Assumptions (Battery)'!$AQ$2/10^9),0)</f>
        <v>0</v>
      </c>
      <c r="AZ2603" s="105">
        <f>IF($AS$2452&gt;0,IPMT('Assumptions (Battery)'!$V$7,Model!AD$1,'Assumptions (Battery)'!$V$10,'Assumptions (Battery)'!$V$5*Model!$AS$2452*'Assumptions (Battery)'!$AQ$2/10^9),0)</f>
        <v>0</v>
      </c>
      <c r="BA2603" s="105">
        <f>IF($AS$2452&gt;0,IPMT('Assumptions (Battery)'!$V$7,Model!AE$1,'Assumptions (Battery)'!$V$10,'Assumptions (Battery)'!$V$5*Model!$AS$2452*'Assumptions (Battery)'!$AQ$2/10^9),0)</f>
        <v>0</v>
      </c>
      <c r="BB2603" s="105">
        <f>IF($AS$2452&gt;0,IPMT('Assumptions (Battery)'!$V$7,Model!AF$1,'Assumptions (Battery)'!$V$10,'Assumptions (Battery)'!$V$5*Model!$AS$2452*'Assumptions (Battery)'!$AQ$2/10^9),0)</f>
        <v>0</v>
      </c>
      <c r="BC2603" s="105">
        <f>IF($AS$2452&gt;0,IPMT('Assumptions (Battery)'!$V$7,Model!AG$1,'Assumptions (Battery)'!$V$10,'Assumptions (Battery)'!$V$5*Model!$AS$2452*'Assumptions (Battery)'!$AQ$2/10^9),0)</f>
        <v>0</v>
      </c>
      <c r="BD2603" s="105">
        <f>IF($AS$2452&gt;0,IPMT('Assumptions (Battery)'!$V$7,Model!AH$1,'Assumptions (Battery)'!$V$10,'Assumptions (Battery)'!$V$5*Model!$AS$2452*'Assumptions (Battery)'!$AQ$2/10^9),0)</f>
        <v>0</v>
      </c>
      <c r="BE2603" s="105">
        <f>IF($AS$2452&gt;0,IPMT('Assumptions (Battery)'!$V$7,Model!AI$1,'Assumptions (Battery)'!$V$10,'Assumptions (Battery)'!$V$5*Model!$AS$2452*'Assumptions (Battery)'!$AQ$2/10^9),0)</f>
        <v>0</v>
      </c>
      <c r="BF2603" s="105">
        <f>IF($AS$2452&gt;0,IPMT('Assumptions (Battery)'!$V$7,Model!AJ$1,'Assumptions (Battery)'!$V$10,'Assumptions (Battery)'!$V$5*Model!$AS$2452*'Assumptions (Battery)'!$AQ$2/10^9),0)</f>
        <v>0</v>
      </c>
      <c r="BG2603" s="105">
        <f>IF($AS$2452&gt;0,IPMT('Assumptions (Battery)'!$V$7,Model!AK$1,'Assumptions (Battery)'!$V$10,'Assumptions (Battery)'!$V$5*Model!$AS$2452*'Assumptions (Battery)'!$AQ$2/10^9),0)</f>
        <v>0</v>
      </c>
      <c r="BH2603" s="105"/>
      <c r="BI2603" s="105"/>
      <c r="BJ2603" s="105"/>
      <c r="BK2603" s="105"/>
      <c r="BL2603" s="105"/>
      <c r="BM2603" s="105"/>
      <c r="BN2603" s="105"/>
      <c r="BO2603" s="105"/>
      <c r="BP2603" s="105"/>
    </row>
    <row r="2604" spans="1:68" ht="15.75" hidden="1" customHeight="1" outlineLevel="1">
      <c r="A2604" s="454"/>
      <c r="B2604" s="99"/>
      <c r="C2604" s="99"/>
      <c r="D2604" s="99"/>
      <c r="E2604" s="99"/>
      <c r="F2604" s="99"/>
      <c r="G2604" s="99"/>
      <c r="H2604" s="99"/>
      <c r="I2604" s="99"/>
      <c r="J2604" s="99"/>
      <c r="K2604" s="99"/>
      <c r="L2604" s="99"/>
      <c r="M2604" s="99"/>
      <c r="N2604" s="99"/>
      <c r="O2604" s="99"/>
      <c r="P2604" s="99"/>
      <c r="Q2604" s="99"/>
      <c r="R2604" s="99"/>
      <c r="S2604" s="99"/>
      <c r="T2604" s="99"/>
      <c r="U2604" s="99"/>
      <c r="V2604" s="99"/>
      <c r="W2604" s="105"/>
      <c r="X2604" s="105"/>
      <c r="Y2604" s="105"/>
      <c r="Z2604" s="105"/>
      <c r="AA2604" s="105"/>
      <c r="AB2604" s="105"/>
      <c r="AC2604" s="105"/>
      <c r="AD2604" s="105"/>
      <c r="AE2604" s="105"/>
      <c r="AF2604" s="105"/>
      <c r="AG2604" s="105"/>
      <c r="AH2604" s="105"/>
      <c r="AI2604" s="105"/>
      <c r="AJ2604" s="171"/>
      <c r="AK2604" s="105"/>
      <c r="AL2604" s="91"/>
      <c r="AM2604" s="91"/>
      <c r="AN2604" s="91"/>
      <c r="AO2604" s="105"/>
      <c r="AP2604" s="105"/>
      <c r="AQ2604" s="105"/>
      <c r="AR2604" s="105"/>
      <c r="AS2604" s="105"/>
      <c r="AT2604" s="105">
        <f>IF($AT$2452&gt;0,IPMT('Assumptions (Battery)'!$V$7,Model!W$1,'Assumptions (Battery)'!$V$10,'Assumptions (Battery)'!$V$5*Model!$AT$2452*'Assumptions (Battery)'!$AR$2/10^9),0)</f>
        <v>0</v>
      </c>
      <c r="AU2604" s="105">
        <f>IF($AT$2452&gt;0,IPMT('Assumptions (Battery)'!$V$7,Model!X$1,'Assumptions (Battery)'!$V$10,'Assumptions (Battery)'!$V$5*Model!$AT$2452*'Assumptions (Battery)'!$AR$2/10^9),0)</f>
        <v>0</v>
      </c>
      <c r="AV2604" s="105">
        <f>IF($AT$2452&gt;0,IPMT('Assumptions (Battery)'!$V$7,Model!Y$1,'Assumptions (Battery)'!$V$10,'Assumptions (Battery)'!$V$5*Model!$AT$2452*'Assumptions (Battery)'!$AR$2/10^9),0)</f>
        <v>0</v>
      </c>
      <c r="AW2604" s="105">
        <f>IF($AT$2452&gt;0,IPMT('Assumptions (Battery)'!$V$7,Model!Z$1,'Assumptions (Battery)'!$V$10,'Assumptions (Battery)'!$V$5*Model!$AT$2452*'Assumptions (Battery)'!$AR$2/10^9),0)</f>
        <v>0</v>
      </c>
      <c r="AX2604" s="105">
        <f>IF($AT$2452&gt;0,IPMT('Assumptions (Battery)'!$V$7,Model!AA$1,'Assumptions (Battery)'!$V$10,'Assumptions (Battery)'!$V$5*Model!$AT$2452*'Assumptions (Battery)'!$AR$2/10^9),0)</f>
        <v>0</v>
      </c>
      <c r="AY2604" s="105">
        <f>IF($AT$2452&gt;0,IPMT('Assumptions (Battery)'!$V$7,Model!AB$1,'Assumptions (Battery)'!$V$10,'Assumptions (Battery)'!$V$5*Model!$AT$2452*'Assumptions (Battery)'!$AR$2/10^9),0)</f>
        <v>0</v>
      </c>
      <c r="AZ2604" s="105">
        <f>IF($AT$2452&gt;0,IPMT('Assumptions (Battery)'!$V$7,Model!AC$1,'Assumptions (Battery)'!$V$10,'Assumptions (Battery)'!$V$5*Model!$AT$2452*'Assumptions (Battery)'!$AR$2/10^9),0)</f>
        <v>0</v>
      </c>
      <c r="BA2604" s="105">
        <f>IF($AT$2452&gt;0,IPMT('Assumptions (Battery)'!$V$7,Model!AD$1,'Assumptions (Battery)'!$V$10,'Assumptions (Battery)'!$V$5*Model!$AT$2452*'Assumptions (Battery)'!$AR$2/10^9),0)</f>
        <v>0</v>
      </c>
      <c r="BB2604" s="105">
        <f>IF($AT$2452&gt;0,IPMT('Assumptions (Battery)'!$V$7,Model!AE$1,'Assumptions (Battery)'!$V$10,'Assumptions (Battery)'!$V$5*Model!$AT$2452*'Assumptions (Battery)'!$AR$2/10^9),0)</f>
        <v>0</v>
      </c>
      <c r="BC2604" s="105">
        <f>IF($AT$2452&gt;0,IPMT('Assumptions (Battery)'!$V$7,Model!AF$1,'Assumptions (Battery)'!$V$10,'Assumptions (Battery)'!$V$5*Model!$AT$2452*'Assumptions (Battery)'!$AR$2/10^9),0)</f>
        <v>0</v>
      </c>
      <c r="BD2604" s="105">
        <f>IF($AT$2452&gt;0,IPMT('Assumptions (Battery)'!$V$7,Model!AG$1,'Assumptions (Battery)'!$V$10,'Assumptions (Battery)'!$V$5*Model!$AT$2452*'Assumptions (Battery)'!$AR$2/10^9),0)</f>
        <v>0</v>
      </c>
      <c r="BE2604" s="105">
        <f>IF($AT$2452&gt;0,IPMT('Assumptions (Battery)'!$V$7,Model!AH$1,'Assumptions (Battery)'!$V$10,'Assumptions (Battery)'!$V$5*Model!$AT$2452*'Assumptions (Battery)'!$AR$2/10^9),0)</f>
        <v>0</v>
      </c>
      <c r="BF2604" s="105">
        <f>IF($AT$2452&gt;0,IPMT('Assumptions (Battery)'!$V$7,Model!AI$1,'Assumptions (Battery)'!$V$10,'Assumptions (Battery)'!$V$5*Model!$AT$2452*'Assumptions (Battery)'!$AR$2/10^9),0)</f>
        <v>0</v>
      </c>
      <c r="BG2604" s="105">
        <f>IF($AT$2452&gt;0,IPMT('Assumptions (Battery)'!$V$7,Model!AJ$1,'Assumptions (Battery)'!$V$10,'Assumptions (Battery)'!$V$5*Model!$AT$2452*'Assumptions (Battery)'!$AR$2/10^9),0)</f>
        <v>0</v>
      </c>
      <c r="BH2604" s="105">
        <f>IF($AT$2452&gt;0,IPMT('Assumptions (Battery)'!$V$7,Model!AK$1,'Assumptions (Battery)'!$V$10,'Assumptions (Battery)'!$V$5*Model!$AT$2452*'Assumptions (Battery)'!$AR$2/10^9),0)</f>
        <v>0</v>
      </c>
      <c r="BI2604" s="105"/>
      <c r="BJ2604" s="105"/>
      <c r="BK2604" s="105"/>
      <c r="BL2604" s="105"/>
      <c r="BM2604" s="105"/>
      <c r="BN2604" s="105"/>
      <c r="BO2604" s="105"/>
      <c r="BP2604" s="105"/>
    </row>
    <row r="2605" spans="1:68" ht="15.75" hidden="1" customHeight="1" outlineLevel="1">
      <c r="A2605" s="454"/>
      <c r="B2605" s="99"/>
      <c r="C2605" s="99"/>
      <c r="D2605" s="99"/>
      <c r="E2605" s="99"/>
      <c r="F2605" s="99"/>
      <c r="G2605" s="99"/>
      <c r="H2605" s="99"/>
      <c r="I2605" s="99"/>
      <c r="J2605" s="99"/>
      <c r="K2605" s="99"/>
      <c r="L2605" s="99"/>
      <c r="M2605" s="99"/>
      <c r="N2605" s="99"/>
      <c r="O2605" s="99"/>
      <c r="P2605" s="99"/>
      <c r="Q2605" s="99"/>
      <c r="R2605" s="99"/>
      <c r="S2605" s="99"/>
      <c r="T2605" s="99"/>
      <c r="U2605" s="99"/>
      <c r="V2605" s="99"/>
      <c r="W2605" s="105"/>
      <c r="X2605" s="105"/>
      <c r="Y2605" s="105"/>
      <c r="Z2605" s="105"/>
      <c r="AA2605" s="105"/>
      <c r="AB2605" s="105"/>
      <c r="AC2605" s="105"/>
      <c r="AD2605" s="105"/>
      <c r="AE2605" s="105"/>
      <c r="AF2605" s="105"/>
      <c r="AG2605" s="105"/>
      <c r="AH2605" s="105"/>
      <c r="AI2605" s="105"/>
      <c r="AJ2605" s="171"/>
      <c r="AK2605" s="105"/>
      <c r="AL2605" s="91"/>
      <c r="AM2605" s="91"/>
      <c r="AN2605" s="91"/>
      <c r="AO2605" s="105"/>
      <c r="AP2605" s="105"/>
      <c r="AQ2605" s="105"/>
      <c r="AR2605" s="105"/>
      <c r="AS2605" s="105"/>
      <c r="AT2605" s="105"/>
      <c r="AU2605" s="105">
        <f>IF($AU$2452&gt;0,IPMT('Assumptions (Battery)'!$V$7,Model!W$1,'Assumptions (Battery)'!$V$10,'Assumptions (Battery)'!$V$5*Model!$AU$2452*'Assumptions (Battery)'!$AS$2/10^9),0)</f>
        <v>0</v>
      </c>
      <c r="AV2605" s="105">
        <f>IF($AU$2452&gt;0,IPMT('Assumptions (Battery)'!$V$7,Model!X$1,'Assumptions (Battery)'!$V$10,'Assumptions (Battery)'!$V$5*Model!$AU$2452*'Assumptions (Battery)'!$AS$2/10^9),0)</f>
        <v>0</v>
      </c>
      <c r="AW2605" s="105">
        <f>IF($AU$2452&gt;0,IPMT('Assumptions (Battery)'!$V$7,Model!Y$1,'Assumptions (Battery)'!$V$10,'Assumptions (Battery)'!$V$5*Model!$AU$2452*'Assumptions (Battery)'!$AS$2/10^9),0)</f>
        <v>0</v>
      </c>
      <c r="AX2605" s="105">
        <f>IF($AU$2452&gt;0,IPMT('Assumptions (Battery)'!$V$7,Model!Z$1,'Assumptions (Battery)'!$V$10,'Assumptions (Battery)'!$V$5*Model!$AU$2452*'Assumptions (Battery)'!$AS$2/10^9),0)</f>
        <v>0</v>
      </c>
      <c r="AY2605" s="105">
        <f>IF($AU$2452&gt;0,IPMT('Assumptions (Battery)'!$V$7,Model!AA$1,'Assumptions (Battery)'!$V$10,'Assumptions (Battery)'!$V$5*Model!$AU$2452*'Assumptions (Battery)'!$AS$2/10^9),0)</f>
        <v>0</v>
      </c>
      <c r="AZ2605" s="105">
        <f>IF($AU$2452&gt;0,IPMT('Assumptions (Battery)'!$V$7,Model!AB$1,'Assumptions (Battery)'!$V$10,'Assumptions (Battery)'!$V$5*Model!$AU$2452*'Assumptions (Battery)'!$AS$2/10^9),0)</f>
        <v>0</v>
      </c>
      <c r="BA2605" s="105">
        <f>IF($AU$2452&gt;0,IPMT('Assumptions (Battery)'!$V$7,Model!AC$1,'Assumptions (Battery)'!$V$10,'Assumptions (Battery)'!$V$5*Model!$AU$2452*'Assumptions (Battery)'!$AS$2/10^9),0)</f>
        <v>0</v>
      </c>
      <c r="BB2605" s="105">
        <f>IF($AU$2452&gt;0,IPMT('Assumptions (Battery)'!$V$7,Model!AD$1,'Assumptions (Battery)'!$V$10,'Assumptions (Battery)'!$V$5*Model!$AU$2452*'Assumptions (Battery)'!$AS$2/10^9),0)</f>
        <v>0</v>
      </c>
      <c r="BC2605" s="105">
        <f>IF($AU$2452&gt;0,IPMT('Assumptions (Battery)'!$V$7,Model!AE$1,'Assumptions (Battery)'!$V$10,'Assumptions (Battery)'!$V$5*Model!$AU$2452*'Assumptions (Battery)'!$AS$2/10^9),0)</f>
        <v>0</v>
      </c>
      <c r="BD2605" s="105">
        <f>IF($AU$2452&gt;0,IPMT('Assumptions (Battery)'!$V$7,Model!AF$1,'Assumptions (Battery)'!$V$10,'Assumptions (Battery)'!$V$5*Model!$AU$2452*'Assumptions (Battery)'!$AS$2/10^9),0)</f>
        <v>0</v>
      </c>
      <c r="BE2605" s="105">
        <f>IF($AU$2452&gt;0,IPMT('Assumptions (Battery)'!$V$7,Model!AG$1,'Assumptions (Battery)'!$V$10,'Assumptions (Battery)'!$V$5*Model!$AU$2452*'Assumptions (Battery)'!$AS$2/10^9),0)</f>
        <v>0</v>
      </c>
      <c r="BF2605" s="105">
        <f>IF($AU$2452&gt;0,IPMT('Assumptions (Battery)'!$V$7,Model!AH$1,'Assumptions (Battery)'!$V$10,'Assumptions (Battery)'!$V$5*Model!$AU$2452*'Assumptions (Battery)'!$AS$2/10^9),0)</f>
        <v>0</v>
      </c>
      <c r="BG2605" s="105">
        <f>IF($AU$2452&gt;0,IPMT('Assumptions (Battery)'!$V$7,Model!AI$1,'Assumptions (Battery)'!$V$10,'Assumptions (Battery)'!$V$5*Model!$AU$2452*'Assumptions (Battery)'!$AS$2/10^9),0)</f>
        <v>0</v>
      </c>
      <c r="BH2605" s="105">
        <f>IF($AU$2452&gt;0,IPMT('Assumptions (Battery)'!$V$7,Model!AJ$1,'Assumptions (Battery)'!$V$10,'Assumptions (Battery)'!$V$5*Model!$AU$2452*'Assumptions (Battery)'!$AS$2/10^9),0)</f>
        <v>0</v>
      </c>
      <c r="BI2605" s="105">
        <f>IF($AU$2452&gt;0,IPMT('Assumptions (Battery)'!$V$7,Model!AK$1,'Assumptions (Battery)'!$V$10,'Assumptions (Battery)'!$V$5*Model!$AU$2452*'Assumptions (Battery)'!$AS$2/10^9),0)</f>
        <v>0</v>
      </c>
      <c r="BJ2605" s="105"/>
      <c r="BK2605" s="105"/>
      <c r="BL2605" s="105"/>
      <c r="BM2605" s="105"/>
      <c r="BN2605" s="105"/>
      <c r="BO2605" s="105"/>
      <c r="BP2605" s="105"/>
    </row>
    <row r="2606" spans="1:68" ht="15.75" hidden="1" customHeight="1" outlineLevel="1">
      <c r="A2606" s="454"/>
      <c r="B2606" s="99"/>
      <c r="C2606" s="99"/>
      <c r="D2606" s="99"/>
      <c r="E2606" s="99"/>
      <c r="F2606" s="99"/>
      <c r="G2606" s="99"/>
      <c r="H2606" s="99"/>
      <c r="I2606" s="99"/>
      <c r="J2606" s="99"/>
      <c r="K2606" s="99"/>
      <c r="L2606" s="99"/>
      <c r="M2606" s="99"/>
      <c r="N2606" s="99"/>
      <c r="O2606" s="99"/>
      <c r="P2606" s="99"/>
      <c r="Q2606" s="99"/>
      <c r="R2606" s="99"/>
      <c r="S2606" s="99"/>
      <c r="T2606" s="99"/>
      <c r="U2606" s="99"/>
      <c r="V2606" s="99"/>
      <c r="W2606" s="105"/>
      <c r="X2606" s="105"/>
      <c r="Y2606" s="105"/>
      <c r="Z2606" s="105"/>
      <c r="AA2606" s="105"/>
      <c r="AB2606" s="105"/>
      <c r="AC2606" s="105"/>
      <c r="AD2606" s="105"/>
      <c r="AE2606" s="105"/>
      <c r="AF2606" s="105"/>
      <c r="AG2606" s="105"/>
      <c r="AH2606" s="105"/>
      <c r="AI2606" s="105"/>
      <c r="AJ2606" s="171"/>
      <c r="AK2606" s="105"/>
      <c r="AL2606" s="91"/>
      <c r="AM2606" s="91"/>
      <c r="AN2606" s="91"/>
      <c r="AO2606" s="105"/>
      <c r="AP2606" s="105"/>
      <c r="AQ2606" s="105"/>
      <c r="AR2606" s="105"/>
      <c r="AS2606" s="105"/>
      <c r="AT2606" s="105"/>
      <c r="AU2606" s="105"/>
      <c r="AV2606" s="105">
        <f>IF($AV$2452&gt;0,IPMT('Assumptions (Battery)'!$V$7,Model!W$1,'Assumptions (Battery)'!$V$10,'Assumptions (Battery)'!$V$5*Model!$AV$2452*'Assumptions (Battery)'!$AT$2/10^9),0)</f>
        <v>0</v>
      </c>
      <c r="AW2606" s="105">
        <f>IF($AV$2452&gt;0,IPMT('Assumptions (Battery)'!$V$7,Model!X$1,'Assumptions (Battery)'!$V$10,'Assumptions (Battery)'!$V$5*Model!$AV$2452*'Assumptions (Battery)'!$AT$2/10^9),0)</f>
        <v>0</v>
      </c>
      <c r="AX2606" s="105">
        <f>IF($AV$2452&gt;0,IPMT('Assumptions (Battery)'!$V$7,Model!Y$1,'Assumptions (Battery)'!$V$10,'Assumptions (Battery)'!$V$5*Model!$AV$2452*'Assumptions (Battery)'!$AT$2/10^9),0)</f>
        <v>0</v>
      </c>
      <c r="AY2606" s="105">
        <f>IF($AV$2452&gt;0,IPMT('Assumptions (Battery)'!$V$7,Model!Z$1,'Assumptions (Battery)'!$V$10,'Assumptions (Battery)'!$V$5*Model!$AV$2452*'Assumptions (Battery)'!$AT$2/10^9),0)</f>
        <v>0</v>
      </c>
      <c r="AZ2606" s="105">
        <f>IF($AV$2452&gt;0,IPMT('Assumptions (Battery)'!$V$7,Model!AA$1,'Assumptions (Battery)'!$V$10,'Assumptions (Battery)'!$V$5*Model!$AV$2452*'Assumptions (Battery)'!$AT$2/10^9),0)</f>
        <v>0</v>
      </c>
      <c r="BA2606" s="105">
        <f>IF($AV$2452&gt;0,IPMT('Assumptions (Battery)'!$V$7,Model!AB$1,'Assumptions (Battery)'!$V$10,'Assumptions (Battery)'!$V$5*Model!$AV$2452*'Assumptions (Battery)'!$AT$2/10^9),0)</f>
        <v>0</v>
      </c>
      <c r="BB2606" s="105">
        <f>IF($AV$2452&gt;0,IPMT('Assumptions (Battery)'!$V$7,Model!AC$1,'Assumptions (Battery)'!$V$10,'Assumptions (Battery)'!$V$5*Model!$AV$2452*'Assumptions (Battery)'!$AT$2/10^9),0)</f>
        <v>0</v>
      </c>
      <c r="BC2606" s="105">
        <f>IF($AV$2452&gt;0,IPMT('Assumptions (Battery)'!$V$7,Model!AD$1,'Assumptions (Battery)'!$V$10,'Assumptions (Battery)'!$V$5*Model!$AV$2452*'Assumptions (Battery)'!$AT$2/10^9),0)</f>
        <v>0</v>
      </c>
      <c r="BD2606" s="105">
        <f>IF($AV$2452&gt;0,IPMT('Assumptions (Battery)'!$V$7,Model!AE$1,'Assumptions (Battery)'!$V$10,'Assumptions (Battery)'!$V$5*Model!$AV$2452*'Assumptions (Battery)'!$AT$2/10^9),0)</f>
        <v>0</v>
      </c>
      <c r="BE2606" s="105">
        <f>IF($AV$2452&gt;0,IPMT('Assumptions (Battery)'!$V$7,Model!AF$1,'Assumptions (Battery)'!$V$10,'Assumptions (Battery)'!$V$5*Model!$AV$2452*'Assumptions (Battery)'!$AT$2/10^9),0)</f>
        <v>0</v>
      </c>
      <c r="BF2606" s="105">
        <f>IF($AV$2452&gt;0,IPMT('Assumptions (Battery)'!$V$7,Model!AG$1,'Assumptions (Battery)'!$V$10,'Assumptions (Battery)'!$V$5*Model!$AV$2452*'Assumptions (Battery)'!$AT$2/10^9),0)</f>
        <v>0</v>
      </c>
      <c r="BG2606" s="105">
        <f>IF($AV$2452&gt;0,IPMT('Assumptions (Battery)'!$V$7,Model!AH$1,'Assumptions (Battery)'!$V$10,'Assumptions (Battery)'!$V$5*Model!$AV$2452*'Assumptions (Battery)'!$AT$2/10^9),0)</f>
        <v>0</v>
      </c>
      <c r="BH2606" s="105">
        <f>IF($AV$2452&gt;0,IPMT('Assumptions (Battery)'!$V$7,Model!AI$1,'Assumptions (Battery)'!$V$10,'Assumptions (Battery)'!$V$5*Model!$AV$2452*'Assumptions (Battery)'!$AT$2/10^9),0)</f>
        <v>0</v>
      </c>
      <c r="BI2606" s="105">
        <f>IF($AV$2452&gt;0,IPMT('Assumptions (Battery)'!$V$7,Model!AJ$1,'Assumptions (Battery)'!$V$10,'Assumptions (Battery)'!$V$5*Model!$AV$2452*'Assumptions (Battery)'!$AT$2/10^9),0)</f>
        <v>0</v>
      </c>
      <c r="BJ2606" s="105">
        <f>IF($AV$2452&gt;0,IPMT('Assumptions (Battery)'!$V$7,Model!AK$1,'Assumptions (Battery)'!$V$10,'Assumptions (Battery)'!$V$5*Model!$AV$2452*'Assumptions (Battery)'!$AT$2/10^9),0)</f>
        <v>0</v>
      </c>
      <c r="BK2606" s="105"/>
      <c r="BL2606" s="105"/>
      <c r="BM2606" s="105"/>
      <c r="BN2606" s="105"/>
      <c r="BO2606" s="105"/>
      <c r="BP2606" s="105"/>
    </row>
    <row r="2607" spans="1:68" ht="15.75" hidden="1" customHeight="1" outlineLevel="1">
      <c r="A2607" s="454"/>
      <c r="B2607" s="99"/>
      <c r="C2607" s="99"/>
      <c r="D2607" s="99"/>
      <c r="E2607" s="99"/>
      <c r="F2607" s="99"/>
      <c r="G2607" s="99"/>
      <c r="H2607" s="99"/>
      <c r="I2607" s="99"/>
      <c r="J2607" s="99"/>
      <c r="K2607" s="99"/>
      <c r="L2607" s="99"/>
      <c r="M2607" s="99"/>
      <c r="N2607" s="99"/>
      <c r="O2607" s="99"/>
      <c r="P2607" s="99"/>
      <c r="Q2607" s="99"/>
      <c r="R2607" s="99"/>
      <c r="S2607" s="99"/>
      <c r="T2607" s="99"/>
      <c r="U2607" s="99"/>
      <c r="V2607" s="99"/>
      <c r="W2607" s="105"/>
      <c r="X2607" s="105"/>
      <c r="Y2607" s="105"/>
      <c r="Z2607" s="105"/>
      <c r="AA2607" s="105"/>
      <c r="AB2607" s="105"/>
      <c r="AC2607" s="105"/>
      <c r="AD2607" s="105"/>
      <c r="AE2607" s="105"/>
      <c r="AF2607" s="105"/>
      <c r="AG2607" s="105"/>
      <c r="AH2607" s="105"/>
      <c r="AI2607" s="105"/>
      <c r="AJ2607" s="171"/>
      <c r="AK2607" s="105"/>
      <c r="AL2607" s="91"/>
      <c r="AM2607" s="91"/>
      <c r="AN2607" s="91"/>
      <c r="AO2607" s="105"/>
      <c r="AP2607" s="105"/>
      <c r="AQ2607" s="105"/>
      <c r="AR2607" s="105"/>
      <c r="AS2607" s="105"/>
      <c r="AT2607" s="105"/>
      <c r="AU2607" s="105"/>
      <c r="AV2607" s="105"/>
      <c r="AW2607" s="105">
        <f>IF($AW$2452&gt;0,IPMT('Assumptions (Battery)'!$V$7,Model!W$1,'Assumptions (Battery)'!$V$10,'Assumptions (Battery)'!$V$5*Model!$AW$2452*'Assumptions (Battery)'!$AU$2/10^9),0)</f>
        <v>0</v>
      </c>
      <c r="AX2607" s="105">
        <f>IF($AW$2452&gt;0,IPMT('Assumptions (Battery)'!$V$7,Model!X$1,'Assumptions (Battery)'!$V$10,'Assumptions (Battery)'!$V$5*Model!$AW$2452*'Assumptions (Battery)'!$AU$2/10^9),0)</f>
        <v>0</v>
      </c>
      <c r="AY2607" s="105">
        <f>IF($AW$2452&gt;0,IPMT('Assumptions (Battery)'!$V$7,Model!Y$1,'Assumptions (Battery)'!$V$10,'Assumptions (Battery)'!$V$5*Model!$AW$2452*'Assumptions (Battery)'!$AU$2/10^9),0)</f>
        <v>0</v>
      </c>
      <c r="AZ2607" s="105">
        <f>IF($AW$2452&gt;0,IPMT('Assumptions (Battery)'!$V$7,Model!Z$1,'Assumptions (Battery)'!$V$10,'Assumptions (Battery)'!$V$5*Model!$AW$2452*'Assumptions (Battery)'!$AU$2/10^9),0)</f>
        <v>0</v>
      </c>
      <c r="BA2607" s="105">
        <f>IF($AW$2452&gt;0,IPMT('Assumptions (Battery)'!$V$7,Model!AA$1,'Assumptions (Battery)'!$V$10,'Assumptions (Battery)'!$V$5*Model!$AW$2452*'Assumptions (Battery)'!$AU$2/10^9),0)</f>
        <v>0</v>
      </c>
      <c r="BB2607" s="105">
        <f>IF($AW$2452&gt;0,IPMT('Assumptions (Battery)'!$V$7,Model!AB$1,'Assumptions (Battery)'!$V$10,'Assumptions (Battery)'!$V$5*Model!$AW$2452*'Assumptions (Battery)'!$AU$2/10^9),0)</f>
        <v>0</v>
      </c>
      <c r="BC2607" s="105">
        <f>IF($AW$2452&gt;0,IPMT('Assumptions (Battery)'!$V$7,Model!AC$1,'Assumptions (Battery)'!$V$10,'Assumptions (Battery)'!$V$5*Model!$AW$2452*'Assumptions (Battery)'!$AU$2/10^9),0)</f>
        <v>0</v>
      </c>
      <c r="BD2607" s="105">
        <f>IF($AW$2452&gt;0,IPMT('Assumptions (Battery)'!$V$7,Model!AD$1,'Assumptions (Battery)'!$V$10,'Assumptions (Battery)'!$V$5*Model!$AW$2452*'Assumptions (Battery)'!$AU$2/10^9),0)</f>
        <v>0</v>
      </c>
      <c r="BE2607" s="105">
        <f>IF($AW$2452&gt;0,IPMT('Assumptions (Battery)'!$V$7,Model!AE$1,'Assumptions (Battery)'!$V$10,'Assumptions (Battery)'!$V$5*Model!$AW$2452*'Assumptions (Battery)'!$AU$2/10^9),0)</f>
        <v>0</v>
      </c>
      <c r="BF2607" s="105">
        <f>IF($AW$2452&gt;0,IPMT('Assumptions (Battery)'!$V$7,Model!AF$1,'Assumptions (Battery)'!$V$10,'Assumptions (Battery)'!$V$5*Model!$AW$2452*'Assumptions (Battery)'!$AU$2/10^9),0)</f>
        <v>0</v>
      </c>
      <c r="BG2607" s="105">
        <f>IF($AW$2452&gt;0,IPMT('Assumptions (Battery)'!$V$7,Model!AG$1,'Assumptions (Battery)'!$V$10,'Assumptions (Battery)'!$V$5*Model!$AW$2452*'Assumptions (Battery)'!$AU$2/10^9),0)</f>
        <v>0</v>
      </c>
      <c r="BH2607" s="105">
        <f>IF($AW$2452&gt;0,IPMT('Assumptions (Battery)'!$V$7,Model!AH$1,'Assumptions (Battery)'!$V$10,'Assumptions (Battery)'!$V$5*Model!$AW$2452*'Assumptions (Battery)'!$AU$2/10^9),0)</f>
        <v>0</v>
      </c>
      <c r="BI2607" s="105">
        <f>IF($AW$2452&gt;0,IPMT('Assumptions (Battery)'!$V$7,Model!AI$1,'Assumptions (Battery)'!$V$10,'Assumptions (Battery)'!$V$5*Model!$AW$2452*'Assumptions (Battery)'!$AU$2/10^9),0)</f>
        <v>0</v>
      </c>
      <c r="BJ2607" s="105">
        <f>IF($AW$2452&gt;0,IPMT('Assumptions (Battery)'!$V$7,Model!AJ$1,'Assumptions (Battery)'!$V$10,'Assumptions (Battery)'!$V$5*Model!$AW$2452*'Assumptions (Battery)'!$AU$2/10^9),0)</f>
        <v>0</v>
      </c>
      <c r="BK2607" s="105">
        <f>IF($AW$2452&gt;0,IPMT('Assumptions (Battery)'!$V$7,Model!AK$1,'Assumptions (Battery)'!$V$10,'Assumptions (Battery)'!$V$5*Model!$AW$2452*'Assumptions (Battery)'!$AU$2/10^9),0)</f>
        <v>0</v>
      </c>
      <c r="BL2607" s="105"/>
      <c r="BM2607" s="105"/>
      <c r="BN2607" s="105"/>
      <c r="BO2607" s="105"/>
      <c r="BP2607" s="105"/>
    </row>
    <row r="2608" spans="1:68" ht="15.75" hidden="1" customHeight="1" outlineLevel="1">
      <c r="A2608" s="454"/>
      <c r="B2608" s="99"/>
      <c r="C2608" s="99"/>
      <c r="D2608" s="99"/>
      <c r="E2608" s="99"/>
      <c r="F2608" s="99"/>
      <c r="G2608" s="99"/>
      <c r="H2608" s="99"/>
      <c r="I2608" s="99"/>
      <c r="J2608" s="99"/>
      <c r="K2608" s="99"/>
      <c r="L2608" s="99"/>
      <c r="M2608" s="99"/>
      <c r="N2608" s="99"/>
      <c r="O2608" s="99"/>
      <c r="P2608" s="99"/>
      <c r="Q2608" s="99"/>
      <c r="R2608" s="99"/>
      <c r="S2608" s="99"/>
      <c r="T2608" s="99"/>
      <c r="U2608" s="99"/>
      <c r="V2608" s="99"/>
      <c r="W2608" s="105"/>
      <c r="X2608" s="105"/>
      <c r="Y2608" s="105"/>
      <c r="Z2608" s="105"/>
      <c r="AA2608" s="105"/>
      <c r="AB2608" s="105"/>
      <c r="AC2608" s="105"/>
      <c r="AD2608" s="105"/>
      <c r="AE2608" s="105"/>
      <c r="AF2608" s="105"/>
      <c r="AG2608" s="105"/>
      <c r="AH2608" s="105"/>
      <c r="AI2608" s="105"/>
      <c r="AJ2608" s="171"/>
      <c r="AK2608" s="105"/>
      <c r="AL2608" s="91"/>
      <c r="AM2608" s="91"/>
      <c r="AN2608" s="91"/>
      <c r="AO2608" s="105"/>
      <c r="AP2608" s="105"/>
      <c r="AQ2608" s="105"/>
      <c r="AR2608" s="105"/>
      <c r="AS2608" s="105"/>
      <c r="AT2608" s="105"/>
      <c r="AU2608" s="105"/>
      <c r="AV2608" s="105"/>
      <c r="AW2608" s="105"/>
      <c r="AX2608" s="105">
        <f>IF($AX$2452&gt;0,IPMT('Assumptions (Battery)'!$V$7,Model!W$1,'Assumptions (Battery)'!$V$10,'Assumptions (Battery)'!$V$5*Model!$AX$2452*'Assumptions (Battery)'!$AV$2/10^9),0)</f>
        <v>0</v>
      </c>
      <c r="AY2608" s="105">
        <f>IF($AX$2452&gt;0,IPMT('Assumptions (Battery)'!$V$7,Model!X$1,'Assumptions (Battery)'!$V$10,'Assumptions (Battery)'!$V$5*Model!$AX$2452*'Assumptions (Battery)'!$AV$2/10^9),0)</f>
        <v>0</v>
      </c>
      <c r="AZ2608" s="105">
        <f>IF($AX$2452&gt;0,IPMT('Assumptions (Battery)'!$V$7,Model!Y$1,'Assumptions (Battery)'!$V$10,'Assumptions (Battery)'!$V$5*Model!$AX$2452*'Assumptions (Battery)'!$AV$2/10^9),0)</f>
        <v>0</v>
      </c>
      <c r="BA2608" s="105">
        <f>IF($AX$2452&gt;0,IPMT('Assumptions (Battery)'!$V$7,Model!Z$1,'Assumptions (Battery)'!$V$10,'Assumptions (Battery)'!$V$5*Model!$AX$2452*'Assumptions (Battery)'!$AV$2/10^9),0)</f>
        <v>0</v>
      </c>
      <c r="BB2608" s="105">
        <f>IF($AX$2452&gt;0,IPMT('Assumptions (Battery)'!$V$7,Model!AA$1,'Assumptions (Battery)'!$V$10,'Assumptions (Battery)'!$V$5*Model!$AX$2452*'Assumptions (Battery)'!$AV$2/10^9),0)</f>
        <v>0</v>
      </c>
      <c r="BC2608" s="105">
        <f>IF($AX$2452&gt;0,IPMT('Assumptions (Battery)'!$V$7,Model!AB$1,'Assumptions (Battery)'!$V$10,'Assumptions (Battery)'!$V$5*Model!$AX$2452*'Assumptions (Battery)'!$AV$2/10^9),0)</f>
        <v>0</v>
      </c>
      <c r="BD2608" s="105">
        <f>IF($AX$2452&gt;0,IPMT('Assumptions (Battery)'!$V$7,Model!AC$1,'Assumptions (Battery)'!$V$10,'Assumptions (Battery)'!$V$5*Model!$AX$2452*'Assumptions (Battery)'!$AV$2/10^9),0)</f>
        <v>0</v>
      </c>
      <c r="BE2608" s="105">
        <f>IF($AX$2452&gt;0,IPMT('Assumptions (Battery)'!$V$7,Model!AD$1,'Assumptions (Battery)'!$V$10,'Assumptions (Battery)'!$V$5*Model!$AX$2452*'Assumptions (Battery)'!$AV$2/10^9),0)</f>
        <v>0</v>
      </c>
      <c r="BF2608" s="105">
        <f>IF($AX$2452&gt;0,IPMT('Assumptions (Battery)'!$V$7,Model!AE$1,'Assumptions (Battery)'!$V$10,'Assumptions (Battery)'!$V$5*Model!$AX$2452*'Assumptions (Battery)'!$AV$2/10^9),0)</f>
        <v>0</v>
      </c>
      <c r="BG2608" s="105">
        <f>IF($AX$2452&gt;0,IPMT('Assumptions (Battery)'!$V$7,Model!AF$1,'Assumptions (Battery)'!$V$10,'Assumptions (Battery)'!$V$5*Model!$AX$2452*'Assumptions (Battery)'!$AV$2/10^9),0)</f>
        <v>0</v>
      </c>
      <c r="BH2608" s="105">
        <f>IF($AX$2452&gt;0,IPMT('Assumptions (Battery)'!$V$7,Model!AG$1,'Assumptions (Battery)'!$V$10,'Assumptions (Battery)'!$V$5*Model!$AX$2452*'Assumptions (Battery)'!$AV$2/10^9),0)</f>
        <v>0</v>
      </c>
      <c r="BI2608" s="105">
        <f>IF($AX$2452&gt;0,IPMT('Assumptions (Battery)'!$V$7,Model!AH$1,'Assumptions (Battery)'!$V$10,'Assumptions (Battery)'!$V$5*Model!$AX$2452*'Assumptions (Battery)'!$AV$2/10^9),0)</f>
        <v>0</v>
      </c>
      <c r="BJ2608" s="105">
        <f>IF($AX$2452&gt;0,IPMT('Assumptions (Battery)'!$V$7,Model!AI$1,'Assumptions (Battery)'!$V$10,'Assumptions (Battery)'!$V$5*Model!$AX$2452*'Assumptions (Battery)'!$AV$2/10^9),0)</f>
        <v>0</v>
      </c>
      <c r="BK2608" s="105">
        <f>IF($AX$2452&gt;0,IPMT('Assumptions (Battery)'!$V$7,Model!AJ$1,'Assumptions (Battery)'!$V$10,'Assumptions (Battery)'!$V$5*Model!$AX$2452*'Assumptions (Battery)'!$AV$2/10^9),0)</f>
        <v>0</v>
      </c>
      <c r="BL2608" s="105">
        <f>IF($AX$2452&gt;0,IPMT('Assumptions (Battery)'!$V$7,Model!AK$1,'Assumptions (Battery)'!$V$10,'Assumptions (Battery)'!$V$5*Model!$AX$2452*'Assumptions (Battery)'!$AV$2/10^9),0)</f>
        <v>0</v>
      </c>
      <c r="BM2608" s="105"/>
      <c r="BN2608" s="105"/>
      <c r="BO2608" s="105"/>
      <c r="BP2608" s="105"/>
    </row>
    <row r="2609" spans="1:68" ht="15.75" hidden="1" customHeight="1" outlineLevel="1">
      <c r="A2609" s="454"/>
      <c r="B2609" s="99"/>
      <c r="C2609" s="99"/>
      <c r="D2609" s="99"/>
      <c r="E2609" s="99"/>
      <c r="F2609" s="99"/>
      <c r="G2609" s="99"/>
      <c r="H2609" s="99"/>
      <c r="I2609" s="99"/>
      <c r="J2609" s="99"/>
      <c r="K2609" s="99"/>
      <c r="L2609" s="99"/>
      <c r="M2609" s="99"/>
      <c r="N2609" s="99"/>
      <c r="O2609" s="99"/>
      <c r="P2609" s="99"/>
      <c r="Q2609" s="99"/>
      <c r="R2609" s="99"/>
      <c r="S2609" s="99"/>
      <c r="T2609" s="99"/>
      <c r="U2609" s="99"/>
      <c r="V2609" s="99"/>
      <c r="W2609" s="105"/>
      <c r="X2609" s="105"/>
      <c r="Y2609" s="105"/>
      <c r="Z2609" s="105"/>
      <c r="AA2609" s="105"/>
      <c r="AB2609" s="105"/>
      <c r="AC2609" s="105"/>
      <c r="AD2609" s="105"/>
      <c r="AE2609" s="105"/>
      <c r="AF2609" s="105"/>
      <c r="AG2609" s="105"/>
      <c r="AH2609" s="105"/>
      <c r="AI2609" s="105"/>
      <c r="AJ2609" s="171"/>
      <c r="AK2609" s="105"/>
      <c r="AL2609" s="91"/>
      <c r="AM2609" s="91"/>
      <c r="AN2609" s="91"/>
      <c r="AO2609" s="105"/>
      <c r="AP2609" s="105"/>
      <c r="AQ2609" s="105"/>
      <c r="AR2609" s="105"/>
      <c r="AS2609" s="105"/>
      <c r="AT2609" s="105"/>
      <c r="AU2609" s="105"/>
      <c r="AV2609" s="105"/>
      <c r="AW2609" s="105"/>
      <c r="AX2609" s="105"/>
      <c r="AY2609" s="105">
        <f>IF($AY$2452&gt;0,IPMT('Assumptions (Battery)'!$V$7,Model!W$1,'Assumptions (Battery)'!$V$10,'Assumptions (Battery)'!$V$5*Model!$AY$2452*'Assumptions (Battery)'!$AW$2/10^9),0)</f>
        <v>0</v>
      </c>
      <c r="AZ2609" s="105">
        <f>IF($AY$2452&gt;0,IPMT('Assumptions (Battery)'!$V$7,Model!X$1,'Assumptions (Battery)'!$V$10,'Assumptions (Battery)'!$V$5*Model!$AY$2452*'Assumptions (Battery)'!$AW$2/10^9),0)</f>
        <v>0</v>
      </c>
      <c r="BA2609" s="105">
        <f>IF($AY$2452&gt;0,IPMT('Assumptions (Battery)'!$V$7,Model!Y$1,'Assumptions (Battery)'!$V$10,'Assumptions (Battery)'!$V$5*Model!$AY$2452*'Assumptions (Battery)'!$AW$2/10^9),0)</f>
        <v>0</v>
      </c>
      <c r="BB2609" s="105">
        <f>IF($AY$2452&gt;0,IPMT('Assumptions (Battery)'!$V$7,Model!Z$1,'Assumptions (Battery)'!$V$10,'Assumptions (Battery)'!$V$5*Model!$AY$2452*'Assumptions (Battery)'!$AW$2/10^9),0)</f>
        <v>0</v>
      </c>
      <c r="BC2609" s="105">
        <f>IF($AY$2452&gt;0,IPMT('Assumptions (Battery)'!$V$7,Model!AA$1,'Assumptions (Battery)'!$V$10,'Assumptions (Battery)'!$V$5*Model!$AY$2452*'Assumptions (Battery)'!$AW$2/10^9),0)</f>
        <v>0</v>
      </c>
      <c r="BD2609" s="105">
        <f>IF($AY$2452&gt;0,IPMT('Assumptions (Battery)'!$V$7,Model!AB$1,'Assumptions (Battery)'!$V$10,'Assumptions (Battery)'!$V$5*Model!$AY$2452*'Assumptions (Battery)'!$AW$2/10^9),0)</f>
        <v>0</v>
      </c>
      <c r="BE2609" s="105">
        <f>IF($AY$2452&gt;0,IPMT('Assumptions (Battery)'!$V$7,Model!AC$1,'Assumptions (Battery)'!$V$10,'Assumptions (Battery)'!$V$5*Model!$AY$2452*'Assumptions (Battery)'!$AW$2/10^9),0)</f>
        <v>0</v>
      </c>
      <c r="BF2609" s="105">
        <f>IF($AY$2452&gt;0,IPMT('Assumptions (Battery)'!$V$7,Model!AD$1,'Assumptions (Battery)'!$V$10,'Assumptions (Battery)'!$V$5*Model!$AY$2452*'Assumptions (Battery)'!$AW$2/10^9),0)</f>
        <v>0</v>
      </c>
      <c r="BG2609" s="105">
        <f>IF($AY$2452&gt;0,IPMT('Assumptions (Battery)'!$V$7,Model!AE$1,'Assumptions (Battery)'!$V$10,'Assumptions (Battery)'!$V$5*Model!$AY$2452*'Assumptions (Battery)'!$AW$2/10^9),0)</f>
        <v>0</v>
      </c>
      <c r="BH2609" s="105">
        <f>IF($AY$2452&gt;0,IPMT('Assumptions (Battery)'!$V$7,Model!AF$1,'Assumptions (Battery)'!$V$10,'Assumptions (Battery)'!$V$5*Model!$AY$2452*'Assumptions (Battery)'!$AW$2/10^9),0)</f>
        <v>0</v>
      </c>
      <c r="BI2609" s="105">
        <f>IF($AY$2452&gt;0,IPMT('Assumptions (Battery)'!$V$7,Model!AG$1,'Assumptions (Battery)'!$V$10,'Assumptions (Battery)'!$V$5*Model!$AY$2452*'Assumptions (Battery)'!$AW$2/10^9),0)</f>
        <v>0</v>
      </c>
      <c r="BJ2609" s="105">
        <f>IF($AY$2452&gt;0,IPMT('Assumptions (Battery)'!$V$7,Model!AH$1,'Assumptions (Battery)'!$V$10,'Assumptions (Battery)'!$V$5*Model!$AY$2452*'Assumptions (Battery)'!$AW$2/10^9),0)</f>
        <v>0</v>
      </c>
      <c r="BK2609" s="105">
        <f>IF($AY$2452&gt;0,IPMT('Assumptions (Battery)'!$V$7,Model!AI$1,'Assumptions (Battery)'!$V$10,'Assumptions (Battery)'!$V$5*Model!$AY$2452*'Assumptions (Battery)'!$AW$2/10^9),0)</f>
        <v>0</v>
      </c>
      <c r="BL2609" s="105">
        <f>IF($AY$2452&gt;0,IPMT('Assumptions (Battery)'!$V$7,Model!AJ$1,'Assumptions (Battery)'!$V$10,'Assumptions (Battery)'!$V$5*Model!$AY$2452*'Assumptions (Battery)'!$AW$2/10^9),0)</f>
        <v>0</v>
      </c>
      <c r="BM2609" s="105">
        <f>IF($AY$2452&gt;0,IPMT('Assumptions (Battery)'!$V$7,Model!AK$1,'Assumptions (Battery)'!$V$10,'Assumptions (Battery)'!$V$5*Model!$AY$2452*'Assumptions (Battery)'!$AW$2/10^9),0)</f>
        <v>0</v>
      </c>
      <c r="BN2609" s="105"/>
      <c r="BO2609" s="105"/>
      <c r="BP2609" s="105"/>
    </row>
    <row r="2610" spans="1:68" ht="15.75" hidden="1" customHeight="1" outlineLevel="1">
      <c r="A2610" s="454"/>
      <c r="B2610" s="99"/>
      <c r="C2610" s="99"/>
      <c r="D2610" s="99"/>
      <c r="E2610" s="99"/>
      <c r="F2610" s="99"/>
      <c r="G2610" s="99"/>
      <c r="H2610" s="99"/>
      <c r="I2610" s="99"/>
      <c r="J2610" s="99"/>
      <c r="K2610" s="99"/>
      <c r="L2610" s="99"/>
      <c r="M2610" s="99"/>
      <c r="N2610" s="99"/>
      <c r="O2610" s="99"/>
      <c r="P2610" s="99"/>
      <c r="Q2610" s="99"/>
      <c r="R2610" s="99"/>
      <c r="S2610" s="99"/>
      <c r="T2610" s="99"/>
      <c r="U2610" s="99"/>
      <c r="V2610" s="99"/>
      <c r="W2610" s="105"/>
      <c r="X2610" s="105"/>
      <c r="Y2610" s="105"/>
      <c r="Z2610" s="105"/>
      <c r="AA2610" s="105"/>
      <c r="AB2610" s="105"/>
      <c r="AC2610" s="105"/>
      <c r="AD2610" s="105"/>
      <c r="AE2610" s="105"/>
      <c r="AF2610" s="105"/>
      <c r="AG2610" s="105"/>
      <c r="AH2610" s="105"/>
      <c r="AI2610" s="105"/>
      <c r="AJ2610" s="171"/>
      <c r="AK2610" s="105"/>
      <c r="AL2610" s="91"/>
      <c r="AM2610" s="91"/>
      <c r="AN2610" s="91"/>
      <c r="AO2610" s="105"/>
      <c r="AP2610" s="105"/>
      <c r="AQ2610" s="105"/>
      <c r="AR2610" s="105"/>
      <c r="AS2610" s="105"/>
      <c r="AT2610" s="105"/>
      <c r="AU2610" s="105"/>
      <c r="AV2610" s="105"/>
      <c r="AW2610" s="105"/>
      <c r="AX2610" s="105"/>
      <c r="AY2610" s="105"/>
      <c r="AZ2610" s="105">
        <f>IF($AZ$2452&gt;0,IPMT('Assumptions (Battery)'!$V$7,Model!W$1,'Assumptions (Battery)'!$V$10,'Assumptions (Battery)'!$V$5*Model!$AZ$2452*'Assumptions (Battery)'!$AX$2/10^9),0)</f>
        <v>0</v>
      </c>
      <c r="BA2610" s="105">
        <f>IF($AZ$2452&gt;0,IPMT('Assumptions (Battery)'!$V$7,Model!X$1,'Assumptions (Battery)'!$V$10,'Assumptions (Battery)'!$V$5*Model!$AZ$2452*'Assumptions (Battery)'!$AX$2/10^9),0)</f>
        <v>0</v>
      </c>
      <c r="BB2610" s="105">
        <f>IF($AZ$2452&gt;0,IPMT('Assumptions (Battery)'!$V$7,Model!Y$1,'Assumptions (Battery)'!$V$10,'Assumptions (Battery)'!$V$5*Model!$AZ$2452*'Assumptions (Battery)'!$AX$2/10^9),0)</f>
        <v>0</v>
      </c>
      <c r="BC2610" s="105">
        <f>IF($AZ$2452&gt;0,IPMT('Assumptions (Battery)'!$V$7,Model!Z$1,'Assumptions (Battery)'!$V$10,'Assumptions (Battery)'!$V$5*Model!$AZ$2452*'Assumptions (Battery)'!$AX$2/10^9),0)</f>
        <v>0</v>
      </c>
      <c r="BD2610" s="105">
        <f>IF($AZ$2452&gt;0,IPMT('Assumptions (Battery)'!$V$7,Model!AA$1,'Assumptions (Battery)'!$V$10,'Assumptions (Battery)'!$V$5*Model!$AZ$2452*'Assumptions (Battery)'!$AX$2/10^9),0)</f>
        <v>0</v>
      </c>
      <c r="BE2610" s="105">
        <f>IF($AZ$2452&gt;0,IPMT('Assumptions (Battery)'!$V$7,Model!AB$1,'Assumptions (Battery)'!$V$10,'Assumptions (Battery)'!$V$5*Model!$AZ$2452*'Assumptions (Battery)'!$AX$2/10^9),0)</f>
        <v>0</v>
      </c>
      <c r="BF2610" s="105">
        <f>IF($AZ$2452&gt;0,IPMT('Assumptions (Battery)'!$V$7,Model!AC$1,'Assumptions (Battery)'!$V$10,'Assumptions (Battery)'!$V$5*Model!$AZ$2452*'Assumptions (Battery)'!$AX$2/10^9),0)</f>
        <v>0</v>
      </c>
      <c r="BG2610" s="105">
        <f>IF($AZ$2452&gt;0,IPMT('Assumptions (Battery)'!$V$7,Model!AD$1,'Assumptions (Battery)'!$V$10,'Assumptions (Battery)'!$V$5*Model!$AZ$2452*'Assumptions (Battery)'!$AX$2/10^9),0)</f>
        <v>0</v>
      </c>
      <c r="BH2610" s="105">
        <f>IF($AZ$2452&gt;0,IPMT('Assumptions (Battery)'!$V$7,Model!AE$1,'Assumptions (Battery)'!$V$10,'Assumptions (Battery)'!$V$5*Model!$AZ$2452*'Assumptions (Battery)'!$AX$2/10^9),0)</f>
        <v>0</v>
      </c>
      <c r="BI2610" s="105">
        <f>IF($AZ$2452&gt;0,IPMT('Assumptions (Battery)'!$V$7,Model!AF$1,'Assumptions (Battery)'!$V$10,'Assumptions (Battery)'!$V$5*Model!$AZ$2452*'Assumptions (Battery)'!$AX$2/10^9),0)</f>
        <v>0</v>
      </c>
      <c r="BJ2610" s="105">
        <f>IF($AZ$2452&gt;0,IPMT('Assumptions (Battery)'!$V$7,Model!AG$1,'Assumptions (Battery)'!$V$10,'Assumptions (Battery)'!$V$5*Model!$AZ$2452*'Assumptions (Battery)'!$AX$2/10^9),0)</f>
        <v>0</v>
      </c>
      <c r="BK2610" s="105">
        <f>IF($AZ$2452&gt;0,IPMT('Assumptions (Battery)'!$V$7,Model!AH$1,'Assumptions (Battery)'!$V$10,'Assumptions (Battery)'!$V$5*Model!$AZ$2452*'Assumptions (Battery)'!$AX$2/10^9),0)</f>
        <v>0</v>
      </c>
      <c r="BL2610" s="105">
        <f>IF($AZ$2452&gt;0,IPMT('Assumptions (Battery)'!$V$7,Model!AI$1,'Assumptions (Battery)'!$V$10,'Assumptions (Battery)'!$V$5*Model!$AZ$2452*'Assumptions (Battery)'!$AX$2/10^9),0)</f>
        <v>0</v>
      </c>
      <c r="BM2610" s="105">
        <f>IF($AZ$2452&gt;0,IPMT('Assumptions (Battery)'!$V$7,Model!AJ$1,'Assumptions (Battery)'!$V$10,'Assumptions (Battery)'!$V$5*Model!$AZ$2452*'Assumptions (Battery)'!$AX$2/10^9),0)</f>
        <v>0</v>
      </c>
      <c r="BN2610" s="105">
        <f>IF($AZ$2452&gt;0,IPMT('Assumptions (Battery)'!$V$7,Model!AK$1,'Assumptions (Battery)'!$V$10,'Assumptions (Battery)'!$V$5*Model!$AZ$2452*'Assumptions (Battery)'!$AX$2/10^9),0)</f>
        <v>0</v>
      </c>
      <c r="BO2610" s="105"/>
      <c r="BP2610" s="105"/>
    </row>
    <row r="2611" spans="1:68" ht="15.75" hidden="1" customHeight="1" outlineLevel="1">
      <c r="A2611" s="454"/>
      <c r="B2611" s="99"/>
      <c r="C2611" s="99"/>
      <c r="D2611" s="99"/>
      <c r="E2611" s="99"/>
      <c r="F2611" s="99"/>
      <c r="G2611" s="99"/>
      <c r="H2611" s="99"/>
      <c r="I2611" s="99"/>
      <c r="J2611" s="99"/>
      <c r="K2611" s="99"/>
      <c r="L2611" s="99"/>
      <c r="M2611" s="99"/>
      <c r="N2611" s="99"/>
      <c r="O2611" s="99"/>
      <c r="P2611" s="99"/>
      <c r="Q2611" s="99"/>
      <c r="R2611" s="99"/>
      <c r="S2611" s="99"/>
      <c r="T2611" s="99"/>
      <c r="U2611" s="99"/>
      <c r="V2611" s="99"/>
      <c r="W2611" s="105"/>
      <c r="X2611" s="105"/>
      <c r="Y2611" s="105"/>
      <c r="Z2611" s="105"/>
      <c r="AA2611" s="105"/>
      <c r="AB2611" s="105"/>
      <c r="AC2611" s="105"/>
      <c r="AD2611" s="105"/>
      <c r="AE2611" s="105"/>
      <c r="AF2611" s="105"/>
      <c r="AG2611" s="105"/>
      <c r="AH2611" s="105"/>
      <c r="AI2611" s="105"/>
      <c r="AJ2611" s="171"/>
      <c r="AK2611" s="105"/>
      <c r="AL2611" s="91"/>
      <c r="AM2611" s="91"/>
      <c r="AN2611" s="91"/>
      <c r="AO2611" s="105"/>
      <c r="AP2611" s="105"/>
      <c r="AQ2611" s="105"/>
      <c r="AR2611" s="105"/>
      <c r="AS2611" s="105"/>
      <c r="AT2611" s="105"/>
      <c r="AU2611" s="105"/>
      <c r="AV2611" s="105"/>
      <c r="AW2611" s="105"/>
      <c r="AX2611" s="105"/>
      <c r="AY2611" s="105"/>
      <c r="AZ2611" s="105"/>
      <c r="BA2611" s="105">
        <f>IF($BA$2452&gt;0,IPMT('Assumptions (Battery)'!$V$7,Model!W$1,'Assumptions (Battery)'!$V$10,'Assumptions (Battery)'!$V$5*Model!$BA$2452*'Assumptions (Battery)'!$AY$2/10^9),0)</f>
        <v>0</v>
      </c>
      <c r="BB2611" s="105">
        <f>IF($BA$2452&gt;0,IPMT('Assumptions (Battery)'!$V$7,Model!X$1,'Assumptions (Battery)'!$V$10,'Assumptions (Battery)'!$V$5*Model!$BA$2452*'Assumptions (Battery)'!$AY$2/10^9),0)</f>
        <v>0</v>
      </c>
      <c r="BC2611" s="105">
        <f>IF($BA$2452&gt;0,IPMT('Assumptions (Battery)'!$V$7,Model!Y$1,'Assumptions (Battery)'!$V$10,'Assumptions (Battery)'!$V$5*Model!$BA$2452*'Assumptions (Battery)'!$AY$2/10^9),0)</f>
        <v>0</v>
      </c>
      <c r="BD2611" s="105">
        <f>IF($BA$2452&gt;0,IPMT('Assumptions (Battery)'!$V$7,Model!Z$1,'Assumptions (Battery)'!$V$10,'Assumptions (Battery)'!$V$5*Model!$BA$2452*'Assumptions (Battery)'!$AY$2/10^9),0)</f>
        <v>0</v>
      </c>
      <c r="BE2611" s="105">
        <f>IF($BA$2452&gt;0,IPMT('Assumptions (Battery)'!$V$7,Model!AA$1,'Assumptions (Battery)'!$V$10,'Assumptions (Battery)'!$V$5*Model!$BA$2452*'Assumptions (Battery)'!$AY$2/10^9),0)</f>
        <v>0</v>
      </c>
      <c r="BF2611" s="105">
        <f>IF($BA$2452&gt;0,IPMT('Assumptions (Battery)'!$V$7,Model!AB$1,'Assumptions (Battery)'!$V$10,'Assumptions (Battery)'!$V$5*Model!$BA$2452*'Assumptions (Battery)'!$AY$2/10^9),0)</f>
        <v>0</v>
      </c>
      <c r="BG2611" s="105">
        <f>IF($BA$2452&gt;0,IPMT('Assumptions (Battery)'!$V$7,Model!AC$1,'Assumptions (Battery)'!$V$10,'Assumptions (Battery)'!$V$5*Model!$BA$2452*'Assumptions (Battery)'!$AY$2/10^9),0)</f>
        <v>0</v>
      </c>
      <c r="BH2611" s="105">
        <f>IF($BA$2452&gt;0,IPMT('Assumptions (Battery)'!$V$7,Model!AD$1,'Assumptions (Battery)'!$V$10,'Assumptions (Battery)'!$V$5*Model!$BA$2452*'Assumptions (Battery)'!$AY$2/10^9),0)</f>
        <v>0</v>
      </c>
      <c r="BI2611" s="105">
        <f>IF($BA$2452&gt;0,IPMT('Assumptions (Battery)'!$V$7,Model!AE$1,'Assumptions (Battery)'!$V$10,'Assumptions (Battery)'!$V$5*Model!$BA$2452*'Assumptions (Battery)'!$AY$2/10^9),0)</f>
        <v>0</v>
      </c>
      <c r="BJ2611" s="105">
        <f>IF($BA$2452&gt;0,IPMT('Assumptions (Battery)'!$V$7,Model!AF$1,'Assumptions (Battery)'!$V$10,'Assumptions (Battery)'!$V$5*Model!$BA$2452*'Assumptions (Battery)'!$AY$2/10^9),0)</f>
        <v>0</v>
      </c>
      <c r="BK2611" s="105">
        <f>IF($BA$2452&gt;0,IPMT('Assumptions (Battery)'!$V$7,Model!AG$1,'Assumptions (Battery)'!$V$10,'Assumptions (Battery)'!$V$5*Model!$BA$2452*'Assumptions (Battery)'!$AY$2/10^9),0)</f>
        <v>0</v>
      </c>
      <c r="BL2611" s="105">
        <f>IF($BA$2452&gt;0,IPMT('Assumptions (Battery)'!$V$7,Model!AH$1,'Assumptions (Battery)'!$V$10,'Assumptions (Battery)'!$V$5*Model!$BA$2452*'Assumptions (Battery)'!$AY$2/10^9),0)</f>
        <v>0</v>
      </c>
      <c r="BM2611" s="105">
        <f>IF($BA$2452&gt;0,IPMT('Assumptions (Battery)'!$V$7,Model!AI$1,'Assumptions (Battery)'!$V$10,'Assumptions (Battery)'!$V$5*Model!$BA$2452*'Assumptions (Battery)'!$AY$2/10^9),0)</f>
        <v>0</v>
      </c>
      <c r="BN2611" s="105">
        <f>IF($BA$2452&gt;0,IPMT('Assumptions (Battery)'!$V$7,Model!AJ$1,'Assumptions (Battery)'!$V$10,'Assumptions (Battery)'!$V$5*Model!$BA$2452*'Assumptions (Battery)'!$AY$2/10^9),0)</f>
        <v>0</v>
      </c>
      <c r="BO2611" s="105">
        <f>IF($BA$2452&gt;0,IPMT('Assumptions (Battery)'!$V$7,Model!AK$1,'Assumptions (Battery)'!$V$10,'Assumptions (Battery)'!$V$5*Model!$BA$2452*'Assumptions (Battery)'!$AY$2/10^9),0)</f>
        <v>0</v>
      </c>
      <c r="BP2611" s="105"/>
    </row>
    <row r="2612" spans="1:68" ht="15.75" customHeight="1" collapsed="1">
      <c r="A2612" s="457" t="s">
        <v>806</v>
      </c>
      <c r="B2612" s="99" t="s">
        <v>201</v>
      </c>
      <c r="C2612" s="91">
        <f t="shared" ref="C2612:BO2612" si="61">SUM(C2613:C2663)</f>
        <v>0</v>
      </c>
      <c r="D2612" s="91">
        <f t="shared" si="61"/>
        <v>0</v>
      </c>
      <c r="E2612" s="91">
        <f t="shared" si="61"/>
        <v>0</v>
      </c>
      <c r="F2612" s="91">
        <f t="shared" si="61"/>
        <v>0</v>
      </c>
      <c r="G2612" s="91">
        <f t="shared" si="61"/>
        <v>0</v>
      </c>
      <c r="H2612" s="91">
        <f t="shared" si="61"/>
        <v>0</v>
      </c>
      <c r="I2612" s="91">
        <f t="shared" si="61"/>
        <v>0</v>
      </c>
      <c r="J2612" s="91">
        <f t="shared" si="61"/>
        <v>0</v>
      </c>
      <c r="K2612" s="91">
        <f t="shared" si="61"/>
        <v>3.6674827480868028E-4</v>
      </c>
      <c r="L2612" s="91">
        <f t="shared" si="61"/>
        <v>1.3766944897114978E-3</v>
      </c>
      <c r="M2612" s="91">
        <f t="shared" si="61"/>
        <v>2.494202199062739E-3</v>
      </c>
      <c r="N2612" s="91">
        <f t="shared" si="61"/>
        <v>8.9269161757021855E-3</v>
      </c>
      <c r="O2612" s="91">
        <f t="shared" si="61"/>
        <v>2.1251288515994775E-2</v>
      </c>
      <c r="P2612" s="91">
        <f t="shared" si="61"/>
        <v>2.6872992968548223E-2</v>
      </c>
      <c r="Q2612" s="91">
        <f t="shared" si="61"/>
        <v>2.8144807592662378E-2</v>
      </c>
      <c r="R2612" s="91">
        <f t="shared" si="61"/>
        <v>5.6714005799403555E-2</v>
      </c>
      <c r="S2612" s="91">
        <f t="shared" si="61"/>
        <v>0.11430106546736762</v>
      </c>
      <c r="T2612" s="91">
        <f t="shared" si="61"/>
        <v>0.14991573022111906</v>
      </c>
      <c r="U2612" s="91">
        <f t="shared" si="61"/>
        <v>0.16081037662911496</v>
      </c>
      <c r="V2612" s="91">
        <f t="shared" si="61"/>
        <v>0.18817719897386509</v>
      </c>
      <c r="W2612" s="91">
        <f t="shared" si="61"/>
        <v>0.27719335657320321</v>
      </c>
      <c r="X2612" s="91">
        <f t="shared" si="61"/>
        <v>0.30248841055851278</v>
      </c>
      <c r="Y2612" s="91">
        <f t="shared" si="61"/>
        <v>0.22244157547496257</v>
      </c>
      <c r="Z2612" s="91">
        <f t="shared" si="61"/>
        <v>0.15580528862706342</v>
      </c>
      <c r="AA2612" s="91">
        <f t="shared" si="61"/>
        <v>0.11202961248084128</v>
      </c>
      <c r="AB2612" s="91">
        <f t="shared" si="61"/>
        <v>9.552870080135091E-2</v>
      </c>
      <c r="AC2612" s="91">
        <f t="shared" si="61"/>
        <v>7.2364767397154944E-2</v>
      </c>
      <c r="AD2612" s="91">
        <f t="shared" si="61"/>
        <v>2.9033725490196078E-2</v>
      </c>
      <c r="AE2612" s="91">
        <f t="shared" si="61"/>
        <v>0</v>
      </c>
      <c r="AF2612" s="91">
        <f t="shared" si="61"/>
        <v>0</v>
      </c>
      <c r="AG2612" s="91">
        <f t="shared" si="61"/>
        <v>0</v>
      </c>
      <c r="AH2612" s="91">
        <f t="shared" si="61"/>
        <v>0</v>
      </c>
      <c r="AI2612" s="91">
        <f t="shared" si="61"/>
        <v>0</v>
      </c>
      <c r="AJ2612" s="91">
        <f t="shared" si="61"/>
        <v>0</v>
      </c>
      <c r="AK2612" s="91">
        <f t="shared" si="61"/>
        <v>0</v>
      </c>
      <c r="AL2612" s="91">
        <f t="shared" si="61"/>
        <v>0</v>
      </c>
      <c r="AM2612" s="91">
        <f t="shared" si="61"/>
        <v>0</v>
      </c>
      <c r="AN2612" s="91">
        <f t="shared" si="61"/>
        <v>0</v>
      </c>
      <c r="AO2612" s="91">
        <f t="shared" si="61"/>
        <v>0</v>
      </c>
      <c r="AP2612" s="91">
        <f t="shared" si="61"/>
        <v>0</v>
      </c>
      <c r="AQ2612" s="91">
        <f t="shared" si="61"/>
        <v>0</v>
      </c>
      <c r="AR2612" s="91">
        <f t="shared" si="61"/>
        <v>0</v>
      </c>
      <c r="AS2612" s="91">
        <f t="shared" si="61"/>
        <v>0</v>
      </c>
      <c r="AT2612" s="91">
        <f t="shared" si="61"/>
        <v>0</v>
      </c>
      <c r="AU2612" s="91">
        <f t="shared" si="61"/>
        <v>0</v>
      </c>
      <c r="AV2612" s="91">
        <f t="shared" si="61"/>
        <v>0</v>
      </c>
      <c r="AW2612" s="91">
        <f t="shared" si="61"/>
        <v>0</v>
      </c>
      <c r="AX2612" s="91">
        <f t="shared" si="61"/>
        <v>0</v>
      </c>
      <c r="AY2612" s="91">
        <f t="shared" si="61"/>
        <v>0</v>
      </c>
      <c r="AZ2612" s="91">
        <f t="shared" si="61"/>
        <v>0</v>
      </c>
      <c r="BA2612" s="91">
        <f t="shared" si="61"/>
        <v>0</v>
      </c>
      <c r="BB2612" s="91">
        <f t="shared" si="61"/>
        <v>0</v>
      </c>
      <c r="BC2612" s="91">
        <f t="shared" si="61"/>
        <v>0</v>
      </c>
      <c r="BD2612" s="91">
        <f t="shared" si="61"/>
        <v>0</v>
      </c>
      <c r="BE2612" s="91">
        <f t="shared" si="61"/>
        <v>0</v>
      </c>
      <c r="BF2612" s="91">
        <f t="shared" si="61"/>
        <v>0</v>
      </c>
      <c r="BG2612" s="91">
        <f t="shared" si="61"/>
        <v>0</v>
      </c>
      <c r="BH2612" s="91">
        <f t="shared" si="61"/>
        <v>0</v>
      </c>
      <c r="BI2612" s="91">
        <f t="shared" si="61"/>
        <v>0</v>
      </c>
      <c r="BJ2612" s="91">
        <f t="shared" si="61"/>
        <v>0</v>
      </c>
      <c r="BK2612" s="91">
        <f t="shared" si="61"/>
        <v>0</v>
      </c>
      <c r="BL2612" s="91">
        <f t="shared" si="61"/>
        <v>0</v>
      </c>
      <c r="BM2612" s="91">
        <f t="shared" si="61"/>
        <v>0</v>
      </c>
      <c r="BN2612" s="91">
        <f t="shared" si="61"/>
        <v>0</v>
      </c>
      <c r="BO2612" s="91">
        <f t="shared" si="61"/>
        <v>0</v>
      </c>
    </row>
    <row r="2613" spans="1:68" ht="15.75" hidden="1" customHeight="1" outlineLevel="1">
      <c r="A2613" s="454"/>
      <c r="B2613" s="99"/>
      <c r="C2613" s="167">
        <f>IF($C$2452&gt;0,'Assumptions (Battery)'!V$11*Model!$C$2452*'Assumptions (Battery)'!$B$2/10^9,0)</f>
        <v>0</v>
      </c>
      <c r="D2613" s="167">
        <f>IF($C$2452&gt;0,'Assumptions (Battery)'!W$11*Model!$C$2452*'Assumptions (Battery)'!$B$2/10^9,0)</f>
        <v>0</v>
      </c>
      <c r="E2613" s="167">
        <f>IF($C$2452&gt;0,'Assumptions (Battery)'!X$11*Model!$C$2452*'Assumptions (Battery)'!$B$2/10^9,0)</f>
        <v>0</v>
      </c>
      <c r="F2613" s="167">
        <f>IF($C$2452&gt;0,'Assumptions (Battery)'!Y$11*Model!$C$2452*'Assumptions (Battery)'!$B$2/10^9,0)</f>
        <v>0</v>
      </c>
      <c r="G2613" s="167">
        <f>IF($C$2452&gt;0,'Assumptions (Battery)'!Z$11*Model!$C$2452*'Assumptions (Battery)'!$B$2/10^9,0)</f>
        <v>0</v>
      </c>
      <c r="H2613" s="167">
        <f>IF($C$2452&gt;0,'Assumptions (Battery)'!AA$11*Model!$C$2452*'Assumptions (Battery)'!$B$2/10^9,0)</f>
        <v>0</v>
      </c>
      <c r="I2613" s="167">
        <f>IF($C$2452&gt;0,'Assumptions (Battery)'!AB$11*Model!$C$2452*'Assumptions (Battery)'!$B$2/10^9,0)</f>
        <v>0</v>
      </c>
      <c r="J2613" s="167">
        <f>IF($C$2452&gt;0,'Assumptions (Battery)'!AC$11*Model!$C$2452*'Assumptions (Battery)'!$B$2/10^9,0)</f>
        <v>0</v>
      </c>
      <c r="K2613" s="167">
        <f>IF($C$2452&gt;0,'Assumptions (Battery)'!AD$11*Model!$C$2452*'Assumptions (Battery)'!$B$2/10^9,0)</f>
        <v>0</v>
      </c>
      <c r="L2613" s="167">
        <f>IF($C$2452&gt;0,'Assumptions (Battery)'!AE$11*Model!$C$2452*'Assumptions (Battery)'!$B$2/10^9,0)</f>
        <v>0</v>
      </c>
      <c r="M2613" s="167">
        <f>IF($C$2452&gt;0,'Assumptions (Battery)'!AF$11*Model!$C$2452*'Assumptions (Battery)'!$B$2/10^9,0)</f>
        <v>0</v>
      </c>
      <c r="N2613" s="167">
        <f>IF($C$2452&gt;0,'Assumptions (Battery)'!AG$11*Model!$C$2452*'Assumptions (Battery)'!$B$2/10^9,0)</f>
        <v>0</v>
      </c>
      <c r="O2613" s="167">
        <f>IF($C$2452&gt;0,'Assumptions (Battery)'!AH$11*Model!$C$2452*'Assumptions (Battery)'!$B$2/10^9,0)</f>
        <v>0</v>
      </c>
      <c r="P2613" s="167">
        <f>IF($C$2452&gt;0,'Assumptions (Battery)'!AI$11*Model!$C$2452*'Assumptions (Battery)'!$B$2/10^9,0)</f>
        <v>0</v>
      </c>
      <c r="Q2613" s="167">
        <f>IF($C$2452&gt;0,'Assumptions (Battery)'!AJ$11*Model!$C$2452*'Assumptions (Battery)'!$B$2/10^9,0)</f>
        <v>0</v>
      </c>
      <c r="R2613" s="167">
        <f>IF($C$2452&gt;0,'Assumptions (Battery)'!AK$11*Model!$C$2452*'Assumptions (Battery)'!$B$2/10^9,0)</f>
        <v>0</v>
      </c>
      <c r="S2613" s="91"/>
      <c r="T2613" s="91"/>
      <c r="U2613" s="91"/>
      <c r="V2613" s="91"/>
      <c r="W2613" s="91"/>
      <c r="X2613" s="105"/>
      <c r="Y2613" s="105"/>
      <c r="Z2613" s="105"/>
      <c r="AA2613" s="105"/>
      <c r="AB2613" s="105"/>
      <c r="AC2613" s="105"/>
      <c r="AD2613" s="105"/>
      <c r="AE2613" s="105"/>
      <c r="AF2613" s="105"/>
      <c r="AG2613" s="105"/>
    </row>
    <row r="2614" spans="1:68" ht="15.75" hidden="1" customHeight="1" outlineLevel="1">
      <c r="A2614" s="454"/>
      <c r="B2614" s="99"/>
      <c r="C2614" s="105"/>
      <c r="D2614" s="105">
        <f>IF($D$2452&gt;0,'Assumptions (Battery)'!V$11*Model!$D$2452*'Assumptions (Battery)'!$B$2/10^9,0)</f>
        <v>0</v>
      </c>
      <c r="E2614" s="105">
        <f>IF($D$2452&gt;0,'Assumptions (Battery)'!W$11*Model!$D$2452*'Assumptions (Battery)'!$B$2/10^9,0)</f>
        <v>0</v>
      </c>
      <c r="F2614" s="105">
        <f>IF($D$2452&gt;0,'Assumptions (Battery)'!X$11*Model!$D$2452*'Assumptions (Battery)'!$B$2/10^9,0)</f>
        <v>0</v>
      </c>
      <c r="G2614" s="105">
        <f>IF($D$2452&gt;0,'Assumptions (Battery)'!Y$11*Model!$D$2452*'Assumptions (Battery)'!$B$2/10^9,0)</f>
        <v>0</v>
      </c>
      <c r="H2614" s="105">
        <f>IF($D$2452&gt;0,'Assumptions (Battery)'!Z$11*Model!$D$2452*'Assumptions (Battery)'!$B$2/10^9,0)</f>
        <v>0</v>
      </c>
      <c r="I2614" s="105">
        <f>IF($D$2452&gt;0,'Assumptions (Battery)'!AA$11*Model!$D$2452*'Assumptions (Battery)'!$B$2/10^9,0)</f>
        <v>0</v>
      </c>
      <c r="J2614" s="105">
        <f>IF($D$2452&gt;0,'Assumptions (Battery)'!AB$11*Model!$D$2452*'Assumptions (Battery)'!$B$2/10^9,0)</f>
        <v>0</v>
      </c>
      <c r="K2614" s="105">
        <f>IF($D$2452&gt;0,'Assumptions (Battery)'!AC$11*Model!$D$2452*'Assumptions (Battery)'!$B$2/10^9,0)</f>
        <v>0</v>
      </c>
      <c r="L2614" s="105">
        <f>IF($D$2452&gt;0,'Assumptions (Battery)'!AD$11*Model!$D$2452*'Assumptions (Battery)'!$B$2/10^9,0)</f>
        <v>0</v>
      </c>
      <c r="M2614" s="105">
        <f>IF($D$2452&gt;0,'Assumptions (Battery)'!AE$11*Model!$D$2452*'Assumptions (Battery)'!$B$2/10^9,0)</f>
        <v>0</v>
      </c>
      <c r="N2614" s="105">
        <f>IF($D$2452&gt;0,'Assumptions (Battery)'!AF$11*Model!$D$2452*'Assumptions (Battery)'!$B$2/10^9,0)</f>
        <v>0</v>
      </c>
      <c r="O2614" s="105">
        <f>IF($D$2452&gt;0,'Assumptions (Battery)'!AG$11*Model!$D$2452*'Assumptions (Battery)'!$B$2/10^9,0)</f>
        <v>0</v>
      </c>
      <c r="P2614" s="105">
        <f>IF($D$2452&gt;0,'Assumptions (Battery)'!AH$11*Model!$D$2452*'Assumptions (Battery)'!$B$2/10^9,0)</f>
        <v>0</v>
      </c>
      <c r="Q2614" s="105">
        <f>IF($D$2452&gt;0,'Assumptions (Battery)'!AI$11*Model!$D$2452*'Assumptions (Battery)'!$B$2/10^9,0)</f>
        <v>0</v>
      </c>
      <c r="R2614" s="105">
        <f>IF($D$2452&gt;0,'Assumptions (Battery)'!AJ$11*Model!$D$2452*'Assumptions (Battery)'!$B$2/10^9,0)</f>
        <v>0</v>
      </c>
      <c r="S2614" s="105">
        <f>IF($D$2452&gt;0,'Assumptions (Battery)'!AK$11*Model!$D$2452*'Assumptions (Battery)'!$B$2/10^9,0)</f>
        <v>0</v>
      </c>
      <c r="T2614" s="105"/>
      <c r="U2614" s="105"/>
      <c r="V2614" s="105"/>
      <c r="W2614" s="105"/>
      <c r="X2614" s="105"/>
      <c r="Y2614" s="105"/>
      <c r="Z2614" s="105"/>
      <c r="AA2614" s="105"/>
      <c r="AB2614" s="105"/>
      <c r="AC2614" s="105"/>
      <c r="AD2614" s="105"/>
      <c r="AE2614" s="105"/>
      <c r="AF2614" s="105"/>
      <c r="AG2614" s="105"/>
    </row>
    <row r="2615" spans="1:68" ht="15.75" hidden="1" customHeight="1" outlineLevel="1">
      <c r="A2615" s="454"/>
      <c r="B2615" s="99"/>
      <c r="C2615" s="105"/>
      <c r="D2615" s="105"/>
      <c r="E2615" s="105">
        <f>IF($E$2452&gt;0,'Assumptions (Battery)'!V$11*Model!$E$2452*'Assumptions (Battery)'!$C$2/10^9,0)</f>
        <v>0</v>
      </c>
      <c r="F2615" s="105">
        <f>IF($E$2452&gt;0,'Assumptions (Battery)'!W$11*Model!$E$2452*'Assumptions (Battery)'!$C$2/10^9,0)</f>
        <v>0</v>
      </c>
      <c r="G2615" s="105">
        <f>IF($E$2452&gt;0,'Assumptions (Battery)'!X$11*Model!$E$2452*'Assumptions (Battery)'!$C$2/10^9,0)</f>
        <v>0</v>
      </c>
      <c r="H2615" s="105">
        <f>IF($E$2452&gt;0,'Assumptions (Battery)'!Y$11*Model!$E$2452*'Assumptions (Battery)'!$C$2/10^9,0)</f>
        <v>0</v>
      </c>
      <c r="I2615" s="105">
        <f>IF($E$2452&gt;0,'Assumptions (Battery)'!Z$11*Model!$E$2452*'Assumptions (Battery)'!$C$2/10^9,0)</f>
        <v>0</v>
      </c>
      <c r="J2615" s="105">
        <f>IF($E$2452&gt;0,'Assumptions (Battery)'!AA$11*Model!$E$2452*'Assumptions (Battery)'!$C$2/10^9,0)</f>
        <v>0</v>
      </c>
      <c r="K2615" s="105">
        <f>IF($E$2452&gt;0,'Assumptions (Battery)'!AB$11*Model!$E$2452*'Assumptions (Battery)'!$C$2/10^9,0)</f>
        <v>0</v>
      </c>
      <c r="L2615" s="105">
        <f>IF($E$2452&gt;0,'Assumptions (Battery)'!AC$11*Model!$E$2452*'Assumptions (Battery)'!$C$2/10^9,0)</f>
        <v>0</v>
      </c>
      <c r="M2615" s="105">
        <f>IF($E$2452&gt;0,'Assumptions (Battery)'!AD$11*Model!$E$2452*'Assumptions (Battery)'!$C$2/10^9,0)</f>
        <v>0</v>
      </c>
      <c r="N2615" s="105">
        <f>IF($E$2452&gt;0,'Assumptions (Battery)'!AE$11*Model!$E$2452*'Assumptions (Battery)'!$C$2/10^9,0)</f>
        <v>0</v>
      </c>
      <c r="O2615" s="105">
        <f>IF($E$2452&gt;0,'Assumptions (Battery)'!AF$11*Model!$E$2452*'Assumptions (Battery)'!$C$2/10^9,0)</f>
        <v>0</v>
      </c>
      <c r="P2615" s="105">
        <f>IF($E$2452&gt;0,'Assumptions (Battery)'!AG$11*Model!$E$2452*'Assumptions (Battery)'!$C$2/10^9,0)</f>
        <v>0</v>
      </c>
      <c r="Q2615" s="105">
        <f>IF($E$2452&gt;0,'Assumptions (Battery)'!AH$11*Model!$E$2452*'Assumptions (Battery)'!$C$2/10^9,0)</f>
        <v>0</v>
      </c>
      <c r="R2615" s="105">
        <f>IF($E$2452&gt;0,'Assumptions (Battery)'!AI$11*Model!$E$2452*'Assumptions (Battery)'!$C$2/10^9,0)</f>
        <v>0</v>
      </c>
      <c r="S2615" s="105">
        <f>IF($E$2452&gt;0,'Assumptions (Battery)'!AJ$11*Model!$E$2452*'Assumptions (Battery)'!$C$2/10^9,0)</f>
        <v>0</v>
      </c>
      <c r="T2615" s="418">
        <f>IF($E$2452&gt;0,'Assumptions (Battery)'!AK$11*Model!$E$2452*'Assumptions (Battery)'!$C$2/10^9,0)</f>
        <v>0</v>
      </c>
      <c r="U2615" s="105"/>
      <c r="V2615" s="105"/>
      <c r="W2615" s="105"/>
      <c r="X2615" s="105"/>
      <c r="Y2615" s="105"/>
      <c r="Z2615" s="105"/>
      <c r="AA2615" s="105"/>
      <c r="AB2615" s="105"/>
      <c r="AC2615" s="105"/>
      <c r="AD2615" s="105"/>
      <c r="AE2615" s="105"/>
      <c r="AF2615" s="105"/>
      <c r="AG2615" s="105"/>
    </row>
    <row r="2616" spans="1:68" ht="15.75" hidden="1" customHeight="1" outlineLevel="1">
      <c r="A2616" s="454"/>
      <c r="B2616" s="99"/>
      <c r="C2616" s="105"/>
      <c r="D2616" s="105"/>
      <c r="E2616" s="105"/>
      <c r="F2616" s="105">
        <f>IF($F$2452&gt;0,'Assumptions (Battery)'!V$11*Model!$F$2452*'Assumptions (Battery)'!$D$2/10^9,0)</f>
        <v>0</v>
      </c>
      <c r="G2616" s="105">
        <f>IF($F$2452&gt;0,'Assumptions (Battery)'!W$11*Model!$F$2452*'Assumptions (Battery)'!$D$2/10^9,0)</f>
        <v>0</v>
      </c>
      <c r="H2616" s="105">
        <f>IF($F$2452&gt;0,'Assumptions (Battery)'!X$11*Model!$F$2452*'Assumptions (Battery)'!$D$2/10^9,0)</f>
        <v>0</v>
      </c>
      <c r="I2616" s="105">
        <f>IF($F$2452&gt;0,'Assumptions (Battery)'!Y$11*Model!$F$2452*'Assumptions (Battery)'!$D$2/10^9,0)</f>
        <v>0</v>
      </c>
      <c r="J2616" s="105">
        <f>IF($F$2452&gt;0,'Assumptions (Battery)'!Z$11*Model!$F$2452*'Assumptions (Battery)'!$D$2/10^9,0)</f>
        <v>0</v>
      </c>
      <c r="K2616" s="105">
        <f>IF($F$2452&gt;0,'Assumptions (Battery)'!AA$11*Model!$F$2452*'Assumptions (Battery)'!$D$2/10^9,0)</f>
        <v>0</v>
      </c>
      <c r="L2616" s="105">
        <f>IF($F$2452&gt;0,'Assumptions (Battery)'!AB$11*Model!$F$2452*'Assumptions (Battery)'!$D$2/10^9,0)</f>
        <v>0</v>
      </c>
      <c r="M2616" s="105">
        <f>IF($F$2452&gt;0,'Assumptions (Battery)'!AC$11*Model!$F$2452*'Assumptions (Battery)'!$D$2/10^9,0)</f>
        <v>0</v>
      </c>
      <c r="N2616" s="105">
        <f>IF($F$2452&gt;0,'Assumptions (Battery)'!AD$11*Model!$F$2452*'Assumptions (Battery)'!$D$2/10^9,0)</f>
        <v>0</v>
      </c>
      <c r="O2616" s="105">
        <f>IF($F$2452&gt;0,'Assumptions (Battery)'!AE$11*Model!$F$2452*'Assumptions (Battery)'!$D$2/10^9,0)</f>
        <v>0</v>
      </c>
      <c r="P2616" s="105">
        <f>IF($F$2452&gt;0,'Assumptions (Battery)'!AF$11*Model!$F$2452*'Assumptions (Battery)'!$D$2/10^9,0)</f>
        <v>0</v>
      </c>
      <c r="Q2616" s="105">
        <f>IF($F$2452&gt;0,'Assumptions (Battery)'!AG$11*Model!$F$2452*'Assumptions (Battery)'!$D$2/10^9,0)</f>
        <v>0</v>
      </c>
      <c r="R2616" s="105">
        <f>IF($F$2452&gt;0,'Assumptions (Battery)'!AH$11*Model!$F$2452*'Assumptions (Battery)'!$D$2/10^9,0)</f>
        <v>0</v>
      </c>
      <c r="S2616" s="105">
        <f>IF($F$2452&gt;0,'Assumptions (Battery)'!AI$11*Model!$F$2452*'Assumptions (Battery)'!$D$2/10^9,0)</f>
        <v>0</v>
      </c>
      <c r="T2616" s="418">
        <f>IF($F$2452&gt;0,'Assumptions (Battery)'!AJ$11*Model!$F$2452*'Assumptions (Battery)'!$D$2/10^9,0)</f>
        <v>0</v>
      </c>
      <c r="U2616" s="105">
        <f>IF($F$2452&gt;0,'Assumptions (Battery)'!AK$11*Model!$F$2452*'Assumptions (Battery)'!$D$2/10^9,0)</f>
        <v>0</v>
      </c>
      <c r="V2616" s="105"/>
      <c r="W2616" s="105"/>
      <c r="X2616" s="105"/>
      <c r="Y2616" s="105"/>
      <c r="Z2616" s="105"/>
      <c r="AA2616" s="105"/>
      <c r="AB2616" s="105"/>
      <c r="AC2616" s="105"/>
      <c r="AD2616" s="105"/>
      <c r="AE2616" s="105"/>
      <c r="AF2616" s="105"/>
      <c r="AG2616" s="105"/>
    </row>
    <row r="2617" spans="1:68" ht="15.75" hidden="1" customHeight="1" outlineLevel="1">
      <c r="A2617" s="454"/>
      <c r="B2617" s="99"/>
      <c r="C2617" s="105"/>
      <c r="D2617" s="105"/>
      <c r="E2617" s="105"/>
      <c r="F2617" s="105"/>
      <c r="G2617" s="105">
        <f>IF($G$2452&gt;0,'Assumptions (Battery)'!V$11*Model!$G$2452*'Assumptions (Battery)'!$E$2/10^9,0)</f>
        <v>0</v>
      </c>
      <c r="H2617" s="105">
        <f>IF($G$2452&gt;0,'Assumptions (Battery)'!W$11*Model!$G$2452*'Assumptions (Battery)'!$E$2/10^9,0)</f>
        <v>0</v>
      </c>
      <c r="I2617" s="105">
        <f>IF($G$2452&gt;0,'Assumptions (Battery)'!X$11*Model!$G$2452*'Assumptions (Battery)'!$E$2/10^9,0)</f>
        <v>0</v>
      </c>
      <c r="J2617" s="105">
        <f>IF($G$2452&gt;0,'Assumptions (Battery)'!Y$11*Model!$G$2452*'Assumptions (Battery)'!$E$2/10^9,0)</f>
        <v>0</v>
      </c>
      <c r="K2617" s="105">
        <f>IF($G$2452&gt;0,'Assumptions (Battery)'!Z$11*Model!$G$2452*'Assumptions (Battery)'!$E$2/10^9,0)</f>
        <v>0</v>
      </c>
      <c r="L2617" s="105">
        <f>IF($G$2452&gt;0,'Assumptions (Battery)'!AA$11*Model!$G$2452*'Assumptions (Battery)'!$E$2/10^9,0)</f>
        <v>0</v>
      </c>
      <c r="M2617" s="105">
        <f>IF($G$2452&gt;0,'Assumptions (Battery)'!AB$11*Model!$G$2452*'Assumptions (Battery)'!$E$2/10^9,0)</f>
        <v>0</v>
      </c>
      <c r="N2617" s="105">
        <f>IF($G$2452&gt;0,'Assumptions (Battery)'!AC$11*Model!$G$2452*'Assumptions (Battery)'!$E$2/10^9,0)</f>
        <v>0</v>
      </c>
      <c r="O2617" s="105">
        <f>IF($G$2452&gt;0,'Assumptions (Battery)'!AD$11*Model!$G$2452*'Assumptions (Battery)'!$E$2/10^9,0)</f>
        <v>0</v>
      </c>
      <c r="P2617" s="105">
        <f>IF($G$2452&gt;0,'Assumptions (Battery)'!AE$11*Model!$G$2452*'Assumptions (Battery)'!$E$2/10^9,0)</f>
        <v>0</v>
      </c>
      <c r="Q2617" s="105">
        <f>IF($G$2452&gt;0,'Assumptions (Battery)'!AF$11*Model!$G$2452*'Assumptions (Battery)'!$E$2/10^9,0)</f>
        <v>0</v>
      </c>
      <c r="R2617" s="105">
        <f>IF($G$2452&gt;0,'Assumptions (Battery)'!AG$11*Model!$G$2452*'Assumptions (Battery)'!$E$2/10^9,0)</f>
        <v>0</v>
      </c>
      <c r="S2617" s="105">
        <f>IF($G$2452&gt;0,'Assumptions (Battery)'!AH$11*Model!$G$2452*'Assumptions (Battery)'!$E$2/10^9,0)</f>
        <v>0</v>
      </c>
      <c r="T2617" s="418">
        <f>IF($G$2452&gt;0,'Assumptions (Battery)'!AI$11*Model!$G$2452*'Assumptions (Battery)'!$E$2/10^9,0)</f>
        <v>0</v>
      </c>
      <c r="U2617" s="105">
        <f>IF($G$2452&gt;0,'Assumptions (Battery)'!AJ$11*Model!$G$2452*'Assumptions (Battery)'!$E$2/10^9,0)</f>
        <v>0</v>
      </c>
      <c r="V2617" s="105">
        <f>IF($G$2452&gt;0,'Assumptions (Battery)'!AK$11*Model!$G$2452*'Assumptions (Battery)'!$E$2/10^9,0)</f>
        <v>0</v>
      </c>
      <c r="W2617" s="105"/>
      <c r="X2617" s="105"/>
      <c r="Y2617" s="105"/>
      <c r="Z2617" s="105"/>
      <c r="AA2617" s="105"/>
      <c r="AB2617" s="105"/>
      <c r="AC2617" s="105"/>
      <c r="AD2617" s="105"/>
      <c r="AE2617" s="105"/>
      <c r="AF2617" s="105"/>
      <c r="AG2617" s="105"/>
    </row>
    <row r="2618" spans="1:68" ht="15.75" hidden="1" customHeight="1" outlineLevel="1">
      <c r="A2618" s="454"/>
      <c r="B2618" s="99"/>
      <c r="C2618" s="105"/>
      <c r="D2618" s="105"/>
      <c r="E2618" s="105"/>
      <c r="F2618" s="105"/>
      <c r="G2618" s="105"/>
      <c r="H2618" s="105">
        <f>IF($H$2452&gt;0,'Assumptions (Battery)'!V$11*Model!$H$2452*'Assumptions (Battery)'!$F$2/10^9,0)</f>
        <v>0</v>
      </c>
      <c r="I2618" s="105">
        <f>IF($H$2452&gt;0,'Assumptions (Battery)'!W$11*Model!$H$2452*'Assumptions (Battery)'!$F$2/10^9,0)</f>
        <v>0</v>
      </c>
      <c r="J2618" s="105">
        <f>IF($H$2452&gt;0,'Assumptions (Battery)'!X$11*Model!$H$2452*'Assumptions (Battery)'!$F$2/10^9,0)</f>
        <v>0</v>
      </c>
      <c r="K2618" s="105">
        <f>IF($H$2452&gt;0,'Assumptions (Battery)'!Y$11*Model!$H$2452*'Assumptions (Battery)'!$F$2/10^9,0)</f>
        <v>0</v>
      </c>
      <c r="L2618" s="105">
        <f>IF($H$2452&gt;0,'Assumptions (Battery)'!Z$11*Model!$H$2452*'Assumptions (Battery)'!$F$2/10^9,0)</f>
        <v>0</v>
      </c>
      <c r="M2618" s="105">
        <f>IF($H$2452&gt;0,'Assumptions (Battery)'!AA$11*Model!$H$2452*'Assumptions (Battery)'!$F$2/10^9,0)</f>
        <v>0</v>
      </c>
      <c r="N2618" s="105">
        <f>IF($H$2452&gt;0,'Assumptions (Battery)'!AB$11*Model!$H$2452*'Assumptions (Battery)'!$F$2/10^9,0)</f>
        <v>0</v>
      </c>
      <c r="O2618" s="105">
        <f>IF($H$2452&gt;0,'Assumptions (Battery)'!AC$11*Model!$H$2452*'Assumptions (Battery)'!$F$2/10^9,0)</f>
        <v>0</v>
      </c>
      <c r="P2618" s="105">
        <f>IF($H$2452&gt;0,'Assumptions (Battery)'!AD$11*Model!$H$2452*'Assumptions (Battery)'!$F$2/10^9,0)</f>
        <v>0</v>
      </c>
      <c r="Q2618" s="105">
        <f>IF($H$2452&gt;0,'Assumptions (Battery)'!AE$11*Model!$H$2452*'Assumptions (Battery)'!$F$2/10^9,0)</f>
        <v>0</v>
      </c>
      <c r="R2618" s="105">
        <f>IF($H$2452&gt;0,'Assumptions (Battery)'!AF$11*Model!$H$2452*'Assumptions (Battery)'!$F$2/10^9,0)</f>
        <v>0</v>
      </c>
      <c r="S2618" s="105">
        <f>IF($H$2452&gt;0,'Assumptions (Battery)'!AG$11*Model!$H$2452*'Assumptions (Battery)'!$F$2/10^9,0)</f>
        <v>0</v>
      </c>
      <c r="T2618" s="418">
        <f>IF($H$2452&gt;0,'Assumptions (Battery)'!AH$11*Model!$H$2452*'Assumptions (Battery)'!$F$2/10^9,0)</f>
        <v>0</v>
      </c>
      <c r="U2618" s="105">
        <f>IF($H$2452&gt;0,'Assumptions (Battery)'!AI$11*Model!$H$2452*'Assumptions (Battery)'!$F$2/10^9,0)</f>
        <v>0</v>
      </c>
      <c r="V2618" s="105">
        <f>IF($H$2452&gt;0,'Assumptions (Battery)'!AJ$11*Model!$H$2452*'Assumptions (Battery)'!$F$2/10^9,0)</f>
        <v>0</v>
      </c>
      <c r="W2618" s="105">
        <f>IF($H$2452&gt;0,'Assumptions (Battery)'!AK$11*Model!$H$2452*'Assumptions (Battery)'!$F$2/10^9,0)</f>
        <v>0</v>
      </c>
      <c r="X2618" s="105"/>
      <c r="Y2618" s="105"/>
      <c r="Z2618" s="105"/>
      <c r="AA2618" s="105"/>
      <c r="AB2618" s="105"/>
      <c r="AC2618" s="105"/>
      <c r="AD2618" s="105"/>
      <c r="AE2618" s="105"/>
      <c r="AF2618" s="105"/>
      <c r="AG2618" s="105"/>
    </row>
    <row r="2619" spans="1:68" ht="15.75" hidden="1" customHeight="1" outlineLevel="1">
      <c r="A2619" s="454"/>
      <c r="B2619" s="99"/>
      <c r="C2619" s="105"/>
      <c r="D2619" s="105"/>
      <c r="E2619" s="105"/>
      <c r="F2619" s="105"/>
      <c r="G2619" s="105"/>
      <c r="H2619" s="105"/>
      <c r="I2619" s="105">
        <f>IF($I$2452&gt;0,'Assumptions (Battery)'!V$11*Model!$I$2452*'Assumptions (Battery)'!$G$2/10^9,0)</f>
        <v>0</v>
      </c>
      <c r="J2619" s="105">
        <f>IF($I$2452&gt;0,'Assumptions (Battery)'!W$11*Model!$I$2452*'Assumptions (Battery)'!$G$2/10^9,0)</f>
        <v>0</v>
      </c>
      <c r="K2619" s="105">
        <f>IF($I$2452&gt;0,'Assumptions (Battery)'!X$11*Model!$I$2452*'Assumptions (Battery)'!$G$2/10^9,0)</f>
        <v>0</v>
      </c>
      <c r="L2619" s="105">
        <f>IF($I$2452&gt;0,'Assumptions (Battery)'!Y$11*Model!$I$2452*'Assumptions (Battery)'!$G$2/10^9,0)</f>
        <v>0</v>
      </c>
      <c r="M2619" s="105">
        <f>IF($I$2452&gt;0,'Assumptions (Battery)'!Z$11*Model!$I$2452*'Assumptions (Battery)'!$G$2/10^9,0)</f>
        <v>0</v>
      </c>
      <c r="N2619" s="105">
        <f>IF($I$2452&gt;0,'Assumptions (Battery)'!AA$11*Model!$I$2452*'Assumptions (Battery)'!$G$2/10^9,0)</f>
        <v>0</v>
      </c>
      <c r="O2619" s="105">
        <f>IF($I$2452&gt;0,'Assumptions (Battery)'!AB$11*Model!$I$2452*'Assumptions (Battery)'!$G$2/10^9,0)</f>
        <v>0</v>
      </c>
      <c r="P2619" s="105">
        <f>IF($I$2452&gt;0,'Assumptions (Battery)'!AC$11*Model!$I$2452*'Assumptions (Battery)'!$G$2/10^9,0)</f>
        <v>0</v>
      </c>
      <c r="Q2619" s="105">
        <f>IF($I$2452&gt;0,'Assumptions (Battery)'!AD$11*Model!$I$2452*'Assumptions (Battery)'!$G$2/10^9,0)</f>
        <v>0</v>
      </c>
      <c r="R2619" s="105">
        <f>IF($I$2452&gt;0,'Assumptions (Battery)'!AE$11*Model!$I$2452*'Assumptions (Battery)'!$G$2/10^9,0)</f>
        <v>0</v>
      </c>
      <c r="S2619" s="105">
        <f>IF($I$2452&gt;0,'Assumptions (Battery)'!AF$11*Model!$I$2452*'Assumptions (Battery)'!$G$2/10^9,0)</f>
        <v>0</v>
      </c>
      <c r="T2619" s="418">
        <f>IF($I$2452&gt;0,'Assumptions (Battery)'!AG$11*Model!$I$2452*'Assumptions (Battery)'!$G$2/10^9,0)</f>
        <v>0</v>
      </c>
      <c r="U2619" s="105">
        <f>IF($I$2452&gt;0,'Assumptions (Battery)'!AH$11*Model!$I$2452*'Assumptions (Battery)'!$G$2/10^9,0)</f>
        <v>0</v>
      </c>
      <c r="V2619" s="105">
        <f>IF($I$2452&gt;0,'Assumptions (Battery)'!AI$11*Model!$I$2452*'Assumptions (Battery)'!$G$2/10^9,0)</f>
        <v>0</v>
      </c>
      <c r="W2619" s="105">
        <f>IF($I$2452&gt;0,'Assumptions (Battery)'!AJ$11*Model!$I$2452*'Assumptions (Battery)'!$G$2/10^9,0)</f>
        <v>0</v>
      </c>
      <c r="X2619" s="105">
        <f>IF($I$2452&gt;0,'Assumptions (Battery)'!AK$11*Model!$I$2452*'Assumptions (Battery)'!$G$2/10^9,0)</f>
        <v>0</v>
      </c>
      <c r="Y2619" s="105"/>
      <c r="Z2619" s="105"/>
      <c r="AA2619" s="105"/>
      <c r="AB2619" s="105"/>
      <c r="AC2619" s="105"/>
      <c r="AD2619" s="105"/>
      <c r="AE2619" s="105"/>
      <c r="AF2619" s="105"/>
      <c r="AG2619" s="105"/>
    </row>
    <row r="2620" spans="1:68" ht="15.75" hidden="1" customHeight="1" outlineLevel="1">
      <c r="A2620" s="454"/>
      <c r="B2620" s="99"/>
      <c r="C2620" s="105"/>
      <c r="D2620" s="105"/>
      <c r="E2620" s="105"/>
      <c r="F2620" s="105"/>
      <c r="G2620" s="105"/>
      <c r="H2620" s="105"/>
      <c r="I2620" s="105"/>
      <c r="J2620" s="105">
        <f>IF($J$2452&gt;0,'Assumptions (Battery)'!V$11*Model!$J$2452*'Assumptions (Battery)'!$H$2/10^9,0)</f>
        <v>0</v>
      </c>
      <c r="K2620" s="105">
        <f>IF($J$2452&gt;0,'Assumptions (Battery)'!W$11*Model!$J$2452*'Assumptions (Battery)'!$H$2/10^9,0)</f>
        <v>0</v>
      </c>
      <c r="L2620" s="105">
        <f>IF($J$2452&gt;0,'Assumptions (Battery)'!X$11*Model!$J$2452*'Assumptions (Battery)'!$H$2/10^9,0)</f>
        <v>0</v>
      </c>
      <c r="M2620" s="105">
        <f>IF($J$2452&gt;0,'Assumptions (Battery)'!Y$11*Model!$J$2452*'Assumptions (Battery)'!$H$2/10^9,0)</f>
        <v>0</v>
      </c>
      <c r="N2620" s="105">
        <f>IF($J$2452&gt;0,'Assumptions (Battery)'!Z$11*Model!$J$2452*'Assumptions (Battery)'!$H$2/10^9,0)</f>
        <v>0</v>
      </c>
      <c r="O2620" s="105">
        <f>IF($J$2452&gt;0,'Assumptions (Battery)'!AA$11*Model!$J$2452*'Assumptions (Battery)'!$H$2/10^9,0)</f>
        <v>0</v>
      </c>
      <c r="P2620" s="105">
        <f>IF($J$2452&gt;0,'Assumptions (Battery)'!AB$11*Model!$J$2452*'Assumptions (Battery)'!$H$2/10^9,0)</f>
        <v>0</v>
      </c>
      <c r="Q2620" s="105">
        <f>IF($J$2452&gt;0,'Assumptions (Battery)'!AC$11*Model!$J$2452*'Assumptions (Battery)'!$H$2/10^9,0)</f>
        <v>0</v>
      </c>
      <c r="R2620" s="105">
        <f>IF($J$2452&gt;0,'Assumptions (Battery)'!AD$11*Model!$J$2452*'Assumptions (Battery)'!$H$2/10^9,0)</f>
        <v>0</v>
      </c>
      <c r="S2620" s="105">
        <f>IF($J$2452&gt;0,'Assumptions (Battery)'!AE$11*Model!$J$2452*'Assumptions (Battery)'!$H$2/10^9,0)</f>
        <v>0</v>
      </c>
      <c r="T2620" s="418">
        <f>IF($J$2452&gt;0,'Assumptions (Battery)'!AF$11*Model!$J$2452*'Assumptions (Battery)'!$H$2/10^9,0)</f>
        <v>0</v>
      </c>
      <c r="U2620" s="105">
        <f>IF($J$2452&gt;0,'Assumptions (Battery)'!AG$11*Model!$J$2452*'Assumptions (Battery)'!$H$2/10^9,0)</f>
        <v>0</v>
      </c>
      <c r="V2620" s="105">
        <f>IF($J$2452&gt;0,'Assumptions (Battery)'!AH$11*Model!$J$2452*'Assumptions (Battery)'!$H$2/10^9,0)</f>
        <v>0</v>
      </c>
      <c r="W2620" s="105">
        <f>IF($J$2452&gt;0,'Assumptions (Battery)'!AI$11*Model!$J$2452*'Assumptions (Battery)'!$H$2/10^9,0)</f>
        <v>0</v>
      </c>
      <c r="X2620" s="105">
        <f>IF($J$2452&gt;0,'Assumptions (Battery)'!AJ$11*Model!$J$2452*'Assumptions (Battery)'!$H$2/10^9,0)</f>
        <v>0</v>
      </c>
      <c r="Y2620" s="105">
        <f>IF($J$2452&gt;0,'Assumptions (Battery)'!AK$11*Model!$J$2452*'Assumptions (Battery)'!$H$2/10^9,0)</f>
        <v>0</v>
      </c>
      <c r="Z2620" s="105"/>
      <c r="AA2620" s="105"/>
      <c r="AB2620" s="105"/>
      <c r="AC2620" s="105"/>
      <c r="AD2620" s="105"/>
      <c r="AE2620" s="105"/>
      <c r="AF2620" s="105"/>
      <c r="AG2620" s="105"/>
      <c r="AH2620" s="105"/>
    </row>
    <row r="2621" spans="1:68" ht="15.75" hidden="1" customHeight="1" outlineLevel="1">
      <c r="A2621" s="454"/>
      <c r="B2621" s="99"/>
      <c r="C2621" s="105"/>
      <c r="D2621" s="105"/>
      <c r="E2621" s="105"/>
      <c r="F2621" s="105"/>
      <c r="G2621" s="105"/>
      <c r="H2621" s="105"/>
      <c r="I2621" s="105"/>
      <c r="J2621" s="105"/>
      <c r="K2621" s="458">
        <f>IF($K$2452&gt;0,'Assumptions (Battery)'!V$11*Model!$K$2452*'Assumptions (Battery)'!$I$2/10^9,0)</f>
        <v>3.6674827480868028E-4</v>
      </c>
      <c r="L2621" s="458">
        <f>IF($K$2452&gt;0,'Assumptions (Battery)'!W$11*Model!$K$2452*'Assumptions (Battery)'!$I$2/10^9,0)</f>
        <v>6.2852800910179012E-4</v>
      </c>
      <c r="M2621" s="458">
        <f>IF($K$2452&gt;0,'Assumptions (Battery)'!X$11*Model!$K$2452*'Assumptions (Battery)'!$I$2/10^9,0)</f>
        <v>4.4887525027318532E-4</v>
      </c>
      <c r="N2621" s="458">
        <f>IF($K$2452&gt;0,'Assumptions (Battery)'!Y$11*Model!$K$2452*'Assumptions (Battery)'!$I$2/10^9,0)</f>
        <v>3.2055185110989618E-4</v>
      </c>
      <c r="O2621" s="458">
        <f>IF($K$2452&gt;0,'Assumptions (Battery)'!Z$11*Model!$K$2452*'Assumptions (Battery)'!$I$2/10^9,0)</f>
        <v>2.2918559090563437E-4</v>
      </c>
      <c r="P2621" s="458">
        <f>IF($K$2452&gt;0,'Assumptions (Battery)'!AA$11*Model!$K$2452*'Assumptions (Battery)'!$I$2/10^9,0)</f>
        <v>2.2892894410730778E-4</v>
      </c>
      <c r="Q2621" s="458">
        <f>IF($K$2452&gt;0,'Assumptions (Battery)'!AB$11*Model!$K$2452*'Assumptions (Battery)'!$I$2/10^9,0)</f>
        <v>2.2918559090563437E-4</v>
      </c>
      <c r="R2621" s="458">
        <f>IF($K$2452&gt;0,'Assumptions (Battery)'!AC$11*Model!$K$2452*'Assumptions (Battery)'!$I$2/10^9,0)</f>
        <v>1.1446447205365389E-4</v>
      </c>
      <c r="S2621" s="409">
        <f>IF($K$2452&gt;0,'Assumptions (Battery)'!AD$11*Model!$K$2452*'Assumptions (Battery)'!$I$2/10^9,0)</f>
        <v>0</v>
      </c>
      <c r="T2621" s="418">
        <f>IF($K$2452&gt;0,'Assumptions (Battery)'!AE$11*Model!$K$2452*'Assumptions (Battery)'!$I$2/10^9,0)</f>
        <v>0</v>
      </c>
      <c r="U2621" s="409">
        <f>IF($K$2452&gt;0,'Assumptions (Battery)'!AF$11*Model!$K$2452*'Assumptions (Battery)'!$I$2/10^9,0)</f>
        <v>0</v>
      </c>
      <c r="V2621" s="409">
        <f>IF($K$2452&gt;0,'Assumptions (Battery)'!AG$11*Model!$K$2452*'Assumptions (Battery)'!$I$2/10^9,0)</f>
        <v>0</v>
      </c>
      <c r="W2621" s="409">
        <f>IF($K$2452&gt;0,'Assumptions (Battery)'!AH$11*Model!$K$2452*'Assumptions (Battery)'!$I$2/10^9,0)</f>
        <v>0</v>
      </c>
      <c r="X2621" s="409">
        <f>IF($K$2452&gt;0,'Assumptions (Battery)'!AI$11*Model!$K$2452*'Assumptions (Battery)'!$I$2/10^9,0)</f>
        <v>0</v>
      </c>
      <c r="Y2621" s="409">
        <f>IF($K$2452&gt;0,'Assumptions (Battery)'!AJ$11*Model!$K$2452*'Assumptions (Battery)'!$I$2/10^9,0)</f>
        <v>0</v>
      </c>
      <c r="Z2621" s="409">
        <f>IF($K$2452&gt;0,'Assumptions (Battery)'!AK$11*Model!$K$2452*'Assumptions (Battery)'!$I$2/10^9,0)</f>
        <v>0</v>
      </c>
      <c r="AA2621" s="105"/>
      <c r="AB2621" s="105"/>
      <c r="AC2621" s="105"/>
      <c r="AD2621" s="105"/>
      <c r="AE2621" s="105"/>
      <c r="AF2621" s="105"/>
      <c r="AG2621" s="105"/>
      <c r="AH2621" s="105"/>
      <c r="AI2621" s="105"/>
    </row>
    <row r="2622" spans="1:68" ht="15.75" hidden="1" customHeight="1" outlineLevel="1">
      <c r="A2622" s="454"/>
      <c r="B2622" s="99"/>
      <c r="C2622" s="105"/>
      <c r="D2622" s="105"/>
      <c r="E2622" s="105"/>
      <c r="F2622" s="105"/>
      <c r="G2622" s="105"/>
      <c r="H2622" s="105"/>
      <c r="I2622" s="105"/>
      <c r="J2622" s="105"/>
      <c r="K2622" s="105"/>
      <c r="L2622" s="105">
        <f>IF($L$2452&gt;0,'Assumptions (Battery)'!V$11*Model!$L$2452*'Assumptions (Battery)'!$J$2/10^9,0)</f>
        <v>7.4816648060970772E-4</v>
      </c>
      <c r="M2622" s="105">
        <f>IF($L$2452&gt;0,'Assumptions (Battery)'!W$11*Model!$L$2452*'Assumptions (Battery)'!$J$2/10^9,0)</f>
        <v>1.2821971385676518E-3</v>
      </c>
      <c r="N2622" s="105">
        <f>IF($L$2452&gt;0,'Assumptions (Battery)'!X$11*Model!$L$2452*'Assumptions (Battery)'!$J$2/10^9,0)</f>
        <v>9.1570551055729799E-4</v>
      </c>
      <c r="O2622" s="105">
        <f>IF($L$2452&gt;0,'Assumptions (Battery)'!Y$11*Model!$L$2452*'Assumptions (Battery)'!$J$2/10^9,0)</f>
        <v>6.5392577626418821E-4</v>
      </c>
      <c r="P2622" s="105">
        <f>IF($L$2452&gt;0,'Assumptions (Battery)'!Z$11*Model!$L$2452*'Assumptions (Battery)'!$J$2/10^9,0)</f>
        <v>4.675386054474941E-4</v>
      </c>
      <c r="Q2622" s="105">
        <f>IF($L$2452&gt;0,'Assumptions (Battery)'!AA$11*Model!$L$2452*'Assumptions (Battery)'!$J$2/10^9,0)</f>
        <v>4.6701504597890784E-4</v>
      </c>
      <c r="R2622" s="105">
        <f>IF($L$2452&gt;0,'Assumptions (Battery)'!AB$11*Model!$L$2452*'Assumptions (Battery)'!$J$2/10^9,0)</f>
        <v>4.675386054474941E-4</v>
      </c>
      <c r="S2622" s="105">
        <f>IF($L$2452&gt;0,'Assumptions (Battery)'!AC$11*Model!$L$2452*'Assumptions (Battery)'!$J$2/10^9,0)</f>
        <v>2.3350752298945392E-4</v>
      </c>
      <c r="T2622" s="418">
        <f>IF($L$2452&gt;0,'Assumptions (Battery)'!AD$11*Model!$L$2452*'Assumptions (Battery)'!$J$2/10^9,0)</f>
        <v>0</v>
      </c>
      <c r="U2622" s="105">
        <f>IF($L$2452&gt;0,'Assumptions (Battery)'!AE$11*Model!$L$2452*'Assumptions (Battery)'!$J$2/10^9,0)</f>
        <v>0</v>
      </c>
      <c r="V2622" s="105">
        <f>IF($L$2452&gt;0,'Assumptions (Battery)'!AF$11*Model!$L$2452*'Assumptions (Battery)'!$J$2/10^9,0)</f>
        <v>0</v>
      </c>
      <c r="W2622" s="105">
        <f>IF($L$2452&gt;0,'Assumptions (Battery)'!AG$11*Model!$L$2452*'Assumptions (Battery)'!$J$2/10^9,0)</f>
        <v>0</v>
      </c>
      <c r="X2622" s="105">
        <f>IF($L$2452&gt;0,'Assumptions (Battery)'!AH$11*Model!$L$2452*'Assumptions (Battery)'!$J$2/10^9,0)</f>
        <v>0</v>
      </c>
      <c r="Y2622" s="105">
        <f>IF($L$2452&gt;0,'Assumptions (Battery)'!AI$11*Model!$L$2452*'Assumptions (Battery)'!$J$2/10^9,0)</f>
        <v>0</v>
      </c>
      <c r="Z2622" s="105">
        <f>IF($L$2452&gt;0,'Assumptions (Battery)'!AJ$11*Model!$L$2452*'Assumptions (Battery)'!$J$2/10^9,0)</f>
        <v>0</v>
      </c>
      <c r="AA2622" s="105">
        <f>IF($L$2452&gt;0,'Assumptions (Battery)'!AK$11*Model!$L$2452*'Assumptions (Battery)'!$J$2/10^9,0)</f>
        <v>0</v>
      </c>
      <c r="AB2622" s="105"/>
      <c r="AC2622" s="105"/>
      <c r="AD2622" s="105"/>
      <c r="AE2622" s="105"/>
      <c r="AF2622" s="105"/>
      <c r="AG2622" s="105"/>
      <c r="AH2622" s="105"/>
      <c r="AI2622" s="105"/>
      <c r="AJ2622" s="105"/>
    </row>
    <row r="2623" spans="1:68" ht="15.75" hidden="1" customHeight="1" outlineLevel="1">
      <c r="A2623" s="454"/>
      <c r="B2623" s="99"/>
      <c r="C2623" s="105"/>
      <c r="D2623" s="105"/>
      <c r="E2623" s="105"/>
      <c r="F2623" s="105"/>
      <c r="G2623" s="105"/>
      <c r="H2623" s="105"/>
      <c r="I2623" s="105"/>
      <c r="J2623" s="105"/>
      <c r="K2623" s="105"/>
      <c r="L2623" s="105"/>
      <c r="M2623" s="105">
        <f>IF($M$2452&gt;0,'Assumptions (Battery)'!V$11*Model!$M$2452*'Assumptions (Battery)'!$K$2/10^9,0)</f>
        <v>7.6312981022190203E-4</v>
      </c>
      <c r="N2623" s="105">
        <f>IF($M$2452&gt;0,'Assumptions (Battery)'!W$11*Model!$M$2452*'Assumptions (Battery)'!$K$2/10^9,0)</f>
        <v>1.3078410813390049E-3</v>
      </c>
      <c r="O2623" s="105">
        <f>IF($M$2452&gt;0,'Assumptions (Battery)'!X$11*Model!$M$2452*'Assumptions (Battery)'!$K$2/10^9,0)</f>
        <v>9.3401962076844404E-4</v>
      </c>
      <c r="P2623" s="105">
        <f>IF($M$2452&gt;0,'Assumptions (Battery)'!Y$11*Model!$M$2452*'Assumptions (Battery)'!$K$2/10^9,0)</f>
        <v>6.6700429178947194E-4</v>
      </c>
      <c r="Q2623" s="105">
        <f>IF($M$2452&gt;0,'Assumptions (Battery)'!Z$11*Model!$M$2452*'Assumptions (Battery)'!$K$2/10^9,0)</f>
        <v>4.7688937755644404E-4</v>
      </c>
      <c r="R2623" s="105">
        <f>IF($M$2452&gt;0,'Assumptions (Battery)'!AA$11*Model!$M$2452*'Assumptions (Battery)'!$K$2/10^9,0)</f>
        <v>4.7635534689848604E-4</v>
      </c>
      <c r="S2623" s="105">
        <f>IF($M$2452&gt;0,'Assumptions (Battery)'!AB$11*Model!$M$2452*'Assumptions (Battery)'!$K$2/10^9,0)</f>
        <v>4.7688937755644404E-4</v>
      </c>
      <c r="T2623" s="418">
        <f>IF($M$2452&gt;0,'Assumptions (Battery)'!AC$11*Model!$M$2452*'Assumptions (Battery)'!$K$2/10^9,0)</f>
        <v>2.3817767344924302E-4</v>
      </c>
      <c r="U2623" s="105">
        <f>IF($M$2452&gt;0,'Assumptions (Battery)'!AD$11*Model!$M$2452*'Assumptions (Battery)'!$K$2/10^9,0)</f>
        <v>0</v>
      </c>
      <c r="V2623" s="105">
        <f>IF($M$2452&gt;0,'Assumptions (Battery)'!AE$11*Model!$M$2452*'Assumptions (Battery)'!$K$2/10^9,0)</f>
        <v>0</v>
      </c>
      <c r="W2623" s="105">
        <f>IF($M$2452&gt;0,'Assumptions (Battery)'!AF$11*Model!$M$2452*'Assumptions (Battery)'!$K$2/10^9,0)</f>
        <v>0</v>
      </c>
      <c r="X2623" s="105">
        <f>IF($M$2452&gt;0,'Assumptions (Battery)'!AG$11*Model!$M$2452*'Assumptions (Battery)'!$K$2/10^9,0)</f>
        <v>0</v>
      </c>
      <c r="Y2623" s="105">
        <f>IF($M$2452&gt;0,'Assumptions (Battery)'!AH$11*Model!$M$2452*'Assumptions (Battery)'!$K$2/10^9,0)</f>
        <v>0</v>
      </c>
      <c r="Z2623" s="105">
        <f>IF($M$2452&gt;0,'Assumptions (Battery)'!AI$11*Model!$M$2452*'Assumptions (Battery)'!$K$2/10^9,0)</f>
        <v>0</v>
      </c>
      <c r="AA2623" s="105">
        <f>IF($M$2452&gt;0,'Assumptions (Battery)'!AJ$11*Model!$M$2452*'Assumptions (Battery)'!$K$2/10^9,0)</f>
        <v>0</v>
      </c>
      <c r="AB2623" s="105">
        <f>IF($M$2452&gt;0,'Assumptions (Battery)'!AK$11*Model!$M$2452*'Assumptions (Battery)'!$K$2/10^9,0)</f>
        <v>0</v>
      </c>
      <c r="AC2623" s="105"/>
      <c r="AD2623" s="105"/>
      <c r="AE2623" s="105"/>
      <c r="AF2623" s="105"/>
      <c r="AG2623" s="105"/>
      <c r="AH2623" s="105"/>
      <c r="AI2623" s="105"/>
      <c r="AJ2623" s="105"/>
      <c r="AK2623" s="105"/>
    </row>
    <row r="2624" spans="1:68" ht="15.75" hidden="1" customHeight="1" outlineLevel="1">
      <c r="A2624" s="454"/>
      <c r="B2624" s="99"/>
      <c r="C2624" s="105"/>
      <c r="D2624" s="105"/>
      <c r="E2624" s="105"/>
      <c r="F2624" s="105"/>
      <c r="G2624" s="105"/>
      <c r="H2624" s="105"/>
      <c r="I2624" s="105"/>
      <c r="J2624" s="105"/>
      <c r="K2624" s="105"/>
      <c r="L2624" s="105"/>
      <c r="M2624" s="105"/>
      <c r="N2624" s="105">
        <f>IF($N$2452&gt;0,'Assumptions (Battery)'!V$11*Model!$N$2452*'Assumptions (Battery)'!$L$2/10^9,0)</f>
        <v>6.382817732695987E-3</v>
      </c>
      <c r="O2624" s="105">
        <f>IF($N$2452&gt;0,'Assumptions (Battery)'!W$11*Model!$N$2452*'Assumptions (Battery)'!$L$2/10^9,0)</f>
        <v>1.0938782804319435E-2</v>
      </c>
      <c r="P2624" s="105">
        <f>IF($N$2452&gt;0,'Assumptions (Battery)'!X$11*Model!$N$2452*'Assumptions (Battery)'!$L$2/10^9,0)</f>
        <v>7.8121401081072649E-3</v>
      </c>
      <c r="Q2624" s="105">
        <f>IF($N$2452&gt;0,'Assumptions (Battery)'!Y$11*Model!$N$2452*'Assumptions (Battery)'!$L$2/10^9,0)</f>
        <v>5.5788238965271443E-3</v>
      </c>
      <c r="R2624" s="105">
        <f>IF($N$2452&gt;0,'Assumptions (Battery)'!Z$11*Model!$N$2452*'Assumptions (Battery)'!$L$2/10^9,0)</f>
        <v>3.9887027538820976E-3</v>
      </c>
      <c r="S2624" s="105">
        <f>IF($N$2452&gt;0,'Assumptions (Battery)'!AA$11*Model!$N$2452*'Assumptions (Battery)'!$L$2/10^9,0)</f>
        <v>3.984236121458937E-3</v>
      </c>
      <c r="T2624" s="418">
        <f>IF($N$2452&gt;0,'Assumptions (Battery)'!AB$11*Model!$N$2452*'Assumptions (Battery)'!$L$2/10^9,0)</f>
        <v>3.9887027538820976E-3</v>
      </c>
      <c r="U2624" s="105">
        <f>IF($N$2452&gt;0,'Assumptions (Battery)'!AC$11*Model!$N$2452*'Assumptions (Battery)'!$L$2/10^9,0)</f>
        <v>1.9921180607294685E-3</v>
      </c>
      <c r="V2624" s="105">
        <f>IF($N$2452&gt;0,'Assumptions (Battery)'!AD$11*Model!$N$2452*'Assumptions (Battery)'!$L$2/10^9,0)</f>
        <v>0</v>
      </c>
      <c r="W2624" s="105">
        <f>IF($N$2452&gt;0,'Assumptions (Battery)'!AE$11*Model!$N$2452*'Assumptions (Battery)'!$L$2/10^9,0)</f>
        <v>0</v>
      </c>
      <c r="X2624" s="105">
        <f>IF($N$2452&gt;0,'Assumptions (Battery)'!AF$11*Model!$N$2452*'Assumptions (Battery)'!$L$2/10^9,0)</f>
        <v>0</v>
      </c>
      <c r="Y2624" s="105">
        <f>IF($N$2452&gt;0,'Assumptions (Battery)'!AG$11*Model!$N$2452*'Assumptions (Battery)'!$L$2/10^9,0)</f>
        <v>0</v>
      </c>
      <c r="Z2624" s="105">
        <f>IF($N$2452&gt;0,'Assumptions (Battery)'!AH$11*Model!$N$2452*'Assumptions (Battery)'!$L$2/10^9,0)</f>
        <v>0</v>
      </c>
      <c r="AA2624" s="105">
        <f>IF($N$2452&gt;0,'Assumptions (Battery)'!AI$11*Model!$N$2452*'Assumptions (Battery)'!$L$2/10^9,0)</f>
        <v>0</v>
      </c>
      <c r="AB2624" s="105">
        <f>IF($N$2452&gt;0,'Assumptions (Battery)'!AJ$11*Model!$N$2452*'Assumptions (Battery)'!$L$2/10^9,0)</f>
        <v>0</v>
      </c>
      <c r="AC2624" s="105">
        <f>IF($N$2452&gt;0,'Assumptions (Battery)'!AK$11*Model!$N$2452*'Assumptions (Battery)'!$L$2/10^9,0)</f>
        <v>0</v>
      </c>
      <c r="AD2624" s="105"/>
      <c r="AE2624" s="105"/>
      <c r="AF2624" s="105"/>
      <c r="AG2624" s="105"/>
      <c r="AH2624" s="105"/>
      <c r="AI2624" s="105"/>
      <c r="AJ2624" s="105"/>
      <c r="AK2624" s="105"/>
    </row>
    <row r="2625" spans="1:54" ht="15.75" hidden="1" customHeight="1" outlineLevel="1">
      <c r="A2625" s="454"/>
      <c r="B2625" s="99"/>
      <c r="C2625" s="105"/>
      <c r="D2625" s="105"/>
      <c r="E2625" s="105"/>
      <c r="F2625" s="105"/>
      <c r="G2625" s="105"/>
      <c r="H2625" s="105"/>
      <c r="I2625" s="105"/>
      <c r="J2625" s="105"/>
      <c r="K2625" s="105"/>
      <c r="L2625" s="105"/>
      <c r="M2625" s="105"/>
      <c r="N2625" s="105"/>
      <c r="O2625" s="105">
        <f>IF($O$2452&gt;0,'Assumptions (Battery)'!V$11*Model!$O$2452*'Assumptions (Battery)'!$M$2/10^9,0)</f>
        <v>8.4953747237370737E-3</v>
      </c>
      <c r="P2625" s="105">
        <f>IF($O$2452&gt;0,'Assumptions (Battery)'!W$11*Model!$O$2452*'Assumptions (Battery)'!$M$2/10^9,0)</f>
        <v>1.4559253112968575E-2</v>
      </c>
      <c r="Q2625" s="105">
        <f>IF($O$2452&gt;0,'Assumptions (Battery)'!X$11*Model!$O$2452*'Assumptions (Battery)'!$M$2/10^9,0)</f>
        <v>1.0397767943888133E-2</v>
      </c>
      <c r="R2625" s="105">
        <f>IF($O$2452&gt;0,'Assumptions (Battery)'!Y$11*Model!$O$2452*'Assumptions (Battery)'!$M$2/10^9,0)</f>
        <v>7.4252785374021024E-3</v>
      </c>
      <c r="S2625" s="105">
        <f>IF($O$2452&gt;0,'Assumptions (Battery)'!Z$11*Model!$O$2452*'Assumptions (Battery)'!$M$2/10^9,0)</f>
        <v>5.3088660799840504E-3</v>
      </c>
      <c r="T2625" s="418">
        <f>IF($O$2452&gt;0,'Assumptions (Battery)'!AA$11*Model!$O$2452*'Assumptions (Battery)'!$M$2/10^9,0)</f>
        <v>5.302921101171078E-3</v>
      </c>
      <c r="U2625" s="105">
        <f>IF($O$2452&gt;0,'Assumptions (Battery)'!AB$11*Model!$O$2452*'Assumptions (Battery)'!$M$2/10^9,0)</f>
        <v>5.3088660799840504E-3</v>
      </c>
      <c r="V2625" s="105">
        <f>IF($O$2452&gt;0,'Assumptions (Battery)'!AC$11*Model!$O$2452*'Assumptions (Battery)'!$M$2/10^9,0)</f>
        <v>2.651460550585539E-3</v>
      </c>
      <c r="W2625" s="105">
        <f>IF($O$2452&gt;0,'Assumptions (Battery)'!AD$11*Model!$O$2452*'Assumptions (Battery)'!$M$2/10^9,0)</f>
        <v>0</v>
      </c>
      <c r="X2625" s="105">
        <f>IF($O$2452&gt;0,'Assumptions (Battery)'!AE$11*Model!$O$2452*'Assumptions (Battery)'!$M$2/10^9,0)</f>
        <v>0</v>
      </c>
      <c r="Y2625" s="105">
        <f>IF($O$2452&gt;0,'Assumptions (Battery)'!AF$11*Model!$O$2452*'Assumptions (Battery)'!$M$2/10^9,0)</f>
        <v>0</v>
      </c>
      <c r="Z2625" s="105">
        <f>IF($O$2452&gt;0,'Assumptions (Battery)'!AG$11*Model!$O$2452*'Assumptions (Battery)'!$M$2/10^9,0)</f>
        <v>0</v>
      </c>
      <c r="AA2625" s="105">
        <f>IF($O$2452&gt;0,'Assumptions (Battery)'!AH$11*Model!$O$2452*'Assumptions (Battery)'!$M$2/10^9,0)</f>
        <v>0</v>
      </c>
      <c r="AB2625" s="105">
        <f>IF($O$2452&gt;0,'Assumptions (Battery)'!AI$11*Model!$O$2452*'Assumptions (Battery)'!$M$2/10^9,0)</f>
        <v>0</v>
      </c>
      <c r="AC2625" s="105">
        <f>IF($O$2452&gt;0,'Assumptions (Battery)'!AJ$11*Model!$O$2452*'Assumptions (Battery)'!$M$2/10^9,0)</f>
        <v>0</v>
      </c>
      <c r="AD2625" s="105">
        <f>IF($O$2452&gt;0,'Assumptions (Battery)'!AK$11*Model!$O$2452*'Assumptions (Battery)'!$M$2/10^9,0)</f>
        <v>0</v>
      </c>
      <c r="AE2625" s="105"/>
      <c r="AF2625" s="105"/>
      <c r="AG2625" s="105"/>
      <c r="AH2625" s="105"/>
      <c r="AI2625" s="105"/>
      <c r="AJ2625" s="105"/>
      <c r="AK2625" s="105"/>
    </row>
    <row r="2626" spans="1:54" ht="15.75" hidden="1" customHeight="1" outlineLevel="1">
      <c r="A2626" s="454"/>
      <c r="B2626" s="99"/>
      <c r="C2626" s="105"/>
      <c r="D2626" s="105"/>
      <c r="E2626" s="105"/>
      <c r="F2626" s="105"/>
      <c r="G2626" s="105"/>
      <c r="H2626" s="91"/>
      <c r="I2626" s="105"/>
      <c r="J2626" s="105"/>
      <c r="K2626" s="105"/>
      <c r="L2626" s="105"/>
      <c r="M2626" s="105"/>
      <c r="N2626" s="105"/>
      <c r="O2626" s="105"/>
      <c r="P2626" s="91">
        <f>IF($P$2452&gt;0,'Assumptions (Battery)'!V$11*Model!$P$2452*'Assumptions (Battery)'!$N$2/10^9,0)</f>
        <v>3.1381279061281115E-3</v>
      </c>
      <c r="Q2626" s="91">
        <f>IF($P$2452&gt;0,'Assumptions (Battery)'!W$11*Model!$P$2452*'Assumptions (Battery)'!$N$2/10^9,0)</f>
        <v>5.3780792457017107E-3</v>
      </c>
      <c r="R2626" s="91">
        <f>IF($P$2452&gt;0,'Assumptions (Battery)'!X$11*Model!$P$2452*'Assumptions (Battery)'!$N$2/10^9,0)</f>
        <v>3.8408577381512012E-3</v>
      </c>
      <c r="S2626" s="91">
        <f>IF($P$2452&gt;0,'Assumptions (Battery)'!Y$11*Model!$P$2452*'Assumptions (Battery)'!$N$2/10^9,0)</f>
        <v>2.7428423756151233E-3</v>
      </c>
      <c r="T2626" s="418">
        <f>IF($P$2452&gt;0,'Assumptions (Battery)'!Z$11*Model!$P$2452*'Assumptions (Battery)'!$N$2/10^9,0)</f>
        <v>1.9610554374894355E-3</v>
      </c>
      <c r="U2626" s="91">
        <f>IF($P$2452&gt;0,'Assumptions (Battery)'!AA$11*Model!$P$2452*'Assumptions (Battery)'!$N$2/10^9,0)</f>
        <v>1.9588594067643634E-3</v>
      </c>
      <c r="V2626" s="91">
        <f>IF($P$2452&gt;0,'Assumptions (Battery)'!AB$11*Model!$P$2452*'Assumptions (Battery)'!$N$2/10^9,0)</f>
        <v>1.9610554374894355E-3</v>
      </c>
      <c r="W2626" s="91">
        <f>IF($P$2452&gt;0,'Assumptions (Battery)'!AC$11*Model!$P$2452*'Assumptions (Battery)'!$N$2/10^9,0)</f>
        <v>9.7942970338218169E-4</v>
      </c>
      <c r="X2626" s="91">
        <f>IF($P$2452&gt;0,'Assumptions (Battery)'!AD$11*Model!$P$2452*'Assumptions (Battery)'!$N$2/10^9,0)</f>
        <v>0</v>
      </c>
      <c r="Y2626" s="91">
        <f>IF($P$2452&gt;0,'Assumptions (Battery)'!AE$11*Model!$P$2452*'Assumptions (Battery)'!$N$2/10^9,0)</f>
        <v>0</v>
      </c>
      <c r="Z2626" s="91">
        <f>IF($P$2452&gt;0,'Assumptions (Battery)'!AF$11*Model!$P$2452*'Assumptions (Battery)'!$N$2/10^9,0)</f>
        <v>0</v>
      </c>
      <c r="AA2626" s="91">
        <f>IF($P$2452&gt;0,'Assumptions (Battery)'!AG$11*Model!$P$2452*'Assumptions (Battery)'!$N$2/10^9,0)</f>
        <v>0</v>
      </c>
      <c r="AB2626" s="91">
        <f>IF($P$2452&gt;0,'Assumptions (Battery)'!AH$11*Model!$P$2452*'Assumptions (Battery)'!$N$2/10^9,0)</f>
        <v>0</v>
      </c>
      <c r="AC2626" s="91">
        <f>IF($P$2452&gt;0,'Assumptions (Battery)'!AI$11*Model!$P$2452*'Assumptions (Battery)'!$N$2/10^9,0)</f>
        <v>0</v>
      </c>
      <c r="AD2626" s="91">
        <f>IF($P$2452&gt;0,'Assumptions (Battery)'!AJ$11*Model!$P$2452*'Assumptions (Battery)'!$N$2/10^9,0)</f>
        <v>0</v>
      </c>
      <c r="AE2626" s="91">
        <f>IF($P$2452&gt;0,'Assumptions (Battery)'!AK$11*Model!$P$2452*'Assumptions (Battery)'!$N$2/10^9,0)</f>
        <v>0</v>
      </c>
      <c r="AF2626" s="91"/>
      <c r="AG2626" s="91"/>
      <c r="AH2626" s="91"/>
      <c r="AI2626" s="91"/>
      <c r="AJ2626" s="91"/>
      <c r="AK2626" s="91"/>
    </row>
    <row r="2627" spans="1:54" ht="15.75" hidden="1" customHeight="1" outlineLevel="1">
      <c r="A2627" s="454"/>
      <c r="B2627" s="99"/>
      <c r="C2627" s="105"/>
      <c r="D2627" s="105"/>
      <c r="E2627" s="105"/>
      <c r="F2627" s="105"/>
      <c r="G2627" s="105"/>
      <c r="H2627" s="105"/>
      <c r="I2627" s="105"/>
      <c r="J2627" s="105"/>
      <c r="K2627" s="105"/>
      <c r="L2627" s="105"/>
      <c r="M2627" s="105"/>
      <c r="N2627" s="105"/>
      <c r="O2627" s="105"/>
      <c r="P2627" s="171"/>
      <c r="Q2627" s="105">
        <f>IF($Q$2452&gt;0,'Assumptions (Battery)'!V$11*Model!$Q$2452*'Assumptions (Battery)'!$O$2/10^9,0)</f>
        <v>5.6170464921044072E-3</v>
      </c>
      <c r="R2627" s="105">
        <f>IF($Q$2452&gt;0,'Assumptions (Battery)'!W$11*Model!$Q$2452*'Assumptions (Battery)'!$O$2/10^9,0)</f>
        <v>9.6264148769515008E-3</v>
      </c>
      <c r="S2627" s="105">
        <f>IF($Q$2452&gt;0,'Assumptions (Battery)'!X$11*Model!$Q$2452*'Assumptions (Battery)'!$O$2/10^9,0)</f>
        <v>6.8748875540172207E-3</v>
      </c>
      <c r="T2627" s="418">
        <f>IF($Q$2452&gt;0,'Assumptions (Battery)'!Y$11*Model!$Q$2452*'Assumptions (Battery)'!$O$2/10^9,0)</f>
        <v>4.9095108947784499E-3</v>
      </c>
      <c r="U2627" s="105">
        <f>IF($Q$2452&gt;0,'Assumptions (Battery)'!Z$11*Model!$Q$2452*'Assumptions (Battery)'!$O$2/10^9,0)</f>
        <v>3.5101627134004453E-3</v>
      </c>
      <c r="V2627" s="105">
        <f>IF($Q$2452&gt;0,'Assumptions (Battery)'!AA$11*Model!$Q$2452*'Assumptions (Battery)'!$O$2/10^9,0)</f>
        <v>3.5062319600819673E-3</v>
      </c>
      <c r="W2627" s="105">
        <f>IF($Q$2452&gt;0,'Assumptions (Battery)'!AB$11*Model!$Q$2452*'Assumptions (Battery)'!$O$2/10^9,0)</f>
        <v>3.5101627134004453E-3</v>
      </c>
      <c r="X2627" s="105">
        <f>IF($Q$2452&gt;0,'Assumptions (Battery)'!AC$11*Model!$Q$2452*'Assumptions (Battery)'!$O$2/10^9,0)</f>
        <v>1.7531159800409837E-3</v>
      </c>
      <c r="Y2627" s="105">
        <f>IF($Q$2452&gt;0,'Assumptions (Battery)'!AD$11*Model!$Q$2452*'Assumptions (Battery)'!$O$2/10^9,0)</f>
        <v>0</v>
      </c>
      <c r="Z2627" s="105">
        <f>IF($Q$2452&gt;0,'Assumptions (Battery)'!AE$11*Model!$Q$2452*'Assumptions (Battery)'!$O$2/10^9,0)</f>
        <v>0</v>
      </c>
      <c r="AA2627" s="105">
        <f>IF($Q$2452&gt;0,'Assumptions (Battery)'!AF$11*Model!$Q$2452*'Assumptions (Battery)'!$O$2/10^9,0)</f>
        <v>0</v>
      </c>
      <c r="AB2627" s="105">
        <f>IF($Q$2452&gt;0,'Assumptions (Battery)'!AG$11*Model!$Q$2452*'Assumptions (Battery)'!$O$2/10^9,0)</f>
        <v>0</v>
      </c>
      <c r="AC2627" s="105">
        <f>IF($Q$2452&gt;0,'Assumptions (Battery)'!AH$11*Model!$Q$2452*'Assumptions (Battery)'!$O$2/10^9,0)</f>
        <v>0</v>
      </c>
      <c r="AD2627" s="105">
        <f>IF($Q$2452&gt;0,'Assumptions (Battery)'!AI$11*Model!$Q$2452*'Assumptions (Battery)'!$O$2/10^9,0)</f>
        <v>0</v>
      </c>
      <c r="AE2627" s="105">
        <f>IF($Q$2452&gt;0,'Assumptions (Battery)'!AJ$11*Model!$Q$2452*'Assumptions (Battery)'!$O$2/10^9,0)</f>
        <v>0</v>
      </c>
      <c r="AF2627" s="105">
        <f>IF($Q$2452&gt;0,'Assumptions (Battery)'!AK$11*Model!$Q$2452*'Assumptions (Battery)'!$O$2/10^9,0)</f>
        <v>0</v>
      </c>
      <c r="AG2627" s="105"/>
      <c r="AH2627" s="105"/>
      <c r="AI2627" s="105"/>
      <c r="AJ2627" s="105"/>
      <c r="AK2627" s="105"/>
    </row>
    <row r="2628" spans="1:54" ht="15.75" hidden="1" customHeight="1" outlineLevel="1">
      <c r="A2628" s="454"/>
      <c r="B2628" s="99"/>
      <c r="C2628" s="105"/>
      <c r="D2628" s="105"/>
      <c r="E2628" s="105"/>
      <c r="F2628" s="105"/>
      <c r="G2628" s="105"/>
      <c r="H2628" s="105"/>
      <c r="I2628" s="105"/>
      <c r="J2628" s="105"/>
      <c r="K2628" s="105"/>
      <c r="L2628" s="105"/>
      <c r="M2628" s="105"/>
      <c r="N2628" s="105"/>
      <c r="O2628" s="105"/>
      <c r="P2628" s="171"/>
      <c r="Q2628" s="105"/>
      <c r="R2628" s="91">
        <f>IF($R$2452&gt;0,'Assumptions (Battery)'!V$11*Model!$R$2452*'Assumptions (Battery)'!$P$2/10^9,0)</f>
        <v>3.0774393468617021E-2</v>
      </c>
      <c r="S2628" s="91">
        <f>IF($R$2452&gt;0,'Assumptions (Battery)'!W$11*Model!$R$2452*'Assumptions (Battery)'!$P$2/10^9,0)</f>
        <v>5.2740720507098042E-2</v>
      </c>
      <c r="T2628" s="418">
        <f>IF($R$2452&gt;0,'Assumptions (Battery)'!X$11*Model!$R$2452*'Assumptions (Battery)'!$P$2/10^9,0)</f>
        <v>3.7665790186571853E-2</v>
      </c>
      <c r="U2628" s="91">
        <f>IF($R$2452&gt;0,'Assumptions (Battery)'!Y$11*Model!$R$2452*'Assumptions (Battery)'!$P$2/10^9,0)</f>
        <v>2.6897982814767431E-2</v>
      </c>
      <c r="V2628" s="91">
        <f>IF($R$2452&gt;0,'Assumptions (Battery)'!Z$11*Model!$R$2452*'Assumptions (Battery)'!$P$2/10^9,0)</f>
        <v>1.9231303966042688E-2</v>
      </c>
      <c r="W2628" s="91">
        <f>IF($R$2452&gt;0,'Assumptions (Battery)'!AA$11*Model!$R$2452*'Assumptions (Battery)'!$P$2/10^9,0)</f>
        <v>1.9209768351299082E-2</v>
      </c>
      <c r="X2628" s="91">
        <f>IF($R$2452&gt;0,'Assumptions (Battery)'!AB$11*Model!$R$2452*'Assumptions (Battery)'!$P$2/10^9,0)</f>
        <v>1.9231303966042688E-2</v>
      </c>
      <c r="Y2628" s="91">
        <f>IF($R$2452&gt;0,'Assumptions (Battery)'!AC$11*Model!$R$2452*'Assumptions (Battery)'!$P$2/10^9,0)</f>
        <v>9.6048841756495411E-3</v>
      </c>
      <c r="Z2628" s="91">
        <f>IF($R$2452&gt;0,'Assumptions (Battery)'!AD$11*Model!$R$2452*'Assumptions (Battery)'!$P$2/10^9,0)</f>
        <v>0</v>
      </c>
      <c r="AA2628" s="91">
        <f>IF($R$2452&gt;0,'Assumptions (Battery)'!AE$11*Model!$R$2452*'Assumptions (Battery)'!$P$2/10^9,0)</f>
        <v>0</v>
      </c>
      <c r="AB2628" s="91">
        <f>IF($R$2452&gt;0,'Assumptions (Battery)'!AF$11*Model!$R$2452*'Assumptions (Battery)'!$P$2/10^9,0)</f>
        <v>0</v>
      </c>
      <c r="AC2628" s="91">
        <f>IF($R$2452&gt;0,'Assumptions (Battery)'!AG$11*Model!$R$2452*'Assumptions (Battery)'!$P$2/10^9,0)</f>
        <v>0</v>
      </c>
      <c r="AD2628" s="91">
        <f>IF($R$2452&gt;0,'Assumptions (Battery)'!AH$11*Model!$R$2452*'Assumptions (Battery)'!$P$2/10^9,0)</f>
        <v>0</v>
      </c>
      <c r="AE2628" s="91">
        <f>IF($R$2452&gt;0,'Assumptions (Battery)'!AI$11*Model!$R$2452*'Assumptions (Battery)'!$P$2/10^9,0)</f>
        <v>0</v>
      </c>
      <c r="AF2628" s="91">
        <f>IF($R$2452&gt;0,'Assumptions (Battery)'!AJ$11*Model!$R$2452*'Assumptions (Battery)'!$P$2/10^9,0)</f>
        <v>0</v>
      </c>
      <c r="AG2628" s="91">
        <f>IF($R$2452&gt;0,'Assumptions (Battery)'!AK$11*Model!$R$2452*'Assumptions (Battery)'!$P$2/10^9,0)</f>
        <v>0</v>
      </c>
      <c r="AH2628" s="91"/>
      <c r="AI2628" s="91"/>
      <c r="AJ2628" s="91"/>
      <c r="AK2628" s="91"/>
    </row>
    <row r="2629" spans="1:54" ht="15.75" hidden="1" customHeight="1" outlineLevel="1">
      <c r="A2629" s="454"/>
      <c r="B2629" s="99"/>
      <c r="C2629" s="105"/>
      <c r="D2629" s="105"/>
      <c r="E2629" s="105"/>
      <c r="F2629" s="105"/>
      <c r="G2629" s="105"/>
      <c r="H2629" s="105"/>
      <c r="I2629" s="105"/>
      <c r="J2629" s="105"/>
      <c r="K2629" s="105"/>
      <c r="L2629" s="105"/>
      <c r="M2629" s="105"/>
      <c r="N2629" s="105"/>
      <c r="O2629" s="105"/>
      <c r="P2629" s="171"/>
      <c r="Q2629" s="105"/>
      <c r="R2629" s="91"/>
      <c r="S2629" s="105">
        <f>IF($S$2452&gt;0,'Assumptions (Battery)'!V$11*Model!$S$2452*'Assumptions (Battery)'!$Q$2/10^9,0)</f>
        <v>4.1939115928648352E-2</v>
      </c>
      <c r="T2629" s="418">
        <f>IF($S$2452&gt;0,'Assumptions (Battery)'!W$11*Model!$S$2452*'Assumptions (Battery)'!$Q$2/10^9,0)</f>
        <v>7.1874664037270691E-2</v>
      </c>
      <c r="U2629" s="105">
        <f>IF($S$2452&gt;0,'Assumptions (Battery)'!X$11*Model!$S$2452*'Assumptions (Battery)'!$Q$2/10^9,0)</f>
        <v>5.1330660433314183E-2</v>
      </c>
      <c r="V2629" s="105">
        <f>IF($S$2452&gt;0,'Assumptions (Battery)'!Y$11*Model!$S$2452*'Assumptions (Battery)'!$Q$2/10^9,0)</f>
        <v>3.6656372144773818E-2</v>
      </c>
      <c r="W2629" s="105">
        <f>IF($S$2452&gt;0,'Assumptions (Battery)'!Z$11*Model!$S$2452*'Assumptions (Battery)'!$Q$2/10^9,0)</f>
        <v>2.6208278883333085E-2</v>
      </c>
      <c r="X2629" s="105">
        <f>IF($S$2452&gt;0,'Assumptions (Battery)'!AA$11*Model!$S$2452*'Assumptions (Battery)'!$Q$2/10^9,0)</f>
        <v>2.6178930306756002E-2</v>
      </c>
      <c r="Y2629" s="105">
        <f>IF($S$2452&gt;0,'Assumptions (Battery)'!AB$11*Model!$S$2452*'Assumptions (Battery)'!$Q$2/10^9,0)</f>
        <v>2.6208278883333085E-2</v>
      </c>
      <c r="Z2629" s="105">
        <f>IF($S$2452&gt;0,'Assumptions (Battery)'!AC$11*Model!$S$2452*'Assumptions (Battery)'!$Q$2/10^9,0)</f>
        <v>1.3089465153378001E-2</v>
      </c>
      <c r="AA2629" s="105">
        <f>IF($S$2452&gt;0,'Assumptions (Battery)'!AD$11*Model!$S$2452*'Assumptions (Battery)'!$Q$2/10^9,0)</f>
        <v>0</v>
      </c>
      <c r="AB2629" s="105">
        <f>IF($S$2452&gt;0,'Assumptions (Battery)'!AE$11*Model!$S$2452*'Assumptions (Battery)'!$Q$2/10^9,0)</f>
        <v>0</v>
      </c>
      <c r="AC2629" s="105">
        <f>IF($S$2452&gt;0,'Assumptions (Battery)'!AF$11*Model!$S$2452*'Assumptions (Battery)'!$Q$2/10^9,0)</f>
        <v>0</v>
      </c>
      <c r="AD2629" s="105">
        <f>IF($S$2452&gt;0,'Assumptions (Battery)'!AG$11*Model!$S$2452*'Assumptions (Battery)'!$Q$2/10^9,0)</f>
        <v>0</v>
      </c>
      <c r="AE2629" s="105">
        <f>IF($S$2452&gt;0,'Assumptions (Battery)'!AH$11*Model!$S$2452*'Assumptions (Battery)'!$Q$2/10^9,0)</f>
        <v>0</v>
      </c>
      <c r="AF2629" s="105">
        <f>IF($S$2452&gt;0,'Assumptions (Battery)'!AI$11*Model!$S$2452*'Assumptions (Battery)'!$Q$2/10^9,0)</f>
        <v>0</v>
      </c>
      <c r="AG2629" s="105">
        <f>IF($S$2452&gt;0,'Assumptions (Battery)'!AJ$11*Model!$S$2452*'Assumptions (Battery)'!$Q$2/10^9,0)</f>
        <v>0</v>
      </c>
      <c r="AH2629" s="105">
        <f>IF($S$2452&gt;0,'Assumptions (Battery)'!AK$11*Model!$S$2452*'Assumptions (Battery)'!$Q$2/10^9,0)</f>
        <v>0</v>
      </c>
      <c r="AI2629" s="105"/>
      <c r="AJ2629" s="105"/>
      <c r="AK2629" s="105"/>
    </row>
    <row r="2630" spans="1:54" ht="15.75" hidden="1" customHeight="1" outlineLevel="1">
      <c r="A2630" s="454"/>
      <c r="B2630" s="99"/>
      <c r="C2630" s="105"/>
      <c r="D2630" s="105"/>
      <c r="E2630" s="105"/>
      <c r="F2630" s="105"/>
      <c r="G2630" s="105"/>
      <c r="H2630" s="105"/>
      <c r="I2630" s="105"/>
      <c r="J2630" s="105"/>
      <c r="K2630" s="105"/>
      <c r="L2630" s="105"/>
      <c r="M2630" s="105"/>
      <c r="N2630" s="105"/>
      <c r="O2630" s="105"/>
      <c r="P2630" s="171"/>
      <c r="Q2630" s="105"/>
      <c r="R2630" s="91"/>
      <c r="S2630" s="91"/>
      <c r="T2630" s="418">
        <f>IF($T$2452&gt;0,'Assumptions (Battery)'!V$11*Model!$T$2452*'Assumptions (Battery)'!$R$2/10^9,0)</f>
        <v>2.3974908136506216E-2</v>
      </c>
      <c r="U2630" s="105">
        <f>IF($T$2452&gt;0,'Assumptions (Battery)'!W$11*Model!$T$2452*'Assumptions (Battery)'!$R$2/10^9,0)</f>
        <v>4.108785866081436E-2</v>
      </c>
      <c r="V2630" s="105">
        <f>IF($T$2452&gt;0,'Assumptions (Battery)'!X$11*Model!$T$2452*'Assumptions (Battery)'!$R$2/10^9,0)</f>
        <v>2.9343676928446024E-2</v>
      </c>
      <c r="W2630" s="105">
        <f>IF($T$2452&gt;0,'Assumptions (Battery)'!Y$11*Model!$T$2452*'Assumptions (Battery)'!$R$2/10^9,0)</f>
        <v>2.0954975691040073E-2</v>
      </c>
      <c r="X2630" s="105">
        <f>IF($T$2452&gt;0,'Assumptions (Battery)'!Z$11*Model!$T$2452*'Assumptions (Battery)'!$R$2/10^9,0)</f>
        <v>1.4982220410007031E-2</v>
      </c>
      <c r="Y2630" s="105">
        <f>IF($T$2452&gt;0,'Assumptions (Battery)'!AA$11*Model!$T$2452*'Assumptions (Battery)'!$R$2/10^9,0)</f>
        <v>1.496544300753222E-2</v>
      </c>
      <c r="Z2630" s="105">
        <f>IF($T$2452&gt;0,'Assumptions (Battery)'!AB$11*Model!$T$2452*'Assumptions (Battery)'!$R$2/10^9,0)</f>
        <v>1.4982220410007031E-2</v>
      </c>
      <c r="AA2630" s="105">
        <f>IF($T$2452&gt;0,'Assumptions (Battery)'!AC$11*Model!$T$2452*'Assumptions (Battery)'!$R$2/10^9,0)</f>
        <v>7.4827215037661099E-3</v>
      </c>
      <c r="AB2630" s="105">
        <f>IF($T$2452&gt;0,'Assumptions (Battery)'!AD$11*Model!$T$2452*'Assumptions (Battery)'!$R$2/10^9,0)</f>
        <v>0</v>
      </c>
      <c r="AC2630" s="105">
        <f>IF($T$2452&gt;0,'Assumptions (Battery)'!AE$11*Model!$T$2452*'Assumptions (Battery)'!$R$2/10^9,0)</f>
        <v>0</v>
      </c>
      <c r="AD2630" s="105">
        <f>IF($T$2452&gt;0,'Assumptions (Battery)'!AF$11*Model!$T$2452*'Assumptions (Battery)'!$R$2/10^9,0)</f>
        <v>0</v>
      </c>
      <c r="AE2630" s="105">
        <f>IF($T$2452&gt;0,'Assumptions (Battery)'!AG$11*Model!$T$2452*'Assumptions (Battery)'!$R$2/10^9,0)</f>
        <v>0</v>
      </c>
      <c r="AF2630" s="105">
        <f>IF($T$2452&gt;0,'Assumptions (Battery)'!AH$11*Model!$T$2452*'Assumptions (Battery)'!$R$2/10^9,0)</f>
        <v>0</v>
      </c>
      <c r="AG2630" s="105">
        <f>IF($T$2452&gt;0,'Assumptions (Battery)'!AI$11*Model!$T$2452*'Assumptions (Battery)'!$R$2/10^9,0)</f>
        <v>0</v>
      </c>
      <c r="AH2630" s="105">
        <f>IF($T$2452&gt;0,'Assumptions (Battery)'!AJ$11*Model!$T$2452*'Assumptions (Battery)'!$R$2/10^9,0)</f>
        <v>0</v>
      </c>
      <c r="AI2630" s="105">
        <f>IF($T$2452&gt;0,'Assumptions (Battery)'!AK$11*Model!$T$2452*'Assumptions (Battery)'!$R$2/10^9,0)</f>
        <v>0</v>
      </c>
      <c r="AJ2630" s="105"/>
      <c r="AK2630" s="105"/>
    </row>
    <row r="2631" spans="1:54" ht="15.75" hidden="1" customHeight="1" outlineLevel="1">
      <c r="A2631" s="454"/>
      <c r="B2631" s="99"/>
      <c r="C2631" s="105"/>
      <c r="D2631" s="105"/>
      <c r="E2631" s="105"/>
      <c r="F2631" s="105"/>
      <c r="G2631" s="105"/>
      <c r="H2631" s="105"/>
      <c r="I2631" s="105"/>
      <c r="J2631" s="105"/>
      <c r="K2631" s="105"/>
      <c r="L2631" s="105"/>
      <c r="M2631" s="105"/>
      <c r="N2631" s="105"/>
      <c r="O2631" s="105"/>
      <c r="P2631" s="171"/>
      <c r="Q2631" s="105"/>
      <c r="R2631" s="91"/>
      <c r="S2631" s="91"/>
      <c r="T2631" s="91"/>
      <c r="U2631" s="105">
        <f>IF($U$2452&gt;0,'Assumptions (Battery)'!V$11*Model!$U$2452*'Assumptions (Battery)'!$S$2/10^9,0)</f>
        <v>2.8723868459340669E-2</v>
      </c>
      <c r="V2631" s="105">
        <f>IF($U$2452&gt;0,'Assumptions (Battery)'!W$11*Model!$U$2452*'Assumptions (Battery)'!$S$2/10^9,0)</f>
        <v>4.9226559731928139E-2</v>
      </c>
      <c r="W2631" s="105">
        <f>IF($U$2452&gt;0,'Assumptions (Battery)'!X$11*Model!$U$2452*'Assumptions (Battery)'!$S$2/10^9,0)</f>
        <v>3.5156085329172033E-2</v>
      </c>
      <c r="X2631" s="105">
        <f>IF($U$2452&gt;0,'Assumptions (Battery)'!Y$11*Model!$U$2452*'Assumptions (Battery)'!$S$2/10^9,0)</f>
        <v>2.510574647006053E-2</v>
      </c>
      <c r="Y2631" s="105">
        <f>IF($U$2452&gt;0,'Assumptions (Battery)'!Z$11*Model!$U$2452*'Assumptions (Battery)'!$S$2/10^9,0)</f>
        <v>1.7949905202373145E-2</v>
      </c>
      <c r="Z2631" s="105">
        <f>IF($U$2452&gt;0,'Assumptions (Battery)'!AA$11*Model!$U$2452*'Assumptions (Battery)'!$S$2/10^9,0)</f>
        <v>1.7929804524654921E-2</v>
      </c>
      <c r="AA2631" s="105">
        <f>IF($U$2452&gt;0,'Assumptions (Battery)'!AB$11*Model!$U$2452*'Assumptions (Battery)'!$S$2/10^9,0)</f>
        <v>1.7949905202373145E-2</v>
      </c>
      <c r="AB2631" s="105">
        <f>IF($U$2452&gt;0,'Assumptions (Battery)'!AC$11*Model!$U$2452*'Assumptions (Battery)'!$S$2/10^9,0)</f>
        <v>8.9649022623274604E-3</v>
      </c>
      <c r="AC2631" s="105">
        <f>IF($U$2452&gt;0,'Assumptions (Battery)'!AD$11*Model!$U$2452*'Assumptions (Battery)'!$S$2/10^9,0)</f>
        <v>0</v>
      </c>
      <c r="AD2631" s="105">
        <f>IF($U$2452&gt;0,'Assumptions (Battery)'!AE$11*Model!$U$2452*'Assumptions (Battery)'!$S$2/10^9,0)</f>
        <v>0</v>
      </c>
      <c r="AE2631" s="105">
        <f>IF($U$2452&gt;0,'Assumptions (Battery)'!AF$11*Model!$U$2452*'Assumptions (Battery)'!$S$2/10^9,0)</f>
        <v>0</v>
      </c>
      <c r="AF2631" s="105">
        <f>IF($U$2452&gt;0,'Assumptions (Battery)'!AG$11*Model!$U$2452*'Assumptions (Battery)'!$S$2/10^9,0)</f>
        <v>0</v>
      </c>
      <c r="AG2631" s="105">
        <f>IF($U$2452&gt;0,'Assumptions (Battery)'!AH$11*Model!$U$2452*'Assumptions (Battery)'!$S$2/10^9,0)</f>
        <v>0</v>
      </c>
      <c r="AH2631" s="105">
        <f>IF($U$2452&gt;0,'Assumptions (Battery)'!AI$11*Model!$U$2452*'Assumptions (Battery)'!$S$2/10^9,0)</f>
        <v>0</v>
      </c>
      <c r="AI2631" s="105">
        <f>IF($U$2452&gt;0,'Assumptions (Battery)'!AJ$11*Model!$U$2452*'Assumptions (Battery)'!$S$2/10^9,0)</f>
        <v>0</v>
      </c>
      <c r="AJ2631" s="105">
        <f>IF($U$2452&gt;0,'Assumptions (Battery)'!AK$11*Model!$U$2452*'Assumptions (Battery)'!$S$2/10^9,0)</f>
        <v>0</v>
      </c>
      <c r="AK2631" s="105"/>
    </row>
    <row r="2632" spans="1:54" ht="15.75" hidden="1" customHeight="1" outlineLevel="1">
      <c r="A2632" s="454"/>
      <c r="B2632" s="99"/>
      <c r="C2632" s="105"/>
      <c r="D2632" s="105"/>
      <c r="E2632" s="105"/>
      <c r="F2632" s="105"/>
      <c r="G2632" s="105"/>
      <c r="H2632" s="105"/>
      <c r="I2632" s="105"/>
      <c r="J2632" s="105"/>
      <c r="K2632" s="105"/>
      <c r="L2632" s="105"/>
      <c r="M2632" s="105"/>
      <c r="N2632" s="105"/>
      <c r="O2632" s="105"/>
      <c r="P2632" s="171"/>
      <c r="Q2632" s="105"/>
      <c r="R2632" s="91"/>
      <c r="S2632" s="91"/>
      <c r="T2632" s="91"/>
      <c r="U2632" s="105"/>
      <c r="V2632" s="105">
        <f>IF($V$2452&gt;0,'Assumptions (Battery)'!V$11*Model!$V$2452*'Assumptions (Battery)'!$T$2/10^9,0)</f>
        <v>4.5600538254517486E-2</v>
      </c>
      <c r="W2632" s="105">
        <f>IF($V$2452&gt;0,'Assumptions (Battery)'!W$11*Model!$V$2452*'Assumptions (Battery)'!$T$2/10^9,0)</f>
        <v>7.8149557862360622E-2</v>
      </c>
      <c r="X2632" s="105">
        <f>IF($V$2452&gt;0,'Assumptions (Battery)'!X$11*Model!$V$2452*'Assumptions (Battery)'!$T$2/10^9,0)</f>
        <v>5.5811995386389847E-2</v>
      </c>
      <c r="Y2632" s="105">
        <f>IF($V$2452&gt;0,'Assumptions (Battery)'!Y$11*Model!$V$2452*'Assumptions (Battery)'!$T$2/10^9,0)</f>
        <v>3.9856593617839289E-2</v>
      </c>
      <c r="Z2632" s="105">
        <f>IF($V$2452&gt;0,'Assumptions (Battery)'!Z$11*Model!$V$2452*'Assumptions (Battery)'!$T$2/10^9,0)</f>
        <v>2.8496347558631292E-2</v>
      </c>
      <c r="AA2632" s="105">
        <f>IF($V$2452&gt;0,'Assumptions (Battery)'!AA$11*Model!$V$2452*'Assumptions (Battery)'!$T$2/10^9,0)</f>
        <v>2.8464436755094191E-2</v>
      </c>
      <c r="AB2632" s="105">
        <f>IF($V$2452&gt;0,'Assumptions (Battery)'!AB$11*Model!$V$2452*'Assumptions (Battery)'!$T$2/10^9,0)</f>
        <v>2.8496347558631292E-2</v>
      </c>
      <c r="AC2632" s="105">
        <f>IF($V$2452&gt;0,'Assumptions (Battery)'!AC$11*Model!$V$2452*'Assumptions (Battery)'!$T$2/10^9,0)</f>
        <v>1.4232218377547096E-2</v>
      </c>
      <c r="AD2632" s="105">
        <f>IF($V$2452&gt;0,'Assumptions (Battery)'!AD$11*Model!$V$2452*'Assumptions (Battery)'!$T$2/10^9,0)</f>
        <v>0</v>
      </c>
      <c r="AE2632" s="105">
        <f>IF($V$2452&gt;0,'Assumptions (Battery)'!AE$11*Model!$V$2452*'Assumptions (Battery)'!$T$2/10^9,0)</f>
        <v>0</v>
      </c>
      <c r="AF2632" s="105">
        <f>IF($V$2452&gt;0,'Assumptions (Battery)'!AF$11*Model!$V$2452*'Assumptions (Battery)'!$T$2/10^9,0)</f>
        <v>0</v>
      </c>
      <c r="AG2632" s="105">
        <f>IF($V$2452&gt;0,'Assumptions (Battery)'!AG$11*Model!$V$2452*'Assumptions (Battery)'!$T$2/10^9,0)</f>
        <v>0</v>
      </c>
      <c r="AH2632" s="105">
        <f>IF($V$2452&gt;0,'Assumptions (Battery)'!AH$11*Model!$V$2452*'Assumptions (Battery)'!$T$2/10^9,0)</f>
        <v>0</v>
      </c>
      <c r="AI2632" s="105">
        <f>IF($V$2452&gt;0,'Assumptions (Battery)'!AI$11*Model!$V$2452*'Assumptions (Battery)'!$T$2/10^9,0)</f>
        <v>0</v>
      </c>
      <c r="AJ2632" s="105">
        <f>IF($V$2452&gt;0,'Assumptions (Battery)'!AJ$11*Model!$V$2452*'Assumptions (Battery)'!$T$2/10^9,0)</f>
        <v>0</v>
      </c>
      <c r="AK2632" s="105">
        <f>IF($V$2452&gt;0,'Assumptions (Battery)'!AK$11*Model!$V$2452*'Assumptions (Battery)'!$T$2/10^9,0)</f>
        <v>0</v>
      </c>
    </row>
    <row r="2633" spans="1:54" ht="15.75" hidden="1" customHeight="1" outlineLevel="1">
      <c r="A2633" s="454"/>
      <c r="B2633" s="99"/>
      <c r="C2633" s="99"/>
      <c r="D2633" s="99"/>
      <c r="E2633" s="99"/>
      <c r="F2633" s="99"/>
      <c r="G2633" s="99"/>
      <c r="H2633" s="99"/>
      <c r="I2633" s="99"/>
      <c r="J2633" s="99"/>
      <c r="K2633" s="99"/>
      <c r="L2633" s="99"/>
      <c r="M2633" s="99"/>
      <c r="N2633" s="99"/>
      <c r="O2633" s="99"/>
      <c r="P2633" s="99"/>
      <c r="Q2633" s="99"/>
      <c r="R2633" s="99"/>
      <c r="S2633" s="99"/>
      <c r="T2633" s="99"/>
      <c r="U2633" s="99"/>
      <c r="V2633" s="99"/>
      <c r="W2633" s="105">
        <f>IF($W$2452&gt;0,'Assumptions (Battery)'!V11*Model!$W$2452*'Assumptions (Battery)'!$U$2/10^9,0)</f>
        <v>9.3025098039215687E-2</v>
      </c>
      <c r="X2633" s="105">
        <f>IF($W$2452&gt;0,'Assumptions (Battery)'!W11*Model!$W$2452*'Assumptions (Battery)'!$U$2/10^9,0)</f>
        <v>0.1594250980392157</v>
      </c>
      <c r="Y2633" s="105">
        <f>IF($W$2452&gt;0,'Assumptions (Battery)'!X11*Model!$W$2452*'Assumptions (Battery)'!$U$2/10^9,0)</f>
        <v>0.1138564705882353</v>
      </c>
      <c r="Z2633" s="105">
        <f>IF($W$2452&gt;0,'Assumptions (Battery)'!Y11*Model!$W$2452*'Assumptions (Battery)'!$U$2/10^9,0)</f>
        <v>8.130745098039216E-2</v>
      </c>
      <c r="AA2633" s="105">
        <f>IF($W$2452&gt;0,'Assumptions (Battery)'!Z11*Model!$W$2452*'Assumptions (Battery)'!$U$2/10^9,0)</f>
        <v>5.8132549019607842E-2</v>
      </c>
      <c r="AB2633" s="105">
        <f>IF($W$2452&gt;0,'Assumptions (Battery)'!AA11*Model!$W$2452*'Assumptions (Battery)'!$U$2/10^9,0)</f>
        <v>5.8067450980392156E-2</v>
      </c>
      <c r="AC2633" s="105">
        <f>IF($W$2452&gt;0,'Assumptions (Battery)'!AB11*Model!$W$2452*'Assumptions (Battery)'!$U$2/10^9,0)</f>
        <v>5.8132549019607842E-2</v>
      </c>
      <c r="AD2633" s="105">
        <f>IF($W$2452&gt;0,'Assumptions (Battery)'!AC11*Model!$W$2452*'Assumptions (Battery)'!$U$2/10^9,0)</f>
        <v>2.9033725490196078E-2</v>
      </c>
      <c r="AE2633" s="105">
        <f>IF($W$2452&gt;0,'Assumptions (Battery)'!AD11*Model!$W$2452*'Assumptions (Battery)'!$U$2/10^9,0)</f>
        <v>0</v>
      </c>
      <c r="AF2633" s="105">
        <f>IF($W$2452&gt;0,'Assumptions (Battery)'!AE11*Model!$W$2452*'Assumptions (Battery)'!$U$2/10^9,0)</f>
        <v>0</v>
      </c>
      <c r="AG2633" s="105">
        <f>IF($W$2452&gt;0,'Assumptions (Battery)'!AF11*Model!$W$2452*'Assumptions (Battery)'!$U$2/10^9,0)</f>
        <v>0</v>
      </c>
      <c r="AH2633" s="105">
        <f>IF($W$2452&gt;0,'Assumptions (Battery)'!AG11*Model!$W$2452*'Assumptions (Battery)'!$U$2/10^9,0)</f>
        <v>0</v>
      </c>
      <c r="AI2633" s="105">
        <f>IF($W$2452&gt;0,'Assumptions (Battery)'!AH11*Model!$W$2452*'Assumptions (Battery)'!$U$2/10^9,0)</f>
        <v>0</v>
      </c>
      <c r="AJ2633" s="105">
        <f>IF($W$2452&gt;0,'Assumptions (Battery)'!AI11*Model!$W$2452*'Assumptions (Battery)'!$U$2/10^9,0)</f>
        <v>0</v>
      </c>
      <c r="AK2633" s="105">
        <f>IF($W$2452&gt;0,'Assumptions (Battery)'!AJ11*Model!$W$2452*'Assumptions (Battery)'!$U$2/10^9,0)</f>
        <v>0</v>
      </c>
      <c r="AL2633" s="105">
        <f>IF($W$2452&gt;0,'Assumptions (Battery)'!AK11*Model!$W$2452*'Assumptions (Battery)'!$U$2/10^9,0)</f>
        <v>0</v>
      </c>
      <c r="AM2633" s="105"/>
      <c r="AN2633" s="105"/>
      <c r="AO2633" s="105"/>
      <c r="AP2633" s="105"/>
      <c r="AQ2633" s="105"/>
      <c r="AR2633" s="105"/>
      <c r="AS2633" s="105"/>
      <c r="AT2633" s="105"/>
      <c r="AU2633" s="105"/>
      <c r="AV2633" s="105"/>
      <c r="AW2633" s="105"/>
      <c r="AX2633" s="105"/>
      <c r="AY2633" s="105"/>
      <c r="AZ2633" s="105"/>
      <c r="BA2633" s="105"/>
    </row>
    <row r="2634" spans="1:54" ht="15.75" hidden="1" customHeight="1" outlineLevel="1">
      <c r="A2634" s="454"/>
      <c r="B2634" s="99"/>
      <c r="C2634" s="99"/>
      <c r="D2634" s="99"/>
      <c r="E2634" s="99"/>
      <c r="F2634" s="99"/>
      <c r="G2634" s="99"/>
      <c r="H2634" s="99"/>
      <c r="I2634" s="99"/>
      <c r="J2634" s="99"/>
      <c r="K2634" s="99"/>
      <c r="L2634" s="99"/>
      <c r="M2634" s="99"/>
      <c r="N2634" s="99"/>
      <c r="O2634" s="99"/>
      <c r="P2634" s="99"/>
      <c r="Q2634" s="99"/>
      <c r="R2634" s="99"/>
      <c r="S2634" s="99"/>
      <c r="T2634" s="99"/>
      <c r="U2634" s="99"/>
      <c r="V2634" s="99"/>
      <c r="W2634" s="105"/>
      <c r="X2634" s="105">
        <f>IF($X$2452&gt;0,'Assumptions (Battery)'!V11*Model!$X$2452*'Assumptions (Battery)'!$V$2/10^9,0)</f>
        <v>0</v>
      </c>
      <c r="Y2634" s="105">
        <f>IF($X$2452&gt;0,'Assumptions (Battery)'!W11*Model!$X$2452*'Assumptions (Battery)'!$V$2/10^9,0)</f>
        <v>0</v>
      </c>
      <c r="Z2634" s="105">
        <f>IF($X$2452&gt;0,'Assumptions (Battery)'!X11*Model!$X$2452*'Assumptions (Battery)'!$V$2/10^9,0)</f>
        <v>0</v>
      </c>
      <c r="AA2634" s="105">
        <f>IF($X$2452&gt;0,'Assumptions (Battery)'!Y11*Model!$X$2452*'Assumptions (Battery)'!$V$2/10^9,0)</f>
        <v>0</v>
      </c>
      <c r="AB2634" s="105">
        <f>IF($X$2452&gt;0,'Assumptions (Battery)'!Z11*Model!$X$2452*'Assumptions (Battery)'!$V$2/10^9,0)</f>
        <v>0</v>
      </c>
      <c r="AC2634" s="105">
        <f>IF($X$2452&gt;0,'Assumptions (Battery)'!AA11*Model!$X$2452*'Assumptions (Battery)'!$V$2/10^9,0)</f>
        <v>0</v>
      </c>
      <c r="AD2634" s="105">
        <f>IF($X$2452&gt;0,'Assumptions (Battery)'!AB11*Model!$X$2452*'Assumptions (Battery)'!$V$2/10^9,0)</f>
        <v>0</v>
      </c>
      <c r="AE2634" s="105">
        <f>IF($X$2452&gt;0,'Assumptions (Battery)'!AC11*Model!$X$2452*'Assumptions (Battery)'!$V$2/10^9,0)</f>
        <v>0</v>
      </c>
      <c r="AF2634" s="105">
        <f>IF($X$2452&gt;0,'Assumptions (Battery)'!AD11*Model!$X$2452*'Assumptions (Battery)'!$V$2/10^9,0)</f>
        <v>0</v>
      </c>
      <c r="AG2634" s="105">
        <f>IF($X$2452&gt;0,'Assumptions (Battery)'!AE11*Model!$X$2452*'Assumptions (Battery)'!$V$2/10^9,0)</f>
        <v>0</v>
      </c>
      <c r="AH2634" s="105">
        <f>IF($X$2452&gt;0,'Assumptions (Battery)'!AF11*Model!$X$2452*'Assumptions (Battery)'!$V$2/10^9,0)</f>
        <v>0</v>
      </c>
      <c r="AI2634" s="105">
        <f>IF($X$2452&gt;0,'Assumptions (Battery)'!AG11*Model!$X$2452*'Assumptions (Battery)'!$V$2/10^9,0)</f>
        <v>0</v>
      </c>
      <c r="AJ2634" s="105">
        <f>IF($X$2452&gt;0,'Assumptions (Battery)'!AH11*Model!$X$2452*'Assumptions (Battery)'!$V$2/10^9,0)</f>
        <v>0</v>
      </c>
      <c r="AK2634" s="105">
        <f>IF($X$2452&gt;0,'Assumptions (Battery)'!AI11*Model!$X$2452*'Assumptions (Battery)'!$V$2/10^9,0)</f>
        <v>0</v>
      </c>
      <c r="AL2634" s="105">
        <f>IF($X$2452&gt;0,'Assumptions (Battery)'!AJ11*Model!$X$2452*'Assumptions (Battery)'!$V$2/10^9,0)</f>
        <v>0</v>
      </c>
      <c r="AM2634" s="105">
        <f>IF($X$2452&gt;0,'Assumptions (Battery)'!AK11*Model!$X$2452*'Assumptions (Battery)'!$V$2/10^9,0)</f>
        <v>0</v>
      </c>
      <c r="AN2634" s="105"/>
      <c r="AO2634" s="105"/>
      <c r="AP2634" s="105"/>
      <c r="AQ2634" s="105"/>
      <c r="AR2634" s="105"/>
      <c r="AS2634" s="105"/>
      <c r="AT2634" s="105"/>
      <c r="AU2634" s="105"/>
      <c r="AV2634" s="105"/>
      <c r="AW2634" s="105"/>
      <c r="AX2634" s="105"/>
      <c r="AY2634" s="105"/>
      <c r="AZ2634" s="105"/>
      <c r="BA2634" s="105"/>
    </row>
    <row r="2635" spans="1:54" ht="15.75" hidden="1" customHeight="1" outlineLevel="1">
      <c r="A2635" s="454"/>
      <c r="B2635" s="99"/>
      <c r="C2635" s="99"/>
      <c r="D2635" s="99"/>
      <c r="E2635" s="99"/>
      <c r="F2635" s="99"/>
      <c r="G2635" s="99"/>
      <c r="H2635" s="99"/>
      <c r="I2635" s="99"/>
      <c r="J2635" s="99"/>
      <c r="K2635" s="99"/>
      <c r="L2635" s="99"/>
      <c r="M2635" s="99"/>
      <c r="N2635" s="99"/>
      <c r="O2635" s="99"/>
      <c r="P2635" s="99"/>
      <c r="Q2635" s="99"/>
      <c r="R2635" s="99"/>
      <c r="S2635" s="99"/>
      <c r="T2635" s="99"/>
      <c r="U2635" s="99"/>
      <c r="V2635" s="99"/>
      <c r="W2635" s="105"/>
      <c r="X2635" s="105"/>
      <c r="Y2635" s="105">
        <f>IF($Y$2452&gt;0,'Assumptions (Battery)'!V11*Model!$Y$2452*'Assumptions (Battery)'!$W$2/10^9,0)</f>
        <v>0</v>
      </c>
      <c r="Z2635" s="105">
        <f>IF($Y$2452&gt;0,'Assumptions (Battery)'!W11*Model!$Y$2452*'Assumptions (Battery)'!$W$2/10^9,0)</f>
        <v>0</v>
      </c>
      <c r="AA2635" s="105">
        <f>IF($Y$2452&gt;0,'Assumptions (Battery)'!X11*Model!$Y$2452*'Assumptions (Battery)'!$W$2/10^9,0)</f>
        <v>0</v>
      </c>
      <c r="AB2635" s="105">
        <f>IF($Y$2452&gt;0,'Assumptions (Battery)'!Y11*Model!$Y$2452*'Assumptions (Battery)'!$W$2/10^9,0)</f>
        <v>0</v>
      </c>
      <c r="AC2635" s="105">
        <f>IF($Y$2452&gt;0,'Assumptions (Battery)'!Z11*Model!$Y$2452*'Assumptions (Battery)'!$W$2/10^9,0)</f>
        <v>0</v>
      </c>
      <c r="AD2635" s="105">
        <f>IF($Y$2452&gt;0,'Assumptions (Battery)'!AA11*Model!$Y$2452*'Assumptions (Battery)'!$W$2/10^9,0)</f>
        <v>0</v>
      </c>
      <c r="AE2635" s="105">
        <f>IF($Y$2452&gt;0,'Assumptions (Battery)'!AB11*Model!$Y$2452*'Assumptions (Battery)'!$W$2/10^9,0)</f>
        <v>0</v>
      </c>
      <c r="AF2635" s="105">
        <f>IF($Y$2452&gt;0,'Assumptions (Battery)'!AC11*Model!$Y$2452*'Assumptions (Battery)'!$W$2/10^9,0)</f>
        <v>0</v>
      </c>
      <c r="AG2635" s="105">
        <f>IF($Y$2452&gt;0,'Assumptions (Battery)'!AD11*Model!$Y$2452*'Assumptions (Battery)'!$W$2/10^9,0)</f>
        <v>0</v>
      </c>
      <c r="AH2635" s="105">
        <f>IF($Y$2452&gt;0,'Assumptions (Battery)'!AE11*Model!$Y$2452*'Assumptions (Battery)'!$W$2/10^9,0)</f>
        <v>0</v>
      </c>
      <c r="AI2635" s="105">
        <f>IF($Y$2452&gt;0,'Assumptions (Battery)'!AF11*Model!$Y$2452*'Assumptions (Battery)'!$W$2/10^9,0)</f>
        <v>0</v>
      </c>
      <c r="AJ2635" s="105">
        <f>IF($Y$2452&gt;0,'Assumptions (Battery)'!AG11*Model!$Y$2452*'Assumptions (Battery)'!$W$2/10^9,0)</f>
        <v>0</v>
      </c>
      <c r="AK2635" s="105">
        <f>IF($Y$2452&gt;0,'Assumptions (Battery)'!AH11*Model!$Y$2452*'Assumptions (Battery)'!$W$2/10^9,0)</f>
        <v>0</v>
      </c>
      <c r="AL2635" s="105">
        <f>IF($Y$2452&gt;0,'Assumptions (Battery)'!AI11*Model!$Y$2452*'Assumptions (Battery)'!$W$2/10^9,0)</f>
        <v>0</v>
      </c>
      <c r="AM2635" s="105">
        <f>IF($Y$2452&gt;0,'Assumptions (Battery)'!AJ11*Model!$Y$2452*'Assumptions (Battery)'!$W$2/10^9,0)</f>
        <v>0</v>
      </c>
      <c r="AN2635" s="105">
        <f>IF($Y$2452&gt;0,'Assumptions (Battery)'!AK11*Model!$Y$2452*'Assumptions (Battery)'!$W$2/10^9,0)</f>
        <v>0</v>
      </c>
      <c r="AO2635" s="105"/>
      <c r="AP2635" s="105"/>
      <c r="AQ2635" s="105"/>
      <c r="AR2635" s="105"/>
      <c r="AS2635" s="105"/>
      <c r="AT2635" s="105"/>
      <c r="AU2635" s="105"/>
      <c r="AV2635" s="105"/>
      <c r="AW2635" s="105"/>
      <c r="AX2635" s="105"/>
      <c r="AY2635" s="105"/>
      <c r="AZ2635" s="105"/>
      <c r="BA2635" s="105"/>
    </row>
    <row r="2636" spans="1:54" ht="15.75" hidden="1" customHeight="1" outlineLevel="1">
      <c r="A2636" s="454"/>
      <c r="B2636" s="99"/>
      <c r="C2636" s="99"/>
      <c r="D2636" s="99"/>
      <c r="E2636" s="99"/>
      <c r="F2636" s="99"/>
      <c r="G2636" s="99"/>
      <c r="H2636" s="99"/>
      <c r="I2636" s="99"/>
      <c r="J2636" s="99"/>
      <c r="K2636" s="99"/>
      <c r="L2636" s="99"/>
      <c r="M2636" s="99"/>
      <c r="N2636" s="99"/>
      <c r="O2636" s="99"/>
      <c r="P2636" s="99"/>
      <c r="Q2636" s="99"/>
      <c r="R2636" s="99"/>
      <c r="S2636" s="99"/>
      <c r="T2636" s="99"/>
      <c r="U2636" s="99"/>
      <c r="V2636" s="99"/>
      <c r="W2636" s="105"/>
      <c r="X2636" s="105"/>
      <c r="Y2636" s="105"/>
      <c r="Z2636" s="105">
        <f>IF($Z$2452&gt;0,'Assumptions (Battery)'!V11*Model!$Z$2452*'Assumptions (Battery)'!$X$2/10^9,0)</f>
        <v>0</v>
      </c>
      <c r="AA2636" s="105">
        <f>IF($Z$2452&gt;0,'Assumptions (Battery)'!W11*Model!$Z$2452*'Assumptions (Battery)'!$X$2/10^9,0)</f>
        <v>0</v>
      </c>
      <c r="AB2636" s="105">
        <f>IF($Z$2452&gt;0,'Assumptions (Battery)'!X11*Model!$Z$2452*'Assumptions (Battery)'!$X$2/10^9,0)</f>
        <v>0</v>
      </c>
      <c r="AC2636" s="105">
        <f>IF($Z$2452&gt;0,'Assumptions (Battery)'!Y11*Model!$Z$2452*'Assumptions (Battery)'!$X$2/10^9,0)</f>
        <v>0</v>
      </c>
      <c r="AD2636" s="105">
        <f>IF($Z$2452&gt;0,'Assumptions (Battery)'!Z11*Model!$Z$2452*'Assumptions (Battery)'!$X$2/10^9,0)</f>
        <v>0</v>
      </c>
      <c r="AE2636" s="105">
        <f>IF($Z$2452&gt;0,'Assumptions (Battery)'!AA11*Model!$Z$2452*'Assumptions (Battery)'!$X$2/10^9,0)</f>
        <v>0</v>
      </c>
      <c r="AF2636" s="105">
        <f>IF($Z$2452&gt;0,'Assumptions (Battery)'!AB11*Model!$Z$2452*'Assumptions (Battery)'!$X$2/10^9,0)</f>
        <v>0</v>
      </c>
      <c r="AG2636" s="105">
        <f>IF($Z$2452&gt;0,'Assumptions (Battery)'!AC11*Model!$Z$2452*'Assumptions (Battery)'!$X$2/10^9,0)</f>
        <v>0</v>
      </c>
      <c r="AH2636" s="105">
        <f>IF($Z$2452&gt;0,'Assumptions (Battery)'!AD11*Model!$Z$2452*'Assumptions (Battery)'!$X$2/10^9,0)</f>
        <v>0</v>
      </c>
      <c r="AI2636" s="105">
        <f>IF($Z$2452&gt;0,'Assumptions (Battery)'!AE11*Model!$Z$2452*'Assumptions (Battery)'!$X$2/10^9,0)</f>
        <v>0</v>
      </c>
      <c r="AJ2636" s="105">
        <f>IF($Z$2452&gt;0,'Assumptions (Battery)'!AF11*Model!$Z$2452*'Assumptions (Battery)'!$X$2/10^9,0)</f>
        <v>0</v>
      </c>
      <c r="AK2636" s="105">
        <f>IF($Z$2452&gt;0,'Assumptions (Battery)'!AG11*Model!$Z$2452*'Assumptions (Battery)'!$X$2/10^9,0)</f>
        <v>0</v>
      </c>
      <c r="AL2636" s="105">
        <f>IF($Z$2452&gt;0,'Assumptions (Battery)'!AH11*Model!$Z$2452*'Assumptions (Battery)'!$X$2/10^9,0)</f>
        <v>0</v>
      </c>
      <c r="AM2636" s="105">
        <f>IF($Z$2452&gt;0,'Assumptions (Battery)'!AI11*Model!$Z$2452*'Assumptions (Battery)'!$X$2/10^9,0)</f>
        <v>0</v>
      </c>
      <c r="AN2636" s="105">
        <f>IF($Z$2452&gt;0,'Assumptions (Battery)'!AJ11*Model!$Z$2452*'Assumptions (Battery)'!$X$2/10^9,0)</f>
        <v>0</v>
      </c>
      <c r="AO2636" s="105">
        <f>IF($Z$2452&gt;0,'Assumptions (Battery)'!AK11*Model!$Z$2452*'Assumptions (Battery)'!$X$2/10^9,0)</f>
        <v>0</v>
      </c>
      <c r="AP2636" s="105"/>
      <c r="AQ2636" s="105"/>
      <c r="AR2636" s="105"/>
      <c r="AS2636" s="105"/>
      <c r="AT2636" s="105"/>
      <c r="AU2636" s="105"/>
      <c r="AV2636" s="105"/>
      <c r="AW2636" s="105"/>
      <c r="AX2636" s="105"/>
      <c r="AY2636" s="105"/>
      <c r="AZ2636" s="105"/>
      <c r="BA2636" s="105"/>
    </row>
    <row r="2637" spans="1:54" ht="15.75" hidden="1" customHeight="1" outlineLevel="1">
      <c r="A2637" s="454"/>
      <c r="B2637" s="99"/>
      <c r="C2637" s="99"/>
      <c r="D2637" s="99"/>
      <c r="E2637" s="99"/>
      <c r="F2637" s="99"/>
      <c r="G2637" s="99"/>
      <c r="H2637" s="99"/>
      <c r="I2637" s="99"/>
      <c r="J2637" s="99"/>
      <c r="K2637" s="99"/>
      <c r="L2637" s="99"/>
      <c r="M2637" s="99"/>
      <c r="N2637" s="99"/>
      <c r="O2637" s="99"/>
      <c r="P2637" s="99"/>
      <c r="Q2637" s="99"/>
      <c r="R2637" s="99"/>
      <c r="S2637" s="99"/>
      <c r="T2637" s="99"/>
      <c r="U2637" s="99"/>
      <c r="V2637" s="99"/>
      <c r="W2637" s="105"/>
      <c r="X2637" s="105"/>
      <c r="Y2637" s="105"/>
      <c r="Z2637" s="105"/>
      <c r="AA2637" s="105">
        <f>IF($AA$2452&gt;0,'Assumptions (Battery)'!V11*Model!$AA$2452*'Assumptions (Battery)'!$Y$2/10^9,0)</f>
        <v>0</v>
      </c>
      <c r="AB2637" s="105">
        <f>IF($AA$2452&gt;0,'Assumptions (Battery)'!W11*Model!$AA$2452*'Assumptions (Battery)'!$Y$2/10^9,0)</f>
        <v>0</v>
      </c>
      <c r="AC2637" s="105">
        <f>IF($AA$2452&gt;0,'Assumptions (Battery)'!X11*Model!$AA$2452*'Assumptions (Battery)'!$Y$2/10^9,0)</f>
        <v>0</v>
      </c>
      <c r="AD2637" s="105">
        <f>IF($AA$2452&gt;0,'Assumptions (Battery)'!Y11*Model!$AA$2452*'Assumptions (Battery)'!$Y$2/10^9,0)</f>
        <v>0</v>
      </c>
      <c r="AE2637" s="105">
        <f>IF($AA$2452&gt;0,'Assumptions (Battery)'!Z11*Model!$AA$2452*'Assumptions (Battery)'!$Y$2/10^9,0)</f>
        <v>0</v>
      </c>
      <c r="AF2637" s="105">
        <f>IF($AA$2452&gt;0,'Assumptions (Battery)'!AA11*Model!$AA$2452*'Assumptions (Battery)'!$Y$2/10^9,0)</f>
        <v>0</v>
      </c>
      <c r="AG2637" s="105">
        <f>IF($AA$2452&gt;0,'Assumptions (Battery)'!AB11*Model!$AA$2452*'Assumptions (Battery)'!$Y$2/10^9,0)</f>
        <v>0</v>
      </c>
      <c r="AH2637" s="105">
        <f>IF($AA$2452&gt;0,'Assumptions (Battery)'!AC11*Model!$AA$2452*'Assumptions (Battery)'!$Y$2/10^9,0)</f>
        <v>0</v>
      </c>
      <c r="AI2637" s="105">
        <f>IF($AA$2452&gt;0,'Assumptions (Battery)'!AD11*Model!$AA$2452*'Assumptions (Battery)'!$Y$2/10^9,0)</f>
        <v>0</v>
      </c>
      <c r="AJ2637" s="105">
        <f>IF($AA$2452&gt;0,'Assumptions (Battery)'!AE11*Model!$AA$2452*'Assumptions (Battery)'!$Y$2/10^9,0)</f>
        <v>0</v>
      </c>
      <c r="AK2637" s="105">
        <f>IF($AA$2452&gt;0,'Assumptions (Battery)'!AF11*Model!$AA$2452*'Assumptions (Battery)'!$Y$2/10^9,0)</f>
        <v>0</v>
      </c>
      <c r="AL2637" s="105">
        <f>IF($AA$2452&gt;0,'Assumptions (Battery)'!AG11*Model!$AA$2452*'Assumptions (Battery)'!$Y$2/10^9,0)</f>
        <v>0</v>
      </c>
      <c r="AM2637" s="105">
        <f>IF($AA$2452&gt;0,'Assumptions (Battery)'!AH11*Model!$AA$2452*'Assumptions (Battery)'!$Y$2/10^9,0)</f>
        <v>0</v>
      </c>
      <c r="AN2637" s="105">
        <f>IF($AA$2452&gt;0,'Assumptions (Battery)'!AI11*Model!$AA$2452*'Assumptions (Battery)'!$Y$2/10^9,0)</f>
        <v>0</v>
      </c>
      <c r="AO2637" s="105">
        <f>IF($AA$2452&gt;0,'Assumptions (Battery)'!AJ11*Model!$AA$2452*'Assumptions (Battery)'!$Y$2/10^9,0)</f>
        <v>0</v>
      </c>
      <c r="AP2637" s="105">
        <f>IF($AA$2452&gt;0,'Assumptions (Battery)'!AK11*Model!$AA$2452*'Assumptions (Battery)'!$Y$2/10^9,0)</f>
        <v>0</v>
      </c>
      <c r="AQ2637" s="105"/>
      <c r="AR2637" s="105"/>
      <c r="AS2637" s="105"/>
      <c r="AT2637" s="105"/>
      <c r="AU2637" s="105"/>
      <c r="AV2637" s="105"/>
      <c r="AW2637" s="105"/>
      <c r="AX2637" s="105"/>
      <c r="AY2637" s="105"/>
      <c r="AZ2637" s="105"/>
      <c r="BA2637" s="105"/>
    </row>
    <row r="2638" spans="1:54" ht="15.75" hidden="1" customHeight="1" outlineLevel="1">
      <c r="A2638" s="454"/>
      <c r="B2638" s="99"/>
      <c r="C2638" s="99"/>
      <c r="D2638" s="99"/>
      <c r="E2638" s="99"/>
      <c r="F2638" s="99"/>
      <c r="G2638" s="99"/>
      <c r="H2638" s="99"/>
      <c r="I2638" s="99"/>
      <c r="J2638" s="99"/>
      <c r="K2638" s="99"/>
      <c r="L2638" s="99"/>
      <c r="M2638" s="99"/>
      <c r="N2638" s="99"/>
      <c r="O2638" s="99"/>
      <c r="P2638" s="99"/>
      <c r="Q2638" s="99"/>
      <c r="R2638" s="99"/>
      <c r="S2638" s="99"/>
      <c r="T2638" s="99"/>
      <c r="U2638" s="99"/>
      <c r="V2638" s="99"/>
      <c r="W2638" s="105"/>
      <c r="X2638" s="105"/>
      <c r="Y2638" s="105"/>
      <c r="Z2638" s="105"/>
      <c r="AA2638" s="105"/>
      <c r="AB2638" s="105">
        <f>IF($AB$2452&gt;0,'Assumptions (Battery)'!V11*Model!$AB$2452*'Assumptions (Battery)'!$Z$2/10^9,0)</f>
        <v>0</v>
      </c>
      <c r="AC2638" s="105">
        <f>IF($AB$2452&gt;0,'Assumptions (Battery)'!W11*Model!$AB$2452*'Assumptions (Battery)'!$Z$2/10^9,0)</f>
        <v>0</v>
      </c>
      <c r="AD2638" s="105">
        <f>IF($AB$2452&gt;0,'Assumptions (Battery)'!X11*Model!$AB$2452*'Assumptions (Battery)'!$Z$2/10^9,0)</f>
        <v>0</v>
      </c>
      <c r="AE2638" s="105">
        <f>IF($AB$2452&gt;0,'Assumptions (Battery)'!Y11*Model!$AB$2452*'Assumptions (Battery)'!$Z$2/10^9,0)</f>
        <v>0</v>
      </c>
      <c r="AF2638" s="105">
        <f>IF($AB$2452&gt;0,'Assumptions (Battery)'!Z11*Model!$AB$2452*'Assumptions (Battery)'!$Z$2/10^9,0)</f>
        <v>0</v>
      </c>
      <c r="AG2638" s="105">
        <f>IF($AB$2452&gt;0,'Assumptions (Battery)'!AA11*Model!$AB$2452*'Assumptions (Battery)'!$Z$2/10^9,0)</f>
        <v>0</v>
      </c>
      <c r="AH2638" s="105">
        <f>IF($AB$2452&gt;0,'Assumptions (Battery)'!AB11*Model!$AB$2452*'Assumptions (Battery)'!$Z$2/10^9,0)</f>
        <v>0</v>
      </c>
      <c r="AI2638" s="105">
        <f>IF($AB$2452&gt;0,'Assumptions (Battery)'!AC11*Model!$AB$2452*'Assumptions (Battery)'!$Z$2/10^9,0)</f>
        <v>0</v>
      </c>
      <c r="AJ2638" s="105">
        <f>IF($AB$2452&gt;0,'Assumptions (Battery)'!AD11*Model!$AB$2452*'Assumptions (Battery)'!$Z$2/10^9,0)</f>
        <v>0</v>
      </c>
      <c r="AK2638" s="105">
        <f>IF($AB$2452&gt;0,'Assumptions (Battery)'!AE11*Model!$AB$2452*'Assumptions (Battery)'!$Z$2/10^9,0)</f>
        <v>0</v>
      </c>
      <c r="AL2638" s="105">
        <f>IF($AB$2452&gt;0,'Assumptions (Battery)'!AF11*Model!$AB$2452*'Assumptions (Battery)'!$Z$2/10^9,0)</f>
        <v>0</v>
      </c>
      <c r="AM2638" s="105">
        <f>IF($AB$2452&gt;0,'Assumptions (Battery)'!AG11*Model!$AB$2452*'Assumptions (Battery)'!$Z$2/10^9,0)</f>
        <v>0</v>
      </c>
      <c r="AN2638" s="105">
        <f>IF($AB$2452&gt;0,'Assumptions (Battery)'!AH11*Model!$AB$2452*'Assumptions (Battery)'!$Z$2/10^9,0)</f>
        <v>0</v>
      </c>
      <c r="AO2638" s="105">
        <f>IF($AB$2452&gt;0,'Assumptions (Battery)'!AI11*Model!$AB$2452*'Assumptions (Battery)'!$Z$2/10^9,0)</f>
        <v>0</v>
      </c>
      <c r="AP2638" s="105">
        <f>IF($AB$2452&gt;0,'Assumptions (Battery)'!AJ11*Model!$AB$2452*'Assumptions (Battery)'!$Z$2/10^9,0)</f>
        <v>0</v>
      </c>
      <c r="AQ2638" s="105">
        <f>IF($AB$2452&gt;0,'Assumptions (Battery)'!AK11*Model!$AB$2452*'Assumptions (Battery)'!$Z$2/10^9,0)</f>
        <v>0</v>
      </c>
      <c r="AR2638" s="105"/>
      <c r="AS2638" s="105"/>
      <c r="AT2638" s="105"/>
      <c r="AU2638" s="105"/>
      <c r="AV2638" s="105"/>
      <c r="AW2638" s="105"/>
      <c r="AX2638" s="105"/>
      <c r="AY2638" s="105"/>
      <c r="AZ2638" s="105"/>
      <c r="BA2638" s="105"/>
    </row>
    <row r="2639" spans="1:54" ht="15.75" hidden="1" customHeight="1" outlineLevel="1">
      <c r="A2639" s="454"/>
      <c r="B2639" s="99"/>
      <c r="C2639" s="99"/>
      <c r="D2639" s="99"/>
      <c r="E2639" s="99"/>
      <c r="F2639" s="99"/>
      <c r="G2639" s="99"/>
      <c r="H2639" s="99"/>
      <c r="I2639" s="99"/>
      <c r="J2639" s="99"/>
      <c r="K2639" s="99"/>
      <c r="L2639" s="99"/>
      <c r="M2639" s="99"/>
      <c r="N2639" s="99"/>
      <c r="O2639" s="99"/>
      <c r="P2639" s="99"/>
      <c r="Q2639" s="99"/>
      <c r="R2639" s="99"/>
      <c r="S2639" s="99"/>
      <c r="T2639" s="99"/>
      <c r="U2639" s="99"/>
      <c r="V2639" s="99"/>
      <c r="W2639" s="105"/>
      <c r="X2639" s="105"/>
      <c r="Y2639" s="105"/>
      <c r="Z2639" s="105"/>
      <c r="AA2639" s="105"/>
      <c r="AB2639" s="105"/>
      <c r="AC2639" s="105">
        <f>IF($AC$2452&gt;0,'Assumptions (Battery)'!V11*Model!$AC$2452*'Assumptions (Battery)'!$AA$2/10^9,0)</f>
        <v>0</v>
      </c>
      <c r="AD2639" s="105">
        <f>IF($AC$2452&gt;0,'Assumptions (Battery)'!W11*Model!$AC$2452*'Assumptions (Battery)'!$AA$2/10^9,0)</f>
        <v>0</v>
      </c>
      <c r="AE2639" s="105">
        <f>IF($AC$2452&gt;0,'Assumptions (Battery)'!X11*Model!$AC$2452*'Assumptions (Battery)'!$AA$2/10^9,0)</f>
        <v>0</v>
      </c>
      <c r="AF2639" s="105">
        <f>IF($AC$2452&gt;0,'Assumptions (Battery)'!Y11*Model!$AC$2452*'Assumptions (Battery)'!$AA$2/10^9,0)</f>
        <v>0</v>
      </c>
      <c r="AG2639" s="105">
        <f>IF($AC$2452&gt;0,'Assumptions (Battery)'!Z11*Model!$AC$2452*'Assumptions (Battery)'!$AA$2/10^9,0)</f>
        <v>0</v>
      </c>
      <c r="AH2639" s="105">
        <f>IF($AC$2452&gt;0,'Assumptions (Battery)'!AA11*Model!$AC$2452*'Assumptions (Battery)'!$AA$2/10^9,0)</f>
        <v>0</v>
      </c>
      <c r="AI2639" s="105">
        <f>IF($AC$2452&gt;0,'Assumptions (Battery)'!AB11*Model!$AC$2452*'Assumptions (Battery)'!$AA$2/10^9,0)</f>
        <v>0</v>
      </c>
      <c r="AJ2639" s="105">
        <f>IF($AC$2452&gt;0,'Assumptions (Battery)'!AC11*Model!$AC$2452*'Assumptions (Battery)'!$AA$2/10^9,0)</f>
        <v>0</v>
      </c>
      <c r="AK2639" s="105">
        <f>IF($AC$2452&gt;0,'Assumptions (Battery)'!AD11*Model!$AC$2452*'Assumptions (Battery)'!$AA$2/10^9,0)</f>
        <v>0</v>
      </c>
      <c r="AL2639" s="105">
        <f>IF($AC$2452&gt;0,'Assumptions (Battery)'!AE11*Model!$AC$2452*'Assumptions (Battery)'!$AA$2/10^9,0)</f>
        <v>0</v>
      </c>
      <c r="AM2639" s="105">
        <f>IF($AC$2452&gt;0,'Assumptions (Battery)'!AF11*Model!$AC$2452*'Assumptions (Battery)'!$AA$2/10^9,0)</f>
        <v>0</v>
      </c>
      <c r="AN2639" s="105">
        <f>IF($AC$2452&gt;0,'Assumptions (Battery)'!AG11*Model!$AC$2452*'Assumptions (Battery)'!$AA$2/10^9,0)</f>
        <v>0</v>
      </c>
      <c r="AO2639" s="105">
        <f>IF($AC$2452&gt;0,'Assumptions (Battery)'!AH11*Model!$AC$2452*'Assumptions (Battery)'!$AA$2/10^9,0)</f>
        <v>0</v>
      </c>
      <c r="AP2639" s="105">
        <f>IF($AC$2452&gt;0,'Assumptions (Battery)'!AI11*Model!$AC$2452*'Assumptions (Battery)'!$AA$2/10^9,0)</f>
        <v>0</v>
      </c>
      <c r="AQ2639" s="105">
        <f>IF($AC$2452&gt;0,'Assumptions (Battery)'!AJ11*Model!$AC$2452*'Assumptions (Battery)'!$AA$2/10^9,0)</f>
        <v>0</v>
      </c>
      <c r="AR2639" s="105">
        <f>IF($AC$2452&gt;0,'Assumptions (Battery)'!AK11*Model!$AC$2452*'Assumptions (Battery)'!$AA$2/10^9,0)</f>
        <v>0</v>
      </c>
      <c r="AS2639" s="105"/>
      <c r="AT2639" s="105"/>
      <c r="AU2639" s="105"/>
      <c r="AV2639" s="105"/>
      <c r="AW2639" s="105"/>
      <c r="AX2639" s="105"/>
      <c r="AY2639" s="105"/>
      <c r="AZ2639" s="105"/>
      <c r="BA2639" s="105"/>
    </row>
    <row r="2640" spans="1:54" ht="15.75" hidden="1" customHeight="1" outlineLevel="1">
      <c r="A2640" s="454"/>
      <c r="B2640" s="99"/>
      <c r="C2640" s="99"/>
      <c r="D2640" s="99"/>
      <c r="E2640" s="99"/>
      <c r="F2640" s="99"/>
      <c r="G2640" s="99"/>
      <c r="H2640" s="99"/>
      <c r="I2640" s="99"/>
      <c r="J2640" s="99"/>
      <c r="K2640" s="99"/>
      <c r="L2640" s="99"/>
      <c r="M2640" s="99"/>
      <c r="N2640" s="99"/>
      <c r="O2640" s="99"/>
      <c r="P2640" s="99"/>
      <c r="Q2640" s="99"/>
      <c r="R2640" s="99"/>
      <c r="S2640" s="99"/>
      <c r="T2640" s="99"/>
      <c r="U2640" s="99"/>
      <c r="V2640" s="99"/>
      <c r="W2640" s="105"/>
      <c r="X2640" s="105"/>
      <c r="Y2640" s="105"/>
      <c r="Z2640" s="105"/>
      <c r="AA2640" s="105"/>
      <c r="AB2640" s="105"/>
      <c r="AC2640" s="105"/>
      <c r="AD2640" s="105">
        <f>IF($AD$2452&gt;0,'Assumptions (Battery)'!V11*Model!$AD$2452*'Assumptions (Battery)'!$AB$2/10^9,0)</f>
        <v>0</v>
      </c>
      <c r="AE2640" s="105">
        <f>IF($AD$2452&gt;0,'Assumptions (Battery)'!W11*Model!$AD$2452*'Assumptions (Battery)'!$AB$2/10^9,0)</f>
        <v>0</v>
      </c>
      <c r="AF2640" s="105">
        <f>IF($AD$2452&gt;0,'Assumptions (Battery)'!X11*Model!$AD$2452*'Assumptions (Battery)'!$AB$2/10^9,0)</f>
        <v>0</v>
      </c>
      <c r="AG2640" s="105">
        <f>IF($AD$2452&gt;0,'Assumptions (Battery)'!Y11*Model!$AD$2452*'Assumptions (Battery)'!$AB$2/10^9,0)</f>
        <v>0</v>
      </c>
      <c r="AH2640" s="105">
        <f>IF($AD$2452&gt;0,'Assumptions (Battery)'!Z11*Model!$AD$2452*'Assumptions (Battery)'!$AB$2/10^9,0)</f>
        <v>0</v>
      </c>
      <c r="AI2640" s="105">
        <f>IF($AD$2452&gt;0,'Assumptions (Battery)'!AA11*Model!$AD$2452*'Assumptions (Battery)'!$AB$2/10^9,0)</f>
        <v>0</v>
      </c>
      <c r="AJ2640" s="105">
        <f>IF($AD$2452&gt;0,'Assumptions (Battery)'!AB11*Model!$AD$2452*'Assumptions (Battery)'!$AB$2/10^9,0)</f>
        <v>0</v>
      </c>
      <c r="AK2640" s="105">
        <f>IF($AD$2452&gt;0,'Assumptions (Battery)'!AC11*Model!$AD$2452*'Assumptions (Battery)'!$AB$2/10^9,0)</f>
        <v>0</v>
      </c>
      <c r="AL2640" s="105">
        <f>IF($AD$2452&gt;0,'Assumptions (Battery)'!AD11*Model!$AD$2452*'Assumptions (Battery)'!$AB$2/10^9,0)</f>
        <v>0</v>
      </c>
      <c r="AM2640" s="105">
        <f>IF($AD$2452&gt;0,'Assumptions (Battery)'!AE11*Model!$AD$2452*'Assumptions (Battery)'!$AB$2/10^9,0)</f>
        <v>0</v>
      </c>
      <c r="AN2640" s="105">
        <f>IF($AD$2452&gt;0,'Assumptions (Battery)'!AF11*Model!$AD$2452*'Assumptions (Battery)'!$AB$2/10^9,0)</f>
        <v>0</v>
      </c>
      <c r="AO2640" s="105">
        <f>IF($AD$2452&gt;0,'Assumptions (Battery)'!AG11*Model!$AD$2452*'Assumptions (Battery)'!$AB$2/10^9,0)</f>
        <v>0</v>
      </c>
      <c r="AP2640" s="105">
        <f>IF($AD$2452&gt;0,'Assumptions (Battery)'!AH11*Model!$AD$2452*'Assumptions (Battery)'!$AB$2/10^9,0)</f>
        <v>0</v>
      </c>
      <c r="AQ2640" s="105">
        <f>IF($AD$2452&gt;0,'Assumptions (Battery)'!AI11*Model!$AD$2452*'Assumptions (Battery)'!$AB$2/10^9,0)</f>
        <v>0</v>
      </c>
      <c r="AR2640" s="105">
        <f>IF($AD$2452&gt;0,'Assumptions (Battery)'!AJ11*Model!$AD$2452*'Assumptions (Battery)'!$AB$2/10^9,0)</f>
        <v>0</v>
      </c>
      <c r="AS2640" s="105">
        <f>IF($AD$2452&gt;0,'Assumptions (Battery)'!AK11*Model!$AD$2452*'Assumptions (Battery)'!$AB$2/10^9,0)</f>
        <v>0</v>
      </c>
      <c r="AT2640" s="105"/>
      <c r="AU2640" s="105"/>
      <c r="AV2640" s="105"/>
      <c r="AW2640" s="105"/>
      <c r="AX2640" s="105"/>
      <c r="AY2640" s="105"/>
      <c r="AZ2640" s="105"/>
      <c r="BA2640" s="105"/>
      <c r="BB2640" s="105"/>
    </row>
    <row r="2641" spans="1:68" ht="15.75" hidden="1" customHeight="1" outlineLevel="1">
      <c r="A2641" s="454"/>
      <c r="B2641" s="99"/>
      <c r="C2641" s="99"/>
      <c r="D2641" s="99"/>
      <c r="E2641" s="99"/>
      <c r="F2641" s="99"/>
      <c r="G2641" s="99"/>
      <c r="H2641" s="99"/>
      <c r="I2641" s="99"/>
      <c r="J2641" s="99"/>
      <c r="K2641" s="99"/>
      <c r="L2641" s="99"/>
      <c r="M2641" s="99"/>
      <c r="N2641" s="99"/>
      <c r="O2641" s="99"/>
      <c r="P2641" s="99"/>
      <c r="Q2641" s="99"/>
      <c r="R2641" s="99"/>
      <c r="S2641" s="99"/>
      <c r="T2641" s="99"/>
      <c r="U2641" s="99"/>
      <c r="V2641" s="99"/>
      <c r="W2641" s="105"/>
      <c r="X2641" s="105"/>
      <c r="Y2641" s="105"/>
      <c r="Z2641" s="105"/>
      <c r="AA2641" s="105"/>
      <c r="AB2641" s="105"/>
      <c r="AC2641" s="105"/>
      <c r="AD2641" s="105"/>
      <c r="AE2641" s="105">
        <f>IF($AE$2452&gt;0,'Assumptions (Battery)'!V11*Model!$AE$2452*'Assumptions (Battery)'!$AC$2/10^9,0)</f>
        <v>0</v>
      </c>
      <c r="AF2641" s="105">
        <f>IF($AE$2452&gt;0,'Assumptions (Battery)'!W11*Model!$AE$2452*'Assumptions (Battery)'!$AC$2/10^9,0)</f>
        <v>0</v>
      </c>
      <c r="AG2641" s="105">
        <f>IF($AE$2452&gt;0,'Assumptions (Battery)'!X11*Model!$AE$2452*'Assumptions (Battery)'!$AC$2/10^9,0)</f>
        <v>0</v>
      </c>
      <c r="AH2641" s="105">
        <f>IF($AE$2452&gt;0,'Assumptions (Battery)'!Y11*Model!$AE$2452*'Assumptions (Battery)'!$AC$2/10^9,0)</f>
        <v>0</v>
      </c>
      <c r="AI2641" s="105">
        <f>IF($AE$2452&gt;0,'Assumptions (Battery)'!Z11*Model!$AE$2452*'Assumptions (Battery)'!$AC$2/10^9,0)</f>
        <v>0</v>
      </c>
      <c r="AJ2641" s="105">
        <f>IF($AE$2452&gt;0,'Assumptions (Battery)'!AA11*Model!$AE$2452*'Assumptions (Battery)'!$AC$2/10^9,0)</f>
        <v>0</v>
      </c>
      <c r="AK2641" s="105">
        <f>IF($AE$2452&gt;0,'Assumptions (Battery)'!AB11*Model!$AE$2452*'Assumptions (Battery)'!$AC$2/10^9,0)</f>
        <v>0</v>
      </c>
      <c r="AL2641" s="105">
        <f>IF($AE$2452&gt;0,'Assumptions (Battery)'!AC11*Model!$AE$2452*'Assumptions (Battery)'!$AC$2/10^9,0)</f>
        <v>0</v>
      </c>
      <c r="AM2641" s="105">
        <f>IF($AE$2452&gt;0,'Assumptions (Battery)'!AD11*Model!$AE$2452*'Assumptions (Battery)'!$AC$2/10^9,0)</f>
        <v>0</v>
      </c>
      <c r="AN2641" s="105">
        <f>IF($AE$2452&gt;0,'Assumptions (Battery)'!AE11*Model!$AE$2452*'Assumptions (Battery)'!$AC$2/10^9,0)</f>
        <v>0</v>
      </c>
      <c r="AO2641" s="105">
        <f>IF($AE$2452&gt;0,'Assumptions (Battery)'!AF11*Model!$AE$2452*'Assumptions (Battery)'!$AC$2/10^9,0)</f>
        <v>0</v>
      </c>
      <c r="AP2641" s="105">
        <f>IF($AE$2452&gt;0,'Assumptions (Battery)'!AG11*Model!$AE$2452*'Assumptions (Battery)'!$AC$2/10^9,0)</f>
        <v>0</v>
      </c>
      <c r="AQ2641" s="105">
        <f>IF($AE$2452&gt;0,'Assumptions (Battery)'!AH11*Model!$AE$2452*'Assumptions (Battery)'!$AC$2/10^9,0)</f>
        <v>0</v>
      </c>
      <c r="AR2641" s="105">
        <f>IF($AE$2452&gt;0,'Assumptions (Battery)'!AI11*Model!$AE$2452*'Assumptions (Battery)'!$AC$2/10^9,0)</f>
        <v>0</v>
      </c>
      <c r="AS2641" s="105">
        <f>IF($AE$2452&gt;0,'Assumptions (Battery)'!AJ11*Model!$AE$2452*'Assumptions (Battery)'!$AC$2/10^9,0)</f>
        <v>0</v>
      </c>
      <c r="AT2641" s="105">
        <f>IF($AE$2452&gt;0,'Assumptions (Battery)'!AK11*Model!$AE$2452*'Assumptions (Battery)'!$AC$2/10^9,0)</f>
        <v>0</v>
      </c>
      <c r="AU2641" s="105"/>
      <c r="AV2641" s="105"/>
      <c r="AW2641" s="105"/>
      <c r="AX2641" s="105"/>
      <c r="AY2641" s="105"/>
      <c r="AZ2641" s="105"/>
      <c r="BA2641" s="105"/>
      <c r="BB2641" s="105"/>
      <c r="BC2641" s="105"/>
    </row>
    <row r="2642" spans="1:68" ht="15.75" hidden="1" customHeight="1" outlineLevel="1">
      <c r="A2642" s="454"/>
      <c r="B2642" s="99"/>
      <c r="C2642" s="99"/>
      <c r="D2642" s="99"/>
      <c r="E2642" s="99"/>
      <c r="F2642" s="99"/>
      <c r="G2642" s="99"/>
      <c r="H2642" s="99"/>
      <c r="I2642" s="99"/>
      <c r="J2642" s="99"/>
      <c r="K2642" s="99"/>
      <c r="L2642" s="99"/>
      <c r="M2642" s="99"/>
      <c r="N2642" s="99"/>
      <c r="O2642" s="99"/>
      <c r="P2642" s="99"/>
      <c r="Q2642" s="99"/>
      <c r="R2642" s="99"/>
      <c r="S2642" s="99"/>
      <c r="T2642" s="99"/>
      <c r="U2642" s="99"/>
      <c r="V2642" s="99"/>
      <c r="W2642" s="105"/>
      <c r="X2642" s="105"/>
      <c r="Y2642" s="105"/>
      <c r="Z2642" s="105"/>
      <c r="AA2642" s="105"/>
      <c r="AB2642" s="105"/>
      <c r="AC2642" s="105"/>
      <c r="AD2642" s="105"/>
      <c r="AE2642" s="105"/>
      <c r="AF2642" s="105">
        <f>IF($AF$2452&gt;0,'Assumptions (Battery)'!V11*Model!$AF$2452*'Assumptions (Battery)'!$AD$2/10^9,0)</f>
        <v>0</v>
      </c>
      <c r="AG2642" s="105">
        <f>IF($AF$2452&gt;0,'Assumptions (Battery)'!W11*Model!$AF$2452*'Assumptions (Battery)'!$AD$2/10^9,0)</f>
        <v>0</v>
      </c>
      <c r="AH2642" s="105">
        <f>IF($AF$2452&gt;0,'Assumptions (Battery)'!X11*Model!$AF$2452*'Assumptions (Battery)'!$AD$2/10^9,0)</f>
        <v>0</v>
      </c>
      <c r="AI2642" s="105">
        <f>IF($AF$2452&gt;0,'Assumptions (Battery)'!Y11*Model!$AF$2452*'Assumptions (Battery)'!$AD$2/10^9,0)</f>
        <v>0</v>
      </c>
      <c r="AJ2642" s="105">
        <f>IF($AF$2452&gt;0,'Assumptions (Battery)'!Z11*Model!$AF$2452*'Assumptions (Battery)'!$AD$2/10^9,0)</f>
        <v>0</v>
      </c>
      <c r="AK2642" s="105">
        <f>IF($AF$2452&gt;0,'Assumptions (Battery)'!AA11*Model!$AF$2452*'Assumptions (Battery)'!$AD$2/10^9,0)</f>
        <v>0</v>
      </c>
      <c r="AL2642" s="105">
        <f>IF($AF$2452&gt;0,'Assumptions (Battery)'!AB11*Model!$AF$2452*'Assumptions (Battery)'!$AD$2/10^9,0)</f>
        <v>0</v>
      </c>
      <c r="AM2642" s="105">
        <f>IF($AF$2452&gt;0,'Assumptions (Battery)'!AC11*Model!$AF$2452*'Assumptions (Battery)'!$AD$2/10^9,0)</f>
        <v>0</v>
      </c>
      <c r="AN2642" s="105">
        <f>IF($AF$2452&gt;0,'Assumptions (Battery)'!AD11*Model!$AF$2452*'Assumptions (Battery)'!$AD$2/10^9,0)</f>
        <v>0</v>
      </c>
      <c r="AO2642" s="105">
        <f>IF($AF$2452&gt;0,'Assumptions (Battery)'!AE11*Model!$AF$2452*'Assumptions (Battery)'!$AD$2/10^9,0)</f>
        <v>0</v>
      </c>
      <c r="AP2642" s="105">
        <f>IF($AF$2452&gt;0,'Assumptions (Battery)'!AF11*Model!$AF$2452*'Assumptions (Battery)'!$AD$2/10^9,0)</f>
        <v>0</v>
      </c>
      <c r="AQ2642" s="105">
        <f>IF($AF$2452&gt;0,'Assumptions (Battery)'!AG11*Model!$AF$2452*'Assumptions (Battery)'!$AD$2/10^9,0)</f>
        <v>0</v>
      </c>
      <c r="AR2642" s="105">
        <f>IF($AF$2452&gt;0,'Assumptions (Battery)'!AH11*Model!$AF$2452*'Assumptions (Battery)'!$AD$2/10^9,0)</f>
        <v>0</v>
      </c>
      <c r="AS2642" s="105">
        <f>IF($AF$2452&gt;0,'Assumptions (Battery)'!AI11*Model!$AF$2452*'Assumptions (Battery)'!$AD$2/10^9,0)</f>
        <v>0</v>
      </c>
      <c r="AT2642" s="105">
        <f>IF($AF$2452&gt;0,'Assumptions (Battery)'!AJ11*Model!$AF$2452*'Assumptions (Battery)'!$AD$2/10^9,0)</f>
        <v>0</v>
      </c>
      <c r="AU2642" s="105">
        <f>IF($AF$2452&gt;0,'Assumptions (Battery)'!AK11*Model!$AF$2452*'Assumptions (Battery)'!$AD$2/10^9,0)</f>
        <v>0</v>
      </c>
      <c r="AV2642" s="105"/>
      <c r="AW2642" s="105"/>
      <c r="AX2642" s="105"/>
      <c r="AY2642" s="105"/>
      <c r="AZ2642" s="105"/>
      <c r="BA2642" s="105"/>
      <c r="BB2642" s="105"/>
      <c r="BC2642" s="105"/>
      <c r="BD2642" s="105"/>
    </row>
    <row r="2643" spans="1:68" ht="15.75" hidden="1" customHeight="1" outlineLevel="1">
      <c r="A2643" s="454"/>
      <c r="B2643" s="99"/>
      <c r="C2643" s="99"/>
      <c r="D2643" s="99"/>
      <c r="E2643" s="99"/>
      <c r="F2643" s="99"/>
      <c r="G2643" s="99"/>
      <c r="H2643" s="99"/>
      <c r="I2643" s="99"/>
      <c r="J2643" s="99"/>
      <c r="K2643" s="99"/>
      <c r="L2643" s="99"/>
      <c r="M2643" s="99"/>
      <c r="N2643" s="99"/>
      <c r="O2643" s="99"/>
      <c r="P2643" s="99"/>
      <c r="Q2643" s="99"/>
      <c r="R2643" s="99"/>
      <c r="S2643" s="99"/>
      <c r="T2643" s="99"/>
      <c r="U2643" s="99"/>
      <c r="V2643" s="99"/>
      <c r="W2643" s="105"/>
      <c r="X2643" s="105"/>
      <c r="Y2643" s="105"/>
      <c r="Z2643" s="105"/>
      <c r="AA2643" s="105"/>
      <c r="AB2643" s="105"/>
      <c r="AC2643" s="105"/>
      <c r="AD2643" s="105"/>
      <c r="AE2643" s="105"/>
      <c r="AF2643" s="105"/>
      <c r="AG2643" s="105">
        <f>IF($AG$2452&gt;0,'Assumptions (Battery)'!V11*Model!$AG$2452*'Assumptions (Battery)'!$AE$2/10^9,0)</f>
        <v>0</v>
      </c>
      <c r="AH2643" s="105">
        <f>IF($AG$2452&gt;0,'Assumptions (Battery)'!W11*Model!$AG$2452*'Assumptions (Battery)'!$AE$2/10^9,0)</f>
        <v>0</v>
      </c>
      <c r="AI2643" s="105">
        <f>IF($AG$2452&gt;0,'Assumptions (Battery)'!X11*Model!$AG$2452*'Assumptions (Battery)'!$AE$2/10^9,0)</f>
        <v>0</v>
      </c>
      <c r="AJ2643" s="105">
        <f>IF($AG$2452&gt;0,'Assumptions (Battery)'!Y11*Model!$AG$2452*'Assumptions (Battery)'!$AE$2/10^9,0)</f>
        <v>0</v>
      </c>
      <c r="AK2643" s="105">
        <f>IF($AG$2452&gt;0,'Assumptions (Battery)'!Z11*Model!$AG$2452*'Assumptions (Battery)'!$AE$2/10^9,0)</f>
        <v>0</v>
      </c>
      <c r="AL2643" s="105">
        <f>IF($AG$2452&gt;0,'Assumptions (Battery)'!AA11*Model!$AG$2452*'Assumptions (Battery)'!$AE$2/10^9,0)</f>
        <v>0</v>
      </c>
      <c r="AM2643" s="105">
        <f>IF($AG$2452&gt;0,'Assumptions (Battery)'!AB11*Model!$AG$2452*'Assumptions (Battery)'!$AE$2/10^9,0)</f>
        <v>0</v>
      </c>
      <c r="AN2643" s="105">
        <f>IF($AG$2452&gt;0,'Assumptions (Battery)'!AC11*Model!$AG$2452*'Assumptions (Battery)'!$AE$2/10^9,0)</f>
        <v>0</v>
      </c>
      <c r="AO2643" s="105">
        <f>IF($AG$2452&gt;0,'Assumptions (Battery)'!AD11*Model!$AG$2452*'Assumptions (Battery)'!$AE$2/10^9,0)</f>
        <v>0</v>
      </c>
      <c r="AP2643" s="105">
        <f>IF($AG$2452&gt;0,'Assumptions (Battery)'!AE11*Model!$AG$2452*'Assumptions (Battery)'!$AE$2/10^9,0)</f>
        <v>0</v>
      </c>
      <c r="AQ2643" s="105">
        <f>IF($AG$2452&gt;0,'Assumptions (Battery)'!AF11*Model!$AG$2452*'Assumptions (Battery)'!$AE$2/10^9,0)</f>
        <v>0</v>
      </c>
      <c r="AR2643" s="105">
        <f>IF($AG$2452&gt;0,'Assumptions (Battery)'!AG11*Model!$AG$2452*'Assumptions (Battery)'!$AE$2/10^9,0)</f>
        <v>0</v>
      </c>
      <c r="AS2643" s="105">
        <f>IF($AG$2452&gt;0,'Assumptions (Battery)'!AH11*Model!$AG$2452*'Assumptions (Battery)'!$AE$2/10^9,0)</f>
        <v>0</v>
      </c>
      <c r="AT2643" s="105">
        <f>IF($AG$2452&gt;0,'Assumptions (Battery)'!AI11*Model!$AG$2452*'Assumptions (Battery)'!$AE$2/10^9,0)</f>
        <v>0</v>
      </c>
      <c r="AU2643" s="105">
        <f>IF($AG$2452&gt;0,'Assumptions (Battery)'!AJ11*Model!$AG$2452*'Assumptions (Battery)'!$AE$2/10^9,0)</f>
        <v>0</v>
      </c>
      <c r="AV2643" s="105">
        <f>IF($AG$2452&gt;0,'Assumptions (Battery)'!AK11*Model!$AG$2452*'Assumptions (Battery)'!$AE$2/10^9,0)</f>
        <v>0</v>
      </c>
      <c r="AW2643" s="105"/>
      <c r="AX2643" s="105"/>
      <c r="AY2643" s="105"/>
      <c r="AZ2643" s="105"/>
      <c r="BA2643" s="105"/>
      <c r="BB2643" s="105"/>
      <c r="BC2643" s="105"/>
      <c r="BD2643" s="105"/>
      <c r="BE2643" s="105"/>
    </row>
    <row r="2644" spans="1:68" ht="15.75" hidden="1" customHeight="1" outlineLevel="1">
      <c r="A2644" s="454"/>
      <c r="B2644" s="99"/>
      <c r="C2644" s="99"/>
      <c r="D2644" s="99"/>
      <c r="E2644" s="99"/>
      <c r="F2644" s="99"/>
      <c r="G2644" s="99"/>
      <c r="H2644" s="99"/>
      <c r="I2644" s="99"/>
      <c r="J2644" s="99"/>
      <c r="K2644" s="99"/>
      <c r="L2644" s="99"/>
      <c r="M2644" s="99"/>
      <c r="N2644" s="99"/>
      <c r="O2644" s="99"/>
      <c r="P2644" s="99"/>
      <c r="Q2644" s="99"/>
      <c r="R2644" s="99"/>
      <c r="S2644" s="99"/>
      <c r="T2644" s="99"/>
      <c r="U2644" s="99"/>
      <c r="V2644" s="99"/>
      <c r="W2644" s="105"/>
      <c r="X2644" s="105"/>
      <c r="Y2644" s="105"/>
      <c r="Z2644" s="105"/>
      <c r="AA2644" s="105"/>
      <c r="AB2644" s="105"/>
      <c r="AC2644" s="105"/>
      <c r="AD2644" s="105"/>
      <c r="AE2644" s="105"/>
      <c r="AF2644" s="105"/>
      <c r="AG2644" s="105"/>
      <c r="AH2644" s="105">
        <f>IF($AH$2452&gt;0,'Assumptions (Battery)'!V11*Model!$AH$2452*'Assumptions (Battery)'!$AF$2/10^9,0)</f>
        <v>0</v>
      </c>
      <c r="AI2644" s="105">
        <f>IF($AH$2452&gt;0,'Assumptions (Battery)'!W11*Model!$AH$2452*'Assumptions (Battery)'!$AF$2/10^9,0)</f>
        <v>0</v>
      </c>
      <c r="AJ2644" s="105">
        <f>IF($AH$2452&gt;0,'Assumptions (Battery)'!X11*Model!$AH$2452*'Assumptions (Battery)'!$AF$2/10^9,0)</f>
        <v>0</v>
      </c>
      <c r="AK2644" s="105">
        <f>IF($AH$2452&gt;0,'Assumptions (Battery)'!Y11*Model!$AH$2452*'Assumptions (Battery)'!$AF$2/10^9,0)</f>
        <v>0</v>
      </c>
      <c r="AL2644" s="105">
        <f>IF($AH$2452&gt;0,'Assumptions (Battery)'!Z11*Model!$AH$2452*'Assumptions (Battery)'!$AF$2/10^9,0)</f>
        <v>0</v>
      </c>
      <c r="AM2644" s="105">
        <f>IF($AH$2452&gt;0,'Assumptions (Battery)'!AA11*Model!$AH$2452*'Assumptions (Battery)'!$AF$2/10^9,0)</f>
        <v>0</v>
      </c>
      <c r="AN2644" s="105">
        <f>IF($AH$2452&gt;0,'Assumptions (Battery)'!AB11*Model!$AH$2452*'Assumptions (Battery)'!$AF$2/10^9,0)</f>
        <v>0</v>
      </c>
      <c r="AO2644" s="105">
        <f>IF($AH$2452&gt;0,'Assumptions (Battery)'!AC11*Model!$AH$2452*'Assumptions (Battery)'!$AF$2/10^9,0)</f>
        <v>0</v>
      </c>
      <c r="AP2644" s="105">
        <f>IF($AH$2452&gt;0,'Assumptions (Battery)'!AD11*Model!$AH$2452*'Assumptions (Battery)'!$AF$2/10^9,0)</f>
        <v>0</v>
      </c>
      <c r="AQ2644" s="105">
        <f>IF($AH$2452&gt;0,'Assumptions (Battery)'!AE11*Model!$AH$2452*'Assumptions (Battery)'!$AF$2/10^9,0)</f>
        <v>0</v>
      </c>
      <c r="AR2644" s="105">
        <f>IF($AH$2452&gt;0,'Assumptions (Battery)'!AF11*Model!$AH$2452*'Assumptions (Battery)'!$AF$2/10^9,0)</f>
        <v>0</v>
      </c>
      <c r="AS2644" s="105">
        <f>IF($AH$2452&gt;0,'Assumptions (Battery)'!AG11*Model!$AH$2452*'Assumptions (Battery)'!$AF$2/10^9,0)</f>
        <v>0</v>
      </c>
      <c r="AT2644" s="105">
        <f>IF($AH$2452&gt;0,'Assumptions (Battery)'!AH11*Model!$AH$2452*'Assumptions (Battery)'!$AF$2/10^9,0)</f>
        <v>0</v>
      </c>
      <c r="AU2644" s="105">
        <f>IF($AH$2452&gt;0,'Assumptions (Battery)'!AI11*Model!$AH$2452*'Assumptions (Battery)'!$AF$2/10^9,0)</f>
        <v>0</v>
      </c>
      <c r="AV2644" s="105">
        <f>IF($AH$2452&gt;0,'Assumptions (Battery)'!AJ11*Model!$AH$2452*'Assumptions (Battery)'!$AF$2/10^9,0)</f>
        <v>0</v>
      </c>
      <c r="AW2644" s="105">
        <f>IF($AH$2452&gt;0,'Assumptions (Battery)'!AK11*Model!$AH$2452*'Assumptions (Battery)'!$AF$2/10^9,0)</f>
        <v>0</v>
      </c>
      <c r="AX2644" s="105"/>
      <c r="AY2644" s="105"/>
      <c r="AZ2644" s="105"/>
      <c r="BA2644" s="105"/>
      <c r="BB2644" s="105"/>
      <c r="BC2644" s="105"/>
      <c r="BD2644" s="105"/>
      <c r="BE2644" s="105"/>
      <c r="BF2644" s="105"/>
    </row>
    <row r="2645" spans="1:68" ht="15.75" hidden="1" customHeight="1" outlineLevel="1">
      <c r="A2645" s="454"/>
      <c r="B2645" s="99"/>
      <c r="C2645" s="99"/>
      <c r="D2645" s="99"/>
      <c r="E2645" s="99"/>
      <c r="F2645" s="99"/>
      <c r="G2645" s="99"/>
      <c r="H2645" s="99"/>
      <c r="I2645" s="99"/>
      <c r="J2645" s="99"/>
      <c r="K2645" s="99"/>
      <c r="L2645" s="99"/>
      <c r="M2645" s="99"/>
      <c r="N2645" s="99"/>
      <c r="O2645" s="99"/>
      <c r="P2645" s="99"/>
      <c r="Q2645" s="99"/>
      <c r="R2645" s="99"/>
      <c r="S2645" s="99"/>
      <c r="T2645" s="99"/>
      <c r="U2645" s="99"/>
      <c r="V2645" s="99"/>
      <c r="W2645" s="105"/>
      <c r="X2645" s="105"/>
      <c r="Y2645" s="105"/>
      <c r="Z2645" s="105"/>
      <c r="AA2645" s="105"/>
      <c r="AB2645" s="105"/>
      <c r="AC2645" s="105"/>
      <c r="AD2645" s="105"/>
      <c r="AE2645" s="105"/>
      <c r="AF2645" s="105"/>
      <c r="AG2645" s="105"/>
      <c r="AH2645" s="105"/>
      <c r="AI2645" s="105">
        <f>IF($AI$2452&gt;0,'Assumptions (Battery)'!V11*Model!$AI$2452*'Assumptions (Battery)'!$AG$2/10^9,0)</f>
        <v>0</v>
      </c>
      <c r="AJ2645" s="105">
        <f>IF($AI$2452&gt;0,'Assumptions (Battery)'!W11*Model!$AI$2452*'Assumptions (Battery)'!$AG$2/10^9,0)</f>
        <v>0</v>
      </c>
      <c r="AK2645" s="105">
        <f>IF($AI$2452&gt;0,'Assumptions (Battery)'!X11*Model!$AI$2452*'Assumptions (Battery)'!$AG$2/10^9,0)</f>
        <v>0</v>
      </c>
      <c r="AL2645" s="105">
        <f>IF($AI$2452&gt;0,'Assumptions (Battery)'!Y11*Model!$AI$2452*'Assumptions (Battery)'!$AG$2/10^9,0)</f>
        <v>0</v>
      </c>
      <c r="AM2645" s="105">
        <f>IF($AI$2452&gt;0,'Assumptions (Battery)'!Z11*Model!$AI$2452*'Assumptions (Battery)'!$AG$2/10^9,0)</f>
        <v>0</v>
      </c>
      <c r="AN2645" s="105">
        <f>IF($AI$2452&gt;0,'Assumptions (Battery)'!AA11*Model!$AI$2452*'Assumptions (Battery)'!$AG$2/10^9,0)</f>
        <v>0</v>
      </c>
      <c r="AO2645" s="105">
        <f>IF($AI$2452&gt;0,'Assumptions (Battery)'!AB11*Model!$AI$2452*'Assumptions (Battery)'!$AG$2/10^9,0)</f>
        <v>0</v>
      </c>
      <c r="AP2645" s="105">
        <f>IF($AI$2452&gt;0,'Assumptions (Battery)'!AC11*Model!$AI$2452*'Assumptions (Battery)'!$AG$2/10^9,0)</f>
        <v>0</v>
      </c>
      <c r="AQ2645" s="105">
        <f>IF($AI$2452&gt;0,'Assumptions (Battery)'!AD11*Model!$AI$2452*'Assumptions (Battery)'!$AG$2/10^9,0)</f>
        <v>0</v>
      </c>
      <c r="AR2645" s="105">
        <f>IF($AI$2452&gt;0,'Assumptions (Battery)'!AE11*Model!$AI$2452*'Assumptions (Battery)'!$AG$2/10^9,0)</f>
        <v>0</v>
      </c>
      <c r="AS2645" s="105">
        <f>IF($AI$2452&gt;0,'Assumptions (Battery)'!AF11*Model!$AI$2452*'Assumptions (Battery)'!$AG$2/10^9,0)</f>
        <v>0</v>
      </c>
      <c r="AT2645" s="105">
        <f>IF($AI$2452&gt;0,'Assumptions (Battery)'!AG11*Model!$AI$2452*'Assumptions (Battery)'!$AG$2/10^9,0)</f>
        <v>0</v>
      </c>
      <c r="AU2645" s="105">
        <f>IF($AI$2452&gt;0,'Assumptions (Battery)'!AH11*Model!$AI$2452*'Assumptions (Battery)'!$AG$2/10^9,0)</f>
        <v>0</v>
      </c>
      <c r="AV2645" s="105">
        <f>IF($AI$2452&gt;0,'Assumptions (Battery)'!AI11*Model!$AI$2452*'Assumptions (Battery)'!$AG$2/10^9,0)</f>
        <v>0</v>
      </c>
      <c r="AW2645" s="105">
        <f>IF($AI$2452&gt;0,'Assumptions (Battery)'!AJ11*Model!$AI$2452*'Assumptions (Battery)'!$AG$2/10^9,0)</f>
        <v>0</v>
      </c>
      <c r="AX2645" s="105">
        <f>IF($AI$2452&gt;0,'Assumptions (Battery)'!AK11*Model!$AI$2452*'Assumptions (Battery)'!$AG$2/10^9,0)</f>
        <v>0</v>
      </c>
      <c r="AY2645" s="105"/>
      <c r="AZ2645" s="105"/>
      <c r="BA2645" s="105"/>
      <c r="BB2645" s="105"/>
      <c r="BC2645" s="105"/>
      <c r="BD2645" s="105"/>
      <c r="BE2645" s="105"/>
      <c r="BF2645" s="105"/>
      <c r="BG2645" s="105"/>
    </row>
    <row r="2646" spans="1:68" ht="15.75" hidden="1" customHeight="1" outlineLevel="1">
      <c r="A2646" s="454"/>
      <c r="B2646" s="99"/>
      <c r="C2646" s="99"/>
      <c r="D2646" s="99"/>
      <c r="E2646" s="99"/>
      <c r="F2646" s="99"/>
      <c r="G2646" s="99"/>
      <c r="H2646" s="99"/>
      <c r="I2646" s="99"/>
      <c r="J2646" s="99"/>
      <c r="K2646" s="99"/>
      <c r="L2646" s="99"/>
      <c r="M2646" s="99"/>
      <c r="N2646" s="99"/>
      <c r="O2646" s="99"/>
      <c r="P2646" s="99"/>
      <c r="Q2646" s="99"/>
      <c r="R2646" s="99"/>
      <c r="S2646" s="99"/>
      <c r="T2646" s="99"/>
      <c r="U2646" s="99"/>
      <c r="V2646" s="99"/>
      <c r="W2646" s="105"/>
      <c r="X2646" s="105"/>
      <c r="Y2646" s="105"/>
      <c r="Z2646" s="105"/>
      <c r="AA2646" s="105"/>
      <c r="AB2646" s="91"/>
      <c r="AC2646" s="105"/>
      <c r="AD2646" s="105"/>
      <c r="AE2646" s="105"/>
      <c r="AF2646" s="105"/>
      <c r="AG2646" s="105"/>
      <c r="AH2646" s="105"/>
      <c r="AI2646" s="105"/>
      <c r="AJ2646" s="91">
        <f>IF($AJ$2452&gt;0,'Assumptions (Battery)'!V11*Model!$AJ$2452*'Assumptions (Battery)'!$AH$2/10^9,0)</f>
        <v>0</v>
      </c>
      <c r="AK2646" s="91">
        <f>IF($AJ$2452&gt;0,'Assumptions (Battery)'!W11*Model!$AJ$2452*'Assumptions (Battery)'!$AH$2/10^9,0)</f>
        <v>0</v>
      </c>
      <c r="AL2646" s="91">
        <f>IF($AJ$2452&gt;0,'Assumptions (Battery)'!X11*Model!$AJ$2452*'Assumptions (Battery)'!$AH$2/10^9,0)</f>
        <v>0</v>
      </c>
      <c r="AM2646" s="91">
        <f>IF($AJ$2452&gt;0,'Assumptions (Battery)'!Y11*Model!$AJ$2452*'Assumptions (Battery)'!$AH$2/10^9,0)</f>
        <v>0</v>
      </c>
      <c r="AN2646" s="91">
        <f>IF($AJ$2452&gt;0,'Assumptions (Battery)'!Z11*Model!$AJ$2452*'Assumptions (Battery)'!$AH$2/10^9,0)</f>
        <v>0</v>
      </c>
      <c r="AO2646" s="91">
        <f>IF($AJ$2452&gt;0,'Assumptions (Battery)'!AA11*Model!$AJ$2452*'Assumptions (Battery)'!$AH$2/10^9,0)</f>
        <v>0</v>
      </c>
      <c r="AP2646" s="91">
        <f>IF($AJ$2452&gt;0,'Assumptions (Battery)'!AB11*Model!$AJ$2452*'Assumptions (Battery)'!$AH$2/10^9,0)</f>
        <v>0</v>
      </c>
      <c r="AQ2646" s="91">
        <f>IF($AJ$2452&gt;0,'Assumptions (Battery)'!AC11*Model!$AJ$2452*'Assumptions (Battery)'!$AH$2/10^9,0)</f>
        <v>0</v>
      </c>
      <c r="AR2646" s="91">
        <f>IF($AJ$2452&gt;0,'Assumptions (Battery)'!AD11*Model!$AJ$2452*'Assumptions (Battery)'!$AH$2/10^9,0)</f>
        <v>0</v>
      </c>
      <c r="AS2646" s="91">
        <f>IF($AJ$2452&gt;0,'Assumptions (Battery)'!AE11*Model!$AJ$2452*'Assumptions (Battery)'!$AH$2/10^9,0)</f>
        <v>0</v>
      </c>
      <c r="AT2646" s="91">
        <f>IF($AJ$2452&gt;0,'Assumptions (Battery)'!AF11*Model!$AJ$2452*'Assumptions (Battery)'!$AH$2/10^9,0)</f>
        <v>0</v>
      </c>
      <c r="AU2646" s="91">
        <f>IF($AJ$2452&gt;0,'Assumptions (Battery)'!AG11*Model!$AJ$2452*'Assumptions (Battery)'!$AH$2/10^9,0)</f>
        <v>0</v>
      </c>
      <c r="AV2646" s="91">
        <f>IF($AJ$2452&gt;0,'Assumptions (Battery)'!AH11*Model!$AJ$2452*'Assumptions (Battery)'!$AH$2/10^9,0)</f>
        <v>0</v>
      </c>
      <c r="AW2646" s="91">
        <f>IF($AJ$2452&gt;0,'Assumptions (Battery)'!AI11*Model!$AJ$2452*'Assumptions (Battery)'!$AH$2/10^9,0)</f>
        <v>0</v>
      </c>
      <c r="AX2646" s="91">
        <f>IF($AJ$2452&gt;0,'Assumptions (Battery)'!AJ11*Model!$AJ$2452*'Assumptions (Battery)'!$AH$2/10^9,0)</f>
        <v>0</v>
      </c>
      <c r="AY2646" s="91">
        <f>IF($AJ$2452&gt;0,'Assumptions (Battery)'!AK11*Model!$AJ$2452*'Assumptions (Battery)'!$AH$2/10^9,0)</f>
        <v>0</v>
      </c>
      <c r="AZ2646" s="91"/>
      <c r="BA2646" s="91"/>
      <c r="BB2646" s="91"/>
      <c r="BC2646" s="91"/>
      <c r="BD2646" s="91"/>
      <c r="BE2646" s="91"/>
      <c r="BF2646" s="91"/>
      <c r="BG2646" s="91"/>
      <c r="BH2646" s="91"/>
    </row>
    <row r="2647" spans="1:68" ht="15.75" hidden="1" customHeight="1" outlineLevel="1">
      <c r="A2647" s="454"/>
      <c r="B2647" s="99"/>
      <c r="C2647" s="99"/>
      <c r="D2647" s="99"/>
      <c r="E2647" s="99"/>
      <c r="F2647" s="99"/>
      <c r="G2647" s="99"/>
      <c r="H2647" s="99"/>
      <c r="I2647" s="99"/>
      <c r="J2647" s="99"/>
      <c r="K2647" s="99"/>
      <c r="L2647" s="99"/>
      <c r="M2647" s="99"/>
      <c r="N2647" s="99"/>
      <c r="O2647" s="99"/>
      <c r="P2647" s="99"/>
      <c r="Q2647" s="99"/>
      <c r="R2647" s="99"/>
      <c r="S2647" s="99"/>
      <c r="T2647" s="99"/>
      <c r="U2647" s="99"/>
      <c r="V2647" s="99"/>
      <c r="W2647" s="105"/>
      <c r="X2647" s="105"/>
      <c r="Y2647" s="105"/>
      <c r="Z2647" s="105"/>
      <c r="AA2647" s="105"/>
      <c r="AB2647" s="105"/>
      <c r="AC2647" s="105"/>
      <c r="AD2647" s="105"/>
      <c r="AE2647" s="105"/>
      <c r="AF2647" s="105"/>
      <c r="AG2647" s="105"/>
      <c r="AH2647" s="105"/>
      <c r="AI2647" s="105"/>
      <c r="AJ2647" s="171"/>
      <c r="AK2647" s="91">
        <f>IF($AK$2452&gt;0,'Assumptions (Battery)'!V11*Model!$AK$2452*'Assumptions (Battery)'!$AI$2/10^9,0)</f>
        <v>0</v>
      </c>
      <c r="AL2647" s="91">
        <f>IF($AK$2452&gt;0,'Assumptions (Battery)'!W11*Model!$AK$2452*'Assumptions (Battery)'!$AI$2/10^9,0)</f>
        <v>0</v>
      </c>
      <c r="AM2647" s="91">
        <f>IF($AK$2452&gt;0,'Assumptions (Battery)'!X11*Model!$AK$2452*'Assumptions (Battery)'!$AI$2/10^9,0)</f>
        <v>0</v>
      </c>
      <c r="AN2647" s="91">
        <f>IF($AK$2452&gt;0,'Assumptions (Battery)'!Y11*Model!$AK$2452*'Assumptions (Battery)'!$AI$2/10^9,0)</f>
        <v>0</v>
      </c>
      <c r="AO2647" s="91">
        <f>IF($AK$2452&gt;0,'Assumptions (Battery)'!Z11*Model!$AK$2452*'Assumptions (Battery)'!$AI$2/10^9,0)</f>
        <v>0</v>
      </c>
      <c r="AP2647" s="91">
        <f>IF($AK$2452&gt;0,'Assumptions (Battery)'!AA11*Model!$AK$2452*'Assumptions (Battery)'!$AI$2/10^9,0)</f>
        <v>0</v>
      </c>
      <c r="AQ2647" s="91">
        <f>IF($AK$2452&gt;0,'Assumptions (Battery)'!AB11*Model!$AK$2452*'Assumptions (Battery)'!$AI$2/10^9,0)</f>
        <v>0</v>
      </c>
      <c r="AR2647" s="91">
        <f>IF($AK$2452&gt;0,'Assumptions (Battery)'!AC11*Model!$AK$2452*'Assumptions (Battery)'!$AI$2/10^9,0)</f>
        <v>0</v>
      </c>
      <c r="AS2647" s="91">
        <f>IF($AK$2452&gt;0,'Assumptions (Battery)'!AD11*Model!$AK$2452*'Assumptions (Battery)'!$AI$2/10^9,0)</f>
        <v>0</v>
      </c>
      <c r="AT2647" s="91">
        <f>IF($AK$2452&gt;0,'Assumptions (Battery)'!AE11*Model!$AK$2452*'Assumptions (Battery)'!$AI$2/10^9,0)</f>
        <v>0</v>
      </c>
      <c r="AU2647" s="91">
        <f>IF($AK$2452&gt;0,'Assumptions (Battery)'!AF11*Model!$AK$2452*'Assumptions (Battery)'!$AI$2/10^9,0)</f>
        <v>0</v>
      </c>
      <c r="AV2647" s="91">
        <f>IF($AK$2452&gt;0,'Assumptions (Battery)'!AG11*Model!$AK$2452*'Assumptions (Battery)'!$AI$2/10^9,0)</f>
        <v>0</v>
      </c>
      <c r="AW2647" s="91">
        <f>IF($AK$2452&gt;0,'Assumptions (Battery)'!AH11*Model!$AK$2452*'Assumptions (Battery)'!$AI$2/10^9,0)</f>
        <v>0</v>
      </c>
      <c r="AX2647" s="91">
        <f>IF($AK$2452&gt;0,'Assumptions (Battery)'!AI11*Model!$AK$2452*'Assumptions (Battery)'!$AI$2/10^9,0)</f>
        <v>0</v>
      </c>
      <c r="AY2647" s="91">
        <f>IF($AK$2452&gt;0,'Assumptions (Battery)'!AJ11*Model!$AK$2452*'Assumptions (Battery)'!$AI$2/10^9,0)</f>
        <v>0</v>
      </c>
      <c r="AZ2647" s="91">
        <f>IF($AK$2452&gt;0,'Assumptions (Battery)'!AK11*Model!$AK$2452*'Assumptions (Battery)'!$AI$2/10^9,0)</f>
        <v>0</v>
      </c>
      <c r="BA2647" s="91"/>
      <c r="BB2647" s="91"/>
      <c r="BC2647" s="91"/>
      <c r="BD2647" s="91"/>
      <c r="BE2647" s="91"/>
      <c r="BF2647" s="91"/>
      <c r="BG2647" s="91"/>
      <c r="BH2647" s="91"/>
      <c r="BI2647" s="91"/>
    </row>
    <row r="2648" spans="1:68" ht="15.75" hidden="1" customHeight="1" outlineLevel="1">
      <c r="A2648" s="454"/>
      <c r="B2648" s="99"/>
      <c r="C2648" s="99"/>
      <c r="D2648" s="99"/>
      <c r="E2648" s="99"/>
      <c r="F2648" s="99"/>
      <c r="G2648" s="99"/>
      <c r="H2648" s="99"/>
      <c r="I2648" s="99"/>
      <c r="J2648" s="99"/>
      <c r="K2648" s="99"/>
      <c r="L2648" s="99"/>
      <c r="M2648" s="99"/>
      <c r="N2648" s="99"/>
      <c r="O2648" s="99"/>
      <c r="P2648" s="99"/>
      <c r="Q2648" s="99"/>
      <c r="R2648" s="99"/>
      <c r="S2648" s="99"/>
      <c r="T2648" s="99"/>
      <c r="U2648" s="99"/>
      <c r="V2648" s="99"/>
      <c r="W2648" s="105"/>
      <c r="X2648" s="105"/>
      <c r="Y2648" s="105"/>
      <c r="Z2648" s="105"/>
      <c r="AA2648" s="105"/>
      <c r="AB2648" s="105"/>
      <c r="AC2648" s="105"/>
      <c r="AD2648" s="105"/>
      <c r="AE2648" s="105"/>
      <c r="AF2648" s="105"/>
      <c r="AG2648" s="105"/>
      <c r="AH2648" s="105"/>
      <c r="AI2648" s="105"/>
      <c r="AJ2648" s="171"/>
      <c r="AK2648" s="105"/>
      <c r="AL2648" s="91">
        <f>IF($AL$2452&gt;0,'Assumptions (Battery)'!V11*Model!$AL$2452*'Assumptions (Battery)'!$AJ$2/10^9,0)</f>
        <v>0</v>
      </c>
      <c r="AM2648" s="91">
        <f>IF($AL$2452&gt;0,'Assumptions (Battery)'!W11*Model!$AL$2452*'Assumptions (Battery)'!$AJ$2/10^9,0)</f>
        <v>0</v>
      </c>
      <c r="AN2648" s="91">
        <f>IF($AL$2452&gt;0,'Assumptions (Battery)'!X11*Model!$AL$2452*'Assumptions (Battery)'!$AJ$2/10^9,0)</f>
        <v>0</v>
      </c>
      <c r="AO2648" s="91">
        <f>IF($AL$2452&gt;0,'Assumptions (Battery)'!Y11*Model!$AL$2452*'Assumptions (Battery)'!$AJ$2/10^9,0)</f>
        <v>0</v>
      </c>
      <c r="AP2648" s="91">
        <f>IF($AL$2452&gt;0,'Assumptions (Battery)'!Z11*Model!$AL$2452*'Assumptions (Battery)'!$AJ$2/10^9,0)</f>
        <v>0</v>
      </c>
      <c r="AQ2648" s="91">
        <f>IF($AL$2452&gt;0,'Assumptions (Battery)'!AA11*Model!$AL$2452*'Assumptions (Battery)'!$AJ$2/10^9,0)</f>
        <v>0</v>
      </c>
      <c r="AR2648" s="91">
        <f>IF($AL$2452&gt;0,'Assumptions (Battery)'!AB11*Model!$AL$2452*'Assumptions (Battery)'!$AJ$2/10^9,0)</f>
        <v>0</v>
      </c>
      <c r="AS2648" s="91">
        <f>IF($AL$2452&gt;0,'Assumptions (Battery)'!AC11*Model!$AL$2452*'Assumptions (Battery)'!$AJ$2/10^9,0)</f>
        <v>0</v>
      </c>
      <c r="AT2648" s="91">
        <f>IF($AL$2452&gt;0,'Assumptions (Battery)'!AD11*Model!$AL$2452*'Assumptions (Battery)'!$AJ$2/10^9,0)</f>
        <v>0</v>
      </c>
      <c r="AU2648" s="91">
        <f>IF($AL$2452&gt;0,'Assumptions (Battery)'!AE11*Model!$AL$2452*'Assumptions (Battery)'!$AJ$2/10^9,0)</f>
        <v>0</v>
      </c>
      <c r="AV2648" s="91">
        <f>IF($AL$2452&gt;0,'Assumptions (Battery)'!AF11*Model!$AL$2452*'Assumptions (Battery)'!$AJ$2/10^9,0)</f>
        <v>0</v>
      </c>
      <c r="AW2648" s="91">
        <f>IF($AL$2452&gt;0,'Assumptions (Battery)'!AG11*Model!$AL$2452*'Assumptions (Battery)'!$AJ$2/10^9,0)</f>
        <v>0</v>
      </c>
      <c r="AX2648" s="91">
        <f>IF($AL$2452&gt;0,'Assumptions (Battery)'!AH11*Model!$AL$2452*'Assumptions (Battery)'!$AJ$2/10^9,0)</f>
        <v>0</v>
      </c>
      <c r="AY2648" s="91">
        <f>IF($AL$2452&gt;0,'Assumptions (Battery)'!AI11*Model!$AL$2452*'Assumptions (Battery)'!$AJ$2/10^9,0)</f>
        <v>0</v>
      </c>
      <c r="AZ2648" s="91">
        <f>IF($AL$2452&gt;0,'Assumptions (Battery)'!AJ11*Model!$AL$2452*'Assumptions (Battery)'!$AJ$2/10^9,0)</f>
        <v>0</v>
      </c>
      <c r="BA2648" s="91">
        <f>IF($AL$2452&gt;0,'Assumptions (Battery)'!AK11*Model!$AL$2452*'Assumptions (Battery)'!$AJ$2/10^9,0)</f>
        <v>0</v>
      </c>
      <c r="BB2648" s="91"/>
      <c r="BC2648" s="91"/>
      <c r="BD2648" s="91"/>
      <c r="BE2648" s="91"/>
      <c r="BF2648" s="91"/>
      <c r="BG2648" s="91"/>
      <c r="BH2648" s="91"/>
      <c r="BI2648" s="91"/>
      <c r="BJ2648" s="91"/>
    </row>
    <row r="2649" spans="1:68" ht="15.75" hidden="1" customHeight="1" outlineLevel="1">
      <c r="A2649" s="454"/>
      <c r="B2649" s="99"/>
      <c r="C2649" s="99"/>
      <c r="D2649" s="99"/>
      <c r="E2649" s="99"/>
      <c r="F2649" s="99"/>
      <c r="G2649" s="99"/>
      <c r="H2649" s="99"/>
      <c r="I2649" s="99"/>
      <c r="J2649" s="99"/>
      <c r="K2649" s="99"/>
      <c r="L2649" s="99"/>
      <c r="M2649" s="99"/>
      <c r="N2649" s="99"/>
      <c r="O2649" s="99"/>
      <c r="P2649" s="99"/>
      <c r="Q2649" s="99"/>
      <c r="R2649" s="99"/>
      <c r="S2649" s="99"/>
      <c r="T2649" s="99"/>
      <c r="U2649" s="99"/>
      <c r="V2649" s="99"/>
      <c r="W2649" s="105"/>
      <c r="X2649" s="105"/>
      <c r="Y2649" s="105"/>
      <c r="Z2649" s="105"/>
      <c r="AA2649" s="105"/>
      <c r="AB2649" s="105"/>
      <c r="AC2649" s="105"/>
      <c r="AD2649" s="105"/>
      <c r="AE2649" s="105"/>
      <c r="AF2649" s="105"/>
      <c r="AG2649" s="105"/>
      <c r="AH2649" s="105"/>
      <c r="AI2649" s="105"/>
      <c r="AJ2649" s="171"/>
      <c r="AK2649" s="105"/>
      <c r="AL2649" s="91"/>
      <c r="AM2649" s="105">
        <f>IF($AM$2452&gt;0,'Assumptions (Battery)'!V11*Model!$AM$2452*'Assumptions (Battery)'!$AK$2/10^9,0)</f>
        <v>0</v>
      </c>
      <c r="AN2649" s="105">
        <f>IF($AM$2452&gt;0,'Assumptions (Battery)'!W11*Model!$AM$2452*'Assumptions (Battery)'!$AK$2/10^9,0)</f>
        <v>0</v>
      </c>
      <c r="AO2649" s="105">
        <f>IF($AM$2452&gt;0,'Assumptions (Battery)'!X11*Model!$AM$2452*'Assumptions (Battery)'!$AK$2/10^9,0)</f>
        <v>0</v>
      </c>
      <c r="AP2649" s="105">
        <f>IF($AM$2452&gt;0,'Assumptions (Battery)'!Y11*Model!$AM$2452*'Assumptions (Battery)'!$AK$2/10^9,0)</f>
        <v>0</v>
      </c>
      <c r="AQ2649" s="105">
        <f>IF($AM$2452&gt;0,'Assumptions (Battery)'!Z11*Model!$AM$2452*'Assumptions (Battery)'!$AK$2/10^9,0)</f>
        <v>0</v>
      </c>
      <c r="AR2649" s="105">
        <f>IF($AM$2452&gt;0,'Assumptions (Battery)'!AA11*Model!$AM$2452*'Assumptions (Battery)'!$AK$2/10^9,0)</f>
        <v>0</v>
      </c>
      <c r="AS2649" s="105">
        <f>IF($AM$2452&gt;0,'Assumptions (Battery)'!AB11*Model!$AM$2452*'Assumptions (Battery)'!$AK$2/10^9,0)</f>
        <v>0</v>
      </c>
      <c r="AT2649" s="105">
        <f>IF($AM$2452&gt;0,'Assumptions (Battery)'!AC11*Model!$AM$2452*'Assumptions (Battery)'!$AK$2/10^9,0)</f>
        <v>0</v>
      </c>
      <c r="AU2649" s="105">
        <f>IF($AM$2452&gt;0,'Assumptions (Battery)'!AD11*Model!$AM$2452*'Assumptions (Battery)'!$AK$2/10^9,0)</f>
        <v>0</v>
      </c>
      <c r="AV2649" s="105">
        <f>IF($AM$2452&gt;0,'Assumptions (Battery)'!AE11*Model!$AM$2452*'Assumptions (Battery)'!$AK$2/10^9,0)</f>
        <v>0</v>
      </c>
      <c r="AW2649" s="105">
        <f>IF($AM$2452&gt;0,'Assumptions (Battery)'!AF11*Model!$AM$2452*'Assumptions (Battery)'!$AK$2/10^9,0)</f>
        <v>0</v>
      </c>
      <c r="AX2649" s="105">
        <f>IF($AM$2452&gt;0,'Assumptions (Battery)'!AG11*Model!$AM$2452*'Assumptions (Battery)'!$AK$2/10^9,0)</f>
        <v>0</v>
      </c>
      <c r="AY2649" s="105">
        <f>IF($AM$2452&gt;0,'Assumptions (Battery)'!AH11*Model!$AM$2452*'Assumptions (Battery)'!$AK$2/10^9,0)</f>
        <v>0</v>
      </c>
      <c r="AZ2649" s="105">
        <f>IF($AM$2452&gt;0,'Assumptions (Battery)'!AI11*Model!$AM$2452*'Assumptions (Battery)'!$AK$2/10^9,0)</f>
        <v>0</v>
      </c>
      <c r="BA2649" s="105">
        <f>IF($AM$2452&gt;0,'Assumptions (Battery)'!AJ11*Model!$AM$2452*'Assumptions (Battery)'!$AK$2/10^9,0)</f>
        <v>0</v>
      </c>
      <c r="BB2649" s="105">
        <f>IF($AM$2452&gt;0,'Assumptions (Battery)'!AK11*Model!$AM$2452*'Assumptions (Battery)'!$AK$2/10^9,0)</f>
        <v>0</v>
      </c>
      <c r="BC2649" s="105"/>
      <c r="BD2649" s="105"/>
      <c r="BE2649" s="105"/>
      <c r="BF2649" s="105"/>
      <c r="BG2649" s="105"/>
      <c r="BH2649" s="105"/>
      <c r="BI2649" s="105"/>
      <c r="BJ2649" s="105"/>
      <c r="BK2649" s="105"/>
    </row>
    <row r="2650" spans="1:68" ht="15.75" hidden="1" customHeight="1" outlineLevel="1">
      <c r="A2650" s="454"/>
      <c r="B2650" s="99"/>
      <c r="C2650" s="99"/>
      <c r="D2650" s="99"/>
      <c r="E2650" s="99"/>
      <c r="F2650" s="99"/>
      <c r="G2650" s="99"/>
      <c r="H2650" s="99"/>
      <c r="I2650" s="99"/>
      <c r="J2650" s="99"/>
      <c r="K2650" s="99"/>
      <c r="L2650" s="99"/>
      <c r="M2650" s="99"/>
      <c r="N2650" s="99"/>
      <c r="O2650" s="99"/>
      <c r="P2650" s="99"/>
      <c r="Q2650" s="99"/>
      <c r="R2650" s="99"/>
      <c r="S2650" s="99"/>
      <c r="T2650" s="99"/>
      <c r="U2650" s="99"/>
      <c r="V2650" s="99"/>
      <c r="W2650" s="105"/>
      <c r="X2650" s="105"/>
      <c r="Y2650" s="105"/>
      <c r="Z2650" s="105"/>
      <c r="AA2650" s="105"/>
      <c r="AB2650" s="105"/>
      <c r="AC2650" s="105"/>
      <c r="AD2650" s="105"/>
      <c r="AE2650" s="105"/>
      <c r="AF2650" s="105"/>
      <c r="AG2650" s="105"/>
      <c r="AH2650" s="105"/>
      <c r="AI2650" s="105"/>
      <c r="AJ2650" s="171"/>
      <c r="AK2650" s="105"/>
      <c r="AL2650" s="91"/>
      <c r="AM2650" s="91"/>
      <c r="AN2650" s="105">
        <f>IF($AN$2452&gt;0,'Assumptions (Battery)'!V11*Model!$AN$2452*'Assumptions (Battery)'!$AL$2/10^9,0)</f>
        <v>0</v>
      </c>
      <c r="AO2650" s="105">
        <f>IF($AN$2452&gt;0,'Assumptions (Battery)'!W11*Model!$AN$2452*'Assumptions (Battery)'!$AL$2/10^9,0)</f>
        <v>0</v>
      </c>
      <c r="AP2650" s="105">
        <f>IF($AN$2452&gt;0,'Assumptions (Battery)'!X11*Model!$AN$2452*'Assumptions (Battery)'!$AL$2/10^9,0)</f>
        <v>0</v>
      </c>
      <c r="AQ2650" s="105">
        <f>IF($AN$2452&gt;0,'Assumptions (Battery)'!Y11*Model!$AN$2452*'Assumptions (Battery)'!$AL$2/10^9,0)</f>
        <v>0</v>
      </c>
      <c r="AR2650" s="105">
        <f>IF($AN$2452&gt;0,'Assumptions (Battery)'!Z11*Model!$AN$2452*'Assumptions (Battery)'!$AL$2/10^9,0)</f>
        <v>0</v>
      </c>
      <c r="AS2650" s="105">
        <f>IF($AN$2452&gt;0,'Assumptions (Battery)'!AA11*Model!$AN$2452*'Assumptions (Battery)'!$AL$2/10^9,0)</f>
        <v>0</v>
      </c>
      <c r="AT2650" s="105">
        <f>IF($AN$2452&gt;0,'Assumptions (Battery)'!AB11*Model!$AN$2452*'Assumptions (Battery)'!$AL$2/10^9,0)</f>
        <v>0</v>
      </c>
      <c r="AU2650" s="105">
        <f>IF($AN$2452&gt;0,'Assumptions (Battery)'!AC11*Model!$AN$2452*'Assumptions (Battery)'!$AL$2/10^9,0)</f>
        <v>0</v>
      </c>
      <c r="AV2650" s="105">
        <f>IF($AN$2452&gt;0,'Assumptions (Battery)'!AD11*Model!$AN$2452*'Assumptions (Battery)'!$AL$2/10^9,0)</f>
        <v>0</v>
      </c>
      <c r="AW2650" s="105">
        <f>IF($AN$2452&gt;0,'Assumptions (Battery)'!AE11*Model!$AN$2452*'Assumptions (Battery)'!$AL$2/10^9,0)</f>
        <v>0</v>
      </c>
      <c r="AX2650" s="105">
        <f>IF($AN$2452&gt;0,'Assumptions (Battery)'!AF11*Model!$AN$2452*'Assumptions (Battery)'!$AL$2/10^9,0)</f>
        <v>0</v>
      </c>
      <c r="AY2650" s="105">
        <f>IF($AN$2452&gt;0,'Assumptions (Battery)'!AG11*Model!$AN$2452*'Assumptions (Battery)'!$AL$2/10^9,0)</f>
        <v>0</v>
      </c>
      <c r="AZ2650" s="105">
        <f>IF($AN$2452&gt;0,'Assumptions (Battery)'!AH11*Model!$AN$2452*'Assumptions (Battery)'!$AL$2/10^9,0)</f>
        <v>0</v>
      </c>
      <c r="BA2650" s="105">
        <f>IF($AN$2452&gt;0,'Assumptions (Battery)'!AI11*Model!$AN$2452*'Assumptions (Battery)'!$AL$2/10^9,0)</f>
        <v>0</v>
      </c>
      <c r="BB2650" s="105">
        <f>IF($AN$2452&gt;0,'Assumptions (Battery)'!AJ11*Model!$AN$2452*'Assumptions (Battery)'!$AL$2/10^9,0)</f>
        <v>0</v>
      </c>
      <c r="BC2650" s="105">
        <f>IF($AN$2452&gt;0,'Assumptions (Battery)'!AK11*Model!$AN$2452*'Assumptions (Battery)'!$AL$2/10^9,0)</f>
        <v>0</v>
      </c>
      <c r="BD2650" s="105"/>
      <c r="BE2650" s="105"/>
      <c r="BF2650" s="105"/>
      <c r="BG2650" s="105"/>
      <c r="BH2650" s="105"/>
      <c r="BI2650" s="105"/>
      <c r="BJ2650" s="105"/>
      <c r="BK2650" s="105"/>
      <c r="BL2650" s="105"/>
    </row>
    <row r="2651" spans="1:68" ht="15.75" hidden="1" customHeight="1" outlineLevel="1">
      <c r="A2651" s="454"/>
      <c r="B2651" s="99"/>
      <c r="C2651" s="99"/>
      <c r="D2651" s="99"/>
      <c r="E2651" s="99"/>
      <c r="F2651" s="99"/>
      <c r="G2651" s="99"/>
      <c r="H2651" s="99"/>
      <c r="I2651" s="99"/>
      <c r="J2651" s="99"/>
      <c r="K2651" s="99"/>
      <c r="L2651" s="99"/>
      <c r="M2651" s="99"/>
      <c r="N2651" s="99"/>
      <c r="O2651" s="99"/>
      <c r="P2651" s="99"/>
      <c r="Q2651" s="99"/>
      <c r="R2651" s="99"/>
      <c r="S2651" s="99"/>
      <c r="T2651" s="99"/>
      <c r="U2651" s="99"/>
      <c r="V2651" s="99"/>
      <c r="W2651" s="105"/>
      <c r="X2651" s="105"/>
      <c r="Y2651" s="105"/>
      <c r="Z2651" s="105"/>
      <c r="AA2651" s="105"/>
      <c r="AB2651" s="105"/>
      <c r="AC2651" s="105"/>
      <c r="AD2651" s="105"/>
      <c r="AE2651" s="105"/>
      <c r="AF2651" s="105"/>
      <c r="AG2651" s="105"/>
      <c r="AH2651" s="105"/>
      <c r="AI2651" s="105"/>
      <c r="AJ2651" s="171"/>
      <c r="AK2651" s="105"/>
      <c r="AL2651" s="91"/>
      <c r="AM2651" s="91"/>
      <c r="AN2651" s="91"/>
      <c r="AO2651" s="105">
        <f>IF($AO$2452&gt;0,'Assumptions (Battery)'!V11*Model!$AO$2452*'Assumptions (Battery)'!$AM$2/10^9,0)</f>
        <v>0</v>
      </c>
      <c r="AP2651" s="105">
        <f>IF($AO$2452&gt;0,'Assumptions (Battery)'!W11*Model!$AO$2452*'Assumptions (Battery)'!$AM$2/10^9,0)</f>
        <v>0</v>
      </c>
      <c r="AQ2651" s="105">
        <f>IF($AO$2452&gt;0,'Assumptions (Battery)'!X11*Model!$AO$2452*'Assumptions (Battery)'!$AM$2/10^9,0)</f>
        <v>0</v>
      </c>
      <c r="AR2651" s="105">
        <f>IF($AO$2452&gt;0,'Assumptions (Battery)'!Y11*Model!$AO$2452*'Assumptions (Battery)'!$AM$2/10^9,0)</f>
        <v>0</v>
      </c>
      <c r="AS2651" s="105">
        <f>IF($AO$2452&gt;0,'Assumptions (Battery)'!Z11*Model!$AO$2452*'Assumptions (Battery)'!$AM$2/10^9,0)</f>
        <v>0</v>
      </c>
      <c r="AT2651" s="105">
        <f>IF($AO$2452&gt;0,'Assumptions (Battery)'!AA11*Model!$AO$2452*'Assumptions (Battery)'!$AM$2/10^9,0)</f>
        <v>0</v>
      </c>
      <c r="AU2651" s="105">
        <f>IF($AO$2452&gt;0,'Assumptions (Battery)'!AB11*Model!$AO$2452*'Assumptions (Battery)'!$AM$2/10^9,0)</f>
        <v>0</v>
      </c>
      <c r="AV2651" s="105">
        <f>IF($AO$2452&gt;0,'Assumptions (Battery)'!AC11*Model!$AO$2452*'Assumptions (Battery)'!$AM$2/10^9,0)</f>
        <v>0</v>
      </c>
      <c r="AW2651" s="105">
        <f>IF($AO$2452&gt;0,'Assumptions (Battery)'!AD11*Model!$AO$2452*'Assumptions (Battery)'!$AM$2/10^9,0)</f>
        <v>0</v>
      </c>
      <c r="AX2651" s="105">
        <f>IF($AO$2452&gt;0,'Assumptions (Battery)'!AE11*Model!$AO$2452*'Assumptions (Battery)'!$AM$2/10^9,0)</f>
        <v>0</v>
      </c>
      <c r="AY2651" s="105">
        <f>IF($AO$2452&gt;0,'Assumptions (Battery)'!AF11*Model!$AO$2452*'Assumptions (Battery)'!$AM$2/10^9,0)</f>
        <v>0</v>
      </c>
      <c r="AZ2651" s="105">
        <f>IF($AO$2452&gt;0,'Assumptions (Battery)'!AG11*Model!$AO$2452*'Assumptions (Battery)'!$AM$2/10^9,0)</f>
        <v>0</v>
      </c>
      <c r="BA2651" s="105">
        <f>IF($AO$2452&gt;0,'Assumptions (Battery)'!AH11*Model!$AO$2452*'Assumptions (Battery)'!$AM$2/10^9,0)</f>
        <v>0</v>
      </c>
      <c r="BB2651" s="105">
        <f>IF($AO$2452&gt;0,'Assumptions (Battery)'!AI11*Model!$AO$2452*'Assumptions (Battery)'!$AM$2/10^9,0)</f>
        <v>0</v>
      </c>
      <c r="BC2651" s="105">
        <f>IF($AO$2452&gt;0,'Assumptions (Battery)'!AJ11*Model!$AO$2452*'Assumptions (Battery)'!$AM$2/10^9,0)</f>
        <v>0</v>
      </c>
      <c r="BD2651" s="105">
        <f>IF($AO$2452&gt;0,'Assumptions (Battery)'!AK11*Model!$AO$2452*'Assumptions (Battery)'!$AM$2/10^9,0)</f>
        <v>0</v>
      </c>
      <c r="BE2651" s="105"/>
      <c r="BF2651" s="105"/>
      <c r="BG2651" s="105"/>
      <c r="BH2651" s="105"/>
      <c r="BI2651" s="105"/>
      <c r="BJ2651" s="105"/>
      <c r="BK2651" s="105"/>
      <c r="BL2651" s="105"/>
      <c r="BM2651" s="105"/>
    </row>
    <row r="2652" spans="1:68" ht="15.75" hidden="1" customHeight="1" outlineLevel="1">
      <c r="A2652" s="454"/>
      <c r="B2652" s="99"/>
      <c r="C2652" s="99"/>
      <c r="D2652" s="99"/>
      <c r="E2652" s="99"/>
      <c r="F2652" s="99"/>
      <c r="G2652" s="99"/>
      <c r="H2652" s="99"/>
      <c r="I2652" s="99"/>
      <c r="J2652" s="99"/>
      <c r="K2652" s="99"/>
      <c r="L2652" s="99"/>
      <c r="M2652" s="99"/>
      <c r="N2652" s="99"/>
      <c r="O2652" s="99"/>
      <c r="P2652" s="99"/>
      <c r="Q2652" s="99"/>
      <c r="R2652" s="99"/>
      <c r="S2652" s="99"/>
      <c r="T2652" s="99"/>
      <c r="U2652" s="99"/>
      <c r="V2652" s="99"/>
      <c r="W2652" s="105"/>
      <c r="X2652" s="105"/>
      <c r="Y2652" s="105"/>
      <c r="Z2652" s="105"/>
      <c r="AA2652" s="105"/>
      <c r="AB2652" s="105"/>
      <c r="AC2652" s="105"/>
      <c r="AD2652" s="105"/>
      <c r="AE2652" s="105"/>
      <c r="AF2652" s="105"/>
      <c r="AG2652" s="105"/>
      <c r="AH2652" s="105"/>
      <c r="AI2652" s="105"/>
      <c r="AJ2652" s="171"/>
      <c r="AK2652" s="105"/>
      <c r="AL2652" s="91"/>
      <c r="AM2652" s="91"/>
      <c r="AN2652" s="91"/>
      <c r="AO2652" s="105"/>
      <c r="AP2652" s="105">
        <f>IF($AP$2452&gt;0,'Assumptions (Battery)'!V11*Model!$AP$2452*'Assumptions (Battery)'!$AN$2/10^9,0)</f>
        <v>0</v>
      </c>
      <c r="AQ2652" s="105">
        <f>IF($AP$2452&gt;0,'Assumptions (Battery)'!W11*Model!$AP$2452*'Assumptions (Battery)'!$AN$2/10^9,0)</f>
        <v>0</v>
      </c>
      <c r="AR2652" s="105">
        <f>IF($AP$2452&gt;0,'Assumptions (Battery)'!X11*Model!$AP$2452*'Assumptions (Battery)'!$AN$2/10^9,0)</f>
        <v>0</v>
      </c>
      <c r="AS2652" s="105">
        <f>IF($AP$2452&gt;0,'Assumptions (Battery)'!Y11*Model!$AP$2452*'Assumptions (Battery)'!$AN$2/10^9,0)</f>
        <v>0</v>
      </c>
      <c r="AT2652" s="105">
        <f>IF($AP$2452&gt;0,'Assumptions (Battery)'!Z11*Model!$AP$2452*'Assumptions (Battery)'!$AN$2/10^9,0)</f>
        <v>0</v>
      </c>
      <c r="AU2652" s="105">
        <f>IF($AP$2452&gt;0,'Assumptions (Battery)'!AA11*Model!$AP$2452*'Assumptions (Battery)'!$AN$2/10^9,0)</f>
        <v>0</v>
      </c>
      <c r="AV2652" s="105">
        <f>IF($AP$2452&gt;0,'Assumptions (Battery)'!AB11*Model!$AP$2452*'Assumptions (Battery)'!$AN$2/10^9,0)</f>
        <v>0</v>
      </c>
      <c r="AW2652" s="105">
        <f>IF($AP$2452&gt;0,'Assumptions (Battery)'!AC11*Model!$AP$2452*'Assumptions (Battery)'!$AN$2/10^9,0)</f>
        <v>0</v>
      </c>
      <c r="AX2652" s="105">
        <f>IF($AP$2452&gt;0,'Assumptions (Battery)'!AD11*Model!$AP$2452*'Assumptions (Battery)'!$AN$2/10^9,0)</f>
        <v>0</v>
      </c>
      <c r="AY2652" s="105">
        <f>IF($AP$2452&gt;0,'Assumptions (Battery)'!AE11*Model!$AP$2452*'Assumptions (Battery)'!$AN$2/10^9,0)</f>
        <v>0</v>
      </c>
      <c r="AZ2652" s="105">
        <f>IF($AP$2452&gt;0,'Assumptions (Battery)'!AF11*Model!$AP$2452*'Assumptions (Battery)'!$AN$2/10^9,0)</f>
        <v>0</v>
      </c>
      <c r="BA2652" s="105">
        <f>IF($AP$2452&gt;0,'Assumptions (Battery)'!AG11*Model!$AP$2452*'Assumptions (Battery)'!$AN$2/10^9,0)</f>
        <v>0</v>
      </c>
      <c r="BB2652" s="105">
        <f>IF($AP$2452&gt;0,'Assumptions (Battery)'!AH11*Model!$AP$2452*'Assumptions (Battery)'!$AN$2/10^9,0)</f>
        <v>0</v>
      </c>
      <c r="BC2652" s="105">
        <f>IF($AP$2452&gt;0,'Assumptions (Battery)'!AI11*Model!$AP$2452*'Assumptions (Battery)'!$AN$2/10^9,0)</f>
        <v>0</v>
      </c>
      <c r="BD2652" s="105">
        <f>IF($AP$2452&gt;0,'Assumptions (Battery)'!AJ11*Model!$AP$2452*'Assumptions (Battery)'!$AN$2/10^9,0)</f>
        <v>0</v>
      </c>
      <c r="BE2652" s="105">
        <f>IF($AP$2452&gt;0,'Assumptions (Battery)'!AK11*Model!$AP$2452*'Assumptions (Battery)'!$AN$2/10^9,0)</f>
        <v>0</v>
      </c>
      <c r="BF2652" s="105"/>
      <c r="BG2652" s="105"/>
      <c r="BH2652" s="105"/>
      <c r="BI2652" s="105"/>
      <c r="BJ2652" s="105"/>
      <c r="BK2652" s="105"/>
      <c r="BL2652" s="105"/>
      <c r="BM2652" s="105"/>
      <c r="BN2652" s="105"/>
    </row>
    <row r="2653" spans="1:68" ht="15.75" hidden="1" customHeight="1" outlineLevel="1">
      <c r="A2653" s="454"/>
      <c r="B2653" s="99"/>
      <c r="C2653" s="99"/>
      <c r="D2653" s="99"/>
      <c r="E2653" s="99"/>
      <c r="F2653" s="99"/>
      <c r="G2653" s="99"/>
      <c r="H2653" s="99"/>
      <c r="I2653" s="99"/>
      <c r="J2653" s="99"/>
      <c r="K2653" s="99"/>
      <c r="L2653" s="99"/>
      <c r="M2653" s="99"/>
      <c r="N2653" s="99"/>
      <c r="O2653" s="99"/>
      <c r="P2653" s="99"/>
      <c r="Q2653" s="99"/>
      <c r="R2653" s="99"/>
      <c r="S2653" s="99"/>
      <c r="T2653" s="99"/>
      <c r="U2653" s="99"/>
      <c r="V2653" s="99"/>
      <c r="W2653" s="105"/>
      <c r="X2653" s="105"/>
      <c r="Y2653" s="105"/>
      <c r="Z2653" s="105"/>
      <c r="AA2653" s="105"/>
      <c r="AB2653" s="105"/>
      <c r="AC2653" s="105"/>
      <c r="AD2653" s="105"/>
      <c r="AE2653" s="105"/>
      <c r="AF2653" s="105"/>
      <c r="AG2653" s="105"/>
      <c r="AH2653" s="105"/>
      <c r="AI2653" s="105"/>
      <c r="AJ2653" s="171"/>
      <c r="AK2653" s="105"/>
      <c r="AL2653" s="91"/>
      <c r="AM2653" s="91"/>
      <c r="AN2653" s="91"/>
      <c r="AO2653" s="105"/>
      <c r="AP2653" s="105"/>
      <c r="AQ2653" s="105">
        <f>IF($AQ$2452&gt;0,'Assumptions (Battery)'!V11*Model!$AQ$2452*'Assumptions (Battery)'!$AO$2/10^9,0)</f>
        <v>0</v>
      </c>
      <c r="AR2653" s="105">
        <f>IF($AQ$2452&gt;0,'Assumptions (Battery)'!W11*Model!$AQ$2452*'Assumptions (Battery)'!$AO$2/10^9,0)</f>
        <v>0</v>
      </c>
      <c r="AS2653" s="105">
        <f>IF($AQ$2452&gt;0,'Assumptions (Battery)'!X11*Model!$AQ$2452*'Assumptions (Battery)'!$AO$2/10^9,0)</f>
        <v>0</v>
      </c>
      <c r="AT2653" s="105">
        <f>IF($AQ$2452&gt;0,'Assumptions (Battery)'!Y11*Model!$AQ$2452*'Assumptions (Battery)'!$AO$2/10^9,0)</f>
        <v>0</v>
      </c>
      <c r="AU2653" s="105">
        <f>IF($AQ$2452&gt;0,'Assumptions (Battery)'!Z11*Model!$AQ$2452*'Assumptions (Battery)'!$AO$2/10^9,0)</f>
        <v>0</v>
      </c>
      <c r="AV2653" s="105">
        <f>IF($AQ$2452&gt;0,'Assumptions (Battery)'!AA11*Model!$AQ$2452*'Assumptions (Battery)'!$AO$2/10^9,0)</f>
        <v>0</v>
      </c>
      <c r="AW2653" s="105">
        <f>IF($AQ$2452&gt;0,'Assumptions (Battery)'!AB11*Model!$AQ$2452*'Assumptions (Battery)'!$AO$2/10^9,0)</f>
        <v>0</v>
      </c>
      <c r="AX2653" s="105">
        <f>IF($AQ$2452&gt;0,'Assumptions (Battery)'!AC11*Model!$AQ$2452*'Assumptions (Battery)'!$AO$2/10^9,0)</f>
        <v>0</v>
      </c>
      <c r="AY2653" s="105">
        <f>IF($AQ$2452&gt;0,'Assumptions (Battery)'!AD11*Model!$AQ$2452*'Assumptions (Battery)'!$AO$2/10^9,0)</f>
        <v>0</v>
      </c>
      <c r="AZ2653" s="105">
        <f>IF($AQ$2452&gt;0,'Assumptions (Battery)'!AE11*Model!$AQ$2452*'Assumptions (Battery)'!$AO$2/10^9,0)</f>
        <v>0</v>
      </c>
      <c r="BA2653" s="105">
        <f>IF($AQ$2452&gt;0,'Assumptions (Battery)'!AF11*Model!$AQ$2452*'Assumptions (Battery)'!$AO$2/10^9,0)</f>
        <v>0</v>
      </c>
      <c r="BB2653" s="105">
        <f>IF($AQ$2452&gt;0,'Assumptions (Battery)'!AG11*Model!$AQ$2452*'Assumptions (Battery)'!$AO$2/10^9,0)</f>
        <v>0</v>
      </c>
      <c r="BC2653" s="105">
        <f>IF($AQ$2452&gt;0,'Assumptions (Battery)'!AH11*Model!$AQ$2452*'Assumptions (Battery)'!$AO$2/10^9,0)</f>
        <v>0</v>
      </c>
      <c r="BD2653" s="105">
        <f>IF($AQ$2452&gt;0,'Assumptions (Battery)'!AI11*Model!$AQ$2452*'Assumptions (Battery)'!$AO$2/10^9,0)</f>
        <v>0</v>
      </c>
      <c r="BE2653" s="105">
        <f>IF($AQ$2452&gt;0,'Assumptions (Battery)'!AJ11*Model!$AQ$2452*'Assumptions (Battery)'!$AO$2/10^9,0)</f>
        <v>0</v>
      </c>
      <c r="BF2653" s="105">
        <f>IF($AQ$2452&gt;0,'Assumptions (Battery)'!AK11*Model!$AQ$2452*'Assumptions (Battery)'!$AO$2/10^9,0)</f>
        <v>0</v>
      </c>
      <c r="BG2653" s="105"/>
      <c r="BH2653" s="105"/>
      <c r="BI2653" s="105"/>
      <c r="BJ2653" s="105"/>
      <c r="BK2653" s="105"/>
      <c r="BL2653" s="105"/>
      <c r="BM2653" s="105"/>
      <c r="BN2653" s="105"/>
      <c r="BO2653" s="105"/>
    </row>
    <row r="2654" spans="1:68" ht="15.75" hidden="1" customHeight="1" outlineLevel="1">
      <c r="A2654" s="454"/>
      <c r="B2654" s="99"/>
      <c r="C2654" s="99"/>
      <c r="D2654" s="99"/>
      <c r="E2654" s="99"/>
      <c r="F2654" s="99"/>
      <c r="G2654" s="99"/>
      <c r="H2654" s="99"/>
      <c r="I2654" s="99"/>
      <c r="J2654" s="99"/>
      <c r="K2654" s="99"/>
      <c r="L2654" s="99"/>
      <c r="M2654" s="99"/>
      <c r="N2654" s="99"/>
      <c r="O2654" s="99"/>
      <c r="P2654" s="99"/>
      <c r="Q2654" s="99"/>
      <c r="R2654" s="99"/>
      <c r="S2654" s="99"/>
      <c r="T2654" s="99"/>
      <c r="U2654" s="99"/>
      <c r="V2654" s="99"/>
      <c r="W2654" s="105"/>
      <c r="X2654" s="105"/>
      <c r="Y2654" s="105"/>
      <c r="Z2654" s="105"/>
      <c r="AA2654" s="105"/>
      <c r="AB2654" s="105"/>
      <c r="AC2654" s="105"/>
      <c r="AD2654" s="105"/>
      <c r="AE2654" s="105"/>
      <c r="AF2654" s="105"/>
      <c r="AG2654" s="105"/>
      <c r="AH2654" s="105"/>
      <c r="AI2654" s="105"/>
      <c r="AJ2654" s="171"/>
      <c r="AK2654" s="105"/>
      <c r="AL2654" s="91"/>
      <c r="AM2654" s="91"/>
      <c r="AN2654" s="91"/>
      <c r="AO2654" s="105"/>
      <c r="AP2654" s="105"/>
      <c r="AQ2654" s="105"/>
      <c r="AR2654" s="105">
        <f>IF($AR$2452&gt;0,'Assumptions (Battery)'!V11*Model!$AR$2452*'Assumptions (Battery)'!$AP$2/10^9,0)</f>
        <v>0</v>
      </c>
      <c r="AS2654" s="105">
        <f>IF($AR$2452&gt;0,'Assumptions (Battery)'!W11*Model!$AR$2452*'Assumptions (Battery)'!$AP$2/10^9,0)</f>
        <v>0</v>
      </c>
      <c r="AT2654" s="105">
        <f>IF($AR$2452&gt;0,'Assumptions (Battery)'!X11*Model!$AR$2452*'Assumptions (Battery)'!$AP$2/10^9,0)</f>
        <v>0</v>
      </c>
      <c r="AU2654" s="105">
        <f>IF($AR$2452&gt;0,'Assumptions (Battery)'!Y11*Model!$AR$2452*'Assumptions (Battery)'!$AP$2/10^9,0)</f>
        <v>0</v>
      </c>
      <c r="AV2654" s="105">
        <f>IF($AR$2452&gt;0,'Assumptions (Battery)'!Z11*Model!$AR$2452*'Assumptions (Battery)'!$AP$2/10^9,0)</f>
        <v>0</v>
      </c>
      <c r="AW2654" s="105">
        <f>IF($AR$2452&gt;0,'Assumptions (Battery)'!AA11*Model!$AR$2452*'Assumptions (Battery)'!$AP$2/10^9,0)</f>
        <v>0</v>
      </c>
      <c r="AX2654" s="105">
        <f>IF($AR$2452&gt;0,'Assumptions (Battery)'!AB11*Model!$AR$2452*'Assumptions (Battery)'!$AP$2/10^9,0)</f>
        <v>0</v>
      </c>
      <c r="AY2654" s="105">
        <f>IF($AR$2452&gt;0,'Assumptions (Battery)'!AC11*Model!$AR$2452*'Assumptions (Battery)'!$AP$2/10^9,0)</f>
        <v>0</v>
      </c>
      <c r="AZ2654" s="105">
        <f>IF($AR$2452&gt;0,'Assumptions (Battery)'!AD11*Model!$AR$2452*'Assumptions (Battery)'!$AP$2/10^9,0)</f>
        <v>0</v>
      </c>
      <c r="BA2654" s="105">
        <f>IF($AR$2452&gt;0,'Assumptions (Battery)'!AE11*Model!$AR$2452*'Assumptions (Battery)'!$AP$2/10^9,0)</f>
        <v>0</v>
      </c>
      <c r="BB2654" s="105">
        <f>IF($AR$2452&gt;0,'Assumptions (Battery)'!AF11*Model!$AR$2452*'Assumptions (Battery)'!$AP$2/10^9,0)</f>
        <v>0</v>
      </c>
      <c r="BC2654" s="105">
        <f>IF($AR$2452&gt;0,'Assumptions (Battery)'!AG11*Model!$AR$2452*'Assumptions (Battery)'!$AP$2/10^9,0)</f>
        <v>0</v>
      </c>
      <c r="BD2654" s="105">
        <f>IF($AR$2452&gt;0,'Assumptions (Battery)'!AH11*Model!$AR$2452*'Assumptions (Battery)'!$AP$2/10^9,0)</f>
        <v>0</v>
      </c>
      <c r="BE2654" s="105">
        <f>IF($AR$2452&gt;0,'Assumptions (Battery)'!AI11*Model!$AR$2452*'Assumptions (Battery)'!$AP$2/10^9,0)</f>
        <v>0</v>
      </c>
      <c r="BF2654" s="105">
        <f>IF($AR$2452&gt;0,'Assumptions (Battery)'!AJ11*Model!$AR$2452*'Assumptions (Battery)'!$AP$2/10^9,0)</f>
        <v>0</v>
      </c>
      <c r="BG2654" s="105">
        <f>IF($AR$2452&gt;0,'Assumptions (Battery)'!AK11*Model!$AR$2452*'Assumptions (Battery)'!$AP$2/10^9,0)</f>
        <v>0</v>
      </c>
      <c r="BH2654" s="105"/>
      <c r="BI2654" s="105"/>
      <c r="BJ2654" s="105"/>
      <c r="BK2654" s="105"/>
      <c r="BL2654" s="105"/>
      <c r="BM2654" s="105"/>
      <c r="BN2654" s="105"/>
      <c r="BO2654" s="105"/>
      <c r="BP2654" s="105"/>
    </row>
    <row r="2655" spans="1:68" ht="15.75" hidden="1" customHeight="1" outlineLevel="1">
      <c r="A2655" s="454"/>
      <c r="B2655" s="99"/>
      <c r="C2655" s="99"/>
      <c r="D2655" s="99"/>
      <c r="E2655" s="99"/>
      <c r="F2655" s="99"/>
      <c r="G2655" s="99"/>
      <c r="H2655" s="99"/>
      <c r="I2655" s="99"/>
      <c r="J2655" s="99"/>
      <c r="K2655" s="99"/>
      <c r="L2655" s="99"/>
      <c r="M2655" s="99"/>
      <c r="N2655" s="99"/>
      <c r="O2655" s="99"/>
      <c r="P2655" s="99"/>
      <c r="Q2655" s="99"/>
      <c r="R2655" s="99"/>
      <c r="S2655" s="99"/>
      <c r="T2655" s="99"/>
      <c r="U2655" s="99"/>
      <c r="V2655" s="99"/>
      <c r="W2655" s="105"/>
      <c r="X2655" s="105"/>
      <c r="Y2655" s="105"/>
      <c r="Z2655" s="105"/>
      <c r="AA2655" s="105"/>
      <c r="AB2655" s="105"/>
      <c r="AC2655" s="105"/>
      <c r="AD2655" s="105"/>
      <c r="AE2655" s="105"/>
      <c r="AF2655" s="105"/>
      <c r="AG2655" s="105"/>
      <c r="AH2655" s="105"/>
      <c r="AI2655" s="105"/>
      <c r="AJ2655" s="171"/>
      <c r="AK2655" s="105"/>
      <c r="AL2655" s="91"/>
      <c r="AM2655" s="91"/>
      <c r="AN2655" s="91"/>
      <c r="AO2655" s="105"/>
      <c r="AP2655" s="105"/>
      <c r="AQ2655" s="105"/>
      <c r="AR2655" s="105"/>
      <c r="AS2655" s="105">
        <f>IF($AS$2452&gt;0,'Assumptions (Battery)'!V11*Model!$AS$2452*'Assumptions (Battery)'!$AQ$2/10^9,0)</f>
        <v>0</v>
      </c>
      <c r="AT2655" s="105">
        <f>IF($AS$2452&gt;0,'Assumptions (Battery)'!W11*Model!$AS$2452*'Assumptions (Battery)'!$AQ$2/10^9,0)</f>
        <v>0</v>
      </c>
      <c r="AU2655" s="105">
        <f>IF($AS$2452&gt;0,'Assumptions (Battery)'!X11*Model!$AS$2452*'Assumptions (Battery)'!$AQ$2/10^9,0)</f>
        <v>0</v>
      </c>
      <c r="AV2655" s="105">
        <f>IF($AS$2452&gt;0,'Assumptions (Battery)'!Y11*Model!$AS$2452*'Assumptions (Battery)'!$AQ$2/10^9,0)</f>
        <v>0</v>
      </c>
      <c r="AW2655" s="105">
        <f>IF($AS$2452&gt;0,'Assumptions (Battery)'!Z11*Model!$AS$2452*'Assumptions (Battery)'!$AQ$2/10^9,0)</f>
        <v>0</v>
      </c>
      <c r="AX2655" s="105">
        <f>IF($AS$2452&gt;0,'Assumptions (Battery)'!AA11*Model!$AS$2452*'Assumptions (Battery)'!$AQ$2/10^9,0)</f>
        <v>0</v>
      </c>
      <c r="AY2655" s="105">
        <f>IF($AS$2452&gt;0,'Assumptions (Battery)'!AB11*Model!$AS$2452*'Assumptions (Battery)'!$AQ$2/10^9,0)</f>
        <v>0</v>
      </c>
      <c r="AZ2655" s="105">
        <f>IF($AS$2452&gt;0,'Assumptions (Battery)'!AC11*Model!$AS$2452*'Assumptions (Battery)'!$AQ$2/10^9,0)</f>
        <v>0</v>
      </c>
      <c r="BA2655" s="105">
        <f>IF($AS$2452&gt;0,'Assumptions (Battery)'!AD11*Model!$AS$2452*'Assumptions (Battery)'!$AQ$2/10^9,0)</f>
        <v>0</v>
      </c>
      <c r="BB2655" s="105">
        <f>IF($AS$2452&gt;0,'Assumptions (Battery)'!AE11*Model!$AS$2452*'Assumptions (Battery)'!$AQ$2/10^9,0)</f>
        <v>0</v>
      </c>
      <c r="BC2655" s="105">
        <f>IF($AS$2452&gt;0,'Assumptions (Battery)'!AF11*Model!$AS$2452*'Assumptions (Battery)'!$AQ$2/10^9,0)</f>
        <v>0</v>
      </c>
      <c r="BD2655" s="105">
        <f>IF($AS$2452&gt;0,'Assumptions (Battery)'!AG11*Model!$AS$2452*'Assumptions (Battery)'!$AQ$2/10^9,0)</f>
        <v>0</v>
      </c>
      <c r="BE2655" s="105">
        <f>IF($AS$2452&gt;0,'Assumptions (Battery)'!AH11*Model!$AS$2452*'Assumptions (Battery)'!$AQ$2/10^9,0)</f>
        <v>0</v>
      </c>
      <c r="BF2655" s="105">
        <f>IF($AS$2452&gt;0,'Assumptions (Battery)'!AI11*Model!$AS$2452*'Assumptions (Battery)'!$AQ$2/10^9,0)</f>
        <v>0</v>
      </c>
      <c r="BG2655" s="105">
        <f>IF($AS$2452&gt;0,'Assumptions (Battery)'!AJ11*Model!$AS$2452*'Assumptions (Battery)'!$AQ$2/10^9,0)</f>
        <v>0</v>
      </c>
      <c r="BH2655" s="105">
        <f>IF($AS$2452&gt;0,'Assumptions (Battery)'!AK11*Model!$AS$2452*'Assumptions (Battery)'!$AQ$2/10^9,0)</f>
        <v>0</v>
      </c>
      <c r="BI2655" s="105"/>
      <c r="BJ2655" s="105"/>
      <c r="BK2655" s="105"/>
      <c r="BL2655" s="105"/>
      <c r="BM2655" s="105"/>
      <c r="BN2655" s="105"/>
      <c r="BO2655" s="105"/>
      <c r="BP2655" s="105"/>
    </row>
    <row r="2656" spans="1:68" ht="15.75" hidden="1" customHeight="1" outlineLevel="1">
      <c r="A2656" s="454"/>
      <c r="B2656" s="99"/>
      <c r="C2656" s="99"/>
      <c r="D2656" s="99"/>
      <c r="E2656" s="99"/>
      <c r="F2656" s="99"/>
      <c r="G2656" s="99"/>
      <c r="H2656" s="99"/>
      <c r="I2656" s="99"/>
      <c r="J2656" s="99"/>
      <c r="K2656" s="99"/>
      <c r="L2656" s="99"/>
      <c r="M2656" s="99"/>
      <c r="N2656" s="99"/>
      <c r="O2656" s="99"/>
      <c r="P2656" s="99"/>
      <c r="Q2656" s="99"/>
      <c r="R2656" s="99"/>
      <c r="S2656" s="99"/>
      <c r="T2656" s="99"/>
      <c r="U2656" s="99"/>
      <c r="V2656" s="99"/>
      <c r="W2656" s="105"/>
      <c r="X2656" s="105"/>
      <c r="Y2656" s="105"/>
      <c r="Z2656" s="105"/>
      <c r="AA2656" s="105"/>
      <c r="AB2656" s="105"/>
      <c r="AC2656" s="105"/>
      <c r="AD2656" s="105"/>
      <c r="AE2656" s="105"/>
      <c r="AF2656" s="105"/>
      <c r="AG2656" s="105"/>
      <c r="AH2656" s="105"/>
      <c r="AI2656" s="105"/>
      <c r="AJ2656" s="171"/>
      <c r="AK2656" s="105"/>
      <c r="AL2656" s="91"/>
      <c r="AM2656" s="91"/>
      <c r="AN2656" s="91"/>
      <c r="AO2656" s="105"/>
      <c r="AP2656" s="105"/>
      <c r="AQ2656" s="105"/>
      <c r="AR2656" s="105"/>
      <c r="AS2656" s="105"/>
      <c r="AT2656" s="105">
        <f>IF($AT$2452&gt;0,'Assumptions (Battery)'!V11*Model!$AT$2452*'Assumptions (Battery)'!$AR$2/10^9,0)</f>
        <v>0</v>
      </c>
      <c r="AU2656" s="105">
        <f>IF($AT$2452&gt;0,'Assumptions (Battery)'!W11*Model!$AT$2452*'Assumptions (Battery)'!$AR$2/10^9,0)</f>
        <v>0</v>
      </c>
      <c r="AV2656" s="105">
        <f>IF($AT$2452&gt;0,'Assumptions (Battery)'!X11*Model!$AT$2452*'Assumptions (Battery)'!$AR$2/10^9,0)</f>
        <v>0</v>
      </c>
      <c r="AW2656" s="105">
        <f>IF($AT$2452&gt;0,'Assumptions (Battery)'!Y11*Model!$AT$2452*'Assumptions (Battery)'!$AR$2/10^9,0)</f>
        <v>0</v>
      </c>
      <c r="AX2656" s="105">
        <f>IF($AT$2452&gt;0,'Assumptions (Battery)'!Z11*Model!$AT$2452*'Assumptions (Battery)'!$AR$2/10^9,0)</f>
        <v>0</v>
      </c>
      <c r="AY2656" s="105">
        <f>IF($AT$2452&gt;0,'Assumptions (Battery)'!AA11*Model!$AT$2452*'Assumptions (Battery)'!$AR$2/10^9,0)</f>
        <v>0</v>
      </c>
      <c r="AZ2656" s="105">
        <f>IF($AT$2452&gt;0,'Assumptions (Battery)'!AB11*Model!$AT$2452*'Assumptions (Battery)'!$AR$2/10^9,0)</f>
        <v>0</v>
      </c>
      <c r="BA2656" s="105">
        <f>IF($AT$2452&gt;0,'Assumptions (Battery)'!AC11*Model!$AT$2452*'Assumptions (Battery)'!$AR$2/10^9,0)</f>
        <v>0</v>
      </c>
      <c r="BB2656" s="105">
        <f>IF($AT$2452&gt;0,'Assumptions (Battery)'!AD11*Model!$AT$2452*'Assumptions (Battery)'!$AR$2/10^9,0)</f>
        <v>0</v>
      </c>
      <c r="BC2656" s="105">
        <f>IF($AT$2452&gt;0,'Assumptions (Battery)'!AE11*Model!$AT$2452*'Assumptions (Battery)'!$AR$2/10^9,0)</f>
        <v>0</v>
      </c>
      <c r="BD2656" s="105">
        <f>IF($AT$2452&gt;0,'Assumptions (Battery)'!AF11*Model!$AT$2452*'Assumptions (Battery)'!$AR$2/10^9,0)</f>
        <v>0</v>
      </c>
      <c r="BE2656" s="105">
        <f>IF($AT$2452&gt;0,'Assumptions (Battery)'!AG11*Model!$AT$2452*'Assumptions (Battery)'!$AR$2/10^9,0)</f>
        <v>0</v>
      </c>
      <c r="BF2656" s="105">
        <f>IF($AT$2452&gt;0,'Assumptions (Battery)'!AH11*Model!$AT$2452*'Assumptions (Battery)'!$AR$2/10^9,0)</f>
        <v>0</v>
      </c>
      <c r="BG2656" s="105">
        <f>IF($AT$2452&gt;0,'Assumptions (Battery)'!AI11*Model!$AT$2452*'Assumptions (Battery)'!$AR$2/10^9,0)</f>
        <v>0</v>
      </c>
      <c r="BH2656" s="105">
        <f>IF($AT$2452&gt;0,'Assumptions (Battery)'!AJ11*Model!$AT$2452*'Assumptions (Battery)'!$AR$2/10^9,0)</f>
        <v>0</v>
      </c>
      <c r="BI2656" s="105">
        <f>IF($AT$2452&gt;0,'Assumptions (Battery)'!AK11*Model!$AT$2452*'Assumptions (Battery)'!$AR$2/10^9,0)</f>
        <v>0</v>
      </c>
      <c r="BJ2656" s="105"/>
      <c r="BK2656" s="105"/>
      <c r="BL2656" s="105"/>
      <c r="BM2656" s="105"/>
      <c r="BN2656" s="105"/>
      <c r="BO2656" s="105"/>
      <c r="BP2656" s="105"/>
    </row>
    <row r="2657" spans="1:68" ht="15.75" hidden="1" customHeight="1" outlineLevel="1">
      <c r="A2657" s="454"/>
      <c r="B2657" s="99"/>
      <c r="C2657" s="99"/>
      <c r="D2657" s="99"/>
      <c r="E2657" s="99"/>
      <c r="F2657" s="99"/>
      <c r="G2657" s="99"/>
      <c r="H2657" s="99"/>
      <c r="I2657" s="99"/>
      <c r="J2657" s="99"/>
      <c r="K2657" s="99"/>
      <c r="L2657" s="99"/>
      <c r="M2657" s="99"/>
      <c r="N2657" s="99"/>
      <c r="O2657" s="99"/>
      <c r="P2657" s="99"/>
      <c r="Q2657" s="99"/>
      <c r="R2657" s="99"/>
      <c r="S2657" s="99"/>
      <c r="T2657" s="99"/>
      <c r="U2657" s="99"/>
      <c r="V2657" s="99"/>
      <c r="W2657" s="105"/>
      <c r="X2657" s="105"/>
      <c r="Y2657" s="105"/>
      <c r="Z2657" s="105"/>
      <c r="AA2657" s="105"/>
      <c r="AB2657" s="105"/>
      <c r="AC2657" s="105"/>
      <c r="AD2657" s="105"/>
      <c r="AE2657" s="105"/>
      <c r="AF2657" s="105"/>
      <c r="AG2657" s="105"/>
      <c r="AH2657" s="105"/>
      <c r="AI2657" s="105"/>
      <c r="AJ2657" s="171"/>
      <c r="AK2657" s="105"/>
      <c r="AL2657" s="91"/>
      <c r="AM2657" s="91"/>
      <c r="AN2657" s="91"/>
      <c r="AO2657" s="105"/>
      <c r="AP2657" s="105"/>
      <c r="AQ2657" s="105"/>
      <c r="AR2657" s="105"/>
      <c r="AS2657" s="105"/>
      <c r="AT2657" s="105"/>
      <c r="AU2657" s="105">
        <f>IF($AU$2452&gt;0,'Assumptions (Battery)'!V11*Model!$AU$2452*'Assumptions (Battery)'!$AS$2/10^9,0)</f>
        <v>0</v>
      </c>
      <c r="AV2657" s="105">
        <f>IF($AU$2452&gt;0,'Assumptions (Battery)'!W11*Model!$AU$2452*'Assumptions (Battery)'!$AS$2/10^9,0)</f>
        <v>0</v>
      </c>
      <c r="AW2657" s="105">
        <f>IF($AU$2452&gt;0,'Assumptions (Battery)'!X11*Model!$AU$2452*'Assumptions (Battery)'!$AS$2/10^9,0)</f>
        <v>0</v>
      </c>
      <c r="AX2657" s="105">
        <f>IF($AU$2452&gt;0,'Assumptions (Battery)'!Y11*Model!$AU$2452*'Assumptions (Battery)'!$AS$2/10^9,0)</f>
        <v>0</v>
      </c>
      <c r="AY2657" s="105">
        <f>IF($AU$2452&gt;0,'Assumptions (Battery)'!Z11*Model!$AU$2452*'Assumptions (Battery)'!$AS$2/10^9,0)</f>
        <v>0</v>
      </c>
      <c r="AZ2657" s="105">
        <f>IF($AU$2452&gt;0,'Assumptions (Battery)'!AA11*Model!$AU$2452*'Assumptions (Battery)'!$AS$2/10^9,0)</f>
        <v>0</v>
      </c>
      <c r="BA2657" s="105">
        <f>IF($AU$2452&gt;0,'Assumptions (Battery)'!AB11*Model!$AU$2452*'Assumptions (Battery)'!$AS$2/10^9,0)</f>
        <v>0</v>
      </c>
      <c r="BB2657" s="105">
        <f>IF($AU$2452&gt;0,'Assumptions (Battery)'!AC11*Model!$AU$2452*'Assumptions (Battery)'!$AS$2/10^9,0)</f>
        <v>0</v>
      </c>
      <c r="BC2657" s="105">
        <f>IF($AU$2452&gt;0,'Assumptions (Battery)'!AD11*Model!$AU$2452*'Assumptions (Battery)'!$AS$2/10^9,0)</f>
        <v>0</v>
      </c>
      <c r="BD2657" s="105">
        <f>IF($AU$2452&gt;0,'Assumptions (Battery)'!AE11*Model!$AU$2452*'Assumptions (Battery)'!$AS$2/10^9,0)</f>
        <v>0</v>
      </c>
      <c r="BE2657" s="105">
        <f>IF($AU$2452&gt;0,'Assumptions (Battery)'!AF11*Model!$AU$2452*'Assumptions (Battery)'!$AS$2/10^9,0)</f>
        <v>0</v>
      </c>
      <c r="BF2657" s="105">
        <f>IF($AU$2452&gt;0,'Assumptions (Battery)'!AG11*Model!$AU$2452*'Assumptions (Battery)'!$AS$2/10^9,0)</f>
        <v>0</v>
      </c>
      <c r="BG2657" s="105">
        <f>IF($AU$2452&gt;0,'Assumptions (Battery)'!AH11*Model!$AU$2452*'Assumptions (Battery)'!$AS$2/10^9,0)</f>
        <v>0</v>
      </c>
      <c r="BH2657" s="105">
        <f>IF($AU$2452&gt;0,'Assumptions (Battery)'!AI11*Model!$AU$2452*'Assumptions (Battery)'!$AS$2/10^9,0)</f>
        <v>0</v>
      </c>
      <c r="BI2657" s="105">
        <f>IF($AU$2452&gt;0,'Assumptions (Battery)'!AJ11*Model!$AU$2452*'Assumptions (Battery)'!$AS$2/10^9,0)</f>
        <v>0</v>
      </c>
      <c r="BJ2657" s="105">
        <f>IF($AU$2452&gt;0,'Assumptions (Battery)'!AK11*Model!$AU$2452*'Assumptions (Battery)'!$AS$2/10^9,0)</f>
        <v>0</v>
      </c>
      <c r="BK2657" s="105"/>
      <c r="BL2657" s="105"/>
      <c r="BM2657" s="105"/>
      <c r="BN2657" s="105"/>
      <c r="BO2657" s="105"/>
      <c r="BP2657" s="105"/>
    </row>
    <row r="2658" spans="1:68" ht="15.75" hidden="1" customHeight="1" outlineLevel="1">
      <c r="A2658" s="454"/>
      <c r="B2658" s="99"/>
      <c r="C2658" s="99"/>
      <c r="D2658" s="99"/>
      <c r="E2658" s="99"/>
      <c r="F2658" s="99"/>
      <c r="G2658" s="99"/>
      <c r="H2658" s="99"/>
      <c r="I2658" s="99"/>
      <c r="J2658" s="99"/>
      <c r="K2658" s="99"/>
      <c r="L2658" s="99"/>
      <c r="M2658" s="99"/>
      <c r="N2658" s="99"/>
      <c r="O2658" s="99"/>
      <c r="P2658" s="99"/>
      <c r="Q2658" s="99"/>
      <c r="R2658" s="99"/>
      <c r="S2658" s="99"/>
      <c r="T2658" s="99"/>
      <c r="U2658" s="99"/>
      <c r="V2658" s="99"/>
      <c r="W2658" s="105"/>
      <c r="X2658" s="105"/>
      <c r="Y2658" s="105"/>
      <c r="Z2658" s="105"/>
      <c r="AA2658" s="105"/>
      <c r="AB2658" s="105"/>
      <c r="AC2658" s="105"/>
      <c r="AD2658" s="105"/>
      <c r="AE2658" s="105"/>
      <c r="AF2658" s="105"/>
      <c r="AG2658" s="105"/>
      <c r="AH2658" s="105"/>
      <c r="AI2658" s="105"/>
      <c r="AJ2658" s="171"/>
      <c r="AK2658" s="105"/>
      <c r="AL2658" s="91"/>
      <c r="AM2658" s="91"/>
      <c r="AN2658" s="91"/>
      <c r="AO2658" s="105"/>
      <c r="AP2658" s="105"/>
      <c r="AQ2658" s="105"/>
      <c r="AR2658" s="105"/>
      <c r="AS2658" s="105"/>
      <c r="AT2658" s="105"/>
      <c r="AU2658" s="105"/>
      <c r="AV2658" s="105">
        <f>IF($AV$2452&gt;0,'Assumptions (Battery)'!V11*Model!$AV$2452*'Assumptions (Battery)'!$AT$2/10^9,0)</f>
        <v>0</v>
      </c>
      <c r="AW2658" s="105">
        <f>IF($AV$2452&gt;0,'Assumptions (Battery)'!W11*Model!$AV$2452*'Assumptions (Battery)'!$AT$2/10^9,0)</f>
        <v>0</v>
      </c>
      <c r="AX2658" s="105">
        <f>IF($AV$2452&gt;0,'Assumptions (Battery)'!X11*Model!$AV$2452*'Assumptions (Battery)'!$AT$2/10^9,0)</f>
        <v>0</v>
      </c>
      <c r="AY2658" s="105">
        <f>IF($AV$2452&gt;0,'Assumptions (Battery)'!Y11*Model!$AV$2452*'Assumptions (Battery)'!$AT$2/10^9,0)</f>
        <v>0</v>
      </c>
      <c r="AZ2658" s="105">
        <f>IF($AV$2452&gt;0,'Assumptions (Battery)'!Z11*Model!$AV$2452*'Assumptions (Battery)'!$AT$2/10^9,0)</f>
        <v>0</v>
      </c>
      <c r="BA2658" s="105">
        <f>IF($AV$2452&gt;0,'Assumptions (Battery)'!AA11*Model!$AV$2452*'Assumptions (Battery)'!$AT$2/10^9,0)</f>
        <v>0</v>
      </c>
      <c r="BB2658" s="105">
        <f>IF($AV$2452&gt;0,'Assumptions (Battery)'!AB11*Model!$AV$2452*'Assumptions (Battery)'!$AT$2/10^9,0)</f>
        <v>0</v>
      </c>
      <c r="BC2658" s="105">
        <f>IF($AV$2452&gt;0,'Assumptions (Battery)'!AC11*Model!$AV$2452*'Assumptions (Battery)'!$AT$2/10^9,0)</f>
        <v>0</v>
      </c>
      <c r="BD2658" s="105">
        <f>IF($AV$2452&gt;0,'Assumptions (Battery)'!AD11*Model!$AV$2452*'Assumptions (Battery)'!$AT$2/10^9,0)</f>
        <v>0</v>
      </c>
      <c r="BE2658" s="105">
        <f>IF($AV$2452&gt;0,'Assumptions (Battery)'!AE11*Model!$AV$2452*'Assumptions (Battery)'!$AT$2/10^9,0)</f>
        <v>0</v>
      </c>
      <c r="BF2658" s="105">
        <f>IF($AV$2452&gt;0,'Assumptions (Battery)'!AF11*Model!$AV$2452*'Assumptions (Battery)'!$AT$2/10^9,0)</f>
        <v>0</v>
      </c>
      <c r="BG2658" s="105">
        <f>IF($AV$2452&gt;0,'Assumptions (Battery)'!AG11*Model!$AV$2452*'Assumptions (Battery)'!$AT$2/10^9,0)</f>
        <v>0</v>
      </c>
      <c r="BH2658" s="105">
        <f>IF($AV$2452&gt;0,'Assumptions (Battery)'!AH11*Model!$AV$2452*'Assumptions (Battery)'!$AT$2/10^9,0)</f>
        <v>0</v>
      </c>
      <c r="BI2658" s="105">
        <f>IF($AV$2452&gt;0,'Assumptions (Battery)'!AI11*Model!$AV$2452*'Assumptions (Battery)'!$AT$2/10^9,0)</f>
        <v>0</v>
      </c>
      <c r="BJ2658" s="105">
        <f>IF($AV$2452&gt;0,'Assumptions (Battery)'!AJ11*Model!$AV$2452*'Assumptions (Battery)'!$AT$2/10^9,0)</f>
        <v>0</v>
      </c>
      <c r="BK2658" s="105">
        <f>IF($AV$2452&gt;0,'Assumptions (Battery)'!AK11*Model!$AV$2452*'Assumptions (Battery)'!$AT$2/10^9,0)</f>
        <v>0</v>
      </c>
      <c r="BL2658" s="105"/>
      <c r="BM2658" s="105"/>
      <c r="BN2658" s="105"/>
      <c r="BO2658" s="105"/>
      <c r="BP2658" s="105"/>
    </row>
    <row r="2659" spans="1:68" ht="15.75" hidden="1" customHeight="1" outlineLevel="1">
      <c r="A2659" s="454"/>
      <c r="B2659" s="99"/>
      <c r="C2659" s="99"/>
      <c r="D2659" s="99"/>
      <c r="E2659" s="99"/>
      <c r="F2659" s="99"/>
      <c r="G2659" s="99"/>
      <c r="H2659" s="99"/>
      <c r="I2659" s="99"/>
      <c r="J2659" s="99"/>
      <c r="K2659" s="99"/>
      <c r="L2659" s="99"/>
      <c r="M2659" s="99"/>
      <c r="N2659" s="99"/>
      <c r="O2659" s="99"/>
      <c r="P2659" s="99"/>
      <c r="Q2659" s="99"/>
      <c r="R2659" s="99"/>
      <c r="S2659" s="99"/>
      <c r="T2659" s="99"/>
      <c r="U2659" s="99"/>
      <c r="V2659" s="99"/>
      <c r="W2659" s="105"/>
      <c r="X2659" s="105"/>
      <c r="Y2659" s="105"/>
      <c r="Z2659" s="105"/>
      <c r="AA2659" s="105"/>
      <c r="AB2659" s="105"/>
      <c r="AC2659" s="105"/>
      <c r="AD2659" s="105"/>
      <c r="AE2659" s="105"/>
      <c r="AF2659" s="105"/>
      <c r="AG2659" s="105"/>
      <c r="AH2659" s="105"/>
      <c r="AI2659" s="105"/>
      <c r="AJ2659" s="171"/>
      <c r="AK2659" s="105"/>
      <c r="AL2659" s="91"/>
      <c r="AM2659" s="91"/>
      <c r="AN2659" s="91"/>
      <c r="AO2659" s="105"/>
      <c r="AP2659" s="105"/>
      <c r="AQ2659" s="105"/>
      <c r="AR2659" s="105"/>
      <c r="AS2659" s="105"/>
      <c r="AT2659" s="105"/>
      <c r="AU2659" s="105"/>
      <c r="AV2659" s="105"/>
      <c r="AW2659" s="105">
        <f>IF($AW$2452&gt;0,'Assumptions (Battery)'!V11*Model!$AW$2452*'Assumptions (Battery)'!$AU$2/10^9,0)</f>
        <v>0</v>
      </c>
      <c r="AX2659" s="105">
        <f>IF($AW$2452&gt;0,'Assumptions (Battery)'!W11*Model!$AW$2452*'Assumptions (Battery)'!$AU$2/10^9,0)</f>
        <v>0</v>
      </c>
      <c r="AY2659" s="105">
        <f>IF($AW$2452&gt;0,'Assumptions (Battery)'!X11*Model!$AW$2452*'Assumptions (Battery)'!$AU$2/10^9,0)</f>
        <v>0</v>
      </c>
      <c r="AZ2659" s="105">
        <f>IF($AW$2452&gt;0,'Assumptions (Battery)'!Y11*Model!$AW$2452*'Assumptions (Battery)'!$AU$2/10^9,0)</f>
        <v>0</v>
      </c>
      <c r="BA2659" s="105">
        <f>IF($AW$2452&gt;0,'Assumptions (Battery)'!Z11*Model!$AW$2452*'Assumptions (Battery)'!$AU$2/10^9,0)</f>
        <v>0</v>
      </c>
      <c r="BB2659" s="105">
        <f>IF($AW$2452&gt;0,'Assumptions (Battery)'!AA11*Model!$AW$2452*'Assumptions (Battery)'!$AU$2/10^9,0)</f>
        <v>0</v>
      </c>
      <c r="BC2659" s="105">
        <f>IF($AW$2452&gt;0,'Assumptions (Battery)'!AB11*Model!$AW$2452*'Assumptions (Battery)'!$AU$2/10^9,0)</f>
        <v>0</v>
      </c>
      <c r="BD2659" s="105">
        <f>IF($AW$2452&gt;0,'Assumptions (Battery)'!AC11*Model!$AW$2452*'Assumptions (Battery)'!$AU$2/10^9,0)</f>
        <v>0</v>
      </c>
      <c r="BE2659" s="105">
        <f>IF($AW$2452&gt;0,'Assumptions (Battery)'!AD11*Model!$AW$2452*'Assumptions (Battery)'!$AU$2/10^9,0)</f>
        <v>0</v>
      </c>
      <c r="BF2659" s="105">
        <f>IF($AW$2452&gt;0,'Assumptions (Battery)'!AE11*Model!$AW$2452*'Assumptions (Battery)'!$AU$2/10^9,0)</f>
        <v>0</v>
      </c>
      <c r="BG2659" s="105">
        <f>IF($AW$2452&gt;0,'Assumptions (Battery)'!AF11*Model!$AW$2452*'Assumptions (Battery)'!$AU$2/10^9,0)</f>
        <v>0</v>
      </c>
      <c r="BH2659" s="105">
        <f>IF($AW$2452&gt;0,'Assumptions (Battery)'!AG11*Model!$AW$2452*'Assumptions (Battery)'!$AU$2/10^9,0)</f>
        <v>0</v>
      </c>
      <c r="BI2659" s="105">
        <f>IF($AW$2452&gt;0,'Assumptions (Battery)'!AH11*Model!$AW$2452*'Assumptions (Battery)'!$AU$2/10^9,0)</f>
        <v>0</v>
      </c>
      <c r="BJ2659" s="105">
        <f>IF($AW$2452&gt;0,'Assumptions (Battery)'!AI11*Model!$AW$2452*'Assumptions (Battery)'!$AU$2/10^9,0)</f>
        <v>0</v>
      </c>
      <c r="BK2659" s="105">
        <f>IF($AW$2452&gt;0,'Assumptions (Battery)'!AJ11*Model!$AW$2452*'Assumptions (Battery)'!$AU$2/10^9,0)</f>
        <v>0</v>
      </c>
      <c r="BL2659" s="105">
        <f>IF($AW$2452&gt;0,'Assumptions (Battery)'!AK11*Model!$AW$2452*'Assumptions (Battery)'!$AU$2/10^9,0)</f>
        <v>0</v>
      </c>
      <c r="BM2659" s="105"/>
      <c r="BN2659" s="105"/>
      <c r="BO2659" s="105"/>
      <c r="BP2659" s="105"/>
    </row>
    <row r="2660" spans="1:68" ht="15.75" hidden="1" customHeight="1" outlineLevel="1">
      <c r="A2660" s="454"/>
      <c r="B2660" s="99"/>
      <c r="C2660" s="99"/>
      <c r="D2660" s="99"/>
      <c r="E2660" s="99"/>
      <c r="F2660" s="99"/>
      <c r="G2660" s="99"/>
      <c r="H2660" s="99"/>
      <c r="I2660" s="99"/>
      <c r="J2660" s="99"/>
      <c r="K2660" s="99"/>
      <c r="L2660" s="99"/>
      <c r="M2660" s="99"/>
      <c r="N2660" s="99"/>
      <c r="O2660" s="99"/>
      <c r="P2660" s="99"/>
      <c r="Q2660" s="99"/>
      <c r="R2660" s="99"/>
      <c r="S2660" s="99"/>
      <c r="T2660" s="99"/>
      <c r="U2660" s="99"/>
      <c r="V2660" s="99"/>
      <c r="W2660" s="105"/>
      <c r="X2660" s="105"/>
      <c r="Y2660" s="105"/>
      <c r="Z2660" s="105"/>
      <c r="AA2660" s="105"/>
      <c r="AB2660" s="105"/>
      <c r="AC2660" s="105"/>
      <c r="AD2660" s="105"/>
      <c r="AE2660" s="105"/>
      <c r="AF2660" s="105"/>
      <c r="AG2660" s="105"/>
      <c r="AH2660" s="105"/>
      <c r="AI2660" s="105"/>
      <c r="AJ2660" s="171"/>
      <c r="AK2660" s="105"/>
      <c r="AL2660" s="91"/>
      <c r="AM2660" s="91"/>
      <c r="AN2660" s="91"/>
      <c r="AO2660" s="105"/>
      <c r="AP2660" s="105"/>
      <c r="AQ2660" s="105"/>
      <c r="AR2660" s="105"/>
      <c r="AS2660" s="105"/>
      <c r="AT2660" s="105"/>
      <c r="AU2660" s="105"/>
      <c r="AV2660" s="105"/>
      <c r="AW2660" s="105"/>
      <c r="AX2660" s="105">
        <f>IF($AX$2452&gt;0,'Assumptions (Battery)'!V11*Model!$AX$2452*'Assumptions (Battery)'!$AV$2/10^9,0)</f>
        <v>0</v>
      </c>
      <c r="AY2660" s="105">
        <f>IF($AX$2452&gt;0,'Assumptions (Battery)'!W11*Model!$AX$2452*'Assumptions (Battery)'!$AV$2/10^9,0)</f>
        <v>0</v>
      </c>
      <c r="AZ2660" s="105">
        <f>IF($AX$2452&gt;0,'Assumptions (Battery)'!X11*Model!$AX$2452*'Assumptions (Battery)'!$AV$2/10^9,0)</f>
        <v>0</v>
      </c>
      <c r="BA2660" s="105">
        <f>IF($AX$2452&gt;0,'Assumptions (Battery)'!Y11*Model!$AX$2452*'Assumptions (Battery)'!$AV$2/10^9,0)</f>
        <v>0</v>
      </c>
      <c r="BB2660" s="105">
        <f>IF($AX$2452&gt;0,'Assumptions (Battery)'!Z11*Model!$AX$2452*'Assumptions (Battery)'!$AV$2/10^9,0)</f>
        <v>0</v>
      </c>
      <c r="BC2660" s="105">
        <f>IF($AX$2452&gt;0,'Assumptions (Battery)'!AA11*Model!$AX$2452*'Assumptions (Battery)'!$AV$2/10^9,0)</f>
        <v>0</v>
      </c>
      <c r="BD2660" s="105">
        <f>IF($AX$2452&gt;0,'Assumptions (Battery)'!AB11*Model!$AX$2452*'Assumptions (Battery)'!$AV$2/10^9,0)</f>
        <v>0</v>
      </c>
      <c r="BE2660" s="105">
        <f>IF($AX$2452&gt;0,'Assumptions (Battery)'!AC11*Model!$AX$2452*'Assumptions (Battery)'!$AV$2/10^9,0)</f>
        <v>0</v>
      </c>
      <c r="BF2660" s="105">
        <f>IF($AX$2452&gt;0,'Assumptions (Battery)'!AD11*Model!$AX$2452*'Assumptions (Battery)'!$AV$2/10^9,0)</f>
        <v>0</v>
      </c>
      <c r="BG2660" s="105">
        <f>IF($AX$2452&gt;0,'Assumptions (Battery)'!AE11*Model!$AX$2452*'Assumptions (Battery)'!$AV$2/10^9,0)</f>
        <v>0</v>
      </c>
      <c r="BH2660" s="105">
        <f>IF($AX$2452&gt;0,'Assumptions (Battery)'!AF11*Model!$AX$2452*'Assumptions (Battery)'!$AV$2/10^9,0)</f>
        <v>0</v>
      </c>
      <c r="BI2660" s="105">
        <f>IF($AX$2452&gt;0,'Assumptions (Battery)'!AG11*Model!$AX$2452*'Assumptions (Battery)'!$AV$2/10^9,0)</f>
        <v>0</v>
      </c>
      <c r="BJ2660" s="105">
        <f>IF($AX$2452&gt;0,'Assumptions (Battery)'!AH11*Model!$AX$2452*'Assumptions (Battery)'!$AV$2/10^9,0)</f>
        <v>0</v>
      </c>
      <c r="BK2660" s="105">
        <f>IF($AX$2452&gt;0,'Assumptions (Battery)'!AI11*Model!$AX$2452*'Assumptions (Battery)'!$AV$2/10^9,0)</f>
        <v>0</v>
      </c>
      <c r="BL2660" s="105">
        <f>IF($AX$2452&gt;0,'Assumptions (Battery)'!AJ11*Model!$AX$2452*'Assumptions (Battery)'!$AV$2/10^9,0)</f>
        <v>0</v>
      </c>
      <c r="BM2660" s="105">
        <f>IF($AX$2452&gt;0,'Assumptions (Battery)'!AK11*Model!$AX$2452*'Assumptions (Battery)'!$AV$2/10^9,0)</f>
        <v>0</v>
      </c>
      <c r="BN2660" s="105"/>
      <c r="BO2660" s="105"/>
      <c r="BP2660" s="105"/>
    </row>
    <row r="2661" spans="1:68" ht="15.75" hidden="1" customHeight="1" outlineLevel="1">
      <c r="A2661" s="454"/>
      <c r="B2661" s="99"/>
      <c r="C2661" s="99"/>
      <c r="D2661" s="99"/>
      <c r="E2661" s="99"/>
      <c r="F2661" s="99"/>
      <c r="G2661" s="99"/>
      <c r="H2661" s="99"/>
      <c r="I2661" s="99"/>
      <c r="J2661" s="99"/>
      <c r="K2661" s="99"/>
      <c r="L2661" s="99"/>
      <c r="M2661" s="99"/>
      <c r="N2661" s="99"/>
      <c r="O2661" s="99"/>
      <c r="P2661" s="99"/>
      <c r="Q2661" s="99"/>
      <c r="R2661" s="99"/>
      <c r="S2661" s="99"/>
      <c r="T2661" s="99"/>
      <c r="U2661" s="99"/>
      <c r="V2661" s="99"/>
      <c r="W2661" s="105"/>
      <c r="X2661" s="105"/>
      <c r="Y2661" s="105"/>
      <c r="Z2661" s="105"/>
      <c r="AA2661" s="105"/>
      <c r="AB2661" s="105"/>
      <c r="AC2661" s="105"/>
      <c r="AD2661" s="105"/>
      <c r="AE2661" s="105"/>
      <c r="AF2661" s="105"/>
      <c r="AG2661" s="105"/>
      <c r="AH2661" s="105"/>
      <c r="AI2661" s="105"/>
      <c r="AJ2661" s="171"/>
      <c r="AK2661" s="105"/>
      <c r="AL2661" s="91"/>
      <c r="AM2661" s="91"/>
      <c r="AN2661" s="91"/>
      <c r="AO2661" s="105"/>
      <c r="AP2661" s="105"/>
      <c r="AQ2661" s="105"/>
      <c r="AR2661" s="105"/>
      <c r="AS2661" s="105"/>
      <c r="AT2661" s="105"/>
      <c r="AU2661" s="105"/>
      <c r="AV2661" s="105"/>
      <c r="AW2661" s="105"/>
      <c r="AX2661" s="105"/>
      <c r="AY2661" s="105">
        <f>IF($AY$2452&gt;0,'Assumptions (Battery)'!V11*Model!$AY$2452*'Assumptions (Battery)'!$AW$2/10^9,0)</f>
        <v>0</v>
      </c>
      <c r="AZ2661" s="105">
        <f>IF($AY$2452&gt;0,'Assumptions (Battery)'!W11*Model!$AY$2452*'Assumptions (Battery)'!$AW$2/10^9,0)</f>
        <v>0</v>
      </c>
      <c r="BA2661" s="105">
        <f>IF($AY$2452&gt;0,'Assumptions (Battery)'!X11*Model!$AY$2452*'Assumptions (Battery)'!$AW$2/10^9,0)</f>
        <v>0</v>
      </c>
      <c r="BB2661" s="105">
        <f>IF($AY$2452&gt;0,'Assumptions (Battery)'!Y11*Model!$AY$2452*'Assumptions (Battery)'!$AW$2/10^9,0)</f>
        <v>0</v>
      </c>
      <c r="BC2661" s="105">
        <f>IF($AY$2452&gt;0,'Assumptions (Battery)'!Z11*Model!$AY$2452*'Assumptions (Battery)'!$AW$2/10^9,0)</f>
        <v>0</v>
      </c>
      <c r="BD2661" s="105">
        <f>IF($AY$2452&gt;0,'Assumptions (Battery)'!AA11*Model!$AY$2452*'Assumptions (Battery)'!$AW$2/10^9,0)</f>
        <v>0</v>
      </c>
      <c r="BE2661" s="105">
        <f>IF($AY$2452&gt;0,'Assumptions (Battery)'!AB11*Model!$AY$2452*'Assumptions (Battery)'!$AW$2/10^9,0)</f>
        <v>0</v>
      </c>
      <c r="BF2661" s="105">
        <f>IF($AY$2452&gt;0,'Assumptions (Battery)'!AC11*Model!$AY$2452*'Assumptions (Battery)'!$AW$2/10^9,0)</f>
        <v>0</v>
      </c>
      <c r="BG2661" s="105">
        <f>IF($AY$2452&gt;0,'Assumptions (Battery)'!AD11*Model!$AY$2452*'Assumptions (Battery)'!$AW$2/10^9,0)</f>
        <v>0</v>
      </c>
      <c r="BH2661" s="105">
        <f>IF($AY$2452&gt;0,'Assumptions (Battery)'!AE11*Model!$AY$2452*'Assumptions (Battery)'!$AW$2/10^9,0)</f>
        <v>0</v>
      </c>
      <c r="BI2661" s="105">
        <f>IF($AY$2452&gt;0,'Assumptions (Battery)'!AF11*Model!$AY$2452*'Assumptions (Battery)'!$AW$2/10^9,0)</f>
        <v>0</v>
      </c>
      <c r="BJ2661" s="105">
        <f>IF($AY$2452&gt;0,'Assumptions (Battery)'!AG11*Model!$AY$2452*'Assumptions (Battery)'!$AW$2/10^9,0)</f>
        <v>0</v>
      </c>
      <c r="BK2661" s="105">
        <f>IF($AY$2452&gt;0,'Assumptions (Battery)'!AH11*Model!$AY$2452*'Assumptions (Battery)'!$AW$2/10^9,0)</f>
        <v>0</v>
      </c>
      <c r="BL2661" s="105">
        <f>IF($AY$2452&gt;0,'Assumptions (Battery)'!AI11*Model!$AY$2452*'Assumptions (Battery)'!$AW$2/10^9,0)</f>
        <v>0</v>
      </c>
      <c r="BM2661" s="105">
        <f>IF($AY$2452&gt;0,'Assumptions (Battery)'!AJ11*Model!$AY$2452*'Assumptions (Battery)'!$AW$2/10^9,0)</f>
        <v>0</v>
      </c>
      <c r="BN2661" s="105">
        <f>IF($AY$2452&gt;0,'Assumptions (Battery)'!AK11*Model!$AY$2452*'Assumptions (Battery)'!$AW$2/10^9,0)</f>
        <v>0</v>
      </c>
      <c r="BO2661" s="105"/>
      <c r="BP2661" s="105"/>
    </row>
    <row r="2662" spans="1:68" ht="15.75" hidden="1" customHeight="1" outlineLevel="1">
      <c r="A2662" s="454"/>
      <c r="B2662" s="99"/>
      <c r="C2662" s="99"/>
      <c r="D2662" s="99"/>
      <c r="E2662" s="99"/>
      <c r="F2662" s="99"/>
      <c r="G2662" s="99"/>
      <c r="H2662" s="99"/>
      <c r="I2662" s="99"/>
      <c r="J2662" s="99"/>
      <c r="K2662" s="99"/>
      <c r="L2662" s="99"/>
      <c r="M2662" s="99"/>
      <c r="N2662" s="99"/>
      <c r="O2662" s="99"/>
      <c r="P2662" s="99"/>
      <c r="Q2662" s="99"/>
      <c r="R2662" s="99"/>
      <c r="S2662" s="99"/>
      <c r="T2662" s="99"/>
      <c r="U2662" s="99"/>
      <c r="V2662" s="99"/>
      <c r="W2662" s="105"/>
      <c r="X2662" s="105"/>
      <c r="Y2662" s="105"/>
      <c r="Z2662" s="105"/>
      <c r="AA2662" s="105"/>
      <c r="AB2662" s="105"/>
      <c r="AC2662" s="105"/>
      <c r="AD2662" s="105"/>
      <c r="AE2662" s="105"/>
      <c r="AF2662" s="105"/>
      <c r="AG2662" s="105"/>
      <c r="AH2662" s="105"/>
      <c r="AI2662" s="105"/>
      <c r="AJ2662" s="171"/>
      <c r="AK2662" s="105"/>
      <c r="AL2662" s="91"/>
      <c r="AM2662" s="91"/>
      <c r="AN2662" s="91"/>
      <c r="AO2662" s="105"/>
      <c r="AP2662" s="105"/>
      <c r="AQ2662" s="105"/>
      <c r="AR2662" s="105"/>
      <c r="AS2662" s="105"/>
      <c r="AT2662" s="105"/>
      <c r="AU2662" s="105"/>
      <c r="AV2662" s="105"/>
      <c r="AW2662" s="105"/>
      <c r="AX2662" s="105"/>
      <c r="AY2662" s="105"/>
      <c r="AZ2662" s="105">
        <f>IF($AZ$2452&gt;0,'Assumptions (Battery)'!V11*Model!$AZ$2452*'Assumptions (Battery)'!$AX$2/10^9,0)</f>
        <v>0</v>
      </c>
      <c r="BA2662" s="105">
        <f>IF($AZ$2452&gt;0,'Assumptions (Battery)'!W11*Model!$AZ$2452*'Assumptions (Battery)'!$AX$2/10^9,0)</f>
        <v>0</v>
      </c>
      <c r="BB2662" s="105">
        <f>IF($AZ$2452&gt;0,'Assumptions (Battery)'!X11*Model!$AZ$2452*'Assumptions (Battery)'!$AX$2/10^9,0)</f>
        <v>0</v>
      </c>
      <c r="BC2662" s="105">
        <f>IF($AZ$2452&gt;0,'Assumptions (Battery)'!Y11*Model!$AZ$2452*'Assumptions (Battery)'!$AX$2/10^9,0)</f>
        <v>0</v>
      </c>
      <c r="BD2662" s="105">
        <f>IF($AZ$2452&gt;0,'Assumptions (Battery)'!Z11*Model!$AZ$2452*'Assumptions (Battery)'!$AX$2/10^9,0)</f>
        <v>0</v>
      </c>
      <c r="BE2662" s="105">
        <f>IF($AZ$2452&gt;0,'Assumptions (Battery)'!AA11*Model!$AZ$2452*'Assumptions (Battery)'!$AX$2/10^9,0)</f>
        <v>0</v>
      </c>
      <c r="BF2662" s="105">
        <f>IF($AZ$2452&gt;0,'Assumptions (Battery)'!AB11*Model!$AZ$2452*'Assumptions (Battery)'!$AX$2/10^9,0)</f>
        <v>0</v>
      </c>
      <c r="BG2662" s="105">
        <f>IF($AZ$2452&gt;0,'Assumptions (Battery)'!AC11*Model!$AZ$2452*'Assumptions (Battery)'!$AX$2/10^9,0)</f>
        <v>0</v>
      </c>
      <c r="BH2662" s="105">
        <f>IF($AZ$2452&gt;0,'Assumptions (Battery)'!AD11*Model!$AZ$2452*'Assumptions (Battery)'!$AX$2/10^9,0)</f>
        <v>0</v>
      </c>
      <c r="BI2662" s="105">
        <f>IF($AZ$2452&gt;0,'Assumptions (Battery)'!AE11*Model!$AZ$2452*'Assumptions (Battery)'!$AX$2/10^9,0)</f>
        <v>0</v>
      </c>
      <c r="BJ2662" s="105">
        <f>IF($AZ$2452&gt;0,'Assumptions (Battery)'!AF11*Model!$AZ$2452*'Assumptions (Battery)'!$AX$2/10^9,0)</f>
        <v>0</v>
      </c>
      <c r="BK2662" s="105">
        <f>IF($AZ$2452&gt;0,'Assumptions (Battery)'!AG11*Model!$AZ$2452*'Assumptions (Battery)'!$AX$2/10^9,0)</f>
        <v>0</v>
      </c>
      <c r="BL2662" s="105">
        <f>IF($AZ$2452&gt;0,'Assumptions (Battery)'!AH11*Model!$AZ$2452*'Assumptions (Battery)'!$AX$2/10^9,0)</f>
        <v>0</v>
      </c>
      <c r="BM2662" s="105">
        <f>IF($AZ$2452&gt;0,'Assumptions (Battery)'!AI11*Model!$AZ$2452*'Assumptions (Battery)'!$AX$2/10^9,0)</f>
        <v>0</v>
      </c>
      <c r="BN2662" s="105">
        <f>IF($AZ$2452&gt;0,'Assumptions (Battery)'!AJ11*Model!$AZ$2452*'Assumptions (Battery)'!$AX$2/10^9,0)</f>
        <v>0</v>
      </c>
      <c r="BO2662" s="105">
        <f>IF($AZ$2452&gt;0,'Assumptions (Battery)'!AK11*Model!$AZ$2452*'Assumptions (Battery)'!$AX$2/10^9,0)</f>
        <v>0</v>
      </c>
      <c r="BP2662" s="105"/>
    </row>
    <row r="2663" spans="1:68" ht="15.75" hidden="1" customHeight="1" outlineLevel="1">
      <c r="A2663" s="454"/>
      <c r="B2663" s="99"/>
      <c r="C2663" s="99"/>
      <c r="D2663" s="99"/>
      <c r="E2663" s="99"/>
      <c r="F2663" s="99"/>
      <c r="G2663" s="99"/>
      <c r="H2663" s="99"/>
      <c r="I2663" s="99"/>
      <c r="J2663" s="99"/>
      <c r="K2663" s="99"/>
      <c r="L2663" s="99"/>
      <c r="M2663" s="99"/>
      <c r="N2663" s="99"/>
      <c r="O2663" s="99"/>
      <c r="P2663" s="99"/>
      <c r="Q2663" s="99"/>
      <c r="R2663" s="99"/>
      <c r="S2663" s="99"/>
      <c r="T2663" s="99"/>
      <c r="U2663" s="99"/>
      <c r="V2663" s="99"/>
      <c r="W2663" s="105"/>
      <c r="X2663" s="105"/>
      <c r="Y2663" s="105"/>
      <c r="Z2663" s="105"/>
      <c r="AA2663" s="105"/>
      <c r="AB2663" s="105"/>
      <c r="AC2663" s="105"/>
      <c r="AD2663" s="105"/>
      <c r="AE2663" s="105"/>
      <c r="AF2663" s="105"/>
      <c r="AG2663" s="105"/>
      <c r="AH2663" s="105"/>
      <c r="AI2663" s="105"/>
      <c r="AJ2663" s="171"/>
      <c r="AK2663" s="105"/>
      <c r="AL2663" s="91"/>
      <c r="AM2663" s="91"/>
      <c r="AN2663" s="91"/>
      <c r="AO2663" s="105"/>
      <c r="AP2663" s="105"/>
      <c r="AQ2663" s="105"/>
      <c r="AR2663" s="105"/>
      <c r="AS2663" s="105"/>
      <c r="AT2663" s="105"/>
      <c r="AU2663" s="105"/>
      <c r="AV2663" s="105"/>
      <c r="AW2663" s="105"/>
      <c r="AX2663" s="105"/>
      <c r="AY2663" s="105"/>
      <c r="AZ2663" s="105"/>
      <c r="BA2663" s="105">
        <f>IF($BA$2452&gt;0,'Assumptions (Battery)'!V11*Model!$BA$2452*'Assumptions (Battery)'!$AY$2/10^9,0)</f>
        <v>0</v>
      </c>
      <c r="BB2663" s="105">
        <f>IF($BA$2452&gt;0,'Assumptions (Battery)'!W11*Model!$BA$2452*'Assumptions (Battery)'!$AY$2/10^9,0)</f>
        <v>0</v>
      </c>
      <c r="BC2663" s="105">
        <f>IF($BA$2452&gt;0,'Assumptions (Battery)'!X11*Model!$BA$2452*'Assumptions (Battery)'!$AY$2/10^9,0)</f>
        <v>0</v>
      </c>
      <c r="BD2663" s="105">
        <f>IF($BA$2452&gt;0,'Assumptions (Battery)'!Y11*Model!$BA$2452*'Assumptions (Battery)'!$AY$2/10^9,0)</f>
        <v>0</v>
      </c>
      <c r="BE2663" s="105">
        <f>IF($BA$2452&gt;0,'Assumptions (Battery)'!Z11*Model!$BA$2452*'Assumptions (Battery)'!$AY$2/10^9,0)</f>
        <v>0</v>
      </c>
      <c r="BF2663" s="105">
        <f>IF($BA$2452&gt;0,'Assumptions (Battery)'!AA11*Model!$BA$2452*'Assumptions (Battery)'!$AY$2/10^9,0)</f>
        <v>0</v>
      </c>
      <c r="BG2663" s="105">
        <f>IF($BA$2452&gt;0,'Assumptions (Battery)'!AB11*Model!$BA$2452*'Assumptions (Battery)'!$AY$2/10^9,0)</f>
        <v>0</v>
      </c>
      <c r="BH2663" s="105">
        <f>IF($BA$2452&gt;0,'Assumptions (Battery)'!AC11*Model!$BA$2452*'Assumptions (Battery)'!$AY$2/10^9,0)</f>
        <v>0</v>
      </c>
      <c r="BI2663" s="105">
        <f>IF($BA$2452&gt;0,'Assumptions (Battery)'!AD11*Model!$BA$2452*'Assumptions (Battery)'!$AY$2/10^9,0)</f>
        <v>0</v>
      </c>
      <c r="BJ2663" s="105">
        <f>IF($BA$2452&gt;0,'Assumptions (Battery)'!AE11*Model!$BA$2452*'Assumptions (Battery)'!$AY$2/10^9,0)</f>
        <v>0</v>
      </c>
      <c r="BK2663" s="105">
        <f>IF($BA$2452&gt;0,'Assumptions (Battery)'!AF11*Model!$BA$2452*'Assumptions (Battery)'!$AY$2/10^9,0)</f>
        <v>0</v>
      </c>
      <c r="BL2663" s="105">
        <f>IF($BA$2452&gt;0,'Assumptions (Battery)'!AG11*Model!$BA$2452*'Assumptions (Battery)'!$AY$2/10^9,0)</f>
        <v>0</v>
      </c>
      <c r="BM2663" s="105">
        <f>IF($BA$2452&gt;0,'Assumptions (Battery)'!AH11*Model!$BA$2452*'Assumptions (Battery)'!$AY$2/10^9,0)</f>
        <v>0</v>
      </c>
      <c r="BN2663" s="105">
        <f>IF($BA$2452&gt;0,'Assumptions (Battery)'!AI11*Model!$BA$2452*'Assumptions (Battery)'!$AY$2/10^9,0)</f>
        <v>0</v>
      </c>
      <c r="BO2663" s="105">
        <f>IF($BA$2452&gt;0,'Assumptions (Battery)'!AJ11*Model!$BA$2452*'Assumptions (Battery)'!$AY$2/10^9,0)</f>
        <v>0</v>
      </c>
      <c r="BP2663" s="105">
        <f>IF($BA$2452&gt;0,'Assumptions (Battery)'!AK11*Model!$BA$2452*'Assumptions (Battery)'!$AY$2/10^9,0)</f>
        <v>0</v>
      </c>
    </row>
    <row r="2664" spans="1:68" ht="15.75" customHeight="1" collapsed="1">
      <c r="A2664" s="454" t="s">
        <v>62</v>
      </c>
      <c r="B2664" s="99" t="s">
        <v>201</v>
      </c>
      <c r="C2664" s="105">
        <f>IF(Model!C2450+Model!C2451-C2449-C2612+C2560&gt;0,(1-'Assumptions (Battery)'!B29)*(Model!C2450+Model!C2451-C2449-C2612+C2560)+Model!C2612-C2507+Model!C2508,Model!C2450+Model!C2451-C2449+C2560-C2507+Model!C2508)</f>
        <v>0</v>
      </c>
      <c r="D2664" s="105">
        <f>IF(Model!D2450+Model!D2451-D2449-D2612+D2560&gt;0,(1-'Assumptions (Battery)'!C29)*(Model!D2450+Model!D2451-D2449-D2612+D2560)+Model!D2612-D2507+Model!D2508,Model!D2450+Model!D2451-D2449+D2560-D2507+Model!D2508)</f>
        <v>0</v>
      </c>
      <c r="E2664" s="105">
        <f>IF(Model!E2450+Model!E2451-E2449-E2612+E2560&gt;0,(1-'Assumptions (Battery)'!D29)*(Model!E2450+Model!E2451-E2449-E2612+E2560)+Model!E2612-E2507+Model!E2508,Model!E2450+Model!E2451-E2449+E2560-E2507+Model!E2508)</f>
        <v>0</v>
      </c>
      <c r="F2664" s="105">
        <f>IF(Model!F2450+Model!F2451-F2449-F2612+F2560&gt;0,(1-'Assumptions (Battery)'!E29)*(Model!F2450+Model!F2451-F2449-F2612+F2560)+Model!F2612-F2507+Model!F2508,Model!F2450+Model!F2451-F2449+F2560-F2507+Model!F2508)</f>
        <v>0</v>
      </c>
      <c r="G2664" s="105">
        <f>IF(Model!G2450+Model!G2451-G2449-G2612+G2560&gt;0,(1-'Assumptions (Battery)'!F29)*(Model!G2450+Model!G2451-G2449-G2612+G2560)+Model!G2612-G2507+Model!G2508,Model!G2450+Model!G2451-G2449+G2560-G2507+Model!G2508)</f>
        <v>0</v>
      </c>
      <c r="H2664" s="105">
        <f>IF(Model!H2450+Model!H2451-H2449-H2612+H2560&gt;0,(1-'Assumptions (Battery)'!G29)*(Model!H2450+Model!H2451-H2449-H2612+H2560)+Model!H2612-H2507+Model!H2508,Model!H2450+Model!H2451-H2449+H2560-H2507+Model!H2508)</f>
        <v>0</v>
      </c>
      <c r="I2664" s="105">
        <f>IF(Model!I2450+Model!I2451-I2449-I2612+I2560&gt;0,(1-'Assumptions (Battery)'!H29)*(Model!I2450+Model!I2451-I2449-I2612+I2560)+Model!I2612-I2507+Model!I2508,Model!I2450+Model!I2451-I2449+I2560-I2507+Model!I2508)</f>
        <v>0</v>
      </c>
      <c r="J2664" s="105">
        <f>IF(Model!J2450+Model!J2451-J2449-J2612+J2560&gt;0,(1-'Assumptions (Battery)'!I29)*(Model!J2450+Model!J2451-J2449-J2612+J2560)+Model!J2612-J2507+Model!J2508,Model!J2450+Model!J2451-J2449+J2560-J2507+Model!J2508)</f>
        <v>-2.0531743866126261E-3</v>
      </c>
      <c r="K2664" s="105">
        <f>IF(Model!K2450+Model!K2451-K2449-K2612+K2560&gt;0,(1-'Assumptions (Battery)'!J29)*(Model!K2450+Model!K2451-K2449-K2612+K2560)+Model!K2612-K2507+Model!K2508,Model!K2450+Model!K2451-K2449+K2560-K2507+Model!K2508)</f>
        <v>-4.2803090842770137E-3</v>
      </c>
      <c r="L2664" s="105">
        <f>IF(Model!L2450+Model!L2451-L2449-L2612+L2560&gt;0,(1-'Assumptions (Battery)'!K29)*(Model!L2450+Model!L2451-L2449-L2612+L2560)+Model!L2612-L2507+Model!L2508,Model!L2450+Model!L2451-L2449+L2560-L2507+Model!L2508)</f>
        <v>-4.8210373008155611E-3</v>
      </c>
      <c r="M2664" s="105">
        <f>IF(Model!M2450+Model!M2451-M2449-M2612+M2560&gt;0,(1-'Assumptions (Battery)'!L29)*(Model!M2450+Model!M2451-M2449-M2612+M2560)+Model!M2612-M2507+Model!M2508,Model!M2450+Model!M2451-M2449+M2560-M2507+Model!M2508)</f>
        <v>-3.6640381919555307E-2</v>
      </c>
      <c r="N2664" s="105">
        <f>IF(Model!N2450+Model!N2451-N2449-N2612+N2560&gt;0,(1-'Assumptions (Battery)'!M29)*(Model!N2450+Model!N2451-N2449-N2612+N2560)+Model!N2612-N2507+Model!N2508,Model!N2450+Model!N2451-N2449+N2560-N2507+Model!N2508)</f>
        <v>-5.1747212887527809E-2</v>
      </c>
      <c r="O2664" s="105">
        <f>IF(Model!O2450+Model!O2451-O2449-O2612+O2560&gt;0,(1-'Assumptions (Battery)'!N29)*(Model!O2450+Model!O2451-O2449-O2612+O2560)+Model!O2612-O2507+Model!O2508,Model!O2450+Model!O2451-O2449+O2560-O2507+Model!O2508)</f>
        <v>-2.7332257921340346E-2</v>
      </c>
      <c r="P2664" s="105">
        <f>IF(Model!P2450+Model!P2451-P2449-P2612+P2560&gt;0,(1-'Assumptions (Battery)'!O29)*(Model!P2450+Model!P2451-P2449-P2612+P2560)+Model!P2612-P2507+Model!P2508,Model!P2450+Model!P2451-P2449+P2560-P2507+Model!P2508)</f>
        <v>-4.2285232761435296E-2</v>
      </c>
      <c r="Q2664" s="105">
        <f>IF(Model!Q2450+Model!Q2451-Q2449-Q2612+Q2560&gt;0,(1-'Assumptions (Battery)'!P29)*(Model!Q2450+Model!Q2451-Q2449-Q2612+Q2560)+Model!Q2612-Q2507+Model!Q2508,Model!Q2450+Model!Q2451-Q2449+Q2560-Q2507+Model!Q2508)</f>
        <v>-0.18551145853210022</v>
      </c>
      <c r="R2664" s="105">
        <f>IF(Model!R2450+Model!R2451-R2449-R2612+R2560&gt;0,(1-'Assumptions (Battery)'!Q29)*(Model!R2450+Model!R2451-R2449-R2612+R2560)+Model!R2612-R2507+Model!R2508,Model!R2450+Model!R2451-R2449+R2560-R2507+Model!R2508)</f>
        <v>-0.26901562613708241</v>
      </c>
      <c r="S2664" s="105">
        <f>IF(Model!S2450+Model!S2451-S2449-S2612+S2560&gt;0,(1-'Assumptions (Battery)'!R29)*(Model!S2450+Model!S2451-S2449-S2612+S2560)+Model!S2612-S2507+Model!S2508,Model!S2450+Model!S2451-S2449+S2560-S2507+Model!S2508)</f>
        <v>-0.19158211258909172</v>
      </c>
      <c r="T2664" s="105">
        <f>IF(Model!T2450+Model!T2451-T2449-T2612+T2560&gt;0,(1-'Assumptions (Battery)'!S29)*(Model!T2450+Model!T2451-T2449-T2612+T2560)+Model!T2612-T2507+Model!T2508,Model!T2450+Model!T2451-T2449+T2560-T2507+Model!T2508)</f>
        <v>-0.23444896409752045</v>
      </c>
      <c r="U2664" s="105">
        <f>IF(Model!U2450+Model!U2451-U2449-U2612+U2560&gt;0,(1-'Assumptions (Battery)'!T29)*(Model!U2450+Model!U2451-U2449-U2612+U2560)+Model!U2612-U2507+Model!U2508,Model!U2450+Model!U2451-U2449+U2560-U2507+Model!U2508)</f>
        <v>-0.34568946265382611</v>
      </c>
      <c r="V2664" s="105">
        <f>IF(Model!V2450+Model!V2451-V2449-V2612+V2560&gt;0,(1-'Assumptions (Battery)'!U29)*(Model!V2450+Model!V2451-V2449-V2612+V2560)+Model!V2612-V2507+Model!V2508,Model!V2450+Model!V2451-V2449+V2560-V2507+Model!V2508)</f>
        <v>-0.64885747577928932</v>
      </c>
      <c r="W2664" s="105">
        <f>IF(Model!W2450+Model!W2451-W2449-W2612+W2560&gt;0,(1-'Assumptions (Battery)'!V29)*(Model!W2450+Model!W2451-W2449-W2612+W2560)+Model!W2612-W2507+Model!W2508,Model!W2450+Model!W2451-W2449+W2560-W2507+Model!W2508)</f>
        <v>-0.16911220751505657</v>
      </c>
      <c r="X2664" s="105">
        <f>IF(Model!X2450+Model!X2451-X2449-X2612+X2560&gt;0,(1-'Assumptions (Battery)'!W29)*(Model!X2450+Model!X2451-X2449-X2612+X2560)+Model!X2612-X2507+Model!X2508,Model!X2450+Model!X2451-X2449+X2560-X2507+Model!X2508)</f>
        <v>-0.16662346125228053</v>
      </c>
      <c r="Y2664" s="105">
        <f>IF(Model!Y2450+Model!Y2451-Y2449-Y2612+Y2560&gt;0,(1-'Assumptions (Battery)'!X29)*(Model!Y2450+Model!Y2451-Y2449-Y2612+Y2560)+Model!Y2612-Y2507+Model!Y2508,Model!Y2450+Model!Y2451-Y2449+Y2560-Y2507+Model!Y2508)</f>
        <v>-0.16338121166886457</v>
      </c>
      <c r="Z2664" s="105">
        <f>IF(Model!Z2450+Model!Z2451-Z2449-Z2612+Z2560&gt;0,(1-'Assumptions (Battery)'!Y29)*(Model!Z2450+Model!Z2451-Z2449-Z2612+Z2560)+Model!Z2612-Z2507+Model!Z2508,Model!Z2450+Model!Z2451-Z2449+Z2560-Z2507+Model!Z2508)</f>
        <v>-0.16033728818943269</v>
      </c>
      <c r="AA2664" s="105">
        <f>IF(Model!AA2450+Model!AA2451-AA2449-AA2612+AA2560&gt;0,(1-'Assumptions (Battery)'!Z29)*(Model!AA2450+Model!AA2451-AA2449-AA2612+AA2560)+Model!AA2612-AA2507+Model!AA2508,Model!AA2450+Model!AA2451-AA2449+AA2560-AA2507+Model!AA2508)</f>
        <v>-0.15639772980974051</v>
      </c>
      <c r="AB2664" s="105">
        <f>IF(Model!AB2450+Model!AB2451-AB2449-AB2612+AB2560&gt;0,(1-'Assumptions (Battery)'!AA29)*(Model!AB2450+Model!AB2451-AB2449-AB2612+AB2560)+Model!AB2612-AB2507+Model!AB2508,Model!AB2450+Model!AB2451-AB2449+AB2560-AB2507+Model!AB2508)</f>
        <v>-0.14613891143802565</v>
      </c>
      <c r="AC2664" s="105">
        <f>IF(Model!AC2450+Model!AC2451-AC2449-AC2612+AC2560&gt;0,(1-'Assumptions (Battery)'!AB29)*(Model!AC2450+Model!AC2451-AC2449-AC2612+AC2560)+Model!AC2612-AC2507+Model!AC2508,Model!AC2450+Model!AC2451-AC2449+AC2560-AC2507+Model!AC2508)</f>
        <v>-0.13481527309433136</v>
      </c>
      <c r="AD2664" s="105">
        <f>IF(Model!AD2450+Model!AD2451-AD2449-AD2612+AD2560&gt;0,(1-'Assumptions (Battery)'!AC29)*(Model!AD2450+Model!AD2451-AD2449-AD2612+AD2560)+Model!AD2612-AD2507+Model!AD2508,Model!AD2450+Model!AD2451-AD2449+AD2560-AD2507+Model!AD2508)</f>
        <v>-0.12678574193941805</v>
      </c>
      <c r="AE2664" s="105">
        <f>IF(Model!AE2450+Model!AE2451-AE2449-AE2612+AE2560&gt;0,(1-'Assumptions (Battery)'!AD29)*(Model!AE2450+Model!AE2451-AE2449-AE2612+AE2560)+Model!AE2612-AE2507+Model!AE2508,Model!AE2450+Model!AE2451-AE2449+AE2560-AE2507+Model!AE2508)</f>
        <v>-0.11791025591809501</v>
      </c>
      <c r="AF2664" s="105">
        <f>IF(Model!AF2450+Model!AF2451-AF2449-AF2612+AF2560&gt;0,(1-'Assumptions (Battery)'!AE29)*(Model!AF2450+Model!AF2451-AF2449-AF2612+AF2560)+Model!AF2612-AF2507+Model!AF2508,Model!AF2450+Model!AF2451-AF2449+AF2560-AF2507+Model!AF2508)</f>
        <v>-0.10534779473590283</v>
      </c>
      <c r="AG2664" s="105">
        <f>IF(Model!AG2450+Model!AG2451-AG2449-AG2612+AG2560&gt;0,(1-'Assumptions (Battery)'!AF29)*(Model!AG2450+Model!AG2451-AG2449-AG2612+AG2560)+Model!AG2612-AG2507+Model!AG2508,Model!AG2450+Model!AG2451-AG2449+AG2560-AG2507+Model!AG2508)</f>
        <v>-8.2809611367649624E-2</v>
      </c>
      <c r="AH2664" s="105">
        <f>IF(Model!AH2450+Model!AH2451-AH2449-AH2612+AH2560&gt;0,(1-'Assumptions (Battery)'!AG29)*(Model!AH2450+Model!AH2451-AH2449-AH2612+AH2560)+Model!AH2612-AH2507+Model!AH2508,Model!AH2450+Model!AH2451-AH2449+AH2560-AH2507+Model!AH2508)</f>
        <v>-7.9454629243724595E-2</v>
      </c>
      <c r="AI2664" s="105">
        <f>IF(Model!AI2450+Model!AI2451-AI2449-AI2612+AI2560&gt;0,(1-'Assumptions (Battery)'!AH29)*(Model!AI2450+Model!AI2451-AI2449-AI2612+AI2560)+Model!AI2612-AI2507+Model!AI2508,Model!AI2450+Model!AI2451-AI2449+AI2560-AI2507+Model!AI2508)</f>
        <v>-7.6407899536089716E-2</v>
      </c>
      <c r="AJ2664" s="105">
        <f>IF(Model!AJ2450+Model!AJ2451-AJ2449-AJ2612+AJ2560&gt;0,(1-'Assumptions (Battery)'!AI29)*(Model!AJ2450+Model!AJ2451-AJ2449-AJ2612+AJ2560)+Model!AJ2612-AJ2507+Model!AJ2508,Model!AJ2450+Model!AJ2451-AJ2449+AJ2560-AJ2507+Model!AJ2508)</f>
        <v>-7.3303580283207104E-2</v>
      </c>
      <c r="AK2664" s="105">
        <f>IF(Model!AK2450+Model!AK2451-AK2449-AK2612+AK2560&gt;0,(1-'Assumptions (Battery)'!AJ29)*(Model!AK2450+Model!AK2451-AK2449-AK2612+AK2560)+Model!AK2612-AK2507+Model!AK2508,Model!AK2450+Model!AK2451-AK2449+AK2560-AK2507+Model!AK2508)</f>
        <v>-7.0080291715327106E-2</v>
      </c>
      <c r="AL2664" s="105">
        <f>IF(Model!AL2450+Model!AL2451-AL2449-AL2612+AL2560&gt;0,(1-'Assumptions (Battery)'!AK29)*(Model!AL2450+Model!AL2451-AL2449-AL2612+AL2560)+Model!AL2612-AL2507+Model!AL2508,Model!AL2450+Model!AL2451-AL2449+AL2560-AL2507+Model!AL2508)</f>
        <v>-6.6623127387141934E-2</v>
      </c>
      <c r="AM2664" s="105">
        <f>IF(Model!AM2450+Model!AM2451-AM2449-AM2612+AM2560&gt;0,(1-'Assumptions (Battery)'!AL29)*(Model!AM2450+Model!AM2451-AM2449-AM2612+AM2560)+Model!AM2612-AM2507+Model!AM2508,Model!AM2450+Model!AM2451-AM2449+AM2560-AM2507+Model!AM2508)</f>
        <v>-6.2764769045252522E-2</v>
      </c>
      <c r="AN2664" s="105">
        <f>IF(Model!AN2450+Model!AN2451-AN2449-AN2612+AN2560&gt;0,(1-'Assumptions (Battery)'!AM29)*(Model!AN2450+Model!AN2451-AN2449-AN2612+AN2560)+Model!AN2612-AN2507+Model!AN2508,Model!AN2450+Model!AN2451-AN2449+AN2560-AN2507+Model!AN2508)</f>
        <v>-5.8902285803175219E-2</v>
      </c>
      <c r="AO2664" s="105">
        <f>IF(Model!AO2450+Model!AO2451-AO2449-AO2612+AO2560&gt;0,(1-'Assumptions (Battery)'!AN29)*(Model!AO2450+Model!AO2451-AO2449-AO2612+AO2560)+Model!AO2612-AO2507+Model!AO2508,Model!AO2450+Model!AO2451-AO2449+AO2560-AO2507+Model!AO2508)</f>
        <v>-5.4767800747902981E-2</v>
      </c>
      <c r="AP2664" s="105">
        <f>IF(Model!AP2450+Model!AP2451-AP2449-AP2612+AP2560&gt;0,(1-'Assumptions (Battery)'!AO29)*(Model!AP2450+Model!AP2451-AP2449-AP2612+AP2560)+Model!AP2612-AP2507+Model!AP2508,Model!AP2450+Model!AP2451-AP2449+AP2560-AP2507+Model!AP2508)</f>
        <v>-5.0574109772653822E-2</v>
      </c>
      <c r="AQ2664" s="105">
        <f>IF(Model!AQ2450+Model!AQ2451-AQ2449-AQ2612+AQ2560&gt;0,(1-'Assumptions (Battery)'!AP29)*(Model!AQ2450+Model!AQ2451-AQ2449-AQ2612+AQ2560)+Model!AQ2612-AQ2507+Model!AQ2508,Model!AQ2450+Model!AQ2451-AQ2449+AQ2560-AQ2507+Model!AQ2508)</f>
        <v>-4.642578074372674E-2</v>
      </c>
      <c r="AR2664" s="105">
        <f>IF(Model!AR2450+Model!AR2451-AR2449-AR2612+AR2560&gt;0,(1-'Assumptions (Battery)'!AQ29)*(Model!AR2450+Model!AR2451-AR2449-AR2612+AR2560)+Model!AR2612-AR2507+Model!AR2508,Model!AR2450+Model!AR2451-AR2449+AR2560-AR2507+Model!AR2508)</f>
        <v>-4.2237295570667938E-2</v>
      </c>
      <c r="AS2664" s="105">
        <f>IF(Model!AS2450+Model!AS2451-AS2449-AS2612+AS2560&gt;0,(1-'Assumptions (Battery)'!AR29)*(Model!AS2450+Model!AS2451-AS2449-AS2612+AS2560)+Model!AS2612-AS2507+Model!AS2508,Model!AS2450+Model!AS2451-AS2449+AS2560-AS2507+Model!AS2508)</f>
        <v>-3.7977909571566972E-2</v>
      </c>
      <c r="AT2664" s="105">
        <f>IF(Model!AT2450+Model!AT2451-AT2449-AT2612+AT2560&gt;0,(1-'Assumptions (Battery)'!AS29)*(Model!AT2450+Model!AT2451-AT2449-AT2612+AT2560)+Model!AT2612-AT2507+Model!AT2508,Model!AT2450+Model!AT2451-AT2449+AT2560-AT2507+Model!AT2508)</f>
        <v>-3.3583042441751983E-2</v>
      </c>
      <c r="AU2664" s="105">
        <f>IF(Model!AU2450+Model!AU2451-AU2449-AU2612+AU2560&gt;0,(1-'Assumptions (Battery)'!AT29)*(Model!AU2450+Model!AU2451-AU2449-AU2612+AU2560)+Model!AU2612-AU2507+Model!AU2508,Model!AU2450+Model!AU2451-AU2449+AU2560-AU2507+Model!AU2508)</f>
        <v>-2.9057110122099945E-2</v>
      </c>
      <c r="AV2664" s="105">
        <f>IF(Model!AV2450+Model!AV2451-AV2449-AV2612+AV2560&gt;0,(1-'Assumptions (Battery)'!AU29)*(Model!AV2450+Model!AV2451-AV2449-AV2612+AV2560)+Model!AV2612-AV2507+Model!AV2508,Model!AV2450+Model!AV2451-AV2449+AV2560-AV2507+Model!AV2508)</f>
        <v>-2.4439627965125034E-2</v>
      </c>
      <c r="AW2664" s="105">
        <f>IF(Model!AW2450+Model!AW2451-AW2449-AW2612+AW2560&gt;0,(1-'Assumptions (Battery)'!AV29)*(Model!AW2450+Model!AW2451-AW2449-AW2612+AW2560)+Model!AW2612-AW2507+Model!AW2508,Model!AW2450+Model!AW2451-AW2449+AW2560-AW2507+Model!AW2508)</f>
        <v>-1.9789860409619966E-2</v>
      </c>
      <c r="AX2664" s="105">
        <f>IF(Model!AX2450+Model!AX2451-AX2449-AX2612+AX2560&gt;0,(1-'Assumptions (Battery)'!AW29)*(Model!AX2450+Model!AX2451-AX2449-AX2612+AX2560)+Model!AX2612-AX2507+Model!AX2508,Model!AX2450+Model!AX2451-AX2449+AX2560-AX2507+Model!AX2508)</f>
        <v>-1.4958103794236226E-2</v>
      </c>
      <c r="AY2664" s="105">
        <f>IF(Model!AY2450+Model!AY2451-AY2449-AY2612+AY2560&gt;0,(1-'Assumptions (Battery)'!AX29)*(Model!AY2450+Model!AY2451-AY2449-AY2612+AY2560)+Model!AY2612-AY2507+Model!AY2508,Model!AY2450+Model!AY2451-AY2449+AY2560-AY2507+Model!AY2508)</f>
        <v>-9.8582087616654601E-3</v>
      </c>
      <c r="AZ2664" s="105">
        <f>IF(Model!AZ2450+Model!AZ2451-AZ2449-AZ2612+AZ2560&gt;0,(1-'Assumptions (Battery)'!AY29)*(Model!AZ2450+Model!AZ2451-AZ2449-AZ2612+AZ2560)+Model!AZ2612-AZ2507+Model!AZ2508,Model!AZ2450+Model!AZ2451-AZ2449+AZ2560-AZ2507+Model!AZ2508)</f>
        <v>-4.9329664580260906E-3</v>
      </c>
      <c r="BA2664" s="105">
        <f>IF(Model!BA2450+Model!BA2451-BA2449-BA2612+BA2560&gt;0,(1-'Assumptions (Battery)'!AZ29)*(Model!BA2450+Model!BA2451-BA2449-BA2612+BA2560)+Model!BA2612-BA2507+Model!BA2508,Model!BA2450+Model!BA2451-BA2449+BA2560-BA2507+Model!BA2508)</f>
        <v>0</v>
      </c>
    </row>
    <row r="2665" spans="1:68" ht="15.75" customHeight="1">
      <c r="A2665" s="454" t="s">
        <v>64</v>
      </c>
      <c r="B2665" s="99" t="s">
        <v>201</v>
      </c>
      <c r="C2665" s="105">
        <f>IF(C2450+C2451-C2449-C2612+C2560&gt;0,'Assumptions (Battery)'!B29*(C2450+C2451-C2449-C2612+C2560)-'Assumptions (Battery)'!B30*Model!C2448/10^3,'Assumptions (Battery)'!B30*Model!C2448/10^3)</f>
        <v>0</v>
      </c>
      <c r="D2665" s="105">
        <f>IF(D2450+D2451-D2449-D2612+D2560&gt;0,'Assumptions (Battery)'!C29*(D2450+D2451-D2449-D2612+D2560)-'Assumptions (Battery)'!C30*Model!D2448/10^3,'Assumptions (Battery)'!C30*Model!D2448/10^3)</f>
        <v>0</v>
      </c>
      <c r="E2665" s="105">
        <f>IF(E2450+E2451-E2449-E2612+E2560&gt;0,'Assumptions (Battery)'!D29*(E2450+E2451-E2449-E2612+E2560)-'Assumptions (Battery)'!D30*Model!E2448/10^3,'Assumptions (Battery)'!D30*Model!E2448/10^3)</f>
        <v>0</v>
      </c>
      <c r="F2665" s="105">
        <f>IF(F2450+F2451-F2449-F2612+F2560&gt;0,'Assumptions (Battery)'!E29*(F2450+F2451-F2449-F2612+F2560)-'Assumptions (Battery)'!E30*Model!F2448/10^3,'Assumptions (Battery)'!E30*Model!F2448/10^3)</f>
        <v>0</v>
      </c>
      <c r="G2665" s="105">
        <f>IF(G2450+G2451-G2449-G2612+G2560&gt;0,'Assumptions (Battery)'!F29*(G2450+G2451-G2449-G2612+G2560)-'Assumptions (Battery)'!F30*Model!G2448/10^3,'Assumptions (Battery)'!F30*Model!G2448/10^3)</f>
        <v>0</v>
      </c>
      <c r="H2665" s="105">
        <f>IF(H2450+H2451-H2449-H2612+H2560&gt;0,'Assumptions (Battery)'!G29*(H2450+H2451-H2449-H2612+H2560)-'Assumptions (Battery)'!G30*Model!H2448/10^3,'Assumptions (Battery)'!G30*Model!H2448/10^3)</f>
        <v>0</v>
      </c>
      <c r="I2665" s="105">
        <f>IF(I2450+I2451-I2449-I2612+I2560&gt;0,'Assumptions (Battery)'!H29*(I2450+I2451-I2449-I2612+I2560)-'Assumptions (Battery)'!H30*Model!I2448/10^3,'Assumptions (Battery)'!H30*Model!I2448/10^3)</f>
        <v>0</v>
      </c>
      <c r="J2665" s="105">
        <f>IF(J2450+J2451-J2449-J2612+J2560&gt;0,'Assumptions (Battery)'!I29*(J2450+J2451-J2449-J2612+J2560)-'Assumptions (Battery)'!I30*Model!J2448/10^3,'Assumptions (Battery)'!I30*Model!J2448/10^3)</f>
        <v>0</v>
      </c>
      <c r="K2665" s="105">
        <f>IF(K2450+K2451-K2449-K2612+K2560&gt;0,'Assumptions (Battery)'!J29*(K2450+K2451-K2449-K2612+K2560)-'Assumptions (Battery)'!J30*Model!K2448/10^3,'Assumptions (Battery)'!J30*Model!K2448/10^3)</f>
        <v>0</v>
      </c>
      <c r="L2665" s="105">
        <f>IF(L2450+L2451-L2449-L2612+L2560&gt;0,'Assumptions (Battery)'!K29*(L2450+L2451-L2449-L2612+L2560)-'Assumptions (Battery)'!K30*Model!L2448/10^3,'Assumptions (Battery)'!K30*Model!L2448/10^3)</f>
        <v>0</v>
      </c>
      <c r="M2665" s="105">
        <f>IF(M2450+M2451-M2449-M2612+M2560&gt;0,'Assumptions (Battery)'!L29*(M2450+M2451-M2449-M2612+M2560)-'Assumptions (Battery)'!L30*Model!M2448/10^3,'Assumptions (Battery)'!L30*Model!M2448/10^3)</f>
        <v>0</v>
      </c>
      <c r="N2665" s="105">
        <f>IF(N2450+N2451-N2449-N2612+N2560&gt;0,'Assumptions (Battery)'!M29*(N2450+N2451-N2449-N2612+N2560)-'Assumptions (Battery)'!M30*Model!N2448/10^3,'Assumptions (Battery)'!M30*Model!N2448/10^3)</f>
        <v>0</v>
      </c>
      <c r="O2665" s="105">
        <f>IF(O2450+O2451-O2449-O2612+O2560&gt;0,'Assumptions (Battery)'!N29*(O2450+O2451-O2449-O2612+O2560)-'Assumptions (Battery)'!N30*Model!O2448/10^3,'Assumptions (Battery)'!N30*Model!O2448/10^3)</f>
        <v>0</v>
      </c>
      <c r="P2665" s="105">
        <f>IF(P2450+P2451-P2449-P2612+P2560&gt;0,'Assumptions (Battery)'!O29*(P2450+P2451-P2449-P2612+P2560)-'Assumptions (Battery)'!O30*Model!P2448/10^3,'Assumptions (Battery)'!O30*Model!P2448/10^3)</f>
        <v>0</v>
      </c>
      <c r="Q2665" s="105">
        <f>IF(Q2450+Q2451-Q2449-Q2612+Q2560&gt;0,'Assumptions (Battery)'!P29*(Q2450+Q2451-Q2449-Q2612+Q2560)-'Assumptions (Battery)'!P30*Model!Q2448/10^3,'Assumptions (Battery)'!P30*Model!Q2448/10^3)</f>
        <v>0</v>
      </c>
      <c r="R2665" s="105">
        <f>IF(R2450+R2451-R2449-R2612+R2560&gt;0,'Assumptions (Battery)'!Q29*(R2450+R2451-R2449-R2612+R2560)-'Assumptions (Battery)'!Q30*Model!R2448/10^3,'Assumptions (Battery)'!Q30*Model!R2448/10^3)</f>
        <v>0</v>
      </c>
      <c r="S2665" s="105">
        <f>IF(S2450+S2451-S2449-S2612+S2560&gt;0,'Assumptions (Battery)'!R29*(S2450+S2451-S2449-S2612+S2560)-'Assumptions (Battery)'!R30*Model!S2448/10^3,'Assumptions (Battery)'!R30*Model!S2448/10^3)</f>
        <v>0</v>
      </c>
      <c r="T2665" s="105">
        <f>IF(T2450+T2451-T2449-T2612+T2560&gt;0,'Assumptions (Battery)'!S29*(T2450+T2451-T2449-T2612+T2560)-'Assumptions (Battery)'!S30*Model!T2448/10^3,'Assumptions (Battery)'!S30*Model!T2448/10^3)</f>
        <v>0</v>
      </c>
      <c r="U2665" s="105">
        <f>IF(U2450+U2451-U2449-U2612+U2560&gt;0,'Assumptions (Battery)'!T29*(U2450+U2451-U2449-U2612+U2560)-'Assumptions (Battery)'!T30*Model!U2448/10^3,'Assumptions (Battery)'!T30*Model!U2448/10^3)</f>
        <v>0</v>
      </c>
      <c r="V2665" s="105">
        <f>IF(V2450+V2451-V2449-V2612+V2560&gt;0,'Assumptions (Battery)'!U29*(V2450+V2451-V2449-V2612+V2560)-'Assumptions (Battery)'!U30*Model!V2448/10^3,'Assumptions (Battery)'!U30*Model!V2448/10^3)</f>
        <v>0</v>
      </c>
      <c r="W2665" s="105">
        <f>IF(W2450+W2451-W2449-W2612+W2560&gt;0,'Assumptions (Battery)'!V29*(W2450+W2451-W2449-W2612+W2560)-'Assumptions (Battery)'!V30*Model!W2448/10^3,'Assumptions (Battery)'!V30*Model!W2448/10^3)</f>
        <v>0</v>
      </c>
      <c r="X2665" s="105">
        <f>IF(X2450+X2451-X2449-X2612+X2560&gt;0,'Assumptions (Battery)'!W29*(X2450+X2451-X2449-X2612+X2560)-'Assumptions (Battery)'!W30*Model!X2448/10^3,'Assumptions (Battery)'!W30*Model!X2448/10^3)</f>
        <v>0</v>
      </c>
      <c r="Y2665" s="105">
        <f>IF(Y2450+Y2451-Y2449-Y2612+Y2560&gt;0,'Assumptions (Battery)'!X29*(Y2450+Y2451-Y2449-Y2612+Y2560)-'Assumptions (Battery)'!X30*Model!Y2448/10^3,'Assumptions (Battery)'!X30*Model!Y2448/10^3)</f>
        <v>0</v>
      </c>
      <c r="Z2665" s="105">
        <f>IF(Z2450+Z2451-Z2449-Z2612+Z2560&gt;0,'Assumptions (Battery)'!Y29*(Z2450+Z2451-Z2449-Z2612+Z2560)-'Assumptions (Battery)'!Y30*Model!Z2448/10^3,'Assumptions (Battery)'!Y30*Model!Z2448/10^3)</f>
        <v>0</v>
      </c>
      <c r="AA2665" s="105">
        <f>IF(AA2450+AA2451-AA2449-AA2612+AA2560&gt;0,'Assumptions (Battery)'!Z29*(AA2450+AA2451-AA2449-AA2612+AA2560)-'Assumptions (Battery)'!Z30*Model!AA2448/10^3,'Assumptions (Battery)'!Z30*Model!AA2448/10^3)</f>
        <v>0</v>
      </c>
      <c r="AB2665" s="105">
        <f>IF(AB2450+AB2451-AB2449-AB2612+AB2560&gt;0,'Assumptions (Battery)'!AA29*(AB2450+AB2451-AB2449-AB2612+AB2560)-'Assumptions (Battery)'!AA30*Model!AB2448/10^3,'Assumptions (Battery)'!AA30*Model!AB2448/10^3)</f>
        <v>0</v>
      </c>
      <c r="AC2665" s="105">
        <f>IF(AC2450+AC2451-AC2449-AC2612+AC2560&gt;0,'Assumptions (Battery)'!AB29*(AC2450+AC2451-AC2449-AC2612+AC2560)-'Assumptions (Battery)'!AB30*Model!AC2448/10^3,'Assumptions (Battery)'!AB30*Model!AC2448/10^3)</f>
        <v>0</v>
      </c>
      <c r="AD2665" s="105">
        <f>IF(AD2450+AD2451-AD2449-AD2612+AD2560&gt;0,'Assumptions (Battery)'!AC29*(AD2450+AD2451-AD2449-AD2612+AD2560)-'Assumptions (Battery)'!AC30*Model!AD2448/10^3,'Assumptions (Battery)'!AC30*Model!AD2448/10^3)</f>
        <v>0</v>
      </c>
      <c r="AE2665" s="105">
        <f>IF(AE2450+AE2451-AE2449-AE2612+AE2560&gt;0,'Assumptions (Battery)'!AD29*(AE2450+AE2451-AE2449-AE2612+AE2560)-'Assumptions (Battery)'!AD30*Model!AE2448/10^3,'Assumptions (Battery)'!AD30*Model!AE2448/10^3)</f>
        <v>0</v>
      </c>
      <c r="AF2665" s="105">
        <f>IF(AF2450+AF2451-AF2449-AF2612+AF2560&gt;0,'Assumptions (Battery)'!AE29*(AF2450+AF2451-AF2449-AF2612+AF2560)-'Assumptions (Battery)'!AE30*Model!AF2448/10^3,'Assumptions (Battery)'!AE30*Model!AF2448/10^3)</f>
        <v>0</v>
      </c>
      <c r="AG2665" s="105">
        <f>IF(AG2450+AG2451-AG2449-AG2612+AG2560&gt;0,'Assumptions (Battery)'!AF29*(AG2450+AG2451-AG2449-AG2612+AG2560)-'Assumptions (Battery)'!AF30*Model!AG2448/10^3,'Assumptions (Battery)'!AF30*Model!AG2448/10^3)</f>
        <v>0</v>
      </c>
      <c r="AH2665" s="105">
        <f>IF(AH2450+AH2451-AH2449-AH2612+AH2560&gt;0,'Assumptions (Battery)'!AG29*(AH2450+AH2451-AH2449-AH2612+AH2560)-'Assumptions (Battery)'!AG30*Model!AH2448/10^3,'Assumptions (Battery)'!AG30*Model!AH2448/10^3)</f>
        <v>0</v>
      </c>
      <c r="AI2665" s="105">
        <f>IF(AI2450+AI2451-AI2449-AI2612+AI2560&gt;0,'Assumptions (Battery)'!AH29*(AI2450+AI2451-AI2449-AI2612+AI2560)-'Assumptions (Battery)'!AH30*Model!AI2448/10^3,'Assumptions (Battery)'!AH30*Model!AI2448/10^3)</f>
        <v>0</v>
      </c>
      <c r="AJ2665" s="105">
        <f>IF(AJ2450+AJ2451-AJ2449-AJ2612+AJ2560&gt;0,'Assumptions (Battery)'!AI29*(AJ2450+AJ2451-AJ2449-AJ2612+AJ2560)-'Assumptions (Battery)'!AI30*Model!AJ2448/10^3,'Assumptions (Battery)'!AI30*Model!AJ2448/10^3)</f>
        <v>0</v>
      </c>
      <c r="AK2665" s="105">
        <f>IF(AK2450+AK2451-AK2449-AK2612+AK2560&gt;0,'Assumptions (Battery)'!AJ29*(AK2450+AK2451-AK2449-AK2612+AK2560)-'Assumptions (Battery)'!AJ30*Model!AK2448/10^3,'Assumptions (Battery)'!AJ30*Model!AK2448/10^3)</f>
        <v>0</v>
      </c>
      <c r="AL2665" s="105">
        <f>IF(AL2450+AL2451-AL2449-AL2612+AL2560&gt;0,'Assumptions (Battery)'!AK29*(AL2450+AL2451-AL2449-AL2612+AL2560)-'Assumptions (Battery)'!AK30*Model!AL2448/10^3,'Assumptions (Battery)'!AK30*Model!AL2448/10^3)</f>
        <v>0</v>
      </c>
      <c r="AM2665" s="105">
        <f>IF(AM2450+AM2451-AM2449-AM2612+AM2560&gt;0,'Assumptions (Battery)'!AL29*(AM2450+AM2451-AM2449-AM2612+AM2560)-'Assumptions (Battery)'!AL30*Model!AM2448/10^3,'Assumptions (Battery)'!AL30*Model!AM2448/10^3)</f>
        <v>0</v>
      </c>
      <c r="AN2665" s="105">
        <f>IF(AN2450+AN2451-AN2449-AN2612+AN2560&gt;0,'Assumptions (Battery)'!AM29*(AN2450+AN2451-AN2449-AN2612+AN2560)-'Assumptions (Battery)'!AM30*Model!AN2448/10^3,'Assumptions (Battery)'!AM30*Model!AN2448/10^3)</f>
        <v>0</v>
      </c>
      <c r="AO2665" s="105">
        <f>IF(AO2450+AO2451-AO2449-AO2612+AO2560&gt;0,'Assumptions (Battery)'!AN29*(AO2450+AO2451-AO2449-AO2612+AO2560)-'Assumptions (Battery)'!AN30*Model!AO2448/10^3,'Assumptions (Battery)'!AN30*Model!AO2448/10^3)</f>
        <v>0</v>
      </c>
      <c r="AP2665" s="105">
        <f>IF(AP2450+AP2451-AP2449-AP2612+AP2560&gt;0,'Assumptions (Battery)'!AO29*(AP2450+AP2451-AP2449-AP2612+AP2560)-'Assumptions (Battery)'!AO30*Model!AP2448/10^3,'Assumptions (Battery)'!AO30*Model!AP2448/10^3)</f>
        <v>0</v>
      </c>
      <c r="AQ2665" s="105">
        <f>IF(AQ2450+AQ2451-AQ2449-AQ2612+AQ2560&gt;0,'Assumptions (Battery)'!AP29*(AQ2450+AQ2451-AQ2449-AQ2612+AQ2560)-'Assumptions (Battery)'!AP30*Model!AQ2448/10^3,'Assumptions (Battery)'!AP30*Model!AQ2448/10^3)</f>
        <v>0</v>
      </c>
      <c r="AR2665" s="105">
        <f>IF(AR2450+AR2451-AR2449-AR2612+AR2560&gt;0,'Assumptions (Battery)'!AQ29*(AR2450+AR2451-AR2449-AR2612+AR2560)-'Assumptions (Battery)'!AQ30*Model!AR2448/10^3,'Assumptions (Battery)'!AQ30*Model!AR2448/10^3)</f>
        <v>0</v>
      </c>
      <c r="AS2665" s="105">
        <f>IF(AS2450+AS2451-AS2449-AS2612+AS2560&gt;0,'Assumptions (Battery)'!AR29*(AS2450+AS2451-AS2449-AS2612+AS2560)-'Assumptions (Battery)'!AR30*Model!AS2448/10^3,'Assumptions (Battery)'!AR30*Model!AS2448/10^3)</f>
        <v>0</v>
      </c>
      <c r="AT2665" s="105">
        <f>IF(AT2450+AT2451-AT2449-AT2612+AT2560&gt;0,'Assumptions (Battery)'!AS29*(AT2450+AT2451-AT2449-AT2612+AT2560)-'Assumptions (Battery)'!AS30*Model!AT2448/10^3,'Assumptions (Battery)'!AS30*Model!AT2448/10^3)</f>
        <v>0</v>
      </c>
      <c r="AU2665" s="105">
        <f>IF(AU2450+AU2451-AU2449-AU2612+AU2560&gt;0,'Assumptions (Battery)'!AT29*(AU2450+AU2451-AU2449-AU2612+AU2560)-'Assumptions (Battery)'!AT30*Model!AU2448/10^3,'Assumptions (Battery)'!AT30*Model!AU2448/10^3)</f>
        <v>0</v>
      </c>
      <c r="AV2665" s="105">
        <f>IF(AV2450+AV2451-AV2449-AV2612+AV2560&gt;0,'Assumptions (Battery)'!AU29*(AV2450+AV2451-AV2449-AV2612+AV2560)-'Assumptions (Battery)'!AU30*Model!AV2448/10^3,'Assumptions (Battery)'!AU30*Model!AV2448/10^3)</f>
        <v>0</v>
      </c>
      <c r="AW2665" s="105">
        <f>IF(AW2450+AW2451-AW2449-AW2612+AW2560&gt;0,'Assumptions (Battery)'!AV29*(AW2450+AW2451-AW2449-AW2612+AW2560)-'Assumptions (Battery)'!AV30*Model!AW2448/10^3,'Assumptions (Battery)'!AV30*Model!AW2448/10^3)</f>
        <v>0</v>
      </c>
      <c r="AX2665" s="105">
        <f>IF(AX2450+AX2451-AX2449-AX2612+AX2560&gt;0,'Assumptions (Battery)'!AW29*(AX2450+AX2451-AX2449-AX2612+AX2560)-'Assumptions (Battery)'!AW30*Model!AX2448/10^3,'Assumptions (Battery)'!AW30*Model!AX2448/10^3)</f>
        <v>0</v>
      </c>
      <c r="AY2665" s="105">
        <f>IF(AY2450+AY2451-AY2449-AY2612+AY2560&gt;0,'Assumptions (Battery)'!AX29*(AY2450+AY2451-AY2449-AY2612+AY2560)-'Assumptions (Battery)'!AX30*Model!AY2448/10^3,'Assumptions (Battery)'!AX30*Model!AY2448/10^3)</f>
        <v>0</v>
      </c>
      <c r="AZ2665" s="105">
        <f>IF(AZ2450+AZ2451-AZ2449-AZ2612+AZ2560&gt;0,'Assumptions (Battery)'!AY29*(AZ2450+AZ2451-AZ2449-AZ2612+AZ2560)-'Assumptions (Battery)'!AY30*Model!AZ2448/10^3,'Assumptions (Battery)'!AY30*Model!AZ2448/10^3)</f>
        <v>0</v>
      </c>
      <c r="BA2665" s="105">
        <f>IF(BA2450+BA2451-BA2449-BA2612+BA2560&gt;0,'Assumptions (Battery)'!AZ29*(BA2450+BA2451-BA2449-BA2612+BA2560)-'Assumptions (Battery)'!AZ30*Model!BA2448/10^3,'Assumptions (Battery)'!AZ30*Model!BA2448/10^3)</f>
        <v>0</v>
      </c>
    </row>
    <row r="2666" spans="1:68" ht="15.75" customHeight="1">
      <c r="A2666" s="454" t="s">
        <v>66</v>
      </c>
      <c r="B2666" s="43"/>
      <c r="C2666" s="99"/>
      <c r="D2666" s="99"/>
      <c r="E2666" s="99"/>
      <c r="F2666" s="99"/>
      <c r="G2666" s="99"/>
      <c r="H2666" s="99"/>
      <c r="I2666" s="99"/>
      <c r="J2666" s="99"/>
      <c r="K2666" s="99"/>
      <c r="L2666" s="99"/>
      <c r="M2666" s="99"/>
      <c r="N2666" s="99"/>
      <c r="O2666" s="99"/>
      <c r="P2666" s="99"/>
      <c r="Q2666" s="99"/>
      <c r="R2666" s="99"/>
      <c r="S2666" s="99"/>
      <c r="T2666" s="99"/>
      <c r="U2666" s="99"/>
      <c r="V2666" s="99"/>
      <c r="W2666" s="86"/>
    </row>
    <row r="2667" spans="1:68" ht="15.75" customHeight="1">
      <c r="A2667" s="459" t="s">
        <v>883</v>
      </c>
      <c r="B2667" s="42"/>
      <c r="C2667" s="42"/>
      <c r="D2667" s="42"/>
      <c r="E2667" s="42"/>
      <c r="F2667" s="42"/>
      <c r="G2667" s="42"/>
      <c r="H2667" s="42"/>
      <c r="I2667" s="42"/>
      <c r="J2667" s="42"/>
      <c r="K2667" s="42"/>
      <c r="L2667" s="42"/>
      <c r="M2667" s="42"/>
      <c r="N2667" s="42"/>
      <c r="O2667" s="42"/>
      <c r="P2667" s="42"/>
      <c r="Q2667" s="42"/>
      <c r="R2667" s="42"/>
      <c r="S2667" s="42"/>
      <c r="T2667" s="42"/>
      <c r="U2667" s="42"/>
      <c r="V2667" s="42"/>
      <c r="W2667" s="86"/>
    </row>
    <row r="2668" spans="1:68" ht="15.75" customHeight="1">
      <c r="A2668" s="460" t="s">
        <v>851</v>
      </c>
      <c r="B2668" s="99" t="s">
        <v>201</v>
      </c>
      <c r="C2668" s="147">
        <f>SUM('Assumptions (T&amp;D)'!B3:B6)/(1-'Assumptions (T&amp;D)'!B13)</f>
        <v>5.3055170257142859</v>
      </c>
      <c r="D2668" s="147">
        <f>SUM('Assumptions (T&amp;D)'!C3:C6)/(1-'Assumptions (T&amp;D)'!C13)</f>
        <v>5.814344713333333</v>
      </c>
      <c r="E2668" s="147">
        <f>SUM('Assumptions (T&amp;D)'!D3:D6)/(1-'Assumptions (T&amp;D)'!D13)</f>
        <v>6.4614309710144937</v>
      </c>
      <c r="F2668" s="147">
        <f>SUM('Assumptions (T&amp;D)'!E3:E6)/(1-'Assumptions (T&amp;D)'!E13)</f>
        <v>6.8075723571428579</v>
      </c>
      <c r="G2668" s="147">
        <f>SUM('Assumptions (T&amp;D)'!F3:F6)/(1-'Assumptions (T&amp;D)'!F13)</f>
        <v>8.209594655882352</v>
      </c>
      <c r="H2668" s="147">
        <f>SUM('Assumptions (T&amp;D)'!G3:G6)/(1-'Assumptions (T&amp;D)'!G13)</f>
        <v>10.226615742647059</v>
      </c>
      <c r="I2668" s="147">
        <f>SUM('Assumptions (T&amp;D)'!H3:H6)/(1-'Assumptions (T&amp;D)'!H13)</f>
        <v>11.484015935294119</v>
      </c>
      <c r="J2668" s="147">
        <f>SUM('Assumptions (T&amp;D)'!I3:I6)/(1-'Assumptions (T&amp;D)'!I13)</f>
        <v>11.54739885</v>
      </c>
      <c r="K2668" s="147">
        <f>SUM('Assumptions (T&amp;D)'!J3:J6)/(1-'Assumptions (T&amp;D)'!J13)</f>
        <v>12.992197630882355</v>
      </c>
      <c r="L2668" s="147">
        <f>SUM('Assumptions (T&amp;D)'!K3:K6)/(1-'Assumptions (T&amp;D)'!K13)</f>
        <v>12.807635620588236</v>
      </c>
      <c r="M2668" s="147">
        <f>SUM('Assumptions (T&amp;D)'!L3:L6)/(1-'Assumptions (T&amp;D)'!L13)</f>
        <v>13.703259858823527</v>
      </c>
      <c r="N2668" s="147">
        <f>SUM('Assumptions (T&amp;D)'!M3:M6)/(1-'Assumptions (T&amp;D)'!M13)</f>
        <v>13.698314686764705</v>
      </c>
      <c r="O2668" s="147">
        <f>SUM('Assumptions (T&amp;D)'!N3:N6)/(1-'Assumptions (T&amp;D)'!N13)</f>
        <v>14.346350069117646</v>
      </c>
      <c r="P2668" s="147">
        <f>SUM('Assumptions (T&amp;D)'!O3:O6)/(1-'Assumptions (T&amp;D)'!O13)</f>
        <v>15.617027407352943</v>
      </c>
      <c r="Q2668" s="147">
        <f>SUM('Assumptions (T&amp;D)'!P3:P6)/(1-'Assumptions (T&amp;D)'!P13)</f>
        <v>17.531651294117648</v>
      </c>
      <c r="R2668" s="147">
        <f>SUM('Assumptions (T&amp;D)'!Q3:Q6)/(1-'Assumptions (T&amp;D)'!Q13)</f>
        <v>18.79365007352941</v>
      </c>
      <c r="S2668" s="147">
        <f>SUM('Assumptions (T&amp;D)'!R3:R6)/(1-'Assumptions (T&amp;D)'!R13)</f>
        <v>20.166027836764709</v>
      </c>
      <c r="T2668" s="147">
        <f>SUM('Assumptions (T&amp;D)'!S3:S6)/(1-'Assumptions (T&amp;D)'!S13)</f>
        <v>19.71914234391506</v>
      </c>
      <c r="U2668" s="147">
        <f>SUM('Assumptions (T&amp;D)'!T3:T6)/(1-'Assumptions (T&amp;D)'!T13)</f>
        <v>19.726242671150352</v>
      </c>
      <c r="V2668" s="147">
        <f>SUM('Assumptions (T&amp;D)'!U3:U6)/(1-'Assumptions (T&amp;D)'!U13)</f>
        <v>19.733916323244472</v>
      </c>
      <c r="W2668" s="147">
        <f>SUM('Assumptions (T&amp;D)'!V3:V6)/(1-'Assumptions (T&amp;D)'!V13)</f>
        <v>19.733578877522117</v>
      </c>
      <c r="X2668" s="147">
        <f>SUM('Assumptions (T&amp;D)'!W3:W6)/(1-'Assumptions (T&amp;D)'!W13)</f>
        <v>19.731201358537646</v>
      </c>
      <c r="Y2668" s="147">
        <f>SUM('Assumptions (T&amp;D)'!X3:X6)/(1-'Assumptions (T&amp;D)'!X13)</f>
        <v>19.728816314873932</v>
      </c>
      <c r="Z2668" s="147">
        <f>SUM('Assumptions (T&amp;D)'!Y3:Y6)/(1-'Assumptions (T&amp;D)'!Y13)</f>
        <v>19.730751109065707</v>
      </c>
      <c r="AA2668" s="147">
        <f>SUM('Assumptions (T&amp;D)'!Z3:Z6)/(1-'Assumptions (T&amp;D)'!Z13)</f>
        <v>19.731652796648774</v>
      </c>
      <c r="AB2668" s="147">
        <f>SUM('Assumptions (T&amp;D)'!AA3:AA6)/(1-'Assumptions (T&amp;D)'!AA13)</f>
        <v>19.731200091329637</v>
      </c>
      <c r="AC2668" s="147">
        <f>SUM('Assumptions (T&amp;D)'!AB3:AB6)/(1-'Assumptions (T&amp;D)'!AB13)</f>
        <v>19.730724334091139</v>
      </c>
      <c r="AD2668" s="147">
        <f>SUM('Assumptions (T&amp;D)'!AC3:AC6)/(1-'Assumptions (T&amp;D)'!AC13)</f>
        <v>19.730628929201838</v>
      </c>
      <c r="AE2668" s="147">
        <f>SUM('Assumptions (T&amp;D)'!AD3:AD6)/(1-'Assumptions (T&amp;D)'!AD13)</f>
        <v>19.730991452067414</v>
      </c>
      <c r="AF2668" s="147">
        <f>SUM('Assumptions (T&amp;D)'!AE3:AE6)/(1-'Assumptions (T&amp;D)'!AE13)</f>
        <v>19.73103952066776</v>
      </c>
      <c r="AG2668" s="147">
        <f>SUM('Assumptions (T&amp;D)'!AF3:AF6)/(1-'Assumptions (T&amp;D)'!AF13)</f>
        <v>19.730916865471556</v>
      </c>
      <c r="AH2668" s="147">
        <f>SUM('Assumptions (T&amp;D)'!AG3:AG6)/(1-'Assumptions (T&amp;D)'!AG13)</f>
        <v>19.730860220299942</v>
      </c>
      <c r="AI2668" s="147">
        <f>SUM('Assumptions (T&amp;D)'!AH3:AH6)/(1-'Assumptions (T&amp;D)'!AH13)</f>
        <v>19.7308873975417</v>
      </c>
      <c r="AJ2668" s="147">
        <f>SUM('Assumptions (T&amp;D)'!AI3:AI6)/(1-'Assumptions (T&amp;D)'!AI13)</f>
        <v>19.730939091209677</v>
      </c>
      <c r="AK2668" s="147">
        <f>SUM('Assumptions (T&amp;D)'!AJ3:AJ6)/(1-'Assumptions (T&amp;D)'!AJ13)</f>
        <v>19.730928619038128</v>
      </c>
      <c r="AL2668" s="147">
        <f>SUM('Assumptions (T&amp;D)'!AK3:AK6)/(1-'Assumptions (T&amp;D)'!AK13)</f>
        <v>19.7309064387122</v>
      </c>
      <c r="AM2668" s="147">
        <f>SUM('Assumptions (T&amp;D)'!AL3:AL6)/(1-'Assumptions (T&amp;D)'!AL13)</f>
        <v>19.730904353360334</v>
      </c>
      <c r="AN2668" s="147">
        <f>SUM('Assumptions (T&amp;D)'!AM3:AM6)/(1-'Assumptions (T&amp;D)'!AM13)</f>
        <v>19.730913179972408</v>
      </c>
      <c r="AO2668" s="147">
        <f>SUM('Assumptions (T&amp;D)'!AN3:AN6)/(1-'Assumptions (T&amp;D)'!AN13)</f>
        <v>19.730918336458551</v>
      </c>
      <c r="AP2668" s="147">
        <f>SUM('Assumptions (T&amp;D)'!AO3:AO6)/(1-'Assumptions (T&amp;D)'!AO13)</f>
        <v>19.730914185508325</v>
      </c>
      <c r="AQ2668" s="147">
        <f>SUM('Assumptions (T&amp;D)'!AP3:AP6)/(1-'Assumptions (T&amp;D)'!AP13)</f>
        <v>19.730911298802361</v>
      </c>
      <c r="AR2668" s="147">
        <f>SUM('Assumptions (T&amp;D)'!AQ3:AQ6)/(1-'Assumptions (T&amp;D)'!AQ13)</f>
        <v>19.730912270820394</v>
      </c>
      <c r="AS2668" s="147">
        <f>SUM('Assumptions (T&amp;D)'!AR3:AR6)/(1-'Assumptions (T&amp;D)'!AR13)</f>
        <v>19.730913854312409</v>
      </c>
      <c r="AT2668" s="147">
        <f>SUM('Assumptions (T&amp;D)'!AS3:AS6)/(1-'Assumptions (T&amp;D)'!AS13)</f>
        <v>19.730913989180408</v>
      </c>
      <c r="AU2668" s="147">
        <f>SUM('Assumptions (T&amp;D)'!AT3:AT6)/(1-'Assumptions (T&amp;D)'!AT13)</f>
        <v>19.730913119724779</v>
      </c>
      <c r="AV2668" s="147">
        <f>SUM('Assumptions (T&amp;D)'!AU3:AU6)/(1-'Assumptions (T&amp;D)'!AU13)</f>
        <v>19.730912906568072</v>
      </c>
      <c r="AW2668" s="147">
        <f>SUM('Assumptions (T&amp;D)'!AV3:AV6)/(1-'Assumptions (T&amp;D)'!AV13)</f>
        <v>19.73091322812121</v>
      </c>
      <c r="AX2668" s="147">
        <f>SUM('Assumptions (T&amp;D)'!AW3:AW6)/(1-'Assumptions (T&amp;D)'!AW13)</f>
        <v>19.730913419581373</v>
      </c>
      <c r="AY2668" s="147">
        <f>SUM('Assumptions (T&amp;D)'!AX3:AX6)/(1-'Assumptions (T&amp;D)'!AX13)</f>
        <v>19.730913332635168</v>
      </c>
      <c r="AZ2668" s="147">
        <f>SUM('Assumptions (T&amp;D)'!AY3:AY6)/(1-'Assumptions (T&amp;D)'!AY13)</f>
        <v>19.730913201326121</v>
      </c>
      <c r="BA2668" s="147">
        <f>SUM('Assumptions (T&amp;D)'!AZ3:AZ6)/(1-'Assumptions (T&amp;D)'!AZ13)</f>
        <v>19.730913217646389</v>
      </c>
    </row>
    <row r="2669" spans="1:68" ht="15.75" customHeight="1">
      <c r="A2669" s="461" t="s">
        <v>884</v>
      </c>
      <c r="B2669" s="99" t="s">
        <v>201</v>
      </c>
      <c r="C2669" s="199">
        <f>'Assumptions (T&amp;D)'!B7/(1-'Assumptions (T&amp;D)'!B13)</f>
        <v>96.650053080000021</v>
      </c>
      <c r="D2669" s="147">
        <f>'Assumptions (T&amp;D)'!C7/(1-'Assumptions (T&amp;D)'!C13)</f>
        <v>92.799376882666664</v>
      </c>
      <c r="E2669" s="147">
        <f>'Assumptions (T&amp;D)'!D7/(1-'Assumptions (T&amp;D)'!D13)</f>
        <v>100.4709322130435</v>
      </c>
      <c r="F2669" s="147">
        <f>'Assumptions (T&amp;D)'!E7/(1-'Assumptions (T&amp;D)'!E13)</f>
        <v>104.42436980714285</v>
      </c>
      <c r="G2669" s="147">
        <f>'Assumptions (T&amp;D)'!F7/(1-'Assumptions (T&amp;D)'!F13)</f>
        <v>111.89588069852941</v>
      </c>
      <c r="H2669" s="147">
        <f>'Assumptions (T&amp;D)'!G7/(1-'Assumptions (T&amp;D)'!G13)</f>
        <v>115.93240898382355</v>
      </c>
      <c r="I2669" s="147">
        <f>'Assumptions (T&amp;D)'!H7/(1-'Assumptions (T&amp;D)'!H13)</f>
        <v>121.28839213823531</v>
      </c>
      <c r="J2669" s="147">
        <f>'Assumptions (T&amp;D)'!I7/(1-'Assumptions (T&amp;D)'!I13)</f>
        <v>129.76225759558824</v>
      </c>
      <c r="K2669" s="147">
        <f>'Assumptions (T&amp;D)'!J7/(1-'Assumptions (T&amp;D)'!J13)</f>
        <v>138.20377372500002</v>
      </c>
      <c r="L2669" s="147">
        <f>'Assumptions (T&amp;D)'!K7/(1-'Assumptions (T&amp;D)'!K13)</f>
        <v>149.44257267500001</v>
      </c>
      <c r="M2669" s="147">
        <f>'Assumptions (T&amp;D)'!L7/(1-'Assumptions (T&amp;D)'!L13)</f>
        <v>160.99429967500004</v>
      </c>
      <c r="N2669" s="147">
        <f>'Assumptions (T&amp;D)'!M7/(1-'Assumptions (T&amp;D)'!M13)</f>
        <v>174.15782579705885</v>
      </c>
      <c r="O2669" s="147">
        <f>'Assumptions (T&amp;D)'!N7/(1-'Assumptions (T&amp;D)'!N13)</f>
        <v>188.08534858529413</v>
      </c>
      <c r="P2669" s="147">
        <f>'Assumptions (T&amp;D)'!O7/(1-'Assumptions (T&amp;D)'!O13)</f>
        <v>207.8591028867647</v>
      </c>
      <c r="Q2669" s="147">
        <f>'Assumptions (T&amp;D)'!P7/(1-'Assumptions (T&amp;D)'!P13)</f>
        <v>230.6432832632353</v>
      </c>
      <c r="R2669" s="147">
        <f>'Assumptions (T&amp;D)'!Q7/(1-'Assumptions (T&amp;D)'!Q13)</f>
        <v>257.05628943529416</v>
      </c>
      <c r="S2669" s="147">
        <f>'Assumptions (T&amp;D)'!R7/(1-'Assumptions (T&amp;D)'!R13)</f>
        <v>284.49042742058828</v>
      </c>
      <c r="T2669" s="147">
        <f t="shared" ref="T2669:BA2669" si="62">S2669-S2670+S2671</f>
        <v>309.44633097985411</v>
      </c>
      <c r="U2669" s="147">
        <f t="shared" si="62"/>
        <v>331.34929110912503</v>
      </c>
      <c r="V2669" s="147">
        <f t="shared" si="62"/>
        <v>353.95857256012329</v>
      </c>
      <c r="W2669" s="147">
        <f t="shared" si="62"/>
        <v>376.83487152455672</v>
      </c>
      <c r="X2669" s="147">
        <f t="shared" si="62"/>
        <v>400.4218017939512</v>
      </c>
      <c r="Y2669" s="147">
        <f t="shared" si="62"/>
        <v>423.21894328839363</v>
      </c>
      <c r="Z2669" s="147">
        <f t="shared" si="62"/>
        <v>445.61333164862862</v>
      </c>
      <c r="AA2669" s="147">
        <f t="shared" si="62"/>
        <v>469.71219176009106</v>
      </c>
      <c r="AB2669" s="147">
        <f t="shared" si="62"/>
        <v>493.72442520191873</v>
      </c>
      <c r="AC2669" s="147">
        <f t="shared" si="62"/>
        <v>515.52131397555127</v>
      </c>
      <c r="AD2669" s="147">
        <f t="shared" si="62"/>
        <v>538.85145105071695</v>
      </c>
      <c r="AE2669" s="147">
        <f t="shared" si="62"/>
        <v>564.11842926017789</v>
      </c>
      <c r="AF2669" s="147">
        <f t="shared" si="62"/>
        <v>589.64899692214192</v>
      </c>
      <c r="AG2669" s="147">
        <f t="shared" si="62"/>
        <v>614.34020113439408</v>
      </c>
      <c r="AH2669" s="147">
        <f t="shared" si="62"/>
        <v>641.87116936344455</v>
      </c>
      <c r="AI2669" s="147">
        <f t="shared" si="62"/>
        <v>667.81014339036551</v>
      </c>
      <c r="AJ2669" s="147">
        <f t="shared" si="62"/>
        <v>691.70688495950117</v>
      </c>
      <c r="AK2669" s="147">
        <f t="shared" si="62"/>
        <v>717.08127061096525</v>
      </c>
      <c r="AL2669" s="147">
        <f t="shared" si="62"/>
        <v>743.07421750276319</v>
      </c>
      <c r="AM2669" s="147">
        <f t="shared" si="62"/>
        <v>765.71792759953337</v>
      </c>
      <c r="AN2669" s="147">
        <f t="shared" si="62"/>
        <v>788.63796867705662</v>
      </c>
      <c r="AO2669" s="147">
        <f t="shared" si="62"/>
        <v>814.57537189599191</v>
      </c>
      <c r="AP2669" s="147">
        <f t="shared" si="62"/>
        <v>840.53789331359633</v>
      </c>
      <c r="AQ2669" s="147">
        <f t="shared" si="62"/>
        <v>865.43612137261221</v>
      </c>
      <c r="AR2669" s="147">
        <f t="shared" si="62"/>
        <v>892.59417983288665</v>
      </c>
      <c r="AS2669" s="147">
        <f t="shared" si="62"/>
        <v>917.94986355457388</v>
      </c>
      <c r="AT2669" s="147">
        <f t="shared" si="62"/>
        <v>942.34049288041399</v>
      </c>
      <c r="AU2669" s="147">
        <f t="shared" si="62"/>
        <v>962.45743982890758</v>
      </c>
      <c r="AV2669" s="147">
        <f t="shared" si="62"/>
        <v>982.57458080211643</v>
      </c>
      <c r="AW2669" s="147">
        <f t="shared" si="62"/>
        <v>1002.691991771048</v>
      </c>
      <c r="AX2669" s="147">
        <f t="shared" si="62"/>
        <v>1022.809439961421</v>
      </c>
      <c r="AY2669" s="147">
        <f t="shared" si="62"/>
        <v>1042.9267631765993</v>
      </c>
      <c r="AZ2669" s="147">
        <f t="shared" si="62"/>
        <v>1063.0440063771482</v>
      </c>
      <c r="BA2669" s="147">
        <f t="shared" si="62"/>
        <v>1083.161258626604</v>
      </c>
    </row>
    <row r="2670" spans="1:68" ht="15.75" customHeight="1">
      <c r="A2670" s="460" t="s">
        <v>885</v>
      </c>
      <c r="B2670" s="99" t="s">
        <v>201</v>
      </c>
      <c r="C2670" s="199">
        <f>'Assumptions (T&amp;D)'!B8/(1-'Assumptions (T&amp;D)'!B13)</f>
        <v>0.50273703999999997</v>
      </c>
      <c r="D2670" s="147">
        <f>'Assumptions (T&amp;D)'!C8/(1-'Assumptions (T&amp;D)'!C13)</f>
        <v>1.4725782613333334</v>
      </c>
      <c r="E2670" s="147">
        <f>'Assumptions (T&amp;D)'!D8/(1-'Assumptions (T&amp;D)'!D13)</f>
        <v>0.60386605217391309</v>
      </c>
      <c r="F2670" s="147">
        <f>'Assumptions (T&amp;D)'!E8/(1-'Assumptions (T&amp;D)'!E13)</f>
        <v>0.61382716571428575</v>
      </c>
      <c r="G2670" s="147">
        <f>'Assumptions (T&amp;D)'!F8/(1-'Assumptions (T&amp;D)'!F13)</f>
        <v>0.59957376176470589</v>
      </c>
      <c r="H2670" s="147">
        <f>'Assumptions (T&amp;D)'!G8/(1-'Assumptions (T&amp;D)'!G13)</f>
        <v>0.85596831764705883</v>
      </c>
      <c r="I2670" s="147">
        <f>'Assumptions (T&amp;D)'!H8/(1-'Assumptions (T&amp;D)'!H13)</f>
        <v>0.62228515147058827</v>
      </c>
      <c r="J2670" s="147">
        <f>'Assumptions (T&amp;D)'!I8/(1-'Assumptions (T&amp;D)'!I13)</f>
        <v>2.0144075794117651</v>
      </c>
      <c r="K2670" s="147">
        <f>'Assumptions (T&amp;D)'!J8/(1-'Assumptions (T&amp;D)'!J13)</f>
        <v>0.87264443382352952</v>
      </c>
      <c r="L2670" s="147">
        <f>'Assumptions (T&amp;D)'!K8/(1-'Assumptions (T&amp;D)'!K13)</f>
        <v>0.96659375588235308</v>
      </c>
      <c r="M2670" s="147">
        <f>'Assumptions (T&amp;D)'!L8/(1-'Assumptions (T&amp;D)'!L13)</f>
        <v>1.0452669852941177</v>
      </c>
      <c r="N2670" s="147">
        <f>'Assumptions (T&amp;D)'!M8/(1-'Assumptions (T&amp;D)'!M13)</f>
        <v>1.1567429014705883</v>
      </c>
      <c r="O2670" s="147">
        <f>'Assumptions (T&amp;D)'!N8/(1-'Assumptions (T&amp;D)'!N13)</f>
        <v>1.2542999264705883</v>
      </c>
      <c r="P2670" s="147">
        <f>'Assumptions (T&amp;D)'!O8/(1-'Assumptions (T&amp;D)'!O13)</f>
        <v>1.4378866367647058</v>
      </c>
      <c r="Q2670" s="147">
        <f>'Assumptions (T&amp;D)'!P8/(1-'Assumptions (T&amp;D)'!P13)</f>
        <v>1.3588763691176473</v>
      </c>
      <c r="R2670" s="147">
        <f>'Assumptions (T&amp;D)'!Q8/(1-'Assumptions (T&amp;D)'!Q13)</f>
        <v>1.6563582088235296</v>
      </c>
      <c r="S2670" s="147">
        <f>'Assumptions (T&amp;D)'!R8/(1-'Assumptions (T&amp;D)'!R13)</f>
        <v>1.7708541352941176</v>
      </c>
      <c r="T2670" s="147">
        <f>'Assumptions (T&amp;D)'!S8/(1-'Assumptions (T&amp;D)'!S13)</f>
        <v>1.5502581949729815</v>
      </c>
      <c r="U2670" s="147">
        <f>'Assumptions (T&amp;D)'!T8/(1-'Assumptions (T&amp;D)'!T13)</f>
        <v>1.5502581949729815</v>
      </c>
      <c r="V2670" s="147">
        <f>'Assumptions (T&amp;D)'!U8/(1-'Assumptions (T&amp;D)'!U13)</f>
        <v>1.5502581949729815</v>
      </c>
      <c r="W2670" s="147">
        <f>'Assumptions (T&amp;D)'!V8/(1-'Assumptions (T&amp;D)'!V13)</f>
        <v>1.5502581949729815</v>
      </c>
      <c r="X2670" s="147">
        <f>'Assumptions (T&amp;D)'!W8/(1-'Assumptions (T&amp;D)'!W13)</f>
        <v>1.5502581949729815</v>
      </c>
      <c r="Y2670" s="147">
        <f>'Assumptions (T&amp;D)'!X8/(1-'Assumptions (T&amp;D)'!X13)</f>
        <v>1.5502581949729815</v>
      </c>
      <c r="Z2670" s="147">
        <f>'Assumptions (T&amp;D)'!Y8/(1-'Assumptions (T&amp;D)'!Y13)</f>
        <v>1.5502581949729815</v>
      </c>
      <c r="AA2670" s="147">
        <f>'Assumptions (T&amp;D)'!Z8/(1-'Assumptions (T&amp;D)'!Z13)</f>
        <v>1.5502581949729815</v>
      </c>
      <c r="AB2670" s="147">
        <f>'Assumptions (T&amp;D)'!AA8/(1-'Assumptions (T&amp;D)'!AA13)</f>
        <v>1.5502581949729815</v>
      </c>
      <c r="AC2670" s="147">
        <f>'Assumptions (T&amp;D)'!AB8/(1-'Assumptions (T&amp;D)'!AB13)</f>
        <v>1.5502581949729815</v>
      </c>
      <c r="AD2670" s="147">
        <f>'Assumptions (T&amp;D)'!AC8/(1-'Assumptions (T&amp;D)'!AC13)</f>
        <v>1.5502581949729815</v>
      </c>
      <c r="AE2670" s="147">
        <f>'Assumptions (T&amp;D)'!AD8/(1-'Assumptions (T&amp;D)'!AD13)</f>
        <v>1.5502581949729815</v>
      </c>
      <c r="AF2670" s="147">
        <f>'Assumptions (T&amp;D)'!AE8/(1-'Assumptions (T&amp;D)'!AE13)</f>
        <v>1.5502581949729815</v>
      </c>
      <c r="AG2670" s="147">
        <f>'Assumptions (T&amp;D)'!AF8/(1-'Assumptions (T&amp;D)'!AF13)</f>
        <v>1.5502581949729815</v>
      </c>
      <c r="AH2670" s="147">
        <f>'Assumptions (T&amp;D)'!AG8/(1-'Assumptions (T&amp;D)'!AG13)</f>
        <v>1.5502581949729815</v>
      </c>
      <c r="AI2670" s="147">
        <f>'Assumptions (T&amp;D)'!AH8/(1-'Assumptions (T&amp;D)'!AH13)</f>
        <v>1.5502581949729815</v>
      </c>
      <c r="AJ2670" s="147">
        <f>'Assumptions (T&amp;D)'!AI8/(1-'Assumptions (T&amp;D)'!AI13)</f>
        <v>1.5502581949729815</v>
      </c>
      <c r="AK2670" s="147">
        <f>'Assumptions (T&amp;D)'!AJ8/(1-'Assumptions (T&amp;D)'!AJ13)</f>
        <v>1.5502581949729815</v>
      </c>
      <c r="AL2670" s="147">
        <f>'Assumptions (T&amp;D)'!AK8/(1-'Assumptions (T&amp;D)'!AK13)</f>
        <v>1.5502581949729815</v>
      </c>
      <c r="AM2670" s="147">
        <f>'Assumptions (T&amp;D)'!AL8/(1-'Assumptions (T&amp;D)'!AL13)</f>
        <v>1.5502581949729815</v>
      </c>
      <c r="AN2670" s="147">
        <f>'Assumptions (T&amp;D)'!AM8/(1-'Assumptions (T&amp;D)'!AM13)</f>
        <v>1.5502581949729815</v>
      </c>
      <c r="AO2670" s="147">
        <f>'Assumptions (T&amp;D)'!AN8/(1-'Assumptions (T&amp;D)'!AN13)</f>
        <v>1.5502581949729815</v>
      </c>
      <c r="AP2670" s="147">
        <f>'Assumptions (T&amp;D)'!AO8/(1-'Assumptions (T&amp;D)'!AO13)</f>
        <v>1.5502581949729815</v>
      </c>
      <c r="AQ2670" s="147">
        <f>'Assumptions (T&amp;D)'!AP8/(1-'Assumptions (T&amp;D)'!AP13)</f>
        <v>1.5502581949729815</v>
      </c>
      <c r="AR2670" s="147">
        <f>'Assumptions (T&amp;D)'!AQ8/(1-'Assumptions (T&amp;D)'!AQ13)</f>
        <v>1.5502581949729815</v>
      </c>
      <c r="AS2670" s="147">
        <f>'Assumptions (T&amp;D)'!AR8/(1-'Assumptions (T&amp;D)'!AR13)</f>
        <v>1.5502581949729815</v>
      </c>
      <c r="AT2670" s="147">
        <f>'Assumptions (T&amp;D)'!AS8/(1-'Assumptions (T&amp;D)'!AS13)</f>
        <v>1.5502581949729815</v>
      </c>
      <c r="AU2670" s="147">
        <f>'Assumptions (T&amp;D)'!AT8/(1-'Assumptions (T&amp;D)'!AT13)</f>
        <v>1.5502581949729815</v>
      </c>
      <c r="AV2670" s="147">
        <f>'Assumptions (T&amp;D)'!AU8/(1-'Assumptions (T&amp;D)'!AU13)</f>
        <v>1.5502581949729815</v>
      </c>
      <c r="AW2670" s="147">
        <f>'Assumptions (T&amp;D)'!AV8/(1-'Assumptions (T&amp;D)'!AV13)</f>
        <v>1.5502581949729815</v>
      </c>
      <c r="AX2670" s="147">
        <f>'Assumptions (T&amp;D)'!AW8/(1-'Assumptions (T&amp;D)'!AW13)</f>
        <v>1.5502581949729815</v>
      </c>
      <c r="AY2670" s="147">
        <f>'Assumptions (T&amp;D)'!AX8/(1-'Assumptions (T&amp;D)'!AX13)</f>
        <v>1.5502581949729815</v>
      </c>
      <c r="AZ2670" s="147">
        <f>'Assumptions (T&amp;D)'!AY8/(1-'Assumptions (T&amp;D)'!AY13)</f>
        <v>1.5502581949729815</v>
      </c>
      <c r="BA2670" s="147">
        <f>'Assumptions (T&amp;D)'!AZ8/(1-'Assumptions (T&amp;D)'!AZ13)</f>
        <v>1.5502581949729815</v>
      </c>
    </row>
    <row r="2671" spans="1:68" ht="15.75" customHeight="1">
      <c r="A2671" s="460" t="s">
        <v>290</v>
      </c>
      <c r="B2671" s="99" t="s">
        <v>201</v>
      </c>
      <c r="C2671" s="147">
        <f>'Assumptions (T&amp;D)'!B15</f>
        <v>3.6534585749999997</v>
      </c>
      <c r="D2671" s="147">
        <f>'Assumptions (T&amp;D)'!C15</f>
        <v>4.2190873337499992</v>
      </c>
      <c r="E2671" s="147">
        <f>'Assumptions (T&amp;D)'!D15</f>
        <v>4.5053113140200001</v>
      </c>
      <c r="F2671" s="147">
        <f>'Assumptions (T&amp;D)'!E15</f>
        <v>5.8449812485999999</v>
      </c>
      <c r="G2671" s="147">
        <f>'Assumptions (T&amp;D)'!F15</f>
        <v>5.8156041781200001</v>
      </c>
      <c r="H2671" s="147">
        <f>'Assumptions (T&amp;D)'!G15</f>
        <v>6.5440693280251399</v>
      </c>
      <c r="I2671" s="147">
        <f>'Assumptions (T&amp;D)'!H15</f>
        <v>8.6422616362507974</v>
      </c>
      <c r="J2671" s="147">
        <f>'Assumptions (T&amp;D)'!I15</f>
        <v>9.0617697824027665</v>
      </c>
      <c r="K2671" s="147">
        <f>'Assumptions (T&amp;D)'!J15</f>
        <v>10.769830278240002</v>
      </c>
      <c r="L2671" s="147">
        <f>'Assumptions (T&amp;D)'!K15</f>
        <v>10.829973175560001</v>
      </c>
      <c r="M2671" s="147">
        <f>'Assumptions (T&amp;D)'!L15</f>
        <v>13.527122389439999</v>
      </c>
      <c r="N2671" s="147">
        <f>'Assumptions (T&amp;D)'!M15</f>
        <v>13.834730393880001</v>
      </c>
      <c r="O2671" s="147">
        <f>'Assumptions (T&amp;D)'!N15</f>
        <v>17.88751456536</v>
      </c>
      <c r="P2671" s="147">
        <f>'Assumptions (T&amp;D)'!O15</f>
        <v>26.279349329640006</v>
      </c>
      <c r="Q2671" s="147">
        <f>'Assumptions (T&amp;D)'!P15</f>
        <v>23.759341114080001</v>
      </c>
      <c r="R2671" s="147">
        <f>'Assumptions (T&amp;D)'!Q15</f>
        <v>24.868406576639998</v>
      </c>
      <c r="S2671" s="147">
        <f>'Assumptions (T&amp;D)'!R15</f>
        <v>26.726757694560003</v>
      </c>
      <c r="T2671" s="147">
        <f>'Assumptions (T&amp;D)'!S15</f>
        <v>23.453218324243892</v>
      </c>
      <c r="U2671" s="147">
        <f>'Assumptions (T&amp;D)'!T15</f>
        <v>24.159539645971208</v>
      </c>
      <c r="V2671" s="147">
        <f>'Assumptions (T&amp;D)'!U15</f>
        <v>24.426557159406407</v>
      </c>
      <c r="W2671" s="147">
        <f>'Assumptions (T&amp;D)'!V15</f>
        <v>25.137188464367476</v>
      </c>
      <c r="X2671" s="147">
        <f>'Assumptions (T&amp;D)'!W15</f>
        <v>24.34739968941539</v>
      </c>
      <c r="Y2671" s="147">
        <f>'Assumptions (T&amp;D)'!X15</f>
        <v>23.944646555207949</v>
      </c>
      <c r="Z2671" s="147">
        <f>'Assumptions (T&amp;D)'!Y15</f>
        <v>25.649118306435383</v>
      </c>
      <c r="AA2671" s="147">
        <f>'Assumptions (T&amp;D)'!Z15</f>
        <v>25.562491636800637</v>
      </c>
      <c r="AB2671" s="147">
        <f>'Assumptions (T&amp;D)'!AA15</f>
        <v>23.347146968605543</v>
      </c>
      <c r="AC2671" s="147">
        <f>'Assumptions (T&amp;D)'!AB15</f>
        <v>24.880395270138727</v>
      </c>
      <c r="AD2671" s="147">
        <f>'Assumptions (T&amp;D)'!AC15</f>
        <v>26.817236404433935</v>
      </c>
      <c r="AE2671" s="147">
        <f>'Assumptions (T&amp;D)'!AD15</f>
        <v>27.080825856937029</v>
      </c>
      <c r="AF2671" s="147">
        <f>'Assumptions (T&amp;D)'!AE15</f>
        <v>26.241462407225207</v>
      </c>
      <c r="AG2671" s="147">
        <f>'Assumptions (T&amp;D)'!AF15</f>
        <v>29.081226424023512</v>
      </c>
      <c r="AH2671" s="147">
        <f>'Assumptions (T&amp;D)'!AG15</f>
        <v>27.489232221893992</v>
      </c>
      <c r="AI2671" s="147">
        <f>'Assumptions (T&amp;D)'!AH15</f>
        <v>25.446999764108732</v>
      </c>
      <c r="AJ2671" s="147">
        <f>'Assumptions (T&amp;D)'!AI15</f>
        <v>26.924643846437068</v>
      </c>
      <c r="AK2671" s="147">
        <f>'Assumptions (T&amp;D)'!AJ15</f>
        <v>27.543205086770925</v>
      </c>
      <c r="AL2671" s="147">
        <f>'Assumptions (T&amp;D)'!AK15</f>
        <v>24.193968291743239</v>
      </c>
      <c r="AM2671" s="147">
        <f>'Assumptions (T&amp;D)'!AL15</f>
        <v>24.470299272496248</v>
      </c>
      <c r="AN2671" s="147">
        <f>'Assumptions (T&amp;D)'!AM15</f>
        <v>27.487661413908366</v>
      </c>
      <c r="AO2671" s="147">
        <f>'Assumptions (T&amp;D)'!AN15</f>
        <v>27.512779612577429</v>
      </c>
      <c r="AP2671" s="147">
        <f>'Assumptions (T&amp;D)'!AO15</f>
        <v>26.448486253988879</v>
      </c>
      <c r="AQ2671" s="147">
        <f>'Assumptions (T&amp;D)'!AP15</f>
        <v>28.708316655247515</v>
      </c>
      <c r="AR2671" s="147">
        <f>'Assumptions (T&amp;D)'!AQ15</f>
        <v>26.905941916660282</v>
      </c>
      <c r="AS2671" s="147">
        <f>'Assumptions (T&amp;D)'!AR15</f>
        <v>25.940887520813121</v>
      </c>
      <c r="AT2671" s="147">
        <f>'Assumptions (T&amp;D)'!AS15</f>
        <v>21.667205143466674</v>
      </c>
      <c r="AU2671" s="147">
        <f>'Assumptions (T&amp;D)'!AT15</f>
        <v>21.667399168181824</v>
      </c>
      <c r="AV2671" s="147">
        <f>'Assumptions (T&amp;D)'!AU15</f>
        <v>21.667669163904655</v>
      </c>
      <c r="AW2671" s="147">
        <f>'Assumptions (T&amp;D)'!AV15</f>
        <v>21.667706385346051</v>
      </c>
      <c r="AX2671" s="147">
        <f>'Assumptions (T&amp;D)'!AW15</f>
        <v>21.667581410151236</v>
      </c>
      <c r="AY2671" s="147">
        <f>'Assumptions (T&amp;D)'!AX15</f>
        <v>21.667501395521828</v>
      </c>
      <c r="AZ2671" s="147">
        <f>'Assumptions (T&amp;D)'!AY15</f>
        <v>21.667510444428711</v>
      </c>
      <c r="BA2671" s="147">
        <f>'Assumptions (T&amp;D)'!AZ15</f>
        <v>21.667561327922385</v>
      </c>
    </row>
    <row r="2672" spans="1:68" ht="15.75" customHeight="1">
      <c r="A2672" s="460" t="s">
        <v>52</v>
      </c>
      <c r="B2672" s="99" t="s">
        <v>201</v>
      </c>
      <c r="C2672" s="147">
        <f>C2671*'Assumptions (T&amp;D)'!$B$95</f>
        <v>1.4613834299999999</v>
      </c>
      <c r="D2672" s="147">
        <f>D2671*'Assumptions (T&amp;D)'!$B$95</f>
        <v>1.6876349334999998</v>
      </c>
      <c r="E2672" s="147">
        <f>E2671*'Assumptions (T&amp;D)'!$B$95</f>
        <v>1.8021245256080001</v>
      </c>
      <c r="F2672" s="147">
        <f>F2671*'Assumptions (T&amp;D)'!$B$95</f>
        <v>2.3379924994399999</v>
      </c>
      <c r="G2672" s="147">
        <f>G2671*'Assumptions (T&amp;D)'!$B$95</f>
        <v>2.3262416712480003</v>
      </c>
      <c r="H2672" s="147">
        <f>H2671*'Assumptions (T&amp;D)'!$B$95</f>
        <v>2.6176277312100562</v>
      </c>
      <c r="I2672" s="147">
        <f>I2671*'Assumptions (T&amp;D)'!$B$95</f>
        <v>3.456904654500319</v>
      </c>
      <c r="J2672" s="147">
        <f>J2671*'Assumptions (T&amp;D)'!$B$95</f>
        <v>3.6247079129611066</v>
      </c>
      <c r="K2672" s="147">
        <f>K2671*'Assumptions (T&amp;D)'!$B$95</f>
        <v>4.307932111296001</v>
      </c>
      <c r="L2672" s="147">
        <f>L2671*'Assumptions (T&amp;D)'!$B$95</f>
        <v>4.3319892702240006</v>
      </c>
      <c r="M2672" s="147">
        <f>M2671*'Assumptions (T&amp;D)'!$B$95</f>
        <v>5.4108489557760002</v>
      </c>
      <c r="N2672" s="147">
        <f>N2671*'Assumptions (T&amp;D)'!$B$95</f>
        <v>5.5338921575520006</v>
      </c>
      <c r="O2672" s="147">
        <f>O2671*'Assumptions (T&amp;D)'!$B$95</f>
        <v>7.1550058261440004</v>
      </c>
      <c r="P2672" s="147">
        <f>P2671*'Assumptions (T&amp;D)'!$B$95</f>
        <v>10.511739731856004</v>
      </c>
      <c r="Q2672" s="147">
        <f>Q2671*'Assumptions (T&amp;D)'!$B$95</f>
        <v>9.5037364456320006</v>
      </c>
      <c r="R2672" s="147">
        <f>R2671*'Assumptions (T&amp;D)'!$B$95</f>
        <v>9.9473626306560003</v>
      </c>
      <c r="S2672" s="147">
        <f>S2671*'Assumptions (T&amp;D)'!$B$95</f>
        <v>10.690703077824002</v>
      </c>
      <c r="T2672" s="147">
        <f>T2671*'Assumptions (T&amp;D)'!$B$95</f>
        <v>9.3812873296975567</v>
      </c>
      <c r="U2672" s="147">
        <f>U2671*'Assumptions (T&amp;D)'!$B$95</f>
        <v>9.6638158583884834</v>
      </c>
      <c r="V2672" s="147">
        <f>V2671*'Assumptions (T&amp;D)'!$B$95</f>
        <v>9.7706228637625632</v>
      </c>
      <c r="W2672" s="147">
        <f>W2671*'Assumptions (T&amp;D)'!$B$95</f>
        <v>10.054875385746991</v>
      </c>
      <c r="X2672" s="147">
        <f>X2671*'Assumptions (T&amp;D)'!$B$95</f>
        <v>9.738959875766156</v>
      </c>
      <c r="Y2672" s="147">
        <f>Y2671*'Assumptions (T&amp;D)'!$B$95</f>
        <v>9.5778586220831805</v>
      </c>
      <c r="Z2672" s="147">
        <f>Z2671*'Assumptions (T&amp;D)'!$B$95</f>
        <v>10.259647322574153</v>
      </c>
      <c r="AA2672" s="147">
        <f>AA2671*'Assumptions (T&amp;D)'!$B$95</f>
        <v>10.224996654720256</v>
      </c>
      <c r="AB2672" s="147">
        <f>AB2671*'Assumptions (T&amp;D)'!$B$95</f>
        <v>9.3388587874422182</v>
      </c>
      <c r="AC2672" s="147">
        <f>AC2671*'Assumptions (T&amp;D)'!$B$95</f>
        <v>9.9521581080554924</v>
      </c>
      <c r="AD2672" s="147">
        <f>AD2671*'Assumptions (T&amp;D)'!$B$95</f>
        <v>10.726894561773575</v>
      </c>
      <c r="AE2672" s="147">
        <f>AE2671*'Assumptions (T&amp;D)'!$B$95</f>
        <v>10.832330342774812</v>
      </c>
      <c r="AF2672" s="147">
        <f>AF2671*'Assumptions (T&amp;D)'!$B$95</f>
        <v>10.496584962890083</v>
      </c>
      <c r="AG2672" s="147">
        <f>AG2671*'Assumptions (T&amp;D)'!$B$95</f>
        <v>11.632490569609406</v>
      </c>
      <c r="AH2672" s="147">
        <f>AH2671*'Assumptions (T&amp;D)'!$B$95</f>
        <v>10.995692888757597</v>
      </c>
      <c r="AI2672" s="147">
        <f>AI2671*'Assumptions (T&amp;D)'!$B$95</f>
        <v>10.178799905643494</v>
      </c>
      <c r="AJ2672" s="147">
        <f>AJ2671*'Assumptions (T&amp;D)'!$B$95</f>
        <v>10.769857538574827</v>
      </c>
      <c r="AK2672" s="147">
        <f>AK2671*'Assumptions (T&amp;D)'!$B$95</f>
        <v>11.017282034708371</v>
      </c>
      <c r="AL2672" s="147">
        <f>AL2671*'Assumptions (T&amp;D)'!$B$95</f>
        <v>9.6775873166972968</v>
      </c>
      <c r="AM2672" s="147">
        <f>AM2671*'Assumptions (T&amp;D)'!$B$95</f>
        <v>9.7881197089985008</v>
      </c>
      <c r="AN2672" s="147">
        <f>AN2671*'Assumptions (T&amp;D)'!$B$95</f>
        <v>10.995064565563347</v>
      </c>
      <c r="AO2672" s="147">
        <f>AO2671*'Assumptions (T&amp;D)'!$B$95</f>
        <v>11.005111845030973</v>
      </c>
      <c r="AP2672" s="147">
        <f>AP2671*'Assumptions (T&amp;D)'!$B$95</f>
        <v>10.579394501595552</v>
      </c>
      <c r="AQ2672" s="147">
        <f>AQ2671*'Assumptions (T&amp;D)'!$B$95</f>
        <v>11.483326662099007</v>
      </c>
      <c r="AR2672" s="147">
        <f>AR2671*'Assumptions (T&amp;D)'!$B$95</f>
        <v>10.762376766664113</v>
      </c>
      <c r="AS2672" s="147">
        <f>AS2671*'Assumptions (T&amp;D)'!$B$95</f>
        <v>10.376355008325248</v>
      </c>
      <c r="AT2672" s="147">
        <f>AT2671*'Assumptions (T&amp;D)'!$B$95</f>
        <v>8.6668820573866707</v>
      </c>
      <c r="AU2672" s="147">
        <f>AU2671*'Assumptions (T&amp;D)'!$B$95</f>
        <v>8.6669596672727298</v>
      </c>
      <c r="AV2672" s="147">
        <f>AV2671*'Assumptions (T&amp;D)'!$B$95</f>
        <v>8.6670676655618628</v>
      </c>
      <c r="AW2672" s="147">
        <f>AW2671*'Assumptions (T&amp;D)'!$B$95</f>
        <v>8.6670825541384211</v>
      </c>
      <c r="AX2672" s="147">
        <f>AX2671*'Assumptions (T&amp;D)'!$B$95</f>
        <v>8.667032564060495</v>
      </c>
      <c r="AY2672" s="147">
        <f>AY2671*'Assumptions (T&amp;D)'!$B$95</f>
        <v>8.6670005582087324</v>
      </c>
      <c r="AZ2672" s="147">
        <f>AZ2671*'Assumptions (T&amp;D)'!$B$95</f>
        <v>8.667004177771485</v>
      </c>
      <c r="BA2672" s="147">
        <f>BA2671*'Assumptions (T&amp;D)'!$B$95</f>
        <v>8.6670245311689538</v>
      </c>
    </row>
    <row r="2673" spans="1:77" ht="15.75" customHeight="1">
      <c r="A2673" s="460" t="s">
        <v>54</v>
      </c>
      <c r="B2673" s="99" t="s">
        <v>201</v>
      </c>
      <c r="C2673" s="147">
        <f>C2671*'Assumptions (T&amp;D)'!$B$96</f>
        <v>2.1920751449999996</v>
      </c>
      <c r="D2673" s="147">
        <f>D2671*'Assumptions (T&amp;D)'!$B$96</f>
        <v>2.5314524002499996</v>
      </c>
      <c r="E2673" s="147">
        <f>E2671*'Assumptions (T&amp;D)'!$B$96</f>
        <v>2.7031867884119998</v>
      </c>
      <c r="F2673" s="147">
        <f>F2671*'Assumptions (T&amp;D)'!$B$96</f>
        <v>3.50698874916</v>
      </c>
      <c r="G2673" s="147">
        <f>G2671*'Assumptions (T&amp;D)'!$B$96</f>
        <v>3.4893625068719998</v>
      </c>
      <c r="H2673" s="147">
        <f>H2671*'Assumptions (T&amp;D)'!$B$96</f>
        <v>3.9264415968150836</v>
      </c>
      <c r="I2673" s="147">
        <f>I2671*'Assumptions (T&amp;D)'!$B$96</f>
        <v>5.1853569817504779</v>
      </c>
      <c r="J2673" s="147">
        <f>J2671*'Assumptions (T&amp;D)'!$B$96</f>
        <v>5.4370618694416599</v>
      </c>
      <c r="K2673" s="147">
        <f>K2671*'Assumptions (T&amp;D)'!$B$96</f>
        <v>6.4618981669440014</v>
      </c>
      <c r="L2673" s="147">
        <f>L2671*'Assumptions (T&amp;D)'!$B$96</f>
        <v>6.4979839053360005</v>
      </c>
      <c r="M2673" s="147">
        <f>M2671*'Assumptions (T&amp;D)'!$B$96</f>
        <v>8.1162734336639986</v>
      </c>
      <c r="N2673" s="147">
        <f>N2671*'Assumptions (T&amp;D)'!$B$96</f>
        <v>8.3008382363279996</v>
      </c>
      <c r="O2673" s="147">
        <f>O2671*'Assumptions (T&amp;D)'!$B$96</f>
        <v>10.732508739216</v>
      </c>
      <c r="P2673" s="147">
        <f>P2671*'Assumptions (T&amp;D)'!$B$96</f>
        <v>15.767609597784002</v>
      </c>
      <c r="Q2673" s="147">
        <f>Q2671*'Assumptions (T&amp;D)'!$B$96</f>
        <v>14.255604668448001</v>
      </c>
      <c r="R2673" s="147">
        <f>R2671*'Assumptions (T&amp;D)'!$B$96</f>
        <v>14.921043945983998</v>
      </c>
      <c r="S2673" s="147">
        <f>S2671*'Assumptions (T&amp;D)'!$B$96</f>
        <v>16.036054616736003</v>
      </c>
      <c r="T2673" s="147">
        <f>T2671*'Assumptions (T&amp;D)'!$B$96</f>
        <v>14.071930994546335</v>
      </c>
      <c r="U2673" s="147">
        <f>U2671*'Assumptions (T&amp;D)'!$B$96</f>
        <v>14.495723787582724</v>
      </c>
      <c r="V2673" s="147">
        <f>V2671*'Assumptions (T&amp;D)'!$B$96</f>
        <v>14.655934295643844</v>
      </c>
      <c r="W2673" s="147">
        <f>W2671*'Assumptions (T&amp;D)'!$B$96</f>
        <v>15.082313078620485</v>
      </c>
      <c r="X2673" s="147">
        <f>X2671*'Assumptions (T&amp;D)'!$B$96</f>
        <v>14.608439813649234</v>
      </c>
      <c r="Y2673" s="147">
        <f>Y2671*'Assumptions (T&amp;D)'!$B$96</f>
        <v>14.366787933124769</v>
      </c>
      <c r="Z2673" s="147">
        <f>Z2671*'Assumptions (T&amp;D)'!$B$96</f>
        <v>15.38947098386123</v>
      </c>
      <c r="AA2673" s="147">
        <f>AA2671*'Assumptions (T&amp;D)'!$B$96</f>
        <v>15.337494982080381</v>
      </c>
      <c r="AB2673" s="147">
        <f>AB2671*'Assumptions (T&amp;D)'!$B$96</f>
        <v>14.008288181163325</v>
      </c>
      <c r="AC2673" s="147">
        <f>AC2671*'Assumptions (T&amp;D)'!$B$96</f>
        <v>14.928237162083235</v>
      </c>
      <c r="AD2673" s="147">
        <f>AD2671*'Assumptions (T&amp;D)'!$B$96</f>
        <v>16.090341842660361</v>
      </c>
      <c r="AE2673" s="147">
        <f>AE2671*'Assumptions (T&amp;D)'!$B$96</f>
        <v>16.248495514162215</v>
      </c>
      <c r="AF2673" s="147">
        <f>AF2671*'Assumptions (T&amp;D)'!$B$96</f>
        <v>15.744877444335124</v>
      </c>
      <c r="AG2673" s="147">
        <f>AG2671*'Assumptions (T&amp;D)'!$B$96</f>
        <v>17.448735854414107</v>
      </c>
      <c r="AH2673" s="147">
        <f>AH2671*'Assumptions (T&amp;D)'!$B$96</f>
        <v>16.493539333136393</v>
      </c>
      <c r="AI2673" s="147">
        <f>AI2671*'Assumptions (T&amp;D)'!$B$96</f>
        <v>15.268199858465238</v>
      </c>
      <c r="AJ2673" s="147">
        <f>AJ2671*'Assumptions (T&amp;D)'!$B$96</f>
        <v>16.154786307862238</v>
      </c>
      <c r="AK2673" s="147">
        <f>AK2671*'Assumptions (T&amp;D)'!$B$96</f>
        <v>16.525923052062556</v>
      </c>
      <c r="AL2673" s="147">
        <f>AL2671*'Assumptions (T&amp;D)'!$B$96</f>
        <v>14.516380975045942</v>
      </c>
      <c r="AM2673" s="147">
        <f>AM2671*'Assumptions (T&amp;D)'!$B$96</f>
        <v>14.682179563497748</v>
      </c>
      <c r="AN2673" s="147">
        <f>AN2671*'Assumptions (T&amp;D)'!$B$96</f>
        <v>16.49259684834502</v>
      </c>
      <c r="AO2673" s="147">
        <f>AO2671*'Assumptions (T&amp;D)'!$B$96</f>
        <v>16.507667767546458</v>
      </c>
      <c r="AP2673" s="147">
        <f>AP2671*'Assumptions (T&amp;D)'!$B$96</f>
        <v>15.869091752393327</v>
      </c>
      <c r="AQ2673" s="147">
        <f>AQ2671*'Assumptions (T&amp;D)'!$B$96</f>
        <v>17.224989993148508</v>
      </c>
      <c r="AR2673" s="147">
        <f>AR2671*'Assumptions (T&amp;D)'!$B$96</f>
        <v>16.143565149996167</v>
      </c>
      <c r="AS2673" s="147">
        <f>AS2671*'Assumptions (T&amp;D)'!$B$96</f>
        <v>15.564532512487872</v>
      </c>
      <c r="AT2673" s="147">
        <f>AT2671*'Assumptions (T&amp;D)'!$B$96</f>
        <v>13.000323086080003</v>
      </c>
      <c r="AU2673" s="147">
        <f>AU2671*'Assumptions (T&amp;D)'!$B$96</f>
        <v>13.000439500909094</v>
      </c>
      <c r="AV2673" s="147">
        <f>AV2671*'Assumptions (T&amp;D)'!$B$96</f>
        <v>13.000601498342792</v>
      </c>
      <c r="AW2673" s="147">
        <f>AW2671*'Assumptions (T&amp;D)'!$B$96</f>
        <v>13.00062383120763</v>
      </c>
      <c r="AX2673" s="147">
        <f>AX2671*'Assumptions (T&amp;D)'!$B$96</f>
        <v>13.000548846090741</v>
      </c>
      <c r="AY2673" s="147">
        <f>AY2671*'Assumptions (T&amp;D)'!$B$96</f>
        <v>13.000500837313096</v>
      </c>
      <c r="AZ2673" s="147">
        <f>AZ2671*'Assumptions (T&amp;D)'!$B$96</f>
        <v>13.000506266657226</v>
      </c>
      <c r="BA2673" s="147">
        <f>BA2671*'Assumptions (T&amp;D)'!$B$96</f>
        <v>13.000536796753432</v>
      </c>
    </row>
    <row r="2674" spans="1:77" ht="15.75" customHeight="1">
      <c r="A2674" s="460" t="s">
        <v>336</v>
      </c>
      <c r="B2674" s="99" t="s">
        <v>201</v>
      </c>
      <c r="C2674" s="91">
        <f t="array" ref="C2674">SUM(IF(ISERROR(C2675:C2725),"",C2675:C2725))</f>
        <v>-6.9008183373847398E-2</v>
      </c>
      <c r="D2674" s="91">
        <f t="array" ref="D2674">SUM(IF(ISERROR(D2675:D2725),"",D2675:D2725))</f>
        <v>-0.15197810811538731</v>
      </c>
      <c r="E2674" s="91">
        <f t="array" ref="E2674">SUM(IF(ISERROR(E2675:E2725),"",E2675:E2725))</f>
        <v>-0.24429543269972789</v>
      </c>
      <c r="F2674" s="91">
        <f t="array" ref="F2674">SUM(IF(ISERROR(F2675:F2725),"",F2675:F2725))</f>
        <v>-0.36630212382062582</v>
      </c>
      <c r="G2674" s="91">
        <f t="array" ref="G2674">SUM(IF(ISERROR(G2675:G2725),"",G2675:G2725))</f>
        <v>-0.49354924533227296</v>
      </c>
      <c r="H2674" s="91">
        <f t="array" ref="H2674">SUM(IF(ISERROR(H2675:H2725),"",H2675:H2725))</f>
        <v>-0.64060018541864505</v>
      </c>
      <c r="I2674" s="91">
        <f t="array" ref="I2674">SUM(IF(ISERROR(I2675:I2725),"",I2675:I2725))</f>
        <v>-0.83426765356175048</v>
      </c>
      <c r="J2674" s="91">
        <f t="array" ref="J2674">SUM(IF(ISERROR(J2675:J2725),"",J2675:J2725))</f>
        <v>-1.0450581866640121</v>
      </c>
      <c r="K2674" s="91">
        <f t="array" ref="K2674">SUM(IF(ISERROR(K2675:K2725),"",K2675:K2725))</f>
        <v>-1.2981238917909617</v>
      </c>
      <c r="L2674" s="91">
        <f t="array" ref="L2674">SUM(IF(ISERROR(L2675:L2725),"",L2675:L2725))</f>
        <v>-1.5643462242467236</v>
      </c>
      <c r="M2674" s="91">
        <f t="array" ref="M2674">SUM(IF(ISERROR(M2675:M2725),"",M2675:M2725))</f>
        <v>-1.8941590957160543</v>
      </c>
      <c r="N2674" s="91">
        <f t="array" ref="N2674">SUM(IF(ISERROR(N2675:N2725),"",N2675:N2725))</f>
        <v>-2.2454483181495863</v>
      </c>
      <c r="O2674" s="91">
        <f t="array" ref="O2674">SUM(IF(ISERROR(O2675:O2725),"",O2675:O2725))</f>
        <v>-2.6899746050885911</v>
      </c>
      <c r="P2674" s="91">
        <f t="array" ref="P2674">SUM(IF(ISERROR(P2675:P2725),"",P2675:P2725))</f>
        <v>-3.314124673600348</v>
      </c>
      <c r="Q2674" s="91">
        <f t="array" ref="Q2674">SUM(IF(ISERROR(Q2675:Q2725),"",Q2675:Q2725))</f>
        <v>-3.9203228117010318</v>
      </c>
      <c r="R2674" s="91">
        <f t="array" ref="R2674">SUM(IF(ISERROR(R2675:R2725),"",R2675:R2725))</f>
        <v>-4.4378399967738504</v>
      </c>
      <c r="S2674" s="91">
        <f t="array" ref="S2674">SUM(IF(ISERROR(S2675:S2725),"",S2675:S2725))</f>
        <v>-4.9936098282326977</v>
      </c>
      <c r="T2674" s="91">
        <f t="array" ref="T2674">SUM(IF(ISERROR(T2675:T2725),"",T2675:T2725))</f>
        <v>-5.5031020456011479</v>
      </c>
      <c r="U2674" s="91">
        <f t="array" ref="U2674">SUM(IF(ISERROR(U2675:U2725),"",U2675:U2725))</f>
        <v>-5.9993784385469935</v>
      </c>
      <c r="V2674" s="91">
        <f t="array" ref="V2674">SUM(IF(ISERROR(V2675:V2725),"",V2675:V2725))</f>
        <v>-6.5253845598911751</v>
      </c>
      <c r="W2674" s="91">
        <f t="array" ref="W2674">SUM(IF(ISERROR(W2675:W2725),"",W2675:W2725))</f>
        <v>-7.0621982803953403</v>
      </c>
      <c r="X2674" s="91">
        <f t="array" ref="X2674">SUM(IF(ISERROR(X2675:X2725),"",X2675:X2725))</f>
        <v>-7.5300955016052518</v>
      </c>
      <c r="Y2674" s="91">
        <f t="array" ref="Y2674">SUM(IF(ISERROR(Y2675:Y2725),"",Y2675:Y2725))</f>
        <v>-7.996715941869466</v>
      </c>
      <c r="Z2674" s="91">
        <f t="array" ref="Z2674">SUM(IF(ISERROR(Z2675:Z2725),"",Z2675:Z2725))</f>
        <v>-8.4529799177886851</v>
      </c>
      <c r="AA2674" s="91">
        <f t="array" ref="AA2674">SUM(IF(ISERROR(AA2675:AA2725),"",AA2675:AA2725))</f>
        <v>-8.927001467335554</v>
      </c>
      <c r="AB2674" s="91">
        <f t="array" ref="AB2674">SUM(IF(ISERROR(AB2675:AB2725),"",AB2675:AB2725))</f>
        <v>-9.2795037918629593</v>
      </c>
      <c r="AC2674" s="91">
        <f t="array" ref="AC2674">SUM(IF(ISERROR(AC2675:AC2725),"",AC2675:AC2725))</f>
        <v>-9.6660558748044192</v>
      </c>
      <c r="AD2674" s="91">
        <f t="array" ref="AD2674">SUM(IF(ISERROR(AD2675:AD2725),"",AD2675:AD2725))</f>
        <v>-9.9539993902016253</v>
      </c>
      <c r="AE2674" s="91">
        <f t="array" ref="AE2674">SUM(IF(ISERROR(AE2675:AE2725),"",AE2675:AE2725))</f>
        <v>-9.9426453763021048</v>
      </c>
      <c r="AF2674" s="91">
        <f t="array" ref="AF2674">SUM(IF(ISERROR(AF2675:AF2725),"",AF2675:AF2725))</f>
        <v>-10.01037698379201</v>
      </c>
      <c r="AG2674" s="91">
        <f t="array" ref="AG2674">SUM(IF(ISERROR(AG2675:AG2725),"",AG2675:AG2725))</f>
        <v>-10.092943818470802</v>
      </c>
      <c r="AH2674" s="91">
        <f t="array" ref="AH2674">SUM(IF(ISERROR(AH2675:AH2725),"",AH2675:AH2725))</f>
        <v>-10.078952218507567</v>
      </c>
      <c r="AI2674" s="91">
        <f t="array" ref="AI2674">SUM(IF(ISERROR(AI2675:AI2725),"",AI2675:AI2725))</f>
        <v>-10.149750749269144</v>
      </c>
      <c r="AJ2674" s="91">
        <f t="array" ref="AJ2674">SUM(IF(ISERROR(AJ2675:AJ2725),"",AJ2675:AJ2725))</f>
        <v>-10.225061199430078</v>
      </c>
      <c r="AK2674" s="91">
        <f t="array" ref="AK2674">SUM(IF(ISERROR(AK2675:AK2725),"",AK2675:AK2725))</f>
        <v>-10.305515680650062</v>
      </c>
      <c r="AL2674" s="91">
        <f t="array" ref="AL2674">SUM(IF(ISERROR(AL2675:AL2725),"",AL2675:AL2725))</f>
        <v>-10.299605124037743</v>
      </c>
      <c r="AM2674" s="91">
        <f t="array" ref="AM2674">SUM(IF(ISERROR(AM2675:AM2725),"",AM2675:AM2725))</f>
        <v>-10.328557156423324</v>
      </c>
      <c r="AN2674" s="91">
        <f t="array" ref="AN2674">SUM(IF(ISERROR(AN2675:AN2725),"",AN2675:AN2725))</f>
        <v>-10.431137409149438</v>
      </c>
      <c r="AO2674" s="91">
        <f t="array" ref="AO2674">SUM(IF(ISERROR(AO2675:AO2725),"",AO2675:AO2725))</f>
        <v>-10.474484868675233</v>
      </c>
      <c r="AP2674" s="91">
        <f t="array" ref="AP2674">SUM(IF(ISERROR(AP2675:AP2725),"",AP2675:AP2725))</f>
        <v>-10.503070627200318</v>
      </c>
      <c r="AQ2674" s="91">
        <f t="array" ref="AQ2674">SUM(IF(ISERROR(AQ2675:AQ2725),"",AQ2675:AQ2725))</f>
        <v>-10.659634895337787</v>
      </c>
      <c r="AR2674" s="91">
        <f t="array" ref="AR2674">SUM(IF(ISERROR(AR2675:AR2725),"",AR2675:AR2725))</f>
        <v>-10.731499486914046</v>
      </c>
      <c r="AS2674" s="91">
        <f t="array" ref="AS2674">SUM(IF(ISERROR(AS2675:AS2725),"",AS2675:AS2725))</f>
        <v>-10.71516534548851</v>
      </c>
      <c r="AT2674" s="91">
        <f t="array" ref="AT2674">SUM(IF(ISERROR(AT2675:AT2725),"",AT2675:AT2725))</f>
        <v>-10.607345083573311</v>
      </c>
      <c r="AU2674" s="91">
        <f t="array" ref="AU2674">SUM(IF(ISERROR(AU2675:AU2725),"",AU2675:AU2725))</f>
        <v>-10.526209207299891</v>
      </c>
      <c r="AV2674" s="91">
        <f t="array" ref="AV2674">SUM(IF(ISERROR(AV2675:AV2725),"",AV2675:AV2725))</f>
        <v>-10.333630209053091</v>
      </c>
      <c r="AW2674" s="91">
        <f t="array" ref="AW2674">SUM(IF(ISERROR(AW2675:AW2725),"",AW2675:AW2725))</f>
        <v>-10.192222610165535</v>
      </c>
      <c r="AX2674" s="91">
        <f t="array" ref="AX2674">SUM(IF(ISERROR(AX2675:AX2725),"",AX2675:AX2725))</f>
        <v>-10.121472819795477</v>
      </c>
      <c r="AY2674" s="91">
        <f t="array" ref="AY2674">SUM(IF(ISERROR(AY2675:AY2725),"",AY2675:AY2725))</f>
        <v>-9.9913752535367557</v>
      </c>
      <c r="AZ2674" s="91">
        <f t="array" ref="AZ2674">SUM(IF(ISERROR(AZ2675:AZ2725),"",AZ2675:AZ2725))</f>
        <v>-9.8316618948457961</v>
      </c>
      <c r="BA2674" s="91">
        <f t="array" ref="BA2674">SUM(IF(ISERROR(BA2675:BA2725),"",BA2675:BA2725))</f>
        <v>-9.7912605161817918</v>
      </c>
      <c r="BB2674" s="91">
        <f t="array" ref="BB2674">SUM(IF(ISERROR(BB2675:BB2725),"",BB2675:BB2725))</f>
        <v>-9.3292035881147033</v>
      </c>
      <c r="BC2674" s="91">
        <f t="array" ref="BC2674">SUM(IF(ISERROR(BC2675:BC2725),"",BC2675:BC2725))</f>
        <v>-8.730875769979237</v>
      </c>
      <c r="BD2674" s="91">
        <f t="array" ref="BD2674">SUM(IF(ISERROR(BD2675:BD2725),"",BD2675:BD2725))</f>
        <v>-8.1031756907734209</v>
      </c>
      <c r="BE2674" s="91">
        <f t="array" ref="BE2674">SUM(IF(ISERROR(BE2675:BE2725),"",BE2675:BE2725))</f>
        <v>-7.4859842875139124</v>
      </c>
      <c r="BF2674" s="91">
        <f t="array" ref="BF2674">SUM(IF(ISERROR(BF2675:BF2725),"",BF2675:BF2725))</f>
        <v>-6.7538548129262228</v>
      </c>
      <c r="BG2674" s="91">
        <f t="array" ref="BG2674">SUM(IF(ISERROR(BG2675:BG2725),"",BG2675:BG2725))</f>
        <v>-6.0552383802446101</v>
      </c>
      <c r="BH2674" s="91">
        <f t="array" ref="BH2674">SUM(IF(ISERROR(BH2675:BH2725),"",BH2675:BH2725))</f>
        <v>-5.3600020858677553</v>
      </c>
      <c r="BI2674" s="91">
        <f t="array" ref="BI2674">SUM(IF(ISERROR(BI2675:BI2725),"",BI2675:BI2725))</f>
        <v>-4.7936652846655976</v>
      </c>
      <c r="BJ2674" s="91">
        <f t="array" ref="BJ2674">SUM(IF(ISERROR(BJ2675:BJ2725),"",BJ2675:BJ2725))</f>
        <v>-4.2004201341098897</v>
      </c>
      <c r="BK2674" s="91">
        <f t="array" ref="BK2674">SUM(IF(ISERROR(BK2675:BK2725),"",BK2675:BK2725))</f>
        <v>-3.578985609182324</v>
      </c>
      <c r="BL2674" s="91">
        <f t="array" ref="BL2674">SUM(IF(ISERROR(BL2675:BL2725),"",BL2675:BL2725))</f>
        <v>-2.9280315340578369</v>
      </c>
      <c r="BM2674" s="91">
        <f t="array" ref="BM2674">SUM(IF(ISERROR(BM2675:BM2725),"",BM2675:BM2725))</f>
        <v>-2.2461618754818278</v>
      </c>
      <c r="BN2674" s="91">
        <f t="array" ref="BN2674">SUM(IF(ISERROR(BN2675:BN2725),"",BN2675:BN2725))</f>
        <v>-1.5319064397540447</v>
      </c>
      <c r="BO2674" s="91">
        <f t="array" ref="BO2674">SUM(IF(ISERROR(BO2675:BO2725),"",BO2675:BO2725))</f>
        <v>-0.78372352798010203</v>
      </c>
      <c r="BP2674" s="91"/>
      <c r="BQ2674" s="91"/>
      <c r="BR2674" s="91"/>
      <c r="BS2674" s="91"/>
      <c r="BT2674" s="91"/>
      <c r="BU2674" s="91"/>
      <c r="BV2674" s="91"/>
      <c r="BW2674" s="91"/>
      <c r="BX2674" s="91"/>
      <c r="BY2674" s="91"/>
    </row>
    <row r="2675" spans="1:77" ht="15.75" hidden="1" customHeight="1" outlineLevel="1">
      <c r="A2675" s="460"/>
      <c r="B2675" s="99"/>
      <c r="C2675" s="377">
        <f>PPMT('Assumptions (T&amp;D)'!$B$97,Model!W$1,'Assumptions (T&amp;D)'!$B$100,Model!$C$2672)</f>
        <v>-6.9008183373847398E-2</v>
      </c>
      <c r="D2675" s="377">
        <f>PPMT('Assumptions (T&amp;D)'!$B$97,Model!X$1,'Assumptions (T&amp;D)'!$B$100,Model!$C$2672)</f>
        <v>-7.2286072084105146E-2</v>
      </c>
      <c r="E2675" s="377">
        <f>PPMT('Assumptions (T&amp;D)'!$B$97,Model!Y$1,'Assumptions (T&amp;D)'!$B$100,Model!$C$2672)</f>
        <v>-7.5719660508100139E-2</v>
      </c>
      <c r="F2675" s="377">
        <f>PPMT('Assumptions (T&amp;D)'!$B$97,Model!Z$1,'Assumptions (T&amp;D)'!$B$100,Model!$C$2672)</f>
        <v>-7.9316344382234893E-2</v>
      </c>
      <c r="G2675" s="377">
        <f>PPMT('Assumptions (T&amp;D)'!$B$97,Model!AA$1,'Assumptions (T&amp;D)'!$B$100,Model!$C$2672)</f>
        <v>-8.3083870740391044E-2</v>
      </c>
      <c r="H2675" s="377">
        <f>PPMT('Assumptions (T&amp;D)'!$B$97,Model!AB$1,'Assumptions (T&amp;D)'!$B$100,Model!$C$2672)</f>
        <v>-8.703035460055962E-2</v>
      </c>
      <c r="I2675" s="377">
        <f>PPMT('Assumptions (T&amp;D)'!$B$97,Model!AC$1,'Assumptions (T&amp;D)'!$B$100,Model!$C$2672)</f>
        <v>-9.1164296444086204E-2</v>
      </c>
      <c r="J2675" s="377">
        <f>PPMT('Assumptions (T&amp;D)'!$B$97,Model!AD$1,'Assumptions (T&amp;D)'!$B$100,Model!$C$2672)</f>
        <v>-9.5494600525180301E-2</v>
      </c>
      <c r="K2675" s="377">
        <f>PPMT('Assumptions (T&amp;D)'!$B$97,Model!AE$1,'Assumptions (T&amp;D)'!$B$100,Model!$C$2672)</f>
        <v>-0.10003059405012636</v>
      </c>
      <c r="L2675" s="377">
        <f>PPMT('Assumptions (T&amp;D)'!$B$97,Model!AF$1,'Assumptions (T&amp;D)'!$B$100,Model!$C$2672)</f>
        <v>-0.10478204726750737</v>
      </c>
      <c r="M2675" s="377">
        <f>PPMT('Assumptions (T&amp;D)'!$B$97,Model!AG$1,'Assumptions (T&amp;D)'!$B$100,Model!$C$2672)</f>
        <v>-0.10975919451271399</v>
      </c>
      <c r="N2675" s="377">
        <f>PPMT('Assumptions (T&amp;D)'!$B$97,Model!AH$1,'Assumptions (T&amp;D)'!$B$100,Model!$C$2672)</f>
        <v>-0.11497275625206789</v>
      </c>
      <c r="O2675" s="377">
        <f>PPMT('Assumptions (T&amp;D)'!$B$97,Model!AI$1,'Assumptions (T&amp;D)'!$B$100,Model!$C$2672)</f>
        <v>-0.12043396217404112</v>
      </c>
      <c r="P2675" s="377">
        <f>PPMT('Assumptions (T&amp;D)'!$B$97,Model!AJ$1,'Assumptions (T&amp;D)'!$B$100,Model!$C$2672)</f>
        <v>-0.12615457537730806</v>
      </c>
      <c r="Q2675" s="377">
        <f>PPMT('Assumptions (T&amp;D)'!$B$97,Model!AK$1,'Assumptions (T&amp;D)'!$B$100,Model!$C$2672)</f>
        <v>-0.13214691770773018</v>
      </c>
      <c r="R2675" s="377"/>
      <c r="S2675" s="377"/>
      <c r="T2675" s="377"/>
      <c r="U2675" s="377"/>
      <c r="V2675" s="377"/>
      <c r="W2675" s="377"/>
      <c r="X2675" s="377"/>
      <c r="Y2675" s="377"/>
      <c r="Z2675" s="377"/>
      <c r="AA2675" s="377"/>
      <c r="AB2675" s="377"/>
    </row>
    <row r="2676" spans="1:77" ht="15.75" hidden="1" customHeight="1" outlineLevel="1">
      <c r="A2676" s="460"/>
      <c r="B2676" s="99"/>
      <c r="C2676" s="377"/>
      <c r="D2676" s="377">
        <f>PPMT('Assumptions (T&amp;D)'!$B$97,Model!W$1,'Assumptions (T&amp;D)'!$B$100,Model!$D$2672)</f>
        <v>-7.9692036031282179E-2</v>
      </c>
      <c r="E2676" s="377">
        <f>PPMT('Assumptions (T&amp;D)'!$B$97,Model!X$1,'Assumptions (T&amp;D)'!$B$100,Model!$D$2672)</f>
        <v>-8.3477407742768087E-2</v>
      </c>
      <c r="F2676" s="377">
        <f>PPMT('Assumptions (T&amp;D)'!$B$97,Model!Y$1,'Assumptions (T&amp;D)'!$B$100,Model!$D$2672)</f>
        <v>-8.7442584610549587E-2</v>
      </c>
      <c r="G2676" s="377">
        <f>PPMT('Assumptions (T&amp;D)'!$B$97,Model!Z$1,'Assumptions (T&amp;D)'!$B$100,Model!$D$2672)</f>
        <v>-9.1596107379550679E-2</v>
      </c>
      <c r="H2676" s="377">
        <f>PPMT('Assumptions (T&amp;D)'!$B$97,Model!AA$1,'Assumptions (T&amp;D)'!$B$100,Model!$D$2672)</f>
        <v>-9.5946922480079314E-2</v>
      </c>
      <c r="I2676" s="377">
        <f>PPMT('Assumptions (T&amp;D)'!$B$97,Model!AB$1,'Assumptions (T&amp;D)'!$B$100,Model!$D$2672)</f>
        <v>-0.1005044012978831</v>
      </c>
      <c r="J2676" s="377">
        <f>PPMT('Assumptions (T&amp;D)'!$B$97,Model!AC$1,'Assumptions (T&amp;D)'!$B$100,Model!$D$2672)</f>
        <v>-0.10527836035953256</v>
      </c>
      <c r="K2676" s="377">
        <f>PPMT('Assumptions (T&amp;D)'!$B$97,Model!AD$1,'Assumptions (T&amp;D)'!$B$100,Model!$D$2672)</f>
        <v>-0.11027908247661035</v>
      </c>
      <c r="L2676" s="377">
        <f>PPMT('Assumptions (T&amp;D)'!$B$97,Model!AE$1,'Assumptions (T&amp;D)'!$B$100,Model!$D$2672)</f>
        <v>-0.11551733889424934</v>
      </c>
      <c r="M2676" s="377">
        <f>PPMT('Assumptions (T&amp;D)'!$B$97,Model!AF$1,'Assumptions (T&amp;D)'!$B$100,Model!$D$2672)</f>
        <v>-0.12100441249172619</v>
      </c>
      <c r="N2676" s="377">
        <f>PPMT('Assumptions (T&amp;D)'!$B$97,Model!AG$1,'Assumptions (T&amp;D)'!$B$100,Model!$D$2672)</f>
        <v>-0.12675212208508319</v>
      </c>
      <c r="O2676" s="377">
        <f>PPMT('Assumptions (T&amp;D)'!$B$97,Model!AH$1,'Assumptions (T&amp;D)'!$B$100,Model!$D$2672)</f>
        <v>-0.13277284788412463</v>
      </c>
      <c r="P2676" s="377">
        <f>PPMT('Assumptions (T&amp;D)'!$B$97,Model!AI$1,'Assumptions (T&amp;D)'!$B$100,Model!$D$2672)</f>
        <v>-0.13907955815862058</v>
      </c>
      <c r="Q2676" s="377">
        <f>PPMT('Assumptions (T&amp;D)'!$B$97,Model!AJ$1,'Assumptions (T&amp;D)'!$B$100,Model!$D$2672)</f>
        <v>-0.14568583717115505</v>
      </c>
      <c r="R2676" s="377">
        <f>PPMT('Assumptions (T&amp;D)'!$B$97,Model!AK$1,'Assumptions (T&amp;D)'!$B$100,Model!$D$2672)</f>
        <v>-0.15260591443678487</v>
      </c>
      <c r="S2676" s="377"/>
      <c r="T2676" s="377"/>
      <c r="U2676" s="377"/>
      <c r="V2676" s="377"/>
      <c r="W2676" s="377"/>
      <c r="X2676" s="377"/>
      <c r="Y2676" s="377"/>
      <c r="Z2676" s="377"/>
      <c r="AA2676" s="377"/>
      <c r="AB2676" s="377"/>
    </row>
    <row r="2677" spans="1:77" ht="15.75" hidden="1" customHeight="1" outlineLevel="1">
      <c r="A2677" s="460"/>
      <c r="B2677" s="99"/>
      <c r="C2677" s="377"/>
      <c r="D2677" s="377"/>
      <c r="E2677" s="377">
        <f>PPMT('Assumptions (T&amp;D)'!$B$97,Model!W$1,'Assumptions (T&amp;D)'!$B$100,Model!$E$2672)</f>
        <v>-8.5098364448859681E-2</v>
      </c>
      <c r="F2677" s="377">
        <f>PPMT('Assumptions (T&amp;D)'!$B$97,Model!X$1,'Assumptions (T&amp;D)'!$B$100,Model!$E$2672)</f>
        <v>-8.9140536760180522E-2</v>
      </c>
      <c r="G2677" s="377">
        <f>PPMT('Assumptions (T&amp;D)'!$B$97,Model!Y$1,'Assumptions (T&amp;D)'!$B$100,Model!$E$2672)</f>
        <v>-9.33747122562891E-2</v>
      </c>
      <c r="H2677" s="377">
        <f>PPMT('Assumptions (T&amp;D)'!$B$97,Model!Z$1,'Assumptions (T&amp;D)'!$B$100,Model!$E$2672)</f>
        <v>-9.7810011088462823E-2</v>
      </c>
      <c r="I2677" s="377">
        <f>PPMT('Assumptions (T&amp;D)'!$B$97,Model!AA$1,'Assumptions (T&amp;D)'!$B$100,Model!$E$2672)</f>
        <v>-0.10245598661516479</v>
      </c>
      <c r="J2677" s="377">
        <f>PPMT('Assumptions (T&amp;D)'!$B$97,Model!AB$1,'Assumptions (T&amp;D)'!$B$100,Model!$E$2672)</f>
        <v>-0.10732264597938514</v>
      </c>
      <c r="K2677" s="377">
        <f>PPMT('Assumptions (T&amp;D)'!$B$97,Model!AC$1,'Assumptions (T&amp;D)'!$B$100,Model!$E$2672)</f>
        <v>-0.11242047166340592</v>
      </c>
      <c r="L2677" s="377">
        <f>PPMT('Assumptions (T&amp;D)'!$B$97,Model!AD$1,'Assumptions (T&amp;D)'!$B$100,Model!$E$2672)</f>
        <v>-0.11776044406741772</v>
      </c>
      <c r="M2677" s="377">
        <f>PPMT('Assumptions (T&amp;D)'!$B$97,Model!AE$1,'Assumptions (T&amp;D)'!$B$100,Model!$E$2672)</f>
        <v>-0.12335406516062006</v>
      </c>
      <c r="N2677" s="377">
        <f>PPMT('Assumptions (T&amp;D)'!$B$97,Model!AF$1,'Assumptions (T&amp;D)'!$B$100,Model!$E$2672)</f>
        <v>-0.12921338325574949</v>
      </c>
      <c r="O2677" s="377">
        <f>PPMT('Assumptions (T&amp;D)'!$B$97,Model!AG$1,'Assumptions (T&amp;D)'!$B$100,Model!$E$2672)</f>
        <v>-0.13535101896039761</v>
      </c>
      <c r="P2677" s="377">
        <f>PPMT('Assumptions (T&amp;D)'!$B$97,Model!AH$1,'Assumptions (T&amp;D)'!$B$100,Model!$E$2672)</f>
        <v>-0.14178019236101649</v>
      </c>
      <c r="Q2677" s="377">
        <f>PPMT('Assumptions (T&amp;D)'!$B$97,Model!AI$1,'Assumptions (T&amp;D)'!$B$100,Model!$E$2672)</f>
        <v>-0.14851475149816479</v>
      </c>
      <c r="R2677" s="377">
        <f>PPMT('Assumptions (T&amp;D)'!$B$97,Model!AJ$1,'Assumptions (T&amp;D)'!$B$100,Model!$E$2672)</f>
        <v>-0.15556920219432763</v>
      </c>
      <c r="S2677" s="377">
        <f>PPMT('Assumptions (T&amp;D)'!$B$97,Model!AK$1,'Assumptions (T&amp;D)'!$B$100,Model!$E$2672)</f>
        <v>-0.16295873929855814</v>
      </c>
      <c r="T2677" s="377"/>
      <c r="U2677" s="377"/>
      <c r="V2677" s="377"/>
      <c r="W2677" s="377"/>
      <c r="X2677" s="377"/>
      <c r="Y2677" s="377"/>
      <c r="Z2677" s="377"/>
      <c r="AA2677" s="377"/>
      <c r="AB2677" s="377"/>
      <c r="AC2677" s="377"/>
    </row>
    <row r="2678" spans="1:77" ht="15.75" hidden="1" customHeight="1" outlineLevel="1">
      <c r="A2678" s="460"/>
      <c r="B2678" s="99"/>
      <c r="C2678" s="377"/>
      <c r="D2678" s="377"/>
      <c r="E2678" s="377"/>
      <c r="F2678" s="377">
        <f>PPMT('Assumptions (T&amp;D)'!$B$97,Model!W$1,'Assumptions (T&amp;D)'!$B$100,Model!$F$2672)</f>
        <v>-0.11040265806766081</v>
      </c>
      <c r="G2678" s="377">
        <f>PPMT('Assumptions (T&amp;D)'!$B$97,Model!X$1,'Assumptions (T&amp;D)'!$B$100,Model!$F$2672)</f>
        <v>-0.1156467843258747</v>
      </c>
      <c r="H2678" s="377">
        <f>PPMT('Assumptions (T&amp;D)'!$B$97,Model!Y$1,'Assumptions (T&amp;D)'!$B$100,Model!$F$2672)</f>
        <v>-0.12114000658135377</v>
      </c>
      <c r="I2678" s="377">
        <f>PPMT('Assumptions (T&amp;D)'!$B$97,Model!Z$1,'Assumptions (T&amp;D)'!$B$100,Model!$F$2672)</f>
        <v>-0.12689415689396805</v>
      </c>
      <c r="J2678" s="377">
        <f>PPMT('Assumptions (T&amp;D)'!$B$97,Model!AA$1,'Assumptions (T&amp;D)'!$B$100,Model!$F$2672)</f>
        <v>-0.13292162934643154</v>
      </c>
      <c r="K2678" s="377">
        <f>PPMT('Assumptions (T&amp;D)'!$B$97,Model!AB$1,'Assumptions (T&amp;D)'!$B$100,Model!$F$2672)</f>
        <v>-0.13923540674038701</v>
      </c>
      <c r="L2678" s="377">
        <f>PPMT('Assumptions (T&amp;D)'!$B$97,Model!AC$1,'Assumptions (T&amp;D)'!$B$100,Model!$F$2672)</f>
        <v>-0.14584908856055542</v>
      </c>
      <c r="M2678" s="377">
        <f>PPMT('Assumptions (T&amp;D)'!$B$97,Model!AD$1,'Assumptions (T&amp;D)'!$B$100,Model!$F$2672)</f>
        <v>-0.15277692026718181</v>
      </c>
      <c r="N2678" s="377">
        <f>PPMT('Assumptions (T&amp;D)'!$B$97,Model!AE$1,'Assumptions (T&amp;D)'!$B$100,Model!$F$2672)</f>
        <v>-0.16003382397987292</v>
      </c>
      <c r="O2678" s="377">
        <f>PPMT('Assumptions (T&amp;D)'!$B$97,Model!AF$1,'Assumptions (T&amp;D)'!$B$100,Model!$F$2672)</f>
        <v>-0.16763543061891692</v>
      </c>
      <c r="P2678" s="377">
        <f>PPMT('Assumptions (T&amp;D)'!$B$97,Model!AG$1,'Assumptions (T&amp;D)'!$B$100,Model!$F$2672)</f>
        <v>-0.17559811357331548</v>
      </c>
      <c r="Q2678" s="377">
        <f>PPMT('Assumptions (T&amp;D)'!$B$97,Model!AH$1,'Assumptions (T&amp;D)'!$B$100,Model!$F$2672)</f>
        <v>-0.18393902396804795</v>
      </c>
      <c r="R2678" s="377">
        <f>PPMT('Assumptions (T&amp;D)'!$B$97,Model!AI$1,'Assumptions (T&amp;D)'!$B$100,Model!$F$2672)</f>
        <v>-0.19267612760653025</v>
      </c>
      <c r="S2678" s="377">
        <f>PPMT('Assumptions (T&amp;D)'!$B$97,Model!AJ$1,'Assumptions (T&amp;D)'!$B$100,Model!$F$2672)</f>
        <v>-0.20182824366784038</v>
      </c>
      <c r="T2678" s="377">
        <f>PPMT('Assumptions (T&amp;D)'!$B$97,Model!AK$1,'Assumptions (T&amp;D)'!$B$100,Model!$F$2672)</f>
        <v>-0.21141508524206282</v>
      </c>
      <c r="U2678" s="377"/>
      <c r="V2678" s="377"/>
      <c r="W2678" s="377"/>
      <c r="X2678" s="377"/>
      <c r="Y2678" s="377"/>
      <c r="Z2678" s="377"/>
      <c r="AA2678" s="377"/>
      <c r="AB2678" s="377"/>
      <c r="AC2678" s="377"/>
      <c r="AD2678" s="377"/>
    </row>
    <row r="2679" spans="1:77" ht="15.75" hidden="1" customHeight="1" outlineLevel="1">
      <c r="A2679" s="460"/>
      <c r="B2679" s="99"/>
      <c r="C2679" s="377"/>
      <c r="D2679" s="377"/>
      <c r="E2679" s="377"/>
      <c r="F2679" s="377"/>
      <c r="G2679" s="377">
        <f>PPMT('Assumptions (T&amp;D)'!$B$97,Model!W$1,'Assumptions (T&amp;D)'!$B$100,Model!$G$2672)</f>
        <v>-0.10984777063016736</v>
      </c>
      <c r="H2679" s="377">
        <f>PPMT('Assumptions (T&amp;D)'!$B$97,Model!X$1,'Assumptions (T&amp;D)'!$B$100,Model!$G$2672)</f>
        <v>-0.11506553973510029</v>
      </c>
      <c r="I2679" s="377">
        <f>PPMT('Assumptions (T&amp;D)'!$B$97,Model!Y$1,'Assumptions (T&amp;D)'!$B$100,Model!$G$2672)</f>
        <v>-0.12053115287251757</v>
      </c>
      <c r="J2679" s="377">
        <f>PPMT('Assumptions (T&amp;D)'!$B$97,Model!Z$1,'Assumptions (T&amp;D)'!$B$100,Model!$G$2672)</f>
        <v>-0.12625638263396216</v>
      </c>
      <c r="K2679" s="377">
        <f>PPMT('Assumptions (T&amp;D)'!$B$97,Model!AA$1,'Assumptions (T&amp;D)'!$B$100,Model!$G$2672)</f>
        <v>-0.13225356080907535</v>
      </c>
      <c r="L2679" s="377">
        <f>PPMT('Assumptions (T&amp;D)'!$B$97,Model!AB$1,'Assumptions (T&amp;D)'!$B$100,Model!$G$2672)</f>
        <v>-0.13853560494750644</v>
      </c>
      <c r="M2679" s="377">
        <f>PPMT('Assumptions (T&amp;D)'!$B$97,Model!AC$1,'Assumptions (T&amp;D)'!$B$100,Model!$G$2672)</f>
        <v>-0.145116046182513</v>
      </c>
      <c r="N2679" s="377">
        <f>PPMT('Assumptions (T&amp;D)'!$B$97,Model!AD$1,'Assumptions (T&amp;D)'!$B$100,Model!$G$2672)</f>
        <v>-0.15200905837618234</v>
      </c>
      <c r="O2679" s="377">
        <f>PPMT('Assumptions (T&amp;D)'!$B$97,Model!AE$1,'Assumptions (T&amp;D)'!$B$100,Model!$G$2672)</f>
        <v>-0.15922948864905101</v>
      </c>
      <c r="P2679" s="377">
        <f>PPMT('Assumptions (T&amp;D)'!$B$97,Model!AF$1,'Assumptions (T&amp;D)'!$B$100,Model!$G$2672)</f>
        <v>-0.16679288935988093</v>
      </c>
      <c r="Q2679" s="377">
        <f>PPMT('Assumptions (T&amp;D)'!$B$97,Model!AG$1,'Assumptions (T&amp;D)'!$B$100,Model!$G$2672)</f>
        <v>-0.1747155516044753</v>
      </c>
      <c r="R2679" s="377">
        <f>PPMT('Assumptions (T&amp;D)'!$B$97,Model!AH$1,'Assumptions (T&amp;D)'!$B$100,Model!$G$2672)</f>
        <v>-0.18301454030568787</v>
      </c>
      <c r="S2679" s="377">
        <f>PPMT('Assumptions (T&amp;D)'!$B$97,Model!AI$1,'Assumptions (T&amp;D)'!$B$100,Model!$G$2672)</f>
        <v>-0.19170773097020805</v>
      </c>
      <c r="T2679" s="377">
        <f>PPMT('Assumptions (T&amp;D)'!$B$97,Model!AJ$1,'Assumptions (T&amp;D)'!$B$100,Model!$G$2672)</f>
        <v>-0.20081384819129294</v>
      </c>
      <c r="U2679" s="377">
        <f>PPMT('Assumptions (T&amp;D)'!$B$97,Model!AK$1,'Assumptions (T&amp;D)'!$B$100,Model!$G$2672)</f>
        <v>-0.21035250598037933</v>
      </c>
      <c r="V2679" s="377"/>
      <c r="W2679" s="377"/>
      <c r="X2679" s="377"/>
      <c r="Y2679" s="377"/>
      <c r="Z2679" s="377"/>
      <c r="AA2679" s="377"/>
      <c r="AB2679" s="377"/>
      <c r="AC2679" s="377"/>
      <c r="AD2679" s="377"/>
      <c r="AE2679" s="377"/>
    </row>
    <row r="2680" spans="1:77" ht="15.75" hidden="1" customHeight="1" outlineLevel="1">
      <c r="A2680" s="460"/>
      <c r="B2680" s="99"/>
      <c r="C2680" s="377"/>
      <c r="D2680" s="377"/>
      <c r="E2680" s="377"/>
      <c r="F2680" s="377"/>
      <c r="G2680" s="377"/>
      <c r="H2680" s="377">
        <f>PPMT('Assumptions (T&amp;D)'!$B$97,Model!W$1,'Assumptions (T&amp;D)'!$B$100,Model!$H$2672)</f>
        <v>-0.12360735093308926</v>
      </c>
      <c r="I2680" s="377">
        <f>PPMT('Assumptions (T&amp;D)'!$B$97,Model!X$1,'Assumptions (T&amp;D)'!$B$100,Model!$H$2672)</f>
        <v>-0.129478700102411</v>
      </c>
      <c r="J2680" s="377">
        <f>PPMT('Assumptions (T&amp;D)'!$B$97,Model!Y$1,'Assumptions (T&amp;D)'!$B$100,Model!$H$2672)</f>
        <v>-0.13562893835727552</v>
      </c>
      <c r="K2680" s="377">
        <f>PPMT('Assumptions (T&amp;D)'!$B$97,Model!Z$1,'Assumptions (T&amp;D)'!$B$100,Model!$H$2672)</f>
        <v>-0.1420713129292461</v>
      </c>
      <c r="L2680" s="377">
        <f>PPMT('Assumptions (T&amp;D)'!$B$97,Model!AA$1,'Assumptions (T&amp;D)'!$B$100,Model!$H$2672)</f>
        <v>-0.14881970029338529</v>
      </c>
      <c r="M2680" s="377">
        <f>PPMT('Assumptions (T&amp;D)'!$B$97,Model!AB$1,'Assumptions (T&amp;D)'!$B$100,Model!$H$2672)</f>
        <v>-0.15588863605732112</v>
      </c>
      <c r="N2680" s="377">
        <f>PPMT('Assumptions (T&amp;D)'!$B$97,Model!AC$1,'Assumptions (T&amp;D)'!$B$100,Model!$H$2672)</f>
        <v>-0.16329334627004385</v>
      </c>
      <c r="O2680" s="377">
        <f>PPMT('Assumptions (T&amp;D)'!$B$97,Model!AD$1,'Assumptions (T&amp;D)'!$B$100,Model!$H$2672)</f>
        <v>-0.17104978021787093</v>
      </c>
      <c r="P2680" s="377">
        <f>PPMT('Assumptions (T&amp;D)'!$B$97,Model!AE$1,'Assumptions (T&amp;D)'!$B$100,Model!$H$2672)</f>
        <v>-0.17917464477821979</v>
      </c>
      <c r="Q2680" s="377">
        <f>PPMT('Assumptions (T&amp;D)'!$B$97,Model!AF$1,'Assumptions (T&amp;D)'!$B$100,Model!$H$2672)</f>
        <v>-0.18768544040518526</v>
      </c>
      <c r="R2680" s="377">
        <f>PPMT('Assumptions (T&amp;D)'!$B$97,Model!AG$1,'Assumptions (T&amp;D)'!$B$100,Model!$H$2672)</f>
        <v>-0.19660049882443159</v>
      </c>
      <c r="S2680" s="377">
        <f>PPMT('Assumptions (T&amp;D)'!$B$97,Model!AH$1,'Assumptions (T&amp;D)'!$B$100,Model!$H$2672)</f>
        <v>-0.20593902251859203</v>
      </c>
      <c r="T2680" s="377">
        <f>PPMT('Assumptions (T&amp;D)'!$B$97,Model!AI$1,'Assumptions (T&amp;D)'!$B$100,Model!$H$2672)</f>
        <v>-0.21572112608822516</v>
      </c>
      <c r="U2680" s="377">
        <f>PPMT('Assumptions (T&amp;D)'!$B$97,Model!AJ$1,'Assumptions (T&amp;D)'!$B$100,Model!$H$2672)</f>
        <v>-0.22596787957741588</v>
      </c>
      <c r="V2680" s="377">
        <f>PPMT('Assumptions (T&amp;D)'!$B$97,Model!AK$1,'Assumptions (T&amp;D)'!$B$100,Model!$H$2672)</f>
        <v>-0.23670135385734309</v>
      </c>
      <c r="W2680" s="377"/>
      <c r="X2680" s="377"/>
      <c r="Y2680" s="377"/>
      <c r="Z2680" s="377"/>
      <c r="AA2680" s="377"/>
      <c r="AB2680" s="377"/>
      <c r="AC2680" s="377"/>
      <c r="AD2680" s="377"/>
      <c r="AE2680" s="377"/>
      <c r="AF2680" s="377"/>
    </row>
    <row r="2681" spans="1:77" ht="15.75" hidden="1" customHeight="1" outlineLevel="1">
      <c r="A2681" s="460"/>
      <c r="B2681" s="99"/>
      <c r="C2681" s="377"/>
      <c r="D2681" s="377"/>
      <c r="E2681" s="377"/>
      <c r="F2681" s="377"/>
      <c r="G2681" s="377"/>
      <c r="H2681" s="377"/>
      <c r="I2681" s="377">
        <f>PPMT('Assumptions (T&amp;D)'!$B$97,Model!W$1,'Assumptions (T&amp;D)'!$B$100,Model!$I$2672)</f>
        <v>-0.16323895933571972</v>
      </c>
      <c r="J2681" s="377">
        <f>PPMT('Assumptions (T&amp;D)'!$B$97,Model!X$1,'Assumptions (T&amp;D)'!$B$100,Model!$I$2672)</f>
        <v>-0.1709928099041664</v>
      </c>
      <c r="K2681" s="377">
        <f>PPMT('Assumptions (T&amp;D)'!$B$97,Model!Y$1,'Assumptions (T&amp;D)'!$B$100,Model!$I$2672)</f>
        <v>-0.17911496837461433</v>
      </c>
      <c r="L2681" s="377">
        <f>PPMT('Assumptions (T&amp;D)'!$B$97,Model!Z$1,'Assumptions (T&amp;D)'!$B$100,Model!$I$2672)</f>
        <v>-0.18762292937240846</v>
      </c>
      <c r="M2681" s="377">
        <f>PPMT('Assumptions (T&amp;D)'!$B$97,Model!AA$1,'Assumptions (T&amp;D)'!$B$100,Model!$I$2672)</f>
        <v>-0.19653501851759786</v>
      </c>
      <c r="N2681" s="377">
        <f>PPMT('Assumptions (T&amp;D)'!$B$97,Model!AB$1,'Assumptions (T&amp;D)'!$B$100,Model!$I$2672)</f>
        <v>-0.20587043189718376</v>
      </c>
      <c r="O2681" s="377">
        <f>PPMT('Assumptions (T&amp;D)'!$B$97,Model!AC$1,'Assumptions (T&amp;D)'!$B$100,Model!$I$2672)</f>
        <v>-0.21564927741230003</v>
      </c>
      <c r="P2681" s="377">
        <f>PPMT('Assumptions (T&amp;D)'!$B$97,Model!AD$1,'Assumptions (T&amp;D)'!$B$100,Model!$I$2672)</f>
        <v>-0.22589261808938427</v>
      </c>
      <c r="Q2681" s="377">
        <f>PPMT('Assumptions (T&amp;D)'!$B$97,Model!AE$1,'Assumptions (T&amp;D)'!$B$100,Model!$I$2672)</f>
        <v>-0.23662251744863</v>
      </c>
      <c r="R2681" s="377">
        <f>PPMT('Assumptions (T&amp;D)'!$B$97,Model!AF$1,'Assumptions (T&amp;D)'!$B$100,Model!$I$2672)</f>
        <v>-0.24786208702743995</v>
      </c>
      <c r="S2681" s="377">
        <f>PPMT('Assumptions (T&amp;D)'!$B$97,Model!AG$1,'Assumptions (T&amp;D)'!$B$100,Model!$I$2672)</f>
        <v>-0.25963553616124335</v>
      </c>
      <c r="T2681" s="377">
        <f>PPMT('Assumptions (T&amp;D)'!$B$97,Model!AH$1,'Assumptions (T&amp;D)'!$B$100,Model!$I$2672)</f>
        <v>-0.27196822412890242</v>
      </c>
      <c r="U2681" s="377">
        <f>PPMT('Assumptions (T&amp;D)'!$B$97,Model!AI$1,'Assumptions (T&amp;D)'!$B$100,Model!$I$2672)</f>
        <v>-0.28488671477502525</v>
      </c>
      <c r="V2681" s="377">
        <f>PPMT('Assumptions (T&amp;D)'!$B$97,Model!AJ$1,'Assumptions (T&amp;D)'!$B$100,Model!$I$2672)</f>
        <v>-0.29841883372683903</v>
      </c>
      <c r="W2681" s="377">
        <f>PPMT('Assumptions (T&amp;D)'!$B$97,Model!AK$1,'Assumptions (T&amp;D)'!$B$100,Model!$I$2672)</f>
        <v>-0.31259372832886378</v>
      </c>
      <c r="X2681" s="377"/>
      <c r="Y2681" s="377"/>
      <c r="Z2681" s="377"/>
      <c r="AA2681" s="377"/>
      <c r="AB2681" s="377"/>
      <c r="AC2681" s="377"/>
      <c r="AD2681" s="377"/>
      <c r="AE2681" s="377"/>
      <c r="AF2681" s="377"/>
      <c r="AG2681" s="377"/>
    </row>
    <row r="2682" spans="1:77" ht="15.75" hidden="1" customHeight="1" outlineLevel="1">
      <c r="A2682" s="460"/>
      <c r="B2682" s="99"/>
      <c r="C2682" s="377"/>
      <c r="D2682" s="377"/>
      <c r="E2682" s="377"/>
      <c r="F2682" s="377"/>
      <c r="G2682" s="377"/>
      <c r="H2682" s="377"/>
      <c r="I2682" s="377"/>
      <c r="J2682" s="377">
        <f>PPMT('Assumptions (T&amp;D)'!$B$97,Model!W$1,'Assumptions (T&amp;D)'!$B$100,Model!$J$2672)</f>
        <v>-0.17116281955807841</v>
      </c>
      <c r="K2682" s="377">
        <f>PPMT('Assumptions (T&amp;D)'!$B$97,Model!X$1,'Assumptions (T&amp;D)'!$B$100,Model!$J$2672)</f>
        <v>-0.17929305348708716</v>
      </c>
      <c r="L2682" s="377">
        <f>PPMT('Assumptions (T&amp;D)'!$B$97,Model!Y$1,'Assumptions (T&amp;D)'!$B$100,Model!$J$2672)</f>
        <v>-0.18780947352772379</v>
      </c>
      <c r="M2682" s="377">
        <f>PPMT('Assumptions (T&amp;D)'!$B$97,Model!Z$1,'Assumptions (T&amp;D)'!$B$100,Model!$J$2672)</f>
        <v>-0.19673042352029066</v>
      </c>
      <c r="N2682" s="377">
        <f>PPMT('Assumptions (T&amp;D)'!$B$97,Model!AA$1,'Assumptions (T&amp;D)'!$B$100,Model!$J$2672)</f>
        <v>-0.20607511863750444</v>
      </c>
      <c r="O2682" s="377">
        <f>PPMT('Assumptions (T&amp;D)'!$B$97,Model!AB$1,'Assumptions (T&amp;D)'!$B$100,Model!$J$2672)</f>
        <v>-0.21586368677278592</v>
      </c>
      <c r="P2682" s="377">
        <f>PPMT('Assumptions (T&amp;D)'!$B$97,Model!AC$1,'Assumptions (T&amp;D)'!$B$100,Model!$J$2672)</f>
        <v>-0.2261172118944933</v>
      </c>
      <c r="Q2682" s="377">
        <f>PPMT('Assumptions (T&amp;D)'!$B$97,Model!AD$1,'Assumptions (T&amp;D)'!$B$100,Model!$J$2672)</f>
        <v>-0.23685777945948169</v>
      </c>
      <c r="R2682" s="377">
        <f>PPMT('Assumptions (T&amp;D)'!$B$97,Model!AE$1,'Assumptions (T&amp;D)'!$B$100,Model!$J$2672)</f>
        <v>-0.24810852398380706</v>
      </c>
      <c r="S2682" s="377">
        <f>PPMT('Assumptions (T&amp;D)'!$B$97,Model!AF$1,'Assumptions (T&amp;D)'!$B$100,Model!$J$2672)</f>
        <v>-0.25989367887303794</v>
      </c>
      <c r="T2682" s="377">
        <f>PPMT('Assumptions (T&amp;D)'!$B$97,Model!AG$1,'Assumptions (T&amp;D)'!$B$100,Model!$J$2672)</f>
        <v>-0.27223862861950726</v>
      </c>
      <c r="U2682" s="377">
        <f>PPMT('Assumptions (T&amp;D)'!$B$97,Model!AH$1,'Assumptions (T&amp;D)'!$B$100,Model!$J$2672)</f>
        <v>-0.28516996347893381</v>
      </c>
      <c r="V2682" s="377">
        <f>PPMT('Assumptions (T&amp;D)'!$B$97,Model!AI$1,'Assumptions (T&amp;D)'!$B$100,Model!$J$2672)</f>
        <v>-0.29871553674418322</v>
      </c>
      <c r="W2682" s="377">
        <f>PPMT('Assumptions (T&amp;D)'!$B$97,Model!AJ$1,'Assumptions (T&amp;D)'!$B$100,Model!$J$2672)</f>
        <v>-0.3129045247395319</v>
      </c>
      <c r="X2682" s="377">
        <f>PPMT('Assumptions (T&amp;D)'!$B$97,Model!AK$1,'Assumptions (T&amp;D)'!$B$100,Model!$J$2672)</f>
        <v>-0.32776748966465963</v>
      </c>
      <c r="Y2682" s="377"/>
      <c r="Z2682" s="377"/>
      <c r="AA2682" s="377"/>
      <c r="AB2682" s="377"/>
      <c r="AC2682" s="377"/>
      <c r="AD2682" s="377"/>
      <c r="AE2682" s="377"/>
      <c r="AF2682" s="377"/>
      <c r="AG2682" s="377"/>
      <c r="AH2682" s="377"/>
    </row>
    <row r="2683" spans="1:77" ht="15.75" hidden="1" customHeight="1" outlineLevel="1">
      <c r="A2683" s="460"/>
      <c r="B2683" s="99"/>
      <c r="C2683" s="377"/>
      <c r="D2683" s="377"/>
      <c r="E2683" s="377"/>
      <c r="F2683" s="377"/>
      <c r="G2683" s="377"/>
      <c r="H2683" s="377"/>
      <c r="I2683" s="377"/>
      <c r="J2683" s="377"/>
      <c r="K2683" s="377">
        <f>PPMT('Assumptions (T&amp;D)'!$B$97,Model!W$1,'Assumptions (T&amp;D)'!$B$100,Model!$K$2672)</f>
        <v>-0.20342544126040898</v>
      </c>
      <c r="L2683" s="377">
        <f>PPMT('Assumptions (T&amp;D)'!$B$97,Model!X$1,'Assumptions (T&amp;D)'!$B$100,Model!$K$2672)</f>
        <v>-0.2130881497202784</v>
      </c>
      <c r="M2683" s="377">
        <f>PPMT('Assumptions (T&amp;D)'!$B$97,Model!Y$1,'Assumptions (T&amp;D)'!$B$100,Model!$K$2672)</f>
        <v>-0.22320983683199164</v>
      </c>
      <c r="N2683" s="377">
        <f>PPMT('Assumptions (T&amp;D)'!$B$97,Model!Z$1,'Assumptions (T&amp;D)'!$B$100,Model!$K$2672)</f>
        <v>-0.23381230408151121</v>
      </c>
      <c r="O2683" s="377">
        <f>PPMT('Assumptions (T&amp;D)'!$B$97,Model!AA$1,'Assumptions (T&amp;D)'!$B$100,Model!$K$2672)</f>
        <v>-0.24491838852538297</v>
      </c>
      <c r="P2683" s="377">
        <f>PPMT('Assumptions (T&amp;D)'!$B$97,Model!AB$1,'Assumptions (T&amp;D)'!$B$100,Model!$K$2672)</f>
        <v>-0.25655201198033867</v>
      </c>
      <c r="Q2683" s="377">
        <f>PPMT('Assumptions (T&amp;D)'!$B$97,Model!AC$1,'Assumptions (T&amp;D)'!$B$100,Model!$K$2672)</f>
        <v>-0.26873823254940477</v>
      </c>
      <c r="R2683" s="377">
        <f>PPMT('Assumptions (T&amp;D)'!$B$97,Model!AD$1,'Assumptions (T&amp;D)'!$B$100,Model!$K$2672)</f>
        <v>-0.28150329859550155</v>
      </c>
      <c r="S2683" s="377">
        <f>PPMT('Assumptions (T&amp;D)'!$B$97,Model!AE$1,'Assumptions (T&amp;D)'!$B$100,Model!$K$2672)</f>
        <v>-0.29487470527878784</v>
      </c>
      <c r="T2683" s="377">
        <f>PPMT('Assumptions (T&amp;D)'!$B$97,Model!AF$1,'Assumptions (T&amp;D)'!$B$100,Model!$K$2672)</f>
        <v>-0.3088812537795303</v>
      </c>
      <c r="U2683" s="377">
        <f>PPMT('Assumptions (T&amp;D)'!$B$97,Model!AG$1,'Assumptions (T&amp;D)'!$B$100,Model!$K$2672)</f>
        <v>-0.32355311333405795</v>
      </c>
      <c r="V2683" s="377">
        <f>PPMT('Assumptions (T&amp;D)'!$B$97,Model!AH$1,'Assumptions (T&amp;D)'!$B$100,Model!$K$2672)</f>
        <v>-0.33892188621742569</v>
      </c>
      <c r="W2683" s="377">
        <f>PPMT('Assumptions (T&amp;D)'!$B$97,Model!AI$1,'Assumptions (T&amp;D)'!$B$100,Model!$K$2672)</f>
        <v>-0.35502067581275343</v>
      </c>
      <c r="X2683" s="377">
        <f>PPMT('Assumptions (T&amp;D)'!$B$97,Model!AJ$1,'Assumptions (T&amp;D)'!$B$100,Model!$K$2672)</f>
        <v>-0.3718841579138592</v>
      </c>
      <c r="Y2683" s="377">
        <f>PPMT('Assumptions (T&amp;D)'!$B$97,Model!AK$1,'Assumptions (T&amp;D)'!$B$100,Model!$K$2672)</f>
        <v>-0.38954865541476752</v>
      </c>
      <c r="Z2683" s="377"/>
      <c r="AA2683" s="377"/>
      <c r="AB2683" s="377"/>
      <c r="AC2683" s="377"/>
      <c r="AD2683" s="377"/>
      <c r="AE2683" s="377"/>
      <c r="AF2683" s="377"/>
      <c r="AG2683" s="377"/>
      <c r="AH2683" s="377"/>
      <c r="AI2683" s="377"/>
    </row>
    <row r="2684" spans="1:77" ht="15.75" hidden="1" customHeight="1" outlineLevel="1">
      <c r="A2684" s="460"/>
      <c r="B2684" s="99"/>
      <c r="C2684" s="377"/>
      <c r="D2684" s="377"/>
      <c r="E2684" s="377"/>
      <c r="F2684" s="377"/>
      <c r="G2684" s="377"/>
      <c r="H2684" s="377"/>
      <c r="I2684" s="377"/>
      <c r="J2684" s="377"/>
      <c r="K2684" s="377"/>
      <c r="L2684" s="377">
        <f>PPMT('Assumptions (T&amp;D)'!$B$97,Model!W$1,'Assumptions (T&amp;D)'!$B$100,Model!$L$2672)</f>
        <v>-0.2045614475956917</v>
      </c>
      <c r="M2684" s="377">
        <f>PPMT('Assumptions (T&amp;D)'!$B$97,Model!X$1,'Assumptions (T&amp;D)'!$B$100,Model!$L$2672)</f>
        <v>-0.21427811635648705</v>
      </c>
      <c r="N2684" s="377">
        <f>PPMT('Assumptions (T&amp;D)'!$B$97,Model!Y$1,'Assumptions (T&amp;D)'!$B$100,Model!$L$2672)</f>
        <v>-0.22445632688342021</v>
      </c>
      <c r="O2684" s="377">
        <f>PPMT('Assumptions (T&amp;D)'!$B$97,Model!Z$1,'Assumptions (T&amp;D)'!$B$100,Model!$L$2672)</f>
        <v>-0.23511800241038261</v>
      </c>
      <c r="P2684" s="377">
        <f>PPMT('Assumptions (T&amp;D)'!$B$97,Model!AA$1,'Assumptions (T&amp;D)'!$B$100,Model!$L$2672)</f>
        <v>-0.24628610752487581</v>
      </c>
      <c r="Q2684" s="377">
        <f>PPMT('Assumptions (T&amp;D)'!$B$97,Model!AB$1,'Assumptions (T&amp;D)'!$B$100,Model!$L$2672)</f>
        <v>-0.25798469763230741</v>
      </c>
      <c r="R2684" s="377">
        <f>PPMT('Assumptions (T&amp;D)'!$B$97,Model!AC$1,'Assumptions (T&amp;D)'!$B$100,Model!$L$2672)</f>
        <v>-0.27023897076984205</v>
      </c>
      <c r="S2684" s="377">
        <f>PPMT('Assumptions (T&amp;D)'!$B$97,Model!AD$1,'Assumptions (T&amp;D)'!$B$100,Model!$L$2672)</f>
        <v>-0.28307532188140949</v>
      </c>
      <c r="T2684" s="377">
        <f>PPMT('Assumptions (T&amp;D)'!$B$97,Model!AE$1,'Assumptions (T&amp;D)'!$B$100,Model!$L$2672)</f>
        <v>-0.29652139967077645</v>
      </c>
      <c r="U2684" s="377">
        <f>PPMT('Assumptions (T&amp;D)'!$B$97,Model!AF$1,'Assumptions (T&amp;D)'!$B$100,Model!$L$2672)</f>
        <v>-0.31060616615513836</v>
      </c>
      <c r="V2684" s="377">
        <f>PPMT('Assumptions (T&amp;D)'!$B$97,Model!AG$1,'Assumptions (T&amp;D)'!$B$100,Model!$L$2672)</f>
        <v>-0.32535995904750742</v>
      </c>
      <c r="W2684" s="377">
        <f>PPMT('Assumptions (T&amp;D)'!$B$97,Model!AH$1,'Assumptions (T&amp;D)'!$B$100,Model!$L$2672)</f>
        <v>-0.34081455710226399</v>
      </c>
      <c r="X2684" s="377">
        <f>PPMT('Assumptions (T&amp;D)'!$B$97,Model!AI$1,'Assumptions (T&amp;D)'!$B$100,Model!$L$2672)</f>
        <v>-0.35700324856462157</v>
      </c>
      <c r="Y2684" s="377">
        <f>PPMT('Assumptions (T&amp;D)'!$B$97,Model!AJ$1,'Assumptions (T&amp;D)'!$B$100,Model!$L$2672)</f>
        <v>-0.37396090287144113</v>
      </c>
      <c r="Z2684" s="377">
        <f>PPMT('Assumptions (T&amp;D)'!$B$97,Model!AK$1,'Assumptions (T&amp;D)'!$B$100,Model!$L$2672)</f>
        <v>-0.39172404575783454</v>
      </c>
      <c r="AA2684" s="377"/>
      <c r="AB2684" s="377"/>
      <c r="AC2684" s="377"/>
      <c r="AD2684" s="377"/>
      <c r="AE2684" s="377"/>
      <c r="AF2684" s="377"/>
      <c r="AG2684" s="377"/>
      <c r="AH2684" s="377"/>
      <c r="AI2684" s="377"/>
      <c r="AJ2684" s="377"/>
    </row>
    <row r="2685" spans="1:77" ht="15.75" hidden="1" customHeight="1" outlineLevel="1">
      <c r="A2685" s="460"/>
      <c r="B2685" s="99"/>
      <c r="C2685" s="377"/>
      <c r="D2685" s="377"/>
      <c r="E2685" s="377"/>
      <c r="F2685" s="377"/>
      <c r="G2685" s="377"/>
      <c r="H2685" s="377"/>
      <c r="I2685" s="377"/>
      <c r="J2685" s="377"/>
      <c r="K2685" s="377"/>
      <c r="L2685" s="377"/>
      <c r="M2685" s="377">
        <f>PPMT('Assumptions (T&amp;D)'!$B$97,Model!W$1,'Assumptions (T&amp;D)'!$B$100,Model!$M$2672)</f>
        <v>-0.25550642581761102</v>
      </c>
      <c r="N2685" s="377">
        <f>PPMT('Assumptions (T&amp;D)'!$B$97,Model!X$1,'Assumptions (T&amp;D)'!$B$100,Model!$M$2672)</f>
        <v>-0.26764298104394751</v>
      </c>
      <c r="O2685" s="377">
        <f>PPMT('Assumptions (T&amp;D)'!$B$97,Model!Y$1,'Assumptions (T&amp;D)'!$B$100,Model!$M$2672)</f>
        <v>-0.28035602264353504</v>
      </c>
      <c r="P2685" s="377">
        <f>PPMT('Assumptions (T&amp;D)'!$B$97,Model!Z$1,'Assumptions (T&amp;D)'!$B$100,Model!$M$2672)</f>
        <v>-0.29367293371910297</v>
      </c>
      <c r="Q2685" s="377">
        <f>PPMT('Assumptions (T&amp;D)'!$B$97,Model!AA$1,'Assumptions (T&amp;D)'!$B$100,Model!$M$2672)</f>
        <v>-0.30762239807076031</v>
      </c>
      <c r="R2685" s="377">
        <f>PPMT('Assumptions (T&amp;D)'!$B$97,Model!AB$1,'Assumptions (T&amp;D)'!$B$100,Model!$M$2672)</f>
        <v>-0.32223446197912148</v>
      </c>
      <c r="S2685" s="377">
        <f>PPMT('Assumptions (T&amp;D)'!$B$97,Model!AC$1,'Assumptions (T&amp;D)'!$B$100,Model!$M$2672)</f>
        <v>-0.33754059892312971</v>
      </c>
      <c r="T2685" s="377">
        <f>PPMT('Assumptions (T&amp;D)'!$B$97,Model!AD$1,'Assumptions (T&amp;D)'!$B$100,Model!$M$2672)</f>
        <v>-0.35357377737197837</v>
      </c>
      <c r="U2685" s="377">
        <f>PPMT('Assumptions (T&amp;D)'!$B$97,Model!AE$1,'Assumptions (T&amp;D)'!$B$100,Model!$M$2672)</f>
        <v>-0.37036853179714729</v>
      </c>
      <c r="V2685" s="377">
        <f>PPMT('Assumptions (T&amp;D)'!$B$97,Model!AF$1,'Assumptions (T&amp;D)'!$B$100,Model!$M$2672)</f>
        <v>-0.38796103705751189</v>
      </c>
      <c r="W2685" s="377">
        <f>PPMT('Assumptions (T&amp;D)'!$B$97,Model!AG$1,'Assumptions (T&amp;D)'!$B$100,Model!$M$2672)</f>
        <v>-0.40638918631774373</v>
      </c>
      <c r="X2685" s="377">
        <f>PPMT('Assumptions (T&amp;D)'!$B$97,Model!AH$1,'Assumptions (T&amp;D)'!$B$100,Model!$M$2672)</f>
        <v>-0.4256926726678365</v>
      </c>
      <c r="Y2685" s="377">
        <f>PPMT('Assumptions (T&amp;D)'!$B$97,Model!AI$1,'Assumptions (T&amp;D)'!$B$100,Model!$M$2672)</f>
        <v>-0.44591307461955881</v>
      </c>
      <c r="Z2685" s="377">
        <f>PPMT('Assumptions (T&amp;D)'!$B$97,Model!AJ$1,'Assumptions (T&amp;D)'!$B$100,Model!$M$2672)</f>
        <v>-0.46709394566398776</v>
      </c>
      <c r="AA2685" s="377">
        <f>PPMT('Assumptions (T&amp;D)'!$B$97,Model!AK$1,'Assumptions (T&amp;D)'!$B$100,Model!$M$2672)</f>
        <v>-0.48928090808302716</v>
      </c>
      <c r="AB2685" s="377"/>
      <c r="AC2685" s="377"/>
      <c r="AD2685" s="377"/>
      <c r="AE2685" s="377"/>
      <c r="AF2685" s="377"/>
      <c r="AG2685" s="377"/>
      <c r="AH2685" s="377"/>
      <c r="AI2685" s="377"/>
      <c r="AJ2685" s="377"/>
      <c r="AK2685" s="377"/>
    </row>
    <row r="2686" spans="1:77" ht="15.75" hidden="1" customHeight="1" outlineLevel="1">
      <c r="A2686" s="460"/>
      <c r="B2686" s="99"/>
      <c r="C2686" s="377"/>
      <c r="D2686" s="377"/>
      <c r="E2686" s="377"/>
      <c r="F2686" s="377"/>
      <c r="G2686" s="377"/>
      <c r="H2686" s="377"/>
      <c r="I2686" s="377"/>
      <c r="J2686" s="377"/>
      <c r="K2686" s="377"/>
      <c r="L2686" s="377"/>
      <c r="M2686" s="377"/>
      <c r="N2686" s="377">
        <f>PPMT('Assumptions (T&amp;D)'!$B$97,Model!W$1,'Assumptions (T&amp;D)'!$B$100,Model!$N$2672)</f>
        <v>-0.26131666538701925</v>
      </c>
      <c r="O2686" s="377">
        <f>PPMT('Assumptions (T&amp;D)'!$B$97,Model!X$1,'Assumptions (T&amp;D)'!$B$100,Model!$N$2672)</f>
        <v>-0.27372920699290265</v>
      </c>
      <c r="P2686" s="377">
        <f>PPMT('Assumptions (T&amp;D)'!$B$97,Model!Y$1,'Assumptions (T&amp;D)'!$B$100,Model!$N$2672)</f>
        <v>-0.28673134432506553</v>
      </c>
      <c r="Q2686" s="377">
        <f>PPMT('Assumptions (T&amp;D)'!$B$97,Model!Z$1,'Assumptions (T&amp;D)'!$B$100,Model!$N$2672)</f>
        <v>-0.30035108318050613</v>
      </c>
      <c r="R2686" s="377">
        <f>PPMT('Assumptions (T&amp;D)'!$B$97,Model!AA$1,'Assumptions (T&amp;D)'!$B$100,Model!$N$2672)</f>
        <v>-0.31461775963158012</v>
      </c>
      <c r="S2686" s="377">
        <f>PPMT('Assumptions (T&amp;D)'!$B$97,Model!AB$1,'Assumptions (T&amp;D)'!$B$100,Model!$N$2672)</f>
        <v>-0.32956210321408025</v>
      </c>
      <c r="T2686" s="377">
        <f>PPMT('Assumptions (T&amp;D)'!$B$97,Model!AC$1,'Assumptions (T&amp;D)'!$B$100,Model!$N$2672)</f>
        <v>-0.345216303116749</v>
      </c>
      <c r="U2686" s="377">
        <f>PPMT('Assumptions (T&amp;D)'!$B$97,Model!AD$1,'Assumptions (T&amp;D)'!$B$100,Model!$N$2672)</f>
        <v>-0.36161407751479463</v>
      </c>
      <c r="V2686" s="377">
        <f>PPMT('Assumptions (T&amp;D)'!$B$97,Model!AE$1,'Assumptions (T&amp;D)'!$B$100,Model!$N$2672)</f>
        <v>-0.37879074619674735</v>
      </c>
      <c r="W2686" s="377">
        <f>PPMT('Assumptions (T&amp;D)'!$B$97,Model!AF$1,'Assumptions (T&amp;D)'!$B$100,Model!$N$2672)</f>
        <v>-0.3967833066410929</v>
      </c>
      <c r="X2686" s="377">
        <f>PPMT('Assumptions (T&amp;D)'!$B$97,Model!AG$1,'Assumptions (T&amp;D)'!$B$100,Model!$N$2672)</f>
        <v>-0.41563051370654486</v>
      </c>
      <c r="Y2686" s="377">
        <f>PPMT('Assumptions (T&amp;D)'!$B$97,Model!AH$1,'Assumptions (T&amp;D)'!$B$100,Model!$N$2672)</f>
        <v>-0.4353729631076057</v>
      </c>
      <c r="Z2686" s="377">
        <f>PPMT('Assumptions (T&amp;D)'!$B$97,Model!AI$1,'Assumptions (T&amp;D)'!$B$100,Model!$N$2672)</f>
        <v>-0.45605317885521696</v>
      </c>
      <c r="AA2686" s="377">
        <f>PPMT('Assumptions (T&amp;D)'!$B$97,Model!AJ$1,'Assumptions (T&amp;D)'!$B$100,Model!$N$2672)</f>
        <v>-0.47771570485083975</v>
      </c>
      <c r="AB2686" s="377">
        <f>PPMT('Assumptions (T&amp;D)'!$B$97,Model!AK$1,'Assumptions (T&amp;D)'!$B$100,Model!$N$2672)</f>
        <v>-0.50040720083125467</v>
      </c>
      <c r="AC2686" s="377"/>
      <c r="AD2686" s="377"/>
      <c r="AE2686" s="377"/>
      <c r="AF2686" s="377"/>
      <c r="AG2686" s="377"/>
      <c r="AH2686" s="377"/>
      <c r="AI2686" s="377"/>
      <c r="AJ2686" s="377"/>
      <c r="AK2686" s="377"/>
      <c r="AL2686" s="377"/>
    </row>
    <row r="2687" spans="1:77" ht="15.75" hidden="1" customHeight="1" outlineLevel="1">
      <c r="A2687" s="460"/>
      <c r="B2687" s="99"/>
      <c r="C2687" s="377"/>
      <c r="D2687" s="377"/>
      <c r="E2687" s="377"/>
      <c r="F2687" s="377"/>
      <c r="G2687" s="377"/>
      <c r="H2687" s="377"/>
      <c r="I2687" s="377"/>
      <c r="J2687" s="377"/>
      <c r="K2687" s="377"/>
      <c r="L2687" s="377"/>
      <c r="M2687" s="377"/>
      <c r="N2687" s="377"/>
      <c r="O2687" s="377">
        <f>PPMT('Assumptions (T&amp;D)'!$B$97,Model!W$1,'Assumptions (T&amp;D)'!$B$100,Model!$O$2672)</f>
        <v>-0.33786749182689968</v>
      </c>
      <c r="P2687" s="377">
        <f>PPMT('Assumptions (T&amp;D)'!$B$97,Model!X$1,'Assumptions (T&amp;D)'!$B$100,Model!$O$2672)</f>
        <v>-0.35391619768867744</v>
      </c>
      <c r="Q2687" s="377">
        <f>PPMT('Assumptions (T&amp;D)'!$B$97,Model!Y$1,'Assumptions (T&amp;D)'!$B$100,Model!$O$2672)</f>
        <v>-0.37072721707888961</v>
      </c>
      <c r="R2687" s="377">
        <f>PPMT('Assumptions (T&amp;D)'!$B$97,Model!Z$1,'Assumptions (T&amp;D)'!$B$100,Model!$O$2672)</f>
        <v>-0.38833675989013683</v>
      </c>
      <c r="S2687" s="377">
        <f>PPMT('Assumptions (T&amp;D)'!$B$97,Model!AA$1,'Assumptions (T&amp;D)'!$B$100,Model!$O$2672)</f>
        <v>-0.40678275598491831</v>
      </c>
      <c r="T2687" s="377">
        <f>PPMT('Assumptions (T&amp;D)'!$B$97,Model!AB$1,'Assumptions (T&amp;D)'!$B$100,Model!$O$2672)</f>
        <v>-0.42610493689420198</v>
      </c>
      <c r="U2687" s="377">
        <f>PPMT('Assumptions (T&amp;D)'!$B$97,Model!AC$1,'Assumptions (T&amp;D)'!$B$100,Model!$O$2672)</f>
        <v>-0.44634492139667653</v>
      </c>
      <c r="V2687" s="377">
        <f>PPMT('Assumptions (T&amp;D)'!$B$97,Model!AD$1,'Assumptions (T&amp;D)'!$B$100,Model!$O$2672)</f>
        <v>-0.46754630516301865</v>
      </c>
      <c r="W2687" s="377">
        <f>PPMT('Assumptions (T&amp;D)'!$B$97,Model!AE$1,'Assumptions (T&amp;D)'!$B$100,Model!$O$2672)</f>
        <v>-0.48975475465826207</v>
      </c>
      <c r="X2687" s="377">
        <f>PPMT('Assumptions (T&amp;D)'!$B$97,Model!AF$1,'Assumptions (T&amp;D)'!$B$100,Model!$O$2672)</f>
        <v>-0.51301810550452953</v>
      </c>
      <c r="Y2687" s="377">
        <f>PPMT('Assumptions (T&amp;D)'!$B$97,Model!AG$1,'Assumptions (T&amp;D)'!$B$100,Model!$O$2672)</f>
        <v>-0.53738646551599467</v>
      </c>
      <c r="Z2687" s="377">
        <f>PPMT('Assumptions (T&amp;D)'!$B$97,Model!AH$1,'Assumptions (T&amp;D)'!$B$100,Model!$O$2672)</f>
        <v>-0.5629123226280045</v>
      </c>
      <c r="AA2687" s="377">
        <f>PPMT('Assumptions (T&amp;D)'!$B$97,Model!AI$1,'Assumptions (T&amp;D)'!$B$100,Model!$O$2672)</f>
        <v>-0.58965065795283478</v>
      </c>
      <c r="AB2687" s="377">
        <f>PPMT('Assumptions (T&amp;D)'!$B$97,Model!AJ$1,'Assumptions (T&amp;D)'!$B$100,Model!$O$2672)</f>
        <v>-0.61765906420559435</v>
      </c>
      <c r="AC2687" s="377">
        <f>PPMT('Assumptions (T&amp;D)'!$B$97,Model!AK$1,'Assumptions (T&amp;D)'!$B$100,Model!$O$2672)</f>
        <v>-0.64699786975536011</v>
      </c>
      <c r="AD2687" s="377"/>
      <c r="AE2687" s="377"/>
      <c r="AF2687" s="377"/>
      <c r="AG2687" s="377"/>
      <c r="AH2687" s="377"/>
      <c r="AI2687" s="377"/>
      <c r="AJ2687" s="377"/>
      <c r="AK2687" s="377"/>
      <c r="AL2687" s="377"/>
      <c r="AM2687" s="377"/>
    </row>
    <row r="2688" spans="1:77" ht="15.75" hidden="1" customHeight="1" outlineLevel="1">
      <c r="A2688" s="460"/>
      <c r="B2688" s="99"/>
      <c r="C2688" s="377"/>
      <c r="D2688" s="377"/>
      <c r="E2688" s="377"/>
      <c r="F2688" s="377"/>
      <c r="G2688" s="377"/>
      <c r="H2688" s="377"/>
      <c r="I2688" s="377"/>
      <c r="J2688" s="377"/>
      <c r="K2688" s="377"/>
      <c r="L2688" s="377"/>
      <c r="M2688" s="377"/>
      <c r="N2688" s="377"/>
      <c r="O2688" s="377"/>
      <c r="P2688" s="377">
        <f>PPMT('Assumptions (T&amp;D)'!$B$97,Model!W$1,'Assumptions (T&amp;D)'!$B$100,Model!$P$2672)</f>
        <v>-0.49637627477004892</v>
      </c>
      <c r="Q2688" s="377">
        <f>PPMT('Assumptions (T&amp;D)'!$B$97,Model!X$1,'Assumptions (T&amp;D)'!$B$100,Model!$P$2672)</f>
        <v>-0.51995414782162619</v>
      </c>
      <c r="R2688" s="377">
        <f>PPMT('Assumptions (T&amp;D)'!$B$97,Model!Y$1,'Assumptions (T&amp;D)'!$B$100,Model!$P$2672)</f>
        <v>-0.54465196984315356</v>
      </c>
      <c r="S2688" s="377">
        <f>PPMT('Assumptions (T&amp;D)'!$B$97,Model!Z$1,'Assumptions (T&amp;D)'!$B$100,Model!$P$2672)</f>
        <v>-0.57052293841070323</v>
      </c>
      <c r="T2688" s="377">
        <f>PPMT('Assumptions (T&amp;D)'!$B$97,Model!AA$1,'Assumptions (T&amp;D)'!$B$100,Model!$P$2672)</f>
        <v>-0.59762277798521157</v>
      </c>
      <c r="U2688" s="377">
        <f>PPMT('Assumptions (T&amp;D)'!$B$97,Model!AB$1,'Assumptions (T&amp;D)'!$B$100,Model!$P$2672)</f>
        <v>-0.62600985993950919</v>
      </c>
      <c r="V2688" s="377">
        <f>PPMT('Assumptions (T&amp;D)'!$B$97,Model!AC$1,'Assumptions (T&amp;D)'!$B$100,Model!$P$2672)</f>
        <v>-0.6557453282866359</v>
      </c>
      <c r="W2688" s="377">
        <f>PPMT('Assumptions (T&amp;D)'!$B$97,Model!AD$1,'Assumptions (T&amp;D)'!$B$100,Model!$P$2672)</f>
        <v>-0.68689323138025116</v>
      </c>
      <c r="X2688" s="377">
        <f>PPMT('Assumptions (T&amp;D)'!$B$97,Model!AE$1,'Assumptions (T&amp;D)'!$B$100,Model!$P$2672)</f>
        <v>-0.71952065987081304</v>
      </c>
      <c r="Y2688" s="377">
        <f>PPMT('Assumptions (T&amp;D)'!$B$97,Model!AF$1,'Assumptions (T&amp;D)'!$B$100,Model!$P$2672)</f>
        <v>-0.75369789121467667</v>
      </c>
      <c r="Z2688" s="377">
        <f>PPMT('Assumptions (T&amp;D)'!$B$97,Model!AG$1,'Assumptions (T&amp;D)'!$B$100,Model!$P$2672)</f>
        <v>-0.78949854104737394</v>
      </c>
      <c r="AA2688" s="377">
        <f>PPMT('Assumptions (T&amp;D)'!$B$97,Model!AH$1,'Assumptions (T&amp;D)'!$B$100,Model!$P$2672)</f>
        <v>-0.82699972174712411</v>
      </c>
      <c r="AB2688" s="377">
        <f>PPMT('Assumptions (T&amp;D)'!$B$97,Model!AI$1,'Assumptions (T&amp;D)'!$B$100,Model!$P$2672)</f>
        <v>-0.86628220853011251</v>
      </c>
      <c r="AC2688" s="377">
        <f>PPMT('Assumptions (T&amp;D)'!$B$97,Model!AJ$1,'Assumptions (T&amp;D)'!$B$100,Model!$P$2672)</f>
        <v>-0.90743061343529285</v>
      </c>
      <c r="AD2688" s="377">
        <f>PPMT('Assumptions (T&amp;D)'!$B$97,Model!AK$1,'Assumptions (T&amp;D)'!$B$100,Model!$P$2672)</f>
        <v>-0.9505335675734693</v>
      </c>
      <c r="AE2688" s="377"/>
      <c r="AF2688" s="377"/>
      <c r="AG2688" s="377"/>
      <c r="AH2688" s="377"/>
      <c r="AI2688" s="377"/>
      <c r="AJ2688" s="377"/>
      <c r="AK2688" s="377"/>
      <c r="AL2688" s="377"/>
      <c r="AM2688" s="377"/>
      <c r="AN2688" s="377"/>
    </row>
    <row r="2689" spans="1:56" ht="15.75" hidden="1" customHeight="1" outlineLevel="1">
      <c r="A2689" s="460"/>
      <c r="B2689" s="99"/>
      <c r="C2689" s="377"/>
      <c r="D2689" s="377"/>
      <c r="E2689" s="377"/>
      <c r="F2689" s="377"/>
      <c r="G2689" s="377"/>
      <c r="H2689" s="377"/>
      <c r="I2689" s="377"/>
      <c r="J2689" s="377"/>
      <c r="K2689" s="377"/>
      <c r="L2689" s="377"/>
      <c r="M2689" s="377"/>
      <c r="N2689" s="377"/>
      <c r="O2689" s="377"/>
      <c r="P2689" s="377"/>
      <c r="Q2689" s="377">
        <f>PPMT('Assumptions (T&amp;D)'!$B$97,Model!W$1,'Assumptions (T&amp;D)'!$B$100,Model!$Q$2672)</f>
        <v>-0.44877721610466714</v>
      </c>
      <c r="R2689" s="377">
        <f>PPMT('Assumptions (T&amp;D)'!$B$97,Model!X$1,'Assumptions (T&amp;D)'!$B$100,Model!$Q$2672)</f>
        <v>-0.47009413386963889</v>
      </c>
      <c r="S2689" s="377">
        <f>PPMT('Assumptions (T&amp;D)'!$B$97,Model!Y$1,'Assumptions (T&amp;D)'!$B$100,Model!$Q$2672)</f>
        <v>-0.49242360522844669</v>
      </c>
      <c r="T2689" s="377">
        <f>PPMT('Assumptions (T&amp;D)'!$B$97,Model!Z$1,'Assumptions (T&amp;D)'!$B$100,Model!$Q$2672)</f>
        <v>-0.51581372647679791</v>
      </c>
      <c r="U2689" s="377">
        <f>PPMT('Assumptions (T&amp;D)'!$B$97,Model!AA$1,'Assumptions (T&amp;D)'!$B$100,Model!$Q$2672)</f>
        <v>-0.5403148784844457</v>
      </c>
      <c r="V2689" s="377">
        <f>PPMT('Assumptions (T&amp;D)'!$B$97,Model!AB$1,'Assumptions (T&amp;D)'!$B$100,Model!$Q$2672)</f>
        <v>-0.56597983521245687</v>
      </c>
      <c r="W2689" s="377">
        <f>PPMT('Assumptions (T&amp;D)'!$B$97,Model!AC$1,'Assumptions (T&amp;D)'!$B$100,Model!$Q$2672)</f>
        <v>-0.59286387738504864</v>
      </c>
      <c r="X2689" s="377">
        <f>PPMT('Assumptions (T&amp;D)'!$B$97,Model!AD$1,'Assumptions (T&amp;D)'!$B$100,Model!$Q$2672)</f>
        <v>-0.6210249115608385</v>
      </c>
      <c r="Y2689" s="377">
        <f>PPMT('Assumptions (T&amp;D)'!$B$97,Model!AE$1,'Assumptions (T&amp;D)'!$B$100,Model!$Q$2672)</f>
        <v>-0.65052359485997835</v>
      </c>
      <c r="Z2689" s="377">
        <f>PPMT('Assumptions (T&amp;D)'!$B$97,Model!AF$1,'Assumptions (T&amp;D)'!$B$100,Model!$Q$2672)</f>
        <v>-0.68142346561582723</v>
      </c>
      <c r="AA2689" s="377">
        <f>PPMT('Assumptions (T&amp;D)'!$B$97,Model!AG$1,'Assumptions (T&amp;D)'!$B$100,Model!$Q$2672)</f>
        <v>-0.71379108023257909</v>
      </c>
      <c r="AB2689" s="377">
        <f>PPMT('Assumptions (T&amp;D)'!$B$97,Model!AH$1,'Assumptions (T&amp;D)'!$B$100,Model!$Q$2672)</f>
        <v>-0.74769615654362664</v>
      </c>
      <c r="AC2689" s="377">
        <f>PPMT('Assumptions (T&amp;D)'!$B$97,Model!AI$1,'Assumptions (T&amp;D)'!$B$100,Model!$Q$2672)</f>
        <v>-0.78321172397944905</v>
      </c>
      <c r="AD2689" s="377">
        <f>PPMT('Assumptions (T&amp;D)'!$B$97,Model!AJ$1,'Assumptions (T&amp;D)'!$B$100,Model!$Q$2672)</f>
        <v>-0.82041428086847279</v>
      </c>
      <c r="AE2689" s="377">
        <f>PPMT('Assumptions (T&amp;D)'!$B$97,Model!AK$1,'Assumptions (T&amp;D)'!$B$100,Model!$Q$2672)</f>
        <v>-0.8593839592097251</v>
      </c>
      <c r="AF2689" s="377"/>
      <c r="AG2689" s="377"/>
      <c r="AH2689" s="377"/>
      <c r="AI2689" s="377"/>
      <c r="AJ2689" s="377"/>
      <c r="AK2689" s="377"/>
      <c r="AL2689" s="377"/>
      <c r="AM2689" s="377"/>
      <c r="AN2689" s="377"/>
      <c r="AO2689" s="377"/>
    </row>
    <row r="2690" spans="1:56" ht="15.75" hidden="1" customHeight="1" outlineLevel="1">
      <c r="A2690" s="460"/>
      <c r="B2690" s="99"/>
      <c r="C2690" s="377"/>
      <c r="D2690" s="377"/>
      <c r="E2690" s="377"/>
      <c r="F2690" s="377"/>
      <c r="G2690" s="377"/>
      <c r="H2690" s="377"/>
      <c r="I2690" s="377"/>
      <c r="J2690" s="377"/>
      <c r="K2690" s="377"/>
      <c r="L2690" s="377"/>
      <c r="M2690" s="377"/>
      <c r="N2690" s="377"/>
      <c r="O2690" s="377"/>
      <c r="P2690" s="377"/>
      <c r="Q2690" s="377"/>
      <c r="R2690" s="377">
        <f>PPMT('Assumptions (T&amp;D)'!$B$97,Model!W$1,'Assumptions (T&amp;D)'!$B$100,Model!$R$2672)</f>
        <v>-0.46972574781586668</v>
      </c>
      <c r="S2690" s="377">
        <f>PPMT('Assumptions (T&amp;D)'!$B$97,Model!X$1,'Assumptions (T&amp;D)'!$B$100,Model!$R$2672)</f>
        <v>-0.49203772083712033</v>
      </c>
      <c r="T2690" s="377">
        <f>PPMT('Assumptions (T&amp;D)'!$B$97,Model!Y$1,'Assumptions (T&amp;D)'!$B$100,Model!$R$2672)</f>
        <v>-0.51540951257688361</v>
      </c>
      <c r="U2690" s="377">
        <f>PPMT('Assumptions (T&amp;D)'!$B$97,Model!Z$1,'Assumptions (T&amp;D)'!$B$100,Model!$R$2672)</f>
        <v>-0.53989146442428548</v>
      </c>
      <c r="V2690" s="377">
        <f>PPMT('Assumptions (T&amp;D)'!$B$97,Model!AA$1,'Assumptions (T&amp;D)'!$B$100,Model!$R$2672)</f>
        <v>-0.56553630898443907</v>
      </c>
      <c r="W2690" s="377">
        <f>PPMT('Assumptions (T&amp;D)'!$B$97,Model!AB$1,'Assumptions (T&amp;D)'!$B$100,Model!$R$2672)</f>
        <v>-0.59239928366119987</v>
      </c>
      <c r="X2690" s="377">
        <f>PPMT('Assumptions (T&amp;D)'!$B$97,Model!AC$1,'Assumptions (T&amp;D)'!$B$100,Model!$R$2672)</f>
        <v>-0.62053824963510695</v>
      </c>
      <c r="Y2690" s="377">
        <f>PPMT('Assumptions (T&amp;D)'!$B$97,Model!AD$1,'Assumptions (T&amp;D)'!$B$100,Model!$R$2672)</f>
        <v>-0.65001381649277445</v>
      </c>
      <c r="Z2690" s="377">
        <f>PPMT('Assumptions (T&amp;D)'!$B$97,Model!AE$1,'Assumptions (T&amp;D)'!$B$100,Model!$R$2672)</f>
        <v>-0.68088947277618117</v>
      </c>
      <c r="AA2690" s="377">
        <f>PPMT('Assumptions (T&amp;D)'!$B$97,Model!AF$1,'Assumptions (T&amp;D)'!$B$100,Model!$R$2672)</f>
        <v>-0.71323172273304991</v>
      </c>
      <c r="AB2690" s="377">
        <f>PPMT('Assumptions (T&amp;D)'!$B$97,Model!AG$1,'Assumptions (T&amp;D)'!$B$100,Model!$R$2672)</f>
        <v>-0.74711022956286988</v>
      </c>
      <c r="AC2690" s="377">
        <f>PPMT('Assumptions (T&amp;D)'!$B$97,Model!AH$1,'Assumptions (T&amp;D)'!$B$100,Model!$R$2672)</f>
        <v>-0.78259796546710625</v>
      </c>
      <c r="AD2690" s="377">
        <f>PPMT('Assumptions (T&amp;D)'!$B$97,Model!AI$1,'Assumptions (T&amp;D)'!$B$100,Model!$R$2672)</f>
        <v>-0.81977136882679369</v>
      </c>
      <c r="AE2690" s="377">
        <f>PPMT('Assumptions (T&amp;D)'!$B$97,Model!AJ$1,'Assumptions (T&amp;D)'!$B$100,Model!$R$2672)</f>
        <v>-0.85871050884606648</v>
      </c>
      <c r="AF2690" s="377">
        <f>PPMT('Assumptions (T&amp;D)'!$B$97,Model!AK$1,'Assumptions (T&amp;D)'!$B$100,Model!$R$2672)</f>
        <v>-0.89949925801625441</v>
      </c>
      <c r="AG2690" s="377"/>
      <c r="AH2690" s="377"/>
      <c r="AI2690" s="377"/>
      <c r="AJ2690" s="377"/>
      <c r="AK2690" s="377"/>
      <c r="AL2690" s="377"/>
      <c r="AM2690" s="377"/>
      <c r="AN2690" s="377"/>
      <c r="AO2690" s="377"/>
      <c r="AP2690" s="377"/>
    </row>
    <row r="2691" spans="1:56" ht="15.75" hidden="1" customHeight="1" outlineLevel="1">
      <c r="A2691" s="460"/>
      <c r="B2691" s="99"/>
      <c r="C2691" s="377"/>
      <c r="D2691" s="377"/>
      <c r="E2691" s="377"/>
      <c r="F2691" s="377"/>
      <c r="G2691" s="377"/>
      <c r="H2691" s="377"/>
      <c r="I2691" s="377"/>
      <c r="J2691" s="377"/>
      <c r="K2691" s="377"/>
      <c r="L2691" s="377"/>
      <c r="M2691" s="377"/>
      <c r="N2691" s="377"/>
      <c r="O2691" s="377"/>
      <c r="P2691" s="377"/>
      <c r="Q2691" s="377"/>
      <c r="R2691" s="377"/>
      <c r="S2691" s="377">
        <f>PPMT('Assumptions (T&amp;D)'!$B$97,Model!W$1,'Assumptions (T&amp;D)'!$B$100,Model!$S$2672)</f>
        <v>-0.50482712698462273</v>
      </c>
      <c r="T2691" s="377">
        <f>PPMT('Assumptions (T&amp;D)'!$B$97,Model!X$1,'Assumptions (T&amp;D)'!$B$100,Model!$S$2672)</f>
        <v>-0.52880641551639229</v>
      </c>
      <c r="U2691" s="377">
        <f>PPMT('Assumptions (T&amp;D)'!$B$97,Model!Y$1,'Assumptions (T&amp;D)'!$B$100,Model!$S$2672)</f>
        <v>-0.55392472025342099</v>
      </c>
      <c r="V2691" s="377">
        <f>PPMT('Assumptions (T&amp;D)'!$B$97,Model!Z$1,'Assumptions (T&amp;D)'!$B$100,Model!$S$2672)</f>
        <v>-0.58023614446545835</v>
      </c>
      <c r="W2691" s="377">
        <f>PPMT('Assumptions (T&amp;D)'!$B$97,Model!AA$1,'Assumptions (T&amp;D)'!$B$100,Model!$S$2672)</f>
        <v>-0.60779736132756756</v>
      </c>
      <c r="X2691" s="377">
        <f>PPMT('Assumptions (T&amp;D)'!$B$97,Model!AB$1,'Assumptions (T&amp;D)'!$B$100,Model!$S$2672)</f>
        <v>-0.63666773599062709</v>
      </c>
      <c r="Y2691" s="377">
        <f>PPMT('Assumptions (T&amp;D)'!$B$97,Model!AC$1,'Assumptions (T&amp;D)'!$B$100,Model!$S$2672)</f>
        <v>-0.66690945345018193</v>
      </c>
      <c r="Z2691" s="377">
        <f>PPMT('Assumptions (T&amp;D)'!$B$97,Model!AD$1,'Assumptions (T&amp;D)'!$B$100,Model!$S$2672)</f>
        <v>-0.69858765248906562</v>
      </c>
      <c r="AA2691" s="377">
        <f>PPMT('Assumptions (T&amp;D)'!$B$97,Model!AE$1,'Assumptions (T&amp;D)'!$B$100,Model!$S$2672)</f>
        <v>-0.73177056598229606</v>
      </c>
      <c r="AB2691" s="377">
        <f>PPMT('Assumptions (T&amp;D)'!$B$97,Model!AF$1,'Assumptions (T&amp;D)'!$B$100,Model!$S$2672)</f>
        <v>-0.76652966786645516</v>
      </c>
      <c r="AC2691" s="377">
        <f>PPMT('Assumptions (T&amp;D)'!$B$97,Model!AG$1,'Assumptions (T&amp;D)'!$B$100,Model!$S$2672)</f>
        <v>-0.80293982709011191</v>
      </c>
      <c r="AD2691" s="377">
        <f>PPMT('Assumptions (T&amp;D)'!$B$97,Model!AH$1,'Assumptions (T&amp;D)'!$B$100,Model!$S$2672)</f>
        <v>-0.84107946887689211</v>
      </c>
      <c r="AE2691" s="377">
        <f>PPMT('Assumptions (T&amp;D)'!$B$97,Model!AI$1,'Assumptions (T&amp;D)'!$B$100,Model!$S$2672)</f>
        <v>-0.88103074364854472</v>
      </c>
      <c r="AF2691" s="377">
        <f>PPMT('Assumptions (T&amp;D)'!$B$97,Model!AJ$1,'Assumptions (T&amp;D)'!$B$100,Model!$S$2672)</f>
        <v>-0.9228797039718506</v>
      </c>
      <c r="AG2691" s="377">
        <f>PPMT('Assumptions (T&amp;D)'!$B$97,Model!AK$1,'Assumptions (T&amp;D)'!$B$100,Model!$S$2672)</f>
        <v>-0.96671648991051329</v>
      </c>
      <c r="AH2691" s="377"/>
      <c r="AI2691" s="377"/>
      <c r="AJ2691" s="377"/>
      <c r="AK2691" s="377"/>
      <c r="AL2691" s="377"/>
      <c r="AM2691" s="377"/>
      <c r="AN2691" s="377"/>
      <c r="AO2691" s="377"/>
      <c r="AP2691" s="377"/>
      <c r="AQ2691" s="377"/>
    </row>
    <row r="2692" spans="1:56" ht="15.75" hidden="1" customHeight="1" outlineLevel="1">
      <c r="A2692" s="460"/>
      <c r="B2692" s="99"/>
      <c r="C2692" s="377"/>
      <c r="D2692" s="377"/>
      <c r="E2692" s="377"/>
      <c r="F2692" s="377"/>
      <c r="G2692" s="377"/>
      <c r="H2692" s="377"/>
      <c r="I2692" s="377"/>
      <c r="J2692" s="377"/>
      <c r="K2692" s="377"/>
      <c r="L2692" s="377"/>
      <c r="M2692" s="377"/>
      <c r="N2692" s="377"/>
      <c r="O2692" s="377"/>
      <c r="P2692" s="377"/>
      <c r="Q2692" s="377"/>
      <c r="R2692" s="377"/>
      <c r="S2692" s="42"/>
      <c r="T2692" s="377">
        <f>PPMT('Assumptions (T&amp;D)'!$B$97,Model!W$1,'Assumptions (T&amp;D)'!$B$100,Model!$T$2672)</f>
        <v>-0.44299502994263468</v>
      </c>
      <c r="U2692" s="377">
        <f>PPMT('Assumptions (T&amp;D)'!$B$97,Model!X$1,'Assumptions (T&amp;D)'!$B$100,Model!$T$2672)</f>
        <v>-0.46403729386490988</v>
      </c>
      <c r="V2692" s="377">
        <f>PPMT('Assumptions (T&amp;D)'!$B$97,Model!Y$1,'Assumptions (T&amp;D)'!$B$100,Model!$T$2672)</f>
        <v>-0.4860790653234931</v>
      </c>
      <c r="W2692" s="377">
        <f>PPMT('Assumptions (T&amp;D)'!$B$97,Model!Z$1,'Assumptions (T&amp;D)'!$B$100,Model!$T$2672)</f>
        <v>-0.50916782092635893</v>
      </c>
      <c r="X2692" s="377">
        <f>PPMT('Assumptions (T&amp;D)'!$B$97,Model!AA$1,'Assumptions (T&amp;D)'!$B$100,Model!$T$2672)</f>
        <v>-0.533353292420361</v>
      </c>
      <c r="Y2692" s="377">
        <f>PPMT('Assumptions (T&amp;D)'!$B$97,Model!AB$1,'Assumptions (T&amp;D)'!$B$100,Model!$T$2672)</f>
        <v>-0.55868757381032819</v>
      </c>
      <c r="Z2692" s="377">
        <f>PPMT('Assumptions (T&amp;D)'!$B$97,Model!AC$1,'Assumptions (T&amp;D)'!$B$100,Model!$T$2672)</f>
        <v>-0.58522523356631873</v>
      </c>
      <c r="AA2692" s="377">
        <f>PPMT('Assumptions (T&amp;D)'!$B$97,Model!AD$1,'Assumptions (T&amp;D)'!$B$100,Model!$T$2672)</f>
        <v>-0.61302343216071886</v>
      </c>
      <c r="AB2692" s="377">
        <f>PPMT('Assumptions (T&amp;D)'!$B$97,Model!AE$1,'Assumptions (T&amp;D)'!$B$100,Model!$T$2672)</f>
        <v>-0.64214204518835294</v>
      </c>
      <c r="AC2692" s="377">
        <f>PPMT('Assumptions (T&amp;D)'!$B$97,Model!AF$1,'Assumptions (T&amp;D)'!$B$100,Model!$T$2672)</f>
        <v>-0.67264379233479976</v>
      </c>
      <c r="AD2692" s="377">
        <f>PPMT('Assumptions (T&amp;D)'!$B$97,Model!AG$1,'Assumptions (T&amp;D)'!$B$100,Model!$T$2672)</f>
        <v>-0.70459437247070278</v>
      </c>
      <c r="AE2692" s="377">
        <f>PPMT('Assumptions (T&amp;D)'!$B$97,Model!AH$1,'Assumptions (T&amp;D)'!$B$100,Model!$T$2672)</f>
        <v>-0.7380626051630611</v>
      </c>
      <c r="AF2692" s="377">
        <f>PPMT('Assumptions (T&amp;D)'!$B$97,Model!AI$1,'Assumptions (T&amp;D)'!$B$100,Model!$T$2672)</f>
        <v>-0.77312057890830665</v>
      </c>
      <c r="AG2692" s="377">
        <f>PPMT('Assumptions (T&amp;D)'!$B$97,Model!AJ$1,'Assumptions (T&amp;D)'!$B$100,Model!$T$2672)</f>
        <v>-0.80984380640645115</v>
      </c>
      <c r="AH2692" s="377">
        <f>PPMT('Assumptions (T&amp;D)'!$B$97,Model!AK$1,'Assumptions (T&amp;D)'!$B$100,Model!$T$2672)</f>
        <v>-0.84831138721075749</v>
      </c>
      <c r="AI2692" s="377"/>
      <c r="AJ2692" s="377"/>
      <c r="AK2692" s="377"/>
      <c r="AL2692" s="377"/>
      <c r="AM2692" s="377"/>
      <c r="AN2692" s="377"/>
      <c r="AO2692" s="377"/>
      <c r="AP2692" s="377"/>
      <c r="AQ2692" s="377"/>
      <c r="AR2692" s="377"/>
    </row>
    <row r="2693" spans="1:56" ht="15.75" hidden="1" customHeight="1" outlineLevel="1">
      <c r="A2693" s="460"/>
      <c r="B2693" s="99"/>
      <c r="C2693" s="377"/>
      <c r="D2693" s="377"/>
      <c r="E2693" s="377"/>
      <c r="F2693" s="377"/>
      <c r="G2693" s="377"/>
      <c r="H2693" s="377"/>
      <c r="I2693" s="377"/>
      <c r="J2693" s="377"/>
      <c r="K2693" s="377"/>
      <c r="L2693" s="377"/>
      <c r="M2693" s="377"/>
      <c r="N2693" s="377"/>
      <c r="O2693" s="377"/>
      <c r="P2693" s="377"/>
      <c r="Q2693" s="377"/>
      <c r="R2693" s="377"/>
      <c r="S2693" s="42"/>
      <c r="T2693" s="42"/>
      <c r="U2693" s="377">
        <f>PPMT('Assumptions (T&amp;D)'!$B$97,Model!W$1,'Assumptions (T&amp;D)'!$B$100,Model!$U$2672)</f>
        <v>-0.45633634757085406</v>
      </c>
      <c r="V2693" s="377">
        <f>PPMT('Assumptions (T&amp;D)'!$B$97,Model!X$1,'Assumptions (T&amp;D)'!$B$100,Model!$U$2672)</f>
        <v>-0.47801232408046962</v>
      </c>
      <c r="W2693" s="377">
        <f>PPMT('Assumptions (T&amp;D)'!$B$97,Model!Y$1,'Assumptions (T&amp;D)'!$B$100,Model!$U$2672)</f>
        <v>-0.50071790947429196</v>
      </c>
      <c r="X2693" s="377">
        <f>PPMT('Assumptions (T&amp;D)'!$B$97,Model!Z$1,'Assumptions (T&amp;D)'!$B$100,Model!$U$2672)</f>
        <v>-0.52450201017432085</v>
      </c>
      <c r="Y2693" s="377">
        <f>PPMT('Assumptions (T&amp;D)'!$B$97,Model!AA$1,'Assumptions (T&amp;D)'!$B$100,Model!$U$2672)</f>
        <v>-0.54941585565760098</v>
      </c>
      <c r="Z2693" s="377">
        <f>PPMT('Assumptions (T&amp;D)'!$B$97,Model!AB$1,'Assumptions (T&amp;D)'!$B$100,Model!$U$2672)</f>
        <v>-0.5755131088013371</v>
      </c>
      <c r="AA2693" s="377">
        <f>PPMT('Assumptions (T&amp;D)'!$B$97,Model!AC$1,'Assumptions (T&amp;D)'!$B$100,Model!$U$2672)</f>
        <v>-0.60284998146940061</v>
      </c>
      <c r="AB2693" s="377">
        <f>PPMT('Assumptions (T&amp;D)'!$B$97,Model!AD$1,'Assumptions (T&amp;D)'!$B$100,Model!$U$2672)</f>
        <v>-0.63148535558919716</v>
      </c>
      <c r="AC2693" s="377">
        <f>PPMT('Assumptions (T&amp;D)'!$B$97,Model!AE$1,'Assumptions (T&amp;D)'!$B$100,Model!$U$2672)</f>
        <v>-0.66148090997968401</v>
      </c>
      <c r="AD2693" s="377">
        <f>PPMT('Assumptions (T&amp;D)'!$B$97,Model!AF$1,'Assumptions (T&amp;D)'!$B$100,Model!$U$2672)</f>
        <v>-0.69290125320371909</v>
      </c>
      <c r="AE2693" s="377">
        <f>PPMT('Assumptions (T&amp;D)'!$B$97,Model!AG$1,'Assumptions (T&amp;D)'!$B$100,Model!$U$2672)</f>
        <v>-0.72581406273089577</v>
      </c>
      <c r="AF2693" s="377">
        <f>PPMT('Assumptions (T&amp;D)'!$B$97,Model!AH$1,'Assumptions (T&amp;D)'!$B$100,Model!$U$2672)</f>
        <v>-0.76029023071061319</v>
      </c>
      <c r="AG2693" s="377">
        <f>PPMT('Assumptions (T&amp;D)'!$B$97,Model!AI$1,'Assumptions (T&amp;D)'!$B$100,Model!$U$2672)</f>
        <v>-0.79640401666936733</v>
      </c>
      <c r="AH2693" s="377">
        <f>PPMT('Assumptions (T&amp;D)'!$B$97,Model!AJ$1,'Assumptions (T&amp;D)'!$B$100,Model!$U$2672)</f>
        <v>-0.83423320746116225</v>
      </c>
      <c r="AI2693" s="377">
        <f>PPMT('Assumptions (T&amp;D)'!$B$97,Model!AK$1,'Assumptions (T&amp;D)'!$B$100,Model!$U$2672)</f>
        <v>-0.87385928481556741</v>
      </c>
      <c r="AJ2693" s="377"/>
      <c r="AK2693" s="377"/>
      <c r="AL2693" s="377"/>
      <c r="AM2693" s="377"/>
      <c r="AN2693" s="377"/>
      <c r="AO2693" s="377"/>
      <c r="AP2693" s="377"/>
      <c r="AQ2693" s="377"/>
      <c r="AR2693" s="377"/>
      <c r="AS2693" s="377"/>
    </row>
    <row r="2694" spans="1:56" ht="15.75" hidden="1" customHeight="1" outlineLevel="1">
      <c r="A2694" s="460"/>
      <c r="B2694" s="99"/>
      <c r="C2694" s="377"/>
      <c r="D2694" s="377"/>
      <c r="E2694" s="377"/>
      <c r="F2694" s="377"/>
      <c r="G2694" s="377"/>
      <c r="H2694" s="377"/>
      <c r="I2694" s="377"/>
      <c r="J2694" s="377"/>
      <c r="K2694" s="377"/>
      <c r="L2694" s="377"/>
      <c r="M2694" s="377"/>
      <c r="N2694" s="377"/>
      <c r="O2694" s="377"/>
      <c r="P2694" s="377"/>
      <c r="Q2694" s="377"/>
      <c r="R2694" s="377"/>
      <c r="S2694" s="42"/>
      <c r="T2694" s="42"/>
      <c r="U2694" s="42"/>
      <c r="V2694" s="377">
        <f>PPMT('Assumptions (T&amp;D)'!$B$97,Model!W$1,'Assumptions (T&amp;D)'!$B$100,Model!$V$2672)</f>
        <v>-0.46137989552764597</v>
      </c>
      <c r="W2694" s="377">
        <f>PPMT('Assumptions (T&amp;D)'!$B$97,Model!X$1,'Assumptions (T&amp;D)'!$B$100,Model!$V$2672)</f>
        <v>-0.48329544056520918</v>
      </c>
      <c r="X2694" s="377">
        <f>PPMT('Assumptions (T&amp;D)'!$B$97,Model!Y$1,'Assumptions (T&amp;D)'!$B$100,Model!$V$2672)</f>
        <v>-0.50625197399205668</v>
      </c>
      <c r="Y2694" s="377">
        <f>PPMT('Assumptions (T&amp;D)'!$B$97,Model!Z$1,'Assumptions (T&amp;D)'!$B$100,Model!$V$2672)</f>
        <v>-0.53029894275667933</v>
      </c>
      <c r="Z2694" s="377">
        <f>PPMT('Assumptions (T&amp;D)'!$B$97,Model!AA$1,'Assumptions (T&amp;D)'!$B$100,Model!$V$2672)</f>
        <v>-0.55548814253762158</v>
      </c>
      <c r="AA2694" s="377">
        <f>PPMT('Assumptions (T&amp;D)'!$B$97,Model!AB$1,'Assumptions (T&amp;D)'!$B$100,Model!$V$2672)</f>
        <v>-0.58187382930815856</v>
      </c>
      <c r="AB2694" s="377">
        <f>PPMT('Assumptions (T&amp;D)'!$B$97,Model!AC$1,'Assumptions (T&amp;D)'!$B$100,Model!$V$2672)</f>
        <v>-0.60951283620029617</v>
      </c>
      <c r="AC2694" s="377">
        <f>PPMT('Assumptions (T&amp;D)'!$B$97,Model!AD$1,'Assumptions (T&amp;D)'!$B$100,Model!$V$2672)</f>
        <v>-0.63846469591981014</v>
      </c>
      <c r="AD2694" s="377">
        <f>PPMT('Assumptions (T&amp;D)'!$B$97,Model!AE$1,'Assumptions (T&amp;D)'!$B$100,Model!$V$2672)</f>
        <v>-0.66879176897600112</v>
      </c>
      <c r="AE2694" s="377">
        <f>PPMT('Assumptions (T&amp;D)'!$B$97,Model!AF$1,'Assumptions (T&amp;D)'!$B$100,Model!$V$2672)</f>
        <v>-0.70055937800236134</v>
      </c>
      <c r="AF2694" s="377">
        <f>PPMT('Assumptions (T&amp;D)'!$B$97,Model!AG$1,'Assumptions (T&amp;D)'!$B$100,Model!$V$2672)</f>
        <v>-0.73383594845747346</v>
      </c>
      <c r="AG2694" s="377">
        <f>PPMT('Assumptions (T&amp;D)'!$B$97,Model!AH$1,'Assumptions (T&amp;D)'!$B$100,Model!$V$2672)</f>
        <v>-0.76869315600920352</v>
      </c>
      <c r="AH2694" s="377">
        <f>PPMT('Assumptions (T&amp;D)'!$B$97,Model!AI$1,'Assumptions (T&amp;D)'!$B$100,Model!$V$2672)</f>
        <v>-0.80520608091964063</v>
      </c>
      <c r="AI2694" s="377">
        <f>PPMT('Assumptions (T&amp;D)'!$B$97,Model!AJ$1,'Assumptions (T&amp;D)'!$B$100,Model!$V$2672)</f>
        <v>-0.84345336976332352</v>
      </c>
      <c r="AJ2694" s="377">
        <f>PPMT('Assumptions (T&amp;D)'!$B$97,Model!AK$1,'Assumptions (T&amp;D)'!$B$100,Model!$V$2672)</f>
        <v>-0.88351740482708141</v>
      </c>
      <c r="AK2694" s="377"/>
      <c r="AL2694" s="377"/>
      <c r="AM2694" s="377"/>
      <c r="AN2694" s="377"/>
      <c r="AO2694" s="377"/>
      <c r="AP2694" s="377"/>
      <c r="AQ2694" s="377"/>
      <c r="AR2694" s="377"/>
      <c r="AS2694" s="377"/>
      <c r="AT2694" s="377"/>
    </row>
    <row r="2695" spans="1:56" ht="15.75" hidden="1" customHeight="1" outlineLevel="1">
      <c r="A2695" s="460"/>
      <c r="B2695" s="99"/>
      <c r="C2695" s="377"/>
      <c r="D2695" s="377"/>
      <c r="E2695" s="377"/>
      <c r="F2695" s="377"/>
      <c r="G2695" s="377"/>
      <c r="H2695" s="377"/>
      <c r="I2695" s="377"/>
      <c r="J2695" s="377"/>
      <c r="K2695" s="377"/>
      <c r="L2695" s="377"/>
      <c r="M2695" s="377"/>
      <c r="N2695" s="377"/>
      <c r="O2695" s="377"/>
      <c r="P2695" s="377"/>
      <c r="Q2695" s="377"/>
      <c r="R2695" s="377"/>
      <c r="S2695" s="42"/>
      <c r="T2695" s="42"/>
      <c r="U2695" s="42"/>
      <c r="V2695" s="42"/>
      <c r="W2695" s="377">
        <f>PPMT('Assumptions (T&amp;D)'!$B$97,Model!W$1,'Assumptions (T&amp;D)'!$B$100,Model!$W$2672)</f>
        <v>-0.47480262207490126</v>
      </c>
      <c r="X2695" s="377">
        <f>PPMT('Assumptions (T&amp;D)'!$B$97,Model!X$1,'Assumptions (T&amp;D)'!$B$100,Model!$W$2672)</f>
        <v>-0.49735574662345905</v>
      </c>
      <c r="Y2695" s="377">
        <f>PPMT('Assumptions (T&amp;D)'!$B$97,Model!Y$1,'Assumptions (T&amp;D)'!$B$100,Model!$W$2672)</f>
        <v>-0.5209801445880734</v>
      </c>
      <c r="Z2695" s="377">
        <f>PPMT('Assumptions (T&amp;D)'!$B$97,Model!Z$1,'Assumptions (T&amp;D)'!$B$100,Model!$W$2672)</f>
        <v>-0.54572670145600677</v>
      </c>
      <c r="AA2695" s="377">
        <f>PPMT('Assumptions (T&amp;D)'!$B$97,Model!AA$1,'Assumptions (T&amp;D)'!$B$100,Model!$W$2672)</f>
        <v>-0.57164871977516707</v>
      </c>
      <c r="AB2695" s="377">
        <f>PPMT('Assumptions (T&amp;D)'!$B$97,Model!AB$1,'Assumptions (T&amp;D)'!$B$100,Model!$W$2672)</f>
        <v>-0.59880203396448761</v>
      </c>
      <c r="AC2695" s="377">
        <f>PPMT('Assumptions (T&amp;D)'!$B$97,Model!AC$1,'Assumptions (T&amp;D)'!$B$100,Model!$W$2672)</f>
        <v>-0.62724513057780074</v>
      </c>
      <c r="AD2695" s="377">
        <f>PPMT('Assumptions (T&amp;D)'!$B$97,Model!AD$1,'Assumptions (T&amp;D)'!$B$100,Model!$W$2672)</f>
        <v>-0.65703927428024633</v>
      </c>
      <c r="AE2695" s="377">
        <f>PPMT('Assumptions (T&amp;D)'!$B$97,Model!AE$1,'Assumptions (T&amp;D)'!$B$100,Model!$W$2672)</f>
        <v>-0.68824863980855788</v>
      </c>
      <c r="AF2695" s="377">
        <f>PPMT('Assumptions (T&amp;D)'!$B$97,Model!AF$1,'Assumptions (T&amp;D)'!$B$100,Model!$W$2672)</f>
        <v>-0.72094045019946451</v>
      </c>
      <c r="AG2695" s="377">
        <f>PPMT('Assumptions (T&amp;D)'!$B$97,Model!AG$1,'Assumptions (T&amp;D)'!$B$100,Model!$W$2672)</f>
        <v>-0.75518512158393913</v>
      </c>
      <c r="AH2695" s="377">
        <f>PPMT('Assumptions (T&amp;D)'!$B$97,Model!AH$1,'Assumptions (T&amp;D)'!$B$100,Model!$W$2672)</f>
        <v>-0.7910564148591761</v>
      </c>
      <c r="AI2695" s="377">
        <f>PPMT('Assumptions (T&amp;D)'!$B$97,Model!AI$1,'Assumptions (T&amp;D)'!$B$100,Model!$W$2672)</f>
        <v>-0.82863159456498703</v>
      </c>
      <c r="AJ2695" s="377">
        <f>PPMT('Assumptions (T&amp;D)'!$B$97,Model!AJ$1,'Assumptions (T&amp;D)'!$B$100,Model!$W$2672)</f>
        <v>-0.86799159530682402</v>
      </c>
      <c r="AK2695" s="377">
        <f>PPMT('Assumptions (T&amp;D)'!$B$97,Model!AK$1,'Assumptions (T&amp;D)'!$B$100,Model!$W$2672)</f>
        <v>-0.90922119608389806</v>
      </c>
      <c r="AL2695" s="377"/>
      <c r="AM2695" s="377"/>
      <c r="AN2695" s="377"/>
      <c r="AO2695" s="377"/>
      <c r="AP2695" s="377"/>
      <c r="AQ2695" s="377"/>
      <c r="AR2695" s="377"/>
      <c r="AS2695" s="377"/>
      <c r="AT2695" s="377"/>
      <c r="AU2695" s="377"/>
    </row>
    <row r="2696" spans="1:56" ht="15.75" hidden="1" customHeight="1" outlineLevel="1">
      <c r="A2696" s="460"/>
      <c r="B2696" s="99"/>
      <c r="C2696" s="377"/>
      <c r="D2696" s="377"/>
      <c r="E2696" s="377"/>
      <c r="F2696" s="377"/>
      <c r="G2696" s="377"/>
      <c r="H2696" s="377"/>
      <c r="I2696" s="377"/>
      <c r="J2696" s="377"/>
      <c r="K2696" s="377"/>
      <c r="L2696" s="377"/>
      <c r="M2696" s="377"/>
      <c r="N2696" s="377"/>
      <c r="O2696" s="377"/>
      <c r="P2696" s="377"/>
      <c r="Q2696" s="377"/>
      <c r="R2696" s="377"/>
      <c r="S2696" s="42"/>
      <c r="T2696" s="42"/>
      <c r="U2696" s="42"/>
      <c r="V2696" s="42"/>
      <c r="W2696" s="86"/>
      <c r="X2696" s="377">
        <f>PPMT('Assumptions (T&amp;D)'!$B$97,Model!W$1,'Assumptions (T&amp;D)'!$B$100,Model!$X$2672)</f>
        <v>-0.45988473331561791</v>
      </c>
      <c r="Y2696" s="377">
        <f>PPMT('Assumptions (T&amp;D)'!$B$97,Model!X$1,'Assumptions (T&amp;D)'!$B$100,Model!$X$2672)</f>
        <v>-0.4817292581481098</v>
      </c>
      <c r="Z2696" s="377">
        <f>PPMT('Assumptions (T&amp;D)'!$B$97,Model!Y$1,'Assumptions (T&amp;D)'!$B$100,Model!$X$2672)</f>
        <v>-0.50461139791014498</v>
      </c>
      <c r="AA2696" s="377">
        <f>PPMT('Assumptions (T&amp;D)'!$B$97,Model!Z$1,'Assumptions (T&amp;D)'!$B$100,Model!$X$2672)</f>
        <v>-0.52858043931087684</v>
      </c>
      <c r="AB2696" s="377">
        <f>PPMT('Assumptions (T&amp;D)'!$B$97,Model!AA$1,'Assumptions (T&amp;D)'!$B$100,Model!$X$2672)</f>
        <v>-0.55368801017814351</v>
      </c>
      <c r="AC2696" s="377">
        <f>PPMT('Assumptions (T&amp;D)'!$B$97,Model!AB$1,'Assumptions (T&amp;D)'!$B$100,Model!$X$2672)</f>
        <v>-0.57998819066160534</v>
      </c>
      <c r="AD2696" s="377">
        <f>PPMT('Assumptions (T&amp;D)'!$B$97,Model!AC$1,'Assumptions (T&amp;D)'!$B$100,Model!$X$2672)</f>
        <v>-0.6075376297180316</v>
      </c>
      <c r="AE2696" s="377">
        <f>PPMT('Assumptions (T&amp;D)'!$B$97,Model!AD$1,'Assumptions (T&amp;D)'!$B$100,Model!$X$2672)</f>
        <v>-0.63639566712963802</v>
      </c>
      <c r="AF2696" s="377">
        <f>PPMT('Assumptions (T&amp;D)'!$B$97,Model!AE$1,'Assumptions (T&amp;D)'!$B$100,Model!$X$2672)</f>
        <v>-0.66662446131829589</v>
      </c>
      <c r="AG2696" s="377">
        <f>PPMT('Assumptions (T&amp;D)'!$B$97,Model!AF$1,'Assumptions (T&amp;D)'!$B$100,Model!$X$2672)</f>
        <v>-0.69828912323091497</v>
      </c>
      <c r="AH2696" s="377">
        <f>PPMT('Assumptions (T&amp;D)'!$B$97,Model!AG$1,'Assumptions (T&amp;D)'!$B$100,Model!$X$2672)</f>
        <v>-0.73145785658438345</v>
      </c>
      <c r="AI2696" s="377">
        <f>PPMT('Assumptions (T&amp;D)'!$B$97,Model!AH$1,'Assumptions (T&amp;D)'!$B$100,Model!$X$2672)</f>
        <v>-0.76620210477214157</v>
      </c>
      <c r="AJ2696" s="377">
        <f>PPMT('Assumptions (T&amp;D)'!$B$97,Model!AI$1,'Assumptions (T&amp;D)'!$B$100,Model!$X$2672)</f>
        <v>-0.8025967047488185</v>
      </c>
      <c r="AK2696" s="377">
        <f>PPMT('Assumptions (T&amp;D)'!$B$97,Model!AJ$1,'Assumptions (T&amp;D)'!$B$100,Model!$X$2672)</f>
        <v>-0.8407200482243874</v>
      </c>
      <c r="AL2696" s="377">
        <f>PPMT('Assumptions (T&amp;D)'!$B$97,Model!AK$1,'Assumptions (T&amp;D)'!$B$100,Model!$X$2672)</f>
        <v>-0.88065425051504553</v>
      </c>
      <c r="AM2696" s="377"/>
      <c r="AN2696" s="377"/>
      <c r="AO2696" s="377"/>
      <c r="AP2696" s="377"/>
      <c r="AQ2696" s="377"/>
      <c r="AR2696" s="377"/>
      <c r="AS2696" s="377"/>
      <c r="AT2696" s="377"/>
      <c r="AU2696" s="377"/>
      <c r="AV2696" s="377"/>
    </row>
    <row r="2697" spans="1:56" ht="15.75" hidden="1" customHeight="1" outlineLevel="1">
      <c r="A2697" s="460"/>
      <c r="B2697" s="99"/>
      <c r="C2697" s="377"/>
      <c r="D2697" s="377"/>
      <c r="E2697" s="377"/>
      <c r="F2697" s="377"/>
      <c r="G2697" s="377"/>
      <c r="H2697" s="377"/>
      <c r="I2697" s="377"/>
      <c r="J2697" s="377"/>
      <c r="K2697" s="377"/>
      <c r="L2697" s="377"/>
      <c r="M2697" s="377"/>
      <c r="N2697" s="377"/>
      <c r="O2697" s="377"/>
      <c r="P2697" s="377"/>
      <c r="Q2697" s="377"/>
      <c r="R2697" s="377"/>
      <c r="S2697" s="42"/>
      <c r="T2697" s="42"/>
      <c r="U2697" s="42"/>
      <c r="V2697" s="42"/>
      <c r="W2697" s="86"/>
      <c r="Y2697" s="377">
        <f>PPMT('Assumptions (T&amp;D)'!$B$97,Model!W$1,'Assumptions (T&amp;D)'!$B$100,Model!$Y$2672)</f>
        <v>-0.4522773493616945</v>
      </c>
      <c r="Z2697" s="377">
        <f>PPMT('Assumptions (T&amp;D)'!$B$97,Model!X$1,'Assumptions (T&amp;D)'!$B$100,Model!$Y$2672)</f>
        <v>-0.47376052345637504</v>
      </c>
      <c r="AA2697" s="377">
        <f>PPMT('Assumptions (T&amp;D)'!$B$97,Model!Y$1,'Assumptions (T&amp;D)'!$B$100,Model!$Y$2672)</f>
        <v>-0.49626414832055288</v>
      </c>
      <c r="AB2697" s="377">
        <f>PPMT('Assumptions (T&amp;D)'!$B$97,Model!Z$1,'Assumptions (T&amp;D)'!$B$100,Model!$Y$2672)</f>
        <v>-0.51983669536577914</v>
      </c>
      <c r="AC2697" s="377">
        <f>PPMT('Assumptions (T&amp;D)'!$B$97,Model!AA$1,'Assumptions (T&amp;D)'!$B$100,Model!$Y$2672)</f>
        <v>-0.54452893839565353</v>
      </c>
      <c r="AD2697" s="377">
        <f>PPMT('Assumptions (T&amp;D)'!$B$97,Model!AB$1,'Assumptions (T&amp;D)'!$B$100,Model!$Y$2672)</f>
        <v>-0.57039406296944706</v>
      </c>
      <c r="AE2697" s="377">
        <f>PPMT('Assumptions (T&amp;D)'!$B$97,Model!AC$1,'Assumptions (T&amp;D)'!$B$100,Model!$Y$2672)</f>
        <v>-0.59748778096049593</v>
      </c>
      <c r="AF2697" s="377">
        <f>PPMT('Assumptions (T&amp;D)'!$B$97,Model!AD$1,'Assumptions (T&amp;D)'!$B$100,Model!$Y$2672)</f>
        <v>-0.6258684505561195</v>
      </c>
      <c r="AG2697" s="377">
        <f>PPMT('Assumptions (T&amp;D)'!$B$97,Model!AE$1,'Assumptions (T&amp;D)'!$B$100,Model!$Y$2672)</f>
        <v>-0.65559720195753513</v>
      </c>
      <c r="AH2697" s="377">
        <f>PPMT('Assumptions (T&amp;D)'!$B$97,Model!AF$1,'Assumptions (T&amp;D)'!$B$100,Model!$Y$2672)</f>
        <v>-0.68673806905051804</v>
      </c>
      <c r="AI2697" s="377">
        <f>PPMT('Assumptions (T&amp;D)'!$B$97,Model!AG$1,'Assumptions (T&amp;D)'!$B$100,Model!$Y$2672)</f>
        <v>-0.71935812733041771</v>
      </c>
      <c r="AJ2697" s="377">
        <f>PPMT('Assumptions (T&amp;D)'!$B$97,Model!AH$1,'Assumptions (T&amp;D)'!$B$100,Model!$Y$2672)</f>
        <v>-0.75352763837861247</v>
      </c>
      <c r="AK2697" s="377">
        <f>PPMT('Assumptions (T&amp;D)'!$B$97,Model!AI$1,'Assumptions (T&amp;D)'!$B$100,Model!$Y$2672)</f>
        <v>-0.78932020120159663</v>
      </c>
      <c r="AL2697" s="377">
        <f>PPMT('Assumptions (T&amp;D)'!$B$97,Model!AJ$1,'Assumptions (T&amp;D)'!$B$100,Model!$Y$2672)</f>
        <v>-0.82681291075867258</v>
      </c>
      <c r="AM2697" s="377">
        <f>PPMT('Assumptions (T&amp;D)'!$B$97,Model!AK$1,'Assumptions (T&amp;D)'!$B$100,Model!$Y$2672)</f>
        <v>-0.86608652401970931</v>
      </c>
      <c r="AN2697" s="377"/>
      <c r="AO2697" s="377"/>
      <c r="AP2697" s="377"/>
      <c r="AQ2697" s="377"/>
      <c r="AR2697" s="377"/>
      <c r="AS2697" s="377"/>
      <c r="AT2697" s="377"/>
      <c r="AU2697" s="377"/>
      <c r="AV2697" s="377"/>
      <c r="AW2697" s="377"/>
    </row>
    <row r="2698" spans="1:56" ht="15.75" hidden="1" customHeight="1" outlineLevel="1">
      <c r="A2698" s="460"/>
      <c r="B2698" s="99"/>
      <c r="C2698" s="377"/>
      <c r="D2698" s="377"/>
      <c r="E2698" s="377"/>
      <c r="F2698" s="377"/>
      <c r="G2698" s="377"/>
      <c r="H2698" s="377"/>
      <c r="I2698" s="377"/>
      <c r="J2698" s="377"/>
      <c r="K2698" s="377"/>
      <c r="L2698" s="377"/>
      <c r="M2698" s="377"/>
      <c r="N2698" s="377"/>
      <c r="O2698" s="377"/>
      <c r="P2698" s="377"/>
      <c r="Q2698" s="377"/>
      <c r="R2698" s="377"/>
      <c r="S2698" s="42"/>
      <c r="T2698" s="42"/>
      <c r="U2698" s="42"/>
      <c r="V2698" s="42"/>
      <c r="W2698" s="86"/>
      <c r="Z2698" s="377">
        <f>PPMT('Assumptions (T&amp;D)'!$B$97,Model!W$1,'Assumptions (T&amp;D)'!$B$100,Model!$Z$2672)</f>
        <v>-0.48447218522739077</v>
      </c>
      <c r="AA2698" s="377">
        <f>PPMT('Assumptions (T&amp;D)'!$B$97,Model!X$1,'Assumptions (T&amp;D)'!$B$100,Model!$Z$2672)</f>
        <v>-0.50748461402569178</v>
      </c>
      <c r="AB2698" s="377">
        <f>PPMT('Assumptions (T&amp;D)'!$B$97,Model!Y$1,'Assumptions (T&amp;D)'!$B$100,Model!$Z$2672)</f>
        <v>-0.53159013319191217</v>
      </c>
      <c r="AC2698" s="377">
        <f>PPMT('Assumptions (T&amp;D)'!$B$97,Model!Z$1,'Assumptions (T&amp;D)'!$B$100,Model!$Z$2672)</f>
        <v>-0.55684066451852798</v>
      </c>
      <c r="AD2698" s="377">
        <f>PPMT('Assumptions (T&amp;D)'!$B$97,Model!AA$1,'Assumptions (T&amp;D)'!$B$100,Model!$Z$2672)</f>
        <v>-0.58329059608315803</v>
      </c>
      <c r="AE2698" s="377">
        <f>PPMT('Assumptions (T&amp;D)'!$B$97,Model!AB$1,'Assumptions (T&amp;D)'!$B$100,Model!$Z$2672)</f>
        <v>-0.61099689939710811</v>
      </c>
      <c r="AF2698" s="377">
        <f>PPMT('Assumptions (T&amp;D)'!$B$97,Model!AC$1,'Assumptions (T&amp;D)'!$B$100,Model!$Z$2672)</f>
        <v>-0.64001925211847077</v>
      </c>
      <c r="AG2698" s="377">
        <f>PPMT('Assumptions (T&amp;D)'!$B$97,Model!AD$1,'Assumptions (T&amp;D)'!$B$100,Model!$Z$2672)</f>
        <v>-0.67042016659409809</v>
      </c>
      <c r="AH2698" s="377">
        <f>PPMT('Assumptions (T&amp;D)'!$B$97,Model!AE$1,'Assumptions (T&amp;D)'!$B$100,Model!$Z$2672)</f>
        <v>-0.70226512450731771</v>
      </c>
      <c r="AI2698" s="377">
        <f>PPMT('Assumptions (T&amp;D)'!$B$97,Model!AF$1,'Assumptions (T&amp;D)'!$B$100,Model!$Z$2672)</f>
        <v>-0.73562271792141531</v>
      </c>
      <c r="AJ2698" s="377">
        <f>PPMT('Assumptions (T&amp;D)'!$B$97,Model!AG$1,'Assumptions (T&amp;D)'!$B$100,Model!$Z$2672)</f>
        <v>-0.77056479702268266</v>
      </c>
      <c r="AK2698" s="377">
        <f>PPMT('Assumptions (T&amp;D)'!$B$97,Model!AH$1,'Assumptions (T&amp;D)'!$B$100,Model!$Z$2672)</f>
        <v>-0.80716662488126001</v>
      </c>
      <c r="AL2698" s="377">
        <f>PPMT('Assumptions (T&amp;D)'!$B$97,Model!AI$1,'Assumptions (T&amp;D)'!$B$100,Model!$Z$2672)</f>
        <v>-0.84550703956312001</v>
      </c>
      <c r="AM2698" s="377">
        <f>PPMT('Assumptions (T&amp;D)'!$B$97,Model!AJ$1,'Assumptions (T&amp;D)'!$B$100,Model!$Z$2672)</f>
        <v>-0.88566862394236823</v>
      </c>
      <c r="AN2698" s="377">
        <f>PPMT('Assumptions (T&amp;D)'!$B$97,Model!AK$1,'Assumptions (T&amp;D)'!$B$100,Model!$Z$2672)</f>
        <v>-0.92773788357963061</v>
      </c>
      <c r="AO2698" s="377"/>
      <c r="AP2698" s="377"/>
      <c r="AQ2698" s="377"/>
      <c r="AR2698" s="377"/>
      <c r="AS2698" s="377"/>
      <c r="AT2698" s="377"/>
      <c r="AU2698" s="377"/>
      <c r="AV2698" s="377"/>
      <c r="AW2698" s="377"/>
      <c r="AX2698" s="377"/>
    </row>
    <row r="2699" spans="1:56" ht="15.75" hidden="1" customHeight="1" outlineLevel="1">
      <c r="A2699" s="460"/>
      <c r="B2699" s="99"/>
      <c r="C2699" s="377"/>
      <c r="D2699" s="377"/>
      <c r="E2699" s="377"/>
      <c r="F2699" s="377"/>
      <c r="G2699" s="377"/>
      <c r="H2699" s="377"/>
      <c r="I2699" s="377"/>
      <c r="J2699" s="377"/>
      <c r="K2699" s="377"/>
      <c r="L2699" s="377"/>
      <c r="M2699" s="377"/>
      <c r="N2699" s="377"/>
      <c r="O2699" s="377"/>
      <c r="P2699" s="377"/>
      <c r="Q2699" s="377"/>
      <c r="R2699" s="377"/>
      <c r="S2699" s="42"/>
      <c r="T2699" s="42"/>
      <c r="U2699" s="42"/>
      <c r="V2699" s="42"/>
      <c r="W2699" s="86"/>
      <c r="AA2699" s="377">
        <f>PPMT('Assumptions (T&amp;D)'!$B$97,Model!W$1,'Assumptions (T&amp;D)'!$B$100,Model!$AA$2672)</f>
        <v>-0.48283594138323543</v>
      </c>
      <c r="AB2699" s="377">
        <f>PPMT('Assumptions (T&amp;D)'!$B$97,Model!X$1,'Assumptions (T&amp;D)'!$B$100,Model!$AA$2672)</f>
        <v>-0.50577064859893917</v>
      </c>
      <c r="AC2699" s="377">
        <f>PPMT('Assumptions (T&amp;D)'!$B$97,Model!Y$1,'Assumptions (T&amp;D)'!$B$100,Model!$AA$2672)</f>
        <v>-0.52979475440738877</v>
      </c>
      <c r="AD2699" s="377">
        <f>PPMT('Assumptions (T&amp;D)'!$B$97,Model!Z$1,'Assumptions (T&amp;D)'!$B$100,Model!$AA$2672)</f>
        <v>-0.55496000524173972</v>
      </c>
      <c r="AE2699" s="377">
        <f>PPMT('Assumptions (T&amp;D)'!$B$97,Model!AA$1,'Assumptions (T&amp;D)'!$B$100,Model!$AA$2672)</f>
        <v>-0.58132060549072229</v>
      </c>
      <c r="AF2699" s="377">
        <f>PPMT('Assumptions (T&amp;D)'!$B$97,Model!AB$1,'Assumptions (T&amp;D)'!$B$100,Model!$AA$2672)</f>
        <v>-0.60893333425153173</v>
      </c>
      <c r="AG2699" s="377">
        <f>PPMT('Assumptions (T&amp;D)'!$B$97,Model!AC$1,'Assumptions (T&amp;D)'!$B$100,Model!$AA$2672)</f>
        <v>-0.6378576676284794</v>
      </c>
      <c r="AH2699" s="377">
        <f>PPMT('Assumptions (T&amp;D)'!$B$97,Model!AD$1,'Assumptions (T&amp;D)'!$B$100,Model!$AA$2672)</f>
        <v>-0.66815590684083215</v>
      </c>
      <c r="AI2699" s="377">
        <f>PPMT('Assumptions (T&amp;D)'!$B$97,Model!AE$1,'Assumptions (T&amp;D)'!$B$100,Model!$AA$2672)</f>
        <v>-0.69989331241577168</v>
      </c>
      <c r="AJ2699" s="377">
        <f>PPMT('Assumptions (T&amp;D)'!$B$97,Model!AF$1,'Assumptions (T&amp;D)'!$B$100,Model!$AA$2672)</f>
        <v>-0.73313824475552092</v>
      </c>
      <c r="AK2699" s="377">
        <f>PPMT('Assumptions (T&amp;D)'!$B$97,Model!AG$1,'Assumptions (T&amp;D)'!$B$100,Model!$AA$2672)</f>
        <v>-0.76796231138140825</v>
      </c>
      <c r="AL2699" s="377">
        <f>PPMT('Assumptions (T&amp;D)'!$B$97,Model!AH$1,'Assumptions (T&amp;D)'!$B$100,Model!$AA$2672)</f>
        <v>-0.80444052117202514</v>
      </c>
      <c r="AM2699" s="377">
        <f>PPMT('Assumptions (T&amp;D)'!$B$97,Model!AI$1,'Assumptions (T&amp;D)'!$B$100,Model!$AA$2672)</f>
        <v>-0.84265144592769636</v>
      </c>
      <c r="AN2699" s="377">
        <f>PPMT('Assumptions (T&amp;D)'!$B$97,Model!AJ$1,'Assumptions (T&amp;D)'!$B$100,Model!$AA$2672)</f>
        <v>-0.8826773896092619</v>
      </c>
      <c r="AO2699" s="377">
        <f>PPMT('Assumptions (T&amp;D)'!$B$97,Model!AK$1,'Assumptions (T&amp;D)'!$B$100,Model!$AA$2672)</f>
        <v>-0.9246045656157017</v>
      </c>
      <c r="AP2699" s="377"/>
      <c r="AQ2699" s="377"/>
      <c r="AR2699" s="377"/>
      <c r="AS2699" s="377"/>
      <c r="AT2699" s="377"/>
      <c r="AU2699" s="377"/>
      <c r="AV2699" s="377"/>
      <c r="AW2699" s="377"/>
      <c r="AX2699" s="377"/>
      <c r="AY2699" s="377"/>
    </row>
    <row r="2700" spans="1:56" ht="15.75" hidden="1" customHeight="1" outlineLevel="1">
      <c r="A2700" s="460"/>
      <c r="B2700" s="99"/>
      <c r="C2700" s="377"/>
      <c r="D2700" s="377"/>
      <c r="E2700" s="377"/>
      <c r="F2700" s="377"/>
      <c r="G2700" s="377"/>
      <c r="H2700" s="377"/>
      <c r="I2700" s="377"/>
      <c r="J2700" s="377"/>
      <c r="K2700" s="377"/>
      <c r="L2700" s="377"/>
      <c r="M2700" s="377"/>
      <c r="N2700" s="377"/>
      <c r="O2700" s="377"/>
      <c r="P2700" s="377"/>
      <c r="Q2700" s="377"/>
      <c r="R2700" s="377"/>
      <c r="S2700" s="42"/>
      <c r="T2700" s="42"/>
      <c r="U2700" s="42"/>
      <c r="V2700" s="42"/>
      <c r="W2700" s="86"/>
      <c r="AB2700" s="377">
        <f>PPMT('Assumptions (T&amp;D)'!$B$97,Model!W$1,'Assumptions (T&amp;D)'!$B$100,Model!$AB$2672)</f>
        <v>-0.44099150604593806</v>
      </c>
      <c r="AC2700" s="377">
        <f>PPMT('Assumptions (T&amp;D)'!$B$97,Model!X$1,'Assumptions (T&amp;D)'!$B$100,Model!$AB$2672)</f>
        <v>-0.46193860258312019</v>
      </c>
      <c r="AD2700" s="377">
        <f>PPMT('Assumptions (T&amp;D)'!$B$97,Model!Y$1,'Assumptions (T&amp;D)'!$B$100,Model!$AB$2672)</f>
        <v>-0.48388068620581837</v>
      </c>
      <c r="AE2700" s="377">
        <f>PPMT('Assumptions (T&amp;D)'!$B$97,Model!Z$1,'Assumptions (T&amp;D)'!$B$100,Model!$AB$2672)</f>
        <v>-0.50686501880059476</v>
      </c>
      <c r="AF2700" s="377">
        <f>PPMT('Assumptions (T&amp;D)'!$B$97,Model!AA$1,'Assumptions (T&amp;D)'!$B$100,Model!$AB$2672)</f>
        <v>-0.53094110719362286</v>
      </c>
      <c r="AG2700" s="377">
        <f>PPMT('Assumptions (T&amp;D)'!$B$97,Model!AB$1,'Assumptions (T&amp;D)'!$B$100,Model!$AB$2672)</f>
        <v>-0.55616080978532012</v>
      </c>
      <c r="AH2700" s="377">
        <f>PPMT('Assumptions (T&amp;D)'!$B$97,Model!AC$1,'Assumptions (T&amp;D)'!$B$100,Model!$AB$2672)</f>
        <v>-0.58257844825012273</v>
      </c>
      <c r="AI2700" s="377">
        <f>PPMT('Assumptions (T&amp;D)'!$B$97,Model!AD$1,'Assumptions (T&amp;D)'!$B$100,Model!$AB$2672)</f>
        <v>-0.61025092454200358</v>
      </c>
      <c r="AJ2700" s="377">
        <f>PPMT('Assumptions (T&amp;D)'!$B$97,Model!AE$1,'Assumptions (T&amp;D)'!$B$100,Model!$AB$2672)</f>
        <v>-0.6392378434577487</v>
      </c>
      <c r="AK2700" s="377">
        <f>PPMT('Assumptions (T&amp;D)'!$B$97,Model!AF$1,'Assumptions (T&amp;D)'!$B$100,Model!$AB$2672)</f>
        <v>-0.66960164102199182</v>
      </c>
      <c r="AL2700" s="377">
        <f>PPMT('Assumptions (T&amp;D)'!$B$97,Model!AG$1,'Assumptions (T&amp;D)'!$B$100,Model!$AB$2672)</f>
        <v>-0.70140771897053655</v>
      </c>
      <c r="AM2700" s="377">
        <f>PPMT('Assumptions (T&amp;D)'!$B$97,Model!AH$1,'Assumptions (T&amp;D)'!$B$100,Model!$AB$2672)</f>
        <v>-0.73472458562163701</v>
      </c>
      <c r="AN2700" s="377">
        <f>PPMT('Assumptions (T&amp;D)'!$B$97,Model!AI$1,'Assumptions (T&amp;D)'!$B$100,Model!$AB$2672)</f>
        <v>-0.76962400343866466</v>
      </c>
      <c r="AO2700" s="377">
        <f>PPMT('Assumptions (T&amp;D)'!$B$97,Model!AJ$1,'Assumptions (T&amp;D)'!$B$100,Model!$AB$2672)</f>
        <v>-0.80618114360200133</v>
      </c>
      <c r="AP2700" s="377">
        <f>PPMT('Assumptions (T&amp;D)'!$B$97,Model!AK$1,'Assumptions (T&amp;D)'!$B$100,Model!$AB$2672)</f>
        <v>-0.84447474792309629</v>
      </c>
      <c r="AQ2700" s="377"/>
      <c r="AR2700" s="377"/>
      <c r="AS2700" s="377"/>
      <c r="AT2700" s="377"/>
      <c r="AU2700" s="377"/>
      <c r="AV2700" s="377"/>
      <c r="AW2700" s="377"/>
      <c r="AX2700" s="377"/>
      <c r="AY2700" s="377"/>
      <c r="AZ2700" s="377"/>
    </row>
    <row r="2701" spans="1:56" ht="15.75" hidden="1" customHeight="1" outlineLevel="1">
      <c r="A2701" s="460"/>
      <c r="B2701" s="99"/>
      <c r="C2701" s="377"/>
      <c r="D2701" s="377"/>
      <c r="E2701" s="377"/>
      <c r="F2701" s="377"/>
      <c r="G2701" s="377"/>
      <c r="H2701" s="377"/>
      <c r="I2701" s="377"/>
      <c r="J2701" s="377"/>
      <c r="K2701" s="377"/>
      <c r="L2701" s="377"/>
      <c r="M2701" s="377"/>
      <c r="N2701" s="377"/>
      <c r="O2701" s="377"/>
      <c r="P2701" s="377"/>
      <c r="Q2701" s="377"/>
      <c r="R2701" s="377"/>
      <c r="S2701" s="42"/>
      <c r="T2701" s="42"/>
      <c r="U2701" s="42"/>
      <c r="V2701" s="42"/>
      <c r="W2701" s="86"/>
      <c r="AC2701" s="377">
        <f>PPMT('Assumptions (T&amp;D)'!$B$97,Model!W$1,'Assumptions (T&amp;D)'!$B$100,Model!$AC$2672)</f>
        <v>-0.46995219569871238</v>
      </c>
      <c r="AD2701" s="377">
        <f>PPMT('Assumptions (T&amp;D)'!$B$97,Model!X$1,'Assumptions (T&amp;D)'!$B$100,Model!$AC$2672)</f>
        <v>-0.49227492499440123</v>
      </c>
      <c r="AE2701" s="377">
        <f>PPMT('Assumptions (T&amp;D)'!$B$97,Model!Y$1,'Assumptions (T&amp;D)'!$B$100,Model!$AC$2672)</f>
        <v>-0.51565798393163531</v>
      </c>
      <c r="AF2701" s="377">
        <f>PPMT('Assumptions (T&amp;D)'!$B$97,Model!Z$1,'Assumptions (T&amp;D)'!$B$100,Model!$AC$2672)</f>
        <v>-0.54015173816838791</v>
      </c>
      <c r="AG2701" s="377">
        <f>PPMT('Assumptions (T&amp;D)'!$B$97,Model!AA$1,'Assumptions (T&amp;D)'!$B$100,Model!$AC$2672)</f>
        <v>-0.56580894573138629</v>
      </c>
      <c r="AH2701" s="377">
        <f>PPMT('Assumptions (T&amp;D)'!$B$97,Model!AB$1,'Assumptions (T&amp;D)'!$B$100,Model!$AC$2672)</f>
        <v>-0.59268487065362718</v>
      </c>
      <c r="AI2701" s="377">
        <f>PPMT('Assumptions (T&amp;D)'!$B$97,Model!AC$1,'Assumptions (T&amp;D)'!$B$100,Model!$AC$2672)</f>
        <v>-0.62083740200967452</v>
      </c>
      <c r="AJ2701" s="377">
        <f>PPMT('Assumptions (T&amp;D)'!$B$97,Model!AD$1,'Assumptions (T&amp;D)'!$B$100,Model!$AC$2672)</f>
        <v>-0.65032717860513412</v>
      </c>
      <c r="AK2701" s="377">
        <f>PPMT('Assumptions (T&amp;D)'!$B$97,Model!AE$1,'Assumptions (T&amp;D)'!$B$100,Model!$AC$2672)</f>
        <v>-0.68121771958887789</v>
      </c>
      <c r="AL2701" s="377">
        <f>PPMT('Assumptions (T&amp;D)'!$B$97,Model!AF$1,'Assumptions (T&amp;D)'!$B$100,Model!$AC$2672)</f>
        <v>-0.71357556126934973</v>
      </c>
      <c r="AM2701" s="377">
        <f>PPMT('Assumptions (T&amp;D)'!$B$97,Model!AG$1,'Assumptions (T&amp;D)'!$B$100,Model!$AC$2672)</f>
        <v>-0.74747040042964386</v>
      </c>
      <c r="AN2701" s="377">
        <f>PPMT('Assumptions (T&amp;D)'!$B$97,Model!AH$1,'Assumptions (T&amp;D)'!$B$100,Model!$AC$2672)</f>
        <v>-0.78297524445005184</v>
      </c>
      <c r="AO2701" s="377">
        <f>PPMT('Assumptions (T&amp;D)'!$B$97,Model!AI$1,'Assumptions (T&amp;D)'!$B$100,Model!$AC$2672)</f>
        <v>-0.82016656856142944</v>
      </c>
      <c r="AP2701" s="377">
        <f>PPMT('Assumptions (T&amp;D)'!$B$97,Model!AJ$1,'Assumptions (T&amp;D)'!$B$100,Model!$AC$2672)</f>
        <v>-0.85912448056809732</v>
      </c>
      <c r="AQ2701" s="377">
        <f>PPMT('Assumptions (T&amp;D)'!$B$97,Model!AK$1,'Assumptions (T&amp;D)'!$B$100,Model!$AC$2672)</f>
        <v>-0.89993289339508187</v>
      </c>
      <c r="AR2701" s="377"/>
      <c r="AS2701" s="377"/>
      <c r="AT2701" s="377"/>
      <c r="AU2701" s="377"/>
      <c r="AV2701" s="377"/>
      <c r="AW2701" s="377"/>
      <c r="AX2701" s="377"/>
      <c r="AY2701" s="377"/>
      <c r="AZ2701" s="377"/>
      <c r="BA2701" s="377"/>
    </row>
    <row r="2702" spans="1:56" ht="15.75" hidden="1" customHeight="1" outlineLevel="1">
      <c r="A2702" s="460"/>
      <c r="B2702" s="99"/>
      <c r="C2702" s="377"/>
      <c r="D2702" s="377"/>
      <c r="E2702" s="377"/>
      <c r="F2702" s="377"/>
      <c r="G2702" s="377"/>
      <c r="H2702" s="377"/>
      <c r="I2702" s="377"/>
      <c r="J2702" s="377"/>
      <c r="K2702" s="377"/>
      <c r="L2702" s="377"/>
      <c r="M2702" s="377"/>
      <c r="N2702" s="377"/>
      <c r="O2702" s="377"/>
      <c r="P2702" s="377"/>
      <c r="Q2702" s="377"/>
      <c r="R2702" s="377"/>
      <c r="S2702" s="42"/>
      <c r="T2702" s="42"/>
      <c r="U2702" s="42"/>
      <c r="V2702" s="42"/>
      <c r="W2702" s="86"/>
      <c r="AD2702" s="377">
        <f>PPMT('Assumptions (T&amp;D)'!$B$97,Model!W$1,'Assumptions (T&amp;D)'!$B$100,Model!$AD$2672)</f>
        <v>-0.50653612991273433</v>
      </c>
      <c r="AE2702" s="377">
        <f>PPMT('Assumptions (T&amp;D)'!$B$97,Model!X$1,'Assumptions (T&amp;D)'!$B$100,Model!$AD$2672)</f>
        <v>-0.53059659608358922</v>
      </c>
      <c r="AF2702" s="377">
        <f>PPMT('Assumptions (T&amp;D)'!$B$97,Model!Y$1,'Assumptions (T&amp;D)'!$B$100,Model!$AD$2672)</f>
        <v>-0.5557999343975597</v>
      </c>
      <c r="AG2702" s="377">
        <f>PPMT('Assumptions (T&amp;D)'!$B$97,Model!Z$1,'Assumptions (T&amp;D)'!$B$100,Model!$AD$2672)</f>
        <v>-0.58220043128144372</v>
      </c>
      <c r="AH2702" s="377">
        <f>PPMT('Assumptions (T&amp;D)'!$B$97,Model!AA$1,'Assumptions (T&amp;D)'!$B$100,Model!$AD$2672)</f>
        <v>-0.6098549517673123</v>
      </c>
      <c r="AI2702" s="377">
        <f>PPMT('Assumptions (T&amp;D)'!$B$97,Model!AB$1,'Assumptions (T&amp;D)'!$B$100,Model!$AD$2672)</f>
        <v>-0.63882306197625971</v>
      </c>
      <c r="AJ2702" s="377">
        <f>PPMT('Assumptions (T&amp;D)'!$B$97,Model!AC$1,'Assumptions (T&amp;D)'!$B$100,Model!$AD$2672)</f>
        <v>-0.669167157420132</v>
      </c>
      <c r="AK2702" s="377">
        <f>PPMT('Assumptions (T&amp;D)'!$B$97,Model!AD$1,'Assumptions (T&amp;D)'!$B$100,Model!$AD$2672)</f>
        <v>-0.7009525973975882</v>
      </c>
      <c r="AL2702" s="377">
        <f>PPMT('Assumptions (T&amp;D)'!$B$97,Model!AE$1,'Assumptions (T&amp;D)'!$B$100,Model!$AD$2672)</f>
        <v>-0.73424784577397373</v>
      </c>
      <c r="AM2702" s="377">
        <f>PPMT('Assumptions (T&amp;D)'!$B$97,Model!AF$1,'Assumptions (T&amp;D)'!$B$100,Model!$AD$2672)</f>
        <v>-0.76912461844823754</v>
      </c>
      <c r="AN2702" s="377">
        <f>PPMT('Assumptions (T&amp;D)'!$B$97,Model!AG$1,'Assumptions (T&amp;D)'!$B$100,Model!$AD$2672)</f>
        <v>-0.80565803782452883</v>
      </c>
      <c r="AO2702" s="377">
        <f>PPMT('Assumptions (T&amp;D)'!$B$97,Model!AH$1,'Assumptions (T&amp;D)'!$B$100,Model!$AD$2672)</f>
        <v>-0.84392679462119391</v>
      </c>
      <c r="AP2702" s="377">
        <f>PPMT('Assumptions (T&amp;D)'!$B$97,Model!AI$1,'Assumptions (T&amp;D)'!$B$100,Model!$AD$2672)</f>
        <v>-0.88401331736570066</v>
      </c>
      <c r="AQ2702" s="377">
        <f>PPMT('Assumptions (T&amp;D)'!$B$97,Model!AJ$1,'Assumptions (T&amp;D)'!$B$100,Model!$AD$2672)</f>
        <v>-0.92600394994057145</v>
      </c>
      <c r="AR2702" s="377">
        <f>PPMT('Assumptions (T&amp;D)'!$B$97,Model!AK$1,'Assumptions (T&amp;D)'!$B$100,Model!$AD$2672)</f>
        <v>-0.96998913756274852</v>
      </c>
      <c r="AS2702" s="377"/>
      <c r="AT2702" s="377"/>
      <c r="AU2702" s="377"/>
      <c r="AV2702" s="377"/>
      <c r="AW2702" s="377"/>
      <c r="AX2702" s="377"/>
      <c r="AY2702" s="377"/>
      <c r="AZ2702" s="377"/>
      <c r="BA2702" s="377"/>
      <c r="BB2702" s="377"/>
    </row>
    <row r="2703" spans="1:56" ht="15.75" hidden="1" customHeight="1" outlineLevel="1">
      <c r="A2703" s="460"/>
      <c r="B2703" s="99"/>
      <c r="C2703" s="377"/>
      <c r="D2703" s="377"/>
      <c r="E2703" s="377"/>
      <c r="F2703" s="377"/>
      <c r="G2703" s="377"/>
      <c r="H2703" s="377"/>
      <c r="I2703" s="377"/>
      <c r="J2703" s="377"/>
      <c r="K2703" s="377"/>
      <c r="L2703" s="377"/>
      <c r="M2703" s="377"/>
      <c r="N2703" s="377"/>
      <c r="O2703" s="377"/>
      <c r="P2703" s="377"/>
      <c r="Q2703" s="377"/>
      <c r="R2703" s="377"/>
      <c r="S2703" s="42"/>
      <c r="T2703" s="42"/>
      <c r="U2703" s="42"/>
      <c r="V2703" s="42"/>
      <c r="W2703" s="86"/>
      <c r="AE2703" s="377">
        <f>PPMT('Assumptions (T&amp;D)'!$B$97,Model!W$1,'Assumptions (T&amp;D)'!$B$100,Model!$AE$2672)</f>
        <v>-0.51151492709910873</v>
      </c>
      <c r="AF2703" s="377">
        <f>PPMT('Assumptions (T&amp;D)'!$B$97,Model!X$1,'Assumptions (T&amp;D)'!$B$100,Model!$AE$2672)</f>
        <v>-0.53581188613631647</v>
      </c>
      <c r="AG2703" s="377">
        <f>PPMT('Assumptions (T&amp;D)'!$B$97,Model!Y$1,'Assumptions (T&amp;D)'!$B$100,Model!$AE$2672)</f>
        <v>-0.56126295072779153</v>
      </c>
      <c r="AH2703" s="377">
        <f>PPMT('Assumptions (T&amp;D)'!$B$97,Model!Z$1,'Assumptions (T&amp;D)'!$B$100,Model!$AE$2672)</f>
        <v>-0.58792294088736152</v>
      </c>
      <c r="AI2703" s="377">
        <f>PPMT('Assumptions (T&amp;D)'!$B$97,Model!AA$1,'Assumptions (T&amp;D)'!$B$100,Model!$AE$2672)</f>
        <v>-0.61584928057951116</v>
      </c>
      <c r="AJ2703" s="377">
        <f>PPMT('Assumptions (T&amp;D)'!$B$97,Model!AB$1,'Assumptions (T&amp;D)'!$B$100,Model!$AE$2672)</f>
        <v>-0.64510212140703793</v>
      </c>
      <c r="AK2703" s="377">
        <f>PPMT('Assumptions (T&amp;D)'!$B$97,Model!AC$1,'Assumptions (T&amp;D)'!$B$100,Model!$AE$2672)</f>
        <v>-0.67574447217387223</v>
      </c>
      <c r="AL2703" s="377">
        <f>PPMT('Assumptions (T&amp;D)'!$B$97,Model!AD$1,'Assumptions (T&amp;D)'!$B$100,Model!$AE$2672)</f>
        <v>-0.7078423346021312</v>
      </c>
      <c r="AM2703" s="377">
        <f>PPMT('Assumptions (T&amp;D)'!$B$97,Model!AE$1,'Assumptions (T&amp;D)'!$B$100,Model!$AE$2672)</f>
        <v>-0.74146484549573244</v>
      </c>
      <c r="AN2703" s="377">
        <f>PPMT('Assumptions (T&amp;D)'!$B$97,Model!AF$1,'Assumptions (T&amp;D)'!$B$100,Model!$AE$2672)</f>
        <v>-0.77668442565677975</v>
      </c>
      <c r="AO2703" s="377">
        <f>PPMT('Assumptions (T&amp;D)'!$B$97,Model!AG$1,'Assumptions (T&amp;D)'!$B$100,Model!$AE$2672)</f>
        <v>-0.81357693587547686</v>
      </c>
      <c r="AP2703" s="377">
        <f>PPMT('Assumptions (T&amp;D)'!$B$97,Model!AH$1,'Assumptions (T&amp;D)'!$B$100,Model!$AE$2672)</f>
        <v>-0.85222184032956194</v>
      </c>
      <c r="AQ2703" s="377">
        <f>PPMT('Assumptions (T&amp;D)'!$B$97,Model!AI$1,'Assumptions (T&amp;D)'!$B$100,Model!$AE$2672)</f>
        <v>-0.8927023777452161</v>
      </c>
      <c r="AR2703" s="377">
        <f>PPMT('Assumptions (T&amp;D)'!$B$97,Model!AJ$1,'Assumptions (T&amp;D)'!$B$100,Model!$AE$2672)</f>
        <v>-0.93510574068811392</v>
      </c>
      <c r="AS2703" s="377">
        <f>PPMT('Assumptions (T&amp;D)'!$B$97,Model!AK$1,'Assumptions (T&amp;D)'!$B$100,Model!$AE$2672)</f>
        <v>-0.9795232633707992</v>
      </c>
      <c r="AT2703" s="377"/>
      <c r="AU2703" s="377"/>
      <c r="AV2703" s="377"/>
      <c r="AW2703" s="377"/>
      <c r="AX2703" s="377"/>
      <c r="AY2703" s="377"/>
      <c r="AZ2703" s="377"/>
      <c r="BA2703" s="377"/>
      <c r="BB2703" s="377"/>
      <c r="BC2703" s="377"/>
    </row>
    <row r="2704" spans="1:56" ht="15.75" hidden="1" customHeight="1" outlineLevel="1">
      <c r="A2704" s="460"/>
      <c r="B2704" s="99"/>
      <c r="C2704" s="377"/>
      <c r="D2704" s="377"/>
      <c r="E2704" s="377"/>
      <c r="F2704" s="377"/>
      <c r="G2704" s="377"/>
      <c r="H2704" s="377"/>
      <c r="I2704" s="377"/>
      <c r="J2704" s="377"/>
      <c r="K2704" s="377"/>
      <c r="L2704" s="377"/>
      <c r="M2704" s="377"/>
      <c r="N2704" s="377"/>
      <c r="O2704" s="377"/>
      <c r="P2704" s="377"/>
      <c r="Q2704" s="377"/>
      <c r="R2704" s="377"/>
      <c r="S2704" s="42"/>
      <c r="T2704" s="42"/>
      <c r="U2704" s="42"/>
      <c r="V2704" s="42"/>
      <c r="W2704" s="86"/>
      <c r="AF2704" s="377">
        <f>PPMT('Assumptions (T&amp;D)'!$B$97,Model!W$1,'Assumptions (T&amp;D)'!$B$100,Model!$AF$2672)</f>
        <v>-0.49566064938774357</v>
      </c>
      <c r="AG2704" s="377">
        <f>PPMT('Assumptions (T&amp;D)'!$B$97,Model!X$1,'Assumptions (T&amp;D)'!$B$100,Model!$AF$2672)</f>
        <v>-0.51920453023366131</v>
      </c>
      <c r="AH2704" s="377">
        <f>PPMT('Assumptions (T&amp;D)'!$B$97,Model!Y$1,'Assumptions (T&amp;D)'!$B$100,Model!$AF$2672)</f>
        <v>-0.54386674541976021</v>
      </c>
      <c r="AI2704" s="377">
        <f>PPMT('Assumptions (T&amp;D)'!$B$97,Model!Z$1,'Assumptions (T&amp;D)'!$B$100,Model!$AF$2672)</f>
        <v>-0.56970041582719877</v>
      </c>
      <c r="AJ2704" s="377">
        <f>PPMT('Assumptions (T&amp;D)'!$B$97,Model!AA$1,'Assumptions (T&amp;D)'!$B$100,Model!$AF$2672)</f>
        <v>-0.59676118557899072</v>
      </c>
      <c r="AK2704" s="377">
        <f>PPMT('Assumptions (T&amp;D)'!$B$97,Model!AB$1,'Assumptions (T&amp;D)'!$B$100,Model!$AF$2672)</f>
        <v>-0.62510734189399286</v>
      </c>
      <c r="AL2704" s="377">
        <f>PPMT('Assumptions (T&amp;D)'!$B$97,Model!AC$1,'Assumptions (T&amp;D)'!$B$100,Model!$AF$2672)</f>
        <v>-0.65479994063395752</v>
      </c>
      <c r="AM2704" s="377">
        <f>PPMT('Assumptions (T&amp;D)'!$B$97,Model!AD$1,'Assumptions (T&amp;D)'!$B$100,Model!$AF$2672)</f>
        <v>-0.68590293781407041</v>
      </c>
      <c r="AN2704" s="377">
        <f>PPMT('Assumptions (T&amp;D)'!$B$97,Model!AE$1,'Assumptions (T&amp;D)'!$B$100,Model!$AF$2672)</f>
        <v>-0.71848332736023879</v>
      </c>
      <c r="AO2704" s="377">
        <f>PPMT('Assumptions (T&amp;D)'!$B$97,Model!AF$1,'Assumptions (T&amp;D)'!$B$100,Model!$AF$2672)</f>
        <v>-0.75261128540985012</v>
      </c>
      <c r="AP2704" s="377">
        <f>PPMT('Assumptions (T&amp;D)'!$B$97,Model!AG$1,'Assumptions (T&amp;D)'!$B$100,Model!$AF$2672)</f>
        <v>-0.78836032146681823</v>
      </c>
      <c r="AQ2704" s="377">
        <f>PPMT('Assumptions (T&amp;D)'!$B$97,Model!AH$1,'Assumptions (T&amp;D)'!$B$100,Model!$AF$2672)</f>
        <v>-0.82580743673649193</v>
      </c>
      <c r="AR2704" s="377">
        <f>PPMT('Assumptions (T&amp;D)'!$B$97,Model!AI$1,'Assumptions (T&amp;D)'!$B$100,Model!$AF$2672)</f>
        <v>-0.86503328998147533</v>
      </c>
      <c r="AS2704" s="377">
        <f>PPMT('Assumptions (T&amp;D)'!$B$97,Model!AJ$1,'Assumptions (T&amp;D)'!$B$100,Model!$AF$2672)</f>
        <v>-0.90612237125559547</v>
      </c>
      <c r="AT2704" s="377">
        <f>PPMT('Assumptions (T&amp;D)'!$B$97,Model!AK$1,'Assumptions (T&amp;D)'!$B$100,Model!$AF$2672)</f>
        <v>-0.94916318389023602</v>
      </c>
      <c r="AU2704" s="377"/>
      <c r="AV2704" s="377"/>
      <c r="AW2704" s="377"/>
      <c r="AX2704" s="377"/>
      <c r="AY2704" s="377"/>
      <c r="AZ2704" s="377"/>
      <c r="BA2704" s="377"/>
      <c r="BB2704" s="377"/>
      <c r="BC2704" s="377"/>
      <c r="BD2704" s="377"/>
    </row>
    <row r="2705" spans="1:72" ht="15.75" hidden="1" customHeight="1" outlineLevel="1">
      <c r="A2705" s="460"/>
      <c r="B2705" s="99"/>
      <c r="C2705" s="377"/>
      <c r="D2705" s="377"/>
      <c r="E2705" s="377"/>
      <c r="F2705" s="377"/>
      <c r="G2705" s="377"/>
      <c r="H2705" s="377"/>
      <c r="I2705" s="377"/>
      <c r="J2705" s="377"/>
      <c r="K2705" s="377"/>
      <c r="L2705" s="377"/>
      <c r="M2705" s="377"/>
      <c r="N2705" s="377"/>
      <c r="O2705" s="377"/>
      <c r="P2705" s="377"/>
      <c r="Q2705" s="377"/>
      <c r="R2705" s="377"/>
      <c r="S2705" s="42"/>
      <c r="T2705" s="42"/>
      <c r="U2705" s="42"/>
      <c r="V2705" s="42"/>
      <c r="W2705" s="86"/>
      <c r="AG2705" s="377">
        <f>PPMT('Assumptions (T&amp;D)'!$B$97,Model!W$1,'Assumptions (T&amp;D)'!$B$100,Model!$AG$2672)</f>
        <v>-0.54929940072069683</v>
      </c>
      <c r="AH2705" s="377">
        <f>PPMT('Assumptions (T&amp;D)'!$B$97,Model!X$1,'Assumptions (T&amp;D)'!$B$100,Model!$AG$2672)</f>
        <v>-0.57539112225492994</v>
      </c>
      <c r="AI2705" s="377">
        <f>PPMT('Assumptions (T&amp;D)'!$B$97,Model!Y$1,'Assumptions (T&amp;D)'!$B$100,Model!$AG$2672)</f>
        <v>-0.60272220056203918</v>
      </c>
      <c r="AJ2705" s="377">
        <f>PPMT('Assumptions (T&amp;D)'!$B$97,Model!Z$1,'Assumptions (T&amp;D)'!$B$100,Model!$AG$2672)</f>
        <v>-0.63135150508873594</v>
      </c>
      <c r="AK2705" s="377">
        <f>PPMT('Assumptions (T&amp;D)'!$B$97,Model!AA$1,'Assumptions (T&amp;D)'!$B$100,Model!$AG$2672)</f>
        <v>-0.66134070158045088</v>
      </c>
      <c r="AL2705" s="377">
        <f>PPMT('Assumptions (T&amp;D)'!$B$97,Model!AB$1,'Assumptions (T&amp;D)'!$B$100,Model!$AG$2672)</f>
        <v>-0.69275438490552232</v>
      </c>
      <c r="AM2705" s="377">
        <f>PPMT('Assumptions (T&amp;D)'!$B$97,Model!AC$1,'Assumptions (T&amp;D)'!$B$100,Model!$AG$2672)</f>
        <v>-0.72566021818853466</v>
      </c>
      <c r="AN2705" s="377">
        <f>PPMT('Assumptions (T&amp;D)'!$B$97,Model!AD$1,'Assumptions (T&amp;D)'!$B$100,Model!$AG$2672)</f>
        <v>-0.76012907855249012</v>
      </c>
      <c r="AO2705" s="377">
        <f>PPMT('Assumptions (T&amp;D)'!$B$97,Model!AE$1,'Assumptions (T&amp;D)'!$B$100,Model!$AG$2672)</f>
        <v>-0.7962352097837333</v>
      </c>
      <c r="AP2705" s="377">
        <f>PPMT('Assumptions (T&amp;D)'!$B$97,Model!AF$1,'Assumptions (T&amp;D)'!$B$100,Model!$AG$2672)</f>
        <v>-0.83405638224846068</v>
      </c>
      <c r="AQ2705" s="377">
        <f>PPMT('Assumptions (T&amp;D)'!$B$97,Model!AG$1,'Assumptions (T&amp;D)'!$B$100,Model!$AG$2672)</f>
        <v>-0.87367406040526274</v>
      </c>
      <c r="AR2705" s="377">
        <f>PPMT('Assumptions (T&amp;D)'!$B$97,Model!AH$1,'Assumptions (T&amp;D)'!$B$100,Model!$AG$2672)</f>
        <v>-0.91517357827451262</v>
      </c>
      <c r="AS2705" s="377">
        <f>PPMT('Assumptions (T&amp;D)'!$B$97,Model!AI$1,'Assumptions (T&amp;D)'!$B$100,Model!$AG$2672)</f>
        <v>-0.95864432324255189</v>
      </c>
      <c r="AT2705" s="377">
        <f>PPMT('Assumptions (T&amp;D)'!$B$97,Model!AJ$1,'Assumptions (T&amp;D)'!$B$100,Model!$AG$2672)</f>
        <v>-1.0041799285965731</v>
      </c>
      <c r="AU2705" s="377">
        <f>PPMT('Assumptions (T&amp;D)'!$B$97,Model!AK$1,'Assumptions (T&amp;D)'!$B$100,Model!$AG$2672)</f>
        <v>-1.0518784752049102</v>
      </c>
      <c r="AV2705" s="377"/>
      <c r="AW2705" s="377"/>
      <c r="AX2705" s="377"/>
      <c r="AY2705" s="377"/>
      <c r="AZ2705" s="377"/>
      <c r="BA2705" s="377"/>
      <c r="BB2705" s="377"/>
      <c r="BC2705" s="377"/>
      <c r="BD2705" s="377"/>
      <c r="BE2705" s="377"/>
    </row>
    <row r="2706" spans="1:72" ht="15.75" hidden="1" customHeight="1" outlineLevel="1">
      <c r="A2706" s="460"/>
      <c r="B2706" s="99"/>
      <c r="C2706" s="377"/>
      <c r="D2706" s="377"/>
      <c r="E2706" s="377"/>
      <c r="F2706" s="377"/>
      <c r="G2706" s="377"/>
      <c r="H2706" s="377"/>
      <c r="I2706" s="377"/>
      <c r="J2706" s="377"/>
      <c r="K2706" s="377"/>
      <c r="L2706" s="377"/>
      <c r="M2706" s="377"/>
      <c r="N2706" s="377"/>
      <c r="O2706" s="377"/>
      <c r="P2706" s="377"/>
      <c r="Q2706" s="377"/>
      <c r="R2706" s="377"/>
      <c r="S2706" s="42"/>
      <c r="T2706" s="42"/>
      <c r="U2706" s="42"/>
      <c r="V2706" s="42"/>
      <c r="W2706" s="86"/>
      <c r="AH2706" s="377">
        <f>PPMT('Assumptions (T&amp;D)'!$B$97,Model!W$1,'Assumptions (T&amp;D)'!$B$100,Model!$AH$2672)</f>
        <v>-0.51922909184066368</v>
      </c>
      <c r="AI2706" s="377">
        <f>PPMT('Assumptions (T&amp;D)'!$B$97,Model!X$1,'Assumptions (T&amp;D)'!$B$100,Model!$AH$2672)</f>
        <v>-0.54389247370309524</v>
      </c>
      <c r="AJ2706" s="377">
        <f>PPMT('Assumptions (T&amp;D)'!$B$97,Model!Y$1,'Assumptions (T&amp;D)'!$B$100,Model!$AH$2672)</f>
        <v>-0.56972736620399222</v>
      </c>
      <c r="AK2706" s="377">
        <f>PPMT('Assumptions (T&amp;D)'!$B$97,Model!Z$1,'Assumptions (T&amp;D)'!$B$100,Model!$AH$2672)</f>
        <v>-0.59678941609868186</v>
      </c>
      <c r="AL2706" s="377">
        <f>PPMT('Assumptions (T&amp;D)'!$B$97,Model!AA$1,'Assumptions (T&amp;D)'!$B$100,Model!$AH$2672)</f>
        <v>-0.62513691336336918</v>
      </c>
      <c r="AM2706" s="377">
        <f>PPMT('Assumptions (T&amp;D)'!$B$97,Model!AB$1,'Assumptions (T&amp;D)'!$B$100,Model!$AH$2672)</f>
        <v>-0.65483091674812921</v>
      </c>
      <c r="AN2706" s="377">
        <f>PPMT('Assumptions (T&amp;D)'!$B$97,Model!AC$1,'Assumptions (T&amp;D)'!$B$100,Model!$AH$2672)</f>
        <v>-0.68593538529366549</v>
      </c>
      <c r="AO2706" s="377">
        <f>PPMT('Assumptions (T&amp;D)'!$B$97,Model!AD$1,'Assumptions (T&amp;D)'!$B$100,Model!$AH$2672)</f>
        <v>-0.71851731609511449</v>
      </c>
      <c r="AP2706" s="377">
        <f>PPMT('Assumptions (T&amp;D)'!$B$97,Model!AE$1,'Assumptions (T&amp;D)'!$B$100,Model!$AH$2672)</f>
        <v>-0.75264688860963247</v>
      </c>
      <c r="AQ2706" s="377">
        <f>PPMT('Assumptions (T&amp;D)'!$B$97,Model!AF$1,'Assumptions (T&amp;D)'!$B$100,Model!$AH$2672)</f>
        <v>-0.78839761581859003</v>
      </c>
      <c r="AR2706" s="377">
        <f>PPMT('Assumptions (T&amp;D)'!$B$97,Model!AG$1,'Assumptions (T&amp;D)'!$B$100,Model!$AH$2672)</f>
        <v>-0.82584650256997305</v>
      </c>
      <c r="AS2706" s="377">
        <f>PPMT('Assumptions (T&amp;D)'!$B$97,Model!AH$1,'Assumptions (T&amp;D)'!$B$100,Model!$AH$2672)</f>
        <v>-0.86507421144204677</v>
      </c>
      <c r="AT2706" s="377">
        <f>PPMT('Assumptions (T&amp;D)'!$B$97,Model!AI$1,'Assumptions (T&amp;D)'!$B$100,Model!$AH$2672)</f>
        <v>-0.90616523648554392</v>
      </c>
      <c r="AU2706" s="377">
        <f>PPMT('Assumptions (T&amp;D)'!$B$97,Model!AJ$1,'Assumptions (T&amp;D)'!$B$100,Model!$AH$2672)</f>
        <v>-0.94920808521860733</v>
      </c>
      <c r="AV2706" s="377">
        <f>PPMT('Assumptions (T&amp;D)'!$B$97,Model!AK$1,'Assumptions (T&amp;D)'!$B$100,Model!$AH$2672)</f>
        <v>-0.99429546926649104</v>
      </c>
      <c r="AW2706" s="377"/>
      <c r="AX2706" s="377"/>
      <c r="AY2706" s="377"/>
      <c r="AZ2706" s="377"/>
      <c r="BA2706" s="377"/>
      <c r="BB2706" s="377"/>
      <c r="BC2706" s="377"/>
      <c r="BD2706" s="377"/>
      <c r="BE2706" s="377"/>
      <c r="BF2706" s="377"/>
    </row>
    <row r="2707" spans="1:72" ht="15.75" hidden="1" customHeight="1" outlineLevel="1">
      <c r="A2707" s="460"/>
      <c r="B2707" s="99"/>
      <c r="C2707" s="377"/>
      <c r="D2707" s="377"/>
      <c r="E2707" s="377"/>
      <c r="F2707" s="377"/>
      <c r="G2707" s="377"/>
      <c r="H2707" s="377"/>
      <c r="I2707" s="377"/>
      <c r="J2707" s="377"/>
      <c r="K2707" s="377"/>
      <c r="L2707" s="377"/>
      <c r="M2707" s="377"/>
      <c r="N2707" s="377"/>
      <c r="O2707" s="377"/>
      <c r="P2707" s="377"/>
      <c r="Q2707" s="377"/>
      <c r="R2707" s="377"/>
      <c r="S2707" s="42"/>
      <c r="T2707" s="42"/>
      <c r="U2707" s="42"/>
      <c r="V2707" s="42"/>
      <c r="W2707" s="86"/>
      <c r="AI2707" s="377">
        <f>PPMT('Assumptions (T&amp;D)'!$B$97,Model!W$1,'Assumptions (T&amp;D)'!$B$100,Model!$AI$2672)</f>
        <v>-0.48065447848573645</v>
      </c>
      <c r="AJ2707" s="377">
        <f>PPMT('Assumptions (T&amp;D)'!$B$97,Model!X$1,'Assumptions (T&amp;D)'!$B$100,Model!$AI$2672)</f>
        <v>-0.50348556621380902</v>
      </c>
      <c r="AK2707" s="377">
        <f>PPMT('Assumptions (T&amp;D)'!$B$97,Model!Y$1,'Assumptions (T&amp;D)'!$B$100,Model!$AI$2672)</f>
        <v>-0.52740113060896499</v>
      </c>
      <c r="AL2707" s="377">
        <f>PPMT('Assumptions (T&amp;D)'!$B$97,Model!Z$1,'Assumptions (T&amp;D)'!$B$100,Model!$AI$2672)</f>
        <v>-0.55245268431289074</v>
      </c>
      <c r="AM2707" s="377">
        <f>PPMT('Assumptions (T&amp;D)'!$B$97,Model!AA$1,'Assumptions (T&amp;D)'!$B$100,Model!$AI$2672)</f>
        <v>-0.57869418681775309</v>
      </c>
      <c r="AN2707" s="377">
        <f>PPMT('Assumptions (T&amp;D)'!$B$97,Model!AB$1,'Assumptions (T&amp;D)'!$B$100,Model!$AI$2672)</f>
        <v>-0.60618216069159636</v>
      </c>
      <c r="AO2707" s="377">
        <f>PPMT('Assumptions (T&amp;D)'!$B$97,Model!AC$1,'Assumptions (T&amp;D)'!$B$100,Model!$AI$2672)</f>
        <v>-0.63497581332444719</v>
      </c>
      <c r="AP2707" s="377">
        <f>PPMT('Assumptions (T&amp;D)'!$B$97,Model!AD$1,'Assumptions (T&amp;D)'!$B$100,Model!$AI$2672)</f>
        <v>-0.66513716445735838</v>
      </c>
      <c r="AQ2707" s="377">
        <f>PPMT('Assumptions (T&amp;D)'!$B$97,Model!AE$1,'Assumptions (T&amp;D)'!$B$100,Model!$AI$2672)</f>
        <v>-0.69673117976908294</v>
      </c>
      <c r="AR2707" s="377">
        <f>PPMT('Assumptions (T&amp;D)'!$B$97,Model!AF$1,'Assumptions (T&amp;D)'!$B$100,Model!$AI$2672)</f>
        <v>-0.72982591080811443</v>
      </c>
      <c r="AS2707" s="377">
        <f>PPMT('Assumptions (T&amp;D)'!$B$97,Model!AG$1,'Assumptions (T&amp;D)'!$B$100,Model!$AI$2672)</f>
        <v>-0.76449264157149988</v>
      </c>
      <c r="AT2707" s="377">
        <f>PPMT('Assumptions (T&amp;D)'!$B$97,Model!AH$1,'Assumptions (T&amp;D)'!$B$100,Model!$AI$2672)</f>
        <v>-0.80080604204614603</v>
      </c>
      <c r="AU2707" s="377">
        <f>PPMT('Assumptions (T&amp;D)'!$B$97,Model!AI$1,'Assumptions (T&amp;D)'!$B$100,Model!$AI$2672)</f>
        <v>-0.83884432904333806</v>
      </c>
      <c r="AV2707" s="377">
        <f>PPMT('Assumptions (T&amp;D)'!$B$97,Model!AJ$1,'Assumptions (T&amp;D)'!$B$100,Model!$AI$2672)</f>
        <v>-0.87868943467289662</v>
      </c>
      <c r="AW2707" s="377">
        <f>PPMT('Assumptions (T&amp;D)'!$B$97,Model!AK$1,'Assumptions (T&amp;D)'!$B$100,Model!$AI$2672)</f>
        <v>-0.92042718281985902</v>
      </c>
      <c r="AX2707" s="377"/>
      <c r="AY2707" s="377"/>
      <c r="AZ2707" s="377"/>
      <c r="BA2707" s="377"/>
      <c r="BB2707" s="377"/>
      <c r="BC2707" s="377"/>
      <c r="BD2707" s="377"/>
      <c r="BE2707" s="377"/>
      <c r="BF2707" s="377"/>
      <c r="BG2707" s="377"/>
    </row>
    <row r="2708" spans="1:72" ht="15.75" hidden="1" customHeight="1" outlineLevel="1">
      <c r="A2708" s="460"/>
      <c r="B2708" s="99"/>
      <c r="C2708" s="377"/>
      <c r="D2708" s="377"/>
      <c r="E2708" s="377"/>
      <c r="F2708" s="377"/>
      <c r="G2708" s="377"/>
      <c r="H2708" s="377"/>
      <c r="I2708" s="377"/>
      <c r="J2708" s="377"/>
      <c r="K2708" s="377"/>
      <c r="L2708" s="377"/>
      <c r="M2708" s="377"/>
      <c r="N2708" s="377"/>
      <c r="O2708" s="377"/>
      <c r="P2708" s="377"/>
      <c r="Q2708" s="377"/>
      <c r="R2708" s="377"/>
      <c r="S2708" s="42"/>
      <c r="T2708" s="42"/>
      <c r="U2708" s="42"/>
      <c r="V2708" s="42"/>
      <c r="W2708" s="86"/>
      <c r="AJ2708" s="377">
        <f>PPMT('Assumptions (T&amp;D)'!$B$97,Model!W$1,'Assumptions (T&amp;D)'!$B$100,Model!$AJ$2672)</f>
        <v>-0.50856489041495734</v>
      </c>
      <c r="AK2708" s="377">
        <f>PPMT('Assumptions (T&amp;D)'!$B$97,Model!X$1,'Assumptions (T&amp;D)'!$B$100,Model!$AJ$2672)</f>
        <v>-0.53272172270966778</v>
      </c>
      <c r="AL2708" s="377">
        <f>PPMT('Assumptions (T&amp;D)'!$B$97,Model!Y$1,'Assumptions (T&amp;D)'!$B$100,Model!$AJ$2672)</f>
        <v>-0.55802600453837703</v>
      </c>
      <c r="AM2708" s="377">
        <f>PPMT('Assumptions (T&amp;D)'!$B$97,Model!Z$1,'Assumptions (T&amp;D)'!$B$100,Model!$AJ$2672)</f>
        <v>-0.58453223975394986</v>
      </c>
      <c r="AN2708" s="377">
        <f>PPMT('Assumptions (T&amp;D)'!$B$97,Model!AA$1,'Assumptions (T&amp;D)'!$B$100,Model!$AJ$2672)</f>
        <v>-0.61229752114226244</v>
      </c>
      <c r="AO2708" s="377">
        <f>PPMT('Assumptions (T&amp;D)'!$B$97,Model!AB$1,'Assumptions (T&amp;D)'!$B$100,Model!$AJ$2672)</f>
        <v>-0.64138165339651998</v>
      </c>
      <c r="AP2708" s="377">
        <f>PPMT('Assumptions (T&amp;D)'!$B$97,Model!AC$1,'Assumptions (T&amp;D)'!$B$100,Model!$AJ$2672)</f>
        <v>-0.6718472819328547</v>
      </c>
      <c r="AQ2708" s="377">
        <f>PPMT('Assumptions (T&amp;D)'!$B$97,Model!AD$1,'Assumptions (T&amp;D)'!$B$100,Model!$AJ$2672)</f>
        <v>-0.70376002782466529</v>
      </c>
      <c r="AR2708" s="377">
        <f>PPMT('Assumptions (T&amp;D)'!$B$97,Model!AE$1,'Assumptions (T&amp;D)'!$B$100,Model!$AJ$2672)</f>
        <v>-0.73718862914633687</v>
      </c>
      <c r="AS2708" s="377">
        <f>PPMT('Assumptions (T&amp;D)'!$B$97,Model!AF$1,'Assumptions (T&amp;D)'!$B$100,Model!$AJ$2672)</f>
        <v>-0.77220508903078788</v>
      </c>
      <c r="AT2708" s="377">
        <f>PPMT('Assumptions (T&amp;D)'!$B$97,Model!AG$1,'Assumptions (T&amp;D)'!$B$100,Model!$AJ$2672)</f>
        <v>-0.80888483075975048</v>
      </c>
      <c r="AU2708" s="377">
        <f>PPMT('Assumptions (T&amp;D)'!$B$97,Model!AH$1,'Assumptions (T&amp;D)'!$B$100,Model!$AJ$2672)</f>
        <v>-0.84730686022083845</v>
      </c>
      <c r="AV2708" s="377">
        <f>PPMT('Assumptions (T&amp;D)'!$B$97,Model!AI$1,'Assumptions (T&amp;D)'!$B$100,Model!$AJ$2672)</f>
        <v>-0.88755393608132838</v>
      </c>
      <c r="AW2708" s="377">
        <f>PPMT('Assumptions (T&amp;D)'!$B$97,Model!AJ$1,'Assumptions (T&amp;D)'!$B$100,Model!$AJ$2672)</f>
        <v>-0.92971274804519144</v>
      </c>
      <c r="AX2708" s="377">
        <f>PPMT('Assumptions (T&amp;D)'!$B$97,Model!AK$1,'Assumptions (T&amp;D)'!$B$100,Model!$AJ$2672)</f>
        <v>-0.97387410357733784</v>
      </c>
      <c r="AY2708" s="377"/>
      <c r="AZ2708" s="377"/>
      <c r="BA2708" s="377"/>
      <c r="BB2708" s="377"/>
      <c r="BC2708" s="377"/>
      <c r="BD2708" s="377"/>
      <c r="BE2708" s="377"/>
      <c r="BF2708" s="377"/>
      <c r="BG2708" s="377"/>
      <c r="BH2708" s="377"/>
    </row>
    <row r="2709" spans="1:72" ht="15.75" hidden="1" customHeight="1" outlineLevel="1">
      <c r="A2709" s="460"/>
      <c r="B2709" s="99"/>
      <c r="C2709" s="377"/>
      <c r="D2709" s="377"/>
      <c r="E2709" s="377"/>
      <c r="F2709" s="377"/>
      <c r="G2709" s="377"/>
      <c r="H2709" s="377"/>
      <c r="I2709" s="377"/>
      <c r="J2709" s="377"/>
      <c r="K2709" s="377"/>
      <c r="L2709" s="377"/>
      <c r="M2709" s="377"/>
      <c r="N2709" s="377"/>
      <c r="O2709" s="377"/>
      <c r="P2709" s="377"/>
      <c r="Q2709" s="377"/>
      <c r="R2709" s="377"/>
      <c r="S2709" s="42"/>
      <c r="T2709" s="42"/>
      <c r="U2709" s="42"/>
      <c r="V2709" s="42"/>
      <c r="W2709" s="86"/>
      <c r="AK2709" s="377">
        <f>PPMT('Assumptions (T&amp;D)'!$B$97,Model!W$1,'Assumptions (T&amp;D)'!$B$100,Model!$AK$2672)</f>
        <v>-0.520248555803421</v>
      </c>
      <c r="AL2709" s="377">
        <f>PPMT('Assumptions (T&amp;D)'!$B$97,Model!X$1,'Assumptions (T&amp;D)'!$B$100,Model!$AK$2672)</f>
        <v>-0.54496036220408361</v>
      </c>
      <c r="AM2709" s="377">
        <f>PPMT('Assumptions (T&amp;D)'!$B$97,Model!Y$1,'Assumptions (T&amp;D)'!$B$100,Model!$AK$2672)</f>
        <v>-0.57084597940877757</v>
      </c>
      <c r="AN2709" s="377">
        <f>PPMT('Assumptions (T&amp;D)'!$B$97,Model!Z$1,'Assumptions (T&amp;D)'!$B$100,Model!$AK$2672)</f>
        <v>-0.59796116343069439</v>
      </c>
      <c r="AO2709" s="377">
        <f>PPMT('Assumptions (T&amp;D)'!$B$97,Model!AA$1,'Assumptions (T&amp;D)'!$B$100,Model!$AK$2672)</f>
        <v>-0.62636431869365239</v>
      </c>
      <c r="AP2709" s="377">
        <f>PPMT('Assumptions (T&amp;D)'!$B$97,Model!AB$1,'Assumptions (T&amp;D)'!$B$100,Model!$AK$2672)</f>
        <v>-0.65611662383160096</v>
      </c>
      <c r="AQ2709" s="377">
        <f>PPMT('Assumptions (T&amp;D)'!$B$97,Model!AC$1,'Assumptions (T&amp;D)'!$B$100,Model!$AK$2672)</f>
        <v>-0.68728216346360194</v>
      </c>
      <c r="AR2709" s="377">
        <f>PPMT('Assumptions (T&amp;D)'!$B$97,Model!AD$1,'Assumptions (T&amp;D)'!$B$100,Model!$AK$2672)</f>
        <v>-0.71992806622812311</v>
      </c>
      <c r="AS2709" s="377">
        <f>PPMT('Assumptions (T&amp;D)'!$B$97,Model!AE$1,'Assumptions (T&amp;D)'!$B$100,Model!$AK$2672)</f>
        <v>-0.75412464937395884</v>
      </c>
      <c r="AT2709" s="377">
        <f>PPMT('Assumptions (T&amp;D)'!$B$97,Model!AF$1,'Assumptions (T&amp;D)'!$B$100,Model!$AK$2672)</f>
        <v>-0.78994557021922207</v>
      </c>
      <c r="AU2709" s="377">
        <f>PPMT('Assumptions (T&amp;D)'!$B$97,Model!AG$1,'Assumptions (T&amp;D)'!$B$100,Model!$AK$2672)</f>
        <v>-0.82746798480463502</v>
      </c>
      <c r="AV2709" s="377">
        <f>PPMT('Assumptions (T&amp;D)'!$B$97,Model!AH$1,'Assumptions (T&amp;D)'!$B$100,Model!$AK$2672)</f>
        <v>-0.86677271408285517</v>
      </c>
      <c r="AW2709" s="377">
        <f>PPMT('Assumptions (T&amp;D)'!$B$97,Model!AI$1,'Assumptions (T&amp;D)'!$B$100,Model!$AK$2672)</f>
        <v>-0.90794441800179082</v>
      </c>
      <c r="AX2709" s="377">
        <f>PPMT('Assumptions (T&amp;D)'!$B$97,Model!AJ$1,'Assumptions (T&amp;D)'!$B$100,Model!$AK$2672)</f>
        <v>-0.95107177785687591</v>
      </c>
      <c r="AY2709" s="377">
        <f>PPMT('Assumptions (T&amp;D)'!$B$97,Model!AK$1,'Assumptions (T&amp;D)'!$B$100,Model!$AK$2672)</f>
        <v>-0.9962476873050774</v>
      </c>
      <c r="AZ2709" s="377"/>
      <c r="BA2709" s="377"/>
      <c r="BB2709" s="377"/>
      <c r="BC2709" s="377"/>
      <c r="BD2709" s="377"/>
      <c r="BE2709" s="377"/>
      <c r="BF2709" s="377"/>
      <c r="BG2709" s="377"/>
      <c r="BH2709" s="377"/>
      <c r="BI2709" s="377"/>
    </row>
    <row r="2710" spans="1:72" ht="15.75" hidden="1" customHeight="1" outlineLevel="1">
      <c r="A2710" s="460"/>
      <c r="B2710" s="99"/>
      <c r="C2710" s="377"/>
      <c r="D2710" s="377"/>
      <c r="E2710" s="377"/>
      <c r="F2710" s="377"/>
      <c r="G2710" s="377"/>
      <c r="H2710" s="377"/>
      <c r="I2710" s="377"/>
      <c r="J2710" s="377"/>
      <c r="K2710" s="377"/>
      <c r="L2710" s="377"/>
      <c r="M2710" s="377"/>
      <c r="N2710" s="377"/>
      <c r="O2710" s="377"/>
      <c r="P2710" s="377"/>
      <c r="Q2710" s="377"/>
      <c r="R2710" s="377"/>
      <c r="S2710" s="42"/>
      <c r="T2710" s="42"/>
      <c r="U2710" s="42"/>
      <c r="V2710" s="42"/>
      <c r="W2710" s="86"/>
      <c r="AL2710" s="377">
        <f>PPMT('Assumptions (T&amp;D)'!$B$97,Model!W$1,'Assumptions (T&amp;D)'!$B$100,Model!$AL$2672)</f>
        <v>-0.45698665145468831</v>
      </c>
      <c r="AM2710" s="377">
        <f>PPMT('Assumptions (T&amp;D)'!$B$97,Model!X$1,'Assumptions (T&amp;D)'!$B$100,Model!$AL$2672)</f>
        <v>-0.47869351739878596</v>
      </c>
      <c r="AN2710" s="377">
        <f>PPMT('Assumptions (T&amp;D)'!$B$97,Model!Y$1,'Assumptions (T&amp;D)'!$B$100,Model!$AL$2672)</f>
        <v>-0.50143145947522838</v>
      </c>
      <c r="AO2710" s="377">
        <f>PPMT('Assumptions (T&amp;D)'!$B$97,Model!Z$1,'Assumptions (T&amp;D)'!$B$100,Model!$AL$2672)</f>
        <v>-0.52524945380030164</v>
      </c>
      <c r="AP2710" s="377">
        <f>PPMT('Assumptions (T&amp;D)'!$B$97,Model!AA$1,'Assumptions (T&amp;D)'!$B$100,Model!$AL$2672)</f>
        <v>-0.55019880285581602</v>
      </c>
      <c r="AQ2710" s="377">
        <f>PPMT('Assumptions (T&amp;D)'!$B$97,Model!AB$1,'Assumptions (T&amp;D)'!$B$100,Model!$AL$2672)</f>
        <v>-0.57633324599146729</v>
      </c>
      <c r="AR2710" s="377">
        <f>PPMT('Assumptions (T&amp;D)'!$B$97,Model!AC$1,'Assumptions (T&amp;D)'!$B$100,Model!$AL$2672)</f>
        <v>-0.60370907517606198</v>
      </c>
      <c r="AS2710" s="377">
        <f>PPMT('Assumptions (T&amp;D)'!$B$97,Model!AD$1,'Assumptions (T&amp;D)'!$B$100,Model!$AL$2672)</f>
        <v>-0.63238525624692488</v>
      </c>
      <c r="AT2710" s="377">
        <f>PPMT('Assumptions (T&amp;D)'!$B$97,Model!AE$1,'Assumptions (T&amp;D)'!$B$100,Model!$AL$2672)</f>
        <v>-0.66242355591865376</v>
      </c>
      <c r="AU2710" s="377">
        <f>PPMT('Assumptions (T&amp;D)'!$B$97,Model!AF$1,'Assumptions (T&amp;D)'!$B$100,Model!$AL$2672)</f>
        <v>-0.69388867482478989</v>
      </c>
      <c r="AV2710" s="377">
        <f>PPMT('Assumptions (T&amp;D)'!$B$97,Model!AG$1,'Assumptions (T&amp;D)'!$B$100,Model!$AL$2672)</f>
        <v>-0.72684838687896747</v>
      </c>
      <c r="AW2710" s="377">
        <f>PPMT('Assumptions (T&amp;D)'!$B$97,Model!AH$1,'Assumptions (T&amp;D)'!$B$100,Model!$AL$2672)</f>
        <v>-0.76137368525571847</v>
      </c>
      <c r="AX2710" s="377">
        <f>PPMT('Assumptions (T&amp;D)'!$B$97,Model!AI$1,'Assumptions (T&amp;D)'!$B$100,Model!$AL$2672)</f>
        <v>-0.79753893530536513</v>
      </c>
      <c r="AY2710" s="377">
        <f>PPMT('Assumptions (T&amp;D)'!$B$97,Model!AJ$1,'Assumptions (T&amp;D)'!$B$100,Model!$AL$2672)</f>
        <v>-0.83542203473236976</v>
      </c>
      <c r="AZ2710" s="377">
        <f>PPMT('Assumptions (T&amp;D)'!$B$97,Model!AK$1,'Assumptions (T&amp;D)'!$B$100,Model!$AL$2672)</f>
        <v>-0.87510458138215741</v>
      </c>
      <c r="BA2710" s="377"/>
      <c r="BB2710" s="377"/>
      <c r="BC2710" s="377"/>
      <c r="BD2710" s="377"/>
      <c r="BE2710" s="377"/>
      <c r="BF2710" s="377"/>
      <c r="BG2710" s="377"/>
      <c r="BH2710" s="377"/>
      <c r="BI2710" s="377"/>
      <c r="BJ2710" s="377"/>
    </row>
    <row r="2711" spans="1:72" ht="15.75" hidden="1" customHeight="1" outlineLevel="1">
      <c r="A2711" s="460"/>
      <c r="B2711" s="99"/>
      <c r="C2711" s="377"/>
      <c r="D2711" s="377"/>
      <c r="E2711" s="377"/>
      <c r="F2711" s="377"/>
      <c r="G2711" s="377"/>
      <c r="H2711" s="377"/>
      <c r="I2711" s="377"/>
      <c r="J2711" s="377"/>
      <c r="K2711" s="377"/>
      <c r="L2711" s="377"/>
      <c r="M2711" s="377"/>
      <c r="N2711" s="377"/>
      <c r="O2711" s="377"/>
      <c r="P2711" s="377"/>
      <c r="Q2711" s="377"/>
      <c r="R2711" s="377"/>
      <c r="S2711" s="42"/>
      <c r="T2711" s="42"/>
      <c r="U2711" s="42"/>
      <c r="V2711" s="42"/>
      <c r="W2711" s="86"/>
      <c r="AM2711" s="377">
        <f>PPMT('Assumptions (T&amp;D)'!$B$97,Model!W$1,'Assumptions (T&amp;D)'!$B$100,Model!$AM$2672)</f>
        <v>-0.46220611640829834</v>
      </c>
      <c r="AN2711" s="377">
        <f>PPMT('Assumptions (T&amp;D)'!$B$97,Model!X$1,'Assumptions (T&amp;D)'!$B$100,Model!$AM$2672)</f>
        <v>-0.48416090693769248</v>
      </c>
      <c r="AO2711" s="377">
        <f>PPMT('Assumptions (T&amp;D)'!$B$97,Model!Y$1,'Assumptions (T&amp;D)'!$B$100,Model!$AM$2672)</f>
        <v>-0.50715855001723298</v>
      </c>
      <c r="AP2711" s="377">
        <f>PPMT('Assumptions (T&amp;D)'!$B$97,Model!Z$1,'Assumptions (T&amp;D)'!$B$100,Model!$AM$2672)</f>
        <v>-0.5312485811430514</v>
      </c>
      <c r="AQ2711" s="377">
        <f>PPMT('Assumptions (T&amp;D)'!$B$97,Model!AA$1,'Assumptions (T&amp;D)'!$B$100,Model!$AM$2672)</f>
        <v>-0.5564828887473463</v>
      </c>
      <c r="AR2711" s="377">
        <f>PPMT('Assumptions (T&amp;D)'!$B$97,Model!AB$1,'Assumptions (T&amp;D)'!$B$100,Model!$AM$2672)</f>
        <v>-0.5829158259628453</v>
      </c>
      <c r="AS2711" s="377">
        <f>PPMT('Assumptions (T&amp;D)'!$B$97,Model!AC$1,'Assumptions (T&amp;D)'!$B$100,Model!$AM$2672)</f>
        <v>-0.61060432769608053</v>
      </c>
      <c r="AT2711" s="377">
        <f>PPMT('Assumptions (T&amp;D)'!$B$97,Model!AD$1,'Assumptions (T&amp;D)'!$B$100,Model!$AM$2672)</f>
        <v>-0.63960803326164439</v>
      </c>
      <c r="AU2711" s="377">
        <f>PPMT('Assumptions (T&amp;D)'!$B$97,Model!AE$1,'Assumptions (T&amp;D)'!$B$100,Model!$AM$2672)</f>
        <v>-0.66998941484157237</v>
      </c>
      <c r="AV2711" s="377">
        <f>PPMT('Assumptions (T&amp;D)'!$B$97,Model!AF$1,'Assumptions (T&amp;D)'!$B$100,Model!$AM$2672)</f>
        <v>-0.70181391204654719</v>
      </c>
      <c r="AW2711" s="377">
        <f>PPMT('Assumptions (T&amp;D)'!$B$97,Model!AG$1,'Assumptions (T&amp;D)'!$B$100,Model!$AM$2672)</f>
        <v>-0.73515007286875822</v>
      </c>
      <c r="AX2711" s="377">
        <f>PPMT('Assumptions (T&amp;D)'!$B$97,Model!AH$1,'Assumptions (T&amp;D)'!$B$100,Model!$AM$2672)</f>
        <v>-0.77006970133002406</v>
      </c>
      <c r="AY2711" s="377">
        <f>PPMT('Assumptions (T&amp;D)'!$B$97,Model!AI$1,'Assumptions (T&amp;D)'!$B$100,Model!$AM$2672)</f>
        <v>-0.80664801214320037</v>
      </c>
      <c r="AZ2711" s="377">
        <f>PPMT('Assumptions (T&amp;D)'!$B$97,Model!AJ$1,'Assumptions (T&amp;D)'!$B$100,Model!$AM$2672)</f>
        <v>-0.84496379272000233</v>
      </c>
      <c r="BA2711" s="377">
        <f>PPMT('Assumptions (T&amp;D)'!$B$97,Model!AK$1,'Assumptions (T&amp;D)'!$B$100,Model!$AM$2672)</f>
        <v>-0.88509957287420238</v>
      </c>
      <c r="BB2711" s="377"/>
      <c r="BC2711" s="377"/>
      <c r="BD2711" s="377"/>
      <c r="BE2711" s="377"/>
      <c r="BF2711" s="377"/>
      <c r="BG2711" s="377"/>
      <c r="BH2711" s="377"/>
      <c r="BI2711" s="377"/>
      <c r="BJ2711" s="377"/>
      <c r="BK2711" s="377"/>
    </row>
    <row r="2712" spans="1:72" ht="15.75" hidden="1" customHeight="1" outlineLevel="1">
      <c r="A2712" s="460"/>
      <c r="B2712" s="99"/>
      <c r="C2712" s="377"/>
      <c r="D2712" s="377"/>
      <c r="E2712" s="377"/>
      <c r="F2712" s="377"/>
      <c r="G2712" s="377"/>
      <c r="H2712" s="377"/>
      <c r="I2712" s="377"/>
      <c r="J2712" s="377"/>
      <c r="K2712" s="377"/>
      <c r="L2712" s="377"/>
      <c r="M2712" s="377"/>
      <c r="N2712" s="377"/>
      <c r="O2712" s="377"/>
      <c r="P2712" s="377"/>
      <c r="Q2712" s="377"/>
      <c r="R2712" s="377"/>
      <c r="S2712" s="42"/>
      <c r="T2712" s="42"/>
      <c r="U2712" s="42"/>
      <c r="V2712" s="42"/>
      <c r="W2712" s="86"/>
      <c r="AN2712" s="377">
        <f>PPMT('Assumptions (T&amp;D)'!$B$97,Model!W$1,'Assumptions (T&amp;D)'!$B$100,Model!$AN$2672)</f>
        <v>-0.51919942170665445</v>
      </c>
      <c r="AO2712" s="377">
        <f>PPMT('Assumptions (T&amp;D)'!$B$97,Model!X$1,'Assumptions (T&amp;D)'!$B$100,Model!$AN$2672)</f>
        <v>-0.54386139423772051</v>
      </c>
      <c r="AP2712" s="377">
        <f>PPMT('Assumptions (T&amp;D)'!$B$97,Model!Y$1,'Assumptions (T&amp;D)'!$B$100,Model!$AN$2672)</f>
        <v>-0.56969481046401227</v>
      </c>
      <c r="AQ2712" s="377">
        <f>PPMT('Assumptions (T&amp;D)'!$B$97,Model!Z$1,'Assumptions (T&amp;D)'!$B$100,Model!$AN$2672)</f>
        <v>-0.59675531396105286</v>
      </c>
      <c r="AR2712" s="377">
        <f>PPMT('Assumptions (T&amp;D)'!$B$97,Model!AA$1,'Assumptions (T&amp;D)'!$B$100,Model!$AN$2672)</f>
        <v>-0.62510119137420284</v>
      </c>
      <c r="AS2712" s="377">
        <f>PPMT('Assumptions (T&amp;D)'!$B$97,Model!AB$1,'Assumptions (T&amp;D)'!$B$100,Model!$AN$2672)</f>
        <v>-0.6547934979644775</v>
      </c>
      <c r="AT2712" s="377">
        <f>PPMT('Assumptions (T&amp;D)'!$B$97,Model!AC$1,'Assumptions (T&amp;D)'!$B$100,Model!$AN$2672)</f>
        <v>-0.68589618911779016</v>
      </c>
      <c r="AU2712" s="377">
        <f>PPMT('Assumptions (T&amp;D)'!$B$97,Model!AD$1,'Assumptions (T&amp;D)'!$B$100,Model!$AN$2672)</f>
        <v>-0.71847625810088522</v>
      </c>
      <c r="AV2712" s="377">
        <f>PPMT('Assumptions (T&amp;D)'!$B$97,Model!AE$1,'Assumptions (T&amp;D)'!$B$100,Model!$AN$2672)</f>
        <v>-0.75260388036067716</v>
      </c>
      <c r="AW2712" s="377">
        <f>PPMT('Assumptions (T&amp;D)'!$B$97,Model!AF$1,'Assumptions (T&amp;D)'!$B$100,Model!$AN$2672)</f>
        <v>-0.78835256467780934</v>
      </c>
      <c r="AX2712" s="377">
        <f>PPMT('Assumptions (T&amp;D)'!$B$97,Model!AG$1,'Assumptions (T&amp;D)'!$B$100,Model!$AN$2672)</f>
        <v>-0.82579931150000541</v>
      </c>
      <c r="AY2712" s="377">
        <f>PPMT('Assumptions (T&amp;D)'!$B$97,Model!AH$1,'Assumptions (T&amp;D)'!$B$100,Model!$AN$2672)</f>
        <v>-0.86502477879625572</v>
      </c>
      <c r="AZ2712" s="377">
        <f>PPMT('Assumptions (T&amp;D)'!$B$97,Model!AI$1,'Assumptions (T&amp;D)'!$B$100,Model!$AN$2672)</f>
        <v>-0.90611345578907776</v>
      </c>
      <c r="BA2712" s="377">
        <f>PPMT('Assumptions (T&amp;D)'!$B$97,Model!AJ$1,'Assumptions (T&amp;D)'!$B$100,Model!$AN$2672)</f>
        <v>-0.94915384493905908</v>
      </c>
      <c r="BB2712" s="377">
        <f>PPMT('Assumptions (T&amp;D)'!$B$97,Model!AK$1,'Assumptions (T&amp;D)'!$B$100,Model!$AN$2672)</f>
        <v>-0.99423865257366428</v>
      </c>
      <c r="BC2712" s="377"/>
      <c r="BD2712" s="377"/>
      <c r="BE2712" s="377"/>
      <c r="BF2712" s="377"/>
      <c r="BG2712" s="377"/>
      <c r="BH2712" s="377"/>
      <c r="BI2712" s="377"/>
      <c r="BJ2712" s="377"/>
      <c r="BK2712" s="377"/>
      <c r="BL2712" s="377"/>
    </row>
    <row r="2713" spans="1:72" ht="15.75" hidden="1" customHeight="1" outlineLevel="1">
      <c r="A2713" s="460"/>
      <c r="B2713" s="99"/>
      <c r="C2713" s="377"/>
      <c r="D2713" s="377"/>
      <c r="E2713" s="377"/>
      <c r="F2713" s="377"/>
      <c r="G2713" s="377"/>
      <c r="H2713" s="377"/>
      <c r="I2713" s="377"/>
      <c r="J2713" s="377"/>
      <c r="K2713" s="377"/>
      <c r="L2713" s="377"/>
      <c r="M2713" s="377"/>
      <c r="N2713" s="377"/>
      <c r="O2713" s="377"/>
      <c r="P2713" s="377"/>
      <c r="Q2713" s="377"/>
      <c r="R2713" s="377"/>
      <c r="S2713" s="42"/>
      <c r="T2713" s="42"/>
      <c r="U2713" s="42"/>
      <c r="V2713" s="42"/>
      <c r="W2713" s="86"/>
      <c r="AO2713" s="377">
        <f>PPMT('Assumptions (T&amp;D)'!$B$97,Model!W$1,'Assumptions (T&amp;D)'!$B$100,Model!$AO$2672)</f>
        <v>-0.51967386564085882</v>
      </c>
      <c r="AP2713" s="377">
        <f>PPMT('Assumptions (T&amp;D)'!$B$97,Model!X$1,'Assumptions (T&amp;D)'!$B$100,Model!$AO$2672)</f>
        <v>-0.54435837425879963</v>
      </c>
      <c r="AQ2713" s="377">
        <f>PPMT('Assumptions (T&amp;D)'!$B$97,Model!Y$1,'Assumptions (T&amp;D)'!$B$100,Model!$AO$2672)</f>
        <v>-0.57021539703609259</v>
      </c>
      <c r="AR2713" s="377">
        <f>PPMT('Assumptions (T&amp;D)'!$B$97,Model!Z$1,'Assumptions (T&amp;D)'!$B$100,Model!$AO$2672)</f>
        <v>-0.59730062839530695</v>
      </c>
      <c r="AS2713" s="377">
        <f>PPMT('Assumptions (T&amp;D)'!$B$97,Model!AA$1,'Assumptions (T&amp;D)'!$B$100,Model!$AO$2672)</f>
        <v>-0.62567240824408399</v>
      </c>
      <c r="AT2713" s="377">
        <f>PPMT('Assumptions (T&amp;D)'!$B$97,Model!AB$1,'Assumptions (T&amp;D)'!$B$100,Model!$AO$2672)</f>
        <v>-0.65539184763567804</v>
      </c>
      <c r="AU2713" s="377">
        <f>PPMT('Assumptions (T&amp;D)'!$B$97,Model!AC$1,'Assumptions (T&amp;D)'!$B$100,Model!$AO$2672)</f>
        <v>-0.68652296039837268</v>
      </c>
      <c r="AV2713" s="377">
        <f>PPMT('Assumptions (T&amp;D)'!$B$97,Model!AD$1,'Assumptions (T&amp;D)'!$B$100,Model!$AO$2672)</f>
        <v>-0.71913280101729538</v>
      </c>
      <c r="AW2713" s="377">
        <f>PPMT('Assumptions (T&amp;D)'!$B$97,Model!AE$1,'Assumptions (T&amp;D)'!$B$100,Model!$AO$2672)</f>
        <v>-0.75329160906561687</v>
      </c>
      <c r="AX2713" s="377">
        <f>PPMT('Assumptions (T&amp;D)'!$B$97,Model!AF$1,'Assumptions (T&amp;D)'!$B$100,Model!$AO$2672)</f>
        <v>-0.78907296049623377</v>
      </c>
      <c r="AY2713" s="377">
        <f>PPMT('Assumptions (T&amp;D)'!$B$97,Model!AG$1,'Assumptions (T&amp;D)'!$B$100,Model!$AO$2672)</f>
        <v>-0.82655392611980494</v>
      </c>
      <c r="AZ2713" s="377">
        <f>PPMT('Assumptions (T&amp;D)'!$B$97,Model!AH$1,'Assumptions (T&amp;D)'!$B$100,Model!$AO$2672)</f>
        <v>-0.86581523761049561</v>
      </c>
      <c r="BA2713" s="377">
        <f>PPMT('Assumptions (T&amp;D)'!$B$97,Model!AI$1,'Assumptions (T&amp;D)'!$B$100,Model!$AO$2672)</f>
        <v>-0.90694146139699428</v>
      </c>
      <c r="BB2713" s="377">
        <f>PPMT('Assumptions (T&amp;D)'!$B$97,Model!AJ$1,'Assumptions (T&amp;D)'!$B$100,Model!$AO$2672)</f>
        <v>-0.95002118081335141</v>
      </c>
      <c r="BC2713" s="377">
        <f>PPMT('Assumptions (T&amp;D)'!$B$97,Model!AK$1,'Assumptions (T&amp;D)'!$B$100,Model!$AO$2672)</f>
        <v>-0.99514718690198545</v>
      </c>
      <c r="BD2713" s="377"/>
      <c r="BE2713" s="377"/>
      <c r="BF2713" s="377"/>
      <c r="BG2713" s="377"/>
      <c r="BH2713" s="377"/>
      <c r="BI2713" s="377"/>
      <c r="BJ2713" s="377"/>
      <c r="BK2713" s="377"/>
      <c r="BL2713" s="377"/>
      <c r="BM2713" s="377"/>
    </row>
    <row r="2714" spans="1:72" ht="15.75" hidden="1" customHeight="1" outlineLevel="1">
      <c r="A2714" s="460"/>
      <c r="B2714" s="99"/>
      <c r="C2714" s="377"/>
      <c r="D2714" s="377"/>
      <c r="E2714" s="377"/>
      <c r="F2714" s="377"/>
      <c r="G2714" s="377"/>
      <c r="H2714" s="377"/>
      <c r="I2714" s="377"/>
      <c r="J2714" s="377"/>
      <c r="K2714" s="377"/>
      <c r="L2714" s="377"/>
      <c r="M2714" s="377"/>
      <c r="N2714" s="377"/>
      <c r="O2714" s="377"/>
      <c r="P2714" s="377"/>
      <c r="Q2714" s="377"/>
      <c r="R2714" s="377"/>
      <c r="S2714" s="42"/>
      <c r="T2714" s="42"/>
      <c r="U2714" s="42"/>
      <c r="V2714" s="42"/>
      <c r="W2714" s="86"/>
      <c r="AP2714" s="377">
        <f>PPMT('Assumptions (T&amp;D)'!$B$97,Model!W$1,'Assumptions (T&amp;D)'!$B$100,Model!$AP$2672)</f>
        <v>-0.49957100974545648</v>
      </c>
      <c r="AQ2714" s="377">
        <f>PPMT('Assumptions (T&amp;D)'!$B$97,Model!X$1,'Assumptions (T&amp;D)'!$B$100,Model!$AP$2672)</f>
        <v>-0.52330063270836569</v>
      </c>
      <c r="AR2714" s="377">
        <f>PPMT('Assumptions (T&amp;D)'!$B$97,Model!Y$1,'Assumptions (T&amp;D)'!$B$100,Model!$AP$2672)</f>
        <v>-0.54815741276201313</v>
      </c>
      <c r="AS2714" s="377">
        <f>PPMT('Assumptions (T&amp;D)'!$B$97,Model!Z$1,'Assumptions (T&amp;D)'!$B$100,Model!$AP$2672)</f>
        <v>-0.57419488986820866</v>
      </c>
      <c r="AT2714" s="377">
        <f>PPMT('Assumptions (T&amp;D)'!$B$97,Model!AA$1,'Assumptions (T&amp;D)'!$B$100,Model!$AP$2672)</f>
        <v>-0.60146914713694855</v>
      </c>
      <c r="AU2714" s="377">
        <f>PPMT('Assumptions (T&amp;D)'!$B$97,Model!AB$1,'Assumptions (T&amp;D)'!$B$100,Model!$AP$2672)</f>
        <v>-0.63003893162595359</v>
      </c>
      <c r="AV2714" s="377">
        <f>PPMT('Assumptions (T&amp;D)'!$B$97,Model!AC$1,'Assumptions (T&amp;D)'!$B$100,Model!$AP$2672)</f>
        <v>-0.65996578087818647</v>
      </c>
      <c r="AW2714" s="377">
        <f>PPMT('Assumptions (T&amp;D)'!$B$97,Model!AD$1,'Assumptions (T&amp;D)'!$B$100,Model!$AP$2672)</f>
        <v>-0.69131415546990027</v>
      </c>
      <c r="AX2714" s="377">
        <f>PPMT('Assumptions (T&amp;D)'!$B$97,Model!AE$1,'Assumptions (T&amp;D)'!$B$100,Model!$AP$2672)</f>
        <v>-0.72415157785472051</v>
      </c>
      <c r="AY2714" s="377">
        <f>PPMT('Assumptions (T&amp;D)'!$B$97,Model!AF$1,'Assumptions (T&amp;D)'!$B$100,Model!$AP$2672)</f>
        <v>-0.75854877780281971</v>
      </c>
      <c r="AZ2714" s="377">
        <f>PPMT('Assumptions (T&amp;D)'!$B$97,Model!AG$1,'Assumptions (T&amp;D)'!$B$100,Model!$AP$2672)</f>
        <v>-0.79457984474845378</v>
      </c>
      <c r="BA2714" s="377">
        <f>PPMT('Assumptions (T&amp;D)'!$B$97,Model!AH$1,'Assumptions (T&amp;D)'!$B$100,Model!$AP$2672)</f>
        <v>-0.83232238737400532</v>
      </c>
      <c r="BB2714" s="377">
        <f>PPMT('Assumptions (T&amp;D)'!$B$97,Model!AI$1,'Assumptions (T&amp;D)'!$B$100,Model!$AP$2672)</f>
        <v>-0.87185770077427061</v>
      </c>
      <c r="BC2714" s="377">
        <f>PPMT('Assumptions (T&amp;D)'!$B$97,Model!AJ$1,'Assumptions (T&amp;D)'!$B$100,Model!$AP$2672)</f>
        <v>-0.91327094156104849</v>
      </c>
      <c r="BD2714" s="377">
        <f>PPMT('Assumptions (T&amp;D)'!$B$97,Model!AK$1,'Assumptions (T&amp;D)'!$B$100,Model!$AP$2672)</f>
        <v>-0.95665131128519809</v>
      </c>
      <c r="BE2714" s="377"/>
      <c r="BF2714" s="377"/>
      <c r="BG2714" s="377"/>
      <c r="BH2714" s="377"/>
      <c r="BI2714" s="377"/>
      <c r="BJ2714" s="377"/>
      <c r="BK2714" s="377"/>
      <c r="BL2714" s="377"/>
      <c r="BM2714" s="377"/>
      <c r="BN2714" s="377"/>
    </row>
    <row r="2715" spans="1:72" ht="15.75" hidden="1" customHeight="1" outlineLevel="1">
      <c r="A2715" s="460"/>
      <c r="B2715" s="99"/>
      <c r="C2715" s="377"/>
      <c r="D2715" s="377"/>
      <c r="E2715" s="377"/>
      <c r="F2715" s="377"/>
      <c r="G2715" s="377"/>
      <c r="H2715" s="377"/>
      <c r="I2715" s="377"/>
      <c r="J2715" s="377"/>
      <c r="K2715" s="377"/>
      <c r="L2715" s="377"/>
      <c r="M2715" s="377"/>
      <c r="N2715" s="377"/>
      <c r="O2715" s="377"/>
      <c r="P2715" s="377"/>
      <c r="Q2715" s="377"/>
      <c r="R2715" s="377"/>
      <c r="S2715" s="42"/>
      <c r="T2715" s="42"/>
      <c r="U2715" s="42"/>
      <c r="V2715" s="42"/>
      <c r="W2715" s="86"/>
      <c r="AQ2715" s="377">
        <f>PPMT('Assumptions (T&amp;D)'!$B$97,Model!W$1,'Assumptions (T&amp;D)'!$B$100,Model!$AQ$2672)</f>
        <v>-0.54225571179489773</v>
      </c>
      <c r="AR2715" s="377">
        <f>PPMT('Assumptions (T&amp;D)'!$B$97,Model!X$1,'Assumptions (T&amp;D)'!$B$100,Model!$AQ$2672)</f>
        <v>-0.56801285810515534</v>
      </c>
      <c r="AS2715" s="377">
        <f>PPMT('Assumptions (T&amp;D)'!$B$97,Model!Y$1,'Assumptions (T&amp;D)'!$B$100,Model!$AQ$2672)</f>
        <v>-0.59499346886515037</v>
      </c>
      <c r="AT2715" s="377">
        <f>PPMT('Assumptions (T&amp;D)'!$B$97,Model!Z$1,'Assumptions (T&amp;D)'!$B$100,Model!$AQ$2672)</f>
        <v>-0.62325565863624499</v>
      </c>
      <c r="AU2715" s="377">
        <f>PPMT('Assumptions (T&amp;D)'!$B$97,Model!AA$1,'Assumptions (T&amp;D)'!$B$100,Model!$AQ$2672)</f>
        <v>-0.65286030242146642</v>
      </c>
      <c r="AV2715" s="377">
        <f>PPMT('Assumptions (T&amp;D)'!$B$97,Model!AB$1,'Assumptions (T&amp;D)'!$B$100,Model!$AQ$2672)</f>
        <v>-0.68387116678648618</v>
      </c>
      <c r="AW2715" s="377">
        <f>PPMT('Assumptions (T&amp;D)'!$B$97,Model!AC$1,'Assumptions (T&amp;D)'!$B$100,Model!$AQ$2672)</f>
        <v>-0.71635504720884435</v>
      </c>
      <c r="AX2715" s="377">
        <f>PPMT('Assumptions (T&amp;D)'!$B$97,Model!AD$1,'Assumptions (T&amp;D)'!$B$100,Model!$AQ$2672)</f>
        <v>-0.75038191195126447</v>
      </c>
      <c r="AY2715" s="377">
        <f>PPMT('Assumptions (T&amp;D)'!$B$97,Model!AE$1,'Assumptions (T&amp;D)'!$B$100,Model!$AQ$2672)</f>
        <v>-0.78602505276894952</v>
      </c>
      <c r="AZ2715" s="377">
        <f>PPMT('Assumptions (T&amp;D)'!$B$97,Model!AF$1,'Assumptions (T&amp;D)'!$B$100,Model!$AQ$2672)</f>
        <v>-0.82336124277547451</v>
      </c>
      <c r="BA2715" s="377">
        <f>PPMT('Assumptions (T&amp;D)'!$B$97,Model!AG$1,'Assumptions (T&amp;D)'!$B$100,Model!$AQ$2672)</f>
        <v>-0.86247090180730968</v>
      </c>
      <c r="BB2715" s="377">
        <f>PPMT('Assumptions (T&amp;D)'!$B$97,Model!AH$1,'Assumptions (T&amp;D)'!$B$100,Model!$AQ$2672)</f>
        <v>-0.90343826964315688</v>
      </c>
      <c r="BC2715" s="377">
        <f>PPMT('Assumptions (T&amp;D)'!$B$97,Model!AI$1,'Assumptions (T&amp;D)'!$B$100,Model!$AQ$2672)</f>
        <v>-0.94635158745120684</v>
      </c>
      <c r="BD2715" s="377">
        <f>PPMT('Assumptions (T&amp;D)'!$B$97,Model!AJ$1,'Assumptions (T&amp;D)'!$B$100,Model!$AQ$2672)</f>
        <v>-0.99130328785513921</v>
      </c>
      <c r="BE2715" s="377">
        <f>PPMT('Assumptions (T&amp;D)'!$B$97,Model!AK$1,'Assumptions (T&amp;D)'!$B$100,Model!$AQ$2672)</f>
        <v>-1.0383901940282581</v>
      </c>
      <c r="BF2715" s="377"/>
      <c r="BG2715" s="377"/>
      <c r="BH2715" s="377"/>
      <c r="BI2715" s="377"/>
      <c r="BJ2715" s="377"/>
      <c r="BK2715" s="377"/>
      <c r="BL2715" s="377"/>
      <c r="BM2715" s="377"/>
      <c r="BN2715" s="377"/>
      <c r="BO2715" s="377"/>
    </row>
    <row r="2716" spans="1:72" ht="15.75" hidden="1" customHeight="1" outlineLevel="1">
      <c r="A2716" s="460"/>
      <c r="B2716" s="99"/>
      <c r="C2716" s="377"/>
      <c r="D2716" s="377"/>
      <c r="E2716" s="377"/>
      <c r="F2716" s="377"/>
      <c r="G2716" s="377"/>
      <c r="H2716" s="377"/>
      <c r="I2716" s="377"/>
      <c r="J2716" s="377"/>
      <c r="K2716" s="377"/>
      <c r="L2716" s="377"/>
      <c r="M2716" s="377"/>
      <c r="N2716" s="377"/>
      <c r="O2716" s="377"/>
      <c r="P2716" s="377"/>
      <c r="Q2716" s="377"/>
      <c r="R2716" s="377"/>
      <c r="S2716" s="42"/>
      <c r="T2716" s="42"/>
      <c r="U2716" s="42"/>
      <c r="V2716" s="42"/>
      <c r="W2716" s="86"/>
      <c r="AR2716" s="377">
        <f>PPMT('Assumptions (T&amp;D)'!$B$97,Model!W$1,'Assumptions (T&amp;D)'!$B$100,Model!$AR$2672)</f>
        <v>-0.50821163987906448</v>
      </c>
      <c r="AS2716" s="377">
        <f>PPMT('Assumptions (T&amp;D)'!$B$97,Model!X$1,'Assumptions (T&amp;D)'!$B$100,Model!$AR$2672)</f>
        <v>-0.53235169277331995</v>
      </c>
      <c r="AT2716" s="377">
        <f>PPMT('Assumptions (T&amp;D)'!$B$97,Model!Y$1,'Assumptions (T&amp;D)'!$B$100,Model!$AR$2672)</f>
        <v>-0.55763839818005267</v>
      </c>
      <c r="AU2716" s="377">
        <f>PPMT('Assumptions (T&amp;D)'!$B$97,Model!Z$1,'Assumptions (T&amp;D)'!$B$100,Model!$AR$2672)</f>
        <v>-0.5841262220936051</v>
      </c>
      <c r="AV2716" s="377">
        <f>PPMT('Assumptions (T&amp;D)'!$B$97,Model!AA$1,'Assumptions (T&amp;D)'!$B$100,Model!$AR$2672)</f>
        <v>-0.61187221764305144</v>
      </c>
      <c r="AW2716" s="377">
        <f>PPMT('Assumptions (T&amp;D)'!$B$97,Model!AB$1,'Assumptions (T&amp;D)'!$B$100,Model!$AR$2672)</f>
        <v>-0.64093614798109633</v>
      </c>
      <c r="AX2716" s="377">
        <f>PPMT('Assumptions (T&amp;D)'!$B$97,Model!AC$1,'Assumptions (T&amp;D)'!$B$100,Model!$AR$2672)</f>
        <v>-0.67138061501019841</v>
      </c>
      <c r="AY2716" s="377">
        <f>PPMT('Assumptions (T&amp;D)'!$B$97,Model!AD$1,'Assumptions (T&amp;D)'!$B$100,Model!$AR$2672)</f>
        <v>-0.70327119422318285</v>
      </c>
      <c r="AZ2716" s="377">
        <f>PPMT('Assumptions (T&amp;D)'!$B$97,Model!AE$1,'Assumptions (T&amp;D)'!$B$100,Model!$AR$2672)</f>
        <v>-0.736676575948784</v>
      </c>
      <c r="BA2716" s="377">
        <f>PPMT('Assumptions (T&amp;D)'!$B$97,Model!AF$1,'Assumptions (T&amp;D)'!$B$100,Model!$AR$2672)</f>
        <v>-0.77166871330635123</v>
      </c>
      <c r="BB2716" s="377">
        <f>PPMT('Assumptions (T&amp;D)'!$B$97,Model!AG$1,'Assumptions (T&amp;D)'!$B$100,Model!$AR$2672)</f>
        <v>-0.80832297718840307</v>
      </c>
      <c r="BC2716" s="377">
        <f>PPMT('Assumptions (T&amp;D)'!$B$97,Model!AH$1,'Assumptions (T&amp;D)'!$B$100,Model!$AR$2672)</f>
        <v>-0.84671831860485214</v>
      </c>
      <c r="BD2716" s="377">
        <f>PPMT('Assumptions (T&amp;D)'!$B$97,Model!AI$1,'Assumptions (T&amp;D)'!$B$100,Model!$AR$2672)</f>
        <v>-0.88693743873858266</v>
      </c>
      <c r="BE2716" s="377">
        <f>PPMT('Assumptions (T&amp;D)'!$B$97,Model!AJ$1,'Assumptions (T&amp;D)'!$B$100,Model!$AR$2672)</f>
        <v>-0.92906696707866532</v>
      </c>
      <c r="BF2716" s="377">
        <f>PPMT('Assumptions (T&amp;D)'!$B$97,Model!AK$1,'Assumptions (T&amp;D)'!$B$100,Model!$AR$2672)</f>
        <v>-0.97319764801490183</v>
      </c>
      <c r="BG2716" s="377"/>
      <c r="BH2716" s="377"/>
      <c r="BI2716" s="377"/>
      <c r="BJ2716" s="377"/>
      <c r="BK2716" s="377"/>
      <c r="BL2716" s="377"/>
      <c r="BM2716" s="377"/>
      <c r="BN2716" s="377"/>
      <c r="BO2716" s="377"/>
      <c r="BP2716" s="377"/>
    </row>
    <row r="2717" spans="1:72" ht="15.75" hidden="1" customHeight="1" outlineLevel="1">
      <c r="A2717" s="460"/>
      <c r="B2717" s="99"/>
      <c r="C2717" s="377"/>
      <c r="D2717" s="377"/>
      <c r="E2717" s="377"/>
      <c r="F2717" s="377"/>
      <c r="G2717" s="377"/>
      <c r="H2717" s="377"/>
      <c r="I2717" s="377"/>
      <c r="J2717" s="377"/>
      <c r="K2717" s="377"/>
      <c r="L2717" s="377"/>
      <c r="M2717" s="377"/>
      <c r="N2717" s="377"/>
      <c r="O2717" s="377"/>
      <c r="P2717" s="377"/>
      <c r="Q2717" s="377"/>
      <c r="R2717" s="377"/>
      <c r="S2717" s="42"/>
      <c r="T2717" s="42"/>
      <c r="U2717" s="42"/>
      <c r="V2717" s="42"/>
      <c r="W2717" s="86"/>
      <c r="AS2717" s="377">
        <f>PPMT('Assumptions (T&amp;D)'!$B$97,Model!W$1,'Assumptions (T&amp;D)'!$B$100,Model!$AS$2672)</f>
        <v>-0.48998325454302472</v>
      </c>
      <c r="AT2717" s="377">
        <f>PPMT('Assumptions (T&amp;D)'!$B$97,Model!X$1,'Assumptions (T&amp;D)'!$B$100,Model!$AS$2672)</f>
        <v>-0.51325745913381837</v>
      </c>
      <c r="AU2717" s="377">
        <f>PPMT('Assumptions (T&amp;D)'!$B$97,Model!Y$1,'Assumptions (T&amp;D)'!$B$100,Model!$AS$2672)</f>
        <v>-0.53763718844267483</v>
      </c>
      <c r="AV2717" s="377">
        <f>PPMT('Assumptions (T&amp;D)'!$B$97,Model!Z$1,'Assumptions (T&amp;D)'!$B$100,Model!$AS$2672)</f>
        <v>-0.56317495489370173</v>
      </c>
      <c r="AW2717" s="377">
        <f>PPMT('Assumptions (T&amp;D)'!$B$97,Model!AA$1,'Assumptions (T&amp;D)'!$B$100,Model!$AS$2672)</f>
        <v>-0.58992576525115259</v>
      </c>
      <c r="AX2717" s="377">
        <f>PPMT('Assumptions (T&amp;D)'!$B$97,Model!AB$1,'Assumptions (T&amp;D)'!$B$100,Model!$AS$2672)</f>
        <v>-0.61794723910058236</v>
      </c>
      <c r="AY2717" s="377">
        <f>PPMT('Assumptions (T&amp;D)'!$B$97,Model!AC$1,'Assumptions (T&amp;D)'!$B$100,Model!$AS$2672)</f>
        <v>-0.64729973295786003</v>
      </c>
      <c r="AZ2717" s="377">
        <f>PPMT('Assumptions (T&amp;D)'!$B$97,Model!AD$1,'Assumptions (T&amp;D)'!$B$100,Model!$AS$2672)</f>
        <v>-0.6780464702733584</v>
      </c>
      <c r="BA2717" s="377">
        <f>PPMT('Assumptions (T&amp;D)'!$B$97,Model!AE$1,'Assumptions (T&amp;D)'!$B$100,Model!$AS$2672)</f>
        <v>-0.71025367761134284</v>
      </c>
      <c r="BB2717" s="377">
        <f>PPMT('Assumptions (T&amp;D)'!$B$97,Model!AF$1,'Assumptions (T&amp;D)'!$B$100,Model!$AS$2672)</f>
        <v>-0.74399072729788174</v>
      </c>
      <c r="BC2717" s="377">
        <f>PPMT('Assumptions (T&amp;D)'!$B$97,Model!AG$1,'Assumptions (T&amp;D)'!$B$100,Model!$AS$2672)</f>
        <v>-0.77933028684453109</v>
      </c>
      <c r="BD2717" s="377">
        <f>PPMT('Assumptions (T&amp;D)'!$B$97,Model!AH$1,'Assumptions (T&amp;D)'!$B$100,Model!$AS$2672)</f>
        <v>-0.81634847546964628</v>
      </c>
      <c r="BE2717" s="377">
        <f>PPMT('Assumptions (T&amp;D)'!$B$97,Model!AI$1,'Assumptions (T&amp;D)'!$B$100,Model!$AS$2672)</f>
        <v>-0.85512502805445467</v>
      </c>
      <c r="BF2717" s="377">
        <f>PPMT('Assumptions (T&amp;D)'!$B$97,Model!AJ$1,'Assumptions (T&amp;D)'!$B$100,Model!$AS$2672)</f>
        <v>-0.8957434668870411</v>
      </c>
      <c r="BG2717" s="377">
        <f>PPMT('Assumptions (T&amp;D)'!$B$97,Model!AK$1,'Assumptions (T&amp;D)'!$B$100,Model!$AS$2672)</f>
        <v>-0.93829128156417552</v>
      </c>
      <c r="BH2717" s="377"/>
      <c r="BI2717" s="377"/>
      <c r="BJ2717" s="377"/>
      <c r="BK2717" s="377"/>
      <c r="BL2717" s="377"/>
      <c r="BM2717" s="377"/>
      <c r="BN2717" s="377"/>
      <c r="BO2717" s="377"/>
      <c r="BP2717" s="377"/>
      <c r="BQ2717" s="377"/>
    </row>
    <row r="2718" spans="1:72" ht="15.75" hidden="1" customHeight="1" outlineLevel="1">
      <c r="A2718" s="460"/>
      <c r="B2718" s="99"/>
      <c r="C2718" s="377"/>
      <c r="D2718" s="377"/>
      <c r="E2718" s="377"/>
      <c r="F2718" s="377"/>
      <c r="G2718" s="377"/>
      <c r="H2718" s="377"/>
      <c r="I2718" s="377"/>
      <c r="J2718" s="377"/>
      <c r="K2718" s="377"/>
      <c r="L2718" s="377"/>
      <c r="M2718" s="377"/>
      <c r="N2718" s="377"/>
      <c r="O2718" s="377"/>
      <c r="P2718" s="377"/>
      <c r="Q2718" s="377"/>
      <c r="R2718" s="377"/>
      <c r="S2718" s="42"/>
      <c r="T2718" s="42"/>
      <c r="U2718" s="42"/>
      <c r="V2718" s="42"/>
      <c r="W2718" s="86"/>
      <c r="AT2718" s="377">
        <f>PPMT('Assumptions (T&amp;D)'!$B$97,Model!W$1,'Assumptions (T&amp;D)'!$B$100,Model!$AT$2672)</f>
        <v>-0.40926000255500855</v>
      </c>
      <c r="AU2718" s="377">
        <f>PPMT('Assumptions (T&amp;D)'!$B$97,Model!X$1,'Assumptions (T&amp;D)'!$B$100,Model!$AT$2672)</f>
        <v>-0.42869985267637151</v>
      </c>
      <c r="AV2718" s="377">
        <f>PPMT('Assumptions (T&amp;D)'!$B$97,Model!Y$1,'Assumptions (T&amp;D)'!$B$100,Model!$AT$2672)</f>
        <v>-0.44906309567849917</v>
      </c>
      <c r="AW2718" s="377">
        <f>PPMT('Assumptions (T&amp;D)'!$B$97,Model!Z$1,'Assumptions (T&amp;D)'!$B$100,Model!$AT$2672)</f>
        <v>-0.47039359272322778</v>
      </c>
      <c r="AX2718" s="377">
        <f>PPMT('Assumptions (T&amp;D)'!$B$97,Model!AA$1,'Assumptions (T&amp;D)'!$B$100,Model!$AT$2672)</f>
        <v>-0.49273728837758107</v>
      </c>
      <c r="AY2718" s="377">
        <f>PPMT('Assumptions (T&amp;D)'!$B$97,Model!AB$1,'Assumptions (T&amp;D)'!$B$100,Model!$AT$2672)</f>
        <v>-0.51614230957551621</v>
      </c>
      <c r="AZ2718" s="377">
        <f>PPMT('Assumptions (T&amp;D)'!$B$97,Model!AC$1,'Assumptions (T&amp;D)'!$B$100,Model!$AT$2672)</f>
        <v>-0.54065906928035323</v>
      </c>
      <c r="BA2718" s="377">
        <f>PPMT('Assumptions (T&amp;D)'!$B$97,Model!AD$1,'Assumptions (T&amp;D)'!$B$100,Model!$AT$2672)</f>
        <v>-0.56634037507117008</v>
      </c>
      <c r="BB2718" s="377">
        <f>PPMT('Assumptions (T&amp;D)'!$B$97,Model!AE$1,'Assumptions (T&amp;D)'!$B$100,Model!$AT$2672)</f>
        <v>-0.59324154288705055</v>
      </c>
      <c r="BC2718" s="377">
        <f>PPMT('Assumptions (T&amp;D)'!$B$97,Model!AF$1,'Assumptions (T&amp;D)'!$B$100,Model!$AT$2672)</f>
        <v>-0.62142051617418559</v>
      </c>
      <c r="BD2718" s="377">
        <f>PPMT('Assumptions (T&amp;D)'!$B$97,Model!AG$1,'Assumptions (T&amp;D)'!$B$100,Model!$AT$2672)</f>
        <v>-0.65093799069245939</v>
      </c>
      <c r="BE2718" s="377">
        <f>PPMT('Assumptions (T&amp;D)'!$B$97,Model!AH$1,'Assumptions (T&amp;D)'!$B$100,Model!$AT$2672)</f>
        <v>-0.68185754525035114</v>
      </c>
      <c r="BF2718" s="377">
        <f>PPMT('Assumptions (T&amp;D)'!$B$97,Model!AI$1,'Assumptions (T&amp;D)'!$B$100,Model!$AT$2672)</f>
        <v>-0.71424577864974292</v>
      </c>
      <c r="BG2718" s="377">
        <f>PPMT('Assumptions (T&amp;D)'!$B$97,Model!AJ$1,'Assumptions (T&amp;D)'!$B$100,Model!$AT$2672)</f>
        <v>-0.74817245313560565</v>
      </c>
      <c r="BH2718" s="377">
        <f>PPMT('Assumptions (T&amp;D)'!$B$97,Model!AK$1,'Assumptions (T&amp;D)'!$B$100,Model!$AT$2672)</f>
        <v>-0.78371064465954698</v>
      </c>
      <c r="BI2718" s="377"/>
      <c r="BJ2718" s="377"/>
      <c r="BK2718" s="377"/>
      <c r="BL2718" s="377"/>
      <c r="BM2718" s="377"/>
      <c r="BN2718" s="377"/>
      <c r="BO2718" s="377"/>
      <c r="BP2718" s="377"/>
      <c r="BQ2718" s="377"/>
      <c r="BR2718" s="377"/>
    </row>
    <row r="2719" spans="1:72" ht="15.75" hidden="1" customHeight="1" outlineLevel="1">
      <c r="A2719" s="460"/>
      <c r="B2719" s="99"/>
      <c r="C2719" s="377"/>
      <c r="D2719" s="377"/>
      <c r="E2719" s="377"/>
      <c r="F2719" s="377"/>
      <c r="G2719" s="377"/>
      <c r="H2719" s="377"/>
      <c r="I2719" s="377"/>
      <c r="J2719" s="377"/>
      <c r="K2719" s="377"/>
      <c r="L2719" s="377"/>
      <c r="M2719" s="377"/>
      <c r="N2719" s="377"/>
      <c r="O2719" s="377"/>
      <c r="P2719" s="377"/>
      <c r="Q2719" s="377"/>
      <c r="R2719" s="377"/>
      <c r="S2719" s="42"/>
      <c r="T2719" s="42"/>
      <c r="U2719" s="42"/>
      <c r="V2719" s="42"/>
      <c r="W2719" s="86"/>
      <c r="AU2719" s="377">
        <f>PPMT('Assumptions (T&amp;D)'!$B$97,Model!W$1,'Assumptions (T&amp;D)'!$B$100,Model!$AU$2672)</f>
        <v>-0.40926366738186981</v>
      </c>
      <c r="AV2719" s="377">
        <f>PPMT('Assumptions (T&amp;D)'!$B$97,Model!X$1,'Assumptions (T&amp;D)'!$B$100,Model!$AU$2672)</f>
        <v>-0.42870369158250854</v>
      </c>
      <c r="AW2719" s="377">
        <f>PPMT('Assumptions (T&amp;D)'!$B$97,Model!Y$1,'Assumptions (T&amp;D)'!$B$100,Model!$AU$2672)</f>
        <v>-0.44906711693267781</v>
      </c>
      <c r="AX2719" s="377">
        <f>PPMT('Assumptions (T&amp;D)'!$B$97,Model!Z$1,'Assumptions (T&amp;D)'!$B$100,Model!$AU$2672)</f>
        <v>-0.47039780498697992</v>
      </c>
      <c r="AY2719" s="377">
        <f>PPMT('Assumptions (T&amp;D)'!$B$97,Model!AA$1,'Assumptions (T&amp;D)'!$B$100,Model!$AU$2672)</f>
        <v>-0.49274170072386142</v>
      </c>
      <c r="AZ2719" s="377">
        <f>PPMT('Assumptions (T&amp;D)'!$B$97,Model!AB$1,'Assumptions (T&amp;D)'!$B$100,Model!$AU$2672)</f>
        <v>-0.51614693150824487</v>
      </c>
      <c r="BA2719" s="377">
        <f>PPMT('Assumptions (T&amp;D)'!$B$97,Model!AC$1,'Assumptions (T&amp;D)'!$B$100,Model!$AU$2672)</f>
        <v>-0.54066391075488651</v>
      </c>
      <c r="BB2719" s="377">
        <f>PPMT('Assumptions (T&amp;D)'!$B$97,Model!AD$1,'Assumptions (T&amp;D)'!$B$100,Model!$AU$2672)</f>
        <v>-0.56634544651574359</v>
      </c>
      <c r="BC2719" s="377">
        <f>PPMT('Assumptions (T&amp;D)'!$B$97,Model!AE$1,'Assumptions (T&amp;D)'!$B$100,Model!$AU$2672)</f>
        <v>-0.59324685522524134</v>
      </c>
      <c r="BD2719" s="377">
        <f>PPMT('Assumptions (T&amp;D)'!$B$97,Model!AF$1,'Assumptions (T&amp;D)'!$B$100,Model!$AU$2672)</f>
        <v>-0.62142608084844042</v>
      </c>
      <c r="BE2719" s="377">
        <f>PPMT('Assumptions (T&amp;D)'!$B$97,Model!AG$1,'Assumptions (T&amp;D)'!$B$100,Model!$AU$2672)</f>
        <v>-0.65094381968874138</v>
      </c>
      <c r="BF2719" s="377">
        <f>PPMT('Assumptions (T&amp;D)'!$B$97,Model!AH$1,'Assumptions (T&amp;D)'!$B$100,Model!$AU$2672)</f>
        <v>-0.68186365112395653</v>
      </c>
      <c r="BG2719" s="377">
        <f>PPMT('Assumptions (T&amp;D)'!$B$97,Model!AI$1,'Assumptions (T&amp;D)'!$B$100,Model!$AU$2672)</f>
        <v>-0.71425217455234458</v>
      </c>
      <c r="BH2719" s="377">
        <f>PPMT('Assumptions (T&amp;D)'!$B$97,Model!AJ$1,'Assumptions (T&amp;D)'!$B$100,Model!$AU$2672)</f>
        <v>-0.74817915284358094</v>
      </c>
      <c r="BI2719" s="377">
        <f>PPMT('Assumptions (T&amp;D)'!$B$97,Model!AK$1,'Assumptions (T&amp;D)'!$B$100,Model!$AU$2672)</f>
        <v>-0.78371766260365083</v>
      </c>
      <c r="BJ2719" s="377"/>
      <c r="BK2719" s="377"/>
      <c r="BL2719" s="377"/>
      <c r="BM2719" s="377"/>
      <c r="BN2719" s="377"/>
      <c r="BO2719" s="377"/>
      <c r="BP2719" s="377"/>
      <c r="BQ2719" s="377"/>
      <c r="BR2719" s="377"/>
      <c r="BS2719" s="377"/>
    </row>
    <row r="2720" spans="1:72" ht="15.75" hidden="1" customHeight="1" outlineLevel="1">
      <c r="A2720" s="460"/>
      <c r="B2720" s="99"/>
      <c r="C2720" s="377"/>
      <c r="D2720" s="377"/>
      <c r="E2720" s="377"/>
      <c r="F2720" s="377"/>
      <c r="G2720" s="377"/>
      <c r="H2720" s="377"/>
      <c r="I2720" s="377"/>
      <c r="J2720" s="377"/>
      <c r="K2720" s="377"/>
      <c r="L2720" s="377"/>
      <c r="M2720" s="377"/>
      <c r="N2720" s="377"/>
      <c r="O2720" s="377"/>
      <c r="P2720" s="377"/>
      <c r="Q2720" s="377"/>
      <c r="R2720" s="377"/>
      <c r="S2720" s="42"/>
      <c r="T2720" s="42"/>
      <c r="U2720" s="42"/>
      <c r="V2720" s="42"/>
      <c r="W2720" s="86"/>
      <c r="AV2720" s="377">
        <f>PPMT('Assumptions (T&amp;D)'!$B$97,Model!W$1,'Assumptions (T&amp;D)'!$B$100,Model!$AV$2672)</f>
        <v>-0.40926876718359712</v>
      </c>
      <c r="AW2720" s="377">
        <f>PPMT('Assumptions (T&amp;D)'!$B$97,Model!X$1,'Assumptions (T&amp;D)'!$B$100,Model!$AV$2672)</f>
        <v>-0.42870903362481799</v>
      </c>
      <c r="AX2720" s="377">
        <f>PPMT('Assumptions (T&amp;D)'!$B$97,Model!Y$1,'Assumptions (T&amp;D)'!$B$100,Model!$AV$2672)</f>
        <v>-0.44907271272199684</v>
      </c>
      <c r="AY2720" s="377">
        <f>PPMT('Assumptions (T&amp;D)'!$B$97,Model!Z$1,'Assumptions (T&amp;D)'!$B$100,Model!$AV$2672)</f>
        <v>-0.47040366657629162</v>
      </c>
      <c r="AZ2720" s="377">
        <f>PPMT('Assumptions (T&amp;D)'!$B$97,Model!AA$1,'Assumptions (T&amp;D)'!$B$100,Model!$AV$2672)</f>
        <v>-0.49274784073866545</v>
      </c>
      <c r="BA2720" s="377">
        <f>PPMT('Assumptions (T&amp;D)'!$B$97,Model!AB$1,'Assumptions (T&amp;D)'!$B$100,Model!$AV$2672)</f>
        <v>-0.51615336317375204</v>
      </c>
      <c r="BB2720" s="377">
        <f>PPMT('Assumptions (T&amp;D)'!$B$97,Model!AC$1,'Assumptions (T&amp;D)'!$B$100,Model!$AV$2672)</f>
        <v>-0.54067064792450537</v>
      </c>
      <c r="BC2720" s="377">
        <f>PPMT('Assumptions (T&amp;D)'!$B$97,Model!AD$1,'Assumptions (T&amp;D)'!$B$100,Model!$AV$2672)</f>
        <v>-0.56635250370091939</v>
      </c>
      <c r="BD2720" s="377">
        <f>PPMT('Assumptions (T&amp;D)'!$B$97,Model!AE$1,'Assumptions (T&amp;D)'!$B$100,Model!$AV$2672)</f>
        <v>-0.59325424762671297</v>
      </c>
      <c r="BE2720" s="377">
        <f>PPMT('Assumptions (T&amp;D)'!$B$97,Model!AF$1,'Assumptions (T&amp;D)'!$B$100,Model!$AV$2672)</f>
        <v>-0.62143382438898187</v>
      </c>
      <c r="BF2720" s="377">
        <f>PPMT('Assumptions (T&amp;D)'!$B$97,Model!AG$1,'Assumptions (T&amp;D)'!$B$100,Model!$AV$2672)</f>
        <v>-0.65095193104745852</v>
      </c>
      <c r="BG2720" s="377">
        <f>PPMT('Assumptions (T&amp;D)'!$B$97,Model!AH$1,'Assumptions (T&amp;D)'!$B$100,Model!$AV$2672)</f>
        <v>-0.68187214777221283</v>
      </c>
      <c r="BH2720" s="377">
        <f>PPMT('Assumptions (T&amp;D)'!$B$97,Model!AI$1,'Assumptions (T&amp;D)'!$B$100,Model!$AV$2672)</f>
        <v>-0.714261074791393</v>
      </c>
      <c r="BI2720" s="377">
        <f>PPMT('Assumptions (T&amp;D)'!$B$97,Model!AJ$1,'Assumptions (T&amp;D)'!$B$100,Model!$AV$2672)</f>
        <v>-0.74818847584398418</v>
      </c>
      <c r="BJ2720" s="377">
        <f>PPMT('Assumptions (T&amp;D)'!$B$97,Model!AK$1,'Assumptions (T&amp;D)'!$B$100,Model!$AV$2672)</f>
        <v>-0.78372742844657328</v>
      </c>
      <c r="BK2720" s="377"/>
      <c r="BL2720" s="377"/>
      <c r="BM2720" s="377"/>
      <c r="BN2720" s="377"/>
      <c r="BO2720" s="377"/>
      <c r="BP2720" s="377"/>
      <c r="BQ2720" s="377"/>
      <c r="BR2720" s="377"/>
      <c r="BS2720" s="377"/>
      <c r="BT2720" s="377"/>
    </row>
    <row r="2721" spans="1:77" ht="15.75" hidden="1" customHeight="1" outlineLevel="1">
      <c r="A2721" s="460"/>
      <c r="B2721" s="99"/>
      <c r="C2721" s="377"/>
      <c r="D2721" s="377"/>
      <c r="E2721" s="377"/>
      <c r="F2721" s="377"/>
      <c r="G2721" s="377"/>
      <c r="H2721" s="377"/>
      <c r="I2721" s="377"/>
      <c r="J2721" s="377"/>
      <c r="K2721" s="377"/>
      <c r="L2721" s="377"/>
      <c r="M2721" s="377"/>
      <c r="N2721" s="377"/>
      <c r="O2721" s="377"/>
      <c r="P2721" s="377"/>
      <c r="Q2721" s="377"/>
      <c r="R2721" s="377"/>
      <c r="S2721" s="42"/>
      <c r="T2721" s="42"/>
      <c r="U2721" s="42"/>
      <c r="V2721" s="42"/>
      <c r="W2721" s="86"/>
      <c r="AW2721" s="377">
        <f>PPMT('Assumptions (T&amp;D)'!$B$97,Model!W$1,'Assumptions (T&amp;D)'!$B$100,Model!$AW$2672)</f>
        <v>-0.40926947023907195</v>
      </c>
      <c r="AX2721" s="377">
        <f>PPMT('Assumptions (T&amp;D)'!$B$97,Model!X$1,'Assumptions (T&amp;D)'!$B$100,Model!$AW$2672)</f>
        <v>-0.42870977007542782</v>
      </c>
      <c r="AY2721" s="377">
        <f>PPMT('Assumptions (T&amp;D)'!$B$97,Model!Y$1,'Assumptions (T&amp;D)'!$B$100,Model!$AW$2672)</f>
        <v>-0.44907348415401066</v>
      </c>
      <c r="AZ2721" s="377">
        <f>PPMT('Assumptions (T&amp;D)'!$B$97,Model!Z$1,'Assumptions (T&amp;D)'!$B$100,Model!$AW$2672)</f>
        <v>-0.47040447465132612</v>
      </c>
      <c r="BA2721" s="377">
        <f>PPMT('Assumptions (T&amp;D)'!$B$97,Model!AA$1,'Assumptions (T&amp;D)'!$B$100,Model!$AW$2672)</f>
        <v>-0.49274868719726406</v>
      </c>
      <c r="BB2721" s="377">
        <f>PPMT('Assumptions (T&amp;D)'!$B$97,Model!AB$1,'Assumptions (T&amp;D)'!$B$100,Model!$AW$2672)</f>
        <v>-0.51615424983913416</v>
      </c>
      <c r="BC2721" s="377">
        <f>PPMT('Assumptions (T&amp;D)'!$B$97,Model!AC$1,'Assumptions (T&amp;D)'!$B$100,Model!$AW$2672)</f>
        <v>-0.54067157670649302</v>
      </c>
      <c r="BD2721" s="377">
        <f>PPMT('Assumptions (T&amp;D)'!$B$97,Model!AD$1,'Assumptions (T&amp;D)'!$B$100,Model!$AW$2672)</f>
        <v>-0.56635347660005153</v>
      </c>
      <c r="BE2721" s="377">
        <f>PPMT('Assumptions (T&amp;D)'!$B$97,Model!AE$1,'Assumptions (T&amp;D)'!$B$100,Model!$AW$2672)</f>
        <v>-0.59325526673855389</v>
      </c>
      <c r="BF2721" s="377">
        <f>PPMT('Assumptions (T&amp;D)'!$B$97,Model!AF$1,'Assumptions (T&amp;D)'!$B$100,Model!$AW$2672)</f>
        <v>-0.62143489190863521</v>
      </c>
      <c r="BG2721" s="377">
        <f>PPMT('Assumptions (T&amp;D)'!$B$97,Model!AG$1,'Assumptions (T&amp;D)'!$B$100,Model!$AW$2672)</f>
        <v>-0.65095304927429543</v>
      </c>
      <c r="BH2721" s="377">
        <f>PPMT('Assumptions (T&amp;D)'!$B$97,Model!AH$1,'Assumptions (T&amp;D)'!$B$100,Model!$AW$2672)</f>
        <v>-0.68187331911482441</v>
      </c>
      <c r="BI2721" s="377">
        <f>PPMT('Assumptions (T&amp;D)'!$B$97,Model!AI$1,'Assumptions (T&amp;D)'!$B$100,Model!$AW$2672)</f>
        <v>-0.71426230177277861</v>
      </c>
      <c r="BJ2721" s="377">
        <f>PPMT('Assumptions (T&amp;D)'!$B$97,Model!AJ$1,'Assumptions (T&amp;D)'!$B$100,Model!$AW$2672)</f>
        <v>-0.74818976110698565</v>
      </c>
      <c r="BK2721" s="377">
        <f>PPMT('Assumptions (T&amp;D)'!$B$97,Model!AK$1,'Assumptions (T&amp;D)'!$B$100,Model!$AW$2672)</f>
        <v>-0.78372877475956748</v>
      </c>
      <c r="BL2721" s="377"/>
      <c r="BM2721" s="377"/>
      <c r="BN2721" s="377"/>
      <c r="BO2721" s="377"/>
      <c r="BP2721" s="377"/>
      <c r="BQ2721" s="377"/>
      <c r="BR2721" s="377"/>
      <c r="BS2721" s="377"/>
      <c r="BT2721" s="377"/>
      <c r="BU2721" s="377"/>
    </row>
    <row r="2722" spans="1:77" ht="15.75" hidden="1" customHeight="1" outlineLevel="1">
      <c r="A2722" s="460"/>
      <c r="B2722" s="99"/>
      <c r="C2722" s="377"/>
      <c r="D2722" s="377"/>
      <c r="E2722" s="377"/>
      <c r="F2722" s="377"/>
      <c r="G2722" s="377"/>
      <c r="H2722" s="377"/>
      <c r="I2722" s="377"/>
      <c r="J2722" s="377"/>
      <c r="K2722" s="377"/>
      <c r="L2722" s="377"/>
      <c r="M2722" s="377"/>
      <c r="N2722" s="377"/>
      <c r="O2722" s="377"/>
      <c r="P2722" s="377"/>
      <c r="Q2722" s="377"/>
      <c r="R2722" s="377"/>
      <c r="S2722" s="42"/>
      <c r="T2722" s="42"/>
      <c r="U2722" s="42"/>
      <c r="V2722" s="42"/>
      <c r="W2722" s="86"/>
      <c r="AW2722" s="377"/>
      <c r="AX2722" s="377">
        <f>PPMT('Assumptions (T&amp;D)'!$B$97,Model!W$1,'Assumptions (T&amp;D)'!$B$100,Model!$AX$2672)</f>
        <v>-0.40926710965088298</v>
      </c>
      <c r="AY2722" s="377">
        <f>PPMT('Assumptions (T&amp;D)'!$B$97,Model!X$1,'Assumptions (T&amp;D)'!$B$100,Model!$AX$2672)</f>
        <v>-0.42870729735929991</v>
      </c>
      <c r="AZ2722" s="377">
        <f>PPMT('Assumptions (T&amp;D)'!$B$97,Model!Y$1,'Assumptions (T&amp;D)'!$B$100,Model!$AX$2672)</f>
        <v>-0.44907089398386674</v>
      </c>
      <c r="BA2722" s="377">
        <f>PPMT('Assumptions (T&amp;D)'!$B$97,Model!Z$1,'Assumptions (T&amp;D)'!$B$100,Model!$AX$2672)</f>
        <v>-0.47040176144810036</v>
      </c>
      <c r="BB2722" s="377">
        <f>PPMT('Assumptions (T&amp;D)'!$B$97,Model!AA$1,'Assumptions (T&amp;D)'!$B$100,Model!$AX$2672)</f>
        <v>-0.49274584511688502</v>
      </c>
      <c r="BC2722" s="377">
        <f>PPMT('Assumptions (T&amp;D)'!$B$97,Model!AB$1,'Assumptions (T&amp;D)'!$B$100,Model!$AX$2672)</f>
        <v>-0.51615127275993711</v>
      </c>
      <c r="BD2722" s="377">
        <f>PPMT('Assumptions (T&amp;D)'!$B$97,Model!AC$1,'Assumptions (T&amp;D)'!$B$100,Model!$AX$2672)</f>
        <v>-0.54066845821603415</v>
      </c>
      <c r="BE2722" s="377">
        <f>PPMT('Assumptions (T&amp;D)'!$B$97,Model!AD$1,'Assumptions (T&amp;D)'!$B$100,Model!$AX$2672)</f>
        <v>-0.56635020998129582</v>
      </c>
      <c r="BF2722" s="377">
        <f>PPMT('Assumptions (T&amp;D)'!$B$97,Model!AE$1,'Assumptions (T&amp;D)'!$B$100,Model!$AX$2672)</f>
        <v>-0.59325184495540728</v>
      </c>
      <c r="BG2722" s="377">
        <f>PPMT('Assumptions (T&amp;D)'!$B$97,Model!AF$1,'Assumptions (T&amp;D)'!$B$100,Model!$AX$2672)</f>
        <v>-0.62143130759078924</v>
      </c>
      <c r="BH2722" s="377">
        <f>PPMT('Assumptions (T&amp;D)'!$B$97,Model!AG$1,'Assumptions (T&amp;D)'!$B$100,Model!$AX$2672)</f>
        <v>-0.65094929470135166</v>
      </c>
      <c r="BI2722" s="377">
        <f>PPMT('Assumptions (T&amp;D)'!$B$97,Model!AH$1,'Assumptions (T&amp;D)'!$B$100,Model!$AX$2672)</f>
        <v>-0.68186938619966586</v>
      </c>
      <c r="BJ2722" s="377">
        <f>PPMT('Assumptions (T&amp;D)'!$B$97,Model!AI$1,'Assumptions (T&amp;D)'!$B$100,Model!$AX$2672)</f>
        <v>-0.71425818204415004</v>
      </c>
      <c r="BK2722" s="377">
        <f>PPMT('Assumptions (T&amp;D)'!$B$97,Model!AJ$1,'Assumptions (T&amp;D)'!$B$100,Model!$AX$2672)</f>
        <v>-0.74818544569124723</v>
      </c>
      <c r="BL2722" s="377">
        <f>PPMT('Assumptions (T&amp;D)'!$B$97,Model!AK$1,'Assumptions (T&amp;D)'!$B$100,Model!$AX$2672)</f>
        <v>-0.78372425436158122</v>
      </c>
      <c r="BM2722" s="377"/>
      <c r="BN2722" s="377"/>
      <c r="BO2722" s="377"/>
      <c r="BP2722" s="377"/>
      <c r="BQ2722" s="377"/>
      <c r="BR2722" s="377"/>
      <c r="BS2722" s="377"/>
      <c r="BT2722" s="377"/>
      <c r="BU2722" s="377"/>
      <c r="BV2722" s="377"/>
    </row>
    <row r="2723" spans="1:77" ht="15.75" hidden="1" customHeight="1" outlineLevel="1">
      <c r="A2723" s="460"/>
      <c r="B2723" s="99"/>
      <c r="C2723" s="377"/>
      <c r="D2723" s="377"/>
      <c r="E2723" s="377"/>
      <c r="F2723" s="377"/>
      <c r="G2723" s="377"/>
      <c r="H2723" s="377"/>
      <c r="I2723" s="377"/>
      <c r="J2723" s="377"/>
      <c r="K2723" s="377"/>
      <c r="L2723" s="377"/>
      <c r="M2723" s="377"/>
      <c r="N2723" s="377"/>
      <c r="O2723" s="377"/>
      <c r="P2723" s="377"/>
      <c r="Q2723" s="377"/>
      <c r="R2723" s="377"/>
      <c r="S2723" s="42"/>
      <c r="T2723" s="42"/>
      <c r="U2723" s="42"/>
      <c r="V2723" s="42"/>
      <c r="W2723" s="86"/>
      <c r="AW2723" s="377"/>
      <c r="AX2723" s="377"/>
      <c r="AY2723" s="377">
        <f>PPMT('Assumptions (T&amp;D)'!$B$97,Model!W$1,'Assumptions (T&amp;D)'!$B$100,Model!$AY$2672)</f>
        <v>-0.40926559829825498</v>
      </c>
      <c r="AZ2723" s="377">
        <f>PPMT('Assumptions (T&amp;D)'!$B$97,Model!X$1,'Assumptions (T&amp;D)'!$B$100,Model!$AY$2672)</f>
        <v>-0.4287057142174221</v>
      </c>
      <c r="BA2723" s="377">
        <f>PPMT('Assumptions (T&amp;D)'!$B$97,Model!Y$1,'Assumptions (T&amp;D)'!$B$100,Model!$AY$2672)</f>
        <v>-0.44906923564274959</v>
      </c>
      <c r="BB2723" s="377">
        <f>PPMT('Assumptions (T&amp;D)'!$B$97,Model!Z$1,'Assumptions (T&amp;D)'!$B$100,Model!$AY$2672)</f>
        <v>-0.47040002433578015</v>
      </c>
      <c r="BC2723" s="377">
        <f>PPMT('Assumptions (T&amp;D)'!$B$97,Model!AA$1,'Assumptions (T&amp;D)'!$B$100,Model!$AY$2672)</f>
        <v>-0.49274402549172974</v>
      </c>
      <c r="BD2723" s="377">
        <f>PPMT('Assumptions (T&amp;D)'!$B$97,Model!AB$1,'Assumptions (T&amp;D)'!$B$100,Model!$AY$2672)</f>
        <v>-0.51614936670258693</v>
      </c>
      <c r="BE2723" s="377">
        <f>PPMT('Assumptions (T&amp;D)'!$B$97,Model!AC$1,'Assumptions (T&amp;D)'!$B$100,Model!$AY$2672)</f>
        <v>-0.54066646162095977</v>
      </c>
      <c r="BF2723" s="377">
        <f>PPMT('Assumptions (T&amp;D)'!$B$97,Model!AD$1,'Assumptions (T&amp;D)'!$B$100,Model!$AY$2672)</f>
        <v>-0.56634811854795541</v>
      </c>
      <c r="BG2723" s="377">
        <f>PPMT('Assumptions (T&amp;D)'!$B$97,Model!AE$1,'Assumptions (T&amp;D)'!$B$100,Model!$AY$2672)</f>
        <v>-0.59324965417898323</v>
      </c>
      <c r="BH2723" s="377">
        <f>PPMT('Assumptions (T&amp;D)'!$B$97,Model!AF$1,'Assumptions (T&amp;D)'!$B$100,Model!$AY$2672)</f>
        <v>-0.62142901275248497</v>
      </c>
      <c r="BI2723" s="377">
        <f>PPMT('Assumptions (T&amp;D)'!$B$97,Model!AG$1,'Assumptions (T&amp;D)'!$B$100,Model!$AY$2672)</f>
        <v>-0.65094689085822799</v>
      </c>
      <c r="BJ2723" s="377">
        <f>PPMT('Assumptions (T&amp;D)'!$B$97,Model!AH$1,'Assumptions (T&amp;D)'!$B$100,Model!$AY$2672)</f>
        <v>-0.68186686817399389</v>
      </c>
      <c r="BK2723" s="377">
        <f>PPMT('Assumptions (T&amp;D)'!$B$97,Model!AI$1,'Assumptions (T&amp;D)'!$B$100,Model!$AY$2672)</f>
        <v>-0.71425554441225858</v>
      </c>
      <c r="BL2723" s="377">
        <f>PPMT('Assumptions (T&amp;D)'!$B$97,Model!AJ$1,'Assumptions (T&amp;D)'!$B$100,Model!$AY$2672)</f>
        <v>-0.74818268277184086</v>
      </c>
      <c r="BM2723" s="377">
        <f>PPMT('Assumptions (T&amp;D)'!$B$97,Model!AK$1,'Assumptions (T&amp;D)'!$B$100,Model!$AY$2672)</f>
        <v>-0.78372136020350325</v>
      </c>
      <c r="BN2723" s="377"/>
      <c r="BO2723" s="377"/>
      <c r="BP2723" s="377"/>
      <c r="BQ2723" s="377"/>
      <c r="BR2723" s="377"/>
      <c r="BS2723" s="377"/>
      <c r="BT2723" s="377"/>
      <c r="BU2723" s="377"/>
      <c r="BV2723" s="377"/>
      <c r="BW2723" s="377"/>
    </row>
    <row r="2724" spans="1:77" ht="15.75" hidden="1" customHeight="1" outlineLevel="1">
      <c r="A2724" s="460"/>
      <c r="B2724" s="99"/>
      <c r="C2724" s="377"/>
      <c r="D2724" s="377"/>
      <c r="E2724" s="377"/>
      <c r="F2724" s="377"/>
      <c r="G2724" s="377"/>
      <c r="H2724" s="377"/>
      <c r="I2724" s="377"/>
      <c r="J2724" s="377"/>
      <c r="K2724" s="377"/>
      <c r="L2724" s="377"/>
      <c r="M2724" s="377"/>
      <c r="N2724" s="377"/>
      <c r="O2724" s="377"/>
      <c r="P2724" s="377"/>
      <c r="Q2724" s="377"/>
      <c r="R2724" s="377"/>
      <c r="S2724" s="42"/>
      <c r="T2724" s="42"/>
      <c r="U2724" s="42"/>
      <c r="V2724" s="42"/>
      <c r="W2724" s="86"/>
      <c r="AW2724" s="377"/>
      <c r="AX2724" s="377"/>
      <c r="AY2724" s="377"/>
      <c r="AZ2724" s="377">
        <f>PPMT('Assumptions (T&amp;D)'!$B$97,Model!W$1,'Assumptions (T&amp;D)'!$B$100,Model!$AZ$2672)</f>
        <v>-0.40926576921811419</v>
      </c>
      <c r="BA2724" s="377">
        <f>PPMT('Assumptions (T&amp;D)'!$B$97,Model!X$1,'Assumptions (T&amp;D)'!$B$100,Model!$AZ$2672)</f>
        <v>-0.42870589325597463</v>
      </c>
      <c r="BB2724" s="377">
        <f>PPMT('Assumptions (T&amp;D)'!$B$97,Model!Y$1,'Assumptions (T&amp;D)'!$B$100,Model!$AZ$2672)</f>
        <v>-0.44906942318563348</v>
      </c>
      <c r="BC2724" s="377">
        <f>PPMT('Assumptions (T&amp;D)'!$B$97,Model!Z$1,'Assumptions (T&amp;D)'!$B$100,Model!$AZ$2672)</f>
        <v>-0.47040022078695098</v>
      </c>
      <c r="BD2724" s="377">
        <f>PPMT('Assumptions (T&amp;D)'!$B$97,Model!AA$1,'Assumptions (T&amp;D)'!$B$100,Model!$AZ$2672)</f>
        <v>-0.49274423127433115</v>
      </c>
      <c r="BE2724" s="377">
        <f>PPMT('Assumptions (T&amp;D)'!$B$97,Model!AB$1,'Assumptions (T&amp;D)'!$B$100,Model!$AZ$2672)</f>
        <v>-0.51614958225986185</v>
      </c>
      <c r="BF2724" s="377">
        <f>PPMT('Assumptions (T&amp;D)'!$B$97,Model!AC$1,'Assumptions (T&amp;D)'!$B$100,Model!$AZ$2672)</f>
        <v>-0.54066668741720536</v>
      </c>
      <c r="BG2724" s="377">
        <f>PPMT('Assumptions (T&amp;D)'!$B$97,Model!AD$1,'Assumptions (T&amp;D)'!$B$100,Model!$AZ$2672)</f>
        <v>-0.56634835506952264</v>
      </c>
      <c r="BH2724" s="377">
        <f>PPMT('Assumptions (T&amp;D)'!$B$97,Model!AE$1,'Assumptions (T&amp;D)'!$B$100,Model!$AZ$2672)</f>
        <v>-0.5932499019353249</v>
      </c>
      <c r="BI2724" s="377">
        <f>PPMT('Assumptions (T&amp;D)'!$B$97,Model!AF$1,'Assumptions (T&amp;D)'!$B$100,Model!$AZ$2672)</f>
        <v>-0.62142927227725286</v>
      </c>
      <c r="BJ2724" s="377">
        <f>PPMT('Assumptions (T&amp;D)'!$B$97,Model!AG$1,'Assumptions (T&amp;D)'!$B$100,Model!$AZ$2672)</f>
        <v>-0.65094716271042252</v>
      </c>
      <c r="BK2724" s="377">
        <f>PPMT('Assumptions (T&amp;D)'!$B$97,Model!AH$1,'Assumptions (T&amp;D)'!$B$100,Model!$AZ$2672)</f>
        <v>-0.68186715293916755</v>
      </c>
      <c r="BL2724" s="377">
        <f>PPMT('Assumptions (T&amp;D)'!$B$97,Model!AI$1,'Assumptions (T&amp;D)'!$B$100,Model!$AZ$2672)</f>
        <v>-0.71425584270377795</v>
      </c>
      <c r="BM2724" s="377">
        <f>PPMT('Assumptions (T&amp;D)'!$B$97,Model!AJ$1,'Assumptions (T&amp;D)'!$B$100,Model!$AZ$2672)</f>
        <v>-0.74818299523220744</v>
      </c>
      <c r="BN2724" s="377">
        <f>PPMT('Assumptions (T&amp;D)'!$B$97,Model!AK$1,'Assumptions (T&amp;D)'!$B$100,Model!$AZ$2672)</f>
        <v>-0.78372168750573712</v>
      </c>
      <c r="BO2724" s="377"/>
      <c r="BP2724" s="377"/>
      <c r="BQ2724" s="377"/>
      <c r="BR2724" s="377"/>
      <c r="BS2724" s="377"/>
      <c r="BT2724" s="377"/>
      <c r="BU2724" s="377"/>
      <c r="BV2724" s="377"/>
      <c r="BW2724" s="377"/>
      <c r="BX2724" s="377"/>
    </row>
    <row r="2725" spans="1:77" ht="15.75" hidden="1" customHeight="1" outlineLevel="1">
      <c r="A2725" s="460"/>
      <c r="B2725" s="99"/>
      <c r="C2725" s="377"/>
      <c r="D2725" s="377"/>
      <c r="E2725" s="377"/>
      <c r="F2725" s="377"/>
      <c r="G2725" s="377"/>
      <c r="H2725" s="377"/>
      <c r="I2725" s="377"/>
      <c r="J2725" s="377"/>
      <c r="K2725" s="377"/>
      <c r="L2725" s="377"/>
      <c r="M2725" s="377"/>
      <c r="N2725" s="377"/>
      <c r="O2725" s="377"/>
      <c r="P2725" s="377"/>
      <c r="Q2725" s="377"/>
      <c r="R2725" s="377"/>
      <c r="S2725" s="42"/>
      <c r="T2725" s="42"/>
      <c r="U2725" s="42"/>
      <c r="V2725" s="42"/>
      <c r="W2725" s="86"/>
      <c r="BA2725" s="377">
        <f>PPMT('Assumptions (T&amp;D)'!$B$97,Model!W$1,'Assumptions (T&amp;D)'!$B$100,Model!$BA$2672)</f>
        <v>-0.40926673032863181</v>
      </c>
      <c r="BB2725" s="377">
        <f>PPMT('Assumptions (T&amp;D)'!$B$97,Model!X$1,'Assumptions (T&amp;D)'!$B$100,Model!$BA$2672)</f>
        <v>-0.42870690001924172</v>
      </c>
      <c r="BC2725" s="377">
        <f>PPMT('Assumptions (T&amp;D)'!$B$97,Model!Y$1,'Assumptions (T&amp;D)'!$B$100,Model!$BA$2672)</f>
        <v>-0.4490704777701558</v>
      </c>
      <c r="BD2725" s="377">
        <f>PPMT('Assumptions (T&amp;D)'!$B$97,Model!Z$1,'Assumptions (T&amp;D)'!$B$100,Model!$BA$2672)</f>
        <v>-0.47040132546423813</v>
      </c>
      <c r="BE2725" s="377">
        <f>PPMT('Assumptions (T&amp;D)'!$B$97,Model!AA$1,'Assumptions (T&amp;D)'!$B$100,Model!$BA$2672)</f>
        <v>-0.49274538842378945</v>
      </c>
      <c r="BF2725" s="377">
        <f>PPMT('Assumptions (T&amp;D)'!$B$97,Model!AB$1,'Assumptions (T&amp;D)'!$B$100,Model!$BA$2672)</f>
        <v>-0.51615079437391942</v>
      </c>
      <c r="BG2725" s="377">
        <f>PPMT('Assumptions (T&amp;D)'!$B$97,Model!AC$1,'Assumptions (T&amp;D)'!$B$100,Model!$BA$2672)</f>
        <v>-0.54066795710668059</v>
      </c>
      <c r="BH2725" s="377">
        <f>PPMT('Assumptions (T&amp;D)'!$B$97,Model!AD$1,'Assumptions (T&amp;D)'!$B$100,Model!$BA$2672)</f>
        <v>-0.56634968506924799</v>
      </c>
      <c r="BI2725" s="377">
        <f>PPMT('Assumptions (T&amp;D)'!$B$97,Model!AE$1,'Assumptions (T&amp;D)'!$B$100,Model!$BA$2672)</f>
        <v>-0.59325129511003716</v>
      </c>
      <c r="BJ2725" s="377">
        <f>PPMT('Assumptions (T&amp;D)'!$B$97,Model!AF$1,'Assumptions (T&amp;D)'!$B$100,Model!$BA$2672)</f>
        <v>-0.62143073162776397</v>
      </c>
      <c r="BK2725" s="377">
        <f>PPMT('Assumptions (T&amp;D)'!$B$97,Model!AG$1,'Assumptions (T&amp;D)'!$B$100,Model!$BA$2672)</f>
        <v>-0.65094869138008293</v>
      </c>
      <c r="BL2725" s="377">
        <f>PPMT('Assumptions (T&amp;D)'!$B$97,Model!AH$1,'Assumptions (T&amp;D)'!$B$100,Model!$BA$2672)</f>
        <v>-0.68186875422063675</v>
      </c>
      <c r="BM2725" s="377">
        <f>PPMT('Assumptions (T&amp;D)'!$B$97,Model!AI$1,'Assumptions (T&amp;D)'!$B$100,Model!$BA$2672)</f>
        <v>-0.71425752004611709</v>
      </c>
      <c r="BN2725" s="377">
        <f>PPMT('Assumptions (T&amp;D)'!$B$97,Model!AJ$1,'Assumptions (T&amp;D)'!$B$100,Model!$BA$2672)</f>
        <v>-0.74818475224830761</v>
      </c>
      <c r="BO2725" s="377">
        <f>PPMT('Assumptions (T&amp;D)'!$B$97,Model!AK$1,'Assumptions (T&amp;D)'!$B$100,Model!$BA$2672)</f>
        <v>-0.78372352798010203</v>
      </c>
      <c r="BP2725" s="377"/>
      <c r="BQ2725" s="377"/>
      <c r="BR2725" s="377"/>
      <c r="BS2725" s="377"/>
      <c r="BT2725" s="377"/>
      <c r="BU2725" s="377"/>
      <c r="BV2725" s="377"/>
      <c r="BW2725" s="377"/>
      <c r="BX2725" s="377"/>
      <c r="BY2725" s="377"/>
    </row>
    <row r="2726" spans="1:77" ht="15.75" customHeight="1" collapsed="1">
      <c r="A2726" s="460" t="s">
        <v>709</v>
      </c>
      <c r="B2726" s="99" t="s">
        <v>201</v>
      </c>
      <c r="C2726" s="91">
        <f t="array" ref="C2726">SUM(IF(ISERROR(C2727:C2777),"",C2727:C2777))</f>
        <v>-6.9415712924999998E-2</v>
      </c>
      <c r="D2726" s="91">
        <f t="array" ref="D2726">SUM(IF(ISERROR(D2727:D2777),"",D2727:D2777))</f>
        <v>-0.14630048355599223</v>
      </c>
      <c r="E2726" s="91">
        <f t="array" ref="E2726">SUM(IF(ISERROR(E2727:E2777),"",E2727:E2777))</f>
        <v>-0.22468243838689134</v>
      </c>
      <c r="F2726" s="91">
        <f t="array" ref="F2726">SUM(IF(ISERROR(F2727:F2777),"",F2727:F2777))</f>
        <v>-0.3241330490570542</v>
      </c>
      <c r="G2726" s="91">
        <f t="array" ref="G2726">SUM(IF(ISERROR(G2727:G2777),"",G2727:G2777))</f>
        <v>-0.41723017755985453</v>
      </c>
      <c r="H2726" s="91">
        <f t="array" ref="H2726">SUM(IF(ISERROR(H2727:H2777),"",H2727:H2777))</f>
        <v>-0.5181239056390492</v>
      </c>
      <c r="I2726" s="91">
        <f t="array" ref="I2726">SUM(IF(ISERROR(I2727:I2777),"",I2727:I2777))</f>
        <v>-0.65189836792042866</v>
      </c>
      <c r="J2726" s="91">
        <f t="array" ref="J2726">SUM(IF(ISERROR(J2727:J2777),"",J2727:J2777))</f>
        <v>-0.78444428024189805</v>
      </c>
      <c r="K2726" s="91">
        <f t="array" ref="K2726">SUM(IF(ISERROR(K2727:K2777),"",K2727:K2777))</f>
        <v>-0.93943079166191734</v>
      </c>
      <c r="L2726" s="91">
        <f t="array" ref="L2726">SUM(IF(ISERROR(L2727:L2777),"",L2727:L2777))</f>
        <v>-1.0835393971374867</v>
      </c>
      <c r="M2726" s="91">
        <f t="array" ref="M2726">SUM(IF(ISERROR(M2727:M2777),"",M2727:M2777))</f>
        <v>-1.2662482768851273</v>
      </c>
      <c r="N2726" s="91">
        <f t="array" ref="N2726">SUM(IF(ISERROR(N2727:N2777),"",N2727:N2777))</f>
        <v>-1.4391355973223348</v>
      </c>
      <c r="O2726" s="91">
        <f t="array" ref="O2726">SUM(IF(ISERROR(O2727:O2777),"",O2727:O2777))</f>
        <v>-1.6723395789520694</v>
      </c>
      <c r="P2726" s="91">
        <f t="array" ref="P2726">SUM(IF(ISERROR(P2727:P2777),"",P2727:P2777))</f>
        <v>-2.0438734224735216</v>
      </c>
      <c r="Q2726" s="91">
        <f t="array" ref="Q2726">SUM(IF(ISERROR(Q2727:Q2777),"",Q2727:Q2777))</f>
        <v>-2.3378799816450249</v>
      </c>
      <c r="R2726" s="91">
        <f t="array" ref="R2726">SUM(IF(ISERROR(R2727:R2777),"",R2727:R2777))</f>
        <v>-2.6241643730453856</v>
      </c>
      <c r="S2726" s="91">
        <f t="array" ref="S2726">SUM(IF(ISERROR(S2727:S2777),"",S2727:S2777))</f>
        <v>-2.921175369395268</v>
      </c>
      <c r="T2726" s="91">
        <f t="array" ref="T2726">SUM(IF(ISERROR(T2727:T2777),"",T2727:T2777))</f>
        <v>-3.1295900507148486</v>
      </c>
      <c r="U2726" s="91">
        <f t="array" ref="U2726">SUM(IF(ISERROR(U2727:U2777),"",U2727:U2777))</f>
        <v>-3.3272239568222468</v>
      </c>
      <c r="V2726" s="91">
        <f t="array" ref="V2726">SUM(IF(ISERROR(V2727:V2777),"",V2727:V2777))</f>
        <v>-3.5063580670199861</v>
      </c>
      <c r="W2726" s="91">
        <f t="array" ref="W2726">SUM(IF(ISERROR(W2727:W2777),"",W2727:W2777))</f>
        <v>-3.6740088812481373</v>
      </c>
      <c r="X2726" s="91">
        <f t="array" ref="X2726">SUM(IF(ISERROR(X2727:X2777),"",X2727:X2777))</f>
        <v>-3.8011550570282511</v>
      </c>
      <c r="Y2726" s="91">
        <f t="array" ref="Y2726">SUM(IF(ISERROR(Y2727:Y2777),"",Y2727:Y2777))</f>
        <v>-3.8984238052509528</v>
      </c>
      <c r="Z2726" s="91">
        <f t="array" ref="Z2726">SUM(IF(ISERROR(Z2727:Z2777),"",Z2727:Z2777))</f>
        <v>-4.0059130458344256</v>
      </c>
      <c r="AA2726" s="91">
        <f t="array" ref="AA2726">SUM(IF(ISERROR(AA2727:AA2777),"",AA2727:AA2777))</f>
        <v>-4.0900838408386742</v>
      </c>
      <c r="AB2726" s="91">
        <f t="array" ref="AB2726">SUM(IF(ISERROR(AB2727:AB2777),"",AB2727:AB2777))</f>
        <v>-4.1096470635437417</v>
      </c>
      <c r="AC2726" s="91">
        <f t="array" ref="AC2726">SUM(IF(ISERROR(AC2727:AC2777),"",AC2727:AC2777))</f>
        <v>-4.1415981435628861</v>
      </c>
      <c r="AD2726" s="91">
        <f t="array" ref="AD2726">SUM(IF(ISERROR(AD2727:AD2777),"",AD2727:AD2777))</f>
        <v>-4.1919879811939209</v>
      </c>
      <c r="AE2726" s="91">
        <f t="array" ref="AE2726">SUM(IF(ISERROR(AE2727:AE2777),"",AE2727:AE2777))</f>
        <v>-4.2337087014411479</v>
      </c>
      <c r="AF2726" s="91">
        <f t="array" ref="AF2726">SUM(IF(ISERROR(AF2727:AF2777),"",AF2727:AF2777))</f>
        <v>-4.2600208318040762</v>
      </c>
      <c r="AG2726" s="91">
        <f t="array" ref="AG2726">SUM(IF(ISERROR(AG2727:AG2777),"",AG2727:AG2777))</f>
        <v>-4.3370712271304024</v>
      </c>
      <c r="AH2726" s="91">
        <f t="array" ref="AH2726">SUM(IF(ISERROR(AH2727:AH2777),"",AH2727:AH2777))</f>
        <v>-4.3799518079690252</v>
      </c>
      <c r="AI2726" s="91">
        <f t="array" ref="AI2726">SUM(IF(ISERROR(AI2727:AI2777),"",AI2727:AI2777))</f>
        <v>-4.3846945731079821</v>
      </c>
      <c r="AJ2726" s="91">
        <f t="array" ref="AJ2726">SUM(IF(ISERROR(AJ2727:AJ2777),"",AJ2727:AJ2777))</f>
        <v>-4.414149645600002</v>
      </c>
      <c r="AK2726" s="91">
        <f t="array" ref="AK2726">SUM(IF(ISERROR(AK2727:AK2777),"",AK2727:AK2777))</f>
        <v>-4.4517801352757207</v>
      </c>
      <c r="AL2726" s="91">
        <f t="array" ref="AL2726">SUM(IF(ISERROR(AL2727:AL2777),"",AL2727:AL2777))</f>
        <v>-4.4219535379879646</v>
      </c>
      <c r="AM2726" s="91">
        <f t="array" ref="AM2726">SUM(IF(ISERROR(AM2727:AM2777),"",AM2727:AM2777))</f>
        <v>-4.3976579807735998</v>
      </c>
      <c r="AN2726" s="91">
        <f t="array" ref="AN2726">SUM(IF(ISERROR(AN2727:AN2777),"",AN2727:AN2777))</f>
        <v>-4.429317082707751</v>
      </c>
      <c r="AO2726" s="91">
        <f t="array" ref="AO2726">SUM(IF(ISERROR(AO2727:AO2777),"",AO2727:AO2777))</f>
        <v>-4.4565808684121233</v>
      </c>
      <c r="AP2726" s="91">
        <f t="array" ref="AP2726">SUM(IF(ISERROR(AP2727:AP2777),"",AP2727:AP2777))</f>
        <v>-4.461564075975839</v>
      </c>
      <c r="AQ2726" s="91">
        <f t="array" ref="AQ2726">SUM(IF(ISERROR(AQ2727:AQ2777),"",AQ2727:AQ2777))</f>
        <v>-4.5081262376335269</v>
      </c>
      <c r="AR2726" s="91">
        <f t="array" ref="AR2726">SUM(IF(ISERROR(AR2727:AR2777),"",AR2727:AR2777))</f>
        <v>-4.513006476521527</v>
      </c>
      <c r="AS2726" s="91">
        <f t="array" ref="AS2726">SUM(IF(ISERROR(AS2727:AS2777),"",AS2727:AS2777))</f>
        <v>-4.4961371137885591</v>
      </c>
      <c r="AT2726" s="91">
        <f t="array" ref="AT2726">SUM(IF(ISERROR(AT2727:AT2777),"",AT2727:AT2777))</f>
        <v>-4.3988436576037211</v>
      </c>
      <c r="AU2726" s="91">
        <f t="array" ref="AU2726">SUM(IF(ISERROR(AU2727:AU2777),"",AU2727:AU2777))</f>
        <v>-4.3066753503294439</v>
      </c>
      <c r="AV2726" s="91">
        <f t="array" ref="AV2726">SUM(IF(ISERROR(AV2727:AV2777),"",AV2727:AV2777))</f>
        <v>-4.2183661270968873</v>
      </c>
      <c r="AW2726" s="91">
        <f t="array" ref="AW2726">SUM(IF(ISERROR(AW2727:AW2777),"",AW2727:AW2777))</f>
        <v>-4.1392051134884404</v>
      </c>
      <c r="AX2726" s="91">
        <f t="array" ref="AX2726">SUM(IF(ISERROR(AX2727:AX2777),"",AX2727:AX2777))</f>
        <v>-4.0667585862984508</v>
      </c>
      <c r="AY2726" s="91">
        <f t="array" ref="AY2726">SUM(IF(ISERROR(AY2727:AY2777),"",AY2727:AY2777))</f>
        <v>-3.9976711538730814</v>
      </c>
      <c r="AZ2726" s="91">
        <f t="array" ref="AZ2726">SUM(IF(ISERROR(AZ2727:AZ2777),"",AZ2727:AZ2777))</f>
        <v>-3.9347635277742308</v>
      </c>
      <c r="BA2726" s="91">
        <f t="array" ref="BA2726">SUM(IF(ISERROR(BA2727:BA2777),"",BA2727:BA2777))</f>
        <v>-3.879443252999581</v>
      </c>
      <c r="BB2726" s="91">
        <f t="array" ref="BB2726">SUM(IF(ISERROR(BB2727:BB2777),"",BB2727:BB2777))</f>
        <v>-3.4143583784809453</v>
      </c>
      <c r="BC2726" s="91">
        <f t="array" ref="BC2726">SUM(IF(ISERROR(BC2727:BC2777),"",BC2727:BC2777))</f>
        <v>-2.9712212080454972</v>
      </c>
      <c r="BD2726" s="91">
        <f t="array" ref="BD2726">SUM(IF(ISERROR(BD2727:BD2777),"",BD2727:BD2777))</f>
        <v>-2.5565046089714829</v>
      </c>
      <c r="BE2726" s="91">
        <f t="array" ref="BE2726">SUM(IF(ISERROR(BE2727:BE2777),"",BE2727:BE2777))</f>
        <v>-2.1716037636597458</v>
      </c>
      <c r="BF2726" s="91">
        <f t="array" ref="BF2726">SUM(IF(ISERROR(BF2727:BF2777),"",BF2727:BF2777))</f>
        <v>-1.8160195100028349</v>
      </c>
      <c r="BG2726" s="91">
        <f t="array" ref="BG2726">SUM(IF(ISERROR(BG2727:BG2777),"",BG2727:BG2777))</f>
        <v>-1.4952114063888393</v>
      </c>
      <c r="BH2726" s="91">
        <f t="array" ref="BH2726">SUM(IF(ISERROR(BH2727:BH2777),"",BH2727:BH2777))</f>
        <v>-1.2075875833272205</v>
      </c>
      <c r="BI2726" s="91">
        <f t="array" ref="BI2726">SUM(IF(ISERROR(BI2727:BI2777),"",BI2727:BI2777))</f>
        <v>-0.95298748424850199</v>
      </c>
      <c r="BJ2726" s="91">
        <f t="array" ref="BJ2726">SUM(IF(ISERROR(BJ2727:BJ2777),"",BJ2727:BJ2777))</f>
        <v>-0.72528838322688616</v>
      </c>
      <c r="BK2726" s="91">
        <f t="array" ref="BK2726">SUM(IF(ISERROR(BK2727:BK2777),"",BK2727:BK2777))</f>
        <v>-0.52576842685666647</v>
      </c>
      <c r="BL2726" s="91">
        <f t="array" ref="BL2726">SUM(IF(ISERROR(BL2727:BL2777),"",BL2727:BL2777))</f>
        <v>-0.35576661042050606</v>
      </c>
      <c r="BM2726" s="91">
        <f t="array" ref="BM2726">SUM(IF(ISERROR(BM2727:BM2777),"",BM2727:BM2777))</f>
        <v>-0.2166851125527588</v>
      </c>
      <c r="BN2726" s="91">
        <f t="array" ref="BN2726">SUM(IF(ISERROR(BN2727:BN2777),"",BN2727:BN2777))</f>
        <v>-0.10999242346737198</v>
      </c>
      <c r="BO2726" s="91">
        <f t="array" ref="BO2726">SUM(IF(ISERROR(BO2727:BO2777),"",BO2727:BO2777))</f>
        <v>-3.7226867579054849E-2</v>
      </c>
      <c r="BP2726" s="91"/>
      <c r="BQ2726" s="91"/>
      <c r="BR2726" s="91"/>
      <c r="BS2726" s="91"/>
      <c r="BT2726" s="91"/>
      <c r="BU2726" s="91"/>
      <c r="BV2726" s="91"/>
      <c r="BW2726" s="91"/>
      <c r="BX2726" s="91"/>
      <c r="BY2726" s="91"/>
    </row>
    <row r="2727" spans="1:77" ht="15.75" hidden="1" customHeight="1" outlineLevel="1">
      <c r="A2727" s="460"/>
      <c r="B2727" s="99"/>
      <c r="C2727" s="377">
        <f>IPMT('Assumptions (T&amp;D)'!$B$97,Model!W$1,'Assumptions (T&amp;D)'!$B$100,Model!$C$2672)</f>
        <v>-6.9415712924999998E-2</v>
      </c>
      <c r="D2727" s="377">
        <f>IPMT('Assumptions (T&amp;D)'!$B$97,Model!X$1,'Assumptions (T&amp;D)'!$B$100,Model!$C$2672)</f>
        <v>-6.6137824214742236E-2</v>
      </c>
      <c r="E2727" s="377">
        <f>IPMT('Assumptions (T&amp;D)'!$B$97,Model!Y$1,'Assumptions (T&amp;D)'!$B$100,Model!$C$2672)</f>
        <v>-6.2704235790747229E-2</v>
      </c>
      <c r="F2727" s="377">
        <f>IPMT('Assumptions (T&amp;D)'!$B$97,Model!Z$1,'Assumptions (T&amp;D)'!$B$100,Model!$C$2672)</f>
        <v>-5.9107551916612482E-2</v>
      </c>
      <c r="G2727" s="377">
        <f>IPMT('Assumptions (T&amp;D)'!$B$97,Model!AA$1,'Assumptions (T&amp;D)'!$B$100,Model!$C$2672)</f>
        <v>-5.5340025558456324E-2</v>
      </c>
      <c r="H2727" s="377">
        <f>IPMT('Assumptions (T&amp;D)'!$B$97,Model!AB$1,'Assumptions (T&amp;D)'!$B$100,Model!$C$2672)</f>
        <v>-5.1393541698287748E-2</v>
      </c>
      <c r="I2727" s="377">
        <f>IPMT('Assumptions (T&amp;D)'!$B$97,Model!AC$1,'Assumptions (T&amp;D)'!$B$100,Model!$C$2672)</f>
        <v>-4.7259599854761164E-2</v>
      </c>
      <c r="J2727" s="377">
        <f>IPMT('Assumptions (T&amp;D)'!$B$97,Model!AD$1,'Assumptions (T&amp;D)'!$B$100,Model!$C$2672)</f>
        <v>-4.2929295773667074E-2</v>
      </c>
      <c r="K2727" s="377">
        <f>IPMT('Assumptions (T&amp;D)'!$B$97,Model!AE$1,'Assumptions (T&amp;D)'!$B$100,Model!$C$2672)</f>
        <v>-3.8393302248721013E-2</v>
      </c>
      <c r="L2727" s="377">
        <f>IPMT('Assumptions (T&amp;D)'!$B$97,Model!AF$1,'Assumptions (T&amp;D)'!$B$100,Model!$C$2672)</f>
        <v>-3.3641849031340008E-2</v>
      </c>
      <c r="M2727" s="377">
        <f>IPMT('Assumptions (T&amp;D)'!$B$97,Model!AG$1,'Assumptions (T&amp;D)'!$B$100,Model!$C$2672)</f>
        <v>-2.8664701786133406E-2</v>
      </c>
      <c r="N2727" s="377">
        <f>IPMT('Assumptions (T&amp;D)'!$B$97,Model!AH$1,'Assumptions (T&amp;D)'!$B$100,Model!$C$2672)</f>
        <v>-2.3451140046779496E-2</v>
      </c>
      <c r="O2727" s="377">
        <f>IPMT('Assumptions (T&amp;D)'!$B$97,Model!AI$1,'Assumptions (T&amp;D)'!$B$100,Model!$C$2672)</f>
        <v>-1.7989934124806269E-2</v>
      </c>
      <c r="P2727" s="377">
        <f>IPMT('Assumptions (T&amp;D)'!$B$97,Model!AJ$1,'Assumptions (T&amp;D)'!$B$100,Model!$C$2672)</f>
        <v>-1.2269320921539317E-2</v>
      </c>
      <c r="Q2727" s="377">
        <f>IPMT('Assumptions (T&amp;D)'!$B$97,Model!AK$1,'Assumptions (T&amp;D)'!$B$100,Model!$C$2672)</f>
        <v>-6.2769785911171837E-3</v>
      </c>
      <c r="R2727" s="377"/>
      <c r="S2727" s="377"/>
      <c r="T2727" s="377"/>
      <c r="U2727" s="377"/>
      <c r="V2727" s="377"/>
      <c r="W2727" s="377"/>
      <c r="X2727" s="377"/>
      <c r="Y2727" s="377"/>
      <c r="Z2727" s="377"/>
      <c r="AA2727" s="377"/>
      <c r="AB2727" s="377"/>
    </row>
    <row r="2728" spans="1:77" ht="15.75" hidden="1" customHeight="1" outlineLevel="1">
      <c r="A2728" s="460"/>
      <c r="B2728" s="99"/>
      <c r="C2728" s="377"/>
      <c r="D2728" s="377">
        <f>IPMT('Assumptions (T&amp;D)'!$B$97,Model!W$1,'Assumptions (T&amp;D)'!$B$100,Model!$D$2672)</f>
        <v>-8.0162659341249998E-2</v>
      </c>
      <c r="E2728" s="377">
        <f>IPMT('Assumptions (T&amp;D)'!$B$97,Model!X$1,'Assumptions (T&amp;D)'!$B$100,Model!$D$2672)</f>
        <v>-7.637728762976409E-2</v>
      </c>
      <c r="F2728" s="377">
        <f>IPMT('Assumptions (T&amp;D)'!$B$97,Model!Y$1,'Assumptions (T&amp;D)'!$B$100,Model!$D$2672)</f>
        <v>-7.2412110761982576E-2</v>
      </c>
      <c r="G2728" s="377">
        <f>IPMT('Assumptions (T&amp;D)'!$B$97,Model!Z$1,'Assumptions (T&amp;D)'!$B$100,Model!$D$2672)</f>
        <v>-6.8258587992981484E-2</v>
      </c>
      <c r="H2728" s="377">
        <f>IPMT('Assumptions (T&amp;D)'!$B$97,Model!AA$1,'Assumptions (T&amp;D)'!$B$100,Model!$D$2672)</f>
        <v>-6.3907772892452822E-2</v>
      </c>
      <c r="I2728" s="377">
        <f>IPMT('Assumptions (T&amp;D)'!$B$97,Model!AB$1,'Assumptions (T&amp;D)'!$B$100,Model!$D$2672)</f>
        <v>-5.9350294074649056E-2</v>
      </c>
      <c r="J2728" s="377">
        <f>IPMT('Assumptions (T&amp;D)'!$B$97,Model!AC$1,'Assumptions (T&amp;D)'!$B$100,Model!$D$2672)</f>
        <v>-5.4576335012999612E-2</v>
      </c>
      <c r="K2728" s="377">
        <f>IPMT('Assumptions (T&amp;D)'!$B$97,Model!AD$1,'Assumptions (T&amp;D)'!$B$100,Model!$D$2672)</f>
        <v>-4.9575612895921821E-2</v>
      </c>
      <c r="L2728" s="377">
        <f>IPMT('Assumptions (T&amp;D)'!$B$97,Model!AE$1,'Assumptions (T&amp;D)'!$B$100,Model!$D$2672)</f>
        <v>-4.4337356478282831E-2</v>
      </c>
      <c r="M2728" s="377">
        <f>IPMT('Assumptions (T&amp;D)'!$B$97,Model!AF$1,'Assumptions (T&amp;D)'!$B$100,Model!$D$2672)</f>
        <v>-3.8850282880805991E-2</v>
      </c>
      <c r="N2728" s="377">
        <f>IPMT('Assumptions (T&amp;D)'!$B$97,Model!AG$1,'Assumptions (T&amp;D)'!$B$100,Model!$D$2672)</f>
        <v>-3.3102573287448991E-2</v>
      </c>
      <c r="O2728" s="377">
        <f>IPMT('Assumptions (T&amp;D)'!$B$97,Model!AH$1,'Assumptions (T&amp;D)'!$B$100,Model!$D$2672)</f>
        <v>-2.7081847488407546E-2</v>
      </c>
      <c r="P2728" s="377">
        <f>IPMT('Assumptions (T&amp;D)'!$B$97,Model!AI$1,'Assumptions (T&amp;D)'!$B$100,Model!$D$2672)</f>
        <v>-2.0775137213911624E-2</v>
      </c>
      <c r="Q2728" s="377">
        <f>IPMT('Assumptions (T&amp;D)'!$B$97,Model!AJ$1,'Assumptions (T&amp;D)'!$B$100,Model!$D$2672)</f>
        <v>-1.4168858201377145E-2</v>
      </c>
      <c r="R2728" s="377">
        <f>IPMT('Assumptions (T&amp;D)'!$B$97,Model!AK$1,'Assumptions (T&amp;D)'!$B$100,Model!$D$2672)</f>
        <v>-7.2487809357472824E-3</v>
      </c>
      <c r="S2728" s="377"/>
      <c r="T2728" s="377"/>
      <c r="U2728" s="377"/>
      <c r="V2728" s="377"/>
      <c r="W2728" s="377"/>
      <c r="X2728" s="377"/>
      <c r="Y2728" s="377"/>
      <c r="Z2728" s="377"/>
      <c r="AA2728" s="377"/>
      <c r="AB2728" s="377"/>
    </row>
    <row r="2729" spans="1:77" ht="15.75" hidden="1" customHeight="1" outlineLevel="1">
      <c r="A2729" s="460"/>
      <c r="B2729" s="99"/>
      <c r="C2729" s="377"/>
      <c r="D2729" s="377"/>
      <c r="E2729" s="377">
        <f>IPMT('Assumptions (T&amp;D)'!$B$97,Model!W$1,'Assumptions (T&amp;D)'!$B$100,Model!$E$2672)</f>
        <v>-8.5600914966380004E-2</v>
      </c>
      <c r="F2729" s="377">
        <f>IPMT('Assumptions (T&amp;D)'!$B$97,Model!X$1,'Assumptions (T&amp;D)'!$B$100,Model!$E$2672)</f>
        <v>-8.1558742655059163E-2</v>
      </c>
      <c r="G2729" s="377">
        <f>IPMT('Assumptions (T&amp;D)'!$B$97,Model!Y$1,'Assumptions (T&amp;D)'!$B$100,Model!$E$2672)</f>
        <v>-7.7324567158950572E-2</v>
      </c>
      <c r="H2729" s="377">
        <f>IPMT('Assumptions (T&amp;D)'!$B$97,Model!Z$1,'Assumptions (T&amp;D)'!$B$100,Model!$E$2672)</f>
        <v>-7.2889268326776849E-2</v>
      </c>
      <c r="I2729" s="377">
        <f>IPMT('Assumptions (T&amp;D)'!$B$97,Model!AA$1,'Assumptions (T&amp;D)'!$B$100,Model!$E$2672)</f>
        <v>-6.8243292800074865E-2</v>
      </c>
      <c r="J2729" s="377">
        <f>IPMT('Assumptions (T&amp;D)'!$B$97,Model!AB$1,'Assumptions (T&amp;D)'!$B$100,Model!$E$2672)</f>
        <v>-6.3376633435854535E-2</v>
      </c>
      <c r="K2729" s="377">
        <f>IPMT('Assumptions (T&amp;D)'!$B$97,Model!AC$1,'Assumptions (T&amp;D)'!$B$100,Model!$E$2672)</f>
        <v>-5.8278807751833743E-2</v>
      </c>
      <c r="L2729" s="377">
        <f>IPMT('Assumptions (T&amp;D)'!$B$97,Model!AD$1,'Assumptions (T&amp;D)'!$B$100,Model!$E$2672)</f>
        <v>-5.2938835347821962E-2</v>
      </c>
      <c r="M2729" s="377">
        <f>IPMT('Assumptions (T&amp;D)'!$B$97,Model!AE$1,'Assumptions (T&amp;D)'!$B$100,Model!$E$2672)</f>
        <v>-4.7345214254619628E-2</v>
      </c>
      <c r="N2729" s="377">
        <f>IPMT('Assumptions (T&amp;D)'!$B$97,Model!AF$1,'Assumptions (T&amp;D)'!$B$100,Model!$E$2672)</f>
        <v>-4.1485896159490172E-2</v>
      </c>
      <c r="O2729" s="377">
        <f>IPMT('Assumptions (T&amp;D)'!$B$97,Model!AG$1,'Assumptions (T&amp;D)'!$B$100,Model!$E$2672)</f>
        <v>-3.5348260454842073E-2</v>
      </c>
      <c r="P2729" s="377">
        <f>IPMT('Assumptions (T&amp;D)'!$B$97,Model!AH$1,'Assumptions (T&amp;D)'!$B$100,Model!$E$2672)</f>
        <v>-2.8919087054223191E-2</v>
      </c>
      <c r="Q2729" s="377">
        <f>IPMT('Assumptions (T&amp;D)'!$B$97,Model!AI$1,'Assumptions (T&amp;D)'!$B$100,Model!$E$2672)</f>
        <v>-2.2184527917074901E-2</v>
      </c>
      <c r="R2729" s="377">
        <f>IPMT('Assumptions (T&amp;D)'!$B$97,Model!AJ$1,'Assumptions (T&amp;D)'!$B$100,Model!$E$2672)</f>
        <v>-1.5130077220912074E-2</v>
      </c>
      <c r="S2729" s="377">
        <f>IPMT('Assumptions (T&amp;D)'!$B$97,Model!AK$1,'Assumptions (T&amp;D)'!$B$100,Model!$E$2672)</f>
        <v>-7.7405401166815132E-3</v>
      </c>
      <c r="T2729" s="377"/>
      <c r="U2729" s="377"/>
      <c r="V2729" s="377"/>
      <c r="W2729" s="377"/>
      <c r="X2729" s="377"/>
      <c r="Y2729" s="377"/>
      <c r="Z2729" s="377"/>
      <c r="AA2729" s="377"/>
      <c r="AB2729" s="377"/>
      <c r="AC2729" s="377"/>
    </row>
    <row r="2730" spans="1:77" ht="15.75" hidden="1" customHeight="1" outlineLevel="1">
      <c r="A2730" s="460"/>
      <c r="B2730" s="99"/>
      <c r="C2730" s="377"/>
      <c r="D2730" s="377"/>
      <c r="E2730" s="377"/>
      <c r="F2730" s="377">
        <f>IPMT('Assumptions (T&amp;D)'!$B$97,Model!W$1,'Assumptions (T&amp;D)'!$B$100,Model!$F$2672)</f>
        <v>-0.1110546437234</v>
      </c>
      <c r="G2730" s="377">
        <f>IPMT('Assumptions (T&amp;D)'!$B$97,Model!X$1,'Assumptions (T&amp;D)'!$B$100,Model!$F$2672)</f>
        <v>-0.1058105174651861</v>
      </c>
      <c r="H2730" s="377">
        <f>IPMT('Assumptions (T&amp;D)'!$B$97,Model!Y$1,'Assumptions (T&amp;D)'!$B$100,Model!$F$2672)</f>
        <v>-0.10031729520970703</v>
      </c>
      <c r="I2730" s="377">
        <f>IPMT('Assumptions (T&amp;D)'!$B$97,Model!Z$1,'Assumptions (T&amp;D)'!$B$100,Model!$F$2672)</f>
        <v>-9.4563144897092749E-2</v>
      </c>
      <c r="J2730" s="377">
        <f>IPMT('Assumptions (T&amp;D)'!$B$97,Model!AA$1,'Assumptions (T&amp;D)'!$B$100,Model!$F$2672)</f>
        <v>-8.853567244462926E-2</v>
      </c>
      <c r="K2730" s="377">
        <f>IPMT('Assumptions (T&amp;D)'!$B$97,Model!AB$1,'Assumptions (T&amp;D)'!$B$100,Model!$F$2672)</f>
        <v>-8.222189505067376E-2</v>
      </c>
      <c r="L2730" s="377">
        <f>IPMT('Assumptions (T&amp;D)'!$B$97,Model!AC$1,'Assumptions (T&amp;D)'!$B$100,Model!$F$2672)</f>
        <v>-7.5608213230505372E-2</v>
      </c>
      <c r="M2730" s="377">
        <f>IPMT('Assumptions (T&amp;D)'!$B$97,Model!AD$1,'Assumptions (T&amp;D)'!$B$100,Model!$F$2672)</f>
        <v>-6.8680381523878994E-2</v>
      </c>
      <c r="N2730" s="377">
        <f>IPMT('Assumptions (T&amp;D)'!$B$97,Model!AE$1,'Assumptions (T&amp;D)'!$B$100,Model!$F$2672)</f>
        <v>-6.1423477811187864E-2</v>
      </c>
      <c r="O2730" s="377">
        <f>IPMT('Assumptions (T&amp;D)'!$B$97,Model!AF$1,'Assumptions (T&amp;D)'!$B$100,Model!$F$2672)</f>
        <v>-5.3821871172143904E-2</v>
      </c>
      <c r="P2730" s="377">
        <f>IPMT('Assumptions (T&amp;D)'!$B$97,Model!AG$1,'Assumptions (T&amp;D)'!$B$100,Model!$F$2672)</f>
        <v>-4.5859188217745352E-2</v>
      </c>
      <c r="Q2730" s="377">
        <f>IPMT('Assumptions (T&amp;D)'!$B$97,Model!AH$1,'Assumptions (T&amp;D)'!$B$100,Model!$F$2672)</f>
        <v>-3.7518277823012869E-2</v>
      </c>
      <c r="R2730" s="377">
        <f>IPMT('Assumptions (T&amp;D)'!$B$97,Model!AI$1,'Assumptions (T&amp;D)'!$B$100,Model!$F$2672)</f>
        <v>-2.8781174184530588E-2</v>
      </c>
      <c r="S2730" s="377">
        <f>IPMT('Assumptions (T&amp;D)'!$B$97,Model!AJ$1,'Assumptions (T&amp;D)'!$B$100,Model!$F$2672)</f>
        <v>-1.9629058123220404E-2</v>
      </c>
      <c r="T2730" s="377">
        <f>IPMT('Assumptions (T&amp;D)'!$B$97,Model!AK$1,'Assumptions (T&amp;D)'!$B$100,Model!$F$2672)</f>
        <v>-1.0042216548997984E-2</v>
      </c>
      <c r="U2730" s="377"/>
      <c r="V2730" s="377"/>
      <c r="W2730" s="377"/>
      <c r="X2730" s="377"/>
      <c r="Y2730" s="377"/>
      <c r="Z2730" s="377"/>
      <c r="AA2730" s="377"/>
      <c r="AB2730" s="377"/>
      <c r="AC2730" s="377"/>
      <c r="AD2730" s="377"/>
    </row>
    <row r="2731" spans="1:77" ht="15.75" hidden="1" customHeight="1" outlineLevel="1">
      <c r="A2731" s="460"/>
      <c r="B2731" s="99"/>
      <c r="C2731" s="377"/>
      <c r="D2731" s="377"/>
      <c r="E2731" s="377"/>
      <c r="F2731" s="377"/>
      <c r="G2731" s="377">
        <f>IPMT('Assumptions (T&amp;D)'!$B$97,Model!W$1,'Assumptions (T&amp;D)'!$B$100,Model!$G$2672)</f>
        <v>-0.11049647938428002</v>
      </c>
      <c r="H2731" s="377">
        <f>IPMT('Assumptions (T&amp;D)'!$B$97,Model!X$1,'Assumptions (T&amp;D)'!$B$100,Model!$G$2672)</f>
        <v>-0.10527871027934706</v>
      </c>
      <c r="I2731" s="377">
        <f>IPMT('Assumptions (T&amp;D)'!$B$97,Model!Y$1,'Assumptions (T&amp;D)'!$B$100,Model!$G$2672)</f>
        <v>-9.9813097141929763E-2</v>
      </c>
      <c r="J2731" s="377">
        <f>IPMT('Assumptions (T&amp;D)'!$B$97,Model!Z$1,'Assumptions (T&amp;D)'!$B$100,Model!$G$2672)</f>
        <v>-9.4087867380485191E-2</v>
      </c>
      <c r="K2731" s="377">
        <f>IPMT('Assumptions (T&amp;D)'!$B$97,Model!AA$1,'Assumptions (T&amp;D)'!$B$100,Model!$G$2672)</f>
        <v>-8.8090689205371983E-2</v>
      </c>
      <c r="L2731" s="377">
        <f>IPMT('Assumptions (T&amp;D)'!$B$97,Model!AB$1,'Assumptions (T&amp;D)'!$B$100,Model!$G$2672)</f>
        <v>-8.180864506694091E-2</v>
      </c>
      <c r="M2731" s="377">
        <f>IPMT('Assumptions (T&amp;D)'!$B$97,Model!AC$1,'Assumptions (T&amp;D)'!$B$100,Model!$G$2672)</f>
        <v>-7.5228203831934348E-2</v>
      </c>
      <c r="N2731" s="377">
        <f>IPMT('Assumptions (T&amp;D)'!$B$97,Model!AD$1,'Assumptions (T&amp;D)'!$B$100,Model!$G$2672)</f>
        <v>-6.8335191638264986E-2</v>
      </c>
      <c r="O2731" s="377">
        <f>IPMT('Assumptions (T&amp;D)'!$B$97,Model!AE$1,'Assumptions (T&amp;D)'!$B$100,Model!$G$2672)</f>
        <v>-6.1114761365396335E-2</v>
      </c>
      <c r="P2731" s="377">
        <f>IPMT('Assumptions (T&amp;D)'!$B$97,Model!AF$1,'Assumptions (T&amp;D)'!$B$100,Model!$G$2672)</f>
        <v>-5.3551360654566407E-2</v>
      </c>
      <c r="Q2731" s="377">
        <f>IPMT('Assumptions (T&amp;D)'!$B$97,Model!AG$1,'Assumptions (T&amp;D)'!$B$100,Model!$G$2672)</f>
        <v>-4.5628698409972065E-2</v>
      </c>
      <c r="R2731" s="377">
        <f>IPMT('Assumptions (T&amp;D)'!$B$97,Model!AH$1,'Assumptions (T&amp;D)'!$B$100,Model!$G$2672)</f>
        <v>-3.7329709708759498E-2</v>
      </c>
      <c r="S2731" s="377">
        <f>IPMT('Assumptions (T&amp;D)'!$B$97,Model!AI$1,'Assumptions (T&amp;D)'!$B$100,Model!$G$2672)</f>
        <v>-2.8636519044239316E-2</v>
      </c>
      <c r="T2731" s="377">
        <f>IPMT('Assumptions (T&amp;D)'!$B$97,Model!AJ$1,'Assumptions (T&amp;D)'!$B$100,Model!$G$2672)</f>
        <v>-1.9530401823154433E-2</v>
      </c>
      <c r="U2731" s="377">
        <f>IPMT('Assumptions (T&amp;D)'!$B$97,Model!AK$1,'Assumptions (T&amp;D)'!$B$100,Model!$G$2672)</f>
        <v>-9.9917440340680178E-3</v>
      </c>
      <c r="V2731" s="377"/>
      <c r="W2731" s="377"/>
      <c r="X2731" s="377"/>
      <c r="Y2731" s="377"/>
      <c r="Z2731" s="377"/>
      <c r="AA2731" s="377"/>
      <c r="AB2731" s="377"/>
      <c r="AC2731" s="377"/>
      <c r="AD2731" s="377"/>
      <c r="AE2731" s="377"/>
    </row>
    <row r="2732" spans="1:77" ht="15.75" hidden="1" customHeight="1" outlineLevel="1">
      <c r="A2732" s="460"/>
      <c r="B2732" s="99"/>
      <c r="C2732" s="377"/>
      <c r="D2732" s="377"/>
      <c r="E2732" s="377"/>
      <c r="F2732" s="377"/>
      <c r="G2732" s="377"/>
      <c r="H2732" s="377">
        <f>IPMT('Assumptions (T&amp;D)'!$B$97,Model!W$1,'Assumptions (T&amp;D)'!$B$100,Model!$H$2672)</f>
        <v>-0.12433731723247766</v>
      </c>
      <c r="I2732" s="377">
        <f>IPMT('Assumptions (T&amp;D)'!$B$97,Model!X$1,'Assumptions (T&amp;D)'!$B$100,Model!$H$2672)</f>
        <v>-0.11846596806315592</v>
      </c>
      <c r="J2732" s="377">
        <f>IPMT('Assumptions (T&amp;D)'!$B$97,Model!Y$1,'Assumptions (T&amp;D)'!$B$100,Model!$H$2672)</f>
        <v>-0.11231572980829135</v>
      </c>
      <c r="K2732" s="377">
        <f>IPMT('Assumptions (T&amp;D)'!$B$97,Model!Z$1,'Assumptions (T&amp;D)'!$B$100,Model!$H$2672)</f>
        <v>-0.1058733552363208</v>
      </c>
      <c r="L2732" s="377">
        <f>IPMT('Assumptions (T&amp;D)'!$B$97,Model!AA$1,'Assumptions (T&amp;D)'!$B$100,Model!$H$2672)</f>
        <v>-9.9124967872181599E-2</v>
      </c>
      <c r="M2732" s="377">
        <f>IPMT('Assumptions (T&amp;D)'!$B$97,Model!AB$1,'Assumptions (T&amp;D)'!$B$100,Model!$H$2672)</f>
        <v>-9.2056032108245811E-2</v>
      </c>
      <c r="N2732" s="377">
        <f>IPMT('Assumptions (T&amp;D)'!$B$97,Model!AC$1,'Assumptions (T&amp;D)'!$B$100,Model!$H$2672)</f>
        <v>-8.4651321895523046E-2</v>
      </c>
      <c r="O2732" s="377">
        <f>IPMT('Assumptions (T&amp;D)'!$B$97,Model!AD$1,'Assumptions (T&amp;D)'!$B$100,Model!$H$2672)</f>
        <v>-7.6894887947695958E-2</v>
      </c>
      <c r="P2732" s="377">
        <f>IPMT('Assumptions (T&amp;D)'!$B$97,Model!AE$1,'Assumptions (T&amp;D)'!$B$100,Model!$H$2672)</f>
        <v>-6.8770023387347112E-2</v>
      </c>
      <c r="Q2732" s="377">
        <f>IPMT('Assumptions (T&amp;D)'!$B$97,Model!AF$1,'Assumptions (T&amp;D)'!$B$100,Model!$H$2672)</f>
        <v>-6.0259227760381673E-2</v>
      </c>
      <c r="R2732" s="377">
        <f>IPMT('Assumptions (T&amp;D)'!$B$97,Model!AG$1,'Assumptions (T&amp;D)'!$B$100,Model!$H$2672)</f>
        <v>-5.1344169341135365E-2</v>
      </c>
      <c r="S2732" s="377">
        <f>IPMT('Assumptions (T&amp;D)'!$B$97,Model!AH$1,'Assumptions (T&amp;D)'!$B$100,Model!$H$2672)</f>
        <v>-4.2005645646974878E-2</v>
      </c>
      <c r="T2732" s="377">
        <f>IPMT('Assumptions (T&amp;D)'!$B$97,Model!AI$1,'Assumptions (T&amp;D)'!$B$100,Model!$H$2672)</f>
        <v>-3.2223542077341745E-2</v>
      </c>
      <c r="U2732" s="377">
        <f>IPMT('Assumptions (T&amp;D)'!$B$97,Model!AJ$1,'Assumptions (T&amp;D)'!$B$100,Model!$H$2672)</f>
        <v>-2.1976788588151053E-2</v>
      </c>
      <c r="V2732" s="377">
        <f>IPMT('Assumptions (T&amp;D)'!$B$97,Model!AK$1,'Assumptions (T&amp;D)'!$B$100,Model!$H$2672)</f>
        <v>-1.1243314308223796E-2</v>
      </c>
      <c r="W2732" s="377"/>
      <c r="X2732" s="377"/>
      <c r="Y2732" s="377"/>
      <c r="Z2732" s="377"/>
      <c r="AA2732" s="377"/>
      <c r="AB2732" s="377"/>
      <c r="AC2732" s="377"/>
      <c r="AD2732" s="377"/>
      <c r="AE2732" s="377"/>
      <c r="AF2732" s="377"/>
    </row>
    <row r="2733" spans="1:77" ht="15.75" hidden="1" customHeight="1" outlineLevel="1">
      <c r="A2733" s="460"/>
      <c r="B2733" s="99"/>
      <c r="C2733" s="377"/>
      <c r="D2733" s="377"/>
      <c r="E2733" s="377"/>
      <c r="F2733" s="377"/>
      <c r="G2733" s="377"/>
      <c r="H2733" s="377"/>
      <c r="I2733" s="377">
        <f>IPMT('Assumptions (T&amp;D)'!$B$97,Model!W$1,'Assumptions (T&amp;D)'!$B$100,Model!$I$2672)</f>
        <v>-0.16420297108876517</v>
      </c>
      <c r="J2733" s="377">
        <f>IPMT('Assumptions (T&amp;D)'!$B$97,Model!X$1,'Assumptions (T&amp;D)'!$B$100,Model!$I$2672)</f>
        <v>-0.15644912052031845</v>
      </c>
      <c r="K2733" s="377">
        <f>IPMT('Assumptions (T&amp;D)'!$B$97,Model!Y$1,'Assumptions (T&amp;D)'!$B$100,Model!$I$2672)</f>
        <v>-0.1483269620498705</v>
      </c>
      <c r="L2733" s="377">
        <f>IPMT('Assumptions (T&amp;D)'!$B$97,Model!Z$1,'Assumptions (T&amp;D)'!$B$100,Model!$I$2672)</f>
        <v>-0.13981900105207637</v>
      </c>
      <c r="M2733" s="377">
        <f>IPMT('Assumptions (T&amp;D)'!$B$97,Model!AA$1,'Assumptions (T&amp;D)'!$B$100,Model!$I$2672)</f>
        <v>-0.13090691190688697</v>
      </c>
      <c r="N2733" s="377">
        <f>IPMT('Assumptions (T&amp;D)'!$B$97,Model!AB$1,'Assumptions (T&amp;D)'!$B$100,Model!$I$2672)</f>
        <v>-0.12157149852730105</v>
      </c>
      <c r="O2733" s="377">
        <f>IPMT('Assumptions (T&amp;D)'!$B$97,Model!AC$1,'Assumptions (T&amp;D)'!$B$100,Model!$I$2672)</f>
        <v>-0.11179265301218481</v>
      </c>
      <c r="P2733" s="377">
        <f>IPMT('Assumptions (T&amp;D)'!$B$97,Model!AD$1,'Assumptions (T&amp;D)'!$B$100,Model!$I$2672)</f>
        <v>-0.10154931233510057</v>
      </c>
      <c r="Q2733" s="377">
        <f>IPMT('Assumptions (T&amp;D)'!$B$97,Model!AE$1,'Assumptions (T&amp;D)'!$B$100,Model!$I$2672)</f>
        <v>-9.081941297585483E-2</v>
      </c>
      <c r="R2733" s="377">
        <f>IPMT('Assumptions (T&amp;D)'!$B$97,Model!AF$1,'Assumptions (T&amp;D)'!$B$100,Model!$I$2672)</f>
        <v>-7.9579843397044908E-2</v>
      </c>
      <c r="S2733" s="377">
        <f>IPMT('Assumptions (T&amp;D)'!$B$97,Model!AG$1,'Assumptions (T&amp;D)'!$B$100,Model!$I$2672)</f>
        <v>-6.7806394263241504E-2</v>
      </c>
      <c r="T2733" s="377">
        <f>IPMT('Assumptions (T&amp;D)'!$B$97,Model!AH$1,'Assumptions (T&amp;D)'!$B$100,Model!$I$2672)</f>
        <v>-5.5473706295582459E-2</v>
      </c>
      <c r="U2733" s="377">
        <f>IPMT('Assumptions (T&amp;D)'!$B$97,Model!AI$1,'Assumptions (T&amp;D)'!$B$100,Model!$I$2672)</f>
        <v>-4.2555215649459584E-2</v>
      </c>
      <c r="V2733" s="377">
        <f>IPMT('Assumptions (T&amp;D)'!$B$97,Model!AJ$1,'Assumptions (T&amp;D)'!$B$100,Model!$I$2672)</f>
        <v>-2.902309669764588E-2</v>
      </c>
      <c r="W2733" s="377">
        <f>IPMT('Assumptions (T&amp;D)'!$B$97,Model!AK$1,'Assumptions (T&amp;D)'!$B$100,Model!$I$2672)</f>
        <v>-1.484820209562103E-2</v>
      </c>
      <c r="X2733" s="377"/>
      <c r="Y2733" s="377"/>
      <c r="Z2733" s="377"/>
      <c r="AA2733" s="377"/>
      <c r="AB2733" s="377"/>
      <c r="AC2733" s="377"/>
      <c r="AD2733" s="377"/>
      <c r="AE2733" s="377"/>
      <c r="AF2733" s="377"/>
      <c r="AG2733" s="377"/>
    </row>
    <row r="2734" spans="1:77" ht="15.75" hidden="1" customHeight="1" outlineLevel="1">
      <c r="A2734" s="460"/>
      <c r="B2734" s="99"/>
      <c r="C2734" s="377"/>
      <c r="D2734" s="377"/>
      <c r="E2734" s="377"/>
      <c r="F2734" s="377"/>
      <c r="G2734" s="377"/>
      <c r="H2734" s="377"/>
      <c r="I2734" s="377"/>
      <c r="J2734" s="377">
        <f>IPMT('Assumptions (T&amp;D)'!$B$97,Model!W$1,'Assumptions (T&amp;D)'!$B$100,Model!$J$2672)</f>
        <v>-0.17217362586565257</v>
      </c>
      <c r="K2734" s="377">
        <f>IPMT('Assumptions (T&amp;D)'!$B$97,Model!X$1,'Assumptions (T&amp;D)'!$B$100,Model!$J$2672)</f>
        <v>-0.1640433919366438</v>
      </c>
      <c r="L2734" s="377">
        <f>IPMT('Assumptions (T&amp;D)'!$B$97,Model!Y$1,'Assumptions (T&amp;D)'!$B$100,Model!$J$2672)</f>
        <v>-0.15552697189600714</v>
      </c>
      <c r="M2734" s="377">
        <f>IPMT('Assumptions (T&amp;D)'!$B$97,Model!Z$1,'Assumptions (T&amp;D)'!$B$100,Model!$J$2672)</f>
        <v>-0.1466060219034403</v>
      </c>
      <c r="N2734" s="377">
        <f>IPMT('Assumptions (T&amp;D)'!$B$97,Model!AA$1,'Assumptions (T&amp;D)'!$B$100,Model!$J$2672)</f>
        <v>-0.13726132678622646</v>
      </c>
      <c r="O2734" s="377">
        <f>IPMT('Assumptions (T&amp;D)'!$B$97,Model!AB$1,'Assumptions (T&amp;D)'!$B$100,Model!$J$2672)</f>
        <v>-0.12747275865094501</v>
      </c>
      <c r="P2734" s="377">
        <f>IPMT('Assumptions (T&amp;D)'!$B$97,Model!AC$1,'Assumptions (T&amp;D)'!$B$100,Model!$J$2672)</f>
        <v>-0.11721923352923769</v>
      </c>
      <c r="Q2734" s="377">
        <f>IPMT('Assumptions (T&amp;D)'!$B$97,Model!AD$1,'Assumptions (T&amp;D)'!$B$100,Model!$J$2672)</f>
        <v>-0.10647866596424925</v>
      </c>
      <c r="R2734" s="377">
        <f>IPMT('Assumptions (T&amp;D)'!$B$97,Model!AE$1,'Assumptions (T&amp;D)'!$B$100,Model!$J$2672)</f>
        <v>-9.5227921439923896E-2</v>
      </c>
      <c r="S2734" s="377">
        <f>IPMT('Assumptions (T&amp;D)'!$B$97,Model!AF$1,'Assumptions (T&amp;D)'!$B$100,Model!$J$2672)</f>
        <v>-8.3442766550693048E-2</v>
      </c>
      <c r="T2734" s="377">
        <f>IPMT('Assumptions (T&amp;D)'!$B$97,Model!AG$1,'Assumptions (T&amp;D)'!$B$100,Model!$J$2672)</f>
        <v>-7.1097816804223751E-2</v>
      </c>
      <c r="U2734" s="377">
        <f>IPMT('Assumptions (T&amp;D)'!$B$97,Model!AH$1,'Assumptions (T&amp;D)'!$B$100,Model!$J$2672)</f>
        <v>-5.8166481944797163E-2</v>
      </c>
      <c r="V2734" s="377">
        <f>IPMT('Assumptions (T&amp;D)'!$B$97,Model!AI$1,'Assumptions (T&amp;D)'!$B$100,Model!$J$2672)</f>
        <v>-4.4620908679547801E-2</v>
      </c>
      <c r="W2734" s="377">
        <f>IPMT('Assumptions (T&amp;D)'!$B$97,Model!AJ$1,'Assumptions (T&amp;D)'!$B$100,Model!$J$2672)</f>
        <v>-3.0431920684199098E-2</v>
      </c>
      <c r="X2734" s="377">
        <f>IPMT('Assumptions (T&amp;D)'!$B$97,Model!AK$1,'Assumptions (T&amp;D)'!$B$100,Model!$J$2672)</f>
        <v>-1.5568955759071332E-2</v>
      </c>
      <c r="Y2734" s="377"/>
      <c r="Z2734" s="377"/>
      <c r="AA2734" s="377"/>
      <c r="AB2734" s="377"/>
      <c r="AC2734" s="377"/>
      <c r="AD2734" s="377"/>
      <c r="AE2734" s="377"/>
      <c r="AF2734" s="377"/>
      <c r="AG2734" s="377"/>
      <c r="AH2734" s="377"/>
    </row>
    <row r="2735" spans="1:77" ht="15.75" hidden="1" customHeight="1" outlineLevel="1">
      <c r="A2735" s="460"/>
      <c r="B2735" s="99"/>
      <c r="C2735" s="377"/>
      <c r="D2735" s="377"/>
      <c r="E2735" s="377"/>
      <c r="F2735" s="377"/>
      <c r="G2735" s="377"/>
      <c r="H2735" s="377"/>
      <c r="I2735" s="377"/>
      <c r="J2735" s="377"/>
      <c r="K2735" s="377">
        <f>IPMT('Assumptions (T&amp;D)'!$B$97,Model!W$1,'Assumptions (T&amp;D)'!$B$100,Model!$K$2672)</f>
        <v>-0.20462677528656004</v>
      </c>
      <c r="L2735" s="377">
        <f>IPMT('Assumptions (T&amp;D)'!$B$97,Model!X$1,'Assumptions (T&amp;D)'!$B$100,Model!$K$2672)</f>
        <v>-0.1949640668266906</v>
      </c>
      <c r="M2735" s="377">
        <f>IPMT('Assumptions (T&amp;D)'!$B$97,Model!Y$1,'Assumptions (T&amp;D)'!$B$100,Model!$K$2672)</f>
        <v>-0.18484237971497733</v>
      </c>
      <c r="N2735" s="377">
        <f>IPMT('Assumptions (T&amp;D)'!$B$97,Model!Z$1,'Assumptions (T&amp;D)'!$B$100,Model!$K$2672)</f>
        <v>-0.17423991246545775</v>
      </c>
      <c r="O2735" s="377">
        <f>IPMT('Assumptions (T&amp;D)'!$B$97,Model!AA$1,'Assumptions (T&amp;D)'!$B$100,Model!$K$2672)</f>
        <v>-0.16313382802158596</v>
      </c>
      <c r="P2735" s="377">
        <f>IPMT('Assumptions (T&amp;D)'!$B$97,Model!AB$1,'Assumptions (T&amp;D)'!$B$100,Model!$K$2672)</f>
        <v>-0.15150020456663027</v>
      </c>
      <c r="Q2735" s="377">
        <f>IPMT('Assumptions (T&amp;D)'!$B$97,Model!AC$1,'Assumptions (T&amp;D)'!$B$100,Model!$K$2672)</f>
        <v>-0.13931398399756417</v>
      </c>
      <c r="R2735" s="377">
        <f>IPMT('Assumptions (T&amp;D)'!$B$97,Model!AD$1,'Assumptions (T&amp;D)'!$B$100,Model!$K$2672)</f>
        <v>-0.12654891795146744</v>
      </c>
      <c r="S2735" s="377">
        <f>IPMT('Assumptions (T&amp;D)'!$B$97,Model!AE$1,'Assumptions (T&amp;D)'!$B$100,Model!$K$2672)</f>
        <v>-0.11317751126818115</v>
      </c>
      <c r="T2735" s="377">
        <f>IPMT('Assumptions (T&amp;D)'!$B$97,Model!AF$1,'Assumptions (T&amp;D)'!$B$100,Model!$K$2672)</f>
        <v>-9.9170962767438725E-2</v>
      </c>
      <c r="U2735" s="377">
        <f>IPMT('Assumptions (T&amp;D)'!$B$97,Model!AG$1,'Assumptions (T&amp;D)'!$B$100,Model!$K$2672)</f>
        <v>-8.4499103212911028E-2</v>
      </c>
      <c r="V2735" s="377">
        <f>IPMT('Assumptions (T&amp;D)'!$B$97,Model!AH$1,'Assumptions (T&amp;D)'!$B$100,Model!$K$2672)</f>
        <v>-6.9130330329543285E-2</v>
      </c>
      <c r="W2735" s="377">
        <f>IPMT('Assumptions (T&amp;D)'!$B$97,Model!AI$1,'Assumptions (T&amp;D)'!$B$100,Model!$K$2672)</f>
        <v>-5.3031540734215558E-2</v>
      </c>
      <c r="X2735" s="377">
        <f>IPMT('Assumptions (T&amp;D)'!$B$97,Model!AJ$1,'Assumptions (T&amp;D)'!$B$100,Model!$K$2672)</f>
        <v>-3.6168058633109769E-2</v>
      </c>
      <c r="Y2735" s="377">
        <f>IPMT('Assumptions (T&amp;D)'!$B$97,Model!AK$1,'Assumptions (T&amp;D)'!$B$100,Model!$K$2672)</f>
        <v>-1.8503561132201456E-2</v>
      </c>
      <c r="Z2735" s="377"/>
      <c r="AA2735" s="377"/>
      <c r="AB2735" s="377"/>
      <c r="AC2735" s="377"/>
      <c r="AD2735" s="377"/>
      <c r="AE2735" s="377"/>
      <c r="AF2735" s="377"/>
      <c r="AG2735" s="377"/>
      <c r="AH2735" s="377"/>
      <c r="AI2735" s="377"/>
    </row>
    <row r="2736" spans="1:77" ht="15.75" hidden="1" customHeight="1" outlineLevel="1">
      <c r="A2736" s="460"/>
      <c r="B2736" s="99"/>
      <c r="C2736" s="377"/>
      <c r="D2736" s="377"/>
      <c r="E2736" s="377"/>
      <c r="F2736" s="377"/>
      <c r="G2736" s="377"/>
      <c r="H2736" s="377"/>
      <c r="I2736" s="377"/>
      <c r="J2736" s="377"/>
      <c r="K2736" s="377"/>
      <c r="L2736" s="377">
        <f>IPMT('Assumptions (T&amp;D)'!$B$97,Model!W$1,'Assumptions (T&amp;D)'!$B$100,Model!$L$2672)</f>
        <v>-0.20576949033564004</v>
      </c>
      <c r="M2736" s="377">
        <f>IPMT('Assumptions (T&amp;D)'!$B$97,Model!X$1,'Assumptions (T&amp;D)'!$B$100,Model!$L$2672)</f>
        <v>-0.1960528215748446</v>
      </c>
      <c r="N2736" s="377">
        <f>IPMT('Assumptions (T&amp;D)'!$B$97,Model!Y$1,'Assumptions (T&amp;D)'!$B$100,Model!$L$2672)</f>
        <v>-0.18587461104791148</v>
      </c>
      <c r="O2736" s="377">
        <f>IPMT('Assumptions (T&amp;D)'!$B$97,Model!Z$1,'Assumptions (T&amp;D)'!$B$100,Model!$L$2672)</f>
        <v>-0.17521293552094902</v>
      </c>
      <c r="P2736" s="377">
        <f>IPMT('Assumptions (T&amp;D)'!$B$97,Model!AA$1,'Assumptions (T&amp;D)'!$B$100,Model!$L$2672)</f>
        <v>-0.16404483040645584</v>
      </c>
      <c r="Q2736" s="377">
        <f>IPMT('Assumptions (T&amp;D)'!$B$97,Model!AB$1,'Assumptions (T&amp;D)'!$B$100,Model!$L$2672)</f>
        <v>-0.15234624029902427</v>
      </c>
      <c r="R2736" s="377">
        <f>IPMT('Assumptions (T&amp;D)'!$B$97,Model!AC$1,'Assumptions (T&amp;D)'!$B$100,Model!$L$2672)</f>
        <v>-0.14009196716148967</v>
      </c>
      <c r="S2736" s="377">
        <f>IPMT('Assumptions (T&amp;D)'!$B$97,Model!AD$1,'Assumptions (T&amp;D)'!$B$100,Model!$L$2672)</f>
        <v>-0.12725561604992214</v>
      </c>
      <c r="T2736" s="377">
        <f>IPMT('Assumptions (T&amp;D)'!$B$97,Model!AE$1,'Assumptions (T&amp;D)'!$B$100,Model!$L$2672)</f>
        <v>-0.11380953826055523</v>
      </c>
      <c r="U2736" s="377">
        <f>IPMT('Assumptions (T&amp;D)'!$B$97,Model!AF$1,'Assumptions (T&amp;D)'!$B$100,Model!$L$2672)</f>
        <v>-9.9724771776193336E-2</v>
      </c>
      <c r="V2736" s="377">
        <f>IPMT('Assumptions (T&amp;D)'!$B$97,Model!AG$1,'Assumptions (T&amp;D)'!$B$100,Model!$L$2672)</f>
        <v>-8.4970978883824252E-2</v>
      </c>
      <c r="W2736" s="377">
        <f>IPMT('Assumptions (T&amp;D)'!$B$97,Model!AH$1,'Assumptions (T&amp;D)'!$B$100,Model!$L$2672)</f>
        <v>-6.9516380829067664E-2</v>
      </c>
      <c r="X2736" s="377">
        <f>IPMT('Assumptions (T&amp;D)'!$B$97,Model!AI$1,'Assumptions (T&amp;D)'!$B$100,Model!$L$2672)</f>
        <v>-5.3327689366710111E-2</v>
      </c>
      <c r="Y2736" s="377">
        <f>IPMT('Assumptions (T&amp;D)'!$B$97,Model!AJ$1,'Assumptions (T&amp;D)'!$B$100,Model!$L$2672)</f>
        <v>-3.6370035059890594E-2</v>
      </c>
      <c r="Z2736" s="377">
        <f>IPMT('Assumptions (T&amp;D)'!$B$97,Model!AK$1,'Assumptions (T&amp;D)'!$B$100,Model!$L$2672)</f>
        <v>-1.860689217349714E-2</v>
      </c>
      <c r="AA2736" s="377"/>
      <c r="AB2736" s="377"/>
      <c r="AC2736" s="377"/>
      <c r="AD2736" s="377"/>
      <c r="AE2736" s="377"/>
      <c r="AF2736" s="377"/>
      <c r="AG2736" s="377"/>
      <c r="AH2736" s="377"/>
      <c r="AI2736" s="377"/>
      <c r="AJ2736" s="377"/>
    </row>
    <row r="2737" spans="1:52" ht="15.75" hidden="1" customHeight="1" outlineLevel="1">
      <c r="A2737" s="460"/>
      <c r="B2737" s="99"/>
      <c r="C2737" s="377"/>
      <c r="D2737" s="377"/>
      <c r="E2737" s="377"/>
      <c r="F2737" s="377"/>
      <c r="G2737" s="377"/>
      <c r="H2737" s="377"/>
      <c r="I2737" s="377"/>
      <c r="J2737" s="377"/>
      <c r="K2737" s="377"/>
      <c r="L2737" s="377"/>
      <c r="M2737" s="377">
        <f>IPMT('Assumptions (T&amp;D)'!$B$97,Model!W$1,'Assumptions (T&amp;D)'!$B$100,Model!$M$2672)</f>
        <v>-0.25701532539936001</v>
      </c>
      <c r="N2737" s="377">
        <f>IPMT('Assumptions (T&amp;D)'!$B$97,Model!X$1,'Assumptions (T&amp;D)'!$B$100,Model!$M$2672)</f>
        <v>-0.24487877017302345</v>
      </c>
      <c r="O2737" s="377">
        <f>IPMT('Assumptions (T&amp;D)'!$B$97,Model!Y$1,'Assumptions (T&amp;D)'!$B$100,Model!$M$2672)</f>
        <v>-0.2321657285734359</v>
      </c>
      <c r="P2737" s="377">
        <f>IPMT('Assumptions (T&amp;D)'!$B$97,Model!Z$1,'Assumptions (T&amp;D)'!$B$100,Model!$M$2672)</f>
        <v>-0.21884881749786805</v>
      </c>
      <c r="Q2737" s="377">
        <f>IPMT('Assumptions (T&amp;D)'!$B$97,Model!AA$1,'Assumptions (T&amp;D)'!$B$100,Model!$M$2672)</f>
        <v>-0.20489935314621061</v>
      </c>
      <c r="R2737" s="377">
        <f>IPMT('Assumptions (T&amp;D)'!$B$97,Model!AB$1,'Assumptions (T&amp;D)'!$B$100,Model!$M$2672)</f>
        <v>-0.19028728923784952</v>
      </c>
      <c r="S2737" s="377">
        <f>IPMT('Assumptions (T&amp;D)'!$B$97,Model!AC$1,'Assumptions (T&amp;D)'!$B$100,Model!$M$2672)</f>
        <v>-0.17498115229384123</v>
      </c>
      <c r="T2737" s="377">
        <f>IPMT('Assumptions (T&amp;D)'!$B$97,Model!AD$1,'Assumptions (T&amp;D)'!$B$100,Model!$M$2672)</f>
        <v>-0.1589479738449926</v>
      </c>
      <c r="U2737" s="377">
        <f>IPMT('Assumptions (T&amp;D)'!$B$97,Model!AE$1,'Assumptions (T&amp;D)'!$B$100,Model!$M$2672)</f>
        <v>-0.14215321941982365</v>
      </c>
      <c r="V2737" s="377">
        <f>IPMT('Assumptions (T&amp;D)'!$B$97,Model!AF$1,'Assumptions (T&amp;D)'!$B$100,Model!$M$2672)</f>
        <v>-0.12456071415945912</v>
      </c>
      <c r="W2737" s="377">
        <f>IPMT('Assumptions (T&amp;D)'!$B$97,Model!AG$1,'Assumptions (T&amp;D)'!$B$100,Model!$M$2672)</f>
        <v>-0.1061325648992273</v>
      </c>
      <c r="X2737" s="377">
        <f>IPMT('Assumptions (T&amp;D)'!$B$97,Model!AH$1,'Assumptions (T&amp;D)'!$B$100,Model!$M$2672)</f>
        <v>-8.6829078549134492E-2</v>
      </c>
      <c r="Y2737" s="377">
        <f>IPMT('Assumptions (T&amp;D)'!$B$97,Model!AI$1,'Assumptions (T&amp;D)'!$B$100,Model!$M$2672)</f>
        <v>-6.660867659741225E-2</v>
      </c>
      <c r="Z2737" s="377">
        <f>IPMT('Assumptions (T&amp;D)'!$B$97,Model!AJ$1,'Assumptions (T&amp;D)'!$B$100,Model!$M$2672)</f>
        <v>-4.5427805552983209E-2</v>
      </c>
      <c r="AA2737" s="377">
        <f>IPMT('Assumptions (T&amp;D)'!$B$97,Model!AK$1,'Assumptions (T&amp;D)'!$B$100,Model!$M$2672)</f>
        <v>-2.3240843133943791E-2</v>
      </c>
      <c r="AB2737" s="377"/>
      <c r="AC2737" s="377"/>
      <c r="AD2737" s="377"/>
      <c r="AE2737" s="377"/>
      <c r="AF2737" s="377"/>
      <c r="AG2737" s="377"/>
      <c r="AH2737" s="377"/>
      <c r="AI2737" s="377"/>
      <c r="AJ2737" s="377"/>
      <c r="AK2737" s="377"/>
    </row>
    <row r="2738" spans="1:52" ht="15.75" hidden="1" customHeight="1" outlineLevel="1">
      <c r="A2738" s="460"/>
      <c r="B2738" s="99"/>
      <c r="C2738" s="377"/>
      <c r="D2738" s="377"/>
      <c r="E2738" s="377"/>
      <c r="F2738" s="377"/>
      <c r="G2738" s="377"/>
      <c r="H2738" s="377"/>
      <c r="I2738" s="377"/>
      <c r="J2738" s="377"/>
      <c r="K2738" s="377"/>
      <c r="L2738" s="377"/>
      <c r="M2738" s="377"/>
      <c r="N2738" s="377">
        <f>IPMT('Assumptions (T&amp;D)'!$B$97,Model!W$1,'Assumptions (T&amp;D)'!$B$100,Model!$N$2672)</f>
        <v>-0.26285987748372003</v>
      </c>
      <c r="O2738" s="377">
        <f>IPMT('Assumptions (T&amp;D)'!$B$97,Model!X$1,'Assumptions (T&amp;D)'!$B$100,Model!$N$2672)</f>
        <v>-0.25044733587783657</v>
      </c>
      <c r="P2738" s="377">
        <f>IPMT('Assumptions (T&amp;D)'!$B$97,Model!Y$1,'Assumptions (T&amp;D)'!$B$100,Model!$N$2672)</f>
        <v>-0.23744519854567364</v>
      </c>
      <c r="Q2738" s="377">
        <f>IPMT('Assumptions (T&amp;D)'!$B$97,Model!Z$1,'Assumptions (T&amp;D)'!$B$100,Model!$N$2672)</f>
        <v>-0.2238254596902331</v>
      </c>
      <c r="R2738" s="377">
        <f>IPMT('Assumptions (T&amp;D)'!$B$97,Model!AA$1,'Assumptions (T&amp;D)'!$B$100,Model!$N$2672)</f>
        <v>-0.20955878323915902</v>
      </c>
      <c r="S2738" s="377">
        <f>IPMT('Assumptions (T&amp;D)'!$B$97,Model!AB$1,'Assumptions (T&amp;D)'!$B$100,Model!$N$2672)</f>
        <v>-0.19461443965665895</v>
      </c>
      <c r="T2738" s="377">
        <f>IPMT('Assumptions (T&amp;D)'!$B$97,Model!AC$1,'Assumptions (T&amp;D)'!$B$100,Model!$N$2672)</f>
        <v>-0.17896023975399017</v>
      </c>
      <c r="U2738" s="377">
        <f>IPMT('Assumptions (T&amp;D)'!$B$97,Model!AD$1,'Assumptions (T&amp;D)'!$B$100,Model!$N$2672)</f>
        <v>-0.16256246535594457</v>
      </c>
      <c r="V2738" s="377">
        <f>IPMT('Assumptions (T&amp;D)'!$B$97,Model!AE$1,'Assumptions (T&amp;D)'!$B$100,Model!$N$2672)</f>
        <v>-0.14538579667399185</v>
      </c>
      <c r="W2738" s="377">
        <f>IPMT('Assumptions (T&amp;D)'!$B$97,Model!AF$1,'Assumptions (T&amp;D)'!$B$100,Model!$N$2672)</f>
        <v>-0.12739323622964635</v>
      </c>
      <c r="X2738" s="377">
        <f>IPMT('Assumptions (T&amp;D)'!$B$97,Model!AG$1,'Assumptions (T&amp;D)'!$B$100,Model!$N$2672)</f>
        <v>-0.10854602916419442</v>
      </c>
      <c r="Y2738" s="377">
        <f>IPMT('Assumptions (T&amp;D)'!$B$97,Model!AH$1,'Assumptions (T&amp;D)'!$B$100,Model!$N$2672)</f>
        <v>-8.8803579763133564E-2</v>
      </c>
      <c r="Z2738" s="377">
        <f>IPMT('Assumptions (T&amp;D)'!$B$97,Model!AI$1,'Assumptions (T&amp;D)'!$B$100,Model!$N$2672)</f>
        <v>-6.8123364015522284E-2</v>
      </c>
      <c r="AA2738" s="377">
        <f>IPMT('Assumptions (T&amp;D)'!$B$97,Model!AJ$1,'Assumptions (T&amp;D)'!$B$100,Model!$N$2672)</f>
        <v>-4.6460838019899482E-2</v>
      </c>
      <c r="AB2738" s="377">
        <f>IPMT('Assumptions (T&amp;D)'!$B$97,Model!AK$1,'Assumptions (T&amp;D)'!$B$100,Model!$N$2672)</f>
        <v>-2.3769342039484592E-2</v>
      </c>
      <c r="AC2738" s="377"/>
      <c r="AD2738" s="377"/>
      <c r="AE2738" s="377"/>
      <c r="AF2738" s="377"/>
      <c r="AG2738" s="377"/>
      <c r="AH2738" s="377"/>
      <c r="AI2738" s="377"/>
      <c r="AJ2738" s="377"/>
      <c r="AK2738" s="377"/>
      <c r="AL2738" s="377"/>
    </row>
    <row r="2739" spans="1:52" ht="15.75" hidden="1" customHeight="1" outlineLevel="1">
      <c r="A2739" s="460"/>
      <c r="B2739" s="99"/>
      <c r="C2739" s="377"/>
      <c r="D2739" s="377"/>
      <c r="E2739" s="377"/>
      <c r="F2739" s="377"/>
      <c r="G2739" s="377"/>
      <c r="H2739" s="377"/>
      <c r="I2739" s="377"/>
      <c r="J2739" s="377"/>
      <c r="K2739" s="377"/>
      <c r="L2739" s="377"/>
      <c r="M2739" s="377"/>
      <c r="N2739" s="377"/>
      <c r="O2739" s="377">
        <f>IPMT('Assumptions (T&amp;D)'!$B$97,Model!W$1,'Assumptions (T&amp;D)'!$B$100,Model!$O$2672)</f>
        <v>-0.33986277674184001</v>
      </c>
      <c r="P2739" s="377">
        <f>IPMT('Assumptions (T&amp;D)'!$B$97,Model!X$1,'Assumptions (T&amp;D)'!$B$100,Model!$O$2672)</f>
        <v>-0.3238140708800622</v>
      </c>
      <c r="Q2739" s="377">
        <f>IPMT('Assumptions (T&amp;D)'!$B$97,Model!Y$1,'Assumptions (T&amp;D)'!$B$100,Model!$O$2672)</f>
        <v>-0.30700305148984997</v>
      </c>
      <c r="R2739" s="377">
        <f>IPMT('Assumptions (T&amp;D)'!$B$97,Model!Z$1,'Assumptions (T&amp;D)'!$B$100,Model!$O$2672)</f>
        <v>-0.28939350867860275</v>
      </c>
      <c r="S2739" s="377">
        <f>IPMT('Assumptions (T&amp;D)'!$B$97,Model!AA$1,'Assumptions (T&amp;D)'!$B$100,Model!$O$2672)</f>
        <v>-0.27094751258382127</v>
      </c>
      <c r="T2739" s="377">
        <f>IPMT('Assumptions (T&amp;D)'!$B$97,Model!AB$1,'Assumptions (T&amp;D)'!$B$100,Model!$O$2672)</f>
        <v>-0.25162533167453766</v>
      </c>
      <c r="U2739" s="377">
        <f>IPMT('Assumptions (T&amp;D)'!$B$97,Model!AC$1,'Assumptions (T&amp;D)'!$B$100,Model!$O$2672)</f>
        <v>-0.23138534717206305</v>
      </c>
      <c r="V2739" s="377">
        <f>IPMT('Assumptions (T&amp;D)'!$B$97,Model!AD$1,'Assumptions (T&amp;D)'!$B$100,Model!$O$2672)</f>
        <v>-0.2101839634057209</v>
      </c>
      <c r="W2739" s="377">
        <f>IPMT('Assumptions (T&amp;D)'!$B$97,Model!AE$1,'Assumptions (T&amp;D)'!$B$100,Model!$O$2672)</f>
        <v>-0.18797551391047754</v>
      </c>
      <c r="X2739" s="377">
        <f>IPMT('Assumptions (T&amp;D)'!$B$97,Model!AF$1,'Assumptions (T&amp;D)'!$B$100,Model!$O$2672)</f>
        <v>-0.1647121630642101</v>
      </c>
      <c r="Y2739" s="377">
        <f>IPMT('Assumptions (T&amp;D)'!$B$97,Model!AG$1,'Assumptions (T&amp;D)'!$B$100,Model!$O$2672)</f>
        <v>-0.14034380305274496</v>
      </c>
      <c r="Z2739" s="377">
        <f>IPMT('Assumptions (T&amp;D)'!$B$97,Model!AH$1,'Assumptions (T&amp;D)'!$B$100,Model!$O$2672)</f>
        <v>-0.11481794594073522</v>
      </c>
      <c r="AA2739" s="377">
        <f>IPMT('Assumptions (T&amp;D)'!$B$97,Model!AI$1,'Assumptions (T&amp;D)'!$B$100,Model!$O$2672)</f>
        <v>-8.8079610615904982E-2</v>
      </c>
      <c r="AB2739" s="377">
        <f>IPMT('Assumptions (T&amp;D)'!$B$97,Model!AJ$1,'Assumptions (T&amp;D)'!$B$100,Model!$O$2672)</f>
        <v>-6.0071204363145329E-2</v>
      </c>
      <c r="AC2739" s="377">
        <f>IPMT('Assumptions (T&amp;D)'!$B$97,Model!AK$1,'Assumptions (T&amp;D)'!$B$100,Model!$O$2672)</f>
        <v>-3.0732398813379601E-2</v>
      </c>
      <c r="AD2739" s="377"/>
      <c r="AE2739" s="377"/>
      <c r="AF2739" s="377"/>
      <c r="AG2739" s="377"/>
      <c r="AH2739" s="377"/>
      <c r="AI2739" s="377"/>
      <c r="AJ2739" s="377"/>
      <c r="AK2739" s="377"/>
      <c r="AL2739" s="377"/>
      <c r="AM2739" s="377"/>
    </row>
    <row r="2740" spans="1:52" ht="15.75" hidden="1" customHeight="1" outlineLevel="1">
      <c r="A2740" s="460"/>
      <c r="B2740" s="99"/>
      <c r="C2740" s="377"/>
      <c r="D2740" s="377"/>
      <c r="E2740" s="377"/>
      <c r="F2740" s="377"/>
      <c r="G2740" s="377"/>
      <c r="H2740" s="377"/>
      <c r="I2740" s="377"/>
      <c r="J2740" s="377"/>
      <c r="K2740" s="377"/>
      <c r="L2740" s="377"/>
      <c r="M2740" s="377"/>
      <c r="N2740" s="377"/>
      <c r="O2740" s="377"/>
      <c r="P2740" s="377">
        <f>IPMT('Assumptions (T&amp;D)'!$B$97,Model!W$1,'Assumptions (T&amp;D)'!$B$100,Model!$P$2672)</f>
        <v>-0.49930763726316019</v>
      </c>
      <c r="Q2740" s="377">
        <f>IPMT('Assumptions (T&amp;D)'!$B$97,Model!X$1,'Assumptions (T&amp;D)'!$B$100,Model!$P$2672)</f>
        <v>-0.47572976421158281</v>
      </c>
      <c r="R2740" s="377">
        <f>IPMT('Assumptions (T&amp;D)'!$B$97,Model!Y$1,'Assumptions (T&amp;D)'!$B$100,Model!$P$2672)</f>
        <v>-0.45103194219005543</v>
      </c>
      <c r="S2740" s="377">
        <f>IPMT('Assumptions (T&amp;D)'!$B$97,Model!Z$1,'Assumptions (T&amp;D)'!$B$100,Model!$P$2672)</f>
        <v>-0.42516097362250571</v>
      </c>
      <c r="T2740" s="377">
        <f>IPMT('Assumptions (T&amp;D)'!$B$97,Model!AA$1,'Assumptions (T&amp;D)'!$B$100,Model!$P$2672)</f>
        <v>-0.39806113404799726</v>
      </c>
      <c r="U2740" s="377">
        <f>IPMT('Assumptions (T&amp;D)'!$B$97,Model!AB$1,'Assumptions (T&amp;D)'!$B$100,Model!$P$2672)</f>
        <v>-0.36967405209369975</v>
      </c>
      <c r="V2740" s="377">
        <f>IPMT('Assumptions (T&amp;D)'!$B$97,Model!AC$1,'Assumptions (T&amp;D)'!$B$100,Model!$P$2672)</f>
        <v>-0.33993858374657304</v>
      </c>
      <c r="W2740" s="377">
        <f>IPMT('Assumptions (T&amp;D)'!$B$97,Model!AD$1,'Assumptions (T&amp;D)'!$B$100,Model!$P$2672)</f>
        <v>-0.30879068065295789</v>
      </c>
      <c r="X2740" s="377">
        <f>IPMT('Assumptions (T&amp;D)'!$B$97,Model!AE$1,'Assumptions (T&amp;D)'!$B$100,Model!$P$2672)</f>
        <v>-0.27616325216239596</v>
      </c>
      <c r="Y2740" s="377">
        <f>IPMT('Assumptions (T&amp;D)'!$B$97,Model!AF$1,'Assumptions (T&amp;D)'!$B$100,Model!$P$2672)</f>
        <v>-0.24198602081853235</v>
      </c>
      <c r="Z2740" s="377">
        <f>IPMT('Assumptions (T&amp;D)'!$B$97,Model!AG$1,'Assumptions (T&amp;D)'!$B$100,Model!$P$2672)</f>
        <v>-0.20618537098583517</v>
      </c>
      <c r="AA2740" s="377">
        <f>IPMT('Assumptions (T&amp;D)'!$B$97,Model!AH$1,'Assumptions (T&amp;D)'!$B$100,Model!$P$2672)</f>
        <v>-0.16868419028608495</v>
      </c>
      <c r="AB2740" s="377">
        <f>IPMT('Assumptions (T&amp;D)'!$B$97,Model!AI$1,'Assumptions (T&amp;D)'!$B$100,Model!$P$2672)</f>
        <v>-0.12940170350309654</v>
      </c>
      <c r="AC2740" s="377">
        <f>IPMT('Assumptions (T&amp;D)'!$B$97,Model!AJ$1,'Assumptions (T&amp;D)'!$B$100,Model!$P$2672)</f>
        <v>-8.8253298597916197E-2</v>
      </c>
      <c r="AD2740" s="377">
        <f>IPMT('Assumptions (T&amp;D)'!$B$97,Model!AK$1,'Assumptions (T&amp;D)'!$B$100,Model!$P$2672)</f>
        <v>-4.515034445973979E-2</v>
      </c>
      <c r="AE2740" s="377"/>
      <c r="AF2740" s="377"/>
      <c r="AG2740" s="377"/>
      <c r="AH2740" s="377"/>
      <c r="AI2740" s="377"/>
      <c r="AJ2740" s="377"/>
      <c r="AK2740" s="377"/>
      <c r="AL2740" s="377"/>
      <c r="AM2740" s="377"/>
      <c r="AN2740" s="377"/>
    </row>
    <row r="2741" spans="1:52" ht="15.75" hidden="1" customHeight="1" outlineLevel="1">
      <c r="A2741" s="460"/>
      <c r="B2741" s="99"/>
      <c r="C2741" s="377"/>
      <c r="D2741" s="377"/>
      <c r="E2741" s="377"/>
      <c r="F2741" s="377"/>
      <c r="G2741" s="377"/>
      <c r="H2741" s="377"/>
      <c r="I2741" s="377"/>
      <c r="J2741" s="377"/>
      <c r="K2741" s="377"/>
      <c r="L2741" s="377"/>
      <c r="M2741" s="377"/>
      <c r="N2741" s="377"/>
      <c r="O2741" s="377"/>
      <c r="P2741" s="377"/>
      <c r="Q2741" s="377">
        <f>IPMT('Assumptions (T&amp;D)'!$B$97,Model!W$1,'Assumptions (T&amp;D)'!$B$100,Model!$Q$2672)</f>
        <v>-0.45142748116752002</v>
      </c>
      <c r="R2741" s="377">
        <f>IPMT('Assumptions (T&amp;D)'!$B$97,Model!X$1,'Assumptions (T&amp;D)'!$B$100,Model!$Q$2672)</f>
        <v>-0.43011056340254822</v>
      </c>
      <c r="S2741" s="377">
        <f>IPMT('Assumptions (T&amp;D)'!$B$97,Model!Y$1,'Assumptions (T&amp;D)'!$B$100,Model!$Q$2672)</f>
        <v>-0.4077810920437403</v>
      </c>
      <c r="T2741" s="377">
        <f>IPMT('Assumptions (T&amp;D)'!$B$97,Model!Z$1,'Assumptions (T&amp;D)'!$B$100,Model!$Q$2672)</f>
        <v>-0.38439097079538914</v>
      </c>
      <c r="U2741" s="377">
        <f>IPMT('Assumptions (T&amp;D)'!$B$97,Model!AA$1,'Assumptions (T&amp;D)'!$B$100,Model!$Q$2672)</f>
        <v>-0.35988981878774123</v>
      </c>
      <c r="V2741" s="377">
        <f>IPMT('Assumptions (T&amp;D)'!$B$97,Model!AB$1,'Assumptions (T&amp;D)'!$B$100,Model!$Q$2672)</f>
        <v>-0.33422486205973007</v>
      </c>
      <c r="W2741" s="377">
        <f>IPMT('Assumptions (T&amp;D)'!$B$97,Model!AC$1,'Assumptions (T&amp;D)'!$B$100,Model!$Q$2672)</f>
        <v>-0.30734081988713841</v>
      </c>
      <c r="X2741" s="377">
        <f>IPMT('Assumptions (T&amp;D)'!$B$97,Model!AD$1,'Assumptions (T&amp;D)'!$B$100,Model!$Q$2672)</f>
        <v>-0.27917978571134855</v>
      </c>
      <c r="Y2741" s="377">
        <f>IPMT('Assumptions (T&amp;D)'!$B$97,Model!AE$1,'Assumptions (T&amp;D)'!$B$100,Model!$Q$2672)</f>
        <v>-0.24968110241220878</v>
      </c>
      <c r="Z2741" s="377">
        <f>IPMT('Assumptions (T&amp;D)'!$B$97,Model!AF$1,'Assumptions (T&amp;D)'!$B$100,Model!$Q$2672)</f>
        <v>-0.21878123165635979</v>
      </c>
      <c r="AA2741" s="377">
        <f>IPMT('Assumptions (T&amp;D)'!$B$97,Model!AG$1,'Assumptions (T&amp;D)'!$B$100,Model!$Q$2672)</f>
        <v>-0.18641361703960799</v>
      </c>
      <c r="AB2741" s="377">
        <f>IPMT('Assumptions (T&amp;D)'!$B$97,Model!AH$1,'Assumptions (T&amp;D)'!$B$100,Model!$Q$2672)</f>
        <v>-0.15250854072856052</v>
      </c>
      <c r="AC2741" s="377">
        <f>IPMT('Assumptions (T&amp;D)'!$B$97,Model!AI$1,'Assumptions (T&amp;D)'!$B$100,Model!$Q$2672)</f>
        <v>-0.11699297329273821</v>
      </c>
      <c r="AD2741" s="377">
        <f>IPMT('Assumptions (T&amp;D)'!$B$97,Model!AJ$1,'Assumptions (T&amp;D)'!$B$100,Model!$Q$2672)</f>
        <v>-7.9790416403714384E-2</v>
      </c>
      <c r="AE2741" s="377">
        <f>IPMT('Assumptions (T&amp;D)'!$B$97,Model!AK$1,'Assumptions (T&amp;D)'!$B$100,Model!$Q$2672)</f>
        <v>-4.0820738062461941E-2</v>
      </c>
      <c r="AF2741" s="377"/>
      <c r="AG2741" s="377"/>
      <c r="AH2741" s="377"/>
      <c r="AI2741" s="377"/>
      <c r="AJ2741" s="377"/>
      <c r="AK2741" s="377"/>
      <c r="AL2741" s="377"/>
      <c r="AM2741" s="377"/>
      <c r="AN2741" s="377"/>
      <c r="AO2741" s="377"/>
    </row>
    <row r="2742" spans="1:52" ht="15.75" hidden="1" customHeight="1" outlineLevel="1">
      <c r="A2742" s="460"/>
      <c r="B2742" s="99"/>
      <c r="C2742" s="377"/>
      <c r="D2742" s="377"/>
      <c r="E2742" s="377"/>
      <c r="F2742" s="377"/>
      <c r="G2742" s="377"/>
      <c r="H2742" s="377"/>
      <c r="I2742" s="377"/>
      <c r="J2742" s="377"/>
      <c r="K2742" s="377"/>
      <c r="L2742" s="377"/>
      <c r="M2742" s="377"/>
      <c r="N2742" s="377"/>
      <c r="O2742" s="377"/>
      <c r="P2742" s="377"/>
      <c r="Q2742" s="377"/>
      <c r="R2742" s="377">
        <f>IPMT('Assumptions (T&amp;D)'!$B$97,Model!W$1,'Assumptions (T&amp;D)'!$B$100,Model!$R$2672)</f>
        <v>-0.47249972495615999</v>
      </c>
      <c r="S2742" s="377">
        <f>IPMT('Assumptions (T&amp;D)'!$B$97,Model!X$1,'Assumptions (T&amp;D)'!$B$100,Model!$R$2672)</f>
        <v>-0.45018775193490629</v>
      </c>
      <c r="T2742" s="377">
        <f>IPMT('Assumptions (T&amp;D)'!$B$97,Model!Y$1,'Assumptions (T&amp;D)'!$B$100,Model!$R$2672)</f>
        <v>-0.42681596019514295</v>
      </c>
      <c r="U2742" s="377">
        <f>IPMT('Assumptions (T&amp;D)'!$B$97,Model!Z$1,'Assumptions (T&amp;D)'!$B$100,Model!$R$2672)</f>
        <v>-0.40233400834774102</v>
      </c>
      <c r="V2742" s="377">
        <f>IPMT('Assumptions (T&amp;D)'!$B$97,Model!AA$1,'Assumptions (T&amp;D)'!$B$100,Model!$R$2672)</f>
        <v>-0.37668916378758743</v>
      </c>
      <c r="W2742" s="377">
        <f>IPMT('Assumptions (T&amp;D)'!$B$97,Model!AB$1,'Assumptions (T&amp;D)'!$B$100,Model!$R$2672)</f>
        <v>-0.34982618911082664</v>
      </c>
      <c r="X2742" s="377">
        <f>IPMT('Assumptions (T&amp;D)'!$B$97,Model!AC$1,'Assumptions (T&amp;D)'!$B$100,Model!$R$2672)</f>
        <v>-0.32168722313691961</v>
      </c>
      <c r="Y2742" s="377">
        <f>IPMT('Assumptions (T&amp;D)'!$B$97,Model!AD$1,'Assumptions (T&amp;D)'!$B$100,Model!$R$2672)</f>
        <v>-0.29221165627925205</v>
      </c>
      <c r="Z2742" s="377">
        <f>IPMT('Assumptions (T&amp;D)'!$B$97,Model!AE$1,'Assumptions (T&amp;D)'!$B$100,Model!$R$2672)</f>
        <v>-0.26133599999584528</v>
      </c>
      <c r="AA2742" s="377">
        <f>IPMT('Assumptions (T&amp;D)'!$B$97,Model!AF$1,'Assumptions (T&amp;D)'!$B$100,Model!$R$2672)</f>
        <v>-0.22899375003897668</v>
      </c>
      <c r="AB2742" s="377">
        <f>IPMT('Assumptions (T&amp;D)'!$B$97,Model!AG$1,'Assumptions (T&amp;D)'!$B$100,Model!$R$2672)</f>
        <v>-0.19511524320915677</v>
      </c>
      <c r="AC2742" s="377">
        <f>IPMT('Assumptions (T&amp;D)'!$B$97,Model!AH$1,'Assumptions (T&amp;D)'!$B$100,Model!$R$2672)</f>
        <v>-0.15962750730492051</v>
      </c>
      <c r="AD2742" s="377">
        <f>IPMT('Assumptions (T&amp;D)'!$B$97,Model!AI$1,'Assumptions (T&amp;D)'!$B$100,Model!$R$2672)</f>
        <v>-0.12245410394523294</v>
      </c>
      <c r="AE2742" s="377">
        <f>IPMT('Assumptions (T&amp;D)'!$B$97,Model!AJ$1,'Assumptions (T&amp;D)'!$B$100,Model!$R$2672)</f>
        <v>-8.3514963925960237E-2</v>
      </c>
      <c r="AF2742" s="377">
        <f>IPMT('Assumptions (T&amp;D)'!$B$97,Model!AK$1,'Assumptions (T&amp;D)'!$B$100,Model!$R$2672)</f>
        <v>-4.2726214755772082E-2</v>
      </c>
      <c r="AG2742" s="377"/>
      <c r="AH2742" s="377"/>
      <c r="AI2742" s="377"/>
      <c r="AJ2742" s="377"/>
      <c r="AK2742" s="377"/>
      <c r="AL2742" s="377"/>
      <c r="AM2742" s="377"/>
      <c r="AN2742" s="377"/>
      <c r="AO2742" s="377"/>
      <c r="AP2742" s="377"/>
    </row>
    <row r="2743" spans="1:52" ht="15.75" hidden="1" customHeight="1" outlineLevel="1">
      <c r="A2743" s="460"/>
      <c r="B2743" s="99"/>
      <c r="C2743" s="377"/>
      <c r="D2743" s="377"/>
      <c r="E2743" s="377"/>
      <c r="F2743" s="377"/>
      <c r="G2743" s="377"/>
      <c r="H2743" s="377"/>
      <c r="I2743" s="377"/>
      <c r="J2743" s="377"/>
      <c r="K2743" s="377"/>
      <c r="L2743" s="377"/>
      <c r="M2743" s="377"/>
      <c r="N2743" s="377"/>
      <c r="O2743" s="377"/>
      <c r="P2743" s="377"/>
      <c r="Q2743" s="377"/>
      <c r="R2743" s="377"/>
      <c r="S2743" s="377">
        <f>IPMT('Assumptions (T&amp;D)'!$B$97,Model!W$1,'Assumptions (T&amp;D)'!$B$100,Model!$S$2672)</f>
        <v>-0.50780839619664009</v>
      </c>
      <c r="T2743" s="377">
        <f>IPMT('Assumptions (T&amp;D)'!$B$97,Model!X$1,'Assumptions (T&amp;D)'!$B$100,Model!$S$2672)</f>
        <v>-0.48382910766487047</v>
      </c>
      <c r="U2743" s="377">
        <f>IPMT('Assumptions (T&amp;D)'!$B$97,Model!Y$1,'Assumptions (T&amp;D)'!$B$100,Model!$S$2672)</f>
        <v>-0.45871080292784172</v>
      </c>
      <c r="V2743" s="377">
        <f>IPMT('Assumptions (T&amp;D)'!$B$97,Model!Z$1,'Assumptions (T&amp;D)'!$B$100,Model!$S$2672)</f>
        <v>-0.43239937871580431</v>
      </c>
      <c r="W2743" s="377">
        <f>IPMT('Assumptions (T&amp;D)'!$B$97,Model!AA$1,'Assumptions (T&amp;D)'!$B$100,Model!$S$2672)</f>
        <v>-0.40483816185369498</v>
      </c>
      <c r="X2743" s="377">
        <f>IPMT('Assumptions (T&amp;D)'!$B$97,Model!AB$1,'Assumptions (T&amp;D)'!$B$100,Model!$S$2672)</f>
        <v>-0.37596778719063556</v>
      </c>
      <c r="Y2743" s="377">
        <f>IPMT('Assumptions (T&amp;D)'!$B$97,Model!AC$1,'Assumptions (T&amp;D)'!$B$100,Model!$S$2672)</f>
        <v>-0.34572606973108078</v>
      </c>
      <c r="Z2743" s="377">
        <f>IPMT('Assumptions (T&amp;D)'!$B$97,Model!AD$1,'Assumptions (T&amp;D)'!$B$100,Model!$S$2672)</f>
        <v>-0.31404787069219714</v>
      </c>
      <c r="AA2743" s="377">
        <f>IPMT('Assumptions (T&amp;D)'!$B$97,Model!AE$1,'Assumptions (T&amp;D)'!$B$100,Model!$S$2672)</f>
        <v>-0.28086495719896654</v>
      </c>
      <c r="AB2743" s="377">
        <f>IPMT('Assumptions (T&amp;D)'!$B$97,Model!AF$1,'Assumptions (T&amp;D)'!$B$100,Model!$S$2672)</f>
        <v>-0.24610585531480747</v>
      </c>
      <c r="AC2743" s="377">
        <f>IPMT('Assumptions (T&amp;D)'!$B$97,Model!AG$1,'Assumptions (T&amp;D)'!$B$100,Model!$S$2672)</f>
        <v>-0.20969569609115085</v>
      </c>
      <c r="AD2743" s="377">
        <f>IPMT('Assumptions (T&amp;D)'!$B$97,Model!AH$1,'Assumptions (T&amp;D)'!$B$100,Model!$S$2672)</f>
        <v>-0.17155605430437054</v>
      </c>
      <c r="AE2743" s="377">
        <f>IPMT('Assumptions (T&amp;D)'!$B$97,Model!AI$1,'Assumptions (T&amp;D)'!$B$100,Model!$S$2672)</f>
        <v>-0.13160477953271815</v>
      </c>
      <c r="AF2743" s="377">
        <f>IPMT('Assumptions (T&amp;D)'!$B$97,Model!AJ$1,'Assumptions (T&amp;D)'!$B$100,Model!$S$2672)</f>
        <v>-8.975581920941228E-2</v>
      </c>
      <c r="AG2743" s="377">
        <f>IPMT('Assumptions (T&amp;D)'!$B$97,Model!AK$1,'Assumptions (T&amp;D)'!$B$100,Model!$S$2672)</f>
        <v>-4.5919033270749379E-2</v>
      </c>
      <c r="AH2743" s="377"/>
      <c r="AI2743" s="377"/>
      <c r="AJ2743" s="377"/>
      <c r="AK2743" s="377"/>
      <c r="AL2743" s="377"/>
      <c r="AM2743" s="377"/>
      <c r="AN2743" s="377"/>
      <c r="AO2743" s="377"/>
      <c r="AP2743" s="377"/>
      <c r="AQ2743" s="377"/>
    </row>
    <row r="2744" spans="1:52" ht="15.75" hidden="1" customHeight="1" outlineLevel="1">
      <c r="A2744" s="460"/>
      <c r="B2744" s="99"/>
      <c r="C2744" s="377"/>
      <c r="D2744" s="377"/>
      <c r="E2744" s="377"/>
      <c r="F2744" s="377"/>
      <c r="G2744" s="377"/>
      <c r="H2744" s="377"/>
      <c r="I2744" s="377"/>
      <c r="J2744" s="377"/>
      <c r="K2744" s="377"/>
      <c r="L2744" s="377"/>
      <c r="M2744" s="377"/>
      <c r="N2744" s="377"/>
      <c r="O2744" s="377"/>
      <c r="P2744" s="377"/>
      <c r="Q2744" s="377"/>
      <c r="R2744" s="377"/>
      <c r="S2744" s="42"/>
      <c r="T2744" s="377">
        <f>IPMT('Assumptions (T&amp;D)'!$B$97,Model!W$1,'Assumptions (T&amp;D)'!$B$100,Model!$T$2672)</f>
        <v>-0.44561114816063396</v>
      </c>
      <c r="U2744" s="377">
        <f>IPMT('Assumptions (T&amp;D)'!$B$97,Model!X$1,'Assumptions (T&amp;D)'!$B$100,Model!$T$2672)</f>
        <v>-0.4245688842383587</v>
      </c>
      <c r="V2744" s="377">
        <f>IPMT('Assumptions (T&amp;D)'!$B$97,Model!Y$1,'Assumptions (T&amp;D)'!$B$100,Model!$T$2672)</f>
        <v>-0.40252711277977549</v>
      </c>
      <c r="W2744" s="377">
        <f>IPMT('Assumptions (T&amp;D)'!$B$97,Model!Z$1,'Assumptions (T&amp;D)'!$B$100,Model!$T$2672)</f>
        <v>-0.37943835717690955</v>
      </c>
      <c r="X2744" s="377">
        <f>IPMT('Assumptions (T&amp;D)'!$B$97,Model!AA$1,'Assumptions (T&amp;D)'!$B$100,Model!$T$2672)</f>
        <v>-0.35525288568290753</v>
      </c>
      <c r="Y2744" s="377">
        <f>IPMT('Assumptions (T&amp;D)'!$B$97,Model!AB$1,'Assumptions (T&amp;D)'!$B$100,Model!$T$2672)</f>
        <v>-0.3299186042929404</v>
      </c>
      <c r="Z2744" s="377">
        <f>IPMT('Assumptions (T&amp;D)'!$B$97,Model!AC$1,'Assumptions (T&amp;D)'!$B$100,Model!$T$2672)</f>
        <v>-0.30338094453694975</v>
      </c>
      <c r="AA2744" s="377">
        <f>IPMT('Assumptions (T&amp;D)'!$B$97,Model!AD$1,'Assumptions (T&amp;D)'!$B$100,Model!$T$2672)</f>
        <v>-0.27558274594254961</v>
      </c>
      <c r="AB2744" s="377">
        <f>IPMT('Assumptions (T&amp;D)'!$B$97,Model!AE$1,'Assumptions (T&amp;D)'!$B$100,Model!$T$2672)</f>
        <v>-0.24646413291491553</v>
      </c>
      <c r="AC2744" s="377">
        <f>IPMT('Assumptions (T&amp;D)'!$B$97,Model!AF$1,'Assumptions (T&amp;D)'!$B$100,Model!$T$2672)</f>
        <v>-0.21596238576846874</v>
      </c>
      <c r="AD2744" s="377">
        <f>IPMT('Assumptions (T&amp;D)'!$B$97,Model!AG$1,'Assumptions (T&amp;D)'!$B$100,Model!$T$2672)</f>
        <v>-0.18401180563256578</v>
      </c>
      <c r="AE2744" s="377">
        <f>IPMT('Assumptions (T&amp;D)'!$B$97,Model!AH$1,'Assumptions (T&amp;D)'!$B$100,Model!$T$2672)</f>
        <v>-0.15054357294020743</v>
      </c>
      <c r="AF2744" s="377">
        <f>IPMT('Assumptions (T&amp;D)'!$B$97,Model!AI$1,'Assumptions (T&amp;D)'!$B$100,Model!$T$2672)</f>
        <v>-0.11548559919496199</v>
      </c>
      <c r="AG2744" s="377">
        <f>IPMT('Assumptions (T&amp;D)'!$B$97,Model!AJ$1,'Assumptions (T&amp;D)'!$B$100,Model!$T$2672)</f>
        <v>-7.8762371696817421E-2</v>
      </c>
      <c r="AH2744" s="377">
        <f>IPMT('Assumptions (T&amp;D)'!$B$97,Model!AK$1,'Assumptions (T&amp;D)'!$B$100,Model!$T$2672)</f>
        <v>-4.0294790892510979E-2</v>
      </c>
      <c r="AI2744" s="377"/>
      <c r="AJ2744" s="377"/>
      <c r="AK2744" s="377"/>
      <c r="AL2744" s="377"/>
      <c r="AM2744" s="377"/>
      <c r="AN2744" s="377"/>
      <c r="AO2744" s="377"/>
      <c r="AP2744" s="377"/>
      <c r="AQ2744" s="377"/>
      <c r="AR2744" s="377"/>
    </row>
    <row r="2745" spans="1:52" ht="15.75" hidden="1" customHeight="1" outlineLevel="1">
      <c r="A2745" s="460"/>
      <c r="B2745" s="99"/>
      <c r="C2745" s="377"/>
      <c r="D2745" s="377"/>
      <c r="E2745" s="377"/>
      <c r="F2745" s="377"/>
      <c r="G2745" s="377"/>
      <c r="H2745" s="377"/>
      <c r="I2745" s="377"/>
      <c r="J2745" s="377"/>
      <c r="K2745" s="377"/>
      <c r="L2745" s="377"/>
      <c r="M2745" s="377"/>
      <c r="N2745" s="377"/>
      <c r="O2745" s="377"/>
      <c r="P2745" s="377"/>
      <c r="Q2745" s="377"/>
      <c r="R2745" s="377"/>
      <c r="S2745" s="42"/>
      <c r="T2745" s="42"/>
      <c r="U2745" s="377">
        <f>IPMT('Assumptions (T&amp;D)'!$B$97,Model!W$1,'Assumptions (T&amp;D)'!$B$100,Model!$U$2672)</f>
        <v>-0.45903125327345295</v>
      </c>
      <c r="V2745" s="377">
        <f>IPMT('Assumptions (T&amp;D)'!$B$97,Model!X$1,'Assumptions (T&amp;D)'!$B$100,Model!$U$2672)</f>
        <v>-0.43735527676383729</v>
      </c>
      <c r="W2745" s="377">
        <f>IPMT('Assumptions (T&amp;D)'!$B$97,Model!Y$1,'Assumptions (T&amp;D)'!$B$100,Model!$U$2672)</f>
        <v>-0.41464969137001489</v>
      </c>
      <c r="X2745" s="377">
        <f>IPMT('Assumptions (T&amp;D)'!$B$97,Model!Z$1,'Assumptions (T&amp;D)'!$B$100,Model!$U$2672)</f>
        <v>-0.39086559066998611</v>
      </c>
      <c r="Y2745" s="377">
        <f>IPMT('Assumptions (T&amp;D)'!$B$97,Model!AA$1,'Assumptions (T&amp;D)'!$B$100,Model!$U$2672)</f>
        <v>-0.36595174518670581</v>
      </c>
      <c r="Z2745" s="377">
        <f>IPMT('Assumptions (T&amp;D)'!$B$97,Model!AB$1,'Assumptions (T&amp;D)'!$B$100,Model!$U$2672)</f>
        <v>-0.3398544920429698</v>
      </c>
      <c r="AA2745" s="377">
        <f>IPMT('Assumptions (T&amp;D)'!$B$97,Model!AC$1,'Assumptions (T&amp;D)'!$B$100,Model!$U$2672)</f>
        <v>-0.3125176193749063</v>
      </c>
      <c r="AB2745" s="377">
        <f>IPMT('Assumptions (T&amp;D)'!$B$97,Model!AD$1,'Assumptions (T&amp;D)'!$B$100,Model!$U$2672)</f>
        <v>-0.28388224525510974</v>
      </c>
      <c r="AC2745" s="377">
        <f>IPMT('Assumptions (T&amp;D)'!$B$97,Model!AE$1,'Assumptions (T&amp;D)'!$B$100,Model!$U$2672)</f>
        <v>-0.2538866908646229</v>
      </c>
      <c r="AD2745" s="377">
        <f>IPMT('Assumptions (T&amp;D)'!$B$97,Model!AF$1,'Assumptions (T&amp;D)'!$B$100,Model!$U$2672)</f>
        <v>-0.22246634764058795</v>
      </c>
      <c r="AE2745" s="377">
        <f>IPMT('Assumptions (T&amp;D)'!$B$97,Model!AG$1,'Assumptions (T&amp;D)'!$B$100,Model!$U$2672)</f>
        <v>-0.18955353811341127</v>
      </c>
      <c r="AF2745" s="377">
        <f>IPMT('Assumptions (T&amp;D)'!$B$97,Model!AH$1,'Assumptions (T&amp;D)'!$B$100,Model!$U$2672)</f>
        <v>-0.15507737013369377</v>
      </c>
      <c r="AG2745" s="377">
        <f>IPMT('Assumptions (T&amp;D)'!$B$97,Model!AI$1,'Assumptions (T&amp;D)'!$B$100,Model!$U$2672)</f>
        <v>-0.11896358417493963</v>
      </c>
      <c r="AH2745" s="377">
        <f>IPMT('Assumptions (T&amp;D)'!$B$97,Model!AJ$1,'Assumptions (T&amp;D)'!$B$100,Model!$U$2672)</f>
        <v>-8.1134393383144668E-2</v>
      </c>
      <c r="AI2745" s="377">
        <f>IPMT('Assumptions (T&amp;D)'!$B$97,Model!AK$1,'Assumptions (T&amp;D)'!$B$100,Model!$U$2672)</f>
        <v>-4.1508316028739452E-2</v>
      </c>
      <c r="AJ2745" s="377"/>
      <c r="AK2745" s="377"/>
      <c r="AL2745" s="377"/>
      <c r="AM2745" s="377"/>
      <c r="AN2745" s="377"/>
      <c r="AO2745" s="377"/>
      <c r="AP2745" s="377"/>
      <c r="AQ2745" s="377"/>
      <c r="AR2745" s="377"/>
      <c r="AS2745" s="377"/>
    </row>
    <row r="2746" spans="1:52" ht="15.75" hidden="1" customHeight="1" outlineLevel="1">
      <c r="A2746" s="460"/>
      <c r="B2746" s="99"/>
      <c r="C2746" s="377"/>
      <c r="D2746" s="377"/>
      <c r="E2746" s="377"/>
      <c r="F2746" s="377"/>
      <c r="G2746" s="377"/>
      <c r="H2746" s="377"/>
      <c r="I2746" s="377"/>
      <c r="J2746" s="377"/>
      <c r="K2746" s="377"/>
      <c r="L2746" s="377"/>
      <c r="M2746" s="377"/>
      <c r="N2746" s="377"/>
      <c r="O2746" s="377"/>
      <c r="P2746" s="377"/>
      <c r="Q2746" s="377"/>
      <c r="R2746" s="377"/>
      <c r="S2746" s="42"/>
      <c r="T2746" s="42"/>
      <c r="U2746" s="42"/>
      <c r="V2746" s="377">
        <f>IPMT('Assumptions (T&amp;D)'!$B$97,Model!W$1,'Assumptions (T&amp;D)'!$B$100,Model!$V$2672)</f>
        <v>-0.46410458602872173</v>
      </c>
      <c r="W2746" s="377">
        <f>IPMT('Assumptions (T&amp;D)'!$B$97,Model!X$1,'Assumptions (T&amp;D)'!$B$100,Model!$V$2672)</f>
        <v>-0.44218904099115858</v>
      </c>
      <c r="X2746" s="377">
        <f>IPMT('Assumptions (T&amp;D)'!$B$97,Model!Y$1,'Assumptions (T&amp;D)'!$B$100,Model!$V$2672)</f>
        <v>-0.41923250756431107</v>
      </c>
      <c r="Y2746" s="377">
        <f>IPMT('Assumptions (T&amp;D)'!$B$97,Model!Z$1,'Assumptions (T&amp;D)'!$B$100,Model!$V$2672)</f>
        <v>-0.39518553879968843</v>
      </c>
      <c r="Z2746" s="377">
        <f>IPMT('Assumptions (T&amp;D)'!$B$97,Model!AA$1,'Assumptions (T&amp;D)'!$B$100,Model!$V$2672)</f>
        <v>-0.36999633901874612</v>
      </c>
      <c r="AA2746" s="377">
        <f>IPMT('Assumptions (T&amp;D)'!$B$97,Model!AB$1,'Assumptions (T&amp;D)'!$B$100,Model!$V$2672)</f>
        <v>-0.34361065224820908</v>
      </c>
      <c r="AB2746" s="377">
        <f>IPMT('Assumptions (T&amp;D)'!$B$97,Model!AC$1,'Assumptions (T&amp;D)'!$B$100,Model!$V$2672)</f>
        <v>-0.31597164535607153</v>
      </c>
      <c r="AC2746" s="377">
        <f>IPMT('Assumptions (T&amp;D)'!$B$97,Model!AD$1,'Assumptions (T&amp;D)'!$B$100,Model!$V$2672)</f>
        <v>-0.2870197856365575</v>
      </c>
      <c r="AD2746" s="377">
        <f>IPMT('Assumptions (T&amp;D)'!$B$97,Model!AE$1,'Assumptions (T&amp;D)'!$B$100,Model!$V$2672)</f>
        <v>-0.25669271258036652</v>
      </c>
      <c r="AE2746" s="377">
        <f>IPMT('Assumptions (T&amp;D)'!$B$97,Model!AF$1,'Assumptions (T&amp;D)'!$B$100,Model!$V$2672)</f>
        <v>-0.22492510355400649</v>
      </c>
      <c r="AF2746" s="377">
        <f>IPMT('Assumptions (T&amp;D)'!$B$97,Model!AG$1,'Assumptions (T&amp;D)'!$B$100,Model!$V$2672)</f>
        <v>-0.19164853309889429</v>
      </c>
      <c r="AG2746" s="377">
        <f>IPMT('Assumptions (T&amp;D)'!$B$97,Model!AH$1,'Assumptions (T&amp;D)'!$B$100,Model!$V$2672)</f>
        <v>-0.15679132554716435</v>
      </c>
      <c r="AH2746" s="377">
        <f>IPMT('Assumptions (T&amp;D)'!$B$97,Model!AI$1,'Assumptions (T&amp;D)'!$B$100,Model!$V$2672)</f>
        <v>-0.12027840063672716</v>
      </c>
      <c r="AI2746" s="377">
        <f>IPMT('Assumptions (T&amp;D)'!$B$97,Model!AJ$1,'Assumptions (T&amp;D)'!$B$100,Model!$V$2672)</f>
        <v>-8.2031111793044231E-2</v>
      </c>
      <c r="AJ2746" s="377">
        <f>IPMT('Assumptions (T&amp;D)'!$B$97,Model!AK$1,'Assumptions (T&amp;D)'!$B$100,Model!$V$2672)</f>
        <v>-4.1967076729286359E-2</v>
      </c>
      <c r="AK2746" s="377"/>
      <c r="AL2746" s="377"/>
      <c r="AM2746" s="377"/>
      <c r="AN2746" s="377"/>
      <c r="AO2746" s="377"/>
      <c r="AP2746" s="377"/>
      <c r="AQ2746" s="377"/>
      <c r="AR2746" s="377"/>
      <c r="AS2746" s="377"/>
      <c r="AT2746" s="377"/>
    </row>
    <row r="2747" spans="1:52" ht="15.75" hidden="1" customHeight="1" outlineLevel="1">
      <c r="A2747" s="460"/>
      <c r="B2747" s="99"/>
      <c r="C2747" s="377"/>
      <c r="D2747" s="377"/>
      <c r="E2747" s="377"/>
      <c r="F2747" s="377"/>
      <c r="G2747" s="377"/>
      <c r="H2747" s="377"/>
      <c r="I2747" s="377"/>
      <c r="J2747" s="377"/>
      <c r="K2747" s="377"/>
      <c r="L2747" s="377"/>
      <c r="M2747" s="377"/>
      <c r="N2747" s="377"/>
      <c r="O2747" s="377"/>
      <c r="P2747" s="377"/>
      <c r="Q2747" s="377"/>
      <c r="R2747" s="377"/>
      <c r="S2747" s="42"/>
      <c r="T2747" s="42"/>
      <c r="U2747" s="42"/>
      <c r="V2747" s="42"/>
      <c r="W2747" s="377">
        <f>IPMT('Assumptions (T&amp;D)'!$B$97,Model!W$1,'Assumptions (T&amp;D)'!$B$100,Model!$W$2672)</f>
        <v>-0.47760658082298207</v>
      </c>
      <c r="X2747" s="377">
        <f>IPMT('Assumptions (T&amp;D)'!$B$97,Model!X$1,'Assumptions (T&amp;D)'!$B$100,Model!$W$2672)</f>
        <v>-0.45505345627442423</v>
      </c>
      <c r="Y2747" s="377">
        <f>IPMT('Assumptions (T&amp;D)'!$B$97,Model!Y$1,'Assumptions (T&amp;D)'!$B$100,Model!$W$2672)</f>
        <v>-0.43142905830980982</v>
      </c>
      <c r="Z2747" s="377">
        <f>IPMT('Assumptions (T&amp;D)'!$B$97,Model!Z$1,'Assumptions (T&amp;D)'!$B$100,Model!$W$2672)</f>
        <v>-0.4066825014418764</v>
      </c>
      <c r="AA2747" s="377">
        <f>IPMT('Assumptions (T&amp;D)'!$B$97,Model!AA$1,'Assumptions (T&amp;D)'!$B$100,Model!$W$2672)</f>
        <v>-0.38076048312271599</v>
      </c>
      <c r="AB2747" s="377">
        <f>IPMT('Assumptions (T&amp;D)'!$B$97,Model!AB$1,'Assumptions (T&amp;D)'!$B$100,Model!$W$2672)</f>
        <v>-0.35360716893339561</v>
      </c>
      <c r="AC2747" s="377">
        <f>IPMT('Assumptions (T&amp;D)'!$B$97,Model!AC$1,'Assumptions (T&amp;D)'!$B$100,Model!$W$2672)</f>
        <v>-0.32516407232008243</v>
      </c>
      <c r="AD2747" s="377">
        <f>IPMT('Assumptions (T&amp;D)'!$B$97,Model!AD$1,'Assumptions (T&amp;D)'!$B$100,Model!$W$2672)</f>
        <v>-0.29536992861763689</v>
      </c>
      <c r="AE2747" s="377">
        <f>IPMT('Assumptions (T&amp;D)'!$B$97,Model!AE$1,'Assumptions (T&amp;D)'!$B$100,Model!$W$2672)</f>
        <v>-0.26416056308932523</v>
      </c>
      <c r="AF2747" s="377">
        <f>IPMT('Assumptions (T&amp;D)'!$B$97,Model!AF$1,'Assumptions (T&amp;D)'!$B$100,Model!$W$2672)</f>
        <v>-0.23146875269841874</v>
      </c>
      <c r="AG2747" s="377">
        <f>IPMT('Assumptions (T&amp;D)'!$B$97,Model!AG$1,'Assumptions (T&amp;D)'!$B$100,Model!$W$2672)</f>
        <v>-0.19722408131394417</v>
      </c>
      <c r="AH2747" s="377">
        <f>IPMT('Assumptions (T&amp;D)'!$B$97,Model!AH$1,'Assumptions (T&amp;D)'!$B$100,Model!$W$2672)</f>
        <v>-0.16135278803870709</v>
      </c>
      <c r="AI2747" s="377">
        <f>IPMT('Assumptions (T&amp;D)'!$B$97,Model!AI$1,'Assumptions (T&amp;D)'!$B$100,Model!$W$2672)</f>
        <v>-0.12377760833289618</v>
      </c>
      <c r="AJ2747" s="377">
        <f>IPMT('Assumptions (T&amp;D)'!$B$97,Model!AJ$1,'Assumptions (T&amp;D)'!$B$100,Model!$W$2672)</f>
        <v>-8.441760759105929E-2</v>
      </c>
      <c r="AK2747" s="377">
        <f>IPMT('Assumptions (T&amp;D)'!$B$97,Model!AK$1,'Assumptions (T&amp;D)'!$B$100,Model!$W$2672)</f>
        <v>-4.3188006813985158E-2</v>
      </c>
      <c r="AL2747" s="377"/>
      <c r="AM2747" s="377"/>
      <c r="AN2747" s="377"/>
      <c r="AO2747" s="377"/>
      <c r="AP2747" s="377"/>
      <c r="AQ2747" s="377"/>
      <c r="AR2747" s="377"/>
      <c r="AS2747" s="377"/>
      <c r="AT2747" s="377"/>
      <c r="AU2747" s="377"/>
    </row>
    <row r="2748" spans="1:52" ht="15.75" hidden="1" customHeight="1" outlineLevel="1">
      <c r="A2748" s="460"/>
      <c r="B2748" s="99"/>
      <c r="C2748" s="377"/>
      <c r="D2748" s="377"/>
      <c r="E2748" s="377"/>
      <c r="F2748" s="377"/>
      <c r="G2748" s="377"/>
      <c r="H2748" s="377"/>
      <c r="I2748" s="377"/>
      <c r="J2748" s="377"/>
      <c r="K2748" s="377"/>
      <c r="L2748" s="377"/>
      <c r="M2748" s="377"/>
      <c r="N2748" s="377"/>
      <c r="O2748" s="377"/>
      <c r="P2748" s="377"/>
      <c r="Q2748" s="377"/>
      <c r="R2748" s="377"/>
      <c r="S2748" s="42"/>
      <c r="T2748" s="42"/>
      <c r="U2748" s="42"/>
      <c r="V2748" s="42"/>
      <c r="W2748" s="86"/>
      <c r="X2748" s="377">
        <f>IPMT('Assumptions (T&amp;D)'!$B$97,Model!W$1,'Assumptions (T&amp;D)'!$B$100,Model!$X$2672)</f>
        <v>-0.46260059409889243</v>
      </c>
      <c r="Y2748" s="377">
        <f>IPMT('Assumptions (T&amp;D)'!$B$97,Model!X$1,'Assumptions (T&amp;D)'!$B$100,Model!$X$2672)</f>
        <v>-0.44075606926640054</v>
      </c>
      <c r="Z2748" s="377">
        <f>IPMT('Assumptions (T&amp;D)'!$B$97,Model!Y$1,'Assumptions (T&amp;D)'!$B$100,Model!$X$2672)</f>
        <v>-0.41787392950436519</v>
      </c>
      <c r="AA2748" s="377">
        <f>IPMT('Assumptions (T&amp;D)'!$B$97,Model!Z$1,'Assumptions (T&amp;D)'!$B$100,Model!$X$2672)</f>
        <v>-0.39390488810363339</v>
      </c>
      <c r="AB2748" s="377">
        <f>IPMT('Assumptions (T&amp;D)'!$B$97,Model!AA$1,'Assumptions (T&amp;D)'!$B$100,Model!$X$2672)</f>
        <v>-0.36879731723636672</v>
      </c>
      <c r="AC2748" s="377">
        <f>IPMT('Assumptions (T&amp;D)'!$B$97,Model!AB$1,'Assumptions (T&amp;D)'!$B$100,Model!$X$2672)</f>
        <v>-0.34249713675290494</v>
      </c>
      <c r="AD2748" s="377">
        <f>IPMT('Assumptions (T&amp;D)'!$B$97,Model!AC$1,'Assumptions (T&amp;D)'!$B$100,Model!$X$2672)</f>
        <v>-0.31494769769647868</v>
      </c>
      <c r="AE2748" s="377">
        <f>IPMT('Assumptions (T&amp;D)'!$B$97,Model!AD$1,'Assumptions (T&amp;D)'!$B$100,Model!$X$2672)</f>
        <v>-0.2860896602848722</v>
      </c>
      <c r="AF2748" s="377">
        <f>IPMT('Assumptions (T&amp;D)'!$B$97,Model!AE$1,'Assumptions (T&amp;D)'!$B$100,Model!$X$2672)</f>
        <v>-0.25586086609621439</v>
      </c>
      <c r="AG2748" s="377">
        <f>IPMT('Assumptions (T&amp;D)'!$B$97,Model!AF$1,'Assumptions (T&amp;D)'!$B$100,Model!$X$2672)</f>
        <v>-0.22419620418359537</v>
      </c>
      <c r="AH2748" s="377">
        <f>IPMT('Assumptions (T&amp;D)'!$B$97,Model!AG$1,'Assumptions (T&amp;D)'!$B$100,Model!$X$2672)</f>
        <v>-0.19102747083012689</v>
      </c>
      <c r="AI2748" s="377">
        <f>IPMT('Assumptions (T&amp;D)'!$B$97,Model!AH$1,'Assumptions (T&amp;D)'!$B$100,Model!$X$2672)</f>
        <v>-0.15628322264236869</v>
      </c>
      <c r="AJ2748" s="377">
        <f>IPMT('Assumptions (T&amp;D)'!$B$97,Model!AI$1,'Assumptions (T&amp;D)'!$B$100,Model!$X$2672)</f>
        <v>-0.11988862266569195</v>
      </c>
      <c r="AK2748" s="377">
        <f>IPMT('Assumptions (T&amp;D)'!$B$97,Model!AJ$1,'Assumptions (T&amp;D)'!$B$100,Model!$X$2672)</f>
        <v>-8.1765279190123066E-2</v>
      </c>
      <c r="AL2748" s="377">
        <f>IPMT('Assumptions (T&amp;D)'!$B$97,Model!AK$1,'Assumptions (T&amp;D)'!$B$100,Model!$X$2672)</f>
        <v>-4.1831076899464664E-2</v>
      </c>
      <c r="AM2748" s="377"/>
      <c r="AN2748" s="377"/>
      <c r="AO2748" s="377"/>
      <c r="AP2748" s="377"/>
      <c r="AQ2748" s="377"/>
      <c r="AR2748" s="377"/>
      <c r="AS2748" s="377"/>
      <c r="AT2748" s="377"/>
      <c r="AU2748" s="377"/>
      <c r="AV2748" s="377"/>
    </row>
    <row r="2749" spans="1:52" ht="15.75" hidden="1" customHeight="1" outlineLevel="1">
      <c r="A2749" s="460"/>
      <c r="B2749" s="99"/>
      <c r="C2749" s="377"/>
      <c r="D2749" s="377"/>
      <c r="E2749" s="377"/>
      <c r="F2749" s="377"/>
      <c r="G2749" s="377"/>
      <c r="H2749" s="377"/>
      <c r="I2749" s="377"/>
      <c r="J2749" s="377"/>
      <c r="K2749" s="377"/>
      <c r="L2749" s="377"/>
      <c r="M2749" s="377"/>
      <c r="N2749" s="377"/>
      <c r="O2749" s="377"/>
      <c r="P2749" s="377"/>
      <c r="Q2749" s="377"/>
      <c r="R2749" s="377"/>
      <c r="S2749" s="42"/>
      <c r="T2749" s="42"/>
      <c r="U2749" s="42"/>
      <c r="V2749" s="42"/>
      <c r="W2749" s="86"/>
      <c r="Y2749" s="377">
        <f>IPMT('Assumptions (T&amp;D)'!$B$97,Model!W$1,'Assumptions (T&amp;D)'!$B$100,Model!$Y$2672)</f>
        <v>-0.45494828454895109</v>
      </c>
      <c r="Z2749" s="377">
        <f>IPMT('Assumptions (T&amp;D)'!$B$97,Model!X$1,'Assumptions (T&amp;D)'!$B$100,Model!$Y$2672)</f>
        <v>-0.43346511045427055</v>
      </c>
      <c r="AA2749" s="377">
        <f>IPMT('Assumptions (T&amp;D)'!$B$97,Model!Y$1,'Assumptions (T&amp;D)'!$B$100,Model!$Y$2672)</f>
        <v>-0.4109614855900926</v>
      </c>
      <c r="AB2749" s="377">
        <f>IPMT('Assumptions (T&amp;D)'!$B$97,Model!Z$1,'Assumptions (T&amp;D)'!$B$100,Model!$Y$2672)</f>
        <v>-0.38738893854486645</v>
      </c>
      <c r="AC2749" s="377">
        <f>IPMT('Assumptions (T&amp;D)'!$B$97,Model!AA$1,'Assumptions (T&amp;D)'!$B$100,Model!$Y$2672)</f>
        <v>-0.3626966955149919</v>
      </c>
      <c r="AD2749" s="377">
        <f>IPMT('Assumptions (T&amp;D)'!$B$97,Model!AB$1,'Assumptions (T&amp;D)'!$B$100,Model!$Y$2672)</f>
        <v>-0.33683157094119837</v>
      </c>
      <c r="AE2749" s="377">
        <f>IPMT('Assumptions (T&amp;D)'!$B$97,Model!AC$1,'Assumptions (T&amp;D)'!$B$100,Model!$Y$2672)</f>
        <v>-0.30973785295014961</v>
      </c>
      <c r="AF2749" s="377">
        <f>IPMT('Assumptions (T&amp;D)'!$B$97,Model!AD$1,'Assumptions (T&amp;D)'!$B$100,Model!$Y$2672)</f>
        <v>-0.28135718335452609</v>
      </c>
      <c r="AG2749" s="377">
        <f>IPMT('Assumptions (T&amp;D)'!$B$97,Model!AE$1,'Assumptions (T&amp;D)'!$B$100,Model!$Y$2672)</f>
        <v>-0.25162843195311041</v>
      </c>
      <c r="AH2749" s="377">
        <f>IPMT('Assumptions (T&amp;D)'!$B$97,Model!AF$1,'Assumptions (T&amp;D)'!$B$100,Model!$Y$2672)</f>
        <v>-0.22048756486012755</v>
      </c>
      <c r="AI2749" s="377">
        <f>IPMT('Assumptions (T&amp;D)'!$B$97,Model!AG$1,'Assumptions (T&amp;D)'!$B$100,Model!$Y$2672)</f>
        <v>-0.18786750658022791</v>
      </c>
      <c r="AJ2749" s="377">
        <f>IPMT('Assumptions (T&amp;D)'!$B$97,Model!AH$1,'Assumptions (T&amp;D)'!$B$100,Model!$Y$2672)</f>
        <v>-0.15369799553203309</v>
      </c>
      <c r="AK2749" s="377">
        <f>IPMT('Assumptions (T&amp;D)'!$B$97,Model!AI$1,'Assumptions (T&amp;D)'!$B$100,Model!$Y$2672)</f>
        <v>-0.11790543270904899</v>
      </c>
      <c r="AL2749" s="377">
        <f>IPMT('Assumptions (T&amp;D)'!$B$97,Model!AJ$1,'Assumptions (T&amp;D)'!$B$100,Model!$Y$2672)</f>
        <v>-8.0412723151973134E-2</v>
      </c>
      <c r="AM2749" s="377">
        <f>IPMT('Assumptions (T&amp;D)'!$B$97,Model!AK$1,'Assumptions (T&amp;D)'!$B$100,Model!$Y$2672)</f>
        <v>-4.1139109890936193E-2</v>
      </c>
      <c r="AN2749" s="377"/>
      <c r="AO2749" s="377"/>
      <c r="AP2749" s="377"/>
      <c r="AQ2749" s="377"/>
      <c r="AR2749" s="377"/>
      <c r="AS2749" s="377"/>
      <c r="AT2749" s="377"/>
      <c r="AU2749" s="377"/>
      <c r="AV2749" s="377"/>
      <c r="AW2749" s="377"/>
    </row>
    <row r="2750" spans="1:52" ht="15.75" hidden="1" customHeight="1" outlineLevel="1">
      <c r="A2750" s="460"/>
      <c r="B2750" s="99"/>
      <c r="C2750" s="377"/>
      <c r="D2750" s="377"/>
      <c r="E2750" s="377"/>
      <c r="F2750" s="377"/>
      <c r="G2750" s="377"/>
      <c r="H2750" s="377"/>
      <c r="I2750" s="377"/>
      <c r="J2750" s="377"/>
      <c r="K2750" s="377"/>
      <c r="L2750" s="377"/>
      <c r="M2750" s="377"/>
      <c r="N2750" s="377"/>
      <c r="O2750" s="377"/>
      <c r="P2750" s="377"/>
      <c r="Q2750" s="377"/>
      <c r="R2750" s="377"/>
      <c r="S2750" s="42"/>
      <c r="T2750" s="42"/>
      <c r="U2750" s="42"/>
      <c r="V2750" s="42"/>
      <c r="W2750" s="86"/>
      <c r="Z2750" s="377">
        <f>IPMT('Assumptions (T&amp;D)'!$B$97,Model!W$1,'Assumptions (T&amp;D)'!$B$100,Model!$Z$2672)</f>
        <v>-0.48733324782227228</v>
      </c>
      <c r="AA2750" s="377">
        <f>IPMT('Assumptions (T&amp;D)'!$B$97,Model!X$1,'Assumptions (T&amp;D)'!$B$100,Model!$Z$2672)</f>
        <v>-0.46432081902397121</v>
      </c>
      <c r="AB2750" s="377">
        <f>IPMT('Assumptions (T&amp;D)'!$B$97,Model!Y$1,'Assumptions (T&amp;D)'!$B$100,Model!$Z$2672)</f>
        <v>-0.44021529985775076</v>
      </c>
      <c r="AC2750" s="377">
        <f>IPMT('Assumptions (T&amp;D)'!$B$97,Model!Z$1,'Assumptions (T&amp;D)'!$B$100,Model!$Z$2672)</f>
        <v>-0.41496476853113501</v>
      </c>
      <c r="AD2750" s="377">
        <f>IPMT('Assumptions (T&amp;D)'!$B$97,Model!AA$1,'Assumptions (T&amp;D)'!$B$100,Model!$Z$2672)</f>
        <v>-0.38851483696650491</v>
      </c>
      <c r="AE2750" s="377">
        <f>IPMT('Assumptions (T&amp;D)'!$B$97,Model!AB$1,'Assumptions (T&amp;D)'!$B$100,Model!$Z$2672)</f>
        <v>-0.36080853365255489</v>
      </c>
      <c r="AF2750" s="377">
        <f>IPMT('Assumptions (T&amp;D)'!$B$97,Model!AC$1,'Assumptions (T&amp;D)'!$B$100,Model!$Z$2672)</f>
        <v>-0.33178618093119222</v>
      </c>
      <c r="AG2750" s="377">
        <f>IPMT('Assumptions (T&amp;D)'!$B$97,Model!AD$1,'Assumptions (T&amp;D)'!$B$100,Model!$Z$2672)</f>
        <v>-0.3013852664555649</v>
      </c>
      <c r="AH2750" s="377">
        <f>IPMT('Assumptions (T&amp;D)'!$B$97,Model!AE$1,'Assumptions (T&amp;D)'!$B$100,Model!$Z$2672)</f>
        <v>-0.26954030854234523</v>
      </c>
      <c r="AI2750" s="377">
        <f>IPMT('Assumptions (T&amp;D)'!$B$97,Model!AF$1,'Assumptions (T&amp;D)'!$B$100,Model!$Z$2672)</f>
        <v>-0.23618271512824762</v>
      </c>
      <c r="AJ2750" s="377">
        <f>IPMT('Assumptions (T&amp;D)'!$B$97,Model!AG$1,'Assumptions (T&amp;D)'!$B$100,Model!$Z$2672)</f>
        <v>-0.20124063602698042</v>
      </c>
      <c r="AK2750" s="377">
        <f>IPMT('Assumptions (T&amp;D)'!$B$97,Model!AH$1,'Assumptions (T&amp;D)'!$B$100,Model!$Z$2672)</f>
        <v>-0.16463880816840301</v>
      </c>
      <c r="AL2750" s="377">
        <f>IPMT('Assumptions (T&amp;D)'!$B$97,Model!AI$1,'Assumptions (T&amp;D)'!$B$100,Model!$Z$2672)</f>
        <v>-0.12629839348654315</v>
      </c>
      <c r="AM2750" s="377">
        <f>IPMT('Assumptions (T&amp;D)'!$B$97,Model!AJ$1,'Assumptions (T&amp;D)'!$B$100,Model!$Z$2672)</f>
        <v>-8.6136809107294945E-2</v>
      </c>
      <c r="AN2750" s="377">
        <f>IPMT('Assumptions (T&amp;D)'!$B$97,Model!AK$1,'Assumptions (T&amp;D)'!$B$100,Model!$Z$2672)</f>
        <v>-4.4067549470032448E-2</v>
      </c>
      <c r="AO2750" s="377"/>
      <c r="AP2750" s="377"/>
      <c r="AQ2750" s="377"/>
      <c r="AR2750" s="377"/>
      <c r="AS2750" s="377"/>
      <c r="AT2750" s="377"/>
      <c r="AU2750" s="377"/>
      <c r="AV2750" s="377"/>
      <c r="AW2750" s="377"/>
      <c r="AX2750" s="377"/>
    </row>
    <row r="2751" spans="1:52" ht="15.75" hidden="1" customHeight="1" outlineLevel="1">
      <c r="A2751" s="460"/>
      <c r="B2751" s="99"/>
      <c r="C2751" s="377"/>
      <c r="D2751" s="377"/>
      <c r="E2751" s="377"/>
      <c r="F2751" s="377"/>
      <c r="G2751" s="377"/>
      <c r="H2751" s="377"/>
      <c r="I2751" s="377"/>
      <c r="J2751" s="377"/>
      <c r="K2751" s="377"/>
      <c r="L2751" s="377"/>
      <c r="M2751" s="377"/>
      <c r="N2751" s="377"/>
      <c r="O2751" s="377"/>
      <c r="P2751" s="377"/>
      <c r="Q2751" s="377"/>
      <c r="R2751" s="377"/>
      <c r="S2751" s="42"/>
      <c r="T2751" s="42"/>
      <c r="U2751" s="42"/>
      <c r="V2751" s="42"/>
      <c r="W2751" s="86"/>
      <c r="AA2751" s="377">
        <f>IPMT('Assumptions (T&amp;D)'!$B$97,Model!W$1,'Assumptions (T&amp;D)'!$B$100,Model!$AA$2672)</f>
        <v>-0.48568734109921213</v>
      </c>
      <c r="AB2751" s="377">
        <f>IPMT('Assumptions (T&amp;D)'!$B$97,Model!X$1,'Assumptions (T&amp;D)'!$B$100,Model!$AA$2672)</f>
        <v>-0.46275263388350846</v>
      </c>
      <c r="AC2751" s="377">
        <f>IPMT('Assumptions (T&amp;D)'!$B$97,Model!Y$1,'Assumptions (T&amp;D)'!$B$100,Model!$AA$2672)</f>
        <v>-0.43872852807505869</v>
      </c>
      <c r="AD2751" s="377">
        <f>IPMT('Assumptions (T&amp;D)'!$B$97,Model!Z$1,'Assumptions (T&amp;D)'!$B$100,Model!$AA$2672)</f>
        <v>-0.41356327724070785</v>
      </c>
      <c r="AE2751" s="377">
        <f>IPMT('Assumptions (T&amp;D)'!$B$97,Model!AA$1,'Assumptions (T&amp;D)'!$B$100,Model!$AA$2672)</f>
        <v>-0.38720267699172517</v>
      </c>
      <c r="AF2751" s="377">
        <f>IPMT('Assumptions (T&amp;D)'!$B$97,Model!AB$1,'Assumptions (T&amp;D)'!$B$100,Model!$AA$2672)</f>
        <v>-0.35958994823091589</v>
      </c>
      <c r="AG2751" s="377">
        <f>IPMT('Assumptions (T&amp;D)'!$B$97,Model!AC$1,'Assumptions (T&amp;D)'!$B$100,Model!$AA$2672)</f>
        <v>-0.33066561485396806</v>
      </c>
      <c r="AH2751" s="377">
        <f>IPMT('Assumptions (T&amp;D)'!$B$97,Model!AD$1,'Assumptions (T&amp;D)'!$B$100,Model!$AA$2672)</f>
        <v>-0.30036737564161531</v>
      </c>
      <c r="AI2751" s="377">
        <f>IPMT('Assumptions (T&amp;D)'!$B$97,Model!AE$1,'Assumptions (T&amp;D)'!$B$100,Model!$AA$2672)</f>
        <v>-0.26862997006667583</v>
      </c>
      <c r="AJ2751" s="377">
        <f>IPMT('Assumptions (T&amp;D)'!$B$97,Model!AF$1,'Assumptions (T&amp;D)'!$B$100,Model!$AA$2672)</f>
        <v>-0.23538503772692668</v>
      </c>
      <c r="AK2751" s="377">
        <f>IPMT('Assumptions (T&amp;D)'!$B$97,Model!AG$1,'Assumptions (T&amp;D)'!$B$100,Model!$AA$2672)</f>
        <v>-0.20056097110103943</v>
      </c>
      <c r="AL2751" s="377">
        <f>IPMT('Assumptions (T&amp;D)'!$B$97,Model!AH$1,'Assumptions (T&amp;D)'!$B$100,Model!$AA$2672)</f>
        <v>-0.16408276131042257</v>
      </c>
      <c r="AM2751" s="377">
        <f>IPMT('Assumptions (T&amp;D)'!$B$97,Model!AI$1,'Assumptions (T&amp;D)'!$B$100,Model!$AA$2672)</f>
        <v>-0.12587183655475134</v>
      </c>
      <c r="AN2751" s="377">
        <f>IPMT('Assumptions (T&amp;D)'!$B$97,Model!AJ$1,'Assumptions (T&amp;D)'!$B$100,Model!$AA$2672)</f>
        <v>-8.5845892873185767E-2</v>
      </c>
      <c r="AO2751" s="377">
        <f>IPMT('Assumptions (T&amp;D)'!$B$97,Model!AK$1,'Assumptions (T&amp;D)'!$B$100,Model!$AA$2672)</f>
        <v>-4.3918716866745831E-2</v>
      </c>
      <c r="AP2751" s="377"/>
      <c r="AQ2751" s="377"/>
      <c r="AR2751" s="377"/>
      <c r="AS2751" s="377"/>
      <c r="AT2751" s="377"/>
      <c r="AU2751" s="377"/>
      <c r="AV2751" s="377"/>
      <c r="AW2751" s="377"/>
      <c r="AX2751" s="377"/>
      <c r="AY2751" s="377"/>
    </row>
    <row r="2752" spans="1:52" ht="15.75" hidden="1" customHeight="1" outlineLevel="1">
      <c r="A2752" s="460"/>
      <c r="B2752" s="99"/>
      <c r="C2752" s="377"/>
      <c r="D2752" s="377"/>
      <c r="E2752" s="377"/>
      <c r="F2752" s="377"/>
      <c r="G2752" s="377"/>
      <c r="H2752" s="377"/>
      <c r="I2752" s="377"/>
      <c r="J2752" s="377"/>
      <c r="K2752" s="377"/>
      <c r="L2752" s="377"/>
      <c r="M2752" s="377"/>
      <c r="N2752" s="377"/>
      <c r="O2752" s="377"/>
      <c r="P2752" s="377"/>
      <c r="Q2752" s="377"/>
      <c r="R2752" s="377"/>
      <c r="S2752" s="42"/>
      <c r="T2752" s="42"/>
      <c r="U2752" s="42"/>
      <c r="V2752" s="42"/>
      <c r="W2752" s="86"/>
      <c r="AB2752" s="377">
        <f>IPMT('Assumptions (T&amp;D)'!$B$97,Model!W$1,'Assumptions (T&amp;D)'!$B$100,Model!$AB$2672)</f>
        <v>-0.44359579240350538</v>
      </c>
      <c r="AC2752" s="377">
        <f>IPMT('Assumptions (T&amp;D)'!$B$97,Model!X$1,'Assumptions (T&amp;D)'!$B$100,Model!$AB$2672)</f>
        <v>-0.42264869586632325</v>
      </c>
      <c r="AD2752" s="377">
        <f>IPMT('Assumptions (T&amp;D)'!$B$97,Model!Y$1,'Assumptions (T&amp;D)'!$B$100,Model!$AB$2672)</f>
        <v>-0.40070661224362497</v>
      </c>
      <c r="AE2752" s="377">
        <f>IPMT('Assumptions (T&amp;D)'!$B$97,Model!Z$1,'Assumptions (T&amp;D)'!$B$100,Model!$AB$2672)</f>
        <v>-0.37772227964884869</v>
      </c>
      <c r="AF2752" s="377">
        <f>IPMT('Assumptions (T&amp;D)'!$B$97,Model!AA$1,'Assumptions (T&amp;D)'!$B$100,Model!$AB$2672)</f>
        <v>-0.35364619125582042</v>
      </c>
      <c r="AG2752" s="377">
        <f>IPMT('Assumptions (T&amp;D)'!$B$97,Model!AB$1,'Assumptions (T&amp;D)'!$B$100,Model!$AB$2672)</f>
        <v>-0.32842648866412333</v>
      </c>
      <c r="AH2752" s="377">
        <f>IPMT('Assumptions (T&amp;D)'!$B$97,Model!AC$1,'Assumptions (T&amp;D)'!$B$100,Model!$AB$2672)</f>
        <v>-0.30200885019932061</v>
      </c>
      <c r="AI2752" s="377">
        <f>IPMT('Assumptions (T&amp;D)'!$B$97,Model!AD$1,'Assumptions (T&amp;D)'!$B$100,Model!$AB$2672)</f>
        <v>-0.27433637390743976</v>
      </c>
      <c r="AJ2752" s="377">
        <f>IPMT('Assumptions (T&amp;D)'!$B$97,Model!AE$1,'Assumptions (T&amp;D)'!$B$100,Model!$AB$2672)</f>
        <v>-0.24534945499169464</v>
      </c>
      <c r="AK2752" s="377">
        <f>IPMT('Assumptions (T&amp;D)'!$B$97,Model!AF$1,'Assumptions (T&amp;D)'!$B$100,Model!$AB$2672)</f>
        <v>-0.21498565742745157</v>
      </c>
      <c r="AL2752" s="377">
        <f>IPMT('Assumptions (T&amp;D)'!$B$97,Model!AG$1,'Assumptions (T&amp;D)'!$B$100,Model!$AB$2672)</f>
        <v>-0.18317957947890695</v>
      </c>
      <c r="AM2752" s="377">
        <f>IPMT('Assumptions (T&amp;D)'!$B$97,Model!AH$1,'Assumptions (T&amp;D)'!$B$100,Model!$AB$2672)</f>
        <v>-0.1498627128278065</v>
      </c>
      <c r="AN2752" s="377">
        <f>IPMT('Assumptions (T&amp;D)'!$B$97,Model!AI$1,'Assumptions (T&amp;D)'!$B$100,Model!$AB$2672)</f>
        <v>-0.11496329501077872</v>
      </c>
      <c r="AO2752" s="377">
        <f>IPMT('Assumptions (T&amp;D)'!$B$97,Model!AJ$1,'Assumptions (T&amp;D)'!$B$100,Model!$AB$2672)</f>
        <v>-7.8406154847442136E-2</v>
      </c>
      <c r="AP2752" s="377">
        <f>IPMT('Assumptions (T&amp;D)'!$B$97,Model!AK$1,'Assumptions (T&amp;D)'!$B$100,Model!$AB$2672)</f>
        <v>-4.0112550526347074E-2</v>
      </c>
      <c r="AQ2752" s="377"/>
      <c r="AR2752" s="377"/>
      <c r="AS2752" s="377"/>
      <c r="AT2752" s="377"/>
      <c r="AU2752" s="377"/>
      <c r="AV2752" s="377"/>
      <c r="AW2752" s="377"/>
      <c r="AX2752" s="377"/>
      <c r="AY2752" s="377"/>
      <c r="AZ2752" s="377"/>
    </row>
    <row r="2753" spans="1:68" ht="15.75" hidden="1" customHeight="1" outlineLevel="1">
      <c r="A2753" s="460"/>
      <c r="B2753" s="99"/>
      <c r="C2753" s="377"/>
      <c r="D2753" s="377"/>
      <c r="E2753" s="377"/>
      <c r="F2753" s="377"/>
      <c r="G2753" s="377"/>
      <c r="H2753" s="377"/>
      <c r="I2753" s="377"/>
      <c r="J2753" s="377"/>
      <c r="K2753" s="377"/>
      <c r="L2753" s="377"/>
      <c r="M2753" s="377"/>
      <c r="N2753" s="377"/>
      <c r="O2753" s="377"/>
      <c r="P2753" s="377"/>
      <c r="Q2753" s="377"/>
      <c r="R2753" s="377"/>
      <c r="S2753" s="42"/>
      <c r="T2753" s="42"/>
      <c r="U2753" s="42"/>
      <c r="V2753" s="42"/>
      <c r="W2753" s="86"/>
      <c r="AC2753" s="377">
        <f>IPMT('Assumptions (T&amp;D)'!$B$97,Model!W$1,'Assumptions (T&amp;D)'!$B$100,Model!$AC$2672)</f>
        <v>-0.47272751013263592</v>
      </c>
      <c r="AD2753" s="377">
        <f>IPMT('Assumptions (T&amp;D)'!$B$97,Model!X$1,'Assumptions (T&amp;D)'!$B$100,Model!$AC$2672)</f>
        <v>-0.45040478083694702</v>
      </c>
      <c r="AE2753" s="377">
        <f>IPMT('Assumptions (T&amp;D)'!$B$97,Model!Y$1,'Assumptions (T&amp;D)'!$B$100,Model!$AC$2672)</f>
        <v>-0.42702172189971288</v>
      </c>
      <c r="AF2753" s="377">
        <f>IPMT('Assumptions (T&amp;D)'!$B$97,Model!Z$1,'Assumptions (T&amp;D)'!$B$100,Model!$AC$2672)</f>
        <v>-0.40252796766296023</v>
      </c>
      <c r="AG2753" s="377">
        <f>IPMT('Assumptions (T&amp;D)'!$B$97,Model!AA$1,'Assumptions (T&amp;D)'!$B$100,Model!$AC$2672)</f>
        <v>-0.37687076009996173</v>
      </c>
      <c r="AH2753" s="377">
        <f>IPMT('Assumptions (T&amp;D)'!$B$97,Model!AB$1,'Assumptions (T&amp;D)'!$B$100,Model!$AC$2672)</f>
        <v>-0.3499948351777209</v>
      </c>
      <c r="AI2753" s="377">
        <f>IPMT('Assumptions (T&amp;D)'!$B$97,Model!AC$1,'Assumptions (T&amp;D)'!$B$100,Model!$AC$2672)</f>
        <v>-0.32184230382167367</v>
      </c>
      <c r="AJ2753" s="377">
        <f>IPMT('Assumptions (T&amp;D)'!$B$97,Model!AD$1,'Assumptions (T&amp;D)'!$B$100,Model!$AC$2672)</f>
        <v>-0.29235252722621408</v>
      </c>
      <c r="AK2753" s="377">
        <f>IPMT('Assumptions (T&amp;D)'!$B$97,Model!AE$1,'Assumptions (T&amp;D)'!$B$100,Model!$AC$2672)</f>
        <v>-0.26146198624247025</v>
      </c>
      <c r="AL2753" s="377">
        <f>IPMT('Assumptions (T&amp;D)'!$B$97,Model!AF$1,'Assumptions (T&amp;D)'!$B$100,Model!$AC$2672)</f>
        <v>-0.22910414456199857</v>
      </c>
      <c r="AM2753" s="377">
        <f>IPMT('Assumptions (T&amp;D)'!$B$97,Model!AG$1,'Assumptions (T&amp;D)'!$B$100,Model!$AC$2672)</f>
        <v>-0.19520930540170445</v>
      </c>
      <c r="AN2753" s="377">
        <f>IPMT('Assumptions (T&amp;D)'!$B$97,Model!AH$1,'Assumptions (T&amp;D)'!$B$100,Model!$AC$2672)</f>
        <v>-0.15970446138129638</v>
      </c>
      <c r="AO2753" s="377">
        <f>IPMT('Assumptions (T&amp;D)'!$B$97,Model!AI$1,'Assumptions (T&amp;D)'!$B$100,Model!$AC$2672)</f>
        <v>-0.1225131372699189</v>
      </c>
      <c r="AP2753" s="377">
        <f>IPMT('Assumptions (T&amp;D)'!$B$97,Model!AJ$1,'Assumptions (T&amp;D)'!$B$100,Model!$AC$2672)</f>
        <v>-8.3555225263251001E-2</v>
      </c>
      <c r="AQ2753" s="377">
        <f>IPMT('Assumptions (T&amp;D)'!$B$97,Model!AK$1,'Assumptions (T&amp;D)'!$B$100,Model!$AC$2672)</f>
        <v>-4.2746812436266386E-2</v>
      </c>
      <c r="AR2753" s="377"/>
      <c r="AS2753" s="377"/>
      <c r="AT2753" s="377"/>
      <c r="AU2753" s="377"/>
      <c r="AV2753" s="377"/>
      <c r="AW2753" s="377"/>
      <c r="AX2753" s="377"/>
      <c r="AY2753" s="377"/>
      <c r="AZ2753" s="377"/>
      <c r="BA2753" s="377"/>
    </row>
    <row r="2754" spans="1:68" ht="15.75" hidden="1" customHeight="1" outlineLevel="1">
      <c r="A2754" s="460"/>
      <c r="B2754" s="99"/>
      <c r="C2754" s="377"/>
      <c r="D2754" s="377"/>
      <c r="E2754" s="377"/>
      <c r="F2754" s="377"/>
      <c r="G2754" s="377"/>
      <c r="H2754" s="377"/>
      <c r="I2754" s="377"/>
      <c r="J2754" s="377"/>
      <c r="K2754" s="377"/>
      <c r="L2754" s="377"/>
      <c r="M2754" s="377"/>
      <c r="N2754" s="377"/>
      <c r="O2754" s="377"/>
      <c r="P2754" s="377"/>
      <c r="Q2754" s="377"/>
      <c r="R2754" s="377"/>
      <c r="S2754" s="42"/>
      <c r="T2754" s="42"/>
      <c r="U2754" s="42"/>
      <c r="V2754" s="42"/>
      <c r="W2754" s="86"/>
      <c r="AD2754" s="377">
        <f>IPMT('Assumptions (T&amp;D)'!$B$97,Model!W$1,'Assumptions (T&amp;D)'!$B$100,Model!$AD$2672)</f>
        <v>-0.50952749168424483</v>
      </c>
      <c r="AE2754" s="377">
        <f>IPMT('Assumptions (T&amp;D)'!$B$97,Model!X$1,'Assumptions (T&amp;D)'!$B$100,Model!$AD$2672)</f>
        <v>-0.48546702551338988</v>
      </c>
      <c r="AF2754" s="377">
        <f>IPMT('Assumptions (T&amp;D)'!$B$97,Model!Y$1,'Assumptions (T&amp;D)'!$B$100,Model!$AD$2672)</f>
        <v>-0.46026368719941935</v>
      </c>
      <c r="AG2754" s="377">
        <f>IPMT('Assumptions (T&amp;D)'!$B$97,Model!Z$1,'Assumptions (T&amp;D)'!$B$100,Model!$AD$2672)</f>
        <v>-0.43386319031553527</v>
      </c>
      <c r="AH2754" s="377">
        <f>IPMT('Assumptions (T&amp;D)'!$B$97,Model!AA$1,'Assumptions (T&amp;D)'!$B$100,Model!$AD$2672)</f>
        <v>-0.40620866982966669</v>
      </c>
      <c r="AI2754" s="377">
        <f>IPMT('Assumptions (T&amp;D)'!$B$97,Model!AB$1,'Assumptions (T&amp;D)'!$B$100,Model!$AD$2672)</f>
        <v>-0.3772405596207194</v>
      </c>
      <c r="AJ2754" s="377">
        <f>IPMT('Assumptions (T&amp;D)'!$B$97,Model!AC$1,'Assumptions (T&amp;D)'!$B$100,Model!$AD$2672)</f>
        <v>-0.346896464176847</v>
      </c>
      <c r="AK2754" s="377">
        <f>IPMT('Assumptions (T&amp;D)'!$B$97,Model!AD$1,'Assumptions (T&amp;D)'!$B$100,Model!$AD$2672)</f>
        <v>-0.31511102419939074</v>
      </c>
      <c r="AL2754" s="377">
        <f>IPMT('Assumptions (T&amp;D)'!$B$97,Model!AE$1,'Assumptions (T&amp;D)'!$B$100,Model!$AD$2672)</f>
        <v>-0.28181577582300538</v>
      </c>
      <c r="AM2754" s="377">
        <f>IPMT('Assumptions (T&amp;D)'!$B$97,Model!AF$1,'Assumptions (T&amp;D)'!$B$100,Model!$AD$2672)</f>
        <v>-0.24693900314874156</v>
      </c>
      <c r="AN2754" s="377">
        <f>IPMT('Assumptions (T&amp;D)'!$B$97,Model!AG$1,'Assumptions (T&amp;D)'!$B$100,Model!$AD$2672)</f>
        <v>-0.21040558377245031</v>
      </c>
      <c r="AO2754" s="377">
        <f>IPMT('Assumptions (T&amp;D)'!$B$97,Model!AH$1,'Assumptions (T&amp;D)'!$B$100,Model!$AD$2672)</f>
        <v>-0.17213682697578522</v>
      </c>
      <c r="AP2754" s="377">
        <f>IPMT('Assumptions (T&amp;D)'!$B$97,Model!AI$1,'Assumptions (T&amp;D)'!$B$100,Model!$AD$2672)</f>
        <v>-0.13205030423127848</v>
      </c>
      <c r="AQ2754" s="377">
        <f>IPMT('Assumptions (T&amp;D)'!$B$97,Model!AJ$1,'Assumptions (T&amp;D)'!$B$100,Model!$AD$2672)</f>
        <v>-9.0059671656407686E-2</v>
      </c>
      <c r="AR2754" s="377">
        <f>IPMT('Assumptions (T&amp;D)'!$B$97,Model!AK$1,'Assumptions (T&amp;D)'!$B$100,Model!$AD$2672)</f>
        <v>-4.6074484034230555E-2</v>
      </c>
      <c r="AS2754" s="377"/>
      <c r="AT2754" s="377"/>
      <c r="AU2754" s="377"/>
      <c r="AV2754" s="377"/>
      <c r="AW2754" s="377"/>
      <c r="AX2754" s="377"/>
      <c r="AY2754" s="377"/>
      <c r="AZ2754" s="377"/>
      <c r="BA2754" s="377"/>
      <c r="BB2754" s="377"/>
    </row>
    <row r="2755" spans="1:68" ht="15.75" hidden="1" customHeight="1" outlineLevel="1">
      <c r="A2755" s="460"/>
      <c r="B2755" s="99"/>
      <c r="C2755" s="377"/>
      <c r="D2755" s="377"/>
      <c r="E2755" s="377"/>
      <c r="F2755" s="377"/>
      <c r="G2755" s="377"/>
      <c r="H2755" s="377"/>
      <c r="I2755" s="377"/>
      <c r="J2755" s="377"/>
      <c r="K2755" s="377"/>
      <c r="L2755" s="377"/>
      <c r="M2755" s="377"/>
      <c r="N2755" s="377"/>
      <c r="O2755" s="377"/>
      <c r="P2755" s="377"/>
      <c r="Q2755" s="377"/>
      <c r="R2755" s="377"/>
      <c r="S2755" s="42"/>
      <c r="T2755" s="42"/>
      <c r="U2755" s="42"/>
      <c r="V2755" s="42"/>
      <c r="W2755" s="86"/>
      <c r="AE2755" s="377">
        <f>IPMT('Assumptions (T&amp;D)'!$B$97,Model!W$1,'Assumptions (T&amp;D)'!$B$100,Model!$AE$2672)</f>
        <v>-0.51453569128180354</v>
      </c>
      <c r="AF2755" s="377">
        <f>IPMT('Assumptions (T&amp;D)'!$B$97,Model!X$1,'Assumptions (T&amp;D)'!$B$100,Model!$AE$2672)</f>
        <v>-0.49023873224459585</v>
      </c>
      <c r="AG2755" s="377">
        <f>IPMT('Assumptions (T&amp;D)'!$B$97,Model!Y$1,'Assumptions (T&amp;D)'!$B$100,Model!$AE$2672)</f>
        <v>-0.46478766765312074</v>
      </c>
      <c r="AH2755" s="377">
        <f>IPMT('Assumptions (T&amp;D)'!$B$97,Model!Z$1,'Assumptions (T&amp;D)'!$B$100,Model!$AE$2672)</f>
        <v>-0.43812767749355069</v>
      </c>
      <c r="AI2755" s="377">
        <f>IPMT('Assumptions (T&amp;D)'!$B$97,Model!AA$1,'Assumptions (T&amp;D)'!$B$100,Model!$AE$2672)</f>
        <v>-0.410201337801401</v>
      </c>
      <c r="AJ2755" s="377">
        <f>IPMT('Assumptions (T&amp;D)'!$B$97,Model!AB$1,'Assumptions (T&amp;D)'!$B$100,Model!$AE$2672)</f>
        <v>-0.38094849697387428</v>
      </c>
      <c r="AK2755" s="377">
        <f>IPMT('Assumptions (T&amp;D)'!$B$97,Model!AC$1,'Assumptions (T&amp;D)'!$B$100,Model!$AE$2672)</f>
        <v>-0.35030614620703993</v>
      </c>
      <c r="AL2755" s="377">
        <f>IPMT('Assumptions (T&amp;D)'!$B$97,Model!AD$1,'Assumptions (T&amp;D)'!$B$100,Model!$AE$2672)</f>
        <v>-0.31820828377878102</v>
      </c>
      <c r="AM2755" s="377">
        <f>IPMT('Assumptions (T&amp;D)'!$B$97,Model!AE$1,'Assumptions (T&amp;D)'!$B$100,Model!$AE$2672)</f>
        <v>-0.28458577288517978</v>
      </c>
      <c r="AN2755" s="377">
        <f>IPMT('Assumptions (T&amp;D)'!$B$97,Model!AF$1,'Assumptions (T&amp;D)'!$B$100,Model!$AE$2672)</f>
        <v>-0.24936619272413255</v>
      </c>
      <c r="AO2755" s="377">
        <f>IPMT('Assumptions (T&amp;D)'!$B$97,Model!AG$1,'Assumptions (T&amp;D)'!$B$100,Model!$AE$2672)</f>
        <v>-0.21247368250543547</v>
      </c>
      <c r="AP2755" s="377">
        <f>IPMT('Assumptions (T&amp;D)'!$B$97,Model!AH$1,'Assumptions (T&amp;D)'!$B$100,Model!$AE$2672)</f>
        <v>-0.17382877805135036</v>
      </c>
      <c r="AQ2755" s="377">
        <f>IPMT('Assumptions (T&amp;D)'!$B$97,Model!AI$1,'Assumptions (T&amp;D)'!$B$100,Model!$AE$2672)</f>
        <v>-0.13334824063569614</v>
      </c>
      <c r="AR2755" s="377">
        <f>IPMT('Assumptions (T&amp;D)'!$B$97,Model!AJ$1,'Assumptions (T&amp;D)'!$B$100,Model!$AE$2672)</f>
        <v>-9.0944877692798368E-2</v>
      </c>
      <c r="AS2755" s="377">
        <f>IPMT('Assumptions (T&amp;D)'!$B$97,Model!AK$1,'Assumptions (T&amp;D)'!$B$100,Model!$AE$2672)</f>
        <v>-4.6527355010112965E-2</v>
      </c>
      <c r="AT2755" s="377"/>
      <c r="AU2755" s="377"/>
      <c r="AV2755" s="377"/>
      <c r="AW2755" s="377"/>
      <c r="AX2755" s="377"/>
      <c r="AY2755" s="377"/>
      <c r="AZ2755" s="377"/>
      <c r="BA2755" s="377"/>
      <c r="BB2755" s="377"/>
      <c r="BC2755" s="377"/>
    </row>
    <row r="2756" spans="1:68" ht="15.75" hidden="1" customHeight="1" outlineLevel="1">
      <c r="A2756" s="460"/>
      <c r="B2756" s="99"/>
      <c r="C2756" s="377"/>
      <c r="D2756" s="377"/>
      <c r="E2756" s="377"/>
      <c r="F2756" s="377"/>
      <c r="G2756" s="377"/>
      <c r="H2756" s="377"/>
      <c r="I2756" s="377"/>
      <c r="J2756" s="377"/>
      <c r="K2756" s="377"/>
      <c r="L2756" s="377"/>
      <c r="M2756" s="377"/>
      <c r="N2756" s="377"/>
      <c r="O2756" s="377"/>
      <c r="P2756" s="377"/>
      <c r="Q2756" s="377"/>
      <c r="R2756" s="377"/>
      <c r="S2756" s="42"/>
      <c r="T2756" s="42"/>
      <c r="U2756" s="42"/>
      <c r="V2756" s="42"/>
      <c r="W2756" s="86"/>
      <c r="AF2756" s="377">
        <f>IPMT('Assumptions (T&amp;D)'!$B$97,Model!W$1,'Assumptions (T&amp;D)'!$B$100,Model!$AF$2672)</f>
        <v>-0.49858778573727891</v>
      </c>
      <c r="AG2756" s="377">
        <f>IPMT('Assumptions (T&amp;D)'!$B$97,Model!X$1,'Assumptions (T&amp;D)'!$B$100,Model!$AF$2672)</f>
        <v>-0.47504390489136106</v>
      </c>
      <c r="AH2756" s="377">
        <f>IPMT('Assumptions (T&amp;D)'!$B$97,Model!Y$1,'Assumptions (T&amp;D)'!$B$100,Model!$AF$2672)</f>
        <v>-0.45038168970526204</v>
      </c>
      <c r="AI2756" s="377">
        <f>IPMT('Assumptions (T&amp;D)'!$B$97,Model!Z$1,'Assumptions (T&amp;D)'!$B$100,Model!$AF$2672)</f>
        <v>-0.42454801929782349</v>
      </c>
      <c r="AJ2756" s="377">
        <f>IPMT('Assumptions (T&amp;D)'!$B$97,Model!AA$1,'Assumptions (T&amp;D)'!$B$100,Model!$AF$2672)</f>
        <v>-0.39748724954603154</v>
      </c>
      <c r="AK2756" s="377">
        <f>IPMT('Assumptions (T&amp;D)'!$B$97,Model!AB$1,'Assumptions (T&amp;D)'!$B$100,Model!$AF$2672)</f>
        <v>-0.3691410932310295</v>
      </c>
      <c r="AL2756" s="377">
        <f>IPMT('Assumptions (T&amp;D)'!$B$97,Model!AC$1,'Assumptions (T&amp;D)'!$B$100,Model!$AF$2672)</f>
        <v>-0.33944849449106484</v>
      </c>
      <c r="AM2756" s="377">
        <f>IPMT('Assumptions (T&amp;D)'!$B$97,Model!AD$1,'Assumptions (T&amp;D)'!$B$100,Model!$AF$2672)</f>
        <v>-0.30834549731095184</v>
      </c>
      <c r="AN2756" s="377">
        <f>IPMT('Assumptions (T&amp;D)'!$B$97,Model!AE$1,'Assumptions (T&amp;D)'!$B$100,Model!$AF$2672)</f>
        <v>-0.27576510776478358</v>
      </c>
      <c r="AO2756" s="377">
        <f>IPMT('Assumptions (T&amp;D)'!$B$97,Model!AF$1,'Assumptions (T&amp;D)'!$B$100,Model!$AF$2672)</f>
        <v>-0.24163714971517219</v>
      </c>
      <c r="AP2756" s="377">
        <f>IPMT('Assumptions (T&amp;D)'!$B$97,Model!AG$1,'Assumptions (T&amp;D)'!$B$100,Model!$AF$2672)</f>
        <v>-0.20588811365820428</v>
      </c>
      <c r="AQ2756" s="377">
        <f>IPMT('Assumptions (T&amp;D)'!$B$97,Model!AH$1,'Assumptions (T&amp;D)'!$B$100,Model!$AF$2672)</f>
        <v>-0.16844099838853047</v>
      </c>
      <c r="AR2756" s="377">
        <f>IPMT('Assumptions (T&amp;D)'!$B$97,Model!AI$1,'Assumptions (T&amp;D)'!$B$100,Model!$AF$2672)</f>
        <v>-0.12921514514354709</v>
      </c>
      <c r="AS2756" s="377">
        <f>IPMT('Assumptions (T&amp;D)'!$B$97,Model!AJ$1,'Assumptions (T&amp;D)'!$B$100,Model!$AF$2672)</f>
        <v>-8.8126063869427007E-2</v>
      </c>
      <c r="AT2756" s="377">
        <f>IPMT('Assumptions (T&amp;D)'!$B$97,Model!AK$1,'Assumptions (T&amp;D)'!$B$100,Model!$AF$2672)</f>
        <v>-4.5085251234786218E-2</v>
      </c>
      <c r="AU2756" s="377"/>
      <c r="AV2756" s="377"/>
      <c r="AW2756" s="377"/>
      <c r="AX2756" s="377"/>
      <c r="AY2756" s="377"/>
      <c r="AZ2756" s="377"/>
      <c r="BA2756" s="377"/>
      <c r="BB2756" s="377"/>
      <c r="BC2756" s="377"/>
      <c r="BD2756" s="377"/>
    </row>
    <row r="2757" spans="1:68" ht="15.75" hidden="1" customHeight="1" outlineLevel="1">
      <c r="A2757" s="460"/>
      <c r="B2757" s="99"/>
      <c r="C2757" s="377"/>
      <c r="D2757" s="377"/>
      <c r="E2757" s="377"/>
      <c r="F2757" s="377"/>
      <c r="G2757" s="377"/>
      <c r="H2757" s="377"/>
      <c r="I2757" s="377"/>
      <c r="J2757" s="377"/>
      <c r="K2757" s="377"/>
      <c r="L2757" s="377"/>
      <c r="M2757" s="377"/>
      <c r="N2757" s="377"/>
      <c r="O2757" s="377"/>
      <c r="P2757" s="377"/>
      <c r="Q2757" s="377"/>
      <c r="R2757" s="377"/>
      <c r="S2757" s="42"/>
      <c r="T2757" s="42"/>
      <c r="U2757" s="42"/>
      <c r="V2757" s="42"/>
      <c r="W2757" s="86"/>
      <c r="AG2757" s="377">
        <f>IPMT('Assumptions (T&amp;D)'!$B$97,Model!W$1,'Assumptions (T&amp;D)'!$B$100,Model!$AG$2672)</f>
        <v>-0.55254330205644675</v>
      </c>
      <c r="AH2757" s="377">
        <f>IPMT('Assumptions (T&amp;D)'!$B$97,Model!X$1,'Assumptions (T&amp;D)'!$B$100,Model!$AG$2672)</f>
        <v>-0.52645158052221364</v>
      </c>
      <c r="AI2757" s="377">
        <f>IPMT('Assumptions (T&amp;D)'!$B$97,Model!Y$1,'Assumptions (T&amp;D)'!$B$100,Model!$AG$2672)</f>
        <v>-0.49912050221510434</v>
      </c>
      <c r="AJ2757" s="377">
        <f>IPMT('Assumptions (T&amp;D)'!$B$97,Model!Z$1,'Assumptions (T&amp;D)'!$B$100,Model!$AG$2672)</f>
        <v>-0.47049119768840753</v>
      </c>
      <c r="AK2757" s="377">
        <f>IPMT('Assumptions (T&amp;D)'!$B$97,Model!AA$1,'Assumptions (T&amp;D)'!$B$100,Model!$AG$2672)</f>
        <v>-0.44050200119669258</v>
      </c>
      <c r="AL2757" s="377">
        <f>IPMT('Assumptions (T&amp;D)'!$B$97,Model!AB$1,'Assumptions (T&amp;D)'!$B$100,Model!$AG$2672)</f>
        <v>-0.4090883178716212</v>
      </c>
      <c r="AM2757" s="377">
        <f>IPMT('Assumptions (T&amp;D)'!$B$97,Model!AC$1,'Assumptions (T&amp;D)'!$B$100,Model!$AG$2672)</f>
        <v>-0.37618248458860887</v>
      </c>
      <c r="AN2757" s="377">
        <f>IPMT('Assumptions (T&amp;D)'!$B$97,Model!AD$1,'Assumptions (T&amp;D)'!$B$100,Model!$AG$2672)</f>
        <v>-0.34171362422465346</v>
      </c>
      <c r="AO2757" s="377">
        <f>IPMT('Assumptions (T&amp;D)'!$B$97,Model!AE$1,'Assumptions (T&amp;D)'!$B$100,Model!$AG$2672)</f>
        <v>-0.30560749299341022</v>
      </c>
      <c r="AP2757" s="377">
        <f>IPMT('Assumptions (T&amp;D)'!$B$97,Model!AF$1,'Assumptions (T&amp;D)'!$B$100,Model!$AG$2672)</f>
        <v>-0.2677863205286829</v>
      </c>
      <c r="AQ2757" s="377">
        <f>IPMT('Assumptions (T&amp;D)'!$B$97,Model!AG$1,'Assumptions (T&amp;D)'!$B$100,Model!$AG$2672)</f>
        <v>-0.228168642371881</v>
      </c>
      <c r="AR2757" s="377">
        <f>IPMT('Assumptions (T&amp;D)'!$B$97,Model!AH$1,'Assumptions (T&amp;D)'!$B$100,Model!$AG$2672)</f>
        <v>-0.18666912450263104</v>
      </c>
      <c r="AS2757" s="377">
        <f>IPMT('Assumptions (T&amp;D)'!$B$97,Model!AI$1,'Assumptions (T&amp;D)'!$B$100,Model!$AG$2672)</f>
        <v>-0.14319837953459169</v>
      </c>
      <c r="AT2757" s="377">
        <f>IPMT('Assumptions (T&amp;D)'!$B$97,Model!AJ$1,'Assumptions (T&amp;D)'!$B$100,Model!$AG$2672)</f>
        <v>-9.7662774180570469E-2</v>
      </c>
      <c r="AU2757" s="377">
        <f>IPMT('Assumptions (T&amp;D)'!$B$97,Model!AK$1,'Assumptions (T&amp;D)'!$B$100,Model!$AG$2672)</f>
        <v>-4.9964227572233233E-2</v>
      </c>
      <c r="AV2757" s="377"/>
      <c r="AW2757" s="377"/>
      <c r="AX2757" s="377"/>
      <c r="AY2757" s="377"/>
      <c r="AZ2757" s="377"/>
      <c r="BA2757" s="377"/>
      <c r="BB2757" s="377"/>
      <c r="BC2757" s="377"/>
      <c r="BD2757" s="377"/>
      <c r="BE2757" s="377"/>
    </row>
    <row r="2758" spans="1:68" ht="15.75" hidden="1" customHeight="1" outlineLevel="1">
      <c r="A2758" s="460"/>
      <c r="B2758" s="99"/>
      <c r="C2758" s="377"/>
      <c r="D2758" s="377"/>
      <c r="E2758" s="377"/>
      <c r="F2758" s="377"/>
      <c r="G2758" s="377"/>
      <c r="H2758" s="377"/>
      <c r="I2758" s="377"/>
      <c r="J2758" s="377"/>
      <c r="K2758" s="377"/>
      <c r="L2758" s="377"/>
      <c r="M2758" s="377"/>
      <c r="N2758" s="377"/>
      <c r="O2758" s="377"/>
      <c r="P2758" s="377"/>
      <c r="Q2758" s="377"/>
      <c r="R2758" s="377"/>
      <c r="S2758" s="42"/>
      <c r="T2758" s="42"/>
      <c r="U2758" s="42"/>
      <c r="V2758" s="42"/>
      <c r="W2758" s="86"/>
      <c r="AH2758" s="377">
        <f>IPMT('Assumptions (T&amp;D)'!$B$97,Model!W$1,'Assumptions (T&amp;D)'!$B$100,Model!$AH$2672)</f>
        <v>-0.52229541221598585</v>
      </c>
      <c r="AI2758" s="377">
        <f>IPMT('Assumptions (T&amp;D)'!$B$97,Model!X$1,'Assumptions (T&amp;D)'!$B$100,Model!$AH$2672)</f>
        <v>-0.49763203035355436</v>
      </c>
      <c r="AJ2758" s="377">
        <f>IPMT('Assumptions (T&amp;D)'!$B$97,Model!Y$1,'Assumptions (T&amp;D)'!$B$100,Model!$AH$2672)</f>
        <v>-0.4717971378526572</v>
      </c>
      <c r="AK2758" s="377">
        <f>IPMT('Assumptions (T&amp;D)'!$B$97,Model!Z$1,'Assumptions (T&amp;D)'!$B$100,Model!$AH$2672)</f>
        <v>-0.44473508795796768</v>
      </c>
      <c r="AL2758" s="377">
        <f>IPMT('Assumptions (T&amp;D)'!$B$97,Model!AA$1,'Assumptions (T&amp;D)'!$B$100,Model!$AH$2672)</f>
        <v>-0.41638759069328019</v>
      </c>
      <c r="AM2758" s="377">
        <f>IPMT('Assumptions (T&amp;D)'!$B$97,Model!AB$1,'Assumptions (T&amp;D)'!$B$100,Model!$AH$2672)</f>
        <v>-0.38669358730852016</v>
      </c>
      <c r="AN2758" s="377">
        <f>IPMT('Assumptions (T&amp;D)'!$B$97,Model!AC$1,'Assumptions (T&amp;D)'!$B$100,Model!$AH$2672)</f>
        <v>-0.35558911876298405</v>
      </c>
      <c r="AO2758" s="377">
        <f>IPMT('Assumptions (T&amp;D)'!$B$97,Model!AD$1,'Assumptions (T&amp;D)'!$B$100,Model!$AH$2672)</f>
        <v>-0.32300718796153494</v>
      </c>
      <c r="AP2758" s="377">
        <f>IPMT('Assumptions (T&amp;D)'!$B$97,Model!AE$1,'Assumptions (T&amp;D)'!$B$100,Model!$AH$2672)</f>
        <v>-0.28887761544701701</v>
      </c>
      <c r="AQ2758" s="377">
        <f>IPMT('Assumptions (T&amp;D)'!$B$97,Model!AF$1,'Assumptions (T&amp;D)'!$B$100,Model!$AH$2672)</f>
        <v>-0.25312688823805951</v>
      </c>
      <c r="AR2758" s="377">
        <f>IPMT('Assumptions (T&amp;D)'!$B$97,Model!AG$1,'Assumptions (T&amp;D)'!$B$100,Model!$AH$2672)</f>
        <v>-0.21567800148667648</v>
      </c>
      <c r="AS2758" s="377">
        <f>IPMT('Assumptions (T&amp;D)'!$B$97,Model!AH$1,'Assumptions (T&amp;D)'!$B$100,Model!$AH$2672)</f>
        <v>-0.17645029261460277</v>
      </c>
      <c r="AT2758" s="377">
        <f>IPMT('Assumptions (T&amp;D)'!$B$97,Model!AI$1,'Assumptions (T&amp;D)'!$B$100,Model!$AH$2672)</f>
        <v>-0.13535926757110553</v>
      </c>
      <c r="AU2758" s="377">
        <f>IPMT('Assumptions (T&amp;D)'!$B$97,Model!AJ$1,'Assumptions (T&amp;D)'!$B$100,Model!$AH$2672)</f>
        <v>-9.2316418838042175E-2</v>
      </c>
      <c r="AV2758" s="377">
        <f>IPMT('Assumptions (T&amp;D)'!$B$97,Model!AK$1,'Assumptions (T&amp;D)'!$B$100,Model!$AH$2672)</f>
        <v>-4.7229034790158331E-2</v>
      </c>
      <c r="AW2758" s="377"/>
      <c r="AX2758" s="377"/>
      <c r="AY2758" s="377"/>
      <c r="AZ2758" s="377"/>
      <c r="BA2758" s="377"/>
      <c r="BB2758" s="377"/>
      <c r="BC2758" s="377"/>
      <c r="BD2758" s="377"/>
      <c r="BE2758" s="377"/>
      <c r="BF2758" s="377"/>
    </row>
    <row r="2759" spans="1:68" ht="15.75" hidden="1" customHeight="1" outlineLevel="1">
      <c r="A2759" s="460"/>
      <c r="B2759" s="99"/>
      <c r="C2759" s="377"/>
      <c r="D2759" s="377"/>
      <c r="E2759" s="377"/>
      <c r="F2759" s="377"/>
      <c r="G2759" s="377"/>
      <c r="H2759" s="377"/>
      <c r="I2759" s="377"/>
      <c r="J2759" s="377"/>
      <c r="K2759" s="377"/>
      <c r="L2759" s="377"/>
      <c r="M2759" s="377"/>
      <c r="N2759" s="377"/>
      <c r="O2759" s="377"/>
      <c r="P2759" s="377"/>
      <c r="Q2759" s="377"/>
      <c r="R2759" s="377"/>
      <c r="S2759" s="42"/>
      <c r="T2759" s="42"/>
      <c r="U2759" s="42"/>
      <c r="V2759" s="42"/>
      <c r="W2759" s="86"/>
      <c r="AI2759" s="377">
        <f>IPMT('Assumptions (T&amp;D)'!$B$97,Model!W$1,'Assumptions (T&amp;D)'!$B$100,Model!$AI$2672)</f>
        <v>-0.48349299551806596</v>
      </c>
      <c r="AJ2759" s="377">
        <f>IPMT('Assumptions (T&amp;D)'!$B$97,Model!X$1,'Assumptions (T&amp;D)'!$B$100,Model!$AI$2672)</f>
        <v>-0.46066190778999344</v>
      </c>
      <c r="AK2759" s="377">
        <f>IPMT('Assumptions (T&amp;D)'!$B$97,Model!Y$1,'Assumptions (T&amp;D)'!$B$100,Model!$AI$2672)</f>
        <v>-0.43674634339483742</v>
      </c>
      <c r="AL2759" s="377">
        <f>IPMT('Assumptions (T&amp;D)'!$B$97,Model!Z$1,'Assumptions (T&amp;D)'!$B$100,Model!$AI$2672)</f>
        <v>-0.41169478969091167</v>
      </c>
      <c r="AM2759" s="377">
        <f>IPMT('Assumptions (T&amp;D)'!$B$97,Model!AA$1,'Assumptions (T&amp;D)'!$B$100,Model!$AI$2672)</f>
        <v>-0.38545328718604932</v>
      </c>
      <c r="AN2759" s="377">
        <f>IPMT('Assumptions (T&amp;D)'!$B$97,Model!AB$1,'Assumptions (T&amp;D)'!$B$100,Model!$AI$2672)</f>
        <v>-0.35796531331220605</v>
      </c>
      <c r="AO2759" s="377">
        <f>IPMT('Assumptions (T&amp;D)'!$B$97,Model!AC$1,'Assumptions (T&amp;D)'!$B$100,Model!$AI$2672)</f>
        <v>-0.32917166067935522</v>
      </c>
      <c r="AP2759" s="377">
        <f>IPMT('Assumptions (T&amp;D)'!$B$97,Model!AD$1,'Assumptions (T&amp;D)'!$B$100,Model!$AI$2672)</f>
        <v>-0.29901030954644398</v>
      </c>
      <c r="AQ2759" s="377">
        <f>IPMT('Assumptions (T&amp;D)'!$B$97,Model!AE$1,'Assumptions (T&amp;D)'!$B$100,Model!$AI$2672)</f>
        <v>-0.26741629423471952</v>
      </c>
      <c r="AR2759" s="377">
        <f>IPMT('Assumptions (T&amp;D)'!$B$97,Model!AF$1,'Assumptions (T&amp;D)'!$B$100,Model!$AI$2672)</f>
        <v>-0.23432156319568809</v>
      </c>
      <c r="AS2759" s="377">
        <f>IPMT('Assumptions (T&amp;D)'!$B$97,Model!AG$1,'Assumptions (T&amp;D)'!$B$100,Model!$AI$2672)</f>
        <v>-0.19965483243230264</v>
      </c>
      <c r="AT2759" s="377">
        <f>IPMT('Assumptions (T&amp;D)'!$B$97,Model!AH$1,'Assumptions (T&amp;D)'!$B$100,Model!$AI$2672)</f>
        <v>-0.16334143195765641</v>
      </c>
      <c r="AU2759" s="377">
        <f>IPMT('Assumptions (T&amp;D)'!$B$97,Model!AI$1,'Assumptions (T&amp;D)'!$B$100,Model!$AI$2672)</f>
        <v>-0.12530314496046444</v>
      </c>
      <c r="AV2759" s="377">
        <f>IPMT('Assumptions (T&amp;D)'!$B$97,Model!AJ$1,'Assumptions (T&amp;D)'!$B$100,Model!$AI$2672)</f>
        <v>-8.5458039330905886E-2</v>
      </c>
      <c r="AW2759" s="377">
        <f>IPMT('Assumptions (T&amp;D)'!$B$97,Model!AK$1,'Assumptions (T&amp;D)'!$B$100,Model!$AI$2672)</f>
        <v>-4.3720291183943306E-2</v>
      </c>
      <c r="AX2759" s="377"/>
      <c r="AY2759" s="377"/>
      <c r="AZ2759" s="377"/>
      <c r="BA2759" s="377"/>
      <c r="BB2759" s="377"/>
      <c r="BC2759" s="377"/>
      <c r="BD2759" s="377"/>
      <c r="BE2759" s="377"/>
      <c r="BF2759" s="377"/>
      <c r="BG2759" s="377"/>
    </row>
    <row r="2760" spans="1:68" ht="15.75" hidden="1" customHeight="1" outlineLevel="1">
      <c r="A2760" s="460"/>
      <c r="B2760" s="99"/>
      <c r="C2760" s="377"/>
      <c r="D2760" s="377"/>
      <c r="E2760" s="377"/>
      <c r="F2760" s="377"/>
      <c r="G2760" s="377"/>
      <c r="H2760" s="377"/>
      <c r="I2760" s="377"/>
      <c r="J2760" s="377"/>
      <c r="K2760" s="377"/>
      <c r="L2760" s="377"/>
      <c r="M2760" s="377"/>
      <c r="N2760" s="377"/>
      <c r="O2760" s="377"/>
      <c r="P2760" s="377"/>
      <c r="Q2760" s="377"/>
      <c r="R2760" s="377"/>
      <c r="S2760" s="42"/>
      <c r="T2760" s="42"/>
      <c r="U2760" s="42"/>
      <c r="V2760" s="42"/>
      <c r="W2760" s="86"/>
      <c r="AJ2760" s="377">
        <f>IPMT('Assumptions (T&amp;D)'!$B$97,Model!W$1,'Assumptions (T&amp;D)'!$B$100,Model!$AJ$2672)</f>
        <v>-0.51156823308230426</v>
      </c>
      <c r="AK2760" s="377">
        <f>IPMT('Assumptions (T&amp;D)'!$B$97,Model!X$1,'Assumptions (T&amp;D)'!$B$100,Model!$AJ$2672)</f>
        <v>-0.48741140078759376</v>
      </c>
      <c r="AL2760" s="377">
        <f>IPMT('Assumptions (T&amp;D)'!$B$97,Model!Y$1,'Assumptions (T&amp;D)'!$B$100,Model!$AJ$2672)</f>
        <v>-0.46210711895888446</v>
      </c>
      <c r="AM2760" s="377">
        <f>IPMT('Assumptions (T&amp;D)'!$B$97,Model!Z$1,'Assumptions (T&amp;D)'!$B$100,Model!$AJ$2672)</f>
        <v>-0.43560088374331157</v>
      </c>
      <c r="AN2760" s="377">
        <f>IPMT('Assumptions (T&amp;D)'!$B$97,Model!AA$1,'Assumptions (T&amp;D)'!$B$100,Model!$AJ$2672)</f>
        <v>-0.40783560235499899</v>
      </c>
      <c r="AO2760" s="377">
        <f>IPMT('Assumptions (T&amp;D)'!$B$97,Model!AB$1,'Assumptions (T&amp;D)'!$B$100,Model!$AJ$2672)</f>
        <v>-0.37875147010074151</v>
      </c>
      <c r="AP2760" s="377">
        <f>IPMT('Assumptions (T&amp;D)'!$B$97,Model!AC$1,'Assumptions (T&amp;D)'!$B$100,Model!$AJ$2672)</f>
        <v>-0.34828584156440684</v>
      </c>
      <c r="AQ2760" s="377">
        <f>IPMT('Assumptions (T&amp;D)'!$B$97,Model!AD$1,'Assumptions (T&amp;D)'!$B$100,Model!$AJ$2672)</f>
        <v>-0.31637309567259619</v>
      </c>
      <c r="AR2760" s="377">
        <f>IPMT('Assumptions (T&amp;D)'!$B$97,Model!AE$1,'Assumptions (T&amp;D)'!$B$100,Model!$AJ$2672)</f>
        <v>-0.28294449435092461</v>
      </c>
      <c r="AS2760" s="377">
        <f>IPMT('Assumptions (T&amp;D)'!$B$97,Model!AF$1,'Assumptions (T&amp;D)'!$B$100,Model!$AJ$2672)</f>
        <v>-0.24792803446647366</v>
      </c>
      <c r="AT2760" s="377">
        <f>IPMT('Assumptions (T&amp;D)'!$B$97,Model!AG$1,'Assumptions (T&amp;D)'!$B$100,Model!$AJ$2672)</f>
        <v>-0.2112482927375112</v>
      </c>
      <c r="AU2760" s="377">
        <f>IPMT('Assumptions (T&amp;D)'!$B$97,Model!AH$1,'Assumptions (T&amp;D)'!$B$100,Model!$AJ$2672)</f>
        <v>-0.17282626327642309</v>
      </c>
      <c r="AV2760" s="377">
        <f>IPMT('Assumptions (T&amp;D)'!$B$97,Model!AI$1,'Assumptions (T&amp;D)'!$B$100,Model!$AJ$2672)</f>
        <v>-0.13257918741593325</v>
      </c>
      <c r="AW2760" s="377">
        <f>IPMT('Assumptions (T&amp;D)'!$B$97,Model!AJ$1,'Assumptions (T&amp;D)'!$B$100,Model!$AJ$2672)</f>
        <v>-9.0420375452070142E-2</v>
      </c>
      <c r="AX2760" s="377">
        <f>IPMT('Assumptions (T&amp;D)'!$B$97,Model!AK$1,'Assumptions (T&amp;D)'!$B$100,Model!$AJ$2672)</f>
        <v>-4.6259019919923552E-2</v>
      </c>
      <c r="AY2760" s="377"/>
      <c r="AZ2760" s="377"/>
      <c r="BA2760" s="377"/>
      <c r="BB2760" s="377"/>
      <c r="BC2760" s="377"/>
      <c r="BD2760" s="377"/>
      <c r="BE2760" s="377"/>
      <c r="BF2760" s="377"/>
      <c r="BG2760" s="377"/>
      <c r="BH2760" s="377"/>
    </row>
    <row r="2761" spans="1:68" ht="15.75" hidden="1" customHeight="1" outlineLevel="1">
      <c r="A2761" s="460"/>
      <c r="B2761" s="99"/>
      <c r="C2761" s="377"/>
      <c r="D2761" s="377"/>
      <c r="E2761" s="377"/>
      <c r="F2761" s="377"/>
      <c r="G2761" s="377"/>
      <c r="H2761" s="377"/>
      <c r="I2761" s="377"/>
      <c r="J2761" s="377"/>
      <c r="K2761" s="377"/>
      <c r="L2761" s="377"/>
      <c r="M2761" s="377"/>
      <c r="N2761" s="377"/>
      <c r="O2761" s="377"/>
      <c r="P2761" s="377"/>
      <c r="Q2761" s="377"/>
      <c r="R2761" s="377"/>
      <c r="S2761" s="42"/>
      <c r="T2761" s="42"/>
      <c r="U2761" s="42"/>
      <c r="V2761" s="42"/>
      <c r="W2761" s="86"/>
      <c r="AK2761" s="377">
        <f>IPMT('Assumptions (T&amp;D)'!$B$97,Model!W$1,'Assumptions (T&amp;D)'!$B$100,Model!$AK$2672)</f>
        <v>-0.52332089664864767</v>
      </c>
      <c r="AL2761" s="377">
        <f>IPMT('Assumptions (T&amp;D)'!$B$97,Model!X$1,'Assumptions (T&amp;D)'!$B$100,Model!$AK$2672)</f>
        <v>-0.49860909024798511</v>
      </c>
      <c r="AM2761" s="377">
        <f>IPMT('Assumptions (T&amp;D)'!$B$97,Model!Y$1,'Assumptions (T&amp;D)'!$B$100,Model!$AK$2672)</f>
        <v>-0.47272347304329104</v>
      </c>
      <c r="AN2761" s="377">
        <f>IPMT('Assumptions (T&amp;D)'!$B$97,Model!Z$1,'Assumptions (T&amp;D)'!$B$100,Model!$AK$2672)</f>
        <v>-0.44560828902137417</v>
      </c>
      <c r="AO2761" s="377">
        <f>IPMT('Assumptions (T&amp;D)'!$B$97,Model!AA$1,'Assumptions (T&amp;D)'!$B$100,Model!$AK$2672)</f>
        <v>-0.41720513375841617</v>
      </c>
      <c r="AP2761" s="377">
        <f>IPMT('Assumptions (T&amp;D)'!$B$97,Model!AB$1,'Assumptions (T&amp;D)'!$B$100,Model!$AK$2672)</f>
        <v>-0.38745282862046765</v>
      </c>
      <c r="AQ2761" s="377">
        <f>IPMT('Assumptions (T&amp;D)'!$B$97,Model!AC$1,'Assumptions (T&amp;D)'!$B$100,Model!$AK$2672)</f>
        <v>-0.35628728898846662</v>
      </c>
      <c r="AR2761" s="377">
        <f>IPMT('Assumptions (T&amp;D)'!$B$97,Model!AD$1,'Assumptions (T&amp;D)'!$B$100,Model!$AK$2672)</f>
        <v>-0.32364138622394556</v>
      </c>
      <c r="AS2761" s="377">
        <f>IPMT('Assumptions (T&amp;D)'!$B$97,Model!AE$1,'Assumptions (T&amp;D)'!$B$100,Model!$AK$2672)</f>
        <v>-0.28944480307810977</v>
      </c>
      <c r="AT2761" s="377">
        <f>IPMT('Assumptions (T&amp;D)'!$B$97,Model!AF$1,'Assumptions (T&amp;D)'!$B$100,Model!$AK$2672)</f>
        <v>-0.25362388223284671</v>
      </c>
      <c r="AU2761" s="377">
        <f>IPMT('Assumptions (T&amp;D)'!$B$97,Model!AG$1,'Assumptions (T&amp;D)'!$B$100,Model!$AK$2672)</f>
        <v>-0.21610146764743365</v>
      </c>
      <c r="AV2761" s="377">
        <f>IPMT('Assumptions (T&amp;D)'!$B$97,Model!AH$1,'Assumptions (T&amp;D)'!$B$100,Model!$AK$2672)</f>
        <v>-0.1767967383692135</v>
      </c>
      <c r="AW2761" s="377">
        <f>IPMT('Assumptions (T&amp;D)'!$B$97,Model!AI$1,'Assumptions (T&amp;D)'!$B$100,Model!$AK$2672)</f>
        <v>-0.13562503445027785</v>
      </c>
      <c r="AX2761" s="377">
        <f>IPMT('Assumptions (T&amp;D)'!$B$97,Model!AJ$1,'Assumptions (T&amp;D)'!$B$100,Model!$AK$2672)</f>
        <v>-9.2497674595192772E-2</v>
      </c>
      <c r="AY2761" s="377">
        <f>IPMT('Assumptions (T&amp;D)'!$B$97,Model!AK$1,'Assumptions (T&amp;D)'!$B$100,Model!$AK$2672)</f>
        <v>-4.7321765146991178E-2</v>
      </c>
      <c r="AZ2761" s="377"/>
      <c r="BA2761" s="377"/>
      <c r="BB2761" s="377"/>
      <c r="BC2761" s="377"/>
      <c r="BD2761" s="377"/>
      <c r="BE2761" s="377"/>
      <c r="BF2761" s="377"/>
      <c r="BG2761" s="377"/>
      <c r="BH2761" s="377"/>
      <c r="BI2761" s="377"/>
    </row>
    <row r="2762" spans="1:68" ht="15.75" hidden="1" customHeight="1" outlineLevel="1">
      <c r="A2762" s="460"/>
      <c r="B2762" s="99"/>
      <c r="C2762" s="377"/>
      <c r="D2762" s="377"/>
      <c r="E2762" s="377"/>
      <c r="F2762" s="377"/>
      <c r="G2762" s="377"/>
      <c r="H2762" s="377"/>
      <c r="I2762" s="377"/>
      <c r="J2762" s="377"/>
      <c r="K2762" s="377"/>
      <c r="L2762" s="377"/>
      <c r="M2762" s="377"/>
      <c r="N2762" s="377"/>
      <c r="O2762" s="377"/>
      <c r="P2762" s="377"/>
      <c r="Q2762" s="377"/>
      <c r="R2762" s="377"/>
      <c r="S2762" s="42"/>
      <c r="T2762" s="42"/>
      <c r="U2762" s="42"/>
      <c r="V2762" s="42"/>
      <c r="W2762" s="86"/>
      <c r="AL2762" s="377">
        <f>IPMT('Assumptions (T&amp;D)'!$B$97,Model!W$1,'Assumptions (T&amp;D)'!$B$100,Model!$AL$2672)</f>
        <v>-0.4596853975431216</v>
      </c>
      <c r="AM2762" s="377">
        <f>IPMT('Assumptions (T&amp;D)'!$B$97,Model!X$1,'Assumptions (T&amp;D)'!$B$100,Model!$AL$2672)</f>
        <v>-0.43797853159902389</v>
      </c>
      <c r="AN2762" s="377">
        <f>IPMT('Assumptions (T&amp;D)'!$B$97,Model!Y$1,'Assumptions (T&amp;D)'!$B$100,Model!$AL$2672)</f>
        <v>-0.41524058952258147</v>
      </c>
      <c r="AO2762" s="377">
        <f>IPMT('Assumptions (T&amp;D)'!$B$97,Model!Z$1,'Assumptions (T&amp;D)'!$B$100,Model!$AL$2672)</f>
        <v>-0.39142259519750822</v>
      </c>
      <c r="AP2762" s="377">
        <f>IPMT('Assumptions (T&amp;D)'!$B$97,Model!AA$1,'Assumptions (T&amp;D)'!$B$100,Model!$AL$2672)</f>
        <v>-0.36647324614199384</v>
      </c>
      <c r="AQ2762" s="377">
        <f>IPMT('Assumptions (T&amp;D)'!$B$97,Model!AB$1,'Assumptions (T&amp;D)'!$B$100,Model!$AL$2672)</f>
        <v>-0.34033880300634262</v>
      </c>
      <c r="AR2762" s="377">
        <f>IPMT('Assumptions (T&amp;D)'!$B$97,Model!AC$1,'Assumptions (T&amp;D)'!$B$100,Model!$AL$2672)</f>
        <v>-0.31296297382174787</v>
      </c>
      <c r="AS2762" s="377">
        <f>IPMT('Assumptions (T&amp;D)'!$B$97,Model!AD$1,'Assumptions (T&amp;D)'!$B$100,Model!$AL$2672)</f>
        <v>-0.28428679275088492</v>
      </c>
      <c r="AT2762" s="377">
        <f>IPMT('Assumptions (T&amp;D)'!$B$97,Model!AE$1,'Assumptions (T&amp;D)'!$B$100,Model!$AL$2672)</f>
        <v>-0.25424849307915603</v>
      </c>
      <c r="AU2762" s="377">
        <f>IPMT('Assumptions (T&amp;D)'!$B$97,Model!AF$1,'Assumptions (T&amp;D)'!$B$100,Model!$AL$2672)</f>
        <v>-0.22278337417301999</v>
      </c>
      <c r="AV2762" s="377">
        <f>IPMT('Assumptions (T&amp;D)'!$B$97,Model!AG$1,'Assumptions (T&amp;D)'!$B$100,Model!$AL$2672)</f>
        <v>-0.18982366211884244</v>
      </c>
      <c r="AW2762" s="377">
        <f>IPMT('Assumptions (T&amp;D)'!$B$97,Model!AH$1,'Assumptions (T&amp;D)'!$B$100,Model!$AL$2672)</f>
        <v>-0.15529836374209155</v>
      </c>
      <c r="AX2762" s="377">
        <f>IPMT('Assumptions (T&amp;D)'!$B$97,Model!AI$1,'Assumptions (T&amp;D)'!$B$100,Model!$AL$2672)</f>
        <v>-0.11913311369244488</v>
      </c>
      <c r="AY2762" s="377">
        <f>IPMT('Assumptions (T&amp;D)'!$B$97,Model!AJ$1,'Assumptions (T&amp;D)'!$B$100,Model!$AL$2672)</f>
        <v>-8.125001426544004E-2</v>
      </c>
      <c r="AZ2762" s="377">
        <f>IPMT('Assumptions (T&amp;D)'!$B$97,Model!AK$1,'Assumptions (T&amp;D)'!$B$100,Model!$AL$2672)</f>
        <v>-4.1567467615652477E-2</v>
      </c>
      <c r="BA2762" s="377"/>
      <c r="BB2762" s="377"/>
      <c r="BC2762" s="377"/>
      <c r="BD2762" s="377"/>
      <c r="BE2762" s="377"/>
      <c r="BF2762" s="377"/>
      <c r="BG2762" s="377"/>
      <c r="BH2762" s="377"/>
      <c r="BI2762" s="377"/>
      <c r="BJ2762" s="377"/>
    </row>
    <row r="2763" spans="1:68" ht="15.75" hidden="1" customHeight="1" outlineLevel="1">
      <c r="A2763" s="460"/>
      <c r="B2763" s="99"/>
      <c r="C2763" s="377"/>
      <c r="D2763" s="377"/>
      <c r="E2763" s="377"/>
      <c r="F2763" s="377"/>
      <c r="G2763" s="377"/>
      <c r="H2763" s="377"/>
      <c r="I2763" s="377"/>
      <c r="J2763" s="377"/>
      <c r="K2763" s="377"/>
      <c r="L2763" s="377"/>
      <c r="M2763" s="377"/>
      <c r="N2763" s="377"/>
      <c r="O2763" s="377"/>
      <c r="P2763" s="377"/>
      <c r="Q2763" s="377"/>
      <c r="R2763" s="377"/>
      <c r="S2763" s="42"/>
      <c r="T2763" s="42"/>
      <c r="U2763" s="42"/>
      <c r="V2763" s="42"/>
      <c r="W2763" s="86"/>
      <c r="AM2763" s="377">
        <f>IPMT('Assumptions (T&amp;D)'!$B$97,Model!W$1,'Assumptions (T&amp;D)'!$B$100,Model!$AM$2672)</f>
        <v>-0.46493568617742881</v>
      </c>
      <c r="AN2763" s="377">
        <f>IPMT('Assumptions (T&amp;D)'!$B$97,Model!X$1,'Assumptions (T&amp;D)'!$B$100,Model!$AM$2672)</f>
        <v>-0.44298089564803456</v>
      </c>
      <c r="AO2763" s="377">
        <f>IPMT('Assumptions (T&amp;D)'!$B$97,Model!Y$1,'Assumptions (T&amp;D)'!$B$100,Model!$AM$2672)</f>
        <v>-0.41998325256849406</v>
      </c>
      <c r="AP2763" s="377">
        <f>IPMT('Assumptions (T&amp;D)'!$B$97,Model!Z$1,'Assumptions (T&amp;D)'!$B$100,Model!$AM$2672)</f>
        <v>-0.39589322144267552</v>
      </c>
      <c r="AQ2763" s="377">
        <f>IPMT('Assumptions (T&amp;D)'!$B$97,Model!AA$1,'Assumptions (T&amp;D)'!$B$100,Model!$AM$2672)</f>
        <v>-0.37065891383838062</v>
      </c>
      <c r="AR2763" s="377">
        <f>IPMT('Assumptions (T&amp;D)'!$B$97,Model!AB$1,'Assumptions (T&amp;D)'!$B$100,Model!$AM$2672)</f>
        <v>-0.34422597662288162</v>
      </c>
      <c r="AS2763" s="377">
        <f>IPMT('Assumptions (T&amp;D)'!$B$97,Model!AC$1,'Assumptions (T&amp;D)'!$B$100,Model!$AM$2672)</f>
        <v>-0.31653747488964645</v>
      </c>
      <c r="AT2763" s="377">
        <f>IPMT('Assumptions (T&amp;D)'!$B$97,Model!AD$1,'Assumptions (T&amp;D)'!$B$100,Model!$AM$2672)</f>
        <v>-0.28753376932408264</v>
      </c>
      <c r="AU2763" s="377">
        <f>IPMT('Assumptions (T&amp;D)'!$B$97,Model!AE$1,'Assumptions (T&amp;D)'!$B$100,Model!$AM$2672)</f>
        <v>-0.25715238774415461</v>
      </c>
      <c r="AV2763" s="377">
        <f>IPMT('Assumptions (T&amp;D)'!$B$97,Model!AF$1,'Assumptions (T&amp;D)'!$B$100,Model!$AM$2672)</f>
        <v>-0.22532789053917987</v>
      </c>
      <c r="AW2763" s="377">
        <f>IPMT('Assumptions (T&amp;D)'!$B$97,Model!AG$1,'Assumptions (T&amp;D)'!$B$100,Model!$AM$2672)</f>
        <v>-0.1919917297169689</v>
      </c>
      <c r="AX2763" s="377">
        <f>IPMT('Assumptions (T&amp;D)'!$B$97,Model!AH$1,'Assumptions (T&amp;D)'!$B$100,Model!$AM$2672)</f>
        <v>-0.1570721012557029</v>
      </c>
      <c r="AY2763" s="377">
        <f>IPMT('Assumptions (T&amp;D)'!$B$97,Model!AI$1,'Assumptions (T&amp;D)'!$B$100,Model!$AM$2672)</f>
        <v>-0.12049379044252673</v>
      </c>
      <c r="AZ2763" s="377">
        <f>IPMT('Assumptions (T&amp;D)'!$B$97,Model!AJ$1,'Assumptions (T&amp;D)'!$B$100,Model!$AM$2672)</f>
        <v>-8.2178009865724724E-2</v>
      </c>
      <c r="BA2763" s="377">
        <f>IPMT('Assumptions (T&amp;D)'!$B$97,Model!AK$1,'Assumptions (T&amp;D)'!$B$100,Model!$AM$2672)</f>
        <v>-4.204222971152461E-2</v>
      </c>
      <c r="BB2763" s="377"/>
      <c r="BC2763" s="377"/>
      <c r="BD2763" s="377"/>
      <c r="BE2763" s="377"/>
      <c r="BF2763" s="377"/>
      <c r="BG2763" s="377"/>
      <c r="BH2763" s="377"/>
      <c r="BI2763" s="377"/>
      <c r="BJ2763" s="377"/>
      <c r="BK2763" s="377"/>
    </row>
    <row r="2764" spans="1:68" ht="15.75" hidden="1" customHeight="1" outlineLevel="1">
      <c r="A2764" s="460"/>
      <c r="B2764" s="99"/>
      <c r="C2764" s="377"/>
      <c r="D2764" s="377"/>
      <c r="E2764" s="377"/>
      <c r="F2764" s="377"/>
      <c r="G2764" s="377"/>
      <c r="H2764" s="377"/>
      <c r="I2764" s="377"/>
      <c r="J2764" s="377"/>
      <c r="K2764" s="377"/>
      <c r="L2764" s="377"/>
      <c r="M2764" s="377"/>
      <c r="N2764" s="377"/>
      <c r="O2764" s="377"/>
      <c r="P2764" s="377"/>
      <c r="Q2764" s="377"/>
      <c r="R2764" s="377"/>
      <c r="S2764" s="42"/>
      <c r="T2764" s="42"/>
      <c r="U2764" s="42"/>
      <c r="V2764" s="42"/>
      <c r="W2764" s="86"/>
      <c r="AN2764" s="377">
        <f>IPMT('Assumptions (T&amp;D)'!$B$97,Model!W$1,'Assumptions (T&amp;D)'!$B$100,Model!$AN$2672)</f>
        <v>-0.52226556686425896</v>
      </c>
      <c r="AO2764" s="377">
        <f>IPMT('Assumptions (T&amp;D)'!$B$97,Model!X$1,'Assumptions (T&amp;D)'!$B$100,Model!$AN$2672)</f>
        <v>-0.49760359433319284</v>
      </c>
      <c r="AP2764" s="377">
        <f>IPMT('Assumptions (T&amp;D)'!$B$97,Model!Y$1,'Assumptions (T&amp;D)'!$B$100,Model!$AN$2672)</f>
        <v>-0.47177017810690097</v>
      </c>
      <c r="AQ2764" s="377">
        <f>IPMT('Assumptions (T&amp;D)'!$B$97,Model!Z$1,'Assumptions (T&amp;D)'!$B$100,Model!$AN$2672)</f>
        <v>-0.44470967460986044</v>
      </c>
      <c r="AR2764" s="377">
        <f>IPMT('Assumptions (T&amp;D)'!$B$97,Model!AA$1,'Assumptions (T&amp;D)'!$B$100,Model!$AN$2672)</f>
        <v>-0.41636379719671046</v>
      </c>
      <c r="AS2764" s="377">
        <f>IPMT('Assumptions (T&amp;D)'!$B$97,Model!AB$1,'Assumptions (T&amp;D)'!$B$100,Model!$AN$2672)</f>
        <v>-0.38667149060643585</v>
      </c>
      <c r="AT2764" s="377">
        <f>IPMT('Assumptions (T&amp;D)'!$B$97,Model!AC$1,'Assumptions (T&amp;D)'!$B$100,Model!$AN$2672)</f>
        <v>-0.35556879945312314</v>
      </c>
      <c r="AU2764" s="377">
        <f>IPMT('Assumptions (T&amp;D)'!$B$97,Model!AD$1,'Assumptions (T&amp;D)'!$B$100,Model!$AN$2672)</f>
        <v>-0.32298873047002807</v>
      </c>
      <c r="AV2764" s="377">
        <f>IPMT('Assumptions (T&amp;D)'!$B$97,Model!AE$1,'Assumptions (T&amp;D)'!$B$100,Model!$AN$2672)</f>
        <v>-0.28886110821023608</v>
      </c>
      <c r="AW2764" s="377">
        <f>IPMT('Assumptions (T&amp;D)'!$B$97,Model!AF$1,'Assumptions (T&amp;D)'!$B$100,Model!$AN$2672)</f>
        <v>-0.2531124238931039</v>
      </c>
      <c r="AX2764" s="377">
        <f>IPMT('Assumptions (T&amp;D)'!$B$97,Model!AG$1,'Assumptions (T&amp;D)'!$B$100,Model!$AN$2672)</f>
        <v>-0.21566567707090795</v>
      </c>
      <c r="AY2764" s="377">
        <f>IPMT('Assumptions (T&amp;D)'!$B$97,Model!AH$1,'Assumptions (T&amp;D)'!$B$100,Model!$AN$2672)</f>
        <v>-0.17644020977465771</v>
      </c>
      <c r="AZ2764" s="377">
        <f>IPMT('Assumptions (T&amp;D)'!$B$97,Model!AI$1,'Assumptions (T&amp;D)'!$B$100,Model!$AN$2672)</f>
        <v>-0.13535153278183557</v>
      </c>
      <c r="BA2764" s="377">
        <f>IPMT('Assumptions (T&amp;D)'!$B$97,Model!AJ$1,'Assumptions (T&amp;D)'!$B$100,Model!$AN$2672)</f>
        <v>-9.2311143631854359E-2</v>
      </c>
      <c r="BB2764" s="377">
        <f>IPMT('Assumptions (T&amp;D)'!$B$97,Model!AK$1,'Assumptions (T&amp;D)'!$B$100,Model!$AN$2672)</f>
        <v>-4.7226335997249055E-2</v>
      </c>
      <c r="BC2764" s="377"/>
      <c r="BD2764" s="377"/>
      <c r="BE2764" s="377"/>
      <c r="BF2764" s="377"/>
      <c r="BG2764" s="377"/>
      <c r="BH2764" s="377"/>
      <c r="BI2764" s="377"/>
      <c r="BJ2764" s="377"/>
      <c r="BK2764" s="377"/>
      <c r="BL2764" s="377"/>
    </row>
    <row r="2765" spans="1:68" ht="15.75" hidden="1" customHeight="1" outlineLevel="1">
      <c r="A2765" s="460"/>
      <c r="B2765" s="99"/>
      <c r="C2765" s="377"/>
      <c r="D2765" s="377"/>
      <c r="E2765" s="377"/>
      <c r="F2765" s="377"/>
      <c r="G2765" s="377"/>
      <c r="H2765" s="377"/>
      <c r="I2765" s="377"/>
      <c r="J2765" s="377"/>
      <c r="K2765" s="377"/>
      <c r="L2765" s="377"/>
      <c r="M2765" s="377"/>
      <c r="N2765" s="377"/>
      <c r="O2765" s="377"/>
      <c r="P2765" s="377"/>
      <c r="Q2765" s="377"/>
      <c r="R2765" s="377"/>
      <c r="S2765" s="42"/>
      <c r="T2765" s="42"/>
      <c r="U2765" s="42"/>
      <c r="V2765" s="42"/>
      <c r="W2765" s="86"/>
      <c r="AO2765" s="377">
        <f>IPMT('Assumptions (T&amp;D)'!$B$97,Model!W$1,'Assumptions (T&amp;D)'!$B$100,Model!$AO$2672)</f>
        <v>-0.52274281263897115</v>
      </c>
      <c r="AP2765" s="377">
        <f>IPMT('Assumptions (T&amp;D)'!$B$97,Model!X$1,'Assumptions (T&amp;D)'!$B$100,Model!$AO$2672)</f>
        <v>-0.4980583040210303</v>
      </c>
      <c r="AQ2765" s="377">
        <f>IPMT('Assumptions (T&amp;D)'!$B$97,Model!Y$1,'Assumptions (T&amp;D)'!$B$100,Model!$AO$2672)</f>
        <v>-0.47220128124373728</v>
      </c>
      <c r="AR2765" s="377">
        <f>IPMT('Assumptions (T&amp;D)'!$B$97,Model!Z$1,'Assumptions (T&amp;D)'!$B$100,Model!$AO$2672)</f>
        <v>-0.44511604988452286</v>
      </c>
      <c r="AS2765" s="377">
        <f>IPMT('Assumptions (T&amp;D)'!$B$97,Model!AA$1,'Assumptions (T&amp;D)'!$B$100,Model!$AO$2672)</f>
        <v>-0.41674427003574582</v>
      </c>
      <c r="AT2765" s="377">
        <f>IPMT('Assumptions (T&amp;D)'!$B$97,Model!AB$1,'Assumptions (T&amp;D)'!$B$100,Model!$AO$2672)</f>
        <v>-0.38702483064415188</v>
      </c>
      <c r="AU2765" s="377">
        <f>IPMT('Assumptions (T&amp;D)'!$B$97,Model!AC$1,'Assumptions (T&amp;D)'!$B$100,Model!$AO$2672)</f>
        <v>-0.35589371788145713</v>
      </c>
      <c r="AV2765" s="377">
        <f>IPMT('Assumptions (T&amp;D)'!$B$97,Model!AD$1,'Assumptions (T&amp;D)'!$B$100,Model!$AO$2672)</f>
        <v>-0.32328387726253444</v>
      </c>
      <c r="AW2765" s="377">
        <f>IPMT('Assumptions (T&amp;D)'!$B$97,Model!AE$1,'Assumptions (T&amp;D)'!$B$100,Model!$AO$2672)</f>
        <v>-0.28912506921421294</v>
      </c>
      <c r="AX2765" s="377">
        <f>IPMT('Assumptions (T&amp;D)'!$B$97,Model!AF$1,'Assumptions (T&amp;D)'!$B$100,Model!$AO$2672)</f>
        <v>-0.2533437177835961</v>
      </c>
      <c r="AY2765" s="377">
        <f>IPMT('Assumptions (T&amp;D)'!$B$97,Model!AG$1,'Assumptions (T&amp;D)'!$B$100,Model!$AO$2672)</f>
        <v>-0.21586275216002501</v>
      </c>
      <c r="AZ2765" s="377">
        <f>IPMT('Assumptions (T&amp;D)'!$B$97,Model!AH$1,'Assumptions (T&amp;D)'!$B$100,Model!$AO$2672)</f>
        <v>-0.17660144066933431</v>
      </c>
      <c r="BA2765" s="377">
        <f>IPMT('Assumptions (T&amp;D)'!$B$97,Model!AI$1,'Assumptions (T&amp;D)'!$B$100,Model!$AO$2672)</f>
        <v>-0.13547521688283573</v>
      </c>
      <c r="BB2765" s="377">
        <f>IPMT('Assumptions (T&amp;D)'!$B$97,Model!AJ$1,'Assumptions (T&amp;D)'!$B$100,Model!$AO$2672)</f>
        <v>-9.2395497466478502E-2</v>
      </c>
      <c r="BC2765" s="377">
        <f>IPMT('Assumptions (T&amp;D)'!$B$97,Model!AK$1,'Assumptions (T&amp;D)'!$B$100,Model!$AO$2672)</f>
        <v>-4.7269491377844315E-2</v>
      </c>
      <c r="BD2765" s="377"/>
      <c r="BE2765" s="377"/>
      <c r="BF2765" s="377"/>
      <c r="BG2765" s="377"/>
      <c r="BH2765" s="377"/>
      <c r="BI2765" s="377"/>
      <c r="BJ2765" s="377"/>
      <c r="BK2765" s="377"/>
      <c r="BL2765" s="377"/>
      <c r="BM2765" s="377"/>
    </row>
    <row r="2766" spans="1:68" ht="15.75" hidden="1" customHeight="1" outlineLevel="1">
      <c r="A2766" s="460"/>
      <c r="B2766" s="99"/>
      <c r="C2766" s="377"/>
      <c r="D2766" s="377"/>
      <c r="E2766" s="377"/>
      <c r="F2766" s="377"/>
      <c r="G2766" s="377"/>
      <c r="H2766" s="377"/>
      <c r="I2766" s="377"/>
      <c r="J2766" s="377"/>
      <c r="K2766" s="377"/>
      <c r="L2766" s="377"/>
      <c r="M2766" s="377"/>
      <c r="N2766" s="377"/>
      <c r="O2766" s="377"/>
      <c r="P2766" s="377"/>
      <c r="Q2766" s="377"/>
      <c r="R2766" s="377"/>
      <c r="S2766" s="42"/>
      <c r="T2766" s="42"/>
      <c r="U2766" s="42"/>
      <c r="V2766" s="42"/>
      <c r="W2766" s="86"/>
      <c r="AP2766" s="377">
        <f>IPMT('Assumptions (T&amp;D)'!$B$97,Model!W$1,'Assumptions (T&amp;D)'!$B$100,Model!$AP$2672)</f>
        <v>-0.5025212388257887</v>
      </c>
      <c r="AQ2766" s="377">
        <f>IPMT('Assumptions (T&amp;D)'!$B$97,Model!X$1,'Assumptions (T&amp;D)'!$B$100,Model!$AP$2672)</f>
        <v>-0.47879161586287938</v>
      </c>
      <c r="AR2766" s="377">
        <f>IPMT('Assumptions (T&amp;D)'!$B$97,Model!Y$1,'Assumptions (T&amp;D)'!$B$100,Model!$AP$2672)</f>
        <v>-0.453934835809232</v>
      </c>
      <c r="AS2766" s="377">
        <f>IPMT('Assumptions (T&amp;D)'!$B$97,Model!Z$1,'Assumptions (T&amp;D)'!$B$100,Model!$AP$2672)</f>
        <v>-0.42789735870303636</v>
      </c>
      <c r="AT2766" s="377">
        <f>IPMT('Assumptions (T&amp;D)'!$B$97,Model!AA$1,'Assumptions (T&amp;D)'!$B$100,Model!$AP$2672)</f>
        <v>-0.40062310143429652</v>
      </c>
      <c r="AU2766" s="377">
        <f>IPMT('Assumptions (T&amp;D)'!$B$97,Model!AB$1,'Assumptions (T&amp;D)'!$B$100,Model!$AP$2672)</f>
        <v>-0.37205331694529142</v>
      </c>
      <c r="AV2766" s="377">
        <f>IPMT('Assumptions (T&amp;D)'!$B$97,Model!AC$1,'Assumptions (T&amp;D)'!$B$100,Model!$AP$2672)</f>
        <v>-0.3421264676930586</v>
      </c>
      <c r="AW2766" s="377">
        <f>IPMT('Assumptions (T&amp;D)'!$B$97,Model!AD$1,'Assumptions (T&amp;D)'!$B$100,Model!$AP$2672)</f>
        <v>-0.31077809310134474</v>
      </c>
      <c r="AX2766" s="377">
        <f>IPMT('Assumptions (T&amp;D)'!$B$97,Model!AE$1,'Assumptions (T&amp;D)'!$B$100,Model!$AP$2672)</f>
        <v>-0.27794067071652456</v>
      </c>
      <c r="AY2766" s="377">
        <f>IPMT('Assumptions (T&amp;D)'!$B$97,Model!AF$1,'Assumptions (T&amp;D)'!$B$100,Model!$AP$2672)</f>
        <v>-0.24354347076842531</v>
      </c>
      <c r="AZ2766" s="377">
        <f>IPMT('Assumptions (T&amp;D)'!$B$97,Model!AG$1,'Assumptions (T&amp;D)'!$B$100,Model!$AP$2672)</f>
        <v>-0.20751240382279137</v>
      </c>
      <c r="BA2766" s="377">
        <f>IPMT('Assumptions (T&amp;D)'!$B$97,Model!AH$1,'Assumptions (T&amp;D)'!$B$100,Model!$AP$2672)</f>
        <v>-0.16976986119723983</v>
      </c>
      <c r="BB2766" s="377">
        <f>IPMT('Assumptions (T&amp;D)'!$B$97,Model!AI$1,'Assumptions (T&amp;D)'!$B$100,Model!$AP$2672)</f>
        <v>-0.13023454779697455</v>
      </c>
      <c r="BC2766" s="377">
        <f>IPMT('Assumptions (T&amp;D)'!$B$97,Model!AJ$1,'Assumptions (T&amp;D)'!$B$100,Model!$AP$2672)</f>
        <v>-8.8821307010196707E-2</v>
      </c>
      <c r="BD2766" s="377">
        <f>IPMT('Assumptions (T&amp;D)'!$B$97,Model!AK$1,'Assumptions (T&amp;D)'!$B$100,Model!$AP$2672)</f>
        <v>-4.5440937286046909E-2</v>
      </c>
      <c r="BE2766" s="377"/>
      <c r="BF2766" s="377"/>
      <c r="BG2766" s="377"/>
      <c r="BH2766" s="377"/>
      <c r="BI2766" s="377"/>
      <c r="BJ2766" s="377"/>
      <c r="BK2766" s="377"/>
      <c r="BL2766" s="377"/>
      <c r="BM2766" s="377"/>
      <c r="BN2766" s="377"/>
    </row>
    <row r="2767" spans="1:68" ht="15.75" hidden="1" customHeight="1" outlineLevel="1">
      <c r="A2767" s="460"/>
      <c r="B2767" s="99"/>
      <c r="C2767" s="377"/>
      <c r="D2767" s="377"/>
      <c r="E2767" s="377"/>
      <c r="F2767" s="377"/>
      <c r="G2767" s="377"/>
      <c r="H2767" s="377"/>
      <c r="I2767" s="377"/>
      <c r="J2767" s="377"/>
      <c r="K2767" s="377"/>
      <c r="L2767" s="377"/>
      <c r="M2767" s="377"/>
      <c r="N2767" s="377"/>
      <c r="O2767" s="377"/>
      <c r="P2767" s="377"/>
      <c r="Q2767" s="377"/>
      <c r="R2767" s="377"/>
      <c r="S2767" s="42"/>
      <c r="T2767" s="42"/>
      <c r="U2767" s="42"/>
      <c r="V2767" s="42"/>
      <c r="W2767" s="86"/>
      <c r="AQ2767" s="377">
        <f>IPMT('Assumptions (T&amp;D)'!$B$97,Model!W$1,'Assumptions (T&amp;D)'!$B$100,Model!$AQ$2672)</f>
        <v>-0.54545801644970282</v>
      </c>
      <c r="AR2767" s="377">
        <f>IPMT('Assumptions (T&amp;D)'!$B$97,Model!X$1,'Assumptions (T&amp;D)'!$B$100,Model!$AQ$2672)</f>
        <v>-0.5197008701394451</v>
      </c>
      <c r="AS2767" s="377">
        <f>IPMT('Assumptions (T&amp;D)'!$B$97,Model!Y$1,'Assumptions (T&amp;D)'!$B$100,Model!$AQ$2672)</f>
        <v>-0.49272025937945008</v>
      </c>
      <c r="AT2767" s="377">
        <f>IPMT('Assumptions (T&amp;D)'!$B$97,Model!Z$1,'Assumptions (T&amp;D)'!$B$100,Model!$AQ$2672)</f>
        <v>-0.46445806960835556</v>
      </c>
      <c r="AU2767" s="377">
        <f>IPMT('Assumptions (T&amp;D)'!$B$97,Model!AA$1,'Assumptions (T&amp;D)'!$B$100,Model!$AQ$2672)</f>
        <v>-0.43485342582313385</v>
      </c>
      <c r="AV2767" s="377">
        <f>IPMT('Assumptions (T&amp;D)'!$B$97,Model!AB$1,'Assumptions (T&amp;D)'!$B$100,Model!$AQ$2672)</f>
        <v>-0.4038425614581142</v>
      </c>
      <c r="AW2767" s="377">
        <f>IPMT('Assumptions (T&amp;D)'!$B$97,Model!AC$1,'Assumptions (T&amp;D)'!$B$100,Model!$AQ$2672)</f>
        <v>-0.37135868103575614</v>
      </c>
      <c r="AX2767" s="377">
        <f>IPMT('Assumptions (T&amp;D)'!$B$97,Model!AD$1,'Assumptions (T&amp;D)'!$B$100,Model!$AQ$2672)</f>
        <v>-0.33733181629333603</v>
      </c>
      <c r="AY2767" s="377">
        <f>IPMT('Assumptions (T&amp;D)'!$B$97,Model!AE$1,'Assumptions (T&amp;D)'!$B$100,Model!$AQ$2672)</f>
        <v>-0.30168867547565104</v>
      </c>
      <c r="AZ2767" s="377">
        <f>IPMT('Assumptions (T&amp;D)'!$B$97,Model!AF$1,'Assumptions (T&amp;D)'!$B$100,Model!$AQ$2672)</f>
        <v>-0.26435248546912593</v>
      </c>
      <c r="BA2767" s="377">
        <f>IPMT('Assumptions (T&amp;D)'!$B$97,Model!AG$1,'Assumptions (T&amp;D)'!$B$100,Model!$AQ$2672)</f>
        <v>-0.22524282643729088</v>
      </c>
      <c r="BB2767" s="377">
        <f>IPMT('Assumptions (T&amp;D)'!$B$97,Model!AH$1,'Assumptions (T&amp;D)'!$B$100,Model!$AQ$2672)</f>
        <v>-0.18427545860144368</v>
      </c>
      <c r="BC2767" s="377">
        <f>IPMT('Assumptions (T&amp;D)'!$B$97,Model!AI$1,'Assumptions (T&amp;D)'!$B$100,Model!$AQ$2672)</f>
        <v>-0.14136214079339371</v>
      </c>
      <c r="BD2767" s="377">
        <f>IPMT('Assumptions (T&amp;D)'!$B$97,Model!AJ$1,'Assumptions (T&amp;D)'!$B$100,Model!$AQ$2672)</f>
        <v>-9.6410440389461366E-2</v>
      </c>
      <c r="BE2767" s="377">
        <f>IPMT('Assumptions (T&amp;D)'!$B$97,Model!AK$1,'Assumptions (T&amp;D)'!$B$100,Model!$AQ$2672)</f>
        <v>-4.9323534216342266E-2</v>
      </c>
      <c r="BF2767" s="377"/>
      <c r="BG2767" s="377"/>
      <c r="BH2767" s="377"/>
      <c r="BI2767" s="377"/>
      <c r="BJ2767" s="377"/>
      <c r="BK2767" s="377"/>
      <c r="BL2767" s="377"/>
      <c r="BM2767" s="377"/>
      <c r="BN2767" s="377"/>
      <c r="BO2767" s="377"/>
    </row>
    <row r="2768" spans="1:68" ht="15.75" hidden="1" customHeight="1" outlineLevel="1">
      <c r="A2768" s="460"/>
      <c r="B2768" s="99"/>
      <c r="C2768" s="377"/>
      <c r="D2768" s="377"/>
      <c r="E2768" s="377"/>
      <c r="F2768" s="377"/>
      <c r="G2768" s="377"/>
      <c r="H2768" s="377"/>
      <c r="I2768" s="377"/>
      <c r="J2768" s="377"/>
      <c r="K2768" s="377"/>
      <c r="L2768" s="377"/>
      <c r="M2768" s="377"/>
      <c r="N2768" s="377"/>
      <c r="O2768" s="377"/>
      <c r="P2768" s="377"/>
      <c r="Q2768" s="377"/>
      <c r="R2768" s="377"/>
      <c r="S2768" s="42"/>
      <c r="T2768" s="42"/>
      <c r="U2768" s="42"/>
      <c r="V2768" s="42"/>
      <c r="W2768" s="86"/>
      <c r="AR2768" s="377">
        <f>IPMT('Assumptions (T&amp;D)'!$B$97,Model!W$1,'Assumptions (T&amp;D)'!$B$100,Model!$AR$2672)</f>
        <v>-0.51121289641654544</v>
      </c>
      <c r="AS2768" s="377">
        <f>IPMT('Assumptions (T&amp;D)'!$B$97,Model!X$1,'Assumptions (T&amp;D)'!$B$100,Model!$AR$2672)</f>
        <v>-0.48707284352228974</v>
      </c>
      <c r="AT2768" s="377">
        <f>IPMT('Assumptions (T&amp;D)'!$B$97,Model!Y$1,'Assumptions (T&amp;D)'!$B$100,Model!$AR$2672)</f>
        <v>-0.46178613811555697</v>
      </c>
      <c r="AU2768" s="377">
        <f>IPMT('Assumptions (T&amp;D)'!$B$97,Model!Z$1,'Assumptions (T&amp;D)'!$B$100,Model!$AR$2672)</f>
        <v>-0.43529831420200449</v>
      </c>
      <c r="AV2768" s="377">
        <f>IPMT('Assumptions (T&amp;D)'!$B$97,Model!AA$1,'Assumptions (T&amp;D)'!$B$100,Model!$AR$2672)</f>
        <v>-0.40755231865255825</v>
      </c>
      <c r="AW2768" s="377">
        <f>IPMT('Assumptions (T&amp;D)'!$B$97,Model!AB$1,'Assumptions (T&amp;D)'!$B$100,Model!$AR$2672)</f>
        <v>-0.37848838831451331</v>
      </c>
      <c r="AX2768" s="377">
        <f>IPMT('Assumptions (T&amp;D)'!$B$97,Model!AC$1,'Assumptions (T&amp;D)'!$B$100,Model!$AR$2672)</f>
        <v>-0.34804392128541123</v>
      </c>
      <c r="AY2768" s="377">
        <f>IPMT('Assumptions (T&amp;D)'!$B$97,Model!AD$1,'Assumptions (T&amp;D)'!$B$100,Model!$AR$2672)</f>
        <v>-0.31615334207242685</v>
      </c>
      <c r="AZ2768" s="377">
        <f>IPMT('Assumptions (T&amp;D)'!$B$97,Model!AE$1,'Assumptions (T&amp;D)'!$B$100,Model!$AR$2672)</f>
        <v>-0.2827479603468257</v>
      </c>
      <c r="BA2768" s="377">
        <f>IPMT('Assumptions (T&amp;D)'!$B$97,Model!AF$1,'Assumptions (T&amp;D)'!$B$100,Model!$AR$2672)</f>
        <v>-0.24775582298925841</v>
      </c>
      <c r="BB2768" s="377">
        <f>IPMT('Assumptions (T&amp;D)'!$B$97,Model!AG$1,'Assumptions (T&amp;D)'!$B$100,Model!$AR$2672)</f>
        <v>-0.21110155910720674</v>
      </c>
      <c r="BC2768" s="377">
        <f>IPMT('Assumptions (T&amp;D)'!$B$97,Model!AH$1,'Assumptions (T&amp;D)'!$B$100,Model!$AR$2672)</f>
        <v>-0.17270621769075761</v>
      </c>
      <c r="BD2768" s="377">
        <f>IPMT('Assumptions (T&amp;D)'!$B$97,Model!AI$1,'Assumptions (T&amp;D)'!$B$100,Model!$AR$2672)</f>
        <v>-0.13248709755702712</v>
      </c>
      <c r="BE2768" s="377">
        <f>IPMT('Assumptions (T&amp;D)'!$B$97,Model!AJ$1,'Assumptions (T&amp;D)'!$B$100,Model!$AR$2672)</f>
        <v>-9.0357569216944447E-2</v>
      </c>
      <c r="BF2768" s="377">
        <f>IPMT('Assumptions (T&amp;D)'!$B$97,Model!AK$1,'Assumptions (T&amp;D)'!$B$100,Model!$AR$2672)</f>
        <v>-4.622688828070784E-2</v>
      </c>
      <c r="BG2768" s="377"/>
      <c r="BH2768" s="377"/>
      <c r="BI2768" s="377"/>
      <c r="BJ2768" s="377"/>
      <c r="BK2768" s="377"/>
      <c r="BL2768" s="377"/>
      <c r="BM2768" s="377"/>
      <c r="BN2768" s="377"/>
      <c r="BO2768" s="377"/>
      <c r="BP2768" s="377"/>
    </row>
    <row r="2769" spans="1:82" ht="15.75" hidden="1" customHeight="1" outlineLevel="1">
      <c r="A2769" s="460"/>
      <c r="B2769" s="99"/>
      <c r="C2769" s="377"/>
      <c r="D2769" s="377"/>
      <c r="E2769" s="377"/>
      <c r="F2769" s="377"/>
      <c r="G2769" s="377"/>
      <c r="H2769" s="377"/>
      <c r="I2769" s="377"/>
      <c r="J2769" s="377"/>
      <c r="K2769" s="377"/>
      <c r="L2769" s="377"/>
      <c r="M2769" s="377"/>
      <c r="N2769" s="377"/>
      <c r="O2769" s="377"/>
      <c r="P2769" s="377"/>
      <c r="Q2769" s="377"/>
      <c r="R2769" s="377"/>
      <c r="S2769" s="42"/>
      <c r="T2769" s="42"/>
      <c r="U2769" s="42"/>
      <c r="V2769" s="42"/>
      <c r="W2769" s="86"/>
      <c r="AS2769" s="377">
        <f>IPMT('Assumptions (T&amp;D)'!$B$97,Model!W$1,'Assumptions (T&amp;D)'!$B$100,Model!$AS$2672)</f>
        <v>-0.4928768628954493</v>
      </c>
      <c r="AT2769" s="377">
        <f>IPMT('Assumptions (T&amp;D)'!$B$97,Model!X$1,'Assumptions (T&amp;D)'!$B$100,Model!$AS$2672)</f>
        <v>-0.46960265830465553</v>
      </c>
      <c r="AU2769" s="377">
        <f>IPMT('Assumptions (T&amp;D)'!$B$97,Model!Y$1,'Assumptions (T&amp;D)'!$B$100,Model!$AS$2672)</f>
        <v>-0.44522292899579907</v>
      </c>
      <c r="AV2769" s="377">
        <f>IPMT('Assumptions (T&amp;D)'!$B$97,Model!Z$1,'Assumptions (T&amp;D)'!$B$100,Model!$AS$2672)</f>
        <v>-0.41968516254477206</v>
      </c>
      <c r="AW2769" s="377">
        <f>IPMT('Assumptions (T&amp;D)'!$B$97,Model!AA$1,'Assumptions (T&amp;D)'!$B$100,Model!$AS$2672)</f>
        <v>-0.39293435218732126</v>
      </c>
      <c r="AX2769" s="377">
        <f>IPMT('Assumptions (T&amp;D)'!$B$97,Model!AB$1,'Assumptions (T&amp;D)'!$B$100,Model!$AS$2672)</f>
        <v>-0.36491287833789149</v>
      </c>
      <c r="AY2769" s="377">
        <f>IPMT('Assumptions (T&amp;D)'!$B$97,Model!AC$1,'Assumptions (T&amp;D)'!$B$100,Model!$AS$2672)</f>
        <v>-0.33556038448061382</v>
      </c>
      <c r="AZ2769" s="377">
        <f>IPMT('Assumptions (T&amp;D)'!$B$97,Model!AD$1,'Assumptions (T&amp;D)'!$B$100,Model!$AS$2672)</f>
        <v>-0.30481364716511544</v>
      </c>
      <c r="BA2769" s="377">
        <f>IPMT('Assumptions (T&amp;D)'!$B$97,Model!AE$1,'Assumptions (T&amp;D)'!$B$100,Model!$AS$2672)</f>
        <v>-0.27260643982713101</v>
      </c>
      <c r="BB2769" s="377">
        <f>IPMT('Assumptions (T&amp;D)'!$B$97,Model!AF$1,'Assumptions (T&amp;D)'!$B$100,Model!$AS$2672)</f>
        <v>-0.23886939014059219</v>
      </c>
      <c r="BC2769" s="377">
        <f>IPMT('Assumptions (T&amp;D)'!$B$97,Model!AG$1,'Assumptions (T&amp;D)'!$B$100,Model!$AS$2672)</f>
        <v>-0.20352983059394283</v>
      </c>
      <c r="BD2769" s="377">
        <f>IPMT('Assumptions (T&amp;D)'!$B$97,Model!AH$1,'Assumptions (T&amp;D)'!$B$100,Model!$AS$2672)</f>
        <v>-0.16651164196882762</v>
      </c>
      <c r="BE2769" s="377">
        <f>IPMT('Assumptions (T&amp;D)'!$B$97,Model!AI$1,'Assumptions (T&amp;D)'!$B$100,Model!$AS$2672)</f>
        <v>-0.1277350893840194</v>
      </c>
      <c r="BF2769" s="377">
        <f>IPMT('Assumptions (T&amp;D)'!$B$97,Model!AJ$1,'Assumptions (T&amp;D)'!$B$100,Model!$AS$2672)</f>
        <v>-8.7116650551432792E-2</v>
      </c>
      <c r="BG2769" s="377">
        <f>IPMT('Assumptions (T&amp;D)'!$B$97,Model!AK$1,'Assumptions (T&amp;D)'!$B$100,Model!$AS$2672)</f>
        <v>-4.4568835874298336E-2</v>
      </c>
      <c r="BH2769" s="377"/>
      <c r="BI2769" s="377"/>
      <c r="BJ2769" s="377"/>
      <c r="BK2769" s="377"/>
      <c r="BL2769" s="377"/>
      <c r="BM2769" s="377"/>
      <c r="BN2769" s="377"/>
      <c r="BO2769" s="377"/>
      <c r="BP2769" s="377"/>
      <c r="BQ2769" s="377"/>
    </row>
    <row r="2770" spans="1:82" ht="15.75" hidden="1" customHeight="1" outlineLevel="1">
      <c r="A2770" s="460"/>
      <c r="B2770" s="99"/>
      <c r="C2770" s="377"/>
      <c r="D2770" s="377"/>
      <c r="E2770" s="377"/>
      <c r="F2770" s="377"/>
      <c r="G2770" s="377"/>
      <c r="H2770" s="377"/>
      <c r="I2770" s="377"/>
      <c r="J2770" s="377"/>
      <c r="K2770" s="377"/>
      <c r="L2770" s="377"/>
      <c r="M2770" s="377"/>
      <c r="N2770" s="377"/>
      <c r="O2770" s="377"/>
      <c r="P2770" s="377"/>
      <c r="Q2770" s="377"/>
      <c r="R2770" s="377"/>
      <c r="S2770" s="42"/>
      <c r="T2770" s="42"/>
      <c r="U2770" s="42"/>
      <c r="V2770" s="42"/>
      <c r="W2770" s="86"/>
      <c r="AT2770" s="377">
        <f>IPMT('Assumptions (T&amp;D)'!$B$97,Model!W$1,'Assumptions (T&amp;D)'!$B$100,Model!$AT$2672)</f>
        <v>-0.41167689772586685</v>
      </c>
      <c r="AU2770" s="377">
        <f>IPMT('Assumptions (T&amp;D)'!$B$97,Model!X$1,'Assumptions (T&amp;D)'!$B$100,Model!$AT$2672)</f>
        <v>-0.3922370476045039</v>
      </c>
      <c r="AV2770" s="377">
        <f>IPMT('Assumptions (T&amp;D)'!$B$97,Model!Y$1,'Assumptions (T&amp;D)'!$B$100,Model!$AT$2672)</f>
        <v>-0.37187380460237618</v>
      </c>
      <c r="AW2770" s="377">
        <f>IPMT('Assumptions (T&amp;D)'!$B$97,Model!Z$1,'Assumptions (T&amp;D)'!$B$100,Model!$AT$2672)</f>
        <v>-0.35054330755764757</v>
      </c>
      <c r="AX2770" s="377">
        <f>IPMT('Assumptions (T&amp;D)'!$B$97,Model!AA$1,'Assumptions (T&amp;D)'!$B$100,Model!$AT$2672)</f>
        <v>-0.32819961190329422</v>
      </c>
      <c r="AY2770" s="377">
        <f>IPMT('Assumptions (T&amp;D)'!$B$97,Model!AB$1,'Assumptions (T&amp;D)'!$B$100,Model!$AT$2672)</f>
        <v>-0.30479459070535908</v>
      </c>
      <c r="AZ2770" s="377">
        <f>IPMT('Assumptions (T&amp;D)'!$B$97,Model!AC$1,'Assumptions (T&amp;D)'!$B$100,Model!$AT$2672)</f>
        <v>-0.28027783100052212</v>
      </c>
      <c r="BA2770" s="377">
        <f>IPMT('Assumptions (T&amp;D)'!$B$97,Model!AD$1,'Assumptions (T&amp;D)'!$B$100,Model!$AT$2672)</f>
        <v>-0.25459652520970533</v>
      </c>
      <c r="BB2770" s="377">
        <f>IPMT('Assumptions (T&amp;D)'!$B$97,Model!AE$1,'Assumptions (T&amp;D)'!$B$100,Model!$AT$2672)</f>
        <v>-0.22769535739382477</v>
      </c>
      <c r="BC2770" s="377">
        <f>IPMT('Assumptions (T&amp;D)'!$B$97,Model!AF$1,'Assumptions (T&amp;D)'!$B$100,Model!$AT$2672)</f>
        <v>-0.19951638410668987</v>
      </c>
      <c r="BD2770" s="377">
        <f>IPMT('Assumptions (T&amp;D)'!$B$97,Model!AG$1,'Assumptions (T&amp;D)'!$B$100,Model!$AT$2672)</f>
        <v>-0.16999890958841604</v>
      </c>
      <c r="BE2770" s="377">
        <f>IPMT('Assumptions (T&amp;D)'!$B$97,Model!AH$1,'Assumptions (T&amp;D)'!$B$100,Model!$AT$2672)</f>
        <v>-0.13907935503052424</v>
      </c>
      <c r="BF2770" s="377">
        <f>IPMT('Assumptions (T&amp;D)'!$B$97,Model!AI$1,'Assumptions (T&amp;D)'!$B$100,Model!$AT$2672)</f>
        <v>-0.10669112163113253</v>
      </c>
      <c r="BG2770" s="377">
        <f>IPMT('Assumptions (T&amp;D)'!$B$97,Model!AJ$1,'Assumptions (T&amp;D)'!$B$100,Model!$AT$2672)</f>
        <v>-7.2764447145269751E-2</v>
      </c>
      <c r="BH2770" s="377">
        <f>IPMT('Assumptions (T&amp;D)'!$B$97,Model!AK$1,'Assumptions (T&amp;D)'!$B$100,Model!$AT$2672)</f>
        <v>-3.7226255621328475E-2</v>
      </c>
      <c r="BI2770" s="377"/>
      <c r="BJ2770" s="377"/>
      <c r="BK2770" s="377"/>
      <c r="BL2770" s="377"/>
      <c r="BM2770" s="377"/>
      <c r="BN2770" s="377"/>
      <c r="BO2770" s="377"/>
      <c r="BP2770" s="377"/>
      <c r="BQ2770" s="377"/>
      <c r="BR2770" s="377"/>
    </row>
    <row r="2771" spans="1:82" ht="15.75" hidden="1" customHeight="1" outlineLevel="1">
      <c r="A2771" s="460"/>
      <c r="B2771" s="99"/>
      <c r="C2771" s="377"/>
      <c r="D2771" s="377"/>
      <c r="E2771" s="377"/>
      <c r="F2771" s="377"/>
      <c r="G2771" s="377"/>
      <c r="H2771" s="377"/>
      <c r="I2771" s="377"/>
      <c r="J2771" s="377"/>
      <c r="K2771" s="377"/>
      <c r="L2771" s="377"/>
      <c r="M2771" s="377"/>
      <c r="N2771" s="377"/>
      <c r="O2771" s="377"/>
      <c r="P2771" s="377"/>
      <c r="Q2771" s="377"/>
      <c r="R2771" s="377"/>
      <c r="S2771" s="42"/>
      <c r="T2771" s="42"/>
      <c r="U2771" s="42"/>
      <c r="V2771" s="42"/>
      <c r="W2771" s="86"/>
      <c r="AU2771" s="377">
        <f>IPMT('Assumptions (T&amp;D)'!$B$97,Model!W$1,'Assumptions (T&amp;D)'!$B$100,Model!$AU$2672)</f>
        <v>-0.41168058419545467</v>
      </c>
      <c r="AV2771" s="377">
        <f>IPMT('Assumptions (T&amp;D)'!$B$97,Model!X$1,'Assumptions (T&amp;D)'!$B$100,Model!$AU$2672)</f>
        <v>-0.39224055999481583</v>
      </c>
      <c r="AW2771" s="377">
        <f>IPMT('Assumptions (T&amp;D)'!$B$97,Model!Y$1,'Assumptions (T&amp;D)'!$B$100,Model!$AU$2672)</f>
        <v>-0.37187713464464656</v>
      </c>
      <c r="AX2771" s="377">
        <f>IPMT('Assumptions (T&amp;D)'!$B$97,Model!Z$1,'Assumptions (T&amp;D)'!$B$100,Model!$AU$2672)</f>
        <v>-0.3505464465903444</v>
      </c>
      <c r="AY2771" s="377">
        <f>IPMT('Assumptions (T&amp;D)'!$B$97,Model!AA$1,'Assumptions (T&amp;D)'!$B$100,Model!$AU$2672)</f>
        <v>-0.32820255085346289</v>
      </c>
      <c r="AZ2771" s="377">
        <f>IPMT('Assumptions (T&amp;D)'!$B$97,Model!AB$1,'Assumptions (T&amp;D)'!$B$100,Model!$AU$2672)</f>
        <v>-0.30479732006907945</v>
      </c>
      <c r="BA2771" s="377">
        <f>IPMT('Assumptions (T&amp;D)'!$B$97,Model!AC$1,'Assumptions (T&amp;D)'!$B$100,Model!$AU$2672)</f>
        <v>-0.28028034082243786</v>
      </c>
      <c r="BB2771" s="377">
        <f>IPMT('Assumptions (T&amp;D)'!$B$97,Model!AD$1,'Assumptions (T&amp;D)'!$B$100,Model!$AU$2672)</f>
        <v>-0.25459880506158072</v>
      </c>
      <c r="BC2771" s="377">
        <f>IPMT('Assumptions (T&amp;D)'!$B$97,Model!AE$1,'Assumptions (T&amp;D)'!$B$100,Model!$AU$2672)</f>
        <v>-0.22769739635208291</v>
      </c>
      <c r="BD2771" s="377">
        <f>IPMT('Assumptions (T&amp;D)'!$B$97,Model!AF$1,'Assumptions (T&amp;D)'!$B$100,Model!$AU$2672)</f>
        <v>-0.19951817072888395</v>
      </c>
      <c r="BE2771" s="377">
        <f>IPMT('Assumptions (T&amp;D)'!$B$97,Model!AG$1,'Assumptions (T&amp;D)'!$B$100,Model!$AU$2672)</f>
        <v>-0.17000043188858305</v>
      </c>
      <c r="BF2771" s="377">
        <f>IPMT('Assumptions (T&amp;D)'!$B$97,Model!AH$1,'Assumptions (T&amp;D)'!$B$100,Model!$AU$2672)</f>
        <v>-0.13908060045336784</v>
      </c>
      <c r="BG2771" s="377">
        <f>IPMT('Assumptions (T&amp;D)'!$B$97,Model!AI$1,'Assumptions (T&amp;D)'!$B$100,Model!$AU$2672)</f>
        <v>-0.10669207702497988</v>
      </c>
      <c r="BH2771" s="377">
        <f>IPMT('Assumptions (T&amp;D)'!$B$97,Model!AJ$1,'Assumptions (T&amp;D)'!$B$100,Model!$AU$2672)</f>
        <v>-7.2765098733743511E-2</v>
      </c>
      <c r="BI2771" s="377">
        <f>IPMT('Assumptions (T&amp;D)'!$B$97,Model!AK$1,'Assumptions (T&amp;D)'!$B$100,Model!$AU$2672)</f>
        <v>-3.7226588973673418E-2</v>
      </c>
      <c r="BJ2771" s="377"/>
      <c r="BK2771" s="377"/>
      <c r="BL2771" s="377"/>
      <c r="BM2771" s="377"/>
      <c r="BN2771" s="377"/>
      <c r="BO2771" s="377"/>
      <c r="BP2771" s="377"/>
      <c r="BQ2771" s="377"/>
      <c r="BR2771" s="377"/>
      <c r="BS2771" s="377"/>
    </row>
    <row r="2772" spans="1:82" ht="15.75" hidden="1" customHeight="1" outlineLevel="1">
      <c r="A2772" s="460"/>
      <c r="B2772" s="99"/>
      <c r="C2772" s="377"/>
      <c r="D2772" s="377"/>
      <c r="E2772" s="377"/>
      <c r="F2772" s="377"/>
      <c r="G2772" s="377"/>
      <c r="H2772" s="377"/>
      <c r="I2772" s="377"/>
      <c r="J2772" s="377"/>
      <c r="K2772" s="377"/>
      <c r="L2772" s="377"/>
      <c r="M2772" s="377"/>
      <c r="N2772" s="377"/>
      <c r="O2772" s="377"/>
      <c r="P2772" s="377"/>
      <c r="Q2772" s="377"/>
      <c r="R2772" s="377"/>
      <c r="S2772" s="42"/>
      <c r="T2772" s="42"/>
      <c r="U2772" s="42"/>
      <c r="V2772" s="42"/>
      <c r="W2772" s="86"/>
      <c r="AV2772" s="377">
        <f>IPMT('Assumptions (T&amp;D)'!$B$97,Model!W$1,'Assumptions (T&amp;D)'!$B$100,Model!$AV$2672)</f>
        <v>-0.41168571411418847</v>
      </c>
      <c r="AW2772" s="377">
        <f>IPMT('Assumptions (T&amp;D)'!$B$97,Model!X$1,'Assumptions (T&amp;D)'!$B$100,Model!$AV$2672)</f>
        <v>-0.3922454476729676</v>
      </c>
      <c r="AX2772" s="377">
        <f>IPMT('Assumptions (T&amp;D)'!$B$97,Model!Y$1,'Assumptions (T&amp;D)'!$B$100,Model!$AV$2672)</f>
        <v>-0.3718817685757887</v>
      </c>
      <c r="AY2772" s="377">
        <f>IPMT('Assumptions (T&amp;D)'!$B$97,Model!Z$1,'Assumptions (T&amp;D)'!$B$100,Model!$AV$2672)</f>
        <v>-0.35055081472149391</v>
      </c>
      <c r="AZ2772" s="377">
        <f>IPMT('Assumptions (T&amp;D)'!$B$97,Model!AA$1,'Assumptions (T&amp;D)'!$B$100,Model!$AV$2672)</f>
        <v>-0.32820664055912002</v>
      </c>
      <c r="BA2772" s="377">
        <f>IPMT('Assumptions (T&amp;D)'!$B$97,Model!AB$1,'Assumptions (T&amp;D)'!$B$100,Model!$AV$2672)</f>
        <v>-0.30480111812403343</v>
      </c>
      <c r="BB2772" s="377">
        <f>IPMT('Assumptions (T&amp;D)'!$B$97,Model!AC$1,'Assumptions (T&amp;D)'!$B$100,Model!$AV$2672)</f>
        <v>-0.28028383337328017</v>
      </c>
      <c r="BC2772" s="377">
        <f>IPMT('Assumptions (T&amp;D)'!$B$97,Model!AD$1,'Assumptions (T&amp;D)'!$B$100,Model!$AV$2672)</f>
        <v>-0.25460197759686615</v>
      </c>
      <c r="BD2772" s="377">
        <f>IPMT('Assumptions (T&amp;D)'!$B$97,Model!AE$1,'Assumptions (T&amp;D)'!$B$100,Model!$AV$2672)</f>
        <v>-0.22770023367107253</v>
      </c>
      <c r="BE2772" s="377">
        <f>IPMT('Assumptions (T&amp;D)'!$B$97,Model!AF$1,'Assumptions (T&amp;D)'!$B$100,Model!$AV$2672)</f>
        <v>-0.19952065690880369</v>
      </c>
      <c r="BF2772" s="377">
        <f>IPMT('Assumptions (T&amp;D)'!$B$97,Model!AG$1,'Assumptions (T&amp;D)'!$B$100,Model!$AV$2672)</f>
        <v>-0.17000255025032704</v>
      </c>
      <c r="BG2772" s="377">
        <f>IPMT('Assumptions (T&amp;D)'!$B$97,Model!AH$1,'Assumptions (T&amp;D)'!$B$100,Model!$AV$2672)</f>
        <v>-0.13908233352557278</v>
      </c>
      <c r="BH2772" s="377">
        <f>IPMT('Assumptions (T&amp;D)'!$B$97,Model!AI$1,'Assumptions (T&amp;D)'!$B$100,Model!$AV$2672)</f>
        <v>-0.10669340650639264</v>
      </c>
      <c r="BI2772" s="377">
        <f>IPMT('Assumptions (T&amp;D)'!$B$97,Model!AJ$1,'Assumptions (T&amp;D)'!$B$100,Model!$AV$2672)</f>
        <v>-7.2766005453801477E-2</v>
      </c>
      <c r="BJ2772" s="377">
        <f>IPMT('Assumptions (T&amp;D)'!$B$97,Model!AK$1,'Assumptions (T&amp;D)'!$B$100,Model!$AV$2672)</f>
        <v>-3.7227052851212229E-2</v>
      </c>
      <c r="BK2772" s="377"/>
      <c r="BL2772" s="377"/>
      <c r="BM2772" s="377"/>
      <c r="BN2772" s="377"/>
      <c r="BO2772" s="377"/>
      <c r="BP2772" s="377"/>
      <c r="BQ2772" s="377"/>
      <c r="BR2772" s="377"/>
      <c r="BS2772" s="377"/>
      <c r="BT2772" s="377"/>
    </row>
    <row r="2773" spans="1:82" ht="15.75" hidden="1" customHeight="1" outlineLevel="1">
      <c r="A2773" s="460"/>
      <c r="B2773" s="99"/>
      <c r="C2773" s="377"/>
      <c r="D2773" s="377"/>
      <c r="E2773" s="377"/>
      <c r="F2773" s="377"/>
      <c r="G2773" s="377"/>
      <c r="H2773" s="377"/>
      <c r="I2773" s="377"/>
      <c r="J2773" s="377"/>
      <c r="K2773" s="377"/>
      <c r="L2773" s="377"/>
      <c r="M2773" s="377"/>
      <c r="N2773" s="377"/>
      <c r="O2773" s="377"/>
      <c r="P2773" s="377"/>
      <c r="Q2773" s="377"/>
      <c r="R2773" s="377"/>
      <c r="S2773" s="42"/>
      <c r="T2773" s="42"/>
      <c r="U2773" s="42"/>
      <c r="V2773" s="42"/>
      <c r="W2773" s="86"/>
      <c r="AW2773" s="377">
        <f>IPMT('Assumptions (T&amp;D)'!$B$97,Model!W$1,'Assumptions (T&amp;D)'!$B$100,Model!$AW$2672)</f>
        <v>-0.41168642132157501</v>
      </c>
      <c r="AX2773" s="377">
        <f>IPMT('Assumptions (T&amp;D)'!$B$97,Model!X$1,'Assumptions (T&amp;D)'!$B$100,Model!$AW$2672)</f>
        <v>-0.39224612148521903</v>
      </c>
      <c r="AY2773" s="377">
        <f>IPMT('Assumptions (T&amp;D)'!$B$97,Model!Y$1,'Assumptions (T&amp;D)'!$B$100,Model!$AW$2672)</f>
        <v>-0.37188240740663614</v>
      </c>
      <c r="AZ2773" s="377">
        <f>IPMT('Assumptions (T&amp;D)'!$B$97,Model!Z$1,'Assumptions (T&amp;D)'!$B$100,Model!$AW$2672)</f>
        <v>-0.35055141690932068</v>
      </c>
      <c r="BA2773" s="377">
        <f>IPMT('Assumptions (T&amp;D)'!$B$97,Model!AA$1,'Assumptions (T&amp;D)'!$B$100,Model!$AW$2672)</f>
        <v>-0.32820720436338269</v>
      </c>
      <c r="BB2773" s="377">
        <f>IPMT('Assumptions (T&amp;D)'!$B$97,Model!AB$1,'Assumptions (T&amp;D)'!$B$100,Model!$AW$2672)</f>
        <v>-0.30480164172151264</v>
      </c>
      <c r="BC2773" s="377">
        <f>IPMT('Assumptions (T&amp;D)'!$B$97,Model!AC$1,'Assumptions (T&amp;D)'!$B$100,Model!$AW$2672)</f>
        <v>-0.28028431485415373</v>
      </c>
      <c r="BD2773" s="377">
        <f>IPMT('Assumptions (T&amp;D)'!$B$97,Model!AD$1,'Assumptions (T&amp;D)'!$B$100,Model!$AW$2672)</f>
        <v>-0.25460241496059532</v>
      </c>
      <c r="BE2773" s="377">
        <f>IPMT('Assumptions (T&amp;D)'!$B$97,Model!AE$1,'Assumptions (T&amp;D)'!$B$100,Model!$AW$2672)</f>
        <v>-0.22770062482209294</v>
      </c>
      <c r="BF2773" s="377">
        <f>IPMT('Assumptions (T&amp;D)'!$B$97,Model!AF$1,'Assumptions (T&amp;D)'!$B$100,Model!$AW$2672)</f>
        <v>-0.19952099965201162</v>
      </c>
      <c r="BG2773" s="377">
        <f>IPMT('Assumptions (T&amp;D)'!$B$97,Model!AG$1,'Assumptions (T&amp;D)'!$B$100,Model!$AW$2672)</f>
        <v>-0.17000284228635146</v>
      </c>
      <c r="BH2773" s="377">
        <f>IPMT('Assumptions (T&amp;D)'!$B$97,Model!AH$1,'Assumptions (T&amp;D)'!$B$100,Model!$AW$2672)</f>
        <v>-0.13908257244582242</v>
      </c>
      <c r="BI2773" s="377">
        <f>IPMT('Assumptions (T&amp;D)'!$B$97,Model!AI$1,'Assumptions (T&amp;D)'!$B$100,Model!$AW$2672)</f>
        <v>-0.10669358978786825</v>
      </c>
      <c r="BJ2773" s="377">
        <f>IPMT('Assumptions (T&amp;D)'!$B$97,Model!AJ$1,'Assumptions (T&amp;D)'!$B$100,Model!$AW$2672)</f>
        <v>-7.2766130453661274E-2</v>
      </c>
      <c r="BK2773" s="377">
        <f>IPMT('Assumptions (T&amp;D)'!$B$97,Model!AK$1,'Assumptions (T&amp;D)'!$B$100,Model!$AW$2672)</f>
        <v>-3.722711680107945E-2</v>
      </c>
      <c r="BL2773" s="377"/>
      <c r="BM2773" s="377"/>
      <c r="BN2773" s="377"/>
      <c r="BO2773" s="377"/>
      <c r="BP2773" s="377"/>
      <c r="BQ2773" s="377"/>
      <c r="BR2773" s="377"/>
      <c r="BS2773" s="377"/>
      <c r="BT2773" s="377"/>
      <c r="BU2773" s="377"/>
    </row>
    <row r="2774" spans="1:82" ht="15.75" hidden="1" customHeight="1" outlineLevel="1">
      <c r="A2774" s="460"/>
      <c r="B2774" s="99"/>
      <c r="C2774" s="377"/>
      <c r="D2774" s="377"/>
      <c r="E2774" s="377"/>
      <c r="F2774" s="377"/>
      <c r="G2774" s="377"/>
      <c r="H2774" s="377"/>
      <c r="I2774" s="377"/>
      <c r="J2774" s="377"/>
      <c r="K2774" s="377"/>
      <c r="L2774" s="377"/>
      <c r="M2774" s="377"/>
      <c r="N2774" s="377"/>
      <c r="O2774" s="377"/>
      <c r="P2774" s="377"/>
      <c r="Q2774" s="377"/>
      <c r="R2774" s="377"/>
      <c r="S2774" s="42"/>
      <c r="T2774" s="42"/>
      <c r="U2774" s="42"/>
      <c r="V2774" s="42"/>
      <c r="W2774" s="86"/>
      <c r="AW2774" s="377"/>
      <c r="AX2774" s="377">
        <f>IPMT('Assumptions (T&amp;D)'!$B$97,Model!W$1,'Assumptions (T&amp;D)'!$B$100,Model!$AX$2672)</f>
        <v>-0.41168404679287351</v>
      </c>
      <c r="AY2774" s="377">
        <f>IPMT('Assumptions (T&amp;D)'!$B$97,Model!X$1,'Assumptions (T&amp;D)'!$B$100,Model!$AX$2672)</f>
        <v>-0.39224385908445653</v>
      </c>
      <c r="AZ2774" s="377">
        <f>IPMT('Assumptions (T&amp;D)'!$B$97,Model!Y$1,'Assumptions (T&amp;D)'!$B$100,Model!$AX$2672)</f>
        <v>-0.37188026245988975</v>
      </c>
      <c r="BA2774" s="377">
        <f>IPMT('Assumptions (T&amp;D)'!$B$97,Model!Z$1,'Assumptions (T&amp;D)'!$B$100,Model!$AX$2672)</f>
        <v>-0.35054939499565613</v>
      </c>
      <c r="BB2774" s="377">
        <f>IPMT('Assumptions (T&amp;D)'!$B$97,Model!AA$1,'Assumptions (T&amp;D)'!$B$100,Model!$AX$2672)</f>
        <v>-0.32820531132687136</v>
      </c>
      <c r="BC2774" s="377">
        <f>IPMT('Assumptions (T&amp;D)'!$B$97,Model!AB$1,'Assumptions (T&amp;D)'!$B$100,Model!$AX$2672)</f>
        <v>-0.30479988368381933</v>
      </c>
      <c r="BD2774" s="377">
        <f>IPMT('Assumptions (T&amp;D)'!$B$97,Model!AC$1,'Assumptions (T&amp;D)'!$B$100,Model!$AX$2672)</f>
        <v>-0.28028269822772228</v>
      </c>
      <c r="BE2774" s="377">
        <f>IPMT('Assumptions (T&amp;D)'!$B$97,Model!AD$1,'Assumptions (T&amp;D)'!$B$100,Model!$AX$2672)</f>
        <v>-0.25460094646246068</v>
      </c>
      <c r="BF2774" s="377">
        <f>IPMT('Assumptions (T&amp;D)'!$B$97,Model!AE$1,'Assumptions (T&amp;D)'!$B$100,Model!$AX$2672)</f>
        <v>-0.22769931148834913</v>
      </c>
      <c r="BG2774" s="377">
        <f>IPMT('Assumptions (T&amp;D)'!$B$97,Model!AF$1,'Assumptions (T&amp;D)'!$B$100,Model!$AX$2672)</f>
        <v>-0.19951984885296728</v>
      </c>
      <c r="BH2774" s="377">
        <f>IPMT('Assumptions (T&amp;D)'!$B$97,Model!AG$1,'Assumptions (T&amp;D)'!$B$100,Model!$AX$2672)</f>
        <v>-0.17000186174240484</v>
      </c>
      <c r="BI2774" s="377">
        <f>IPMT('Assumptions (T&amp;D)'!$B$97,Model!AH$1,'Assumptions (T&amp;D)'!$B$100,Model!$AX$2672)</f>
        <v>-0.13908177024409063</v>
      </c>
      <c r="BJ2774" s="377">
        <f>IPMT('Assumptions (T&amp;D)'!$B$97,Model!AI$1,'Assumptions (T&amp;D)'!$B$100,Model!$AX$2672)</f>
        <v>-0.10669297439960647</v>
      </c>
      <c r="BK2774" s="377">
        <f>IPMT('Assumptions (T&amp;D)'!$B$97,Model!AJ$1,'Assumptions (T&amp;D)'!$B$100,Model!$AX$2672)</f>
        <v>-7.2765710752509344E-2</v>
      </c>
      <c r="BL2774" s="377">
        <f>IPMT('Assumptions (T&amp;D)'!$B$97,Model!AK$1,'Assumptions (T&amp;D)'!$B$100,Model!$AX$2672)</f>
        <v>-3.7226902082175113E-2</v>
      </c>
      <c r="BM2774" s="377"/>
      <c r="BN2774" s="377"/>
      <c r="BO2774" s="377"/>
      <c r="BP2774" s="377"/>
      <c r="BQ2774" s="377"/>
      <c r="BR2774" s="377"/>
      <c r="BS2774" s="377"/>
      <c r="BT2774" s="377"/>
      <c r="BU2774" s="377"/>
      <c r="BV2774" s="377"/>
    </row>
    <row r="2775" spans="1:82" ht="15.75" hidden="1" customHeight="1" outlineLevel="1">
      <c r="A2775" s="460"/>
      <c r="B2775" s="99"/>
      <c r="C2775" s="377"/>
      <c r="D2775" s="377"/>
      <c r="E2775" s="377"/>
      <c r="F2775" s="377"/>
      <c r="G2775" s="377"/>
      <c r="H2775" s="377"/>
      <c r="I2775" s="377"/>
      <c r="J2775" s="377"/>
      <c r="K2775" s="377"/>
      <c r="L2775" s="377"/>
      <c r="M2775" s="377"/>
      <c r="N2775" s="377"/>
      <c r="O2775" s="377"/>
      <c r="P2775" s="377"/>
      <c r="Q2775" s="377"/>
      <c r="R2775" s="377"/>
      <c r="S2775" s="42"/>
      <c r="T2775" s="42"/>
      <c r="U2775" s="42"/>
      <c r="V2775" s="42"/>
      <c r="W2775" s="86"/>
      <c r="AW2775" s="377"/>
      <c r="AX2775" s="377"/>
      <c r="AY2775" s="377">
        <f>IPMT('Assumptions (T&amp;D)'!$B$97,Model!W$1,'Assumptions (T&amp;D)'!$B$100,Model!$AY$2672)</f>
        <v>-0.41168252651491477</v>
      </c>
      <c r="AZ2775" s="377">
        <f>IPMT('Assumptions (T&amp;D)'!$B$97,Model!X$1,'Assumptions (T&amp;D)'!$B$100,Model!$AY$2672)</f>
        <v>-0.3922424105957476</v>
      </c>
      <c r="BA2775" s="377">
        <f>IPMT('Assumptions (T&amp;D)'!$B$97,Model!Y$1,'Assumptions (T&amp;D)'!$B$100,Model!$AY$2672)</f>
        <v>-0.37187888917042</v>
      </c>
      <c r="BB2775" s="377">
        <f>IPMT('Assumptions (T&amp;D)'!$B$97,Model!Z$1,'Assumptions (T&amp;D)'!$B$100,Model!$AY$2672)</f>
        <v>-0.35054810047738943</v>
      </c>
      <c r="BC2775" s="377">
        <f>IPMT('Assumptions (T&amp;D)'!$B$97,Model!AA$1,'Assumptions (T&amp;D)'!$B$100,Model!$AY$2672)</f>
        <v>-0.3282040993214399</v>
      </c>
      <c r="BD2775" s="377">
        <f>IPMT('Assumptions (T&amp;D)'!$B$97,Model!AB$1,'Assumptions (T&amp;D)'!$B$100,Model!$AY$2672)</f>
        <v>-0.30479875811058271</v>
      </c>
      <c r="BE2775" s="377">
        <f>IPMT('Assumptions (T&amp;D)'!$B$97,Model!AC$1,'Assumptions (T&amp;D)'!$B$100,Model!$AY$2672)</f>
        <v>-0.28028166319220987</v>
      </c>
      <c r="BF2775" s="377">
        <f>IPMT('Assumptions (T&amp;D)'!$B$97,Model!AD$1,'Assumptions (T&amp;D)'!$B$100,Model!$AY$2672)</f>
        <v>-0.25460000626521423</v>
      </c>
      <c r="BG2775" s="377">
        <f>IPMT('Assumptions (T&amp;D)'!$B$97,Model!AE$1,'Assumptions (T&amp;D)'!$B$100,Model!$AY$2672)</f>
        <v>-0.22769847063418644</v>
      </c>
      <c r="BH2775" s="377">
        <f>IPMT('Assumptions (T&amp;D)'!$B$97,Model!AF$1,'Assumptions (T&amp;D)'!$B$100,Model!$AY$2672)</f>
        <v>-0.19951911206068468</v>
      </c>
      <c r="BI2775" s="377">
        <f>IPMT('Assumptions (T&amp;D)'!$B$97,Model!AG$1,'Assumptions (T&amp;D)'!$B$100,Model!$AY$2672)</f>
        <v>-0.17000123395494166</v>
      </c>
      <c r="BJ2775" s="377">
        <f>IPMT('Assumptions (T&amp;D)'!$B$97,Model!AH$1,'Assumptions (T&amp;D)'!$B$100,Model!$AY$2672)</f>
        <v>-0.13908125663917587</v>
      </c>
      <c r="BK2775" s="377">
        <f>IPMT('Assumptions (T&amp;D)'!$B$97,Model!AI$1,'Assumptions (T&amp;D)'!$B$100,Model!$AY$2672)</f>
        <v>-0.10669258040091112</v>
      </c>
      <c r="BL2775" s="377">
        <f>IPMT('Assumptions (T&amp;D)'!$B$97,Model!AJ$1,'Assumptions (T&amp;D)'!$B$100,Model!$AY$2672)</f>
        <v>-7.2765442041328843E-2</v>
      </c>
      <c r="BM2775" s="377">
        <f>IPMT('Assumptions (T&amp;D)'!$B$97,Model!AK$1,'Assumptions (T&amp;D)'!$B$100,Model!$AY$2672)</f>
        <v>-3.7226764609666403E-2</v>
      </c>
      <c r="BN2775" s="377"/>
      <c r="BO2775" s="377"/>
      <c r="BP2775" s="377"/>
      <c r="BQ2775" s="377"/>
      <c r="BR2775" s="377"/>
      <c r="BS2775" s="377"/>
      <c r="BT2775" s="377"/>
      <c r="BU2775" s="377"/>
      <c r="BV2775" s="377"/>
      <c r="BW2775" s="377"/>
    </row>
    <row r="2776" spans="1:82" ht="15.75" hidden="1" customHeight="1" outlineLevel="1">
      <c r="A2776" s="460"/>
      <c r="B2776" s="99"/>
      <c r="C2776" s="377"/>
      <c r="D2776" s="377"/>
      <c r="E2776" s="377"/>
      <c r="F2776" s="377"/>
      <c r="G2776" s="377"/>
      <c r="H2776" s="377"/>
      <c r="I2776" s="377"/>
      <c r="J2776" s="377"/>
      <c r="K2776" s="377"/>
      <c r="L2776" s="377"/>
      <c r="M2776" s="377"/>
      <c r="N2776" s="377"/>
      <c r="O2776" s="377"/>
      <c r="P2776" s="377"/>
      <c r="Q2776" s="377"/>
      <c r="R2776" s="377"/>
      <c r="S2776" s="42"/>
      <c r="T2776" s="42"/>
      <c r="U2776" s="42"/>
      <c r="V2776" s="42"/>
      <c r="W2776" s="86"/>
      <c r="AW2776" s="377"/>
      <c r="AX2776" s="377"/>
      <c r="AY2776" s="377"/>
      <c r="AZ2776" s="377">
        <f>IPMT('Assumptions (T&amp;D)'!$B$97,Model!W$1,'Assumptions (T&amp;D)'!$B$100,Model!$AZ$2672)</f>
        <v>-0.41168269844414557</v>
      </c>
      <c r="BA2776" s="377">
        <f>IPMT('Assumptions (T&amp;D)'!$B$97,Model!X$1,'Assumptions (T&amp;D)'!$B$100,Model!$AZ$2672)</f>
        <v>-0.39224257440628513</v>
      </c>
      <c r="BB2776" s="377">
        <f>IPMT('Assumptions (T&amp;D)'!$B$97,Model!Y$1,'Assumptions (T&amp;D)'!$B$100,Model!$AZ$2672)</f>
        <v>-0.37187904447662623</v>
      </c>
      <c r="BC2776" s="377">
        <f>IPMT('Assumptions (T&amp;D)'!$B$97,Model!Z$1,'Assumptions (T&amp;D)'!$B$100,Model!$AZ$2672)</f>
        <v>-0.35054824687530867</v>
      </c>
      <c r="BD2776" s="377">
        <f>IPMT('Assumptions (T&amp;D)'!$B$97,Model!AA$1,'Assumptions (T&amp;D)'!$B$100,Model!$AZ$2672)</f>
        <v>-0.32820423638792851</v>
      </c>
      <c r="BE2776" s="377">
        <f>IPMT('Assumptions (T&amp;D)'!$B$97,Model!AB$1,'Assumptions (T&amp;D)'!$B$100,Model!$AZ$2672)</f>
        <v>-0.3047988854023978</v>
      </c>
      <c r="BF2776" s="377">
        <f>IPMT('Assumptions (T&amp;D)'!$B$97,Model!AC$1,'Assumptions (T&amp;D)'!$B$100,Model!$AZ$2672)</f>
        <v>-0.28028178024505435</v>
      </c>
      <c r="BG2776" s="377">
        <f>IPMT('Assumptions (T&amp;D)'!$B$97,Model!AD$1,'Assumptions (T&amp;D)'!$B$100,Model!$AZ$2672)</f>
        <v>-0.25460011259273707</v>
      </c>
      <c r="BH2776" s="377">
        <f>IPMT('Assumptions (T&amp;D)'!$B$97,Model!AE$1,'Assumptions (T&amp;D)'!$B$100,Model!$AZ$2672)</f>
        <v>-0.22769856572693481</v>
      </c>
      <c r="BI2776" s="377">
        <f>IPMT('Assumptions (T&amp;D)'!$B$97,Model!AF$1,'Assumptions (T&amp;D)'!$B$100,Model!$AZ$2672)</f>
        <v>-0.19951919538500684</v>
      </c>
      <c r="BJ2776" s="377">
        <f>IPMT('Assumptions (T&amp;D)'!$B$97,Model!AG$1,'Assumptions (T&amp;D)'!$B$100,Model!$AZ$2672)</f>
        <v>-0.17000130495183732</v>
      </c>
      <c r="BK2776" s="377">
        <f>IPMT('Assumptions (T&amp;D)'!$B$97,Model!AH$1,'Assumptions (T&amp;D)'!$B$100,Model!$AZ$2672)</f>
        <v>-0.13908131472309229</v>
      </c>
      <c r="BL2776" s="377">
        <f>IPMT('Assumptions (T&amp;D)'!$B$97,Model!AI$1,'Assumptions (T&amp;D)'!$B$100,Model!$AZ$2672)</f>
        <v>-0.10669262495848184</v>
      </c>
      <c r="BM2776" s="377">
        <f>IPMT('Assumptions (T&amp;D)'!$B$97,Model!AJ$1,'Assumptions (T&amp;D)'!$B$100,Model!$AZ$2672)</f>
        <v>-7.2765472430052366E-2</v>
      </c>
      <c r="BN2776" s="377">
        <f>IPMT('Assumptions (T&amp;D)'!$B$97,Model!AK$1,'Assumptions (T&amp;D)'!$B$100,Model!$AZ$2672)</f>
        <v>-3.7226780156522518E-2</v>
      </c>
      <c r="BO2776" s="377"/>
      <c r="BP2776" s="377"/>
      <c r="BQ2776" s="377"/>
      <c r="BR2776" s="377"/>
      <c r="BS2776" s="377"/>
      <c r="BT2776" s="377"/>
      <c r="BU2776" s="377"/>
      <c r="BV2776" s="377"/>
      <c r="BW2776" s="377"/>
      <c r="BX2776" s="377"/>
    </row>
    <row r="2777" spans="1:82" ht="15.75" hidden="1" customHeight="1" outlineLevel="1">
      <c r="A2777" s="460"/>
      <c r="B2777" s="99"/>
      <c r="C2777" s="377"/>
      <c r="D2777" s="377"/>
      <c r="E2777" s="377"/>
      <c r="F2777" s="377"/>
      <c r="G2777" s="377"/>
      <c r="H2777" s="377"/>
      <c r="I2777" s="377"/>
      <c r="J2777" s="377"/>
      <c r="K2777" s="377"/>
      <c r="L2777" s="377"/>
      <c r="M2777" s="377"/>
      <c r="N2777" s="377"/>
      <c r="O2777" s="377"/>
      <c r="P2777" s="377"/>
      <c r="Q2777" s="377"/>
      <c r="R2777" s="377"/>
      <c r="S2777" s="42"/>
      <c r="T2777" s="42"/>
      <c r="U2777" s="42"/>
      <c r="V2777" s="42"/>
      <c r="W2777" s="86"/>
      <c r="BA2777" s="377">
        <f>IPMT('Assumptions (T&amp;D)'!$B$97,Model!W$1,'Assumptions (T&amp;D)'!$B$100,Model!$BA$2672)</f>
        <v>-0.4116836652305253</v>
      </c>
      <c r="BB2777" s="377">
        <f>IPMT('Assumptions (T&amp;D)'!$B$97,Model!X$1,'Assumptions (T&amp;D)'!$B$100,Model!$BA$2672)</f>
        <v>-0.39224349553991528</v>
      </c>
      <c r="BC2777" s="377">
        <f>IPMT('Assumptions (T&amp;D)'!$B$97,Model!Y$1,'Assumptions (T&amp;D)'!$B$100,Model!$BA$2672)</f>
        <v>-0.3718799177890012</v>
      </c>
      <c r="BD2777" s="377">
        <f>IPMT('Assumptions (T&amp;D)'!$B$97,Model!Z$1,'Assumptions (T&amp;D)'!$B$100,Model!$BA$2672)</f>
        <v>-0.35054907009491887</v>
      </c>
      <c r="BE2777" s="377">
        <f>IPMT('Assumptions (T&amp;D)'!$B$97,Model!AA$1,'Assumptions (T&amp;D)'!$B$100,Model!$BA$2672)</f>
        <v>-0.32820500713536749</v>
      </c>
      <c r="BF2777" s="377">
        <f>IPMT('Assumptions (T&amp;D)'!$B$97,Model!AB$1,'Assumptions (T&amp;D)'!$B$100,Model!$BA$2672)</f>
        <v>-0.30479960118523752</v>
      </c>
      <c r="BG2777" s="377">
        <f>IPMT('Assumptions (T&amp;D)'!$B$97,Model!AC$1,'Assumptions (T&amp;D)'!$B$100,Model!$BA$2672)</f>
        <v>-0.28028243845247636</v>
      </c>
      <c r="BH2777" s="377">
        <f>IPMT('Assumptions (T&amp;D)'!$B$97,Model!AD$1,'Assumptions (T&amp;D)'!$B$100,Model!$BA$2672)</f>
        <v>-0.25460071048990901</v>
      </c>
      <c r="BI2777" s="377">
        <f>IPMT('Assumptions (T&amp;D)'!$B$97,Model!AE$1,'Assumptions (T&amp;D)'!$B$100,Model!$BA$2672)</f>
        <v>-0.22769910044911976</v>
      </c>
      <c r="BJ2777" s="377">
        <f>IPMT('Assumptions (T&amp;D)'!$B$97,Model!AF$1,'Assumptions (T&amp;D)'!$B$100,Model!$BA$2672)</f>
        <v>-0.19951966393139298</v>
      </c>
      <c r="BK2777" s="377">
        <f>IPMT('Assumptions (T&amp;D)'!$B$97,Model!AG$1,'Assumptions (T&amp;D)'!$B$100,Model!$BA$2672)</f>
        <v>-0.1700017041790742</v>
      </c>
      <c r="BL2777" s="377">
        <f>IPMT('Assumptions (T&amp;D)'!$B$97,Model!AH$1,'Assumptions (T&amp;D)'!$B$100,Model!$BA$2672)</f>
        <v>-0.13908164133852027</v>
      </c>
      <c r="BM2777" s="377">
        <f>IPMT('Assumptions (T&amp;D)'!$B$97,Model!AI$1,'Assumptions (T&amp;D)'!$B$100,Model!$BA$2672)</f>
        <v>-0.10669287551304002</v>
      </c>
      <c r="BN2777" s="377">
        <f>IPMT('Assumptions (T&amp;D)'!$B$97,Model!AJ$1,'Assumptions (T&amp;D)'!$B$100,Model!$BA$2672)</f>
        <v>-7.2765643310849462E-2</v>
      </c>
      <c r="BO2777" s="377">
        <f>IPMT('Assumptions (T&amp;D)'!$B$97,Model!AK$1,'Assumptions (T&amp;D)'!$B$100,Model!$BA$2672)</f>
        <v>-3.7226867579054849E-2</v>
      </c>
      <c r="BP2777" s="377"/>
      <c r="BQ2777" s="377"/>
      <c r="BR2777" s="377"/>
      <c r="BS2777" s="377"/>
      <c r="BT2777" s="377"/>
      <c r="BU2777" s="377"/>
      <c r="BV2777" s="377"/>
      <c r="BW2777" s="377"/>
      <c r="BX2777" s="377"/>
      <c r="BY2777" s="377"/>
    </row>
    <row r="2778" spans="1:82" ht="15.75" customHeight="1" collapsed="1">
      <c r="A2778" s="460" t="s">
        <v>837</v>
      </c>
      <c r="B2778" s="99" t="s">
        <v>201</v>
      </c>
      <c r="C2778" s="38">
        <f>SUM($C$2671:C2671)*'Assumptions (T&amp;D)'!$B$102</f>
        <v>0.12178195249999998</v>
      </c>
      <c r="D2778" s="38">
        <f>SUM($C$2671:D2671)*'Assumptions (T&amp;D)'!$B$102</f>
        <v>0.26241819695833329</v>
      </c>
      <c r="E2778" s="38">
        <f>SUM($C$2671:E2671)*'Assumptions (T&amp;D)'!$B$102</f>
        <v>0.41259524075899995</v>
      </c>
      <c r="F2778" s="38">
        <f>SUM($C$2671:F2671)*'Assumptions (T&amp;D)'!$B$102</f>
        <v>0.60742794904566655</v>
      </c>
      <c r="G2778" s="38">
        <f>SUM($C$2671:G2671)*'Assumptions (T&amp;D)'!$B$102</f>
        <v>0.80128142164966654</v>
      </c>
      <c r="H2778" s="38">
        <f>SUM($C$2671:H2671)*'Assumptions (T&amp;D)'!$B$102</f>
        <v>1.0194170659171713</v>
      </c>
      <c r="I2778" s="38">
        <f>SUM($C$2671:I2671)*'Assumptions (T&amp;D)'!$B$102</f>
        <v>1.3074924537921977</v>
      </c>
      <c r="J2778" s="38">
        <f>SUM($C$2671:J2671)*'Assumptions (T&amp;D)'!$B$102</f>
        <v>1.6095514465389564</v>
      </c>
      <c r="K2778" s="38">
        <f>SUM($C$2671:K2671)*'Assumptions (T&amp;D)'!$B$102</f>
        <v>1.9685457891469564</v>
      </c>
      <c r="L2778" s="38">
        <f>SUM($C$2671:L2671)*'Assumptions (T&amp;D)'!$B$102</f>
        <v>2.3295448949989566</v>
      </c>
      <c r="M2778" s="38">
        <f>SUM($C$2671:M2671)*'Assumptions (T&amp;D)'!$B$102</f>
        <v>2.7804489746469567</v>
      </c>
      <c r="N2778" s="38">
        <f>SUM($C$2671:N2671)*'Assumptions (T&amp;D)'!$B$102</f>
        <v>3.2416066544429563</v>
      </c>
      <c r="O2778" s="38">
        <f>SUM($C$2671:O2671)*'Assumptions (T&amp;D)'!$B$102</f>
        <v>3.8378571399549561</v>
      </c>
      <c r="P2778" s="38">
        <f>SUM($C$2671:P2671)*'Assumptions (T&amp;D)'!$B$102</f>
        <v>4.7138354509429563</v>
      </c>
      <c r="Q2778" s="38">
        <f>SUM($C$2671:Q2671)*'Assumptions (T&amp;D)'!$B$102</f>
        <v>5.5058134880789567</v>
      </c>
      <c r="R2778" s="38">
        <f>SUM($C$2671:R2671)*'Assumptions (T&amp;D)'!$B$102</f>
        <v>6.3347603739669562</v>
      </c>
      <c r="S2778" s="38">
        <f>SUM($C$2671:S2671)*'Assumptions (T&amp;D)'!$B$102</f>
        <v>7.2256522971189563</v>
      </c>
      <c r="T2778" s="38">
        <f>SUM($C$2671:T2671)*'Assumptions (T&amp;D)'!$B$102</f>
        <v>8.0074262412604185</v>
      </c>
      <c r="U2778" s="38">
        <f>SUM($C$2671:U2671)*'Assumptions (T&amp;D)'!$B$102</f>
        <v>8.8127442294594598</v>
      </c>
      <c r="V2778" s="38">
        <f>SUM($C$2671:V2671)*'Assumptions (T&amp;D)'!$B$102</f>
        <v>9.6269628014396726</v>
      </c>
      <c r="W2778" s="38">
        <f>SUM($C$2671:W2671)*'Assumptions (T&amp;D)'!$B$102</f>
        <v>10.464869083585254</v>
      </c>
      <c r="X2778" s="38">
        <f>SUM($C$2671:X2671)*'Assumptions (T&amp;D)'!$B$102</f>
        <v>11.276449073232435</v>
      </c>
      <c r="Y2778" s="38">
        <f>SUM($C$2671:Y2671)*'Assumptions (T&amp;D)'!$B$102</f>
        <v>12.074603958406033</v>
      </c>
      <c r="Z2778" s="38">
        <f>SUM($C$2671:Z2671)*'Assumptions (T&amp;D)'!$B$102</f>
        <v>12.929574568620547</v>
      </c>
      <c r="AA2778" s="38">
        <f>SUM($C$2671:AA2671)*'Assumptions (T&amp;D)'!$B$102</f>
        <v>13.781657623180568</v>
      </c>
      <c r="AB2778" s="38">
        <f>SUM($C$2671:AB2671)*'Assumptions (T&amp;D)'!$B$102</f>
        <v>14.559895855467419</v>
      </c>
      <c r="AC2778" s="38">
        <f>SUM($C$2671:AC2671)*'Assumptions (T&amp;D)'!$B$102</f>
        <v>15.389242364472043</v>
      </c>
      <c r="AD2778" s="38">
        <f>SUM($C$2671:AD2671)*'Assumptions (T&amp;D)'!$B$102</f>
        <v>16.28315024461984</v>
      </c>
      <c r="AE2778" s="38">
        <f>SUM($C$2671:AE2671)*'Assumptions (T&amp;D)'!$B$102</f>
        <v>17.185844439851074</v>
      </c>
      <c r="AF2778" s="38">
        <f>SUM($C$2671:AF2671)*'Assumptions (T&amp;D)'!$B$102</f>
        <v>18.060559853425247</v>
      </c>
      <c r="AG2778" s="38">
        <f>SUM($D$2671:AG2671)*'Assumptions (T&amp;D)'!$B$102</f>
        <v>18.908152115059362</v>
      </c>
      <c r="AH2778" s="38">
        <f>SUM($E$2671:AH2671)*'Assumptions (T&amp;D)'!$B$102</f>
        <v>19.68382361133083</v>
      </c>
      <c r="AI2778" s="38">
        <f>SUM($F$2671:AI2671)*'Assumptions (T&amp;D)'!$B$102</f>
        <v>20.381879893000455</v>
      </c>
      <c r="AJ2778" s="38">
        <f>SUM($G$2671:AJ2671)*'Assumptions (T&amp;D)'!$B$102</f>
        <v>21.084535312928359</v>
      </c>
      <c r="AK2778" s="38">
        <f>SUM($H$2671:AK2671)*'Assumptions (T&amp;D)'!$B$102</f>
        <v>21.808788676550058</v>
      </c>
      <c r="AL2778" s="38">
        <f>SUM($I$2671:AL2671)*'Assumptions (T&amp;D)'!$B$102</f>
        <v>22.397118642007324</v>
      </c>
      <c r="AM2778" s="38">
        <f>SUM($J$2671:AM2671)*'Assumptions (T&amp;D)'!$B$102</f>
        <v>22.92471989654884</v>
      </c>
      <c r="AN2778" s="38">
        <f>SUM($K$2671:AN2671)*'Assumptions (T&amp;D)'!$B$102</f>
        <v>23.538916284265692</v>
      </c>
      <c r="AO2778" s="38">
        <f>SUM($L$2671:AO2671)*'Assumptions (T&amp;D)'!$B$102</f>
        <v>24.097014595410272</v>
      </c>
      <c r="AP2778" s="38">
        <f>SUM($M$2671:AP2671)*'Assumptions (T&amp;D)'!$B$102</f>
        <v>24.617631698024571</v>
      </c>
      <c r="AQ2778" s="38">
        <f>SUM($N$2671:AQ2671)*'Assumptions (T&amp;D)'!$B$102</f>
        <v>25.123671506884818</v>
      </c>
      <c r="AR2778" s="38">
        <f>SUM($O$2671:AR2671)*'Assumptions (T&amp;D)'!$B$102</f>
        <v>25.559378557644163</v>
      </c>
      <c r="AS2778" s="38">
        <f>SUM($P$2671:AS2671)*'Assumptions (T&amp;D)'!$B$102</f>
        <v>25.827824322825933</v>
      </c>
      <c r="AT2778" s="38">
        <f>SUM($Q$2671:AT2671)*'Assumptions (T&amp;D)'!$B$102</f>
        <v>25.674086183286825</v>
      </c>
      <c r="AU2778" s="38">
        <f>SUM($R$2671:AU2671)*'Assumptions (T&amp;D)'!$B$102</f>
        <v>25.604354785090216</v>
      </c>
      <c r="AV2778" s="38">
        <f>SUM($S$2671:AV2671)*'Assumptions (T&amp;D)'!$B$102</f>
        <v>25.497663537999038</v>
      </c>
      <c r="AW2778" s="38">
        <f>SUM($T$2671:AW2671)*'Assumptions (T&amp;D)'!$B$102</f>
        <v>25.329028494358578</v>
      </c>
      <c r="AX2778" s="38">
        <f>SUM($U$2671:AX2671)*'Assumptions (T&amp;D)'!$B$102</f>
        <v>25.269507263888819</v>
      </c>
      <c r="AY2778" s="38">
        <f>SUM($V$2671:AY2671)*'Assumptions (T&amp;D)'!$B$102</f>
        <v>25.186439322207175</v>
      </c>
      <c r="AZ2778" s="38">
        <f>SUM($W$2671:AZ2671)*'Assumptions (T&amp;D)'!$B$102</f>
        <v>25.094471098374584</v>
      </c>
      <c r="BA2778" s="38">
        <f>SUM($X$2671:BA2671)*'Assumptions (T&amp;D)'!$B$102</f>
        <v>24.97881686049308</v>
      </c>
      <c r="BB2778" s="38">
        <f>SUM($Y$2671:BB2671)*'Assumptions (T&amp;D)'!$B$102</f>
        <v>24.167236870845901</v>
      </c>
      <c r="BC2778" s="38">
        <f>SUM($Z$2671:BC2671)*'Assumptions (T&amp;D)'!$B$102</f>
        <v>23.36908198567231</v>
      </c>
      <c r="BD2778" s="38">
        <f>SUM($AA$2671:BD2671)*'Assumptions (T&amp;D)'!$B$102</f>
        <v>22.514111375457794</v>
      </c>
      <c r="BE2778" s="38">
        <f>SUM($AB$2671:BE2671)*'Assumptions (T&amp;D)'!$B$102</f>
        <v>21.662028320897772</v>
      </c>
      <c r="BF2778" s="38">
        <f>SUM($AC$2671:BF2671)*'Assumptions (T&amp;D)'!$B$102</f>
        <v>20.883790088610919</v>
      </c>
      <c r="BG2778" s="38">
        <f>SUM($AD$2671:BG2671)*'Assumptions (T&amp;D)'!$B$102</f>
        <v>20.054443579606296</v>
      </c>
      <c r="BH2778" s="38">
        <f>SUM($AE$2671:BH2671)*'Assumptions (T&amp;D)'!$B$102</f>
        <v>19.160535699458496</v>
      </c>
      <c r="BI2778" s="38">
        <f>SUM($AF$2671:BI2671)*'Assumptions (T&amp;D)'!$B$102</f>
        <v>18.257841504227262</v>
      </c>
      <c r="BJ2778" s="38">
        <f>SUM($AG$2671:BJ2671)*'Assumptions (T&amp;D)'!$B$102</f>
        <v>17.383126090653089</v>
      </c>
      <c r="BK2778" s="38">
        <f>SUM($AH$2671:BK2671)*'Assumptions (T&amp;D)'!$B$102</f>
        <v>16.413751876518969</v>
      </c>
      <c r="BL2778" s="38">
        <f>SUM($AI$2671:BL2671)*'Assumptions (T&amp;D)'!$B$102</f>
        <v>15.497444135789168</v>
      </c>
      <c r="BM2778" s="38">
        <f>SUM($AJ$2671:BM2671)*'Assumptions (T&amp;D)'!$B$102</f>
        <v>14.649210810318877</v>
      </c>
      <c r="BN2778" s="38">
        <f>SUM($AK$2671:BN2671)*'Assumptions (T&amp;D)'!$B$102</f>
        <v>13.75172268210431</v>
      </c>
      <c r="BO2778" s="38">
        <f>SUM($AL$2671:BO2671)*'Assumptions (T&amp;D)'!$B$102</f>
        <v>12.833615845878612</v>
      </c>
      <c r="BP2778" s="38">
        <f>SUM($AM$2671:BP2671)*'Assumptions (T&amp;D)'!$B$102</f>
        <v>12.02715023615384</v>
      </c>
      <c r="BQ2778" s="38">
        <f>SUM($AN$2671:BQ2671)*'Assumptions (T&amp;D)'!$B$102</f>
        <v>11.211473593737299</v>
      </c>
      <c r="BR2778" s="38">
        <f>SUM($AO$2671:BR2671)*'Assumptions (T&amp;D)'!$B$102</f>
        <v>10.295218213273685</v>
      </c>
      <c r="BS2778" s="38">
        <f>SUM($AP$2671:BS2671)*'Assumptions (T&amp;D)'!$B$102</f>
        <v>9.3781255595211039</v>
      </c>
      <c r="BT2778" s="38">
        <f>SUM($AQ$2671:BT2671)*'Assumptions (T&amp;D)'!$B$102</f>
        <v>8.4965093510548098</v>
      </c>
      <c r="BU2778" s="38">
        <f>SUM($AR$2671:BU2671)*'Assumptions (T&amp;D)'!$B$102</f>
        <v>7.5395654625465589</v>
      </c>
      <c r="BV2778" s="38">
        <f>SUM($AS$2671:BV2671)*'Assumptions (T&amp;D)'!$B$102</f>
        <v>6.6427007319912166</v>
      </c>
      <c r="BW2778" s="38">
        <f>SUM($AT$2671:BW2671)*'Assumptions (T&amp;D)'!$B$102</f>
        <v>5.7780044812974456</v>
      </c>
      <c r="BX2778" s="38">
        <f>SUM($AU$2671:BX2671)*'Assumptions (T&amp;D)'!$B$102</f>
        <v>5.0557643098485565</v>
      </c>
      <c r="BY2778" s="38">
        <f>SUM($AV$2671:BY2671)*'Assumptions (T&amp;D)'!$B$102</f>
        <v>4.3335176709091625</v>
      </c>
      <c r="BZ2778" s="38">
        <f>SUM($AW$2671:BZ2671)*'Assumptions (T&amp;D)'!$B$102</f>
        <v>3.6112620321123408</v>
      </c>
      <c r="CA2778" s="38">
        <f>SUM($AX$2671:CA2671)*'Assumptions (T&amp;D)'!$B$102</f>
        <v>2.8890051526008054</v>
      </c>
      <c r="CB2778" s="38">
        <f>SUM($AY$2671:CB2671)*'Assumptions (T&amp;D)'!$B$102</f>
        <v>2.1667524389290973</v>
      </c>
      <c r="CC2778" s="38">
        <f>SUM($AZ$2671:CC2671)*'Assumptions (T&amp;D)'!$B$102</f>
        <v>1.4445023924117033</v>
      </c>
      <c r="CD2778" s="38">
        <f>SUM($BA$2671:CD2671)*'Assumptions (T&amp;D)'!$B$102</f>
        <v>0.72225204426407952</v>
      </c>
    </row>
    <row r="2779" spans="1:82" ht="15.75" customHeight="1">
      <c r="A2779" s="460" t="s">
        <v>838</v>
      </c>
      <c r="B2779" s="99" t="s">
        <v>201</v>
      </c>
      <c r="C2779" s="147">
        <f t="shared" ref="C2779:BU2779" si="63">SUM(C2780:C2830)</f>
        <v>0.13700469656249997</v>
      </c>
      <c r="D2779" s="147">
        <f t="shared" si="63"/>
        <v>0.42195894954487501</v>
      </c>
      <c r="E2779" s="147">
        <f t="shared" si="63"/>
        <v>0.7174665179519123</v>
      </c>
      <c r="F2779" s="147">
        <f t="shared" si="63"/>
        <v>1.0518078180338413</v>
      </c>
      <c r="G2779" s="147">
        <f t="shared" si="63"/>
        <v>1.4101891024485367</v>
      </c>
      <c r="H2779" s="147">
        <f t="shared" si="63"/>
        <v>1.7679152883213505</v>
      </c>
      <c r="I2779" s="147">
        <f t="shared" si="63"/>
        <v>2.2048018149532842</v>
      </c>
      <c r="J2779" s="147">
        <f t="shared" si="63"/>
        <v>2.7033464807894347</v>
      </c>
      <c r="K2779" s="147">
        <f t="shared" si="63"/>
        <v>3.2544855614327131</v>
      </c>
      <c r="L2779" s="147">
        <f t="shared" si="63"/>
        <v>3.8443715979498361</v>
      </c>
      <c r="M2779" s="147">
        <f t="shared" si="63"/>
        <v>4.5083509942447737</v>
      </c>
      <c r="N2779" s="147">
        <f t="shared" si="63"/>
        <v>5.2540147100098196</v>
      </c>
      <c r="O2779" s="147">
        <f t="shared" si="63"/>
        <v>6.1267305592559413</v>
      </c>
      <c r="P2779" s="147">
        <f t="shared" si="63"/>
        <v>7.4221867913058031</v>
      </c>
      <c r="Q2779" s="147">
        <f t="shared" si="63"/>
        <v>8.8684165991085777</v>
      </c>
      <c r="R2779" s="147">
        <f t="shared" si="63"/>
        <v>10.183322790759453</v>
      </c>
      <c r="S2779" s="147">
        <f t="shared" si="63"/>
        <v>11.546045330698041</v>
      </c>
      <c r="T2779" s="147">
        <f t="shared" si="63"/>
        <v>12.789605732739133</v>
      </c>
      <c r="U2779" s="147">
        <f t="shared" si="63"/>
        <v>13.88746464199456</v>
      </c>
      <c r="V2779" s="147">
        <f t="shared" si="63"/>
        <v>14.985523052057722</v>
      </c>
      <c r="W2779" s="147">
        <f t="shared" si="63"/>
        <v>16.014082772432392</v>
      </c>
      <c r="X2779" s="147">
        <f t="shared" si="63"/>
        <v>16.945517232883546</v>
      </c>
      <c r="Y2779" s="147">
        <f t="shared" si="63"/>
        <v>17.811063381363624</v>
      </c>
      <c r="Z2779" s="147">
        <f t="shared" si="63"/>
        <v>18.692308854375831</v>
      </c>
      <c r="AA2779" s="147">
        <f t="shared" si="63"/>
        <v>19.609924969720531</v>
      </c>
      <c r="AB2779" s="147">
        <f t="shared" si="63"/>
        <v>20.417592721505891</v>
      </c>
      <c r="AC2779" s="147">
        <f t="shared" si="63"/>
        <v>21.135846994379929</v>
      </c>
      <c r="AD2779" s="147">
        <f t="shared" si="63"/>
        <v>21.930366092141895</v>
      </c>
      <c r="AE2779" s="147">
        <f t="shared" si="63"/>
        <v>22.754445666481658</v>
      </c>
      <c r="AF2779" s="147">
        <f t="shared" si="63"/>
        <v>23.50440521870151</v>
      </c>
      <c r="AG2779" s="147">
        <f t="shared" si="63"/>
        <v>24.255839882499266</v>
      </c>
      <c r="AH2779" s="147">
        <f t="shared" si="63"/>
        <v>24.974837558563603</v>
      </c>
      <c r="AI2779" s="147">
        <f t="shared" si="63"/>
        <v>25.446080554689949</v>
      </c>
      <c r="AJ2779" s="147">
        <f t="shared" si="63"/>
        <v>25.609546673698102</v>
      </c>
      <c r="AK2779" s="147">
        <f t="shared" si="63"/>
        <v>25.716892106270695</v>
      </c>
      <c r="AL2779" s="147">
        <f t="shared" si="63"/>
        <v>25.750142433660393</v>
      </c>
      <c r="AM2779" s="147">
        <f t="shared" si="63"/>
        <v>25.608622904507612</v>
      </c>
      <c r="AN2779" s="147">
        <f t="shared" si="63"/>
        <v>25.634737122116654</v>
      </c>
      <c r="AO2779" s="147">
        <f t="shared" si="63"/>
        <v>25.842051337755152</v>
      </c>
      <c r="AP2779" s="147">
        <f t="shared" si="63"/>
        <v>25.986283552368295</v>
      </c>
      <c r="AQ2779" s="147">
        <f t="shared" si="63"/>
        <v>26.147785335992982</v>
      </c>
      <c r="AR2779" s="147">
        <f t="shared" si="63"/>
        <v>26.322424156582304</v>
      </c>
      <c r="AS2779" s="147">
        <f t="shared" si="63"/>
        <v>26.415803358530791</v>
      </c>
      <c r="AT2779" s="147">
        <f t="shared" si="63"/>
        <v>26.278693628855223</v>
      </c>
      <c r="AU2779" s="147">
        <f t="shared" si="63"/>
        <v>25.954323055000422</v>
      </c>
      <c r="AV2779" s="147">
        <f t="shared" si="63"/>
        <v>25.710248079970992</v>
      </c>
      <c r="AW2779" s="147">
        <f t="shared" si="63"/>
        <v>25.509897909554589</v>
      </c>
      <c r="AX2779" s="147">
        <f t="shared" si="63"/>
        <v>25.255594259685108</v>
      </c>
      <c r="AY2779" s="147">
        <f t="shared" si="63"/>
        <v>24.979595945451699</v>
      </c>
      <c r="AZ2779" s="147">
        <f t="shared" si="63"/>
        <v>24.737955891205349</v>
      </c>
      <c r="BA2779" s="147">
        <f t="shared" si="63"/>
        <v>24.467981695123953</v>
      </c>
      <c r="BB2779" s="147">
        <f t="shared" si="63"/>
        <v>23.360166314378372</v>
      </c>
      <c r="BC2779" s="147">
        <f t="shared" si="63"/>
        <v>21.581843832060333</v>
      </c>
      <c r="BD2779" s="147">
        <f t="shared" si="63"/>
        <v>19.933473647162952</v>
      </c>
      <c r="BE2779" s="147">
        <f t="shared" si="63"/>
        <v>18.346772275418108</v>
      </c>
      <c r="BF2779" s="147">
        <f t="shared" si="63"/>
        <v>16.921439189877557</v>
      </c>
      <c r="BG2779" s="147">
        <f t="shared" si="63"/>
        <v>15.657456801416723</v>
      </c>
      <c r="BH2779" s="147">
        <f t="shared" si="63"/>
        <v>14.405957717321828</v>
      </c>
      <c r="BI2779" s="147">
        <f t="shared" si="63"/>
        <v>13.165968743188229</v>
      </c>
      <c r="BJ2779" s="147">
        <f t="shared" si="63"/>
        <v>11.962079951923929</v>
      </c>
      <c r="BK2779" s="147">
        <f t="shared" si="63"/>
        <v>10.73180911366261</v>
      </c>
      <c r="BL2779" s="147">
        <f t="shared" si="63"/>
        <v>9.4910646534461538</v>
      </c>
      <c r="BM2779" s="147">
        <f t="shared" si="63"/>
        <v>8.3123112995924799</v>
      </c>
      <c r="BN2779" s="147">
        <f t="shared" si="63"/>
        <v>7.2501747502312481</v>
      </c>
      <c r="BO2779" s="147">
        <f t="shared" si="63"/>
        <v>6.2835964021109554</v>
      </c>
      <c r="BP2779" s="147">
        <f t="shared" si="63"/>
        <v>5.3167910275412043</v>
      </c>
      <c r="BQ2779" s="147">
        <f t="shared" si="63"/>
        <v>4.3501954758099632</v>
      </c>
      <c r="BR2779" s="147">
        <f t="shared" si="63"/>
        <v>3.3833852053837292</v>
      </c>
      <c r="BS2779" s="147">
        <f t="shared" si="63"/>
        <v>2.4167961835119538</v>
      </c>
      <c r="BT2779" s="147">
        <f t="shared" si="63"/>
        <v>1.4499920688538221</v>
      </c>
      <c r="BU2779" s="147">
        <f t="shared" si="63"/>
        <v>0.48340329322594844</v>
      </c>
    </row>
    <row r="2780" spans="1:82" ht="15.75" hidden="1" customHeight="1" outlineLevel="1">
      <c r="A2780" s="460"/>
      <c r="B2780" s="99"/>
      <c r="C2780" s="147">
        <f>$C2671*'Assumptions (T&amp;D)'!B$101</f>
        <v>0.13700469656249997</v>
      </c>
      <c r="D2780" s="147">
        <f>$C2671*'Assumptions (T&amp;D)'!C$101</f>
        <v>0.26374317452925</v>
      </c>
      <c r="E2780" s="147">
        <f>$C2671*'Assumptions (T&amp;D)'!D$101</f>
        <v>0.24394142905274996</v>
      </c>
      <c r="F2780" s="147">
        <f>$C2671*'Assumptions (T&amp;D)'!E$101</f>
        <v>0.22567413617774998</v>
      </c>
      <c r="G2780" s="147">
        <f>$C2671*'Assumptions (T&amp;D)'!F$101</f>
        <v>0.20872208838974998</v>
      </c>
      <c r="H2780" s="147">
        <f>$C2671*'Assumptions (T&amp;D)'!G$101</f>
        <v>0.19308528568875</v>
      </c>
      <c r="I2780" s="147">
        <f>$C2671*'Assumptions (T&amp;D)'!H$101</f>
        <v>0.17858105514599998</v>
      </c>
      <c r="J2780" s="147">
        <f>$C2671*'Assumptions (T&amp;D)'!I$101</f>
        <v>0.16520939676150001</v>
      </c>
      <c r="K2780" s="147">
        <f>$C2671*'Assumptions (T&amp;D)'!J$101</f>
        <v>0.16301732161649998</v>
      </c>
      <c r="L2780" s="147">
        <f>$C2671*'Assumptions (T&amp;D)'!K$101</f>
        <v>0.16298078703074997</v>
      </c>
      <c r="M2780" s="147">
        <f>$C2671*'Assumptions (T&amp;D)'!L$101</f>
        <v>0.16301732161649998</v>
      </c>
      <c r="N2780" s="147">
        <f>$C2671*'Assumptions (T&amp;D)'!M$101</f>
        <v>0.16298078703074997</v>
      </c>
      <c r="O2780" s="147">
        <f>$C2671*'Assumptions (T&amp;D)'!N$101</f>
        <v>0.16301732161649998</v>
      </c>
      <c r="P2780" s="147">
        <f>$C2671*'Assumptions (T&amp;D)'!O$101</f>
        <v>0.16298078703074997</v>
      </c>
      <c r="Q2780" s="147">
        <f>$C2671*'Assumptions (T&amp;D)'!P$101</f>
        <v>0.16301732161649998</v>
      </c>
      <c r="R2780" s="147">
        <f>$C2671*'Assumptions (T&amp;D)'!Q$101</f>
        <v>0.16298078703074997</v>
      </c>
      <c r="S2780" s="147">
        <f>$C2671*'Assumptions (T&amp;D)'!R$101</f>
        <v>0.16301732161649998</v>
      </c>
      <c r="T2780" s="147">
        <f>$C2671*'Assumptions (T&amp;D)'!S$101</f>
        <v>0.16298078703074997</v>
      </c>
      <c r="U2780" s="147">
        <f>$C2671*'Assumptions (T&amp;D)'!T$101</f>
        <v>0.16301732161649998</v>
      </c>
      <c r="V2780" s="147">
        <f>$C2671*'Assumptions (T&amp;D)'!U$101</f>
        <v>0.16298078703074997</v>
      </c>
      <c r="W2780" s="147">
        <f>$C2671*'Assumptions (T&amp;D)'!V$101</f>
        <v>8.1508660808249991E-2</v>
      </c>
      <c r="X2780" s="147"/>
    </row>
    <row r="2781" spans="1:82" ht="15.75" hidden="1" customHeight="1" outlineLevel="1">
      <c r="A2781" s="460"/>
      <c r="B2781" s="99"/>
      <c r="C2781" s="147"/>
      <c r="D2781" s="147">
        <f>$D2671*'Assumptions (T&amp;D)'!B$101</f>
        <v>0.15821577501562498</v>
      </c>
      <c r="E2781" s="147">
        <f>$D2671*'Assumptions (T&amp;D)'!C$101</f>
        <v>0.30457591462341244</v>
      </c>
      <c r="F2781" s="147">
        <f>$D2671*'Assumptions (T&amp;D)'!D$101</f>
        <v>0.28170846127448745</v>
      </c>
      <c r="G2781" s="147">
        <f>$D2671*'Assumptions (T&amp;D)'!E$101</f>
        <v>0.26061302460573743</v>
      </c>
      <c r="H2781" s="147">
        <f>$D2671*'Assumptions (T&amp;D)'!F$101</f>
        <v>0.24103645937713747</v>
      </c>
      <c r="I2781" s="147">
        <f>$D2671*'Assumptions (T&amp;D)'!G$101</f>
        <v>0.22297876558868746</v>
      </c>
      <c r="J2781" s="147">
        <f>$D2671*'Assumptions (T&amp;D)'!H$101</f>
        <v>0.20622898887369995</v>
      </c>
      <c r="K2781" s="147">
        <f>$D2671*'Assumptions (T&amp;D)'!I$101</f>
        <v>0.19078712923217497</v>
      </c>
      <c r="L2781" s="147">
        <f>$D2671*'Assumptions (T&amp;D)'!J$101</f>
        <v>0.18825567683192496</v>
      </c>
      <c r="M2781" s="147">
        <f>$D2671*'Assumptions (T&amp;D)'!K$101</f>
        <v>0.18821348595858745</v>
      </c>
      <c r="N2781" s="147">
        <f>$D2671*'Assumptions (T&amp;D)'!L$101</f>
        <v>0.18825567683192496</v>
      </c>
      <c r="O2781" s="147">
        <f>$D2671*'Assumptions (T&amp;D)'!M$101</f>
        <v>0.18821348595858745</v>
      </c>
      <c r="P2781" s="147">
        <f>$D2671*'Assumptions (T&amp;D)'!N$101</f>
        <v>0.18825567683192496</v>
      </c>
      <c r="Q2781" s="147">
        <f>$D2671*'Assumptions (T&amp;D)'!O$101</f>
        <v>0.18821348595858745</v>
      </c>
      <c r="R2781" s="147">
        <f>$D2671*'Assumptions (T&amp;D)'!P$101</f>
        <v>0.18825567683192496</v>
      </c>
      <c r="S2781" s="147">
        <f>$D2671*'Assumptions (T&amp;D)'!Q$101</f>
        <v>0.18821348595858745</v>
      </c>
      <c r="T2781" s="147">
        <f>$D2671*'Assumptions (T&amp;D)'!R$101</f>
        <v>0.18825567683192496</v>
      </c>
      <c r="U2781" s="147">
        <f>$D2671*'Assumptions (T&amp;D)'!S$101</f>
        <v>0.18821348595858745</v>
      </c>
      <c r="V2781" s="147">
        <f>$D2671*'Assumptions (T&amp;D)'!T$101</f>
        <v>0.18825567683192496</v>
      </c>
      <c r="W2781" s="147">
        <f>$D2671*'Assumptions (T&amp;D)'!U$101</f>
        <v>0.18821348595858745</v>
      </c>
      <c r="X2781" s="147">
        <f>$D2671*'Assumptions (T&amp;D)'!V$101</f>
        <v>9.4127838415962478E-2</v>
      </c>
    </row>
    <row r="2782" spans="1:82" ht="15.75" hidden="1" customHeight="1" outlineLevel="1">
      <c r="A2782" s="460"/>
      <c r="B2782" s="99"/>
      <c r="C2782" s="147"/>
      <c r="D2782" s="42"/>
      <c r="E2782" s="147">
        <f>$E2671*'Assumptions (T&amp;D)'!B$101</f>
        <v>0.16894917427574999</v>
      </c>
      <c r="F2782" s="147">
        <f>$E2671*'Assumptions (T&amp;D)'!C$101</f>
        <v>0.32523842375910383</v>
      </c>
      <c r="G2782" s="147">
        <f>$E2671*'Assumptions (T&amp;D)'!D$101</f>
        <v>0.3008196364371154</v>
      </c>
      <c r="H2782" s="147">
        <f>$E2671*'Assumptions (T&amp;D)'!E$101</f>
        <v>0.2782930798670154</v>
      </c>
      <c r="I2782" s="147">
        <f>$E2671*'Assumptions (T&amp;D)'!F$101</f>
        <v>0.25738843536996259</v>
      </c>
      <c r="J2782" s="147">
        <f>$E2671*'Assumptions (T&amp;D)'!G$101</f>
        <v>0.23810570294595701</v>
      </c>
      <c r="K2782" s="147">
        <f>$E2671*'Assumptions (T&amp;D)'!H$101</f>
        <v>0.2202196170292976</v>
      </c>
      <c r="L2782" s="147">
        <f>$E2671*'Assumptions (T&amp;D)'!I$101</f>
        <v>0.20373017761998441</v>
      </c>
      <c r="M2782" s="147">
        <f>$E2671*'Assumptions (T&amp;D)'!J$101</f>
        <v>0.20102699083157241</v>
      </c>
      <c r="N2782" s="147">
        <f>$E2671*'Assumptions (T&amp;D)'!K$101</f>
        <v>0.2009819377184322</v>
      </c>
      <c r="O2782" s="147">
        <f>$E2671*'Assumptions (T&amp;D)'!L$101</f>
        <v>0.20102699083157241</v>
      </c>
      <c r="P2782" s="147">
        <f>$E2671*'Assumptions (T&amp;D)'!M$101</f>
        <v>0.2009819377184322</v>
      </c>
      <c r="Q2782" s="147">
        <f>$E2671*'Assumptions (T&amp;D)'!N$101</f>
        <v>0.20102699083157241</v>
      </c>
      <c r="R2782" s="147">
        <f>$E2671*'Assumptions (T&amp;D)'!O$101</f>
        <v>0.2009819377184322</v>
      </c>
      <c r="S2782" s="147">
        <f>$E2671*'Assumptions (T&amp;D)'!P$101</f>
        <v>0.20102699083157241</v>
      </c>
      <c r="T2782" s="147">
        <f>$E2671*'Assumptions (T&amp;D)'!Q$101</f>
        <v>0.2009819377184322</v>
      </c>
      <c r="U2782" s="147">
        <f>$E2671*'Assumptions (T&amp;D)'!R$101</f>
        <v>0.20102699083157241</v>
      </c>
      <c r="V2782" s="147">
        <f>$E2671*'Assumptions (T&amp;D)'!S$101</f>
        <v>0.2009819377184322</v>
      </c>
      <c r="W2782" s="147">
        <f>$E2671*'Assumptions (T&amp;D)'!T$101</f>
        <v>0.20102699083157241</v>
      </c>
      <c r="X2782" s="147">
        <f>$E2671*'Assumptions (T&amp;D)'!U$101</f>
        <v>0.2009819377184322</v>
      </c>
      <c r="Y2782" s="147">
        <f>$E2671*'Assumptions (T&amp;D)'!V$101</f>
        <v>0.10051349541578621</v>
      </c>
    </row>
    <row r="2783" spans="1:82" ht="15.75" hidden="1" customHeight="1" outlineLevel="1">
      <c r="A2783" s="460"/>
      <c r="B2783" s="99"/>
      <c r="C2783" s="147"/>
      <c r="D2783" s="42"/>
      <c r="E2783" s="42"/>
      <c r="F2783" s="147">
        <f>$F2671*'Assumptions (T&amp;D)'!B$101</f>
        <v>0.2191867968225</v>
      </c>
      <c r="G2783" s="147">
        <f>$F2671*'Assumptions (T&amp;D)'!C$101</f>
        <v>0.42194919633643402</v>
      </c>
      <c r="H2783" s="147">
        <f>$F2671*'Assumptions (T&amp;D)'!D$101</f>
        <v>0.39026939796902199</v>
      </c>
      <c r="I2783" s="147">
        <f>$F2671*'Assumptions (T&amp;D)'!E$101</f>
        <v>0.36104449172602199</v>
      </c>
      <c r="J2783" s="147">
        <f>$F2671*'Assumptions (T&amp;D)'!F$101</f>
        <v>0.333923778732518</v>
      </c>
      <c r="K2783" s="147">
        <f>$F2671*'Assumptions (T&amp;D)'!G$101</f>
        <v>0.30890725898851001</v>
      </c>
      <c r="L2783" s="147">
        <f>$F2671*'Assumptions (T&amp;D)'!H$101</f>
        <v>0.28570268343156802</v>
      </c>
      <c r="M2783" s="147">
        <f>$F2671*'Assumptions (T&amp;D)'!I$101</f>
        <v>0.264310052061692</v>
      </c>
      <c r="N2783" s="147">
        <f>$F2671*'Assumptions (T&amp;D)'!J$101</f>
        <v>0.260803063312532</v>
      </c>
      <c r="O2783" s="147">
        <f>$F2671*'Assumptions (T&amp;D)'!K$101</f>
        <v>0.26074461350004596</v>
      </c>
      <c r="P2783" s="147">
        <f>$F2671*'Assumptions (T&amp;D)'!L$101</f>
        <v>0.260803063312532</v>
      </c>
      <c r="Q2783" s="147">
        <f>$F2671*'Assumptions (T&amp;D)'!M$101</f>
        <v>0.26074461350004596</v>
      </c>
      <c r="R2783" s="147">
        <f>$F2671*'Assumptions (T&amp;D)'!N$101</f>
        <v>0.260803063312532</v>
      </c>
      <c r="S2783" s="147">
        <f>$F2671*'Assumptions (T&amp;D)'!O$101</f>
        <v>0.26074461350004596</v>
      </c>
      <c r="T2783" s="147">
        <f>$F2671*'Assumptions (T&amp;D)'!P$101</f>
        <v>0.260803063312532</v>
      </c>
      <c r="U2783" s="147">
        <f>$F2671*'Assumptions (T&amp;D)'!Q$101</f>
        <v>0.26074461350004596</v>
      </c>
      <c r="V2783" s="147">
        <f>$F2671*'Assumptions (T&amp;D)'!R$101</f>
        <v>0.260803063312532</v>
      </c>
      <c r="W2783" s="147">
        <f>$F2671*'Assumptions (T&amp;D)'!S$101</f>
        <v>0.26074461350004596</v>
      </c>
      <c r="X2783" s="147">
        <f>$F2671*'Assumptions (T&amp;D)'!T$101</f>
        <v>0.260803063312532</v>
      </c>
      <c r="Y2783" s="147">
        <f>$F2671*'Assumptions (T&amp;D)'!U$101</f>
        <v>0.26074461350004596</v>
      </c>
      <c r="Z2783" s="147">
        <f>$F2671*'Assumptions (T&amp;D)'!V$101</f>
        <v>0.130401531656266</v>
      </c>
    </row>
    <row r="2784" spans="1:82" ht="15.75" hidden="1" customHeight="1" outlineLevel="1">
      <c r="A2784" s="460"/>
      <c r="B2784" s="99"/>
      <c r="C2784" s="147"/>
      <c r="D2784" s="42"/>
      <c r="E2784" s="42"/>
      <c r="F2784" s="42"/>
      <c r="G2784" s="147">
        <f>$G2671*'Assumptions (T&amp;D)'!B$101</f>
        <v>0.21808515667949999</v>
      </c>
      <c r="H2784" s="147">
        <f>$G2671*'Assumptions (T&amp;D)'!C$101</f>
        <v>0.4198284656184828</v>
      </c>
      <c r="I2784" s="147">
        <f>$G2671*'Assumptions (T&amp;D)'!D$101</f>
        <v>0.38830789097307239</v>
      </c>
      <c r="J2784" s="147">
        <f>$G2671*'Assumptions (T&amp;D)'!E$101</f>
        <v>0.35922987008247237</v>
      </c>
      <c r="K2784" s="147">
        <f>$G2671*'Assumptions (T&amp;D)'!F$101</f>
        <v>0.33224546669599558</v>
      </c>
      <c r="L2784" s="147">
        <f>$G2671*'Assumptions (T&amp;D)'!G$101</f>
        <v>0.30735468081364203</v>
      </c>
      <c r="M2784" s="147">
        <f>$G2671*'Assumptions (T&amp;D)'!H$101</f>
        <v>0.28426673222650561</v>
      </c>
      <c r="N2784" s="147">
        <f>$G2671*'Assumptions (T&amp;D)'!I$101</f>
        <v>0.26298162093458644</v>
      </c>
      <c r="O2784" s="147">
        <f>$G2671*'Assumptions (T&amp;D)'!J$101</f>
        <v>0.2594922584277144</v>
      </c>
      <c r="P2784" s="147">
        <f>$G2671*'Assumptions (T&amp;D)'!K$101</f>
        <v>0.25943410238593317</v>
      </c>
      <c r="Q2784" s="147">
        <f>$G2671*'Assumptions (T&amp;D)'!L$101</f>
        <v>0.2594922584277144</v>
      </c>
      <c r="R2784" s="147">
        <f>$G2671*'Assumptions (T&amp;D)'!M$101</f>
        <v>0.25943410238593317</v>
      </c>
      <c r="S2784" s="147">
        <f>$G2671*'Assumptions (T&amp;D)'!N$101</f>
        <v>0.2594922584277144</v>
      </c>
      <c r="T2784" s="147">
        <f>$G2671*'Assumptions (T&amp;D)'!O$101</f>
        <v>0.25943410238593317</v>
      </c>
      <c r="U2784" s="147">
        <f>$G2671*'Assumptions (T&amp;D)'!P$101</f>
        <v>0.2594922584277144</v>
      </c>
      <c r="V2784" s="147">
        <f>$G2671*'Assumptions (T&amp;D)'!Q$101</f>
        <v>0.25943410238593317</v>
      </c>
      <c r="W2784" s="147">
        <f>$G2671*'Assumptions (T&amp;D)'!R$101</f>
        <v>0.2594922584277144</v>
      </c>
      <c r="X2784" s="147">
        <f>$G2671*'Assumptions (T&amp;D)'!S$101</f>
        <v>0.25943410238593317</v>
      </c>
      <c r="Y2784" s="147">
        <f>$G2671*'Assumptions (T&amp;D)'!T$101</f>
        <v>0.2594922584277144</v>
      </c>
      <c r="Z2784" s="147">
        <f>$G2671*'Assumptions (T&amp;D)'!U$101</f>
        <v>0.25943410238593317</v>
      </c>
      <c r="AA2784" s="147">
        <f>$G2671*'Assumptions (T&amp;D)'!V$101</f>
        <v>0.1297461292138572</v>
      </c>
    </row>
    <row r="2785" spans="1:43" ht="15.75" hidden="1" customHeight="1" outlineLevel="1">
      <c r="A2785" s="460"/>
      <c r="B2785" s="99"/>
      <c r="C2785" s="147"/>
      <c r="D2785" s="42"/>
      <c r="E2785" s="42"/>
      <c r="F2785" s="42"/>
      <c r="G2785" s="42"/>
      <c r="H2785" s="147">
        <f>$H2671*'Assumptions (T&amp;D)'!B$101</f>
        <v>0.24540259980094273</v>
      </c>
      <c r="I2785" s="147">
        <f>$H2671*'Assumptions (T&amp;D)'!C$101</f>
        <v>0.47241636479013488</v>
      </c>
      <c r="J2785" s="147">
        <f>$H2671*'Assumptions (T&amp;D)'!D$101</f>
        <v>0.43694750903223856</v>
      </c>
      <c r="K2785" s="147">
        <f>$H2671*'Assumptions (T&amp;D)'!E$101</f>
        <v>0.40422716239211287</v>
      </c>
      <c r="L2785" s="147">
        <f>$H2671*'Assumptions (T&amp;D)'!F$101</f>
        <v>0.37386268071007622</v>
      </c>
      <c r="M2785" s="147">
        <f>$H2671*'Assumptions (T&amp;D)'!G$101</f>
        <v>0.34585406398612867</v>
      </c>
      <c r="N2785" s="147">
        <f>$H2671*'Assumptions (T&amp;D)'!H$101</f>
        <v>0.31987410875386885</v>
      </c>
      <c r="O2785" s="147">
        <f>$H2671*'Assumptions (T&amp;D)'!I$101</f>
        <v>0.29592281501329687</v>
      </c>
      <c r="P2785" s="147">
        <f>$H2671*'Assumptions (T&amp;D)'!J$101</f>
        <v>0.29199637341648171</v>
      </c>
      <c r="Q2785" s="147">
        <f>$H2671*'Assumptions (T&amp;D)'!K$101</f>
        <v>0.29193093272320148</v>
      </c>
      <c r="R2785" s="147">
        <f>$H2671*'Assumptions (T&amp;D)'!L$101</f>
        <v>0.29199637341648171</v>
      </c>
      <c r="S2785" s="147">
        <f>$H2671*'Assumptions (T&amp;D)'!M$101</f>
        <v>0.29193093272320148</v>
      </c>
      <c r="T2785" s="147">
        <f>$H2671*'Assumptions (T&amp;D)'!N$101</f>
        <v>0.29199637341648171</v>
      </c>
      <c r="U2785" s="147">
        <f>$H2671*'Assumptions (T&amp;D)'!O$101</f>
        <v>0.29193093272320148</v>
      </c>
      <c r="V2785" s="147">
        <f>$H2671*'Assumptions (T&amp;D)'!P$101</f>
        <v>0.29199637341648171</v>
      </c>
      <c r="W2785" s="147">
        <f>$H2671*'Assumptions (T&amp;D)'!Q$101</f>
        <v>0.29193093272320148</v>
      </c>
      <c r="X2785" s="147">
        <f>$H2671*'Assumptions (T&amp;D)'!R$101</f>
        <v>0.29199637341648171</v>
      </c>
      <c r="Y2785" s="147">
        <f>$H2671*'Assumptions (T&amp;D)'!S$101</f>
        <v>0.29193093272320148</v>
      </c>
      <c r="Z2785" s="147">
        <f>$H2671*'Assumptions (T&amp;D)'!T$101</f>
        <v>0.29199637341648171</v>
      </c>
      <c r="AA2785" s="147">
        <f>$H2671*'Assumptions (T&amp;D)'!U$101</f>
        <v>0.29193093272320148</v>
      </c>
      <c r="AB2785" s="147">
        <f>$H2671*'Assumptions (T&amp;D)'!V$101</f>
        <v>0.14599818670824086</v>
      </c>
    </row>
    <row r="2786" spans="1:43" ht="15.75" hidden="1" customHeight="1" outlineLevel="1">
      <c r="A2786" s="460"/>
      <c r="B2786" s="99"/>
      <c r="C2786" s="147"/>
      <c r="D2786" s="42"/>
      <c r="E2786" s="42"/>
      <c r="F2786" s="42"/>
      <c r="G2786" s="42"/>
      <c r="H2786" s="42"/>
      <c r="I2786" s="147">
        <f>$I2671*'Assumptions (T&amp;D)'!B$101</f>
        <v>0.32408481135940487</v>
      </c>
      <c r="J2786" s="147">
        <f>$I2671*'Assumptions (T&amp;D)'!C$101</f>
        <v>0.62388486752094507</v>
      </c>
      <c r="K2786" s="147">
        <f>$I2671*'Assumptions (T&amp;D)'!D$101</f>
        <v>0.57704380945246569</v>
      </c>
      <c r="L2786" s="147">
        <f>$I2671*'Assumptions (T&amp;D)'!E$101</f>
        <v>0.53383250127121173</v>
      </c>
      <c r="M2786" s="147">
        <f>$I2671*'Assumptions (T&amp;D)'!F$101</f>
        <v>0.49373240727900808</v>
      </c>
      <c r="N2786" s="147">
        <f>$I2671*'Assumptions (T&amp;D)'!G$101</f>
        <v>0.45674352747585467</v>
      </c>
      <c r="O2786" s="147">
        <f>$I2671*'Assumptions (T&amp;D)'!H$101</f>
        <v>0.422433748779939</v>
      </c>
      <c r="P2786" s="147">
        <f>$I2671*'Assumptions (T&amp;D)'!I$101</f>
        <v>0.39080307119126106</v>
      </c>
      <c r="Q2786" s="147">
        <f>$I2671*'Assumptions (T&amp;D)'!J$101</f>
        <v>0.38561771420951058</v>
      </c>
      <c r="R2786" s="147">
        <f>$I2671*'Assumptions (T&amp;D)'!K$101</f>
        <v>0.38553129159314803</v>
      </c>
      <c r="S2786" s="147">
        <f>$I2671*'Assumptions (T&amp;D)'!L$101</f>
        <v>0.38561771420951058</v>
      </c>
      <c r="T2786" s="147">
        <f>$I2671*'Assumptions (T&amp;D)'!M$101</f>
        <v>0.38553129159314803</v>
      </c>
      <c r="U2786" s="147">
        <f>$I2671*'Assumptions (T&amp;D)'!N$101</f>
        <v>0.38561771420951058</v>
      </c>
      <c r="V2786" s="147">
        <f>$I2671*'Assumptions (T&amp;D)'!O$101</f>
        <v>0.38553129159314803</v>
      </c>
      <c r="W2786" s="147">
        <f>$I2671*'Assumptions (T&amp;D)'!P$101</f>
        <v>0.38561771420951058</v>
      </c>
      <c r="X2786" s="147">
        <f>$I2671*'Assumptions (T&amp;D)'!Q$101</f>
        <v>0.38553129159314803</v>
      </c>
      <c r="Y2786" s="147">
        <f>$I2671*'Assumptions (T&amp;D)'!R$101</f>
        <v>0.38561771420951058</v>
      </c>
      <c r="Z2786" s="147">
        <f>$I2671*'Assumptions (T&amp;D)'!S$101</f>
        <v>0.38553129159314803</v>
      </c>
      <c r="AA2786" s="147">
        <f>$I2671*'Assumptions (T&amp;D)'!T$101</f>
        <v>0.38561771420951058</v>
      </c>
      <c r="AB2786" s="147">
        <f>$I2671*'Assumptions (T&amp;D)'!U$101</f>
        <v>0.38553129159314803</v>
      </c>
      <c r="AC2786" s="147">
        <f>$I2671*'Assumptions (T&amp;D)'!V$101</f>
        <v>0.19280885710475529</v>
      </c>
    </row>
    <row r="2787" spans="1:43" ht="15.75" hidden="1" customHeight="1" outlineLevel="1">
      <c r="A2787" s="460"/>
      <c r="B2787" s="99"/>
      <c r="C2787" s="147"/>
      <c r="D2787" s="42"/>
      <c r="E2787" s="42"/>
      <c r="F2787" s="42"/>
      <c r="G2787" s="42"/>
      <c r="H2787" s="42"/>
      <c r="I2787" s="42"/>
      <c r="J2787" s="147">
        <f>$J2671*'Assumptions (T&amp;D)'!B$101</f>
        <v>0.33981636684010375</v>
      </c>
      <c r="K2787" s="147">
        <f>$J2671*'Assumptions (T&amp;D)'!C$101</f>
        <v>0.65416916059165575</v>
      </c>
      <c r="L2787" s="147">
        <f>$J2671*'Assumptions (T&amp;D)'!D$101</f>
        <v>0.60505436837103266</v>
      </c>
      <c r="M2787" s="147">
        <f>$J2671*'Assumptions (T&amp;D)'!E$101</f>
        <v>0.55974551945901885</v>
      </c>
      <c r="N2787" s="147">
        <f>$J2671*'Assumptions (T&amp;D)'!F$101</f>
        <v>0.51769890766867011</v>
      </c>
      <c r="O2787" s="147">
        <f>$J2671*'Assumptions (T&amp;D)'!G$101</f>
        <v>0.47891453299998621</v>
      </c>
      <c r="P2787" s="147">
        <f>$J2671*'Assumptions (T&amp;D)'!H$101</f>
        <v>0.4429393069638472</v>
      </c>
      <c r="Q2787" s="147">
        <f>$J2671*'Assumptions (T&amp;D)'!I$101</f>
        <v>0.40977322956025314</v>
      </c>
      <c r="R2787" s="147">
        <f>$J2671*'Assumptions (T&amp;D)'!J$101</f>
        <v>0.40433616769081143</v>
      </c>
      <c r="S2787" s="147">
        <f>$J2671*'Assumptions (T&amp;D)'!K$101</f>
        <v>0.4042455499929874</v>
      </c>
      <c r="T2787" s="147">
        <f>$J2671*'Assumptions (T&amp;D)'!L$101</f>
        <v>0.40433616769081143</v>
      </c>
      <c r="U2787" s="147">
        <f>$J2671*'Assumptions (T&amp;D)'!M$101</f>
        <v>0.4042455499929874</v>
      </c>
      <c r="V2787" s="147">
        <f>$J2671*'Assumptions (T&amp;D)'!N$101</f>
        <v>0.40433616769081143</v>
      </c>
      <c r="W2787" s="147">
        <f>$J2671*'Assumptions (T&amp;D)'!O$101</f>
        <v>0.4042455499929874</v>
      </c>
      <c r="X2787" s="147">
        <f>$J2671*'Assumptions (T&amp;D)'!P$101</f>
        <v>0.40433616769081143</v>
      </c>
      <c r="Y2787" s="147">
        <f>$J2671*'Assumptions (T&amp;D)'!Q$101</f>
        <v>0.4042455499929874</v>
      </c>
      <c r="Z2787" s="147">
        <f>$J2671*'Assumptions (T&amp;D)'!R$101</f>
        <v>0.40433616769081143</v>
      </c>
      <c r="AA2787" s="147">
        <f>$J2671*'Assumptions (T&amp;D)'!S$101</f>
        <v>0.4042455499929874</v>
      </c>
      <c r="AB2787" s="147">
        <f>$J2671*'Assumptions (T&amp;D)'!T$101</f>
        <v>0.40433616769081143</v>
      </c>
      <c r="AC2787" s="147">
        <f>$J2671*'Assumptions (T&amp;D)'!U$101</f>
        <v>0.4042455499929874</v>
      </c>
      <c r="AD2787" s="147">
        <f>$J2671*'Assumptions (T&amp;D)'!V$101</f>
        <v>0.20216808384540572</v>
      </c>
    </row>
    <row r="2788" spans="1:43" ht="15.75" hidden="1" customHeight="1" outlineLevel="1">
      <c r="A2788" s="460"/>
      <c r="B2788" s="99"/>
      <c r="C2788" s="147"/>
      <c r="D2788" s="42"/>
      <c r="E2788" s="42"/>
      <c r="F2788" s="42"/>
      <c r="G2788" s="42"/>
      <c r="H2788" s="42"/>
      <c r="I2788" s="42"/>
      <c r="J2788" s="42"/>
      <c r="K2788" s="147">
        <f>$K2671*'Assumptions (T&amp;D)'!B$101</f>
        <v>0.40386863543400009</v>
      </c>
      <c r="L2788" s="147">
        <f>$K2671*'Assumptions (T&amp;D)'!C$101</f>
        <v>0.77747404778614582</v>
      </c>
      <c r="M2788" s="147">
        <f>$K2671*'Assumptions (T&amp;D)'!D$101</f>
        <v>0.71910156767808486</v>
      </c>
      <c r="N2788" s="147">
        <f>$K2671*'Assumptions (T&amp;D)'!E$101</f>
        <v>0.66525241628688492</v>
      </c>
      <c r="O2788" s="147">
        <f>$K2671*'Assumptions (T&amp;D)'!F$101</f>
        <v>0.61528040379585136</v>
      </c>
      <c r="P2788" s="147">
        <f>$K2671*'Assumptions (T&amp;D)'!G$101</f>
        <v>0.56918553020498419</v>
      </c>
      <c r="Q2788" s="147">
        <f>$K2671*'Assumptions (T&amp;D)'!H$101</f>
        <v>0.52642930400037136</v>
      </c>
      <c r="R2788" s="147">
        <f>$K2671*'Assumptions (T&amp;D)'!I$101</f>
        <v>0.48701172518201297</v>
      </c>
      <c r="S2788" s="147">
        <f>$K2671*'Assumptions (T&amp;D)'!J$101</f>
        <v>0.48054982701506893</v>
      </c>
      <c r="T2788" s="147">
        <f>$K2671*'Assumptions (T&amp;D)'!K$101</f>
        <v>0.48044212871228648</v>
      </c>
      <c r="U2788" s="147">
        <f>$K2671*'Assumptions (T&amp;D)'!L$101</f>
        <v>0.48054982701506893</v>
      </c>
      <c r="V2788" s="147">
        <f>$K2671*'Assumptions (T&amp;D)'!M$101</f>
        <v>0.48044212871228648</v>
      </c>
      <c r="W2788" s="147">
        <f>$K2671*'Assumptions (T&amp;D)'!N$101</f>
        <v>0.48054982701506893</v>
      </c>
      <c r="X2788" s="147">
        <f>$K2671*'Assumptions (T&amp;D)'!O$101</f>
        <v>0.48044212871228648</v>
      </c>
      <c r="Y2788" s="147">
        <f>$K2671*'Assumptions (T&amp;D)'!P$101</f>
        <v>0.48054982701506893</v>
      </c>
      <c r="Z2788" s="147">
        <f>$K2671*'Assumptions (T&amp;D)'!Q$101</f>
        <v>0.48044212871228648</v>
      </c>
      <c r="AA2788" s="147">
        <f>$K2671*'Assumptions (T&amp;D)'!R$101</f>
        <v>0.48054982701506893</v>
      </c>
      <c r="AB2788" s="147">
        <f>$K2671*'Assumptions (T&amp;D)'!S$101</f>
        <v>0.48044212871228648</v>
      </c>
      <c r="AC2788" s="147">
        <f>$K2671*'Assumptions (T&amp;D)'!T$101</f>
        <v>0.48054982701506893</v>
      </c>
      <c r="AD2788" s="147">
        <f>$K2671*'Assumptions (T&amp;D)'!U$101</f>
        <v>0.48044212871228648</v>
      </c>
      <c r="AE2788" s="147">
        <f>$K2671*'Assumptions (T&amp;D)'!V$101</f>
        <v>0.24027491350753447</v>
      </c>
    </row>
    <row r="2789" spans="1:43" ht="15.75" hidden="1" customHeight="1" outlineLevel="1">
      <c r="A2789" s="460"/>
      <c r="B2789" s="99"/>
      <c r="C2789" s="42"/>
      <c r="D2789" s="42"/>
      <c r="E2789" s="42"/>
      <c r="F2789" s="42"/>
      <c r="G2789" s="42"/>
      <c r="H2789" s="42"/>
      <c r="I2789" s="42"/>
      <c r="J2789" s="42"/>
      <c r="K2789" s="42"/>
      <c r="L2789" s="147">
        <f>$L2671*'Assumptions (T&amp;D)'!B$101</f>
        <v>0.40612399408350003</v>
      </c>
      <c r="M2789" s="147">
        <f>$L2671*'Assumptions (T&amp;D)'!C$101</f>
        <v>0.78181576354367655</v>
      </c>
      <c r="N2789" s="147">
        <f>$L2671*'Assumptions (T&amp;D)'!D$101</f>
        <v>0.72311730893214121</v>
      </c>
      <c r="O2789" s="147">
        <f>$L2671*'Assumptions (T&amp;D)'!E$101</f>
        <v>0.6689674430543413</v>
      </c>
      <c r="P2789" s="147">
        <f>$L2671*'Assumptions (T&amp;D)'!F$101</f>
        <v>0.6187163675197429</v>
      </c>
      <c r="Q2789" s="147">
        <f>$L2671*'Assumptions (T&amp;D)'!G$101</f>
        <v>0.57236408232834601</v>
      </c>
      <c r="R2789" s="147">
        <f>$L2671*'Assumptions (T&amp;D)'!H$101</f>
        <v>0.5293690888213729</v>
      </c>
      <c r="S2789" s="147">
        <f>$L2671*'Assumptions (T&amp;D)'!I$101</f>
        <v>0.48973138699882329</v>
      </c>
      <c r="T2789" s="147">
        <f>$L2671*'Assumptions (T&amp;D)'!J$101</f>
        <v>0.48323340309348722</v>
      </c>
      <c r="U2789" s="147">
        <f>$L2671*'Assumptions (T&amp;D)'!K$101</f>
        <v>0.48312510336173159</v>
      </c>
      <c r="V2789" s="147">
        <f>$L2671*'Assumptions (T&amp;D)'!L$101</f>
        <v>0.48323340309348722</v>
      </c>
      <c r="W2789" s="147">
        <f>$L2671*'Assumptions (T&amp;D)'!M$101</f>
        <v>0.48312510336173159</v>
      </c>
      <c r="X2789" s="147">
        <f>$L2671*'Assumptions (T&amp;D)'!N$101</f>
        <v>0.48323340309348722</v>
      </c>
      <c r="Y2789" s="147">
        <f>$L2671*'Assumptions (T&amp;D)'!O$101</f>
        <v>0.48312510336173159</v>
      </c>
      <c r="Z2789" s="147">
        <f>$L2671*'Assumptions (T&amp;D)'!P$101</f>
        <v>0.48323340309348722</v>
      </c>
      <c r="AA2789" s="147">
        <f>$L2671*'Assumptions (T&amp;D)'!Q$101</f>
        <v>0.48312510336173159</v>
      </c>
      <c r="AB2789" s="147">
        <f>$L2671*'Assumptions (T&amp;D)'!R$101</f>
        <v>0.48323340309348722</v>
      </c>
      <c r="AC2789" s="147">
        <f>$L2671*'Assumptions (T&amp;D)'!S$101</f>
        <v>0.48312510336173159</v>
      </c>
      <c r="AD2789" s="147">
        <f>$L2671*'Assumptions (T&amp;D)'!T$101</f>
        <v>0.48323340309348722</v>
      </c>
      <c r="AE2789" s="147">
        <f>$L2671*'Assumptions (T&amp;D)'!U$101</f>
        <v>0.48312510336173159</v>
      </c>
      <c r="AF2789" s="147">
        <f>$L2671*'Assumptions (T&amp;D)'!V$101</f>
        <v>0.24161670154674361</v>
      </c>
    </row>
    <row r="2790" spans="1:43" ht="15.75" hidden="1" customHeight="1" outlineLevel="1">
      <c r="A2790" s="460"/>
      <c r="B2790" s="99"/>
      <c r="C2790" s="42"/>
      <c r="D2790" s="42"/>
      <c r="E2790" s="42"/>
      <c r="F2790" s="42"/>
      <c r="G2790" s="42"/>
      <c r="H2790" s="42"/>
      <c r="I2790" s="42"/>
      <c r="J2790" s="42"/>
      <c r="K2790" s="42"/>
      <c r="L2790" s="42"/>
      <c r="M2790" s="147">
        <f>$M2671*'Assumptions (T&amp;D)'!B$101</f>
        <v>0.50726708960399991</v>
      </c>
      <c r="N2790" s="147">
        <f>$M2671*'Assumptions (T&amp;D)'!C$101</f>
        <v>0.97652296529367355</v>
      </c>
      <c r="O2790" s="147">
        <f>$M2671*'Assumptions (T&amp;D)'!D$101</f>
        <v>0.9032059619429087</v>
      </c>
      <c r="P2790" s="147">
        <f>$M2671*'Assumptions (T&amp;D)'!E$101</f>
        <v>0.83557034999570867</v>
      </c>
      <c r="Q2790" s="147">
        <f>$M2671*'Assumptions (T&amp;D)'!F$101</f>
        <v>0.7728045021087071</v>
      </c>
      <c r="R2790" s="147">
        <f>$M2671*'Assumptions (T&amp;D)'!G$101</f>
        <v>0.71490841828190399</v>
      </c>
      <c r="S2790" s="147">
        <f>$M2671*'Assumptions (T&amp;D)'!H$101</f>
        <v>0.66120574239582719</v>
      </c>
      <c r="T2790" s="147">
        <f>$M2671*'Assumptions (T&amp;D)'!I$101</f>
        <v>0.61169647445047681</v>
      </c>
      <c r="U2790" s="147">
        <f>$M2671*'Assumptions (T&amp;D)'!J$101</f>
        <v>0.60358020101681276</v>
      </c>
      <c r="V2790" s="147">
        <f>$M2671*'Assumptions (T&amp;D)'!K$101</f>
        <v>0.60344492979291831</v>
      </c>
      <c r="W2790" s="147">
        <f>$M2671*'Assumptions (T&amp;D)'!L$101</f>
        <v>0.60358020101681276</v>
      </c>
      <c r="X2790" s="147">
        <f>$M2671*'Assumptions (T&amp;D)'!M$101</f>
        <v>0.60344492979291831</v>
      </c>
      <c r="Y2790" s="147">
        <f>$M2671*'Assumptions (T&amp;D)'!N$101</f>
        <v>0.60358020101681276</v>
      </c>
      <c r="Z2790" s="147">
        <f>$M2671*'Assumptions (T&amp;D)'!O$101</f>
        <v>0.60344492979291831</v>
      </c>
      <c r="AA2790" s="147">
        <f>$M2671*'Assumptions (T&amp;D)'!P$101</f>
        <v>0.60358020101681276</v>
      </c>
      <c r="AB2790" s="147">
        <f>$M2671*'Assumptions (T&amp;D)'!Q$101</f>
        <v>0.60344492979291831</v>
      </c>
      <c r="AC2790" s="147">
        <f>$M2671*'Assumptions (T&amp;D)'!R$101</f>
        <v>0.60358020101681276</v>
      </c>
      <c r="AD2790" s="147">
        <f>$M2671*'Assumptions (T&amp;D)'!S$101</f>
        <v>0.60344492979291831</v>
      </c>
      <c r="AE2790" s="147">
        <f>$M2671*'Assumptions (T&amp;D)'!T$101</f>
        <v>0.60358020101681276</v>
      </c>
      <c r="AF2790" s="147">
        <f>$M2671*'Assumptions (T&amp;D)'!U$101</f>
        <v>0.60344492979291831</v>
      </c>
      <c r="AG2790" s="147">
        <f>$M2671*'Assumptions (T&amp;D)'!V$101</f>
        <v>0.30179010050840638</v>
      </c>
    </row>
    <row r="2791" spans="1:43" ht="15.75" hidden="1" customHeight="1" outlineLevel="1">
      <c r="A2791" s="460"/>
      <c r="B2791" s="99"/>
      <c r="C2791" s="42"/>
      <c r="D2791" s="42"/>
      <c r="E2791" s="42"/>
      <c r="F2791" s="42"/>
      <c r="G2791" s="42"/>
      <c r="H2791" s="42"/>
      <c r="I2791" s="42"/>
      <c r="J2791" s="42"/>
      <c r="K2791" s="42"/>
      <c r="L2791" s="42"/>
      <c r="M2791" s="42"/>
      <c r="N2791" s="147">
        <f>$N2671*'Assumptions (T&amp;D)'!B$101</f>
        <v>0.51880238977049997</v>
      </c>
      <c r="O2791" s="147">
        <f>$N2671*'Assumptions (T&amp;D)'!C$101</f>
        <v>0.99872918713419734</v>
      </c>
      <c r="P2791" s="147">
        <f>$N2671*'Assumptions (T&amp;D)'!D$101</f>
        <v>0.9237449483993676</v>
      </c>
      <c r="Q2791" s="147">
        <f>$N2671*'Assumptions (T&amp;D)'!E$101</f>
        <v>0.85457129642996765</v>
      </c>
      <c r="R2791" s="147">
        <f>$N2671*'Assumptions (T&amp;D)'!F$101</f>
        <v>0.79037814740236445</v>
      </c>
      <c r="S2791" s="147">
        <f>$N2671*'Assumptions (T&amp;D)'!G$101</f>
        <v>0.73116550131655811</v>
      </c>
      <c r="T2791" s="147">
        <f>$N2671*'Assumptions (T&amp;D)'!H$101</f>
        <v>0.6762416216528544</v>
      </c>
      <c r="U2791" s="147">
        <f>$N2671*'Assumptions (T&amp;D)'!I$101</f>
        <v>0.62560650841125365</v>
      </c>
      <c r="V2791" s="147">
        <f>$N2671*'Assumptions (T&amp;D)'!J$101</f>
        <v>0.61730567017492566</v>
      </c>
      <c r="W2791" s="147">
        <f>$N2671*'Assumptions (T&amp;D)'!K$101</f>
        <v>0.61716732287098686</v>
      </c>
      <c r="X2791" s="147">
        <f>$N2671*'Assumptions (T&amp;D)'!L$101</f>
        <v>0.61730567017492566</v>
      </c>
      <c r="Y2791" s="147">
        <f>$N2671*'Assumptions (T&amp;D)'!M$101</f>
        <v>0.61716732287098686</v>
      </c>
      <c r="Z2791" s="147">
        <f>$N2671*'Assumptions (T&amp;D)'!N$101</f>
        <v>0.61730567017492566</v>
      </c>
      <c r="AA2791" s="147">
        <f>$N2671*'Assumptions (T&amp;D)'!O$101</f>
        <v>0.61716732287098686</v>
      </c>
      <c r="AB2791" s="147">
        <f>$N2671*'Assumptions (T&amp;D)'!P$101</f>
        <v>0.61730567017492566</v>
      </c>
      <c r="AC2791" s="147">
        <f>$N2671*'Assumptions (T&amp;D)'!Q$101</f>
        <v>0.61716732287098686</v>
      </c>
      <c r="AD2791" s="147">
        <f>$N2671*'Assumptions (T&amp;D)'!R$101</f>
        <v>0.61730567017492566</v>
      </c>
      <c r="AE2791" s="147">
        <f>$N2671*'Assumptions (T&amp;D)'!S$101</f>
        <v>0.61716732287098686</v>
      </c>
      <c r="AF2791" s="147">
        <f>$N2671*'Assumptions (T&amp;D)'!T$101</f>
        <v>0.61730567017492566</v>
      </c>
      <c r="AG2791" s="147">
        <f>$N2671*'Assumptions (T&amp;D)'!U$101</f>
        <v>0.61716732287098686</v>
      </c>
      <c r="AH2791" s="147">
        <f>$N2671*'Assumptions (T&amp;D)'!V$101</f>
        <v>0.30865283508746283</v>
      </c>
    </row>
    <row r="2792" spans="1:43" ht="15.75" hidden="1" customHeight="1" outlineLevel="1">
      <c r="A2792" s="460"/>
      <c r="B2792" s="99"/>
      <c r="C2792" s="42"/>
      <c r="D2792" s="42"/>
      <c r="E2792" s="42"/>
      <c r="F2792" s="42"/>
      <c r="G2792" s="42"/>
      <c r="H2792" s="42"/>
      <c r="I2792" s="42"/>
      <c r="J2792" s="42"/>
      <c r="K2792" s="42"/>
      <c r="L2792" s="42"/>
      <c r="M2792" s="42"/>
      <c r="N2792" s="42"/>
      <c r="O2792" s="147">
        <f>$O2671*'Assumptions (T&amp;D)'!B$101</f>
        <v>0.67078179620099998</v>
      </c>
      <c r="P2792" s="147">
        <f>$O2671*'Assumptions (T&amp;D)'!C$101</f>
        <v>1.2912996764733384</v>
      </c>
      <c r="Q2792" s="147">
        <f>$O2671*'Assumptions (T&amp;D)'!D$101</f>
        <v>1.1943493475290872</v>
      </c>
      <c r="R2792" s="147">
        <f>$O2671*'Assumptions (T&amp;D)'!E$101</f>
        <v>1.1049117747022872</v>
      </c>
      <c r="S2792" s="147">
        <f>$O2671*'Assumptions (T&amp;D)'!F$101</f>
        <v>1.0219137071190167</v>
      </c>
      <c r="T2792" s="147">
        <f>$O2671*'Assumptions (T&amp;D)'!G$101</f>
        <v>0.94535514477927607</v>
      </c>
      <c r="U2792" s="147">
        <f>$O2671*'Assumptions (T&amp;D)'!H$101</f>
        <v>0.87434171195479682</v>
      </c>
      <c r="V2792" s="147">
        <f>$O2671*'Assumptions (T&amp;D)'!I$101</f>
        <v>0.80887340864557922</v>
      </c>
      <c r="W2792" s="147">
        <f>$O2671*'Assumptions (T&amp;D)'!J$101</f>
        <v>0.79814089990636317</v>
      </c>
      <c r="X2792" s="147">
        <f>$O2671*'Assumptions (T&amp;D)'!K$101</f>
        <v>0.79796202476070954</v>
      </c>
      <c r="Y2792" s="147">
        <f>$O2671*'Assumptions (T&amp;D)'!L$101</f>
        <v>0.79814089990636317</v>
      </c>
      <c r="Z2792" s="147">
        <f>$O2671*'Assumptions (T&amp;D)'!M$101</f>
        <v>0.79796202476070954</v>
      </c>
      <c r="AA2792" s="147">
        <f>$O2671*'Assumptions (T&amp;D)'!N$101</f>
        <v>0.79814089990636317</v>
      </c>
      <c r="AB2792" s="147">
        <f>$O2671*'Assumptions (T&amp;D)'!O$101</f>
        <v>0.79796202476070954</v>
      </c>
      <c r="AC2792" s="147">
        <f>$O2671*'Assumptions (T&amp;D)'!P$101</f>
        <v>0.79814089990636317</v>
      </c>
      <c r="AD2792" s="147">
        <f>$O2671*'Assumptions (T&amp;D)'!Q$101</f>
        <v>0.79796202476070954</v>
      </c>
      <c r="AE2792" s="147">
        <f>$O2671*'Assumptions (T&amp;D)'!R$101</f>
        <v>0.79814089990636317</v>
      </c>
      <c r="AF2792" s="147">
        <f>$O2671*'Assumptions (T&amp;D)'!S$101</f>
        <v>0.79796202476070954</v>
      </c>
      <c r="AG2792" s="147">
        <f>$O2671*'Assumptions (T&amp;D)'!T$101</f>
        <v>0.79814089990636317</v>
      </c>
      <c r="AH2792" s="147">
        <f>$O2671*'Assumptions (T&amp;D)'!U$101</f>
        <v>0.79796202476070954</v>
      </c>
      <c r="AI2792" s="147">
        <f>$O2671*'Assumptions (T&amp;D)'!V$101</f>
        <v>0.39907044995318158</v>
      </c>
    </row>
    <row r="2793" spans="1:43" ht="15.75" hidden="1" customHeight="1" outlineLevel="1">
      <c r="A2793" s="460"/>
      <c r="B2793" s="99"/>
      <c r="C2793" s="42"/>
      <c r="D2793" s="42"/>
      <c r="E2793" s="42"/>
      <c r="F2793" s="42"/>
      <c r="G2793" s="42"/>
      <c r="H2793" s="42"/>
      <c r="I2793" s="42"/>
      <c r="J2793" s="42"/>
      <c r="K2793" s="42"/>
      <c r="L2793" s="42"/>
      <c r="M2793" s="42"/>
      <c r="N2793" s="42"/>
      <c r="O2793" s="42"/>
      <c r="P2793" s="147">
        <f>$P2671*'Assumptions (T&amp;D)'!B$101</f>
        <v>0.98547559986150013</v>
      </c>
      <c r="Q2793" s="147">
        <f>$P2671*'Assumptions (T&amp;D)'!C$101</f>
        <v>1.8971062281067121</v>
      </c>
      <c r="R2793" s="147">
        <f>$P2671*'Assumptions (T&amp;D)'!D$101</f>
        <v>1.754672154740063</v>
      </c>
      <c r="S2793" s="147">
        <f>$P2671*'Assumptions (T&amp;D)'!E$101</f>
        <v>1.6232754080918632</v>
      </c>
      <c r="T2793" s="147">
        <f>$P2671*'Assumptions (T&amp;D)'!F$101</f>
        <v>1.5013392272023336</v>
      </c>
      <c r="U2793" s="147">
        <f>$P2671*'Assumptions (T&amp;D)'!G$101</f>
        <v>1.3888636120714744</v>
      </c>
      <c r="V2793" s="147">
        <f>$P2671*'Assumptions (T&amp;D)'!H$101</f>
        <v>1.2845345952328036</v>
      </c>
      <c r="W2793" s="147">
        <f>$P2671*'Assumptions (T&amp;D)'!I$101</f>
        <v>1.1883521766863212</v>
      </c>
      <c r="X2793" s="147">
        <f>$P2671*'Assumptions (T&amp;D)'!J$101</f>
        <v>1.1725845670885371</v>
      </c>
      <c r="Y2793" s="147">
        <f>$P2671*'Assumptions (T&amp;D)'!K$101</f>
        <v>1.1723217735952405</v>
      </c>
      <c r="Z2793" s="147">
        <f>$P2671*'Assumptions (T&amp;D)'!L$101</f>
        <v>1.1725845670885371</v>
      </c>
      <c r="AA2793" s="147">
        <f>$P2671*'Assumptions (T&amp;D)'!M$101</f>
        <v>1.1723217735952405</v>
      </c>
      <c r="AB2793" s="147">
        <f>$P2671*'Assumptions (T&amp;D)'!N$101</f>
        <v>1.1725845670885371</v>
      </c>
      <c r="AC2793" s="147">
        <f>$P2671*'Assumptions (T&amp;D)'!O$101</f>
        <v>1.1723217735952405</v>
      </c>
      <c r="AD2793" s="147">
        <f>$P2671*'Assumptions (T&amp;D)'!P$101</f>
        <v>1.1725845670885371</v>
      </c>
      <c r="AE2793" s="147">
        <f>$P2671*'Assumptions (T&amp;D)'!Q$101</f>
        <v>1.1723217735952405</v>
      </c>
      <c r="AF2793" s="147">
        <f>$P2671*'Assumptions (T&amp;D)'!R$101</f>
        <v>1.1725845670885371</v>
      </c>
      <c r="AG2793" s="147">
        <f>$P2671*'Assumptions (T&amp;D)'!S$101</f>
        <v>1.1723217735952405</v>
      </c>
      <c r="AH2793" s="147">
        <f>$P2671*'Assumptions (T&amp;D)'!T$101</f>
        <v>1.1725845670885371</v>
      </c>
      <c r="AI2793" s="147">
        <f>$P2671*'Assumptions (T&amp;D)'!U$101</f>
        <v>1.1723217735952405</v>
      </c>
      <c r="AJ2793" s="147">
        <f>$P2671*'Assumptions (T&amp;D)'!V$101</f>
        <v>0.58629228354426854</v>
      </c>
    </row>
    <row r="2794" spans="1:43" ht="15.75" hidden="1" customHeight="1" outlineLevel="1">
      <c r="A2794" s="460"/>
      <c r="B2794" s="99"/>
      <c r="C2794" s="42"/>
      <c r="D2794" s="42"/>
      <c r="E2794" s="42"/>
      <c r="F2794" s="42"/>
      <c r="G2794" s="42"/>
      <c r="H2794" s="42"/>
      <c r="I2794" s="42"/>
      <c r="J2794" s="42"/>
      <c r="K2794" s="42"/>
      <c r="L2794" s="42"/>
      <c r="M2794" s="42"/>
      <c r="N2794" s="42"/>
      <c r="O2794" s="42"/>
      <c r="P2794" s="42"/>
      <c r="Q2794" s="147">
        <f>$Q2671*'Assumptions (T&amp;D)'!B$101</f>
        <v>0.89097529177800006</v>
      </c>
      <c r="R2794" s="147">
        <f>$Q2671*'Assumptions (T&amp;D)'!C$101</f>
        <v>1.7151868350254353</v>
      </c>
      <c r="S2794" s="147">
        <f>$Q2671*'Assumptions (T&amp;D)'!D$101</f>
        <v>1.5864112061871216</v>
      </c>
      <c r="T2794" s="147">
        <f>$Q2671*'Assumptions (T&amp;D)'!E$101</f>
        <v>1.4676145006167216</v>
      </c>
      <c r="U2794" s="147">
        <f>$Q2671*'Assumptions (T&amp;D)'!F$101</f>
        <v>1.3573711578473906</v>
      </c>
      <c r="V2794" s="147">
        <f>$Q2671*'Assumptions (T&amp;D)'!G$101</f>
        <v>1.2556811778791281</v>
      </c>
      <c r="W2794" s="147">
        <f>$Q2671*'Assumptions (T&amp;D)'!H$101</f>
        <v>1.1613565936562305</v>
      </c>
      <c r="X2794" s="147">
        <f>$Q2671*'Assumptions (T&amp;D)'!I$101</f>
        <v>1.0743974051786978</v>
      </c>
      <c r="Y2794" s="147">
        <f>$Q2671*'Assumptions (T&amp;D)'!J$101</f>
        <v>1.0601418005102496</v>
      </c>
      <c r="Z2794" s="147">
        <f>$Q2671*'Assumptions (T&amp;D)'!K$101</f>
        <v>1.0599042070991087</v>
      </c>
      <c r="AA2794" s="147">
        <f>$Q2671*'Assumptions (T&amp;D)'!L$101</f>
        <v>1.0601418005102496</v>
      </c>
      <c r="AB2794" s="147">
        <f>$Q2671*'Assumptions (T&amp;D)'!M$101</f>
        <v>1.0599042070991087</v>
      </c>
      <c r="AC2794" s="147">
        <f>$Q2671*'Assumptions (T&amp;D)'!N$101</f>
        <v>1.0601418005102496</v>
      </c>
      <c r="AD2794" s="147">
        <f>$Q2671*'Assumptions (T&amp;D)'!O$101</f>
        <v>1.0599042070991087</v>
      </c>
      <c r="AE2794" s="147">
        <f>$Q2671*'Assumptions (T&amp;D)'!P$101</f>
        <v>1.0601418005102496</v>
      </c>
      <c r="AF2794" s="147">
        <f>$Q2671*'Assumptions (T&amp;D)'!Q$101</f>
        <v>1.0599042070991087</v>
      </c>
      <c r="AG2794" s="147">
        <f>$Q2671*'Assumptions (T&amp;D)'!R$101</f>
        <v>1.0601418005102496</v>
      </c>
      <c r="AH2794" s="147">
        <f>$Q2671*'Assumptions (T&amp;D)'!S$101</f>
        <v>1.0599042070991087</v>
      </c>
      <c r="AI2794" s="147">
        <f>$Q2671*'Assumptions (T&amp;D)'!T$101</f>
        <v>1.0601418005102496</v>
      </c>
      <c r="AJ2794" s="147">
        <f>$Q2671*'Assumptions (T&amp;D)'!U$101</f>
        <v>1.0599042070991087</v>
      </c>
      <c r="AK2794" s="147">
        <f>$Q2671*'Assumptions (T&amp;D)'!V$101</f>
        <v>0.53007090025512482</v>
      </c>
    </row>
    <row r="2795" spans="1:43" ht="15.75" hidden="1" customHeight="1" outlineLevel="1">
      <c r="A2795" s="460"/>
      <c r="B2795" s="99"/>
      <c r="C2795" s="42"/>
      <c r="D2795" s="42"/>
      <c r="E2795" s="42"/>
      <c r="F2795" s="42"/>
      <c r="G2795" s="42"/>
      <c r="H2795" s="42"/>
      <c r="I2795" s="42"/>
      <c r="J2795" s="42"/>
      <c r="K2795" s="42"/>
      <c r="L2795" s="42"/>
      <c r="M2795" s="42"/>
      <c r="N2795" s="42"/>
      <c r="O2795" s="42"/>
      <c r="P2795" s="42"/>
      <c r="Q2795" s="42"/>
      <c r="R2795" s="147">
        <f>$R2671*'Assumptions (T&amp;D)'!B$101</f>
        <v>0.93256524662399987</v>
      </c>
      <c r="S2795" s="147">
        <f>$R2671*'Assumptions (T&amp;D)'!C$101</f>
        <v>1.7952502707676417</v>
      </c>
      <c r="T2795" s="147">
        <f>$R2671*'Assumptions (T&amp;D)'!D$101</f>
        <v>1.6604635071222527</v>
      </c>
      <c r="U2795" s="147">
        <f>$R2671*'Assumptions (T&amp;D)'!E$101</f>
        <v>1.5361214742390525</v>
      </c>
      <c r="V2795" s="147">
        <f>$R2671*'Assumptions (T&amp;D)'!F$101</f>
        <v>1.4207320677234432</v>
      </c>
      <c r="W2795" s="147">
        <f>$R2671*'Assumptions (T&amp;D)'!G$101</f>
        <v>1.3142952875754239</v>
      </c>
      <c r="X2795" s="147">
        <f>$R2671*'Assumptions (T&amp;D)'!H$101</f>
        <v>1.2155677134661631</v>
      </c>
      <c r="Y2795" s="147">
        <f>$R2671*'Assumptions (T&amp;D)'!I$101</f>
        <v>1.1245493453956608</v>
      </c>
      <c r="Z2795" s="147">
        <f>$R2671*'Assumptions (T&amp;D)'!J$101</f>
        <v>1.1096283014496766</v>
      </c>
      <c r="AA2795" s="147">
        <f>$R2671*'Assumptions (T&amp;D)'!K$101</f>
        <v>1.1093796173839103</v>
      </c>
      <c r="AB2795" s="147">
        <f>$R2671*'Assumptions (T&amp;D)'!L$101</f>
        <v>1.1096283014496766</v>
      </c>
      <c r="AC2795" s="147">
        <f>$R2671*'Assumptions (T&amp;D)'!M$101</f>
        <v>1.1093796173839103</v>
      </c>
      <c r="AD2795" s="147">
        <f>$R2671*'Assumptions (T&amp;D)'!N$101</f>
        <v>1.1096283014496766</v>
      </c>
      <c r="AE2795" s="147">
        <f>$R2671*'Assumptions (T&amp;D)'!O$101</f>
        <v>1.1093796173839103</v>
      </c>
      <c r="AF2795" s="147">
        <f>$R2671*'Assumptions (T&amp;D)'!P$101</f>
        <v>1.1096283014496766</v>
      </c>
      <c r="AG2795" s="147">
        <f>$R2671*'Assumptions (T&amp;D)'!Q$101</f>
        <v>1.1093796173839103</v>
      </c>
      <c r="AH2795" s="147">
        <f>$R2671*'Assumptions (T&amp;D)'!R$101</f>
        <v>1.1096283014496766</v>
      </c>
      <c r="AI2795" s="147">
        <f>$R2671*'Assumptions (T&amp;D)'!S$101</f>
        <v>1.1093796173839103</v>
      </c>
      <c r="AJ2795" s="147">
        <f>$R2671*'Assumptions (T&amp;D)'!T$101</f>
        <v>1.1096283014496766</v>
      </c>
      <c r="AK2795" s="147">
        <f>$R2671*'Assumptions (T&amp;D)'!U$101</f>
        <v>1.1093796173839103</v>
      </c>
      <c r="AL2795" s="147">
        <f>$R2671*'Assumptions (T&amp;D)'!V$101</f>
        <v>0.55481415072483831</v>
      </c>
    </row>
    <row r="2796" spans="1:43" ht="15.75" hidden="1" customHeight="1" outlineLevel="1">
      <c r="A2796" s="460"/>
      <c r="B2796" s="99"/>
      <c r="C2796" s="42"/>
      <c r="D2796" s="42"/>
      <c r="E2796" s="42"/>
      <c r="F2796" s="42"/>
      <c r="G2796" s="42"/>
      <c r="H2796" s="42"/>
      <c r="I2796" s="42"/>
      <c r="J2796" s="42"/>
      <c r="K2796" s="42"/>
      <c r="L2796" s="42"/>
      <c r="M2796" s="42"/>
      <c r="N2796" s="42"/>
      <c r="O2796" s="42"/>
      <c r="P2796" s="42"/>
      <c r="Q2796" s="42"/>
      <c r="R2796" s="42"/>
      <c r="S2796" s="147">
        <f>$S2671*'Assumptions (T&amp;D)'!B$101</f>
        <v>1.0022534135460002</v>
      </c>
      <c r="T2796" s="147">
        <f>$S2671*'Assumptions (T&amp;D)'!C$101</f>
        <v>1.9294046379702867</v>
      </c>
      <c r="U2796" s="147">
        <f>$S2671*'Assumptions (T&amp;D)'!D$101</f>
        <v>1.7845456112657714</v>
      </c>
      <c r="V2796" s="147">
        <f>$S2671*'Assumptions (T&amp;D)'!E$101</f>
        <v>1.6509118227929713</v>
      </c>
      <c r="W2796" s="147">
        <f>$S2671*'Assumptions (T&amp;D)'!F$101</f>
        <v>1.5268996670902131</v>
      </c>
      <c r="X2796" s="147">
        <f>$S2671*'Assumptions (T&amp;D)'!G$101</f>
        <v>1.4125091441574962</v>
      </c>
      <c r="Y2796" s="147">
        <f>$S2671*'Assumptions (T&amp;D)'!H$101</f>
        <v>1.3064039161100929</v>
      </c>
      <c r="Z2796" s="147">
        <f>$S2671*'Assumptions (T&amp;D)'!I$101</f>
        <v>1.2085839829480034</v>
      </c>
      <c r="AA2796" s="147">
        <f>$S2671*'Assumptions (T&amp;D)'!J$101</f>
        <v>1.1925479283312674</v>
      </c>
      <c r="AB2796" s="147">
        <f>$S2671*'Assumptions (T&amp;D)'!K$101</f>
        <v>1.1922806607543217</v>
      </c>
      <c r="AC2796" s="147">
        <f>$S2671*'Assumptions (T&amp;D)'!L$101</f>
        <v>1.1925479283312674</v>
      </c>
      <c r="AD2796" s="147">
        <f>$S2671*'Assumptions (T&amp;D)'!M$101</f>
        <v>1.1922806607543217</v>
      </c>
      <c r="AE2796" s="147">
        <f>$S2671*'Assumptions (T&amp;D)'!N$101</f>
        <v>1.1925479283312674</v>
      </c>
      <c r="AF2796" s="147">
        <f>$S2671*'Assumptions (T&amp;D)'!O$101</f>
        <v>1.1922806607543217</v>
      </c>
      <c r="AG2796" s="147">
        <f>$S2671*'Assumptions (T&amp;D)'!P$101</f>
        <v>1.1925479283312674</v>
      </c>
      <c r="AH2796" s="147">
        <f>$S2671*'Assumptions (T&amp;D)'!Q$101</f>
        <v>1.1922806607543217</v>
      </c>
      <c r="AI2796" s="147">
        <f>$S2671*'Assumptions (T&amp;D)'!R$101</f>
        <v>1.1925479283312674</v>
      </c>
      <c r="AJ2796" s="147">
        <f>$S2671*'Assumptions (T&amp;D)'!S$101</f>
        <v>1.1922806607543217</v>
      </c>
      <c r="AK2796" s="147">
        <f>$S2671*'Assumptions (T&amp;D)'!T$101</f>
        <v>1.1925479283312674</v>
      </c>
      <c r="AL2796" s="147">
        <f>$S2671*'Assumptions (T&amp;D)'!U$101</f>
        <v>1.1922806607543217</v>
      </c>
      <c r="AM2796" s="147">
        <f>$S2671*'Assumptions (T&amp;D)'!V$101</f>
        <v>0.59627396416563372</v>
      </c>
    </row>
    <row r="2797" spans="1:43" ht="15.75" hidden="1" customHeight="1" outlineLevel="1">
      <c r="A2797" s="460"/>
      <c r="B2797" s="99"/>
      <c r="C2797" s="42"/>
      <c r="D2797" s="42"/>
      <c r="E2797" s="42"/>
      <c r="F2797" s="42"/>
      <c r="G2797" s="42"/>
      <c r="H2797" s="42"/>
      <c r="I2797" s="42"/>
      <c r="J2797" s="42"/>
      <c r="K2797" s="42"/>
      <c r="L2797" s="42"/>
      <c r="M2797" s="42"/>
      <c r="N2797" s="42"/>
      <c r="O2797" s="42"/>
      <c r="P2797" s="42"/>
      <c r="Q2797" s="42"/>
      <c r="R2797" s="42"/>
      <c r="S2797" s="42"/>
      <c r="T2797" s="147">
        <f>$T2671*'Assumptions (T&amp;D)'!B$101</f>
        <v>0.87949568715914594</v>
      </c>
      <c r="U2797" s="147">
        <f>$T2671*'Assumptions (T&amp;D)'!C$101</f>
        <v>1.6930878308271666</v>
      </c>
      <c r="V2797" s="147">
        <f>$T2671*'Assumptions (T&amp;D)'!D$101</f>
        <v>1.5659713875097645</v>
      </c>
      <c r="W2797" s="147">
        <f>$T2671*'Assumptions (T&amp;D)'!E$101</f>
        <v>1.4487052958885451</v>
      </c>
      <c r="X2797" s="147">
        <f>$T2671*'Assumptions (T&amp;D)'!F$101</f>
        <v>1.3398823628640535</v>
      </c>
      <c r="Y2797" s="147">
        <f>$T2671*'Assumptions (T&amp;D)'!G$101</f>
        <v>1.2395025884362898</v>
      </c>
      <c r="Z2797" s="147">
        <f>$T2671*'Assumptions (T&amp;D)'!H$101</f>
        <v>1.1463933116890415</v>
      </c>
      <c r="AA2797" s="147">
        <f>$T2671*'Assumptions (T&amp;D)'!I$101</f>
        <v>1.0605545326223089</v>
      </c>
      <c r="AB2797" s="147">
        <f>$T2671*'Assumptions (T&amp;D)'!J$101</f>
        <v>1.0464826016277624</v>
      </c>
      <c r="AC2797" s="147">
        <f>$T2671*'Assumptions (T&amp;D)'!K$101</f>
        <v>1.04624806944452</v>
      </c>
      <c r="AD2797" s="147">
        <f>$T2671*'Assumptions (T&amp;D)'!L$101</f>
        <v>1.0464826016277624</v>
      </c>
      <c r="AE2797" s="147">
        <f>$T2671*'Assumptions (T&amp;D)'!M$101</f>
        <v>1.04624806944452</v>
      </c>
      <c r="AF2797" s="147">
        <f>$T2671*'Assumptions (T&amp;D)'!N$101</f>
        <v>1.0464826016277624</v>
      </c>
      <c r="AG2797" s="147">
        <f>$T2671*'Assumptions (T&amp;D)'!O$101</f>
        <v>1.04624806944452</v>
      </c>
      <c r="AH2797" s="147">
        <f>$T2671*'Assumptions (T&amp;D)'!P$101</f>
        <v>1.0464826016277624</v>
      </c>
      <c r="AI2797" s="147">
        <f>$T2671*'Assumptions (T&amp;D)'!Q$101</f>
        <v>1.04624806944452</v>
      </c>
      <c r="AJ2797" s="147">
        <f>$T2671*'Assumptions (T&amp;D)'!R$101</f>
        <v>1.0464826016277624</v>
      </c>
      <c r="AK2797" s="147">
        <f>$T2671*'Assumptions (T&amp;D)'!S$101</f>
        <v>1.04624806944452</v>
      </c>
      <c r="AL2797" s="147">
        <f>$T2671*'Assumptions (T&amp;D)'!T$101</f>
        <v>1.0464826016277624</v>
      </c>
      <c r="AM2797" s="147">
        <f>$T2671*'Assumptions (T&amp;D)'!U$101</f>
        <v>1.04624806944452</v>
      </c>
      <c r="AN2797" s="147">
        <f>$T2671*'Assumptions (T&amp;D)'!V$101</f>
        <v>0.5232413008138812</v>
      </c>
    </row>
    <row r="2798" spans="1:43" ht="15.75" hidden="1" customHeight="1" outlineLevel="1">
      <c r="A2798" s="460"/>
      <c r="B2798" s="99"/>
      <c r="C2798" s="42"/>
      <c r="D2798" s="42"/>
      <c r="E2798" s="42"/>
      <c r="F2798" s="42"/>
      <c r="G2798" s="42"/>
      <c r="H2798" s="42"/>
      <c r="I2798" s="42"/>
      <c r="J2798" s="42"/>
      <c r="K2798" s="42"/>
      <c r="L2798" s="42"/>
      <c r="M2798" s="42"/>
      <c r="N2798" s="42"/>
      <c r="O2798" s="42"/>
      <c r="P2798" s="42"/>
      <c r="Q2798" s="42"/>
      <c r="R2798" s="42"/>
      <c r="S2798" s="42"/>
      <c r="T2798" s="42"/>
      <c r="U2798" s="147">
        <f>$U2671*'Assumptions (T&amp;D)'!B$101</f>
        <v>0.90598273672392027</v>
      </c>
      <c r="V2798" s="147">
        <f>$U2671*'Assumptions (T&amp;D)'!C$101</f>
        <v>1.7440771670426616</v>
      </c>
      <c r="W2798" s="147">
        <f>$U2671*'Assumptions (T&amp;D)'!D$101</f>
        <v>1.6131324621614975</v>
      </c>
      <c r="X2798" s="147">
        <f>$U2671*'Assumptions (T&amp;D)'!E$101</f>
        <v>1.4923347639316416</v>
      </c>
      <c r="Y2798" s="147">
        <f>$U2671*'Assumptions (T&amp;D)'!F$101</f>
        <v>1.380234499974335</v>
      </c>
      <c r="Z2798" s="147">
        <f>$U2671*'Assumptions (T&amp;D)'!G$101</f>
        <v>1.2768316702895783</v>
      </c>
      <c r="AA2798" s="147">
        <f>$U2671*'Assumptions (T&amp;D)'!H$101</f>
        <v>1.1809182978950725</v>
      </c>
      <c r="AB2798" s="147">
        <f>$U2671*'Assumptions (T&amp;D)'!I$101</f>
        <v>1.092494382790818</v>
      </c>
      <c r="AC2798" s="147">
        <f>$U2671*'Assumptions (T&amp;D)'!J$101</f>
        <v>1.0779986590032353</v>
      </c>
      <c r="AD2798" s="147">
        <f>$U2671*'Assumptions (T&amp;D)'!K$101</f>
        <v>1.0777570636067755</v>
      </c>
      <c r="AE2798" s="147">
        <f>$U2671*'Assumptions (T&amp;D)'!L$101</f>
        <v>1.0779986590032353</v>
      </c>
      <c r="AF2798" s="147">
        <f>$U2671*'Assumptions (T&amp;D)'!M$101</f>
        <v>1.0777570636067755</v>
      </c>
      <c r="AG2798" s="147">
        <f>$U2671*'Assumptions (T&amp;D)'!N$101</f>
        <v>1.0779986590032353</v>
      </c>
      <c r="AH2798" s="147">
        <f>$U2671*'Assumptions (T&amp;D)'!O$101</f>
        <v>1.0777570636067755</v>
      </c>
      <c r="AI2798" s="147">
        <f>$U2671*'Assumptions (T&amp;D)'!P$101</f>
        <v>1.0779986590032353</v>
      </c>
      <c r="AJ2798" s="147">
        <f>$U2671*'Assumptions (T&amp;D)'!Q$101</f>
        <v>1.0777570636067755</v>
      </c>
      <c r="AK2798" s="147">
        <f>$U2671*'Assumptions (T&amp;D)'!R$101</f>
        <v>1.0779986590032353</v>
      </c>
      <c r="AL2798" s="147">
        <f>$U2671*'Assumptions (T&amp;D)'!S$101</f>
        <v>1.0777570636067755</v>
      </c>
      <c r="AM2798" s="147">
        <f>$U2671*'Assumptions (T&amp;D)'!T$101</f>
        <v>1.0779986590032353</v>
      </c>
      <c r="AN2798" s="147">
        <f>$U2671*'Assumptions (T&amp;D)'!U$101</f>
        <v>1.0777570636067755</v>
      </c>
      <c r="AO2798" s="147">
        <f>$U2671*'Assumptions (T&amp;D)'!V$101</f>
        <v>0.53899932950161766</v>
      </c>
    </row>
    <row r="2799" spans="1:43" ht="15.75" hidden="1" customHeight="1" outlineLevel="1">
      <c r="A2799" s="460"/>
      <c r="B2799" s="99"/>
      <c r="C2799" s="42"/>
      <c r="D2799" s="42"/>
      <c r="E2799" s="42"/>
      <c r="F2799" s="42"/>
      <c r="G2799" s="42"/>
      <c r="H2799" s="42"/>
      <c r="I2799" s="42"/>
      <c r="J2799" s="42"/>
      <c r="K2799" s="42"/>
      <c r="L2799" s="42"/>
      <c r="M2799" s="42"/>
      <c r="N2799" s="42"/>
      <c r="O2799" s="42"/>
      <c r="P2799" s="42"/>
      <c r="Q2799" s="42"/>
      <c r="R2799" s="42"/>
      <c r="S2799" s="42"/>
      <c r="T2799" s="42"/>
      <c r="U2799" s="42"/>
      <c r="V2799" s="147">
        <f>$V2671*'Assumptions (T&amp;D)'!B$101</f>
        <v>0.91599589347774024</v>
      </c>
      <c r="W2799" s="147">
        <f>$V2671*'Assumptions (T&amp;D)'!C$101</f>
        <v>1.7633531613375486</v>
      </c>
      <c r="X2799" s="147">
        <f>$V2671*'Assumptions (T&amp;D)'!D$101</f>
        <v>1.6309612215335656</v>
      </c>
      <c r="Y2799" s="147">
        <f>$V2671*'Assumptions (T&amp;D)'!E$101</f>
        <v>1.5088284357365338</v>
      </c>
      <c r="Z2799" s="147">
        <f>$V2671*'Assumptions (T&amp;D)'!F$101</f>
        <v>1.3954892105168881</v>
      </c>
      <c r="AA2799" s="147">
        <f>$V2671*'Assumptions (T&amp;D)'!G$101</f>
        <v>1.2909435458746286</v>
      </c>
      <c r="AB2799" s="147">
        <f>$V2671*'Assumptions (T&amp;D)'!H$101</f>
        <v>1.1939701139517851</v>
      </c>
      <c r="AC2799" s="147">
        <f>$V2671*'Assumptions (T&amp;D)'!I$101</f>
        <v>1.1045689147483577</v>
      </c>
      <c r="AD2799" s="147">
        <f>$V2671*'Assumptions (T&amp;D)'!J$101</f>
        <v>1.0899129804527139</v>
      </c>
      <c r="AE2799" s="147">
        <f>$V2671*'Assumptions (T&amp;D)'!K$101</f>
        <v>1.0896687148811197</v>
      </c>
      <c r="AF2799" s="147">
        <f>$V2671*'Assumptions (T&amp;D)'!L$101</f>
        <v>1.0899129804527139</v>
      </c>
      <c r="AG2799" s="147">
        <f>$V2671*'Assumptions (T&amp;D)'!M$101</f>
        <v>1.0896687148811197</v>
      </c>
      <c r="AH2799" s="147">
        <f>$V2671*'Assumptions (T&amp;D)'!N$101</f>
        <v>1.0899129804527139</v>
      </c>
      <c r="AI2799" s="147">
        <f>$V2671*'Assumptions (T&amp;D)'!O$101</f>
        <v>1.0896687148811197</v>
      </c>
      <c r="AJ2799" s="147">
        <f>$V2671*'Assumptions (T&amp;D)'!P$101</f>
        <v>1.0899129804527139</v>
      </c>
      <c r="AK2799" s="147">
        <f>$V2671*'Assumptions (T&amp;D)'!Q$101</f>
        <v>1.0896687148811197</v>
      </c>
      <c r="AL2799" s="147">
        <f>$V2671*'Assumptions (T&amp;D)'!R$101</f>
        <v>1.0899129804527139</v>
      </c>
      <c r="AM2799" s="147">
        <f>$V2671*'Assumptions (T&amp;D)'!S$101</f>
        <v>1.0896687148811197</v>
      </c>
      <c r="AN2799" s="147">
        <f>$V2671*'Assumptions (T&amp;D)'!T$101</f>
        <v>1.0899129804527139</v>
      </c>
      <c r="AO2799" s="147">
        <f>$V2671*'Assumptions (T&amp;D)'!U$101</f>
        <v>1.0896687148811197</v>
      </c>
      <c r="AP2799" s="147">
        <f>$V2671*'Assumptions (T&amp;D)'!V$101</f>
        <v>0.54495649022635695</v>
      </c>
    </row>
    <row r="2800" spans="1:43" ht="15.75" hidden="1" customHeight="1" outlineLevel="1">
      <c r="A2800" s="460"/>
      <c r="B2800" s="99"/>
      <c r="C2800" s="42"/>
      <c r="D2800" s="42"/>
      <c r="E2800" s="42"/>
      <c r="F2800" s="42"/>
      <c r="G2800" s="42"/>
      <c r="H2800" s="42"/>
      <c r="I2800" s="42"/>
      <c r="J2800" s="42"/>
      <c r="K2800" s="42"/>
      <c r="L2800" s="42"/>
      <c r="M2800" s="42"/>
      <c r="N2800" s="42"/>
      <c r="O2800" s="42"/>
      <c r="P2800" s="42"/>
      <c r="Q2800" s="42"/>
      <c r="R2800" s="42"/>
      <c r="S2800" s="42"/>
      <c r="T2800" s="42"/>
      <c r="U2800" s="42"/>
      <c r="V2800" s="42"/>
      <c r="W2800" s="147">
        <f>$W2671*'Assumptions (T&amp;D)'!B$101</f>
        <v>0.94264456741378033</v>
      </c>
      <c r="X2800" s="147">
        <f>$W2671*'Assumptions (T&amp;D)'!C$101</f>
        <v>1.8146536352426883</v>
      </c>
      <c r="Y2800" s="147">
        <f>$W2671*'Assumptions (T&amp;D)'!D$101</f>
        <v>1.6784100737658163</v>
      </c>
      <c r="Z2800" s="147">
        <f>$W2671*'Assumptions (T&amp;D)'!E$101</f>
        <v>1.552724131443979</v>
      </c>
      <c r="AA2800" s="147">
        <f>$W2671*'Assumptions (T&amp;D)'!F$101</f>
        <v>1.436087576969314</v>
      </c>
      <c r="AB2800" s="147">
        <f>$W2671*'Assumptions (T&amp;D)'!G$101</f>
        <v>1.3285004103418212</v>
      </c>
      <c r="AC2800" s="147">
        <f>$W2671*'Assumptions (T&amp;D)'!H$101</f>
        <v>1.2287057721382821</v>
      </c>
      <c r="AD2800" s="147">
        <f>$W2671*'Assumptions (T&amp;D)'!I$101</f>
        <v>1.1367036623586972</v>
      </c>
      <c r="AE2800" s="147">
        <f>$W2671*'Assumptions (T&amp;D)'!J$101</f>
        <v>1.1216213492800768</v>
      </c>
      <c r="AF2800" s="147">
        <f>$W2671*'Assumptions (T&amp;D)'!K$101</f>
        <v>1.1213699773954331</v>
      </c>
      <c r="AG2800" s="147">
        <f>$W2671*'Assumptions (T&amp;D)'!L$101</f>
        <v>1.1216213492800768</v>
      </c>
      <c r="AH2800" s="147">
        <f>$W2671*'Assumptions (T&amp;D)'!M$101</f>
        <v>1.1213699773954331</v>
      </c>
      <c r="AI2800" s="147">
        <f>$W2671*'Assumptions (T&amp;D)'!N$101</f>
        <v>1.1216213492800768</v>
      </c>
      <c r="AJ2800" s="147">
        <f>$W2671*'Assumptions (T&amp;D)'!O$101</f>
        <v>1.1213699773954331</v>
      </c>
      <c r="AK2800" s="147">
        <f>$W2671*'Assumptions (T&amp;D)'!P$101</f>
        <v>1.1216213492800768</v>
      </c>
      <c r="AL2800" s="147">
        <f>$W2671*'Assumptions (T&amp;D)'!Q$101</f>
        <v>1.1213699773954331</v>
      </c>
      <c r="AM2800" s="147">
        <f>$W2671*'Assumptions (T&amp;D)'!R$101</f>
        <v>1.1216213492800768</v>
      </c>
      <c r="AN2800" s="147">
        <f>$W2671*'Assumptions (T&amp;D)'!S$101</f>
        <v>1.1213699773954331</v>
      </c>
      <c r="AO2800" s="147">
        <f>$W2671*'Assumptions (T&amp;D)'!T$101</f>
        <v>1.1216213492800768</v>
      </c>
      <c r="AP2800" s="147">
        <f>$W2671*'Assumptions (T&amp;D)'!U$101</f>
        <v>1.1213699773954331</v>
      </c>
      <c r="AQ2800" s="147">
        <f>$W2671*'Assumptions (T&amp;D)'!V$101</f>
        <v>0.56081067464003842</v>
      </c>
    </row>
    <row r="2801" spans="1:59" ht="15.75" hidden="1" customHeight="1" outlineLevel="1">
      <c r="A2801" s="460"/>
      <c r="B2801" s="99"/>
      <c r="C2801" s="42"/>
      <c r="D2801" s="42"/>
      <c r="E2801" s="42"/>
      <c r="F2801" s="42"/>
      <c r="G2801" s="42"/>
      <c r="H2801" s="42"/>
      <c r="I2801" s="42"/>
      <c r="J2801" s="42"/>
      <c r="K2801" s="42"/>
      <c r="L2801" s="42"/>
      <c r="M2801" s="42"/>
      <c r="N2801" s="42"/>
      <c r="O2801" s="42"/>
      <c r="P2801" s="42"/>
      <c r="Q2801" s="42"/>
      <c r="R2801" s="42"/>
      <c r="S2801" s="42"/>
      <c r="T2801" s="42"/>
      <c r="U2801" s="42"/>
      <c r="V2801" s="42"/>
      <c r="W2801" s="86"/>
      <c r="X2801" s="147">
        <f>$X2671*'Assumptions (T&amp;D)'!B$101</f>
        <v>0.91302748835307712</v>
      </c>
      <c r="Y2801" s="147">
        <f>$X2671*'Assumptions (T&amp;D)'!C$101</f>
        <v>1.7576387835788971</v>
      </c>
      <c r="Z2801" s="147">
        <f>$X2671*'Assumptions (T&amp;D)'!D$101</f>
        <v>1.6256758772622655</v>
      </c>
      <c r="AA2801" s="147">
        <f>$X2671*'Assumptions (T&amp;D)'!E$101</f>
        <v>1.5039388788151886</v>
      </c>
      <c r="AB2801" s="147">
        <f>$X2671*'Assumptions (T&amp;D)'!F$101</f>
        <v>1.3909669442563013</v>
      </c>
      <c r="AC2801" s="147">
        <f>$X2671*'Assumptions (T&amp;D)'!G$101</f>
        <v>1.2867600735856033</v>
      </c>
      <c r="AD2801" s="147">
        <f>$X2671*'Assumptions (T&amp;D)'!H$101</f>
        <v>1.1901008968186242</v>
      </c>
      <c r="AE2801" s="147">
        <f>$X2671*'Assumptions (T&amp;D)'!I$101</f>
        <v>1.100989413955364</v>
      </c>
      <c r="AF2801" s="147">
        <f>$X2671*'Assumptions (T&amp;D)'!J$101</f>
        <v>1.0863809741417148</v>
      </c>
      <c r="AG2801" s="147">
        <f>$X2671*'Assumptions (T&amp;D)'!K$101</f>
        <v>1.0861375001448206</v>
      </c>
      <c r="AH2801" s="147">
        <f>$X2671*'Assumptions (T&amp;D)'!L$101</f>
        <v>1.0863809741417148</v>
      </c>
      <c r="AI2801" s="147">
        <f>$X2671*'Assumptions (T&amp;D)'!M$101</f>
        <v>1.0861375001448206</v>
      </c>
      <c r="AJ2801" s="147">
        <f>$X2671*'Assumptions (T&amp;D)'!N$101</f>
        <v>1.0863809741417148</v>
      </c>
      <c r="AK2801" s="147">
        <f>$X2671*'Assumptions (T&amp;D)'!O$101</f>
        <v>1.0861375001448206</v>
      </c>
      <c r="AL2801" s="147">
        <f>$X2671*'Assumptions (T&amp;D)'!P$101</f>
        <v>1.0863809741417148</v>
      </c>
      <c r="AM2801" s="147">
        <f>$X2671*'Assumptions (T&amp;D)'!Q$101</f>
        <v>1.0861375001448206</v>
      </c>
      <c r="AN2801" s="147">
        <f>$X2671*'Assumptions (T&amp;D)'!R$101</f>
        <v>1.0863809741417148</v>
      </c>
      <c r="AO2801" s="147">
        <f>$X2671*'Assumptions (T&amp;D)'!S$101</f>
        <v>1.0861375001448206</v>
      </c>
      <c r="AP2801" s="147">
        <f>$X2671*'Assumptions (T&amp;D)'!T$101</f>
        <v>1.0863809741417148</v>
      </c>
      <c r="AQ2801" s="147">
        <f>$X2671*'Assumptions (T&amp;D)'!U$101</f>
        <v>1.0861375001448206</v>
      </c>
      <c r="AR2801" s="147">
        <f>$X2671*'Assumptions (T&amp;D)'!V$101</f>
        <v>0.54319048707085738</v>
      </c>
    </row>
    <row r="2802" spans="1:59" ht="15.75" hidden="1" customHeight="1" outlineLevel="1">
      <c r="A2802" s="460"/>
      <c r="B2802" s="99"/>
      <c r="C2802" s="42"/>
      <c r="D2802" s="42"/>
      <c r="E2802" s="42"/>
      <c r="F2802" s="42"/>
      <c r="G2802" s="42"/>
      <c r="H2802" s="42"/>
      <c r="I2802" s="42"/>
      <c r="J2802" s="42"/>
      <c r="K2802" s="42"/>
      <c r="L2802" s="42"/>
      <c r="M2802" s="42"/>
      <c r="N2802" s="42"/>
      <c r="O2802" s="42"/>
      <c r="P2802" s="42"/>
      <c r="Q2802" s="42"/>
      <c r="R2802" s="42"/>
      <c r="S2802" s="42"/>
      <c r="T2802" s="42"/>
      <c r="U2802" s="42"/>
      <c r="V2802" s="42"/>
      <c r="W2802" s="86"/>
      <c r="Y2802" s="147">
        <f>$Y2671*'Assumptions (T&amp;D)'!B$101</f>
        <v>0.89792424582029806</v>
      </c>
      <c r="Z2802" s="147">
        <f>$Y2671*'Assumptions (T&amp;D)'!C$101</f>
        <v>1.7285640348204621</v>
      </c>
      <c r="AA2802" s="147">
        <f>$Y2671*'Assumptions (T&amp;D)'!D$101</f>
        <v>1.5987840504912347</v>
      </c>
      <c r="AB2802" s="147">
        <f>$Y2671*'Assumptions (T&amp;D)'!E$101</f>
        <v>1.4790608177151949</v>
      </c>
      <c r="AC2802" s="147">
        <f>$Y2671*'Assumptions (T&amp;D)'!F$101</f>
        <v>1.3679576576990302</v>
      </c>
      <c r="AD2802" s="147">
        <f>$Y2671*'Assumptions (T&amp;D)'!G$101</f>
        <v>1.2654745704427401</v>
      </c>
      <c r="AE2802" s="147">
        <f>$Y2671*'Assumptions (T&amp;D)'!H$101</f>
        <v>1.1704143236185647</v>
      </c>
      <c r="AF2802" s="147">
        <f>$Y2671*'Assumptions (T&amp;D)'!I$101</f>
        <v>1.0827769172265036</v>
      </c>
      <c r="AG2802" s="147">
        <f>$Y2671*'Assumptions (T&amp;D)'!J$101</f>
        <v>1.0684101292933788</v>
      </c>
      <c r="AH2802" s="147">
        <f>$Y2671*'Assumptions (T&amp;D)'!K$101</f>
        <v>1.0681706828278266</v>
      </c>
      <c r="AI2802" s="147">
        <f>$Y2671*'Assumptions (T&amp;D)'!L$101</f>
        <v>1.0684101292933788</v>
      </c>
      <c r="AJ2802" s="147">
        <f>$Y2671*'Assumptions (T&amp;D)'!M$101</f>
        <v>1.0681706828278266</v>
      </c>
      <c r="AK2802" s="147">
        <f>$Y2671*'Assumptions (T&amp;D)'!N$101</f>
        <v>1.0684101292933788</v>
      </c>
      <c r="AL2802" s="147">
        <f>$Y2671*'Assumptions (T&amp;D)'!O$101</f>
        <v>1.0681706828278266</v>
      </c>
      <c r="AM2802" s="147">
        <f>$Y2671*'Assumptions (T&amp;D)'!P$101</f>
        <v>1.0684101292933788</v>
      </c>
      <c r="AN2802" s="147">
        <f>$Y2671*'Assumptions (T&amp;D)'!Q$101</f>
        <v>1.0681706828278266</v>
      </c>
      <c r="AO2802" s="147">
        <f>$Y2671*'Assumptions (T&amp;D)'!R$101</f>
        <v>1.0684101292933788</v>
      </c>
      <c r="AP2802" s="147">
        <f>$Y2671*'Assumptions (T&amp;D)'!S$101</f>
        <v>1.0681706828278266</v>
      </c>
      <c r="AQ2802" s="147">
        <f>$Y2671*'Assumptions (T&amp;D)'!T$101</f>
        <v>1.0684101292933788</v>
      </c>
      <c r="AR2802" s="147">
        <f>$Y2671*'Assumptions (T&amp;D)'!U$101</f>
        <v>1.0681706828278266</v>
      </c>
      <c r="AS2802" s="147">
        <f>$Y2671*'Assumptions (T&amp;D)'!V$101</f>
        <v>0.53420506464668938</v>
      </c>
    </row>
    <row r="2803" spans="1:59" ht="15.75" hidden="1" customHeight="1" outlineLevel="1">
      <c r="A2803" s="460"/>
      <c r="B2803" s="99"/>
      <c r="C2803" s="42"/>
      <c r="D2803" s="42"/>
      <c r="E2803" s="42"/>
      <c r="F2803" s="42"/>
      <c r="G2803" s="42"/>
      <c r="H2803" s="42"/>
      <c r="I2803" s="42"/>
      <c r="J2803" s="42"/>
      <c r="K2803" s="42"/>
      <c r="L2803" s="42"/>
      <c r="M2803" s="42"/>
      <c r="N2803" s="42"/>
      <c r="O2803" s="42"/>
      <c r="P2803" s="42"/>
      <c r="Q2803" s="42"/>
      <c r="R2803" s="42"/>
      <c r="S2803" s="42"/>
      <c r="T2803" s="42"/>
      <c r="U2803" s="42"/>
      <c r="V2803" s="42"/>
      <c r="W2803" s="86"/>
      <c r="Z2803" s="147">
        <f>$Z2671*'Assumptions (T&amp;D)'!B$101</f>
        <v>0.96184193649132688</v>
      </c>
      <c r="AA2803" s="147">
        <f>$Z2671*'Assumptions (T&amp;D)'!C$101</f>
        <v>1.8516098505415703</v>
      </c>
      <c r="AB2803" s="147">
        <f>$Z2671*'Assumptions (T&amp;D)'!D$101</f>
        <v>1.7125916293206904</v>
      </c>
      <c r="AC2803" s="147">
        <f>$Z2671*'Assumptions (T&amp;D)'!E$101</f>
        <v>1.5843460377885137</v>
      </c>
      <c r="AD2803" s="147">
        <f>$Z2671*'Assumptions (T&amp;D)'!F$101</f>
        <v>1.4653341288466535</v>
      </c>
      <c r="AE2803" s="147">
        <f>$Z2671*'Assumptions (T&amp;D)'!G$101</f>
        <v>1.35555590249511</v>
      </c>
      <c r="AF2803" s="147">
        <f>$Z2671*'Assumptions (T&amp;D)'!H$101</f>
        <v>1.2537289028185616</v>
      </c>
      <c r="AG2803" s="147">
        <f>$Z2671*'Assumptions (T&amp;D)'!I$101</f>
        <v>1.1598531298170081</v>
      </c>
      <c r="AH2803" s="147">
        <f>$Z2671*'Assumptions (T&amp;D)'!J$101</f>
        <v>1.1444636588331467</v>
      </c>
      <c r="AI2803" s="147">
        <f>$Z2671*'Assumptions (T&amp;D)'!K$101</f>
        <v>1.1442071676500825</v>
      </c>
      <c r="AJ2803" s="147">
        <f>$Z2671*'Assumptions (T&amp;D)'!L$101</f>
        <v>1.1444636588331467</v>
      </c>
      <c r="AK2803" s="147">
        <f>$Z2671*'Assumptions (T&amp;D)'!M$101</f>
        <v>1.1442071676500825</v>
      </c>
      <c r="AL2803" s="147">
        <f>$Z2671*'Assumptions (T&amp;D)'!N$101</f>
        <v>1.1444636588331467</v>
      </c>
      <c r="AM2803" s="147">
        <f>$Z2671*'Assumptions (T&amp;D)'!O$101</f>
        <v>1.1442071676500825</v>
      </c>
      <c r="AN2803" s="147">
        <f>$Z2671*'Assumptions (T&amp;D)'!P$101</f>
        <v>1.1444636588331467</v>
      </c>
      <c r="AO2803" s="147">
        <f>$Z2671*'Assumptions (T&amp;D)'!Q$101</f>
        <v>1.1442071676500825</v>
      </c>
      <c r="AP2803" s="147">
        <f>$Z2671*'Assumptions (T&amp;D)'!R$101</f>
        <v>1.1444636588331467</v>
      </c>
      <c r="AQ2803" s="147">
        <f>$Z2671*'Assumptions (T&amp;D)'!S$101</f>
        <v>1.1442071676500825</v>
      </c>
      <c r="AR2803" s="147">
        <f>$Z2671*'Assumptions (T&amp;D)'!T$101</f>
        <v>1.1444636588331467</v>
      </c>
      <c r="AS2803" s="147">
        <f>$Z2671*'Assumptions (T&amp;D)'!U$101</f>
        <v>1.1442071676500825</v>
      </c>
      <c r="AT2803" s="147">
        <f>$Z2671*'Assumptions (T&amp;D)'!V$101</f>
        <v>0.57223182941657336</v>
      </c>
    </row>
    <row r="2804" spans="1:59" ht="15.75" hidden="1" customHeight="1" outlineLevel="1">
      <c r="A2804" s="460"/>
      <c r="B2804" s="99"/>
      <c r="C2804" s="42"/>
      <c r="D2804" s="42"/>
      <c r="E2804" s="42"/>
      <c r="F2804" s="42"/>
      <c r="G2804" s="42"/>
      <c r="H2804" s="42"/>
      <c r="I2804" s="42"/>
      <c r="J2804" s="42"/>
      <c r="K2804" s="42"/>
      <c r="L2804" s="42"/>
      <c r="M2804" s="42"/>
      <c r="N2804" s="42"/>
      <c r="O2804" s="42"/>
      <c r="P2804" s="42"/>
      <c r="Q2804" s="42"/>
      <c r="R2804" s="42"/>
      <c r="S2804" s="42"/>
      <c r="T2804" s="42"/>
      <c r="U2804" s="42"/>
      <c r="V2804" s="42"/>
      <c r="W2804" s="86"/>
      <c r="AA2804" s="147">
        <f>$AA2671*'Assumptions (T&amp;D)'!B$101</f>
        <v>0.95859343638002381</v>
      </c>
      <c r="AB2804" s="147">
        <f>$AA2671*'Assumptions (T&amp;D)'!C$101</f>
        <v>1.8453562712606382</v>
      </c>
      <c r="AC2804" s="147">
        <f>$AA2671*'Assumptions (T&amp;D)'!D$101</f>
        <v>1.7068075665891784</v>
      </c>
      <c r="AD2804" s="147">
        <f>$AA2671*'Assumptions (T&amp;D)'!E$101</f>
        <v>1.5789951084051752</v>
      </c>
      <c r="AE2804" s="147">
        <f>$AA2671*'Assumptions (T&amp;D)'!F$101</f>
        <v>1.4603851472104203</v>
      </c>
      <c r="AF2804" s="147">
        <f>$AA2671*'Assumptions (T&amp;D)'!G$101</f>
        <v>1.3509776830049136</v>
      </c>
      <c r="AG2804" s="147">
        <f>$AA2671*'Assumptions (T&amp;D)'!H$101</f>
        <v>1.2494945912068152</v>
      </c>
      <c r="AH2804" s="147">
        <f>$AA2671*'Assumptions (T&amp;D)'!I$101</f>
        <v>1.1559358718161248</v>
      </c>
      <c r="AI2804" s="147">
        <f>$AA2671*'Assumptions (T&amp;D)'!J$101</f>
        <v>1.1405983768340444</v>
      </c>
      <c r="AJ2804" s="147">
        <f>$AA2671*'Assumptions (T&amp;D)'!K$101</f>
        <v>1.1403427519176763</v>
      </c>
      <c r="AK2804" s="147">
        <f>$AA2671*'Assumptions (T&amp;D)'!L$101</f>
        <v>1.1405983768340444</v>
      </c>
      <c r="AL2804" s="147">
        <f>$AA2671*'Assumptions (T&amp;D)'!M$101</f>
        <v>1.1403427519176763</v>
      </c>
      <c r="AM2804" s="147">
        <f>$AA2671*'Assumptions (T&amp;D)'!N$101</f>
        <v>1.1405983768340444</v>
      </c>
      <c r="AN2804" s="147">
        <f>$AA2671*'Assumptions (T&amp;D)'!O$101</f>
        <v>1.1403427519176763</v>
      </c>
      <c r="AO2804" s="147">
        <f>$AA2671*'Assumptions (T&amp;D)'!P$101</f>
        <v>1.1405983768340444</v>
      </c>
      <c r="AP2804" s="147">
        <f>$AA2671*'Assumptions (T&amp;D)'!Q$101</f>
        <v>1.1403427519176763</v>
      </c>
      <c r="AQ2804" s="147">
        <f>$AA2671*'Assumptions (T&amp;D)'!R$101</f>
        <v>1.1405983768340444</v>
      </c>
      <c r="AR2804" s="147">
        <f>$AA2671*'Assumptions (T&amp;D)'!S$101</f>
        <v>1.1403427519176763</v>
      </c>
      <c r="AS2804" s="147">
        <f>$AA2671*'Assumptions (T&amp;D)'!T$101</f>
        <v>1.1405983768340444</v>
      </c>
      <c r="AT2804" s="147">
        <f>$AA2671*'Assumptions (T&amp;D)'!U$101</f>
        <v>1.1403427519176763</v>
      </c>
      <c r="AU2804" s="147">
        <f>$AA2671*'Assumptions (T&amp;D)'!V$101</f>
        <v>0.57029918841702221</v>
      </c>
    </row>
    <row r="2805" spans="1:59" ht="15.75" hidden="1" customHeight="1" outlineLevel="1">
      <c r="A2805" s="460"/>
      <c r="B2805" s="99"/>
      <c r="C2805" s="42"/>
      <c r="D2805" s="42"/>
      <c r="E2805" s="42"/>
      <c r="F2805" s="42"/>
      <c r="G2805" s="42"/>
      <c r="H2805" s="42"/>
      <c r="I2805" s="42"/>
      <c r="J2805" s="42"/>
      <c r="K2805" s="42"/>
      <c r="L2805" s="42"/>
      <c r="M2805" s="42"/>
      <c r="N2805" s="42"/>
      <c r="O2805" s="42"/>
      <c r="P2805" s="42"/>
      <c r="Q2805" s="42"/>
      <c r="R2805" s="42"/>
      <c r="S2805" s="42"/>
      <c r="T2805" s="42"/>
      <c r="U2805" s="42"/>
      <c r="V2805" s="42"/>
      <c r="W2805" s="86"/>
      <c r="AB2805" s="147">
        <f>$AB2671*'Assumptions (T&amp;D)'!B$101</f>
        <v>0.87551801132270779</v>
      </c>
      <c r="AC2805" s="147">
        <f>$AB2671*'Assumptions (T&amp;D)'!C$101</f>
        <v>1.6854305396636342</v>
      </c>
      <c r="AD2805" s="147">
        <f>$AB2671*'Assumptions (T&amp;D)'!D$101</f>
        <v>1.5588890030937921</v>
      </c>
      <c r="AE2805" s="147">
        <f>$AB2671*'Assumptions (T&amp;D)'!E$101</f>
        <v>1.4421532682507643</v>
      </c>
      <c r="AF2805" s="147">
        <f>$AB2671*'Assumptions (T&amp;D)'!F$101</f>
        <v>1.3338225063164346</v>
      </c>
      <c r="AG2805" s="147">
        <f>$AB2671*'Assumptions (T&amp;D)'!G$101</f>
        <v>1.2338967172908029</v>
      </c>
      <c r="AH2805" s="147">
        <f>$AB2671*'Assumptions (T&amp;D)'!H$101</f>
        <v>1.1412085438254389</v>
      </c>
      <c r="AI2805" s="147">
        <f>$AB2671*'Assumptions (T&amp;D)'!I$101</f>
        <v>1.0557579859203428</v>
      </c>
      <c r="AJ2805" s="147">
        <f>$AB2671*'Assumptions (T&amp;D)'!J$101</f>
        <v>1.0417496977391794</v>
      </c>
      <c r="AK2805" s="147">
        <f>$AB2671*'Assumptions (T&amp;D)'!K$101</f>
        <v>1.0415162262694933</v>
      </c>
      <c r="AL2805" s="147">
        <f>$AB2671*'Assumptions (T&amp;D)'!L$101</f>
        <v>1.0417496977391794</v>
      </c>
      <c r="AM2805" s="147">
        <f>$AB2671*'Assumptions (T&amp;D)'!M$101</f>
        <v>1.0415162262694933</v>
      </c>
      <c r="AN2805" s="147">
        <f>$AB2671*'Assumptions (T&amp;D)'!N$101</f>
        <v>1.0417496977391794</v>
      </c>
      <c r="AO2805" s="147">
        <f>$AB2671*'Assumptions (T&amp;D)'!O$101</f>
        <v>1.0415162262694933</v>
      </c>
      <c r="AP2805" s="147">
        <f>$AB2671*'Assumptions (T&amp;D)'!P$101</f>
        <v>1.0417496977391794</v>
      </c>
      <c r="AQ2805" s="147">
        <f>$AB2671*'Assumptions (T&amp;D)'!Q$101</f>
        <v>1.0415162262694933</v>
      </c>
      <c r="AR2805" s="147">
        <f>$AB2671*'Assumptions (T&amp;D)'!R$101</f>
        <v>1.0417496977391794</v>
      </c>
      <c r="AS2805" s="147">
        <f>$AB2671*'Assumptions (T&amp;D)'!S$101</f>
        <v>1.0415162262694933</v>
      </c>
      <c r="AT2805" s="147">
        <f>$AB2671*'Assumptions (T&amp;D)'!T$101</f>
        <v>1.0417496977391794</v>
      </c>
      <c r="AU2805" s="147">
        <f>$AB2671*'Assumptions (T&amp;D)'!U$101</f>
        <v>1.0415162262694933</v>
      </c>
      <c r="AV2805" s="147">
        <f>$AB2671*'Assumptions (T&amp;D)'!V$101</f>
        <v>0.52087484886958968</v>
      </c>
    </row>
    <row r="2806" spans="1:59" ht="15.75" hidden="1" customHeight="1" outlineLevel="1">
      <c r="A2806" s="460"/>
      <c r="B2806" s="99"/>
      <c r="C2806" s="42"/>
      <c r="D2806" s="42"/>
      <c r="E2806" s="42"/>
      <c r="F2806" s="42"/>
      <c r="G2806" s="42"/>
      <c r="H2806" s="42"/>
      <c r="I2806" s="42"/>
      <c r="J2806" s="42"/>
      <c r="K2806" s="42"/>
      <c r="L2806" s="42"/>
      <c r="M2806" s="42"/>
      <c r="N2806" s="42"/>
      <c r="O2806" s="42"/>
      <c r="P2806" s="42"/>
      <c r="Q2806" s="42"/>
      <c r="R2806" s="42"/>
      <c r="S2806" s="42"/>
      <c r="T2806" s="42"/>
      <c r="U2806" s="42"/>
      <c r="V2806" s="42"/>
      <c r="W2806" s="86"/>
      <c r="AC2806" s="147">
        <f>$AC2671*'Assumptions (T&amp;D)'!B$101</f>
        <v>0.93301482263020219</v>
      </c>
      <c r="AD2806" s="147">
        <f>$AC2671*'Assumptions (T&amp;D)'!C$101</f>
        <v>1.7961157345513148</v>
      </c>
      <c r="AE2806" s="147">
        <f>$AC2671*'Assumptions (T&amp;D)'!D$101</f>
        <v>1.6612639921871628</v>
      </c>
      <c r="AF2806" s="147">
        <f>$AC2671*'Assumptions (T&amp;D)'!E$101</f>
        <v>1.5368620158364692</v>
      </c>
      <c r="AG2806" s="147">
        <f>$AC2671*'Assumptions (T&amp;D)'!F$101</f>
        <v>1.4214169817830256</v>
      </c>
      <c r="AH2806" s="147">
        <f>$AC2671*'Assumptions (T&amp;D)'!G$101</f>
        <v>1.3149288900268317</v>
      </c>
      <c r="AI2806" s="147">
        <f>$AC2671*'Assumptions (T&amp;D)'!H$101</f>
        <v>1.2161537208043809</v>
      </c>
      <c r="AJ2806" s="147">
        <f>$AC2671*'Assumptions (T&amp;D)'!I$101</f>
        <v>1.1250914741156732</v>
      </c>
      <c r="AK2806" s="147">
        <f>$AC2671*'Assumptions (T&amp;D)'!J$101</f>
        <v>1.1101632369535901</v>
      </c>
      <c r="AL2806" s="147">
        <f>$AC2671*'Assumptions (T&amp;D)'!K$101</f>
        <v>1.1099144330008885</v>
      </c>
      <c r="AM2806" s="147">
        <f>$AC2671*'Assumptions (T&amp;D)'!L$101</f>
        <v>1.1101632369535901</v>
      </c>
      <c r="AN2806" s="147">
        <f>$AC2671*'Assumptions (T&amp;D)'!M$101</f>
        <v>1.1099144330008885</v>
      </c>
      <c r="AO2806" s="147">
        <f>$AC2671*'Assumptions (T&amp;D)'!N$101</f>
        <v>1.1101632369535901</v>
      </c>
      <c r="AP2806" s="147">
        <f>$AC2671*'Assumptions (T&amp;D)'!O$101</f>
        <v>1.1099144330008885</v>
      </c>
      <c r="AQ2806" s="147">
        <f>$AC2671*'Assumptions (T&amp;D)'!P$101</f>
        <v>1.1101632369535901</v>
      </c>
      <c r="AR2806" s="147">
        <f>$AC2671*'Assumptions (T&amp;D)'!Q$101</f>
        <v>1.1099144330008885</v>
      </c>
      <c r="AS2806" s="147">
        <f>$AC2671*'Assumptions (T&amp;D)'!R$101</f>
        <v>1.1101632369535901</v>
      </c>
      <c r="AT2806" s="147">
        <f>$AC2671*'Assumptions (T&amp;D)'!S$101</f>
        <v>1.1099144330008885</v>
      </c>
      <c r="AU2806" s="147">
        <f>$AC2671*'Assumptions (T&amp;D)'!T$101</f>
        <v>1.1101632369535901</v>
      </c>
      <c r="AV2806" s="147">
        <f>$AC2671*'Assumptions (T&amp;D)'!U$101</f>
        <v>1.1099144330008885</v>
      </c>
      <c r="AW2806" s="147">
        <f>$AC2671*'Assumptions (T&amp;D)'!V$101</f>
        <v>0.55508161847679505</v>
      </c>
    </row>
    <row r="2807" spans="1:59" ht="15.75" hidden="1" customHeight="1" outlineLevel="1">
      <c r="A2807" s="460"/>
      <c r="B2807" s="99"/>
      <c r="C2807" s="42"/>
      <c r="D2807" s="42"/>
      <c r="E2807" s="42"/>
      <c r="F2807" s="42"/>
      <c r="G2807" s="42"/>
      <c r="H2807" s="42"/>
      <c r="I2807" s="42"/>
      <c r="J2807" s="42"/>
      <c r="K2807" s="42"/>
      <c r="L2807" s="42"/>
      <c r="M2807" s="42"/>
      <c r="N2807" s="42"/>
      <c r="O2807" s="42"/>
      <c r="P2807" s="42"/>
      <c r="Q2807" s="42"/>
      <c r="R2807" s="42"/>
      <c r="S2807" s="42"/>
      <c r="T2807" s="42"/>
      <c r="U2807" s="42"/>
      <c r="V2807" s="42"/>
      <c r="W2807" s="86"/>
      <c r="AD2807" s="147">
        <f>$AD2671*'Assumptions (T&amp;D)'!B$101</f>
        <v>1.0056463651662726</v>
      </c>
      <c r="AE2807" s="147">
        <f>$AD2671*'Assumptions (T&amp;D)'!C$101</f>
        <v>1.9359362960360857</v>
      </c>
      <c r="AF2807" s="147">
        <f>$AD2671*'Assumptions (T&amp;D)'!D$101</f>
        <v>1.7905868747240536</v>
      </c>
      <c r="AG2807" s="147">
        <f>$AD2671*'Assumptions (T&amp;D)'!E$101</f>
        <v>1.6565006927018842</v>
      </c>
      <c r="AH2807" s="147">
        <f>$AD2671*'Assumptions (T&amp;D)'!F$101</f>
        <v>1.5320687157853108</v>
      </c>
      <c r="AI2807" s="147">
        <f>$AD2671*'Assumptions (T&amp;D)'!G$101</f>
        <v>1.4172909439743335</v>
      </c>
      <c r="AJ2807" s="147">
        <f>$AD2671*'Assumptions (T&amp;D)'!H$101</f>
        <v>1.3108265154487306</v>
      </c>
      <c r="AK2807" s="147">
        <f>$AD2671*'Assumptions (T&amp;D)'!I$101</f>
        <v>1.2126754302085025</v>
      </c>
      <c r="AL2807" s="147">
        <f>$AD2671*'Assumptions (T&amp;D)'!J$101</f>
        <v>1.1965850883658422</v>
      </c>
      <c r="AM2807" s="147">
        <f>$AD2671*'Assumptions (T&amp;D)'!K$101</f>
        <v>1.1963169160017977</v>
      </c>
      <c r="AN2807" s="147">
        <f>$AD2671*'Assumptions (T&amp;D)'!L$101</f>
        <v>1.1965850883658422</v>
      </c>
      <c r="AO2807" s="147">
        <f>$AD2671*'Assumptions (T&amp;D)'!M$101</f>
        <v>1.1963169160017977</v>
      </c>
      <c r="AP2807" s="147">
        <f>$AD2671*'Assumptions (T&amp;D)'!N$101</f>
        <v>1.1965850883658422</v>
      </c>
      <c r="AQ2807" s="147">
        <f>$AD2671*'Assumptions (T&amp;D)'!O$101</f>
        <v>1.1963169160017977</v>
      </c>
      <c r="AR2807" s="147">
        <f>$AD2671*'Assumptions (T&amp;D)'!P$101</f>
        <v>1.1965850883658422</v>
      </c>
      <c r="AS2807" s="147">
        <f>$AD2671*'Assumptions (T&amp;D)'!Q$101</f>
        <v>1.1963169160017977</v>
      </c>
      <c r="AT2807" s="147">
        <f>$AD2671*'Assumptions (T&amp;D)'!R$101</f>
        <v>1.1965850883658422</v>
      </c>
      <c r="AU2807" s="147">
        <f>$AD2671*'Assumptions (T&amp;D)'!S$101</f>
        <v>1.1963169160017977</v>
      </c>
      <c r="AV2807" s="147">
        <f>$AD2671*'Assumptions (T&amp;D)'!T$101</f>
        <v>1.1965850883658422</v>
      </c>
      <c r="AW2807" s="147">
        <f>$AD2671*'Assumptions (T&amp;D)'!U$101</f>
        <v>1.1963169160017977</v>
      </c>
      <c r="AX2807" s="147">
        <f>$AD2671*'Assumptions (T&amp;D)'!V$101</f>
        <v>0.5982925441829211</v>
      </c>
    </row>
    <row r="2808" spans="1:59" ht="15.75" hidden="1" customHeight="1" outlineLevel="1">
      <c r="A2808" s="460"/>
      <c r="B2808" s="99"/>
      <c r="C2808" s="42"/>
      <c r="D2808" s="42"/>
      <c r="E2808" s="42"/>
      <c r="F2808" s="42"/>
      <c r="G2808" s="42"/>
      <c r="H2808" s="42"/>
      <c r="I2808" s="42"/>
      <c r="J2808" s="42"/>
      <c r="K2808" s="42"/>
      <c r="L2808" s="42"/>
      <c r="M2808" s="42"/>
      <c r="N2808" s="42"/>
      <c r="O2808" s="42"/>
      <c r="P2808" s="42"/>
      <c r="Q2808" s="42"/>
      <c r="R2808" s="42"/>
      <c r="S2808" s="42"/>
      <c r="T2808" s="42"/>
      <c r="U2808" s="42"/>
      <c r="V2808" s="42"/>
      <c r="W2808" s="86"/>
      <c r="AE2808" s="147">
        <f>$AE2671*'Assumptions (T&amp;D)'!B$101</f>
        <v>1.0155309696351384</v>
      </c>
      <c r="AF2808" s="147">
        <f>$AE2671*'Assumptions (T&amp;D)'!C$101</f>
        <v>1.9549648186122843</v>
      </c>
      <c r="AG2808" s="147">
        <f>$AE2671*'Assumptions (T&amp;D)'!D$101</f>
        <v>1.8081867424676854</v>
      </c>
      <c r="AH2808" s="147">
        <f>$AE2671*'Assumptions (T&amp;D)'!E$101</f>
        <v>1.6727826131830001</v>
      </c>
      <c r="AI2808" s="147">
        <f>$AE2671*'Assumptions (T&amp;D)'!F$101</f>
        <v>1.5471275812068124</v>
      </c>
      <c r="AJ2808" s="147">
        <f>$AE2671*'Assumptions (T&amp;D)'!G$101</f>
        <v>1.4312216465391221</v>
      </c>
      <c r="AK2808" s="147">
        <f>$AE2671*'Assumptions (T&amp;D)'!H$101</f>
        <v>1.3237107678870819</v>
      </c>
      <c r="AL2808" s="147">
        <f>$AE2671*'Assumptions (T&amp;D)'!I$101</f>
        <v>1.2245949452506926</v>
      </c>
      <c r="AM2808" s="147">
        <f>$AE2671*'Assumptions (T&amp;D)'!J$101</f>
        <v>1.2083464497365302</v>
      </c>
      <c r="AN2808" s="147">
        <f>$AE2671*'Assumptions (T&amp;D)'!K$101</f>
        <v>1.2080756414779608</v>
      </c>
      <c r="AO2808" s="147">
        <f>$AE2671*'Assumptions (T&amp;D)'!L$101</f>
        <v>1.2083464497365302</v>
      </c>
      <c r="AP2808" s="147">
        <f>$AE2671*'Assumptions (T&amp;D)'!M$101</f>
        <v>1.2080756414779608</v>
      </c>
      <c r="AQ2808" s="147">
        <f>$AE2671*'Assumptions (T&amp;D)'!N$101</f>
        <v>1.2083464497365302</v>
      </c>
      <c r="AR2808" s="147">
        <f>$AE2671*'Assumptions (T&amp;D)'!O$101</f>
        <v>1.2080756414779608</v>
      </c>
      <c r="AS2808" s="147">
        <f>$AE2671*'Assumptions (T&amp;D)'!P$101</f>
        <v>1.2083464497365302</v>
      </c>
      <c r="AT2808" s="147">
        <f>$AE2671*'Assumptions (T&amp;D)'!Q$101</f>
        <v>1.2080756414779608</v>
      </c>
      <c r="AU2808" s="147">
        <f>$AE2671*'Assumptions (T&amp;D)'!R$101</f>
        <v>1.2083464497365302</v>
      </c>
      <c r="AV2808" s="147">
        <f>$AE2671*'Assumptions (T&amp;D)'!S$101</f>
        <v>1.2080756414779608</v>
      </c>
      <c r="AW2808" s="147">
        <f>$AE2671*'Assumptions (T&amp;D)'!T$101</f>
        <v>1.2083464497365302</v>
      </c>
      <c r="AX2808" s="147">
        <f>$AE2671*'Assumptions (T&amp;D)'!U$101</f>
        <v>1.2080756414779608</v>
      </c>
      <c r="AY2808" s="147">
        <f>$AE2671*'Assumptions (T&amp;D)'!V$101</f>
        <v>0.60417322486826508</v>
      </c>
    </row>
    <row r="2809" spans="1:59" ht="15.75" hidden="1" customHeight="1" outlineLevel="1">
      <c r="A2809" s="460"/>
      <c r="B2809" s="99"/>
      <c r="C2809" s="42"/>
      <c r="D2809" s="42"/>
      <c r="E2809" s="42"/>
      <c r="F2809" s="42"/>
      <c r="G2809" s="42"/>
      <c r="H2809" s="42"/>
      <c r="I2809" s="42"/>
      <c r="J2809" s="42"/>
      <c r="K2809" s="42"/>
      <c r="L2809" s="42"/>
      <c r="M2809" s="42"/>
      <c r="N2809" s="42"/>
      <c r="O2809" s="42"/>
      <c r="P2809" s="42"/>
      <c r="Q2809" s="42"/>
      <c r="R2809" s="42"/>
      <c r="S2809" s="42"/>
      <c r="T2809" s="42"/>
      <c r="U2809" s="42"/>
      <c r="V2809" s="42"/>
      <c r="W2809" s="86"/>
      <c r="AF2809" s="147">
        <f>$AF2671*'Assumptions (T&amp;D)'!B$101</f>
        <v>0.98405484027094525</v>
      </c>
      <c r="AG2809" s="147">
        <f>$AF2671*'Assumptions (T&amp;D)'!C$101</f>
        <v>1.8943711711775877</v>
      </c>
      <c r="AH2809" s="147">
        <f>$AF2671*'Assumptions (T&amp;D)'!D$101</f>
        <v>1.752142444930427</v>
      </c>
      <c r="AI2809" s="147">
        <f>$AF2671*'Assumptions (T&amp;D)'!E$101</f>
        <v>1.6209351328943009</v>
      </c>
      <c r="AJ2809" s="147">
        <f>$AF2671*'Assumptions (T&amp;D)'!F$101</f>
        <v>1.4991747473247761</v>
      </c>
      <c r="AK2809" s="147">
        <f>$AF2671*'Assumptions (T&amp;D)'!G$101</f>
        <v>1.3868612882218523</v>
      </c>
      <c r="AL2809" s="147">
        <f>$AF2671*'Assumptions (T&amp;D)'!H$101</f>
        <v>1.282682682465168</v>
      </c>
      <c r="AM2809" s="147">
        <f>$AF2671*'Assumptions (T&amp;D)'!I$101</f>
        <v>1.186638930054724</v>
      </c>
      <c r="AN2809" s="147">
        <f>$AF2671*'Assumptions (T&amp;D)'!J$101</f>
        <v>1.1708940526103888</v>
      </c>
      <c r="AO2809" s="147">
        <f>$AF2671*'Assumptions (T&amp;D)'!K$101</f>
        <v>1.1706316379863164</v>
      </c>
      <c r="AP2809" s="147">
        <f>$AF2671*'Assumptions (T&amp;D)'!L$101</f>
        <v>1.1708940526103888</v>
      </c>
      <c r="AQ2809" s="147">
        <f>$AF2671*'Assumptions (T&amp;D)'!M$101</f>
        <v>1.1706316379863164</v>
      </c>
      <c r="AR2809" s="147">
        <f>$AF2671*'Assumptions (T&amp;D)'!N$101</f>
        <v>1.1708940526103888</v>
      </c>
      <c r="AS2809" s="147">
        <f>$AF2671*'Assumptions (T&amp;D)'!O$101</f>
        <v>1.1706316379863164</v>
      </c>
      <c r="AT2809" s="147">
        <f>$AF2671*'Assumptions (T&amp;D)'!P$101</f>
        <v>1.1708940526103888</v>
      </c>
      <c r="AU2809" s="147">
        <f>$AF2671*'Assumptions (T&amp;D)'!Q$101</f>
        <v>1.1706316379863164</v>
      </c>
      <c r="AV2809" s="147">
        <f>$AF2671*'Assumptions (T&amp;D)'!R$101</f>
        <v>1.1708940526103888</v>
      </c>
      <c r="AW2809" s="147">
        <f>$AF2671*'Assumptions (T&amp;D)'!S$101</f>
        <v>1.1706316379863164</v>
      </c>
      <c r="AX2809" s="147">
        <f>$AF2671*'Assumptions (T&amp;D)'!T$101</f>
        <v>1.1708940526103888</v>
      </c>
      <c r="AY2809" s="147">
        <f>$AF2671*'Assumptions (T&amp;D)'!U$101</f>
        <v>1.1706316379863164</v>
      </c>
      <c r="AZ2809" s="147">
        <f>$AF2671*'Assumptions (T&amp;D)'!V$101</f>
        <v>0.58544702630519441</v>
      </c>
    </row>
    <row r="2810" spans="1:59" ht="15.75" hidden="1" customHeight="1" outlineLevel="1">
      <c r="A2810" s="460"/>
      <c r="B2810" s="99"/>
      <c r="C2810" s="42"/>
      <c r="D2810" s="42"/>
      <c r="E2810" s="42"/>
      <c r="F2810" s="42"/>
      <c r="G2810" s="42"/>
      <c r="H2810" s="42"/>
      <c r="I2810" s="42"/>
      <c r="J2810" s="42"/>
      <c r="K2810" s="42"/>
      <c r="L2810" s="42"/>
      <c r="M2810" s="42"/>
      <c r="N2810" s="42"/>
      <c r="O2810" s="42"/>
      <c r="P2810" s="42"/>
      <c r="Q2810" s="42"/>
      <c r="R2810" s="42"/>
      <c r="S2810" s="42"/>
      <c r="T2810" s="42"/>
      <c r="U2810" s="42"/>
      <c r="V2810" s="42"/>
      <c r="W2810" s="86"/>
      <c r="AG2810" s="147">
        <f>$AG2671*'Assumptions (T&amp;D)'!B$101</f>
        <v>1.0905459909008817</v>
      </c>
      <c r="AH2810" s="147">
        <f>$AG2671*'Assumptions (T&amp;D)'!C$101</f>
        <v>2.0993737355502575</v>
      </c>
      <c r="AI2810" s="147">
        <f>$AG2671*'Assumptions (T&amp;D)'!D$101</f>
        <v>1.9417534883320497</v>
      </c>
      <c r="AJ2810" s="147">
        <f>$AG2671*'Assumptions (T&amp;D)'!E$101</f>
        <v>1.7963473562119323</v>
      </c>
      <c r="AK2810" s="147">
        <f>$AG2671*'Assumptions (T&amp;D)'!F$101</f>
        <v>1.6614104656044633</v>
      </c>
      <c r="AL2810" s="147">
        <f>$AG2671*'Assumptions (T&amp;D)'!G$101</f>
        <v>1.5369428165096426</v>
      </c>
      <c r="AM2810" s="147">
        <f>$AG2671*'Assumptions (T&amp;D)'!H$101</f>
        <v>1.4214903476062692</v>
      </c>
      <c r="AN2810" s="147">
        <f>$AG2671*'Assumptions (T&amp;D)'!I$101</f>
        <v>1.3150530588943434</v>
      </c>
      <c r="AO2810" s="147">
        <f>$AG2671*'Assumptions (T&amp;D)'!J$101</f>
        <v>1.297604323039929</v>
      </c>
      <c r="AP2810" s="147">
        <f>$AG2671*'Assumptions (T&amp;D)'!K$101</f>
        <v>1.2973135107756888</v>
      </c>
      <c r="AQ2810" s="147">
        <f>$AG2671*'Assumptions (T&amp;D)'!L$101</f>
        <v>1.297604323039929</v>
      </c>
      <c r="AR2810" s="147">
        <f>$AG2671*'Assumptions (T&amp;D)'!M$101</f>
        <v>1.2973135107756888</v>
      </c>
      <c r="AS2810" s="147">
        <f>$AG2671*'Assumptions (T&amp;D)'!N$101</f>
        <v>1.297604323039929</v>
      </c>
      <c r="AT2810" s="147">
        <f>$AG2671*'Assumptions (T&amp;D)'!O$101</f>
        <v>1.2973135107756888</v>
      </c>
      <c r="AU2810" s="147">
        <f>$AG2671*'Assumptions (T&amp;D)'!P$101</f>
        <v>1.297604323039929</v>
      </c>
      <c r="AV2810" s="147">
        <f>$AG2671*'Assumptions (T&amp;D)'!Q$101</f>
        <v>1.2973135107756888</v>
      </c>
      <c r="AW2810" s="147">
        <f>$AG2671*'Assumptions (T&amp;D)'!R$101</f>
        <v>1.297604323039929</v>
      </c>
      <c r="AX2810" s="147">
        <f>$AG2671*'Assumptions (T&amp;D)'!S$101</f>
        <v>1.2973135107756888</v>
      </c>
      <c r="AY2810" s="147">
        <f>$AG2671*'Assumptions (T&amp;D)'!T$101</f>
        <v>1.297604323039929</v>
      </c>
      <c r="AZ2810" s="147">
        <f>$AG2671*'Assumptions (T&amp;D)'!U$101</f>
        <v>1.2973135107756888</v>
      </c>
      <c r="BA2810" s="147">
        <f>$AG2671*'Assumptions (T&amp;D)'!V$101</f>
        <v>0.6488021615199645</v>
      </c>
    </row>
    <row r="2811" spans="1:59" ht="15.75" hidden="1" customHeight="1" outlineLevel="1">
      <c r="A2811" s="460"/>
      <c r="B2811" s="99"/>
      <c r="C2811" s="42"/>
      <c r="D2811" s="42"/>
      <c r="E2811" s="42"/>
      <c r="F2811" s="42"/>
      <c r="G2811" s="42"/>
      <c r="H2811" s="42"/>
      <c r="I2811" s="42"/>
      <c r="J2811" s="42"/>
      <c r="K2811" s="42"/>
      <c r="L2811" s="42"/>
      <c r="M2811" s="42"/>
      <c r="N2811" s="42"/>
      <c r="O2811" s="42"/>
      <c r="P2811" s="42"/>
      <c r="Q2811" s="42"/>
      <c r="R2811" s="42"/>
      <c r="S2811" s="42"/>
      <c r="T2811" s="42"/>
      <c r="U2811" s="42"/>
      <c r="V2811" s="42"/>
      <c r="W2811" s="86"/>
      <c r="AH2811" s="147">
        <f>$AH2671*'Assumptions (T&amp;D)'!B$101</f>
        <v>1.0308462083210246</v>
      </c>
      <c r="AI2811" s="147">
        <f>$AH2671*'Assumptions (T&amp;D)'!C$101</f>
        <v>1.9844476740985275</v>
      </c>
      <c r="AJ2811" s="147">
        <f>$AH2671*'Assumptions (T&amp;D)'!D$101</f>
        <v>1.8354560354558618</v>
      </c>
      <c r="AK2811" s="147">
        <f>$AH2671*'Assumptions (T&amp;D)'!E$101</f>
        <v>1.6980098743463918</v>
      </c>
      <c r="AL2811" s="147">
        <f>$AH2671*'Assumptions (T&amp;D)'!F$101</f>
        <v>1.5704598368368039</v>
      </c>
      <c r="AM2811" s="147">
        <f>$AH2671*'Assumptions (T&amp;D)'!G$101</f>
        <v>1.4528059229270975</v>
      </c>
      <c r="AN2811" s="147">
        <f>$AH2671*'Assumptions (T&amp;D)'!H$101</f>
        <v>1.3436736710061783</v>
      </c>
      <c r="AO2811" s="147">
        <f>$AH2671*'Assumptions (T&amp;D)'!I$101</f>
        <v>1.2430630810740464</v>
      </c>
      <c r="AP2811" s="147">
        <f>$AH2671*'Assumptions (T&amp;D)'!J$101</f>
        <v>1.2265695417409099</v>
      </c>
      <c r="AQ2811" s="147">
        <f>$AH2671*'Assumptions (T&amp;D)'!K$101</f>
        <v>1.2262946494186908</v>
      </c>
      <c r="AR2811" s="147">
        <f>$AH2671*'Assumptions (T&amp;D)'!L$101</f>
        <v>1.2265695417409099</v>
      </c>
      <c r="AS2811" s="147">
        <f>$AH2671*'Assumptions (T&amp;D)'!M$101</f>
        <v>1.2262946494186908</v>
      </c>
      <c r="AT2811" s="147">
        <f>$AH2671*'Assumptions (T&amp;D)'!N$101</f>
        <v>1.2265695417409099</v>
      </c>
      <c r="AU2811" s="147">
        <f>$AH2671*'Assumptions (T&amp;D)'!O$101</f>
        <v>1.2262946494186908</v>
      </c>
      <c r="AV2811" s="147">
        <f>$AH2671*'Assumptions (T&amp;D)'!P$101</f>
        <v>1.2265695417409099</v>
      </c>
      <c r="AW2811" s="147">
        <f>$AH2671*'Assumptions (T&amp;D)'!Q$101</f>
        <v>1.2262946494186908</v>
      </c>
      <c r="AX2811" s="147">
        <f>$AH2671*'Assumptions (T&amp;D)'!R$101</f>
        <v>1.2265695417409099</v>
      </c>
      <c r="AY2811" s="147">
        <f>$AH2671*'Assumptions (T&amp;D)'!S$101</f>
        <v>1.2262946494186908</v>
      </c>
      <c r="AZ2811" s="147">
        <f>$AH2671*'Assumptions (T&amp;D)'!T$101</f>
        <v>1.2265695417409099</v>
      </c>
      <c r="BA2811" s="147">
        <f>$AH2671*'Assumptions (T&amp;D)'!U$101</f>
        <v>1.2262946494186908</v>
      </c>
      <c r="BB2811" s="147">
        <f>$AH2671*'Assumptions (T&amp;D)'!V$101</f>
        <v>0.61328477087045496</v>
      </c>
    </row>
    <row r="2812" spans="1:59" ht="15.75" hidden="1" customHeight="1" outlineLevel="1">
      <c r="A2812" s="460"/>
      <c r="B2812" s="99"/>
      <c r="C2812" s="42"/>
      <c r="D2812" s="42"/>
      <c r="E2812" s="42"/>
      <c r="F2812" s="42"/>
      <c r="G2812" s="42"/>
      <c r="H2812" s="42"/>
      <c r="I2812" s="42"/>
      <c r="J2812" s="42"/>
      <c r="K2812" s="42"/>
      <c r="L2812" s="42"/>
      <c r="M2812" s="42"/>
      <c r="N2812" s="42"/>
      <c r="O2812" s="42"/>
      <c r="P2812" s="42"/>
      <c r="Q2812" s="42"/>
      <c r="R2812" s="42"/>
      <c r="S2812" s="42"/>
      <c r="T2812" s="42"/>
      <c r="U2812" s="42"/>
      <c r="V2812" s="42"/>
      <c r="W2812" s="86"/>
      <c r="AI2812" s="147">
        <f>$AI2671*'Assumptions (T&amp;D)'!B$101</f>
        <v>0.95426249115407735</v>
      </c>
      <c r="AJ2812" s="147">
        <f>$AI2671*'Assumptions (T&amp;D)'!C$101</f>
        <v>1.8370189129710095</v>
      </c>
      <c r="AK2812" s="147">
        <f>$AI2671*'Assumptions (T&amp;D)'!D$101</f>
        <v>1.6990961742495398</v>
      </c>
      <c r="AL2812" s="147">
        <f>$AI2671*'Assumptions (T&amp;D)'!E$101</f>
        <v>1.5718611754289964</v>
      </c>
      <c r="AM2812" s="147">
        <f>$AI2671*'Assumptions (T&amp;D)'!F$101</f>
        <v>1.4537870965235318</v>
      </c>
      <c r="AN2812" s="147">
        <f>$AI2671*'Assumptions (T&amp;D)'!G$101</f>
        <v>1.3448739375331464</v>
      </c>
      <c r="AO2812" s="147">
        <f>$AI2671*'Assumptions (T&amp;D)'!H$101</f>
        <v>1.2438493484696349</v>
      </c>
      <c r="AP2812" s="147">
        <f>$AI2671*'Assumptions (T&amp;D)'!I$101</f>
        <v>1.150713329332997</v>
      </c>
      <c r="AQ2812" s="147">
        <f>$AI2671*'Assumptions (T&amp;D)'!J$101</f>
        <v>1.1354451294745316</v>
      </c>
      <c r="AR2812" s="147">
        <f>$AI2671*'Assumptions (T&amp;D)'!K$101</f>
        <v>1.1351906594768904</v>
      </c>
      <c r="AS2812" s="147">
        <f>$AI2671*'Assumptions (T&amp;D)'!L$101</f>
        <v>1.1354451294745316</v>
      </c>
      <c r="AT2812" s="147">
        <f>$AI2671*'Assumptions (T&amp;D)'!M$101</f>
        <v>1.1351906594768904</v>
      </c>
      <c r="AU2812" s="147">
        <f>$AI2671*'Assumptions (T&amp;D)'!N$101</f>
        <v>1.1354451294745316</v>
      </c>
      <c r="AV2812" s="147">
        <f>$AI2671*'Assumptions (T&amp;D)'!O$101</f>
        <v>1.1351906594768904</v>
      </c>
      <c r="AW2812" s="147">
        <f>$AI2671*'Assumptions (T&amp;D)'!P$101</f>
        <v>1.1354451294745316</v>
      </c>
      <c r="AX2812" s="147">
        <f>$AI2671*'Assumptions (T&amp;D)'!Q$101</f>
        <v>1.1351906594768904</v>
      </c>
      <c r="AY2812" s="147">
        <f>$AI2671*'Assumptions (T&amp;D)'!R$101</f>
        <v>1.1354451294745316</v>
      </c>
      <c r="AZ2812" s="147">
        <f>$AI2671*'Assumptions (T&amp;D)'!S$101</f>
        <v>1.1351906594768904</v>
      </c>
      <c r="BA2812" s="147">
        <f>$AI2671*'Assumptions (T&amp;D)'!T$101</f>
        <v>1.1354451294745316</v>
      </c>
      <c r="BB2812" s="147">
        <f>$AI2671*'Assumptions (T&amp;D)'!U$101</f>
        <v>1.1351906594768904</v>
      </c>
      <c r="BC2812" s="147">
        <f>$AI2671*'Assumptions (T&amp;D)'!V$101</f>
        <v>0.56772256473726579</v>
      </c>
    </row>
    <row r="2813" spans="1:59" ht="15.75" hidden="1" customHeight="1" outlineLevel="1">
      <c r="A2813" s="460"/>
      <c r="B2813" s="99"/>
      <c r="C2813" s="42"/>
      <c r="D2813" s="42"/>
      <c r="E2813" s="42"/>
      <c r="F2813" s="42"/>
      <c r="G2813" s="42"/>
      <c r="H2813" s="42"/>
      <c r="I2813" s="42"/>
      <c r="J2813" s="42"/>
      <c r="K2813" s="42"/>
      <c r="L2813" s="42"/>
      <c r="M2813" s="42"/>
      <c r="N2813" s="42"/>
      <c r="O2813" s="42"/>
      <c r="P2813" s="42"/>
      <c r="Q2813" s="42"/>
      <c r="R2813" s="42"/>
      <c r="S2813" s="42"/>
      <c r="T2813" s="42"/>
      <c r="U2813" s="42"/>
      <c r="V2813" s="42"/>
      <c r="W2813" s="86"/>
      <c r="AJ2813" s="147">
        <f>$AJ2671*'Assumptions (T&amp;D)'!B$101</f>
        <v>1.0096741442413899</v>
      </c>
      <c r="AK2813" s="147">
        <f>$AJ2671*'Assumptions (T&amp;D)'!C$101</f>
        <v>1.943690039274292</v>
      </c>
      <c r="AL2813" s="147">
        <f>$AJ2671*'Assumptions (T&amp;D)'!D$101</f>
        <v>1.7977584696266029</v>
      </c>
      <c r="AM2813" s="147">
        <f>$AJ2671*'Assumptions (T&amp;D)'!E$101</f>
        <v>1.6631352503944177</v>
      </c>
      <c r="AN2813" s="147">
        <f>$AJ2671*'Assumptions (T&amp;D)'!F$101</f>
        <v>1.5382049029469498</v>
      </c>
      <c r="AO2813" s="147">
        <f>$AJ2671*'Assumptions (T&amp;D)'!G$101</f>
        <v>1.422967427284199</v>
      </c>
      <c r="AP2813" s="147">
        <f>$AJ2671*'Assumptions (T&amp;D)'!H$101</f>
        <v>1.3160765912138439</v>
      </c>
      <c r="AQ2813" s="147">
        <f>$AJ2671*'Assumptions (T&amp;D)'!I$101</f>
        <v>1.2175323947358843</v>
      </c>
      <c r="AR2813" s="147">
        <f>$AJ2671*'Assumptions (T&amp;D)'!J$101</f>
        <v>1.2013776084280219</v>
      </c>
      <c r="AS2813" s="147">
        <f>$AJ2671*'Assumptions (T&amp;D)'!K$101</f>
        <v>1.2011083619895575</v>
      </c>
      <c r="AT2813" s="147">
        <f>$AJ2671*'Assumptions (T&amp;D)'!L$101</f>
        <v>1.2013776084280219</v>
      </c>
      <c r="AU2813" s="147">
        <f>$AJ2671*'Assumptions (T&amp;D)'!M$101</f>
        <v>1.2011083619895575</v>
      </c>
      <c r="AV2813" s="147">
        <f>$AJ2671*'Assumptions (T&amp;D)'!N$101</f>
        <v>1.2013776084280219</v>
      </c>
      <c r="AW2813" s="147">
        <f>$AJ2671*'Assumptions (T&amp;D)'!O$101</f>
        <v>1.2011083619895575</v>
      </c>
      <c r="AX2813" s="147">
        <f>$AJ2671*'Assumptions (T&amp;D)'!P$101</f>
        <v>1.2013776084280219</v>
      </c>
      <c r="AY2813" s="147">
        <f>$AJ2671*'Assumptions (T&amp;D)'!Q$101</f>
        <v>1.2011083619895575</v>
      </c>
      <c r="AZ2813" s="147">
        <f>$AJ2671*'Assumptions (T&amp;D)'!R$101</f>
        <v>1.2013776084280219</v>
      </c>
      <c r="BA2813" s="147">
        <f>$AJ2671*'Assumptions (T&amp;D)'!S$101</f>
        <v>1.2011083619895575</v>
      </c>
      <c r="BB2813" s="147">
        <f>$AJ2671*'Assumptions (T&amp;D)'!T$101</f>
        <v>1.2013776084280219</v>
      </c>
      <c r="BC2813" s="147">
        <f>$AJ2671*'Assumptions (T&amp;D)'!U$101</f>
        <v>1.2011083619895575</v>
      </c>
      <c r="BD2813" s="147">
        <f>$AJ2671*'Assumptions (T&amp;D)'!V$101</f>
        <v>0.60068880421401094</v>
      </c>
    </row>
    <row r="2814" spans="1:59" ht="15.75" hidden="1" customHeight="1" outlineLevel="1">
      <c r="A2814" s="460"/>
      <c r="B2814" s="99"/>
      <c r="C2814" s="42"/>
      <c r="D2814" s="42"/>
      <c r="E2814" s="42"/>
      <c r="F2814" s="42"/>
      <c r="G2814" s="42"/>
      <c r="H2814" s="42"/>
      <c r="I2814" s="42"/>
      <c r="J2814" s="42"/>
      <c r="K2814" s="42"/>
      <c r="L2814" s="42"/>
      <c r="M2814" s="42"/>
      <c r="N2814" s="42"/>
      <c r="O2814" s="42"/>
      <c r="P2814" s="42"/>
      <c r="Q2814" s="42"/>
      <c r="R2814" s="42"/>
      <c r="S2814" s="42"/>
      <c r="T2814" s="42"/>
      <c r="U2814" s="42"/>
      <c r="V2814" s="42"/>
      <c r="W2814" s="86"/>
      <c r="AK2814" s="147">
        <f>$AK2671*'Assumptions (T&amp;D)'!B$101</f>
        <v>1.0328701907539097</v>
      </c>
      <c r="AL2814" s="147">
        <f>$AK2671*'Assumptions (T&amp;D)'!C$101</f>
        <v>1.9883439752139931</v>
      </c>
      <c r="AM2814" s="147">
        <f>$AK2671*'Assumptions (T&amp;D)'!D$101</f>
        <v>1.8390598036436945</v>
      </c>
      <c r="AN2814" s="147">
        <f>$AK2671*'Assumptions (T&amp;D)'!E$101</f>
        <v>1.70134377820984</v>
      </c>
      <c r="AO2814" s="147">
        <f>$AK2671*'Assumptions (T&amp;D)'!F$101</f>
        <v>1.5735433066072229</v>
      </c>
      <c r="AP2814" s="147">
        <f>$AK2671*'Assumptions (T&amp;D)'!G$101</f>
        <v>1.4556583888358434</v>
      </c>
      <c r="AQ2814" s="147">
        <f>$AK2671*'Assumptions (T&amp;D)'!H$101</f>
        <v>1.3463118646413628</v>
      </c>
      <c r="AR2814" s="147">
        <f>$AK2671*'Assumptions (T&amp;D)'!I$101</f>
        <v>1.2455037340237813</v>
      </c>
      <c r="AS2814" s="147">
        <f>$AK2671*'Assumptions (T&amp;D)'!J$101</f>
        <v>1.2289778109717187</v>
      </c>
      <c r="AT2814" s="147">
        <f>$AK2671*'Assumptions (T&amp;D)'!K$101</f>
        <v>1.2287023789208509</v>
      </c>
      <c r="AU2814" s="147">
        <f>$AK2671*'Assumptions (T&amp;D)'!L$101</f>
        <v>1.2289778109717187</v>
      </c>
      <c r="AV2814" s="147">
        <f>$AK2671*'Assumptions (T&amp;D)'!M$101</f>
        <v>1.2287023789208509</v>
      </c>
      <c r="AW2814" s="147">
        <f>$AK2671*'Assumptions (T&amp;D)'!N$101</f>
        <v>1.2289778109717187</v>
      </c>
      <c r="AX2814" s="147">
        <f>$AK2671*'Assumptions (T&amp;D)'!O$101</f>
        <v>1.2287023789208509</v>
      </c>
      <c r="AY2814" s="147">
        <f>$AK2671*'Assumptions (T&amp;D)'!P$101</f>
        <v>1.2289778109717187</v>
      </c>
      <c r="AZ2814" s="147">
        <f>$AK2671*'Assumptions (T&amp;D)'!Q$101</f>
        <v>1.2287023789208509</v>
      </c>
      <c r="BA2814" s="147">
        <f>$AK2671*'Assumptions (T&amp;D)'!R$101</f>
        <v>1.2289778109717187</v>
      </c>
      <c r="BB2814" s="147">
        <f>$AK2671*'Assumptions (T&amp;D)'!S$101</f>
        <v>1.2287023789208509</v>
      </c>
      <c r="BC2814" s="147">
        <f>$AK2671*'Assumptions (T&amp;D)'!T$101</f>
        <v>1.2289778109717187</v>
      </c>
      <c r="BD2814" s="147">
        <f>$AK2671*'Assumptions (T&amp;D)'!U$101</f>
        <v>1.2287023789208509</v>
      </c>
      <c r="BE2814" s="147">
        <f>$AK2671*'Assumptions (T&amp;D)'!V$101</f>
        <v>0.61448890548585933</v>
      </c>
    </row>
    <row r="2815" spans="1:59" ht="15.75" hidden="1" customHeight="1" outlineLevel="1">
      <c r="A2815" s="460"/>
      <c r="B2815" s="99"/>
      <c r="C2815" s="42"/>
      <c r="D2815" s="42"/>
      <c r="E2815" s="42"/>
      <c r="F2815" s="42"/>
      <c r="G2815" s="42"/>
      <c r="H2815" s="42"/>
      <c r="I2815" s="42"/>
      <c r="J2815" s="42"/>
      <c r="K2815" s="42"/>
      <c r="L2815" s="42"/>
      <c r="M2815" s="42"/>
      <c r="N2815" s="42"/>
      <c r="O2815" s="42"/>
      <c r="P2815" s="42"/>
      <c r="Q2815" s="42"/>
      <c r="R2815" s="42"/>
      <c r="S2815" s="42"/>
      <c r="T2815" s="42"/>
      <c r="U2815" s="42"/>
      <c r="V2815" s="42"/>
      <c r="W2815" s="86"/>
      <c r="AL2815" s="147">
        <f>$AL2671*'Assumptions (T&amp;D)'!B$101</f>
        <v>0.90727381094037141</v>
      </c>
      <c r="AM2815" s="147">
        <f>$AL2671*'Assumptions (T&amp;D)'!C$101</f>
        <v>1.7465625709809445</v>
      </c>
      <c r="AN2815" s="147">
        <f>$AL2671*'Assumptions (T&amp;D)'!D$101</f>
        <v>1.6154312628396961</v>
      </c>
      <c r="AO2815" s="147">
        <f>$AL2671*'Assumptions (T&amp;D)'!E$101</f>
        <v>1.4944614213809799</v>
      </c>
      <c r="AP2815" s="147">
        <f>$AL2671*'Assumptions (T&amp;D)'!F$101</f>
        <v>1.3822014085072913</v>
      </c>
      <c r="AQ2815" s="147">
        <f>$AL2671*'Assumptions (T&amp;D)'!G$101</f>
        <v>1.2786512242186303</v>
      </c>
      <c r="AR2815" s="147">
        <f>$AL2671*'Assumptions (T&amp;D)'!H$101</f>
        <v>1.1826011701004095</v>
      </c>
      <c r="AS2815" s="147">
        <f>$AL2671*'Assumptions (T&amp;D)'!I$101</f>
        <v>1.0940512461526293</v>
      </c>
      <c r="AT2815" s="147">
        <f>$AL2671*'Assumptions (T&amp;D)'!J$101</f>
        <v>1.0795348651775833</v>
      </c>
      <c r="AU2815" s="147">
        <f>$AL2671*'Assumptions (T&amp;D)'!K$101</f>
        <v>1.0792929254946659</v>
      </c>
      <c r="AV2815" s="147">
        <f>$AL2671*'Assumptions (T&amp;D)'!L$101</f>
        <v>1.0795348651775833</v>
      </c>
      <c r="AW2815" s="147">
        <f>$AL2671*'Assumptions (T&amp;D)'!M$101</f>
        <v>1.0792929254946659</v>
      </c>
      <c r="AX2815" s="147">
        <f>$AL2671*'Assumptions (T&amp;D)'!N$101</f>
        <v>1.0795348651775833</v>
      </c>
      <c r="AY2815" s="147">
        <f>$AL2671*'Assumptions (T&amp;D)'!O$101</f>
        <v>1.0792929254946659</v>
      </c>
      <c r="AZ2815" s="147">
        <f>$AL2671*'Assumptions (T&amp;D)'!P$101</f>
        <v>1.0795348651775833</v>
      </c>
      <c r="BA2815" s="147">
        <f>$AL2671*'Assumptions (T&amp;D)'!Q$101</f>
        <v>1.0792929254946659</v>
      </c>
      <c r="BB2815" s="147">
        <f>$AL2671*'Assumptions (T&amp;D)'!R$101</f>
        <v>1.0795348651775833</v>
      </c>
      <c r="BC2815" s="147">
        <f>$AL2671*'Assumptions (T&amp;D)'!S$101</f>
        <v>1.0792929254946659</v>
      </c>
      <c r="BD2815" s="147">
        <f>$AL2671*'Assumptions (T&amp;D)'!T$101</f>
        <v>1.0795348651775833</v>
      </c>
      <c r="BE2815" s="147">
        <f>$AL2671*'Assumptions (T&amp;D)'!U$101</f>
        <v>1.0792929254946659</v>
      </c>
      <c r="BF2815" s="147">
        <f>$AL2671*'Assumptions (T&amp;D)'!V$101</f>
        <v>0.53976743258879167</v>
      </c>
    </row>
    <row r="2816" spans="1:59" ht="15.75" hidden="1" customHeight="1" outlineLevel="1">
      <c r="A2816" s="460"/>
      <c r="B2816" s="99"/>
      <c r="C2816" s="42"/>
      <c r="D2816" s="42"/>
      <c r="E2816" s="42"/>
      <c r="F2816" s="42"/>
      <c r="G2816" s="42"/>
      <c r="H2816" s="42"/>
      <c r="I2816" s="42"/>
      <c r="J2816" s="42"/>
      <c r="K2816" s="42"/>
      <c r="L2816" s="42"/>
      <c r="M2816" s="42"/>
      <c r="N2816" s="42"/>
      <c r="O2816" s="42"/>
      <c r="P2816" s="42"/>
      <c r="Q2816" s="42"/>
      <c r="R2816" s="42"/>
      <c r="S2816" s="42"/>
      <c r="T2816" s="42"/>
      <c r="U2816" s="42"/>
      <c r="V2816" s="42"/>
      <c r="W2816" s="86"/>
      <c r="AM2816" s="147">
        <f>$AM2671*'Assumptions (T&amp;D)'!B$101</f>
        <v>0.91763622271860923</v>
      </c>
      <c r="AN2816" s="147">
        <f>$AM2671*'Assumptions (T&amp;D)'!C$101</f>
        <v>1.7665109044815044</v>
      </c>
      <c r="AO2816" s="147">
        <f>$AM2671*'Assumptions (T&amp;D)'!D$101</f>
        <v>1.6338818824245744</v>
      </c>
      <c r="AP2816" s="147">
        <f>$AM2671*'Assumptions (T&amp;D)'!E$101</f>
        <v>1.5115303860620932</v>
      </c>
      <c r="AQ2816" s="147">
        <f>$AM2671*'Assumptions (T&amp;D)'!F$101</f>
        <v>1.3979881974377106</v>
      </c>
      <c r="AR2816" s="147">
        <f>$AM2671*'Assumptions (T&amp;D)'!G$101</f>
        <v>1.2932553165514267</v>
      </c>
      <c r="AS2816" s="147">
        <f>$AM2671*'Assumptions (T&amp;D)'!H$101</f>
        <v>1.1961082284396167</v>
      </c>
      <c r="AT2816" s="147">
        <f>$AM2671*'Assumptions (T&amp;D)'!I$101</f>
        <v>1.1065469331022804</v>
      </c>
      <c r="AU2816" s="147">
        <f>$AM2671*'Assumptions (T&amp;D)'!J$101</f>
        <v>1.0918647535387827</v>
      </c>
      <c r="AV2816" s="147">
        <f>$AM2671*'Assumptions (T&amp;D)'!K$101</f>
        <v>1.0916200505460576</v>
      </c>
      <c r="AW2816" s="147">
        <f>$AM2671*'Assumptions (T&amp;D)'!L$101</f>
        <v>1.0918647535387827</v>
      </c>
      <c r="AX2816" s="147">
        <f>$AM2671*'Assumptions (T&amp;D)'!M$101</f>
        <v>1.0916200505460576</v>
      </c>
      <c r="AY2816" s="147">
        <f>$AM2671*'Assumptions (T&amp;D)'!N$101</f>
        <v>1.0918647535387827</v>
      </c>
      <c r="AZ2816" s="147">
        <f>$AM2671*'Assumptions (T&amp;D)'!O$101</f>
        <v>1.0916200505460576</v>
      </c>
      <c r="BA2816" s="147">
        <f>$AM2671*'Assumptions (T&amp;D)'!P$101</f>
        <v>1.0918647535387827</v>
      </c>
      <c r="BB2816" s="147">
        <f>$AM2671*'Assumptions (T&amp;D)'!Q$101</f>
        <v>1.0916200505460576</v>
      </c>
      <c r="BC2816" s="147">
        <f>$AM2671*'Assumptions (T&amp;D)'!R$101</f>
        <v>1.0918647535387827</v>
      </c>
      <c r="BD2816" s="147">
        <f>$AM2671*'Assumptions (T&amp;D)'!S$101</f>
        <v>1.0916200505460576</v>
      </c>
      <c r="BE2816" s="147">
        <f>$AM2671*'Assumptions (T&amp;D)'!T$101</f>
        <v>1.0918647535387827</v>
      </c>
      <c r="BF2816" s="147">
        <f>$AM2671*'Assumptions (T&amp;D)'!U$101</f>
        <v>1.0916200505460576</v>
      </c>
      <c r="BG2816" s="147">
        <f>$AM2671*'Assumptions (T&amp;D)'!V$101</f>
        <v>0.54593237676939133</v>
      </c>
    </row>
    <row r="2817" spans="1:73" ht="15.75" hidden="1" customHeight="1" outlineLevel="1">
      <c r="A2817" s="460"/>
      <c r="B2817" s="99"/>
      <c r="C2817" s="42"/>
      <c r="D2817" s="42"/>
      <c r="E2817" s="42"/>
      <c r="F2817" s="42"/>
      <c r="G2817" s="42"/>
      <c r="H2817" s="42"/>
      <c r="I2817" s="42"/>
      <c r="J2817" s="42"/>
      <c r="K2817" s="42"/>
      <c r="L2817" s="42"/>
      <c r="M2817" s="42"/>
      <c r="N2817" s="42"/>
      <c r="O2817" s="42"/>
      <c r="P2817" s="42"/>
      <c r="Q2817" s="42"/>
      <c r="R2817" s="42"/>
      <c r="S2817" s="42"/>
      <c r="T2817" s="42"/>
      <c r="U2817" s="42"/>
      <c r="V2817" s="42"/>
      <c r="W2817" s="86"/>
      <c r="AN2817" s="147">
        <f>$AN2671*'Assumptions (T&amp;D)'!B$101</f>
        <v>1.0307873030215637</v>
      </c>
      <c r="AO2817" s="147">
        <f>$AN2671*'Assumptions (T&amp;D)'!C$101</f>
        <v>1.984334277470045</v>
      </c>
      <c r="AP2817" s="147">
        <f>$AN2671*'Assumptions (T&amp;D)'!D$101</f>
        <v>1.8353511526066615</v>
      </c>
      <c r="AQ2817" s="147">
        <f>$AN2671*'Assumptions (T&amp;D)'!E$101</f>
        <v>1.6979128455371197</v>
      </c>
      <c r="AR2817" s="147">
        <f>$AN2671*'Assumptions (T&amp;D)'!F$101</f>
        <v>1.570370096576585</v>
      </c>
      <c r="AS2817" s="147">
        <f>$AN2671*'Assumptions (T&amp;D)'!G$101</f>
        <v>1.4527229057250572</v>
      </c>
      <c r="AT2817" s="147">
        <f>$AN2671*'Assumptions (T&amp;D)'!H$101</f>
        <v>1.3435968899118409</v>
      </c>
      <c r="AU2817" s="147">
        <f>$AN2671*'Assumptions (T&amp;D)'!I$101</f>
        <v>1.2429920491369364</v>
      </c>
      <c r="AV2817" s="147">
        <f>$AN2671*'Assumptions (T&amp;D)'!J$101</f>
        <v>1.2264994522885913</v>
      </c>
      <c r="AW2817" s="147">
        <f>$AN2671*'Assumptions (T&amp;D)'!K$101</f>
        <v>1.2262245756744521</v>
      </c>
      <c r="AX2817" s="147">
        <f>$AN2671*'Assumptions (T&amp;D)'!L$101</f>
        <v>1.2264994522885913</v>
      </c>
      <c r="AY2817" s="147">
        <f>$AN2671*'Assumptions (T&amp;D)'!M$101</f>
        <v>1.2262245756744521</v>
      </c>
      <c r="AZ2817" s="147">
        <f>$AN2671*'Assumptions (T&amp;D)'!N$101</f>
        <v>1.2264994522885913</v>
      </c>
      <c r="BA2817" s="147">
        <f>$AN2671*'Assumptions (T&amp;D)'!O$101</f>
        <v>1.2262245756744521</v>
      </c>
      <c r="BB2817" s="147">
        <f>$AN2671*'Assumptions (T&amp;D)'!P$101</f>
        <v>1.2264994522885913</v>
      </c>
      <c r="BC2817" s="147">
        <f>$AN2671*'Assumptions (T&amp;D)'!Q$101</f>
        <v>1.2262245756744521</v>
      </c>
      <c r="BD2817" s="147">
        <f>$AN2671*'Assumptions (T&amp;D)'!R$101</f>
        <v>1.2264994522885913</v>
      </c>
      <c r="BE2817" s="147">
        <f>$AN2671*'Assumptions (T&amp;D)'!S$101</f>
        <v>1.2262245756744521</v>
      </c>
      <c r="BF2817" s="147">
        <f>$AN2671*'Assumptions (T&amp;D)'!T$101</f>
        <v>1.2264994522885913</v>
      </c>
      <c r="BG2817" s="147">
        <f>$AN2671*'Assumptions (T&amp;D)'!U$101</f>
        <v>1.2262245756744521</v>
      </c>
      <c r="BH2817" s="147">
        <f>$AN2671*'Assumptions (T&amp;D)'!V$101</f>
        <v>0.61324972614429563</v>
      </c>
    </row>
    <row r="2818" spans="1:73" ht="15.75" hidden="1" customHeight="1" outlineLevel="1">
      <c r="A2818" s="460"/>
      <c r="B2818" s="99"/>
      <c r="C2818" s="42"/>
      <c r="D2818" s="42"/>
      <c r="E2818" s="42"/>
      <c r="F2818" s="42"/>
      <c r="G2818" s="42"/>
      <c r="H2818" s="42"/>
      <c r="I2818" s="42"/>
      <c r="J2818" s="42"/>
      <c r="K2818" s="42"/>
      <c r="L2818" s="42"/>
      <c r="M2818" s="42"/>
      <c r="N2818" s="42"/>
      <c r="O2818" s="42"/>
      <c r="P2818" s="42"/>
      <c r="Q2818" s="42"/>
      <c r="R2818" s="42"/>
      <c r="S2818" s="42"/>
      <c r="T2818" s="42"/>
      <c r="U2818" s="42"/>
      <c r="V2818" s="42"/>
      <c r="W2818" s="86"/>
      <c r="AO2818" s="147">
        <f>$AO2671*'Assumptions (T&amp;D)'!B$101</f>
        <v>1.0317292354716536</v>
      </c>
      <c r="AP2818" s="147">
        <f>$AO2671*'Assumptions (T&amp;D)'!C$101</f>
        <v>1.9861475602319647</v>
      </c>
      <c r="AQ2818" s="147">
        <f>$AO2671*'Assumptions (T&amp;D)'!D$101</f>
        <v>1.8370282947317949</v>
      </c>
      <c r="AR2818" s="147">
        <f>$AO2671*'Assumptions (T&amp;D)'!E$101</f>
        <v>1.6994643966689078</v>
      </c>
      <c r="AS2818" s="147">
        <f>$AO2671*'Assumptions (T&amp;D)'!F$101</f>
        <v>1.5718050992665484</v>
      </c>
      <c r="AT2818" s="147">
        <f>$AO2671*'Assumptions (T&amp;D)'!G$101</f>
        <v>1.4540504025247172</v>
      </c>
      <c r="AU2818" s="147">
        <f>$AO2671*'Assumptions (T&amp;D)'!H$101</f>
        <v>1.3448246674627846</v>
      </c>
      <c r="AV2818" s="147">
        <f>$AO2671*'Assumptions (T&amp;D)'!I$101</f>
        <v>1.2441278940807514</v>
      </c>
      <c r="AW2818" s="147">
        <f>$AO2671*'Assumptions (T&amp;D)'!J$101</f>
        <v>1.2276202263132048</v>
      </c>
      <c r="AX2818" s="147">
        <f>$AO2671*'Assumptions (T&amp;D)'!K$101</f>
        <v>1.2273450985170791</v>
      </c>
      <c r="AY2818" s="147">
        <f>$AO2671*'Assumptions (T&amp;D)'!L$101</f>
        <v>1.2276202263132048</v>
      </c>
      <c r="AZ2818" s="147">
        <f>$AO2671*'Assumptions (T&amp;D)'!M$101</f>
        <v>1.2273450985170791</v>
      </c>
      <c r="BA2818" s="147">
        <f>$AO2671*'Assumptions (T&amp;D)'!N$101</f>
        <v>1.2276202263132048</v>
      </c>
      <c r="BB2818" s="147">
        <f>$AO2671*'Assumptions (T&amp;D)'!O$101</f>
        <v>1.2273450985170791</v>
      </c>
      <c r="BC2818" s="147">
        <f>$AO2671*'Assumptions (T&amp;D)'!P$101</f>
        <v>1.2276202263132048</v>
      </c>
      <c r="BD2818" s="147">
        <f>$AO2671*'Assumptions (T&amp;D)'!Q$101</f>
        <v>1.2273450985170791</v>
      </c>
      <c r="BE2818" s="147">
        <f>$AO2671*'Assumptions (T&amp;D)'!R$101</f>
        <v>1.2276202263132048</v>
      </c>
      <c r="BF2818" s="147">
        <f>$AO2671*'Assumptions (T&amp;D)'!S$101</f>
        <v>1.2273450985170791</v>
      </c>
      <c r="BG2818" s="147">
        <f>$AO2671*'Assumptions (T&amp;D)'!T$101</f>
        <v>1.2276202263132048</v>
      </c>
      <c r="BH2818" s="147">
        <f>$AO2671*'Assumptions (T&amp;D)'!U$101</f>
        <v>1.2273450985170791</v>
      </c>
      <c r="BI2818" s="147">
        <f>$AO2671*'Assumptions (T&amp;D)'!V$101</f>
        <v>0.61381011315660239</v>
      </c>
    </row>
    <row r="2819" spans="1:73" ht="15.75" hidden="1" customHeight="1" outlineLevel="1">
      <c r="A2819" s="460"/>
      <c r="B2819" s="99"/>
      <c r="C2819" s="42"/>
      <c r="D2819" s="42"/>
      <c r="E2819" s="42"/>
      <c r="F2819" s="42"/>
      <c r="G2819" s="42"/>
      <c r="H2819" s="42"/>
      <c r="I2819" s="42"/>
      <c r="J2819" s="42"/>
      <c r="K2819" s="42"/>
      <c r="L2819" s="42"/>
      <c r="M2819" s="42"/>
      <c r="N2819" s="42"/>
      <c r="O2819" s="42"/>
      <c r="P2819" s="42"/>
      <c r="Q2819" s="42"/>
      <c r="R2819" s="42"/>
      <c r="S2819" s="42"/>
      <c r="T2819" s="42"/>
      <c r="U2819" s="42"/>
      <c r="V2819" s="42"/>
      <c r="W2819" s="86"/>
      <c r="AP2819" s="147">
        <f>$AP2671*'Assumptions (T&amp;D)'!B$101</f>
        <v>0.99181823452458295</v>
      </c>
      <c r="AQ2819" s="147">
        <f>$AP2671*'Assumptions (T&amp;D)'!C$101</f>
        <v>1.9093162226754572</v>
      </c>
      <c r="AR2819" s="147">
        <f>$AP2671*'Assumptions (T&amp;D)'!D$101</f>
        <v>1.7659654271788374</v>
      </c>
      <c r="AS2819" s="147">
        <f>$AP2671*'Assumptions (T&amp;D)'!E$101</f>
        <v>1.633722995908893</v>
      </c>
      <c r="AT2819" s="147">
        <f>$AP2671*'Assumptions (T&amp;D)'!F$101</f>
        <v>1.5110020196903846</v>
      </c>
      <c r="AU2819" s="147">
        <f>$AP2671*'Assumptions (T&amp;D)'!G$101</f>
        <v>1.3978024985233122</v>
      </c>
      <c r="AV2819" s="147">
        <f>$AP2671*'Assumptions (T&amp;D)'!H$101</f>
        <v>1.2928020080949765</v>
      </c>
      <c r="AW2819" s="147">
        <f>$AP2671*'Assumptions (T&amp;D)'!I$101</f>
        <v>1.1960005484053773</v>
      </c>
      <c r="AX2819" s="147">
        <f>$AP2671*'Assumptions (T&amp;D)'!J$101</f>
        <v>1.1801314566529837</v>
      </c>
      <c r="AY2819" s="147">
        <f>$AP2671*'Assumptions (T&amp;D)'!K$101</f>
        <v>1.1798669717904438</v>
      </c>
      <c r="AZ2819" s="147">
        <f>$AP2671*'Assumptions (T&amp;D)'!L$101</f>
        <v>1.1801314566529837</v>
      </c>
      <c r="BA2819" s="147">
        <f>$AP2671*'Assumptions (T&amp;D)'!M$101</f>
        <v>1.1798669717904438</v>
      </c>
      <c r="BB2819" s="147">
        <f>$AP2671*'Assumptions (T&amp;D)'!N$101</f>
        <v>1.1801314566529837</v>
      </c>
      <c r="BC2819" s="147">
        <f>$AP2671*'Assumptions (T&amp;D)'!O$101</f>
        <v>1.1798669717904438</v>
      </c>
      <c r="BD2819" s="147">
        <f>$AP2671*'Assumptions (T&amp;D)'!P$101</f>
        <v>1.1801314566529837</v>
      </c>
      <c r="BE2819" s="147">
        <f>$AP2671*'Assumptions (T&amp;D)'!Q$101</f>
        <v>1.1798669717904438</v>
      </c>
      <c r="BF2819" s="147">
        <f>$AP2671*'Assumptions (T&amp;D)'!R$101</f>
        <v>1.1801314566529837</v>
      </c>
      <c r="BG2819" s="147">
        <f>$AP2671*'Assumptions (T&amp;D)'!S$101</f>
        <v>1.1798669717904438</v>
      </c>
      <c r="BH2819" s="147">
        <f>$AP2671*'Assumptions (T&amp;D)'!T$101</f>
        <v>1.1801314566529837</v>
      </c>
      <c r="BI2819" s="147">
        <f>$AP2671*'Assumptions (T&amp;D)'!U$101</f>
        <v>1.1798669717904438</v>
      </c>
      <c r="BJ2819" s="147">
        <f>$AP2671*'Assumptions (T&amp;D)'!V$101</f>
        <v>0.59006572832649185</v>
      </c>
    </row>
    <row r="2820" spans="1:73" ht="15.75" hidden="1" customHeight="1" outlineLevel="1">
      <c r="A2820" s="460"/>
      <c r="B2820" s="99"/>
      <c r="C2820" s="42"/>
      <c r="D2820" s="42"/>
      <c r="E2820" s="42"/>
      <c r="F2820" s="42"/>
      <c r="G2820" s="42"/>
      <c r="H2820" s="42"/>
      <c r="I2820" s="42"/>
      <c r="J2820" s="42"/>
      <c r="K2820" s="42"/>
      <c r="L2820" s="42"/>
      <c r="M2820" s="42"/>
      <c r="N2820" s="42"/>
      <c r="O2820" s="42"/>
      <c r="P2820" s="42"/>
      <c r="Q2820" s="42"/>
      <c r="R2820" s="42"/>
      <c r="S2820" s="42"/>
      <c r="T2820" s="42"/>
      <c r="U2820" s="42"/>
      <c r="V2820" s="42"/>
      <c r="W2820" s="86"/>
      <c r="AQ2820" s="147">
        <f>$AQ2671*'Assumptions (T&amp;D)'!B$101</f>
        <v>1.0765618745717818</v>
      </c>
      <c r="AR2820" s="147">
        <f>$AQ2671*'Assumptions (T&amp;D)'!C$101</f>
        <v>2.0724533793423183</v>
      </c>
      <c r="AS2820" s="147">
        <f>$AQ2671*'Assumptions (T&amp;D)'!D$101</f>
        <v>1.9168543030708765</v>
      </c>
      <c r="AT2820" s="147">
        <f>$AQ2671*'Assumptions (T&amp;D)'!E$101</f>
        <v>1.773312719794639</v>
      </c>
      <c r="AU2820" s="147">
        <f>$AQ2671*'Assumptions (T&amp;D)'!F$101</f>
        <v>1.6401061305142905</v>
      </c>
      <c r="AV2820" s="147">
        <f>$AQ2671*'Assumptions (T&amp;D)'!G$101</f>
        <v>1.5172345352298311</v>
      </c>
      <c r="AW2820" s="147">
        <f>$AQ2671*'Assumptions (T&amp;D)'!H$101</f>
        <v>1.4032625181084986</v>
      </c>
      <c r="AX2820" s="147">
        <f>$AQ2671*'Assumptions (T&amp;D)'!I$101</f>
        <v>1.2981900791502927</v>
      </c>
      <c r="AY2820" s="147">
        <f>$AQ2671*'Assumptions (T&amp;D)'!J$101</f>
        <v>1.280965089157144</v>
      </c>
      <c r="AZ2820" s="147">
        <f>$AQ2671*'Assumptions (T&amp;D)'!K$101</f>
        <v>1.2806780059905916</v>
      </c>
      <c r="BA2820" s="147">
        <f>$AQ2671*'Assumptions (T&amp;D)'!L$101</f>
        <v>1.280965089157144</v>
      </c>
      <c r="BB2820" s="147">
        <f>$AQ2671*'Assumptions (T&amp;D)'!M$101</f>
        <v>1.2806780059905916</v>
      </c>
      <c r="BC2820" s="147">
        <f>$AQ2671*'Assumptions (T&amp;D)'!N$101</f>
        <v>1.280965089157144</v>
      </c>
      <c r="BD2820" s="147">
        <f>$AQ2671*'Assumptions (T&amp;D)'!O$101</f>
        <v>1.2806780059905916</v>
      </c>
      <c r="BE2820" s="147">
        <f>$AQ2671*'Assumptions (T&amp;D)'!P$101</f>
        <v>1.280965089157144</v>
      </c>
      <c r="BF2820" s="147">
        <f>$AQ2671*'Assumptions (T&amp;D)'!Q$101</f>
        <v>1.2806780059905916</v>
      </c>
      <c r="BG2820" s="147">
        <f>$AQ2671*'Assumptions (T&amp;D)'!R$101</f>
        <v>1.280965089157144</v>
      </c>
      <c r="BH2820" s="147">
        <f>$AQ2671*'Assumptions (T&amp;D)'!S$101</f>
        <v>1.2806780059905916</v>
      </c>
      <c r="BI2820" s="147">
        <f>$AQ2671*'Assumptions (T&amp;D)'!T$101</f>
        <v>1.280965089157144</v>
      </c>
      <c r="BJ2820" s="147">
        <f>$AQ2671*'Assumptions (T&amp;D)'!U$101</f>
        <v>1.2806780059905916</v>
      </c>
      <c r="BK2820" s="147">
        <f>$AQ2671*'Assumptions (T&amp;D)'!V$101</f>
        <v>0.64048254457857201</v>
      </c>
    </row>
    <row r="2821" spans="1:73" ht="15.75" hidden="1" customHeight="1" outlineLevel="1">
      <c r="A2821" s="460"/>
      <c r="B2821" s="99"/>
      <c r="C2821" s="42"/>
      <c r="D2821" s="42"/>
      <c r="E2821" s="42"/>
      <c r="F2821" s="42"/>
      <c r="G2821" s="42"/>
      <c r="H2821" s="42"/>
      <c r="I2821" s="42"/>
      <c r="J2821" s="42"/>
      <c r="K2821" s="42"/>
      <c r="L2821" s="42"/>
      <c r="M2821" s="42"/>
      <c r="N2821" s="42"/>
      <c r="O2821" s="42"/>
      <c r="P2821" s="42"/>
      <c r="Q2821" s="42"/>
      <c r="R2821" s="42"/>
      <c r="S2821" s="42"/>
      <c r="T2821" s="42"/>
      <c r="U2821" s="42"/>
      <c r="V2821" s="42"/>
      <c r="W2821" s="86"/>
      <c r="AR2821" s="147">
        <f>$AR2671*'Assumptions (T&amp;D)'!B$101</f>
        <v>1.0089728218747605</v>
      </c>
      <c r="AS2821" s="147">
        <f>$AR2671*'Assumptions (T&amp;D)'!C$101</f>
        <v>1.9423399469637059</v>
      </c>
      <c r="AT2821" s="147">
        <f>$AR2671*'Assumptions (T&amp;D)'!D$101</f>
        <v>1.796509741775407</v>
      </c>
      <c r="AU2821" s="147">
        <f>$AR2671*'Assumptions (T&amp;D)'!E$101</f>
        <v>1.6619800321921057</v>
      </c>
      <c r="AV2821" s="147">
        <f>$AR2671*'Assumptions (T&amp;D)'!F$101</f>
        <v>1.5371364616988019</v>
      </c>
      <c r="AW2821" s="147">
        <f>$AR2671*'Assumptions (T&amp;D)'!G$101</f>
        <v>1.421979030295496</v>
      </c>
      <c r="AX2821" s="147">
        <f>$AR2671*'Assumptions (T&amp;D)'!H$101</f>
        <v>1.3151624408863547</v>
      </c>
      <c r="AY2821" s="147">
        <f>$AR2671*'Assumptions (T&amp;D)'!I$101</f>
        <v>1.216686693471378</v>
      </c>
      <c r="AZ2821" s="147">
        <f>$AR2671*'Assumptions (T&amp;D)'!J$101</f>
        <v>1.2005431283213819</v>
      </c>
      <c r="BA2821" s="147">
        <f>$AR2671*'Assumptions (T&amp;D)'!K$101</f>
        <v>1.2002740689022151</v>
      </c>
      <c r="BB2821" s="147">
        <f>$AR2671*'Assumptions (T&amp;D)'!L$101</f>
        <v>1.2005431283213819</v>
      </c>
      <c r="BC2821" s="147">
        <f>$AR2671*'Assumptions (T&amp;D)'!M$101</f>
        <v>1.2002740689022151</v>
      </c>
      <c r="BD2821" s="147">
        <f>$AR2671*'Assumptions (T&amp;D)'!N$101</f>
        <v>1.2005431283213819</v>
      </c>
      <c r="BE2821" s="147">
        <f>$AR2671*'Assumptions (T&amp;D)'!O$101</f>
        <v>1.2002740689022151</v>
      </c>
      <c r="BF2821" s="147">
        <f>$AR2671*'Assumptions (T&amp;D)'!P$101</f>
        <v>1.2005431283213819</v>
      </c>
      <c r="BG2821" s="147">
        <f>$AR2671*'Assumptions (T&amp;D)'!Q$101</f>
        <v>1.2002740689022151</v>
      </c>
      <c r="BH2821" s="147">
        <f>$AR2671*'Assumptions (T&amp;D)'!R$101</f>
        <v>1.2005431283213819</v>
      </c>
      <c r="BI2821" s="147">
        <f>$AR2671*'Assumptions (T&amp;D)'!S$101</f>
        <v>1.2002740689022151</v>
      </c>
      <c r="BJ2821" s="147">
        <f>$AR2671*'Assumptions (T&amp;D)'!T$101</f>
        <v>1.2005431283213819</v>
      </c>
      <c r="BK2821" s="147">
        <f>$AR2671*'Assumptions (T&amp;D)'!U$101</f>
        <v>1.2002740689022151</v>
      </c>
      <c r="BL2821" s="147">
        <f>$AR2671*'Assumptions (T&amp;D)'!V$101</f>
        <v>0.60027156416069094</v>
      </c>
    </row>
    <row r="2822" spans="1:73" ht="15.75" hidden="1" customHeight="1" outlineLevel="1">
      <c r="A2822" s="460"/>
      <c r="B2822" s="99"/>
      <c r="C2822" s="42"/>
      <c r="D2822" s="42"/>
      <c r="E2822" s="42"/>
      <c r="F2822" s="42"/>
      <c r="G2822" s="42"/>
      <c r="H2822" s="42"/>
      <c r="I2822" s="42"/>
      <c r="J2822" s="42"/>
      <c r="K2822" s="42"/>
      <c r="L2822" s="42"/>
      <c r="M2822" s="42"/>
      <c r="N2822" s="42"/>
      <c r="O2822" s="42"/>
      <c r="P2822" s="42"/>
      <c r="Q2822" s="42"/>
      <c r="R2822" s="42"/>
      <c r="S2822" s="42"/>
      <c r="T2822" s="42"/>
      <c r="U2822" s="42"/>
      <c r="V2822" s="42"/>
      <c r="W2822" s="86"/>
      <c r="AS2822" s="147">
        <f>$AS2671*'Assumptions (T&amp;D)'!B$101</f>
        <v>0.97278328203049202</v>
      </c>
      <c r="AT2822" s="147">
        <f>$AS2671*'Assumptions (T&amp;D)'!C$101</f>
        <v>1.8726726701274994</v>
      </c>
      <c r="AU2822" s="147">
        <f>$AS2671*'Assumptions (T&amp;D)'!D$101</f>
        <v>1.7320730597646921</v>
      </c>
      <c r="AV2822" s="147">
        <f>$AS2671*'Assumptions (T&amp;D)'!E$101</f>
        <v>1.6023686221606264</v>
      </c>
      <c r="AW2822" s="147">
        <f>$AS2671*'Assumptions (T&amp;D)'!F$101</f>
        <v>1.4820029040640537</v>
      </c>
      <c r="AX2822" s="147">
        <f>$AS2671*'Assumptions (T&amp;D)'!G$101</f>
        <v>1.3709759054749735</v>
      </c>
      <c r="AY2822" s="147">
        <f>$AS2671*'Assumptions (T&amp;D)'!H$101</f>
        <v>1.2679905820173454</v>
      </c>
      <c r="AZ2822" s="147">
        <f>$AS2671*'Assumptions (T&amp;D)'!I$101</f>
        <v>1.1730469336911693</v>
      </c>
      <c r="BA2822" s="147">
        <f>$AS2671*'Assumptions (T&amp;D)'!J$101</f>
        <v>1.1574824011786815</v>
      </c>
      <c r="BB2822" s="147">
        <f>$AS2671*'Assumptions (T&amp;D)'!K$101</f>
        <v>1.1572229923034731</v>
      </c>
      <c r="BC2822" s="147">
        <f>$AS2671*'Assumptions (T&amp;D)'!L$101</f>
        <v>1.1574824011786815</v>
      </c>
      <c r="BD2822" s="147">
        <f>$AS2671*'Assumptions (T&amp;D)'!M$101</f>
        <v>1.1572229923034731</v>
      </c>
      <c r="BE2822" s="147">
        <f>$AS2671*'Assumptions (T&amp;D)'!N$101</f>
        <v>1.1574824011786815</v>
      </c>
      <c r="BF2822" s="147">
        <f>$AS2671*'Assumptions (T&amp;D)'!O$101</f>
        <v>1.1572229923034731</v>
      </c>
      <c r="BG2822" s="147">
        <f>$AS2671*'Assumptions (T&amp;D)'!P$101</f>
        <v>1.1574824011786815</v>
      </c>
      <c r="BH2822" s="147">
        <f>$AS2671*'Assumptions (T&amp;D)'!Q$101</f>
        <v>1.1572229923034731</v>
      </c>
      <c r="BI2822" s="147">
        <f>$AS2671*'Assumptions (T&amp;D)'!R$101</f>
        <v>1.1574824011786815</v>
      </c>
      <c r="BJ2822" s="147">
        <f>$AS2671*'Assumptions (T&amp;D)'!S$101</f>
        <v>1.1572229923034731</v>
      </c>
      <c r="BK2822" s="147">
        <f>$AS2671*'Assumptions (T&amp;D)'!T$101</f>
        <v>1.1574824011786815</v>
      </c>
      <c r="BL2822" s="147">
        <f>$AS2671*'Assumptions (T&amp;D)'!U$101</f>
        <v>1.1572229923034731</v>
      </c>
      <c r="BM2822" s="147">
        <f>$AS2671*'Assumptions (T&amp;D)'!V$101</f>
        <v>0.57874120058934075</v>
      </c>
    </row>
    <row r="2823" spans="1:73" ht="15.75" hidden="1" customHeight="1" outlineLevel="1">
      <c r="A2823" s="460"/>
      <c r="B2823" s="99"/>
      <c r="C2823" s="42"/>
      <c r="D2823" s="42"/>
      <c r="E2823" s="42"/>
      <c r="F2823" s="42"/>
      <c r="G2823" s="42"/>
      <c r="H2823" s="42"/>
      <c r="I2823" s="42"/>
      <c r="J2823" s="42"/>
      <c r="K2823" s="42"/>
      <c r="L2823" s="42"/>
      <c r="M2823" s="42"/>
      <c r="N2823" s="42"/>
      <c r="O2823" s="42"/>
      <c r="P2823" s="42"/>
      <c r="Q2823" s="42"/>
      <c r="R2823" s="42"/>
      <c r="S2823" s="42"/>
      <c r="T2823" s="42"/>
      <c r="U2823" s="42"/>
      <c r="V2823" s="42"/>
      <c r="W2823" s="86"/>
      <c r="AT2823" s="147">
        <f>$AT2671*'Assumptions (T&amp;D)'!B$101</f>
        <v>0.81252019288000021</v>
      </c>
      <c r="AU2823" s="147">
        <f>$AT2671*'Assumptions (T&amp;D)'!C$101</f>
        <v>1.5641555393068594</v>
      </c>
      <c r="AV2823" s="147">
        <f>$AT2671*'Assumptions (T&amp;D)'!D$101</f>
        <v>1.4467192874292698</v>
      </c>
      <c r="AW2823" s="147">
        <f>$AT2671*'Assumptions (T&amp;D)'!E$101</f>
        <v>1.3383832617119364</v>
      </c>
      <c r="AX2823" s="147">
        <f>$AT2671*'Assumptions (T&amp;D)'!F$101</f>
        <v>1.2378474298462512</v>
      </c>
      <c r="AY2823" s="147">
        <f>$AT2671*'Assumptions (T&amp;D)'!G$101</f>
        <v>1.1451117918322138</v>
      </c>
      <c r="AZ2823" s="147">
        <f>$AT2671*'Assumptions (T&amp;D)'!H$101</f>
        <v>1.0590929874126511</v>
      </c>
      <c r="BA2823" s="147">
        <f>$AT2671*'Assumptions (T&amp;D)'!I$101</f>
        <v>0.97979101658756307</v>
      </c>
      <c r="BB2823" s="147">
        <f>$AT2671*'Assumptions (T&amp;D)'!J$101</f>
        <v>0.96679069350148295</v>
      </c>
      <c r="BC2823" s="147">
        <f>$AT2671*'Assumptions (T&amp;D)'!K$101</f>
        <v>0.96657402145004823</v>
      </c>
      <c r="BD2823" s="147">
        <f>$AT2671*'Assumptions (T&amp;D)'!L$101</f>
        <v>0.96679069350148295</v>
      </c>
      <c r="BE2823" s="147">
        <f>$AT2671*'Assumptions (T&amp;D)'!M$101</f>
        <v>0.96657402145004823</v>
      </c>
      <c r="BF2823" s="147">
        <f>$AT2671*'Assumptions (T&amp;D)'!N$101</f>
        <v>0.96679069350148295</v>
      </c>
      <c r="BG2823" s="147">
        <f>$AT2671*'Assumptions (T&amp;D)'!O$101</f>
        <v>0.96657402145004823</v>
      </c>
      <c r="BH2823" s="147">
        <f>$AT2671*'Assumptions (T&amp;D)'!P$101</f>
        <v>0.96679069350148295</v>
      </c>
      <c r="BI2823" s="147">
        <f>$AT2671*'Assumptions (T&amp;D)'!Q$101</f>
        <v>0.96657402145004823</v>
      </c>
      <c r="BJ2823" s="147">
        <f>$AT2671*'Assumptions (T&amp;D)'!R$101</f>
        <v>0.96679069350148295</v>
      </c>
      <c r="BK2823" s="147">
        <f>$AT2671*'Assumptions (T&amp;D)'!S$101</f>
        <v>0.96657402145004823</v>
      </c>
      <c r="BL2823" s="147">
        <f>$AT2671*'Assumptions (T&amp;D)'!T$101</f>
        <v>0.96679069350148295</v>
      </c>
      <c r="BM2823" s="147">
        <f>$AT2671*'Assumptions (T&amp;D)'!U$101</f>
        <v>0.96657402145004823</v>
      </c>
      <c r="BN2823" s="147">
        <f>$AT2671*'Assumptions (T&amp;D)'!V$101</f>
        <v>0.48339534675074147</v>
      </c>
    </row>
    <row r="2824" spans="1:73" ht="15.75" hidden="1" customHeight="1" outlineLevel="1">
      <c r="A2824" s="460"/>
      <c r="B2824" s="99"/>
      <c r="C2824" s="42"/>
      <c r="D2824" s="42"/>
      <c r="E2824" s="42"/>
      <c r="F2824" s="42"/>
      <c r="G2824" s="42"/>
      <c r="H2824" s="42"/>
      <c r="I2824" s="42"/>
      <c r="J2824" s="42"/>
      <c r="K2824" s="42"/>
      <c r="L2824" s="42"/>
      <c r="M2824" s="42"/>
      <c r="N2824" s="42"/>
      <c r="O2824" s="42"/>
      <c r="P2824" s="42"/>
      <c r="Q2824" s="42"/>
      <c r="R2824" s="42"/>
      <c r="S2824" s="42"/>
      <c r="T2824" s="42"/>
      <c r="U2824" s="42"/>
      <c r="V2824" s="42"/>
      <c r="W2824" s="86"/>
      <c r="AU2824" s="147">
        <f>$AU2671*'Assumptions (T&amp;D)'!B$101</f>
        <v>0.81252746880681836</v>
      </c>
      <c r="AV2824" s="147">
        <f>$AU2671*'Assumptions (T&amp;D)'!C$101</f>
        <v>1.5641695459510458</v>
      </c>
      <c r="AW2824" s="147">
        <f>$AU2671*'Assumptions (T&amp;D)'!D$101</f>
        <v>1.4467322424595004</v>
      </c>
      <c r="AX2824" s="147">
        <f>$AU2671*'Assumptions (T&amp;D)'!E$101</f>
        <v>1.3383952466185911</v>
      </c>
      <c r="AY2824" s="147">
        <f>$AU2671*'Assumptions (T&amp;D)'!F$101</f>
        <v>1.2378585144782277</v>
      </c>
      <c r="AZ2824" s="147">
        <f>$AU2671*'Assumptions (T&amp;D)'!G$101</f>
        <v>1.1451220460384095</v>
      </c>
      <c r="BA2824" s="147">
        <f>$AU2671*'Assumptions (T&amp;D)'!H$101</f>
        <v>1.0591024713407275</v>
      </c>
      <c r="BB2824" s="147">
        <f>$AU2671*'Assumptions (T&amp;D)'!I$101</f>
        <v>0.97979979038518217</v>
      </c>
      <c r="BC2824" s="147">
        <f>$AU2671*'Assumptions (T&amp;D)'!J$101</f>
        <v>0.96679935088427293</v>
      </c>
      <c r="BD2824" s="147">
        <f>$AU2671*'Assumptions (T&amp;D)'!K$101</f>
        <v>0.96658267689259103</v>
      </c>
      <c r="BE2824" s="147">
        <f>$AU2671*'Assumptions (T&amp;D)'!L$101</f>
        <v>0.96679935088427293</v>
      </c>
      <c r="BF2824" s="147">
        <f>$AU2671*'Assumptions (T&amp;D)'!M$101</f>
        <v>0.96658267689259103</v>
      </c>
      <c r="BG2824" s="147">
        <f>$AU2671*'Assumptions (T&amp;D)'!N$101</f>
        <v>0.96679935088427293</v>
      </c>
      <c r="BH2824" s="147">
        <f>$AU2671*'Assumptions (T&amp;D)'!O$101</f>
        <v>0.96658267689259103</v>
      </c>
      <c r="BI2824" s="147">
        <f>$AU2671*'Assumptions (T&amp;D)'!P$101</f>
        <v>0.96679935088427293</v>
      </c>
      <c r="BJ2824" s="147">
        <f>$AU2671*'Assumptions (T&amp;D)'!Q$101</f>
        <v>0.96658267689259103</v>
      </c>
      <c r="BK2824" s="147">
        <f>$AU2671*'Assumptions (T&amp;D)'!R$101</f>
        <v>0.96679935088427293</v>
      </c>
      <c r="BL2824" s="147">
        <f>$AU2671*'Assumptions (T&amp;D)'!S$101</f>
        <v>0.96658267689259103</v>
      </c>
      <c r="BM2824" s="147">
        <f>$AU2671*'Assumptions (T&amp;D)'!T$101</f>
        <v>0.96679935088427293</v>
      </c>
      <c r="BN2824" s="147">
        <f>$AU2671*'Assumptions (T&amp;D)'!U$101</f>
        <v>0.96658267689259103</v>
      </c>
      <c r="BO2824" s="147">
        <f>$AU2671*'Assumptions (T&amp;D)'!V$101</f>
        <v>0.48339967544213647</v>
      </c>
    </row>
    <row r="2825" spans="1:73" ht="15.75" hidden="1" customHeight="1" outlineLevel="1">
      <c r="A2825" s="460"/>
      <c r="B2825" s="99"/>
      <c r="C2825" s="42"/>
      <c r="D2825" s="42"/>
      <c r="E2825" s="42"/>
      <c r="F2825" s="42"/>
      <c r="G2825" s="42"/>
      <c r="H2825" s="42"/>
      <c r="I2825" s="42"/>
      <c r="J2825" s="42"/>
      <c r="K2825" s="42"/>
      <c r="L2825" s="42"/>
      <c r="M2825" s="42"/>
      <c r="N2825" s="42"/>
      <c r="O2825" s="42"/>
      <c r="P2825" s="42"/>
      <c r="Q2825" s="42"/>
      <c r="R2825" s="42"/>
      <c r="S2825" s="42"/>
      <c r="T2825" s="42"/>
      <c r="U2825" s="42"/>
      <c r="V2825" s="42"/>
      <c r="W2825" s="86"/>
      <c r="AV2825" s="147">
        <f>$AV2671*'Assumptions (T&amp;D)'!B$101</f>
        <v>0.81253759364642453</v>
      </c>
      <c r="AW2825" s="147">
        <f>$AV2671*'Assumptions (T&amp;D)'!C$101</f>
        <v>1.5641890369422771</v>
      </c>
      <c r="AX2825" s="147">
        <f>$AV2671*'Assumptions (T&amp;D)'!D$101</f>
        <v>1.4467502700739137</v>
      </c>
      <c r="AY2825" s="147">
        <f>$AV2671*'Assumptions (T&amp;D)'!E$101</f>
        <v>1.3384119242543906</v>
      </c>
      <c r="AZ2825" s="147">
        <f>$AV2671*'Assumptions (T&amp;D)'!F$101</f>
        <v>1.2378739393338729</v>
      </c>
      <c r="BA2825" s="147">
        <f>$AV2671*'Assumptions (T&amp;D)'!G$101</f>
        <v>1.145136315312361</v>
      </c>
      <c r="BB2825" s="147">
        <f>$AV2671*'Assumptions (T&amp;D)'!H$101</f>
        <v>1.0591156687316596</v>
      </c>
      <c r="BC2825" s="147">
        <f>$AV2671*'Assumptions (T&amp;D)'!I$101</f>
        <v>0.97981199959176857</v>
      </c>
      <c r="BD2825" s="147">
        <f>$AV2671*'Assumptions (T&amp;D)'!J$101</f>
        <v>0.96681139809342576</v>
      </c>
      <c r="BE2825" s="147">
        <f>$AV2671*'Assumptions (T&amp;D)'!K$101</f>
        <v>0.96659472140178659</v>
      </c>
      <c r="BF2825" s="147">
        <f>$AV2671*'Assumptions (T&amp;D)'!L$101</f>
        <v>0.96681139809342576</v>
      </c>
      <c r="BG2825" s="147">
        <f>$AV2671*'Assumptions (T&amp;D)'!M$101</f>
        <v>0.96659472140178659</v>
      </c>
      <c r="BH2825" s="147">
        <f>$AV2671*'Assumptions (T&amp;D)'!N$101</f>
        <v>0.96681139809342576</v>
      </c>
      <c r="BI2825" s="147">
        <f>$AV2671*'Assumptions (T&amp;D)'!O$101</f>
        <v>0.96659472140178659</v>
      </c>
      <c r="BJ2825" s="147">
        <f>$AV2671*'Assumptions (T&amp;D)'!P$101</f>
        <v>0.96681139809342576</v>
      </c>
      <c r="BK2825" s="147">
        <f>$AV2671*'Assumptions (T&amp;D)'!Q$101</f>
        <v>0.96659472140178659</v>
      </c>
      <c r="BL2825" s="147">
        <f>$AV2671*'Assumptions (T&amp;D)'!R$101</f>
        <v>0.96681139809342576</v>
      </c>
      <c r="BM2825" s="147">
        <f>$AV2671*'Assumptions (T&amp;D)'!S$101</f>
        <v>0.96659472140178659</v>
      </c>
      <c r="BN2825" s="147">
        <f>$AV2671*'Assumptions (T&amp;D)'!T$101</f>
        <v>0.96681139809342576</v>
      </c>
      <c r="BO2825" s="147">
        <f>$AV2671*'Assumptions (T&amp;D)'!U$101</f>
        <v>0.96659472140178659</v>
      </c>
      <c r="BP2825" s="147">
        <f>$AV2671*'Assumptions (T&amp;D)'!V$101</f>
        <v>0.48340569904671288</v>
      </c>
    </row>
    <row r="2826" spans="1:73" ht="15.75" hidden="1" customHeight="1" outlineLevel="1">
      <c r="A2826" s="460"/>
      <c r="B2826" s="99"/>
      <c r="C2826" s="42"/>
      <c r="D2826" s="42"/>
      <c r="E2826" s="42"/>
      <c r="F2826" s="42"/>
      <c r="G2826" s="42"/>
      <c r="H2826" s="42"/>
      <c r="I2826" s="42"/>
      <c r="J2826" s="42"/>
      <c r="K2826" s="42"/>
      <c r="L2826" s="42"/>
      <c r="M2826" s="42"/>
      <c r="N2826" s="42"/>
      <c r="O2826" s="42"/>
      <c r="P2826" s="42"/>
      <c r="Q2826" s="42"/>
      <c r="R2826" s="42"/>
      <c r="S2826" s="42"/>
      <c r="T2826" s="42"/>
      <c r="U2826" s="42"/>
      <c r="V2826" s="42"/>
      <c r="W2826" s="86"/>
      <c r="AW2826" s="147">
        <f>$AW2671*'Assumptions (T&amp;D)'!B$101</f>
        <v>0.81253898945047687</v>
      </c>
      <c r="AX2826" s="147">
        <f>$AW2671*'Assumptions (T&amp;D)'!C$101</f>
        <v>1.5641917239581316</v>
      </c>
      <c r="AY2826" s="147">
        <f>$AW2671*'Assumptions (T&amp;D)'!D$101</f>
        <v>1.4467527553495558</v>
      </c>
      <c r="AZ2826" s="147">
        <f>$AW2671*'Assumptions (T&amp;D)'!E$101</f>
        <v>1.3384142234228256</v>
      </c>
      <c r="BA2826" s="147">
        <f>$AW2671*'Assumptions (T&amp;D)'!F$101</f>
        <v>1.2378760657948198</v>
      </c>
      <c r="BB2826" s="147">
        <f>$AW2671*'Assumptions (T&amp;D)'!G$101</f>
        <v>1.1451382824655387</v>
      </c>
      <c r="BC2826" s="147">
        <f>$AW2671*'Assumptions (T&amp;D)'!H$101</f>
        <v>1.059117488115715</v>
      </c>
      <c r="BD2826" s="147">
        <f>$AW2671*'Assumptions (T&amp;D)'!I$101</f>
        <v>0.97981368274534852</v>
      </c>
      <c r="BE2826" s="147">
        <f>$AW2671*'Assumptions (T&amp;D)'!J$101</f>
        <v>0.96681305891414082</v>
      </c>
      <c r="BF2826" s="147">
        <f>$AW2671*'Assumptions (T&amp;D)'!K$101</f>
        <v>0.96659638185028729</v>
      </c>
      <c r="BG2826" s="147">
        <f>$AW2671*'Assumptions (T&amp;D)'!L$101</f>
        <v>0.96681305891414082</v>
      </c>
      <c r="BH2826" s="147">
        <f>$AW2671*'Assumptions (T&amp;D)'!M$101</f>
        <v>0.96659638185028729</v>
      </c>
      <c r="BI2826" s="147">
        <f>$AW2671*'Assumptions (T&amp;D)'!N$101</f>
        <v>0.96681305891414082</v>
      </c>
      <c r="BJ2826" s="147">
        <f>$AW2671*'Assumptions (T&amp;D)'!O$101</f>
        <v>0.96659638185028729</v>
      </c>
      <c r="BK2826" s="147">
        <f>$AW2671*'Assumptions (T&amp;D)'!P$101</f>
        <v>0.96681305891414082</v>
      </c>
      <c r="BL2826" s="147">
        <f>$AW2671*'Assumptions (T&amp;D)'!Q$101</f>
        <v>0.96659638185028729</v>
      </c>
      <c r="BM2826" s="147">
        <f>$AW2671*'Assumptions (T&amp;D)'!R$101</f>
        <v>0.96681305891414082</v>
      </c>
      <c r="BN2826" s="147">
        <f>$AW2671*'Assumptions (T&amp;D)'!S$101</f>
        <v>0.96659638185028729</v>
      </c>
      <c r="BO2826" s="147">
        <f>$AW2671*'Assumptions (T&amp;D)'!T$101</f>
        <v>0.96681305891414082</v>
      </c>
      <c r="BP2826" s="147">
        <f>$AW2671*'Assumptions (T&amp;D)'!U$101</f>
        <v>0.96659638185028729</v>
      </c>
      <c r="BQ2826" s="147">
        <f>$AW2671*'Assumptions (T&amp;D)'!V$101</f>
        <v>0.48340652945707041</v>
      </c>
    </row>
    <row r="2827" spans="1:73" ht="15.75" hidden="1" customHeight="1" outlineLevel="1">
      <c r="A2827" s="460"/>
      <c r="B2827" s="99"/>
      <c r="C2827" s="42"/>
      <c r="D2827" s="42"/>
      <c r="E2827" s="42"/>
      <c r="F2827" s="42"/>
      <c r="G2827" s="42"/>
      <c r="H2827" s="42"/>
      <c r="I2827" s="42"/>
      <c r="J2827" s="42"/>
      <c r="K2827" s="42"/>
      <c r="L2827" s="42"/>
      <c r="M2827" s="42"/>
      <c r="N2827" s="42"/>
      <c r="O2827" s="42"/>
      <c r="P2827" s="42"/>
      <c r="Q2827" s="42"/>
      <c r="R2827" s="42"/>
      <c r="S2827" s="42"/>
      <c r="T2827" s="42"/>
      <c r="U2827" s="42"/>
      <c r="V2827" s="42"/>
      <c r="W2827" s="86"/>
      <c r="AX2827" s="147">
        <f>$AX2671*'Assumptions (T&amp;D)'!B$101</f>
        <v>0.8125343028806713</v>
      </c>
      <c r="AY2827" s="147">
        <f>$AX2671*'Assumptions (T&amp;D)'!C$101</f>
        <v>1.5641827019988177</v>
      </c>
      <c r="AZ2827" s="147">
        <f>$AX2671*'Assumptions (T&amp;D)'!D$101</f>
        <v>1.4467444107557978</v>
      </c>
      <c r="BA2827" s="147">
        <f>$AX2671*'Assumptions (T&amp;D)'!E$101</f>
        <v>1.3384065037050419</v>
      </c>
      <c r="BB2827" s="147">
        <f>$AX2671*'Assumptions (T&amp;D)'!F$101</f>
        <v>1.2378689259619402</v>
      </c>
      <c r="BC2827" s="147">
        <f>$AX2671*'Assumptions (T&amp;D)'!G$101</f>
        <v>1.1451316775264928</v>
      </c>
      <c r="BD2827" s="147">
        <f>$AX2671*'Assumptions (T&amp;D)'!H$101</f>
        <v>1.0591113793281923</v>
      </c>
      <c r="BE2827" s="147">
        <f>$AX2671*'Assumptions (T&amp;D)'!I$101</f>
        <v>0.97980803136703898</v>
      </c>
      <c r="BF2827" s="147">
        <f>$AX2671*'Assumptions (T&amp;D)'!J$101</f>
        <v>0.96680748252094817</v>
      </c>
      <c r="BG2827" s="147">
        <f>$AX2671*'Assumptions (T&amp;D)'!K$101</f>
        <v>0.96659080670684661</v>
      </c>
      <c r="BH2827" s="147">
        <f>$AX2671*'Assumptions (T&amp;D)'!L$101</f>
        <v>0.96680748252094817</v>
      </c>
      <c r="BI2827" s="147">
        <f>$AX2671*'Assumptions (T&amp;D)'!M$101</f>
        <v>0.96659080670684661</v>
      </c>
      <c r="BJ2827" s="147">
        <f>$AX2671*'Assumptions (T&amp;D)'!N$101</f>
        <v>0.96680748252094817</v>
      </c>
      <c r="BK2827" s="147">
        <f>$AX2671*'Assumptions (T&amp;D)'!O$101</f>
        <v>0.96659080670684661</v>
      </c>
      <c r="BL2827" s="147">
        <f>$AX2671*'Assumptions (T&amp;D)'!P$101</f>
        <v>0.96680748252094817</v>
      </c>
      <c r="BM2827" s="147">
        <f>$AX2671*'Assumptions (T&amp;D)'!Q$101</f>
        <v>0.96659080670684661</v>
      </c>
      <c r="BN2827" s="147">
        <f>$AX2671*'Assumptions (T&amp;D)'!R$101</f>
        <v>0.96680748252094817</v>
      </c>
      <c r="BO2827" s="147">
        <f>$AX2671*'Assumptions (T&amp;D)'!S$101</f>
        <v>0.96659080670684661</v>
      </c>
      <c r="BP2827" s="147">
        <f>$AX2671*'Assumptions (T&amp;D)'!T$101</f>
        <v>0.96680748252094817</v>
      </c>
      <c r="BQ2827" s="147">
        <f>$AX2671*'Assumptions (T&amp;D)'!U$101</f>
        <v>0.96659080670684661</v>
      </c>
      <c r="BR2827" s="147">
        <f>$AX2671*'Assumptions (T&amp;D)'!V$101</f>
        <v>0.48340374126047408</v>
      </c>
    </row>
    <row r="2828" spans="1:73" ht="15.75" hidden="1" customHeight="1" outlineLevel="1">
      <c r="A2828" s="460"/>
      <c r="B2828" s="99"/>
      <c r="C2828" s="42"/>
      <c r="D2828" s="42"/>
      <c r="E2828" s="42"/>
      <c r="F2828" s="42"/>
      <c r="G2828" s="42"/>
      <c r="H2828" s="42"/>
      <c r="I2828" s="42"/>
      <c r="J2828" s="42"/>
      <c r="K2828" s="42"/>
      <c r="L2828" s="42"/>
      <c r="M2828" s="42"/>
      <c r="N2828" s="42"/>
      <c r="O2828" s="42"/>
      <c r="P2828" s="42"/>
      <c r="Q2828" s="42"/>
      <c r="R2828" s="42"/>
      <c r="S2828" s="42"/>
      <c r="T2828" s="42"/>
      <c r="U2828" s="42"/>
      <c r="V2828" s="42"/>
      <c r="W2828" s="86"/>
      <c r="AY2828" s="147">
        <f>$AY2671*'Assumptions (T&amp;D)'!B$101</f>
        <v>0.81253130233206849</v>
      </c>
      <c r="AZ2828" s="147">
        <f>$AY2671*'Assumptions (T&amp;D)'!C$101</f>
        <v>1.5641769257427209</v>
      </c>
      <c r="BA2828" s="147">
        <f>$AY2671*'Assumptions (T&amp;D)'!D$101</f>
        <v>1.4467390681789924</v>
      </c>
      <c r="BB2828" s="147">
        <f>$AY2671*'Assumptions (T&amp;D)'!E$101</f>
        <v>1.3384015612013833</v>
      </c>
      <c r="BC2828" s="147">
        <f>$AY2671*'Assumptions (T&amp;D)'!F$101</f>
        <v>1.2378643547261621</v>
      </c>
      <c r="BD2828" s="147">
        <f>$AY2671*'Assumptions (T&amp;D)'!G$101</f>
        <v>1.1451274487533287</v>
      </c>
      <c r="BE2828" s="147">
        <f>$AY2671*'Assumptions (T&amp;D)'!H$101</f>
        <v>1.059107468213107</v>
      </c>
      <c r="BF2828" s="147">
        <f>$AY2671*'Assumptions (T&amp;D)'!I$101</f>
        <v>0.97980441310549715</v>
      </c>
      <c r="BG2828" s="147">
        <f>$AY2671*'Assumptions (T&amp;D)'!J$101</f>
        <v>0.96680391226818396</v>
      </c>
      <c r="BH2828" s="147">
        <f>$AY2671*'Assumptions (T&amp;D)'!K$101</f>
        <v>0.96658723725422868</v>
      </c>
      <c r="BI2828" s="147">
        <f>$AY2671*'Assumptions (T&amp;D)'!L$101</f>
        <v>0.96680391226818396</v>
      </c>
      <c r="BJ2828" s="147">
        <f>$AY2671*'Assumptions (T&amp;D)'!M$101</f>
        <v>0.96658723725422868</v>
      </c>
      <c r="BK2828" s="147">
        <f>$AY2671*'Assumptions (T&amp;D)'!N$101</f>
        <v>0.96680391226818396</v>
      </c>
      <c r="BL2828" s="147">
        <f>$AY2671*'Assumptions (T&amp;D)'!O$101</f>
        <v>0.96658723725422868</v>
      </c>
      <c r="BM2828" s="147">
        <f>$AY2671*'Assumptions (T&amp;D)'!P$101</f>
        <v>0.96680391226818396</v>
      </c>
      <c r="BN2828" s="147">
        <f>$AY2671*'Assumptions (T&amp;D)'!Q$101</f>
        <v>0.96658723725422868</v>
      </c>
      <c r="BO2828" s="147">
        <f>$AY2671*'Assumptions (T&amp;D)'!R$101</f>
        <v>0.96680391226818396</v>
      </c>
      <c r="BP2828" s="147">
        <f>$AY2671*'Assumptions (T&amp;D)'!S$101</f>
        <v>0.96658723725422868</v>
      </c>
      <c r="BQ2828" s="147">
        <f>$AY2671*'Assumptions (T&amp;D)'!T$101</f>
        <v>0.96680391226818396</v>
      </c>
      <c r="BR2828" s="147">
        <f>$AY2671*'Assumptions (T&amp;D)'!U$101</f>
        <v>0.96658723725422868</v>
      </c>
      <c r="BS2828" s="147">
        <f>$AY2671*'Assumptions (T&amp;D)'!V$101</f>
        <v>0.48340195613409198</v>
      </c>
    </row>
    <row r="2829" spans="1:73" ht="15.75" hidden="1" customHeight="1" outlineLevel="1">
      <c r="A2829" s="460"/>
      <c r="B2829" s="99"/>
      <c r="C2829" s="42"/>
      <c r="D2829" s="42"/>
      <c r="E2829" s="42"/>
      <c r="F2829" s="42"/>
      <c r="G2829" s="42"/>
      <c r="H2829" s="42"/>
      <c r="I2829" s="42"/>
      <c r="J2829" s="42"/>
      <c r="K2829" s="42"/>
      <c r="L2829" s="42"/>
      <c r="M2829" s="42"/>
      <c r="N2829" s="42"/>
      <c r="O2829" s="42"/>
      <c r="P2829" s="42"/>
      <c r="Q2829" s="42"/>
      <c r="R2829" s="42"/>
      <c r="S2829" s="42"/>
      <c r="T2829" s="42"/>
      <c r="U2829" s="42"/>
      <c r="V2829" s="42"/>
      <c r="W2829" s="86"/>
      <c r="AZ2829" s="147">
        <f>$AZ2671*'Assumptions (T&amp;D)'!B$101</f>
        <v>0.81253164166607661</v>
      </c>
      <c r="BA2829" s="147">
        <f>$AZ2671*'Assumptions (T&amp;D)'!C$101</f>
        <v>1.5641775789833088</v>
      </c>
      <c r="BB2829" s="147">
        <f>$AZ2671*'Assumptions (T&amp;D)'!D$101</f>
        <v>1.446739672374505</v>
      </c>
      <c r="BC2829" s="147">
        <f>$AZ2671*'Assumptions (T&amp;D)'!E$101</f>
        <v>1.3384021201523615</v>
      </c>
      <c r="BD2829" s="147">
        <f>$AZ2671*'Assumptions (T&amp;D)'!F$101</f>
        <v>1.2378648716902123</v>
      </c>
      <c r="BE2829" s="147">
        <f>$AZ2671*'Assumptions (T&amp;D)'!G$101</f>
        <v>1.1451279269880574</v>
      </c>
      <c r="BF2829" s="147">
        <f>$AZ2671*'Assumptions (T&amp;D)'!H$101</f>
        <v>1.0591079105236754</v>
      </c>
      <c r="BG2829" s="147">
        <f>$AZ2671*'Assumptions (T&amp;D)'!I$101</f>
        <v>0.97980482229706634</v>
      </c>
      <c r="BH2829" s="147">
        <f>$AZ2671*'Assumptions (T&amp;D)'!J$101</f>
        <v>0.96680431603040906</v>
      </c>
      <c r="BI2829" s="147">
        <f>$AZ2671*'Assumptions (T&amp;D)'!K$101</f>
        <v>0.96658764092596472</v>
      </c>
      <c r="BJ2829" s="147">
        <f>$AZ2671*'Assumptions (T&amp;D)'!L$101</f>
        <v>0.96680431603040906</v>
      </c>
      <c r="BK2829" s="147">
        <f>$AZ2671*'Assumptions (T&amp;D)'!M$101</f>
        <v>0.96658764092596472</v>
      </c>
      <c r="BL2829" s="147">
        <f>$AZ2671*'Assumptions (T&amp;D)'!N$101</f>
        <v>0.96680431603040906</v>
      </c>
      <c r="BM2829" s="147">
        <f>$AZ2671*'Assumptions (T&amp;D)'!O$101</f>
        <v>0.96658764092596472</v>
      </c>
      <c r="BN2829" s="147">
        <f>$AZ2671*'Assumptions (T&amp;D)'!P$101</f>
        <v>0.96680431603040906</v>
      </c>
      <c r="BO2829" s="147">
        <f>$AZ2671*'Assumptions (T&amp;D)'!Q$101</f>
        <v>0.96658764092596472</v>
      </c>
      <c r="BP2829" s="147">
        <f>$AZ2671*'Assumptions (T&amp;D)'!R$101</f>
        <v>0.96680431603040906</v>
      </c>
      <c r="BQ2829" s="147">
        <f>$AZ2671*'Assumptions (T&amp;D)'!S$101</f>
        <v>0.96658764092596472</v>
      </c>
      <c r="BR2829" s="147">
        <f>$AZ2671*'Assumptions (T&amp;D)'!T$101</f>
        <v>0.96680431603040906</v>
      </c>
      <c r="BS2829" s="147">
        <f>$AZ2671*'Assumptions (T&amp;D)'!U$101</f>
        <v>0.96658764092596472</v>
      </c>
      <c r="BT2829" s="147">
        <f>$AZ2671*'Assumptions (T&amp;D)'!V$101</f>
        <v>0.48340215801520453</v>
      </c>
    </row>
    <row r="2830" spans="1:73" ht="15.75" hidden="1" customHeight="1" outlineLevel="1">
      <c r="A2830" s="460"/>
      <c r="B2830" s="99"/>
      <c r="C2830" s="42"/>
      <c r="D2830" s="42"/>
      <c r="E2830" s="42"/>
      <c r="F2830" s="42"/>
      <c r="G2830" s="42"/>
      <c r="H2830" s="42"/>
      <c r="I2830" s="42"/>
      <c r="J2830" s="42"/>
      <c r="K2830" s="42"/>
      <c r="L2830" s="42"/>
      <c r="M2830" s="42"/>
      <c r="N2830" s="42"/>
      <c r="O2830" s="42"/>
      <c r="P2830" s="42"/>
      <c r="Q2830" s="42"/>
      <c r="R2830" s="42"/>
      <c r="S2830" s="42"/>
      <c r="T2830" s="42"/>
      <c r="U2830" s="42"/>
      <c r="V2830" s="42"/>
      <c r="W2830" s="86"/>
      <c r="BA2830" s="147">
        <f>$BA2671*'Assumptions (T&amp;D)'!B$101</f>
        <v>0.81253354979708947</v>
      </c>
      <c r="BB2830" s="147">
        <f>$BA2671*'Assumptions (T&amp;D)'!C$101</f>
        <v>1.564181252262717</v>
      </c>
      <c r="BC2830" s="147">
        <f>$BA2671*'Assumptions (T&amp;D)'!D$101</f>
        <v>1.4467430698653776</v>
      </c>
      <c r="BD2830" s="147">
        <f>$BA2671*'Assumptions (T&amp;D)'!E$101</f>
        <v>1.3384052632257657</v>
      </c>
      <c r="BE2830" s="147">
        <f>$BA2671*'Assumptions (T&amp;D)'!F$101</f>
        <v>1.2378677786642058</v>
      </c>
      <c r="BF2830" s="147">
        <f>$BA2671*'Assumptions (T&amp;D)'!G$101</f>
        <v>1.145130616180698</v>
      </c>
      <c r="BG2830" s="147">
        <f>$BA2671*'Assumptions (T&amp;D)'!H$101</f>
        <v>1.0591103977088463</v>
      </c>
      <c r="BH2830" s="147">
        <f>$BA2671*'Assumptions (T&amp;D)'!I$101</f>
        <v>0.97980712324865038</v>
      </c>
      <c r="BI2830" s="147">
        <f>$BA2671*'Assumptions (T&amp;D)'!J$101</f>
        <v>0.96680658645189688</v>
      </c>
      <c r="BJ2830" s="147">
        <f>$BA2671*'Assumptions (T&amp;D)'!K$101</f>
        <v>0.96658991083861756</v>
      </c>
      <c r="BK2830" s="147">
        <f>$BA2671*'Assumptions (T&amp;D)'!L$101</f>
        <v>0.96680658645189688</v>
      </c>
      <c r="BL2830" s="147">
        <f>$BA2671*'Assumptions (T&amp;D)'!M$101</f>
        <v>0.96658991083861756</v>
      </c>
      <c r="BM2830" s="147">
        <f>$BA2671*'Assumptions (T&amp;D)'!N$101</f>
        <v>0.96680658645189688</v>
      </c>
      <c r="BN2830" s="147">
        <f>$BA2671*'Assumptions (T&amp;D)'!O$101</f>
        <v>0.96658991083861756</v>
      </c>
      <c r="BO2830" s="147">
        <f>$BA2671*'Assumptions (T&amp;D)'!P$101</f>
        <v>0.96680658645189688</v>
      </c>
      <c r="BP2830" s="147">
        <f>$BA2671*'Assumptions (T&amp;D)'!Q$101</f>
        <v>0.96658991083861756</v>
      </c>
      <c r="BQ2830" s="147">
        <f>$BA2671*'Assumptions (T&amp;D)'!R$101</f>
        <v>0.96680658645189688</v>
      </c>
      <c r="BR2830" s="147">
        <f>$BA2671*'Assumptions (T&amp;D)'!S$101</f>
        <v>0.96658991083861756</v>
      </c>
      <c r="BS2830" s="147">
        <f>$BA2671*'Assumptions (T&amp;D)'!T$101</f>
        <v>0.96680658645189688</v>
      </c>
      <c r="BT2830" s="147">
        <f>$BA2671*'Assumptions (T&amp;D)'!U$101</f>
        <v>0.96658991083861756</v>
      </c>
      <c r="BU2830" s="147">
        <f>$BA2671*'Assumptions (T&amp;D)'!V$101</f>
        <v>0.48340329322594844</v>
      </c>
    </row>
    <row r="2831" spans="1:73" ht="15.75" customHeight="1" collapsed="1">
      <c r="A2831" s="460" t="s">
        <v>839</v>
      </c>
      <c r="B2831" s="99" t="s">
        <v>201</v>
      </c>
      <c r="C2831" s="462">
        <f>(1/(1-'Assumptions (T&amp;D)'!B$103))*(C2668+C2778+(C2669-C2778-C2669*'Assumptions (T&amp;D)'!$B$102)*'Assumptions (T&amp;D)'!$B$99)</f>
        <v>17.967448243915054</v>
      </c>
      <c r="D2831" s="147">
        <f>(1/(1-'Assumptions (T&amp;D)'!C$103))*(D2668+D2778+(D2669-D2778-D2669*'Assumptions (T&amp;D)'!$B$102)*'Assumptions (T&amp;D)'!$B$99)</f>
        <v>18.568441846968465</v>
      </c>
      <c r="E2831" s="147">
        <f>(1/(1-'Assumptions (T&amp;D)'!D$103))*(E2668+E2778+(E2669-E2778-E2669*'Assumptions (T&amp;D)'!$B$102)*'Assumptions (T&amp;D)'!$B$99)</f>
        <v>20.543922626113986</v>
      </c>
      <c r="F2831" s="147">
        <f>(1/(1-'Assumptions (T&amp;D)'!E$103))*(F2668+F2778+(F2669-F2778-F2669*'Assumptions (T&amp;D)'!$B$102)*'Assumptions (T&amp;D)'!$B$99)</f>
        <v>21.750032284274482</v>
      </c>
      <c r="G2831" s="147">
        <f>(1/(1-'Assumptions (T&amp;D)'!F$103))*(G2668+G2778+(G2669-G2778-G2669*'Assumptions (T&amp;D)'!$B$102)*'Assumptions (T&amp;D)'!$B$99)</f>
        <v>24.929712967471144</v>
      </c>
      <c r="H2831" s="147">
        <f>(1/(1-'Assumptions (T&amp;D)'!G$103))*(H2668+H2778+(H2669-H2778-H2669*'Assumptions (T&amp;D)'!$B$102)*'Assumptions (T&amp;D)'!$B$99)</f>
        <v>28.748134697948846</v>
      </c>
      <c r="I2831" s="147">
        <f>(1/(1-'Assumptions (T&amp;D)'!H$103))*(I2668+I2778+(I2669-I2778-I2669*'Assumptions (T&amp;D)'!$B$102)*'Assumptions (T&amp;D)'!$B$99)</f>
        <v>31.629771167438893</v>
      </c>
      <c r="J2831" s="147">
        <f>(1/(1-'Assumptions (T&amp;D)'!I$103))*(J2668+J2778+(J2669-J2778-J2669*'Assumptions (T&amp;D)'!$B$102)*'Assumptions (T&amp;D)'!$B$99)</f>
        <v>33.005198820351453</v>
      </c>
      <c r="K2831" s="147">
        <f>(1/(1-'Assumptions (T&amp;D)'!J$103))*(K2668+K2778+(K2669-K2778-K2669*'Assumptions (T&amp;D)'!$B$102)*'Assumptions (T&amp;D)'!$B$99)</f>
        <v>36.584382457044562</v>
      </c>
      <c r="L2831" s="147">
        <f>(1/(1-'Assumptions (T&amp;D)'!K$103))*(L2668+L2778+(L2669-L2778-L2669*'Assumptions (T&amp;D)'!$B$102)*'Assumptions (T&amp;D)'!$B$99)</f>
        <v>37.938458919804759</v>
      </c>
      <c r="M2831" s="147">
        <f>(1/(1-'Assumptions (T&amp;D)'!L$103))*(M2668+M2778+(M2669-M2778-M2669*'Assumptions (T&amp;D)'!$B$102)*'Assumptions (T&amp;D)'!$B$99)</f>
        <v>41.114589068389698</v>
      </c>
      <c r="N2831" s="147">
        <f>(1/(1-'Assumptions (T&amp;D)'!M$103))*(N2668+N2778+(N2669-N2778-N2669*'Assumptions (T&amp;D)'!$B$102)*'Assumptions (T&amp;D)'!$B$99)</f>
        <v>43.080546994076144</v>
      </c>
      <c r="O2831" s="147">
        <f>(1/(1-'Assumptions (T&amp;D)'!N$103))*(O2668+O2778+(O2669-O2778-O2669*'Assumptions (T&amp;D)'!$B$102)*'Assumptions (T&amp;D)'!$B$99)</f>
        <v>46.321125934466416</v>
      </c>
      <c r="P2831" s="147">
        <f>(1/(1-'Assumptions (T&amp;D)'!O$103))*(P2668+P2778+(P2669-P2778-P2669*'Assumptions (T&amp;D)'!$B$102)*'Assumptions (T&amp;D)'!$B$99)</f>
        <v>51.503657097511045</v>
      </c>
      <c r="Q2831" s="147">
        <f>(1/(1-'Assumptions (T&amp;D)'!P$103))*(Q2668+Q2778+(Q2669-Q2778-Q2669*'Assumptions (T&amp;D)'!$B$102)*'Assumptions (T&amp;D)'!$B$99)</f>
        <v>57.856264499247459</v>
      </c>
      <c r="R2831" s="147">
        <f>(1/(1-'Assumptions (T&amp;D)'!Q$103))*(R2668+R2778+(R2669-R2778-R2669*'Assumptions (T&amp;D)'!$B$102)*'Assumptions (T&amp;D)'!$B$99)</f>
        <v>63.619477715179173</v>
      </c>
      <c r="S2831" s="147">
        <f>(1/(1-'Assumptions (T&amp;D)'!R$103))*(S2668+S2778+(S2669-S2778-S2669*'Assumptions (T&amp;D)'!$B$102)*'Assumptions (T&amp;D)'!$B$99)</f>
        <v>69.743166327051469</v>
      </c>
      <c r="T2831" s="147">
        <f>(1/(1-'Assumptions (T&amp;D)'!S$103))*(T2668+T2778+(T2669-T2778-T2669*'Assumptions (T&amp;D)'!$B$102)*'Assumptions (T&amp;D)'!$B$99)</f>
        <v>72.664428302778845</v>
      </c>
      <c r="U2831" s="147">
        <f>(1/(1-'Assumptions (T&amp;D)'!T$103))*(U2668+U2778+(U2669-U2778-U2669*'Assumptions (T&amp;D)'!$B$102)*'Assumptions (T&amp;D)'!$B$99)</f>
        <v>62.542939398401302</v>
      </c>
      <c r="V2831" s="147">
        <f>(1/(1-'Assumptions (T&amp;D)'!U$103))*(V2668+V2778+(V2669-V2778-V2669*'Assumptions (T&amp;D)'!$B$102)*'Assumptions (T&amp;D)'!$B$99)</f>
        <v>65.367834809871312</v>
      </c>
      <c r="W2831" s="147">
        <f>(1/(1-'Assumptions (T&amp;D)'!V$103))*(W2668+W2778+(W2669-W2778-W2669*'Assumptions (T&amp;D)'!$B$102)*'Assumptions (T&amp;D)'!$B$99)</f>
        <v>68.232456006220602</v>
      </c>
      <c r="X2831" s="147">
        <f>(1/(1-'Assumptions (T&amp;D)'!W$103))*(X2668+X2778+(X2669-X2778-X2669*'Assumptions (T&amp;D)'!$B$102)*'Assumptions (T&amp;D)'!$B$99)</f>
        <v>71.121662919896721</v>
      </c>
      <c r="Y2831" s="147">
        <f>(1/(1-'Assumptions (T&amp;D)'!X$103))*(Y2668+Y2778+(Y2669-Y2778-Y2669*'Assumptions (T&amp;D)'!$B$102)*'Assumptions (T&amp;D)'!$B$99)</f>
        <v>73.930255740563354</v>
      </c>
      <c r="Z2831" s="147">
        <f>(1/(1-'Assumptions (T&amp;D)'!Y$103))*(Z2668+Z2778+(Z2669-Z2778-Z2669*'Assumptions (T&amp;D)'!$B$102)*'Assumptions (T&amp;D)'!$B$99)</f>
        <v>76.778397841390117</v>
      </c>
      <c r="AA2831" s="147">
        <f>(1/(1-'Assumptions (T&amp;D)'!Z$103))*(AA2668+AA2778+(AA2669-AA2778-AA2669*'Assumptions (T&amp;D)'!$B$102)*'Assumptions (T&amp;D)'!$B$99)</f>
        <v>79.761559888698059</v>
      </c>
      <c r="AB2831" s="147">
        <f>(1/(1-'Assumptions (T&amp;D)'!AA$103))*(AB2668+AB2778+(AB2669-AB2778-AB2669*'Assumptions (T&amp;D)'!$B$102)*'Assumptions (T&amp;D)'!$B$99)</f>
        <v>82.648693919905071</v>
      </c>
      <c r="AC2831" s="147">
        <f>(1/(1-'Assumptions (T&amp;D)'!AB$103))*(AC2668+AC2778+(AC2669-AC2778-AC2669*'Assumptions (T&amp;D)'!$B$102)*'Assumptions (T&amp;D)'!$B$99)</f>
        <v>85.414537420202649</v>
      </c>
      <c r="AD2831" s="147">
        <f>(1/(1-'Assumptions (T&amp;D)'!AC$103))*(AD2668+AD2778+(AD2669-AD2778-AD2669*'Assumptions (T&amp;D)'!$B$102)*'Assumptions (T&amp;D)'!$B$99)</f>
        <v>88.382810658839972</v>
      </c>
      <c r="AE2831" s="147">
        <f>(1/(1-'Assumptions (T&amp;D)'!AD$103))*(AE2668+AE2778+(AE2669-AE2778-AE2669*'Assumptions (T&amp;D)'!$B$102)*'Assumptions (T&amp;D)'!$B$99)</f>
        <v>91.520828585906315</v>
      </c>
      <c r="AF2831" s="147">
        <f>(1/(1-'Assumptions (T&amp;D)'!AE$103))*(AF2668+AF2778+(AF2669-AF2778-AF2669*'Assumptions (T&amp;D)'!$B$102)*'Assumptions (T&amp;D)'!$B$99)</f>
        <v>94.647015060638267</v>
      </c>
      <c r="AG2831" s="147">
        <f>(1/(1-'Assumptions (T&amp;D)'!AF$103))*(AG2668+AG2778+(AG2669-AG2778-AG2669*'Assumptions (T&amp;D)'!$B$102)*'Assumptions (T&amp;D)'!$B$99)</f>
        <v>97.672139007121771</v>
      </c>
      <c r="AH2831" s="147">
        <f>(1/(1-'Assumptions (T&amp;D)'!AG$103))*(AH2668+AH2778+(AH2669-AH2778-AH2669*'Assumptions (T&amp;D)'!$B$102)*'Assumptions (T&amp;D)'!$B$99)</f>
        <v>100.84521989718651</v>
      </c>
      <c r="AI2831" s="147">
        <f>(1/(1-'Assumptions (T&amp;D)'!AH$103))*(AI2668+AI2778+(AI2669-AI2778-AI2669*'Assumptions (T&amp;D)'!$B$102)*'Assumptions (T&amp;D)'!$B$99)</f>
        <v>103.79622568518201</v>
      </c>
      <c r="AJ2831" s="147">
        <f>(1/(1-'Assumptions (T&amp;D)'!AI$103))*(AJ2668+AJ2778+(AJ2669-AJ2778-AJ2669*'Assumptions (T&amp;D)'!$B$102)*'Assumptions (T&amp;D)'!$B$99)</f>
        <v>106.58526555364833</v>
      </c>
      <c r="AK2831" s="147">
        <f>(1/(1-'Assumptions (T&amp;D)'!AJ$103))*(AK2668+AK2778+(AK2669-AK2778-AK2669*'Assumptions (T&amp;D)'!$B$102)*'Assumptions (T&amp;D)'!$B$99)</f>
        <v>109.52087605168292</v>
      </c>
      <c r="AL2831" s="147">
        <f>(1/(1-'Assumptions (T&amp;D)'!AK$103))*(AL2668+AL2778+(AL2669-AL2778-AL2669*'Assumptions (T&amp;D)'!$B$102)*'Assumptions (T&amp;D)'!$B$99)</f>
        <v>112.3466560573426</v>
      </c>
      <c r="AM2831" s="147">
        <f>(1/(1-'Assumptions (T&amp;D)'!AL$103))*(AM2668+AM2778+(AM2669-AM2778-AM2669*'Assumptions (T&amp;D)'!$B$102)*'Assumptions (T&amp;D)'!$B$99)</f>
        <v>114.82615923337997</v>
      </c>
      <c r="AN2831" s="147">
        <f>(1/(1-'Assumptions (T&amp;D)'!AM$103))*(AN2668+AN2778+(AN2669-AN2778-AN2669*'Assumptions (T&amp;D)'!$B$102)*'Assumptions (T&amp;D)'!$B$99)</f>
        <v>117.43060064705864</v>
      </c>
      <c r="AO2831" s="147">
        <f>(1/(1-'Assumptions (T&amp;D)'!AN$103))*(AO2668+AO2778+(AO2669-AO2778-AO2669*'Assumptions (T&amp;D)'!$B$102)*'Assumptions (T&amp;D)'!$B$99)</f>
        <v>120.21615764612666</v>
      </c>
      <c r="AP2831" s="147">
        <f>(1/(1-'Assumptions (T&amp;D)'!AO$103))*(AP2668+AP2778+(AP2669-AP2778-AP2669*'Assumptions (T&amp;D)'!$B$102)*'Assumptions (T&amp;D)'!$B$99)</f>
        <v>122.95949635026476</v>
      </c>
      <c r="AQ2831" s="147">
        <f>(1/(1-'Assumptions (T&amp;D)'!AP$103))*(AQ2668+AQ2778+(AQ2669-AQ2778-AQ2669*'Assumptions (T&amp;D)'!$B$102)*'Assumptions (T&amp;D)'!$B$99)</f>
        <v>125.59836659361866</v>
      </c>
      <c r="AR2831" s="147">
        <f>(1/(1-'Assumptions (T&amp;D)'!AQ$103))*(AR2668+AR2778+(AR2669-AR2778-AR2669*'Assumptions (T&amp;D)'!$B$102)*'Assumptions (T&amp;D)'!$B$99)</f>
        <v>128.33944579613376</v>
      </c>
      <c r="AS2831" s="147">
        <f>(1/(1-'Assumptions (T&amp;D)'!AR$103))*(AS2668+AS2778+(AS2669-AS2778-AS2669*'Assumptions (T&amp;D)'!$B$102)*'Assumptions (T&amp;D)'!$B$99)</f>
        <v>130.73522376843067</v>
      </c>
      <c r="AT2831" s="147">
        <f>(1/(1-'Assumptions (T&amp;D)'!AS$103))*(AT2668+AT2778+(AT2669-AT2778-AT2669*'Assumptions (T&amp;D)'!$B$102)*'Assumptions (T&amp;D)'!$B$99)</f>
        <v>132.55327719882931</v>
      </c>
      <c r="AU2831" s="147">
        <f>(1/(1-'Assumptions (T&amp;D)'!AT$103))*(AU2668+AU2778+(AU2669-AU2778-AU2669*'Assumptions (T&amp;D)'!$B$102)*'Assumptions (T&amp;D)'!$B$99)</f>
        <v>134.12017255755214</v>
      </c>
      <c r="AV2831" s="147">
        <f>(1/(1-'Assumptions (T&amp;D)'!AU$103))*(AV2668+AV2778+(AV2669-AV2778-AV2669*'Assumptions (T&amp;D)'!$B$102)*'Assumptions (T&amp;D)'!$B$99)</f>
        <v>135.6434346043944</v>
      </c>
      <c r="AW2831" s="147">
        <f>(1/(1-'Assumptions (T&amp;D)'!AV$103))*(AW2668+AW2778+(AW2669-AW2778-AW2669*'Assumptions (T&amp;D)'!$B$102)*'Assumptions (T&amp;D)'!$B$99)</f>
        <v>137.09356305535357</v>
      </c>
      <c r="AX2831" s="147">
        <f>(1/(1-'Assumptions (T&amp;D)'!AW$103))*(AX2668+AX2778+(AX2669-AX2778-AX2669*'Assumptions (T&amp;D)'!$B$102)*'Assumptions (T&amp;D)'!$B$99)</f>
        <v>138.67255918771014</v>
      </c>
      <c r="AY2831" s="147">
        <f>(1/(1-'Assumptions (T&amp;D)'!AX$103))*(AY2668+AY2778+(AY2669-AY2778-AY2669*'Assumptions (T&amp;D)'!$B$102)*'Assumptions (T&amp;D)'!$B$99)</f>
        <v>140.22373575779605</v>
      </c>
      <c r="AZ2831" s="147">
        <f>(1/(1-'Assumptions (T&amp;D)'!AY$103))*(AZ2668+AZ2778+(AZ2669-AZ2778-AZ2669*'Assumptions (T&amp;D)'!$B$102)*'Assumptions (T&amp;D)'!$B$99)</f>
        <v>141.7643943659952</v>
      </c>
      <c r="BA2831" s="147">
        <f>(1/(1-'Assumptions (T&amp;D)'!AZ$103))*(BA2668+BA2778+(BA2669-BA2778-BA2669*'Assumptions (T&amp;D)'!$B$102)*'Assumptions (T&amp;D)'!$B$99)</f>
        <v>143.27708042050989</v>
      </c>
    </row>
    <row r="2832" spans="1:73" ht="15.75" customHeight="1">
      <c r="A2832" s="460" t="s">
        <v>62</v>
      </c>
      <c r="B2832" s="99" t="s">
        <v>201</v>
      </c>
      <c r="C2832" s="147">
        <f>IF(C2831-C2668-C2779-C2726&gt;0,(1-'Assumptions (T&amp;D)'!B$103)*(C2831-C2668-C2779+C2726)-C2673+C2674+Model!C2779,C2831-C2668-C2673+C2674+C2726)</f>
        <v>5.9720033938522787</v>
      </c>
      <c r="D2832" s="147">
        <f>IF(D2831-D2668-D2779-D2726&gt;0,(1-'Assumptions (T&amp;D)'!C$103)*(D2831-D2668-D2779+D2726)-D2673+D2674+Model!D2779,D2831-D2668-D2673+D2674+D2726)</f>
        <v>5.6593229465267596</v>
      </c>
      <c r="E2832" s="147">
        <f>IF(E2831-E2668-E2779-E2726&gt;0,(1-'Assumptions (T&amp;D)'!D$103)*(E2831-E2668-E2779+E2726)-E2673+E2674+Model!E2779,E2831-E2668-E2673+E2674+E2726)</f>
        <v>6.3112070510346339</v>
      </c>
      <c r="F2832" s="147">
        <f>IF(F2831-F2668-F2779-F2726&gt;0,(1-'Assumptions (T&amp;D)'!E$103)*(F2831-F2668-F2779+F2726)-F2673+F2674+Model!F2779,F2831-F2668-F2673+F2674+F2726)</f>
        <v>5.9967543340796912</v>
      </c>
      <c r="G2832" s="147">
        <f>IF(G2831-G2668-G2779-G2726&gt;0,(1-'Assumptions (T&amp;D)'!F$103)*(G2831-G2668-G2779+G2726)-G2673+G2674+Model!G2779,G2831-G2668-G2673+G2674+G2726)</f>
        <v>7.1075317207715232</v>
      </c>
      <c r="H2832" s="147">
        <f>IF(H2831-H2668-H2779-H2726&gt;0,(1-'Assumptions (T&amp;D)'!G$103)*(H2831-H2668-H2779+H2726)-H2673+H2674+Model!H2779,H2831-H2668-H2673+H2674+H2726)</f>
        <v>7.7539353509595239</v>
      </c>
      <c r="I2832" s="147">
        <f>IF(I2831-I2668-I2779-I2726&gt;0,(1-'Assumptions (T&amp;D)'!H$103)*(I2831-I2668-I2779+I2726)-I2673+I2674+Model!I2779,I2831-I2668-I2673+I2674+I2726)</f>
        <v>7.4230629616672461</v>
      </c>
      <c r="J2832" s="147">
        <f>IF(J2831-J2668-J2779-J2726&gt;0,(1-'Assumptions (T&amp;D)'!I$103)*(J2831-J2668-J2779+J2726)-J2673+J2674+Model!J2779,J2831-J2668-J2673+J2674+J2726)</f>
        <v>7.9017324107418387</v>
      </c>
      <c r="K2832" s="147">
        <f>IF(K2831-K2668-K2779-K2726&gt;0,(1-'Assumptions (T&amp;D)'!J$103)*(K2831-K2668-K2779+K2726)-K2673+K2674+Model!K2779,K2831-K2668-K2673+K2674+K2726)</f>
        <v>8.1033380101916759</v>
      </c>
      <c r="L2832" s="147">
        <f>IF(L2831-L2668-L2779-L2726&gt;0,(1-'Assumptions (T&amp;D)'!K$103)*(L2831-L2668-L2779+L2726)-L2673+L2674+Model!L2779,L2831-L2668-L2673+L2674+L2726)</f>
        <v>8.9139344660510922</v>
      </c>
      <c r="M2832" s="147">
        <f>IF(M2831-M2668-M2779-M2726&gt;0,(1-'Assumptions (T&amp;D)'!L$103)*(M2831-M2668-M2779+M2726)-M2673+M2674+Model!M2779,M2831-M2668-M2673+M2674+M2726)</f>
        <v>8.5617929248482962</v>
      </c>
      <c r="N2832" s="147">
        <f>IF(N2831-N2668-N2779-N2726&gt;0,(1-'Assumptions (T&amp;D)'!M$103)*(N2831-N2668-N2779+N2726)-N2673+N2674+Model!N2779,N2831-N2668-N2673+N2674+N2726)</f>
        <v>9.4556314555187697</v>
      </c>
      <c r="O2832" s="147">
        <f>IF(O2831-O2668-O2779-O2726&gt;0,(1-'Assumptions (T&amp;D)'!N$103)*(O2831-O2668-O2779+O2726)-O2673+O2674+Model!O2779,O2831-O2668-O2673+O2674+O2726)</f>
        <v>8.4184559375928458</v>
      </c>
      <c r="P2832" s="147">
        <f>IF(P2831-P2668-P2779-P2726&gt;0,(1-'Assumptions (T&amp;D)'!O$103)*(P2831-P2668-P2779+P2726)-P2673+P2674+Model!P2779,P2831-P2668-P2673+P2674+P2726)</f>
        <v>5.5138226795676566</v>
      </c>
      <c r="Q2832" s="147">
        <f>IF(Q2831-Q2668-Q2779-Q2726&gt;0,(1-'Assumptions (T&amp;D)'!P$103)*(Q2831-Q2668-Q2779+Q2726)-Q2673+Q2674+Model!Q2779,Q2831-Q2668-Q2673+Q2674+Q2726)</f>
        <v>9.6193949248040784</v>
      </c>
      <c r="R2832" s="147">
        <f>IF(R2831-R2668-R2779-R2726&gt;0,(1-'Assumptions (T&amp;D)'!Q$103)*(R2831-R2668-R2779+R2726)-R2673+R2674+Model!R2779,R2831-R2668-R2673+R2674+R2726)</f>
        <v>11.636360158600805</v>
      </c>
      <c r="S2832" s="147">
        <f>IF(S2831-S2668-S2779-S2726&gt;0,(1-'Assumptions (T&amp;D)'!R$103)*(S2831-S2668-S2779+S2726)-S2673+S2674+Model!S2779,S2831-S2668-S2673+S2674+S2726)</f>
        <v>13.337827449355082</v>
      </c>
      <c r="T2832" s="147">
        <f>IF(T2831-T2668-T2779-T2726&gt;0,(1-'Assumptions (T&amp;D)'!S$103)*(T2831-T2668-T2779+T2726)-T2673+T2674+Model!T2779,T2831-T2668-T2673+T2674+T2726)</f>
        <v>17.281531306608024</v>
      </c>
      <c r="U2832" s="147">
        <f>IF(U2831-U2668-U2779-U2726&gt;0,(1-'Assumptions (T&amp;D)'!T$103)*(U2831-U2668-U2779+U2726)-U2673+U2674+Model!U2779,U2831-U2668-U2673+U2674+U2726)</f>
        <v>13.617948837327813</v>
      </c>
      <c r="V2832" s="147">
        <f>IF(V2831-V2668-V2779-V2726&gt;0,(1-'Assumptions (T&amp;D)'!U$103)*(V2831-V2668-V2779+V2726)-V2673+V2674+Model!V2779,V2831-V2668-V2673+V2674+V2726)</f>
        <v>15.246413716886519</v>
      </c>
      <c r="W2832" s="147">
        <f>IF(W2831-W2668-W2779-W2726&gt;0,(1-'Assumptions (T&amp;D)'!V$103)*(W2831-W2668-W2779+W2726)-W2673+W2674+Model!W2779,W2831-W2668-W2673+W2674+W2726)</f>
        <v>16.630091938680749</v>
      </c>
      <c r="X2832" s="147">
        <f>IF(X2831-X2668-X2779-X2726&gt;0,(1-'Assumptions (T&amp;D)'!W$103)*(X2831-X2668-X2779+X2726)-X2673+X2674+Model!X2779,X2831-X2668-X2673+X2674+X2726)</f>
        <v>19.015575442072411</v>
      </c>
      <c r="Y2832" s="147">
        <f>IF(Y2831-Y2668-Y2779-Y2726&gt;0,(1-'Assumptions (T&amp;D)'!X$103)*(Y2831-Y2668-Y2779+Y2726)-Y2673+Y2674+Model!Y2779,Y2831-Y2668-Y2673+Y2674+Y2726)</f>
        <v>21.116201775238522</v>
      </c>
      <c r="Z2832" s="147">
        <f>IF(Z2831-Z2668-Z2779-Z2726&gt;0,(1-'Assumptions (T&amp;D)'!Y$103)*(Z2831-Z2668-Z2779+Z2726)-Z2673+Z2674+Model!Z2779,Z2831-Z2668-Z2673+Z2674+Z2726)</f>
        <v>21.985903570096099</v>
      </c>
      <c r="AA2832" s="147">
        <f>IF(AA2831-AA2668-AA2779-AA2726&gt;0,(1-'Assumptions (T&amp;D)'!Z$103)*(AA2831-AA2668-AA2779+AA2726)-AA2673+AA2674+Model!AA2779,AA2831-AA2668-AA2673+AA2674+AA2726)</f>
        <v>24.046048162681764</v>
      </c>
      <c r="AB2832" s="147">
        <f>IF(AB2831-AB2668-AB2779-AB2726&gt;0,(1-'Assumptions (T&amp;D)'!AA$103)*(AB2831-AB2668-AB2779+AB2726)-AB2673+AB2674+Model!AB2779,AB2831-AB2668-AB2673+AB2674+AB2726)</f>
        <v>27.458101442864994</v>
      </c>
      <c r="AC2832" s="147">
        <f>IF(AC2831-AC2668-AC2779-AC2726&gt;0,(1-'Assumptions (T&amp;D)'!AB$103)*(AC2831-AC2668-AC2779+AC2726)-AC2673+AC2674+Model!AC2779,AC2831-AC2668-AC2673+AC2674+AC2726)</f>
        <v>28.462584636545543</v>
      </c>
      <c r="AD2832" s="147">
        <f>IF(AD2831-AD2668-AD2779-AD2726&gt;0,(1-'Assumptions (T&amp;D)'!AC$103)*(AD2831-AD2668-AD2779+AD2726)-AD2673+AD2674+Model!AD2779,AD2831-AD2668-AD2673+AD2674+AD2726)</f>
        <v>29.484588707758739</v>
      </c>
      <c r="AE2832" s="147">
        <f>IF(AE2831-AE2668-AE2779-AE2726&gt;0,(1-'Assumptions (T&amp;D)'!AD$103)*(AE2831-AE2668-AE2779+AE2726)-AE2673+AE2674+Model!AE2779,AE2831-AE2668-AE2673+AE2674+AE2726)</f>
        <v>31.95663416109106</v>
      </c>
      <c r="AF2832" s="147">
        <f>IF(AF2831-AF2668-AF2779-AF2726&gt;0,(1-'Assumptions (T&amp;D)'!AE$103)*(AF2831-AF2668-AF2779+AF2726)-AF2673+AF2674+Model!AF2779,AF2831-AF2668-AF2673+AF2674+AF2726)</f>
        <v>34.998874887251667</v>
      </c>
      <c r="AG2832" s="147">
        <f>IF(AG2831-AG2668-AG2779-AG2726&gt;0,(1-'Assumptions (T&amp;D)'!AF$103)*(AG2831-AG2668-AG2779+AG2726)-AG2673+AG2674+Model!AG2779,AG2831-AG2668-AG2673+AG2674+AG2726)</f>
        <v>35.699325924910589</v>
      </c>
      <c r="AH2832" s="147">
        <f>IF(AH2831-AH2668-AH2779-AH2726&gt;0,(1-'Assumptions (T&amp;D)'!AG$103)*(AH2831-AH2668-AH2779+AH2726)-AH2673+AH2674+Model!AH2779,AH2831-AH2668-AH2673+AH2674+AH2726)</f>
        <v>39.292406552099251</v>
      </c>
      <c r="AI2832" s="147">
        <f>IF(AI2831-AI2668-AI2779-AI2726&gt;0,(1-'Assumptions (T&amp;D)'!AH$103)*(AI2831-AI2668-AI2779+AI2726)-AI2673+AI2674+Model!AI2779,AI2831-AI2668-AI2673+AI2674+AI2726)</f>
        <v>42.873434843231045</v>
      </c>
      <c r="AJ2832" s="147">
        <f>IF(AJ2831-AJ2668-AJ2779-AJ2726&gt;0,(1-'Assumptions (T&amp;D)'!AI$103)*(AJ2831-AJ2668-AJ2779+AJ2726)-AJ2673+AJ2674+Model!AJ2779,AJ2831-AJ2668-AJ2673+AJ2674+AJ2726)</f>
        <v>44.125896979486811</v>
      </c>
      <c r="AK2832" s="147">
        <f>IF(AK2831-AK2668-AK2779-AK2726&gt;0,(1-'Assumptions (T&amp;D)'!AJ$103)*(AK2831-AK2668-AK2779+AK2726)-AK2673+AK2674+Model!AK2779,AK2831-AK2668-AK2673+AK2674+AK2726)</f>
        <v>45.986260774525803</v>
      </c>
      <c r="AL2832" s="147">
        <f>IF(AL2831-AL2668-AL2779-AL2726&gt;0,(1-'Assumptions (T&amp;D)'!AK$103)*(AL2831-AL2668-AL2779+AL2726)-AL2673+AL2674+Model!AL2779,AL2831-AL2668-AL2673+AL2674+AL2726)</f>
        <v>50.264642715692517</v>
      </c>
      <c r="AM2832" s="147">
        <f>IF(AM2831-AM2668-AM2779-AM2726&gt;0,(1-'Assumptions (T&amp;D)'!AL$103)*(AM2831-AM2668-AM2779+AM2726)-AM2673+AM2674+Model!AM2779,AM2831-AM2668-AM2673+AM2674+AM2726)</f>
        <v>52.018175640429902</v>
      </c>
      <c r="AN2832" s="147">
        <f>IF(AN2831-AN2668-AN2779-AN2726&gt;0,(1-'Assumptions (T&amp;D)'!AM$103)*(AN2831-AN2668-AN2779+AN2726)-AN2673+AN2674+Model!AN2779,AN2831-AN2668-AN2673+AN2674+AN2726)</f>
        <v>52.143153141809051</v>
      </c>
      <c r="AO2832" s="147">
        <f>IF(AO2831-AO2668-AO2779-AO2726&gt;0,(1-'Assumptions (T&amp;D)'!AN$103)*(AO2831-AO2668-AO2779+AO2726)-AO2673+AO2674+Model!AO2779,AO2831-AO2668-AO2673+AO2674+AO2726)</f>
        <v>54.307318313299135</v>
      </c>
      <c r="AP2832" s="147">
        <f>IF(AP2831-AP2668-AP2779-AP2726&gt;0,(1-'Assumptions (T&amp;D)'!AO$103)*(AP2831-AP2668-AP2779+AP2726)-AP2673+AP2674+Model!AP2779,AP2831-AP2668-AP2673+AP2674+AP2726)</f>
        <v>57.110901456540361</v>
      </c>
      <c r="AQ2832" s="147">
        <f>IF(AQ2831-AQ2668-AQ2779-AQ2726&gt;0,(1-'Assumptions (T&amp;D)'!AP$103)*(AQ2831-AQ2668-AQ2779+AQ2726)-AQ2673+AQ2674+Model!AQ2779,AQ2831-AQ2668-AQ2673+AQ2674+AQ2726)</f>
        <v>57.680279987246607</v>
      </c>
      <c r="AR2832" s="147">
        <f>IF(AR2831-AR2668-AR2779-AR2726&gt;0,(1-'Assumptions (T&amp;D)'!AQ$103)*(AR2831-AR2668-AR2779+AR2726)-AR2673+AR2674+Model!AR2779,AR2831-AR2668-AR2673+AR2674+AR2726)</f>
        <v>60.888110804517623</v>
      </c>
      <c r="AS2832" s="147">
        <f>IF(AS2831-AS2668-AS2779-AS2726&gt;0,(1-'Assumptions (T&amp;D)'!AR$103)*(AS2831-AS2668-AS2779+AS2726)-AS2673+AS2674+Model!AS2779,AS2831-AS2668-AS2673+AS2674+AS2726)</f>
        <v>63.409077359575548</v>
      </c>
      <c r="AT2832" s="147">
        <f>IF(AT2831-AT2668-AT2779-AT2726&gt;0,(1-'Assumptions (T&amp;D)'!AS$103)*(AT2831-AT2668-AT2779+AT2726)-AT2673+AT2674+Model!AT2779,AT2831-AT2668-AT2673+AT2674+AT2726)</f>
        <v>67.565437938521981</v>
      </c>
      <c r="AU2832" s="147">
        <f>IF(AU2831-AU2668-AU2779-AU2726&gt;0,(1-'Assumptions (T&amp;D)'!AT$103)*(AU2831-AU2668-AU2779+AU2726)-AU2673+AU2674+Model!AU2779,AU2831-AU2668-AU2673+AU2674+AU2726)</f>
        <v>68.88900056246446</v>
      </c>
      <c r="AV2832" s="147">
        <f>IF(AV2831-AV2668-AV2779-AV2726&gt;0,(1-'Assumptions (T&amp;D)'!AU$103)*(AV2831-AV2668-AV2779+AV2726)-AV2673+AV2674+Model!AV2779,AV2831-AV2668-AV2673+AV2674+AV2726)</f>
        <v>70.303303290274286</v>
      </c>
      <c r="AW2832" s="147">
        <f>IF(AW2831-AW2668-AW2779-AW2726&gt;0,(1-'Assumptions (T&amp;D)'!AV$103)*(AW2831-AW2668-AW2779+AW2726)-AW2673+AW2674+Model!AW2779,AW2831-AW2668-AW2673+AW2674+AW2726)</f>
        <v>71.610753443490992</v>
      </c>
      <c r="AX2832" s="147">
        <f>IF(AX2831-AX2668-AX2779-AX2726&gt;0,(1-'Assumptions (T&amp;D)'!AW$103)*(AX2831-AX2668-AX2779+AX2726)-AX2673+AX2674+Model!AX2779,AX2831-AX2668-AX2673+AX2674+AX2726)</f>
        <v>72.932814002293611</v>
      </c>
      <c r="AY2832" s="147">
        <f>IF(AY2831-AY2668-AY2779-AY2726&gt;0,(1-'Assumptions (T&amp;D)'!AX$103)*(AY2831-AY2668-AY2779+AY2726)-AY2673+AY2674+Model!AY2779,AY2831-AY2668-AY2673+AY2674+AY2726)</f>
        <v>74.285008562012365</v>
      </c>
      <c r="AZ2832" s="147">
        <f>IF(AZ2831-AZ2668-AZ2779-AZ2726&gt;0,(1-'Assumptions (T&amp;D)'!AY$103)*(AZ2831-AZ2668-AZ2779+AZ2726)-AZ2673+AZ2674+Model!AZ2779,AZ2831-AZ2668-AZ2673+AZ2674+AZ2726)</f>
        <v>75.660789508797038</v>
      </c>
      <c r="BA2832" s="147">
        <f>IF(BA2831-BA2668-BA2779-BA2726&gt;0,(1-'Assumptions (T&amp;D)'!AZ$103)*(BA2831-BA2668-BA2779+BA2726)-BA2673+BA2674+Model!BA2779,BA2831-BA2668-BA2673+BA2674+BA2726)</f>
        <v>76.883190763433305</v>
      </c>
    </row>
    <row r="2833" spans="1:77" ht="15.75" customHeight="1">
      <c r="A2833" s="460" t="s">
        <v>840</v>
      </c>
      <c r="B2833" s="99" t="s">
        <v>201</v>
      </c>
      <c r="C2833" s="147">
        <f>IF(C2831-C2668-C2779-C2726&gt;0,'Assumptions (T&amp;D)'!B$103*(C2831-C2668-C2779+C2726),0)</f>
        <v>4.3594287830496441</v>
      </c>
      <c r="D2833" s="147">
        <f>IF(D2831-D2668-D2779-D2726&gt;0,'Assumptions (T&amp;D)'!C$103*(D2831-D2668-D2779+D2726),0)</f>
        <v>4.2650431951869923</v>
      </c>
      <c r="E2833" s="147">
        <f>IF(E2831-E2668-E2779-E2726&gt;0,'Assumptions (T&amp;D)'!D$103*(E2831-E2668-E2779+E2726),0)</f>
        <v>4.5991199445662412</v>
      </c>
      <c r="F2833" s="147">
        <f>IF(F2831-F2668-F2779-F2726&gt;0,'Assumptions (T&amp;D)'!E$103*(F2831-F2668-F2779+F2726),0)</f>
        <v>4.7482816710142552</v>
      </c>
      <c r="G2833" s="147">
        <f>IF(G2831-G2668-G2779-G2726&gt;0,'Assumptions (T&amp;D)'!F$103*(G2831-G2668-G2779+G2726),0)</f>
        <v>5.212444661053139</v>
      </c>
      <c r="H2833" s="147">
        <f>IF(H2831-H2668-H2779-H2726&gt;0,'Assumptions (T&amp;D)'!G$103*(H2831-H2668-H2779+H2726),0)</f>
        <v>5.6824179164694852</v>
      </c>
      <c r="I2833" s="147">
        <f>IF(I2831-I2668-I2779-I2726&gt;0,'Assumptions (T&amp;D)'!H$103*(I2831-I2668-I2779+I2726),0)</f>
        <v>6.0511692672448705</v>
      </c>
      <c r="J2833" s="147">
        <f>IF(J2831-J2668-J2779-J2726&gt;0,'Assumptions (T&amp;D)'!I$103*(J2831-J2668-J2779+J2726),0)</f>
        <v>6.2895032232620407</v>
      </c>
      <c r="K2833" s="147">
        <f>IF(K2831-K2668-K2779-K2726&gt;0,'Assumptions (T&amp;D)'!J$103*(K2831-K2668-K2779+K2726),0)</f>
        <v>6.7893939655736517</v>
      </c>
      <c r="L2833" s="147">
        <f>IF(L2831-L2668-L2779-L2726&gt;0,'Assumptions (T&amp;D)'!K$103*(L2831-L2668-L2779+L2726),0)</f>
        <v>7.0710193064452191</v>
      </c>
      <c r="M2833" s="147">
        <f>IF(M2831-M2668-M2779-M2726&gt;0,'Assumptions (T&amp;D)'!L$103*(M2831-M2668-M2779+M2726),0)</f>
        <v>7.5728554784526931</v>
      </c>
      <c r="N2833" s="147">
        <f>IF(N2831-N2668-N2779-N2726&gt;0,'Assumptions (T&amp;D)'!M$103*(N2831-N2668-N2779+N2726),0)</f>
        <v>7.9411786999927498</v>
      </c>
      <c r="O2833" s="147">
        <f>IF(O2831-O2668-O2779-O2726&gt;0,'Assumptions (T&amp;D)'!N$103*(O2831-O2668-O2779+O2726),0)</f>
        <v>8.4614970044992646</v>
      </c>
      <c r="P2833" s="147">
        <f>IF(P2831-P2668-P2779-P2726&gt;0,'Assumptions (T&amp;D)'!O$103*(P2831-P2668-P2779+P2726),0)</f>
        <v>9.247199316732571</v>
      </c>
      <c r="Q2833" s="147">
        <f>IF(Q2831-Q2668-Q2779-Q2726&gt;0,'Assumptions (T&amp;D)'!P$103*(Q2831-Q2668-Q2779+Q2726),0)</f>
        <v>10.191410818531672</v>
      </c>
      <c r="R2833" s="147">
        <f>IF(R2831-R2668-R2779-R2726&gt;0,'Assumptions (T&amp;D)'!Q$103*(R2831-R2668-R2779+R2726),0)</f>
        <v>11.206419167245722</v>
      </c>
      <c r="S2833" s="147">
        <f>IF(S2831-S2668-S2779-S2726&gt;0,'Assumptions (T&amp;D)'!R$103*(S2831-S2668-S2779+S2726),0)</f>
        <v>12.288471226567706</v>
      </c>
      <c r="T2833" s="147">
        <f>IF(T2831-T2668-T2779-T2726&gt;0,'Assumptions (T&amp;D)'!S$103*(T2831-T2668-T2779+T2726),0)</f>
        <v>12.959131561393431</v>
      </c>
      <c r="U2833" s="147">
        <f>IF(U2831-U2668-U2779-U2726&gt;0,'Assumptions (T&amp;D)'!T$103*(U2831-U2668-U2779+U2726),0)</f>
        <v>5.3764217069711693</v>
      </c>
      <c r="V2833" s="147">
        <f>IF(V2831-V2668-V2779-V2726&gt;0,'Assumptions (T&amp;D)'!U$103*(V2831-V2668-V2779+V2726),0)</f>
        <v>5.6998278471853174</v>
      </c>
      <c r="W2833" s="147">
        <f>IF(W2831-W2668-W2779-W2726&gt;0,'Assumptions (T&amp;D)'!V$103*(W2831-W2668-W2779+W2726),0)</f>
        <v>6.0502649497537702</v>
      </c>
      <c r="X2833" s="147">
        <f>IF(X2831-X2668-X2779-X2726&gt;0,'Assumptions (T&amp;D)'!W$103*(X2831-X2668-X2779+X2726),0)</f>
        <v>6.4351957470039283</v>
      </c>
      <c r="Y2833" s="147">
        <f>IF(Y2831-Y2668-Y2779-Y2726&gt;0,'Assumptions (T&amp;D)'!X$103*(Y2831-Y2668-Y2779+Y2726),0)</f>
        <v>6.8233099702057176</v>
      </c>
      <c r="Z2833" s="147">
        <f>IF(Z2831-Z2668-Z2779-Z2726&gt;0,'Assumptions (T&amp;D)'!Y$103*(Z2831-Z2668-Z2779+Z2726),0)</f>
        <v>7.2133792147439717</v>
      </c>
      <c r="AA2833" s="147">
        <f>IF(AA2831-AA2668-AA2779-AA2726&gt;0,'Assumptions (T&amp;D)'!Z$103*(AA2831-AA2668-AA2779+AA2726),0)</f>
        <v>7.6292786391129166</v>
      </c>
      <c r="AB2833" s="147">
        <f>IF(AB2831-AB2668-AB2779-AB2726&gt;0,'Assumptions (T&amp;D)'!AA$103*(AB2831-AB2668-AB2779+AB2726),0)</f>
        <v>8.0619533491404169</v>
      </c>
      <c r="AC2833" s="147">
        <f>IF(AC2831-AC2668-AC2779-AC2726&gt;0,'Assumptions (T&amp;D)'!AB$103*(AC2831-AC2668-AC2779+AC2726),0)</f>
        <v>8.4853372691154245</v>
      </c>
      <c r="AD2833" s="147">
        <f>IF(AD2831-AD2668-AD2779-AD2726&gt;0,'Assumptions (T&amp;D)'!AC$103*(AD2831-AD2668-AD2779+AD2726),0)</f>
        <v>8.9312638078234858</v>
      </c>
      <c r="AE2833" s="147">
        <f>IF(AE2831-AE2668-AE2779-AE2726&gt;0,'Assumptions (T&amp;D)'!AD$103*(AE2831-AE2668-AE2779+AE2726),0)</f>
        <v>9.4083533808423798</v>
      </c>
      <c r="AF2833" s="147">
        <f>IF(AF2831-AF2668-AF2779-AF2726&gt;0,'Assumptions (T&amp;D)'!AE$103*(AF2831-AF2668-AF2779+AF2726),0)</f>
        <v>9.9018253927876323</v>
      </c>
      <c r="AG2833" s="147">
        <f>IF(AG2831-AG2668-AG2779-AG2726&gt;0,'Assumptions (T&amp;D)'!AF$103*(AG2831-AG2668-AG2779+AG2726),0)</f>
        <v>10.363145316724314</v>
      </c>
      <c r="AH2833" s="147">
        <f>IF(AH2831-AH2668-AH2779-AH2726&gt;0,'Assumptions (T&amp;D)'!AG$103*(AH2831-AH2668-AH2779+AH2726),0)</f>
        <v>10.869509765174326</v>
      </c>
      <c r="AI2833" s="147">
        <f>IF(AI2831-AI2668-AI2779-AI2726&gt;0,'Assumptions (T&amp;D)'!AH$103*(AI2831-AI2668-AI2779+AI2726),0)</f>
        <v>11.3892582635669</v>
      </c>
      <c r="AJ2833" s="147">
        <f>IF(AJ2831-AJ2668-AJ2779-AJ2726&gt;0,'Assumptions (T&amp;D)'!AI$103*(AJ2831-AJ2668-AJ2779+AJ2726),0)</f>
        <v>11.934432330059513</v>
      </c>
      <c r="AK2833" s="147">
        <f>IF(AK2831-AK2668-AK2779-AK2726&gt;0,'Assumptions (T&amp;D)'!AJ$103*(AK2831-AK2668-AK2779+AK2726),0)</f>
        <v>12.52046779013066</v>
      </c>
      <c r="AL2833" s="147">
        <f>IF(AL2831-AL2668-AL2779-AL2726&gt;0,'Assumptions (T&amp;D)'!AK$103*(AL2831-AL2668-AL2779+AL2726),0)</f>
        <v>13.113167265866227</v>
      </c>
      <c r="AM2833" s="147">
        <f>IF(AM2831-AM2668-AM2779-AM2726&gt;0,'Assumptions (T&amp;D)'!AL$103*(AM2831-AM2668-AM2779+AM2726),0)</f>
        <v>13.668684538895068</v>
      </c>
      <c r="AN2833" s="147">
        <f>IF(AN2831-AN2668-AN2779-AN2726&gt;0,'Assumptions (T&amp;D)'!AM$103*(AN2831-AN2668-AN2779+AN2726),0)</f>
        <v>14.203482985074984</v>
      </c>
      <c r="AO2833" s="147">
        <f>IF(AO2831-AO2668-AO2779-AO2726&gt;0,'Assumptions (T&amp;D)'!AN$103*(AO2831-AO2668-AO2779+AO2726),0)</f>
        <v>14.739187491735178</v>
      </c>
      <c r="AP2833" s="147">
        <f>IF(AP2831-AP2668-AP2779-AP2726&gt;0,'Assumptions (T&amp;D)'!AO$103*(AP2831-AP2668-AP2779+AP2726),0)</f>
        <v>15.283954252646582</v>
      </c>
      <c r="AQ2833" s="147">
        <f>IF(AQ2831-AQ2668-AQ2779-AQ2726&gt;0,'Assumptions (T&amp;D)'!AP$103*(AQ2831-AQ2668-AQ2779+AQ2726),0)</f>
        <v>15.794424181449854</v>
      </c>
      <c r="AR2833" s="147">
        <f>IF(AR2831-AR2668-AR2779-AR2726&gt;0,'Assumptions (T&amp;D)'!AQ$103*(AR2831-AR2668-AR2779+AR2726),0)</f>
        <v>16.332351607364004</v>
      </c>
      <c r="AS2833" s="147">
        <f>IF(AS2831-AS2668-AS2779-AS2726&gt;0,'Assumptions (T&amp;D)'!AR$103*(AS2831-AS2668-AS2779+AS2726),0)</f>
        <v>16.819397582777771</v>
      </c>
      <c r="AT2833" s="147">
        <f>IF(AT2831-AT2668-AT2779-AT2726&gt;0,'Assumptions (T&amp;D)'!AS$103*(AT2831-AT2668-AT2779+AT2726),0)</f>
        <v>17.250413443869888</v>
      </c>
      <c r="AU2833" s="147">
        <f>IF(AU2831-AU2668-AU2779-AU2726&gt;0,'Assumptions (T&amp;D)'!AT$103*(AU2831-AU2668-AU2779+AU2726),0)</f>
        <v>17.666934816824476</v>
      </c>
      <c r="AV2833" s="147">
        <f>IF(AV2831-AV2668-AV2779-AV2726&gt;0,'Assumptions (T&amp;D)'!AU$103*(AV2831-AV2668-AV2779+AV2726),0)</f>
        <v>18.056620573059273</v>
      </c>
      <c r="AW2833" s="147">
        <f>IF(AW2831-AW2668-AW2779-AW2726&gt;0,'Assumptions (T&amp;D)'!AV$103*(AW2831-AW2668-AW2779+AW2726),0)</f>
        <v>18.419844828879761</v>
      </c>
      <c r="AX2833" s="147">
        <f>IF(AX2831-AX2668-AX2779-AX2726&gt;0,'Assumptions (T&amp;D)'!AW$103*(AX2831-AX2668-AX2779+AX2726),0)</f>
        <v>18.820051513650494</v>
      </c>
      <c r="AY2833" s="147">
        <f>IF(AY2831-AY2668-AY2779-AY2726&gt;0,'Assumptions (T&amp;D)'!AX$103*(AY2831-AY2668-AY2779+AY2726),0)</f>
        <v>19.218266618425577</v>
      </c>
      <c r="AZ2833" s="147">
        <f>IF(AZ2831-AZ2668-AZ2779-AZ2726&gt;0,'Assumptions (T&amp;D)'!AY$103*(AZ2831-AZ2668-AZ2779+AZ2726),0)</f>
        <v>19.605759966594796</v>
      </c>
      <c r="BA2833" s="147">
        <f>IF(BA2831-BA2668-BA2779-BA2726&gt;0,'Assumptions (T&amp;D)'!AZ$103*(BA2831-BA2668-BA2779+BA2726),0)</f>
        <v>19.991735873495394</v>
      </c>
    </row>
    <row r="2834" spans="1:77" ht="15.75" customHeight="1">
      <c r="A2834" s="459" t="s">
        <v>886</v>
      </c>
      <c r="B2834" s="42"/>
      <c r="C2834" s="463"/>
      <c r="D2834" s="42"/>
      <c r="E2834" s="42"/>
      <c r="F2834" s="42"/>
      <c r="G2834" s="42"/>
      <c r="H2834" s="42"/>
      <c r="I2834" s="42"/>
      <c r="J2834" s="42"/>
      <c r="K2834" s="42"/>
      <c r="L2834" s="42"/>
      <c r="M2834" s="42"/>
      <c r="N2834" s="42"/>
      <c r="O2834" s="42"/>
      <c r="P2834" s="42"/>
      <c r="Q2834" s="42"/>
      <c r="R2834" s="42"/>
      <c r="S2834" s="42"/>
      <c r="T2834" s="42"/>
      <c r="U2834" s="42"/>
      <c r="V2834" s="42"/>
      <c r="W2834" s="86"/>
    </row>
    <row r="2835" spans="1:77" ht="15.75" customHeight="1">
      <c r="A2835" s="460" t="s">
        <v>851</v>
      </c>
      <c r="B2835" s="99" t="s">
        <v>201</v>
      </c>
      <c r="C2835" s="147">
        <f>SUM('Assumptions (T&amp;D)'!B63:B66)/(1-'Assumptions (T&amp;D)'!B70)</f>
        <v>19.020800521428573</v>
      </c>
      <c r="D2835" s="147">
        <f>SUM('Assumptions (T&amp;D)'!C63:C66)/(1-'Assumptions (T&amp;D)'!C70)</f>
        <v>19.527307111428573</v>
      </c>
      <c r="E2835" s="147">
        <f>SUM('Assumptions (T&amp;D)'!D63:D66)/(1-'Assumptions (T&amp;D)'!D70)</f>
        <v>18.988817747142857</v>
      </c>
      <c r="F2835" s="147">
        <f>SUM('Assumptions (T&amp;D)'!E63:E66)/(1-'Assumptions (T&amp;D)'!E70)</f>
        <v>20.005935042857146</v>
      </c>
      <c r="G2835" s="147">
        <f>SUM('Assumptions (T&amp;D)'!F63:F66)/(1-'Assumptions (T&amp;D)'!F70)</f>
        <v>19.992119018571429</v>
      </c>
      <c r="H2835" s="147">
        <f>SUM('Assumptions (T&amp;D)'!G63:G66)/(1-'Assumptions (T&amp;D)'!G70)</f>
        <v>21.241928331428575</v>
      </c>
      <c r="I2835" s="147">
        <f>SUM('Assumptions (T&amp;D)'!H63:H66)/(1-'Assumptions (T&amp;D)'!H70)</f>
        <v>22.707899297142859</v>
      </c>
      <c r="J2835" s="147">
        <f>SUM('Assumptions (T&amp;D)'!I63:I66)/(1-'Assumptions (T&amp;D)'!I70)</f>
        <v>24.581801890000001</v>
      </c>
      <c r="K2835" s="147">
        <f>SUM('Assumptions (T&amp;D)'!J63:J66)/(1-'Assumptions (T&amp;D)'!J70)</f>
        <v>26.427364779999998</v>
      </c>
      <c r="L2835" s="147">
        <f>SUM('Assumptions (T&amp;D)'!K63:K66)/(1-'Assumptions (T&amp;D)'!K70)</f>
        <v>26.578872932857145</v>
      </c>
      <c r="M2835" s="147">
        <f>SUM('Assumptions (T&amp;D)'!L63:L66)/(1-'Assumptions (T&amp;D)'!L70)</f>
        <v>28.638245205714288</v>
      </c>
      <c r="N2835" s="147">
        <f>SUM('Assumptions (T&amp;D)'!M63:M66)/(1-'Assumptions (T&amp;D)'!M70)</f>
        <v>30.357865075714287</v>
      </c>
      <c r="O2835" s="147">
        <f>SUM('Assumptions (T&amp;D)'!N63:N66)/(1-'Assumptions (T&amp;D)'!N70)</f>
        <v>30.620930294285714</v>
      </c>
      <c r="P2835" s="147">
        <f>SUM('Assumptions (T&amp;D)'!O63:O66)/(1-'Assumptions (T&amp;D)'!O70)</f>
        <v>31.173771570000003</v>
      </c>
      <c r="Q2835" s="147">
        <f>SUM('Assumptions (T&amp;D)'!P63:P66)/(1-'Assumptions (T&amp;D)'!P70)</f>
        <v>32.946043627142856</v>
      </c>
      <c r="R2835" s="147">
        <f>SUM('Assumptions (T&amp;D)'!Q63:Q66)/(1-'Assumptions (T&amp;D)'!Q70)</f>
        <v>33.123988054285718</v>
      </c>
      <c r="S2835" s="147">
        <f>SUM('Assumptions (T&amp;D)'!R63:R66)/(1-'Assumptions (T&amp;D)'!R70)</f>
        <v>33.329142471428575</v>
      </c>
      <c r="T2835" s="147">
        <f>SUM('Assumptions (T&amp;D)'!S63:S66)/(1-'Assumptions (T&amp;D)'!S70)</f>
        <v>31.62020314078449</v>
      </c>
      <c r="U2835" s="147">
        <f>SUM('Assumptions (T&amp;D)'!T63:T66)/(1-'Assumptions (T&amp;D)'!T70)</f>
        <v>31.62020314078449</v>
      </c>
      <c r="V2835" s="147">
        <f>SUM('Assumptions (T&amp;D)'!U63:U66)/(1-'Assumptions (T&amp;D)'!U70)</f>
        <v>31.62020314078449</v>
      </c>
      <c r="W2835" s="147">
        <f>SUM('Assumptions (T&amp;D)'!V63:V66)/(1-'Assumptions (T&amp;D)'!V70)</f>
        <v>31.62020314078449</v>
      </c>
      <c r="X2835" s="147">
        <f>SUM('Assumptions (T&amp;D)'!W63:W66)/(1-'Assumptions (T&amp;D)'!W70)</f>
        <v>31.62020314078449</v>
      </c>
      <c r="Y2835" s="147">
        <f>SUM('Assumptions (T&amp;D)'!X63:X66)/(1-'Assumptions (T&amp;D)'!X70)</f>
        <v>31.62020314078449</v>
      </c>
      <c r="Z2835" s="147">
        <f>SUM('Assumptions (T&amp;D)'!Y63:Y66)/(1-'Assumptions (T&amp;D)'!Y70)</f>
        <v>31.62020314078449</v>
      </c>
      <c r="AA2835" s="147">
        <f>SUM('Assumptions (T&amp;D)'!Z63:Z66)/(1-'Assumptions (T&amp;D)'!Z70)</f>
        <v>31.62020314078449</v>
      </c>
      <c r="AB2835" s="147">
        <f>SUM('Assumptions (T&amp;D)'!AA63:AA66)/(1-'Assumptions (T&amp;D)'!AA70)</f>
        <v>31.62020314078449</v>
      </c>
      <c r="AC2835" s="147">
        <f>SUM('Assumptions (T&amp;D)'!AB63:AB66)/(1-'Assumptions (T&amp;D)'!AB70)</f>
        <v>31.62020314078449</v>
      </c>
      <c r="AD2835" s="147">
        <f>SUM('Assumptions (T&amp;D)'!AC63:AC66)/(1-'Assumptions (T&amp;D)'!AC70)</f>
        <v>31.62020314078449</v>
      </c>
      <c r="AE2835" s="147">
        <f>SUM('Assumptions (T&amp;D)'!AD63:AD66)/(1-'Assumptions (T&amp;D)'!AD70)</f>
        <v>31.62020314078449</v>
      </c>
      <c r="AF2835" s="147">
        <f>SUM('Assumptions (T&amp;D)'!AE63:AE66)/(1-'Assumptions (T&amp;D)'!AE70)</f>
        <v>31.62020314078449</v>
      </c>
      <c r="AG2835" s="147">
        <f>SUM('Assumptions (T&amp;D)'!AF63:AF66)/(1-'Assumptions (T&amp;D)'!AF70)</f>
        <v>31.62020314078449</v>
      </c>
      <c r="AH2835" s="147">
        <f>SUM('Assumptions (T&amp;D)'!AG63:AG66)/(1-'Assumptions (T&amp;D)'!AG70)</f>
        <v>31.62020314078449</v>
      </c>
      <c r="AI2835" s="147">
        <f>SUM('Assumptions (T&amp;D)'!AH63:AH66)/(1-'Assumptions (T&amp;D)'!AH70)</f>
        <v>31.62020314078449</v>
      </c>
      <c r="AJ2835" s="147">
        <f>SUM('Assumptions (T&amp;D)'!AI63:AI66)/(1-'Assumptions (T&amp;D)'!AI70)</f>
        <v>31.62020314078449</v>
      </c>
      <c r="AK2835" s="147">
        <f>SUM('Assumptions (T&amp;D)'!AJ63:AJ66)/(1-'Assumptions (T&amp;D)'!AJ70)</f>
        <v>31.62020314078449</v>
      </c>
      <c r="AL2835" s="147">
        <f>SUM('Assumptions (T&amp;D)'!AK63:AK66)/(1-'Assumptions (T&amp;D)'!AK70)</f>
        <v>31.62020314078449</v>
      </c>
      <c r="AM2835" s="147">
        <f>SUM('Assumptions (T&amp;D)'!AL63:AL66)/(1-'Assumptions (T&amp;D)'!AL70)</f>
        <v>31.62020314078449</v>
      </c>
      <c r="AN2835" s="147">
        <f>SUM('Assumptions (T&amp;D)'!AM63:AM66)/(1-'Assumptions (T&amp;D)'!AM70)</f>
        <v>31.62020314078449</v>
      </c>
      <c r="AO2835" s="147">
        <f>SUM('Assumptions (T&amp;D)'!AN63:AN66)/(1-'Assumptions (T&amp;D)'!AN70)</f>
        <v>31.62020314078449</v>
      </c>
      <c r="AP2835" s="147">
        <f>SUM('Assumptions (T&amp;D)'!AO63:AO66)/(1-'Assumptions (T&amp;D)'!AO70)</f>
        <v>31.62020314078449</v>
      </c>
      <c r="AQ2835" s="147">
        <f>SUM('Assumptions (T&amp;D)'!AP63:AP66)/(1-'Assumptions (T&amp;D)'!AP70)</f>
        <v>31.62020314078449</v>
      </c>
      <c r="AR2835" s="147">
        <f>SUM('Assumptions (T&amp;D)'!AQ63:AQ66)/(1-'Assumptions (T&amp;D)'!AQ70)</f>
        <v>31.62020314078449</v>
      </c>
      <c r="AS2835" s="147">
        <f>SUM('Assumptions (T&amp;D)'!AR63:AR66)/(1-'Assumptions (T&amp;D)'!AR70)</f>
        <v>31.62020314078449</v>
      </c>
      <c r="AT2835" s="147">
        <f>SUM('Assumptions (T&amp;D)'!AS63:AS66)/(1-'Assumptions (T&amp;D)'!AS70)</f>
        <v>31.62020314078449</v>
      </c>
      <c r="AU2835" s="147">
        <f>SUM('Assumptions (T&amp;D)'!AT63:AT66)/(1-'Assumptions (T&amp;D)'!AT70)</f>
        <v>31.62020314078449</v>
      </c>
      <c r="AV2835" s="147">
        <f>SUM('Assumptions (T&amp;D)'!AU63:AU66)/(1-'Assumptions (T&amp;D)'!AU70)</f>
        <v>31.62020314078449</v>
      </c>
      <c r="AW2835" s="147">
        <f>SUM('Assumptions (T&amp;D)'!AV63:AV66)/(1-'Assumptions (T&amp;D)'!AV70)</f>
        <v>31.62020314078449</v>
      </c>
      <c r="AX2835" s="147">
        <f>SUM('Assumptions (T&amp;D)'!AW63:AW66)/(1-'Assumptions (T&amp;D)'!AW70)</f>
        <v>31.62020314078449</v>
      </c>
      <c r="AY2835" s="147">
        <f>SUM('Assumptions (T&amp;D)'!AX63:AX66)/(1-'Assumptions (T&amp;D)'!AX70)</f>
        <v>31.62020314078449</v>
      </c>
      <c r="AZ2835" s="147">
        <f>SUM('Assumptions (T&amp;D)'!AY63:AY66)/(1-'Assumptions (T&amp;D)'!AY70)</f>
        <v>31.62020314078449</v>
      </c>
      <c r="BA2835" s="147">
        <f>SUM('Assumptions (T&amp;D)'!AZ63:AZ66)/(1-'Assumptions (T&amp;D)'!AZ70)</f>
        <v>31.62020314078449</v>
      </c>
    </row>
    <row r="2836" spans="1:77" ht="15.75" customHeight="1">
      <c r="A2836" s="461" t="s">
        <v>884</v>
      </c>
      <c r="B2836" s="99" t="s">
        <v>201</v>
      </c>
      <c r="C2836" s="147">
        <f>'Assumptions (T&amp;D)'!B67*(1+'Assumptions (T&amp;D)'!B70)</f>
        <v>245.9221939343</v>
      </c>
      <c r="D2836" s="147">
        <f>'Assumptions (T&amp;D)'!C67/(1-'Assumptions (T&amp;D)'!C70)</f>
        <v>284.3244857457143</v>
      </c>
      <c r="E2836" s="147">
        <f>'Assumptions (T&amp;D)'!D67/(1-'Assumptions (T&amp;D)'!D70)</f>
        <v>292.60824728857142</v>
      </c>
      <c r="F2836" s="147">
        <f>'Assumptions (T&amp;D)'!E67/(1-'Assumptions (T&amp;D)'!E70)</f>
        <v>306.98432666857144</v>
      </c>
      <c r="G2836" s="147">
        <f>'Assumptions (T&amp;D)'!F67/(1-'Assumptions (T&amp;D)'!F70)</f>
        <v>321.53665642571428</v>
      </c>
      <c r="H2836" s="147">
        <f>'Assumptions (T&amp;D)'!G67/(1-'Assumptions (T&amp;D)'!G70)</f>
        <v>340.44959992571432</v>
      </c>
      <c r="I2836" s="147">
        <f>'Assumptions (T&amp;D)'!H67/(1-'Assumptions (T&amp;D)'!H70)</f>
        <v>356.5548279028572</v>
      </c>
      <c r="J2836" s="147">
        <f>'Assumptions (T&amp;D)'!I67/(1-'Assumptions (T&amp;D)'!I70)</f>
        <v>374.45570422714292</v>
      </c>
      <c r="K2836" s="147">
        <f>'Assumptions (T&amp;D)'!J67/(1-'Assumptions (T&amp;D)'!J70)</f>
        <v>393.18557059</v>
      </c>
      <c r="L2836" s="147">
        <f>'Assumptions (T&amp;D)'!K67/(1-'Assumptions (T&amp;D)'!K70)</f>
        <v>414.13141596428574</v>
      </c>
      <c r="M2836" s="147">
        <f>'Assumptions (T&amp;D)'!L67/(1-'Assumptions (T&amp;D)'!L70)</f>
        <v>439.1697441871429</v>
      </c>
      <c r="N2836" s="147">
        <f>'Assumptions (T&amp;D)'!M67/(1-'Assumptions (T&amp;D)'!M70)</f>
        <v>454.25416570142858</v>
      </c>
      <c r="O2836" s="147">
        <f>'Assumptions (T&amp;D)'!N67/(1-'Assumptions (T&amp;D)'!N70)</f>
        <v>474.57460011428577</v>
      </c>
      <c r="P2836" s="147">
        <f>'Assumptions (T&amp;D)'!O67/(1-'Assumptions (T&amp;D)'!O70)</f>
        <v>496.14623455285721</v>
      </c>
      <c r="Q2836" s="147">
        <f>'Assumptions (T&amp;D)'!P67/(1-'Assumptions (T&amp;D)'!P70)</f>
        <v>518.06226946142863</v>
      </c>
      <c r="R2836" s="147">
        <f>'Assumptions (T&amp;D)'!Q67/(1-'Assumptions (T&amp;D)'!Q70)</f>
        <v>543.24329745571436</v>
      </c>
      <c r="S2836" s="147">
        <f>'Assumptions (T&amp;D)'!R67/(1-'Assumptions (T&amp;D)'!R70)</f>
        <v>569.94645878857148</v>
      </c>
      <c r="T2836" s="147">
        <f t="shared" ref="T2836:BA2836" si="64">S2836-S2837+S2838</f>
        <v>599.34554929285719</v>
      </c>
      <c r="U2836" s="147">
        <f t="shared" si="64"/>
        <v>629.62051443751716</v>
      </c>
      <c r="V2836" s="147">
        <f t="shared" si="64"/>
        <v>656.99794138177708</v>
      </c>
      <c r="W2836" s="147">
        <f t="shared" si="64"/>
        <v>684.37536832603701</v>
      </c>
      <c r="X2836" s="147">
        <f t="shared" si="64"/>
        <v>711.75279527029693</v>
      </c>
      <c r="Y2836" s="147">
        <f t="shared" si="64"/>
        <v>739.13022221455685</v>
      </c>
      <c r="Z2836" s="147">
        <f t="shared" si="64"/>
        <v>766.50764915881678</v>
      </c>
      <c r="AA2836" s="147">
        <f t="shared" si="64"/>
        <v>793.8850761030767</v>
      </c>
      <c r="AB2836" s="147">
        <f t="shared" si="64"/>
        <v>821.26250304733662</v>
      </c>
      <c r="AC2836" s="147">
        <f t="shared" si="64"/>
        <v>848.63992999159655</v>
      </c>
      <c r="AD2836" s="147">
        <f t="shared" si="64"/>
        <v>876.01735693585647</v>
      </c>
      <c r="AE2836" s="147">
        <f t="shared" si="64"/>
        <v>903.39478388011639</v>
      </c>
      <c r="AF2836" s="147">
        <f t="shared" si="64"/>
        <v>930.77221082437632</v>
      </c>
      <c r="AG2836" s="464">
        <f t="shared" si="64"/>
        <v>958.14963776863624</v>
      </c>
      <c r="AH2836" s="464">
        <f t="shared" si="64"/>
        <v>985.52706471289616</v>
      </c>
      <c r="AI2836" s="464">
        <f t="shared" si="64"/>
        <v>1012.9044916571561</v>
      </c>
      <c r="AJ2836" s="464">
        <f t="shared" si="64"/>
        <v>1040.281918601416</v>
      </c>
      <c r="AK2836" s="464">
        <f t="shared" si="64"/>
        <v>1067.6593455456759</v>
      </c>
      <c r="AL2836" s="464">
        <f t="shared" si="64"/>
        <v>1095.0367724899359</v>
      </c>
      <c r="AM2836" s="464">
        <f t="shared" si="64"/>
        <v>1122.4141994341958</v>
      </c>
      <c r="AN2836" s="464">
        <f t="shared" si="64"/>
        <v>1149.7916263784557</v>
      </c>
      <c r="AO2836" s="464">
        <f t="shared" si="64"/>
        <v>1177.1690533227156</v>
      </c>
      <c r="AP2836" s="464">
        <f t="shared" si="64"/>
        <v>1204.5464802669755</v>
      </c>
      <c r="AQ2836" s="464">
        <f t="shared" si="64"/>
        <v>1231.9239072112355</v>
      </c>
      <c r="AR2836" s="464">
        <f t="shared" si="64"/>
        <v>1259.3013341554954</v>
      </c>
      <c r="AS2836" s="464">
        <f t="shared" si="64"/>
        <v>1286.6787610997553</v>
      </c>
      <c r="AT2836" s="464">
        <f t="shared" si="64"/>
        <v>1314.0561880440152</v>
      </c>
      <c r="AU2836" s="464">
        <f t="shared" si="64"/>
        <v>1341.4336149882752</v>
      </c>
      <c r="AV2836" s="464">
        <f t="shared" si="64"/>
        <v>1368.8110419325351</v>
      </c>
      <c r="AW2836" s="464">
        <f t="shared" si="64"/>
        <v>1396.188468876795</v>
      </c>
      <c r="AX2836" s="464">
        <f t="shared" si="64"/>
        <v>1423.5658958210549</v>
      </c>
      <c r="AY2836" s="464">
        <f t="shared" si="64"/>
        <v>1450.9433227653149</v>
      </c>
      <c r="AZ2836" s="464">
        <f t="shared" si="64"/>
        <v>1478.3207497095748</v>
      </c>
      <c r="BA2836" s="464">
        <f t="shared" si="64"/>
        <v>1505.6981766538347</v>
      </c>
    </row>
    <row r="2837" spans="1:77" ht="15.75" customHeight="1">
      <c r="A2837" s="460" t="s">
        <v>885</v>
      </c>
      <c r="B2837" s="99" t="s">
        <v>201</v>
      </c>
      <c r="C2837" s="147">
        <f>'Assumptions (T&amp;D)'!B68/(1-'Assumptions (T&amp;D)'!B70)</f>
        <v>2.4890720114285716</v>
      </c>
      <c r="D2837" s="147">
        <f>'Assumptions (T&amp;D)'!C68/(1-'Assumptions (T&amp;D)'!C70)</f>
        <v>2.7386974900000003</v>
      </c>
      <c r="E2837" s="147">
        <f>'Assumptions (T&amp;D)'!D68/(1-'Assumptions (T&amp;D)'!D70)</f>
        <v>2.662279485714286</v>
      </c>
      <c r="F2837" s="147">
        <f>'Assumptions (T&amp;D)'!E68/(1-'Assumptions (T&amp;D)'!E70)</f>
        <v>3.1689826285714284</v>
      </c>
      <c r="G2837" s="147">
        <f>'Assumptions (T&amp;D)'!F68/(1-'Assumptions (T&amp;D)'!F70)</f>
        <v>3.1926610042857146</v>
      </c>
      <c r="H2837" s="147">
        <f>'Assumptions (T&amp;D)'!G68/(1-'Assumptions (T&amp;D)'!G70)</f>
        <v>3.5504980657142857</v>
      </c>
      <c r="I2837" s="147">
        <f>'Assumptions (T&amp;D)'!H68/(1-'Assumptions (T&amp;D)'!H70)</f>
        <v>3.8672993600000001</v>
      </c>
      <c r="J2837" s="147">
        <f>'Assumptions (T&amp;D)'!I68/(1-'Assumptions (T&amp;D)'!I70)</f>
        <v>4.162185292857143</v>
      </c>
      <c r="K2837" s="147">
        <f>'Assumptions (T&amp;D)'!J68/(1-'Assumptions (T&amp;D)'!J70)</f>
        <v>4.0860500414285719</v>
      </c>
      <c r="L2837" s="147">
        <f>'Assumptions (T&amp;D)'!K68/(1-'Assumptions (T&amp;D)'!K70)</f>
        <v>4.0459966457142862</v>
      </c>
      <c r="M2837" s="147">
        <f>'Assumptions (T&amp;D)'!L68/(1-'Assumptions (T&amp;D)'!L70)</f>
        <v>5.3981880571428578</v>
      </c>
      <c r="N2837" s="147">
        <f>'Assumptions (T&amp;D)'!M68/(1-'Assumptions (T&amp;D)'!M70)</f>
        <v>4.9309972528571429</v>
      </c>
      <c r="O2837" s="147">
        <f>'Assumptions (T&amp;D)'!N68/(1-'Assumptions (T&amp;D)'!N70)</f>
        <v>5.2877473328571432</v>
      </c>
      <c r="P2837" s="147">
        <f>'Assumptions (T&amp;D)'!O68/(1-'Assumptions (T&amp;D)'!O70)</f>
        <v>4.5713949514285712</v>
      </c>
      <c r="Q2837" s="147">
        <f>'Assumptions (T&amp;D)'!P68/(1-'Assumptions (T&amp;D)'!P70)</f>
        <v>4.9680179000000004</v>
      </c>
      <c r="R2837" s="147">
        <f>'Assumptions (T&amp;D)'!Q68/(1-'Assumptions (T&amp;D)'!Q70)</f>
        <v>5.6280816214285716</v>
      </c>
      <c r="S2837" s="147">
        <f>'Assumptions (T&amp;D)'!R68/(1-'Assumptions (T&amp;D)'!R70)</f>
        <v>5.7946766871428581</v>
      </c>
      <c r="T2837" s="147">
        <f>'Assumptions (T&amp;D)'!S68/(1-'Assumptions (T&amp;D)'!S70)</f>
        <v>6.8678919981971376</v>
      </c>
      <c r="U2837" s="147">
        <f>'Assumptions (T&amp;D)'!T68/(1-'Assumptions (T&amp;D)'!T70)</f>
        <v>6.8678919981971376</v>
      </c>
      <c r="V2837" s="147">
        <f>'Assumptions (T&amp;D)'!U68/(1-'Assumptions (T&amp;D)'!U70)</f>
        <v>6.8678919981971376</v>
      </c>
      <c r="W2837" s="147">
        <f>'Assumptions (T&amp;D)'!V68/(1-'Assumptions (T&amp;D)'!V70)</f>
        <v>6.8678919981971376</v>
      </c>
      <c r="X2837" s="147">
        <f>'Assumptions (T&amp;D)'!W68/(1-'Assumptions (T&amp;D)'!W70)</f>
        <v>6.8678919981971376</v>
      </c>
      <c r="Y2837" s="147">
        <f>'Assumptions (T&amp;D)'!X68/(1-'Assumptions (T&amp;D)'!X70)</f>
        <v>6.8678919981971376</v>
      </c>
      <c r="Z2837" s="147">
        <f>'Assumptions (T&amp;D)'!Y68/(1-'Assumptions (T&amp;D)'!Y70)</f>
        <v>6.8678919981971376</v>
      </c>
      <c r="AA2837" s="147">
        <f>'Assumptions (T&amp;D)'!Z68/(1-'Assumptions (T&amp;D)'!Z70)</f>
        <v>6.8678919981971376</v>
      </c>
      <c r="AB2837" s="147">
        <f>'Assumptions (T&amp;D)'!AA68/(1-'Assumptions (T&amp;D)'!AA70)</f>
        <v>6.8678919981971376</v>
      </c>
      <c r="AC2837" s="147">
        <f>'Assumptions (T&amp;D)'!AB68/(1-'Assumptions (T&amp;D)'!AB70)</f>
        <v>6.8678919981971376</v>
      </c>
      <c r="AD2837" s="147">
        <f>'Assumptions (T&amp;D)'!AC68/(1-'Assumptions (T&amp;D)'!AC70)</f>
        <v>6.8678919981971376</v>
      </c>
      <c r="AE2837" s="147">
        <f>'Assumptions (T&amp;D)'!AD68/(1-'Assumptions (T&amp;D)'!AD70)</f>
        <v>6.8678919981971376</v>
      </c>
      <c r="AF2837" s="147">
        <f>'Assumptions (T&amp;D)'!AE68/(1-'Assumptions (T&amp;D)'!AE70)</f>
        <v>6.8678919981971376</v>
      </c>
      <c r="AG2837" s="147">
        <f>'Assumptions (T&amp;D)'!AF68/(1-'Assumptions (T&amp;D)'!AF70)</f>
        <v>6.8678919981971376</v>
      </c>
      <c r="AH2837" s="147">
        <f>'Assumptions (T&amp;D)'!AG68/(1-'Assumptions (T&amp;D)'!AG70)</f>
        <v>6.8678919981971376</v>
      </c>
      <c r="AI2837" s="147">
        <f>'Assumptions (T&amp;D)'!AH68/(1-'Assumptions (T&amp;D)'!AH70)</f>
        <v>6.8678919981971376</v>
      </c>
      <c r="AJ2837" s="147">
        <f>'Assumptions (T&amp;D)'!AI68/(1-'Assumptions (T&amp;D)'!AI70)</f>
        <v>6.8678919981971376</v>
      </c>
      <c r="AK2837" s="147">
        <f>'Assumptions (T&amp;D)'!AJ68/(1-'Assumptions (T&amp;D)'!AJ70)</f>
        <v>6.8678919981971376</v>
      </c>
      <c r="AL2837" s="147">
        <f>'Assumptions (T&amp;D)'!AK68/(1-'Assumptions (T&amp;D)'!AK70)</f>
        <v>6.8678919981971376</v>
      </c>
      <c r="AM2837" s="147">
        <f>'Assumptions (T&amp;D)'!AL68/(1-'Assumptions (T&amp;D)'!AL70)</f>
        <v>6.8678919981971376</v>
      </c>
      <c r="AN2837" s="147">
        <f>'Assumptions (T&amp;D)'!AM68/(1-'Assumptions (T&amp;D)'!AM70)</f>
        <v>6.8678919981971376</v>
      </c>
      <c r="AO2837" s="147">
        <f>'Assumptions (T&amp;D)'!AN68/(1-'Assumptions (T&amp;D)'!AN70)</f>
        <v>6.8678919981971376</v>
      </c>
      <c r="AP2837" s="147">
        <f>'Assumptions (T&amp;D)'!AO68/(1-'Assumptions (T&amp;D)'!AO70)</f>
        <v>6.8678919981971376</v>
      </c>
      <c r="AQ2837" s="147">
        <f>'Assumptions (T&amp;D)'!AP68/(1-'Assumptions (T&amp;D)'!AP70)</f>
        <v>6.8678919981971376</v>
      </c>
      <c r="AR2837" s="147">
        <f>'Assumptions (T&amp;D)'!AQ68/(1-'Assumptions (T&amp;D)'!AQ70)</f>
        <v>6.8678919981971376</v>
      </c>
      <c r="AS2837" s="147">
        <f>'Assumptions (T&amp;D)'!AR68/(1-'Assumptions (T&amp;D)'!AR70)</f>
        <v>6.8678919981971376</v>
      </c>
      <c r="AT2837" s="147">
        <f>'Assumptions (T&amp;D)'!AS68/(1-'Assumptions (T&amp;D)'!AS70)</f>
        <v>6.8678919981971376</v>
      </c>
      <c r="AU2837" s="147">
        <f>'Assumptions (T&amp;D)'!AT68/(1-'Assumptions (T&amp;D)'!AT70)</f>
        <v>6.8678919981971376</v>
      </c>
      <c r="AV2837" s="147">
        <f>'Assumptions (T&amp;D)'!AU68/(1-'Assumptions (T&amp;D)'!AU70)</f>
        <v>6.8678919981971376</v>
      </c>
      <c r="AW2837" s="147">
        <f>'Assumptions (T&amp;D)'!AV68/(1-'Assumptions (T&amp;D)'!AV70)</f>
        <v>6.8678919981971376</v>
      </c>
      <c r="AX2837" s="147">
        <f>'Assumptions (T&amp;D)'!AW68/(1-'Assumptions (T&amp;D)'!AW70)</f>
        <v>6.8678919981971376</v>
      </c>
      <c r="AY2837" s="147">
        <f>'Assumptions (T&amp;D)'!AX68/(1-'Assumptions (T&amp;D)'!AX70)</f>
        <v>6.8678919981971376</v>
      </c>
      <c r="AZ2837" s="147">
        <f>'Assumptions (T&amp;D)'!AY68/(1-'Assumptions (T&amp;D)'!AY70)</f>
        <v>6.8678919981971376</v>
      </c>
      <c r="BA2837" s="147">
        <f>'Assumptions (T&amp;D)'!AZ68/(1-'Assumptions (T&amp;D)'!AZ70)</f>
        <v>6.8678919981971376</v>
      </c>
    </row>
    <row r="2838" spans="1:77" ht="15.75" customHeight="1">
      <c r="A2838" s="460" t="s">
        <v>290</v>
      </c>
      <c r="B2838" s="99" t="s">
        <v>201</v>
      </c>
      <c r="C2838" s="147">
        <f>'Assumptions (T&amp;D)'!B69/(1-'Assumptions (T&amp;D)'!B70)</f>
        <v>15.499894012857144</v>
      </c>
      <c r="D2838" s="147">
        <f>'Assumptions (T&amp;D)'!C69/(1-'Assumptions (T&amp;D)'!C70)</f>
        <v>16.37125963714286</v>
      </c>
      <c r="E2838" s="147">
        <f>'Assumptions (T&amp;D)'!D69/(1-'Assumptions (T&amp;D)'!D70)</f>
        <v>16.210771804285717</v>
      </c>
      <c r="F2838" s="147">
        <f>'Assumptions (T&amp;D)'!E69/(1-'Assumptions (T&amp;D)'!E70)</f>
        <v>17.209280511428574</v>
      </c>
      <c r="G2838" s="147">
        <f>'Assumptions (T&amp;D)'!F69/(1-'Assumptions (T&amp;D)'!F70)</f>
        <v>18.672850888571428</v>
      </c>
      <c r="H2838" s="147">
        <f>'Assumptions (T&amp;D)'!G69/(1-'Assumptions (T&amp;D)'!G70)</f>
        <v>19.712286131428574</v>
      </c>
      <c r="I2838" s="147">
        <f>'Assumptions (T&amp;D)'!H69/(1-'Assumptions (T&amp;D)'!H70)</f>
        <v>23.732831600000004</v>
      </c>
      <c r="J2838" s="147">
        <f>'Assumptions (T&amp;D)'!I69/(1-'Assumptions (T&amp;D)'!I70)</f>
        <v>22.720495364285718</v>
      </c>
      <c r="K2838" s="147">
        <f>'Assumptions (T&amp;D)'!J69/(1-'Assumptions (T&amp;D)'!J70)</f>
        <v>25.186448518571428</v>
      </c>
      <c r="L2838" s="147">
        <f>'Assumptions (T&amp;D)'!K69/(1-'Assumptions (T&amp;D)'!K70)</f>
        <v>24.806590405714289</v>
      </c>
      <c r="M2838" s="147">
        <f>'Assumptions (T&amp;D)'!L69/(1-'Assumptions (T&amp;D)'!L70)</f>
        <v>24.190875614285716</v>
      </c>
      <c r="N2838" s="147">
        <f>'Assumptions (T&amp;D)'!M69/(1-'Assumptions (T&amp;D)'!M70)</f>
        <v>24.837411757142856</v>
      </c>
      <c r="O2838" s="147">
        <f>'Assumptions (T&amp;D)'!N69/(1-'Assumptions (T&amp;D)'!N70)</f>
        <v>28.226010140000003</v>
      </c>
      <c r="P2838" s="147">
        <f>'Assumptions (T&amp;D)'!O69/(1-'Assumptions (T&amp;D)'!O70)</f>
        <v>26.638897287142857</v>
      </c>
      <c r="Q2838" s="147">
        <f>'Assumptions (T&amp;D)'!P69/(1-'Assumptions (T&amp;D)'!P70)</f>
        <v>29.98479524</v>
      </c>
      <c r="R2838" s="147">
        <f>'Assumptions (T&amp;D)'!Q69/(1-'Assumptions (T&amp;D)'!Q70)</f>
        <v>33.084652338571431</v>
      </c>
      <c r="S2838" s="147">
        <f>'Assumptions (T&amp;D)'!R69/(1-'Assumptions (T&amp;D)'!R70)</f>
        <v>35.19376719142857</v>
      </c>
      <c r="T2838" s="147">
        <f>'Assumptions (T&amp;D)'!S69/(1-'Assumptions (T&amp;D)'!S70)</f>
        <v>37.142857142857146</v>
      </c>
      <c r="U2838" s="147">
        <f>'Assumptions (T&amp;D)'!T69/(1-'Assumptions (T&amp;D)'!T70)</f>
        <v>34.245318942457097</v>
      </c>
      <c r="V2838" s="147">
        <f>'Assumptions (T&amp;D)'!U69/(1-'Assumptions (T&amp;D)'!U70)</f>
        <v>34.245318942457097</v>
      </c>
      <c r="W2838" s="147">
        <f>'Assumptions (T&amp;D)'!V69/(1-'Assumptions (T&amp;D)'!V70)</f>
        <v>34.245318942457097</v>
      </c>
      <c r="X2838" s="147">
        <f>'Assumptions (T&amp;D)'!W69/(1-'Assumptions (T&amp;D)'!W70)</f>
        <v>34.245318942457097</v>
      </c>
      <c r="Y2838" s="147">
        <f>'Assumptions (T&amp;D)'!X69/(1-'Assumptions (T&amp;D)'!X70)</f>
        <v>34.245318942457097</v>
      </c>
      <c r="Z2838" s="147">
        <f>'Assumptions (T&amp;D)'!Y69/(1-'Assumptions (T&amp;D)'!Y70)</f>
        <v>34.245318942457097</v>
      </c>
      <c r="AA2838" s="147">
        <f>'Assumptions (T&amp;D)'!Z69/(1-'Assumptions (T&amp;D)'!Z70)</f>
        <v>34.245318942457097</v>
      </c>
      <c r="AB2838" s="147">
        <f>'Assumptions (T&amp;D)'!AA69/(1-'Assumptions (T&amp;D)'!AA70)</f>
        <v>34.245318942457097</v>
      </c>
      <c r="AC2838" s="147">
        <f>'Assumptions (T&amp;D)'!AB69/(1-'Assumptions (T&amp;D)'!AB70)</f>
        <v>34.245318942457097</v>
      </c>
      <c r="AD2838" s="147">
        <f>'Assumptions (T&amp;D)'!AC69/(1-'Assumptions (T&amp;D)'!AC70)</f>
        <v>34.245318942457097</v>
      </c>
      <c r="AE2838" s="147">
        <f>'Assumptions (T&amp;D)'!AD69/(1-'Assumptions (T&amp;D)'!AD70)</f>
        <v>34.245318942457097</v>
      </c>
      <c r="AF2838" s="147">
        <f>'Assumptions (T&amp;D)'!AE69/(1-'Assumptions (T&amp;D)'!AE70)</f>
        <v>34.245318942457097</v>
      </c>
      <c r="AG2838" s="147">
        <f>'Assumptions (T&amp;D)'!AF69/(1-'Assumptions (T&amp;D)'!AF70)</f>
        <v>34.245318942457097</v>
      </c>
      <c r="AH2838" s="147">
        <f>'Assumptions (T&amp;D)'!AG69/(1-'Assumptions (T&amp;D)'!AG70)</f>
        <v>34.245318942457097</v>
      </c>
      <c r="AI2838" s="147">
        <f>'Assumptions (T&amp;D)'!AH69/(1-'Assumptions (T&amp;D)'!AH70)</f>
        <v>34.245318942457097</v>
      </c>
      <c r="AJ2838" s="147">
        <f>'Assumptions (T&amp;D)'!AI69/(1-'Assumptions (T&amp;D)'!AI70)</f>
        <v>34.245318942457097</v>
      </c>
      <c r="AK2838" s="147">
        <f>'Assumptions (T&amp;D)'!AJ69/(1-'Assumptions (T&amp;D)'!AJ70)</f>
        <v>34.245318942457097</v>
      </c>
      <c r="AL2838" s="147">
        <f>'Assumptions (T&amp;D)'!AK69/(1-'Assumptions (T&amp;D)'!AK70)</f>
        <v>34.245318942457097</v>
      </c>
      <c r="AM2838" s="147">
        <f>'Assumptions (T&amp;D)'!AL69/(1-'Assumptions (T&amp;D)'!AL70)</f>
        <v>34.245318942457097</v>
      </c>
      <c r="AN2838" s="147">
        <f>'Assumptions (T&amp;D)'!AM69/(1-'Assumptions (T&amp;D)'!AM70)</f>
        <v>34.245318942457097</v>
      </c>
      <c r="AO2838" s="147">
        <f>'Assumptions (T&amp;D)'!AN69/(1-'Assumptions (T&amp;D)'!AN70)</f>
        <v>34.245318942457097</v>
      </c>
      <c r="AP2838" s="147">
        <f>'Assumptions (T&amp;D)'!AO69/(1-'Assumptions (T&amp;D)'!AO70)</f>
        <v>34.245318942457097</v>
      </c>
      <c r="AQ2838" s="147">
        <f>'Assumptions (T&amp;D)'!AP69/(1-'Assumptions (T&amp;D)'!AP70)</f>
        <v>34.245318942457097</v>
      </c>
      <c r="AR2838" s="147">
        <f>'Assumptions (T&amp;D)'!AQ69/(1-'Assumptions (T&amp;D)'!AQ70)</f>
        <v>34.245318942457097</v>
      </c>
      <c r="AS2838" s="147">
        <f>'Assumptions (T&amp;D)'!AR69/(1-'Assumptions (T&amp;D)'!AR70)</f>
        <v>34.245318942457097</v>
      </c>
      <c r="AT2838" s="147">
        <f>'Assumptions (T&amp;D)'!AS69/(1-'Assumptions (T&amp;D)'!AS70)</f>
        <v>34.245318942457097</v>
      </c>
      <c r="AU2838" s="147">
        <f>'Assumptions (T&amp;D)'!AT69/(1-'Assumptions (T&amp;D)'!AT70)</f>
        <v>34.245318942457097</v>
      </c>
      <c r="AV2838" s="147">
        <f>'Assumptions (T&amp;D)'!AU69/(1-'Assumptions (T&amp;D)'!AU70)</f>
        <v>34.245318942457097</v>
      </c>
      <c r="AW2838" s="147">
        <f>'Assumptions (T&amp;D)'!AV69/(1-'Assumptions (T&amp;D)'!AV70)</f>
        <v>34.245318942457097</v>
      </c>
      <c r="AX2838" s="147">
        <f>'Assumptions (T&amp;D)'!AW69/(1-'Assumptions (T&amp;D)'!AW70)</f>
        <v>34.245318942457097</v>
      </c>
      <c r="AY2838" s="147">
        <f>'Assumptions (T&amp;D)'!AX69/(1-'Assumptions (T&amp;D)'!AX70)</f>
        <v>34.245318942457097</v>
      </c>
      <c r="AZ2838" s="147">
        <f>'Assumptions (T&amp;D)'!AY69/(1-'Assumptions (T&amp;D)'!AY70)</f>
        <v>34.245318942457097</v>
      </c>
      <c r="BA2838" s="147">
        <f>'Assumptions (T&amp;D)'!AZ69/(1-'Assumptions (T&amp;D)'!AZ70)</f>
        <v>34.245318942457097</v>
      </c>
    </row>
    <row r="2839" spans="1:77" ht="15.75" customHeight="1">
      <c r="A2839" s="460" t="s">
        <v>52</v>
      </c>
      <c r="B2839" s="99" t="s">
        <v>201</v>
      </c>
      <c r="C2839" s="147">
        <f>C2838*'Assumptions (T&amp;D)'!$B$95</f>
        <v>6.199957605142858</v>
      </c>
      <c r="D2839" s="147">
        <f>D2838*'Assumptions (T&amp;D)'!$B$95</f>
        <v>6.5485038548571444</v>
      </c>
      <c r="E2839" s="147">
        <f>E2838*'Assumptions (T&amp;D)'!$B$95</f>
        <v>6.484308721714287</v>
      </c>
      <c r="F2839" s="147">
        <f>F2838*'Assumptions (T&amp;D)'!$B$95</f>
        <v>6.8837122045714301</v>
      </c>
      <c r="G2839" s="147">
        <f>G2838*'Assumptions (T&amp;D)'!$B$95</f>
        <v>7.4691403554285714</v>
      </c>
      <c r="H2839" s="147">
        <f>H2838*'Assumptions (T&amp;D)'!$B$95</f>
        <v>7.8849144525714294</v>
      </c>
      <c r="I2839" s="147">
        <f>I2838*'Assumptions (T&amp;D)'!$B$95</f>
        <v>9.4931326400000025</v>
      </c>
      <c r="J2839" s="147">
        <f>J2838*'Assumptions (T&amp;D)'!$B$95</f>
        <v>9.0881981457142871</v>
      </c>
      <c r="K2839" s="147">
        <f>K2838*'Assumptions (T&amp;D)'!$B$95</f>
        <v>10.074579407428573</v>
      </c>
      <c r="L2839" s="147">
        <f>L2838*'Assumptions (T&amp;D)'!$B$95</f>
        <v>9.9226361622857162</v>
      </c>
      <c r="M2839" s="147">
        <f>M2838*'Assumptions (T&amp;D)'!$B$95</f>
        <v>9.6763502457142874</v>
      </c>
      <c r="N2839" s="147">
        <f>N2838*'Assumptions (T&amp;D)'!$B$95</f>
        <v>9.9349647028571439</v>
      </c>
      <c r="O2839" s="147">
        <f>O2838*'Assumptions (T&amp;D)'!$B$95</f>
        <v>11.290404056000002</v>
      </c>
      <c r="P2839" s="147">
        <f>P2838*'Assumptions (T&amp;D)'!$B$95</f>
        <v>10.655558914857144</v>
      </c>
      <c r="Q2839" s="147">
        <f>Q2838*'Assumptions (T&amp;D)'!$B$95</f>
        <v>11.993918096000002</v>
      </c>
      <c r="R2839" s="147">
        <f>R2838*'Assumptions (T&amp;D)'!$B$95</f>
        <v>13.233860935428574</v>
      </c>
      <c r="S2839" s="147">
        <f>S2838*'Assumptions (T&amp;D)'!$B$95</f>
        <v>14.077506876571428</v>
      </c>
      <c r="T2839" s="147">
        <f>T2838*'Assumptions (T&amp;D)'!$B$95</f>
        <v>14.857142857142859</v>
      </c>
      <c r="U2839" s="147">
        <f>U2838*'Assumptions (T&amp;D)'!$B$95</f>
        <v>13.69812757698284</v>
      </c>
      <c r="V2839" s="147">
        <f>V2838*'Assumptions (T&amp;D)'!$B$95</f>
        <v>13.69812757698284</v>
      </c>
      <c r="W2839" s="147">
        <f>W2838*'Assumptions (T&amp;D)'!$B$95</f>
        <v>13.69812757698284</v>
      </c>
      <c r="X2839" s="147">
        <f>X2838*'Assumptions (T&amp;D)'!$B$95</f>
        <v>13.69812757698284</v>
      </c>
      <c r="Y2839" s="147">
        <f>Y2838*'Assumptions (T&amp;D)'!$B$95</f>
        <v>13.69812757698284</v>
      </c>
      <c r="Z2839" s="147">
        <f>Z2838*'Assumptions (T&amp;D)'!$B$95</f>
        <v>13.69812757698284</v>
      </c>
      <c r="AA2839" s="147">
        <f>AA2838*'Assumptions (T&amp;D)'!$B$95</f>
        <v>13.69812757698284</v>
      </c>
      <c r="AB2839" s="147">
        <f>AB2838*'Assumptions (T&amp;D)'!$B$95</f>
        <v>13.69812757698284</v>
      </c>
      <c r="AC2839" s="147">
        <f>AC2838*'Assumptions (T&amp;D)'!$B$95</f>
        <v>13.69812757698284</v>
      </c>
      <c r="AD2839" s="147">
        <f>AD2838*'Assumptions (T&amp;D)'!$B$95</f>
        <v>13.69812757698284</v>
      </c>
      <c r="AE2839" s="147">
        <f>AE2838*'Assumptions (T&amp;D)'!$B$95</f>
        <v>13.69812757698284</v>
      </c>
      <c r="AF2839" s="147">
        <f>AF2838*'Assumptions (T&amp;D)'!$B$95</f>
        <v>13.69812757698284</v>
      </c>
      <c r="AG2839" s="147">
        <f>AG2838*'Assumptions (T&amp;D)'!$B$95</f>
        <v>13.69812757698284</v>
      </c>
      <c r="AH2839" s="147">
        <f>AH2838*'Assumptions (T&amp;D)'!$B$95</f>
        <v>13.69812757698284</v>
      </c>
      <c r="AI2839" s="147">
        <f>AI2838*'Assumptions (T&amp;D)'!$B$95</f>
        <v>13.69812757698284</v>
      </c>
      <c r="AJ2839" s="147">
        <f>AJ2838*'Assumptions (T&amp;D)'!$B$95</f>
        <v>13.69812757698284</v>
      </c>
      <c r="AK2839" s="147">
        <f>AK2838*'Assumptions (T&amp;D)'!$B$95</f>
        <v>13.69812757698284</v>
      </c>
      <c r="AL2839" s="147">
        <f>AL2838*'Assumptions (T&amp;D)'!$B$95</f>
        <v>13.69812757698284</v>
      </c>
      <c r="AM2839" s="147">
        <f>AM2838*'Assumptions (T&amp;D)'!$B$95</f>
        <v>13.69812757698284</v>
      </c>
      <c r="AN2839" s="147">
        <f>AN2838*'Assumptions (T&amp;D)'!$B$95</f>
        <v>13.69812757698284</v>
      </c>
      <c r="AO2839" s="147">
        <f>AO2838*'Assumptions (T&amp;D)'!$B$95</f>
        <v>13.69812757698284</v>
      </c>
      <c r="AP2839" s="147">
        <f>AP2838*'Assumptions (T&amp;D)'!$B$95</f>
        <v>13.69812757698284</v>
      </c>
      <c r="AQ2839" s="147">
        <f>AQ2838*'Assumptions (T&amp;D)'!$B$95</f>
        <v>13.69812757698284</v>
      </c>
      <c r="AR2839" s="147">
        <f>AR2838*'Assumptions (T&amp;D)'!$B$95</f>
        <v>13.69812757698284</v>
      </c>
      <c r="AS2839" s="147">
        <f>AS2838*'Assumptions (T&amp;D)'!$B$95</f>
        <v>13.69812757698284</v>
      </c>
      <c r="AT2839" s="147">
        <f>AT2838*'Assumptions (T&amp;D)'!$B$95</f>
        <v>13.69812757698284</v>
      </c>
      <c r="AU2839" s="147">
        <f>AU2838*'Assumptions (T&amp;D)'!$B$95</f>
        <v>13.69812757698284</v>
      </c>
      <c r="AV2839" s="147">
        <f>AV2838*'Assumptions (T&amp;D)'!$B$95</f>
        <v>13.69812757698284</v>
      </c>
      <c r="AW2839" s="147">
        <f>AW2838*'Assumptions (T&amp;D)'!$B$95</f>
        <v>13.69812757698284</v>
      </c>
      <c r="AX2839" s="147">
        <f>AX2838*'Assumptions (T&amp;D)'!$B$95</f>
        <v>13.69812757698284</v>
      </c>
      <c r="AY2839" s="147">
        <f>AY2838*'Assumptions (T&amp;D)'!$B$95</f>
        <v>13.69812757698284</v>
      </c>
      <c r="AZ2839" s="147">
        <f>AZ2838*'Assumptions (T&amp;D)'!$B$95</f>
        <v>13.69812757698284</v>
      </c>
      <c r="BA2839" s="147">
        <f>BA2838*'Assumptions (T&amp;D)'!$B$95</f>
        <v>13.69812757698284</v>
      </c>
    </row>
    <row r="2840" spans="1:77" ht="15.75" customHeight="1">
      <c r="A2840" s="460" t="s">
        <v>54</v>
      </c>
      <c r="B2840" s="99" t="s">
        <v>201</v>
      </c>
      <c r="C2840" s="147">
        <f>C2838*'Assumptions (T&amp;D)'!$B$96</f>
        <v>9.2999364077142861</v>
      </c>
      <c r="D2840" s="147">
        <f>D2838*'Assumptions (T&amp;D)'!$B$96</f>
        <v>9.8227557822857161</v>
      </c>
      <c r="E2840" s="147">
        <f>E2838*'Assumptions (T&amp;D)'!$B$96</f>
        <v>9.7264630825714296</v>
      </c>
      <c r="F2840" s="147">
        <f>F2838*'Assumptions (T&amp;D)'!$B$96</f>
        <v>10.325568306857145</v>
      </c>
      <c r="G2840" s="147">
        <f>G2838*'Assumptions (T&amp;D)'!$B$96</f>
        <v>11.203710533142857</v>
      </c>
      <c r="H2840" s="147">
        <f>H2838*'Assumptions (T&amp;D)'!$B$96</f>
        <v>11.827371678857144</v>
      </c>
      <c r="I2840" s="147">
        <f>I2838*'Assumptions (T&amp;D)'!$B$96</f>
        <v>14.239698960000002</v>
      </c>
      <c r="J2840" s="147">
        <f>J2838*'Assumptions (T&amp;D)'!$B$96</f>
        <v>13.632297218571431</v>
      </c>
      <c r="K2840" s="147">
        <f>K2838*'Assumptions (T&amp;D)'!$B$96</f>
        <v>15.111869111142855</v>
      </c>
      <c r="L2840" s="147">
        <f>L2838*'Assumptions (T&amp;D)'!$B$96</f>
        <v>14.883954243428573</v>
      </c>
      <c r="M2840" s="147">
        <f>M2838*'Assumptions (T&amp;D)'!$B$96</f>
        <v>14.514525368571428</v>
      </c>
      <c r="N2840" s="147">
        <f>N2838*'Assumptions (T&amp;D)'!$B$96</f>
        <v>14.902447054285712</v>
      </c>
      <c r="O2840" s="147">
        <f>O2838*'Assumptions (T&amp;D)'!$B$96</f>
        <v>16.935606084</v>
      </c>
      <c r="P2840" s="147">
        <f>P2838*'Assumptions (T&amp;D)'!$B$96</f>
        <v>15.983338372285713</v>
      </c>
      <c r="Q2840" s="147">
        <f>Q2838*'Assumptions (T&amp;D)'!$B$96</f>
        <v>17.990877143999999</v>
      </c>
      <c r="R2840" s="147">
        <f>R2838*'Assumptions (T&amp;D)'!$B$96</f>
        <v>19.850791403142857</v>
      </c>
      <c r="S2840" s="147">
        <f>S2838*'Assumptions (T&amp;D)'!$B$96</f>
        <v>21.11626031485714</v>
      </c>
      <c r="T2840" s="147">
        <f>T2838*'Assumptions (T&amp;D)'!$B$96</f>
        <v>22.285714285714288</v>
      </c>
      <c r="U2840" s="147">
        <f>U2838*'Assumptions (T&amp;D)'!$B$96</f>
        <v>20.547191365474259</v>
      </c>
      <c r="V2840" s="147">
        <f>V2838*'Assumptions (T&amp;D)'!$B$96</f>
        <v>20.547191365474259</v>
      </c>
      <c r="W2840" s="147">
        <f>W2838*'Assumptions (T&amp;D)'!$B$96</f>
        <v>20.547191365474259</v>
      </c>
      <c r="X2840" s="147">
        <f>X2838*'Assumptions (T&amp;D)'!$B$96</f>
        <v>20.547191365474259</v>
      </c>
      <c r="Y2840" s="147">
        <f>Y2838*'Assumptions (T&amp;D)'!$B$96</f>
        <v>20.547191365474259</v>
      </c>
      <c r="Z2840" s="147">
        <f>Z2838*'Assumptions (T&amp;D)'!$B$96</f>
        <v>20.547191365474259</v>
      </c>
      <c r="AA2840" s="147">
        <f>AA2838*'Assumptions (T&amp;D)'!$B$96</f>
        <v>20.547191365474259</v>
      </c>
      <c r="AB2840" s="147">
        <f>AB2838*'Assumptions (T&amp;D)'!$B$96</f>
        <v>20.547191365474259</v>
      </c>
      <c r="AC2840" s="147">
        <f>AC2838*'Assumptions (T&amp;D)'!$B$96</f>
        <v>20.547191365474259</v>
      </c>
      <c r="AD2840" s="147">
        <f>AD2838*'Assumptions (T&amp;D)'!$B$96</f>
        <v>20.547191365474259</v>
      </c>
      <c r="AE2840" s="147">
        <f>AE2838*'Assumptions (T&amp;D)'!$B$96</f>
        <v>20.547191365474259</v>
      </c>
      <c r="AF2840" s="147">
        <f>AF2838*'Assumptions (T&amp;D)'!$B$96</f>
        <v>20.547191365474259</v>
      </c>
      <c r="AG2840" s="147">
        <f>AG2838*'Assumptions (T&amp;D)'!$B$96</f>
        <v>20.547191365474259</v>
      </c>
      <c r="AH2840" s="147">
        <f>AH2838*'Assumptions (T&amp;D)'!$B$96</f>
        <v>20.547191365474259</v>
      </c>
      <c r="AI2840" s="147">
        <f>AI2838*'Assumptions (T&amp;D)'!$B$96</f>
        <v>20.547191365474259</v>
      </c>
      <c r="AJ2840" s="147">
        <f>AJ2838*'Assumptions (T&amp;D)'!$B$96</f>
        <v>20.547191365474259</v>
      </c>
      <c r="AK2840" s="147">
        <f>AK2838*'Assumptions (T&amp;D)'!$B$96</f>
        <v>20.547191365474259</v>
      </c>
      <c r="AL2840" s="147">
        <f>AL2838*'Assumptions (T&amp;D)'!$B$96</f>
        <v>20.547191365474259</v>
      </c>
      <c r="AM2840" s="147">
        <f>AM2838*'Assumptions (T&amp;D)'!$B$96</f>
        <v>20.547191365474259</v>
      </c>
      <c r="AN2840" s="147">
        <f>AN2838*'Assumptions (T&amp;D)'!$B$96</f>
        <v>20.547191365474259</v>
      </c>
      <c r="AO2840" s="147">
        <f>AO2838*'Assumptions (T&amp;D)'!$B$96</f>
        <v>20.547191365474259</v>
      </c>
      <c r="AP2840" s="147">
        <f>AP2838*'Assumptions (T&amp;D)'!$B$96</f>
        <v>20.547191365474259</v>
      </c>
      <c r="AQ2840" s="147">
        <f>AQ2838*'Assumptions (T&amp;D)'!$B$96</f>
        <v>20.547191365474259</v>
      </c>
      <c r="AR2840" s="147">
        <f>AR2838*'Assumptions (T&amp;D)'!$B$96</f>
        <v>20.547191365474259</v>
      </c>
      <c r="AS2840" s="147">
        <f>AS2838*'Assumptions (T&amp;D)'!$B$96</f>
        <v>20.547191365474259</v>
      </c>
      <c r="AT2840" s="147">
        <f>AT2838*'Assumptions (T&amp;D)'!$B$96</f>
        <v>20.547191365474259</v>
      </c>
      <c r="AU2840" s="147">
        <f>AU2838*'Assumptions (T&amp;D)'!$B$96</f>
        <v>20.547191365474259</v>
      </c>
      <c r="AV2840" s="147">
        <f>AV2838*'Assumptions (T&amp;D)'!$B$96</f>
        <v>20.547191365474259</v>
      </c>
      <c r="AW2840" s="147">
        <f>AW2838*'Assumptions (T&amp;D)'!$B$96</f>
        <v>20.547191365474259</v>
      </c>
      <c r="AX2840" s="147">
        <f>AX2838*'Assumptions (T&amp;D)'!$B$96</f>
        <v>20.547191365474259</v>
      </c>
      <c r="AY2840" s="147">
        <f>AY2838*'Assumptions (T&amp;D)'!$B$96</f>
        <v>20.547191365474259</v>
      </c>
      <c r="AZ2840" s="147">
        <f>AZ2838*'Assumptions (T&amp;D)'!$B$96</f>
        <v>20.547191365474259</v>
      </c>
      <c r="BA2840" s="147">
        <f>BA2838*'Assumptions (T&amp;D)'!$B$96</f>
        <v>20.547191365474259</v>
      </c>
    </row>
    <row r="2841" spans="1:77" ht="15.75" customHeight="1">
      <c r="A2841" s="460" t="s">
        <v>336</v>
      </c>
      <c r="B2841" s="99" t="s">
        <v>201</v>
      </c>
      <c r="C2841" s="91">
        <f t="array" ref="C2841">SUM(IF(ISERROR(C2842:C2892),"",C2842:C2892))</f>
        <v>-0.29276903141414301</v>
      </c>
      <c r="D2841" s="91">
        <f t="array" ref="D2841">SUM(IF(ISERROR(D2842:D2892),"",D2842:D2892))</f>
        <v>-0.6159033411266206</v>
      </c>
      <c r="E2841" s="91">
        <f t="array" ref="E2841">SUM(IF(ISERROR(E2842:E2892),"",E2842:E2892))</f>
        <v>-0.95135516353977856</v>
      </c>
      <c r="F2841" s="91">
        <f t="array" ref="F2841">SUM(IF(ISERROR(F2842:F2892),"",F2842:F2892))</f>
        <v>-1.3216012330657276</v>
      </c>
      <c r="G2841" s="91">
        <f t="array" ref="G2841">SUM(IF(ISERROR(G2842:G2892),"",G2842:G2892))</f>
        <v>-1.7370785722936914</v>
      </c>
      <c r="H2841" s="91">
        <f t="array" ref="H2841">SUM(IF(ISERROR(H2842:H2892),"",H2842:H2892))</f>
        <v>-2.1919244096607238</v>
      </c>
      <c r="I2841" s="91">
        <f t="array" ref="I2841">SUM(IF(ISERROR(I2842:I2892),"",I2842:I2892))</f>
        <v>-2.7443173114932606</v>
      </c>
      <c r="J2841" s="91">
        <f t="array" ref="J2841">SUM(IF(ISERROR(J2842:J2892),"",J2842:J2892))</f>
        <v>-3.3038274099805789</v>
      </c>
      <c r="K2841" s="91">
        <f t="array" ref="K2841">SUM(IF(ISERROR(K2842:K2892),"",K2842:K2892))</f>
        <v>-3.936492280285818</v>
      </c>
      <c r="L2841" s="91">
        <f t="array" ref="L2841">SUM(IF(ISERROR(L2842:L2892),"",L2842:L2892))</f>
        <v>-4.5920337995288412</v>
      </c>
      <c r="M2841" s="91">
        <f t="array" ref="M2841">SUM(IF(ISERROR(M2842:M2892),"",M2842:M2892))</f>
        <v>-5.2670836405659855</v>
      </c>
      <c r="N2841" s="91">
        <f t="array" ref="N2841">SUM(IF(ISERROR(N2842:N2892),"",N2842:N2892))</f>
        <v>-5.9864104170937305</v>
      </c>
      <c r="O2841" s="91">
        <f t="array" ref="O2841">SUM(IF(ISERROR(O2842:O2892),"",O2842:O2892))</f>
        <v>-6.803910599387085</v>
      </c>
      <c r="P2841" s="91">
        <f t="array" ref="P2841">SUM(IF(ISERROR(P2842:P2892),"",P2842:P2892))</f>
        <v>-7.6302639325993775</v>
      </c>
      <c r="Q2841" s="91">
        <f t="array" ref="Q2841">SUM(IF(ISERROR(Q2842:Q2892),"",Q2842:Q2892))</f>
        <v>-8.5590678879220228</v>
      </c>
      <c r="R2841" s="91">
        <f t="array" ref="R2841">SUM(IF(ISERROR(R2842:R2892),"",R2842:R2892))</f>
        <v>-9.0032745209465173</v>
      </c>
      <c r="S2841" s="91">
        <f t="array" ref="S2841">SUM(IF(ISERROR(S2842:S2892),"",S2842:S2892))</f>
        <v>-9.4754041912539755</v>
      </c>
      <c r="T2841" s="91">
        <f t="array" ref="T2841">SUM(IF(ISERROR(T2842:T2892),"",T2842:T2892))</f>
        <v>-10.012855952166097</v>
      </c>
      <c r="U2841" s="91">
        <f t="array" ref="U2841">SUM(IF(ISERROR(U2842:U2892),"",U2842:U2892))</f>
        <v>-10.483274704408981</v>
      </c>
      <c r="V2841" s="91">
        <f t="array" ref="V2841">SUM(IF(ISERROR(V2842:V2892),"",V2842:V2892))</f>
        <v>-10.920585928818154</v>
      </c>
      <c r="W2841" s="91">
        <f t="array" ref="W2841">SUM(IF(ISERROR(W2842:W2892),"",W2842:W2892))</f>
        <v>-11.339286842246734</v>
      </c>
      <c r="X2841" s="91">
        <f t="array" ref="X2841">SUM(IF(ISERROR(X2842:X2892),"",X2842:X2892))</f>
        <v>-11.625543797969746</v>
      </c>
      <c r="Y2841" s="91">
        <f t="array" ref="Y2841">SUM(IF(ISERROR(Y2842:Y2892),"",Y2842:Y2892))</f>
        <v>-11.963753813750435</v>
      </c>
      <c r="Z2841" s="91">
        <f t="array" ref="Z2841">SUM(IF(ISERROR(Z2842:Z2892),"",Z2842:Z2892))</f>
        <v>-12.224597653209505</v>
      </c>
      <c r="AA2841" s="91">
        <f t="array" ref="AA2841">SUM(IF(ISERROR(AA2842:AA2892),"",AA2842:AA2892))</f>
        <v>-12.51222381158888</v>
      </c>
      <c r="AB2841" s="91">
        <f t="array" ref="AB2841">SUM(IF(ISERROR(AB2842:AB2892),"",AB2842:AB2892))</f>
        <v>-12.836840693898347</v>
      </c>
      <c r="AC2841" s="91">
        <f t="array" ref="AC2841">SUM(IF(ISERROR(AC2842:AC2892),"",AC2842:AC2892))</f>
        <v>-13.152380623361884</v>
      </c>
      <c r="AD2841" s="91">
        <f t="array" ref="AD2841">SUM(IF(ISERROR(AD2842:AD2892),"",AD2842:AD2892))</f>
        <v>-13.354519946320115</v>
      </c>
      <c r="AE2841" s="91">
        <f t="array" ref="AE2841">SUM(IF(ISERROR(AE2842:AE2892),"",AE2842:AE2892))</f>
        <v>-13.626394139063146</v>
      </c>
      <c r="AF2841" s="91">
        <f t="array" ref="AF2841">SUM(IF(ISERROR(AF2842:AF2892),"",AF2842:AF2892))</f>
        <v>-13.784411456074414</v>
      </c>
      <c r="AG2841" s="91">
        <f t="array" ref="AG2841">SUM(IF(ISERROR(AG2842:AG2892),"",AG2842:AG2892))</f>
        <v>-13.832485803288408</v>
      </c>
      <c r="AH2841" s="91">
        <f t="array" ref="AH2841">SUM(IF(ISERROR(AH2842:AH2892),"",AH2842:AH2892))</f>
        <v>-13.802932581408891</v>
      </c>
      <c r="AI2841" s="91">
        <f t="array" ref="AI2841">SUM(IF(ISERROR(AI2842:AI2892),"",AI2842:AI2892))</f>
        <v>-13.69812757698284</v>
      </c>
      <c r="AJ2841" s="91">
        <f t="array" ref="AJ2841">SUM(IF(ISERROR(AJ2842:AJ2892),"",AJ2842:AJ2892))</f>
        <v>-13.69812757698284</v>
      </c>
      <c r="AK2841" s="91">
        <f t="array" ref="AK2841">SUM(IF(ISERROR(AK2842:AK2892),"",AK2842:AK2892))</f>
        <v>-13.69812757698284</v>
      </c>
      <c r="AL2841" s="91">
        <f t="array" ref="AL2841">SUM(IF(ISERROR(AL2842:AL2892),"",AL2842:AL2892))</f>
        <v>-13.69812757698284</v>
      </c>
      <c r="AM2841" s="91">
        <f t="array" ref="AM2841">SUM(IF(ISERROR(AM2842:AM2892),"",AM2842:AM2892))</f>
        <v>-13.69812757698284</v>
      </c>
      <c r="AN2841" s="91">
        <f t="array" ref="AN2841">SUM(IF(ISERROR(AN2842:AN2892),"",AN2842:AN2892))</f>
        <v>-13.69812757698284</v>
      </c>
      <c r="AO2841" s="91">
        <f t="array" ref="AO2841">SUM(IF(ISERROR(AO2842:AO2892),"",AO2842:AO2892))</f>
        <v>-13.69812757698284</v>
      </c>
      <c r="AP2841" s="91">
        <f t="array" ref="AP2841">SUM(IF(ISERROR(AP2842:AP2892),"",AP2842:AP2892))</f>
        <v>-13.69812757698284</v>
      </c>
      <c r="AQ2841" s="91">
        <f t="array" ref="AQ2841">SUM(IF(ISERROR(AQ2842:AQ2892),"",AQ2842:AQ2892))</f>
        <v>-13.69812757698284</v>
      </c>
      <c r="AR2841" s="91">
        <f t="array" ref="AR2841">SUM(IF(ISERROR(AR2842:AR2892),"",AR2842:AR2892))</f>
        <v>-13.69812757698284</v>
      </c>
      <c r="AS2841" s="91">
        <f t="array" ref="AS2841">SUM(IF(ISERROR(AS2842:AS2892),"",AS2842:AS2892))</f>
        <v>-13.69812757698284</v>
      </c>
      <c r="AT2841" s="91">
        <f t="array" ref="AT2841">SUM(IF(ISERROR(AT2842:AT2892),"",AT2842:AT2892))</f>
        <v>-13.69812757698284</v>
      </c>
      <c r="AU2841" s="91">
        <f t="array" ref="AU2841">SUM(IF(ISERROR(AU2842:AU2892),"",AU2842:AU2892))</f>
        <v>-13.69812757698284</v>
      </c>
      <c r="AV2841" s="91">
        <f t="array" ref="AV2841">SUM(IF(ISERROR(AV2842:AV2892),"",AV2842:AV2892))</f>
        <v>-13.69812757698284</v>
      </c>
      <c r="AW2841" s="91">
        <f t="array" ref="AW2841">SUM(IF(ISERROR(AW2842:AW2892),"",AW2842:AW2892))</f>
        <v>-13.69812757698284</v>
      </c>
      <c r="AX2841" s="91">
        <f t="array" ref="AX2841">SUM(IF(ISERROR(AX2842:AX2892),"",AX2842:AX2892))</f>
        <v>-13.69812757698284</v>
      </c>
      <c r="AY2841" s="91">
        <f t="array" ref="AY2841">SUM(IF(ISERROR(AY2842:AY2892),"",AY2842:AY2892))</f>
        <v>-13.69812757698284</v>
      </c>
      <c r="AZ2841" s="91">
        <f t="array" ref="AZ2841">SUM(IF(ISERROR(AZ2842:AZ2892),"",AZ2842:AZ2892))</f>
        <v>-13.69812757698284</v>
      </c>
      <c r="BA2841" s="91">
        <f t="array" ref="BA2841">SUM(IF(ISERROR(BA2842:BA2892),"",BA2842:BA2892))</f>
        <v>-13.69812757698284</v>
      </c>
      <c r="BB2841" s="91">
        <f t="array" ref="BB2841">SUM(IF(ISERROR(BB2842:BB2892),"",BB2842:BB2892))</f>
        <v>-13.051286453492896</v>
      </c>
      <c r="BC2841" s="91">
        <f t="array" ref="BC2841">SUM(IF(ISERROR(BC2842:BC2892),"",BC2842:BC2892))</f>
        <v>-12.373720376637179</v>
      </c>
      <c r="BD2841" s="91">
        <f t="array" ref="BD2841">SUM(IF(ISERROR(BD2842:BD2892),"",BD2842:BD2892))</f>
        <v>-11.663969911130817</v>
      </c>
      <c r="BE2841" s="91">
        <f t="array" ref="BE2841">SUM(IF(ISERROR(BE2842:BE2892),"",BE2842:BE2892))</f>
        <v>-10.920506298512901</v>
      </c>
      <c r="BF2841" s="91">
        <f t="array" ref="BF2841">SUM(IF(ISERROR(BF2842:BF2892),"",BF2842:BF2892))</f>
        <v>-10.141728164295635</v>
      </c>
      <c r="BG2841" s="91">
        <f t="array" ref="BG2841">SUM(IF(ISERROR(BG2842:BG2892),"",BG2842:BG2892))</f>
        <v>-9.3259580687030486</v>
      </c>
      <c r="BH2841" s="91">
        <f t="array" ref="BH2841">SUM(IF(ISERROR(BH2842:BH2892),"",BH2842:BH2892))</f>
        <v>-8.4714388935698146</v>
      </c>
      <c r="BI2841" s="91">
        <f t="array" ref="BI2841">SUM(IF(ISERROR(BI2842:BI2892),"",BI2842:BI2892))</f>
        <v>-7.5763300576177528</v>
      </c>
      <c r="BJ2841" s="91">
        <f t="array" ref="BJ2841">SUM(IF(ISERROR(BJ2842:BJ2892),"",BJ2842:BJ2892))</f>
        <v>-6.6387035519579669</v>
      </c>
      <c r="BK2841" s="91">
        <f t="array" ref="BK2841">SUM(IF(ISERROR(BK2842:BK2892),"",BK2842:BK2892))</f>
        <v>-5.6565397872793417</v>
      </c>
      <c r="BL2841" s="91">
        <f t="array" ref="BL2841">SUM(IF(ISERROR(BL2842:BL2892),"",BL2842:BL2892))</f>
        <v>-4.6277232437784814</v>
      </c>
      <c r="BM2841" s="91">
        <f t="array" ref="BM2841">SUM(IF(ISERROR(BM2842:BM2892),"",BM2842:BM2892))</f>
        <v>-3.5500379144613303</v>
      </c>
      <c r="BN2841" s="91">
        <f t="array" ref="BN2841">SUM(IF(ISERROR(BN2842:BN2892),"",BN2842:BN2892))</f>
        <v>-2.421162532001615</v>
      </c>
      <c r="BO2841" s="91">
        <f t="array" ref="BO2841">SUM(IF(ISERROR(BO2842:BO2892),"",BO2842:BO2892))</f>
        <v>-1.2386655688750632</v>
      </c>
      <c r="BP2841" s="91"/>
      <c r="BQ2841" s="91"/>
      <c r="BR2841" s="91"/>
      <c r="BS2841" s="91"/>
      <c r="BT2841" s="91"/>
      <c r="BU2841" s="91"/>
      <c r="BV2841" s="91"/>
      <c r="BW2841" s="91"/>
      <c r="BX2841" s="91"/>
      <c r="BY2841" s="91"/>
    </row>
    <row r="2842" spans="1:77" ht="15.75" hidden="1" customHeight="1" outlineLevel="1">
      <c r="A2842" s="460"/>
      <c r="B2842" s="99"/>
      <c r="C2842" s="377">
        <f>PPMT('Assumptions (T&amp;D)'!$B$97,Model!W$1,'Assumptions (T&amp;D)'!$B$100,Model!$C$2839)</f>
        <v>-0.29276903141414301</v>
      </c>
      <c r="D2842" s="377">
        <f>PPMT('Assumptions (T&amp;D)'!$B$97,Model!X$1,'Assumptions (T&amp;D)'!$B$100,Model!$C$2839)</f>
        <v>-0.30667556040631483</v>
      </c>
      <c r="E2842" s="377">
        <f>PPMT('Assumptions (T&amp;D)'!$B$97,Model!Y$1,'Assumptions (T&amp;D)'!$B$100,Model!$C$2839)</f>
        <v>-0.32124264952561482</v>
      </c>
      <c r="F2842" s="377">
        <f>PPMT('Assumptions (T&amp;D)'!$B$97,Model!Z$1,'Assumptions (T&amp;D)'!$B$100,Model!$C$2839)</f>
        <v>-0.33650167537808146</v>
      </c>
      <c r="G2842" s="377">
        <f>PPMT('Assumptions (T&amp;D)'!$B$97,Model!AA$1,'Assumptions (T&amp;D)'!$B$100,Model!$C$2839)</f>
        <v>-0.35248550495854031</v>
      </c>
      <c r="H2842" s="377">
        <f>PPMT('Assumptions (T&amp;D)'!$B$97,Model!AB$1,'Assumptions (T&amp;D)'!$B$100,Model!$C$2839)</f>
        <v>-0.36922856644407098</v>
      </c>
      <c r="I2842" s="377">
        <f>PPMT('Assumptions (T&amp;D)'!$B$97,Model!AC$1,'Assumptions (T&amp;D)'!$B$100,Model!$C$2839)</f>
        <v>-0.38676692335016438</v>
      </c>
      <c r="J2842" s="377">
        <f>PPMT('Assumptions (T&amp;D)'!$B$97,Model!AD$1,'Assumptions (T&amp;D)'!$B$100,Model!$C$2839)</f>
        <v>-0.40513835220929717</v>
      </c>
      <c r="K2842" s="377">
        <f>PPMT('Assumptions (T&amp;D)'!$B$97,Model!AE$1,'Assumptions (T&amp;D)'!$B$100,Model!$C$2839)</f>
        <v>-0.42438242393923881</v>
      </c>
      <c r="L2842" s="377">
        <f>PPMT('Assumptions (T&amp;D)'!$B$97,Model!AF$1,'Assumptions (T&amp;D)'!$B$100,Model!$C$2839)</f>
        <v>-0.44454058907635263</v>
      </c>
      <c r="M2842" s="377">
        <f>PPMT('Assumptions (T&amp;D)'!$B$97,Model!AG$1,'Assumptions (T&amp;D)'!$B$100,Model!$C$2839)</f>
        <v>-0.46565626705747942</v>
      </c>
      <c r="N2842" s="377">
        <f>PPMT('Assumptions (T&amp;D)'!$B$97,Model!AH$1,'Assumptions (T&amp;D)'!$B$100,Model!$C$2839)</f>
        <v>-0.48777493974270969</v>
      </c>
      <c r="O2842" s="377">
        <f>PPMT('Assumptions (T&amp;D)'!$B$97,Model!AI$1,'Assumptions (T&amp;D)'!$B$100,Model!$C$2839)</f>
        <v>-0.51094424938048844</v>
      </c>
      <c r="P2842" s="377">
        <f>PPMT('Assumptions (T&amp;D)'!$B$97,Model!AJ$1,'Assumptions (T&amp;D)'!$B$100,Model!$C$2839)</f>
        <v>-0.53521410122606161</v>
      </c>
      <c r="Q2842" s="377">
        <f>PPMT('Assumptions (T&amp;D)'!$B$97,Model!AK$1,'Assumptions (T&amp;D)'!$B$100,Model!$C$2839)</f>
        <v>-0.56063677103429954</v>
      </c>
      <c r="R2842" s="377"/>
      <c r="S2842" s="377"/>
      <c r="T2842" s="377"/>
      <c r="U2842" s="377"/>
      <c r="V2842" s="377"/>
      <c r="W2842" s="377"/>
      <c r="X2842" s="377"/>
      <c r="Y2842" s="377"/>
      <c r="Z2842" s="377"/>
      <c r="AA2842" s="377"/>
      <c r="AB2842" s="377"/>
    </row>
    <row r="2843" spans="1:77" ht="15.75" hidden="1" customHeight="1" outlineLevel="1">
      <c r="A2843" s="460"/>
      <c r="B2843" s="99"/>
      <c r="C2843" s="377"/>
      <c r="D2843" s="377">
        <f>PPMT('Assumptions (T&amp;D)'!$B$97,Model!W$1,'Assumptions (T&amp;D)'!$B$100,Model!$D$2839)</f>
        <v>-0.30922778072030582</v>
      </c>
      <c r="E2843" s="377">
        <f>PPMT('Assumptions (T&amp;D)'!$B$97,Model!X$1,'Assumptions (T&amp;D)'!$B$100,Model!$D$2839)</f>
        <v>-0.32391610030452034</v>
      </c>
      <c r="F2843" s="377">
        <f>PPMT('Assumptions (T&amp;D)'!$B$97,Model!Y$1,'Assumptions (T&amp;D)'!$B$100,Model!$D$2839)</f>
        <v>-0.33930211506898506</v>
      </c>
      <c r="G2843" s="377">
        <f>PPMT('Assumptions (T&amp;D)'!$B$97,Model!Z$1,'Assumptions (T&amp;D)'!$B$100,Model!$D$2839)</f>
        <v>-0.35541896553476182</v>
      </c>
      <c r="H2843" s="377">
        <f>PPMT('Assumptions (T&amp;D)'!$B$97,Model!AA$1,'Assumptions (T&amp;D)'!$B$100,Model!$D$2839)</f>
        <v>-0.37230136639766298</v>
      </c>
      <c r="I2843" s="377">
        <f>PPMT('Assumptions (T&amp;D)'!$B$97,Model!AB$1,'Assumptions (T&amp;D)'!$B$100,Model!$D$2839)</f>
        <v>-0.38998568130155198</v>
      </c>
      <c r="J2843" s="377">
        <f>PPMT('Assumptions (T&amp;D)'!$B$97,Model!AC$1,'Assumptions (T&amp;D)'!$B$100,Model!$D$2839)</f>
        <v>-0.40851000116337571</v>
      </c>
      <c r="K2843" s="377">
        <f>PPMT('Assumptions (T&amp;D)'!$B$97,Model!AD$1,'Assumptions (T&amp;D)'!$B$100,Model!$D$2839)</f>
        <v>-0.42791422621863606</v>
      </c>
      <c r="L2843" s="377">
        <f>PPMT('Assumptions (T&amp;D)'!$B$97,Model!AE$1,'Assumptions (T&amp;D)'!$B$100,Model!$D$2839)</f>
        <v>-0.44824015196402128</v>
      </c>
      <c r="M2843" s="377">
        <f>PPMT('Assumptions (T&amp;D)'!$B$97,Model!AF$1,'Assumptions (T&amp;D)'!$B$100,Model!$D$2839)</f>
        <v>-0.46953155918231232</v>
      </c>
      <c r="N2843" s="377">
        <f>PPMT('Assumptions (T&amp;D)'!$B$97,Model!AG$1,'Assumptions (T&amp;D)'!$B$100,Model!$D$2839)</f>
        <v>-0.49183430824347218</v>
      </c>
      <c r="O2843" s="377">
        <f>PPMT('Assumptions (T&amp;D)'!$B$97,Model!AH$1,'Assumptions (T&amp;D)'!$B$100,Model!$D$2839)</f>
        <v>-0.51519643788503711</v>
      </c>
      <c r="P2843" s="377">
        <f>PPMT('Assumptions (T&amp;D)'!$B$97,Model!AI$1,'Assumptions (T&amp;D)'!$B$100,Model!$D$2839)</f>
        <v>-0.5396682686845764</v>
      </c>
      <c r="Q2843" s="377">
        <f>PPMT('Assumptions (T&amp;D)'!$B$97,Model!AJ$1,'Assumptions (T&amp;D)'!$B$100,Model!$D$2839)</f>
        <v>-0.56530251144709376</v>
      </c>
      <c r="R2843" s="377">
        <f>PPMT('Assumptions (T&amp;D)'!$B$97,Model!AK$1,'Assumptions (T&amp;D)'!$B$100,Model!$D$2839)</f>
        <v>-0.5921543807408306</v>
      </c>
      <c r="S2843" s="377"/>
      <c r="T2843" s="377"/>
      <c r="U2843" s="377"/>
      <c r="V2843" s="377"/>
      <c r="W2843" s="377"/>
      <c r="X2843" s="377"/>
      <c r="Y2843" s="377"/>
      <c r="Z2843" s="377"/>
      <c r="AA2843" s="377"/>
      <c r="AB2843" s="377"/>
    </row>
    <row r="2844" spans="1:77" ht="15.75" hidden="1" customHeight="1" outlineLevel="1">
      <c r="A2844" s="460"/>
      <c r="B2844" s="99"/>
      <c r="C2844" s="377"/>
      <c r="D2844" s="377"/>
      <c r="E2844" s="377">
        <f>PPMT('Assumptions (T&amp;D)'!$B$97,Model!W$1,'Assumptions (T&amp;D)'!$B$100,Model!$E$2839)</f>
        <v>-0.30619641370964329</v>
      </c>
      <c r="F2844" s="377">
        <f>PPMT('Assumptions (T&amp;D)'!$B$97,Model!X$1,'Assumptions (T&amp;D)'!$B$100,Model!$E$2839)</f>
        <v>-0.32074074336085134</v>
      </c>
      <c r="G2844" s="377">
        <f>PPMT('Assumptions (T&amp;D)'!$B$97,Model!Y$1,'Assumptions (T&amp;D)'!$B$100,Model!$E$2839)</f>
        <v>-0.33597592867049181</v>
      </c>
      <c r="H2844" s="377">
        <f>PPMT('Assumptions (T&amp;D)'!$B$97,Model!Z$1,'Assumptions (T&amp;D)'!$B$100,Model!$E$2839)</f>
        <v>-0.35193478528234012</v>
      </c>
      <c r="I2844" s="377">
        <f>PPMT('Assumptions (T&amp;D)'!$B$97,Model!AA$1,'Assumptions (T&amp;D)'!$B$100,Model!$E$2839)</f>
        <v>-0.36865168758325129</v>
      </c>
      <c r="J2844" s="377">
        <f>PPMT('Assumptions (T&amp;D)'!$B$97,Model!AB$1,'Assumptions (T&amp;D)'!$B$100,Model!$E$2839)</f>
        <v>-0.38616264274345574</v>
      </c>
      <c r="K2844" s="377">
        <f>PPMT('Assumptions (T&amp;D)'!$B$97,Model!AC$1,'Assumptions (T&amp;D)'!$B$100,Model!$E$2839)</f>
        <v>-0.40450536827376987</v>
      </c>
      <c r="L2844" s="377">
        <f>PPMT('Assumptions (T&amp;D)'!$B$97,Model!AD$1,'Assumptions (T&amp;D)'!$B$100,Model!$E$2839)</f>
        <v>-0.42371937326677389</v>
      </c>
      <c r="M2844" s="377">
        <f>PPMT('Assumptions (T&amp;D)'!$B$97,Model!AE$1,'Assumptions (T&amp;D)'!$B$100,Model!$E$2839)</f>
        <v>-0.44384604349694567</v>
      </c>
      <c r="N2844" s="377">
        <f>PPMT('Assumptions (T&amp;D)'!$B$97,Model!AF$1,'Assumptions (T&amp;D)'!$B$100,Model!$E$2839)</f>
        <v>-0.46492873056305062</v>
      </c>
      <c r="O2844" s="377">
        <f>PPMT('Assumptions (T&amp;D)'!$B$97,Model!AG$1,'Assumptions (T&amp;D)'!$B$100,Model!$E$2839)</f>
        <v>-0.4870128452647956</v>
      </c>
      <c r="P2844" s="377">
        <f>PPMT('Assumptions (T&amp;D)'!$B$97,Model!AH$1,'Assumptions (T&amp;D)'!$B$100,Model!$E$2839)</f>
        <v>-0.51014595541487329</v>
      </c>
      <c r="Q2844" s="377">
        <f>PPMT('Assumptions (T&amp;D)'!$B$97,Model!AI$1,'Assumptions (T&amp;D)'!$B$100,Model!$E$2839)</f>
        <v>-0.53437788829707988</v>
      </c>
      <c r="R2844" s="377">
        <f>PPMT('Assumptions (T&amp;D)'!$B$97,Model!AJ$1,'Assumptions (T&amp;D)'!$B$100,Model!$E$2839)</f>
        <v>-0.55976083799119114</v>
      </c>
      <c r="S2844" s="377">
        <f>PPMT('Assumptions (T&amp;D)'!$B$97,Model!AK$1,'Assumptions (T&amp;D)'!$B$100,Model!$E$2839)</f>
        <v>-0.58634947779577262</v>
      </c>
      <c r="T2844" s="377"/>
      <c r="U2844" s="377"/>
      <c r="V2844" s="377"/>
      <c r="W2844" s="377"/>
      <c r="X2844" s="377"/>
      <c r="Y2844" s="377"/>
      <c r="Z2844" s="377"/>
      <c r="AA2844" s="377"/>
      <c r="AB2844" s="377"/>
      <c r="AC2844" s="377"/>
    </row>
    <row r="2845" spans="1:77" ht="15.75" hidden="1" customHeight="1" outlineLevel="1">
      <c r="A2845" s="460"/>
      <c r="B2845" s="99"/>
      <c r="C2845" s="377"/>
      <c r="D2845" s="377"/>
      <c r="E2845" s="377"/>
      <c r="F2845" s="377">
        <f>PPMT('Assumptions (T&amp;D)'!$B$97,Model!W$1,'Assumptions (T&amp;D)'!$B$100,Model!$F$2839)</f>
        <v>-0.32505669925780978</v>
      </c>
      <c r="G2845" s="377">
        <f>PPMT('Assumptions (T&amp;D)'!$B$97,Model!X$1,'Assumptions (T&amp;D)'!$B$100,Model!$F$2839)</f>
        <v>-0.34049689247255577</v>
      </c>
      <c r="H2845" s="377">
        <f>PPMT('Assumptions (T&amp;D)'!$B$97,Model!Y$1,'Assumptions (T&amp;D)'!$B$100,Model!$F$2839)</f>
        <v>-0.35667049486500219</v>
      </c>
      <c r="I2845" s="377">
        <f>PPMT('Assumptions (T&amp;D)'!$B$97,Model!Z$1,'Assumptions (T&amp;D)'!$B$100,Model!$F$2839)</f>
        <v>-0.37361234337108978</v>
      </c>
      <c r="J2845" s="377">
        <f>PPMT('Assumptions (T&amp;D)'!$B$97,Model!AA$1,'Assumptions (T&amp;D)'!$B$100,Model!$F$2839)</f>
        <v>-0.39135892968121649</v>
      </c>
      <c r="K2845" s="377">
        <f>PPMT('Assumptions (T&amp;D)'!$B$97,Model!AB$1,'Assumptions (T&amp;D)'!$B$100,Model!$F$2839)</f>
        <v>-0.40994847884107433</v>
      </c>
      <c r="L2845" s="377">
        <f>PPMT('Assumptions (T&amp;D)'!$B$97,Model!AC$1,'Assumptions (T&amp;D)'!$B$100,Model!$F$2839)</f>
        <v>-0.4294210315860254</v>
      </c>
      <c r="M2845" s="377">
        <f>PPMT('Assumptions (T&amp;D)'!$B$97,Model!AD$1,'Assumptions (T&amp;D)'!$B$100,Model!$F$2839)</f>
        <v>-0.44981853058636151</v>
      </c>
      <c r="N2845" s="377">
        <f>PPMT('Assumptions (T&amp;D)'!$B$97,Model!AE$1,'Assumptions (T&amp;D)'!$B$100,Model!$F$2839)</f>
        <v>-0.47118491078921371</v>
      </c>
      <c r="O2845" s="377">
        <f>PPMT('Assumptions (T&amp;D)'!$B$97,Model!AF$1,'Assumptions (T&amp;D)'!$B$100,Model!$F$2839)</f>
        <v>-0.49356619405170143</v>
      </c>
      <c r="P2845" s="377">
        <f>PPMT('Assumptions (T&amp;D)'!$B$97,Model!AG$1,'Assumptions (T&amp;D)'!$B$100,Model!$F$2839)</f>
        <v>-0.51701058826915725</v>
      </c>
      <c r="Q2845" s="377">
        <f>PPMT('Assumptions (T&amp;D)'!$B$97,Model!AH$1,'Assumptions (T&amp;D)'!$B$100,Model!$F$2839)</f>
        <v>-0.54156859121194212</v>
      </c>
      <c r="R2845" s="377">
        <f>PPMT('Assumptions (T&amp;D)'!$B$97,Model!AI$1,'Assumptions (T&amp;D)'!$B$100,Model!$F$2839)</f>
        <v>-0.56729309929450944</v>
      </c>
      <c r="S2845" s="377">
        <f>PPMT('Assumptions (T&amp;D)'!$B$97,Model!AJ$1,'Assumptions (T&amp;D)'!$B$100,Model!$F$2839)</f>
        <v>-0.59423952151099868</v>
      </c>
      <c r="T2845" s="377">
        <f>PPMT('Assumptions (T&amp;D)'!$B$97,Model!AK$1,'Assumptions (T&amp;D)'!$B$100,Model!$F$2839)</f>
        <v>-0.62246589878277103</v>
      </c>
      <c r="U2845" s="377"/>
      <c r="V2845" s="377"/>
      <c r="W2845" s="377"/>
      <c r="X2845" s="377"/>
      <c r="Y2845" s="377"/>
      <c r="Z2845" s="377"/>
      <c r="AA2845" s="377"/>
      <c r="AB2845" s="377"/>
      <c r="AC2845" s="377"/>
      <c r="AD2845" s="377"/>
    </row>
    <row r="2846" spans="1:77" ht="15.75" hidden="1" customHeight="1" outlineLevel="1">
      <c r="A2846" s="460"/>
      <c r="B2846" s="99"/>
      <c r="C2846" s="377"/>
      <c r="D2846" s="377"/>
      <c r="E2846" s="377"/>
      <c r="F2846" s="377"/>
      <c r="G2846" s="377">
        <f>PPMT('Assumptions (T&amp;D)'!$B$97,Model!W$1,'Assumptions (T&amp;D)'!$B$100,Model!$G$2839)</f>
        <v>-0.35270128065734169</v>
      </c>
      <c r="H2846" s="377">
        <f>PPMT('Assumptions (T&amp;D)'!$B$97,Model!X$1,'Assumptions (T&amp;D)'!$B$100,Model!$G$2839)</f>
        <v>-0.36945459148856541</v>
      </c>
      <c r="I2846" s="377">
        <f>PPMT('Assumptions (T&amp;D)'!$B$97,Model!Y$1,'Assumptions (T&amp;D)'!$B$100,Model!$G$2839)</f>
        <v>-0.38700368458427226</v>
      </c>
      <c r="J2846" s="377">
        <f>PPMT('Assumptions (T&amp;D)'!$B$97,Model!Z$1,'Assumptions (T&amp;D)'!$B$100,Model!$G$2839)</f>
        <v>-0.40538635960202518</v>
      </c>
      <c r="K2846" s="377">
        <f>PPMT('Assumptions (T&amp;D)'!$B$97,Model!AA$1,'Assumptions (T&amp;D)'!$B$100,Model!$G$2839)</f>
        <v>-0.42464221168312133</v>
      </c>
      <c r="L2846" s="377">
        <f>PPMT('Assumptions (T&amp;D)'!$B$97,Model!AB$1,'Assumptions (T&amp;D)'!$B$100,Model!$G$2839)</f>
        <v>-0.4448127167380696</v>
      </c>
      <c r="M2846" s="377">
        <f>PPMT('Assumptions (T&amp;D)'!$B$97,Model!AC$1,'Assumptions (T&amp;D)'!$B$100,Model!$G$2839)</f>
        <v>-0.46594132078312794</v>
      </c>
      <c r="N2846" s="377">
        <f>PPMT('Assumptions (T&amp;D)'!$B$97,Model!AD$1,'Assumptions (T&amp;D)'!$B$100,Model!$G$2839)</f>
        <v>-0.48807353352032651</v>
      </c>
      <c r="O2846" s="377">
        <f>PPMT('Assumptions (T&amp;D)'!$B$97,Model!AE$1,'Assumptions (T&amp;D)'!$B$100,Model!$G$2839)</f>
        <v>-0.511257026362542</v>
      </c>
      <c r="P2846" s="377">
        <f>PPMT('Assumptions (T&amp;D)'!$B$97,Model!AF$1,'Assumptions (T&amp;D)'!$B$100,Model!$G$2839)</f>
        <v>-0.53554173511476277</v>
      </c>
      <c r="Q2846" s="377">
        <f>PPMT('Assumptions (T&amp;D)'!$B$97,Model!AG$1,'Assumptions (T&amp;D)'!$B$100,Model!$G$2839)</f>
        <v>-0.56097996753271395</v>
      </c>
      <c r="R2846" s="377">
        <f>PPMT('Assumptions (T&amp;D)'!$B$97,Model!AH$1,'Assumptions (T&amp;D)'!$B$100,Model!$G$2839)</f>
        <v>-0.58762651599051785</v>
      </c>
      <c r="S2846" s="377">
        <f>PPMT('Assumptions (T&amp;D)'!$B$97,Model!AI$1,'Assumptions (T&amp;D)'!$B$100,Model!$G$2839)</f>
        <v>-0.61553877550006753</v>
      </c>
      <c r="T2846" s="377">
        <f>PPMT('Assumptions (T&amp;D)'!$B$97,Model!AJ$1,'Assumptions (T&amp;D)'!$B$100,Model!$G$2839)</f>
        <v>-0.64477686733632078</v>
      </c>
      <c r="U2846" s="377">
        <f>PPMT('Assumptions (T&amp;D)'!$B$97,Model!AK$1,'Assumptions (T&amp;D)'!$B$100,Model!$G$2839)</f>
        <v>-0.675403768534796</v>
      </c>
      <c r="V2846" s="377"/>
      <c r="W2846" s="377"/>
      <c r="X2846" s="377"/>
      <c r="Y2846" s="377"/>
      <c r="Z2846" s="377"/>
      <c r="AA2846" s="377"/>
      <c r="AB2846" s="377"/>
      <c r="AC2846" s="377"/>
      <c r="AD2846" s="377"/>
      <c r="AE2846" s="377"/>
    </row>
    <row r="2847" spans="1:77" ht="15.75" hidden="1" customHeight="1" outlineLevel="1">
      <c r="A2847" s="460"/>
      <c r="B2847" s="99"/>
      <c r="C2847" s="377"/>
      <c r="D2847" s="377"/>
      <c r="E2847" s="377"/>
      <c r="F2847" s="377"/>
      <c r="G2847" s="377"/>
      <c r="H2847" s="377">
        <f>PPMT('Assumptions (T&amp;D)'!$B$97,Model!W$1,'Assumptions (T&amp;D)'!$B$100,Model!$H$2839)</f>
        <v>-0.37233460518308237</v>
      </c>
      <c r="I2847" s="377">
        <f>PPMT('Assumptions (T&amp;D)'!$B$97,Model!X$1,'Assumptions (T&amp;D)'!$B$100,Model!$H$2839)</f>
        <v>-0.39002049892927887</v>
      </c>
      <c r="J2847" s="377">
        <f>PPMT('Assumptions (T&amp;D)'!$B$97,Model!Y$1,'Assumptions (T&amp;D)'!$B$100,Model!$H$2839)</f>
        <v>-0.40854647262841953</v>
      </c>
      <c r="K2847" s="377">
        <f>PPMT('Assumptions (T&amp;D)'!$B$97,Model!Z$1,'Assumptions (T&amp;D)'!$B$100,Model!$H$2839)</f>
        <v>-0.4279524300782695</v>
      </c>
      <c r="L2847" s="377">
        <f>PPMT('Assumptions (T&amp;D)'!$B$97,Model!AA$1,'Assumptions (T&amp;D)'!$B$100,Model!$H$2839)</f>
        <v>-0.44828017050698726</v>
      </c>
      <c r="M2847" s="377">
        <f>PPMT('Assumptions (T&amp;D)'!$B$97,Model!AB$1,'Assumptions (T&amp;D)'!$B$100,Model!$H$2839)</f>
        <v>-0.46957347860606913</v>
      </c>
      <c r="N2847" s="377">
        <f>PPMT('Assumptions (T&amp;D)'!$B$97,Model!AC$1,'Assumptions (T&amp;D)'!$B$100,Model!$H$2839)</f>
        <v>-0.49187821883985744</v>
      </c>
      <c r="O2847" s="377">
        <f>PPMT('Assumptions (T&amp;D)'!$B$97,Model!AD$1,'Assumptions (T&amp;D)'!$B$100,Model!$H$2839)</f>
        <v>-0.51524243423475069</v>
      </c>
      <c r="P2847" s="377">
        <f>PPMT('Assumptions (T&amp;D)'!$B$97,Model!AE$1,'Assumptions (T&amp;D)'!$B$100,Model!$H$2839)</f>
        <v>-0.53971644986090128</v>
      </c>
      <c r="Q2847" s="377">
        <f>PPMT('Assumptions (T&amp;D)'!$B$97,Model!AF$1,'Assumptions (T&amp;D)'!$B$100,Model!$H$2839)</f>
        <v>-0.56535298122929423</v>
      </c>
      <c r="R2847" s="377">
        <f>PPMT('Assumptions (T&amp;D)'!$B$97,Model!AG$1,'Assumptions (T&amp;D)'!$B$100,Model!$H$2839)</f>
        <v>-0.59220724783768564</v>
      </c>
      <c r="S2847" s="377">
        <f>PPMT('Assumptions (T&amp;D)'!$B$97,Model!AH$1,'Assumptions (T&amp;D)'!$B$100,Model!$H$2839)</f>
        <v>-0.62033709210997567</v>
      </c>
      <c r="T2847" s="377">
        <f>PPMT('Assumptions (T&amp;D)'!$B$97,Model!AI$1,'Assumptions (T&amp;D)'!$B$100,Model!$H$2839)</f>
        <v>-0.64980310398519958</v>
      </c>
      <c r="U2847" s="377">
        <f>PPMT('Assumptions (T&amp;D)'!$B$97,Model!AJ$1,'Assumptions (T&amp;D)'!$B$100,Model!$H$2839)</f>
        <v>-0.68066875142449657</v>
      </c>
      <c r="V2847" s="377">
        <f>PPMT('Assumptions (T&amp;D)'!$B$97,Model!AK$1,'Assumptions (T&amp;D)'!$B$100,Model!$H$2839)</f>
        <v>-0.71300051711716006</v>
      </c>
      <c r="W2847" s="377"/>
      <c r="X2847" s="377"/>
      <c r="Y2847" s="377"/>
      <c r="Z2847" s="377"/>
      <c r="AA2847" s="377"/>
      <c r="AB2847" s="377"/>
      <c r="AC2847" s="377"/>
      <c r="AD2847" s="377"/>
      <c r="AE2847" s="377"/>
      <c r="AF2847" s="377"/>
    </row>
    <row r="2848" spans="1:77" ht="15.75" hidden="1" customHeight="1" outlineLevel="1">
      <c r="A2848" s="460"/>
      <c r="B2848" s="99"/>
      <c r="C2848" s="377"/>
      <c r="D2848" s="377"/>
      <c r="E2848" s="377"/>
      <c r="F2848" s="377"/>
      <c r="G2848" s="377"/>
      <c r="H2848" s="377"/>
      <c r="I2848" s="377">
        <f>PPMT('Assumptions (T&amp;D)'!$B$97,Model!W$1,'Assumptions (T&amp;D)'!$B$100,Model!$I$2839)</f>
        <v>-0.44827649237365186</v>
      </c>
      <c r="J2848" s="377">
        <f>PPMT('Assumptions (T&amp;D)'!$B$97,Model!X$1,'Assumptions (T&amp;D)'!$B$100,Model!$I$2839)</f>
        <v>-0.46956962576140038</v>
      </c>
      <c r="K2848" s="377">
        <f>PPMT('Assumptions (T&amp;D)'!$B$97,Model!Y$1,'Assumptions (T&amp;D)'!$B$100,Model!$I$2839)</f>
        <v>-0.49187418298506691</v>
      </c>
      <c r="L2848" s="377">
        <f>PPMT('Assumptions (T&amp;D)'!$B$97,Model!Z$1,'Assumptions (T&amp;D)'!$B$100,Model!$I$2839)</f>
        <v>-0.51523820667685749</v>
      </c>
      <c r="M2848" s="377">
        <f>PPMT('Assumptions (T&amp;D)'!$B$97,Model!AA$1,'Assumptions (T&amp;D)'!$B$100,Model!$I$2839)</f>
        <v>-0.53971202149400821</v>
      </c>
      <c r="N2848" s="377">
        <f>PPMT('Assumptions (T&amp;D)'!$B$97,Model!AB$1,'Assumptions (T&amp;D)'!$B$100,Model!$I$2839)</f>
        <v>-0.56534834251497368</v>
      </c>
      <c r="O2848" s="377">
        <f>PPMT('Assumptions (T&amp;D)'!$B$97,Model!AC$1,'Assumptions (T&amp;D)'!$B$100,Model!$I$2839)</f>
        <v>-0.59220238878443487</v>
      </c>
      <c r="P2848" s="377">
        <f>PPMT('Assumptions (T&amp;D)'!$B$97,Model!AD$1,'Assumptions (T&amp;D)'!$B$100,Model!$I$2839)</f>
        <v>-0.62033200225169549</v>
      </c>
      <c r="Q2848" s="377">
        <f>PPMT('Assumptions (T&amp;D)'!$B$97,Model!AE$1,'Assumptions (T&amp;D)'!$B$100,Model!$I$2839)</f>
        <v>-0.6497977723586511</v>
      </c>
      <c r="R2848" s="377">
        <f>PPMT('Assumptions (T&amp;D)'!$B$97,Model!AF$1,'Assumptions (T&amp;D)'!$B$100,Model!$I$2839)</f>
        <v>-0.68066316654568704</v>
      </c>
      <c r="S2848" s="377">
        <f>PPMT('Assumptions (T&amp;D)'!$B$97,Model!AG$1,'Assumptions (T&amp;D)'!$B$100,Model!$I$2839)</f>
        <v>-0.71299466695660729</v>
      </c>
      <c r="T2848" s="377">
        <f>PPMT('Assumptions (T&amp;D)'!$B$97,Model!AH$1,'Assumptions (T&amp;D)'!$B$100,Model!$I$2839)</f>
        <v>-0.74686191363704602</v>
      </c>
      <c r="U2848" s="377">
        <f>PPMT('Assumptions (T&amp;D)'!$B$97,Model!AI$1,'Assumptions (T&amp;D)'!$B$100,Model!$I$2839)</f>
        <v>-0.78233785453480575</v>
      </c>
      <c r="V2848" s="377">
        <f>PPMT('Assumptions (T&amp;D)'!$B$97,Model!AJ$1,'Assumptions (T&amp;D)'!$B$100,Model!$I$2839)</f>
        <v>-0.81949890262520908</v>
      </c>
      <c r="W2848" s="377">
        <f>PPMT('Assumptions (T&amp;D)'!$B$97,Model!AK$1,'Assumptions (T&amp;D)'!$B$100,Model!$I$2839)</f>
        <v>-0.85842510049990639</v>
      </c>
      <c r="X2848" s="377"/>
      <c r="Y2848" s="377"/>
      <c r="Z2848" s="377"/>
      <c r="AA2848" s="377"/>
      <c r="AB2848" s="377"/>
      <c r="AC2848" s="377"/>
      <c r="AD2848" s="377"/>
      <c r="AE2848" s="377"/>
      <c r="AF2848" s="377"/>
      <c r="AG2848" s="377"/>
    </row>
    <row r="2849" spans="1:49" ht="15.75" hidden="1" customHeight="1" outlineLevel="1">
      <c r="A2849" s="460"/>
      <c r="B2849" s="99"/>
      <c r="C2849" s="377"/>
      <c r="D2849" s="377"/>
      <c r="E2849" s="377"/>
      <c r="F2849" s="377"/>
      <c r="G2849" s="377"/>
      <c r="H2849" s="377"/>
      <c r="I2849" s="377"/>
      <c r="J2849" s="377">
        <f>PPMT('Assumptions (T&amp;D)'!$B$97,Model!W$1,'Assumptions (T&amp;D)'!$B$100,Model!$J$2839)</f>
        <v>-0.42915502619138868</v>
      </c>
      <c r="K2849" s="377">
        <f>PPMT('Assumptions (T&amp;D)'!$B$97,Model!X$1,'Assumptions (T&amp;D)'!$B$100,Model!$J$2839)</f>
        <v>-0.44953988993547961</v>
      </c>
      <c r="L2849" s="377">
        <f>PPMT('Assumptions (T&amp;D)'!$B$97,Model!Y$1,'Assumptions (T&amp;D)'!$B$100,Model!$J$2839)</f>
        <v>-0.470893034707415</v>
      </c>
      <c r="M2849" s="377">
        <f>PPMT('Assumptions (T&amp;D)'!$B$97,Model!Z$1,'Assumptions (T&amp;D)'!$B$100,Model!$J$2839)</f>
        <v>-0.49326045385601713</v>
      </c>
      <c r="N2849" s="377">
        <f>PPMT('Assumptions (T&amp;D)'!$B$97,Model!AA$1,'Assumptions (T&amp;D)'!$B$100,Model!$J$2839)</f>
        <v>-0.51669032541417792</v>
      </c>
      <c r="O2849" s="377">
        <f>PPMT('Assumptions (T&amp;D)'!$B$97,Model!AB$1,'Assumptions (T&amp;D)'!$B$100,Model!$J$2839)</f>
        <v>-0.54123311587135137</v>
      </c>
      <c r="P2849" s="377">
        <f>PPMT('Assumptions (T&amp;D)'!$B$97,Model!AC$1,'Assumptions (T&amp;D)'!$B$100,Model!$J$2839)</f>
        <v>-0.56694168887524066</v>
      </c>
      <c r="Q2849" s="377">
        <f>PPMT('Assumptions (T&amp;D)'!$B$97,Model!AD$1,'Assumptions (T&amp;D)'!$B$100,Model!$J$2839)</f>
        <v>-0.59387141909681451</v>
      </c>
      <c r="R2849" s="377">
        <f>PPMT('Assumptions (T&amp;D)'!$B$97,Model!AE$1,'Assumptions (T&amp;D)'!$B$100,Model!$J$2839)</f>
        <v>-0.62208031150391319</v>
      </c>
      <c r="S2849" s="377">
        <f>PPMT('Assumptions (T&amp;D)'!$B$97,Model!AF$1,'Assumptions (T&amp;D)'!$B$100,Model!$J$2839)</f>
        <v>-0.65162912630034908</v>
      </c>
      <c r="T2849" s="377">
        <f>PPMT('Assumptions (T&amp;D)'!$B$97,Model!AG$1,'Assumptions (T&amp;D)'!$B$100,Model!$J$2839)</f>
        <v>-0.68258150979961574</v>
      </c>
      <c r="U2849" s="377">
        <f>PPMT('Assumptions (T&amp;D)'!$B$97,Model!AH$1,'Assumptions (T&amp;D)'!$B$100,Model!$J$2839)</f>
        <v>-0.71500413151509745</v>
      </c>
      <c r="V2849" s="377">
        <f>PPMT('Assumptions (T&amp;D)'!$B$97,Model!AI$1,'Assumptions (T&amp;D)'!$B$100,Model!$J$2839)</f>
        <v>-0.74896682776206469</v>
      </c>
      <c r="W2849" s="377">
        <f>PPMT('Assumptions (T&amp;D)'!$B$97,Model!AJ$1,'Assumptions (T&amp;D)'!$B$100,Model!$J$2839)</f>
        <v>-0.78454275208076274</v>
      </c>
      <c r="X2849" s="377">
        <f>PPMT('Assumptions (T&amp;D)'!$B$97,Model!AK$1,'Assumptions (T&amp;D)'!$B$100,Model!$J$2839)</f>
        <v>-0.82180853280459887</v>
      </c>
      <c r="Y2849" s="377"/>
      <c r="Z2849" s="377"/>
      <c r="AA2849" s="377"/>
      <c r="AB2849" s="377"/>
      <c r="AC2849" s="377"/>
      <c r="AD2849" s="377"/>
      <c r="AE2849" s="377"/>
      <c r="AF2849" s="377"/>
      <c r="AG2849" s="377"/>
      <c r="AH2849" s="377"/>
    </row>
    <row r="2850" spans="1:49" ht="15.75" hidden="1" customHeight="1" outlineLevel="1">
      <c r="A2850" s="460"/>
      <c r="B2850" s="99"/>
      <c r="C2850" s="377"/>
      <c r="D2850" s="377"/>
      <c r="E2850" s="377"/>
      <c r="F2850" s="377"/>
      <c r="G2850" s="377"/>
      <c r="H2850" s="377"/>
      <c r="I2850" s="377"/>
      <c r="J2850" s="377"/>
      <c r="K2850" s="377">
        <f>PPMT('Assumptions (T&amp;D)'!$B$97,Model!W$1,'Assumptions (T&amp;D)'!$B$100,Model!$K$2839)</f>
        <v>-0.47573306833116191</v>
      </c>
      <c r="L2850" s="377">
        <f>PPMT('Assumptions (T&amp;D)'!$B$97,Model!X$1,'Assumptions (T&amp;D)'!$B$100,Model!$K$2839)</f>
        <v>-0.49833038907689203</v>
      </c>
      <c r="M2850" s="377">
        <f>PPMT('Assumptions (T&amp;D)'!$B$97,Model!Y$1,'Assumptions (T&amp;D)'!$B$100,Model!$K$2839)</f>
        <v>-0.52200108255804456</v>
      </c>
      <c r="N2850" s="377">
        <f>PPMT('Assumptions (T&amp;D)'!$B$97,Model!Z$1,'Assumptions (T&amp;D)'!$B$100,Model!$K$2839)</f>
        <v>-0.54679613397955151</v>
      </c>
      <c r="O2850" s="377">
        <f>PPMT('Assumptions (T&amp;D)'!$B$97,Model!AA$1,'Assumptions (T&amp;D)'!$B$100,Model!$K$2839)</f>
        <v>-0.57276895034358022</v>
      </c>
      <c r="P2850" s="377">
        <f>PPMT('Assumptions (T&amp;D)'!$B$97,Model!AB$1,'Assumptions (T&amp;D)'!$B$100,Model!$K$2839)</f>
        <v>-0.59997547548490038</v>
      </c>
      <c r="Q2850" s="377">
        <f>PPMT('Assumptions (T&amp;D)'!$B$97,Model!AC$1,'Assumptions (T&amp;D)'!$B$100,Model!$K$2839)</f>
        <v>-0.62847431057043313</v>
      </c>
      <c r="R2850" s="377">
        <f>PPMT('Assumptions (T&amp;D)'!$B$97,Model!AD$1,'Assumptions (T&amp;D)'!$B$100,Model!$K$2839)</f>
        <v>-0.65832684032252864</v>
      </c>
      <c r="S2850" s="377">
        <f>PPMT('Assumptions (T&amp;D)'!$B$97,Model!AE$1,'Assumptions (T&amp;D)'!$B$100,Model!$K$2839)</f>
        <v>-0.68959736523784876</v>
      </c>
      <c r="T2850" s="377">
        <f>PPMT('Assumptions (T&amp;D)'!$B$97,Model!AF$1,'Assumptions (T&amp;D)'!$B$100,Model!$K$2839)</f>
        <v>-0.72235324008664659</v>
      </c>
      <c r="U2850" s="377">
        <f>PPMT('Assumptions (T&amp;D)'!$B$97,Model!AG$1,'Assumptions (T&amp;D)'!$B$100,Model!$K$2839)</f>
        <v>-0.75666501899076233</v>
      </c>
      <c r="V2850" s="377">
        <f>PPMT('Assumptions (T&amp;D)'!$B$97,Model!AH$1,'Assumptions (T&amp;D)'!$B$100,Model!$K$2839)</f>
        <v>-0.79260660739282351</v>
      </c>
      <c r="W2850" s="377">
        <f>PPMT('Assumptions (T&amp;D)'!$B$97,Model!AI$1,'Assumptions (T&amp;D)'!$B$100,Model!$K$2839)</f>
        <v>-0.83025542124398277</v>
      </c>
      <c r="X2850" s="377">
        <f>PPMT('Assumptions (T&amp;D)'!$B$97,Model!AJ$1,'Assumptions (T&amp;D)'!$B$100,Model!$K$2839)</f>
        <v>-0.86969255375307175</v>
      </c>
      <c r="Y2850" s="377">
        <f>PPMT('Assumptions (T&amp;D)'!$B$97,Model!AK$1,'Assumptions (T&amp;D)'!$B$100,Model!$K$2839)</f>
        <v>-0.91100295005634269</v>
      </c>
      <c r="Z2850" s="377"/>
      <c r="AA2850" s="377"/>
      <c r="AB2850" s="377"/>
      <c r="AC2850" s="377"/>
      <c r="AD2850" s="377"/>
      <c r="AE2850" s="377"/>
      <c r="AF2850" s="377"/>
      <c r="AG2850" s="377"/>
      <c r="AH2850" s="377"/>
      <c r="AI2850" s="377"/>
    </row>
    <row r="2851" spans="1:49" ht="15.75" hidden="1" customHeight="1" outlineLevel="1">
      <c r="A2851" s="460"/>
      <c r="B2851" s="99"/>
      <c r="C2851" s="377"/>
      <c r="D2851" s="377"/>
      <c r="E2851" s="377"/>
      <c r="F2851" s="377"/>
      <c r="G2851" s="377"/>
      <c r="H2851" s="377"/>
      <c r="I2851" s="377"/>
      <c r="J2851" s="377"/>
      <c r="K2851" s="377"/>
      <c r="L2851" s="377">
        <f>PPMT('Assumptions (T&amp;D)'!$B$97,Model!W$1,'Assumptions (T&amp;D)'!$B$100,Model!$L$2839)</f>
        <v>-0.46855813592944739</v>
      </c>
      <c r="M2851" s="377">
        <f>PPMT('Assumptions (T&amp;D)'!$B$97,Model!X$1,'Assumptions (T&amp;D)'!$B$100,Model!$L$2839)</f>
        <v>-0.49081464738609615</v>
      </c>
      <c r="N2851" s="377">
        <f>PPMT('Assumptions (T&amp;D)'!$B$97,Model!Y$1,'Assumptions (T&amp;D)'!$B$100,Model!$L$2839)</f>
        <v>-0.51412834313693578</v>
      </c>
      <c r="O2851" s="377">
        <f>PPMT('Assumptions (T&amp;D)'!$B$97,Model!Z$1,'Assumptions (T&amp;D)'!$B$100,Model!$L$2839)</f>
        <v>-0.53854943943594014</v>
      </c>
      <c r="P2851" s="377">
        <f>PPMT('Assumptions (T&amp;D)'!$B$97,Model!AA$1,'Assumptions (T&amp;D)'!$B$100,Model!$L$2839)</f>
        <v>-0.56413053780914724</v>
      </c>
      <c r="Q2851" s="377">
        <f>PPMT('Assumptions (T&amp;D)'!$B$97,Model!AB$1,'Assumptions (T&amp;D)'!$B$100,Model!$L$2839)</f>
        <v>-0.5909267383550818</v>
      </c>
      <c r="R2851" s="377">
        <f>PPMT('Assumptions (T&amp;D)'!$B$97,Model!AC$1,'Assumptions (T&amp;D)'!$B$100,Model!$L$2839)</f>
        <v>-0.61899575842694821</v>
      </c>
      <c r="S2851" s="377">
        <f>PPMT('Assumptions (T&amp;D)'!$B$97,Model!AD$1,'Assumptions (T&amp;D)'!$B$100,Model!$L$2839)</f>
        <v>-0.64839805695222819</v>
      </c>
      <c r="T2851" s="377">
        <f>PPMT('Assumptions (T&amp;D)'!$B$97,Model!AE$1,'Assumptions (T&amp;D)'!$B$100,Model!$L$2839)</f>
        <v>-0.67919696465745905</v>
      </c>
      <c r="U2851" s="377">
        <f>PPMT('Assumptions (T&amp;D)'!$B$97,Model!AF$1,'Assumptions (T&amp;D)'!$B$100,Model!$L$2839)</f>
        <v>-0.71145882047868836</v>
      </c>
      <c r="V2851" s="377">
        <f>PPMT('Assumptions (T&amp;D)'!$B$97,Model!AG$1,'Assumptions (T&amp;D)'!$B$100,Model!$L$2839)</f>
        <v>-0.74525311445142617</v>
      </c>
      <c r="W2851" s="377">
        <f>PPMT('Assumptions (T&amp;D)'!$B$97,Model!AH$1,'Assumptions (T&amp;D)'!$B$100,Model!$L$2839)</f>
        <v>-0.78065263738786883</v>
      </c>
      <c r="X2851" s="377">
        <f>PPMT('Assumptions (T&amp;D)'!$B$97,Model!AI$1,'Assumptions (T&amp;D)'!$B$100,Model!$L$2839)</f>
        <v>-0.8177336376637927</v>
      </c>
      <c r="Y2851" s="377">
        <f>PPMT('Assumptions (T&amp;D)'!$B$97,Model!AJ$1,'Assumptions (T&amp;D)'!$B$100,Model!$L$2839)</f>
        <v>-0.85657598545282276</v>
      </c>
      <c r="Z2851" s="377">
        <f>PPMT('Assumptions (T&amp;D)'!$B$97,Model!AK$1,'Assumptions (T&amp;D)'!$B$100,Model!$L$2839)</f>
        <v>-0.89726334476183178</v>
      </c>
      <c r="AA2851" s="377"/>
      <c r="AB2851" s="377"/>
      <c r="AC2851" s="377"/>
      <c r="AD2851" s="377"/>
      <c r="AE2851" s="377"/>
      <c r="AF2851" s="377"/>
      <c r="AG2851" s="377"/>
      <c r="AH2851" s="377"/>
      <c r="AI2851" s="377"/>
      <c r="AJ2851" s="377"/>
    </row>
    <row r="2852" spans="1:49" ht="15.75" hidden="1" customHeight="1" outlineLevel="1">
      <c r="A2852" s="460"/>
      <c r="B2852" s="99"/>
      <c r="C2852" s="377"/>
      <c r="D2852" s="377"/>
      <c r="E2852" s="377"/>
      <c r="F2852" s="377"/>
      <c r="G2852" s="377"/>
      <c r="H2852" s="377"/>
      <c r="I2852" s="377"/>
      <c r="J2852" s="377"/>
      <c r="K2852" s="377"/>
      <c r="L2852" s="377"/>
      <c r="M2852" s="377">
        <f>PPMT('Assumptions (T&amp;D)'!$B$97,Model!W$1,'Assumptions (T&amp;D)'!$B$100,Model!$M$2839)</f>
        <v>-0.45692823555952383</v>
      </c>
      <c r="N2852" s="377">
        <f>PPMT('Assumptions (T&amp;D)'!$B$97,Model!X$1,'Assumptions (T&amp;D)'!$B$100,Model!$M$2839)</f>
        <v>-0.47863232674860118</v>
      </c>
      <c r="O2852" s="377">
        <f>PPMT('Assumptions (T&amp;D)'!$B$97,Model!Y$1,'Assumptions (T&amp;D)'!$B$100,Model!$M$2839)</f>
        <v>-0.50136736226915979</v>
      </c>
      <c r="P2852" s="377">
        <f>PPMT('Assumptions (T&amp;D)'!$B$97,Model!Z$1,'Assumptions (T&amp;D)'!$B$100,Model!$M$2839)</f>
        <v>-0.52518231197694487</v>
      </c>
      <c r="Q2852" s="377">
        <f>PPMT('Assumptions (T&amp;D)'!$B$97,Model!AA$1,'Assumptions (T&amp;D)'!$B$100,Model!$M$2839)</f>
        <v>-0.55012847179584978</v>
      </c>
      <c r="R2852" s="377">
        <f>PPMT('Assumptions (T&amp;D)'!$B$97,Model!AB$1,'Assumptions (T&amp;D)'!$B$100,Model!$M$2839)</f>
        <v>-0.57625957420615259</v>
      </c>
      <c r="S2852" s="377">
        <f>PPMT('Assumptions (T&amp;D)'!$B$97,Model!AC$1,'Assumptions (T&amp;D)'!$B$100,Model!$M$2839)</f>
        <v>-0.60363190398094491</v>
      </c>
      <c r="T2852" s="377">
        <f>PPMT('Assumptions (T&amp;D)'!$B$97,Model!AD$1,'Assumptions (T&amp;D)'!$B$100,Model!$M$2839)</f>
        <v>-0.63230441942003979</v>
      </c>
      <c r="U2852" s="377">
        <f>PPMT('Assumptions (T&amp;D)'!$B$97,Model!AE$1,'Assumptions (T&amp;D)'!$B$100,Model!$M$2839)</f>
        <v>-0.66233887934249158</v>
      </c>
      <c r="V2852" s="377">
        <f>PPMT('Assumptions (T&amp;D)'!$B$97,Model!AF$1,'Assumptions (T&amp;D)'!$B$100,Model!$M$2839)</f>
        <v>-0.69379997611125999</v>
      </c>
      <c r="W2852" s="377">
        <f>PPMT('Assumptions (T&amp;D)'!$B$97,Model!AG$1,'Assumptions (T&amp;D)'!$B$100,Model!$M$2839)</f>
        <v>-0.7267554749765448</v>
      </c>
      <c r="X2852" s="377">
        <f>PPMT('Assumptions (T&amp;D)'!$B$97,Model!AH$1,'Assumptions (T&amp;D)'!$B$100,Model!$M$2839)</f>
        <v>-0.76127636003793064</v>
      </c>
      <c r="Y2852" s="377">
        <f>PPMT('Assumptions (T&amp;D)'!$B$97,Model!AI$1,'Assumptions (T&amp;D)'!$B$100,Model!$M$2839)</f>
        <v>-0.79743698713973243</v>
      </c>
      <c r="Z2852" s="377">
        <f>PPMT('Assumptions (T&amp;D)'!$B$97,Model!AJ$1,'Assumptions (T&amp;D)'!$B$100,Model!$M$2839)</f>
        <v>-0.83531524402886981</v>
      </c>
      <c r="AA2852" s="377">
        <f>PPMT('Assumptions (T&amp;D)'!$B$97,Model!AK$1,'Assumptions (T&amp;D)'!$B$100,Model!$M$2839)</f>
        <v>-0.87499271812024093</v>
      </c>
      <c r="AB2852" s="377"/>
      <c r="AC2852" s="377"/>
      <c r="AD2852" s="377"/>
      <c r="AE2852" s="377"/>
      <c r="AF2852" s="377"/>
      <c r="AG2852" s="377"/>
      <c r="AH2852" s="377"/>
      <c r="AI2852" s="377"/>
      <c r="AJ2852" s="377"/>
      <c r="AK2852" s="377"/>
    </row>
    <row r="2853" spans="1:49" ht="15.75" hidden="1" customHeight="1" outlineLevel="1">
      <c r="A2853" s="460"/>
      <c r="B2853" s="99"/>
      <c r="C2853" s="377"/>
      <c r="D2853" s="377"/>
      <c r="E2853" s="377"/>
      <c r="F2853" s="377"/>
      <c r="G2853" s="377"/>
      <c r="H2853" s="377"/>
      <c r="I2853" s="377"/>
      <c r="J2853" s="377"/>
      <c r="K2853" s="377"/>
      <c r="L2853" s="377"/>
      <c r="M2853" s="377"/>
      <c r="N2853" s="377">
        <f>PPMT('Assumptions (T&amp;D)'!$B$97,Model!W$1,'Assumptions (T&amp;D)'!$B$100,Model!$N$2839)</f>
        <v>-0.46914030360086068</v>
      </c>
      <c r="O2853" s="377">
        <f>PPMT('Assumptions (T&amp;D)'!$B$97,Model!X$1,'Assumptions (T&amp;D)'!$B$100,Model!$N$2839)</f>
        <v>-0.49142446802190154</v>
      </c>
      <c r="P2853" s="377">
        <f>PPMT('Assumptions (T&amp;D)'!$B$97,Model!Y$1,'Assumptions (T&amp;D)'!$B$100,Model!$N$2839)</f>
        <v>-0.51476713025294185</v>
      </c>
      <c r="Q2853" s="377">
        <f>PPMT('Assumptions (T&amp;D)'!$B$97,Model!Z$1,'Assumptions (T&amp;D)'!$B$100,Model!$N$2839)</f>
        <v>-0.53921856893995657</v>
      </c>
      <c r="R2853" s="377">
        <f>PPMT('Assumptions (T&amp;D)'!$B$97,Model!AA$1,'Assumptions (T&amp;D)'!$B$100,Model!$N$2839)</f>
        <v>-0.56483145096460441</v>
      </c>
      <c r="S2853" s="377">
        <f>PPMT('Assumptions (T&amp;D)'!$B$97,Model!AB$1,'Assumptions (T&amp;D)'!$B$100,Model!$N$2839)</f>
        <v>-0.5916609448854232</v>
      </c>
      <c r="T2853" s="377">
        <f>PPMT('Assumptions (T&amp;D)'!$B$97,Model!AC$1,'Assumptions (T&amp;D)'!$B$100,Model!$N$2839)</f>
        <v>-0.61976483976748087</v>
      </c>
      <c r="U2853" s="377">
        <f>PPMT('Assumptions (T&amp;D)'!$B$97,Model!AD$1,'Assumptions (T&amp;D)'!$B$100,Model!$N$2839)</f>
        <v>-0.64920366965643617</v>
      </c>
      <c r="V2853" s="377">
        <f>PPMT('Assumptions (T&amp;D)'!$B$97,Model!AE$1,'Assumptions (T&amp;D)'!$B$100,Model!$N$2839)</f>
        <v>-0.68004084396511688</v>
      </c>
      <c r="W2853" s="377">
        <f>PPMT('Assumptions (T&amp;D)'!$B$97,Model!AF$1,'Assumptions (T&amp;D)'!$B$100,Model!$N$2839)</f>
        <v>-0.71234278405345997</v>
      </c>
      <c r="X2853" s="377">
        <f>PPMT('Assumptions (T&amp;D)'!$B$97,Model!AG$1,'Assumptions (T&amp;D)'!$B$100,Model!$N$2839)</f>
        <v>-0.74617906629599939</v>
      </c>
      <c r="Y2853" s="377">
        <f>PPMT('Assumptions (T&amp;D)'!$B$97,Model!AH$1,'Assumptions (T&amp;D)'!$B$100,Model!$N$2839)</f>
        <v>-0.78162257194505924</v>
      </c>
      <c r="Z2853" s="377">
        <f>PPMT('Assumptions (T&amp;D)'!$B$97,Model!AI$1,'Assumptions (T&amp;D)'!$B$100,Model!$N$2839)</f>
        <v>-0.81874964411244966</v>
      </c>
      <c r="AA2853" s="377">
        <f>PPMT('Assumptions (T&amp;D)'!$B$97,Model!AJ$1,'Assumptions (T&amp;D)'!$B$100,Model!$N$2839)</f>
        <v>-0.85764025220779094</v>
      </c>
      <c r="AB2853" s="377">
        <f>PPMT('Assumptions (T&amp;D)'!$B$97,Model!AK$1,'Assumptions (T&amp;D)'!$B$100,Model!$N$2839)</f>
        <v>-0.89837816418766092</v>
      </c>
      <c r="AC2853" s="377"/>
      <c r="AD2853" s="377"/>
      <c r="AE2853" s="377"/>
      <c r="AF2853" s="377"/>
      <c r="AG2853" s="377"/>
      <c r="AH2853" s="377"/>
      <c r="AI2853" s="377"/>
      <c r="AJ2853" s="377"/>
      <c r="AK2853" s="377"/>
      <c r="AL2853" s="377"/>
    </row>
    <row r="2854" spans="1:49" ht="15.75" hidden="1" customHeight="1" outlineLevel="1">
      <c r="A2854" s="460"/>
      <c r="B2854" s="99"/>
      <c r="C2854" s="377"/>
      <c r="D2854" s="377"/>
      <c r="E2854" s="377"/>
      <c r="F2854" s="377"/>
      <c r="G2854" s="377"/>
      <c r="H2854" s="377"/>
      <c r="I2854" s="377"/>
      <c r="J2854" s="377"/>
      <c r="K2854" s="377"/>
      <c r="L2854" s="377"/>
      <c r="M2854" s="377"/>
      <c r="N2854" s="377"/>
      <c r="O2854" s="377">
        <f>PPMT('Assumptions (T&amp;D)'!$B$97,Model!W$1,'Assumptions (T&amp;D)'!$B$100,Model!$O$2839)</f>
        <v>-0.53314568748140145</v>
      </c>
      <c r="P2854" s="377">
        <f>PPMT('Assumptions (T&amp;D)'!$B$97,Model!X$1,'Assumptions (T&amp;D)'!$B$100,Model!$O$2839)</f>
        <v>-0.55847010763676808</v>
      </c>
      <c r="Q2854" s="377">
        <f>PPMT('Assumptions (T&amp;D)'!$B$97,Model!Y$1,'Assumptions (T&amp;D)'!$B$100,Model!$O$2839)</f>
        <v>-0.58499743774951452</v>
      </c>
      <c r="R2854" s="377">
        <f>PPMT('Assumptions (T&amp;D)'!$B$97,Model!Z$1,'Assumptions (T&amp;D)'!$B$100,Model!$O$2839)</f>
        <v>-0.61278481604261636</v>
      </c>
      <c r="S2854" s="377">
        <f>PPMT('Assumptions (T&amp;D)'!$B$97,Model!AA$1,'Assumptions (T&amp;D)'!$B$100,Model!$O$2839)</f>
        <v>-0.6418920948046406</v>
      </c>
      <c r="T2854" s="377">
        <f>PPMT('Assumptions (T&amp;D)'!$B$97,Model!AB$1,'Assumptions (T&amp;D)'!$B$100,Model!$O$2839)</f>
        <v>-0.67238196930786109</v>
      </c>
      <c r="U2854" s="377">
        <f>PPMT('Assumptions (T&amp;D)'!$B$97,Model!AC$1,'Assumptions (T&amp;D)'!$B$100,Model!$O$2839)</f>
        <v>-0.70432011284998453</v>
      </c>
      <c r="V2854" s="377">
        <f>PPMT('Assumptions (T&amp;D)'!$B$97,Model!AD$1,'Assumptions (T&amp;D)'!$B$100,Model!$O$2839)</f>
        <v>-0.7377753182103588</v>
      </c>
      <c r="W2854" s="377">
        <f>PPMT('Assumptions (T&amp;D)'!$B$97,Model!AE$1,'Assumptions (T&amp;D)'!$B$100,Model!$O$2839)</f>
        <v>-0.7728196458253509</v>
      </c>
      <c r="X2854" s="377">
        <f>PPMT('Assumptions (T&amp;D)'!$B$97,Model!AF$1,'Assumptions (T&amp;D)'!$B$100,Model!$O$2839)</f>
        <v>-0.80952857900205499</v>
      </c>
      <c r="Y2854" s="377">
        <f>PPMT('Assumptions (T&amp;D)'!$B$97,Model!AG$1,'Assumptions (T&amp;D)'!$B$100,Model!$O$2839)</f>
        <v>-0.84798118650465282</v>
      </c>
      <c r="Z2854" s="377">
        <f>PPMT('Assumptions (T&amp;D)'!$B$97,Model!AH$1,'Assumptions (T&amp;D)'!$B$100,Model!$O$2839)</f>
        <v>-0.88826029286362373</v>
      </c>
      <c r="AA2854" s="377">
        <f>PPMT('Assumptions (T&amp;D)'!$B$97,Model!AI$1,'Assumptions (T&amp;D)'!$B$100,Model!$O$2839)</f>
        <v>-0.93045265677464584</v>
      </c>
      <c r="AB2854" s="377">
        <f>PPMT('Assumptions (T&amp;D)'!$B$97,Model!AJ$1,'Assumptions (T&amp;D)'!$B$100,Model!$O$2839)</f>
        <v>-0.97464915797144147</v>
      </c>
      <c r="AC2854" s="377">
        <f>PPMT('Assumptions (T&amp;D)'!$B$97,Model!AK$1,'Assumptions (T&amp;D)'!$B$100,Model!$O$2839)</f>
        <v>-1.0209449929750849</v>
      </c>
      <c r="AD2854" s="377"/>
      <c r="AE2854" s="377"/>
      <c r="AF2854" s="377"/>
      <c r="AG2854" s="377"/>
      <c r="AH2854" s="377"/>
      <c r="AI2854" s="377"/>
      <c r="AJ2854" s="377"/>
      <c r="AK2854" s="377"/>
      <c r="AL2854" s="377"/>
      <c r="AM2854" s="377"/>
    </row>
    <row r="2855" spans="1:49" ht="15.75" hidden="1" customHeight="1" outlineLevel="1">
      <c r="A2855" s="460"/>
      <c r="B2855" s="99"/>
      <c r="C2855" s="377"/>
      <c r="D2855" s="377"/>
      <c r="E2855" s="377"/>
      <c r="F2855" s="377"/>
      <c r="G2855" s="377"/>
      <c r="H2855" s="377"/>
      <c r="I2855" s="377"/>
      <c r="J2855" s="377"/>
      <c r="K2855" s="377"/>
      <c r="L2855" s="377"/>
      <c r="M2855" s="377"/>
      <c r="N2855" s="377"/>
      <c r="O2855" s="377"/>
      <c r="P2855" s="377">
        <f>PPMT('Assumptions (T&amp;D)'!$B$97,Model!W$1,'Assumptions (T&amp;D)'!$B$100,Model!$P$2839)</f>
        <v>-0.50316757974140713</v>
      </c>
      <c r="Q2855" s="377">
        <f>PPMT('Assumptions (T&amp;D)'!$B$97,Model!X$1,'Assumptions (T&amp;D)'!$B$100,Model!$P$2839)</f>
        <v>-0.52706803977912409</v>
      </c>
      <c r="R2855" s="377">
        <f>PPMT('Assumptions (T&amp;D)'!$B$97,Model!Y$1,'Assumptions (T&amp;D)'!$B$100,Model!$P$2839)</f>
        <v>-0.55210377166863245</v>
      </c>
      <c r="S2855" s="377">
        <f>PPMT('Assumptions (T&amp;D)'!$B$97,Model!Z$1,'Assumptions (T&amp;D)'!$B$100,Model!$P$2839)</f>
        <v>-0.57832870082289245</v>
      </c>
      <c r="T2855" s="377">
        <f>PPMT('Assumptions (T&amp;D)'!$B$97,Model!AA$1,'Assumptions (T&amp;D)'!$B$100,Model!$P$2839)</f>
        <v>-0.60579931411197974</v>
      </c>
      <c r="U2855" s="377">
        <f>PPMT('Assumptions (T&amp;D)'!$B$97,Model!AB$1,'Assumptions (T&amp;D)'!$B$100,Model!$P$2839)</f>
        <v>-0.63457478153229885</v>
      </c>
      <c r="V2855" s="377">
        <f>PPMT('Assumptions (T&amp;D)'!$B$97,Model!AC$1,'Assumptions (T&amp;D)'!$B$100,Model!$P$2839)</f>
        <v>-0.66471708365508309</v>
      </c>
      <c r="W2855" s="377">
        <f>PPMT('Assumptions (T&amp;D)'!$B$97,Model!AD$1,'Assumptions (T&amp;D)'!$B$100,Model!$P$2839)</f>
        <v>-0.6962911451286995</v>
      </c>
      <c r="X2855" s="377">
        <f>PPMT('Assumptions (T&amp;D)'!$B$97,Model!AE$1,'Assumptions (T&amp;D)'!$B$100,Model!$P$2839)</f>
        <v>-0.72936497452231264</v>
      </c>
      <c r="Y2855" s="377">
        <f>PPMT('Assumptions (T&amp;D)'!$B$97,Model!AF$1,'Assumptions (T&amp;D)'!$B$100,Model!$P$2839)</f>
        <v>-0.7640098108121226</v>
      </c>
      <c r="Z2855" s="377">
        <f>PPMT('Assumptions (T&amp;D)'!$B$97,Model!AG$1,'Assumptions (T&amp;D)'!$B$100,Model!$P$2839)</f>
        <v>-0.80030027682569849</v>
      </c>
      <c r="AA2855" s="377">
        <f>PPMT('Assumptions (T&amp;D)'!$B$97,Model!AH$1,'Assumptions (T&amp;D)'!$B$100,Model!$P$2839)</f>
        <v>-0.83831453997491912</v>
      </c>
      <c r="AB2855" s="377">
        <f>PPMT('Assumptions (T&amp;D)'!$B$97,Model!AI$1,'Assumptions (T&amp;D)'!$B$100,Model!$P$2839)</f>
        <v>-0.87813448062372779</v>
      </c>
      <c r="AC2855" s="377">
        <f>PPMT('Assumptions (T&amp;D)'!$B$97,Model!AJ$1,'Assumptions (T&amp;D)'!$B$100,Model!$P$2839)</f>
        <v>-0.91984586845335492</v>
      </c>
      <c r="AD2855" s="377">
        <f>PPMT('Assumptions (T&amp;D)'!$B$97,Model!AK$1,'Assumptions (T&amp;D)'!$B$100,Model!$P$2839)</f>
        <v>-0.96353854720488907</v>
      </c>
      <c r="AE2855" s="377"/>
      <c r="AF2855" s="377"/>
      <c r="AG2855" s="377"/>
      <c r="AH2855" s="377"/>
      <c r="AI2855" s="377"/>
      <c r="AJ2855" s="377"/>
      <c r="AK2855" s="377"/>
      <c r="AL2855" s="377"/>
      <c r="AM2855" s="377"/>
      <c r="AN2855" s="377"/>
    </row>
    <row r="2856" spans="1:49" ht="15.75" hidden="1" customHeight="1" outlineLevel="1">
      <c r="A2856" s="460"/>
      <c r="B2856" s="99"/>
      <c r="C2856" s="377"/>
      <c r="D2856" s="377"/>
      <c r="E2856" s="377"/>
      <c r="F2856" s="377"/>
      <c r="G2856" s="377"/>
      <c r="H2856" s="377"/>
      <c r="I2856" s="377"/>
      <c r="J2856" s="377"/>
      <c r="K2856" s="377"/>
      <c r="L2856" s="377"/>
      <c r="M2856" s="377"/>
      <c r="N2856" s="377"/>
      <c r="O2856" s="377"/>
      <c r="P2856" s="377"/>
      <c r="Q2856" s="377">
        <f>PPMT('Assumptions (T&amp;D)'!$B$97,Model!W$1,'Assumptions (T&amp;D)'!$B$100,Model!$Q$2839)</f>
        <v>-0.56636641852417513</v>
      </c>
      <c r="R2856" s="377">
        <f>PPMT('Assumptions (T&amp;D)'!$B$97,Model!X$1,'Assumptions (T&amp;D)'!$B$100,Model!$Q$2839)</f>
        <v>-0.5932688234040735</v>
      </c>
      <c r="S2856" s="377">
        <f>PPMT('Assumptions (T&amp;D)'!$B$97,Model!Y$1,'Assumptions (T&amp;D)'!$B$100,Model!$Q$2839)</f>
        <v>-0.62144909251576708</v>
      </c>
      <c r="T2856" s="377">
        <f>PPMT('Assumptions (T&amp;D)'!$B$97,Model!Z$1,'Assumptions (T&amp;D)'!$B$100,Model!$Q$2839)</f>
        <v>-0.65096792441026596</v>
      </c>
      <c r="U2856" s="377">
        <f>PPMT('Assumptions (T&amp;D)'!$B$97,Model!AA$1,'Assumptions (T&amp;D)'!$B$100,Model!$Q$2839)</f>
        <v>-0.68188890081975351</v>
      </c>
      <c r="V2856" s="377">
        <f>PPMT('Assumptions (T&amp;D)'!$B$97,Model!AB$1,'Assumptions (T&amp;D)'!$B$100,Model!$Q$2839)</f>
        <v>-0.71427862360869188</v>
      </c>
      <c r="W2856" s="377">
        <f>PPMT('Assumptions (T&amp;D)'!$B$97,Model!AC$1,'Assumptions (T&amp;D)'!$B$100,Model!$Q$2839)</f>
        <v>-0.74820685823010469</v>
      </c>
      <c r="X2856" s="377">
        <f>PPMT('Assumptions (T&amp;D)'!$B$97,Model!AD$1,'Assumptions (T&amp;D)'!$B$100,Model!$Q$2839)</f>
        <v>-0.78374668399603464</v>
      </c>
      <c r="Y2856" s="377">
        <f>PPMT('Assumptions (T&amp;D)'!$B$97,Model!AE$1,'Assumptions (T&amp;D)'!$B$100,Model!$Q$2839)</f>
        <v>-0.82097465148584625</v>
      </c>
      <c r="Z2856" s="377">
        <f>PPMT('Assumptions (T&amp;D)'!$B$97,Model!AF$1,'Assumptions (T&amp;D)'!$B$100,Model!$Q$2839)</f>
        <v>-0.8599709474314241</v>
      </c>
      <c r="AA2856" s="377">
        <f>PPMT('Assumptions (T&amp;D)'!$B$97,Model!AG$1,'Assumptions (T&amp;D)'!$B$100,Model!$Q$2839)</f>
        <v>-0.90081956743441671</v>
      </c>
      <c r="AB2856" s="377">
        <f>PPMT('Assumptions (T&amp;D)'!$B$97,Model!AH$1,'Assumptions (T&amp;D)'!$B$100,Model!$Q$2839)</f>
        <v>-0.94360849688755144</v>
      </c>
      <c r="AC2856" s="377">
        <f>PPMT('Assumptions (T&amp;D)'!$B$97,Model!AI$1,'Assumptions (T&amp;D)'!$B$100,Model!$Q$2839)</f>
        <v>-0.98842990048971024</v>
      </c>
      <c r="AD2856" s="377">
        <f>PPMT('Assumptions (T&amp;D)'!$B$97,Model!AJ$1,'Assumptions (T&amp;D)'!$B$100,Model!$Q$2839)</f>
        <v>-1.0353803207629715</v>
      </c>
      <c r="AE2856" s="377">
        <f>PPMT('Assumptions (T&amp;D)'!$B$97,Model!AK$1,'Assumptions (T&amp;D)'!$B$100,Model!$Q$2839)</f>
        <v>-1.0845608859992126</v>
      </c>
      <c r="AF2856" s="377"/>
      <c r="AG2856" s="377"/>
      <c r="AH2856" s="377"/>
      <c r="AI2856" s="377"/>
      <c r="AJ2856" s="377"/>
      <c r="AK2856" s="377"/>
      <c r="AL2856" s="377"/>
      <c r="AM2856" s="377"/>
      <c r="AN2856" s="377"/>
      <c r="AO2856" s="377"/>
    </row>
    <row r="2857" spans="1:49" ht="15.75" hidden="1" customHeight="1" outlineLevel="1">
      <c r="A2857" s="460"/>
      <c r="B2857" s="99"/>
      <c r="C2857" s="377"/>
      <c r="D2857" s="377"/>
      <c r="E2857" s="377"/>
      <c r="F2857" s="377"/>
      <c r="G2857" s="377"/>
      <c r="H2857" s="377"/>
      <c r="I2857" s="377"/>
      <c r="J2857" s="377"/>
      <c r="K2857" s="377"/>
      <c r="L2857" s="377"/>
      <c r="M2857" s="377"/>
      <c r="N2857" s="377"/>
      <c r="O2857" s="377"/>
      <c r="P2857" s="377"/>
      <c r="Q2857" s="377"/>
      <c r="R2857" s="377">
        <f>PPMT('Assumptions (T&amp;D)'!$B$97,Model!W$1,'Assumptions (T&amp;D)'!$B$100,Model!$R$2839)</f>
        <v>-0.62491792600662699</v>
      </c>
      <c r="S2857" s="377">
        <f>PPMT('Assumptions (T&amp;D)'!$B$97,Model!X$1,'Assumptions (T&amp;D)'!$B$100,Model!$R$2839)</f>
        <v>-0.65460152749194167</v>
      </c>
      <c r="T2857" s="377">
        <f>PPMT('Assumptions (T&amp;D)'!$B$97,Model!Y$1,'Assumptions (T&amp;D)'!$B$100,Model!$R$2839)</f>
        <v>-0.68569510004780898</v>
      </c>
      <c r="U2857" s="377">
        <f>PPMT('Assumptions (T&amp;D)'!$B$97,Model!Z$1,'Assumptions (T&amp;D)'!$B$100,Model!$R$2839)</f>
        <v>-0.71826561730007987</v>
      </c>
      <c r="V2857" s="377">
        <f>PPMT('Assumptions (T&amp;D)'!$B$97,Model!AA$1,'Assumptions (T&amp;D)'!$B$100,Model!$R$2839)</f>
        <v>-0.7523832341218335</v>
      </c>
      <c r="W2857" s="377">
        <f>PPMT('Assumptions (T&amp;D)'!$B$97,Model!AB$1,'Assumptions (T&amp;D)'!$B$100,Model!$R$2839)</f>
        <v>-0.78812143774262067</v>
      </c>
      <c r="X2857" s="377">
        <f>PPMT('Assumptions (T&amp;D)'!$B$97,Model!AC$1,'Assumptions (T&amp;D)'!$B$100,Model!$R$2839)</f>
        <v>-0.82555720603539517</v>
      </c>
      <c r="Y2857" s="377">
        <f>PPMT('Assumptions (T&amp;D)'!$B$97,Model!AD$1,'Assumptions (T&amp;D)'!$B$100,Model!$R$2839)</f>
        <v>-0.86477117332207643</v>
      </c>
      <c r="Z2857" s="377">
        <f>PPMT('Assumptions (T&amp;D)'!$B$97,Model!AE$1,'Assumptions (T&amp;D)'!$B$100,Model!$R$2839)</f>
        <v>-0.90584780405487508</v>
      </c>
      <c r="AA2857" s="377">
        <f>PPMT('Assumptions (T&amp;D)'!$B$97,Model!AF$1,'Assumptions (T&amp;D)'!$B$100,Model!$R$2839)</f>
        <v>-0.94887557474748163</v>
      </c>
      <c r="AB2857" s="377">
        <f>PPMT('Assumptions (T&amp;D)'!$B$97,Model!AG$1,'Assumptions (T&amp;D)'!$B$100,Model!$R$2839)</f>
        <v>-0.99394716454798726</v>
      </c>
      <c r="AC2857" s="377">
        <f>PPMT('Assumptions (T&amp;D)'!$B$97,Model!AH$1,'Assumptions (T&amp;D)'!$B$100,Model!$R$2839)</f>
        <v>-1.0411596548640165</v>
      </c>
      <c r="AD2857" s="377">
        <f>PPMT('Assumptions (T&amp;D)'!$B$97,Model!AI$1,'Assumptions (T&amp;D)'!$B$100,Model!$R$2839)</f>
        <v>-1.0906147384700573</v>
      </c>
      <c r="AE2857" s="377">
        <f>PPMT('Assumptions (T&amp;D)'!$B$97,Model!AJ$1,'Assumptions (T&amp;D)'!$B$100,Model!$R$2839)</f>
        <v>-1.1424189385473851</v>
      </c>
      <c r="AF2857" s="377">
        <f>PPMT('Assumptions (T&amp;D)'!$B$97,Model!AK$1,'Assumptions (T&amp;D)'!$B$100,Model!$R$2839)</f>
        <v>-1.1966838381283857</v>
      </c>
      <c r="AG2857" s="377"/>
      <c r="AH2857" s="377"/>
      <c r="AI2857" s="377"/>
      <c r="AJ2857" s="377"/>
      <c r="AK2857" s="377"/>
      <c r="AL2857" s="377"/>
      <c r="AM2857" s="377"/>
      <c r="AN2857" s="377"/>
      <c r="AO2857" s="377"/>
      <c r="AP2857" s="377"/>
    </row>
    <row r="2858" spans="1:49" ht="15.75" hidden="1" customHeight="1" outlineLevel="1">
      <c r="A2858" s="460"/>
      <c r="B2858" s="99"/>
      <c r="C2858" s="377"/>
      <c r="D2858" s="377"/>
      <c r="E2858" s="377"/>
      <c r="F2858" s="377"/>
      <c r="G2858" s="377"/>
      <c r="H2858" s="377"/>
      <c r="I2858" s="377"/>
      <c r="J2858" s="377"/>
      <c r="K2858" s="377"/>
      <c r="L2858" s="377"/>
      <c r="M2858" s="377"/>
      <c r="N2858" s="377"/>
      <c r="O2858" s="377"/>
      <c r="P2858" s="377"/>
      <c r="Q2858" s="377"/>
      <c r="R2858" s="377"/>
      <c r="S2858" s="377">
        <f>PPMT('Assumptions (T&amp;D)'!$B$97,Model!W$1,'Assumptions (T&amp;D)'!$B$100,Model!$S$2839)</f>
        <v>-0.66475584438851809</v>
      </c>
      <c r="T2858" s="377">
        <f>PPMT('Assumptions (T&amp;D)'!$B$97,Model!X$1,'Assumptions (T&amp;D)'!$B$100,Model!$S$2839)</f>
        <v>-0.69633174699697276</v>
      </c>
      <c r="U2858" s="377">
        <f>PPMT('Assumptions (T&amp;D)'!$B$97,Model!Y$1,'Assumptions (T&amp;D)'!$B$100,Model!$S$2839)</f>
        <v>-0.72940750497932905</v>
      </c>
      <c r="V2858" s="377">
        <f>PPMT('Assumptions (T&amp;D)'!$B$97,Model!Z$1,'Assumptions (T&amp;D)'!$B$100,Model!$S$2839)</f>
        <v>-0.76405436146584704</v>
      </c>
      <c r="W2858" s="377">
        <f>PPMT('Assumptions (T&amp;D)'!$B$97,Model!AA$1,'Assumptions (T&amp;D)'!$B$100,Model!$S$2839)</f>
        <v>-0.80034694363547476</v>
      </c>
      <c r="X2858" s="377">
        <f>PPMT('Assumptions (T&amp;D)'!$B$97,Model!AB$1,'Assumptions (T&amp;D)'!$B$100,Model!$S$2839)</f>
        <v>-0.83836342345815984</v>
      </c>
      <c r="Y2858" s="377">
        <f>PPMT('Assumptions (T&amp;D)'!$B$97,Model!AC$1,'Assumptions (T&amp;D)'!$B$100,Model!$S$2839)</f>
        <v>-0.87818568607242253</v>
      </c>
      <c r="Z2858" s="377">
        <f>PPMT('Assumptions (T&amp;D)'!$B$97,Model!AD$1,'Assumptions (T&amp;D)'!$B$100,Model!$S$2839)</f>
        <v>-0.91989950616086247</v>
      </c>
      <c r="AA2858" s="377">
        <f>PPMT('Assumptions (T&amp;D)'!$B$97,Model!AE$1,'Assumptions (T&amp;D)'!$B$100,Model!$S$2839)</f>
        <v>-0.96359473270350349</v>
      </c>
      <c r="AB2858" s="377">
        <f>PPMT('Assumptions (T&amp;D)'!$B$97,Model!AF$1,'Assumptions (T&amp;D)'!$B$100,Model!$S$2839)</f>
        <v>-1.00936548250692</v>
      </c>
      <c r="AC2858" s="377">
        <f>PPMT('Assumptions (T&amp;D)'!$B$97,Model!AG$1,'Assumptions (T&amp;D)'!$B$100,Model!$S$2839)</f>
        <v>-1.0573103429259987</v>
      </c>
      <c r="AD2858" s="377">
        <f>PPMT('Assumptions (T&amp;D)'!$B$97,Model!AH$1,'Assumptions (T&amp;D)'!$B$100,Model!$S$2839)</f>
        <v>-1.1075325842149835</v>
      </c>
      <c r="AE2858" s="377">
        <f>PPMT('Assumptions (T&amp;D)'!$B$97,Model!AI$1,'Assumptions (T&amp;D)'!$B$100,Model!$S$2839)</f>
        <v>-1.1601403819651954</v>
      </c>
      <c r="AF2858" s="377">
        <f>PPMT('Assumptions (T&amp;D)'!$B$97,Model!AJ$1,'Assumptions (T&amp;D)'!$B$100,Model!$S$2839)</f>
        <v>-1.2152470501085422</v>
      </c>
      <c r="AG2858" s="377">
        <f>PPMT('Assumptions (T&amp;D)'!$B$97,Model!AK$1,'Assumptions (T&amp;D)'!$B$100,Model!$S$2839)</f>
        <v>-1.2729712849886978</v>
      </c>
      <c r="AH2858" s="377"/>
      <c r="AI2858" s="377"/>
      <c r="AJ2858" s="377"/>
      <c r="AK2858" s="377"/>
      <c r="AL2858" s="377"/>
      <c r="AM2858" s="377"/>
      <c r="AN2858" s="377"/>
      <c r="AO2858" s="377"/>
      <c r="AP2858" s="377"/>
      <c r="AQ2858" s="377"/>
    </row>
    <row r="2859" spans="1:49" ht="15.75" hidden="1" customHeight="1" outlineLevel="1">
      <c r="A2859" s="460"/>
      <c r="B2859" s="99"/>
      <c r="C2859" s="377"/>
      <c r="D2859" s="377"/>
      <c r="E2859" s="377"/>
      <c r="F2859" s="377"/>
      <c r="G2859" s="377"/>
      <c r="H2859" s="377"/>
      <c r="I2859" s="377"/>
      <c r="J2859" s="377"/>
      <c r="K2859" s="377"/>
      <c r="L2859" s="377"/>
      <c r="M2859" s="377"/>
      <c r="N2859" s="377"/>
      <c r="O2859" s="377"/>
      <c r="P2859" s="377"/>
      <c r="Q2859" s="377"/>
      <c r="R2859" s="377"/>
      <c r="S2859" s="42"/>
      <c r="T2859" s="377">
        <f>PPMT('Assumptions (T&amp;D)'!$B$97,Model!W$1,'Assumptions (T&amp;D)'!$B$100,Model!$T$2839)</f>
        <v>-0.70157113981863162</v>
      </c>
      <c r="U2859" s="377">
        <f>PPMT('Assumptions (T&amp;D)'!$B$97,Model!X$1,'Assumptions (T&amp;D)'!$B$100,Model!$T$2839)</f>
        <v>-0.73489576896001663</v>
      </c>
      <c r="V2859" s="377">
        <f>PPMT('Assumptions (T&amp;D)'!$B$97,Model!Y$1,'Assumptions (T&amp;D)'!$B$100,Model!$T$2839)</f>
        <v>-0.76980331798561752</v>
      </c>
      <c r="W2859" s="377">
        <f>PPMT('Assumptions (T&amp;D)'!$B$97,Model!Z$1,'Assumptions (T&amp;D)'!$B$100,Model!$T$2839)</f>
        <v>-0.80636897558993426</v>
      </c>
      <c r="X2859" s="377">
        <f>PPMT('Assumptions (T&amp;D)'!$B$97,Model!AA$1,'Assumptions (T&amp;D)'!$B$100,Model!$T$2839)</f>
        <v>-0.84467150193045604</v>
      </c>
      <c r="Y2859" s="377">
        <f>PPMT('Assumptions (T&amp;D)'!$B$97,Model!AB$1,'Assumptions (T&amp;D)'!$B$100,Model!$T$2839)</f>
        <v>-0.88479339827215275</v>
      </c>
      <c r="Z2859" s="377">
        <f>PPMT('Assumptions (T&amp;D)'!$B$97,Model!AC$1,'Assumptions (T&amp;D)'!$B$100,Model!$T$2839)</f>
        <v>-0.92682108469008018</v>
      </c>
      <c r="AA2859" s="377">
        <f>PPMT('Assumptions (T&amp;D)'!$B$97,Model!AD$1,'Assumptions (T&amp;D)'!$B$100,Model!$T$2839)</f>
        <v>-0.97084508621285892</v>
      </c>
      <c r="AB2859" s="377">
        <f>PPMT('Assumptions (T&amp;D)'!$B$97,Model!AE$1,'Assumptions (T&amp;D)'!$B$100,Model!$T$2839)</f>
        <v>-1.0169602278079697</v>
      </c>
      <c r="AC2859" s="377">
        <f>PPMT('Assumptions (T&amp;D)'!$B$97,Model!AF$1,'Assumptions (T&amp;D)'!$B$100,Model!$T$2839)</f>
        <v>-1.0652658386288483</v>
      </c>
      <c r="AD2859" s="377">
        <f>PPMT('Assumptions (T&amp;D)'!$B$97,Model!AG$1,'Assumptions (T&amp;D)'!$B$100,Model!$T$2839)</f>
        <v>-1.1158659659637187</v>
      </c>
      <c r="AE2859" s="377">
        <f>PPMT('Assumptions (T&amp;D)'!$B$97,Model!AH$1,'Assumptions (T&amp;D)'!$B$100,Model!$T$2839)</f>
        <v>-1.1688695993469953</v>
      </c>
      <c r="AF2859" s="377">
        <f>PPMT('Assumptions (T&amp;D)'!$B$97,Model!AI$1,'Assumptions (T&amp;D)'!$B$100,Model!$T$2839)</f>
        <v>-1.2243909053159776</v>
      </c>
      <c r="AG2859" s="377">
        <f>PPMT('Assumptions (T&amp;D)'!$B$97,Model!AJ$1,'Assumptions (T&amp;D)'!$B$100,Model!$T$2839)</f>
        <v>-1.2825494733184863</v>
      </c>
      <c r="AH2859" s="377">
        <f>PPMT('Assumptions (T&amp;D)'!$B$97,Model!AK$1,'Assumptions (T&amp;D)'!$B$100,Model!$T$2839)</f>
        <v>-1.3434705733011145</v>
      </c>
      <c r="AI2859" s="377"/>
      <c r="AJ2859" s="377"/>
      <c r="AK2859" s="377"/>
      <c r="AL2859" s="377"/>
      <c r="AM2859" s="377"/>
      <c r="AN2859" s="377"/>
      <c r="AO2859" s="377"/>
      <c r="AP2859" s="377"/>
      <c r="AQ2859" s="377"/>
      <c r="AR2859" s="377"/>
    </row>
    <row r="2860" spans="1:49" ht="15.75" hidden="1" customHeight="1" outlineLevel="1">
      <c r="A2860" s="460"/>
      <c r="B2860" s="99"/>
      <c r="C2860" s="377"/>
      <c r="D2860" s="377"/>
      <c r="E2860" s="377"/>
      <c r="F2860" s="377"/>
      <c r="G2860" s="377"/>
      <c r="H2860" s="377"/>
      <c r="I2860" s="377"/>
      <c r="J2860" s="377"/>
      <c r="K2860" s="377"/>
      <c r="L2860" s="377"/>
      <c r="M2860" s="377"/>
      <c r="N2860" s="377"/>
      <c r="O2860" s="377"/>
      <c r="P2860" s="377"/>
      <c r="Q2860" s="377"/>
      <c r="R2860" s="377"/>
      <c r="S2860" s="42"/>
      <c r="T2860" s="42"/>
      <c r="U2860" s="377">
        <f>PPMT('Assumptions (T&amp;D)'!$B$97,Model!W$1,'Assumptions (T&amp;D)'!$B$100,Model!$U$2839)</f>
        <v>-0.64684112348994383</v>
      </c>
      <c r="V2860" s="377">
        <f>PPMT('Assumptions (T&amp;D)'!$B$97,Model!X$1,'Assumptions (T&amp;D)'!$B$100,Model!$U$2839)</f>
        <v>-0.67756607685571624</v>
      </c>
      <c r="W2860" s="377">
        <f>PPMT('Assumptions (T&amp;D)'!$B$97,Model!Y$1,'Assumptions (T&amp;D)'!$B$100,Model!$U$2839)</f>
        <v>-0.70975046550636278</v>
      </c>
      <c r="X2860" s="377">
        <f>PPMT('Assumptions (T&amp;D)'!$B$97,Model!Z$1,'Assumptions (T&amp;D)'!$B$100,Model!$U$2839)</f>
        <v>-0.74346361261791483</v>
      </c>
      <c r="Y2860" s="377">
        <f>PPMT('Assumptions (T&amp;D)'!$B$97,Model!AA$1,'Assumptions (T&amp;D)'!$B$100,Model!$U$2839)</f>
        <v>-0.77877813421726583</v>
      </c>
      <c r="Z2860" s="377">
        <f>PPMT('Assumptions (T&amp;D)'!$B$97,Model!AB$1,'Assumptions (T&amp;D)'!$B$100,Model!$U$2839)</f>
        <v>-0.81577009559258595</v>
      </c>
      <c r="AA2860" s="377">
        <f>PPMT('Assumptions (T&amp;D)'!$B$97,Model!AC$1,'Assumptions (T&amp;D)'!$B$100,Model!$U$2839)</f>
        <v>-0.85451917513323383</v>
      </c>
      <c r="AB2860" s="377">
        <f>PPMT('Assumptions (T&amp;D)'!$B$97,Model!AD$1,'Assumptions (T&amp;D)'!$B$100,Model!$U$2839)</f>
        <v>-0.89510883595206248</v>
      </c>
      <c r="AC2860" s="377">
        <f>PPMT('Assumptions (T&amp;D)'!$B$97,Model!AE$1,'Assumptions (T&amp;D)'!$B$100,Model!$U$2839)</f>
        <v>-0.93762650565978545</v>
      </c>
      <c r="AD2860" s="377">
        <f>PPMT('Assumptions (T&amp;D)'!$B$97,Model!AF$1,'Assumptions (T&amp;D)'!$B$100,Model!$U$2839)</f>
        <v>-0.98216376467862521</v>
      </c>
      <c r="AE2860" s="377">
        <f>PPMT('Assumptions (T&amp;D)'!$B$97,Model!AG$1,'Assumptions (T&amp;D)'!$B$100,Model!$U$2839)</f>
        <v>-1.02881654350086</v>
      </c>
      <c r="AF2860" s="377">
        <f>PPMT('Assumptions (T&amp;D)'!$B$97,Model!AH$1,'Assumptions (T&amp;D)'!$B$100,Model!$U$2839)</f>
        <v>-1.0776853293171509</v>
      </c>
      <c r="AG2860" s="377">
        <f>PPMT('Assumptions (T&amp;D)'!$B$97,Model!AI$1,'Assumptions (T&amp;D)'!$B$100,Model!$U$2839)</f>
        <v>-1.1288753824597155</v>
      </c>
      <c r="AH2860" s="377">
        <f>PPMT('Assumptions (T&amp;D)'!$B$97,Model!AJ$1,'Assumptions (T&amp;D)'!$B$100,Model!$U$2839)</f>
        <v>-1.1824969631265521</v>
      </c>
      <c r="AI2860" s="377">
        <f>PPMT('Assumptions (T&amp;D)'!$B$97,Model!AK$1,'Assumptions (T&amp;D)'!$B$100,Model!$U$2839)</f>
        <v>-1.2386655688750632</v>
      </c>
      <c r="AJ2860" s="377"/>
      <c r="AK2860" s="377"/>
      <c r="AL2860" s="377"/>
      <c r="AM2860" s="377"/>
      <c r="AN2860" s="377"/>
      <c r="AO2860" s="377"/>
      <c r="AP2860" s="377"/>
      <c r="AQ2860" s="377"/>
      <c r="AR2860" s="377"/>
      <c r="AS2860" s="377"/>
    </row>
    <row r="2861" spans="1:49" ht="15.75" hidden="1" customHeight="1" outlineLevel="1">
      <c r="A2861" s="460"/>
      <c r="B2861" s="99"/>
      <c r="C2861" s="377"/>
      <c r="D2861" s="377"/>
      <c r="E2861" s="377"/>
      <c r="F2861" s="377"/>
      <c r="G2861" s="377"/>
      <c r="H2861" s="377"/>
      <c r="I2861" s="377"/>
      <c r="J2861" s="377"/>
      <c r="K2861" s="377"/>
      <c r="L2861" s="377"/>
      <c r="M2861" s="377"/>
      <c r="N2861" s="377"/>
      <c r="O2861" s="377"/>
      <c r="P2861" s="377"/>
      <c r="Q2861" s="377"/>
      <c r="R2861" s="377"/>
      <c r="S2861" s="42"/>
      <c r="T2861" s="42"/>
      <c r="U2861" s="42"/>
      <c r="V2861" s="377">
        <f>PPMT('Assumptions (T&amp;D)'!$B$97,Model!W$1,'Assumptions (T&amp;D)'!$B$100,Model!$V$2839)</f>
        <v>-0.64684112348994383</v>
      </c>
      <c r="W2861" s="377">
        <f>PPMT('Assumptions (T&amp;D)'!$B$97,Model!X$1,'Assumptions (T&amp;D)'!$B$100,Model!$V$2839)</f>
        <v>-0.67756607685571624</v>
      </c>
      <c r="X2861" s="377">
        <f>PPMT('Assumptions (T&amp;D)'!$B$97,Model!Y$1,'Assumptions (T&amp;D)'!$B$100,Model!$V$2839)</f>
        <v>-0.70975046550636278</v>
      </c>
      <c r="Y2861" s="377">
        <f>PPMT('Assumptions (T&amp;D)'!$B$97,Model!Z$1,'Assumptions (T&amp;D)'!$B$100,Model!$V$2839)</f>
        <v>-0.74346361261791483</v>
      </c>
      <c r="Z2861" s="377">
        <f>PPMT('Assumptions (T&amp;D)'!$B$97,Model!AA$1,'Assumptions (T&amp;D)'!$B$100,Model!$V$2839)</f>
        <v>-0.77877813421726583</v>
      </c>
      <c r="AA2861" s="377">
        <f>PPMT('Assumptions (T&amp;D)'!$B$97,Model!AB$1,'Assumptions (T&amp;D)'!$B$100,Model!$V$2839)</f>
        <v>-0.81577009559258595</v>
      </c>
      <c r="AB2861" s="377">
        <f>PPMT('Assumptions (T&amp;D)'!$B$97,Model!AC$1,'Assumptions (T&amp;D)'!$B$100,Model!$V$2839)</f>
        <v>-0.85451917513323383</v>
      </c>
      <c r="AC2861" s="377">
        <f>PPMT('Assumptions (T&amp;D)'!$B$97,Model!AD$1,'Assumptions (T&amp;D)'!$B$100,Model!$V$2839)</f>
        <v>-0.89510883595206248</v>
      </c>
      <c r="AD2861" s="377">
        <f>PPMT('Assumptions (T&amp;D)'!$B$97,Model!AE$1,'Assumptions (T&amp;D)'!$B$100,Model!$V$2839)</f>
        <v>-0.93762650565978545</v>
      </c>
      <c r="AE2861" s="377">
        <f>PPMT('Assumptions (T&amp;D)'!$B$97,Model!AF$1,'Assumptions (T&amp;D)'!$B$100,Model!$V$2839)</f>
        <v>-0.98216376467862521</v>
      </c>
      <c r="AF2861" s="377">
        <f>PPMT('Assumptions (T&amp;D)'!$B$97,Model!AG$1,'Assumptions (T&amp;D)'!$B$100,Model!$V$2839)</f>
        <v>-1.02881654350086</v>
      </c>
      <c r="AG2861" s="377">
        <f>PPMT('Assumptions (T&amp;D)'!$B$97,Model!AH$1,'Assumptions (T&amp;D)'!$B$100,Model!$V$2839)</f>
        <v>-1.0776853293171509</v>
      </c>
      <c r="AH2861" s="377">
        <f>PPMT('Assumptions (T&amp;D)'!$B$97,Model!AI$1,'Assumptions (T&amp;D)'!$B$100,Model!$V$2839)</f>
        <v>-1.1288753824597155</v>
      </c>
      <c r="AI2861" s="377">
        <f>PPMT('Assumptions (T&amp;D)'!$B$97,Model!AJ$1,'Assumptions (T&amp;D)'!$B$100,Model!$V$2839)</f>
        <v>-1.1824969631265521</v>
      </c>
      <c r="AJ2861" s="377">
        <f>PPMT('Assumptions (T&amp;D)'!$B$97,Model!AK$1,'Assumptions (T&amp;D)'!$B$100,Model!$V$2839)</f>
        <v>-1.2386655688750632</v>
      </c>
      <c r="AK2861" s="377"/>
      <c r="AL2861" s="377"/>
      <c r="AM2861" s="377"/>
      <c r="AN2861" s="377"/>
      <c r="AO2861" s="377"/>
      <c r="AP2861" s="377"/>
      <c r="AQ2861" s="377"/>
      <c r="AR2861" s="377"/>
      <c r="AS2861" s="377"/>
      <c r="AT2861" s="377"/>
    </row>
    <row r="2862" spans="1:49" ht="15.75" hidden="1" customHeight="1" outlineLevel="1">
      <c r="A2862" s="460"/>
      <c r="B2862" s="99"/>
      <c r="C2862" s="377"/>
      <c r="D2862" s="377"/>
      <c r="E2862" s="377"/>
      <c r="F2862" s="377"/>
      <c r="G2862" s="377"/>
      <c r="H2862" s="377"/>
      <c r="I2862" s="377"/>
      <c r="J2862" s="377"/>
      <c r="K2862" s="377"/>
      <c r="L2862" s="377"/>
      <c r="M2862" s="377"/>
      <c r="N2862" s="377"/>
      <c r="O2862" s="377"/>
      <c r="P2862" s="377"/>
      <c r="Q2862" s="377"/>
      <c r="R2862" s="377"/>
      <c r="S2862" s="42"/>
      <c r="T2862" s="42"/>
      <c r="U2862" s="42"/>
      <c r="V2862" s="42"/>
      <c r="W2862" s="377">
        <f>PPMT('Assumptions (T&amp;D)'!$B$97,Model!W$1,'Assumptions (T&amp;D)'!$B$100,Model!$W$2839)</f>
        <v>-0.64684112348994383</v>
      </c>
      <c r="X2862" s="377">
        <f>PPMT('Assumptions (T&amp;D)'!$B$97,Model!X$1,'Assumptions (T&amp;D)'!$B$100,Model!$W$2839)</f>
        <v>-0.67756607685571624</v>
      </c>
      <c r="Y2862" s="377">
        <f>PPMT('Assumptions (T&amp;D)'!$B$97,Model!Y$1,'Assumptions (T&amp;D)'!$B$100,Model!$W$2839)</f>
        <v>-0.70975046550636278</v>
      </c>
      <c r="Z2862" s="377">
        <f>PPMT('Assumptions (T&amp;D)'!$B$97,Model!Z$1,'Assumptions (T&amp;D)'!$B$100,Model!$W$2839)</f>
        <v>-0.74346361261791483</v>
      </c>
      <c r="AA2862" s="377">
        <f>PPMT('Assumptions (T&amp;D)'!$B$97,Model!AA$1,'Assumptions (T&amp;D)'!$B$100,Model!$W$2839)</f>
        <v>-0.77877813421726583</v>
      </c>
      <c r="AB2862" s="377">
        <f>PPMT('Assumptions (T&amp;D)'!$B$97,Model!AB$1,'Assumptions (T&amp;D)'!$B$100,Model!$W$2839)</f>
        <v>-0.81577009559258595</v>
      </c>
      <c r="AC2862" s="377">
        <f>PPMT('Assumptions (T&amp;D)'!$B$97,Model!AC$1,'Assumptions (T&amp;D)'!$B$100,Model!$W$2839)</f>
        <v>-0.85451917513323383</v>
      </c>
      <c r="AD2862" s="377">
        <f>PPMT('Assumptions (T&amp;D)'!$B$97,Model!AD$1,'Assumptions (T&amp;D)'!$B$100,Model!$W$2839)</f>
        <v>-0.89510883595206248</v>
      </c>
      <c r="AE2862" s="377">
        <f>PPMT('Assumptions (T&amp;D)'!$B$97,Model!AE$1,'Assumptions (T&amp;D)'!$B$100,Model!$W$2839)</f>
        <v>-0.93762650565978545</v>
      </c>
      <c r="AF2862" s="377">
        <f>PPMT('Assumptions (T&amp;D)'!$B$97,Model!AF$1,'Assumptions (T&amp;D)'!$B$100,Model!$W$2839)</f>
        <v>-0.98216376467862521</v>
      </c>
      <c r="AG2862" s="377">
        <f>PPMT('Assumptions (T&amp;D)'!$B$97,Model!AG$1,'Assumptions (T&amp;D)'!$B$100,Model!$W$2839)</f>
        <v>-1.02881654350086</v>
      </c>
      <c r="AH2862" s="377">
        <f>PPMT('Assumptions (T&amp;D)'!$B$97,Model!AH$1,'Assumptions (T&amp;D)'!$B$100,Model!$W$2839)</f>
        <v>-1.0776853293171509</v>
      </c>
      <c r="AI2862" s="377">
        <f>PPMT('Assumptions (T&amp;D)'!$B$97,Model!AI$1,'Assumptions (T&amp;D)'!$B$100,Model!$W$2839)</f>
        <v>-1.1288753824597155</v>
      </c>
      <c r="AJ2862" s="377">
        <f>PPMT('Assumptions (T&amp;D)'!$B$97,Model!AJ$1,'Assumptions (T&amp;D)'!$B$100,Model!$W$2839)</f>
        <v>-1.1824969631265521</v>
      </c>
      <c r="AK2862" s="377">
        <f>PPMT('Assumptions (T&amp;D)'!$B$97,Model!AK$1,'Assumptions (T&amp;D)'!$B$100,Model!$W$2839)</f>
        <v>-1.2386655688750632</v>
      </c>
      <c r="AL2862" s="377"/>
      <c r="AM2862" s="377"/>
      <c r="AN2862" s="377"/>
      <c r="AO2862" s="377"/>
      <c r="AP2862" s="377"/>
      <c r="AQ2862" s="377"/>
      <c r="AR2862" s="377"/>
      <c r="AS2862" s="377"/>
      <c r="AT2862" s="377"/>
      <c r="AU2862" s="377"/>
    </row>
    <row r="2863" spans="1:49" ht="15.75" hidden="1" customHeight="1" outlineLevel="1">
      <c r="A2863" s="460"/>
      <c r="B2863" s="99"/>
      <c r="C2863" s="377"/>
      <c r="D2863" s="377"/>
      <c r="E2863" s="377"/>
      <c r="F2863" s="377"/>
      <c r="G2863" s="377"/>
      <c r="H2863" s="377"/>
      <c r="I2863" s="377"/>
      <c r="J2863" s="377"/>
      <c r="K2863" s="377"/>
      <c r="L2863" s="377"/>
      <c r="M2863" s="377"/>
      <c r="N2863" s="377"/>
      <c r="O2863" s="377"/>
      <c r="P2863" s="377"/>
      <c r="Q2863" s="377"/>
      <c r="R2863" s="377"/>
      <c r="S2863" s="42"/>
      <c r="T2863" s="42"/>
      <c r="U2863" s="42"/>
      <c r="V2863" s="42"/>
      <c r="W2863" s="86"/>
      <c r="X2863" s="377">
        <f>PPMT('Assumptions (T&amp;D)'!$B$97,Model!W$1,'Assumptions (T&amp;D)'!$B$100,Model!$X$2839)</f>
        <v>-0.64684112348994383</v>
      </c>
      <c r="Y2863" s="377">
        <f>PPMT('Assumptions (T&amp;D)'!$B$97,Model!X$1,'Assumptions (T&amp;D)'!$B$100,Model!$X$2839)</f>
        <v>-0.67756607685571624</v>
      </c>
      <c r="Z2863" s="377">
        <f>PPMT('Assumptions (T&amp;D)'!$B$97,Model!Y$1,'Assumptions (T&amp;D)'!$B$100,Model!$X$2839)</f>
        <v>-0.70975046550636278</v>
      </c>
      <c r="AA2863" s="377">
        <f>PPMT('Assumptions (T&amp;D)'!$B$97,Model!Z$1,'Assumptions (T&amp;D)'!$B$100,Model!$X$2839)</f>
        <v>-0.74346361261791483</v>
      </c>
      <c r="AB2863" s="377">
        <f>PPMT('Assumptions (T&amp;D)'!$B$97,Model!AA$1,'Assumptions (T&amp;D)'!$B$100,Model!$X$2839)</f>
        <v>-0.77877813421726583</v>
      </c>
      <c r="AC2863" s="377">
        <f>PPMT('Assumptions (T&amp;D)'!$B$97,Model!AB$1,'Assumptions (T&amp;D)'!$B$100,Model!$X$2839)</f>
        <v>-0.81577009559258595</v>
      </c>
      <c r="AD2863" s="377">
        <f>PPMT('Assumptions (T&amp;D)'!$B$97,Model!AC$1,'Assumptions (T&amp;D)'!$B$100,Model!$X$2839)</f>
        <v>-0.85451917513323383</v>
      </c>
      <c r="AE2863" s="377">
        <f>PPMT('Assumptions (T&amp;D)'!$B$97,Model!AD$1,'Assumptions (T&amp;D)'!$B$100,Model!$X$2839)</f>
        <v>-0.89510883595206248</v>
      </c>
      <c r="AF2863" s="377">
        <f>PPMT('Assumptions (T&amp;D)'!$B$97,Model!AE$1,'Assumptions (T&amp;D)'!$B$100,Model!$X$2839)</f>
        <v>-0.93762650565978545</v>
      </c>
      <c r="AG2863" s="377">
        <f>PPMT('Assumptions (T&amp;D)'!$B$97,Model!AF$1,'Assumptions (T&amp;D)'!$B$100,Model!$X$2839)</f>
        <v>-0.98216376467862521</v>
      </c>
      <c r="AH2863" s="377">
        <f>PPMT('Assumptions (T&amp;D)'!$B$97,Model!AG$1,'Assumptions (T&amp;D)'!$B$100,Model!$X$2839)</f>
        <v>-1.02881654350086</v>
      </c>
      <c r="AI2863" s="377">
        <f>PPMT('Assumptions (T&amp;D)'!$B$97,Model!AH$1,'Assumptions (T&amp;D)'!$B$100,Model!$X$2839)</f>
        <v>-1.0776853293171509</v>
      </c>
      <c r="AJ2863" s="377">
        <f>PPMT('Assumptions (T&amp;D)'!$B$97,Model!AI$1,'Assumptions (T&amp;D)'!$B$100,Model!$X$2839)</f>
        <v>-1.1288753824597155</v>
      </c>
      <c r="AK2863" s="377">
        <f>PPMT('Assumptions (T&amp;D)'!$B$97,Model!AJ$1,'Assumptions (T&amp;D)'!$B$100,Model!$X$2839)</f>
        <v>-1.1824969631265521</v>
      </c>
      <c r="AL2863" s="377">
        <f>PPMT('Assumptions (T&amp;D)'!$B$97,Model!AK$1,'Assumptions (T&amp;D)'!$B$100,Model!$X$2839)</f>
        <v>-1.2386655688750632</v>
      </c>
      <c r="AM2863" s="377"/>
      <c r="AN2863" s="377"/>
      <c r="AO2863" s="377"/>
      <c r="AP2863" s="377"/>
      <c r="AQ2863" s="377"/>
      <c r="AR2863" s="377"/>
      <c r="AS2863" s="377"/>
      <c r="AT2863" s="377"/>
      <c r="AU2863" s="377"/>
      <c r="AV2863" s="377"/>
    </row>
    <row r="2864" spans="1:49" ht="15.75" hidden="1" customHeight="1" outlineLevel="1">
      <c r="A2864" s="460"/>
      <c r="B2864" s="99"/>
      <c r="C2864" s="377"/>
      <c r="D2864" s="377"/>
      <c r="E2864" s="377"/>
      <c r="F2864" s="377"/>
      <c r="G2864" s="377"/>
      <c r="H2864" s="377"/>
      <c r="I2864" s="377"/>
      <c r="J2864" s="377"/>
      <c r="K2864" s="377"/>
      <c r="L2864" s="377"/>
      <c r="M2864" s="377"/>
      <c r="N2864" s="377"/>
      <c r="O2864" s="377"/>
      <c r="P2864" s="377"/>
      <c r="Q2864" s="377"/>
      <c r="R2864" s="377"/>
      <c r="S2864" s="42"/>
      <c r="T2864" s="42"/>
      <c r="U2864" s="42"/>
      <c r="V2864" s="42"/>
      <c r="W2864" s="86"/>
      <c r="Y2864" s="377">
        <f>PPMT('Assumptions (T&amp;D)'!$B$97,Model!W$1,'Assumptions (T&amp;D)'!$B$100,Model!$Y$2839)</f>
        <v>-0.64684112348994383</v>
      </c>
      <c r="Z2864" s="377">
        <f>PPMT('Assumptions (T&amp;D)'!$B$97,Model!X$1,'Assumptions (T&amp;D)'!$B$100,Model!$Y$2839)</f>
        <v>-0.67756607685571624</v>
      </c>
      <c r="AA2864" s="377">
        <f>PPMT('Assumptions (T&amp;D)'!$B$97,Model!Y$1,'Assumptions (T&amp;D)'!$B$100,Model!$Y$2839)</f>
        <v>-0.70975046550636278</v>
      </c>
      <c r="AB2864" s="377">
        <f>PPMT('Assumptions (T&amp;D)'!$B$97,Model!Z$1,'Assumptions (T&amp;D)'!$B$100,Model!$Y$2839)</f>
        <v>-0.74346361261791483</v>
      </c>
      <c r="AC2864" s="377">
        <f>PPMT('Assumptions (T&amp;D)'!$B$97,Model!AA$1,'Assumptions (T&amp;D)'!$B$100,Model!$Y$2839)</f>
        <v>-0.77877813421726583</v>
      </c>
      <c r="AD2864" s="377">
        <f>PPMT('Assumptions (T&amp;D)'!$B$97,Model!AB$1,'Assumptions (T&amp;D)'!$B$100,Model!$Y$2839)</f>
        <v>-0.81577009559258595</v>
      </c>
      <c r="AE2864" s="377">
        <f>PPMT('Assumptions (T&amp;D)'!$B$97,Model!AC$1,'Assumptions (T&amp;D)'!$B$100,Model!$Y$2839)</f>
        <v>-0.85451917513323383</v>
      </c>
      <c r="AF2864" s="377">
        <f>PPMT('Assumptions (T&amp;D)'!$B$97,Model!AD$1,'Assumptions (T&amp;D)'!$B$100,Model!$Y$2839)</f>
        <v>-0.89510883595206248</v>
      </c>
      <c r="AG2864" s="377">
        <f>PPMT('Assumptions (T&amp;D)'!$B$97,Model!AE$1,'Assumptions (T&amp;D)'!$B$100,Model!$Y$2839)</f>
        <v>-0.93762650565978545</v>
      </c>
      <c r="AH2864" s="377">
        <f>PPMT('Assumptions (T&amp;D)'!$B$97,Model!AF$1,'Assumptions (T&amp;D)'!$B$100,Model!$Y$2839)</f>
        <v>-0.98216376467862521</v>
      </c>
      <c r="AI2864" s="377">
        <f>PPMT('Assumptions (T&amp;D)'!$B$97,Model!AG$1,'Assumptions (T&amp;D)'!$B$100,Model!$Y$2839)</f>
        <v>-1.02881654350086</v>
      </c>
      <c r="AJ2864" s="377">
        <f>PPMT('Assumptions (T&amp;D)'!$B$97,Model!AH$1,'Assumptions (T&amp;D)'!$B$100,Model!$Y$2839)</f>
        <v>-1.0776853293171509</v>
      </c>
      <c r="AK2864" s="377">
        <f>PPMT('Assumptions (T&amp;D)'!$B$97,Model!AI$1,'Assumptions (T&amp;D)'!$B$100,Model!$Y$2839)</f>
        <v>-1.1288753824597155</v>
      </c>
      <c r="AL2864" s="377">
        <f>PPMT('Assumptions (T&amp;D)'!$B$97,Model!AJ$1,'Assumptions (T&amp;D)'!$B$100,Model!$Y$2839)</f>
        <v>-1.1824969631265521</v>
      </c>
      <c r="AM2864" s="377">
        <f>PPMT('Assumptions (T&amp;D)'!$B$97,Model!AK$1,'Assumptions (T&amp;D)'!$B$100,Model!$Y$2839)</f>
        <v>-1.2386655688750632</v>
      </c>
      <c r="AN2864" s="377"/>
      <c r="AO2864" s="377"/>
      <c r="AP2864" s="377"/>
      <c r="AQ2864" s="377"/>
      <c r="AR2864" s="377"/>
      <c r="AS2864" s="377"/>
      <c r="AT2864" s="377"/>
      <c r="AU2864" s="377"/>
      <c r="AV2864" s="377"/>
      <c r="AW2864" s="377"/>
    </row>
    <row r="2865" spans="1:65" ht="15.75" hidden="1" customHeight="1" outlineLevel="1">
      <c r="A2865" s="460"/>
      <c r="B2865" s="99"/>
      <c r="C2865" s="377"/>
      <c r="D2865" s="377"/>
      <c r="E2865" s="377"/>
      <c r="F2865" s="377"/>
      <c r="G2865" s="377"/>
      <c r="H2865" s="377"/>
      <c r="I2865" s="377"/>
      <c r="J2865" s="377"/>
      <c r="K2865" s="377"/>
      <c r="L2865" s="377"/>
      <c r="M2865" s="377"/>
      <c r="N2865" s="377"/>
      <c r="O2865" s="377"/>
      <c r="P2865" s="377"/>
      <c r="Q2865" s="377"/>
      <c r="R2865" s="377"/>
      <c r="S2865" s="42"/>
      <c r="T2865" s="42"/>
      <c r="U2865" s="42"/>
      <c r="V2865" s="42"/>
      <c r="W2865" s="86"/>
      <c r="Z2865" s="377">
        <f>PPMT('Assumptions (T&amp;D)'!$B$97,Model!W$1,'Assumptions (T&amp;D)'!$B$100,Model!$Z$2839)</f>
        <v>-0.64684112348994383</v>
      </c>
      <c r="AA2865" s="377">
        <f>PPMT('Assumptions (T&amp;D)'!$B$97,Model!X$1,'Assumptions (T&amp;D)'!$B$100,Model!$Z$2839)</f>
        <v>-0.67756607685571624</v>
      </c>
      <c r="AB2865" s="377">
        <f>PPMT('Assumptions (T&amp;D)'!$B$97,Model!Y$1,'Assumptions (T&amp;D)'!$B$100,Model!$Z$2839)</f>
        <v>-0.70975046550636278</v>
      </c>
      <c r="AC2865" s="377">
        <f>PPMT('Assumptions (T&amp;D)'!$B$97,Model!Z$1,'Assumptions (T&amp;D)'!$B$100,Model!$Z$2839)</f>
        <v>-0.74346361261791483</v>
      </c>
      <c r="AD2865" s="377">
        <f>PPMT('Assumptions (T&amp;D)'!$B$97,Model!AA$1,'Assumptions (T&amp;D)'!$B$100,Model!$Z$2839)</f>
        <v>-0.77877813421726583</v>
      </c>
      <c r="AE2865" s="377">
        <f>PPMT('Assumptions (T&amp;D)'!$B$97,Model!AB$1,'Assumptions (T&amp;D)'!$B$100,Model!$Z$2839)</f>
        <v>-0.81577009559258595</v>
      </c>
      <c r="AF2865" s="377">
        <f>PPMT('Assumptions (T&amp;D)'!$B$97,Model!AC$1,'Assumptions (T&amp;D)'!$B$100,Model!$Z$2839)</f>
        <v>-0.85451917513323383</v>
      </c>
      <c r="AG2865" s="377">
        <f>PPMT('Assumptions (T&amp;D)'!$B$97,Model!AD$1,'Assumptions (T&amp;D)'!$B$100,Model!$Z$2839)</f>
        <v>-0.89510883595206248</v>
      </c>
      <c r="AH2865" s="377">
        <f>PPMT('Assumptions (T&amp;D)'!$B$97,Model!AE$1,'Assumptions (T&amp;D)'!$B$100,Model!$Z$2839)</f>
        <v>-0.93762650565978545</v>
      </c>
      <c r="AI2865" s="377">
        <f>PPMT('Assumptions (T&amp;D)'!$B$97,Model!AF$1,'Assumptions (T&amp;D)'!$B$100,Model!$Z$2839)</f>
        <v>-0.98216376467862521</v>
      </c>
      <c r="AJ2865" s="377">
        <f>PPMT('Assumptions (T&amp;D)'!$B$97,Model!AG$1,'Assumptions (T&amp;D)'!$B$100,Model!$Z$2839)</f>
        <v>-1.02881654350086</v>
      </c>
      <c r="AK2865" s="377">
        <f>PPMT('Assumptions (T&amp;D)'!$B$97,Model!AH$1,'Assumptions (T&amp;D)'!$B$100,Model!$Z$2839)</f>
        <v>-1.0776853293171509</v>
      </c>
      <c r="AL2865" s="377">
        <f>PPMT('Assumptions (T&amp;D)'!$B$97,Model!AI$1,'Assumptions (T&amp;D)'!$B$100,Model!$Z$2839)</f>
        <v>-1.1288753824597155</v>
      </c>
      <c r="AM2865" s="377">
        <f>PPMT('Assumptions (T&amp;D)'!$B$97,Model!AJ$1,'Assumptions (T&amp;D)'!$B$100,Model!$Z$2839)</f>
        <v>-1.1824969631265521</v>
      </c>
      <c r="AN2865" s="377">
        <f>PPMT('Assumptions (T&amp;D)'!$B$97,Model!AK$1,'Assumptions (T&amp;D)'!$B$100,Model!$Z$2839)</f>
        <v>-1.2386655688750632</v>
      </c>
      <c r="AO2865" s="377"/>
      <c r="AP2865" s="377"/>
      <c r="AQ2865" s="377"/>
      <c r="AR2865" s="377"/>
      <c r="AS2865" s="377"/>
      <c r="AT2865" s="377"/>
      <c r="AU2865" s="377"/>
      <c r="AV2865" s="377"/>
      <c r="AW2865" s="377"/>
      <c r="AX2865" s="377"/>
    </row>
    <row r="2866" spans="1:65" ht="15.75" hidden="1" customHeight="1" outlineLevel="1">
      <c r="A2866" s="460"/>
      <c r="B2866" s="99"/>
      <c r="C2866" s="377"/>
      <c r="D2866" s="377"/>
      <c r="E2866" s="377"/>
      <c r="F2866" s="377"/>
      <c r="G2866" s="377"/>
      <c r="H2866" s="377"/>
      <c r="I2866" s="377"/>
      <c r="J2866" s="377"/>
      <c r="K2866" s="377"/>
      <c r="L2866" s="377"/>
      <c r="M2866" s="377"/>
      <c r="N2866" s="377"/>
      <c r="O2866" s="377"/>
      <c r="P2866" s="377"/>
      <c r="Q2866" s="377"/>
      <c r="R2866" s="377"/>
      <c r="S2866" s="42"/>
      <c r="T2866" s="42"/>
      <c r="U2866" s="42"/>
      <c r="V2866" s="42"/>
      <c r="W2866" s="86"/>
      <c r="AA2866" s="377">
        <f>PPMT('Assumptions (T&amp;D)'!$B$97,Model!W$1,'Assumptions (T&amp;D)'!$B$100,Model!$AA$2839)</f>
        <v>-0.64684112348994383</v>
      </c>
      <c r="AB2866" s="377">
        <f>PPMT('Assumptions (T&amp;D)'!$B$97,Model!X$1,'Assumptions (T&amp;D)'!$B$100,Model!$AA$2839)</f>
        <v>-0.67756607685571624</v>
      </c>
      <c r="AC2866" s="377">
        <f>PPMT('Assumptions (T&amp;D)'!$B$97,Model!Y$1,'Assumptions (T&amp;D)'!$B$100,Model!$AA$2839)</f>
        <v>-0.70975046550636278</v>
      </c>
      <c r="AD2866" s="377">
        <f>PPMT('Assumptions (T&amp;D)'!$B$97,Model!Z$1,'Assumptions (T&amp;D)'!$B$100,Model!$AA$2839)</f>
        <v>-0.74346361261791483</v>
      </c>
      <c r="AE2866" s="377">
        <f>PPMT('Assumptions (T&amp;D)'!$B$97,Model!AA$1,'Assumptions (T&amp;D)'!$B$100,Model!$AA$2839)</f>
        <v>-0.77877813421726583</v>
      </c>
      <c r="AF2866" s="377">
        <f>PPMT('Assumptions (T&amp;D)'!$B$97,Model!AB$1,'Assumptions (T&amp;D)'!$B$100,Model!$AA$2839)</f>
        <v>-0.81577009559258595</v>
      </c>
      <c r="AG2866" s="377">
        <f>PPMT('Assumptions (T&amp;D)'!$B$97,Model!AC$1,'Assumptions (T&amp;D)'!$B$100,Model!$AA$2839)</f>
        <v>-0.85451917513323383</v>
      </c>
      <c r="AH2866" s="377">
        <f>PPMT('Assumptions (T&amp;D)'!$B$97,Model!AD$1,'Assumptions (T&amp;D)'!$B$100,Model!$AA$2839)</f>
        <v>-0.89510883595206248</v>
      </c>
      <c r="AI2866" s="377">
        <f>PPMT('Assumptions (T&amp;D)'!$B$97,Model!AE$1,'Assumptions (T&amp;D)'!$B$100,Model!$AA$2839)</f>
        <v>-0.93762650565978545</v>
      </c>
      <c r="AJ2866" s="377">
        <f>PPMT('Assumptions (T&amp;D)'!$B$97,Model!AF$1,'Assumptions (T&amp;D)'!$B$100,Model!$AA$2839)</f>
        <v>-0.98216376467862521</v>
      </c>
      <c r="AK2866" s="377">
        <f>PPMT('Assumptions (T&amp;D)'!$B$97,Model!AG$1,'Assumptions (T&amp;D)'!$B$100,Model!$AA$2839)</f>
        <v>-1.02881654350086</v>
      </c>
      <c r="AL2866" s="377">
        <f>PPMT('Assumptions (T&amp;D)'!$B$97,Model!AH$1,'Assumptions (T&amp;D)'!$B$100,Model!$AA$2839)</f>
        <v>-1.0776853293171509</v>
      </c>
      <c r="AM2866" s="377">
        <f>PPMT('Assumptions (T&amp;D)'!$B$97,Model!AI$1,'Assumptions (T&amp;D)'!$B$100,Model!$AA$2839)</f>
        <v>-1.1288753824597155</v>
      </c>
      <c r="AN2866" s="377">
        <f>PPMT('Assumptions (T&amp;D)'!$B$97,Model!AJ$1,'Assumptions (T&amp;D)'!$B$100,Model!$AA$2839)</f>
        <v>-1.1824969631265521</v>
      </c>
      <c r="AO2866" s="377">
        <f>PPMT('Assumptions (T&amp;D)'!$B$97,Model!AK$1,'Assumptions (T&amp;D)'!$B$100,Model!$AA$2839)</f>
        <v>-1.2386655688750632</v>
      </c>
      <c r="AP2866" s="377"/>
      <c r="AQ2866" s="377"/>
      <c r="AR2866" s="377"/>
      <c r="AS2866" s="377"/>
      <c r="AT2866" s="377"/>
      <c r="AU2866" s="377"/>
      <c r="AV2866" s="377"/>
      <c r="AW2866" s="377"/>
      <c r="AX2866" s="377"/>
      <c r="AY2866" s="377"/>
    </row>
    <row r="2867" spans="1:65" ht="15.75" hidden="1" customHeight="1" outlineLevel="1">
      <c r="A2867" s="460"/>
      <c r="B2867" s="99"/>
      <c r="C2867" s="377"/>
      <c r="D2867" s="377"/>
      <c r="E2867" s="377"/>
      <c r="F2867" s="377"/>
      <c r="G2867" s="377"/>
      <c r="H2867" s="377"/>
      <c r="I2867" s="377"/>
      <c r="J2867" s="377"/>
      <c r="K2867" s="377"/>
      <c r="L2867" s="377"/>
      <c r="M2867" s="377"/>
      <c r="N2867" s="377"/>
      <c r="O2867" s="377"/>
      <c r="P2867" s="377"/>
      <c r="Q2867" s="377"/>
      <c r="R2867" s="377"/>
      <c r="S2867" s="42"/>
      <c r="T2867" s="42"/>
      <c r="U2867" s="42"/>
      <c r="V2867" s="42"/>
      <c r="W2867" s="86"/>
      <c r="AB2867" s="377">
        <f>PPMT('Assumptions (T&amp;D)'!$B$97,Model!W$1,'Assumptions (T&amp;D)'!$B$100,Model!$AB$2839)</f>
        <v>-0.64684112348994383</v>
      </c>
      <c r="AC2867" s="377">
        <f>PPMT('Assumptions (T&amp;D)'!$B$97,Model!X$1,'Assumptions (T&amp;D)'!$B$100,Model!$AB$2839)</f>
        <v>-0.67756607685571624</v>
      </c>
      <c r="AD2867" s="377">
        <f>PPMT('Assumptions (T&amp;D)'!$B$97,Model!Y$1,'Assumptions (T&amp;D)'!$B$100,Model!$AB$2839)</f>
        <v>-0.70975046550636278</v>
      </c>
      <c r="AE2867" s="377">
        <f>PPMT('Assumptions (T&amp;D)'!$B$97,Model!Z$1,'Assumptions (T&amp;D)'!$B$100,Model!$AB$2839)</f>
        <v>-0.74346361261791483</v>
      </c>
      <c r="AF2867" s="377">
        <f>PPMT('Assumptions (T&amp;D)'!$B$97,Model!AA$1,'Assumptions (T&amp;D)'!$B$100,Model!$AB$2839)</f>
        <v>-0.77877813421726583</v>
      </c>
      <c r="AG2867" s="377">
        <f>PPMT('Assumptions (T&amp;D)'!$B$97,Model!AB$1,'Assumptions (T&amp;D)'!$B$100,Model!$AB$2839)</f>
        <v>-0.81577009559258595</v>
      </c>
      <c r="AH2867" s="377">
        <f>PPMT('Assumptions (T&amp;D)'!$B$97,Model!AC$1,'Assumptions (T&amp;D)'!$B$100,Model!$AB$2839)</f>
        <v>-0.85451917513323383</v>
      </c>
      <c r="AI2867" s="377">
        <f>PPMT('Assumptions (T&amp;D)'!$B$97,Model!AD$1,'Assumptions (T&amp;D)'!$B$100,Model!$AB$2839)</f>
        <v>-0.89510883595206248</v>
      </c>
      <c r="AJ2867" s="377">
        <f>PPMT('Assumptions (T&amp;D)'!$B$97,Model!AE$1,'Assumptions (T&amp;D)'!$B$100,Model!$AB$2839)</f>
        <v>-0.93762650565978545</v>
      </c>
      <c r="AK2867" s="377">
        <f>PPMT('Assumptions (T&amp;D)'!$B$97,Model!AF$1,'Assumptions (T&amp;D)'!$B$100,Model!$AB$2839)</f>
        <v>-0.98216376467862521</v>
      </c>
      <c r="AL2867" s="377">
        <f>PPMT('Assumptions (T&amp;D)'!$B$97,Model!AG$1,'Assumptions (T&amp;D)'!$B$100,Model!$AB$2839)</f>
        <v>-1.02881654350086</v>
      </c>
      <c r="AM2867" s="377">
        <f>PPMT('Assumptions (T&amp;D)'!$B$97,Model!AH$1,'Assumptions (T&amp;D)'!$B$100,Model!$AB$2839)</f>
        <v>-1.0776853293171509</v>
      </c>
      <c r="AN2867" s="377">
        <f>PPMT('Assumptions (T&amp;D)'!$B$97,Model!AI$1,'Assumptions (T&amp;D)'!$B$100,Model!$AB$2839)</f>
        <v>-1.1288753824597155</v>
      </c>
      <c r="AO2867" s="377">
        <f>PPMT('Assumptions (T&amp;D)'!$B$97,Model!AJ$1,'Assumptions (T&amp;D)'!$B$100,Model!$AB$2839)</f>
        <v>-1.1824969631265521</v>
      </c>
      <c r="AP2867" s="377">
        <f>PPMT('Assumptions (T&amp;D)'!$B$97,Model!AK$1,'Assumptions (T&amp;D)'!$B$100,Model!$AB$2839)</f>
        <v>-1.2386655688750632</v>
      </c>
      <c r="AQ2867" s="377"/>
      <c r="AR2867" s="377"/>
      <c r="AS2867" s="377"/>
      <c r="AT2867" s="377"/>
      <c r="AU2867" s="377"/>
      <c r="AV2867" s="377"/>
      <c r="AW2867" s="377"/>
      <c r="AX2867" s="377"/>
      <c r="AY2867" s="377"/>
      <c r="AZ2867" s="377"/>
    </row>
    <row r="2868" spans="1:65" ht="15.75" hidden="1" customHeight="1" outlineLevel="1">
      <c r="A2868" s="460"/>
      <c r="B2868" s="99"/>
      <c r="C2868" s="377"/>
      <c r="D2868" s="377"/>
      <c r="E2868" s="377"/>
      <c r="F2868" s="377"/>
      <c r="G2868" s="377"/>
      <c r="H2868" s="377"/>
      <c r="I2868" s="377"/>
      <c r="J2868" s="377"/>
      <c r="K2868" s="377"/>
      <c r="L2868" s="377"/>
      <c r="M2868" s="377"/>
      <c r="N2868" s="377"/>
      <c r="O2868" s="377"/>
      <c r="P2868" s="377"/>
      <c r="Q2868" s="377"/>
      <c r="R2868" s="377"/>
      <c r="S2868" s="42"/>
      <c r="T2868" s="42"/>
      <c r="U2868" s="42"/>
      <c r="V2868" s="42"/>
      <c r="W2868" s="86"/>
      <c r="AC2868" s="377">
        <f>PPMT('Assumptions (T&amp;D)'!$B$97,Model!W$1,'Assumptions (T&amp;D)'!$B$100,Model!$AC$2839)</f>
        <v>-0.64684112348994383</v>
      </c>
      <c r="AD2868" s="377">
        <f>PPMT('Assumptions (T&amp;D)'!$B$97,Model!X$1,'Assumptions (T&amp;D)'!$B$100,Model!$AC$2839)</f>
        <v>-0.67756607685571624</v>
      </c>
      <c r="AE2868" s="377">
        <f>PPMT('Assumptions (T&amp;D)'!$B$97,Model!Y$1,'Assumptions (T&amp;D)'!$B$100,Model!$AC$2839)</f>
        <v>-0.70975046550636278</v>
      </c>
      <c r="AF2868" s="377">
        <f>PPMT('Assumptions (T&amp;D)'!$B$97,Model!Z$1,'Assumptions (T&amp;D)'!$B$100,Model!$AC$2839)</f>
        <v>-0.74346361261791483</v>
      </c>
      <c r="AG2868" s="377">
        <f>PPMT('Assumptions (T&amp;D)'!$B$97,Model!AA$1,'Assumptions (T&amp;D)'!$B$100,Model!$AC$2839)</f>
        <v>-0.77877813421726583</v>
      </c>
      <c r="AH2868" s="377">
        <f>PPMT('Assumptions (T&amp;D)'!$B$97,Model!AB$1,'Assumptions (T&amp;D)'!$B$100,Model!$AC$2839)</f>
        <v>-0.81577009559258595</v>
      </c>
      <c r="AI2868" s="377">
        <f>PPMT('Assumptions (T&amp;D)'!$B$97,Model!AC$1,'Assumptions (T&amp;D)'!$B$100,Model!$AC$2839)</f>
        <v>-0.85451917513323383</v>
      </c>
      <c r="AJ2868" s="377">
        <f>PPMT('Assumptions (T&amp;D)'!$B$97,Model!AD$1,'Assumptions (T&amp;D)'!$B$100,Model!$AC$2839)</f>
        <v>-0.89510883595206248</v>
      </c>
      <c r="AK2868" s="377">
        <f>PPMT('Assumptions (T&amp;D)'!$B$97,Model!AE$1,'Assumptions (T&amp;D)'!$B$100,Model!$AC$2839)</f>
        <v>-0.93762650565978545</v>
      </c>
      <c r="AL2868" s="377">
        <f>PPMT('Assumptions (T&amp;D)'!$B$97,Model!AF$1,'Assumptions (T&amp;D)'!$B$100,Model!$AC$2839)</f>
        <v>-0.98216376467862521</v>
      </c>
      <c r="AM2868" s="377">
        <f>PPMT('Assumptions (T&amp;D)'!$B$97,Model!AG$1,'Assumptions (T&amp;D)'!$B$100,Model!$AC$2839)</f>
        <v>-1.02881654350086</v>
      </c>
      <c r="AN2868" s="377">
        <f>PPMT('Assumptions (T&amp;D)'!$B$97,Model!AH$1,'Assumptions (T&amp;D)'!$B$100,Model!$AC$2839)</f>
        <v>-1.0776853293171509</v>
      </c>
      <c r="AO2868" s="377">
        <f>PPMT('Assumptions (T&amp;D)'!$B$97,Model!AI$1,'Assumptions (T&amp;D)'!$B$100,Model!$AC$2839)</f>
        <v>-1.1288753824597155</v>
      </c>
      <c r="AP2868" s="377">
        <f>PPMT('Assumptions (T&amp;D)'!$B$97,Model!AJ$1,'Assumptions (T&amp;D)'!$B$100,Model!$AC$2839)</f>
        <v>-1.1824969631265521</v>
      </c>
      <c r="AQ2868" s="377">
        <f>PPMT('Assumptions (T&amp;D)'!$B$97,Model!AK$1,'Assumptions (T&amp;D)'!$B$100,Model!$AC$2839)</f>
        <v>-1.2386655688750632</v>
      </c>
      <c r="AR2868" s="377"/>
      <c r="AS2868" s="377"/>
      <c r="AT2868" s="377"/>
      <c r="AU2868" s="377"/>
      <c r="AV2868" s="377"/>
      <c r="AW2868" s="377"/>
      <c r="AX2868" s="377"/>
      <c r="AY2868" s="377"/>
      <c r="AZ2868" s="377"/>
      <c r="BA2868" s="377"/>
    </row>
    <row r="2869" spans="1:65" ht="15.75" hidden="1" customHeight="1" outlineLevel="1">
      <c r="A2869" s="460"/>
      <c r="B2869" s="99"/>
      <c r="C2869" s="377"/>
      <c r="D2869" s="377"/>
      <c r="E2869" s="377"/>
      <c r="F2869" s="377"/>
      <c r="G2869" s="377"/>
      <c r="H2869" s="377"/>
      <c r="I2869" s="377"/>
      <c r="J2869" s="377"/>
      <c r="K2869" s="377"/>
      <c r="L2869" s="377"/>
      <c r="M2869" s="377"/>
      <c r="N2869" s="377"/>
      <c r="O2869" s="377"/>
      <c r="P2869" s="377"/>
      <c r="Q2869" s="377"/>
      <c r="R2869" s="377"/>
      <c r="S2869" s="42"/>
      <c r="T2869" s="42"/>
      <c r="U2869" s="42"/>
      <c r="V2869" s="42"/>
      <c r="W2869" s="86"/>
      <c r="AD2869" s="377">
        <f>PPMT('Assumptions (T&amp;D)'!$B$97,Model!W$1,'Assumptions (T&amp;D)'!$B$100,Model!$AD$2839)</f>
        <v>-0.64684112348994383</v>
      </c>
      <c r="AE2869" s="377">
        <f>PPMT('Assumptions (T&amp;D)'!$B$97,Model!X$1,'Assumptions (T&amp;D)'!$B$100,Model!$AD$2839)</f>
        <v>-0.67756607685571624</v>
      </c>
      <c r="AF2869" s="377">
        <f>PPMT('Assumptions (T&amp;D)'!$B$97,Model!Y$1,'Assumptions (T&amp;D)'!$B$100,Model!$AD$2839)</f>
        <v>-0.70975046550636278</v>
      </c>
      <c r="AG2869" s="377">
        <f>PPMT('Assumptions (T&amp;D)'!$B$97,Model!Z$1,'Assumptions (T&amp;D)'!$B$100,Model!$AD$2839)</f>
        <v>-0.74346361261791483</v>
      </c>
      <c r="AH2869" s="377">
        <f>PPMT('Assumptions (T&amp;D)'!$B$97,Model!AA$1,'Assumptions (T&amp;D)'!$B$100,Model!$AD$2839)</f>
        <v>-0.77877813421726583</v>
      </c>
      <c r="AI2869" s="377">
        <f>PPMT('Assumptions (T&amp;D)'!$B$97,Model!AB$1,'Assumptions (T&amp;D)'!$B$100,Model!$AD$2839)</f>
        <v>-0.81577009559258595</v>
      </c>
      <c r="AJ2869" s="377">
        <f>PPMT('Assumptions (T&amp;D)'!$B$97,Model!AC$1,'Assumptions (T&amp;D)'!$B$100,Model!$AD$2839)</f>
        <v>-0.85451917513323383</v>
      </c>
      <c r="AK2869" s="377">
        <f>PPMT('Assumptions (T&amp;D)'!$B$97,Model!AD$1,'Assumptions (T&amp;D)'!$B$100,Model!$AD$2839)</f>
        <v>-0.89510883595206248</v>
      </c>
      <c r="AL2869" s="377">
        <f>PPMT('Assumptions (T&amp;D)'!$B$97,Model!AE$1,'Assumptions (T&amp;D)'!$B$100,Model!$AD$2839)</f>
        <v>-0.93762650565978545</v>
      </c>
      <c r="AM2869" s="377">
        <f>PPMT('Assumptions (T&amp;D)'!$B$97,Model!AF$1,'Assumptions (T&amp;D)'!$B$100,Model!$AD$2839)</f>
        <v>-0.98216376467862521</v>
      </c>
      <c r="AN2869" s="377">
        <f>PPMT('Assumptions (T&amp;D)'!$B$97,Model!AG$1,'Assumptions (T&amp;D)'!$B$100,Model!$AD$2839)</f>
        <v>-1.02881654350086</v>
      </c>
      <c r="AO2869" s="377">
        <f>PPMT('Assumptions (T&amp;D)'!$B$97,Model!AH$1,'Assumptions (T&amp;D)'!$B$100,Model!$AD$2839)</f>
        <v>-1.0776853293171509</v>
      </c>
      <c r="AP2869" s="377">
        <f>PPMT('Assumptions (T&amp;D)'!$B$97,Model!AI$1,'Assumptions (T&amp;D)'!$B$100,Model!$AD$2839)</f>
        <v>-1.1288753824597155</v>
      </c>
      <c r="AQ2869" s="377">
        <f>PPMT('Assumptions (T&amp;D)'!$B$97,Model!AJ$1,'Assumptions (T&amp;D)'!$B$100,Model!$AD$2839)</f>
        <v>-1.1824969631265521</v>
      </c>
      <c r="AR2869" s="377">
        <f>PPMT('Assumptions (T&amp;D)'!$B$97,Model!AK$1,'Assumptions (T&amp;D)'!$B$100,Model!$AD$2839)</f>
        <v>-1.2386655688750632</v>
      </c>
      <c r="AS2869" s="377"/>
      <c r="AT2869" s="377"/>
      <c r="AU2869" s="377"/>
      <c r="AV2869" s="377"/>
      <c r="AW2869" s="377"/>
      <c r="AX2869" s="377"/>
      <c r="AY2869" s="377"/>
      <c r="AZ2869" s="377"/>
      <c r="BA2869" s="377"/>
      <c r="BB2869" s="377"/>
    </row>
    <row r="2870" spans="1:65" ht="15.75" hidden="1" customHeight="1" outlineLevel="1">
      <c r="A2870" s="460"/>
      <c r="B2870" s="99"/>
      <c r="C2870" s="377"/>
      <c r="D2870" s="377"/>
      <c r="E2870" s="377"/>
      <c r="F2870" s="377"/>
      <c r="G2870" s="377"/>
      <c r="H2870" s="377"/>
      <c r="I2870" s="377"/>
      <c r="J2870" s="377"/>
      <c r="K2870" s="377"/>
      <c r="L2870" s="377"/>
      <c r="M2870" s="377"/>
      <c r="N2870" s="377"/>
      <c r="O2870" s="377"/>
      <c r="P2870" s="377"/>
      <c r="Q2870" s="377"/>
      <c r="R2870" s="377"/>
      <c r="S2870" s="42"/>
      <c r="T2870" s="42"/>
      <c r="U2870" s="42"/>
      <c r="V2870" s="42"/>
      <c r="W2870" s="86"/>
      <c r="AE2870" s="377">
        <f>PPMT('Assumptions (T&amp;D)'!$B$97,Model!W$1,'Assumptions (T&amp;D)'!$B$100,Model!$AE$2839)</f>
        <v>-0.64684112348994383</v>
      </c>
      <c r="AF2870" s="377">
        <f>PPMT('Assumptions (T&amp;D)'!$B$97,Model!X$1,'Assumptions (T&amp;D)'!$B$100,Model!$AE$2839)</f>
        <v>-0.67756607685571624</v>
      </c>
      <c r="AG2870" s="377">
        <f>PPMT('Assumptions (T&amp;D)'!$B$97,Model!Y$1,'Assumptions (T&amp;D)'!$B$100,Model!$AE$2839)</f>
        <v>-0.70975046550636278</v>
      </c>
      <c r="AH2870" s="377">
        <f>PPMT('Assumptions (T&amp;D)'!$B$97,Model!Z$1,'Assumptions (T&amp;D)'!$B$100,Model!$AE$2839)</f>
        <v>-0.74346361261791483</v>
      </c>
      <c r="AI2870" s="377">
        <f>PPMT('Assumptions (T&amp;D)'!$B$97,Model!AA$1,'Assumptions (T&amp;D)'!$B$100,Model!$AE$2839)</f>
        <v>-0.77877813421726583</v>
      </c>
      <c r="AJ2870" s="377">
        <f>PPMT('Assumptions (T&amp;D)'!$B$97,Model!AB$1,'Assumptions (T&amp;D)'!$B$100,Model!$AE$2839)</f>
        <v>-0.81577009559258595</v>
      </c>
      <c r="AK2870" s="377">
        <f>PPMT('Assumptions (T&amp;D)'!$B$97,Model!AC$1,'Assumptions (T&amp;D)'!$B$100,Model!$AE$2839)</f>
        <v>-0.85451917513323383</v>
      </c>
      <c r="AL2870" s="377">
        <f>PPMT('Assumptions (T&amp;D)'!$B$97,Model!AD$1,'Assumptions (T&amp;D)'!$B$100,Model!$AE$2839)</f>
        <v>-0.89510883595206248</v>
      </c>
      <c r="AM2870" s="377">
        <f>PPMT('Assumptions (T&amp;D)'!$B$97,Model!AE$1,'Assumptions (T&amp;D)'!$B$100,Model!$AE$2839)</f>
        <v>-0.93762650565978545</v>
      </c>
      <c r="AN2870" s="377">
        <f>PPMT('Assumptions (T&amp;D)'!$B$97,Model!AF$1,'Assumptions (T&amp;D)'!$B$100,Model!$AE$2839)</f>
        <v>-0.98216376467862521</v>
      </c>
      <c r="AO2870" s="377">
        <f>PPMT('Assumptions (T&amp;D)'!$B$97,Model!AG$1,'Assumptions (T&amp;D)'!$B$100,Model!$AE$2839)</f>
        <v>-1.02881654350086</v>
      </c>
      <c r="AP2870" s="377">
        <f>PPMT('Assumptions (T&amp;D)'!$B$97,Model!AH$1,'Assumptions (T&amp;D)'!$B$100,Model!$AE$2839)</f>
        <v>-1.0776853293171509</v>
      </c>
      <c r="AQ2870" s="377">
        <f>PPMT('Assumptions (T&amp;D)'!$B$97,Model!AI$1,'Assumptions (T&amp;D)'!$B$100,Model!$AE$2839)</f>
        <v>-1.1288753824597155</v>
      </c>
      <c r="AR2870" s="377">
        <f>PPMT('Assumptions (T&amp;D)'!$B$97,Model!AJ$1,'Assumptions (T&amp;D)'!$B$100,Model!$AE$2839)</f>
        <v>-1.1824969631265521</v>
      </c>
      <c r="AS2870" s="377">
        <f>PPMT('Assumptions (T&amp;D)'!$B$97,Model!AK$1,'Assumptions (T&amp;D)'!$B$100,Model!$AE$2839)</f>
        <v>-1.2386655688750632</v>
      </c>
      <c r="AT2870" s="377"/>
      <c r="AU2870" s="377"/>
      <c r="AV2870" s="377"/>
      <c r="AW2870" s="377"/>
      <c r="AX2870" s="377"/>
      <c r="AY2870" s="377"/>
      <c r="AZ2870" s="377"/>
      <c r="BA2870" s="377"/>
      <c r="BB2870" s="377"/>
      <c r="BC2870" s="377"/>
    </row>
    <row r="2871" spans="1:65" ht="15.75" hidden="1" customHeight="1" outlineLevel="1">
      <c r="A2871" s="460"/>
      <c r="B2871" s="99"/>
      <c r="C2871" s="377"/>
      <c r="D2871" s="377"/>
      <c r="E2871" s="377"/>
      <c r="F2871" s="377"/>
      <c r="G2871" s="377"/>
      <c r="H2871" s="377"/>
      <c r="I2871" s="377"/>
      <c r="J2871" s="377"/>
      <c r="K2871" s="377"/>
      <c r="L2871" s="377"/>
      <c r="M2871" s="377"/>
      <c r="N2871" s="377"/>
      <c r="O2871" s="377"/>
      <c r="P2871" s="377"/>
      <c r="Q2871" s="377"/>
      <c r="R2871" s="377"/>
      <c r="S2871" s="42"/>
      <c r="T2871" s="42"/>
      <c r="U2871" s="42"/>
      <c r="V2871" s="42"/>
      <c r="W2871" s="86"/>
      <c r="AF2871" s="377">
        <f>PPMT('Assumptions (T&amp;D)'!$B$97,Model!W$1,'Assumptions (T&amp;D)'!$B$100,Model!$AF$2839)</f>
        <v>-0.64684112348994383</v>
      </c>
      <c r="AG2871" s="377">
        <f>PPMT('Assumptions (T&amp;D)'!$B$97,Model!X$1,'Assumptions (T&amp;D)'!$B$100,Model!$AF$2839)</f>
        <v>-0.67756607685571624</v>
      </c>
      <c r="AH2871" s="377">
        <f>PPMT('Assumptions (T&amp;D)'!$B$97,Model!Y$1,'Assumptions (T&amp;D)'!$B$100,Model!$AF$2839)</f>
        <v>-0.70975046550636278</v>
      </c>
      <c r="AI2871" s="377">
        <f>PPMT('Assumptions (T&amp;D)'!$B$97,Model!Z$1,'Assumptions (T&amp;D)'!$B$100,Model!$AF$2839)</f>
        <v>-0.74346361261791483</v>
      </c>
      <c r="AJ2871" s="377">
        <f>PPMT('Assumptions (T&amp;D)'!$B$97,Model!AA$1,'Assumptions (T&amp;D)'!$B$100,Model!$AF$2839)</f>
        <v>-0.77877813421726583</v>
      </c>
      <c r="AK2871" s="377">
        <f>PPMT('Assumptions (T&amp;D)'!$B$97,Model!AB$1,'Assumptions (T&amp;D)'!$B$100,Model!$AF$2839)</f>
        <v>-0.81577009559258595</v>
      </c>
      <c r="AL2871" s="377">
        <f>PPMT('Assumptions (T&amp;D)'!$B$97,Model!AC$1,'Assumptions (T&amp;D)'!$B$100,Model!$AF$2839)</f>
        <v>-0.85451917513323383</v>
      </c>
      <c r="AM2871" s="377">
        <f>PPMT('Assumptions (T&amp;D)'!$B$97,Model!AD$1,'Assumptions (T&amp;D)'!$B$100,Model!$AF$2839)</f>
        <v>-0.89510883595206248</v>
      </c>
      <c r="AN2871" s="377">
        <f>PPMT('Assumptions (T&amp;D)'!$B$97,Model!AE$1,'Assumptions (T&amp;D)'!$B$100,Model!$AF$2839)</f>
        <v>-0.93762650565978545</v>
      </c>
      <c r="AO2871" s="377">
        <f>PPMT('Assumptions (T&amp;D)'!$B$97,Model!AF$1,'Assumptions (T&amp;D)'!$B$100,Model!$AF$2839)</f>
        <v>-0.98216376467862521</v>
      </c>
      <c r="AP2871" s="377">
        <f>PPMT('Assumptions (T&amp;D)'!$B$97,Model!AG$1,'Assumptions (T&amp;D)'!$B$100,Model!$AF$2839)</f>
        <v>-1.02881654350086</v>
      </c>
      <c r="AQ2871" s="377">
        <f>PPMT('Assumptions (T&amp;D)'!$B$97,Model!AH$1,'Assumptions (T&amp;D)'!$B$100,Model!$AF$2839)</f>
        <v>-1.0776853293171509</v>
      </c>
      <c r="AR2871" s="377">
        <f>PPMT('Assumptions (T&amp;D)'!$B$97,Model!AI$1,'Assumptions (T&amp;D)'!$B$100,Model!$AF$2839)</f>
        <v>-1.1288753824597155</v>
      </c>
      <c r="AS2871" s="377">
        <f>PPMT('Assumptions (T&amp;D)'!$B$97,Model!AJ$1,'Assumptions (T&amp;D)'!$B$100,Model!$AF$2839)</f>
        <v>-1.1824969631265521</v>
      </c>
      <c r="AT2871" s="377">
        <f>PPMT('Assumptions (T&amp;D)'!$B$97,Model!AK$1,'Assumptions (T&amp;D)'!$B$100,Model!$AF$2839)</f>
        <v>-1.2386655688750632</v>
      </c>
      <c r="AU2871" s="377"/>
      <c r="AV2871" s="377"/>
      <c r="AW2871" s="377"/>
      <c r="AX2871" s="377"/>
      <c r="AY2871" s="377"/>
      <c r="AZ2871" s="377"/>
      <c r="BA2871" s="377"/>
      <c r="BB2871" s="377"/>
      <c r="BC2871" s="377"/>
      <c r="BD2871" s="377"/>
    </row>
    <row r="2872" spans="1:65" ht="15.75" hidden="1" customHeight="1" outlineLevel="1">
      <c r="A2872" s="460"/>
      <c r="B2872" s="99"/>
      <c r="C2872" s="377"/>
      <c r="D2872" s="377"/>
      <c r="E2872" s="377"/>
      <c r="F2872" s="377"/>
      <c r="G2872" s="377"/>
      <c r="H2872" s="377"/>
      <c r="I2872" s="377"/>
      <c r="J2872" s="377"/>
      <c r="K2872" s="377"/>
      <c r="L2872" s="377"/>
      <c r="M2872" s="377"/>
      <c r="N2872" s="377"/>
      <c r="O2872" s="377"/>
      <c r="P2872" s="377"/>
      <c r="Q2872" s="377"/>
      <c r="R2872" s="377"/>
      <c r="S2872" s="42"/>
      <c r="T2872" s="42"/>
      <c r="U2872" s="42"/>
      <c r="V2872" s="42"/>
      <c r="W2872" s="86"/>
      <c r="AG2872" s="377">
        <f>PPMT('Assumptions (T&amp;D)'!$B$97,Model!W$1,'Assumptions (T&amp;D)'!$B$100,Model!$AG$2839)</f>
        <v>-0.64684112348994383</v>
      </c>
      <c r="AH2872" s="377">
        <f>PPMT('Assumptions (T&amp;D)'!$B$97,Model!X$1,'Assumptions (T&amp;D)'!$B$100,Model!$AG$2839)</f>
        <v>-0.67756607685571624</v>
      </c>
      <c r="AI2872" s="377">
        <f>PPMT('Assumptions (T&amp;D)'!$B$97,Model!Y$1,'Assumptions (T&amp;D)'!$B$100,Model!$AG$2839)</f>
        <v>-0.70975046550636278</v>
      </c>
      <c r="AJ2872" s="377">
        <f>PPMT('Assumptions (T&amp;D)'!$B$97,Model!Z$1,'Assumptions (T&amp;D)'!$B$100,Model!$AG$2839)</f>
        <v>-0.74346361261791483</v>
      </c>
      <c r="AK2872" s="377">
        <f>PPMT('Assumptions (T&amp;D)'!$B$97,Model!AA$1,'Assumptions (T&amp;D)'!$B$100,Model!$AG$2839)</f>
        <v>-0.77877813421726583</v>
      </c>
      <c r="AL2872" s="377">
        <f>PPMT('Assumptions (T&amp;D)'!$B$97,Model!AB$1,'Assumptions (T&amp;D)'!$B$100,Model!$AG$2839)</f>
        <v>-0.81577009559258595</v>
      </c>
      <c r="AM2872" s="377">
        <f>PPMT('Assumptions (T&amp;D)'!$B$97,Model!AC$1,'Assumptions (T&amp;D)'!$B$100,Model!$AG$2839)</f>
        <v>-0.85451917513323383</v>
      </c>
      <c r="AN2872" s="377">
        <f>PPMT('Assumptions (T&amp;D)'!$B$97,Model!AD$1,'Assumptions (T&amp;D)'!$B$100,Model!$AG$2839)</f>
        <v>-0.89510883595206248</v>
      </c>
      <c r="AO2872" s="377">
        <f>PPMT('Assumptions (T&amp;D)'!$B$97,Model!AE$1,'Assumptions (T&amp;D)'!$B$100,Model!$AG$2839)</f>
        <v>-0.93762650565978545</v>
      </c>
      <c r="AP2872" s="377">
        <f>PPMT('Assumptions (T&amp;D)'!$B$97,Model!AF$1,'Assumptions (T&amp;D)'!$B$100,Model!$AG$2839)</f>
        <v>-0.98216376467862521</v>
      </c>
      <c r="AQ2872" s="377">
        <f>PPMT('Assumptions (T&amp;D)'!$B$97,Model!AG$1,'Assumptions (T&amp;D)'!$B$100,Model!$AG$2839)</f>
        <v>-1.02881654350086</v>
      </c>
      <c r="AR2872" s="377">
        <f>PPMT('Assumptions (T&amp;D)'!$B$97,Model!AH$1,'Assumptions (T&amp;D)'!$B$100,Model!$AG$2839)</f>
        <v>-1.0776853293171509</v>
      </c>
      <c r="AS2872" s="377">
        <f>PPMT('Assumptions (T&amp;D)'!$B$97,Model!AI$1,'Assumptions (T&amp;D)'!$B$100,Model!$AG$2839)</f>
        <v>-1.1288753824597155</v>
      </c>
      <c r="AT2872" s="377">
        <f>PPMT('Assumptions (T&amp;D)'!$B$97,Model!AJ$1,'Assumptions (T&amp;D)'!$B$100,Model!$AG$2839)</f>
        <v>-1.1824969631265521</v>
      </c>
      <c r="AU2872" s="377">
        <f>PPMT('Assumptions (T&amp;D)'!$B$97,Model!AK$1,'Assumptions (T&amp;D)'!$B$100,Model!$AG$2839)</f>
        <v>-1.2386655688750632</v>
      </c>
      <c r="AV2872" s="377"/>
      <c r="AW2872" s="377"/>
      <c r="AX2872" s="377"/>
      <c r="AY2872" s="377"/>
      <c r="AZ2872" s="377"/>
      <c r="BA2872" s="377"/>
      <c r="BB2872" s="377"/>
      <c r="BC2872" s="377"/>
      <c r="BD2872" s="377"/>
      <c r="BE2872" s="377"/>
    </row>
    <row r="2873" spans="1:65" ht="15.75" hidden="1" customHeight="1" outlineLevel="1">
      <c r="A2873" s="460"/>
      <c r="B2873" s="99"/>
      <c r="C2873" s="377"/>
      <c r="D2873" s="377"/>
      <c r="E2873" s="377"/>
      <c r="F2873" s="377"/>
      <c r="G2873" s="377"/>
      <c r="H2873" s="377"/>
      <c r="I2873" s="377"/>
      <c r="J2873" s="377"/>
      <c r="K2873" s="377"/>
      <c r="L2873" s="377"/>
      <c r="M2873" s="377"/>
      <c r="N2873" s="377"/>
      <c r="O2873" s="377"/>
      <c r="P2873" s="377"/>
      <c r="Q2873" s="377"/>
      <c r="R2873" s="377"/>
      <c r="S2873" s="42"/>
      <c r="T2873" s="42"/>
      <c r="U2873" s="42"/>
      <c r="V2873" s="42"/>
      <c r="W2873" s="86"/>
      <c r="AH2873" s="377">
        <f>PPMT('Assumptions (T&amp;D)'!$B$97,Model!W$1,'Assumptions (T&amp;D)'!$B$100,Model!$AH$2839)</f>
        <v>-0.64684112348994383</v>
      </c>
      <c r="AI2873" s="377">
        <f>PPMT('Assumptions (T&amp;D)'!$B$97,Model!X$1,'Assumptions (T&amp;D)'!$B$100,Model!$AH$2839)</f>
        <v>-0.67756607685571624</v>
      </c>
      <c r="AJ2873" s="377">
        <f>PPMT('Assumptions (T&amp;D)'!$B$97,Model!Y$1,'Assumptions (T&amp;D)'!$B$100,Model!$AH$2839)</f>
        <v>-0.70975046550636278</v>
      </c>
      <c r="AK2873" s="377">
        <f>PPMT('Assumptions (T&amp;D)'!$B$97,Model!Z$1,'Assumptions (T&amp;D)'!$B$100,Model!$AH$2839)</f>
        <v>-0.74346361261791483</v>
      </c>
      <c r="AL2873" s="377">
        <f>PPMT('Assumptions (T&amp;D)'!$B$97,Model!AA$1,'Assumptions (T&amp;D)'!$B$100,Model!$AH$2839)</f>
        <v>-0.77877813421726583</v>
      </c>
      <c r="AM2873" s="377">
        <f>PPMT('Assumptions (T&amp;D)'!$B$97,Model!AB$1,'Assumptions (T&amp;D)'!$B$100,Model!$AH$2839)</f>
        <v>-0.81577009559258595</v>
      </c>
      <c r="AN2873" s="377">
        <f>PPMT('Assumptions (T&amp;D)'!$B$97,Model!AC$1,'Assumptions (T&amp;D)'!$B$100,Model!$AH$2839)</f>
        <v>-0.85451917513323383</v>
      </c>
      <c r="AO2873" s="377">
        <f>PPMT('Assumptions (T&amp;D)'!$B$97,Model!AD$1,'Assumptions (T&amp;D)'!$B$100,Model!$AH$2839)</f>
        <v>-0.89510883595206248</v>
      </c>
      <c r="AP2873" s="377">
        <f>PPMT('Assumptions (T&amp;D)'!$B$97,Model!AE$1,'Assumptions (T&amp;D)'!$B$100,Model!$AH$2839)</f>
        <v>-0.93762650565978545</v>
      </c>
      <c r="AQ2873" s="377">
        <f>PPMT('Assumptions (T&amp;D)'!$B$97,Model!AF$1,'Assumptions (T&amp;D)'!$B$100,Model!$AH$2839)</f>
        <v>-0.98216376467862521</v>
      </c>
      <c r="AR2873" s="377">
        <f>PPMT('Assumptions (T&amp;D)'!$B$97,Model!AG$1,'Assumptions (T&amp;D)'!$B$100,Model!$AH$2839)</f>
        <v>-1.02881654350086</v>
      </c>
      <c r="AS2873" s="377">
        <f>PPMT('Assumptions (T&amp;D)'!$B$97,Model!AH$1,'Assumptions (T&amp;D)'!$B$100,Model!$AH$2839)</f>
        <v>-1.0776853293171509</v>
      </c>
      <c r="AT2873" s="377">
        <f>PPMT('Assumptions (T&amp;D)'!$B$97,Model!AI$1,'Assumptions (T&amp;D)'!$B$100,Model!$AH$2839)</f>
        <v>-1.1288753824597155</v>
      </c>
      <c r="AU2873" s="377">
        <f>PPMT('Assumptions (T&amp;D)'!$B$97,Model!AJ$1,'Assumptions (T&amp;D)'!$B$100,Model!$AH$2839)</f>
        <v>-1.1824969631265521</v>
      </c>
      <c r="AV2873" s="377">
        <f>PPMT('Assumptions (T&amp;D)'!$B$97,Model!AK$1,'Assumptions (T&amp;D)'!$B$100,Model!$AH$2839)</f>
        <v>-1.2386655688750632</v>
      </c>
      <c r="AW2873" s="377"/>
      <c r="AX2873" s="377"/>
      <c r="AY2873" s="377"/>
      <c r="AZ2873" s="377"/>
      <c r="BA2873" s="377"/>
      <c r="BB2873" s="377"/>
      <c r="BC2873" s="377"/>
      <c r="BD2873" s="377"/>
      <c r="BE2873" s="377"/>
      <c r="BF2873" s="377"/>
    </row>
    <row r="2874" spans="1:65" ht="15.75" hidden="1" customHeight="1" outlineLevel="1">
      <c r="A2874" s="460"/>
      <c r="B2874" s="99"/>
      <c r="C2874" s="377"/>
      <c r="D2874" s="377"/>
      <c r="E2874" s="377"/>
      <c r="F2874" s="377"/>
      <c r="G2874" s="377"/>
      <c r="H2874" s="377"/>
      <c r="I2874" s="377"/>
      <c r="J2874" s="377"/>
      <c r="K2874" s="377"/>
      <c r="L2874" s="377"/>
      <c r="M2874" s="377"/>
      <c r="N2874" s="377"/>
      <c r="O2874" s="377"/>
      <c r="P2874" s="377"/>
      <c r="Q2874" s="377"/>
      <c r="R2874" s="377"/>
      <c r="S2874" s="42"/>
      <c r="T2874" s="42"/>
      <c r="U2874" s="42"/>
      <c r="V2874" s="42"/>
      <c r="W2874" s="86"/>
      <c r="AI2874" s="377">
        <f>PPMT('Assumptions (T&amp;D)'!$B$97,Model!W$1,'Assumptions (T&amp;D)'!$B$100,Model!$AI$2839)</f>
        <v>-0.64684112348994383</v>
      </c>
      <c r="AJ2874" s="377">
        <f>PPMT('Assumptions (T&amp;D)'!$B$97,Model!X$1,'Assumptions (T&amp;D)'!$B$100,Model!$AI$2839)</f>
        <v>-0.67756607685571624</v>
      </c>
      <c r="AK2874" s="377">
        <f>PPMT('Assumptions (T&amp;D)'!$B$97,Model!Y$1,'Assumptions (T&amp;D)'!$B$100,Model!$AI$2839)</f>
        <v>-0.70975046550636278</v>
      </c>
      <c r="AL2874" s="377">
        <f>PPMT('Assumptions (T&amp;D)'!$B$97,Model!Z$1,'Assumptions (T&amp;D)'!$B$100,Model!$AI$2839)</f>
        <v>-0.74346361261791483</v>
      </c>
      <c r="AM2874" s="377">
        <f>PPMT('Assumptions (T&amp;D)'!$B$97,Model!AA$1,'Assumptions (T&amp;D)'!$B$100,Model!$AI$2839)</f>
        <v>-0.77877813421726583</v>
      </c>
      <c r="AN2874" s="377">
        <f>PPMT('Assumptions (T&amp;D)'!$B$97,Model!AB$1,'Assumptions (T&amp;D)'!$B$100,Model!$AI$2839)</f>
        <v>-0.81577009559258595</v>
      </c>
      <c r="AO2874" s="377">
        <f>PPMT('Assumptions (T&amp;D)'!$B$97,Model!AC$1,'Assumptions (T&amp;D)'!$B$100,Model!$AI$2839)</f>
        <v>-0.85451917513323383</v>
      </c>
      <c r="AP2874" s="377">
        <f>PPMT('Assumptions (T&amp;D)'!$B$97,Model!AD$1,'Assumptions (T&amp;D)'!$B$100,Model!$AI$2839)</f>
        <v>-0.89510883595206248</v>
      </c>
      <c r="AQ2874" s="377">
        <f>PPMT('Assumptions (T&amp;D)'!$B$97,Model!AE$1,'Assumptions (T&amp;D)'!$B$100,Model!$AI$2839)</f>
        <v>-0.93762650565978545</v>
      </c>
      <c r="AR2874" s="377">
        <f>PPMT('Assumptions (T&amp;D)'!$B$97,Model!AF$1,'Assumptions (T&amp;D)'!$B$100,Model!$AI$2839)</f>
        <v>-0.98216376467862521</v>
      </c>
      <c r="AS2874" s="377">
        <f>PPMT('Assumptions (T&amp;D)'!$B$97,Model!AG$1,'Assumptions (T&amp;D)'!$B$100,Model!$AI$2839)</f>
        <v>-1.02881654350086</v>
      </c>
      <c r="AT2874" s="377">
        <f>PPMT('Assumptions (T&amp;D)'!$B$97,Model!AH$1,'Assumptions (T&amp;D)'!$B$100,Model!$AI$2839)</f>
        <v>-1.0776853293171509</v>
      </c>
      <c r="AU2874" s="377">
        <f>PPMT('Assumptions (T&amp;D)'!$B$97,Model!AI$1,'Assumptions (T&amp;D)'!$B$100,Model!$AI$2839)</f>
        <v>-1.1288753824597155</v>
      </c>
      <c r="AV2874" s="377">
        <f>PPMT('Assumptions (T&amp;D)'!$B$97,Model!AJ$1,'Assumptions (T&amp;D)'!$B$100,Model!$AI$2839)</f>
        <v>-1.1824969631265521</v>
      </c>
      <c r="AW2874" s="377">
        <f>PPMT('Assumptions (T&amp;D)'!$B$97,Model!AK$1,'Assumptions (T&amp;D)'!$B$100,Model!$AI$2839)</f>
        <v>-1.2386655688750632</v>
      </c>
      <c r="AX2874" s="377"/>
      <c r="AY2874" s="377"/>
      <c r="AZ2874" s="377"/>
      <c r="BA2874" s="377"/>
      <c r="BB2874" s="377"/>
      <c r="BC2874" s="377"/>
      <c r="BD2874" s="377"/>
      <c r="BE2874" s="377"/>
      <c r="BF2874" s="377"/>
      <c r="BG2874" s="377"/>
    </row>
    <row r="2875" spans="1:65" ht="15.75" hidden="1" customHeight="1" outlineLevel="1">
      <c r="A2875" s="460"/>
      <c r="B2875" s="99"/>
      <c r="C2875" s="377"/>
      <c r="D2875" s="377"/>
      <c r="E2875" s="377"/>
      <c r="F2875" s="377"/>
      <c r="G2875" s="377"/>
      <c r="H2875" s="377"/>
      <c r="I2875" s="377"/>
      <c r="J2875" s="377"/>
      <c r="K2875" s="377"/>
      <c r="L2875" s="377"/>
      <c r="M2875" s="377"/>
      <c r="N2875" s="377"/>
      <c r="O2875" s="377"/>
      <c r="P2875" s="377"/>
      <c r="Q2875" s="377"/>
      <c r="R2875" s="377"/>
      <c r="S2875" s="42"/>
      <c r="T2875" s="42"/>
      <c r="U2875" s="42"/>
      <c r="V2875" s="42"/>
      <c r="W2875" s="86"/>
      <c r="AJ2875" s="377">
        <f>PPMT('Assumptions (T&amp;D)'!$B$97,Model!W$1,'Assumptions (T&amp;D)'!$B$100,Model!$AJ$2839)</f>
        <v>-0.64684112348994383</v>
      </c>
      <c r="AK2875" s="377">
        <f>PPMT('Assumptions (T&amp;D)'!$B$97,Model!X$1,'Assumptions (T&amp;D)'!$B$100,Model!$AJ$2839)</f>
        <v>-0.67756607685571624</v>
      </c>
      <c r="AL2875" s="377">
        <f>PPMT('Assumptions (T&amp;D)'!$B$97,Model!Y$1,'Assumptions (T&amp;D)'!$B$100,Model!$AJ$2839)</f>
        <v>-0.70975046550636278</v>
      </c>
      <c r="AM2875" s="377">
        <f>PPMT('Assumptions (T&amp;D)'!$B$97,Model!Z$1,'Assumptions (T&amp;D)'!$B$100,Model!$AJ$2839)</f>
        <v>-0.74346361261791483</v>
      </c>
      <c r="AN2875" s="377">
        <f>PPMT('Assumptions (T&amp;D)'!$B$97,Model!AA$1,'Assumptions (T&amp;D)'!$B$100,Model!$AJ$2839)</f>
        <v>-0.77877813421726583</v>
      </c>
      <c r="AO2875" s="377">
        <f>PPMT('Assumptions (T&amp;D)'!$B$97,Model!AB$1,'Assumptions (T&amp;D)'!$B$100,Model!$AJ$2839)</f>
        <v>-0.81577009559258595</v>
      </c>
      <c r="AP2875" s="377">
        <f>PPMT('Assumptions (T&amp;D)'!$B$97,Model!AC$1,'Assumptions (T&amp;D)'!$B$100,Model!$AJ$2839)</f>
        <v>-0.85451917513323383</v>
      </c>
      <c r="AQ2875" s="377">
        <f>PPMT('Assumptions (T&amp;D)'!$B$97,Model!AD$1,'Assumptions (T&amp;D)'!$B$100,Model!$AJ$2839)</f>
        <v>-0.89510883595206248</v>
      </c>
      <c r="AR2875" s="377">
        <f>PPMT('Assumptions (T&amp;D)'!$B$97,Model!AE$1,'Assumptions (T&amp;D)'!$B$100,Model!$AJ$2839)</f>
        <v>-0.93762650565978545</v>
      </c>
      <c r="AS2875" s="377">
        <f>PPMT('Assumptions (T&amp;D)'!$B$97,Model!AF$1,'Assumptions (T&amp;D)'!$B$100,Model!$AJ$2839)</f>
        <v>-0.98216376467862521</v>
      </c>
      <c r="AT2875" s="377">
        <f>PPMT('Assumptions (T&amp;D)'!$B$97,Model!AG$1,'Assumptions (T&amp;D)'!$B$100,Model!$AJ$2839)</f>
        <v>-1.02881654350086</v>
      </c>
      <c r="AU2875" s="377">
        <f>PPMT('Assumptions (T&amp;D)'!$B$97,Model!AH$1,'Assumptions (T&amp;D)'!$B$100,Model!$AJ$2839)</f>
        <v>-1.0776853293171509</v>
      </c>
      <c r="AV2875" s="377">
        <f>PPMT('Assumptions (T&amp;D)'!$B$97,Model!AI$1,'Assumptions (T&amp;D)'!$B$100,Model!$AJ$2839)</f>
        <v>-1.1288753824597155</v>
      </c>
      <c r="AW2875" s="377">
        <f>PPMT('Assumptions (T&amp;D)'!$B$97,Model!AJ$1,'Assumptions (T&amp;D)'!$B$100,Model!$AJ$2839)</f>
        <v>-1.1824969631265521</v>
      </c>
      <c r="AX2875" s="377">
        <f>PPMT('Assumptions (T&amp;D)'!$B$97,Model!AK$1,'Assumptions (T&amp;D)'!$B$100,Model!$AJ$2839)</f>
        <v>-1.2386655688750632</v>
      </c>
      <c r="AY2875" s="377"/>
      <c r="AZ2875" s="377"/>
      <c r="BA2875" s="377"/>
      <c r="BB2875" s="377"/>
      <c r="BC2875" s="377"/>
      <c r="BD2875" s="377"/>
      <c r="BE2875" s="377"/>
      <c r="BF2875" s="377"/>
      <c r="BG2875" s="377"/>
      <c r="BH2875" s="377"/>
    </row>
    <row r="2876" spans="1:65" ht="15.75" hidden="1" customHeight="1" outlineLevel="1">
      <c r="A2876" s="460"/>
      <c r="B2876" s="99"/>
      <c r="C2876" s="377"/>
      <c r="D2876" s="377"/>
      <c r="E2876" s="377"/>
      <c r="F2876" s="377"/>
      <c r="G2876" s="377"/>
      <c r="H2876" s="377"/>
      <c r="I2876" s="377"/>
      <c r="J2876" s="377"/>
      <c r="K2876" s="377"/>
      <c r="L2876" s="377"/>
      <c r="M2876" s="377"/>
      <c r="N2876" s="377"/>
      <c r="O2876" s="377"/>
      <c r="P2876" s="377"/>
      <c r="Q2876" s="377"/>
      <c r="R2876" s="377"/>
      <c r="S2876" s="42"/>
      <c r="T2876" s="42"/>
      <c r="U2876" s="42"/>
      <c r="V2876" s="42"/>
      <c r="W2876" s="86"/>
      <c r="AK2876" s="377">
        <f>PPMT('Assumptions (T&amp;D)'!$B$97,Model!W$1,'Assumptions (T&amp;D)'!$B$100,Model!$AK$2839)</f>
        <v>-0.64684112348994383</v>
      </c>
      <c r="AL2876" s="377">
        <f>PPMT('Assumptions (T&amp;D)'!$B$97,Model!X$1,'Assumptions (T&amp;D)'!$B$100,Model!$AK$2839)</f>
        <v>-0.67756607685571624</v>
      </c>
      <c r="AM2876" s="377">
        <f>PPMT('Assumptions (T&amp;D)'!$B$97,Model!Y$1,'Assumptions (T&amp;D)'!$B$100,Model!$AK$2839)</f>
        <v>-0.70975046550636278</v>
      </c>
      <c r="AN2876" s="377">
        <f>PPMT('Assumptions (T&amp;D)'!$B$97,Model!Z$1,'Assumptions (T&amp;D)'!$B$100,Model!$AK$2839)</f>
        <v>-0.74346361261791483</v>
      </c>
      <c r="AO2876" s="377">
        <f>PPMT('Assumptions (T&amp;D)'!$B$97,Model!AA$1,'Assumptions (T&amp;D)'!$B$100,Model!$AK$2839)</f>
        <v>-0.77877813421726583</v>
      </c>
      <c r="AP2876" s="377">
        <f>PPMT('Assumptions (T&amp;D)'!$B$97,Model!AB$1,'Assumptions (T&amp;D)'!$B$100,Model!$AK$2839)</f>
        <v>-0.81577009559258595</v>
      </c>
      <c r="AQ2876" s="377">
        <f>PPMT('Assumptions (T&amp;D)'!$B$97,Model!AC$1,'Assumptions (T&amp;D)'!$B$100,Model!$AK$2839)</f>
        <v>-0.85451917513323383</v>
      </c>
      <c r="AR2876" s="377">
        <f>PPMT('Assumptions (T&amp;D)'!$B$97,Model!AD$1,'Assumptions (T&amp;D)'!$B$100,Model!$AK$2839)</f>
        <v>-0.89510883595206248</v>
      </c>
      <c r="AS2876" s="377">
        <f>PPMT('Assumptions (T&amp;D)'!$B$97,Model!AE$1,'Assumptions (T&amp;D)'!$B$100,Model!$AK$2839)</f>
        <v>-0.93762650565978545</v>
      </c>
      <c r="AT2876" s="377">
        <f>PPMT('Assumptions (T&amp;D)'!$B$97,Model!AF$1,'Assumptions (T&amp;D)'!$B$100,Model!$AK$2839)</f>
        <v>-0.98216376467862521</v>
      </c>
      <c r="AU2876" s="377">
        <f>PPMT('Assumptions (T&amp;D)'!$B$97,Model!AG$1,'Assumptions (T&amp;D)'!$B$100,Model!$AK$2839)</f>
        <v>-1.02881654350086</v>
      </c>
      <c r="AV2876" s="377">
        <f>PPMT('Assumptions (T&amp;D)'!$B$97,Model!AH$1,'Assumptions (T&amp;D)'!$B$100,Model!$AK$2839)</f>
        <v>-1.0776853293171509</v>
      </c>
      <c r="AW2876" s="377">
        <f>PPMT('Assumptions (T&amp;D)'!$B$97,Model!AI$1,'Assumptions (T&amp;D)'!$B$100,Model!$AK$2839)</f>
        <v>-1.1288753824597155</v>
      </c>
      <c r="AX2876" s="377">
        <f>PPMT('Assumptions (T&amp;D)'!$B$97,Model!AJ$1,'Assumptions (T&amp;D)'!$B$100,Model!$AK$2839)</f>
        <v>-1.1824969631265521</v>
      </c>
      <c r="AY2876" s="377">
        <f>PPMT('Assumptions (T&amp;D)'!$B$97,Model!AK$1,'Assumptions (T&amp;D)'!$B$100,Model!$AK$2839)</f>
        <v>-1.2386655688750632</v>
      </c>
      <c r="AZ2876" s="377"/>
      <c r="BA2876" s="377"/>
      <c r="BB2876" s="377"/>
      <c r="BC2876" s="377"/>
      <c r="BD2876" s="377"/>
      <c r="BE2876" s="377"/>
      <c r="BF2876" s="377"/>
      <c r="BG2876" s="377"/>
      <c r="BH2876" s="377"/>
      <c r="BI2876" s="377"/>
    </row>
    <row r="2877" spans="1:65" ht="15.75" hidden="1" customHeight="1" outlineLevel="1">
      <c r="A2877" s="460"/>
      <c r="B2877" s="99"/>
      <c r="C2877" s="377"/>
      <c r="D2877" s="377"/>
      <c r="E2877" s="377"/>
      <c r="F2877" s="377"/>
      <c r="G2877" s="377"/>
      <c r="H2877" s="377"/>
      <c r="I2877" s="377"/>
      <c r="J2877" s="377"/>
      <c r="K2877" s="377"/>
      <c r="L2877" s="377"/>
      <c r="M2877" s="377"/>
      <c r="N2877" s="377"/>
      <c r="O2877" s="377"/>
      <c r="P2877" s="377"/>
      <c r="Q2877" s="377"/>
      <c r="R2877" s="377"/>
      <c r="S2877" s="42"/>
      <c r="T2877" s="42"/>
      <c r="U2877" s="42"/>
      <c r="V2877" s="42"/>
      <c r="W2877" s="86"/>
      <c r="AL2877" s="377">
        <f>PPMT('Assumptions (T&amp;D)'!$B$97,Model!W$1,'Assumptions (T&amp;D)'!$B$100,Model!$AL$2839)</f>
        <v>-0.64684112348994383</v>
      </c>
      <c r="AM2877" s="377">
        <f>PPMT('Assumptions (T&amp;D)'!$B$97,Model!X$1,'Assumptions (T&amp;D)'!$B$100,Model!$AL$2839)</f>
        <v>-0.67756607685571624</v>
      </c>
      <c r="AN2877" s="377">
        <f>PPMT('Assumptions (T&amp;D)'!$B$97,Model!Y$1,'Assumptions (T&amp;D)'!$B$100,Model!$AL$2839)</f>
        <v>-0.70975046550636278</v>
      </c>
      <c r="AO2877" s="377">
        <f>PPMT('Assumptions (T&amp;D)'!$B$97,Model!Z$1,'Assumptions (T&amp;D)'!$B$100,Model!$AL$2839)</f>
        <v>-0.74346361261791483</v>
      </c>
      <c r="AP2877" s="377">
        <f>PPMT('Assumptions (T&amp;D)'!$B$97,Model!AA$1,'Assumptions (T&amp;D)'!$B$100,Model!$AL$2839)</f>
        <v>-0.77877813421726583</v>
      </c>
      <c r="AQ2877" s="377">
        <f>PPMT('Assumptions (T&amp;D)'!$B$97,Model!AB$1,'Assumptions (T&amp;D)'!$B$100,Model!$AL$2839)</f>
        <v>-0.81577009559258595</v>
      </c>
      <c r="AR2877" s="377">
        <f>PPMT('Assumptions (T&amp;D)'!$B$97,Model!AC$1,'Assumptions (T&amp;D)'!$B$100,Model!$AL$2839)</f>
        <v>-0.85451917513323383</v>
      </c>
      <c r="AS2877" s="377">
        <f>PPMT('Assumptions (T&amp;D)'!$B$97,Model!AD$1,'Assumptions (T&amp;D)'!$B$100,Model!$AL$2839)</f>
        <v>-0.89510883595206248</v>
      </c>
      <c r="AT2877" s="377">
        <f>PPMT('Assumptions (T&amp;D)'!$B$97,Model!AE$1,'Assumptions (T&amp;D)'!$B$100,Model!$AL$2839)</f>
        <v>-0.93762650565978545</v>
      </c>
      <c r="AU2877" s="377">
        <f>PPMT('Assumptions (T&amp;D)'!$B$97,Model!AF$1,'Assumptions (T&amp;D)'!$B$100,Model!$AL$2839)</f>
        <v>-0.98216376467862521</v>
      </c>
      <c r="AV2877" s="377">
        <f>PPMT('Assumptions (T&amp;D)'!$B$97,Model!AG$1,'Assumptions (T&amp;D)'!$B$100,Model!$AL$2839)</f>
        <v>-1.02881654350086</v>
      </c>
      <c r="AW2877" s="377">
        <f>PPMT('Assumptions (T&amp;D)'!$B$97,Model!AH$1,'Assumptions (T&amp;D)'!$B$100,Model!$AL$2839)</f>
        <v>-1.0776853293171509</v>
      </c>
      <c r="AX2877" s="377">
        <f>PPMT('Assumptions (T&amp;D)'!$B$97,Model!AI$1,'Assumptions (T&amp;D)'!$B$100,Model!$AL$2839)</f>
        <v>-1.1288753824597155</v>
      </c>
      <c r="AY2877" s="377">
        <f>PPMT('Assumptions (T&amp;D)'!$B$97,Model!AJ$1,'Assumptions (T&amp;D)'!$B$100,Model!$AL$2839)</f>
        <v>-1.1824969631265521</v>
      </c>
      <c r="AZ2877" s="377">
        <f>PPMT('Assumptions (T&amp;D)'!$B$97,Model!AK$1,'Assumptions (T&amp;D)'!$B$100,Model!$AL$2839)</f>
        <v>-1.2386655688750632</v>
      </c>
      <c r="BA2877" s="377"/>
      <c r="BB2877" s="377"/>
      <c r="BC2877" s="377"/>
      <c r="BD2877" s="377"/>
      <c r="BE2877" s="377"/>
      <c r="BF2877" s="377"/>
      <c r="BG2877" s="377"/>
      <c r="BH2877" s="377"/>
      <c r="BI2877" s="377"/>
      <c r="BJ2877" s="377"/>
    </row>
    <row r="2878" spans="1:65" ht="15.75" hidden="1" customHeight="1" outlineLevel="1">
      <c r="A2878" s="460"/>
      <c r="B2878" s="99"/>
      <c r="C2878" s="377"/>
      <c r="D2878" s="377"/>
      <c r="E2878" s="377"/>
      <c r="F2878" s="377"/>
      <c r="G2878" s="377"/>
      <c r="H2878" s="377"/>
      <c r="I2878" s="377"/>
      <c r="J2878" s="377"/>
      <c r="K2878" s="377"/>
      <c r="L2878" s="377"/>
      <c r="M2878" s="377"/>
      <c r="N2878" s="377"/>
      <c r="O2878" s="377"/>
      <c r="P2878" s="377"/>
      <c r="Q2878" s="377"/>
      <c r="R2878" s="377"/>
      <c r="S2878" s="42"/>
      <c r="T2878" s="42"/>
      <c r="U2878" s="42"/>
      <c r="V2878" s="42"/>
      <c r="W2878" s="86"/>
      <c r="AM2878" s="377">
        <f>PPMT('Assumptions (T&amp;D)'!$B$97,Model!W$1,'Assumptions (T&amp;D)'!$B$100,Model!$AM$2839)</f>
        <v>-0.64684112348994383</v>
      </c>
      <c r="AN2878" s="377">
        <f>PPMT('Assumptions (T&amp;D)'!$B$97,Model!X$1,'Assumptions (T&amp;D)'!$B$100,Model!$AM$2839)</f>
        <v>-0.67756607685571624</v>
      </c>
      <c r="AO2878" s="377">
        <f>PPMT('Assumptions (T&amp;D)'!$B$97,Model!Y$1,'Assumptions (T&amp;D)'!$B$100,Model!$AM$2839)</f>
        <v>-0.70975046550636278</v>
      </c>
      <c r="AP2878" s="377">
        <f>PPMT('Assumptions (T&amp;D)'!$B$97,Model!Z$1,'Assumptions (T&amp;D)'!$B$100,Model!$AM$2839)</f>
        <v>-0.74346361261791483</v>
      </c>
      <c r="AQ2878" s="377">
        <f>PPMT('Assumptions (T&amp;D)'!$B$97,Model!AA$1,'Assumptions (T&amp;D)'!$B$100,Model!$AM$2839)</f>
        <v>-0.77877813421726583</v>
      </c>
      <c r="AR2878" s="377">
        <f>PPMT('Assumptions (T&amp;D)'!$B$97,Model!AB$1,'Assumptions (T&amp;D)'!$B$100,Model!$AM$2839)</f>
        <v>-0.81577009559258595</v>
      </c>
      <c r="AS2878" s="377">
        <f>PPMT('Assumptions (T&amp;D)'!$B$97,Model!AC$1,'Assumptions (T&amp;D)'!$B$100,Model!$AM$2839)</f>
        <v>-0.85451917513323383</v>
      </c>
      <c r="AT2878" s="377">
        <f>PPMT('Assumptions (T&amp;D)'!$B$97,Model!AD$1,'Assumptions (T&amp;D)'!$B$100,Model!$AM$2839)</f>
        <v>-0.89510883595206248</v>
      </c>
      <c r="AU2878" s="377">
        <f>PPMT('Assumptions (T&amp;D)'!$B$97,Model!AE$1,'Assumptions (T&amp;D)'!$B$100,Model!$AM$2839)</f>
        <v>-0.93762650565978545</v>
      </c>
      <c r="AV2878" s="377">
        <f>PPMT('Assumptions (T&amp;D)'!$B$97,Model!AF$1,'Assumptions (T&amp;D)'!$B$100,Model!$AM$2839)</f>
        <v>-0.98216376467862521</v>
      </c>
      <c r="AW2878" s="377">
        <f>PPMT('Assumptions (T&amp;D)'!$B$97,Model!AG$1,'Assumptions (T&amp;D)'!$B$100,Model!$AM$2839)</f>
        <v>-1.02881654350086</v>
      </c>
      <c r="AX2878" s="377">
        <f>PPMT('Assumptions (T&amp;D)'!$B$97,Model!AH$1,'Assumptions (T&amp;D)'!$B$100,Model!$AM$2839)</f>
        <v>-1.0776853293171509</v>
      </c>
      <c r="AY2878" s="377">
        <f>PPMT('Assumptions (T&amp;D)'!$B$97,Model!AI$1,'Assumptions (T&amp;D)'!$B$100,Model!$AM$2839)</f>
        <v>-1.1288753824597155</v>
      </c>
      <c r="AZ2878" s="377">
        <f>PPMT('Assumptions (T&amp;D)'!$B$97,Model!AJ$1,'Assumptions (T&amp;D)'!$B$100,Model!$AM$2839)</f>
        <v>-1.1824969631265521</v>
      </c>
      <c r="BA2878" s="377">
        <f>PPMT('Assumptions (T&amp;D)'!$B$97,Model!AK$1,'Assumptions (T&amp;D)'!$B$100,Model!$AM$2839)</f>
        <v>-1.2386655688750632</v>
      </c>
      <c r="BB2878" s="377"/>
      <c r="BC2878" s="377"/>
      <c r="BD2878" s="377"/>
      <c r="BE2878" s="377"/>
      <c r="BF2878" s="377"/>
      <c r="BG2878" s="377"/>
      <c r="BH2878" s="377"/>
      <c r="BI2878" s="377"/>
      <c r="BJ2878" s="377"/>
      <c r="BK2878" s="377"/>
    </row>
    <row r="2879" spans="1:65" ht="15.75" hidden="1" customHeight="1" outlineLevel="1">
      <c r="A2879" s="460"/>
      <c r="B2879" s="99"/>
      <c r="C2879" s="377"/>
      <c r="D2879" s="377"/>
      <c r="E2879" s="377"/>
      <c r="F2879" s="377"/>
      <c r="G2879" s="377"/>
      <c r="H2879" s="377"/>
      <c r="I2879" s="377"/>
      <c r="J2879" s="377"/>
      <c r="K2879" s="377"/>
      <c r="L2879" s="377"/>
      <c r="M2879" s="377"/>
      <c r="N2879" s="377"/>
      <c r="O2879" s="377"/>
      <c r="P2879" s="377"/>
      <c r="Q2879" s="377"/>
      <c r="R2879" s="377"/>
      <c r="S2879" s="42"/>
      <c r="T2879" s="42"/>
      <c r="U2879" s="42"/>
      <c r="V2879" s="42"/>
      <c r="W2879" s="86"/>
      <c r="AN2879" s="377">
        <f>PPMT('Assumptions (T&amp;D)'!$B$97,Model!W$1,'Assumptions (T&amp;D)'!$B$100,Model!$AN$2839)</f>
        <v>-0.64684112348994383</v>
      </c>
      <c r="AO2879" s="377">
        <f>PPMT('Assumptions (T&amp;D)'!$B$97,Model!X$1,'Assumptions (T&amp;D)'!$B$100,Model!$AN$2839)</f>
        <v>-0.67756607685571624</v>
      </c>
      <c r="AP2879" s="377">
        <f>PPMT('Assumptions (T&amp;D)'!$B$97,Model!Y$1,'Assumptions (T&amp;D)'!$B$100,Model!$AN$2839)</f>
        <v>-0.70975046550636278</v>
      </c>
      <c r="AQ2879" s="377">
        <f>PPMT('Assumptions (T&amp;D)'!$B$97,Model!Z$1,'Assumptions (T&amp;D)'!$B$100,Model!$AN$2839)</f>
        <v>-0.74346361261791483</v>
      </c>
      <c r="AR2879" s="377">
        <f>PPMT('Assumptions (T&amp;D)'!$B$97,Model!AA$1,'Assumptions (T&amp;D)'!$B$100,Model!$AN$2839)</f>
        <v>-0.77877813421726583</v>
      </c>
      <c r="AS2879" s="377">
        <f>PPMT('Assumptions (T&amp;D)'!$B$97,Model!AB$1,'Assumptions (T&amp;D)'!$B$100,Model!$AN$2839)</f>
        <v>-0.81577009559258595</v>
      </c>
      <c r="AT2879" s="377">
        <f>PPMT('Assumptions (T&amp;D)'!$B$97,Model!AC$1,'Assumptions (T&amp;D)'!$B$100,Model!$AN$2839)</f>
        <v>-0.85451917513323383</v>
      </c>
      <c r="AU2879" s="377">
        <f>PPMT('Assumptions (T&amp;D)'!$B$97,Model!AD$1,'Assumptions (T&amp;D)'!$B$100,Model!$AN$2839)</f>
        <v>-0.89510883595206248</v>
      </c>
      <c r="AV2879" s="377">
        <f>PPMT('Assumptions (T&amp;D)'!$B$97,Model!AE$1,'Assumptions (T&amp;D)'!$B$100,Model!$AN$2839)</f>
        <v>-0.93762650565978545</v>
      </c>
      <c r="AW2879" s="377">
        <f>PPMT('Assumptions (T&amp;D)'!$B$97,Model!AF$1,'Assumptions (T&amp;D)'!$B$100,Model!$AN$2839)</f>
        <v>-0.98216376467862521</v>
      </c>
      <c r="AX2879" s="377">
        <f>PPMT('Assumptions (T&amp;D)'!$B$97,Model!AG$1,'Assumptions (T&amp;D)'!$B$100,Model!$AN$2839)</f>
        <v>-1.02881654350086</v>
      </c>
      <c r="AY2879" s="377">
        <f>PPMT('Assumptions (T&amp;D)'!$B$97,Model!AH$1,'Assumptions (T&amp;D)'!$B$100,Model!$AN$2839)</f>
        <v>-1.0776853293171509</v>
      </c>
      <c r="AZ2879" s="377">
        <f>PPMT('Assumptions (T&amp;D)'!$B$97,Model!AI$1,'Assumptions (T&amp;D)'!$B$100,Model!$AN$2839)</f>
        <v>-1.1288753824597155</v>
      </c>
      <c r="BA2879" s="377">
        <f>PPMT('Assumptions (T&amp;D)'!$B$97,Model!AJ$1,'Assumptions (T&amp;D)'!$B$100,Model!$AN$2839)</f>
        <v>-1.1824969631265521</v>
      </c>
      <c r="BB2879" s="377">
        <f>PPMT('Assumptions (T&amp;D)'!$B$97,Model!AK$1,'Assumptions (T&amp;D)'!$B$100,Model!$AN$2839)</f>
        <v>-1.2386655688750632</v>
      </c>
      <c r="BC2879" s="377"/>
      <c r="BD2879" s="377"/>
      <c r="BE2879" s="377"/>
      <c r="BF2879" s="377"/>
      <c r="BG2879" s="377"/>
      <c r="BH2879" s="377"/>
      <c r="BI2879" s="377"/>
      <c r="BJ2879" s="377"/>
      <c r="BK2879" s="377"/>
      <c r="BL2879" s="377"/>
    </row>
    <row r="2880" spans="1:65" ht="15.75" hidden="1" customHeight="1" outlineLevel="1">
      <c r="A2880" s="460"/>
      <c r="B2880" s="99"/>
      <c r="C2880" s="377"/>
      <c r="D2880" s="377"/>
      <c r="E2880" s="377"/>
      <c r="F2880" s="377"/>
      <c r="G2880" s="377"/>
      <c r="H2880" s="377"/>
      <c r="I2880" s="377"/>
      <c r="J2880" s="377"/>
      <c r="K2880" s="377"/>
      <c r="L2880" s="377"/>
      <c r="M2880" s="377"/>
      <c r="N2880" s="377"/>
      <c r="O2880" s="377"/>
      <c r="P2880" s="377"/>
      <c r="Q2880" s="377"/>
      <c r="R2880" s="377"/>
      <c r="S2880" s="42"/>
      <c r="T2880" s="42"/>
      <c r="U2880" s="42"/>
      <c r="V2880" s="42"/>
      <c r="W2880" s="86"/>
      <c r="AO2880" s="377">
        <f>PPMT('Assumptions (T&amp;D)'!$B$97,Model!W$1,'Assumptions (T&amp;D)'!$B$100,Model!$AO$2839)</f>
        <v>-0.64684112348994383</v>
      </c>
      <c r="AP2880" s="377">
        <f>PPMT('Assumptions (T&amp;D)'!$B$97,Model!X$1,'Assumptions (T&amp;D)'!$B$100,Model!$AO$2839)</f>
        <v>-0.67756607685571624</v>
      </c>
      <c r="AQ2880" s="377">
        <f>PPMT('Assumptions (T&amp;D)'!$B$97,Model!Y$1,'Assumptions (T&amp;D)'!$B$100,Model!$AO$2839)</f>
        <v>-0.70975046550636278</v>
      </c>
      <c r="AR2880" s="377">
        <f>PPMT('Assumptions (T&amp;D)'!$B$97,Model!Z$1,'Assumptions (T&amp;D)'!$B$100,Model!$AO$2839)</f>
        <v>-0.74346361261791483</v>
      </c>
      <c r="AS2880" s="377">
        <f>PPMT('Assumptions (T&amp;D)'!$B$97,Model!AA$1,'Assumptions (T&amp;D)'!$B$100,Model!$AO$2839)</f>
        <v>-0.77877813421726583</v>
      </c>
      <c r="AT2880" s="377">
        <f>PPMT('Assumptions (T&amp;D)'!$B$97,Model!AB$1,'Assumptions (T&amp;D)'!$B$100,Model!$AO$2839)</f>
        <v>-0.81577009559258595</v>
      </c>
      <c r="AU2880" s="377">
        <f>PPMT('Assumptions (T&amp;D)'!$B$97,Model!AC$1,'Assumptions (T&amp;D)'!$B$100,Model!$AO$2839)</f>
        <v>-0.85451917513323383</v>
      </c>
      <c r="AV2880" s="377">
        <f>PPMT('Assumptions (T&amp;D)'!$B$97,Model!AD$1,'Assumptions (T&amp;D)'!$B$100,Model!$AO$2839)</f>
        <v>-0.89510883595206248</v>
      </c>
      <c r="AW2880" s="377">
        <f>PPMT('Assumptions (T&amp;D)'!$B$97,Model!AE$1,'Assumptions (T&amp;D)'!$B$100,Model!$AO$2839)</f>
        <v>-0.93762650565978545</v>
      </c>
      <c r="AX2880" s="377">
        <f>PPMT('Assumptions (T&amp;D)'!$B$97,Model!AF$1,'Assumptions (T&amp;D)'!$B$100,Model!$AO$2839)</f>
        <v>-0.98216376467862521</v>
      </c>
      <c r="AY2880" s="377">
        <f>PPMT('Assumptions (T&amp;D)'!$B$97,Model!AG$1,'Assumptions (T&amp;D)'!$B$100,Model!$AO$2839)</f>
        <v>-1.02881654350086</v>
      </c>
      <c r="AZ2880" s="377">
        <f>PPMT('Assumptions (T&amp;D)'!$B$97,Model!AH$1,'Assumptions (T&amp;D)'!$B$100,Model!$AO$2839)</f>
        <v>-1.0776853293171509</v>
      </c>
      <c r="BA2880" s="377">
        <f>PPMT('Assumptions (T&amp;D)'!$B$97,Model!AI$1,'Assumptions (T&amp;D)'!$B$100,Model!$AO$2839)</f>
        <v>-1.1288753824597155</v>
      </c>
      <c r="BB2880" s="377">
        <f>PPMT('Assumptions (T&amp;D)'!$B$97,Model!AJ$1,'Assumptions (T&amp;D)'!$B$100,Model!$AO$2839)</f>
        <v>-1.1824969631265521</v>
      </c>
      <c r="BC2880" s="377">
        <f>PPMT('Assumptions (T&amp;D)'!$B$97,Model!AK$1,'Assumptions (T&amp;D)'!$B$100,Model!$AO$2839)</f>
        <v>-1.2386655688750632</v>
      </c>
      <c r="BD2880" s="377"/>
      <c r="BE2880" s="377"/>
      <c r="BF2880" s="377"/>
      <c r="BG2880" s="377"/>
      <c r="BH2880" s="377"/>
      <c r="BI2880" s="377"/>
      <c r="BJ2880" s="377"/>
      <c r="BK2880" s="377"/>
      <c r="BL2880" s="377"/>
      <c r="BM2880" s="377"/>
    </row>
    <row r="2881" spans="1:77" ht="15.75" hidden="1" customHeight="1" outlineLevel="1">
      <c r="A2881" s="460"/>
      <c r="B2881" s="99"/>
      <c r="C2881" s="377"/>
      <c r="D2881" s="377"/>
      <c r="E2881" s="377"/>
      <c r="F2881" s="377"/>
      <c r="G2881" s="377"/>
      <c r="H2881" s="377"/>
      <c r="I2881" s="377"/>
      <c r="J2881" s="377"/>
      <c r="K2881" s="377"/>
      <c r="L2881" s="377"/>
      <c r="M2881" s="377"/>
      <c r="N2881" s="377"/>
      <c r="O2881" s="377"/>
      <c r="P2881" s="377"/>
      <c r="Q2881" s="377"/>
      <c r="R2881" s="377"/>
      <c r="S2881" s="42"/>
      <c r="T2881" s="42"/>
      <c r="U2881" s="42"/>
      <c r="V2881" s="42"/>
      <c r="W2881" s="86"/>
      <c r="AP2881" s="377">
        <f>PPMT('Assumptions (T&amp;D)'!$B$97,Model!W$1,'Assumptions (T&amp;D)'!$B$100,Model!$AP$2839)</f>
        <v>-0.64684112348994383</v>
      </c>
      <c r="AQ2881" s="377">
        <f>PPMT('Assumptions (T&amp;D)'!$B$97,Model!X$1,'Assumptions (T&amp;D)'!$B$100,Model!$AP$2839)</f>
        <v>-0.67756607685571624</v>
      </c>
      <c r="AR2881" s="377">
        <f>PPMT('Assumptions (T&amp;D)'!$B$97,Model!Y$1,'Assumptions (T&amp;D)'!$B$100,Model!$AP$2839)</f>
        <v>-0.70975046550636278</v>
      </c>
      <c r="AS2881" s="377">
        <f>PPMT('Assumptions (T&amp;D)'!$B$97,Model!Z$1,'Assumptions (T&amp;D)'!$B$100,Model!$AP$2839)</f>
        <v>-0.74346361261791483</v>
      </c>
      <c r="AT2881" s="377">
        <f>PPMT('Assumptions (T&amp;D)'!$B$97,Model!AA$1,'Assumptions (T&amp;D)'!$B$100,Model!$AP$2839)</f>
        <v>-0.77877813421726583</v>
      </c>
      <c r="AU2881" s="377">
        <f>PPMT('Assumptions (T&amp;D)'!$B$97,Model!AB$1,'Assumptions (T&amp;D)'!$B$100,Model!$AP$2839)</f>
        <v>-0.81577009559258595</v>
      </c>
      <c r="AV2881" s="377">
        <f>PPMT('Assumptions (T&amp;D)'!$B$97,Model!AC$1,'Assumptions (T&amp;D)'!$B$100,Model!$AP$2839)</f>
        <v>-0.85451917513323383</v>
      </c>
      <c r="AW2881" s="377">
        <f>PPMT('Assumptions (T&amp;D)'!$B$97,Model!AD$1,'Assumptions (T&amp;D)'!$B$100,Model!$AP$2839)</f>
        <v>-0.89510883595206248</v>
      </c>
      <c r="AX2881" s="377">
        <f>PPMT('Assumptions (T&amp;D)'!$B$97,Model!AE$1,'Assumptions (T&amp;D)'!$B$100,Model!$AP$2839)</f>
        <v>-0.93762650565978545</v>
      </c>
      <c r="AY2881" s="377">
        <f>PPMT('Assumptions (T&amp;D)'!$B$97,Model!AF$1,'Assumptions (T&amp;D)'!$B$100,Model!$AP$2839)</f>
        <v>-0.98216376467862521</v>
      </c>
      <c r="AZ2881" s="377">
        <f>PPMT('Assumptions (T&amp;D)'!$B$97,Model!AG$1,'Assumptions (T&amp;D)'!$B$100,Model!$AP$2839)</f>
        <v>-1.02881654350086</v>
      </c>
      <c r="BA2881" s="377">
        <f>PPMT('Assumptions (T&amp;D)'!$B$97,Model!AH$1,'Assumptions (T&amp;D)'!$B$100,Model!$AP$2839)</f>
        <v>-1.0776853293171509</v>
      </c>
      <c r="BB2881" s="377">
        <f>PPMT('Assumptions (T&amp;D)'!$B$97,Model!AI$1,'Assumptions (T&amp;D)'!$B$100,Model!$AP$2839)</f>
        <v>-1.1288753824597155</v>
      </c>
      <c r="BC2881" s="377">
        <f>PPMT('Assumptions (T&amp;D)'!$B$97,Model!AJ$1,'Assumptions (T&amp;D)'!$B$100,Model!$AP$2839)</f>
        <v>-1.1824969631265521</v>
      </c>
      <c r="BD2881" s="377">
        <f>PPMT('Assumptions (T&amp;D)'!$B$97,Model!AK$1,'Assumptions (T&amp;D)'!$B$100,Model!$AP$2839)</f>
        <v>-1.2386655688750632</v>
      </c>
      <c r="BE2881" s="377"/>
      <c r="BF2881" s="377"/>
      <c r="BG2881" s="377"/>
      <c r="BH2881" s="377"/>
      <c r="BI2881" s="377"/>
      <c r="BJ2881" s="377"/>
      <c r="BK2881" s="377"/>
      <c r="BL2881" s="377"/>
      <c r="BM2881" s="377"/>
      <c r="BN2881" s="377"/>
    </row>
    <row r="2882" spans="1:77" ht="15.75" hidden="1" customHeight="1" outlineLevel="1">
      <c r="A2882" s="460"/>
      <c r="B2882" s="99"/>
      <c r="C2882" s="377"/>
      <c r="D2882" s="377"/>
      <c r="E2882" s="377"/>
      <c r="F2882" s="377"/>
      <c r="G2882" s="377"/>
      <c r="H2882" s="377"/>
      <c r="I2882" s="377"/>
      <c r="J2882" s="377"/>
      <c r="K2882" s="377"/>
      <c r="L2882" s="377"/>
      <c r="M2882" s="377"/>
      <c r="N2882" s="377"/>
      <c r="O2882" s="377"/>
      <c r="P2882" s="377"/>
      <c r="Q2882" s="377"/>
      <c r="R2882" s="377"/>
      <c r="S2882" s="42"/>
      <c r="T2882" s="42"/>
      <c r="U2882" s="42"/>
      <c r="V2882" s="42"/>
      <c r="W2882" s="86"/>
      <c r="AQ2882" s="377">
        <f>PPMT('Assumptions (T&amp;D)'!$B$97,Model!W$1,'Assumptions (T&amp;D)'!$B$100,Model!$AQ$2839)</f>
        <v>-0.64684112348994383</v>
      </c>
      <c r="AR2882" s="377">
        <f>PPMT('Assumptions (T&amp;D)'!$B$97,Model!X$1,'Assumptions (T&amp;D)'!$B$100,Model!$AQ$2839)</f>
        <v>-0.67756607685571624</v>
      </c>
      <c r="AS2882" s="377">
        <f>PPMT('Assumptions (T&amp;D)'!$B$97,Model!Y$1,'Assumptions (T&amp;D)'!$B$100,Model!$AQ$2839)</f>
        <v>-0.70975046550636278</v>
      </c>
      <c r="AT2882" s="377">
        <f>PPMT('Assumptions (T&amp;D)'!$B$97,Model!Z$1,'Assumptions (T&amp;D)'!$B$100,Model!$AQ$2839)</f>
        <v>-0.74346361261791483</v>
      </c>
      <c r="AU2882" s="377">
        <f>PPMT('Assumptions (T&amp;D)'!$B$97,Model!AA$1,'Assumptions (T&amp;D)'!$B$100,Model!$AQ$2839)</f>
        <v>-0.77877813421726583</v>
      </c>
      <c r="AV2882" s="377">
        <f>PPMT('Assumptions (T&amp;D)'!$B$97,Model!AB$1,'Assumptions (T&amp;D)'!$B$100,Model!$AQ$2839)</f>
        <v>-0.81577009559258595</v>
      </c>
      <c r="AW2882" s="377">
        <f>PPMT('Assumptions (T&amp;D)'!$B$97,Model!AC$1,'Assumptions (T&amp;D)'!$B$100,Model!$AQ$2839)</f>
        <v>-0.85451917513323383</v>
      </c>
      <c r="AX2882" s="377">
        <f>PPMT('Assumptions (T&amp;D)'!$B$97,Model!AD$1,'Assumptions (T&amp;D)'!$B$100,Model!$AQ$2839)</f>
        <v>-0.89510883595206248</v>
      </c>
      <c r="AY2882" s="377">
        <f>PPMT('Assumptions (T&amp;D)'!$B$97,Model!AE$1,'Assumptions (T&amp;D)'!$B$100,Model!$AQ$2839)</f>
        <v>-0.93762650565978545</v>
      </c>
      <c r="AZ2882" s="377">
        <f>PPMT('Assumptions (T&amp;D)'!$B$97,Model!AF$1,'Assumptions (T&amp;D)'!$B$100,Model!$AQ$2839)</f>
        <v>-0.98216376467862521</v>
      </c>
      <c r="BA2882" s="377">
        <f>PPMT('Assumptions (T&amp;D)'!$B$97,Model!AG$1,'Assumptions (T&amp;D)'!$B$100,Model!$AQ$2839)</f>
        <v>-1.02881654350086</v>
      </c>
      <c r="BB2882" s="377">
        <f>PPMT('Assumptions (T&amp;D)'!$B$97,Model!AH$1,'Assumptions (T&amp;D)'!$B$100,Model!$AQ$2839)</f>
        <v>-1.0776853293171509</v>
      </c>
      <c r="BC2882" s="377">
        <f>PPMT('Assumptions (T&amp;D)'!$B$97,Model!AI$1,'Assumptions (T&amp;D)'!$B$100,Model!$AQ$2839)</f>
        <v>-1.1288753824597155</v>
      </c>
      <c r="BD2882" s="377">
        <f>PPMT('Assumptions (T&amp;D)'!$B$97,Model!AJ$1,'Assumptions (T&amp;D)'!$B$100,Model!$AQ$2839)</f>
        <v>-1.1824969631265521</v>
      </c>
      <c r="BE2882" s="377">
        <f>PPMT('Assumptions (T&amp;D)'!$B$97,Model!AK$1,'Assumptions (T&amp;D)'!$B$100,Model!$AQ$2839)</f>
        <v>-1.2386655688750632</v>
      </c>
      <c r="BF2882" s="377"/>
      <c r="BG2882" s="377"/>
      <c r="BH2882" s="377"/>
      <c r="BI2882" s="377"/>
      <c r="BJ2882" s="377"/>
      <c r="BK2882" s="377"/>
      <c r="BL2882" s="377"/>
      <c r="BM2882" s="377"/>
      <c r="BN2882" s="377"/>
      <c r="BO2882" s="377"/>
    </row>
    <row r="2883" spans="1:77" ht="15.75" hidden="1" customHeight="1" outlineLevel="1">
      <c r="A2883" s="460"/>
      <c r="B2883" s="99"/>
      <c r="C2883" s="377"/>
      <c r="D2883" s="377"/>
      <c r="E2883" s="377"/>
      <c r="F2883" s="377"/>
      <c r="G2883" s="377"/>
      <c r="H2883" s="377"/>
      <c r="I2883" s="377"/>
      <c r="J2883" s="377"/>
      <c r="K2883" s="377"/>
      <c r="L2883" s="377"/>
      <c r="M2883" s="377"/>
      <c r="N2883" s="377"/>
      <c r="O2883" s="377"/>
      <c r="P2883" s="377"/>
      <c r="Q2883" s="377"/>
      <c r="R2883" s="377"/>
      <c r="S2883" s="42"/>
      <c r="T2883" s="42"/>
      <c r="U2883" s="42"/>
      <c r="V2883" s="42"/>
      <c r="W2883" s="86"/>
      <c r="AR2883" s="377">
        <f>PPMT('Assumptions (T&amp;D)'!$B$97,Model!W$1,'Assumptions (T&amp;D)'!$B$100,Model!$AR$2839)</f>
        <v>-0.64684112348994383</v>
      </c>
      <c r="AS2883" s="377">
        <f>PPMT('Assumptions (T&amp;D)'!$B$97,Model!X$1,'Assumptions (T&amp;D)'!$B$100,Model!$AR$2839)</f>
        <v>-0.67756607685571624</v>
      </c>
      <c r="AT2883" s="377">
        <f>PPMT('Assumptions (T&amp;D)'!$B$97,Model!Y$1,'Assumptions (T&amp;D)'!$B$100,Model!$AR$2839)</f>
        <v>-0.70975046550636278</v>
      </c>
      <c r="AU2883" s="377">
        <f>PPMT('Assumptions (T&amp;D)'!$B$97,Model!Z$1,'Assumptions (T&amp;D)'!$B$100,Model!$AR$2839)</f>
        <v>-0.74346361261791483</v>
      </c>
      <c r="AV2883" s="377">
        <f>PPMT('Assumptions (T&amp;D)'!$B$97,Model!AA$1,'Assumptions (T&amp;D)'!$B$100,Model!$AR$2839)</f>
        <v>-0.77877813421726583</v>
      </c>
      <c r="AW2883" s="377">
        <f>PPMT('Assumptions (T&amp;D)'!$B$97,Model!AB$1,'Assumptions (T&amp;D)'!$B$100,Model!$AR$2839)</f>
        <v>-0.81577009559258595</v>
      </c>
      <c r="AX2883" s="377">
        <f>PPMT('Assumptions (T&amp;D)'!$B$97,Model!AC$1,'Assumptions (T&amp;D)'!$B$100,Model!$AR$2839)</f>
        <v>-0.85451917513323383</v>
      </c>
      <c r="AY2883" s="377">
        <f>PPMT('Assumptions (T&amp;D)'!$B$97,Model!AD$1,'Assumptions (T&amp;D)'!$B$100,Model!$AR$2839)</f>
        <v>-0.89510883595206248</v>
      </c>
      <c r="AZ2883" s="377">
        <f>PPMT('Assumptions (T&amp;D)'!$B$97,Model!AE$1,'Assumptions (T&amp;D)'!$B$100,Model!$AR$2839)</f>
        <v>-0.93762650565978545</v>
      </c>
      <c r="BA2883" s="377">
        <f>PPMT('Assumptions (T&amp;D)'!$B$97,Model!AF$1,'Assumptions (T&amp;D)'!$B$100,Model!$AR$2839)</f>
        <v>-0.98216376467862521</v>
      </c>
      <c r="BB2883" s="377">
        <f>PPMT('Assumptions (T&amp;D)'!$B$97,Model!AG$1,'Assumptions (T&amp;D)'!$B$100,Model!$AR$2839)</f>
        <v>-1.02881654350086</v>
      </c>
      <c r="BC2883" s="377">
        <f>PPMT('Assumptions (T&amp;D)'!$B$97,Model!AH$1,'Assumptions (T&amp;D)'!$B$100,Model!$AR$2839)</f>
        <v>-1.0776853293171509</v>
      </c>
      <c r="BD2883" s="377">
        <f>PPMT('Assumptions (T&amp;D)'!$B$97,Model!AI$1,'Assumptions (T&amp;D)'!$B$100,Model!$AR$2839)</f>
        <v>-1.1288753824597155</v>
      </c>
      <c r="BE2883" s="377">
        <f>PPMT('Assumptions (T&amp;D)'!$B$97,Model!AJ$1,'Assumptions (T&amp;D)'!$B$100,Model!$AR$2839)</f>
        <v>-1.1824969631265521</v>
      </c>
      <c r="BF2883" s="377">
        <f>PPMT('Assumptions (T&amp;D)'!$B$97,Model!AK$1,'Assumptions (T&amp;D)'!$B$100,Model!$AR$2839)</f>
        <v>-1.2386655688750632</v>
      </c>
      <c r="BG2883" s="377"/>
      <c r="BH2883" s="377"/>
      <c r="BI2883" s="377"/>
      <c r="BJ2883" s="377"/>
      <c r="BK2883" s="377"/>
      <c r="BL2883" s="377"/>
      <c r="BM2883" s="377"/>
      <c r="BN2883" s="377"/>
      <c r="BO2883" s="377"/>
      <c r="BP2883" s="377"/>
    </row>
    <row r="2884" spans="1:77" ht="15.75" hidden="1" customHeight="1" outlineLevel="1">
      <c r="A2884" s="460"/>
      <c r="B2884" s="99"/>
      <c r="C2884" s="377"/>
      <c r="D2884" s="377"/>
      <c r="E2884" s="377"/>
      <c r="F2884" s="377"/>
      <c r="G2884" s="377"/>
      <c r="H2884" s="377"/>
      <c r="I2884" s="377"/>
      <c r="J2884" s="377"/>
      <c r="K2884" s="377"/>
      <c r="L2884" s="377"/>
      <c r="M2884" s="377"/>
      <c r="N2884" s="377"/>
      <c r="O2884" s="377"/>
      <c r="P2884" s="377"/>
      <c r="Q2884" s="377"/>
      <c r="R2884" s="377"/>
      <c r="S2884" s="42"/>
      <c r="T2884" s="42"/>
      <c r="U2884" s="42"/>
      <c r="V2884" s="42"/>
      <c r="W2884" s="86"/>
      <c r="AS2884" s="377">
        <f>PPMT('Assumptions (T&amp;D)'!$B$97,Model!W$1,'Assumptions (T&amp;D)'!$B$100,Model!$AS$2839)</f>
        <v>-0.64684112348994383</v>
      </c>
      <c r="AT2884" s="377">
        <f>PPMT('Assumptions (T&amp;D)'!$B$97,Model!X$1,'Assumptions (T&amp;D)'!$B$100,Model!$AS$2839)</f>
        <v>-0.67756607685571624</v>
      </c>
      <c r="AU2884" s="377">
        <f>PPMT('Assumptions (T&amp;D)'!$B$97,Model!Y$1,'Assumptions (T&amp;D)'!$B$100,Model!$AS$2839)</f>
        <v>-0.70975046550636278</v>
      </c>
      <c r="AV2884" s="377">
        <f>PPMT('Assumptions (T&amp;D)'!$B$97,Model!Z$1,'Assumptions (T&amp;D)'!$B$100,Model!$AS$2839)</f>
        <v>-0.74346361261791483</v>
      </c>
      <c r="AW2884" s="377">
        <f>PPMT('Assumptions (T&amp;D)'!$B$97,Model!AA$1,'Assumptions (T&amp;D)'!$B$100,Model!$AS$2839)</f>
        <v>-0.77877813421726583</v>
      </c>
      <c r="AX2884" s="377">
        <f>PPMT('Assumptions (T&amp;D)'!$B$97,Model!AB$1,'Assumptions (T&amp;D)'!$B$100,Model!$AS$2839)</f>
        <v>-0.81577009559258595</v>
      </c>
      <c r="AY2884" s="377">
        <f>PPMT('Assumptions (T&amp;D)'!$B$97,Model!AC$1,'Assumptions (T&amp;D)'!$B$100,Model!$AS$2839)</f>
        <v>-0.85451917513323383</v>
      </c>
      <c r="AZ2884" s="377">
        <f>PPMT('Assumptions (T&amp;D)'!$B$97,Model!AD$1,'Assumptions (T&amp;D)'!$B$100,Model!$AS$2839)</f>
        <v>-0.89510883595206248</v>
      </c>
      <c r="BA2884" s="377">
        <f>PPMT('Assumptions (T&amp;D)'!$B$97,Model!AE$1,'Assumptions (T&amp;D)'!$B$100,Model!$AS$2839)</f>
        <v>-0.93762650565978545</v>
      </c>
      <c r="BB2884" s="377">
        <f>PPMT('Assumptions (T&amp;D)'!$B$97,Model!AF$1,'Assumptions (T&amp;D)'!$B$100,Model!$AS$2839)</f>
        <v>-0.98216376467862521</v>
      </c>
      <c r="BC2884" s="377">
        <f>PPMT('Assumptions (T&amp;D)'!$B$97,Model!AG$1,'Assumptions (T&amp;D)'!$B$100,Model!$AS$2839)</f>
        <v>-1.02881654350086</v>
      </c>
      <c r="BD2884" s="377">
        <f>PPMT('Assumptions (T&amp;D)'!$B$97,Model!AH$1,'Assumptions (T&amp;D)'!$B$100,Model!$AS$2839)</f>
        <v>-1.0776853293171509</v>
      </c>
      <c r="BE2884" s="377">
        <f>PPMT('Assumptions (T&amp;D)'!$B$97,Model!AI$1,'Assumptions (T&amp;D)'!$B$100,Model!$AS$2839)</f>
        <v>-1.1288753824597155</v>
      </c>
      <c r="BF2884" s="377">
        <f>PPMT('Assumptions (T&amp;D)'!$B$97,Model!AJ$1,'Assumptions (T&amp;D)'!$B$100,Model!$AS$2839)</f>
        <v>-1.1824969631265521</v>
      </c>
      <c r="BG2884" s="377">
        <f>PPMT('Assumptions (T&amp;D)'!$B$97,Model!AK$1,'Assumptions (T&amp;D)'!$B$100,Model!$AS$2839)</f>
        <v>-1.2386655688750632</v>
      </c>
      <c r="BH2884" s="377"/>
      <c r="BI2884" s="377"/>
      <c r="BJ2884" s="377"/>
      <c r="BK2884" s="377"/>
      <c r="BL2884" s="377"/>
      <c r="BM2884" s="377"/>
      <c r="BN2884" s="377"/>
      <c r="BO2884" s="377"/>
      <c r="BP2884" s="377"/>
      <c r="BQ2884" s="377"/>
    </row>
    <row r="2885" spans="1:77" ht="15.75" hidden="1" customHeight="1" outlineLevel="1">
      <c r="A2885" s="460"/>
      <c r="B2885" s="99"/>
      <c r="C2885" s="377"/>
      <c r="D2885" s="377"/>
      <c r="E2885" s="377"/>
      <c r="F2885" s="377"/>
      <c r="G2885" s="377"/>
      <c r="H2885" s="377"/>
      <c r="I2885" s="377"/>
      <c r="J2885" s="377"/>
      <c r="K2885" s="377"/>
      <c r="L2885" s="377"/>
      <c r="M2885" s="377"/>
      <c r="N2885" s="377"/>
      <c r="O2885" s="377"/>
      <c r="P2885" s="377"/>
      <c r="Q2885" s="377"/>
      <c r="R2885" s="377"/>
      <c r="S2885" s="42"/>
      <c r="T2885" s="42"/>
      <c r="U2885" s="42"/>
      <c r="V2885" s="42"/>
      <c r="W2885" s="86"/>
      <c r="AT2885" s="377">
        <f>PPMT('Assumptions (T&amp;D)'!$B$97,Model!W$1,'Assumptions (T&amp;D)'!$B$100,Model!$AT$2839)</f>
        <v>-0.64684112348994383</v>
      </c>
      <c r="AU2885" s="377">
        <f>PPMT('Assumptions (T&amp;D)'!$B$97,Model!X$1,'Assumptions (T&amp;D)'!$B$100,Model!$AT$2839)</f>
        <v>-0.67756607685571624</v>
      </c>
      <c r="AV2885" s="377">
        <f>PPMT('Assumptions (T&amp;D)'!$B$97,Model!Y$1,'Assumptions (T&amp;D)'!$B$100,Model!$AT$2839)</f>
        <v>-0.70975046550636278</v>
      </c>
      <c r="AW2885" s="377">
        <f>PPMT('Assumptions (T&amp;D)'!$B$97,Model!Z$1,'Assumptions (T&amp;D)'!$B$100,Model!$AT$2839)</f>
        <v>-0.74346361261791483</v>
      </c>
      <c r="AX2885" s="377">
        <f>PPMT('Assumptions (T&amp;D)'!$B$97,Model!AA$1,'Assumptions (T&amp;D)'!$B$100,Model!$AT$2839)</f>
        <v>-0.77877813421726583</v>
      </c>
      <c r="AY2885" s="377">
        <f>PPMT('Assumptions (T&amp;D)'!$B$97,Model!AB$1,'Assumptions (T&amp;D)'!$B$100,Model!$AT$2839)</f>
        <v>-0.81577009559258595</v>
      </c>
      <c r="AZ2885" s="377">
        <f>PPMT('Assumptions (T&amp;D)'!$B$97,Model!AC$1,'Assumptions (T&amp;D)'!$B$100,Model!$AT$2839)</f>
        <v>-0.85451917513323383</v>
      </c>
      <c r="BA2885" s="377">
        <f>PPMT('Assumptions (T&amp;D)'!$B$97,Model!AD$1,'Assumptions (T&amp;D)'!$B$100,Model!$AT$2839)</f>
        <v>-0.89510883595206248</v>
      </c>
      <c r="BB2885" s="377">
        <f>PPMT('Assumptions (T&amp;D)'!$B$97,Model!AE$1,'Assumptions (T&amp;D)'!$B$100,Model!$AT$2839)</f>
        <v>-0.93762650565978545</v>
      </c>
      <c r="BC2885" s="377">
        <f>PPMT('Assumptions (T&amp;D)'!$B$97,Model!AF$1,'Assumptions (T&amp;D)'!$B$100,Model!$AT$2839)</f>
        <v>-0.98216376467862521</v>
      </c>
      <c r="BD2885" s="377">
        <f>PPMT('Assumptions (T&amp;D)'!$B$97,Model!AG$1,'Assumptions (T&amp;D)'!$B$100,Model!$AT$2839)</f>
        <v>-1.02881654350086</v>
      </c>
      <c r="BE2885" s="377">
        <f>PPMT('Assumptions (T&amp;D)'!$B$97,Model!AH$1,'Assumptions (T&amp;D)'!$B$100,Model!$AT$2839)</f>
        <v>-1.0776853293171509</v>
      </c>
      <c r="BF2885" s="377">
        <f>PPMT('Assumptions (T&amp;D)'!$B$97,Model!AI$1,'Assumptions (T&amp;D)'!$B$100,Model!$AT$2839)</f>
        <v>-1.1288753824597155</v>
      </c>
      <c r="BG2885" s="377">
        <f>PPMT('Assumptions (T&amp;D)'!$B$97,Model!AJ$1,'Assumptions (T&amp;D)'!$B$100,Model!$AT$2839)</f>
        <v>-1.1824969631265521</v>
      </c>
      <c r="BH2885" s="377">
        <f>PPMT('Assumptions (T&amp;D)'!$B$97,Model!AK$1,'Assumptions (T&amp;D)'!$B$100,Model!$AT$2839)</f>
        <v>-1.2386655688750632</v>
      </c>
      <c r="BI2885" s="377"/>
      <c r="BJ2885" s="377"/>
      <c r="BK2885" s="377"/>
      <c r="BL2885" s="377"/>
      <c r="BM2885" s="377"/>
      <c r="BN2885" s="377"/>
      <c r="BO2885" s="377"/>
      <c r="BP2885" s="377"/>
      <c r="BQ2885" s="377"/>
      <c r="BR2885" s="377"/>
    </row>
    <row r="2886" spans="1:77" ht="15.75" hidden="1" customHeight="1" outlineLevel="1">
      <c r="A2886" s="460"/>
      <c r="B2886" s="99"/>
      <c r="C2886" s="377"/>
      <c r="D2886" s="377"/>
      <c r="E2886" s="377"/>
      <c r="F2886" s="377"/>
      <c r="G2886" s="377"/>
      <c r="H2886" s="377"/>
      <c r="I2886" s="377"/>
      <c r="J2886" s="377"/>
      <c r="K2886" s="377"/>
      <c r="L2886" s="377"/>
      <c r="M2886" s="377"/>
      <c r="N2886" s="377"/>
      <c r="O2886" s="377"/>
      <c r="P2886" s="377"/>
      <c r="Q2886" s="377"/>
      <c r="R2886" s="377"/>
      <c r="S2886" s="42"/>
      <c r="T2886" s="42"/>
      <c r="U2886" s="42"/>
      <c r="V2886" s="42"/>
      <c r="W2886" s="86"/>
      <c r="AU2886" s="377">
        <f>PPMT('Assumptions (T&amp;D)'!$B$97,Model!W$1,'Assumptions (T&amp;D)'!$B$100,Model!$AU$2839)</f>
        <v>-0.64684112348994383</v>
      </c>
      <c r="AV2886" s="377">
        <f>PPMT('Assumptions (T&amp;D)'!$B$97,Model!X$1,'Assumptions (T&amp;D)'!$B$100,Model!$AU$2839)</f>
        <v>-0.67756607685571624</v>
      </c>
      <c r="AW2886" s="377">
        <f>PPMT('Assumptions (T&amp;D)'!$B$97,Model!Y$1,'Assumptions (T&amp;D)'!$B$100,Model!$AU$2839)</f>
        <v>-0.70975046550636278</v>
      </c>
      <c r="AX2886" s="377">
        <f>PPMT('Assumptions (T&amp;D)'!$B$97,Model!Z$1,'Assumptions (T&amp;D)'!$B$100,Model!$AU$2839)</f>
        <v>-0.74346361261791483</v>
      </c>
      <c r="AY2886" s="377">
        <f>PPMT('Assumptions (T&amp;D)'!$B$97,Model!AA$1,'Assumptions (T&amp;D)'!$B$100,Model!$AU$2839)</f>
        <v>-0.77877813421726583</v>
      </c>
      <c r="AZ2886" s="377">
        <f>PPMT('Assumptions (T&amp;D)'!$B$97,Model!AB$1,'Assumptions (T&amp;D)'!$B$100,Model!$AU$2839)</f>
        <v>-0.81577009559258595</v>
      </c>
      <c r="BA2886" s="377">
        <f>PPMT('Assumptions (T&amp;D)'!$B$97,Model!AC$1,'Assumptions (T&amp;D)'!$B$100,Model!$AU$2839)</f>
        <v>-0.85451917513323383</v>
      </c>
      <c r="BB2886" s="377">
        <f>PPMT('Assumptions (T&amp;D)'!$B$97,Model!AD$1,'Assumptions (T&amp;D)'!$B$100,Model!$AU$2839)</f>
        <v>-0.89510883595206248</v>
      </c>
      <c r="BC2886" s="377">
        <f>PPMT('Assumptions (T&amp;D)'!$B$97,Model!AE$1,'Assumptions (T&amp;D)'!$B$100,Model!$AU$2839)</f>
        <v>-0.93762650565978545</v>
      </c>
      <c r="BD2886" s="377">
        <f>PPMT('Assumptions (T&amp;D)'!$B$97,Model!AF$1,'Assumptions (T&amp;D)'!$B$100,Model!$AU$2839)</f>
        <v>-0.98216376467862521</v>
      </c>
      <c r="BE2886" s="377">
        <f>PPMT('Assumptions (T&amp;D)'!$B$97,Model!AG$1,'Assumptions (T&amp;D)'!$B$100,Model!$AU$2839)</f>
        <v>-1.02881654350086</v>
      </c>
      <c r="BF2886" s="377">
        <f>PPMT('Assumptions (T&amp;D)'!$B$97,Model!AH$1,'Assumptions (T&amp;D)'!$B$100,Model!$AU$2839)</f>
        <v>-1.0776853293171509</v>
      </c>
      <c r="BG2886" s="377">
        <f>PPMT('Assumptions (T&amp;D)'!$B$97,Model!AI$1,'Assumptions (T&amp;D)'!$B$100,Model!$AU$2839)</f>
        <v>-1.1288753824597155</v>
      </c>
      <c r="BH2886" s="377">
        <f>PPMT('Assumptions (T&amp;D)'!$B$97,Model!AJ$1,'Assumptions (T&amp;D)'!$B$100,Model!$AU$2839)</f>
        <v>-1.1824969631265521</v>
      </c>
      <c r="BI2886" s="377">
        <f>PPMT('Assumptions (T&amp;D)'!$B$97,Model!AK$1,'Assumptions (T&amp;D)'!$B$100,Model!$AU$2839)</f>
        <v>-1.2386655688750632</v>
      </c>
      <c r="BJ2886" s="377"/>
      <c r="BK2886" s="377"/>
      <c r="BL2886" s="377"/>
      <c r="BM2886" s="377"/>
      <c r="BN2886" s="377"/>
      <c r="BO2886" s="377"/>
      <c r="BP2886" s="377"/>
      <c r="BQ2886" s="377"/>
      <c r="BR2886" s="377"/>
      <c r="BS2886" s="377"/>
    </row>
    <row r="2887" spans="1:77" ht="15.75" hidden="1" customHeight="1" outlineLevel="1">
      <c r="A2887" s="460"/>
      <c r="B2887" s="99"/>
      <c r="C2887" s="377"/>
      <c r="D2887" s="377"/>
      <c r="E2887" s="377"/>
      <c r="F2887" s="377"/>
      <c r="G2887" s="377"/>
      <c r="H2887" s="377"/>
      <c r="I2887" s="377"/>
      <c r="J2887" s="377"/>
      <c r="K2887" s="377"/>
      <c r="L2887" s="377"/>
      <c r="M2887" s="377"/>
      <c r="N2887" s="377"/>
      <c r="O2887" s="377"/>
      <c r="P2887" s="377"/>
      <c r="Q2887" s="377"/>
      <c r="R2887" s="377"/>
      <c r="S2887" s="42"/>
      <c r="T2887" s="42"/>
      <c r="U2887" s="42"/>
      <c r="V2887" s="42"/>
      <c r="W2887" s="86"/>
      <c r="AV2887" s="377">
        <f>PPMT('Assumptions (T&amp;D)'!$B$97,Model!W$1,'Assumptions (T&amp;D)'!$B$100,Model!$AV$2839)</f>
        <v>-0.64684112348994383</v>
      </c>
      <c r="AW2887" s="377">
        <f>PPMT('Assumptions (T&amp;D)'!$B$97,Model!X$1,'Assumptions (T&amp;D)'!$B$100,Model!$AV$2839)</f>
        <v>-0.67756607685571624</v>
      </c>
      <c r="AX2887" s="377">
        <f>PPMT('Assumptions (T&amp;D)'!$B$97,Model!Y$1,'Assumptions (T&amp;D)'!$B$100,Model!$AV$2839)</f>
        <v>-0.70975046550636278</v>
      </c>
      <c r="AY2887" s="377">
        <f>PPMT('Assumptions (T&amp;D)'!$B$97,Model!Z$1,'Assumptions (T&amp;D)'!$B$100,Model!$AV$2839)</f>
        <v>-0.74346361261791483</v>
      </c>
      <c r="AZ2887" s="377">
        <f>PPMT('Assumptions (T&amp;D)'!$B$97,Model!AA$1,'Assumptions (T&amp;D)'!$B$100,Model!$AV$2839)</f>
        <v>-0.77877813421726583</v>
      </c>
      <c r="BA2887" s="377">
        <f>PPMT('Assumptions (T&amp;D)'!$B$97,Model!AB$1,'Assumptions (T&amp;D)'!$B$100,Model!$AV$2839)</f>
        <v>-0.81577009559258595</v>
      </c>
      <c r="BB2887" s="377">
        <f>PPMT('Assumptions (T&amp;D)'!$B$97,Model!AC$1,'Assumptions (T&amp;D)'!$B$100,Model!$AV$2839)</f>
        <v>-0.85451917513323383</v>
      </c>
      <c r="BC2887" s="377">
        <f>PPMT('Assumptions (T&amp;D)'!$B$97,Model!AD$1,'Assumptions (T&amp;D)'!$B$100,Model!$AV$2839)</f>
        <v>-0.89510883595206248</v>
      </c>
      <c r="BD2887" s="377">
        <f>PPMT('Assumptions (T&amp;D)'!$B$97,Model!AE$1,'Assumptions (T&amp;D)'!$B$100,Model!$AV$2839)</f>
        <v>-0.93762650565978545</v>
      </c>
      <c r="BE2887" s="377">
        <f>PPMT('Assumptions (T&amp;D)'!$B$97,Model!AF$1,'Assumptions (T&amp;D)'!$B$100,Model!$AV$2839)</f>
        <v>-0.98216376467862521</v>
      </c>
      <c r="BF2887" s="377">
        <f>PPMT('Assumptions (T&amp;D)'!$B$97,Model!AG$1,'Assumptions (T&amp;D)'!$B$100,Model!$AV$2839)</f>
        <v>-1.02881654350086</v>
      </c>
      <c r="BG2887" s="377">
        <f>PPMT('Assumptions (T&amp;D)'!$B$97,Model!AH$1,'Assumptions (T&amp;D)'!$B$100,Model!$AV$2839)</f>
        <v>-1.0776853293171509</v>
      </c>
      <c r="BH2887" s="377">
        <f>PPMT('Assumptions (T&amp;D)'!$B$97,Model!AI$1,'Assumptions (T&amp;D)'!$B$100,Model!$AV$2839)</f>
        <v>-1.1288753824597155</v>
      </c>
      <c r="BI2887" s="377">
        <f>PPMT('Assumptions (T&amp;D)'!$B$97,Model!AJ$1,'Assumptions (T&amp;D)'!$B$100,Model!$AV$2839)</f>
        <v>-1.1824969631265521</v>
      </c>
      <c r="BJ2887" s="377">
        <f>PPMT('Assumptions (T&amp;D)'!$B$97,Model!AK$1,'Assumptions (T&amp;D)'!$B$100,Model!$AV$2839)</f>
        <v>-1.2386655688750632</v>
      </c>
      <c r="BK2887" s="377"/>
      <c r="BL2887" s="377"/>
      <c r="BM2887" s="377"/>
      <c r="BN2887" s="377"/>
      <c r="BO2887" s="377"/>
      <c r="BP2887" s="377"/>
      <c r="BQ2887" s="377"/>
      <c r="BR2887" s="377"/>
      <c r="BS2887" s="377"/>
      <c r="BT2887" s="377"/>
    </row>
    <row r="2888" spans="1:77" ht="15.75" hidden="1" customHeight="1" outlineLevel="1">
      <c r="A2888" s="460"/>
      <c r="B2888" s="99"/>
      <c r="C2888" s="377"/>
      <c r="D2888" s="377"/>
      <c r="E2888" s="377"/>
      <c r="F2888" s="377"/>
      <c r="G2888" s="377"/>
      <c r="H2888" s="377"/>
      <c r="I2888" s="377"/>
      <c r="J2888" s="377"/>
      <c r="K2888" s="377"/>
      <c r="L2888" s="377"/>
      <c r="M2888" s="377"/>
      <c r="N2888" s="377"/>
      <c r="O2888" s="377"/>
      <c r="P2888" s="377"/>
      <c r="Q2888" s="377"/>
      <c r="R2888" s="377"/>
      <c r="S2888" s="42"/>
      <c r="T2888" s="42"/>
      <c r="U2888" s="42"/>
      <c r="V2888" s="42"/>
      <c r="W2888" s="86"/>
      <c r="AW2888" s="377">
        <f>PPMT('Assumptions (T&amp;D)'!$B$97,Model!W$1,'Assumptions (T&amp;D)'!$B$100,Model!$AW$2839)</f>
        <v>-0.64684112348994383</v>
      </c>
      <c r="AX2888" s="377">
        <f>PPMT('Assumptions (T&amp;D)'!$B$97,Model!X$1,'Assumptions (T&amp;D)'!$B$100,Model!$AW$2839)</f>
        <v>-0.67756607685571624</v>
      </c>
      <c r="AY2888" s="377">
        <f>PPMT('Assumptions (T&amp;D)'!$B$97,Model!Y$1,'Assumptions (T&amp;D)'!$B$100,Model!$AW$2839)</f>
        <v>-0.70975046550636278</v>
      </c>
      <c r="AZ2888" s="377">
        <f>PPMT('Assumptions (T&amp;D)'!$B$97,Model!Z$1,'Assumptions (T&amp;D)'!$B$100,Model!$AW$2839)</f>
        <v>-0.74346361261791483</v>
      </c>
      <c r="BA2888" s="377">
        <f>PPMT('Assumptions (T&amp;D)'!$B$97,Model!AA$1,'Assumptions (T&amp;D)'!$B$100,Model!$AW$2839)</f>
        <v>-0.77877813421726583</v>
      </c>
      <c r="BB2888" s="377">
        <f>PPMT('Assumptions (T&amp;D)'!$B$97,Model!AB$1,'Assumptions (T&amp;D)'!$B$100,Model!$AW$2839)</f>
        <v>-0.81577009559258595</v>
      </c>
      <c r="BC2888" s="377">
        <f>PPMT('Assumptions (T&amp;D)'!$B$97,Model!AC$1,'Assumptions (T&amp;D)'!$B$100,Model!$AW$2839)</f>
        <v>-0.85451917513323383</v>
      </c>
      <c r="BD2888" s="377">
        <f>PPMT('Assumptions (T&amp;D)'!$B$97,Model!AD$1,'Assumptions (T&amp;D)'!$B$100,Model!$AW$2839)</f>
        <v>-0.89510883595206248</v>
      </c>
      <c r="BE2888" s="377">
        <f>PPMT('Assumptions (T&amp;D)'!$B$97,Model!AE$1,'Assumptions (T&amp;D)'!$B$100,Model!$AW$2839)</f>
        <v>-0.93762650565978545</v>
      </c>
      <c r="BF2888" s="377">
        <f>PPMT('Assumptions (T&amp;D)'!$B$97,Model!AF$1,'Assumptions (T&amp;D)'!$B$100,Model!$AW$2839)</f>
        <v>-0.98216376467862521</v>
      </c>
      <c r="BG2888" s="377">
        <f>PPMT('Assumptions (T&amp;D)'!$B$97,Model!AG$1,'Assumptions (T&amp;D)'!$B$100,Model!$AW$2839)</f>
        <v>-1.02881654350086</v>
      </c>
      <c r="BH2888" s="377">
        <f>PPMT('Assumptions (T&amp;D)'!$B$97,Model!AH$1,'Assumptions (T&amp;D)'!$B$100,Model!$AW$2839)</f>
        <v>-1.0776853293171509</v>
      </c>
      <c r="BI2888" s="377">
        <f>PPMT('Assumptions (T&amp;D)'!$B$97,Model!AI$1,'Assumptions (T&amp;D)'!$B$100,Model!$AW$2839)</f>
        <v>-1.1288753824597155</v>
      </c>
      <c r="BJ2888" s="377">
        <f>PPMT('Assumptions (T&amp;D)'!$B$97,Model!AJ$1,'Assumptions (T&amp;D)'!$B$100,Model!$AW$2839)</f>
        <v>-1.1824969631265521</v>
      </c>
      <c r="BK2888" s="377">
        <f>PPMT('Assumptions (T&amp;D)'!$B$97,Model!AK$1,'Assumptions (T&amp;D)'!$B$100,Model!$AW$2839)</f>
        <v>-1.2386655688750632</v>
      </c>
      <c r="BL2888" s="377"/>
      <c r="BM2888" s="377"/>
      <c r="BN2888" s="377"/>
      <c r="BO2888" s="377"/>
      <c r="BP2888" s="377"/>
      <c r="BQ2888" s="377"/>
      <c r="BR2888" s="377"/>
      <c r="BS2888" s="377"/>
      <c r="BT2888" s="377"/>
      <c r="BU2888" s="377"/>
    </row>
    <row r="2889" spans="1:77" ht="15.75" hidden="1" customHeight="1" outlineLevel="1">
      <c r="A2889" s="460"/>
      <c r="B2889" s="99"/>
      <c r="C2889" s="377"/>
      <c r="D2889" s="377"/>
      <c r="E2889" s="377"/>
      <c r="F2889" s="377"/>
      <c r="G2889" s="377"/>
      <c r="H2889" s="377"/>
      <c r="I2889" s="377"/>
      <c r="J2889" s="377"/>
      <c r="K2889" s="377"/>
      <c r="L2889" s="377"/>
      <c r="M2889" s="377"/>
      <c r="N2889" s="377"/>
      <c r="O2889" s="377"/>
      <c r="P2889" s="377"/>
      <c r="Q2889" s="377"/>
      <c r="R2889" s="377"/>
      <c r="S2889" s="42"/>
      <c r="T2889" s="42"/>
      <c r="U2889" s="42"/>
      <c r="V2889" s="42"/>
      <c r="W2889" s="86"/>
      <c r="AW2889" s="377"/>
      <c r="AX2889" s="377">
        <f>PPMT('Assumptions (T&amp;D)'!$B$97,Model!W$1,'Assumptions (T&amp;D)'!$B$100,Model!$AX$2839)</f>
        <v>-0.64684112348994383</v>
      </c>
      <c r="AY2889" s="377">
        <f>PPMT('Assumptions (T&amp;D)'!$B$97,Model!X$1,'Assumptions (T&amp;D)'!$B$100,Model!$AX$2839)</f>
        <v>-0.67756607685571624</v>
      </c>
      <c r="AZ2889" s="377">
        <f>PPMT('Assumptions (T&amp;D)'!$B$97,Model!Y$1,'Assumptions (T&amp;D)'!$B$100,Model!$AX$2839)</f>
        <v>-0.70975046550636278</v>
      </c>
      <c r="BA2889" s="377">
        <f>PPMT('Assumptions (T&amp;D)'!$B$97,Model!Z$1,'Assumptions (T&amp;D)'!$B$100,Model!$AX$2839)</f>
        <v>-0.74346361261791483</v>
      </c>
      <c r="BB2889" s="377">
        <f>PPMT('Assumptions (T&amp;D)'!$B$97,Model!AA$1,'Assumptions (T&amp;D)'!$B$100,Model!$AX$2839)</f>
        <v>-0.77877813421726583</v>
      </c>
      <c r="BC2889" s="377">
        <f>PPMT('Assumptions (T&amp;D)'!$B$97,Model!AB$1,'Assumptions (T&amp;D)'!$B$100,Model!$AX$2839)</f>
        <v>-0.81577009559258595</v>
      </c>
      <c r="BD2889" s="377">
        <f>PPMT('Assumptions (T&amp;D)'!$B$97,Model!AC$1,'Assumptions (T&amp;D)'!$B$100,Model!$AX$2839)</f>
        <v>-0.85451917513323383</v>
      </c>
      <c r="BE2889" s="377">
        <f>PPMT('Assumptions (T&amp;D)'!$B$97,Model!AD$1,'Assumptions (T&amp;D)'!$B$100,Model!$AX$2839)</f>
        <v>-0.89510883595206248</v>
      </c>
      <c r="BF2889" s="377">
        <f>PPMT('Assumptions (T&amp;D)'!$B$97,Model!AE$1,'Assumptions (T&amp;D)'!$B$100,Model!$AX$2839)</f>
        <v>-0.93762650565978545</v>
      </c>
      <c r="BG2889" s="377">
        <f>PPMT('Assumptions (T&amp;D)'!$B$97,Model!AF$1,'Assumptions (T&amp;D)'!$B$100,Model!$AX$2839)</f>
        <v>-0.98216376467862521</v>
      </c>
      <c r="BH2889" s="377">
        <f>PPMT('Assumptions (T&amp;D)'!$B$97,Model!AG$1,'Assumptions (T&amp;D)'!$B$100,Model!$AX$2839)</f>
        <v>-1.02881654350086</v>
      </c>
      <c r="BI2889" s="377">
        <f>PPMT('Assumptions (T&amp;D)'!$B$97,Model!AH$1,'Assumptions (T&amp;D)'!$B$100,Model!$AX$2839)</f>
        <v>-1.0776853293171509</v>
      </c>
      <c r="BJ2889" s="377">
        <f>PPMT('Assumptions (T&amp;D)'!$B$97,Model!AI$1,'Assumptions (T&amp;D)'!$B$100,Model!$AX$2839)</f>
        <v>-1.1288753824597155</v>
      </c>
      <c r="BK2889" s="377">
        <f>PPMT('Assumptions (T&amp;D)'!$B$97,Model!AJ$1,'Assumptions (T&amp;D)'!$B$100,Model!$AX$2839)</f>
        <v>-1.1824969631265521</v>
      </c>
      <c r="BL2889" s="377">
        <f>PPMT('Assumptions (T&amp;D)'!$B$97,Model!AK$1,'Assumptions (T&amp;D)'!$B$100,Model!$AX$2839)</f>
        <v>-1.2386655688750632</v>
      </c>
      <c r="BM2889" s="377"/>
      <c r="BN2889" s="377"/>
      <c r="BO2889" s="377"/>
      <c r="BP2889" s="377"/>
      <c r="BQ2889" s="377"/>
      <c r="BR2889" s="377"/>
      <c r="BS2889" s="377"/>
      <c r="BT2889" s="377"/>
      <c r="BU2889" s="377"/>
      <c r="BV2889" s="377"/>
    </row>
    <row r="2890" spans="1:77" ht="15.75" hidden="1" customHeight="1" outlineLevel="1">
      <c r="A2890" s="460"/>
      <c r="B2890" s="99"/>
      <c r="C2890" s="377"/>
      <c r="D2890" s="377"/>
      <c r="E2890" s="377"/>
      <c r="F2890" s="377"/>
      <c r="G2890" s="377"/>
      <c r="H2890" s="377"/>
      <c r="I2890" s="377"/>
      <c r="J2890" s="377"/>
      <c r="K2890" s="377"/>
      <c r="L2890" s="377"/>
      <c r="M2890" s="377"/>
      <c r="N2890" s="377"/>
      <c r="O2890" s="377"/>
      <c r="P2890" s="377"/>
      <c r="Q2890" s="377"/>
      <c r="R2890" s="377"/>
      <c r="S2890" s="42"/>
      <c r="T2890" s="42"/>
      <c r="U2890" s="42"/>
      <c r="V2890" s="42"/>
      <c r="W2890" s="86"/>
      <c r="AW2890" s="377"/>
      <c r="AX2890" s="377"/>
      <c r="AY2890" s="377">
        <f>PPMT('Assumptions (T&amp;D)'!$B$97,Model!W$1,'Assumptions (T&amp;D)'!$B$100,Model!$AY$2839)</f>
        <v>-0.64684112348994383</v>
      </c>
      <c r="AZ2890" s="377">
        <f>PPMT('Assumptions (T&amp;D)'!$B$97,Model!X$1,'Assumptions (T&amp;D)'!$B$100,Model!$AY$2839)</f>
        <v>-0.67756607685571624</v>
      </c>
      <c r="BA2890" s="377">
        <f>PPMT('Assumptions (T&amp;D)'!$B$97,Model!Y$1,'Assumptions (T&amp;D)'!$B$100,Model!$AY$2839)</f>
        <v>-0.70975046550636278</v>
      </c>
      <c r="BB2890" s="377">
        <f>PPMT('Assumptions (T&amp;D)'!$B$97,Model!Z$1,'Assumptions (T&amp;D)'!$B$100,Model!$AY$2839)</f>
        <v>-0.74346361261791483</v>
      </c>
      <c r="BC2890" s="377">
        <f>PPMT('Assumptions (T&amp;D)'!$B$97,Model!AA$1,'Assumptions (T&amp;D)'!$B$100,Model!$AY$2839)</f>
        <v>-0.77877813421726583</v>
      </c>
      <c r="BD2890" s="377">
        <f>PPMT('Assumptions (T&amp;D)'!$B$97,Model!AB$1,'Assumptions (T&amp;D)'!$B$100,Model!$AY$2839)</f>
        <v>-0.81577009559258595</v>
      </c>
      <c r="BE2890" s="377">
        <f>PPMT('Assumptions (T&amp;D)'!$B$97,Model!AC$1,'Assumptions (T&amp;D)'!$B$100,Model!$AY$2839)</f>
        <v>-0.85451917513323383</v>
      </c>
      <c r="BF2890" s="377">
        <f>PPMT('Assumptions (T&amp;D)'!$B$97,Model!AD$1,'Assumptions (T&amp;D)'!$B$100,Model!$AY$2839)</f>
        <v>-0.89510883595206248</v>
      </c>
      <c r="BG2890" s="377">
        <f>PPMT('Assumptions (T&amp;D)'!$B$97,Model!AE$1,'Assumptions (T&amp;D)'!$B$100,Model!$AY$2839)</f>
        <v>-0.93762650565978545</v>
      </c>
      <c r="BH2890" s="377">
        <f>PPMT('Assumptions (T&amp;D)'!$B$97,Model!AF$1,'Assumptions (T&amp;D)'!$B$100,Model!$AY$2839)</f>
        <v>-0.98216376467862521</v>
      </c>
      <c r="BI2890" s="377">
        <f>PPMT('Assumptions (T&amp;D)'!$B$97,Model!AG$1,'Assumptions (T&amp;D)'!$B$100,Model!$AY$2839)</f>
        <v>-1.02881654350086</v>
      </c>
      <c r="BJ2890" s="377">
        <f>PPMT('Assumptions (T&amp;D)'!$B$97,Model!AH$1,'Assumptions (T&amp;D)'!$B$100,Model!$AY$2839)</f>
        <v>-1.0776853293171509</v>
      </c>
      <c r="BK2890" s="377">
        <f>PPMT('Assumptions (T&amp;D)'!$B$97,Model!AI$1,'Assumptions (T&amp;D)'!$B$100,Model!$AY$2839)</f>
        <v>-1.1288753824597155</v>
      </c>
      <c r="BL2890" s="377">
        <f>PPMT('Assumptions (T&amp;D)'!$B$97,Model!AJ$1,'Assumptions (T&amp;D)'!$B$100,Model!$AY$2839)</f>
        <v>-1.1824969631265521</v>
      </c>
      <c r="BM2890" s="377">
        <f>PPMT('Assumptions (T&amp;D)'!$B$97,Model!AK$1,'Assumptions (T&amp;D)'!$B$100,Model!$AY$2839)</f>
        <v>-1.2386655688750632</v>
      </c>
      <c r="BN2890" s="377"/>
      <c r="BO2890" s="377"/>
      <c r="BP2890" s="377"/>
      <c r="BQ2890" s="377"/>
      <c r="BR2890" s="377"/>
      <c r="BS2890" s="377"/>
      <c r="BT2890" s="377"/>
      <c r="BU2890" s="377"/>
      <c r="BV2890" s="377"/>
      <c r="BW2890" s="377"/>
    </row>
    <row r="2891" spans="1:77" ht="15.75" hidden="1" customHeight="1" outlineLevel="1">
      <c r="A2891" s="460"/>
      <c r="B2891" s="99"/>
      <c r="C2891" s="377"/>
      <c r="D2891" s="377"/>
      <c r="E2891" s="377"/>
      <c r="F2891" s="377"/>
      <c r="G2891" s="377"/>
      <c r="H2891" s="377"/>
      <c r="I2891" s="377"/>
      <c r="J2891" s="377"/>
      <c r="K2891" s="377"/>
      <c r="L2891" s="377"/>
      <c r="M2891" s="377"/>
      <c r="N2891" s="377"/>
      <c r="O2891" s="377"/>
      <c r="P2891" s="377"/>
      <c r="Q2891" s="377"/>
      <c r="R2891" s="377"/>
      <c r="S2891" s="42"/>
      <c r="T2891" s="42"/>
      <c r="U2891" s="42"/>
      <c r="V2891" s="42"/>
      <c r="W2891" s="86"/>
      <c r="AW2891" s="377"/>
      <c r="AX2891" s="377"/>
      <c r="AY2891" s="377"/>
      <c r="AZ2891" s="377">
        <f>PPMT('Assumptions (T&amp;D)'!$B$97,Model!W$1,'Assumptions (T&amp;D)'!$B$100,Model!$AZ$2839)</f>
        <v>-0.64684112348994383</v>
      </c>
      <c r="BA2891" s="377">
        <f>PPMT('Assumptions (T&amp;D)'!$B$97,Model!X$1,'Assumptions (T&amp;D)'!$B$100,Model!$AZ$2839)</f>
        <v>-0.67756607685571624</v>
      </c>
      <c r="BB2891" s="377">
        <f>PPMT('Assumptions (T&amp;D)'!$B$97,Model!Y$1,'Assumptions (T&amp;D)'!$B$100,Model!$AZ$2839)</f>
        <v>-0.70975046550636278</v>
      </c>
      <c r="BC2891" s="377">
        <f>PPMT('Assumptions (T&amp;D)'!$B$97,Model!Z$1,'Assumptions (T&amp;D)'!$B$100,Model!$AZ$2839)</f>
        <v>-0.74346361261791483</v>
      </c>
      <c r="BD2891" s="377">
        <f>PPMT('Assumptions (T&amp;D)'!$B$97,Model!AA$1,'Assumptions (T&amp;D)'!$B$100,Model!$AZ$2839)</f>
        <v>-0.77877813421726583</v>
      </c>
      <c r="BE2891" s="377">
        <f>PPMT('Assumptions (T&amp;D)'!$B$97,Model!AB$1,'Assumptions (T&amp;D)'!$B$100,Model!$AZ$2839)</f>
        <v>-0.81577009559258595</v>
      </c>
      <c r="BF2891" s="377">
        <f>PPMT('Assumptions (T&amp;D)'!$B$97,Model!AC$1,'Assumptions (T&amp;D)'!$B$100,Model!$AZ$2839)</f>
        <v>-0.85451917513323383</v>
      </c>
      <c r="BG2891" s="377">
        <f>PPMT('Assumptions (T&amp;D)'!$B$97,Model!AD$1,'Assumptions (T&amp;D)'!$B$100,Model!$AZ$2839)</f>
        <v>-0.89510883595206248</v>
      </c>
      <c r="BH2891" s="377">
        <f>PPMT('Assumptions (T&amp;D)'!$B$97,Model!AE$1,'Assumptions (T&amp;D)'!$B$100,Model!$AZ$2839)</f>
        <v>-0.93762650565978545</v>
      </c>
      <c r="BI2891" s="377">
        <f>PPMT('Assumptions (T&amp;D)'!$B$97,Model!AF$1,'Assumptions (T&amp;D)'!$B$100,Model!$AZ$2839)</f>
        <v>-0.98216376467862521</v>
      </c>
      <c r="BJ2891" s="377">
        <f>PPMT('Assumptions (T&amp;D)'!$B$97,Model!AG$1,'Assumptions (T&amp;D)'!$B$100,Model!$AZ$2839)</f>
        <v>-1.02881654350086</v>
      </c>
      <c r="BK2891" s="377">
        <f>PPMT('Assumptions (T&amp;D)'!$B$97,Model!AH$1,'Assumptions (T&amp;D)'!$B$100,Model!$AZ$2839)</f>
        <v>-1.0776853293171509</v>
      </c>
      <c r="BL2891" s="377">
        <f>PPMT('Assumptions (T&amp;D)'!$B$97,Model!AI$1,'Assumptions (T&amp;D)'!$B$100,Model!$AZ$2839)</f>
        <v>-1.1288753824597155</v>
      </c>
      <c r="BM2891" s="377">
        <f>PPMT('Assumptions (T&amp;D)'!$B$97,Model!AJ$1,'Assumptions (T&amp;D)'!$B$100,Model!$AZ$2839)</f>
        <v>-1.1824969631265521</v>
      </c>
      <c r="BN2891" s="377">
        <f>PPMT('Assumptions (T&amp;D)'!$B$97,Model!AK$1,'Assumptions (T&amp;D)'!$B$100,Model!$AZ$2839)</f>
        <v>-1.2386655688750632</v>
      </c>
      <c r="BO2891" s="377"/>
      <c r="BP2891" s="377"/>
      <c r="BQ2891" s="377"/>
      <c r="BR2891" s="377"/>
      <c r="BS2891" s="377"/>
      <c r="BT2891" s="377"/>
      <c r="BU2891" s="377"/>
      <c r="BV2891" s="377"/>
      <c r="BW2891" s="377"/>
      <c r="BX2891" s="377"/>
    </row>
    <row r="2892" spans="1:77" ht="15.75" hidden="1" customHeight="1" outlineLevel="1">
      <c r="A2892" s="460"/>
      <c r="B2892" s="99"/>
      <c r="C2892" s="377"/>
      <c r="D2892" s="377"/>
      <c r="E2892" s="377"/>
      <c r="F2892" s="377"/>
      <c r="G2892" s="377"/>
      <c r="H2892" s="377"/>
      <c r="I2892" s="377"/>
      <c r="J2892" s="377"/>
      <c r="K2892" s="377"/>
      <c r="L2892" s="377"/>
      <c r="M2892" s="377"/>
      <c r="N2892" s="377"/>
      <c r="O2892" s="377"/>
      <c r="P2892" s="377"/>
      <c r="Q2892" s="377"/>
      <c r="R2892" s="377"/>
      <c r="S2892" s="42"/>
      <c r="T2892" s="42"/>
      <c r="U2892" s="42"/>
      <c r="V2892" s="42"/>
      <c r="W2892" s="86"/>
      <c r="BA2892" s="377">
        <f>PPMT('Assumptions (T&amp;D)'!$B$97,Model!W$1,'Assumptions (T&amp;D)'!$B$100,Model!$BA$2839)</f>
        <v>-0.64684112348994383</v>
      </c>
      <c r="BB2892" s="377">
        <f>PPMT('Assumptions (T&amp;D)'!$B$97,Model!X$1,'Assumptions (T&amp;D)'!$B$100,Model!$BA$2839)</f>
        <v>-0.67756607685571624</v>
      </c>
      <c r="BC2892" s="377">
        <f>PPMT('Assumptions (T&amp;D)'!$B$97,Model!Y$1,'Assumptions (T&amp;D)'!$B$100,Model!$BA$2839)</f>
        <v>-0.70975046550636278</v>
      </c>
      <c r="BD2892" s="377">
        <f>PPMT('Assumptions (T&amp;D)'!$B$97,Model!Z$1,'Assumptions (T&amp;D)'!$B$100,Model!$BA$2839)</f>
        <v>-0.74346361261791483</v>
      </c>
      <c r="BE2892" s="377">
        <f>PPMT('Assumptions (T&amp;D)'!$B$97,Model!AA$1,'Assumptions (T&amp;D)'!$B$100,Model!$BA$2839)</f>
        <v>-0.77877813421726583</v>
      </c>
      <c r="BF2892" s="377">
        <f>PPMT('Assumptions (T&amp;D)'!$B$97,Model!AB$1,'Assumptions (T&amp;D)'!$B$100,Model!$BA$2839)</f>
        <v>-0.81577009559258595</v>
      </c>
      <c r="BG2892" s="377">
        <f>PPMT('Assumptions (T&amp;D)'!$B$97,Model!AC$1,'Assumptions (T&amp;D)'!$B$100,Model!$BA$2839)</f>
        <v>-0.85451917513323383</v>
      </c>
      <c r="BH2892" s="377">
        <f>PPMT('Assumptions (T&amp;D)'!$B$97,Model!AD$1,'Assumptions (T&amp;D)'!$B$100,Model!$BA$2839)</f>
        <v>-0.89510883595206248</v>
      </c>
      <c r="BI2892" s="377">
        <f>PPMT('Assumptions (T&amp;D)'!$B$97,Model!AE$1,'Assumptions (T&amp;D)'!$B$100,Model!$BA$2839)</f>
        <v>-0.93762650565978545</v>
      </c>
      <c r="BJ2892" s="377">
        <f>PPMT('Assumptions (T&amp;D)'!$B$97,Model!AF$1,'Assumptions (T&amp;D)'!$B$100,Model!$BA$2839)</f>
        <v>-0.98216376467862521</v>
      </c>
      <c r="BK2892" s="377">
        <f>PPMT('Assumptions (T&amp;D)'!$B$97,Model!AG$1,'Assumptions (T&amp;D)'!$B$100,Model!$BA$2839)</f>
        <v>-1.02881654350086</v>
      </c>
      <c r="BL2892" s="377">
        <f>PPMT('Assumptions (T&amp;D)'!$B$97,Model!AH$1,'Assumptions (T&amp;D)'!$B$100,Model!$BA$2839)</f>
        <v>-1.0776853293171509</v>
      </c>
      <c r="BM2892" s="377">
        <f>PPMT('Assumptions (T&amp;D)'!$B$97,Model!AI$1,'Assumptions (T&amp;D)'!$B$100,Model!$BA$2839)</f>
        <v>-1.1288753824597155</v>
      </c>
      <c r="BN2892" s="377">
        <f>PPMT('Assumptions (T&amp;D)'!$B$97,Model!AJ$1,'Assumptions (T&amp;D)'!$B$100,Model!$BA$2839)</f>
        <v>-1.1824969631265521</v>
      </c>
      <c r="BO2892" s="377">
        <f>PPMT('Assumptions (T&amp;D)'!$B$97,Model!AK$1,'Assumptions (T&amp;D)'!$B$100,Model!$BA$2839)</f>
        <v>-1.2386655688750632</v>
      </c>
      <c r="BP2892" s="377"/>
      <c r="BQ2892" s="377"/>
      <c r="BR2892" s="377"/>
      <c r="BS2892" s="377"/>
      <c r="BT2892" s="377"/>
      <c r="BU2892" s="377"/>
      <c r="BV2892" s="377"/>
      <c r="BW2892" s="377"/>
      <c r="BX2892" s="377"/>
      <c r="BY2892" s="377"/>
    </row>
    <row r="2893" spans="1:77" ht="15.75" customHeight="1" collapsed="1">
      <c r="A2893" s="460" t="s">
        <v>709</v>
      </c>
      <c r="B2893" s="99" t="s">
        <v>201</v>
      </c>
      <c r="C2893" s="91">
        <f t="array" ref="C2893">SUM(IF(ISERROR(C2894:C2944),"",C2894:C2944))</f>
        <v>-0.29449798624428575</v>
      </c>
      <c r="D2893" s="91">
        <f t="array" ref="D2893">SUM(IF(ISERROR(D2894:D2944),"",D2894:D2944))</f>
        <v>-0.59164539035782826</v>
      </c>
      <c r="E2893" s="91">
        <f t="array" ref="E2893">SUM(IF(ISERROR(E2894:E2944),"",E2894:E2944))</f>
        <v>-0.87039464593574234</v>
      </c>
      <c r="F2893" s="91">
        <f t="array" ref="F2893">SUM(IF(ISERROR(F2894:F2944),"",F2894:F2944))</f>
        <v>-1.1521816053847456</v>
      </c>
      <c r="G2893" s="91">
        <f t="array" ref="G2893">SUM(IF(ISERROR(G2894:G2944),"",G2894:G2944))</f>
        <v>-1.4441897136969808</v>
      </c>
      <c r="H2893" s="91">
        <f t="array" ref="H2893">SUM(IF(ISERROR(H2894:H2944),"",H2894:H2944))</f>
        <v>-1.7362119180101732</v>
      </c>
      <c r="I2893" s="91">
        <f t="array" ref="I2893">SUM(IF(ISERROR(I2894:I2944),"",I2894:I2944))</f>
        <v>-2.0830193089512887</v>
      </c>
      <c r="J2893" s="91">
        <f t="array" ref="J2893">SUM(IF(ISERROR(J2894:J2944),"",J2894:J2944))</f>
        <v>-2.3843536485767873</v>
      </c>
      <c r="K2893" s="91">
        <f t="array" ref="K2893">SUM(IF(ISERROR(K2894:K2944),"",K2894:K2944))</f>
        <v>-2.7059643684555676</v>
      </c>
      <c r="L2893" s="91">
        <f t="array" ref="L2893">SUM(IF(ISERROR(L2894:L2944),"",L2894:L2944))</f>
        <v>-2.990306202850562</v>
      </c>
      <c r="M2893" s="91">
        <f t="array" ref="M2893">SUM(IF(ISERROR(M2894:M2944),"",M2894:M2944))</f>
        <v>-3.231811234044371</v>
      </c>
      <c r="N2893" s="91">
        <f t="array" ref="N2893">SUM(IF(ISERROR(N2894:N2944),"",N2894:N2944))</f>
        <v>-3.453535584503201</v>
      </c>
      <c r="O2893" s="91">
        <f t="array" ref="O2893">SUM(IF(ISERROR(O2894:O2944),"",O2894:O2944))</f>
        <v>-3.7054752823512489</v>
      </c>
      <c r="P2893" s="91">
        <f t="array" ref="P2893">SUM(IF(ISERROR(P2894:P2944),"",P2894:P2944))</f>
        <v>-3.8884285773360765</v>
      </c>
      <c r="Q2893" s="91">
        <f t="array" ref="Q2893">SUM(IF(ISERROR(Q2894:Q2944),"",Q2894:Q2944))</f>
        <v>-4.0957021500976056</v>
      </c>
      <c r="R2893" s="91">
        <f t="array" ref="R2893">SUM(IF(ISERROR(R2894:R2944),"",R2894:R2944))</f>
        <v>-4.3177548198541666</v>
      </c>
      <c r="S2893" s="91">
        <f t="array" ref="S2893">SUM(IF(ISERROR(S2894:S2944),"",S2894:S2944))</f>
        <v>-4.5587808567463499</v>
      </c>
      <c r="T2893" s="91">
        <f t="array" ref="T2893">SUM(IF(ISERROR(T2894:T2944),"",T2894:T2944))</f>
        <v>-4.814413443376071</v>
      </c>
      <c r="U2893" s="91">
        <f t="array" ref="U2893">SUM(IF(ISERROR(U2894:U2944),"",U2894:U2944))</f>
        <v>-4.9894638455548659</v>
      </c>
      <c r="V2893" s="91">
        <f t="array" ref="V2893">SUM(IF(ISERROR(V2894:V2944),"",V2894:V2944))</f>
        <v>-5.1421693570021247</v>
      </c>
      <c r="W2893" s="91">
        <f t="array" ref="W2893">SUM(IF(ISERROR(W2894:W2944),"",W2894:W2944))</f>
        <v>-5.2741025852899472</v>
      </c>
      <c r="X2893" s="91">
        <f t="array" ref="X2893">SUM(IF(ISERROR(X2894:X2944),"",X2894:X2944))</f>
        <v>-5.3861475201899136</v>
      </c>
      <c r="Y2893" s="91">
        <f t="array" ref="Y2893">SUM(IF(ISERROR(Y2894:Y2944),"",Y2894:Y2944))</f>
        <v>-5.4845952496930348</v>
      </c>
      <c r="Z2893" s="91">
        <f t="array" ref="Z2893">SUM(IF(ISERROR(Z2894:Z2944),"",Z2894:Z2944))</f>
        <v>-5.5669780034465735</v>
      </c>
      <c r="AA2893" s="91">
        <f t="array" ref="AA2893">SUM(IF(ISERROR(AA2894:AA2944),"",AA2894:AA2944))</f>
        <v>-5.6369706748258075</v>
      </c>
      <c r="AB2893" s="91">
        <f t="array" ref="AB2893">SUM(IF(ISERROR(AB2894:AB2944),"",AB2894:AB2944))</f>
        <v>-5.6933011036820194</v>
      </c>
      <c r="AC2893" s="91">
        <f t="array" ref="AC2893">SUM(IF(ISERROR(AC2894:AC2944),"",AC2894:AC2944))</f>
        <v>-5.7342122306285344</v>
      </c>
      <c r="AD2893" s="91">
        <f t="array" ref="AD2893">SUM(IF(ISERROR(AD2894:AD2944),"",AD2894:AD2944))</f>
        <v>-5.7601352109255295</v>
      </c>
      <c r="AE2893" s="91">
        <f t="array" ref="AE2893">SUM(IF(ISERROR(AE2894:AE2944),"",AE2894:AE2944))</f>
        <v>-5.7764565733820081</v>
      </c>
      <c r="AF2893" s="91">
        <f t="array" ref="AF2893">SUM(IF(ISERROR(AF2894:AF2944),"",AF2894:AF2944))</f>
        <v>-5.7798639116831936</v>
      </c>
      <c r="AG2893" s="91">
        <f t="array" ref="AG2893">SUM(IF(ISERROR(AG2894:AG2944),"",AG2894:AG2944))</f>
        <v>-5.775765427426343</v>
      </c>
      <c r="AH2893" s="91">
        <f t="array" ref="AH2893">SUM(IF(ISERROR(AH2894:AH2944),"",AH2894:AH2944))</f>
        <v>-5.769383411676829</v>
      </c>
      <c r="AI2893" s="91">
        <f t="array" ref="AI2893">SUM(IF(ISERROR(AI2894:AI2944),"",AI2894:AI2944))</f>
        <v>-5.7644051739665922</v>
      </c>
      <c r="AJ2893" s="91">
        <f t="array" ref="AJ2893">SUM(IF(ISERROR(AJ2894:AJ2944),"",AJ2894:AJ2944))</f>
        <v>-5.7644051739665922</v>
      </c>
      <c r="AK2893" s="91">
        <f t="array" ref="AK2893">SUM(IF(ISERROR(AK2894:AK2944),"",AK2894:AK2944))</f>
        <v>-5.7644051739665922</v>
      </c>
      <c r="AL2893" s="91">
        <f t="array" ref="AL2893">SUM(IF(ISERROR(AL2894:AL2944),"",AL2894:AL2944))</f>
        <v>-5.7644051739665922</v>
      </c>
      <c r="AM2893" s="91">
        <f t="array" ref="AM2893">SUM(IF(ISERROR(AM2894:AM2944),"",AM2894:AM2944))</f>
        <v>-5.7644051739665922</v>
      </c>
      <c r="AN2893" s="91">
        <f t="array" ref="AN2893">SUM(IF(ISERROR(AN2894:AN2944),"",AN2894:AN2944))</f>
        <v>-5.7644051739665922</v>
      </c>
      <c r="AO2893" s="91">
        <f t="array" ref="AO2893">SUM(IF(ISERROR(AO2894:AO2944),"",AO2894:AO2944))</f>
        <v>-5.7644051739665922</v>
      </c>
      <c r="AP2893" s="91">
        <f t="array" ref="AP2893">SUM(IF(ISERROR(AP2894:AP2944),"",AP2894:AP2944))</f>
        <v>-5.7644051739665922</v>
      </c>
      <c r="AQ2893" s="91">
        <f t="array" ref="AQ2893">SUM(IF(ISERROR(AQ2894:AQ2944),"",AQ2894:AQ2944))</f>
        <v>-5.7644051739665922</v>
      </c>
      <c r="AR2893" s="91">
        <f t="array" ref="AR2893">SUM(IF(ISERROR(AR2894:AR2944),"",AR2894:AR2944))</f>
        <v>-5.7644051739665922</v>
      </c>
      <c r="AS2893" s="91">
        <f t="array" ref="AS2893">SUM(IF(ISERROR(AS2894:AS2944),"",AS2894:AS2944))</f>
        <v>-5.7644051739665922</v>
      </c>
      <c r="AT2893" s="91">
        <f t="array" ref="AT2893">SUM(IF(ISERROR(AT2894:AT2944),"",AT2894:AT2944))</f>
        <v>-5.7644051739665922</v>
      </c>
      <c r="AU2893" s="91">
        <f t="array" ref="AU2893">SUM(IF(ISERROR(AU2894:AU2944),"",AU2894:AU2944))</f>
        <v>-5.7644051739665922</v>
      </c>
      <c r="AV2893" s="91">
        <f t="array" ref="AV2893">SUM(IF(ISERROR(AV2894:AV2944),"",AV2894:AV2944))</f>
        <v>-5.7644051739665922</v>
      </c>
      <c r="AW2893" s="91">
        <f t="array" ref="AW2893">SUM(IF(ISERROR(AW2894:AW2944),"",AW2894:AW2944))</f>
        <v>-5.7644051739665922</v>
      </c>
      <c r="AX2893" s="91">
        <f t="array" ref="AX2893">SUM(IF(ISERROR(AX2894:AX2944),"",AX2894:AX2944))</f>
        <v>-5.7644051739665922</v>
      </c>
      <c r="AY2893" s="91">
        <f t="array" ref="AY2893">SUM(IF(ISERROR(AY2894:AY2944),"",AY2894:AY2944))</f>
        <v>-5.7644051739665922</v>
      </c>
      <c r="AZ2893" s="91">
        <f t="array" ref="AZ2893">SUM(IF(ISERROR(AZ2894:AZ2944),"",AZ2894:AZ2944))</f>
        <v>-5.7644051739665922</v>
      </c>
      <c r="BA2893" s="91">
        <f t="array" ref="BA2893">SUM(IF(ISERROR(BA2894:BA2944),"",BA2894:BA2944))</f>
        <v>-5.7644051739665922</v>
      </c>
      <c r="BB2893" s="91">
        <f t="array" ref="BB2893">SUM(IF(ISERROR(BB2894:BB2944),"",BB2894:BB2944))</f>
        <v>-5.1137441140599069</v>
      </c>
      <c r="BC2893" s="91">
        <f t="array" ref="BC2893">SUM(IF(ISERROR(BC2894:BC2944),"",BC2894:BC2944))</f>
        <v>-4.4938080075189948</v>
      </c>
      <c r="BD2893" s="91">
        <f t="array" ref="BD2893">SUM(IF(ISERROR(BD2894:BD2944),"",BD2894:BD2944))</f>
        <v>-3.906056289628729</v>
      </c>
      <c r="BE2893" s="91">
        <f t="array" ref="BE2893">SUM(IF(ISERROR(BE2894:BE2944),"",BE2894:BE2944))</f>
        <v>-3.3520177188500151</v>
      </c>
      <c r="BF2893" s="91">
        <f t="array" ref="BF2893">SUM(IF(ISERROR(BF2894:BF2944),"",BF2894:BF2944))</f>
        <v>-2.8332936696706525</v>
      </c>
      <c r="BG2893" s="91">
        <f t="array" ref="BG2893">SUM(IF(ISERROR(BG2894:BG2944),"",BG2894:BG2944))</f>
        <v>-2.3515615818666098</v>
      </c>
      <c r="BH2893" s="91">
        <f t="array" ref="BH2893">SUM(IF(ISERROR(BH2894:BH2944),"",BH2894:BH2944))</f>
        <v>-1.908578573603215</v>
      </c>
      <c r="BI2893" s="91">
        <f t="array" ref="BI2893">SUM(IF(ISERROR(BI2894:BI2944),"",BI2894:BI2944))</f>
        <v>-1.5061852261586488</v>
      </c>
      <c r="BJ2893" s="91">
        <f t="array" ref="BJ2893">SUM(IF(ISERROR(BJ2894:BJ2944),"",BJ2894:BJ2944))</f>
        <v>-1.1463095484218055</v>
      </c>
      <c r="BK2893" s="91">
        <f t="array" ref="BK2893">SUM(IF(ISERROR(BK2894:BK2944),"",BK2894:BK2944))</f>
        <v>-0.83097112970380205</v>
      </c>
      <c r="BL2893" s="91">
        <f t="array" ref="BL2893">SUM(IF(ISERROR(BL2894:BL2944),"",BL2894:BL2944))</f>
        <v>-0.56228548980803339</v>
      </c>
      <c r="BM2893" s="91">
        <f t="array" ref="BM2893">SUM(IF(ISERROR(BM2894:BM2944),"",BM2894:BM2944))</f>
        <v>-0.34246863572855546</v>
      </c>
      <c r="BN2893" s="91">
        <f t="array" ref="BN2893">SUM(IF(ISERROR(BN2894:BN2944),"",BN2894:BN2944))</f>
        <v>-0.17384183479164222</v>
      </c>
      <c r="BO2893" s="91">
        <f t="array" ref="BO2893">SUM(IF(ISERROR(BO2894:BO2944),"",BO2894:BO2944))</f>
        <v>-5.8836614521565501E-2</v>
      </c>
      <c r="BP2893" s="91"/>
      <c r="BQ2893" s="91"/>
      <c r="BR2893" s="91"/>
      <c r="BS2893" s="91"/>
      <c r="BT2893" s="91"/>
      <c r="BU2893" s="91"/>
      <c r="BV2893" s="91"/>
      <c r="BW2893" s="91"/>
      <c r="BX2893" s="91"/>
      <c r="BY2893" s="91"/>
    </row>
    <row r="2894" spans="1:77" ht="15.75" hidden="1" customHeight="1" outlineLevel="1">
      <c r="A2894" s="460"/>
      <c r="B2894" s="99"/>
      <c r="C2894" s="377">
        <f>IPMT('Assumptions (T&amp;D)'!$B$97,Model!W$1,'Assumptions (T&amp;D)'!$B$100,Model!$C$2839)</f>
        <v>-0.29449798624428575</v>
      </c>
      <c r="D2894" s="377">
        <f>IPMT('Assumptions (T&amp;D)'!$B$97,Model!X$1,'Assumptions (T&amp;D)'!$B$100,Model!$C$2839)</f>
        <v>-0.28059145725211393</v>
      </c>
      <c r="E2894" s="377">
        <f>IPMT('Assumptions (T&amp;D)'!$B$97,Model!Y$1,'Assumptions (T&amp;D)'!$B$100,Model!$C$2839)</f>
        <v>-0.26602436813281394</v>
      </c>
      <c r="F2894" s="377">
        <f>IPMT('Assumptions (T&amp;D)'!$B$97,Model!Z$1,'Assumptions (T&amp;D)'!$B$100,Model!$C$2839)</f>
        <v>-0.25076534228034725</v>
      </c>
      <c r="G2894" s="377">
        <f>IPMT('Assumptions (T&amp;D)'!$B$97,Model!AA$1,'Assumptions (T&amp;D)'!$B$100,Model!$C$2839)</f>
        <v>-0.23478151269988837</v>
      </c>
      <c r="H2894" s="377">
        <f>IPMT('Assumptions (T&amp;D)'!$B$97,Model!AB$1,'Assumptions (T&amp;D)'!$B$100,Model!$C$2839)</f>
        <v>-0.21803845121435769</v>
      </c>
      <c r="I2894" s="377">
        <f>IPMT('Assumptions (T&amp;D)'!$B$97,Model!AC$1,'Assumptions (T&amp;D)'!$B$100,Model!$C$2839)</f>
        <v>-0.20050009430826432</v>
      </c>
      <c r="J2894" s="377">
        <f>IPMT('Assumptions (T&amp;D)'!$B$97,Model!AD$1,'Assumptions (T&amp;D)'!$B$100,Model!$C$2839)</f>
        <v>-0.18212866544913153</v>
      </c>
      <c r="K2894" s="377">
        <f>IPMT('Assumptions (T&amp;D)'!$B$97,Model!AE$1,'Assumptions (T&amp;D)'!$B$100,Model!$C$2839)</f>
        <v>-0.16288459371918995</v>
      </c>
      <c r="L2894" s="377">
        <f>IPMT('Assumptions (T&amp;D)'!$B$97,Model!AF$1,'Assumptions (T&amp;D)'!$B$100,Model!$C$2839)</f>
        <v>-0.1427264285820761</v>
      </c>
      <c r="M2894" s="377">
        <f>IPMT('Assumptions (T&amp;D)'!$B$97,Model!AG$1,'Assumptions (T&amp;D)'!$B$100,Model!$C$2839)</f>
        <v>-0.12161075060094934</v>
      </c>
      <c r="N2894" s="377">
        <f>IPMT('Assumptions (T&amp;D)'!$B$97,Model!AH$1,'Assumptions (T&amp;D)'!$B$100,Model!$C$2839)</f>
        <v>-9.9492077915719082E-2</v>
      </c>
      <c r="O2894" s="377">
        <f>IPMT('Assumptions (T&amp;D)'!$B$97,Model!AI$1,'Assumptions (T&amp;D)'!$B$100,Model!$C$2839)</f>
        <v>-7.632276827794035E-2</v>
      </c>
      <c r="P2894" s="377">
        <f>IPMT('Assumptions (T&amp;D)'!$B$97,Model!AJ$1,'Assumptions (T&amp;D)'!$B$100,Model!$C$2839)</f>
        <v>-5.2052916432367147E-2</v>
      </c>
      <c r="Q2894" s="377">
        <f>IPMT('Assumptions (T&amp;D)'!$B$97,Model!AK$1,'Assumptions (T&amp;D)'!$B$100,Model!$C$2839)</f>
        <v>-2.6630246624129227E-2</v>
      </c>
      <c r="R2894" s="377"/>
      <c r="S2894" s="377"/>
      <c r="T2894" s="377"/>
      <c r="U2894" s="377"/>
      <c r="V2894" s="377"/>
      <c r="W2894" s="377"/>
      <c r="X2894" s="377"/>
      <c r="Y2894" s="377"/>
      <c r="Z2894" s="377"/>
      <c r="AA2894" s="377"/>
      <c r="AB2894" s="377"/>
    </row>
    <row r="2895" spans="1:77" ht="15.75" hidden="1" customHeight="1" outlineLevel="1">
      <c r="A2895" s="460"/>
      <c r="B2895" s="99"/>
      <c r="C2895" s="377"/>
      <c r="D2895" s="377">
        <f>IPMT('Assumptions (T&amp;D)'!$B$97,Model!W$1,'Assumptions (T&amp;D)'!$B$100,Model!$D$2839)</f>
        <v>-0.31105393310571439</v>
      </c>
      <c r="E2895" s="377">
        <f>IPMT('Assumptions (T&amp;D)'!$B$97,Model!X$1,'Assumptions (T&amp;D)'!$B$100,Model!$D$2839)</f>
        <v>-0.29636561352149976</v>
      </c>
      <c r="F2895" s="377">
        <f>IPMT('Assumptions (T&amp;D)'!$B$97,Model!Y$1,'Assumptions (T&amp;D)'!$B$100,Model!$D$2839)</f>
        <v>-0.28097959875703499</v>
      </c>
      <c r="G2895" s="377">
        <f>IPMT('Assumptions (T&amp;D)'!$B$97,Model!Z$1,'Assumptions (T&amp;D)'!$B$100,Model!$D$2839)</f>
        <v>-0.26486274829125828</v>
      </c>
      <c r="H2895" s="377">
        <f>IPMT('Assumptions (T&amp;D)'!$B$97,Model!AA$1,'Assumptions (T&amp;D)'!$B$100,Model!$D$2839)</f>
        <v>-0.24798034742835706</v>
      </c>
      <c r="I2895" s="377">
        <f>IPMT('Assumptions (T&amp;D)'!$B$97,Model!AB$1,'Assumptions (T&amp;D)'!$B$100,Model!$D$2839)</f>
        <v>-0.23029603252446806</v>
      </c>
      <c r="J2895" s="377">
        <f>IPMT('Assumptions (T&amp;D)'!$B$97,Model!AC$1,'Assumptions (T&amp;D)'!$B$100,Model!$D$2839)</f>
        <v>-0.21177171266264433</v>
      </c>
      <c r="K2895" s="377">
        <f>IPMT('Assumptions (T&amp;D)'!$B$97,Model!AD$1,'Assumptions (T&amp;D)'!$B$100,Model!$D$2839)</f>
        <v>-0.19236748760738398</v>
      </c>
      <c r="L2895" s="377">
        <f>IPMT('Assumptions (T&amp;D)'!$B$97,Model!AE$1,'Assumptions (T&amp;D)'!$B$100,Model!$D$2839)</f>
        <v>-0.17204156186199882</v>
      </c>
      <c r="M2895" s="377">
        <f>IPMT('Assumptions (T&amp;D)'!$B$97,Model!AF$1,'Assumptions (T&amp;D)'!$B$100,Model!$D$2839)</f>
        <v>-0.15075015464370781</v>
      </c>
      <c r="N2895" s="377">
        <f>IPMT('Assumptions (T&amp;D)'!$B$97,Model!AG$1,'Assumptions (T&amp;D)'!$B$100,Model!$D$2839)</f>
        <v>-0.12844740558254797</v>
      </c>
      <c r="O2895" s="377">
        <f>IPMT('Assumptions (T&amp;D)'!$B$97,Model!AH$1,'Assumptions (T&amp;D)'!$B$100,Model!$D$2839)</f>
        <v>-0.10508527594098306</v>
      </c>
      <c r="P2895" s="377">
        <f>IPMT('Assumptions (T&amp;D)'!$B$97,Model!AI$1,'Assumptions (T&amp;D)'!$B$100,Model!$D$2839)</f>
        <v>-8.0613445141443779E-2</v>
      </c>
      <c r="Q2895" s="377">
        <f>IPMT('Assumptions (T&amp;D)'!$B$97,Model!AJ$1,'Assumptions (T&amp;D)'!$B$100,Model!$D$2839)</f>
        <v>-5.4979202378926402E-2</v>
      </c>
      <c r="R2895" s="377">
        <f>IPMT('Assumptions (T&amp;D)'!$B$97,Model!AK$1,'Assumptions (T&amp;D)'!$B$100,Model!$D$2839)</f>
        <v>-2.8127333085189454E-2</v>
      </c>
      <c r="S2895" s="377"/>
      <c r="T2895" s="377"/>
      <c r="U2895" s="377"/>
      <c r="V2895" s="377"/>
      <c r="W2895" s="377"/>
      <c r="X2895" s="377"/>
      <c r="Y2895" s="377"/>
      <c r="Z2895" s="377"/>
      <c r="AA2895" s="377"/>
      <c r="AB2895" s="377"/>
    </row>
    <row r="2896" spans="1:77" ht="15.75" hidden="1" customHeight="1" outlineLevel="1">
      <c r="A2896" s="460"/>
      <c r="B2896" s="99"/>
      <c r="C2896" s="377"/>
      <c r="D2896" s="377"/>
      <c r="E2896" s="377">
        <f>IPMT('Assumptions (T&amp;D)'!$B$97,Model!W$1,'Assumptions (T&amp;D)'!$B$100,Model!$E$2839)</f>
        <v>-0.30800466428142864</v>
      </c>
      <c r="F2896" s="377">
        <f>IPMT('Assumptions (T&amp;D)'!$B$97,Model!X$1,'Assumptions (T&amp;D)'!$B$100,Model!$E$2839)</f>
        <v>-0.29346033463022053</v>
      </c>
      <c r="G2896" s="377">
        <f>IPMT('Assumptions (T&amp;D)'!$B$97,Model!Y$1,'Assumptions (T&amp;D)'!$B$100,Model!$E$2839)</f>
        <v>-0.27822514932058001</v>
      </c>
      <c r="H2896" s="377">
        <f>IPMT('Assumptions (T&amp;D)'!$B$97,Model!Z$1,'Assumptions (T&amp;D)'!$B$100,Model!$E$2839)</f>
        <v>-0.2622662927087317</v>
      </c>
      <c r="I2896" s="377">
        <f>IPMT('Assumptions (T&amp;D)'!$B$97,Model!AA$1,'Assumptions (T&amp;D)'!$B$100,Model!$E$2839)</f>
        <v>-0.24554939040782056</v>
      </c>
      <c r="J2896" s="377">
        <f>IPMT('Assumptions (T&amp;D)'!$B$97,Model!AB$1,'Assumptions (T&amp;D)'!$B$100,Model!$E$2839)</f>
        <v>-0.22803843524761613</v>
      </c>
      <c r="K2896" s="377">
        <f>IPMT('Assumptions (T&amp;D)'!$B$97,Model!AC$1,'Assumptions (T&amp;D)'!$B$100,Model!$E$2839)</f>
        <v>-0.209695709717302</v>
      </c>
      <c r="L2896" s="377">
        <f>IPMT('Assumptions (T&amp;D)'!$B$97,Model!AD$1,'Assumptions (T&amp;D)'!$B$100,Model!$E$2839)</f>
        <v>-0.19048170472429793</v>
      </c>
      <c r="M2896" s="377">
        <f>IPMT('Assumptions (T&amp;D)'!$B$97,Model!AE$1,'Assumptions (T&amp;D)'!$B$100,Model!$E$2839)</f>
        <v>-0.17035503449412617</v>
      </c>
      <c r="N2896" s="377">
        <f>IPMT('Assumptions (T&amp;D)'!$B$97,Model!AF$1,'Assumptions (T&amp;D)'!$B$100,Model!$E$2839)</f>
        <v>-0.14927234742802123</v>
      </c>
      <c r="O2896" s="377">
        <f>IPMT('Assumptions (T&amp;D)'!$B$97,Model!AG$1,'Assumptions (T&amp;D)'!$B$100,Model!$E$2839)</f>
        <v>-0.12718823272627633</v>
      </c>
      <c r="P2896" s="377">
        <f>IPMT('Assumptions (T&amp;D)'!$B$97,Model!AH$1,'Assumptions (T&amp;D)'!$B$100,Model!$E$2839)</f>
        <v>-0.10405512257619857</v>
      </c>
      <c r="Q2896" s="377">
        <f>IPMT('Assumptions (T&amp;D)'!$B$97,Model!AI$1,'Assumptions (T&amp;D)'!$B$100,Model!$E$2839)</f>
        <v>-7.9823189693992075E-2</v>
      </c>
      <c r="R2896" s="377">
        <f>IPMT('Assumptions (T&amp;D)'!$B$97,Model!AJ$1,'Assumptions (T&amp;D)'!$B$100,Model!$E$2839)</f>
        <v>-5.4440239999880777E-2</v>
      </c>
      <c r="S2896" s="377">
        <f>IPMT('Assumptions (T&amp;D)'!$B$97,Model!AK$1,'Assumptions (T&amp;D)'!$B$100,Model!$E$2839)</f>
        <v>-2.7851600195299201E-2</v>
      </c>
      <c r="T2896" s="377"/>
      <c r="U2896" s="377"/>
      <c r="V2896" s="377"/>
      <c r="W2896" s="377"/>
      <c r="X2896" s="377"/>
      <c r="Y2896" s="377"/>
      <c r="Z2896" s="377"/>
      <c r="AA2896" s="377"/>
      <c r="AB2896" s="377"/>
      <c r="AC2896" s="377"/>
    </row>
    <row r="2897" spans="1:45" ht="15.75" hidden="1" customHeight="1" outlineLevel="1">
      <c r="A2897" s="460"/>
      <c r="B2897" s="99"/>
      <c r="C2897" s="377"/>
      <c r="D2897" s="377"/>
      <c r="E2897" s="377"/>
      <c r="F2897" s="377">
        <f>IPMT('Assumptions (T&amp;D)'!$B$97,Model!W$1,'Assumptions (T&amp;D)'!$B$100,Model!$F$2839)</f>
        <v>-0.32697632971714291</v>
      </c>
      <c r="G2897" s="377">
        <f>IPMT('Assumptions (T&amp;D)'!$B$97,Model!X$1,'Assumptions (T&amp;D)'!$B$100,Model!$F$2839)</f>
        <v>-0.31153613650239692</v>
      </c>
      <c r="H2897" s="377">
        <f>IPMT('Assumptions (T&amp;D)'!$B$97,Model!Y$1,'Assumptions (T&amp;D)'!$B$100,Model!$F$2839)</f>
        <v>-0.29536253410995045</v>
      </c>
      <c r="I2897" s="377">
        <f>IPMT('Assumptions (T&amp;D)'!$B$97,Model!Z$1,'Assumptions (T&amp;D)'!$B$100,Model!$F$2839)</f>
        <v>-0.27842068560386285</v>
      </c>
      <c r="J2897" s="377">
        <f>IPMT('Assumptions (T&amp;D)'!$B$97,Model!AA$1,'Assumptions (T&amp;D)'!$B$100,Model!$F$2839)</f>
        <v>-0.26067409929373614</v>
      </c>
      <c r="K2897" s="377">
        <f>IPMT('Assumptions (T&amp;D)'!$B$97,Model!AB$1,'Assumptions (T&amp;D)'!$B$100,Model!$F$2839)</f>
        <v>-0.24208455013387833</v>
      </c>
      <c r="L2897" s="377">
        <f>IPMT('Assumptions (T&amp;D)'!$B$97,Model!AC$1,'Assumptions (T&amp;D)'!$B$100,Model!$F$2839)</f>
        <v>-0.22261199738892731</v>
      </c>
      <c r="M2897" s="377">
        <f>IPMT('Assumptions (T&amp;D)'!$B$97,Model!AD$1,'Assumptions (T&amp;D)'!$B$100,Model!$F$2839)</f>
        <v>-0.20221449838859112</v>
      </c>
      <c r="N2897" s="377">
        <f>IPMT('Assumptions (T&amp;D)'!$B$97,Model!AE$1,'Assumptions (T&amp;D)'!$B$100,Model!$F$2839)</f>
        <v>-0.18084811818573895</v>
      </c>
      <c r="O2897" s="377">
        <f>IPMT('Assumptions (T&amp;D)'!$B$97,Model!AF$1,'Assumptions (T&amp;D)'!$B$100,Model!$F$2839)</f>
        <v>-0.15846683492325131</v>
      </c>
      <c r="P2897" s="377">
        <f>IPMT('Assumptions (T&amp;D)'!$B$97,Model!AG$1,'Assumptions (T&amp;D)'!$B$100,Model!$F$2839)</f>
        <v>-0.13502244070579547</v>
      </c>
      <c r="Q2897" s="377">
        <f>IPMT('Assumptions (T&amp;D)'!$B$97,Model!AH$1,'Assumptions (T&amp;D)'!$B$100,Model!$F$2839)</f>
        <v>-0.11046443776301054</v>
      </c>
      <c r="R2897" s="377">
        <f>IPMT('Assumptions (T&amp;D)'!$B$97,Model!AI$1,'Assumptions (T&amp;D)'!$B$100,Model!$F$2839)</f>
        <v>-8.4739929680443249E-2</v>
      </c>
      <c r="S2897" s="377">
        <f>IPMT('Assumptions (T&amp;D)'!$B$97,Model!AJ$1,'Assumptions (T&amp;D)'!$B$100,Model!$F$2839)</f>
        <v>-5.7793507463954064E-2</v>
      </c>
      <c r="T2897" s="377">
        <f>IPMT('Assumptions (T&amp;D)'!$B$97,Model!AK$1,'Assumptions (T&amp;D)'!$B$100,Model!$F$2839)</f>
        <v>-2.9567130192181625E-2</v>
      </c>
      <c r="U2897" s="377"/>
      <c r="V2897" s="377"/>
      <c r="W2897" s="377"/>
      <c r="X2897" s="377"/>
      <c r="Y2897" s="377"/>
      <c r="Z2897" s="377"/>
      <c r="AA2897" s="377"/>
      <c r="AB2897" s="377"/>
      <c r="AC2897" s="377"/>
      <c r="AD2897" s="377"/>
    </row>
    <row r="2898" spans="1:45" ht="15.75" hidden="1" customHeight="1" outlineLevel="1">
      <c r="A2898" s="460"/>
      <c r="B2898" s="99"/>
      <c r="C2898" s="377"/>
      <c r="D2898" s="377"/>
      <c r="E2898" s="377"/>
      <c r="F2898" s="377"/>
      <c r="G2898" s="377">
        <f>IPMT('Assumptions (T&amp;D)'!$B$97,Model!W$1,'Assumptions (T&amp;D)'!$B$100,Model!$G$2839)</f>
        <v>-0.35478416688285713</v>
      </c>
      <c r="H2898" s="377">
        <f>IPMT('Assumptions (T&amp;D)'!$B$97,Model!X$1,'Assumptions (T&amp;D)'!$B$100,Model!$G$2839)</f>
        <v>-0.33803085605163335</v>
      </c>
      <c r="I2898" s="377">
        <f>IPMT('Assumptions (T&amp;D)'!$B$97,Model!Y$1,'Assumptions (T&amp;D)'!$B$100,Model!$G$2839)</f>
        <v>-0.32048176295592645</v>
      </c>
      <c r="J2898" s="377">
        <f>IPMT('Assumptions (T&amp;D)'!$B$97,Model!Z$1,'Assumptions (T&amp;D)'!$B$100,Model!$G$2839)</f>
        <v>-0.30209908793817358</v>
      </c>
      <c r="K2898" s="377">
        <f>IPMT('Assumptions (T&amp;D)'!$B$97,Model!AA$1,'Assumptions (T&amp;D)'!$B$100,Model!$G$2839)</f>
        <v>-0.28284323585707738</v>
      </c>
      <c r="L2898" s="377">
        <f>IPMT('Assumptions (T&amp;D)'!$B$97,Model!AB$1,'Assumptions (T&amp;D)'!$B$100,Model!$G$2839)</f>
        <v>-0.26267273080212911</v>
      </c>
      <c r="M2898" s="377">
        <f>IPMT('Assumptions (T&amp;D)'!$B$97,Model!AC$1,'Assumptions (T&amp;D)'!$B$100,Model!$G$2839)</f>
        <v>-0.24154412675707082</v>
      </c>
      <c r="N2898" s="377">
        <f>IPMT('Assumptions (T&amp;D)'!$B$97,Model!AD$1,'Assumptions (T&amp;D)'!$B$100,Model!$G$2839)</f>
        <v>-0.21941191401987223</v>
      </c>
      <c r="O2898" s="377">
        <f>IPMT('Assumptions (T&amp;D)'!$B$97,Model!AE$1,'Assumptions (T&amp;D)'!$B$100,Model!$G$2839)</f>
        <v>-0.19622842117765676</v>
      </c>
      <c r="P2898" s="377">
        <f>IPMT('Assumptions (T&amp;D)'!$B$97,Model!AF$1,'Assumptions (T&amp;D)'!$B$100,Model!$G$2839)</f>
        <v>-0.17194371242543599</v>
      </c>
      <c r="Q2898" s="377">
        <f>IPMT('Assumptions (T&amp;D)'!$B$97,Model!AG$1,'Assumptions (T&amp;D)'!$B$100,Model!$G$2839)</f>
        <v>-0.14650548000748476</v>
      </c>
      <c r="R2898" s="377">
        <f>IPMT('Assumptions (T&amp;D)'!$B$97,Model!AH$1,'Assumptions (T&amp;D)'!$B$100,Model!$G$2839)</f>
        <v>-0.11985893154968087</v>
      </c>
      <c r="S2898" s="377">
        <f>IPMT('Assumptions (T&amp;D)'!$B$97,Model!AI$1,'Assumptions (T&amp;D)'!$B$100,Model!$G$2839)</f>
        <v>-9.1946672040131253E-2</v>
      </c>
      <c r="T2898" s="377">
        <f>IPMT('Assumptions (T&amp;D)'!$B$97,Model!AJ$1,'Assumptions (T&amp;D)'!$B$100,Model!$G$2839)</f>
        <v>-6.2708580203878039E-2</v>
      </c>
      <c r="U2898" s="377">
        <f>IPMT('Assumptions (T&amp;D)'!$B$97,Model!AK$1,'Assumptions (T&amp;D)'!$B$100,Model!$G$2839)</f>
        <v>-3.2081679005402805E-2</v>
      </c>
      <c r="V2898" s="377"/>
      <c r="W2898" s="377"/>
      <c r="X2898" s="377"/>
      <c r="Y2898" s="377"/>
      <c r="Z2898" s="377"/>
      <c r="AA2898" s="377"/>
      <c r="AB2898" s="377"/>
      <c r="AC2898" s="377"/>
      <c r="AD2898" s="377"/>
      <c r="AE2898" s="377"/>
    </row>
    <row r="2899" spans="1:45" ht="15.75" hidden="1" customHeight="1" outlineLevel="1">
      <c r="A2899" s="460"/>
      <c r="B2899" s="99"/>
      <c r="C2899" s="377"/>
      <c r="D2899" s="377"/>
      <c r="E2899" s="377"/>
      <c r="F2899" s="377"/>
      <c r="G2899" s="377"/>
      <c r="H2899" s="377">
        <f>IPMT('Assumptions (T&amp;D)'!$B$97,Model!W$1,'Assumptions (T&amp;D)'!$B$100,Model!$H$2839)</f>
        <v>-0.37453343649714288</v>
      </c>
      <c r="I2899" s="377">
        <f>IPMT('Assumptions (T&amp;D)'!$B$97,Model!X$1,'Assumptions (T&amp;D)'!$B$100,Model!$H$2839)</f>
        <v>-0.35684754275094643</v>
      </c>
      <c r="J2899" s="377">
        <f>IPMT('Assumptions (T&amp;D)'!$B$97,Model!Y$1,'Assumptions (T&amp;D)'!$B$100,Model!$H$2839)</f>
        <v>-0.3383215690518056</v>
      </c>
      <c r="K2899" s="377">
        <f>IPMT('Assumptions (T&amp;D)'!$B$97,Model!Z$1,'Assumptions (T&amp;D)'!$B$100,Model!$H$2839)</f>
        <v>-0.3189156116019557</v>
      </c>
      <c r="L2899" s="377">
        <f>IPMT('Assumptions (T&amp;D)'!$B$97,Model!AA$1,'Assumptions (T&amp;D)'!$B$100,Model!$H$2839)</f>
        <v>-0.29858787117323793</v>
      </c>
      <c r="M2899" s="377">
        <f>IPMT('Assumptions (T&amp;D)'!$B$97,Model!AB$1,'Assumptions (T&amp;D)'!$B$100,Model!$H$2839)</f>
        <v>-0.27729456307415606</v>
      </c>
      <c r="N2899" s="377">
        <f>IPMT('Assumptions (T&amp;D)'!$B$97,Model!AC$1,'Assumptions (T&amp;D)'!$B$100,Model!$H$2839)</f>
        <v>-0.25498982284036775</v>
      </c>
      <c r="O2899" s="377">
        <f>IPMT('Assumptions (T&amp;D)'!$B$97,Model!AD$1,'Assumptions (T&amp;D)'!$B$100,Model!$H$2839)</f>
        <v>-0.2316256074454745</v>
      </c>
      <c r="P2899" s="377">
        <f>IPMT('Assumptions (T&amp;D)'!$B$97,Model!AE$1,'Assumptions (T&amp;D)'!$B$100,Model!$H$2839)</f>
        <v>-0.20715159181932388</v>
      </c>
      <c r="Q2899" s="377">
        <f>IPMT('Assumptions (T&amp;D)'!$B$97,Model!AF$1,'Assumptions (T&amp;D)'!$B$100,Model!$H$2839)</f>
        <v>-0.18151506045093108</v>
      </c>
      <c r="R2899" s="377">
        <f>IPMT('Assumptions (T&amp;D)'!$B$97,Model!AG$1,'Assumptions (T&amp;D)'!$B$100,Model!$H$2839)</f>
        <v>-0.15466079384253958</v>
      </c>
      <c r="S2899" s="377">
        <f>IPMT('Assumptions (T&amp;D)'!$B$97,Model!AH$1,'Assumptions (T&amp;D)'!$B$100,Model!$H$2839)</f>
        <v>-0.12653094957024952</v>
      </c>
      <c r="T2899" s="377">
        <f>IPMT('Assumptions (T&amp;D)'!$B$97,Model!AI$1,'Assumptions (T&amp;D)'!$B$100,Model!$H$2839)</f>
        <v>-9.706493769502568E-2</v>
      </c>
      <c r="U2899" s="377">
        <f>IPMT('Assumptions (T&amp;D)'!$B$97,Model!AJ$1,'Assumptions (T&amp;D)'!$B$100,Model!$H$2839)</f>
        <v>-6.6199290255728682E-2</v>
      </c>
      <c r="V2899" s="377">
        <f>IPMT('Assumptions (T&amp;D)'!$B$97,Model!AK$1,'Assumptions (T&amp;D)'!$B$100,Model!$H$2839)</f>
        <v>-3.3867524563065105E-2</v>
      </c>
      <c r="W2899" s="377"/>
      <c r="X2899" s="377"/>
      <c r="Y2899" s="377"/>
      <c r="Z2899" s="377"/>
      <c r="AA2899" s="377"/>
      <c r="AB2899" s="377"/>
      <c r="AC2899" s="377"/>
      <c r="AD2899" s="377"/>
      <c r="AE2899" s="377"/>
      <c r="AF2899" s="377"/>
    </row>
    <row r="2900" spans="1:45" ht="15.75" hidden="1" customHeight="1" outlineLevel="1">
      <c r="A2900" s="460"/>
      <c r="B2900" s="99"/>
      <c r="C2900" s="377"/>
      <c r="D2900" s="377"/>
      <c r="E2900" s="377"/>
      <c r="F2900" s="377"/>
      <c r="G2900" s="377"/>
      <c r="H2900" s="377"/>
      <c r="I2900" s="377">
        <f>IPMT('Assumptions (T&amp;D)'!$B$97,Model!W$1,'Assumptions (T&amp;D)'!$B$100,Model!$I$2839)</f>
        <v>-0.45092380040000013</v>
      </c>
      <c r="J2900" s="377">
        <f>IPMT('Assumptions (T&amp;D)'!$B$97,Model!X$1,'Assumptions (T&amp;D)'!$B$100,Model!$I$2839)</f>
        <v>-0.42963066701225161</v>
      </c>
      <c r="K2900" s="377">
        <f>IPMT('Assumptions (T&amp;D)'!$B$97,Model!Y$1,'Assumptions (T&amp;D)'!$B$100,Model!$I$2839)</f>
        <v>-0.40732610978858502</v>
      </c>
      <c r="L2900" s="377">
        <f>IPMT('Assumptions (T&amp;D)'!$B$97,Model!Z$1,'Assumptions (T&amp;D)'!$B$100,Model!$I$2839)</f>
        <v>-0.38396208609679439</v>
      </c>
      <c r="M2900" s="377">
        <f>IPMT('Assumptions (T&amp;D)'!$B$97,Model!AA$1,'Assumptions (T&amp;D)'!$B$100,Model!$I$2839)</f>
        <v>-0.35948827127964367</v>
      </c>
      <c r="N2900" s="377">
        <f>IPMT('Assumptions (T&amp;D)'!$B$97,Model!AB$1,'Assumptions (T&amp;D)'!$B$100,Model!$I$2839)</f>
        <v>-0.33385195025867831</v>
      </c>
      <c r="O2900" s="377">
        <f>IPMT('Assumptions (T&amp;D)'!$B$97,Model!AC$1,'Assumptions (T&amp;D)'!$B$100,Model!$I$2839)</f>
        <v>-0.306997903989217</v>
      </c>
      <c r="P2900" s="377">
        <f>IPMT('Assumptions (T&amp;D)'!$B$97,Model!AD$1,'Assumptions (T&amp;D)'!$B$100,Model!$I$2839)</f>
        <v>-0.27886829052195633</v>
      </c>
      <c r="Q2900" s="377">
        <f>IPMT('Assumptions (T&amp;D)'!$B$97,Model!AE$1,'Assumptions (T&amp;D)'!$B$100,Model!$I$2839)</f>
        <v>-0.24940252041500088</v>
      </c>
      <c r="R2900" s="377">
        <f>IPMT('Assumptions (T&amp;D)'!$B$97,Model!AF$1,'Assumptions (T&amp;D)'!$B$100,Model!$I$2839)</f>
        <v>-0.21853712622796495</v>
      </c>
      <c r="S2900" s="377">
        <f>IPMT('Assumptions (T&amp;D)'!$B$97,Model!AG$1,'Assumptions (T&amp;D)'!$B$100,Model!$I$2839)</f>
        <v>-0.18620562581704478</v>
      </c>
      <c r="T2900" s="377">
        <f>IPMT('Assumptions (T&amp;D)'!$B$97,Model!AH$1,'Assumptions (T&amp;D)'!$B$100,Model!$I$2839)</f>
        <v>-0.15233837913660597</v>
      </c>
      <c r="U2900" s="377">
        <f>IPMT('Assumptions (T&amp;D)'!$B$97,Model!AI$1,'Assumptions (T&amp;D)'!$B$100,Model!$I$2839)</f>
        <v>-0.11686243823884625</v>
      </c>
      <c r="V2900" s="377">
        <f>IPMT('Assumptions (T&amp;D)'!$B$97,Model!AJ$1,'Assumptions (T&amp;D)'!$B$100,Model!$I$2839)</f>
        <v>-7.9701390148442977E-2</v>
      </c>
      <c r="W2900" s="377">
        <f>IPMT('Assumptions (T&amp;D)'!$B$97,Model!AK$1,'Assumptions (T&amp;D)'!$B$100,Model!$I$2839)</f>
        <v>-4.0775192273745556E-2</v>
      </c>
      <c r="X2900" s="377"/>
      <c r="Y2900" s="377"/>
      <c r="Z2900" s="377"/>
      <c r="AA2900" s="377"/>
      <c r="AB2900" s="377"/>
      <c r="AC2900" s="377"/>
      <c r="AD2900" s="377"/>
      <c r="AE2900" s="377"/>
      <c r="AF2900" s="377"/>
      <c r="AG2900" s="377"/>
    </row>
    <row r="2901" spans="1:45" ht="15.75" hidden="1" customHeight="1" outlineLevel="1">
      <c r="A2901" s="460"/>
      <c r="B2901" s="99"/>
      <c r="C2901" s="377"/>
      <c r="D2901" s="377"/>
      <c r="E2901" s="377"/>
      <c r="F2901" s="377"/>
      <c r="G2901" s="377"/>
      <c r="H2901" s="377"/>
      <c r="I2901" s="377"/>
      <c r="J2901" s="377">
        <f>IPMT('Assumptions (T&amp;D)'!$B$97,Model!W$1,'Assumptions (T&amp;D)'!$B$100,Model!$J$2839)</f>
        <v>-0.43168941192142862</v>
      </c>
      <c r="K2901" s="377">
        <f>IPMT('Assumptions (T&amp;D)'!$B$97,Model!X$1,'Assumptions (T&amp;D)'!$B$100,Model!$J$2839)</f>
        <v>-0.41130454817733769</v>
      </c>
      <c r="L2901" s="377">
        <f>IPMT('Assumptions (T&amp;D)'!$B$97,Model!Y$1,'Assumptions (T&amp;D)'!$B$100,Model!$J$2839)</f>
        <v>-0.38995140340540235</v>
      </c>
      <c r="M2901" s="377">
        <f>IPMT('Assumptions (T&amp;D)'!$B$97,Model!Z$1,'Assumptions (T&amp;D)'!$B$100,Model!$J$2839)</f>
        <v>-0.36758398425680011</v>
      </c>
      <c r="N2901" s="377">
        <f>IPMT('Assumptions (T&amp;D)'!$B$97,Model!AA$1,'Assumptions (T&amp;D)'!$B$100,Model!$J$2839)</f>
        <v>-0.34415411269863933</v>
      </c>
      <c r="O2901" s="377">
        <f>IPMT('Assumptions (T&amp;D)'!$B$97,Model!AB$1,'Assumptions (T&amp;D)'!$B$100,Model!$J$2839)</f>
        <v>-0.31961132224146588</v>
      </c>
      <c r="P2901" s="377">
        <f>IPMT('Assumptions (T&amp;D)'!$B$97,Model!AC$1,'Assumptions (T&amp;D)'!$B$100,Model!$J$2839)</f>
        <v>-0.29390274923757664</v>
      </c>
      <c r="Q2901" s="377">
        <f>IPMT('Assumptions (T&amp;D)'!$B$97,Model!AD$1,'Assumptions (T&amp;D)'!$B$100,Model!$J$2839)</f>
        <v>-0.26697301901600273</v>
      </c>
      <c r="R2901" s="377">
        <f>IPMT('Assumptions (T&amp;D)'!$B$97,Model!AE$1,'Assumptions (T&amp;D)'!$B$100,Model!$J$2839)</f>
        <v>-0.23876412660890411</v>
      </c>
      <c r="S2901" s="377">
        <f>IPMT('Assumptions (T&amp;D)'!$B$97,Model!AF$1,'Assumptions (T&amp;D)'!$B$100,Model!$J$2839)</f>
        <v>-0.20921531181246819</v>
      </c>
      <c r="T2901" s="377">
        <f>IPMT('Assumptions (T&amp;D)'!$B$97,Model!AG$1,'Assumptions (T&amp;D)'!$B$100,Model!$J$2839)</f>
        <v>-0.17826292831320162</v>
      </c>
      <c r="U2901" s="377">
        <f>IPMT('Assumptions (T&amp;D)'!$B$97,Model!AH$1,'Assumptions (T&amp;D)'!$B$100,Model!$J$2839)</f>
        <v>-0.1458403065977199</v>
      </c>
      <c r="V2901" s="377">
        <f>IPMT('Assumptions (T&amp;D)'!$B$97,Model!AI$1,'Assumptions (T&amp;D)'!$B$100,Model!$J$2839)</f>
        <v>-0.11187761035075273</v>
      </c>
      <c r="W2901" s="377">
        <f>IPMT('Assumptions (T&amp;D)'!$B$97,Model!AJ$1,'Assumptions (T&amp;D)'!$B$100,Model!$J$2839)</f>
        <v>-7.6301686032054672E-2</v>
      </c>
      <c r="X2901" s="377">
        <f>IPMT('Assumptions (T&amp;D)'!$B$97,Model!AK$1,'Assumptions (T&amp;D)'!$B$100,Model!$J$2839)</f>
        <v>-3.9035905308218447E-2</v>
      </c>
      <c r="Y2901" s="377"/>
      <c r="Z2901" s="377"/>
      <c r="AA2901" s="377"/>
      <c r="AB2901" s="377"/>
      <c r="AC2901" s="377"/>
      <c r="AD2901" s="377"/>
      <c r="AE2901" s="377"/>
      <c r="AF2901" s="377"/>
      <c r="AG2901" s="377"/>
      <c r="AH2901" s="377"/>
    </row>
    <row r="2902" spans="1:45" ht="15.75" hidden="1" customHeight="1" outlineLevel="1">
      <c r="A2902" s="460"/>
      <c r="B2902" s="99"/>
      <c r="C2902" s="377"/>
      <c r="D2902" s="377"/>
      <c r="E2902" s="377"/>
      <c r="F2902" s="377"/>
      <c r="G2902" s="377"/>
      <c r="H2902" s="377"/>
      <c r="I2902" s="377"/>
      <c r="J2902" s="377"/>
      <c r="K2902" s="377">
        <f>IPMT('Assumptions (T&amp;D)'!$B$97,Model!W$1,'Assumptions (T&amp;D)'!$B$100,Model!$K$2839)</f>
        <v>-0.47854252185285723</v>
      </c>
      <c r="L2902" s="377">
        <f>IPMT('Assumptions (T&amp;D)'!$B$97,Model!X$1,'Assumptions (T&amp;D)'!$B$100,Model!$K$2839)</f>
        <v>-0.45594520110712694</v>
      </c>
      <c r="M2902" s="377">
        <f>IPMT('Assumptions (T&amp;D)'!$B$97,Model!Y$1,'Assumptions (T&amp;D)'!$B$100,Model!$K$2839)</f>
        <v>-0.43227450762597447</v>
      </c>
      <c r="N2902" s="377">
        <f>IPMT('Assumptions (T&amp;D)'!$B$97,Model!Z$1,'Assumptions (T&amp;D)'!$B$100,Model!$K$2839)</f>
        <v>-0.40747945620446741</v>
      </c>
      <c r="O2902" s="377">
        <f>IPMT('Assumptions (T&amp;D)'!$B$97,Model!AA$1,'Assumptions (T&amp;D)'!$B$100,Model!$K$2839)</f>
        <v>-0.3815066398404387</v>
      </c>
      <c r="P2902" s="377">
        <f>IPMT('Assumptions (T&amp;D)'!$B$97,Model!AB$1,'Assumptions (T&amp;D)'!$B$100,Model!$K$2839)</f>
        <v>-0.35430011469911865</v>
      </c>
      <c r="Q2902" s="377">
        <f>IPMT('Assumptions (T&amp;D)'!$B$97,Model!AC$1,'Assumptions (T&amp;D)'!$B$100,Model!$K$2839)</f>
        <v>-0.3258012796135859</v>
      </c>
      <c r="R2902" s="377">
        <f>IPMT('Assumptions (T&amp;D)'!$B$97,Model!AD$1,'Assumptions (T&amp;D)'!$B$100,Model!$K$2839)</f>
        <v>-0.29594874986149033</v>
      </c>
      <c r="S2902" s="377">
        <f>IPMT('Assumptions (T&amp;D)'!$B$97,Model!AE$1,'Assumptions (T&amp;D)'!$B$100,Model!$K$2839)</f>
        <v>-0.26467822494617022</v>
      </c>
      <c r="T2902" s="377">
        <f>IPMT('Assumptions (T&amp;D)'!$B$97,Model!AF$1,'Assumptions (T&amp;D)'!$B$100,Model!$K$2839)</f>
        <v>-0.23192235009737242</v>
      </c>
      <c r="U2902" s="377">
        <f>IPMT('Assumptions (T&amp;D)'!$B$97,Model!AG$1,'Assumptions (T&amp;D)'!$B$100,Model!$K$2839)</f>
        <v>-0.1976105711932567</v>
      </c>
      <c r="V2902" s="377">
        <f>IPMT('Assumptions (T&amp;D)'!$B$97,Model!AH$1,'Assumptions (T&amp;D)'!$B$100,Model!$K$2839)</f>
        <v>-0.16166898279119551</v>
      </c>
      <c r="W2902" s="377">
        <f>IPMT('Assumptions (T&amp;D)'!$B$97,Model!AI$1,'Assumptions (T&amp;D)'!$B$100,Model!$K$2839)</f>
        <v>-0.12402016894003637</v>
      </c>
      <c r="X2902" s="377">
        <f>IPMT('Assumptions (T&amp;D)'!$B$97,Model!AJ$1,'Assumptions (T&amp;D)'!$B$100,Model!$K$2839)</f>
        <v>-8.4583036430947195E-2</v>
      </c>
      <c r="Y2902" s="377">
        <f>IPMT('Assumptions (T&amp;D)'!$B$97,Model!AK$1,'Assumptions (T&amp;D)'!$B$100,Model!$K$2839)</f>
        <v>-4.327264012767628E-2</v>
      </c>
      <c r="Z2902" s="377"/>
      <c r="AA2902" s="377"/>
      <c r="AB2902" s="377"/>
      <c r="AC2902" s="377"/>
      <c r="AD2902" s="377"/>
      <c r="AE2902" s="377"/>
      <c r="AF2902" s="377"/>
      <c r="AG2902" s="377"/>
      <c r="AH2902" s="377"/>
      <c r="AI2902" s="377"/>
    </row>
    <row r="2903" spans="1:45" ht="15.75" hidden="1" customHeight="1" outlineLevel="1">
      <c r="A2903" s="460"/>
      <c r="B2903" s="99"/>
      <c r="C2903" s="377"/>
      <c r="D2903" s="377"/>
      <c r="E2903" s="377"/>
      <c r="F2903" s="377"/>
      <c r="G2903" s="377"/>
      <c r="H2903" s="377"/>
      <c r="I2903" s="377"/>
      <c r="J2903" s="377"/>
      <c r="K2903" s="377"/>
      <c r="L2903" s="377">
        <f>IPMT('Assumptions (T&amp;D)'!$B$97,Model!W$1,'Assumptions (T&amp;D)'!$B$100,Model!$L$2839)</f>
        <v>-0.4713252177085715</v>
      </c>
      <c r="M2903" s="377">
        <f>IPMT('Assumptions (T&amp;D)'!$B$97,Model!X$1,'Assumptions (T&amp;D)'!$B$100,Model!$L$2839)</f>
        <v>-0.44906870625192269</v>
      </c>
      <c r="N2903" s="377">
        <f>IPMT('Assumptions (T&amp;D)'!$B$97,Model!Y$1,'Assumptions (T&amp;D)'!$B$100,Model!$L$2839)</f>
        <v>-0.425755010501083</v>
      </c>
      <c r="O2903" s="377">
        <f>IPMT('Assumptions (T&amp;D)'!$B$97,Model!Z$1,'Assumptions (T&amp;D)'!$B$100,Model!$L$2839)</f>
        <v>-0.40133391420207865</v>
      </c>
      <c r="P2903" s="377">
        <f>IPMT('Assumptions (T&amp;D)'!$B$97,Model!AA$1,'Assumptions (T&amp;D)'!$B$100,Model!$L$2839)</f>
        <v>-0.37575281582887149</v>
      </c>
      <c r="Q2903" s="377">
        <f>IPMT('Assumptions (T&amp;D)'!$B$97,Model!AB$1,'Assumptions (T&amp;D)'!$B$100,Model!$L$2839)</f>
        <v>-0.34895661528293703</v>
      </c>
      <c r="R2903" s="377">
        <f>IPMT('Assumptions (T&amp;D)'!$B$97,Model!AC$1,'Assumptions (T&amp;D)'!$B$100,Model!$L$2839)</f>
        <v>-0.32088759521107058</v>
      </c>
      <c r="S2903" s="377">
        <f>IPMT('Assumptions (T&amp;D)'!$B$97,Model!AD$1,'Assumptions (T&amp;D)'!$B$100,Model!$L$2839)</f>
        <v>-0.29148529668579054</v>
      </c>
      <c r="T2903" s="377">
        <f>IPMT('Assumptions (T&amp;D)'!$B$97,Model!AE$1,'Assumptions (T&amp;D)'!$B$100,Model!$L$2839)</f>
        <v>-0.26068638898055979</v>
      </c>
      <c r="U2903" s="377">
        <f>IPMT('Assumptions (T&amp;D)'!$B$97,Model!AF$1,'Assumptions (T&amp;D)'!$B$100,Model!$L$2839)</f>
        <v>-0.22842453315933048</v>
      </c>
      <c r="V2903" s="377">
        <f>IPMT('Assumptions (T&amp;D)'!$B$97,Model!AG$1,'Assumptions (T&amp;D)'!$B$100,Model!$L$2839)</f>
        <v>-0.19463023918659275</v>
      </c>
      <c r="W2903" s="377">
        <f>IPMT('Assumptions (T&amp;D)'!$B$97,Model!AH$1,'Assumptions (T&amp;D)'!$B$100,Model!$L$2839)</f>
        <v>-0.15923071625015003</v>
      </c>
      <c r="X2903" s="377">
        <f>IPMT('Assumptions (T&amp;D)'!$B$97,Model!AI$1,'Assumptions (T&amp;D)'!$B$100,Model!$L$2839)</f>
        <v>-0.12214971597422625</v>
      </c>
      <c r="Y2903" s="377">
        <f>IPMT('Assumptions (T&amp;D)'!$B$97,Model!AJ$1,'Assumptions (T&amp;D)'!$B$100,Model!$L$2839)</f>
        <v>-8.3307368185196087E-2</v>
      </c>
      <c r="Z2903" s="377">
        <f>IPMT('Assumptions (T&amp;D)'!$B$97,Model!AK$1,'Assumptions (T&amp;D)'!$B$100,Model!$L$2839)</f>
        <v>-4.2620008876187013E-2</v>
      </c>
      <c r="AA2903" s="377"/>
      <c r="AB2903" s="377"/>
      <c r="AC2903" s="377"/>
      <c r="AD2903" s="377"/>
      <c r="AE2903" s="377"/>
      <c r="AF2903" s="377"/>
      <c r="AG2903" s="377"/>
      <c r="AH2903" s="377"/>
      <c r="AI2903" s="377"/>
      <c r="AJ2903" s="377"/>
    </row>
    <row r="2904" spans="1:45" ht="15.75" hidden="1" customHeight="1" outlineLevel="1">
      <c r="A2904" s="460"/>
      <c r="B2904" s="99"/>
      <c r="C2904" s="377"/>
      <c r="D2904" s="377"/>
      <c r="E2904" s="377"/>
      <c r="F2904" s="377"/>
      <c r="G2904" s="377"/>
      <c r="H2904" s="377"/>
      <c r="I2904" s="377"/>
      <c r="J2904" s="377"/>
      <c r="K2904" s="377"/>
      <c r="L2904" s="377"/>
      <c r="M2904" s="377">
        <f>IPMT('Assumptions (T&amp;D)'!$B$97,Model!W$1,'Assumptions (T&amp;D)'!$B$100,Model!$M$2839)</f>
        <v>-0.45962663667142867</v>
      </c>
      <c r="N2904" s="377">
        <f>IPMT('Assumptions (T&amp;D)'!$B$97,Model!X$1,'Assumptions (T&amp;D)'!$B$100,Model!$M$2839)</f>
        <v>-0.43792254548235127</v>
      </c>
      <c r="O2904" s="377">
        <f>IPMT('Assumptions (T&amp;D)'!$B$97,Model!Y$1,'Assumptions (T&amp;D)'!$B$100,Model!$M$2839)</f>
        <v>-0.4151875099617926</v>
      </c>
      <c r="P2904" s="377">
        <f>IPMT('Assumptions (T&amp;D)'!$B$97,Model!Z$1,'Assumptions (T&amp;D)'!$B$100,Model!$M$2839)</f>
        <v>-0.39137256025400763</v>
      </c>
      <c r="Q2904" s="377">
        <f>IPMT('Assumptions (T&amp;D)'!$B$97,Model!AA$1,'Assumptions (T&amp;D)'!$B$100,Model!$M$2839)</f>
        <v>-0.36642640043510272</v>
      </c>
      <c r="R2904" s="377">
        <f>IPMT('Assumptions (T&amp;D)'!$B$97,Model!AB$1,'Assumptions (T&amp;D)'!$B$100,Model!$M$2839)</f>
        <v>-0.34029529802479985</v>
      </c>
      <c r="S2904" s="377">
        <f>IPMT('Assumptions (T&amp;D)'!$B$97,Model!AC$1,'Assumptions (T&amp;D)'!$B$100,Model!$M$2839)</f>
        <v>-0.31292296825000759</v>
      </c>
      <c r="T2904" s="377">
        <f>IPMT('Assumptions (T&amp;D)'!$B$97,Model!AD$1,'Assumptions (T&amp;D)'!$B$100,Model!$M$2839)</f>
        <v>-0.28425045281091266</v>
      </c>
      <c r="U2904" s="377">
        <f>IPMT('Assumptions (T&amp;D)'!$B$97,Model!AE$1,'Assumptions (T&amp;D)'!$B$100,Model!$M$2839)</f>
        <v>-0.25421599288846086</v>
      </c>
      <c r="V2904" s="377">
        <f>IPMT('Assumptions (T&amp;D)'!$B$97,Model!AF$1,'Assumptions (T&amp;D)'!$B$100,Model!$M$2839)</f>
        <v>-0.22275489611969251</v>
      </c>
      <c r="W2904" s="377">
        <f>IPMT('Assumptions (T&amp;D)'!$B$97,Model!AG$1,'Assumptions (T&amp;D)'!$B$100,Model!$M$2839)</f>
        <v>-0.18979939725440764</v>
      </c>
      <c r="X2904" s="377">
        <f>IPMT('Assumptions (T&amp;D)'!$B$97,Model!AH$1,'Assumptions (T&amp;D)'!$B$100,Model!$M$2839)</f>
        <v>-0.15527851219302177</v>
      </c>
      <c r="Y2904" s="377">
        <f>IPMT('Assumptions (T&amp;D)'!$B$97,Model!AI$1,'Assumptions (T&amp;D)'!$B$100,Model!$M$2839)</f>
        <v>-0.11911788509122005</v>
      </c>
      <c r="Z2904" s="377">
        <f>IPMT('Assumptions (T&amp;D)'!$B$97,Model!AJ$1,'Assumptions (T&amp;D)'!$B$100,Model!$M$2839)</f>
        <v>-8.1239628202082761E-2</v>
      </c>
      <c r="AA2904" s="377">
        <f>IPMT('Assumptions (T&amp;D)'!$B$97,Model!AK$1,'Assumptions (T&amp;D)'!$B$100,Model!$M$2839)</f>
        <v>-4.1562154110711444E-2</v>
      </c>
      <c r="AB2904" s="377"/>
      <c r="AC2904" s="377"/>
      <c r="AD2904" s="377"/>
      <c r="AE2904" s="377"/>
      <c r="AF2904" s="377"/>
      <c r="AG2904" s="377"/>
      <c r="AH2904" s="377"/>
      <c r="AI2904" s="377"/>
      <c r="AJ2904" s="377"/>
      <c r="AK2904" s="377"/>
    </row>
    <row r="2905" spans="1:45" ht="15.75" hidden="1" customHeight="1" outlineLevel="1">
      <c r="A2905" s="460"/>
      <c r="B2905" s="99"/>
      <c r="C2905" s="377"/>
      <c r="D2905" s="377"/>
      <c r="E2905" s="377"/>
      <c r="F2905" s="377"/>
      <c r="G2905" s="377"/>
      <c r="H2905" s="377"/>
      <c r="I2905" s="377"/>
      <c r="J2905" s="377"/>
      <c r="K2905" s="377"/>
      <c r="L2905" s="377"/>
      <c r="M2905" s="377"/>
      <c r="N2905" s="377">
        <f>IPMT('Assumptions (T&amp;D)'!$B$97,Model!W$1,'Assumptions (T&amp;D)'!$B$100,Model!$N$2839)</f>
        <v>-0.47191082338571433</v>
      </c>
      <c r="O2905" s="377">
        <f>IPMT('Assumptions (T&amp;D)'!$B$97,Model!X$1,'Assumptions (T&amp;D)'!$B$100,Model!$N$2839)</f>
        <v>-0.44962665896467335</v>
      </c>
      <c r="P2905" s="377">
        <f>IPMT('Assumptions (T&amp;D)'!$B$97,Model!Y$1,'Assumptions (T&amp;D)'!$B$100,Model!$N$2839)</f>
        <v>-0.42628399673363299</v>
      </c>
      <c r="Q2905" s="377">
        <f>IPMT('Assumptions (T&amp;D)'!$B$97,Model!Z$1,'Assumptions (T&amp;D)'!$B$100,Model!$N$2839)</f>
        <v>-0.40183255804661833</v>
      </c>
      <c r="R2905" s="377">
        <f>IPMT('Assumptions (T&amp;D)'!$B$97,Model!AA$1,'Assumptions (T&amp;D)'!$B$100,Model!$N$2839)</f>
        <v>-0.37621967602197037</v>
      </c>
      <c r="S2905" s="377">
        <f>IPMT('Assumptions (T&amp;D)'!$B$97,Model!AB$1,'Assumptions (T&amp;D)'!$B$100,Model!$N$2839)</f>
        <v>-0.34939018210115164</v>
      </c>
      <c r="T2905" s="377">
        <f>IPMT('Assumptions (T&amp;D)'!$B$97,Model!AC$1,'Assumptions (T&amp;D)'!$B$100,Model!$N$2839)</f>
        <v>-0.32128628721909402</v>
      </c>
      <c r="U2905" s="377">
        <f>IPMT('Assumptions (T&amp;D)'!$B$97,Model!AD$1,'Assumptions (T&amp;D)'!$B$100,Model!$N$2839)</f>
        <v>-0.29184745733013867</v>
      </c>
      <c r="V2905" s="377">
        <f>IPMT('Assumptions (T&amp;D)'!$B$97,Model!AE$1,'Assumptions (T&amp;D)'!$B$100,Model!$N$2839)</f>
        <v>-0.26101028302145801</v>
      </c>
      <c r="W2905" s="377">
        <f>IPMT('Assumptions (T&amp;D)'!$B$97,Model!AF$1,'Assumptions (T&amp;D)'!$B$100,Model!$N$2839)</f>
        <v>-0.22870834293311496</v>
      </c>
      <c r="X2905" s="377">
        <f>IPMT('Assumptions (T&amp;D)'!$B$97,Model!AG$1,'Assumptions (T&amp;D)'!$B$100,Model!$N$2839)</f>
        <v>-0.19487206069057561</v>
      </c>
      <c r="Y2905" s="377">
        <f>IPMT('Assumptions (T&amp;D)'!$B$97,Model!AH$1,'Assumptions (T&amp;D)'!$B$100,Model!$N$2839)</f>
        <v>-0.15942855504151565</v>
      </c>
      <c r="Z2905" s="377">
        <f>IPMT('Assumptions (T&amp;D)'!$B$97,Model!AI$1,'Assumptions (T&amp;D)'!$B$100,Model!$N$2839)</f>
        <v>-0.12230148287412533</v>
      </c>
      <c r="AA2905" s="377">
        <f>IPMT('Assumptions (T&amp;D)'!$B$97,Model!AJ$1,'Assumptions (T&amp;D)'!$B$100,Model!$N$2839)</f>
        <v>-8.3410874778783964E-2</v>
      </c>
      <c r="AB2905" s="377">
        <f>IPMT('Assumptions (T&amp;D)'!$B$97,Model!AK$1,'Assumptions (T&amp;D)'!$B$100,Model!$N$2839)</f>
        <v>-4.2672962798913895E-2</v>
      </c>
      <c r="AC2905" s="377"/>
      <c r="AD2905" s="377"/>
      <c r="AE2905" s="377"/>
      <c r="AF2905" s="377"/>
      <c r="AG2905" s="377"/>
      <c r="AH2905" s="377"/>
      <c r="AI2905" s="377"/>
      <c r="AJ2905" s="377"/>
      <c r="AK2905" s="377"/>
      <c r="AL2905" s="377"/>
    </row>
    <row r="2906" spans="1:45" ht="15.75" hidden="1" customHeight="1" outlineLevel="1">
      <c r="A2906" s="460"/>
      <c r="B2906" s="99"/>
      <c r="C2906" s="377"/>
      <c r="D2906" s="377"/>
      <c r="E2906" s="377"/>
      <c r="F2906" s="377"/>
      <c r="G2906" s="377"/>
      <c r="H2906" s="377"/>
      <c r="I2906" s="377"/>
      <c r="J2906" s="377"/>
      <c r="K2906" s="377"/>
      <c r="L2906" s="377"/>
      <c r="M2906" s="377"/>
      <c r="N2906" s="377"/>
      <c r="O2906" s="377">
        <f>IPMT('Assumptions (T&amp;D)'!$B$97,Model!W$1,'Assumptions (T&amp;D)'!$B$100,Model!$O$2839)</f>
        <v>-0.53629419266000011</v>
      </c>
      <c r="P2906" s="377">
        <f>IPMT('Assumptions (T&amp;D)'!$B$97,Model!X$1,'Assumptions (T&amp;D)'!$B$100,Model!$O$2839)</f>
        <v>-0.51096977250463349</v>
      </c>
      <c r="Q2906" s="377">
        <f>IPMT('Assumptions (T&amp;D)'!$B$97,Model!Y$1,'Assumptions (T&amp;D)'!$B$100,Model!$O$2839)</f>
        <v>-0.48444244239188688</v>
      </c>
      <c r="R2906" s="377">
        <f>IPMT('Assumptions (T&amp;D)'!$B$97,Model!Z$1,'Assumptions (T&amp;D)'!$B$100,Model!$O$2839)</f>
        <v>-0.45665506409878504</v>
      </c>
      <c r="S2906" s="377">
        <f>IPMT('Assumptions (T&amp;D)'!$B$97,Model!AA$1,'Assumptions (T&amp;D)'!$B$100,Model!$O$2839)</f>
        <v>-0.42754778533676063</v>
      </c>
      <c r="T2906" s="377">
        <f>IPMT('Assumptions (T&amp;D)'!$B$97,Model!AB$1,'Assumptions (T&amp;D)'!$B$100,Model!$O$2839)</f>
        <v>-0.39705791083354031</v>
      </c>
      <c r="U2906" s="377">
        <f>IPMT('Assumptions (T&amp;D)'!$B$97,Model!AC$1,'Assumptions (T&amp;D)'!$B$100,Model!$O$2839)</f>
        <v>-0.36511976729141687</v>
      </c>
      <c r="V2906" s="377">
        <f>IPMT('Assumptions (T&amp;D)'!$B$97,Model!AD$1,'Assumptions (T&amp;D)'!$B$100,Model!$O$2839)</f>
        <v>-0.3316645619310426</v>
      </c>
      <c r="W2906" s="377">
        <f>IPMT('Assumptions (T&amp;D)'!$B$97,Model!AE$1,'Assumptions (T&amp;D)'!$B$100,Model!$O$2839)</f>
        <v>-0.29662023431605061</v>
      </c>
      <c r="X2906" s="377">
        <f>IPMT('Assumptions (T&amp;D)'!$B$97,Model!AF$1,'Assumptions (T&amp;D)'!$B$100,Model!$O$2839)</f>
        <v>-0.25991130113934646</v>
      </c>
      <c r="Y2906" s="377">
        <f>IPMT('Assumptions (T&amp;D)'!$B$97,Model!AG$1,'Assumptions (T&amp;D)'!$B$100,Model!$O$2839)</f>
        <v>-0.2214586936367488</v>
      </c>
      <c r="Z2906" s="377">
        <f>IPMT('Assumptions (T&amp;D)'!$B$97,Model!AH$1,'Assumptions (T&amp;D)'!$B$100,Model!$O$2839)</f>
        <v>-0.18117958727777783</v>
      </c>
      <c r="AA2906" s="377">
        <f>IPMT('Assumptions (T&amp;D)'!$B$97,Model!AI$1,'Assumptions (T&amp;D)'!$B$100,Model!$O$2839)</f>
        <v>-0.13898722336675567</v>
      </c>
      <c r="AB2906" s="377">
        <f>IPMT('Assumptions (T&amp;D)'!$B$97,Model!AJ$1,'Assumptions (T&amp;D)'!$B$100,Model!$O$2839)</f>
        <v>-9.4790722169959998E-2</v>
      </c>
      <c r="AC2906" s="377">
        <f>IPMT('Assumptions (T&amp;D)'!$B$97,Model!AK$1,'Assumptions (T&amp;D)'!$B$100,Model!$O$2839)</f>
        <v>-4.849488716631653E-2</v>
      </c>
      <c r="AD2906" s="377"/>
      <c r="AE2906" s="377"/>
      <c r="AF2906" s="377"/>
      <c r="AG2906" s="377"/>
      <c r="AH2906" s="377"/>
      <c r="AI2906" s="377"/>
      <c r="AJ2906" s="377"/>
      <c r="AK2906" s="377"/>
      <c r="AL2906" s="377"/>
      <c r="AM2906" s="377"/>
    </row>
    <row r="2907" spans="1:45" ht="15.75" hidden="1" customHeight="1" outlineLevel="1">
      <c r="A2907" s="460"/>
      <c r="B2907" s="99"/>
      <c r="C2907" s="377"/>
      <c r="D2907" s="377"/>
      <c r="E2907" s="377"/>
      <c r="F2907" s="377"/>
      <c r="G2907" s="377"/>
      <c r="H2907" s="377"/>
      <c r="I2907" s="377"/>
      <c r="J2907" s="377"/>
      <c r="K2907" s="377"/>
      <c r="L2907" s="377"/>
      <c r="M2907" s="377"/>
      <c r="N2907" s="377"/>
      <c r="O2907" s="377"/>
      <c r="P2907" s="377">
        <f>IPMT('Assumptions (T&amp;D)'!$B$97,Model!W$1,'Assumptions (T&amp;D)'!$B$100,Model!$P$2839)</f>
        <v>-0.50613904845571434</v>
      </c>
      <c r="Q2907" s="377">
        <f>IPMT('Assumptions (T&amp;D)'!$B$97,Model!X$1,'Assumptions (T&amp;D)'!$B$100,Model!$P$2839)</f>
        <v>-0.48223858841799738</v>
      </c>
      <c r="R2907" s="377">
        <f>IPMT('Assumptions (T&amp;D)'!$B$97,Model!Y$1,'Assumptions (T&amp;D)'!$B$100,Model!$P$2839)</f>
        <v>-0.45720285652848891</v>
      </c>
      <c r="S2907" s="377">
        <f>IPMT('Assumptions (T&amp;D)'!$B$97,Model!Z$1,'Assumptions (T&amp;D)'!$B$100,Model!$P$2839)</f>
        <v>-0.43097792737422896</v>
      </c>
      <c r="T2907" s="377">
        <f>IPMT('Assumptions (T&amp;D)'!$B$97,Model!AA$1,'Assumptions (T&amp;D)'!$B$100,Model!$P$2839)</f>
        <v>-0.40350731408514151</v>
      </c>
      <c r="U2907" s="377">
        <f>IPMT('Assumptions (T&amp;D)'!$B$97,Model!AB$1,'Assumptions (T&amp;D)'!$B$100,Model!$P$2839)</f>
        <v>-0.37473184666482251</v>
      </c>
      <c r="V2907" s="377">
        <f>IPMT('Assumptions (T&amp;D)'!$B$97,Model!AC$1,'Assumptions (T&amp;D)'!$B$100,Model!$P$2839)</f>
        <v>-0.34458954454203827</v>
      </c>
      <c r="W2907" s="377">
        <f>IPMT('Assumptions (T&amp;D)'!$B$97,Model!AD$1,'Assumptions (T&amp;D)'!$B$100,Model!$P$2839)</f>
        <v>-0.31301548306842186</v>
      </c>
      <c r="X2907" s="377">
        <f>IPMT('Assumptions (T&amp;D)'!$B$97,Model!AE$1,'Assumptions (T&amp;D)'!$B$100,Model!$P$2839)</f>
        <v>-0.27994165367480867</v>
      </c>
      <c r="Y2907" s="377">
        <f>IPMT('Assumptions (T&amp;D)'!$B$97,Model!AF$1,'Assumptions (T&amp;D)'!$B$100,Model!$P$2839)</f>
        <v>-0.24529681738499881</v>
      </c>
      <c r="Z2907" s="377">
        <f>IPMT('Assumptions (T&amp;D)'!$B$97,Model!AG$1,'Assumptions (T&amp;D)'!$B$100,Model!$P$2839)</f>
        <v>-0.20900635137142298</v>
      </c>
      <c r="AA2907" s="377">
        <f>IPMT('Assumptions (T&amp;D)'!$B$97,Model!AH$1,'Assumptions (T&amp;D)'!$B$100,Model!$P$2839)</f>
        <v>-0.17099208822220235</v>
      </c>
      <c r="AB2907" s="377">
        <f>IPMT('Assumptions (T&amp;D)'!$B$97,Model!AI$1,'Assumptions (T&amp;D)'!$B$100,Model!$P$2839)</f>
        <v>-0.13117214757339365</v>
      </c>
      <c r="AC2907" s="377">
        <f>IPMT('Assumptions (T&amp;D)'!$B$97,Model!AJ$1,'Assumptions (T&amp;D)'!$B$100,Model!$P$2839)</f>
        <v>-8.9460759743766591E-2</v>
      </c>
      <c r="AD2907" s="377">
        <f>IPMT('Assumptions (T&amp;D)'!$B$97,Model!AK$1,'Assumptions (T&amp;D)'!$B$100,Model!$P$2839)</f>
        <v>-4.576808099223223E-2</v>
      </c>
      <c r="AE2907" s="377"/>
      <c r="AF2907" s="377"/>
      <c r="AG2907" s="377"/>
      <c r="AH2907" s="377"/>
      <c r="AI2907" s="377"/>
      <c r="AJ2907" s="377"/>
      <c r="AK2907" s="377"/>
      <c r="AL2907" s="377"/>
      <c r="AM2907" s="377"/>
      <c r="AN2907" s="377"/>
    </row>
    <row r="2908" spans="1:45" ht="15.75" hidden="1" customHeight="1" outlineLevel="1">
      <c r="A2908" s="460"/>
      <c r="B2908" s="99"/>
      <c r="C2908" s="377"/>
      <c r="D2908" s="377"/>
      <c r="E2908" s="377"/>
      <c r="F2908" s="377"/>
      <c r="G2908" s="377"/>
      <c r="H2908" s="377"/>
      <c r="I2908" s="377"/>
      <c r="J2908" s="377"/>
      <c r="K2908" s="377"/>
      <c r="L2908" s="377"/>
      <c r="M2908" s="377"/>
      <c r="N2908" s="377"/>
      <c r="O2908" s="377"/>
      <c r="P2908" s="377"/>
      <c r="Q2908" s="377">
        <f>IPMT('Assumptions (T&amp;D)'!$B$97,Model!W$1,'Assumptions (T&amp;D)'!$B$100,Model!$Q$2839)</f>
        <v>-0.56971110956000004</v>
      </c>
      <c r="R2908" s="377">
        <f>IPMT('Assumptions (T&amp;D)'!$B$97,Model!X$1,'Assumptions (T&amp;D)'!$B$100,Model!$Q$2839)</f>
        <v>-0.54280870468010167</v>
      </c>
      <c r="S2908" s="377">
        <f>IPMT('Assumptions (T&amp;D)'!$B$97,Model!Y$1,'Assumptions (T&amp;D)'!$B$100,Model!$Q$2839)</f>
        <v>-0.51462843556840809</v>
      </c>
      <c r="T2908" s="377">
        <f>IPMT('Assumptions (T&amp;D)'!$B$97,Model!Z$1,'Assumptions (T&amp;D)'!$B$100,Model!$Q$2839)</f>
        <v>-0.48510960367390915</v>
      </c>
      <c r="U2908" s="377">
        <f>IPMT('Assumptions (T&amp;D)'!$B$97,Model!AA$1,'Assumptions (T&amp;D)'!$B$100,Model!$Q$2839)</f>
        <v>-0.45418862726442155</v>
      </c>
      <c r="V2908" s="377">
        <f>IPMT('Assumptions (T&amp;D)'!$B$97,Model!AB$1,'Assumptions (T&amp;D)'!$B$100,Model!$Q$2839)</f>
        <v>-0.42179890447548329</v>
      </c>
      <c r="W2908" s="377">
        <f>IPMT('Assumptions (T&amp;D)'!$B$97,Model!AC$1,'Assumptions (T&amp;D)'!$B$100,Model!$Q$2839)</f>
        <v>-0.38787066985407043</v>
      </c>
      <c r="X2908" s="377">
        <f>IPMT('Assumptions (T&amp;D)'!$B$97,Model!AD$1,'Assumptions (T&amp;D)'!$B$100,Model!$Q$2839)</f>
        <v>-0.35233084408814042</v>
      </c>
      <c r="Y2908" s="377">
        <f>IPMT('Assumptions (T&amp;D)'!$B$97,Model!AE$1,'Assumptions (T&amp;D)'!$B$100,Model!$Q$2839)</f>
        <v>-0.31510287659832881</v>
      </c>
      <c r="Z2908" s="377">
        <f>IPMT('Assumptions (T&amp;D)'!$B$97,Model!AF$1,'Assumptions (T&amp;D)'!$B$100,Model!$Q$2839)</f>
        <v>-0.27610658065275112</v>
      </c>
      <c r="AA2908" s="377">
        <f>IPMT('Assumptions (T&amp;D)'!$B$97,Model!AG$1,'Assumptions (T&amp;D)'!$B$100,Model!$Q$2839)</f>
        <v>-0.23525796064975846</v>
      </c>
      <c r="AB2908" s="377">
        <f>IPMT('Assumptions (T&amp;D)'!$B$97,Model!AH$1,'Assumptions (T&amp;D)'!$B$100,Model!$Q$2839)</f>
        <v>-0.1924690311966237</v>
      </c>
      <c r="AC2908" s="377">
        <f>IPMT('Assumptions (T&amp;D)'!$B$97,Model!AI$1,'Assumptions (T&amp;D)'!$B$100,Model!$Q$2839)</f>
        <v>-0.14764762759446498</v>
      </c>
      <c r="AD2908" s="377">
        <f>IPMT('Assumptions (T&amp;D)'!$B$97,Model!AJ$1,'Assumptions (T&amp;D)'!$B$100,Model!$Q$2839)</f>
        <v>-0.10069720732120374</v>
      </c>
      <c r="AE2908" s="377">
        <f>IPMT('Assumptions (T&amp;D)'!$B$97,Model!AK$1,'Assumptions (T&amp;D)'!$B$100,Model!$Q$2839)</f>
        <v>-5.1516642084962587E-2</v>
      </c>
      <c r="AF2908" s="377"/>
      <c r="AG2908" s="377"/>
      <c r="AH2908" s="377"/>
      <c r="AI2908" s="377"/>
      <c r="AJ2908" s="377"/>
      <c r="AK2908" s="377"/>
      <c r="AL2908" s="377"/>
      <c r="AM2908" s="377"/>
      <c r="AN2908" s="377"/>
      <c r="AO2908" s="377"/>
    </row>
    <row r="2909" spans="1:45" ht="15.75" hidden="1" customHeight="1" outlineLevel="1">
      <c r="A2909" s="460"/>
      <c r="B2909" s="99"/>
      <c r="C2909" s="377"/>
      <c r="D2909" s="377"/>
      <c r="E2909" s="377"/>
      <c r="F2909" s="377"/>
      <c r="G2909" s="377"/>
      <c r="H2909" s="377"/>
      <c r="I2909" s="377"/>
      <c r="J2909" s="377"/>
      <c r="K2909" s="377"/>
      <c r="L2909" s="377"/>
      <c r="M2909" s="377"/>
      <c r="N2909" s="377"/>
      <c r="O2909" s="377"/>
      <c r="P2909" s="377"/>
      <c r="Q2909" s="377"/>
      <c r="R2909" s="377">
        <f>IPMT('Assumptions (T&amp;D)'!$B$97,Model!W$1,'Assumptions (T&amp;D)'!$B$100,Model!$R$2839)</f>
        <v>-0.62860839443285721</v>
      </c>
      <c r="S2909" s="377">
        <f>IPMT('Assumptions (T&amp;D)'!$B$97,Model!X$1,'Assumptions (T&amp;D)'!$B$100,Model!$R$2839)</f>
        <v>-0.59892479294754242</v>
      </c>
      <c r="T2909" s="377">
        <f>IPMT('Assumptions (T&amp;D)'!$B$97,Model!Y$1,'Assumptions (T&amp;D)'!$B$100,Model!$R$2839)</f>
        <v>-0.56783122039167511</v>
      </c>
      <c r="U2909" s="377">
        <f>IPMT('Assumptions (T&amp;D)'!$B$97,Model!Z$1,'Assumptions (T&amp;D)'!$B$100,Model!$R$2839)</f>
        <v>-0.53526070313940421</v>
      </c>
      <c r="V2909" s="377">
        <f>IPMT('Assumptions (T&amp;D)'!$B$97,Model!AA$1,'Assumptions (T&amp;D)'!$B$100,Model!$R$2839)</f>
        <v>-0.50114308631765037</v>
      </c>
      <c r="W2909" s="377">
        <f>IPMT('Assumptions (T&amp;D)'!$B$97,Model!AB$1,'Assumptions (T&amp;D)'!$B$100,Model!$R$2839)</f>
        <v>-0.46540488269686331</v>
      </c>
      <c r="X2909" s="377">
        <f>IPMT('Assumptions (T&amp;D)'!$B$97,Model!AC$1,'Assumptions (T&amp;D)'!$B$100,Model!$R$2839)</f>
        <v>-0.42796911440408886</v>
      </c>
      <c r="Y2909" s="377">
        <f>IPMT('Assumptions (T&amp;D)'!$B$97,Model!AD$1,'Assumptions (T&amp;D)'!$B$100,Model!$R$2839)</f>
        <v>-0.38875514711740755</v>
      </c>
      <c r="Z2909" s="377">
        <f>IPMT('Assumptions (T&amp;D)'!$B$97,Model!AE$1,'Assumptions (T&amp;D)'!$B$100,Model!$R$2839)</f>
        <v>-0.34767851638460895</v>
      </c>
      <c r="AA2909" s="377">
        <f>IPMT('Assumptions (T&amp;D)'!$B$97,Model!AF$1,'Assumptions (T&amp;D)'!$B$100,Model!$R$2839)</f>
        <v>-0.3046507456920024</v>
      </c>
      <c r="AB2909" s="377">
        <f>IPMT('Assumptions (T&amp;D)'!$B$97,Model!AG$1,'Assumptions (T&amp;D)'!$B$100,Model!$R$2839)</f>
        <v>-0.25957915589149699</v>
      </c>
      <c r="AC2909" s="377">
        <f>IPMT('Assumptions (T&amp;D)'!$B$97,Model!AH$1,'Assumptions (T&amp;D)'!$B$100,Model!$R$2839)</f>
        <v>-0.21236666557546766</v>
      </c>
      <c r="AD2909" s="377">
        <f>IPMT('Assumptions (T&amp;D)'!$B$97,Model!AI$1,'Assumptions (T&amp;D)'!$B$100,Model!$R$2839)</f>
        <v>-0.16291158196942682</v>
      </c>
      <c r="AE2909" s="377">
        <f>IPMT('Assumptions (T&amp;D)'!$B$97,Model!AJ$1,'Assumptions (T&amp;D)'!$B$100,Model!$R$2839)</f>
        <v>-0.11110738189209912</v>
      </c>
      <c r="AF2909" s="377">
        <f>IPMT('Assumptions (T&amp;D)'!$B$97,Model!AK$1,'Assumptions (T&amp;D)'!$B$100,Model!$R$2839)</f>
        <v>-5.684248231109832E-2</v>
      </c>
      <c r="AG2909" s="377"/>
      <c r="AH2909" s="377"/>
      <c r="AI2909" s="377"/>
      <c r="AJ2909" s="377"/>
      <c r="AK2909" s="377"/>
      <c r="AL2909" s="377"/>
      <c r="AM2909" s="377"/>
      <c r="AN2909" s="377"/>
      <c r="AO2909" s="377"/>
      <c r="AP2909" s="377"/>
    </row>
    <row r="2910" spans="1:45" ht="15.75" hidden="1" customHeight="1" outlineLevel="1">
      <c r="A2910" s="460"/>
      <c r="B2910" s="99"/>
      <c r="C2910" s="377"/>
      <c r="D2910" s="377"/>
      <c r="E2910" s="377"/>
      <c r="F2910" s="377"/>
      <c r="G2910" s="377"/>
      <c r="H2910" s="377"/>
      <c r="I2910" s="377"/>
      <c r="J2910" s="377"/>
      <c r="K2910" s="377"/>
      <c r="L2910" s="377"/>
      <c r="M2910" s="377"/>
      <c r="N2910" s="377"/>
      <c r="O2910" s="377"/>
      <c r="P2910" s="377"/>
      <c r="Q2910" s="377"/>
      <c r="R2910" s="377"/>
      <c r="S2910" s="377">
        <f>IPMT('Assumptions (T&amp;D)'!$B$97,Model!W$1,'Assumptions (T&amp;D)'!$B$100,Model!$S$2839)</f>
        <v>-0.66868157663714289</v>
      </c>
      <c r="T2910" s="377">
        <f>IPMT('Assumptions (T&amp;D)'!$B$97,Model!X$1,'Assumptions (T&amp;D)'!$B$100,Model!$S$2839)</f>
        <v>-0.63710567402868823</v>
      </c>
      <c r="U2910" s="377">
        <f>IPMT('Assumptions (T&amp;D)'!$B$97,Model!Y$1,'Assumptions (T&amp;D)'!$B$100,Model!$S$2839)</f>
        <v>-0.60402991604633183</v>
      </c>
      <c r="V2910" s="377">
        <f>IPMT('Assumptions (T&amp;D)'!$B$97,Model!Z$1,'Assumptions (T&amp;D)'!$B$100,Model!$S$2839)</f>
        <v>-0.56938305955981383</v>
      </c>
      <c r="W2910" s="377">
        <f>IPMT('Assumptions (T&amp;D)'!$B$97,Model!AA$1,'Assumptions (T&amp;D)'!$B$100,Model!$S$2839)</f>
        <v>-0.533090477390186</v>
      </c>
      <c r="X2910" s="377">
        <f>IPMT('Assumptions (T&amp;D)'!$B$97,Model!AB$1,'Assumptions (T&amp;D)'!$B$100,Model!$S$2839)</f>
        <v>-0.49507399756750109</v>
      </c>
      <c r="Y2910" s="377">
        <f>IPMT('Assumptions (T&amp;D)'!$B$97,Model!AC$1,'Assumptions (T&amp;D)'!$B$100,Model!$S$2839)</f>
        <v>-0.45525173495323845</v>
      </c>
      <c r="Z2910" s="377">
        <f>IPMT('Assumptions (T&amp;D)'!$B$97,Model!AD$1,'Assumptions (T&amp;D)'!$B$100,Model!$S$2839)</f>
        <v>-0.41353791486479841</v>
      </c>
      <c r="AA2910" s="377">
        <f>IPMT('Assumptions (T&amp;D)'!$B$97,Model!AE$1,'Assumptions (T&amp;D)'!$B$100,Model!$S$2839)</f>
        <v>-0.36984268832215744</v>
      </c>
      <c r="AB2910" s="377">
        <f>IPMT('Assumptions (T&amp;D)'!$B$97,Model!AF$1,'Assumptions (T&amp;D)'!$B$100,Model!$S$2839)</f>
        <v>-0.32407193851874105</v>
      </c>
      <c r="AC2910" s="377">
        <f>IPMT('Assumptions (T&amp;D)'!$B$97,Model!AG$1,'Assumptions (T&amp;D)'!$B$100,Model!$S$2839)</f>
        <v>-0.2761270780996623</v>
      </c>
      <c r="AD2910" s="377">
        <f>IPMT('Assumptions (T&amp;D)'!$B$97,Model!AH$1,'Assumptions (T&amp;D)'!$B$100,Model!$S$2839)</f>
        <v>-0.22590483681067741</v>
      </c>
      <c r="AE2910" s="377">
        <f>IPMT('Assumptions (T&amp;D)'!$B$97,Model!AI$1,'Assumptions (T&amp;D)'!$B$100,Model!$S$2839)</f>
        <v>-0.17329703906046567</v>
      </c>
      <c r="AF2910" s="377">
        <f>IPMT('Assumptions (T&amp;D)'!$B$97,Model!AJ$1,'Assumptions (T&amp;D)'!$B$100,Model!$S$2839)</f>
        <v>-0.11819037091711888</v>
      </c>
      <c r="AG2910" s="377">
        <f>IPMT('Assumptions (T&amp;D)'!$B$97,Model!AK$1,'Assumptions (T&amp;D)'!$B$100,Model!$S$2839)</f>
        <v>-6.0466136036963145E-2</v>
      </c>
      <c r="AH2910" s="377"/>
      <c r="AI2910" s="377"/>
      <c r="AJ2910" s="377"/>
      <c r="AK2910" s="377"/>
      <c r="AL2910" s="377"/>
      <c r="AM2910" s="377"/>
      <c r="AN2910" s="377"/>
      <c r="AO2910" s="377"/>
      <c r="AP2910" s="377"/>
      <c r="AQ2910" s="377"/>
    </row>
    <row r="2911" spans="1:45" ht="15.75" hidden="1" customHeight="1" outlineLevel="1">
      <c r="A2911" s="460"/>
      <c r="B2911" s="99"/>
      <c r="C2911" s="377"/>
      <c r="D2911" s="377"/>
      <c r="E2911" s="377"/>
      <c r="F2911" s="377"/>
      <c r="G2911" s="377"/>
      <c r="H2911" s="377"/>
      <c r="I2911" s="377"/>
      <c r="J2911" s="377"/>
      <c r="K2911" s="377"/>
      <c r="L2911" s="377"/>
      <c r="M2911" s="377"/>
      <c r="N2911" s="377"/>
      <c r="O2911" s="377"/>
      <c r="P2911" s="377"/>
      <c r="Q2911" s="377"/>
      <c r="R2911" s="377"/>
      <c r="S2911" s="42"/>
      <c r="T2911" s="377">
        <f>IPMT('Assumptions (T&amp;D)'!$B$97,Model!W$1,'Assumptions (T&amp;D)'!$B$100,Model!$T$2839)</f>
        <v>-0.70571428571428585</v>
      </c>
      <c r="U2911" s="377">
        <f>IPMT('Assumptions (T&amp;D)'!$B$97,Model!X$1,'Assumptions (T&amp;D)'!$B$100,Model!$T$2839)</f>
        <v>-0.67238965657290073</v>
      </c>
      <c r="V2911" s="377">
        <f>IPMT('Assumptions (T&amp;D)'!$B$97,Model!Y$1,'Assumptions (T&amp;D)'!$B$100,Model!$T$2839)</f>
        <v>-0.63748210754729984</v>
      </c>
      <c r="W2911" s="377">
        <f>IPMT('Assumptions (T&amp;D)'!$B$97,Model!Z$1,'Assumptions (T&amp;D)'!$B$100,Model!$T$2839)</f>
        <v>-0.6009164499429831</v>
      </c>
      <c r="X2911" s="377">
        <f>IPMT('Assumptions (T&amp;D)'!$B$97,Model!AA$1,'Assumptions (T&amp;D)'!$B$100,Model!$T$2839)</f>
        <v>-0.56261392360246121</v>
      </c>
      <c r="Y2911" s="377">
        <f>IPMT('Assumptions (T&amp;D)'!$B$97,Model!AB$1,'Assumptions (T&amp;D)'!$B$100,Model!$T$2839)</f>
        <v>-0.5224920272607646</v>
      </c>
      <c r="Z2911" s="377">
        <f>IPMT('Assumptions (T&amp;D)'!$B$97,Model!AC$1,'Assumptions (T&amp;D)'!$B$100,Model!$T$2839)</f>
        <v>-0.48046434084283723</v>
      </c>
      <c r="AA2911" s="377">
        <f>IPMT('Assumptions (T&amp;D)'!$B$97,Model!AD$1,'Assumptions (T&amp;D)'!$B$100,Model!$T$2839)</f>
        <v>-0.43644033932005849</v>
      </c>
      <c r="AB2911" s="377">
        <f>IPMT('Assumptions (T&amp;D)'!$B$97,Model!AE$1,'Assumptions (T&amp;D)'!$B$100,Model!$T$2839)</f>
        <v>-0.39032519772494773</v>
      </c>
      <c r="AC2911" s="377">
        <f>IPMT('Assumptions (T&amp;D)'!$B$97,Model!AF$1,'Assumptions (T&amp;D)'!$B$100,Model!$T$2839)</f>
        <v>-0.34201958690406919</v>
      </c>
      <c r="AD2911" s="377">
        <f>IPMT('Assumptions (T&amp;D)'!$B$97,Model!AG$1,'Assumptions (T&amp;D)'!$B$100,Model!$T$2839)</f>
        <v>-0.29141945956919885</v>
      </c>
      <c r="AE2911" s="377">
        <f>IPMT('Assumptions (T&amp;D)'!$B$97,Model!AH$1,'Assumptions (T&amp;D)'!$B$100,Model!$T$2839)</f>
        <v>-0.2384158261859223</v>
      </c>
      <c r="AF2911" s="377">
        <f>IPMT('Assumptions (T&amp;D)'!$B$97,Model!AI$1,'Assumptions (T&amp;D)'!$B$100,Model!$T$2839)</f>
        <v>-0.18289452021693997</v>
      </c>
      <c r="AG2911" s="377">
        <f>IPMT('Assumptions (T&amp;D)'!$B$97,Model!AJ$1,'Assumptions (T&amp;D)'!$B$100,Model!$T$2839)</f>
        <v>-0.12473595221443103</v>
      </c>
      <c r="AH2911" s="377">
        <f>IPMT('Assumptions (T&amp;D)'!$B$97,Model!AK$1,'Assumptions (T&amp;D)'!$B$100,Model!$T$2839)</f>
        <v>-6.3814852231802943E-2</v>
      </c>
      <c r="AI2911" s="377"/>
      <c r="AJ2911" s="377"/>
      <c r="AK2911" s="377"/>
      <c r="AL2911" s="377"/>
      <c r="AM2911" s="377"/>
      <c r="AN2911" s="377"/>
      <c r="AO2911" s="377"/>
      <c r="AP2911" s="377"/>
      <c r="AQ2911" s="377"/>
      <c r="AR2911" s="377"/>
    </row>
    <row r="2912" spans="1:45" ht="15.75" hidden="1" customHeight="1" outlineLevel="1">
      <c r="A2912" s="460"/>
      <c r="B2912" s="99"/>
      <c r="C2912" s="377"/>
      <c r="D2912" s="377"/>
      <c r="E2912" s="377"/>
      <c r="F2912" s="377"/>
      <c r="G2912" s="377"/>
      <c r="H2912" s="377"/>
      <c r="I2912" s="377"/>
      <c r="J2912" s="377"/>
      <c r="K2912" s="377"/>
      <c r="L2912" s="377"/>
      <c r="M2912" s="377"/>
      <c r="N2912" s="377"/>
      <c r="O2912" s="377"/>
      <c r="P2912" s="377"/>
      <c r="Q2912" s="377"/>
      <c r="R2912" s="377"/>
      <c r="S2912" s="42"/>
      <c r="T2912" s="42"/>
      <c r="U2912" s="377">
        <f>IPMT('Assumptions (T&amp;D)'!$B$97,Model!W$1,'Assumptions (T&amp;D)'!$B$100,Model!$U$2839)</f>
        <v>-0.65066105990668488</v>
      </c>
      <c r="V2912" s="377">
        <f>IPMT('Assumptions (T&amp;D)'!$B$97,Model!X$1,'Assumptions (T&amp;D)'!$B$100,Model!$U$2839)</f>
        <v>-0.61993610654091247</v>
      </c>
      <c r="W2912" s="377">
        <f>IPMT('Assumptions (T&amp;D)'!$B$97,Model!Y$1,'Assumptions (T&amp;D)'!$B$100,Model!$U$2839)</f>
        <v>-0.58775171789026581</v>
      </c>
      <c r="X2912" s="377">
        <f>IPMT('Assumptions (T&amp;D)'!$B$97,Model!Z$1,'Assumptions (T&amp;D)'!$B$100,Model!$U$2839)</f>
        <v>-0.55403857077871377</v>
      </c>
      <c r="Y2912" s="377">
        <f>IPMT('Assumptions (T&amp;D)'!$B$97,Model!AA$1,'Assumptions (T&amp;D)'!$B$100,Model!$U$2839)</f>
        <v>-0.51872404917936277</v>
      </c>
      <c r="Z2912" s="377">
        <f>IPMT('Assumptions (T&amp;D)'!$B$97,Model!AB$1,'Assumptions (T&amp;D)'!$B$100,Model!$U$2839)</f>
        <v>-0.48173208780404259</v>
      </c>
      <c r="AA2912" s="377">
        <f>IPMT('Assumptions (T&amp;D)'!$B$97,Model!AC$1,'Assumptions (T&amp;D)'!$B$100,Model!$U$2839)</f>
        <v>-0.44298300826339471</v>
      </c>
      <c r="AB2912" s="377">
        <f>IPMT('Assumptions (T&amp;D)'!$B$97,Model!AD$1,'Assumptions (T&amp;D)'!$B$100,Model!$U$2839)</f>
        <v>-0.40239334744456612</v>
      </c>
      <c r="AC2912" s="377">
        <f>IPMT('Assumptions (T&amp;D)'!$B$97,Model!AE$1,'Assumptions (T&amp;D)'!$B$100,Model!$U$2839)</f>
        <v>-0.35987567773684326</v>
      </c>
      <c r="AD2912" s="377">
        <f>IPMT('Assumptions (T&amp;D)'!$B$97,Model!AF$1,'Assumptions (T&amp;D)'!$B$100,Model!$U$2839)</f>
        <v>-0.31533841871800344</v>
      </c>
      <c r="AE2912" s="377">
        <f>IPMT('Assumptions (T&amp;D)'!$B$97,Model!AG$1,'Assumptions (T&amp;D)'!$B$100,Model!$U$2839)</f>
        <v>-0.26868563989576871</v>
      </c>
      <c r="AF2912" s="377">
        <f>IPMT('Assumptions (T&amp;D)'!$B$97,Model!AH$1,'Assumptions (T&amp;D)'!$B$100,Model!$U$2839)</f>
        <v>-0.2198168540794779</v>
      </c>
      <c r="AG2912" s="377">
        <f>IPMT('Assumptions (T&amp;D)'!$B$97,Model!AI$1,'Assumptions (T&amp;D)'!$B$100,Model!$U$2839)</f>
        <v>-0.16862680093691321</v>
      </c>
      <c r="AH2912" s="377">
        <f>IPMT('Assumptions (T&amp;D)'!$B$97,Model!AJ$1,'Assumptions (T&amp;D)'!$B$100,Model!$U$2839)</f>
        <v>-0.11500522027007672</v>
      </c>
      <c r="AI2912" s="377">
        <f>IPMT('Assumptions (T&amp;D)'!$B$97,Model!AK$1,'Assumptions (T&amp;D)'!$B$100,Model!$U$2839)</f>
        <v>-5.8836614521565501E-2</v>
      </c>
      <c r="AJ2912" s="377"/>
      <c r="AK2912" s="377"/>
      <c r="AL2912" s="377"/>
      <c r="AM2912" s="377"/>
      <c r="AN2912" s="377"/>
      <c r="AO2912" s="377"/>
      <c r="AP2912" s="377"/>
      <c r="AQ2912" s="377"/>
      <c r="AR2912" s="377"/>
      <c r="AS2912" s="377"/>
    </row>
    <row r="2913" spans="1:61" ht="15.75" hidden="1" customHeight="1" outlineLevel="1">
      <c r="A2913" s="460"/>
      <c r="B2913" s="99"/>
      <c r="C2913" s="377"/>
      <c r="D2913" s="377"/>
      <c r="E2913" s="377"/>
      <c r="F2913" s="377"/>
      <c r="G2913" s="377"/>
      <c r="H2913" s="377"/>
      <c r="I2913" s="377"/>
      <c r="J2913" s="377"/>
      <c r="K2913" s="377"/>
      <c r="L2913" s="377"/>
      <c r="M2913" s="377"/>
      <c r="N2913" s="377"/>
      <c r="O2913" s="377"/>
      <c r="P2913" s="377"/>
      <c r="Q2913" s="377"/>
      <c r="R2913" s="377"/>
      <c r="S2913" s="42"/>
      <c r="T2913" s="42"/>
      <c r="U2913" s="42"/>
      <c r="V2913" s="377">
        <f>IPMT('Assumptions (T&amp;D)'!$B$97,Model!W$1,'Assumptions (T&amp;D)'!$B$100,Model!$V$2839)</f>
        <v>-0.65066105990668488</v>
      </c>
      <c r="W2913" s="377">
        <f>IPMT('Assumptions (T&amp;D)'!$B$97,Model!X$1,'Assumptions (T&amp;D)'!$B$100,Model!$V$2839)</f>
        <v>-0.61993610654091247</v>
      </c>
      <c r="X2913" s="377">
        <f>IPMT('Assumptions (T&amp;D)'!$B$97,Model!Y$1,'Assumptions (T&amp;D)'!$B$100,Model!$V$2839)</f>
        <v>-0.58775171789026581</v>
      </c>
      <c r="Y2913" s="377">
        <f>IPMT('Assumptions (T&amp;D)'!$B$97,Model!Z$1,'Assumptions (T&amp;D)'!$B$100,Model!$V$2839)</f>
        <v>-0.55403857077871377</v>
      </c>
      <c r="Z2913" s="377">
        <f>IPMT('Assumptions (T&amp;D)'!$B$97,Model!AA$1,'Assumptions (T&amp;D)'!$B$100,Model!$V$2839)</f>
        <v>-0.51872404917936277</v>
      </c>
      <c r="AA2913" s="377">
        <f>IPMT('Assumptions (T&amp;D)'!$B$97,Model!AB$1,'Assumptions (T&amp;D)'!$B$100,Model!$V$2839)</f>
        <v>-0.48173208780404259</v>
      </c>
      <c r="AB2913" s="377">
        <f>IPMT('Assumptions (T&amp;D)'!$B$97,Model!AC$1,'Assumptions (T&amp;D)'!$B$100,Model!$V$2839)</f>
        <v>-0.44298300826339471</v>
      </c>
      <c r="AC2913" s="377">
        <f>IPMT('Assumptions (T&amp;D)'!$B$97,Model!AD$1,'Assumptions (T&amp;D)'!$B$100,Model!$V$2839)</f>
        <v>-0.40239334744456612</v>
      </c>
      <c r="AD2913" s="377">
        <f>IPMT('Assumptions (T&amp;D)'!$B$97,Model!AE$1,'Assumptions (T&amp;D)'!$B$100,Model!$V$2839)</f>
        <v>-0.35987567773684326</v>
      </c>
      <c r="AE2913" s="377">
        <f>IPMT('Assumptions (T&amp;D)'!$B$97,Model!AF$1,'Assumptions (T&amp;D)'!$B$100,Model!$V$2839)</f>
        <v>-0.31533841871800344</v>
      </c>
      <c r="AF2913" s="377">
        <f>IPMT('Assumptions (T&amp;D)'!$B$97,Model!AG$1,'Assumptions (T&amp;D)'!$B$100,Model!$V$2839)</f>
        <v>-0.26868563989576871</v>
      </c>
      <c r="AG2913" s="377">
        <f>IPMT('Assumptions (T&amp;D)'!$B$97,Model!AH$1,'Assumptions (T&amp;D)'!$B$100,Model!$V$2839)</f>
        <v>-0.2198168540794779</v>
      </c>
      <c r="AH2913" s="377">
        <f>IPMT('Assumptions (T&amp;D)'!$B$97,Model!AI$1,'Assumptions (T&amp;D)'!$B$100,Model!$V$2839)</f>
        <v>-0.16862680093691321</v>
      </c>
      <c r="AI2913" s="377">
        <f>IPMT('Assumptions (T&amp;D)'!$B$97,Model!AJ$1,'Assumptions (T&amp;D)'!$B$100,Model!$V$2839)</f>
        <v>-0.11500522027007672</v>
      </c>
      <c r="AJ2913" s="377">
        <f>IPMT('Assumptions (T&amp;D)'!$B$97,Model!AK$1,'Assumptions (T&amp;D)'!$B$100,Model!$V$2839)</f>
        <v>-5.8836614521565501E-2</v>
      </c>
      <c r="AK2913" s="377"/>
      <c r="AL2913" s="377"/>
      <c r="AM2913" s="377"/>
      <c r="AN2913" s="377"/>
      <c r="AO2913" s="377"/>
      <c r="AP2913" s="377"/>
      <c r="AQ2913" s="377"/>
      <c r="AR2913" s="377"/>
      <c r="AS2913" s="377"/>
      <c r="AT2913" s="377"/>
    </row>
    <row r="2914" spans="1:61" ht="15.75" hidden="1" customHeight="1" outlineLevel="1">
      <c r="A2914" s="460"/>
      <c r="B2914" s="99"/>
      <c r="C2914" s="377"/>
      <c r="D2914" s="377"/>
      <c r="E2914" s="377"/>
      <c r="F2914" s="377"/>
      <c r="G2914" s="377"/>
      <c r="H2914" s="377"/>
      <c r="I2914" s="377"/>
      <c r="J2914" s="377"/>
      <c r="K2914" s="377"/>
      <c r="L2914" s="377"/>
      <c r="M2914" s="377"/>
      <c r="N2914" s="377"/>
      <c r="O2914" s="377"/>
      <c r="P2914" s="377"/>
      <c r="Q2914" s="377"/>
      <c r="R2914" s="377"/>
      <c r="S2914" s="42"/>
      <c r="T2914" s="42"/>
      <c r="U2914" s="42"/>
      <c r="V2914" s="42"/>
      <c r="W2914" s="377">
        <f>IPMT('Assumptions (T&amp;D)'!$B$97,Model!W$1,'Assumptions (T&amp;D)'!$B$100,Model!$W$2839)</f>
        <v>-0.65066105990668488</v>
      </c>
      <c r="X2914" s="377">
        <f>IPMT('Assumptions (T&amp;D)'!$B$97,Model!X$1,'Assumptions (T&amp;D)'!$B$100,Model!$W$2839)</f>
        <v>-0.61993610654091247</v>
      </c>
      <c r="Y2914" s="377">
        <f>IPMT('Assumptions (T&amp;D)'!$B$97,Model!Y$1,'Assumptions (T&amp;D)'!$B$100,Model!$W$2839)</f>
        <v>-0.58775171789026581</v>
      </c>
      <c r="Z2914" s="377">
        <f>IPMT('Assumptions (T&amp;D)'!$B$97,Model!Z$1,'Assumptions (T&amp;D)'!$B$100,Model!$W$2839)</f>
        <v>-0.55403857077871377</v>
      </c>
      <c r="AA2914" s="377">
        <f>IPMT('Assumptions (T&amp;D)'!$B$97,Model!AA$1,'Assumptions (T&amp;D)'!$B$100,Model!$W$2839)</f>
        <v>-0.51872404917936277</v>
      </c>
      <c r="AB2914" s="377">
        <f>IPMT('Assumptions (T&amp;D)'!$B$97,Model!AB$1,'Assumptions (T&amp;D)'!$B$100,Model!$W$2839)</f>
        <v>-0.48173208780404259</v>
      </c>
      <c r="AC2914" s="377">
        <f>IPMT('Assumptions (T&amp;D)'!$B$97,Model!AC$1,'Assumptions (T&amp;D)'!$B$100,Model!$W$2839)</f>
        <v>-0.44298300826339471</v>
      </c>
      <c r="AD2914" s="377">
        <f>IPMT('Assumptions (T&amp;D)'!$B$97,Model!AD$1,'Assumptions (T&amp;D)'!$B$100,Model!$W$2839)</f>
        <v>-0.40239334744456612</v>
      </c>
      <c r="AE2914" s="377">
        <f>IPMT('Assumptions (T&amp;D)'!$B$97,Model!AE$1,'Assumptions (T&amp;D)'!$B$100,Model!$W$2839)</f>
        <v>-0.35987567773684326</v>
      </c>
      <c r="AF2914" s="377">
        <f>IPMT('Assumptions (T&amp;D)'!$B$97,Model!AF$1,'Assumptions (T&amp;D)'!$B$100,Model!$W$2839)</f>
        <v>-0.31533841871800344</v>
      </c>
      <c r="AG2914" s="377">
        <f>IPMT('Assumptions (T&amp;D)'!$B$97,Model!AG$1,'Assumptions (T&amp;D)'!$B$100,Model!$W$2839)</f>
        <v>-0.26868563989576871</v>
      </c>
      <c r="AH2914" s="377">
        <f>IPMT('Assumptions (T&amp;D)'!$B$97,Model!AH$1,'Assumptions (T&amp;D)'!$B$100,Model!$W$2839)</f>
        <v>-0.2198168540794779</v>
      </c>
      <c r="AI2914" s="377">
        <f>IPMT('Assumptions (T&amp;D)'!$B$97,Model!AI$1,'Assumptions (T&amp;D)'!$B$100,Model!$W$2839)</f>
        <v>-0.16862680093691321</v>
      </c>
      <c r="AJ2914" s="377">
        <f>IPMT('Assumptions (T&amp;D)'!$B$97,Model!AJ$1,'Assumptions (T&amp;D)'!$B$100,Model!$W$2839)</f>
        <v>-0.11500522027007672</v>
      </c>
      <c r="AK2914" s="377">
        <f>IPMT('Assumptions (T&amp;D)'!$B$97,Model!AK$1,'Assumptions (T&amp;D)'!$B$100,Model!$W$2839)</f>
        <v>-5.8836614521565501E-2</v>
      </c>
      <c r="AL2914" s="377"/>
      <c r="AM2914" s="377"/>
      <c r="AN2914" s="377"/>
      <c r="AO2914" s="377"/>
      <c r="AP2914" s="377"/>
      <c r="AQ2914" s="377"/>
      <c r="AR2914" s="377"/>
      <c r="AS2914" s="377"/>
      <c r="AT2914" s="377"/>
      <c r="AU2914" s="377"/>
    </row>
    <row r="2915" spans="1:61" ht="15.75" hidden="1" customHeight="1" outlineLevel="1">
      <c r="A2915" s="460"/>
      <c r="B2915" s="99"/>
      <c r="C2915" s="377"/>
      <c r="D2915" s="377"/>
      <c r="E2915" s="377"/>
      <c r="F2915" s="377"/>
      <c r="G2915" s="377"/>
      <c r="H2915" s="377"/>
      <c r="I2915" s="377"/>
      <c r="J2915" s="377"/>
      <c r="K2915" s="377"/>
      <c r="L2915" s="377"/>
      <c r="M2915" s="377"/>
      <c r="N2915" s="377"/>
      <c r="O2915" s="377"/>
      <c r="P2915" s="377"/>
      <c r="Q2915" s="377"/>
      <c r="R2915" s="377"/>
      <c r="S2915" s="42"/>
      <c r="T2915" s="42"/>
      <c r="U2915" s="42"/>
      <c r="V2915" s="42"/>
      <c r="W2915" s="86"/>
      <c r="X2915" s="377">
        <f>IPMT('Assumptions (T&amp;D)'!$B$97,Model!W$1,'Assumptions (T&amp;D)'!$B$100,Model!$X$2839)</f>
        <v>-0.65066105990668488</v>
      </c>
      <c r="Y2915" s="377">
        <f>IPMT('Assumptions (T&amp;D)'!$B$97,Model!X$1,'Assumptions (T&amp;D)'!$B$100,Model!$X$2839)</f>
        <v>-0.61993610654091247</v>
      </c>
      <c r="Z2915" s="377">
        <f>IPMT('Assumptions (T&amp;D)'!$B$97,Model!Y$1,'Assumptions (T&amp;D)'!$B$100,Model!$X$2839)</f>
        <v>-0.58775171789026581</v>
      </c>
      <c r="AA2915" s="377">
        <f>IPMT('Assumptions (T&amp;D)'!$B$97,Model!Z$1,'Assumptions (T&amp;D)'!$B$100,Model!$X$2839)</f>
        <v>-0.55403857077871377</v>
      </c>
      <c r="AB2915" s="377">
        <f>IPMT('Assumptions (T&amp;D)'!$B$97,Model!AA$1,'Assumptions (T&amp;D)'!$B$100,Model!$X$2839)</f>
        <v>-0.51872404917936277</v>
      </c>
      <c r="AC2915" s="377">
        <f>IPMT('Assumptions (T&amp;D)'!$B$97,Model!AB$1,'Assumptions (T&amp;D)'!$B$100,Model!$X$2839)</f>
        <v>-0.48173208780404259</v>
      </c>
      <c r="AD2915" s="377">
        <f>IPMT('Assumptions (T&amp;D)'!$B$97,Model!AC$1,'Assumptions (T&amp;D)'!$B$100,Model!$X$2839)</f>
        <v>-0.44298300826339471</v>
      </c>
      <c r="AE2915" s="377">
        <f>IPMT('Assumptions (T&amp;D)'!$B$97,Model!AD$1,'Assumptions (T&amp;D)'!$B$100,Model!$X$2839)</f>
        <v>-0.40239334744456612</v>
      </c>
      <c r="AF2915" s="377">
        <f>IPMT('Assumptions (T&amp;D)'!$B$97,Model!AE$1,'Assumptions (T&amp;D)'!$B$100,Model!$X$2839)</f>
        <v>-0.35987567773684326</v>
      </c>
      <c r="AG2915" s="377">
        <f>IPMT('Assumptions (T&amp;D)'!$B$97,Model!AF$1,'Assumptions (T&amp;D)'!$B$100,Model!$X$2839)</f>
        <v>-0.31533841871800344</v>
      </c>
      <c r="AH2915" s="377">
        <f>IPMT('Assumptions (T&amp;D)'!$B$97,Model!AG$1,'Assumptions (T&amp;D)'!$B$100,Model!$X$2839)</f>
        <v>-0.26868563989576871</v>
      </c>
      <c r="AI2915" s="377">
        <f>IPMT('Assumptions (T&amp;D)'!$B$97,Model!AH$1,'Assumptions (T&amp;D)'!$B$100,Model!$X$2839)</f>
        <v>-0.2198168540794779</v>
      </c>
      <c r="AJ2915" s="377">
        <f>IPMT('Assumptions (T&amp;D)'!$B$97,Model!AI$1,'Assumptions (T&amp;D)'!$B$100,Model!$X$2839)</f>
        <v>-0.16862680093691321</v>
      </c>
      <c r="AK2915" s="377">
        <f>IPMT('Assumptions (T&amp;D)'!$B$97,Model!AJ$1,'Assumptions (T&amp;D)'!$B$100,Model!$X$2839)</f>
        <v>-0.11500522027007672</v>
      </c>
      <c r="AL2915" s="377">
        <f>IPMT('Assumptions (T&amp;D)'!$B$97,Model!AK$1,'Assumptions (T&amp;D)'!$B$100,Model!$X$2839)</f>
        <v>-5.8836614521565501E-2</v>
      </c>
      <c r="AM2915" s="377"/>
      <c r="AN2915" s="377"/>
      <c r="AO2915" s="377"/>
      <c r="AP2915" s="377"/>
      <c r="AQ2915" s="377"/>
      <c r="AR2915" s="377"/>
      <c r="AS2915" s="377"/>
      <c r="AT2915" s="377"/>
      <c r="AU2915" s="377"/>
      <c r="AV2915" s="377"/>
    </row>
    <row r="2916" spans="1:61" ht="15.75" hidden="1" customHeight="1" outlineLevel="1">
      <c r="A2916" s="460"/>
      <c r="B2916" s="99"/>
      <c r="C2916" s="377"/>
      <c r="D2916" s="377"/>
      <c r="E2916" s="377"/>
      <c r="F2916" s="377"/>
      <c r="G2916" s="377"/>
      <c r="H2916" s="377"/>
      <c r="I2916" s="377"/>
      <c r="J2916" s="377"/>
      <c r="K2916" s="377"/>
      <c r="L2916" s="377"/>
      <c r="M2916" s="377"/>
      <c r="N2916" s="377"/>
      <c r="O2916" s="377"/>
      <c r="P2916" s="377"/>
      <c r="Q2916" s="377"/>
      <c r="R2916" s="377"/>
      <c r="S2916" s="42"/>
      <c r="T2916" s="42"/>
      <c r="U2916" s="42"/>
      <c r="V2916" s="42"/>
      <c r="W2916" s="86"/>
      <c r="Y2916" s="377">
        <f>IPMT('Assumptions (T&amp;D)'!$B$97,Model!W$1,'Assumptions (T&amp;D)'!$B$100,Model!$Y$2839)</f>
        <v>-0.65066105990668488</v>
      </c>
      <c r="Z2916" s="377">
        <f>IPMT('Assumptions (T&amp;D)'!$B$97,Model!X$1,'Assumptions (T&amp;D)'!$B$100,Model!$Y$2839)</f>
        <v>-0.61993610654091247</v>
      </c>
      <c r="AA2916" s="377">
        <f>IPMT('Assumptions (T&amp;D)'!$B$97,Model!Y$1,'Assumptions (T&amp;D)'!$B$100,Model!$Y$2839)</f>
        <v>-0.58775171789026581</v>
      </c>
      <c r="AB2916" s="377">
        <f>IPMT('Assumptions (T&amp;D)'!$B$97,Model!Z$1,'Assumptions (T&amp;D)'!$B$100,Model!$Y$2839)</f>
        <v>-0.55403857077871377</v>
      </c>
      <c r="AC2916" s="377">
        <f>IPMT('Assumptions (T&amp;D)'!$B$97,Model!AA$1,'Assumptions (T&amp;D)'!$B$100,Model!$Y$2839)</f>
        <v>-0.51872404917936277</v>
      </c>
      <c r="AD2916" s="377">
        <f>IPMT('Assumptions (T&amp;D)'!$B$97,Model!AB$1,'Assumptions (T&amp;D)'!$B$100,Model!$Y$2839)</f>
        <v>-0.48173208780404259</v>
      </c>
      <c r="AE2916" s="377">
        <f>IPMT('Assumptions (T&amp;D)'!$B$97,Model!AC$1,'Assumptions (T&amp;D)'!$B$100,Model!$Y$2839)</f>
        <v>-0.44298300826339471</v>
      </c>
      <c r="AF2916" s="377">
        <f>IPMT('Assumptions (T&amp;D)'!$B$97,Model!AD$1,'Assumptions (T&amp;D)'!$B$100,Model!$Y$2839)</f>
        <v>-0.40239334744456612</v>
      </c>
      <c r="AG2916" s="377">
        <f>IPMT('Assumptions (T&amp;D)'!$B$97,Model!AE$1,'Assumptions (T&amp;D)'!$B$100,Model!$Y$2839)</f>
        <v>-0.35987567773684326</v>
      </c>
      <c r="AH2916" s="377">
        <f>IPMT('Assumptions (T&amp;D)'!$B$97,Model!AF$1,'Assumptions (T&amp;D)'!$B$100,Model!$Y$2839)</f>
        <v>-0.31533841871800344</v>
      </c>
      <c r="AI2916" s="377">
        <f>IPMT('Assumptions (T&amp;D)'!$B$97,Model!AG$1,'Assumptions (T&amp;D)'!$B$100,Model!$Y$2839)</f>
        <v>-0.26868563989576871</v>
      </c>
      <c r="AJ2916" s="377">
        <f>IPMT('Assumptions (T&amp;D)'!$B$97,Model!AH$1,'Assumptions (T&amp;D)'!$B$100,Model!$Y$2839)</f>
        <v>-0.2198168540794779</v>
      </c>
      <c r="AK2916" s="377">
        <f>IPMT('Assumptions (T&amp;D)'!$B$97,Model!AI$1,'Assumptions (T&amp;D)'!$B$100,Model!$Y$2839)</f>
        <v>-0.16862680093691321</v>
      </c>
      <c r="AL2916" s="377">
        <f>IPMT('Assumptions (T&amp;D)'!$B$97,Model!AJ$1,'Assumptions (T&amp;D)'!$B$100,Model!$Y$2839)</f>
        <v>-0.11500522027007672</v>
      </c>
      <c r="AM2916" s="377">
        <f>IPMT('Assumptions (T&amp;D)'!$B$97,Model!AK$1,'Assumptions (T&amp;D)'!$B$100,Model!$Y$2839)</f>
        <v>-5.8836614521565501E-2</v>
      </c>
      <c r="AN2916" s="377"/>
      <c r="AO2916" s="377"/>
      <c r="AP2916" s="377"/>
      <c r="AQ2916" s="377"/>
      <c r="AR2916" s="377"/>
      <c r="AS2916" s="377"/>
      <c r="AT2916" s="377"/>
      <c r="AU2916" s="377"/>
      <c r="AV2916" s="377"/>
      <c r="AW2916" s="377"/>
    </row>
    <row r="2917" spans="1:61" ht="15.75" hidden="1" customHeight="1" outlineLevel="1">
      <c r="A2917" s="460"/>
      <c r="B2917" s="99"/>
      <c r="C2917" s="377"/>
      <c r="D2917" s="377"/>
      <c r="E2917" s="377"/>
      <c r="F2917" s="377"/>
      <c r="G2917" s="377"/>
      <c r="H2917" s="377"/>
      <c r="I2917" s="377"/>
      <c r="J2917" s="377"/>
      <c r="K2917" s="377"/>
      <c r="L2917" s="377"/>
      <c r="M2917" s="377"/>
      <c r="N2917" s="377"/>
      <c r="O2917" s="377"/>
      <c r="P2917" s="377"/>
      <c r="Q2917" s="377"/>
      <c r="R2917" s="377"/>
      <c r="S2917" s="42"/>
      <c r="T2917" s="42"/>
      <c r="U2917" s="42"/>
      <c r="V2917" s="42"/>
      <c r="W2917" s="86"/>
      <c r="Z2917" s="377">
        <f>IPMT('Assumptions (T&amp;D)'!$B$97,Model!W$1,'Assumptions (T&amp;D)'!$B$100,Model!$Z$2839)</f>
        <v>-0.65066105990668488</v>
      </c>
      <c r="AA2917" s="377">
        <f>IPMT('Assumptions (T&amp;D)'!$B$97,Model!X$1,'Assumptions (T&amp;D)'!$B$100,Model!$Z$2839)</f>
        <v>-0.61993610654091247</v>
      </c>
      <c r="AB2917" s="377">
        <f>IPMT('Assumptions (T&amp;D)'!$B$97,Model!Y$1,'Assumptions (T&amp;D)'!$B$100,Model!$Z$2839)</f>
        <v>-0.58775171789026581</v>
      </c>
      <c r="AC2917" s="377">
        <f>IPMT('Assumptions (T&amp;D)'!$B$97,Model!Z$1,'Assumptions (T&amp;D)'!$B$100,Model!$Z$2839)</f>
        <v>-0.55403857077871377</v>
      </c>
      <c r="AD2917" s="377">
        <f>IPMT('Assumptions (T&amp;D)'!$B$97,Model!AA$1,'Assumptions (T&amp;D)'!$B$100,Model!$Z$2839)</f>
        <v>-0.51872404917936277</v>
      </c>
      <c r="AE2917" s="377">
        <f>IPMT('Assumptions (T&amp;D)'!$B$97,Model!AB$1,'Assumptions (T&amp;D)'!$B$100,Model!$Z$2839)</f>
        <v>-0.48173208780404259</v>
      </c>
      <c r="AF2917" s="377">
        <f>IPMT('Assumptions (T&amp;D)'!$B$97,Model!AC$1,'Assumptions (T&amp;D)'!$B$100,Model!$Z$2839)</f>
        <v>-0.44298300826339471</v>
      </c>
      <c r="AG2917" s="377">
        <f>IPMT('Assumptions (T&amp;D)'!$B$97,Model!AD$1,'Assumptions (T&amp;D)'!$B$100,Model!$Z$2839)</f>
        <v>-0.40239334744456612</v>
      </c>
      <c r="AH2917" s="377">
        <f>IPMT('Assumptions (T&amp;D)'!$B$97,Model!AE$1,'Assumptions (T&amp;D)'!$B$100,Model!$Z$2839)</f>
        <v>-0.35987567773684326</v>
      </c>
      <c r="AI2917" s="377">
        <f>IPMT('Assumptions (T&amp;D)'!$B$97,Model!AF$1,'Assumptions (T&amp;D)'!$B$100,Model!$Z$2839)</f>
        <v>-0.31533841871800344</v>
      </c>
      <c r="AJ2917" s="377">
        <f>IPMT('Assumptions (T&amp;D)'!$B$97,Model!AG$1,'Assumptions (T&amp;D)'!$B$100,Model!$Z$2839)</f>
        <v>-0.26868563989576871</v>
      </c>
      <c r="AK2917" s="377">
        <f>IPMT('Assumptions (T&amp;D)'!$B$97,Model!AH$1,'Assumptions (T&amp;D)'!$B$100,Model!$Z$2839)</f>
        <v>-0.2198168540794779</v>
      </c>
      <c r="AL2917" s="377">
        <f>IPMT('Assumptions (T&amp;D)'!$B$97,Model!AI$1,'Assumptions (T&amp;D)'!$B$100,Model!$Z$2839)</f>
        <v>-0.16862680093691321</v>
      </c>
      <c r="AM2917" s="377">
        <f>IPMT('Assumptions (T&amp;D)'!$B$97,Model!AJ$1,'Assumptions (T&amp;D)'!$B$100,Model!$Z$2839)</f>
        <v>-0.11500522027007672</v>
      </c>
      <c r="AN2917" s="377">
        <f>IPMT('Assumptions (T&amp;D)'!$B$97,Model!AK$1,'Assumptions (T&amp;D)'!$B$100,Model!$Z$2839)</f>
        <v>-5.8836614521565501E-2</v>
      </c>
      <c r="AO2917" s="377"/>
      <c r="AP2917" s="377"/>
      <c r="AQ2917" s="377"/>
      <c r="AR2917" s="377"/>
      <c r="AS2917" s="377"/>
      <c r="AT2917" s="377"/>
      <c r="AU2917" s="377"/>
      <c r="AV2917" s="377"/>
      <c r="AW2917" s="377"/>
      <c r="AX2917" s="377"/>
    </row>
    <row r="2918" spans="1:61" ht="15.75" hidden="1" customHeight="1" outlineLevel="1">
      <c r="A2918" s="460"/>
      <c r="B2918" s="99"/>
      <c r="C2918" s="377"/>
      <c r="D2918" s="377"/>
      <c r="E2918" s="377"/>
      <c r="F2918" s="377"/>
      <c r="G2918" s="377"/>
      <c r="H2918" s="377"/>
      <c r="I2918" s="377"/>
      <c r="J2918" s="377"/>
      <c r="K2918" s="377"/>
      <c r="L2918" s="377"/>
      <c r="M2918" s="377"/>
      <c r="N2918" s="377"/>
      <c r="O2918" s="377"/>
      <c r="P2918" s="377"/>
      <c r="Q2918" s="377"/>
      <c r="R2918" s="377"/>
      <c r="S2918" s="42"/>
      <c r="T2918" s="42"/>
      <c r="U2918" s="42"/>
      <c r="V2918" s="42"/>
      <c r="W2918" s="86"/>
      <c r="AA2918" s="377">
        <f>IPMT('Assumptions (T&amp;D)'!$B$97,Model!W$1,'Assumptions (T&amp;D)'!$B$100,Model!$AA$2839)</f>
        <v>-0.65066105990668488</v>
      </c>
      <c r="AB2918" s="377">
        <f>IPMT('Assumptions (T&amp;D)'!$B$97,Model!X$1,'Assumptions (T&amp;D)'!$B$100,Model!$AA$2839)</f>
        <v>-0.61993610654091247</v>
      </c>
      <c r="AC2918" s="377">
        <f>IPMT('Assumptions (T&amp;D)'!$B$97,Model!Y$1,'Assumptions (T&amp;D)'!$B$100,Model!$AA$2839)</f>
        <v>-0.58775171789026581</v>
      </c>
      <c r="AD2918" s="377">
        <f>IPMT('Assumptions (T&amp;D)'!$B$97,Model!Z$1,'Assumptions (T&amp;D)'!$B$100,Model!$AA$2839)</f>
        <v>-0.55403857077871377</v>
      </c>
      <c r="AE2918" s="377">
        <f>IPMT('Assumptions (T&amp;D)'!$B$97,Model!AA$1,'Assumptions (T&amp;D)'!$B$100,Model!$AA$2839)</f>
        <v>-0.51872404917936277</v>
      </c>
      <c r="AF2918" s="377">
        <f>IPMT('Assumptions (T&amp;D)'!$B$97,Model!AB$1,'Assumptions (T&amp;D)'!$B$100,Model!$AA$2839)</f>
        <v>-0.48173208780404259</v>
      </c>
      <c r="AG2918" s="377">
        <f>IPMT('Assumptions (T&amp;D)'!$B$97,Model!AC$1,'Assumptions (T&amp;D)'!$B$100,Model!$AA$2839)</f>
        <v>-0.44298300826339471</v>
      </c>
      <c r="AH2918" s="377">
        <f>IPMT('Assumptions (T&amp;D)'!$B$97,Model!AD$1,'Assumptions (T&amp;D)'!$B$100,Model!$AA$2839)</f>
        <v>-0.40239334744456612</v>
      </c>
      <c r="AI2918" s="377">
        <f>IPMT('Assumptions (T&amp;D)'!$B$97,Model!AE$1,'Assumptions (T&amp;D)'!$B$100,Model!$AA$2839)</f>
        <v>-0.35987567773684326</v>
      </c>
      <c r="AJ2918" s="377">
        <f>IPMT('Assumptions (T&amp;D)'!$B$97,Model!AF$1,'Assumptions (T&amp;D)'!$B$100,Model!$AA$2839)</f>
        <v>-0.31533841871800344</v>
      </c>
      <c r="AK2918" s="377">
        <f>IPMT('Assumptions (T&amp;D)'!$B$97,Model!AG$1,'Assumptions (T&amp;D)'!$B$100,Model!$AA$2839)</f>
        <v>-0.26868563989576871</v>
      </c>
      <c r="AL2918" s="377">
        <f>IPMT('Assumptions (T&amp;D)'!$B$97,Model!AH$1,'Assumptions (T&amp;D)'!$B$100,Model!$AA$2839)</f>
        <v>-0.2198168540794779</v>
      </c>
      <c r="AM2918" s="377">
        <f>IPMT('Assumptions (T&amp;D)'!$B$97,Model!AI$1,'Assumptions (T&amp;D)'!$B$100,Model!$AA$2839)</f>
        <v>-0.16862680093691321</v>
      </c>
      <c r="AN2918" s="377">
        <f>IPMT('Assumptions (T&amp;D)'!$B$97,Model!AJ$1,'Assumptions (T&amp;D)'!$B$100,Model!$AA$2839)</f>
        <v>-0.11500522027007672</v>
      </c>
      <c r="AO2918" s="377">
        <f>IPMT('Assumptions (T&amp;D)'!$B$97,Model!AK$1,'Assumptions (T&amp;D)'!$B$100,Model!$AA$2839)</f>
        <v>-5.8836614521565501E-2</v>
      </c>
      <c r="AP2918" s="377"/>
      <c r="AQ2918" s="377"/>
      <c r="AR2918" s="377"/>
      <c r="AS2918" s="377"/>
      <c r="AT2918" s="377"/>
      <c r="AU2918" s="377"/>
      <c r="AV2918" s="377"/>
      <c r="AW2918" s="377"/>
      <c r="AX2918" s="377"/>
      <c r="AY2918" s="377"/>
    </row>
    <row r="2919" spans="1:61" ht="15.75" hidden="1" customHeight="1" outlineLevel="1">
      <c r="A2919" s="460"/>
      <c r="B2919" s="99"/>
      <c r="C2919" s="377"/>
      <c r="D2919" s="377"/>
      <c r="E2919" s="377"/>
      <c r="F2919" s="377"/>
      <c r="G2919" s="377"/>
      <c r="H2919" s="377"/>
      <c r="I2919" s="377"/>
      <c r="J2919" s="377"/>
      <c r="K2919" s="377"/>
      <c r="L2919" s="377"/>
      <c r="M2919" s="377"/>
      <c r="N2919" s="377"/>
      <c r="O2919" s="377"/>
      <c r="P2919" s="377"/>
      <c r="Q2919" s="377"/>
      <c r="R2919" s="377"/>
      <c r="S2919" s="42"/>
      <c r="T2919" s="42"/>
      <c r="U2919" s="42"/>
      <c r="V2919" s="42"/>
      <c r="W2919" s="86"/>
      <c r="AB2919" s="377">
        <f>IPMT('Assumptions (T&amp;D)'!$B$97,Model!W$1,'Assumptions (T&amp;D)'!$B$100,Model!$AB$2839)</f>
        <v>-0.65066105990668488</v>
      </c>
      <c r="AC2919" s="377">
        <f>IPMT('Assumptions (T&amp;D)'!$B$97,Model!X$1,'Assumptions (T&amp;D)'!$B$100,Model!$AB$2839)</f>
        <v>-0.61993610654091247</v>
      </c>
      <c r="AD2919" s="377">
        <f>IPMT('Assumptions (T&amp;D)'!$B$97,Model!Y$1,'Assumptions (T&amp;D)'!$B$100,Model!$AB$2839)</f>
        <v>-0.58775171789026581</v>
      </c>
      <c r="AE2919" s="377">
        <f>IPMT('Assumptions (T&amp;D)'!$B$97,Model!Z$1,'Assumptions (T&amp;D)'!$B$100,Model!$AB$2839)</f>
        <v>-0.55403857077871377</v>
      </c>
      <c r="AF2919" s="377">
        <f>IPMT('Assumptions (T&amp;D)'!$B$97,Model!AA$1,'Assumptions (T&amp;D)'!$B$100,Model!$AB$2839)</f>
        <v>-0.51872404917936277</v>
      </c>
      <c r="AG2919" s="377">
        <f>IPMT('Assumptions (T&amp;D)'!$B$97,Model!AB$1,'Assumptions (T&amp;D)'!$B$100,Model!$AB$2839)</f>
        <v>-0.48173208780404259</v>
      </c>
      <c r="AH2919" s="377">
        <f>IPMT('Assumptions (T&amp;D)'!$B$97,Model!AC$1,'Assumptions (T&amp;D)'!$B$100,Model!$AB$2839)</f>
        <v>-0.44298300826339471</v>
      </c>
      <c r="AI2919" s="377">
        <f>IPMT('Assumptions (T&amp;D)'!$B$97,Model!AD$1,'Assumptions (T&amp;D)'!$B$100,Model!$AB$2839)</f>
        <v>-0.40239334744456612</v>
      </c>
      <c r="AJ2919" s="377">
        <f>IPMT('Assumptions (T&amp;D)'!$B$97,Model!AE$1,'Assumptions (T&amp;D)'!$B$100,Model!$AB$2839)</f>
        <v>-0.35987567773684326</v>
      </c>
      <c r="AK2919" s="377">
        <f>IPMT('Assumptions (T&amp;D)'!$B$97,Model!AF$1,'Assumptions (T&amp;D)'!$B$100,Model!$AB$2839)</f>
        <v>-0.31533841871800344</v>
      </c>
      <c r="AL2919" s="377">
        <f>IPMT('Assumptions (T&amp;D)'!$B$97,Model!AG$1,'Assumptions (T&amp;D)'!$B$100,Model!$AB$2839)</f>
        <v>-0.26868563989576871</v>
      </c>
      <c r="AM2919" s="377">
        <f>IPMT('Assumptions (T&amp;D)'!$B$97,Model!AH$1,'Assumptions (T&amp;D)'!$B$100,Model!$AB$2839)</f>
        <v>-0.2198168540794779</v>
      </c>
      <c r="AN2919" s="377">
        <f>IPMT('Assumptions (T&amp;D)'!$B$97,Model!AI$1,'Assumptions (T&amp;D)'!$B$100,Model!$AB$2839)</f>
        <v>-0.16862680093691321</v>
      </c>
      <c r="AO2919" s="377">
        <f>IPMT('Assumptions (T&amp;D)'!$B$97,Model!AJ$1,'Assumptions (T&amp;D)'!$B$100,Model!$AB$2839)</f>
        <v>-0.11500522027007672</v>
      </c>
      <c r="AP2919" s="377">
        <f>IPMT('Assumptions (T&amp;D)'!$B$97,Model!AK$1,'Assumptions (T&amp;D)'!$B$100,Model!$AB$2839)</f>
        <v>-5.8836614521565501E-2</v>
      </c>
      <c r="AQ2919" s="377"/>
      <c r="AR2919" s="377"/>
      <c r="AS2919" s="377"/>
      <c r="AT2919" s="377"/>
      <c r="AU2919" s="377"/>
      <c r="AV2919" s="377"/>
      <c r="AW2919" s="377"/>
      <c r="AX2919" s="377"/>
      <c r="AY2919" s="377"/>
      <c r="AZ2919" s="377"/>
    </row>
    <row r="2920" spans="1:61" ht="15.75" hidden="1" customHeight="1" outlineLevel="1">
      <c r="A2920" s="460"/>
      <c r="B2920" s="99"/>
      <c r="C2920" s="377"/>
      <c r="D2920" s="377"/>
      <c r="E2920" s="377"/>
      <c r="F2920" s="377"/>
      <c r="G2920" s="377"/>
      <c r="H2920" s="377"/>
      <c r="I2920" s="377"/>
      <c r="J2920" s="377"/>
      <c r="K2920" s="377"/>
      <c r="L2920" s="377"/>
      <c r="M2920" s="377"/>
      <c r="N2920" s="377"/>
      <c r="O2920" s="377"/>
      <c r="P2920" s="377"/>
      <c r="Q2920" s="377"/>
      <c r="R2920" s="377"/>
      <c r="S2920" s="42"/>
      <c r="T2920" s="42"/>
      <c r="U2920" s="42"/>
      <c r="V2920" s="42"/>
      <c r="W2920" s="86"/>
      <c r="AC2920" s="377">
        <f>IPMT('Assumptions (T&amp;D)'!$B$97,Model!W$1,'Assumptions (T&amp;D)'!$B$100,Model!$AC$2839)</f>
        <v>-0.65066105990668488</v>
      </c>
      <c r="AD2920" s="377">
        <f>IPMT('Assumptions (T&amp;D)'!$B$97,Model!X$1,'Assumptions (T&amp;D)'!$B$100,Model!$AC$2839)</f>
        <v>-0.61993610654091247</v>
      </c>
      <c r="AE2920" s="377">
        <f>IPMT('Assumptions (T&amp;D)'!$B$97,Model!Y$1,'Assumptions (T&amp;D)'!$B$100,Model!$AC$2839)</f>
        <v>-0.58775171789026581</v>
      </c>
      <c r="AF2920" s="377">
        <f>IPMT('Assumptions (T&amp;D)'!$B$97,Model!Z$1,'Assumptions (T&amp;D)'!$B$100,Model!$AC$2839)</f>
        <v>-0.55403857077871377</v>
      </c>
      <c r="AG2920" s="377">
        <f>IPMT('Assumptions (T&amp;D)'!$B$97,Model!AA$1,'Assumptions (T&amp;D)'!$B$100,Model!$AC$2839)</f>
        <v>-0.51872404917936277</v>
      </c>
      <c r="AH2920" s="377">
        <f>IPMT('Assumptions (T&amp;D)'!$B$97,Model!AB$1,'Assumptions (T&amp;D)'!$B$100,Model!$AC$2839)</f>
        <v>-0.48173208780404259</v>
      </c>
      <c r="AI2920" s="377">
        <f>IPMT('Assumptions (T&amp;D)'!$B$97,Model!AC$1,'Assumptions (T&amp;D)'!$B$100,Model!$AC$2839)</f>
        <v>-0.44298300826339471</v>
      </c>
      <c r="AJ2920" s="377">
        <f>IPMT('Assumptions (T&amp;D)'!$B$97,Model!AD$1,'Assumptions (T&amp;D)'!$B$100,Model!$AC$2839)</f>
        <v>-0.40239334744456612</v>
      </c>
      <c r="AK2920" s="377">
        <f>IPMT('Assumptions (T&amp;D)'!$B$97,Model!AE$1,'Assumptions (T&amp;D)'!$B$100,Model!$AC$2839)</f>
        <v>-0.35987567773684326</v>
      </c>
      <c r="AL2920" s="377">
        <f>IPMT('Assumptions (T&amp;D)'!$B$97,Model!AF$1,'Assumptions (T&amp;D)'!$B$100,Model!$AC$2839)</f>
        <v>-0.31533841871800344</v>
      </c>
      <c r="AM2920" s="377">
        <f>IPMT('Assumptions (T&amp;D)'!$B$97,Model!AG$1,'Assumptions (T&amp;D)'!$B$100,Model!$AC$2839)</f>
        <v>-0.26868563989576871</v>
      </c>
      <c r="AN2920" s="377">
        <f>IPMT('Assumptions (T&amp;D)'!$B$97,Model!AH$1,'Assumptions (T&amp;D)'!$B$100,Model!$AC$2839)</f>
        <v>-0.2198168540794779</v>
      </c>
      <c r="AO2920" s="377">
        <f>IPMT('Assumptions (T&amp;D)'!$B$97,Model!AI$1,'Assumptions (T&amp;D)'!$B$100,Model!$AC$2839)</f>
        <v>-0.16862680093691321</v>
      </c>
      <c r="AP2920" s="377">
        <f>IPMT('Assumptions (T&amp;D)'!$B$97,Model!AJ$1,'Assumptions (T&amp;D)'!$B$100,Model!$AC$2839)</f>
        <v>-0.11500522027007672</v>
      </c>
      <c r="AQ2920" s="377">
        <f>IPMT('Assumptions (T&amp;D)'!$B$97,Model!AK$1,'Assumptions (T&amp;D)'!$B$100,Model!$AC$2839)</f>
        <v>-5.8836614521565501E-2</v>
      </c>
      <c r="AR2920" s="377"/>
      <c r="AS2920" s="377"/>
      <c r="AT2920" s="377"/>
      <c r="AU2920" s="377"/>
      <c r="AV2920" s="377"/>
      <c r="AW2920" s="377"/>
      <c r="AX2920" s="377"/>
      <c r="AY2920" s="377"/>
      <c r="AZ2920" s="377"/>
      <c r="BA2920" s="377"/>
    </row>
    <row r="2921" spans="1:61" ht="15.75" hidden="1" customHeight="1" outlineLevel="1">
      <c r="A2921" s="460"/>
      <c r="B2921" s="99"/>
      <c r="C2921" s="377"/>
      <c r="D2921" s="377"/>
      <c r="E2921" s="377"/>
      <c r="F2921" s="377"/>
      <c r="G2921" s="377"/>
      <c r="H2921" s="377"/>
      <c r="I2921" s="377"/>
      <c r="J2921" s="377"/>
      <c r="K2921" s="377"/>
      <c r="L2921" s="377"/>
      <c r="M2921" s="377"/>
      <c r="N2921" s="377"/>
      <c r="O2921" s="377"/>
      <c r="P2921" s="377"/>
      <c r="Q2921" s="377"/>
      <c r="R2921" s="377"/>
      <c r="S2921" s="42"/>
      <c r="T2921" s="42"/>
      <c r="U2921" s="42"/>
      <c r="V2921" s="42"/>
      <c r="W2921" s="86"/>
      <c r="AD2921" s="377">
        <f>IPMT('Assumptions (T&amp;D)'!$B$97,Model!W$1,'Assumptions (T&amp;D)'!$B$100,Model!$AD$2839)</f>
        <v>-0.65066105990668488</v>
      </c>
      <c r="AE2921" s="377">
        <f>IPMT('Assumptions (T&amp;D)'!$B$97,Model!X$1,'Assumptions (T&amp;D)'!$B$100,Model!$AD$2839)</f>
        <v>-0.61993610654091247</v>
      </c>
      <c r="AF2921" s="377">
        <f>IPMT('Assumptions (T&amp;D)'!$B$97,Model!Y$1,'Assumptions (T&amp;D)'!$B$100,Model!$AD$2839)</f>
        <v>-0.58775171789026581</v>
      </c>
      <c r="AG2921" s="377">
        <f>IPMT('Assumptions (T&amp;D)'!$B$97,Model!Z$1,'Assumptions (T&amp;D)'!$B$100,Model!$AD$2839)</f>
        <v>-0.55403857077871377</v>
      </c>
      <c r="AH2921" s="377">
        <f>IPMT('Assumptions (T&amp;D)'!$B$97,Model!AA$1,'Assumptions (T&amp;D)'!$B$100,Model!$AD$2839)</f>
        <v>-0.51872404917936277</v>
      </c>
      <c r="AI2921" s="377">
        <f>IPMT('Assumptions (T&amp;D)'!$B$97,Model!AB$1,'Assumptions (T&amp;D)'!$B$100,Model!$AD$2839)</f>
        <v>-0.48173208780404259</v>
      </c>
      <c r="AJ2921" s="377">
        <f>IPMT('Assumptions (T&amp;D)'!$B$97,Model!AC$1,'Assumptions (T&amp;D)'!$B$100,Model!$AD$2839)</f>
        <v>-0.44298300826339471</v>
      </c>
      <c r="AK2921" s="377">
        <f>IPMT('Assumptions (T&amp;D)'!$B$97,Model!AD$1,'Assumptions (T&amp;D)'!$B$100,Model!$AD$2839)</f>
        <v>-0.40239334744456612</v>
      </c>
      <c r="AL2921" s="377">
        <f>IPMT('Assumptions (T&amp;D)'!$B$97,Model!AE$1,'Assumptions (T&amp;D)'!$B$100,Model!$AD$2839)</f>
        <v>-0.35987567773684326</v>
      </c>
      <c r="AM2921" s="377">
        <f>IPMT('Assumptions (T&amp;D)'!$B$97,Model!AF$1,'Assumptions (T&amp;D)'!$B$100,Model!$AD$2839)</f>
        <v>-0.31533841871800344</v>
      </c>
      <c r="AN2921" s="377">
        <f>IPMT('Assumptions (T&amp;D)'!$B$97,Model!AG$1,'Assumptions (T&amp;D)'!$B$100,Model!$AD$2839)</f>
        <v>-0.26868563989576871</v>
      </c>
      <c r="AO2921" s="377">
        <f>IPMT('Assumptions (T&amp;D)'!$B$97,Model!AH$1,'Assumptions (T&amp;D)'!$B$100,Model!$AD$2839)</f>
        <v>-0.2198168540794779</v>
      </c>
      <c r="AP2921" s="377">
        <f>IPMT('Assumptions (T&amp;D)'!$B$97,Model!AI$1,'Assumptions (T&amp;D)'!$B$100,Model!$AD$2839)</f>
        <v>-0.16862680093691321</v>
      </c>
      <c r="AQ2921" s="377">
        <f>IPMT('Assumptions (T&amp;D)'!$B$97,Model!AJ$1,'Assumptions (T&amp;D)'!$B$100,Model!$AD$2839)</f>
        <v>-0.11500522027007672</v>
      </c>
      <c r="AR2921" s="377">
        <f>IPMT('Assumptions (T&amp;D)'!$B$97,Model!AK$1,'Assumptions (T&amp;D)'!$B$100,Model!$AD$2839)</f>
        <v>-5.8836614521565501E-2</v>
      </c>
      <c r="AS2921" s="377"/>
      <c r="AT2921" s="377"/>
      <c r="AU2921" s="377"/>
      <c r="AV2921" s="377"/>
      <c r="AW2921" s="377"/>
      <c r="AX2921" s="377"/>
      <c r="AY2921" s="377"/>
      <c r="AZ2921" s="377"/>
      <c r="BA2921" s="377"/>
      <c r="BB2921" s="377"/>
    </row>
    <row r="2922" spans="1:61" ht="15.75" hidden="1" customHeight="1" outlineLevel="1">
      <c r="A2922" s="460"/>
      <c r="B2922" s="99"/>
      <c r="C2922" s="377"/>
      <c r="D2922" s="377"/>
      <c r="E2922" s="377"/>
      <c r="F2922" s="377"/>
      <c r="G2922" s="377"/>
      <c r="H2922" s="377"/>
      <c r="I2922" s="377"/>
      <c r="J2922" s="377"/>
      <c r="K2922" s="377"/>
      <c r="L2922" s="377"/>
      <c r="M2922" s="377"/>
      <c r="N2922" s="377"/>
      <c r="O2922" s="377"/>
      <c r="P2922" s="377"/>
      <c r="Q2922" s="377"/>
      <c r="R2922" s="377"/>
      <c r="S2922" s="42"/>
      <c r="T2922" s="42"/>
      <c r="U2922" s="42"/>
      <c r="V2922" s="42"/>
      <c r="W2922" s="86"/>
      <c r="AE2922" s="377">
        <f>IPMT('Assumptions (T&amp;D)'!$B$97,Model!W$1,'Assumptions (T&amp;D)'!$B$100,Model!$AE$2839)</f>
        <v>-0.65066105990668488</v>
      </c>
      <c r="AF2922" s="377">
        <f>IPMT('Assumptions (T&amp;D)'!$B$97,Model!X$1,'Assumptions (T&amp;D)'!$B$100,Model!$AE$2839)</f>
        <v>-0.61993610654091247</v>
      </c>
      <c r="AG2922" s="377">
        <f>IPMT('Assumptions (T&amp;D)'!$B$97,Model!Y$1,'Assumptions (T&amp;D)'!$B$100,Model!$AE$2839)</f>
        <v>-0.58775171789026581</v>
      </c>
      <c r="AH2922" s="377">
        <f>IPMT('Assumptions (T&amp;D)'!$B$97,Model!Z$1,'Assumptions (T&amp;D)'!$B$100,Model!$AE$2839)</f>
        <v>-0.55403857077871377</v>
      </c>
      <c r="AI2922" s="377">
        <f>IPMT('Assumptions (T&amp;D)'!$B$97,Model!AA$1,'Assumptions (T&amp;D)'!$B$100,Model!$AE$2839)</f>
        <v>-0.51872404917936277</v>
      </c>
      <c r="AJ2922" s="377">
        <f>IPMT('Assumptions (T&amp;D)'!$B$97,Model!AB$1,'Assumptions (T&amp;D)'!$B$100,Model!$AE$2839)</f>
        <v>-0.48173208780404259</v>
      </c>
      <c r="AK2922" s="377">
        <f>IPMT('Assumptions (T&amp;D)'!$B$97,Model!AC$1,'Assumptions (T&amp;D)'!$B$100,Model!$AE$2839)</f>
        <v>-0.44298300826339471</v>
      </c>
      <c r="AL2922" s="377">
        <f>IPMT('Assumptions (T&amp;D)'!$B$97,Model!AD$1,'Assumptions (T&amp;D)'!$B$100,Model!$AE$2839)</f>
        <v>-0.40239334744456612</v>
      </c>
      <c r="AM2922" s="377">
        <f>IPMT('Assumptions (T&amp;D)'!$B$97,Model!AE$1,'Assumptions (T&amp;D)'!$B$100,Model!$AE$2839)</f>
        <v>-0.35987567773684326</v>
      </c>
      <c r="AN2922" s="377">
        <f>IPMT('Assumptions (T&amp;D)'!$B$97,Model!AF$1,'Assumptions (T&amp;D)'!$B$100,Model!$AE$2839)</f>
        <v>-0.31533841871800344</v>
      </c>
      <c r="AO2922" s="377">
        <f>IPMT('Assumptions (T&amp;D)'!$B$97,Model!AG$1,'Assumptions (T&amp;D)'!$B$100,Model!$AE$2839)</f>
        <v>-0.26868563989576871</v>
      </c>
      <c r="AP2922" s="377">
        <f>IPMT('Assumptions (T&amp;D)'!$B$97,Model!AH$1,'Assumptions (T&amp;D)'!$B$100,Model!$AE$2839)</f>
        <v>-0.2198168540794779</v>
      </c>
      <c r="AQ2922" s="377">
        <f>IPMT('Assumptions (T&amp;D)'!$B$97,Model!AI$1,'Assumptions (T&amp;D)'!$B$100,Model!$AE$2839)</f>
        <v>-0.16862680093691321</v>
      </c>
      <c r="AR2922" s="377">
        <f>IPMT('Assumptions (T&amp;D)'!$B$97,Model!AJ$1,'Assumptions (T&amp;D)'!$B$100,Model!$AE$2839)</f>
        <v>-0.11500522027007672</v>
      </c>
      <c r="AS2922" s="377">
        <f>IPMT('Assumptions (T&amp;D)'!$B$97,Model!AK$1,'Assumptions (T&amp;D)'!$B$100,Model!$AE$2839)</f>
        <v>-5.8836614521565501E-2</v>
      </c>
      <c r="AT2922" s="377"/>
      <c r="AU2922" s="377"/>
      <c r="AV2922" s="377"/>
      <c r="AW2922" s="377"/>
      <c r="AX2922" s="377"/>
      <c r="AY2922" s="377"/>
      <c r="AZ2922" s="377"/>
      <c r="BA2922" s="377"/>
      <c r="BB2922" s="377"/>
      <c r="BC2922" s="377"/>
    </row>
    <row r="2923" spans="1:61" ht="15.75" hidden="1" customHeight="1" outlineLevel="1">
      <c r="A2923" s="460"/>
      <c r="B2923" s="99"/>
      <c r="C2923" s="377"/>
      <c r="D2923" s="377"/>
      <c r="E2923" s="377"/>
      <c r="F2923" s="377"/>
      <c r="G2923" s="377"/>
      <c r="H2923" s="377"/>
      <c r="I2923" s="377"/>
      <c r="J2923" s="377"/>
      <c r="K2923" s="377"/>
      <c r="L2923" s="377"/>
      <c r="M2923" s="377"/>
      <c r="N2923" s="377"/>
      <c r="O2923" s="377"/>
      <c r="P2923" s="377"/>
      <c r="Q2923" s="377"/>
      <c r="R2923" s="377"/>
      <c r="S2923" s="42"/>
      <c r="T2923" s="42"/>
      <c r="U2923" s="42"/>
      <c r="V2923" s="42"/>
      <c r="W2923" s="86"/>
      <c r="AF2923" s="377">
        <f>IPMT('Assumptions (T&amp;D)'!$B$97,Model!W$1,'Assumptions (T&amp;D)'!$B$100,Model!$AF$2839)</f>
        <v>-0.65066105990668488</v>
      </c>
      <c r="AG2923" s="377">
        <f>IPMT('Assumptions (T&amp;D)'!$B$97,Model!X$1,'Assumptions (T&amp;D)'!$B$100,Model!$AF$2839)</f>
        <v>-0.61993610654091247</v>
      </c>
      <c r="AH2923" s="377">
        <f>IPMT('Assumptions (T&amp;D)'!$B$97,Model!Y$1,'Assumptions (T&amp;D)'!$B$100,Model!$AF$2839)</f>
        <v>-0.58775171789026581</v>
      </c>
      <c r="AI2923" s="377">
        <f>IPMT('Assumptions (T&amp;D)'!$B$97,Model!Z$1,'Assumptions (T&amp;D)'!$B$100,Model!$AF$2839)</f>
        <v>-0.55403857077871377</v>
      </c>
      <c r="AJ2923" s="377">
        <f>IPMT('Assumptions (T&amp;D)'!$B$97,Model!AA$1,'Assumptions (T&amp;D)'!$B$100,Model!$AF$2839)</f>
        <v>-0.51872404917936277</v>
      </c>
      <c r="AK2923" s="377">
        <f>IPMT('Assumptions (T&amp;D)'!$B$97,Model!AB$1,'Assumptions (T&amp;D)'!$B$100,Model!$AF$2839)</f>
        <v>-0.48173208780404259</v>
      </c>
      <c r="AL2923" s="377">
        <f>IPMT('Assumptions (T&amp;D)'!$B$97,Model!AC$1,'Assumptions (T&amp;D)'!$B$100,Model!$AF$2839)</f>
        <v>-0.44298300826339471</v>
      </c>
      <c r="AM2923" s="377">
        <f>IPMT('Assumptions (T&amp;D)'!$B$97,Model!AD$1,'Assumptions (T&amp;D)'!$B$100,Model!$AF$2839)</f>
        <v>-0.40239334744456612</v>
      </c>
      <c r="AN2923" s="377">
        <f>IPMT('Assumptions (T&amp;D)'!$B$97,Model!AE$1,'Assumptions (T&amp;D)'!$B$100,Model!$AF$2839)</f>
        <v>-0.35987567773684326</v>
      </c>
      <c r="AO2923" s="377">
        <f>IPMT('Assumptions (T&amp;D)'!$B$97,Model!AF$1,'Assumptions (T&amp;D)'!$B$100,Model!$AF$2839)</f>
        <v>-0.31533841871800344</v>
      </c>
      <c r="AP2923" s="377">
        <f>IPMT('Assumptions (T&amp;D)'!$B$97,Model!AG$1,'Assumptions (T&amp;D)'!$B$100,Model!$AF$2839)</f>
        <v>-0.26868563989576871</v>
      </c>
      <c r="AQ2923" s="377">
        <f>IPMT('Assumptions (T&amp;D)'!$B$97,Model!AH$1,'Assumptions (T&amp;D)'!$B$100,Model!$AF$2839)</f>
        <v>-0.2198168540794779</v>
      </c>
      <c r="AR2923" s="377">
        <f>IPMT('Assumptions (T&amp;D)'!$B$97,Model!AI$1,'Assumptions (T&amp;D)'!$B$100,Model!$AF$2839)</f>
        <v>-0.16862680093691321</v>
      </c>
      <c r="AS2923" s="377">
        <f>IPMT('Assumptions (T&amp;D)'!$B$97,Model!AJ$1,'Assumptions (T&amp;D)'!$B$100,Model!$AF$2839)</f>
        <v>-0.11500522027007672</v>
      </c>
      <c r="AT2923" s="377">
        <f>IPMT('Assumptions (T&amp;D)'!$B$97,Model!AK$1,'Assumptions (T&amp;D)'!$B$100,Model!$AF$2839)</f>
        <v>-5.8836614521565501E-2</v>
      </c>
      <c r="AU2923" s="377"/>
      <c r="AV2923" s="377"/>
      <c r="AW2923" s="377"/>
      <c r="AX2923" s="377"/>
      <c r="AY2923" s="377"/>
      <c r="AZ2923" s="377"/>
      <c r="BA2923" s="377"/>
      <c r="BB2923" s="377"/>
      <c r="BC2923" s="377"/>
      <c r="BD2923" s="377"/>
    </row>
    <row r="2924" spans="1:61" ht="15.75" hidden="1" customHeight="1" outlineLevel="1">
      <c r="A2924" s="460"/>
      <c r="B2924" s="99"/>
      <c r="C2924" s="377"/>
      <c r="D2924" s="377"/>
      <c r="E2924" s="377"/>
      <c r="F2924" s="377"/>
      <c r="G2924" s="377"/>
      <c r="H2924" s="377"/>
      <c r="I2924" s="377"/>
      <c r="J2924" s="377"/>
      <c r="K2924" s="377"/>
      <c r="L2924" s="377"/>
      <c r="M2924" s="377"/>
      <c r="N2924" s="377"/>
      <c r="O2924" s="377"/>
      <c r="P2924" s="377"/>
      <c r="Q2924" s="377"/>
      <c r="R2924" s="377"/>
      <c r="S2924" s="42"/>
      <c r="T2924" s="42"/>
      <c r="U2924" s="42"/>
      <c r="V2924" s="42"/>
      <c r="W2924" s="86"/>
      <c r="AG2924" s="377">
        <f>IPMT('Assumptions (T&amp;D)'!$B$97,Model!W$1,'Assumptions (T&amp;D)'!$B$100,Model!$AG$2839)</f>
        <v>-0.65066105990668488</v>
      </c>
      <c r="AH2924" s="377">
        <f>IPMT('Assumptions (T&amp;D)'!$B$97,Model!X$1,'Assumptions (T&amp;D)'!$B$100,Model!$AG$2839)</f>
        <v>-0.61993610654091247</v>
      </c>
      <c r="AI2924" s="377">
        <f>IPMT('Assumptions (T&amp;D)'!$B$97,Model!Y$1,'Assumptions (T&amp;D)'!$B$100,Model!$AG$2839)</f>
        <v>-0.58775171789026581</v>
      </c>
      <c r="AJ2924" s="377">
        <f>IPMT('Assumptions (T&amp;D)'!$B$97,Model!Z$1,'Assumptions (T&amp;D)'!$B$100,Model!$AG$2839)</f>
        <v>-0.55403857077871377</v>
      </c>
      <c r="AK2924" s="377">
        <f>IPMT('Assumptions (T&amp;D)'!$B$97,Model!AA$1,'Assumptions (T&amp;D)'!$B$100,Model!$AG$2839)</f>
        <v>-0.51872404917936277</v>
      </c>
      <c r="AL2924" s="377">
        <f>IPMT('Assumptions (T&amp;D)'!$B$97,Model!AB$1,'Assumptions (T&amp;D)'!$B$100,Model!$AG$2839)</f>
        <v>-0.48173208780404259</v>
      </c>
      <c r="AM2924" s="377">
        <f>IPMT('Assumptions (T&amp;D)'!$B$97,Model!AC$1,'Assumptions (T&amp;D)'!$B$100,Model!$AG$2839)</f>
        <v>-0.44298300826339471</v>
      </c>
      <c r="AN2924" s="377">
        <f>IPMT('Assumptions (T&amp;D)'!$B$97,Model!AD$1,'Assumptions (T&amp;D)'!$B$100,Model!$AG$2839)</f>
        <v>-0.40239334744456612</v>
      </c>
      <c r="AO2924" s="377">
        <f>IPMT('Assumptions (T&amp;D)'!$B$97,Model!AE$1,'Assumptions (T&amp;D)'!$B$100,Model!$AG$2839)</f>
        <v>-0.35987567773684326</v>
      </c>
      <c r="AP2924" s="377">
        <f>IPMT('Assumptions (T&amp;D)'!$B$97,Model!AF$1,'Assumptions (T&amp;D)'!$B$100,Model!$AG$2839)</f>
        <v>-0.31533841871800344</v>
      </c>
      <c r="AQ2924" s="377">
        <f>IPMT('Assumptions (T&amp;D)'!$B$97,Model!AG$1,'Assumptions (T&amp;D)'!$B$100,Model!$AG$2839)</f>
        <v>-0.26868563989576871</v>
      </c>
      <c r="AR2924" s="377">
        <f>IPMT('Assumptions (T&amp;D)'!$B$97,Model!AH$1,'Assumptions (T&amp;D)'!$B$100,Model!$AG$2839)</f>
        <v>-0.2198168540794779</v>
      </c>
      <c r="AS2924" s="377">
        <f>IPMT('Assumptions (T&amp;D)'!$B$97,Model!AI$1,'Assumptions (T&amp;D)'!$B$100,Model!$AG$2839)</f>
        <v>-0.16862680093691321</v>
      </c>
      <c r="AT2924" s="377">
        <f>IPMT('Assumptions (T&amp;D)'!$B$97,Model!AJ$1,'Assumptions (T&amp;D)'!$B$100,Model!$AG$2839)</f>
        <v>-0.11500522027007672</v>
      </c>
      <c r="AU2924" s="377">
        <f>IPMT('Assumptions (T&amp;D)'!$B$97,Model!AK$1,'Assumptions (T&amp;D)'!$B$100,Model!$AG$2839)</f>
        <v>-5.8836614521565501E-2</v>
      </c>
      <c r="AV2924" s="377"/>
      <c r="AW2924" s="377"/>
      <c r="AX2924" s="377"/>
      <c r="AY2924" s="377"/>
      <c r="AZ2924" s="377"/>
      <c r="BA2924" s="377"/>
      <c r="BB2924" s="377"/>
      <c r="BC2924" s="377"/>
      <c r="BD2924" s="377"/>
      <c r="BE2924" s="377"/>
    </row>
    <row r="2925" spans="1:61" ht="15.75" hidden="1" customHeight="1" outlineLevel="1">
      <c r="A2925" s="460"/>
      <c r="B2925" s="99"/>
      <c r="C2925" s="377"/>
      <c r="D2925" s="377"/>
      <c r="E2925" s="377"/>
      <c r="F2925" s="377"/>
      <c r="G2925" s="377"/>
      <c r="H2925" s="377"/>
      <c r="I2925" s="377"/>
      <c r="J2925" s="377"/>
      <c r="K2925" s="377"/>
      <c r="L2925" s="377"/>
      <c r="M2925" s="377"/>
      <c r="N2925" s="377"/>
      <c r="O2925" s="377"/>
      <c r="P2925" s="377"/>
      <c r="Q2925" s="377"/>
      <c r="R2925" s="377"/>
      <c r="S2925" s="42"/>
      <c r="T2925" s="42"/>
      <c r="U2925" s="42"/>
      <c r="V2925" s="42"/>
      <c r="W2925" s="86"/>
      <c r="AH2925" s="377">
        <f>IPMT('Assumptions (T&amp;D)'!$B$97,Model!W$1,'Assumptions (T&amp;D)'!$B$100,Model!$AH$2839)</f>
        <v>-0.65066105990668488</v>
      </c>
      <c r="AI2925" s="377">
        <f>IPMT('Assumptions (T&amp;D)'!$B$97,Model!X$1,'Assumptions (T&amp;D)'!$B$100,Model!$AH$2839)</f>
        <v>-0.61993610654091247</v>
      </c>
      <c r="AJ2925" s="377">
        <f>IPMT('Assumptions (T&amp;D)'!$B$97,Model!Y$1,'Assumptions (T&amp;D)'!$B$100,Model!$AH$2839)</f>
        <v>-0.58775171789026581</v>
      </c>
      <c r="AK2925" s="377">
        <f>IPMT('Assumptions (T&amp;D)'!$B$97,Model!Z$1,'Assumptions (T&amp;D)'!$B$100,Model!$AH$2839)</f>
        <v>-0.55403857077871377</v>
      </c>
      <c r="AL2925" s="377">
        <f>IPMT('Assumptions (T&amp;D)'!$B$97,Model!AA$1,'Assumptions (T&amp;D)'!$B$100,Model!$AH$2839)</f>
        <v>-0.51872404917936277</v>
      </c>
      <c r="AM2925" s="377">
        <f>IPMT('Assumptions (T&amp;D)'!$B$97,Model!AB$1,'Assumptions (T&amp;D)'!$B$100,Model!$AH$2839)</f>
        <v>-0.48173208780404259</v>
      </c>
      <c r="AN2925" s="377">
        <f>IPMT('Assumptions (T&amp;D)'!$B$97,Model!AC$1,'Assumptions (T&amp;D)'!$B$100,Model!$AH$2839)</f>
        <v>-0.44298300826339471</v>
      </c>
      <c r="AO2925" s="377">
        <f>IPMT('Assumptions (T&amp;D)'!$B$97,Model!AD$1,'Assumptions (T&amp;D)'!$B$100,Model!$AH$2839)</f>
        <v>-0.40239334744456612</v>
      </c>
      <c r="AP2925" s="377">
        <f>IPMT('Assumptions (T&amp;D)'!$B$97,Model!AE$1,'Assumptions (T&amp;D)'!$B$100,Model!$AH$2839)</f>
        <v>-0.35987567773684326</v>
      </c>
      <c r="AQ2925" s="377">
        <f>IPMT('Assumptions (T&amp;D)'!$B$97,Model!AF$1,'Assumptions (T&amp;D)'!$B$100,Model!$AH$2839)</f>
        <v>-0.31533841871800344</v>
      </c>
      <c r="AR2925" s="377">
        <f>IPMT('Assumptions (T&amp;D)'!$B$97,Model!AG$1,'Assumptions (T&amp;D)'!$B$100,Model!$AH$2839)</f>
        <v>-0.26868563989576871</v>
      </c>
      <c r="AS2925" s="377">
        <f>IPMT('Assumptions (T&amp;D)'!$B$97,Model!AH$1,'Assumptions (T&amp;D)'!$B$100,Model!$AH$2839)</f>
        <v>-0.2198168540794779</v>
      </c>
      <c r="AT2925" s="377">
        <f>IPMT('Assumptions (T&amp;D)'!$B$97,Model!AI$1,'Assumptions (T&amp;D)'!$B$100,Model!$AH$2839)</f>
        <v>-0.16862680093691321</v>
      </c>
      <c r="AU2925" s="377">
        <f>IPMT('Assumptions (T&amp;D)'!$B$97,Model!AJ$1,'Assumptions (T&amp;D)'!$B$100,Model!$AH$2839)</f>
        <v>-0.11500522027007672</v>
      </c>
      <c r="AV2925" s="377">
        <f>IPMT('Assumptions (T&amp;D)'!$B$97,Model!AK$1,'Assumptions (T&amp;D)'!$B$100,Model!$AH$2839)</f>
        <v>-5.8836614521565501E-2</v>
      </c>
      <c r="AW2925" s="377"/>
      <c r="AX2925" s="377"/>
      <c r="AY2925" s="377"/>
      <c r="AZ2925" s="377"/>
      <c r="BA2925" s="377"/>
      <c r="BB2925" s="377"/>
      <c r="BC2925" s="377"/>
      <c r="BD2925" s="377"/>
      <c r="BE2925" s="377"/>
      <c r="BF2925" s="377"/>
    </row>
    <row r="2926" spans="1:61" ht="15.75" hidden="1" customHeight="1" outlineLevel="1">
      <c r="A2926" s="460"/>
      <c r="B2926" s="99"/>
      <c r="C2926" s="377"/>
      <c r="D2926" s="377"/>
      <c r="E2926" s="377"/>
      <c r="F2926" s="377"/>
      <c r="G2926" s="377"/>
      <c r="H2926" s="377"/>
      <c r="I2926" s="377"/>
      <c r="J2926" s="377"/>
      <c r="K2926" s="377"/>
      <c r="L2926" s="377"/>
      <c r="M2926" s="377"/>
      <c r="N2926" s="377"/>
      <c r="O2926" s="377"/>
      <c r="P2926" s="377"/>
      <c r="Q2926" s="377"/>
      <c r="R2926" s="377"/>
      <c r="S2926" s="42"/>
      <c r="T2926" s="42"/>
      <c r="U2926" s="42"/>
      <c r="V2926" s="42"/>
      <c r="W2926" s="86"/>
      <c r="AI2926" s="377">
        <f>IPMT('Assumptions (T&amp;D)'!$B$97,Model!W$1,'Assumptions (T&amp;D)'!$B$100,Model!$AI$2839)</f>
        <v>-0.65066105990668488</v>
      </c>
      <c r="AJ2926" s="377">
        <f>IPMT('Assumptions (T&amp;D)'!$B$97,Model!X$1,'Assumptions (T&amp;D)'!$B$100,Model!$AI$2839)</f>
        <v>-0.61993610654091247</v>
      </c>
      <c r="AK2926" s="377">
        <f>IPMT('Assumptions (T&amp;D)'!$B$97,Model!Y$1,'Assumptions (T&amp;D)'!$B$100,Model!$AI$2839)</f>
        <v>-0.58775171789026581</v>
      </c>
      <c r="AL2926" s="377">
        <f>IPMT('Assumptions (T&amp;D)'!$B$97,Model!Z$1,'Assumptions (T&amp;D)'!$B$100,Model!$AI$2839)</f>
        <v>-0.55403857077871377</v>
      </c>
      <c r="AM2926" s="377">
        <f>IPMT('Assumptions (T&amp;D)'!$B$97,Model!AA$1,'Assumptions (T&amp;D)'!$B$100,Model!$AI$2839)</f>
        <v>-0.51872404917936277</v>
      </c>
      <c r="AN2926" s="377">
        <f>IPMT('Assumptions (T&amp;D)'!$B$97,Model!AB$1,'Assumptions (T&amp;D)'!$B$100,Model!$AI$2839)</f>
        <v>-0.48173208780404259</v>
      </c>
      <c r="AO2926" s="377">
        <f>IPMT('Assumptions (T&amp;D)'!$B$97,Model!AC$1,'Assumptions (T&amp;D)'!$B$100,Model!$AI$2839)</f>
        <v>-0.44298300826339471</v>
      </c>
      <c r="AP2926" s="377">
        <f>IPMT('Assumptions (T&amp;D)'!$B$97,Model!AD$1,'Assumptions (T&amp;D)'!$B$100,Model!$AI$2839)</f>
        <v>-0.40239334744456612</v>
      </c>
      <c r="AQ2926" s="377">
        <f>IPMT('Assumptions (T&amp;D)'!$B$97,Model!AE$1,'Assumptions (T&amp;D)'!$B$100,Model!$AI$2839)</f>
        <v>-0.35987567773684326</v>
      </c>
      <c r="AR2926" s="377">
        <f>IPMT('Assumptions (T&amp;D)'!$B$97,Model!AF$1,'Assumptions (T&amp;D)'!$B$100,Model!$AI$2839)</f>
        <v>-0.31533841871800344</v>
      </c>
      <c r="AS2926" s="377">
        <f>IPMT('Assumptions (T&amp;D)'!$B$97,Model!AG$1,'Assumptions (T&amp;D)'!$B$100,Model!$AI$2839)</f>
        <v>-0.26868563989576871</v>
      </c>
      <c r="AT2926" s="377">
        <f>IPMT('Assumptions (T&amp;D)'!$B$97,Model!AH$1,'Assumptions (T&amp;D)'!$B$100,Model!$AI$2839)</f>
        <v>-0.2198168540794779</v>
      </c>
      <c r="AU2926" s="377">
        <f>IPMT('Assumptions (T&amp;D)'!$B$97,Model!AI$1,'Assumptions (T&amp;D)'!$B$100,Model!$AI$2839)</f>
        <v>-0.16862680093691321</v>
      </c>
      <c r="AV2926" s="377">
        <f>IPMT('Assumptions (T&amp;D)'!$B$97,Model!AJ$1,'Assumptions (T&amp;D)'!$B$100,Model!$AI$2839)</f>
        <v>-0.11500522027007672</v>
      </c>
      <c r="AW2926" s="377">
        <f>IPMT('Assumptions (T&amp;D)'!$B$97,Model!AK$1,'Assumptions (T&amp;D)'!$B$100,Model!$AI$2839)</f>
        <v>-5.8836614521565501E-2</v>
      </c>
      <c r="AX2926" s="377"/>
      <c r="AY2926" s="377"/>
      <c r="AZ2926" s="377"/>
      <c r="BA2926" s="377"/>
      <c r="BB2926" s="377"/>
      <c r="BC2926" s="377"/>
      <c r="BD2926" s="377"/>
      <c r="BE2926" s="377"/>
      <c r="BF2926" s="377"/>
      <c r="BG2926" s="377"/>
    </row>
    <row r="2927" spans="1:61" ht="15.75" hidden="1" customHeight="1" outlineLevel="1">
      <c r="A2927" s="460"/>
      <c r="B2927" s="99"/>
      <c r="C2927" s="377"/>
      <c r="D2927" s="377"/>
      <c r="E2927" s="377"/>
      <c r="F2927" s="377"/>
      <c r="G2927" s="377"/>
      <c r="H2927" s="377"/>
      <c r="I2927" s="377"/>
      <c r="J2927" s="377"/>
      <c r="K2927" s="377"/>
      <c r="L2927" s="377"/>
      <c r="M2927" s="377"/>
      <c r="N2927" s="377"/>
      <c r="O2927" s="377"/>
      <c r="P2927" s="377"/>
      <c r="Q2927" s="377"/>
      <c r="R2927" s="377"/>
      <c r="S2927" s="42"/>
      <c r="T2927" s="42"/>
      <c r="U2927" s="42"/>
      <c r="V2927" s="42"/>
      <c r="W2927" s="86"/>
      <c r="AJ2927" s="377">
        <f>IPMT('Assumptions (T&amp;D)'!$B$97,Model!W$1,'Assumptions (T&amp;D)'!$B$100,Model!$AJ$2839)</f>
        <v>-0.65066105990668488</v>
      </c>
      <c r="AK2927" s="377">
        <f>IPMT('Assumptions (T&amp;D)'!$B$97,Model!X$1,'Assumptions (T&amp;D)'!$B$100,Model!$AJ$2839)</f>
        <v>-0.61993610654091247</v>
      </c>
      <c r="AL2927" s="377">
        <f>IPMT('Assumptions (T&amp;D)'!$B$97,Model!Y$1,'Assumptions (T&amp;D)'!$B$100,Model!$AJ$2839)</f>
        <v>-0.58775171789026581</v>
      </c>
      <c r="AM2927" s="377">
        <f>IPMT('Assumptions (T&amp;D)'!$B$97,Model!Z$1,'Assumptions (T&amp;D)'!$B$100,Model!$AJ$2839)</f>
        <v>-0.55403857077871377</v>
      </c>
      <c r="AN2927" s="377">
        <f>IPMT('Assumptions (T&amp;D)'!$B$97,Model!AA$1,'Assumptions (T&amp;D)'!$B$100,Model!$AJ$2839)</f>
        <v>-0.51872404917936277</v>
      </c>
      <c r="AO2927" s="377">
        <f>IPMT('Assumptions (T&amp;D)'!$B$97,Model!AB$1,'Assumptions (T&amp;D)'!$B$100,Model!$AJ$2839)</f>
        <v>-0.48173208780404259</v>
      </c>
      <c r="AP2927" s="377">
        <f>IPMT('Assumptions (T&amp;D)'!$B$97,Model!AC$1,'Assumptions (T&amp;D)'!$B$100,Model!$AJ$2839)</f>
        <v>-0.44298300826339471</v>
      </c>
      <c r="AQ2927" s="377">
        <f>IPMT('Assumptions (T&amp;D)'!$B$97,Model!AD$1,'Assumptions (T&amp;D)'!$B$100,Model!$AJ$2839)</f>
        <v>-0.40239334744456612</v>
      </c>
      <c r="AR2927" s="377">
        <f>IPMT('Assumptions (T&amp;D)'!$B$97,Model!AE$1,'Assumptions (T&amp;D)'!$B$100,Model!$AJ$2839)</f>
        <v>-0.35987567773684326</v>
      </c>
      <c r="AS2927" s="377">
        <f>IPMT('Assumptions (T&amp;D)'!$B$97,Model!AF$1,'Assumptions (T&amp;D)'!$B$100,Model!$AJ$2839)</f>
        <v>-0.31533841871800344</v>
      </c>
      <c r="AT2927" s="377">
        <f>IPMT('Assumptions (T&amp;D)'!$B$97,Model!AG$1,'Assumptions (T&amp;D)'!$B$100,Model!$AJ$2839)</f>
        <v>-0.26868563989576871</v>
      </c>
      <c r="AU2927" s="377">
        <f>IPMT('Assumptions (T&amp;D)'!$B$97,Model!AH$1,'Assumptions (T&amp;D)'!$B$100,Model!$AJ$2839)</f>
        <v>-0.2198168540794779</v>
      </c>
      <c r="AV2927" s="377">
        <f>IPMT('Assumptions (T&amp;D)'!$B$97,Model!AI$1,'Assumptions (T&amp;D)'!$B$100,Model!$AJ$2839)</f>
        <v>-0.16862680093691321</v>
      </c>
      <c r="AW2927" s="377">
        <f>IPMT('Assumptions (T&amp;D)'!$B$97,Model!AJ$1,'Assumptions (T&amp;D)'!$B$100,Model!$AJ$2839)</f>
        <v>-0.11500522027007672</v>
      </c>
      <c r="AX2927" s="377">
        <f>IPMT('Assumptions (T&amp;D)'!$B$97,Model!AK$1,'Assumptions (T&amp;D)'!$B$100,Model!$AJ$2839)</f>
        <v>-5.8836614521565501E-2</v>
      </c>
      <c r="AY2927" s="377"/>
      <c r="AZ2927" s="377"/>
      <c r="BA2927" s="377"/>
      <c r="BB2927" s="377"/>
      <c r="BC2927" s="377"/>
      <c r="BD2927" s="377"/>
      <c r="BE2927" s="377"/>
      <c r="BF2927" s="377"/>
      <c r="BG2927" s="377"/>
      <c r="BH2927" s="377"/>
    </row>
    <row r="2928" spans="1:61" ht="15.75" hidden="1" customHeight="1" outlineLevel="1">
      <c r="A2928" s="460"/>
      <c r="B2928" s="99"/>
      <c r="C2928" s="377"/>
      <c r="D2928" s="377"/>
      <c r="E2928" s="377"/>
      <c r="F2928" s="377"/>
      <c r="G2928" s="377"/>
      <c r="H2928" s="377"/>
      <c r="I2928" s="377"/>
      <c r="J2928" s="377"/>
      <c r="K2928" s="377"/>
      <c r="L2928" s="377"/>
      <c r="M2928" s="377"/>
      <c r="N2928" s="377"/>
      <c r="O2928" s="377"/>
      <c r="P2928" s="377"/>
      <c r="Q2928" s="377"/>
      <c r="R2928" s="377"/>
      <c r="S2928" s="42"/>
      <c r="T2928" s="42"/>
      <c r="U2928" s="42"/>
      <c r="V2928" s="42"/>
      <c r="W2928" s="86"/>
      <c r="AK2928" s="377">
        <f>IPMT('Assumptions (T&amp;D)'!$B$97,Model!W$1,'Assumptions (T&amp;D)'!$B$100,Model!$AK$2839)</f>
        <v>-0.65066105990668488</v>
      </c>
      <c r="AL2928" s="377">
        <f>IPMT('Assumptions (T&amp;D)'!$B$97,Model!X$1,'Assumptions (T&amp;D)'!$B$100,Model!$AK$2839)</f>
        <v>-0.61993610654091247</v>
      </c>
      <c r="AM2928" s="377">
        <f>IPMT('Assumptions (T&amp;D)'!$B$97,Model!Y$1,'Assumptions (T&amp;D)'!$B$100,Model!$AK$2839)</f>
        <v>-0.58775171789026581</v>
      </c>
      <c r="AN2928" s="377">
        <f>IPMT('Assumptions (T&amp;D)'!$B$97,Model!Z$1,'Assumptions (T&amp;D)'!$B$100,Model!$AK$2839)</f>
        <v>-0.55403857077871377</v>
      </c>
      <c r="AO2928" s="377">
        <f>IPMT('Assumptions (T&amp;D)'!$B$97,Model!AA$1,'Assumptions (T&amp;D)'!$B$100,Model!$AK$2839)</f>
        <v>-0.51872404917936277</v>
      </c>
      <c r="AP2928" s="377">
        <f>IPMT('Assumptions (T&amp;D)'!$B$97,Model!AB$1,'Assumptions (T&amp;D)'!$B$100,Model!$AK$2839)</f>
        <v>-0.48173208780404259</v>
      </c>
      <c r="AQ2928" s="377">
        <f>IPMT('Assumptions (T&amp;D)'!$B$97,Model!AC$1,'Assumptions (T&amp;D)'!$B$100,Model!$AK$2839)</f>
        <v>-0.44298300826339471</v>
      </c>
      <c r="AR2928" s="377">
        <f>IPMT('Assumptions (T&amp;D)'!$B$97,Model!AD$1,'Assumptions (T&amp;D)'!$B$100,Model!$AK$2839)</f>
        <v>-0.40239334744456612</v>
      </c>
      <c r="AS2928" s="377">
        <f>IPMT('Assumptions (T&amp;D)'!$B$97,Model!AE$1,'Assumptions (T&amp;D)'!$B$100,Model!$AK$2839)</f>
        <v>-0.35987567773684326</v>
      </c>
      <c r="AT2928" s="377">
        <f>IPMT('Assumptions (T&amp;D)'!$B$97,Model!AF$1,'Assumptions (T&amp;D)'!$B$100,Model!$AK$2839)</f>
        <v>-0.31533841871800344</v>
      </c>
      <c r="AU2928" s="377">
        <f>IPMT('Assumptions (T&amp;D)'!$B$97,Model!AG$1,'Assumptions (T&amp;D)'!$B$100,Model!$AK$2839)</f>
        <v>-0.26868563989576871</v>
      </c>
      <c r="AV2928" s="377">
        <f>IPMT('Assumptions (T&amp;D)'!$B$97,Model!AH$1,'Assumptions (T&amp;D)'!$B$100,Model!$AK$2839)</f>
        <v>-0.2198168540794779</v>
      </c>
      <c r="AW2928" s="377">
        <f>IPMT('Assumptions (T&amp;D)'!$B$97,Model!AI$1,'Assumptions (T&amp;D)'!$B$100,Model!$AK$2839)</f>
        <v>-0.16862680093691321</v>
      </c>
      <c r="AX2928" s="377">
        <f>IPMT('Assumptions (T&amp;D)'!$B$97,Model!AJ$1,'Assumptions (T&amp;D)'!$B$100,Model!$AK$2839)</f>
        <v>-0.11500522027007672</v>
      </c>
      <c r="AY2928" s="377">
        <f>IPMT('Assumptions (T&amp;D)'!$B$97,Model!AK$1,'Assumptions (T&amp;D)'!$B$100,Model!$AK$2839)</f>
        <v>-5.8836614521565501E-2</v>
      </c>
      <c r="AZ2928" s="377"/>
      <c r="BA2928" s="377"/>
      <c r="BB2928" s="377"/>
      <c r="BC2928" s="377"/>
      <c r="BD2928" s="377"/>
      <c r="BE2928" s="377"/>
      <c r="BF2928" s="377"/>
      <c r="BG2928" s="377"/>
      <c r="BH2928" s="377"/>
      <c r="BI2928" s="377"/>
    </row>
    <row r="2929" spans="1:77" ht="15.75" hidden="1" customHeight="1" outlineLevel="1">
      <c r="A2929" s="460"/>
      <c r="B2929" s="99"/>
      <c r="C2929" s="377"/>
      <c r="D2929" s="377"/>
      <c r="E2929" s="377"/>
      <c r="F2929" s="377"/>
      <c r="G2929" s="377"/>
      <c r="H2929" s="377"/>
      <c r="I2929" s="377"/>
      <c r="J2929" s="377"/>
      <c r="K2929" s="377"/>
      <c r="L2929" s="377"/>
      <c r="M2929" s="377"/>
      <c r="N2929" s="377"/>
      <c r="O2929" s="377"/>
      <c r="P2929" s="377"/>
      <c r="Q2929" s="377"/>
      <c r="R2929" s="377"/>
      <c r="S2929" s="42"/>
      <c r="T2929" s="42"/>
      <c r="U2929" s="42"/>
      <c r="V2929" s="42"/>
      <c r="W2929" s="86"/>
      <c r="AL2929" s="377">
        <f>IPMT('Assumptions (T&amp;D)'!$B$97,Model!W$1,'Assumptions (T&amp;D)'!$B$100,Model!$AL$2839)</f>
        <v>-0.65066105990668488</v>
      </c>
      <c r="AM2929" s="377">
        <f>IPMT('Assumptions (T&amp;D)'!$B$97,Model!X$1,'Assumptions (T&amp;D)'!$B$100,Model!$AL$2839)</f>
        <v>-0.61993610654091247</v>
      </c>
      <c r="AN2929" s="377">
        <f>IPMT('Assumptions (T&amp;D)'!$B$97,Model!Y$1,'Assumptions (T&amp;D)'!$B$100,Model!$AL$2839)</f>
        <v>-0.58775171789026581</v>
      </c>
      <c r="AO2929" s="377">
        <f>IPMT('Assumptions (T&amp;D)'!$B$97,Model!Z$1,'Assumptions (T&amp;D)'!$B$100,Model!$AL$2839)</f>
        <v>-0.55403857077871377</v>
      </c>
      <c r="AP2929" s="377">
        <f>IPMT('Assumptions (T&amp;D)'!$B$97,Model!AA$1,'Assumptions (T&amp;D)'!$B$100,Model!$AL$2839)</f>
        <v>-0.51872404917936277</v>
      </c>
      <c r="AQ2929" s="377">
        <f>IPMT('Assumptions (T&amp;D)'!$B$97,Model!AB$1,'Assumptions (T&amp;D)'!$B$100,Model!$AL$2839)</f>
        <v>-0.48173208780404259</v>
      </c>
      <c r="AR2929" s="377">
        <f>IPMT('Assumptions (T&amp;D)'!$B$97,Model!AC$1,'Assumptions (T&amp;D)'!$B$100,Model!$AL$2839)</f>
        <v>-0.44298300826339471</v>
      </c>
      <c r="AS2929" s="377">
        <f>IPMT('Assumptions (T&amp;D)'!$B$97,Model!AD$1,'Assumptions (T&amp;D)'!$B$100,Model!$AL$2839)</f>
        <v>-0.40239334744456612</v>
      </c>
      <c r="AT2929" s="377">
        <f>IPMT('Assumptions (T&amp;D)'!$B$97,Model!AE$1,'Assumptions (T&amp;D)'!$B$100,Model!$AL$2839)</f>
        <v>-0.35987567773684326</v>
      </c>
      <c r="AU2929" s="377">
        <f>IPMT('Assumptions (T&amp;D)'!$B$97,Model!AF$1,'Assumptions (T&amp;D)'!$B$100,Model!$AL$2839)</f>
        <v>-0.31533841871800344</v>
      </c>
      <c r="AV2929" s="377">
        <f>IPMT('Assumptions (T&amp;D)'!$B$97,Model!AG$1,'Assumptions (T&amp;D)'!$B$100,Model!$AL$2839)</f>
        <v>-0.26868563989576871</v>
      </c>
      <c r="AW2929" s="377">
        <f>IPMT('Assumptions (T&amp;D)'!$B$97,Model!AH$1,'Assumptions (T&amp;D)'!$B$100,Model!$AL$2839)</f>
        <v>-0.2198168540794779</v>
      </c>
      <c r="AX2929" s="377">
        <f>IPMT('Assumptions (T&amp;D)'!$B$97,Model!AI$1,'Assumptions (T&amp;D)'!$B$100,Model!$AL$2839)</f>
        <v>-0.16862680093691321</v>
      </c>
      <c r="AY2929" s="377">
        <f>IPMT('Assumptions (T&amp;D)'!$B$97,Model!AJ$1,'Assumptions (T&amp;D)'!$B$100,Model!$AL$2839)</f>
        <v>-0.11500522027007672</v>
      </c>
      <c r="AZ2929" s="377">
        <f>IPMT('Assumptions (T&amp;D)'!$B$97,Model!AK$1,'Assumptions (T&amp;D)'!$B$100,Model!$AL$2839)</f>
        <v>-5.8836614521565501E-2</v>
      </c>
      <c r="BA2929" s="377"/>
      <c r="BB2929" s="377"/>
      <c r="BC2929" s="377"/>
      <c r="BD2929" s="377"/>
      <c r="BE2929" s="377"/>
      <c r="BF2929" s="377"/>
      <c r="BG2929" s="377"/>
      <c r="BH2929" s="377"/>
      <c r="BI2929" s="377"/>
      <c r="BJ2929" s="377"/>
    </row>
    <row r="2930" spans="1:77" ht="15.75" hidden="1" customHeight="1" outlineLevel="1">
      <c r="A2930" s="460"/>
      <c r="B2930" s="99"/>
      <c r="C2930" s="377"/>
      <c r="D2930" s="377"/>
      <c r="E2930" s="377"/>
      <c r="F2930" s="377"/>
      <c r="G2930" s="377"/>
      <c r="H2930" s="377"/>
      <c r="I2930" s="377"/>
      <c r="J2930" s="377"/>
      <c r="K2930" s="377"/>
      <c r="L2930" s="377"/>
      <c r="M2930" s="377"/>
      <c r="N2930" s="377"/>
      <c r="O2930" s="377"/>
      <c r="P2930" s="377"/>
      <c r="Q2930" s="377"/>
      <c r="R2930" s="377"/>
      <c r="S2930" s="42"/>
      <c r="T2930" s="42"/>
      <c r="U2930" s="42"/>
      <c r="V2930" s="42"/>
      <c r="W2930" s="86"/>
      <c r="AM2930" s="377">
        <f>IPMT('Assumptions (T&amp;D)'!$B$97,Model!W$1,'Assumptions (T&amp;D)'!$B$100,Model!$AM$2839)</f>
        <v>-0.65066105990668488</v>
      </c>
      <c r="AN2930" s="377">
        <f>IPMT('Assumptions (T&amp;D)'!$B$97,Model!X$1,'Assumptions (T&amp;D)'!$B$100,Model!$AM$2839)</f>
        <v>-0.61993610654091247</v>
      </c>
      <c r="AO2930" s="377">
        <f>IPMT('Assumptions (T&amp;D)'!$B$97,Model!Y$1,'Assumptions (T&amp;D)'!$B$100,Model!$AM$2839)</f>
        <v>-0.58775171789026581</v>
      </c>
      <c r="AP2930" s="377">
        <f>IPMT('Assumptions (T&amp;D)'!$B$97,Model!Z$1,'Assumptions (T&amp;D)'!$B$100,Model!$AM$2839)</f>
        <v>-0.55403857077871377</v>
      </c>
      <c r="AQ2930" s="377">
        <f>IPMT('Assumptions (T&amp;D)'!$B$97,Model!AA$1,'Assumptions (T&amp;D)'!$B$100,Model!$AM$2839)</f>
        <v>-0.51872404917936277</v>
      </c>
      <c r="AR2930" s="377">
        <f>IPMT('Assumptions (T&amp;D)'!$B$97,Model!AB$1,'Assumptions (T&amp;D)'!$B$100,Model!$AM$2839)</f>
        <v>-0.48173208780404259</v>
      </c>
      <c r="AS2930" s="377">
        <f>IPMT('Assumptions (T&amp;D)'!$B$97,Model!AC$1,'Assumptions (T&amp;D)'!$B$100,Model!$AM$2839)</f>
        <v>-0.44298300826339471</v>
      </c>
      <c r="AT2930" s="377">
        <f>IPMT('Assumptions (T&amp;D)'!$B$97,Model!AD$1,'Assumptions (T&amp;D)'!$B$100,Model!$AM$2839)</f>
        <v>-0.40239334744456612</v>
      </c>
      <c r="AU2930" s="377">
        <f>IPMT('Assumptions (T&amp;D)'!$B$97,Model!AE$1,'Assumptions (T&amp;D)'!$B$100,Model!$AM$2839)</f>
        <v>-0.35987567773684326</v>
      </c>
      <c r="AV2930" s="377">
        <f>IPMT('Assumptions (T&amp;D)'!$B$97,Model!AF$1,'Assumptions (T&amp;D)'!$B$100,Model!$AM$2839)</f>
        <v>-0.31533841871800344</v>
      </c>
      <c r="AW2930" s="377">
        <f>IPMT('Assumptions (T&amp;D)'!$B$97,Model!AG$1,'Assumptions (T&amp;D)'!$B$100,Model!$AM$2839)</f>
        <v>-0.26868563989576871</v>
      </c>
      <c r="AX2930" s="377">
        <f>IPMT('Assumptions (T&amp;D)'!$B$97,Model!AH$1,'Assumptions (T&amp;D)'!$B$100,Model!$AM$2839)</f>
        <v>-0.2198168540794779</v>
      </c>
      <c r="AY2930" s="377">
        <f>IPMT('Assumptions (T&amp;D)'!$B$97,Model!AI$1,'Assumptions (T&amp;D)'!$B$100,Model!$AM$2839)</f>
        <v>-0.16862680093691321</v>
      </c>
      <c r="AZ2930" s="377">
        <f>IPMT('Assumptions (T&amp;D)'!$B$97,Model!AJ$1,'Assumptions (T&amp;D)'!$B$100,Model!$AM$2839)</f>
        <v>-0.11500522027007672</v>
      </c>
      <c r="BA2930" s="377">
        <f>IPMT('Assumptions (T&amp;D)'!$B$97,Model!AK$1,'Assumptions (T&amp;D)'!$B$100,Model!$AM$2839)</f>
        <v>-5.8836614521565501E-2</v>
      </c>
      <c r="BB2930" s="377"/>
      <c r="BC2930" s="377"/>
      <c r="BD2930" s="377"/>
      <c r="BE2930" s="377"/>
      <c r="BF2930" s="377"/>
      <c r="BG2930" s="377"/>
      <c r="BH2930" s="377"/>
      <c r="BI2930" s="377"/>
      <c r="BJ2930" s="377"/>
      <c r="BK2930" s="377"/>
    </row>
    <row r="2931" spans="1:77" ht="15.75" hidden="1" customHeight="1" outlineLevel="1">
      <c r="A2931" s="460"/>
      <c r="B2931" s="99"/>
      <c r="C2931" s="377"/>
      <c r="D2931" s="377"/>
      <c r="E2931" s="377"/>
      <c r="F2931" s="377"/>
      <c r="G2931" s="377"/>
      <c r="H2931" s="377"/>
      <c r="I2931" s="377"/>
      <c r="J2931" s="377"/>
      <c r="K2931" s="377"/>
      <c r="L2931" s="377"/>
      <c r="M2931" s="377"/>
      <c r="N2931" s="377"/>
      <c r="O2931" s="377"/>
      <c r="P2931" s="377"/>
      <c r="Q2931" s="377"/>
      <c r="R2931" s="377"/>
      <c r="S2931" s="42"/>
      <c r="T2931" s="42"/>
      <c r="U2931" s="42"/>
      <c r="V2931" s="42"/>
      <c r="W2931" s="86"/>
      <c r="AN2931" s="377">
        <f>IPMT('Assumptions (T&amp;D)'!$B$97,Model!W$1,'Assumptions (T&amp;D)'!$B$100,Model!$AN$2839)</f>
        <v>-0.65066105990668488</v>
      </c>
      <c r="AO2931" s="377">
        <f>IPMT('Assumptions (T&amp;D)'!$B$97,Model!X$1,'Assumptions (T&amp;D)'!$B$100,Model!$AN$2839)</f>
        <v>-0.61993610654091247</v>
      </c>
      <c r="AP2931" s="377">
        <f>IPMT('Assumptions (T&amp;D)'!$B$97,Model!Y$1,'Assumptions (T&amp;D)'!$B$100,Model!$AN$2839)</f>
        <v>-0.58775171789026581</v>
      </c>
      <c r="AQ2931" s="377">
        <f>IPMT('Assumptions (T&amp;D)'!$B$97,Model!Z$1,'Assumptions (T&amp;D)'!$B$100,Model!$AN$2839)</f>
        <v>-0.55403857077871377</v>
      </c>
      <c r="AR2931" s="377">
        <f>IPMT('Assumptions (T&amp;D)'!$B$97,Model!AA$1,'Assumptions (T&amp;D)'!$B$100,Model!$AN$2839)</f>
        <v>-0.51872404917936277</v>
      </c>
      <c r="AS2931" s="377">
        <f>IPMT('Assumptions (T&amp;D)'!$B$97,Model!AB$1,'Assumptions (T&amp;D)'!$B$100,Model!$AN$2839)</f>
        <v>-0.48173208780404259</v>
      </c>
      <c r="AT2931" s="377">
        <f>IPMT('Assumptions (T&amp;D)'!$B$97,Model!AC$1,'Assumptions (T&amp;D)'!$B$100,Model!$AN$2839)</f>
        <v>-0.44298300826339471</v>
      </c>
      <c r="AU2931" s="377">
        <f>IPMT('Assumptions (T&amp;D)'!$B$97,Model!AD$1,'Assumptions (T&amp;D)'!$B$100,Model!$AN$2839)</f>
        <v>-0.40239334744456612</v>
      </c>
      <c r="AV2931" s="377">
        <f>IPMT('Assumptions (T&amp;D)'!$B$97,Model!AE$1,'Assumptions (T&amp;D)'!$B$100,Model!$AN$2839)</f>
        <v>-0.35987567773684326</v>
      </c>
      <c r="AW2931" s="377">
        <f>IPMT('Assumptions (T&amp;D)'!$B$97,Model!AF$1,'Assumptions (T&amp;D)'!$B$100,Model!$AN$2839)</f>
        <v>-0.31533841871800344</v>
      </c>
      <c r="AX2931" s="377">
        <f>IPMT('Assumptions (T&amp;D)'!$B$97,Model!AG$1,'Assumptions (T&amp;D)'!$B$100,Model!$AN$2839)</f>
        <v>-0.26868563989576871</v>
      </c>
      <c r="AY2931" s="377">
        <f>IPMT('Assumptions (T&amp;D)'!$B$97,Model!AH$1,'Assumptions (T&amp;D)'!$B$100,Model!$AN$2839)</f>
        <v>-0.2198168540794779</v>
      </c>
      <c r="AZ2931" s="377">
        <f>IPMT('Assumptions (T&amp;D)'!$B$97,Model!AI$1,'Assumptions (T&amp;D)'!$B$100,Model!$AN$2839)</f>
        <v>-0.16862680093691321</v>
      </c>
      <c r="BA2931" s="377">
        <f>IPMT('Assumptions (T&amp;D)'!$B$97,Model!AJ$1,'Assumptions (T&amp;D)'!$B$100,Model!$AN$2839)</f>
        <v>-0.11500522027007672</v>
      </c>
      <c r="BB2931" s="377">
        <f>IPMT('Assumptions (T&amp;D)'!$B$97,Model!AK$1,'Assumptions (T&amp;D)'!$B$100,Model!$AN$2839)</f>
        <v>-5.8836614521565501E-2</v>
      </c>
      <c r="BC2931" s="377"/>
      <c r="BD2931" s="377"/>
      <c r="BE2931" s="377"/>
      <c r="BF2931" s="377"/>
      <c r="BG2931" s="377"/>
      <c r="BH2931" s="377"/>
      <c r="BI2931" s="377"/>
      <c r="BJ2931" s="377"/>
      <c r="BK2931" s="377"/>
      <c r="BL2931" s="377"/>
    </row>
    <row r="2932" spans="1:77" ht="15.75" hidden="1" customHeight="1" outlineLevel="1">
      <c r="A2932" s="460"/>
      <c r="B2932" s="99"/>
      <c r="C2932" s="377"/>
      <c r="D2932" s="377"/>
      <c r="E2932" s="377"/>
      <c r="F2932" s="377"/>
      <c r="G2932" s="377"/>
      <c r="H2932" s="377"/>
      <c r="I2932" s="377"/>
      <c r="J2932" s="377"/>
      <c r="K2932" s="377"/>
      <c r="L2932" s="377"/>
      <c r="M2932" s="377"/>
      <c r="N2932" s="377"/>
      <c r="O2932" s="377"/>
      <c r="P2932" s="377"/>
      <c r="Q2932" s="377"/>
      <c r="R2932" s="377"/>
      <c r="S2932" s="42"/>
      <c r="T2932" s="42"/>
      <c r="U2932" s="42"/>
      <c r="V2932" s="42"/>
      <c r="W2932" s="86"/>
      <c r="AO2932" s="377">
        <f>IPMT('Assumptions (T&amp;D)'!$B$97,Model!W$1,'Assumptions (T&amp;D)'!$B$100,Model!$AO$2839)</f>
        <v>-0.65066105990668488</v>
      </c>
      <c r="AP2932" s="377">
        <f>IPMT('Assumptions (T&amp;D)'!$B$97,Model!X$1,'Assumptions (T&amp;D)'!$B$100,Model!$AO$2839)</f>
        <v>-0.61993610654091247</v>
      </c>
      <c r="AQ2932" s="377">
        <f>IPMT('Assumptions (T&amp;D)'!$B$97,Model!Y$1,'Assumptions (T&amp;D)'!$B$100,Model!$AO$2839)</f>
        <v>-0.58775171789026581</v>
      </c>
      <c r="AR2932" s="377">
        <f>IPMT('Assumptions (T&amp;D)'!$B$97,Model!Z$1,'Assumptions (T&amp;D)'!$B$100,Model!$AO$2839)</f>
        <v>-0.55403857077871377</v>
      </c>
      <c r="AS2932" s="377">
        <f>IPMT('Assumptions (T&amp;D)'!$B$97,Model!AA$1,'Assumptions (T&amp;D)'!$B$100,Model!$AO$2839)</f>
        <v>-0.51872404917936277</v>
      </c>
      <c r="AT2932" s="377">
        <f>IPMT('Assumptions (T&amp;D)'!$B$97,Model!AB$1,'Assumptions (T&amp;D)'!$B$100,Model!$AO$2839)</f>
        <v>-0.48173208780404259</v>
      </c>
      <c r="AU2932" s="377">
        <f>IPMT('Assumptions (T&amp;D)'!$B$97,Model!AC$1,'Assumptions (T&amp;D)'!$B$100,Model!$AO$2839)</f>
        <v>-0.44298300826339471</v>
      </c>
      <c r="AV2932" s="377">
        <f>IPMT('Assumptions (T&amp;D)'!$B$97,Model!AD$1,'Assumptions (T&amp;D)'!$B$100,Model!$AO$2839)</f>
        <v>-0.40239334744456612</v>
      </c>
      <c r="AW2932" s="377">
        <f>IPMT('Assumptions (T&amp;D)'!$B$97,Model!AE$1,'Assumptions (T&amp;D)'!$B$100,Model!$AO$2839)</f>
        <v>-0.35987567773684326</v>
      </c>
      <c r="AX2932" s="377">
        <f>IPMT('Assumptions (T&amp;D)'!$B$97,Model!AF$1,'Assumptions (T&amp;D)'!$B$100,Model!$AO$2839)</f>
        <v>-0.31533841871800344</v>
      </c>
      <c r="AY2932" s="377">
        <f>IPMT('Assumptions (T&amp;D)'!$B$97,Model!AG$1,'Assumptions (T&amp;D)'!$B$100,Model!$AO$2839)</f>
        <v>-0.26868563989576871</v>
      </c>
      <c r="AZ2932" s="377">
        <f>IPMT('Assumptions (T&amp;D)'!$B$97,Model!AH$1,'Assumptions (T&amp;D)'!$B$100,Model!$AO$2839)</f>
        <v>-0.2198168540794779</v>
      </c>
      <c r="BA2932" s="377">
        <f>IPMT('Assumptions (T&amp;D)'!$B$97,Model!AI$1,'Assumptions (T&amp;D)'!$B$100,Model!$AO$2839)</f>
        <v>-0.16862680093691321</v>
      </c>
      <c r="BB2932" s="377">
        <f>IPMT('Assumptions (T&amp;D)'!$B$97,Model!AJ$1,'Assumptions (T&amp;D)'!$B$100,Model!$AO$2839)</f>
        <v>-0.11500522027007672</v>
      </c>
      <c r="BC2932" s="377">
        <f>IPMT('Assumptions (T&amp;D)'!$B$97,Model!AK$1,'Assumptions (T&amp;D)'!$B$100,Model!$AO$2839)</f>
        <v>-5.8836614521565501E-2</v>
      </c>
      <c r="BD2932" s="377"/>
      <c r="BE2932" s="377"/>
      <c r="BF2932" s="377"/>
      <c r="BG2932" s="377"/>
      <c r="BH2932" s="377"/>
      <c r="BI2932" s="377"/>
      <c r="BJ2932" s="377"/>
      <c r="BK2932" s="377"/>
      <c r="BL2932" s="377"/>
      <c r="BM2932" s="377"/>
    </row>
    <row r="2933" spans="1:77" ht="15.75" hidden="1" customHeight="1" outlineLevel="1">
      <c r="A2933" s="460"/>
      <c r="B2933" s="99"/>
      <c r="C2933" s="377"/>
      <c r="D2933" s="377"/>
      <c r="E2933" s="377"/>
      <c r="F2933" s="377"/>
      <c r="G2933" s="377"/>
      <c r="H2933" s="377"/>
      <c r="I2933" s="377"/>
      <c r="J2933" s="377"/>
      <c r="K2933" s="377"/>
      <c r="L2933" s="377"/>
      <c r="M2933" s="377"/>
      <c r="N2933" s="377"/>
      <c r="O2933" s="377"/>
      <c r="P2933" s="377"/>
      <c r="Q2933" s="377"/>
      <c r="R2933" s="377"/>
      <c r="S2933" s="42"/>
      <c r="T2933" s="42"/>
      <c r="U2933" s="42"/>
      <c r="V2933" s="42"/>
      <c r="W2933" s="86"/>
      <c r="AP2933" s="377">
        <f>IPMT('Assumptions (T&amp;D)'!$B$97,Model!W$1,'Assumptions (T&amp;D)'!$B$100,Model!$AP$2839)</f>
        <v>-0.65066105990668488</v>
      </c>
      <c r="AQ2933" s="377">
        <f>IPMT('Assumptions (T&amp;D)'!$B$97,Model!X$1,'Assumptions (T&amp;D)'!$B$100,Model!$AP$2839)</f>
        <v>-0.61993610654091247</v>
      </c>
      <c r="AR2933" s="377">
        <f>IPMT('Assumptions (T&amp;D)'!$B$97,Model!Y$1,'Assumptions (T&amp;D)'!$B$100,Model!$AP$2839)</f>
        <v>-0.58775171789026581</v>
      </c>
      <c r="AS2933" s="377">
        <f>IPMT('Assumptions (T&amp;D)'!$B$97,Model!Z$1,'Assumptions (T&amp;D)'!$B$100,Model!$AP$2839)</f>
        <v>-0.55403857077871377</v>
      </c>
      <c r="AT2933" s="377">
        <f>IPMT('Assumptions (T&amp;D)'!$B$97,Model!AA$1,'Assumptions (T&amp;D)'!$B$100,Model!$AP$2839)</f>
        <v>-0.51872404917936277</v>
      </c>
      <c r="AU2933" s="377">
        <f>IPMT('Assumptions (T&amp;D)'!$B$97,Model!AB$1,'Assumptions (T&amp;D)'!$B$100,Model!$AP$2839)</f>
        <v>-0.48173208780404259</v>
      </c>
      <c r="AV2933" s="377">
        <f>IPMT('Assumptions (T&amp;D)'!$B$97,Model!AC$1,'Assumptions (T&amp;D)'!$B$100,Model!$AP$2839)</f>
        <v>-0.44298300826339471</v>
      </c>
      <c r="AW2933" s="377">
        <f>IPMT('Assumptions (T&amp;D)'!$B$97,Model!AD$1,'Assumptions (T&amp;D)'!$B$100,Model!$AP$2839)</f>
        <v>-0.40239334744456612</v>
      </c>
      <c r="AX2933" s="377">
        <f>IPMT('Assumptions (T&amp;D)'!$B$97,Model!AE$1,'Assumptions (T&amp;D)'!$B$100,Model!$AP$2839)</f>
        <v>-0.35987567773684326</v>
      </c>
      <c r="AY2933" s="377">
        <f>IPMT('Assumptions (T&amp;D)'!$B$97,Model!AF$1,'Assumptions (T&amp;D)'!$B$100,Model!$AP$2839)</f>
        <v>-0.31533841871800344</v>
      </c>
      <c r="AZ2933" s="377">
        <f>IPMT('Assumptions (T&amp;D)'!$B$97,Model!AG$1,'Assumptions (T&amp;D)'!$B$100,Model!$AP$2839)</f>
        <v>-0.26868563989576871</v>
      </c>
      <c r="BA2933" s="377">
        <f>IPMT('Assumptions (T&amp;D)'!$B$97,Model!AH$1,'Assumptions (T&amp;D)'!$B$100,Model!$AP$2839)</f>
        <v>-0.2198168540794779</v>
      </c>
      <c r="BB2933" s="377">
        <f>IPMT('Assumptions (T&amp;D)'!$B$97,Model!AI$1,'Assumptions (T&amp;D)'!$B$100,Model!$AP$2839)</f>
        <v>-0.16862680093691321</v>
      </c>
      <c r="BC2933" s="377">
        <f>IPMT('Assumptions (T&amp;D)'!$B$97,Model!AJ$1,'Assumptions (T&amp;D)'!$B$100,Model!$AP$2839)</f>
        <v>-0.11500522027007672</v>
      </c>
      <c r="BD2933" s="377">
        <f>IPMT('Assumptions (T&amp;D)'!$B$97,Model!AK$1,'Assumptions (T&amp;D)'!$B$100,Model!$AP$2839)</f>
        <v>-5.8836614521565501E-2</v>
      </c>
      <c r="BE2933" s="377"/>
      <c r="BF2933" s="377"/>
      <c r="BG2933" s="377"/>
      <c r="BH2933" s="377"/>
      <c r="BI2933" s="377"/>
      <c r="BJ2933" s="377"/>
      <c r="BK2933" s="377"/>
      <c r="BL2933" s="377"/>
      <c r="BM2933" s="377"/>
      <c r="BN2933" s="377"/>
    </row>
    <row r="2934" spans="1:77" ht="15.75" hidden="1" customHeight="1" outlineLevel="1">
      <c r="A2934" s="460"/>
      <c r="B2934" s="99"/>
      <c r="C2934" s="377"/>
      <c r="D2934" s="377"/>
      <c r="E2934" s="377"/>
      <c r="F2934" s="377"/>
      <c r="G2934" s="377"/>
      <c r="H2934" s="377"/>
      <c r="I2934" s="377"/>
      <c r="J2934" s="377"/>
      <c r="K2934" s="377"/>
      <c r="L2934" s="377"/>
      <c r="M2934" s="377"/>
      <c r="N2934" s="377"/>
      <c r="O2934" s="377"/>
      <c r="P2934" s="377"/>
      <c r="Q2934" s="377"/>
      <c r="R2934" s="377"/>
      <c r="S2934" s="42"/>
      <c r="T2934" s="42"/>
      <c r="U2934" s="42"/>
      <c r="V2934" s="42"/>
      <c r="W2934" s="86"/>
      <c r="AQ2934" s="377">
        <f>IPMT('Assumptions (T&amp;D)'!$B$97,Model!W$1,'Assumptions (T&amp;D)'!$B$100,Model!$AQ$2839)</f>
        <v>-0.65066105990668488</v>
      </c>
      <c r="AR2934" s="377">
        <f>IPMT('Assumptions (T&amp;D)'!$B$97,Model!X$1,'Assumptions (T&amp;D)'!$B$100,Model!$AQ$2839)</f>
        <v>-0.61993610654091247</v>
      </c>
      <c r="AS2934" s="377">
        <f>IPMT('Assumptions (T&amp;D)'!$B$97,Model!Y$1,'Assumptions (T&amp;D)'!$B$100,Model!$AQ$2839)</f>
        <v>-0.58775171789026581</v>
      </c>
      <c r="AT2934" s="377">
        <f>IPMT('Assumptions (T&amp;D)'!$B$97,Model!Z$1,'Assumptions (T&amp;D)'!$B$100,Model!$AQ$2839)</f>
        <v>-0.55403857077871377</v>
      </c>
      <c r="AU2934" s="377">
        <f>IPMT('Assumptions (T&amp;D)'!$B$97,Model!AA$1,'Assumptions (T&amp;D)'!$B$100,Model!$AQ$2839)</f>
        <v>-0.51872404917936277</v>
      </c>
      <c r="AV2934" s="377">
        <f>IPMT('Assumptions (T&amp;D)'!$B$97,Model!AB$1,'Assumptions (T&amp;D)'!$B$100,Model!$AQ$2839)</f>
        <v>-0.48173208780404259</v>
      </c>
      <c r="AW2934" s="377">
        <f>IPMT('Assumptions (T&amp;D)'!$B$97,Model!AC$1,'Assumptions (T&amp;D)'!$B$100,Model!$AQ$2839)</f>
        <v>-0.44298300826339471</v>
      </c>
      <c r="AX2934" s="377">
        <f>IPMT('Assumptions (T&amp;D)'!$B$97,Model!AD$1,'Assumptions (T&amp;D)'!$B$100,Model!$AQ$2839)</f>
        <v>-0.40239334744456612</v>
      </c>
      <c r="AY2934" s="377">
        <f>IPMT('Assumptions (T&amp;D)'!$B$97,Model!AE$1,'Assumptions (T&amp;D)'!$B$100,Model!$AQ$2839)</f>
        <v>-0.35987567773684326</v>
      </c>
      <c r="AZ2934" s="377">
        <f>IPMT('Assumptions (T&amp;D)'!$B$97,Model!AF$1,'Assumptions (T&amp;D)'!$B$100,Model!$AQ$2839)</f>
        <v>-0.31533841871800344</v>
      </c>
      <c r="BA2934" s="377">
        <f>IPMT('Assumptions (T&amp;D)'!$B$97,Model!AG$1,'Assumptions (T&amp;D)'!$B$100,Model!$AQ$2839)</f>
        <v>-0.26868563989576871</v>
      </c>
      <c r="BB2934" s="377">
        <f>IPMT('Assumptions (T&amp;D)'!$B$97,Model!AH$1,'Assumptions (T&amp;D)'!$B$100,Model!$AQ$2839)</f>
        <v>-0.2198168540794779</v>
      </c>
      <c r="BC2934" s="377">
        <f>IPMT('Assumptions (T&amp;D)'!$B$97,Model!AI$1,'Assumptions (T&amp;D)'!$B$100,Model!$AQ$2839)</f>
        <v>-0.16862680093691321</v>
      </c>
      <c r="BD2934" s="377">
        <f>IPMT('Assumptions (T&amp;D)'!$B$97,Model!AJ$1,'Assumptions (T&amp;D)'!$B$100,Model!$AQ$2839)</f>
        <v>-0.11500522027007672</v>
      </c>
      <c r="BE2934" s="377">
        <f>IPMT('Assumptions (T&amp;D)'!$B$97,Model!AK$1,'Assumptions (T&amp;D)'!$B$100,Model!$AQ$2839)</f>
        <v>-5.8836614521565501E-2</v>
      </c>
      <c r="BF2934" s="377"/>
      <c r="BG2934" s="377"/>
      <c r="BH2934" s="377"/>
      <c r="BI2934" s="377"/>
      <c r="BJ2934" s="377"/>
      <c r="BK2934" s="377"/>
      <c r="BL2934" s="377"/>
      <c r="BM2934" s="377"/>
      <c r="BN2934" s="377"/>
      <c r="BO2934" s="377"/>
    </row>
    <row r="2935" spans="1:77" ht="15.75" hidden="1" customHeight="1" outlineLevel="1">
      <c r="A2935" s="460"/>
      <c r="B2935" s="99"/>
      <c r="C2935" s="377"/>
      <c r="D2935" s="377"/>
      <c r="E2935" s="377"/>
      <c r="F2935" s="377"/>
      <c r="G2935" s="377"/>
      <c r="H2935" s="377"/>
      <c r="I2935" s="377"/>
      <c r="J2935" s="377"/>
      <c r="K2935" s="377"/>
      <c r="L2935" s="377"/>
      <c r="M2935" s="377"/>
      <c r="N2935" s="377"/>
      <c r="O2935" s="377"/>
      <c r="P2935" s="377"/>
      <c r="Q2935" s="377"/>
      <c r="R2935" s="377"/>
      <c r="S2935" s="42"/>
      <c r="T2935" s="42"/>
      <c r="U2935" s="42"/>
      <c r="V2935" s="42"/>
      <c r="W2935" s="86"/>
      <c r="AR2935" s="377">
        <f>IPMT('Assumptions (T&amp;D)'!$B$97,Model!W$1,'Assumptions (T&amp;D)'!$B$100,Model!$AR$2839)</f>
        <v>-0.65066105990668488</v>
      </c>
      <c r="AS2935" s="377">
        <f>IPMT('Assumptions (T&amp;D)'!$B$97,Model!X$1,'Assumptions (T&amp;D)'!$B$100,Model!$AR$2839)</f>
        <v>-0.61993610654091247</v>
      </c>
      <c r="AT2935" s="377">
        <f>IPMT('Assumptions (T&amp;D)'!$B$97,Model!Y$1,'Assumptions (T&amp;D)'!$B$100,Model!$AR$2839)</f>
        <v>-0.58775171789026581</v>
      </c>
      <c r="AU2935" s="377">
        <f>IPMT('Assumptions (T&amp;D)'!$B$97,Model!Z$1,'Assumptions (T&amp;D)'!$B$100,Model!$AR$2839)</f>
        <v>-0.55403857077871377</v>
      </c>
      <c r="AV2935" s="377">
        <f>IPMT('Assumptions (T&amp;D)'!$B$97,Model!AA$1,'Assumptions (T&amp;D)'!$B$100,Model!$AR$2839)</f>
        <v>-0.51872404917936277</v>
      </c>
      <c r="AW2935" s="377">
        <f>IPMT('Assumptions (T&amp;D)'!$B$97,Model!AB$1,'Assumptions (T&amp;D)'!$B$100,Model!$AR$2839)</f>
        <v>-0.48173208780404259</v>
      </c>
      <c r="AX2935" s="377">
        <f>IPMT('Assumptions (T&amp;D)'!$B$97,Model!AC$1,'Assumptions (T&amp;D)'!$B$100,Model!$AR$2839)</f>
        <v>-0.44298300826339471</v>
      </c>
      <c r="AY2935" s="377">
        <f>IPMT('Assumptions (T&amp;D)'!$B$97,Model!AD$1,'Assumptions (T&amp;D)'!$B$100,Model!$AR$2839)</f>
        <v>-0.40239334744456612</v>
      </c>
      <c r="AZ2935" s="377">
        <f>IPMT('Assumptions (T&amp;D)'!$B$97,Model!AE$1,'Assumptions (T&amp;D)'!$B$100,Model!$AR$2839)</f>
        <v>-0.35987567773684326</v>
      </c>
      <c r="BA2935" s="377">
        <f>IPMT('Assumptions (T&amp;D)'!$B$97,Model!AF$1,'Assumptions (T&amp;D)'!$B$100,Model!$AR$2839)</f>
        <v>-0.31533841871800344</v>
      </c>
      <c r="BB2935" s="377">
        <f>IPMT('Assumptions (T&amp;D)'!$B$97,Model!AG$1,'Assumptions (T&amp;D)'!$B$100,Model!$AR$2839)</f>
        <v>-0.26868563989576871</v>
      </c>
      <c r="BC2935" s="377">
        <f>IPMT('Assumptions (T&amp;D)'!$B$97,Model!AH$1,'Assumptions (T&amp;D)'!$B$100,Model!$AR$2839)</f>
        <v>-0.2198168540794779</v>
      </c>
      <c r="BD2935" s="377">
        <f>IPMT('Assumptions (T&amp;D)'!$B$97,Model!AI$1,'Assumptions (T&amp;D)'!$B$100,Model!$AR$2839)</f>
        <v>-0.16862680093691321</v>
      </c>
      <c r="BE2935" s="377">
        <f>IPMT('Assumptions (T&amp;D)'!$B$97,Model!AJ$1,'Assumptions (T&amp;D)'!$B$100,Model!$AR$2839)</f>
        <v>-0.11500522027007672</v>
      </c>
      <c r="BF2935" s="377">
        <f>IPMT('Assumptions (T&amp;D)'!$B$97,Model!AK$1,'Assumptions (T&amp;D)'!$B$100,Model!$AR$2839)</f>
        <v>-5.8836614521565501E-2</v>
      </c>
      <c r="BG2935" s="377"/>
      <c r="BH2935" s="377"/>
      <c r="BI2935" s="377"/>
      <c r="BJ2935" s="377"/>
      <c r="BK2935" s="377"/>
      <c r="BL2935" s="377"/>
      <c r="BM2935" s="377"/>
      <c r="BN2935" s="377"/>
      <c r="BO2935" s="377"/>
      <c r="BP2935" s="377"/>
    </row>
    <row r="2936" spans="1:77" ht="15.75" hidden="1" customHeight="1" outlineLevel="1">
      <c r="A2936" s="460"/>
      <c r="B2936" s="99"/>
      <c r="C2936" s="377"/>
      <c r="D2936" s="377"/>
      <c r="E2936" s="377"/>
      <c r="F2936" s="377"/>
      <c r="G2936" s="377"/>
      <c r="H2936" s="377"/>
      <c r="I2936" s="377"/>
      <c r="J2936" s="377"/>
      <c r="K2936" s="377"/>
      <c r="L2936" s="377"/>
      <c r="M2936" s="377"/>
      <c r="N2936" s="377"/>
      <c r="O2936" s="377"/>
      <c r="P2936" s="377"/>
      <c r="Q2936" s="377"/>
      <c r="R2936" s="377"/>
      <c r="S2936" s="42"/>
      <c r="T2936" s="42"/>
      <c r="U2936" s="42"/>
      <c r="V2936" s="42"/>
      <c r="W2936" s="86"/>
      <c r="AS2936" s="377">
        <f>IPMT('Assumptions (T&amp;D)'!$B$97,Model!W$1,'Assumptions (T&amp;D)'!$B$100,Model!$AS$2839)</f>
        <v>-0.65066105990668488</v>
      </c>
      <c r="AT2936" s="377">
        <f>IPMT('Assumptions (T&amp;D)'!$B$97,Model!X$1,'Assumptions (T&amp;D)'!$B$100,Model!$AS$2839)</f>
        <v>-0.61993610654091247</v>
      </c>
      <c r="AU2936" s="377">
        <f>IPMT('Assumptions (T&amp;D)'!$B$97,Model!Y$1,'Assumptions (T&amp;D)'!$B$100,Model!$AS$2839)</f>
        <v>-0.58775171789026581</v>
      </c>
      <c r="AV2936" s="377">
        <f>IPMT('Assumptions (T&amp;D)'!$B$97,Model!Z$1,'Assumptions (T&amp;D)'!$B$100,Model!$AS$2839)</f>
        <v>-0.55403857077871377</v>
      </c>
      <c r="AW2936" s="377">
        <f>IPMT('Assumptions (T&amp;D)'!$B$97,Model!AA$1,'Assumptions (T&amp;D)'!$B$100,Model!$AS$2839)</f>
        <v>-0.51872404917936277</v>
      </c>
      <c r="AX2936" s="377">
        <f>IPMT('Assumptions (T&amp;D)'!$B$97,Model!AB$1,'Assumptions (T&amp;D)'!$B$100,Model!$AS$2839)</f>
        <v>-0.48173208780404259</v>
      </c>
      <c r="AY2936" s="377">
        <f>IPMT('Assumptions (T&amp;D)'!$B$97,Model!AC$1,'Assumptions (T&amp;D)'!$B$100,Model!$AS$2839)</f>
        <v>-0.44298300826339471</v>
      </c>
      <c r="AZ2936" s="377">
        <f>IPMT('Assumptions (T&amp;D)'!$B$97,Model!AD$1,'Assumptions (T&amp;D)'!$B$100,Model!$AS$2839)</f>
        <v>-0.40239334744456612</v>
      </c>
      <c r="BA2936" s="377">
        <f>IPMT('Assumptions (T&amp;D)'!$B$97,Model!AE$1,'Assumptions (T&amp;D)'!$B$100,Model!$AS$2839)</f>
        <v>-0.35987567773684326</v>
      </c>
      <c r="BB2936" s="377">
        <f>IPMT('Assumptions (T&amp;D)'!$B$97,Model!AF$1,'Assumptions (T&amp;D)'!$B$100,Model!$AS$2839)</f>
        <v>-0.31533841871800344</v>
      </c>
      <c r="BC2936" s="377">
        <f>IPMT('Assumptions (T&amp;D)'!$B$97,Model!AG$1,'Assumptions (T&amp;D)'!$B$100,Model!$AS$2839)</f>
        <v>-0.26868563989576871</v>
      </c>
      <c r="BD2936" s="377">
        <f>IPMT('Assumptions (T&amp;D)'!$B$97,Model!AH$1,'Assumptions (T&amp;D)'!$B$100,Model!$AS$2839)</f>
        <v>-0.2198168540794779</v>
      </c>
      <c r="BE2936" s="377">
        <f>IPMT('Assumptions (T&amp;D)'!$B$97,Model!AI$1,'Assumptions (T&amp;D)'!$B$100,Model!$AS$2839)</f>
        <v>-0.16862680093691321</v>
      </c>
      <c r="BF2936" s="377">
        <f>IPMT('Assumptions (T&amp;D)'!$B$97,Model!AJ$1,'Assumptions (T&amp;D)'!$B$100,Model!$AS$2839)</f>
        <v>-0.11500522027007672</v>
      </c>
      <c r="BG2936" s="377">
        <f>IPMT('Assumptions (T&amp;D)'!$B$97,Model!AK$1,'Assumptions (T&amp;D)'!$B$100,Model!$AS$2839)</f>
        <v>-5.8836614521565501E-2</v>
      </c>
      <c r="BH2936" s="377"/>
      <c r="BI2936" s="377"/>
      <c r="BJ2936" s="377"/>
      <c r="BK2936" s="377"/>
      <c r="BL2936" s="377"/>
      <c r="BM2936" s="377"/>
      <c r="BN2936" s="377"/>
      <c r="BO2936" s="377"/>
      <c r="BP2936" s="377"/>
      <c r="BQ2936" s="377"/>
    </row>
    <row r="2937" spans="1:77" ht="15.75" hidden="1" customHeight="1" outlineLevel="1">
      <c r="A2937" s="460"/>
      <c r="B2937" s="99"/>
      <c r="C2937" s="377"/>
      <c r="D2937" s="377"/>
      <c r="E2937" s="377"/>
      <c r="F2937" s="377"/>
      <c r="G2937" s="377"/>
      <c r="H2937" s="377"/>
      <c r="I2937" s="377"/>
      <c r="J2937" s="377"/>
      <c r="K2937" s="377"/>
      <c r="L2937" s="377"/>
      <c r="M2937" s="377"/>
      <c r="N2937" s="377"/>
      <c r="O2937" s="377"/>
      <c r="P2937" s="377"/>
      <c r="Q2937" s="377"/>
      <c r="R2937" s="377"/>
      <c r="S2937" s="42"/>
      <c r="T2937" s="42"/>
      <c r="U2937" s="42"/>
      <c r="V2937" s="42"/>
      <c r="W2937" s="86"/>
      <c r="AT2937" s="377">
        <f>IPMT('Assumptions (T&amp;D)'!$B$97,Model!W$1,'Assumptions (T&amp;D)'!$B$100,Model!$AT$2839)</f>
        <v>-0.65066105990668488</v>
      </c>
      <c r="AU2937" s="377">
        <f>IPMT('Assumptions (T&amp;D)'!$B$97,Model!X$1,'Assumptions (T&amp;D)'!$B$100,Model!$AT$2839)</f>
        <v>-0.61993610654091247</v>
      </c>
      <c r="AV2937" s="377">
        <f>IPMT('Assumptions (T&amp;D)'!$B$97,Model!Y$1,'Assumptions (T&amp;D)'!$B$100,Model!$AT$2839)</f>
        <v>-0.58775171789026581</v>
      </c>
      <c r="AW2937" s="377">
        <f>IPMT('Assumptions (T&amp;D)'!$B$97,Model!Z$1,'Assumptions (T&amp;D)'!$B$100,Model!$AT$2839)</f>
        <v>-0.55403857077871377</v>
      </c>
      <c r="AX2937" s="377">
        <f>IPMT('Assumptions (T&amp;D)'!$B$97,Model!AA$1,'Assumptions (T&amp;D)'!$B$100,Model!$AT$2839)</f>
        <v>-0.51872404917936277</v>
      </c>
      <c r="AY2937" s="377">
        <f>IPMT('Assumptions (T&amp;D)'!$B$97,Model!AB$1,'Assumptions (T&amp;D)'!$B$100,Model!$AT$2839)</f>
        <v>-0.48173208780404259</v>
      </c>
      <c r="AZ2937" s="377">
        <f>IPMT('Assumptions (T&amp;D)'!$B$97,Model!AC$1,'Assumptions (T&amp;D)'!$B$100,Model!$AT$2839)</f>
        <v>-0.44298300826339471</v>
      </c>
      <c r="BA2937" s="377">
        <f>IPMT('Assumptions (T&amp;D)'!$B$97,Model!AD$1,'Assumptions (T&amp;D)'!$B$100,Model!$AT$2839)</f>
        <v>-0.40239334744456612</v>
      </c>
      <c r="BB2937" s="377">
        <f>IPMT('Assumptions (T&amp;D)'!$B$97,Model!AE$1,'Assumptions (T&amp;D)'!$B$100,Model!$AT$2839)</f>
        <v>-0.35987567773684326</v>
      </c>
      <c r="BC2937" s="377">
        <f>IPMT('Assumptions (T&amp;D)'!$B$97,Model!AF$1,'Assumptions (T&amp;D)'!$B$100,Model!$AT$2839)</f>
        <v>-0.31533841871800344</v>
      </c>
      <c r="BD2937" s="377">
        <f>IPMT('Assumptions (T&amp;D)'!$B$97,Model!AG$1,'Assumptions (T&amp;D)'!$B$100,Model!$AT$2839)</f>
        <v>-0.26868563989576871</v>
      </c>
      <c r="BE2937" s="377">
        <f>IPMT('Assumptions (T&amp;D)'!$B$97,Model!AH$1,'Assumptions (T&amp;D)'!$B$100,Model!$AT$2839)</f>
        <v>-0.2198168540794779</v>
      </c>
      <c r="BF2937" s="377">
        <f>IPMT('Assumptions (T&amp;D)'!$B$97,Model!AI$1,'Assumptions (T&amp;D)'!$B$100,Model!$AT$2839)</f>
        <v>-0.16862680093691321</v>
      </c>
      <c r="BG2937" s="377">
        <f>IPMT('Assumptions (T&amp;D)'!$B$97,Model!AJ$1,'Assumptions (T&amp;D)'!$B$100,Model!$AT$2839)</f>
        <v>-0.11500522027007672</v>
      </c>
      <c r="BH2937" s="377">
        <f>IPMT('Assumptions (T&amp;D)'!$B$97,Model!AK$1,'Assumptions (T&amp;D)'!$B$100,Model!$AT$2839)</f>
        <v>-5.8836614521565501E-2</v>
      </c>
      <c r="BI2937" s="377"/>
      <c r="BJ2937" s="377"/>
      <c r="BK2937" s="377"/>
      <c r="BL2937" s="377"/>
      <c r="BM2937" s="377"/>
      <c r="BN2937" s="377"/>
      <c r="BO2937" s="377"/>
      <c r="BP2937" s="377"/>
      <c r="BQ2937" s="377"/>
      <c r="BR2937" s="377"/>
    </row>
    <row r="2938" spans="1:77" ht="15.75" hidden="1" customHeight="1" outlineLevel="1">
      <c r="A2938" s="460"/>
      <c r="B2938" s="99"/>
      <c r="C2938" s="377"/>
      <c r="D2938" s="377"/>
      <c r="E2938" s="377"/>
      <c r="F2938" s="377"/>
      <c r="G2938" s="377"/>
      <c r="H2938" s="377"/>
      <c r="I2938" s="377"/>
      <c r="J2938" s="377"/>
      <c r="K2938" s="377"/>
      <c r="L2938" s="377"/>
      <c r="M2938" s="377"/>
      <c r="N2938" s="377"/>
      <c r="O2938" s="377"/>
      <c r="P2938" s="377"/>
      <c r="Q2938" s="377"/>
      <c r="R2938" s="377"/>
      <c r="S2938" s="42"/>
      <c r="T2938" s="42"/>
      <c r="U2938" s="42"/>
      <c r="V2938" s="42"/>
      <c r="W2938" s="86"/>
      <c r="AU2938" s="377">
        <f>IPMT('Assumptions (T&amp;D)'!$B$97,Model!W$1,'Assumptions (T&amp;D)'!$B$100,Model!$AU$2839)</f>
        <v>-0.65066105990668488</v>
      </c>
      <c r="AV2938" s="377">
        <f>IPMT('Assumptions (T&amp;D)'!$B$97,Model!X$1,'Assumptions (T&amp;D)'!$B$100,Model!$AU$2839)</f>
        <v>-0.61993610654091247</v>
      </c>
      <c r="AW2938" s="377">
        <f>IPMT('Assumptions (T&amp;D)'!$B$97,Model!Y$1,'Assumptions (T&amp;D)'!$B$100,Model!$AU$2839)</f>
        <v>-0.58775171789026581</v>
      </c>
      <c r="AX2938" s="377">
        <f>IPMT('Assumptions (T&amp;D)'!$B$97,Model!Z$1,'Assumptions (T&amp;D)'!$B$100,Model!$AU$2839)</f>
        <v>-0.55403857077871377</v>
      </c>
      <c r="AY2938" s="377">
        <f>IPMT('Assumptions (T&amp;D)'!$B$97,Model!AA$1,'Assumptions (T&amp;D)'!$B$100,Model!$AU$2839)</f>
        <v>-0.51872404917936277</v>
      </c>
      <c r="AZ2938" s="377">
        <f>IPMT('Assumptions (T&amp;D)'!$B$97,Model!AB$1,'Assumptions (T&amp;D)'!$B$100,Model!$AU$2839)</f>
        <v>-0.48173208780404259</v>
      </c>
      <c r="BA2938" s="377">
        <f>IPMT('Assumptions (T&amp;D)'!$B$97,Model!AC$1,'Assumptions (T&amp;D)'!$B$100,Model!$AU$2839)</f>
        <v>-0.44298300826339471</v>
      </c>
      <c r="BB2938" s="377">
        <f>IPMT('Assumptions (T&amp;D)'!$B$97,Model!AD$1,'Assumptions (T&amp;D)'!$B$100,Model!$AU$2839)</f>
        <v>-0.40239334744456612</v>
      </c>
      <c r="BC2938" s="377">
        <f>IPMT('Assumptions (T&amp;D)'!$B$97,Model!AE$1,'Assumptions (T&amp;D)'!$B$100,Model!$AU$2839)</f>
        <v>-0.35987567773684326</v>
      </c>
      <c r="BD2938" s="377">
        <f>IPMT('Assumptions (T&amp;D)'!$B$97,Model!AF$1,'Assumptions (T&amp;D)'!$B$100,Model!$AU$2839)</f>
        <v>-0.31533841871800344</v>
      </c>
      <c r="BE2938" s="377">
        <f>IPMT('Assumptions (T&amp;D)'!$B$97,Model!AG$1,'Assumptions (T&amp;D)'!$B$100,Model!$AU$2839)</f>
        <v>-0.26868563989576871</v>
      </c>
      <c r="BF2938" s="377">
        <f>IPMT('Assumptions (T&amp;D)'!$B$97,Model!AH$1,'Assumptions (T&amp;D)'!$B$100,Model!$AU$2839)</f>
        <v>-0.2198168540794779</v>
      </c>
      <c r="BG2938" s="377">
        <f>IPMT('Assumptions (T&amp;D)'!$B$97,Model!AI$1,'Assumptions (T&amp;D)'!$B$100,Model!$AU$2839)</f>
        <v>-0.16862680093691321</v>
      </c>
      <c r="BH2938" s="377">
        <f>IPMT('Assumptions (T&amp;D)'!$B$97,Model!AJ$1,'Assumptions (T&amp;D)'!$B$100,Model!$AU$2839)</f>
        <v>-0.11500522027007672</v>
      </c>
      <c r="BI2938" s="377">
        <f>IPMT('Assumptions (T&amp;D)'!$B$97,Model!AK$1,'Assumptions (T&amp;D)'!$B$100,Model!$AU$2839)</f>
        <v>-5.8836614521565501E-2</v>
      </c>
      <c r="BJ2938" s="377"/>
      <c r="BK2938" s="377"/>
      <c r="BL2938" s="377"/>
      <c r="BM2938" s="377"/>
      <c r="BN2938" s="377"/>
      <c r="BO2938" s="377"/>
      <c r="BP2938" s="377"/>
      <c r="BQ2938" s="377"/>
      <c r="BR2938" s="377"/>
      <c r="BS2938" s="377"/>
    </row>
    <row r="2939" spans="1:77" ht="15.75" hidden="1" customHeight="1" outlineLevel="1">
      <c r="A2939" s="460"/>
      <c r="B2939" s="99"/>
      <c r="C2939" s="377"/>
      <c r="D2939" s="377"/>
      <c r="E2939" s="377"/>
      <c r="F2939" s="377"/>
      <c r="G2939" s="377"/>
      <c r="H2939" s="377"/>
      <c r="I2939" s="377"/>
      <c r="J2939" s="377"/>
      <c r="K2939" s="377"/>
      <c r="L2939" s="377"/>
      <c r="M2939" s="377"/>
      <c r="N2939" s="377"/>
      <c r="O2939" s="377"/>
      <c r="P2939" s="377"/>
      <c r="Q2939" s="377"/>
      <c r="R2939" s="377"/>
      <c r="S2939" s="42"/>
      <c r="T2939" s="42"/>
      <c r="U2939" s="42"/>
      <c r="V2939" s="42"/>
      <c r="W2939" s="86"/>
      <c r="AV2939" s="377">
        <f>IPMT('Assumptions (T&amp;D)'!$B$97,Model!W$1,'Assumptions (T&amp;D)'!$B$100,Model!$AV$2839)</f>
        <v>-0.65066105990668488</v>
      </c>
      <c r="AW2939" s="377">
        <f>IPMT('Assumptions (T&amp;D)'!$B$97,Model!X$1,'Assumptions (T&amp;D)'!$B$100,Model!$AV$2839)</f>
        <v>-0.61993610654091247</v>
      </c>
      <c r="AX2939" s="377">
        <f>IPMT('Assumptions (T&amp;D)'!$B$97,Model!Y$1,'Assumptions (T&amp;D)'!$B$100,Model!$AV$2839)</f>
        <v>-0.58775171789026581</v>
      </c>
      <c r="AY2939" s="377">
        <f>IPMT('Assumptions (T&amp;D)'!$B$97,Model!Z$1,'Assumptions (T&amp;D)'!$B$100,Model!$AV$2839)</f>
        <v>-0.55403857077871377</v>
      </c>
      <c r="AZ2939" s="377">
        <f>IPMT('Assumptions (T&amp;D)'!$B$97,Model!AA$1,'Assumptions (T&amp;D)'!$B$100,Model!$AV$2839)</f>
        <v>-0.51872404917936277</v>
      </c>
      <c r="BA2939" s="377">
        <f>IPMT('Assumptions (T&amp;D)'!$B$97,Model!AB$1,'Assumptions (T&amp;D)'!$B$100,Model!$AV$2839)</f>
        <v>-0.48173208780404259</v>
      </c>
      <c r="BB2939" s="377">
        <f>IPMT('Assumptions (T&amp;D)'!$B$97,Model!AC$1,'Assumptions (T&amp;D)'!$B$100,Model!$AV$2839)</f>
        <v>-0.44298300826339471</v>
      </c>
      <c r="BC2939" s="377">
        <f>IPMT('Assumptions (T&amp;D)'!$B$97,Model!AD$1,'Assumptions (T&amp;D)'!$B$100,Model!$AV$2839)</f>
        <v>-0.40239334744456612</v>
      </c>
      <c r="BD2939" s="377">
        <f>IPMT('Assumptions (T&amp;D)'!$B$97,Model!AE$1,'Assumptions (T&amp;D)'!$B$100,Model!$AV$2839)</f>
        <v>-0.35987567773684326</v>
      </c>
      <c r="BE2939" s="377">
        <f>IPMT('Assumptions (T&amp;D)'!$B$97,Model!AF$1,'Assumptions (T&amp;D)'!$B$100,Model!$AV$2839)</f>
        <v>-0.31533841871800344</v>
      </c>
      <c r="BF2939" s="377">
        <f>IPMT('Assumptions (T&amp;D)'!$B$97,Model!AG$1,'Assumptions (T&amp;D)'!$B$100,Model!$AV$2839)</f>
        <v>-0.26868563989576871</v>
      </c>
      <c r="BG2939" s="377">
        <f>IPMT('Assumptions (T&amp;D)'!$B$97,Model!AH$1,'Assumptions (T&amp;D)'!$B$100,Model!$AV$2839)</f>
        <v>-0.2198168540794779</v>
      </c>
      <c r="BH2939" s="377">
        <f>IPMT('Assumptions (T&amp;D)'!$B$97,Model!AI$1,'Assumptions (T&amp;D)'!$B$100,Model!$AV$2839)</f>
        <v>-0.16862680093691321</v>
      </c>
      <c r="BI2939" s="377">
        <f>IPMT('Assumptions (T&amp;D)'!$B$97,Model!AJ$1,'Assumptions (T&amp;D)'!$B$100,Model!$AV$2839)</f>
        <v>-0.11500522027007672</v>
      </c>
      <c r="BJ2939" s="377">
        <f>IPMT('Assumptions (T&amp;D)'!$B$97,Model!AK$1,'Assumptions (T&amp;D)'!$B$100,Model!$AV$2839)</f>
        <v>-5.8836614521565501E-2</v>
      </c>
      <c r="BK2939" s="377"/>
      <c r="BL2939" s="377"/>
      <c r="BM2939" s="377"/>
      <c r="BN2939" s="377"/>
      <c r="BO2939" s="377"/>
      <c r="BP2939" s="377"/>
      <c r="BQ2939" s="377"/>
      <c r="BR2939" s="377"/>
      <c r="BS2939" s="377"/>
      <c r="BT2939" s="377"/>
    </row>
    <row r="2940" spans="1:77" ht="15.75" hidden="1" customHeight="1" outlineLevel="1">
      <c r="A2940" s="460"/>
      <c r="B2940" s="99"/>
      <c r="C2940" s="377"/>
      <c r="D2940" s="377"/>
      <c r="E2940" s="377"/>
      <c r="F2940" s="377"/>
      <c r="G2940" s="377"/>
      <c r="H2940" s="377"/>
      <c r="I2940" s="377"/>
      <c r="J2940" s="377"/>
      <c r="K2940" s="377"/>
      <c r="L2940" s="377"/>
      <c r="M2940" s="377"/>
      <c r="N2940" s="377"/>
      <c r="O2940" s="377"/>
      <c r="P2940" s="377"/>
      <c r="Q2940" s="377"/>
      <c r="R2940" s="377"/>
      <c r="S2940" s="42"/>
      <c r="T2940" s="42"/>
      <c r="U2940" s="42"/>
      <c r="V2940" s="42"/>
      <c r="W2940" s="86"/>
      <c r="AW2940" s="377">
        <f>IPMT('Assumptions (T&amp;D)'!$B$97,Model!W$1,'Assumptions (T&amp;D)'!$B$100,Model!$AW$2839)</f>
        <v>-0.65066105990668488</v>
      </c>
      <c r="AX2940" s="377">
        <f>IPMT('Assumptions (T&amp;D)'!$B$97,Model!X$1,'Assumptions (T&amp;D)'!$B$100,Model!$AW$2839)</f>
        <v>-0.61993610654091247</v>
      </c>
      <c r="AY2940" s="377">
        <f>IPMT('Assumptions (T&amp;D)'!$B$97,Model!Y$1,'Assumptions (T&amp;D)'!$B$100,Model!$AW$2839)</f>
        <v>-0.58775171789026581</v>
      </c>
      <c r="AZ2940" s="377">
        <f>IPMT('Assumptions (T&amp;D)'!$B$97,Model!Z$1,'Assumptions (T&amp;D)'!$B$100,Model!$AW$2839)</f>
        <v>-0.55403857077871377</v>
      </c>
      <c r="BA2940" s="377">
        <f>IPMT('Assumptions (T&amp;D)'!$B$97,Model!AA$1,'Assumptions (T&amp;D)'!$B$100,Model!$AW$2839)</f>
        <v>-0.51872404917936277</v>
      </c>
      <c r="BB2940" s="377">
        <f>IPMT('Assumptions (T&amp;D)'!$B$97,Model!AB$1,'Assumptions (T&amp;D)'!$B$100,Model!$AW$2839)</f>
        <v>-0.48173208780404259</v>
      </c>
      <c r="BC2940" s="377">
        <f>IPMT('Assumptions (T&amp;D)'!$B$97,Model!AC$1,'Assumptions (T&amp;D)'!$B$100,Model!$AW$2839)</f>
        <v>-0.44298300826339471</v>
      </c>
      <c r="BD2940" s="377">
        <f>IPMT('Assumptions (T&amp;D)'!$B$97,Model!AD$1,'Assumptions (T&amp;D)'!$B$100,Model!$AW$2839)</f>
        <v>-0.40239334744456612</v>
      </c>
      <c r="BE2940" s="377">
        <f>IPMT('Assumptions (T&amp;D)'!$B$97,Model!AE$1,'Assumptions (T&amp;D)'!$B$100,Model!$AW$2839)</f>
        <v>-0.35987567773684326</v>
      </c>
      <c r="BF2940" s="377">
        <f>IPMT('Assumptions (T&amp;D)'!$B$97,Model!AF$1,'Assumptions (T&amp;D)'!$B$100,Model!$AW$2839)</f>
        <v>-0.31533841871800344</v>
      </c>
      <c r="BG2940" s="377">
        <f>IPMT('Assumptions (T&amp;D)'!$B$97,Model!AG$1,'Assumptions (T&amp;D)'!$B$100,Model!$AW$2839)</f>
        <v>-0.26868563989576871</v>
      </c>
      <c r="BH2940" s="377">
        <f>IPMT('Assumptions (T&amp;D)'!$B$97,Model!AH$1,'Assumptions (T&amp;D)'!$B$100,Model!$AW$2839)</f>
        <v>-0.2198168540794779</v>
      </c>
      <c r="BI2940" s="377">
        <f>IPMT('Assumptions (T&amp;D)'!$B$97,Model!AI$1,'Assumptions (T&amp;D)'!$B$100,Model!$AW$2839)</f>
        <v>-0.16862680093691321</v>
      </c>
      <c r="BJ2940" s="377">
        <f>IPMT('Assumptions (T&amp;D)'!$B$97,Model!AJ$1,'Assumptions (T&amp;D)'!$B$100,Model!$AW$2839)</f>
        <v>-0.11500522027007672</v>
      </c>
      <c r="BK2940" s="377">
        <f>IPMT('Assumptions (T&amp;D)'!$B$97,Model!AK$1,'Assumptions (T&amp;D)'!$B$100,Model!$AW$2839)</f>
        <v>-5.8836614521565501E-2</v>
      </c>
      <c r="BL2940" s="377"/>
      <c r="BM2940" s="377"/>
      <c r="BN2940" s="377"/>
      <c r="BO2940" s="377"/>
      <c r="BP2940" s="377"/>
      <c r="BQ2940" s="377"/>
      <c r="BR2940" s="377"/>
      <c r="BS2940" s="377"/>
      <c r="BT2940" s="377"/>
      <c r="BU2940" s="377"/>
    </row>
    <row r="2941" spans="1:77" ht="15.75" hidden="1" customHeight="1" outlineLevel="1">
      <c r="A2941" s="460"/>
      <c r="B2941" s="99"/>
      <c r="C2941" s="377"/>
      <c r="D2941" s="377"/>
      <c r="E2941" s="377"/>
      <c r="F2941" s="377"/>
      <c r="G2941" s="377"/>
      <c r="H2941" s="377"/>
      <c r="I2941" s="377"/>
      <c r="J2941" s="377"/>
      <c r="K2941" s="377"/>
      <c r="L2941" s="377"/>
      <c r="M2941" s="377"/>
      <c r="N2941" s="377"/>
      <c r="O2941" s="377"/>
      <c r="P2941" s="377"/>
      <c r="Q2941" s="377"/>
      <c r="R2941" s="377"/>
      <c r="S2941" s="42"/>
      <c r="T2941" s="42"/>
      <c r="U2941" s="42"/>
      <c r="V2941" s="42"/>
      <c r="W2941" s="86"/>
      <c r="AW2941" s="377"/>
      <c r="AX2941" s="377">
        <f>IPMT('Assumptions (T&amp;D)'!$B$97,Model!W$1,'Assumptions (T&amp;D)'!$B$100,Model!$AX$2839)</f>
        <v>-0.65066105990668488</v>
      </c>
      <c r="AY2941" s="377">
        <f>IPMT('Assumptions (T&amp;D)'!$B$97,Model!X$1,'Assumptions (T&amp;D)'!$B$100,Model!$AX$2839)</f>
        <v>-0.61993610654091247</v>
      </c>
      <c r="AZ2941" s="377">
        <f>IPMT('Assumptions (T&amp;D)'!$B$97,Model!Y$1,'Assumptions (T&amp;D)'!$B$100,Model!$AX$2839)</f>
        <v>-0.58775171789026581</v>
      </c>
      <c r="BA2941" s="377">
        <f>IPMT('Assumptions (T&amp;D)'!$B$97,Model!Z$1,'Assumptions (T&amp;D)'!$B$100,Model!$AX$2839)</f>
        <v>-0.55403857077871377</v>
      </c>
      <c r="BB2941" s="377">
        <f>IPMT('Assumptions (T&amp;D)'!$B$97,Model!AA$1,'Assumptions (T&amp;D)'!$B$100,Model!$AX$2839)</f>
        <v>-0.51872404917936277</v>
      </c>
      <c r="BC2941" s="377">
        <f>IPMT('Assumptions (T&amp;D)'!$B$97,Model!AB$1,'Assumptions (T&amp;D)'!$B$100,Model!$AX$2839)</f>
        <v>-0.48173208780404259</v>
      </c>
      <c r="BD2941" s="377">
        <f>IPMT('Assumptions (T&amp;D)'!$B$97,Model!AC$1,'Assumptions (T&amp;D)'!$B$100,Model!$AX$2839)</f>
        <v>-0.44298300826339471</v>
      </c>
      <c r="BE2941" s="377">
        <f>IPMT('Assumptions (T&amp;D)'!$B$97,Model!AD$1,'Assumptions (T&amp;D)'!$B$100,Model!$AX$2839)</f>
        <v>-0.40239334744456612</v>
      </c>
      <c r="BF2941" s="377">
        <f>IPMT('Assumptions (T&amp;D)'!$B$97,Model!AE$1,'Assumptions (T&amp;D)'!$B$100,Model!$AX$2839)</f>
        <v>-0.35987567773684326</v>
      </c>
      <c r="BG2941" s="377">
        <f>IPMT('Assumptions (T&amp;D)'!$B$97,Model!AF$1,'Assumptions (T&amp;D)'!$B$100,Model!$AX$2839)</f>
        <v>-0.31533841871800344</v>
      </c>
      <c r="BH2941" s="377">
        <f>IPMT('Assumptions (T&amp;D)'!$B$97,Model!AG$1,'Assumptions (T&amp;D)'!$B$100,Model!$AX$2839)</f>
        <v>-0.26868563989576871</v>
      </c>
      <c r="BI2941" s="377">
        <f>IPMT('Assumptions (T&amp;D)'!$B$97,Model!AH$1,'Assumptions (T&amp;D)'!$B$100,Model!$AX$2839)</f>
        <v>-0.2198168540794779</v>
      </c>
      <c r="BJ2941" s="377">
        <f>IPMT('Assumptions (T&amp;D)'!$B$97,Model!AI$1,'Assumptions (T&amp;D)'!$B$100,Model!$AX$2839)</f>
        <v>-0.16862680093691321</v>
      </c>
      <c r="BK2941" s="377">
        <f>IPMT('Assumptions (T&amp;D)'!$B$97,Model!AJ$1,'Assumptions (T&amp;D)'!$B$100,Model!$AX$2839)</f>
        <v>-0.11500522027007672</v>
      </c>
      <c r="BL2941" s="377">
        <f>IPMT('Assumptions (T&amp;D)'!$B$97,Model!AK$1,'Assumptions (T&amp;D)'!$B$100,Model!$AX$2839)</f>
        <v>-5.8836614521565501E-2</v>
      </c>
      <c r="BM2941" s="377"/>
      <c r="BN2941" s="377"/>
      <c r="BO2941" s="377"/>
      <c r="BP2941" s="377"/>
      <c r="BQ2941" s="377"/>
      <c r="BR2941" s="377"/>
      <c r="BS2941" s="377"/>
      <c r="BT2941" s="377"/>
      <c r="BU2941" s="377"/>
      <c r="BV2941" s="377"/>
    </row>
    <row r="2942" spans="1:77" ht="15.75" hidden="1" customHeight="1" outlineLevel="1">
      <c r="A2942" s="460"/>
      <c r="B2942" s="99"/>
      <c r="C2942" s="377"/>
      <c r="D2942" s="377"/>
      <c r="E2942" s="377"/>
      <c r="F2942" s="377"/>
      <c r="G2942" s="377"/>
      <c r="H2942" s="377"/>
      <c r="I2942" s="377"/>
      <c r="J2942" s="377"/>
      <c r="K2942" s="377"/>
      <c r="L2942" s="377"/>
      <c r="M2942" s="377"/>
      <c r="N2942" s="377"/>
      <c r="O2942" s="377"/>
      <c r="P2942" s="377"/>
      <c r="Q2942" s="377"/>
      <c r="R2942" s="377"/>
      <c r="S2942" s="42"/>
      <c r="T2942" s="42"/>
      <c r="U2942" s="42"/>
      <c r="V2942" s="42"/>
      <c r="W2942" s="86"/>
      <c r="AW2942" s="377"/>
      <c r="AX2942" s="377"/>
      <c r="AY2942" s="377">
        <f>IPMT('Assumptions (T&amp;D)'!$B$97,Model!W$1,'Assumptions (T&amp;D)'!$B$100,Model!$AY$2839)</f>
        <v>-0.65066105990668488</v>
      </c>
      <c r="AZ2942" s="377">
        <f>IPMT('Assumptions (T&amp;D)'!$B$97,Model!X$1,'Assumptions (T&amp;D)'!$B$100,Model!$AY$2839)</f>
        <v>-0.61993610654091247</v>
      </c>
      <c r="BA2942" s="377">
        <f>IPMT('Assumptions (T&amp;D)'!$B$97,Model!Y$1,'Assumptions (T&amp;D)'!$B$100,Model!$AY$2839)</f>
        <v>-0.58775171789026581</v>
      </c>
      <c r="BB2942" s="377">
        <f>IPMT('Assumptions (T&amp;D)'!$B$97,Model!Z$1,'Assumptions (T&amp;D)'!$B$100,Model!$AY$2839)</f>
        <v>-0.55403857077871377</v>
      </c>
      <c r="BC2942" s="377">
        <f>IPMT('Assumptions (T&amp;D)'!$B$97,Model!AA$1,'Assumptions (T&amp;D)'!$B$100,Model!$AY$2839)</f>
        <v>-0.51872404917936277</v>
      </c>
      <c r="BD2942" s="377">
        <f>IPMT('Assumptions (T&amp;D)'!$B$97,Model!AB$1,'Assumptions (T&amp;D)'!$B$100,Model!$AY$2839)</f>
        <v>-0.48173208780404259</v>
      </c>
      <c r="BE2942" s="377">
        <f>IPMT('Assumptions (T&amp;D)'!$B$97,Model!AC$1,'Assumptions (T&amp;D)'!$B$100,Model!$AY$2839)</f>
        <v>-0.44298300826339471</v>
      </c>
      <c r="BF2942" s="377">
        <f>IPMT('Assumptions (T&amp;D)'!$B$97,Model!AD$1,'Assumptions (T&amp;D)'!$B$100,Model!$AY$2839)</f>
        <v>-0.40239334744456612</v>
      </c>
      <c r="BG2942" s="377">
        <f>IPMT('Assumptions (T&amp;D)'!$B$97,Model!AE$1,'Assumptions (T&amp;D)'!$B$100,Model!$AY$2839)</f>
        <v>-0.35987567773684326</v>
      </c>
      <c r="BH2942" s="377">
        <f>IPMT('Assumptions (T&amp;D)'!$B$97,Model!AF$1,'Assumptions (T&amp;D)'!$B$100,Model!$AY$2839)</f>
        <v>-0.31533841871800344</v>
      </c>
      <c r="BI2942" s="377">
        <f>IPMT('Assumptions (T&amp;D)'!$B$97,Model!AG$1,'Assumptions (T&amp;D)'!$B$100,Model!$AY$2839)</f>
        <v>-0.26868563989576871</v>
      </c>
      <c r="BJ2942" s="377">
        <f>IPMT('Assumptions (T&amp;D)'!$B$97,Model!AH$1,'Assumptions (T&amp;D)'!$B$100,Model!$AY$2839)</f>
        <v>-0.2198168540794779</v>
      </c>
      <c r="BK2942" s="377">
        <f>IPMT('Assumptions (T&amp;D)'!$B$97,Model!AI$1,'Assumptions (T&amp;D)'!$B$100,Model!$AY$2839)</f>
        <v>-0.16862680093691321</v>
      </c>
      <c r="BL2942" s="377">
        <f>IPMT('Assumptions (T&amp;D)'!$B$97,Model!AJ$1,'Assumptions (T&amp;D)'!$B$100,Model!$AY$2839)</f>
        <v>-0.11500522027007672</v>
      </c>
      <c r="BM2942" s="377">
        <f>IPMT('Assumptions (T&amp;D)'!$B$97,Model!AK$1,'Assumptions (T&amp;D)'!$B$100,Model!$AY$2839)</f>
        <v>-5.8836614521565501E-2</v>
      </c>
      <c r="BN2942" s="377"/>
      <c r="BO2942" s="377"/>
      <c r="BP2942" s="377"/>
      <c r="BQ2942" s="377"/>
      <c r="BR2942" s="377"/>
      <c r="BS2942" s="377"/>
      <c r="BT2942" s="377"/>
      <c r="BU2942" s="377"/>
      <c r="BV2942" s="377"/>
      <c r="BW2942" s="377"/>
    </row>
    <row r="2943" spans="1:77" ht="15.75" hidden="1" customHeight="1" outlineLevel="1">
      <c r="A2943" s="460"/>
      <c r="B2943" s="99"/>
      <c r="C2943" s="377"/>
      <c r="D2943" s="377"/>
      <c r="E2943" s="377"/>
      <c r="F2943" s="377"/>
      <c r="G2943" s="377"/>
      <c r="H2943" s="377"/>
      <c r="I2943" s="377"/>
      <c r="J2943" s="377"/>
      <c r="K2943" s="377"/>
      <c r="L2943" s="377"/>
      <c r="M2943" s="377"/>
      <c r="N2943" s="377"/>
      <c r="O2943" s="377"/>
      <c r="P2943" s="377"/>
      <c r="Q2943" s="377"/>
      <c r="R2943" s="377"/>
      <c r="S2943" s="42"/>
      <c r="T2943" s="42"/>
      <c r="U2943" s="42"/>
      <c r="V2943" s="42"/>
      <c r="W2943" s="86"/>
      <c r="AW2943" s="377"/>
      <c r="AX2943" s="377"/>
      <c r="AY2943" s="377"/>
      <c r="AZ2943" s="377">
        <f>IPMT('Assumptions (T&amp;D)'!$B$97,Model!W$1,'Assumptions (T&amp;D)'!$B$100,Model!$AZ$2839)</f>
        <v>-0.65066105990668488</v>
      </c>
      <c r="BA2943" s="377">
        <f>IPMT('Assumptions (T&amp;D)'!$B$97,Model!X$1,'Assumptions (T&amp;D)'!$B$100,Model!$AZ$2839)</f>
        <v>-0.61993610654091247</v>
      </c>
      <c r="BB2943" s="377">
        <f>IPMT('Assumptions (T&amp;D)'!$B$97,Model!Y$1,'Assumptions (T&amp;D)'!$B$100,Model!$AZ$2839)</f>
        <v>-0.58775171789026581</v>
      </c>
      <c r="BC2943" s="377">
        <f>IPMT('Assumptions (T&amp;D)'!$B$97,Model!Z$1,'Assumptions (T&amp;D)'!$B$100,Model!$AZ$2839)</f>
        <v>-0.55403857077871377</v>
      </c>
      <c r="BD2943" s="377">
        <f>IPMT('Assumptions (T&amp;D)'!$B$97,Model!AA$1,'Assumptions (T&amp;D)'!$B$100,Model!$AZ$2839)</f>
        <v>-0.51872404917936277</v>
      </c>
      <c r="BE2943" s="377">
        <f>IPMT('Assumptions (T&amp;D)'!$B$97,Model!AB$1,'Assumptions (T&amp;D)'!$B$100,Model!$AZ$2839)</f>
        <v>-0.48173208780404259</v>
      </c>
      <c r="BF2943" s="377">
        <f>IPMT('Assumptions (T&amp;D)'!$B$97,Model!AC$1,'Assumptions (T&amp;D)'!$B$100,Model!$AZ$2839)</f>
        <v>-0.44298300826339471</v>
      </c>
      <c r="BG2943" s="377">
        <f>IPMT('Assumptions (T&amp;D)'!$B$97,Model!AD$1,'Assumptions (T&amp;D)'!$B$100,Model!$AZ$2839)</f>
        <v>-0.40239334744456612</v>
      </c>
      <c r="BH2943" s="377">
        <f>IPMT('Assumptions (T&amp;D)'!$B$97,Model!AE$1,'Assumptions (T&amp;D)'!$B$100,Model!$AZ$2839)</f>
        <v>-0.35987567773684326</v>
      </c>
      <c r="BI2943" s="377">
        <f>IPMT('Assumptions (T&amp;D)'!$B$97,Model!AF$1,'Assumptions (T&amp;D)'!$B$100,Model!$AZ$2839)</f>
        <v>-0.31533841871800344</v>
      </c>
      <c r="BJ2943" s="377">
        <f>IPMT('Assumptions (T&amp;D)'!$B$97,Model!AG$1,'Assumptions (T&amp;D)'!$B$100,Model!$AZ$2839)</f>
        <v>-0.26868563989576871</v>
      </c>
      <c r="BK2943" s="377">
        <f>IPMT('Assumptions (T&amp;D)'!$B$97,Model!AH$1,'Assumptions (T&amp;D)'!$B$100,Model!$AZ$2839)</f>
        <v>-0.2198168540794779</v>
      </c>
      <c r="BL2943" s="377">
        <f>IPMT('Assumptions (T&amp;D)'!$B$97,Model!AI$1,'Assumptions (T&amp;D)'!$B$100,Model!$AZ$2839)</f>
        <v>-0.16862680093691321</v>
      </c>
      <c r="BM2943" s="377">
        <f>IPMT('Assumptions (T&amp;D)'!$B$97,Model!AJ$1,'Assumptions (T&amp;D)'!$B$100,Model!$AZ$2839)</f>
        <v>-0.11500522027007672</v>
      </c>
      <c r="BN2943" s="377">
        <f>IPMT('Assumptions (T&amp;D)'!$B$97,Model!AK$1,'Assumptions (T&amp;D)'!$B$100,Model!$AZ$2839)</f>
        <v>-5.8836614521565501E-2</v>
      </c>
      <c r="BO2943" s="377"/>
      <c r="BP2943" s="377"/>
      <c r="BQ2943" s="377"/>
      <c r="BR2943" s="377"/>
      <c r="BS2943" s="377"/>
      <c r="BT2943" s="377"/>
      <c r="BU2943" s="377"/>
      <c r="BV2943" s="377"/>
      <c r="BW2943" s="377"/>
      <c r="BX2943" s="377"/>
    </row>
    <row r="2944" spans="1:77" ht="15.75" hidden="1" customHeight="1" outlineLevel="1">
      <c r="A2944" s="460"/>
      <c r="B2944" s="99"/>
      <c r="C2944" s="377"/>
      <c r="D2944" s="377"/>
      <c r="E2944" s="377"/>
      <c r="F2944" s="377"/>
      <c r="G2944" s="377"/>
      <c r="H2944" s="377"/>
      <c r="I2944" s="377"/>
      <c r="J2944" s="377"/>
      <c r="K2944" s="377"/>
      <c r="L2944" s="377"/>
      <c r="M2944" s="377"/>
      <c r="N2944" s="377"/>
      <c r="O2944" s="377"/>
      <c r="P2944" s="377"/>
      <c r="Q2944" s="377"/>
      <c r="R2944" s="377"/>
      <c r="S2944" s="42"/>
      <c r="T2944" s="42"/>
      <c r="U2944" s="42"/>
      <c r="V2944" s="42"/>
      <c r="W2944" s="86"/>
      <c r="BA2944" s="377">
        <f>IPMT('Assumptions (T&amp;D)'!$B$97,Model!W$1,'Assumptions (T&amp;D)'!$B$100,Model!$BA$2839)</f>
        <v>-0.65066105990668488</v>
      </c>
      <c r="BB2944" s="377">
        <f>IPMT('Assumptions (T&amp;D)'!$B$97,Model!X$1,'Assumptions (T&amp;D)'!$B$100,Model!$BA$2839)</f>
        <v>-0.61993610654091247</v>
      </c>
      <c r="BC2944" s="377">
        <f>IPMT('Assumptions (T&amp;D)'!$B$97,Model!Y$1,'Assumptions (T&amp;D)'!$B$100,Model!$BA$2839)</f>
        <v>-0.58775171789026581</v>
      </c>
      <c r="BD2944" s="377">
        <f>IPMT('Assumptions (T&amp;D)'!$B$97,Model!Z$1,'Assumptions (T&amp;D)'!$B$100,Model!$BA$2839)</f>
        <v>-0.55403857077871377</v>
      </c>
      <c r="BE2944" s="377">
        <f>IPMT('Assumptions (T&amp;D)'!$B$97,Model!AA$1,'Assumptions (T&amp;D)'!$B$100,Model!$BA$2839)</f>
        <v>-0.51872404917936277</v>
      </c>
      <c r="BF2944" s="377">
        <f>IPMT('Assumptions (T&amp;D)'!$B$97,Model!AB$1,'Assumptions (T&amp;D)'!$B$100,Model!$BA$2839)</f>
        <v>-0.48173208780404259</v>
      </c>
      <c r="BG2944" s="377">
        <f>IPMT('Assumptions (T&amp;D)'!$B$97,Model!AC$1,'Assumptions (T&amp;D)'!$B$100,Model!$BA$2839)</f>
        <v>-0.44298300826339471</v>
      </c>
      <c r="BH2944" s="377">
        <f>IPMT('Assumptions (T&amp;D)'!$B$97,Model!AD$1,'Assumptions (T&amp;D)'!$B$100,Model!$BA$2839)</f>
        <v>-0.40239334744456612</v>
      </c>
      <c r="BI2944" s="377">
        <f>IPMT('Assumptions (T&amp;D)'!$B$97,Model!AE$1,'Assumptions (T&amp;D)'!$B$100,Model!$BA$2839)</f>
        <v>-0.35987567773684326</v>
      </c>
      <c r="BJ2944" s="377">
        <f>IPMT('Assumptions (T&amp;D)'!$B$97,Model!AF$1,'Assumptions (T&amp;D)'!$B$100,Model!$BA$2839)</f>
        <v>-0.31533841871800344</v>
      </c>
      <c r="BK2944" s="377">
        <f>IPMT('Assumptions (T&amp;D)'!$B$97,Model!AG$1,'Assumptions (T&amp;D)'!$B$100,Model!$BA$2839)</f>
        <v>-0.26868563989576871</v>
      </c>
      <c r="BL2944" s="377">
        <f>IPMT('Assumptions (T&amp;D)'!$B$97,Model!AH$1,'Assumptions (T&amp;D)'!$B$100,Model!$BA$2839)</f>
        <v>-0.2198168540794779</v>
      </c>
      <c r="BM2944" s="377">
        <f>IPMT('Assumptions (T&amp;D)'!$B$97,Model!AI$1,'Assumptions (T&amp;D)'!$B$100,Model!$BA$2839)</f>
        <v>-0.16862680093691321</v>
      </c>
      <c r="BN2944" s="377">
        <f>IPMT('Assumptions (T&amp;D)'!$B$97,Model!AJ$1,'Assumptions (T&amp;D)'!$B$100,Model!$BA$2839)</f>
        <v>-0.11500522027007672</v>
      </c>
      <c r="BO2944" s="377">
        <f>IPMT('Assumptions (T&amp;D)'!$B$97,Model!AK$1,'Assumptions (T&amp;D)'!$B$100,Model!$BA$2839)</f>
        <v>-5.8836614521565501E-2</v>
      </c>
      <c r="BP2944" s="377"/>
      <c r="BQ2944" s="377"/>
      <c r="BR2944" s="377"/>
      <c r="BS2944" s="377"/>
      <c r="BT2944" s="377"/>
      <c r="BU2944" s="377"/>
      <c r="BV2944" s="377"/>
      <c r="BW2944" s="377"/>
      <c r="BX2944" s="377"/>
      <c r="BY2944" s="377"/>
    </row>
    <row r="2945" spans="1:82" ht="15.75" customHeight="1" collapsed="1">
      <c r="A2945" s="460" t="s">
        <v>837</v>
      </c>
      <c r="B2945" s="99" t="s">
        <v>201</v>
      </c>
      <c r="C2945" s="147">
        <f>SUM($C$2838:C2838)*'Assumptions (T&amp;D)'!$B$102</f>
        <v>0.51666313376190476</v>
      </c>
      <c r="D2945" s="147">
        <f>SUM($C$2838:D2838)*'Assumptions (T&amp;D)'!$B$102</f>
        <v>1.0623717883333335</v>
      </c>
      <c r="E2945" s="147">
        <f>SUM($C$2838:E2838)*'Assumptions (T&amp;D)'!$B$102</f>
        <v>1.6027308484761909</v>
      </c>
      <c r="F2945" s="147">
        <f>SUM($C$2838:F2838)*'Assumptions (T&amp;D)'!$B$102</f>
        <v>2.1763735321904765</v>
      </c>
      <c r="G2945" s="147">
        <f>SUM($C$2838:G2838)*'Assumptions (T&amp;D)'!$B$102</f>
        <v>2.7988018951428577</v>
      </c>
      <c r="H2945" s="147">
        <f>SUM($C$2838:H2838)*'Assumptions (T&amp;D)'!$B$102</f>
        <v>3.4558780995238099</v>
      </c>
      <c r="I2945" s="147">
        <f>SUM($C$2838:I2838)*'Assumptions (T&amp;D)'!$B$102</f>
        <v>4.2469724861904767</v>
      </c>
      <c r="J2945" s="147">
        <f>SUM($C$2838:J2838)*'Assumptions (T&amp;D)'!$B$102</f>
        <v>5.0043223316666676</v>
      </c>
      <c r="K2945" s="147">
        <f>SUM($C$2838:K2838)*'Assumptions (T&amp;D)'!$B$102</f>
        <v>5.843870615619049</v>
      </c>
      <c r="L2945" s="147">
        <f>SUM($C$2838:L2838)*'Assumptions (T&amp;D)'!$B$102</f>
        <v>6.670756962476192</v>
      </c>
      <c r="M2945" s="147">
        <f>SUM($C$2838:M2838)*'Assumptions (T&amp;D)'!$B$102</f>
        <v>7.4771194829523822</v>
      </c>
      <c r="N2945" s="147">
        <f>SUM($C$2838:N2838)*'Assumptions (T&amp;D)'!$B$102</f>
        <v>8.3050332081904781</v>
      </c>
      <c r="O2945" s="147">
        <f>SUM($C$2838:O2838)*'Assumptions (T&amp;D)'!$B$102</f>
        <v>9.2459002128571459</v>
      </c>
      <c r="P2945" s="147">
        <f>SUM($C$2838:P2838)*'Assumptions (T&amp;D)'!$B$102</f>
        <v>10.133863455761908</v>
      </c>
      <c r="Q2945" s="147">
        <f>SUM($C$2838:Q2838)*'Assumptions (T&amp;D)'!$B$102</f>
        <v>11.133356630428574</v>
      </c>
      <c r="R2945" s="147">
        <f>SUM($C$2838:R2838)*'Assumptions (T&amp;D)'!$B$102</f>
        <v>12.23617837504762</v>
      </c>
      <c r="S2945" s="147">
        <f>SUM($C$2838:S2838)*'Assumptions (T&amp;D)'!$B$102</f>
        <v>13.409303948095239</v>
      </c>
      <c r="T2945" s="147">
        <f>SUM($C$2838:T2838)*'Assumptions (T&amp;D)'!$B$102</f>
        <v>14.647399186190478</v>
      </c>
      <c r="U2945" s="147">
        <f>SUM($C$2838:U2838)*'Assumptions (T&amp;D)'!$B$102</f>
        <v>15.788909817605715</v>
      </c>
      <c r="V2945" s="147">
        <f>SUM($C$2838:V2838)*'Assumptions (T&amp;D)'!$B$102</f>
        <v>16.930420449020954</v>
      </c>
      <c r="W2945" s="147">
        <f>SUM($C$2838:W2838)*'Assumptions (T&amp;D)'!$B$102</f>
        <v>18.071931080436187</v>
      </c>
      <c r="X2945" s="147">
        <f>SUM($C$2838:X2838)*'Assumptions (T&amp;D)'!$B$102</f>
        <v>19.213441711851424</v>
      </c>
      <c r="Y2945" s="147">
        <f>SUM($C$2838:Y2838)*'Assumptions (T&amp;D)'!$B$102</f>
        <v>20.354952343266657</v>
      </c>
      <c r="Z2945" s="147">
        <f>SUM($C$2838:Z2838)*'Assumptions (T&amp;D)'!$B$102</f>
        <v>21.496462974681894</v>
      </c>
      <c r="AA2945" s="147">
        <f>SUM($C$2838:AA2838)*'Assumptions (T&amp;D)'!$B$102</f>
        <v>22.63797360609713</v>
      </c>
      <c r="AB2945" s="147">
        <f>SUM($C$2838:AB2838)*'Assumptions (T&amp;D)'!$B$102</f>
        <v>23.779484237512364</v>
      </c>
      <c r="AC2945" s="147">
        <f>SUM($C$2838:AC2838)*'Assumptions (T&amp;D)'!$B$102</f>
        <v>24.9209948689276</v>
      </c>
      <c r="AD2945" s="147">
        <f>SUM($C$2838:AD2838)*'Assumptions (T&amp;D)'!$B$102</f>
        <v>26.062505500342834</v>
      </c>
      <c r="AE2945" s="147">
        <f>SUM($C$2838:AE2838)*'Assumptions (T&amp;D)'!$B$102</f>
        <v>27.20401613175807</v>
      </c>
      <c r="AF2945" s="147">
        <f>SUM($C$2838:AF2838)*'Assumptions (T&amp;D)'!$B$102</f>
        <v>28.345526763173307</v>
      </c>
      <c r="AG2945" s="147">
        <f>SUM($D$2838:AG2838)*'Assumptions (T&amp;D)'!$B$102</f>
        <v>28.970374260826638</v>
      </c>
      <c r="AH2945" s="147">
        <f>SUM($E$2838:AH2838)*'Assumptions (T&amp;D)'!$B$102</f>
        <v>29.566176237670444</v>
      </c>
      <c r="AI2945" s="147">
        <f>SUM($F$2838:AI2838)*'Assumptions (T&amp;D)'!$B$102</f>
        <v>30.167327808942826</v>
      </c>
      <c r="AJ2945" s="147">
        <f>SUM($G$2838:AJ2838)*'Assumptions (T&amp;D)'!$B$102</f>
        <v>30.735195756643773</v>
      </c>
      <c r="AK2945" s="147">
        <f>SUM($H$2838:AK2838)*'Assumptions (T&amp;D)'!$B$102</f>
        <v>31.254278025106629</v>
      </c>
      <c r="AL2945" s="147">
        <f>SUM($I$2838:AL2838)*'Assumptions (T&amp;D)'!$B$102</f>
        <v>31.738712452140916</v>
      </c>
      <c r="AM2945" s="147">
        <f>SUM($J$2838:AM2838)*'Assumptions (T&amp;D)'!$B$102</f>
        <v>32.089128696889489</v>
      </c>
      <c r="AN2945" s="147">
        <f>SUM($K$2838:AN2838)*'Assumptions (T&amp;D)'!$B$102</f>
        <v>32.473289482828527</v>
      </c>
      <c r="AO2945" s="147">
        <f>SUM($L$2838:AO2838)*'Assumptions (T&amp;D)'!$B$102</f>
        <v>32.775251830291381</v>
      </c>
      <c r="AP2945" s="147">
        <f>SUM($M$2838:AP2838)*'Assumptions (T&amp;D)'!$B$102</f>
        <v>33.089876114849481</v>
      </c>
      <c r="AQ2945" s="147">
        <f>SUM($N$2838:AQ2838)*'Assumptions (T&amp;D)'!$B$102</f>
        <v>33.425024225788526</v>
      </c>
      <c r="AR2945" s="147">
        <f>SUM($O$2838:AR2838)*'Assumptions (T&amp;D)'!$B$102</f>
        <v>33.738621131965665</v>
      </c>
      <c r="AS2945" s="147">
        <f>SUM($P$2838:AS2838)*'Assumptions (T&amp;D)'!$B$102</f>
        <v>33.939264758714238</v>
      </c>
      <c r="AT2945" s="147">
        <f>SUM($Q$2838:AT2838)*'Assumptions (T&amp;D)'!$B$102</f>
        <v>34.192812147224707</v>
      </c>
      <c r="AU2945" s="147">
        <f>SUM($R$2838:AU2838)*'Assumptions (T&amp;D)'!$B$102</f>
        <v>34.334829603973276</v>
      </c>
      <c r="AV2945" s="147">
        <f>SUM($S$2838:AV2838)*'Assumptions (T&amp;D)'!$B$102</f>
        <v>34.37351849076947</v>
      </c>
      <c r="AW2945" s="147">
        <f>SUM($T$2838:AW2838)*'Assumptions (T&amp;D)'!$B$102</f>
        <v>34.341903549137086</v>
      </c>
      <c r="AX2945" s="147">
        <f>SUM($U$2838:AX2838)*'Assumptions (T&amp;D)'!$B$102</f>
        <v>34.245318942457082</v>
      </c>
      <c r="AY2945" s="147">
        <f>SUM($V$2838:AY2838)*'Assumptions (T&amp;D)'!$B$102</f>
        <v>34.245318942457082</v>
      </c>
      <c r="AZ2945" s="147">
        <f>SUM($W$2838:AZ2838)*'Assumptions (T&amp;D)'!$B$102</f>
        <v>34.245318942457082</v>
      </c>
      <c r="BA2945" s="147">
        <f>SUM($X$2838:BA2838)*'Assumptions (T&amp;D)'!$B$102</f>
        <v>34.245318942457082</v>
      </c>
      <c r="BB2945" s="147">
        <f>SUM($Y$2838:BB2838)*'Assumptions (T&amp;D)'!$B$102</f>
        <v>33.103808311041846</v>
      </c>
      <c r="BC2945" s="147">
        <f>SUM($Z$2838:BC2838)*'Assumptions (T&amp;D)'!$B$102</f>
        <v>31.962297679626612</v>
      </c>
      <c r="BD2945" s="147">
        <f>SUM($AA$2838:BD2838)*'Assumptions (T&amp;D)'!$B$102</f>
        <v>30.820787048211375</v>
      </c>
      <c r="BE2945" s="147">
        <f>SUM($AB$2838:BE2838)*'Assumptions (T&amp;D)'!$B$102</f>
        <v>29.679276416796142</v>
      </c>
      <c r="BF2945" s="147">
        <f>SUM($AC$2838:BF2838)*'Assumptions (T&amp;D)'!$B$102</f>
        <v>28.537765785380905</v>
      </c>
      <c r="BG2945" s="147">
        <f>SUM($AD$2838:BG2838)*'Assumptions (T&amp;D)'!$B$102</f>
        <v>27.396255153965672</v>
      </c>
      <c r="BH2945" s="147">
        <f>SUM($AE$2838:BH2838)*'Assumptions (T&amp;D)'!$B$102</f>
        <v>26.254744522550435</v>
      </c>
      <c r="BI2945" s="147">
        <f>SUM($AF$2838:BI2838)*'Assumptions (T&amp;D)'!$B$102</f>
        <v>25.113233891135202</v>
      </c>
      <c r="BJ2945" s="147">
        <f>SUM($AG$2838:BJ2838)*'Assumptions (T&amp;D)'!$B$102</f>
        <v>23.971723259719965</v>
      </c>
      <c r="BK2945" s="147">
        <f>SUM($AH$2838:BK2838)*'Assumptions (T&amp;D)'!$B$102</f>
        <v>22.830212628304729</v>
      </c>
      <c r="BL2945" s="147">
        <f>SUM($AI$2838:BL2838)*'Assumptions (T&amp;D)'!$B$102</f>
        <v>21.688701996889495</v>
      </c>
      <c r="BM2945" s="147">
        <f>SUM($AJ$2838:BM2838)*'Assumptions (T&amp;D)'!$B$102</f>
        <v>20.547191365474259</v>
      </c>
      <c r="BN2945" s="147">
        <f>SUM($AK$2838:BN2838)*'Assumptions (T&amp;D)'!$B$102</f>
        <v>19.405680734059025</v>
      </c>
      <c r="BO2945" s="147">
        <f>SUM($AL$2838:BO2838)*'Assumptions (T&amp;D)'!$B$102</f>
        <v>18.264170102643789</v>
      </c>
      <c r="BP2945" s="147">
        <f>SUM($AM$2838:BP2838)*'Assumptions (T&amp;D)'!$B$102</f>
        <v>17.122659471228552</v>
      </c>
      <c r="BQ2945" s="147">
        <f>SUM($AN$2838:BQ2838)*'Assumptions (T&amp;D)'!$B$102</f>
        <v>15.981148839813315</v>
      </c>
      <c r="BR2945" s="147">
        <f>SUM($AO$2838:BR2838)*'Assumptions (T&amp;D)'!$B$102</f>
        <v>14.839638208398078</v>
      </c>
      <c r="BS2945" s="147">
        <f>SUM($AP$2838:BS2838)*'Assumptions (T&amp;D)'!$B$102</f>
        <v>13.698127576982841</v>
      </c>
      <c r="BT2945" s="147">
        <f>SUM($AQ$2838:BT2838)*'Assumptions (T&amp;D)'!$B$102</f>
        <v>12.556616945567605</v>
      </c>
      <c r="BU2945" s="147">
        <f>SUM($AR$2838:BU2838)*'Assumptions (T&amp;D)'!$B$102</f>
        <v>11.415106314152366</v>
      </c>
      <c r="BV2945" s="147">
        <f>SUM($AS$2838:BV2838)*'Assumptions (T&amp;D)'!$B$102</f>
        <v>10.273595682737129</v>
      </c>
      <c r="BW2945" s="147">
        <f>SUM($AT$2838:BW2838)*'Assumptions (T&amp;D)'!$B$102</f>
        <v>9.1320850513218925</v>
      </c>
      <c r="BX2945" s="147">
        <f>SUM($AU$2838:BX2838)*'Assumptions (T&amp;D)'!$B$102</f>
        <v>7.9905744199066548</v>
      </c>
      <c r="BY2945" s="147">
        <f>SUM($AV$2838:BY2838)*'Assumptions (T&amp;D)'!$B$102</f>
        <v>6.8490637884914189</v>
      </c>
      <c r="BZ2945" s="147">
        <f>SUM($AW$2838:BZ2838)*'Assumptions (T&amp;D)'!$B$102</f>
        <v>5.7075531570761822</v>
      </c>
      <c r="CA2945" s="147">
        <f>SUM($AX$2838:CA2838)*'Assumptions (T&amp;D)'!$B$102</f>
        <v>4.5660425256609463</v>
      </c>
      <c r="CB2945" s="147">
        <f>SUM($AY$2838:CB2838)*'Assumptions (T&amp;D)'!$B$102</f>
        <v>3.4245318942457099</v>
      </c>
      <c r="CC2945" s="147">
        <f>SUM($AZ$2838:CC2838)*'Assumptions (T&amp;D)'!$B$102</f>
        <v>2.2830212628304731</v>
      </c>
      <c r="CD2945" s="147">
        <f>SUM($BA$2838:CD2838)*'Assumptions (T&amp;D)'!$B$102</f>
        <v>1.1415106314152366</v>
      </c>
    </row>
    <row r="2946" spans="1:82" ht="15.75" customHeight="1">
      <c r="A2946" s="460" t="s">
        <v>838</v>
      </c>
      <c r="B2946" s="99" t="s">
        <v>201</v>
      </c>
      <c r="C2946" s="147">
        <f t="shared" ref="C2946:BU2946" si="65">SUM(C2947:C2997)</f>
        <v>0.58124602548214288</v>
      </c>
      <c r="D2946" s="147">
        <f t="shared" si="65"/>
        <v>1.7328595851810147</v>
      </c>
      <c r="E2946" s="147">
        <f t="shared" si="65"/>
        <v>2.8246730991045288</v>
      </c>
      <c r="F2946" s="147">
        <f t="shared" si="65"/>
        <v>3.8661410948761721</v>
      </c>
      <c r="G2946" s="147">
        <f t="shared" si="65"/>
        <v>4.9217247545544582</v>
      </c>
      <c r="H2946" s="147">
        <f t="shared" si="65"/>
        <v>5.9920663313228291</v>
      </c>
      <c r="I2946" s="147">
        <f t="shared" si="65"/>
        <v>7.1717919161989867</v>
      </c>
      <c r="J2946" s="147">
        <f t="shared" si="65"/>
        <v>8.3759408975466165</v>
      </c>
      <c r="K2946" s="147">
        <f t="shared" si="65"/>
        <v>9.5875400637964159</v>
      </c>
      <c r="L2946" s="147">
        <f t="shared" si="65"/>
        <v>10.84068102763613</v>
      </c>
      <c r="M2946" s="147">
        <f t="shared" si="65"/>
        <v>12.016925171849202</v>
      </c>
      <c r="N2946" s="147">
        <f t="shared" si="65"/>
        <v>13.163046634908914</v>
      </c>
      <c r="O2946" s="147">
        <f t="shared" si="65"/>
        <v>14.436286771901401</v>
      </c>
      <c r="P2946" s="147">
        <f t="shared" si="65"/>
        <v>15.746874051292073</v>
      </c>
      <c r="Q2946" s="147">
        <f t="shared" si="65"/>
        <v>17.102401310444044</v>
      </c>
      <c r="R2946" s="147">
        <f t="shared" si="65"/>
        <v>18.674447809909989</v>
      </c>
      <c r="S2946" s="147">
        <f t="shared" si="65"/>
        <v>20.406975047288757</v>
      </c>
      <c r="T2946" s="147">
        <f t="shared" si="65"/>
        <v>22.244789396910587</v>
      </c>
      <c r="U2946" s="147">
        <f t="shared" si="65"/>
        <v>23.990665277557699</v>
      </c>
      <c r="V2946" s="147">
        <f t="shared" si="65"/>
        <v>25.579511215863551</v>
      </c>
      <c r="W2946" s="147">
        <f t="shared" si="65"/>
        <v>26.796157604961536</v>
      </c>
      <c r="X2946" s="147">
        <f t="shared" si="65"/>
        <v>27.620293954001035</v>
      </c>
      <c r="Y2946" s="147">
        <f t="shared" si="65"/>
        <v>28.412055462971857</v>
      </c>
      <c r="Z2946" s="147">
        <f t="shared" si="65"/>
        <v>29.180061391230776</v>
      </c>
      <c r="AA2946" s="147">
        <f t="shared" si="65"/>
        <v>29.896365046933536</v>
      </c>
      <c r="AB2946" s="147">
        <f t="shared" si="65"/>
        <v>30.566133104359331</v>
      </c>
      <c r="AC2946" s="147">
        <f t="shared" si="65"/>
        <v>31.12487149722368</v>
      </c>
      <c r="AD2946" s="147">
        <f t="shared" si="65"/>
        <v>31.616445940749394</v>
      </c>
      <c r="AE2946" s="147">
        <f t="shared" si="65"/>
        <v>32.075630868813015</v>
      </c>
      <c r="AF2946" s="147">
        <f t="shared" si="65"/>
        <v>32.488258998042667</v>
      </c>
      <c r="AG2946" s="147">
        <f t="shared" si="65"/>
        <v>32.923110578645506</v>
      </c>
      <c r="AH2946" s="147">
        <f t="shared" si="65"/>
        <v>33.357256157871483</v>
      </c>
      <c r="AI2946" s="147">
        <f t="shared" si="65"/>
        <v>33.701402728216692</v>
      </c>
      <c r="AJ2946" s="147">
        <f t="shared" si="65"/>
        <v>34.005367199983517</v>
      </c>
      <c r="AK2946" s="147">
        <f t="shared" si="65"/>
        <v>34.270068261444898</v>
      </c>
      <c r="AL2946" s="147">
        <f t="shared" si="65"/>
        <v>34.391022901412882</v>
      </c>
      <c r="AM2946" s="147">
        <f t="shared" si="65"/>
        <v>34.395738002011498</v>
      </c>
      <c r="AN2946" s="147">
        <f t="shared" si="65"/>
        <v>34.309963019708029</v>
      </c>
      <c r="AO2946" s="147">
        <f t="shared" si="65"/>
        <v>34.245318942457104</v>
      </c>
      <c r="AP2946" s="147">
        <f t="shared" si="65"/>
        <v>34.245318942457104</v>
      </c>
      <c r="AQ2946" s="147">
        <f t="shared" si="65"/>
        <v>34.245318942457104</v>
      </c>
      <c r="AR2946" s="147">
        <f t="shared" si="65"/>
        <v>34.245318942457104</v>
      </c>
      <c r="AS2946" s="147">
        <f t="shared" si="65"/>
        <v>34.245318942457104</v>
      </c>
      <c r="AT2946" s="147">
        <f t="shared" si="65"/>
        <v>34.245318942457104</v>
      </c>
      <c r="AU2946" s="147">
        <f t="shared" si="65"/>
        <v>34.245318942457104</v>
      </c>
      <c r="AV2946" s="147">
        <f t="shared" si="65"/>
        <v>34.245318942457104</v>
      </c>
      <c r="AW2946" s="147">
        <f t="shared" si="65"/>
        <v>34.245318942457104</v>
      </c>
      <c r="AX2946" s="147">
        <f t="shared" si="65"/>
        <v>34.245318942457104</v>
      </c>
      <c r="AY2946" s="147">
        <f t="shared" si="65"/>
        <v>34.245318942457104</v>
      </c>
      <c r="AZ2946" s="147">
        <f t="shared" si="65"/>
        <v>34.245318942457104</v>
      </c>
      <c r="BA2946" s="147">
        <f t="shared" si="65"/>
        <v>34.245318942457104</v>
      </c>
      <c r="BB2946" s="147">
        <f t="shared" si="65"/>
        <v>32.96111948211496</v>
      </c>
      <c r="BC2946" s="147">
        <f t="shared" si="65"/>
        <v>30.488949907658981</v>
      </c>
      <c r="BD2946" s="147">
        <f t="shared" si="65"/>
        <v>28.20238996187112</v>
      </c>
      <c r="BE2946" s="147">
        <f t="shared" si="65"/>
        <v>26.087056610795546</v>
      </c>
      <c r="BF2946" s="147">
        <f t="shared" si="65"/>
        <v>24.130621539612971</v>
      </c>
      <c r="BG2946" s="147">
        <f t="shared" si="65"/>
        <v>22.320756433504112</v>
      </c>
      <c r="BH2946" s="147">
        <f t="shared" si="65"/>
        <v>20.646845243596808</v>
      </c>
      <c r="BI2946" s="147">
        <f t="shared" si="65"/>
        <v>19.098271921018899</v>
      </c>
      <c r="BJ2946" s="147">
        <f t="shared" si="65"/>
        <v>17.570245789806464</v>
      </c>
      <c r="BK2946" s="147">
        <f t="shared" si="65"/>
        <v>16.042562111783454</v>
      </c>
      <c r="BL2946" s="147">
        <f t="shared" si="65"/>
        <v>14.514535980571017</v>
      </c>
      <c r="BM2946" s="147">
        <f t="shared" si="65"/>
        <v>12.986852302548005</v>
      </c>
      <c r="BN2946" s="147">
        <f t="shared" si="65"/>
        <v>11.45882617133557</v>
      </c>
      <c r="BO2946" s="147">
        <f t="shared" si="65"/>
        <v>9.9311424933125583</v>
      </c>
      <c r="BP2946" s="147">
        <f t="shared" si="65"/>
        <v>8.403116362100123</v>
      </c>
      <c r="BQ2946" s="147">
        <f t="shared" si="65"/>
        <v>6.8754326840771114</v>
      </c>
      <c r="BR2946" s="147">
        <f t="shared" si="65"/>
        <v>5.3474065528646753</v>
      </c>
      <c r="BS2946" s="147">
        <f t="shared" si="65"/>
        <v>3.8197228748416645</v>
      </c>
      <c r="BT2946" s="147">
        <f t="shared" si="65"/>
        <v>2.2916967436292288</v>
      </c>
      <c r="BU2946" s="147">
        <f t="shared" si="65"/>
        <v>0.76401306560621784</v>
      </c>
    </row>
    <row r="2947" spans="1:82" ht="15.75" hidden="1" customHeight="1" outlineLevel="1">
      <c r="A2947" s="460"/>
      <c r="B2947" s="99"/>
      <c r="C2947" s="147">
        <f>$C2838*'Assumptions (T&amp;D)'!B$101</f>
        <v>0.58124602548214288</v>
      </c>
      <c r="D2947" s="147">
        <f>$C2838*'Assumptions (T&amp;D)'!C$101</f>
        <v>1.1189373487881573</v>
      </c>
      <c r="E2947" s="147">
        <f>$C2838*'Assumptions (T&amp;D)'!D$101</f>
        <v>1.0349279232384714</v>
      </c>
      <c r="F2947" s="147">
        <f>$C2838*'Assumptions (T&amp;D)'!E$101</f>
        <v>0.95742845317418579</v>
      </c>
      <c r="G2947" s="147">
        <f>$C2838*'Assumptions (T&amp;D)'!F$101</f>
        <v>0.8855089449545287</v>
      </c>
      <c r="H2947" s="147">
        <f>$C2838*'Assumptions (T&amp;D)'!G$101</f>
        <v>0.81916939857950011</v>
      </c>
      <c r="I2947" s="147">
        <f>$C2838*'Assumptions (T&amp;D)'!H$101</f>
        <v>0.75763481934845722</v>
      </c>
      <c r="J2947" s="147">
        <f>$C2838*'Assumptions (T&amp;D)'!I$101</f>
        <v>0.70090520726140015</v>
      </c>
      <c r="K2947" s="147">
        <f>$C2838*'Assumptions (T&amp;D)'!J$101</f>
        <v>0.69160527085368573</v>
      </c>
      <c r="L2947" s="147">
        <f>$C2838*'Assumptions (T&amp;D)'!K$101</f>
        <v>0.69145027191355712</v>
      </c>
      <c r="M2947" s="147">
        <f>$C2838*'Assumptions (T&amp;D)'!L$101</f>
        <v>0.69160527085368573</v>
      </c>
      <c r="N2947" s="147">
        <f>$C2838*'Assumptions (T&amp;D)'!M$101</f>
        <v>0.69145027191355712</v>
      </c>
      <c r="O2947" s="147">
        <f>$C2838*'Assumptions (T&amp;D)'!N$101</f>
        <v>0.69160527085368573</v>
      </c>
      <c r="P2947" s="147">
        <f>$C2838*'Assumptions (T&amp;D)'!O$101</f>
        <v>0.69145027191355712</v>
      </c>
      <c r="Q2947" s="147">
        <f>$C2838*'Assumptions (T&amp;D)'!P$101</f>
        <v>0.69160527085368573</v>
      </c>
      <c r="R2947" s="147">
        <f>$C2838*'Assumptions (T&amp;D)'!Q$101</f>
        <v>0.69145027191355712</v>
      </c>
      <c r="S2947" s="147">
        <f>$C2838*'Assumptions (T&amp;D)'!R$101</f>
        <v>0.69160527085368573</v>
      </c>
      <c r="T2947" s="147">
        <f>$C2838*'Assumptions (T&amp;D)'!S$101</f>
        <v>0.69145027191355712</v>
      </c>
      <c r="U2947" s="147">
        <f>$C2838*'Assumptions (T&amp;D)'!T$101</f>
        <v>0.69160527085368573</v>
      </c>
      <c r="V2947" s="147">
        <f>$C2838*'Assumptions (T&amp;D)'!U$101</f>
        <v>0.69145027191355712</v>
      </c>
      <c r="W2947" s="147">
        <f>$C2838*'Assumptions (T&amp;D)'!V$101</f>
        <v>0.34580263542684286</v>
      </c>
      <c r="X2947" s="147"/>
    </row>
    <row r="2948" spans="1:82" ht="15.75" hidden="1" customHeight="1" outlineLevel="1">
      <c r="A2948" s="460"/>
      <c r="B2948" s="99"/>
      <c r="C2948" s="147"/>
      <c r="D2948" s="147">
        <f>$D2838*'Assumptions (T&amp;D)'!B$101</f>
        <v>0.61392223639285726</v>
      </c>
      <c r="E2948" s="147">
        <f>$D2838*'Assumptions (T&amp;D)'!C$101</f>
        <v>1.1818412332053432</v>
      </c>
      <c r="F2948" s="147">
        <f>$D2838*'Assumptions (T&amp;D)'!D$101</f>
        <v>1.0931090059720288</v>
      </c>
      <c r="G2948" s="147">
        <f>$D2838*'Assumptions (T&amp;D)'!E$101</f>
        <v>1.0112527077863145</v>
      </c>
      <c r="H2948" s="147">
        <f>$D2838*'Assumptions (T&amp;D)'!F$101</f>
        <v>0.93529006306997153</v>
      </c>
      <c r="I2948" s="147">
        <f>$D2838*'Assumptions (T&amp;D)'!G$101</f>
        <v>0.86522107182300012</v>
      </c>
      <c r="J2948" s="147">
        <f>$D2838*'Assumptions (T&amp;D)'!H$101</f>
        <v>0.80022717106354302</v>
      </c>
      <c r="K2948" s="147">
        <f>$D2838*'Assumptions (T&amp;D)'!I$101</f>
        <v>0.74030836079160012</v>
      </c>
      <c r="L2948" s="147">
        <f>$D2838*'Assumptions (T&amp;D)'!J$101</f>
        <v>0.73048560500931436</v>
      </c>
      <c r="M2948" s="147">
        <f>$D2838*'Assumptions (T&amp;D)'!K$101</f>
        <v>0.73032189241294287</v>
      </c>
      <c r="N2948" s="147">
        <f>$D2838*'Assumptions (T&amp;D)'!L$101</f>
        <v>0.73048560500931436</v>
      </c>
      <c r="O2948" s="147">
        <f>$D2838*'Assumptions (T&amp;D)'!M$101</f>
        <v>0.73032189241294287</v>
      </c>
      <c r="P2948" s="147">
        <f>$D2838*'Assumptions (T&amp;D)'!N$101</f>
        <v>0.73048560500931436</v>
      </c>
      <c r="Q2948" s="147">
        <f>$D2838*'Assumptions (T&amp;D)'!O$101</f>
        <v>0.73032189241294287</v>
      </c>
      <c r="R2948" s="147">
        <f>$D2838*'Assumptions (T&amp;D)'!P$101</f>
        <v>0.73048560500931436</v>
      </c>
      <c r="S2948" s="147">
        <f>$D2838*'Assumptions (T&amp;D)'!Q$101</f>
        <v>0.73032189241294287</v>
      </c>
      <c r="T2948" s="147">
        <f>$D2838*'Assumptions (T&amp;D)'!R$101</f>
        <v>0.73048560500931436</v>
      </c>
      <c r="U2948" s="147">
        <f>$D2838*'Assumptions (T&amp;D)'!S$101</f>
        <v>0.73032189241294287</v>
      </c>
      <c r="V2948" s="147">
        <f>$D2838*'Assumptions (T&amp;D)'!T$101</f>
        <v>0.73048560500931436</v>
      </c>
      <c r="W2948" s="147">
        <f>$D2838*'Assumptions (T&amp;D)'!U$101</f>
        <v>0.73032189241294287</v>
      </c>
      <c r="X2948" s="147">
        <f>$D2838*'Assumptions (T&amp;D)'!V$101</f>
        <v>0.36524280250465718</v>
      </c>
    </row>
    <row r="2949" spans="1:82" ht="15.75" hidden="1" customHeight="1" outlineLevel="1">
      <c r="A2949" s="465"/>
      <c r="B2949" s="42"/>
      <c r="C2949" s="147"/>
      <c r="D2949" s="42"/>
      <c r="E2949" s="147">
        <f>$E2838*'Assumptions (T&amp;D)'!B$101</f>
        <v>0.60790394266071435</v>
      </c>
      <c r="F2949" s="147">
        <f>$E2838*'Assumptions (T&amp;D)'!C$101</f>
        <v>1.170255616551386</v>
      </c>
      <c r="G2949" s="147">
        <f>$E2838*'Assumptions (T&amp;D)'!D$101</f>
        <v>1.0823932333721573</v>
      </c>
      <c r="H2949" s="147">
        <f>$E2838*'Assumptions (T&amp;D)'!E$101</f>
        <v>1.0013393743507286</v>
      </c>
      <c r="I2949" s="147">
        <f>$E2838*'Assumptions (T&amp;D)'!F$101</f>
        <v>0.92612139317884301</v>
      </c>
      <c r="J2949" s="147">
        <f>$E2838*'Assumptions (T&amp;D)'!G$101</f>
        <v>0.85673928985650016</v>
      </c>
      <c r="K2949" s="147">
        <f>$E2838*'Assumptions (T&amp;D)'!H$101</f>
        <v>0.79238252579348578</v>
      </c>
      <c r="L2949" s="147">
        <f>$E2838*'Assumptions (T&amp;D)'!I$101</f>
        <v>0.7330511009898002</v>
      </c>
      <c r="M2949" s="147">
        <f>$E2838*'Assumptions (T&amp;D)'!J$101</f>
        <v>0.72332463790722867</v>
      </c>
      <c r="N2949" s="147">
        <f>$E2838*'Assumptions (T&amp;D)'!K$101</f>
        <v>0.72316253018918575</v>
      </c>
      <c r="O2949" s="147">
        <f>$E2838*'Assumptions (T&amp;D)'!L$101</f>
        <v>0.72332463790722867</v>
      </c>
      <c r="P2949" s="147">
        <f>$E2838*'Assumptions (T&amp;D)'!M$101</f>
        <v>0.72316253018918575</v>
      </c>
      <c r="Q2949" s="147">
        <f>$E2838*'Assumptions (T&amp;D)'!N$101</f>
        <v>0.72332463790722867</v>
      </c>
      <c r="R2949" s="147">
        <f>$E2838*'Assumptions (T&amp;D)'!O$101</f>
        <v>0.72316253018918575</v>
      </c>
      <c r="S2949" s="147">
        <f>$E2838*'Assumptions (T&amp;D)'!P$101</f>
        <v>0.72332463790722867</v>
      </c>
      <c r="T2949" s="147">
        <f>$E2838*'Assumptions (T&amp;D)'!Q$101</f>
        <v>0.72316253018918575</v>
      </c>
      <c r="U2949" s="147">
        <f>$E2838*'Assumptions (T&amp;D)'!R$101</f>
        <v>0.72332463790722867</v>
      </c>
      <c r="V2949" s="147">
        <f>$E2838*'Assumptions (T&amp;D)'!S$101</f>
        <v>0.72316253018918575</v>
      </c>
      <c r="W2949" s="147">
        <f>$E2838*'Assumptions (T&amp;D)'!T$101</f>
        <v>0.72332463790722867</v>
      </c>
      <c r="X2949" s="147">
        <f>$E2838*'Assumptions (T&amp;D)'!U$101</f>
        <v>0.72316253018918575</v>
      </c>
      <c r="Y2949" s="147">
        <f>$E2838*'Assumptions (T&amp;D)'!V$101</f>
        <v>0.36166231895361434</v>
      </c>
    </row>
    <row r="2950" spans="1:82" ht="15.75" hidden="1" customHeight="1" outlineLevel="1">
      <c r="A2950" s="465"/>
      <c r="B2950" s="42"/>
      <c r="C2950" s="147"/>
      <c r="D2950" s="42"/>
      <c r="E2950" s="42"/>
      <c r="F2950" s="147">
        <f>$F2838*'Assumptions (T&amp;D)'!B$101</f>
        <v>0.64534801917857154</v>
      </c>
      <c r="G2950" s="147">
        <f>$F2838*'Assumptions (T&amp;D)'!C$101</f>
        <v>1.2423379601200288</v>
      </c>
      <c r="H2950" s="147">
        <f>$F2838*'Assumptions (T&amp;D)'!D$101</f>
        <v>1.1490636597480859</v>
      </c>
      <c r="I2950" s="147">
        <f>$F2838*'Assumptions (T&amp;D)'!E$101</f>
        <v>1.0630172571909431</v>
      </c>
      <c r="J2950" s="147">
        <f>$F2838*'Assumptions (T&amp;D)'!F$101</f>
        <v>0.98316619561791441</v>
      </c>
      <c r="K2950" s="147">
        <f>$F2838*'Assumptions (T&amp;D)'!G$101</f>
        <v>0.90951047502900018</v>
      </c>
      <c r="L2950" s="147">
        <f>$F2838*'Assumptions (T&amp;D)'!H$101</f>
        <v>0.84118963139862868</v>
      </c>
      <c r="M2950" s="147">
        <f>$F2838*'Assumptions (T&amp;D)'!I$101</f>
        <v>0.77820366472680014</v>
      </c>
      <c r="N2950" s="147">
        <f>$F2838*'Assumptions (T&amp;D)'!J$101</f>
        <v>0.76787809641994298</v>
      </c>
      <c r="O2950" s="147">
        <f>$F2838*'Assumptions (T&amp;D)'!K$101</f>
        <v>0.76770600361482866</v>
      </c>
      <c r="P2950" s="147">
        <f>$F2838*'Assumptions (T&amp;D)'!L$101</f>
        <v>0.76787809641994298</v>
      </c>
      <c r="Q2950" s="147">
        <f>$F2838*'Assumptions (T&amp;D)'!M$101</f>
        <v>0.76770600361482866</v>
      </c>
      <c r="R2950" s="147">
        <f>$F2838*'Assumptions (T&amp;D)'!N$101</f>
        <v>0.76787809641994298</v>
      </c>
      <c r="S2950" s="147">
        <f>$F2838*'Assumptions (T&amp;D)'!O$101</f>
        <v>0.76770600361482866</v>
      </c>
      <c r="T2950" s="147">
        <f>$F2838*'Assumptions (T&amp;D)'!P$101</f>
        <v>0.76787809641994298</v>
      </c>
      <c r="U2950" s="147">
        <f>$F2838*'Assumptions (T&amp;D)'!Q$101</f>
        <v>0.76770600361482866</v>
      </c>
      <c r="V2950" s="147">
        <f>$F2838*'Assumptions (T&amp;D)'!R$101</f>
        <v>0.76787809641994298</v>
      </c>
      <c r="W2950" s="147">
        <f>$F2838*'Assumptions (T&amp;D)'!S$101</f>
        <v>0.76770600361482866</v>
      </c>
      <c r="X2950" s="147">
        <f>$F2838*'Assumptions (T&amp;D)'!T$101</f>
        <v>0.76787809641994298</v>
      </c>
      <c r="Y2950" s="147">
        <f>$F2838*'Assumptions (T&amp;D)'!U$101</f>
        <v>0.76770600361482866</v>
      </c>
      <c r="Z2950" s="147">
        <f>$F2838*'Assumptions (T&amp;D)'!V$101</f>
        <v>0.38393904820997149</v>
      </c>
    </row>
    <row r="2951" spans="1:82" ht="15.75" hidden="1" customHeight="1" outlineLevel="1">
      <c r="A2951" s="465"/>
      <c r="B2951" s="42"/>
      <c r="C2951" s="147"/>
      <c r="D2951" s="42"/>
      <c r="E2951" s="42"/>
      <c r="F2951" s="42"/>
      <c r="G2951" s="147">
        <f>$G2838*'Assumptions (T&amp;D)'!B$101</f>
        <v>0.70023190832142856</v>
      </c>
      <c r="H2951" s="147">
        <f>$G2838*'Assumptions (T&amp;D)'!C$101</f>
        <v>1.3479931056459715</v>
      </c>
      <c r="I2951" s="147">
        <f>$G2838*'Assumptions (T&amp;D)'!D$101</f>
        <v>1.2467862538299141</v>
      </c>
      <c r="J2951" s="147">
        <f>$G2838*'Assumptions (T&amp;D)'!E$101</f>
        <v>1.1534219993870571</v>
      </c>
      <c r="K2951" s="147">
        <f>$G2838*'Assumptions (T&amp;D)'!F$101</f>
        <v>1.0667799712640857</v>
      </c>
      <c r="L2951" s="147">
        <f>$G2838*'Assumptions (T&amp;D)'!G$101</f>
        <v>0.98686016946099997</v>
      </c>
      <c r="M2951" s="147">
        <f>$G2838*'Assumptions (T&amp;D)'!H$101</f>
        <v>0.9127289514333714</v>
      </c>
      <c r="N2951" s="147">
        <f>$G2838*'Assumptions (T&amp;D)'!I$101</f>
        <v>0.84438631718120005</v>
      </c>
      <c r="O2951" s="147">
        <f>$G2838*'Assumptions (T&amp;D)'!J$101</f>
        <v>0.8331826066480571</v>
      </c>
      <c r="P2951" s="147">
        <f>$G2838*'Assumptions (T&amp;D)'!K$101</f>
        <v>0.83299587813917131</v>
      </c>
      <c r="Q2951" s="147">
        <f>$G2838*'Assumptions (T&amp;D)'!L$101</f>
        <v>0.8331826066480571</v>
      </c>
      <c r="R2951" s="147">
        <f>$G2838*'Assumptions (T&amp;D)'!M$101</f>
        <v>0.83299587813917131</v>
      </c>
      <c r="S2951" s="147">
        <f>$G2838*'Assumptions (T&amp;D)'!N$101</f>
        <v>0.8331826066480571</v>
      </c>
      <c r="T2951" s="147">
        <f>$G2838*'Assumptions (T&amp;D)'!O$101</f>
        <v>0.83299587813917131</v>
      </c>
      <c r="U2951" s="147">
        <f>$G2838*'Assumptions (T&amp;D)'!P$101</f>
        <v>0.8331826066480571</v>
      </c>
      <c r="V2951" s="147">
        <f>$G2838*'Assumptions (T&amp;D)'!Q$101</f>
        <v>0.83299587813917131</v>
      </c>
      <c r="W2951" s="147">
        <f>$G2838*'Assumptions (T&amp;D)'!R$101</f>
        <v>0.8331826066480571</v>
      </c>
      <c r="X2951" s="147">
        <f>$G2838*'Assumptions (T&amp;D)'!S$101</f>
        <v>0.83299587813917131</v>
      </c>
      <c r="Y2951" s="147">
        <f>$G2838*'Assumptions (T&amp;D)'!T$101</f>
        <v>0.8331826066480571</v>
      </c>
      <c r="Z2951" s="147">
        <f>$G2838*'Assumptions (T&amp;D)'!U$101</f>
        <v>0.83299587813917131</v>
      </c>
      <c r="AA2951" s="147">
        <f>$G2838*'Assumptions (T&amp;D)'!V$101</f>
        <v>0.41659130332402855</v>
      </c>
    </row>
    <row r="2952" spans="1:82" ht="15.75" hidden="1" customHeight="1" outlineLevel="1">
      <c r="A2952" s="465"/>
      <c r="B2952" s="42"/>
      <c r="C2952" s="147"/>
      <c r="D2952" s="42"/>
      <c r="E2952" s="42"/>
      <c r="F2952" s="42"/>
      <c r="G2952" s="42"/>
      <c r="H2952" s="147">
        <f>$H2838*'Assumptions (T&amp;D)'!B$101</f>
        <v>0.73921072992857151</v>
      </c>
      <c r="I2952" s="147">
        <f>$H2838*'Assumptions (T&amp;D)'!C$101</f>
        <v>1.4230299358278289</v>
      </c>
      <c r="J2952" s="147">
        <f>$H2838*'Assumptions (T&amp;D)'!D$101</f>
        <v>1.3161893449954858</v>
      </c>
      <c r="K2952" s="147">
        <f>$H2838*'Assumptions (T&amp;D)'!E$101</f>
        <v>1.2176279143383431</v>
      </c>
      <c r="L2952" s="147">
        <f>$H2838*'Assumptions (T&amp;D)'!F$101</f>
        <v>1.1261629066885144</v>
      </c>
      <c r="M2952" s="147">
        <f>$H2838*'Assumptions (T&amp;D)'!G$101</f>
        <v>1.0417943220460002</v>
      </c>
      <c r="N2952" s="147">
        <f>$H2838*'Assumptions (T&amp;D)'!H$101</f>
        <v>0.96353654610422867</v>
      </c>
      <c r="O2952" s="147">
        <f>$H2838*'Assumptions (T&amp;D)'!I$101</f>
        <v>0.89138957886320014</v>
      </c>
      <c r="P2952" s="147">
        <f>$H2838*'Assumptions (T&amp;D)'!J$101</f>
        <v>0.87956220718434297</v>
      </c>
      <c r="Q2952" s="147">
        <f>$H2838*'Assumptions (T&amp;D)'!K$101</f>
        <v>0.87936508432302862</v>
      </c>
      <c r="R2952" s="147">
        <f>$H2838*'Assumptions (T&amp;D)'!L$101</f>
        <v>0.87956220718434297</v>
      </c>
      <c r="S2952" s="147">
        <f>$H2838*'Assumptions (T&amp;D)'!M$101</f>
        <v>0.87936508432302862</v>
      </c>
      <c r="T2952" s="147">
        <f>$H2838*'Assumptions (T&amp;D)'!N$101</f>
        <v>0.87956220718434297</v>
      </c>
      <c r="U2952" s="147">
        <f>$H2838*'Assumptions (T&amp;D)'!O$101</f>
        <v>0.87936508432302862</v>
      </c>
      <c r="V2952" s="147">
        <f>$H2838*'Assumptions (T&amp;D)'!P$101</f>
        <v>0.87956220718434297</v>
      </c>
      <c r="W2952" s="147">
        <f>$H2838*'Assumptions (T&amp;D)'!Q$101</f>
        <v>0.87936508432302862</v>
      </c>
      <c r="X2952" s="147">
        <f>$H2838*'Assumptions (T&amp;D)'!R$101</f>
        <v>0.87956220718434297</v>
      </c>
      <c r="Y2952" s="147">
        <f>$H2838*'Assumptions (T&amp;D)'!S$101</f>
        <v>0.87936508432302862</v>
      </c>
      <c r="Z2952" s="147">
        <f>$H2838*'Assumptions (T&amp;D)'!T$101</f>
        <v>0.87956220718434297</v>
      </c>
      <c r="AA2952" s="147">
        <f>$H2838*'Assumptions (T&amp;D)'!U$101</f>
        <v>0.87936508432302862</v>
      </c>
      <c r="AB2952" s="147">
        <f>$H2838*'Assumptions (T&amp;D)'!V$101</f>
        <v>0.43978110359217149</v>
      </c>
    </row>
    <row r="2953" spans="1:82" ht="15.75" hidden="1" customHeight="1" outlineLevel="1">
      <c r="A2953" s="465"/>
      <c r="B2953" s="42"/>
      <c r="C2953" s="147"/>
      <c r="D2953" s="42"/>
      <c r="E2953" s="42"/>
      <c r="F2953" s="42"/>
      <c r="G2953" s="42"/>
      <c r="H2953" s="42"/>
      <c r="I2953" s="147">
        <f>$I2838*'Assumptions (T&amp;D)'!B$101</f>
        <v>0.88998118500000012</v>
      </c>
      <c r="J2953" s="147">
        <f>$I2838*'Assumptions (T&amp;D)'!C$101</f>
        <v>1.7132731132040004</v>
      </c>
      <c r="K2953" s="147">
        <f>$I2838*'Assumptions (T&amp;D)'!D$101</f>
        <v>1.5846411659320001</v>
      </c>
      <c r="L2953" s="147">
        <f>$I2838*'Assumptions (T&amp;D)'!E$101</f>
        <v>1.4659770079320003</v>
      </c>
      <c r="M2953" s="147">
        <f>$I2838*'Assumptions (T&amp;D)'!F$101</f>
        <v>1.3558566693080003</v>
      </c>
      <c r="N2953" s="147">
        <f>$I2838*'Assumptions (T&amp;D)'!G$101</f>
        <v>1.2542801500600003</v>
      </c>
      <c r="O2953" s="147">
        <f>$I2838*'Assumptions (T&amp;D)'!H$101</f>
        <v>1.1600608086080002</v>
      </c>
      <c r="P2953" s="147">
        <f>$I2838*'Assumptions (T&amp;D)'!I$101</f>
        <v>1.0731986449520003</v>
      </c>
      <c r="Q2953" s="147">
        <f>$I2838*'Assumptions (T&amp;D)'!J$101</f>
        <v>1.0589589459920001</v>
      </c>
      <c r="R2953" s="147">
        <f>$I2838*'Assumptions (T&amp;D)'!K$101</f>
        <v>1.0587216176760001</v>
      </c>
      <c r="S2953" s="147">
        <f>$I2838*'Assumptions (T&amp;D)'!L$101</f>
        <v>1.0589589459920001</v>
      </c>
      <c r="T2953" s="147">
        <f>$I2838*'Assumptions (T&amp;D)'!M$101</f>
        <v>1.0587216176760001</v>
      </c>
      <c r="U2953" s="147">
        <f>$I2838*'Assumptions (T&amp;D)'!N$101</f>
        <v>1.0589589459920001</v>
      </c>
      <c r="V2953" s="147">
        <f>$I2838*'Assumptions (T&amp;D)'!O$101</f>
        <v>1.0587216176760001</v>
      </c>
      <c r="W2953" s="147">
        <f>$I2838*'Assumptions (T&amp;D)'!P$101</f>
        <v>1.0589589459920001</v>
      </c>
      <c r="X2953" s="147">
        <f>$I2838*'Assumptions (T&amp;D)'!Q$101</f>
        <v>1.0587216176760001</v>
      </c>
      <c r="Y2953" s="147">
        <f>$I2838*'Assumptions (T&amp;D)'!R$101</f>
        <v>1.0589589459920001</v>
      </c>
      <c r="Z2953" s="147">
        <f>$I2838*'Assumptions (T&amp;D)'!S$101</f>
        <v>1.0587216176760001</v>
      </c>
      <c r="AA2953" s="147">
        <f>$I2838*'Assumptions (T&amp;D)'!T$101</f>
        <v>1.0589589459920001</v>
      </c>
      <c r="AB2953" s="147">
        <f>$I2838*'Assumptions (T&amp;D)'!U$101</f>
        <v>1.0587216176760001</v>
      </c>
      <c r="AC2953" s="147">
        <f>$I2838*'Assumptions (T&amp;D)'!V$101</f>
        <v>0.52947947299600007</v>
      </c>
    </row>
    <row r="2954" spans="1:82" ht="15.75" hidden="1" customHeight="1" outlineLevel="1">
      <c r="A2954" s="465"/>
      <c r="B2954" s="42"/>
      <c r="C2954" s="147"/>
      <c r="D2954" s="42"/>
      <c r="E2954" s="42"/>
      <c r="F2954" s="42"/>
      <c r="G2954" s="42"/>
      <c r="H2954" s="42"/>
      <c r="I2954" s="42"/>
      <c r="J2954" s="147">
        <f>$J2838*'Assumptions (T&amp;D)'!B$101</f>
        <v>0.85201857616071441</v>
      </c>
      <c r="K2954" s="147">
        <f>$J2838*'Assumptions (T&amp;D)'!C$101</f>
        <v>1.640192560347786</v>
      </c>
      <c r="L2954" s="147">
        <f>$J2838*'Assumptions (T&amp;D)'!D$101</f>
        <v>1.5170474754733574</v>
      </c>
      <c r="M2954" s="147">
        <f>$J2838*'Assumptions (T&amp;D)'!E$101</f>
        <v>1.4034449986519288</v>
      </c>
      <c r="N2954" s="147">
        <f>$J2838*'Assumptions (T&amp;D)'!F$101</f>
        <v>1.2980219001616431</v>
      </c>
      <c r="O2954" s="147">
        <f>$J2838*'Assumptions (T&amp;D)'!G$101</f>
        <v>1.2007781800025001</v>
      </c>
      <c r="P2954" s="147">
        <f>$J2838*'Assumptions (T&amp;D)'!H$101</f>
        <v>1.1105778134062858</v>
      </c>
      <c r="Q2954" s="147">
        <f>$J2838*'Assumptions (T&amp;D)'!I$101</f>
        <v>1.0274208003730003</v>
      </c>
      <c r="R2954" s="147">
        <f>$J2838*'Assumptions (T&amp;D)'!J$101</f>
        <v>1.0137885031544287</v>
      </c>
      <c r="S2954" s="147">
        <f>$J2838*'Assumptions (T&amp;D)'!K$101</f>
        <v>1.0135612982007858</v>
      </c>
      <c r="T2954" s="147">
        <f>$J2838*'Assumptions (T&amp;D)'!L$101</f>
        <v>1.0137885031544287</v>
      </c>
      <c r="U2954" s="147">
        <f>$J2838*'Assumptions (T&amp;D)'!M$101</f>
        <v>1.0135612982007858</v>
      </c>
      <c r="V2954" s="147">
        <f>$J2838*'Assumptions (T&amp;D)'!N$101</f>
        <v>1.0137885031544287</v>
      </c>
      <c r="W2954" s="147">
        <f>$J2838*'Assumptions (T&amp;D)'!O$101</f>
        <v>1.0135612982007858</v>
      </c>
      <c r="X2954" s="147">
        <f>$J2838*'Assumptions (T&amp;D)'!P$101</f>
        <v>1.0137885031544287</v>
      </c>
      <c r="Y2954" s="147">
        <f>$J2838*'Assumptions (T&amp;D)'!Q$101</f>
        <v>1.0135612982007858</v>
      </c>
      <c r="Z2954" s="147">
        <f>$J2838*'Assumptions (T&amp;D)'!R$101</f>
        <v>1.0137885031544287</v>
      </c>
      <c r="AA2954" s="147">
        <f>$J2838*'Assumptions (T&amp;D)'!S$101</f>
        <v>1.0135612982007858</v>
      </c>
      <c r="AB2954" s="147">
        <f>$J2838*'Assumptions (T&amp;D)'!T$101</f>
        <v>1.0137885031544287</v>
      </c>
      <c r="AC2954" s="147">
        <f>$J2838*'Assumptions (T&amp;D)'!U$101</f>
        <v>1.0135612982007858</v>
      </c>
      <c r="AD2954" s="147">
        <f>$J2838*'Assumptions (T&amp;D)'!V$101</f>
        <v>0.50689425157721435</v>
      </c>
    </row>
    <row r="2955" spans="1:82" ht="15.75" hidden="1" customHeight="1" outlineLevel="1">
      <c r="A2955" s="465"/>
      <c r="B2955" s="42"/>
      <c r="C2955" s="147"/>
      <c r="D2955" s="42"/>
      <c r="E2955" s="42"/>
      <c r="F2955" s="42"/>
      <c r="G2955" s="42"/>
      <c r="H2955" s="42"/>
      <c r="I2955" s="42"/>
      <c r="J2955" s="42"/>
      <c r="K2955" s="147">
        <f>$K2838*'Assumptions (T&amp;D)'!B$101</f>
        <v>0.94449181944642846</v>
      </c>
      <c r="L2955" s="147">
        <f>$K2838*'Assumptions (T&amp;D)'!C$101</f>
        <v>1.8182097185556716</v>
      </c>
      <c r="M2955" s="147">
        <f>$K2838*'Assumptions (T&amp;D)'!D$101</f>
        <v>1.6816991675850141</v>
      </c>
      <c r="N2955" s="147">
        <f>$K2838*'Assumptions (T&amp;D)'!E$101</f>
        <v>1.5557669249921571</v>
      </c>
      <c r="O2955" s="147">
        <f>$K2838*'Assumptions (T&amp;D)'!F$101</f>
        <v>1.4389018038659858</v>
      </c>
      <c r="P2955" s="147">
        <f>$K2838*'Assumptions (T&amp;D)'!G$101</f>
        <v>1.3311038042065</v>
      </c>
      <c r="Q2955" s="147">
        <f>$K2838*'Assumptions (T&amp;D)'!H$101</f>
        <v>1.2311136035877714</v>
      </c>
      <c r="R2955" s="147">
        <f>$K2838*'Assumptions (T&amp;D)'!I$101</f>
        <v>1.1389312020098001</v>
      </c>
      <c r="S2955" s="147">
        <f>$K2838*'Assumptions (T&amp;D)'!J$101</f>
        <v>1.1238193328986572</v>
      </c>
      <c r="T2955" s="147">
        <f>$K2838*'Assumptions (T&amp;D)'!K$101</f>
        <v>1.1235674684134713</v>
      </c>
      <c r="U2955" s="147">
        <f>$K2838*'Assumptions (T&amp;D)'!L$101</f>
        <v>1.1238193328986572</v>
      </c>
      <c r="V2955" s="147">
        <f>$K2838*'Assumptions (T&amp;D)'!M$101</f>
        <v>1.1235674684134713</v>
      </c>
      <c r="W2955" s="147">
        <f>$K2838*'Assumptions (T&amp;D)'!N$101</f>
        <v>1.1238193328986572</v>
      </c>
      <c r="X2955" s="147">
        <f>$K2838*'Assumptions (T&amp;D)'!O$101</f>
        <v>1.1235674684134713</v>
      </c>
      <c r="Y2955" s="147">
        <f>$K2838*'Assumptions (T&amp;D)'!P$101</f>
        <v>1.1238193328986572</v>
      </c>
      <c r="Z2955" s="147">
        <f>$K2838*'Assumptions (T&amp;D)'!Q$101</f>
        <v>1.1235674684134713</v>
      </c>
      <c r="AA2955" s="147">
        <f>$K2838*'Assumptions (T&amp;D)'!R$101</f>
        <v>1.1238193328986572</v>
      </c>
      <c r="AB2955" s="147">
        <f>$K2838*'Assumptions (T&amp;D)'!S$101</f>
        <v>1.1235674684134713</v>
      </c>
      <c r="AC2955" s="147">
        <f>$K2838*'Assumptions (T&amp;D)'!T$101</f>
        <v>1.1238193328986572</v>
      </c>
      <c r="AD2955" s="147">
        <f>$K2838*'Assumptions (T&amp;D)'!U$101</f>
        <v>1.1235674684134713</v>
      </c>
      <c r="AE2955" s="147">
        <f>$K2838*'Assumptions (T&amp;D)'!V$101</f>
        <v>0.5619096664493286</v>
      </c>
    </row>
    <row r="2956" spans="1:82" ht="15.75" hidden="1" customHeight="1" outlineLevel="1">
      <c r="A2956" s="465"/>
      <c r="B2956" s="42"/>
      <c r="C2956" s="42"/>
      <c r="D2956" s="42"/>
      <c r="E2956" s="42"/>
      <c r="F2956" s="42"/>
      <c r="G2956" s="42"/>
      <c r="H2956" s="42"/>
      <c r="I2956" s="42"/>
      <c r="J2956" s="42"/>
      <c r="K2956" s="42"/>
      <c r="L2956" s="147">
        <f>$L2838*'Assumptions (T&amp;D)'!B$101</f>
        <v>0.93024714021428578</v>
      </c>
      <c r="M2956" s="147">
        <f>$L2838*'Assumptions (T&amp;D)'!C$101</f>
        <v>1.7907877613885146</v>
      </c>
      <c r="N2956" s="147">
        <f>$L2838*'Assumptions (T&amp;D)'!D$101</f>
        <v>1.6563360413895429</v>
      </c>
      <c r="O2956" s="147">
        <f>$L2838*'Assumptions (T&amp;D)'!E$101</f>
        <v>1.5323030893609715</v>
      </c>
      <c r="P2956" s="147">
        <f>$L2838*'Assumptions (T&amp;D)'!F$101</f>
        <v>1.4172005098784572</v>
      </c>
      <c r="Q2956" s="147">
        <f>$L2838*'Assumptions (T&amp;D)'!G$101</f>
        <v>1.3110283029420002</v>
      </c>
      <c r="R2956" s="147">
        <f>$L2838*'Assumptions (T&amp;D)'!H$101</f>
        <v>1.2125461390313144</v>
      </c>
      <c r="S2956" s="147">
        <f>$L2838*'Assumptions (T&amp;D)'!I$101</f>
        <v>1.1217540181464003</v>
      </c>
      <c r="T2956" s="147">
        <f>$L2838*'Assumptions (T&amp;D)'!J$101</f>
        <v>1.1068700639029716</v>
      </c>
      <c r="U2956" s="147">
        <f>$L2838*'Assumptions (T&amp;D)'!K$101</f>
        <v>1.1066219979989143</v>
      </c>
      <c r="V2956" s="147">
        <f>$L2838*'Assumptions (T&amp;D)'!L$101</f>
        <v>1.1068700639029716</v>
      </c>
      <c r="W2956" s="147">
        <f>$L2838*'Assumptions (T&amp;D)'!M$101</f>
        <v>1.1066219979989143</v>
      </c>
      <c r="X2956" s="147">
        <f>$L2838*'Assumptions (T&amp;D)'!N$101</f>
        <v>1.1068700639029716</v>
      </c>
      <c r="Y2956" s="147">
        <f>$L2838*'Assumptions (T&amp;D)'!O$101</f>
        <v>1.1066219979989143</v>
      </c>
      <c r="Z2956" s="147">
        <f>$L2838*'Assumptions (T&amp;D)'!P$101</f>
        <v>1.1068700639029716</v>
      </c>
      <c r="AA2956" s="147">
        <f>$L2838*'Assumptions (T&amp;D)'!Q$101</f>
        <v>1.1066219979989143</v>
      </c>
      <c r="AB2956" s="147">
        <f>$L2838*'Assumptions (T&amp;D)'!R$101</f>
        <v>1.1068700639029716</v>
      </c>
      <c r="AC2956" s="147">
        <f>$L2838*'Assumptions (T&amp;D)'!S$101</f>
        <v>1.1066219979989143</v>
      </c>
      <c r="AD2956" s="147">
        <f>$L2838*'Assumptions (T&amp;D)'!T$101</f>
        <v>1.1068700639029716</v>
      </c>
      <c r="AE2956" s="147">
        <f>$L2838*'Assumptions (T&amp;D)'!U$101</f>
        <v>1.1066219979989143</v>
      </c>
      <c r="AF2956" s="147">
        <f>$L2838*'Assumptions (T&amp;D)'!V$101</f>
        <v>0.5534350319514858</v>
      </c>
    </row>
    <row r="2957" spans="1:82" ht="15.75" hidden="1" customHeight="1" outlineLevel="1">
      <c r="A2957" s="465"/>
      <c r="B2957" s="42"/>
      <c r="C2957" s="42"/>
      <c r="D2957" s="42"/>
      <c r="E2957" s="42"/>
      <c r="F2957" s="42"/>
      <c r="G2957" s="42"/>
      <c r="H2957" s="42"/>
      <c r="I2957" s="42"/>
      <c r="J2957" s="42"/>
      <c r="K2957" s="42"/>
      <c r="L2957" s="42"/>
      <c r="M2957" s="147">
        <f>$M2838*'Assumptions (T&amp;D)'!B$101</f>
        <v>0.90715783553571427</v>
      </c>
      <c r="N2957" s="147">
        <f>$M2838*'Assumptions (T&amp;D)'!C$101</f>
        <v>1.746339310595286</v>
      </c>
      <c r="O2957" s="147">
        <f>$M2838*'Assumptions (T&amp;D)'!D$101</f>
        <v>1.6152247647658571</v>
      </c>
      <c r="P2957" s="147">
        <f>$M2838*'Assumptions (T&amp;D)'!E$101</f>
        <v>1.4942703866944287</v>
      </c>
      <c r="Q2957" s="147">
        <f>$M2838*'Assumptions (T&amp;D)'!F$101</f>
        <v>1.382024723844143</v>
      </c>
      <c r="R2957" s="147">
        <f>$M2838*'Assumptions (T&amp;D)'!G$101</f>
        <v>1.2784877762150002</v>
      </c>
      <c r="S2957" s="147">
        <f>$M2838*'Assumptions (T&amp;D)'!H$101</f>
        <v>1.1824500000262859</v>
      </c>
      <c r="T2957" s="147">
        <f>$M2838*'Assumptions (T&amp;D)'!I$101</f>
        <v>1.0939113952780002</v>
      </c>
      <c r="U2957" s="147">
        <f>$M2838*'Assumptions (T&amp;D)'!J$101</f>
        <v>1.0793968699094287</v>
      </c>
      <c r="V2957" s="147">
        <f>$M2838*'Assumptions (T&amp;D)'!K$101</f>
        <v>1.0791549611532858</v>
      </c>
      <c r="W2957" s="147">
        <f>$M2838*'Assumptions (T&amp;D)'!L$101</f>
        <v>1.0793968699094287</v>
      </c>
      <c r="X2957" s="147">
        <f>$M2838*'Assumptions (T&amp;D)'!M$101</f>
        <v>1.0791549611532858</v>
      </c>
      <c r="Y2957" s="147">
        <f>$M2838*'Assumptions (T&amp;D)'!N$101</f>
        <v>1.0793968699094287</v>
      </c>
      <c r="Z2957" s="147">
        <f>$M2838*'Assumptions (T&amp;D)'!O$101</f>
        <v>1.0791549611532858</v>
      </c>
      <c r="AA2957" s="147">
        <f>$M2838*'Assumptions (T&amp;D)'!P$101</f>
        <v>1.0793968699094287</v>
      </c>
      <c r="AB2957" s="147">
        <f>$M2838*'Assumptions (T&amp;D)'!Q$101</f>
        <v>1.0791549611532858</v>
      </c>
      <c r="AC2957" s="147">
        <f>$M2838*'Assumptions (T&amp;D)'!R$101</f>
        <v>1.0793968699094287</v>
      </c>
      <c r="AD2957" s="147">
        <f>$M2838*'Assumptions (T&amp;D)'!S$101</f>
        <v>1.0791549611532858</v>
      </c>
      <c r="AE2957" s="147">
        <f>$M2838*'Assumptions (T&amp;D)'!T$101</f>
        <v>1.0793968699094287</v>
      </c>
      <c r="AF2957" s="147">
        <f>$M2838*'Assumptions (T&amp;D)'!U$101</f>
        <v>1.0791549611532858</v>
      </c>
      <c r="AG2957" s="147">
        <f>$M2838*'Assumptions (T&amp;D)'!V$101</f>
        <v>0.53969843495471437</v>
      </c>
    </row>
    <row r="2958" spans="1:82" ht="15.75" hidden="1" customHeight="1" outlineLevel="1">
      <c r="A2958" s="465"/>
      <c r="B2958" s="42"/>
      <c r="C2958" s="42"/>
      <c r="D2958" s="42"/>
      <c r="E2958" s="42"/>
      <c r="F2958" s="42"/>
      <c r="G2958" s="42"/>
      <c r="H2958" s="42"/>
      <c r="I2958" s="42"/>
      <c r="J2958" s="42"/>
      <c r="K2958" s="42"/>
      <c r="L2958" s="42"/>
      <c r="M2958" s="42"/>
      <c r="N2958" s="147">
        <f>$N2838*'Assumptions (T&amp;D)'!B$101</f>
        <v>0.93140294089285702</v>
      </c>
      <c r="O2958" s="147">
        <f>$N2838*'Assumptions (T&amp;D)'!C$101</f>
        <v>1.7930127547481429</v>
      </c>
      <c r="P2958" s="147">
        <f>$N2838*'Assumptions (T&amp;D)'!D$101</f>
        <v>1.6583939830244283</v>
      </c>
      <c r="Q2958" s="147">
        <f>$N2838*'Assumptions (T&amp;D)'!E$101</f>
        <v>1.5342069242387142</v>
      </c>
      <c r="R2958" s="147">
        <f>$N2838*'Assumptions (T&amp;D)'!F$101</f>
        <v>1.4189613336855713</v>
      </c>
      <c r="S2958" s="147">
        <f>$N2838*'Assumptions (T&amp;D)'!G$101</f>
        <v>1.3126572113649999</v>
      </c>
      <c r="T2958" s="147">
        <f>$N2838*'Assumptions (T&amp;D)'!H$101</f>
        <v>1.2140526866891428</v>
      </c>
      <c r="U2958" s="147">
        <f>$N2838*'Assumptions (T&amp;D)'!I$101</f>
        <v>1.123147759658</v>
      </c>
      <c r="V2958" s="147">
        <f>$N2838*'Assumptions (T&amp;D)'!J$101</f>
        <v>1.1082453126037142</v>
      </c>
      <c r="W2958" s="147">
        <f>$N2838*'Assumptions (T&amp;D)'!K$101</f>
        <v>1.1079969384861428</v>
      </c>
      <c r="X2958" s="147">
        <f>$N2838*'Assumptions (T&amp;D)'!L$101</f>
        <v>1.1082453126037142</v>
      </c>
      <c r="Y2958" s="147">
        <f>$N2838*'Assumptions (T&amp;D)'!M$101</f>
        <v>1.1079969384861428</v>
      </c>
      <c r="Z2958" s="147">
        <f>$N2838*'Assumptions (T&amp;D)'!N$101</f>
        <v>1.1082453126037142</v>
      </c>
      <c r="AA2958" s="147">
        <f>$N2838*'Assumptions (T&amp;D)'!O$101</f>
        <v>1.1079969384861428</v>
      </c>
      <c r="AB2958" s="147">
        <f>$N2838*'Assumptions (T&amp;D)'!P$101</f>
        <v>1.1082453126037142</v>
      </c>
      <c r="AC2958" s="147">
        <f>$N2838*'Assumptions (T&amp;D)'!Q$101</f>
        <v>1.1079969384861428</v>
      </c>
      <c r="AD2958" s="147">
        <f>$N2838*'Assumptions (T&amp;D)'!R$101</f>
        <v>1.1082453126037142</v>
      </c>
      <c r="AE2958" s="147">
        <f>$N2838*'Assumptions (T&amp;D)'!S$101</f>
        <v>1.1079969384861428</v>
      </c>
      <c r="AF2958" s="147">
        <f>$N2838*'Assumptions (T&amp;D)'!T$101</f>
        <v>1.1082453126037142</v>
      </c>
      <c r="AG2958" s="147">
        <f>$N2838*'Assumptions (T&amp;D)'!U$101</f>
        <v>1.1079969384861428</v>
      </c>
      <c r="AH2958" s="147">
        <f>$N2838*'Assumptions (T&amp;D)'!V$101</f>
        <v>0.55412265630185709</v>
      </c>
    </row>
    <row r="2959" spans="1:82" ht="15.75" hidden="1" customHeight="1" outlineLevel="1">
      <c r="A2959" s="465"/>
      <c r="B2959" s="42"/>
      <c r="C2959" s="42"/>
      <c r="D2959" s="42"/>
      <c r="E2959" s="42"/>
      <c r="F2959" s="42"/>
      <c r="G2959" s="42"/>
      <c r="H2959" s="42"/>
      <c r="I2959" s="42"/>
      <c r="J2959" s="42"/>
      <c r="K2959" s="42"/>
      <c r="L2959" s="42"/>
      <c r="M2959" s="42"/>
      <c r="N2959" s="42"/>
      <c r="O2959" s="147">
        <f>$O2838*'Assumptions (T&amp;D)'!B$101</f>
        <v>1.05847538025</v>
      </c>
      <c r="P2959" s="147">
        <f>$O2838*'Assumptions (T&amp;D)'!C$101</f>
        <v>2.0376356720066005</v>
      </c>
      <c r="Q2959" s="147">
        <f>$O2838*'Assumptions (T&amp;D)'!D$101</f>
        <v>1.8846506970478001</v>
      </c>
      <c r="R2959" s="147">
        <f>$O2838*'Assumptions (T&amp;D)'!E$101</f>
        <v>1.7435206463478001</v>
      </c>
      <c r="S2959" s="147">
        <f>$O2838*'Assumptions (T&amp;D)'!F$101</f>
        <v>1.6125519592982003</v>
      </c>
      <c r="T2959" s="147">
        <f>$O2838*'Assumptions (T&amp;D)'!G$101</f>
        <v>1.4917446358990003</v>
      </c>
      <c r="U2959" s="147">
        <f>$O2838*'Assumptions (T&amp;D)'!H$101</f>
        <v>1.3796873756432002</v>
      </c>
      <c r="V2959" s="147">
        <f>$O2838*'Assumptions (T&amp;D)'!I$101</f>
        <v>1.2763801785308002</v>
      </c>
      <c r="W2959" s="147">
        <f>$O2838*'Assumptions (T&amp;D)'!J$101</f>
        <v>1.2594445724468002</v>
      </c>
      <c r="X2959" s="147">
        <f>$O2838*'Assumptions (T&amp;D)'!K$101</f>
        <v>1.2591623123454001</v>
      </c>
      <c r="Y2959" s="147">
        <f>$O2838*'Assumptions (T&amp;D)'!L$101</f>
        <v>1.2594445724468002</v>
      </c>
      <c r="Z2959" s="147">
        <f>$O2838*'Assumptions (T&amp;D)'!M$101</f>
        <v>1.2591623123454001</v>
      </c>
      <c r="AA2959" s="147">
        <f>$O2838*'Assumptions (T&amp;D)'!N$101</f>
        <v>1.2594445724468002</v>
      </c>
      <c r="AB2959" s="147">
        <f>$O2838*'Assumptions (T&amp;D)'!O$101</f>
        <v>1.2591623123454001</v>
      </c>
      <c r="AC2959" s="147">
        <f>$O2838*'Assumptions (T&amp;D)'!P$101</f>
        <v>1.2594445724468002</v>
      </c>
      <c r="AD2959" s="147">
        <f>$O2838*'Assumptions (T&amp;D)'!Q$101</f>
        <v>1.2591623123454001</v>
      </c>
      <c r="AE2959" s="147">
        <f>$O2838*'Assumptions (T&amp;D)'!R$101</f>
        <v>1.2594445724468002</v>
      </c>
      <c r="AF2959" s="147">
        <f>$O2838*'Assumptions (T&amp;D)'!S$101</f>
        <v>1.2591623123454001</v>
      </c>
      <c r="AG2959" s="147">
        <f>$O2838*'Assumptions (T&amp;D)'!T$101</f>
        <v>1.2594445724468002</v>
      </c>
      <c r="AH2959" s="147">
        <f>$O2838*'Assumptions (T&amp;D)'!U$101</f>
        <v>1.2591623123454001</v>
      </c>
      <c r="AI2959" s="147">
        <f>$O2838*'Assumptions (T&amp;D)'!V$101</f>
        <v>0.6297222862234001</v>
      </c>
    </row>
    <row r="2960" spans="1:82" ht="15.75" hidden="1" customHeight="1" outlineLevel="1">
      <c r="A2960" s="465"/>
      <c r="B2960" s="42"/>
      <c r="C2960" s="42"/>
      <c r="D2960" s="42"/>
      <c r="E2960" s="42"/>
      <c r="F2960" s="42"/>
      <c r="G2960" s="42"/>
      <c r="H2960" s="42"/>
      <c r="I2960" s="42"/>
      <c r="J2960" s="42"/>
      <c r="K2960" s="42"/>
      <c r="L2960" s="42"/>
      <c r="M2960" s="42"/>
      <c r="N2960" s="42"/>
      <c r="O2960" s="42"/>
      <c r="P2960" s="147">
        <f>$P2838*'Assumptions (T&amp;D)'!B$101</f>
        <v>0.99895864826785707</v>
      </c>
      <c r="Q2960" s="147">
        <f>$P2838*'Assumptions (T&amp;D)'!C$101</f>
        <v>1.923061995158843</v>
      </c>
      <c r="R2960" s="147">
        <f>$P2838*'Assumptions (T&amp;D)'!D$101</f>
        <v>1.7786791718625286</v>
      </c>
      <c r="S2960" s="147">
        <f>$P2838*'Assumptions (T&amp;D)'!E$101</f>
        <v>1.6454846854268141</v>
      </c>
      <c r="T2960" s="147">
        <f>$P2838*'Assumptions (T&amp;D)'!F$101</f>
        <v>1.5218802020144715</v>
      </c>
      <c r="U2960" s="147">
        <f>$P2838*'Assumptions (T&amp;D)'!G$101</f>
        <v>1.4078657216254999</v>
      </c>
      <c r="V2960" s="147">
        <f>$P2838*'Assumptions (T&amp;D)'!H$101</f>
        <v>1.3021092993955428</v>
      </c>
      <c r="W2960" s="147">
        <f>$P2838*'Assumptions (T&amp;D)'!I$101</f>
        <v>1.2046109353246002</v>
      </c>
      <c r="X2960" s="147">
        <f>$P2838*'Assumptions (T&amp;D)'!J$101</f>
        <v>1.1886275969523143</v>
      </c>
      <c r="Y2960" s="147">
        <f>$P2838*'Assumptions (T&amp;D)'!K$101</f>
        <v>1.1883612079794428</v>
      </c>
      <c r="Z2960" s="147">
        <f>$P2838*'Assumptions (T&amp;D)'!L$101</f>
        <v>1.1886275969523143</v>
      </c>
      <c r="AA2960" s="147">
        <f>$P2838*'Assumptions (T&amp;D)'!M$101</f>
        <v>1.1883612079794428</v>
      </c>
      <c r="AB2960" s="147">
        <f>$P2838*'Assumptions (T&amp;D)'!N$101</f>
        <v>1.1886275969523143</v>
      </c>
      <c r="AC2960" s="147">
        <f>$P2838*'Assumptions (T&amp;D)'!O$101</f>
        <v>1.1883612079794428</v>
      </c>
      <c r="AD2960" s="147">
        <f>$P2838*'Assumptions (T&amp;D)'!P$101</f>
        <v>1.1886275969523143</v>
      </c>
      <c r="AE2960" s="147">
        <f>$P2838*'Assumptions (T&amp;D)'!Q$101</f>
        <v>1.1883612079794428</v>
      </c>
      <c r="AF2960" s="147">
        <f>$P2838*'Assumptions (T&amp;D)'!R$101</f>
        <v>1.1886275969523143</v>
      </c>
      <c r="AG2960" s="147">
        <f>$P2838*'Assumptions (T&amp;D)'!S$101</f>
        <v>1.1883612079794428</v>
      </c>
      <c r="AH2960" s="147">
        <f>$P2838*'Assumptions (T&amp;D)'!T$101</f>
        <v>1.1886275969523143</v>
      </c>
      <c r="AI2960" s="147">
        <f>$P2838*'Assumptions (T&amp;D)'!U$101</f>
        <v>1.1883612079794428</v>
      </c>
      <c r="AJ2960" s="147">
        <f>$P2838*'Assumptions (T&amp;D)'!V$101</f>
        <v>0.59431379847615717</v>
      </c>
    </row>
    <row r="2961" spans="1:52" ht="15.75" hidden="1" customHeight="1" outlineLevel="1">
      <c r="A2961" s="465"/>
      <c r="B2961" s="42"/>
      <c r="C2961" s="42"/>
      <c r="D2961" s="42"/>
      <c r="E2961" s="42"/>
      <c r="F2961" s="42"/>
      <c r="G2961" s="42"/>
      <c r="H2961" s="42"/>
      <c r="I2961" s="42"/>
      <c r="J2961" s="42"/>
      <c r="K2961" s="42"/>
      <c r="L2961" s="42"/>
      <c r="M2961" s="42"/>
      <c r="N2961" s="42"/>
      <c r="O2961" s="42"/>
      <c r="P2961" s="42"/>
      <c r="Q2961" s="147">
        <f>$Q2838*'Assumptions (T&amp;D)'!B$101</f>
        <v>1.1244298214999999</v>
      </c>
      <c r="R2961" s="147">
        <f>$Q2838*'Assumptions (T&amp;D)'!C$101</f>
        <v>2.1646023683756002</v>
      </c>
      <c r="S2961" s="147">
        <f>$Q2838*'Assumptions (T&amp;D)'!D$101</f>
        <v>2.0020847781748001</v>
      </c>
      <c r="T2961" s="147">
        <f>$Q2838*'Assumptions (T&amp;D)'!E$101</f>
        <v>1.8521608019747999</v>
      </c>
      <c r="U2961" s="147">
        <f>$Q2838*'Assumptions (T&amp;D)'!F$101</f>
        <v>1.7130313520611999</v>
      </c>
      <c r="V2961" s="147">
        <f>$Q2838*'Assumptions (T&amp;D)'!G$101</f>
        <v>1.5846964284340002</v>
      </c>
      <c r="W2961" s="147">
        <f>$Q2838*'Assumptions (T&amp;D)'!H$101</f>
        <v>1.4656567913312</v>
      </c>
      <c r="X2961" s="147">
        <f>$Q2838*'Assumptions (T&amp;D)'!I$101</f>
        <v>1.3559124407528</v>
      </c>
      <c r="Y2961" s="147">
        <f>$Q2838*'Assumptions (T&amp;D)'!J$101</f>
        <v>1.3379215636088</v>
      </c>
      <c r="Z2961" s="147">
        <f>$Q2838*'Assumptions (T&amp;D)'!K$101</f>
        <v>1.3376217156563999</v>
      </c>
      <c r="AA2961" s="147">
        <f>$Q2838*'Assumptions (T&amp;D)'!L$101</f>
        <v>1.3379215636088</v>
      </c>
      <c r="AB2961" s="147">
        <f>$Q2838*'Assumptions (T&amp;D)'!M$101</f>
        <v>1.3376217156563999</v>
      </c>
      <c r="AC2961" s="147">
        <f>$Q2838*'Assumptions (T&amp;D)'!N$101</f>
        <v>1.3379215636088</v>
      </c>
      <c r="AD2961" s="147">
        <f>$Q2838*'Assumptions (T&amp;D)'!O$101</f>
        <v>1.3376217156563999</v>
      </c>
      <c r="AE2961" s="147">
        <f>$Q2838*'Assumptions (T&amp;D)'!P$101</f>
        <v>1.3379215636088</v>
      </c>
      <c r="AF2961" s="147">
        <f>$Q2838*'Assumptions (T&amp;D)'!Q$101</f>
        <v>1.3376217156563999</v>
      </c>
      <c r="AG2961" s="147">
        <f>$Q2838*'Assumptions (T&amp;D)'!R$101</f>
        <v>1.3379215636088</v>
      </c>
      <c r="AH2961" s="147">
        <f>$Q2838*'Assumptions (T&amp;D)'!S$101</f>
        <v>1.3376217156563999</v>
      </c>
      <c r="AI2961" s="147">
        <f>$Q2838*'Assumptions (T&amp;D)'!T$101</f>
        <v>1.3379215636088</v>
      </c>
      <c r="AJ2961" s="147">
        <f>$Q2838*'Assumptions (T&amp;D)'!U$101</f>
        <v>1.3376217156563999</v>
      </c>
      <c r="AK2961" s="147">
        <f>$Q2838*'Assumptions (T&amp;D)'!V$101</f>
        <v>0.6689607818044</v>
      </c>
    </row>
    <row r="2962" spans="1:52" ht="15.75" hidden="1" customHeight="1" outlineLevel="1">
      <c r="A2962" s="465"/>
      <c r="B2962" s="42"/>
      <c r="C2962" s="42"/>
      <c r="D2962" s="42"/>
      <c r="E2962" s="42"/>
      <c r="F2962" s="42"/>
      <c r="G2962" s="42"/>
      <c r="H2962" s="42"/>
      <c r="I2962" s="42"/>
      <c r="J2962" s="42"/>
      <c r="K2962" s="42"/>
      <c r="L2962" s="42"/>
      <c r="M2962" s="42"/>
      <c r="N2962" s="42"/>
      <c r="O2962" s="42"/>
      <c r="P2962" s="42"/>
      <c r="Q2962" s="42"/>
      <c r="R2962" s="147">
        <f>$R2838*'Assumptions (T&amp;D)'!B$101</f>
        <v>1.2406744626964286</v>
      </c>
      <c r="S2962" s="147">
        <f>$R2838*'Assumptions (T&amp;D)'!C$101</f>
        <v>2.3883810523214719</v>
      </c>
      <c r="T2962" s="147">
        <f>$R2838*'Assumptions (T&amp;D)'!D$101</f>
        <v>2.2090622366464143</v>
      </c>
      <c r="U2962" s="147">
        <f>$R2838*'Assumptions (T&amp;D)'!E$101</f>
        <v>2.0436389749535571</v>
      </c>
      <c r="V2962" s="147">
        <f>$R2838*'Assumptions (T&amp;D)'!F$101</f>
        <v>1.8901261881025859</v>
      </c>
      <c r="W2962" s="147">
        <f>$R2838*'Assumptions (T&amp;D)'!G$101</f>
        <v>1.7485238760935002</v>
      </c>
      <c r="X2962" s="147">
        <f>$R2838*'Assumptions (T&amp;D)'!H$101</f>
        <v>1.6171778063093716</v>
      </c>
      <c r="Y2962" s="147">
        <f>$R2838*'Assumptions (T&amp;D)'!I$101</f>
        <v>1.4960879787502002</v>
      </c>
      <c r="Z2962" s="147">
        <f>$R2838*'Assumptions (T&amp;D)'!J$101</f>
        <v>1.4762371873470572</v>
      </c>
      <c r="AA2962" s="147">
        <f>$R2838*'Assumptions (T&amp;D)'!K$101</f>
        <v>1.4759063408236714</v>
      </c>
      <c r="AB2962" s="147">
        <f>$R2838*'Assumptions (T&amp;D)'!L$101</f>
        <v>1.4762371873470572</v>
      </c>
      <c r="AC2962" s="147">
        <f>$R2838*'Assumptions (T&amp;D)'!M$101</f>
        <v>1.4759063408236714</v>
      </c>
      <c r="AD2962" s="147">
        <f>$R2838*'Assumptions (T&amp;D)'!N$101</f>
        <v>1.4762371873470572</v>
      </c>
      <c r="AE2962" s="147">
        <f>$R2838*'Assumptions (T&amp;D)'!O$101</f>
        <v>1.4759063408236714</v>
      </c>
      <c r="AF2962" s="147">
        <f>$R2838*'Assumptions (T&amp;D)'!P$101</f>
        <v>1.4762371873470572</v>
      </c>
      <c r="AG2962" s="147">
        <f>$R2838*'Assumptions (T&amp;D)'!Q$101</f>
        <v>1.4759063408236714</v>
      </c>
      <c r="AH2962" s="147">
        <f>$R2838*'Assumptions (T&amp;D)'!R$101</f>
        <v>1.4762371873470572</v>
      </c>
      <c r="AI2962" s="147">
        <f>$R2838*'Assumptions (T&amp;D)'!S$101</f>
        <v>1.4759063408236714</v>
      </c>
      <c r="AJ2962" s="147">
        <f>$R2838*'Assumptions (T&amp;D)'!T$101</f>
        <v>1.4762371873470572</v>
      </c>
      <c r="AK2962" s="147">
        <f>$R2838*'Assumptions (T&amp;D)'!U$101</f>
        <v>1.4759063408236714</v>
      </c>
      <c r="AL2962" s="147">
        <f>$R2838*'Assumptions (T&amp;D)'!V$101</f>
        <v>0.73811859367352861</v>
      </c>
    </row>
    <row r="2963" spans="1:52" ht="15.75" hidden="1" customHeight="1" outlineLevel="1">
      <c r="A2963" s="465"/>
      <c r="B2963" s="42"/>
      <c r="C2963" s="42"/>
      <c r="D2963" s="42"/>
      <c r="E2963" s="42"/>
      <c r="F2963" s="42"/>
      <c r="G2963" s="42"/>
      <c r="H2963" s="42"/>
      <c r="I2963" s="42"/>
      <c r="J2963" s="42"/>
      <c r="K2963" s="42"/>
      <c r="L2963" s="42"/>
      <c r="M2963" s="42"/>
      <c r="N2963" s="42"/>
      <c r="O2963" s="42"/>
      <c r="P2963" s="42"/>
      <c r="Q2963" s="42"/>
      <c r="R2963" s="42"/>
      <c r="S2963" s="147">
        <f>$S2838*'Assumptions (T&amp;D)'!B$101</f>
        <v>1.3197662696785712</v>
      </c>
      <c r="T2963" s="147">
        <f>$S2838*'Assumptions (T&amp;D)'!C$101</f>
        <v>2.5406380535492286</v>
      </c>
      <c r="U2963" s="147">
        <f>$S2838*'Assumptions (T&amp;D)'!D$101</f>
        <v>2.3498878353716854</v>
      </c>
      <c r="V2963" s="147">
        <f>$S2838*'Assumptions (T&amp;D)'!E$101</f>
        <v>2.1739189994145427</v>
      </c>
      <c r="W2963" s="147">
        <f>$S2838*'Assumptions (T&amp;D)'!F$101</f>
        <v>2.0106199196463144</v>
      </c>
      <c r="X2963" s="147">
        <f>$S2838*'Assumptions (T&amp;D)'!G$101</f>
        <v>1.859990596067</v>
      </c>
      <c r="Y2963" s="147">
        <f>$S2838*'Assumptions (T&amp;D)'!H$101</f>
        <v>1.7202713403170284</v>
      </c>
      <c r="Z2963" s="147">
        <f>$S2838*'Assumptions (T&amp;D)'!I$101</f>
        <v>1.5914621523964001</v>
      </c>
      <c r="AA2963" s="147">
        <f>$S2838*'Assumptions (T&amp;D)'!J$101</f>
        <v>1.5703458920815427</v>
      </c>
      <c r="AB2963" s="147">
        <f>$S2838*'Assumptions (T&amp;D)'!K$101</f>
        <v>1.5699939544096284</v>
      </c>
      <c r="AC2963" s="147">
        <f>$S2838*'Assumptions (T&amp;D)'!L$101</f>
        <v>1.5703458920815427</v>
      </c>
      <c r="AD2963" s="147">
        <f>$S2838*'Assumptions (T&amp;D)'!M$101</f>
        <v>1.5699939544096284</v>
      </c>
      <c r="AE2963" s="147">
        <f>$S2838*'Assumptions (T&amp;D)'!N$101</f>
        <v>1.5703458920815427</v>
      </c>
      <c r="AF2963" s="147">
        <f>$S2838*'Assumptions (T&amp;D)'!O$101</f>
        <v>1.5699939544096284</v>
      </c>
      <c r="AG2963" s="147">
        <f>$S2838*'Assumptions (T&amp;D)'!P$101</f>
        <v>1.5703458920815427</v>
      </c>
      <c r="AH2963" s="147">
        <f>$S2838*'Assumptions (T&amp;D)'!Q$101</f>
        <v>1.5699939544096284</v>
      </c>
      <c r="AI2963" s="147">
        <f>$S2838*'Assumptions (T&amp;D)'!R$101</f>
        <v>1.5703458920815427</v>
      </c>
      <c r="AJ2963" s="147">
        <f>$S2838*'Assumptions (T&amp;D)'!S$101</f>
        <v>1.5699939544096284</v>
      </c>
      <c r="AK2963" s="147">
        <f>$S2838*'Assumptions (T&amp;D)'!T$101</f>
        <v>1.5703458920815427</v>
      </c>
      <c r="AL2963" s="147">
        <f>$S2838*'Assumptions (T&amp;D)'!U$101</f>
        <v>1.5699939544096284</v>
      </c>
      <c r="AM2963" s="147">
        <f>$S2838*'Assumptions (T&amp;D)'!V$101</f>
        <v>0.78517294604077137</v>
      </c>
    </row>
    <row r="2964" spans="1:52" ht="15.75" hidden="1" customHeight="1" outlineLevel="1">
      <c r="A2964" s="465"/>
      <c r="B2964" s="42"/>
      <c r="C2964" s="42"/>
      <c r="D2964" s="42"/>
      <c r="E2964" s="42"/>
      <c r="F2964" s="42"/>
      <c r="G2964" s="42"/>
      <c r="H2964" s="42"/>
      <c r="I2964" s="42"/>
      <c r="J2964" s="42"/>
      <c r="K2964" s="42"/>
      <c r="L2964" s="42"/>
      <c r="M2964" s="42"/>
      <c r="N2964" s="42"/>
      <c r="O2964" s="42"/>
      <c r="P2964" s="42"/>
      <c r="Q2964" s="42"/>
      <c r="R2964" s="42"/>
      <c r="S2964" s="42"/>
      <c r="T2964" s="147">
        <f>$T2838*'Assumptions (T&amp;D)'!B$101</f>
        <v>1.392857142857143</v>
      </c>
      <c r="U2964" s="147">
        <f>$T2838*'Assumptions (T&amp;D)'!C$101</f>
        <v>2.6813428571428575</v>
      </c>
      <c r="V2964" s="147">
        <f>$T2838*'Assumptions (T&amp;D)'!D$101</f>
        <v>2.4800285714285715</v>
      </c>
      <c r="W2964" s="147">
        <f>$T2838*'Assumptions (T&amp;D)'!E$101</f>
        <v>2.294314285714286</v>
      </c>
      <c r="X2964" s="147">
        <f>$T2838*'Assumptions (T&amp;D)'!F$101</f>
        <v>2.1219714285714288</v>
      </c>
      <c r="Y2964" s="147">
        <f>$T2838*'Assumptions (T&amp;D)'!G$101</f>
        <v>1.9630000000000003</v>
      </c>
      <c r="Z2964" s="147">
        <f>$T2838*'Assumptions (T&amp;D)'!H$101</f>
        <v>1.8155428571428573</v>
      </c>
      <c r="AA2964" s="147">
        <f>$T2838*'Assumptions (T&amp;D)'!I$101</f>
        <v>1.6796000000000002</v>
      </c>
      <c r="AB2964" s="147">
        <f>$T2838*'Assumptions (T&amp;D)'!J$101</f>
        <v>1.6573142857142857</v>
      </c>
      <c r="AC2964" s="147">
        <f>$T2838*'Assumptions (T&amp;D)'!K$101</f>
        <v>1.6569428571428573</v>
      </c>
      <c r="AD2964" s="147">
        <f>$T2838*'Assumptions (T&amp;D)'!L$101</f>
        <v>1.6573142857142857</v>
      </c>
      <c r="AE2964" s="147">
        <f>$T2838*'Assumptions (T&amp;D)'!M$101</f>
        <v>1.6569428571428573</v>
      </c>
      <c r="AF2964" s="147">
        <f>$T2838*'Assumptions (T&amp;D)'!N$101</f>
        <v>1.6573142857142857</v>
      </c>
      <c r="AG2964" s="147">
        <f>$T2838*'Assumptions (T&amp;D)'!O$101</f>
        <v>1.6569428571428573</v>
      </c>
      <c r="AH2964" s="147">
        <f>$T2838*'Assumptions (T&amp;D)'!P$101</f>
        <v>1.6573142857142857</v>
      </c>
      <c r="AI2964" s="147">
        <f>$T2838*'Assumptions (T&amp;D)'!Q$101</f>
        <v>1.6569428571428573</v>
      </c>
      <c r="AJ2964" s="147">
        <f>$T2838*'Assumptions (T&amp;D)'!R$101</f>
        <v>1.6573142857142857</v>
      </c>
      <c r="AK2964" s="147">
        <f>$T2838*'Assumptions (T&amp;D)'!S$101</f>
        <v>1.6569428571428573</v>
      </c>
      <c r="AL2964" s="147">
        <f>$T2838*'Assumptions (T&amp;D)'!T$101</f>
        <v>1.6573142857142857</v>
      </c>
      <c r="AM2964" s="147">
        <f>$T2838*'Assumptions (T&amp;D)'!U$101</f>
        <v>1.6569428571428573</v>
      </c>
      <c r="AN2964" s="147">
        <f>$T2838*'Assumptions (T&amp;D)'!V$101</f>
        <v>0.82865714285714287</v>
      </c>
    </row>
    <row r="2965" spans="1:52" ht="15.75" hidden="1" customHeight="1" outlineLevel="1">
      <c r="A2965" s="465"/>
      <c r="B2965" s="42"/>
      <c r="C2965" s="42"/>
      <c r="D2965" s="42"/>
      <c r="E2965" s="42"/>
      <c r="F2965" s="42"/>
      <c r="G2965" s="42"/>
      <c r="H2965" s="42"/>
      <c r="I2965" s="42"/>
      <c r="J2965" s="42"/>
      <c r="K2965" s="42"/>
      <c r="L2965" s="42"/>
      <c r="M2965" s="42"/>
      <c r="N2965" s="42"/>
      <c r="O2965" s="42"/>
      <c r="P2965" s="42"/>
      <c r="Q2965" s="42"/>
      <c r="R2965" s="42"/>
      <c r="S2965" s="42"/>
      <c r="T2965" s="42"/>
      <c r="U2965" s="147">
        <f>$U2838*'Assumptions (T&amp;D)'!B$101</f>
        <v>1.2841994603421412</v>
      </c>
      <c r="V2965" s="147">
        <f>$U2838*'Assumptions (T&amp;D)'!C$101</f>
        <v>2.472169574455978</v>
      </c>
      <c r="W2965" s="147">
        <f>$U2838*'Assumptions (T&amp;D)'!D$101</f>
        <v>2.28655994578786</v>
      </c>
      <c r="X2965" s="147">
        <f>$U2838*'Assumptions (T&amp;D)'!E$101</f>
        <v>2.115333351075575</v>
      </c>
      <c r="Y2965" s="147">
        <f>$U2838*'Assumptions (T&amp;D)'!F$101</f>
        <v>1.956435071182574</v>
      </c>
      <c r="Z2965" s="147">
        <f>$U2838*'Assumptions (T&amp;D)'!G$101</f>
        <v>1.8098651061088575</v>
      </c>
      <c r="AA2965" s="147">
        <f>$U2838*'Assumptions (T&amp;D)'!H$101</f>
        <v>1.6739111899073029</v>
      </c>
      <c r="AB2965" s="147">
        <f>$U2838*'Assumptions (T&amp;D)'!I$101</f>
        <v>1.5485733225779099</v>
      </c>
      <c r="AC2965" s="147">
        <f>$U2838*'Assumptions (T&amp;D)'!J$101</f>
        <v>1.5280261312124357</v>
      </c>
      <c r="AD2965" s="147">
        <f>$U2838*'Assumptions (T&amp;D)'!K$101</f>
        <v>1.527683678023011</v>
      </c>
      <c r="AE2965" s="147">
        <f>$U2838*'Assumptions (T&amp;D)'!L$101</f>
        <v>1.5280261312124357</v>
      </c>
      <c r="AF2965" s="147">
        <f>$U2838*'Assumptions (T&amp;D)'!M$101</f>
        <v>1.527683678023011</v>
      </c>
      <c r="AG2965" s="147">
        <f>$U2838*'Assumptions (T&amp;D)'!N$101</f>
        <v>1.5280261312124357</v>
      </c>
      <c r="AH2965" s="147">
        <f>$U2838*'Assumptions (T&amp;D)'!O$101</f>
        <v>1.527683678023011</v>
      </c>
      <c r="AI2965" s="147">
        <f>$U2838*'Assumptions (T&amp;D)'!P$101</f>
        <v>1.5280261312124357</v>
      </c>
      <c r="AJ2965" s="147">
        <f>$U2838*'Assumptions (T&amp;D)'!Q$101</f>
        <v>1.527683678023011</v>
      </c>
      <c r="AK2965" s="147">
        <f>$U2838*'Assumptions (T&amp;D)'!R$101</f>
        <v>1.5280261312124357</v>
      </c>
      <c r="AL2965" s="147">
        <f>$U2838*'Assumptions (T&amp;D)'!S$101</f>
        <v>1.527683678023011</v>
      </c>
      <c r="AM2965" s="147">
        <f>$U2838*'Assumptions (T&amp;D)'!T$101</f>
        <v>1.5280261312124357</v>
      </c>
      <c r="AN2965" s="147">
        <f>$U2838*'Assumptions (T&amp;D)'!U$101</f>
        <v>1.527683678023011</v>
      </c>
      <c r="AO2965" s="147">
        <f>$U2838*'Assumptions (T&amp;D)'!V$101</f>
        <v>0.76401306560621784</v>
      </c>
    </row>
    <row r="2966" spans="1:52" ht="15.75" hidden="1" customHeight="1" outlineLevel="1">
      <c r="A2966" s="465"/>
      <c r="B2966" s="42"/>
      <c r="C2966" s="42"/>
      <c r="D2966" s="42"/>
      <c r="E2966" s="42"/>
      <c r="F2966" s="42"/>
      <c r="G2966" s="42"/>
      <c r="H2966" s="42"/>
      <c r="I2966" s="42"/>
      <c r="J2966" s="42"/>
      <c r="K2966" s="42"/>
      <c r="L2966" s="42"/>
      <c r="M2966" s="42"/>
      <c r="N2966" s="42"/>
      <c r="O2966" s="42"/>
      <c r="P2966" s="42"/>
      <c r="Q2966" s="42"/>
      <c r="R2966" s="42"/>
      <c r="S2966" s="42"/>
      <c r="T2966" s="42"/>
      <c r="U2966" s="42"/>
      <c r="V2966" s="147">
        <f>$V2838*'Assumptions (T&amp;D)'!B$101</f>
        <v>1.2841994603421412</v>
      </c>
      <c r="W2966" s="147">
        <f>$V2838*'Assumptions (T&amp;D)'!C$101</f>
        <v>2.472169574455978</v>
      </c>
      <c r="X2966" s="147">
        <f>$V2838*'Assumptions (T&amp;D)'!D$101</f>
        <v>2.28655994578786</v>
      </c>
      <c r="Y2966" s="147">
        <f>$V2838*'Assumptions (T&amp;D)'!E$101</f>
        <v>2.115333351075575</v>
      </c>
      <c r="Z2966" s="147">
        <f>$V2838*'Assumptions (T&amp;D)'!F$101</f>
        <v>1.956435071182574</v>
      </c>
      <c r="AA2966" s="147">
        <f>$V2838*'Assumptions (T&amp;D)'!G$101</f>
        <v>1.8098651061088575</v>
      </c>
      <c r="AB2966" s="147">
        <f>$V2838*'Assumptions (T&amp;D)'!H$101</f>
        <v>1.6739111899073029</v>
      </c>
      <c r="AC2966" s="147">
        <f>$V2838*'Assumptions (T&amp;D)'!I$101</f>
        <v>1.5485733225779099</v>
      </c>
      <c r="AD2966" s="147">
        <f>$V2838*'Assumptions (T&amp;D)'!J$101</f>
        <v>1.5280261312124357</v>
      </c>
      <c r="AE2966" s="147">
        <f>$V2838*'Assumptions (T&amp;D)'!K$101</f>
        <v>1.527683678023011</v>
      </c>
      <c r="AF2966" s="147">
        <f>$V2838*'Assumptions (T&amp;D)'!L$101</f>
        <v>1.5280261312124357</v>
      </c>
      <c r="AG2966" s="147">
        <f>$V2838*'Assumptions (T&amp;D)'!M$101</f>
        <v>1.527683678023011</v>
      </c>
      <c r="AH2966" s="147">
        <f>$V2838*'Assumptions (T&amp;D)'!N$101</f>
        <v>1.5280261312124357</v>
      </c>
      <c r="AI2966" s="147">
        <f>$V2838*'Assumptions (T&amp;D)'!O$101</f>
        <v>1.527683678023011</v>
      </c>
      <c r="AJ2966" s="147">
        <f>$V2838*'Assumptions (T&amp;D)'!P$101</f>
        <v>1.5280261312124357</v>
      </c>
      <c r="AK2966" s="147">
        <f>$V2838*'Assumptions (T&amp;D)'!Q$101</f>
        <v>1.527683678023011</v>
      </c>
      <c r="AL2966" s="147">
        <f>$V2838*'Assumptions (T&amp;D)'!R$101</f>
        <v>1.5280261312124357</v>
      </c>
      <c r="AM2966" s="147">
        <f>$V2838*'Assumptions (T&amp;D)'!S$101</f>
        <v>1.527683678023011</v>
      </c>
      <c r="AN2966" s="147">
        <f>$V2838*'Assumptions (T&amp;D)'!T$101</f>
        <v>1.5280261312124357</v>
      </c>
      <c r="AO2966" s="147">
        <f>$V2838*'Assumptions (T&amp;D)'!U$101</f>
        <v>1.527683678023011</v>
      </c>
      <c r="AP2966" s="147">
        <f>$V2838*'Assumptions (T&amp;D)'!V$101</f>
        <v>0.76401306560621784</v>
      </c>
    </row>
    <row r="2967" spans="1:52" ht="15.75" hidden="1" customHeight="1" outlineLevel="1">
      <c r="A2967" s="465"/>
      <c r="B2967" s="42"/>
      <c r="C2967" s="42"/>
      <c r="D2967" s="42"/>
      <c r="E2967" s="42"/>
      <c r="F2967" s="42"/>
      <c r="G2967" s="42"/>
      <c r="H2967" s="42"/>
      <c r="I2967" s="42"/>
      <c r="J2967" s="42"/>
      <c r="K2967" s="42"/>
      <c r="L2967" s="42"/>
      <c r="M2967" s="42"/>
      <c r="N2967" s="42"/>
      <c r="O2967" s="42"/>
      <c r="P2967" s="42"/>
      <c r="Q2967" s="42"/>
      <c r="R2967" s="42"/>
      <c r="S2967" s="42"/>
      <c r="T2967" s="42"/>
      <c r="U2967" s="42"/>
      <c r="V2967" s="42"/>
      <c r="W2967" s="147">
        <f>$W2838*'Assumptions (T&amp;D)'!B$101</f>
        <v>1.2841994603421412</v>
      </c>
      <c r="X2967" s="147">
        <f>$W2838*'Assumptions (T&amp;D)'!C$101</f>
        <v>2.472169574455978</v>
      </c>
      <c r="Y2967" s="147">
        <f>$W2838*'Assumptions (T&amp;D)'!D$101</f>
        <v>2.28655994578786</v>
      </c>
      <c r="Z2967" s="147">
        <f>$W2838*'Assumptions (T&amp;D)'!E$101</f>
        <v>2.115333351075575</v>
      </c>
      <c r="AA2967" s="147">
        <f>$W2838*'Assumptions (T&amp;D)'!F$101</f>
        <v>1.956435071182574</v>
      </c>
      <c r="AB2967" s="147">
        <f>$W2838*'Assumptions (T&amp;D)'!G$101</f>
        <v>1.8098651061088575</v>
      </c>
      <c r="AC2967" s="147">
        <f>$W2838*'Assumptions (T&amp;D)'!H$101</f>
        <v>1.6739111899073029</v>
      </c>
      <c r="AD2967" s="147">
        <f>$W2838*'Assumptions (T&amp;D)'!I$101</f>
        <v>1.5485733225779099</v>
      </c>
      <c r="AE2967" s="147">
        <f>$W2838*'Assumptions (T&amp;D)'!J$101</f>
        <v>1.5280261312124357</v>
      </c>
      <c r="AF2967" s="147">
        <f>$W2838*'Assumptions (T&amp;D)'!K$101</f>
        <v>1.527683678023011</v>
      </c>
      <c r="AG2967" s="147">
        <f>$W2838*'Assumptions (T&amp;D)'!L$101</f>
        <v>1.5280261312124357</v>
      </c>
      <c r="AH2967" s="147">
        <f>$W2838*'Assumptions (T&amp;D)'!M$101</f>
        <v>1.527683678023011</v>
      </c>
      <c r="AI2967" s="147">
        <f>$W2838*'Assumptions (T&amp;D)'!N$101</f>
        <v>1.5280261312124357</v>
      </c>
      <c r="AJ2967" s="147">
        <f>$W2838*'Assumptions (T&amp;D)'!O$101</f>
        <v>1.527683678023011</v>
      </c>
      <c r="AK2967" s="147">
        <f>$W2838*'Assumptions (T&amp;D)'!P$101</f>
        <v>1.5280261312124357</v>
      </c>
      <c r="AL2967" s="147">
        <f>$W2838*'Assumptions (T&amp;D)'!Q$101</f>
        <v>1.527683678023011</v>
      </c>
      <c r="AM2967" s="147">
        <f>$W2838*'Assumptions (T&amp;D)'!R$101</f>
        <v>1.5280261312124357</v>
      </c>
      <c r="AN2967" s="147">
        <f>$W2838*'Assumptions (T&amp;D)'!S$101</f>
        <v>1.527683678023011</v>
      </c>
      <c r="AO2967" s="147">
        <f>$W2838*'Assumptions (T&amp;D)'!T$101</f>
        <v>1.5280261312124357</v>
      </c>
      <c r="AP2967" s="147">
        <f>$W2838*'Assumptions (T&amp;D)'!U$101</f>
        <v>1.527683678023011</v>
      </c>
      <c r="AQ2967" s="147">
        <f>$W2838*'Assumptions (T&amp;D)'!V$101</f>
        <v>0.76401306560621784</v>
      </c>
    </row>
    <row r="2968" spans="1:52" ht="15.75" hidden="1" customHeight="1" outlineLevel="1">
      <c r="A2968" s="465"/>
      <c r="B2968" s="42"/>
      <c r="C2968" s="42"/>
      <c r="D2968" s="42"/>
      <c r="E2968" s="42"/>
      <c r="F2968" s="42"/>
      <c r="G2968" s="42"/>
      <c r="H2968" s="42"/>
      <c r="I2968" s="42"/>
      <c r="J2968" s="42"/>
      <c r="K2968" s="42"/>
      <c r="L2968" s="42"/>
      <c r="M2968" s="42"/>
      <c r="N2968" s="42"/>
      <c r="O2968" s="42"/>
      <c r="P2968" s="42"/>
      <c r="Q2968" s="42"/>
      <c r="R2968" s="42"/>
      <c r="S2968" s="42"/>
      <c r="T2968" s="42"/>
      <c r="U2968" s="42"/>
      <c r="V2968" s="42"/>
      <c r="W2968" s="86"/>
      <c r="X2968" s="147">
        <f>$X2838*'Assumptions (T&amp;D)'!B$101</f>
        <v>1.2841994603421412</v>
      </c>
      <c r="Y2968" s="147">
        <f>$X2838*'Assumptions (T&amp;D)'!C$101</f>
        <v>2.472169574455978</v>
      </c>
      <c r="Z2968" s="147">
        <f>$X2838*'Assumptions (T&amp;D)'!D$101</f>
        <v>2.28655994578786</v>
      </c>
      <c r="AA2968" s="147">
        <f>$X2838*'Assumptions (T&amp;D)'!E$101</f>
        <v>2.115333351075575</v>
      </c>
      <c r="AB2968" s="147">
        <f>$X2838*'Assumptions (T&amp;D)'!F$101</f>
        <v>1.956435071182574</v>
      </c>
      <c r="AC2968" s="147">
        <f>$X2838*'Assumptions (T&amp;D)'!G$101</f>
        <v>1.8098651061088575</v>
      </c>
      <c r="AD2968" s="147">
        <f>$X2838*'Assumptions (T&amp;D)'!H$101</f>
        <v>1.6739111899073029</v>
      </c>
      <c r="AE2968" s="147">
        <f>$X2838*'Assumptions (T&amp;D)'!I$101</f>
        <v>1.5485733225779099</v>
      </c>
      <c r="AF2968" s="147">
        <f>$X2838*'Assumptions (T&amp;D)'!J$101</f>
        <v>1.5280261312124357</v>
      </c>
      <c r="AG2968" s="147">
        <f>$X2838*'Assumptions (T&amp;D)'!K$101</f>
        <v>1.527683678023011</v>
      </c>
      <c r="AH2968" s="147">
        <f>$X2838*'Assumptions (T&amp;D)'!L$101</f>
        <v>1.5280261312124357</v>
      </c>
      <c r="AI2968" s="147">
        <f>$X2838*'Assumptions (T&amp;D)'!M$101</f>
        <v>1.527683678023011</v>
      </c>
      <c r="AJ2968" s="147">
        <f>$X2838*'Assumptions (T&amp;D)'!N$101</f>
        <v>1.5280261312124357</v>
      </c>
      <c r="AK2968" s="147">
        <f>$X2838*'Assumptions (T&amp;D)'!O$101</f>
        <v>1.527683678023011</v>
      </c>
      <c r="AL2968" s="147">
        <f>$X2838*'Assumptions (T&amp;D)'!P$101</f>
        <v>1.5280261312124357</v>
      </c>
      <c r="AM2968" s="147">
        <f>$X2838*'Assumptions (T&amp;D)'!Q$101</f>
        <v>1.527683678023011</v>
      </c>
      <c r="AN2968" s="147">
        <f>$X2838*'Assumptions (T&amp;D)'!R$101</f>
        <v>1.5280261312124357</v>
      </c>
      <c r="AO2968" s="147">
        <f>$X2838*'Assumptions (T&amp;D)'!S$101</f>
        <v>1.527683678023011</v>
      </c>
      <c r="AP2968" s="147">
        <f>$X2838*'Assumptions (T&amp;D)'!T$101</f>
        <v>1.5280261312124357</v>
      </c>
      <c r="AQ2968" s="147">
        <f>$X2838*'Assumptions (T&amp;D)'!U$101</f>
        <v>1.527683678023011</v>
      </c>
      <c r="AR2968" s="147">
        <f>$X2838*'Assumptions (T&amp;D)'!V$101</f>
        <v>0.76401306560621784</v>
      </c>
    </row>
    <row r="2969" spans="1:52" ht="15.75" hidden="1" customHeight="1" outlineLevel="1">
      <c r="A2969" s="465"/>
      <c r="B2969" s="42"/>
      <c r="C2969" s="42"/>
      <c r="D2969" s="42"/>
      <c r="E2969" s="42"/>
      <c r="F2969" s="42"/>
      <c r="G2969" s="42"/>
      <c r="H2969" s="42"/>
      <c r="I2969" s="42"/>
      <c r="J2969" s="42"/>
      <c r="K2969" s="42"/>
      <c r="L2969" s="42"/>
      <c r="M2969" s="42"/>
      <c r="N2969" s="42"/>
      <c r="O2969" s="42"/>
      <c r="P2969" s="42"/>
      <c r="Q2969" s="42"/>
      <c r="R2969" s="42"/>
      <c r="S2969" s="42"/>
      <c r="T2969" s="42"/>
      <c r="U2969" s="42"/>
      <c r="V2969" s="42"/>
      <c r="W2969" s="86"/>
      <c r="Y2969" s="147">
        <f>$Y2838*'Assumptions (T&amp;D)'!B$101</f>
        <v>1.2841994603421412</v>
      </c>
      <c r="Z2969" s="147">
        <f>$Y2838*'Assumptions (T&amp;D)'!C$101</f>
        <v>2.472169574455978</v>
      </c>
      <c r="AA2969" s="147">
        <f>$Y2838*'Assumptions (T&amp;D)'!D$101</f>
        <v>2.28655994578786</v>
      </c>
      <c r="AB2969" s="147">
        <f>$Y2838*'Assumptions (T&amp;D)'!E$101</f>
        <v>2.115333351075575</v>
      </c>
      <c r="AC2969" s="147">
        <f>$Y2838*'Assumptions (T&amp;D)'!F$101</f>
        <v>1.956435071182574</v>
      </c>
      <c r="AD2969" s="147">
        <f>$Y2838*'Assumptions (T&amp;D)'!G$101</f>
        <v>1.8098651061088575</v>
      </c>
      <c r="AE2969" s="147">
        <f>$Y2838*'Assumptions (T&amp;D)'!H$101</f>
        <v>1.6739111899073029</v>
      </c>
      <c r="AF2969" s="147">
        <f>$Y2838*'Assumptions (T&amp;D)'!I$101</f>
        <v>1.5485733225779099</v>
      </c>
      <c r="AG2969" s="147">
        <f>$Y2838*'Assumptions (T&amp;D)'!J$101</f>
        <v>1.5280261312124357</v>
      </c>
      <c r="AH2969" s="147">
        <f>$Y2838*'Assumptions (T&amp;D)'!K$101</f>
        <v>1.527683678023011</v>
      </c>
      <c r="AI2969" s="147">
        <f>$Y2838*'Assumptions (T&amp;D)'!L$101</f>
        <v>1.5280261312124357</v>
      </c>
      <c r="AJ2969" s="147">
        <f>$Y2838*'Assumptions (T&amp;D)'!M$101</f>
        <v>1.527683678023011</v>
      </c>
      <c r="AK2969" s="147">
        <f>$Y2838*'Assumptions (T&amp;D)'!N$101</f>
        <v>1.5280261312124357</v>
      </c>
      <c r="AL2969" s="147">
        <f>$Y2838*'Assumptions (T&amp;D)'!O$101</f>
        <v>1.527683678023011</v>
      </c>
      <c r="AM2969" s="147">
        <f>$Y2838*'Assumptions (T&amp;D)'!P$101</f>
        <v>1.5280261312124357</v>
      </c>
      <c r="AN2969" s="147">
        <f>$Y2838*'Assumptions (T&amp;D)'!Q$101</f>
        <v>1.527683678023011</v>
      </c>
      <c r="AO2969" s="147">
        <f>$Y2838*'Assumptions (T&amp;D)'!R$101</f>
        <v>1.5280261312124357</v>
      </c>
      <c r="AP2969" s="147">
        <f>$Y2838*'Assumptions (T&amp;D)'!S$101</f>
        <v>1.527683678023011</v>
      </c>
      <c r="AQ2969" s="147">
        <f>$Y2838*'Assumptions (T&amp;D)'!T$101</f>
        <v>1.5280261312124357</v>
      </c>
      <c r="AR2969" s="147">
        <f>$Y2838*'Assumptions (T&amp;D)'!U$101</f>
        <v>1.527683678023011</v>
      </c>
      <c r="AS2969" s="147">
        <f>$Y2838*'Assumptions (T&amp;D)'!V$101</f>
        <v>0.76401306560621784</v>
      </c>
    </row>
    <row r="2970" spans="1:52" ht="15.75" hidden="1" customHeight="1" outlineLevel="1">
      <c r="A2970" s="465"/>
      <c r="B2970" s="42"/>
      <c r="C2970" s="42"/>
      <c r="D2970" s="42"/>
      <c r="E2970" s="42"/>
      <c r="F2970" s="42"/>
      <c r="G2970" s="42"/>
      <c r="H2970" s="42"/>
      <c r="I2970" s="42"/>
      <c r="J2970" s="42"/>
      <c r="K2970" s="42"/>
      <c r="L2970" s="42"/>
      <c r="M2970" s="42"/>
      <c r="N2970" s="42"/>
      <c r="O2970" s="42"/>
      <c r="P2970" s="42"/>
      <c r="Q2970" s="42"/>
      <c r="R2970" s="42"/>
      <c r="S2970" s="42"/>
      <c r="T2970" s="42"/>
      <c r="U2970" s="42"/>
      <c r="V2970" s="42"/>
      <c r="W2970" s="86"/>
      <c r="Z2970" s="147">
        <f>$Z2838*'Assumptions (T&amp;D)'!B$101</f>
        <v>1.2841994603421412</v>
      </c>
      <c r="AA2970" s="147">
        <f>$Z2838*'Assumptions (T&amp;D)'!C$101</f>
        <v>2.472169574455978</v>
      </c>
      <c r="AB2970" s="147">
        <f>$Z2838*'Assumptions (T&amp;D)'!D$101</f>
        <v>2.28655994578786</v>
      </c>
      <c r="AC2970" s="147">
        <f>$Z2838*'Assumptions (T&amp;D)'!E$101</f>
        <v>2.115333351075575</v>
      </c>
      <c r="AD2970" s="147">
        <f>$Z2838*'Assumptions (T&amp;D)'!F$101</f>
        <v>1.956435071182574</v>
      </c>
      <c r="AE2970" s="147">
        <f>$Z2838*'Assumptions (T&amp;D)'!G$101</f>
        <v>1.8098651061088575</v>
      </c>
      <c r="AF2970" s="147">
        <f>$Z2838*'Assumptions (T&amp;D)'!H$101</f>
        <v>1.6739111899073029</v>
      </c>
      <c r="AG2970" s="147">
        <f>$Z2838*'Assumptions (T&amp;D)'!I$101</f>
        <v>1.5485733225779099</v>
      </c>
      <c r="AH2970" s="147">
        <f>$Z2838*'Assumptions (T&amp;D)'!J$101</f>
        <v>1.5280261312124357</v>
      </c>
      <c r="AI2970" s="147">
        <f>$Z2838*'Assumptions (T&amp;D)'!K$101</f>
        <v>1.527683678023011</v>
      </c>
      <c r="AJ2970" s="147">
        <f>$Z2838*'Assumptions (T&amp;D)'!L$101</f>
        <v>1.5280261312124357</v>
      </c>
      <c r="AK2970" s="147">
        <f>$Z2838*'Assumptions (T&amp;D)'!M$101</f>
        <v>1.527683678023011</v>
      </c>
      <c r="AL2970" s="147">
        <f>$Z2838*'Assumptions (T&amp;D)'!N$101</f>
        <v>1.5280261312124357</v>
      </c>
      <c r="AM2970" s="147">
        <f>$Z2838*'Assumptions (T&amp;D)'!O$101</f>
        <v>1.527683678023011</v>
      </c>
      <c r="AN2970" s="147">
        <f>$Z2838*'Assumptions (T&amp;D)'!P$101</f>
        <v>1.5280261312124357</v>
      </c>
      <c r="AO2970" s="147">
        <f>$Z2838*'Assumptions (T&amp;D)'!Q$101</f>
        <v>1.527683678023011</v>
      </c>
      <c r="AP2970" s="147">
        <f>$Z2838*'Assumptions (T&amp;D)'!R$101</f>
        <v>1.5280261312124357</v>
      </c>
      <c r="AQ2970" s="147">
        <f>$Z2838*'Assumptions (T&amp;D)'!S$101</f>
        <v>1.527683678023011</v>
      </c>
      <c r="AR2970" s="147">
        <f>$Z2838*'Assumptions (T&amp;D)'!T$101</f>
        <v>1.5280261312124357</v>
      </c>
      <c r="AS2970" s="147">
        <f>$Z2838*'Assumptions (T&amp;D)'!U$101</f>
        <v>1.527683678023011</v>
      </c>
      <c r="AT2970" s="147">
        <f>$Z2838*'Assumptions (T&amp;D)'!V$101</f>
        <v>0.76401306560621784</v>
      </c>
    </row>
    <row r="2971" spans="1:52" ht="15.75" hidden="1" customHeight="1" outlineLevel="1">
      <c r="A2971" s="465"/>
      <c r="B2971" s="42"/>
      <c r="C2971" s="42"/>
      <c r="D2971" s="42"/>
      <c r="E2971" s="42"/>
      <c r="F2971" s="42"/>
      <c r="G2971" s="42"/>
      <c r="H2971" s="42"/>
      <c r="I2971" s="42"/>
      <c r="J2971" s="42"/>
      <c r="K2971" s="42"/>
      <c r="L2971" s="42"/>
      <c r="M2971" s="42"/>
      <c r="N2971" s="42"/>
      <c r="O2971" s="42"/>
      <c r="P2971" s="42"/>
      <c r="Q2971" s="42"/>
      <c r="R2971" s="42"/>
      <c r="S2971" s="42"/>
      <c r="T2971" s="42"/>
      <c r="U2971" s="42"/>
      <c r="V2971" s="42"/>
      <c r="W2971" s="86"/>
      <c r="AA2971" s="147">
        <f>$AA2838*'Assumptions (T&amp;D)'!B$101</f>
        <v>1.2841994603421412</v>
      </c>
      <c r="AB2971" s="147">
        <f>$AA2838*'Assumptions (T&amp;D)'!C$101</f>
        <v>2.472169574455978</v>
      </c>
      <c r="AC2971" s="147">
        <f>$AA2838*'Assumptions (T&amp;D)'!D$101</f>
        <v>2.28655994578786</v>
      </c>
      <c r="AD2971" s="147">
        <f>$AA2838*'Assumptions (T&amp;D)'!E$101</f>
        <v>2.115333351075575</v>
      </c>
      <c r="AE2971" s="147">
        <f>$AA2838*'Assumptions (T&amp;D)'!F$101</f>
        <v>1.956435071182574</v>
      </c>
      <c r="AF2971" s="147">
        <f>$AA2838*'Assumptions (T&amp;D)'!G$101</f>
        <v>1.8098651061088575</v>
      </c>
      <c r="AG2971" s="147">
        <f>$AA2838*'Assumptions (T&amp;D)'!H$101</f>
        <v>1.6739111899073029</v>
      </c>
      <c r="AH2971" s="147">
        <f>$AA2838*'Assumptions (T&amp;D)'!I$101</f>
        <v>1.5485733225779099</v>
      </c>
      <c r="AI2971" s="147">
        <f>$AA2838*'Assumptions (T&amp;D)'!J$101</f>
        <v>1.5280261312124357</v>
      </c>
      <c r="AJ2971" s="147">
        <f>$AA2838*'Assumptions (T&amp;D)'!K$101</f>
        <v>1.527683678023011</v>
      </c>
      <c r="AK2971" s="147">
        <f>$AA2838*'Assumptions (T&amp;D)'!L$101</f>
        <v>1.5280261312124357</v>
      </c>
      <c r="AL2971" s="147">
        <f>$AA2838*'Assumptions (T&amp;D)'!M$101</f>
        <v>1.527683678023011</v>
      </c>
      <c r="AM2971" s="147">
        <f>$AA2838*'Assumptions (T&amp;D)'!N$101</f>
        <v>1.5280261312124357</v>
      </c>
      <c r="AN2971" s="147">
        <f>$AA2838*'Assumptions (T&amp;D)'!O$101</f>
        <v>1.527683678023011</v>
      </c>
      <c r="AO2971" s="147">
        <f>$AA2838*'Assumptions (T&amp;D)'!P$101</f>
        <v>1.5280261312124357</v>
      </c>
      <c r="AP2971" s="147">
        <f>$AA2838*'Assumptions (T&amp;D)'!Q$101</f>
        <v>1.527683678023011</v>
      </c>
      <c r="AQ2971" s="147">
        <f>$AA2838*'Assumptions (T&amp;D)'!R$101</f>
        <v>1.5280261312124357</v>
      </c>
      <c r="AR2971" s="147">
        <f>$AA2838*'Assumptions (T&amp;D)'!S$101</f>
        <v>1.527683678023011</v>
      </c>
      <c r="AS2971" s="147">
        <f>$AA2838*'Assumptions (T&amp;D)'!T$101</f>
        <v>1.5280261312124357</v>
      </c>
      <c r="AT2971" s="147">
        <f>$AA2838*'Assumptions (T&amp;D)'!U$101</f>
        <v>1.527683678023011</v>
      </c>
      <c r="AU2971" s="147">
        <f>$AA2838*'Assumptions (T&amp;D)'!V$101</f>
        <v>0.76401306560621784</v>
      </c>
    </row>
    <row r="2972" spans="1:52" ht="15.75" hidden="1" customHeight="1" outlineLevel="1">
      <c r="A2972" s="465"/>
      <c r="B2972" s="42"/>
      <c r="C2972" s="42"/>
      <c r="D2972" s="42"/>
      <c r="E2972" s="42"/>
      <c r="F2972" s="42"/>
      <c r="G2972" s="42"/>
      <c r="H2972" s="42"/>
      <c r="I2972" s="42"/>
      <c r="J2972" s="42"/>
      <c r="K2972" s="42"/>
      <c r="L2972" s="42"/>
      <c r="M2972" s="42"/>
      <c r="N2972" s="42"/>
      <c r="O2972" s="42"/>
      <c r="P2972" s="42"/>
      <c r="Q2972" s="42"/>
      <c r="R2972" s="42"/>
      <c r="S2972" s="42"/>
      <c r="T2972" s="42"/>
      <c r="U2972" s="42"/>
      <c r="V2972" s="42"/>
      <c r="W2972" s="86"/>
      <c r="AB2972" s="147">
        <f>$AB2838*'Assumptions (T&amp;D)'!B$101</f>
        <v>1.2841994603421412</v>
      </c>
      <c r="AC2972" s="147">
        <f>$AB2838*'Assumptions (T&amp;D)'!C$101</f>
        <v>2.472169574455978</v>
      </c>
      <c r="AD2972" s="147">
        <f>$AB2838*'Assumptions (T&amp;D)'!D$101</f>
        <v>2.28655994578786</v>
      </c>
      <c r="AE2972" s="147">
        <f>$AB2838*'Assumptions (T&amp;D)'!E$101</f>
        <v>2.115333351075575</v>
      </c>
      <c r="AF2972" s="147">
        <f>$AB2838*'Assumptions (T&amp;D)'!F$101</f>
        <v>1.956435071182574</v>
      </c>
      <c r="AG2972" s="147">
        <f>$AB2838*'Assumptions (T&amp;D)'!G$101</f>
        <v>1.8098651061088575</v>
      </c>
      <c r="AH2972" s="147">
        <f>$AB2838*'Assumptions (T&amp;D)'!H$101</f>
        <v>1.6739111899073029</v>
      </c>
      <c r="AI2972" s="147">
        <f>$AB2838*'Assumptions (T&amp;D)'!I$101</f>
        <v>1.5485733225779099</v>
      </c>
      <c r="AJ2972" s="147">
        <f>$AB2838*'Assumptions (T&amp;D)'!J$101</f>
        <v>1.5280261312124357</v>
      </c>
      <c r="AK2972" s="147">
        <f>$AB2838*'Assumptions (T&amp;D)'!K$101</f>
        <v>1.527683678023011</v>
      </c>
      <c r="AL2972" s="147">
        <f>$AB2838*'Assumptions (T&amp;D)'!L$101</f>
        <v>1.5280261312124357</v>
      </c>
      <c r="AM2972" s="147">
        <f>$AB2838*'Assumptions (T&amp;D)'!M$101</f>
        <v>1.527683678023011</v>
      </c>
      <c r="AN2972" s="147">
        <f>$AB2838*'Assumptions (T&amp;D)'!N$101</f>
        <v>1.5280261312124357</v>
      </c>
      <c r="AO2972" s="147">
        <f>$AB2838*'Assumptions (T&amp;D)'!O$101</f>
        <v>1.527683678023011</v>
      </c>
      <c r="AP2972" s="147">
        <f>$AB2838*'Assumptions (T&amp;D)'!P$101</f>
        <v>1.5280261312124357</v>
      </c>
      <c r="AQ2972" s="147">
        <f>$AB2838*'Assumptions (T&amp;D)'!Q$101</f>
        <v>1.527683678023011</v>
      </c>
      <c r="AR2972" s="147">
        <f>$AB2838*'Assumptions (T&amp;D)'!R$101</f>
        <v>1.5280261312124357</v>
      </c>
      <c r="AS2972" s="147">
        <f>$AB2838*'Assumptions (T&amp;D)'!S$101</f>
        <v>1.527683678023011</v>
      </c>
      <c r="AT2972" s="147">
        <f>$AB2838*'Assumptions (T&amp;D)'!T$101</f>
        <v>1.5280261312124357</v>
      </c>
      <c r="AU2972" s="147">
        <f>$AB2838*'Assumptions (T&amp;D)'!U$101</f>
        <v>1.527683678023011</v>
      </c>
      <c r="AV2972" s="147">
        <f>$AB2838*'Assumptions (T&amp;D)'!V$101</f>
        <v>0.76401306560621784</v>
      </c>
    </row>
    <row r="2973" spans="1:52" ht="15.75" hidden="1" customHeight="1" outlineLevel="1">
      <c r="A2973" s="465"/>
      <c r="B2973" s="42"/>
      <c r="C2973" s="42"/>
      <c r="D2973" s="42"/>
      <c r="E2973" s="42"/>
      <c r="F2973" s="42"/>
      <c r="G2973" s="42"/>
      <c r="H2973" s="42"/>
      <c r="I2973" s="42"/>
      <c r="J2973" s="42"/>
      <c r="K2973" s="42"/>
      <c r="L2973" s="42"/>
      <c r="M2973" s="42"/>
      <c r="N2973" s="42"/>
      <c r="O2973" s="42"/>
      <c r="P2973" s="42"/>
      <c r="Q2973" s="42"/>
      <c r="R2973" s="42"/>
      <c r="S2973" s="42"/>
      <c r="T2973" s="42"/>
      <c r="U2973" s="42"/>
      <c r="V2973" s="42"/>
      <c r="W2973" s="86"/>
      <c r="AC2973" s="147">
        <f>$AC2838*'Assumptions (T&amp;D)'!B$101</f>
        <v>1.2841994603421412</v>
      </c>
      <c r="AD2973" s="147">
        <f>$AC2838*'Assumptions (T&amp;D)'!C$101</f>
        <v>2.472169574455978</v>
      </c>
      <c r="AE2973" s="147">
        <f>$AC2838*'Assumptions (T&amp;D)'!D$101</f>
        <v>2.28655994578786</v>
      </c>
      <c r="AF2973" s="147">
        <f>$AC2838*'Assumptions (T&amp;D)'!E$101</f>
        <v>2.115333351075575</v>
      </c>
      <c r="AG2973" s="147">
        <f>$AC2838*'Assumptions (T&amp;D)'!F$101</f>
        <v>1.956435071182574</v>
      </c>
      <c r="AH2973" s="147">
        <f>$AC2838*'Assumptions (T&amp;D)'!G$101</f>
        <v>1.8098651061088575</v>
      </c>
      <c r="AI2973" s="147">
        <f>$AC2838*'Assumptions (T&amp;D)'!H$101</f>
        <v>1.6739111899073029</v>
      </c>
      <c r="AJ2973" s="147">
        <f>$AC2838*'Assumptions (T&amp;D)'!I$101</f>
        <v>1.5485733225779099</v>
      </c>
      <c r="AK2973" s="147">
        <f>$AC2838*'Assumptions (T&amp;D)'!J$101</f>
        <v>1.5280261312124357</v>
      </c>
      <c r="AL2973" s="147">
        <f>$AC2838*'Assumptions (T&amp;D)'!K$101</f>
        <v>1.527683678023011</v>
      </c>
      <c r="AM2973" s="147">
        <f>$AC2838*'Assumptions (T&amp;D)'!L$101</f>
        <v>1.5280261312124357</v>
      </c>
      <c r="AN2973" s="147">
        <f>$AC2838*'Assumptions (T&amp;D)'!M$101</f>
        <v>1.527683678023011</v>
      </c>
      <c r="AO2973" s="147">
        <f>$AC2838*'Assumptions (T&amp;D)'!N$101</f>
        <v>1.5280261312124357</v>
      </c>
      <c r="AP2973" s="147">
        <f>$AC2838*'Assumptions (T&amp;D)'!O$101</f>
        <v>1.527683678023011</v>
      </c>
      <c r="AQ2973" s="147">
        <f>$AC2838*'Assumptions (T&amp;D)'!P$101</f>
        <v>1.5280261312124357</v>
      </c>
      <c r="AR2973" s="147">
        <f>$AC2838*'Assumptions (T&amp;D)'!Q$101</f>
        <v>1.527683678023011</v>
      </c>
      <c r="AS2973" s="147">
        <f>$AC2838*'Assumptions (T&amp;D)'!R$101</f>
        <v>1.5280261312124357</v>
      </c>
      <c r="AT2973" s="147">
        <f>$AC2838*'Assumptions (T&amp;D)'!S$101</f>
        <v>1.527683678023011</v>
      </c>
      <c r="AU2973" s="147">
        <f>$AC2838*'Assumptions (T&amp;D)'!T$101</f>
        <v>1.5280261312124357</v>
      </c>
      <c r="AV2973" s="147">
        <f>$AC2838*'Assumptions (T&amp;D)'!U$101</f>
        <v>1.527683678023011</v>
      </c>
      <c r="AW2973" s="147">
        <f>$AC2838*'Assumptions (T&amp;D)'!V$101</f>
        <v>0.76401306560621784</v>
      </c>
    </row>
    <row r="2974" spans="1:52" ht="15.75" hidden="1" customHeight="1" outlineLevel="1">
      <c r="A2974" s="465"/>
      <c r="B2974" s="42"/>
      <c r="C2974" s="42"/>
      <c r="D2974" s="42"/>
      <c r="E2974" s="42"/>
      <c r="F2974" s="42"/>
      <c r="G2974" s="42"/>
      <c r="H2974" s="42"/>
      <c r="I2974" s="42"/>
      <c r="J2974" s="42"/>
      <c r="K2974" s="42"/>
      <c r="L2974" s="42"/>
      <c r="M2974" s="42"/>
      <c r="N2974" s="42"/>
      <c r="O2974" s="42"/>
      <c r="P2974" s="42"/>
      <c r="Q2974" s="42"/>
      <c r="R2974" s="42"/>
      <c r="S2974" s="42"/>
      <c r="T2974" s="42"/>
      <c r="U2974" s="42"/>
      <c r="V2974" s="42"/>
      <c r="W2974" s="86"/>
      <c r="AD2974" s="147">
        <f>$AD2838*'Assumptions (T&amp;D)'!B$101</f>
        <v>1.2841994603421412</v>
      </c>
      <c r="AE2974" s="147">
        <f>$AD2838*'Assumptions (T&amp;D)'!C$101</f>
        <v>2.472169574455978</v>
      </c>
      <c r="AF2974" s="147">
        <f>$AD2838*'Assumptions (T&amp;D)'!D$101</f>
        <v>2.28655994578786</v>
      </c>
      <c r="AG2974" s="147">
        <f>$AD2838*'Assumptions (T&amp;D)'!E$101</f>
        <v>2.115333351075575</v>
      </c>
      <c r="AH2974" s="147">
        <f>$AD2838*'Assumptions (T&amp;D)'!F$101</f>
        <v>1.956435071182574</v>
      </c>
      <c r="AI2974" s="147">
        <f>$AD2838*'Assumptions (T&amp;D)'!G$101</f>
        <v>1.8098651061088575</v>
      </c>
      <c r="AJ2974" s="147">
        <f>$AD2838*'Assumptions (T&amp;D)'!H$101</f>
        <v>1.6739111899073029</v>
      </c>
      <c r="AK2974" s="147">
        <f>$AD2838*'Assumptions (T&amp;D)'!I$101</f>
        <v>1.5485733225779099</v>
      </c>
      <c r="AL2974" s="147">
        <f>$AD2838*'Assumptions (T&amp;D)'!J$101</f>
        <v>1.5280261312124357</v>
      </c>
      <c r="AM2974" s="147">
        <f>$AD2838*'Assumptions (T&amp;D)'!K$101</f>
        <v>1.527683678023011</v>
      </c>
      <c r="AN2974" s="147">
        <f>$AD2838*'Assumptions (T&amp;D)'!L$101</f>
        <v>1.5280261312124357</v>
      </c>
      <c r="AO2974" s="147">
        <f>$AD2838*'Assumptions (T&amp;D)'!M$101</f>
        <v>1.527683678023011</v>
      </c>
      <c r="AP2974" s="147">
        <f>$AD2838*'Assumptions (T&amp;D)'!N$101</f>
        <v>1.5280261312124357</v>
      </c>
      <c r="AQ2974" s="147">
        <f>$AD2838*'Assumptions (T&amp;D)'!O$101</f>
        <v>1.527683678023011</v>
      </c>
      <c r="AR2974" s="147">
        <f>$AD2838*'Assumptions (T&amp;D)'!P$101</f>
        <v>1.5280261312124357</v>
      </c>
      <c r="AS2974" s="147">
        <f>$AD2838*'Assumptions (T&amp;D)'!Q$101</f>
        <v>1.527683678023011</v>
      </c>
      <c r="AT2974" s="147">
        <f>$AD2838*'Assumptions (T&amp;D)'!R$101</f>
        <v>1.5280261312124357</v>
      </c>
      <c r="AU2974" s="147">
        <f>$AD2838*'Assumptions (T&amp;D)'!S$101</f>
        <v>1.527683678023011</v>
      </c>
      <c r="AV2974" s="147">
        <f>$AD2838*'Assumptions (T&amp;D)'!T$101</f>
        <v>1.5280261312124357</v>
      </c>
      <c r="AW2974" s="147">
        <f>$AD2838*'Assumptions (T&amp;D)'!U$101</f>
        <v>1.527683678023011</v>
      </c>
      <c r="AX2974" s="147">
        <f>$AD2838*'Assumptions (T&amp;D)'!V$101</f>
        <v>0.76401306560621784</v>
      </c>
    </row>
    <row r="2975" spans="1:52" ht="15.75" hidden="1" customHeight="1" outlineLevel="1">
      <c r="A2975" s="465"/>
      <c r="B2975" s="42"/>
      <c r="C2975" s="42"/>
      <c r="D2975" s="42"/>
      <c r="E2975" s="42"/>
      <c r="F2975" s="42"/>
      <c r="G2975" s="42"/>
      <c r="H2975" s="42"/>
      <c r="I2975" s="42"/>
      <c r="J2975" s="42"/>
      <c r="K2975" s="42"/>
      <c r="L2975" s="42"/>
      <c r="M2975" s="42"/>
      <c r="N2975" s="42"/>
      <c r="O2975" s="42"/>
      <c r="P2975" s="42"/>
      <c r="Q2975" s="42"/>
      <c r="R2975" s="42"/>
      <c r="S2975" s="42"/>
      <c r="T2975" s="42"/>
      <c r="U2975" s="42"/>
      <c r="V2975" s="42"/>
      <c r="W2975" s="86"/>
      <c r="AE2975" s="147">
        <f>$AE2838*'Assumptions (T&amp;D)'!B$101</f>
        <v>1.2841994603421412</v>
      </c>
      <c r="AF2975" s="147">
        <f>$AE2838*'Assumptions (T&amp;D)'!C$101</f>
        <v>2.472169574455978</v>
      </c>
      <c r="AG2975" s="147">
        <f>$AE2838*'Assumptions (T&amp;D)'!D$101</f>
        <v>2.28655994578786</v>
      </c>
      <c r="AH2975" s="147">
        <f>$AE2838*'Assumptions (T&amp;D)'!E$101</f>
        <v>2.115333351075575</v>
      </c>
      <c r="AI2975" s="147">
        <f>$AE2838*'Assumptions (T&amp;D)'!F$101</f>
        <v>1.956435071182574</v>
      </c>
      <c r="AJ2975" s="147">
        <f>$AE2838*'Assumptions (T&amp;D)'!G$101</f>
        <v>1.8098651061088575</v>
      </c>
      <c r="AK2975" s="147">
        <f>$AE2838*'Assumptions (T&amp;D)'!H$101</f>
        <v>1.6739111899073029</v>
      </c>
      <c r="AL2975" s="147">
        <f>$AE2838*'Assumptions (T&amp;D)'!I$101</f>
        <v>1.5485733225779099</v>
      </c>
      <c r="AM2975" s="147">
        <f>$AE2838*'Assumptions (T&amp;D)'!J$101</f>
        <v>1.5280261312124357</v>
      </c>
      <c r="AN2975" s="147">
        <f>$AE2838*'Assumptions (T&amp;D)'!K$101</f>
        <v>1.527683678023011</v>
      </c>
      <c r="AO2975" s="147">
        <f>$AE2838*'Assumptions (T&amp;D)'!L$101</f>
        <v>1.5280261312124357</v>
      </c>
      <c r="AP2975" s="147">
        <f>$AE2838*'Assumptions (T&amp;D)'!M$101</f>
        <v>1.527683678023011</v>
      </c>
      <c r="AQ2975" s="147">
        <f>$AE2838*'Assumptions (T&amp;D)'!N$101</f>
        <v>1.5280261312124357</v>
      </c>
      <c r="AR2975" s="147">
        <f>$AE2838*'Assumptions (T&amp;D)'!O$101</f>
        <v>1.527683678023011</v>
      </c>
      <c r="AS2975" s="147">
        <f>$AE2838*'Assumptions (T&amp;D)'!P$101</f>
        <v>1.5280261312124357</v>
      </c>
      <c r="AT2975" s="147">
        <f>$AE2838*'Assumptions (T&amp;D)'!Q$101</f>
        <v>1.527683678023011</v>
      </c>
      <c r="AU2975" s="147">
        <f>$AE2838*'Assumptions (T&amp;D)'!R$101</f>
        <v>1.5280261312124357</v>
      </c>
      <c r="AV2975" s="147">
        <f>$AE2838*'Assumptions (T&amp;D)'!S$101</f>
        <v>1.527683678023011</v>
      </c>
      <c r="AW2975" s="147">
        <f>$AE2838*'Assumptions (T&amp;D)'!T$101</f>
        <v>1.5280261312124357</v>
      </c>
      <c r="AX2975" s="147">
        <f>$AE2838*'Assumptions (T&amp;D)'!U$101</f>
        <v>1.527683678023011</v>
      </c>
      <c r="AY2975" s="147">
        <f>$AE2838*'Assumptions (T&amp;D)'!V$101</f>
        <v>0.76401306560621784</v>
      </c>
    </row>
    <row r="2976" spans="1:52" ht="15.75" hidden="1" customHeight="1" outlineLevel="1">
      <c r="A2976" s="465"/>
      <c r="B2976" s="42"/>
      <c r="C2976" s="42"/>
      <c r="D2976" s="42"/>
      <c r="E2976" s="42"/>
      <c r="F2976" s="42"/>
      <c r="G2976" s="42"/>
      <c r="H2976" s="42"/>
      <c r="I2976" s="42"/>
      <c r="J2976" s="42"/>
      <c r="K2976" s="42"/>
      <c r="L2976" s="42"/>
      <c r="M2976" s="42"/>
      <c r="N2976" s="42"/>
      <c r="O2976" s="42"/>
      <c r="P2976" s="42"/>
      <c r="Q2976" s="42"/>
      <c r="R2976" s="42"/>
      <c r="S2976" s="42"/>
      <c r="T2976" s="42"/>
      <c r="U2976" s="42"/>
      <c r="V2976" s="42"/>
      <c r="W2976" s="86"/>
      <c r="AF2976" s="147">
        <f>$AF2838*'Assumptions (T&amp;D)'!B$101</f>
        <v>1.2841994603421412</v>
      </c>
      <c r="AG2976" s="147">
        <f>$AF2838*'Assumptions (T&amp;D)'!C$101</f>
        <v>2.472169574455978</v>
      </c>
      <c r="AH2976" s="147">
        <f>$AF2838*'Assumptions (T&amp;D)'!D$101</f>
        <v>2.28655994578786</v>
      </c>
      <c r="AI2976" s="147">
        <f>$AF2838*'Assumptions (T&amp;D)'!E$101</f>
        <v>2.115333351075575</v>
      </c>
      <c r="AJ2976" s="147">
        <f>$AF2838*'Assumptions (T&amp;D)'!F$101</f>
        <v>1.956435071182574</v>
      </c>
      <c r="AK2976" s="147">
        <f>$AF2838*'Assumptions (T&amp;D)'!G$101</f>
        <v>1.8098651061088575</v>
      </c>
      <c r="AL2976" s="147">
        <f>$AF2838*'Assumptions (T&amp;D)'!H$101</f>
        <v>1.6739111899073029</v>
      </c>
      <c r="AM2976" s="147">
        <f>$AF2838*'Assumptions (T&amp;D)'!I$101</f>
        <v>1.5485733225779099</v>
      </c>
      <c r="AN2976" s="147">
        <f>$AF2838*'Assumptions (T&amp;D)'!J$101</f>
        <v>1.5280261312124357</v>
      </c>
      <c r="AO2976" s="147">
        <f>$AF2838*'Assumptions (T&amp;D)'!K$101</f>
        <v>1.527683678023011</v>
      </c>
      <c r="AP2976" s="147">
        <f>$AF2838*'Assumptions (T&amp;D)'!L$101</f>
        <v>1.5280261312124357</v>
      </c>
      <c r="AQ2976" s="147">
        <f>$AF2838*'Assumptions (T&amp;D)'!M$101</f>
        <v>1.527683678023011</v>
      </c>
      <c r="AR2976" s="147">
        <f>$AF2838*'Assumptions (T&amp;D)'!N$101</f>
        <v>1.5280261312124357</v>
      </c>
      <c r="AS2976" s="147">
        <f>$AF2838*'Assumptions (T&amp;D)'!O$101</f>
        <v>1.527683678023011</v>
      </c>
      <c r="AT2976" s="147">
        <f>$AF2838*'Assumptions (T&amp;D)'!P$101</f>
        <v>1.5280261312124357</v>
      </c>
      <c r="AU2976" s="147">
        <f>$AF2838*'Assumptions (T&amp;D)'!Q$101</f>
        <v>1.527683678023011</v>
      </c>
      <c r="AV2976" s="147">
        <f>$AF2838*'Assumptions (T&amp;D)'!R$101</f>
        <v>1.5280261312124357</v>
      </c>
      <c r="AW2976" s="147">
        <f>$AF2838*'Assumptions (T&amp;D)'!S$101</f>
        <v>1.527683678023011</v>
      </c>
      <c r="AX2976" s="147">
        <f>$AF2838*'Assumptions (T&amp;D)'!T$101</f>
        <v>1.5280261312124357</v>
      </c>
      <c r="AY2976" s="147">
        <f>$AF2838*'Assumptions (T&amp;D)'!U$101</f>
        <v>1.527683678023011</v>
      </c>
      <c r="AZ2976" s="147">
        <f>$AF2838*'Assumptions (T&amp;D)'!V$101</f>
        <v>0.76401306560621784</v>
      </c>
    </row>
    <row r="2977" spans="1:68" ht="15.75" hidden="1" customHeight="1" outlineLevel="1">
      <c r="A2977" s="465"/>
      <c r="B2977" s="42"/>
      <c r="C2977" s="42"/>
      <c r="D2977" s="42"/>
      <c r="E2977" s="42"/>
      <c r="F2977" s="42"/>
      <c r="G2977" s="42"/>
      <c r="H2977" s="42"/>
      <c r="I2977" s="42"/>
      <c r="J2977" s="42"/>
      <c r="K2977" s="42"/>
      <c r="L2977" s="42"/>
      <c r="M2977" s="42"/>
      <c r="N2977" s="42"/>
      <c r="O2977" s="42"/>
      <c r="P2977" s="42"/>
      <c r="Q2977" s="42"/>
      <c r="R2977" s="42"/>
      <c r="S2977" s="42"/>
      <c r="T2977" s="42"/>
      <c r="U2977" s="42"/>
      <c r="V2977" s="42"/>
      <c r="W2977" s="86"/>
      <c r="AG2977" s="147">
        <f>$AG2838*'Assumptions (T&amp;D)'!B$101</f>
        <v>1.2841994603421412</v>
      </c>
      <c r="AH2977" s="147">
        <f>$AG2838*'Assumptions (T&amp;D)'!C$101</f>
        <v>2.472169574455978</v>
      </c>
      <c r="AI2977" s="147">
        <f>$AG2838*'Assumptions (T&amp;D)'!D$101</f>
        <v>2.28655994578786</v>
      </c>
      <c r="AJ2977" s="147">
        <f>$AG2838*'Assumptions (T&amp;D)'!E$101</f>
        <v>2.115333351075575</v>
      </c>
      <c r="AK2977" s="147">
        <f>$AG2838*'Assumptions (T&amp;D)'!F$101</f>
        <v>1.956435071182574</v>
      </c>
      <c r="AL2977" s="147">
        <f>$AG2838*'Assumptions (T&amp;D)'!G$101</f>
        <v>1.8098651061088575</v>
      </c>
      <c r="AM2977" s="147">
        <f>$AG2838*'Assumptions (T&amp;D)'!H$101</f>
        <v>1.6739111899073029</v>
      </c>
      <c r="AN2977" s="147">
        <f>$AG2838*'Assumptions (T&amp;D)'!I$101</f>
        <v>1.5485733225779099</v>
      </c>
      <c r="AO2977" s="147">
        <f>$AG2838*'Assumptions (T&amp;D)'!J$101</f>
        <v>1.5280261312124357</v>
      </c>
      <c r="AP2977" s="147">
        <f>$AG2838*'Assumptions (T&amp;D)'!K$101</f>
        <v>1.527683678023011</v>
      </c>
      <c r="AQ2977" s="147">
        <f>$AG2838*'Assumptions (T&amp;D)'!L$101</f>
        <v>1.5280261312124357</v>
      </c>
      <c r="AR2977" s="147">
        <f>$AG2838*'Assumptions (T&amp;D)'!M$101</f>
        <v>1.527683678023011</v>
      </c>
      <c r="AS2977" s="147">
        <f>$AG2838*'Assumptions (T&amp;D)'!N$101</f>
        <v>1.5280261312124357</v>
      </c>
      <c r="AT2977" s="147">
        <f>$AG2838*'Assumptions (T&amp;D)'!O$101</f>
        <v>1.527683678023011</v>
      </c>
      <c r="AU2977" s="147">
        <f>$AG2838*'Assumptions (T&amp;D)'!P$101</f>
        <v>1.5280261312124357</v>
      </c>
      <c r="AV2977" s="147">
        <f>$AG2838*'Assumptions (T&amp;D)'!Q$101</f>
        <v>1.527683678023011</v>
      </c>
      <c r="AW2977" s="147">
        <f>$AG2838*'Assumptions (T&amp;D)'!R$101</f>
        <v>1.5280261312124357</v>
      </c>
      <c r="AX2977" s="147">
        <f>$AG2838*'Assumptions (T&amp;D)'!S$101</f>
        <v>1.527683678023011</v>
      </c>
      <c r="AY2977" s="147">
        <f>$AG2838*'Assumptions (T&amp;D)'!T$101</f>
        <v>1.5280261312124357</v>
      </c>
      <c r="AZ2977" s="147">
        <f>$AG2838*'Assumptions (T&amp;D)'!U$101</f>
        <v>1.527683678023011</v>
      </c>
      <c r="BA2977" s="147">
        <f>$AG2838*'Assumptions (T&amp;D)'!V$101</f>
        <v>0.76401306560621784</v>
      </c>
    </row>
    <row r="2978" spans="1:68" ht="15.75" hidden="1" customHeight="1" outlineLevel="1">
      <c r="A2978" s="465"/>
      <c r="B2978" s="42"/>
      <c r="C2978" s="42"/>
      <c r="D2978" s="42"/>
      <c r="E2978" s="42"/>
      <c r="F2978" s="42"/>
      <c r="G2978" s="42"/>
      <c r="H2978" s="42"/>
      <c r="I2978" s="42"/>
      <c r="J2978" s="42"/>
      <c r="K2978" s="42"/>
      <c r="L2978" s="42"/>
      <c r="M2978" s="42"/>
      <c r="N2978" s="42"/>
      <c r="O2978" s="42"/>
      <c r="P2978" s="42"/>
      <c r="Q2978" s="42"/>
      <c r="R2978" s="42"/>
      <c r="S2978" s="42"/>
      <c r="T2978" s="42"/>
      <c r="U2978" s="42"/>
      <c r="V2978" s="42"/>
      <c r="W2978" s="86"/>
      <c r="AH2978" s="147">
        <f>$AH2838*'Assumptions (T&amp;D)'!B$101</f>
        <v>1.2841994603421412</v>
      </c>
      <c r="AI2978" s="147">
        <f>$AH2838*'Assumptions (T&amp;D)'!C$101</f>
        <v>2.472169574455978</v>
      </c>
      <c r="AJ2978" s="147">
        <f>$AH2838*'Assumptions (T&amp;D)'!D$101</f>
        <v>2.28655994578786</v>
      </c>
      <c r="AK2978" s="147">
        <f>$AH2838*'Assumptions (T&amp;D)'!E$101</f>
        <v>2.115333351075575</v>
      </c>
      <c r="AL2978" s="147">
        <f>$AH2838*'Assumptions (T&amp;D)'!F$101</f>
        <v>1.956435071182574</v>
      </c>
      <c r="AM2978" s="147">
        <f>$AH2838*'Assumptions (T&amp;D)'!G$101</f>
        <v>1.8098651061088575</v>
      </c>
      <c r="AN2978" s="147">
        <f>$AH2838*'Assumptions (T&amp;D)'!H$101</f>
        <v>1.6739111899073029</v>
      </c>
      <c r="AO2978" s="147">
        <f>$AH2838*'Assumptions (T&amp;D)'!I$101</f>
        <v>1.5485733225779099</v>
      </c>
      <c r="AP2978" s="147">
        <f>$AH2838*'Assumptions (T&amp;D)'!J$101</f>
        <v>1.5280261312124357</v>
      </c>
      <c r="AQ2978" s="147">
        <f>$AH2838*'Assumptions (T&amp;D)'!K$101</f>
        <v>1.527683678023011</v>
      </c>
      <c r="AR2978" s="147">
        <f>$AH2838*'Assumptions (T&amp;D)'!L$101</f>
        <v>1.5280261312124357</v>
      </c>
      <c r="AS2978" s="147">
        <f>$AH2838*'Assumptions (T&amp;D)'!M$101</f>
        <v>1.527683678023011</v>
      </c>
      <c r="AT2978" s="147">
        <f>$AH2838*'Assumptions (T&amp;D)'!N$101</f>
        <v>1.5280261312124357</v>
      </c>
      <c r="AU2978" s="147">
        <f>$AH2838*'Assumptions (T&amp;D)'!O$101</f>
        <v>1.527683678023011</v>
      </c>
      <c r="AV2978" s="147">
        <f>$AH2838*'Assumptions (T&amp;D)'!P$101</f>
        <v>1.5280261312124357</v>
      </c>
      <c r="AW2978" s="147">
        <f>$AH2838*'Assumptions (T&amp;D)'!Q$101</f>
        <v>1.527683678023011</v>
      </c>
      <c r="AX2978" s="147">
        <f>$AH2838*'Assumptions (T&amp;D)'!R$101</f>
        <v>1.5280261312124357</v>
      </c>
      <c r="AY2978" s="147">
        <f>$AH2838*'Assumptions (T&amp;D)'!S$101</f>
        <v>1.527683678023011</v>
      </c>
      <c r="AZ2978" s="147">
        <f>$AH2838*'Assumptions (T&amp;D)'!T$101</f>
        <v>1.5280261312124357</v>
      </c>
      <c r="BA2978" s="147">
        <f>$AH2838*'Assumptions (T&amp;D)'!U$101</f>
        <v>1.527683678023011</v>
      </c>
      <c r="BB2978" s="147">
        <f>$AH2838*'Assumptions (T&amp;D)'!V$101</f>
        <v>0.76401306560621784</v>
      </c>
    </row>
    <row r="2979" spans="1:68" ht="15.75" hidden="1" customHeight="1" outlineLevel="1">
      <c r="A2979" s="465"/>
      <c r="B2979" s="42"/>
      <c r="C2979" s="42"/>
      <c r="D2979" s="42"/>
      <c r="E2979" s="42"/>
      <c r="F2979" s="42"/>
      <c r="G2979" s="42"/>
      <c r="H2979" s="42"/>
      <c r="I2979" s="42"/>
      <c r="J2979" s="42"/>
      <c r="K2979" s="42"/>
      <c r="L2979" s="42"/>
      <c r="M2979" s="42"/>
      <c r="N2979" s="42"/>
      <c r="O2979" s="42"/>
      <c r="P2979" s="42"/>
      <c r="Q2979" s="42"/>
      <c r="R2979" s="42"/>
      <c r="S2979" s="42"/>
      <c r="T2979" s="42"/>
      <c r="U2979" s="42"/>
      <c r="V2979" s="42"/>
      <c r="W2979" s="86"/>
      <c r="AI2979" s="147">
        <f>$AI2838*'Assumptions (T&amp;D)'!B$101</f>
        <v>1.2841994603421412</v>
      </c>
      <c r="AJ2979" s="147">
        <f>$AI2838*'Assumptions (T&amp;D)'!C$101</f>
        <v>2.472169574455978</v>
      </c>
      <c r="AK2979" s="147">
        <f>$AI2838*'Assumptions (T&amp;D)'!D$101</f>
        <v>2.28655994578786</v>
      </c>
      <c r="AL2979" s="147">
        <f>$AI2838*'Assumptions (T&amp;D)'!E$101</f>
        <v>2.115333351075575</v>
      </c>
      <c r="AM2979" s="147">
        <f>$AI2838*'Assumptions (T&amp;D)'!F$101</f>
        <v>1.956435071182574</v>
      </c>
      <c r="AN2979" s="147">
        <f>$AI2838*'Assumptions (T&amp;D)'!G$101</f>
        <v>1.8098651061088575</v>
      </c>
      <c r="AO2979" s="147">
        <f>$AI2838*'Assumptions (T&amp;D)'!H$101</f>
        <v>1.6739111899073029</v>
      </c>
      <c r="AP2979" s="147">
        <f>$AI2838*'Assumptions (T&amp;D)'!I$101</f>
        <v>1.5485733225779099</v>
      </c>
      <c r="AQ2979" s="147">
        <f>$AI2838*'Assumptions (T&amp;D)'!J$101</f>
        <v>1.5280261312124357</v>
      </c>
      <c r="AR2979" s="147">
        <f>$AI2838*'Assumptions (T&amp;D)'!K$101</f>
        <v>1.527683678023011</v>
      </c>
      <c r="AS2979" s="147">
        <f>$AI2838*'Assumptions (T&amp;D)'!L$101</f>
        <v>1.5280261312124357</v>
      </c>
      <c r="AT2979" s="147">
        <f>$AI2838*'Assumptions (T&amp;D)'!M$101</f>
        <v>1.527683678023011</v>
      </c>
      <c r="AU2979" s="147">
        <f>$AI2838*'Assumptions (T&amp;D)'!N$101</f>
        <v>1.5280261312124357</v>
      </c>
      <c r="AV2979" s="147">
        <f>$AI2838*'Assumptions (T&amp;D)'!O$101</f>
        <v>1.527683678023011</v>
      </c>
      <c r="AW2979" s="147">
        <f>$AI2838*'Assumptions (T&amp;D)'!P$101</f>
        <v>1.5280261312124357</v>
      </c>
      <c r="AX2979" s="147">
        <f>$AI2838*'Assumptions (T&amp;D)'!Q$101</f>
        <v>1.527683678023011</v>
      </c>
      <c r="AY2979" s="147">
        <f>$AI2838*'Assumptions (T&amp;D)'!R$101</f>
        <v>1.5280261312124357</v>
      </c>
      <c r="AZ2979" s="147">
        <f>$AI2838*'Assumptions (T&amp;D)'!S$101</f>
        <v>1.527683678023011</v>
      </c>
      <c r="BA2979" s="147">
        <f>$AI2838*'Assumptions (T&amp;D)'!T$101</f>
        <v>1.5280261312124357</v>
      </c>
      <c r="BB2979" s="147">
        <f>$AI2838*'Assumptions (T&amp;D)'!U$101</f>
        <v>1.527683678023011</v>
      </c>
      <c r="BC2979" s="147">
        <f>$AI2838*'Assumptions (T&amp;D)'!V$101</f>
        <v>0.76401306560621784</v>
      </c>
    </row>
    <row r="2980" spans="1:68" ht="15.75" hidden="1" customHeight="1" outlineLevel="1">
      <c r="A2980" s="465"/>
      <c r="B2980" s="42"/>
      <c r="C2980" s="42"/>
      <c r="D2980" s="42"/>
      <c r="E2980" s="42"/>
      <c r="F2980" s="42"/>
      <c r="G2980" s="42"/>
      <c r="H2980" s="42"/>
      <c r="I2980" s="42"/>
      <c r="J2980" s="42"/>
      <c r="K2980" s="42"/>
      <c r="L2980" s="42"/>
      <c r="M2980" s="42"/>
      <c r="N2980" s="42"/>
      <c r="O2980" s="42"/>
      <c r="P2980" s="42"/>
      <c r="Q2980" s="42"/>
      <c r="R2980" s="42"/>
      <c r="S2980" s="42"/>
      <c r="T2980" s="42"/>
      <c r="U2980" s="42"/>
      <c r="V2980" s="42"/>
      <c r="W2980" s="86"/>
      <c r="AJ2980" s="147">
        <f>$AJ2838*'Assumptions (T&amp;D)'!B$101</f>
        <v>1.2841994603421412</v>
      </c>
      <c r="AK2980" s="147">
        <f>$AJ2838*'Assumptions (T&amp;D)'!C$101</f>
        <v>2.472169574455978</v>
      </c>
      <c r="AL2980" s="147">
        <f>$AJ2838*'Assumptions (T&amp;D)'!D$101</f>
        <v>2.28655994578786</v>
      </c>
      <c r="AM2980" s="147">
        <f>$AJ2838*'Assumptions (T&amp;D)'!E$101</f>
        <v>2.115333351075575</v>
      </c>
      <c r="AN2980" s="147">
        <f>$AJ2838*'Assumptions (T&amp;D)'!F$101</f>
        <v>1.956435071182574</v>
      </c>
      <c r="AO2980" s="147">
        <f>$AJ2838*'Assumptions (T&amp;D)'!G$101</f>
        <v>1.8098651061088575</v>
      </c>
      <c r="AP2980" s="147">
        <f>$AJ2838*'Assumptions (T&amp;D)'!H$101</f>
        <v>1.6739111899073029</v>
      </c>
      <c r="AQ2980" s="147">
        <f>$AJ2838*'Assumptions (T&amp;D)'!I$101</f>
        <v>1.5485733225779099</v>
      </c>
      <c r="AR2980" s="147">
        <f>$AJ2838*'Assumptions (T&amp;D)'!J$101</f>
        <v>1.5280261312124357</v>
      </c>
      <c r="AS2980" s="147">
        <f>$AJ2838*'Assumptions (T&amp;D)'!K$101</f>
        <v>1.527683678023011</v>
      </c>
      <c r="AT2980" s="147">
        <f>$AJ2838*'Assumptions (T&amp;D)'!L$101</f>
        <v>1.5280261312124357</v>
      </c>
      <c r="AU2980" s="147">
        <f>$AJ2838*'Assumptions (T&amp;D)'!M$101</f>
        <v>1.527683678023011</v>
      </c>
      <c r="AV2980" s="147">
        <f>$AJ2838*'Assumptions (T&amp;D)'!N$101</f>
        <v>1.5280261312124357</v>
      </c>
      <c r="AW2980" s="147">
        <f>$AJ2838*'Assumptions (T&amp;D)'!O$101</f>
        <v>1.527683678023011</v>
      </c>
      <c r="AX2980" s="147">
        <f>$AJ2838*'Assumptions (T&amp;D)'!P$101</f>
        <v>1.5280261312124357</v>
      </c>
      <c r="AY2980" s="147">
        <f>$AJ2838*'Assumptions (T&amp;D)'!Q$101</f>
        <v>1.527683678023011</v>
      </c>
      <c r="AZ2980" s="147">
        <f>$AJ2838*'Assumptions (T&amp;D)'!R$101</f>
        <v>1.5280261312124357</v>
      </c>
      <c r="BA2980" s="147">
        <f>$AJ2838*'Assumptions (T&amp;D)'!S$101</f>
        <v>1.527683678023011</v>
      </c>
      <c r="BB2980" s="147">
        <f>$AJ2838*'Assumptions (T&amp;D)'!T$101</f>
        <v>1.5280261312124357</v>
      </c>
      <c r="BC2980" s="147">
        <f>$AJ2838*'Assumptions (T&amp;D)'!U$101</f>
        <v>1.527683678023011</v>
      </c>
      <c r="BD2980" s="147">
        <f>$AJ2838*'Assumptions (T&amp;D)'!V$101</f>
        <v>0.76401306560621784</v>
      </c>
    </row>
    <row r="2981" spans="1:68" ht="15.75" hidden="1" customHeight="1" outlineLevel="1">
      <c r="A2981" s="465"/>
      <c r="B2981" s="42"/>
      <c r="C2981" s="42"/>
      <c r="D2981" s="42"/>
      <c r="E2981" s="42"/>
      <c r="F2981" s="42"/>
      <c r="G2981" s="42"/>
      <c r="H2981" s="42"/>
      <c r="I2981" s="42"/>
      <c r="J2981" s="42"/>
      <c r="K2981" s="42"/>
      <c r="L2981" s="42"/>
      <c r="M2981" s="42"/>
      <c r="N2981" s="42"/>
      <c r="O2981" s="42"/>
      <c r="P2981" s="42"/>
      <c r="Q2981" s="42"/>
      <c r="R2981" s="42"/>
      <c r="S2981" s="42"/>
      <c r="T2981" s="42"/>
      <c r="U2981" s="42"/>
      <c r="V2981" s="42"/>
      <c r="W2981" s="86"/>
      <c r="AK2981" s="147">
        <f>$AK2838*'Assumptions (T&amp;D)'!B$101</f>
        <v>1.2841994603421412</v>
      </c>
      <c r="AL2981" s="147">
        <f>$AK2838*'Assumptions (T&amp;D)'!C$101</f>
        <v>2.472169574455978</v>
      </c>
      <c r="AM2981" s="147">
        <f>$AK2838*'Assumptions (T&amp;D)'!D$101</f>
        <v>2.28655994578786</v>
      </c>
      <c r="AN2981" s="147">
        <f>$AK2838*'Assumptions (T&amp;D)'!E$101</f>
        <v>2.115333351075575</v>
      </c>
      <c r="AO2981" s="147">
        <f>$AK2838*'Assumptions (T&amp;D)'!F$101</f>
        <v>1.956435071182574</v>
      </c>
      <c r="AP2981" s="147">
        <f>$AK2838*'Assumptions (T&amp;D)'!G$101</f>
        <v>1.8098651061088575</v>
      </c>
      <c r="AQ2981" s="147">
        <f>$AK2838*'Assumptions (T&amp;D)'!H$101</f>
        <v>1.6739111899073029</v>
      </c>
      <c r="AR2981" s="147">
        <f>$AK2838*'Assumptions (T&amp;D)'!I$101</f>
        <v>1.5485733225779099</v>
      </c>
      <c r="AS2981" s="147">
        <f>$AK2838*'Assumptions (T&amp;D)'!J$101</f>
        <v>1.5280261312124357</v>
      </c>
      <c r="AT2981" s="147">
        <f>$AK2838*'Assumptions (T&amp;D)'!K$101</f>
        <v>1.527683678023011</v>
      </c>
      <c r="AU2981" s="147">
        <f>$AK2838*'Assumptions (T&amp;D)'!L$101</f>
        <v>1.5280261312124357</v>
      </c>
      <c r="AV2981" s="147">
        <f>$AK2838*'Assumptions (T&amp;D)'!M$101</f>
        <v>1.527683678023011</v>
      </c>
      <c r="AW2981" s="147">
        <f>$AK2838*'Assumptions (T&amp;D)'!N$101</f>
        <v>1.5280261312124357</v>
      </c>
      <c r="AX2981" s="147">
        <f>$AK2838*'Assumptions (T&amp;D)'!O$101</f>
        <v>1.527683678023011</v>
      </c>
      <c r="AY2981" s="147">
        <f>$AK2838*'Assumptions (T&amp;D)'!P$101</f>
        <v>1.5280261312124357</v>
      </c>
      <c r="AZ2981" s="147">
        <f>$AK2838*'Assumptions (T&amp;D)'!Q$101</f>
        <v>1.527683678023011</v>
      </c>
      <c r="BA2981" s="147">
        <f>$AK2838*'Assumptions (T&amp;D)'!R$101</f>
        <v>1.5280261312124357</v>
      </c>
      <c r="BB2981" s="147">
        <f>$AK2838*'Assumptions (T&amp;D)'!S$101</f>
        <v>1.527683678023011</v>
      </c>
      <c r="BC2981" s="147">
        <f>$AK2838*'Assumptions (T&amp;D)'!T$101</f>
        <v>1.5280261312124357</v>
      </c>
      <c r="BD2981" s="147">
        <f>$AK2838*'Assumptions (T&amp;D)'!U$101</f>
        <v>1.527683678023011</v>
      </c>
      <c r="BE2981" s="147">
        <f>$AK2838*'Assumptions (T&amp;D)'!V$101</f>
        <v>0.76401306560621784</v>
      </c>
    </row>
    <row r="2982" spans="1:68" ht="15.75" hidden="1" customHeight="1" outlineLevel="1">
      <c r="A2982" s="465"/>
      <c r="B2982" s="42"/>
      <c r="C2982" s="42"/>
      <c r="D2982" s="42"/>
      <c r="E2982" s="42"/>
      <c r="F2982" s="42"/>
      <c r="G2982" s="42"/>
      <c r="H2982" s="42"/>
      <c r="I2982" s="42"/>
      <c r="J2982" s="42"/>
      <c r="K2982" s="42"/>
      <c r="L2982" s="42"/>
      <c r="M2982" s="42"/>
      <c r="N2982" s="42"/>
      <c r="O2982" s="42"/>
      <c r="P2982" s="42"/>
      <c r="Q2982" s="42"/>
      <c r="R2982" s="42"/>
      <c r="S2982" s="42"/>
      <c r="T2982" s="42"/>
      <c r="U2982" s="42"/>
      <c r="V2982" s="42"/>
      <c r="W2982" s="86"/>
      <c r="AL2982" s="147">
        <f>$AL2838*'Assumptions (T&amp;D)'!B$101</f>
        <v>1.2841994603421412</v>
      </c>
      <c r="AM2982" s="147">
        <f>$AL2838*'Assumptions (T&amp;D)'!C$101</f>
        <v>2.472169574455978</v>
      </c>
      <c r="AN2982" s="147">
        <f>$AL2838*'Assumptions (T&amp;D)'!D$101</f>
        <v>2.28655994578786</v>
      </c>
      <c r="AO2982" s="147">
        <f>$AL2838*'Assumptions (T&amp;D)'!E$101</f>
        <v>2.115333351075575</v>
      </c>
      <c r="AP2982" s="147">
        <f>$AL2838*'Assumptions (T&amp;D)'!F$101</f>
        <v>1.956435071182574</v>
      </c>
      <c r="AQ2982" s="147">
        <f>$AL2838*'Assumptions (T&amp;D)'!G$101</f>
        <v>1.8098651061088575</v>
      </c>
      <c r="AR2982" s="147">
        <f>$AL2838*'Assumptions (T&amp;D)'!H$101</f>
        <v>1.6739111899073029</v>
      </c>
      <c r="AS2982" s="147">
        <f>$AL2838*'Assumptions (T&amp;D)'!I$101</f>
        <v>1.5485733225779099</v>
      </c>
      <c r="AT2982" s="147">
        <f>$AL2838*'Assumptions (T&amp;D)'!J$101</f>
        <v>1.5280261312124357</v>
      </c>
      <c r="AU2982" s="147">
        <f>$AL2838*'Assumptions (T&amp;D)'!K$101</f>
        <v>1.527683678023011</v>
      </c>
      <c r="AV2982" s="147">
        <f>$AL2838*'Assumptions (T&amp;D)'!L$101</f>
        <v>1.5280261312124357</v>
      </c>
      <c r="AW2982" s="147">
        <f>$AL2838*'Assumptions (T&amp;D)'!M$101</f>
        <v>1.527683678023011</v>
      </c>
      <c r="AX2982" s="147">
        <f>$AL2838*'Assumptions (T&amp;D)'!N$101</f>
        <v>1.5280261312124357</v>
      </c>
      <c r="AY2982" s="147">
        <f>$AL2838*'Assumptions (T&amp;D)'!O$101</f>
        <v>1.527683678023011</v>
      </c>
      <c r="AZ2982" s="147">
        <f>$AL2838*'Assumptions (T&amp;D)'!P$101</f>
        <v>1.5280261312124357</v>
      </c>
      <c r="BA2982" s="147">
        <f>$AL2838*'Assumptions (T&amp;D)'!Q$101</f>
        <v>1.527683678023011</v>
      </c>
      <c r="BB2982" s="147">
        <f>$AL2838*'Assumptions (T&amp;D)'!R$101</f>
        <v>1.5280261312124357</v>
      </c>
      <c r="BC2982" s="147">
        <f>$AL2838*'Assumptions (T&amp;D)'!S$101</f>
        <v>1.527683678023011</v>
      </c>
      <c r="BD2982" s="147">
        <f>$AL2838*'Assumptions (T&amp;D)'!T$101</f>
        <v>1.5280261312124357</v>
      </c>
      <c r="BE2982" s="147">
        <f>$AL2838*'Assumptions (T&amp;D)'!U$101</f>
        <v>1.527683678023011</v>
      </c>
      <c r="BF2982" s="147">
        <f>$AL2838*'Assumptions (T&amp;D)'!V$101</f>
        <v>0.76401306560621784</v>
      </c>
    </row>
    <row r="2983" spans="1:68" ht="15.75" hidden="1" customHeight="1" outlineLevel="1">
      <c r="A2983" s="465"/>
      <c r="B2983" s="42"/>
      <c r="C2983" s="42"/>
      <c r="D2983" s="42"/>
      <c r="E2983" s="42"/>
      <c r="F2983" s="42"/>
      <c r="G2983" s="42"/>
      <c r="H2983" s="42"/>
      <c r="I2983" s="42"/>
      <c r="J2983" s="42"/>
      <c r="K2983" s="42"/>
      <c r="L2983" s="42"/>
      <c r="M2983" s="42"/>
      <c r="N2983" s="42"/>
      <c r="O2983" s="42"/>
      <c r="P2983" s="42"/>
      <c r="Q2983" s="42"/>
      <c r="R2983" s="42"/>
      <c r="S2983" s="42"/>
      <c r="T2983" s="42"/>
      <c r="U2983" s="42"/>
      <c r="V2983" s="42"/>
      <c r="W2983" s="86"/>
      <c r="AM2983" s="147">
        <f>$AM2838*'Assumptions (T&amp;D)'!B$101</f>
        <v>1.2841994603421412</v>
      </c>
      <c r="AN2983" s="147">
        <f>$AM2838*'Assumptions (T&amp;D)'!C$101</f>
        <v>2.472169574455978</v>
      </c>
      <c r="AO2983" s="147">
        <f>$AM2838*'Assumptions (T&amp;D)'!D$101</f>
        <v>2.28655994578786</v>
      </c>
      <c r="AP2983" s="147">
        <f>$AM2838*'Assumptions (T&amp;D)'!E$101</f>
        <v>2.115333351075575</v>
      </c>
      <c r="AQ2983" s="147">
        <f>$AM2838*'Assumptions (T&amp;D)'!F$101</f>
        <v>1.956435071182574</v>
      </c>
      <c r="AR2983" s="147">
        <f>$AM2838*'Assumptions (T&amp;D)'!G$101</f>
        <v>1.8098651061088575</v>
      </c>
      <c r="AS2983" s="147">
        <f>$AM2838*'Assumptions (T&amp;D)'!H$101</f>
        <v>1.6739111899073029</v>
      </c>
      <c r="AT2983" s="147">
        <f>$AM2838*'Assumptions (T&amp;D)'!I$101</f>
        <v>1.5485733225779099</v>
      </c>
      <c r="AU2983" s="147">
        <f>$AM2838*'Assumptions (T&amp;D)'!J$101</f>
        <v>1.5280261312124357</v>
      </c>
      <c r="AV2983" s="147">
        <f>$AM2838*'Assumptions (T&amp;D)'!K$101</f>
        <v>1.527683678023011</v>
      </c>
      <c r="AW2983" s="147">
        <f>$AM2838*'Assumptions (T&amp;D)'!L$101</f>
        <v>1.5280261312124357</v>
      </c>
      <c r="AX2983" s="147">
        <f>$AM2838*'Assumptions (T&amp;D)'!M$101</f>
        <v>1.527683678023011</v>
      </c>
      <c r="AY2983" s="147">
        <f>$AM2838*'Assumptions (T&amp;D)'!N$101</f>
        <v>1.5280261312124357</v>
      </c>
      <c r="AZ2983" s="147">
        <f>$AM2838*'Assumptions (T&amp;D)'!O$101</f>
        <v>1.527683678023011</v>
      </c>
      <c r="BA2983" s="147">
        <f>$AM2838*'Assumptions (T&amp;D)'!P$101</f>
        <v>1.5280261312124357</v>
      </c>
      <c r="BB2983" s="147">
        <f>$AM2838*'Assumptions (T&amp;D)'!Q$101</f>
        <v>1.527683678023011</v>
      </c>
      <c r="BC2983" s="147">
        <f>$AM2838*'Assumptions (T&amp;D)'!R$101</f>
        <v>1.5280261312124357</v>
      </c>
      <c r="BD2983" s="147">
        <f>$AM2838*'Assumptions (T&amp;D)'!S$101</f>
        <v>1.527683678023011</v>
      </c>
      <c r="BE2983" s="147">
        <f>$AM2838*'Assumptions (T&amp;D)'!T$101</f>
        <v>1.5280261312124357</v>
      </c>
      <c r="BF2983" s="147">
        <f>$AM2838*'Assumptions (T&amp;D)'!U$101</f>
        <v>1.527683678023011</v>
      </c>
      <c r="BG2983" s="147">
        <f>$AM2838*'Assumptions (T&amp;D)'!V$101</f>
        <v>0.76401306560621784</v>
      </c>
    </row>
    <row r="2984" spans="1:68" ht="15.75" hidden="1" customHeight="1" outlineLevel="1">
      <c r="A2984" s="465"/>
      <c r="B2984" s="42"/>
      <c r="C2984" s="42"/>
      <c r="D2984" s="42"/>
      <c r="E2984" s="42"/>
      <c r="F2984" s="42"/>
      <c r="G2984" s="42"/>
      <c r="H2984" s="42"/>
      <c r="I2984" s="42"/>
      <c r="J2984" s="42"/>
      <c r="K2984" s="42"/>
      <c r="L2984" s="42"/>
      <c r="M2984" s="42"/>
      <c r="N2984" s="42"/>
      <c r="O2984" s="42"/>
      <c r="P2984" s="42"/>
      <c r="Q2984" s="42"/>
      <c r="R2984" s="42"/>
      <c r="S2984" s="42"/>
      <c r="T2984" s="42"/>
      <c r="U2984" s="42"/>
      <c r="V2984" s="42"/>
      <c r="W2984" s="86"/>
      <c r="AN2984" s="147">
        <f>$AN2838*'Assumptions (T&amp;D)'!B$101</f>
        <v>1.2841994603421412</v>
      </c>
      <c r="AO2984" s="147">
        <f>$AN2838*'Assumptions (T&amp;D)'!C$101</f>
        <v>2.472169574455978</v>
      </c>
      <c r="AP2984" s="147">
        <f>$AN2838*'Assumptions (T&amp;D)'!D$101</f>
        <v>2.28655994578786</v>
      </c>
      <c r="AQ2984" s="147">
        <f>$AN2838*'Assumptions (T&amp;D)'!E$101</f>
        <v>2.115333351075575</v>
      </c>
      <c r="AR2984" s="147">
        <f>$AN2838*'Assumptions (T&amp;D)'!F$101</f>
        <v>1.956435071182574</v>
      </c>
      <c r="AS2984" s="147">
        <f>$AN2838*'Assumptions (T&amp;D)'!G$101</f>
        <v>1.8098651061088575</v>
      </c>
      <c r="AT2984" s="147">
        <f>$AN2838*'Assumptions (T&amp;D)'!H$101</f>
        <v>1.6739111899073029</v>
      </c>
      <c r="AU2984" s="147">
        <f>$AN2838*'Assumptions (T&amp;D)'!I$101</f>
        <v>1.5485733225779099</v>
      </c>
      <c r="AV2984" s="147">
        <f>$AN2838*'Assumptions (T&amp;D)'!J$101</f>
        <v>1.5280261312124357</v>
      </c>
      <c r="AW2984" s="147">
        <f>$AN2838*'Assumptions (T&amp;D)'!K$101</f>
        <v>1.527683678023011</v>
      </c>
      <c r="AX2984" s="147">
        <f>$AN2838*'Assumptions (T&amp;D)'!L$101</f>
        <v>1.5280261312124357</v>
      </c>
      <c r="AY2984" s="147">
        <f>$AN2838*'Assumptions (T&amp;D)'!M$101</f>
        <v>1.527683678023011</v>
      </c>
      <c r="AZ2984" s="147">
        <f>$AN2838*'Assumptions (T&amp;D)'!N$101</f>
        <v>1.5280261312124357</v>
      </c>
      <c r="BA2984" s="147">
        <f>$AN2838*'Assumptions (T&amp;D)'!O$101</f>
        <v>1.527683678023011</v>
      </c>
      <c r="BB2984" s="147">
        <f>$AN2838*'Assumptions (T&amp;D)'!P$101</f>
        <v>1.5280261312124357</v>
      </c>
      <c r="BC2984" s="147">
        <f>$AN2838*'Assumptions (T&amp;D)'!Q$101</f>
        <v>1.527683678023011</v>
      </c>
      <c r="BD2984" s="147">
        <f>$AN2838*'Assumptions (T&amp;D)'!R$101</f>
        <v>1.5280261312124357</v>
      </c>
      <c r="BE2984" s="147">
        <f>$AN2838*'Assumptions (T&amp;D)'!S$101</f>
        <v>1.527683678023011</v>
      </c>
      <c r="BF2984" s="147">
        <f>$AN2838*'Assumptions (T&amp;D)'!T$101</f>
        <v>1.5280261312124357</v>
      </c>
      <c r="BG2984" s="147">
        <f>$AN2838*'Assumptions (T&amp;D)'!U$101</f>
        <v>1.527683678023011</v>
      </c>
      <c r="BH2984" s="147">
        <f>$AN2838*'Assumptions (T&amp;D)'!V$101</f>
        <v>0.76401306560621784</v>
      </c>
    </row>
    <row r="2985" spans="1:68" ht="15.75" hidden="1" customHeight="1" outlineLevel="1">
      <c r="A2985" s="465"/>
      <c r="B2985" s="42"/>
      <c r="C2985" s="42"/>
      <c r="D2985" s="42"/>
      <c r="E2985" s="42"/>
      <c r="F2985" s="42"/>
      <c r="G2985" s="42"/>
      <c r="H2985" s="42"/>
      <c r="I2985" s="42"/>
      <c r="J2985" s="42"/>
      <c r="K2985" s="42"/>
      <c r="L2985" s="42"/>
      <c r="M2985" s="42"/>
      <c r="N2985" s="42"/>
      <c r="O2985" s="42"/>
      <c r="P2985" s="42"/>
      <c r="Q2985" s="42"/>
      <c r="R2985" s="42"/>
      <c r="S2985" s="42"/>
      <c r="T2985" s="42"/>
      <c r="U2985" s="42"/>
      <c r="V2985" s="42"/>
      <c r="W2985" s="86"/>
      <c r="AO2985" s="147">
        <f>$AO2838*'Assumptions (T&amp;D)'!B$101</f>
        <v>1.2841994603421412</v>
      </c>
      <c r="AP2985" s="147">
        <f>$AO2838*'Assumptions (T&amp;D)'!C$101</f>
        <v>2.472169574455978</v>
      </c>
      <c r="AQ2985" s="147">
        <f>$AO2838*'Assumptions (T&amp;D)'!D$101</f>
        <v>2.28655994578786</v>
      </c>
      <c r="AR2985" s="147">
        <f>$AO2838*'Assumptions (T&amp;D)'!E$101</f>
        <v>2.115333351075575</v>
      </c>
      <c r="AS2985" s="147">
        <f>$AO2838*'Assumptions (T&amp;D)'!F$101</f>
        <v>1.956435071182574</v>
      </c>
      <c r="AT2985" s="147">
        <f>$AO2838*'Assumptions (T&amp;D)'!G$101</f>
        <v>1.8098651061088575</v>
      </c>
      <c r="AU2985" s="147">
        <f>$AO2838*'Assumptions (T&amp;D)'!H$101</f>
        <v>1.6739111899073029</v>
      </c>
      <c r="AV2985" s="147">
        <f>$AO2838*'Assumptions (T&amp;D)'!I$101</f>
        <v>1.5485733225779099</v>
      </c>
      <c r="AW2985" s="147">
        <f>$AO2838*'Assumptions (T&amp;D)'!J$101</f>
        <v>1.5280261312124357</v>
      </c>
      <c r="AX2985" s="147">
        <f>$AO2838*'Assumptions (T&amp;D)'!K$101</f>
        <v>1.527683678023011</v>
      </c>
      <c r="AY2985" s="147">
        <f>$AO2838*'Assumptions (T&amp;D)'!L$101</f>
        <v>1.5280261312124357</v>
      </c>
      <c r="AZ2985" s="147">
        <f>$AO2838*'Assumptions (T&amp;D)'!M$101</f>
        <v>1.527683678023011</v>
      </c>
      <c r="BA2985" s="147">
        <f>$AO2838*'Assumptions (T&amp;D)'!N$101</f>
        <v>1.5280261312124357</v>
      </c>
      <c r="BB2985" s="147">
        <f>$AO2838*'Assumptions (T&amp;D)'!O$101</f>
        <v>1.527683678023011</v>
      </c>
      <c r="BC2985" s="147">
        <f>$AO2838*'Assumptions (T&amp;D)'!P$101</f>
        <v>1.5280261312124357</v>
      </c>
      <c r="BD2985" s="147">
        <f>$AO2838*'Assumptions (T&amp;D)'!Q$101</f>
        <v>1.527683678023011</v>
      </c>
      <c r="BE2985" s="147">
        <f>$AO2838*'Assumptions (T&amp;D)'!R$101</f>
        <v>1.5280261312124357</v>
      </c>
      <c r="BF2985" s="147">
        <f>$AO2838*'Assumptions (T&amp;D)'!S$101</f>
        <v>1.527683678023011</v>
      </c>
      <c r="BG2985" s="147">
        <f>$AO2838*'Assumptions (T&amp;D)'!T$101</f>
        <v>1.5280261312124357</v>
      </c>
      <c r="BH2985" s="147">
        <f>$AO2838*'Assumptions (T&amp;D)'!U$101</f>
        <v>1.527683678023011</v>
      </c>
      <c r="BI2985" s="147">
        <f>$AO2838*'Assumptions (T&amp;D)'!V$101</f>
        <v>0.76401306560621784</v>
      </c>
    </row>
    <row r="2986" spans="1:68" ht="15.75" hidden="1" customHeight="1" outlineLevel="1">
      <c r="A2986" s="465"/>
      <c r="B2986" s="42"/>
      <c r="C2986" s="42"/>
      <c r="D2986" s="42"/>
      <c r="E2986" s="42"/>
      <c r="F2986" s="42"/>
      <c r="G2986" s="42"/>
      <c r="H2986" s="42"/>
      <c r="I2986" s="42"/>
      <c r="J2986" s="42"/>
      <c r="K2986" s="42"/>
      <c r="L2986" s="42"/>
      <c r="M2986" s="42"/>
      <c r="N2986" s="42"/>
      <c r="O2986" s="42"/>
      <c r="P2986" s="42"/>
      <c r="Q2986" s="42"/>
      <c r="R2986" s="42"/>
      <c r="S2986" s="42"/>
      <c r="T2986" s="42"/>
      <c r="U2986" s="42"/>
      <c r="V2986" s="42"/>
      <c r="W2986" s="86"/>
      <c r="AP2986" s="147">
        <f>$AP2838*'Assumptions (T&amp;D)'!B$101</f>
        <v>1.2841994603421412</v>
      </c>
      <c r="AQ2986" s="147">
        <f>$AP2838*'Assumptions (T&amp;D)'!C$101</f>
        <v>2.472169574455978</v>
      </c>
      <c r="AR2986" s="147">
        <f>$AP2838*'Assumptions (T&amp;D)'!D$101</f>
        <v>2.28655994578786</v>
      </c>
      <c r="AS2986" s="147">
        <f>$AP2838*'Assumptions (T&amp;D)'!E$101</f>
        <v>2.115333351075575</v>
      </c>
      <c r="AT2986" s="147">
        <f>$AP2838*'Assumptions (T&amp;D)'!F$101</f>
        <v>1.956435071182574</v>
      </c>
      <c r="AU2986" s="147">
        <f>$AP2838*'Assumptions (T&amp;D)'!G$101</f>
        <v>1.8098651061088575</v>
      </c>
      <c r="AV2986" s="147">
        <f>$AP2838*'Assumptions (T&amp;D)'!H$101</f>
        <v>1.6739111899073029</v>
      </c>
      <c r="AW2986" s="147">
        <f>$AP2838*'Assumptions (T&amp;D)'!I$101</f>
        <v>1.5485733225779099</v>
      </c>
      <c r="AX2986" s="147">
        <f>$AP2838*'Assumptions (T&amp;D)'!J$101</f>
        <v>1.5280261312124357</v>
      </c>
      <c r="AY2986" s="147">
        <f>$AP2838*'Assumptions (T&amp;D)'!K$101</f>
        <v>1.527683678023011</v>
      </c>
      <c r="AZ2986" s="147">
        <f>$AP2838*'Assumptions (T&amp;D)'!L$101</f>
        <v>1.5280261312124357</v>
      </c>
      <c r="BA2986" s="147">
        <f>$AP2838*'Assumptions (T&amp;D)'!M$101</f>
        <v>1.527683678023011</v>
      </c>
      <c r="BB2986" s="147">
        <f>$AP2838*'Assumptions (T&amp;D)'!N$101</f>
        <v>1.5280261312124357</v>
      </c>
      <c r="BC2986" s="147">
        <f>$AP2838*'Assumptions (T&amp;D)'!O$101</f>
        <v>1.527683678023011</v>
      </c>
      <c r="BD2986" s="147">
        <f>$AP2838*'Assumptions (T&amp;D)'!P$101</f>
        <v>1.5280261312124357</v>
      </c>
      <c r="BE2986" s="147">
        <f>$AP2838*'Assumptions (T&amp;D)'!Q$101</f>
        <v>1.527683678023011</v>
      </c>
      <c r="BF2986" s="147">
        <f>$AP2838*'Assumptions (T&amp;D)'!R$101</f>
        <v>1.5280261312124357</v>
      </c>
      <c r="BG2986" s="147">
        <f>$AP2838*'Assumptions (T&amp;D)'!S$101</f>
        <v>1.527683678023011</v>
      </c>
      <c r="BH2986" s="147">
        <f>$AP2838*'Assumptions (T&amp;D)'!T$101</f>
        <v>1.5280261312124357</v>
      </c>
      <c r="BI2986" s="147">
        <f>$AP2838*'Assumptions (T&amp;D)'!U$101</f>
        <v>1.527683678023011</v>
      </c>
      <c r="BJ2986" s="147">
        <f>$AP2838*'Assumptions (T&amp;D)'!V$101</f>
        <v>0.76401306560621784</v>
      </c>
    </row>
    <row r="2987" spans="1:68" ht="15.75" hidden="1" customHeight="1" outlineLevel="1">
      <c r="A2987" s="465"/>
      <c r="B2987" s="42"/>
      <c r="C2987" s="42"/>
      <c r="D2987" s="42"/>
      <c r="E2987" s="42"/>
      <c r="F2987" s="42"/>
      <c r="G2987" s="42"/>
      <c r="H2987" s="42"/>
      <c r="I2987" s="42"/>
      <c r="J2987" s="42"/>
      <c r="K2987" s="42"/>
      <c r="L2987" s="42"/>
      <c r="M2987" s="42"/>
      <c r="N2987" s="42"/>
      <c r="O2987" s="42"/>
      <c r="P2987" s="42"/>
      <c r="Q2987" s="42"/>
      <c r="R2987" s="42"/>
      <c r="S2987" s="42"/>
      <c r="T2987" s="42"/>
      <c r="U2987" s="42"/>
      <c r="V2987" s="42"/>
      <c r="W2987" s="86"/>
      <c r="AQ2987" s="147">
        <f>$AQ2838*'Assumptions (T&amp;D)'!B$101</f>
        <v>1.2841994603421412</v>
      </c>
      <c r="AR2987" s="147">
        <f>$AQ2838*'Assumptions (T&amp;D)'!C$101</f>
        <v>2.472169574455978</v>
      </c>
      <c r="AS2987" s="147">
        <f>$AQ2838*'Assumptions (T&amp;D)'!D$101</f>
        <v>2.28655994578786</v>
      </c>
      <c r="AT2987" s="147">
        <f>$AQ2838*'Assumptions (T&amp;D)'!E$101</f>
        <v>2.115333351075575</v>
      </c>
      <c r="AU2987" s="147">
        <f>$AQ2838*'Assumptions (T&amp;D)'!F$101</f>
        <v>1.956435071182574</v>
      </c>
      <c r="AV2987" s="147">
        <f>$AQ2838*'Assumptions (T&amp;D)'!G$101</f>
        <v>1.8098651061088575</v>
      </c>
      <c r="AW2987" s="147">
        <f>$AQ2838*'Assumptions (T&amp;D)'!H$101</f>
        <v>1.6739111899073029</v>
      </c>
      <c r="AX2987" s="147">
        <f>$AQ2838*'Assumptions (T&amp;D)'!I$101</f>
        <v>1.5485733225779099</v>
      </c>
      <c r="AY2987" s="147">
        <f>$AQ2838*'Assumptions (T&amp;D)'!J$101</f>
        <v>1.5280261312124357</v>
      </c>
      <c r="AZ2987" s="147">
        <f>$AQ2838*'Assumptions (T&amp;D)'!K$101</f>
        <v>1.527683678023011</v>
      </c>
      <c r="BA2987" s="147">
        <f>$AQ2838*'Assumptions (T&amp;D)'!L$101</f>
        <v>1.5280261312124357</v>
      </c>
      <c r="BB2987" s="147">
        <f>$AQ2838*'Assumptions (T&amp;D)'!M$101</f>
        <v>1.527683678023011</v>
      </c>
      <c r="BC2987" s="147">
        <f>$AQ2838*'Assumptions (T&amp;D)'!N$101</f>
        <v>1.5280261312124357</v>
      </c>
      <c r="BD2987" s="147">
        <f>$AQ2838*'Assumptions (T&amp;D)'!O$101</f>
        <v>1.527683678023011</v>
      </c>
      <c r="BE2987" s="147">
        <f>$AQ2838*'Assumptions (T&amp;D)'!P$101</f>
        <v>1.5280261312124357</v>
      </c>
      <c r="BF2987" s="147">
        <f>$AQ2838*'Assumptions (T&amp;D)'!Q$101</f>
        <v>1.527683678023011</v>
      </c>
      <c r="BG2987" s="147">
        <f>$AQ2838*'Assumptions (T&amp;D)'!R$101</f>
        <v>1.5280261312124357</v>
      </c>
      <c r="BH2987" s="147">
        <f>$AQ2838*'Assumptions (T&amp;D)'!S$101</f>
        <v>1.527683678023011</v>
      </c>
      <c r="BI2987" s="147">
        <f>$AQ2838*'Assumptions (T&amp;D)'!T$101</f>
        <v>1.5280261312124357</v>
      </c>
      <c r="BJ2987" s="147">
        <f>$AQ2838*'Assumptions (T&amp;D)'!U$101</f>
        <v>1.527683678023011</v>
      </c>
      <c r="BK2987" s="147">
        <f>$AQ2838*'Assumptions (T&amp;D)'!V$101</f>
        <v>0.76401306560621784</v>
      </c>
    </row>
    <row r="2988" spans="1:68" ht="15.75" hidden="1" customHeight="1" outlineLevel="1">
      <c r="A2988" s="465"/>
      <c r="B2988" s="42"/>
      <c r="C2988" s="42"/>
      <c r="D2988" s="42"/>
      <c r="E2988" s="42"/>
      <c r="F2988" s="42"/>
      <c r="G2988" s="42"/>
      <c r="H2988" s="42"/>
      <c r="I2988" s="42"/>
      <c r="J2988" s="42"/>
      <c r="K2988" s="42"/>
      <c r="L2988" s="42"/>
      <c r="M2988" s="42"/>
      <c r="N2988" s="42"/>
      <c r="O2988" s="42"/>
      <c r="P2988" s="42"/>
      <c r="Q2988" s="42"/>
      <c r="R2988" s="42"/>
      <c r="S2988" s="42"/>
      <c r="T2988" s="42"/>
      <c r="U2988" s="42"/>
      <c r="V2988" s="42"/>
      <c r="W2988" s="86"/>
      <c r="AR2988" s="147">
        <f>$AR2838*'Assumptions (T&amp;D)'!B$101</f>
        <v>1.2841994603421412</v>
      </c>
      <c r="AS2988" s="147">
        <f>$AR2838*'Assumptions (T&amp;D)'!C$101</f>
        <v>2.472169574455978</v>
      </c>
      <c r="AT2988" s="147">
        <f>$AR2838*'Assumptions (T&amp;D)'!D$101</f>
        <v>2.28655994578786</v>
      </c>
      <c r="AU2988" s="147">
        <f>$AR2838*'Assumptions (T&amp;D)'!E$101</f>
        <v>2.115333351075575</v>
      </c>
      <c r="AV2988" s="147">
        <f>$AR2838*'Assumptions (T&amp;D)'!F$101</f>
        <v>1.956435071182574</v>
      </c>
      <c r="AW2988" s="147">
        <f>$AR2838*'Assumptions (T&amp;D)'!G$101</f>
        <v>1.8098651061088575</v>
      </c>
      <c r="AX2988" s="147">
        <f>$AR2838*'Assumptions (T&amp;D)'!H$101</f>
        <v>1.6739111899073029</v>
      </c>
      <c r="AY2988" s="147">
        <f>$AR2838*'Assumptions (T&amp;D)'!I$101</f>
        <v>1.5485733225779099</v>
      </c>
      <c r="AZ2988" s="147">
        <f>$AR2838*'Assumptions (T&amp;D)'!J$101</f>
        <v>1.5280261312124357</v>
      </c>
      <c r="BA2988" s="147">
        <f>$AR2838*'Assumptions (T&amp;D)'!K$101</f>
        <v>1.527683678023011</v>
      </c>
      <c r="BB2988" s="147">
        <f>$AR2838*'Assumptions (T&amp;D)'!L$101</f>
        <v>1.5280261312124357</v>
      </c>
      <c r="BC2988" s="147">
        <f>$AR2838*'Assumptions (T&amp;D)'!M$101</f>
        <v>1.527683678023011</v>
      </c>
      <c r="BD2988" s="147">
        <f>$AR2838*'Assumptions (T&amp;D)'!N$101</f>
        <v>1.5280261312124357</v>
      </c>
      <c r="BE2988" s="147">
        <f>$AR2838*'Assumptions (T&amp;D)'!O$101</f>
        <v>1.527683678023011</v>
      </c>
      <c r="BF2988" s="147">
        <f>$AR2838*'Assumptions (T&amp;D)'!P$101</f>
        <v>1.5280261312124357</v>
      </c>
      <c r="BG2988" s="147">
        <f>$AR2838*'Assumptions (T&amp;D)'!Q$101</f>
        <v>1.527683678023011</v>
      </c>
      <c r="BH2988" s="147">
        <f>$AR2838*'Assumptions (T&amp;D)'!R$101</f>
        <v>1.5280261312124357</v>
      </c>
      <c r="BI2988" s="147">
        <f>$AR2838*'Assumptions (T&amp;D)'!S$101</f>
        <v>1.527683678023011</v>
      </c>
      <c r="BJ2988" s="147">
        <f>$AR2838*'Assumptions (T&amp;D)'!T$101</f>
        <v>1.5280261312124357</v>
      </c>
      <c r="BK2988" s="147">
        <f>$AR2838*'Assumptions (T&amp;D)'!U$101</f>
        <v>1.527683678023011</v>
      </c>
      <c r="BL2988" s="147">
        <f>$AR2838*'Assumptions (T&amp;D)'!V$101</f>
        <v>0.76401306560621784</v>
      </c>
    </row>
    <row r="2989" spans="1:68" ht="15.75" hidden="1" customHeight="1" outlineLevel="1">
      <c r="A2989" s="465"/>
      <c r="B2989" s="42"/>
      <c r="C2989" s="42"/>
      <c r="D2989" s="42"/>
      <c r="E2989" s="42"/>
      <c r="F2989" s="42"/>
      <c r="G2989" s="42"/>
      <c r="H2989" s="42"/>
      <c r="I2989" s="42"/>
      <c r="J2989" s="42"/>
      <c r="K2989" s="42"/>
      <c r="L2989" s="42"/>
      <c r="M2989" s="42"/>
      <c r="N2989" s="42"/>
      <c r="O2989" s="42"/>
      <c r="P2989" s="42"/>
      <c r="Q2989" s="42"/>
      <c r="R2989" s="42"/>
      <c r="S2989" s="42"/>
      <c r="T2989" s="42"/>
      <c r="U2989" s="42"/>
      <c r="V2989" s="42"/>
      <c r="W2989" s="86"/>
      <c r="AS2989" s="147">
        <f>$AS2838*'Assumptions (T&amp;D)'!B$101</f>
        <v>1.2841994603421412</v>
      </c>
      <c r="AT2989" s="147">
        <f>$AS2838*'Assumptions (T&amp;D)'!C$101</f>
        <v>2.472169574455978</v>
      </c>
      <c r="AU2989" s="147">
        <f>$AS2838*'Assumptions (T&amp;D)'!D$101</f>
        <v>2.28655994578786</v>
      </c>
      <c r="AV2989" s="147">
        <f>$AS2838*'Assumptions (T&amp;D)'!E$101</f>
        <v>2.115333351075575</v>
      </c>
      <c r="AW2989" s="147">
        <f>$AS2838*'Assumptions (T&amp;D)'!F$101</f>
        <v>1.956435071182574</v>
      </c>
      <c r="AX2989" s="147">
        <f>$AS2838*'Assumptions (T&amp;D)'!G$101</f>
        <v>1.8098651061088575</v>
      </c>
      <c r="AY2989" s="147">
        <f>$AS2838*'Assumptions (T&amp;D)'!H$101</f>
        <v>1.6739111899073029</v>
      </c>
      <c r="AZ2989" s="147">
        <f>$AS2838*'Assumptions (T&amp;D)'!I$101</f>
        <v>1.5485733225779099</v>
      </c>
      <c r="BA2989" s="147">
        <f>$AS2838*'Assumptions (T&amp;D)'!J$101</f>
        <v>1.5280261312124357</v>
      </c>
      <c r="BB2989" s="147">
        <f>$AS2838*'Assumptions (T&amp;D)'!K$101</f>
        <v>1.527683678023011</v>
      </c>
      <c r="BC2989" s="147">
        <f>$AS2838*'Assumptions (T&amp;D)'!L$101</f>
        <v>1.5280261312124357</v>
      </c>
      <c r="BD2989" s="147">
        <f>$AS2838*'Assumptions (T&amp;D)'!M$101</f>
        <v>1.527683678023011</v>
      </c>
      <c r="BE2989" s="147">
        <f>$AS2838*'Assumptions (T&amp;D)'!N$101</f>
        <v>1.5280261312124357</v>
      </c>
      <c r="BF2989" s="147">
        <f>$AS2838*'Assumptions (T&amp;D)'!O$101</f>
        <v>1.527683678023011</v>
      </c>
      <c r="BG2989" s="147">
        <f>$AS2838*'Assumptions (T&amp;D)'!P$101</f>
        <v>1.5280261312124357</v>
      </c>
      <c r="BH2989" s="147">
        <f>$AS2838*'Assumptions (T&amp;D)'!Q$101</f>
        <v>1.527683678023011</v>
      </c>
      <c r="BI2989" s="147">
        <f>$AS2838*'Assumptions (T&amp;D)'!R$101</f>
        <v>1.5280261312124357</v>
      </c>
      <c r="BJ2989" s="147">
        <f>$AS2838*'Assumptions (T&amp;D)'!S$101</f>
        <v>1.527683678023011</v>
      </c>
      <c r="BK2989" s="147">
        <f>$AS2838*'Assumptions (T&amp;D)'!T$101</f>
        <v>1.5280261312124357</v>
      </c>
      <c r="BL2989" s="147">
        <f>$AS2838*'Assumptions (T&amp;D)'!U$101</f>
        <v>1.527683678023011</v>
      </c>
      <c r="BM2989" s="147">
        <f>$AS2838*'Assumptions (T&amp;D)'!V$101</f>
        <v>0.76401306560621784</v>
      </c>
    </row>
    <row r="2990" spans="1:68" ht="15.75" hidden="1" customHeight="1" outlineLevel="1">
      <c r="A2990" s="465"/>
      <c r="B2990" s="42"/>
      <c r="C2990" s="42"/>
      <c r="D2990" s="42"/>
      <c r="E2990" s="42"/>
      <c r="F2990" s="42"/>
      <c r="G2990" s="42"/>
      <c r="H2990" s="42"/>
      <c r="I2990" s="42"/>
      <c r="J2990" s="42"/>
      <c r="K2990" s="42"/>
      <c r="L2990" s="42"/>
      <c r="M2990" s="42"/>
      <c r="N2990" s="42"/>
      <c r="O2990" s="42"/>
      <c r="P2990" s="42"/>
      <c r="Q2990" s="42"/>
      <c r="R2990" s="42"/>
      <c r="S2990" s="42"/>
      <c r="T2990" s="42"/>
      <c r="U2990" s="42"/>
      <c r="V2990" s="42"/>
      <c r="W2990" s="86"/>
      <c r="AT2990" s="147">
        <f>$AT2838*'Assumptions (T&amp;D)'!B$101</f>
        <v>1.2841994603421412</v>
      </c>
      <c r="AU2990" s="147">
        <f>$AT2838*'Assumptions (T&amp;D)'!C$101</f>
        <v>2.472169574455978</v>
      </c>
      <c r="AV2990" s="147">
        <f>$AT2838*'Assumptions (T&amp;D)'!D$101</f>
        <v>2.28655994578786</v>
      </c>
      <c r="AW2990" s="147">
        <f>$AT2838*'Assumptions (T&amp;D)'!E$101</f>
        <v>2.115333351075575</v>
      </c>
      <c r="AX2990" s="147">
        <f>$AT2838*'Assumptions (T&amp;D)'!F$101</f>
        <v>1.956435071182574</v>
      </c>
      <c r="AY2990" s="147">
        <f>$AT2838*'Assumptions (T&amp;D)'!G$101</f>
        <v>1.8098651061088575</v>
      </c>
      <c r="AZ2990" s="147">
        <f>$AT2838*'Assumptions (T&amp;D)'!H$101</f>
        <v>1.6739111899073029</v>
      </c>
      <c r="BA2990" s="147">
        <f>$AT2838*'Assumptions (T&amp;D)'!I$101</f>
        <v>1.5485733225779099</v>
      </c>
      <c r="BB2990" s="147">
        <f>$AT2838*'Assumptions (T&amp;D)'!J$101</f>
        <v>1.5280261312124357</v>
      </c>
      <c r="BC2990" s="147">
        <f>$AT2838*'Assumptions (T&amp;D)'!K$101</f>
        <v>1.527683678023011</v>
      </c>
      <c r="BD2990" s="147">
        <f>$AT2838*'Assumptions (T&amp;D)'!L$101</f>
        <v>1.5280261312124357</v>
      </c>
      <c r="BE2990" s="147">
        <f>$AT2838*'Assumptions (T&amp;D)'!M$101</f>
        <v>1.527683678023011</v>
      </c>
      <c r="BF2990" s="147">
        <f>$AT2838*'Assumptions (T&amp;D)'!N$101</f>
        <v>1.5280261312124357</v>
      </c>
      <c r="BG2990" s="147">
        <f>$AT2838*'Assumptions (T&amp;D)'!O$101</f>
        <v>1.527683678023011</v>
      </c>
      <c r="BH2990" s="147">
        <f>$AT2838*'Assumptions (T&amp;D)'!P$101</f>
        <v>1.5280261312124357</v>
      </c>
      <c r="BI2990" s="147">
        <f>$AT2838*'Assumptions (T&amp;D)'!Q$101</f>
        <v>1.527683678023011</v>
      </c>
      <c r="BJ2990" s="147">
        <f>$AT2838*'Assumptions (T&amp;D)'!R$101</f>
        <v>1.5280261312124357</v>
      </c>
      <c r="BK2990" s="147">
        <f>$AT2838*'Assumptions (T&amp;D)'!S$101</f>
        <v>1.527683678023011</v>
      </c>
      <c r="BL2990" s="147">
        <f>$AT2838*'Assumptions (T&amp;D)'!T$101</f>
        <v>1.5280261312124357</v>
      </c>
      <c r="BM2990" s="147">
        <f>$AT2838*'Assumptions (T&amp;D)'!U$101</f>
        <v>1.527683678023011</v>
      </c>
      <c r="BN2990" s="147">
        <f>$AT2838*'Assumptions (T&amp;D)'!V$101</f>
        <v>0.76401306560621784</v>
      </c>
    </row>
    <row r="2991" spans="1:68" ht="15.75" hidden="1" customHeight="1" outlineLevel="1">
      <c r="A2991" s="465"/>
      <c r="B2991" s="42"/>
      <c r="C2991" s="42"/>
      <c r="D2991" s="42"/>
      <c r="E2991" s="42"/>
      <c r="F2991" s="42"/>
      <c r="G2991" s="42"/>
      <c r="H2991" s="42"/>
      <c r="I2991" s="42"/>
      <c r="J2991" s="42"/>
      <c r="K2991" s="42"/>
      <c r="L2991" s="42"/>
      <c r="M2991" s="42"/>
      <c r="N2991" s="42"/>
      <c r="O2991" s="42"/>
      <c r="P2991" s="42"/>
      <c r="Q2991" s="42"/>
      <c r="R2991" s="42"/>
      <c r="S2991" s="42"/>
      <c r="T2991" s="42"/>
      <c r="U2991" s="42"/>
      <c r="V2991" s="42"/>
      <c r="W2991" s="86"/>
      <c r="AU2991" s="147">
        <f>$AU2838*'Assumptions (T&amp;D)'!B$101</f>
        <v>1.2841994603421412</v>
      </c>
      <c r="AV2991" s="147">
        <f>$AU2838*'Assumptions (T&amp;D)'!C$101</f>
        <v>2.472169574455978</v>
      </c>
      <c r="AW2991" s="147">
        <f>$AU2838*'Assumptions (T&amp;D)'!D$101</f>
        <v>2.28655994578786</v>
      </c>
      <c r="AX2991" s="147">
        <f>$AU2838*'Assumptions (T&amp;D)'!E$101</f>
        <v>2.115333351075575</v>
      </c>
      <c r="AY2991" s="147">
        <f>$AU2838*'Assumptions (T&amp;D)'!F$101</f>
        <v>1.956435071182574</v>
      </c>
      <c r="AZ2991" s="147">
        <f>$AU2838*'Assumptions (T&amp;D)'!G$101</f>
        <v>1.8098651061088575</v>
      </c>
      <c r="BA2991" s="147">
        <f>$AU2838*'Assumptions (T&amp;D)'!H$101</f>
        <v>1.6739111899073029</v>
      </c>
      <c r="BB2991" s="147">
        <f>$AU2838*'Assumptions (T&amp;D)'!I$101</f>
        <v>1.5485733225779099</v>
      </c>
      <c r="BC2991" s="147">
        <f>$AU2838*'Assumptions (T&amp;D)'!J$101</f>
        <v>1.5280261312124357</v>
      </c>
      <c r="BD2991" s="147">
        <f>$AU2838*'Assumptions (T&amp;D)'!K$101</f>
        <v>1.527683678023011</v>
      </c>
      <c r="BE2991" s="147">
        <f>$AU2838*'Assumptions (T&amp;D)'!L$101</f>
        <v>1.5280261312124357</v>
      </c>
      <c r="BF2991" s="147">
        <f>$AU2838*'Assumptions (T&amp;D)'!M$101</f>
        <v>1.527683678023011</v>
      </c>
      <c r="BG2991" s="147">
        <f>$AU2838*'Assumptions (T&amp;D)'!N$101</f>
        <v>1.5280261312124357</v>
      </c>
      <c r="BH2991" s="147">
        <f>$AU2838*'Assumptions (T&amp;D)'!O$101</f>
        <v>1.527683678023011</v>
      </c>
      <c r="BI2991" s="147">
        <f>$AU2838*'Assumptions (T&amp;D)'!P$101</f>
        <v>1.5280261312124357</v>
      </c>
      <c r="BJ2991" s="147">
        <f>$AU2838*'Assumptions (T&amp;D)'!Q$101</f>
        <v>1.527683678023011</v>
      </c>
      <c r="BK2991" s="147">
        <f>$AU2838*'Assumptions (T&amp;D)'!R$101</f>
        <v>1.5280261312124357</v>
      </c>
      <c r="BL2991" s="147">
        <f>$AU2838*'Assumptions (T&amp;D)'!S$101</f>
        <v>1.527683678023011</v>
      </c>
      <c r="BM2991" s="147">
        <f>$AU2838*'Assumptions (T&amp;D)'!T$101</f>
        <v>1.5280261312124357</v>
      </c>
      <c r="BN2991" s="147">
        <f>$AU2838*'Assumptions (T&amp;D)'!U$101</f>
        <v>1.527683678023011</v>
      </c>
      <c r="BO2991" s="147">
        <f>$AU2838*'Assumptions (T&amp;D)'!V$101</f>
        <v>0.76401306560621784</v>
      </c>
    </row>
    <row r="2992" spans="1:68" ht="15.75" hidden="1" customHeight="1" outlineLevel="1">
      <c r="A2992" s="465"/>
      <c r="B2992" s="42"/>
      <c r="C2992" s="42"/>
      <c r="D2992" s="42"/>
      <c r="E2992" s="42"/>
      <c r="F2992" s="42"/>
      <c r="G2992" s="42"/>
      <c r="H2992" s="42"/>
      <c r="I2992" s="42"/>
      <c r="J2992" s="42"/>
      <c r="K2992" s="42"/>
      <c r="L2992" s="42"/>
      <c r="M2992" s="42"/>
      <c r="N2992" s="42"/>
      <c r="O2992" s="42"/>
      <c r="P2992" s="42"/>
      <c r="Q2992" s="42"/>
      <c r="R2992" s="42"/>
      <c r="S2992" s="42"/>
      <c r="T2992" s="42"/>
      <c r="U2992" s="42"/>
      <c r="V2992" s="42"/>
      <c r="W2992" s="86"/>
      <c r="AV2992" s="147">
        <f>$AV2838*'Assumptions (T&amp;D)'!B$101</f>
        <v>1.2841994603421412</v>
      </c>
      <c r="AW2992" s="147">
        <f>$AV2838*'Assumptions (T&amp;D)'!C$101</f>
        <v>2.472169574455978</v>
      </c>
      <c r="AX2992" s="147">
        <f>$AV2838*'Assumptions (T&amp;D)'!D$101</f>
        <v>2.28655994578786</v>
      </c>
      <c r="AY2992" s="147">
        <f>$AV2838*'Assumptions (T&amp;D)'!E$101</f>
        <v>2.115333351075575</v>
      </c>
      <c r="AZ2992" s="147">
        <f>$AV2838*'Assumptions (T&amp;D)'!F$101</f>
        <v>1.956435071182574</v>
      </c>
      <c r="BA2992" s="147">
        <f>$AV2838*'Assumptions (T&amp;D)'!G$101</f>
        <v>1.8098651061088575</v>
      </c>
      <c r="BB2992" s="147">
        <f>$AV2838*'Assumptions (T&amp;D)'!H$101</f>
        <v>1.6739111899073029</v>
      </c>
      <c r="BC2992" s="147">
        <f>$AV2838*'Assumptions (T&amp;D)'!I$101</f>
        <v>1.5485733225779099</v>
      </c>
      <c r="BD2992" s="147">
        <f>$AV2838*'Assumptions (T&amp;D)'!J$101</f>
        <v>1.5280261312124357</v>
      </c>
      <c r="BE2992" s="147">
        <f>$AV2838*'Assumptions (T&amp;D)'!K$101</f>
        <v>1.527683678023011</v>
      </c>
      <c r="BF2992" s="147">
        <f>$AV2838*'Assumptions (T&amp;D)'!L$101</f>
        <v>1.5280261312124357</v>
      </c>
      <c r="BG2992" s="147">
        <f>$AV2838*'Assumptions (T&amp;D)'!M$101</f>
        <v>1.527683678023011</v>
      </c>
      <c r="BH2992" s="147">
        <f>$AV2838*'Assumptions (T&amp;D)'!N$101</f>
        <v>1.5280261312124357</v>
      </c>
      <c r="BI2992" s="147">
        <f>$AV2838*'Assumptions (T&amp;D)'!O$101</f>
        <v>1.527683678023011</v>
      </c>
      <c r="BJ2992" s="147">
        <f>$AV2838*'Assumptions (T&amp;D)'!P$101</f>
        <v>1.5280261312124357</v>
      </c>
      <c r="BK2992" s="147">
        <f>$AV2838*'Assumptions (T&amp;D)'!Q$101</f>
        <v>1.527683678023011</v>
      </c>
      <c r="BL2992" s="147">
        <f>$AV2838*'Assumptions (T&amp;D)'!R$101</f>
        <v>1.5280261312124357</v>
      </c>
      <c r="BM2992" s="147">
        <f>$AV2838*'Assumptions (T&amp;D)'!S$101</f>
        <v>1.527683678023011</v>
      </c>
      <c r="BN2992" s="147">
        <f>$AV2838*'Assumptions (T&amp;D)'!T$101</f>
        <v>1.5280261312124357</v>
      </c>
      <c r="BO2992" s="147">
        <f>$AV2838*'Assumptions (T&amp;D)'!U$101</f>
        <v>1.527683678023011</v>
      </c>
      <c r="BP2992" s="147">
        <f>$AV2838*'Assumptions (T&amp;D)'!V$101</f>
        <v>0.76401306560621784</v>
      </c>
    </row>
    <row r="2993" spans="1:77" ht="15.75" hidden="1" customHeight="1" outlineLevel="1">
      <c r="A2993" s="465"/>
      <c r="B2993" s="42"/>
      <c r="C2993" s="42"/>
      <c r="D2993" s="42"/>
      <c r="E2993" s="42"/>
      <c r="F2993" s="42"/>
      <c r="G2993" s="42"/>
      <c r="H2993" s="42"/>
      <c r="I2993" s="42"/>
      <c r="J2993" s="42"/>
      <c r="K2993" s="42"/>
      <c r="L2993" s="42"/>
      <c r="M2993" s="42"/>
      <c r="N2993" s="42"/>
      <c r="O2993" s="42"/>
      <c r="P2993" s="42"/>
      <c r="Q2993" s="42"/>
      <c r="R2993" s="42"/>
      <c r="S2993" s="42"/>
      <c r="T2993" s="42"/>
      <c r="U2993" s="42"/>
      <c r="V2993" s="42"/>
      <c r="W2993" s="86"/>
      <c r="AW2993" s="147">
        <f>$AW2838*'Assumptions (T&amp;D)'!B$101</f>
        <v>1.2841994603421412</v>
      </c>
      <c r="AX2993" s="147">
        <f>$AW2838*'Assumptions (T&amp;D)'!C$101</f>
        <v>2.472169574455978</v>
      </c>
      <c r="AY2993" s="147">
        <f>$AW2838*'Assumptions (T&amp;D)'!D$101</f>
        <v>2.28655994578786</v>
      </c>
      <c r="AZ2993" s="147">
        <f>$AW2838*'Assumptions (T&amp;D)'!E$101</f>
        <v>2.115333351075575</v>
      </c>
      <c r="BA2993" s="147">
        <f>$AW2838*'Assumptions (T&amp;D)'!F$101</f>
        <v>1.956435071182574</v>
      </c>
      <c r="BB2993" s="147">
        <f>$AW2838*'Assumptions (T&amp;D)'!G$101</f>
        <v>1.8098651061088575</v>
      </c>
      <c r="BC2993" s="147">
        <f>$AW2838*'Assumptions (T&amp;D)'!H$101</f>
        <v>1.6739111899073029</v>
      </c>
      <c r="BD2993" s="147">
        <f>$AW2838*'Assumptions (T&amp;D)'!I$101</f>
        <v>1.5485733225779099</v>
      </c>
      <c r="BE2993" s="147">
        <f>$AW2838*'Assumptions (T&amp;D)'!J$101</f>
        <v>1.5280261312124357</v>
      </c>
      <c r="BF2993" s="147">
        <f>$AW2838*'Assumptions (T&amp;D)'!K$101</f>
        <v>1.527683678023011</v>
      </c>
      <c r="BG2993" s="147">
        <f>$AW2838*'Assumptions (T&amp;D)'!L$101</f>
        <v>1.5280261312124357</v>
      </c>
      <c r="BH2993" s="147">
        <f>$AW2838*'Assumptions (T&amp;D)'!M$101</f>
        <v>1.527683678023011</v>
      </c>
      <c r="BI2993" s="147">
        <f>$AW2838*'Assumptions (T&amp;D)'!N$101</f>
        <v>1.5280261312124357</v>
      </c>
      <c r="BJ2993" s="147">
        <f>$AW2838*'Assumptions (T&amp;D)'!O$101</f>
        <v>1.527683678023011</v>
      </c>
      <c r="BK2993" s="147">
        <f>$AW2838*'Assumptions (T&amp;D)'!P$101</f>
        <v>1.5280261312124357</v>
      </c>
      <c r="BL2993" s="147">
        <f>$AW2838*'Assumptions (T&amp;D)'!Q$101</f>
        <v>1.527683678023011</v>
      </c>
      <c r="BM2993" s="147">
        <f>$AW2838*'Assumptions (T&amp;D)'!R$101</f>
        <v>1.5280261312124357</v>
      </c>
      <c r="BN2993" s="147">
        <f>$AW2838*'Assumptions (T&amp;D)'!S$101</f>
        <v>1.527683678023011</v>
      </c>
      <c r="BO2993" s="147">
        <f>$AW2838*'Assumptions (T&amp;D)'!T$101</f>
        <v>1.5280261312124357</v>
      </c>
      <c r="BP2993" s="147">
        <f>$AW2838*'Assumptions (T&amp;D)'!U$101</f>
        <v>1.527683678023011</v>
      </c>
      <c r="BQ2993" s="147">
        <f>$AW2838*'Assumptions (T&amp;D)'!V$101</f>
        <v>0.76401306560621784</v>
      </c>
    </row>
    <row r="2994" spans="1:77" ht="15.75" hidden="1" customHeight="1" outlineLevel="1">
      <c r="A2994" s="465"/>
      <c r="B2994" s="42"/>
      <c r="C2994" s="42"/>
      <c r="D2994" s="42"/>
      <c r="E2994" s="42"/>
      <c r="F2994" s="42"/>
      <c r="G2994" s="42"/>
      <c r="H2994" s="42"/>
      <c r="I2994" s="42"/>
      <c r="J2994" s="42"/>
      <c r="K2994" s="42"/>
      <c r="L2994" s="42"/>
      <c r="M2994" s="42"/>
      <c r="N2994" s="42"/>
      <c r="O2994" s="42"/>
      <c r="P2994" s="42"/>
      <c r="Q2994" s="42"/>
      <c r="R2994" s="42"/>
      <c r="S2994" s="42"/>
      <c r="T2994" s="42"/>
      <c r="U2994" s="42"/>
      <c r="V2994" s="42"/>
      <c r="W2994" s="86"/>
      <c r="AX2994" s="147">
        <f>$AX2838*'Assumptions (T&amp;D)'!B$101</f>
        <v>1.2841994603421412</v>
      </c>
      <c r="AY2994" s="147">
        <f>$AX2838*'Assumptions (T&amp;D)'!C$101</f>
        <v>2.472169574455978</v>
      </c>
      <c r="AZ2994" s="147">
        <f>$AX2838*'Assumptions (T&amp;D)'!D$101</f>
        <v>2.28655994578786</v>
      </c>
      <c r="BA2994" s="147">
        <f>$AX2838*'Assumptions (T&amp;D)'!E$101</f>
        <v>2.115333351075575</v>
      </c>
      <c r="BB2994" s="147">
        <f>$AX2838*'Assumptions (T&amp;D)'!F$101</f>
        <v>1.956435071182574</v>
      </c>
      <c r="BC2994" s="147">
        <f>$AX2838*'Assumptions (T&amp;D)'!G$101</f>
        <v>1.8098651061088575</v>
      </c>
      <c r="BD2994" s="147">
        <f>$AX2838*'Assumptions (T&amp;D)'!H$101</f>
        <v>1.6739111899073029</v>
      </c>
      <c r="BE2994" s="147">
        <f>$AX2838*'Assumptions (T&amp;D)'!I$101</f>
        <v>1.5485733225779099</v>
      </c>
      <c r="BF2994" s="147">
        <f>$AX2838*'Assumptions (T&amp;D)'!J$101</f>
        <v>1.5280261312124357</v>
      </c>
      <c r="BG2994" s="147">
        <f>$AX2838*'Assumptions (T&amp;D)'!K$101</f>
        <v>1.527683678023011</v>
      </c>
      <c r="BH2994" s="147">
        <f>$AX2838*'Assumptions (T&amp;D)'!L$101</f>
        <v>1.5280261312124357</v>
      </c>
      <c r="BI2994" s="147">
        <f>$AX2838*'Assumptions (T&amp;D)'!M$101</f>
        <v>1.527683678023011</v>
      </c>
      <c r="BJ2994" s="147">
        <f>$AX2838*'Assumptions (T&amp;D)'!N$101</f>
        <v>1.5280261312124357</v>
      </c>
      <c r="BK2994" s="147">
        <f>$AX2838*'Assumptions (T&amp;D)'!O$101</f>
        <v>1.527683678023011</v>
      </c>
      <c r="BL2994" s="147">
        <f>$AX2838*'Assumptions (T&amp;D)'!P$101</f>
        <v>1.5280261312124357</v>
      </c>
      <c r="BM2994" s="147">
        <f>$AX2838*'Assumptions (T&amp;D)'!Q$101</f>
        <v>1.527683678023011</v>
      </c>
      <c r="BN2994" s="147">
        <f>$AX2838*'Assumptions (T&amp;D)'!R$101</f>
        <v>1.5280261312124357</v>
      </c>
      <c r="BO2994" s="147">
        <f>$AX2838*'Assumptions (T&amp;D)'!S$101</f>
        <v>1.527683678023011</v>
      </c>
      <c r="BP2994" s="147">
        <f>$AX2838*'Assumptions (T&amp;D)'!T$101</f>
        <v>1.5280261312124357</v>
      </c>
      <c r="BQ2994" s="147">
        <f>$AX2838*'Assumptions (T&amp;D)'!U$101</f>
        <v>1.527683678023011</v>
      </c>
      <c r="BR2994" s="147">
        <f>$AX2838*'Assumptions (T&amp;D)'!V$101</f>
        <v>0.76401306560621784</v>
      </c>
    </row>
    <row r="2995" spans="1:77" ht="15.75" hidden="1" customHeight="1" outlineLevel="1">
      <c r="A2995" s="465"/>
      <c r="B2995" s="42"/>
      <c r="C2995" s="42"/>
      <c r="D2995" s="42"/>
      <c r="E2995" s="42"/>
      <c r="F2995" s="42"/>
      <c r="G2995" s="42"/>
      <c r="H2995" s="42"/>
      <c r="I2995" s="42"/>
      <c r="J2995" s="42"/>
      <c r="K2995" s="42"/>
      <c r="L2995" s="42"/>
      <c r="M2995" s="42"/>
      <c r="N2995" s="42"/>
      <c r="O2995" s="42"/>
      <c r="P2995" s="42"/>
      <c r="Q2995" s="42"/>
      <c r="R2995" s="42"/>
      <c r="S2995" s="42"/>
      <c r="T2995" s="42"/>
      <c r="U2995" s="42"/>
      <c r="V2995" s="42"/>
      <c r="W2995" s="86"/>
      <c r="AY2995" s="147">
        <f>$AY2838*'Assumptions (T&amp;D)'!B$101</f>
        <v>1.2841994603421412</v>
      </c>
      <c r="AZ2995" s="147">
        <f>$AY2838*'Assumptions (T&amp;D)'!C$101</f>
        <v>2.472169574455978</v>
      </c>
      <c r="BA2995" s="147">
        <f>$AY2838*'Assumptions (T&amp;D)'!D$101</f>
        <v>2.28655994578786</v>
      </c>
      <c r="BB2995" s="147">
        <f>$AY2838*'Assumptions (T&amp;D)'!E$101</f>
        <v>2.115333351075575</v>
      </c>
      <c r="BC2995" s="147">
        <f>$AY2838*'Assumptions (T&amp;D)'!F$101</f>
        <v>1.956435071182574</v>
      </c>
      <c r="BD2995" s="147">
        <f>$AY2838*'Assumptions (T&amp;D)'!G$101</f>
        <v>1.8098651061088575</v>
      </c>
      <c r="BE2995" s="147">
        <f>$AY2838*'Assumptions (T&amp;D)'!H$101</f>
        <v>1.6739111899073029</v>
      </c>
      <c r="BF2995" s="147">
        <f>$AY2838*'Assumptions (T&amp;D)'!I$101</f>
        <v>1.5485733225779099</v>
      </c>
      <c r="BG2995" s="147">
        <f>$AY2838*'Assumptions (T&amp;D)'!J$101</f>
        <v>1.5280261312124357</v>
      </c>
      <c r="BH2995" s="147">
        <f>$AY2838*'Assumptions (T&amp;D)'!K$101</f>
        <v>1.527683678023011</v>
      </c>
      <c r="BI2995" s="147">
        <f>$AY2838*'Assumptions (T&amp;D)'!L$101</f>
        <v>1.5280261312124357</v>
      </c>
      <c r="BJ2995" s="147">
        <f>$AY2838*'Assumptions (T&amp;D)'!M$101</f>
        <v>1.527683678023011</v>
      </c>
      <c r="BK2995" s="147">
        <f>$AY2838*'Assumptions (T&amp;D)'!N$101</f>
        <v>1.5280261312124357</v>
      </c>
      <c r="BL2995" s="147">
        <f>$AY2838*'Assumptions (T&amp;D)'!O$101</f>
        <v>1.527683678023011</v>
      </c>
      <c r="BM2995" s="147">
        <f>$AY2838*'Assumptions (T&amp;D)'!P$101</f>
        <v>1.5280261312124357</v>
      </c>
      <c r="BN2995" s="147">
        <f>$AY2838*'Assumptions (T&amp;D)'!Q$101</f>
        <v>1.527683678023011</v>
      </c>
      <c r="BO2995" s="147">
        <f>$AY2838*'Assumptions (T&amp;D)'!R$101</f>
        <v>1.5280261312124357</v>
      </c>
      <c r="BP2995" s="147">
        <f>$AY2838*'Assumptions (T&amp;D)'!S$101</f>
        <v>1.527683678023011</v>
      </c>
      <c r="BQ2995" s="147">
        <f>$AY2838*'Assumptions (T&amp;D)'!T$101</f>
        <v>1.5280261312124357</v>
      </c>
      <c r="BR2995" s="147">
        <f>$AY2838*'Assumptions (T&amp;D)'!U$101</f>
        <v>1.527683678023011</v>
      </c>
      <c r="BS2995" s="147">
        <f>$AY2838*'Assumptions (T&amp;D)'!V$101</f>
        <v>0.76401306560621784</v>
      </c>
    </row>
    <row r="2996" spans="1:77" ht="15.75" hidden="1" customHeight="1" outlineLevel="1">
      <c r="A2996" s="465"/>
      <c r="B2996" s="42"/>
      <c r="C2996" s="42"/>
      <c r="D2996" s="42"/>
      <c r="E2996" s="42"/>
      <c r="F2996" s="42"/>
      <c r="G2996" s="42"/>
      <c r="H2996" s="42"/>
      <c r="I2996" s="42"/>
      <c r="J2996" s="42"/>
      <c r="K2996" s="42"/>
      <c r="L2996" s="42"/>
      <c r="M2996" s="42"/>
      <c r="N2996" s="42"/>
      <c r="O2996" s="42"/>
      <c r="P2996" s="42"/>
      <c r="Q2996" s="42"/>
      <c r="R2996" s="42"/>
      <c r="S2996" s="42"/>
      <c r="T2996" s="42"/>
      <c r="U2996" s="42"/>
      <c r="V2996" s="42"/>
      <c r="W2996" s="86"/>
      <c r="AZ2996" s="147">
        <f>$AZ2838*'Assumptions (T&amp;D)'!B$101</f>
        <v>1.2841994603421412</v>
      </c>
      <c r="BA2996" s="147">
        <f>$AZ2838*'Assumptions (T&amp;D)'!C$101</f>
        <v>2.472169574455978</v>
      </c>
      <c r="BB2996" s="147">
        <f>$AZ2838*'Assumptions (T&amp;D)'!D$101</f>
        <v>2.28655994578786</v>
      </c>
      <c r="BC2996" s="147">
        <f>$AZ2838*'Assumptions (T&amp;D)'!E$101</f>
        <v>2.115333351075575</v>
      </c>
      <c r="BD2996" s="147">
        <f>$AZ2838*'Assumptions (T&amp;D)'!F$101</f>
        <v>1.956435071182574</v>
      </c>
      <c r="BE2996" s="147">
        <f>$AZ2838*'Assumptions (T&amp;D)'!G$101</f>
        <v>1.8098651061088575</v>
      </c>
      <c r="BF2996" s="147">
        <f>$AZ2838*'Assumptions (T&amp;D)'!H$101</f>
        <v>1.6739111899073029</v>
      </c>
      <c r="BG2996" s="147">
        <f>$AZ2838*'Assumptions (T&amp;D)'!I$101</f>
        <v>1.5485733225779099</v>
      </c>
      <c r="BH2996" s="147">
        <f>$AZ2838*'Assumptions (T&amp;D)'!J$101</f>
        <v>1.5280261312124357</v>
      </c>
      <c r="BI2996" s="147">
        <f>$AZ2838*'Assumptions (T&amp;D)'!K$101</f>
        <v>1.527683678023011</v>
      </c>
      <c r="BJ2996" s="147">
        <f>$AZ2838*'Assumptions (T&amp;D)'!L$101</f>
        <v>1.5280261312124357</v>
      </c>
      <c r="BK2996" s="147">
        <f>$AZ2838*'Assumptions (T&amp;D)'!M$101</f>
        <v>1.527683678023011</v>
      </c>
      <c r="BL2996" s="147">
        <f>$AZ2838*'Assumptions (T&amp;D)'!N$101</f>
        <v>1.5280261312124357</v>
      </c>
      <c r="BM2996" s="147">
        <f>$AZ2838*'Assumptions (T&amp;D)'!O$101</f>
        <v>1.527683678023011</v>
      </c>
      <c r="BN2996" s="147">
        <f>$AZ2838*'Assumptions (T&amp;D)'!P$101</f>
        <v>1.5280261312124357</v>
      </c>
      <c r="BO2996" s="147">
        <f>$AZ2838*'Assumptions (T&amp;D)'!Q$101</f>
        <v>1.527683678023011</v>
      </c>
      <c r="BP2996" s="147">
        <f>$AZ2838*'Assumptions (T&amp;D)'!R$101</f>
        <v>1.5280261312124357</v>
      </c>
      <c r="BQ2996" s="147">
        <f>$AZ2838*'Assumptions (T&amp;D)'!S$101</f>
        <v>1.527683678023011</v>
      </c>
      <c r="BR2996" s="147">
        <f>$AZ2838*'Assumptions (T&amp;D)'!T$101</f>
        <v>1.5280261312124357</v>
      </c>
      <c r="BS2996" s="147">
        <f>$AZ2838*'Assumptions (T&amp;D)'!U$101</f>
        <v>1.527683678023011</v>
      </c>
      <c r="BT2996" s="147">
        <f>$AZ2838*'Assumptions (T&amp;D)'!V$101</f>
        <v>0.76401306560621784</v>
      </c>
    </row>
    <row r="2997" spans="1:77" ht="15.75" hidden="1" customHeight="1" outlineLevel="1">
      <c r="A2997" s="465"/>
      <c r="B2997" s="42"/>
      <c r="C2997" s="42"/>
      <c r="D2997" s="42"/>
      <c r="E2997" s="42"/>
      <c r="F2997" s="42"/>
      <c r="G2997" s="42"/>
      <c r="H2997" s="42"/>
      <c r="I2997" s="42"/>
      <c r="J2997" s="42"/>
      <c r="K2997" s="42"/>
      <c r="L2997" s="42"/>
      <c r="M2997" s="42"/>
      <c r="N2997" s="42"/>
      <c r="O2997" s="42"/>
      <c r="P2997" s="42"/>
      <c r="Q2997" s="42"/>
      <c r="R2997" s="42"/>
      <c r="S2997" s="42"/>
      <c r="T2997" s="42"/>
      <c r="U2997" s="42"/>
      <c r="V2997" s="42"/>
      <c r="W2997" s="86"/>
      <c r="BA2997" s="147">
        <f>$BA2838*'Assumptions (T&amp;D)'!B$101</f>
        <v>1.2841994603421412</v>
      </c>
      <c r="BB2997" s="147">
        <f>$BA2838*'Assumptions (T&amp;D)'!C$101</f>
        <v>2.472169574455978</v>
      </c>
      <c r="BC2997" s="147">
        <f>$BA2838*'Assumptions (T&amp;D)'!D$101</f>
        <v>2.28655994578786</v>
      </c>
      <c r="BD2997" s="147">
        <f>$BA2838*'Assumptions (T&amp;D)'!E$101</f>
        <v>2.115333351075575</v>
      </c>
      <c r="BE2997" s="147">
        <f>$BA2838*'Assumptions (T&amp;D)'!F$101</f>
        <v>1.956435071182574</v>
      </c>
      <c r="BF2997" s="147">
        <f>$BA2838*'Assumptions (T&amp;D)'!G$101</f>
        <v>1.8098651061088575</v>
      </c>
      <c r="BG2997" s="147">
        <f>$BA2838*'Assumptions (T&amp;D)'!H$101</f>
        <v>1.6739111899073029</v>
      </c>
      <c r="BH2997" s="147">
        <f>$BA2838*'Assumptions (T&amp;D)'!I$101</f>
        <v>1.5485733225779099</v>
      </c>
      <c r="BI2997" s="147">
        <f>$BA2838*'Assumptions (T&amp;D)'!J$101</f>
        <v>1.5280261312124357</v>
      </c>
      <c r="BJ2997" s="147">
        <f>$BA2838*'Assumptions (T&amp;D)'!K$101</f>
        <v>1.527683678023011</v>
      </c>
      <c r="BK2997" s="147">
        <f>$BA2838*'Assumptions (T&amp;D)'!L$101</f>
        <v>1.5280261312124357</v>
      </c>
      <c r="BL2997" s="147">
        <f>$BA2838*'Assumptions (T&amp;D)'!M$101</f>
        <v>1.527683678023011</v>
      </c>
      <c r="BM2997" s="147">
        <f>$BA2838*'Assumptions (T&amp;D)'!N$101</f>
        <v>1.5280261312124357</v>
      </c>
      <c r="BN2997" s="147">
        <f>$BA2838*'Assumptions (T&amp;D)'!O$101</f>
        <v>1.527683678023011</v>
      </c>
      <c r="BO2997" s="147">
        <f>$BA2838*'Assumptions (T&amp;D)'!P$101</f>
        <v>1.5280261312124357</v>
      </c>
      <c r="BP2997" s="147">
        <f>$BA2838*'Assumptions (T&amp;D)'!Q$101</f>
        <v>1.527683678023011</v>
      </c>
      <c r="BQ2997" s="147">
        <f>$BA2838*'Assumptions (T&amp;D)'!R$101</f>
        <v>1.5280261312124357</v>
      </c>
      <c r="BR2997" s="147">
        <f>$BA2838*'Assumptions (T&amp;D)'!S$101</f>
        <v>1.527683678023011</v>
      </c>
      <c r="BS2997" s="147">
        <f>$BA2838*'Assumptions (T&amp;D)'!T$101</f>
        <v>1.5280261312124357</v>
      </c>
      <c r="BT2997" s="147">
        <f>$BA2838*'Assumptions (T&amp;D)'!U$101</f>
        <v>1.527683678023011</v>
      </c>
      <c r="BU2997" s="147">
        <f>$BA2838*'Assumptions (T&amp;D)'!V$101</f>
        <v>0.76401306560621784</v>
      </c>
    </row>
    <row r="2998" spans="1:77" ht="15.75" customHeight="1" collapsed="1">
      <c r="A2998" s="460" t="s">
        <v>839</v>
      </c>
      <c r="B2998" s="99" t="s">
        <v>201</v>
      </c>
      <c r="C2998" s="462">
        <f>(1/(1-'Assumptions (T&amp;D)'!B$103))*(C2835+C2945+(C2836-C2945-C2836*'Assumptions (T&amp;D)'!$B$102)*'Assumptions (T&amp;D)'!$B$99)</f>
        <v>54.508319978010142</v>
      </c>
      <c r="D2998" s="147">
        <f>(1/(1-'Assumptions (T&amp;D)'!C$103))*(D2835+D2945+(D2836-D2945-D2836*'Assumptions (T&amp;D)'!$B$102)*'Assumptions (T&amp;D)'!$B$99)</f>
        <v>59.897306436011789</v>
      </c>
      <c r="E2998" s="147">
        <f>(1/(1-'Assumptions (T&amp;D)'!D$103))*(E2835+E2945+(E2836-E2945-E2836*'Assumptions (T&amp;D)'!$B$102)*'Assumptions (T&amp;D)'!$B$99)</f>
        <v>60.669886838196334</v>
      </c>
      <c r="F2998" s="147">
        <f>(1/(1-'Assumptions (T&amp;D)'!E$103))*(F2835+F2945+(F2836-F2945-F2836*'Assumptions (T&amp;D)'!$B$102)*'Assumptions (T&amp;D)'!$B$99)</f>
        <v>64.490527854808207</v>
      </c>
      <c r="G2998" s="147">
        <f>(1/(1-'Assumptions (T&amp;D)'!F$103))*(G2835+G2945+(G2836-G2945-G2836*'Assumptions (T&amp;D)'!$B$102)*'Assumptions (T&amp;D)'!$B$99)</f>
        <v>66.812705591659196</v>
      </c>
      <c r="H2998" s="147">
        <f>(1/(1-'Assumptions (T&amp;D)'!G$103))*(H2835+H2945+(H2836-H2945-H2836*'Assumptions (T&amp;D)'!$B$102)*'Assumptions (T&amp;D)'!$B$99)</f>
        <v>71.563151313035462</v>
      </c>
      <c r="I2998" s="147">
        <f>(1/(1-'Assumptions (T&amp;D)'!H$103))*(I2835+I2945+(I2836-I2945-I2836*'Assumptions (T&amp;D)'!$B$102)*'Assumptions (T&amp;D)'!$B$99)</f>
        <v>76.558757406051726</v>
      </c>
      <c r="J2998" s="147">
        <f>(1/(1-'Assumptions (T&amp;D)'!I$103))*(J2835+J2945+(J2836-J2945-J2836*'Assumptions (T&amp;D)'!$B$102)*'Assumptions (T&amp;D)'!$B$99)</f>
        <v>82.312434465471199</v>
      </c>
      <c r="K2998" s="147">
        <f>(1/(1-'Assumptions (T&amp;D)'!J$103))*(K2835+K2945+(K2836-K2945-K2836*'Assumptions (T&amp;D)'!$B$102)*'Assumptions (T&amp;D)'!$B$99)</f>
        <v>88.223099773720364</v>
      </c>
      <c r="L2998" s="147">
        <f>(1/(1-'Assumptions (T&amp;D)'!K$103))*(L2835+L2945+(L2836-L2945-L2836*'Assumptions (T&amp;D)'!$B$102)*'Assumptions (T&amp;D)'!$B$99)</f>
        <v>91.730154696616907</v>
      </c>
      <c r="M2998" s="147">
        <f>(1/(1-'Assumptions (T&amp;D)'!L$103))*(M2835+M2945+(M2836-M2945-M2836*'Assumptions (T&amp;D)'!$B$102)*'Assumptions (T&amp;D)'!$B$99)</f>
        <v>98.550704792558179</v>
      </c>
      <c r="N2998" s="147">
        <f>(1/(1-'Assumptions (T&amp;D)'!M$103))*(N2835+N2945+(N2836-N2945-N2836*'Assumptions (T&amp;D)'!$B$102)*'Assumptions (T&amp;D)'!$B$99)</f>
        <v>103.88767567828492</v>
      </c>
      <c r="O2998" s="147">
        <f>(1/(1-'Assumptions (T&amp;D)'!N$103))*(O2835+O2945+(O2836-O2945-O2836*'Assumptions (T&amp;D)'!$B$102)*'Assumptions (T&amp;D)'!$B$99)</f>
        <v>107.66764634915386</v>
      </c>
      <c r="P2998" s="147">
        <f>(1/(1-'Assumptions (T&amp;D)'!O$103))*(P2835+P2945+(P2836-P2945-P2836*'Assumptions (T&amp;D)'!$B$102)*'Assumptions (T&amp;D)'!$B$99)</f>
        <v>111.94215994681934</v>
      </c>
      <c r="Q2998" s="147">
        <f>(1/(1-'Assumptions (T&amp;D)'!P$103))*(Q2835+Q2945+(Q2836-Q2945-Q2836*'Assumptions (T&amp;D)'!$B$102)*'Assumptions (T&amp;D)'!$B$99)</f>
        <v>118.28712566479678</v>
      </c>
      <c r="R2998" s="147">
        <f>(1/(1-'Assumptions (T&amp;D)'!Q$103))*(R2835+R2945+(R2836-R2945-R2836*'Assumptions (T&amp;D)'!$B$102)*'Assumptions (T&amp;D)'!$B$99)</f>
        <v>122.65292314372344</v>
      </c>
      <c r="S2998" s="147">
        <f>(1/(1-'Assumptions (T&amp;D)'!R$103))*(S2835+S2945+(S2836-S2945-S2836*'Assumptions (T&amp;D)'!$B$102)*'Assumptions (T&amp;D)'!$B$99)</f>
        <v>127.31316210647368</v>
      </c>
      <c r="T2998" s="147">
        <f>(1/(1-'Assumptions (T&amp;D)'!S$103))*(T2835+T2945+(T2836-T2945-T2836*'Assumptions (T&amp;D)'!$B$102)*'Assumptions (T&amp;D)'!$B$99)</f>
        <v>129.39052306261678</v>
      </c>
      <c r="U2998" s="147">
        <f>(1/(1-'Assumptions (T&amp;D)'!T$103))*(U2835+U2945+(U2836-U2945-U2836*'Assumptions (T&amp;D)'!$B$102)*'Assumptions (T&amp;D)'!$B$99)</f>
        <v>110.29073162744362</v>
      </c>
      <c r="V2998" s="147">
        <f>(1/(1-'Assumptions (T&amp;D)'!U$103))*(V2835+V2945+(V2836-V2945-V2836*'Assumptions (T&amp;D)'!$B$102)*'Assumptions (T&amp;D)'!$B$99)</f>
        <v>113.88335707579847</v>
      </c>
      <c r="W2998" s="147">
        <f>(1/(1-'Assumptions (T&amp;D)'!V$103))*(W2835+W2945+(W2836-W2945-W2836*'Assumptions (T&amp;D)'!$B$102)*'Assumptions (T&amp;D)'!$B$99)</f>
        <v>117.4759825241533</v>
      </c>
      <c r="X2998" s="147">
        <f>(1/(1-'Assumptions (T&amp;D)'!W$103))*(X2835+X2945+(X2836-X2945-X2836*'Assumptions (T&amp;D)'!$B$102)*'Assumptions (T&amp;D)'!$B$99)</f>
        <v>121.06860797250815</v>
      </c>
      <c r="Y2998" s="147">
        <f>(1/(1-'Assumptions (T&amp;D)'!X$103))*(Y2835+Y2945+(Y2836-Y2945-Y2836*'Assumptions (T&amp;D)'!$B$102)*'Assumptions (T&amp;D)'!$B$99)</f>
        <v>124.66123342086297</v>
      </c>
      <c r="Z2998" s="147">
        <f>(1/(1-'Assumptions (T&amp;D)'!Y$103))*(Z2835+Z2945+(Z2836-Z2945-Z2836*'Assumptions (T&amp;D)'!$B$102)*'Assumptions (T&amp;D)'!$B$99)</f>
        <v>128.25385886921779</v>
      </c>
      <c r="AA2998" s="147">
        <f>(1/(1-'Assumptions (T&amp;D)'!Z$103))*(AA2835+AA2945+(AA2836-AA2945-AA2836*'Assumptions (T&amp;D)'!$B$102)*'Assumptions (T&amp;D)'!$B$99)</f>
        <v>131.84648431757262</v>
      </c>
      <c r="AB2998" s="147">
        <f>(1/(1-'Assumptions (T&amp;D)'!AA$103))*(AB2835+AB2945+(AB2836-AB2945-AB2836*'Assumptions (T&amp;D)'!$B$102)*'Assumptions (T&amp;D)'!$B$99)</f>
        <v>135.43910976592744</v>
      </c>
      <c r="AC2998" s="147">
        <f>(1/(1-'Assumptions (T&amp;D)'!AB$103))*(AC2835+AC2945+(AC2836-AC2945-AC2836*'Assumptions (T&amp;D)'!$B$102)*'Assumptions (T&amp;D)'!$B$99)</f>
        <v>139.03173521428229</v>
      </c>
      <c r="AD2998" s="147">
        <f>(1/(1-'Assumptions (T&amp;D)'!AC$103))*(AD2835+AD2945+(AD2836-AD2945-AD2836*'Assumptions (T&amp;D)'!$B$102)*'Assumptions (T&amp;D)'!$B$99)</f>
        <v>142.62436066263712</v>
      </c>
      <c r="AE2998" s="147">
        <f>(1/(1-'Assumptions (T&amp;D)'!AD$103))*(AE2835+AE2945+(AE2836-AE2945-AE2836*'Assumptions (T&amp;D)'!$B$102)*'Assumptions (T&amp;D)'!$B$99)</f>
        <v>146.21698611099194</v>
      </c>
      <c r="AF2998" s="147">
        <f>(1/(1-'Assumptions (T&amp;D)'!AE$103))*(AF2835+AF2945+(AF2836-AF2945-AF2836*'Assumptions (T&amp;D)'!$B$102)*'Assumptions (T&amp;D)'!$B$99)</f>
        <v>149.80961155934676</v>
      </c>
      <c r="AG2998" s="147">
        <f>(1/(1-'Assumptions (T&amp;D)'!AF$103))*(AG2835+AG2945+(AG2836-AG2945-AG2836*'Assumptions (T&amp;D)'!$B$102)*'Assumptions (T&amp;D)'!$B$99)</f>
        <v>152.79205130668913</v>
      </c>
      <c r="AH2998" s="147">
        <f>(1/(1-'Assumptions (T&amp;D)'!AG$103))*(AH2835+AH2945+(AH2836-AH2945-AH2836*'Assumptions (T&amp;D)'!$B$102)*'Assumptions (T&amp;D)'!$B$99)</f>
        <v>155.74018792629062</v>
      </c>
      <c r="AI2998" s="147">
        <f>(1/(1-'Assumptions (T&amp;D)'!AH$103))*(AI2835+AI2945+(AI2836-AI2945-AI2836*'Assumptions (T&amp;D)'!$B$102)*'Assumptions (T&amp;D)'!$B$99)</f>
        <v>158.69464248462862</v>
      </c>
      <c r="AJ2998" s="147">
        <f>(1/(1-'Assumptions (T&amp;D)'!AI$103))*(AJ2835+AJ2945+(AJ2836-AJ2945-AJ2836*'Assumptions (T&amp;D)'!$B$102)*'Assumptions (T&amp;D)'!$B$99)</f>
        <v>161.60978866221708</v>
      </c>
      <c r="AK2998" s="147">
        <f>(1/(1-'Assumptions (T&amp;D)'!AJ$103))*(AK2835+AK2945+(AK2836-AK2945-AK2836*'Assumptions (T&amp;D)'!$B$102)*'Assumptions (T&amp;D)'!$B$99)</f>
        <v>164.46731833508511</v>
      </c>
      <c r="AL2998" s="147">
        <f>(1/(1-'Assumptions (T&amp;D)'!AK$103))*(AL2835+AL2945+(AL2836-AL2945-AL2836*'Assumptions (T&amp;D)'!$B$102)*'Assumptions (T&amp;D)'!$B$99)</f>
        <v>167.28392846864574</v>
      </c>
      <c r="AM2998" s="147">
        <f>(1/(1-'Assumptions (T&amp;D)'!AL$103))*(AM2835+AM2945+(AM2836-AM2945-AM2836*'Assumptions (T&amp;D)'!$B$102)*'Assumptions (T&amp;D)'!$B$99)</f>
        <v>169.94226143249423</v>
      </c>
      <c r="AN2998" s="147">
        <f>(1/(1-'Assumptions (T&amp;D)'!AM$103))*(AN2835+AN2945+(AN2836-AN2945-AN2836*'Assumptions (T&amp;D)'!$B$102)*'Assumptions (T&amp;D)'!$B$99)</f>
        <v>172.64044712663477</v>
      </c>
      <c r="AO2998" s="147">
        <f>(1/(1-'Assumptions (T&amp;D)'!AN$103))*(AO2835+AO2945+(AO2836-AO2945-AO2836*'Assumptions (T&amp;D)'!$B$102)*'Assumptions (T&amp;D)'!$B$99)</f>
        <v>175.24155542444839</v>
      </c>
      <c r="AP2998" s="147">
        <f>(1/(1-'Assumptions (T&amp;D)'!AO$103))*(AP2835+AP2945+(AP2836-AP2945-AP2836*'Assumptions (T&amp;D)'!$B$102)*'Assumptions (T&amp;D)'!$B$99)</f>
        <v>177.85761763024917</v>
      </c>
      <c r="AQ2998" s="147">
        <f>(1/(1-'Assumptions (T&amp;D)'!AP$103))*(AQ2835+AQ2945+(AQ2836-AQ2945-AQ2836*'Assumptions (T&amp;D)'!$B$102)*'Assumptions (T&amp;D)'!$B$99)</f>
        <v>180.49791873480109</v>
      </c>
      <c r="AR2998" s="147">
        <f>(1/(1-'Assumptions (T&amp;D)'!AQ$103))*(AR2835+AR2945+(AR2836-AR2945-AR2836*'Assumptions (T&amp;D)'!$B$102)*'Assumptions (T&amp;D)'!$B$99)</f>
        <v>183.11276759372913</v>
      </c>
      <c r="AS2998" s="147">
        <f>(1/(1-'Assumptions (T&amp;D)'!AR$103))*(AS2835+AS2945+(AS2836-AS2945-AS2836*'Assumptions (T&amp;D)'!$B$102)*'Assumptions (T&amp;D)'!$B$99)</f>
        <v>185.59421719986372</v>
      </c>
      <c r="AT2998" s="147">
        <f>(1/(1-'Assumptions (T&amp;D)'!AS$103))*(AT2835+AT2945+(AT2836-AT2945-AT2836*'Assumptions (T&amp;D)'!$B$102)*'Assumptions (T&amp;D)'!$B$99)</f>
        <v>188.13814681830698</v>
      </c>
      <c r="AU2998" s="147">
        <f>(1/(1-'Assumptions (T&amp;D)'!AT$103))*(AU2835+AU2945+(AU2836-AU2945-AU2836*'Assumptions (T&amp;D)'!$B$102)*'Assumptions (T&amp;D)'!$B$99)</f>
        <v>190.55035817556816</v>
      </c>
      <c r="AV2998" s="147">
        <f>(1/(1-'Assumptions (T&amp;D)'!AU$103))*(AV2835+AV2945+(AV2836-AV2945-AV2836*'Assumptions (T&amp;D)'!$B$102)*'Assumptions (T&amp;D)'!$B$99)</f>
        <v>192.84053718375901</v>
      </c>
      <c r="AW2998" s="147">
        <f>(1/(1-'Assumptions (T&amp;D)'!AV$103))*(AW2835+AW2945+(AW2836-AW2945-AW2836*'Assumptions (T&amp;D)'!$B$102)*'Assumptions (T&amp;D)'!$B$99)</f>
        <v>195.04768648065377</v>
      </c>
      <c r="AX2998" s="147">
        <f>(1/(1-'Assumptions (T&amp;D)'!AW$103))*(AX2835+AX2945+(AX2836-AX2945-AX2836*'Assumptions (T&amp;D)'!$B$102)*'Assumptions (T&amp;D)'!$B$99)</f>
        <v>197.17810578072647</v>
      </c>
      <c r="AY2998" s="147">
        <f>(1/(1-'Assumptions (T&amp;D)'!AX$103))*(AY2835+AY2945+(AY2836-AY2945-AY2836*'Assumptions (T&amp;D)'!$B$102)*'Assumptions (T&amp;D)'!$B$99)</f>
        <v>199.42259272387824</v>
      </c>
      <c r="AZ2998" s="147">
        <f>(1/(1-'Assumptions (T&amp;D)'!AY$103))*(AZ2835+AZ2945+(AZ2836-AZ2945-AZ2836*'Assumptions (T&amp;D)'!$B$102)*'Assumptions (T&amp;D)'!$B$99)</f>
        <v>201.66707966703004</v>
      </c>
      <c r="BA2998" s="147">
        <f>(1/(1-'Assumptions (T&amp;D)'!AZ$103))*(BA2835+BA2945+(BA2836-BA2945-BA2836*'Assumptions (T&amp;D)'!$B$102)*'Assumptions (T&amp;D)'!$B$99)</f>
        <v>203.91156661018181</v>
      </c>
    </row>
    <row r="2999" spans="1:77" ht="15.75" customHeight="1">
      <c r="A2999" s="460" t="s">
        <v>62</v>
      </c>
      <c r="B2999" s="99" t="s">
        <v>201</v>
      </c>
      <c r="C2999" s="147">
        <f>IF(C2998-C2835-C2946-C2893&gt;0,(1-'Assumptions (T&amp;D)'!B$103)*(C2998-C2835-C2946+C2893)-C2840+C2841+Model!C2946,C2998-C2835-C2840+C2841+C2893)</f>
        <v>13.486194625509551</v>
      </c>
      <c r="D2999" s="147">
        <f>IF(D2998-D2835-D2946-D2893&gt;0,(1-'Assumptions (T&amp;D)'!C$103)*(D2998-D2835-D2946+D2893)-D2840+D2841+Model!D2946,D2998-D2835-D2840+D2841+D2893)</f>
        <v>16.023771788647522</v>
      </c>
      <c r="E2999" s="147">
        <f>IF(E2998-E2835-E2946-E2893&gt;0,(1-'Assumptions (T&amp;D)'!D$103)*(E2998-E2835-E2946+E2893)-E2840+E2841+Model!E2946,E2998-E2835-E2840+E2841+E2893)</f>
        <v>16.837755727901904</v>
      </c>
      <c r="F2999" s="147">
        <f>IF(F2998-F2835-F2946-F2893&gt;0,(1-'Assumptions (T&amp;D)'!E$103)*(F2998-F2835-F2946+F2893)-F2840+F2841+Model!F2946,F2998-F2835-F2840+F2841+F2893)</f>
        <v>17.872047127551895</v>
      </c>
      <c r="G2999" s="147">
        <f>IF(G2998-G2835-G2946-G2893&gt;0,(1-'Assumptions (T&amp;D)'!F$103)*(G2998-G2835-G2946+G2893)-G2840+G2841+Model!G2946,G2998-G2835-G2840+G2841+G2893)</f>
        <v>18.276472517261524</v>
      </c>
      <c r="H2999" s="147">
        <f>IF(H2998-H2835-H2946-H2893&gt;0,(1-'Assumptions (T&amp;D)'!G$103)*(H2998-H2835-H2946+H2893)-H2840+H2841+Model!H2946,H2998-H2835-H2840+H2841+H2893)</f>
        <v>19.65818431878299</v>
      </c>
      <c r="I2999" s="147">
        <f>IF(I2998-I2835-I2946-I2893&gt;0,(1-'Assumptions (T&amp;D)'!H$103)*(I2998-I2835-I2946+I2893)-I2840+I2841+Model!I2946,I2998-I2835-I2840+I2841+I2893)</f>
        <v>19.175206119148811</v>
      </c>
      <c r="J2999" s="147">
        <f>IF(J2998-J2835-J2946-J2893&gt;0,(1-'Assumptions (T&amp;D)'!I$103)*(J2998-J2835-J2946+J2893)-J2840+J2841+Model!J2946,J2998-J2835-J2840+J2841+J2893)</f>
        <v>21.970535988070672</v>
      </c>
      <c r="K2999" s="147">
        <f>IF(K2998-K2835-K2946-K2893&gt;0,(1-'Assumptions (T&amp;D)'!J$103)*(K2998-K2835-K2946+K2893)-K2840+K2841+Model!K2946,K2998-K2835-K2840+K2841+K2893)</f>
        <v>22.715628537322189</v>
      </c>
      <c r="L2999" s="147">
        <f>IF(L2998-L2835-L2946-L2893&gt;0,(1-'Assumptions (T&amp;D)'!K$103)*(L2998-L2835-L2946+L2893)-L2840+L2841+Model!L2946,L2998-L2835-L2840+L2841+L2893)</f>
        <v>24.722884431306209</v>
      </c>
      <c r="M2999" s="147">
        <f>IF(M2998-M2835-M2946-M2893&gt;0,(1-'Assumptions (T&amp;D)'!L$103)*(M2998-M2835-M2946+M2893)-M2840+M2841+Model!M2946,M2998-M2835-M2840+M2841+M2893)</f>
        <v>27.766736230329499</v>
      </c>
      <c r="N2999" s="147">
        <f>IF(N2998-N2835-N2946-N2893&gt;0,(1-'Assumptions (T&amp;D)'!M$103)*(N2998-N2835-N2946+N2893)-N2840+N2841+Model!N2946,N2998-N2835-N2840+N2841+N2893)</f>
        <v>29.267787612582509</v>
      </c>
      <c r="O2999" s="147">
        <f>IF(O2998-O2835-O2946-O2893&gt;0,(1-'Assumptions (T&amp;D)'!N$103)*(O2998-O2835-O2946+O2893)-O2840+O2841+Model!O2946,O2998-O2835-O2840+O2841+O2893)</f>
        <v>28.984990188914384</v>
      </c>
      <c r="P2999" s="147">
        <f>IF(P2998-P2835-P2946-P2893&gt;0,(1-'Assumptions (T&amp;D)'!O$103)*(P2998-P2835-P2946+P2893)-P2840+P2841+Model!P2946,P2998-P2835-P2840+P2841+P2893)</f>
        <v>31.869777482731266</v>
      </c>
      <c r="Q2999" s="147">
        <f>IF(Q2998-Q2835-Q2946-Q2893&gt;0,(1-'Assumptions (T&amp;D)'!P$103)*(Q2998-Q2835-Q2946+Q2893)-Q2840+Q2841+Model!Q2946,Q2998-Q2835-Q2840+Q2841+Q2893)</f>
        <v>32.245392353644995</v>
      </c>
      <c r="R2999" s="147">
        <f>IF(R2998-R2835-R2946-R2893&gt;0,(1-'Assumptions (T&amp;D)'!Q$103)*(R2998-R2835-R2946+R2893)-R2840+R2841+Model!R2946,R2998-R2835-R2840+R2841+R2893)</f>
        <v>33.069257984608434</v>
      </c>
      <c r="S2999" s="147">
        <f>IF(S2998-S2835-S2946-S2893&gt;0,(1-'Assumptions (T&amp;D)'!R$103)*(S2998-S2835-S2946+S2893)-S2840+S2841+Model!S2946,S2998-S2835-S2840+S2841+S2893)</f>
        <v>34.677181966334146</v>
      </c>
      <c r="T2999" s="147">
        <f>IF(T2998-T2835-T2946-T2893&gt;0,(1-'Assumptions (T&amp;D)'!S$103)*(T2998-T2835-T2946+T2893)-T2840+T2841+Model!T2946,T2998-T2835-T2840+T2841+T2893)</f>
        <v>35.90844526203486</v>
      </c>
      <c r="U2999" s="147">
        <f>IF(U2998-U2835-U2946-U2893&gt;0,(1-'Assumptions (T&amp;D)'!T$103)*(U2998-U2835-U2946+U2893)-U2840+U2841+Model!U2946,U2998-U2835-U2840+U2841+U2893)</f>
        <v>32.215614704876245</v>
      </c>
      <c r="V2999" s="147">
        <f>IF(V2998-V2835-V2946-V2893&gt;0,(1-'Assumptions (T&amp;D)'!U$103)*(V2998-V2835-V2946+V2893)-V2840+V2841+Model!V2946,V2998-V2835-V2840+V2841+V2893)</f>
        <v>34.829497877668295</v>
      </c>
      <c r="W2999" s="147">
        <f>IF(W2998-W2835-W2946-W2893&gt;0,(1-'Assumptions (T&amp;D)'!V$103)*(W2998-W2835-W2946+W2893)-W2840+W2841+Model!W2946,W2998-W2835-W2840+W2841+W2893)</f>
        <v>37.400239559803225</v>
      </c>
      <c r="X2999" s="147">
        <f>IF(X2998-X2835-X2946-X2893&gt;0,(1-'Assumptions (T&amp;D)'!W$103)*(X2998-X2835-X2946+X2893)-X2840+X2841+Model!X2946,X2998-X2835-X2840+X2841+X2893)</f>
        <v>40.03670984300787</v>
      </c>
      <c r="Y2999" s="147">
        <f>IF(Y2998-Y2835-Y2946-Y2893&gt;0,(1-'Assumptions (T&amp;D)'!X$103)*(Y2998-Y2835-Y2946+Y2893)-Y2840+Y2841+Model!Y2946,Y2998-Y2835-Y2840+Y2841+Y2893)</f>
        <v>42.625170142003888</v>
      </c>
      <c r="Z2999" s="147">
        <f>IF(Z2998-Z2835-Z2946-Z2893&gt;0,(1-'Assumptions (T&amp;D)'!Y$103)*(Z2998-Z2835-Z2946+Z2893)-Z2840+Z2841+Model!Z2946,Z2998-Z2835-Z2840+Z2841+Z2893)</f>
        <v>45.298699276214208</v>
      </c>
      <c r="AA2999" s="147">
        <f>IF(AA2998-AA2835-AA2946-AA2893&gt;0,(1-'Assumptions (T&amp;D)'!Z$103)*(AA2998-AA2835-AA2946+AA2893)-AA2840+AA2841+Model!AA2946,AA2998-AA2835-AA2840+AA2841+AA2893)</f>
        <v>47.944376779343131</v>
      </c>
      <c r="AB2999" s="147">
        <f>IF(AB2998-AB2835-AB2946-AB2893&gt;0,(1-'Assumptions (T&amp;D)'!AA$103)*(AB2998-AB2835-AB2946+AB2893)-AB2840+AB2841+Model!AB2946,AB2998-AB2835-AB2840+AB2841+AB2893)</f>
        <v>50.554084254496999</v>
      </c>
      <c r="AC2999" s="147">
        <f>IF(AC2998-AC2835-AC2946-AC2893&gt;0,(1-'Assumptions (T&amp;D)'!AB$103)*(AC2998-AC2835-AC2946+AC2893)-AC2840+AC2841+Model!AC2946,AC2998-AC2835-AC2840+AC2841+AC2893)</f>
        <v>53.161733701447552</v>
      </c>
      <c r="AD2999" s="147">
        <f>IF(AD2998-AD2835-AD2946-AD2893&gt;0,(1-'Assumptions (T&amp;D)'!AC$103)*(AD2998-AD2835-AD2946+AD2893)-AD2840+AD2841+Model!AD2946,AD2998-AD2835-AD2840+AD2841+AD2893)</f>
        <v>55.880519961395393</v>
      </c>
      <c r="AE2999" s="147">
        <f>IF(AE2998-AE2835-AE2946-AE2893&gt;0,(1-'Assumptions (T&amp;D)'!AD$103)*(AE2998-AE2835-AE2946+AE2893)-AE2840+AE2841+Model!AE2946,AE2998-AE2835-AE2840+AE2841+AE2893)</f>
        <v>58.530354831405418</v>
      </c>
      <c r="AF2999" s="147">
        <f>IF(AF2998-AF2835-AF2946-AF2893&gt;0,(1-'Assumptions (T&amp;D)'!AE$103)*(AF2998-AF2835-AF2946+AF2893)-AF2840+AF2841+Model!AF2946,AF2998-AF2835-AF2840+AF2841+AF2893)</f>
        <v>61.294471728474754</v>
      </c>
      <c r="AG2999" s="147">
        <f>IF(AG2998-AG2835-AG2946-AG2893&gt;0,(1-'Assumptions (T&amp;D)'!AF$103)*(AG2998-AG2835-AG2946+AG2893)-AG2840+AG2841+Model!AG2946,AG2998-AG2835-AG2840+AG2841+AG2893)</f>
        <v>63.697081416150738</v>
      </c>
      <c r="AH2999" s="147">
        <f>IF(AH2998-AH2835-AH2946-AH2893&gt;0,(1-'Assumptions (T&amp;D)'!AG$103)*(AH2998-AH2835-AH2946+AH2893)-AH2840+AH2841+Model!AH2946,AH2998-AH2835-AH2840+AH2841+AH2893)</f>
        <v>66.151874931595003</v>
      </c>
      <c r="AI2999" s="147">
        <f>IF(AI2998-AI2835-AI2946-AI2893&gt;0,(1-'Assumptions (T&amp;D)'!AH$103)*(AI2998-AI2835-AI2946+AI2893)-AI2840+AI2841+Model!AI2946,AI2998-AI2835-AI2840+AI2841+AI2893)</f>
        <v>68.66690262467165</v>
      </c>
      <c r="AJ2999" s="147">
        <f>IF(AJ2998-AJ2835-AJ2946-AJ2893&gt;0,(1-'Assumptions (T&amp;D)'!AI$103)*(AJ2998-AJ2835-AJ2946+AJ2893)-AJ2840+AJ2841+Model!AJ2946,AJ2998-AJ2835-AJ2840+AJ2841+AJ2893)</f>
        <v>71.033700644037566</v>
      </c>
      <c r="AK2999" s="147">
        <f>IF(AK2998-AK2835-AK2946-AK2893&gt;0,(1-'Assumptions (T&amp;D)'!AJ$103)*(AK2998-AK2835-AK2946+AK2893)-AK2840+AK2841+Model!AK2946,AK2998-AK2835-AK2840+AK2841+AK2893)</f>
        <v>73.346736308510202</v>
      </c>
      <c r="AL2999" s="147">
        <f>IF(AL2998-AL2835-AL2946-AL2893&gt;0,(1-'Assumptions (T&amp;D)'!AK$103)*(AL2998-AL2835-AL2946+AL2893)-AL2840+AL2841+Model!AL2946,AL2998-AL2835-AL2840+AL2841+AL2893)</f>
        <v>75.597258788416383</v>
      </c>
      <c r="AM2999" s="147">
        <f>IF(AM2998-AM2835-AM2946-AM2893&gt;0,(1-'Assumptions (T&amp;D)'!AL$103)*(AM2998-AM2835-AM2946+AM2893)-AM2840+AM2841+Model!AM2946,AM2998-AM2835-AM2840+AM2841+AM2893)</f>
        <v>77.698332000982404</v>
      </c>
      <c r="AN2999" s="147">
        <f>IF(AN2998-AN2835-AN2946-AN2893&gt;0,(1-'Assumptions (T&amp;D)'!AM$103)*(AN2998-AN2835-AN2946+AN2893)-AN2840+AN2841+Model!AN2946,AN2998-AN2835-AN2840+AN2841+AN2893)</f>
        <v>79.811885953069691</v>
      </c>
      <c r="AO2999" s="147">
        <f>IF(AO2998-AO2835-AO2946-AO2893&gt;0,(1-'Assumptions (T&amp;D)'!AN$103)*(AO2998-AO2835-AO2946+AO2893)-AO2840+AO2841+Model!AO2946,AO2998-AO2835-AO2840+AO2841+AO2893)</f>
        <v>81.853186252119755</v>
      </c>
      <c r="AP2999" s="147">
        <f>IF(AP2998-AP2835-AP2946-AP2893&gt;0,(1-'Assumptions (T&amp;D)'!AO$103)*(AP2998-AP2835-AP2946+AP2893)-AP2840+AP2841+Model!AP2946,AP2998-AP2835-AP2840+AP2841+AP2893)</f>
        <v>83.919875394702373</v>
      </c>
      <c r="AQ2999" s="147">
        <f>IF(AQ2998-AQ2835-AQ2946-AQ2893&gt;0,(1-'Assumptions (T&amp;D)'!AP$103)*(AQ2998-AQ2835-AQ2946+AQ2893)-AQ2840+AQ2841+Model!AQ2946,AQ2998-AQ2835-AQ2840+AQ2841+AQ2893)</f>
        <v>86.00571326729839</v>
      </c>
      <c r="AR2999" s="147">
        <f>IF(AR2998-AR2835-AR2946-AR2893&gt;0,(1-'Assumptions (T&amp;D)'!AQ$103)*(AR2998-AR2835-AR2946+AR2893)-AR2840+AR2841+Model!AR2946,AR2998-AR2835-AR2840+AR2841+AR2893)</f>
        <v>88.071443865851549</v>
      </c>
      <c r="AS2999" s="147">
        <f>IF(AS2998-AS2835-AS2946-AS2893&gt;0,(1-'Assumptions (T&amp;D)'!AR$103)*(AS2998-AS2835-AS2946+AS2893)-AS2840+AS2841+Model!AS2946,AS2998-AS2835-AS2840+AS2841+AS2893)</f>
        <v>90.031789054697867</v>
      </c>
      <c r="AT2999" s="147">
        <f>IF(AT2998-AT2835-AT2946-AT2893&gt;0,(1-'Assumptions (T&amp;D)'!AS$103)*(AT2998-AT2835-AT2946+AT2893)-AT2840+AT2841+Model!AT2946,AT2998-AT2835-AT2840+AT2841+AT2893)</f>
        <v>92.041493453268046</v>
      </c>
      <c r="AU2999" s="147">
        <f>IF(AU2998-AU2835-AU2946-AU2893&gt;0,(1-'Assumptions (T&amp;D)'!AT$103)*(AU2998-AU2835-AU2946+AU2893)-AU2840+AU2841+Model!AU2946,AU2998-AU2835-AU2840+AU2841+AU2893)</f>
        <v>93.947140425504386</v>
      </c>
      <c r="AV2999" s="147">
        <f>IF(AV2998-AV2835-AV2946-AV2893&gt;0,(1-'Assumptions (T&amp;D)'!AU$103)*(AV2998-AV2835-AV2946+AV2893)-AV2840+AV2841+Model!AV2946,AV2998-AV2835-AV2840+AV2841+AV2893)</f>
        <v>95.756381841975156</v>
      </c>
      <c r="AW2999" s="147">
        <f>IF(AW2998-AW2835-AW2946-AW2893&gt;0,(1-'Assumptions (T&amp;D)'!AV$103)*(AW2998-AW2835-AW2946+AW2893)-AW2840+AW2841+Model!AW2946,AW2998-AW2835-AW2840+AW2841+AW2893)</f>
        <v>97.50002978652202</v>
      </c>
      <c r="AX2999" s="147">
        <f>IF(AX2998-AX2835-AX2946-AX2893&gt;0,(1-'Assumptions (T&amp;D)'!AW$103)*(AX2998-AX2835-AX2946+AX2893)-AX2840+AX2841+Model!AX2946,AX2998-AX2835-AX2840+AX2841+AX2893)</f>
        <v>99.183061033579435</v>
      </c>
      <c r="AY2999" s="147">
        <f>IF(AY2998-AY2835-AY2946-AY2893&gt;0,(1-'Assumptions (T&amp;D)'!AX$103)*(AY2998-AY2835-AY2946+AY2893)-AY2840+AY2841+Model!AY2946,AY2998-AY2835-AY2840+AY2841+AY2893)</f>
        <v>100.95620571866935</v>
      </c>
      <c r="AZ2999" s="147">
        <f>IF(AZ2998-AZ2835-AZ2946-AZ2893&gt;0,(1-'Assumptions (T&amp;D)'!AY$103)*(AZ2998-AZ2835-AZ2946+AZ2893)-AZ2840+AZ2841+Model!AZ2946,AZ2998-AZ2835-AZ2840+AZ2841+AZ2893)</f>
        <v>102.72935040375927</v>
      </c>
      <c r="BA2999" s="147">
        <f>IF(BA2998-BA2835-BA2946-BA2893&gt;0,(1-'Assumptions (T&amp;D)'!AZ$103)*(BA2998-BA2835-BA2946+BA2893)-BA2840+BA2841+Model!BA2946,BA2998-BA2835-BA2840+BA2841+BA2893)</f>
        <v>104.50249508884914</v>
      </c>
    </row>
    <row r="3000" spans="1:77" ht="15.75" customHeight="1">
      <c r="A3000" s="460" t="s">
        <v>840</v>
      </c>
      <c r="B3000" s="99" t="s">
        <v>201</v>
      </c>
      <c r="C3000" s="147">
        <f>IF(C2998-C2835-C2946-C2893&gt;0,'Assumptions (T&amp;D)'!B$103*(C2998-C2835-C2946+C2893),0)</f>
        <v>12.114121405699295</v>
      </c>
      <c r="D3000" s="147">
        <f>IF(D2998-D2835-D2946-D2893&gt;0,'Assumptions (T&amp;D)'!C$103*(D2998-D2835-D2946+D2893),0)</f>
        <v>13.315923022165531</v>
      </c>
      <c r="E3000" s="147">
        <f>IF(E2998-E2835-E2946-E2893&gt;0,'Assumptions (T&amp;D)'!D$103*(E2998-E2835-E2946+E2893),0)</f>
        <v>13.29510047110462</v>
      </c>
      <c r="F3000" s="147">
        <f>IF(F2998-F2835-F2946-F2893&gt;0,'Assumptions (T&amp;D)'!E$103*(F2998-F2835-F2946+F2893),0)</f>
        <v>13.813194539091549</v>
      </c>
      <c r="G3000" s="147">
        <f>IF(G2998-G2835-G2946-G2893&gt;0,'Assumptions (T&amp;D)'!F$103*(G2998-G2835-G2946+G2893),0)</f>
        <v>14.159135236692713</v>
      </c>
      <c r="H3000" s="147">
        <f>IF(H2998-H2835-H2946-H2893&gt;0,'Assumptions (T&amp;D)'!G$103*(H2998-H2835-H2946+H2893),0)</f>
        <v>14.907530656295858</v>
      </c>
      <c r="I3000" s="147">
        <f>IF(I2998-I2835-I2946-I2893&gt;0,'Assumptions (T&amp;D)'!H$103*(I2998-I2835-I2946+I2893),0)</f>
        <v>15.608616409315507</v>
      </c>
      <c r="J3000" s="147">
        <f>IF(J2998-J2835-J2946-J2893&gt;0,'Assumptions (T&amp;D)'!I$103*(J2998-J2835-J2946+J2893),0)</f>
        <v>16.439618310271726</v>
      </c>
      <c r="K3000" s="147">
        <f>IF(K2998-K2835-K2946-K2893&gt;0,'Assumptions (T&amp;D)'!J$103*(K2998-K2835-K2946+K2893),0)</f>
        <v>17.325780696513931</v>
      </c>
      <c r="L3000" s="147">
        <f>IF(L2998-L2835-L2946-L2893&gt;0,'Assumptions (T&amp;D)'!K$103*(L2998-L2835-L2946+L2893),0)</f>
        <v>17.96210308664557</v>
      </c>
      <c r="M3000" s="147">
        <f>IF(M2998-M2835-M2946-M2893&gt;0,'Assumptions (T&amp;D)'!L$103*(M2998-M2835-M2946+M2893),0)</f>
        <v>19.132303113332611</v>
      </c>
      <c r="N3000" s="147">
        <f>IF(N2998-N2835-N2946-N2893&gt;0,'Assumptions (T&amp;D)'!M$103*(N2998-N2835-N2946+N2893),0)</f>
        <v>19.91962993410548</v>
      </c>
      <c r="O3000" s="147">
        <f>IF(O2998-O2835-O2946-O2893&gt;0,'Assumptions (T&amp;D)'!N$103*(O2998-O2835-O2946+O2893),0)</f>
        <v>20.616733900215419</v>
      </c>
      <c r="P3000" s="147">
        <f>IF(P2998-P2835-P2946-P2893&gt;0,'Assumptions (T&amp;D)'!O$103*(P2998-P2835-P2946+P2893),0)</f>
        <v>21.39658001186692</v>
      </c>
      <c r="Q3000" s="147">
        <f>IF(Q2998-Q2835-Q2946-Q2893&gt;0,'Assumptions (T&amp;D)'!P$103*(Q2998-Q2835-Q2946+Q2893),0)</f>
        <v>22.450042501989291</v>
      </c>
      <c r="R3000" s="147">
        <f>IF(R2998-R2835-R2946-R2893&gt;0,'Assumptions (T&amp;D)'!Q$103*(R2998-R2835-R2946+R2893),0)</f>
        <v>23.287856360885744</v>
      </c>
      <c r="S3000" s="147">
        <f>IF(S2998-S2835-S2946-S2893&gt;0,'Assumptions (T&amp;D)'!R$103*(S2998-S2835-S2946+S2893),0)</f>
        <v>24.156392305853501</v>
      </c>
      <c r="T3000" s="147">
        <f>IF(T2998-T2835-T2946-T2893&gt;0,'Assumptions (T&amp;D)'!S$103*(T2998-T2835-T2946+T2893),0)</f>
        <v>24.748890978540967</v>
      </c>
      <c r="U3000" s="147">
        <f>IF(U2998-U2835-U2946-U2893&gt;0,'Assumptions (T&amp;D)'!T$103*(U2998-U2835-U2946+U2893),0)</f>
        <v>10.434983866344778</v>
      </c>
      <c r="V3000" s="147">
        <f>IF(V2998-V2835-V2946-V2893&gt;0,'Assumptions (T&amp;D)'!U$103*(V2998-V2835-V2946+V2893),0)</f>
        <v>10.823709406051144</v>
      </c>
      <c r="W3000" s="147">
        <f>IF(W2998-W2835-W2946-W2893&gt;0,'Assumptions (T&amp;D)'!V$103*(W2998-W2835-W2946+W2893),0)</f>
        <v>11.294959030554637</v>
      </c>
      <c r="X3000" s="147">
        <f>IF(X2998-X2835-X2946-X2893&gt;0,'Assumptions (T&amp;D)'!W$103*(X2998-X2835-X2946+X2893),0)</f>
        <v>11.852812305081866</v>
      </c>
      <c r="Y3000" s="147">
        <f>IF(Y2998-Y2835-Y2946-Y2893&gt;0,'Assumptions (T&amp;D)'!X$103*(Y2998-Y2835-Y2946+Y2893),0)</f>
        <v>12.42031970915685</v>
      </c>
      <c r="Z3000" s="147">
        <f>IF(Z2998-Z2835-Z2946-Z2893&gt;0,'Assumptions (T&amp;D)'!Y$103*(Z2998-Z2835-Z2946+Z2893),0)</f>
        <v>12.996189430088748</v>
      </c>
      <c r="AA3000" s="147">
        <f>IF(AA2998-AA2835-AA2946-AA2893&gt;0,'Assumptions (T&amp;D)'!Z$103*(AA2998-AA2835-AA2946+AA2893),0)</f>
        <v>13.585518545556043</v>
      </c>
      <c r="AB3000" s="147">
        <f>IF(AB2998-AB2835-AB2946-AB2893&gt;0,'Assumptions (T&amp;D)'!AA$103*(AB2998-AB2835-AB2946+AB2893),0)</f>
        <v>14.187489207591335</v>
      </c>
      <c r="AC3000" s="147">
        <f>IF(AC2998-AC2835-AC2946-AC2893&gt;0,'Assumptions (T&amp;D)'!AB$103*(AC2998-AC2835-AC2946+AC2893),0)</f>
        <v>14.816014152585574</v>
      </c>
      <c r="AD3000" s="147">
        <f>IF(AD2998-AD2835-AD2946-AD2893&gt;0,'Assumptions (T&amp;D)'!AC$103*(AD2998-AD2835-AD2946+AD2893),0)</f>
        <v>15.461791037737315</v>
      </c>
      <c r="AE3000" s="147">
        <f>IF(AE2998-AE2835-AE2946-AE2893&gt;0,'Assumptions (T&amp;D)'!AD$103*(AE2998-AE2835-AE2946+AE2893),0)</f>
        <v>16.116386060882608</v>
      </c>
      <c r="AF3000" s="147">
        <f>IF(AF2998-AF2835-AF2946-AF2893&gt;0,'Assumptions (T&amp;D)'!AE$103*(AF2998-AF2835-AF2946+AF2893),0)</f>
        <v>16.783469956855644</v>
      </c>
      <c r="AG3000" s="147">
        <f>IF(AG2998-AG2835-AG2946-AG2893&gt;0,'Assumptions (T&amp;D)'!AF$103*(AG2998-AG2835-AG2946+AG2893),0)</f>
        <v>17.319324153564882</v>
      </c>
      <c r="AH3000" s="147">
        <f>IF(AH2998-AH2835-AH2946-AH2893&gt;0,'Assumptions (T&amp;D)'!AG$103*(AH2998-AH2835-AH2946+AH2893),0)</f>
        <v>17.848602495351138</v>
      </c>
      <c r="AI3000" s="147">
        <f>IF(AI2998-AI2835-AI2946-AI2893&gt;0,'Assumptions (T&amp;D)'!AH$103*(AI2998-AI2835-AI2946+AI2893),0)</f>
        <v>18.397812602748775</v>
      </c>
      <c r="AJ3000" s="147">
        <f>IF(AJ2998-AJ2835-AJ2946-AJ2893&gt;0,'Assumptions (T&amp;D)'!AI$103*(AJ2998-AJ2835-AJ2946+AJ2893),0)</f>
        <v>18.946160760971321</v>
      </c>
      <c r="AK3000" s="147">
        <f>IF(AK2998-AK2835-AK2946-AK2893&gt;0,'Assumptions (T&amp;D)'!AJ$103*(AK2998-AK2835-AK2946+AK2893),0)</f>
        <v>19.490654769366717</v>
      </c>
      <c r="AL3000" s="147">
        <f>IF(AL2998-AL2835-AL2946-AL2893&gt;0,'Assumptions (T&amp;D)'!AK$103*(AL2998-AL2835-AL2946+AL2893),0)</f>
        <v>20.05674242302117</v>
      </c>
      <c r="AM3000" s="147">
        <f>IF(AM2998-AM2835-AM2946-AM2893&gt;0,'Assumptions (T&amp;D)'!AL$103*(AM2998-AM2835-AM2946+AM2893),0)</f>
        <v>20.614002174303646</v>
      </c>
      <c r="AN3000" s="147">
        <f>IF(AN2998-AN2835-AN2946-AN2893&gt;0,'Assumptions (T&amp;D)'!AM$103*(AN2998-AN2835-AN2946+AN2893),0)</f>
        <v>21.198633916356886</v>
      </c>
      <c r="AO3000" s="147">
        <f>IF(AO2998-AO2835-AO2946-AO2893&gt;0,'Assumptions (T&amp;D)'!AN$103*(AO2998-AO2835-AO2946+AO2893),0)</f>
        <v>21.758441915120439</v>
      </c>
      <c r="AP3000" s="147">
        <f>IF(AP2998-AP2835-AP2946-AP2893&gt;0,'Assumptions (T&amp;D)'!AO$103*(AP2998-AP2835-AP2946+AP2893),0)</f>
        <v>22.307814978338602</v>
      </c>
      <c r="AQ3000" s="147">
        <f>IF(AQ2998-AQ2835-AQ2946-AQ2893&gt;0,'Assumptions (T&amp;D)'!AP$103*(AQ2998-AQ2835-AQ2946+AQ2893),0)</f>
        <v>22.862278210294509</v>
      </c>
      <c r="AR3000" s="147">
        <f>IF(AR2998-AR2835-AR2946-AR2893&gt;0,'Assumptions (T&amp;D)'!AQ$103*(AR2998-AR2835-AR2946+AR2893),0)</f>
        <v>23.411396470669395</v>
      </c>
      <c r="AS3000" s="147">
        <f>IF(AS2998-AS2835-AS2946-AS2893&gt;0,'Assumptions (T&amp;D)'!AR$103*(AS2998-AS2835-AS2946+AS2893),0)</f>
        <v>23.932500887957659</v>
      </c>
      <c r="AT3000" s="147">
        <f>IF(AT2998-AT2835-AT2946-AT2893&gt;0,'Assumptions (T&amp;D)'!AS$103*(AT2998-AT2835-AT2946+AT2893),0)</f>
        <v>24.466726107830745</v>
      </c>
      <c r="AU3000" s="147">
        <f>IF(AU2998-AU2835-AU2946-AU2893&gt;0,'Assumptions (T&amp;D)'!AT$103*(AU2998-AU2835-AU2946+AU2893),0)</f>
        <v>24.973290492855593</v>
      </c>
      <c r="AV3000" s="147">
        <f>IF(AV2998-AV2835-AV2946-AV2893&gt;0,'Assumptions (T&amp;D)'!AU$103*(AV2998-AV2835-AV2946+AV2893),0)</f>
        <v>25.454228084575671</v>
      </c>
      <c r="AW3000" s="147">
        <f>IF(AW2998-AW2835-AW2946-AW2893&gt;0,'Assumptions (T&amp;D)'!AV$103*(AW2998-AW2835-AW2946+AW2893),0)</f>
        <v>25.917729436923572</v>
      </c>
      <c r="AX3000" s="147">
        <f>IF(AX2998-AX2835-AX2946-AX2893&gt;0,'Assumptions (T&amp;D)'!AW$103*(AX2998-AX2835-AX2946+AX2893),0)</f>
        <v>26.365117489938832</v>
      </c>
      <c r="AY3000" s="147">
        <f>IF(AY2998-AY2835-AY2946-AY2893&gt;0,'Assumptions (T&amp;D)'!AX$103*(AY2998-AY2835-AY2946+AY2893),0)</f>
        <v>26.83645974800071</v>
      </c>
      <c r="AZ3000" s="147">
        <f>IF(AZ2998-AZ2835-AZ2946-AZ2893&gt;0,'Assumptions (T&amp;D)'!AY$103*(AZ2998-AZ2835-AZ2946+AZ2893),0)</f>
        <v>27.307802006062587</v>
      </c>
      <c r="BA3000" s="147">
        <f>IF(BA2998-BA2835-BA2946-BA2893&gt;0,'Assumptions (T&amp;D)'!AZ$103*(BA2998-BA2835-BA2946+BA2893),0)</f>
        <v>27.779144264124454</v>
      </c>
    </row>
    <row r="3001" spans="1:77" ht="15.75" customHeight="1">
      <c r="A3001" s="466" t="s">
        <v>887</v>
      </c>
      <c r="B3001" s="99"/>
      <c r="C3001" s="147"/>
      <c r="D3001" s="147"/>
      <c r="E3001" s="147"/>
      <c r="F3001" s="147"/>
      <c r="G3001" s="147"/>
      <c r="H3001" s="147"/>
      <c r="I3001" s="147"/>
      <c r="J3001" s="147"/>
      <c r="K3001" s="147"/>
      <c r="L3001" s="147"/>
      <c r="M3001" s="147"/>
      <c r="N3001" s="147"/>
      <c r="O3001" s="147"/>
      <c r="P3001" s="147"/>
      <c r="Q3001" s="147"/>
      <c r="R3001" s="147"/>
      <c r="S3001" s="147"/>
      <c r="T3001" s="147"/>
      <c r="U3001" s="147"/>
      <c r="V3001" s="147"/>
      <c r="W3001" s="147"/>
      <c r="X3001" s="147"/>
      <c r="Y3001" s="147"/>
      <c r="Z3001" s="147"/>
      <c r="AA3001" s="147"/>
      <c r="AB3001" s="147"/>
      <c r="AC3001" s="147"/>
      <c r="AD3001" s="147"/>
      <c r="AE3001" s="147"/>
      <c r="AF3001" s="147"/>
      <c r="AG3001" s="147"/>
      <c r="AH3001" s="147"/>
      <c r="AI3001" s="147"/>
      <c r="AJ3001" s="147"/>
      <c r="AK3001" s="147"/>
      <c r="AL3001" s="147"/>
      <c r="AM3001" s="147"/>
      <c r="AN3001" s="147"/>
      <c r="AO3001" s="147"/>
      <c r="AP3001" s="147"/>
      <c r="AQ3001" s="147"/>
      <c r="AR3001" s="147"/>
      <c r="AS3001" s="147"/>
      <c r="AT3001" s="147"/>
      <c r="AU3001" s="147"/>
      <c r="AV3001" s="147"/>
      <c r="AW3001" s="147"/>
      <c r="AX3001" s="147"/>
      <c r="AY3001" s="147"/>
      <c r="AZ3001" s="147"/>
      <c r="BA3001" s="147"/>
    </row>
    <row r="3002" spans="1:77" ht="15.75" customHeight="1">
      <c r="A3002" s="460" t="s">
        <v>851</v>
      </c>
      <c r="B3002" s="99" t="s">
        <v>201</v>
      </c>
      <c r="C3002" s="147">
        <f>SUM('Assumptions (T&amp;D)'!B57:B58)/(1-'Assumptions (T&amp;D)'!B70)</f>
        <v>19.471428571428572</v>
      </c>
      <c r="D3002" s="147">
        <f>SUM('Assumptions (T&amp;D)'!C57:C58)/(1-'Assumptions (T&amp;D)'!C70)</f>
        <v>18.871428571428574</v>
      </c>
      <c r="E3002" s="147">
        <f>SUM('Assumptions (T&amp;D)'!D57:D58)/(1-'Assumptions (T&amp;D)'!D70)</f>
        <v>19.785714285714288</v>
      </c>
      <c r="F3002" s="147">
        <f>SUM('Assumptions (T&amp;D)'!E57:E58)/(1-'Assumptions (T&amp;D)'!E70)</f>
        <v>21.271428571428572</v>
      </c>
      <c r="G3002" s="147">
        <f>SUM('Assumptions (T&amp;D)'!F57:F58)/(1-'Assumptions (T&amp;D)'!F70)</f>
        <v>20.400000000000002</v>
      </c>
      <c r="H3002" s="147">
        <f>SUM('Assumptions (T&amp;D)'!G57:G58)/(1-'Assumptions (T&amp;D)'!G70)</f>
        <v>21.757142857142856</v>
      </c>
      <c r="I3002" s="147">
        <f>SUM('Assumptions (T&amp;D)'!H57:H58)/(1-'Assumptions (T&amp;D)'!H70)</f>
        <v>29.928571428571431</v>
      </c>
      <c r="J3002" s="147">
        <f>SUM('Assumptions (T&amp;D)'!I57:I58)/(1-'Assumptions (T&amp;D)'!I70)</f>
        <v>22.585714285714285</v>
      </c>
      <c r="K3002" s="147">
        <f>SUM('Assumptions (T&amp;D)'!J57:J58)/(1-'Assumptions (T&amp;D)'!J70)</f>
        <v>22.328571428571433</v>
      </c>
      <c r="L3002" s="147">
        <f>SUM('Assumptions (T&amp;D)'!K57:K58)/(1-'Assumptions (T&amp;D)'!K70)</f>
        <v>24.385714285714286</v>
      </c>
      <c r="M3002" s="147">
        <f>SUM('Assumptions (T&amp;D)'!L57:L58)/(1-'Assumptions (T&amp;D)'!L70)</f>
        <v>26.414285714285718</v>
      </c>
      <c r="N3002" s="147">
        <f>SUM('Assumptions (T&amp;D)'!M57:M58)/(1-'Assumptions (T&amp;D)'!M70)</f>
        <v>26.499999999999996</v>
      </c>
      <c r="O3002" s="147">
        <f>SUM('Assumptions (T&amp;D)'!N57:N58)/(1-'Assumptions (T&amp;D)'!N70)</f>
        <v>28.085714285714289</v>
      </c>
      <c r="P3002" s="147">
        <f>SUM('Assumptions (T&amp;D)'!O57:O58)/(1-'Assumptions (T&amp;D)'!O70)</f>
        <v>27.11428571428571</v>
      </c>
      <c r="Q3002" s="147">
        <f>SUM('Assumptions (T&amp;D)'!P57:P58)/(1-'Assumptions (T&amp;D)'!P70)</f>
        <v>26.785714285714288</v>
      </c>
      <c r="R3002" s="147">
        <f>SUM('Assumptions (T&amp;D)'!Q57:Q58)/(1-'Assumptions (T&amp;D)'!Q70)</f>
        <v>26.328571428571429</v>
      </c>
      <c r="S3002" s="147">
        <f>SUM('Assumptions (T&amp;D)'!R57:R58)/(1-'Assumptions (T&amp;D)'!R70)</f>
        <v>27.085714285714289</v>
      </c>
      <c r="T3002" s="147">
        <f>SUM('Assumptions (T&amp;D)'!S57:S58)/(1-'Assumptions (T&amp;D)'!S70)</f>
        <v>29.09982355881467</v>
      </c>
      <c r="U3002" s="147">
        <f>SUM('Assumptions (T&amp;D)'!T57:T58)/(1-'Assumptions (T&amp;D)'!T70)</f>
        <v>29.09982355881467</v>
      </c>
      <c r="V3002" s="147">
        <f>SUM('Assumptions (T&amp;D)'!U57:U58)/(1-'Assumptions (T&amp;D)'!U70)</f>
        <v>29.09982355881467</v>
      </c>
      <c r="W3002" s="147">
        <f>SUM('Assumptions (T&amp;D)'!V57:V58)/(1-'Assumptions (T&amp;D)'!V70)</f>
        <v>29.09982355881467</v>
      </c>
      <c r="X3002" s="147">
        <f>SUM('Assumptions (T&amp;D)'!W57:W58)/(1-'Assumptions (T&amp;D)'!W70)</f>
        <v>29.09982355881467</v>
      </c>
      <c r="Y3002" s="147">
        <f>SUM('Assumptions (T&amp;D)'!X57:X58)/(1-'Assumptions (T&amp;D)'!X70)</f>
        <v>29.09982355881467</v>
      </c>
      <c r="Z3002" s="147">
        <f>SUM('Assumptions (T&amp;D)'!Y57:Y58)/(1-'Assumptions (T&amp;D)'!Y70)</f>
        <v>29.09982355881467</v>
      </c>
      <c r="AA3002" s="147">
        <f>SUM('Assumptions (T&amp;D)'!Z57:Z58)/(1-'Assumptions (T&amp;D)'!Z70)</f>
        <v>29.09982355881467</v>
      </c>
      <c r="AB3002" s="147">
        <f>SUM('Assumptions (T&amp;D)'!AA57:AA58)/(1-'Assumptions (T&amp;D)'!AA70)</f>
        <v>29.09982355881467</v>
      </c>
      <c r="AC3002" s="147">
        <f>SUM('Assumptions (T&amp;D)'!AB57:AB58)/(1-'Assumptions (T&amp;D)'!AB70)</f>
        <v>29.09982355881467</v>
      </c>
      <c r="AD3002" s="147">
        <f>SUM('Assumptions (T&amp;D)'!AC57:AC58)/(1-'Assumptions (T&amp;D)'!AC70)</f>
        <v>29.09982355881467</v>
      </c>
      <c r="AE3002" s="147">
        <f>SUM('Assumptions (T&amp;D)'!AD57:AD58)/(1-'Assumptions (T&amp;D)'!AD70)</f>
        <v>29.09982355881467</v>
      </c>
      <c r="AF3002" s="147">
        <f>SUM('Assumptions (T&amp;D)'!AE57:AE58)/(1-'Assumptions (T&amp;D)'!AE70)</f>
        <v>29.09982355881467</v>
      </c>
      <c r="AG3002" s="147">
        <f>SUM('Assumptions (T&amp;D)'!AF57:AF58)/(1-'Assumptions (T&amp;D)'!AF70)</f>
        <v>29.09982355881467</v>
      </c>
      <c r="AH3002" s="147">
        <f>SUM('Assumptions (T&amp;D)'!AG57:AG58)/(1-'Assumptions (T&amp;D)'!AG70)</f>
        <v>29.09982355881467</v>
      </c>
      <c r="AI3002" s="147">
        <f>SUM('Assumptions (T&amp;D)'!AH57:AH58)/(1-'Assumptions (T&amp;D)'!AH70)</f>
        <v>29.09982355881467</v>
      </c>
      <c r="AJ3002" s="147">
        <f>SUM('Assumptions (T&amp;D)'!AI57:AI58)/(1-'Assumptions (T&amp;D)'!AI70)</f>
        <v>29.09982355881467</v>
      </c>
      <c r="AK3002" s="147">
        <f>SUM('Assumptions (T&amp;D)'!AJ57:AJ58)/(1-'Assumptions (T&amp;D)'!AJ70)</f>
        <v>29.09982355881467</v>
      </c>
      <c r="AL3002" s="147">
        <f>SUM('Assumptions (T&amp;D)'!AK57:AK58)/(1-'Assumptions (T&amp;D)'!AK70)</f>
        <v>29.09982355881467</v>
      </c>
      <c r="AM3002" s="147">
        <f>SUM('Assumptions (T&amp;D)'!AL57:AL58)/(1-'Assumptions (T&amp;D)'!AL70)</f>
        <v>29.09982355881467</v>
      </c>
      <c r="AN3002" s="147">
        <f>SUM('Assumptions (T&amp;D)'!AM57:AM58)/(1-'Assumptions (T&amp;D)'!AM70)</f>
        <v>29.09982355881467</v>
      </c>
      <c r="AO3002" s="147">
        <f>SUM('Assumptions (T&amp;D)'!AN57:AN58)/(1-'Assumptions (T&amp;D)'!AN70)</f>
        <v>29.09982355881467</v>
      </c>
      <c r="AP3002" s="147">
        <f>SUM('Assumptions (T&amp;D)'!AO57:AO58)/(1-'Assumptions (T&amp;D)'!AO70)</f>
        <v>29.09982355881467</v>
      </c>
      <c r="AQ3002" s="147">
        <f>SUM('Assumptions (T&amp;D)'!AP57:AP58)/(1-'Assumptions (T&amp;D)'!AP70)</f>
        <v>29.09982355881467</v>
      </c>
      <c r="AR3002" s="147">
        <f>SUM('Assumptions (T&amp;D)'!AQ57:AQ58)/(1-'Assumptions (T&amp;D)'!AQ70)</f>
        <v>29.09982355881467</v>
      </c>
      <c r="AS3002" s="147">
        <f>SUM('Assumptions (T&amp;D)'!AR57:AR58)/(1-'Assumptions (T&amp;D)'!AR70)</f>
        <v>29.09982355881467</v>
      </c>
      <c r="AT3002" s="147">
        <f>SUM('Assumptions (T&amp;D)'!AS57:AS58)/(1-'Assumptions (T&amp;D)'!AS70)</f>
        <v>29.09982355881467</v>
      </c>
      <c r="AU3002" s="147">
        <f>SUM('Assumptions (T&amp;D)'!AT57:AT58)/(1-'Assumptions (T&amp;D)'!AT70)</f>
        <v>29.09982355881467</v>
      </c>
      <c r="AV3002" s="147">
        <f>SUM('Assumptions (T&amp;D)'!AU57:AU58)/(1-'Assumptions (T&amp;D)'!AU70)</f>
        <v>29.09982355881467</v>
      </c>
      <c r="AW3002" s="147">
        <f>SUM('Assumptions (T&amp;D)'!AV57:AV58)/(1-'Assumptions (T&amp;D)'!AV70)</f>
        <v>29.09982355881467</v>
      </c>
      <c r="AX3002" s="147">
        <f>SUM('Assumptions (T&amp;D)'!AW57:AW58)/(1-'Assumptions (T&amp;D)'!AW70)</f>
        <v>29.09982355881467</v>
      </c>
      <c r="AY3002" s="147">
        <f>SUM('Assumptions (T&amp;D)'!AX57:AX58)/(1-'Assumptions (T&amp;D)'!AX70)</f>
        <v>29.09982355881467</v>
      </c>
      <c r="AZ3002" s="147">
        <f>SUM('Assumptions (T&amp;D)'!AY57:AY58)/(1-'Assumptions (T&amp;D)'!AY70)</f>
        <v>29.09982355881467</v>
      </c>
      <c r="BA3002" s="147">
        <f>SUM('Assumptions (T&amp;D)'!AZ57:AZ58)/(1-'Assumptions (T&amp;D)'!AZ70)</f>
        <v>29.09982355881467</v>
      </c>
    </row>
    <row r="3003" spans="1:77" ht="15.75" customHeight="1">
      <c r="A3003" s="461" t="s">
        <v>884</v>
      </c>
      <c r="B3003" s="99" t="s">
        <v>201</v>
      </c>
      <c r="C3003" s="147">
        <f>'Assumptions (T&amp;D)'!B59/(1-'Assumptions (T&amp;D)'!B70)</f>
        <v>34.75714285714286</v>
      </c>
      <c r="D3003" s="147">
        <f>'Assumptions (T&amp;D)'!C59/(1-'Assumptions (T&amp;D)'!C70)</f>
        <v>34.557142857142864</v>
      </c>
      <c r="E3003" s="147">
        <f>'Assumptions (T&amp;D)'!D59/(1-'Assumptions (T&amp;D)'!D70)</f>
        <v>33.800000000000004</v>
      </c>
      <c r="F3003" s="147">
        <f>'Assumptions (T&amp;D)'!E59/(1-'Assumptions (T&amp;D)'!E70)</f>
        <v>33.442857142857143</v>
      </c>
      <c r="G3003" s="147">
        <f>'Assumptions (T&amp;D)'!F59/(1-'Assumptions (T&amp;D)'!F70)</f>
        <v>34</v>
      </c>
      <c r="H3003" s="147">
        <f>'Assumptions (T&amp;D)'!G59/(1-'Assumptions (T&amp;D)'!G70)</f>
        <v>34.171428571428578</v>
      </c>
      <c r="I3003" s="147">
        <f>'Assumptions (T&amp;D)'!H59/(1-'Assumptions (T&amp;D)'!H70)</f>
        <v>34.24285714285714</v>
      </c>
      <c r="J3003" s="147">
        <f>'Assumptions (T&amp;D)'!I59/(1-'Assumptions (T&amp;D)'!I70)</f>
        <v>34.285714285714285</v>
      </c>
      <c r="K3003" s="147">
        <f>'Assumptions (T&amp;D)'!J59/(1-'Assumptions (T&amp;D)'!J70)</f>
        <v>34.557142857142864</v>
      </c>
      <c r="L3003" s="147">
        <f>'Assumptions (T&amp;D)'!K59/(1-'Assumptions (T&amp;D)'!K70)</f>
        <v>36.071428571428577</v>
      </c>
      <c r="M3003" s="147">
        <f>'Assumptions (T&amp;D)'!L59/(1-'Assumptions (T&amp;D)'!L70)</f>
        <v>37.985714285714288</v>
      </c>
      <c r="N3003" s="147">
        <f>'Assumptions (T&amp;D)'!M59/(1-'Assumptions (T&amp;D)'!M70)</f>
        <v>38.957142857142856</v>
      </c>
      <c r="O3003" s="147">
        <f>'Assumptions (T&amp;D)'!N59/(1-'Assumptions (T&amp;D)'!N70)</f>
        <v>40.885714285714293</v>
      </c>
      <c r="P3003" s="147">
        <f>'Assumptions (T&amp;D)'!O59/(1-'Assumptions (T&amp;D)'!O70)</f>
        <v>43.671428571428578</v>
      </c>
      <c r="Q3003" s="147">
        <f>'Assumptions (T&amp;D)'!P59/(1-'Assumptions (T&amp;D)'!P70)</f>
        <v>46.114285714285721</v>
      </c>
      <c r="R3003" s="147">
        <f>'Assumptions (T&amp;D)'!Q59/(1-'Assumptions (T&amp;D)'!Q70)</f>
        <v>48.671428571428578</v>
      </c>
      <c r="S3003" s="147">
        <f>'Assumptions (T&amp;D)'!R59/(1-'Assumptions (T&amp;D)'!R70)</f>
        <v>50.814285714285717</v>
      </c>
      <c r="T3003" s="147">
        <f t="shared" ref="T3003:BA3003" si="66">S3003-S3004+S3005</f>
        <v>53.75714285714286</v>
      </c>
      <c r="U3003" s="147">
        <f t="shared" si="66"/>
        <v>55.716229863797771</v>
      </c>
      <c r="V3003" s="147">
        <f t="shared" si="66"/>
        <v>57.687921912469484</v>
      </c>
      <c r="W3003" s="147">
        <f t="shared" si="66"/>
        <v>59.666237787142187</v>
      </c>
      <c r="X3003" s="147">
        <f t="shared" si="66"/>
        <v>61.646525107832744</v>
      </c>
      <c r="Y3003" s="147">
        <f t="shared" si="66"/>
        <v>63.617135136071617</v>
      </c>
      <c r="Z3003" s="147">
        <f t="shared" si="66"/>
        <v>65.582540636168375</v>
      </c>
      <c r="AA3003" s="147">
        <f t="shared" si="66"/>
        <v>67.563443862770114</v>
      </c>
      <c r="AB3003" s="147">
        <f t="shared" si="66"/>
        <v>69.552353085503171</v>
      </c>
      <c r="AC3003" s="147">
        <f t="shared" si="66"/>
        <v>71.522848489013938</v>
      </c>
      <c r="AD3003" s="147">
        <f t="shared" si="66"/>
        <v>73.485611613348155</v>
      </c>
      <c r="AE3003" s="147">
        <f t="shared" si="66"/>
        <v>75.438506946285358</v>
      </c>
      <c r="AF3003" s="147">
        <f t="shared" si="66"/>
        <v>77.379273357239171</v>
      </c>
      <c r="AG3003" s="464">
        <f t="shared" si="66"/>
        <v>79.311399060882835</v>
      </c>
      <c r="AH3003" s="464">
        <f t="shared" si="66"/>
        <v>81.238577460988026</v>
      </c>
      <c r="AI3003" s="464">
        <f t="shared" si="66"/>
        <v>83.152114178354992</v>
      </c>
      <c r="AJ3003" s="464">
        <f t="shared" si="66"/>
        <v>85.051206761057969</v>
      </c>
      <c r="AK3003" s="464">
        <f t="shared" si="66"/>
        <v>86.977862696973858</v>
      </c>
      <c r="AL3003" s="464">
        <f t="shared" si="66"/>
        <v>88.932022687552148</v>
      </c>
      <c r="AM3003" s="464">
        <f t="shared" si="66"/>
        <v>90.885892853655349</v>
      </c>
      <c r="AN3003" s="464">
        <f t="shared" si="66"/>
        <v>92.838714673725107</v>
      </c>
      <c r="AO3003" s="464">
        <f t="shared" si="66"/>
        <v>94.790036843524106</v>
      </c>
      <c r="AP3003" s="464">
        <f t="shared" si="66"/>
        <v>96.739655180917708</v>
      </c>
      <c r="AQ3003" s="464">
        <f t="shared" si="66"/>
        <v>98.688038712967483</v>
      </c>
      <c r="AR3003" s="464">
        <f t="shared" si="66"/>
        <v>100.6354209527792</v>
      </c>
      <c r="AS3003" s="464">
        <f t="shared" si="66"/>
        <v>102.58083136983856</v>
      </c>
      <c r="AT3003" s="464">
        <f t="shared" si="66"/>
        <v>104.523683033623</v>
      </c>
      <c r="AU3003" s="464">
        <f t="shared" si="66"/>
        <v>106.4649085950706</v>
      </c>
      <c r="AV3003" s="464">
        <f t="shared" si="66"/>
        <v>108.40486724105426</v>
      </c>
      <c r="AW3003" s="464">
        <f t="shared" si="66"/>
        <v>110.34406490545243</v>
      </c>
      <c r="AX3003" s="464">
        <f t="shared" si="66"/>
        <v>112.28317029064144</v>
      </c>
      <c r="AY3003" s="464">
        <f t="shared" si="66"/>
        <v>114.22268624533312</v>
      </c>
      <c r="AZ3003" s="464">
        <f t="shared" si="66"/>
        <v>116.16292793852989</v>
      </c>
      <c r="BA3003" s="464">
        <f t="shared" si="66"/>
        <v>118.10474051265783</v>
      </c>
    </row>
    <row r="3004" spans="1:77" ht="15.75" customHeight="1">
      <c r="A3004" s="460" t="s">
        <v>885</v>
      </c>
      <c r="B3004" s="99" t="s">
        <v>201</v>
      </c>
      <c r="C3004" s="147">
        <f>'Assumptions (T&amp;D)'!B60/(1-'Assumptions (T&amp;D)'!B70)</f>
        <v>2.0142857142857142</v>
      </c>
      <c r="D3004" s="147">
        <f>'Assumptions (T&amp;D)'!C60/(1-'Assumptions (T&amp;D)'!C70)</f>
        <v>1.9000000000000001</v>
      </c>
      <c r="E3004" s="147">
        <f>'Assumptions (T&amp;D)'!D60/(1-'Assumptions (T&amp;D)'!D70)</f>
        <v>1.8142857142857145</v>
      </c>
      <c r="F3004" s="147">
        <f>'Assumptions (T&amp;D)'!E60/(1-'Assumptions (T&amp;D)'!E70)</f>
        <v>1.6142857142857143</v>
      </c>
      <c r="G3004" s="147">
        <f>'Assumptions (T&amp;D)'!F60/(1-'Assumptions (T&amp;D)'!F70)</f>
        <v>1.7</v>
      </c>
      <c r="H3004" s="147">
        <f>'Assumptions (T&amp;D)'!G60/(1-'Assumptions (T&amp;D)'!G70)</f>
        <v>2.0571428571428574</v>
      </c>
      <c r="I3004" s="147">
        <f>'Assumptions (T&amp;D)'!H60/(1-'Assumptions (T&amp;D)'!H70)</f>
        <v>1.9142857142857146</v>
      </c>
      <c r="J3004" s="147">
        <f>'Assumptions (T&amp;D)'!I60/(1-'Assumptions (T&amp;D)'!I70)</f>
        <v>1.4571428571428573</v>
      </c>
      <c r="K3004" s="147">
        <f>'Assumptions (T&amp;D)'!J60/(1-'Assumptions (T&amp;D)'!J70)</f>
        <v>1.657142857142857</v>
      </c>
      <c r="L3004" s="147">
        <f>'Assumptions (T&amp;D)'!K60/(1-'Assumptions (T&amp;D)'!K70)</f>
        <v>1.6285714285714286</v>
      </c>
      <c r="M3004" s="147">
        <f>'Assumptions (T&amp;D)'!L60/(1-'Assumptions (T&amp;D)'!L70)</f>
        <v>1.6000000000000003</v>
      </c>
      <c r="N3004" s="147">
        <f>'Assumptions (T&amp;D)'!M60/(1-'Assumptions (T&amp;D)'!M70)</f>
        <v>1.6714285714285715</v>
      </c>
      <c r="O3004" s="147">
        <f>'Assumptions (T&amp;D)'!N60/(1-'Assumptions (T&amp;D)'!N70)</f>
        <v>1.7428571428571429</v>
      </c>
      <c r="P3004" s="147">
        <f>'Assumptions (T&amp;D)'!O60/(1-'Assumptions (T&amp;D)'!O70)</f>
        <v>1.6000000000000003</v>
      </c>
      <c r="Q3004" s="147">
        <f>'Assumptions (T&amp;D)'!P60/(1-'Assumptions (T&amp;D)'!P70)</f>
        <v>1.6000000000000003</v>
      </c>
      <c r="R3004" s="147">
        <f>'Assumptions (T&amp;D)'!Q60/(1-'Assumptions (T&amp;D)'!Q70)</f>
        <v>2.3285714285714287</v>
      </c>
      <c r="S3004" s="147">
        <f>'Assumptions (T&amp;D)'!R60/(1-'Assumptions (T&amp;D)'!R70)</f>
        <v>2.3000000000000003</v>
      </c>
      <c r="T3004" s="147">
        <f>'Assumptions (T&amp;D)'!S60/(1-'Assumptions (T&amp;D)'!S70)</f>
        <v>1.8</v>
      </c>
      <c r="U3004" s="147">
        <f>'Assumptions (T&amp;D)'!T60/(1-'Assumptions (T&amp;D)'!T70)</f>
        <v>1.7873949579831938</v>
      </c>
      <c r="V3004" s="147">
        <f>'Assumptions (T&amp;D)'!U60/(1-'Assumptions (T&amp;D)'!U70)</f>
        <v>1.7807711319822046</v>
      </c>
      <c r="W3004" s="147">
        <f>'Assumptions (T&amp;D)'!V60/(1-'Assumptions (T&amp;D)'!V70)</f>
        <v>1.7787996859643513</v>
      </c>
      <c r="X3004" s="147">
        <f>'Assumptions (T&amp;D)'!W60/(1-'Assumptions (T&amp;D)'!W70)</f>
        <v>1.7884769784160361</v>
      </c>
      <c r="Y3004" s="147">
        <f>'Assumptions (T&amp;D)'!X60/(1-'Assumptions (T&amp;D)'!X70)</f>
        <v>1.7936815065581559</v>
      </c>
      <c r="Z3004" s="147">
        <f>'Assumptions (T&amp;D)'!Y60/(1-'Assumptions (T&amp;D)'!Y70)</f>
        <v>1.7781837800531735</v>
      </c>
      <c r="AA3004" s="147">
        <f>'Assumptions (T&amp;D)'!Z60/(1-'Assumptions (T&amp;D)'!Z70)</f>
        <v>1.7701777839218473</v>
      </c>
      <c r="AB3004" s="147">
        <f>'Assumptions (T&amp;D)'!AA60/(1-'Assumptions (T&amp;D)'!AA70)</f>
        <v>1.7885916031441409</v>
      </c>
      <c r="AC3004" s="147">
        <f>'Assumptions (T&amp;D)'!AB60/(1-'Assumptions (T&amp;D)'!AB70)</f>
        <v>1.7963238823206868</v>
      </c>
      <c r="AD3004" s="147">
        <f>'Assumptions (T&amp;D)'!AC60/(1-'Assumptions (T&amp;D)'!AC70)</f>
        <v>1.8061916737177015</v>
      </c>
      <c r="AE3004" s="147">
        <f>'Assumptions (T&amp;D)'!AD60/(1-'Assumptions (T&amp;D)'!AD70)</f>
        <v>1.8183205957010962</v>
      </c>
      <c r="AF3004" s="147">
        <f>'Assumptions (T&amp;D)'!AE60/(1-'Assumptions (T&amp;D)'!AE70)</f>
        <v>1.8269613030112448</v>
      </c>
      <c r="AG3004" s="147">
        <f>'Assumptions (T&amp;D)'!AF60/(1-'Assumptions (T&amp;D)'!AF70)</f>
        <v>1.8319086065497217</v>
      </c>
      <c r="AH3004" s="147">
        <f>'Assumptions (T&amp;D)'!AG60/(1-'Assumptions (T&amp;D)'!AG70)</f>
        <v>1.8455502892879407</v>
      </c>
      <c r="AI3004" s="147">
        <f>'Assumptions (T&amp;D)'!AH60/(1-'Assumptions (T&amp;D)'!AH70)</f>
        <v>1.8599944239519373</v>
      </c>
      <c r="AJ3004" s="147">
        <f>'Assumptions (T&amp;D)'!AI60/(1-'Assumptions (T&amp;D)'!AI70)</f>
        <v>1.8324310707390252</v>
      </c>
      <c r="AK3004" s="147">
        <f>'Assumptions (T&amp;D)'!AJ60/(1-'Assumptions (T&amp;D)'!AJ70)</f>
        <v>1.8049270160766153</v>
      </c>
      <c r="AL3004" s="147">
        <f>'Assumptions (T&amp;D)'!AK60/(1-'Assumptions (T&amp;D)'!AK70)</f>
        <v>1.8052168405517099</v>
      </c>
      <c r="AM3004" s="147">
        <f>'Assumptions (T&amp;D)'!AL60/(1-'Assumptions (T&amp;D)'!AL70)</f>
        <v>1.8062651865851524</v>
      </c>
      <c r="AN3004" s="147">
        <f>'Assumptions (T&amp;D)'!AM60/(1-'Assumptions (T&amp;D)'!AM70)</f>
        <v>1.8077648368559138</v>
      </c>
      <c r="AO3004" s="147">
        <f>'Assumptions (T&amp;D)'!AN60/(1-'Assumptions (T&amp;D)'!AN70)</f>
        <v>1.8094686692613</v>
      </c>
      <c r="AP3004" s="147">
        <f>'Assumptions (T&amp;D)'!AO60/(1-'Assumptions (T&amp;D)'!AO70)</f>
        <v>1.8107034746051389</v>
      </c>
      <c r="AQ3004" s="147">
        <f>'Assumptions (T&amp;D)'!AP60/(1-'Assumptions (T&amp;D)'!AP70)</f>
        <v>1.8117047668431969</v>
      </c>
      <c r="AR3004" s="147">
        <f>'Assumptions (T&amp;D)'!AQ60/(1-'Assumptions (T&amp;D)'!AQ70)</f>
        <v>1.8136765895955511</v>
      </c>
      <c r="AS3004" s="147">
        <f>'Assumptions (T&amp;D)'!AR60/(1-'Assumptions (T&amp;D)'!AR70)</f>
        <v>1.8162353428704747</v>
      </c>
      <c r="AT3004" s="147">
        <f>'Assumptions (T&amp;D)'!AS60/(1-'Assumptions (T&amp;D)'!AS70)</f>
        <v>1.8178614452073181</v>
      </c>
      <c r="AU3004" s="147">
        <f>'Assumptions (T&amp;D)'!AT60/(1-'Assumptions (T&amp;D)'!AT70)</f>
        <v>1.8191283606712378</v>
      </c>
      <c r="AV3004" s="147">
        <f>'Assumptions (T&amp;D)'!AU60/(1-'Assumptions (T&amp;D)'!AU70)</f>
        <v>1.8198893422567395</v>
      </c>
      <c r="AW3004" s="147">
        <f>'Assumptions (T&amp;D)'!AV60/(1-'Assumptions (T&amp;D)'!AV70)</f>
        <v>1.8199816214658955</v>
      </c>
      <c r="AX3004" s="147">
        <f>'Assumptions (T&amp;D)'!AW60/(1-'Assumptions (T&amp;D)'!AW70)</f>
        <v>1.8195710519632275</v>
      </c>
      <c r="AY3004" s="147">
        <f>'Assumptions (T&amp;D)'!AX60/(1-'Assumptions (T&amp;D)'!AX70)</f>
        <v>1.8188453134581397</v>
      </c>
      <c r="AZ3004" s="147">
        <f>'Assumptions (T&amp;D)'!AY60/(1-'Assumptions (T&amp;D)'!AY70)</f>
        <v>1.8172744325269747</v>
      </c>
      <c r="BA3004" s="147">
        <f>'Assumptions (T&amp;D)'!AZ60/(1-'Assumptions (T&amp;D)'!AZ70)</f>
        <v>1.8147614918549182</v>
      </c>
    </row>
    <row r="3005" spans="1:77" ht="15.75" customHeight="1">
      <c r="A3005" s="460" t="s">
        <v>290</v>
      </c>
      <c r="B3005" s="99" t="s">
        <v>201</v>
      </c>
      <c r="C3005" s="147">
        <f>'Assumptions (T&amp;D)'!B61/(1-'Assumptions (T&amp;D)'!B70)</f>
        <v>2.3714285714285714</v>
      </c>
      <c r="D3005" s="147">
        <f>'Assumptions (T&amp;D)'!C61/(1-'Assumptions (T&amp;D)'!C70)</f>
        <v>1.842857142857143</v>
      </c>
      <c r="E3005" s="147">
        <f>'Assumptions (T&amp;D)'!D61/(1-'Assumptions (T&amp;D)'!D70)</f>
        <v>2</v>
      </c>
      <c r="F3005" s="147">
        <f>'Assumptions (T&amp;D)'!E61/(1-'Assumptions (T&amp;D)'!E70)</f>
        <v>2.2000000000000002</v>
      </c>
      <c r="G3005" s="147">
        <f>'Assumptions (T&amp;D)'!F61/(1-'Assumptions (T&amp;D)'!F70)</f>
        <v>1.9714285714285713</v>
      </c>
      <c r="H3005" s="147">
        <f>'Assumptions (T&amp;D)'!G61/(1-'Assumptions (T&amp;D)'!G70)</f>
        <v>2.6857142857142859</v>
      </c>
      <c r="I3005" s="147">
        <f>'Assumptions (T&amp;D)'!H61/(1-'Assumptions (T&amp;D)'!H70)</f>
        <v>2.1714285714285717</v>
      </c>
      <c r="J3005" s="147">
        <f>'Assumptions (T&amp;D)'!I61/(1-'Assumptions (T&amp;D)'!I70)</f>
        <v>2.4571428571428573</v>
      </c>
      <c r="K3005" s="147">
        <f>'Assumptions (T&amp;D)'!J61/(1-'Assumptions (T&amp;D)'!J70)</f>
        <v>3.0142857142857142</v>
      </c>
      <c r="L3005" s="147">
        <f>'Assumptions (T&amp;D)'!K61/(1-'Assumptions (T&amp;D)'!K70)</f>
        <v>3.1285714285714286</v>
      </c>
      <c r="M3005" s="147">
        <f>'Assumptions (T&amp;D)'!L61/(1-'Assumptions (T&amp;D)'!L70)</f>
        <v>3.0285714285714289</v>
      </c>
      <c r="N3005" s="147">
        <f>'Assumptions (T&amp;D)'!M61/(1-'Assumptions (T&amp;D)'!M70)</f>
        <v>3.8714285714285714</v>
      </c>
      <c r="O3005" s="147">
        <f>'Assumptions (T&amp;D)'!N61/(1-'Assumptions (T&amp;D)'!N70)</f>
        <v>4.5428571428571436</v>
      </c>
      <c r="P3005" s="147">
        <f>'Assumptions (T&amp;D)'!O61/(1-'Assumptions (T&amp;D)'!O70)</f>
        <v>4.1428571428571432</v>
      </c>
      <c r="Q3005" s="147">
        <f>'Assumptions (T&amp;D)'!P61/(1-'Assumptions (T&amp;D)'!P70)</f>
        <v>4.2857142857142856</v>
      </c>
      <c r="R3005" s="147">
        <f>'Assumptions (T&amp;D)'!Q61/(1-'Assumptions (T&amp;D)'!Q70)</f>
        <v>4.6714285714285717</v>
      </c>
      <c r="S3005" s="147">
        <f>'Assumptions (T&amp;D)'!R61/(1-'Assumptions (T&amp;D)'!R70)</f>
        <v>5.2428571428571429</v>
      </c>
      <c r="T3005" s="147">
        <f>'Assumptions (T&amp;D)'!S61/(1-'Assumptions (T&amp;D)'!S70)</f>
        <v>3.7590870066549091</v>
      </c>
      <c r="U3005" s="147">
        <f>'Assumptions (T&amp;D)'!T61/(1-'Assumptions (T&amp;D)'!T70)</f>
        <v>3.7590870066549091</v>
      </c>
      <c r="V3005" s="147">
        <f>'Assumptions (T&amp;D)'!U61/(1-'Assumptions (T&amp;D)'!U70)</f>
        <v>3.7590870066549091</v>
      </c>
      <c r="W3005" s="147">
        <f>'Assumptions (T&amp;D)'!V61/(1-'Assumptions (T&amp;D)'!V70)</f>
        <v>3.7590870066549091</v>
      </c>
      <c r="X3005" s="147">
        <f>'Assumptions (T&amp;D)'!W61/(1-'Assumptions (T&amp;D)'!W70)</f>
        <v>3.7590870066549091</v>
      </c>
      <c r="Y3005" s="147">
        <f>'Assumptions (T&amp;D)'!X61/(1-'Assumptions (T&amp;D)'!X70)</f>
        <v>3.7590870066549091</v>
      </c>
      <c r="Z3005" s="147">
        <f>'Assumptions (T&amp;D)'!Y61/(1-'Assumptions (T&amp;D)'!Y70)</f>
        <v>3.7590870066549091</v>
      </c>
      <c r="AA3005" s="147">
        <f>'Assumptions (T&amp;D)'!Z61/(1-'Assumptions (T&amp;D)'!Z70)</f>
        <v>3.7590870066549091</v>
      </c>
      <c r="AB3005" s="147">
        <f>'Assumptions (T&amp;D)'!AA61/(1-'Assumptions (T&amp;D)'!AA70)</f>
        <v>3.7590870066549091</v>
      </c>
      <c r="AC3005" s="147">
        <f>'Assumptions (T&amp;D)'!AB61/(1-'Assumptions (T&amp;D)'!AB70)</f>
        <v>3.7590870066549091</v>
      </c>
      <c r="AD3005" s="147">
        <f>'Assumptions (T&amp;D)'!AC61/(1-'Assumptions (T&amp;D)'!AC70)</f>
        <v>3.7590870066549091</v>
      </c>
      <c r="AE3005" s="147">
        <f>'Assumptions (T&amp;D)'!AD61/(1-'Assumptions (T&amp;D)'!AD70)</f>
        <v>3.7590870066549091</v>
      </c>
      <c r="AF3005" s="147">
        <f>'Assumptions (T&amp;D)'!AE61/(1-'Assumptions (T&amp;D)'!AE70)</f>
        <v>3.7590870066549091</v>
      </c>
      <c r="AG3005" s="147">
        <f>'Assumptions (T&amp;D)'!AF61/(1-'Assumptions (T&amp;D)'!AF70)</f>
        <v>3.7590870066549091</v>
      </c>
      <c r="AH3005" s="147">
        <f>'Assumptions (T&amp;D)'!AG61/(1-'Assumptions (T&amp;D)'!AG70)</f>
        <v>3.7590870066549091</v>
      </c>
      <c r="AI3005" s="147">
        <f>'Assumptions (T&amp;D)'!AH61/(1-'Assumptions (T&amp;D)'!AH70)</f>
        <v>3.7590870066549091</v>
      </c>
      <c r="AJ3005" s="147">
        <f>'Assumptions (T&amp;D)'!AI61/(1-'Assumptions (T&amp;D)'!AI70)</f>
        <v>3.7590870066549091</v>
      </c>
      <c r="AK3005" s="147">
        <f>'Assumptions (T&amp;D)'!AJ61/(1-'Assumptions (T&amp;D)'!AJ70)</f>
        <v>3.7590870066549091</v>
      </c>
      <c r="AL3005" s="147">
        <f>'Assumptions (T&amp;D)'!AK61/(1-'Assumptions (T&amp;D)'!AK70)</f>
        <v>3.7590870066549091</v>
      </c>
      <c r="AM3005" s="147">
        <f>'Assumptions (T&amp;D)'!AL61/(1-'Assumptions (T&amp;D)'!AL70)</f>
        <v>3.7590870066549091</v>
      </c>
      <c r="AN3005" s="147">
        <f>'Assumptions (T&amp;D)'!AM61/(1-'Assumptions (T&amp;D)'!AM70)</f>
        <v>3.7590870066549091</v>
      </c>
      <c r="AO3005" s="147">
        <f>'Assumptions (T&amp;D)'!AN61/(1-'Assumptions (T&amp;D)'!AN70)</f>
        <v>3.7590870066549091</v>
      </c>
      <c r="AP3005" s="147">
        <f>'Assumptions (T&amp;D)'!AO61/(1-'Assumptions (T&amp;D)'!AO70)</f>
        <v>3.7590870066549091</v>
      </c>
      <c r="AQ3005" s="147">
        <f>'Assumptions (T&amp;D)'!AP61/(1-'Assumptions (T&amp;D)'!AP70)</f>
        <v>3.7590870066549091</v>
      </c>
      <c r="AR3005" s="147">
        <f>'Assumptions (T&amp;D)'!AQ61/(1-'Assumptions (T&amp;D)'!AQ70)</f>
        <v>3.7590870066549091</v>
      </c>
      <c r="AS3005" s="147">
        <f>'Assumptions (T&amp;D)'!AR61/(1-'Assumptions (T&amp;D)'!AR70)</f>
        <v>3.7590870066549091</v>
      </c>
      <c r="AT3005" s="147">
        <f>'Assumptions (T&amp;D)'!AS61/(1-'Assumptions (T&amp;D)'!AS70)</f>
        <v>3.7590870066549091</v>
      </c>
      <c r="AU3005" s="147">
        <f>'Assumptions (T&amp;D)'!AT61/(1-'Assumptions (T&amp;D)'!AT70)</f>
        <v>3.7590870066549091</v>
      </c>
      <c r="AV3005" s="147">
        <f>'Assumptions (T&amp;D)'!AU61/(1-'Assumptions (T&amp;D)'!AU70)</f>
        <v>3.7590870066549091</v>
      </c>
      <c r="AW3005" s="147">
        <f>'Assumptions (T&amp;D)'!AV61/(1-'Assumptions (T&amp;D)'!AV70)</f>
        <v>3.7590870066549091</v>
      </c>
      <c r="AX3005" s="147">
        <f>'Assumptions (T&amp;D)'!AW61/(1-'Assumptions (T&amp;D)'!AW70)</f>
        <v>3.7590870066549091</v>
      </c>
      <c r="AY3005" s="147">
        <f>'Assumptions (T&amp;D)'!AX61/(1-'Assumptions (T&amp;D)'!AX70)</f>
        <v>3.7590870066549091</v>
      </c>
      <c r="AZ3005" s="147">
        <f>'Assumptions (T&amp;D)'!AY61/(1-'Assumptions (T&amp;D)'!AY70)</f>
        <v>3.7590870066549091</v>
      </c>
      <c r="BA3005" s="147">
        <f>'Assumptions (T&amp;D)'!AZ61/(1-'Assumptions (T&amp;D)'!AZ70)</f>
        <v>3.7590870066549091</v>
      </c>
    </row>
    <row r="3006" spans="1:77" ht="15.75" customHeight="1">
      <c r="A3006" s="460" t="s">
        <v>52</v>
      </c>
      <c r="B3006" s="99" t="s">
        <v>201</v>
      </c>
      <c r="C3006" s="147">
        <f>C3005*'Assumptions (T&amp;D)'!$B$95</f>
        <v>0.94857142857142862</v>
      </c>
      <c r="D3006" s="147">
        <f>D3005*'Assumptions (T&amp;D)'!$B$95</f>
        <v>0.73714285714285721</v>
      </c>
      <c r="E3006" s="147">
        <f>E3005*'Assumptions (T&amp;D)'!$B$95</f>
        <v>0.8</v>
      </c>
      <c r="F3006" s="147">
        <f>F3005*'Assumptions (T&amp;D)'!$B$95</f>
        <v>0.88000000000000012</v>
      </c>
      <c r="G3006" s="147">
        <f>G3005*'Assumptions (T&amp;D)'!$B$95</f>
        <v>0.78857142857142859</v>
      </c>
      <c r="H3006" s="147">
        <f>H3005*'Assumptions (T&amp;D)'!$B$95</f>
        <v>1.0742857142857145</v>
      </c>
      <c r="I3006" s="147">
        <f>I3005*'Assumptions (T&amp;D)'!$B$95</f>
        <v>0.86857142857142877</v>
      </c>
      <c r="J3006" s="147">
        <f>J3005*'Assumptions (T&amp;D)'!$B$95</f>
        <v>0.98285714285714298</v>
      </c>
      <c r="K3006" s="147">
        <f>K3005*'Assumptions (T&amp;D)'!$B$95</f>
        <v>1.2057142857142857</v>
      </c>
      <c r="L3006" s="147">
        <f>L3005*'Assumptions (T&amp;D)'!$B$95</f>
        <v>1.2514285714285716</v>
      </c>
      <c r="M3006" s="147">
        <f>M3005*'Assumptions (T&amp;D)'!$B$95</f>
        <v>1.2114285714285717</v>
      </c>
      <c r="N3006" s="147">
        <f>N3005*'Assumptions (T&amp;D)'!$B$95</f>
        <v>1.5485714285714287</v>
      </c>
      <c r="O3006" s="147">
        <f>O3005*'Assumptions (T&amp;D)'!$B$95</f>
        <v>1.8171428571428576</v>
      </c>
      <c r="P3006" s="147">
        <f>P3005*'Assumptions (T&amp;D)'!$B$95</f>
        <v>1.6571428571428575</v>
      </c>
      <c r="Q3006" s="147">
        <f>Q3005*'Assumptions (T&amp;D)'!$B$95</f>
        <v>1.7142857142857144</v>
      </c>
      <c r="R3006" s="147">
        <f>R3005*'Assumptions (T&amp;D)'!$B$95</f>
        <v>1.8685714285714288</v>
      </c>
      <c r="S3006" s="147">
        <f>S3005*'Assumptions (T&amp;D)'!$B$95</f>
        <v>2.0971428571428574</v>
      </c>
      <c r="T3006" s="147">
        <f>T3005*'Assumptions (T&amp;D)'!$B$95</f>
        <v>1.5036348026619637</v>
      </c>
      <c r="U3006" s="147">
        <f>U3005*'Assumptions (T&amp;D)'!$B$95</f>
        <v>1.5036348026619637</v>
      </c>
      <c r="V3006" s="147">
        <f>V3005*'Assumptions (T&amp;D)'!$B$95</f>
        <v>1.5036348026619637</v>
      </c>
      <c r="W3006" s="147">
        <f>W3005*'Assumptions (T&amp;D)'!$B$95</f>
        <v>1.5036348026619637</v>
      </c>
      <c r="X3006" s="147">
        <f>X3005*'Assumptions (T&amp;D)'!$B$95</f>
        <v>1.5036348026619637</v>
      </c>
      <c r="Y3006" s="147">
        <f>Y3005*'Assumptions (T&amp;D)'!$B$95</f>
        <v>1.5036348026619637</v>
      </c>
      <c r="Z3006" s="147">
        <f>Z3005*'Assumptions (T&amp;D)'!$B$95</f>
        <v>1.5036348026619637</v>
      </c>
      <c r="AA3006" s="147">
        <f>AA3005*'Assumptions (T&amp;D)'!$B$95</f>
        <v>1.5036348026619637</v>
      </c>
      <c r="AB3006" s="147">
        <f>AB3005*'Assumptions (T&amp;D)'!$B$95</f>
        <v>1.5036348026619637</v>
      </c>
      <c r="AC3006" s="147">
        <f>AC3005*'Assumptions (T&amp;D)'!$B$95</f>
        <v>1.5036348026619637</v>
      </c>
      <c r="AD3006" s="147">
        <f>AD3005*'Assumptions (T&amp;D)'!$B$95</f>
        <v>1.5036348026619637</v>
      </c>
      <c r="AE3006" s="147">
        <f>AE3005*'Assumptions (T&amp;D)'!$B$95</f>
        <v>1.5036348026619637</v>
      </c>
      <c r="AF3006" s="147">
        <f>AF3005*'Assumptions (T&amp;D)'!$B$95</f>
        <v>1.5036348026619637</v>
      </c>
      <c r="AG3006" s="147">
        <f>AG3005*'Assumptions (T&amp;D)'!$B$95</f>
        <v>1.5036348026619637</v>
      </c>
      <c r="AH3006" s="147">
        <f>AH3005*'Assumptions (T&amp;D)'!$B$95</f>
        <v>1.5036348026619637</v>
      </c>
      <c r="AI3006" s="147">
        <f>AI3005*'Assumptions (T&amp;D)'!$B$95</f>
        <v>1.5036348026619637</v>
      </c>
      <c r="AJ3006" s="147">
        <f>AJ3005*'Assumptions (T&amp;D)'!$B$95</f>
        <v>1.5036348026619637</v>
      </c>
      <c r="AK3006" s="147">
        <f>AK3005*'Assumptions (T&amp;D)'!$B$95</f>
        <v>1.5036348026619637</v>
      </c>
      <c r="AL3006" s="147">
        <f>AL3005*'Assumptions (T&amp;D)'!$B$95</f>
        <v>1.5036348026619637</v>
      </c>
      <c r="AM3006" s="147">
        <f>AM3005*'Assumptions (T&amp;D)'!$B$95</f>
        <v>1.5036348026619637</v>
      </c>
      <c r="AN3006" s="147">
        <f>AN3005*'Assumptions (T&amp;D)'!$B$95</f>
        <v>1.5036348026619637</v>
      </c>
      <c r="AO3006" s="147">
        <f>AO3005*'Assumptions (T&amp;D)'!$B$95</f>
        <v>1.5036348026619637</v>
      </c>
      <c r="AP3006" s="147">
        <f>AP3005*'Assumptions (T&amp;D)'!$B$95</f>
        <v>1.5036348026619637</v>
      </c>
      <c r="AQ3006" s="147">
        <f>AQ3005*'Assumptions (T&amp;D)'!$B$95</f>
        <v>1.5036348026619637</v>
      </c>
      <c r="AR3006" s="147">
        <f>AR3005*'Assumptions (T&amp;D)'!$B$95</f>
        <v>1.5036348026619637</v>
      </c>
      <c r="AS3006" s="147">
        <f>AS3005*'Assumptions (T&amp;D)'!$B$95</f>
        <v>1.5036348026619637</v>
      </c>
      <c r="AT3006" s="147">
        <f>AT3005*'Assumptions (T&amp;D)'!$B$95</f>
        <v>1.5036348026619637</v>
      </c>
      <c r="AU3006" s="147">
        <f>AU3005*'Assumptions (T&amp;D)'!$B$95</f>
        <v>1.5036348026619637</v>
      </c>
      <c r="AV3006" s="147">
        <f>AV3005*'Assumptions (T&amp;D)'!$B$95</f>
        <v>1.5036348026619637</v>
      </c>
      <c r="AW3006" s="147">
        <f>AW3005*'Assumptions (T&amp;D)'!$B$95</f>
        <v>1.5036348026619637</v>
      </c>
      <c r="AX3006" s="147">
        <f>AX3005*'Assumptions (T&amp;D)'!$B$95</f>
        <v>1.5036348026619637</v>
      </c>
      <c r="AY3006" s="147">
        <f>AY3005*'Assumptions (T&amp;D)'!$B$95</f>
        <v>1.5036348026619637</v>
      </c>
      <c r="AZ3006" s="147">
        <f>AZ3005*'Assumptions (T&amp;D)'!$B$95</f>
        <v>1.5036348026619637</v>
      </c>
      <c r="BA3006" s="147">
        <f>BA3005*'Assumptions (T&amp;D)'!$B$95</f>
        <v>1.5036348026619637</v>
      </c>
    </row>
    <row r="3007" spans="1:77" ht="15.75" customHeight="1">
      <c r="A3007" s="460" t="s">
        <v>54</v>
      </c>
      <c r="B3007" s="99" t="s">
        <v>201</v>
      </c>
      <c r="C3007" s="147">
        <f>C3005*'Assumptions (T&amp;D)'!$B$96</f>
        <v>1.4228571428571428</v>
      </c>
      <c r="D3007" s="147">
        <f>D3005*'Assumptions (T&amp;D)'!$B$96</f>
        <v>1.1057142857142856</v>
      </c>
      <c r="E3007" s="147">
        <f>E3005*'Assumptions (T&amp;D)'!$B$96</f>
        <v>1.2</v>
      </c>
      <c r="F3007" s="147">
        <f>F3005*'Assumptions (T&amp;D)'!$B$96</f>
        <v>1.32</v>
      </c>
      <c r="G3007" s="147">
        <f>G3005*'Assumptions (T&amp;D)'!$B$96</f>
        <v>1.1828571428571428</v>
      </c>
      <c r="H3007" s="147">
        <f>H3005*'Assumptions (T&amp;D)'!$B$96</f>
        <v>1.6114285714285714</v>
      </c>
      <c r="I3007" s="147">
        <f>I3005*'Assumptions (T&amp;D)'!$B$96</f>
        <v>1.3028571428571429</v>
      </c>
      <c r="J3007" s="147">
        <f>J3005*'Assumptions (T&amp;D)'!$B$96</f>
        <v>1.4742857142857144</v>
      </c>
      <c r="K3007" s="147">
        <f>K3005*'Assumptions (T&amp;D)'!$B$96</f>
        <v>1.8085714285714285</v>
      </c>
      <c r="L3007" s="147">
        <f>L3005*'Assumptions (T&amp;D)'!$B$96</f>
        <v>1.877142857142857</v>
      </c>
      <c r="M3007" s="147">
        <f>M3005*'Assumptions (T&amp;D)'!$B$96</f>
        <v>1.8171428571428572</v>
      </c>
      <c r="N3007" s="147">
        <f>N3005*'Assumptions (T&amp;D)'!$B$96</f>
        <v>2.322857142857143</v>
      </c>
      <c r="O3007" s="147">
        <f>O3005*'Assumptions (T&amp;D)'!$B$96</f>
        <v>2.725714285714286</v>
      </c>
      <c r="P3007" s="147">
        <f>P3005*'Assumptions (T&amp;D)'!$B$96</f>
        <v>2.4857142857142858</v>
      </c>
      <c r="Q3007" s="147">
        <f>Q3005*'Assumptions (T&amp;D)'!$B$96</f>
        <v>2.5714285714285712</v>
      </c>
      <c r="R3007" s="147">
        <f>R3005*'Assumptions (T&amp;D)'!$B$96</f>
        <v>2.8028571428571429</v>
      </c>
      <c r="S3007" s="147">
        <f>S3005*'Assumptions (T&amp;D)'!$B$96</f>
        <v>3.1457142857142855</v>
      </c>
      <c r="T3007" s="147">
        <f>T3005*'Assumptions (T&amp;D)'!$B$96</f>
        <v>2.2554522039929452</v>
      </c>
      <c r="U3007" s="147">
        <f>U3005*'Assumptions (T&amp;D)'!$B$96</f>
        <v>2.2554522039929452</v>
      </c>
      <c r="V3007" s="147">
        <f>V3005*'Assumptions (T&amp;D)'!$B$96</f>
        <v>2.2554522039929452</v>
      </c>
      <c r="W3007" s="147">
        <f>W3005*'Assumptions (T&amp;D)'!$B$96</f>
        <v>2.2554522039929452</v>
      </c>
      <c r="X3007" s="147">
        <f>X3005*'Assumptions (T&amp;D)'!$B$96</f>
        <v>2.2554522039929452</v>
      </c>
      <c r="Y3007" s="147">
        <f>Y3005*'Assumptions (T&amp;D)'!$B$96</f>
        <v>2.2554522039929452</v>
      </c>
      <c r="Z3007" s="147">
        <f>Z3005*'Assumptions (T&amp;D)'!$B$96</f>
        <v>2.2554522039929452</v>
      </c>
      <c r="AA3007" s="147">
        <f>AA3005*'Assumptions (T&amp;D)'!$B$96</f>
        <v>2.2554522039929452</v>
      </c>
      <c r="AB3007" s="147">
        <f>AB3005*'Assumptions (T&amp;D)'!$B$96</f>
        <v>2.2554522039929452</v>
      </c>
      <c r="AC3007" s="147">
        <f>AC3005*'Assumptions (T&amp;D)'!$B$96</f>
        <v>2.2554522039929452</v>
      </c>
      <c r="AD3007" s="147">
        <f>AD3005*'Assumptions (T&amp;D)'!$B$96</f>
        <v>2.2554522039929452</v>
      </c>
      <c r="AE3007" s="147">
        <f>AE3005*'Assumptions (T&amp;D)'!$B$96</f>
        <v>2.2554522039929452</v>
      </c>
      <c r="AF3007" s="147">
        <f>AF3005*'Assumptions (T&amp;D)'!$B$96</f>
        <v>2.2554522039929452</v>
      </c>
      <c r="AG3007" s="147">
        <f>AG3005*'Assumptions (T&amp;D)'!$B$96</f>
        <v>2.2554522039929452</v>
      </c>
      <c r="AH3007" s="147">
        <f>AH3005*'Assumptions (T&amp;D)'!$B$96</f>
        <v>2.2554522039929452</v>
      </c>
      <c r="AI3007" s="147">
        <f>AI3005*'Assumptions (T&amp;D)'!$B$96</f>
        <v>2.2554522039929452</v>
      </c>
      <c r="AJ3007" s="147">
        <f>AJ3005*'Assumptions (T&amp;D)'!$B$96</f>
        <v>2.2554522039929452</v>
      </c>
      <c r="AK3007" s="147">
        <f>AK3005*'Assumptions (T&amp;D)'!$B$96</f>
        <v>2.2554522039929452</v>
      </c>
      <c r="AL3007" s="147">
        <f>AL3005*'Assumptions (T&amp;D)'!$B$96</f>
        <v>2.2554522039929452</v>
      </c>
      <c r="AM3007" s="147">
        <f>AM3005*'Assumptions (T&amp;D)'!$B$96</f>
        <v>2.2554522039929452</v>
      </c>
      <c r="AN3007" s="147">
        <f>AN3005*'Assumptions (T&amp;D)'!$B$96</f>
        <v>2.2554522039929452</v>
      </c>
      <c r="AO3007" s="147">
        <f>AO3005*'Assumptions (T&amp;D)'!$B$96</f>
        <v>2.2554522039929452</v>
      </c>
      <c r="AP3007" s="147">
        <f>AP3005*'Assumptions (T&amp;D)'!$B$96</f>
        <v>2.2554522039929452</v>
      </c>
      <c r="AQ3007" s="147">
        <f>AQ3005*'Assumptions (T&amp;D)'!$B$96</f>
        <v>2.2554522039929452</v>
      </c>
      <c r="AR3007" s="147">
        <f>AR3005*'Assumptions (T&amp;D)'!$B$96</f>
        <v>2.2554522039929452</v>
      </c>
      <c r="AS3007" s="147">
        <f>AS3005*'Assumptions (T&amp;D)'!$B$96</f>
        <v>2.2554522039929452</v>
      </c>
      <c r="AT3007" s="147">
        <f>AT3005*'Assumptions (T&amp;D)'!$B$96</f>
        <v>2.2554522039929452</v>
      </c>
      <c r="AU3007" s="147">
        <f>AU3005*'Assumptions (T&amp;D)'!$B$96</f>
        <v>2.2554522039929452</v>
      </c>
      <c r="AV3007" s="147">
        <f>AV3005*'Assumptions (T&amp;D)'!$B$96</f>
        <v>2.2554522039929452</v>
      </c>
      <c r="AW3007" s="147">
        <f>AW3005*'Assumptions (T&amp;D)'!$B$96</f>
        <v>2.2554522039929452</v>
      </c>
      <c r="AX3007" s="147">
        <f>AX3005*'Assumptions (T&amp;D)'!$B$96</f>
        <v>2.2554522039929452</v>
      </c>
      <c r="AY3007" s="147">
        <f>AY3005*'Assumptions (T&amp;D)'!$B$96</f>
        <v>2.2554522039929452</v>
      </c>
      <c r="AZ3007" s="147">
        <f>AZ3005*'Assumptions (T&amp;D)'!$B$96</f>
        <v>2.2554522039929452</v>
      </c>
      <c r="BA3007" s="147">
        <f>BA3005*'Assumptions (T&amp;D)'!$B$96</f>
        <v>2.2554522039929452</v>
      </c>
    </row>
    <row r="3008" spans="1:77" ht="15.75" customHeight="1">
      <c r="A3008" s="460" t="s">
        <v>336</v>
      </c>
      <c r="B3008" s="99" t="s">
        <v>201</v>
      </c>
      <c r="C3008" s="91">
        <f t="array" ref="C3008">SUM(IF(ISERROR(C3009:C3059),"",C3009:C3059))</f>
        <v>-4.4792618926881862E-2</v>
      </c>
      <c r="D3008" s="91">
        <f t="array" ref="D3008">SUM(IF(ISERROR(D3009:D3059),"",D3009:D3059))</f>
        <v>-8.1728990263063933E-2</v>
      </c>
      <c r="E3008" s="91">
        <f t="array" ref="E3008">SUM(IF(ISERROR(E3009:E3059),"",E3009:E3059))</f>
        <v>-0.12338802482925502</v>
      </c>
      <c r="F3008" s="91">
        <f t="array" ref="F3008">SUM(IF(ISERROR(F3009:F3059),"",F3009:F3059))</f>
        <v>-0.17080355429020974</v>
      </c>
      <c r="G3008" s="91">
        <f t="array" ref="G3008">SUM(IF(ISERROR(G3009:G3059),"",G3009:G3059))</f>
        <v>-0.21615396054013741</v>
      </c>
      <c r="H3008" s="91">
        <f t="array" ref="H3008">SUM(IF(ISERROR(H3009:H3059),"",H3009:H3059))</f>
        <v>-0.27715026377575658</v>
      </c>
      <c r="I3008" s="91">
        <f t="array" ref="I3008">SUM(IF(ISERROR(I3009:I3059),"",I3009:I3059))</f>
        <v>-0.33132982947911732</v>
      </c>
      <c r="J3008" s="91">
        <f t="array" ref="J3008">SUM(IF(ISERROR(J3009:J3059),"",J3009:J3059))</f>
        <v>-0.39347962562891564</v>
      </c>
      <c r="K3008" s="91">
        <f t="array" ref="K3008">SUM(IF(ISERROR(K3009:K3059),"",K3009:K3059))</f>
        <v>-0.46910510419310886</v>
      </c>
      <c r="L3008" s="91">
        <f t="array" ref="L3008">SUM(IF(ISERROR(L3009:L3059),"",L3009:L3059))</f>
        <v>-0.55048147341931242</v>
      </c>
      <c r="M3008" s="91">
        <f t="array" ref="M3008">SUM(IF(ISERROR(M3009:M3059),"",M3009:M3059))</f>
        <v>-0.63383437480732585</v>
      </c>
      <c r="N3008" s="91">
        <f t="array" ref="N3008">SUM(IF(ISERROR(N3009:N3059),"",N3009:N3059))</f>
        <v>-0.73706680718407735</v>
      </c>
      <c r="O3008" s="91">
        <f t="array" ref="O3008">SUM(IF(ISERROR(O3009:O3059),"",O3009:O3059))</f>
        <v>-0.85788502762621532</v>
      </c>
      <c r="P3008" s="91">
        <f t="array" ref="P3008">SUM(IF(ISERROR(P3009:P3059),"",P3009:P3059))</f>
        <v>-0.97688673203361565</v>
      </c>
      <c r="Q3008" s="91">
        <f t="array" ref="Q3008">SUM(IF(ISERROR(Q3009:Q3059),"",Q3009:Q3059))</f>
        <v>-1.1042393679381313</v>
      </c>
      <c r="R3008" s="91">
        <f t="array" ref="R3008">SUM(IF(ISERROR(R3009:R3059),"",R3009:R3059))</f>
        <v>-1.1550770387160496</v>
      </c>
      <c r="S3008" s="91">
        <f t="array" ref="S3008">SUM(IF(ISERROR(S3009:S3059),"",S3009:S3059))</f>
        <v>-1.2391496551395587</v>
      </c>
      <c r="T3008" s="91">
        <f t="array" ref="T3008">SUM(IF(ISERROR(T3009:T3059),"",T3009:T3059))</f>
        <v>-1.2932356973513537</v>
      </c>
      <c r="U3008" s="91">
        <f t="array" ref="U3008">SUM(IF(ISERROR(U3009:U3059),"",U3009:U3059))</f>
        <v>-1.34231313581534</v>
      </c>
      <c r="V3008" s="91">
        <f t="array" ref="V3008">SUM(IF(ISERROR(V3009:V3059),"",V3009:V3059))</f>
        <v>-1.4023819706096445</v>
      </c>
      <c r="W3008" s="91">
        <f t="array" ref="W3008">SUM(IF(ISERROR(W3009:W3059),"",W3009:W3059))</f>
        <v>-1.4382408937964306</v>
      </c>
      <c r="X3008" s="91">
        <f t="array" ref="X3008">SUM(IF(ISERROR(X3009:X3059),"",X3009:X3059))</f>
        <v>-1.4952886063419675</v>
      </c>
      <c r="Y3008" s="91">
        <f t="array" ref="Y3008">SUM(IF(ISERROR(Y3009:Y3059),"",Y3009:Y3059))</f>
        <v>-1.5442208127293182</v>
      </c>
      <c r="Z3008" s="91">
        <f t="array" ref="Z3008">SUM(IF(ISERROR(Z3009:Z3059),"",Z3009:Z3059))</f>
        <v>-1.5743680175370742</v>
      </c>
      <c r="AA3008" s="91">
        <f t="array" ref="AA3008">SUM(IF(ISERROR(AA3009:AA3059),"",AA3009:AA3059))</f>
        <v>-1.6016171055715591</v>
      </c>
      <c r="AB3008" s="91">
        <f t="array" ref="AB3008">SUM(IF(ISERROR(AB3009:AB3059),"",AB3009:AB3059))</f>
        <v>-1.6339493706641164</v>
      </c>
      <c r="AC3008" s="91">
        <f t="array" ref="AC3008">SUM(IF(ISERROR(AC3009:AC3059),"",AC3009:AC3059))</f>
        <v>-1.6358828644614771</v>
      </c>
      <c r="AD3008" s="91">
        <f t="array" ref="AD3008">SUM(IF(ISERROR(AD3009:AD3059),"",AD3009:AD3059))</f>
        <v>-1.6124688088295791</v>
      </c>
      <c r="AE3008" s="91">
        <f t="array" ref="AE3008">SUM(IF(ISERROR(AE3009:AE3059),"",AE3009:AE3059))</f>
        <v>-1.6030979670609051</v>
      </c>
      <c r="AF3008" s="91">
        <f t="array" ref="AF3008">SUM(IF(ISERROR(AF3009:AF3059),"",AF3009:AF3059))</f>
        <v>-1.5878693740561693</v>
      </c>
      <c r="AG3008" s="91">
        <f t="array" ref="AG3008">SUM(IF(ISERROR(AG3009:AG3059),"",AG3009:AG3059))</f>
        <v>-1.5573033050031746</v>
      </c>
      <c r="AH3008" s="91">
        <f t="array" ref="AH3008">SUM(IF(ISERROR(AH3009:AH3059),"",AH3009:AH3059))</f>
        <v>-1.5036348026619637</v>
      </c>
      <c r="AI3008" s="91">
        <f t="array" ref="AI3008">SUM(IF(ISERROR(AI3009:AI3059),"",AI3009:AI3059))</f>
        <v>-1.5036348026619637</v>
      </c>
      <c r="AJ3008" s="91">
        <f t="array" ref="AJ3008">SUM(IF(ISERROR(AJ3009:AJ3059),"",AJ3009:AJ3059))</f>
        <v>-1.5036348026619637</v>
      </c>
      <c r="AK3008" s="91">
        <f t="array" ref="AK3008">SUM(IF(ISERROR(AK3009:AK3059),"",AK3009:AK3059))</f>
        <v>-1.5036348026619637</v>
      </c>
      <c r="AL3008" s="91">
        <f t="array" ref="AL3008">SUM(IF(ISERROR(AL3009:AL3059),"",AL3009:AL3059))</f>
        <v>-1.5036348026619637</v>
      </c>
      <c r="AM3008" s="91">
        <f t="array" ref="AM3008">SUM(IF(ISERROR(AM3009:AM3059),"",AM3009:AM3059))</f>
        <v>-1.5036348026619637</v>
      </c>
      <c r="AN3008" s="91">
        <f t="array" ref="AN3008">SUM(IF(ISERROR(AN3009:AN3059),"",AN3009:AN3059))</f>
        <v>-1.5036348026619637</v>
      </c>
      <c r="AO3008" s="91">
        <f t="array" ref="AO3008">SUM(IF(ISERROR(AO3009:AO3059),"",AO3009:AO3059))</f>
        <v>-1.5036348026619637</v>
      </c>
      <c r="AP3008" s="91">
        <f t="array" ref="AP3008">SUM(IF(ISERROR(AP3009:AP3059),"",AP3009:AP3059))</f>
        <v>-1.5036348026619637</v>
      </c>
      <c r="AQ3008" s="91">
        <f t="array" ref="AQ3008">SUM(IF(ISERROR(AQ3009:AQ3059),"",AQ3009:AQ3059))</f>
        <v>-1.5036348026619637</v>
      </c>
      <c r="AR3008" s="91">
        <f t="array" ref="AR3008">SUM(IF(ISERROR(AR3009:AR3059),"",AR3009:AR3059))</f>
        <v>-1.5036348026619637</v>
      </c>
      <c r="AS3008" s="91">
        <f t="array" ref="AS3008">SUM(IF(ISERROR(AS3009:AS3059),"",AS3009:AS3059))</f>
        <v>-1.5036348026619637</v>
      </c>
      <c r="AT3008" s="91">
        <f t="array" ref="AT3008">SUM(IF(ISERROR(AT3009:AT3059),"",AT3009:AT3059))</f>
        <v>-1.5036348026619637</v>
      </c>
      <c r="AU3008" s="91">
        <f t="array" ref="AU3008">SUM(IF(ISERROR(AU3009:AU3059),"",AU3009:AU3059))</f>
        <v>-1.5036348026619637</v>
      </c>
      <c r="AV3008" s="91">
        <f t="array" ref="AV3008">SUM(IF(ISERROR(AV3009:AV3059),"",AV3009:AV3059))</f>
        <v>-1.5036348026619637</v>
      </c>
      <c r="AW3008" s="91">
        <f t="array" ref="AW3008">SUM(IF(ISERROR(AW3009:AW3059),"",AW3009:AW3059))</f>
        <v>-1.5036348026619637</v>
      </c>
      <c r="AX3008" s="91">
        <f t="array" ref="AX3008">SUM(IF(ISERROR(AX3009:AX3059),"",AX3009:AX3059))</f>
        <v>-1.5036348026619637</v>
      </c>
      <c r="AY3008" s="91">
        <f t="array" ref="AY3008">SUM(IF(ISERROR(AY3009:AY3059),"",AY3009:AY3059))</f>
        <v>-1.5036348026619637</v>
      </c>
      <c r="AZ3008" s="91">
        <f t="array" ref="AZ3008">SUM(IF(ISERROR(AZ3009:AZ3059),"",AZ3009:AZ3059))</f>
        <v>-1.5036348026619637</v>
      </c>
      <c r="BA3008" s="91">
        <f t="array" ref="BA3008">SUM(IF(ISERROR(BA3009:BA3059),"",BA3009:BA3059))</f>
        <v>-1.5036348026619637</v>
      </c>
      <c r="BB3008" s="91">
        <f t="array" ref="BB3008">SUM(IF(ISERROR(BB3009:BB3059),"",BB3009:BB3059))</f>
        <v>-1.4326314615406019</v>
      </c>
      <c r="BC3008" s="91">
        <f t="array" ref="BC3008">SUM(IF(ISERROR(BC3009:BC3059),"",BC3009:BC3059))</f>
        <v>-1.3582554617159754</v>
      </c>
      <c r="BD3008" s="91">
        <f t="array" ref="BD3008">SUM(IF(ISERROR(BD3009:BD3059),"",BD3009:BD3059))</f>
        <v>-1.2803466018996792</v>
      </c>
      <c r="BE3008" s="91">
        <f t="array" ref="BE3008">SUM(IF(ISERROR(BE3009:BE3059),"",BE3009:BE3059))</f>
        <v>-1.198737071242109</v>
      </c>
      <c r="BF3008" s="91">
        <f t="array" ref="BF3008">SUM(IF(ISERROR(BF3009:BF3059),"",BF3009:BF3059))</f>
        <v>-1.1132510878783042</v>
      </c>
      <c r="BG3008" s="91">
        <f t="array" ref="BG3008">SUM(IF(ISERROR(BG3009:BG3059),"",BG3009:BG3059))</f>
        <v>-1.0237045203047186</v>
      </c>
      <c r="BH3008" s="91">
        <f t="array" ref="BH3008">SUM(IF(ISERROR(BH3009:BH3059),"",BH3009:BH3059))</f>
        <v>-0.92990449077138781</v>
      </c>
      <c r="BI3008" s="91">
        <f t="array" ref="BI3008">SUM(IF(ISERROR(BI3009:BI3059),"",BI3009:BI3059))</f>
        <v>-0.8316489598352238</v>
      </c>
      <c r="BJ3008" s="91">
        <f t="array" ref="BJ3008">SUM(IF(ISERROR(BJ3009:BJ3059),"",BJ3009:BJ3059))</f>
        <v>-0.72872629117959198</v>
      </c>
      <c r="BK3008" s="91">
        <f t="array" ref="BK3008">SUM(IF(ISERROR(BK3009:BK3059),"",BK3009:BK3059))</f>
        <v>-0.62091479576281761</v>
      </c>
      <c r="BL3008" s="91">
        <f t="array" ref="BL3008">SUM(IF(ISERROR(BL3009:BL3059),"",BL3009:BL3059))</f>
        <v>-0.50798225431374644</v>
      </c>
      <c r="BM3008" s="91">
        <f t="array" ref="BM3008">SUM(IF(ISERROR(BM3009:BM3059),"",BM3009:BM3059))</f>
        <v>-0.38968541714584437</v>
      </c>
      <c r="BN3008" s="91">
        <f t="array" ref="BN3008">SUM(IF(ISERROR(BN3009:BN3059),"",BN3009:BN3059))</f>
        <v>-0.26576948021246699</v>
      </c>
      <c r="BO3008" s="91">
        <f t="array" ref="BO3008">SUM(IF(ISERROR(BO3009:BO3059),"",BO3009:BO3059))</f>
        <v>-0.13596753627475416</v>
      </c>
      <c r="BP3008" s="91"/>
      <c r="BQ3008" s="91"/>
      <c r="BR3008" s="91"/>
      <c r="BS3008" s="91"/>
      <c r="BT3008" s="91"/>
      <c r="BU3008" s="91"/>
      <c r="BV3008" s="91"/>
      <c r="BW3008" s="91"/>
      <c r="BX3008" s="91"/>
      <c r="BY3008" s="91"/>
    </row>
    <row r="3009" spans="1:42" ht="15.75" hidden="1" customHeight="1" outlineLevel="1">
      <c r="A3009" s="460"/>
      <c r="B3009" s="99"/>
      <c r="C3009" s="377">
        <f>PPMT('Assumptions (T&amp;D)'!$B$97,Model!W$1,'Assumptions (T&amp;D)'!$B$100,Model!$C$3006)</f>
        <v>-4.4792618926881862E-2</v>
      </c>
      <c r="D3009" s="377">
        <f>PPMT('Assumptions (T&amp;D)'!$B$97,Model!X$1,'Assumptions (T&amp;D)'!$B$100,Model!$C$3006)</f>
        <v>-4.6920268325908752E-2</v>
      </c>
      <c r="E3009" s="377">
        <f>PPMT('Assumptions (T&amp;D)'!$B$97,Model!Y$1,'Assumptions (T&amp;D)'!$B$100,Model!$C$3006)</f>
        <v>-4.9148981071389417E-2</v>
      </c>
      <c r="F3009" s="377">
        <f>PPMT('Assumptions (T&amp;D)'!$B$97,Model!Z$1,'Assumptions (T&amp;D)'!$B$100,Model!$C$3006)</f>
        <v>-5.1483557672280404E-2</v>
      </c>
      <c r="G3009" s="377">
        <f>PPMT('Assumptions (T&amp;D)'!$B$97,Model!AA$1,'Assumptions (T&amp;D)'!$B$100,Model!$C$3006)</f>
        <v>-5.3929026661713723E-2</v>
      </c>
      <c r="H3009" s="377">
        <f>PPMT('Assumptions (T&amp;D)'!$B$97,Model!AB$1,'Assumptions (T&amp;D)'!$B$100,Model!$C$3006)</f>
        <v>-5.6490655428145131E-2</v>
      </c>
      <c r="I3009" s="377">
        <f>PPMT('Assumptions (T&amp;D)'!$B$97,Model!AC$1,'Assumptions (T&amp;D)'!$B$100,Model!$C$3006)</f>
        <v>-5.9173961560982029E-2</v>
      </c>
      <c r="J3009" s="377">
        <f>PPMT('Assumptions (T&amp;D)'!$B$97,Model!AD$1,'Assumptions (T&amp;D)'!$B$100,Model!$C$3006)</f>
        <v>-6.1984724735128678E-2</v>
      </c>
      <c r="K3009" s="377">
        <f>PPMT('Assumptions (T&amp;D)'!$B$97,Model!AE$1,'Assumptions (T&amp;D)'!$B$100,Model!$C$3006)</f>
        <v>-6.4928999160047282E-2</v>
      </c>
      <c r="L3009" s="377">
        <f>PPMT('Assumptions (T&amp;D)'!$B$97,Model!AF$1,'Assumptions (T&amp;D)'!$B$100,Model!$C$3006)</f>
        <v>-6.8013126620149536E-2</v>
      </c>
      <c r="M3009" s="377">
        <f>PPMT('Assumptions (T&amp;D)'!$B$97,Model!AG$1,'Assumptions (T&amp;D)'!$B$100,Model!$C$3006)</f>
        <v>-7.124375013460664E-2</v>
      </c>
      <c r="N3009" s="377">
        <f>PPMT('Assumptions (T&amp;D)'!$B$97,Model!AH$1,'Assumptions (T&amp;D)'!$B$100,Model!$C$3006)</f>
        <v>-7.4627828266000451E-2</v>
      </c>
      <c r="O3009" s="377">
        <f>PPMT('Assumptions (T&amp;D)'!$B$97,Model!AI$1,'Assumptions (T&amp;D)'!$B$100,Model!$C$3006)</f>
        <v>-7.8172650108635486E-2</v>
      </c>
      <c r="P3009" s="377">
        <f>PPMT('Assumptions (T&amp;D)'!$B$97,Model!AJ$1,'Assumptions (T&amp;D)'!$B$100,Model!$C$3006)</f>
        <v>-8.1885850988795666E-2</v>
      </c>
      <c r="Q3009" s="377">
        <f>PPMT('Assumptions (T&amp;D)'!$B$97,Model!AK$1,'Assumptions (T&amp;D)'!$B$100,Model!$C$3006)</f>
        <v>-8.5775428910763452E-2</v>
      </c>
      <c r="R3009" s="377"/>
      <c r="S3009" s="377"/>
      <c r="T3009" s="377"/>
      <c r="U3009" s="377"/>
      <c r="V3009" s="377"/>
      <c r="W3009" s="377"/>
      <c r="X3009" s="377"/>
      <c r="Y3009" s="377"/>
      <c r="Z3009" s="377"/>
      <c r="AA3009" s="377"/>
      <c r="AB3009" s="377"/>
    </row>
    <row r="3010" spans="1:42" ht="15.75" hidden="1" customHeight="1" outlineLevel="1">
      <c r="A3010" s="460"/>
      <c r="B3010" s="99"/>
      <c r="C3010" s="377"/>
      <c r="D3010" s="377">
        <f>PPMT('Assumptions (T&amp;D)'!$B$97,Model!W$1,'Assumptions (T&amp;D)'!$B$100,Model!$D$3006)</f>
        <v>-3.4808721937155181E-2</v>
      </c>
      <c r="E3010" s="377">
        <f>PPMT('Assumptions (T&amp;D)'!$B$97,Model!X$1,'Assumptions (T&amp;D)'!$B$100,Model!$D$3006)</f>
        <v>-3.6462136229170057E-2</v>
      </c>
      <c r="F3010" s="377">
        <f>PPMT('Assumptions (T&amp;D)'!$B$97,Model!Y$1,'Assumptions (T&amp;D)'!$B$100,Model!$D$3006)</f>
        <v>-3.819408770005564E-2</v>
      </c>
      <c r="G3010" s="377">
        <f>PPMT('Assumptions (T&amp;D)'!$B$97,Model!Z$1,'Assumptions (T&amp;D)'!$B$100,Model!$D$3006)</f>
        <v>-4.0008306865808273E-2</v>
      </c>
      <c r="H3010" s="377">
        <f>PPMT('Assumptions (T&amp;D)'!$B$97,Model!AA$1,'Assumptions (T&amp;D)'!$B$100,Model!$D$3006)</f>
        <v>-4.1908701441934169E-2</v>
      </c>
      <c r="I3010" s="377">
        <f>PPMT('Assumptions (T&amp;D)'!$B$97,Model!AB$1,'Assumptions (T&amp;D)'!$B$100,Model!$D$3006)</f>
        <v>-4.3899364760426038E-2</v>
      </c>
      <c r="J3010" s="377">
        <f>PPMT('Assumptions (T&amp;D)'!$B$97,Model!AC$1,'Assumptions (T&amp;D)'!$B$100,Model!$D$3006)</f>
        <v>-4.5984584586546279E-2</v>
      </c>
      <c r="K3010" s="377">
        <f>PPMT('Assumptions (T&amp;D)'!$B$97,Model!AD$1,'Assumptions (T&amp;D)'!$B$100,Model!$D$3006)</f>
        <v>-4.8168852354407231E-2</v>
      </c>
      <c r="L3010" s="377">
        <f>PPMT('Assumptions (T&amp;D)'!$B$97,Model!AE$1,'Assumptions (T&amp;D)'!$B$100,Model!$D$3006)</f>
        <v>-5.0456872841241562E-2</v>
      </c>
      <c r="M3010" s="377">
        <f>PPMT('Assumptions (T&amp;D)'!$B$97,Model!AF$1,'Assumptions (T&amp;D)'!$B$100,Model!$D$3006)</f>
        <v>-5.2853574301200551E-2</v>
      </c>
      <c r="N3010" s="377">
        <f>PPMT('Assumptions (T&amp;D)'!$B$97,Model!AG$1,'Assumptions (T&amp;D)'!$B$100,Model!$D$3006)</f>
        <v>-5.5364119080507576E-2</v>
      </c>
      <c r="O3010" s="377">
        <f>PPMT('Assumptions (T&amp;D)'!$B$97,Model!AH$1,'Assumptions (T&amp;D)'!$B$100,Model!$D$3006)</f>
        <v>-5.799391473683168E-2</v>
      </c>
      <c r="P3010" s="377">
        <f>PPMT('Assumptions (T&amp;D)'!$B$97,Model!AI$1,'Assumptions (T&amp;D)'!$B$100,Model!$D$3006)</f>
        <v>-6.074862568683119E-2</v>
      </c>
      <c r="Q3010" s="377">
        <f>PPMT('Assumptions (T&amp;D)'!$B$97,Model!AJ$1,'Assumptions (T&amp;D)'!$B$100,Model!$D$3006)</f>
        <v>-6.3634185406955673E-2</v>
      </c>
      <c r="R3010" s="377">
        <f>PPMT('Assumptions (T&amp;D)'!$B$97,Model!AK$1,'Assumptions (T&amp;D)'!$B$100,Model!$D$3006)</f>
        <v>-6.6656809213786056E-2</v>
      </c>
      <c r="S3010" s="377"/>
      <c r="T3010" s="377"/>
      <c r="U3010" s="377"/>
      <c r="V3010" s="377"/>
      <c r="W3010" s="377"/>
      <c r="X3010" s="377"/>
      <c r="Y3010" s="377"/>
      <c r="Z3010" s="377"/>
      <c r="AA3010" s="377"/>
      <c r="AB3010" s="377"/>
    </row>
    <row r="3011" spans="1:42" ht="15.75" hidden="1" customHeight="1" outlineLevel="1">
      <c r="A3011" s="460"/>
      <c r="B3011" s="99"/>
      <c r="C3011" s="377"/>
      <c r="D3011" s="377"/>
      <c r="E3011" s="377">
        <f>PPMT('Assumptions (T&amp;D)'!$B$97,Model!W$1,'Assumptions (T&amp;D)'!$B$100,Model!$E$3006)</f>
        <v>-3.7776907528695544E-2</v>
      </c>
      <c r="F3011" s="377">
        <f>PPMT('Assumptions (T&amp;D)'!$B$97,Model!X$1,'Assumptions (T&amp;D)'!$B$100,Model!$E$3006)</f>
        <v>-3.9571310636308588E-2</v>
      </c>
      <c r="G3011" s="377">
        <f>PPMT('Assumptions (T&amp;D)'!$B$97,Model!Y$1,'Assumptions (T&amp;D)'!$B$100,Model!$E$3006)</f>
        <v>-4.1450947891533245E-2</v>
      </c>
      <c r="H3011" s="377">
        <f>PPMT('Assumptions (T&amp;D)'!$B$97,Model!Z$1,'Assumptions (T&amp;D)'!$B$100,Model!$E$3006)</f>
        <v>-4.3419867916381069E-2</v>
      </c>
      <c r="I3011" s="377">
        <f>PPMT('Assumptions (T&amp;D)'!$B$97,Model!AA$1,'Assumptions (T&amp;D)'!$B$100,Model!$E$3006)</f>
        <v>-4.5482311642409165E-2</v>
      </c>
      <c r="J3011" s="377">
        <f>PPMT('Assumptions (T&amp;D)'!$B$97,Model!AB$1,'Assumptions (T&amp;D)'!$B$100,Model!$E$3006)</f>
        <v>-4.76427214454236E-2</v>
      </c>
      <c r="K3011" s="377">
        <f>PPMT('Assumptions (T&amp;D)'!$B$97,Model!AC$1,'Assumptions (T&amp;D)'!$B$100,Model!$E$3006)</f>
        <v>-4.990575071408123E-2</v>
      </c>
      <c r="L3011" s="377">
        <f>PPMT('Assumptions (T&amp;D)'!$B$97,Model!AD$1,'Assumptions (T&amp;D)'!$B$100,Model!$E$3006)</f>
        <v>-5.2276273873000087E-2</v>
      </c>
      <c r="M3011" s="377">
        <f>PPMT('Assumptions (T&amp;D)'!$B$97,Model!AE$1,'Assumptions (T&amp;D)'!$B$100,Model!$E$3006)</f>
        <v>-5.4759396881967584E-2</v>
      </c>
      <c r="N3011" s="377">
        <f>PPMT('Assumptions (T&amp;D)'!$B$97,Model!AF$1,'Assumptions (T&amp;D)'!$B$100,Model!$E$3006)</f>
        <v>-5.7360468233861046E-2</v>
      </c>
      <c r="O3011" s="377">
        <f>PPMT('Assumptions (T&amp;D)'!$B$97,Model!AG$1,'Assumptions (T&amp;D)'!$B$100,Model!$E$3006)</f>
        <v>-6.0085090474969453E-2</v>
      </c>
      <c r="P3011" s="377">
        <f>PPMT('Assumptions (T&amp;D)'!$B$97,Model!AH$1,'Assumptions (T&amp;D)'!$B$100,Model!$E$3006)</f>
        <v>-6.2939132272530507E-2</v>
      </c>
      <c r="Q3011" s="377">
        <f>PPMT('Assumptions (T&amp;D)'!$B$97,Model!AI$1,'Assumptions (T&amp;D)'!$B$100,Model!$E$3006)</f>
        <v>-6.5928741055475706E-2</v>
      </c>
      <c r="R3011" s="377">
        <f>PPMT('Assumptions (T&amp;D)'!$B$97,Model!AJ$1,'Assumptions (T&amp;D)'!$B$100,Model!$E$3006)</f>
        <v>-6.90603562556108E-2</v>
      </c>
      <c r="S3011" s="377">
        <f>PPMT('Assumptions (T&amp;D)'!$B$97,Model!AK$1,'Assumptions (T&amp;D)'!$B$100,Model!$E$3006)</f>
        <v>-7.2340723177752309E-2</v>
      </c>
      <c r="T3011" s="377"/>
      <c r="U3011" s="377"/>
      <c r="V3011" s="377"/>
      <c r="W3011" s="377"/>
      <c r="X3011" s="377"/>
      <c r="Y3011" s="377"/>
      <c r="Z3011" s="377"/>
      <c r="AA3011" s="377"/>
      <c r="AB3011" s="377"/>
      <c r="AC3011" s="377"/>
    </row>
    <row r="3012" spans="1:42" ht="15.75" hidden="1" customHeight="1" outlineLevel="1">
      <c r="A3012" s="460"/>
      <c r="B3012" s="99"/>
      <c r="C3012" s="377"/>
      <c r="D3012" s="377"/>
      <c r="E3012" s="377"/>
      <c r="F3012" s="377">
        <f>PPMT('Assumptions (T&amp;D)'!$B$97,Model!W$1,'Assumptions (T&amp;D)'!$B$100,Model!$F$3006)</f>
        <v>-4.155459828156511E-2</v>
      </c>
      <c r="G3012" s="377">
        <f>PPMT('Assumptions (T&amp;D)'!$B$97,Model!X$1,'Assumptions (T&amp;D)'!$B$100,Model!$F$3006)</f>
        <v>-4.3528441699939448E-2</v>
      </c>
      <c r="H3012" s="377">
        <f>PPMT('Assumptions (T&amp;D)'!$B$97,Model!Y$1,'Assumptions (T&amp;D)'!$B$100,Model!$F$3006)</f>
        <v>-4.5596042680686573E-2</v>
      </c>
      <c r="I3012" s="377">
        <f>PPMT('Assumptions (T&amp;D)'!$B$97,Model!Z$1,'Assumptions (T&amp;D)'!$B$100,Model!$F$3006)</f>
        <v>-4.7761854708019177E-2</v>
      </c>
      <c r="J3012" s="377">
        <f>PPMT('Assumptions (T&amp;D)'!$B$97,Model!AA$1,'Assumptions (T&amp;D)'!$B$100,Model!$F$3006)</f>
        <v>-5.0030542806650091E-2</v>
      </c>
      <c r="K3012" s="377">
        <f>PPMT('Assumptions (T&amp;D)'!$B$97,Model!AB$1,'Assumptions (T&amp;D)'!$B$100,Model!$F$3006)</f>
        <v>-5.2406993589965971E-2</v>
      </c>
      <c r="L3012" s="377">
        <f>PPMT('Assumptions (T&amp;D)'!$B$97,Model!AC$1,'Assumptions (T&amp;D)'!$B$100,Model!$F$3006)</f>
        <v>-5.4896325785489357E-2</v>
      </c>
      <c r="M3012" s="377">
        <f>PPMT('Assumptions (T&amp;D)'!$B$97,Model!AD$1,'Assumptions (T&amp;D)'!$B$100,Model!$F$3006)</f>
        <v>-5.7503901260300097E-2</v>
      </c>
      <c r="N3012" s="377">
        <f>PPMT('Assumptions (T&amp;D)'!$B$97,Model!AE$1,'Assumptions (T&amp;D)'!$B$100,Model!$F$3006)</f>
        <v>-6.0235336570164347E-2</v>
      </c>
      <c r="O3012" s="377">
        <f>PPMT('Assumptions (T&amp;D)'!$B$97,Model!AF$1,'Assumptions (T&amp;D)'!$B$100,Model!$F$3006)</f>
        <v>-6.3096515057247157E-2</v>
      </c>
      <c r="P3012" s="377">
        <f>PPMT('Assumptions (T&amp;D)'!$B$97,Model!AG$1,'Assumptions (T&amp;D)'!$B$100,Model!$F$3006)</f>
        <v>-6.6093599522466406E-2</v>
      </c>
      <c r="Q3012" s="377">
        <f>PPMT('Assumptions (T&amp;D)'!$B$97,Model!AH$1,'Assumptions (T&amp;D)'!$B$100,Model!$F$3006)</f>
        <v>-6.9233045499783555E-2</v>
      </c>
      <c r="R3012" s="377">
        <f>PPMT('Assumptions (T&amp;D)'!$B$97,Model!AI$1,'Assumptions (T&amp;D)'!$B$100,Model!$F$3006)</f>
        <v>-7.2521615161023276E-2</v>
      </c>
      <c r="S3012" s="377">
        <f>PPMT('Assumptions (T&amp;D)'!$B$97,Model!AJ$1,'Assumptions (T&amp;D)'!$B$100,Model!$F$3006)</f>
        <v>-7.596639188117188E-2</v>
      </c>
      <c r="T3012" s="377">
        <f>PPMT('Assumptions (T&amp;D)'!$B$97,Model!AK$1,'Assumptions (T&amp;D)'!$B$100,Model!$F$3006)</f>
        <v>-7.9574795495527539E-2</v>
      </c>
      <c r="U3012" s="377"/>
      <c r="V3012" s="377"/>
      <c r="W3012" s="377"/>
      <c r="X3012" s="377"/>
      <c r="Y3012" s="377"/>
      <c r="Z3012" s="377"/>
      <c r="AA3012" s="377"/>
      <c r="AB3012" s="377"/>
      <c r="AC3012" s="377"/>
      <c r="AD3012" s="377"/>
    </row>
    <row r="3013" spans="1:42" ht="15.75" hidden="1" customHeight="1" outlineLevel="1">
      <c r="A3013" s="460"/>
      <c r="B3013" s="99"/>
      <c r="C3013" s="377"/>
      <c r="D3013" s="377"/>
      <c r="E3013" s="377"/>
      <c r="F3013" s="377"/>
      <c r="G3013" s="377">
        <f>PPMT('Assumptions (T&amp;D)'!$B$97,Model!W$1,'Assumptions (T&amp;D)'!$B$100,Model!$G$3006)</f>
        <v>-3.7237237421142752E-2</v>
      </c>
      <c r="H3013" s="377">
        <f>PPMT('Assumptions (T&amp;D)'!$B$97,Model!X$1,'Assumptions (T&amp;D)'!$B$100,Model!$G$3006)</f>
        <v>-3.9006006198647032E-2</v>
      </c>
      <c r="I3013" s="377">
        <f>PPMT('Assumptions (T&amp;D)'!$B$97,Model!Y$1,'Assumptions (T&amp;D)'!$B$100,Model!$G$3006)</f>
        <v>-4.0858791493082774E-2</v>
      </c>
      <c r="J3013" s="377">
        <f>PPMT('Assumptions (T&amp;D)'!$B$97,Model!Z$1,'Assumptions (T&amp;D)'!$B$100,Model!$G$3006)</f>
        <v>-4.2799584089004195E-2</v>
      </c>
      <c r="K3013" s="377">
        <f>PPMT('Assumptions (T&amp;D)'!$B$97,Model!AA$1,'Assumptions (T&amp;D)'!$B$100,Model!$G$3006)</f>
        <v>-4.4832564333231892E-2</v>
      </c>
      <c r="L3013" s="377">
        <f>PPMT('Assumptions (T&amp;D)'!$B$97,Model!AB$1,'Assumptions (T&amp;D)'!$B$100,Model!$G$3006)</f>
        <v>-4.696211113906041E-2</v>
      </c>
      <c r="M3013" s="377">
        <f>PPMT('Assumptions (T&amp;D)'!$B$97,Model!AC$1,'Assumptions (T&amp;D)'!$B$100,Model!$G$3006)</f>
        <v>-4.9192811418165783E-2</v>
      </c>
      <c r="N3013" s="377">
        <f>PPMT('Assumptions (T&amp;D)'!$B$97,Model!AD$1,'Assumptions (T&amp;D)'!$B$100,Model!$G$3006)</f>
        <v>-5.1529469960528665E-2</v>
      </c>
      <c r="O3013" s="377">
        <f>PPMT('Assumptions (T&amp;D)'!$B$97,Model!AE$1,'Assumptions (T&amp;D)'!$B$100,Model!$G$3006)</f>
        <v>-5.3977119783653764E-2</v>
      </c>
      <c r="P3013" s="377">
        <f>PPMT('Assumptions (T&amp;D)'!$B$97,Model!AF$1,'Assumptions (T&amp;D)'!$B$100,Model!$G$3006)</f>
        <v>-5.6541032973377321E-2</v>
      </c>
      <c r="Q3013" s="377">
        <f>PPMT('Assumptions (T&amp;D)'!$B$97,Model!AG$1,'Assumptions (T&amp;D)'!$B$100,Model!$G$3006)</f>
        <v>-5.9226732039612755E-2</v>
      </c>
      <c r="R3013" s="377">
        <f>PPMT('Assumptions (T&amp;D)'!$B$97,Model!AH$1,'Assumptions (T&amp;D)'!$B$100,Model!$G$3006)</f>
        <v>-6.2040001811494355E-2</v>
      </c>
      <c r="S3013" s="377">
        <f>PPMT('Assumptions (T&amp;D)'!$B$97,Model!AI$1,'Assumptions (T&amp;D)'!$B$100,Model!$G$3006)</f>
        <v>-6.4986901897540333E-2</v>
      </c>
      <c r="T3013" s="377">
        <f>PPMT('Assumptions (T&amp;D)'!$B$97,Model!AJ$1,'Assumptions (T&amp;D)'!$B$100,Model!$G$3006)</f>
        <v>-6.8073779737673493E-2</v>
      </c>
      <c r="U3013" s="377">
        <f>PPMT('Assumptions (T&amp;D)'!$B$97,Model!AK$1,'Assumptions (T&amp;D)'!$B$100,Model!$G$3006)</f>
        <v>-7.130728427521299E-2</v>
      </c>
      <c r="V3013" s="377"/>
      <c r="W3013" s="377"/>
      <c r="X3013" s="377"/>
      <c r="Y3013" s="377"/>
      <c r="Z3013" s="377"/>
      <c r="AA3013" s="377"/>
      <c r="AB3013" s="377"/>
      <c r="AC3013" s="377"/>
      <c r="AD3013" s="377"/>
      <c r="AE3013" s="377"/>
    </row>
    <row r="3014" spans="1:42" ht="15.75" hidden="1" customHeight="1" outlineLevel="1">
      <c r="A3014" s="460"/>
      <c r="B3014" s="99"/>
      <c r="C3014" s="377"/>
      <c r="D3014" s="377"/>
      <c r="E3014" s="377"/>
      <c r="F3014" s="377"/>
      <c r="G3014" s="377"/>
      <c r="H3014" s="377">
        <f>PPMT('Assumptions (T&amp;D)'!$B$97,Model!W$1,'Assumptions (T&amp;D)'!$B$100,Model!$H$3006)</f>
        <v>-5.0728990109962603E-2</v>
      </c>
      <c r="I3014" s="377">
        <f>PPMT('Assumptions (T&amp;D)'!$B$97,Model!X$1,'Assumptions (T&amp;D)'!$B$100,Model!$H$3006)</f>
        <v>-5.313861714018582E-2</v>
      </c>
      <c r="J3014" s="377">
        <f>PPMT('Assumptions (T&amp;D)'!$B$97,Model!Y$1,'Assumptions (T&amp;D)'!$B$100,Model!$H$3006)</f>
        <v>-5.5662701454344654E-2</v>
      </c>
      <c r="K3014" s="377">
        <f>PPMT('Assumptions (T&amp;D)'!$B$97,Model!Z$1,'Assumptions (T&amp;D)'!$B$100,Model!$H$3006)</f>
        <v>-5.8306679773426018E-2</v>
      </c>
      <c r="L3014" s="377">
        <f>PPMT('Assumptions (T&amp;D)'!$B$97,Model!AA$1,'Assumptions (T&amp;D)'!$B$100,Model!$H$3006)</f>
        <v>-6.1076247062663756E-2</v>
      </c>
      <c r="M3014" s="377">
        <f>PPMT('Assumptions (T&amp;D)'!$B$97,Model!AB$1,'Assumptions (T&amp;D)'!$B$100,Model!$H$3006)</f>
        <v>-6.3977368798140283E-2</v>
      </c>
      <c r="N3014" s="377">
        <f>PPMT('Assumptions (T&amp;D)'!$B$97,Model!AC$1,'Assumptions (T&amp;D)'!$B$100,Model!$H$3006)</f>
        <v>-6.7016293816051953E-2</v>
      </c>
      <c r="O3014" s="377">
        <f>PPMT('Assumptions (T&amp;D)'!$B$97,Model!AD$1,'Assumptions (T&amp;D)'!$B$100,Model!$H$3006)</f>
        <v>-7.0199567772314425E-2</v>
      </c>
      <c r="P3014" s="377">
        <f>PPMT('Assumptions (T&amp;D)'!$B$97,Model!AE$1,'Assumptions (T&amp;D)'!$B$100,Model!$H$3006)</f>
        <v>-7.3534047241499353E-2</v>
      </c>
      <c r="Q3014" s="377">
        <f>PPMT('Assumptions (T&amp;D)'!$B$97,Model!AF$1,'Assumptions (T&amp;D)'!$B$100,Model!$H$3006)</f>
        <v>-7.7026914485470568E-2</v>
      </c>
      <c r="R3014" s="377">
        <f>PPMT('Assumptions (T&amp;D)'!$B$97,Model!AG$1,'Assumptions (T&amp;D)'!$B$100,Model!$H$3006)</f>
        <v>-8.0685692923530436E-2</v>
      </c>
      <c r="S3014" s="377">
        <f>PPMT('Assumptions (T&amp;D)'!$B$97,Model!AH$1,'Assumptions (T&amp;D)'!$B$100,Model!$H$3006)</f>
        <v>-8.4518263337398133E-2</v>
      </c>
      <c r="T3014" s="377">
        <f>PPMT('Assumptions (T&amp;D)'!$B$97,Model!AI$1,'Assumptions (T&amp;D)'!$B$100,Model!$H$3006)</f>
        <v>-8.8532880845924547E-2</v>
      </c>
      <c r="U3014" s="377">
        <f>PPMT('Assumptions (T&amp;D)'!$B$97,Model!AJ$1,'Assumptions (T&amp;D)'!$B$100,Model!$H$3006)</f>
        <v>-9.2738192686105961E-2</v>
      </c>
      <c r="V3014" s="377">
        <f>PPMT('Assumptions (T&amp;D)'!$B$97,Model!AK$1,'Assumptions (T&amp;D)'!$B$100,Model!$H$3006)</f>
        <v>-9.7143256838695985E-2</v>
      </c>
      <c r="W3014" s="377"/>
      <c r="X3014" s="377"/>
      <c r="Y3014" s="377"/>
      <c r="Z3014" s="377"/>
      <c r="AA3014" s="377"/>
      <c r="AB3014" s="377"/>
      <c r="AC3014" s="377"/>
      <c r="AD3014" s="377"/>
      <c r="AE3014" s="377"/>
      <c r="AF3014" s="377"/>
    </row>
    <row r="3015" spans="1:42" ht="15.75" hidden="1" customHeight="1" outlineLevel="1">
      <c r="A3015" s="460"/>
      <c r="B3015" s="99"/>
      <c r="C3015" s="377"/>
      <c r="D3015" s="377"/>
      <c r="E3015" s="377"/>
      <c r="F3015" s="377"/>
      <c r="G3015" s="377"/>
      <c r="H3015" s="377"/>
      <c r="I3015" s="377">
        <f>PPMT('Assumptions (T&amp;D)'!$B$97,Model!W$1,'Assumptions (T&amp;D)'!$B$100,Model!$I$3006)</f>
        <v>-4.1014928174012311E-2</v>
      </c>
      <c r="J3015" s="377">
        <f>PPMT('Assumptions (T&amp;D)'!$B$97,Model!X$1,'Assumptions (T&amp;D)'!$B$100,Model!$I$3006)</f>
        <v>-4.2963137262277892E-2</v>
      </c>
      <c r="K3015" s="377">
        <f>PPMT('Assumptions (T&amp;D)'!$B$97,Model!Y$1,'Assumptions (T&amp;D)'!$B$100,Model!$I$3006)</f>
        <v>-4.5003886282236095E-2</v>
      </c>
      <c r="L3015" s="377">
        <f>PPMT('Assumptions (T&amp;D)'!$B$97,Model!Z$1,'Assumptions (T&amp;D)'!$B$100,Model!$I$3006)</f>
        <v>-4.714157088064231E-2</v>
      </c>
      <c r="M3015" s="377">
        <f>PPMT('Assumptions (T&amp;D)'!$B$97,Model!AA$1,'Assumptions (T&amp;D)'!$B$100,Model!$I$3006)</f>
        <v>-4.9380795497472818E-2</v>
      </c>
      <c r="N3015" s="377">
        <f>PPMT('Assumptions (T&amp;D)'!$B$97,Model!AB$1,'Assumptions (T&amp;D)'!$B$100,Model!$I$3006)</f>
        <v>-5.1726383283602781E-2</v>
      </c>
      <c r="O3015" s="377">
        <f>PPMT('Assumptions (T&amp;D)'!$B$97,Model!AC$1,'Assumptions (T&amp;D)'!$B$100,Model!$I$3006)</f>
        <v>-5.4183386489573916E-2</v>
      </c>
      <c r="P3015" s="377">
        <f>PPMT('Assumptions (T&amp;D)'!$B$97,Model!AD$1,'Assumptions (T&amp;D)'!$B$100,Model!$I$3006)</f>
        <v>-5.6757097347828668E-2</v>
      </c>
      <c r="Q3015" s="377">
        <f>PPMT('Assumptions (T&amp;D)'!$B$97,Model!AE$1,'Assumptions (T&amp;D)'!$B$100,Model!$I$3006)</f>
        <v>-5.9453059471850526E-2</v>
      </c>
      <c r="R3015" s="377">
        <f>PPMT('Assumptions (T&amp;D)'!$B$97,Model!AF$1,'Assumptions (T&amp;D)'!$B$100,Model!$I$3006)</f>
        <v>-6.2277079796763439E-2</v>
      </c>
      <c r="S3015" s="377">
        <f>PPMT('Assumptions (T&amp;D)'!$B$97,Model!AG$1,'Assumptions (T&amp;D)'!$B$100,Model!$I$3006)</f>
        <v>-6.5235241087109708E-2</v>
      </c>
      <c r="T3015" s="377">
        <f>PPMT('Assumptions (T&amp;D)'!$B$97,Model!AH$1,'Assumptions (T&amp;D)'!$B$100,Model!$I$3006)</f>
        <v>-6.8333915038747417E-2</v>
      </c>
      <c r="U3015" s="377">
        <f>PPMT('Assumptions (T&amp;D)'!$B$97,Model!AI$1,'Assumptions (T&amp;D)'!$B$100,Model!$I$3006)</f>
        <v>-7.1579776003087917E-2</v>
      </c>
      <c r="V3015" s="377">
        <f>PPMT('Assumptions (T&amp;D)'!$B$97,Model!AJ$1,'Assumptions (T&amp;D)'!$B$100,Model!$I$3006)</f>
        <v>-7.4979815363234587E-2</v>
      </c>
      <c r="W3015" s="377">
        <f>PPMT('Assumptions (T&amp;D)'!$B$97,Model!AK$1,'Assumptions (T&amp;D)'!$B$100,Model!$I$3006)</f>
        <v>-7.8541356592988235E-2</v>
      </c>
      <c r="X3015" s="377"/>
      <c r="Y3015" s="377"/>
      <c r="Z3015" s="377"/>
      <c r="AA3015" s="377"/>
      <c r="AB3015" s="377"/>
      <c r="AC3015" s="377"/>
      <c r="AD3015" s="377"/>
      <c r="AE3015" s="377"/>
      <c r="AF3015" s="377"/>
      <c r="AG3015" s="377"/>
    </row>
    <row r="3016" spans="1:42" ht="15.75" hidden="1" customHeight="1" outlineLevel="1">
      <c r="A3016" s="460"/>
      <c r="B3016" s="99"/>
      <c r="C3016" s="377"/>
      <c r="D3016" s="377"/>
      <c r="E3016" s="377"/>
      <c r="F3016" s="377"/>
      <c r="G3016" s="377"/>
      <c r="H3016" s="377"/>
      <c r="I3016" s="377"/>
      <c r="J3016" s="377">
        <f>PPMT('Assumptions (T&amp;D)'!$B$97,Model!W$1,'Assumptions (T&amp;D)'!$B$100,Model!$J$3006)</f>
        <v>-4.6411629249540245E-2</v>
      </c>
      <c r="K3016" s="377">
        <f>PPMT('Assumptions (T&amp;D)'!$B$97,Model!X$1,'Assumptions (T&amp;D)'!$B$100,Model!$J$3006)</f>
        <v>-4.8616181638893405E-2</v>
      </c>
      <c r="L3016" s="377">
        <f>PPMT('Assumptions (T&amp;D)'!$B$97,Model!Y$1,'Assumptions (T&amp;D)'!$B$100,Model!$J$3006)</f>
        <v>-5.0925450266740849E-2</v>
      </c>
      <c r="M3016" s="377">
        <f>PPMT('Assumptions (T&amp;D)'!$B$97,Model!Z$1,'Assumptions (T&amp;D)'!$B$100,Model!$J$3006)</f>
        <v>-5.3344409154411028E-2</v>
      </c>
      <c r="N3016" s="377">
        <f>PPMT('Assumptions (T&amp;D)'!$B$97,Model!AA$1,'Assumptions (T&amp;D)'!$B$100,Model!$J$3006)</f>
        <v>-5.587826858924555E-2</v>
      </c>
      <c r="O3016" s="377">
        <f>PPMT('Assumptions (T&amp;D)'!$B$97,Model!AB$1,'Assumptions (T&amp;D)'!$B$100,Model!$J$3006)</f>
        <v>-5.8532486347234722E-2</v>
      </c>
      <c r="P3016" s="377">
        <f>PPMT('Assumptions (T&amp;D)'!$B$97,Model!AC$1,'Assumptions (T&amp;D)'!$B$100,Model!$J$3006)</f>
        <v>-6.1312779448728372E-2</v>
      </c>
      <c r="Q3016" s="377">
        <f>PPMT('Assumptions (T&amp;D)'!$B$97,Model!AD$1,'Assumptions (T&amp;D)'!$B$100,Model!$J$3006)</f>
        <v>-6.4225136472542979E-2</v>
      </c>
      <c r="R3016" s="377">
        <f>PPMT('Assumptions (T&amp;D)'!$B$97,Model!AE$1,'Assumptions (T&amp;D)'!$B$100,Model!$J$3006)</f>
        <v>-6.727583045498875E-2</v>
      </c>
      <c r="S3016" s="377">
        <f>PPMT('Assumptions (T&amp;D)'!$B$97,Model!AF$1,'Assumptions (T&amp;D)'!$B$100,Model!$J$3006)</f>
        <v>-7.0471432401600725E-2</v>
      </c>
      <c r="T3016" s="377">
        <f>PPMT('Assumptions (T&amp;D)'!$B$97,Model!AG$1,'Assumptions (T&amp;D)'!$B$100,Model!$J$3006)</f>
        <v>-7.3818825440676764E-2</v>
      </c>
      <c r="U3016" s="377">
        <f>PPMT('Assumptions (T&amp;D)'!$B$97,Model!AH$1,'Assumptions (T&amp;D)'!$B$100,Model!$J$3006)</f>
        <v>-7.7325219649108906E-2</v>
      </c>
      <c r="V3016" s="377">
        <f>PPMT('Assumptions (T&amp;D)'!$B$97,Model!AI$1,'Assumptions (T&amp;D)'!$B$100,Model!$J$3006)</f>
        <v>-8.0998167582441577E-2</v>
      </c>
      <c r="W3016" s="377">
        <f>PPMT('Assumptions (T&amp;D)'!$B$97,Model!AJ$1,'Assumptions (T&amp;D)'!$B$100,Model!$J$3006)</f>
        <v>-8.484558054260756E-2</v>
      </c>
      <c r="X3016" s="377">
        <f>PPMT('Assumptions (T&amp;D)'!$B$97,Model!AK$1,'Assumptions (T&amp;D)'!$B$100,Model!$J$3006)</f>
        <v>-8.8875745618381408E-2</v>
      </c>
      <c r="Y3016" s="377"/>
      <c r="Z3016" s="377"/>
      <c r="AA3016" s="377"/>
      <c r="AB3016" s="377"/>
      <c r="AC3016" s="377"/>
      <c r="AD3016" s="377"/>
      <c r="AE3016" s="377"/>
      <c r="AF3016" s="377"/>
      <c r="AG3016" s="377"/>
      <c r="AH3016" s="377"/>
    </row>
    <row r="3017" spans="1:42" ht="15.75" hidden="1" customHeight="1" outlineLevel="1">
      <c r="A3017" s="460"/>
      <c r="B3017" s="99"/>
      <c r="C3017" s="377"/>
      <c r="D3017" s="377"/>
      <c r="E3017" s="377"/>
      <c r="F3017" s="377"/>
      <c r="G3017" s="377"/>
      <c r="H3017" s="377"/>
      <c r="I3017" s="377"/>
      <c r="J3017" s="377"/>
      <c r="K3017" s="377">
        <f>PPMT('Assumptions (T&amp;D)'!$B$97,Model!W$1,'Assumptions (T&amp;D)'!$B$100,Model!$K$3006)</f>
        <v>-5.6935196346819705E-2</v>
      </c>
      <c r="L3017" s="377">
        <f>PPMT('Assumptions (T&amp;D)'!$B$97,Model!X$1,'Assumptions (T&amp;D)'!$B$100,Model!$K$3006)</f>
        <v>-5.9639618173293642E-2</v>
      </c>
      <c r="M3017" s="377">
        <f>PPMT('Assumptions (T&amp;D)'!$B$97,Model!Y$1,'Assumptions (T&amp;D)'!$B$100,Model!$K$3006)</f>
        <v>-6.2472500036525103E-2</v>
      </c>
      <c r="N3017" s="377">
        <f>PPMT('Assumptions (T&amp;D)'!$B$97,Model!Z$1,'Assumptions (T&amp;D)'!$B$100,Model!$K$3006)</f>
        <v>-6.5439943788260041E-2</v>
      </c>
      <c r="O3017" s="377">
        <f>PPMT('Assumptions (T&amp;D)'!$B$97,Model!AA$1,'Assumptions (T&amp;D)'!$B$100,Model!$K$3006)</f>
        <v>-6.8548341118202377E-2</v>
      </c>
      <c r="P3017" s="377">
        <f>PPMT('Assumptions (T&amp;D)'!$B$97,Model!AB$1,'Assumptions (T&amp;D)'!$B$100,Model!$K$3006)</f>
        <v>-7.1804387321316998E-2</v>
      </c>
      <c r="Q3017" s="377">
        <f>PPMT('Assumptions (T&amp;D)'!$B$97,Model!AC$1,'Assumptions (T&amp;D)'!$B$100,Model!$K$3006)</f>
        <v>-7.5215095719079555E-2</v>
      </c>
      <c r="R3017" s="377">
        <f>PPMT('Assumptions (T&amp;D)'!$B$97,Model!AD$1,'Assumptions (T&amp;D)'!$B$100,Model!$K$3006)</f>
        <v>-7.8787812765735835E-2</v>
      </c>
      <c r="S3017" s="377">
        <f>PPMT('Assumptions (T&amp;D)'!$B$97,Model!AE$1,'Assumptions (T&amp;D)'!$B$100,Model!$K$3006)</f>
        <v>-8.2530233872108283E-2</v>
      </c>
      <c r="T3017" s="377">
        <f>PPMT('Assumptions (T&amp;D)'!$B$97,Model!AF$1,'Assumptions (T&amp;D)'!$B$100,Model!$K$3006)</f>
        <v>-8.6450419981033436E-2</v>
      </c>
      <c r="U3017" s="377">
        <f>PPMT('Assumptions (T&amp;D)'!$B$97,Model!AG$1,'Assumptions (T&amp;D)'!$B$100,Model!$K$3006)</f>
        <v>-9.0556814930132526E-2</v>
      </c>
      <c r="V3017" s="377">
        <f>PPMT('Assumptions (T&amp;D)'!$B$97,Model!AH$1,'Assumptions (T&amp;D)'!$B$100,Model!$K$3006)</f>
        <v>-9.4858263639313822E-2</v>
      </c>
      <c r="W3017" s="377">
        <f>PPMT('Assumptions (T&amp;D)'!$B$97,Model!AI$1,'Assumptions (T&amp;D)'!$B$100,Model!$K$3006)</f>
        <v>-9.9364031162181218E-2</v>
      </c>
      <c r="X3017" s="377">
        <f>PPMT('Assumptions (T&amp;D)'!$B$97,Model!AJ$1,'Assumptions (T&amp;D)'!$B$100,Model!$K$3006)</f>
        <v>-0.10408382264238483</v>
      </c>
      <c r="Y3017" s="377">
        <f>PPMT('Assumptions (T&amp;D)'!$B$97,Model!AK$1,'Assumptions (T&amp;D)'!$B$100,Model!$K$3006)</f>
        <v>-0.10902780421789811</v>
      </c>
      <c r="Z3017" s="377"/>
      <c r="AA3017" s="377"/>
      <c r="AB3017" s="377"/>
      <c r="AC3017" s="377"/>
      <c r="AD3017" s="377"/>
      <c r="AE3017" s="377"/>
      <c r="AF3017" s="377"/>
      <c r="AG3017" s="377"/>
      <c r="AH3017" s="377"/>
      <c r="AI3017" s="377"/>
    </row>
    <row r="3018" spans="1:42" ht="15.75" hidden="1" customHeight="1" outlineLevel="1">
      <c r="A3018" s="460"/>
      <c r="B3018" s="99"/>
      <c r="C3018" s="377"/>
      <c r="D3018" s="377"/>
      <c r="E3018" s="377"/>
      <c r="F3018" s="377"/>
      <c r="G3018" s="377"/>
      <c r="H3018" s="377"/>
      <c r="I3018" s="377"/>
      <c r="J3018" s="377"/>
      <c r="K3018" s="377"/>
      <c r="L3018" s="377">
        <f>PPMT('Assumptions (T&amp;D)'!$B$97,Model!W$1,'Assumptions (T&amp;D)'!$B$100,Model!$L$3006)</f>
        <v>-5.9093876777030895E-2</v>
      </c>
      <c r="M3018" s="377">
        <f>PPMT('Assumptions (T&amp;D)'!$B$97,Model!X$1,'Assumptions (T&amp;D)'!$B$100,Model!$L$3006)</f>
        <v>-6.1900835923939856E-2</v>
      </c>
      <c r="N3018" s="377">
        <f>PPMT('Assumptions (T&amp;D)'!$B$97,Model!Y$1,'Assumptions (T&amp;D)'!$B$100,Model!$L$3006)</f>
        <v>-6.4841125630326998E-2</v>
      </c>
      <c r="O3018" s="377">
        <f>PPMT('Assumptions (T&amp;D)'!$B$97,Model!Z$1,'Assumptions (T&amp;D)'!$B$100,Model!$L$3006)</f>
        <v>-6.7921079097767526E-2</v>
      </c>
      <c r="P3018" s="377">
        <f>PPMT('Assumptions (T&amp;D)'!$B$97,Model!AA$1,'Assumptions (T&amp;D)'!$B$100,Model!$L$3006)</f>
        <v>-7.1147330354911484E-2</v>
      </c>
      <c r="Q3018" s="377">
        <f>PPMT('Assumptions (T&amp;D)'!$B$97,Model!AB$1,'Assumptions (T&amp;D)'!$B$100,Model!$L$3006)</f>
        <v>-7.4526828546769786E-2</v>
      </c>
      <c r="R3018" s="377">
        <f>PPMT('Assumptions (T&amp;D)'!$B$97,Model!AC$1,'Assumptions (T&amp;D)'!$B$100,Model!$L$3006)</f>
        <v>-7.8066852902741346E-2</v>
      </c>
      <c r="S3018" s="377">
        <f>PPMT('Assumptions (T&amp;D)'!$B$97,Model!AD$1,'Assumptions (T&amp;D)'!$B$100,Model!$L$3006)</f>
        <v>-8.1775028415621565E-2</v>
      </c>
      <c r="T3018" s="377">
        <f>PPMT('Assumptions (T&amp;D)'!$B$97,Model!AE$1,'Assumptions (T&amp;D)'!$B$100,Model!$L$3006)</f>
        <v>-8.5659342265363592E-2</v>
      </c>
      <c r="U3018" s="377">
        <f>PPMT('Assumptions (T&amp;D)'!$B$97,Model!AF$1,'Assumptions (T&amp;D)'!$B$100,Model!$L$3006)</f>
        <v>-8.9728161022968364E-2</v>
      </c>
      <c r="V3018" s="377">
        <f>PPMT('Assumptions (T&amp;D)'!$B$97,Model!AG$1,'Assumptions (T&amp;D)'!$B$100,Model!$L$3006)</f>
        <v>-9.3990248671559376E-2</v>
      </c>
      <c r="W3018" s="377">
        <f>PPMT('Assumptions (T&amp;D)'!$B$97,Model!AH$1,'Assumptions (T&amp;D)'!$B$100,Model!$L$3006)</f>
        <v>-9.8454785483458415E-2</v>
      </c>
      <c r="X3018" s="377">
        <f>PPMT('Assumptions (T&amp;D)'!$B$97,Model!AI$1,'Assumptions (T&amp;D)'!$B$100,Model!$L$3006)</f>
        <v>-0.10313138779392272</v>
      </c>
      <c r="Y3018" s="377">
        <f>PPMT('Assumptions (T&amp;D)'!$B$97,Model!AJ$1,'Assumptions (T&amp;D)'!$B$100,Model!$L$3006)</f>
        <v>-0.10803012871413405</v>
      </c>
      <c r="Z3018" s="377">
        <f>PPMT('Assumptions (T&amp;D)'!$B$97,Model!AK$1,'Assumptions (T&amp;D)'!$B$100,Model!$L$3006)</f>
        <v>-0.1131615598280554</v>
      </c>
      <c r="AA3018" s="377"/>
      <c r="AB3018" s="377"/>
      <c r="AC3018" s="377"/>
      <c r="AD3018" s="377"/>
      <c r="AE3018" s="377"/>
      <c r="AF3018" s="377"/>
      <c r="AG3018" s="377"/>
      <c r="AH3018" s="377"/>
      <c r="AI3018" s="377"/>
      <c r="AJ3018" s="377"/>
    </row>
    <row r="3019" spans="1:42" ht="15.75" hidden="1" customHeight="1" outlineLevel="1">
      <c r="A3019" s="460"/>
      <c r="B3019" s="99"/>
      <c r="C3019" s="377"/>
      <c r="D3019" s="377"/>
      <c r="E3019" s="377"/>
      <c r="F3019" s="377"/>
      <c r="G3019" s="377"/>
      <c r="H3019" s="377"/>
      <c r="I3019" s="377"/>
      <c r="J3019" s="377"/>
      <c r="K3019" s="377"/>
      <c r="L3019" s="377"/>
      <c r="M3019" s="377">
        <f>PPMT('Assumptions (T&amp;D)'!$B$97,Model!W$1,'Assumptions (T&amp;D)'!$B$100,Model!$M$3006)</f>
        <v>-5.7205031400596122E-2</v>
      </c>
      <c r="N3019" s="377">
        <f>PPMT('Assumptions (T&amp;D)'!$B$97,Model!X$1,'Assumptions (T&amp;D)'!$B$100,Model!$M$3006)</f>
        <v>-5.9922270392124444E-2</v>
      </c>
      <c r="O3019" s="377">
        <f>PPMT('Assumptions (T&amp;D)'!$B$97,Model!Y$1,'Assumptions (T&amp;D)'!$B$100,Model!$M$3006)</f>
        <v>-6.2768578235750355E-2</v>
      </c>
      <c r="P3019" s="377">
        <f>PPMT('Assumptions (T&amp;D)'!$B$97,Model!Z$1,'Assumptions (T&amp;D)'!$B$100,Model!$M$3006)</f>
        <v>-6.5750085701948485E-2</v>
      </c>
      <c r="Q3019" s="377">
        <f>PPMT('Assumptions (T&amp;D)'!$B$97,Model!AA$1,'Assumptions (T&amp;D)'!$B$100,Model!$M$3006)</f>
        <v>-6.8873214772791042E-2</v>
      </c>
      <c r="R3019" s="377">
        <f>PPMT('Assumptions (T&amp;D)'!$B$97,Model!AB$1,'Assumptions (T&amp;D)'!$B$100,Model!$M$3006)</f>
        <v>-7.2144692474498631E-2</v>
      </c>
      <c r="S3019" s="377">
        <f>PPMT('Assumptions (T&amp;D)'!$B$97,Model!AC$1,'Assumptions (T&amp;D)'!$B$100,Model!$M$3006)</f>
        <v>-7.5571565367037311E-2</v>
      </c>
      <c r="T3019" s="377">
        <f>PPMT('Assumptions (T&amp;D)'!$B$97,Model!AD$1,'Assumptions (T&amp;D)'!$B$100,Model!$M$3006)</f>
        <v>-7.9161214721971573E-2</v>
      </c>
      <c r="U3019" s="377">
        <f>PPMT('Assumptions (T&amp;D)'!$B$97,Model!AE$1,'Assumptions (T&amp;D)'!$B$100,Model!$M$3006)</f>
        <v>-8.2921372421265224E-2</v>
      </c>
      <c r="V3019" s="377">
        <f>PPMT('Assumptions (T&amp;D)'!$B$97,Model!AF$1,'Assumptions (T&amp;D)'!$B$100,Model!$M$3006)</f>
        <v>-8.6860137611275326E-2</v>
      </c>
      <c r="W3019" s="377">
        <f>PPMT('Assumptions (T&amp;D)'!$B$97,Model!AG$1,'Assumptions (T&amp;D)'!$B$100,Model!$M$3006)</f>
        <v>-9.0985994147810917E-2</v>
      </c>
      <c r="X3019" s="377">
        <f>PPMT('Assumptions (T&amp;D)'!$B$97,Model!AH$1,'Assumptions (T&amp;D)'!$B$100,Model!$M$3006)</f>
        <v>-9.5307828869831926E-2</v>
      </c>
      <c r="Y3019" s="377">
        <f>PPMT('Assumptions (T&amp;D)'!$B$97,Model!AI$1,'Assumptions (T&amp;D)'!$B$100,Model!$M$3006)</f>
        <v>-9.9834950741148953E-2</v>
      </c>
      <c r="Z3019" s="377">
        <f>PPMT('Assumptions (T&amp;D)'!$B$97,Model!AJ$1,'Assumptions (T&amp;D)'!$B$100,Model!$M$3006)</f>
        <v>-0.10457711090135353</v>
      </c>
      <c r="AA3019" s="377">
        <f>PPMT('Assumptions (T&amp;D)'!$B$97,Model!AK$1,'Assumptions (T&amp;D)'!$B$100,Model!$M$3006)</f>
        <v>-0.1095445236691678</v>
      </c>
      <c r="AB3019" s="377"/>
      <c r="AC3019" s="377"/>
      <c r="AD3019" s="377"/>
      <c r="AE3019" s="377"/>
      <c r="AF3019" s="377"/>
      <c r="AG3019" s="377"/>
      <c r="AH3019" s="377"/>
      <c r="AI3019" s="377"/>
      <c r="AJ3019" s="377"/>
      <c r="AK3019" s="377"/>
    </row>
    <row r="3020" spans="1:42" ht="15.75" hidden="1" customHeight="1" outlineLevel="1">
      <c r="A3020" s="460"/>
      <c r="B3020" s="99"/>
      <c r="C3020" s="377"/>
      <c r="D3020" s="377"/>
      <c r="E3020" s="377"/>
      <c r="F3020" s="377"/>
      <c r="G3020" s="377"/>
      <c r="H3020" s="377"/>
      <c r="I3020" s="377"/>
      <c r="J3020" s="377"/>
      <c r="K3020" s="377"/>
      <c r="L3020" s="377"/>
      <c r="M3020" s="377"/>
      <c r="N3020" s="377">
        <f>PPMT('Assumptions (T&amp;D)'!$B$97,Model!W$1,'Assumptions (T&amp;D)'!$B$100,Model!$N$3006)</f>
        <v>-7.3125299573403524E-2</v>
      </c>
      <c r="O3020" s="377">
        <f>PPMT('Assumptions (T&amp;D)'!$B$97,Model!X$1,'Assumptions (T&amp;D)'!$B$100,Model!$N$3006)</f>
        <v>-7.6598751303140186E-2</v>
      </c>
      <c r="P3020" s="377">
        <f>PPMT('Assumptions (T&amp;D)'!$B$97,Model!Y$1,'Assumptions (T&amp;D)'!$B$100,Model!$N$3006)</f>
        <v>-8.0237191990039355E-2</v>
      </c>
      <c r="Q3020" s="377">
        <f>PPMT('Assumptions (T&amp;D)'!$B$97,Model!Z$1,'Assumptions (T&amp;D)'!$B$100,Model!$N$3006)</f>
        <v>-8.404845860956621E-2</v>
      </c>
      <c r="R3020" s="377">
        <f>PPMT('Assumptions (T&amp;D)'!$B$97,Model!AA$1,'Assumptions (T&amp;D)'!$B$100,Model!$N$3006)</f>
        <v>-8.8040760393520615E-2</v>
      </c>
      <c r="S3020" s="377">
        <f>PPMT('Assumptions (T&amp;D)'!$B$97,Model!AB$1,'Assumptions (T&amp;D)'!$B$100,Model!$N$3006)</f>
        <v>-9.2222696512212848E-2</v>
      </c>
      <c r="T3020" s="377">
        <f>PPMT('Assumptions (T&amp;D)'!$B$97,Model!AC$1,'Assumptions (T&amp;D)'!$B$100,Model!$N$3006)</f>
        <v>-9.6603274596542943E-2</v>
      </c>
      <c r="U3020" s="377">
        <f>PPMT('Assumptions (T&amp;D)'!$B$97,Model!AD$1,'Assumptions (T&amp;D)'!$B$100,Model!$N$3006)</f>
        <v>-0.10119193013987875</v>
      </c>
      <c r="V3020" s="377">
        <f>PPMT('Assumptions (T&amp;D)'!$B$97,Model!AE$1,'Assumptions (T&amp;D)'!$B$100,Model!$N$3006)</f>
        <v>-0.10599854682152297</v>
      </c>
      <c r="W3020" s="377">
        <f>PPMT('Assumptions (T&amp;D)'!$B$97,Model!AF$1,'Assumptions (T&amp;D)'!$B$100,Model!$N$3006)</f>
        <v>-0.11103347779554533</v>
      </c>
      <c r="X3020" s="377">
        <f>PPMT('Assumptions (T&amp;D)'!$B$97,Model!AG$1,'Assumptions (T&amp;D)'!$B$100,Model!$N$3006)</f>
        <v>-0.11630756799083374</v>
      </c>
      <c r="Y3020" s="377">
        <f>PPMT('Assumptions (T&amp;D)'!$B$97,Model!AH$1,'Assumptions (T&amp;D)'!$B$100,Model!$N$3006)</f>
        <v>-0.12183217747039833</v>
      </c>
      <c r="Z3020" s="377">
        <f>PPMT('Assumptions (T&amp;D)'!$B$97,Model!AI$1,'Assumptions (T&amp;D)'!$B$100,Model!$N$3006)</f>
        <v>-0.12761920590024226</v>
      </c>
      <c r="AA3020" s="377">
        <f>PPMT('Assumptions (T&amp;D)'!$B$97,Model!AJ$1,'Assumptions (T&amp;D)'!$B$100,Model!$N$3006)</f>
        <v>-0.13368111818050377</v>
      </c>
      <c r="AB3020" s="377">
        <f>PPMT('Assumptions (T&amp;D)'!$B$97,Model!AK$1,'Assumptions (T&amp;D)'!$B$100,Model!$N$3006)</f>
        <v>-0.14003097129407768</v>
      </c>
      <c r="AC3020" s="377"/>
      <c r="AD3020" s="377"/>
      <c r="AE3020" s="377"/>
      <c r="AF3020" s="377"/>
      <c r="AG3020" s="377"/>
      <c r="AH3020" s="377"/>
      <c r="AI3020" s="377"/>
      <c r="AJ3020" s="377"/>
      <c r="AK3020" s="377"/>
      <c r="AL3020" s="377"/>
    </row>
    <row r="3021" spans="1:42" ht="15.75" hidden="1" customHeight="1" outlineLevel="1">
      <c r="A3021" s="460"/>
      <c r="B3021" s="99"/>
      <c r="C3021" s="377"/>
      <c r="D3021" s="377"/>
      <c r="E3021" s="377"/>
      <c r="F3021" s="377"/>
      <c r="G3021" s="377"/>
      <c r="H3021" s="377"/>
      <c r="I3021" s="377"/>
      <c r="J3021" s="377"/>
      <c r="K3021" s="377"/>
      <c r="L3021" s="377"/>
      <c r="M3021" s="377"/>
      <c r="N3021" s="377"/>
      <c r="O3021" s="377">
        <f>PPMT('Assumptions (T&amp;D)'!$B$97,Model!W$1,'Assumptions (T&amp;D)'!$B$100,Model!$O$3006)</f>
        <v>-8.580754710089418E-2</v>
      </c>
      <c r="P3021" s="377">
        <f>PPMT('Assumptions (T&amp;D)'!$B$97,Model!X$1,'Assumptions (T&amp;D)'!$B$100,Model!$O$3006)</f>
        <v>-8.9883405588186652E-2</v>
      </c>
      <c r="Q3021" s="377">
        <f>PPMT('Assumptions (T&amp;D)'!$B$97,Model!Y$1,'Assumptions (T&amp;D)'!$B$100,Model!$O$3006)</f>
        <v>-9.4152867353625533E-2</v>
      </c>
      <c r="R3021" s="377">
        <f>PPMT('Assumptions (T&amp;D)'!$B$97,Model!Z$1,'Assumptions (T&amp;D)'!$B$100,Model!$O$3006)</f>
        <v>-9.8625128552922728E-2</v>
      </c>
      <c r="S3021" s="377">
        <f>PPMT('Assumptions (T&amp;D)'!$B$97,Model!AA$1,'Assumptions (T&amp;D)'!$B$100,Model!$O$3006)</f>
        <v>-0.10330982215918656</v>
      </c>
      <c r="T3021" s="377">
        <f>PPMT('Assumptions (T&amp;D)'!$B$97,Model!AB$1,'Assumptions (T&amp;D)'!$B$100,Model!$O$3006)</f>
        <v>-0.10821703871174793</v>
      </c>
      <c r="U3021" s="377">
        <f>PPMT('Assumptions (T&amp;D)'!$B$97,Model!AC$1,'Assumptions (T&amp;D)'!$B$100,Model!$O$3006)</f>
        <v>-0.11335734805055596</v>
      </c>
      <c r="V3021" s="377">
        <f>PPMT('Assumptions (T&amp;D)'!$B$97,Model!AD$1,'Assumptions (T&amp;D)'!$B$100,Model!$O$3006)</f>
        <v>-0.11874182208295737</v>
      </c>
      <c r="W3021" s="377">
        <f>PPMT('Assumptions (T&amp;D)'!$B$97,Model!AE$1,'Assumptions (T&amp;D)'!$B$100,Model!$O$3006)</f>
        <v>-0.12438205863189784</v>
      </c>
      <c r="X3021" s="377">
        <f>PPMT('Assumptions (T&amp;D)'!$B$97,Model!AF$1,'Assumptions (T&amp;D)'!$B$100,Model!$O$3006)</f>
        <v>-0.13029020641691297</v>
      </c>
      <c r="Y3021" s="377">
        <f>PPMT('Assumptions (T&amp;D)'!$B$97,Model!AG$1,'Assumptions (T&amp;D)'!$B$100,Model!$O$3006)</f>
        <v>-0.13647899122171636</v>
      </c>
      <c r="Z3021" s="377">
        <f>PPMT('Assumptions (T&amp;D)'!$B$97,Model!AH$1,'Assumptions (T&amp;D)'!$B$100,Model!$O$3006)</f>
        <v>-0.1429617433047479</v>
      </c>
      <c r="AA3021" s="377">
        <f>PPMT('Assumptions (T&amp;D)'!$B$97,Model!AI$1,'Assumptions (T&amp;D)'!$B$100,Model!$O$3006)</f>
        <v>-0.14975242611172343</v>
      </c>
      <c r="AB3021" s="377">
        <f>PPMT('Assumptions (T&amp;D)'!$B$97,Model!AJ$1,'Assumptions (T&amp;D)'!$B$100,Model!$O$3006)</f>
        <v>-0.15686566635203025</v>
      </c>
      <c r="AC3021" s="377">
        <f>PPMT('Assumptions (T&amp;D)'!$B$97,Model!AK$1,'Assumptions (T&amp;D)'!$B$100,Model!$O$3006)</f>
        <v>-0.1643167855037517</v>
      </c>
      <c r="AD3021" s="377"/>
      <c r="AE3021" s="377"/>
      <c r="AF3021" s="377"/>
      <c r="AG3021" s="377"/>
      <c r="AH3021" s="377"/>
      <c r="AI3021" s="377"/>
      <c r="AJ3021" s="377"/>
      <c r="AK3021" s="377"/>
      <c r="AL3021" s="377"/>
      <c r="AM3021" s="377"/>
    </row>
    <row r="3022" spans="1:42" ht="15.75" hidden="1" customHeight="1" outlineLevel="1">
      <c r="A3022" s="460"/>
      <c r="B3022" s="99"/>
      <c r="C3022" s="377"/>
      <c r="D3022" s="377"/>
      <c r="E3022" s="377"/>
      <c r="F3022" s="377"/>
      <c r="G3022" s="377"/>
      <c r="H3022" s="377"/>
      <c r="I3022" s="377"/>
      <c r="J3022" s="377"/>
      <c r="K3022" s="377"/>
      <c r="L3022" s="377"/>
      <c r="M3022" s="377"/>
      <c r="N3022" s="377"/>
      <c r="O3022" s="377"/>
      <c r="P3022" s="377">
        <f>PPMT('Assumptions (T&amp;D)'!$B$97,Model!W$1,'Assumptions (T&amp;D)'!$B$100,Model!$P$3006)</f>
        <v>-7.8252165595155077E-2</v>
      </c>
      <c r="Q3022" s="377">
        <f>PPMT('Assumptions (T&amp;D)'!$B$97,Model!X$1,'Assumptions (T&amp;D)'!$B$100,Model!$P$3006)</f>
        <v>-8.1969143460924945E-2</v>
      </c>
      <c r="R3022" s="377">
        <f>PPMT('Assumptions (T&amp;D)'!$B$97,Model!Y$1,'Assumptions (T&amp;D)'!$B$100,Model!$P$3006)</f>
        <v>-8.5862677775318877E-2</v>
      </c>
      <c r="S3022" s="377">
        <f>PPMT('Assumptions (T&amp;D)'!$B$97,Model!Z$1,'Assumptions (T&amp;D)'!$B$100,Model!$P$3006)</f>
        <v>-8.9941154969646511E-2</v>
      </c>
      <c r="T3022" s="377">
        <f>PPMT('Assumptions (T&amp;D)'!$B$97,Model!AA$1,'Assumptions (T&amp;D)'!$B$100,Model!$P$3006)</f>
        <v>-9.4213359830704724E-2</v>
      </c>
      <c r="U3022" s="377">
        <f>PPMT('Assumptions (T&amp;D)'!$B$97,Model!AB$1,'Assumptions (T&amp;D)'!$B$100,Model!$P$3006)</f>
        <v>-9.8688494422663198E-2</v>
      </c>
      <c r="V3022" s="377">
        <f>PPMT('Assumptions (T&amp;D)'!$B$97,Model!AC$1,'Assumptions (T&amp;D)'!$B$100,Model!$P$3006)</f>
        <v>-0.10337619790773971</v>
      </c>
      <c r="W3022" s="377">
        <f>PPMT('Assumptions (T&amp;D)'!$B$97,Model!AD$1,'Assumptions (T&amp;D)'!$B$100,Model!$P$3006)</f>
        <v>-0.10828656730835735</v>
      </c>
      <c r="X3022" s="377">
        <f>PPMT('Assumptions (T&amp;D)'!$B$97,Model!AE$1,'Assumptions (T&amp;D)'!$B$100,Model!$P$3006)</f>
        <v>-0.1134301792555043</v>
      </c>
      <c r="Y3022" s="377">
        <f>PPMT('Assumptions (T&amp;D)'!$B$97,Model!AF$1,'Assumptions (T&amp;D)'!$B$100,Model!$P$3006)</f>
        <v>-0.11881811277014077</v>
      </c>
      <c r="Z3022" s="377">
        <f>PPMT('Assumptions (T&amp;D)'!$B$97,Model!AG$1,'Assumptions (T&amp;D)'!$B$100,Model!$P$3006)</f>
        <v>-0.12446197312672247</v>
      </c>
      <c r="AA3022" s="377">
        <f>PPMT('Assumptions (T&amp;D)'!$B$97,Model!AH$1,'Assumptions (T&amp;D)'!$B$100,Model!$P$3006)</f>
        <v>-0.1303739168502418</v>
      </c>
      <c r="AB3022" s="377">
        <f>PPMT('Assumptions (T&amp;D)'!$B$97,Model!AI$1,'Assumptions (T&amp;D)'!$B$100,Model!$P$3006)</f>
        <v>-0.13656667790062826</v>
      </c>
      <c r="AC3022" s="377">
        <f>PPMT('Assumptions (T&amp;D)'!$B$97,Model!AJ$1,'Assumptions (T&amp;D)'!$B$100,Model!$P$3006)</f>
        <v>-0.14305359510090809</v>
      </c>
      <c r="AD3022" s="377">
        <f>PPMT('Assumptions (T&amp;D)'!$B$97,Model!AK$1,'Assumptions (T&amp;D)'!$B$100,Model!$P$3006)</f>
        <v>-0.14984864086820124</v>
      </c>
      <c r="AE3022" s="377"/>
      <c r="AF3022" s="377"/>
      <c r="AG3022" s="377"/>
      <c r="AH3022" s="377"/>
      <c r="AI3022" s="377"/>
      <c r="AJ3022" s="377"/>
      <c r="AK3022" s="377"/>
      <c r="AL3022" s="377"/>
      <c r="AM3022" s="377"/>
      <c r="AN3022" s="377"/>
    </row>
    <row r="3023" spans="1:42" ht="15.75" hidden="1" customHeight="1" outlineLevel="1">
      <c r="A3023" s="460"/>
      <c r="B3023" s="99"/>
      <c r="C3023" s="377"/>
      <c r="D3023" s="377"/>
      <c r="E3023" s="377"/>
      <c r="F3023" s="377"/>
      <c r="G3023" s="377"/>
      <c r="H3023" s="377"/>
      <c r="I3023" s="377"/>
      <c r="J3023" s="377"/>
      <c r="K3023" s="377"/>
      <c r="L3023" s="377"/>
      <c r="M3023" s="377"/>
      <c r="N3023" s="377"/>
      <c r="O3023" s="377"/>
      <c r="P3023" s="377"/>
      <c r="Q3023" s="377">
        <f>PPMT('Assumptions (T&amp;D)'!$B$97,Model!W$1,'Assumptions (T&amp;D)'!$B$100,Model!$Q$3006)</f>
        <v>-8.0950516132919023E-2</v>
      </c>
      <c r="R3023" s="377">
        <f>PPMT('Assumptions (T&amp;D)'!$B$97,Model!X$1,'Assumptions (T&amp;D)'!$B$100,Model!$Q$3006)</f>
        <v>-8.4795665649232674E-2</v>
      </c>
      <c r="S3023" s="377">
        <f>PPMT('Assumptions (T&amp;D)'!$B$97,Model!Y$1,'Assumptions (T&amp;D)'!$B$100,Model!$Q$3006)</f>
        <v>-8.8823459767571236E-2</v>
      </c>
      <c r="T3023" s="377">
        <f>PPMT('Assumptions (T&amp;D)'!$B$97,Model!Z$1,'Assumptions (T&amp;D)'!$B$100,Model!$Q$3006)</f>
        <v>-9.3042574106530856E-2</v>
      </c>
      <c r="U3023" s="377">
        <f>PPMT('Assumptions (T&amp;D)'!$B$97,Model!AA$1,'Assumptions (T&amp;D)'!$B$100,Model!$Q$3006)</f>
        <v>-9.746209637659109E-2</v>
      </c>
      <c r="V3023" s="377">
        <f>PPMT('Assumptions (T&amp;D)'!$B$97,Model!AB$1,'Assumptions (T&amp;D)'!$B$100,Model!$Q$3006)</f>
        <v>-0.10209154595447915</v>
      </c>
      <c r="W3023" s="377">
        <f>PPMT('Assumptions (T&amp;D)'!$B$97,Model!AC$1,'Assumptions (T&amp;D)'!$B$100,Model!$Q$3006)</f>
        <v>-0.10694089438731692</v>
      </c>
      <c r="X3023" s="377">
        <f>PPMT('Assumptions (T&amp;D)'!$B$97,Model!AD$1,'Assumptions (T&amp;D)'!$B$100,Model!$Q$3006)</f>
        <v>-0.11202058687071448</v>
      </c>
      <c r="Y3023" s="377">
        <f>PPMT('Assumptions (T&amp;D)'!$B$97,Model!AE$1,'Assumptions (T&amp;D)'!$B$100,Model!$Q$3006)</f>
        <v>-0.1173415647470734</v>
      </c>
      <c r="Z3023" s="377">
        <f>PPMT('Assumptions (T&amp;D)'!$B$97,Model!AF$1,'Assumptions (T&amp;D)'!$B$100,Model!$Q$3006)</f>
        <v>-0.1229152890725594</v>
      </c>
      <c r="AA3023" s="377">
        <f>PPMT('Assumptions (T&amp;D)'!$B$97,Model!AG$1,'Assumptions (T&amp;D)'!$B$100,Model!$Q$3006)</f>
        <v>-0.12875376530350599</v>
      </c>
      <c r="AB3023" s="377">
        <f>PPMT('Assumptions (T&amp;D)'!$B$97,Model!AH$1,'Assumptions (T&amp;D)'!$B$100,Model!$Q$3006)</f>
        <v>-0.1348695691554225</v>
      </c>
      <c r="AC3023" s="377">
        <f>PPMT('Assumptions (T&amp;D)'!$B$97,Model!AI$1,'Assumptions (T&amp;D)'!$B$100,Model!$Q$3006)</f>
        <v>-0.14127587369030509</v>
      </c>
      <c r="AD3023" s="377">
        <f>PPMT('Assumptions (T&amp;D)'!$B$97,Model!AJ$1,'Assumptions (T&amp;D)'!$B$100,Model!$Q$3006)</f>
        <v>-0.14798647769059459</v>
      </c>
      <c r="AE3023" s="377">
        <f>PPMT('Assumptions (T&amp;D)'!$B$97,Model!AK$1,'Assumptions (T&amp;D)'!$B$100,Model!$Q$3006)</f>
        <v>-0.1550158353808978</v>
      </c>
      <c r="AF3023" s="377"/>
      <c r="AG3023" s="377"/>
      <c r="AH3023" s="377"/>
      <c r="AI3023" s="377"/>
      <c r="AJ3023" s="377"/>
      <c r="AK3023" s="377"/>
      <c r="AL3023" s="377"/>
      <c r="AM3023" s="377"/>
      <c r="AN3023" s="377"/>
      <c r="AO3023" s="377"/>
    </row>
    <row r="3024" spans="1:42" ht="15.75" hidden="1" customHeight="1" outlineLevel="1">
      <c r="A3024" s="460"/>
      <c r="B3024" s="99"/>
      <c r="C3024" s="377"/>
      <c r="D3024" s="377"/>
      <c r="E3024" s="377"/>
      <c r="F3024" s="377"/>
      <c r="G3024" s="377"/>
      <c r="H3024" s="377"/>
      <c r="I3024" s="377"/>
      <c r="J3024" s="377"/>
      <c r="K3024" s="377"/>
      <c r="L3024" s="377"/>
      <c r="M3024" s="377"/>
      <c r="N3024" s="377"/>
      <c r="O3024" s="377"/>
      <c r="P3024" s="377"/>
      <c r="Q3024" s="377"/>
      <c r="R3024" s="377">
        <f>PPMT('Assumptions (T&amp;D)'!$B$97,Model!W$1,'Assumptions (T&amp;D)'!$B$100,Model!$R$3006)</f>
        <v>-8.8236062584881744E-2</v>
      </c>
      <c r="S3024" s="377">
        <f>PPMT('Assumptions (T&amp;D)'!$B$97,Model!X$1,'Assumptions (T&amp;D)'!$B$100,Model!$R$3006)</f>
        <v>-9.2427275557663613E-2</v>
      </c>
      <c r="T3024" s="377">
        <f>PPMT('Assumptions (T&amp;D)'!$B$97,Model!Y$1,'Assumptions (T&amp;D)'!$B$100,Model!$R$3006)</f>
        <v>-9.6817571146652667E-2</v>
      </c>
      <c r="U3024" s="377">
        <f>PPMT('Assumptions (T&amp;D)'!$B$97,Model!Z$1,'Assumptions (T&amp;D)'!$B$100,Model!$R$3006)</f>
        <v>-0.10141640577611864</v>
      </c>
      <c r="V3024" s="377">
        <f>PPMT('Assumptions (T&amp;D)'!$B$97,Model!AA$1,'Assumptions (T&amp;D)'!$B$100,Model!$R$3006)</f>
        <v>-0.10623368505048428</v>
      </c>
      <c r="W3024" s="377">
        <f>PPMT('Assumptions (T&amp;D)'!$B$97,Model!AB$1,'Assumptions (T&amp;D)'!$B$100,Model!$R$3006)</f>
        <v>-0.11127978509038228</v>
      </c>
      <c r="X3024" s="377">
        <f>PPMT('Assumptions (T&amp;D)'!$B$97,Model!AC$1,'Assumptions (T&amp;D)'!$B$100,Model!$R$3006)</f>
        <v>-0.11656557488217544</v>
      </c>
      <c r="Y3024" s="377">
        <f>PPMT('Assumptions (T&amp;D)'!$B$97,Model!AD$1,'Assumptions (T&amp;D)'!$B$100,Model!$R$3006)</f>
        <v>-0.12210243968907877</v>
      </c>
      <c r="Z3024" s="377">
        <f>PPMT('Assumptions (T&amp;D)'!$B$97,Model!AE$1,'Assumptions (T&amp;D)'!$B$100,Model!$R$3006)</f>
        <v>-0.12790230557431001</v>
      </c>
      <c r="AA3024" s="377">
        <f>PPMT('Assumptions (T&amp;D)'!$B$97,Model!AF$1,'Assumptions (T&amp;D)'!$B$100,Model!$R$3006)</f>
        <v>-0.13397766508908976</v>
      </c>
      <c r="AB3024" s="377">
        <f>PPMT('Assumptions (T&amp;D)'!$B$97,Model!AG$1,'Assumptions (T&amp;D)'!$B$100,Model!$R$3006)</f>
        <v>-0.14034160418082151</v>
      </c>
      <c r="AC3024" s="377">
        <f>PPMT('Assumptions (T&amp;D)'!$B$97,Model!AH$1,'Assumptions (T&amp;D)'!$B$100,Model!$R$3006)</f>
        <v>-0.14700783037941054</v>
      </c>
      <c r="AD3024" s="377">
        <f>PPMT('Assumptions (T&amp;D)'!$B$97,Model!AI$1,'Assumptions (T&amp;D)'!$B$100,Model!$R$3006)</f>
        <v>-0.15399070232243253</v>
      </c>
      <c r="AE3024" s="377">
        <f>PPMT('Assumptions (T&amp;D)'!$B$97,Model!AJ$1,'Assumptions (T&amp;D)'!$B$100,Model!$R$3006)</f>
        <v>-0.16130526068274809</v>
      </c>
      <c r="AF3024" s="377">
        <f>PPMT('Assumptions (T&amp;D)'!$B$97,Model!AK$1,'Assumptions (T&amp;D)'!$B$100,Model!$R$3006)</f>
        <v>-0.16896726056517861</v>
      </c>
      <c r="AG3024" s="377"/>
      <c r="AH3024" s="377"/>
      <c r="AI3024" s="377"/>
      <c r="AJ3024" s="377"/>
      <c r="AK3024" s="377"/>
      <c r="AL3024" s="377"/>
      <c r="AM3024" s="377"/>
      <c r="AN3024" s="377"/>
      <c r="AO3024" s="377"/>
      <c r="AP3024" s="377"/>
    </row>
    <row r="3025" spans="1:58" ht="15.75" hidden="1" customHeight="1" outlineLevel="1">
      <c r="A3025" s="460"/>
      <c r="B3025" s="99"/>
      <c r="C3025" s="377"/>
      <c r="D3025" s="377"/>
      <c r="E3025" s="377"/>
      <c r="F3025" s="377"/>
      <c r="G3025" s="377"/>
      <c r="H3025" s="377"/>
      <c r="I3025" s="377"/>
      <c r="J3025" s="377"/>
      <c r="K3025" s="377"/>
      <c r="L3025" s="377"/>
      <c r="M3025" s="377"/>
      <c r="N3025" s="377"/>
      <c r="O3025" s="377"/>
      <c r="P3025" s="377"/>
      <c r="Q3025" s="377"/>
      <c r="R3025" s="377"/>
      <c r="S3025" s="377">
        <f>PPMT('Assumptions (T&amp;D)'!$B$97,Model!W$1,'Assumptions (T&amp;D)'!$B$100,Model!$S$3006)</f>
        <v>-9.90294647359376E-2</v>
      </c>
      <c r="T3025" s="377">
        <f>PPMT('Assumptions (T&amp;D)'!$B$97,Model!X$1,'Assumptions (T&amp;D)'!$B$100,Model!$S$3006)</f>
        <v>-0.10373336431089464</v>
      </c>
      <c r="U3025" s="377">
        <f>PPMT('Assumptions (T&amp;D)'!$B$97,Model!Y$1,'Assumptions (T&amp;D)'!$B$100,Model!$S$3006)</f>
        <v>-0.10866069911566215</v>
      </c>
      <c r="V3025" s="377">
        <f>PPMT('Assumptions (T&amp;D)'!$B$97,Model!Z$1,'Assumptions (T&amp;D)'!$B$100,Model!$S$3006)</f>
        <v>-0.11382208232365608</v>
      </c>
      <c r="W3025" s="377">
        <f>PPMT('Assumptions (T&amp;D)'!$B$97,Model!AA$1,'Assumptions (T&amp;D)'!$B$100,Model!$S$3006)</f>
        <v>-0.11922863123402976</v>
      </c>
      <c r="X3025" s="377">
        <f>PPMT('Assumptions (T&amp;D)'!$B$97,Model!AB$1,'Assumptions (T&amp;D)'!$B$100,Model!$S$3006)</f>
        <v>-0.12489199121764616</v>
      </c>
      <c r="Y3025" s="377">
        <f>PPMT('Assumptions (T&amp;D)'!$B$97,Model!AC$1,'Assumptions (T&amp;D)'!$B$100,Model!$S$3006)</f>
        <v>-0.13082436080048437</v>
      </c>
      <c r="Z3025" s="377">
        <f>PPMT('Assumptions (T&amp;D)'!$B$97,Model!AD$1,'Assumptions (T&amp;D)'!$B$100,Model!$S$3006)</f>
        <v>-0.13703851793850735</v>
      </c>
      <c r="AA3025" s="377">
        <f>PPMT('Assumptions (T&amp;D)'!$B$97,Model!AE$1,'Assumptions (T&amp;D)'!$B$100,Model!$S$3006)</f>
        <v>-0.14354784754058644</v>
      </c>
      <c r="AB3025" s="377">
        <f>PPMT('Assumptions (T&amp;D)'!$B$97,Model!AF$1,'Assumptions (T&amp;D)'!$B$100,Model!$S$3006)</f>
        <v>-0.15036637029876435</v>
      </c>
      <c r="AC3025" s="377">
        <f>PPMT('Assumptions (T&amp;D)'!$B$97,Model!AG$1,'Assumptions (T&amp;D)'!$B$100,Model!$S$3006)</f>
        <v>-0.15750877288795564</v>
      </c>
      <c r="AD3025" s="377">
        <f>PPMT('Assumptions (T&amp;D)'!$B$97,Model!AH$1,'Assumptions (T&amp;D)'!$B$100,Model!$S$3006)</f>
        <v>-0.16499043960013354</v>
      </c>
      <c r="AE3025" s="377">
        <f>PPMT('Assumptions (T&amp;D)'!$B$97,Model!AI$1,'Assumptions (T&amp;D)'!$B$100,Model!$S$3006)</f>
        <v>-0.17282748548113988</v>
      </c>
      <c r="AF3025" s="377">
        <f>PPMT('Assumptions (T&amp;D)'!$B$97,Model!AJ$1,'Assumptions (T&amp;D)'!$B$100,Model!$S$3006)</f>
        <v>-0.18103679104149403</v>
      </c>
      <c r="AG3025" s="377">
        <f>PPMT('Assumptions (T&amp;D)'!$B$97,Model!AK$1,'Assumptions (T&amp;D)'!$B$100,Model!$S$3006)</f>
        <v>-0.18963603861596495</v>
      </c>
      <c r="AH3025" s="377"/>
      <c r="AI3025" s="377"/>
      <c r="AJ3025" s="377"/>
      <c r="AK3025" s="377"/>
      <c r="AL3025" s="377"/>
      <c r="AM3025" s="377"/>
      <c r="AN3025" s="377"/>
      <c r="AO3025" s="377"/>
      <c r="AP3025" s="377"/>
      <c r="AQ3025" s="377"/>
    </row>
    <row r="3026" spans="1:58" ht="15.75" hidden="1" customHeight="1" outlineLevel="1">
      <c r="A3026" s="460"/>
      <c r="B3026" s="99"/>
      <c r="C3026" s="377"/>
      <c r="D3026" s="377"/>
      <c r="E3026" s="377"/>
      <c r="F3026" s="377"/>
      <c r="G3026" s="377"/>
      <c r="H3026" s="377"/>
      <c r="I3026" s="377"/>
      <c r="J3026" s="377"/>
      <c r="K3026" s="377"/>
      <c r="L3026" s="377"/>
      <c r="M3026" s="377"/>
      <c r="N3026" s="377"/>
      <c r="O3026" s="377"/>
      <c r="P3026" s="377"/>
      <c r="Q3026" s="377"/>
      <c r="R3026" s="377"/>
      <c r="S3026" s="42"/>
      <c r="T3026" s="377">
        <f>PPMT('Assumptions (T&amp;D)'!$B$97,Model!W$1,'Assumptions (T&amp;D)'!$B$100,Model!$T$3006)</f>
        <v>-7.1003341121361724E-2</v>
      </c>
      <c r="U3026" s="377">
        <f>PPMT('Assumptions (T&amp;D)'!$B$97,Model!X$1,'Assumptions (T&amp;D)'!$B$100,Model!$T$3006)</f>
        <v>-7.4375999824626407E-2</v>
      </c>
      <c r="V3026" s="377">
        <f>PPMT('Assumptions (T&amp;D)'!$B$97,Model!Y$1,'Assumptions (T&amp;D)'!$B$100,Model!$T$3006)</f>
        <v>-7.7908859816296167E-2</v>
      </c>
      <c r="W3026" s="377">
        <f>PPMT('Assumptions (T&amp;D)'!$B$97,Model!Z$1,'Assumptions (T&amp;D)'!$B$100,Model!$T$3006)</f>
        <v>-8.160953065757022E-2</v>
      </c>
      <c r="X3026" s="377">
        <f>PPMT('Assumptions (T&amp;D)'!$B$97,Model!AA$1,'Assumptions (T&amp;D)'!$B$100,Model!$T$3006)</f>
        <v>-8.5485983363804793E-2</v>
      </c>
      <c r="Y3026" s="377">
        <f>PPMT('Assumptions (T&amp;D)'!$B$97,Model!AB$1,'Assumptions (T&amp;D)'!$B$100,Model!$T$3006)</f>
        <v>-8.9546567573585534E-2</v>
      </c>
      <c r="Z3026" s="377">
        <f>PPMT('Assumptions (T&amp;D)'!$B$97,Model!AC$1,'Assumptions (T&amp;D)'!$B$100,Model!$T$3006)</f>
        <v>-9.3800029533330845E-2</v>
      </c>
      <c r="AA3026" s="377">
        <f>PPMT('Assumptions (T&amp;D)'!$B$97,Model!AD$1,'Assumptions (T&amp;D)'!$B$100,Model!$T$3006)</f>
        <v>-9.8255530936164057E-2</v>
      </c>
      <c r="AB3026" s="377">
        <f>PPMT('Assumptions (T&amp;D)'!$B$97,Model!AE$1,'Assumptions (T&amp;D)'!$B$100,Model!$T$3006)</f>
        <v>-0.10292266865563184</v>
      </c>
      <c r="AC3026" s="377">
        <f>PPMT('Assumptions (T&amp;D)'!$B$97,Model!AF$1,'Assumptions (T&amp;D)'!$B$100,Model!$T$3006)</f>
        <v>-0.10781149541677437</v>
      </c>
      <c r="AD3026" s="377">
        <f>PPMT('Assumptions (T&amp;D)'!$B$97,Model!AG$1,'Assumptions (T&amp;D)'!$B$100,Model!$T$3006)</f>
        <v>-0.11293254144907117</v>
      </c>
      <c r="AE3026" s="377">
        <f>PPMT('Assumptions (T&amp;D)'!$B$97,Model!AH$1,'Assumptions (T&amp;D)'!$B$100,Model!$T$3006)</f>
        <v>-0.11829683716790204</v>
      </c>
      <c r="AF3026" s="377">
        <f>PPMT('Assumptions (T&amp;D)'!$B$97,Model!AI$1,'Assumptions (T&amp;D)'!$B$100,Model!$T$3006)</f>
        <v>-0.12391593693337739</v>
      </c>
      <c r="AG3026" s="377">
        <f>PPMT('Assumptions (T&amp;D)'!$B$97,Model!AJ$1,'Assumptions (T&amp;D)'!$B$100,Model!$T$3006)</f>
        <v>-0.12980194393771283</v>
      </c>
      <c r="AH3026" s="377">
        <f>PPMT('Assumptions (T&amp;D)'!$B$97,Model!AK$1,'Assumptions (T&amp;D)'!$B$100,Model!$T$3006)</f>
        <v>-0.13596753627475416</v>
      </c>
      <c r="AI3026" s="377"/>
      <c r="AJ3026" s="377"/>
      <c r="AK3026" s="377"/>
      <c r="AL3026" s="377"/>
      <c r="AM3026" s="377"/>
      <c r="AN3026" s="377"/>
      <c r="AO3026" s="377"/>
      <c r="AP3026" s="377"/>
      <c r="AQ3026" s="377"/>
      <c r="AR3026" s="377"/>
    </row>
    <row r="3027" spans="1:58" ht="15.75" hidden="1" customHeight="1" outlineLevel="1">
      <c r="A3027" s="460"/>
      <c r="B3027" s="99"/>
      <c r="C3027" s="377"/>
      <c r="D3027" s="377"/>
      <c r="E3027" s="377"/>
      <c r="F3027" s="377"/>
      <c r="G3027" s="377"/>
      <c r="H3027" s="377"/>
      <c r="I3027" s="377"/>
      <c r="J3027" s="377"/>
      <c r="K3027" s="377"/>
      <c r="L3027" s="377"/>
      <c r="M3027" s="377"/>
      <c r="N3027" s="377"/>
      <c r="O3027" s="377"/>
      <c r="P3027" s="377"/>
      <c r="Q3027" s="377"/>
      <c r="R3027" s="377"/>
      <c r="S3027" s="42"/>
      <c r="T3027" s="42"/>
      <c r="U3027" s="377">
        <f>PPMT('Assumptions (T&amp;D)'!$B$97,Model!W$1,'Assumptions (T&amp;D)'!$B$100,Model!$U$3006)</f>
        <v>-7.1003341121361724E-2</v>
      </c>
      <c r="V3027" s="377">
        <f>PPMT('Assumptions (T&amp;D)'!$B$97,Model!X$1,'Assumptions (T&amp;D)'!$B$100,Model!$U$3006)</f>
        <v>-7.4375999824626407E-2</v>
      </c>
      <c r="W3027" s="377">
        <f>PPMT('Assumptions (T&amp;D)'!$B$97,Model!Y$1,'Assumptions (T&amp;D)'!$B$100,Model!$U$3006)</f>
        <v>-7.7908859816296167E-2</v>
      </c>
      <c r="X3027" s="377">
        <f>PPMT('Assumptions (T&amp;D)'!$B$97,Model!Z$1,'Assumptions (T&amp;D)'!$B$100,Model!$U$3006)</f>
        <v>-8.160953065757022E-2</v>
      </c>
      <c r="Y3027" s="377">
        <f>PPMT('Assumptions (T&amp;D)'!$B$97,Model!AA$1,'Assumptions (T&amp;D)'!$B$100,Model!$U$3006)</f>
        <v>-8.5485983363804793E-2</v>
      </c>
      <c r="Z3027" s="377">
        <f>PPMT('Assumptions (T&amp;D)'!$B$97,Model!AB$1,'Assumptions (T&amp;D)'!$B$100,Model!$U$3006)</f>
        <v>-8.9546567573585534E-2</v>
      </c>
      <c r="AA3027" s="377">
        <f>PPMT('Assumptions (T&amp;D)'!$B$97,Model!AC$1,'Assumptions (T&amp;D)'!$B$100,Model!$U$3006)</f>
        <v>-9.3800029533330845E-2</v>
      </c>
      <c r="AB3027" s="377">
        <f>PPMT('Assumptions (T&amp;D)'!$B$97,Model!AD$1,'Assumptions (T&amp;D)'!$B$100,Model!$U$3006)</f>
        <v>-9.8255530936164057E-2</v>
      </c>
      <c r="AC3027" s="377">
        <f>PPMT('Assumptions (T&amp;D)'!$B$97,Model!AE$1,'Assumptions (T&amp;D)'!$B$100,Model!$U$3006)</f>
        <v>-0.10292266865563184</v>
      </c>
      <c r="AD3027" s="377">
        <f>PPMT('Assumptions (T&amp;D)'!$B$97,Model!AF$1,'Assumptions (T&amp;D)'!$B$100,Model!$U$3006)</f>
        <v>-0.10781149541677437</v>
      </c>
      <c r="AE3027" s="377">
        <f>PPMT('Assumptions (T&amp;D)'!$B$97,Model!AG$1,'Assumptions (T&amp;D)'!$B$100,Model!$U$3006)</f>
        <v>-0.11293254144907117</v>
      </c>
      <c r="AF3027" s="377">
        <f>PPMT('Assumptions (T&amp;D)'!$B$97,Model!AH$1,'Assumptions (T&amp;D)'!$B$100,Model!$U$3006)</f>
        <v>-0.11829683716790204</v>
      </c>
      <c r="AG3027" s="377">
        <f>PPMT('Assumptions (T&amp;D)'!$B$97,Model!AI$1,'Assumptions (T&amp;D)'!$B$100,Model!$U$3006)</f>
        <v>-0.12391593693337739</v>
      </c>
      <c r="AH3027" s="377">
        <f>PPMT('Assumptions (T&amp;D)'!$B$97,Model!AJ$1,'Assumptions (T&amp;D)'!$B$100,Model!$U$3006)</f>
        <v>-0.12980194393771283</v>
      </c>
      <c r="AI3027" s="377">
        <f>PPMT('Assumptions (T&amp;D)'!$B$97,Model!AK$1,'Assumptions (T&amp;D)'!$B$100,Model!$U$3006)</f>
        <v>-0.13596753627475416</v>
      </c>
      <c r="AJ3027" s="377"/>
      <c r="AK3027" s="377"/>
      <c r="AL3027" s="377"/>
      <c r="AM3027" s="377"/>
      <c r="AN3027" s="377"/>
      <c r="AO3027" s="377"/>
      <c r="AP3027" s="377"/>
      <c r="AQ3027" s="377"/>
      <c r="AR3027" s="377"/>
      <c r="AS3027" s="377"/>
    </row>
    <row r="3028" spans="1:58" ht="15.75" hidden="1" customHeight="1" outlineLevel="1">
      <c r="A3028" s="460"/>
      <c r="B3028" s="99"/>
      <c r="C3028" s="377"/>
      <c r="D3028" s="377"/>
      <c r="E3028" s="377"/>
      <c r="F3028" s="377"/>
      <c r="G3028" s="377"/>
      <c r="H3028" s="377"/>
      <c r="I3028" s="377"/>
      <c r="J3028" s="377"/>
      <c r="K3028" s="377"/>
      <c r="L3028" s="377"/>
      <c r="M3028" s="377"/>
      <c r="N3028" s="377"/>
      <c r="O3028" s="377"/>
      <c r="P3028" s="377"/>
      <c r="Q3028" s="377"/>
      <c r="R3028" s="377"/>
      <c r="S3028" s="42"/>
      <c r="T3028" s="42"/>
      <c r="U3028" s="42"/>
      <c r="V3028" s="377">
        <f>PPMT('Assumptions (T&amp;D)'!$B$97,Model!W$1,'Assumptions (T&amp;D)'!$B$100,Model!$V$3006)</f>
        <v>-7.1003341121361724E-2</v>
      </c>
      <c r="W3028" s="377">
        <f>PPMT('Assumptions (T&amp;D)'!$B$97,Model!X$1,'Assumptions (T&amp;D)'!$B$100,Model!$V$3006)</f>
        <v>-7.4375999824626407E-2</v>
      </c>
      <c r="X3028" s="377">
        <f>PPMT('Assumptions (T&amp;D)'!$B$97,Model!Y$1,'Assumptions (T&amp;D)'!$B$100,Model!$V$3006)</f>
        <v>-7.7908859816296167E-2</v>
      </c>
      <c r="Y3028" s="377">
        <f>PPMT('Assumptions (T&amp;D)'!$B$97,Model!Z$1,'Assumptions (T&amp;D)'!$B$100,Model!$V$3006)</f>
        <v>-8.160953065757022E-2</v>
      </c>
      <c r="Z3028" s="377">
        <f>PPMT('Assumptions (T&amp;D)'!$B$97,Model!AA$1,'Assumptions (T&amp;D)'!$B$100,Model!$V$3006)</f>
        <v>-8.5485983363804793E-2</v>
      </c>
      <c r="AA3028" s="377">
        <f>PPMT('Assumptions (T&amp;D)'!$B$97,Model!AB$1,'Assumptions (T&amp;D)'!$B$100,Model!$V$3006)</f>
        <v>-8.9546567573585534E-2</v>
      </c>
      <c r="AB3028" s="377">
        <f>PPMT('Assumptions (T&amp;D)'!$B$97,Model!AC$1,'Assumptions (T&amp;D)'!$B$100,Model!$V$3006)</f>
        <v>-9.3800029533330845E-2</v>
      </c>
      <c r="AC3028" s="377">
        <f>PPMT('Assumptions (T&amp;D)'!$B$97,Model!AD$1,'Assumptions (T&amp;D)'!$B$100,Model!$V$3006)</f>
        <v>-9.8255530936164057E-2</v>
      </c>
      <c r="AD3028" s="377">
        <f>PPMT('Assumptions (T&amp;D)'!$B$97,Model!AE$1,'Assumptions (T&amp;D)'!$B$100,Model!$V$3006)</f>
        <v>-0.10292266865563184</v>
      </c>
      <c r="AE3028" s="377">
        <f>PPMT('Assumptions (T&amp;D)'!$B$97,Model!AF$1,'Assumptions (T&amp;D)'!$B$100,Model!$V$3006)</f>
        <v>-0.10781149541677437</v>
      </c>
      <c r="AF3028" s="377">
        <f>PPMT('Assumptions (T&amp;D)'!$B$97,Model!AG$1,'Assumptions (T&amp;D)'!$B$100,Model!$V$3006)</f>
        <v>-0.11293254144907117</v>
      </c>
      <c r="AG3028" s="377">
        <f>PPMT('Assumptions (T&amp;D)'!$B$97,Model!AH$1,'Assumptions (T&amp;D)'!$B$100,Model!$V$3006)</f>
        <v>-0.11829683716790204</v>
      </c>
      <c r="AH3028" s="377">
        <f>PPMT('Assumptions (T&amp;D)'!$B$97,Model!AI$1,'Assumptions (T&amp;D)'!$B$100,Model!$V$3006)</f>
        <v>-0.12391593693337739</v>
      </c>
      <c r="AI3028" s="377">
        <f>PPMT('Assumptions (T&amp;D)'!$B$97,Model!AJ$1,'Assumptions (T&amp;D)'!$B$100,Model!$V$3006)</f>
        <v>-0.12980194393771283</v>
      </c>
      <c r="AJ3028" s="377">
        <f>PPMT('Assumptions (T&amp;D)'!$B$97,Model!AK$1,'Assumptions (T&amp;D)'!$B$100,Model!$V$3006)</f>
        <v>-0.13596753627475416</v>
      </c>
      <c r="AK3028" s="377"/>
      <c r="AL3028" s="377"/>
      <c r="AM3028" s="377"/>
      <c r="AN3028" s="377"/>
      <c r="AO3028" s="377"/>
      <c r="AP3028" s="377"/>
      <c r="AQ3028" s="377"/>
      <c r="AR3028" s="377"/>
      <c r="AS3028" s="377"/>
      <c r="AT3028" s="377"/>
    </row>
    <row r="3029" spans="1:58" ht="15.75" hidden="1" customHeight="1" outlineLevel="1">
      <c r="A3029" s="460"/>
      <c r="B3029" s="99"/>
      <c r="C3029" s="377"/>
      <c r="D3029" s="377"/>
      <c r="E3029" s="377"/>
      <c r="F3029" s="377"/>
      <c r="G3029" s="377"/>
      <c r="H3029" s="377"/>
      <c r="I3029" s="377"/>
      <c r="J3029" s="377"/>
      <c r="K3029" s="377"/>
      <c r="L3029" s="377"/>
      <c r="M3029" s="377"/>
      <c r="N3029" s="377"/>
      <c r="O3029" s="377"/>
      <c r="P3029" s="377"/>
      <c r="Q3029" s="377"/>
      <c r="R3029" s="377"/>
      <c r="S3029" s="42"/>
      <c r="T3029" s="42"/>
      <c r="U3029" s="42"/>
      <c r="V3029" s="42"/>
      <c r="W3029" s="377">
        <f>PPMT('Assumptions (T&amp;D)'!$B$97,Model!W$1,'Assumptions (T&amp;D)'!$B$100,Model!$W$3006)</f>
        <v>-7.1003341121361724E-2</v>
      </c>
      <c r="X3029" s="377">
        <f>PPMT('Assumptions (T&amp;D)'!$B$97,Model!X$1,'Assumptions (T&amp;D)'!$B$100,Model!$W$3006)</f>
        <v>-7.4375999824626407E-2</v>
      </c>
      <c r="Y3029" s="377">
        <f>PPMT('Assumptions (T&amp;D)'!$B$97,Model!Y$1,'Assumptions (T&amp;D)'!$B$100,Model!$W$3006)</f>
        <v>-7.7908859816296167E-2</v>
      </c>
      <c r="Z3029" s="377">
        <f>PPMT('Assumptions (T&amp;D)'!$B$97,Model!Z$1,'Assumptions (T&amp;D)'!$B$100,Model!$W$3006)</f>
        <v>-8.160953065757022E-2</v>
      </c>
      <c r="AA3029" s="377">
        <f>PPMT('Assumptions (T&amp;D)'!$B$97,Model!AA$1,'Assumptions (T&amp;D)'!$B$100,Model!$W$3006)</f>
        <v>-8.5485983363804793E-2</v>
      </c>
      <c r="AB3029" s="377">
        <f>PPMT('Assumptions (T&amp;D)'!$B$97,Model!AB$1,'Assumptions (T&amp;D)'!$B$100,Model!$W$3006)</f>
        <v>-8.9546567573585534E-2</v>
      </c>
      <c r="AC3029" s="377">
        <f>PPMT('Assumptions (T&amp;D)'!$B$97,Model!AC$1,'Assumptions (T&amp;D)'!$B$100,Model!$W$3006)</f>
        <v>-9.3800029533330845E-2</v>
      </c>
      <c r="AD3029" s="377">
        <f>PPMT('Assumptions (T&amp;D)'!$B$97,Model!AD$1,'Assumptions (T&amp;D)'!$B$100,Model!$W$3006)</f>
        <v>-9.8255530936164057E-2</v>
      </c>
      <c r="AE3029" s="377">
        <f>PPMT('Assumptions (T&amp;D)'!$B$97,Model!AE$1,'Assumptions (T&amp;D)'!$B$100,Model!$W$3006)</f>
        <v>-0.10292266865563184</v>
      </c>
      <c r="AF3029" s="377">
        <f>PPMT('Assumptions (T&amp;D)'!$B$97,Model!AF$1,'Assumptions (T&amp;D)'!$B$100,Model!$W$3006)</f>
        <v>-0.10781149541677437</v>
      </c>
      <c r="AG3029" s="377">
        <f>PPMT('Assumptions (T&amp;D)'!$B$97,Model!AG$1,'Assumptions (T&amp;D)'!$B$100,Model!$W$3006)</f>
        <v>-0.11293254144907117</v>
      </c>
      <c r="AH3029" s="377">
        <f>PPMT('Assumptions (T&amp;D)'!$B$97,Model!AH$1,'Assumptions (T&amp;D)'!$B$100,Model!$W$3006)</f>
        <v>-0.11829683716790204</v>
      </c>
      <c r="AI3029" s="377">
        <f>PPMT('Assumptions (T&amp;D)'!$B$97,Model!AI$1,'Assumptions (T&amp;D)'!$B$100,Model!$W$3006)</f>
        <v>-0.12391593693337739</v>
      </c>
      <c r="AJ3029" s="377">
        <f>PPMT('Assumptions (T&amp;D)'!$B$97,Model!AJ$1,'Assumptions (T&amp;D)'!$B$100,Model!$W$3006)</f>
        <v>-0.12980194393771283</v>
      </c>
      <c r="AK3029" s="377">
        <f>PPMT('Assumptions (T&amp;D)'!$B$97,Model!AK$1,'Assumptions (T&amp;D)'!$B$100,Model!$W$3006)</f>
        <v>-0.13596753627475416</v>
      </c>
      <c r="AL3029" s="377"/>
      <c r="AM3029" s="377"/>
      <c r="AN3029" s="377"/>
      <c r="AO3029" s="377"/>
      <c r="AP3029" s="377"/>
      <c r="AQ3029" s="377"/>
      <c r="AR3029" s="377"/>
      <c r="AS3029" s="377"/>
      <c r="AT3029" s="377"/>
      <c r="AU3029" s="377"/>
    </row>
    <row r="3030" spans="1:58" ht="15.75" hidden="1" customHeight="1" outlineLevel="1">
      <c r="A3030" s="460"/>
      <c r="B3030" s="99"/>
      <c r="C3030" s="377"/>
      <c r="D3030" s="377"/>
      <c r="E3030" s="377"/>
      <c r="F3030" s="377"/>
      <c r="G3030" s="377"/>
      <c r="H3030" s="377"/>
      <c r="I3030" s="377"/>
      <c r="J3030" s="377"/>
      <c r="K3030" s="377"/>
      <c r="L3030" s="377"/>
      <c r="M3030" s="377"/>
      <c r="N3030" s="377"/>
      <c r="O3030" s="377"/>
      <c r="P3030" s="377"/>
      <c r="Q3030" s="377"/>
      <c r="R3030" s="377"/>
      <c r="S3030" s="42"/>
      <c r="T3030" s="42"/>
      <c r="U3030" s="42"/>
      <c r="V3030" s="42"/>
      <c r="W3030" s="86"/>
      <c r="X3030" s="377">
        <f>PPMT('Assumptions (T&amp;D)'!$B$97,Model!W$1,'Assumptions (T&amp;D)'!$B$100,Model!$X$3006)</f>
        <v>-7.1003341121361724E-2</v>
      </c>
      <c r="Y3030" s="377">
        <f>PPMT('Assumptions (T&amp;D)'!$B$97,Model!X$1,'Assumptions (T&amp;D)'!$B$100,Model!$X$3006)</f>
        <v>-7.4375999824626407E-2</v>
      </c>
      <c r="Z3030" s="377">
        <f>PPMT('Assumptions (T&amp;D)'!$B$97,Model!Y$1,'Assumptions (T&amp;D)'!$B$100,Model!$X$3006)</f>
        <v>-7.7908859816296167E-2</v>
      </c>
      <c r="AA3030" s="377">
        <f>PPMT('Assumptions (T&amp;D)'!$B$97,Model!Z$1,'Assumptions (T&amp;D)'!$B$100,Model!$X$3006)</f>
        <v>-8.160953065757022E-2</v>
      </c>
      <c r="AB3030" s="377">
        <f>PPMT('Assumptions (T&amp;D)'!$B$97,Model!AA$1,'Assumptions (T&amp;D)'!$B$100,Model!$X$3006)</f>
        <v>-8.5485983363804793E-2</v>
      </c>
      <c r="AC3030" s="377">
        <f>PPMT('Assumptions (T&amp;D)'!$B$97,Model!AB$1,'Assumptions (T&amp;D)'!$B$100,Model!$X$3006)</f>
        <v>-8.9546567573585534E-2</v>
      </c>
      <c r="AD3030" s="377">
        <f>PPMT('Assumptions (T&amp;D)'!$B$97,Model!AC$1,'Assumptions (T&amp;D)'!$B$100,Model!$X$3006)</f>
        <v>-9.3800029533330845E-2</v>
      </c>
      <c r="AE3030" s="377">
        <f>PPMT('Assumptions (T&amp;D)'!$B$97,Model!AD$1,'Assumptions (T&amp;D)'!$B$100,Model!$X$3006)</f>
        <v>-9.8255530936164057E-2</v>
      </c>
      <c r="AF3030" s="377">
        <f>PPMT('Assumptions (T&amp;D)'!$B$97,Model!AE$1,'Assumptions (T&amp;D)'!$B$100,Model!$X$3006)</f>
        <v>-0.10292266865563184</v>
      </c>
      <c r="AG3030" s="377">
        <f>PPMT('Assumptions (T&amp;D)'!$B$97,Model!AF$1,'Assumptions (T&amp;D)'!$B$100,Model!$X$3006)</f>
        <v>-0.10781149541677437</v>
      </c>
      <c r="AH3030" s="377">
        <f>PPMT('Assumptions (T&amp;D)'!$B$97,Model!AG$1,'Assumptions (T&amp;D)'!$B$100,Model!$X$3006)</f>
        <v>-0.11293254144907117</v>
      </c>
      <c r="AI3030" s="377">
        <f>PPMT('Assumptions (T&amp;D)'!$B$97,Model!AH$1,'Assumptions (T&amp;D)'!$B$100,Model!$X$3006)</f>
        <v>-0.11829683716790204</v>
      </c>
      <c r="AJ3030" s="377">
        <f>PPMT('Assumptions (T&amp;D)'!$B$97,Model!AI$1,'Assumptions (T&amp;D)'!$B$100,Model!$X$3006)</f>
        <v>-0.12391593693337739</v>
      </c>
      <c r="AK3030" s="377">
        <f>PPMT('Assumptions (T&amp;D)'!$B$97,Model!AJ$1,'Assumptions (T&amp;D)'!$B$100,Model!$X$3006)</f>
        <v>-0.12980194393771283</v>
      </c>
      <c r="AL3030" s="377">
        <f>PPMT('Assumptions (T&amp;D)'!$B$97,Model!AK$1,'Assumptions (T&amp;D)'!$B$100,Model!$X$3006)</f>
        <v>-0.13596753627475416</v>
      </c>
      <c r="AM3030" s="377"/>
      <c r="AN3030" s="377"/>
      <c r="AO3030" s="377"/>
      <c r="AP3030" s="377"/>
      <c r="AQ3030" s="377"/>
      <c r="AR3030" s="377"/>
      <c r="AS3030" s="377"/>
      <c r="AT3030" s="377"/>
      <c r="AU3030" s="377"/>
      <c r="AV3030" s="377"/>
    </row>
    <row r="3031" spans="1:58" ht="15.75" hidden="1" customHeight="1" outlineLevel="1">
      <c r="A3031" s="460"/>
      <c r="B3031" s="99"/>
      <c r="C3031" s="377"/>
      <c r="D3031" s="377"/>
      <c r="E3031" s="377"/>
      <c r="F3031" s="377"/>
      <c r="G3031" s="377"/>
      <c r="H3031" s="377"/>
      <c r="I3031" s="377"/>
      <c r="J3031" s="377"/>
      <c r="K3031" s="377"/>
      <c r="L3031" s="377"/>
      <c r="M3031" s="377"/>
      <c r="N3031" s="377"/>
      <c r="O3031" s="377"/>
      <c r="P3031" s="377"/>
      <c r="Q3031" s="377"/>
      <c r="R3031" s="377"/>
      <c r="S3031" s="42"/>
      <c r="T3031" s="42"/>
      <c r="U3031" s="42"/>
      <c r="V3031" s="42"/>
      <c r="W3031" s="86"/>
      <c r="Y3031" s="377">
        <f>PPMT('Assumptions (T&amp;D)'!$B$97,Model!W$1,'Assumptions (T&amp;D)'!$B$100,Model!$Y$3006)</f>
        <v>-7.1003341121361724E-2</v>
      </c>
      <c r="Z3031" s="377">
        <f>PPMT('Assumptions (T&amp;D)'!$B$97,Model!X$1,'Assumptions (T&amp;D)'!$B$100,Model!$Y$3006)</f>
        <v>-7.4375999824626407E-2</v>
      </c>
      <c r="AA3031" s="377">
        <f>PPMT('Assumptions (T&amp;D)'!$B$97,Model!Y$1,'Assumptions (T&amp;D)'!$B$100,Model!$Y$3006)</f>
        <v>-7.7908859816296167E-2</v>
      </c>
      <c r="AB3031" s="377">
        <f>PPMT('Assumptions (T&amp;D)'!$B$97,Model!Z$1,'Assumptions (T&amp;D)'!$B$100,Model!$Y$3006)</f>
        <v>-8.160953065757022E-2</v>
      </c>
      <c r="AC3031" s="377">
        <f>PPMT('Assumptions (T&amp;D)'!$B$97,Model!AA$1,'Assumptions (T&amp;D)'!$B$100,Model!$Y$3006)</f>
        <v>-8.5485983363804793E-2</v>
      </c>
      <c r="AD3031" s="377">
        <f>PPMT('Assumptions (T&amp;D)'!$B$97,Model!AB$1,'Assumptions (T&amp;D)'!$B$100,Model!$Y$3006)</f>
        <v>-8.9546567573585534E-2</v>
      </c>
      <c r="AE3031" s="377">
        <f>PPMT('Assumptions (T&amp;D)'!$B$97,Model!AC$1,'Assumptions (T&amp;D)'!$B$100,Model!$Y$3006)</f>
        <v>-9.3800029533330845E-2</v>
      </c>
      <c r="AF3031" s="377">
        <f>PPMT('Assumptions (T&amp;D)'!$B$97,Model!AD$1,'Assumptions (T&amp;D)'!$B$100,Model!$Y$3006)</f>
        <v>-9.8255530936164057E-2</v>
      </c>
      <c r="AG3031" s="377">
        <f>PPMT('Assumptions (T&amp;D)'!$B$97,Model!AE$1,'Assumptions (T&amp;D)'!$B$100,Model!$Y$3006)</f>
        <v>-0.10292266865563184</v>
      </c>
      <c r="AH3031" s="377">
        <f>PPMT('Assumptions (T&amp;D)'!$B$97,Model!AF$1,'Assumptions (T&amp;D)'!$B$100,Model!$Y$3006)</f>
        <v>-0.10781149541677437</v>
      </c>
      <c r="AI3031" s="377">
        <f>PPMT('Assumptions (T&amp;D)'!$B$97,Model!AG$1,'Assumptions (T&amp;D)'!$B$100,Model!$Y$3006)</f>
        <v>-0.11293254144907117</v>
      </c>
      <c r="AJ3031" s="377">
        <f>PPMT('Assumptions (T&amp;D)'!$B$97,Model!AH$1,'Assumptions (T&amp;D)'!$B$100,Model!$Y$3006)</f>
        <v>-0.11829683716790204</v>
      </c>
      <c r="AK3031" s="377">
        <f>PPMT('Assumptions (T&amp;D)'!$B$97,Model!AI$1,'Assumptions (T&amp;D)'!$B$100,Model!$Y$3006)</f>
        <v>-0.12391593693337739</v>
      </c>
      <c r="AL3031" s="377">
        <f>PPMT('Assumptions (T&amp;D)'!$B$97,Model!AJ$1,'Assumptions (T&amp;D)'!$B$100,Model!$Y$3006)</f>
        <v>-0.12980194393771283</v>
      </c>
      <c r="AM3031" s="377">
        <f>PPMT('Assumptions (T&amp;D)'!$B$97,Model!AK$1,'Assumptions (T&amp;D)'!$B$100,Model!$Y$3006)</f>
        <v>-0.13596753627475416</v>
      </c>
      <c r="AN3031" s="377"/>
      <c r="AO3031" s="377"/>
      <c r="AP3031" s="377"/>
      <c r="AQ3031" s="377"/>
      <c r="AR3031" s="377"/>
      <c r="AS3031" s="377"/>
      <c r="AT3031" s="377"/>
      <c r="AU3031" s="377"/>
      <c r="AV3031" s="377"/>
      <c r="AW3031" s="377"/>
    </row>
    <row r="3032" spans="1:58" ht="15.75" hidden="1" customHeight="1" outlineLevel="1">
      <c r="A3032" s="460"/>
      <c r="B3032" s="99"/>
      <c r="C3032" s="377"/>
      <c r="D3032" s="377"/>
      <c r="E3032" s="377"/>
      <c r="F3032" s="377"/>
      <c r="G3032" s="377"/>
      <c r="H3032" s="377"/>
      <c r="I3032" s="377"/>
      <c r="J3032" s="377"/>
      <c r="K3032" s="377"/>
      <c r="L3032" s="377"/>
      <c r="M3032" s="377"/>
      <c r="N3032" s="377"/>
      <c r="O3032" s="377"/>
      <c r="P3032" s="377"/>
      <c r="Q3032" s="377"/>
      <c r="R3032" s="377"/>
      <c r="S3032" s="42"/>
      <c r="T3032" s="42"/>
      <c r="U3032" s="42"/>
      <c r="V3032" s="42"/>
      <c r="W3032" s="86"/>
      <c r="Z3032" s="377">
        <f>PPMT('Assumptions (T&amp;D)'!$B$97,Model!W$1,'Assumptions (T&amp;D)'!$B$100,Model!$Z$3006)</f>
        <v>-7.1003341121361724E-2</v>
      </c>
      <c r="AA3032" s="377">
        <f>PPMT('Assumptions (T&amp;D)'!$B$97,Model!X$1,'Assumptions (T&amp;D)'!$B$100,Model!$Z$3006)</f>
        <v>-7.4375999824626407E-2</v>
      </c>
      <c r="AB3032" s="377">
        <f>PPMT('Assumptions (T&amp;D)'!$B$97,Model!Y$1,'Assumptions (T&amp;D)'!$B$100,Model!$Z$3006)</f>
        <v>-7.7908859816296167E-2</v>
      </c>
      <c r="AC3032" s="377">
        <f>PPMT('Assumptions (T&amp;D)'!$B$97,Model!Z$1,'Assumptions (T&amp;D)'!$B$100,Model!$Z$3006)</f>
        <v>-8.160953065757022E-2</v>
      </c>
      <c r="AD3032" s="377">
        <f>PPMT('Assumptions (T&amp;D)'!$B$97,Model!AA$1,'Assumptions (T&amp;D)'!$B$100,Model!$Z$3006)</f>
        <v>-8.5485983363804793E-2</v>
      </c>
      <c r="AE3032" s="377">
        <f>PPMT('Assumptions (T&amp;D)'!$B$97,Model!AB$1,'Assumptions (T&amp;D)'!$B$100,Model!$Z$3006)</f>
        <v>-8.9546567573585534E-2</v>
      </c>
      <c r="AF3032" s="377">
        <f>PPMT('Assumptions (T&amp;D)'!$B$97,Model!AC$1,'Assumptions (T&amp;D)'!$B$100,Model!$Z$3006)</f>
        <v>-9.3800029533330845E-2</v>
      </c>
      <c r="AG3032" s="377">
        <f>PPMT('Assumptions (T&amp;D)'!$B$97,Model!AD$1,'Assumptions (T&amp;D)'!$B$100,Model!$Z$3006)</f>
        <v>-9.8255530936164057E-2</v>
      </c>
      <c r="AH3032" s="377">
        <f>PPMT('Assumptions (T&amp;D)'!$B$97,Model!AE$1,'Assumptions (T&amp;D)'!$B$100,Model!$Z$3006)</f>
        <v>-0.10292266865563184</v>
      </c>
      <c r="AI3032" s="377">
        <f>PPMT('Assumptions (T&amp;D)'!$B$97,Model!AF$1,'Assumptions (T&amp;D)'!$B$100,Model!$Z$3006)</f>
        <v>-0.10781149541677437</v>
      </c>
      <c r="AJ3032" s="377">
        <f>PPMT('Assumptions (T&amp;D)'!$B$97,Model!AG$1,'Assumptions (T&amp;D)'!$B$100,Model!$Z$3006)</f>
        <v>-0.11293254144907117</v>
      </c>
      <c r="AK3032" s="377">
        <f>PPMT('Assumptions (T&amp;D)'!$B$97,Model!AH$1,'Assumptions (T&amp;D)'!$B$100,Model!$Z$3006)</f>
        <v>-0.11829683716790204</v>
      </c>
      <c r="AL3032" s="377">
        <f>PPMT('Assumptions (T&amp;D)'!$B$97,Model!AI$1,'Assumptions (T&amp;D)'!$B$100,Model!$Z$3006)</f>
        <v>-0.12391593693337739</v>
      </c>
      <c r="AM3032" s="377">
        <f>PPMT('Assumptions (T&amp;D)'!$B$97,Model!AJ$1,'Assumptions (T&amp;D)'!$B$100,Model!$Z$3006)</f>
        <v>-0.12980194393771283</v>
      </c>
      <c r="AN3032" s="377">
        <f>PPMT('Assumptions (T&amp;D)'!$B$97,Model!AK$1,'Assumptions (T&amp;D)'!$B$100,Model!$Z$3006)</f>
        <v>-0.13596753627475416</v>
      </c>
      <c r="AO3032" s="377"/>
      <c r="AP3032" s="377"/>
      <c r="AQ3032" s="377"/>
      <c r="AR3032" s="377"/>
      <c r="AS3032" s="377"/>
      <c r="AT3032" s="377"/>
      <c r="AU3032" s="377"/>
      <c r="AV3032" s="377"/>
      <c r="AW3032" s="377"/>
      <c r="AX3032" s="377"/>
    </row>
    <row r="3033" spans="1:58" ht="15.75" hidden="1" customHeight="1" outlineLevel="1">
      <c r="A3033" s="460"/>
      <c r="B3033" s="99"/>
      <c r="C3033" s="377"/>
      <c r="D3033" s="377"/>
      <c r="E3033" s="377"/>
      <c r="F3033" s="377"/>
      <c r="G3033" s="377"/>
      <c r="H3033" s="377"/>
      <c r="I3033" s="377"/>
      <c r="J3033" s="377"/>
      <c r="K3033" s="377"/>
      <c r="L3033" s="377"/>
      <c r="M3033" s="377"/>
      <c r="N3033" s="377"/>
      <c r="O3033" s="377"/>
      <c r="P3033" s="377"/>
      <c r="Q3033" s="377"/>
      <c r="R3033" s="377"/>
      <c r="S3033" s="42"/>
      <c r="T3033" s="42"/>
      <c r="U3033" s="42"/>
      <c r="V3033" s="42"/>
      <c r="W3033" s="86"/>
      <c r="AA3033" s="377">
        <f>PPMT('Assumptions (T&amp;D)'!$B$97,Model!W$1,'Assumptions (T&amp;D)'!$B$100,Model!$AA$3006)</f>
        <v>-7.1003341121361724E-2</v>
      </c>
      <c r="AB3033" s="377">
        <f>PPMT('Assumptions (T&amp;D)'!$B$97,Model!X$1,'Assumptions (T&amp;D)'!$B$100,Model!$AA$3006)</f>
        <v>-7.4375999824626407E-2</v>
      </c>
      <c r="AC3033" s="377">
        <f>PPMT('Assumptions (T&amp;D)'!$B$97,Model!Y$1,'Assumptions (T&amp;D)'!$B$100,Model!$AA$3006)</f>
        <v>-7.7908859816296167E-2</v>
      </c>
      <c r="AD3033" s="377">
        <f>PPMT('Assumptions (T&amp;D)'!$B$97,Model!Z$1,'Assumptions (T&amp;D)'!$B$100,Model!$AA$3006)</f>
        <v>-8.160953065757022E-2</v>
      </c>
      <c r="AE3033" s="377">
        <f>PPMT('Assumptions (T&amp;D)'!$B$97,Model!AA$1,'Assumptions (T&amp;D)'!$B$100,Model!$AA$3006)</f>
        <v>-8.5485983363804793E-2</v>
      </c>
      <c r="AF3033" s="377">
        <f>PPMT('Assumptions (T&amp;D)'!$B$97,Model!AB$1,'Assumptions (T&amp;D)'!$B$100,Model!$AA$3006)</f>
        <v>-8.9546567573585534E-2</v>
      </c>
      <c r="AG3033" s="377">
        <f>PPMT('Assumptions (T&amp;D)'!$B$97,Model!AC$1,'Assumptions (T&amp;D)'!$B$100,Model!$AA$3006)</f>
        <v>-9.3800029533330845E-2</v>
      </c>
      <c r="AH3033" s="377">
        <f>PPMT('Assumptions (T&amp;D)'!$B$97,Model!AD$1,'Assumptions (T&amp;D)'!$B$100,Model!$AA$3006)</f>
        <v>-9.8255530936164057E-2</v>
      </c>
      <c r="AI3033" s="377">
        <f>PPMT('Assumptions (T&amp;D)'!$B$97,Model!AE$1,'Assumptions (T&amp;D)'!$B$100,Model!$AA$3006)</f>
        <v>-0.10292266865563184</v>
      </c>
      <c r="AJ3033" s="377">
        <f>PPMT('Assumptions (T&amp;D)'!$B$97,Model!AF$1,'Assumptions (T&amp;D)'!$B$100,Model!$AA$3006)</f>
        <v>-0.10781149541677437</v>
      </c>
      <c r="AK3033" s="377">
        <f>PPMT('Assumptions (T&amp;D)'!$B$97,Model!AG$1,'Assumptions (T&amp;D)'!$B$100,Model!$AA$3006)</f>
        <v>-0.11293254144907117</v>
      </c>
      <c r="AL3033" s="377">
        <f>PPMT('Assumptions (T&amp;D)'!$B$97,Model!AH$1,'Assumptions (T&amp;D)'!$B$100,Model!$AA$3006)</f>
        <v>-0.11829683716790204</v>
      </c>
      <c r="AM3033" s="377">
        <f>PPMT('Assumptions (T&amp;D)'!$B$97,Model!AI$1,'Assumptions (T&amp;D)'!$B$100,Model!$AA$3006)</f>
        <v>-0.12391593693337739</v>
      </c>
      <c r="AN3033" s="377">
        <f>PPMT('Assumptions (T&amp;D)'!$B$97,Model!AJ$1,'Assumptions (T&amp;D)'!$B$100,Model!$AA$3006)</f>
        <v>-0.12980194393771283</v>
      </c>
      <c r="AO3033" s="377">
        <f>PPMT('Assumptions (T&amp;D)'!$B$97,Model!AK$1,'Assumptions (T&amp;D)'!$B$100,Model!$AA$3006)</f>
        <v>-0.13596753627475416</v>
      </c>
      <c r="AP3033" s="377"/>
      <c r="AQ3033" s="377"/>
      <c r="AR3033" s="377"/>
      <c r="AS3033" s="377"/>
      <c r="AT3033" s="377"/>
      <c r="AU3033" s="377"/>
      <c r="AV3033" s="377"/>
      <c r="AW3033" s="377"/>
      <c r="AX3033" s="377"/>
      <c r="AY3033" s="377"/>
    </row>
    <row r="3034" spans="1:58" ht="15.75" hidden="1" customHeight="1" outlineLevel="1">
      <c r="A3034" s="460"/>
      <c r="B3034" s="99"/>
      <c r="C3034" s="377"/>
      <c r="D3034" s="377"/>
      <c r="E3034" s="377"/>
      <c r="F3034" s="377"/>
      <c r="G3034" s="377"/>
      <c r="H3034" s="377"/>
      <c r="I3034" s="377"/>
      <c r="J3034" s="377"/>
      <c r="K3034" s="377"/>
      <c r="L3034" s="377"/>
      <c r="M3034" s="377"/>
      <c r="N3034" s="377"/>
      <c r="O3034" s="377"/>
      <c r="P3034" s="377"/>
      <c r="Q3034" s="377"/>
      <c r="R3034" s="377"/>
      <c r="S3034" s="42"/>
      <c r="T3034" s="42"/>
      <c r="U3034" s="42"/>
      <c r="V3034" s="42"/>
      <c r="W3034" s="86"/>
      <c r="AB3034" s="377">
        <f>PPMT('Assumptions (T&amp;D)'!$B$97,Model!W$1,'Assumptions (T&amp;D)'!$B$100,Model!$AB$3006)</f>
        <v>-7.1003341121361724E-2</v>
      </c>
      <c r="AC3034" s="377">
        <f>PPMT('Assumptions (T&amp;D)'!$B$97,Model!X$1,'Assumptions (T&amp;D)'!$B$100,Model!$AB$3006)</f>
        <v>-7.4375999824626407E-2</v>
      </c>
      <c r="AD3034" s="377">
        <f>PPMT('Assumptions (T&amp;D)'!$B$97,Model!Y$1,'Assumptions (T&amp;D)'!$B$100,Model!$AB$3006)</f>
        <v>-7.7908859816296167E-2</v>
      </c>
      <c r="AE3034" s="377">
        <f>PPMT('Assumptions (T&amp;D)'!$B$97,Model!Z$1,'Assumptions (T&amp;D)'!$B$100,Model!$AB$3006)</f>
        <v>-8.160953065757022E-2</v>
      </c>
      <c r="AF3034" s="377">
        <f>PPMT('Assumptions (T&amp;D)'!$B$97,Model!AA$1,'Assumptions (T&amp;D)'!$B$100,Model!$AB$3006)</f>
        <v>-8.5485983363804793E-2</v>
      </c>
      <c r="AG3034" s="377">
        <f>PPMT('Assumptions (T&amp;D)'!$B$97,Model!AB$1,'Assumptions (T&amp;D)'!$B$100,Model!$AB$3006)</f>
        <v>-8.9546567573585534E-2</v>
      </c>
      <c r="AH3034" s="377">
        <f>PPMT('Assumptions (T&amp;D)'!$B$97,Model!AC$1,'Assumptions (T&amp;D)'!$B$100,Model!$AB$3006)</f>
        <v>-9.3800029533330845E-2</v>
      </c>
      <c r="AI3034" s="377">
        <f>PPMT('Assumptions (T&amp;D)'!$B$97,Model!AD$1,'Assumptions (T&amp;D)'!$B$100,Model!$AB$3006)</f>
        <v>-9.8255530936164057E-2</v>
      </c>
      <c r="AJ3034" s="377">
        <f>PPMT('Assumptions (T&amp;D)'!$B$97,Model!AE$1,'Assumptions (T&amp;D)'!$B$100,Model!$AB$3006)</f>
        <v>-0.10292266865563184</v>
      </c>
      <c r="AK3034" s="377">
        <f>PPMT('Assumptions (T&amp;D)'!$B$97,Model!AF$1,'Assumptions (T&amp;D)'!$B$100,Model!$AB$3006)</f>
        <v>-0.10781149541677437</v>
      </c>
      <c r="AL3034" s="377">
        <f>PPMT('Assumptions (T&amp;D)'!$B$97,Model!AG$1,'Assumptions (T&amp;D)'!$B$100,Model!$AB$3006)</f>
        <v>-0.11293254144907117</v>
      </c>
      <c r="AM3034" s="377">
        <f>PPMT('Assumptions (T&amp;D)'!$B$97,Model!AH$1,'Assumptions (T&amp;D)'!$B$100,Model!$AB$3006)</f>
        <v>-0.11829683716790204</v>
      </c>
      <c r="AN3034" s="377">
        <f>PPMT('Assumptions (T&amp;D)'!$B$97,Model!AI$1,'Assumptions (T&amp;D)'!$B$100,Model!$AB$3006)</f>
        <v>-0.12391593693337739</v>
      </c>
      <c r="AO3034" s="377">
        <f>PPMT('Assumptions (T&amp;D)'!$B$97,Model!AJ$1,'Assumptions (T&amp;D)'!$B$100,Model!$AB$3006)</f>
        <v>-0.12980194393771283</v>
      </c>
      <c r="AP3034" s="377">
        <f>PPMT('Assumptions (T&amp;D)'!$B$97,Model!AK$1,'Assumptions (T&amp;D)'!$B$100,Model!$AB$3006)</f>
        <v>-0.13596753627475416</v>
      </c>
      <c r="AQ3034" s="377"/>
      <c r="AR3034" s="377"/>
      <c r="AS3034" s="377"/>
      <c r="AT3034" s="377"/>
      <c r="AU3034" s="377"/>
      <c r="AV3034" s="377"/>
      <c r="AW3034" s="377"/>
      <c r="AX3034" s="377"/>
      <c r="AY3034" s="377"/>
      <c r="AZ3034" s="377"/>
    </row>
    <row r="3035" spans="1:58" ht="15.75" hidden="1" customHeight="1" outlineLevel="1">
      <c r="A3035" s="460"/>
      <c r="B3035" s="99"/>
      <c r="C3035" s="377"/>
      <c r="D3035" s="377"/>
      <c r="E3035" s="377"/>
      <c r="F3035" s="377"/>
      <c r="G3035" s="377"/>
      <c r="H3035" s="377"/>
      <c r="I3035" s="377"/>
      <c r="J3035" s="377"/>
      <c r="K3035" s="377"/>
      <c r="L3035" s="377"/>
      <c r="M3035" s="377"/>
      <c r="N3035" s="377"/>
      <c r="O3035" s="377"/>
      <c r="P3035" s="377"/>
      <c r="Q3035" s="377"/>
      <c r="R3035" s="377"/>
      <c r="S3035" s="42"/>
      <c r="T3035" s="42"/>
      <c r="U3035" s="42"/>
      <c r="V3035" s="42"/>
      <c r="W3035" s="86"/>
      <c r="AC3035" s="377">
        <f>PPMT('Assumptions (T&amp;D)'!$B$97,Model!W$1,'Assumptions (T&amp;D)'!$B$100,Model!$AC$3006)</f>
        <v>-7.1003341121361724E-2</v>
      </c>
      <c r="AD3035" s="377">
        <f>PPMT('Assumptions (T&amp;D)'!$B$97,Model!X$1,'Assumptions (T&amp;D)'!$B$100,Model!$AC$3006)</f>
        <v>-7.4375999824626407E-2</v>
      </c>
      <c r="AE3035" s="377">
        <f>PPMT('Assumptions (T&amp;D)'!$B$97,Model!Y$1,'Assumptions (T&amp;D)'!$B$100,Model!$AC$3006)</f>
        <v>-7.7908859816296167E-2</v>
      </c>
      <c r="AF3035" s="377">
        <f>PPMT('Assumptions (T&amp;D)'!$B$97,Model!Z$1,'Assumptions (T&amp;D)'!$B$100,Model!$AC$3006)</f>
        <v>-8.160953065757022E-2</v>
      </c>
      <c r="AG3035" s="377">
        <f>PPMT('Assumptions (T&amp;D)'!$B$97,Model!AA$1,'Assumptions (T&amp;D)'!$B$100,Model!$AC$3006)</f>
        <v>-8.5485983363804793E-2</v>
      </c>
      <c r="AH3035" s="377">
        <f>PPMT('Assumptions (T&amp;D)'!$B$97,Model!AB$1,'Assumptions (T&amp;D)'!$B$100,Model!$AC$3006)</f>
        <v>-8.9546567573585534E-2</v>
      </c>
      <c r="AI3035" s="377">
        <f>PPMT('Assumptions (T&amp;D)'!$B$97,Model!AC$1,'Assumptions (T&amp;D)'!$B$100,Model!$AC$3006)</f>
        <v>-9.3800029533330845E-2</v>
      </c>
      <c r="AJ3035" s="377">
        <f>PPMT('Assumptions (T&amp;D)'!$B$97,Model!AD$1,'Assumptions (T&amp;D)'!$B$100,Model!$AC$3006)</f>
        <v>-9.8255530936164057E-2</v>
      </c>
      <c r="AK3035" s="377">
        <f>PPMT('Assumptions (T&amp;D)'!$B$97,Model!AE$1,'Assumptions (T&amp;D)'!$B$100,Model!$AC$3006)</f>
        <v>-0.10292266865563184</v>
      </c>
      <c r="AL3035" s="377">
        <f>PPMT('Assumptions (T&amp;D)'!$B$97,Model!AF$1,'Assumptions (T&amp;D)'!$B$100,Model!$AC$3006)</f>
        <v>-0.10781149541677437</v>
      </c>
      <c r="AM3035" s="377">
        <f>PPMT('Assumptions (T&amp;D)'!$B$97,Model!AG$1,'Assumptions (T&amp;D)'!$B$100,Model!$AC$3006)</f>
        <v>-0.11293254144907117</v>
      </c>
      <c r="AN3035" s="377">
        <f>PPMT('Assumptions (T&amp;D)'!$B$97,Model!AH$1,'Assumptions (T&amp;D)'!$B$100,Model!$AC$3006)</f>
        <v>-0.11829683716790204</v>
      </c>
      <c r="AO3035" s="377">
        <f>PPMT('Assumptions (T&amp;D)'!$B$97,Model!AI$1,'Assumptions (T&amp;D)'!$B$100,Model!$AC$3006)</f>
        <v>-0.12391593693337739</v>
      </c>
      <c r="AP3035" s="377">
        <f>PPMT('Assumptions (T&amp;D)'!$B$97,Model!AJ$1,'Assumptions (T&amp;D)'!$B$100,Model!$AC$3006)</f>
        <v>-0.12980194393771283</v>
      </c>
      <c r="AQ3035" s="377">
        <f>PPMT('Assumptions (T&amp;D)'!$B$97,Model!AK$1,'Assumptions (T&amp;D)'!$B$100,Model!$AC$3006)</f>
        <v>-0.13596753627475416</v>
      </c>
      <c r="AR3035" s="377"/>
      <c r="AS3035" s="377"/>
      <c r="AT3035" s="377"/>
      <c r="AU3035" s="377"/>
      <c r="AV3035" s="377"/>
      <c r="AW3035" s="377"/>
      <c r="AX3035" s="377"/>
      <c r="AY3035" s="377"/>
      <c r="AZ3035" s="377"/>
      <c r="BA3035" s="377"/>
    </row>
    <row r="3036" spans="1:58" ht="15.75" hidden="1" customHeight="1" outlineLevel="1">
      <c r="A3036" s="460"/>
      <c r="B3036" s="99"/>
      <c r="C3036" s="377"/>
      <c r="D3036" s="377"/>
      <c r="E3036" s="377"/>
      <c r="F3036" s="377"/>
      <c r="G3036" s="377"/>
      <c r="H3036" s="377"/>
      <c r="I3036" s="377"/>
      <c r="J3036" s="377"/>
      <c r="K3036" s="377"/>
      <c r="L3036" s="377"/>
      <c r="M3036" s="377"/>
      <c r="N3036" s="377"/>
      <c r="O3036" s="377"/>
      <c r="P3036" s="377"/>
      <c r="Q3036" s="377"/>
      <c r="R3036" s="377"/>
      <c r="S3036" s="42"/>
      <c r="T3036" s="42"/>
      <c r="U3036" s="42"/>
      <c r="V3036" s="42"/>
      <c r="W3036" s="86"/>
      <c r="AD3036" s="377">
        <f>PPMT('Assumptions (T&amp;D)'!$B$97,Model!W$1,'Assumptions (T&amp;D)'!$B$100,Model!$AD$3006)</f>
        <v>-7.1003341121361724E-2</v>
      </c>
      <c r="AE3036" s="377">
        <f>PPMT('Assumptions (T&amp;D)'!$B$97,Model!X$1,'Assumptions (T&amp;D)'!$B$100,Model!$AD$3006)</f>
        <v>-7.4375999824626407E-2</v>
      </c>
      <c r="AF3036" s="377">
        <f>PPMT('Assumptions (T&amp;D)'!$B$97,Model!Y$1,'Assumptions (T&amp;D)'!$B$100,Model!$AD$3006)</f>
        <v>-7.7908859816296167E-2</v>
      </c>
      <c r="AG3036" s="377">
        <f>PPMT('Assumptions (T&amp;D)'!$B$97,Model!Z$1,'Assumptions (T&amp;D)'!$B$100,Model!$AD$3006)</f>
        <v>-8.160953065757022E-2</v>
      </c>
      <c r="AH3036" s="377">
        <f>PPMT('Assumptions (T&amp;D)'!$B$97,Model!AA$1,'Assumptions (T&amp;D)'!$B$100,Model!$AD$3006)</f>
        <v>-8.5485983363804793E-2</v>
      </c>
      <c r="AI3036" s="377">
        <f>PPMT('Assumptions (T&amp;D)'!$B$97,Model!AB$1,'Assumptions (T&amp;D)'!$B$100,Model!$AD$3006)</f>
        <v>-8.9546567573585534E-2</v>
      </c>
      <c r="AJ3036" s="377">
        <f>PPMT('Assumptions (T&amp;D)'!$B$97,Model!AC$1,'Assumptions (T&amp;D)'!$B$100,Model!$AD$3006)</f>
        <v>-9.3800029533330845E-2</v>
      </c>
      <c r="AK3036" s="377">
        <f>PPMT('Assumptions (T&amp;D)'!$B$97,Model!AD$1,'Assumptions (T&amp;D)'!$B$100,Model!$AD$3006)</f>
        <v>-9.8255530936164057E-2</v>
      </c>
      <c r="AL3036" s="377">
        <f>PPMT('Assumptions (T&amp;D)'!$B$97,Model!AE$1,'Assumptions (T&amp;D)'!$B$100,Model!$AD$3006)</f>
        <v>-0.10292266865563184</v>
      </c>
      <c r="AM3036" s="377">
        <f>PPMT('Assumptions (T&amp;D)'!$B$97,Model!AF$1,'Assumptions (T&amp;D)'!$B$100,Model!$AD$3006)</f>
        <v>-0.10781149541677437</v>
      </c>
      <c r="AN3036" s="377">
        <f>PPMT('Assumptions (T&amp;D)'!$B$97,Model!AG$1,'Assumptions (T&amp;D)'!$B$100,Model!$AD$3006)</f>
        <v>-0.11293254144907117</v>
      </c>
      <c r="AO3036" s="377">
        <f>PPMT('Assumptions (T&amp;D)'!$B$97,Model!AH$1,'Assumptions (T&amp;D)'!$B$100,Model!$AD$3006)</f>
        <v>-0.11829683716790204</v>
      </c>
      <c r="AP3036" s="377">
        <f>PPMT('Assumptions (T&amp;D)'!$B$97,Model!AI$1,'Assumptions (T&amp;D)'!$B$100,Model!$AD$3006)</f>
        <v>-0.12391593693337739</v>
      </c>
      <c r="AQ3036" s="377">
        <f>PPMT('Assumptions (T&amp;D)'!$B$97,Model!AJ$1,'Assumptions (T&amp;D)'!$B$100,Model!$AD$3006)</f>
        <v>-0.12980194393771283</v>
      </c>
      <c r="AR3036" s="377">
        <f>PPMT('Assumptions (T&amp;D)'!$B$97,Model!AK$1,'Assumptions (T&amp;D)'!$B$100,Model!$AD$3006)</f>
        <v>-0.13596753627475416</v>
      </c>
      <c r="AS3036" s="377"/>
      <c r="AT3036" s="377"/>
      <c r="AU3036" s="377"/>
      <c r="AV3036" s="377"/>
      <c r="AW3036" s="377"/>
      <c r="AX3036" s="377"/>
      <c r="AY3036" s="377"/>
      <c r="AZ3036" s="377"/>
      <c r="BA3036" s="377"/>
      <c r="BB3036" s="377"/>
    </row>
    <row r="3037" spans="1:58" ht="15.75" hidden="1" customHeight="1" outlineLevel="1">
      <c r="A3037" s="460"/>
      <c r="B3037" s="99"/>
      <c r="C3037" s="377"/>
      <c r="D3037" s="377"/>
      <c r="E3037" s="377"/>
      <c r="F3037" s="377"/>
      <c r="G3037" s="377"/>
      <c r="H3037" s="377"/>
      <c r="I3037" s="377"/>
      <c r="J3037" s="377"/>
      <c r="K3037" s="377"/>
      <c r="L3037" s="377"/>
      <c r="M3037" s="377"/>
      <c r="N3037" s="377"/>
      <c r="O3037" s="377"/>
      <c r="P3037" s="377"/>
      <c r="Q3037" s="377"/>
      <c r="R3037" s="377"/>
      <c r="S3037" s="42"/>
      <c r="T3037" s="42"/>
      <c r="U3037" s="42"/>
      <c r="V3037" s="42"/>
      <c r="W3037" s="86"/>
      <c r="AE3037" s="377">
        <f>PPMT('Assumptions (T&amp;D)'!$B$97,Model!W$1,'Assumptions (T&amp;D)'!$B$100,Model!$AE$3006)</f>
        <v>-7.1003341121361724E-2</v>
      </c>
      <c r="AF3037" s="377">
        <f>PPMT('Assumptions (T&amp;D)'!$B$97,Model!X$1,'Assumptions (T&amp;D)'!$B$100,Model!$AE$3006)</f>
        <v>-7.4375999824626407E-2</v>
      </c>
      <c r="AG3037" s="377">
        <f>PPMT('Assumptions (T&amp;D)'!$B$97,Model!Y$1,'Assumptions (T&amp;D)'!$B$100,Model!$AE$3006)</f>
        <v>-7.7908859816296167E-2</v>
      </c>
      <c r="AH3037" s="377">
        <f>PPMT('Assumptions (T&amp;D)'!$B$97,Model!Z$1,'Assumptions (T&amp;D)'!$B$100,Model!$AE$3006)</f>
        <v>-8.160953065757022E-2</v>
      </c>
      <c r="AI3037" s="377">
        <f>PPMT('Assumptions (T&amp;D)'!$B$97,Model!AA$1,'Assumptions (T&amp;D)'!$B$100,Model!$AE$3006)</f>
        <v>-8.5485983363804793E-2</v>
      </c>
      <c r="AJ3037" s="377">
        <f>PPMT('Assumptions (T&amp;D)'!$B$97,Model!AB$1,'Assumptions (T&amp;D)'!$B$100,Model!$AE$3006)</f>
        <v>-8.9546567573585534E-2</v>
      </c>
      <c r="AK3037" s="377">
        <f>PPMT('Assumptions (T&amp;D)'!$B$97,Model!AC$1,'Assumptions (T&amp;D)'!$B$100,Model!$AE$3006)</f>
        <v>-9.3800029533330845E-2</v>
      </c>
      <c r="AL3037" s="377">
        <f>PPMT('Assumptions (T&amp;D)'!$B$97,Model!AD$1,'Assumptions (T&amp;D)'!$B$100,Model!$AE$3006)</f>
        <v>-9.8255530936164057E-2</v>
      </c>
      <c r="AM3037" s="377">
        <f>PPMT('Assumptions (T&amp;D)'!$B$97,Model!AE$1,'Assumptions (T&amp;D)'!$B$100,Model!$AE$3006)</f>
        <v>-0.10292266865563184</v>
      </c>
      <c r="AN3037" s="377">
        <f>PPMT('Assumptions (T&amp;D)'!$B$97,Model!AF$1,'Assumptions (T&amp;D)'!$B$100,Model!$AE$3006)</f>
        <v>-0.10781149541677437</v>
      </c>
      <c r="AO3037" s="377">
        <f>PPMT('Assumptions (T&amp;D)'!$B$97,Model!AG$1,'Assumptions (T&amp;D)'!$B$100,Model!$AE$3006)</f>
        <v>-0.11293254144907117</v>
      </c>
      <c r="AP3037" s="377">
        <f>PPMT('Assumptions (T&amp;D)'!$B$97,Model!AH$1,'Assumptions (T&amp;D)'!$B$100,Model!$AE$3006)</f>
        <v>-0.11829683716790204</v>
      </c>
      <c r="AQ3037" s="377">
        <f>PPMT('Assumptions (T&amp;D)'!$B$97,Model!AI$1,'Assumptions (T&amp;D)'!$B$100,Model!$AE$3006)</f>
        <v>-0.12391593693337739</v>
      </c>
      <c r="AR3037" s="377">
        <f>PPMT('Assumptions (T&amp;D)'!$B$97,Model!AJ$1,'Assumptions (T&amp;D)'!$B$100,Model!$AE$3006)</f>
        <v>-0.12980194393771283</v>
      </c>
      <c r="AS3037" s="377">
        <f>PPMT('Assumptions (T&amp;D)'!$B$97,Model!AK$1,'Assumptions (T&amp;D)'!$B$100,Model!$AE$3006)</f>
        <v>-0.13596753627475416</v>
      </c>
      <c r="AT3037" s="377"/>
      <c r="AU3037" s="377"/>
      <c r="AV3037" s="377"/>
      <c r="AW3037" s="377"/>
      <c r="AX3037" s="377"/>
      <c r="AY3037" s="377"/>
      <c r="AZ3037" s="377"/>
      <c r="BA3037" s="377"/>
      <c r="BB3037" s="377"/>
      <c r="BC3037" s="377"/>
    </row>
    <row r="3038" spans="1:58" ht="15.75" hidden="1" customHeight="1" outlineLevel="1">
      <c r="A3038" s="460"/>
      <c r="B3038" s="99"/>
      <c r="C3038" s="377"/>
      <c r="D3038" s="377"/>
      <c r="E3038" s="377"/>
      <c r="F3038" s="377"/>
      <c r="G3038" s="377"/>
      <c r="H3038" s="377"/>
      <c r="I3038" s="377"/>
      <c r="J3038" s="377"/>
      <c r="K3038" s="377"/>
      <c r="L3038" s="377"/>
      <c r="M3038" s="377"/>
      <c r="N3038" s="377"/>
      <c r="O3038" s="377"/>
      <c r="P3038" s="377"/>
      <c r="Q3038" s="377"/>
      <c r="R3038" s="377"/>
      <c r="S3038" s="42"/>
      <c r="T3038" s="42"/>
      <c r="U3038" s="42"/>
      <c r="V3038" s="42"/>
      <c r="W3038" s="86"/>
      <c r="AF3038" s="377">
        <f>PPMT('Assumptions (T&amp;D)'!$B$97,Model!W$1,'Assumptions (T&amp;D)'!$B$100,Model!$AF$3006)</f>
        <v>-7.1003341121361724E-2</v>
      </c>
      <c r="AG3038" s="377">
        <f>PPMT('Assumptions (T&amp;D)'!$B$97,Model!X$1,'Assumptions (T&amp;D)'!$B$100,Model!$AF$3006)</f>
        <v>-7.4375999824626407E-2</v>
      </c>
      <c r="AH3038" s="377">
        <f>PPMT('Assumptions (T&amp;D)'!$B$97,Model!Y$1,'Assumptions (T&amp;D)'!$B$100,Model!$AF$3006)</f>
        <v>-7.7908859816296167E-2</v>
      </c>
      <c r="AI3038" s="377">
        <f>PPMT('Assumptions (T&amp;D)'!$B$97,Model!Z$1,'Assumptions (T&amp;D)'!$B$100,Model!$AF$3006)</f>
        <v>-8.160953065757022E-2</v>
      </c>
      <c r="AJ3038" s="377">
        <f>PPMT('Assumptions (T&amp;D)'!$B$97,Model!AA$1,'Assumptions (T&amp;D)'!$B$100,Model!$AF$3006)</f>
        <v>-8.5485983363804793E-2</v>
      </c>
      <c r="AK3038" s="377">
        <f>PPMT('Assumptions (T&amp;D)'!$B$97,Model!AB$1,'Assumptions (T&amp;D)'!$B$100,Model!$AF$3006)</f>
        <v>-8.9546567573585534E-2</v>
      </c>
      <c r="AL3038" s="377">
        <f>PPMT('Assumptions (T&amp;D)'!$B$97,Model!AC$1,'Assumptions (T&amp;D)'!$B$100,Model!$AF$3006)</f>
        <v>-9.3800029533330845E-2</v>
      </c>
      <c r="AM3038" s="377">
        <f>PPMT('Assumptions (T&amp;D)'!$B$97,Model!AD$1,'Assumptions (T&amp;D)'!$B$100,Model!$AF$3006)</f>
        <v>-9.8255530936164057E-2</v>
      </c>
      <c r="AN3038" s="377">
        <f>PPMT('Assumptions (T&amp;D)'!$B$97,Model!AE$1,'Assumptions (T&amp;D)'!$B$100,Model!$AF$3006)</f>
        <v>-0.10292266865563184</v>
      </c>
      <c r="AO3038" s="377">
        <f>PPMT('Assumptions (T&amp;D)'!$B$97,Model!AF$1,'Assumptions (T&amp;D)'!$B$100,Model!$AF$3006)</f>
        <v>-0.10781149541677437</v>
      </c>
      <c r="AP3038" s="377">
        <f>PPMT('Assumptions (T&amp;D)'!$B$97,Model!AG$1,'Assumptions (T&amp;D)'!$B$100,Model!$AF$3006)</f>
        <v>-0.11293254144907117</v>
      </c>
      <c r="AQ3038" s="377">
        <f>PPMT('Assumptions (T&amp;D)'!$B$97,Model!AH$1,'Assumptions (T&amp;D)'!$B$100,Model!$AF$3006)</f>
        <v>-0.11829683716790204</v>
      </c>
      <c r="AR3038" s="377">
        <f>PPMT('Assumptions (T&amp;D)'!$B$97,Model!AI$1,'Assumptions (T&amp;D)'!$B$100,Model!$AF$3006)</f>
        <v>-0.12391593693337739</v>
      </c>
      <c r="AS3038" s="377">
        <f>PPMT('Assumptions (T&amp;D)'!$B$97,Model!AJ$1,'Assumptions (T&amp;D)'!$B$100,Model!$AF$3006)</f>
        <v>-0.12980194393771283</v>
      </c>
      <c r="AT3038" s="377">
        <f>PPMT('Assumptions (T&amp;D)'!$B$97,Model!AK$1,'Assumptions (T&amp;D)'!$B$100,Model!$AF$3006)</f>
        <v>-0.13596753627475416</v>
      </c>
      <c r="AU3038" s="377"/>
      <c r="AV3038" s="377"/>
      <c r="AW3038" s="377"/>
      <c r="AX3038" s="377"/>
      <c r="AY3038" s="377"/>
      <c r="AZ3038" s="377"/>
      <c r="BA3038" s="377"/>
      <c r="BB3038" s="377"/>
      <c r="BC3038" s="377"/>
      <c r="BD3038" s="377"/>
    </row>
    <row r="3039" spans="1:58" ht="15.75" hidden="1" customHeight="1" outlineLevel="1">
      <c r="A3039" s="460"/>
      <c r="B3039" s="99"/>
      <c r="C3039" s="377"/>
      <c r="D3039" s="377"/>
      <c r="E3039" s="377"/>
      <c r="F3039" s="377"/>
      <c r="G3039" s="377"/>
      <c r="H3039" s="377"/>
      <c r="I3039" s="377"/>
      <c r="J3039" s="377"/>
      <c r="K3039" s="377"/>
      <c r="L3039" s="377"/>
      <c r="M3039" s="377"/>
      <c r="N3039" s="377"/>
      <c r="O3039" s="377"/>
      <c r="P3039" s="377"/>
      <c r="Q3039" s="377"/>
      <c r="R3039" s="377"/>
      <c r="S3039" s="42"/>
      <c r="T3039" s="42"/>
      <c r="U3039" s="42"/>
      <c r="V3039" s="42"/>
      <c r="W3039" s="86"/>
      <c r="AG3039" s="377">
        <f>PPMT('Assumptions (T&amp;D)'!$B$97,Model!W$1,'Assumptions (T&amp;D)'!$B$100,Model!$AG$3006)</f>
        <v>-7.1003341121361724E-2</v>
      </c>
      <c r="AH3039" s="377">
        <f>PPMT('Assumptions (T&amp;D)'!$B$97,Model!X$1,'Assumptions (T&amp;D)'!$B$100,Model!$AG$3006)</f>
        <v>-7.4375999824626407E-2</v>
      </c>
      <c r="AI3039" s="377">
        <f>PPMT('Assumptions (T&amp;D)'!$B$97,Model!Y$1,'Assumptions (T&amp;D)'!$B$100,Model!$AG$3006)</f>
        <v>-7.7908859816296167E-2</v>
      </c>
      <c r="AJ3039" s="377">
        <f>PPMT('Assumptions (T&amp;D)'!$B$97,Model!Z$1,'Assumptions (T&amp;D)'!$B$100,Model!$AG$3006)</f>
        <v>-8.160953065757022E-2</v>
      </c>
      <c r="AK3039" s="377">
        <f>PPMT('Assumptions (T&amp;D)'!$B$97,Model!AA$1,'Assumptions (T&amp;D)'!$B$100,Model!$AG$3006)</f>
        <v>-8.5485983363804793E-2</v>
      </c>
      <c r="AL3039" s="377">
        <f>PPMT('Assumptions (T&amp;D)'!$B$97,Model!AB$1,'Assumptions (T&amp;D)'!$B$100,Model!$AG$3006)</f>
        <v>-8.9546567573585534E-2</v>
      </c>
      <c r="AM3039" s="377">
        <f>PPMT('Assumptions (T&amp;D)'!$B$97,Model!AC$1,'Assumptions (T&amp;D)'!$B$100,Model!$AG$3006)</f>
        <v>-9.3800029533330845E-2</v>
      </c>
      <c r="AN3039" s="377">
        <f>PPMT('Assumptions (T&amp;D)'!$B$97,Model!AD$1,'Assumptions (T&amp;D)'!$B$100,Model!$AG$3006)</f>
        <v>-9.8255530936164057E-2</v>
      </c>
      <c r="AO3039" s="377">
        <f>PPMT('Assumptions (T&amp;D)'!$B$97,Model!AE$1,'Assumptions (T&amp;D)'!$B$100,Model!$AG$3006)</f>
        <v>-0.10292266865563184</v>
      </c>
      <c r="AP3039" s="377">
        <f>PPMT('Assumptions (T&amp;D)'!$B$97,Model!AF$1,'Assumptions (T&amp;D)'!$B$100,Model!$AG$3006)</f>
        <v>-0.10781149541677437</v>
      </c>
      <c r="AQ3039" s="377">
        <f>PPMT('Assumptions (T&amp;D)'!$B$97,Model!AG$1,'Assumptions (T&amp;D)'!$B$100,Model!$AG$3006)</f>
        <v>-0.11293254144907117</v>
      </c>
      <c r="AR3039" s="377">
        <f>PPMT('Assumptions (T&amp;D)'!$B$97,Model!AH$1,'Assumptions (T&amp;D)'!$B$100,Model!$AG$3006)</f>
        <v>-0.11829683716790204</v>
      </c>
      <c r="AS3039" s="377">
        <f>PPMT('Assumptions (T&amp;D)'!$B$97,Model!AI$1,'Assumptions (T&amp;D)'!$B$100,Model!$AG$3006)</f>
        <v>-0.12391593693337739</v>
      </c>
      <c r="AT3039" s="377">
        <f>PPMT('Assumptions (T&amp;D)'!$B$97,Model!AJ$1,'Assumptions (T&amp;D)'!$B$100,Model!$AG$3006)</f>
        <v>-0.12980194393771283</v>
      </c>
      <c r="AU3039" s="377">
        <f>PPMT('Assumptions (T&amp;D)'!$B$97,Model!AK$1,'Assumptions (T&amp;D)'!$B$100,Model!$AG$3006)</f>
        <v>-0.13596753627475416</v>
      </c>
      <c r="AV3039" s="377"/>
      <c r="AW3039" s="377"/>
      <c r="AX3039" s="377"/>
      <c r="AY3039" s="377"/>
      <c r="AZ3039" s="377"/>
      <c r="BA3039" s="377"/>
      <c r="BB3039" s="377"/>
      <c r="BC3039" s="377"/>
      <c r="BD3039" s="377"/>
      <c r="BE3039" s="377"/>
    </row>
    <row r="3040" spans="1:58" ht="15.75" hidden="1" customHeight="1" outlineLevel="1">
      <c r="A3040" s="460"/>
      <c r="B3040" s="99"/>
      <c r="C3040" s="377"/>
      <c r="D3040" s="377"/>
      <c r="E3040" s="377"/>
      <c r="F3040" s="377"/>
      <c r="G3040" s="377"/>
      <c r="H3040" s="377"/>
      <c r="I3040" s="377"/>
      <c r="J3040" s="377"/>
      <c r="K3040" s="377"/>
      <c r="L3040" s="377"/>
      <c r="M3040" s="377"/>
      <c r="N3040" s="377"/>
      <c r="O3040" s="377"/>
      <c r="P3040" s="377"/>
      <c r="Q3040" s="377"/>
      <c r="R3040" s="377"/>
      <c r="S3040" s="42"/>
      <c r="T3040" s="42"/>
      <c r="U3040" s="42"/>
      <c r="V3040" s="42"/>
      <c r="W3040" s="86"/>
      <c r="AH3040" s="377">
        <f>PPMT('Assumptions (T&amp;D)'!$B$97,Model!W$1,'Assumptions (T&amp;D)'!$B$100,Model!$AH$3006)</f>
        <v>-7.1003341121361724E-2</v>
      </c>
      <c r="AI3040" s="377">
        <f>PPMT('Assumptions (T&amp;D)'!$B$97,Model!X$1,'Assumptions (T&amp;D)'!$B$100,Model!$AH$3006)</f>
        <v>-7.4375999824626407E-2</v>
      </c>
      <c r="AJ3040" s="377">
        <f>PPMT('Assumptions (T&amp;D)'!$B$97,Model!Y$1,'Assumptions (T&amp;D)'!$B$100,Model!$AH$3006)</f>
        <v>-7.7908859816296167E-2</v>
      </c>
      <c r="AK3040" s="377">
        <f>PPMT('Assumptions (T&amp;D)'!$B$97,Model!Z$1,'Assumptions (T&amp;D)'!$B$100,Model!$AH$3006)</f>
        <v>-8.160953065757022E-2</v>
      </c>
      <c r="AL3040" s="377">
        <f>PPMT('Assumptions (T&amp;D)'!$B$97,Model!AA$1,'Assumptions (T&amp;D)'!$B$100,Model!$AH$3006)</f>
        <v>-8.5485983363804793E-2</v>
      </c>
      <c r="AM3040" s="377">
        <f>PPMT('Assumptions (T&amp;D)'!$B$97,Model!AB$1,'Assumptions (T&amp;D)'!$B$100,Model!$AH$3006)</f>
        <v>-8.9546567573585534E-2</v>
      </c>
      <c r="AN3040" s="377">
        <f>PPMT('Assumptions (T&amp;D)'!$B$97,Model!AC$1,'Assumptions (T&amp;D)'!$B$100,Model!$AH$3006)</f>
        <v>-9.3800029533330845E-2</v>
      </c>
      <c r="AO3040" s="377">
        <f>PPMT('Assumptions (T&amp;D)'!$B$97,Model!AD$1,'Assumptions (T&amp;D)'!$B$100,Model!$AH$3006)</f>
        <v>-9.8255530936164057E-2</v>
      </c>
      <c r="AP3040" s="377">
        <f>PPMT('Assumptions (T&amp;D)'!$B$97,Model!AE$1,'Assumptions (T&amp;D)'!$B$100,Model!$AH$3006)</f>
        <v>-0.10292266865563184</v>
      </c>
      <c r="AQ3040" s="377">
        <f>PPMT('Assumptions (T&amp;D)'!$B$97,Model!AF$1,'Assumptions (T&amp;D)'!$B$100,Model!$AH$3006)</f>
        <v>-0.10781149541677437</v>
      </c>
      <c r="AR3040" s="377">
        <f>PPMT('Assumptions (T&amp;D)'!$B$97,Model!AG$1,'Assumptions (T&amp;D)'!$B$100,Model!$AH$3006)</f>
        <v>-0.11293254144907117</v>
      </c>
      <c r="AS3040" s="377">
        <f>PPMT('Assumptions (T&amp;D)'!$B$97,Model!AH$1,'Assumptions (T&amp;D)'!$B$100,Model!$AH$3006)</f>
        <v>-0.11829683716790204</v>
      </c>
      <c r="AT3040" s="377">
        <f>PPMT('Assumptions (T&amp;D)'!$B$97,Model!AI$1,'Assumptions (T&amp;D)'!$B$100,Model!$AH$3006)</f>
        <v>-0.12391593693337739</v>
      </c>
      <c r="AU3040" s="377">
        <f>PPMT('Assumptions (T&amp;D)'!$B$97,Model!AJ$1,'Assumptions (T&amp;D)'!$B$100,Model!$AH$3006)</f>
        <v>-0.12980194393771283</v>
      </c>
      <c r="AV3040" s="377">
        <f>PPMT('Assumptions (T&amp;D)'!$B$97,Model!AK$1,'Assumptions (T&amp;D)'!$B$100,Model!$AH$3006)</f>
        <v>-0.13596753627475416</v>
      </c>
      <c r="AW3040" s="377"/>
      <c r="AX3040" s="377"/>
      <c r="AY3040" s="377"/>
      <c r="AZ3040" s="377"/>
      <c r="BA3040" s="377"/>
      <c r="BB3040" s="377"/>
      <c r="BC3040" s="377"/>
      <c r="BD3040" s="377"/>
      <c r="BE3040" s="377"/>
      <c r="BF3040" s="377"/>
    </row>
    <row r="3041" spans="1:74" ht="15.75" hidden="1" customHeight="1" outlineLevel="1">
      <c r="A3041" s="460"/>
      <c r="B3041" s="99"/>
      <c r="C3041" s="377"/>
      <c r="D3041" s="377"/>
      <c r="E3041" s="377"/>
      <c r="F3041" s="377"/>
      <c r="G3041" s="377"/>
      <c r="H3041" s="377"/>
      <c r="I3041" s="377"/>
      <c r="J3041" s="377"/>
      <c r="K3041" s="377"/>
      <c r="L3041" s="377"/>
      <c r="M3041" s="377"/>
      <c r="N3041" s="377"/>
      <c r="O3041" s="377"/>
      <c r="P3041" s="377"/>
      <c r="Q3041" s="377"/>
      <c r="R3041" s="377"/>
      <c r="S3041" s="42"/>
      <c r="T3041" s="42"/>
      <c r="U3041" s="42"/>
      <c r="V3041" s="42"/>
      <c r="W3041" s="86"/>
      <c r="AI3041" s="377">
        <f>PPMT('Assumptions (T&amp;D)'!$B$97,Model!W$1,'Assumptions (T&amp;D)'!$B$100,Model!$AI$3006)</f>
        <v>-7.1003341121361724E-2</v>
      </c>
      <c r="AJ3041" s="377">
        <f>PPMT('Assumptions (T&amp;D)'!$B$97,Model!X$1,'Assumptions (T&amp;D)'!$B$100,Model!$AI$3006)</f>
        <v>-7.4375999824626407E-2</v>
      </c>
      <c r="AK3041" s="377">
        <f>PPMT('Assumptions (T&amp;D)'!$B$97,Model!Y$1,'Assumptions (T&amp;D)'!$B$100,Model!$AI$3006)</f>
        <v>-7.7908859816296167E-2</v>
      </c>
      <c r="AL3041" s="377">
        <f>PPMT('Assumptions (T&amp;D)'!$B$97,Model!Z$1,'Assumptions (T&amp;D)'!$B$100,Model!$AI$3006)</f>
        <v>-8.160953065757022E-2</v>
      </c>
      <c r="AM3041" s="377">
        <f>PPMT('Assumptions (T&amp;D)'!$B$97,Model!AA$1,'Assumptions (T&amp;D)'!$B$100,Model!$AI$3006)</f>
        <v>-8.5485983363804793E-2</v>
      </c>
      <c r="AN3041" s="377">
        <f>PPMT('Assumptions (T&amp;D)'!$B$97,Model!AB$1,'Assumptions (T&amp;D)'!$B$100,Model!$AI$3006)</f>
        <v>-8.9546567573585534E-2</v>
      </c>
      <c r="AO3041" s="377">
        <f>PPMT('Assumptions (T&amp;D)'!$B$97,Model!AC$1,'Assumptions (T&amp;D)'!$B$100,Model!$AI$3006)</f>
        <v>-9.3800029533330845E-2</v>
      </c>
      <c r="AP3041" s="377">
        <f>PPMT('Assumptions (T&amp;D)'!$B$97,Model!AD$1,'Assumptions (T&amp;D)'!$B$100,Model!$AI$3006)</f>
        <v>-9.8255530936164057E-2</v>
      </c>
      <c r="AQ3041" s="377">
        <f>PPMT('Assumptions (T&amp;D)'!$B$97,Model!AE$1,'Assumptions (T&amp;D)'!$B$100,Model!$AI$3006)</f>
        <v>-0.10292266865563184</v>
      </c>
      <c r="AR3041" s="377">
        <f>PPMT('Assumptions (T&amp;D)'!$B$97,Model!AF$1,'Assumptions (T&amp;D)'!$B$100,Model!$AI$3006)</f>
        <v>-0.10781149541677437</v>
      </c>
      <c r="AS3041" s="377">
        <f>PPMT('Assumptions (T&amp;D)'!$B$97,Model!AG$1,'Assumptions (T&amp;D)'!$B$100,Model!$AI$3006)</f>
        <v>-0.11293254144907117</v>
      </c>
      <c r="AT3041" s="377">
        <f>PPMT('Assumptions (T&amp;D)'!$B$97,Model!AH$1,'Assumptions (T&amp;D)'!$B$100,Model!$AI$3006)</f>
        <v>-0.11829683716790204</v>
      </c>
      <c r="AU3041" s="377">
        <f>PPMT('Assumptions (T&amp;D)'!$B$97,Model!AI$1,'Assumptions (T&amp;D)'!$B$100,Model!$AI$3006)</f>
        <v>-0.12391593693337739</v>
      </c>
      <c r="AV3041" s="377">
        <f>PPMT('Assumptions (T&amp;D)'!$B$97,Model!AJ$1,'Assumptions (T&amp;D)'!$B$100,Model!$AI$3006)</f>
        <v>-0.12980194393771283</v>
      </c>
      <c r="AW3041" s="377">
        <f>PPMT('Assumptions (T&amp;D)'!$B$97,Model!AK$1,'Assumptions (T&amp;D)'!$B$100,Model!$AI$3006)</f>
        <v>-0.13596753627475416</v>
      </c>
      <c r="AX3041" s="377"/>
      <c r="AY3041" s="377"/>
      <c r="AZ3041" s="377"/>
      <c r="BA3041" s="377"/>
      <c r="BB3041" s="377"/>
      <c r="BC3041" s="377"/>
      <c r="BD3041" s="377"/>
      <c r="BE3041" s="377"/>
      <c r="BF3041" s="377"/>
      <c r="BG3041" s="377"/>
    </row>
    <row r="3042" spans="1:74" ht="15.75" hidden="1" customHeight="1" outlineLevel="1">
      <c r="A3042" s="460"/>
      <c r="B3042" s="99"/>
      <c r="C3042" s="377"/>
      <c r="D3042" s="377"/>
      <c r="E3042" s="377"/>
      <c r="F3042" s="377"/>
      <c r="G3042" s="377"/>
      <c r="H3042" s="377"/>
      <c r="I3042" s="377"/>
      <c r="J3042" s="377"/>
      <c r="K3042" s="377"/>
      <c r="L3042" s="377"/>
      <c r="M3042" s="377"/>
      <c r="N3042" s="377"/>
      <c r="O3042" s="377"/>
      <c r="P3042" s="377"/>
      <c r="Q3042" s="377"/>
      <c r="R3042" s="377"/>
      <c r="S3042" s="42"/>
      <c r="T3042" s="42"/>
      <c r="U3042" s="42"/>
      <c r="V3042" s="42"/>
      <c r="W3042" s="86"/>
      <c r="AJ3042" s="377">
        <f>PPMT('Assumptions (T&amp;D)'!$B$97,Model!W$1,'Assumptions (T&amp;D)'!$B$100,Model!$AJ$3006)</f>
        <v>-7.1003341121361724E-2</v>
      </c>
      <c r="AK3042" s="377">
        <f>PPMT('Assumptions (T&amp;D)'!$B$97,Model!X$1,'Assumptions (T&amp;D)'!$B$100,Model!$AJ$3006)</f>
        <v>-7.4375999824626407E-2</v>
      </c>
      <c r="AL3042" s="377">
        <f>PPMT('Assumptions (T&amp;D)'!$B$97,Model!Y$1,'Assumptions (T&amp;D)'!$B$100,Model!$AJ$3006)</f>
        <v>-7.7908859816296167E-2</v>
      </c>
      <c r="AM3042" s="377">
        <f>PPMT('Assumptions (T&amp;D)'!$B$97,Model!Z$1,'Assumptions (T&amp;D)'!$B$100,Model!$AJ$3006)</f>
        <v>-8.160953065757022E-2</v>
      </c>
      <c r="AN3042" s="377">
        <f>PPMT('Assumptions (T&amp;D)'!$B$97,Model!AA$1,'Assumptions (T&amp;D)'!$B$100,Model!$AJ$3006)</f>
        <v>-8.5485983363804793E-2</v>
      </c>
      <c r="AO3042" s="377">
        <f>PPMT('Assumptions (T&amp;D)'!$B$97,Model!AB$1,'Assumptions (T&amp;D)'!$B$100,Model!$AJ$3006)</f>
        <v>-8.9546567573585534E-2</v>
      </c>
      <c r="AP3042" s="377">
        <f>PPMT('Assumptions (T&amp;D)'!$B$97,Model!AC$1,'Assumptions (T&amp;D)'!$B$100,Model!$AJ$3006)</f>
        <v>-9.3800029533330845E-2</v>
      </c>
      <c r="AQ3042" s="377">
        <f>PPMT('Assumptions (T&amp;D)'!$B$97,Model!AD$1,'Assumptions (T&amp;D)'!$B$100,Model!$AJ$3006)</f>
        <v>-9.8255530936164057E-2</v>
      </c>
      <c r="AR3042" s="377">
        <f>PPMT('Assumptions (T&amp;D)'!$B$97,Model!AE$1,'Assumptions (T&amp;D)'!$B$100,Model!$AJ$3006)</f>
        <v>-0.10292266865563184</v>
      </c>
      <c r="AS3042" s="377">
        <f>PPMT('Assumptions (T&amp;D)'!$B$97,Model!AF$1,'Assumptions (T&amp;D)'!$B$100,Model!$AJ$3006)</f>
        <v>-0.10781149541677437</v>
      </c>
      <c r="AT3042" s="377">
        <f>PPMT('Assumptions (T&amp;D)'!$B$97,Model!AG$1,'Assumptions (T&amp;D)'!$B$100,Model!$AJ$3006)</f>
        <v>-0.11293254144907117</v>
      </c>
      <c r="AU3042" s="377">
        <f>PPMT('Assumptions (T&amp;D)'!$B$97,Model!AH$1,'Assumptions (T&amp;D)'!$B$100,Model!$AJ$3006)</f>
        <v>-0.11829683716790204</v>
      </c>
      <c r="AV3042" s="377">
        <f>PPMT('Assumptions (T&amp;D)'!$B$97,Model!AI$1,'Assumptions (T&amp;D)'!$B$100,Model!$AJ$3006)</f>
        <v>-0.12391593693337739</v>
      </c>
      <c r="AW3042" s="377">
        <f>PPMT('Assumptions (T&amp;D)'!$B$97,Model!AJ$1,'Assumptions (T&amp;D)'!$B$100,Model!$AJ$3006)</f>
        <v>-0.12980194393771283</v>
      </c>
      <c r="AX3042" s="377">
        <f>PPMT('Assumptions (T&amp;D)'!$B$97,Model!AK$1,'Assumptions (T&amp;D)'!$B$100,Model!$AJ$3006)</f>
        <v>-0.13596753627475416</v>
      </c>
      <c r="AY3042" s="377"/>
      <c r="AZ3042" s="377"/>
      <c r="BA3042" s="377"/>
      <c r="BB3042" s="377"/>
      <c r="BC3042" s="377"/>
      <c r="BD3042" s="377"/>
      <c r="BE3042" s="377"/>
      <c r="BF3042" s="377"/>
      <c r="BG3042" s="377"/>
      <c r="BH3042" s="377"/>
    </row>
    <row r="3043" spans="1:74" ht="15.75" hidden="1" customHeight="1" outlineLevel="1">
      <c r="A3043" s="460"/>
      <c r="B3043" s="99"/>
      <c r="C3043" s="377"/>
      <c r="D3043" s="377"/>
      <c r="E3043" s="377"/>
      <c r="F3043" s="377"/>
      <c r="G3043" s="377"/>
      <c r="H3043" s="377"/>
      <c r="I3043" s="377"/>
      <c r="J3043" s="377"/>
      <c r="K3043" s="377"/>
      <c r="L3043" s="377"/>
      <c r="M3043" s="377"/>
      <c r="N3043" s="377"/>
      <c r="O3043" s="377"/>
      <c r="P3043" s="377"/>
      <c r="Q3043" s="377"/>
      <c r="R3043" s="377"/>
      <c r="S3043" s="42"/>
      <c r="T3043" s="42"/>
      <c r="U3043" s="42"/>
      <c r="V3043" s="42"/>
      <c r="W3043" s="86"/>
      <c r="AK3043" s="377">
        <f>PPMT('Assumptions (T&amp;D)'!$B$97,Model!W$1,'Assumptions (T&amp;D)'!$B$100,Model!$AK$3006)</f>
        <v>-7.1003341121361724E-2</v>
      </c>
      <c r="AL3043" s="377">
        <f>PPMT('Assumptions (T&amp;D)'!$B$97,Model!X$1,'Assumptions (T&amp;D)'!$B$100,Model!$AK$3006)</f>
        <v>-7.4375999824626407E-2</v>
      </c>
      <c r="AM3043" s="377">
        <f>PPMT('Assumptions (T&amp;D)'!$B$97,Model!Y$1,'Assumptions (T&amp;D)'!$B$100,Model!$AK$3006)</f>
        <v>-7.7908859816296167E-2</v>
      </c>
      <c r="AN3043" s="377">
        <f>PPMT('Assumptions (T&amp;D)'!$B$97,Model!Z$1,'Assumptions (T&amp;D)'!$B$100,Model!$AK$3006)</f>
        <v>-8.160953065757022E-2</v>
      </c>
      <c r="AO3043" s="377">
        <f>PPMT('Assumptions (T&amp;D)'!$B$97,Model!AA$1,'Assumptions (T&amp;D)'!$B$100,Model!$AK$3006)</f>
        <v>-8.5485983363804793E-2</v>
      </c>
      <c r="AP3043" s="377">
        <f>PPMT('Assumptions (T&amp;D)'!$B$97,Model!AB$1,'Assumptions (T&amp;D)'!$B$100,Model!$AK$3006)</f>
        <v>-8.9546567573585534E-2</v>
      </c>
      <c r="AQ3043" s="377">
        <f>PPMT('Assumptions (T&amp;D)'!$B$97,Model!AC$1,'Assumptions (T&amp;D)'!$B$100,Model!$AK$3006)</f>
        <v>-9.3800029533330845E-2</v>
      </c>
      <c r="AR3043" s="377">
        <f>PPMT('Assumptions (T&amp;D)'!$B$97,Model!AD$1,'Assumptions (T&amp;D)'!$B$100,Model!$AK$3006)</f>
        <v>-9.8255530936164057E-2</v>
      </c>
      <c r="AS3043" s="377">
        <f>PPMT('Assumptions (T&amp;D)'!$B$97,Model!AE$1,'Assumptions (T&amp;D)'!$B$100,Model!$AK$3006)</f>
        <v>-0.10292266865563184</v>
      </c>
      <c r="AT3043" s="377">
        <f>PPMT('Assumptions (T&amp;D)'!$B$97,Model!AF$1,'Assumptions (T&amp;D)'!$B$100,Model!$AK$3006)</f>
        <v>-0.10781149541677437</v>
      </c>
      <c r="AU3043" s="377">
        <f>PPMT('Assumptions (T&amp;D)'!$B$97,Model!AG$1,'Assumptions (T&amp;D)'!$B$100,Model!$AK$3006)</f>
        <v>-0.11293254144907117</v>
      </c>
      <c r="AV3043" s="377">
        <f>PPMT('Assumptions (T&amp;D)'!$B$97,Model!AH$1,'Assumptions (T&amp;D)'!$B$100,Model!$AK$3006)</f>
        <v>-0.11829683716790204</v>
      </c>
      <c r="AW3043" s="377">
        <f>PPMT('Assumptions (T&amp;D)'!$B$97,Model!AI$1,'Assumptions (T&amp;D)'!$B$100,Model!$AK$3006)</f>
        <v>-0.12391593693337739</v>
      </c>
      <c r="AX3043" s="377">
        <f>PPMT('Assumptions (T&amp;D)'!$B$97,Model!AJ$1,'Assumptions (T&amp;D)'!$B$100,Model!$AK$3006)</f>
        <v>-0.12980194393771283</v>
      </c>
      <c r="AY3043" s="377">
        <f>PPMT('Assumptions (T&amp;D)'!$B$97,Model!AK$1,'Assumptions (T&amp;D)'!$B$100,Model!$AK$3006)</f>
        <v>-0.13596753627475416</v>
      </c>
      <c r="AZ3043" s="377"/>
      <c r="BA3043" s="377"/>
      <c r="BB3043" s="377"/>
      <c r="BC3043" s="377"/>
      <c r="BD3043" s="377"/>
      <c r="BE3043" s="377"/>
      <c r="BF3043" s="377"/>
      <c r="BG3043" s="377"/>
      <c r="BH3043" s="377"/>
      <c r="BI3043" s="377"/>
    </row>
    <row r="3044" spans="1:74" ht="15.75" hidden="1" customHeight="1" outlineLevel="1">
      <c r="A3044" s="460"/>
      <c r="B3044" s="99"/>
      <c r="C3044" s="377"/>
      <c r="D3044" s="377"/>
      <c r="E3044" s="377"/>
      <c r="F3044" s="377"/>
      <c r="G3044" s="377"/>
      <c r="H3044" s="377"/>
      <c r="I3044" s="377"/>
      <c r="J3044" s="377"/>
      <c r="K3044" s="377"/>
      <c r="L3044" s="377"/>
      <c r="M3044" s="377"/>
      <c r="N3044" s="377"/>
      <c r="O3044" s="377"/>
      <c r="P3044" s="377"/>
      <c r="Q3044" s="377"/>
      <c r="R3044" s="377"/>
      <c r="S3044" s="42"/>
      <c r="T3044" s="42"/>
      <c r="U3044" s="42"/>
      <c r="V3044" s="42"/>
      <c r="W3044" s="86"/>
      <c r="AL3044" s="377">
        <f>PPMT('Assumptions (T&amp;D)'!$B$97,Model!W$1,'Assumptions (T&amp;D)'!$B$100,Model!$AL$3006)</f>
        <v>-7.1003341121361724E-2</v>
      </c>
      <c r="AM3044" s="377">
        <f>PPMT('Assumptions (T&amp;D)'!$B$97,Model!X$1,'Assumptions (T&amp;D)'!$B$100,Model!$AL$3006)</f>
        <v>-7.4375999824626407E-2</v>
      </c>
      <c r="AN3044" s="377">
        <f>PPMT('Assumptions (T&amp;D)'!$B$97,Model!Y$1,'Assumptions (T&amp;D)'!$B$100,Model!$AL$3006)</f>
        <v>-7.7908859816296167E-2</v>
      </c>
      <c r="AO3044" s="377">
        <f>PPMT('Assumptions (T&amp;D)'!$B$97,Model!Z$1,'Assumptions (T&amp;D)'!$B$100,Model!$AL$3006)</f>
        <v>-8.160953065757022E-2</v>
      </c>
      <c r="AP3044" s="377">
        <f>PPMT('Assumptions (T&amp;D)'!$B$97,Model!AA$1,'Assumptions (T&amp;D)'!$B$100,Model!$AL$3006)</f>
        <v>-8.5485983363804793E-2</v>
      </c>
      <c r="AQ3044" s="377">
        <f>PPMT('Assumptions (T&amp;D)'!$B$97,Model!AB$1,'Assumptions (T&amp;D)'!$B$100,Model!$AL$3006)</f>
        <v>-8.9546567573585534E-2</v>
      </c>
      <c r="AR3044" s="377">
        <f>PPMT('Assumptions (T&amp;D)'!$B$97,Model!AC$1,'Assumptions (T&amp;D)'!$B$100,Model!$AL$3006)</f>
        <v>-9.3800029533330845E-2</v>
      </c>
      <c r="AS3044" s="377">
        <f>PPMT('Assumptions (T&amp;D)'!$B$97,Model!AD$1,'Assumptions (T&amp;D)'!$B$100,Model!$AL$3006)</f>
        <v>-9.8255530936164057E-2</v>
      </c>
      <c r="AT3044" s="377">
        <f>PPMT('Assumptions (T&amp;D)'!$B$97,Model!AE$1,'Assumptions (T&amp;D)'!$B$100,Model!$AL$3006)</f>
        <v>-0.10292266865563184</v>
      </c>
      <c r="AU3044" s="377">
        <f>PPMT('Assumptions (T&amp;D)'!$B$97,Model!AF$1,'Assumptions (T&amp;D)'!$B$100,Model!$AL$3006)</f>
        <v>-0.10781149541677437</v>
      </c>
      <c r="AV3044" s="377">
        <f>PPMT('Assumptions (T&amp;D)'!$B$97,Model!AG$1,'Assumptions (T&amp;D)'!$B$100,Model!$AL$3006)</f>
        <v>-0.11293254144907117</v>
      </c>
      <c r="AW3044" s="377">
        <f>PPMT('Assumptions (T&amp;D)'!$B$97,Model!AH$1,'Assumptions (T&amp;D)'!$B$100,Model!$AL$3006)</f>
        <v>-0.11829683716790204</v>
      </c>
      <c r="AX3044" s="377">
        <f>PPMT('Assumptions (T&amp;D)'!$B$97,Model!AI$1,'Assumptions (T&amp;D)'!$B$100,Model!$AL$3006)</f>
        <v>-0.12391593693337739</v>
      </c>
      <c r="AY3044" s="377">
        <f>PPMT('Assumptions (T&amp;D)'!$B$97,Model!AJ$1,'Assumptions (T&amp;D)'!$B$100,Model!$AL$3006)</f>
        <v>-0.12980194393771283</v>
      </c>
      <c r="AZ3044" s="377">
        <f>PPMT('Assumptions (T&amp;D)'!$B$97,Model!AK$1,'Assumptions (T&amp;D)'!$B$100,Model!$AL$3006)</f>
        <v>-0.13596753627475416</v>
      </c>
      <c r="BA3044" s="377"/>
      <c r="BB3044" s="377"/>
      <c r="BC3044" s="377"/>
      <c r="BD3044" s="377"/>
      <c r="BE3044" s="377"/>
      <c r="BF3044" s="377"/>
      <c r="BG3044" s="377"/>
      <c r="BH3044" s="377"/>
      <c r="BI3044" s="377"/>
      <c r="BJ3044" s="377"/>
    </row>
    <row r="3045" spans="1:74" ht="15.75" hidden="1" customHeight="1" outlineLevel="1">
      <c r="A3045" s="460"/>
      <c r="B3045" s="99"/>
      <c r="C3045" s="377"/>
      <c r="D3045" s="377"/>
      <c r="E3045" s="377"/>
      <c r="F3045" s="377"/>
      <c r="G3045" s="377"/>
      <c r="H3045" s="377"/>
      <c r="I3045" s="377"/>
      <c r="J3045" s="377"/>
      <c r="K3045" s="377"/>
      <c r="L3045" s="377"/>
      <c r="M3045" s="377"/>
      <c r="N3045" s="377"/>
      <c r="O3045" s="377"/>
      <c r="P3045" s="377"/>
      <c r="Q3045" s="377"/>
      <c r="R3045" s="377"/>
      <c r="S3045" s="42"/>
      <c r="T3045" s="42"/>
      <c r="U3045" s="42"/>
      <c r="V3045" s="42"/>
      <c r="W3045" s="86"/>
      <c r="AM3045" s="377">
        <f>PPMT('Assumptions (T&amp;D)'!$B$97,Model!W$1,'Assumptions (T&amp;D)'!$B$100,Model!$AM$3006)</f>
        <v>-7.1003341121361724E-2</v>
      </c>
      <c r="AN3045" s="377">
        <f>PPMT('Assumptions (T&amp;D)'!$B$97,Model!X$1,'Assumptions (T&amp;D)'!$B$100,Model!$AM$3006)</f>
        <v>-7.4375999824626407E-2</v>
      </c>
      <c r="AO3045" s="377">
        <f>PPMT('Assumptions (T&amp;D)'!$B$97,Model!Y$1,'Assumptions (T&amp;D)'!$B$100,Model!$AM$3006)</f>
        <v>-7.7908859816296167E-2</v>
      </c>
      <c r="AP3045" s="377">
        <f>PPMT('Assumptions (T&amp;D)'!$B$97,Model!Z$1,'Assumptions (T&amp;D)'!$B$100,Model!$AM$3006)</f>
        <v>-8.160953065757022E-2</v>
      </c>
      <c r="AQ3045" s="377">
        <f>PPMT('Assumptions (T&amp;D)'!$B$97,Model!AA$1,'Assumptions (T&amp;D)'!$B$100,Model!$AM$3006)</f>
        <v>-8.5485983363804793E-2</v>
      </c>
      <c r="AR3045" s="377">
        <f>PPMT('Assumptions (T&amp;D)'!$B$97,Model!AB$1,'Assumptions (T&amp;D)'!$B$100,Model!$AM$3006)</f>
        <v>-8.9546567573585534E-2</v>
      </c>
      <c r="AS3045" s="377">
        <f>PPMT('Assumptions (T&amp;D)'!$B$97,Model!AC$1,'Assumptions (T&amp;D)'!$B$100,Model!$AM$3006)</f>
        <v>-9.3800029533330845E-2</v>
      </c>
      <c r="AT3045" s="377">
        <f>PPMT('Assumptions (T&amp;D)'!$B$97,Model!AD$1,'Assumptions (T&amp;D)'!$B$100,Model!$AM$3006)</f>
        <v>-9.8255530936164057E-2</v>
      </c>
      <c r="AU3045" s="377">
        <f>PPMT('Assumptions (T&amp;D)'!$B$97,Model!AE$1,'Assumptions (T&amp;D)'!$B$100,Model!$AM$3006)</f>
        <v>-0.10292266865563184</v>
      </c>
      <c r="AV3045" s="377">
        <f>PPMT('Assumptions (T&amp;D)'!$B$97,Model!AF$1,'Assumptions (T&amp;D)'!$B$100,Model!$AM$3006)</f>
        <v>-0.10781149541677437</v>
      </c>
      <c r="AW3045" s="377">
        <f>PPMT('Assumptions (T&amp;D)'!$B$97,Model!AG$1,'Assumptions (T&amp;D)'!$B$100,Model!$AM$3006)</f>
        <v>-0.11293254144907117</v>
      </c>
      <c r="AX3045" s="377">
        <f>PPMT('Assumptions (T&amp;D)'!$B$97,Model!AH$1,'Assumptions (T&amp;D)'!$B$100,Model!$AM$3006)</f>
        <v>-0.11829683716790204</v>
      </c>
      <c r="AY3045" s="377">
        <f>PPMT('Assumptions (T&amp;D)'!$B$97,Model!AI$1,'Assumptions (T&amp;D)'!$B$100,Model!$AM$3006)</f>
        <v>-0.12391593693337739</v>
      </c>
      <c r="AZ3045" s="377">
        <f>PPMT('Assumptions (T&amp;D)'!$B$97,Model!AJ$1,'Assumptions (T&amp;D)'!$B$100,Model!$AM$3006)</f>
        <v>-0.12980194393771283</v>
      </c>
      <c r="BA3045" s="377">
        <f>PPMT('Assumptions (T&amp;D)'!$B$97,Model!AK$1,'Assumptions (T&amp;D)'!$B$100,Model!$AM$3006)</f>
        <v>-0.13596753627475416</v>
      </c>
      <c r="BB3045" s="377"/>
      <c r="BC3045" s="377"/>
      <c r="BD3045" s="377"/>
      <c r="BE3045" s="377"/>
      <c r="BF3045" s="377"/>
      <c r="BG3045" s="377"/>
      <c r="BH3045" s="377"/>
      <c r="BI3045" s="377"/>
      <c r="BJ3045" s="377"/>
      <c r="BK3045" s="377"/>
    </row>
    <row r="3046" spans="1:74" ht="15.75" hidden="1" customHeight="1" outlineLevel="1">
      <c r="A3046" s="460"/>
      <c r="B3046" s="99"/>
      <c r="C3046" s="377"/>
      <c r="D3046" s="377"/>
      <c r="E3046" s="377"/>
      <c r="F3046" s="377"/>
      <c r="G3046" s="377"/>
      <c r="H3046" s="377"/>
      <c r="I3046" s="377"/>
      <c r="J3046" s="377"/>
      <c r="K3046" s="377"/>
      <c r="L3046" s="377"/>
      <c r="M3046" s="377"/>
      <c r="N3046" s="377"/>
      <c r="O3046" s="377"/>
      <c r="P3046" s="377"/>
      <c r="Q3046" s="377"/>
      <c r="R3046" s="377"/>
      <c r="S3046" s="42"/>
      <c r="T3046" s="42"/>
      <c r="U3046" s="42"/>
      <c r="V3046" s="42"/>
      <c r="W3046" s="86"/>
      <c r="AN3046" s="377">
        <f>PPMT('Assumptions (T&amp;D)'!$B$97,Model!W$1,'Assumptions (T&amp;D)'!$B$100,Model!$AN$3006)</f>
        <v>-7.1003341121361724E-2</v>
      </c>
      <c r="AO3046" s="377">
        <f>PPMT('Assumptions (T&amp;D)'!$B$97,Model!X$1,'Assumptions (T&amp;D)'!$B$100,Model!$AN$3006)</f>
        <v>-7.4375999824626407E-2</v>
      </c>
      <c r="AP3046" s="377">
        <f>PPMT('Assumptions (T&amp;D)'!$B$97,Model!Y$1,'Assumptions (T&amp;D)'!$B$100,Model!$AN$3006)</f>
        <v>-7.7908859816296167E-2</v>
      </c>
      <c r="AQ3046" s="377">
        <f>PPMT('Assumptions (T&amp;D)'!$B$97,Model!Z$1,'Assumptions (T&amp;D)'!$B$100,Model!$AN$3006)</f>
        <v>-8.160953065757022E-2</v>
      </c>
      <c r="AR3046" s="377">
        <f>PPMT('Assumptions (T&amp;D)'!$B$97,Model!AA$1,'Assumptions (T&amp;D)'!$B$100,Model!$AN$3006)</f>
        <v>-8.5485983363804793E-2</v>
      </c>
      <c r="AS3046" s="377">
        <f>PPMT('Assumptions (T&amp;D)'!$B$97,Model!AB$1,'Assumptions (T&amp;D)'!$B$100,Model!$AN$3006)</f>
        <v>-8.9546567573585534E-2</v>
      </c>
      <c r="AT3046" s="377">
        <f>PPMT('Assumptions (T&amp;D)'!$B$97,Model!AC$1,'Assumptions (T&amp;D)'!$B$100,Model!$AN$3006)</f>
        <v>-9.3800029533330845E-2</v>
      </c>
      <c r="AU3046" s="377">
        <f>PPMT('Assumptions (T&amp;D)'!$B$97,Model!AD$1,'Assumptions (T&amp;D)'!$B$100,Model!$AN$3006)</f>
        <v>-9.8255530936164057E-2</v>
      </c>
      <c r="AV3046" s="377">
        <f>PPMT('Assumptions (T&amp;D)'!$B$97,Model!AE$1,'Assumptions (T&amp;D)'!$B$100,Model!$AN$3006)</f>
        <v>-0.10292266865563184</v>
      </c>
      <c r="AW3046" s="377">
        <f>PPMT('Assumptions (T&amp;D)'!$B$97,Model!AF$1,'Assumptions (T&amp;D)'!$B$100,Model!$AN$3006)</f>
        <v>-0.10781149541677437</v>
      </c>
      <c r="AX3046" s="377">
        <f>PPMT('Assumptions (T&amp;D)'!$B$97,Model!AG$1,'Assumptions (T&amp;D)'!$B$100,Model!$AN$3006)</f>
        <v>-0.11293254144907117</v>
      </c>
      <c r="AY3046" s="377">
        <f>PPMT('Assumptions (T&amp;D)'!$B$97,Model!AH$1,'Assumptions (T&amp;D)'!$B$100,Model!$AN$3006)</f>
        <v>-0.11829683716790204</v>
      </c>
      <c r="AZ3046" s="377">
        <f>PPMT('Assumptions (T&amp;D)'!$B$97,Model!AI$1,'Assumptions (T&amp;D)'!$B$100,Model!$AN$3006)</f>
        <v>-0.12391593693337739</v>
      </c>
      <c r="BA3046" s="377">
        <f>PPMT('Assumptions (T&amp;D)'!$B$97,Model!AJ$1,'Assumptions (T&amp;D)'!$B$100,Model!$AN$3006)</f>
        <v>-0.12980194393771283</v>
      </c>
      <c r="BB3046" s="377">
        <f>PPMT('Assumptions (T&amp;D)'!$B$97,Model!AK$1,'Assumptions (T&amp;D)'!$B$100,Model!$AN$3006)</f>
        <v>-0.13596753627475416</v>
      </c>
      <c r="BC3046" s="377"/>
      <c r="BD3046" s="377"/>
      <c r="BE3046" s="377"/>
      <c r="BF3046" s="377"/>
      <c r="BG3046" s="377"/>
      <c r="BH3046" s="377"/>
      <c r="BI3046" s="377"/>
      <c r="BJ3046" s="377"/>
      <c r="BK3046" s="377"/>
      <c r="BL3046" s="377"/>
    </row>
    <row r="3047" spans="1:74" ht="15.75" hidden="1" customHeight="1" outlineLevel="1">
      <c r="A3047" s="460"/>
      <c r="B3047" s="99"/>
      <c r="C3047" s="377"/>
      <c r="D3047" s="377"/>
      <c r="E3047" s="377"/>
      <c r="F3047" s="377"/>
      <c r="G3047" s="377"/>
      <c r="H3047" s="377"/>
      <c r="I3047" s="377"/>
      <c r="J3047" s="377"/>
      <c r="K3047" s="377"/>
      <c r="L3047" s="377"/>
      <c r="M3047" s="377"/>
      <c r="N3047" s="377"/>
      <c r="O3047" s="377"/>
      <c r="P3047" s="377"/>
      <c r="Q3047" s="377"/>
      <c r="R3047" s="377"/>
      <c r="S3047" s="42"/>
      <c r="T3047" s="42"/>
      <c r="U3047" s="42"/>
      <c r="V3047" s="42"/>
      <c r="W3047" s="86"/>
      <c r="AO3047" s="377">
        <f>PPMT('Assumptions (T&amp;D)'!$B$97,Model!W$1,'Assumptions (T&amp;D)'!$B$100,Model!$AO$3006)</f>
        <v>-7.1003341121361724E-2</v>
      </c>
      <c r="AP3047" s="377">
        <f>PPMT('Assumptions (T&amp;D)'!$B$97,Model!X$1,'Assumptions (T&amp;D)'!$B$100,Model!$AO$3006)</f>
        <v>-7.4375999824626407E-2</v>
      </c>
      <c r="AQ3047" s="377">
        <f>PPMT('Assumptions (T&amp;D)'!$B$97,Model!Y$1,'Assumptions (T&amp;D)'!$B$100,Model!$AO$3006)</f>
        <v>-7.7908859816296167E-2</v>
      </c>
      <c r="AR3047" s="377">
        <f>PPMT('Assumptions (T&amp;D)'!$B$97,Model!Z$1,'Assumptions (T&amp;D)'!$B$100,Model!$AO$3006)</f>
        <v>-8.160953065757022E-2</v>
      </c>
      <c r="AS3047" s="377">
        <f>PPMT('Assumptions (T&amp;D)'!$B$97,Model!AA$1,'Assumptions (T&amp;D)'!$B$100,Model!$AO$3006)</f>
        <v>-8.5485983363804793E-2</v>
      </c>
      <c r="AT3047" s="377">
        <f>PPMT('Assumptions (T&amp;D)'!$B$97,Model!AB$1,'Assumptions (T&amp;D)'!$B$100,Model!$AO$3006)</f>
        <v>-8.9546567573585534E-2</v>
      </c>
      <c r="AU3047" s="377">
        <f>PPMT('Assumptions (T&amp;D)'!$B$97,Model!AC$1,'Assumptions (T&amp;D)'!$B$100,Model!$AO$3006)</f>
        <v>-9.3800029533330845E-2</v>
      </c>
      <c r="AV3047" s="377">
        <f>PPMT('Assumptions (T&amp;D)'!$B$97,Model!AD$1,'Assumptions (T&amp;D)'!$B$100,Model!$AO$3006)</f>
        <v>-9.8255530936164057E-2</v>
      </c>
      <c r="AW3047" s="377">
        <f>PPMT('Assumptions (T&amp;D)'!$B$97,Model!AE$1,'Assumptions (T&amp;D)'!$B$100,Model!$AO$3006)</f>
        <v>-0.10292266865563184</v>
      </c>
      <c r="AX3047" s="377">
        <f>PPMT('Assumptions (T&amp;D)'!$B$97,Model!AF$1,'Assumptions (T&amp;D)'!$B$100,Model!$AO$3006)</f>
        <v>-0.10781149541677437</v>
      </c>
      <c r="AY3047" s="377">
        <f>PPMT('Assumptions (T&amp;D)'!$B$97,Model!AG$1,'Assumptions (T&amp;D)'!$B$100,Model!$AO$3006)</f>
        <v>-0.11293254144907117</v>
      </c>
      <c r="AZ3047" s="377">
        <f>PPMT('Assumptions (T&amp;D)'!$B$97,Model!AH$1,'Assumptions (T&amp;D)'!$B$100,Model!$AO$3006)</f>
        <v>-0.11829683716790204</v>
      </c>
      <c r="BA3047" s="377">
        <f>PPMT('Assumptions (T&amp;D)'!$B$97,Model!AI$1,'Assumptions (T&amp;D)'!$B$100,Model!$AO$3006)</f>
        <v>-0.12391593693337739</v>
      </c>
      <c r="BB3047" s="377">
        <f>PPMT('Assumptions (T&amp;D)'!$B$97,Model!AJ$1,'Assumptions (T&amp;D)'!$B$100,Model!$AO$3006)</f>
        <v>-0.12980194393771283</v>
      </c>
      <c r="BC3047" s="377">
        <f>PPMT('Assumptions (T&amp;D)'!$B$97,Model!AK$1,'Assumptions (T&amp;D)'!$B$100,Model!$AO$3006)</f>
        <v>-0.13596753627475416</v>
      </c>
      <c r="BD3047" s="377"/>
      <c r="BE3047" s="377"/>
      <c r="BF3047" s="377"/>
      <c r="BG3047" s="377"/>
      <c r="BH3047" s="377"/>
      <c r="BI3047" s="377"/>
      <c r="BJ3047" s="377"/>
      <c r="BK3047" s="377"/>
      <c r="BL3047" s="377"/>
      <c r="BM3047" s="377"/>
    </row>
    <row r="3048" spans="1:74" ht="15.75" hidden="1" customHeight="1" outlineLevel="1">
      <c r="A3048" s="460"/>
      <c r="B3048" s="99"/>
      <c r="C3048" s="377"/>
      <c r="D3048" s="377"/>
      <c r="E3048" s="377"/>
      <c r="F3048" s="377"/>
      <c r="G3048" s="377"/>
      <c r="H3048" s="377"/>
      <c r="I3048" s="377"/>
      <c r="J3048" s="377"/>
      <c r="K3048" s="377"/>
      <c r="L3048" s="377"/>
      <c r="M3048" s="377"/>
      <c r="N3048" s="377"/>
      <c r="O3048" s="377"/>
      <c r="P3048" s="377"/>
      <c r="Q3048" s="377"/>
      <c r="R3048" s="377"/>
      <c r="S3048" s="42"/>
      <c r="T3048" s="42"/>
      <c r="U3048" s="42"/>
      <c r="V3048" s="42"/>
      <c r="W3048" s="86"/>
      <c r="AP3048" s="377">
        <f>PPMT('Assumptions (T&amp;D)'!$B$97,Model!W$1,'Assumptions (T&amp;D)'!$B$100,Model!$AP$3006)</f>
        <v>-7.1003341121361724E-2</v>
      </c>
      <c r="AQ3048" s="377">
        <f>PPMT('Assumptions (T&amp;D)'!$B$97,Model!X$1,'Assumptions (T&amp;D)'!$B$100,Model!$AP$3006)</f>
        <v>-7.4375999824626407E-2</v>
      </c>
      <c r="AR3048" s="377">
        <f>PPMT('Assumptions (T&amp;D)'!$B$97,Model!Y$1,'Assumptions (T&amp;D)'!$B$100,Model!$AP$3006)</f>
        <v>-7.7908859816296167E-2</v>
      </c>
      <c r="AS3048" s="377">
        <f>PPMT('Assumptions (T&amp;D)'!$B$97,Model!Z$1,'Assumptions (T&amp;D)'!$B$100,Model!$AP$3006)</f>
        <v>-8.160953065757022E-2</v>
      </c>
      <c r="AT3048" s="377">
        <f>PPMT('Assumptions (T&amp;D)'!$B$97,Model!AA$1,'Assumptions (T&amp;D)'!$B$100,Model!$AP$3006)</f>
        <v>-8.5485983363804793E-2</v>
      </c>
      <c r="AU3048" s="377">
        <f>PPMT('Assumptions (T&amp;D)'!$B$97,Model!AB$1,'Assumptions (T&amp;D)'!$B$100,Model!$AP$3006)</f>
        <v>-8.9546567573585534E-2</v>
      </c>
      <c r="AV3048" s="377">
        <f>PPMT('Assumptions (T&amp;D)'!$B$97,Model!AC$1,'Assumptions (T&amp;D)'!$B$100,Model!$AP$3006)</f>
        <v>-9.3800029533330845E-2</v>
      </c>
      <c r="AW3048" s="377">
        <f>PPMT('Assumptions (T&amp;D)'!$B$97,Model!AD$1,'Assumptions (T&amp;D)'!$B$100,Model!$AP$3006)</f>
        <v>-9.8255530936164057E-2</v>
      </c>
      <c r="AX3048" s="377">
        <f>PPMT('Assumptions (T&amp;D)'!$B$97,Model!AE$1,'Assumptions (T&amp;D)'!$B$100,Model!$AP$3006)</f>
        <v>-0.10292266865563184</v>
      </c>
      <c r="AY3048" s="377">
        <f>PPMT('Assumptions (T&amp;D)'!$B$97,Model!AF$1,'Assumptions (T&amp;D)'!$B$100,Model!$AP$3006)</f>
        <v>-0.10781149541677437</v>
      </c>
      <c r="AZ3048" s="377">
        <f>PPMT('Assumptions (T&amp;D)'!$B$97,Model!AG$1,'Assumptions (T&amp;D)'!$B$100,Model!$AP$3006)</f>
        <v>-0.11293254144907117</v>
      </c>
      <c r="BA3048" s="377">
        <f>PPMT('Assumptions (T&amp;D)'!$B$97,Model!AH$1,'Assumptions (T&amp;D)'!$B$100,Model!$AP$3006)</f>
        <v>-0.11829683716790204</v>
      </c>
      <c r="BB3048" s="377">
        <f>PPMT('Assumptions (T&amp;D)'!$B$97,Model!AI$1,'Assumptions (T&amp;D)'!$B$100,Model!$AP$3006)</f>
        <v>-0.12391593693337739</v>
      </c>
      <c r="BC3048" s="377">
        <f>PPMT('Assumptions (T&amp;D)'!$B$97,Model!AJ$1,'Assumptions (T&amp;D)'!$B$100,Model!$AP$3006)</f>
        <v>-0.12980194393771283</v>
      </c>
      <c r="BD3048" s="377">
        <f>PPMT('Assumptions (T&amp;D)'!$B$97,Model!AK$1,'Assumptions (T&amp;D)'!$B$100,Model!$AP$3006)</f>
        <v>-0.13596753627475416</v>
      </c>
      <c r="BE3048" s="377"/>
      <c r="BF3048" s="377"/>
      <c r="BG3048" s="377"/>
      <c r="BH3048" s="377"/>
      <c r="BI3048" s="377"/>
      <c r="BJ3048" s="377"/>
      <c r="BK3048" s="377"/>
      <c r="BL3048" s="377"/>
      <c r="BM3048" s="377"/>
      <c r="BN3048" s="377"/>
    </row>
    <row r="3049" spans="1:74" ht="15.75" hidden="1" customHeight="1" outlineLevel="1">
      <c r="A3049" s="460"/>
      <c r="B3049" s="99"/>
      <c r="C3049" s="377"/>
      <c r="D3049" s="377"/>
      <c r="E3049" s="377"/>
      <c r="F3049" s="377"/>
      <c r="G3049" s="377"/>
      <c r="H3049" s="377"/>
      <c r="I3049" s="377"/>
      <c r="J3049" s="377"/>
      <c r="K3049" s="377"/>
      <c r="L3049" s="377"/>
      <c r="M3049" s="377"/>
      <c r="N3049" s="377"/>
      <c r="O3049" s="377"/>
      <c r="P3049" s="377"/>
      <c r="Q3049" s="377"/>
      <c r="R3049" s="377"/>
      <c r="S3049" s="42"/>
      <c r="T3049" s="42"/>
      <c r="U3049" s="42"/>
      <c r="V3049" s="42"/>
      <c r="W3049" s="86"/>
      <c r="AQ3049" s="377">
        <f>PPMT('Assumptions (T&amp;D)'!$B$97,Model!W$1,'Assumptions (T&amp;D)'!$B$100,Model!$AQ$3006)</f>
        <v>-7.1003341121361724E-2</v>
      </c>
      <c r="AR3049" s="377">
        <f>PPMT('Assumptions (T&amp;D)'!$B$97,Model!X$1,'Assumptions (T&amp;D)'!$B$100,Model!$AQ$3006)</f>
        <v>-7.4375999824626407E-2</v>
      </c>
      <c r="AS3049" s="377">
        <f>PPMT('Assumptions (T&amp;D)'!$B$97,Model!Y$1,'Assumptions (T&amp;D)'!$B$100,Model!$AQ$3006)</f>
        <v>-7.7908859816296167E-2</v>
      </c>
      <c r="AT3049" s="377">
        <f>PPMT('Assumptions (T&amp;D)'!$B$97,Model!Z$1,'Assumptions (T&amp;D)'!$B$100,Model!$AQ$3006)</f>
        <v>-8.160953065757022E-2</v>
      </c>
      <c r="AU3049" s="377">
        <f>PPMT('Assumptions (T&amp;D)'!$B$97,Model!AA$1,'Assumptions (T&amp;D)'!$B$100,Model!$AQ$3006)</f>
        <v>-8.5485983363804793E-2</v>
      </c>
      <c r="AV3049" s="377">
        <f>PPMT('Assumptions (T&amp;D)'!$B$97,Model!AB$1,'Assumptions (T&amp;D)'!$B$100,Model!$AQ$3006)</f>
        <v>-8.9546567573585534E-2</v>
      </c>
      <c r="AW3049" s="377">
        <f>PPMT('Assumptions (T&amp;D)'!$B$97,Model!AC$1,'Assumptions (T&amp;D)'!$B$100,Model!$AQ$3006)</f>
        <v>-9.3800029533330845E-2</v>
      </c>
      <c r="AX3049" s="377">
        <f>PPMT('Assumptions (T&amp;D)'!$B$97,Model!AD$1,'Assumptions (T&amp;D)'!$B$100,Model!$AQ$3006)</f>
        <v>-9.8255530936164057E-2</v>
      </c>
      <c r="AY3049" s="377">
        <f>PPMT('Assumptions (T&amp;D)'!$B$97,Model!AE$1,'Assumptions (T&amp;D)'!$B$100,Model!$AQ$3006)</f>
        <v>-0.10292266865563184</v>
      </c>
      <c r="AZ3049" s="377">
        <f>PPMT('Assumptions (T&amp;D)'!$B$97,Model!AF$1,'Assumptions (T&amp;D)'!$B$100,Model!$AQ$3006)</f>
        <v>-0.10781149541677437</v>
      </c>
      <c r="BA3049" s="377">
        <f>PPMT('Assumptions (T&amp;D)'!$B$97,Model!AG$1,'Assumptions (T&amp;D)'!$B$100,Model!$AQ$3006)</f>
        <v>-0.11293254144907117</v>
      </c>
      <c r="BB3049" s="377">
        <f>PPMT('Assumptions (T&amp;D)'!$B$97,Model!AH$1,'Assumptions (T&amp;D)'!$B$100,Model!$AQ$3006)</f>
        <v>-0.11829683716790204</v>
      </c>
      <c r="BC3049" s="377">
        <f>PPMT('Assumptions (T&amp;D)'!$B$97,Model!AI$1,'Assumptions (T&amp;D)'!$B$100,Model!$AQ$3006)</f>
        <v>-0.12391593693337739</v>
      </c>
      <c r="BD3049" s="377">
        <f>PPMT('Assumptions (T&amp;D)'!$B$97,Model!AJ$1,'Assumptions (T&amp;D)'!$B$100,Model!$AQ$3006)</f>
        <v>-0.12980194393771283</v>
      </c>
      <c r="BE3049" s="377">
        <f>PPMT('Assumptions (T&amp;D)'!$B$97,Model!AK$1,'Assumptions (T&amp;D)'!$B$100,Model!$AQ$3006)</f>
        <v>-0.13596753627475416</v>
      </c>
      <c r="BF3049" s="377"/>
      <c r="BG3049" s="377"/>
      <c r="BH3049" s="377"/>
      <c r="BI3049" s="377"/>
      <c r="BJ3049" s="377"/>
      <c r="BK3049" s="377"/>
      <c r="BL3049" s="377"/>
      <c r="BM3049" s="377"/>
      <c r="BN3049" s="377"/>
      <c r="BO3049" s="377"/>
    </row>
    <row r="3050" spans="1:74" ht="15.75" hidden="1" customHeight="1" outlineLevel="1">
      <c r="A3050" s="460"/>
      <c r="B3050" s="99"/>
      <c r="C3050" s="377"/>
      <c r="D3050" s="377"/>
      <c r="E3050" s="377"/>
      <c r="F3050" s="377"/>
      <c r="G3050" s="377"/>
      <c r="H3050" s="377"/>
      <c r="I3050" s="377"/>
      <c r="J3050" s="377"/>
      <c r="K3050" s="377"/>
      <c r="L3050" s="377"/>
      <c r="M3050" s="377"/>
      <c r="N3050" s="377"/>
      <c r="O3050" s="377"/>
      <c r="P3050" s="377"/>
      <c r="Q3050" s="377"/>
      <c r="R3050" s="377"/>
      <c r="S3050" s="42"/>
      <c r="T3050" s="42"/>
      <c r="U3050" s="42"/>
      <c r="V3050" s="42"/>
      <c r="W3050" s="86"/>
      <c r="AR3050" s="377">
        <f>PPMT('Assumptions (T&amp;D)'!$B$97,Model!W$1,'Assumptions (T&amp;D)'!$B$100,Model!$AR$3006)</f>
        <v>-7.1003341121361724E-2</v>
      </c>
      <c r="AS3050" s="377">
        <f>PPMT('Assumptions (T&amp;D)'!$B$97,Model!X$1,'Assumptions (T&amp;D)'!$B$100,Model!$AR$3006)</f>
        <v>-7.4375999824626407E-2</v>
      </c>
      <c r="AT3050" s="377">
        <f>PPMT('Assumptions (T&amp;D)'!$B$97,Model!Y$1,'Assumptions (T&amp;D)'!$B$100,Model!$AR$3006)</f>
        <v>-7.7908859816296167E-2</v>
      </c>
      <c r="AU3050" s="377">
        <f>PPMT('Assumptions (T&amp;D)'!$B$97,Model!Z$1,'Assumptions (T&amp;D)'!$B$100,Model!$AR$3006)</f>
        <v>-8.160953065757022E-2</v>
      </c>
      <c r="AV3050" s="377">
        <f>PPMT('Assumptions (T&amp;D)'!$B$97,Model!AA$1,'Assumptions (T&amp;D)'!$B$100,Model!$AR$3006)</f>
        <v>-8.5485983363804793E-2</v>
      </c>
      <c r="AW3050" s="377">
        <f>PPMT('Assumptions (T&amp;D)'!$B$97,Model!AB$1,'Assumptions (T&amp;D)'!$B$100,Model!$AR$3006)</f>
        <v>-8.9546567573585534E-2</v>
      </c>
      <c r="AX3050" s="377">
        <f>PPMT('Assumptions (T&amp;D)'!$B$97,Model!AC$1,'Assumptions (T&amp;D)'!$B$100,Model!$AR$3006)</f>
        <v>-9.3800029533330845E-2</v>
      </c>
      <c r="AY3050" s="377">
        <f>PPMT('Assumptions (T&amp;D)'!$B$97,Model!AD$1,'Assumptions (T&amp;D)'!$B$100,Model!$AR$3006)</f>
        <v>-9.8255530936164057E-2</v>
      </c>
      <c r="AZ3050" s="377">
        <f>PPMT('Assumptions (T&amp;D)'!$B$97,Model!AE$1,'Assumptions (T&amp;D)'!$B$100,Model!$AR$3006)</f>
        <v>-0.10292266865563184</v>
      </c>
      <c r="BA3050" s="377">
        <f>PPMT('Assumptions (T&amp;D)'!$B$97,Model!AF$1,'Assumptions (T&amp;D)'!$B$100,Model!$AR$3006)</f>
        <v>-0.10781149541677437</v>
      </c>
      <c r="BB3050" s="377">
        <f>PPMT('Assumptions (T&amp;D)'!$B$97,Model!AG$1,'Assumptions (T&amp;D)'!$B$100,Model!$AR$3006)</f>
        <v>-0.11293254144907117</v>
      </c>
      <c r="BC3050" s="377">
        <f>PPMT('Assumptions (T&amp;D)'!$B$97,Model!AH$1,'Assumptions (T&amp;D)'!$B$100,Model!$AR$3006)</f>
        <v>-0.11829683716790204</v>
      </c>
      <c r="BD3050" s="377">
        <f>PPMT('Assumptions (T&amp;D)'!$B$97,Model!AI$1,'Assumptions (T&amp;D)'!$B$100,Model!$AR$3006)</f>
        <v>-0.12391593693337739</v>
      </c>
      <c r="BE3050" s="377">
        <f>PPMT('Assumptions (T&amp;D)'!$B$97,Model!AJ$1,'Assumptions (T&amp;D)'!$B$100,Model!$AR$3006)</f>
        <v>-0.12980194393771283</v>
      </c>
      <c r="BF3050" s="377">
        <f>PPMT('Assumptions (T&amp;D)'!$B$97,Model!AK$1,'Assumptions (T&amp;D)'!$B$100,Model!$AR$3006)</f>
        <v>-0.13596753627475416</v>
      </c>
      <c r="BG3050" s="377"/>
      <c r="BH3050" s="377"/>
      <c r="BI3050" s="377"/>
      <c r="BJ3050" s="377"/>
      <c r="BK3050" s="377"/>
      <c r="BL3050" s="377"/>
      <c r="BM3050" s="377"/>
      <c r="BN3050" s="377"/>
      <c r="BO3050" s="377"/>
      <c r="BP3050" s="377"/>
    </row>
    <row r="3051" spans="1:74" ht="15.75" hidden="1" customHeight="1" outlineLevel="1">
      <c r="A3051" s="460"/>
      <c r="B3051" s="99"/>
      <c r="C3051" s="377"/>
      <c r="D3051" s="377"/>
      <c r="E3051" s="377"/>
      <c r="F3051" s="377"/>
      <c r="G3051" s="377"/>
      <c r="H3051" s="377"/>
      <c r="I3051" s="377"/>
      <c r="J3051" s="377"/>
      <c r="K3051" s="377"/>
      <c r="L3051" s="377"/>
      <c r="M3051" s="377"/>
      <c r="N3051" s="377"/>
      <c r="O3051" s="377"/>
      <c r="P3051" s="377"/>
      <c r="Q3051" s="377"/>
      <c r="R3051" s="377"/>
      <c r="S3051" s="42"/>
      <c r="T3051" s="42"/>
      <c r="U3051" s="42"/>
      <c r="V3051" s="42"/>
      <c r="W3051" s="86"/>
      <c r="AS3051" s="377">
        <f>PPMT('Assumptions (T&amp;D)'!$B$97,Model!W$1,'Assumptions (T&amp;D)'!$B$100,Model!$AS$3006)</f>
        <v>-7.1003341121361724E-2</v>
      </c>
      <c r="AT3051" s="377">
        <f>PPMT('Assumptions (T&amp;D)'!$B$97,Model!X$1,'Assumptions (T&amp;D)'!$B$100,Model!$AS$3006)</f>
        <v>-7.4375999824626407E-2</v>
      </c>
      <c r="AU3051" s="377">
        <f>PPMT('Assumptions (T&amp;D)'!$B$97,Model!Y$1,'Assumptions (T&amp;D)'!$B$100,Model!$AS$3006)</f>
        <v>-7.7908859816296167E-2</v>
      </c>
      <c r="AV3051" s="377">
        <f>PPMT('Assumptions (T&amp;D)'!$B$97,Model!Z$1,'Assumptions (T&amp;D)'!$B$100,Model!$AS$3006)</f>
        <v>-8.160953065757022E-2</v>
      </c>
      <c r="AW3051" s="377">
        <f>PPMT('Assumptions (T&amp;D)'!$B$97,Model!AA$1,'Assumptions (T&amp;D)'!$B$100,Model!$AS$3006)</f>
        <v>-8.5485983363804793E-2</v>
      </c>
      <c r="AX3051" s="377">
        <f>PPMT('Assumptions (T&amp;D)'!$B$97,Model!AB$1,'Assumptions (T&amp;D)'!$B$100,Model!$AS$3006)</f>
        <v>-8.9546567573585534E-2</v>
      </c>
      <c r="AY3051" s="377">
        <f>PPMT('Assumptions (T&amp;D)'!$B$97,Model!AC$1,'Assumptions (T&amp;D)'!$B$100,Model!$AS$3006)</f>
        <v>-9.3800029533330845E-2</v>
      </c>
      <c r="AZ3051" s="377">
        <f>PPMT('Assumptions (T&amp;D)'!$B$97,Model!AD$1,'Assumptions (T&amp;D)'!$B$100,Model!$AS$3006)</f>
        <v>-9.8255530936164057E-2</v>
      </c>
      <c r="BA3051" s="377">
        <f>PPMT('Assumptions (T&amp;D)'!$B$97,Model!AE$1,'Assumptions (T&amp;D)'!$B$100,Model!$AS$3006)</f>
        <v>-0.10292266865563184</v>
      </c>
      <c r="BB3051" s="377">
        <f>PPMT('Assumptions (T&amp;D)'!$B$97,Model!AF$1,'Assumptions (T&amp;D)'!$B$100,Model!$AS$3006)</f>
        <v>-0.10781149541677437</v>
      </c>
      <c r="BC3051" s="377">
        <f>PPMT('Assumptions (T&amp;D)'!$B$97,Model!AG$1,'Assumptions (T&amp;D)'!$B$100,Model!$AS$3006)</f>
        <v>-0.11293254144907117</v>
      </c>
      <c r="BD3051" s="377">
        <f>PPMT('Assumptions (T&amp;D)'!$B$97,Model!AH$1,'Assumptions (T&amp;D)'!$B$100,Model!$AS$3006)</f>
        <v>-0.11829683716790204</v>
      </c>
      <c r="BE3051" s="377">
        <f>PPMT('Assumptions (T&amp;D)'!$B$97,Model!AI$1,'Assumptions (T&amp;D)'!$B$100,Model!$AS$3006)</f>
        <v>-0.12391593693337739</v>
      </c>
      <c r="BF3051" s="377">
        <f>PPMT('Assumptions (T&amp;D)'!$B$97,Model!AJ$1,'Assumptions (T&amp;D)'!$B$100,Model!$AS$3006)</f>
        <v>-0.12980194393771283</v>
      </c>
      <c r="BG3051" s="377">
        <f>PPMT('Assumptions (T&amp;D)'!$B$97,Model!AK$1,'Assumptions (T&amp;D)'!$B$100,Model!$AS$3006)</f>
        <v>-0.13596753627475416</v>
      </c>
      <c r="BH3051" s="377"/>
      <c r="BI3051" s="377"/>
      <c r="BJ3051" s="377"/>
      <c r="BK3051" s="377"/>
      <c r="BL3051" s="377"/>
      <c r="BM3051" s="377"/>
      <c r="BN3051" s="377"/>
      <c r="BO3051" s="377"/>
      <c r="BP3051" s="377"/>
      <c r="BQ3051" s="377"/>
    </row>
    <row r="3052" spans="1:74" ht="15.75" hidden="1" customHeight="1" outlineLevel="1">
      <c r="A3052" s="460"/>
      <c r="B3052" s="99"/>
      <c r="C3052" s="377"/>
      <c r="D3052" s="377"/>
      <c r="E3052" s="377"/>
      <c r="F3052" s="377"/>
      <c r="G3052" s="377"/>
      <c r="H3052" s="377"/>
      <c r="I3052" s="377"/>
      <c r="J3052" s="377"/>
      <c r="K3052" s="377"/>
      <c r="L3052" s="377"/>
      <c r="M3052" s="377"/>
      <c r="N3052" s="377"/>
      <c r="O3052" s="377"/>
      <c r="P3052" s="377"/>
      <c r="Q3052" s="377"/>
      <c r="R3052" s="377"/>
      <c r="S3052" s="42"/>
      <c r="T3052" s="42"/>
      <c r="U3052" s="42"/>
      <c r="V3052" s="42"/>
      <c r="W3052" s="86"/>
      <c r="AT3052" s="377">
        <f>PPMT('Assumptions (T&amp;D)'!$B$97,Model!W$1,'Assumptions (T&amp;D)'!$B$100,Model!$AT$3006)</f>
        <v>-7.1003341121361724E-2</v>
      </c>
      <c r="AU3052" s="377">
        <f>PPMT('Assumptions (T&amp;D)'!$B$97,Model!X$1,'Assumptions (T&amp;D)'!$B$100,Model!$AT$3006)</f>
        <v>-7.4375999824626407E-2</v>
      </c>
      <c r="AV3052" s="377">
        <f>PPMT('Assumptions (T&amp;D)'!$B$97,Model!Y$1,'Assumptions (T&amp;D)'!$B$100,Model!$AT$3006)</f>
        <v>-7.7908859816296167E-2</v>
      </c>
      <c r="AW3052" s="377">
        <f>PPMT('Assumptions (T&amp;D)'!$B$97,Model!Z$1,'Assumptions (T&amp;D)'!$B$100,Model!$AT$3006)</f>
        <v>-8.160953065757022E-2</v>
      </c>
      <c r="AX3052" s="377">
        <f>PPMT('Assumptions (T&amp;D)'!$B$97,Model!AA$1,'Assumptions (T&amp;D)'!$B$100,Model!$AT$3006)</f>
        <v>-8.5485983363804793E-2</v>
      </c>
      <c r="AY3052" s="377">
        <f>PPMT('Assumptions (T&amp;D)'!$B$97,Model!AB$1,'Assumptions (T&amp;D)'!$B$100,Model!$AT$3006)</f>
        <v>-8.9546567573585534E-2</v>
      </c>
      <c r="AZ3052" s="377">
        <f>PPMT('Assumptions (T&amp;D)'!$B$97,Model!AC$1,'Assumptions (T&amp;D)'!$B$100,Model!$AT$3006)</f>
        <v>-9.3800029533330845E-2</v>
      </c>
      <c r="BA3052" s="377">
        <f>PPMT('Assumptions (T&amp;D)'!$B$97,Model!AD$1,'Assumptions (T&amp;D)'!$B$100,Model!$AT$3006)</f>
        <v>-9.8255530936164057E-2</v>
      </c>
      <c r="BB3052" s="377">
        <f>PPMT('Assumptions (T&amp;D)'!$B$97,Model!AE$1,'Assumptions (T&amp;D)'!$B$100,Model!$AT$3006)</f>
        <v>-0.10292266865563184</v>
      </c>
      <c r="BC3052" s="377">
        <f>PPMT('Assumptions (T&amp;D)'!$B$97,Model!AF$1,'Assumptions (T&amp;D)'!$B$100,Model!$AT$3006)</f>
        <v>-0.10781149541677437</v>
      </c>
      <c r="BD3052" s="377">
        <f>PPMT('Assumptions (T&amp;D)'!$B$97,Model!AG$1,'Assumptions (T&amp;D)'!$B$100,Model!$AT$3006)</f>
        <v>-0.11293254144907117</v>
      </c>
      <c r="BE3052" s="377">
        <f>PPMT('Assumptions (T&amp;D)'!$B$97,Model!AH$1,'Assumptions (T&amp;D)'!$B$100,Model!$AT$3006)</f>
        <v>-0.11829683716790204</v>
      </c>
      <c r="BF3052" s="377">
        <f>PPMT('Assumptions (T&amp;D)'!$B$97,Model!AI$1,'Assumptions (T&amp;D)'!$B$100,Model!$AT$3006)</f>
        <v>-0.12391593693337739</v>
      </c>
      <c r="BG3052" s="377">
        <f>PPMT('Assumptions (T&amp;D)'!$B$97,Model!AJ$1,'Assumptions (T&amp;D)'!$B$100,Model!$AT$3006)</f>
        <v>-0.12980194393771283</v>
      </c>
      <c r="BH3052" s="377">
        <f>PPMT('Assumptions (T&amp;D)'!$B$97,Model!AK$1,'Assumptions (T&amp;D)'!$B$100,Model!$AT$3006)</f>
        <v>-0.13596753627475416</v>
      </c>
      <c r="BI3052" s="377"/>
      <c r="BJ3052" s="377"/>
      <c r="BK3052" s="377"/>
      <c r="BL3052" s="377"/>
      <c r="BM3052" s="377"/>
      <c r="BN3052" s="377"/>
      <c r="BO3052" s="377"/>
      <c r="BP3052" s="377"/>
      <c r="BQ3052" s="377"/>
      <c r="BR3052" s="377"/>
    </row>
    <row r="3053" spans="1:74" ht="15.75" hidden="1" customHeight="1" outlineLevel="1">
      <c r="A3053" s="460"/>
      <c r="B3053" s="99"/>
      <c r="C3053" s="377"/>
      <c r="D3053" s="377"/>
      <c r="E3053" s="377"/>
      <c r="F3053" s="377"/>
      <c r="G3053" s="377"/>
      <c r="H3053" s="377"/>
      <c r="I3053" s="377"/>
      <c r="J3053" s="377"/>
      <c r="K3053" s="377"/>
      <c r="L3053" s="377"/>
      <c r="M3053" s="377"/>
      <c r="N3053" s="377"/>
      <c r="O3053" s="377"/>
      <c r="P3053" s="377"/>
      <c r="Q3053" s="377"/>
      <c r="R3053" s="377"/>
      <c r="S3053" s="42"/>
      <c r="T3053" s="42"/>
      <c r="U3053" s="42"/>
      <c r="V3053" s="42"/>
      <c r="W3053" s="86"/>
      <c r="AU3053" s="377">
        <f>PPMT('Assumptions (T&amp;D)'!$B$97,Model!W$1,'Assumptions (T&amp;D)'!$B$100,Model!$AU$3006)</f>
        <v>-7.1003341121361724E-2</v>
      </c>
      <c r="AV3053" s="377">
        <f>PPMT('Assumptions (T&amp;D)'!$B$97,Model!X$1,'Assumptions (T&amp;D)'!$B$100,Model!$AU$3006)</f>
        <v>-7.4375999824626407E-2</v>
      </c>
      <c r="AW3053" s="377">
        <f>PPMT('Assumptions (T&amp;D)'!$B$97,Model!Y$1,'Assumptions (T&amp;D)'!$B$100,Model!$AU$3006)</f>
        <v>-7.7908859816296167E-2</v>
      </c>
      <c r="AX3053" s="377">
        <f>PPMT('Assumptions (T&amp;D)'!$B$97,Model!Z$1,'Assumptions (T&amp;D)'!$B$100,Model!$AU$3006)</f>
        <v>-8.160953065757022E-2</v>
      </c>
      <c r="AY3053" s="377">
        <f>PPMT('Assumptions (T&amp;D)'!$B$97,Model!AA$1,'Assumptions (T&amp;D)'!$B$100,Model!$AU$3006)</f>
        <v>-8.5485983363804793E-2</v>
      </c>
      <c r="AZ3053" s="377">
        <f>PPMT('Assumptions (T&amp;D)'!$B$97,Model!AB$1,'Assumptions (T&amp;D)'!$B$100,Model!$AU$3006)</f>
        <v>-8.9546567573585534E-2</v>
      </c>
      <c r="BA3053" s="377">
        <f>PPMT('Assumptions (T&amp;D)'!$B$97,Model!AC$1,'Assumptions (T&amp;D)'!$B$100,Model!$AU$3006)</f>
        <v>-9.3800029533330845E-2</v>
      </c>
      <c r="BB3053" s="377">
        <f>PPMT('Assumptions (T&amp;D)'!$B$97,Model!AD$1,'Assumptions (T&amp;D)'!$B$100,Model!$AU$3006)</f>
        <v>-9.8255530936164057E-2</v>
      </c>
      <c r="BC3053" s="377">
        <f>PPMT('Assumptions (T&amp;D)'!$B$97,Model!AE$1,'Assumptions (T&amp;D)'!$B$100,Model!$AU$3006)</f>
        <v>-0.10292266865563184</v>
      </c>
      <c r="BD3053" s="377">
        <f>PPMT('Assumptions (T&amp;D)'!$B$97,Model!AF$1,'Assumptions (T&amp;D)'!$B$100,Model!$AU$3006)</f>
        <v>-0.10781149541677437</v>
      </c>
      <c r="BE3053" s="377">
        <f>PPMT('Assumptions (T&amp;D)'!$B$97,Model!AG$1,'Assumptions (T&amp;D)'!$B$100,Model!$AU$3006)</f>
        <v>-0.11293254144907117</v>
      </c>
      <c r="BF3053" s="377">
        <f>PPMT('Assumptions (T&amp;D)'!$B$97,Model!AH$1,'Assumptions (T&amp;D)'!$B$100,Model!$AU$3006)</f>
        <v>-0.11829683716790204</v>
      </c>
      <c r="BG3053" s="377">
        <f>PPMT('Assumptions (T&amp;D)'!$B$97,Model!AI$1,'Assumptions (T&amp;D)'!$B$100,Model!$AU$3006)</f>
        <v>-0.12391593693337739</v>
      </c>
      <c r="BH3053" s="377">
        <f>PPMT('Assumptions (T&amp;D)'!$B$97,Model!AJ$1,'Assumptions (T&amp;D)'!$B$100,Model!$AU$3006)</f>
        <v>-0.12980194393771283</v>
      </c>
      <c r="BI3053" s="377">
        <f>PPMT('Assumptions (T&amp;D)'!$B$97,Model!AK$1,'Assumptions (T&amp;D)'!$B$100,Model!$AU$3006)</f>
        <v>-0.13596753627475416</v>
      </c>
      <c r="BJ3053" s="377"/>
      <c r="BK3053" s="377"/>
      <c r="BL3053" s="377"/>
      <c r="BM3053" s="377"/>
      <c r="BN3053" s="377"/>
      <c r="BO3053" s="377"/>
      <c r="BP3053" s="377"/>
      <c r="BQ3053" s="377"/>
      <c r="BR3053" s="377"/>
      <c r="BS3053" s="377"/>
    </row>
    <row r="3054" spans="1:74" ht="15.75" hidden="1" customHeight="1" outlineLevel="1">
      <c r="A3054" s="460"/>
      <c r="B3054" s="99"/>
      <c r="C3054" s="377"/>
      <c r="D3054" s="377"/>
      <c r="E3054" s="377"/>
      <c r="F3054" s="377"/>
      <c r="G3054" s="377"/>
      <c r="H3054" s="377"/>
      <c r="I3054" s="377"/>
      <c r="J3054" s="377"/>
      <c r="K3054" s="377"/>
      <c r="L3054" s="377"/>
      <c r="M3054" s="377"/>
      <c r="N3054" s="377"/>
      <c r="O3054" s="377"/>
      <c r="P3054" s="377"/>
      <c r="Q3054" s="377"/>
      <c r="R3054" s="377"/>
      <c r="S3054" s="42"/>
      <c r="T3054" s="42"/>
      <c r="U3054" s="42"/>
      <c r="V3054" s="42"/>
      <c r="W3054" s="86"/>
      <c r="AV3054" s="377">
        <f>PPMT('Assumptions (T&amp;D)'!$B$97,Model!W$1,'Assumptions (T&amp;D)'!$B$100,Model!$AV$3006)</f>
        <v>-7.1003341121361724E-2</v>
      </c>
      <c r="AW3054" s="377">
        <f>PPMT('Assumptions (T&amp;D)'!$B$97,Model!X$1,'Assumptions (T&amp;D)'!$B$100,Model!$AV$3006)</f>
        <v>-7.4375999824626407E-2</v>
      </c>
      <c r="AX3054" s="377">
        <f>PPMT('Assumptions (T&amp;D)'!$B$97,Model!Y$1,'Assumptions (T&amp;D)'!$B$100,Model!$AV$3006)</f>
        <v>-7.7908859816296167E-2</v>
      </c>
      <c r="AY3054" s="377">
        <f>PPMT('Assumptions (T&amp;D)'!$B$97,Model!Z$1,'Assumptions (T&amp;D)'!$B$100,Model!$AV$3006)</f>
        <v>-8.160953065757022E-2</v>
      </c>
      <c r="AZ3054" s="377">
        <f>PPMT('Assumptions (T&amp;D)'!$B$97,Model!AA$1,'Assumptions (T&amp;D)'!$B$100,Model!$AV$3006)</f>
        <v>-8.5485983363804793E-2</v>
      </c>
      <c r="BA3054" s="377">
        <f>PPMT('Assumptions (T&amp;D)'!$B$97,Model!AB$1,'Assumptions (T&amp;D)'!$B$100,Model!$AV$3006)</f>
        <v>-8.9546567573585534E-2</v>
      </c>
      <c r="BB3054" s="377">
        <f>PPMT('Assumptions (T&amp;D)'!$B$97,Model!AC$1,'Assumptions (T&amp;D)'!$B$100,Model!$AV$3006)</f>
        <v>-9.3800029533330845E-2</v>
      </c>
      <c r="BC3054" s="377">
        <f>PPMT('Assumptions (T&amp;D)'!$B$97,Model!AD$1,'Assumptions (T&amp;D)'!$B$100,Model!$AV$3006)</f>
        <v>-9.8255530936164057E-2</v>
      </c>
      <c r="BD3054" s="377">
        <f>PPMT('Assumptions (T&amp;D)'!$B$97,Model!AE$1,'Assumptions (T&amp;D)'!$B$100,Model!$AV$3006)</f>
        <v>-0.10292266865563184</v>
      </c>
      <c r="BE3054" s="377">
        <f>PPMT('Assumptions (T&amp;D)'!$B$97,Model!AF$1,'Assumptions (T&amp;D)'!$B$100,Model!$AV$3006)</f>
        <v>-0.10781149541677437</v>
      </c>
      <c r="BF3054" s="377">
        <f>PPMT('Assumptions (T&amp;D)'!$B$97,Model!AG$1,'Assumptions (T&amp;D)'!$B$100,Model!$AV$3006)</f>
        <v>-0.11293254144907117</v>
      </c>
      <c r="BG3054" s="377">
        <f>PPMT('Assumptions (T&amp;D)'!$B$97,Model!AH$1,'Assumptions (T&amp;D)'!$B$100,Model!$AV$3006)</f>
        <v>-0.11829683716790204</v>
      </c>
      <c r="BH3054" s="377">
        <f>PPMT('Assumptions (T&amp;D)'!$B$97,Model!AI$1,'Assumptions (T&amp;D)'!$B$100,Model!$AV$3006)</f>
        <v>-0.12391593693337739</v>
      </c>
      <c r="BI3054" s="377">
        <f>PPMT('Assumptions (T&amp;D)'!$B$97,Model!AJ$1,'Assumptions (T&amp;D)'!$B$100,Model!$AV$3006)</f>
        <v>-0.12980194393771283</v>
      </c>
      <c r="BJ3054" s="377">
        <f>PPMT('Assumptions (T&amp;D)'!$B$97,Model!AK$1,'Assumptions (T&amp;D)'!$B$100,Model!$AV$3006)</f>
        <v>-0.13596753627475416</v>
      </c>
      <c r="BK3054" s="377"/>
      <c r="BL3054" s="377"/>
      <c r="BM3054" s="377"/>
      <c r="BN3054" s="377"/>
      <c r="BO3054" s="377"/>
      <c r="BP3054" s="377"/>
      <c r="BQ3054" s="377"/>
      <c r="BR3054" s="377"/>
      <c r="BS3054" s="377"/>
      <c r="BT3054" s="377"/>
    </row>
    <row r="3055" spans="1:74" ht="15.75" hidden="1" customHeight="1" outlineLevel="1">
      <c r="A3055" s="460"/>
      <c r="B3055" s="99"/>
      <c r="C3055" s="377"/>
      <c r="D3055" s="377"/>
      <c r="E3055" s="377"/>
      <c r="F3055" s="377"/>
      <c r="G3055" s="377"/>
      <c r="H3055" s="377"/>
      <c r="I3055" s="377"/>
      <c r="J3055" s="377"/>
      <c r="K3055" s="377"/>
      <c r="L3055" s="377"/>
      <c r="M3055" s="377"/>
      <c r="N3055" s="377"/>
      <c r="O3055" s="377"/>
      <c r="P3055" s="377"/>
      <c r="Q3055" s="377"/>
      <c r="R3055" s="377"/>
      <c r="S3055" s="42"/>
      <c r="T3055" s="42"/>
      <c r="U3055" s="42"/>
      <c r="V3055" s="42"/>
      <c r="W3055" s="86"/>
      <c r="AW3055" s="377">
        <f>PPMT('Assumptions (T&amp;D)'!$B$97,Model!W$1,'Assumptions (T&amp;D)'!$B$100,Model!$AW$3006)</f>
        <v>-7.1003341121361724E-2</v>
      </c>
      <c r="AX3055" s="377">
        <f>PPMT('Assumptions (T&amp;D)'!$B$97,Model!X$1,'Assumptions (T&amp;D)'!$B$100,Model!$AW$3006)</f>
        <v>-7.4375999824626407E-2</v>
      </c>
      <c r="AY3055" s="377">
        <f>PPMT('Assumptions (T&amp;D)'!$B$97,Model!Y$1,'Assumptions (T&amp;D)'!$B$100,Model!$AW$3006)</f>
        <v>-7.7908859816296167E-2</v>
      </c>
      <c r="AZ3055" s="377">
        <f>PPMT('Assumptions (T&amp;D)'!$B$97,Model!Z$1,'Assumptions (T&amp;D)'!$B$100,Model!$AW$3006)</f>
        <v>-8.160953065757022E-2</v>
      </c>
      <c r="BA3055" s="377">
        <f>PPMT('Assumptions (T&amp;D)'!$B$97,Model!AA$1,'Assumptions (T&amp;D)'!$B$100,Model!$AW$3006)</f>
        <v>-8.5485983363804793E-2</v>
      </c>
      <c r="BB3055" s="377">
        <f>PPMT('Assumptions (T&amp;D)'!$B$97,Model!AB$1,'Assumptions (T&amp;D)'!$B$100,Model!$AW$3006)</f>
        <v>-8.9546567573585534E-2</v>
      </c>
      <c r="BC3055" s="377">
        <f>PPMT('Assumptions (T&amp;D)'!$B$97,Model!AC$1,'Assumptions (T&amp;D)'!$B$100,Model!$AW$3006)</f>
        <v>-9.3800029533330845E-2</v>
      </c>
      <c r="BD3055" s="377">
        <f>PPMT('Assumptions (T&amp;D)'!$B$97,Model!AD$1,'Assumptions (T&amp;D)'!$B$100,Model!$AW$3006)</f>
        <v>-9.8255530936164057E-2</v>
      </c>
      <c r="BE3055" s="377">
        <f>PPMT('Assumptions (T&amp;D)'!$B$97,Model!AE$1,'Assumptions (T&amp;D)'!$B$100,Model!$AW$3006)</f>
        <v>-0.10292266865563184</v>
      </c>
      <c r="BF3055" s="377">
        <f>PPMT('Assumptions (T&amp;D)'!$B$97,Model!AF$1,'Assumptions (T&amp;D)'!$B$100,Model!$AW$3006)</f>
        <v>-0.10781149541677437</v>
      </c>
      <c r="BG3055" s="377">
        <f>PPMT('Assumptions (T&amp;D)'!$B$97,Model!AG$1,'Assumptions (T&amp;D)'!$B$100,Model!$AW$3006)</f>
        <v>-0.11293254144907117</v>
      </c>
      <c r="BH3055" s="377">
        <f>PPMT('Assumptions (T&amp;D)'!$B$97,Model!AH$1,'Assumptions (T&amp;D)'!$B$100,Model!$AW$3006)</f>
        <v>-0.11829683716790204</v>
      </c>
      <c r="BI3055" s="377">
        <f>PPMT('Assumptions (T&amp;D)'!$B$97,Model!AI$1,'Assumptions (T&amp;D)'!$B$100,Model!$AW$3006)</f>
        <v>-0.12391593693337739</v>
      </c>
      <c r="BJ3055" s="377">
        <f>PPMT('Assumptions (T&amp;D)'!$B$97,Model!AJ$1,'Assumptions (T&amp;D)'!$B$100,Model!$AW$3006)</f>
        <v>-0.12980194393771283</v>
      </c>
      <c r="BK3055" s="377">
        <f>PPMT('Assumptions (T&amp;D)'!$B$97,Model!AK$1,'Assumptions (T&amp;D)'!$B$100,Model!$AW$3006)</f>
        <v>-0.13596753627475416</v>
      </c>
      <c r="BL3055" s="377"/>
      <c r="BM3055" s="377"/>
      <c r="BN3055" s="377"/>
      <c r="BO3055" s="377"/>
      <c r="BP3055" s="377"/>
      <c r="BQ3055" s="377"/>
      <c r="BR3055" s="377"/>
      <c r="BS3055" s="377"/>
      <c r="BT3055" s="377"/>
      <c r="BU3055" s="377"/>
    </row>
    <row r="3056" spans="1:74" ht="15.75" hidden="1" customHeight="1" outlineLevel="1">
      <c r="A3056" s="460"/>
      <c r="B3056" s="99"/>
      <c r="C3056" s="377"/>
      <c r="D3056" s="377"/>
      <c r="E3056" s="377"/>
      <c r="F3056" s="377"/>
      <c r="G3056" s="377"/>
      <c r="H3056" s="377"/>
      <c r="I3056" s="377"/>
      <c r="J3056" s="377"/>
      <c r="K3056" s="377"/>
      <c r="L3056" s="377"/>
      <c r="M3056" s="377"/>
      <c r="N3056" s="377"/>
      <c r="O3056" s="377"/>
      <c r="P3056" s="377"/>
      <c r="Q3056" s="377"/>
      <c r="R3056" s="377"/>
      <c r="S3056" s="42"/>
      <c r="T3056" s="42"/>
      <c r="U3056" s="42"/>
      <c r="V3056" s="42"/>
      <c r="W3056" s="86"/>
      <c r="AW3056" s="377"/>
      <c r="AX3056" s="377">
        <f>PPMT('Assumptions (T&amp;D)'!$B$97,Model!W$1,'Assumptions (T&amp;D)'!$B$100,Model!$AX$3006)</f>
        <v>-7.1003341121361724E-2</v>
      </c>
      <c r="AY3056" s="377">
        <f>PPMT('Assumptions (T&amp;D)'!$B$97,Model!X$1,'Assumptions (T&amp;D)'!$B$100,Model!$AX$3006)</f>
        <v>-7.4375999824626407E-2</v>
      </c>
      <c r="AZ3056" s="377">
        <f>PPMT('Assumptions (T&amp;D)'!$B$97,Model!Y$1,'Assumptions (T&amp;D)'!$B$100,Model!$AX$3006)</f>
        <v>-7.7908859816296167E-2</v>
      </c>
      <c r="BA3056" s="377">
        <f>PPMT('Assumptions (T&amp;D)'!$B$97,Model!Z$1,'Assumptions (T&amp;D)'!$B$100,Model!$AX$3006)</f>
        <v>-8.160953065757022E-2</v>
      </c>
      <c r="BB3056" s="377">
        <f>PPMT('Assumptions (T&amp;D)'!$B$97,Model!AA$1,'Assumptions (T&amp;D)'!$B$100,Model!$AX$3006)</f>
        <v>-8.5485983363804793E-2</v>
      </c>
      <c r="BC3056" s="377">
        <f>PPMT('Assumptions (T&amp;D)'!$B$97,Model!AB$1,'Assumptions (T&amp;D)'!$B$100,Model!$AX$3006)</f>
        <v>-8.9546567573585534E-2</v>
      </c>
      <c r="BD3056" s="377">
        <f>PPMT('Assumptions (T&amp;D)'!$B$97,Model!AC$1,'Assumptions (T&amp;D)'!$B$100,Model!$AX$3006)</f>
        <v>-9.3800029533330845E-2</v>
      </c>
      <c r="BE3056" s="377">
        <f>PPMT('Assumptions (T&amp;D)'!$B$97,Model!AD$1,'Assumptions (T&amp;D)'!$B$100,Model!$AX$3006)</f>
        <v>-9.8255530936164057E-2</v>
      </c>
      <c r="BF3056" s="377">
        <f>PPMT('Assumptions (T&amp;D)'!$B$97,Model!AE$1,'Assumptions (T&amp;D)'!$B$100,Model!$AX$3006)</f>
        <v>-0.10292266865563184</v>
      </c>
      <c r="BG3056" s="377">
        <f>PPMT('Assumptions (T&amp;D)'!$B$97,Model!AF$1,'Assumptions (T&amp;D)'!$B$100,Model!$AX$3006)</f>
        <v>-0.10781149541677437</v>
      </c>
      <c r="BH3056" s="377">
        <f>PPMT('Assumptions (T&amp;D)'!$B$97,Model!AG$1,'Assumptions (T&amp;D)'!$B$100,Model!$AX$3006)</f>
        <v>-0.11293254144907117</v>
      </c>
      <c r="BI3056" s="377">
        <f>PPMT('Assumptions (T&amp;D)'!$B$97,Model!AH$1,'Assumptions (T&amp;D)'!$B$100,Model!$AX$3006)</f>
        <v>-0.11829683716790204</v>
      </c>
      <c r="BJ3056" s="377">
        <f>PPMT('Assumptions (T&amp;D)'!$B$97,Model!AI$1,'Assumptions (T&amp;D)'!$B$100,Model!$AX$3006)</f>
        <v>-0.12391593693337739</v>
      </c>
      <c r="BK3056" s="377">
        <f>PPMT('Assumptions (T&amp;D)'!$B$97,Model!AJ$1,'Assumptions (T&amp;D)'!$B$100,Model!$AX$3006)</f>
        <v>-0.12980194393771283</v>
      </c>
      <c r="BL3056" s="377">
        <f>PPMT('Assumptions (T&amp;D)'!$B$97,Model!AK$1,'Assumptions (T&amp;D)'!$B$100,Model!$AX$3006)</f>
        <v>-0.13596753627475416</v>
      </c>
      <c r="BM3056" s="377"/>
      <c r="BN3056" s="377"/>
      <c r="BO3056" s="377"/>
      <c r="BP3056" s="377"/>
      <c r="BQ3056" s="377"/>
      <c r="BR3056" s="377"/>
      <c r="BS3056" s="377"/>
      <c r="BT3056" s="377"/>
      <c r="BU3056" s="377"/>
      <c r="BV3056" s="377"/>
    </row>
    <row r="3057" spans="1:77" ht="15.75" hidden="1" customHeight="1" outlineLevel="1">
      <c r="A3057" s="460"/>
      <c r="B3057" s="99"/>
      <c r="C3057" s="377"/>
      <c r="D3057" s="377"/>
      <c r="E3057" s="377"/>
      <c r="F3057" s="377"/>
      <c r="G3057" s="377"/>
      <c r="H3057" s="377"/>
      <c r="I3057" s="377"/>
      <c r="J3057" s="377"/>
      <c r="K3057" s="377"/>
      <c r="L3057" s="377"/>
      <c r="M3057" s="377"/>
      <c r="N3057" s="377"/>
      <c r="O3057" s="377"/>
      <c r="P3057" s="377"/>
      <c r="Q3057" s="377"/>
      <c r="R3057" s="377"/>
      <c r="S3057" s="42"/>
      <c r="T3057" s="42"/>
      <c r="U3057" s="42"/>
      <c r="V3057" s="42"/>
      <c r="W3057" s="86"/>
      <c r="AW3057" s="377"/>
      <c r="AX3057" s="377"/>
      <c r="AY3057" s="377">
        <f>PPMT('Assumptions (T&amp;D)'!$B$97,Model!W$1,'Assumptions (T&amp;D)'!$B$100,Model!$AY$3006)</f>
        <v>-7.1003341121361724E-2</v>
      </c>
      <c r="AZ3057" s="377">
        <f>PPMT('Assumptions (T&amp;D)'!$B$97,Model!X$1,'Assumptions (T&amp;D)'!$B$100,Model!$AY$3006)</f>
        <v>-7.4375999824626407E-2</v>
      </c>
      <c r="BA3057" s="377">
        <f>PPMT('Assumptions (T&amp;D)'!$B$97,Model!Y$1,'Assumptions (T&amp;D)'!$B$100,Model!$AY$3006)</f>
        <v>-7.7908859816296167E-2</v>
      </c>
      <c r="BB3057" s="377">
        <f>PPMT('Assumptions (T&amp;D)'!$B$97,Model!Z$1,'Assumptions (T&amp;D)'!$B$100,Model!$AY$3006)</f>
        <v>-8.160953065757022E-2</v>
      </c>
      <c r="BC3057" s="377">
        <f>PPMT('Assumptions (T&amp;D)'!$B$97,Model!AA$1,'Assumptions (T&amp;D)'!$B$100,Model!$AY$3006)</f>
        <v>-8.5485983363804793E-2</v>
      </c>
      <c r="BD3057" s="377">
        <f>PPMT('Assumptions (T&amp;D)'!$B$97,Model!AB$1,'Assumptions (T&amp;D)'!$B$100,Model!$AY$3006)</f>
        <v>-8.9546567573585534E-2</v>
      </c>
      <c r="BE3057" s="377">
        <f>PPMT('Assumptions (T&amp;D)'!$B$97,Model!AC$1,'Assumptions (T&amp;D)'!$B$100,Model!$AY$3006)</f>
        <v>-9.3800029533330845E-2</v>
      </c>
      <c r="BF3057" s="377">
        <f>PPMT('Assumptions (T&amp;D)'!$B$97,Model!AD$1,'Assumptions (T&amp;D)'!$B$100,Model!$AY$3006)</f>
        <v>-9.8255530936164057E-2</v>
      </c>
      <c r="BG3057" s="377">
        <f>PPMT('Assumptions (T&amp;D)'!$B$97,Model!AE$1,'Assumptions (T&amp;D)'!$B$100,Model!$AY$3006)</f>
        <v>-0.10292266865563184</v>
      </c>
      <c r="BH3057" s="377">
        <f>PPMT('Assumptions (T&amp;D)'!$B$97,Model!AF$1,'Assumptions (T&amp;D)'!$B$100,Model!$AY$3006)</f>
        <v>-0.10781149541677437</v>
      </c>
      <c r="BI3057" s="377">
        <f>PPMT('Assumptions (T&amp;D)'!$B$97,Model!AG$1,'Assumptions (T&amp;D)'!$B$100,Model!$AY$3006)</f>
        <v>-0.11293254144907117</v>
      </c>
      <c r="BJ3057" s="377">
        <f>PPMT('Assumptions (T&amp;D)'!$B$97,Model!AH$1,'Assumptions (T&amp;D)'!$B$100,Model!$AY$3006)</f>
        <v>-0.11829683716790204</v>
      </c>
      <c r="BK3057" s="377">
        <f>PPMT('Assumptions (T&amp;D)'!$B$97,Model!AI$1,'Assumptions (T&amp;D)'!$B$100,Model!$AY$3006)</f>
        <v>-0.12391593693337739</v>
      </c>
      <c r="BL3057" s="377">
        <f>PPMT('Assumptions (T&amp;D)'!$B$97,Model!AJ$1,'Assumptions (T&amp;D)'!$B$100,Model!$AY$3006)</f>
        <v>-0.12980194393771283</v>
      </c>
      <c r="BM3057" s="377">
        <f>PPMT('Assumptions (T&amp;D)'!$B$97,Model!AK$1,'Assumptions (T&amp;D)'!$B$100,Model!$AY$3006)</f>
        <v>-0.13596753627475416</v>
      </c>
      <c r="BN3057" s="377"/>
      <c r="BO3057" s="377"/>
      <c r="BP3057" s="377"/>
      <c r="BQ3057" s="377"/>
      <c r="BR3057" s="377"/>
      <c r="BS3057" s="377"/>
      <c r="BT3057" s="377"/>
      <c r="BU3057" s="377"/>
      <c r="BV3057" s="377"/>
      <c r="BW3057" s="377"/>
    </row>
    <row r="3058" spans="1:77" ht="15.75" hidden="1" customHeight="1" outlineLevel="1">
      <c r="A3058" s="460"/>
      <c r="B3058" s="99"/>
      <c r="C3058" s="377"/>
      <c r="D3058" s="377"/>
      <c r="E3058" s="377"/>
      <c r="F3058" s="377"/>
      <c r="G3058" s="377"/>
      <c r="H3058" s="377"/>
      <c r="I3058" s="377"/>
      <c r="J3058" s="377"/>
      <c r="K3058" s="377"/>
      <c r="L3058" s="377"/>
      <c r="M3058" s="377"/>
      <c r="N3058" s="377"/>
      <c r="O3058" s="377"/>
      <c r="P3058" s="377"/>
      <c r="Q3058" s="377"/>
      <c r="R3058" s="377"/>
      <c r="S3058" s="42"/>
      <c r="T3058" s="42"/>
      <c r="U3058" s="42"/>
      <c r="V3058" s="42"/>
      <c r="W3058" s="86"/>
      <c r="AW3058" s="377"/>
      <c r="AX3058" s="377"/>
      <c r="AY3058" s="377"/>
      <c r="AZ3058" s="377">
        <f>PPMT('Assumptions (T&amp;D)'!$B$97,Model!W$1,'Assumptions (T&amp;D)'!$B$100,Model!$AZ$3006)</f>
        <v>-7.1003341121361724E-2</v>
      </c>
      <c r="BA3058" s="377">
        <f>PPMT('Assumptions (T&amp;D)'!$B$97,Model!X$1,'Assumptions (T&amp;D)'!$B$100,Model!$AZ$3006)</f>
        <v>-7.4375999824626407E-2</v>
      </c>
      <c r="BB3058" s="377">
        <f>PPMT('Assumptions (T&amp;D)'!$B$97,Model!Y$1,'Assumptions (T&amp;D)'!$B$100,Model!$AZ$3006)</f>
        <v>-7.7908859816296167E-2</v>
      </c>
      <c r="BC3058" s="377">
        <f>PPMT('Assumptions (T&amp;D)'!$B$97,Model!Z$1,'Assumptions (T&amp;D)'!$B$100,Model!$AZ$3006)</f>
        <v>-8.160953065757022E-2</v>
      </c>
      <c r="BD3058" s="377">
        <f>PPMT('Assumptions (T&amp;D)'!$B$97,Model!AA$1,'Assumptions (T&amp;D)'!$B$100,Model!$AZ$3006)</f>
        <v>-8.5485983363804793E-2</v>
      </c>
      <c r="BE3058" s="377">
        <f>PPMT('Assumptions (T&amp;D)'!$B$97,Model!AB$1,'Assumptions (T&amp;D)'!$B$100,Model!$AZ$3006)</f>
        <v>-8.9546567573585534E-2</v>
      </c>
      <c r="BF3058" s="377">
        <f>PPMT('Assumptions (T&amp;D)'!$B$97,Model!AC$1,'Assumptions (T&amp;D)'!$B$100,Model!$AZ$3006)</f>
        <v>-9.3800029533330845E-2</v>
      </c>
      <c r="BG3058" s="377">
        <f>PPMT('Assumptions (T&amp;D)'!$B$97,Model!AD$1,'Assumptions (T&amp;D)'!$B$100,Model!$AZ$3006)</f>
        <v>-9.8255530936164057E-2</v>
      </c>
      <c r="BH3058" s="377">
        <f>PPMT('Assumptions (T&amp;D)'!$B$97,Model!AE$1,'Assumptions (T&amp;D)'!$B$100,Model!$AZ$3006)</f>
        <v>-0.10292266865563184</v>
      </c>
      <c r="BI3058" s="377">
        <f>PPMT('Assumptions (T&amp;D)'!$B$97,Model!AF$1,'Assumptions (T&amp;D)'!$B$100,Model!$AZ$3006)</f>
        <v>-0.10781149541677437</v>
      </c>
      <c r="BJ3058" s="377">
        <f>PPMT('Assumptions (T&amp;D)'!$B$97,Model!AG$1,'Assumptions (T&amp;D)'!$B$100,Model!$AZ$3006)</f>
        <v>-0.11293254144907117</v>
      </c>
      <c r="BK3058" s="377">
        <f>PPMT('Assumptions (T&amp;D)'!$B$97,Model!AH$1,'Assumptions (T&amp;D)'!$B$100,Model!$AZ$3006)</f>
        <v>-0.11829683716790204</v>
      </c>
      <c r="BL3058" s="377">
        <f>PPMT('Assumptions (T&amp;D)'!$B$97,Model!AI$1,'Assumptions (T&amp;D)'!$B$100,Model!$AZ$3006)</f>
        <v>-0.12391593693337739</v>
      </c>
      <c r="BM3058" s="377">
        <f>PPMT('Assumptions (T&amp;D)'!$B$97,Model!AJ$1,'Assumptions (T&amp;D)'!$B$100,Model!$AZ$3006)</f>
        <v>-0.12980194393771283</v>
      </c>
      <c r="BN3058" s="377">
        <f>PPMT('Assumptions (T&amp;D)'!$B$97,Model!AK$1,'Assumptions (T&amp;D)'!$B$100,Model!$AZ$3006)</f>
        <v>-0.13596753627475416</v>
      </c>
      <c r="BO3058" s="377"/>
      <c r="BP3058" s="377"/>
      <c r="BQ3058" s="377"/>
      <c r="BR3058" s="377"/>
      <c r="BS3058" s="377"/>
      <c r="BT3058" s="377"/>
      <c r="BU3058" s="377"/>
      <c r="BV3058" s="377"/>
      <c r="BW3058" s="377"/>
      <c r="BX3058" s="377"/>
    </row>
    <row r="3059" spans="1:77" ht="15.75" hidden="1" customHeight="1" outlineLevel="1">
      <c r="A3059" s="460"/>
      <c r="B3059" s="99"/>
      <c r="C3059" s="377"/>
      <c r="D3059" s="377"/>
      <c r="E3059" s="377"/>
      <c r="F3059" s="377"/>
      <c r="G3059" s="377"/>
      <c r="H3059" s="377"/>
      <c r="I3059" s="377"/>
      <c r="J3059" s="377"/>
      <c r="K3059" s="377"/>
      <c r="L3059" s="377"/>
      <c r="M3059" s="377"/>
      <c r="N3059" s="377"/>
      <c r="O3059" s="377"/>
      <c r="P3059" s="377"/>
      <c r="Q3059" s="377"/>
      <c r="R3059" s="377"/>
      <c r="S3059" s="42"/>
      <c r="T3059" s="42"/>
      <c r="U3059" s="42"/>
      <c r="V3059" s="42"/>
      <c r="W3059" s="86"/>
      <c r="BA3059" s="377">
        <f>PPMT('Assumptions (T&amp;D)'!$B$97,Model!W$1,'Assumptions (T&amp;D)'!$B$100,Model!$BA$3006)</f>
        <v>-7.1003341121361724E-2</v>
      </c>
      <c r="BB3059" s="377">
        <f>PPMT('Assumptions (T&amp;D)'!$B$97,Model!X$1,'Assumptions (T&amp;D)'!$B$100,Model!$BA$3006)</f>
        <v>-7.4375999824626407E-2</v>
      </c>
      <c r="BC3059" s="377">
        <f>PPMT('Assumptions (T&amp;D)'!$B$97,Model!Y$1,'Assumptions (T&amp;D)'!$B$100,Model!$BA$3006)</f>
        <v>-7.7908859816296167E-2</v>
      </c>
      <c r="BD3059" s="377">
        <f>PPMT('Assumptions (T&amp;D)'!$B$97,Model!Z$1,'Assumptions (T&amp;D)'!$B$100,Model!$BA$3006)</f>
        <v>-8.160953065757022E-2</v>
      </c>
      <c r="BE3059" s="377">
        <f>PPMT('Assumptions (T&amp;D)'!$B$97,Model!AA$1,'Assumptions (T&amp;D)'!$B$100,Model!$BA$3006)</f>
        <v>-8.5485983363804793E-2</v>
      </c>
      <c r="BF3059" s="377">
        <f>PPMT('Assumptions (T&amp;D)'!$B$97,Model!AB$1,'Assumptions (T&amp;D)'!$B$100,Model!$BA$3006)</f>
        <v>-8.9546567573585534E-2</v>
      </c>
      <c r="BG3059" s="377">
        <f>PPMT('Assumptions (T&amp;D)'!$B$97,Model!AC$1,'Assumptions (T&amp;D)'!$B$100,Model!$BA$3006)</f>
        <v>-9.3800029533330845E-2</v>
      </c>
      <c r="BH3059" s="377">
        <f>PPMT('Assumptions (T&amp;D)'!$B$97,Model!AD$1,'Assumptions (T&amp;D)'!$B$100,Model!$BA$3006)</f>
        <v>-9.8255530936164057E-2</v>
      </c>
      <c r="BI3059" s="377">
        <f>PPMT('Assumptions (T&amp;D)'!$B$97,Model!AE$1,'Assumptions (T&amp;D)'!$B$100,Model!$BA$3006)</f>
        <v>-0.10292266865563184</v>
      </c>
      <c r="BJ3059" s="377">
        <f>PPMT('Assumptions (T&amp;D)'!$B$97,Model!AF$1,'Assumptions (T&amp;D)'!$B$100,Model!$BA$3006)</f>
        <v>-0.10781149541677437</v>
      </c>
      <c r="BK3059" s="377">
        <f>PPMT('Assumptions (T&amp;D)'!$B$97,Model!AG$1,'Assumptions (T&amp;D)'!$B$100,Model!$BA$3006)</f>
        <v>-0.11293254144907117</v>
      </c>
      <c r="BL3059" s="377">
        <f>PPMT('Assumptions (T&amp;D)'!$B$97,Model!AH$1,'Assumptions (T&amp;D)'!$B$100,Model!$BA$3006)</f>
        <v>-0.11829683716790204</v>
      </c>
      <c r="BM3059" s="377">
        <f>PPMT('Assumptions (T&amp;D)'!$B$97,Model!AI$1,'Assumptions (T&amp;D)'!$B$100,Model!$BA$3006)</f>
        <v>-0.12391593693337739</v>
      </c>
      <c r="BN3059" s="377">
        <f>PPMT('Assumptions (T&amp;D)'!$B$97,Model!AJ$1,'Assumptions (T&amp;D)'!$B$100,Model!$BA$3006)</f>
        <v>-0.12980194393771283</v>
      </c>
      <c r="BO3059" s="377">
        <f>PPMT('Assumptions (T&amp;D)'!$B$97,Model!AK$1,'Assumptions (T&amp;D)'!$B$100,Model!$BA$3006)</f>
        <v>-0.13596753627475416</v>
      </c>
      <c r="BP3059" s="377"/>
      <c r="BQ3059" s="377"/>
      <c r="BR3059" s="377"/>
      <c r="BS3059" s="377"/>
      <c r="BT3059" s="377"/>
      <c r="BU3059" s="377"/>
      <c r="BV3059" s="377"/>
      <c r="BW3059" s="377"/>
      <c r="BX3059" s="377"/>
      <c r="BY3059" s="377"/>
    </row>
    <row r="3060" spans="1:77" ht="15.75" customHeight="1" collapsed="1">
      <c r="A3060" s="460" t="s">
        <v>709</v>
      </c>
      <c r="B3060" s="99" t="s">
        <v>201</v>
      </c>
      <c r="C3060" s="91">
        <f t="array" ref="C3060">SUM(IF(ISERROR(C3061:C3111),"",C3061:C3111))</f>
        <v>-4.5057142857142858E-2</v>
      </c>
      <c r="D3060" s="91">
        <f t="array" ref="D3060">SUM(IF(ISERROR(D3061:D3111),"",D3061:D3111))</f>
        <v>-7.7943779172401681E-2</v>
      </c>
      <c r="E3060" s="91">
        <f t="array" ref="E3060">SUM(IF(ISERROR(E3061:E3111),"",E3061:E3111))</f>
        <v>-0.11206165213490614</v>
      </c>
      <c r="F3060" s="91">
        <f t="array" ref="F3060">SUM(IF(ISERROR(F3061:F3111),"",F3061:F3111))</f>
        <v>-0.1480007209555165</v>
      </c>
      <c r="G3060" s="91">
        <f t="array" ref="G3060">SUM(IF(ISERROR(G3061:G3111),"",G3061:G3111))</f>
        <v>-0.1773446949838744</v>
      </c>
      <c r="H3060" s="91">
        <f t="array" ref="H3060">SUM(IF(ISERROR(H3061:H3111),"",H3061:H3111))</f>
        <v>-0.21810595328678933</v>
      </c>
      <c r="I3060" s="91">
        <f t="array" ref="I3060">SUM(IF(ISERROR(I3061:I3111),"",I3061:I3111))</f>
        <v>-0.24619845861458373</v>
      </c>
      <c r="J3060" s="91">
        <f t="array" ref="J3060">SUM(IF(ISERROR(J3061:J3111),"",J3061:J3111))</f>
        <v>-0.27714600600003991</v>
      </c>
      <c r="K3060" s="91">
        <f t="array" ref="K3060">SUM(IF(ISERROR(K3061:K3111),"",K3061:K3111))</f>
        <v>-0.31572715235409504</v>
      </c>
      <c r="L3060" s="91">
        <f t="array" ref="L3060">SUM(IF(ISERROR(L3061:L3111),"",L3061:L3111))</f>
        <v>-0.35288751704777943</v>
      </c>
      <c r="M3060" s="91">
        <f t="array" ref="M3060">SUM(IF(ISERROR(M3061:M3111),"",M3061:M3111))</f>
        <v>-0.38428250420321935</v>
      </c>
      <c r="N3060" s="91">
        <f t="array" ref="N3060">SUM(IF(ISERROR(N3061:N3111),"",N3061:N3111))</f>
        <v>-0.42773251425701408</v>
      </c>
      <c r="O3060" s="91">
        <f t="array" ref="O3060">SUM(IF(ISERROR(O3061:O3111),"",O3061:O3111))</f>
        <v>-0.47903612663005624</v>
      </c>
      <c r="P3060" s="91">
        <f t="array" ref="P3060">SUM(IF(ISERROR(P3061:P3111),"",P3061:P3111))</f>
        <v>-0.51700087353209678</v>
      </c>
      <c r="Q3060" s="91">
        <f t="array" ref="Q3060">SUM(IF(ISERROR(Q3061:Q3111),"",Q3061:Q3111))</f>
        <v>-0.55202732518907149</v>
      </c>
      <c r="R3060" s="91">
        <f t="array" ref="R3060">SUM(IF(ISERROR(R3061:R3111),"",R3061:R3111))</f>
        <v>-0.58833309806915302</v>
      </c>
      <c r="S3060" s="91">
        <f t="array" ref="S3060">SUM(IF(ISERROR(S3061:S3111),"",S3061:S3111))</f>
        <v>-0.63308122444442649</v>
      </c>
      <c r="T3060" s="91">
        <f t="array" ref="T3060">SUM(IF(ISERROR(T3061:T3111),"",T3061:T3111))</f>
        <v>-0.64564426895174054</v>
      </c>
      <c r="U3060" s="91">
        <f t="array" ref="U3060">SUM(IF(ISERROR(U3061:U3111),"",U3061:U3111))</f>
        <v>-0.65563822645399461</v>
      </c>
      <c r="V3060" s="91">
        <f t="array" ref="V3060">SUM(IF(ISERROR(V3061:V3111),"",V3061:V3111))</f>
        <v>-0.66330100562920924</v>
      </c>
      <c r="W3060" s="91">
        <f t="array" ref="W3060">SUM(IF(ISERROR(W3061:W3111),"",W3061:W3111))</f>
        <v>-0.6681105151516944</v>
      </c>
      <c r="X3060" s="91">
        <f t="array" ref="X3060">SUM(IF(ISERROR(X3061:X3111),"",X3061:X3111))</f>
        <v>-0.67121672582280723</v>
      </c>
      <c r="Y3060" s="91">
        <f t="array" ref="Y3060">SUM(IF(ISERROR(Y3061:Y3111),"",Y3061:Y3111))</f>
        <v>-0.67161317014800703</v>
      </c>
      <c r="Z3060" s="91">
        <f t="array" ref="Z3060">SUM(IF(ISERROR(Z3061:Z3111),"",Z3061:Z3111))</f>
        <v>-0.66968533466980773</v>
      </c>
      <c r="AA3060" s="91">
        <f t="array" ref="AA3060">SUM(IF(ISERROR(AA3061:AA3111),"",AA3061:AA3111))</f>
        <v>-0.66632550696324</v>
      </c>
      <c r="AB3060" s="91">
        <f t="array" ref="AB3060">SUM(IF(ISERROR(AB3061:AB3111),"",AB3061:AB3111))</f>
        <v>-0.66167134757503421</v>
      </c>
      <c r="AC3060" s="91">
        <f t="array" ref="AC3060">SUM(IF(ISERROR(AC3061:AC3111),"",AC3061:AC3111))</f>
        <v>-0.65548140559493195</v>
      </c>
      <c r="AD3060" s="91">
        <f t="array" ref="AD3060">SUM(IF(ISERROR(AD3061:AD3111),"",AD3061:AD3111))</f>
        <v>-0.64919962265945508</v>
      </c>
      <c r="AE3060" s="91">
        <f t="array" ref="AE3060">SUM(IF(ISERROR(AE3061:AE3111),"",AE3061:AE3111))</f>
        <v>-0.6440300073664933</v>
      </c>
      <c r="AF3060" s="91">
        <f t="array" ref="AF3060">SUM(IF(ISERROR(AF3061:AF3111),"",AF3061:AF3111))</f>
        <v>-0.63930550705754352</v>
      </c>
      <c r="AG3060" s="91">
        <f t="array" ref="AG3060">SUM(IF(ISERROR(AG3061:AG3111),"",AG3061:AG3111))</f>
        <v>-0.6353043649163187</v>
      </c>
      <c r="AH3060" s="91">
        <f t="array" ref="AH3060">SUM(IF(ISERROR(AH3061:AH3111),"",AH3061:AH3111))</f>
        <v>-0.63275511105511117</v>
      </c>
      <c r="AI3060" s="91">
        <f t="array" ref="AI3060">SUM(IF(ISERROR(AI3061:AI3111),"",AI3061:AI3111))</f>
        <v>-0.63275511105511117</v>
      </c>
      <c r="AJ3060" s="91">
        <f t="array" ref="AJ3060">SUM(IF(ISERROR(AJ3061:AJ3111),"",AJ3061:AJ3111))</f>
        <v>-0.63275511105511117</v>
      </c>
      <c r="AK3060" s="91">
        <f t="array" ref="AK3060">SUM(IF(ISERROR(AK3061:AK3111),"",AK3061:AK3111))</f>
        <v>-0.63275511105511117</v>
      </c>
      <c r="AL3060" s="91">
        <f t="array" ref="AL3060">SUM(IF(ISERROR(AL3061:AL3111),"",AL3061:AL3111))</f>
        <v>-0.63275511105511117</v>
      </c>
      <c r="AM3060" s="91">
        <f t="array" ref="AM3060">SUM(IF(ISERROR(AM3061:AM3111),"",AM3061:AM3111))</f>
        <v>-0.63275511105511117</v>
      </c>
      <c r="AN3060" s="91">
        <f t="array" ref="AN3060">SUM(IF(ISERROR(AN3061:AN3111),"",AN3061:AN3111))</f>
        <v>-0.63275511105511117</v>
      </c>
      <c r="AO3060" s="91">
        <f t="array" ref="AO3060">SUM(IF(ISERROR(AO3061:AO3111),"",AO3061:AO3111))</f>
        <v>-0.63275511105511117</v>
      </c>
      <c r="AP3060" s="91">
        <f t="array" ref="AP3060">SUM(IF(ISERROR(AP3061:AP3111),"",AP3061:AP3111))</f>
        <v>-0.63275511105511117</v>
      </c>
      <c r="AQ3060" s="91">
        <f t="array" ref="AQ3060">SUM(IF(ISERROR(AQ3061:AQ3111),"",AQ3061:AQ3111))</f>
        <v>-0.63275511105511117</v>
      </c>
      <c r="AR3060" s="91">
        <f t="array" ref="AR3060">SUM(IF(ISERROR(AR3061:AR3111),"",AR3061:AR3111))</f>
        <v>-0.63275511105511117</v>
      </c>
      <c r="AS3060" s="91">
        <f t="array" ref="AS3060">SUM(IF(ISERROR(AS3061:AS3111),"",AS3061:AS3111))</f>
        <v>-0.63275511105511117</v>
      </c>
      <c r="AT3060" s="91">
        <f t="array" ref="AT3060">SUM(IF(ISERROR(AT3061:AT3111),"",AT3061:AT3111))</f>
        <v>-0.63275511105511117</v>
      </c>
      <c r="AU3060" s="91">
        <f t="array" ref="AU3060">SUM(IF(ISERROR(AU3061:AU3111),"",AU3061:AU3111))</f>
        <v>-0.63275511105511117</v>
      </c>
      <c r="AV3060" s="91">
        <f t="array" ref="AV3060">SUM(IF(ISERROR(AV3061:AV3111),"",AV3061:AV3111))</f>
        <v>-0.63275511105511117</v>
      </c>
      <c r="AW3060" s="91">
        <f t="array" ref="AW3060">SUM(IF(ISERROR(AW3061:AW3111),"",AW3061:AW3111))</f>
        <v>-0.63275511105511117</v>
      </c>
      <c r="AX3060" s="91">
        <f t="array" ref="AX3060">SUM(IF(ISERROR(AX3061:AX3111),"",AX3061:AX3111))</f>
        <v>-0.63275511105511117</v>
      </c>
      <c r="AY3060" s="91">
        <f t="array" ref="AY3060">SUM(IF(ISERROR(AY3061:AY3111),"",AY3061:AY3111))</f>
        <v>-0.63275511105511117</v>
      </c>
      <c r="AZ3060" s="91">
        <f t="array" ref="AZ3060">SUM(IF(ISERROR(AZ3061:AZ3111),"",AZ3061:AZ3111))</f>
        <v>-0.63275511105511117</v>
      </c>
      <c r="BA3060" s="91">
        <f t="array" ref="BA3060">SUM(IF(ISERROR(BA3061:BA3111),"",BA3061:BA3111))</f>
        <v>-0.63275511105511117</v>
      </c>
      <c r="BB3060" s="91">
        <f t="array" ref="BB3060">SUM(IF(ISERROR(BB3061:BB3111),"",BB3061:BB3111))</f>
        <v>-0.56133245792866793</v>
      </c>
      <c r="BC3060" s="91">
        <f t="array" ref="BC3060">SUM(IF(ISERROR(BC3061:BC3111),"",BC3061:BC3111))</f>
        <v>-0.49328246350548938</v>
      </c>
      <c r="BD3060" s="91">
        <f t="array" ref="BD3060">SUM(IF(ISERROR(BD3061:BD3111),"",BD3061:BD3111))</f>
        <v>-0.42876532907398057</v>
      </c>
      <c r="BE3060" s="91">
        <f t="array" ref="BE3060">SUM(IF(ISERROR(BE3061:BE3111),"",BE3061:BE3111))</f>
        <v>-0.36794886548374584</v>
      </c>
      <c r="BF3060" s="91">
        <f t="array" ref="BF3060">SUM(IF(ISERROR(BF3061:BF3111),"",BF3061:BF3111))</f>
        <v>-0.31100885459974564</v>
      </c>
      <c r="BG3060" s="91">
        <f t="array" ref="BG3060">SUM(IF(ISERROR(BG3061:BG3111),"",BG3061:BG3111))</f>
        <v>-0.25812942792552618</v>
      </c>
      <c r="BH3060" s="91">
        <f t="array" ref="BH3060">SUM(IF(ISERROR(BH3061:BH3111),"",BH3061:BH3111))</f>
        <v>-0.20950346321105207</v>
      </c>
      <c r="BI3060" s="91">
        <f t="array" ref="BI3060">SUM(IF(ISERROR(BI3061:BI3111),"",BI3061:BI3111))</f>
        <v>-0.16533299989941114</v>
      </c>
      <c r="BJ3060" s="91">
        <f t="array" ref="BJ3060">SUM(IF(ISERROR(BJ3061:BJ3111),"",BJ3061:BJ3111))</f>
        <v>-0.12582967430723802</v>
      </c>
      <c r="BK3060" s="91">
        <f t="array" ref="BK3060">SUM(IF(ISERROR(BK3061:BK3111),"",BK3061:BK3111))</f>
        <v>-9.1215175476207402E-2</v>
      </c>
      <c r="BL3060" s="91">
        <f t="array" ref="BL3060">SUM(IF(ISERROR(BL3061:BL3111),"",BL3061:BL3111))</f>
        <v>-6.172172267747357E-2</v>
      </c>
      <c r="BM3060" s="91">
        <f t="array" ref="BM3060">SUM(IF(ISERROR(BM3061:BM3111),"",BM3061:BM3111))</f>
        <v>-3.7592565597570612E-2</v>
      </c>
      <c r="BN3060" s="91">
        <f t="array" ref="BN3060">SUM(IF(ISERROR(BN3061:BN3111),"",BN3061:BN3111))</f>
        <v>-1.9082508283143007E-2</v>
      </c>
      <c r="BO3060" s="91">
        <f t="array" ref="BO3060">SUM(IF(ISERROR(BO3061:BO3111),"",BO3061:BO3111))</f>
        <v>-6.458457973050823E-3</v>
      </c>
      <c r="BP3060" s="91"/>
      <c r="BQ3060" s="91"/>
      <c r="BR3060" s="91"/>
      <c r="BS3060" s="91"/>
      <c r="BT3060" s="91"/>
      <c r="BU3060" s="91"/>
      <c r="BV3060" s="91"/>
      <c r="BW3060" s="91"/>
      <c r="BX3060" s="91"/>
      <c r="BY3060" s="91"/>
    </row>
    <row r="3061" spans="1:77" ht="15.75" hidden="1" customHeight="1" outlineLevel="1">
      <c r="A3061" s="460"/>
      <c r="B3061" s="99"/>
      <c r="C3061" s="377">
        <f>IPMT('Assumptions (T&amp;D)'!$B$97,Model!W$1,'Assumptions (T&amp;D)'!$B$100,Model!$C$3006)</f>
        <v>-4.5057142857142858E-2</v>
      </c>
      <c r="D3061" s="377">
        <f>IPMT('Assumptions (T&amp;D)'!$B$97,Model!X$1,'Assumptions (T&amp;D)'!$B$100,Model!$C$3006)</f>
        <v>-4.2929493458115961E-2</v>
      </c>
      <c r="E3061" s="377">
        <f>IPMT('Assumptions (T&amp;D)'!$B$97,Model!Y$1,'Assumptions (T&amp;D)'!$B$100,Model!$C$3006)</f>
        <v>-4.070078071263529E-2</v>
      </c>
      <c r="F3061" s="377">
        <f>IPMT('Assumptions (T&amp;D)'!$B$97,Model!Z$1,'Assumptions (T&amp;D)'!$B$100,Model!$C$3006)</f>
        <v>-3.8366204111744295E-2</v>
      </c>
      <c r="G3061" s="377">
        <f>IPMT('Assumptions (T&amp;D)'!$B$97,Model!AA$1,'Assumptions (T&amp;D)'!$B$100,Model!$C$3006)</f>
        <v>-3.5920735122310976E-2</v>
      </c>
      <c r="H3061" s="377">
        <f>IPMT('Assumptions (T&amp;D)'!$B$97,Model!AB$1,'Assumptions (T&amp;D)'!$B$100,Model!$C$3006)</f>
        <v>-3.3359106355879575E-2</v>
      </c>
      <c r="I3061" s="377">
        <f>IPMT('Assumptions (T&amp;D)'!$B$97,Model!AC$1,'Assumptions (T&amp;D)'!$B$100,Model!$C$3006)</f>
        <v>-3.0675800223042685E-2</v>
      </c>
      <c r="J3061" s="377">
        <f>IPMT('Assumptions (T&amp;D)'!$B$97,Model!AD$1,'Assumptions (T&amp;D)'!$B$100,Model!$C$3006)</f>
        <v>-2.7865037048896039E-2</v>
      </c>
      <c r="K3061" s="377">
        <f>IPMT('Assumptions (T&amp;D)'!$B$97,Model!AE$1,'Assumptions (T&amp;D)'!$B$100,Model!$C$3006)</f>
        <v>-2.4920762623977431E-2</v>
      </c>
      <c r="L3061" s="377">
        <f>IPMT('Assumptions (T&amp;D)'!$B$97,Model!AF$1,'Assumptions (T&amp;D)'!$B$100,Model!$C$3006)</f>
        <v>-2.1836635163875184E-2</v>
      </c>
      <c r="M3061" s="377">
        <f>IPMT('Assumptions (T&amp;D)'!$B$97,Model!AG$1,'Assumptions (T&amp;D)'!$B$100,Model!$C$3006)</f>
        <v>-1.8606011649418081E-2</v>
      </c>
      <c r="N3061" s="377">
        <f>IPMT('Assumptions (T&amp;D)'!$B$97,Model!AH$1,'Assumptions (T&amp;D)'!$B$100,Model!$C$3006)</f>
        <v>-1.5221933518024268E-2</v>
      </c>
      <c r="O3061" s="377">
        <f>IPMT('Assumptions (T&amp;D)'!$B$97,Model!AI$1,'Assumptions (T&amp;D)'!$B$100,Model!$C$3006)</f>
        <v>-1.1677111675389243E-2</v>
      </c>
      <c r="P3061" s="377">
        <f>IPMT('Assumptions (T&amp;D)'!$B$97,Model!AJ$1,'Assumptions (T&amp;D)'!$B$100,Model!$C$3006)</f>
        <v>-7.9639107952290573E-3</v>
      </c>
      <c r="Q3061" s="377">
        <f>IPMT('Assumptions (T&amp;D)'!$B$97,Model!AK$1,'Assumptions (T&amp;D)'!$B$100,Model!$C$3006)</f>
        <v>-4.0743328732612636E-3</v>
      </c>
      <c r="R3061" s="377"/>
      <c r="S3061" s="377"/>
      <c r="T3061" s="377"/>
      <c r="U3061" s="377"/>
      <c r="V3061" s="377"/>
      <c r="W3061" s="377"/>
      <c r="X3061" s="377"/>
      <c r="Y3061" s="377"/>
      <c r="Z3061" s="377"/>
      <c r="AA3061" s="377"/>
      <c r="AB3061" s="377"/>
    </row>
    <row r="3062" spans="1:77" ht="15.75" hidden="1" customHeight="1" outlineLevel="1">
      <c r="A3062" s="460"/>
      <c r="B3062" s="99"/>
      <c r="C3062" s="377"/>
      <c r="D3062" s="377">
        <f>IPMT('Assumptions (T&amp;D)'!$B$97,Model!W$1,'Assumptions (T&amp;D)'!$B$100,Model!$D$3006)</f>
        <v>-3.501428571428572E-2</v>
      </c>
      <c r="E3062" s="377">
        <f>IPMT('Assumptions (T&amp;D)'!$B$97,Model!X$1,'Assumptions (T&amp;D)'!$B$100,Model!$D$3006)</f>
        <v>-3.3360871422270844E-2</v>
      </c>
      <c r="F3062" s="377">
        <f>IPMT('Assumptions (T&amp;D)'!$B$97,Model!Y$1,'Assumptions (T&amp;D)'!$B$100,Model!$D$3006)</f>
        <v>-3.1628919951385261E-2</v>
      </c>
      <c r="G3062" s="377">
        <f>IPMT('Assumptions (T&amp;D)'!$B$97,Model!Z$1,'Assumptions (T&amp;D)'!$B$100,Model!$D$3006)</f>
        <v>-2.9814700785632621E-2</v>
      </c>
      <c r="H3062" s="377">
        <f>IPMT('Assumptions (T&amp;D)'!$B$97,Model!AA$1,'Assumptions (T&amp;D)'!$B$100,Model!$D$3006)</f>
        <v>-2.7914306209506728E-2</v>
      </c>
      <c r="I3062" s="377">
        <f>IPMT('Assumptions (T&amp;D)'!$B$97,Model!AB$1,'Assumptions (T&amp;D)'!$B$100,Model!$D$3006)</f>
        <v>-2.5923642891014856E-2</v>
      </c>
      <c r="J3062" s="377">
        <f>IPMT('Assumptions (T&amp;D)'!$B$97,Model!AC$1,'Assumptions (T&amp;D)'!$B$100,Model!$D$3006)</f>
        <v>-2.3838423064894615E-2</v>
      </c>
      <c r="K3062" s="377">
        <f>IPMT('Assumptions (T&amp;D)'!$B$97,Model!AD$1,'Assumptions (T&amp;D)'!$B$100,Model!$D$3006)</f>
        <v>-2.165415529703367E-2</v>
      </c>
      <c r="L3062" s="377">
        <f>IPMT('Assumptions (T&amp;D)'!$B$97,Model!AE$1,'Assumptions (T&amp;D)'!$B$100,Model!$D$3006)</f>
        <v>-1.9366134810199328E-2</v>
      </c>
      <c r="M3062" s="377">
        <f>IPMT('Assumptions (T&amp;D)'!$B$97,Model!AF$1,'Assumptions (T&amp;D)'!$B$100,Model!$D$3006)</f>
        <v>-1.6969433350240357E-2</v>
      </c>
      <c r="N3062" s="377">
        <f>IPMT('Assumptions (T&amp;D)'!$B$97,Model!AG$1,'Assumptions (T&amp;D)'!$B$100,Model!$D$3006)</f>
        <v>-1.4458888570933328E-2</v>
      </c>
      <c r="O3062" s="377">
        <f>IPMT('Assumptions (T&amp;D)'!$B$97,Model!AH$1,'Assumptions (T&amp;D)'!$B$100,Model!$D$3006)</f>
        <v>-1.1829092914609221E-2</v>
      </c>
      <c r="P3062" s="377">
        <f>IPMT('Assumptions (T&amp;D)'!$B$97,Model!AI$1,'Assumptions (T&amp;D)'!$B$100,Model!$D$3006)</f>
        <v>-9.0743819646097144E-3</v>
      </c>
      <c r="Q3062" s="377">
        <f>IPMT('Assumptions (T&amp;D)'!$B$97,Model!AJ$1,'Assumptions (T&amp;D)'!$B$100,Model!$D$3006)</f>
        <v>-6.1888222444852325E-3</v>
      </c>
      <c r="R3062" s="377">
        <f>IPMT('Assumptions (T&amp;D)'!$B$97,Model!AK$1,'Assumptions (T&amp;D)'!$B$100,Model!$D$3006)</f>
        <v>-3.1661984376548376E-3</v>
      </c>
      <c r="S3062" s="377"/>
      <c r="T3062" s="377"/>
      <c r="U3062" s="377"/>
      <c r="V3062" s="377"/>
      <c r="W3062" s="377"/>
      <c r="X3062" s="377"/>
      <c r="Y3062" s="377"/>
      <c r="Z3062" s="377"/>
      <c r="AA3062" s="377"/>
      <c r="AB3062" s="377"/>
    </row>
    <row r="3063" spans="1:77" ht="15.75" hidden="1" customHeight="1" outlineLevel="1">
      <c r="A3063" s="460"/>
      <c r="B3063" s="99"/>
      <c r="C3063" s="377"/>
      <c r="D3063" s="377"/>
      <c r="E3063" s="377">
        <f>IPMT('Assumptions (T&amp;D)'!$B$97,Model!W$1,'Assumptions (T&amp;D)'!$B$100,Model!$E$3006)</f>
        <v>-3.8000000000000006E-2</v>
      </c>
      <c r="F3063" s="377">
        <f>IPMT('Assumptions (T&amp;D)'!$B$97,Model!X$1,'Assumptions (T&amp;D)'!$B$100,Model!$E$3006)</f>
        <v>-3.6205596892386956E-2</v>
      </c>
      <c r="G3063" s="377">
        <f>IPMT('Assumptions (T&amp;D)'!$B$97,Model!Y$1,'Assumptions (T&amp;D)'!$B$100,Model!$E$3006)</f>
        <v>-3.4325959637162298E-2</v>
      </c>
      <c r="H3063" s="377">
        <f>IPMT('Assumptions (T&amp;D)'!$B$97,Model!Z$1,'Assumptions (T&amp;D)'!$B$100,Model!$E$3006)</f>
        <v>-3.2357039612314474E-2</v>
      </c>
      <c r="I3063" s="377">
        <f>IPMT('Assumptions (T&amp;D)'!$B$97,Model!AA$1,'Assumptions (T&amp;D)'!$B$100,Model!$E$3006)</f>
        <v>-3.0294595886286368E-2</v>
      </c>
      <c r="J3063" s="377">
        <f>IPMT('Assumptions (T&amp;D)'!$B$97,Model!AB$1,'Assumptions (T&amp;D)'!$B$100,Model!$E$3006)</f>
        <v>-2.8134186083271936E-2</v>
      </c>
      <c r="K3063" s="377">
        <f>IPMT('Assumptions (T&amp;D)'!$B$97,Model!AC$1,'Assumptions (T&amp;D)'!$B$100,Model!$E$3006)</f>
        <v>-2.5871156814614309E-2</v>
      </c>
      <c r="L3063" s="377">
        <f>IPMT('Assumptions (T&amp;D)'!$B$97,Model!AD$1,'Assumptions (T&amp;D)'!$B$100,Model!$E$3006)</f>
        <v>-2.3500633655695453E-2</v>
      </c>
      <c r="M3063" s="377">
        <f>IPMT('Assumptions (T&amp;D)'!$B$97,Model!AE$1,'Assumptions (T&amp;D)'!$B$100,Model!$E$3006)</f>
        <v>-2.1017510646727952E-2</v>
      </c>
      <c r="N3063" s="377">
        <f>IPMT('Assumptions (T&amp;D)'!$B$97,Model!AF$1,'Assumptions (T&amp;D)'!$B$100,Model!$E$3006)</f>
        <v>-1.841643929483449E-2</v>
      </c>
      <c r="O3063" s="377">
        <f>IPMT('Assumptions (T&amp;D)'!$B$97,Model!AG$1,'Assumptions (T&amp;D)'!$B$100,Model!$E$3006)</f>
        <v>-1.5691817053726093E-2</v>
      </c>
      <c r="P3063" s="377">
        <f>IPMT('Assumptions (T&amp;D)'!$B$97,Model!AH$1,'Assumptions (T&amp;D)'!$B$100,Model!$E$3006)</f>
        <v>-1.2837775256165045E-2</v>
      </c>
      <c r="Q3063" s="377">
        <f>IPMT('Assumptions (T&amp;D)'!$B$97,Model!AI$1,'Assumptions (T&amp;D)'!$B$100,Model!$E$3006)</f>
        <v>-9.8481664732198437E-3</v>
      </c>
      <c r="R3063" s="377">
        <f>IPMT('Assumptions (T&amp;D)'!$B$97,Model!AJ$1,'Assumptions (T&amp;D)'!$B$100,Model!$E$3006)</f>
        <v>-6.7165512730847478E-3</v>
      </c>
      <c r="S3063" s="377">
        <f>IPMT('Assumptions (T&amp;D)'!$B$97,Model!AK$1,'Assumptions (T&amp;D)'!$B$100,Model!$E$3006)</f>
        <v>-3.4361843509432347E-3</v>
      </c>
      <c r="T3063" s="377"/>
      <c r="U3063" s="377"/>
      <c r="V3063" s="377"/>
      <c r="W3063" s="377"/>
      <c r="X3063" s="377"/>
      <c r="Y3063" s="377"/>
      <c r="Z3063" s="377"/>
      <c r="AA3063" s="377"/>
      <c r="AB3063" s="377"/>
      <c r="AC3063" s="377"/>
    </row>
    <row r="3064" spans="1:77" ht="15.75" hidden="1" customHeight="1" outlineLevel="1">
      <c r="A3064" s="460"/>
      <c r="B3064" s="99"/>
      <c r="C3064" s="377"/>
      <c r="D3064" s="377"/>
      <c r="E3064" s="377"/>
      <c r="F3064" s="377">
        <f>IPMT('Assumptions (T&amp;D)'!$B$97,Model!W$1,'Assumptions (T&amp;D)'!$B$100,Model!$F$3006)</f>
        <v>-4.1800000000000004E-2</v>
      </c>
      <c r="G3064" s="377">
        <f>IPMT('Assumptions (T&amp;D)'!$B$97,Model!X$1,'Assumptions (T&amp;D)'!$B$100,Model!$F$3006)</f>
        <v>-3.9826156581625659E-2</v>
      </c>
      <c r="H3064" s="377">
        <f>IPMT('Assumptions (T&amp;D)'!$B$97,Model!Y$1,'Assumptions (T&amp;D)'!$B$100,Model!$F$3006)</f>
        <v>-3.7758555600878527E-2</v>
      </c>
      <c r="I3064" s="377">
        <f>IPMT('Assumptions (T&amp;D)'!$B$97,Model!Z$1,'Assumptions (T&amp;D)'!$B$100,Model!$F$3006)</f>
        <v>-3.5592743573545922E-2</v>
      </c>
      <c r="J3064" s="377">
        <f>IPMT('Assumptions (T&amp;D)'!$B$97,Model!AA$1,'Assumptions (T&amp;D)'!$B$100,Model!$F$3006)</f>
        <v>-3.3324055474915008E-2</v>
      </c>
      <c r="K3064" s="377">
        <f>IPMT('Assumptions (T&amp;D)'!$B$97,Model!AB$1,'Assumptions (T&amp;D)'!$B$100,Model!$F$3006)</f>
        <v>-3.0947604691599132E-2</v>
      </c>
      <c r="L3064" s="377">
        <f>IPMT('Assumptions (T&amp;D)'!$B$97,Model!AC$1,'Assumptions (T&amp;D)'!$B$100,Model!$F$3006)</f>
        <v>-2.8458272496075746E-2</v>
      </c>
      <c r="M3064" s="377">
        <f>IPMT('Assumptions (T&amp;D)'!$B$97,Model!AD$1,'Assumptions (T&amp;D)'!$B$100,Model!$F$3006)</f>
        <v>-2.5850697021264999E-2</v>
      </c>
      <c r="N3064" s="377">
        <f>IPMT('Assumptions (T&amp;D)'!$B$97,Model!AE$1,'Assumptions (T&amp;D)'!$B$100,Model!$F$3006)</f>
        <v>-2.3119261711400749E-2</v>
      </c>
      <c r="O3064" s="377">
        <f>IPMT('Assumptions (T&amp;D)'!$B$97,Model!AF$1,'Assumptions (T&amp;D)'!$B$100,Model!$F$3006)</f>
        <v>-2.0258083224317942E-2</v>
      </c>
      <c r="P3064" s="377">
        <f>IPMT('Assumptions (T&amp;D)'!$B$97,Model!AG$1,'Assumptions (T&amp;D)'!$B$100,Model!$F$3006)</f>
        <v>-1.72609987590987E-2</v>
      </c>
      <c r="Q3064" s="377">
        <f>IPMT('Assumptions (T&amp;D)'!$B$97,Model!AH$1,'Assumptions (T&amp;D)'!$B$100,Model!$F$3006)</f>
        <v>-1.412155278178155E-2</v>
      </c>
      <c r="R3064" s="377">
        <f>IPMT('Assumptions (T&amp;D)'!$B$97,Model!AI$1,'Assumptions (T&amp;D)'!$B$100,Model!$F$3006)</f>
        <v>-1.0832983120541829E-2</v>
      </c>
      <c r="S3064" s="377">
        <f>IPMT('Assumptions (T&amp;D)'!$B$97,Model!AJ$1,'Assumptions (T&amp;D)'!$B$100,Model!$F$3006)</f>
        <v>-7.3882064003932225E-3</v>
      </c>
      <c r="T3064" s="377">
        <f>IPMT('Assumptions (T&amp;D)'!$B$97,Model!AK$1,'Assumptions (T&amp;D)'!$B$100,Model!$F$3006)</f>
        <v>-3.779802786037558E-3</v>
      </c>
      <c r="U3064" s="377"/>
      <c r="V3064" s="377"/>
      <c r="W3064" s="377"/>
      <c r="X3064" s="377"/>
      <c r="Y3064" s="377"/>
      <c r="Z3064" s="377"/>
      <c r="AA3064" s="377"/>
      <c r="AB3064" s="377"/>
      <c r="AC3064" s="377"/>
      <c r="AD3064" s="377"/>
    </row>
    <row r="3065" spans="1:77" ht="15.75" hidden="1" customHeight="1" outlineLevel="1">
      <c r="A3065" s="460"/>
      <c r="B3065" s="99"/>
      <c r="C3065" s="377"/>
      <c r="D3065" s="377"/>
      <c r="E3065" s="377"/>
      <c r="F3065" s="377"/>
      <c r="G3065" s="377">
        <f>IPMT('Assumptions (T&amp;D)'!$B$97,Model!W$1,'Assumptions (T&amp;D)'!$B$100,Model!$G$3006)</f>
        <v>-3.7457142857142856E-2</v>
      </c>
      <c r="H3065" s="377">
        <f>IPMT('Assumptions (T&amp;D)'!$B$97,Model!X$1,'Assumptions (T&amp;D)'!$B$100,Model!$G$3006)</f>
        <v>-3.5688374079638575E-2</v>
      </c>
      <c r="I3065" s="377">
        <f>IPMT('Assumptions (T&amp;D)'!$B$97,Model!Y$1,'Assumptions (T&amp;D)'!$B$100,Model!$G$3006)</f>
        <v>-3.3835588785202833E-2</v>
      </c>
      <c r="J3065" s="377">
        <f>IPMT('Assumptions (T&amp;D)'!$B$97,Model!Z$1,'Assumptions (T&amp;D)'!$B$100,Model!$G$3006)</f>
        <v>-3.1894796189281406E-2</v>
      </c>
      <c r="K3065" s="377">
        <f>IPMT('Assumptions (T&amp;D)'!$B$97,Model!AA$1,'Assumptions (T&amp;D)'!$B$100,Model!$G$3006)</f>
        <v>-2.9861815945053709E-2</v>
      </c>
      <c r="L3065" s="377">
        <f>IPMT('Assumptions (T&amp;D)'!$B$97,Model!AB$1,'Assumptions (T&amp;D)'!$B$100,Model!$G$3006)</f>
        <v>-2.7732269139225194E-2</v>
      </c>
      <c r="M3065" s="377">
        <f>IPMT('Assumptions (T&amp;D)'!$B$97,Model!AC$1,'Assumptions (T&amp;D)'!$B$100,Model!$G$3006)</f>
        <v>-2.5501568860119821E-2</v>
      </c>
      <c r="N3065" s="377">
        <f>IPMT('Assumptions (T&amp;D)'!$B$97,Model!AD$1,'Assumptions (T&amp;D)'!$B$100,Model!$G$3006)</f>
        <v>-2.3164910317756946E-2</v>
      </c>
      <c r="O3065" s="377">
        <f>IPMT('Assumptions (T&amp;D)'!$B$97,Model!AE$1,'Assumptions (T&amp;D)'!$B$100,Model!$G$3006)</f>
        <v>-2.0717260494631837E-2</v>
      </c>
      <c r="P3065" s="377">
        <f>IPMT('Assumptions (T&amp;D)'!$B$97,Model!AF$1,'Assumptions (T&amp;D)'!$B$100,Model!$G$3006)</f>
        <v>-1.8153347304908283E-2</v>
      </c>
      <c r="Q3065" s="377">
        <f>IPMT('Assumptions (T&amp;D)'!$B$97,Model!AG$1,'Assumptions (T&amp;D)'!$B$100,Model!$G$3006)</f>
        <v>-1.5467648238672861E-2</v>
      </c>
      <c r="R3065" s="377">
        <f>IPMT('Assumptions (T&amp;D)'!$B$97,Model!AH$1,'Assumptions (T&amp;D)'!$B$100,Model!$G$3006)</f>
        <v>-1.2654378466791258E-2</v>
      </c>
      <c r="S3065" s="377">
        <f>IPMT('Assumptions (T&amp;D)'!$B$97,Model!AI$1,'Assumptions (T&amp;D)'!$B$100,Model!$G$3006)</f>
        <v>-9.7074783807452741E-3</v>
      </c>
      <c r="T3065" s="377">
        <f>IPMT('Assumptions (T&amp;D)'!$B$97,Model!AJ$1,'Assumptions (T&amp;D)'!$B$100,Model!$G$3006)</f>
        <v>-6.6206005406121088E-3</v>
      </c>
      <c r="U3065" s="377">
        <f>IPMT('Assumptions (T&amp;D)'!$B$97,Model!AK$1,'Assumptions (T&amp;D)'!$B$100,Model!$G$3006)</f>
        <v>-3.3870960030726168E-3</v>
      </c>
      <c r="V3065" s="377"/>
      <c r="W3065" s="377"/>
      <c r="X3065" s="377"/>
      <c r="Y3065" s="377"/>
      <c r="Z3065" s="377"/>
      <c r="AA3065" s="377"/>
      <c r="AB3065" s="377"/>
      <c r="AC3065" s="377"/>
      <c r="AD3065" s="377"/>
      <c r="AE3065" s="377"/>
    </row>
    <row r="3066" spans="1:77" ht="15.75" hidden="1" customHeight="1" outlineLevel="1">
      <c r="A3066" s="460"/>
      <c r="B3066" s="99"/>
      <c r="C3066" s="377"/>
      <c r="D3066" s="377"/>
      <c r="E3066" s="377"/>
      <c r="F3066" s="377"/>
      <c r="G3066" s="377"/>
      <c r="H3066" s="377">
        <f>IPMT('Assumptions (T&amp;D)'!$B$97,Model!W$1,'Assumptions (T&amp;D)'!$B$100,Model!$H$3006)</f>
        <v>-5.1028571428571437E-2</v>
      </c>
      <c r="I3066" s="377">
        <f>IPMT('Assumptions (T&amp;D)'!$B$97,Model!X$1,'Assumptions (T&amp;D)'!$B$100,Model!$H$3006)</f>
        <v>-4.861894439834822E-2</v>
      </c>
      <c r="J3066" s="377">
        <f>IPMT('Assumptions (T&amp;D)'!$B$97,Model!Y$1,'Assumptions (T&amp;D)'!$B$100,Model!$H$3006)</f>
        <v>-4.6094860084189379E-2</v>
      </c>
      <c r="K3066" s="377">
        <f>IPMT('Assumptions (T&amp;D)'!$B$97,Model!Z$1,'Assumptions (T&amp;D)'!$B$100,Model!$H$3006)</f>
        <v>-4.3450881765108015E-2</v>
      </c>
      <c r="L3066" s="377">
        <f>IPMT('Assumptions (T&amp;D)'!$B$97,Model!AA$1,'Assumptions (T&amp;D)'!$B$100,Model!$H$3006)</f>
        <v>-4.0681314475870277E-2</v>
      </c>
      <c r="M3066" s="377">
        <f>IPMT('Assumptions (T&amp;D)'!$B$97,Model!AB$1,'Assumptions (T&amp;D)'!$B$100,Model!$H$3006)</f>
        <v>-3.778019274039375E-2</v>
      </c>
      <c r="N3066" s="377">
        <f>IPMT('Assumptions (T&amp;D)'!$B$97,Model!AC$1,'Assumptions (T&amp;D)'!$B$100,Model!$H$3006)</f>
        <v>-3.474126772248208E-2</v>
      </c>
      <c r="O3066" s="377">
        <f>IPMT('Assumptions (T&amp;D)'!$B$97,Model!AD$1,'Assumptions (T&amp;D)'!$B$100,Model!$H$3006)</f>
        <v>-3.1557993766219615E-2</v>
      </c>
      <c r="P3066" s="377">
        <f>IPMT('Assumptions (T&amp;D)'!$B$97,Model!AE$1,'Assumptions (T&amp;D)'!$B$100,Model!$H$3006)</f>
        <v>-2.8223514297034687E-2</v>
      </c>
      <c r="Q3066" s="377">
        <f>IPMT('Assumptions (T&amp;D)'!$B$97,Model!AF$1,'Assumptions (T&amp;D)'!$B$100,Model!$H$3006)</f>
        <v>-2.4730647053063468E-2</v>
      </c>
      <c r="R3066" s="377">
        <f>IPMT('Assumptions (T&amp;D)'!$B$97,Model!AG$1,'Assumptions (T&amp;D)'!$B$100,Model!$H$3006)</f>
        <v>-2.1071868615003615E-2</v>
      </c>
      <c r="S3066" s="377">
        <f>IPMT('Assumptions (T&amp;D)'!$B$97,Model!AH$1,'Assumptions (T&amp;D)'!$B$100,Model!$H$3006)</f>
        <v>-1.7239298201135921E-2</v>
      </c>
      <c r="T3066" s="377">
        <f>IPMT('Assumptions (T&amp;D)'!$B$97,Model!AI$1,'Assumptions (T&amp;D)'!$B$100,Model!$H$3006)</f>
        <v>-1.3224680692609509E-2</v>
      </c>
      <c r="U3066" s="377">
        <f>IPMT('Assumptions (T&amp;D)'!$B$97,Model!AJ$1,'Assumptions (T&amp;D)'!$B$100,Model!$H$3006)</f>
        <v>-9.0193688524280915E-3</v>
      </c>
      <c r="V3066" s="377">
        <f>IPMT('Assumptions (T&amp;D)'!$B$97,Model!AK$1,'Assumptions (T&amp;D)'!$B$100,Model!$H$3006)</f>
        <v>-4.6143046998380587E-3</v>
      </c>
      <c r="W3066" s="377"/>
      <c r="X3066" s="377"/>
      <c r="Y3066" s="377"/>
      <c r="Z3066" s="377"/>
      <c r="AA3066" s="377"/>
      <c r="AB3066" s="377"/>
      <c r="AC3066" s="377"/>
      <c r="AD3066" s="377"/>
      <c r="AE3066" s="377"/>
      <c r="AF3066" s="377"/>
    </row>
    <row r="3067" spans="1:77" ht="15.75" hidden="1" customHeight="1" outlineLevel="1">
      <c r="A3067" s="460"/>
      <c r="B3067" s="99"/>
      <c r="C3067" s="377"/>
      <c r="D3067" s="377"/>
      <c r="E3067" s="377"/>
      <c r="F3067" s="377"/>
      <c r="G3067" s="377"/>
      <c r="H3067" s="377"/>
      <c r="I3067" s="377">
        <f>IPMT('Assumptions (T&amp;D)'!$B$97,Model!W$1,'Assumptions (T&amp;D)'!$B$100,Model!$I$3006)</f>
        <v>-4.1257142857142867E-2</v>
      </c>
      <c r="J3067" s="377">
        <f>IPMT('Assumptions (T&amp;D)'!$B$97,Model!X$1,'Assumptions (T&amp;D)'!$B$100,Model!$I$3006)</f>
        <v>-3.9308933768877279E-2</v>
      </c>
      <c r="K3067" s="377">
        <f>IPMT('Assumptions (T&amp;D)'!$B$97,Model!Y$1,'Assumptions (T&amp;D)'!$B$100,Model!$I$3006)</f>
        <v>-3.7268184748919068E-2</v>
      </c>
      <c r="L3067" s="377">
        <f>IPMT('Assumptions (T&amp;D)'!$B$97,Model!Z$1,'Assumptions (T&amp;D)'!$B$100,Model!$I$3006)</f>
        <v>-3.5130500150512861E-2</v>
      </c>
      <c r="M3067" s="377">
        <f>IPMT('Assumptions (T&amp;D)'!$B$97,Model!AA$1,'Assumptions (T&amp;D)'!$B$100,Model!$I$3006)</f>
        <v>-3.2891275533682346E-2</v>
      </c>
      <c r="N3067" s="377">
        <f>IPMT('Assumptions (T&amp;D)'!$B$97,Model!AB$1,'Assumptions (T&amp;D)'!$B$100,Model!$I$3006)</f>
        <v>-3.054568774755239E-2</v>
      </c>
      <c r="O3067" s="377">
        <f>IPMT('Assumptions (T&amp;D)'!$B$97,Model!AC$1,'Assumptions (T&amp;D)'!$B$100,Model!$I$3006)</f>
        <v>-2.8088684541581258E-2</v>
      </c>
      <c r="P3067" s="377">
        <f>IPMT('Assumptions (T&amp;D)'!$B$97,Model!AD$1,'Assumptions (T&amp;D)'!$B$100,Model!$I$3006)</f>
        <v>-2.5514973683326499E-2</v>
      </c>
      <c r="Q3067" s="377">
        <f>IPMT('Assumptions (T&amp;D)'!$B$97,Model!AE$1,'Assumptions (T&amp;D)'!$B$100,Model!$I$3006)</f>
        <v>-2.2819011559304637E-2</v>
      </c>
      <c r="R3067" s="377">
        <f>IPMT('Assumptions (T&amp;D)'!$B$97,Model!AF$1,'Assumptions (T&amp;D)'!$B$100,Model!$I$3006)</f>
        <v>-1.9994991234391739E-2</v>
      </c>
      <c r="S3067" s="377">
        <f>IPMT('Assumptions (T&amp;D)'!$B$97,Model!AG$1,'Assumptions (T&amp;D)'!$B$100,Model!$I$3006)</f>
        <v>-1.7036829944045474E-2</v>
      </c>
      <c r="T3067" s="377">
        <f>IPMT('Assumptions (T&amp;D)'!$B$97,Model!AH$1,'Assumptions (T&amp;D)'!$B$100,Model!$I$3006)</f>
        <v>-1.3938155992407764E-2</v>
      </c>
      <c r="U3067" s="377">
        <f>IPMT('Assumptions (T&amp;D)'!$B$97,Model!AI$1,'Assumptions (T&amp;D)'!$B$100,Model!$I$3006)</f>
        <v>-1.069229502806726E-2</v>
      </c>
      <c r="V3067" s="377">
        <f>IPMT('Assumptions (T&amp;D)'!$B$97,Model!AJ$1,'Assumptions (T&amp;D)'!$B$100,Model!$I$3006)</f>
        <v>-7.2922556679205835E-3</v>
      </c>
      <c r="W3067" s="377">
        <f>IPMT('Assumptions (T&amp;D)'!$B$97,Model!AK$1,'Assumptions (T&amp;D)'!$B$100,Model!$I$3006)</f>
        <v>-3.7307144381669407E-3</v>
      </c>
      <c r="X3067" s="377"/>
      <c r="Y3067" s="377"/>
      <c r="Z3067" s="377"/>
      <c r="AA3067" s="377"/>
      <c r="AB3067" s="377"/>
      <c r="AC3067" s="377"/>
      <c r="AD3067" s="377"/>
      <c r="AE3067" s="377"/>
      <c r="AF3067" s="377"/>
      <c r="AG3067" s="377"/>
    </row>
    <row r="3068" spans="1:77" ht="15.75" hidden="1" customHeight="1" outlineLevel="1">
      <c r="A3068" s="460"/>
      <c r="B3068" s="99"/>
      <c r="C3068" s="377"/>
      <c r="D3068" s="377"/>
      <c r="E3068" s="377"/>
      <c r="F3068" s="377"/>
      <c r="G3068" s="377"/>
      <c r="H3068" s="377"/>
      <c r="I3068" s="377"/>
      <c r="J3068" s="377">
        <f>IPMT('Assumptions (T&amp;D)'!$B$97,Model!W$1,'Assumptions (T&amp;D)'!$B$100,Model!$J$3006)</f>
        <v>-4.6685714285714296E-2</v>
      </c>
      <c r="K3068" s="377">
        <f>IPMT('Assumptions (T&amp;D)'!$B$97,Model!X$1,'Assumptions (T&amp;D)'!$B$100,Model!$J$3006)</f>
        <v>-4.4481161896361129E-2</v>
      </c>
      <c r="L3068" s="377">
        <f>IPMT('Assumptions (T&amp;D)'!$B$97,Model!Y$1,'Assumptions (T&amp;D)'!$B$100,Model!$J$3006)</f>
        <v>-4.2171893268513679E-2</v>
      </c>
      <c r="M3068" s="377">
        <f>IPMT('Assumptions (T&amp;D)'!$B$97,Model!Z$1,'Assumptions (T&amp;D)'!$B$100,Model!$J$3006)</f>
        <v>-3.9752934380843492E-2</v>
      </c>
      <c r="N3068" s="377">
        <f>IPMT('Assumptions (T&amp;D)'!$B$97,Model!AA$1,'Assumptions (T&amp;D)'!$B$100,Model!$J$3006)</f>
        <v>-3.721907494600897E-2</v>
      </c>
      <c r="O3068" s="377">
        <f>IPMT('Assumptions (T&amp;D)'!$B$97,Model!AB$1,'Assumptions (T&amp;D)'!$B$100,Model!$J$3006)</f>
        <v>-3.4564857188019806E-2</v>
      </c>
      <c r="P3068" s="377">
        <f>IPMT('Assumptions (T&amp;D)'!$B$97,Model!AC$1,'Assumptions (T&amp;D)'!$B$100,Model!$J$3006)</f>
        <v>-3.1784564086526156E-2</v>
      </c>
      <c r="Q3068" s="377">
        <f>IPMT('Assumptions (T&amp;D)'!$B$97,Model!AD$1,'Assumptions (T&amp;D)'!$B$100,Model!$J$3006)</f>
        <v>-2.8872207062711559E-2</v>
      </c>
      <c r="R3068" s="377">
        <f>IPMT('Assumptions (T&amp;D)'!$B$97,Model!AE$1,'Assumptions (T&amp;D)'!$B$100,Model!$J$3006)</f>
        <v>-2.5821513080265771E-2</v>
      </c>
      <c r="S3068" s="377">
        <f>IPMT('Assumptions (T&amp;D)'!$B$97,Model!AF$1,'Assumptions (T&amp;D)'!$B$100,Model!$J$3006)</f>
        <v>-2.2625911133653805E-2</v>
      </c>
      <c r="T3068" s="377">
        <f>IPMT('Assumptions (T&amp;D)'!$B$97,Model!AG$1,'Assumptions (T&amp;D)'!$B$100,Model!$J$3006)</f>
        <v>-1.9278518094577771E-2</v>
      </c>
      <c r="U3068" s="377">
        <f>IPMT('Assumptions (T&amp;D)'!$B$97,Model!AH$1,'Assumptions (T&amp;D)'!$B$100,Model!$J$3006)</f>
        <v>-1.5772123886145625E-2</v>
      </c>
      <c r="V3068" s="377">
        <f>IPMT('Assumptions (T&amp;D)'!$B$97,Model!AI$1,'Assumptions (T&amp;D)'!$B$100,Model!$J$3006)</f>
        <v>-1.2099175952812952E-2</v>
      </c>
      <c r="W3068" s="377">
        <f>IPMT('Assumptions (T&amp;D)'!$B$97,Model!AJ$1,'Assumptions (T&amp;D)'!$B$100,Model!$J$3006)</f>
        <v>-8.2517629926469761E-3</v>
      </c>
      <c r="X3068" s="377">
        <f>IPMT('Assumptions (T&amp;D)'!$B$97,Model!AK$1,'Assumptions (T&amp;D)'!$B$100,Model!$J$3006)</f>
        <v>-4.221597916873117E-3</v>
      </c>
      <c r="Y3068" s="377"/>
      <c r="Z3068" s="377"/>
      <c r="AA3068" s="377"/>
      <c r="AB3068" s="377"/>
      <c r="AC3068" s="377"/>
      <c r="AD3068" s="377"/>
      <c r="AE3068" s="377"/>
      <c r="AF3068" s="377"/>
      <c r="AG3068" s="377"/>
      <c r="AH3068" s="377"/>
    </row>
    <row r="3069" spans="1:77" ht="15.75" hidden="1" customHeight="1" outlineLevel="1">
      <c r="A3069" s="460"/>
      <c r="B3069" s="99"/>
      <c r="C3069" s="377"/>
      <c r="D3069" s="377"/>
      <c r="E3069" s="377"/>
      <c r="F3069" s="377"/>
      <c r="G3069" s="377"/>
      <c r="H3069" s="377"/>
      <c r="I3069" s="377"/>
      <c r="J3069" s="377"/>
      <c r="K3069" s="377">
        <f>IPMT('Assumptions (T&amp;D)'!$B$97,Model!W$1,'Assumptions (T&amp;D)'!$B$100,Model!$K$3006)</f>
        <v>-5.727142857142857E-2</v>
      </c>
      <c r="L3069" s="377">
        <f>IPMT('Assumptions (T&amp;D)'!$B$97,Model!X$1,'Assumptions (T&amp;D)'!$B$100,Model!$K$3006)</f>
        <v>-5.4567006744954627E-2</v>
      </c>
      <c r="M3069" s="377">
        <f>IPMT('Assumptions (T&amp;D)'!$B$97,Model!Y$1,'Assumptions (T&amp;D)'!$B$100,Model!$K$3006)</f>
        <v>-5.1734124881723173E-2</v>
      </c>
      <c r="N3069" s="377">
        <f>IPMT('Assumptions (T&amp;D)'!$B$97,Model!Z$1,'Assumptions (T&amp;D)'!$B$100,Model!$K$3006)</f>
        <v>-4.8766681129988235E-2</v>
      </c>
      <c r="O3069" s="377">
        <f>IPMT('Assumptions (T&amp;D)'!$B$97,Model!AA$1,'Assumptions (T&amp;D)'!$B$100,Model!$K$3006)</f>
        <v>-4.5658283800045878E-2</v>
      </c>
      <c r="P3069" s="377">
        <f>IPMT('Assumptions (T&amp;D)'!$B$97,Model!AB$1,'Assumptions (T&amp;D)'!$B$100,Model!$K$3006)</f>
        <v>-4.2402237596931264E-2</v>
      </c>
      <c r="Q3069" s="377">
        <f>IPMT('Assumptions (T&amp;D)'!$B$97,Model!AC$1,'Assumptions (T&amp;D)'!$B$100,Model!$K$3006)</f>
        <v>-3.8991529199168706E-2</v>
      </c>
      <c r="R3069" s="377">
        <f>IPMT('Assumptions (T&amp;D)'!$B$97,Model!AD$1,'Assumptions (T&amp;D)'!$B$100,Model!$K$3006)</f>
        <v>-3.5418812152512427E-2</v>
      </c>
      <c r="S3069" s="377">
        <f>IPMT('Assumptions (T&amp;D)'!$B$97,Model!AE$1,'Assumptions (T&amp;D)'!$B$100,Model!$K$3006)</f>
        <v>-3.1676391046139986E-2</v>
      </c>
      <c r="T3069" s="377">
        <f>IPMT('Assumptions (T&amp;D)'!$B$97,Model!AF$1,'Assumptions (T&amp;D)'!$B$100,Model!$K$3006)</f>
        <v>-2.7756204937214837E-2</v>
      </c>
      <c r="U3069" s="377">
        <f>IPMT('Assumptions (T&amp;D)'!$B$97,Model!AG$1,'Assumptions (T&amp;D)'!$B$100,Model!$K$3006)</f>
        <v>-2.364980998811575E-2</v>
      </c>
      <c r="V3069" s="377">
        <f>IPMT('Assumptions (T&amp;D)'!$B$97,Model!AH$1,'Assumptions (T&amp;D)'!$B$100,Model!$K$3006)</f>
        <v>-1.9348361278934457E-2</v>
      </c>
      <c r="W3069" s="377">
        <f>IPMT('Assumptions (T&amp;D)'!$B$97,Model!AI$1,'Assumptions (T&amp;D)'!$B$100,Model!$K$3006)</f>
        <v>-1.4842593756067049E-2</v>
      </c>
      <c r="X3069" s="377">
        <f>IPMT('Assumptions (T&amp;D)'!$B$97,Model!AJ$1,'Assumptions (T&amp;D)'!$B$100,Model!$K$3006)</f>
        <v>-1.012280227586344E-2</v>
      </c>
      <c r="Y3069" s="377">
        <f>IPMT('Assumptions (T&amp;D)'!$B$97,Model!AK$1,'Assumptions (T&amp;D)'!$B$100,Model!$K$3006)</f>
        <v>-5.1788207003501605E-3</v>
      </c>
      <c r="Z3069" s="377"/>
      <c r="AA3069" s="377"/>
      <c r="AB3069" s="377"/>
      <c r="AC3069" s="377"/>
      <c r="AD3069" s="377"/>
      <c r="AE3069" s="377"/>
      <c r="AF3069" s="377"/>
      <c r="AG3069" s="377"/>
      <c r="AH3069" s="377"/>
      <c r="AI3069" s="377"/>
    </row>
    <row r="3070" spans="1:77" ht="15.75" hidden="1" customHeight="1" outlineLevel="1">
      <c r="A3070" s="460"/>
      <c r="B3070" s="99"/>
      <c r="C3070" s="377"/>
      <c r="D3070" s="377"/>
      <c r="E3070" s="377"/>
      <c r="F3070" s="377"/>
      <c r="G3070" s="377"/>
      <c r="H3070" s="377"/>
      <c r="I3070" s="377"/>
      <c r="J3070" s="377"/>
      <c r="K3070" s="377"/>
      <c r="L3070" s="377">
        <f>IPMT('Assumptions (T&amp;D)'!$B$97,Model!W$1,'Assumptions (T&amp;D)'!$B$100,Model!$L$3006)</f>
        <v>-5.9442857142857151E-2</v>
      </c>
      <c r="M3070" s="377">
        <f>IPMT('Assumptions (T&amp;D)'!$B$97,Model!X$1,'Assumptions (T&amp;D)'!$B$100,Model!$L$3006)</f>
        <v>-5.6635897995948176E-2</v>
      </c>
      <c r="N3070" s="377">
        <f>IPMT('Assumptions (T&amp;D)'!$B$97,Model!Y$1,'Assumptions (T&amp;D)'!$B$100,Model!$L$3006)</f>
        <v>-5.369560828956102E-2</v>
      </c>
      <c r="O3070" s="377">
        <f>IPMT('Assumptions (T&amp;D)'!$B$97,Model!Z$1,'Assumptions (T&amp;D)'!$B$100,Model!$L$3006)</f>
        <v>-5.06156548221205E-2</v>
      </c>
      <c r="P3070" s="377">
        <f>IPMT('Assumptions (T&amp;D)'!$B$97,Model!AA$1,'Assumptions (T&amp;D)'!$B$100,Model!$L$3006)</f>
        <v>-4.7389403564976534E-2</v>
      </c>
      <c r="Q3070" s="377">
        <f>IPMT('Assumptions (T&amp;D)'!$B$97,Model!AB$1,'Assumptions (T&amp;D)'!$B$100,Model!$L$3006)</f>
        <v>-4.400990537311824E-2</v>
      </c>
      <c r="R3070" s="377">
        <f>IPMT('Assumptions (T&amp;D)'!$B$97,Model!AC$1,'Assumptions (T&amp;D)'!$B$100,Model!$L$3006)</f>
        <v>-4.0469881017146679E-2</v>
      </c>
      <c r="S3070" s="377">
        <f>IPMT('Assumptions (T&amp;D)'!$B$97,Model!AD$1,'Assumptions (T&amp;D)'!$B$100,Model!$L$3006)</f>
        <v>-3.6761705504266461E-2</v>
      </c>
      <c r="T3070" s="377">
        <f>IPMT('Assumptions (T&amp;D)'!$B$97,Model!AE$1,'Assumptions (T&amp;D)'!$B$100,Model!$L$3006)</f>
        <v>-3.287739165452444E-2</v>
      </c>
      <c r="U3070" s="377">
        <f>IPMT('Assumptions (T&amp;D)'!$B$97,Model!AF$1,'Assumptions (T&amp;D)'!$B$100,Model!$L$3006)</f>
        <v>-2.8808572896919672E-2</v>
      </c>
      <c r="V3070" s="377">
        <f>IPMT('Assumptions (T&amp;D)'!$B$97,Model!AG$1,'Assumptions (T&amp;D)'!$B$100,Model!$L$3006)</f>
        <v>-2.454648524832867E-2</v>
      </c>
      <c r="W3070" s="377">
        <f>IPMT('Assumptions (T&amp;D)'!$B$97,Model!AH$1,'Assumptions (T&amp;D)'!$B$100,Model!$L$3006)</f>
        <v>-2.0081948436429603E-2</v>
      </c>
      <c r="X3070" s="377">
        <f>IPMT('Assumptions (T&amp;D)'!$B$97,Model!AI$1,'Assumptions (T&amp;D)'!$B$100,Model!$L$3006)</f>
        <v>-1.5405346125965327E-2</v>
      </c>
      <c r="Y3070" s="377">
        <f>IPMT('Assumptions (T&amp;D)'!$B$97,Model!AJ$1,'Assumptions (T&amp;D)'!$B$100,Model!$L$3006)</f>
        <v>-1.0506605205753998E-2</v>
      </c>
      <c r="Z3070" s="377">
        <f>IPMT('Assumptions (T&amp;D)'!$B$97,Model!AK$1,'Assumptions (T&amp;D)'!$B$100,Model!$L$3006)</f>
        <v>-5.3751740918326317E-3</v>
      </c>
      <c r="AA3070" s="377"/>
      <c r="AB3070" s="377"/>
      <c r="AC3070" s="377"/>
      <c r="AD3070" s="377"/>
      <c r="AE3070" s="377"/>
      <c r="AF3070" s="377"/>
      <c r="AG3070" s="377"/>
      <c r="AH3070" s="377"/>
      <c r="AI3070" s="377"/>
      <c r="AJ3070" s="377"/>
    </row>
    <row r="3071" spans="1:77" ht="15.75" hidden="1" customHeight="1" outlineLevel="1">
      <c r="A3071" s="460"/>
      <c r="B3071" s="99"/>
      <c r="C3071" s="377"/>
      <c r="D3071" s="377"/>
      <c r="E3071" s="377"/>
      <c r="F3071" s="377"/>
      <c r="G3071" s="377"/>
      <c r="H3071" s="377"/>
      <c r="I3071" s="377"/>
      <c r="J3071" s="377"/>
      <c r="K3071" s="377"/>
      <c r="L3071" s="377"/>
      <c r="M3071" s="377">
        <f>IPMT('Assumptions (T&amp;D)'!$B$97,Model!W$1,'Assumptions (T&amp;D)'!$B$100,Model!$M$3006)</f>
        <v>-5.7542857142857159E-2</v>
      </c>
      <c r="N3071" s="377">
        <f>IPMT('Assumptions (T&amp;D)'!$B$97,Model!X$1,'Assumptions (T&amp;D)'!$B$100,Model!$M$3006)</f>
        <v>-5.4825618151328831E-2</v>
      </c>
      <c r="O3071" s="377">
        <f>IPMT('Assumptions (T&amp;D)'!$B$97,Model!Y$1,'Assumptions (T&amp;D)'!$B$100,Model!$M$3006)</f>
        <v>-5.1979310307702919E-2</v>
      </c>
      <c r="P3071" s="377">
        <f>IPMT('Assumptions (T&amp;D)'!$B$97,Model!Z$1,'Assumptions (T&amp;D)'!$B$100,Model!$M$3006)</f>
        <v>-4.8997802841504783E-2</v>
      </c>
      <c r="Q3071" s="377">
        <f>IPMT('Assumptions (T&amp;D)'!$B$97,Model!AA$1,'Assumptions (T&amp;D)'!$B$100,Model!$M$3006)</f>
        <v>-4.5874673770662226E-2</v>
      </c>
      <c r="R3071" s="377">
        <f>IPMT('Assumptions (T&amp;D)'!$B$97,Model!AB$1,'Assumptions (T&amp;D)'!$B$100,Model!$M$3006)</f>
        <v>-4.2603196068954657E-2</v>
      </c>
      <c r="S3071" s="377">
        <f>IPMT('Assumptions (T&amp;D)'!$B$97,Model!AC$1,'Assumptions (T&amp;D)'!$B$100,Model!$M$3006)</f>
        <v>-3.9176323176415964E-2</v>
      </c>
      <c r="T3071" s="377">
        <f>IPMT('Assumptions (T&amp;D)'!$B$97,Model!AD$1,'Assumptions (T&amp;D)'!$B$100,Model!$M$3006)</f>
        <v>-3.5586673821481694E-2</v>
      </c>
      <c r="U3071" s="377">
        <f>IPMT('Assumptions (T&amp;D)'!$B$97,Model!AE$1,'Assumptions (T&amp;D)'!$B$100,Model!$M$3006)</f>
        <v>-3.182651612218805E-2</v>
      </c>
      <c r="V3071" s="377">
        <f>IPMT('Assumptions (T&amp;D)'!$B$97,Model!AF$1,'Assumptions (T&amp;D)'!$B$100,Model!$M$3006)</f>
        <v>-2.7887750932177949E-2</v>
      </c>
      <c r="W3071" s="377">
        <f>IPMT('Assumptions (T&amp;D)'!$B$97,Model!AG$1,'Assumptions (T&amp;D)'!$B$100,Model!$M$3006)</f>
        <v>-2.3761894395642372E-2</v>
      </c>
      <c r="X3071" s="377">
        <f>IPMT('Assumptions (T&amp;D)'!$B$97,Model!AH$1,'Assumptions (T&amp;D)'!$B$100,Model!$M$3006)</f>
        <v>-1.9440059673621359E-2</v>
      </c>
      <c r="Y3071" s="377">
        <f>IPMT('Assumptions (T&amp;D)'!$B$97,Model!AI$1,'Assumptions (T&amp;D)'!$B$100,Model!$M$3006)</f>
        <v>-1.4912937802304337E-2</v>
      </c>
      <c r="Z3071" s="377">
        <f>IPMT('Assumptions (T&amp;D)'!$B$97,Model!AJ$1,'Assumptions (T&amp;D)'!$B$100,Model!$M$3006)</f>
        <v>-1.0170777642099763E-2</v>
      </c>
      <c r="AA3071" s="377">
        <f>IPMT('Assumptions (T&amp;D)'!$B$97,Model!AK$1,'Assumptions (T&amp;D)'!$B$100,Model!$M$3006)</f>
        <v>-5.2033648742854707E-3</v>
      </c>
      <c r="AB3071" s="377"/>
      <c r="AC3071" s="377"/>
      <c r="AD3071" s="377"/>
      <c r="AE3071" s="377"/>
      <c r="AF3071" s="377"/>
      <c r="AG3071" s="377"/>
      <c r="AH3071" s="377"/>
      <c r="AI3071" s="377"/>
      <c r="AJ3071" s="377"/>
      <c r="AK3071" s="377"/>
    </row>
    <row r="3072" spans="1:77" ht="15.75" hidden="1" customHeight="1" outlineLevel="1">
      <c r="A3072" s="460"/>
      <c r="B3072" s="99"/>
      <c r="C3072" s="377"/>
      <c r="D3072" s="377"/>
      <c r="E3072" s="377"/>
      <c r="F3072" s="377"/>
      <c r="G3072" s="377"/>
      <c r="H3072" s="377"/>
      <c r="I3072" s="377"/>
      <c r="J3072" s="377"/>
      <c r="K3072" s="377"/>
      <c r="L3072" s="377"/>
      <c r="M3072" s="377"/>
      <c r="N3072" s="377">
        <f>IPMT('Assumptions (T&amp;D)'!$B$97,Model!W$1,'Assumptions (T&amp;D)'!$B$100,Model!$N$3006)</f>
        <v>-7.3557142857142863E-2</v>
      </c>
      <c r="O3072" s="377">
        <f>IPMT('Assumptions (T&amp;D)'!$B$97,Model!X$1,'Assumptions (T&amp;D)'!$B$100,Model!$N$3006)</f>
        <v>-7.0083691127406186E-2</v>
      </c>
      <c r="P3072" s="377">
        <f>IPMT('Assumptions (T&amp;D)'!$B$97,Model!Y$1,'Assumptions (T&amp;D)'!$B$100,Model!$N$3006)</f>
        <v>-6.6445250440507017E-2</v>
      </c>
      <c r="Q3072" s="377">
        <f>IPMT('Assumptions (T&amp;D)'!$B$97,Model!Z$1,'Assumptions (T&amp;D)'!$B$100,Model!$N$3006)</f>
        <v>-6.2633983820980149E-2</v>
      </c>
      <c r="R3072" s="377">
        <f>IPMT('Assumptions (T&amp;D)'!$B$97,Model!AA$1,'Assumptions (T&amp;D)'!$B$100,Model!$N$3006)</f>
        <v>-5.8641682037025758E-2</v>
      </c>
      <c r="S3072" s="377">
        <f>IPMT('Assumptions (T&amp;D)'!$B$97,Model!AB$1,'Assumptions (T&amp;D)'!$B$100,Model!$N$3006)</f>
        <v>-5.4459745918333538E-2</v>
      </c>
      <c r="T3072" s="377">
        <f>IPMT('Assumptions (T&amp;D)'!$B$97,Model!AC$1,'Assumptions (T&amp;D)'!$B$100,Model!$N$3006)</f>
        <v>-5.0079167834003416E-2</v>
      </c>
      <c r="U3072" s="377">
        <f>IPMT('Assumptions (T&amp;D)'!$B$97,Model!AD$1,'Assumptions (T&amp;D)'!$B$100,Model!$N$3006)</f>
        <v>-4.5490512290667633E-2</v>
      </c>
      <c r="V3072" s="377">
        <f>IPMT('Assumptions (T&amp;D)'!$B$97,Model!AE$1,'Assumptions (T&amp;D)'!$B$100,Model!$N$3006)</f>
        <v>-4.0683895609023399E-2</v>
      </c>
      <c r="W3072" s="377">
        <f>IPMT('Assumptions (T&amp;D)'!$B$97,Model!AF$1,'Assumptions (T&amp;D)'!$B$100,Model!$N$3006)</f>
        <v>-3.564896463500105E-2</v>
      </c>
      <c r="X3072" s="377">
        <f>IPMT('Assumptions (T&amp;D)'!$B$97,Model!AG$1,'Assumptions (T&amp;D)'!$B$100,Model!$N$3006)</f>
        <v>-3.0374874439712648E-2</v>
      </c>
      <c r="Y3072" s="377">
        <f>IPMT('Assumptions (T&amp;D)'!$B$97,Model!AH$1,'Assumptions (T&amp;D)'!$B$100,Model!$N$3006)</f>
        <v>-2.4850264960148052E-2</v>
      </c>
      <c r="Z3072" s="377">
        <f>IPMT('Assumptions (T&amp;D)'!$B$97,Model!AI$1,'Assumptions (T&amp;D)'!$B$100,Model!$N$3006)</f>
        <v>-1.9063236530304128E-2</v>
      </c>
      <c r="AA3072" s="377">
        <f>IPMT('Assumptions (T&amp;D)'!$B$97,Model!AJ$1,'Assumptions (T&amp;D)'!$B$100,Model!$N$3006)</f>
        <v>-1.3001324250042618E-2</v>
      </c>
      <c r="AB3072" s="377">
        <f>IPMT('Assumptions (T&amp;D)'!$B$97,Model!AK$1,'Assumptions (T&amp;D)'!$B$100,Model!$N$3006)</f>
        <v>-6.6514711364686896E-3</v>
      </c>
      <c r="AC3072" s="377"/>
      <c r="AD3072" s="377"/>
      <c r="AE3072" s="377"/>
      <c r="AF3072" s="377"/>
      <c r="AG3072" s="377"/>
      <c r="AH3072" s="377"/>
      <c r="AI3072" s="377"/>
      <c r="AJ3072" s="377"/>
      <c r="AK3072" s="377"/>
      <c r="AL3072" s="377"/>
    </row>
    <row r="3073" spans="1:54" ht="15.75" hidden="1" customHeight="1" outlineLevel="1">
      <c r="A3073" s="460"/>
      <c r="B3073" s="99"/>
      <c r="C3073" s="377"/>
      <c r="D3073" s="377"/>
      <c r="E3073" s="377"/>
      <c r="F3073" s="377"/>
      <c r="G3073" s="377"/>
      <c r="H3073" s="377"/>
      <c r="I3073" s="377"/>
      <c r="J3073" s="377"/>
      <c r="K3073" s="377"/>
      <c r="L3073" s="377"/>
      <c r="M3073" s="377"/>
      <c r="N3073" s="377"/>
      <c r="O3073" s="377">
        <f>IPMT('Assumptions (T&amp;D)'!$B$97,Model!W$1,'Assumptions (T&amp;D)'!$B$100,Model!$O$3006)</f>
        <v>-8.6314285714285732E-2</v>
      </c>
      <c r="P3073" s="377">
        <f>IPMT('Assumptions (T&amp;D)'!$B$97,Model!X$1,'Assumptions (T&amp;D)'!$B$100,Model!$O$3006)</f>
        <v>-8.223842722699326E-2</v>
      </c>
      <c r="Q3073" s="377">
        <f>IPMT('Assumptions (T&amp;D)'!$B$97,Model!Y$1,'Assumptions (T&amp;D)'!$B$100,Model!$O$3006)</f>
        <v>-7.7968965461554365E-2</v>
      </c>
      <c r="R3073" s="377">
        <f>IPMT('Assumptions (T&amp;D)'!$B$97,Model!Z$1,'Assumptions (T&amp;D)'!$B$100,Model!$O$3006)</f>
        <v>-7.349670426225717E-2</v>
      </c>
      <c r="S3073" s="377">
        <f>IPMT('Assumptions (T&amp;D)'!$B$97,Model!AA$1,'Assumptions (T&amp;D)'!$B$100,Model!$O$3006)</f>
        <v>-6.8812010655993336E-2</v>
      </c>
      <c r="T3073" s="377">
        <f>IPMT('Assumptions (T&amp;D)'!$B$97,Model!AB$1,'Assumptions (T&amp;D)'!$B$100,Model!$O$3006)</f>
        <v>-6.3904794103431972E-2</v>
      </c>
      <c r="U3073" s="377">
        <f>IPMT('Assumptions (T&amp;D)'!$B$97,Model!AC$1,'Assumptions (T&amp;D)'!$B$100,Model!$O$3006)</f>
        <v>-5.8764484764623946E-2</v>
      </c>
      <c r="V3073" s="377">
        <f>IPMT('Assumptions (T&amp;D)'!$B$97,Model!AD$1,'Assumptions (T&amp;D)'!$B$100,Model!$O$3006)</f>
        <v>-5.3380010732222545E-2</v>
      </c>
      <c r="W3073" s="377">
        <f>IPMT('Assumptions (T&amp;D)'!$B$97,Model!AE$1,'Assumptions (T&amp;D)'!$B$100,Model!$O$3006)</f>
        <v>-4.7739774183282076E-2</v>
      </c>
      <c r="X3073" s="377">
        <f>IPMT('Assumptions (T&amp;D)'!$B$97,Model!AF$1,'Assumptions (T&amp;D)'!$B$100,Model!$O$3006)</f>
        <v>-4.1831626398266923E-2</v>
      </c>
      <c r="Y3073" s="377">
        <f>IPMT('Assumptions (T&amp;D)'!$B$97,Model!AG$1,'Assumptions (T&amp;D)'!$B$100,Model!$O$3006)</f>
        <v>-3.5642841593463558E-2</v>
      </c>
      <c r="Z3073" s="377">
        <f>IPMT('Assumptions (T&amp;D)'!$B$97,Model!AH$1,'Assumptions (T&amp;D)'!$B$100,Model!$O$3006)</f>
        <v>-2.9160089510432034E-2</v>
      </c>
      <c r="AA3073" s="377">
        <f>IPMT('Assumptions (T&amp;D)'!$B$97,Model!AI$1,'Assumptions (T&amp;D)'!$B$100,Model!$O$3006)</f>
        <v>-2.2369406703456506E-2</v>
      </c>
      <c r="AB3073" s="377">
        <f>IPMT('Assumptions (T&amp;D)'!$B$97,Model!AJ$1,'Assumptions (T&amp;D)'!$B$100,Model!$O$3006)</f>
        <v>-1.5256166463149643E-2</v>
      </c>
      <c r="AC3073" s="377">
        <f>IPMT('Assumptions (T&amp;D)'!$B$97,Model!AK$1,'Assumptions (T&amp;D)'!$B$100,Model!$O$3006)</f>
        <v>-7.805047311428206E-3</v>
      </c>
      <c r="AD3073" s="377"/>
      <c r="AE3073" s="377"/>
      <c r="AF3073" s="377"/>
      <c r="AG3073" s="377"/>
      <c r="AH3073" s="377"/>
      <c r="AI3073" s="377"/>
      <c r="AJ3073" s="377"/>
      <c r="AK3073" s="377"/>
      <c r="AL3073" s="377"/>
      <c r="AM3073" s="377"/>
    </row>
    <row r="3074" spans="1:54" ht="15.75" hidden="1" customHeight="1" outlineLevel="1">
      <c r="A3074" s="460"/>
      <c r="B3074" s="99"/>
      <c r="C3074" s="377"/>
      <c r="D3074" s="377"/>
      <c r="E3074" s="377"/>
      <c r="F3074" s="377"/>
      <c r="G3074" s="377"/>
      <c r="H3074" s="377"/>
      <c r="I3074" s="377"/>
      <c r="J3074" s="377"/>
      <c r="K3074" s="377"/>
      <c r="L3074" s="377"/>
      <c r="M3074" s="377"/>
      <c r="N3074" s="377"/>
      <c r="O3074" s="377"/>
      <c r="P3074" s="377">
        <f>IPMT('Assumptions (T&amp;D)'!$B$97,Model!W$1,'Assumptions (T&amp;D)'!$B$100,Model!$P$3006)</f>
        <v>-7.8714285714285737E-2</v>
      </c>
      <c r="Q3074" s="377">
        <f>IPMT('Assumptions (T&amp;D)'!$B$97,Model!X$1,'Assumptions (T&amp;D)'!$B$100,Model!$P$3006)</f>
        <v>-7.4997307848515868E-2</v>
      </c>
      <c r="R3074" s="377">
        <f>IPMT('Assumptions (T&amp;D)'!$B$97,Model!Y$1,'Assumptions (T&amp;D)'!$B$100,Model!$P$3006)</f>
        <v>-7.1103773534121908E-2</v>
      </c>
      <c r="S3074" s="377">
        <f>IPMT('Assumptions (T&amp;D)'!$B$97,Model!Z$1,'Assumptions (T&amp;D)'!$B$100,Model!$P$3006)</f>
        <v>-6.7025296339794274E-2</v>
      </c>
      <c r="T3074" s="377">
        <f>IPMT('Assumptions (T&amp;D)'!$B$97,Model!AA$1,'Assumptions (T&amp;D)'!$B$100,Model!$P$3006)</f>
        <v>-6.2753091478736062E-2</v>
      </c>
      <c r="U3074" s="377">
        <f>IPMT('Assumptions (T&amp;D)'!$B$97,Model!AB$1,'Assumptions (T&amp;D)'!$B$100,Model!$P$3006)</f>
        <v>-5.8277956886777595E-2</v>
      </c>
      <c r="V3074" s="377">
        <f>IPMT('Assumptions (T&amp;D)'!$B$97,Model!AC$1,'Assumptions (T&amp;D)'!$B$100,Model!$P$3006)</f>
        <v>-5.3590253401701086E-2</v>
      </c>
      <c r="W3074" s="377">
        <f>IPMT('Assumptions (T&amp;D)'!$B$97,Model!AD$1,'Assumptions (T&amp;D)'!$B$100,Model!$P$3006)</f>
        <v>-4.8679884001083452E-2</v>
      </c>
      <c r="X3074" s="377">
        <f>IPMT('Assumptions (T&amp;D)'!$B$97,Model!AE$1,'Assumptions (T&amp;D)'!$B$100,Model!$P$3006)</f>
        <v>-4.3536272053936481E-2</v>
      </c>
      <c r="Y3074" s="377">
        <f>IPMT('Assumptions (T&amp;D)'!$B$97,Model!AF$1,'Assumptions (T&amp;D)'!$B$100,Model!$P$3006)</f>
        <v>-3.8148338539300025E-2</v>
      </c>
      <c r="Z3074" s="377">
        <f>IPMT('Assumptions (T&amp;D)'!$B$97,Model!AG$1,'Assumptions (T&amp;D)'!$B$100,Model!$P$3006)</f>
        <v>-3.2504478182718337E-2</v>
      </c>
      <c r="AA3074" s="377">
        <f>IPMT('Assumptions (T&amp;D)'!$B$97,Model!AH$1,'Assumptions (T&amp;D)'!$B$100,Model!$P$3006)</f>
        <v>-2.6592534459199024E-2</v>
      </c>
      <c r="AB3074" s="377">
        <f>IPMT('Assumptions (T&amp;D)'!$B$97,Model!AI$1,'Assumptions (T&amp;D)'!$B$100,Model!$P$3006)</f>
        <v>-2.0399773408812539E-2</v>
      </c>
      <c r="AC3074" s="377">
        <f>IPMT('Assumptions (T&amp;D)'!$B$97,Model!AJ$1,'Assumptions (T&amp;D)'!$B$100,Model!$P$3006)</f>
        <v>-1.3912856208532694E-2</v>
      </c>
      <c r="AD3074" s="377">
        <f>IPMT('Assumptions (T&amp;D)'!$B$97,Model!AK$1,'Assumptions (T&amp;D)'!$B$100,Model!$P$3006)</f>
        <v>-7.1178104412395592E-3</v>
      </c>
      <c r="AE3074" s="377"/>
      <c r="AF3074" s="377"/>
      <c r="AG3074" s="377"/>
      <c r="AH3074" s="377"/>
      <c r="AI3074" s="377"/>
      <c r="AJ3074" s="377"/>
      <c r="AK3074" s="377"/>
      <c r="AL3074" s="377"/>
      <c r="AM3074" s="377"/>
      <c r="AN3074" s="377"/>
    </row>
    <row r="3075" spans="1:54" ht="15.75" hidden="1" customHeight="1" outlineLevel="1">
      <c r="A3075" s="460"/>
      <c r="B3075" s="99"/>
      <c r="C3075" s="377"/>
      <c r="D3075" s="377"/>
      <c r="E3075" s="377"/>
      <c r="F3075" s="377"/>
      <c r="G3075" s="377"/>
      <c r="H3075" s="377"/>
      <c r="I3075" s="377"/>
      <c r="J3075" s="377"/>
      <c r="K3075" s="377"/>
      <c r="L3075" s="377"/>
      <c r="M3075" s="377"/>
      <c r="N3075" s="377"/>
      <c r="O3075" s="377"/>
      <c r="P3075" s="377"/>
      <c r="Q3075" s="377">
        <f>IPMT('Assumptions (T&amp;D)'!$B$97,Model!W$1,'Assumptions (T&amp;D)'!$B$100,Model!$Q$3006)</f>
        <v>-8.1428571428571433E-2</v>
      </c>
      <c r="R3075" s="377">
        <f>IPMT('Assumptions (T&amp;D)'!$B$97,Model!X$1,'Assumptions (T&amp;D)'!$B$100,Model!$Q$3006)</f>
        <v>-7.7583421912257783E-2</v>
      </c>
      <c r="S3075" s="377">
        <f>IPMT('Assumptions (T&amp;D)'!$B$97,Model!Y$1,'Assumptions (T&amp;D)'!$B$100,Model!$Q$3006)</f>
        <v>-7.3555627793919207E-2</v>
      </c>
      <c r="T3075" s="377">
        <f>IPMT('Assumptions (T&amp;D)'!$B$97,Model!Z$1,'Assumptions (T&amp;D)'!$B$100,Model!$Q$3006)</f>
        <v>-6.9336513454959586E-2</v>
      </c>
      <c r="U3075" s="377">
        <f>IPMT('Assumptions (T&amp;D)'!$B$97,Model!AA$1,'Assumptions (T&amp;D)'!$B$100,Model!$Q$3006)</f>
        <v>-6.4916991184899353E-2</v>
      </c>
      <c r="V3075" s="377">
        <f>IPMT('Assumptions (T&amp;D)'!$B$97,Model!AB$1,'Assumptions (T&amp;D)'!$B$100,Model!$Q$3006)</f>
        <v>-6.0287541607011282E-2</v>
      </c>
      <c r="W3075" s="377">
        <f>IPMT('Assumptions (T&amp;D)'!$B$97,Model!AC$1,'Assumptions (T&amp;D)'!$B$100,Model!$Q$3006)</f>
        <v>-5.5438193174173526E-2</v>
      </c>
      <c r="X3075" s="377">
        <f>IPMT('Assumptions (T&amp;D)'!$B$97,Model!AD$1,'Assumptions (T&amp;D)'!$B$100,Model!$Q$3006)</f>
        <v>-5.0358500690775972E-2</v>
      </c>
      <c r="Y3075" s="377">
        <f>IPMT('Assumptions (T&amp;D)'!$B$97,Model!AE$1,'Assumptions (T&amp;D)'!$B$100,Model!$Q$3006)</f>
        <v>-4.5037522814417044E-2</v>
      </c>
      <c r="Z3075" s="377">
        <f>IPMT('Assumptions (T&amp;D)'!$B$97,Model!AF$1,'Assumptions (T&amp;D)'!$B$100,Model!$Q$3006)</f>
        <v>-3.9463798488931057E-2</v>
      </c>
      <c r="AA3075" s="377">
        <f>IPMT('Assumptions (T&amp;D)'!$B$97,Model!AG$1,'Assumptions (T&amp;D)'!$B$100,Model!$Q$3006)</f>
        <v>-3.362532225798448E-2</v>
      </c>
      <c r="AB3075" s="377">
        <f>IPMT('Assumptions (T&amp;D)'!$B$97,Model!AH$1,'Assumptions (T&amp;D)'!$B$100,Model!$Q$3006)</f>
        <v>-2.750951840606795E-2</v>
      </c>
      <c r="AC3075" s="377">
        <f>IPMT('Assumptions (T&amp;D)'!$B$97,Model!AI$1,'Assumptions (T&amp;D)'!$B$100,Model!$Q$3006)</f>
        <v>-2.110321387118538E-2</v>
      </c>
      <c r="AD3075" s="377">
        <f>IPMT('Assumptions (T&amp;D)'!$B$97,Model!AJ$1,'Assumptions (T&amp;D)'!$B$100,Model!$Q$3006)</f>
        <v>-1.4392609870895889E-2</v>
      </c>
      <c r="AE3075" s="377">
        <f>IPMT('Assumptions (T&amp;D)'!$B$97,Model!AK$1,'Assumptions (T&amp;D)'!$B$100,Model!$Q$3006)</f>
        <v>-7.3632521805926457E-3</v>
      </c>
      <c r="AF3075" s="377"/>
      <c r="AG3075" s="377"/>
      <c r="AH3075" s="377"/>
      <c r="AI3075" s="377"/>
      <c r="AJ3075" s="377"/>
      <c r="AK3075" s="377"/>
      <c r="AL3075" s="377"/>
      <c r="AM3075" s="377"/>
      <c r="AN3075" s="377"/>
      <c r="AO3075" s="377"/>
    </row>
    <row r="3076" spans="1:54" ht="15.75" hidden="1" customHeight="1" outlineLevel="1">
      <c r="A3076" s="460"/>
      <c r="B3076" s="99"/>
      <c r="C3076" s="377"/>
      <c r="D3076" s="377"/>
      <c r="E3076" s="377"/>
      <c r="F3076" s="377"/>
      <c r="G3076" s="377"/>
      <c r="H3076" s="377"/>
      <c r="I3076" s="377"/>
      <c r="J3076" s="377"/>
      <c r="K3076" s="377"/>
      <c r="L3076" s="377"/>
      <c r="M3076" s="377"/>
      <c r="N3076" s="377"/>
      <c r="O3076" s="377"/>
      <c r="P3076" s="377"/>
      <c r="Q3076" s="377"/>
      <c r="R3076" s="377">
        <f>IPMT('Assumptions (T&amp;D)'!$B$97,Model!W$1,'Assumptions (T&amp;D)'!$B$100,Model!$R$3006)</f>
        <v>-8.8757142857142868E-2</v>
      </c>
      <c r="S3076" s="377">
        <f>IPMT('Assumptions (T&amp;D)'!$B$97,Model!X$1,'Assumptions (T&amp;D)'!$B$100,Model!$R$3006)</f>
        <v>-8.4565929884360971E-2</v>
      </c>
      <c r="T3076" s="377">
        <f>IPMT('Assumptions (T&amp;D)'!$B$97,Model!Y$1,'Assumptions (T&amp;D)'!$B$100,Model!$R$3006)</f>
        <v>-8.0175634295371931E-2</v>
      </c>
      <c r="U3076" s="377">
        <f>IPMT('Assumptions (T&amp;D)'!$B$97,Model!Z$1,'Assumptions (T&amp;D)'!$B$100,Model!$R$3006)</f>
        <v>-7.5576799665905942E-2</v>
      </c>
      <c r="V3076" s="377">
        <f>IPMT('Assumptions (T&amp;D)'!$B$97,Model!AA$1,'Assumptions (T&amp;D)'!$B$100,Model!$R$3006)</f>
        <v>-7.0759520391540306E-2</v>
      </c>
      <c r="W3076" s="377">
        <f>IPMT('Assumptions (T&amp;D)'!$B$97,Model!AB$1,'Assumptions (T&amp;D)'!$B$100,Model!$R$3006)</f>
        <v>-6.5713420351642307E-2</v>
      </c>
      <c r="X3076" s="377">
        <f>IPMT('Assumptions (T&amp;D)'!$B$97,Model!AC$1,'Assumptions (T&amp;D)'!$B$100,Model!$R$3006)</f>
        <v>-6.0427630559849142E-2</v>
      </c>
      <c r="Y3076" s="377">
        <f>IPMT('Assumptions (T&amp;D)'!$B$97,Model!AD$1,'Assumptions (T&amp;D)'!$B$100,Model!$R$3006)</f>
        <v>-5.4890765752945804E-2</v>
      </c>
      <c r="Z3076" s="377">
        <f>IPMT('Assumptions (T&amp;D)'!$B$97,Model!AE$1,'Assumptions (T&amp;D)'!$B$100,Model!$R$3006)</f>
        <v>-4.9090899867714581E-2</v>
      </c>
      <c r="AA3076" s="377">
        <f>IPMT('Assumptions (T&amp;D)'!$B$97,Model!AF$1,'Assumptions (T&amp;D)'!$B$100,Model!$R$3006)</f>
        <v>-4.3015540352934846E-2</v>
      </c>
      <c r="AB3076" s="377">
        <f>IPMT('Assumptions (T&amp;D)'!$B$97,Model!AG$1,'Assumptions (T&amp;D)'!$B$100,Model!$R$3006)</f>
        <v>-3.6651601261203086E-2</v>
      </c>
      <c r="AC3076" s="377">
        <f>IPMT('Assumptions (T&amp;D)'!$B$97,Model!AH$1,'Assumptions (T&amp;D)'!$B$100,Model!$R$3006)</f>
        <v>-2.9985375062614072E-2</v>
      </c>
      <c r="AD3076" s="377">
        <f>IPMT('Assumptions (T&amp;D)'!$B$97,Model!AI$1,'Assumptions (T&amp;D)'!$B$100,Model!$R$3006)</f>
        <v>-2.3002503119592062E-2</v>
      </c>
      <c r="AE3076" s="377">
        <f>IPMT('Assumptions (T&amp;D)'!$B$97,Model!AJ$1,'Assumptions (T&amp;D)'!$B$100,Model!$R$3006)</f>
        <v>-1.5687944759276515E-2</v>
      </c>
      <c r="AF3076" s="377">
        <f>IPMT('Assumptions (T&amp;D)'!$B$97,Model!AK$1,'Assumptions (T&amp;D)'!$B$100,Model!$R$3006)</f>
        <v>-8.0259448768459831E-3</v>
      </c>
      <c r="AG3076" s="377"/>
      <c r="AH3076" s="377"/>
      <c r="AI3076" s="377"/>
      <c r="AJ3076" s="377"/>
      <c r="AK3076" s="377"/>
      <c r="AL3076" s="377"/>
      <c r="AM3076" s="377"/>
      <c r="AN3076" s="377"/>
      <c r="AO3076" s="377"/>
      <c r="AP3076" s="377"/>
    </row>
    <row r="3077" spans="1:54" ht="15.75" hidden="1" customHeight="1" outlineLevel="1">
      <c r="A3077" s="460"/>
      <c r="B3077" s="99"/>
      <c r="C3077" s="377"/>
      <c r="D3077" s="377"/>
      <c r="E3077" s="377"/>
      <c r="F3077" s="377"/>
      <c r="G3077" s="377"/>
      <c r="H3077" s="377"/>
      <c r="I3077" s="377"/>
      <c r="J3077" s="377"/>
      <c r="K3077" s="377"/>
      <c r="L3077" s="377"/>
      <c r="M3077" s="377"/>
      <c r="N3077" s="377"/>
      <c r="O3077" s="377"/>
      <c r="P3077" s="377"/>
      <c r="Q3077" s="377"/>
      <c r="R3077" s="377"/>
      <c r="S3077" s="377">
        <f>IPMT('Assumptions (T&amp;D)'!$B$97,Model!W$1,'Assumptions (T&amp;D)'!$B$100,Model!$S$3006)</f>
        <v>-9.9614285714285725E-2</v>
      </c>
      <c r="T3077" s="377">
        <f>IPMT('Assumptions (T&amp;D)'!$B$97,Model!X$1,'Assumptions (T&amp;D)'!$B$100,Model!$S$3006)</f>
        <v>-9.4910386139328673E-2</v>
      </c>
      <c r="U3077" s="377">
        <f>IPMT('Assumptions (T&amp;D)'!$B$97,Model!Y$1,'Assumptions (T&amp;D)'!$B$100,Model!$S$3006)</f>
        <v>-8.9983051334561151E-2</v>
      </c>
      <c r="V3077" s="377">
        <f>IPMT('Assumptions (T&amp;D)'!$B$97,Model!Z$1,'Assumptions (T&amp;D)'!$B$100,Model!$S$3006)</f>
        <v>-8.4821668126567218E-2</v>
      </c>
      <c r="W3077" s="377">
        <f>IPMT('Assumptions (T&amp;D)'!$B$97,Model!AA$1,'Assumptions (T&amp;D)'!$B$100,Model!$S$3006)</f>
        <v>-7.9415119216193555E-2</v>
      </c>
      <c r="X3077" s="377">
        <f>IPMT('Assumptions (T&amp;D)'!$B$97,Model!AB$1,'Assumptions (T&amp;D)'!$B$100,Model!$S$3006)</f>
        <v>-7.3751759232577138E-2</v>
      </c>
      <c r="Y3077" s="377">
        <f>IPMT('Assumptions (T&amp;D)'!$B$97,Model!AC$1,'Assumptions (T&amp;D)'!$B$100,Model!$S$3006)</f>
        <v>-6.7819389649738937E-2</v>
      </c>
      <c r="Z3077" s="377">
        <f>IPMT('Assumptions (T&amp;D)'!$B$97,Model!AD$1,'Assumptions (T&amp;D)'!$B$100,Model!$S$3006)</f>
        <v>-6.1605232511715936E-2</v>
      </c>
      <c r="AA3077" s="377">
        <f>IPMT('Assumptions (T&amp;D)'!$B$97,Model!AE$1,'Assumptions (T&amp;D)'!$B$100,Model!$S$3006)</f>
        <v>-5.5095902909636847E-2</v>
      </c>
      <c r="AB3077" s="377">
        <f>IPMT('Assumptions (T&amp;D)'!$B$97,Model!AF$1,'Assumptions (T&amp;D)'!$B$100,Model!$S$3006)</f>
        <v>-4.8277380151458993E-2</v>
      </c>
      <c r="AC3077" s="377">
        <f>IPMT('Assumptions (T&amp;D)'!$B$97,Model!AG$1,'Assumptions (T&amp;D)'!$B$100,Model!$S$3006)</f>
        <v>-4.113497756226768E-2</v>
      </c>
      <c r="AD3077" s="377">
        <f>IPMT('Assumptions (T&amp;D)'!$B$97,Model!AH$1,'Assumptions (T&amp;D)'!$B$100,Model!$S$3006)</f>
        <v>-3.3653310850089789E-2</v>
      </c>
      <c r="AE3077" s="377">
        <f>IPMT('Assumptions (T&amp;D)'!$B$97,Model!AI$1,'Assumptions (T&amp;D)'!$B$100,Model!$S$3006)</f>
        <v>-2.5816264969083447E-2</v>
      </c>
      <c r="AF3077" s="377">
        <f>IPMT('Assumptions (T&amp;D)'!$B$97,Model!AJ$1,'Assumptions (T&amp;D)'!$B$100,Model!$S$3006)</f>
        <v>-1.7606959408729302E-2</v>
      </c>
      <c r="AG3077" s="377">
        <f>IPMT('Assumptions (T&amp;D)'!$B$97,Model!AK$1,'Assumptions (T&amp;D)'!$B$100,Model!$S$3006)</f>
        <v>-9.0077118342583359E-3</v>
      </c>
      <c r="AH3077" s="377"/>
      <c r="AI3077" s="377"/>
      <c r="AJ3077" s="377"/>
      <c r="AK3077" s="377"/>
      <c r="AL3077" s="377"/>
      <c r="AM3077" s="377"/>
      <c r="AN3077" s="377"/>
      <c r="AO3077" s="377"/>
      <c r="AP3077" s="377"/>
      <c r="AQ3077" s="377"/>
    </row>
    <row r="3078" spans="1:54" ht="15.75" hidden="1" customHeight="1" outlineLevel="1">
      <c r="A3078" s="460"/>
      <c r="B3078" s="99"/>
      <c r="C3078" s="377"/>
      <c r="D3078" s="377"/>
      <c r="E3078" s="377"/>
      <c r="F3078" s="377"/>
      <c r="G3078" s="377"/>
      <c r="H3078" s="377"/>
      <c r="I3078" s="377"/>
      <c r="J3078" s="377"/>
      <c r="K3078" s="377"/>
      <c r="L3078" s="377"/>
      <c r="M3078" s="377"/>
      <c r="N3078" s="377"/>
      <c r="O3078" s="377"/>
      <c r="P3078" s="377"/>
      <c r="Q3078" s="377"/>
      <c r="R3078" s="377"/>
      <c r="S3078" s="42"/>
      <c r="T3078" s="377">
        <f>IPMT('Assumptions (T&amp;D)'!$B$97,Model!W$1,'Assumptions (T&amp;D)'!$B$100,Model!$T$3006)</f>
        <v>-7.1422653126443275E-2</v>
      </c>
      <c r="U3078" s="377">
        <f>IPMT('Assumptions (T&amp;D)'!$B$97,Model!X$1,'Assumptions (T&amp;D)'!$B$100,Model!$T$3006)</f>
        <v>-6.8049994423178578E-2</v>
      </c>
      <c r="V3078" s="377">
        <f>IPMT('Assumptions (T&amp;D)'!$B$97,Model!Y$1,'Assumptions (T&amp;D)'!$B$100,Model!$T$3006)</f>
        <v>-6.4517134431508819E-2</v>
      </c>
      <c r="W3078" s="377">
        <f>IPMT('Assumptions (T&amp;D)'!$B$97,Model!Z$1,'Assumptions (T&amp;D)'!$B$100,Model!$T$3006)</f>
        <v>-6.0816463590234765E-2</v>
      </c>
      <c r="X3078" s="377">
        <f>IPMT('Assumptions (T&amp;D)'!$B$97,Model!AA$1,'Assumptions (T&amp;D)'!$B$100,Model!$T$3006)</f>
        <v>-5.6940010884000171E-2</v>
      </c>
      <c r="Y3078" s="377">
        <f>IPMT('Assumptions (T&amp;D)'!$B$97,Model!AB$1,'Assumptions (T&amp;D)'!$B$100,Model!$T$3006)</f>
        <v>-5.2879426674219451E-2</v>
      </c>
      <c r="Z3078" s="377">
        <f>IPMT('Assumptions (T&amp;D)'!$B$97,Model!AC$1,'Assumptions (T&amp;D)'!$B$100,Model!$T$3006)</f>
        <v>-4.8625964714474133E-2</v>
      </c>
      <c r="AA3078" s="377">
        <f>IPMT('Assumptions (T&amp;D)'!$B$97,Model!AD$1,'Assumptions (T&amp;D)'!$B$100,Model!$T$3006)</f>
        <v>-4.4170463311640915E-2</v>
      </c>
      <c r="AB3078" s="377">
        <f>IPMT('Assumptions (T&amp;D)'!$B$97,Model!AE$1,'Assumptions (T&amp;D)'!$B$100,Model!$T$3006)</f>
        <v>-3.9503325592173129E-2</v>
      </c>
      <c r="AC3078" s="377">
        <f>IPMT('Assumptions (T&amp;D)'!$B$97,Model!AF$1,'Assumptions (T&amp;D)'!$B$100,Model!$T$3006)</f>
        <v>-3.461449883103062E-2</v>
      </c>
      <c r="AD3078" s="377">
        <f>IPMT('Assumptions (T&amp;D)'!$B$97,Model!AG$1,'Assumptions (T&amp;D)'!$B$100,Model!$T$3006)</f>
        <v>-2.9493452798733832E-2</v>
      </c>
      <c r="AE3078" s="377">
        <f>IPMT('Assumptions (T&amp;D)'!$B$97,Model!AH$1,'Assumptions (T&amp;D)'!$B$100,Model!$T$3006)</f>
        <v>-2.4129157079902958E-2</v>
      </c>
      <c r="AF3078" s="377">
        <f>IPMT('Assumptions (T&amp;D)'!$B$97,Model!AI$1,'Assumptions (T&amp;D)'!$B$100,Model!$T$3006)</f>
        <v>-1.8510057314427609E-2</v>
      </c>
      <c r="AG3078" s="377">
        <f>IPMT('Assumptions (T&amp;D)'!$B$97,Model!AJ$1,'Assumptions (T&amp;D)'!$B$100,Model!$T$3006)</f>
        <v>-1.2624050310092182E-2</v>
      </c>
      <c r="AH3078" s="377">
        <f>IPMT('Assumptions (T&amp;D)'!$B$97,Model!AK$1,'Assumptions (T&amp;D)'!$B$100,Model!$T$3006)</f>
        <v>-6.458457973050823E-3</v>
      </c>
      <c r="AI3078" s="377"/>
      <c r="AJ3078" s="377"/>
      <c r="AK3078" s="377"/>
      <c r="AL3078" s="377"/>
      <c r="AM3078" s="377"/>
      <c r="AN3078" s="377"/>
      <c r="AO3078" s="377"/>
      <c r="AP3078" s="377"/>
      <c r="AQ3078" s="377"/>
      <c r="AR3078" s="377"/>
    </row>
    <row r="3079" spans="1:54" ht="15.75" hidden="1" customHeight="1" outlineLevel="1">
      <c r="A3079" s="460"/>
      <c r="B3079" s="99"/>
      <c r="C3079" s="377"/>
      <c r="D3079" s="377"/>
      <c r="E3079" s="377"/>
      <c r="F3079" s="377"/>
      <c r="G3079" s="377"/>
      <c r="H3079" s="377"/>
      <c r="I3079" s="377"/>
      <c r="J3079" s="377"/>
      <c r="K3079" s="377"/>
      <c r="L3079" s="377"/>
      <c r="M3079" s="377"/>
      <c r="N3079" s="377"/>
      <c r="O3079" s="377"/>
      <c r="P3079" s="377"/>
      <c r="Q3079" s="377"/>
      <c r="R3079" s="377"/>
      <c r="S3079" s="42"/>
      <c r="T3079" s="42"/>
      <c r="U3079" s="377">
        <f>IPMT('Assumptions (T&amp;D)'!$B$97,Model!W$1,'Assumptions (T&amp;D)'!$B$100,Model!$U$3006)</f>
        <v>-7.1422653126443275E-2</v>
      </c>
      <c r="V3079" s="377">
        <f>IPMT('Assumptions (T&amp;D)'!$B$97,Model!X$1,'Assumptions (T&amp;D)'!$B$100,Model!$U$3006)</f>
        <v>-6.8049994423178578E-2</v>
      </c>
      <c r="W3079" s="377">
        <f>IPMT('Assumptions (T&amp;D)'!$B$97,Model!Y$1,'Assumptions (T&amp;D)'!$B$100,Model!$U$3006)</f>
        <v>-6.4517134431508819E-2</v>
      </c>
      <c r="X3079" s="377">
        <f>IPMT('Assumptions (T&amp;D)'!$B$97,Model!Z$1,'Assumptions (T&amp;D)'!$B$100,Model!$U$3006)</f>
        <v>-6.0816463590234765E-2</v>
      </c>
      <c r="Y3079" s="377">
        <f>IPMT('Assumptions (T&amp;D)'!$B$97,Model!AA$1,'Assumptions (T&amp;D)'!$B$100,Model!$U$3006)</f>
        <v>-5.6940010884000171E-2</v>
      </c>
      <c r="Z3079" s="377">
        <f>IPMT('Assumptions (T&amp;D)'!$B$97,Model!AB$1,'Assumptions (T&amp;D)'!$B$100,Model!$U$3006)</f>
        <v>-5.2879426674219451E-2</v>
      </c>
      <c r="AA3079" s="377">
        <f>IPMT('Assumptions (T&amp;D)'!$B$97,Model!AC$1,'Assumptions (T&amp;D)'!$B$100,Model!$U$3006)</f>
        <v>-4.8625964714474133E-2</v>
      </c>
      <c r="AB3079" s="377">
        <f>IPMT('Assumptions (T&amp;D)'!$B$97,Model!AD$1,'Assumptions (T&amp;D)'!$B$100,Model!$U$3006)</f>
        <v>-4.4170463311640915E-2</v>
      </c>
      <c r="AC3079" s="377">
        <f>IPMT('Assumptions (T&amp;D)'!$B$97,Model!AE$1,'Assumptions (T&amp;D)'!$B$100,Model!$U$3006)</f>
        <v>-3.9503325592173129E-2</v>
      </c>
      <c r="AD3079" s="377">
        <f>IPMT('Assumptions (T&amp;D)'!$B$97,Model!AF$1,'Assumptions (T&amp;D)'!$B$100,Model!$U$3006)</f>
        <v>-3.461449883103062E-2</v>
      </c>
      <c r="AE3079" s="377">
        <f>IPMT('Assumptions (T&amp;D)'!$B$97,Model!AG$1,'Assumptions (T&amp;D)'!$B$100,Model!$U$3006)</f>
        <v>-2.9493452798733832E-2</v>
      </c>
      <c r="AF3079" s="377">
        <f>IPMT('Assumptions (T&amp;D)'!$B$97,Model!AH$1,'Assumptions (T&amp;D)'!$B$100,Model!$U$3006)</f>
        <v>-2.4129157079902958E-2</v>
      </c>
      <c r="AG3079" s="377">
        <f>IPMT('Assumptions (T&amp;D)'!$B$97,Model!AI$1,'Assumptions (T&amp;D)'!$B$100,Model!$U$3006)</f>
        <v>-1.8510057314427609E-2</v>
      </c>
      <c r="AH3079" s="377">
        <f>IPMT('Assumptions (T&amp;D)'!$B$97,Model!AJ$1,'Assumptions (T&amp;D)'!$B$100,Model!$U$3006)</f>
        <v>-1.2624050310092182E-2</v>
      </c>
      <c r="AI3079" s="377">
        <f>IPMT('Assumptions (T&amp;D)'!$B$97,Model!AK$1,'Assumptions (T&amp;D)'!$B$100,Model!$U$3006)</f>
        <v>-6.458457973050823E-3</v>
      </c>
      <c r="AJ3079" s="377"/>
      <c r="AK3079" s="377"/>
      <c r="AL3079" s="377"/>
      <c r="AM3079" s="377"/>
      <c r="AN3079" s="377"/>
      <c r="AO3079" s="377"/>
      <c r="AP3079" s="377"/>
      <c r="AQ3079" s="377"/>
      <c r="AR3079" s="377"/>
      <c r="AS3079" s="377"/>
    </row>
    <row r="3080" spans="1:54" ht="15.75" hidden="1" customHeight="1" outlineLevel="1">
      <c r="A3080" s="460"/>
      <c r="B3080" s="99"/>
      <c r="C3080" s="377"/>
      <c r="D3080" s="377"/>
      <c r="E3080" s="377"/>
      <c r="F3080" s="377"/>
      <c r="G3080" s="377"/>
      <c r="H3080" s="377"/>
      <c r="I3080" s="377"/>
      <c r="J3080" s="377"/>
      <c r="K3080" s="377"/>
      <c r="L3080" s="377"/>
      <c r="M3080" s="377"/>
      <c r="N3080" s="377"/>
      <c r="O3080" s="377"/>
      <c r="P3080" s="377"/>
      <c r="Q3080" s="377"/>
      <c r="R3080" s="377"/>
      <c r="S3080" s="42"/>
      <c r="T3080" s="42"/>
      <c r="U3080" s="42"/>
      <c r="V3080" s="377">
        <f>IPMT('Assumptions (T&amp;D)'!$B$97,Model!W$1,'Assumptions (T&amp;D)'!$B$100,Model!$V$3006)</f>
        <v>-7.1422653126443275E-2</v>
      </c>
      <c r="W3080" s="377">
        <f>IPMT('Assumptions (T&amp;D)'!$B$97,Model!X$1,'Assumptions (T&amp;D)'!$B$100,Model!$V$3006)</f>
        <v>-6.8049994423178578E-2</v>
      </c>
      <c r="X3080" s="377">
        <f>IPMT('Assumptions (T&amp;D)'!$B$97,Model!Y$1,'Assumptions (T&amp;D)'!$B$100,Model!$V$3006)</f>
        <v>-6.4517134431508819E-2</v>
      </c>
      <c r="Y3080" s="377">
        <f>IPMT('Assumptions (T&amp;D)'!$B$97,Model!Z$1,'Assumptions (T&amp;D)'!$B$100,Model!$V$3006)</f>
        <v>-6.0816463590234765E-2</v>
      </c>
      <c r="Z3080" s="377">
        <f>IPMT('Assumptions (T&amp;D)'!$B$97,Model!AA$1,'Assumptions (T&amp;D)'!$B$100,Model!$V$3006)</f>
        <v>-5.6940010884000171E-2</v>
      </c>
      <c r="AA3080" s="377">
        <f>IPMT('Assumptions (T&amp;D)'!$B$97,Model!AB$1,'Assumptions (T&amp;D)'!$B$100,Model!$V$3006)</f>
        <v>-5.2879426674219451E-2</v>
      </c>
      <c r="AB3080" s="377">
        <f>IPMT('Assumptions (T&amp;D)'!$B$97,Model!AC$1,'Assumptions (T&amp;D)'!$B$100,Model!$V$3006)</f>
        <v>-4.8625964714474133E-2</v>
      </c>
      <c r="AC3080" s="377">
        <f>IPMT('Assumptions (T&amp;D)'!$B$97,Model!AD$1,'Assumptions (T&amp;D)'!$B$100,Model!$V$3006)</f>
        <v>-4.4170463311640915E-2</v>
      </c>
      <c r="AD3080" s="377">
        <f>IPMT('Assumptions (T&amp;D)'!$B$97,Model!AE$1,'Assumptions (T&amp;D)'!$B$100,Model!$V$3006)</f>
        <v>-3.9503325592173129E-2</v>
      </c>
      <c r="AE3080" s="377">
        <f>IPMT('Assumptions (T&amp;D)'!$B$97,Model!AF$1,'Assumptions (T&amp;D)'!$B$100,Model!$V$3006)</f>
        <v>-3.461449883103062E-2</v>
      </c>
      <c r="AF3080" s="377">
        <f>IPMT('Assumptions (T&amp;D)'!$B$97,Model!AG$1,'Assumptions (T&amp;D)'!$B$100,Model!$V$3006)</f>
        <v>-2.9493452798733832E-2</v>
      </c>
      <c r="AG3080" s="377">
        <f>IPMT('Assumptions (T&amp;D)'!$B$97,Model!AH$1,'Assumptions (T&amp;D)'!$B$100,Model!$V$3006)</f>
        <v>-2.4129157079902958E-2</v>
      </c>
      <c r="AH3080" s="377">
        <f>IPMT('Assumptions (T&amp;D)'!$B$97,Model!AI$1,'Assumptions (T&amp;D)'!$B$100,Model!$V$3006)</f>
        <v>-1.8510057314427609E-2</v>
      </c>
      <c r="AI3080" s="377">
        <f>IPMT('Assumptions (T&amp;D)'!$B$97,Model!AJ$1,'Assumptions (T&amp;D)'!$B$100,Model!$V$3006)</f>
        <v>-1.2624050310092182E-2</v>
      </c>
      <c r="AJ3080" s="377">
        <f>IPMT('Assumptions (T&amp;D)'!$B$97,Model!AK$1,'Assumptions (T&amp;D)'!$B$100,Model!$V$3006)</f>
        <v>-6.458457973050823E-3</v>
      </c>
      <c r="AK3080" s="377"/>
      <c r="AL3080" s="377"/>
      <c r="AM3080" s="377"/>
      <c r="AN3080" s="377"/>
      <c r="AO3080" s="377"/>
      <c r="AP3080" s="377"/>
      <c r="AQ3080" s="377"/>
      <c r="AR3080" s="377"/>
      <c r="AS3080" s="377"/>
      <c r="AT3080" s="377"/>
    </row>
    <row r="3081" spans="1:54" ht="15.75" hidden="1" customHeight="1" outlineLevel="1">
      <c r="A3081" s="460"/>
      <c r="B3081" s="99"/>
      <c r="C3081" s="377"/>
      <c r="D3081" s="377"/>
      <c r="E3081" s="377"/>
      <c r="F3081" s="377"/>
      <c r="G3081" s="377"/>
      <c r="H3081" s="377"/>
      <c r="I3081" s="377"/>
      <c r="J3081" s="377"/>
      <c r="K3081" s="377"/>
      <c r="L3081" s="377"/>
      <c r="M3081" s="377"/>
      <c r="N3081" s="377"/>
      <c r="O3081" s="377"/>
      <c r="P3081" s="377"/>
      <c r="Q3081" s="377"/>
      <c r="R3081" s="377"/>
      <c r="S3081" s="42"/>
      <c r="T3081" s="42"/>
      <c r="U3081" s="42"/>
      <c r="V3081" s="42"/>
      <c r="W3081" s="377">
        <f>IPMT('Assumptions (T&amp;D)'!$B$97,Model!W$1,'Assumptions (T&amp;D)'!$B$100,Model!$W$3006)</f>
        <v>-7.1422653126443275E-2</v>
      </c>
      <c r="X3081" s="377">
        <f>IPMT('Assumptions (T&amp;D)'!$B$97,Model!X$1,'Assumptions (T&amp;D)'!$B$100,Model!$W$3006)</f>
        <v>-6.8049994423178578E-2</v>
      </c>
      <c r="Y3081" s="377">
        <f>IPMT('Assumptions (T&amp;D)'!$B$97,Model!Y$1,'Assumptions (T&amp;D)'!$B$100,Model!$W$3006)</f>
        <v>-6.4517134431508819E-2</v>
      </c>
      <c r="Z3081" s="377">
        <f>IPMT('Assumptions (T&amp;D)'!$B$97,Model!Z$1,'Assumptions (T&amp;D)'!$B$100,Model!$W$3006)</f>
        <v>-6.0816463590234765E-2</v>
      </c>
      <c r="AA3081" s="377">
        <f>IPMT('Assumptions (T&amp;D)'!$B$97,Model!AA$1,'Assumptions (T&amp;D)'!$B$100,Model!$W$3006)</f>
        <v>-5.6940010884000171E-2</v>
      </c>
      <c r="AB3081" s="377">
        <f>IPMT('Assumptions (T&amp;D)'!$B$97,Model!AB$1,'Assumptions (T&amp;D)'!$B$100,Model!$W$3006)</f>
        <v>-5.2879426674219451E-2</v>
      </c>
      <c r="AC3081" s="377">
        <f>IPMT('Assumptions (T&amp;D)'!$B$97,Model!AC$1,'Assumptions (T&amp;D)'!$B$100,Model!$W$3006)</f>
        <v>-4.8625964714474133E-2</v>
      </c>
      <c r="AD3081" s="377">
        <f>IPMT('Assumptions (T&amp;D)'!$B$97,Model!AD$1,'Assumptions (T&amp;D)'!$B$100,Model!$W$3006)</f>
        <v>-4.4170463311640915E-2</v>
      </c>
      <c r="AE3081" s="377">
        <f>IPMT('Assumptions (T&amp;D)'!$B$97,Model!AE$1,'Assumptions (T&amp;D)'!$B$100,Model!$W$3006)</f>
        <v>-3.9503325592173129E-2</v>
      </c>
      <c r="AF3081" s="377">
        <f>IPMT('Assumptions (T&amp;D)'!$B$97,Model!AF$1,'Assumptions (T&amp;D)'!$B$100,Model!$W$3006)</f>
        <v>-3.461449883103062E-2</v>
      </c>
      <c r="AG3081" s="377">
        <f>IPMT('Assumptions (T&amp;D)'!$B$97,Model!AG$1,'Assumptions (T&amp;D)'!$B$100,Model!$W$3006)</f>
        <v>-2.9493452798733832E-2</v>
      </c>
      <c r="AH3081" s="377">
        <f>IPMT('Assumptions (T&amp;D)'!$B$97,Model!AH$1,'Assumptions (T&amp;D)'!$B$100,Model!$W$3006)</f>
        <v>-2.4129157079902958E-2</v>
      </c>
      <c r="AI3081" s="377">
        <f>IPMT('Assumptions (T&amp;D)'!$B$97,Model!AI$1,'Assumptions (T&amp;D)'!$B$100,Model!$W$3006)</f>
        <v>-1.8510057314427609E-2</v>
      </c>
      <c r="AJ3081" s="377">
        <f>IPMT('Assumptions (T&amp;D)'!$B$97,Model!AJ$1,'Assumptions (T&amp;D)'!$B$100,Model!$W$3006)</f>
        <v>-1.2624050310092182E-2</v>
      </c>
      <c r="AK3081" s="377">
        <f>IPMT('Assumptions (T&amp;D)'!$B$97,Model!AK$1,'Assumptions (T&amp;D)'!$B$100,Model!$W$3006)</f>
        <v>-6.458457973050823E-3</v>
      </c>
      <c r="AL3081" s="377"/>
      <c r="AM3081" s="377"/>
      <c r="AN3081" s="377"/>
      <c r="AO3081" s="377"/>
      <c r="AP3081" s="377"/>
      <c r="AQ3081" s="377"/>
      <c r="AR3081" s="377"/>
      <c r="AS3081" s="377"/>
      <c r="AT3081" s="377"/>
      <c r="AU3081" s="377"/>
    </row>
    <row r="3082" spans="1:54" ht="15.75" hidden="1" customHeight="1" outlineLevel="1">
      <c r="A3082" s="460"/>
      <c r="B3082" s="99"/>
      <c r="C3082" s="377"/>
      <c r="D3082" s="377"/>
      <c r="E3082" s="377"/>
      <c r="F3082" s="377"/>
      <c r="G3082" s="377"/>
      <c r="H3082" s="377"/>
      <c r="I3082" s="377"/>
      <c r="J3082" s="377"/>
      <c r="K3082" s="377"/>
      <c r="L3082" s="377"/>
      <c r="M3082" s="377"/>
      <c r="N3082" s="377"/>
      <c r="O3082" s="377"/>
      <c r="P3082" s="377"/>
      <c r="Q3082" s="377"/>
      <c r="R3082" s="377"/>
      <c r="S3082" s="42"/>
      <c r="T3082" s="42"/>
      <c r="U3082" s="42"/>
      <c r="V3082" s="42"/>
      <c r="W3082" s="86"/>
      <c r="X3082" s="377">
        <f>IPMT('Assumptions (T&amp;D)'!$B$97,Model!W$1,'Assumptions (T&amp;D)'!$B$100,Model!$X$3006)</f>
        <v>-7.1422653126443275E-2</v>
      </c>
      <c r="Y3082" s="377">
        <f>IPMT('Assumptions (T&amp;D)'!$B$97,Model!X$1,'Assumptions (T&amp;D)'!$B$100,Model!$X$3006)</f>
        <v>-6.8049994423178578E-2</v>
      </c>
      <c r="Z3082" s="377">
        <f>IPMT('Assumptions (T&amp;D)'!$B$97,Model!Y$1,'Assumptions (T&amp;D)'!$B$100,Model!$X$3006)</f>
        <v>-6.4517134431508819E-2</v>
      </c>
      <c r="AA3082" s="377">
        <f>IPMT('Assumptions (T&amp;D)'!$B$97,Model!Z$1,'Assumptions (T&amp;D)'!$B$100,Model!$X$3006)</f>
        <v>-6.0816463590234765E-2</v>
      </c>
      <c r="AB3082" s="377">
        <f>IPMT('Assumptions (T&amp;D)'!$B$97,Model!AA$1,'Assumptions (T&amp;D)'!$B$100,Model!$X$3006)</f>
        <v>-5.6940010884000171E-2</v>
      </c>
      <c r="AC3082" s="377">
        <f>IPMT('Assumptions (T&amp;D)'!$B$97,Model!AB$1,'Assumptions (T&amp;D)'!$B$100,Model!$X$3006)</f>
        <v>-5.2879426674219451E-2</v>
      </c>
      <c r="AD3082" s="377">
        <f>IPMT('Assumptions (T&amp;D)'!$B$97,Model!AC$1,'Assumptions (T&amp;D)'!$B$100,Model!$X$3006)</f>
        <v>-4.8625964714474133E-2</v>
      </c>
      <c r="AE3082" s="377">
        <f>IPMT('Assumptions (T&amp;D)'!$B$97,Model!AD$1,'Assumptions (T&amp;D)'!$B$100,Model!$X$3006)</f>
        <v>-4.4170463311640915E-2</v>
      </c>
      <c r="AF3082" s="377">
        <f>IPMT('Assumptions (T&amp;D)'!$B$97,Model!AE$1,'Assumptions (T&amp;D)'!$B$100,Model!$X$3006)</f>
        <v>-3.9503325592173129E-2</v>
      </c>
      <c r="AG3082" s="377">
        <f>IPMT('Assumptions (T&amp;D)'!$B$97,Model!AF$1,'Assumptions (T&amp;D)'!$B$100,Model!$X$3006)</f>
        <v>-3.461449883103062E-2</v>
      </c>
      <c r="AH3082" s="377">
        <f>IPMT('Assumptions (T&amp;D)'!$B$97,Model!AG$1,'Assumptions (T&amp;D)'!$B$100,Model!$X$3006)</f>
        <v>-2.9493452798733832E-2</v>
      </c>
      <c r="AI3082" s="377">
        <f>IPMT('Assumptions (T&amp;D)'!$B$97,Model!AH$1,'Assumptions (T&amp;D)'!$B$100,Model!$X$3006)</f>
        <v>-2.4129157079902958E-2</v>
      </c>
      <c r="AJ3082" s="377">
        <f>IPMT('Assumptions (T&amp;D)'!$B$97,Model!AI$1,'Assumptions (T&amp;D)'!$B$100,Model!$X$3006)</f>
        <v>-1.8510057314427609E-2</v>
      </c>
      <c r="AK3082" s="377">
        <f>IPMT('Assumptions (T&amp;D)'!$B$97,Model!AJ$1,'Assumptions (T&amp;D)'!$B$100,Model!$X$3006)</f>
        <v>-1.2624050310092182E-2</v>
      </c>
      <c r="AL3082" s="377">
        <f>IPMT('Assumptions (T&amp;D)'!$B$97,Model!AK$1,'Assumptions (T&amp;D)'!$B$100,Model!$X$3006)</f>
        <v>-6.458457973050823E-3</v>
      </c>
      <c r="AM3082" s="377"/>
      <c r="AN3082" s="377"/>
      <c r="AO3082" s="377"/>
      <c r="AP3082" s="377"/>
      <c r="AQ3082" s="377"/>
      <c r="AR3082" s="377"/>
      <c r="AS3082" s="377"/>
      <c r="AT3082" s="377"/>
      <c r="AU3082" s="377"/>
      <c r="AV3082" s="377"/>
    </row>
    <row r="3083" spans="1:54" ht="15.75" hidden="1" customHeight="1" outlineLevel="1">
      <c r="A3083" s="460"/>
      <c r="B3083" s="99"/>
      <c r="C3083" s="377"/>
      <c r="D3083" s="377"/>
      <c r="E3083" s="377"/>
      <c r="F3083" s="377"/>
      <c r="G3083" s="377"/>
      <c r="H3083" s="377"/>
      <c r="I3083" s="377"/>
      <c r="J3083" s="377"/>
      <c r="K3083" s="377"/>
      <c r="L3083" s="377"/>
      <c r="M3083" s="377"/>
      <c r="N3083" s="377"/>
      <c r="O3083" s="377"/>
      <c r="P3083" s="377"/>
      <c r="Q3083" s="377"/>
      <c r="R3083" s="377"/>
      <c r="S3083" s="42"/>
      <c r="T3083" s="42"/>
      <c r="U3083" s="42"/>
      <c r="V3083" s="42"/>
      <c r="W3083" s="86"/>
      <c r="Y3083" s="377">
        <f>IPMT('Assumptions (T&amp;D)'!$B$97,Model!W$1,'Assumptions (T&amp;D)'!$B$100,Model!$Y$3006)</f>
        <v>-7.1422653126443275E-2</v>
      </c>
      <c r="Z3083" s="377">
        <f>IPMT('Assumptions (T&amp;D)'!$B$97,Model!X$1,'Assumptions (T&amp;D)'!$B$100,Model!$Y$3006)</f>
        <v>-6.8049994423178578E-2</v>
      </c>
      <c r="AA3083" s="377">
        <f>IPMT('Assumptions (T&amp;D)'!$B$97,Model!Y$1,'Assumptions (T&amp;D)'!$B$100,Model!$Y$3006)</f>
        <v>-6.4517134431508819E-2</v>
      </c>
      <c r="AB3083" s="377">
        <f>IPMT('Assumptions (T&amp;D)'!$B$97,Model!Z$1,'Assumptions (T&amp;D)'!$B$100,Model!$Y$3006)</f>
        <v>-6.0816463590234765E-2</v>
      </c>
      <c r="AC3083" s="377">
        <f>IPMT('Assumptions (T&amp;D)'!$B$97,Model!AA$1,'Assumptions (T&amp;D)'!$B$100,Model!$Y$3006)</f>
        <v>-5.6940010884000171E-2</v>
      </c>
      <c r="AD3083" s="377">
        <f>IPMT('Assumptions (T&amp;D)'!$B$97,Model!AB$1,'Assumptions (T&amp;D)'!$B$100,Model!$Y$3006)</f>
        <v>-5.2879426674219451E-2</v>
      </c>
      <c r="AE3083" s="377">
        <f>IPMT('Assumptions (T&amp;D)'!$B$97,Model!AC$1,'Assumptions (T&amp;D)'!$B$100,Model!$Y$3006)</f>
        <v>-4.8625964714474133E-2</v>
      </c>
      <c r="AF3083" s="377">
        <f>IPMT('Assumptions (T&amp;D)'!$B$97,Model!AD$1,'Assumptions (T&amp;D)'!$B$100,Model!$Y$3006)</f>
        <v>-4.4170463311640915E-2</v>
      </c>
      <c r="AG3083" s="377">
        <f>IPMT('Assumptions (T&amp;D)'!$B$97,Model!AE$1,'Assumptions (T&amp;D)'!$B$100,Model!$Y$3006)</f>
        <v>-3.9503325592173129E-2</v>
      </c>
      <c r="AH3083" s="377">
        <f>IPMT('Assumptions (T&amp;D)'!$B$97,Model!AF$1,'Assumptions (T&amp;D)'!$B$100,Model!$Y$3006)</f>
        <v>-3.461449883103062E-2</v>
      </c>
      <c r="AI3083" s="377">
        <f>IPMT('Assumptions (T&amp;D)'!$B$97,Model!AG$1,'Assumptions (T&amp;D)'!$B$100,Model!$Y$3006)</f>
        <v>-2.9493452798733832E-2</v>
      </c>
      <c r="AJ3083" s="377">
        <f>IPMT('Assumptions (T&amp;D)'!$B$97,Model!AH$1,'Assumptions (T&amp;D)'!$B$100,Model!$Y$3006)</f>
        <v>-2.4129157079902958E-2</v>
      </c>
      <c r="AK3083" s="377">
        <f>IPMT('Assumptions (T&amp;D)'!$B$97,Model!AI$1,'Assumptions (T&amp;D)'!$B$100,Model!$Y$3006)</f>
        <v>-1.8510057314427609E-2</v>
      </c>
      <c r="AL3083" s="377">
        <f>IPMT('Assumptions (T&amp;D)'!$B$97,Model!AJ$1,'Assumptions (T&amp;D)'!$B$100,Model!$Y$3006)</f>
        <v>-1.2624050310092182E-2</v>
      </c>
      <c r="AM3083" s="377">
        <f>IPMT('Assumptions (T&amp;D)'!$B$97,Model!AK$1,'Assumptions (T&amp;D)'!$B$100,Model!$Y$3006)</f>
        <v>-6.458457973050823E-3</v>
      </c>
      <c r="AN3083" s="377"/>
      <c r="AO3083" s="377"/>
      <c r="AP3083" s="377"/>
      <c r="AQ3083" s="377"/>
      <c r="AR3083" s="377"/>
      <c r="AS3083" s="377"/>
      <c r="AT3083" s="377"/>
      <c r="AU3083" s="377"/>
      <c r="AV3083" s="377"/>
      <c r="AW3083" s="377"/>
    </row>
    <row r="3084" spans="1:54" ht="15.75" hidden="1" customHeight="1" outlineLevel="1">
      <c r="A3084" s="460"/>
      <c r="B3084" s="99"/>
      <c r="C3084" s="377"/>
      <c r="D3084" s="377"/>
      <c r="E3084" s="377"/>
      <c r="F3084" s="377"/>
      <c r="G3084" s="377"/>
      <c r="H3084" s="377"/>
      <c r="I3084" s="377"/>
      <c r="J3084" s="377"/>
      <c r="K3084" s="377"/>
      <c r="L3084" s="377"/>
      <c r="M3084" s="377"/>
      <c r="N3084" s="377"/>
      <c r="O3084" s="377"/>
      <c r="P3084" s="377"/>
      <c r="Q3084" s="377"/>
      <c r="R3084" s="377"/>
      <c r="S3084" s="42"/>
      <c r="T3084" s="42"/>
      <c r="U3084" s="42"/>
      <c r="V3084" s="42"/>
      <c r="W3084" s="86"/>
      <c r="Z3084" s="377">
        <f>IPMT('Assumptions (T&amp;D)'!$B$97,Model!W$1,'Assumptions (T&amp;D)'!$B$100,Model!$Z$3006)</f>
        <v>-7.1422653126443275E-2</v>
      </c>
      <c r="AA3084" s="377">
        <f>IPMT('Assumptions (T&amp;D)'!$B$97,Model!X$1,'Assumptions (T&amp;D)'!$B$100,Model!$Z$3006)</f>
        <v>-6.8049994423178578E-2</v>
      </c>
      <c r="AB3084" s="377">
        <f>IPMT('Assumptions (T&amp;D)'!$B$97,Model!Y$1,'Assumptions (T&amp;D)'!$B$100,Model!$Z$3006)</f>
        <v>-6.4517134431508819E-2</v>
      </c>
      <c r="AC3084" s="377">
        <f>IPMT('Assumptions (T&amp;D)'!$B$97,Model!Z$1,'Assumptions (T&amp;D)'!$B$100,Model!$Z$3006)</f>
        <v>-6.0816463590234765E-2</v>
      </c>
      <c r="AD3084" s="377">
        <f>IPMT('Assumptions (T&amp;D)'!$B$97,Model!AA$1,'Assumptions (T&amp;D)'!$B$100,Model!$Z$3006)</f>
        <v>-5.6940010884000171E-2</v>
      </c>
      <c r="AE3084" s="377">
        <f>IPMT('Assumptions (T&amp;D)'!$B$97,Model!AB$1,'Assumptions (T&amp;D)'!$B$100,Model!$Z$3006)</f>
        <v>-5.2879426674219451E-2</v>
      </c>
      <c r="AF3084" s="377">
        <f>IPMT('Assumptions (T&amp;D)'!$B$97,Model!AC$1,'Assumptions (T&amp;D)'!$B$100,Model!$Z$3006)</f>
        <v>-4.8625964714474133E-2</v>
      </c>
      <c r="AG3084" s="377">
        <f>IPMT('Assumptions (T&amp;D)'!$B$97,Model!AD$1,'Assumptions (T&amp;D)'!$B$100,Model!$Z$3006)</f>
        <v>-4.4170463311640915E-2</v>
      </c>
      <c r="AH3084" s="377">
        <f>IPMT('Assumptions (T&amp;D)'!$B$97,Model!AE$1,'Assumptions (T&amp;D)'!$B$100,Model!$Z$3006)</f>
        <v>-3.9503325592173129E-2</v>
      </c>
      <c r="AI3084" s="377">
        <f>IPMT('Assumptions (T&amp;D)'!$B$97,Model!AF$1,'Assumptions (T&amp;D)'!$B$100,Model!$Z$3006)</f>
        <v>-3.461449883103062E-2</v>
      </c>
      <c r="AJ3084" s="377">
        <f>IPMT('Assumptions (T&amp;D)'!$B$97,Model!AG$1,'Assumptions (T&amp;D)'!$B$100,Model!$Z$3006)</f>
        <v>-2.9493452798733832E-2</v>
      </c>
      <c r="AK3084" s="377">
        <f>IPMT('Assumptions (T&amp;D)'!$B$97,Model!AH$1,'Assumptions (T&amp;D)'!$B$100,Model!$Z$3006)</f>
        <v>-2.4129157079902958E-2</v>
      </c>
      <c r="AL3084" s="377">
        <f>IPMT('Assumptions (T&amp;D)'!$B$97,Model!AI$1,'Assumptions (T&amp;D)'!$B$100,Model!$Z$3006)</f>
        <v>-1.8510057314427609E-2</v>
      </c>
      <c r="AM3084" s="377">
        <f>IPMT('Assumptions (T&amp;D)'!$B$97,Model!AJ$1,'Assumptions (T&amp;D)'!$B$100,Model!$Z$3006)</f>
        <v>-1.2624050310092182E-2</v>
      </c>
      <c r="AN3084" s="377">
        <f>IPMT('Assumptions (T&amp;D)'!$B$97,Model!AK$1,'Assumptions (T&amp;D)'!$B$100,Model!$Z$3006)</f>
        <v>-6.458457973050823E-3</v>
      </c>
      <c r="AO3084" s="377"/>
      <c r="AP3084" s="377"/>
      <c r="AQ3084" s="377"/>
      <c r="AR3084" s="377"/>
      <c r="AS3084" s="377"/>
      <c r="AT3084" s="377"/>
      <c r="AU3084" s="377"/>
      <c r="AV3084" s="377"/>
      <c r="AW3084" s="377"/>
      <c r="AX3084" s="377"/>
    </row>
    <row r="3085" spans="1:54" ht="15.75" hidden="1" customHeight="1" outlineLevel="1">
      <c r="A3085" s="460"/>
      <c r="B3085" s="99"/>
      <c r="C3085" s="377"/>
      <c r="D3085" s="377"/>
      <c r="E3085" s="377"/>
      <c r="F3085" s="377"/>
      <c r="G3085" s="377"/>
      <c r="H3085" s="377"/>
      <c r="I3085" s="377"/>
      <c r="J3085" s="377"/>
      <c r="K3085" s="377"/>
      <c r="L3085" s="377"/>
      <c r="M3085" s="377"/>
      <c r="N3085" s="377"/>
      <c r="O3085" s="377"/>
      <c r="P3085" s="377"/>
      <c r="Q3085" s="377"/>
      <c r="R3085" s="377"/>
      <c r="S3085" s="42"/>
      <c r="T3085" s="42"/>
      <c r="U3085" s="42"/>
      <c r="V3085" s="42"/>
      <c r="W3085" s="86"/>
      <c r="AA3085" s="377">
        <f>IPMT('Assumptions (T&amp;D)'!$B$97,Model!W$1,'Assumptions (T&amp;D)'!$B$100,Model!$AA$3006)</f>
        <v>-7.1422653126443275E-2</v>
      </c>
      <c r="AB3085" s="377">
        <f>IPMT('Assumptions (T&amp;D)'!$B$97,Model!X$1,'Assumptions (T&amp;D)'!$B$100,Model!$AA$3006)</f>
        <v>-6.8049994423178578E-2</v>
      </c>
      <c r="AC3085" s="377">
        <f>IPMT('Assumptions (T&amp;D)'!$B$97,Model!Y$1,'Assumptions (T&amp;D)'!$B$100,Model!$AA$3006)</f>
        <v>-6.4517134431508819E-2</v>
      </c>
      <c r="AD3085" s="377">
        <f>IPMT('Assumptions (T&amp;D)'!$B$97,Model!Z$1,'Assumptions (T&amp;D)'!$B$100,Model!$AA$3006)</f>
        <v>-6.0816463590234765E-2</v>
      </c>
      <c r="AE3085" s="377">
        <f>IPMT('Assumptions (T&amp;D)'!$B$97,Model!AA$1,'Assumptions (T&amp;D)'!$B$100,Model!$AA$3006)</f>
        <v>-5.6940010884000171E-2</v>
      </c>
      <c r="AF3085" s="377">
        <f>IPMT('Assumptions (T&amp;D)'!$B$97,Model!AB$1,'Assumptions (T&amp;D)'!$B$100,Model!$AA$3006)</f>
        <v>-5.2879426674219451E-2</v>
      </c>
      <c r="AG3085" s="377">
        <f>IPMT('Assumptions (T&amp;D)'!$B$97,Model!AC$1,'Assumptions (T&amp;D)'!$B$100,Model!$AA$3006)</f>
        <v>-4.8625964714474133E-2</v>
      </c>
      <c r="AH3085" s="377">
        <f>IPMT('Assumptions (T&amp;D)'!$B$97,Model!AD$1,'Assumptions (T&amp;D)'!$B$100,Model!$AA$3006)</f>
        <v>-4.4170463311640915E-2</v>
      </c>
      <c r="AI3085" s="377">
        <f>IPMT('Assumptions (T&amp;D)'!$B$97,Model!AE$1,'Assumptions (T&amp;D)'!$B$100,Model!$AA$3006)</f>
        <v>-3.9503325592173129E-2</v>
      </c>
      <c r="AJ3085" s="377">
        <f>IPMT('Assumptions (T&amp;D)'!$B$97,Model!AF$1,'Assumptions (T&amp;D)'!$B$100,Model!$AA$3006)</f>
        <v>-3.461449883103062E-2</v>
      </c>
      <c r="AK3085" s="377">
        <f>IPMT('Assumptions (T&amp;D)'!$B$97,Model!AG$1,'Assumptions (T&amp;D)'!$B$100,Model!$AA$3006)</f>
        <v>-2.9493452798733832E-2</v>
      </c>
      <c r="AL3085" s="377">
        <f>IPMT('Assumptions (T&amp;D)'!$B$97,Model!AH$1,'Assumptions (T&amp;D)'!$B$100,Model!$AA$3006)</f>
        <v>-2.4129157079902958E-2</v>
      </c>
      <c r="AM3085" s="377">
        <f>IPMT('Assumptions (T&amp;D)'!$B$97,Model!AI$1,'Assumptions (T&amp;D)'!$B$100,Model!$AA$3006)</f>
        <v>-1.8510057314427609E-2</v>
      </c>
      <c r="AN3085" s="377">
        <f>IPMT('Assumptions (T&amp;D)'!$B$97,Model!AJ$1,'Assumptions (T&amp;D)'!$B$100,Model!$AA$3006)</f>
        <v>-1.2624050310092182E-2</v>
      </c>
      <c r="AO3085" s="377">
        <f>IPMT('Assumptions (T&amp;D)'!$B$97,Model!AK$1,'Assumptions (T&amp;D)'!$B$100,Model!$AA$3006)</f>
        <v>-6.458457973050823E-3</v>
      </c>
      <c r="AP3085" s="377"/>
      <c r="AQ3085" s="377"/>
      <c r="AR3085" s="377"/>
      <c r="AS3085" s="377"/>
      <c r="AT3085" s="377"/>
      <c r="AU3085" s="377"/>
      <c r="AV3085" s="377"/>
      <c r="AW3085" s="377"/>
      <c r="AX3085" s="377"/>
      <c r="AY3085" s="377"/>
    </row>
    <row r="3086" spans="1:54" ht="15.75" hidden="1" customHeight="1" outlineLevel="1">
      <c r="A3086" s="460"/>
      <c r="B3086" s="99"/>
      <c r="C3086" s="377"/>
      <c r="D3086" s="377"/>
      <c r="E3086" s="377"/>
      <c r="F3086" s="377"/>
      <c r="G3086" s="377"/>
      <c r="H3086" s="377"/>
      <c r="I3086" s="377"/>
      <c r="J3086" s="377"/>
      <c r="K3086" s="377"/>
      <c r="L3086" s="377"/>
      <c r="M3086" s="377"/>
      <c r="N3086" s="377"/>
      <c r="O3086" s="377"/>
      <c r="P3086" s="377"/>
      <c r="Q3086" s="377"/>
      <c r="R3086" s="377"/>
      <c r="S3086" s="42"/>
      <c r="T3086" s="42"/>
      <c r="U3086" s="42"/>
      <c r="V3086" s="42"/>
      <c r="W3086" s="86"/>
      <c r="AB3086" s="377">
        <f>IPMT('Assumptions (T&amp;D)'!$B$97,Model!W$1,'Assumptions (T&amp;D)'!$B$100,Model!$AB$3006)</f>
        <v>-7.1422653126443275E-2</v>
      </c>
      <c r="AC3086" s="377">
        <f>IPMT('Assumptions (T&amp;D)'!$B$97,Model!X$1,'Assumptions (T&amp;D)'!$B$100,Model!$AB$3006)</f>
        <v>-6.8049994423178578E-2</v>
      </c>
      <c r="AD3086" s="377">
        <f>IPMT('Assumptions (T&amp;D)'!$B$97,Model!Y$1,'Assumptions (T&amp;D)'!$B$100,Model!$AB$3006)</f>
        <v>-6.4517134431508819E-2</v>
      </c>
      <c r="AE3086" s="377">
        <f>IPMT('Assumptions (T&amp;D)'!$B$97,Model!Z$1,'Assumptions (T&amp;D)'!$B$100,Model!$AB$3006)</f>
        <v>-6.0816463590234765E-2</v>
      </c>
      <c r="AF3086" s="377">
        <f>IPMT('Assumptions (T&amp;D)'!$B$97,Model!AA$1,'Assumptions (T&amp;D)'!$B$100,Model!$AB$3006)</f>
        <v>-5.6940010884000171E-2</v>
      </c>
      <c r="AG3086" s="377">
        <f>IPMT('Assumptions (T&amp;D)'!$B$97,Model!AB$1,'Assumptions (T&amp;D)'!$B$100,Model!$AB$3006)</f>
        <v>-5.2879426674219451E-2</v>
      </c>
      <c r="AH3086" s="377">
        <f>IPMT('Assumptions (T&amp;D)'!$B$97,Model!AC$1,'Assumptions (T&amp;D)'!$B$100,Model!$AB$3006)</f>
        <v>-4.8625964714474133E-2</v>
      </c>
      <c r="AI3086" s="377">
        <f>IPMT('Assumptions (T&amp;D)'!$B$97,Model!AD$1,'Assumptions (T&amp;D)'!$B$100,Model!$AB$3006)</f>
        <v>-4.4170463311640915E-2</v>
      </c>
      <c r="AJ3086" s="377">
        <f>IPMT('Assumptions (T&amp;D)'!$B$97,Model!AE$1,'Assumptions (T&amp;D)'!$B$100,Model!$AB$3006)</f>
        <v>-3.9503325592173129E-2</v>
      </c>
      <c r="AK3086" s="377">
        <f>IPMT('Assumptions (T&amp;D)'!$B$97,Model!AF$1,'Assumptions (T&amp;D)'!$B$100,Model!$AB$3006)</f>
        <v>-3.461449883103062E-2</v>
      </c>
      <c r="AL3086" s="377">
        <f>IPMT('Assumptions (T&amp;D)'!$B$97,Model!AG$1,'Assumptions (T&amp;D)'!$B$100,Model!$AB$3006)</f>
        <v>-2.9493452798733832E-2</v>
      </c>
      <c r="AM3086" s="377">
        <f>IPMT('Assumptions (T&amp;D)'!$B$97,Model!AH$1,'Assumptions (T&amp;D)'!$B$100,Model!$AB$3006)</f>
        <v>-2.4129157079902958E-2</v>
      </c>
      <c r="AN3086" s="377">
        <f>IPMT('Assumptions (T&amp;D)'!$B$97,Model!AI$1,'Assumptions (T&amp;D)'!$B$100,Model!$AB$3006)</f>
        <v>-1.8510057314427609E-2</v>
      </c>
      <c r="AO3086" s="377">
        <f>IPMT('Assumptions (T&amp;D)'!$B$97,Model!AJ$1,'Assumptions (T&amp;D)'!$B$100,Model!$AB$3006)</f>
        <v>-1.2624050310092182E-2</v>
      </c>
      <c r="AP3086" s="377">
        <f>IPMT('Assumptions (T&amp;D)'!$B$97,Model!AK$1,'Assumptions (T&amp;D)'!$B$100,Model!$AB$3006)</f>
        <v>-6.458457973050823E-3</v>
      </c>
      <c r="AQ3086" s="377"/>
      <c r="AR3086" s="377"/>
      <c r="AS3086" s="377"/>
      <c r="AT3086" s="377"/>
      <c r="AU3086" s="377"/>
      <c r="AV3086" s="377"/>
      <c r="AW3086" s="377"/>
      <c r="AX3086" s="377"/>
      <c r="AY3086" s="377"/>
      <c r="AZ3086" s="377"/>
    </row>
    <row r="3087" spans="1:54" ht="15.75" hidden="1" customHeight="1" outlineLevel="1">
      <c r="A3087" s="460"/>
      <c r="B3087" s="99"/>
      <c r="C3087" s="377"/>
      <c r="D3087" s="377"/>
      <c r="E3087" s="377"/>
      <c r="F3087" s="377"/>
      <c r="G3087" s="377"/>
      <c r="H3087" s="377"/>
      <c r="I3087" s="377"/>
      <c r="J3087" s="377"/>
      <c r="K3087" s="377"/>
      <c r="L3087" s="377"/>
      <c r="M3087" s="377"/>
      <c r="N3087" s="377"/>
      <c r="O3087" s="377"/>
      <c r="P3087" s="377"/>
      <c r="Q3087" s="377"/>
      <c r="R3087" s="377"/>
      <c r="S3087" s="42"/>
      <c r="T3087" s="42"/>
      <c r="U3087" s="42"/>
      <c r="V3087" s="42"/>
      <c r="W3087" s="86"/>
      <c r="AC3087" s="377">
        <f>IPMT('Assumptions (T&amp;D)'!$B$97,Model!W$1,'Assumptions (T&amp;D)'!$B$100,Model!$AC$3006)</f>
        <v>-7.1422653126443275E-2</v>
      </c>
      <c r="AD3087" s="377">
        <f>IPMT('Assumptions (T&amp;D)'!$B$97,Model!X$1,'Assumptions (T&amp;D)'!$B$100,Model!$AC$3006)</f>
        <v>-6.8049994423178578E-2</v>
      </c>
      <c r="AE3087" s="377">
        <f>IPMT('Assumptions (T&amp;D)'!$B$97,Model!Y$1,'Assumptions (T&amp;D)'!$B$100,Model!$AC$3006)</f>
        <v>-6.4517134431508819E-2</v>
      </c>
      <c r="AF3087" s="377">
        <f>IPMT('Assumptions (T&amp;D)'!$B$97,Model!Z$1,'Assumptions (T&amp;D)'!$B$100,Model!$AC$3006)</f>
        <v>-6.0816463590234765E-2</v>
      </c>
      <c r="AG3087" s="377">
        <f>IPMT('Assumptions (T&amp;D)'!$B$97,Model!AA$1,'Assumptions (T&amp;D)'!$B$100,Model!$AC$3006)</f>
        <v>-5.6940010884000171E-2</v>
      </c>
      <c r="AH3087" s="377">
        <f>IPMT('Assumptions (T&amp;D)'!$B$97,Model!AB$1,'Assumptions (T&amp;D)'!$B$100,Model!$AC$3006)</f>
        <v>-5.2879426674219451E-2</v>
      </c>
      <c r="AI3087" s="377">
        <f>IPMT('Assumptions (T&amp;D)'!$B$97,Model!AC$1,'Assumptions (T&amp;D)'!$B$100,Model!$AC$3006)</f>
        <v>-4.8625964714474133E-2</v>
      </c>
      <c r="AJ3087" s="377">
        <f>IPMT('Assumptions (T&amp;D)'!$B$97,Model!AD$1,'Assumptions (T&amp;D)'!$B$100,Model!$AC$3006)</f>
        <v>-4.4170463311640915E-2</v>
      </c>
      <c r="AK3087" s="377">
        <f>IPMT('Assumptions (T&amp;D)'!$B$97,Model!AE$1,'Assumptions (T&amp;D)'!$B$100,Model!$AC$3006)</f>
        <v>-3.9503325592173129E-2</v>
      </c>
      <c r="AL3087" s="377">
        <f>IPMT('Assumptions (T&amp;D)'!$B$97,Model!AF$1,'Assumptions (T&amp;D)'!$B$100,Model!$AC$3006)</f>
        <v>-3.461449883103062E-2</v>
      </c>
      <c r="AM3087" s="377">
        <f>IPMT('Assumptions (T&amp;D)'!$B$97,Model!AG$1,'Assumptions (T&amp;D)'!$B$100,Model!$AC$3006)</f>
        <v>-2.9493452798733832E-2</v>
      </c>
      <c r="AN3087" s="377">
        <f>IPMT('Assumptions (T&amp;D)'!$B$97,Model!AH$1,'Assumptions (T&amp;D)'!$B$100,Model!$AC$3006)</f>
        <v>-2.4129157079902958E-2</v>
      </c>
      <c r="AO3087" s="377">
        <f>IPMT('Assumptions (T&amp;D)'!$B$97,Model!AI$1,'Assumptions (T&amp;D)'!$B$100,Model!$AC$3006)</f>
        <v>-1.8510057314427609E-2</v>
      </c>
      <c r="AP3087" s="377">
        <f>IPMT('Assumptions (T&amp;D)'!$B$97,Model!AJ$1,'Assumptions (T&amp;D)'!$B$100,Model!$AC$3006)</f>
        <v>-1.2624050310092182E-2</v>
      </c>
      <c r="AQ3087" s="377">
        <f>IPMT('Assumptions (T&amp;D)'!$B$97,Model!AK$1,'Assumptions (T&amp;D)'!$B$100,Model!$AC$3006)</f>
        <v>-6.458457973050823E-3</v>
      </c>
      <c r="AR3087" s="377"/>
      <c r="AS3087" s="377"/>
      <c r="AT3087" s="377"/>
      <c r="AU3087" s="377"/>
      <c r="AV3087" s="377"/>
      <c r="AW3087" s="377"/>
      <c r="AX3087" s="377"/>
      <c r="AY3087" s="377"/>
      <c r="AZ3087" s="377"/>
      <c r="BA3087" s="377"/>
    </row>
    <row r="3088" spans="1:54" ht="15.75" hidden="1" customHeight="1" outlineLevel="1">
      <c r="A3088" s="460"/>
      <c r="B3088" s="99"/>
      <c r="C3088" s="377"/>
      <c r="D3088" s="377"/>
      <c r="E3088" s="377"/>
      <c r="F3088" s="377"/>
      <c r="G3088" s="377"/>
      <c r="H3088" s="377"/>
      <c r="I3088" s="377"/>
      <c r="J3088" s="377"/>
      <c r="K3088" s="377"/>
      <c r="L3088" s="377"/>
      <c r="M3088" s="377"/>
      <c r="N3088" s="377"/>
      <c r="O3088" s="377"/>
      <c r="P3088" s="377"/>
      <c r="Q3088" s="377"/>
      <c r="R3088" s="377"/>
      <c r="S3088" s="42"/>
      <c r="T3088" s="42"/>
      <c r="U3088" s="42"/>
      <c r="V3088" s="42"/>
      <c r="W3088" s="86"/>
      <c r="AD3088" s="377">
        <f>IPMT('Assumptions (T&amp;D)'!$B$97,Model!W$1,'Assumptions (T&amp;D)'!$B$100,Model!$AD$3006)</f>
        <v>-7.1422653126443275E-2</v>
      </c>
      <c r="AE3088" s="377">
        <f>IPMT('Assumptions (T&amp;D)'!$B$97,Model!X$1,'Assumptions (T&amp;D)'!$B$100,Model!$AD$3006)</f>
        <v>-6.8049994423178578E-2</v>
      </c>
      <c r="AF3088" s="377">
        <f>IPMT('Assumptions (T&amp;D)'!$B$97,Model!Y$1,'Assumptions (T&amp;D)'!$B$100,Model!$AD$3006)</f>
        <v>-6.4517134431508819E-2</v>
      </c>
      <c r="AG3088" s="377">
        <f>IPMT('Assumptions (T&amp;D)'!$B$97,Model!Z$1,'Assumptions (T&amp;D)'!$B$100,Model!$AD$3006)</f>
        <v>-6.0816463590234765E-2</v>
      </c>
      <c r="AH3088" s="377">
        <f>IPMT('Assumptions (T&amp;D)'!$B$97,Model!AA$1,'Assumptions (T&amp;D)'!$B$100,Model!$AD$3006)</f>
        <v>-5.6940010884000171E-2</v>
      </c>
      <c r="AI3088" s="377">
        <f>IPMT('Assumptions (T&amp;D)'!$B$97,Model!AB$1,'Assumptions (T&amp;D)'!$B$100,Model!$AD$3006)</f>
        <v>-5.2879426674219451E-2</v>
      </c>
      <c r="AJ3088" s="377">
        <f>IPMT('Assumptions (T&amp;D)'!$B$97,Model!AC$1,'Assumptions (T&amp;D)'!$B$100,Model!$AD$3006)</f>
        <v>-4.8625964714474133E-2</v>
      </c>
      <c r="AK3088" s="377">
        <f>IPMT('Assumptions (T&amp;D)'!$B$97,Model!AD$1,'Assumptions (T&amp;D)'!$B$100,Model!$AD$3006)</f>
        <v>-4.4170463311640915E-2</v>
      </c>
      <c r="AL3088" s="377">
        <f>IPMT('Assumptions (T&amp;D)'!$B$97,Model!AE$1,'Assumptions (T&amp;D)'!$B$100,Model!$AD$3006)</f>
        <v>-3.9503325592173129E-2</v>
      </c>
      <c r="AM3088" s="377">
        <f>IPMT('Assumptions (T&amp;D)'!$B$97,Model!AF$1,'Assumptions (T&amp;D)'!$B$100,Model!$AD$3006)</f>
        <v>-3.461449883103062E-2</v>
      </c>
      <c r="AN3088" s="377">
        <f>IPMT('Assumptions (T&amp;D)'!$B$97,Model!AG$1,'Assumptions (T&amp;D)'!$B$100,Model!$AD$3006)</f>
        <v>-2.9493452798733832E-2</v>
      </c>
      <c r="AO3088" s="377">
        <f>IPMT('Assumptions (T&amp;D)'!$B$97,Model!AH$1,'Assumptions (T&amp;D)'!$B$100,Model!$AD$3006)</f>
        <v>-2.4129157079902958E-2</v>
      </c>
      <c r="AP3088" s="377">
        <f>IPMT('Assumptions (T&amp;D)'!$B$97,Model!AI$1,'Assumptions (T&amp;D)'!$B$100,Model!$AD$3006)</f>
        <v>-1.8510057314427609E-2</v>
      </c>
      <c r="AQ3088" s="377">
        <f>IPMT('Assumptions (T&amp;D)'!$B$97,Model!AJ$1,'Assumptions (T&amp;D)'!$B$100,Model!$AD$3006)</f>
        <v>-1.2624050310092182E-2</v>
      </c>
      <c r="AR3088" s="377">
        <f>IPMT('Assumptions (T&amp;D)'!$B$97,Model!AK$1,'Assumptions (T&amp;D)'!$B$100,Model!$AD$3006)</f>
        <v>-6.458457973050823E-3</v>
      </c>
      <c r="AS3088" s="377"/>
      <c r="AT3088" s="377"/>
      <c r="AU3088" s="377"/>
      <c r="AV3088" s="377"/>
      <c r="AW3088" s="377"/>
      <c r="AX3088" s="377"/>
      <c r="AY3088" s="377"/>
      <c r="AZ3088" s="377"/>
      <c r="BA3088" s="377"/>
      <c r="BB3088" s="377"/>
    </row>
    <row r="3089" spans="1:70" ht="15.75" hidden="1" customHeight="1" outlineLevel="1">
      <c r="A3089" s="460"/>
      <c r="B3089" s="99"/>
      <c r="C3089" s="377"/>
      <c r="D3089" s="377"/>
      <c r="E3089" s="377"/>
      <c r="F3089" s="377"/>
      <c r="G3089" s="377"/>
      <c r="H3089" s="377"/>
      <c r="I3089" s="377"/>
      <c r="J3089" s="377"/>
      <c r="K3089" s="377"/>
      <c r="L3089" s="377"/>
      <c r="M3089" s="377"/>
      <c r="N3089" s="377"/>
      <c r="O3089" s="377"/>
      <c r="P3089" s="377"/>
      <c r="Q3089" s="377"/>
      <c r="R3089" s="377"/>
      <c r="S3089" s="42"/>
      <c r="T3089" s="42"/>
      <c r="U3089" s="42"/>
      <c r="V3089" s="42"/>
      <c r="W3089" s="86"/>
      <c r="AE3089" s="377">
        <f>IPMT('Assumptions (T&amp;D)'!$B$97,Model!W$1,'Assumptions (T&amp;D)'!$B$100,Model!$AE$3006)</f>
        <v>-7.1422653126443275E-2</v>
      </c>
      <c r="AF3089" s="377">
        <f>IPMT('Assumptions (T&amp;D)'!$B$97,Model!X$1,'Assumptions (T&amp;D)'!$B$100,Model!$AE$3006)</f>
        <v>-6.8049994423178578E-2</v>
      </c>
      <c r="AG3089" s="377">
        <f>IPMT('Assumptions (T&amp;D)'!$B$97,Model!Y$1,'Assumptions (T&amp;D)'!$B$100,Model!$AE$3006)</f>
        <v>-6.4517134431508819E-2</v>
      </c>
      <c r="AH3089" s="377">
        <f>IPMT('Assumptions (T&amp;D)'!$B$97,Model!Z$1,'Assumptions (T&amp;D)'!$B$100,Model!$AE$3006)</f>
        <v>-6.0816463590234765E-2</v>
      </c>
      <c r="AI3089" s="377">
        <f>IPMT('Assumptions (T&amp;D)'!$B$97,Model!AA$1,'Assumptions (T&amp;D)'!$B$100,Model!$AE$3006)</f>
        <v>-5.6940010884000171E-2</v>
      </c>
      <c r="AJ3089" s="377">
        <f>IPMT('Assumptions (T&amp;D)'!$B$97,Model!AB$1,'Assumptions (T&amp;D)'!$B$100,Model!$AE$3006)</f>
        <v>-5.2879426674219451E-2</v>
      </c>
      <c r="AK3089" s="377">
        <f>IPMT('Assumptions (T&amp;D)'!$B$97,Model!AC$1,'Assumptions (T&amp;D)'!$B$100,Model!$AE$3006)</f>
        <v>-4.8625964714474133E-2</v>
      </c>
      <c r="AL3089" s="377">
        <f>IPMT('Assumptions (T&amp;D)'!$B$97,Model!AD$1,'Assumptions (T&amp;D)'!$B$100,Model!$AE$3006)</f>
        <v>-4.4170463311640915E-2</v>
      </c>
      <c r="AM3089" s="377">
        <f>IPMT('Assumptions (T&amp;D)'!$B$97,Model!AE$1,'Assumptions (T&amp;D)'!$B$100,Model!$AE$3006)</f>
        <v>-3.9503325592173129E-2</v>
      </c>
      <c r="AN3089" s="377">
        <f>IPMT('Assumptions (T&amp;D)'!$B$97,Model!AF$1,'Assumptions (T&amp;D)'!$B$100,Model!$AE$3006)</f>
        <v>-3.461449883103062E-2</v>
      </c>
      <c r="AO3089" s="377">
        <f>IPMT('Assumptions (T&amp;D)'!$B$97,Model!AG$1,'Assumptions (T&amp;D)'!$B$100,Model!$AE$3006)</f>
        <v>-2.9493452798733832E-2</v>
      </c>
      <c r="AP3089" s="377">
        <f>IPMT('Assumptions (T&amp;D)'!$B$97,Model!AH$1,'Assumptions (T&amp;D)'!$B$100,Model!$AE$3006)</f>
        <v>-2.4129157079902958E-2</v>
      </c>
      <c r="AQ3089" s="377">
        <f>IPMT('Assumptions (T&amp;D)'!$B$97,Model!AI$1,'Assumptions (T&amp;D)'!$B$100,Model!$AE$3006)</f>
        <v>-1.8510057314427609E-2</v>
      </c>
      <c r="AR3089" s="377">
        <f>IPMT('Assumptions (T&amp;D)'!$B$97,Model!AJ$1,'Assumptions (T&amp;D)'!$B$100,Model!$AE$3006)</f>
        <v>-1.2624050310092182E-2</v>
      </c>
      <c r="AS3089" s="377">
        <f>IPMT('Assumptions (T&amp;D)'!$B$97,Model!AK$1,'Assumptions (T&amp;D)'!$B$100,Model!$AE$3006)</f>
        <v>-6.458457973050823E-3</v>
      </c>
      <c r="AT3089" s="377"/>
      <c r="AU3089" s="377"/>
      <c r="AV3089" s="377"/>
      <c r="AW3089" s="377"/>
      <c r="AX3089" s="377"/>
      <c r="AY3089" s="377"/>
      <c r="AZ3089" s="377"/>
      <c r="BA3089" s="377"/>
      <c r="BB3089" s="377"/>
      <c r="BC3089" s="377"/>
    </row>
    <row r="3090" spans="1:70" ht="15.75" hidden="1" customHeight="1" outlineLevel="1">
      <c r="A3090" s="460"/>
      <c r="B3090" s="99"/>
      <c r="C3090" s="377"/>
      <c r="D3090" s="377"/>
      <c r="E3090" s="377"/>
      <c r="F3090" s="377"/>
      <c r="G3090" s="377"/>
      <c r="H3090" s="377"/>
      <c r="I3090" s="377"/>
      <c r="J3090" s="377"/>
      <c r="K3090" s="377"/>
      <c r="L3090" s="377"/>
      <c r="M3090" s="377"/>
      <c r="N3090" s="377"/>
      <c r="O3090" s="377"/>
      <c r="P3090" s="377"/>
      <c r="Q3090" s="377"/>
      <c r="R3090" s="377"/>
      <c r="S3090" s="42"/>
      <c r="T3090" s="42"/>
      <c r="U3090" s="42"/>
      <c r="V3090" s="42"/>
      <c r="W3090" s="86"/>
      <c r="AF3090" s="377">
        <f>IPMT('Assumptions (T&amp;D)'!$B$97,Model!W$1,'Assumptions (T&amp;D)'!$B$100,Model!$AF$3006)</f>
        <v>-7.1422653126443275E-2</v>
      </c>
      <c r="AG3090" s="377">
        <f>IPMT('Assumptions (T&amp;D)'!$B$97,Model!X$1,'Assumptions (T&amp;D)'!$B$100,Model!$AF$3006)</f>
        <v>-6.8049994423178578E-2</v>
      </c>
      <c r="AH3090" s="377">
        <f>IPMT('Assumptions (T&amp;D)'!$B$97,Model!Y$1,'Assumptions (T&amp;D)'!$B$100,Model!$AF$3006)</f>
        <v>-6.4517134431508819E-2</v>
      </c>
      <c r="AI3090" s="377">
        <f>IPMT('Assumptions (T&amp;D)'!$B$97,Model!Z$1,'Assumptions (T&amp;D)'!$B$100,Model!$AF$3006)</f>
        <v>-6.0816463590234765E-2</v>
      </c>
      <c r="AJ3090" s="377">
        <f>IPMT('Assumptions (T&amp;D)'!$B$97,Model!AA$1,'Assumptions (T&amp;D)'!$B$100,Model!$AF$3006)</f>
        <v>-5.6940010884000171E-2</v>
      </c>
      <c r="AK3090" s="377">
        <f>IPMT('Assumptions (T&amp;D)'!$B$97,Model!AB$1,'Assumptions (T&amp;D)'!$B$100,Model!$AF$3006)</f>
        <v>-5.2879426674219451E-2</v>
      </c>
      <c r="AL3090" s="377">
        <f>IPMT('Assumptions (T&amp;D)'!$B$97,Model!AC$1,'Assumptions (T&amp;D)'!$B$100,Model!$AF$3006)</f>
        <v>-4.8625964714474133E-2</v>
      </c>
      <c r="AM3090" s="377">
        <f>IPMT('Assumptions (T&amp;D)'!$B$97,Model!AD$1,'Assumptions (T&amp;D)'!$B$100,Model!$AF$3006)</f>
        <v>-4.4170463311640915E-2</v>
      </c>
      <c r="AN3090" s="377">
        <f>IPMT('Assumptions (T&amp;D)'!$B$97,Model!AE$1,'Assumptions (T&amp;D)'!$B$100,Model!$AF$3006)</f>
        <v>-3.9503325592173129E-2</v>
      </c>
      <c r="AO3090" s="377">
        <f>IPMT('Assumptions (T&amp;D)'!$B$97,Model!AF$1,'Assumptions (T&amp;D)'!$B$100,Model!$AF$3006)</f>
        <v>-3.461449883103062E-2</v>
      </c>
      <c r="AP3090" s="377">
        <f>IPMT('Assumptions (T&amp;D)'!$B$97,Model!AG$1,'Assumptions (T&amp;D)'!$B$100,Model!$AF$3006)</f>
        <v>-2.9493452798733832E-2</v>
      </c>
      <c r="AQ3090" s="377">
        <f>IPMT('Assumptions (T&amp;D)'!$B$97,Model!AH$1,'Assumptions (T&amp;D)'!$B$100,Model!$AF$3006)</f>
        <v>-2.4129157079902958E-2</v>
      </c>
      <c r="AR3090" s="377">
        <f>IPMT('Assumptions (T&amp;D)'!$B$97,Model!AI$1,'Assumptions (T&amp;D)'!$B$100,Model!$AF$3006)</f>
        <v>-1.8510057314427609E-2</v>
      </c>
      <c r="AS3090" s="377">
        <f>IPMT('Assumptions (T&amp;D)'!$B$97,Model!AJ$1,'Assumptions (T&amp;D)'!$B$100,Model!$AF$3006)</f>
        <v>-1.2624050310092182E-2</v>
      </c>
      <c r="AT3090" s="377">
        <f>IPMT('Assumptions (T&amp;D)'!$B$97,Model!AK$1,'Assumptions (T&amp;D)'!$B$100,Model!$AF$3006)</f>
        <v>-6.458457973050823E-3</v>
      </c>
      <c r="AU3090" s="377"/>
      <c r="AV3090" s="377"/>
      <c r="AW3090" s="377"/>
      <c r="AX3090" s="377"/>
      <c r="AY3090" s="377"/>
      <c r="AZ3090" s="377"/>
      <c r="BA3090" s="377"/>
      <c r="BB3090" s="377"/>
      <c r="BC3090" s="377"/>
      <c r="BD3090" s="377"/>
    </row>
    <row r="3091" spans="1:70" ht="15.75" hidden="1" customHeight="1" outlineLevel="1">
      <c r="A3091" s="460"/>
      <c r="B3091" s="99"/>
      <c r="C3091" s="377"/>
      <c r="D3091" s="377"/>
      <c r="E3091" s="377"/>
      <c r="F3091" s="377"/>
      <c r="G3091" s="377"/>
      <c r="H3091" s="377"/>
      <c r="I3091" s="377"/>
      <c r="J3091" s="377"/>
      <c r="K3091" s="377"/>
      <c r="L3091" s="377"/>
      <c r="M3091" s="377"/>
      <c r="N3091" s="377"/>
      <c r="O3091" s="377"/>
      <c r="P3091" s="377"/>
      <c r="Q3091" s="377"/>
      <c r="R3091" s="377"/>
      <c r="S3091" s="42"/>
      <c r="T3091" s="42"/>
      <c r="U3091" s="42"/>
      <c r="V3091" s="42"/>
      <c r="W3091" s="86"/>
      <c r="AG3091" s="377">
        <f>IPMT('Assumptions (T&amp;D)'!$B$97,Model!W$1,'Assumptions (T&amp;D)'!$B$100,Model!$AG$3006)</f>
        <v>-7.1422653126443275E-2</v>
      </c>
      <c r="AH3091" s="377">
        <f>IPMT('Assumptions (T&amp;D)'!$B$97,Model!X$1,'Assumptions (T&amp;D)'!$B$100,Model!$AG$3006)</f>
        <v>-6.8049994423178578E-2</v>
      </c>
      <c r="AI3091" s="377">
        <f>IPMT('Assumptions (T&amp;D)'!$B$97,Model!Y$1,'Assumptions (T&amp;D)'!$B$100,Model!$AG$3006)</f>
        <v>-6.4517134431508819E-2</v>
      </c>
      <c r="AJ3091" s="377">
        <f>IPMT('Assumptions (T&amp;D)'!$B$97,Model!Z$1,'Assumptions (T&amp;D)'!$B$100,Model!$AG$3006)</f>
        <v>-6.0816463590234765E-2</v>
      </c>
      <c r="AK3091" s="377">
        <f>IPMT('Assumptions (T&amp;D)'!$B$97,Model!AA$1,'Assumptions (T&amp;D)'!$B$100,Model!$AG$3006)</f>
        <v>-5.6940010884000171E-2</v>
      </c>
      <c r="AL3091" s="377">
        <f>IPMT('Assumptions (T&amp;D)'!$B$97,Model!AB$1,'Assumptions (T&amp;D)'!$B$100,Model!$AG$3006)</f>
        <v>-5.2879426674219451E-2</v>
      </c>
      <c r="AM3091" s="377">
        <f>IPMT('Assumptions (T&amp;D)'!$B$97,Model!AC$1,'Assumptions (T&amp;D)'!$B$100,Model!$AG$3006)</f>
        <v>-4.8625964714474133E-2</v>
      </c>
      <c r="AN3091" s="377">
        <f>IPMT('Assumptions (T&amp;D)'!$B$97,Model!AD$1,'Assumptions (T&amp;D)'!$B$100,Model!$AG$3006)</f>
        <v>-4.4170463311640915E-2</v>
      </c>
      <c r="AO3091" s="377">
        <f>IPMT('Assumptions (T&amp;D)'!$B$97,Model!AE$1,'Assumptions (T&amp;D)'!$B$100,Model!$AG$3006)</f>
        <v>-3.9503325592173129E-2</v>
      </c>
      <c r="AP3091" s="377">
        <f>IPMT('Assumptions (T&amp;D)'!$B$97,Model!AF$1,'Assumptions (T&amp;D)'!$B$100,Model!$AG$3006)</f>
        <v>-3.461449883103062E-2</v>
      </c>
      <c r="AQ3091" s="377">
        <f>IPMT('Assumptions (T&amp;D)'!$B$97,Model!AG$1,'Assumptions (T&amp;D)'!$B$100,Model!$AG$3006)</f>
        <v>-2.9493452798733832E-2</v>
      </c>
      <c r="AR3091" s="377">
        <f>IPMT('Assumptions (T&amp;D)'!$B$97,Model!AH$1,'Assumptions (T&amp;D)'!$B$100,Model!$AG$3006)</f>
        <v>-2.4129157079902958E-2</v>
      </c>
      <c r="AS3091" s="377">
        <f>IPMT('Assumptions (T&amp;D)'!$B$97,Model!AI$1,'Assumptions (T&amp;D)'!$B$100,Model!$AG$3006)</f>
        <v>-1.8510057314427609E-2</v>
      </c>
      <c r="AT3091" s="377">
        <f>IPMT('Assumptions (T&amp;D)'!$B$97,Model!AJ$1,'Assumptions (T&amp;D)'!$B$100,Model!$AG$3006)</f>
        <v>-1.2624050310092182E-2</v>
      </c>
      <c r="AU3091" s="377">
        <f>IPMT('Assumptions (T&amp;D)'!$B$97,Model!AK$1,'Assumptions (T&amp;D)'!$B$100,Model!$AG$3006)</f>
        <v>-6.458457973050823E-3</v>
      </c>
      <c r="AV3091" s="377"/>
      <c r="AW3091" s="377"/>
      <c r="AX3091" s="377"/>
      <c r="AY3091" s="377"/>
      <c r="AZ3091" s="377"/>
      <c r="BA3091" s="377"/>
      <c r="BB3091" s="377"/>
      <c r="BC3091" s="377"/>
      <c r="BD3091" s="377"/>
      <c r="BE3091" s="377"/>
    </row>
    <row r="3092" spans="1:70" ht="15.75" hidden="1" customHeight="1" outlineLevel="1">
      <c r="A3092" s="460"/>
      <c r="B3092" s="99"/>
      <c r="C3092" s="377"/>
      <c r="D3092" s="377"/>
      <c r="E3092" s="377"/>
      <c r="F3092" s="377"/>
      <c r="G3092" s="377"/>
      <c r="H3092" s="377"/>
      <c r="I3092" s="377"/>
      <c r="J3092" s="377"/>
      <c r="K3092" s="377"/>
      <c r="L3092" s="377"/>
      <c r="M3092" s="377"/>
      <c r="N3092" s="377"/>
      <c r="O3092" s="377"/>
      <c r="P3092" s="377"/>
      <c r="Q3092" s="377"/>
      <c r="R3092" s="377"/>
      <c r="S3092" s="42"/>
      <c r="T3092" s="42"/>
      <c r="U3092" s="42"/>
      <c r="V3092" s="42"/>
      <c r="W3092" s="86"/>
      <c r="AH3092" s="377">
        <f>IPMT('Assumptions (T&amp;D)'!$B$97,Model!W$1,'Assumptions (T&amp;D)'!$B$100,Model!$AH$3006)</f>
        <v>-7.1422653126443275E-2</v>
      </c>
      <c r="AI3092" s="377">
        <f>IPMT('Assumptions (T&amp;D)'!$B$97,Model!X$1,'Assumptions (T&amp;D)'!$B$100,Model!$AH$3006)</f>
        <v>-6.8049994423178578E-2</v>
      </c>
      <c r="AJ3092" s="377">
        <f>IPMT('Assumptions (T&amp;D)'!$B$97,Model!Y$1,'Assumptions (T&amp;D)'!$B$100,Model!$AH$3006)</f>
        <v>-6.4517134431508819E-2</v>
      </c>
      <c r="AK3092" s="377">
        <f>IPMT('Assumptions (T&amp;D)'!$B$97,Model!Z$1,'Assumptions (T&amp;D)'!$B$100,Model!$AH$3006)</f>
        <v>-6.0816463590234765E-2</v>
      </c>
      <c r="AL3092" s="377">
        <f>IPMT('Assumptions (T&amp;D)'!$B$97,Model!AA$1,'Assumptions (T&amp;D)'!$B$100,Model!$AH$3006)</f>
        <v>-5.6940010884000171E-2</v>
      </c>
      <c r="AM3092" s="377">
        <f>IPMT('Assumptions (T&amp;D)'!$B$97,Model!AB$1,'Assumptions (T&amp;D)'!$B$100,Model!$AH$3006)</f>
        <v>-5.2879426674219451E-2</v>
      </c>
      <c r="AN3092" s="377">
        <f>IPMT('Assumptions (T&amp;D)'!$B$97,Model!AC$1,'Assumptions (T&amp;D)'!$B$100,Model!$AH$3006)</f>
        <v>-4.8625964714474133E-2</v>
      </c>
      <c r="AO3092" s="377">
        <f>IPMT('Assumptions (T&amp;D)'!$B$97,Model!AD$1,'Assumptions (T&amp;D)'!$B$100,Model!$AH$3006)</f>
        <v>-4.4170463311640915E-2</v>
      </c>
      <c r="AP3092" s="377">
        <f>IPMT('Assumptions (T&amp;D)'!$B$97,Model!AE$1,'Assumptions (T&amp;D)'!$B$100,Model!$AH$3006)</f>
        <v>-3.9503325592173129E-2</v>
      </c>
      <c r="AQ3092" s="377">
        <f>IPMT('Assumptions (T&amp;D)'!$B$97,Model!AF$1,'Assumptions (T&amp;D)'!$B$100,Model!$AH$3006)</f>
        <v>-3.461449883103062E-2</v>
      </c>
      <c r="AR3092" s="377">
        <f>IPMT('Assumptions (T&amp;D)'!$B$97,Model!AG$1,'Assumptions (T&amp;D)'!$B$100,Model!$AH$3006)</f>
        <v>-2.9493452798733832E-2</v>
      </c>
      <c r="AS3092" s="377">
        <f>IPMT('Assumptions (T&amp;D)'!$B$97,Model!AH$1,'Assumptions (T&amp;D)'!$B$100,Model!$AH$3006)</f>
        <v>-2.4129157079902958E-2</v>
      </c>
      <c r="AT3092" s="377">
        <f>IPMT('Assumptions (T&amp;D)'!$B$97,Model!AI$1,'Assumptions (T&amp;D)'!$B$100,Model!$AH$3006)</f>
        <v>-1.8510057314427609E-2</v>
      </c>
      <c r="AU3092" s="377">
        <f>IPMT('Assumptions (T&amp;D)'!$B$97,Model!AJ$1,'Assumptions (T&amp;D)'!$B$100,Model!$AH$3006)</f>
        <v>-1.2624050310092182E-2</v>
      </c>
      <c r="AV3092" s="377">
        <f>IPMT('Assumptions (T&amp;D)'!$B$97,Model!AK$1,'Assumptions (T&amp;D)'!$B$100,Model!$AH$3006)</f>
        <v>-6.458457973050823E-3</v>
      </c>
      <c r="AW3092" s="377"/>
      <c r="AX3092" s="377"/>
      <c r="AY3092" s="377"/>
      <c r="AZ3092" s="377"/>
      <c r="BA3092" s="377"/>
      <c r="BB3092" s="377"/>
      <c r="BC3092" s="377"/>
      <c r="BD3092" s="377"/>
      <c r="BE3092" s="377"/>
      <c r="BF3092" s="377"/>
    </row>
    <row r="3093" spans="1:70" ht="15.75" hidden="1" customHeight="1" outlineLevel="1">
      <c r="A3093" s="460"/>
      <c r="B3093" s="99"/>
      <c r="C3093" s="377"/>
      <c r="D3093" s="377"/>
      <c r="E3093" s="377"/>
      <c r="F3093" s="377"/>
      <c r="G3093" s="377"/>
      <c r="H3093" s="377"/>
      <c r="I3093" s="377"/>
      <c r="J3093" s="377"/>
      <c r="K3093" s="377"/>
      <c r="L3093" s="377"/>
      <c r="M3093" s="377"/>
      <c r="N3093" s="377"/>
      <c r="O3093" s="377"/>
      <c r="P3093" s="377"/>
      <c r="Q3093" s="377"/>
      <c r="R3093" s="377"/>
      <c r="S3093" s="42"/>
      <c r="T3093" s="42"/>
      <c r="U3093" s="42"/>
      <c r="V3093" s="42"/>
      <c r="W3093" s="86"/>
      <c r="AI3093" s="377">
        <f>IPMT('Assumptions (T&amp;D)'!$B$97,Model!W$1,'Assumptions (T&amp;D)'!$B$100,Model!$AI$3006)</f>
        <v>-7.1422653126443275E-2</v>
      </c>
      <c r="AJ3093" s="377">
        <f>IPMT('Assumptions (T&amp;D)'!$B$97,Model!X$1,'Assumptions (T&amp;D)'!$B$100,Model!$AI$3006)</f>
        <v>-6.8049994423178578E-2</v>
      </c>
      <c r="AK3093" s="377">
        <f>IPMT('Assumptions (T&amp;D)'!$B$97,Model!Y$1,'Assumptions (T&amp;D)'!$B$100,Model!$AI$3006)</f>
        <v>-6.4517134431508819E-2</v>
      </c>
      <c r="AL3093" s="377">
        <f>IPMT('Assumptions (T&amp;D)'!$B$97,Model!Z$1,'Assumptions (T&amp;D)'!$B$100,Model!$AI$3006)</f>
        <v>-6.0816463590234765E-2</v>
      </c>
      <c r="AM3093" s="377">
        <f>IPMT('Assumptions (T&amp;D)'!$B$97,Model!AA$1,'Assumptions (T&amp;D)'!$B$100,Model!$AI$3006)</f>
        <v>-5.6940010884000171E-2</v>
      </c>
      <c r="AN3093" s="377">
        <f>IPMT('Assumptions (T&amp;D)'!$B$97,Model!AB$1,'Assumptions (T&amp;D)'!$B$100,Model!$AI$3006)</f>
        <v>-5.2879426674219451E-2</v>
      </c>
      <c r="AO3093" s="377">
        <f>IPMT('Assumptions (T&amp;D)'!$B$97,Model!AC$1,'Assumptions (T&amp;D)'!$B$100,Model!$AI$3006)</f>
        <v>-4.8625964714474133E-2</v>
      </c>
      <c r="AP3093" s="377">
        <f>IPMT('Assumptions (T&amp;D)'!$B$97,Model!AD$1,'Assumptions (T&amp;D)'!$B$100,Model!$AI$3006)</f>
        <v>-4.4170463311640915E-2</v>
      </c>
      <c r="AQ3093" s="377">
        <f>IPMT('Assumptions (T&amp;D)'!$B$97,Model!AE$1,'Assumptions (T&amp;D)'!$B$100,Model!$AI$3006)</f>
        <v>-3.9503325592173129E-2</v>
      </c>
      <c r="AR3093" s="377">
        <f>IPMT('Assumptions (T&amp;D)'!$B$97,Model!AF$1,'Assumptions (T&amp;D)'!$B$100,Model!$AI$3006)</f>
        <v>-3.461449883103062E-2</v>
      </c>
      <c r="AS3093" s="377">
        <f>IPMT('Assumptions (T&amp;D)'!$B$97,Model!AG$1,'Assumptions (T&amp;D)'!$B$100,Model!$AI$3006)</f>
        <v>-2.9493452798733832E-2</v>
      </c>
      <c r="AT3093" s="377">
        <f>IPMT('Assumptions (T&amp;D)'!$B$97,Model!AH$1,'Assumptions (T&amp;D)'!$B$100,Model!$AI$3006)</f>
        <v>-2.4129157079902958E-2</v>
      </c>
      <c r="AU3093" s="377">
        <f>IPMT('Assumptions (T&amp;D)'!$B$97,Model!AI$1,'Assumptions (T&amp;D)'!$B$100,Model!$AI$3006)</f>
        <v>-1.8510057314427609E-2</v>
      </c>
      <c r="AV3093" s="377">
        <f>IPMT('Assumptions (T&amp;D)'!$B$97,Model!AJ$1,'Assumptions (T&amp;D)'!$B$100,Model!$AI$3006)</f>
        <v>-1.2624050310092182E-2</v>
      </c>
      <c r="AW3093" s="377">
        <f>IPMT('Assumptions (T&amp;D)'!$B$97,Model!AK$1,'Assumptions (T&amp;D)'!$B$100,Model!$AI$3006)</f>
        <v>-6.458457973050823E-3</v>
      </c>
      <c r="AX3093" s="377"/>
      <c r="AY3093" s="377"/>
      <c r="AZ3093" s="377"/>
      <c r="BA3093" s="377"/>
      <c r="BB3093" s="377"/>
      <c r="BC3093" s="377"/>
      <c r="BD3093" s="377"/>
      <c r="BE3093" s="377"/>
      <c r="BF3093" s="377"/>
      <c r="BG3093" s="377"/>
    </row>
    <row r="3094" spans="1:70" ht="15.75" hidden="1" customHeight="1" outlineLevel="1">
      <c r="A3094" s="460"/>
      <c r="B3094" s="99"/>
      <c r="C3094" s="377"/>
      <c r="D3094" s="377"/>
      <c r="E3094" s="377"/>
      <c r="F3094" s="377"/>
      <c r="G3094" s="377"/>
      <c r="H3094" s="377"/>
      <c r="I3094" s="377"/>
      <c r="J3094" s="377"/>
      <c r="K3094" s="377"/>
      <c r="L3094" s="377"/>
      <c r="M3094" s="377"/>
      <c r="N3094" s="377"/>
      <c r="O3094" s="377"/>
      <c r="P3094" s="377"/>
      <c r="Q3094" s="377"/>
      <c r="R3094" s="377"/>
      <c r="S3094" s="42"/>
      <c r="T3094" s="42"/>
      <c r="U3094" s="42"/>
      <c r="V3094" s="42"/>
      <c r="W3094" s="86"/>
      <c r="AJ3094" s="377">
        <f>IPMT('Assumptions (T&amp;D)'!$B$97,Model!W$1,'Assumptions (T&amp;D)'!$B$100,Model!$AJ$3006)</f>
        <v>-7.1422653126443275E-2</v>
      </c>
      <c r="AK3094" s="377">
        <f>IPMT('Assumptions (T&amp;D)'!$B$97,Model!X$1,'Assumptions (T&amp;D)'!$B$100,Model!$AJ$3006)</f>
        <v>-6.8049994423178578E-2</v>
      </c>
      <c r="AL3094" s="377">
        <f>IPMT('Assumptions (T&amp;D)'!$B$97,Model!Y$1,'Assumptions (T&amp;D)'!$B$100,Model!$AJ$3006)</f>
        <v>-6.4517134431508819E-2</v>
      </c>
      <c r="AM3094" s="377">
        <f>IPMT('Assumptions (T&amp;D)'!$B$97,Model!Z$1,'Assumptions (T&amp;D)'!$B$100,Model!$AJ$3006)</f>
        <v>-6.0816463590234765E-2</v>
      </c>
      <c r="AN3094" s="377">
        <f>IPMT('Assumptions (T&amp;D)'!$B$97,Model!AA$1,'Assumptions (T&amp;D)'!$B$100,Model!$AJ$3006)</f>
        <v>-5.6940010884000171E-2</v>
      </c>
      <c r="AO3094" s="377">
        <f>IPMT('Assumptions (T&amp;D)'!$B$97,Model!AB$1,'Assumptions (T&amp;D)'!$B$100,Model!$AJ$3006)</f>
        <v>-5.2879426674219451E-2</v>
      </c>
      <c r="AP3094" s="377">
        <f>IPMT('Assumptions (T&amp;D)'!$B$97,Model!AC$1,'Assumptions (T&amp;D)'!$B$100,Model!$AJ$3006)</f>
        <v>-4.8625964714474133E-2</v>
      </c>
      <c r="AQ3094" s="377">
        <f>IPMT('Assumptions (T&amp;D)'!$B$97,Model!AD$1,'Assumptions (T&amp;D)'!$B$100,Model!$AJ$3006)</f>
        <v>-4.4170463311640915E-2</v>
      </c>
      <c r="AR3094" s="377">
        <f>IPMT('Assumptions (T&amp;D)'!$B$97,Model!AE$1,'Assumptions (T&amp;D)'!$B$100,Model!$AJ$3006)</f>
        <v>-3.9503325592173129E-2</v>
      </c>
      <c r="AS3094" s="377">
        <f>IPMT('Assumptions (T&amp;D)'!$B$97,Model!AF$1,'Assumptions (T&amp;D)'!$B$100,Model!$AJ$3006)</f>
        <v>-3.461449883103062E-2</v>
      </c>
      <c r="AT3094" s="377">
        <f>IPMT('Assumptions (T&amp;D)'!$B$97,Model!AG$1,'Assumptions (T&amp;D)'!$B$100,Model!$AJ$3006)</f>
        <v>-2.9493452798733832E-2</v>
      </c>
      <c r="AU3094" s="377">
        <f>IPMT('Assumptions (T&amp;D)'!$B$97,Model!AH$1,'Assumptions (T&amp;D)'!$B$100,Model!$AJ$3006)</f>
        <v>-2.4129157079902958E-2</v>
      </c>
      <c r="AV3094" s="377">
        <f>IPMT('Assumptions (T&amp;D)'!$B$97,Model!AI$1,'Assumptions (T&amp;D)'!$B$100,Model!$AJ$3006)</f>
        <v>-1.8510057314427609E-2</v>
      </c>
      <c r="AW3094" s="377">
        <f>IPMT('Assumptions (T&amp;D)'!$B$97,Model!AJ$1,'Assumptions (T&amp;D)'!$B$100,Model!$AJ$3006)</f>
        <v>-1.2624050310092182E-2</v>
      </c>
      <c r="AX3094" s="377">
        <f>IPMT('Assumptions (T&amp;D)'!$B$97,Model!AK$1,'Assumptions (T&amp;D)'!$B$100,Model!$AJ$3006)</f>
        <v>-6.458457973050823E-3</v>
      </c>
      <c r="AY3094" s="377"/>
      <c r="AZ3094" s="377"/>
      <c r="BA3094" s="377"/>
      <c r="BB3094" s="377"/>
      <c r="BC3094" s="377"/>
      <c r="BD3094" s="377"/>
      <c r="BE3094" s="377"/>
      <c r="BF3094" s="377"/>
      <c r="BG3094" s="377"/>
      <c r="BH3094" s="377"/>
    </row>
    <row r="3095" spans="1:70" ht="15.75" hidden="1" customHeight="1" outlineLevel="1">
      <c r="A3095" s="460"/>
      <c r="B3095" s="99"/>
      <c r="C3095" s="377"/>
      <c r="D3095" s="377"/>
      <c r="E3095" s="377"/>
      <c r="F3095" s="377"/>
      <c r="G3095" s="377"/>
      <c r="H3095" s="377"/>
      <c r="I3095" s="377"/>
      <c r="J3095" s="377"/>
      <c r="K3095" s="377"/>
      <c r="L3095" s="377"/>
      <c r="M3095" s="377"/>
      <c r="N3095" s="377"/>
      <c r="O3095" s="377"/>
      <c r="P3095" s="377"/>
      <c r="Q3095" s="377"/>
      <c r="R3095" s="377"/>
      <c r="S3095" s="42"/>
      <c r="T3095" s="42"/>
      <c r="U3095" s="42"/>
      <c r="V3095" s="42"/>
      <c r="W3095" s="86"/>
      <c r="AK3095" s="377">
        <f>IPMT('Assumptions (T&amp;D)'!$B$97,Model!W$1,'Assumptions (T&amp;D)'!$B$100,Model!$AK$3006)</f>
        <v>-7.1422653126443275E-2</v>
      </c>
      <c r="AL3095" s="377">
        <f>IPMT('Assumptions (T&amp;D)'!$B$97,Model!X$1,'Assumptions (T&amp;D)'!$B$100,Model!$AK$3006)</f>
        <v>-6.8049994423178578E-2</v>
      </c>
      <c r="AM3095" s="377">
        <f>IPMT('Assumptions (T&amp;D)'!$B$97,Model!Y$1,'Assumptions (T&amp;D)'!$B$100,Model!$AK$3006)</f>
        <v>-6.4517134431508819E-2</v>
      </c>
      <c r="AN3095" s="377">
        <f>IPMT('Assumptions (T&amp;D)'!$B$97,Model!Z$1,'Assumptions (T&amp;D)'!$B$100,Model!$AK$3006)</f>
        <v>-6.0816463590234765E-2</v>
      </c>
      <c r="AO3095" s="377">
        <f>IPMT('Assumptions (T&amp;D)'!$B$97,Model!AA$1,'Assumptions (T&amp;D)'!$B$100,Model!$AK$3006)</f>
        <v>-5.6940010884000171E-2</v>
      </c>
      <c r="AP3095" s="377">
        <f>IPMT('Assumptions (T&amp;D)'!$B$97,Model!AB$1,'Assumptions (T&amp;D)'!$B$100,Model!$AK$3006)</f>
        <v>-5.2879426674219451E-2</v>
      </c>
      <c r="AQ3095" s="377">
        <f>IPMT('Assumptions (T&amp;D)'!$B$97,Model!AC$1,'Assumptions (T&amp;D)'!$B$100,Model!$AK$3006)</f>
        <v>-4.8625964714474133E-2</v>
      </c>
      <c r="AR3095" s="377">
        <f>IPMT('Assumptions (T&amp;D)'!$B$97,Model!AD$1,'Assumptions (T&amp;D)'!$B$100,Model!$AK$3006)</f>
        <v>-4.4170463311640915E-2</v>
      </c>
      <c r="AS3095" s="377">
        <f>IPMT('Assumptions (T&amp;D)'!$B$97,Model!AE$1,'Assumptions (T&amp;D)'!$B$100,Model!$AK$3006)</f>
        <v>-3.9503325592173129E-2</v>
      </c>
      <c r="AT3095" s="377">
        <f>IPMT('Assumptions (T&amp;D)'!$B$97,Model!AF$1,'Assumptions (T&amp;D)'!$B$100,Model!$AK$3006)</f>
        <v>-3.461449883103062E-2</v>
      </c>
      <c r="AU3095" s="377">
        <f>IPMT('Assumptions (T&amp;D)'!$B$97,Model!AG$1,'Assumptions (T&amp;D)'!$B$100,Model!$AK$3006)</f>
        <v>-2.9493452798733832E-2</v>
      </c>
      <c r="AV3095" s="377">
        <f>IPMT('Assumptions (T&amp;D)'!$B$97,Model!AH$1,'Assumptions (T&amp;D)'!$B$100,Model!$AK$3006)</f>
        <v>-2.4129157079902958E-2</v>
      </c>
      <c r="AW3095" s="377">
        <f>IPMT('Assumptions (T&amp;D)'!$B$97,Model!AI$1,'Assumptions (T&amp;D)'!$B$100,Model!$AK$3006)</f>
        <v>-1.8510057314427609E-2</v>
      </c>
      <c r="AX3095" s="377">
        <f>IPMT('Assumptions (T&amp;D)'!$B$97,Model!AJ$1,'Assumptions (T&amp;D)'!$B$100,Model!$AK$3006)</f>
        <v>-1.2624050310092182E-2</v>
      </c>
      <c r="AY3095" s="377">
        <f>IPMT('Assumptions (T&amp;D)'!$B$97,Model!AK$1,'Assumptions (T&amp;D)'!$B$100,Model!$AK$3006)</f>
        <v>-6.458457973050823E-3</v>
      </c>
      <c r="AZ3095" s="377"/>
      <c r="BA3095" s="377"/>
      <c r="BB3095" s="377"/>
      <c r="BC3095" s="377"/>
      <c r="BD3095" s="377"/>
      <c r="BE3095" s="377"/>
      <c r="BF3095" s="377"/>
      <c r="BG3095" s="377"/>
      <c r="BH3095" s="377"/>
      <c r="BI3095" s="377"/>
    </row>
    <row r="3096" spans="1:70" ht="15.75" hidden="1" customHeight="1" outlineLevel="1">
      <c r="A3096" s="460"/>
      <c r="B3096" s="99"/>
      <c r="C3096" s="377"/>
      <c r="D3096" s="377"/>
      <c r="E3096" s="377"/>
      <c r="F3096" s="377"/>
      <c r="G3096" s="377"/>
      <c r="H3096" s="377"/>
      <c r="I3096" s="377"/>
      <c r="J3096" s="377"/>
      <c r="K3096" s="377"/>
      <c r="L3096" s="377"/>
      <c r="M3096" s="377"/>
      <c r="N3096" s="377"/>
      <c r="O3096" s="377"/>
      <c r="P3096" s="377"/>
      <c r="Q3096" s="377"/>
      <c r="R3096" s="377"/>
      <c r="S3096" s="42"/>
      <c r="T3096" s="42"/>
      <c r="U3096" s="42"/>
      <c r="V3096" s="42"/>
      <c r="W3096" s="86"/>
      <c r="AL3096" s="377">
        <f>IPMT('Assumptions (T&amp;D)'!$B$97,Model!W$1,'Assumptions (T&amp;D)'!$B$100,Model!$AL$3006)</f>
        <v>-7.1422653126443275E-2</v>
      </c>
      <c r="AM3096" s="377">
        <f>IPMT('Assumptions (T&amp;D)'!$B$97,Model!X$1,'Assumptions (T&amp;D)'!$B$100,Model!$AL$3006)</f>
        <v>-6.8049994423178578E-2</v>
      </c>
      <c r="AN3096" s="377">
        <f>IPMT('Assumptions (T&amp;D)'!$B$97,Model!Y$1,'Assumptions (T&amp;D)'!$B$100,Model!$AL$3006)</f>
        <v>-6.4517134431508819E-2</v>
      </c>
      <c r="AO3096" s="377">
        <f>IPMT('Assumptions (T&amp;D)'!$B$97,Model!Z$1,'Assumptions (T&amp;D)'!$B$100,Model!$AL$3006)</f>
        <v>-6.0816463590234765E-2</v>
      </c>
      <c r="AP3096" s="377">
        <f>IPMT('Assumptions (T&amp;D)'!$B$97,Model!AA$1,'Assumptions (T&amp;D)'!$B$100,Model!$AL$3006)</f>
        <v>-5.6940010884000171E-2</v>
      </c>
      <c r="AQ3096" s="377">
        <f>IPMT('Assumptions (T&amp;D)'!$B$97,Model!AB$1,'Assumptions (T&amp;D)'!$B$100,Model!$AL$3006)</f>
        <v>-5.2879426674219451E-2</v>
      </c>
      <c r="AR3096" s="377">
        <f>IPMT('Assumptions (T&amp;D)'!$B$97,Model!AC$1,'Assumptions (T&amp;D)'!$B$100,Model!$AL$3006)</f>
        <v>-4.8625964714474133E-2</v>
      </c>
      <c r="AS3096" s="377">
        <f>IPMT('Assumptions (T&amp;D)'!$B$97,Model!AD$1,'Assumptions (T&amp;D)'!$B$100,Model!$AL$3006)</f>
        <v>-4.4170463311640915E-2</v>
      </c>
      <c r="AT3096" s="377">
        <f>IPMT('Assumptions (T&amp;D)'!$B$97,Model!AE$1,'Assumptions (T&amp;D)'!$B$100,Model!$AL$3006)</f>
        <v>-3.9503325592173129E-2</v>
      </c>
      <c r="AU3096" s="377">
        <f>IPMT('Assumptions (T&amp;D)'!$B$97,Model!AF$1,'Assumptions (T&amp;D)'!$B$100,Model!$AL$3006)</f>
        <v>-3.461449883103062E-2</v>
      </c>
      <c r="AV3096" s="377">
        <f>IPMT('Assumptions (T&amp;D)'!$B$97,Model!AG$1,'Assumptions (T&amp;D)'!$B$100,Model!$AL$3006)</f>
        <v>-2.9493452798733832E-2</v>
      </c>
      <c r="AW3096" s="377">
        <f>IPMT('Assumptions (T&amp;D)'!$B$97,Model!AH$1,'Assumptions (T&amp;D)'!$B$100,Model!$AL$3006)</f>
        <v>-2.4129157079902958E-2</v>
      </c>
      <c r="AX3096" s="377">
        <f>IPMT('Assumptions (T&amp;D)'!$B$97,Model!AI$1,'Assumptions (T&amp;D)'!$B$100,Model!$AL$3006)</f>
        <v>-1.8510057314427609E-2</v>
      </c>
      <c r="AY3096" s="377">
        <f>IPMT('Assumptions (T&amp;D)'!$B$97,Model!AJ$1,'Assumptions (T&amp;D)'!$B$100,Model!$AL$3006)</f>
        <v>-1.2624050310092182E-2</v>
      </c>
      <c r="AZ3096" s="377">
        <f>IPMT('Assumptions (T&amp;D)'!$B$97,Model!AK$1,'Assumptions (T&amp;D)'!$B$100,Model!$AL$3006)</f>
        <v>-6.458457973050823E-3</v>
      </c>
      <c r="BA3096" s="377"/>
      <c r="BB3096" s="377"/>
      <c r="BC3096" s="377"/>
      <c r="BD3096" s="377"/>
      <c r="BE3096" s="377"/>
      <c r="BF3096" s="377"/>
      <c r="BG3096" s="377"/>
      <c r="BH3096" s="377"/>
      <c r="BI3096" s="377"/>
      <c r="BJ3096" s="377"/>
    </row>
    <row r="3097" spans="1:70" ht="15.75" hidden="1" customHeight="1" outlineLevel="1">
      <c r="A3097" s="460"/>
      <c r="B3097" s="99"/>
      <c r="C3097" s="377"/>
      <c r="D3097" s="377"/>
      <c r="E3097" s="377"/>
      <c r="F3097" s="377"/>
      <c r="G3097" s="377"/>
      <c r="H3097" s="377"/>
      <c r="I3097" s="377"/>
      <c r="J3097" s="377"/>
      <c r="K3097" s="377"/>
      <c r="L3097" s="377"/>
      <c r="M3097" s="377"/>
      <c r="N3097" s="377"/>
      <c r="O3097" s="377"/>
      <c r="P3097" s="377"/>
      <c r="Q3097" s="377"/>
      <c r="R3097" s="377"/>
      <c r="S3097" s="42"/>
      <c r="T3097" s="42"/>
      <c r="U3097" s="42"/>
      <c r="V3097" s="42"/>
      <c r="W3097" s="86"/>
      <c r="AM3097" s="377">
        <f>IPMT('Assumptions (T&amp;D)'!$B$97,Model!W$1,'Assumptions (T&amp;D)'!$B$100,Model!$AM$3006)</f>
        <v>-7.1422653126443275E-2</v>
      </c>
      <c r="AN3097" s="377">
        <f>IPMT('Assumptions (T&amp;D)'!$B$97,Model!X$1,'Assumptions (T&amp;D)'!$B$100,Model!$AM$3006)</f>
        <v>-6.8049994423178578E-2</v>
      </c>
      <c r="AO3097" s="377">
        <f>IPMT('Assumptions (T&amp;D)'!$B$97,Model!Y$1,'Assumptions (T&amp;D)'!$B$100,Model!$AM$3006)</f>
        <v>-6.4517134431508819E-2</v>
      </c>
      <c r="AP3097" s="377">
        <f>IPMT('Assumptions (T&amp;D)'!$B$97,Model!Z$1,'Assumptions (T&amp;D)'!$B$100,Model!$AM$3006)</f>
        <v>-6.0816463590234765E-2</v>
      </c>
      <c r="AQ3097" s="377">
        <f>IPMT('Assumptions (T&amp;D)'!$B$97,Model!AA$1,'Assumptions (T&amp;D)'!$B$100,Model!$AM$3006)</f>
        <v>-5.6940010884000171E-2</v>
      </c>
      <c r="AR3097" s="377">
        <f>IPMT('Assumptions (T&amp;D)'!$B$97,Model!AB$1,'Assumptions (T&amp;D)'!$B$100,Model!$AM$3006)</f>
        <v>-5.2879426674219451E-2</v>
      </c>
      <c r="AS3097" s="377">
        <f>IPMT('Assumptions (T&amp;D)'!$B$97,Model!AC$1,'Assumptions (T&amp;D)'!$B$100,Model!$AM$3006)</f>
        <v>-4.8625964714474133E-2</v>
      </c>
      <c r="AT3097" s="377">
        <f>IPMT('Assumptions (T&amp;D)'!$B$97,Model!AD$1,'Assumptions (T&amp;D)'!$B$100,Model!$AM$3006)</f>
        <v>-4.4170463311640915E-2</v>
      </c>
      <c r="AU3097" s="377">
        <f>IPMT('Assumptions (T&amp;D)'!$B$97,Model!AE$1,'Assumptions (T&amp;D)'!$B$100,Model!$AM$3006)</f>
        <v>-3.9503325592173129E-2</v>
      </c>
      <c r="AV3097" s="377">
        <f>IPMT('Assumptions (T&amp;D)'!$B$97,Model!AF$1,'Assumptions (T&amp;D)'!$B$100,Model!$AM$3006)</f>
        <v>-3.461449883103062E-2</v>
      </c>
      <c r="AW3097" s="377">
        <f>IPMT('Assumptions (T&amp;D)'!$B$97,Model!AG$1,'Assumptions (T&amp;D)'!$B$100,Model!$AM$3006)</f>
        <v>-2.9493452798733832E-2</v>
      </c>
      <c r="AX3097" s="377">
        <f>IPMT('Assumptions (T&amp;D)'!$B$97,Model!AH$1,'Assumptions (T&amp;D)'!$B$100,Model!$AM$3006)</f>
        <v>-2.4129157079902958E-2</v>
      </c>
      <c r="AY3097" s="377">
        <f>IPMT('Assumptions (T&amp;D)'!$B$97,Model!AI$1,'Assumptions (T&amp;D)'!$B$100,Model!$AM$3006)</f>
        <v>-1.8510057314427609E-2</v>
      </c>
      <c r="AZ3097" s="377">
        <f>IPMT('Assumptions (T&amp;D)'!$B$97,Model!AJ$1,'Assumptions (T&amp;D)'!$B$100,Model!$AM$3006)</f>
        <v>-1.2624050310092182E-2</v>
      </c>
      <c r="BA3097" s="377">
        <f>IPMT('Assumptions (T&amp;D)'!$B$97,Model!AK$1,'Assumptions (T&amp;D)'!$B$100,Model!$AM$3006)</f>
        <v>-6.458457973050823E-3</v>
      </c>
      <c r="BB3097" s="377"/>
      <c r="BC3097" s="377"/>
      <c r="BD3097" s="377"/>
      <c r="BE3097" s="377"/>
      <c r="BF3097" s="377"/>
      <c r="BG3097" s="377"/>
      <c r="BH3097" s="377"/>
      <c r="BI3097" s="377"/>
      <c r="BJ3097" s="377"/>
      <c r="BK3097" s="377"/>
    </row>
    <row r="3098" spans="1:70" ht="15.75" hidden="1" customHeight="1" outlineLevel="1">
      <c r="A3098" s="460"/>
      <c r="B3098" s="99"/>
      <c r="C3098" s="377"/>
      <c r="D3098" s="377"/>
      <c r="E3098" s="377"/>
      <c r="F3098" s="377"/>
      <c r="G3098" s="377"/>
      <c r="H3098" s="377"/>
      <c r="I3098" s="377"/>
      <c r="J3098" s="377"/>
      <c r="K3098" s="377"/>
      <c r="L3098" s="377"/>
      <c r="M3098" s="377"/>
      <c r="N3098" s="377"/>
      <c r="O3098" s="377"/>
      <c r="P3098" s="377"/>
      <c r="Q3098" s="377"/>
      <c r="R3098" s="377"/>
      <c r="S3098" s="42"/>
      <c r="T3098" s="42"/>
      <c r="U3098" s="42"/>
      <c r="V3098" s="42"/>
      <c r="W3098" s="86"/>
      <c r="AN3098" s="377">
        <f>IPMT('Assumptions (T&amp;D)'!$B$97,Model!W$1,'Assumptions (T&amp;D)'!$B$100,Model!$AN$3006)</f>
        <v>-7.1422653126443275E-2</v>
      </c>
      <c r="AO3098" s="377">
        <f>IPMT('Assumptions (T&amp;D)'!$B$97,Model!X$1,'Assumptions (T&amp;D)'!$B$100,Model!$AN$3006)</f>
        <v>-6.8049994423178578E-2</v>
      </c>
      <c r="AP3098" s="377">
        <f>IPMT('Assumptions (T&amp;D)'!$B$97,Model!Y$1,'Assumptions (T&amp;D)'!$B$100,Model!$AN$3006)</f>
        <v>-6.4517134431508819E-2</v>
      </c>
      <c r="AQ3098" s="377">
        <f>IPMT('Assumptions (T&amp;D)'!$B$97,Model!Z$1,'Assumptions (T&amp;D)'!$B$100,Model!$AN$3006)</f>
        <v>-6.0816463590234765E-2</v>
      </c>
      <c r="AR3098" s="377">
        <f>IPMT('Assumptions (T&amp;D)'!$B$97,Model!AA$1,'Assumptions (T&amp;D)'!$B$100,Model!$AN$3006)</f>
        <v>-5.6940010884000171E-2</v>
      </c>
      <c r="AS3098" s="377">
        <f>IPMT('Assumptions (T&amp;D)'!$B$97,Model!AB$1,'Assumptions (T&amp;D)'!$B$100,Model!$AN$3006)</f>
        <v>-5.2879426674219451E-2</v>
      </c>
      <c r="AT3098" s="377">
        <f>IPMT('Assumptions (T&amp;D)'!$B$97,Model!AC$1,'Assumptions (T&amp;D)'!$B$100,Model!$AN$3006)</f>
        <v>-4.8625964714474133E-2</v>
      </c>
      <c r="AU3098" s="377">
        <f>IPMT('Assumptions (T&amp;D)'!$B$97,Model!AD$1,'Assumptions (T&amp;D)'!$B$100,Model!$AN$3006)</f>
        <v>-4.4170463311640915E-2</v>
      </c>
      <c r="AV3098" s="377">
        <f>IPMT('Assumptions (T&amp;D)'!$B$97,Model!AE$1,'Assumptions (T&amp;D)'!$B$100,Model!$AN$3006)</f>
        <v>-3.9503325592173129E-2</v>
      </c>
      <c r="AW3098" s="377">
        <f>IPMT('Assumptions (T&amp;D)'!$B$97,Model!AF$1,'Assumptions (T&amp;D)'!$B$100,Model!$AN$3006)</f>
        <v>-3.461449883103062E-2</v>
      </c>
      <c r="AX3098" s="377">
        <f>IPMT('Assumptions (T&amp;D)'!$B$97,Model!AG$1,'Assumptions (T&amp;D)'!$B$100,Model!$AN$3006)</f>
        <v>-2.9493452798733832E-2</v>
      </c>
      <c r="AY3098" s="377">
        <f>IPMT('Assumptions (T&amp;D)'!$B$97,Model!AH$1,'Assumptions (T&amp;D)'!$B$100,Model!$AN$3006)</f>
        <v>-2.4129157079902958E-2</v>
      </c>
      <c r="AZ3098" s="377">
        <f>IPMT('Assumptions (T&amp;D)'!$B$97,Model!AI$1,'Assumptions (T&amp;D)'!$B$100,Model!$AN$3006)</f>
        <v>-1.8510057314427609E-2</v>
      </c>
      <c r="BA3098" s="377">
        <f>IPMT('Assumptions (T&amp;D)'!$B$97,Model!AJ$1,'Assumptions (T&amp;D)'!$B$100,Model!$AN$3006)</f>
        <v>-1.2624050310092182E-2</v>
      </c>
      <c r="BB3098" s="377">
        <f>IPMT('Assumptions (T&amp;D)'!$B$97,Model!AK$1,'Assumptions (T&amp;D)'!$B$100,Model!$AN$3006)</f>
        <v>-6.458457973050823E-3</v>
      </c>
      <c r="BC3098" s="377"/>
      <c r="BD3098" s="377"/>
      <c r="BE3098" s="377"/>
      <c r="BF3098" s="377"/>
      <c r="BG3098" s="377"/>
      <c r="BH3098" s="377"/>
      <c r="BI3098" s="377"/>
      <c r="BJ3098" s="377"/>
      <c r="BK3098" s="377"/>
      <c r="BL3098" s="377"/>
    </row>
    <row r="3099" spans="1:70" ht="15.75" hidden="1" customHeight="1" outlineLevel="1">
      <c r="A3099" s="460"/>
      <c r="B3099" s="99"/>
      <c r="C3099" s="377"/>
      <c r="D3099" s="377"/>
      <c r="E3099" s="377"/>
      <c r="F3099" s="377"/>
      <c r="G3099" s="377"/>
      <c r="H3099" s="377"/>
      <c r="I3099" s="377"/>
      <c r="J3099" s="377"/>
      <c r="K3099" s="377"/>
      <c r="L3099" s="377"/>
      <c r="M3099" s="377"/>
      <c r="N3099" s="377"/>
      <c r="O3099" s="377"/>
      <c r="P3099" s="377"/>
      <c r="Q3099" s="377"/>
      <c r="R3099" s="377"/>
      <c r="S3099" s="42"/>
      <c r="T3099" s="42"/>
      <c r="U3099" s="42"/>
      <c r="V3099" s="42"/>
      <c r="W3099" s="86"/>
      <c r="AO3099" s="377">
        <f>IPMT('Assumptions (T&amp;D)'!$B$97,Model!W$1,'Assumptions (T&amp;D)'!$B$100,Model!$AO$3006)</f>
        <v>-7.1422653126443275E-2</v>
      </c>
      <c r="AP3099" s="377">
        <f>IPMT('Assumptions (T&amp;D)'!$B$97,Model!X$1,'Assumptions (T&amp;D)'!$B$100,Model!$AO$3006)</f>
        <v>-6.8049994423178578E-2</v>
      </c>
      <c r="AQ3099" s="377">
        <f>IPMT('Assumptions (T&amp;D)'!$B$97,Model!Y$1,'Assumptions (T&amp;D)'!$B$100,Model!$AO$3006)</f>
        <v>-6.4517134431508819E-2</v>
      </c>
      <c r="AR3099" s="377">
        <f>IPMT('Assumptions (T&amp;D)'!$B$97,Model!Z$1,'Assumptions (T&amp;D)'!$B$100,Model!$AO$3006)</f>
        <v>-6.0816463590234765E-2</v>
      </c>
      <c r="AS3099" s="377">
        <f>IPMT('Assumptions (T&amp;D)'!$B$97,Model!AA$1,'Assumptions (T&amp;D)'!$B$100,Model!$AO$3006)</f>
        <v>-5.6940010884000171E-2</v>
      </c>
      <c r="AT3099" s="377">
        <f>IPMT('Assumptions (T&amp;D)'!$B$97,Model!AB$1,'Assumptions (T&amp;D)'!$B$100,Model!$AO$3006)</f>
        <v>-5.2879426674219451E-2</v>
      </c>
      <c r="AU3099" s="377">
        <f>IPMT('Assumptions (T&amp;D)'!$B$97,Model!AC$1,'Assumptions (T&amp;D)'!$B$100,Model!$AO$3006)</f>
        <v>-4.8625964714474133E-2</v>
      </c>
      <c r="AV3099" s="377">
        <f>IPMT('Assumptions (T&amp;D)'!$B$97,Model!AD$1,'Assumptions (T&amp;D)'!$B$100,Model!$AO$3006)</f>
        <v>-4.4170463311640915E-2</v>
      </c>
      <c r="AW3099" s="377">
        <f>IPMT('Assumptions (T&amp;D)'!$B$97,Model!AE$1,'Assumptions (T&amp;D)'!$B$100,Model!$AO$3006)</f>
        <v>-3.9503325592173129E-2</v>
      </c>
      <c r="AX3099" s="377">
        <f>IPMT('Assumptions (T&amp;D)'!$B$97,Model!AF$1,'Assumptions (T&amp;D)'!$B$100,Model!$AO$3006)</f>
        <v>-3.461449883103062E-2</v>
      </c>
      <c r="AY3099" s="377">
        <f>IPMT('Assumptions (T&amp;D)'!$B$97,Model!AG$1,'Assumptions (T&amp;D)'!$B$100,Model!$AO$3006)</f>
        <v>-2.9493452798733832E-2</v>
      </c>
      <c r="AZ3099" s="377">
        <f>IPMT('Assumptions (T&amp;D)'!$B$97,Model!AH$1,'Assumptions (T&amp;D)'!$B$100,Model!$AO$3006)</f>
        <v>-2.4129157079902958E-2</v>
      </c>
      <c r="BA3099" s="377">
        <f>IPMT('Assumptions (T&amp;D)'!$B$97,Model!AI$1,'Assumptions (T&amp;D)'!$B$100,Model!$AO$3006)</f>
        <v>-1.8510057314427609E-2</v>
      </c>
      <c r="BB3099" s="377">
        <f>IPMT('Assumptions (T&amp;D)'!$B$97,Model!AJ$1,'Assumptions (T&amp;D)'!$B$100,Model!$AO$3006)</f>
        <v>-1.2624050310092182E-2</v>
      </c>
      <c r="BC3099" s="377">
        <f>IPMT('Assumptions (T&amp;D)'!$B$97,Model!AK$1,'Assumptions (T&amp;D)'!$B$100,Model!$AO$3006)</f>
        <v>-6.458457973050823E-3</v>
      </c>
      <c r="BD3099" s="377"/>
      <c r="BE3099" s="377"/>
      <c r="BF3099" s="377"/>
      <c r="BG3099" s="377"/>
      <c r="BH3099" s="377"/>
      <c r="BI3099" s="377"/>
      <c r="BJ3099" s="377"/>
      <c r="BK3099" s="377"/>
      <c r="BL3099" s="377"/>
      <c r="BM3099" s="377"/>
    </row>
    <row r="3100" spans="1:70" ht="15.75" hidden="1" customHeight="1" outlineLevel="1">
      <c r="A3100" s="460"/>
      <c r="B3100" s="99"/>
      <c r="C3100" s="377"/>
      <c r="D3100" s="377"/>
      <c r="E3100" s="377"/>
      <c r="F3100" s="377"/>
      <c r="G3100" s="377"/>
      <c r="H3100" s="377"/>
      <c r="I3100" s="377"/>
      <c r="J3100" s="377"/>
      <c r="K3100" s="377"/>
      <c r="L3100" s="377"/>
      <c r="M3100" s="377"/>
      <c r="N3100" s="377"/>
      <c r="O3100" s="377"/>
      <c r="P3100" s="377"/>
      <c r="Q3100" s="377"/>
      <c r="R3100" s="377"/>
      <c r="S3100" s="42"/>
      <c r="T3100" s="42"/>
      <c r="U3100" s="42"/>
      <c r="V3100" s="42"/>
      <c r="W3100" s="86"/>
      <c r="AP3100" s="377">
        <f>IPMT('Assumptions (T&amp;D)'!$B$97,Model!W$1,'Assumptions (T&amp;D)'!$B$100,Model!$AP$3006)</f>
        <v>-7.1422653126443275E-2</v>
      </c>
      <c r="AQ3100" s="377">
        <f>IPMT('Assumptions (T&amp;D)'!$B$97,Model!X$1,'Assumptions (T&amp;D)'!$B$100,Model!$AP$3006)</f>
        <v>-6.8049994423178578E-2</v>
      </c>
      <c r="AR3100" s="377">
        <f>IPMT('Assumptions (T&amp;D)'!$B$97,Model!Y$1,'Assumptions (T&amp;D)'!$B$100,Model!$AP$3006)</f>
        <v>-6.4517134431508819E-2</v>
      </c>
      <c r="AS3100" s="377">
        <f>IPMT('Assumptions (T&amp;D)'!$B$97,Model!Z$1,'Assumptions (T&amp;D)'!$B$100,Model!$AP$3006)</f>
        <v>-6.0816463590234765E-2</v>
      </c>
      <c r="AT3100" s="377">
        <f>IPMT('Assumptions (T&amp;D)'!$B$97,Model!AA$1,'Assumptions (T&amp;D)'!$B$100,Model!$AP$3006)</f>
        <v>-5.6940010884000171E-2</v>
      </c>
      <c r="AU3100" s="377">
        <f>IPMT('Assumptions (T&amp;D)'!$B$97,Model!AB$1,'Assumptions (T&amp;D)'!$B$100,Model!$AP$3006)</f>
        <v>-5.2879426674219451E-2</v>
      </c>
      <c r="AV3100" s="377">
        <f>IPMT('Assumptions (T&amp;D)'!$B$97,Model!AC$1,'Assumptions (T&amp;D)'!$B$100,Model!$AP$3006)</f>
        <v>-4.8625964714474133E-2</v>
      </c>
      <c r="AW3100" s="377">
        <f>IPMT('Assumptions (T&amp;D)'!$B$97,Model!AD$1,'Assumptions (T&amp;D)'!$B$100,Model!$AP$3006)</f>
        <v>-4.4170463311640915E-2</v>
      </c>
      <c r="AX3100" s="377">
        <f>IPMT('Assumptions (T&amp;D)'!$B$97,Model!AE$1,'Assumptions (T&amp;D)'!$B$100,Model!$AP$3006)</f>
        <v>-3.9503325592173129E-2</v>
      </c>
      <c r="AY3100" s="377">
        <f>IPMT('Assumptions (T&amp;D)'!$B$97,Model!AF$1,'Assumptions (T&amp;D)'!$B$100,Model!$AP$3006)</f>
        <v>-3.461449883103062E-2</v>
      </c>
      <c r="AZ3100" s="377">
        <f>IPMT('Assumptions (T&amp;D)'!$B$97,Model!AG$1,'Assumptions (T&amp;D)'!$B$100,Model!$AP$3006)</f>
        <v>-2.9493452798733832E-2</v>
      </c>
      <c r="BA3100" s="377">
        <f>IPMT('Assumptions (T&amp;D)'!$B$97,Model!AH$1,'Assumptions (T&amp;D)'!$B$100,Model!$AP$3006)</f>
        <v>-2.4129157079902958E-2</v>
      </c>
      <c r="BB3100" s="377">
        <f>IPMT('Assumptions (T&amp;D)'!$B$97,Model!AI$1,'Assumptions (T&amp;D)'!$B$100,Model!$AP$3006)</f>
        <v>-1.8510057314427609E-2</v>
      </c>
      <c r="BC3100" s="377">
        <f>IPMT('Assumptions (T&amp;D)'!$B$97,Model!AJ$1,'Assumptions (T&amp;D)'!$B$100,Model!$AP$3006)</f>
        <v>-1.2624050310092182E-2</v>
      </c>
      <c r="BD3100" s="377">
        <f>IPMT('Assumptions (T&amp;D)'!$B$97,Model!AK$1,'Assumptions (T&amp;D)'!$B$100,Model!$AP$3006)</f>
        <v>-6.458457973050823E-3</v>
      </c>
      <c r="BE3100" s="377"/>
      <c r="BF3100" s="377"/>
      <c r="BG3100" s="377"/>
      <c r="BH3100" s="377"/>
      <c r="BI3100" s="377"/>
      <c r="BJ3100" s="377"/>
      <c r="BK3100" s="377"/>
      <c r="BL3100" s="377"/>
      <c r="BM3100" s="377"/>
      <c r="BN3100" s="377"/>
    </row>
    <row r="3101" spans="1:70" ht="15.75" hidden="1" customHeight="1" outlineLevel="1">
      <c r="A3101" s="460"/>
      <c r="B3101" s="99"/>
      <c r="C3101" s="377"/>
      <c r="D3101" s="377"/>
      <c r="E3101" s="377"/>
      <c r="F3101" s="377"/>
      <c r="G3101" s="377"/>
      <c r="H3101" s="377"/>
      <c r="I3101" s="377"/>
      <c r="J3101" s="377"/>
      <c r="K3101" s="377"/>
      <c r="L3101" s="377"/>
      <c r="M3101" s="377"/>
      <c r="N3101" s="377"/>
      <c r="O3101" s="377"/>
      <c r="P3101" s="377"/>
      <c r="Q3101" s="377"/>
      <c r="R3101" s="377"/>
      <c r="S3101" s="42"/>
      <c r="T3101" s="42"/>
      <c r="U3101" s="42"/>
      <c r="V3101" s="42"/>
      <c r="W3101" s="86"/>
      <c r="AQ3101" s="377">
        <f>IPMT('Assumptions (T&amp;D)'!$B$97,Model!W$1,'Assumptions (T&amp;D)'!$B$100,Model!$AQ$3006)</f>
        <v>-7.1422653126443275E-2</v>
      </c>
      <c r="AR3101" s="377">
        <f>IPMT('Assumptions (T&amp;D)'!$B$97,Model!X$1,'Assumptions (T&amp;D)'!$B$100,Model!$AQ$3006)</f>
        <v>-6.8049994423178578E-2</v>
      </c>
      <c r="AS3101" s="377">
        <f>IPMT('Assumptions (T&amp;D)'!$B$97,Model!Y$1,'Assumptions (T&amp;D)'!$B$100,Model!$AQ$3006)</f>
        <v>-6.4517134431508819E-2</v>
      </c>
      <c r="AT3101" s="377">
        <f>IPMT('Assumptions (T&amp;D)'!$B$97,Model!Z$1,'Assumptions (T&amp;D)'!$B$100,Model!$AQ$3006)</f>
        <v>-6.0816463590234765E-2</v>
      </c>
      <c r="AU3101" s="377">
        <f>IPMT('Assumptions (T&amp;D)'!$B$97,Model!AA$1,'Assumptions (T&amp;D)'!$B$100,Model!$AQ$3006)</f>
        <v>-5.6940010884000171E-2</v>
      </c>
      <c r="AV3101" s="377">
        <f>IPMT('Assumptions (T&amp;D)'!$B$97,Model!AB$1,'Assumptions (T&amp;D)'!$B$100,Model!$AQ$3006)</f>
        <v>-5.2879426674219451E-2</v>
      </c>
      <c r="AW3101" s="377">
        <f>IPMT('Assumptions (T&amp;D)'!$B$97,Model!AC$1,'Assumptions (T&amp;D)'!$B$100,Model!$AQ$3006)</f>
        <v>-4.8625964714474133E-2</v>
      </c>
      <c r="AX3101" s="377">
        <f>IPMT('Assumptions (T&amp;D)'!$B$97,Model!AD$1,'Assumptions (T&amp;D)'!$B$100,Model!$AQ$3006)</f>
        <v>-4.4170463311640915E-2</v>
      </c>
      <c r="AY3101" s="377">
        <f>IPMT('Assumptions (T&amp;D)'!$B$97,Model!AE$1,'Assumptions (T&amp;D)'!$B$100,Model!$AQ$3006)</f>
        <v>-3.9503325592173129E-2</v>
      </c>
      <c r="AZ3101" s="377">
        <f>IPMT('Assumptions (T&amp;D)'!$B$97,Model!AF$1,'Assumptions (T&amp;D)'!$B$100,Model!$AQ$3006)</f>
        <v>-3.461449883103062E-2</v>
      </c>
      <c r="BA3101" s="377">
        <f>IPMT('Assumptions (T&amp;D)'!$B$97,Model!AG$1,'Assumptions (T&amp;D)'!$B$100,Model!$AQ$3006)</f>
        <v>-2.9493452798733832E-2</v>
      </c>
      <c r="BB3101" s="377">
        <f>IPMT('Assumptions (T&amp;D)'!$B$97,Model!AH$1,'Assumptions (T&amp;D)'!$B$100,Model!$AQ$3006)</f>
        <v>-2.4129157079902958E-2</v>
      </c>
      <c r="BC3101" s="377">
        <f>IPMT('Assumptions (T&amp;D)'!$B$97,Model!AI$1,'Assumptions (T&amp;D)'!$B$100,Model!$AQ$3006)</f>
        <v>-1.8510057314427609E-2</v>
      </c>
      <c r="BD3101" s="377">
        <f>IPMT('Assumptions (T&amp;D)'!$B$97,Model!AJ$1,'Assumptions (T&amp;D)'!$B$100,Model!$AQ$3006)</f>
        <v>-1.2624050310092182E-2</v>
      </c>
      <c r="BE3101" s="377">
        <f>IPMT('Assumptions (T&amp;D)'!$B$97,Model!AK$1,'Assumptions (T&amp;D)'!$B$100,Model!$AQ$3006)</f>
        <v>-6.458457973050823E-3</v>
      </c>
      <c r="BF3101" s="377"/>
      <c r="BG3101" s="377"/>
      <c r="BH3101" s="377"/>
      <c r="BI3101" s="377"/>
      <c r="BJ3101" s="377"/>
      <c r="BK3101" s="377"/>
      <c r="BL3101" s="377"/>
      <c r="BM3101" s="377"/>
      <c r="BN3101" s="377"/>
      <c r="BO3101" s="377"/>
    </row>
    <row r="3102" spans="1:70" ht="15.75" hidden="1" customHeight="1" outlineLevel="1">
      <c r="A3102" s="460"/>
      <c r="B3102" s="99"/>
      <c r="C3102" s="377"/>
      <c r="D3102" s="377"/>
      <c r="E3102" s="377"/>
      <c r="F3102" s="377"/>
      <c r="G3102" s="377"/>
      <c r="H3102" s="377"/>
      <c r="I3102" s="377"/>
      <c r="J3102" s="377"/>
      <c r="K3102" s="377"/>
      <c r="L3102" s="377"/>
      <c r="M3102" s="377"/>
      <c r="N3102" s="377"/>
      <c r="O3102" s="377"/>
      <c r="P3102" s="377"/>
      <c r="Q3102" s="377"/>
      <c r="R3102" s="377"/>
      <c r="S3102" s="42"/>
      <c r="T3102" s="42"/>
      <c r="U3102" s="42"/>
      <c r="V3102" s="42"/>
      <c r="W3102" s="86"/>
      <c r="AR3102" s="377">
        <f>IPMT('Assumptions (T&amp;D)'!$B$97,Model!W$1,'Assumptions (T&amp;D)'!$B$100,Model!$AR$3006)</f>
        <v>-7.1422653126443275E-2</v>
      </c>
      <c r="AS3102" s="377">
        <f>IPMT('Assumptions (T&amp;D)'!$B$97,Model!X$1,'Assumptions (T&amp;D)'!$B$100,Model!$AR$3006)</f>
        <v>-6.8049994423178578E-2</v>
      </c>
      <c r="AT3102" s="377">
        <f>IPMT('Assumptions (T&amp;D)'!$B$97,Model!Y$1,'Assumptions (T&amp;D)'!$B$100,Model!$AR$3006)</f>
        <v>-6.4517134431508819E-2</v>
      </c>
      <c r="AU3102" s="377">
        <f>IPMT('Assumptions (T&amp;D)'!$B$97,Model!Z$1,'Assumptions (T&amp;D)'!$B$100,Model!$AR$3006)</f>
        <v>-6.0816463590234765E-2</v>
      </c>
      <c r="AV3102" s="377">
        <f>IPMT('Assumptions (T&amp;D)'!$B$97,Model!AA$1,'Assumptions (T&amp;D)'!$B$100,Model!$AR$3006)</f>
        <v>-5.6940010884000171E-2</v>
      </c>
      <c r="AW3102" s="377">
        <f>IPMT('Assumptions (T&amp;D)'!$B$97,Model!AB$1,'Assumptions (T&amp;D)'!$B$100,Model!$AR$3006)</f>
        <v>-5.2879426674219451E-2</v>
      </c>
      <c r="AX3102" s="377">
        <f>IPMT('Assumptions (T&amp;D)'!$B$97,Model!AC$1,'Assumptions (T&amp;D)'!$B$100,Model!$AR$3006)</f>
        <v>-4.8625964714474133E-2</v>
      </c>
      <c r="AY3102" s="377">
        <f>IPMT('Assumptions (T&amp;D)'!$B$97,Model!AD$1,'Assumptions (T&amp;D)'!$B$100,Model!$AR$3006)</f>
        <v>-4.4170463311640915E-2</v>
      </c>
      <c r="AZ3102" s="377">
        <f>IPMT('Assumptions (T&amp;D)'!$B$97,Model!AE$1,'Assumptions (T&amp;D)'!$B$100,Model!$AR$3006)</f>
        <v>-3.9503325592173129E-2</v>
      </c>
      <c r="BA3102" s="377">
        <f>IPMT('Assumptions (T&amp;D)'!$B$97,Model!AF$1,'Assumptions (T&amp;D)'!$B$100,Model!$AR$3006)</f>
        <v>-3.461449883103062E-2</v>
      </c>
      <c r="BB3102" s="377">
        <f>IPMT('Assumptions (T&amp;D)'!$B$97,Model!AG$1,'Assumptions (T&amp;D)'!$B$100,Model!$AR$3006)</f>
        <v>-2.9493452798733832E-2</v>
      </c>
      <c r="BC3102" s="377">
        <f>IPMT('Assumptions (T&amp;D)'!$B$97,Model!AH$1,'Assumptions (T&amp;D)'!$B$100,Model!$AR$3006)</f>
        <v>-2.4129157079902958E-2</v>
      </c>
      <c r="BD3102" s="377">
        <f>IPMT('Assumptions (T&amp;D)'!$B$97,Model!AI$1,'Assumptions (T&amp;D)'!$B$100,Model!$AR$3006)</f>
        <v>-1.8510057314427609E-2</v>
      </c>
      <c r="BE3102" s="377">
        <f>IPMT('Assumptions (T&amp;D)'!$B$97,Model!AJ$1,'Assumptions (T&amp;D)'!$B$100,Model!$AR$3006)</f>
        <v>-1.2624050310092182E-2</v>
      </c>
      <c r="BF3102" s="377">
        <f>IPMT('Assumptions (T&amp;D)'!$B$97,Model!AK$1,'Assumptions (T&amp;D)'!$B$100,Model!$AR$3006)</f>
        <v>-6.458457973050823E-3</v>
      </c>
      <c r="BG3102" s="377"/>
      <c r="BH3102" s="377"/>
      <c r="BI3102" s="377"/>
      <c r="BJ3102" s="377"/>
      <c r="BK3102" s="377"/>
      <c r="BL3102" s="377"/>
      <c r="BM3102" s="377"/>
      <c r="BN3102" s="377"/>
      <c r="BO3102" s="377"/>
      <c r="BP3102" s="377"/>
    </row>
    <row r="3103" spans="1:70" ht="15.75" hidden="1" customHeight="1" outlineLevel="1">
      <c r="A3103" s="460"/>
      <c r="B3103" s="99"/>
      <c r="C3103" s="377"/>
      <c r="D3103" s="377"/>
      <c r="E3103" s="377"/>
      <c r="F3103" s="377"/>
      <c r="G3103" s="377"/>
      <c r="H3103" s="377"/>
      <c r="I3103" s="377"/>
      <c r="J3103" s="377"/>
      <c r="K3103" s="377"/>
      <c r="L3103" s="377"/>
      <c r="M3103" s="377"/>
      <c r="N3103" s="377"/>
      <c r="O3103" s="377"/>
      <c r="P3103" s="377"/>
      <c r="Q3103" s="377"/>
      <c r="R3103" s="377"/>
      <c r="S3103" s="42"/>
      <c r="T3103" s="42"/>
      <c r="U3103" s="42"/>
      <c r="V3103" s="42"/>
      <c r="W3103" s="86"/>
      <c r="AS3103" s="377">
        <f>IPMT('Assumptions (T&amp;D)'!$B$97,Model!W$1,'Assumptions (T&amp;D)'!$B$100,Model!$AS$3006)</f>
        <v>-7.1422653126443275E-2</v>
      </c>
      <c r="AT3103" s="377">
        <f>IPMT('Assumptions (T&amp;D)'!$B$97,Model!X$1,'Assumptions (T&amp;D)'!$B$100,Model!$AS$3006)</f>
        <v>-6.8049994423178578E-2</v>
      </c>
      <c r="AU3103" s="377">
        <f>IPMT('Assumptions (T&amp;D)'!$B$97,Model!Y$1,'Assumptions (T&amp;D)'!$B$100,Model!$AS$3006)</f>
        <v>-6.4517134431508819E-2</v>
      </c>
      <c r="AV3103" s="377">
        <f>IPMT('Assumptions (T&amp;D)'!$B$97,Model!Z$1,'Assumptions (T&amp;D)'!$B$100,Model!$AS$3006)</f>
        <v>-6.0816463590234765E-2</v>
      </c>
      <c r="AW3103" s="377">
        <f>IPMT('Assumptions (T&amp;D)'!$B$97,Model!AA$1,'Assumptions (T&amp;D)'!$B$100,Model!$AS$3006)</f>
        <v>-5.6940010884000171E-2</v>
      </c>
      <c r="AX3103" s="377">
        <f>IPMT('Assumptions (T&amp;D)'!$B$97,Model!AB$1,'Assumptions (T&amp;D)'!$B$100,Model!$AS$3006)</f>
        <v>-5.2879426674219451E-2</v>
      </c>
      <c r="AY3103" s="377">
        <f>IPMT('Assumptions (T&amp;D)'!$B$97,Model!AC$1,'Assumptions (T&amp;D)'!$B$100,Model!$AS$3006)</f>
        <v>-4.8625964714474133E-2</v>
      </c>
      <c r="AZ3103" s="377">
        <f>IPMT('Assumptions (T&amp;D)'!$B$97,Model!AD$1,'Assumptions (T&amp;D)'!$B$100,Model!$AS$3006)</f>
        <v>-4.4170463311640915E-2</v>
      </c>
      <c r="BA3103" s="377">
        <f>IPMT('Assumptions (T&amp;D)'!$B$97,Model!AE$1,'Assumptions (T&amp;D)'!$B$100,Model!$AS$3006)</f>
        <v>-3.9503325592173129E-2</v>
      </c>
      <c r="BB3103" s="377">
        <f>IPMT('Assumptions (T&amp;D)'!$B$97,Model!AF$1,'Assumptions (T&amp;D)'!$B$100,Model!$AS$3006)</f>
        <v>-3.461449883103062E-2</v>
      </c>
      <c r="BC3103" s="377">
        <f>IPMT('Assumptions (T&amp;D)'!$B$97,Model!AG$1,'Assumptions (T&amp;D)'!$B$100,Model!$AS$3006)</f>
        <v>-2.9493452798733832E-2</v>
      </c>
      <c r="BD3103" s="377">
        <f>IPMT('Assumptions (T&amp;D)'!$B$97,Model!AH$1,'Assumptions (T&amp;D)'!$B$100,Model!$AS$3006)</f>
        <v>-2.4129157079902958E-2</v>
      </c>
      <c r="BE3103" s="377">
        <f>IPMT('Assumptions (T&amp;D)'!$B$97,Model!AI$1,'Assumptions (T&amp;D)'!$B$100,Model!$AS$3006)</f>
        <v>-1.8510057314427609E-2</v>
      </c>
      <c r="BF3103" s="377">
        <f>IPMT('Assumptions (T&amp;D)'!$B$97,Model!AJ$1,'Assumptions (T&amp;D)'!$B$100,Model!$AS$3006)</f>
        <v>-1.2624050310092182E-2</v>
      </c>
      <c r="BG3103" s="377">
        <f>IPMT('Assumptions (T&amp;D)'!$B$97,Model!AK$1,'Assumptions (T&amp;D)'!$B$100,Model!$AS$3006)</f>
        <v>-6.458457973050823E-3</v>
      </c>
      <c r="BH3103" s="377"/>
      <c r="BI3103" s="377"/>
      <c r="BJ3103" s="377"/>
      <c r="BK3103" s="377"/>
      <c r="BL3103" s="377"/>
      <c r="BM3103" s="377"/>
      <c r="BN3103" s="377"/>
      <c r="BO3103" s="377"/>
      <c r="BP3103" s="377"/>
      <c r="BQ3103" s="377"/>
    </row>
    <row r="3104" spans="1:70" ht="15.75" hidden="1" customHeight="1" outlineLevel="1">
      <c r="A3104" s="460"/>
      <c r="B3104" s="99"/>
      <c r="C3104" s="377"/>
      <c r="D3104" s="377"/>
      <c r="E3104" s="377"/>
      <c r="F3104" s="377"/>
      <c r="G3104" s="377"/>
      <c r="H3104" s="377"/>
      <c r="I3104" s="377"/>
      <c r="J3104" s="377"/>
      <c r="K3104" s="377"/>
      <c r="L3104" s="377"/>
      <c r="M3104" s="377"/>
      <c r="N3104" s="377"/>
      <c r="O3104" s="377"/>
      <c r="P3104" s="377"/>
      <c r="Q3104" s="377"/>
      <c r="R3104" s="377"/>
      <c r="S3104" s="42"/>
      <c r="T3104" s="42"/>
      <c r="U3104" s="42"/>
      <c r="V3104" s="42"/>
      <c r="W3104" s="86"/>
      <c r="AT3104" s="377">
        <f>IPMT('Assumptions (T&amp;D)'!$B$97,Model!W$1,'Assumptions (T&amp;D)'!$B$100,Model!$AT$3006)</f>
        <v>-7.1422653126443275E-2</v>
      </c>
      <c r="AU3104" s="377">
        <f>IPMT('Assumptions (T&amp;D)'!$B$97,Model!X$1,'Assumptions (T&amp;D)'!$B$100,Model!$AT$3006)</f>
        <v>-6.8049994423178578E-2</v>
      </c>
      <c r="AV3104" s="377">
        <f>IPMT('Assumptions (T&amp;D)'!$B$97,Model!Y$1,'Assumptions (T&amp;D)'!$B$100,Model!$AT$3006)</f>
        <v>-6.4517134431508819E-2</v>
      </c>
      <c r="AW3104" s="377">
        <f>IPMT('Assumptions (T&amp;D)'!$B$97,Model!Z$1,'Assumptions (T&amp;D)'!$B$100,Model!$AT$3006)</f>
        <v>-6.0816463590234765E-2</v>
      </c>
      <c r="AX3104" s="377">
        <f>IPMT('Assumptions (T&amp;D)'!$B$97,Model!AA$1,'Assumptions (T&amp;D)'!$B$100,Model!$AT$3006)</f>
        <v>-5.6940010884000171E-2</v>
      </c>
      <c r="AY3104" s="377">
        <f>IPMT('Assumptions (T&amp;D)'!$B$97,Model!AB$1,'Assumptions (T&amp;D)'!$B$100,Model!$AT$3006)</f>
        <v>-5.2879426674219451E-2</v>
      </c>
      <c r="AZ3104" s="377">
        <f>IPMT('Assumptions (T&amp;D)'!$B$97,Model!AC$1,'Assumptions (T&amp;D)'!$B$100,Model!$AT$3006)</f>
        <v>-4.8625964714474133E-2</v>
      </c>
      <c r="BA3104" s="377">
        <f>IPMT('Assumptions (T&amp;D)'!$B$97,Model!AD$1,'Assumptions (T&amp;D)'!$B$100,Model!$AT$3006)</f>
        <v>-4.4170463311640915E-2</v>
      </c>
      <c r="BB3104" s="377">
        <f>IPMT('Assumptions (T&amp;D)'!$B$97,Model!AE$1,'Assumptions (T&amp;D)'!$B$100,Model!$AT$3006)</f>
        <v>-3.9503325592173129E-2</v>
      </c>
      <c r="BC3104" s="377">
        <f>IPMT('Assumptions (T&amp;D)'!$B$97,Model!AF$1,'Assumptions (T&amp;D)'!$B$100,Model!$AT$3006)</f>
        <v>-3.461449883103062E-2</v>
      </c>
      <c r="BD3104" s="377">
        <f>IPMT('Assumptions (T&amp;D)'!$B$97,Model!AG$1,'Assumptions (T&amp;D)'!$B$100,Model!$AT$3006)</f>
        <v>-2.9493452798733832E-2</v>
      </c>
      <c r="BE3104" s="377">
        <f>IPMT('Assumptions (T&amp;D)'!$B$97,Model!AH$1,'Assumptions (T&amp;D)'!$B$100,Model!$AT$3006)</f>
        <v>-2.4129157079902958E-2</v>
      </c>
      <c r="BF3104" s="377">
        <f>IPMT('Assumptions (T&amp;D)'!$B$97,Model!AI$1,'Assumptions (T&amp;D)'!$B$100,Model!$AT$3006)</f>
        <v>-1.8510057314427609E-2</v>
      </c>
      <c r="BG3104" s="377">
        <f>IPMT('Assumptions (T&amp;D)'!$B$97,Model!AJ$1,'Assumptions (T&amp;D)'!$B$100,Model!$AT$3006)</f>
        <v>-1.2624050310092182E-2</v>
      </c>
      <c r="BH3104" s="377">
        <f>IPMT('Assumptions (T&amp;D)'!$B$97,Model!AK$1,'Assumptions (T&amp;D)'!$B$100,Model!$AT$3006)</f>
        <v>-6.458457973050823E-3</v>
      </c>
      <c r="BI3104" s="377"/>
      <c r="BJ3104" s="377"/>
      <c r="BK3104" s="377"/>
      <c r="BL3104" s="377"/>
      <c r="BM3104" s="377"/>
      <c r="BN3104" s="377"/>
      <c r="BO3104" s="377"/>
      <c r="BP3104" s="377"/>
      <c r="BQ3104" s="377"/>
      <c r="BR3104" s="377"/>
    </row>
    <row r="3105" spans="1:82" ht="15.75" hidden="1" customHeight="1" outlineLevel="1">
      <c r="A3105" s="460"/>
      <c r="B3105" s="99"/>
      <c r="C3105" s="377"/>
      <c r="D3105" s="377"/>
      <c r="E3105" s="377"/>
      <c r="F3105" s="377"/>
      <c r="G3105" s="377"/>
      <c r="H3105" s="377"/>
      <c r="I3105" s="377"/>
      <c r="J3105" s="377"/>
      <c r="K3105" s="377"/>
      <c r="L3105" s="377"/>
      <c r="M3105" s="377"/>
      <c r="N3105" s="377"/>
      <c r="O3105" s="377"/>
      <c r="P3105" s="377"/>
      <c r="Q3105" s="377"/>
      <c r="R3105" s="377"/>
      <c r="S3105" s="42"/>
      <c r="T3105" s="42"/>
      <c r="U3105" s="42"/>
      <c r="V3105" s="42"/>
      <c r="W3105" s="86"/>
      <c r="AU3105" s="377">
        <f>IPMT('Assumptions (T&amp;D)'!$B$97,Model!W$1,'Assumptions (T&amp;D)'!$B$100,Model!$AU$3006)</f>
        <v>-7.1422653126443275E-2</v>
      </c>
      <c r="AV3105" s="377">
        <f>IPMT('Assumptions (T&amp;D)'!$B$97,Model!X$1,'Assumptions (T&amp;D)'!$B$100,Model!$AU$3006)</f>
        <v>-6.8049994423178578E-2</v>
      </c>
      <c r="AW3105" s="377">
        <f>IPMT('Assumptions (T&amp;D)'!$B$97,Model!Y$1,'Assumptions (T&amp;D)'!$B$100,Model!$AU$3006)</f>
        <v>-6.4517134431508819E-2</v>
      </c>
      <c r="AX3105" s="377">
        <f>IPMT('Assumptions (T&amp;D)'!$B$97,Model!Z$1,'Assumptions (T&amp;D)'!$B$100,Model!$AU$3006)</f>
        <v>-6.0816463590234765E-2</v>
      </c>
      <c r="AY3105" s="377">
        <f>IPMT('Assumptions (T&amp;D)'!$B$97,Model!AA$1,'Assumptions (T&amp;D)'!$B$100,Model!$AU$3006)</f>
        <v>-5.6940010884000171E-2</v>
      </c>
      <c r="AZ3105" s="377">
        <f>IPMT('Assumptions (T&amp;D)'!$B$97,Model!AB$1,'Assumptions (T&amp;D)'!$B$100,Model!$AU$3006)</f>
        <v>-5.2879426674219451E-2</v>
      </c>
      <c r="BA3105" s="377">
        <f>IPMT('Assumptions (T&amp;D)'!$B$97,Model!AC$1,'Assumptions (T&amp;D)'!$B$100,Model!$AU$3006)</f>
        <v>-4.8625964714474133E-2</v>
      </c>
      <c r="BB3105" s="377">
        <f>IPMT('Assumptions (T&amp;D)'!$B$97,Model!AD$1,'Assumptions (T&amp;D)'!$B$100,Model!$AU$3006)</f>
        <v>-4.4170463311640915E-2</v>
      </c>
      <c r="BC3105" s="377">
        <f>IPMT('Assumptions (T&amp;D)'!$B$97,Model!AE$1,'Assumptions (T&amp;D)'!$B$100,Model!$AU$3006)</f>
        <v>-3.9503325592173129E-2</v>
      </c>
      <c r="BD3105" s="377">
        <f>IPMT('Assumptions (T&amp;D)'!$B$97,Model!AF$1,'Assumptions (T&amp;D)'!$B$100,Model!$AU$3006)</f>
        <v>-3.461449883103062E-2</v>
      </c>
      <c r="BE3105" s="377">
        <f>IPMT('Assumptions (T&amp;D)'!$B$97,Model!AG$1,'Assumptions (T&amp;D)'!$B$100,Model!$AU$3006)</f>
        <v>-2.9493452798733832E-2</v>
      </c>
      <c r="BF3105" s="377">
        <f>IPMT('Assumptions (T&amp;D)'!$B$97,Model!AH$1,'Assumptions (T&amp;D)'!$B$100,Model!$AU$3006)</f>
        <v>-2.4129157079902958E-2</v>
      </c>
      <c r="BG3105" s="377">
        <f>IPMT('Assumptions (T&amp;D)'!$B$97,Model!AI$1,'Assumptions (T&amp;D)'!$B$100,Model!$AU$3006)</f>
        <v>-1.8510057314427609E-2</v>
      </c>
      <c r="BH3105" s="377">
        <f>IPMT('Assumptions (T&amp;D)'!$B$97,Model!AJ$1,'Assumptions (T&amp;D)'!$B$100,Model!$AU$3006)</f>
        <v>-1.2624050310092182E-2</v>
      </c>
      <c r="BI3105" s="377">
        <f>IPMT('Assumptions (T&amp;D)'!$B$97,Model!AK$1,'Assumptions (T&amp;D)'!$B$100,Model!$AU$3006)</f>
        <v>-6.458457973050823E-3</v>
      </c>
      <c r="BJ3105" s="377"/>
      <c r="BK3105" s="377"/>
      <c r="BL3105" s="377"/>
      <c r="BM3105" s="377"/>
      <c r="BN3105" s="377"/>
      <c r="BO3105" s="377"/>
      <c r="BP3105" s="377"/>
      <c r="BQ3105" s="377"/>
      <c r="BR3105" s="377"/>
      <c r="BS3105" s="377"/>
    </row>
    <row r="3106" spans="1:82" ht="15.75" hidden="1" customHeight="1" outlineLevel="1">
      <c r="A3106" s="460"/>
      <c r="B3106" s="99"/>
      <c r="C3106" s="377"/>
      <c r="D3106" s="377"/>
      <c r="E3106" s="377"/>
      <c r="F3106" s="377"/>
      <c r="G3106" s="377"/>
      <c r="H3106" s="377"/>
      <c r="I3106" s="377"/>
      <c r="J3106" s="377"/>
      <c r="K3106" s="377"/>
      <c r="L3106" s="377"/>
      <c r="M3106" s="377"/>
      <c r="N3106" s="377"/>
      <c r="O3106" s="377"/>
      <c r="P3106" s="377"/>
      <c r="Q3106" s="377"/>
      <c r="R3106" s="377"/>
      <c r="S3106" s="42"/>
      <c r="T3106" s="42"/>
      <c r="U3106" s="42"/>
      <c r="V3106" s="42"/>
      <c r="W3106" s="86"/>
      <c r="AV3106" s="377">
        <f>IPMT('Assumptions (T&amp;D)'!$B$97,Model!W$1,'Assumptions (T&amp;D)'!$B$100,Model!$AV$3006)</f>
        <v>-7.1422653126443275E-2</v>
      </c>
      <c r="AW3106" s="377">
        <f>IPMT('Assumptions (T&amp;D)'!$B$97,Model!X$1,'Assumptions (T&amp;D)'!$B$100,Model!$AV$3006)</f>
        <v>-6.8049994423178578E-2</v>
      </c>
      <c r="AX3106" s="377">
        <f>IPMT('Assumptions (T&amp;D)'!$B$97,Model!Y$1,'Assumptions (T&amp;D)'!$B$100,Model!$AV$3006)</f>
        <v>-6.4517134431508819E-2</v>
      </c>
      <c r="AY3106" s="377">
        <f>IPMT('Assumptions (T&amp;D)'!$B$97,Model!Z$1,'Assumptions (T&amp;D)'!$B$100,Model!$AV$3006)</f>
        <v>-6.0816463590234765E-2</v>
      </c>
      <c r="AZ3106" s="377">
        <f>IPMT('Assumptions (T&amp;D)'!$B$97,Model!AA$1,'Assumptions (T&amp;D)'!$B$100,Model!$AV$3006)</f>
        <v>-5.6940010884000171E-2</v>
      </c>
      <c r="BA3106" s="377">
        <f>IPMT('Assumptions (T&amp;D)'!$B$97,Model!AB$1,'Assumptions (T&amp;D)'!$B$100,Model!$AV$3006)</f>
        <v>-5.2879426674219451E-2</v>
      </c>
      <c r="BB3106" s="377">
        <f>IPMT('Assumptions (T&amp;D)'!$B$97,Model!AC$1,'Assumptions (T&amp;D)'!$B$100,Model!$AV$3006)</f>
        <v>-4.8625964714474133E-2</v>
      </c>
      <c r="BC3106" s="377">
        <f>IPMT('Assumptions (T&amp;D)'!$B$97,Model!AD$1,'Assumptions (T&amp;D)'!$B$100,Model!$AV$3006)</f>
        <v>-4.4170463311640915E-2</v>
      </c>
      <c r="BD3106" s="377">
        <f>IPMT('Assumptions (T&amp;D)'!$B$97,Model!AE$1,'Assumptions (T&amp;D)'!$B$100,Model!$AV$3006)</f>
        <v>-3.9503325592173129E-2</v>
      </c>
      <c r="BE3106" s="377">
        <f>IPMT('Assumptions (T&amp;D)'!$B$97,Model!AF$1,'Assumptions (T&amp;D)'!$B$100,Model!$AV$3006)</f>
        <v>-3.461449883103062E-2</v>
      </c>
      <c r="BF3106" s="377">
        <f>IPMT('Assumptions (T&amp;D)'!$B$97,Model!AG$1,'Assumptions (T&amp;D)'!$B$100,Model!$AV$3006)</f>
        <v>-2.9493452798733832E-2</v>
      </c>
      <c r="BG3106" s="377">
        <f>IPMT('Assumptions (T&amp;D)'!$B$97,Model!AH$1,'Assumptions (T&amp;D)'!$B$100,Model!$AV$3006)</f>
        <v>-2.4129157079902958E-2</v>
      </c>
      <c r="BH3106" s="377">
        <f>IPMT('Assumptions (T&amp;D)'!$B$97,Model!AI$1,'Assumptions (T&amp;D)'!$B$100,Model!$AV$3006)</f>
        <v>-1.8510057314427609E-2</v>
      </c>
      <c r="BI3106" s="377">
        <f>IPMT('Assumptions (T&amp;D)'!$B$97,Model!AJ$1,'Assumptions (T&amp;D)'!$B$100,Model!$AV$3006)</f>
        <v>-1.2624050310092182E-2</v>
      </c>
      <c r="BJ3106" s="377">
        <f>IPMT('Assumptions (T&amp;D)'!$B$97,Model!AK$1,'Assumptions (T&amp;D)'!$B$100,Model!$AV$3006)</f>
        <v>-6.458457973050823E-3</v>
      </c>
      <c r="BK3106" s="377"/>
      <c r="BL3106" s="377"/>
      <c r="BM3106" s="377"/>
      <c r="BN3106" s="377"/>
      <c r="BO3106" s="377"/>
      <c r="BP3106" s="377"/>
      <c r="BQ3106" s="377"/>
      <c r="BR3106" s="377"/>
      <c r="BS3106" s="377"/>
      <c r="BT3106" s="377"/>
    </row>
    <row r="3107" spans="1:82" ht="15.75" hidden="1" customHeight="1" outlineLevel="1">
      <c r="A3107" s="460"/>
      <c r="B3107" s="99"/>
      <c r="C3107" s="377"/>
      <c r="D3107" s="377"/>
      <c r="E3107" s="377"/>
      <c r="F3107" s="377"/>
      <c r="G3107" s="377"/>
      <c r="H3107" s="377"/>
      <c r="I3107" s="377"/>
      <c r="J3107" s="377"/>
      <c r="K3107" s="377"/>
      <c r="L3107" s="377"/>
      <c r="M3107" s="377"/>
      <c r="N3107" s="377"/>
      <c r="O3107" s="377"/>
      <c r="P3107" s="377"/>
      <c r="Q3107" s="377"/>
      <c r="R3107" s="377"/>
      <c r="S3107" s="42"/>
      <c r="T3107" s="42"/>
      <c r="U3107" s="42"/>
      <c r="V3107" s="42"/>
      <c r="W3107" s="86"/>
      <c r="AW3107" s="377">
        <f>IPMT('Assumptions (T&amp;D)'!$B$97,Model!W$1,'Assumptions (T&amp;D)'!$B$100,Model!$AW$3006)</f>
        <v>-7.1422653126443275E-2</v>
      </c>
      <c r="AX3107" s="377">
        <f>IPMT('Assumptions (T&amp;D)'!$B$97,Model!X$1,'Assumptions (T&amp;D)'!$B$100,Model!$AW$3006)</f>
        <v>-6.8049994423178578E-2</v>
      </c>
      <c r="AY3107" s="377">
        <f>IPMT('Assumptions (T&amp;D)'!$B$97,Model!Y$1,'Assumptions (T&amp;D)'!$B$100,Model!$AW$3006)</f>
        <v>-6.4517134431508819E-2</v>
      </c>
      <c r="AZ3107" s="377">
        <f>IPMT('Assumptions (T&amp;D)'!$B$97,Model!Z$1,'Assumptions (T&amp;D)'!$B$100,Model!$AW$3006)</f>
        <v>-6.0816463590234765E-2</v>
      </c>
      <c r="BA3107" s="377">
        <f>IPMT('Assumptions (T&amp;D)'!$B$97,Model!AA$1,'Assumptions (T&amp;D)'!$B$100,Model!$AW$3006)</f>
        <v>-5.6940010884000171E-2</v>
      </c>
      <c r="BB3107" s="377">
        <f>IPMT('Assumptions (T&amp;D)'!$B$97,Model!AB$1,'Assumptions (T&amp;D)'!$B$100,Model!$AW$3006)</f>
        <v>-5.2879426674219451E-2</v>
      </c>
      <c r="BC3107" s="377">
        <f>IPMT('Assumptions (T&amp;D)'!$B$97,Model!AC$1,'Assumptions (T&amp;D)'!$B$100,Model!$AW$3006)</f>
        <v>-4.8625964714474133E-2</v>
      </c>
      <c r="BD3107" s="377">
        <f>IPMT('Assumptions (T&amp;D)'!$B$97,Model!AD$1,'Assumptions (T&amp;D)'!$B$100,Model!$AW$3006)</f>
        <v>-4.4170463311640915E-2</v>
      </c>
      <c r="BE3107" s="377">
        <f>IPMT('Assumptions (T&amp;D)'!$B$97,Model!AE$1,'Assumptions (T&amp;D)'!$B$100,Model!$AW$3006)</f>
        <v>-3.9503325592173129E-2</v>
      </c>
      <c r="BF3107" s="377">
        <f>IPMT('Assumptions (T&amp;D)'!$B$97,Model!AF$1,'Assumptions (T&amp;D)'!$B$100,Model!$AW$3006)</f>
        <v>-3.461449883103062E-2</v>
      </c>
      <c r="BG3107" s="377">
        <f>IPMT('Assumptions (T&amp;D)'!$B$97,Model!AG$1,'Assumptions (T&amp;D)'!$B$100,Model!$AW$3006)</f>
        <v>-2.9493452798733832E-2</v>
      </c>
      <c r="BH3107" s="377">
        <f>IPMT('Assumptions (T&amp;D)'!$B$97,Model!AH$1,'Assumptions (T&amp;D)'!$B$100,Model!$AW$3006)</f>
        <v>-2.4129157079902958E-2</v>
      </c>
      <c r="BI3107" s="377">
        <f>IPMT('Assumptions (T&amp;D)'!$B$97,Model!AI$1,'Assumptions (T&amp;D)'!$B$100,Model!$AW$3006)</f>
        <v>-1.8510057314427609E-2</v>
      </c>
      <c r="BJ3107" s="377">
        <f>IPMT('Assumptions (T&amp;D)'!$B$97,Model!AJ$1,'Assumptions (T&amp;D)'!$B$100,Model!$AW$3006)</f>
        <v>-1.2624050310092182E-2</v>
      </c>
      <c r="BK3107" s="377">
        <f>IPMT('Assumptions (T&amp;D)'!$B$97,Model!AK$1,'Assumptions (T&amp;D)'!$B$100,Model!$AW$3006)</f>
        <v>-6.458457973050823E-3</v>
      </c>
      <c r="BL3107" s="377"/>
      <c r="BM3107" s="377"/>
      <c r="BN3107" s="377"/>
      <c r="BO3107" s="377"/>
      <c r="BP3107" s="377"/>
      <c r="BQ3107" s="377"/>
      <c r="BR3107" s="377"/>
      <c r="BS3107" s="377"/>
      <c r="BT3107" s="377"/>
      <c r="BU3107" s="377"/>
    </row>
    <row r="3108" spans="1:82" ht="15.75" hidden="1" customHeight="1" outlineLevel="1">
      <c r="A3108" s="460"/>
      <c r="B3108" s="99"/>
      <c r="C3108" s="377"/>
      <c r="D3108" s="377"/>
      <c r="E3108" s="377"/>
      <c r="F3108" s="377"/>
      <c r="G3108" s="377"/>
      <c r="H3108" s="377"/>
      <c r="I3108" s="377"/>
      <c r="J3108" s="377"/>
      <c r="K3108" s="377"/>
      <c r="L3108" s="377"/>
      <c r="M3108" s="377"/>
      <c r="N3108" s="377"/>
      <c r="O3108" s="377"/>
      <c r="P3108" s="377"/>
      <c r="Q3108" s="377"/>
      <c r="R3108" s="377"/>
      <c r="S3108" s="42"/>
      <c r="T3108" s="42"/>
      <c r="U3108" s="42"/>
      <c r="V3108" s="42"/>
      <c r="W3108" s="86"/>
      <c r="AW3108" s="377"/>
      <c r="AX3108" s="377">
        <f>IPMT('Assumptions (T&amp;D)'!$B$97,Model!W$1,'Assumptions (T&amp;D)'!$B$100,Model!$AX$3006)</f>
        <v>-7.1422653126443275E-2</v>
      </c>
      <c r="AY3108" s="377">
        <f>IPMT('Assumptions (T&amp;D)'!$B$97,Model!X$1,'Assumptions (T&amp;D)'!$B$100,Model!$AX$3006)</f>
        <v>-6.8049994423178578E-2</v>
      </c>
      <c r="AZ3108" s="377">
        <f>IPMT('Assumptions (T&amp;D)'!$B$97,Model!Y$1,'Assumptions (T&amp;D)'!$B$100,Model!$AX$3006)</f>
        <v>-6.4517134431508819E-2</v>
      </c>
      <c r="BA3108" s="377">
        <f>IPMT('Assumptions (T&amp;D)'!$B$97,Model!Z$1,'Assumptions (T&amp;D)'!$B$100,Model!$AX$3006)</f>
        <v>-6.0816463590234765E-2</v>
      </c>
      <c r="BB3108" s="377">
        <f>IPMT('Assumptions (T&amp;D)'!$B$97,Model!AA$1,'Assumptions (T&amp;D)'!$B$100,Model!$AX$3006)</f>
        <v>-5.6940010884000171E-2</v>
      </c>
      <c r="BC3108" s="377">
        <f>IPMT('Assumptions (T&amp;D)'!$B$97,Model!AB$1,'Assumptions (T&amp;D)'!$B$100,Model!$AX$3006)</f>
        <v>-5.2879426674219451E-2</v>
      </c>
      <c r="BD3108" s="377">
        <f>IPMT('Assumptions (T&amp;D)'!$B$97,Model!AC$1,'Assumptions (T&amp;D)'!$B$100,Model!$AX$3006)</f>
        <v>-4.8625964714474133E-2</v>
      </c>
      <c r="BE3108" s="377">
        <f>IPMT('Assumptions (T&amp;D)'!$B$97,Model!AD$1,'Assumptions (T&amp;D)'!$B$100,Model!$AX$3006)</f>
        <v>-4.4170463311640915E-2</v>
      </c>
      <c r="BF3108" s="377">
        <f>IPMT('Assumptions (T&amp;D)'!$B$97,Model!AE$1,'Assumptions (T&amp;D)'!$B$100,Model!$AX$3006)</f>
        <v>-3.9503325592173129E-2</v>
      </c>
      <c r="BG3108" s="377">
        <f>IPMT('Assumptions (T&amp;D)'!$B$97,Model!AF$1,'Assumptions (T&amp;D)'!$B$100,Model!$AX$3006)</f>
        <v>-3.461449883103062E-2</v>
      </c>
      <c r="BH3108" s="377">
        <f>IPMT('Assumptions (T&amp;D)'!$B$97,Model!AG$1,'Assumptions (T&amp;D)'!$B$100,Model!$AX$3006)</f>
        <v>-2.9493452798733832E-2</v>
      </c>
      <c r="BI3108" s="377">
        <f>IPMT('Assumptions (T&amp;D)'!$B$97,Model!AH$1,'Assumptions (T&amp;D)'!$B$100,Model!$AX$3006)</f>
        <v>-2.4129157079902958E-2</v>
      </c>
      <c r="BJ3108" s="377">
        <f>IPMT('Assumptions (T&amp;D)'!$B$97,Model!AI$1,'Assumptions (T&amp;D)'!$B$100,Model!$AX$3006)</f>
        <v>-1.8510057314427609E-2</v>
      </c>
      <c r="BK3108" s="377">
        <f>IPMT('Assumptions (T&amp;D)'!$B$97,Model!AJ$1,'Assumptions (T&amp;D)'!$B$100,Model!$AX$3006)</f>
        <v>-1.2624050310092182E-2</v>
      </c>
      <c r="BL3108" s="377">
        <f>IPMT('Assumptions (T&amp;D)'!$B$97,Model!AK$1,'Assumptions (T&amp;D)'!$B$100,Model!$AX$3006)</f>
        <v>-6.458457973050823E-3</v>
      </c>
      <c r="BM3108" s="377"/>
      <c r="BN3108" s="377"/>
      <c r="BO3108" s="377"/>
      <c r="BP3108" s="377"/>
      <c r="BQ3108" s="377"/>
      <c r="BR3108" s="377"/>
      <c r="BS3108" s="377"/>
      <c r="BT3108" s="377"/>
      <c r="BU3108" s="377"/>
      <c r="BV3108" s="377"/>
    </row>
    <row r="3109" spans="1:82" ht="15.75" hidden="1" customHeight="1" outlineLevel="1">
      <c r="A3109" s="460"/>
      <c r="B3109" s="99"/>
      <c r="C3109" s="377"/>
      <c r="D3109" s="377"/>
      <c r="E3109" s="377"/>
      <c r="F3109" s="377"/>
      <c r="G3109" s="377"/>
      <c r="H3109" s="377"/>
      <c r="I3109" s="377"/>
      <c r="J3109" s="377"/>
      <c r="K3109" s="377"/>
      <c r="L3109" s="377"/>
      <c r="M3109" s="377"/>
      <c r="N3109" s="377"/>
      <c r="O3109" s="377"/>
      <c r="P3109" s="377"/>
      <c r="Q3109" s="377"/>
      <c r="R3109" s="377"/>
      <c r="S3109" s="42"/>
      <c r="T3109" s="42"/>
      <c r="U3109" s="42"/>
      <c r="V3109" s="42"/>
      <c r="W3109" s="86"/>
      <c r="AW3109" s="377"/>
      <c r="AX3109" s="377"/>
      <c r="AY3109" s="377">
        <f>IPMT('Assumptions (T&amp;D)'!$B$97,Model!W$1,'Assumptions (T&amp;D)'!$B$100,Model!$AY$3006)</f>
        <v>-7.1422653126443275E-2</v>
      </c>
      <c r="AZ3109" s="377">
        <f>IPMT('Assumptions (T&amp;D)'!$B$97,Model!X$1,'Assumptions (T&amp;D)'!$B$100,Model!$AY$3006)</f>
        <v>-6.8049994423178578E-2</v>
      </c>
      <c r="BA3109" s="377">
        <f>IPMT('Assumptions (T&amp;D)'!$B$97,Model!Y$1,'Assumptions (T&amp;D)'!$B$100,Model!$AY$3006)</f>
        <v>-6.4517134431508819E-2</v>
      </c>
      <c r="BB3109" s="377">
        <f>IPMT('Assumptions (T&amp;D)'!$B$97,Model!Z$1,'Assumptions (T&amp;D)'!$B$100,Model!$AY$3006)</f>
        <v>-6.0816463590234765E-2</v>
      </c>
      <c r="BC3109" s="377">
        <f>IPMT('Assumptions (T&amp;D)'!$B$97,Model!AA$1,'Assumptions (T&amp;D)'!$B$100,Model!$AY$3006)</f>
        <v>-5.6940010884000171E-2</v>
      </c>
      <c r="BD3109" s="377">
        <f>IPMT('Assumptions (T&amp;D)'!$B$97,Model!AB$1,'Assumptions (T&amp;D)'!$B$100,Model!$AY$3006)</f>
        <v>-5.2879426674219451E-2</v>
      </c>
      <c r="BE3109" s="377">
        <f>IPMT('Assumptions (T&amp;D)'!$B$97,Model!AC$1,'Assumptions (T&amp;D)'!$B$100,Model!$AY$3006)</f>
        <v>-4.8625964714474133E-2</v>
      </c>
      <c r="BF3109" s="377">
        <f>IPMT('Assumptions (T&amp;D)'!$B$97,Model!AD$1,'Assumptions (T&amp;D)'!$B$100,Model!$AY$3006)</f>
        <v>-4.4170463311640915E-2</v>
      </c>
      <c r="BG3109" s="377">
        <f>IPMT('Assumptions (T&amp;D)'!$B$97,Model!AE$1,'Assumptions (T&amp;D)'!$B$100,Model!$AY$3006)</f>
        <v>-3.9503325592173129E-2</v>
      </c>
      <c r="BH3109" s="377">
        <f>IPMT('Assumptions (T&amp;D)'!$B$97,Model!AF$1,'Assumptions (T&amp;D)'!$B$100,Model!$AY$3006)</f>
        <v>-3.461449883103062E-2</v>
      </c>
      <c r="BI3109" s="377">
        <f>IPMT('Assumptions (T&amp;D)'!$B$97,Model!AG$1,'Assumptions (T&amp;D)'!$B$100,Model!$AY$3006)</f>
        <v>-2.9493452798733832E-2</v>
      </c>
      <c r="BJ3109" s="377">
        <f>IPMT('Assumptions (T&amp;D)'!$B$97,Model!AH$1,'Assumptions (T&amp;D)'!$B$100,Model!$AY$3006)</f>
        <v>-2.4129157079902958E-2</v>
      </c>
      <c r="BK3109" s="377">
        <f>IPMT('Assumptions (T&amp;D)'!$B$97,Model!AI$1,'Assumptions (T&amp;D)'!$B$100,Model!$AY$3006)</f>
        <v>-1.8510057314427609E-2</v>
      </c>
      <c r="BL3109" s="377">
        <f>IPMT('Assumptions (T&amp;D)'!$B$97,Model!AJ$1,'Assumptions (T&amp;D)'!$B$100,Model!$AY$3006)</f>
        <v>-1.2624050310092182E-2</v>
      </c>
      <c r="BM3109" s="377">
        <f>IPMT('Assumptions (T&amp;D)'!$B$97,Model!AK$1,'Assumptions (T&amp;D)'!$B$100,Model!$AY$3006)</f>
        <v>-6.458457973050823E-3</v>
      </c>
      <c r="BN3109" s="377"/>
      <c r="BO3109" s="377"/>
      <c r="BP3109" s="377"/>
      <c r="BQ3109" s="377"/>
      <c r="BR3109" s="377"/>
      <c r="BS3109" s="377"/>
      <c r="BT3109" s="377"/>
      <c r="BU3109" s="377"/>
      <c r="BV3109" s="377"/>
      <c r="BW3109" s="377"/>
    </row>
    <row r="3110" spans="1:82" ht="15.75" hidden="1" customHeight="1" outlineLevel="1">
      <c r="A3110" s="460"/>
      <c r="B3110" s="99"/>
      <c r="C3110" s="377"/>
      <c r="D3110" s="377"/>
      <c r="E3110" s="377"/>
      <c r="F3110" s="377"/>
      <c r="G3110" s="377"/>
      <c r="H3110" s="377"/>
      <c r="I3110" s="377"/>
      <c r="J3110" s="377"/>
      <c r="K3110" s="377"/>
      <c r="L3110" s="377"/>
      <c r="M3110" s="377"/>
      <c r="N3110" s="377"/>
      <c r="O3110" s="377"/>
      <c r="P3110" s="377"/>
      <c r="Q3110" s="377"/>
      <c r="R3110" s="377"/>
      <c r="S3110" s="42"/>
      <c r="T3110" s="42"/>
      <c r="U3110" s="42"/>
      <c r="V3110" s="42"/>
      <c r="W3110" s="86"/>
      <c r="AW3110" s="377"/>
      <c r="AX3110" s="377"/>
      <c r="AY3110" s="377"/>
      <c r="AZ3110" s="377">
        <f>IPMT('Assumptions (T&amp;D)'!$B$97,Model!W$1,'Assumptions (T&amp;D)'!$B$100,Model!$AZ$3006)</f>
        <v>-7.1422653126443275E-2</v>
      </c>
      <c r="BA3110" s="377">
        <f>IPMT('Assumptions (T&amp;D)'!$B$97,Model!X$1,'Assumptions (T&amp;D)'!$B$100,Model!$AZ$3006)</f>
        <v>-6.8049994423178578E-2</v>
      </c>
      <c r="BB3110" s="377">
        <f>IPMT('Assumptions (T&amp;D)'!$B$97,Model!Y$1,'Assumptions (T&amp;D)'!$B$100,Model!$AZ$3006)</f>
        <v>-6.4517134431508819E-2</v>
      </c>
      <c r="BC3110" s="377">
        <f>IPMT('Assumptions (T&amp;D)'!$B$97,Model!Z$1,'Assumptions (T&amp;D)'!$B$100,Model!$AZ$3006)</f>
        <v>-6.0816463590234765E-2</v>
      </c>
      <c r="BD3110" s="377">
        <f>IPMT('Assumptions (T&amp;D)'!$B$97,Model!AA$1,'Assumptions (T&amp;D)'!$B$100,Model!$AZ$3006)</f>
        <v>-5.6940010884000171E-2</v>
      </c>
      <c r="BE3110" s="377">
        <f>IPMT('Assumptions (T&amp;D)'!$B$97,Model!AB$1,'Assumptions (T&amp;D)'!$B$100,Model!$AZ$3006)</f>
        <v>-5.2879426674219451E-2</v>
      </c>
      <c r="BF3110" s="377">
        <f>IPMT('Assumptions (T&amp;D)'!$B$97,Model!AC$1,'Assumptions (T&amp;D)'!$B$100,Model!$AZ$3006)</f>
        <v>-4.8625964714474133E-2</v>
      </c>
      <c r="BG3110" s="377">
        <f>IPMT('Assumptions (T&amp;D)'!$B$97,Model!AD$1,'Assumptions (T&amp;D)'!$B$100,Model!$AZ$3006)</f>
        <v>-4.4170463311640915E-2</v>
      </c>
      <c r="BH3110" s="377">
        <f>IPMT('Assumptions (T&amp;D)'!$B$97,Model!AE$1,'Assumptions (T&amp;D)'!$B$100,Model!$AZ$3006)</f>
        <v>-3.9503325592173129E-2</v>
      </c>
      <c r="BI3110" s="377">
        <f>IPMT('Assumptions (T&amp;D)'!$B$97,Model!AF$1,'Assumptions (T&amp;D)'!$B$100,Model!$AZ$3006)</f>
        <v>-3.461449883103062E-2</v>
      </c>
      <c r="BJ3110" s="377">
        <f>IPMT('Assumptions (T&amp;D)'!$B$97,Model!AG$1,'Assumptions (T&amp;D)'!$B$100,Model!$AZ$3006)</f>
        <v>-2.9493452798733832E-2</v>
      </c>
      <c r="BK3110" s="377">
        <f>IPMT('Assumptions (T&amp;D)'!$B$97,Model!AH$1,'Assumptions (T&amp;D)'!$B$100,Model!$AZ$3006)</f>
        <v>-2.4129157079902958E-2</v>
      </c>
      <c r="BL3110" s="377">
        <f>IPMT('Assumptions (T&amp;D)'!$B$97,Model!AI$1,'Assumptions (T&amp;D)'!$B$100,Model!$AZ$3006)</f>
        <v>-1.8510057314427609E-2</v>
      </c>
      <c r="BM3110" s="377">
        <f>IPMT('Assumptions (T&amp;D)'!$B$97,Model!AJ$1,'Assumptions (T&amp;D)'!$B$100,Model!$AZ$3006)</f>
        <v>-1.2624050310092182E-2</v>
      </c>
      <c r="BN3110" s="377">
        <f>IPMT('Assumptions (T&amp;D)'!$B$97,Model!AK$1,'Assumptions (T&amp;D)'!$B$100,Model!$AZ$3006)</f>
        <v>-6.458457973050823E-3</v>
      </c>
      <c r="BO3110" s="377"/>
      <c r="BP3110" s="377"/>
      <c r="BQ3110" s="377"/>
      <c r="BR3110" s="377"/>
      <c r="BS3110" s="377"/>
      <c r="BT3110" s="377"/>
      <c r="BU3110" s="377"/>
      <c r="BV3110" s="377"/>
      <c r="BW3110" s="377"/>
      <c r="BX3110" s="377"/>
    </row>
    <row r="3111" spans="1:82" ht="15.75" hidden="1" customHeight="1" outlineLevel="1">
      <c r="A3111" s="460"/>
      <c r="B3111" s="99"/>
      <c r="C3111" s="377"/>
      <c r="D3111" s="377"/>
      <c r="E3111" s="377"/>
      <c r="F3111" s="377"/>
      <c r="G3111" s="377"/>
      <c r="H3111" s="377"/>
      <c r="I3111" s="377"/>
      <c r="J3111" s="377"/>
      <c r="K3111" s="377"/>
      <c r="L3111" s="377"/>
      <c r="M3111" s="377"/>
      <c r="N3111" s="377"/>
      <c r="O3111" s="377"/>
      <c r="P3111" s="377"/>
      <c r="Q3111" s="377"/>
      <c r="R3111" s="377"/>
      <c r="S3111" s="42"/>
      <c r="T3111" s="42"/>
      <c r="U3111" s="42"/>
      <c r="V3111" s="42"/>
      <c r="W3111" s="86"/>
      <c r="BA3111" s="377">
        <f>IPMT('Assumptions (T&amp;D)'!$B$97,Model!W$1,'Assumptions (T&amp;D)'!$B$100,Model!$BA$3006)</f>
        <v>-7.1422653126443275E-2</v>
      </c>
      <c r="BB3111" s="377">
        <f>IPMT('Assumptions (T&amp;D)'!$B$97,Model!X$1,'Assumptions (T&amp;D)'!$B$100,Model!$BA$3006)</f>
        <v>-6.8049994423178578E-2</v>
      </c>
      <c r="BC3111" s="377">
        <f>IPMT('Assumptions (T&amp;D)'!$B$97,Model!Y$1,'Assumptions (T&amp;D)'!$B$100,Model!$BA$3006)</f>
        <v>-6.4517134431508819E-2</v>
      </c>
      <c r="BD3111" s="377">
        <f>IPMT('Assumptions (T&amp;D)'!$B$97,Model!Z$1,'Assumptions (T&amp;D)'!$B$100,Model!$BA$3006)</f>
        <v>-6.0816463590234765E-2</v>
      </c>
      <c r="BE3111" s="377">
        <f>IPMT('Assumptions (T&amp;D)'!$B$97,Model!AA$1,'Assumptions (T&amp;D)'!$B$100,Model!$BA$3006)</f>
        <v>-5.6940010884000171E-2</v>
      </c>
      <c r="BF3111" s="377">
        <f>IPMT('Assumptions (T&amp;D)'!$B$97,Model!AB$1,'Assumptions (T&amp;D)'!$B$100,Model!$BA$3006)</f>
        <v>-5.2879426674219451E-2</v>
      </c>
      <c r="BG3111" s="377">
        <f>IPMT('Assumptions (T&amp;D)'!$B$97,Model!AC$1,'Assumptions (T&amp;D)'!$B$100,Model!$BA$3006)</f>
        <v>-4.8625964714474133E-2</v>
      </c>
      <c r="BH3111" s="377">
        <f>IPMT('Assumptions (T&amp;D)'!$B$97,Model!AD$1,'Assumptions (T&amp;D)'!$B$100,Model!$BA$3006)</f>
        <v>-4.4170463311640915E-2</v>
      </c>
      <c r="BI3111" s="377">
        <f>IPMT('Assumptions (T&amp;D)'!$B$97,Model!AE$1,'Assumptions (T&amp;D)'!$B$100,Model!$BA$3006)</f>
        <v>-3.9503325592173129E-2</v>
      </c>
      <c r="BJ3111" s="377">
        <f>IPMT('Assumptions (T&amp;D)'!$B$97,Model!AF$1,'Assumptions (T&amp;D)'!$B$100,Model!$BA$3006)</f>
        <v>-3.461449883103062E-2</v>
      </c>
      <c r="BK3111" s="377">
        <f>IPMT('Assumptions (T&amp;D)'!$B$97,Model!AG$1,'Assumptions (T&amp;D)'!$B$100,Model!$BA$3006)</f>
        <v>-2.9493452798733832E-2</v>
      </c>
      <c r="BL3111" s="377">
        <f>IPMT('Assumptions (T&amp;D)'!$B$97,Model!AH$1,'Assumptions (T&amp;D)'!$B$100,Model!$BA$3006)</f>
        <v>-2.4129157079902958E-2</v>
      </c>
      <c r="BM3111" s="377">
        <f>IPMT('Assumptions (T&amp;D)'!$B$97,Model!AI$1,'Assumptions (T&amp;D)'!$B$100,Model!$BA$3006)</f>
        <v>-1.8510057314427609E-2</v>
      </c>
      <c r="BN3111" s="377">
        <f>IPMT('Assumptions (T&amp;D)'!$B$97,Model!AJ$1,'Assumptions (T&amp;D)'!$B$100,Model!$BA$3006)</f>
        <v>-1.2624050310092182E-2</v>
      </c>
      <c r="BO3111" s="377">
        <f>IPMT('Assumptions (T&amp;D)'!$B$97,Model!AK$1,'Assumptions (T&amp;D)'!$B$100,Model!$BA$3006)</f>
        <v>-6.458457973050823E-3</v>
      </c>
      <c r="BP3111" s="377"/>
      <c r="BQ3111" s="377"/>
      <c r="BR3111" s="377"/>
      <c r="BS3111" s="377"/>
      <c r="BT3111" s="377"/>
      <c r="BU3111" s="377"/>
      <c r="BV3111" s="377"/>
      <c r="BW3111" s="377"/>
      <c r="BX3111" s="377"/>
      <c r="BY3111" s="377"/>
    </row>
    <row r="3112" spans="1:82" ht="15.75" customHeight="1" collapsed="1">
      <c r="A3112" s="460" t="s">
        <v>837</v>
      </c>
      <c r="B3112" s="99" t="s">
        <v>201</v>
      </c>
      <c r="C3112" s="147">
        <f>SUM($C$3005:C3005)*'Assumptions (T&amp;D)'!$B$102</f>
        <v>7.9047619047619047E-2</v>
      </c>
      <c r="D3112" s="147">
        <f>SUM($C$3005:D3005)*'Assumptions (T&amp;D)'!$B$102</f>
        <v>0.14047619047619048</v>
      </c>
      <c r="E3112" s="147">
        <f>SUM($C$3005:E3005)*'Assumptions (T&amp;D)'!$B$102</f>
        <v>0.20714285714285716</v>
      </c>
      <c r="F3112" s="147">
        <f>SUM($C$3005:F3005)*'Assumptions (T&amp;D)'!$B$102</f>
        <v>0.28047619047619049</v>
      </c>
      <c r="G3112" s="147">
        <f>SUM($C$3005:G3005)*'Assumptions (T&amp;D)'!$B$102</f>
        <v>0.34619047619047622</v>
      </c>
      <c r="H3112" s="147">
        <f>SUM($C$3005:H3005)*'Assumptions (T&amp;D)'!$B$102</f>
        <v>0.43571428571428578</v>
      </c>
      <c r="I3112" s="147">
        <f>SUM($C$3005:I3005)*'Assumptions (T&amp;D)'!$B$102</f>
        <v>0.50809523809523816</v>
      </c>
      <c r="J3112" s="147">
        <f>SUM($C$3005:J3005)*'Assumptions (T&amp;D)'!$B$102</f>
        <v>0.59000000000000008</v>
      </c>
      <c r="K3112" s="147">
        <f>SUM($C$3005:K3005)*'Assumptions (T&amp;D)'!$B$102</f>
        <v>0.69047619047619047</v>
      </c>
      <c r="L3112" s="147">
        <f>SUM($C$3005:L3005)*'Assumptions (T&amp;D)'!$B$102</f>
        <v>0.79476190476190478</v>
      </c>
      <c r="M3112" s="147">
        <f>SUM($C$3005:M3005)*'Assumptions (T&amp;D)'!$B$102</f>
        <v>0.8957142857142858</v>
      </c>
      <c r="N3112" s="147">
        <f>SUM($C$3005:N3005)*'Assumptions (T&amp;D)'!$B$102</f>
        <v>1.0247619047619048</v>
      </c>
      <c r="O3112" s="147">
        <f>SUM($C$3005:O3005)*'Assumptions (T&amp;D)'!$B$102</f>
        <v>1.1761904761904762</v>
      </c>
      <c r="P3112" s="147">
        <f>SUM($C$3005:P3005)*'Assumptions (T&amp;D)'!$B$102</f>
        <v>1.3142857142857143</v>
      </c>
      <c r="Q3112" s="147">
        <f>SUM($C$3005:Q3005)*'Assumptions (T&amp;D)'!$B$102</f>
        <v>1.4571428571428571</v>
      </c>
      <c r="R3112" s="147">
        <f>SUM($C$3005:R3005)*'Assumptions (T&amp;D)'!$B$102</f>
        <v>1.6128571428571428</v>
      </c>
      <c r="S3112" s="147">
        <f>SUM($C$3005:S3005)*'Assumptions (T&amp;D)'!$B$102</f>
        <v>1.7876190476190474</v>
      </c>
      <c r="T3112" s="147">
        <f>SUM($C$3005:T3005)*'Assumptions (T&amp;D)'!$B$102</f>
        <v>1.9129219478408779</v>
      </c>
      <c r="U3112" s="147">
        <f>SUM($C$3005:U3005)*'Assumptions (T&amp;D)'!$B$102</f>
        <v>2.0382248480627081</v>
      </c>
      <c r="V3112" s="147">
        <f>SUM($C$3005:V3005)*'Assumptions (T&amp;D)'!$B$102</f>
        <v>2.1635277482845385</v>
      </c>
      <c r="W3112" s="147">
        <f>SUM($C$3005:W3005)*'Assumptions (T&amp;D)'!$B$102</f>
        <v>2.288830648506369</v>
      </c>
      <c r="X3112" s="147">
        <f>SUM($C$3005:X3005)*'Assumptions (T&amp;D)'!$B$102</f>
        <v>2.4141335487281994</v>
      </c>
      <c r="Y3112" s="147">
        <f>SUM($C$3005:Y3005)*'Assumptions (T&amp;D)'!$B$102</f>
        <v>2.5394364489500294</v>
      </c>
      <c r="Z3112" s="147">
        <f>SUM($C$3005:Z3005)*'Assumptions (T&amp;D)'!$B$102</f>
        <v>2.6647393491718598</v>
      </c>
      <c r="AA3112" s="147">
        <f>SUM($C$3005:AA3005)*'Assumptions (T&amp;D)'!$B$102</f>
        <v>2.7900422493936903</v>
      </c>
      <c r="AB3112" s="147">
        <f>SUM($C$3005:AB3005)*'Assumptions (T&amp;D)'!$B$102</f>
        <v>2.9153451496155203</v>
      </c>
      <c r="AC3112" s="147">
        <f>SUM($C$3005:AC3005)*'Assumptions (T&amp;D)'!$B$102</f>
        <v>3.0406480498373507</v>
      </c>
      <c r="AD3112" s="147">
        <f>SUM($C$3005:AD3005)*'Assumptions (T&amp;D)'!$B$102</f>
        <v>3.1659509500591811</v>
      </c>
      <c r="AE3112" s="147">
        <f>SUM($C$3005:AE3005)*'Assumptions (T&amp;D)'!$B$102</f>
        <v>3.2912538502810111</v>
      </c>
      <c r="AF3112" s="147">
        <f>SUM($C$3005:AF3005)*'Assumptions (T&amp;D)'!$B$102</f>
        <v>3.4165567505028416</v>
      </c>
      <c r="AG3112" s="147">
        <f>SUM($D$3005:AG3005)*'Assumptions (T&amp;D)'!$B$102</f>
        <v>3.4628120316770525</v>
      </c>
      <c r="AH3112" s="147">
        <f>SUM($E$3005:AH3005)*'Assumptions (T&amp;D)'!$B$102</f>
        <v>3.5266863604703111</v>
      </c>
      <c r="AI3112" s="147">
        <f>SUM($F$3005:AI3005)*'Assumptions (T&amp;D)'!$B$102</f>
        <v>3.5853225940254752</v>
      </c>
      <c r="AJ3112" s="147">
        <f>SUM($G$3005:AJ3005)*'Assumptions (T&amp;D)'!$B$102</f>
        <v>3.6372921609139723</v>
      </c>
      <c r="AK3112" s="147">
        <f>SUM($H$3005:AK3005)*'Assumptions (T&amp;D)'!$B$102</f>
        <v>3.6968807754215169</v>
      </c>
      <c r="AL3112" s="147">
        <f>SUM($I$3005:AL3005)*'Assumptions (T&amp;D)'!$B$102</f>
        <v>3.7326598661195374</v>
      </c>
      <c r="AM3112" s="147">
        <f>SUM($J$3005:AM3005)*'Assumptions (T&amp;D)'!$B$102</f>
        <v>3.7855818139604152</v>
      </c>
      <c r="AN3112" s="147">
        <f>SUM($K$3005:AN3005)*'Assumptions (T&amp;D)'!$B$102</f>
        <v>3.8289799522774839</v>
      </c>
      <c r="AO3112" s="147">
        <f>SUM($L$3005:AO3005)*'Assumptions (T&amp;D)'!$B$102</f>
        <v>3.8538066620231235</v>
      </c>
      <c r="AP3112" s="147">
        <f>SUM($M$3005:AP3005)*'Assumptions (T&amp;D)'!$B$102</f>
        <v>3.8748238479592398</v>
      </c>
      <c r="AQ3112" s="147">
        <f>SUM($N$3005:AQ3005)*'Assumptions (T&amp;D)'!$B$102</f>
        <v>3.8991743672286892</v>
      </c>
      <c r="AR3112" s="147">
        <f>SUM($O$3005:AR3005)*'Assumptions (T&amp;D)'!$B$102</f>
        <v>3.8954296484028998</v>
      </c>
      <c r="AS3112" s="147">
        <f>SUM($P$3005:AS3005)*'Assumptions (T&amp;D)'!$B$102</f>
        <v>3.8693039771961595</v>
      </c>
      <c r="AT3112" s="147">
        <f>SUM($Q$3005:AT3005)*'Assumptions (T&amp;D)'!$B$102</f>
        <v>3.856511639322751</v>
      </c>
      <c r="AU3112" s="147">
        <f>SUM($R$3005:AU3005)*'Assumptions (T&amp;D)'!$B$102</f>
        <v>3.8389573966874391</v>
      </c>
      <c r="AV3112" s="147">
        <f>SUM($S$3005:AV3005)*'Assumptions (T&amp;D)'!$B$102</f>
        <v>3.8085460111949834</v>
      </c>
      <c r="AW3112" s="147">
        <f>SUM($T$3005:AW3005)*'Assumptions (T&amp;D)'!$B$102</f>
        <v>3.7590870066549091</v>
      </c>
      <c r="AX3112" s="147">
        <f>SUM($U$3005:AX3005)*'Assumptions (T&amp;D)'!$B$102</f>
        <v>3.7590870066549091</v>
      </c>
      <c r="AY3112" s="147">
        <f>SUM($V$3005:AY3005)*'Assumptions (T&amp;D)'!$B$102</f>
        <v>3.7590870066549091</v>
      </c>
      <c r="AZ3112" s="147">
        <f>SUM($W$3005:AZ3005)*'Assumptions (T&amp;D)'!$B$102</f>
        <v>3.7590870066549091</v>
      </c>
      <c r="BA3112" s="147">
        <f>SUM($X$3005:BA3005)*'Assumptions (T&amp;D)'!$B$102</f>
        <v>3.7590870066549091</v>
      </c>
      <c r="BB3112" s="147">
        <f>SUM($Y$3005:BB3005)*'Assumptions (T&amp;D)'!$B$102</f>
        <v>3.6337841064330787</v>
      </c>
      <c r="BC3112" s="147">
        <f>SUM($Z$3005:BC3005)*'Assumptions (T&amp;D)'!$B$102</f>
        <v>3.5084812062112487</v>
      </c>
      <c r="BD3112" s="147">
        <f>SUM($AA$3005:BD3005)*'Assumptions (T&amp;D)'!$B$102</f>
        <v>3.3831783059894183</v>
      </c>
      <c r="BE3112" s="147">
        <f>SUM($AB$3005:BE3005)*'Assumptions (T&amp;D)'!$B$102</f>
        <v>3.2578754057675878</v>
      </c>
      <c r="BF3112" s="147">
        <f>SUM($AC$3005:BF3005)*'Assumptions (T&amp;D)'!$B$102</f>
        <v>3.1325725055457578</v>
      </c>
      <c r="BG3112" s="147">
        <f>SUM($AD$3005:BG3005)*'Assumptions (T&amp;D)'!$B$102</f>
        <v>3.0072696053239274</v>
      </c>
      <c r="BH3112" s="147">
        <f>SUM($AE$3005:BH3005)*'Assumptions (T&amp;D)'!$B$102</f>
        <v>2.881966705102097</v>
      </c>
      <c r="BI3112" s="147">
        <f>SUM($AF$3005:BI3005)*'Assumptions (T&amp;D)'!$B$102</f>
        <v>2.756663804880267</v>
      </c>
      <c r="BJ3112" s="147">
        <f>SUM($AG$3005:BJ3005)*'Assumptions (T&amp;D)'!$B$102</f>
        <v>2.6313609046584365</v>
      </c>
      <c r="BK3112" s="147">
        <f>SUM($AH$3005:BK3005)*'Assumptions (T&amp;D)'!$B$102</f>
        <v>2.5060580044366061</v>
      </c>
      <c r="BL3112" s="147">
        <f>SUM($AI$3005:BL3005)*'Assumptions (T&amp;D)'!$B$102</f>
        <v>2.3807551042147761</v>
      </c>
      <c r="BM3112" s="147">
        <f>SUM($AJ$3005:BM3005)*'Assumptions (T&amp;D)'!$B$102</f>
        <v>2.2554522039929457</v>
      </c>
      <c r="BN3112" s="147">
        <f>SUM($AK$3005:BN3005)*'Assumptions (T&amp;D)'!$B$102</f>
        <v>2.1301493037711152</v>
      </c>
      <c r="BO3112" s="147">
        <f>SUM($AL$3005:BO3005)*'Assumptions (T&amp;D)'!$B$102</f>
        <v>2.0048464035492848</v>
      </c>
      <c r="BP3112" s="147">
        <f>SUM($AM$3005:BP3005)*'Assumptions (T&amp;D)'!$B$102</f>
        <v>1.8795435033274546</v>
      </c>
      <c r="BQ3112" s="147">
        <f>SUM($AN$3005:BQ3005)*'Assumptions (T&amp;D)'!$B$102</f>
        <v>1.7542406031056244</v>
      </c>
      <c r="BR3112" s="147">
        <f>SUM($AO$3005:BR3005)*'Assumptions (T&amp;D)'!$B$102</f>
        <v>1.6289377028837939</v>
      </c>
      <c r="BS3112" s="147">
        <f>SUM($AP$3005:BS3005)*'Assumptions (T&amp;D)'!$B$102</f>
        <v>1.5036348026619637</v>
      </c>
      <c r="BT3112" s="147">
        <f>SUM($AQ$3005:BT3005)*'Assumptions (T&amp;D)'!$B$102</f>
        <v>1.3783319024401335</v>
      </c>
      <c r="BU3112" s="147">
        <f>SUM($AR$3005:BU3005)*'Assumptions (T&amp;D)'!$B$102</f>
        <v>1.253029002218303</v>
      </c>
      <c r="BV3112" s="147">
        <f>SUM($AS$3005:BV3005)*'Assumptions (T&amp;D)'!$B$102</f>
        <v>1.1277261019964728</v>
      </c>
      <c r="BW3112" s="147">
        <f>SUM($AT$3005:BW3005)*'Assumptions (T&amp;D)'!$B$102</f>
        <v>1.0024232017746424</v>
      </c>
      <c r="BX3112" s="147">
        <f>SUM($AU$3005:BX3005)*'Assumptions (T&amp;D)'!$B$102</f>
        <v>0.87712030155281218</v>
      </c>
      <c r="BY3112" s="147">
        <f>SUM($AV$3005:BY3005)*'Assumptions (T&amp;D)'!$B$102</f>
        <v>0.75181740133098185</v>
      </c>
      <c r="BZ3112" s="147">
        <f>SUM($AW$3005:BZ3005)*'Assumptions (T&amp;D)'!$B$102</f>
        <v>0.62651450110915152</v>
      </c>
      <c r="CA3112" s="147">
        <f>SUM($AX$3005:CA3005)*'Assumptions (T&amp;D)'!$B$102</f>
        <v>0.5012116008873212</v>
      </c>
      <c r="CB3112" s="147">
        <f>SUM($AY$3005:CB3005)*'Assumptions (T&amp;D)'!$B$102</f>
        <v>0.37590870066549092</v>
      </c>
      <c r="CC3112" s="147">
        <f>SUM($AZ$3005:CC3005)*'Assumptions (T&amp;D)'!$B$102</f>
        <v>0.2506058004436606</v>
      </c>
      <c r="CD3112" s="147">
        <f>SUM($BA$3005:CD3005)*'Assumptions (T&amp;D)'!$B$102</f>
        <v>0.1253029002218303</v>
      </c>
    </row>
    <row r="3113" spans="1:82" ht="15.75" customHeight="1">
      <c r="A3113" s="460" t="s">
        <v>838</v>
      </c>
      <c r="B3113" s="99" t="s">
        <v>201</v>
      </c>
      <c r="C3113" s="147">
        <f t="shared" ref="C3113:BU3113" si="67">SUM(C3114:C3164)</f>
        <v>8.8928571428571426E-2</v>
      </c>
      <c r="D3113" s="147">
        <f t="shared" si="67"/>
        <v>0.24030057142857142</v>
      </c>
      <c r="E3113" s="147">
        <f t="shared" si="67"/>
        <v>0.36637614285714287</v>
      </c>
      <c r="F3113" s="147">
        <f t="shared" si="67"/>
        <v>0.49641071428571432</v>
      </c>
      <c r="G3113" s="147">
        <f t="shared" si="67"/>
        <v>0.61559957142857147</v>
      </c>
      <c r="H3113" s="147">
        <f t="shared" si="67"/>
        <v>0.74407814285714291</v>
      </c>
      <c r="I3113" s="147">
        <f t="shared" si="67"/>
        <v>0.87040700000000004</v>
      </c>
      <c r="J3113" s="147">
        <f t="shared" si="67"/>
        <v>0.97869942857142866</v>
      </c>
      <c r="K3113" s="147">
        <f t="shared" si="67"/>
        <v>1.1171045714285717</v>
      </c>
      <c r="L3113" s="147">
        <f t="shared" si="67"/>
        <v>1.2767338571428573</v>
      </c>
      <c r="M3113" s="147">
        <f t="shared" si="67"/>
        <v>1.4315687142857145</v>
      </c>
      <c r="N3113" s="147">
        <f t="shared" si="67"/>
        <v>1.6098622857142857</v>
      </c>
      <c r="O3113" s="147">
        <f t="shared" si="67"/>
        <v>1.8383288571428571</v>
      </c>
      <c r="P3113" s="147">
        <f t="shared" si="67"/>
        <v>2.068397285714286</v>
      </c>
      <c r="Q3113" s="147">
        <f t="shared" si="67"/>
        <v>2.2791384285714287</v>
      </c>
      <c r="R3113" s="147">
        <f t="shared" si="67"/>
        <v>2.5019492857142862</v>
      </c>
      <c r="S3113" s="147">
        <f t="shared" si="67"/>
        <v>2.7537275714285712</v>
      </c>
      <c r="T3113" s="147">
        <f t="shared" si="67"/>
        <v>2.9627993341781309</v>
      </c>
      <c r="U3113" s="147">
        <f t="shared" si="67"/>
        <v>3.1107476823314055</v>
      </c>
      <c r="V3113" s="147">
        <f t="shared" si="67"/>
        <v>3.2600900646228972</v>
      </c>
      <c r="W3113" s="147">
        <f t="shared" si="67"/>
        <v>3.3601425833096847</v>
      </c>
      <c r="X3113" s="147">
        <f t="shared" si="67"/>
        <v>3.4217166525713081</v>
      </c>
      <c r="Y3113" s="147">
        <f t="shared" si="67"/>
        <v>3.4941496865873058</v>
      </c>
      <c r="Z3113" s="147">
        <f t="shared" si="67"/>
        <v>3.5621948594725978</v>
      </c>
      <c r="AA3113" s="147">
        <f t="shared" si="67"/>
        <v>3.6359510596278182</v>
      </c>
      <c r="AB3113" s="147">
        <f t="shared" si="67"/>
        <v>3.6997673790076178</v>
      </c>
      <c r="AC3113" s="147">
        <f t="shared" si="67"/>
        <v>3.7591375360887791</v>
      </c>
      <c r="AD3113" s="147">
        <f t="shared" si="67"/>
        <v>3.8235861411828638</v>
      </c>
      <c r="AE3113" s="147">
        <f t="shared" si="67"/>
        <v>3.8692544411211678</v>
      </c>
      <c r="AF3113" s="147">
        <f t="shared" si="67"/>
        <v>3.8999249033581105</v>
      </c>
      <c r="AG3113" s="147">
        <f t="shared" si="67"/>
        <v>3.9302960604392712</v>
      </c>
      <c r="AH3113" s="147">
        <f t="shared" si="67"/>
        <v>3.9440736655333559</v>
      </c>
      <c r="AI3113" s="147">
        <f t="shared" si="67"/>
        <v>3.9240963940430889</v>
      </c>
      <c r="AJ3113" s="147">
        <f t="shared" si="67"/>
        <v>3.898041427708602</v>
      </c>
      <c r="AK3113" s="147">
        <f t="shared" si="67"/>
        <v>3.8777414419326206</v>
      </c>
      <c r="AL3113" s="147">
        <f t="shared" si="67"/>
        <v>3.8456323327409914</v>
      </c>
      <c r="AM3113" s="147">
        <f t="shared" si="67"/>
        <v>3.7921899183935808</v>
      </c>
      <c r="AN3113" s="147">
        <f t="shared" si="67"/>
        <v>3.7590870066549091</v>
      </c>
      <c r="AO3113" s="147">
        <f t="shared" si="67"/>
        <v>3.7590870066549091</v>
      </c>
      <c r="AP3113" s="147">
        <f t="shared" si="67"/>
        <v>3.7590870066549091</v>
      </c>
      <c r="AQ3113" s="147">
        <f t="shared" si="67"/>
        <v>3.7590870066549091</v>
      </c>
      <c r="AR3113" s="147">
        <f t="shared" si="67"/>
        <v>3.7590870066549091</v>
      </c>
      <c r="AS3113" s="147">
        <f t="shared" si="67"/>
        <v>3.7590870066549091</v>
      </c>
      <c r="AT3113" s="147">
        <f t="shared" si="67"/>
        <v>3.7590870066549091</v>
      </c>
      <c r="AU3113" s="147">
        <f t="shared" si="67"/>
        <v>3.7590870066549091</v>
      </c>
      <c r="AV3113" s="147">
        <f t="shared" si="67"/>
        <v>3.7590870066549091</v>
      </c>
      <c r="AW3113" s="147">
        <f t="shared" si="67"/>
        <v>3.7590870066549091</v>
      </c>
      <c r="AX3113" s="147">
        <f t="shared" si="67"/>
        <v>3.7590870066549091</v>
      </c>
      <c r="AY3113" s="147">
        <f t="shared" si="67"/>
        <v>3.7590870066549091</v>
      </c>
      <c r="AZ3113" s="147">
        <f t="shared" si="67"/>
        <v>3.7590870066549091</v>
      </c>
      <c r="BA3113" s="147">
        <f t="shared" si="67"/>
        <v>3.7590870066549091</v>
      </c>
      <c r="BB3113" s="147">
        <f t="shared" si="67"/>
        <v>3.6181212439053501</v>
      </c>
      <c r="BC3113" s="147">
        <f t="shared" si="67"/>
        <v>3.3467527528949321</v>
      </c>
      <c r="BD3113" s="147">
        <f t="shared" si="67"/>
        <v>3.0957585134605838</v>
      </c>
      <c r="BE3113" s="147">
        <f t="shared" si="67"/>
        <v>2.8635597090595102</v>
      </c>
      <c r="BF3113" s="147">
        <f t="shared" si="67"/>
        <v>2.6488030683693151</v>
      </c>
      <c r="BG3113" s="147">
        <f t="shared" si="67"/>
        <v>2.450135320067603</v>
      </c>
      <c r="BH3113" s="147">
        <f t="shared" si="67"/>
        <v>2.2663911471823113</v>
      </c>
      <c r="BI3113" s="147">
        <f t="shared" si="67"/>
        <v>2.0964052327413762</v>
      </c>
      <c r="BJ3113" s="147">
        <f t="shared" si="67"/>
        <v>1.928674770504434</v>
      </c>
      <c r="BK3113" s="147">
        <f t="shared" si="67"/>
        <v>1.7609818991375585</v>
      </c>
      <c r="BL3113" s="147">
        <f t="shared" si="67"/>
        <v>1.5932514369006165</v>
      </c>
      <c r="BM3113" s="147">
        <f t="shared" si="67"/>
        <v>1.4255585655337411</v>
      </c>
      <c r="BN3113" s="147">
        <f t="shared" si="67"/>
        <v>1.2578281032967991</v>
      </c>
      <c r="BO3113" s="147">
        <f t="shared" si="67"/>
        <v>1.0901352319299236</v>
      </c>
      <c r="BP3113" s="147">
        <f t="shared" si="67"/>
        <v>0.92240476969298157</v>
      </c>
      <c r="BQ3113" s="147">
        <f t="shared" si="67"/>
        <v>0.75471189832610608</v>
      </c>
      <c r="BR3113" s="147">
        <f t="shared" si="67"/>
        <v>0.58698143608916409</v>
      </c>
      <c r="BS3113" s="147">
        <f t="shared" si="67"/>
        <v>0.41928856472228854</v>
      </c>
      <c r="BT3113" s="147">
        <f t="shared" si="67"/>
        <v>0.25155810248534649</v>
      </c>
      <c r="BU3113" s="147">
        <f t="shared" si="67"/>
        <v>8.3865231118471023E-2</v>
      </c>
    </row>
    <row r="3114" spans="1:82" ht="15.75" hidden="1" customHeight="1" outlineLevel="1">
      <c r="A3114" s="460"/>
      <c r="B3114" s="99"/>
      <c r="C3114" s="147">
        <f>$C3005*'Assumptions (T&amp;D)'!B$101</f>
        <v>8.8928571428571426E-2</v>
      </c>
      <c r="D3114" s="147">
        <f>$C3005*'Assumptions (T&amp;D)'!C$101</f>
        <v>0.17119342857142858</v>
      </c>
      <c r="E3114" s="147">
        <f>$C3005*'Assumptions (T&amp;D)'!D$101</f>
        <v>0.15834028571428571</v>
      </c>
      <c r="F3114" s="147">
        <f>$C3005*'Assumptions (T&amp;D)'!E$101</f>
        <v>0.14648314285714287</v>
      </c>
      <c r="G3114" s="147">
        <f>$C3005*'Assumptions (T&amp;D)'!F$101</f>
        <v>0.13547971428571429</v>
      </c>
      <c r="H3114" s="147">
        <f>$C3005*'Assumptions (T&amp;D)'!G$101</f>
        <v>0.12533</v>
      </c>
      <c r="I3114" s="147">
        <f>$C3005*'Assumptions (T&amp;D)'!H$101</f>
        <v>0.11591542857142857</v>
      </c>
      <c r="J3114" s="147">
        <f>$C3005*'Assumptions (T&amp;D)'!I$101</f>
        <v>0.10723600000000001</v>
      </c>
      <c r="K3114" s="147">
        <f>$C3005*'Assumptions (T&amp;D)'!J$101</f>
        <v>0.10581314285714286</v>
      </c>
      <c r="L3114" s="147">
        <f>$C3005*'Assumptions (T&amp;D)'!K$101</f>
        <v>0.10578942857142856</v>
      </c>
      <c r="M3114" s="147">
        <f>$C3005*'Assumptions (T&amp;D)'!L$101</f>
        <v>0.10581314285714286</v>
      </c>
      <c r="N3114" s="147">
        <f>$C3005*'Assumptions (T&amp;D)'!M$101</f>
        <v>0.10578942857142856</v>
      </c>
      <c r="O3114" s="147">
        <f>$C3005*'Assumptions (T&amp;D)'!N$101</f>
        <v>0.10581314285714286</v>
      </c>
      <c r="P3114" s="147">
        <f>$C3005*'Assumptions (T&amp;D)'!O$101</f>
        <v>0.10578942857142856</v>
      </c>
      <c r="Q3114" s="147">
        <f>$C3005*'Assumptions (T&amp;D)'!P$101</f>
        <v>0.10581314285714286</v>
      </c>
      <c r="R3114" s="147">
        <f>$C3005*'Assumptions (T&amp;D)'!Q$101</f>
        <v>0.10578942857142856</v>
      </c>
      <c r="S3114" s="147">
        <f>$C3005*'Assumptions (T&amp;D)'!R$101</f>
        <v>0.10581314285714286</v>
      </c>
      <c r="T3114" s="147">
        <f>$C3005*'Assumptions (T&amp;D)'!S$101</f>
        <v>0.10578942857142856</v>
      </c>
      <c r="U3114" s="147">
        <f>$C3005*'Assumptions (T&amp;D)'!T$101</f>
        <v>0.10581314285714286</v>
      </c>
      <c r="V3114" s="147">
        <f>$C3005*'Assumptions (T&amp;D)'!U$101</f>
        <v>0.10578942857142856</v>
      </c>
      <c r="W3114" s="147">
        <f>$C3005*'Assumptions (T&amp;D)'!V$101</f>
        <v>5.2906571428571428E-2</v>
      </c>
      <c r="X3114" s="147"/>
    </row>
    <row r="3115" spans="1:82" ht="15.75" hidden="1" customHeight="1" outlineLevel="1">
      <c r="A3115" s="460"/>
      <c r="B3115" s="99"/>
      <c r="C3115" s="147"/>
      <c r="D3115" s="147">
        <f>$D3005*'Assumptions (T&amp;D)'!B$101</f>
        <v>6.9107142857142853E-2</v>
      </c>
      <c r="E3115" s="147">
        <f>$D3005*'Assumptions (T&amp;D)'!C$101</f>
        <v>0.13303585714285715</v>
      </c>
      <c r="F3115" s="147">
        <f>$D3005*'Assumptions (T&amp;D)'!D$101</f>
        <v>0.12304757142857142</v>
      </c>
      <c r="G3115" s="147">
        <f>$D3005*'Assumptions (T&amp;D)'!E$101</f>
        <v>0.11383328571428572</v>
      </c>
      <c r="H3115" s="147">
        <f>$D3005*'Assumptions (T&amp;D)'!F$101</f>
        <v>0.10528242857142858</v>
      </c>
      <c r="I3115" s="147">
        <f>$D3005*'Assumptions (T&amp;D)'!G$101</f>
        <v>9.7395000000000009E-2</v>
      </c>
      <c r="J3115" s="147">
        <f>$D3005*'Assumptions (T&amp;D)'!H$101</f>
        <v>9.0078857142857155E-2</v>
      </c>
      <c r="K3115" s="147">
        <f>$D3005*'Assumptions (T&amp;D)'!I$101</f>
        <v>8.3334000000000005E-2</v>
      </c>
      <c r="L3115" s="147">
        <f>$D3005*'Assumptions (T&amp;D)'!J$101</f>
        <v>8.2228285714285726E-2</v>
      </c>
      <c r="M3115" s="147">
        <f>$D3005*'Assumptions (T&amp;D)'!K$101</f>
        <v>8.220985714285714E-2</v>
      </c>
      <c r="N3115" s="147">
        <f>$D3005*'Assumptions (T&amp;D)'!L$101</f>
        <v>8.2228285714285726E-2</v>
      </c>
      <c r="O3115" s="147">
        <f>$D3005*'Assumptions (T&amp;D)'!M$101</f>
        <v>8.220985714285714E-2</v>
      </c>
      <c r="P3115" s="147">
        <f>$D3005*'Assumptions (T&amp;D)'!N$101</f>
        <v>8.2228285714285726E-2</v>
      </c>
      <c r="Q3115" s="147">
        <f>$D3005*'Assumptions (T&amp;D)'!O$101</f>
        <v>8.220985714285714E-2</v>
      </c>
      <c r="R3115" s="147">
        <f>$D3005*'Assumptions (T&amp;D)'!P$101</f>
        <v>8.2228285714285726E-2</v>
      </c>
      <c r="S3115" s="147">
        <f>$D3005*'Assumptions (T&amp;D)'!Q$101</f>
        <v>8.220985714285714E-2</v>
      </c>
      <c r="T3115" s="147">
        <f>$D3005*'Assumptions (T&amp;D)'!R$101</f>
        <v>8.2228285714285726E-2</v>
      </c>
      <c r="U3115" s="147">
        <f>$D3005*'Assumptions (T&amp;D)'!S$101</f>
        <v>8.220985714285714E-2</v>
      </c>
      <c r="V3115" s="147">
        <f>$D3005*'Assumptions (T&amp;D)'!T$101</f>
        <v>8.2228285714285726E-2</v>
      </c>
      <c r="W3115" s="147">
        <f>$D3005*'Assumptions (T&amp;D)'!U$101</f>
        <v>8.220985714285714E-2</v>
      </c>
      <c r="X3115" s="147">
        <f>$D3005*'Assumptions (T&amp;D)'!V$101</f>
        <v>4.1114142857142863E-2</v>
      </c>
    </row>
    <row r="3116" spans="1:82" ht="15.75" hidden="1" customHeight="1" outlineLevel="1">
      <c r="A3116" s="465"/>
      <c r="B3116" s="42"/>
      <c r="C3116" s="147"/>
      <c r="D3116" s="42"/>
      <c r="E3116" s="147">
        <f>$E3005*'Assumptions (T&amp;D)'!B$101</f>
        <v>7.4999999999999997E-2</v>
      </c>
      <c r="F3116" s="147">
        <f>$E3005*'Assumptions (T&amp;D)'!C$101</f>
        <v>0.14438000000000001</v>
      </c>
      <c r="G3116" s="147">
        <f>$E3005*'Assumptions (T&amp;D)'!D$101</f>
        <v>0.13353999999999999</v>
      </c>
      <c r="H3116" s="147">
        <f>$E3005*'Assumptions (T&amp;D)'!E$101</f>
        <v>0.12354</v>
      </c>
      <c r="I3116" s="147">
        <f>$E3005*'Assumptions (T&amp;D)'!F$101</f>
        <v>0.11426</v>
      </c>
      <c r="J3116" s="147">
        <f>$E3005*'Assumptions (T&amp;D)'!G$101</f>
        <v>0.1057</v>
      </c>
      <c r="K3116" s="147">
        <f>$E3005*'Assumptions (T&amp;D)'!H$101</f>
        <v>9.776E-2</v>
      </c>
      <c r="L3116" s="147">
        <f>$E3005*'Assumptions (T&amp;D)'!I$101</f>
        <v>9.0440000000000006E-2</v>
      </c>
      <c r="M3116" s="147">
        <f>$E3005*'Assumptions (T&amp;D)'!J$101</f>
        <v>8.924E-2</v>
      </c>
      <c r="N3116" s="147">
        <f>$E3005*'Assumptions (T&amp;D)'!K$101</f>
        <v>8.9219999999999994E-2</v>
      </c>
      <c r="O3116" s="147">
        <f>$E3005*'Assumptions (T&amp;D)'!L$101</f>
        <v>8.924E-2</v>
      </c>
      <c r="P3116" s="147">
        <f>$E3005*'Assumptions (T&amp;D)'!M$101</f>
        <v>8.9219999999999994E-2</v>
      </c>
      <c r="Q3116" s="147">
        <f>$E3005*'Assumptions (T&amp;D)'!N$101</f>
        <v>8.924E-2</v>
      </c>
      <c r="R3116" s="147">
        <f>$E3005*'Assumptions (T&amp;D)'!O$101</f>
        <v>8.9219999999999994E-2</v>
      </c>
      <c r="S3116" s="147">
        <f>$E3005*'Assumptions (T&amp;D)'!P$101</f>
        <v>8.924E-2</v>
      </c>
      <c r="T3116" s="147">
        <f>$E3005*'Assumptions (T&amp;D)'!Q$101</f>
        <v>8.9219999999999994E-2</v>
      </c>
      <c r="U3116" s="147">
        <f>$E3005*'Assumptions (T&amp;D)'!R$101</f>
        <v>8.924E-2</v>
      </c>
      <c r="V3116" s="147">
        <f>$E3005*'Assumptions (T&amp;D)'!S$101</f>
        <v>8.9219999999999994E-2</v>
      </c>
      <c r="W3116" s="147">
        <f>$E3005*'Assumptions (T&amp;D)'!T$101</f>
        <v>8.924E-2</v>
      </c>
      <c r="X3116" s="147">
        <f>$E3005*'Assumptions (T&amp;D)'!U$101</f>
        <v>8.9219999999999994E-2</v>
      </c>
      <c r="Y3116" s="147">
        <f>$E3005*'Assumptions (T&amp;D)'!V$101</f>
        <v>4.462E-2</v>
      </c>
    </row>
    <row r="3117" spans="1:82" ht="15.75" hidden="1" customHeight="1" outlineLevel="1">
      <c r="A3117" s="465"/>
      <c r="B3117" s="42"/>
      <c r="C3117" s="147"/>
      <c r="D3117" s="42"/>
      <c r="E3117" s="42"/>
      <c r="F3117" s="147">
        <f>$F3005*'Assumptions (T&amp;D)'!B$101</f>
        <v>8.2500000000000004E-2</v>
      </c>
      <c r="G3117" s="147">
        <f>$F3005*'Assumptions (T&amp;D)'!C$101</f>
        <v>0.15881800000000001</v>
      </c>
      <c r="H3117" s="147">
        <f>$F3005*'Assumptions (T&amp;D)'!D$101</f>
        <v>0.146894</v>
      </c>
      <c r="I3117" s="147">
        <f>$F3005*'Assumptions (T&amp;D)'!E$101</f>
        <v>0.13589400000000001</v>
      </c>
      <c r="J3117" s="147">
        <f>$F3005*'Assumptions (T&amp;D)'!F$101</f>
        <v>0.12568600000000002</v>
      </c>
      <c r="K3117" s="147">
        <f>$F3005*'Assumptions (T&amp;D)'!G$101</f>
        <v>0.11627000000000001</v>
      </c>
      <c r="L3117" s="147">
        <f>$F3005*'Assumptions (T&amp;D)'!H$101</f>
        <v>0.10753600000000001</v>
      </c>
      <c r="M3117" s="147">
        <f>$F3005*'Assumptions (T&amp;D)'!I$101</f>
        <v>9.9484000000000017E-2</v>
      </c>
      <c r="N3117" s="147">
        <f>$F3005*'Assumptions (T&amp;D)'!J$101</f>
        <v>9.8164000000000001E-2</v>
      </c>
      <c r="O3117" s="147">
        <f>$F3005*'Assumptions (T&amp;D)'!K$101</f>
        <v>9.8142000000000007E-2</v>
      </c>
      <c r="P3117" s="147">
        <f>$F3005*'Assumptions (T&amp;D)'!L$101</f>
        <v>9.8164000000000001E-2</v>
      </c>
      <c r="Q3117" s="147">
        <f>$F3005*'Assumptions (T&amp;D)'!M$101</f>
        <v>9.8142000000000007E-2</v>
      </c>
      <c r="R3117" s="147">
        <f>$F3005*'Assumptions (T&amp;D)'!N$101</f>
        <v>9.8164000000000001E-2</v>
      </c>
      <c r="S3117" s="147">
        <f>$F3005*'Assumptions (T&amp;D)'!O$101</f>
        <v>9.8142000000000007E-2</v>
      </c>
      <c r="T3117" s="147">
        <f>$F3005*'Assumptions (T&amp;D)'!P$101</f>
        <v>9.8164000000000001E-2</v>
      </c>
      <c r="U3117" s="147">
        <f>$F3005*'Assumptions (T&amp;D)'!Q$101</f>
        <v>9.8142000000000007E-2</v>
      </c>
      <c r="V3117" s="147">
        <f>$F3005*'Assumptions (T&amp;D)'!R$101</f>
        <v>9.8164000000000001E-2</v>
      </c>
      <c r="W3117" s="147">
        <f>$F3005*'Assumptions (T&amp;D)'!S$101</f>
        <v>9.8142000000000007E-2</v>
      </c>
      <c r="X3117" s="147">
        <f>$F3005*'Assumptions (T&amp;D)'!T$101</f>
        <v>9.8164000000000001E-2</v>
      </c>
      <c r="Y3117" s="147">
        <f>$F3005*'Assumptions (T&amp;D)'!U$101</f>
        <v>9.8142000000000007E-2</v>
      </c>
      <c r="Z3117" s="147">
        <f>$F3005*'Assumptions (T&amp;D)'!V$101</f>
        <v>4.9082000000000001E-2</v>
      </c>
    </row>
    <row r="3118" spans="1:82" ht="15.75" hidden="1" customHeight="1" outlineLevel="1">
      <c r="A3118" s="465"/>
      <c r="B3118" s="42"/>
      <c r="C3118" s="147"/>
      <c r="D3118" s="42"/>
      <c r="E3118" s="42"/>
      <c r="F3118" s="42"/>
      <c r="G3118" s="147">
        <f>$G3005*'Assumptions (T&amp;D)'!B$101</f>
        <v>7.3928571428571427E-2</v>
      </c>
      <c r="H3118" s="147">
        <f>$G3005*'Assumptions (T&amp;D)'!C$101</f>
        <v>0.14231742857142857</v>
      </c>
      <c r="I3118" s="147">
        <f>$G3005*'Assumptions (T&amp;D)'!D$101</f>
        <v>0.1316322857142857</v>
      </c>
      <c r="J3118" s="147">
        <f>$G3005*'Assumptions (T&amp;D)'!E$101</f>
        <v>0.12177514285714285</v>
      </c>
      <c r="K3118" s="147">
        <f>$G3005*'Assumptions (T&amp;D)'!F$101</f>
        <v>0.11262771428571428</v>
      </c>
      <c r="L3118" s="147">
        <f>$G3005*'Assumptions (T&amp;D)'!G$101</f>
        <v>0.10418999999999999</v>
      </c>
      <c r="M3118" s="147">
        <f>$G3005*'Assumptions (T&amp;D)'!H$101</f>
        <v>9.6363428571428572E-2</v>
      </c>
      <c r="N3118" s="147">
        <f>$G3005*'Assumptions (T&amp;D)'!I$101</f>
        <v>8.9148000000000005E-2</v>
      </c>
      <c r="O3118" s="147">
        <f>$G3005*'Assumptions (T&amp;D)'!J$101</f>
        <v>8.7965142857142853E-2</v>
      </c>
      <c r="P3118" s="147">
        <f>$G3005*'Assumptions (T&amp;D)'!K$101</f>
        <v>8.7945428571428563E-2</v>
      </c>
      <c r="Q3118" s="147">
        <f>$G3005*'Assumptions (T&amp;D)'!L$101</f>
        <v>8.7965142857142853E-2</v>
      </c>
      <c r="R3118" s="147">
        <f>$G3005*'Assumptions (T&amp;D)'!M$101</f>
        <v>8.7945428571428563E-2</v>
      </c>
      <c r="S3118" s="147">
        <f>$G3005*'Assumptions (T&amp;D)'!N$101</f>
        <v>8.7965142857142853E-2</v>
      </c>
      <c r="T3118" s="147">
        <f>$G3005*'Assumptions (T&amp;D)'!O$101</f>
        <v>8.7945428571428563E-2</v>
      </c>
      <c r="U3118" s="147">
        <f>$G3005*'Assumptions (T&amp;D)'!P$101</f>
        <v>8.7965142857142853E-2</v>
      </c>
      <c r="V3118" s="147">
        <f>$G3005*'Assumptions (T&amp;D)'!Q$101</f>
        <v>8.7945428571428563E-2</v>
      </c>
      <c r="W3118" s="147">
        <f>$G3005*'Assumptions (T&amp;D)'!R$101</f>
        <v>8.7965142857142853E-2</v>
      </c>
      <c r="X3118" s="147">
        <f>$G3005*'Assumptions (T&amp;D)'!S$101</f>
        <v>8.7945428571428563E-2</v>
      </c>
      <c r="Y3118" s="147">
        <f>$G3005*'Assumptions (T&amp;D)'!T$101</f>
        <v>8.7965142857142853E-2</v>
      </c>
      <c r="Z3118" s="147">
        <f>$G3005*'Assumptions (T&amp;D)'!U$101</f>
        <v>8.7945428571428563E-2</v>
      </c>
      <c r="AA3118" s="147">
        <f>$G3005*'Assumptions (T&amp;D)'!V$101</f>
        <v>4.3982571428571426E-2</v>
      </c>
    </row>
    <row r="3119" spans="1:82" ht="15.75" hidden="1" customHeight="1" outlineLevel="1">
      <c r="A3119" s="465"/>
      <c r="B3119" s="42"/>
      <c r="C3119" s="147"/>
      <c r="D3119" s="42"/>
      <c r="E3119" s="42"/>
      <c r="F3119" s="42"/>
      <c r="G3119" s="42"/>
      <c r="H3119" s="147">
        <f>$H3005*'Assumptions (T&amp;D)'!B$101</f>
        <v>0.10071428571428571</v>
      </c>
      <c r="I3119" s="147">
        <f>$H3005*'Assumptions (T&amp;D)'!C$101</f>
        <v>0.19388171428571432</v>
      </c>
      <c r="J3119" s="147">
        <f>$H3005*'Assumptions (T&amp;D)'!D$101</f>
        <v>0.17932514285714285</v>
      </c>
      <c r="K3119" s="147">
        <f>$H3005*'Assumptions (T&amp;D)'!E$101</f>
        <v>0.16589657142857145</v>
      </c>
      <c r="L3119" s="147">
        <f>$H3005*'Assumptions (T&amp;D)'!F$101</f>
        <v>0.15343485714285715</v>
      </c>
      <c r="M3119" s="147">
        <f>$H3005*'Assumptions (T&amp;D)'!G$101</f>
        <v>0.14194000000000001</v>
      </c>
      <c r="N3119" s="147">
        <f>$H3005*'Assumptions (T&amp;D)'!H$101</f>
        <v>0.1312777142857143</v>
      </c>
      <c r="O3119" s="147">
        <f>$H3005*'Assumptions (T&amp;D)'!I$101</f>
        <v>0.12144800000000001</v>
      </c>
      <c r="P3119" s="147">
        <f>$H3005*'Assumptions (T&amp;D)'!J$101</f>
        <v>0.11983657142857145</v>
      </c>
      <c r="Q3119" s="147">
        <f>$H3005*'Assumptions (T&amp;D)'!K$101</f>
        <v>0.11980971428571428</v>
      </c>
      <c r="R3119" s="147">
        <f>$H3005*'Assumptions (T&amp;D)'!L$101</f>
        <v>0.11983657142857145</v>
      </c>
      <c r="S3119" s="147">
        <f>$H3005*'Assumptions (T&amp;D)'!M$101</f>
        <v>0.11980971428571428</v>
      </c>
      <c r="T3119" s="147">
        <f>$H3005*'Assumptions (T&amp;D)'!N$101</f>
        <v>0.11983657142857145</v>
      </c>
      <c r="U3119" s="147">
        <f>$H3005*'Assumptions (T&amp;D)'!O$101</f>
        <v>0.11980971428571428</v>
      </c>
      <c r="V3119" s="147">
        <f>$H3005*'Assumptions (T&amp;D)'!P$101</f>
        <v>0.11983657142857145</v>
      </c>
      <c r="W3119" s="147">
        <f>$H3005*'Assumptions (T&amp;D)'!Q$101</f>
        <v>0.11980971428571428</v>
      </c>
      <c r="X3119" s="147">
        <f>$H3005*'Assumptions (T&amp;D)'!R$101</f>
        <v>0.11983657142857145</v>
      </c>
      <c r="Y3119" s="147">
        <f>$H3005*'Assumptions (T&amp;D)'!S$101</f>
        <v>0.11980971428571428</v>
      </c>
      <c r="Z3119" s="147">
        <f>$H3005*'Assumptions (T&amp;D)'!T$101</f>
        <v>0.11983657142857145</v>
      </c>
      <c r="AA3119" s="147">
        <f>$H3005*'Assumptions (T&amp;D)'!U$101</f>
        <v>0.11980971428571428</v>
      </c>
      <c r="AB3119" s="147">
        <f>$H3005*'Assumptions (T&amp;D)'!V$101</f>
        <v>5.9918285714285723E-2</v>
      </c>
    </row>
    <row r="3120" spans="1:82" ht="15.75" hidden="1" customHeight="1" outlineLevel="1">
      <c r="A3120" s="465"/>
      <c r="B3120" s="42"/>
      <c r="C3120" s="147"/>
      <c r="D3120" s="42"/>
      <c r="E3120" s="42"/>
      <c r="F3120" s="42"/>
      <c r="G3120" s="42"/>
      <c r="H3120" s="42"/>
      <c r="I3120" s="147">
        <f>$I3005*'Assumptions (T&amp;D)'!B$101</f>
        <v>8.1428571428571433E-2</v>
      </c>
      <c r="J3120" s="147">
        <f>$I3005*'Assumptions (T&amp;D)'!C$101</f>
        <v>0.1567554285714286</v>
      </c>
      <c r="K3120" s="147">
        <f>$I3005*'Assumptions (T&amp;D)'!D$101</f>
        <v>0.14498628571428573</v>
      </c>
      <c r="L3120" s="147">
        <f>$I3005*'Assumptions (T&amp;D)'!E$101</f>
        <v>0.13412914285714286</v>
      </c>
      <c r="M3120" s="147">
        <f>$I3005*'Assumptions (T&amp;D)'!F$101</f>
        <v>0.12405371428571431</v>
      </c>
      <c r="N3120" s="147">
        <f>$I3005*'Assumptions (T&amp;D)'!G$101</f>
        <v>0.11476000000000001</v>
      </c>
      <c r="O3120" s="147">
        <f>$I3005*'Assumptions (T&amp;D)'!H$101</f>
        <v>0.10613942857142858</v>
      </c>
      <c r="P3120" s="147">
        <f>$I3005*'Assumptions (T&amp;D)'!I$101</f>
        <v>9.8192000000000015E-2</v>
      </c>
      <c r="Q3120" s="147">
        <f>$I3005*'Assumptions (T&amp;D)'!J$101</f>
        <v>9.6889142857142868E-2</v>
      </c>
      <c r="R3120" s="147">
        <f>$I3005*'Assumptions (T&amp;D)'!K$101</f>
        <v>9.6867428571428577E-2</v>
      </c>
      <c r="S3120" s="147">
        <f>$I3005*'Assumptions (T&amp;D)'!L$101</f>
        <v>9.6889142857142868E-2</v>
      </c>
      <c r="T3120" s="147">
        <f>$I3005*'Assumptions (T&amp;D)'!M$101</f>
        <v>9.6867428571428577E-2</v>
      </c>
      <c r="U3120" s="147">
        <f>$I3005*'Assumptions (T&amp;D)'!N$101</f>
        <v>9.6889142857142868E-2</v>
      </c>
      <c r="V3120" s="147">
        <f>$I3005*'Assumptions (T&amp;D)'!O$101</f>
        <v>9.6867428571428577E-2</v>
      </c>
      <c r="W3120" s="147">
        <f>$I3005*'Assumptions (T&amp;D)'!P$101</f>
        <v>9.6889142857142868E-2</v>
      </c>
      <c r="X3120" s="147">
        <f>$I3005*'Assumptions (T&amp;D)'!Q$101</f>
        <v>9.6867428571428577E-2</v>
      </c>
      <c r="Y3120" s="147">
        <f>$I3005*'Assumptions (T&amp;D)'!R$101</f>
        <v>9.6889142857142868E-2</v>
      </c>
      <c r="Z3120" s="147">
        <f>$I3005*'Assumptions (T&amp;D)'!S$101</f>
        <v>9.6867428571428577E-2</v>
      </c>
      <c r="AA3120" s="147">
        <f>$I3005*'Assumptions (T&amp;D)'!T$101</f>
        <v>9.6889142857142868E-2</v>
      </c>
      <c r="AB3120" s="147">
        <f>$I3005*'Assumptions (T&amp;D)'!U$101</f>
        <v>9.6867428571428577E-2</v>
      </c>
      <c r="AC3120" s="147">
        <f>$I3005*'Assumptions (T&amp;D)'!V$101</f>
        <v>4.8444571428571434E-2</v>
      </c>
    </row>
    <row r="3121" spans="1:45" ht="15.75" hidden="1" customHeight="1" outlineLevel="1">
      <c r="A3121" s="465"/>
      <c r="B3121" s="42"/>
      <c r="C3121" s="147"/>
      <c r="D3121" s="42"/>
      <c r="E3121" s="42"/>
      <c r="F3121" s="42"/>
      <c r="G3121" s="42"/>
      <c r="H3121" s="42"/>
      <c r="I3121" s="42"/>
      <c r="J3121" s="147">
        <f>$J3005*'Assumptions (T&amp;D)'!B$101</f>
        <v>9.2142857142857151E-2</v>
      </c>
      <c r="K3121" s="147">
        <f>$J3005*'Assumptions (T&amp;D)'!C$101</f>
        <v>0.17738114285714288</v>
      </c>
      <c r="L3121" s="147">
        <f>$J3005*'Assumptions (T&amp;D)'!D$101</f>
        <v>0.16406342857142858</v>
      </c>
      <c r="M3121" s="147">
        <f>$J3005*'Assumptions (T&amp;D)'!E$101</f>
        <v>0.15177771428571429</v>
      </c>
      <c r="N3121" s="147">
        <f>$J3005*'Assumptions (T&amp;D)'!F$101</f>
        <v>0.14037657142857143</v>
      </c>
      <c r="O3121" s="147">
        <f>$J3005*'Assumptions (T&amp;D)'!G$101</f>
        <v>0.12986</v>
      </c>
      <c r="P3121" s="147">
        <f>$J3005*'Assumptions (T&amp;D)'!H$101</f>
        <v>0.12010514285714287</v>
      </c>
      <c r="Q3121" s="147">
        <f>$J3005*'Assumptions (T&amp;D)'!I$101</f>
        <v>0.11111200000000002</v>
      </c>
      <c r="R3121" s="147">
        <f>$J3005*'Assumptions (T&amp;D)'!J$101</f>
        <v>0.1096377142857143</v>
      </c>
      <c r="S3121" s="147">
        <f>$J3005*'Assumptions (T&amp;D)'!K$101</f>
        <v>0.10961314285714285</v>
      </c>
      <c r="T3121" s="147">
        <f>$J3005*'Assumptions (T&amp;D)'!L$101</f>
        <v>0.1096377142857143</v>
      </c>
      <c r="U3121" s="147">
        <f>$J3005*'Assumptions (T&amp;D)'!M$101</f>
        <v>0.10961314285714285</v>
      </c>
      <c r="V3121" s="147">
        <f>$J3005*'Assumptions (T&amp;D)'!N$101</f>
        <v>0.1096377142857143</v>
      </c>
      <c r="W3121" s="147">
        <f>$J3005*'Assumptions (T&amp;D)'!O$101</f>
        <v>0.10961314285714285</v>
      </c>
      <c r="X3121" s="147">
        <f>$J3005*'Assumptions (T&amp;D)'!P$101</f>
        <v>0.1096377142857143</v>
      </c>
      <c r="Y3121" s="147">
        <f>$J3005*'Assumptions (T&amp;D)'!Q$101</f>
        <v>0.10961314285714285</v>
      </c>
      <c r="Z3121" s="147">
        <f>$J3005*'Assumptions (T&amp;D)'!R$101</f>
        <v>0.1096377142857143</v>
      </c>
      <c r="AA3121" s="147">
        <f>$J3005*'Assumptions (T&amp;D)'!S$101</f>
        <v>0.10961314285714285</v>
      </c>
      <c r="AB3121" s="147">
        <f>$J3005*'Assumptions (T&amp;D)'!T$101</f>
        <v>0.1096377142857143</v>
      </c>
      <c r="AC3121" s="147">
        <f>$J3005*'Assumptions (T&amp;D)'!U$101</f>
        <v>0.10961314285714285</v>
      </c>
      <c r="AD3121" s="147">
        <f>$J3005*'Assumptions (T&amp;D)'!V$101</f>
        <v>5.4818857142857148E-2</v>
      </c>
    </row>
    <row r="3122" spans="1:45" ht="15.75" hidden="1" customHeight="1" outlineLevel="1">
      <c r="A3122" s="465"/>
      <c r="B3122" s="42"/>
      <c r="C3122" s="147"/>
      <c r="D3122" s="42"/>
      <c r="E3122" s="42"/>
      <c r="F3122" s="42"/>
      <c r="G3122" s="42"/>
      <c r="H3122" s="42"/>
      <c r="I3122" s="42"/>
      <c r="J3122" s="42"/>
      <c r="K3122" s="147">
        <f>$K3005*'Assumptions (T&amp;D)'!B$101</f>
        <v>0.11303571428571428</v>
      </c>
      <c r="L3122" s="147">
        <f>$K3005*'Assumptions (T&amp;D)'!C$101</f>
        <v>0.21760128571428572</v>
      </c>
      <c r="M3122" s="147">
        <f>$K3005*'Assumptions (T&amp;D)'!D$101</f>
        <v>0.20126385714285713</v>
      </c>
      <c r="N3122" s="147">
        <f>$K3005*'Assumptions (T&amp;D)'!E$101</f>
        <v>0.18619242857142856</v>
      </c>
      <c r="O3122" s="147">
        <f>$K3005*'Assumptions (T&amp;D)'!F$101</f>
        <v>0.17220614285714286</v>
      </c>
      <c r="P3122" s="147">
        <f>$K3005*'Assumptions (T&amp;D)'!G$101</f>
        <v>0.159305</v>
      </c>
      <c r="Q3122" s="147">
        <f>$K3005*'Assumptions (T&amp;D)'!H$101</f>
        <v>0.1473382857142857</v>
      </c>
      <c r="R3122" s="147">
        <f>$K3005*'Assumptions (T&amp;D)'!I$101</f>
        <v>0.13630600000000001</v>
      </c>
      <c r="S3122" s="147">
        <f>$K3005*'Assumptions (T&amp;D)'!J$101</f>
        <v>0.13449742857142857</v>
      </c>
      <c r="T3122" s="147">
        <f>$K3005*'Assumptions (T&amp;D)'!K$101</f>
        <v>0.13446728571428571</v>
      </c>
      <c r="U3122" s="147">
        <f>$K3005*'Assumptions (T&amp;D)'!L$101</f>
        <v>0.13449742857142857</v>
      </c>
      <c r="V3122" s="147">
        <f>$K3005*'Assumptions (T&amp;D)'!M$101</f>
        <v>0.13446728571428571</v>
      </c>
      <c r="W3122" s="147">
        <f>$K3005*'Assumptions (T&amp;D)'!N$101</f>
        <v>0.13449742857142857</v>
      </c>
      <c r="X3122" s="147">
        <f>$K3005*'Assumptions (T&amp;D)'!O$101</f>
        <v>0.13446728571428571</v>
      </c>
      <c r="Y3122" s="147">
        <f>$K3005*'Assumptions (T&amp;D)'!P$101</f>
        <v>0.13449742857142857</v>
      </c>
      <c r="Z3122" s="147">
        <f>$K3005*'Assumptions (T&amp;D)'!Q$101</f>
        <v>0.13446728571428571</v>
      </c>
      <c r="AA3122" s="147">
        <f>$K3005*'Assumptions (T&amp;D)'!R$101</f>
        <v>0.13449742857142857</v>
      </c>
      <c r="AB3122" s="147">
        <f>$K3005*'Assumptions (T&amp;D)'!S$101</f>
        <v>0.13446728571428571</v>
      </c>
      <c r="AC3122" s="147">
        <f>$K3005*'Assumptions (T&amp;D)'!T$101</f>
        <v>0.13449742857142857</v>
      </c>
      <c r="AD3122" s="147">
        <f>$K3005*'Assumptions (T&amp;D)'!U$101</f>
        <v>0.13446728571428571</v>
      </c>
      <c r="AE3122" s="147">
        <f>$K3005*'Assumptions (T&amp;D)'!V$101</f>
        <v>6.7248714285714287E-2</v>
      </c>
    </row>
    <row r="3123" spans="1:45" ht="15.75" hidden="1" customHeight="1" outlineLevel="1">
      <c r="A3123" s="465"/>
      <c r="B3123" s="42"/>
      <c r="C3123" s="42"/>
      <c r="D3123" s="42"/>
      <c r="E3123" s="42"/>
      <c r="F3123" s="42"/>
      <c r="G3123" s="42"/>
      <c r="H3123" s="42"/>
      <c r="I3123" s="42"/>
      <c r="J3123" s="42"/>
      <c r="K3123" s="42"/>
      <c r="L3123" s="147">
        <f>$L3005*'Assumptions (T&amp;D)'!B$101</f>
        <v>0.11732142857142856</v>
      </c>
      <c r="M3123" s="147">
        <f>$L3005*'Assumptions (T&amp;D)'!C$101</f>
        <v>0.22585157142857143</v>
      </c>
      <c r="N3123" s="147">
        <f>$L3005*'Assumptions (T&amp;D)'!D$101</f>
        <v>0.20889471428571427</v>
      </c>
      <c r="O3123" s="147">
        <f>$L3005*'Assumptions (T&amp;D)'!E$101</f>
        <v>0.19325185714285714</v>
      </c>
      <c r="P3123" s="147">
        <f>$L3005*'Assumptions (T&amp;D)'!F$101</f>
        <v>0.17873528571428571</v>
      </c>
      <c r="Q3123" s="147">
        <f>$L3005*'Assumptions (T&amp;D)'!G$101</f>
        <v>0.16534499999999999</v>
      </c>
      <c r="R3123" s="147">
        <f>$L3005*'Assumptions (T&amp;D)'!H$101</f>
        <v>0.15292457142857144</v>
      </c>
      <c r="S3123" s="147">
        <f>$L3005*'Assumptions (T&amp;D)'!I$101</f>
        <v>0.14147400000000002</v>
      </c>
      <c r="T3123" s="147">
        <f>$L3005*'Assumptions (T&amp;D)'!J$101</f>
        <v>0.13959685714285713</v>
      </c>
      <c r="U3123" s="147">
        <f>$L3005*'Assumptions (T&amp;D)'!K$101</f>
        <v>0.13956557142857143</v>
      </c>
      <c r="V3123" s="147">
        <f>$L3005*'Assumptions (T&amp;D)'!L$101</f>
        <v>0.13959685714285713</v>
      </c>
      <c r="W3123" s="147">
        <f>$L3005*'Assumptions (T&amp;D)'!M$101</f>
        <v>0.13956557142857143</v>
      </c>
      <c r="X3123" s="147">
        <f>$L3005*'Assumptions (T&amp;D)'!N$101</f>
        <v>0.13959685714285713</v>
      </c>
      <c r="Y3123" s="147">
        <f>$L3005*'Assumptions (T&amp;D)'!O$101</f>
        <v>0.13956557142857143</v>
      </c>
      <c r="Z3123" s="147">
        <f>$L3005*'Assumptions (T&amp;D)'!P$101</f>
        <v>0.13959685714285713</v>
      </c>
      <c r="AA3123" s="147">
        <f>$L3005*'Assumptions (T&amp;D)'!Q$101</f>
        <v>0.13956557142857143</v>
      </c>
      <c r="AB3123" s="147">
        <f>$L3005*'Assumptions (T&amp;D)'!R$101</f>
        <v>0.13959685714285713</v>
      </c>
      <c r="AC3123" s="147">
        <f>$L3005*'Assumptions (T&amp;D)'!S$101</f>
        <v>0.13956557142857143</v>
      </c>
      <c r="AD3123" s="147">
        <f>$L3005*'Assumptions (T&amp;D)'!T$101</f>
        <v>0.13959685714285713</v>
      </c>
      <c r="AE3123" s="147">
        <f>$L3005*'Assumptions (T&amp;D)'!U$101</f>
        <v>0.13956557142857143</v>
      </c>
      <c r="AF3123" s="147">
        <f>$L3005*'Assumptions (T&amp;D)'!V$101</f>
        <v>6.9798428571428567E-2</v>
      </c>
    </row>
    <row r="3124" spans="1:45" ht="15.75" hidden="1" customHeight="1" outlineLevel="1">
      <c r="A3124" s="465"/>
      <c r="B3124" s="42"/>
      <c r="C3124" s="42"/>
      <c r="D3124" s="42"/>
      <c r="E3124" s="42"/>
      <c r="F3124" s="42"/>
      <c r="G3124" s="42"/>
      <c r="H3124" s="42"/>
      <c r="I3124" s="42"/>
      <c r="J3124" s="42"/>
      <c r="K3124" s="42"/>
      <c r="L3124" s="42"/>
      <c r="M3124" s="147">
        <f>$M3005*'Assumptions (T&amp;D)'!B$101</f>
        <v>0.11357142857142857</v>
      </c>
      <c r="N3124" s="147">
        <f>$M3005*'Assumptions (T&amp;D)'!C$101</f>
        <v>0.21863257142857145</v>
      </c>
      <c r="O3124" s="147">
        <f>$M3005*'Assumptions (T&amp;D)'!D$101</f>
        <v>0.20221771428571431</v>
      </c>
      <c r="P3124" s="147">
        <f>$M3005*'Assumptions (T&amp;D)'!E$101</f>
        <v>0.18707485714285715</v>
      </c>
      <c r="Q3124" s="147">
        <f>$M3005*'Assumptions (T&amp;D)'!F$101</f>
        <v>0.17302228571428574</v>
      </c>
      <c r="R3124" s="147">
        <f>$M3005*'Assumptions (T&amp;D)'!G$101</f>
        <v>0.16006000000000001</v>
      </c>
      <c r="S3124" s="147">
        <f>$M3005*'Assumptions (T&amp;D)'!H$101</f>
        <v>0.14803657142857143</v>
      </c>
      <c r="T3124" s="147">
        <f>$M3005*'Assumptions (T&amp;D)'!I$101</f>
        <v>0.13695200000000002</v>
      </c>
      <c r="U3124" s="147">
        <f>$M3005*'Assumptions (T&amp;D)'!J$101</f>
        <v>0.13513485714285717</v>
      </c>
      <c r="V3124" s="147">
        <f>$M3005*'Assumptions (T&amp;D)'!K$101</f>
        <v>0.13510457142857143</v>
      </c>
      <c r="W3124" s="147">
        <f>$M3005*'Assumptions (T&amp;D)'!L$101</f>
        <v>0.13513485714285717</v>
      </c>
      <c r="X3124" s="147">
        <f>$M3005*'Assumptions (T&amp;D)'!M$101</f>
        <v>0.13510457142857143</v>
      </c>
      <c r="Y3124" s="147">
        <f>$M3005*'Assumptions (T&amp;D)'!N$101</f>
        <v>0.13513485714285717</v>
      </c>
      <c r="Z3124" s="147">
        <f>$M3005*'Assumptions (T&amp;D)'!O$101</f>
        <v>0.13510457142857143</v>
      </c>
      <c r="AA3124" s="147">
        <f>$M3005*'Assumptions (T&amp;D)'!P$101</f>
        <v>0.13513485714285717</v>
      </c>
      <c r="AB3124" s="147">
        <f>$M3005*'Assumptions (T&amp;D)'!Q$101</f>
        <v>0.13510457142857143</v>
      </c>
      <c r="AC3124" s="147">
        <f>$M3005*'Assumptions (T&amp;D)'!R$101</f>
        <v>0.13513485714285717</v>
      </c>
      <c r="AD3124" s="147">
        <f>$M3005*'Assumptions (T&amp;D)'!S$101</f>
        <v>0.13510457142857143</v>
      </c>
      <c r="AE3124" s="147">
        <f>$M3005*'Assumptions (T&amp;D)'!T$101</f>
        <v>0.13513485714285717</v>
      </c>
      <c r="AF3124" s="147">
        <f>$M3005*'Assumptions (T&amp;D)'!U$101</f>
        <v>0.13510457142857143</v>
      </c>
      <c r="AG3124" s="147">
        <f>$M3005*'Assumptions (T&amp;D)'!V$101</f>
        <v>6.7567428571428584E-2</v>
      </c>
    </row>
    <row r="3125" spans="1:45" ht="15.75" hidden="1" customHeight="1" outlineLevel="1">
      <c r="A3125" s="465"/>
      <c r="B3125" s="42"/>
      <c r="C3125" s="42"/>
      <c r="D3125" s="42"/>
      <c r="E3125" s="42"/>
      <c r="F3125" s="42"/>
      <c r="G3125" s="42"/>
      <c r="H3125" s="42"/>
      <c r="I3125" s="42"/>
      <c r="J3125" s="42"/>
      <c r="K3125" s="42"/>
      <c r="L3125" s="42"/>
      <c r="M3125" s="42"/>
      <c r="N3125" s="147">
        <f>$N3005*'Assumptions (T&amp;D)'!B$101</f>
        <v>0.14517857142857143</v>
      </c>
      <c r="O3125" s="147">
        <f>$N3005*'Assumptions (T&amp;D)'!C$101</f>
        <v>0.27947842857142857</v>
      </c>
      <c r="P3125" s="147">
        <f>$N3005*'Assumptions (T&amp;D)'!D$101</f>
        <v>0.25849528571428571</v>
      </c>
      <c r="Q3125" s="147">
        <f>$N3005*'Assumptions (T&amp;D)'!E$101</f>
        <v>0.23913814285714285</v>
      </c>
      <c r="R3125" s="147">
        <f>$N3005*'Assumptions (T&amp;D)'!F$101</f>
        <v>0.22117471428571428</v>
      </c>
      <c r="S3125" s="147">
        <f>$N3005*'Assumptions (T&amp;D)'!G$101</f>
        <v>0.20460500000000001</v>
      </c>
      <c r="T3125" s="147">
        <f>$N3005*'Assumptions (T&amp;D)'!H$101</f>
        <v>0.18923542857142858</v>
      </c>
      <c r="U3125" s="147">
        <f>$N3005*'Assumptions (T&amp;D)'!I$101</f>
        <v>0.175066</v>
      </c>
      <c r="V3125" s="147">
        <f>$N3005*'Assumptions (T&amp;D)'!J$101</f>
        <v>0.17274314285714285</v>
      </c>
      <c r="W3125" s="147">
        <f>$N3005*'Assumptions (T&amp;D)'!K$101</f>
        <v>0.17270442857142856</v>
      </c>
      <c r="X3125" s="147">
        <f>$N3005*'Assumptions (T&amp;D)'!L$101</f>
        <v>0.17274314285714285</v>
      </c>
      <c r="Y3125" s="147">
        <f>$N3005*'Assumptions (T&amp;D)'!M$101</f>
        <v>0.17270442857142856</v>
      </c>
      <c r="Z3125" s="147">
        <f>$N3005*'Assumptions (T&amp;D)'!N$101</f>
        <v>0.17274314285714285</v>
      </c>
      <c r="AA3125" s="147">
        <f>$N3005*'Assumptions (T&amp;D)'!O$101</f>
        <v>0.17270442857142856</v>
      </c>
      <c r="AB3125" s="147">
        <f>$N3005*'Assumptions (T&amp;D)'!P$101</f>
        <v>0.17274314285714285</v>
      </c>
      <c r="AC3125" s="147">
        <f>$N3005*'Assumptions (T&amp;D)'!Q$101</f>
        <v>0.17270442857142856</v>
      </c>
      <c r="AD3125" s="147">
        <f>$N3005*'Assumptions (T&amp;D)'!R$101</f>
        <v>0.17274314285714285</v>
      </c>
      <c r="AE3125" s="147">
        <f>$N3005*'Assumptions (T&amp;D)'!S$101</f>
        <v>0.17270442857142856</v>
      </c>
      <c r="AF3125" s="147">
        <f>$N3005*'Assumptions (T&amp;D)'!T$101</f>
        <v>0.17274314285714285</v>
      </c>
      <c r="AG3125" s="147">
        <f>$N3005*'Assumptions (T&amp;D)'!U$101</f>
        <v>0.17270442857142856</v>
      </c>
      <c r="AH3125" s="147">
        <f>$N3005*'Assumptions (T&amp;D)'!V$101</f>
        <v>8.6371571428571423E-2</v>
      </c>
    </row>
    <row r="3126" spans="1:45" ht="15.75" hidden="1" customHeight="1" outlineLevel="1">
      <c r="A3126" s="465"/>
      <c r="B3126" s="42"/>
      <c r="C3126" s="42"/>
      <c r="D3126" s="42"/>
      <c r="E3126" s="42"/>
      <c r="F3126" s="42"/>
      <c r="G3126" s="42"/>
      <c r="H3126" s="42"/>
      <c r="I3126" s="42"/>
      <c r="J3126" s="42"/>
      <c r="K3126" s="42"/>
      <c r="L3126" s="42"/>
      <c r="M3126" s="42"/>
      <c r="N3126" s="42"/>
      <c r="O3126" s="147">
        <f>$O3005*'Assumptions (T&amp;D)'!B$101</f>
        <v>0.17035714285714287</v>
      </c>
      <c r="P3126" s="147">
        <f>$O3005*'Assumptions (T&amp;D)'!C$101</f>
        <v>0.32794885714285721</v>
      </c>
      <c r="Q3126" s="147">
        <f>$O3005*'Assumptions (T&amp;D)'!D$101</f>
        <v>0.30332657142857145</v>
      </c>
      <c r="R3126" s="147">
        <f>$O3005*'Assumptions (T&amp;D)'!E$101</f>
        <v>0.28061228571428576</v>
      </c>
      <c r="S3126" s="147">
        <f>$O3005*'Assumptions (T&amp;D)'!F$101</f>
        <v>0.25953342857142864</v>
      </c>
      <c r="T3126" s="147">
        <f>$O3005*'Assumptions (T&amp;D)'!G$101</f>
        <v>0.24009000000000005</v>
      </c>
      <c r="U3126" s="147">
        <f>$O3005*'Assumptions (T&amp;D)'!H$101</f>
        <v>0.22205485714285716</v>
      </c>
      <c r="V3126" s="147">
        <f>$O3005*'Assumptions (T&amp;D)'!I$101</f>
        <v>0.20542800000000006</v>
      </c>
      <c r="W3126" s="147">
        <f>$O3005*'Assumptions (T&amp;D)'!J$101</f>
        <v>0.20270228571428575</v>
      </c>
      <c r="X3126" s="147">
        <f>$O3005*'Assumptions (T&amp;D)'!K$101</f>
        <v>0.20265685714285717</v>
      </c>
      <c r="Y3126" s="147">
        <f>$O3005*'Assumptions (T&amp;D)'!L$101</f>
        <v>0.20270228571428575</v>
      </c>
      <c r="Z3126" s="147">
        <f>$O3005*'Assumptions (T&amp;D)'!M$101</f>
        <v>0.20265685714285717</v>
      </c>
      <c r="AA3126" s="147">
        <f>$O3005*'Assumptions (T&amp;D)'!N$101</f>
        <v>0.20270228571428575</v>
      </c>
      <c r="AB3126" s="147">
        <f>$O3005*'Assumptions (T&amp;D)'!O$101</f>
        <v>0.20265685714285717</v>
      </c>
      <c r="AC3126" s="147">
        <f>$O3005*'Assumptions (T&amp;D)'!P$101</f>
        <v>0.20270228571428575</v>
      </c>
      <c r="AD3126" s="147">
        <f>$O3005*'Assumptions (T&amp;D)'!Q$101</f>
        <v>0.20265685714285717</v>
      </c>
      <c r="AE3126" s="147">
        <f>$O3005*'Assumptions (T&amp;D)'!R$101</f>
        <v>0.20270228571428575</v>
      </c>
      <c r="AF3126" s="147">
        <f>$O3005*'Assumptions (T&amp;D)'!S$101</f>
        <v>0.20265685714285717</v>
      </c>
      <c r="AG3126" s="147">
        <f>$O3005*'Assumptions (T&amp;D)'!T$101</f>
        <v>0.20270228571428575</v>
      </c>
      <c r="AH3126" s="147">
        <f>$O3005*'Assumptions (T&amp;D)'!U$101</f>
        <v>0.20265685714285717</v>
      </c>
      <c r="AI3126" s="147">
        <f>$O3005*'Assumptions (T&amp;D)'!V$101</f>
        <v>0.10135114285714288</v>
      </c>
    </row>
    <row r="3127" spans="1:45" ht="15.75" hidden="1" customHeight="1" outlineLevel="1">
      <c r="A3127" s="465"/>
      <c r="B3127" s="42"/>
      <c r="C3127" s="42"/>
      <c r="D3127" s="42"/>
      <c r="E3127" s="42"/>
      <c r="F3127" s="42"/>
      <c r="G3127" s="42"/>
      <c r="H3127" s="42"/>
      <c r="I3127" s="42"/>
      <c r="J3127" s="42"/>
      <c r="K3127" s="42"/>
      <c r="L3127" s="42"/>
      <c r="M3127" s="42"/>
      <c r="N3127" s="42"/>
      <c r="O3127" s="42"/>
      <c r="P3127" s="147">
        <f>$P3005*'Assumptions (T&amp;D)'!B$101</f>
        <v>0.15535714285714286</v>
      </c>
      <c r="Q3127" s="147">
        <f>$P3005*'Assumptions (T&amp;D)'!C$101</f>
        <v>0.2990728571428572</v>
      </c>
      <c r="R3127" s="147">
        <f>$P3005*'Assumptions (T&amp;D)'!D$101</f>
        <v>0.27661857142857144</v>
      </c>
      <c r="S3127" s="147">
        <f>$P3005*'Assumptions (T&amp;D)'!E$101</f>
        <v>0.25590428571428575</v>
      </c>
      <c r="T3127" s="147">
        <f>$P3005*'Assumptions (T&amp;D)'!F$101</f>
        <v>0.2366814285714286</v>
      </c>
      <c r="U3127" s="147">
        <f>$P3005*'Assumptions (T&amp;D)'!G$101</f>
        <v>0.21895000000000003</v>
      </c>
      <c r="V3127" s="147">
        <f>$P3005*'Assumptions (T&amp;D)'!H$101</f>
        <v>0.20250285714285715</v>
      </c>
      <c r="W3127" s="147">
        <f>$P3005*'Assumptions (T&amp;D)'!I$101</f>
        <v>0.18734000000000003</v>
      </c>
      <c r="X3127" s="147">
        <f>$P3005*'Assumptions (T&amp;D)'!J$101</f>
        <v>0.18485428571428572</v>
      </c>
      <c r="Y3127" s="147">
        <f>$P3005*'Assumptions (T&amp;D)'!K$101</f>
        <v>0.18481285714285714</v>
      </c>
      <c r="Z3127" s="147">
        <f>$P3005*'Assumptions (T&amp;D)'!L$101</f>
        <v>0.18485428571428572</v>
      </c>
      <c r="AA3127" s="147">
        <f>$P3005*'Assumptions (T&amp;D)'!M$101</f>
        <v>0.18481285714285714</v>
      </c>
      <c r="AB3127" s="147">
        <f>$P3005*'Assumptions (T&amp;D)'!N$101</f>
        <v>0.18485428571428572</v>
      </c>
      <c r="AC3127" s="147">
        <f>$P3005*'Assumptions (T&amp;D)'!O$101</f>
        <v>0.18481285714285714</v>
      </c>
      <c r="AD3127" s="147">
        <f>$P3005*'Assumptions (T&amp;D)'!P$101</f>
        <v>0.18485428571428572</v>
      </c>
      <c r="AE3127" s="147">
        <f>$P3005*'Assumptions (T&amp;D)'!Q$101</f>
        <v>0.18481285714285714</v>
      </c>
      <c r="AF3127" s="147">
        <f>$P3005*'Assumptions (T&amp;D)'!R$101</f>
        <v>0.18485428571428572</v>
      </c>
      <c r="AG3127" s="147">
        <f>$P3005*'Assumptions (T&amp;D)'!S$101</f>
        <v>0.18481285714285714</v>
      </c>
      <c r="AH3127" s="147">
        <f>$P3005*'Assumptions (T&amp;D)'!T$101</f>
        <v>0.18485428571428572</v>
      </c>
      <c r="AI3127" s="147">
        <f>$P3005*'Assumptions (T&amp;D)'!U$101</f>
        <v>0.18481285714285714</v>
      </c>
      <c r="AJ3127" s="147">
        <f>$P3005*'Assumptions (T&amp;D)'!V$101</f>
        <v>9.242714285714286E-2</v>
      </c>
    </row>
    <row r="3128" spans="1:45" ht="15.75" hidden="1" customHeight="1" outlineLevel="1">
      <c r="A3128" s="465"/>
      <c r="B3128" s="42"/>
      <c r="C3128" s="42"/>
      <c r="D3128" s="42"/>
      <c r="E3128" s="42"/>
      <c r="F3128" s="42"/>
      <c r="G3128" s="42"/>
      <c r="H3128" s="42"/>
      <c r="I3128" s="42"/>
      <c r="J3128" s="42"/>
      <c r="K3128" s="42"/>
      <c r="L3128" s="42"/>
      <c r="M3128" s="42"/>
      <c r="N3128" s="42"/>
      <c r="O3128" s="42"/>
      <c r="P3128" s="42"/>
      <c r="Q3128" s="147">
        <f>$Q3005*'Assumptions (T&amp;D)'!B$101</f>
        <v>0.1607142857142857</v>
      </c>
      <c r="R3128" s="147">
        <f>$Q3005*'Assumptions (T&amp;D)'!C$101</f>
        <v>0.30938571428571432</v>
      </c>
      <c r="S3128" s="147">
        <f>$Q3005*'Assumptions (T&amp;D)'!D$101</f>
        <v>0.28615714285714283</v>
      </c>
      <c r="T3128" s="147">
        <f>$Q3005*'Assumptions (T&amp;D)'!E$101</f>
        <v>0.26472857142857142</v>
      </c>
      <c r="U3128" s="147">
        <f>$Q3005*'Assumptions (T&amp;D)'!F$101</f>
        <v>0.24484285714285714</v>
      </c>
      <c r="V3128" s="147">
        <f>$Q3005*'Assumptions (T&amp;D)'!G$101</f>
        <v>0.22650000000000001</v>
      </c>
      <c r="W3128" s="147">
        <f>$Q3005*'Assumptions (T&amp;D)'!H$101</f>
        <v>0.20948571428571428</v>
      </c>
      <c r="X3128" s="147">
        <f>$Q3005*'Assumptions (T&amp;D)'!I$101</f>
        <v>0.1938</v>
      </c>
      <c r="Y3128" s="147">
        <f>$Q3005*'Assumptions (T&amp;D)'!J$101</f>
        <v>0.19122857142857141</v>
      </c>
      <c r="Z3128" s="147">
        <f>$Q3005*'Assumptions (T&amp;D)'!K$101</f>
        <v>0.19118571428571426</v>
      </c>
      <c r="AA3128" s="147">
        <f>$Q3005*'Assumptions (T&amp;D)'!L$101</f>
        <v>0.19122857142857141</v>
      </c>
      <c r="AB3128" s="147">
        <f>$Q3005*'Assumptions (T&amp;D)'!M$101</f>
        <v>0.19118571428571426</v>
      </c>
      <c r="AC3128" s="147">
        <f>$Q3005*'Assumptions (T&amp;D)'!N$101</f>
        <v>0.19122857142857141</v>
      </c>
      <c r="AD3128" s="147">
        <f>$Q3005*'Assumptions (T&amp;D)'!O$101</f>
        <v>0.19118571428571426</v>
      </c>
      <c r="AE3128" s="147">
        <f>$Q3005*'Assumptions (T&amp;D)'!P$101</f>
        <v>0.19122857142857141</v>
      </c>
      <c r="AF3128" s="147">
        <f>$Q3005*'Assumptions (T&amp;D)'!Q$101</f>
        <v>0.19118571428571426</v>
      </c>
      <c r="AG3128" s="147">
        <f>$Q3005*'Assumptions (T&amp;D)'!R$101</f>
        <v>0.19122857142857141</v>
      </c>
      <c r="AH3128" s="147">
        <f>$Q3005*'Assumptions (T&amp;D)'!S$101</f>
        <v>0.19118571428571426</v>
      </c>
      <c r="AI3128" s="147">
        <f>$Q3005*'Assumptions (T&amp;D)'!T$101</f>
        <v>0.19122857142857141</v>
      </c>
      <c r="AJ3128" s="147">
        <f>$Q3005*'Assumptions (T&amp;D)'!U$101</f>
        <v>0.19118571428571426</v>
      </c>
      <c r="AK3128" s="147">
        <f>$Q3005*'Assumptions (T&amp;D)'!V$101</f>
        <v>9.5614285714285707E-2</v>
      </c>
    </row>
    <row r="3129" spans="1:45" ht="15.75" hidden="1" customHeight="1" outlineLevel="1">
      <c r="A3129" s="465"/>
      <c r="B3129" s="42"/>
      <c r="C3129" s="42"/>
      <c r="D3129" s="42"/>
      <c r="E3129" s="42"/>
      <c r="F3129" s="42"/>
      <c r="G3129" s="42"/>
      <c r="H3129" s="42"/>
      <c r="I3129" s="42"/>
      <c r="J3129" s="42"/>
      <c r="K3129" s="42"/>
      <c r="L3129" s="42"/>
      <c r="M3129" s="42"/>
      <c r="N3129" s="42"/>
      <c r="O3129" s="42"/>
      <c r="P3129" s="42"/>
      <c r="Q3129" s="42"/>
      <c r="R3129" s="147">
        <f>$R3005*'Assumptions (T&amp;D)'!B$101</f>
        <v>0.17517857142857143</v>
      </c>
      <c r="S3129" s="147">
        <f>$R3005*'Assumptions (T&amp;D)'!C$101</f>
        <v>0.3372304285714286</v>
      </c>
      <c r="T3129" s="147">
        <f>$R3005*'Assumptions (T&amp;D)'!D$101</f>
        <v>0.31191128571428572</v>
      </c>
      <c r="U3129" s="147">
        <f>$R3005*'Assumptions (T&amp;D)'!E$101</f>
        <v>0.28855414285714287</v>
      </c>
      <c r="V3129" s="147">
        <f>$R3005*'Assumptions (T&amp;D)'!F$101</f>
        <v>0.2668787142857143</v>
      </c>
      <c r="W3129" s="147">
        <f>$R3005*'Assumptions (T&amp;D)'!G$101</f>
        <v>0.24688500000000002</v>
      </c>
      <c r="X3129" s="147">
        <f>$R3005*'Assumptions (T&amp;D)'!H$101</f>
        <v>0.22833942857142858</v>
      </c>
      <c r="Y3129" s="147">
        <f>$R3005*'Assumptions (T&amp;D)'!I$101</f>
        <v>0.21124200000000004</v>
      </c>
      <c r="Z3129" s="147">
        <f>$R3005*'Assumptions (T&amp;D)'!J$101</f>
        <v>0.20843914285714288</v>
      </c>
      <c r="AA3129" s="147">
        <f>$R3005*'Assumptions (T&amp;D)'!K$101</f>
        <v>0.20839242857142856</v>
      </c>
      <c r="AB3129" s="147">
        <f>$R3005*'Assumptions (T&amp;D)'!L$101</f>
        <v>0.20843914285714288</v>
      </c>
      <c r="AC3129" s="147">
        <f>$R3005*'Assumptions (T&amp;D)'!M$101</f>
        <v>0.20839242857142856</v>
      </c>
      <c r="AD3129" s="147">
        <f>$R3005*'Assumptions (T&amp;D)'!N$101</f>
        <v>0.20843914285714288</v>
      </c>
      <c r="AE3129" s="147">
        <f>$R3005*'Assumptions (T&amp;D)'!O$101</f>
        <v>0.20839242857142856</v>
      </c>
      <c r="AF3129" s="147">
        <f>$R3005*'Assumptions (T&amp;D)'!P$101</f>
        <v>0.20843914285714288</v>
      </c>
      <c r="AG3129" s="147">
        <f>$R3005*'Assumptions (T&amp;D)'!Q$101</f>
        <v>0.20839242857142856</v>
      </c>
      <c r="AH3129" s="147">
        <f>$R3005*'Assumptions (T&amp;D)'!R$101</f>
        <v>0.20843914285714288</v>
      </c>
      <c r="AI3129" s="147">
        <f>$R3005*'Assumptions (T&amp;D)'!S$101</f>
        <v>0.20839242857142856</v>
      </c>
      <c r="AJ3129" s="147">
        <f>$R3005*'Assumptions (T&amp;D)'!T$101</f>
        <v>0.20843914285714288</v>
      </c>
      <c r="AK3129" s="147">
        <f>$R3005*'Assumptions (T&amp;D)'!U$101</f>
        <v>0.20839242857142856</v>
      </c>
      <c r="AL3129" s="147">
        <f>$R3005*'Assumptions (T&amp;D)'!V$101</f>
        <v>0.10421957142857144</v>
      </c>
    </row>
    <row r="3130" spans="1:45" ht="15.75" hidden="1" customHeight="1" outlineLevel="1">
      <c r="A3130" s="465"/>
      <c r="B3130" s="42"/>
      <c r="C3130" s="42"/>
      <c r="D3130" s="42"/>
      <c r="E3130" s="42"/>
      <c r="F3130" s="42"/>
      <c r="G3130" s="42"/>
      <c r="H3130" s="42"/>
      <c r="I3130" s="42"/>
      <c r="J3130" s="42"/>
      <c r="K3130" s="42"/>
      <c r="L3130" s="42"/>
      <c r="M3130" s="42"/>
      <c r="N3130" s="42"/>
      <c r="O3130" s="42"/>
      <c r="P3130" s="42"/>
      <c r="Q3130" s="42"/>
      <c r="R3130" s="42"/>
      <c r="S3130" s="147">
        <f>$S3005*'Assumptions (T&amp;D)'!B$101</f>
        <v>0.19660714285714284</v>
      </c>
      <c r="T3130" s="147">
        <f>$S3005*'Assumptions (T&amp;D)'!C$101</f>
        <v>0.37848185714285715</v>
      </c>
      <c r="U3130" s="147">
        <f>$S3005*'Assumptions (T&amp;D)'!D$101</f>
        <v>0.35006557142857142</v>
      </c>
      <c r="V3130" s="147">
        <f>$S3005*'Assumptions (T&amp;D)'!E$101</f>
        <v>0.32385128571428573</v>
      </c>
      <c r="W3130" s="147">
        <f>$S3005*'Assumptions (T&amp;D)'!F$101</f>
        <v>0.29952442857142858</v>
      </c>
      <c r="X3130" s="147">
        <f>$S3005*'Assumptions (T&amp;D)'!G$101</f>
        <v>0.27708500000000003</v>
      </c>
      <c r="Y3130" s="147">
        <f>$S3005*'Assumptions (T&amp;D)'!H$101</f>
        <v>0.25627085714285713</v>
      </c>
      <c r="Z3130" s="147">
        <f>$S3005*'Assumptions (T&amp;D)'!I$101</f>
        <v>0.23708200000000001</v>
      </c>
      <c r="AA3130" s="147">
        <f>$S3005*'Assumptions (T&amp;D)'!J$101</f>
        <v>0.23393628571428571</v>
      </c>
      <c r="AB3130" s="147">
        <f>$S3005*'Assumptions (T&amp;D)'!K$101</f>
        <v>0.23388385714285712</v>
      </c>
      <c r="AC3130" s="147">
        <f>$S3005*'Assumptions (T&amp;D)'!L$101</f>
        <v>0.23393628571428571</v>
      </c>
      <c r="AD3130" s="147">
        <f>$S3005*'Assumptions (T&amp;D)'!M$101</f>
        <v>0.23388385714285712</v>
      </c>
      <c r="AE3130" s="147">
        <f>$S3005*'Assumptions (T&amp;D)'!N$101</f>
        <v>0.23393628571428571</v>
      </c>
      <c r="AF3130" s="147">
        <f>$S3005*'Assumptions (T&amp;D)'!O$101</f>
        <v>0.23388385714285712</v>
      </c>
      <c r="AG3130" s="147">
        <f>$S3005*'Assumptions (T&amp;D)'!P$101</f>
        <v>0.23393628571428571</v>
      </c>
      <c r="AH3130" s="147">
        <f>$S3005*'Assumptions (T&amp;D)'!Q$101</f>
        <v>0.23388385714285712</v>
      </c>
      <c r="AI3130" s="147">
        <f>$S3005*'Assumptions (T&amp;D)'!R$101</f>
        <v>0.23393628571428571</v>
      </c>
      <c r="AJ3130" s="147">
        <f>$S3005*'Assumptions (T&amp;D)'!S$101</f>
        <v>0.23388385714285712</v>
      </c>
      <c r="AK3130" s="147">
        <f>$S3005*'Assumptions (T&amp;D)'!T$101</f>
        <v>0.23393628571428571</v>
      </c>
      <c r="AL3130" s="147">
        <f>$S3005*'Assumptions (T&amp;D)'!U$101</f>
        <v>0.23388385714285712</v>
      </c>
      <c r="AM3130" s="147">
        <f>$S3005*'Assumptions (T&amp;D)'!V$101</f>
        <v>0.11696814285714285</v>
      </c>
    </row>
    <row r="3131" spans="1:45" ht="15.75" hidden="1" customHeight="1" outlineLevel="1">
      <c r="A3131" s="465"/>
      <c r="B3131" s="42"/>
      <c r="C3131" s="42"/>
      <c r="D3131" s="42"/>
      <c r="E3131" s="42"/>
      <c r="F3131" s="42"/>
      <c r="G3131" s="42"/>
      <c r="H3131" s="42"/>
      <c r="I3131" s="42"/>
      <c r="J3131" s="42"/>
      <c r="K3131" s="42"/>
      <c r="L3131" s="42"/>
      <c r="M3131" s="42"/>
      <c r="N3131" s="42"/>
      <c r="O3131" s="42"/>
      <c r="P3131" s="42"/>
      <c r="Q3131" s="42"/>
      <c r="R3131" s="42"/>
      <c r="S3131" s="42"/>
      <c r="T3131" s="147">
        <f>$T3005*'Assumptions (T&amp;D)'!B$101</f>
        <v>0.14096576274955908</v>
      </c>
      <c r="U3131" s="147">
        <f>$T3005*'Assumptions (T&amp;D)'!C$101</f>
        <v>0.27136849101041793</v>
      </c>
      <c r="V3131" s="147">
        <f>$T3005*'Assumptions (T&amp;D)'!D$101</f>
        <v>0.25099423943434829</v>
      </c>
      <c r="W3131" s="147">
        <f>$T3005*'Assumptions (T&amp;D)'!E$101</f>
        <v>0.23219880440107374</v>
      </c>
      <c r="X3131" s="147">
        <f>$T3005*'Assumptions (T&amp;D)'!F$101</f>
        <v>0.21475664069019496</v>
      </c>
      <c r="Y3131" s="147">
        <f>$T3005*'Assumptions (T&amp;D)'!G$101</f>
        <v>0.19866774830171194</v>
      </c>
      <c r="Z3131" s="147">
        <f>$T3005*'Assumptions (T&amp;D)'!H$101</f>
        <v>0.18374417288529196</v>
      </c>
      <c r="AA3131" s="147">
        <f>$T3005*'Assumptions (T&amp;D)'!I$101</f>
        <v>0.169985914440935</v>
      </c>
      <c r="AB3131" s="147">
        <f>$T3005*'Assumptions (T&amp;D)'!J$101</f>
        <v>0.16773046223694205</v>
      </c>
      <c r="AC3131" s="147">
        <f>$T3005*'Assumptions (T&amp;D)'!K$101</f>
        <v>0.1676928713668755</v>
      </c>
      <c r="AD3131" s="147">
        <f>$T3005*'Assumptions (T&amp;D)'!L$101</f>
        <v>0.16773046223694205</v>
      </c>
      <c r="AE3131" s="147">
        <f>$T3005*'Assumptions (T&amp;D)'!M$101</f>
        <v>0.1676928713668755</v>
      </c>
      <c r="AF3131" s="147">
        <f>$T3005*'Assumptions (T&amp;D)'!N$101</f>
        <v>0.16773046223694205</v>
      </c>
      <c r="AG3131" s="147">
        <f>$T3005*'Assumptions (T&amp;D)'!O$101</f>
        <v>0.1676928713668755</v>
      </c>
      <c r="AH3131" s="147">
        <f>$T3005*'Assumptions (T&amp;D)'!P$101</f>
        <v>0.16773046223694205</v>
      </c>
      <c r="AI3131" s="147">
        <f>$T3005*'Assumptions (T&amp;D)'!Q$101</f>
        <v>0.1676928713668755</v>
      </c>
      <c r="AJ3131" s="147">
        <f>$T3005*'Assumptions (T&amp;D)'!R$101</f>
        <v>0.16773046223694205</v>
      </c>
      <c r="AK3131" s="147">
        <f>$T3005*'Assumptions (T&amp;D)'!S$101</f>
        <v>0.1676928713668755</v>
      </c>
      <c r="AL3131" s="147">
        <f>$T3005*'Assumptions (T&amp;D)'!T$101</f>
        <v>0.16773046223694205</v>
      </c>
      <c r="AM3131" s="147">
        <f>$T3005*'Assumptions (T&amp;D)'!U$101</f>
        <v>0.1676928713668755</v>
      </c>
      <c r="AN3131" s="147">
        <f>$T3005*'Assumptions (T&amp;D)'!V$101</f>
        <v>8.3865231118471023E-2</v>
      </c>
    </row>
    <row r="3132" spans="1:45" ht="15.75" hidden="1" customHeight="1" outlineLevel="1">
      <c r="A3132" s="465"/>
      <c r="B3132" s="42"/>
      <c r="C3132" s="42"/>
      <c r="D3132" s="42"/>
      <c r="E3132" s="42"/>
      <c r="F3132" s="42"/>
      <c r="G3132" s="42"/>
      <c r="H3132" s="42"/>
      <c r="I3132" s="42"/>
      <c r="J3132" s="42"/>
      <c r="K3132" s="42"/>
      <c r="L3132" s="42"/>
      <c r="M3132" s="42"/>
      <c r="N3132" s="42"/>
      <c r="O3132" s="42"/>
      <c r="P3132" s="42"/>
      <c r="Q3132" s="42"/>
      <c r="R3132" s="42"/>
      <c r="S3132" s="42"/>
      <c r="T3132" s="42"/>
      <c r="U3132" s="147">
        <f>$U3005*'Assumptions (T&amp;D)'!B$101</f>
        <v>0.14096576274955908</v>
      </c>
      <c r="V3132" s="147">
        <f>$U3005*'Assumptions (T&amp;D)'!C$101</f>
        <v>0.27136849101041793</v>
      </c>
      <c r="W3132" s="147">
        <f>$U3005*'Assumptions (T&amp;D)'!D$101</f>
        <v>0.25099423943434829</v>
      </c>
      <c r="X3132" s="147">
        <f>$U3005*'Assumptions (T&amp;D)'!E$101</f>
        <v>0.23219880440107374</v>
      </c>
      <c r="Y3132" s="147">
        <f>$U3005*'Assumptions (T&amp;D)'!F$101</f>
        <v>0.21475664069019496</v>
      </c>
      <c r="Z3132" s="147">
        <f>$U3005*'Assumptions (T&amp;D)'!G$101</f>
        <v>0.19866774830171194</v>
      </c>
      <c r="AA3132" s="147">
        <f>$U3005*'Assumptions (T&amp;D)'!H$101</f>
        <v>0.18374417288529196</v>
      </c>
      <c r="AB3132" s="147">
        <f>$U3005*'Assumptions (T&amp;D)'!I$101</f>
        <v>0.169985914440935</v>
      </c>
      <c r="AC3132" s="147">
        <f>$U3005*'Assumptions (T&amp;D)'!J$101</f>
        <v>0.16773046223694205</v>
      </c>
      <c r="AD3132" s="147">
        <f>$U3005*'Assumptions (T&amp;D)'!K$101</f>
        <v>0.1676928713668755</v>
      </c>
      <c r="AE3132" s="147">
        <f>$U3005*'Assumptions (T&amp;D)'!L$101</f>
        <v>0.16773046223694205</v>
      </c>
      <c r="AF3132" s="147">
        <f>$U3005*'Assumptions (T&amp;D)'!M$101</f>
        <v>0.1676928713668755</v>
      </c>
      <c r="AG3132" s="147">
        <f>$U3005*'Assumptions (T&amp;D)'!N$101</f>
        <v>0.16773046223694205</v>
      </c>
      <c r="AH3132" s="147">
        <f>$U3005*'Assumptions (T&amp;D)'!O$101</f>
        <v>0.1676928713668755</v>
      </c>
      <c r="AI3132" s="147">
        <f>$U3005*'Assumptions (T&amp;D)'!P$101</f>
        <v>0.16773046223694205</v>
      </c>
      <c r="AJ3132" s="147">
        <f>$U3005*'Assumptions (T&amp;D)'!Q$101</f>
        <v>0.1676928713668755</v>
      </c>
      <c r="AK3132" s="147">
        <f>$U3005*'Assumptions (T&amp;D)'!R$101</f>
        <v>0.16773046223694205</v>
      </c>
      <c r="AL3132" s="147">
        <f>$U3005*'Assumptions (T&amp;D)'!S$101</f>
        <v>0.1676928713668755</v>
      </c>
      <c r="AM3132" s="147">
        <f>$U3005*'Assumptions (T&amp;D)'!T$101</f>
        <v>0.16773046223694205</v>
      </c>
      <c r="AN3132" s="147">
        <f>$U3005*'Assumptions (T&amp;D)'!U$101</f>
        <v>0.1676928713668755</v>
      </c>
      <c r="AO3132" s="147">
        <f>$U3005*'Assumptions (T&amp;D)'!V$101</f>
        <v>8.3865231118471023E-2</v>
      </c>
    </row>
    <row r="3133" spans="1:45" ht="15.75" hidden="1" customHeight="1" outlineLevel="1">
      <c r="A3133" s="465"/>
      <c r="B3133" s="42"/>
      <c r="C3133" s="42"/>
      <c r="D3133" s="42"/>
      <c r="E3133" s="42"/>
      <c r="F3133" s="42"/>
      <c r="G3133" s="42"/>
      <c r="H3133" s="42"/>
      <c r="I3133" s="42"/>
      <c r="J3133" s="42"/>
      <c r="K3133" s="42"/>
      <c r="L3133" s="42"/>
      <c r="M3133" s="42"/>
      <c r="N3133" s="42"/>
      <c r="O3133" s="42"/>
      <c r="P3133" s="42"/>
      <c r="Q3133" s="42"/>
      <c r="R3133" s="42"/>
      <c r="S3133" s="42"/>
      <c r="T3133" s="42"/>
      <c r="U3133" s="42"/>
      <c r="V3133" s="147">
        <f>$V3005*'Assumptions (T&amp;D)'!B$101</f>
        <v>0.14096576274955908</v>
      </c>
      <c r="W3133" s="147">
        <f>$V3005*'Assumptions (T&amp;D)'!C$101</f>
        <v>0.27136849101041793</v>
      </c>
      <c r="X3133" s="147">
        <f>$V3005*'Assumptions (T&amp;D)'!D$101</f>
        <v>0.25099423943434829</v>
      </c>
      <c r="Y3133" s="147">
        <f>$V3005*'Assumptions (T&amp;D)'!E$101</f>
        <v>0.23219880440107374</v>
      </c>
      <c r="Z3133" s="147">
        <f>$V3005*'Assumptions (T&amp;D)'!F$101</f>
        <v>0.21475664069019496</v>
      </c>
      <c r="AA3133" s="147">
        <f>$V3005*'Assumptions (T&amp;D)'!G$101</f>
        <v>0.19866774830171194</v>
      </c>
      <c r="AB3133" s="147">
        <f>$V3005*'Assumptions (T&amp;D)'!H$101</f>
        <v>0.18374417288529196</v>
      </c>
      <c r="AC3133" s="147">
        <f>$V3005*'Assumptions (T&amp;D)'!I$101</f>
        <v>0.169985914440935</v>
      </c>
      <c r="AD3133" s="147">
        <f>$V3005*'Assumptions (T&amp;D)'!J$101</f>
        <v>0.16773046223694205</v>
      </c>
      <c r="AE3133" s="147">
        <f>$V3005*'Assumptions (T&amp;D)'!K$101</f>
        <v>0.1676928713668755</v>
      </c>
      <c r="AF3133" s="147">
        <f>$V3005*'Assumptions (T&amp;D)'!L$101</f>
        <v>0.16773046223694205</v>
      </c>
      <c r="AG3133" s="147">
        <f>$V3005*'Assumptions (T&amp;D)'!M$101</f>
        <v>0.1676928713668755</v>
      </c>
      <c r="AH3133" s="147">
        <f>$V3005*'Assumptions (T&amp;D)'!N$101</f>
        <v>0.16773046223694205</v>
      </c>
      <c r="AI3133" s="147">
        <f>$V3005*'Assumptions (T&amp;D)'!O$101</f>
        <v>0.1676928713668755</v>
      </c>
      <c r="AJ3133" s="147">
        <f>$V3005*'Assumptions (T&amp;D)'!P$101</f>
        <v>0.16773046223694205</v>
      </c>
      <c r="AK3133" s="147">
        <f>$V3005*'Assumptions (T&amp;D)'!Q$101</f>
        <v>0.1676928713668755</v>
      </c>
      <c r="AL3133" s="147">
        <f>$V3005*'Assumptions (T&amp;D)'!R$101</f>
        <v>0.16773046223694205</v>
      </c>
      <c r="AM3133" s="147">
        <f>$V3005*'Assumptions (T&amp;D)'!S$101</f>
        <v>0.1676928713668755</v>
      </c>
      <c r="AN3133" s="147">
        <f>$V3005*'Assumptions (T&amp;D)'!T$101</f>
        <v>0.16773046223694205</v>
      </c>
      <c r="AO3133" s="147">
        <f>$V3005*'Assumptions (T&amp;D)'!U$101</f>
        <v>0.1676928713668755</v>
      </c>
      <c r="AP3133" s="147">
        <f>$V3005*'Assumptions (T&amp;D)'!V$101</f>
        <v>8.3865231118471023E-2</v>
      </c>
    </row>
    <row r="3134" spans="1:45" ht="15.75" hidden="1" customHeight="1" outlineLevel="1">
      <c r="A3134" s="465"/>
      <c r="B3134" s="42"/>
      <c r="C3134" s="42"/>
      <c r="D3134" s="42"/>
      <c r="E3134" s="42"/>
      <c r="F3134" s="42"/>
      <c r="G3134" s="42"/>
      <c r="H3134" s="42"/>
      <c r="I3134" s="42"/>
      <c r="J3134" s="42"/>
      <c r="K3134" s="42"/>
      <c r="L3134" s="42"/>
      <c r="M3134" s="42"/>
      <c r="N3134" s="42"/>
      <c r="O3134" s="42"/>
      <c r="P3134" s="42"/>
      <c r="Q3134" s="42"/>
      <c r="R3134" s="42"/>
      <c r="S3134" s="42"/>
      <c r="T3134" s="42"/>
      <c r="U3134" s="42"/>
      <c r="V3134" s="42"/>
      <c r="W3134" s="147">
        <f>$W3005*'Assumptions (T&amp;D)'!B$101</f>
        <v>0.14096576274955908</v>
      </c>
      <c r="X3134" s="147">
        <f>$W3005*'Assumptions (T&amp;D)'!C$101</f>
        <v>0.27136849101041793</v>
      </c>
      <c r="Y3134" s="147">
        <f>$W3005*'Assumptions (T&amp;D)'!D$101</f>
        <v>0.25099423943434829</v>
      </c>
      <c r="Z3134" s="147">
        <f>$W3005*'Assumptions (T&amp;D)'!E$101</f>
        <v>0.23219880440107374</v>
      </c>
      <c r="AA3134" s="147">
        <f>$W3005*'Assumptions (T&amp;D)'!F$101</f>
        <v>0.21475664069019496</v>
      </c>
      <c r="AB3134" s="147">
        <f>$W3005*'Assumptions (T&amp;D)'!G$101</f>
        <v>0.19866774830171194</v>
      </c>
      <c r="AC3134" s="147">
        <f>$W3005*'Assumptions (T&amp;D)'!H$101</f>
        <v>0.18374417288529196</v>
      </c>
      <c r="AD3134" s="147">
        <f>$W3005*'Assumptions (T&amp;D)'!I$101</f>
        <v>0.169985914440935</v>
      </c>
      <c r="AE3134" s="147">
        <f>$W3005*'Assumptions (T&amp;D)'!J$101</f>
        <v>0.16773046223694205</v>
      </c>
      <c r="AF3134" s="147">
        <f>$W3005*'Assumptions (T&amp;D)'!K$101</f>
        <v>0.1676928713668755</v>
      </c>
      <c r="AG3134" s="147">
        <f>$W3005*'Assumptions (T&amp;D)'!L$101</f>
        <v>0.16773046223694205</v>
      </c>
      <c r="AH3134" s="147">
        <f>$W3005*'Assumptions (T&amp;D)'!M$101</f>
        <v>0.1676928713668755</v>
      </c>
      <c r="AI3134" s="147">
        <f>$W3005*'Assumptions (T&amp;D)'!N$101</f>
        <v>0.16773046223694205</v>
      </c>
      <c r="AJ3134" s="147">
        <f>$W3005*'Assumptions (T&amp;D)'!O$101</f>
        <v>0.1676928713668755</v>
      </c>
      <c r="AK3134" s="147">
        <f>$W3005*'Assumptions (T&amp;D)'!P$101</f>
        <v>0.16773046223694205</v>
      </c>
      <c r="AL3134" s="147">
        <f>$W3005*'Assumptions (T&amp;D)'!Q$101</f>
        <v>0.1676928713668755</v>
      </c>
      <c r="AM3134" s="147">
        <f>$W3005*'Assumptions (T&amp;D)'!R$101</f>
        <v>0.16773046223694205</v>
      </c>
      <c r="AN3134" s="147">
        <f>$W3005*'Assumptions (T&amp;D)'!S$101</f>
        <v>0.1676928713668755</v>
      </c>
      <c r="AO3134" s="147">
        <f>$W3005*'Assumptions (T&amp;D)'!T$101</f>
        <v>0.16773046223694205</v>
      </c>
      <c r="AP3134" s="147">
        <f>$W3005*'Assumptions (T&amp;D)'!U$101</f>
        <v>0.1676928713668755</v>
      </c>
      <c r="AQ3134" s="147">
        <f>$W3005*'Assumptions (T&amp;D)'!V$101</f>
        <v>8.3865231118471023E-2</v>
      </c>
    </row>
    <row r="3135" spans="1:45" ht="15.75" hidden="1" customHeight="1" outlineLevel="1">
      <c r="A3135" s="465"/>
      <c r="B3135" s="42"/>
      <c r="C3135" s="42"/>
      <c r="D3135" s="42"/>
      <c r="E3135" s="42"/>
      <c r="F3135" s="42"/>
      <c r="G3135" s="42"/>
      <c r="H3135" s="42"/>
      <c r="I3135" s="42"/>
      <c r="J3135" s="42"/>
      <c r="K3135" s="42"/>
      <c r="L3135" s="42"/>
      <c r="M3135" s="42"/>
      <c r="N3135" s="42"/>
      <c r="O3135" s="42"/>
      <c r="P3135" s="42"/>
      <c r="Q3135" s="42"/>
      <c r="R3135" s="42"/>
      <c r="S3135" s="42"/>
      <c r="T3135" s="42"/>
      <c r="U3135" s="42"/>
      <c r="V3135" s="42"/>
      <c r="W3135" s="86"/>
      <c r="X3135" s="147">
        <f>$X3005*'Assumptions (T&amp;D)'!B$101</f>
        <v>0.14096576274955908</v>
      </c>
      <c r="Y3135" s="147">
        <f>$X3005*'Assumptions (T&amp;D)'!C$101</f>
        <v>0.27136849101041793</v>
      </c>
      <c r="Z3135" s="147">
        <f>$X3005*'Assumptions (T&amp;D)'!D$101</f>
        <v>0.25099423943434829</v>
      </c>
      <c r="AA3135" s="147">
        <f>$X3005*'Assumptions (T&amp;D)'!E$101</f>
        <v>0.23219880440107374</v>
      </c>
      <c r="AB3135" s="147">
        <f>$X3005*'Assumptions (T&amp;D)'!F$101</f>
        <v>0.21475664069019496</v>
      </c>
      <c r="AC3135" s="147">
        <f>$X3005*'Assumptions (T&amp;D)'!G$101</f>
        <v>0.19866774830171194</v>
      </c>
      <c r="AD3135" s="147">
        <f>$X3005*'Assumptions (T&amp;D)'!H$101</f>
        <v>0.18374417288529196</v>
      </c>
      <c r="AE3135" s="147">
        <f>$X3005*'Assumptions (T&amp;D)'!I$101</f>
        <v>0.169985914440935</v>
      </c>
      <c r="AF3135" s="147">
        <f>$X3005*'Assumptions (T&amp;D)'!J$101</f>
        <v>0.16773046223694205</v>
      </c>
      <c r="AG3135" s="147">
        <f>$X3005*'Assumptions (T&amp;D)'!K$101</f>
        <v>0.1676928713668755</v>
      </c>
      <c r="AH3135" s="147">
        <f>$X3005*'Assumptions (T&amp;D)'!L$101</f>
        <v>0.16773046223694205</v>
      </c>
      <c r="AI3135" s="147">
        <f>$X3005*'Assumptions (T&amp;D)'!M$101</f>
        <v>0.1676928713668755</v>
      </c>
      <c r="AJ3135" s="147">
        <f>$X3005*'Assumptions (T&amp;D)'!N$101</f>
        <v>0.16773046223694205</v>
      </c>
      <c r="AK3135" s="147">
        <f>$X3005*'Assumptions (T&amp;D)'!O$101</f>
        <v>0.1676928713668755</v>
      </c>
      <c r="AL3135" s="147">
        <f>$X3005*'Assumptions (T&amp;D)'!P$101</f>
        <v>0.16773046223694205</v>
      </c>
      <c r="AM3135" s="147">
        <f>$X3005*'Assumptions (T&amp;D)'!Q$101</f>
        <v>0.1676928713668755</v>
      </c>
      <c r="AN3135" s="147">
        <f>$X3005*'Assumptions (T&amp;D)'!R$101</f>
        <v>0.16773046223694205</v>
      </c>
      <c r="AO3135" s="147">
        <f>$X3005*'Assumptions (T&amp;D)'!S$101</f>
        <v>0.1676928713668755</v>
      </c>
      <c r="AP3135" s="147">
        <f>$X3005*'Assumptions (T&amp;D)'!T$101</f>
        <v>0.16773046223694205</v>
      </c>
      <c r="AQ3135" s="147">
        <f>$X3005*'Assumptions (T&amp;D)'!U$101</f>
        <v>0.1676928713668755</v>
      </c>
      <c r="AR3135" s="147">
        <f>$X3005*'Assumptions (T&amp;D)'!V$101</f>
        <v>8.3865231118471023E-2</v>
      </c>
    </row>
    <row r="3136" spans="1:45" ht="15.75" hidden="1" customHeight="1" outlineLevel="1">
      <c r="A3136" s="465"/>
      <c r="B3136" s="42"/>
      <c r="C3136" s="42"/>
      <c r="D3136" s="42"/>
      <c r="E3136" s="42"/>
      <c r="F3136" s="42"/>
      <c r="G3136" s="42"/>
      <c r="H3136" s="42"/>
      <c r="I3136" s="42"/>
      <c r="J3136" s="42"/>
      <c r="K3136" s="42"/>
      <c r="L3136" s="42"/>
      <c r="M3136" s="42"/>
      <c r="N3136" s="42"/>
      <c r="O3136" s="42"/>
      <c r="P3136" s="42"/>
      <c r="Q3136" s="42"/>
      <c r="R3136" s="42"/>
      <c r="S3136" s="42"/>
      <c r="T3136" s="42"/>
      <c r="U3136" s="42"/>
      <c r="V3136" s="42"/>
      <c r="W3136" s="86"/>
      <c r="Y3136" s="147">
        <f>$Y3005*'Assumptions (T&amp;D)'!B$101</f>
        <v>0.14096576274955908</v>
      </c>
      <c r="Z3136" s="147">
        <f>$Y3005*'Assumptions (T&amp;D)'!C$101</f>
        <v>0.27136849101041793</v>
      </c>
      <c r="AA3136" s="147">
        <f>$Y3005*'Assumptions (T&amp;D)'!D$101</f>
        <v>0.25099423943434829</v>
      </c>
      <c r="AB3136" s="147">
        <f>$Y3005*'Assumptions (T&amp;D)'!E$101</f>
        <v>0.23219880440107374</v>
      </c>
      <c r="AC3136" s="147">
        <f>$Y3005*'Assumptions (T&amp;D)'!F$101</f>
        <v>0.21475664069019496</v>
      </c>
      <c r="AD3136" s="147">
        <f>$Y3005*'Assumptions (T&amp;D)'!G$101</f>
        <v>0.19866774830171194</v>
      </c>
      <c r="AE3136" s="147">
        <f>$Y3005*'Assumptions (T&amp;D)'!H$101</f>
        <v>0.18374417288529196</v>
      </c>
      <c r="AF3136" s="147">
        <f>$Y3005*'Assumptions (T&amp;D)'!I$101</f>
        <v>0.169985914440935</v>
      </c>
      <c r="AG3136" s="147">
        <f>$Y3005*'Assumptions (T&amp;D)'!J$101</f>
        <v>0.16773046223694205</v>
      </c>
      <c r="AH3136" s="147">
        <f>$Y3005*'Assumptions (T&amp;D)'!K$101</f>
        <v>0.1676928713668755</v>
      </c>
      <c r="AI3136" s="147">
        <f>$Y3005*'Assumptions (T&amp;D)'!L$101</f>
        <v>0.16773046223694205</v>
      </c>
      <c r="AJ3136" s="147">
        <f>$Y3005*'Assumptions (T&amp;D)'!M$101</f>
        <v>0.1676928713668755</v>
      </c>
      <c r="AK3136" s="147">
        <f>$Y3005*'Assumptions (T&amp;D)'!N$101</f>
        <v>0.16773046223694205</v>
      </c>
      <c r="AL3136" s="147">
        <f>$Y3005*'Assumptions (T&amp;D)'!O$101</f>
        <v>0.1676928713668755</v>
      </c>
      <c r="AM3136" s="147">
        <f>$Y3005*'Assumptions (T&amp;D)'!P$101</f>
        <v>0.16773046223694205</v>
      </c>
      <c r="AN3136" s="147">
        <f>$Y3005*'Assumptions (T&amp;D)'!Q$101</f>
        <v>0.1676928713668755</v>
      </c>
      <c r="AO3136" s="147">
        <f>$Y3005*'Assumptions (T&amp;D)'!R$101</f>
        <v>0.16773046223694205</v>
      </c>
      <c r="AP3136" s="147">
        <f>$Y3005*'Assumptions (T&amp;D)'!S$101</f>
        <v>0.1676928713668755</v>
      </c>
      <c r="AQ3136" s="147">
        <f>$Y3005*'Assumptions (T&amp;D)'!T$101</f>
        <v>0.16773046223694205</v>
      </c>
      <c r="AR3136" s="147">
        <f>$Y3005*'Assumptions (T&amp;D)'!U$101</f>
        <v>0.1676928713668755</v>
      </c>
      <c r="AS3136" s="147">
        <f>$Y3005*'Assumptions (T&amp;D)'!V$101</f>
        <v>8.3865231118471023E-2</v>
      </c>
    </row>
    <row r="3137" spans="1:61" ht="15.75" hidden="1" customHeight="1" outlineLevel="1">
      <c r="A3137" s="465"/>
      <c r="B3137" s="42"/>
      <c r="C3137" s="42"/>
      <c r="D3137" s="42"/>
      <c r="E3137" s="42"/>
      <c r="F3137" s="42"/>
      <c r="G3137" s="42"/>
      <c r="H3137" s="42"/>
      <c r="I3137" s="42"/>
      <c r="J3137" s="42"/>
      <c r="K3137" s="42"/>
      <c r="L3137" s="42"/>
      <c r="M3137" s="42"/>
      <c r="N3137" s="42"/>
      <c r="O3137" s="42"/>
      <c r="P3137" s="42"/>
      <c r="Q3137" s="42"/>
      <c r="R3137" s="42"/>
      <c r="S3137" s="42"/>
      <c r="T3137" s="42"/>
      <c r="U3137" s="42"/>
      <c r="V3137" s="42"/>
      <c r="W3137" s="86"/>
      <c r="Z3137" s="147">
        <f>$Z3005*'Assumptions (T&amp;D)'!B$101</f>
        <v>0.14096576274955908</v>
      </c>
      <c r="AA3137" s="147">
        <f>$Z3005*'Assumptions (T&amp;D)'!C$101</f>
        <v>0.27136849101041793</v>
      </c>
      <c r="AB3137" s="147">
        <f>$Z3005*'Assumptions (T&amp;D)'!D$101</f>
        <v>0.25099423943434829</v>
      </c>
      <c r="AC3137" s="147">
        <f>$Z3005*'Assumptions (T&amp;D)'!E$101</f>
        <v>0.23219880440107374</v>
      </c>
      <c r="AD3137" s="147">
        <f>$Z3005*'Assumptions (T&amp;D)'!F$101</f>
        <v>0.21475664069019496</v>
      </c>
      <c r="AE3137" s="147">
        <f>$Z3005*'Assumptions (T&amp;D)'!G$101</f>
        <v>0.19866774830171194</v>
      </c>
      <c r="AF3137" s="147">
        <f>$Z3005*'Assumptions (T&amp;D)'!H$101</f>
        <v>0.18374417288529196</v>
      </c>
      <c r="AG3137" s="147">
        <f>$Z3005*'Assumptions (T&amp;D)'!I$101</f>
        <v>0.169985914440935</v>
      </c>
      <c r="AH3137" s="147">
        <f>$Z3005*'Assumptions (T&amp;D)'!J$101</f>
        <v>0.16773046223694205</v>
      </c>
      <c r="AI3137" s="147">
        <f>$Z3005*'Assumptions (T&amp;D)'!K$101</f>
        <v>0.1676928713668755</v>
      </c>
      <c r="AJ3137" s="147">
        <f>$Z3005*'Assumptions (T&amp;D)'!L$101</f>
        <v>0.16773046223694205</v>
      </c>
      <c r="AK3137" s="147">
        <f>$Z3005*'Assumptions (T&amp;D)'!M$101</f>
        <v>0.1676928713668755</v>
      </c>
      <c r="AL3137" s="147">
        <f>$Z3005*'Assumptions (T&amp;D)'!N$101</f>
        <v>0.16773046223694205</v>
      </c>
      <c r="AM3137" s="147">
        <f>$Z3005*'Assumptions (T&amp;D)'!O$101</f>
        <v>0.1676928713668755</v>
      </c>
      <c r="AN3137" s="147">
        <f>$Z3005*'Assumptions (T&amp;D)'!P$101</f>
        <v>0.16773046223694205</v>
      </c>
      <c r="AO3137" s="147">
        <f>$Z3005*'Assumptions (T&amp;D)'!Q$101</f>
        <v>0.1676928713668755</v>
      </c>
      <c r="AP3137" s="147">
        <f>$Z3005*'Assumptions (T&amp;D)'!R$101</f>
        <v>0.16773046223694205</v>
      </c>
      <c r="AQ3137" s="147">
        <f>$Z3005*'Assumptions (T&amp;D)'!S$101</f>
        <v>0.1676928713668755</v>
      </c>
      <c r="AR3137" s="147">
        <f>$Z3005*'Assumptions (T&amp;D)'!T$101</f>
        <v>0.16773046223694205</v>
      </c>
      <c r="AS3137" s="147">
        <f>$Z3005*'Assumptions (T&amp;D)'!U$101</f>
        <v>0.1676928713668755</v>
      </c>
      <c r="AT3137" s="147">
        <f>$Z3005*'Assumptions (T&amp;D)'!V$101</f>
        <v>8.3865231118471023E-2</v>
      </c>
    </row>
    <row r="3138" spans="1:61" ht="15.75" hidden="1" customHeight="1" outlineLevel="1">
      <c r="A3138" s="465"/>
      <c r="B3138" s="42"/>
      <c r="C3138" s="42"/>
      <c r="D3138" s="42"/>
      <c r="E3138" s="42"/>
      <c r="F3138" s="42"/>
      <c r="G3138" s="42"/>
      <c r="H3138" s="42"/>
      <c r="I3138" s="42"/>
      <c r="J3138" s="42"/>
      <c r="K3138" s="42"/>
      <c r="L3138" s="42"/>
      <c r="M3138" s="42"/>
      <c r="N3138" s="42"/>
      <c r="O3138" s="42"/>
      <c r="P3138" s="42"/>
      <c r="Q3138" s="42"/>
      <c r="R3138" s="42"/>
      <c r="S3138" s="42"/>
      <c r="T3138" s="42"/>
      <c r="U3138" s="42"/>
      <c r="V3138" s="42"/>
      <c r="W3138" s="86"/>
      <c r="AA3138" s="147">
        <f>$AA3005*'Assumptions (T&amp;D)'!B$101</f>
        <v>0.14096576274955908</v>
      </c>
      <c r="AB3138" s="147">
        <f>$AA3005*'Assumptions (T&amp;D)'!C$101</f>
        <v>0.27136849101041793</v>
      </c>
      <c r="AC3138" s="147">
        <f>$AA3005*'Assumptions (T&amp;D)'!D$101</f>
        <v>0.25099423943434829</v>
      </c>
      <c r="AD3138" s="147">
        <f>$AA3005*'Assumptions (T&amp;D)'!E$101</f>
        <v>0.23219880440107374</v>
      </c>
      <c r="AE3138" s="147">
        <f>$AA3005*'Assumptions (T&amp;D)'!F$101</f>
        <v>0.21475664069019496</v>
      </c>
      <c r="AF3138" s="147">
        <f>$AA3005*'Assumptions (T&amp;D)'!G$101</f>
        <v>0.19866774830171194</v>
      </c>
      <c r="AG3138" s="147">
        <f>$AA3005*'Assumptions (T&amp;D)'!H$101</f>
        <v>0.18374417288529196</v>
      </c>
      <c r="AH3138" s="147">
        <f>$AA3005*'Assumptions (T&amp;D)'!I$101</f>
        <v>0.169985914440935</v>
      </c>
      <c r="AI3138" s="147">
        <f>$AA3005*'Assumptions (T&amp;D)'!J$101</f>
        <v>0.16773046223694205</v>
      </c>
      <c r="AJ3138" s="147">
        <f>$AA3005*'Assumptions (T&amp;D)'!K$101</f>
        <v>0.1676928713668755</v>
      </c>
      <c r="AK3138" s="147">
        <f>$AA3005*'Assumptions (T&amp;D)'!L$101</f>
        <v>0.16773046223694205</v>
      </c>
      <c r="AL3138" s="147">
        <f>$AA3005*'Assumptions (T&amp;D)'!M$101</f>
        <v>0.1676928713668755</v>
      </c>
      <c r="AM3138" s="147">
        <f>$AA3005*'Assumptions (T&amp;D)'!N$101</f>
        <v>0.16773046223694205</v>
      </c>
      <c r="AN3138" s="147">
        <f>$AA3005*'Assumptions (T&amp;D)'!O$101</f>
        <v>0.1676928713668755</v>
      </c>
      <c r="AO3138" s="147">
        <f>$AA3005*'Assumptions (T&amp;D)'!P$101</f>
        <v>0.16773046223694205</v>
      </c>
      <c r="AP3138" s="147">
        <f>$AA3005*'Assumptions (T&amp;D)'!Q$101</f>
        <v>0.1676928713668755</v>
      </c>
      <c r="AQ3138" s="147">
        <f>$AA3005*'Assumptions (T&amp;D)'!R$101</f>
        <v>0.16773046223694205</v>
      </c>
      <c r="AR3138" s="147">
        <f>$AA3005*'Assumptions (T&amp;D)'!S$101</f>
        <v>0.1676928713668755</v>
      </c>
      <c r="AS3138" s="147">
        <f>$AA3005*'Assumptions (T&amp;D)'!T$101</f>
        <v>0.16773046223694205</v>
      </c>
      <c r="AT3138" s="147">
        <f>$AA3005*'Assumptions (T&amp;D)'!U$101</f>
        <v>0.1676928713668755</v>
      </c>
      <c r="AU3138" s="147">
        <f>$AA3005*'Assumptions (T&amp;D)'!V$101</f>
        <v>8.3865231118471023E-2</v>
      </c>
    </row>
    <row r="3139" spans="1:61" ht="15.75" hidden="1" customHeight="1" outlineLevel="1">
      <c r="A3139" s="465"/>
      <c r="B3139" s="42"/>
      <c r="C3139" s="42"/>
      <c r="D3139" s="42"/>
      <c r="E3139" s="42"/>
      <c r="F3139" s="42"/>
      <c r="G3139" s="42"/>
      <c r="H3139" s="42"/>
      <c r="I3139" s="42"/>
      <c r="J3139" s="42"/>
      <c r="K3139" s="42"/>
      <c r="L3139" s="42"/>
      <c r="M3139" s="42"/>
      <c r="N3139" s="42"/>
      <c r="O3139" s="42"/>
      <c r="P3139" s="42"/>
      <c r="Q3139" s="42"/>
      <c r="R3139" s="42"/>
      <c r="S3139" s="42"/>
      <c r="T3139" s="42"/>
      <c r="U3139" s="42"/>
      <c r="V3139" s="42"/>
      <c r="W3139" s="86"/>
      <c r="AB3139" s="147">
        <f>$AB3005*'Assumptions (T&amp;D)'!B$101</f>
        <v>0.14096576274955908</v>
      </c>
      <c r="AC3139" s="147">
        <f>$AB3005*'Assumptions (T&amp;D)'!C$101</f>
        <v>0.27136849101041793</v>
      </c>
      <c r="AD3139" s="147">
        <f>$AB3005*'Assumptions (T&amp;D)'!D$101</f>
        <v>0.25099423943434829</v>
      </c>
      <c r="AE3139" s="147">
        <f>$AB3005*'Assumptions (T&amp;D)'!E$101</f>
        <v>0.23219880440107374</v>
      </c>
      <c r="AF3139" s="147">
        <f>$AB3005*'Assumptions (T&amp;D)'!F$101</f>
        <v>0.21475664069019496</v>
      </c>
      <c r="AG3139" s="147">
        <f>$AB3005*'Assumptions (T&amp;D)'!G$101</f>
        <v>0.19866774830171194</v>
      </c>
      <c r="AH3139" s="147">
        <f>$AB3005*'Assumptions (T&amp;D)'!H$101</f>
        <v>0.18374417288529196</v>
      </c>
      <c r="AI3139" s="147">
        <f>$AB3005*'Assumptions (T&amp;D)'!I$101</f>
        <v>0.169985914440935</v>
      </c>
      <c r="AJ3139" s="147">
        <f>$AB3005*'Assumptions (T&amp;D)'!J$101</f>
        <v>0.16773046223694205</v>
      </c>
      <c r="AK3139" s="147">
        <f>$AB3005*'Assumptions (T&amp;D)'!K$101</f>
        <v>0.1676928713668755</v>
      </c>
      <c r="AL3139" s="147">
        <f>$AB3005*'Assumptions (T&amp;D)'!L$101</f>
        <v>0.16773046223694205</v>
      </c>
      <c r="AM3139" s="147">
        <f>$AB3005*'Assumptions (T&amp;D)'!M$101</f>
        <v>0.1676928713668755</v>
      </c>
      <c r="AN3139" s="147">
        <f>$AB3005*'Assumptions (T&amp;D)'!N$101</f>
        <v>0.16773046223694205</v>
      </c>
      <c r="AO3139" s="147">
        <f>$AB3005*'Assumptions (T&amp;D)'!O$101</f>
        <v>0.1676928713668755</v>
      </c>
      <c r="AP3139" s="147">
        <f>$AB3005*'Assumptions (T&amp;D)'!P$101</f>
        <v>0.16773046223694205</v>
      </c>
      <c r="AQ3139" s="147">
        <f>$AB3005*'Assumptions (T&amp;D)'!Q$101</f>
        <v>0.1676928713668755</v>
      </c>
      <c r="AR3139" s="147">
        <f>$AB3005*'Assumptions (T&amp;D)'!R$101</f>
        <v>0.16773046223694205</v>
      </c>
      <c r="AS3139" s="147">
        <f>$AB3005*'Assumptions (T&amp;D)'!S$101</f>
        <v>0.1676928713668755</v>
      </c>
      <c r="AT3139" s="147">
        <f>$AB3005*'Assumptions (T&amp;D)'!T$101</f>
        <v>0.16773046223694205</v>
      </c>
      <c r="AU3139" s="147">
        <f>$AB3005*'Assumptions (T&amp;D)'!U$101</f>
        <v>0.1676928713668755</v>
      </c>
      <c r="AV3139" s="147">
        <f>$AB3005*'Assumptions (T&amp;D)'!V$101</f>
        <v>8.3865231118471023E-2</v>
      </c>
    </row>
    <row r="3140" spans="1:61" ht="15.75" hidden="1" customHeight="1" outlineLevel="1">
      <c r="A3140" s="465"/>
      <c r="B3140" s="42"/>
      <c r="C3140" s="42"/>
      <c r="D3140" s="42"/>
      <c r="E3140" s="42"/>
      <c r="F3140" s="42"/>
      <c r="G3140" s="42"/>
      <c r="H3140" s="42"/>
      <c r="I3140" s="42"/>
      <c r="J3140" s="42"/>
      <c r="K3140" s="42"/>
      <c r="L3140" s="42"/>
      <c r="M3140" s="42"/>
      <c r="N3140" s="42"/>
      <c r="O3140" s="42"/>
      <c r="P3140" s="42"/>
      <c r="Q3140" s="42"/>
      <c r="R3140" s="42"/>
      <c r="S3140" s="42"/>
      <c r="T3140" s="42"/>
      <c r="U3140" s="42"/>
      <c r="V3140" s="42"/>
      <c r="W3140" s="86"/>
      <c r="AC3140" s="147">
        <f>$AC3005*'Assumptions (T&amp;D)'!B$101</f>
        <v>0.14096576274955908</v>
      </c>
      <c r="AD3140" s="147">
        <f>$AC3005*'Assumptions (T&amp;D)'!C$101</f>
        <v>0.27136849101041793</v>
      </c>
      <c r="AE3140" s="147">
        <f>$AC3005*'Assumptions (T&amp;D)'!D$101</f>
        <v>0.25099423943434829</v>
      </c>
      <c r="AF3140" s="147">
        <f>$AC3005*'Assumptions (T&amp;D)'!E$101</f>
        <v>0.23219880440107374</v>
      </c>
      <c r="AG3140" s="147">
        <f>$AC3005*'Assumptions (T&amp;D)'!F$101</f>
        <v>0.21475664069019496</v>
      </c>
      <c r="AH3140" s="147">
        <f>$AC3005*'Assumptions (T&amp;D)'!G$101</f>
        <v>0.19866774830171194</v>
      </c>
      <c r="AI3140" s="147">
        <f>$AC3005*'Assumptions (T&amp;D)'!H$101</f>
        <v>0.18374417288529196</v>
      </c>
      <c r="AJ3140" s="147">
        <f>$AC3005*'Assumptions (T&amp;D)'!I$101</f>
        <v>0.169985914440935</v>
      </c>
      <c r="AK3140" s="147">
        <f>$AC3005*'Assumptions (T&amp;D)'!J$101</f>
        <v>0.16773046223694205</v>
      </c>
      <c r="AL3140" s="147">
        <f>$AC3005*'Assumptions (T&amp;D)'!K$101</f>
        <v>0.1676928713668755</v>
      </c>
      <c r="AM3140" s="147">
        <f>$AC3005*'Assumptions (T&amp;D)'!L$101</f>
        <v>0.16773046223694205</v>
      </c>
      <c r="AN3140" s="147">
        <f>$AC3005*'Assumptions (T&amp;D)'!M$101</f>
        <v>0.1676928713668755</v>
      </c>
      <c r="AO3140" s="147">
        <f>$AC3005*'Assumptions (T&amp;D)'!N$101</f>
        <v>0.16773046223694205</v>
      </c>
      <c r="AP3140" s="147">
        <f>$AC3005*'Assumptions (T&amp;D)'!O$101</f>
        <v>0.1676928713668755</v>
      </c>
      <c r="AQ3140" s="147">
        <f>$AC3005*'Assumptions (T&amp;D)'!P$101</f>
        <v>0.16773046223694205</v>
      </c>
      <c r="AR3140" s="147">
        <f>$AC3005*'Assumptions (T&amp;D)'!Q$101</f>
        <v>0.1676928713668755</v>
      </c>
      <c r="AS3140" s="147">
        <f>$AC3005*'Assumptions (T&amp;D)'!R$101</f>
        <v>0.16773046223694205</v>
      </c>
      <c r="AT3140" s="147">
        <f>$AC3005*'Assumptions (T&amp;D)'!S$101</f>
        <v>0.1676928713668755</v>
      </c>
      <c r="AU3140" s="147">
        <f>$AC3005*'Assumptions (T&amp;D)'!T$101</f>
        <v>0.16773046223694205</v>
      </c>
      <c r="AV3140" s="147">
        <f>$AC3005*'Assumptions (T&amp;D)'!U$101</f>
        <v>0.1676928713668755</v>
      </c>
      <c r="AW3140" s="147">
        <f>$AC3005*'Assumptions (T&amp;D)'!V$101</f>
        <v>8.3865231118471023E-2</v>
      </c>
    </row>
    <row r="3141" spans="1:61" ht="15.75" hidden="1" customHeight="1" outlineLevel="1">
      <c r="A3141" s="465"/>
      <c r="B3141" s="42"/>
      <c r="C3141" s="42"/>
      <c r="D3141" s="42"/>
      <c r="E3141" s="42"/>
      <c r="F3141" s="42"/>
      <c r="G3141" s="42"/>
      <c r="H3141" s="42"/>
      <c r="I3141" s="42"/>
      <c r="J3141" s="42"/>
      <c r="K3141" s="42"/>
      <c r="L3141" s="42"/>
      <c r="M3141" s="42"/>
      <c r="N3141" s="42"/>
      <c r="O3141" s="42"/>
      <c r="P3141" s="42"/>
      <c r="Q3141" s="42"/>
      <c r="R3141" s="42"/>
      <c r="S3141" s="42"/>
      <c r="T3141" s="42"/>
      <c r="U3141" s="42"/>
      <c r="V3141" s="42"/>
      <c r="W3141" s="86"/>
      <c r="AD3141" s="147">
        <f>$AD3005*'Assumptions (T&amp;D)'!B$101</f>
        <v>0.14096576274955908</v>
      </c>
      <c r="AE3141" s="147">
        <f>$AD3005*'Assumptions (T&amp;D)'!C$101</f>
        <v>0.27136849101041793</v>
      </c>
      <c r="AF3141" s="147">
        <f>$AD3005*'Assumptions (T&amp;D)'!D$101</f>
        <v>0.25099423943434829</v>
      </c>
      <c r="AG3141" s="147">
        <f>$AD3005*'Assumptions (T&amp;D)'!E$101</f>
        <v>0.23219880440107374</v>
      </c>
      <c r="AH3141" s="147">
        <f>$AD3005*'Assumptions (T&amp;D)'!F$101</f>
        <v>0.21475664069019496</v>
      </c>
      <c r="AI3141" s="147">
        <f>$AD3005*'Assumptions (T&amp;D)'!G$101</f>
        <v>0.19866774830171194</v>
      </c>
      <c r="AJ3141" s="147">
        <f>$AD3005*'Assumptions (T&amp;D)'!H$101</f>
        <v>0.18374417288529196</v>
      </c>
      <c r="AK3141" s="147">
        <f>$AD3005*'Assumptions (T&amp;D)'!I$101</f>
        <v>0.169985914440935</v>
      </c>
      <c r="AL3141" s="147">
        <f>$AD3005*'Assumptions (T&amp;D)'!J$101</f>
        <v>0.16773046223694205</v>
      </c>
      <c r="AM3141" s="147">
        <f>$AD3005*'Assumptions (T&amp;D)'!K$101</f>
        <v>0.1676928713668755</v>
      </c>
      <c r="AN3141" s="147">
        <f>$AD3005*'Assumptions (T&amp;D)'!L$101</f>
        <v>0.16773046223694205</v>
      </c>
      <c r="AO3141" s="147">
        <f>$AD3005*'Assumptions (T&amp;D)'!M$101</f>
        <v>0.1676928713668755</v>
      </c>
      <c r="AP3141" s="147">
        <f>$AD3005*'Assumptions (T&amp;D)'!N$101</f>
        <v>0.16773046223694205</v>
      </c>
      <c r="AQ3141" s="147">
        <f>$AD3005*'Assumptions (T&amp;D)'!O$101</f>
        <v>0.1676928713668755</v>
      </c>
      <c r="AR3141" s="147">
        <f>$AD3005*'Assumptions (T&amp;D)'!P$101</f>
        <v>0.16773046223694205</v>
      </c>
      <c r="AS3141" s="147">
        <f>$AD3005*'Assumptions (T&amp;D)'!Q$101</f>
        <v>0.1676928713668755</v>
      </c>
      <c r="AT3141" s="147">
        <f>$AD3005*'Assumptions (T&amp;D)'!R$101</f>
        <v>0.16773046223694205</v>
      </c>
      <c r="AU3141" s="147">
        <f>$AD3005*'Assumptions (T&amp;D)'!S$101</f>
        <v>0.1676928713668755</v>
      </c>
      <c r="AV3141" s="147">
        <f>$AD3005*'Assumptions (T&amp;D)'!T$101</f>
        <v>0.16773046223694205</v>
      </c>
      <c r="AW3141" s="147">
        <f>$AD3005*'Assumptions (T&amp;D)'!U$101</f>
        <v>0.1676928713668755</v>
      </c>
      <c r="AX3141" s="147">
        <f>$AD3005*'Assumptions (T&amp;D)'!V$101</f>
        <v>8.3865231118471023E-2</v>
      </c>
    </row>
    <row r="3142" spans="1:61" ht="15.75" hidden="1" customHeight="1" outlineLevel="1">
      <c r="A3142" s="465"/>
      <c r="B3142" s="42"/>
      <c r="C3142" s="42"/>
      <c r="D3142" s="42"/>
      <c r="E3142" s="42"/>
      <c r="F3142" s="42"/>
      <c r="G3142" s="42"/>
      <c r="H3142" s="42"/>
      <c r="I3142" s="42"/>
      <c r="J3142" s="42"/>
      <c r="K3142" s="42"/>
      <c r="L3142" s="42"/>
      <c r="M3142" s="42"/>
      <c r="N3142" s="42"/>
      <c r="O3142" s="42"/>
      <c r="P3142" s="42"/>
      <c r="Q3142" s="42"/>
      <c r="R3142" s="42"/>
      <c r="S3142" s="42"/>
      <c r="T3142" s="42"/>
      <c r="U3142" s="42"/>
      <c r="V3142" s="42"/>
      <c r="W3142" s="86"/>
      <c r="AE3142" s="147">
        <f>$AE3005*'Assumptions (T&amp;D)'!B$101</f>
        <v>0.14096576274955908</v>
      </c>
      <c r="AF3142" s="147">
        <f>$AE3005*'Assumptions (T&amp;D)'!C$101</f>
        <v>0.27136849101041793</v>
      </c>
      <c r="AG3142" s="147">
        <f>$AE3005*'Assumptions (T&amp;D)'!D$101</f>
        <v>0.25099423943434829</v>
      </c>
      <c r="AH3142" s="147">
        <f>$AE3005*'Assumptions (T&amp;D)'!E$101</f>
        <v>0.23219880440107374</v>
      </c>
      <c r="AI3142" s="147">
        <f>$AE3005*'Assumptions (T&amp;D)'!F$101</f>
        <v>0.21475664069019496</v>
      </c>
      <c r="AJ3142" s="147">
        <f>$AE3005*'Assumptions (T&amp;D)'!G$101</f>
        <v>0.19866774830171194</v>
      </c>
      <c r="AK3142" s="147">
        <f>$AE3005*'Assumptions (T&amp;D)'!H$101</f>
        <v>0.18374417288529196</v>
      </c>
      <c r="AL3142" s="147">
        <f>$AE3005*'Assumptions (T&amp;D)'!I$101</f>
        <v>0.169985914440935</v>
      </c>
      <c r="AM3142" s="147">
        <f>$AE3005*'Assumptions (T&amp;D)'!J$101</f>
        <v>0.16773046223694205</v>
      </c>
      <c r="AN3142" s="147">
        <f>$AE3005*'Assumptions (T&amp;D)'!K$101</f>
        <v>0.1676928713668755</v>
      </c>
      <c r="AO3142" s="147">
        <f>$AE3005*'Assumptions (T&amp;D)'!L$101</f>
        <v>0.16773046223694205</v>
      </c>
      <c r="AP3142" s="147">
        <f>$AE3005*'Assumptions (T&amp;D)'!M$101</f>
        <v>0.1676928713668755</v>
      </c>
      <c r="AQ3142" s="147">
        <f>$AE3005*'Assumptions (T&amp;D)'!N$101</f>
        <v>0.16773046223694205</v>
      </c>
      <c r="AR3142" s="147">
        <f>$AE3005*'Assumptions (T&amp;D)'!O$101</f>
        <v>0.1676928713668755</v>
      </c>
      <c r="AS3142" s="147">
        <f>$AE3005*'Assumptions (T&amp;D)'!P$101</f>
        <v>0.16773046223694205</v>
      </c>
      <c r="AT3142" s="147">
        <f>$AE3005*'Assumptions (T&amp;D)'!Q$101</f>
        <v>0.1676928713668755</v>
      </c>
      <c r="AU3142" s="147">
        <f>$AE3005*'Assumptions (T&amp;D)'!R$101</f>
        <v>0.16773046223694205</v>
      </c>
      <c r="AV3142" s="147">
        <f>$AE3005*'Assumptions (T&amp;D)'!S$101</f>
        <v>0.1676928713668755</v>
      </c>
      <c r="AW3142" s="147">
        <f>$AE3005*'Assumptions (T&amp;D)'!T$101</f>
        <v>0.16773046223694205</v>
      </c>
      <c r="AX3142" s="147">
        <f>$AE3005*'Assumptions (T&amp;D)'!U$101</f>
        <v>0.1676928713668755</v>
      </c>
      <c r="AY3142" s="147">
        <f>$AE3005*'Assumptions (T&amp;D)'!V$101</f>
        <v>8.3865231118471023E-2</v>
      </c>
    </row>
    <row r="3143" spans="1:61" ht="15.75" hidden="1" customHeight="1" outlineLevel="1">
      <c r="A3143" s="465"/>
      <c r="B3143" s="42"/>
      <c r="C3143" s="42"/>
      <c r="D3143" s="42"/>
      <c r="E3143" s="42"/>
      <c r="F3143" s="42"/>
      <c r="G3143" s="42"/>
      <c r="H3143" s="42"/>
      <c r="I3143" s="42"/>
      <c r="J3143" s="42"/>
      <c r="K3143" s="42"/>
      <c r="L3143" s="42"/>
      <c r="M3143" s="42"/>
      <c r="N3143" s="42"/>
      <c r="O3143" s="42"/>
      <c r="P3143" s="42"/>
      <c r="Q3143" s="42"/>
      <c r="R3143" s="42"/>
      <c r="S3143" s="42"/>
      <c r="T3143" s="42"/>
      <c r="U3143" s="42"/>
      <c r="V3143" s="42"/>
      <c r="W3143" s="86"/>
      <c r="AF3143" s="147">
        <f>$AF3005*'Assumptions (T&amp;D)'!B$101</f>
        <v>0.14096576274955908</v>
      </c>
      <c r="AG3143" s="147">
        <f>$AF3005*'Assumptions (T&amp;D)'!C$101</f>
        <v>0.27136849101041793</v>
      </c>
      <c r="AH3143" s="147">
        <f>$AF3005*'Assumptions (T&amp;D)'!D$101</f>
        <v>0.25099423943434829</v>
      </c>
      <c r="AI3143" s="147">
        <f>$AF3005*'Assumptions (T&amp;D)'!E$101</f>
        <v>0.23219880440107374</v>
      </c>
      <c r="AJ3143" s="147">
        <f>$AF3005*'Assumptions (T&amp;D)'!F$101</f>
        <v>0.21475664069019496</v>
      </c>
      <c r="AK3143" s="147">
        <f>$AF3005*'Assumptions (T&amp;D)'!G$101</f>
        <v>0.19866774830171194</v>
      </c>
      <c r="AL3143" s="147">
        <f>$AF3005*'Assumptions (T&amp;D)'!H$101</f>
        <v>0.18374417288529196</v>
      </c>
      <c r="AM3143" s="147">
        <f>$AF3005*'Assumptions (T&amp;D)'!I$101</f>
        <v>0.169985914440935</v>
      </c>
      <c r="AN3143" s="147">
        <f>$AF3005*'Assumptions (T&amp;D)'!J$101</f>
        <v>0.16773046223694205</v>
      </c>
      <c r="AO3143" s="147">
        <f>$AF3005*'Assumptions (T&amp;D)'!K$101</f>
        <v>0.1676928713668755</v>
      </c>
      <c r="AP3143" s="147">
        <f>$AF3005*'Assumptions (T&amp;D)'!L$101</f>
        <v>0.16773046223694205</v>
      </c>
      <c r="AQ3143" s="147">
        <f>$AF3005*'Assumptions (T&amp;D)'!M$101</f>
        <v>0.1676928713668755</v>
      </c>
      <c r="AR3143" s="147">
        <f>$AF3005*'Assumptions (T&amp;D)'!N$101</f>
        <v>0.16773046223694205</v>
      </c>
      <c r="AS3143" s="147">
        <f>$AF3005*'Assumptions (T&amp;D)'!O$101</f>
        <v>0.1676928713668755</v>
      </c>
      <c r="AT3143" s="147">
        <f>$AF3005*'Assumptions (T&amp;D)'!P$101</f>
        <v>0.16773046223694205</v>
      </c>
      <c r="AU3143" s="147">
        <f>$AF3005*'Assumptions (T&amp;D)'!Q$101</f>
        <v>0.1676928713668755</v>
      </c>
      <c r="AV3143" s="147">
        <f>$AF3005*'Assumptions (T&amp;D)'!R$101</f>
        <v>0.16773046223694205</v>
      </c>
      <c r="AW3143" s="147">
        <f>$AF3005*'Assumptions (T&amp;D)'!S$101</f>
        <v>0.1676928713668755</v>
      </c>
      <c r="AX3143" s="147">
        <f>$AF3005*'Assumptions (T&amp;D)'!T$101</f>
        <v>0.16773046223694205</v>
      </c>
      <c r="AY3143" s="147">
        <f>$AF3005*'Assumptions (T&amp;D)'!U$101</f>
        <v>0.1676928713668755</v>
      </c>
      <c r="AZ3143" s="147">
        <f>$AF3005*'Assumptions (T&amp;D)'!V$101</f>
        <v>8.3865231118471023E-2</v>
      </c>
    </row>
    <row r="3144" spans="1:61" ht="15.75" hidden="1" customHeight="1" outlineLevel="1">
      <c r="A3144" s="465"/>
      <c r="B3144" s="42"/>
      <c r="C3144" s="42"/>
      <c r="D3144" s="42"/>
      <c r="E3144" s="42"/>
      <c r="F3144" s="42"/>
      <c r="G3144" s="42"/>
      <c r="H3144" s="42"/>
      <c r="I3144" s="42"/>
      <c r="J3144" s="42"/>
      <c r="K3144" s="42"/>
      <c r="L3144" s="42"/>
      <c r="M3144" s="42"/>
      <c r="N3144" s="42"/>
      <c r="O3144" s="42"/>
      <c r="P3144" s="42"/>
      <c r="Q3144" s="42"/>
      <c r="R3144" s="42"/>
      <c r="S3144" s="42"/>
      <c r="T3144" s="42"/>
      <c r="U3144" s="42"/>
      <c r="V3144" s="42"/>
      <c r="W3144" s="86"/>
      <c r="AG3144" s="147">
        <f>$AG3005*'Assumptions (T&amp;D)'!B$101</f>
        <v>0.14096576274955908</v>
      </c>
      <c r="AH3144" s="147">
        <f>$AG3005*'Assumptions (T&amp;D)'!C$101</f>
        <v>0.27136849101041793</v>
      </c>
      <c r="AI3144" s="147">
        <f>$AG3005*'Assumptions (T&amp;D)'!D$101</f>
        <v>0.25099423943434829</v>
      </c>
      <c r="AJ3144" s="147">
        <f>$AG3005*'Assumptions (T&amp;D)'!E$101</f>
        <v>0.23219880440107374</v>
      </c>
      <c r="AK3144" s="147">
        <f>$AG3005*'Assumptions (T&amp;D)'!F$101</f>
        <v>0.21475664069019496</v>
      </c>
      <c r="AL3144" s="147">
        <f>$AG3005*'Assumptions (T&amp;D)'!G$101</f>
        <v>0.19866774830171194</v>
      </c>
      <c r="AM3144" s="147">
        <f>$AG3005*'Assumptions (T&amp;D)'!H$101</f>
        <v>0.18374417288529196</v>
      </c>
      <c r="AN3144" s="147">
        <f>$AG3005*'Assumptions (T&amp;D)'!I$101</f>
        <v>0.169985914440935</v>
      </c>
      <c r="AO3144" s="147">
        <f>$AG3005*'Assumptions (T&amp;D)'!J$101</f>
        <v>0.16773046223694205</v>
      </c>
      <c r="AP3144" s="147">
        <f>$AG3005*'Assumptions (T&amp;D)'!K$101</f>
        <v>0.1676928713668755</v>
      </c>
      <c r="AQ3144" s="147">
        <f>$AG3005*'Assumptions (T&amp;D)'!L$101</f>
        <v>0.16773046223694205</v>
      </c>
      <c r="AR3144" s="147">
        <f>$AG3005*'Assumptions (T&amp;D)'!M$101</f>
        <v>0.1676928713668755</v>
      </c>
      <c r="AS3144" s="147">
        <f>$AG3005*'Assumptions (T&amp;D)'!N$101</f>
        <v>0.16773046223694205</v>
      </c>
      <c r="AT3144" s="147">
        <f>$AG3005*'Assumptions (T&amp;D)'!O$101</f>
        <v>0.1676928713668755</v>
      </c>
      <c r="AU3144" s="147">
        <f>$AG3005*'Assumptions (T&amp;D)'!P$101</f>
        <v>0.16773046223694205</v>
      </c>
      <c r="AV3144" s="147">
        <f>$AG3005*'Assumptions (T&amp;D)'!Q$101</f>
        <v>0.1676928713668755</v>
      </c>
      <c r="AW3144" s="147">
        <f>$AG3005*'Assumptions (T&amp;D)'!R$101</f>
        <v>0.16773046223694205</v>
      </c>
      <c r="AX3144" s="147">
        <f>$AG3005*'Assumptions (T&amp;D)'!S$101</f>
        <v>0.1676928713668755</v>
      </c>
      <c r="AY3144" s="147">
        <f>$AG3005*'Assumptions (T&amp;D)'!T$101</f>
        <v>0.16773046223694205</v>
      </c>
      <c r="AZ3144" s="147">
        <f>$AG3005*'Assumptions (T&amp;D)'!U$101</f>
        <v>0.1676928713668755</v>
      </c>
      <c r="BA3144" s="147">
        <f>$AG3005*'Assumptions (T&amp;D)'!V$101</f>
        <v>8.3865231118471023E-2</v>
      </c>
    </row>
    <row r="3145" spans="1:61" ht="15.75" hidden="1" customHeight="1" outlineLevel="1">
      <c r="A3145" s="465"/>
      <c r="B3145" s="42"/>
      <c r="C3145" s="42"/>
      <c r="D3145" s="42"/>
      <c r="E3145" s="42"/>
      <c r="F3145" s="42"/>
      <c r="G3145" s="42"/>
      <c r="H3145" s="42"/>
      <c r="I3145" s="42"/>
      <c r="J3145" s="42"/>
      <c r="K3145" s="42"/>
      <c r="L3145" s="42"/>
      <c r="M3145" s="42"/>
      <c r="N3145" s="42"/>
      <c r="O3145" s="42"/>
      <c r="P3145" s="42"/>
      <c r="Q3145" s="42"/>
      <c r="R3145" s="42"/>
      <c r="S3145" s="42"/>
      <c r="T3145" s="42"/>
      <c r="U3145" s="42"/>
      <c r="V3145" s="42"/>
      <c r="W3145" s="86"/>
      <c r="AH3145" s="147">
        <f>$AH3005*'Assumptions (T&amp;D)'!B$101</f>
        <v>0.14096576274955908</v>
      </c>
      <c r="AI3145" s="147">
        <f>$AH3005*'Assumptions (T&amp;D)'!C$101</f>
        <v>0.27136849101041793</v>
      </c>
      <c r="AJ3145" s="147">
        <f>$AH3005*'Assumptions (T&amp;D)'!D$101</f>
        <v>0.25099423943434829</v>
      </c>
      <c r="AK3145" s="147">
        <f>$AH3005*'Assumptions (T&amp;D)'!E$101</f>
        <v>0.23219880440107374</v>
      </c>
      <c r="AL3145" s="147">
        <f>$AH3005*'Assumptions (T&amp;D)'!F$101</f>
        <v>0.21475664069019496</v>
      </c>
      <c r="AM3145" s="147">
        <f>$AH3005*'Assumptions (T&amp;D)'!G$101</f>
        <v>0.19866774830171194</v>
      </c>
      <c r="AN3145" s="147">
        <f>$AH3005*'Assumptions (T&amp;D)'!H$101</f>
        <v>0.18374417288529196</v>
      </c>
      <c r="AO3145" s="147">
        <f>$AH3005*'Assumptions (T&amp;D)'!I$101</f>
        <v>0.169985914440935</v>
      </c>
      <c r="AP3145" s="147">
        <f>$AH3005*'Assumptions (T&amp;D)'!J$101</f>
        <v>0.16773046223694205</v>
      </c>
      <c r="AQ3145" s="147">
        <f>$AH3005*'Assumptions (T&amp;D)'!K$101</f>
        <v>0.1676928713668755</v>
      </c>
      <c r="AR3145" s="147">
        <f>$AH3005*'Assumptions (T&amp;D)'!L$101</f>
        <v>0.16773046223694205</v>
      </c>
      <c r="AS3145" s="147">
        <f>$AH3005*'Assumptions (T&amp;D)'!M$101</f>
        <v>0.1676928713668755</v>
      </c>
      <c r="AT3145" s="147">
        <f>$AH3005*'Assumptions (T&amp;D)'!N$101</f>
        <v>0.16773046223694205</v>
      </c>
      <c r="AU3145" s="147">
        <f>$AH3005*'Assumptions (T&amp;D)'!O$101</f>
        <v>0.1676928713668755</v>
      </c>
      <c r="AV3145" s="147">
        <f>$AH3005*'Assumptions (T&amp;D)'!P$101</f>
        <v>0.16773046223694205</v>
      </c>
      <c r="AW3145" s="147">
        <f>$AH3005*'Assumptions (T&amp;D)'!Q$101</f>
        <v>0.1676928713668755</v>
      </c>
      <c r="AX3145" s="147">
        <f>$AH3005*'Assumptions (T&amp;D)'!R$101</f>
        <v>0.16773046223694205</v>
      </c>
      <c r="AY3145" s="147">
        <f>$AH3005*'Assumptions (T&amp;D)'!S$101</f>
        <v>0.1676928713668755</v>
      </c>
      <c r="AZ3145" s="147">
        <f>$AH3005*'Assumptions (T&amp;D)'!T$101</f>
        <v>0.16773046223694205</v>
      </c>
      <c r="BA3145" s="147">
        <f>$AH3005*'Assumptions (T&amp;D)'!U$101</f>
        <v>0.1676928713668755</v>
      </c>
      <c r="BB3145" s="147">
        <f>$AH3005*'Assumptions (T&amp;D)'!V$101</f>
        <v>8.3865231118471023E-2</v>
      </c>
    </row>
    <row r="3146" spans="1:61" ht="15.75" hidden="1" customHeight="1" outlineLevel="1">
      <c r="A3146" s="465"/>
      <c r="B3146" s="42"/>
      <c r="C3146" s="42"/>
      <c r="D3146" s="42"/>
      <c r="E3146" s="42"/>
      <c r="F3146" s="42"/>
      <c r="G3146" s="42"/>
      <c r="H3146" s="42"/>
      <c r="I3146" s="42"/>
      <c r="J3146" s="42"/>
      <c r="K3146" s="42"/>
      <c r="L3146" s="42"/>
      <c r="M3146" s="42"/>
      <c r="N3146" s="42"/>
      <c r="O3146" s="42"/>
      <c r="P3146" s="42"/>
      <c r="Q3146" s="42"/>
      <c r="R3146" s="42"/>
      <c r="S3146" s="42"/>
      <c r="T3146" s="42"/>
      <c r="U3146" s="42"/>
      <c r="V3146" s="42"/>
      <c r="W3146" s="86"/>
      <c r="AI3146" s="147">
        <f>$AI3005*'Assumptions (T&amp;D)'!B$101</f>
        <v>0.14096576274955908</v>
      </c>
      <c r="AJ3146" s="147">
        <f>$AI3005*'Assumptions (T&amp;D)'!C$101</f>
        <v>0.27136849101041793</v>
      </c>
      <c r="AK3146" s="147">
        <f>$AI3005*'Assumptions (T&amp;D)'!D$101</f>
        <v>0.25099423943434829</v>
      </c>
      <c r="AL3146" s="147">
        <f>$AI3005*'Assumptions (T&amp;D)'!E$101</f>
        <v>0.23219880440107374</v>
      </c>
      <c r="AM3146" s="147">
        <f>$AI3005*'Assumptions (T&amp;D)'!F$101</f>
        <v>0.21475664069019496</v>
      </c>
      <c r="AN3146" s="147">
        <f>$AI3005*'Assumptions (T&amp;D)'!G$101</f>
        <v>0.19866774830171194</v>
      </c>
      <c r="AO3146" s="147">
        <f>$AI3005*'Assumptions (T&amp;D)'!H$101</f>
        <v>0.18374417288529196</v>
      </c>
      <c r="AP3146" s="147">
        <f>$AI3005*'Assumptions (T&amp;D)'!I$101</f>
        <v>0.169985914440935</v>
      </c>
      <c r="AQ3146" s="147">
        <f>$AI3005*'Assumptions (T&amp;D)'!J$101</f>
        <v>0.16773046223694205</v>
      </c>
      <c r="AR3146" s="147">
        <f>$AI3005*'Assumptions (T&amp;D)'!K$101</f>
        <v>0.1676928713668755</v>
      </c>
      <c r="AS3146" s="147">
        <f>$AI3005*'Assumptions (T&amp;D)'!L$101</f>
        <v>0.16773046223694205</v>
      </c>
      <c r="AT3146" s="147">
        <f>$AI3005*'Assumptions (T&amp;D)'!M$101</f>
        <v>0.1676928713668755</v>
      </c>
      <c r="AU3146" s="147">
        <f>$AI3005*'Assumptions (T&amp;D)'!N$101</f>
        <v>0.16773046223694205</v>
      </c>
      <c r="AV3146" s="147">
        <f>$AI3005*'Assumptions (T&amp;D)'!O$101</f>
        <v>0.1676928713668755</v>
      </c>
      <c r="AW3146" s="147">
        <f>$AI3005*'Assumptions (T&amp;D)'!P$101</f>
        <v>0.16773046223694205</v>
      </c>
      <c r="AX3146" s="147">
        <f>$AI3005*'Assumptions (T&amp;D)'!Q$101</f>
        <v>0.1676928713668755</v>
      </c>
      <c r="AY3146" s="147">
        <f>$AI3005*'Assumptions (T&amp;D)'!R$101</f>
        <v>0.16773046223694205</v>
      </c>
      <c r="AZ3146" s="147">
        <f>$AI3005*'Assumptions (T&amp;D)'!S$101</f>
        <v>0.1676928713668755</v>
      </c>
      <c r="BA3146" s="147">
        <f>$AI3005*'Assumptions (T&amp;D)'!T$101</f>
        <v>0.16773046223694205</v>
      </c>
      <c r="BB3146" s="147">
        <f>$AI3005*'Assumptions (T&amp;D)'!U$101</f>
        <v>0.1676928713668755</v>
      </c>
      <c r="BC3146" s="147">
        <f>$AI3005*'Assumptions (T&amp;D)'!V$101</f>
        <v>8.3865231118471023E-2</v>
      </c>
    </row>
    <row r="3147" spans="1:61" ht="15.75" hidden="1" customHeight="1" outlineLevel="1">
      <c r="A3147" s="465"/>
      <c r="B3147" s="42"/>
      <c r="C3147" s="42"/>
      <c r="D3147" s="42"/>
      <c r="E3147" s="42"/>
      <c r="F3147" s="42"/>
      <c r="G3147" s="42"/>
      <c r="H3147" s="42"/>
      <c r="I3147" s="42"/>
      <c r="J3147" s="42"/>
      <c r="K3147" s="42"/>
      <c r="L3147" s="42"/>
      <c r="M3147" s="42"/>
      <c r="N3147" s="42"/>
      <c r="O3147" s="42"/>
      <c r="P3147" s="42"/>
      <c r="Q3147" s="42"/>
      <c r="R3147" s="42"/>
      <c r="S3147" s="42"/>
      <c r="T3147" s="42"/>
      <c r="U3147" s="42"/>
      <c r="V3147" s="42"/>
      <c r="W3147" s="86"/>
      <c r="AJ3147" s="147">
        <f>$AJ3005*'Assumptions (T&amp;D)'!B$101</f>
        <v>0.14096576274955908</v>
      </c>
      <c r="AK3147" s="147">
        <f>$AJ3005*'Assumptions (T&amp;D)'!C$101</f>
        <v>0.27136849101041793</v>
      </c>
      <c r="AL3147" s="147">
        <f>$AJ3005*'Assumptions (T&amp;D)'!D$101</f>
        <v>0.25099423943434829</v>
      </c>
      <c r="AM3147" s="147">
        <f>$AJ3005*'Assumptions (T&amp;D)'!E$101</f>
        <v>0.23219880440107374</v>
      </c>
      <c r="AN3147" s="147">
        <f>$AJ3005*'Assumptions (T&amp;D)'!F$101</f>
        <v>0.21475664069019496</v>
      </c>
      <c r="AO3147" s="147">
        <f>$AJ3005*'Assumptions (T&amp;D)'!G$101</f>
        <v>0.19866774830171194</v>
      </c>
      <c r="AP3147" s="147">
        <f>$AJ3005*'Assumptions (T&amp;D)'!H$101</f>
        <v>0.18374417288529196</v>
      </c>
      <c r="AQ3147" s="147">
        <f>$AJ3005*'Assumptions (T&amp;D)'!I$101</f>
        <v>0.169985914440935</v>
      </c>
      <c r="AR3147" s="147">
        <f>$AJ3005*'Assumptions (T&amp;D)'!J$101</f>
        <v>0.16773046223694205</v>
      </c>
      <c r="AS3147" s="147">
        <f>$AJ3005*'Assumptions (T&amp;D)'!K$101</f>
        <v>0.1676928713668755</v>
      </c>
      <c r="AT3147" s="147">
        <f>$AJ3005*'Assumptions (T&amp;D)'!L$101</f>
        <v>0.16773046223694205</v>
      </c>
      <c r="AU3147" s="147">
        <f>$AJ3005*'Assumptions (T&amp;D)'!M$101</f>
        <v>0.1676928713668755</v>
      </c>
      <c r="AV3147" s="147">
        <f>$AJ3005*'Assumptions (T&amp;D)'!N$101</f>
        <v>0.16773046223694205</v>
      </c>
      <c r="AW3147" s="147">
        <f>$AJ3005*'Assumptions (T&amp;D)'!O$101</f>
        <v>0.1676928713668755</v>
      </c>
      <c r="AX3147" s="147">
        <f>$AJ3005*'Assumptions (T&amp;D)'!P$101</f>
        <v>0.16773046223694205</v>
      </c>
      <c r="AY3147" s="147">
        <f>$AJ3005*'Assumptions (T&amp;D)'!Q$101</f>
        <v>0.1676928713668755</v>
      </c>
      <c r="AZ3147" s="147">
        <f>$AJ3005*'Assumptions (T&amp;D)'!R$101</f>
        <v>0.16773046223694205</v>
      </c>
      <c r="BA3147" s="147">
        <f>$AJ3005*'Assumptions (T&amp;D)'!S$101</f>
        <v>0.1676928713668755</v>
      </c>
      <c r="BB3147" s="147">
        <f>$AJ3005*'Assumptions (T&amp;D)'!T$101</f>
        <v>0.16773046223694205</v>
      </c>
      <c r="BC3147" s="147">
        <f>$AJ3005*'Assumptions (T&amp;D)'!U$101</f>
        <v>0.1676928713668755</v>
      </c>
      <c r="BD3147" s="147">
        <f>$AJ3005*'Assumptions (T&amp;D)'!V$101</f>
        <v>8.3865231118471023E-2</v>
      </c>
    </row>
    <row r="3148" spans="1:61" ht="15.75" hidden="1" customHeight="1" outlineLevel="1">
      <c r="A3148" s="465"/>
      <c r="B3148" s="42"/>
      <c r="C3148" s="42"/>
      <c r="D3148" s="42"/>
      <c r="E3148" s="42"/>
      <c r="F3148" s="42"/>
      <c r="G3148" s="42"/>
      <c r="H3148" s="42"/>
      <c r="I3148" s="42"/>
      <c r="J3148" s="42"/>
      <c r="K3148" s="42"/>
      <c r="L3148" s="42"/>
      <c r="M3148" s="42"/>
      <c r="N3148" s="42"/>
      <c r="O3148" s="42"/>
      <c r="P3148" s="42"/>
      <c r="Q3148" s="42"/>
      <c r="R3148" s="42"/>
      <c r="S3148" s="42"/>
      <c r="T3148" s="42"/>
      <c r="U3148" s="42"/>
      <c r="V3148" s="42"/>
      <c r="W3148" s="86"/>
      <c r="AK3148" s="147">
        <f>$AK3005*'Assumptions (T&amp;D)'!B$101</f>
        <v>0.14096576274955908</v>
      </c>
      <c r="AL3148" s="147">
        <f>$AK3005*'Assumptions (T&amp;D)'!C$101</f>
        <v>0.27136849101041793</v>
      </c>
      <c r="AM3148" s="147">
        <f>$AK3005*'Assumptions (T&amp;D)'!D$101</f>
        <v>0.25099423943434829</v>
      </c>
      <c r="AN3148" s="147">
        <f>$AK3005*'Assumptions (T&amp;D)'!E$101</f>
        <v>0.23219880440107374</v>
      </c>
      <c r="AO3148" s="147">
        <f>$AK3005*'Assumptions (T&amp;D)'!F$101</f>
        <v>0.21475664069019496</v>
      </c>
      <c r="AP3148" s="147">
        <f>$AK3005*'Assumptions (T&amp;D)'!G$101</f>
        <v>0.19866774830171194</v>
      </c>
      <c r="AQ3148" s="147">
        <f>$AK3005*'Assumptions (T&amp;D)'!H$101</f>
        <v>0.18374417288529196</v>
      </c>
      <c r="AR3148" s="147">
        <f>$AK3005*'Assumptions (T&amp;D)'!I$101</f>
        <v>0.169985914440935</v>
      </c>
      <c r="AS3148" s="147">
        <f>$AK3005*'Assumptions (T&amp;D)'!J$101</f>
        <v>0.16773046223694205</v>
      </c>
      <c r="AT3148" s="147">
        <f>$AK3005*'Assumptions (T&amp;D)'!K$101</f>
        <v>0.1676928713668755</v>
      </c>
      <c r="AU3148" s="147">
        <f>$AK3005*'Assumptions (T&amp;D)'!L$101</f>
        <v>0.16773046223694205</v>
      </c>
      <c r="AV3148" s="147">
        <f>$AK3005*'Assumptions (T&amp;D)'!M$101</f>
        <v>0.1676928713668755</v>
      </c>
      <c r="AW3148" s="147">
        <f>$AK3005*'Assumptions (T&amp;D)'!N$101</f>
        <v>0.16773046223694205</v>
      </c>
      <c r="AX3148" s="147">
        <f>$AK3005*'Assumptions (T&amp;D)'!O$101</f>
        <v>0.1676928713668755</v>
      </c>
      <c r="AY3148" s="147">
        <f>$AK3005*'Assumptions (T&amp;D)'!P$101</f>
        <v>0.16773046223694205</v>
      </c>
      <c r="AZ3148" s="147">
        <f>$AK3005*'Assumptions (T&amp;D)'!Q$101</f>
        <v>0.1676928713668755</v>
      </c>
      <c r="BA3148" s="147">
        <f>$AK3005*'Assumptions (T&amp;D)'!R$101</f>
        <v>0.16773046223694205</v>
      </c>
      <c r="BB3148" s="147">
        <f>$AK3005*'Assumptions (T&amp;D)'!S$101</f>
        <v>0.1676928713668755</v>
      </c>
      <c r="BC3148" s="147">
        <f>$AK3005*'Assumptions (T&amp;D)'!T$101</f>
        <v>0.16773046223694205</v>
      </c>
      <c r="BD3148" s="147">
        <f>$AK3005*'Assumptions (T&amp;D)'!U$101</f>
        <v>0.1676928713668755</v>
      </c>
      <c r="BE3148" s="147">
        <f>$AK3005*'Assumptions (T&amp;D)'!V$101</f>
        <v>8.3865231118471023E-2</v>
      </c>
    </row>
    <row r="3149" spans="1:61" ht="15.75" hidden="1" customHeight="1" outlineLevel="1">
      <c r="A3149" s="465"/>
      <c r="B3149" s="42"/>
      <c r="C3149" s="42"/>
      <c r="D3149" s="42"/>
      <c r="E3149" s="42"/>
      <c r="F3149" s="42"/>
      <c r="G3149" s="42"/>
      <c r="H3149" s="42"/>
      <c r="I3149" s="42"/>
      <c r="J3149" s="42"/>
      <c r="K3149" s="42"/>
      <c r="L3149" s="42"/>
      <c r="M3149" s="42"/>
      <c r="N3149" s="42"/>
      <c r="O3149" s="42"/>
      <c r="P3149" s="42"/>
      <c r="Q3149" s="42"/>
      <c r="R3149" s="42"/>
      <c r="S3149" s="42"/>
      <c r="T3149" s="42"/>
      <c r="U3149" s="42"/>
      <c r="V3149" s="42"/>
      <c r="W3149" s="86"/>
      <c r="AL3149" s="147">
        <f>$AL3005*'Assumptions (T&amp;D)'!B$101</f>
        <v>0.14096576274955908</v>
      </c>
      <c r="AM3149" s="147">
        <f>$AL3005*'Assumptions (T&amp;D)'!C$101</f>
        <v>0.27136849101041793</v>
      </c>
      <c r="AN3149" s="147">
        <f>$AL3005*'Assumptions (T&amp;D)'!D$101</f>
        <v>0.25099423943434829</v>
      </c>
      <c r="AO3149" s="147">
        <f>$AL3005*'Assumptions (T&amp;D)'!E$101</f>
        <v>0.23219880440107374</v>
      </c>
      <c r="AP3149" s="147">
        <f>$AL3005*'Assumptions (T&amp;D)'!F$101</f>
        <v>0.21475664069019496</v>
      </c>
      <c r="AQ3149" s="147">
        <f>$AL3005*'Assumptions (T&amp;D)'!G$101</f>
        <v>0.19866774830171194</v>
      </c>
      <c r="AR3149" s="147">
        <f>$AL3005*'Assumptions (T&amp;D)'!H$101</f>
        <v>0.18374417288529196</v>
      </c>
      <c r="AS3149" s="147">
        <f>$AL3005*'Assumptions (T&amp;D)'!I$101</f>
        <v>0.169985914440935</v>
      </c>
      <c r="AT3149" s="147">
        <f>$AL3005*'Assumptions (T&amp;D)'!J$101</f>
        <v>0.16773046223694205</v>
      </c>
      <c r="AU3149" s="147">
        <f>$AL3005*'Assumptions (T&amp;D)'!K$101</f>
        <v>0.1676928713668755</v>
      </c>
      <c r="AV3149" s="147">
        <f>$AL3005*'Assumptions (T&amp;D)'!L$101</f>
        <v>0.16773046223694205</v>
      </c>
      <c r="AW3149" s="147">
        <f>$AL3005*'Assumptions (T&amp;D)'!M$101</f>
        <v>0.1676928713668755</v>
      </c>
      <c r="AX3149" s="147">
        <f>$AL3005*'Assumptions (T&amp;D)'!N$101</f>
        <v>0.16773046223694205</v>
      </c>
      <c r="AY3149" s="147">
        <f>$AL3005*'Assumptions (T&amp;D)'!O$101</f>
        <v>0.1676928713668755</v>
      </c>
      <c r="AZ3149" s="147">
        <f>$AL3005*'Assumptions (T&amp;D)'!P$101</f>
        <v>0.16773046223694205</v>
      </c>
      <c r="BA3149" s="147">
        <f>$AL3005*'Assumptions (T&amp;D)'!Q$101</f>
        <v>0.1676928713668755</v>
      </c>
      <c r="BB3149" s="147">
        <f>$AL3005*'Assumptions (T&amp;D)'!R$101</f>
        <v>0.16773046223694205</v>
      </c>
      <c r="BC3149" s="147">
        <f>$AL3005*'Assumptions (T&amp;D)'!S$101</f>
        <v>0.1676928713668755</v>
      </c>
      <c r="BD3149" s="147">
        <f>$AL3005*'Assumptions (T&amp;D)'!T$101</f>
        <v>0.16773046223694205</v>
      </c>
      <c r="BE3149" s="147">
        <f>$AL3005*'Assumptions (T&amp;D)'!U$101</f>
        <v>0.1676928713668755</v>
      </c>
      <c r="BF3149" s="147">
        <f>$AL3005*'Assumptions (T&amp;D)'!V$101</f>
        <v>8.3865231118471023E-2</v>
      </c>
    </row>
    <row r="3150" spans="1:61" ht="15.75" hidden="1" customHeight="1" outlineLevel="1">
      <c r="A3150" s="465"/>
      <c r="B3150" s="42"/>
      <c r="C3150" s="42"/>
      <c r="D3150" s="42"/>
      <c r="E3150" s="42"/>
      <c r="F3150" s="42"/>
      <c r="G3150" s="42"/>
      <c r="H3150" s="42"/>
      <c r="I3150" s="42"/>
      <c r="J3150" s="42"/>
      <c r="K3150" s="42"/>
      <c r="L3150" s="42"/>
      <c r="M3150" s="42"/>
      <c r="N3150" s="42"/>
      <c r="O3150" s="42"/>
      <c r="P3150" s="42"/>
      <c r="Q3150" s="42"/>
      <c r="R3150" s="42"/>
      <c r="S3150" s="42"/>
      <c r="T3150" s="42"/>
      <c r="U3150" s="42"/>
      <c r="V3150" s="42"/>
      <c r="W3150" s="86"/>
      <c r="AM3150" s="147">
        <f>$AM3005*'Assumptions (T&amp;D)'!B$101</f>
        <v>0.14096576274955908</v>
      </c>
      <c r="AN3150" s="147">
        <f>$AM3005*'Assumptions (T&amp;D)'!C$101</f>
        <v>0.27136849101041793</v>
      </c>
      <c r="AO3150" s="147">
        <f>$AM3005*'Assumptions (T&amp;D)'!D$101</f>
        <v>0.25099423943434829</v>
      </c>
      <c r="AP3150" s="147">
        <f>$AM3005*'Assumptions (T&amp;D)'!E$101</f>
        <v>0.23219880440107374</v>
      </c>
      <c r="AQ3150" s="147">
        <f>$AM3005*'Assumptions (T&amp;D)'!F$101</f>
        <v>0.21475664069019496</v>
      </c>
      <c r="AR3150" s="147">
        <f>$AM3005*'Assumptions (T&amp;D)'!G$101</f>
        <v>0.19866774830171194</v>
      </c>
      <c r="AS3150" s="147">
        <f>$AM3005*'Assumptions (T&amp;D)'!H$101</f>
        <v>0.18374417288529196</v>
      </c>
      <c r="AT3150" s="147">
        <f>$AM3005*'Assumptions (T&amp;D)'!I$101</f>
        <v>0.169985914440935</v>
      </c>
      <c r="AU3150" s="147">
        <f>$AM3005*'Assumptions (T&amp;D)'!J$101</f>
        <v>0.16773046223694205</v>
      </c>
      <c r="AV3150" s="147">
        <f>$AM3005*'Assumptions (T&amp;D)'!K$101</f>
        <v>0.1676928713668755</v>
      </c>
      <c r="AW3150" s="147">
        <f>$AM3005*'Assumptions (T&amp;D)'!L$101</f>
        <v>0.16773046223694205</v>
      </c>
      <c r="AX3150" s="147">
        <f>$AM3005*'Assumptions (T&amp;D)'!M$101</f>
        <v>0.1676928713668755</v>
      </c>
      <c r="AY3150" s="147">
        <f>$AM3005*'Assumptions (T&amp;D)'!N$101</f>
        <v>0.16773046223694205</v>
      </c>
      <c r="AZ3150" s="147">
        <f>$AM3005*'Assumptions (T&amp;D)'!O$101</f>
        <v>0.1676928713668755</v>
      </c>
      <c r="BA3150" s="147">
        <f>$AM3005*'Assumptions (T&amp;D)'!P$101</f>
        <v>0.16773046223694205</v>
      </c>
      <c r="BB3150" s="147">
        <f>$AM3005*'Assumptions (T&amp;D)'!Q$101</f>
        <v>0.1676928713668755</v>
      </c>
      <c r="BC3150" s="147">
        <f>$AM3005*'Assumptions (T&amp;D)'!R$101</f>
        <v>0.16773046223694205</v>
      </c>
      <c r="BD3150" s="147">
        <f>$AM3005*'Assumptions (T&amp;D)'!S$101</f>
        <v>0.1676928713668755</v>
      </c>
      <c r="BE3150" s="147">
        <f>$AM3005*'Assumptions (T&amp;D)'!T$101</f>
        <v>0.16773046223694205</v>
      </c>
      <c r="BF3150" s="147">
        <f>$AM3005*'Assumptions (T&amp;D)'!U$101</f>
        <v>0.1676928713668755</v>
      </c>
      <c r="BG3150" s="147">
        <f>$AM3005*'Assumptions (T&amp;D)'!V$101</f>
        <v>8.3865231118471023E-2</v>
      </c>
    </row>
    <row r="3151" spans="1:61" ht="15.75" hidden="1" customHeight="1" outlineLevel="1">
      <c r="A3151" s="465"/>
      <c r="B3151" s="42"/>
      <c r="C3151" s="42"/>
      <c r="D3151" s="42"/>
      <c r="E3151" s="42"/>
      <c r="F3151" s="42"/>
      <c r="G3151" s="42"/>
      <c r="H3151" s="42"/>
      <c r="I3151" s="42"/>
      <c r="J3151" s="42"/>
      <c r="K3151" s="42"/>
      <c r="L3151" s="42"/>
      <c r="M3151" s="42"/>
      <c r="N3151" s="42"/>
      <c r="O3151" s="42"/>
      <c r="P3151" s="42"/>
      <c r="Q3151" s="42"/>
      <c r="R3151" s="42"/>
      <c r="S3151" s="42"/>
      <c r="T3151" s="42"/>
      <c r="U3151" s="42"/>
      <c r="V3151" s="42"/>
      <c r="W3151" s="86"/>
      <c r="AN3151" s="147">
        <f>$AN3005*'Assumptions (T&amp;D)'!B$101</f>
        <v>0.14096576274955908</v>
      </c>
      <c r="AO3151" s="147">
        <f>$AN3005*'Assumptions (T&amp;D)'!C$101</f>
        <v>0.27136849101041793</v>
      </c>
      <c r="AP3151" s="147">
        <f>$AN3005*'Assumptions (T&amp;D)'!D$101</f>
        <v>0.25099423943434829</v>
      </c>
      <c r="AQ3151" s="147">
        <f>$AN3005*'Assumptions (T&amp;D)'!E$101</f>
        <v>0.23219880440107374</v>
      </c>
      <c r="AR3151" s="147">
        <f>$AN3005*'Assumptions (T&amp;D)'!F$101</f>
        <v>0.21475664069019496</v>
      </c>
      <c r="AS3151" s="147">
        <f>$AN3005*'Assumptions (T&amp;D)'!G$101</f>
        <v>0.19866774830171194</v>
      </c>
      <c r="AT3151" s="147">
        <f>$AN3005*'Assumptions (T&amp;D)'!H$101</f>
        <v>0.18374417288529196</v>
      </c>
      <c r="AU3151" s="147">
        <f>$AN3005*'Assumptions (T&amp;D)'!I$101</f>
        <v>0.169985914440935</v>
      </c>
      <c r="AV3151" s="147">
        <f>$AN3005*'Assumptions (T&amp;D)'!J$101</f>
        <v>0.16773046223694205</v>
      </c>
      <c r="AW3151" s="147">
        <f>$AN3005*'Assumptions (T&amp;D)'!K$101</f>
        <v>0.1676928713668755</v>
      </c>
      <c r="AX3151" s="147">
        <f>$AN3005*'Assumptions (T&amp;D)'!L$101</f>
        <v>0.16773046223694205</v>
      </c>
      <c r="AY3151" s="147">
        <f>$AN3005*'Assumptions (T&amp;D)'!M$101</f>
        <v>0.1676928713668755</v>
      </c>
      <c r="AZ3151" s="147">
        <f>$AN3005*'Assumptions (T&amp;D)'!N$101</f>
        <v>0.16773046223694205</v>
      </c>
      <c r="BA3151" s="147">
        <f>$AN3005*'Assumptions (T&amp;D)'!O$101</f>
        <v>0.1676928713668755</v>
      </c>
      <c r="BB3151" s="147">
        <f>$AN3005*'Assumptions (T&amp;D)'!P$101</f>
        <v>0.16773046223694205</v>
      </c>
      <c r="BC3151" s="147">
        <f>$AN3005*'Assumptions (T&amp;D)'!Q$101</f>
        <v>0.1676928713668755</v>
      </c>
      <c r="BD3151" s="147">
        <f>$AN3005*'Assumptions (T&amp;D)'!R$101</f>
        <v>0.16773046223694205</v>
      </c>
      <c r="BE3151" s="147">
        <f>$AN3005*'Assumptions (T&amp;D)'!S$101</f>
        <v>0.1676928713668755</v>
      </c>
      <c r="BF3151" s="147">
        <f>$AN3005*'Assumptions (T&amp;D)'!T$101</f>
        <v>0.16773046223694205</v>
      </c>
      <c r="BG3151" s="147">
        <f>$AN3005*'Assumptions (T&amp;D)'!U$101</f>
        <v>0.1676928713668755</v>
      </c>
      <c r="BH3151" s="147">
        <f>$AN3005*'Assumptions (T&amp;D)'!V$101</f>
        <v>8.3865231118471023E-2</v>
      </c>
    </row>
    <row r="3152" spans="1:61" ht="15.75" hidden="1" customHeight="1" outlineLevel="1">
      <c r="A3152" s="465"/>
      <c r="B3152" s="42"/>
      <c r="C3152" s="42"/>
      <c r="D3152" s="42"/>
      <c r="E3152" s="42"/>
      <c r="F3152" s="42"/>
      <c r="G3152" s="42"/>
      <c r="H3152" s="42"/>
      <c r="I3152" s="42"/>
      <c r="J3152" s="42"/>
      <c r="K3152" s="42"/>
      <c r="L3152" s="42"/>
      <c r="M3152" s="42"/>
      <c r="N3152" s="42"/>
      <c r="O3152" s="42"/>
      <c r="P3152" s="42"/>
      <c r="Q3152" s="42"/>
      <c r="R3152" s="42"/>
      <c r="S3152" s="42"/>
      <c r="T3152" s="42"/>
      <c r="U3152" s="42"/>
      <c r="V3152" s="42"/>
      <c r="W3152" s="86"/>
      <c r="AO3152" s="147">
        <f>$AO3005*'Assumptions (T&amp;D)'!B$101</f>
        <v>0.14096576274955908</v>
      </c>
      <c r="AP3152" s="147">
        <f>$AO3005*'Assumptions (T&amp;D)'!C$101</f>
        <v>0.27136849101041793</v>
      </c>
      <c r="AQ3152" s="147">
        <f>$AO3005*'Assumptions (T&amp;D)'!D$101</f>
        <v>0.25099423943434829</v>
      </c>
      <c r="AR3152" s="147">
        <f>$AO3005*'Assumptions (T&amp;D)'!E$101</f>
        <v>0.23219880440107374</v>
      </c>
      <c r="AS3152" s="147">
        <f>$AO3005*'Assumptions (T&amp;D)'!F$101</f>
        <v>0.21475664069019496</v>
      </c>
      <c r="AT3152" s="147">
        <f>$AO3005*'Assumptions (T&amp;D)'!G$101</f>
        <v>0.19866774830171194</v>
      </c>
      <c r="AU3152" s="147">
        <f>$AO3005*'Assumptions (T&amp;D)'!H$101</f>
        <v>0.18374417288529196</v>
      </c>
      <c r="AV3152" s="147">
        <f>$AO3005*'Assumptions (T&amp;D)'!I$101</f>
        <v>0.169985914440935</v>
      </c>
      <c r="AW3152" s="147">
        <f>$AO3005*'Assumptions (T&amp;D)'!J$101</f>
        <v>0.16773046223694205</v>
      </c>
      <c r="AX3152" s="147">
        <f>$AO3005*'Assumptions (T&amp;D)'!K$101</f>
        <v>0.1676928713668755</v>
      </c>
      <c r="AY3152" s="147">
        <f>$AO3005*'Assumptions (T&amp;D)'!L$101</f>
        <v>0.16773046223694205</v>
      </c>
      <c r="AZ3152" s="147">
        <f>$AO3005*'Assumptions (T&amp;D)'!M$101</f>
        <v>0.1676928713668755</v>
      </c>
      <c r="BA3152" s="147">
        <f>$AO3005*'Assumptions (T&amp;D)'!N$101</f>
        <v>0.16773046223694205</v>
      </c>
      <c r="BB3152" s="147">
        <f>$AO3005*'Assumptions (T&amp;D)'!O$101</f>
        <v>0.1676928713668755</v>
      </c>
      <c r="BC3152" s="147">
        <f>$AO3005*'Assumptions (T&amp;D)'!P$101</f>
        <v>0.16773046223694205</v>
      </c>
      <c r="BD3152" s="147">
        <f>$AO3005*'Assumptions (T&amp;D)'!Q$101</f>
        <v>0.1676928713668755</v>
      </c>
      <c r="BE3152" s="147">
        <f>$AO3005*'Assumptions (T&amp;D)'!R$101</f>
        <v>0.16773046223694205</v>
      </c>
      <c r="BF3152" s="147">
        <f>$AO3005*'Assumptions (T&amp;D)'!S$101</f>
        <v>0.1676928713668755</v>
      </c>
      <c r="BG3152" s="147">
        <f>$AO3005*'Assumptions (T&amp;D)'!T$101</f>
        <v>0.16773046223694205</v>
      </c>
      <c r="BH3152" s="147">
        <f>$AO3005*'Assumptions (T&amp;D)'!U$101</f>
        <v>0.1676928713668755</v>
      </c>
      <c r="BI3152" s="147">
        <f>$AO3005*'Assumptions (T&amp;D)'!V$101</f>
        <v>8.3865231118471023E-2</v>
      </c>
    </row>
    <row r="3153" spans="1:73" ht="15.75" hidden="1" customHeight="1" outlineLevel="1">
      <c r="A3153" s="465"/>
      <c r="B3153" s="42"/>
      <c r="C3153" s="42"/>
      <c r="D3153" s="42"/>
      <c r="E3153" s="42"/>
      <c r="F3153" s="42"/>
      <c r="G3153" s="42"/>
      <c r="H3153" s="42"/>
      <c r="I3153" s="42"/>
      <c r="J3153" s="42"/>
      <c r="K3153" s="42"/>
      <c r="L3153" s="42"/>
      <c r="M3153" s="42"/>
      <c r="N3153" s="42"/>
      <c r="O3153" s="42"/>
      <c r="P3153" s="42"/>
      <c r="Q3153" s="42"/>
      <c r="R3153" s="42"/>
      <c r="S3153" s="42"/>
      <c r="T3153" s="42"/>
      <c r="U3153" s="42"/>
      <c r="V3153" s="42"/>
      <c r="W3153" s="86"/>
      <c r="AP3153" s="147">
        <f>$AP3005*'Assumptions (T&amp;D)'!B$101</f>
        <v>0.14096576274955908</v>
      </c>
      <c r="AQ3153" s="147">
        <f>$AP3005*'Assumptions (T&amp;D)'!C$101</f>
        <v>0.27136849101041793</v>
      </c>
      <c r="AR3153" s="147">
        <f>$AP3005*'Assumptions (T&amp;D)'!D$101</f>
        <v>0.25099423943434829</v>
      </c>
      <c r="AS3153" s="147">
        <f>$AP3005*'Assumptions (T&amp;D)'!E$101</f>
        <v>0.23219880440107374</v>
      </c>
      <c r="AT3153" s="147">
        <f>$AP3005*'Assumptions (T&amp;D)'!F$101</f>
        <v>0.21475664069019496</v>
      </c>
      <c r="AU3153" s="147">
        <f>$AP3005*'Assumptions (T&amp;D)'!G$101</f>
        <v>0.19866774830171194</v>
      </c>
      <c r="AV3153" s="147">
        <f>$AP3005*'Assumptions (T&amp;D)'!H$101</f>
        <v>0.18374417288529196</v>
      </c>
      <c r="AW3153" s="147">
        <f>$AP3005*'Assumptions (T&amp;D)'!I$101</f>
        <v>0.169985914440935</v>
      </c>
      <c r="AX3153" s="147">
        <f>$AP3005*'Assumptions (T&amp;D)'!J$101</f>
        <v>0.16773046223694205</v>
      </c>
      <c r="AY3153" s="147">
        <f>$AP3005*'Assumptions (T&amp;D)'!K$101</f>
        <v>0.1676928713668755</v>
      </c>
      <c r="AZ3153" s="147">
        <f>$AP3005*'Assumptions (T&amp;D)'!L$101</f>
        <v>0.16773046223694205</v>
      </c>
      <c r="BA3153" s="147">
        <f>$AP3005*'Assumptions (T&amp;D)'!M$101</f>
        <v>0.1676928713668755</v>
      </c>
      <c r="BB3153" s="147">
        <f>$AP3005*'Assumptions (T&amp;D)'!N$101</f>
        <v>0.16773046223694205</v>
      </c>
      <c r="BC3153" s="147">
        <f>$AP3005*'Assumptions (T&amp;D)'!O$101</f>
        <v>0.1676928713668755</v>
      </c>
      <c r="BD3153" s="147">
        <f>$AP3005*'Assumptions (T&amp;D)'!P$101</f>
        <v>0.16773046223694205</v>
      </c>
      <c r="BE3153" s="147">
        <f>$AP3005*'Assumptions (T&amp;D)'!Q$101</f>
        <v>0.1676928713668755</v>
      </c>
      <c r="BF3153" s="147">
        <f>$AP3005*'Assumptions (T&amp;D)'!R$101</f>
        <v>0.16773046223694205</v>
      </c>
      <c r="BG3153" s="147">
        <f>$AP3005*'Assumptions (T&amp;D)'!S$101</f>
        <v>0.1676928713668755</v>
      </c>
      <c r="BH3153" s="147">
        <f>$AP3005*'Assumptions (T&amp;D)'!T$101</f>
        <v>0.16773046223694205</v>
      </c>
      <c r="BI3153" s="147">
        <f>$AP3005*'Assumptions (T&amp;D)'!U$101</f>
        <v>0.1676928713668755</v>
      </c>
      <c r="BJ3153" s="147">
        <f>$AP3005*'Assumptions (T&amp;D)'!V$101</f>
        <v>8.3865231118471023E-2</v>
      </c>
    </row>
    <row r="3154" spans="1:73" ht="15.75" hidden="1" customHeight="1" outlineLevel="1">
      <c r="A3154" s="465"/>
      <c r="B3154" s="42"/>
      <c r="C3154" s="42"/>
      <c r="D3154" s="42"/>
      <c r="E3154" s="42"/>
      <c r="F3154" s="42"/>
      <c r="G3154" s="42"/>
      <c r="H3154" s="42"/>
      <c r="I3154" s="42"/>
      <c r="J3154" s="42"/>
      <c r="K3154" s="42"/>
      <c r="L3154" s="42"/>
      <c r="M3154" s="42"/>
      <c r="N3154" s="42"/>
      <c r="O3154" s="42"/>
      <c r="P3154" s="42"/>
      <c r="Q3154" s="42"/>
      <c r="R3154" s="42"/>
      <c r="S3154" s="42"/>
      <c r="T3154" s="42"/>
      <c r="U3154" s="42"/>
      <c r="V3154" s="42"/>
      <c r="W3154" s="86"/>
      <c r="AQ3154" s="147">
        <f>$AQ3005*'Assumptions (T&amp;D)'!B$101</f>
        <v>0.14096576274955908</v>
      </c>
      <c r="AR3154" s="147">
        <f>$AQ3005*'Assumptions (T&amp;D)'!C$101</f>
        <v>0.27136849101041793</v>
      </c>
      <c r="AS3154" s="147">
        <f>$AQ3005*'Assumptions (T&amp;D)'!D$101</f>
        <v>0.25099423943434829</v>
      </c>
      <c r="AT3154" s="147">
        <f>$AQ3005*'Assumptions (T&amp;D)'!E$101</f>
        <v>0.23219880440107374</v>
      </c>
      <c r="AU3154" s="147">
        <f>$AQ3005*'Assumptions (T&amp;D)'!F$101</f>
        <v>0.21475664069019496</v>
      </c>
      <c r="AV3154" s="147">
        <f>$AQ3005*'Assumptions (T&amp;D)'!G$101</f>
        <v>0.19866774830171194</v>
      </c>
      <c r="AW3154" s="147">
        <f>$AQ3005*'Assumptions (T&amp;D)'!H$101</f>
        <v>0.18374417288529196</v>
      </c>
      <c r="AX3154" s="147">
        <f>$AQ3005*'Assumptions (T&amp;D)'!I$101</f>
        <v>0.169985914440935</v>
      </c>
      <c r="AY3154" s="147">
        <f>$AQ3005*'Assumptions (T&amp;D)'!J$101</f>
        <v>0.16773046223694205</v>
      </c>
      <c r="AZ3154" s="147">
        <f>$AQ3005*'Assumptions (T&amp;D)'!K$101</f>
        <v>0.1676928713668755</v>
      </c>
      <c r="BA3154" s="147">
        <f>$AQ3005*'Assumptions (T&amp;D)'!L$101</f>
        <v>0.16773046223694205</v>
      </c>
      <c r="BB3154" s="147">
        <f>$AQ3005*'Assumptions (T&amp;D)'!M$101</f>
        <v>0.1676928713668755</v>
      </c>
      <c r="BC3154" s="147">
        <f>$AQ3005*'Assumptions (T&amp;D)'!N$101</f>
        <v>0.16773046223694205</v>
      </c>
      <c r="BD3154" s="147">
        <f>$AQ3005*'Assumptions (T&amp;D)'!O$101</f>
        <v>0.1676928713668755</v>
      </c>
      <c r="BE3154" s="147">
        <f>$AQ3005*'Assumptions (T&amp;D)'!P$101</f>
        <v>0.16773046223694205</v>
      </c>
      <c r="BF3154" s="147">
        <f>$AQ3005*'Assumptions (T&amp;D)'!Q$101</f>
        <v>0.1676928713668755</v>
      </c>
      <c r="BG3154" s="147">
        <f>$AQ3005*'Assumptions (T&amp;D)'!R$101</f>
        <v>0.16773046223694205</v>
      </c>
      <c r="BH3154" s="147">
        <f>$AQ3005*'Assumptions (T&amp;D)'!S$101</f>
        <v>0.1676928713668755</v>
      </c>
      <c r="BI3154" s="147">
        <f>$AQ3005*'Assumptions (T&amp;D)'!T$101</f>
        <v>0.16773046223694205</v>
      </c>
      <c r="BJ3154" s="147">
        <f>$AQ3005*'Assumptions (T&amp;D)'!U$101</f>
        <v>0.1676928713668755</v>
      </c>
      <c r="BK3154" s="147">
        <f>$AQ3005*'Assumptions (T&amp;D)'!V$101</f>
        <v>8.3865231118471023E-2</v>
      </c>
    </row>
    <row r="3155" spans="1:73" ht="15.75" hidden="1" customHeight="1" outlineLevel="1">
      <c r="A3155" s="465"/>
      <c r="B3155" s="42"/>
      <c r="C3155" s="42"/>
      <c r="D3155" s="42"/>
      <c r="E3155" s="42"/>
      <c r="F3155" s="42"/>
      <c r="G3155" s="42"/>
      <c r="H3155" s="42"/>
      <c r="I3155" s="42"/>
      <c r="J3155" s="42"/>
      <c r="K3155" s="42"/>
      <c r="L3155" s="42"/>
      <c r="M3155" s="42"/>
      <c r="N3155" s="42"/>
      <c r="O3155" s="42"/>
      <c r="P3155" s="42"/>
      <c r="Q3155" s="42"/>
      <c r="R3155" s="42"/>
      <c r="S3155" s="42"/>
      <c r="T3155" s="42"/>
      <c r="U3155" s="42"/>
      <c r="V3155" s="42"/>
      <c r="W3155" s="86"/>
      <c r="AR3155" s="147">
        <f>$AR3005*'Assumptions (T&amp;D)'!B$101</f>
        <v>0.14096576274955908</v>
      </c>
      <c r="AS3155" s="147">
        <f>$AR3005*'Assumptions (T&amp;D)'!C$101</f>
        <v>0.27136849101041793</v>
      </c>
      <c r="AT3155" s="147">
        <f>$AR3005*'Assumptions (T&amp;D)'!D$101</f>
        <v>0.25099423943434829</v>
      </c>
      <c r="AU3155" s="147">
        <f>$AR3005*'Assumptions (T&amp;D)'!E$101</f>
        <v>0.23219880440107374</v>
      </c>
      <c r="AV3155" s="147">
        <f>$AR3005*'Assumptions (T&amp;D)'!F$101</f>
        <v>0.21475664069019496</v>
      </c>
      <c r="AW3155" s="147">
        <f>$AR3005*'Assumptions (T&amp;D)'!G$101</f>
        <v>0.19866774830171194</v>
      </c>
      <c r="AX3155" s="147">
        <f>$AR3005*'Assumptions (T&amp;D)'!H$101</f>
        <v>0.18374417288529196</v>
      </c>
      <c r="AY3155" s="147">
        <f>$AR3005*'Assumptions (T&amp;D)'!I$101</f>
        <v>0.169985914440935</v>
      </c>
      <c r="AZ3155" s="147">
        <f>$AR3005*'Assumptions (T&amp;D)'!J$101</f>
        <v>0.16773046223694205</v>
      </c>
      <c r="BA3155" s="147">
        <f>$AR3005*'Assumptions (T&amp;D)'!K$101</f>
        <v>0.1676928713668755</v>
      </c>
      <c r="BB3155" s="147">
        <f>$AR3005*'Assumptions (T&amp;D)'!L$101</f>
        <v>0.16773046223694205</v>
      </c>
      <c r="BC3155" s="147">
        <f>$AR3005*'Assumptions (T&amp;D)'!M$101</f>
        <v>0.1676928713668755</v>
      </c>
      <c r="BD3155" s="147">
        <f>$AR3005*'Assumptions (T&amp;D)'!N$101</f>
        <v>0.16773046223694205</v>
      </c>
      <c r="BE3155" s="147">
        <f>$AR3005*'Assumptions (T&amp;D)'!O$101</f>
        <v>0.1676928713668755</v>
      </c>
      <c r="BF3155" s="147">
        <f>$AR3005*'Assumptions (T&amp;D)'!P$101</f>
        <v>0.16773046223694205</v>
      </c>
      <c r="BG3155" s="147">
        <f>$AR3005*'Assumptions (T&amp;D)'!Q$101</f>
        <v>0.1676928713668755</v>
      </c>
      <c r="BH3155" s="147">
        <f>$AR3005*'Assumptions (T&amp;D)'!R$101</f>
        <v>0.16773046223694205</v>
      </c>
      <c r="BI3155" s="147">
        <f>$AR3005*'Assumptions (T&amp;D)'!S$101</f>
        <v>0.1676928713668755</v>
      </c>
      <c r="BJ3155" s="147">
        <f>$AR3005*'Assumptions (T&amp;D)'!T$101</f>
        <v>0.16773046223694205</v>
      </c>
      <c r="BK3155" s="147">
        <f>$AR3005*'Assumptions (T&amp;D)'!U$101</f>
        <v>0.1676928713668755</v>
      </c>
      <c r="BL3155" s="147">
        <f>$AR3005*'Assumptions (T&amp;D)'!V$101</f>
        <v>8.3865231118471023E-2</v>
      </c>
    </row>
    <row r="3156" spans="1:73" ht="15.75" hidden="1" customHeight="1" outlineLevel="1">
      <c r="A3156" s="465"/>
      <c r="B3156" s="42"/>
      <c r="C3156" s="42"/>
      <c r="D3156" s="42"/>
      <c r="E3156" s="42"/>
      <c r="F3156" s="42"/>
      <c r="G3156" s="42"/>
      <c r="H3156" s="42"/>
      <c r="I3156" s="42"/>
      <c r="J3156" s="42"/>
      <c r="K3156" s="42"/>
      <c r="L3156" s="42"/>
      <c r="M3156" s="42"/>
      <c r="N3156" s="42"/>
      <c r="O3156" s="42"/>
      <c r="P3156" s="42"/>
      <c r="Q3156" s="42"/>
      <c r="R3156" s="42"/>
      <c r="S3156" s="42"/>
      <c r="T3156" s="42"/>
      <c r="U3156" s="42"/>
      <c r="V3156" s="42"/>
      <c r="W3156" s="86"/>
      <c r="AS3156" s="147">
        <f>$AS3005*'Assumptions (T&amp;D)'!B$101</f>
        <v>0.14096576274955908</v>
      </c>
      <c r="AT3156" s="147">
        <f>$AS3005*'Assumptions (T&amp;D)'!C$101</f>
        <v>0.27136849101041793</v>
      </c>
      <c r="AU3156" s="147">
        <f>$AS3005*'Assumptions (T&amp;D)'!D$101</f>
        <v>0.25099423943434829</v>
      </c>
      <c r="AV3156" s="147">
        <f>$AS3005*'Assumptions (T&amp;D)'!E$101</f>
        <v>0.23219880440107374</v>
      </c>
      <c r="AW3156" s="147">
        <f>$AS3005*'Assumptions (T&amp;D)'!F$101</f>
        <v>0.21475664069019496</v>
      </c>
      <c r="AX3156" s="147">
        <f>$AS3005*'Assumptions (T&amp;D)'!G$101</f>
        <v>0.19866774830171194</v>
      </c>
      <c r="AY3156" s="147">
        <f>$AS3005*'Assumptions (T&amp;D)'!H$101</f>
        <v>0.18374417288529196</v>
      </c>
      <c r="AZ3156" s="147">
        <f>$AS3005*'Assumptions (T&amp;D)'!I$101</f>
        <v>0.169985914440935</v>
      </c>
      <c r="BA3156" s="147">
        <f>$AS3005*'Assumptions (T&amp;D)'!J$101</f>
        <v>0.16773046223694205</v>
      </c>
      <c r="BB3156" s="147">
        <f>$AS3005*'Assumptions (T&amp;D)'!K$101</f>
        <v>0.1676928713668755</v>
      </c>
      <c r="BC3156" s="147">
        <f>$AS3005*'Assumptions (T&amp;D)'!L$101</f>
        <v>0.16773046223694205</v>
      </c>
      <c r="BD3156" s="147">
        <f>$AS3005*'Assumptions (T&amp;D)'!M$101</f>
        <v>0.1676928713668755</v>
      </c>
      <c r="BE3156" s="147">
        <f>$AS3005*'Assumptions (T&amp;D)'!N$101</f>
        <v>0.16773046223694205</v>
      </c>
      <c r="BF3156" s="147">
        <f>$AS3005*'Assumptions (T&amp;D)'!O$101</f>
        <v>0.1676928713668755</v>
      </c>
      <c r="BG3156" s="147">
        <f>$AS3005*'Assumptions (T&amp;D)'!P$101</f>
        <v>0.16773046223694205</v>
      </c>
      <c r="BH3156" s="147">
        <f>$AS3005*'Assumptions (T&amp;D)'!Q$101</f>
        <v>0.1676928713668755</v>
      </c>
      <c r="BI3156" s="147">
        <f>$AS3005*'Assumptions (T&amp;D)'!R$101</f>
        <v>0.16773046223694205</v>
      </c>
      <c r="BJ3156" s="147">
        <f>$AS3005*'Assumptions (T&amp;D)'!S$101</f>
        <v>0.1676928713668755</v>
      </c>
      <c r="BK3156" s="147">
        <f>$AS3005*'Assumptions (T&amp;D)'!T$101</f>
        <v>0.16773046223694205</v>
      </c>
      <c r="BL3156" s="147">
        <f>$AS3005*'Assumptions (T&amp;D)'!U$101</f>
        <v>0.1676928713668755</v>
      </c>
      <c r="BM3156" s="147">
        <f>$AS3005*'Assumptions (T&amp;D)'!V$101</f>
        <v>8.3865231118471023E-2</v>
      </c>
    </row>
    <row r="3157" spans="1:73" ht="15.75" hidden="1" customHeight="1" outlineLevel="1">
      <c r="A3157" s="465"/>
      <c r="B3157" s="42"/>
      <c r="C3157" s="42"/>
      <c r="D3157" s="42"/>
      <c r="E3157" s="42"/>
      <c r="F3157" s="42"/>
      <c r="G3157" s="42"/>
      <c r="H3157" s="42"/>
      <c r="I3157" s="42"/>
      <c r="J3157" s="42"/>
      <c r="K3157" s="42"/>
      <c r="L3157" s="42"/>
      <c r="M3157" s="42"/>
      <c r="N3157" s="42"/>
      <c r="O3157" s="42"/>
      <c r="P3157" s="42"/>
      <c r="Q3157" s="42"/>
      <c r="R3157" s="42"/>
      <c r="S3157" s="42"/>
      <c r="T3157" s="42"/>
      <c r="U3157" s="42"/>
      <c r="V3157" s="42"/>
      <c r="W3157" s="86"/>
      <c r="AT3157" s="147">
        <f>$AT3005*'Assumptions (T&amp;D)'!B$101</f>
        <v>0.14096576274955908</v>
      </c>
      <c r="AU3157" s="147">
        <f>$AT3005*'Assumptions (T&amp;D)'!C$101</f>
        <v>0.27136849101041793</v>
      </c>
      <c r="AV3157" s="147">
        <f>$AT3005*'Assumptions (T&amp;D)'!D$101</f>
        <v>0.25099423943434829</v>
      </c>
      <c r="AW3157" s="147">
        <f>$AT3005*'Assumptions (T&amp;D)'!E$101</f>
        <v>0.23219880440107374</v>
      </c>
      <c r="AX3157" s="147">
        <f>$AT3005*'Assumptions (T&amp;D)'!F$101</f>
        <v>0.21475664069019496</v>
      </c>
      <c r="AY3157" s="147">
        <f>$AT3005*'Assumptions (T&amp;D)'!G$101</f>
        <v>0.19866774830171194</v>
      </c>
      <c r="AZ3157" s="147">
        <f>$AT3005*'Assumptions (T&amp;D)'!H$101</f>
        <v>0.18374417288529196</v>
      </c>
      <c r="BA3157" s="147">
        <f>$AT3005*'Assumptions (T&amp;D)'!I$101</f>
        <v>0.169985914440935</v>
      </c>
      <c r="BB3157" s="147">
        <f>$AT3005*'Assumptions (T&amp;D)'!J$101</f>
        <v>0.16773046223694205</v>
      </c>
      <c r="BC3157" s="147">
        <f>$AT3005*'Assumptions (T&amp;D)'!K$101</f>
        <v>0.1676928713668755</v>
      </c>
      <c r="BD3157" s="147">
        <f>$AT3005*'Assumptions (T&amp;D)'!L$101</f>
        <v>0.16773046223694205</v>
      </c>
      <c r="BE3157" s="147">
        <f>$AT3005*'Assumptions (T&amp;D)'!M$101</f>
        <v>0.1676928713668755</v>
      </c>
      <c r="BF3157" s="147">
        <f>$AT3005*'Assumptions (T&amp;D)'!N$101</f>
        <v>0.16773046223694205</v>
      </c>
      <c r="BG3157" s="147">
        <f>$AT3005*'Assumptions (T&amp;D)'!O$101</f>
        <v>0.1676928713668755</v>
      </c>
      <c r="BH3157" s="147">
        <f>$AT3005*'Assumptions (T&amp;D)'!P$101</f>
        <v>0.16773046223694205</v>
      </c>
      <c r="BI3157" s="147">
        <f>$AT3005*'Assumptions (T&amp;D)'!Q$101</f>
        <v>0.1676928713668755</v>
      </c>
      <c r="BJ3157" s="147">
        <f>$AT3005*'Assumptions (T&amp;D)'!R$101</f>
        <v>0.16773046223694205</v>
      </c>
      <c r="BK3157" s="147">
        <f>$AT3005*'Assumptions (T&amp;D)'!S$101</f>
        <v>0.1676928713668755</v>
      </c>
      <c r="BL3157" s="147">
        <f>$AT3005*'Assumptions (T&amp;D)'!T$101</f>
        <v>0.16773046223694205</v>
      </c>
      <c r="BM3157" s="147">
        <f>$AT3005*'Assumptions (T&amp;D)'!U$101</f>
        <v>0.1676928713668755</v>
      </c>
      <c r="BN3157" s="147">
        <f>$AT3005*'Assumptions (T&amp;D)'!V$101</f>
        <v>8.3865231118471023E-2</v>
      </c>
    </row>
    <row r="3158" spans="1:73" ht="15.75" hidden="1" customHeight="1" outlineLevel="1">
      <c r="A3158" s="465"/>
      <c r="B3158" s="42"/>
      <c r="C3158" s="42"/>
      <c r="D3158" s="42"/>
      <c r="E3158" s="42"/>
      <c r="F3158" s="42"/>
      <c r="G3158" s="42"/>
      <c r="H3158" s="42"/>
      <c r="I3158" s="42"/>
      <c r="J3158" s="42"/>
      <c r="K3158" s="42"/>
      <c r="L3158" s="42"/>
      <c r="M3158" s="42"/>
      <c r="N3158" s="42"/>
      <c r="O3158" s="42"/>
      <c r="P3158" s="42"/>
      <c r="Q3158" s="42"/>
      <c r="R3158" s="42"/>
      <c r="S3158" s="42"/>
      <c r="T3158" s="42"/>
      <c r="U3158" s="42"/>
      <c r="V3158" s="42"/>
      <c r="W3158" s="86"/>
      <c r="AU3158" s="147">
        <f>$AU3005*'Assumptions (T&amp;D)'!B$101</f>
        <v>0.14096576274955908</v>
      </c>
      <c r="AV3158" s="147">
        <f>$AU3005*'Assumptions (T&amp;D)'!C$101</f>
        <v>0.27136849101041793</v>
      </c>
      <c r="AW3158" s="147">
        <f>$AU3005*'Assumptions (T&amp;D)'!D$101</f>
        <v>0.25099423943434829</v>
      </c>
      <c r="AX3158" s="147">
        <f>$AU3005*'Assumptions (T&amp;D)'!E$101</f>
        <v>0.23219880440107374</v>
      </c>
      <c r="AY3158" s="147">
        <f>$AU3005*'Assumptions (T&amp;D)'!F$101</f>
        <v>0.21475664069019496</v>
      </c>
      <c r="AZ3158" s="147">
        <f>$AU3005*'Assumptions (T&amp;D)'!G$101</f>
        <v>0.19866774830171194</v>
      </c>
      <c r="BA3158" s="147">
        <f>$AU3005*'Assumptions (T&amp;D)'!H$101</f>
        <v>0.18374417288529196</v>
      </c>
      <c r="BB3158" s="147">
        <f>$AU3005*'Assumptions (T&amp;D)'!I$101</f>
        <v>0.169985914440935</v>
      </c>
      <c r="BC3158" s="147">
        <f>$AU3005*'Assumptions (T&amp;D)'!J$101</f>
        <v>0.16773046223694205</v>
      </c>
      <c r="BD3158" s="147">
        <f>$AU3005*'Assumptions (T&amp;D)'!K$101</f>
        <v>0.1676928713668755</v>
      </c>
      <c r="BE3158" s="147">
        <f>$AU3005*'Assumptions (T&amp;D)'!L$101</f>
        <v>0.16773046223694205</v>
      </c>
      <c r="BF3158" s="147">
        <f>$AU3005*'Assumptions (T&amp;D)'!M$101</f>
        <v>0.1676928713668755</v>
      </c>
      <c r="BG3158" s="147">
        <f>$AU3005*'Assumptions (T&amp;D)'!N$101</f>
        <v>0.16773046223694205</v>
      </c>
      <c r="BH3158" s="147">
        <f>$AU3005*'Assumptions (T&amp;D)'!O$101</f>
        <v>0.1676928713668755</v>
      </c>
      <c r="BI3158" s="147">
        <f>$AU3005*'Assumptions (T&amp;D)'!P$101</f>
        <v>0.16773046223694205</v>
      </c>
      <c r="BJ3158" s="147">
        <f>$AU3005*'Assumptions (T&amp;D)'!Q$101</f>
        <v>0.1676928713668755</v>
      </c>
      <c r="BK3158" s="147">
        <f>$AU3005*'Assumptions (T&amp;D)'!R$101</f>
        <v>0.16773046223694205</v>
      </c>
      <c r="BL3158" s="147">
        <f>$AU3005*'Assumptions (T&amp;D)'!S$101</f>
        <v>0.1676928713668755</v>
      </c>
      <c r="BM3158" s="147">
        <f>$AU3005*'Assumptions (T&amp;D)'!T$101</f>
        <v>0.16773046223694205</v>
      </c>
      <c r="BN3158" s="147">
        <f>$AU3005*'Assumptions (T&amp;D)'!U$101</f>
        <v>0.1676928713668755</v>
      </c>
      <c r="BO3158" s="147">
        <f>$AU3005*'Assumptions (T&amp;D)'!V$101</f>
        <v>8.3865231118471023E-2</v>
      </c>
    </row>
    <row r="3159" spans="1:73" ht="15.75" hidden="1" customHeight="1" outlineLevel="1">
      <c r="A3159" s="465"/>
      <c r="B3159" s="42"/>
      <c r="C3159" s="42"/>
      <c r="D3159" s="42"/>
      <c r="E3159" s="42"/>
      <c r="F3159" s="42"/>
      <c r="G3159" s="42"/>
      <c r="H3159" s="42"/>
      <c r="I3159" s="42"/>
      <c r="J3159" s="42"/>
      <c r="K3159" s="42"/>
      <c r="L3159" s="42"/>
      <c r="M3159" s="42"/>
      <c r="N3159" s="42"/>
      <c r="O3159" s="42"/>
      <c r="P3159" s="42"/>
      <c r="Q3159" s="42"/>
      <c r="R3159" s="42"/>
      <c r="S3159" s="42"/>
      <c r="T3159" s="42"/>
      <c r="U3159" s="42"/>
      <c r="V3159" s="42"/>
      <c r="W3159" s="86"/>
      <c r="AV3159" s="147">
        <f>$AV3005*'Assumptions (T&amp;D)'!B$101</f>
        <v>0.14096576274955908</v>
      </c>
      <c r="AW3159" s="147">
        <f>$AV3005*'Assumptions (T&amp;D)'!C$101</f>
        <v>0.27136849101041793</v>
      </c>
      <c r="AX3159" s="147">
        <f>$AV3005*'Assumptions (T&amp;D)'!D$101</f>
        <v>0.25099423943434829</v>
      </c>
      <c r="AY3159" s="147">
        <f>$AV3005*'Assumptions (T&amp;D)'!E$101</f>
        <v>0.23219880440107374</v>
      </c>
      <c r="AZ3159" s="147">
        <f>$AV3005*'Assumptions (T&amp;D)'!F$101</f>
        <v>0.21475664069019496</v>
      </c>
      <c r="BA3159" s="147">
        <f>$AV3005*'Assumptions (T&amp;D)'!G$101</f>
        <v>0.19866774830171194</v>
      </c>
      <c r="BB3159" s="147">
        <f>$AV3005*'Assumptions (T&amp;D)'!H$101</f>
        <v>0.18374417288529196</v>
      </c>
      <c r="BC3159" s="147">
        <f>$AV3005*'Assumptions (T&amp;D)'!I$101</f>
        <v>0.169985914440935</v>
      </c>
      <c r="BD3159" s="147">
        <f>$AV3005*'Assumptions (T&amp;D)'!J$101</f>
        <v>0.16773046223694205</v>
      </c>
      <c r="BE3159" s="147">
        <f>$AV3005*'Assumptions (T&amp;D)'!K$101</f>
        <v>0.1676928713668755</v>
      </c>
      <c r="BF3159" s="147">
        <f>$AV3005*'Assumptions (T&amp;D)'!L$101</f>
        <v>0.16773046223694205</v>
      </c>
      <c r="BG3159" s="147">
        <f>$AV3005*'Assumptions (T&amp;D)'!M$101</f>
        <v>0.1676928713668755</v>
      </c>
      <c r="BH3159" s="147">
        <f>$AV3005*'Assumptions (T&amp;D)'!N$101</f>
        <v>0.16773046223694205</v>
      </c>
      <c r="BI3159" s="147">
        <f>$AV3005*'Assumptions (T&amp;D)'!O$101</f>
        <v>0.1676928713668755</v>
      </c>
      <c r="BJ3159" s="147">
        <f>$AV3005*'Assumptions (T&amp;D)'!P$101</f>
        <v>0.16773046223694205</v>
      </c>
      <c r="BK3159" s="147">
        <f>$AV3005*'Assumptions (T&amp;D)'!Q$101</f>
        <v>0.1676928713668755</v>
      </c>
      <c r="BL3159" s="147">
        <f>$AV3005*'Assumptions (T&amp;D)'!R$101</f>
        <v>0.16773046223694205</v>
      </c>
      <c r="BM3159" s="147">
        <f>$AV3005*'Assumptions (T&amp;D)'!S$101</f>
        <v>0.1676928713668755</v>
      </c>
      <c r="BN3159" s="147">
        <f>$AV3005*'Assumptions (T&amp;D)'!T$101</f>
        <v>0.16773046223694205</v>
      </c>
      <c r="BO3159" s="147">
        <f>$AV3005*'Assumptions (T&amp;D)'!U$101</f>
        <v>0.1676928713668755</v>
      </c>
      <c r="BP3159" s="147">
        <f>$AV3005*'Assumptions (T&amp;D)'!V$101</f>
        <v>8.3865231118471023E-2</v>
      </c>
    </row>
    <row r="3160" spans="1:73" ht="15.75" hidden="1" customHeight="1" outlineLevel="1">
      <c r="A3160" s="465"/>
      <c r="B3160" s="42"/>
      <c r="C3160" s="42"/>
      <c r="D3160" s="42"/>
      <c r="E3160" s="42"/>
      <c r="F3160" s="42"/>
      <c r="G3160" s="42"/>
      <c r="H3160" s="42"/>
      <c r="I3160" s="42"/>
      <c r="J3160" s="42"/>
      <c r="K3160" s="42"/>
      <c r="L3160" s="42"/>
      <c r="M3160" s="42"/>
      <c r="N3160" s="42"/>
      <c r="O3160" s="42"/>
      <c r="P3160" s="42"/>
      <c r="Q3160" s="42"/>
      <c r="R3160" s="42"/>
      <c r="S3160" s="42"/>
      <c r="T3160" s="42"/>
      <c r="U3160" s="42"/>
      <c r="V3160" s="42"/>
      <c r="W3160" s="86"/>
      <c r="AW3160" s="147">
        <f>$AW3005*'Assumptions (T&amp;D)'!B$101</f>
        <v>0.14096576274955908</v>
      </c>
      <c r="AX3160" s="147">
        <f>$AW3005*'Assumptions (T&amp;D)'!C$101</f>
        <v>0.27136849101041793</v>
      </c>
      <c r="AY3160" s="147">
        <f>$AW3005*'Assumptions (T&amp;D)'!D$101</f>
        <v>0.25099423943434829</v>
      </c>
      <c r="AZ3160" s="147">
        <f>$AW3005*'Assumptions (T&amp;D)'!E$101</f>
        <v>0.23219880440107374</v>
      </c>
      <c r="BA3160" s="147">
        <f>$AW3005*'Assumptions (T&amp;D)'!F$101</f>
        <v>0.21475664069019496</v>
      </c>
      <c r="BB3160" s="147">
        <f>$AW3005*'Assumptions (T&amp;D)'!G$101</f>
        <v>0.19866774830171194</v>
      </c>
      <c r="BC3160" s="147">
        <f>$AW3005*'Assumptions (T&amp;D)'!H$101</f>
        <v>0.18374417288529196</v>
      </c>
      <c r="BD3160" s="147">
        <f>$AW3005*'Assumptions (T&amp;D)'!I$101</f>
        <v>0.169985914440935</v>
      </c>
      <c r="BE3160" s="147">
        <f>$AW3005*'Assumptions (T&amp;D)'!J$101</f>
        <v>0.16773046223694205</v>
      </c>
      <c r="BF3160" s="147">
        <f>$AW3005*'Assumptions (T&amp;D)'!K$101</f>
        <v>0.1676928713668755</v>
      </c>
      <c r="BG3160" s="147">
        <f>$AW3005*'Assumptions (T&amp;D)'!L$101</f>
        <v>0.16773046223694205</v>
      </c>
      <c r="BH3160" s="147">
        <f>$AW3005*'Assumptions (T&amp;D)'!M$101</f>
        <v>0.1676928713668755</v>
      </c>
      <c r="BI3160" s="147">
        <f>$AW3005*'Assumptions (T&amp;D)'!N$101</f>
        <v>0.16773046223694205</v>
      </c>
      <c r="BJ3160" s="147">
        <f>$AW3005*'Assumptions (T&amp;D)'!O$101</f>
        <v>0.1676928713668755</v>
      </c>
      <c r="BK3160" s="147">
        <f>$AW3005*'Assumptions (T&amp;D)'!P$101</f>
        <v>0.16773046223694205</v>
      </c>
      <c r="BL3160" s="147">
        <f>$AW3005*'Assumptions (T&amp;D)'!Q$101</f>
        <v>0.1676928713668755</v>
      </c>
      <c r="BM3160" s="147">
        <f>$AW3005*'Assumptions (T&amp;D)'!R$101</f>
        <v>0.16773046223694205</v>
      </c>
      <c r="BN3160" s="147">
        <f>$AW3005*'Assumptions (T&amp;D)'!S$101</f>
        <v>0.1676928713668755</v>
      </c>
      <c r="BO3160" s="147">
        <f>$AW3005*'Assumptions (T&amp;D)'!T$101</f>
        <v>0.16773046223694205</v>
      </c>
      <c r="BP3160" s="147">
        <f>$AW3005*'Assumptions (T&amp;D)'!U$101</f>
        <v>0.1676928713668755</v>
      </c>
      <c r="BQ3160" s="147">
        <f>$AW3005*'Assumptions (T&amp;D)'!V$101</f>
        <v>8.3865231118471023E-2</v>
      </c>
    </row>
    <row r="3161" spans="1:73" ht="15.75" hidden="1" customHeight="1" outlineLevel="1">
      <c r="A3161" s="465"/>
      <c r="B3161" s="42"/>
      <c r="C3161" s="42"/>
      <c r="D3161" s="42"/>
      <c r="E3161" s="42"/>
      <c r="F3161" s="42"/>
      <c r="G3161" s="42"/>
      <c r="H3161" s="42"/>
      <c r="I3161" s="42"/>
      <c r="J3161" s="42"/>
      <c r="K3161" s="42"/>
      <c r="L3161" s="42"/>
      <c r="M3161" s="42"/>
      <c r="N3161" s="42"/>
      <c r="O3161" s="42"/>
      <c r="P3161" s="42"/>
      <c r="Q3161" s="42"/>
      <c r="R3161" s="42"/>
      <c r="S3161" s="42"/>
      <c r="T3161" s="42"/>
      <c r="U3161" s="42"/>
      <c r="V3161" s="42"/>
      <c r="W3161" s="86"/>
      <c r="AX3161" s="147">
        <f>$AX3005*'Assumptions (T&amp;D)'!B$101</f>
        <v>0.14096576274955908</v>
      </c>
      <c r="AY3161" s="147">
        <f>$AX3005*'Assumptions (T&amp;D)'!C$101</f>
        <v>0.27136849101041793</v>
      </c>
      <c r="AZ3161" s="147">
        <f>$AX3005*'Assumptions (T&amp;D)'!D$101</f>
        <v>0.25099423943434829</v>
      </c>
      <c r="BA3161" s="147">
        <f>$AX3005*'Assumptions (T&amp;D)'!E$101</f>
        <v>0.23219880440107374</v>
      </c>
      <c r="BB3161" s="147">
        <f>$AX3005*'Assumptions (T&amp;D)'!F$101</f>
        <v>0.21475664069019496</v>
      </c>
      <c r="BC3161" s="147">
        <f>$AX3005*'Assumptions (T&amp;D)'!G$101</f>
        <v>0.19866774830171194</v>
      </c>
      <c r="BD3161" s="147">
        <f>$AX3005*'Assumptions (T&amp;D)'!H$101</f>
        <v>0.18374417288529196</v>
      </c>
      <c r="BE3161" s="147">
        <f>$AX3005*'Assumptions (T&amp;D)'!I$101</f>
        <v>0.169985914440935</v>
      </c>
      <c r="BF3161" s="147">
        <f>$AX3005*'Assumptions (T&amp;D)'!J$101</f>
        <v>0.16773046223694205</v>
      </c>
      <c r="BG3161" s="147">
        <f>$AX3005*'Assumptions (T&amp;D)'!K$101</f>
        <v>0.1676928713668755</v>
      </c>
      <c r="BH3161" s="147">
        <f>$AX3005*'Assumptions (T&amp;D)'!L$101</f>
        <v>0.16773046223694205</v>
      </c>
      <c r="BI3161" s="147">
        <f>$AX3005*'Assumptions (T&amp;D)'!M$101</f>
        <v>0.1676928713668755</v>
      </c>
      <c r="BJ3161" s="147">
        <f>$AX3005*'Assumptions (T&amp;D)'!N$101</f>
        <v>0.16773046223694205</v>
      </c>
      <c r="BK3161" s="147">
        <f>$AX3005*'Assumptions (T&amp;D)'!O$101</f>
        <v>0.1676928713668755</v>
      </c>
      <c r="BL3161" s="147">
        <f>$AX3005*'Assumptions (T&amp;D)'!P$101</f>
        <v>0.16773046223694205</v>
      </c>
      <c r="BM3161" s="147">
        <f>$AX3005*'Assumptions (T&amp;D)'!Q$101</f>
        <v>0.1676928713668755</v>
      </c>
      <c r="BN3161" s="147">
        <f>$AX3005*'Assumptions (T&amp;D)'!R$101</f>
        <v>0.16773046223694205</v>
      </c>
      <c r="BO3161" s="147">
        <f>$AX3005*'Assumptions (T&amp;D)'!S$101</f>
        <v>0.1676928713668755</v>
      </c>
      <c r="BP3161" s="147">
        <f>$AX3005*'Assumptions (T&amp;D)'!T$101</f>
        <v>0.16773046223694205</v>
      </c>
      <c r="BQ3161" s="147">
        <f>$AX3005*'Assumptions (T&amp;D)'!U$101</f>
        <v>0.1676928713668755</v>
      </c>
      <c r="BR3161" s="147">
        <f>$AX3005*'Assumptions (T&amp;D)'!V$101</f>
        <v>8.3865231118471023E-2</v>
      </c>
    </row>
    <row r="3162" spans="1:73" ht="15.75" hidden="1" customHeight="1" outlineLevel="1">
      <c r="A3162" s="465"/>
      <c r="B3162" s="42"/>
      <c r="C3162" s="42"/>
      <c r="D3162" s="42"/>
      <c r="E3162" s="42"/>
      <c r="F3162" s="42"/>
      <c r="G3162" s="42"/>
      <c r="H3162" s="42"/>
      <c r="I3162" s="42"/>
      <c r="J3162" s="42"/>
      <c r="K3162" s="42"/>
      <c r="L3162" s="42"/>
      <c r="M3162" s="42"/>
      <c r="N3162" s="42"/>
      <c r="O3162" s="42"/>
      <c r="P3162" s="42"/>
      <c r="Q3162" s="42"/>
      <c r="R3162" s="42"/>
      <c r="S3162" s="42"/>
      <c r="T3162" s="42"/>
      <c r="U3162" s="42"/>
      <c r="V3162" s="42"/>
      <c r="W3162" s="86"/>
      <c r="AY3162" s="147">
        <f>$AY3005*'Assumptions (T&amp;D)'!B$101</f>
        <v>0.14096576274955908</v>
      </c>
      <c r="AZ3162" s="147">
        <f>$AY3005*'Assumptions (T&amp;D)'!C$101</f>
        <v>0.27136849101041793</v>
      </c>
      <c r="BA3162" s="147">
        <f>$AY3005*'Assumptions (T&amp;D)'!D$101</f>
        <v>0.25099423943434829</v>
      </c>
      <c r="BB3162" s="147">
        <f>$AY3005*'Assumptions (T&amp;D)'!E$101</f>
        <v>0.23219880440107374</v>
      </c>
      <c r="BC3162" s="147">
        <f>$AY3005*'Assumptions (T&amp;D)'!F$101</f>
        <v>0.21475664069019496</v>
      </c>
      <c r="BD3162" s="147">
        <f>$AY3005*'Assumptions (T&amp;D)'!G$101</f>
        <v>0.19866774830171194</v>
      </c>
      <c r="BE3162" s="147">
        <f>$AY3005*'Assumptions (T&amp;D)'!H$101</f>
        <v>0.18374417288529196</v>
      </c>
      <c r="BF3162" s="147">
        <f>$AY3005*'Assumptions (T&amp;D)'!I$101</f>
        <v>0.169985914440935</v>
      </c>
      <c r="BG3162" s="147">
        <f>$AY3005*'Assumptions (T&amp;D)'!J$101</f>
        <v>0.16773046223694205</v>
      </c>
      <c r="BH3162" s="147">
        <f>$AY3005*'Assumptions (T&amp;D)'!K$101</f>
        <v>0.1676928713668755</v>
      </c>
      <c r="BI3162" s="147">
        <f>$AY3005*'Assumptions (T&amp;D)'!L$101</f>
        <v>0.16773046223694205</v>
      </c>
      <c r="BJ3162" s="147">
        <f>$AY3005*'Assumptions (T&amp;D)'!M$101</f>
        <v>0.1676928713668755</v>
      </c>
      <c r="BK3162" s="147">
        <f>$AY3005*'Assumptions (T&amp;D)'!N$101</f>
        <v>0.16773046223694205</v>
      </c>
      <c r="BL3162" s="147">
        <f>$AY3005*'Assumptions (T&amp;D)'!O$101</f>
        <v>0.1676928713668755</v>
      </c>
      <c r="BM3162" s="147">
        <f>$AY3005*'Assumptions (T&amp;D)'!P$101</f>
        <v>0.16773046223694205</v>
      </c>
      <c r="BN3162" s="147">
        <f>$AY3005*'Assumptions (T&amp;D)'!Q$101</f>
        <v>0.1676928713668755</v>
      </c>
      <c r="BO3162" s="147">
        <f>$AY3005*'Assumptions (T&amp;D)'!R$101</f>
        <v>0.16773046223694205</v>
      </c>
      <c r="BP3162" s="147">
        <f>$AY3005*'Assumptions (T&amp;D)'!S$101</f>
        <v>0.1676928713668755</v>
      </c>
      <c r="BQ3162" s="147">
        <f>$AY3005*'Assumptions (T&amp;D)'!T$101</f>
        <v>0.16773046223694205</v>
      </c>
      <c r="BR3162" s="147">
        <f>$AY3005*'Assumptions (T&amp;D)'!U$101</f>
        <v>0.1676928713668755</v>
      </c>
      <c r="BS3162" s="147">
        <f>$AY3005*'Assumptions (T&amp;D)'!V$101</f>
        <v>8.3865231118471023E-2</v>
      </c>
    </row>
    <row r="3163" spans="1:73" ht="15.75" hidden="1" customHeight="1" outlineLevel="1">
      <c r="A3163" s="465"/>
      <c r="B3163" s="42"/>
      <c r="C3163" s="42"/>
      <c r="D3163" s="42"/>
      <c r="E3163" s="42"/>
      <c r="F3163" s="42"/>
      <c r="G3163" s="42"/>
      <c r="H3163" s="42"/>
      <c r="I3163" s="42"/>
      <c r="J3163" s="42"/>
      <c r="K3163" s="42"/>
      <c r="L3163" s="42"/>
      <c r="M3163" s="42"/>
      <c r="N3163" s="42"/>
      <c r="O3163" s="42"/>
      <c r="P3163" s="42"/>
      <c r="Q3163" s="42"/>
      <c r="R3163" s="42"/>
      <c r="S3163" s="42"/>
      <c r="T3163" s="42"/>
      <c r="U3163" s="42"/>
      <c r="V3163" s="42"/>
      <c r="W3163" s="86"/>
      <c r="AZ3163" s="147">
        <f>$AZ3005*'Assumptions (T&amp;D)'!B$101</f>
        <v>0.14096576274955908</v>
      </c>
      <c r="BA3163" s="147">
        <f>$AZ3005*'Assumptions (T&amp;D)'!C$101</f>
        <v>0.27136849101041793</v>
      </c>
      <c r="BB3163" s="147">
        <f>$AZ3005*'Assumptions (T&amp;D)'!D$101</f>
        <v>0.25099423943434829</v>
      </c>
      <c r="BC3163" s="147">
        <f>$AZ3005*'Assumptions (T&amp;D)'!E$101</f>
        <v>0.23219880440107374</v>
      </c>
      <c r="BD3163" s="147">
        <f>$AZ3005*'Assumptions (T&amp;D)'!F$101</f>
        <v>0.21475664069019496</v>
      </c>
      <c r="BE3163" s="147">
        <f>$AZ3005*'Assumptions (T&amp;D)'!G$101</f>
        <v>0.19866774830171194</v>
      </c>
      <c r="BF3163" s="147">
        <f>$AZ3005*'Assumptions (T&amp;D)'!H$101</f>
        <v>0.18374417288529196</v>
      </c>
      <c r="BG3163" s="147">
        <f>$AZ3005*'Assumptions (T&amp;D)'!I$101</f>
        <v>0.169985914440935</v>
      </c>
      <c r="BH3163" s="147">
        <f>$AZ3005*'Assumptions (T&amp;D)'!J$101</f>
        <v>0.16773046223694205</v>
      </c>
      <c r="BI3163" s="147">
        <f>$AZ3005*'Assumptions (T&amp;D)'!K$101</f>
        <v>0.1676928713668755</v>
      </c>
      <c r="BJ3163" s="147">
        <f>$AZ3005*'Assumptions (T&amp;D)'!L$101</f>
        <v>0.16773046223694205</v>
      </c>
      <c r="BK3163" s="147">
        <f>$AZ3005*'Assumptions (T&amp;D)'!M$101</f>
        <v>0.1676928713668755</v>
      </c>
      <c r="BL3163" s="147">
        <f>$AZ3005*'Assumptions (T&amp;D)'!N$101</f>
        <v>0.16773046223694205</v>
      </c>
      <c r="BM3163" s="147">
        <f>$AZ3005*'Assumptions (T&amp;D)'!O$101</f>
        <v>0.1676928713668755</v>
      </c>
      <c r="BN3163" s="147">
        <f>$AZ3005*'Assumptions (T&amp;D)'!P$101</f>
        <v>0.16773046223694205</v>
      </c>
      <c r="BO3163" s="147">
        <f>$AZ3005*'Assumptions (T&amp;D)'!Q$101</f>
        <v>0.1676928713668755</v>
      </c>
      <c r="BP3163" s="147">
        <f>$AZ3005*'Assumptions (T&amp;D)'!R$101</f>
        <v>0.16773046223694205</v>
      </c>
      <c r="BQ3163" s="147">
        <f>$AZ3005*'Assumptions (T&amp;D)'!S$101</f>
        <v>0.1676928713668755</v>
      </c>
      <c r="BR3163" s="147">
        <f>$AZ3005*'Assumptions (T&amp;D)'!T$101</f>
        <v>0.16773046223694205</v>
      </c>
      <c r="BS3163" s="147">
        <f>$AZ3005*'Assumptions (T&amp;D)'!U$101</f>
        <v>0.1676928713668755</v>
      </c>
      <c r="BT3163" s="147">
        <f>$AZ3005*'Assumptions (T&amp;D)'!V$101</f>
        <v>8.3865231118471023E-2</v>
      </c>
    </row>
    <row r="3164" spans="1:73" ht="15.75" hidden="1" customHeight="1" outlineLevel="1">
      <c r="A3164" s="465"/>
      <c r="B3164" s="42"/>
      <c r="C3164" s="42"/>
      <c r="D3164" s="42"/>
      <c r="E3164" s="42"/>
      <c r="F3164" s="42"/>
      <c r="G3164" s="42"/>
      <c r="H3164" s="42"/>
      <c r="I3164" s="42"/>
      <c r="J3164" s="42"/>
      <c r="K3164" s="42"/>
      <c r="L3164" s="42"/>
      <c r="M3164" s="42"/>
      <c r="N3164" s="42"/>
      <c r="O3164" s="42"/>
      <c r="P3164" s="42"/>
      <c r="Q3164" s="42"/>
      <c r="R3164" s="42"/>
      <c r="S3164" s="42"/>
      <c r="T3164" s="42"/>
      <c r="U3164" s="42"/>
      <c r="V3164" s="42"/>
      <c r="W3164" s="86"/>
      <c r="BA3164" s="147">
        <f>$BA3005*'Assumptions (T&amp;D)'!B$101</f>
        <v>0.14096576274955908</v>
      </c>
      <c r="BB3164" s="147">
        <f>$BA3005*'Assumptions (T&amp;D)'!C$101</f>
        <v>0.27136849101041793</v>
      </c>
      <c r="BC3164" s="147">
        <f>$BA3005*'Assumptions (T&amp;D)'!D$101</f>
        <v>0.25099423943434829</v>
      </c>
      <c r="BD3164" s="147">
        <f>$BA3005*'Assumptions (T&amp;D)'!E$101</f>
        <v>0.23219880440107374</v>
      </c>
      <c r="BE3164" s="147">
        <f>$BA3005*'Assumptions (T&amp;D)'!F$101</f>
        <v>0.21475664069019496</v>
      </c>
      <c r="BF3164" s="147">
        <f>$BA3005*'Assumptions (T&amp;D)'!G$101</f>
        <v>0.19866774830171194</v>
      </c>
      <c r="BG3164" s="147">
        <f>$BA3005*'Assumptions (T&amp;D)'!H$101</f>
        <v>0.18374417288529196</v>
      </c>
      <c r="BH3164" s="147">
        <f>$BA3005*'Assumptions (T&amp;D)'!I$101</f>
        <v>0.169985914440935</v>
      </c>
      <c r="BI3164" s="147">
        <f>$BA3005*'Assumptions (T&amp;D)'!J$101</f>
        <v>0.16773046223694205</v>
      </c>
      <c r="BJ3164" s="147">
        <f>$BA3005*'Assumptions (T&amp;D)'!K$101</f>
        <v>0.1676928713668755</v>
      </c>
      <c r="BK3164" s="147">
        <f>$BA3005*'Assumptions (T&amp;D)'!L$101</f>
        <v>0.16773046223694205</v>
      </c>
      <c r="BL3164" s="147">
        <f>$BA3005*'Assumptions (T&amp;D)'!M$101</f>
        <v>0.1676928713668755</v>
      </c>
      <c r="BM3164" s="147">
        <f>$BA3005*'Assumptions (T&amp;D)'!N$101</f>
        <v>0.16773046223694205</v>
      </c>
      <c r="BN3164" s="147">
        <f>$BA3005*'Assumptions (T&amp;D)'!O$101</f>
        <v>0.1676928713668755</v>
      </c>
      <c r="BO3164" s="147">
        <f>$BA3005*'Assumptions (T&amp;D)'!P$101</f>
        <v>0.16773046223694205</v>
      </c>
      <c r="BP3164" s="147">
        <f>$BA3005*'Assumptions (T&amp;D)'!Q$101</f>
        <v>0.1676928713668755</v>
      </c>
      <c r="BQ3164" s="147">
        <f>$BA3005*'Assumptions (T&amp;D)'!R$101</f>
        <v>0.16773046223694205</v>
      </c>
      <c r="BR3164" s="147">
        <f>$BA3005*'Assumptions (T&amp;D)'!S$101</f>
        <v>0.1676928713668755</v>
      </c>
      <c r="BS3164" s="147">
        <f>$BA3005*'Assumptions (T&amp;D)'!T$101</f>
        <v>0.16773046223694205</v>
      </c>
      <c r="BT3164" s="147">
        <f>$BA3005*'Assumptions (T&amp;D)'!U$101</f>
        <v>0.1676928713668755</v>
      </c>
      <c r="BU3164" s="147">
        <f>$BA3005*'Assumptions (T&amp;D)'!V$101</f>
        <v>8.3865231118471023E-2</v>
      </c>
    </row>
    <row r="3165" spans="1:73" ht="15.75" customHeight="1" collapsed="1">
      <c r="A3165" s="460" t="s">
        <v>839</v>
      </c>
      <c r="B3165" s="99" t="s">
        <v>201</v>
      </c>
      <c r="C3165" s="462">
        <f>(1/(1-'Assumptions (T&amp;D)'!B$103))*(C3002+C3112+(C3003-C3112-C3003*'Assumptions (T&amp;D)'!$B$102)*'Assumptions (T&amp;D)'!$B$99)</f>
        <v>33.532745054945053</v>
      </c>
      <c r="D3165" s="147">
        <f>(1/(1-'Assumptions (T&amp;D)'!C$103))*(D3002+D3112+(D3003-D3112-D3003*'Assumptions (T&amp;D)'!$B$102)*'Assumptions (T&amp;D)'!$B$99)</f>
        <v>32.677913553113548</v>
      </c>
      <c r="E3165" s="147">
        <f>(1/(1-'Assumptions (T&amp;D)'!D$103))*(E3002+E3112+(E3003-E3112-E3003*'Assumptions (T&amp;D)'!$B$102)*'Assumptions (T&amp;D)'!$B$99)</f>
        <v>34.104756776556776</v>
      </c>
      <c r="F3165" s="147">
        <f>(1/(1-'Assumptions (T&amp;D)'!E$103))*(F3002+F3112+(F3003-F3112-F3003*'Assumptions (T&amp;D)'!$B$102)*'Assumptions (T&amp;D)'!$B$99)</f>
        <v>36.460146520146516</v>
      </c>
      <c r="G3165" s="147">
        <f>(1/(1-'Assumptions (T&amp;D)'!F$103))*(G3002+G3112+(G3003-G3112-G3003*'Assumptions (T&amp;D)'!$B$102)*'Assumptions (T&amp;D)'!$B$99)</f>
        <v>35.26932673992674</v>
      </c>
      <c r="H3165" s="147">
        <f>(1/(1-'Assumptions (T&amp;D)'!G$103))*(H3002+H3112+(H3003-H3112-H3003*'Assumptions (T&amp;D)'!$B$102)*'Assumptions (T&amp;D)'!$B$99)</f>
        <v>37.502821245421245</v>
      </c>
      <c r="I3165" s="147">
        <f>(1/(1-'Assumptions (T&amp;D)'!H$103))*(I3002+I3112+(I3003-I3112-I3003*'Assumptions (T&amp;D)'!$B$102)*'Assumptions (T&amp;D)'!$B$99)</f>
        <v>50.185261538461539</v>
      </c>
      <c r="J3165" s="147">
        <f>(1/(1-'Assumptions (T&amp;D)'!I$103))*(J3002+J3112+(J3003-J3112-J3003*'Assumptions (T&amp;D)'!$B$102)*'Assumptions (T&amp;D)'!$B$99)</f>
        <v>39.010393406593401</v>
      </c>
      <c r="K3165" s="147">
        <f>(1/(1-'Assumptions (T&amp;D)'!J$103))*(K3002+K3112+(K3003-K3112-K3003*'Assumptions (T&amp;D)'!$B$102)*'Assumptions (T&amp;D)'!$B$99)</f>
        <v>38.786056410256414</v>
      </c>
      <c r="L3165" s="147">
        <f>(1/(1-'Assumptions (T&amp;D)'!K$103))*(L3002+L3112+(L3003-L3112-L3003*'Assumptions (T&amp;D)'!$B$102)*'Assumptions (T&amp;D)'!$B$99)</f>
        <v>42.251466666666666</v>
      </c>
      <c r="M3165" s="147">
        <f>(1/(1-'Assumptions (T&amp;D)'!L$103))*(M3002+M3112+(M3003-M3112-M3003*'Assumptions (T&amp;D)'!$B$102)*'Assumptions (T&amp;D)'!$B$99)</f>
        <v>45.707992673992678</v>
      </c>
      <c r="N3165" s="147">
        <f>(1/(1-'Assumptions (T&amp;D)'!M$103))*(N3002+N3112+(N3003-N3112-N3003*'Assumptions (T&amp;D)'!$B$102)*'Assumptions (T&amp;D)'!$B$99)</f>
        <v>46.121887912087907</v>
      </c>
      <c r="O3165" s="147">
        <f>(1/(1-'Assumptions (T&amp;D)'!N$103))*(O3002+O3112+(O3003-O3112-O3003*'Assumptions (T&amp;D)'!$B$102)*'Assumptions (T&amp;D)'!$B$99)</f>
        <v>48.970971428571431</v>
      </c>
      <c r="P3165" s="147">
        <f>(1/(1-'Assumptions (T&amp;D)'!O$103))*(P3002+P3112+(P3003-P3112-P3003*'Assumptions (T&amp;D)'!$B$102)*'Assumptions (T&amp;D)'!$B$99)</f>
        <v>47.952257142857128</v>
      </c>
      <c r="Q3165" s="147">
        <f>(1/(1-'Assumptions (T&amp;D)'!P$103))*(Q3002+Q3112+(Q3003-Q3112-Q3003*'Assumptions (T&amp;D)'!$B$102)*'Assumptions (T&amp;D)'!$B$99)</f>
        <v>47.895226373626372</v>
      </c>
      <c r="R3165" s="147">
        <f>(1/(1-'Assumptions (T&amp;D)'!Q$103))*(R3002+R3112+(R3003-R3112-R3003*'Assumptions (T&amp;D)'!$B$102)*'Assumptions (T&amp;D)'!$B$99)</f>
        <v>47.670235897435887</v>
      </c>
      <c r="S3165" s="147">
        <f>(1/(1-'Assumptions (T&amp;D)'!R$103))*(S3002+S3112+(S3003-S3112-S3003*'Assumptions (T&amp;D)'!$B$102)*'Assumptions (T&amp;D)'!$B$99)</f>
        <v>49.299438095238088</v>
      </c>
      <c r="T3165" s="147">
        <f>(1/(1-'Assumptions (T&amp;D)'!S$103))*(T3002+T3112+(T3003-T3112-T3003*'Assumptions (T&amp;D)'!$B$102)*'Assumptions (T&amp;D)'!$B$99)</f>
        <v>52.871154905432547</v>
      </c>
      <c r="U3165" s="147">
        <f>(1/(1-'Assumptions (T&amp;D)'!T$103))*(U3002+U3112+(U3003-U3112-U3003*'Assumptions (T&amp;D)'!$B$102)*'Assumptions (T&amp;D)'!$B$99)</f>
        <v>43.810179531100182</v>
      </c>
      <c r="V3165" s="147">
        <f>(1/(1-'Assumptions (T&amp;D)'!U$103))*(V3002+V3112+(V3003-V3112-V3003*'Assumptions (T&amp;D)'!$B$102)*'Assumptions (T&amp;D)'!$B$99)</f>
        <v>44.119809312862969</v>
      </c>
      <c r="W3165" s="147">
        <f>(1/(1-'Assumptions (T&amp;D)'!V$103))*(W3002+W3112+(W3003-W3112-W3003*'Assumptions (T&amp;D)'!$B$102)*'Assumptions (T&amp;D)'!$B$99)</f>
        <v>44.429982136563318</v>
      </c>
      <c r="X3165" s="147">
        <f>(1/(1-'Assumptions (T&amp;D)'!W$103))*(X3002+X3112+(X3003-X3112-X3003*'Assumptions (T&amp;D)'!$B$102)*'Assumptions (T&amp;D)'!$B$99)</f>
        <v>44.740316585563768</v>
      </c>
      <c r="Y3165" s="147">
        <f>(1/(1-'Assumptions (T&amp;D)'!X$103))*(Y3002+Y3112+(Y3003-Y3112-Y3003*'Assumptions (T&amp;D)'!$B$102)*'Assumptions (T&amp;D)'!$B$99)</f>
        <v>45.049857659913016</v>
      </c>
      <c r="Z3165" s="147">
        <f>(1/(1-'Assumptions (T&amp;D)'!Y$103))*(Z3002+Z3112+(Z3003-Z3112-Z3003*'Assumptions (T&amp;D)'!$B$102)*'Assumptions (T&amp;D)'!$B$99)</f>
        <v>45.358972050794748</v>
      </c>
      <c r="AA3165" s="147">
        <f>(1/(1-'Assumptions (T&amp;D)'!Z$103))*(AA3002+AA3112+(AA3003-AA3112-AA3003*'Assumptions (T&amp;D)'!$B$102)*'Assumptions (T&amp;D)'!$B$99)</f>
        <v>45.669356993684886</v>
      </c>
      <c r="AB3165" s="147">
        <f>(1/(1-'Assumptions (T&amp;D)'!AA$103))*(AB3002+AB3112+(AB3003-AB3112-AB3003*'Assumptions (T&amp;D)'!$B$102)*'Assumptions (T&amp;D)'!$B$99)</f>
        <v>45.980398293135487</v>
      </c>
      <c r="AC3165" s="147">
        <f>(1/(1-'Assumptions (T&amp;D)'!AB$103))*(AC3002+AC3112+(AC3003-AC3112-AC3003*'Assumptions (T&amp;D)'!$B$102)*'Assumptions (T&amp;D)'!$B$99)</f>
        <v>46.289929970191629</v>
      </c>
      <c r="AD3165" s="147">
        <f>(1/(1-'Assumptions (T&amp;D)'!AC$103))*(AD3002+AD3112+(AD3003-AD3112-AD3003*'Assumptions (T&amp;D)'!$B$102)*'Assumptions (T&amp;D)'!$B$99)</f>
        <v>46.598827730857884</v>
      </c>
      <c r="AE3165" s="147">
        <f>(1/(1-'Assumptions (T&amp;D)'!AD$103))*(AE3002+AE3112+(AE3003-AE3112-AE3003*'Assumptions (T&amp;D)'!$B$102)*'Assumptions (T&amp;D)'!$B$99)</f>
        <v>46.906916499174592</v>
      </c>
      <c r="AF3165" s="147">
        <f>(1/(1-'Assumptions (T&amp;D)'!AE$103))*(AF3002+AF3112+(AF3003-AF3112-AF3003*'Assumptions (T&amp;D)'!$B$102)*'Assumptions (T&amp;D)'!$B$99)</f>
        <v>47.214010900596215</v>
      </c>
      <c r="AG3165" s="147">
        <f>(1/(1-'Assumptions (T&amp;D)'!AF$103))*(AG3002+AG3112+(AG3003-AG3112-AG3003*'Assumptions (T&amp;D)'!$B$102)*'Assumptions (T&amp;D)'!$B$99)</f>
        <v>47.427040671155112</v>
      </c>
      <c r="AH3165" s="147">
        <f>(1/(1-'Assumptions (T&amp;D)'!AG$103))*(AH3002+AH3112+(AH3003-AH3112-AH3003*'Assumptions (T&amp;D)'!$B$102)*'Assumptions (T&amp;D)'!$B$99)</f>
        <v>47.660473164586655</v>
      </c>
      <c r="AI3165" s="147">
        <f>(1/(1-'Assumptions (T&amp;D)'!AH$103))*(AI3002+AI3112+(AI3003-AI3112-AI3003*'Assumptions (T&amp;D)'!$B$102)*'Assumptions (T&amp;D)'!$B$99)</f>
        <v>47.886601013491848</v>
      </c>
      <c r="AJ3165" s="147">
        <f>(1/(1-'Assumptions (T&amp;D)'!AI$103))*(AJ3002+AJ3112+(AJ3003-AJ3112-AJ3003*'Assumptions (T&amp;D)'!$B$102)*'Assumptions (T&amp;D)'!$B$99)</f>
        <v>48.103671269415933</v>
      </c>
      <c r="AK3165" s="147">
        <f>(1/(1-'Assumptions (T&amp;D)'!AJ$103))*(AK3002+AK3112+(AK3003-AK3112-AK3003*'Assumptions (T&amp;D)'!$B$102)*'Assumptions (T&amp;D)'!$B$99)</f>
        <v>48.331999446780955</v>
      </c>
      <c r="AL3165" s="147">
        <f>(1/(1-'Assumptions (T&amp;D)'!AK$103))*(AL3002+AL3112+(AL3003-AL3112-AL3003*'Assumptions (T&amp;D)'!$B$102)*'Assumptions (T&amp;D)'!$B$99)</f>
        <v>48.534463143419401</v>
      </c>
      <c r="AM3165" s="147">
        <f>(1/(1-'Assumptions (T&amp;D)'!AL$103))*(AM3002+AM3112+(AM3003-AM3112-AM3003*'Assumptions (T&amp;D)'!$B$102)*'Assumptions (T&amp;D)'!$B$99)</f>
        <v>48.757149010626343</v>
      </c>
      <c r="AN3165" s="147">
        <f>(1/(1-'Assumptions (T&amp;D)'!AM$103))*(AN3002+AN3112+(AN3003-AN3112-AN3003*'Assumptions (T&amp;D)'!$B$102)*'Assumptions (T&amp;D)'!$B$99)</f>
        <v>48.96850119154999</v>
      </c>
      <c r="AO3165" s="147">
        <f>(1/(1-'Assumptions (T&amp;D)'!AN$103))*(AO3002+AO3112+(AO3003-AO3112-AO3003*'Assumptions (T&amp;D)'!$B$102)*'Assumptions (T&amp;D)'!$B$99)</f>
        <v>49.157797334237749</v>
      </c>
      <c r="AP3165" s="147">
        <f>(1/(1-'Assumptions (T&amp;D)'!AO$103))*(AP3002+AP3112+(AP3003-AP3112-AP3003*'Assumptions (T&amp;D)'!$B$102)*'Assumptions (T&amp;D)'!$B$99)</f>
        <v>49.34245469558406</v>
      </c>
      <c r="AQ3165" s="147">
        <f>(1/(1-'Assumptions (T&amp;D)'!AP$103))*(AQ3002+AQ3112+(AQ3003-AQ3112-AQ3003*'Assumptions (T&amp;D)'!$B$102)*'Assumptions (T&amp;D)'!$B$99)</f>
        <v>49.530947532593537</v>
      </c>
      <c r="AR3165" s="147">
        <f>(1/(1-'Assumptions (T&amp;D)'!AQ$103))*(AR3002+AR3112+(AR3003-AR3112-AR3003*'Assumptions (T&amp;D)'!$B$102)*'Assumptions (T&amp;D)'!$B$99)</f>
        <v>49.686177448712542</v>
      </c>
      <c r="AS3165" s="147">
        <f>(1/(1-'Assumptions (T&amp;D)'!AR$103))*(AS3002+AS3112+(AS3003-AS3112-AS3003*'Assumptions (T&amp;D)'!$B$102)*'Assumptions (T&amp;D)'!$B$99)</f>
        <v>49.814813520580458</v>
      </c>
      <c r="AT3165" s="147">
        <f>(1/(1-'Assumptions (T&amp;D)'!AS$103))*(AT3002+AT3112+(AT3003-AT3112-AT3003*'Assumptions (T&amp;D)'!$B$102)*'Assumptions (T&amp;D)'!$B$99)</f>
        <v>49.958986653308578</v>
      </c>
      <c r="AU3165" s="147">
        <f>(1/(1-'Assumptions (T&amp;D)'!AT$103))*(AU3002+AU3112+(AU3003-AU3112-AU3003*'Assumptions (T&amp;D)'!$B$102)*'Assumptions (T&amp;D)'!$B$99)</f>
        <v>50.097402603288764</v>
      </c>
      <c r="AV3165" s="147">
        <f>(1/(1-'Assumptions (T&amp;D)'!AU$103))*(AV3002+AV3112+(AV3003-AV3112-AV3003*'Assumptions (T&amp;D)'!$B$102)*'Assumptions (T&amp;D)'!$B$99)</f>
        <v>50.2205302391205</v>
      </c>
      <c r="AW3165" s="147">
        <f>(1/(1-'Assumptions (T&amp;D)'!AV$103))*(AW3002+AW3112+(AW3003-AW3112-AW3003*'Assumptions (T&amp;D)'!$B$102)*'Assumptions (T&amp;D)'!$B$99)</f>
        <v>50.321100008101467</v>
      </c>
      <c r="AX3165" s="147">
        <f>(1/(1-'Assumptions (T&amp;D)'!AW$103))*(AX3002+AX3112+(AX3003-AX3112-AX3003*'Assumptions (T&amp;D)'!$B$102)*'Assumptions (T&amp;D)'!$B$99)</f>
        <v>50.480073922169929</v>
      </c>
      <c r="AY3165" s="147">
        <f>(1/(1-'Assumptions (T&amp;D)'!AX$103))*(AY3002+AY3112+(AY3003-AY3112-AY3003*'Assumptions (T&amp;D)'!$B$102)*'Assumptions (T&amp;D)'!$B$99)</f>
        <v>50.639081496008146</v>
      </c>
      <c r="AZ3165" s="147">
        <f>(1/(1-'Assumptions (T&amp;D)'!AY$103))*(AZ3002+AZ3112+(AZ3003-AZ3112-AZ3003*'Assumptions (T&amp;D)'!$B$102)*'Assumptions (T&amp;D)'!$B$99)</f>
        <v>50.798148568155035</v>
      </c>
      <c r="BA3165" s="147">
        <f>(1/(1-'Assumptions (T&amp;D)'!AZ$103))*(BA3002+BA3112+(BA3003-BA3112-BA3003*'Assumptions (T&amp;D)'!$B$102)*'Assumptions (T&amp;D)'!$B$99)</f>
        <v>50.957344426025529</v>
      </c>
    </row>
    <row r="3166" spans="1:73" ht="15.75" customHeight="1">
      <c r="A3166" s="460" t="s">
        <v>62</v>
      </c>
      <c r="B3166" s="99" t="s">
        <v>201</v>
      </c>
      <c r="C3166" s="147">
        <f>IF(C3165-C3002-C3113-C3060&gt;0,(1-'Assumptions (T&amp;D)'!B$103)*(C3165-C3002-C3113+C3060)-C3007+C3008+Model!C3113,C3165-C3002-C3007+C3008+C3060)</f>
        <v>7.6740438096445462</v>
      </c>
      <c r="D3166" s="147">
        <f>IF(D3165-D3002-D3113-D3060&gt;0,(1-'Assumptions (T&amp;D)'!C$103)*(D3165-D3002-D3113+D3060)-D3007+D3008+Model!D3113,D3165-D3002-D3007+D3008+D3060)</f>
        <v>7.8202137056558225</v>
      </c>
      <c r="E3166" s="147">
        <f>IF(E3165-E3002-E3113-E3060&gt;0,(1-'Assumptions (T&amp;D)'!D$103)*(E3165-E3002-E3113+E3060)-E3007+E3008+Model!E3113,E3165-E3002-E3007+E3008+E3060)</f>
        <v>8.0393811703306728</v>
      </c>
      <c r="F3166" s="147">
        <f>IF(F3165-F3002-F3113-F3060&gt;0,(1-'Assumptions (T&amp;D)'!E$103)*(F3165-F3002-F3113+F3060)-F3007+F3008+Model!F3113,F3165-F3002-F3007+F3008+F3060)</f>
        <v>8.4594063937553674</v>
      </c>
      <c r="G3166" s="147">
        <f>IF(G3165-G3002-G3113-G3060&gt;0,(1-'Assumptions (T&amp;D)'!F$103)*(G3165-G3002-G3113+G3060)-G3007+G3008+Model!G3113,G3165-G3002-G3007+G3008+G3060)</f>
        <v>8.3662370758155795</v>
      </c>
      <c r="H3166" s="147">
        <f>IF(H3165-H3002-H3113-H3060&gt;0,(1-'Assumptions (T&amp;D)'!G$103)*(H3165-H3002-H3113+H3060)-H3007+H3008+Model!H3113,H3165-H3002-H3007+H3008+H3060)</f>
        <v>8.4647705975402125</v>
      </c>
      <c r="I3166" s="147">
        <f>IF(I3165-I3002-I3113-I3060&gt;0,(1-'Assumptions (T&amp;D)'!H$103)*(I3165-I3002-I3113+I3060)-I3007+I3008+Model!I3113,I3165-I3002-I3007+I3008+I3060)</f>
        <v>11.677275050992833</v>
      </c>
      <c r="J3166" s="147">
        <f>IF(J3165-J3002-J3113-J3060&gt;0,(1-'Assumptions (T&amp;D)'!I$103)*(J3165-J3002-J3113+J3060)-J3007+J3008+Model!J3113,J3165-J3002-J3007+J3008+J3060)</f>
        <v>8.9706759847567703</v>
      </c>
      <c r="K3166" s="147">
        <f>IF(K3165-K3002-K3113-K3060&gt;0,(1-'Assumptions (T&amp;D)'!J$103)*(K3165-K3002-K3113+K3060)-K3007+K3008+Model!K3113,K3165-K3002-K3007+K3008+K3060)</f>
        <v>8.6054526563005389</v>
      </c>
      <c r="L3166" s="147">
        <f>IF(L3165-L3002-L3113-L3060&gt;0,(1-'Assumptions (T&amp;D)'!K$103)*(L3165-L3002-L3113+L3060)-L3007+L3008+Model!L3113,L3165-L3002-L3007+L3008+L3060)</f>
        <v>9.4025946809758203</v>
      </c>
      <c r="M3166" s="147">
        <f>IF(M3165-M3002-M3113-M3060&gt;0,(1-'Assumptions (T&amp;D)'!L$103)*(M3165-M3002-M3113+M3060)-M3007+M3008+Model!M3113,M3165-M3002-M3007+M3008+M3060)</f>
        <v>10.341197714127247</v>
      </c>
      <c r="N3166" s="147">
        <f>IF(N3165-N3002-N3113-N3060&gt;0,(1-'Assumptions (T&amp;D)'!M$103)*(N3165-N3002-N3113+N3060)-N3007+N3008+Model!N3113,N3165-N3002-N3007+N3008+N3060)</f>
        <v>9.9797288585488637</v>
      </c>
      <c r="O3166" s="147">
        <f>IF(O3165-O3002-O3113-O3060&gt;0,(1-'Assumptions (T&amp;D)'!N$103)*(O3165-O3002-O3113+O3060)-O3007+O3008+Model!O3113,O3165-O3002-O3007+O3008+O3060)</f>
        <v>10.323859447207104</v>
      </c>
      <c r="P3166" s="147">
        <f>IF(P3165-P3002-P3113-P3060&gt;0,(1-'Assumptions (T&amp;D)'!O$103)*(P3165-P3002-P3113+P3060)-P3007+P3008+Model!P3113,P3165-P3002-P3007+P3008+P3060)</f>
        <v>10.469968893027655</v>
      </c>
      <c r="Q3166" s="147">
        <f>IF(Q3165-Q3002-Q3113-Q3060&gt;0,(1-'Assumptions (T&amp;D)'!P$103)*(Q3165-Q3002-Q3113+Q3060)-Q3007+Q3008+Model!Q3113,Q3165-Q3002-Q3007+Q3008+Q3060)</f>
        <v>10.484395606403256</v>
      </c>
      <c r="R3166" s="147">
        <f>IF(R3165-R3002-R3113-R3060&gt;0,(1-'Assumptions (T&amp;D)'!Q$103)*(R3165-R3002-R3113+R3060)-R3007+R3008+Model!R3113,R3165-R3002-R3007+R3008+R3060)</f>
        <v>10.407413459443756</v>
      </c>
      <c r="S3166" s="147">
        <f>IF(S3165-S3002-S3113-S3060&gt;0,(1-'Assumptions (T&amp;D)'!R$103)*(S3165-S3002-S3113+S3060)-S3007+S3008+Model!S3113,S3165-S3002-S3007+S3008+S3060)</f>
        <v>10.606358389447747</v>
      </c>
      <c r="T3166" s="147">
        <f>IF(T3165-T3002-T3113-T3060&gt;0,(1-'Assumptions (T&amp;D)'!S$103)*(T3165-T3002-T3113+T3060)-T3007+T3008+Model!T3113,T3165-T3002-T3007+T3008+T3060)</f>
        <v>12.519988466101038</v>
      </c>
      <c r="U3166" s="147">
        <f>IF(U3165-U3002-U3113-U3060&gt;0,(1-'Assumptions (T&amp;D)'!T$103)*(U3165-U3002-U3113+U3060)-U3007+U3008+Model!U3113,U3165-U3002-U3007+U3008+U3060)</f>
        <v>8.1587186926882094</v>
      </c>
      <c r="V3166" s="147">
        <f>IF(V3165-V3002-V3113-V3060&gt;0,(1-'Assumptions (T&amp;D)'!U$103)*(V3165-V3002-V3113+V3060)-V3007+V3008+Model!V3113,V3165-V3002-V3007+V3008+V3060)</f>
        <v>8.3685656902193006</v>
      </c>
      <c r="W3166" s="147">
        <f>IF(W3165-W3002-W3113-W3060&gt;0,(1-'Assumptions (T&amp;D)'!V$103)*(W3165-W3002-W3113+W3060)-W3007+W3008+Model!W3113,W3165-W3002-W3007+W3008+W3060)</f>
        <v>8.5949548141572514</v>
      </c>
      <c r="X3166" s="147">
        <f>IF(X3165-X3002-X3113-X3060&gt;0,(1-'Assumptions (T&amp;D)'!W$103)*(X3165-X3002-X3113+X3060)-X3007+X3008+Model!X3113,X3165-X3002-X3007+X3008+X3060)</f>
        <v>8.7935479644368328</v>
      </c>
      <c r="Y3166" s="147">
        <f>IF(Y3165-Y3002-Y3113-Y3060&gt;0,(1-'Assumptions (T&amp;D)'!X$103)*(Y3165-Y3002-Y3113+Y3060)-Y3007+Y3008+Model!Y3113,Y3165-Y3002-Y3007+Y3008+Y3060)</f>
        <v>9.0040509529118395</v>
      </c>
      <c r="Z3166" s="147">
        <f>IF(Z3165-Z3002-Z3113-Z3060&gt;0,(1-'Assumptions (T&amp;D)'!Y$103)*(Z3165-Z3002-Z3113+Z3060)-Z3007+Z3008+Model!Z3113,Z3165-Z3002-Z3007+Z3008+Z3060)</f>
        <v>9.2339165932343406</v>
      </c>
      <c r="AA3166" s="147">
        <f>IF(AA3165-AA3002-AA3113-AA3060&gt;0,(1-'Assumptions (T&amp;D)'!Z$103)*(AA3165-AA3002-AA3113+AA3060)-AA3007+AA3008+Model!AA3113,AA3165-AA3002-AA3007+AA3008+AA3060)</f>
        <v>9.4700146760038493</v>
      </c>
      <c r="AB3166" s="147">
        <f>IF(AB3165-AB3002-AB3113-AB3060&gt;0,(1-'Assumptions (T&amp;D)'!AA$103)*(AB3165-AB3002-AB3113+AB3060)-AB3007+AB3008+Model!AB3113,AB3165-AB3002-AB3007+AB3008+AB3060)</f>
        <v>9.7004832504637086</v>
      </c>
      <c r="AC3166" s="147">
        <f>IF(AC3165-AC3002-AC3113-AC3060&gt;0,(1-'Assumptions (T&amp;D)'!AB$103)*(AC3165-AC3002-AC3113+AC3060)-AC3007+AC3008+Model!AC3113,AC3165-AC3002-AC3007+AC3008+AC3060)</f>
        <v>9.9604375686920239</v>
      </c>
      <c r="AD3166" s="147">
        <f>IF(AD3165-AD3002-AD3113-AD3060&gt;0,(1-'Assumptions (T&amp;D)'!AC$103)*(AD3165-AD3002-AD3113+AD3060)-AD3007+AD3008+Model!AD3113,AD3165-AD3002-AD3007+AD3008+AD3060)</f>
        <v>10.246377670839047</v>
      </c>
      <c r="AE3166" s="147">
        <f>IF(AE3165-AE3002-AE3113-AE3060&gt;0,(1-'Assumptions (T&amp;D)'!AD$103)*(AE3165-AE3002-AE3113+AE3060)-AE3007+AE3008+Model!AE3113,AE3165-AE3002-AE3007+AE3008+AE3060)</f>
        <v>10.512812978646405</v>
      </c>
      <c r="AF3166" s="147">
        <f>IF(AF3165-AF3002-AF3113-AF3060&gt;0,(1-'Assumptions (T&amp;D)'!AE$103)*(AF3165-AF3002-AF3113+AF3060)-AF3007+AF3008+Model!AF3113,AF3165-AF3002-AF3007+AF3008+AF3060)</f>
        <v>10.780819301088052</v>
      </c>
      <c r="AG3166" s="147">
        <f>IF(AG3165-AG3002-AG3113-AG3060&gt;0,(1-'Assumptions (T&amp;D)'!AF$103)*(AG3165-AG3002-AG3113+AG3060)-AG3007+AG3008+Model!AG3113,AG3165-AG3002-AG3007+AG3008+AG3060)</f>
        <v>10.989217734161183</v>
      </c>
      <c r="AH3166" s="147">
        <f>IF(AH3165-AH3002-AH3113-AH3060&gt;0,(1-'Assumptions (T&amp;D)'!AG$103)*(AH3165-AH3002-AH3113+AH3060)-AH3007+AH3008+Model!AH3113,AH3165-AH3002-AH3007+AH3008+AH3060)</f>
        <v>11.232205113933427</v>
      </c>
      <c r="AI3166" s="147">
        <f>IF(AI3165-AI3002-AI3113-AI3060&gt;0,(1-'Assumptions (T&amp;D)'!AH$103)*(AI3165-AI3002-AI3113+AI3060)-AI3007+AI3008+Model!AI3113,AI3165-AI3002-AI3007+AI3008+AI3060)</f>
        <v>11.406650887555573</v>
      </c>
      <c r="AJ3166" s="147">
        <f>IF(AJ3165-AJ3002-AJ3113-AJ3060&gt;0,(1-'Assumptions (T&amp;D)'!AI$103)*(AJ3165-AJ3002-AJ3113+AJ3060)-AJ3007+AJ3008+Model!AJ3113,AJ3165-AJ3002-AJ3007+AJ3008+AJ3060)</f>
        <v>11.572664846805358</v>
      </c>
      <c r="AK3166" s="147">
        <f>IF(AK3165-AK3002-AK3113-AK3060&gt;0,(1-'Assumptions (T&amp;D)'!AJ$103)*(AK3165-AK3002-AK3113+AK3060)-AK3007+AK3008+Model!AK3113,AK3165-AK3002-AK3007+AK3008+AK3060)</f>
        <v>11.74878110991077</v>
      </c>
      <c r="AL3166" s="147">
        <f>IF(AL3165-AL3002-AL3113-AL3060&gt;0,(1-'Assumptions (T&amp;D)'!AK$103)*(AL3165-AL3002-AL3113+AL3060)-AL3007+AL3008+Model!AL3113,AL3165-AL3002-AL3007+AL3008+AL3060)</f>
        <v>11.901984517324902</v>
      </c>
      <c r="AM3166" s="147">
        <f>IF(AM3165-AM3002-AM3113-AM3060&gt;0,(1-'Assumptions (T&amp;D)'!AL$103)*(AM3165-AM3002-AM3113+AM3060)-AM3007+AM3008+Model!AM3113,AM3165-AM3002-AM3007+AM3008+AM3060)</f>
        <v>12.066683445405427</v>
      </c>
      <c r="AN3166" s="147">
        <f>IF(AN3165-AN3002-AN3113-AN3060&gt;0,(1-'Assumptions (T&amp;D)'!AM$103)*(AN3165-AN3002-AN3113+AN3060)-AN3007+AN3008+Model!AN3113,AN3165-AN3002-AN3007+AN3008+AN3060)</f>
        <v>12.226700056869987</v>
      </c>
      <c r="AO3166" s="147">
        <f>IF(AO3165-AO3002-AO3113-AO3060&gt;0,(1-'Assumptions (T&amp;D)'!AN$103)*(AO3165-AO3002-AO3113+AO3060)-AO3007+AO3008+Model!AO3113,AO3165-AO3002-AO3007+AO3008+AO3060)</f>
        <v>12.376244009593318</v>
      </c>
      <c r="AP3166" s="147">
        <f>IF(AP3165-AP3002-AP3113-AP3060&gt;0,(1-'Assumptions (T&amp;D)'!AO$103)*(AP3165-AP3002-AP3113+AP3060)-AP3007+AP3008+Model!AP3113,AP3165-AP3002-AP3007+AP3008+AP3060)</f>
        <v>12.522123325056903</v>
      </c>
      <c r="AQ3166" s="147">
        <f>IF(AQ3165-AQ3002-AQ3113-AQ3060&gt;0,(1-'Assumptions (T&amp;D)'!AP$103)*(AQ3165-AQ3002-AQ3113+AQ3060)-AQ3007+AQ3008+Model!AQ3113,AQ3165-AQ3002-AQ3007+AQ3008+AQ3060)</f>
        <v>12.671032666294389</v>
      </c>
      <c r="AR3166" s="147">
        <f>IF(AR3165-AR3002-AR3113-AR3060&gt;0,(1-'Assumptions (T&amp;D)'!AQ$103)*(AR3165-AR3002-AR3113+AR3060)-AR3007+AR3008+Model!AR3113,AR3165-AR3002-AR3007+AR3008+AR3060)</f>
        <v>12.793664300028404</v>
      </c>
      <c r="AS3166" s="147">
        <f>IF(AS3165-AS3002-AS3113-AS3060&gt;0,(1-'Assumptions (T&amp;D)'!AR$103)*(AS3165-AS3002-AS3113+AS3060)-AS3007+AS3008+Model!AS3113,AS3165-AS3002-AS3007+AS3008+AS3060)</f>
        <v>12.895286796804058</v>
      </c>
      <c r="AT3166" s="147">
        <f>IF(AT3165-AT3002-AT3113-AT3060&gt;0,(1-'Assumptions (T&amp;D)'!AS$103)*(AT3165-AT3002-AT3113+AT3060)-AT3007+AT3008+Model!AT3113,AT3165-AT3002-AT3007+AT3008+AT3060)</f>
        <v>13.009183571659273</v>
      </c>
      <c r="AU3166" s="147">
        <f>IF(AU3165-AU3002-AU3113-AU3060&gt;0,(1-'Assumptions (T&amp;D)'!AT$103)*(AU3165-AU3002-AU3113+AU3060)-AU3007+AU3008+Model!AU3113,AU3165-AU3002-AU3007+AU3008+AU3060)</f>
        <v>13.118532172143619</v>
      </c>
      <c r="AV3166" s="147">
        <f>IF(AV3165-AV3002-AV3113-AV3060&gt;0,(1-'Assumptions (T&amp;D)'!AU$103)*(AV3165-AV3002-AV3113+AV3060)-AV3007+AV3008+Model!AV3113,AV3165-AV3002-AV3007+AV3008+AV3060)</f>
        <v>13.21580300445069</v>
      </c>
      <c r="AW3166" s="147">
        <f>IF(AW3165-AW3002-AW3113-AW3060&gt;0,(1-'Assumptions (T&amp;D)'!AV$103)*(AW3165-AW3002-AW3113+AW3060)-AW3007+AW3008+Model!AW3113,AW3165-AW3002-AW3007+AW3008+AW3060)</f>
        <v>13.295253121945654</v>
      </c>
      <c r="AX3166" s="147">
        <f>IF(AX3165-AX3002-AX3113-AX3060&gt;0,(1-'Assumptions (T&amp;D)'!AW$103)*(AX3165-AX3002-AX3113+AX3060)-AX3007+AX3008+Model!AX3113,AX3165-AX3002-AX3007+AX3008+AX3060)</f>
        <v>13.420842514059739</v>
      </c>
      <c r="AY3166" s="147">
        <f>IF(AY3165-AY3002-AY3113-AY3060&gt;0,(1-'Assumptions (T&amp;D)'!AX$103)*(AY3165-AY3002-AY3113+AY3060)-AY3007+AY3008+Model!AY3113,AY3165-AY3002-AY3007+AY3008+AY3060)</f>
        <v>13.546458497391932</v>
      </c>
      <c r="AZ3166" s="147">
        <f>IF(AZ3165-AZ3002-AZ3113-AZ3060&gt;0,(1-'Assumptions (T&amp;D)'!AY$103)*(AZ3165-AZ3002-AZ3113+AZ3060)-AZ3007+AZ3008+Model!AZ3113,AZ3165-AZ3002-AZ3007+AZ3008+AZ3060)</f>
        <v>13.672121484387974</v>
      </c>
      <c r="BA3166" s="147">
        <f>IF(BA3165-BA3002-BA3113-BA3060&gt;0,(1-'Assumptions (T&amp;D)'!AZ$103)*(BA3165-BA3002-BA3113+BA3060)-BA3007+BA3008+Model!BA3113,BA3165-BA3002-BA3007+BA3008+BA3060)</f>
        <v>13.797886212105663</v>
      </c>
    </row>
    <row r="3167" spans="1:73" ht="15.75" customHeight="1">
      <c r="A3167" s="460" t="s">
        <v>840</v>
      </c>
      <c r="B3167" s="99" t="s">
        <v>201</v>
      </c>
      <c r="C3167" s="147">
        <f>IF(C3165-C3002-C3113-C3060&gt;0,'Assumptions (T&amp;D)'!B$103*(C3165-C3002-C3113+C3060),0)</f>
        <v>4.8745657692307685</v>
      </c>
      <c r="D3167" s="147">
        <f>IF(D3165-D3002-D3113-D3060&gt;0,'Assumptions (T&amp;D)'!C$103*(D3165-D3002-D3113+D3060),0)</f>
        <v>4.7208842208794</v>
      </c>
      <c r="E3167" s="147">
        <f>IF(E3165-E3002-E3113-E3060&gt;0,'Assumptions (T&amp;D)'!D$103*(E3165-E3002-E3113+E3060),0)</f>
        <v>4.844211643547653</v>
      </c>
      <c r="F3167" s="147">
        <f>IF(F3165-F3002-F3113-F3060&gt;0,'Assumptions (T&amp;D)'!E$103*(F3165-F3002-F3113+F3060),0)</f>
        <v>5.0905072797168494</v>
      </c>
      <c r="G3167" s="147">
        <f>IF(G3165-G3002-G3113-G3060&gt;0,'Assumptions (T&amp;D)'!F$103*(G3165-G3002-G3113+G3060),0)</f>
        <v>4.9267338657300019</v>
      </c>
      <c r="H3167" s="147">
        <f>IF(H3165-H3002-H3113-H3060&gt;0,'Assumptions (T&amp;D)'!G$103*(H3165-H3002-H3113+H3060),0)</f>
        <v>5.174223002247059</v>
      </c>
      <c r="I3167" s="147">
        <f>IF(I3165-I3002-I3113-I3060&gt;0,'Assumptions (T&amp;D)'!H$103*(I3165-I3002-I3113+I3060),0)</f>
        <v>6.6990296279464339</v>
      </c>
      <c r="J3167" s="147">
        <f>IF(J3165-J3002-J3113-J3060&gt;0,'Assumptions (T&amp;D)'!I$103*(J3165-J3002-J3113+J3060),0)</f>
        <v>5.3090917902076766</v>
      </c>
      <c r="K3167" s="147">
        <f>IF(K3165-K3002-K3113-K3060&gt;0,'Assumptions (T&amp;D)'!J$103*(K3165-K3002-K3113+K3060),0)</f>
        <v>5.25862864026581</v>
      </c>
      <c r="L3167" s="147">
        <f>IF(L3165-L3002-L3113-L3060&gt;0,'Assumptions (T&amp;D)'!K$103*(L3165-L3002-L3113+L3060),0)</f>
        <v>5.6826458523666092</v>
      </c>
      <c r="M3167" s="147">
        <f>IF(M3165-M3002-M3113-M3060&gt;0,'Assumptions (T&amp;D)'!L$103*(M3165-M3002-M3113+M3060),0)</f>
        <v>6.1172495094263084</v>
      </c>
      <c r="N3167" s="147">
        <f>IF(N3165-N3002-N3113-N3060&gt;0,'Assumptions (T&amp;D)'!M$103*(N3165-N3002-N3113+N3060),0)</f>
        <v>6.1545025892408134</v>
      </c>
      <c r="O3167" s="147">
        <f>IF(O3165-O3002-O3113-O3060&gt;0,'Assumptions (T&amp;D)'!N$103*(O3165-O3002-O3113+O3060),0)</f>
        <v>6.4987622556794795</v>
      </c>
      <c r="P3167" s="147">
        <f>IF(P3165-P3002-P3113-P3060&gt;0,'Assumptions (T&amp;D)'!O$103*(P3165-P3002-P3113+P3060),0)</f>
        <v>6.3884006442637613</v>
      </c>
      <c r="Q3167" s="147">
        <f>IF(Q3165-Q3002-Q3113-Q3060&gt;0,'Assumptions (T&amp;D)'!P$103*(Q3165-Q3002-Q3113+Q3060),0)</f>
        <v>6.3974212169530533</v>
      </c>
      <c r="R3167" s="147">
        <f>IF(R3165-R3002-R3113-R3060&gt;0,'Assumptions (T&amp;D)'!Q$103*(R3165-R3002-R3113+R3060),0)</f>
        <v>6.3879837297783562</v>
      </c>
      <c r="S3167" s="147">
        <f>IF(S3165-S3002-S3113-S3060&gt;0,'Assumptions (T&amp;D)'!R$103*(S3165-S3002-S3113+S3060),0)</f>
        <v>6.5894202547777798</v>
      </c>
      <c r="T3167" s="147">
        <f>IF(T3165-T3002-T3113-T3060&gt;0,'Assumptions (T&amp;D)'!S$103*(T3165-T3002-T3113+T3060),0)</f>
        <v>7.0570107102208022</v>
      </c>
      <c r="U3167" s="147">
        <f>IF(U3165-U3002-U3113-U3060&gt;0,'Assumptions (T&amp;D)'!T$103*(U3165-U3002-U3113+U3060),0)</f>
        <v>2.2982337133350232</v>
      </c>
      <c r="V3167" s="147">
        <f>IF(V3165-V3002-V3113-V3060&gt;0,'Assumptions (T&amp;D)'!U$103*(V3165-V3002-V3113+V3060),0)</f>
        <v>2.3302848835972005</v>
      </c>
      <c r="W3167" s="147">
        <f>IF(W3165-W3002-W3113-W3060&gt;0,'Assumptions (T&amp;D)'!V$103*(W3165-W3002-W3113+W3060),0)</f>
        <v>2.3734001506503266</v>
      </c>
      <c r="X3167" s="147">
        <f>IF(X3165-X3002-X3113-X3060&gt;0,'Assumptions (T&amp;D)'!W$103*(X3165-X3002-X3113+X3060),0)</f>
        <v>2.4249875261545459</v>
      </c>
      <c r="Y3167" s="147">
        <f>IF(Y3165-Y3002-Y3113-Y3060&gt;0,'Assumptions (T&amp;D)'!X$103*(Y3165-Y3002-Y3113+Y3060),0)</f>
        <v>2.4746969613162371</v>
      </c>
      <c r="Z3167" s="147">
        <f>IF(Z3165-Z3002-Z3113-Z3060&gt;0,'Assumptions (T&amp;D)'!Y$103*(Z3165-Z3002-Z3113+Z3060),0)</f>
        <v>2.5257263425459109</v>
      </c>
      <c r="AA3167" s="147">
        <f>IF(AA3165-AA3002-AA3113-AA3060&gt;0,'Assumptions (T&amp;D)'!Z$103*(AA3165-AA3002-AA3113+AA3060),0)</f>
        <v>2.5761239423386231</v>
      </c>
      <c r="AB3167" s="147">
        <f>IF(AB3165-AB3002-AB3113-AB3060&gt;0,'Assumptions (T&amp;D)'!AA$103*(AB3165-AB3002-AB3113+AB3060),0)</f>
        <v>2.6290185616250148</v>
      </c>
      <c r="AC3167" s="147">
        <f>IF(AC3165-AC3002-AC3113-AC3060&gt;0,'Assumptions (T&amp;D)'!AB$103*(AC3165-AC3002-AC3113+AC3060),0)</f>
        <v>2.6828523686355821</v>
      </c>
      <c r="AD3167" s="147">
        <f>IF(AD3165-AD3002-AD3113-AD3060&gt;0,'Assumptions (T&amp;D)'!AC$103*(AD3165-AD3002-AD3113+AD3060),0)</f>
        <v>2.735505865722188</v>
      </c>
      <c r="AE3167" s="147">
        <f>IF(AE3165-AE3002-AE3113-AE3060&gt;0,'Assumptions (T&amp;D)'!AD$103*(AE3165-AE3002-AE3113+AE3060),0)</f>
        <v>2.7916997832931747</v>
      </c>
      <c r="AF3167" s="147">
        <f>IF(AF3165-AF3002-AF3113-AF3060&gt;0,'Assumptions (T&amp;D)'!AE$103*(AF3165-AF3002-AF3113+AF3060),0)</f>
        <v>2.8507409555868373</v>
      </c>
      <c r="AG3167" s="147">
        <f>IF(AG3165-AG3002-AG3113-AG3060&gt;0,'Assumptions (T&amp;D)'!AF$103*(AG3165-AG3002-AG3113+AG3060),0)</f>
        <v>2.8899395042668186</v>
      </c>
      <c r="AH3167" s="147">
        <f>IF(AH3165-AH3002-AH3113-AH3060&gt;0,'Assumptions (T&amp;D)'!AG$103*(AH3165-AH3002-AH3113+AH3060),0)</f>
        <v>2.9366023741285385</v>
      </c>
      <c r="AI3167" s="147">
        <f>IF(AI3165-AI3002-AI3113-AI3060&gt;0,'Assumptions (T&amp;D)'!AH$103*(AI3165-AI3002-AI3113+AI3060),0)</f>
        <v>2.9882844494115854</v>
      </c>
      <c r="AJ3167" s="147">
        <f>IF(AJ3165-AJ3002-AJ3113-AJ3060&gt;0,'Assumptions (T&amp;D)'!AI$103*(AJ3165-AJ3002-AJ3113+AJ3060),0)</f>
        <v>3.0393407460858857</v>
      </c>
      <c r="AK3167" s="147">
        <f>IF(AK3165-AK3002-AK3113-AK3060&gt;0,'Assumptions (T&amp;D)'!AJ$103*(AK3165-AK3002-AK3113+AK3060),0)</f>
        <v>3.0915526603454961</v>
      </c>
      <c r="AL3167" s="147">
        <f>IF(AL3165-AL3002-AL3113-AL3060&gt;0,'Assumptions (T&amp;D)'!AK$103*(AL3165-AL3002-AL3113+AL3060),0)</f>
        <v>3.1408129495698121</v>
      </c>
      <c r="AM3167" s="147">
        <f>IF(AM3165-AM3002-AM3113-AM3060&gt;0,'Assumptions (T&amp;D)'!AL$103*(AM3165-AM3002-AM3113+AM3060),0)</f>
        <v>3.1987998886962261</v>
      </c>
      <c r="AN3167" s="147">
        <f>IF(AN3165-AN3002-AN3113-AN3060&gt;0,'Assumptions (T&amp;D)'!AM$103*(AN3165-AN3002-AN3113+AN3060),0)</f>
        <v>3.250135458155313</v>
      </c>
      <c r="AO3167" s="147">
        <f>IF(AO3165-AO3002-AO3113-AO3060&gt;0,'Assumptions (T&amp;D)'!AN$103*(AO3165-AO3002-AO3113+AO3060),0)</f>
        <v>3.2898876481197421</v>
      </c>
      <c r="AP3167" s="147">
        <f>IF(AP3165-AP3002-AP3113-AP3060&gt;0,'Assumptions (T&amp;D)'!AO$103*(AP3165-AP3002-AP3113+AP3060),0)</f>
        <v>3.3286656940024675</v>
      </c>
      <c r="AQ3167" s="147">
        <f>IF(AQ3165-AQ3002-AQ3113-AQ3060&gt;0,'Assumptions (T&amp;D)'!AP$103*(AQ3165-AQ3002-AQ3113+AQ3060),0)</f>
        <v>3.3682491897744575</v>
      </c>
      <c r="AR3167" s="147">
        <f>IF(AR3165-AR3002-AR3113-AR3060&gt;0,'Assumptions (T&amp;D)'!AQ$103*(AR3165-AR3002-AR3113+AR3060),0)</f>
        <v>3.4008474721594486</v>
      </c>
      <c r="AS3167" s="147">
        <f>IF(AS3165-AS3002-AS3113-AS3060&gt;0,'Assumptions (T&amp;D)'!AR$103*(AS3165-AS3002-AS3113+AS3060),0)</f>
        <v>3.427861047251711</v>
      </c>
      <c r="AT3167" s="147">
        <f>IF(AT3165-AT3002-AT3113-AT3060&gt;0,'Assumptions (T&amp;D)'!AS$103*(AT3165-AT3002-AT3113+AT3060),0)</f>
        <v>3.4581374051246163</v>
      </c>
      <c r="AU3167" s="147">
        <f>IF(AU3165-AU3002-AU3113-AU3060&gt;0,'Assumptions (T&amp;D)'!AT$103*(AU3165-AU3002-AU3113+AU3060),0)</f>
        <v>3.4872047546204552</v>
      </c>
      <c r="AV3167" s="147">
        <f>IF(AV3165-AV3002-AV3113-AV3060&gt;0,'Assumptions (T&amp;D)'!AU$103*(AV3165-AV3002-AV3113+AV3060),0)</f>
        <v>3.5130615581451199</v>
      </c>
      <c r="AW3167" s="147">
        <f>IF(AW3165-AW3002-AW3113-AW3060&gt;0,'Assumptions (T&amp;D)'!AV$103*(AW3165-AW3002-AW3113+AW3060),0)</f>
        <v>3.5341812096311234</v>
      </c>
      <c r="AX3167" s="147">
        <f>IF(AX3165-AX3002-AX3113-AX3060&gt;0,'Assumptions (T&amp;D)'!AW$103*(AX3165-AX3002-AX3113+AX3060),0)</f>
        <v>3.5675657315855003</v>
      </c>
      <c r="AY3167" s="147">
        <f>IF(AY3165-AY3002-AY3113-AY3060&gt;0,'Assumptions (T&amp;D)'!AX$103*(AY3165-AY3002-AY3113+AY3060),0)</f>
        <v>3.6009573220915256</v>
      </c>
      <c r="AZ3167" s="147">
        <f>IF(AZ3165-AZ3002-AZ3113-AZ3060&gt;0,'Assumptions (T&amp;D)'!AY$103*(AZ3165-AZ3002-AZ3113+AZ3060),0)</f>
        <v>3.6343614072423724</v>
      </c>
      <c r="BA3167" s="147">
        <f>IF(BA3165-BA3002-BA3113-BA3060&gt;0,'Assumptions (T&amp;D)'!AZ$103*(BA3165-BA3002-BA3113+BA3060),0)</f>
        <v>3.6677925373951759</v>
      </c>
    </row>
    <row r="3168" spans="1:73" ht="15.75" customHeight="1">
      <c r="A3168" s="467" t="s">
        <v>888</v>
      </c>
      <c r="B3168" s="99"/>
      <c r="C3168" s="147"/>
      <c r="D3168" s="147"/>
      <c r="E3168" s="147"/>
      <c r="F3168" s="147"/>
      <c r="G3168" s="147"/>
      <c r="H3168" s="147"/>
      <c r="I3168" s="147"/>
      <c r="J3168" s="147"/>
      <c r="K3168" s="147"/>
      <c r="L3168" s="147"/>
      <c r="M3168" s="147"/>
      <c r="N3168" s="147"/>
      <c r="O3168" s="147"/>
      <c r="P3168" s="147"/>
      <c r="Q3168" s="147"/>
      <c r="R3168" s="147"/>
      <c r="S3168" s="147"/>
      <c r="T3168" s="147"/>
      <c r="U3168" s="147"/>
      <c r="V3168" s="147"/>
      <c r="W3168" s="147"/>
      <c r="X3168" s="147"/>
      <c r="Y3168" s="147"/>
      <c r="Z3168" s="147"/>
      <c r="AA3168" s="147"/>
      <c r="AB3168" s="147"/>
      <c r="AC3168" s="147"/>
      <c r="AD3168" s="147"/>
      <c r="AE3168" s="147"/>
      <c r="AF3168" s="147"/>
      <c r="AG3168" s="147"/>
      <c r="AH3168" s="147"/>
      <c r="AI3168" s="147"/>
      <c r="AJ3168" s="147"/>
      <c r="AK3168" s="147"/>
      <c r="AL3168" s="147"/>
      <c r="AM3168" s="147"/>
      <c r="AN3168" s="147"/>
      <c r="AO3168" s="147"/>
      <c r="AP3168" s="147"/>
      <c r="AQ3168" s="147"/>
      <c r="AR3168" s="147"/>
      <c r="AS3168" s="147"/>
      <c r="AT3168" s="147"/>
      <c r="AU3168" s="147"/>
      <c r="AV3168" s="147"/>
      <c r="AW3168" s="147"/>
      <c r="AX3168" s="147"/>
      <c r="AY3168" s="147"/>
      <c r="AZ3168" s="147"/>
      <c r="BA3168" s="147"/>
    </row>
    <row r="3169" spans="1:77" ht="15.75" customHeight="1">
      <c r="A3169" s="468" t="s">
        <v>851</v>
      </c>
      <c r="B3169" s="99" t="s">
        <v>201</v>
      </c>
      <c r="C3169" s="147">
        <f>(1+'Assumptions (Oil G&amp;T)'!B43)*'Assumptions (Oil G&amp;T)'!B41</f>
        <v>5.3779807154999988</v>
      </c>
      <c r="D3169" s="147">
        <f>(1+'Assumptions (Oil G&amp;T)'!C43)*'Assumptions (Oil G&amp;T)'!C41</f>
        <v>5.81325916665</v>
      </c>
      <c r="E3169" s="147">
        <f>(1+'Assumptions (Oil G&amp;T)'!D43)*'Assumptions (Oil G&amp;T)'!D41</f>
        <v>5.9311345691499993</v>
      </c>
      <c r="F3169" s="147">
        <f>(1+'Assumptions (Oil G&amp;T)'!E43)*'Assumptions (Oil G&amp;T)'!E41</f>
        <v>5.9967880507499993</v>
      </c>
      <c r="G3169" s="147">
        <f>(1+'Assumptions (Oil G&amp;T)'!F43)*'Assumptions (Oil G&amp;T)'!F41</f>
        <v>3.8217942846999997</v>
      </c>
      <c r="H3169" s="147">
        <f>(1+'Assumptions (Oil G&amp;T)'!G43)*'Assumptions (Oil G&amp;T)'!G41</f>
        <v>3.7870082486499994</v>
      </c>
      <c r="I3169" s="147">
        <f>(1+'Assumptions (Oil G&amp;T)'!H43)*'Assumptions (Oil G&amp;T)'!H41</f>
        <v>4.6405750118499984</v>
      </c>
      <c r="J3169" s="147">
        <f>(1+'Assumptions (Oil G&amp;T)'!I43)*'Assumptions (Oil G&amp;T)'!I41</f>
        <v>5.1433331687499999</v>
      </c>
      <c r="K3169" s="147">
        <f>(1+'Assumptions (Oil G&amp;T)'!J43)*'Assumptions (Oil G&amp;T)'!J41</f>
        <v>4.799603532349999</v>
      </c>
      <c r="L3169" s="147">
        <f>(1+'Assumptions (Oil G&amp;T)'!K43)*'Assumptions (Oil G&amp;T)'!K41</f>
        <v>4.9598816014500002</v>
      </c>
      <c r="M3169" s="147">
        <f>(1+'Assumptions (Oil G&amp;T)'!L43)*'Assumptions (Oil G&amp;T)'!L41</f>
        <v>6.3499402340000008</v>
      </c>
      <c r="N3169" s="147">
        <f>(1+'Assumptions (Oil G&amp;T)'!M43)*'Assumptions (Oil G&amp;T)'!M41</f>
        <v>5.7330443091500003</v>
      </c>
      <c r="O3169" s="147">
        <f>(1+'Assumptions (Oil G&amp;T)'!N43)*'Assumptions (Oil G&amp;T)'!N41</f>
        <v>5.8911854884999997</v>
      </c>
      <c r="P3169" s="147">
        <f>(1+'Assumptions (Oil G&amp;T)'!O43)*'Assumptions (Oil G&amp;T)'!O41</f>
        <v>7.3626381183999996</v>
      </c>
      <c r="Q3169" s="147">
        <f>(1+'Assumptions (Oil G&amp;T)'!P43)*'Assumptions (Oil G&amp;T)'!P41</f>
        <v>7.9464723884999975</v>
      </c>
      <c r="R3169" s="147">
        <f>(1+'Assumptions (Oil G&amp;T)'!Q43)*'Assumptions (Oil G&amp;T)'!Q41</f>
        <v>8.7762463014499978</v>
      </c>
      <c r="S3169" s="147">
        <f>(1+'Assumptions (Oil G&amp;T)'!R43)*'Assumptions (Oil G&amp;T)'!R41</f>
        <v>9.1683295761499988</v>
      </c>
      <c r="T3169" s="147">
        <f>(1+'Assumptions (Oil G&amp;T)'!S43)*'Assumptions (Oil G&amp;T)'!S41</f>
        <v>9.0208187298872993</v>
      </c>
      <c r="U3169" s="147">
        <f>(1+'Assumptions (Oil G&amp;T)'!T43)*'Assumptions (Oil G&amp;T)'!T41</f>
        <v>10.334705782875149</v>
      </c>
      <c r="V3169" s="147">
        <f>(1+'Assumptions (Oil G&amp;T)'!U43)*'Assumptions (Oil G&amp;T)'!U41</f>
        <v>11.350930753199998</v>
      </c>
      <c r="W3169" s="147">
        <f>(1+'Assumptions (Oil G&amp;T)'!V43)*'Assumptions (Oil G&amp;T)'!V41</f>
        <v>12.1490665389</v>
      </c>
      <c r="X3169" s="147">
        <f>(1+'Assumptions (Oil G&amp;T)'!W43)*'Assumptions (Oil G&amp;T)'!W41</f>
        <v>12.558452391599999</v>
      </c>
      <c r="Y3169" s="147">
        <f>(1+'Assumptions (Oil G&amp;T)'!X43)*'Assumptions (Oil G&amp;T)'!X41</f>
        <v>12.642731296199999</v>
      </c>
      <c r="Z3169" s="147">
        <f>(1+'Assumptions (Oil G&amp;T)'!Y43)*'Assumptions (Oil G&amp;T)'!Y41</f>
        <v>12.639080164649998</v>
      </c>
      <c r="AA3169" s="147">
        <f>(1+'Assumptions (Oil G&amp;T)'!Z43)*'Assumptions (Oil G&amp;T)'!Z41</f>
        <v>12.842622674699999</v>
      </c>
      <c r="AB3169" s="147">
        <f>(1+'Assumptions (Oil G&amp;T)'!AA43)*'Assumptions (Oil G&amp;T)'!AA41</f>
        <v>12.940016150549999</v>
      </c>
      <c r="AC3169" s="147">
        <f>(1+'Assumptions (Oil G&amp;T)'!AB43)*'Assumptions (Oil G&amp;T)'!AB41</f>
        <v>13.1442796347</v>
      </c>
      <c r="AD3169" s="147">
        <f>(1+'Assumptions (Oil G&amp;T)'!AC43)*'Assumptions (Oil G&amp;T)'!AC41</f>
        <v>13.390825718549999</v>
      </c>
      <c r="AE3169" s="147">
        <f>(1+'Assumptions (Oil G&amp;T)'!AD43)*'Assumptions (Oil G&amp;T)'!AD41</f>
        <v>13.426620424199999</v>
      </c>
      <c r="AF3169" s="147">
        <f>(1+'Assumptions (Oil G&amp;T)'!AE43)*'Assumptions (Oil G&amp;T)'!AE41</f>
        <v>13.5324046071</v>
      </c>
      <c r="AG3169" s="147">
        <f>(1+'Assumptions (Oil G&amp;T)'!AF43)*'Assumptions (Oil G&amp;T)'!AF41</f>
        <v>13.6105753074</v>
      </c>
      <c r="AH3169" s="147">
        <f>(1+'Assumptions (Oil G&amp;T)'!AG43)*'Assumptions (Oil G&amp;T)'!AG41</f>
        <v>13.66774436385</v>
      </c>
      <c r="AI3169" s="147">
        <f>(1+'Assumptions (Oil G&amp;T)'!AH43)*'Assumptions (Oil G&amp;T)'!AH41</f>
        <v>13.6310069802</v>
      </c>
      <c r="AJ3169" s="147">
        <f>(1+'Assumptions (Oil G&amp;T)'!AI43)*'Assumptions (Oil G&amp;T)'!AI41</f>
        <v>13.56601369635</v>
      </c>
      <c r="AK3169" s="147">
        <f>(1+'Assumptions (Oil G&amp;T)'!AJ43)*'Assumptions (Oil G&amp;T)'!AJ41</f>
        <v>13.537858173899998</v>
      </c>
      <c r="AL3169" s="147">
        <f>(1+'Assumptions (Oil G&amp;T)'!AK43)*'Assumptions (Oil G&amp;T)'!AK41</f>
        <v>13.446678517199999</v>
      </c>
      <c r="AM3169" s="147">
        <f>(1+'Assumptions (Oil G&amp;T)'!AL43)*'Assumptions (Oil G&amp;T)'!AL41</f>
        <v>13.327688986649997</v>
      </c>
      <c r="AN3169" s="147">
        <f>(1+'Assumptions (Oil G&amp;T)'!AM43)*'Assumptions (Oil G&amp;T)'!AM41</f>
        <v>13.191474634199999</v>
      </c>
      <c r="AO3169" s="147">
        <f>(1+'Assumptions (Oil G&amp;T)'!AN43)*'Assumptions (Oil G&amp;T)'!AN41</f>
        <v>13.104204472649998</v>
      </c>
      <c r="AP3169" s="147">
        <f>(1+'Assumptions (Oil G&amp;T)'!AO43)*'Assumptions (Oil G&amp;T)'!AO41</f>
        <v>13.027922619749999</v>
      </c>
      <c r="AQ3169" s="147">
        <f>(1+'Assumptions (Oil G&amp;T)'!AP43)*'Assumptions (Oil G&amp;T)'!AP41</f>
        <v>12.948572699099998</v>
      </c>
      <c r="AR3169" s="147">
        <f>(1+'Assumptions (Oil G&amp;T)'!AQ43)*'Assumptions (Oil G&amp;T)'!AQ41</f>
        <v>12.925767747149999</v>
      </c>
      <c r="AS3169" s="147">
        <f>(1+'Assumptions (Oil G&amp;T)'!AR43)*'Assumptions (Oil G&amp;T)'!AR41</f>
        <v>12.868895459699999</v>
      </c>
      <c r="AT3169" s="147">
        <f>(1+'Assumptions (Oil G&amp;T)'!AS43)*'Assumptions (Oil G&amp;T)'!AS41</f>
        <v>12.781961345399999</v>
      </c>
      <c r="AU3169" s="147">
        <f>(1+'Assumptions (Oil G&amp;T)'!AT43)*'Assumptions (Oil G&amp;T)'!AT41</f>
        <v>12.699964070699998</v>
      </c>
      <c r="AV3169" s="147">
        <f>(1+'Assumptions (Oil G&amp;T)'!AU43)*'Assumptions (Oil G&amp;T)'!AU41</f>
        <v>12.553181250449999</v>
      </c>
      <c r="AW3169" s="147">
        <f>(1+'Assumptions (Oil G&amp;T)'!AV43)*'Assumptions (Oil G&amp;T)'!AV41</f>
        <v>12.439192277549999</v>
      </c>
      <c r="AX3169" s="147">
        <f>(1+'Assumptions (Oil G&amp;T)'!AW43)*'Assumptions (Oil G&amp;T)'!AW41</f>
        <v>12.349251195000001</v>
      </c>
      <c r="AY3169" s="147">
        <f>(1+'Assumptions (Oil G&amp;T)'!AX43)*'Assumptions (Oil G&amp;T)'!AX41</f>
        <v>12.26013931995</v>
      </c>
      <c r="AZ3169" s="147">
        <f>(1+'Assumptions (Oil G&amp;T)'!AY43)*'Assumptions (Oil G&amp;T)'!AY41</f>
        <v>12.097573625999999</v>
      </c>
      <c r="BA3169" s="147">
        <f>(1+'Assumptions (Oil G&amp;T)'!AZ43)*'Assumptions (Oil G&amp;T)'!AZ41</f>
        <v>12.0040774254</v>
      </c>
    </row>
    <row r="3170" spans="1:77" ht="15.75" customHeight="1">
      <c r="A3170" s="469" t="s">
        <v>820</v>
      </c>
      <c r="B3170" s="99" t="s">
        <v>201</v>
      </c>
      <c r="C3170" s="147">
        <f>(1+'Assumptions (Oil G&amp;T)'!B43)*'Assumptions (Oil G&amp;T)'!B36-C3281</f>
        <v>38.457582526701245</v>
      </c>
      <c r="D3170" s="147">
        <f>(1+'Assumptions (Oil G&amp;T)'!C43)*'Assumptions (Oil G&amp;T)'!C36-D3281</f>
        <v>36.220761745983424</v>
      </c>
      <c r="E3170" s="147">
        <f>(1+'Assumptions (Oil G&amp;T)'!D43)*'Assumptions (Oil G&amp;T)'!D36-E3281</f>
        <v>40.061515121527279</v>
      </c>
      <c r="F3170" s="147">
        <f>(1+'Assumptions (Oil G&amp;T)'!E43)*'Assumptions (Oil G&amp;T)'!E36-F3281</f>
        <v>35.663580132587072</v>
      </c>
      <c r="G3170" s="147">
        <f>(1+'Assumptions (Oil G&amp;T)'!F43)*'Assumptions (Oil G&amp;T)'!F36-G3281</f>
        <v>36.414522265283338</v>
      </c>
      <c r="H3170" s="147">
        <f>(1+'Assumptions (Oil G&amp;T)'!G43)*'Assumptions (Oil G&amp;T)'!G36-H3281</f>
        <v>38.041185161607046</v>
      </c>
      <c r="I3170" s="147">
        <f>(1+'Assumptions (Oil G&amp;T)'!H43)*'Assumptions (Oil G&amp;T)'!H36-I3281</f>
        <v>43.627831633115129</v>
      </c>
      <c r="J3170" s="147">
        <f>(1+'Assumptions (Oil G&amp;T)'!I43)*'Assumptions (Oil G&amp;T)'!I36-J3281</f>
        <v>42.717401469085381</v>
      </c>
      <c r="K3170" s="147">
        <f>(1+'Assumptions (Oil G&amp;T)'!J43)*'Assumptions (Oil G&amp;T)'!J36-K3281</f>
        <v>46.506009077958879</v>
      </c>
      <c r="L3170" s="147">
        <f>(1+'Assumptions (Oil G&amp;T)'!K43)*'Assumptions (Oil G&amp;T)'!K36-L3281</f>
        <v>49.469140088810171</v>
      </c>
      <c r="M3170" s="147">
        <f>(1+'Assumptions (Oil G&amp;T)'!L43)*'Assumptions (Oil G&amp;T)'!L36-M3281</f>
        <v>53.573318574996165</v>
      </c>
      <c r="N3170" s="147">
        <f>(1+'Assumptions (Oil G&amp;T)'!M43)*'Assumptions (Oil G&amp;T)'!M36-N3281</f>
        <v>60.608378228475686</v>
      </c>
      <c r="O3170" s="147">
        <f>(1+'Assumptions (Oil G&amp;T)'!N43)*'Assumptions (Oil G&amp;T)'!N36-O3281</f>
        <v>66.445302443906783</v>
      </c>
      <c r="P3170" s="147">
        <f>(1+'Assumptions (Oil G&amp;T)'!O43)*'Assumptions (Oil G&amp;T)'!O36-P3281</f>
        <v>71.137601582787426</v>
      </c>
      <c r="Q3170" s="147">
        <f>(1+'Assumptions (Oil G&amp;T)'!P43)*'Assumptions (Oil G&amp;T)'!P36-Q3281</f>
        <v>88.489644209103474</v>
      </c>
      <c r="R3170" s="147">
        <f>(1+'Assumptions (Oil G&amp;T)'!Q43)*'Assumptions (Oil G&amp;T)'!Q36-R3281</f>
        <v>103.87091477099672</v>
      </c>
      <c r="S3170" s="147">
        <f>(1+'Assumptions (Oil G&amp;T)'!R43)*'Assumptions (Oil G&amp;T)'!R36-S3281</f>
        <v>112.01091630749156</v>
      </c>
      <c r="T3170" s="147">
        <f>(1+'Assumptions (Oil G&amp;T)'!S43)*'Assumptions (Oil G&amp;T)'!S36-T3281</f>
        <v>118.41982317321191</v>
      </c>
      <c r="U3170" s="147">
        <f>(1+'Assumptions (Oil G&amp;T)'!T43)*'Assumptions (Oil G&amp;T)'!T36-U3281</f>
        <v>129.07426521719722</v>
      </c>
      <c r="V3170" s="147">
        <f>(1+'Assumptions (Oil G&amp;T)'!U43)*'Assumptions (Oil G&amp;T)'!U36-V3281</f>
        <v>139.54113197525041</v>
      </c>
      <c r="W3170" s="147">
        <f>(1+'Assumptions (Oil G&amp;T)'!V43)*'Assumptions (Oil G&amp;T)'!V36-W3281</f>
        <v>149.68830369796893</v>
      </c>
      <c r="X3170" s="147">
        <f>(1+'Assumptions (Oil G&amp;T)'!W43)*'Assumptions (Oil G&amp;T)'!W36-X3281</f>
        <v>159.4871539619578</v>
      </c>
      <c r="Y3170" s="147">
        <f>(1+'Assumptions (Oil G&amp;T)'!X43)*'Assumptions (Oil G&amp;T)'!X36-Y3281</f>
        <v>169.01689661426698</v>
      </c>
      <c r="Z3170" s="147">
        <f>(1+'Assumptions (Oil G&amp;T)'!Y43)*'Assumptions (Oil G&amp;T)'!Y36-Z3281</f>
        <v>178.46395569619696</v>
      </c>
      <c r="AA3170" s="147">
        <f>(1+'Assumptions (Oil G&amp;T)'!Z43)*'Assumptions (Oil G&amp;T)'!Z36-AA3281</f>
        <v>187.96173009596711</v>
      </c>
      <c r="AB3170" s="147">
        <f>(1+'Assumptions (Oil G&amp;T)'!AA43)*'Assumptions (Oil G&amp;T)'!AA36-AB3281</f>
        <v>197.3748188770644</v>
      </c>
      <c r="AC3170" s="147">
        <f>(1+'Assumptions (Oil G&amp;T)'!AB43)*'Assumptions (Oil G&amp;T)'!AB36-AC3281</f>
        <v>206.74234789821469</v>
      </c>
      <c r="AD3170" s="147">
        <f>(1+'Assumptions (Oil G&amp;T)'!AC43)*'Assumptions (Oil G&amp;T)'!AC36-AD3281</f>
        <v>216.07785138929688</v>
      </c>
      <c r="AE3170" s="147">
        <f>(1+'Assumptions (Oil G&amp;T)'!AD43)*'Assumptions (Oil G&amp;T)'!AD36-AE3281</f>
        <v>225.31632898577737</v>
      </c>
      <c r="AF3170" s="147">
        <f>(1+'Assumptions (Oil G&amp;T)'!AE43)*'Assumptions (Oil G&amp;T)'!AE36-AF3281</f>
        <v>234.50758615178921</v>
      </c>
      <c r="AG3170" s="147">
        <f>(1+'Assumptions (Oil G&amp;T)'!AF43)*'Assumptions (Oil G&amp;T)'!AF36-AG3281</f>
        <v>243.68363188965876</v>
      </c>
      <c r="AH3170" s="147">
        <f>(1+'Assumptions (Oil G&amp;T)'!AG43)*'Assumptions (Oil G&amp;T)'!AG36-AH3281</f>
        <v>252.8008909352051</v>
      </c>
      <c r="AI3170" s="147">
        <f>(1+'Assumptions (Oil G&amp;T)'!AH43)*'Assumptions (Oil G&amp;T)'!AH36-AI3281</f>
        <v>261.87222581929007</v>
      </c>
      <c r="AJ3170" s="147">
        <f>(1+'Assumptions (Oil G&amp;T)'!AI43)*'Assumptions (Oil G&amp;T)'!AI36-AJ3281</f>
        <v>271.26448207148707</v>
      </c>
      <c r="AK3170" s="147">
        <f>(1+'Assumptions (Oil G&amp;T)'!AJ43)*'Assumptions (Oil G&amp;T)'!AJ36-AK3281</f>
        <v>281.06581762754348</v>
      </c>
      <c r="AL3170" s="147">
        <f>(1+'Assumptions (Oil G&amp;T)'!AK43)*'Assumptions (Oil G&amp;T)'!AK36-AL3281</f>
        <v>290.91007369065028</v>
      </c>
      <c r="AM3170" s="147">
        <f>(1+'Assumptions (Oil G&amp;T)'!AL43)*'Assumptions (Oil G&amp;T)'!AL36-AM3281</f>
        <v>300.53341369019819</v>
      </c>
      <c r="AN3170" s="147">
        <f>(1+'Assumptions (Oil G&amp;T)'!AM43)*'Assumptions (Oil G&amp;T)'!AM36-AN3281</f>
        <v>310.21882636877558</v>
      </c>
      <c r="AO3170" s="147">
        <f>(1+'Assumptions (Oil G&amp;T)'!AN43)*'Assumptions (Oil G&amp;T)'!AN36-AO3281</f>
        <v>320.16526726737811</v>
      </c>
      <c r="AP3170" s="147">
        <f>(1+'Assumptions (Oil G&amp;T)'!AO43)*'Assumptions (Oil G&amp;T)'!AO36-AP3281</f>
        <v>330.22305126767503</v>
      </c>
      <c r="AQ3170" s="147">
        <f>(1+'Assumptions (Oil G&amp;T)'!AP43)*'Assumptions (Oil G&amp;T)'!AP36-AQ3281</f>
        <v>340.36517259893475</v>
      </c>
      <c r="AR3170" s="147">
        <f>(1+'Assumptions (Oil G&amp;T)'!AQ43)*'Assumptions (Oil G&amp;T)'!AQ36-AR3281</f>
        <v>350.57718650861119</v>
      </c>
      <c r="AS3170" s="147">
        <f>(1+'Assumptions (Oil G&amp;T)'!AR43)*'Assumptions (Oil G&amp;T)'!AR36-AS3281</f>
        <v>360.81201971892119</v>
      </c>
      <c r="AT3170" s="147">
        <f>(1+'Assumptions (Oil G&amp;T)'!AS43)*'Assumptions (Oil G&amp;T)'!AS36-AT3281</f>
        <v>371.08384527565306</v>
      </c>
      <c r="AU3170" s="147">
        <f>(1+'Assumptions (Oil G&amp;T)'!AT43)*'Assumptions (Oil G&amp;T)'!AT36-AU3281</f>
        <v>381.4119078649386</v>
      </c>
      <c r="AV3170" s="147">
        <f>(1+'Assumptions (Oil G&amp;T)'!AU43)*'Assumptions (Oil G&amp;T)'!AU36-AV3281</f>
        <v>391.79579083817458</v>
      </c>
      <c r="AW3170" s="147">
        <f>(1+'Assumptions (Oil G&amp;T)'!AV43)*'Assumptions (Oil G&amp;T)'!AV36-AW3281</f>
        <v>402.27083579948601</v>
      </c>
      <c r="AX3170" s="147">
        <f>(1+'Assumptions (Oil G&amp;T)'!AW43)*'Assumptions (Oil G&amp;T)'!AW36-AX3281</f>
        <v>412.81821330490448</v>
      </c>
      <c r="AY3170" s="147">
        <f>(1+'Assumptions (Oil G&amp;T)'!AX43)*'Assumptions (Oil G&amp;T)'!AX36-AY3281</f>
        <v>423.42073946643251</v>
      </c>
      <c r="AZ3170" s="147">
        <f>(1+'Assumptions (Oil G&amp;T)'!AY43)*'Assumptions (Oil G&amp;T)'!AY36-AZ3281</f>
        <v>434.07713543194097</v>
      </c>
      <c r="BA3170" s="147">
        <f>(1+'Assumptions (Oil G&amp;T)'!AZ43)*'Assumptions (Oil G&amp;T)'!AZ36-BA3281</f>
        <v>444.82406934075033</v>
      </c>
    </row>
    <row r="3171" spans="1:77" ht="15.75" customHeight="1">
      <c r="A3171" s="469" t="s">
        <v>889</v>
      </c>
      <c r="B3171" s="99" t="s">
        <v>201</v>
      </c>
      <c r="C3171" s="147">
        <f>(1+'Assumptions (Oil G&amp;T)'!B43)*'Assumptions (Oil G&amp;T)'!B38</f>
        <v>1.1621562808499999</v>
      </c>
      <c r="D3171" s="147">
        <f>(1+'Assumptions (Oil G&amp;T)'!C43)*'Assumptions (Oil G&amp;T)'!C38</f>
        <v>0.7414276366</v>
      </c>
      <c r="E3171" s="147">
        <f>(1+'Assumptions (Oil G&amp;T)'!D43)*'Assumptions (Oil G&amp;T)'!D38</f>
        <v>0.72823837285000004</v>
      </c>
      <c r="F3171" s="147">
        <f>(1+'Assumptions (Oil G&amp;T)'!E43)*'Assumptions (Oil G&amp;T)'!E38</f>
        <v>0.43395956559999993</v>
      </c>
      <c r="G3171" s="147">
        <f>(1+'Assumptions (Oil G&amp;T)'!F43)*'Assumptions (Oil G&amp;T)'!F38</f>
        <v>0.83534218189999998</v>
      </c>
      <c r="H3171" s="147">
        <f>(1+'Assumptions (Oil G&amp;T)'!G43)*'Assumptions (Oil G&amp;T)'!G38</f>
        <v>0.84233774345000001</v>
      </c>
      <c r="I3171" s="147">
        <f>(1+'Assumptions (Oil G&amp;T)'!H43)*'Assumptions (Oil G&amp;T)'!H38</f>
        <v>0.7317302363</v>
      </c>
      <c r="J3171" s="147">
        <f>(1+'Assumptions (Oil G&amp;T)'!I43)*'Assumptions (Oil G&amp;T)'!I38</f>
        <v>0.70912402045</v>
      </c>
      <c r="K3171" s="147">
        <f>(1+'Assumptions (Oil G&amp;T)'!J43)*'Assumptions (Oil G&amp;T)'!J38</f>
        <v>0.62427811524999988</v>
      </c>
      <c r="L3171" s="147">
        <f>(1+'Assumptions (Oil G&amp;T)'!K43)*'Assumptions (Oil G&amp;T)'!K38</f>
        <v>0.65663179319999987</v>
      </c>
      <c r="M3171" s="147">
        <f>(1+'Assumptions (Oil G&amp;T)'!L43)*'Assumptions (Oil G&amp;T)'!L38</f>
        <v>0.66948271084999988</v>
      </c>
      <c r="N3171" s="147">
        <f>(1+'Assumptions (Oil G&amp;T)'!M43)*'Assumptions (Oil G&amp;T)'!M38</f>
        <v>0.42740400784999999</v>
      </c>
      <c r="O3171" s="147">
        <f>(1+'Assumptions (Oil G&amp;T)'!N43)*'Assumptions (Oil G&amp;T)'!N38</f>
        <v>0.4098509541</v>
      </c>
      <c r="P3171" s="147">
        <f>(1+'Assumptions (Oil G&amp;T)'!O43)*'Assumptions (Oil G&amp;T)'!O38</f>
        <v>0.78805736969999995</v>
      </c>
      <c r="Q3171" s="147">
        <f>(1+'Assumptions (Oil G&amp;T)'!P43)*'Assumptions (Oil G&amp;T)'!P38</f>
        <v>0.85921068834999981</v>
      </c>
      <c r="R3171" s="147">
        <f>(1+'Assumptions (Oil G&amp;T)'!Q43)*'Assumptions (Oil G&amp;T)'!Q38</f>
        <v>1.1166518457500001</v>
      </c>
      <c r="S3171" s="147">
        <f>(1+'Assumptions (Oil G&amp;T)'!R43)*'Assumptions (Oil G&amp;T)'!R38</f>
        <v>1.2912727251999998</v>
      </c>
      <c r="T3171" s="147">
        <f>(1+'Assumptions (Oil G&amp;T)'!S43)*'Assumptions (Oil G&amp;T)'!S38</f>
        <v>0.76031557891666657</v>
      </c>
      <c r="U3171" s="147">
        <f>(1+'Assumptions (Oil G&amp;T)'!T43)*'Assumptions (Oil G&amp;T)'!T38</f>
        <v>0.7754308526574073</v>
      </c>
      <c r="V3171" s="147">
        <f>(1+'Assumptions (Oil G&amp;T)'!U43)*'Assumptions (Oil G&amp;T)'!U38</f>
        <v>0.78863074815267487</v>
      </c>
      <c r="W3171" s="147">
        <f>(1+'Assumptions (Oil G&amp;T)'!V43)*'Assumptions (Oil G&amp;T)'!V38</f>
        <v>0.80186941896408315</v>
      </c>
      <c r="X3171" s="147">
        <f>(1+'Assumptions (Oil G&amp;T)'!W43)*'Assumptions (Oil G&amp;T)'!W38</f>
        <v>0.84347668686564781</v>
      </c>
      <c r="Y3171" s="147">
        <f>(1+'Assumptions (Oil G&amp;T)'!X43)*'Assumptions (Oil G&amp;T)'!X38</f>
        <v>0.89165732383960883</v>
      </c>
      <c r="Z3171" s="147">
        <f>(1+'Assumptions (Oil G&amp;T)'!Y43)*'Assumptions (Oil G&amp;T)'!Y38</f>
        <v>0.90316842985512102</v>
      </c>
      <c r="AA3171" s="147">
        <f>(1+'Assumptions (Oil G&amp;T)'!Z43)*'Assumptions (Oil G&amp;T)'!Z38</f>
        <v>0.90805262335568993</v>
      </c>
      <c r="AB3171" s="147">
        <f>(1+'Assumptions (Oil G&amp;T)'!AA43)*'Assumptions (Oil G&amp;T)'!AA38</f>
        <v>0.88487493197854439</v>
      </c>
      <c r="AC3171" s="147">
        <f>(1+'Assumptions (Oil G&amp;T)'!AB43)*'Assumptions (Oil G&amp;T)'!AB38</f>
        <v>0.83971962162060487</v>
      </c>
      <c r="AD3171" s="147">
        <f>(1+'Assumptions (Oil G&amp;T)'!AC43)*'Assumptions (Oil G&amp;T)'!AC38</f>
        <v>0.84854229303215356</v>
      </c>
      <c r="AE3171" s="147">
        <f>(1+'Assumptions (Oil G&amp;T)'!AD43)*'Assumptions (Oil G&amp;T)'!AD38</f>
        <v>0.85666578640712521</v>
      </c>
      <c r="AF3171" s="147">
        <f>(1+'Assumptions (Oil G&amp;T)'!AE43)*'Assumptions (Oil G&amp;T)'!AE38</f>
        <v>0.86422523510206428</v>
      </c>
      <c r="AG3171" s="147">
        <f>(1+'Assumptions (Oil G&amp;T)'!AF43)*'Assumptions (Oil G&amp;T)'!AF38</f>
        <v>0.87115365911739573</v>
      </c>
      <c r="AH3171" s="147">
        <f>(1+'Assumptions (Oil G&amp;T)'!AG43)*'Assumptions (Oil G&amp;T)'!AG38</f>
        <v>0.87422887825647855</v>
      </c>
      <c r="AI3171" s="147">
        <f>(1+'Assumptions (Oil G&amp;T)'!AH43)*'Assumptions (Oil G&amp;T)'!AH38</f>
        <v>0.87229238430279754</v>
      </c>
      <c r="AJ3171" s="147">
        <f>(1+'Assumptions (Oil G&amp;T)'!AI43)*'Assumptions (Oil G&amp;T)'!AI38</f>
        <v>0.86886171257476152</v>
      </c>
      <c r="AK3171" s="147">
        <f>(1+'Assumptions (Oil G&amp;T)'!AJ43)*'Assumptions (Oil G&amp;T)'!AJ38</f>
        <v>0.86450716693243623</v>
      </c>
      <c r="AL3171" s="147">
        <f>(1+'Assumptions (Oil G&amp;T)'!AK43)*'Assumptions (Oil G&amp;T)'!AK38</f>
        <v>0.86224408192731294</v>
      </c>
      <c r="AM3171" s="147">
        <f>(1+'Assumptions (Oil G&amp;T)'!AL43)*'Assumptions (Oil G&amp;T)'!AL38</f>
        <v>0.86474679973916946</v>
      </c>
      <c r="AN3171" s="147">
        <f>(1+'Assumptions (Oil G&amp;T)'!AM43)*'Assumptions (Oil G&amp;T)'!AM38</f>
        <v>0.86654730048439343</v>
      </c>
      <c r="AO3171" s="147">
        <f>(1+'Assumptions (Oil G&amp;T)'!AN43)*'Assumptions (Oil G&amp;T)'!AN38</f>
        <v>0.86764524649297881</v>
      </c>
      <c r="AP3171" s="147">
        <f>(1+'Assumptions (Oil G&amp;T)'!AO43)*'Assumptions (Oil G&amp;T)'!AO38</f>
        <v>0.86802524775863599</v>
      </c>
      <c r="AQ3171" s="147">
        <f>(1+'Assumptions (Oil G&amp;T)'!AP43)*'Assumptions (Oil G&amp;T)'!AP38</f>
        <v>0.86767764649655166</v>
      </c>
      <c r="AR3171" s="147">
        <f>(1+'Assumptions (Oil G&amp;T)'!AQ43)*'Assumptions (Oil G&amp;T)'!AQ38</f>
        <v>0.86694973185655977</v>
      </c>
      <c r="AS3171" s="147">
        <f>(1+'Assumptions (Oil G&amp;T)'!AR43)*'Assumptions (Oil G&amp;T)'!AR38</f>
        <v>0.86635610380697781</v>
      </c>
      <c r="AT3171" s="147">
        <f>(1+'Assumptions (Oil G&amp;T)'!AS43)*'Assumptions (Oil G&amp;T)'!AS38</f>
        <v>0.86607770283277963</v>
      </c>
      <c r="AU3171" s="147">
        <f>(1+'Assumptions (Oil G&amp;T)'!AT43)*'Assumptions (Oil G&amp;T)'!AT38</f>
        <v>0.86625220682170667</v>
      </c>
      <c r="AV3171" s="147">
        <f>(1+'Assumptions (Oil G&amp;T)'!AU43)*'Assumptions (Oil G&amp;T)'!AU38</f>
        <v>0.86669755403219484</v>
      </c>
      <c r="AW3171" s="147">
        <f>(1+'Assumptions (Oil G&amp;T)'!AV43)*'Assumptions (Oil G&amp;T)'!AV38</f>
        <v>0.86691430450919771</v>
      </c>
      <c r="AX3171" s="147">
        <f>(1+'Assumptions (Oil G&amp;T)'!AW43)*'Assumptions (Oil G&amp;T)'!AW38</f>
        <v>0.86695508273417599</v>
      </c>
      <c r="AY3171" s="147">
        <f>(1+'Assumptions (Oil G&amp;T)'!AX43)*'Assumptions (Oil G&amp;T)'!AX38</f>
        <v>0.86687839787208665</v>
      </c>
      <c r="AZ3171" s="147">
        <f>(1+'Assumptions (Oil G&amp;T)'!AY43)*'Assumptions (Oil G&amp;T)'!AY38</f>
        <v>0.8667509701069146</v>
      </c>
      <c r="BA3171" s="147">
        <f>(1+'Assumptions (Oil G&amp;T)'!AZ43)*'Assumptions (Oil G&amp;T)'!AZ38</f>
        <v>0.86664800606362147</v>
      </c>
    </row>
    <row r="3172" spans="1:77" ht="15.75" customHeight="1">
      <c r="A3172" s="469" t="s">
        <v>822</v>
      </c>
      <c r="B3172" s="99" t="s">
        <v>201</v>
      </c>
      <c r="C3172" s="147">
        <f>(1+'Assumptions (Oil G&amp;T)'!B43)*'Assumptions (Oil G&amp;T)'!B39</f>
        <v>0.12370340354999999</v>
      </c>
      <c r="D3172" s="147">
        <f>(1+'Assumptions (Oil G&amp;T)'!C43)*'Assumptions (Oil G&amp;T)'!C39</f>
        <v>-0.12141161569999999</v>
      </c>
      <c r="E3172" s="147">
        <f>(1+'Assumptions (Oil G&amp;T)'!D43)*'Assumptions (Oil G&amp;T)'!D39</f>
        <v>-0.60138162789999994</v>
      </c>
      <c r="F3172" s="147">
        <f>(1+'Assumptions (Oil G&amp;T)'!E43)*'Assumptions (Oil G&amp;T)'!E39</f>
        <v>-0.31330121254999999</v>
      </c>
      <c r="G3172" s="147">
        <f>(1+'Assumptions (Oil G&amp;T)'!F43)*'Assumptions (Oil G&amp;T)'!F39</f>
        <v>-0.38675160904999994</v>
      </c>
      <c r="H3172" s="147">
        <f>(1+'Assumptions (Oil G&amp;T)'!G43)*'Assumptions (Oil G&amp;T)'!G39</f>
        <v>0.34747449409999998</v>
      </c>
      <c r="I3172" s="147">
        <f>(1+'Assumptions (Oil G&amp;T)'!H43)*'Assumptions (Oil G&amp;T)'!H39</f>
        <v>0.22567317905000006</v>
      </c>
      <c r="J3172" s="147">
        <f>(1+'Assumptions (Oil G&amp;T)'!I43)*'Assumptions (Oil G&amp;T)'!I39</f>
        <v>-1.0353312701499999</v>
      </c>
      <c r="K3172" s="147">
        <f>(1+'Assumptions (Oil G&amp;T)'!J43)*'Assumptions (Oil G&amp;T)'!J39</f>
        <v>-1.3132186834999999</v>
      </c>
      <c r="L3172" s="147">
        <f>(1+'Assumptions (Oil G&amp;T)'!K43)*'Assumptions (Oil G&amp;T)'!K39</f>
        <v>-0.42174059249999996</v>
      </c>
      <c r="M3172" s="147">
        <f>(1+'Assumptions (Oil G&amp;T)'!L43)*'Assumptions (Oil G&amp;T)'!L39</f>
        <v>-1.2442318210999999</v>
      </c>
      <c r="N3172" s="147">
        <f>(1+'Assumptions (Oil G&amp;T)'!M43)*'Assumptions (Oil G&amp;T)'!M39</f>
        <v>-9.4804082950000021E-2</v>
      </c>
      <c r="O3172" s="147">
        <f>(1+'Assumptions (Oil G&amp;T)'!N43)*'Assumptions (Oil G&amp;T)'!N39</f>
        <v>-1.7399771008999998</v>
      </c>
      <c r="P3172" s="147">
        <f>(1+'Assumptions (Oil G&amp;T)'!O43)*'Assumptions (Oil G&amp;T)'!O39</f>
        <v>-0.76328573719999959</v>
      </c>
      <c r="Q3172" s="147">
        <f>(1+'Assumptions (Oil G&amp;T)'!P43)*'Assumptions (Oil G&amp;T)'!P39</f>
        <v>-6.5228864673499993</v>
      </c>
      <c r="R3172" s="147">
        <f>(1+'Assumptions (Oil G&amp;T)'!Q43)*'Assumptions (Oil G&amp;T)'!Q39</f>
        <v>-6.6655024454499996</v>
      </c>
      <c r="S3172" s="147">
        <f>(1+'Assumptions (Oil G&amp;T)'!R43)*'Assumptions (Oil G&amp;T)'!R39</f>
        <v>-3.0780755732499996</v>
      </c>
      <c r="T3172" s="147">
        <f>(1+'Assumptions (Oil G&amp;T)'!S43)*'Assumptions (Oil G&amp;T)'!S39</f>
        <v>-5.3667419368223985</v>
      </c>
      <c r="U3172" s="147">
        <f>(1+'Assumptions (Oil G&amp;T)'!T43)*'Assumptions (Oil G&amp;T)'!T39</f>
        <v>-7.0839698110832003</v>
      </c>
      <c r="V3172" s="147">
        <f>(1+'Assumptions (Oil G&amp;T)'!U43)*'Assumptions (Oil G&amp;T)'!U39</f>
        <v>-8.412158441599999</v>
      </c>
      <c r="W3172" s="147">
        <f>(1+'Assumptions (Oil G&amp;T)'!V43)*'Assumptions (Oil G&amp;T)'!V39</f>
        <v>-9.4553082432000011</v>
      </c>
      <c r="X3172" s="147">
        <f>(1+'Assumptions (Oil G&amp;T)'!W43)*'Assumptions (Oil G&amp;T)'!W39</f>
        <v>-9.9903685407999987</v>
      </c>
      <c r="Y3172" s="147">
        <f>(1+'Assumptions (Oil G&amp;T)'!X43)*'Assumptions (Oil G&amp;T)'!X39</f>
        <v>-10.100519625599999</v>
      </c>
      <c r="Z3172" s="147">
        <f>(1+'Assumptions (Oil G&amp;T)'!Y43)*'Assumptions (Oil G&amp;T)'!Y39</f>
        <v>-10.095747659199999</v>
      </c>
      <c r="AA3172" s="147">
        <f>(1+'Assumptions (Oil G&amp;T)'!Z43)*'Assumptions (Oil G&amp;T)'!Z39</f>
        <v>-10.3617742336</v>
      </c>
      <c r="AB3172" s="147">
        <f>(1+'Assumptions (Oil G&amp;T)'!AA43)*'Assumptions (Oil G&amp;T)'!AA39</f>
        <v>-10.489065838399998</v>
      </c>
      <c r="AC3172" s="147">
        <f>(1+'Assumptions (Oil G&amp;T)'!AB43)*'Assumptions (Oil G&amp;T)'!AB39</f>
        <v>-10.756034713599997</v>
      </c>
      <c r="AD3172" s="147">
        <f>(1+'Assumptions (Oil G&amp;T)'!AC43)*'Assumptions (Oil G&amp;T)'!AC39</f>
        <v>-11.0782662224</v>
      </c>
      <c r="AE3172" s="147">
        <f>(1+'Assumptions (Oil G&amp;T)'!AD43)*'Assumptions (Oil G&amp;T)'!AD39</f>
        <v>-11.125049289599998</v>
      </c>
      <c r="AF3172" s="147">
        <f>(1+'Assumptions (Oil G&amp;T)'!AE43)*'Assumptions (Oil G&amp;T)'!AE39</f>
        <v>-11.263307404799999</v>
      </c>
      <c r="AG3172" s="147">
        <f>(1+'Assumptions (Oil G&amp;T)'!AF43)*'Assumptions (Oil G&amp;T)'!AF39</f>
        <v>-11.3654751712</v>
      </c>
      <c r="AH3172" s="147">
        <f>(1+'Assumptions (Oil G&amp;T)'!AG43)*'Assumptions (Oil G&amp;T)'!AG39</f>
        <v>-11.440194148799998</v>
      </c>
      <c r="AI3172" s="147">
        <f>(1+'Assumptions (Oil G&amp;T)'!AH43)*'Assumptions (Oil G&amp;T)'!AH39</f>
        <v>-11.3921790176</v>
      </c>
      <c r="AJ3172" s="147">
        <f>(1+'Assumptions (Oil G&amp;T)'!AI43)*'Assumptions (Oil G&amp;T)'!AI39</f>
        <v>-11.307233908799997</v>
      </c>
      <c r="AK3172" s="147">
        <f>(1+'Assumptions (Oil G&amp;T)'!AJ43)*'Assumptions (Oil G&amp;T)'!AJ39</f>
        <v>-11.2704351232</v>
      </c>
      <c r="AL3172" s="147">
        <f>(1+'Assumptions (Oil G&amp;T)'!AK43)*'Assumptions (Oil G&amp;T)'!AK39</f>
        <v>-11.151264873599999</v>
      </c>
      <c r="AM3172" s="147">
        <f>(1+'Assumptions (Oil G&amp;T)'!AL43)*'Assumptions (Oil G&amp;T)'!AL39</f>
        <v>-10.995747595199997</v>
      </c>
      <c r="AN3172" s="147">
        <f>(1+'Assumptions (Oil G&amp;T)'!AM43)*'Assumptions (Oil G&amp;T)'!AM39</f>
        <v>-10.817717769599998</v>
      </c>
      <c r="AO3172" s="147">
        <f>(1+'Assumptions (Oil G&amp;T)'!AN43)*'Assumptions (Oil G&amp;T)'!AN39</f>
        <v>-10.703657163199999</v>
      </c>
      <c r="AP3172" s="147">
        <f>(1+'Assumptions (Oil G&amp;T)'!AO43)*'Assumptions (Oil G&amp;T)'!AO39</f>
        <v>-10.603958087999999</v>
      </c>
      <c r="AQ3172" s="147">
        <f>(1+'Assumptions (Oil G&amp;T)'!AP43)*'Assumptions (Oil G&amp;T)'!AP39</f>
        <v>-10.5002491008</v>
      </c>
      <c r="AR3172" s="147">
        <f>(1+'Assumptions (Oil G&amp;T)'!AQ43)*'Assumptions (Oil G&amp;T)'!AQ39</f>
        <v>-10.470443419199999</v>
      </c>
      <c r="AS3172" s="147">
        <f>(1+'Assumptions (Oil G&amp;T)'!AR43)*'Assumptions (Oil G&amp;T)'!AR39</f>
        <v>-10.3961123136</v>
      </c>
      <c r="AT3172" s="147">
        <f>(1+'Assumptions (Oil G&amp;T)'!AS43)*'Assumptions (Oil G&amp;T)'!AS39</f>
        <v>-10.2824909152</v>
      </c>
      <c r="AU3172" s="147">
        <f>(1+'Assumptions (Oil G&amp;T)'!AT43)*'Assumptions (Oil G&amp;T)'!AT39</f>
        <v>-10.175321881599999</v>
      </c>
      <c r="AV3172" s="147">
        <f>(1+'Assumptions (Oil G&amp;T)'!AU43)*'Assumptions (Oil G&amp;T)'!AU39</f>
        <v>-9.9834792496000002</v>
      </c>
      <c r="AW3172" s="147">
        <f>(1+'Assumptions (Oil G&amp;T)'!AV43)*'Assumptions (Oil G&amp;T)'!AV39</f>
        <v>-9.8344976144</v>
      </c>
      <c r="AX3172" s="147">
        <f>(1+'Assumptions (Oil G&amp;T)'!AW43)*'Assumptions (Oil G&amp;T)'!AW39</f>
        <v>-9.7169461599999991</v>
      </c>
      <c r="AY3172" s="147">
        <f>(1+'Assumptions (Oil G&amp;T)'!AX43)*'Assumptions (Oil G&amp;T)'!AX39</f>
        <v>-9.6004784656000002</v>
      </c>
      <c r="AZ3172" s="147">
        <f>(1+'Assumptions (Oil G&amp;T)'!AY43)*'Assumptions (Oil G&amp;T)'!AY39</f>
        <v>-9.3880078880000006</v>
      </c>
      <c r="BA3172" s="147">
        <f>(1+'Assumptions (Oil G&amp;T)'!AZ43)*'Assumptions (Oil G&amp;T)'!AZ39</f>
        <v>-9.2658099551999982</v>
      </c>
    </row>
    <row r="3173" spans="1:77" ht="15.75" customHeight="1">
      <c r="A3173" s="468" t="s">
        <v>290</v>
      </c>
      <c r="B3173" s="99" t="s">
        <v>201</v>
      </c>
      <c r="C3173" s="147">
        <f>(1+'Assumptions (Oil G&amp;T)'!B43)*'Assumptions (Oil G&amp;T)'!B37</f>
        <v>1.9490773412999998</v>
      </c>
      <c r="D3173" s="147">
        <f>(1+'Assumptions (Oil G&amp;T)'!C43)*'Assumptions (Oil G&amp;T)'!C37</f>
        <v>2.0521318439499998</v>
      </c>
      <c r="E3173" s="147">
        <f>(1+'Assumptions (Oil G&amp;T)'!D43)*'Assumptions (Oil G&amp;T)'!D37</f>
        <v>2.08648649545</v>
      </c>
      <c r="F3173" s="147">
        <f>(1+'Assumptions (Oil G&amp;T)'!E43)*'Assumptions (Oil G&amp;T)'!E37</f>
        <v>2.1116058936999997</v>
      </c>
      <c r="G3173" s="147">
        <f>(1+'Assumptions (Oil G&amp;T)'!F43)*'Assumptions (Oil G&amp;T)'!F37</f>
        <v>3.4982555823999992</v>
      </c>
      <c r="H3173" s="147">
        <f>(1+'Assumptions (Oil G&amp;T)'!G43)*'Assumptions (Oil G&amp;T)'!G37</f>
        <v>3.2033380605500001</v>
      </c>
      <c r="I3173" s="147">
        <f>(1+'Assumptions (Oil G&amp;T)'!H43)*'Assumptions (Oil G&amp;T)'!H37</f>
        <v>2.8525679205999994</v>
      </c>
      <c r="J3173" s="147">
        <f>(1+'Assumptions (Oil G&amp;T)'!I43)*'Assumptions (Oil G&amp;T)'!I37</f>
        <v>5.399294778699999</v>
      </c>
      <c r="K3173" s="147">
        <f>(1+'Assumptions (Oil G&amp;T)'!J43)*'Assumptions (Oil G&amp;T)'!J37</f>
        <v>5.7668101640999998</v>
      </c>
      <c r="L3173" s="147">
        <f>(1+'Assumptions (Oil G&amp;T)'!K43)*'Assumptions (Oil G&amp;T)'!K37</f>
        <v>4.66180859345</v>
      </c>
      <c r="M3173" s="147">
        <f>(1+'Assumptions (Oil G&amp;T)'!L43)*'Assumptions (Oil G&amp;T)'!L37</f>
        <v>8.4727668110999979</v>
      </c>
      <c r="N3173" s="147">
        <f>(1+'Assumptions (Oil G&amp;T)'!M43)*'Assumptions (Oil G&amp;T)'!M37</f>
        <v>4.5753116240500002</v>
      </c>
      <c r="O3173" s="147">
        <f>(1+'Assumptions (Oil G&amp;T)'!N43)*'Assumptions (Oil G&amp;T)'!N37</f>
        <v>8.0919860043499998</v>
      </c>
      <c r="P3173" s="147">
        <f>(1+'Assumptions (Oil G&amp;T)'!O43)*'Assumptions (Oil G&amp;T)'!O37</f>
        <v>17.617326856699997</v>
      </c>
      <c r="Q3173" s="147">
        <f>(1+'Assumptions (Oil G&amp;T)'!P43)*'Assumptions (Oil G&amp;T)'!P37</f>
        <v>24.262797648799999</v>
      </c>
      <c r="R3173" s="147">
        <f>(1+'Assumptions (Oil G&amp;T)'!Q43)*'Assumptions (Oil G&amp;T)'!Q37</f>
        <v>18.395298425099998</v>
      </c>
      <c r="S3173" s="147">
        <f>(1+'Assumptions (Oil G&amp;T)'!R43)*'Assumptions (Oil G&amp;T)'!R37</f>
        <v>11.450754722999999</v>
      </c>
      <c r="T3173" s="147">
        <f>(1+'Assumptions (Oil G&amp;T)'!S43)*'Assumptions (Oil G&amp;T)'!S37</f>
        <v>17.724606586985875</v>
      </c>
      <c r="U3173" s="147">
        <f>(1+'Assumptions (Oil G&amp;T)'!T43)*'Assumptions (Oil G&amp;T)'!T37</f>
        <v>19.312767530795945</v>
      </c>
      <c r="V3173" s="147">
        <f>(1+'Assumptions (Oil G&amp;T)'!U43)*'Assumptions (Oil G&amp;T)'!U37</f>
        <v>20.304931320733516</v>
      </c>
      <c r="W3173" s="147">
        <f>(1+'Assumptions (Oil G&amp;T)'!V43)*'Assumptions (Oil G&amp;T)'!V37</f>
        <v>20.983188218269454</v>
      </c>
      <c r="X3173" s="147">
        <f>(1+'Assumptions (Oil G&amp;T)'!W43)*'Assumptions (Oil G&amp;T)'!W37</f>
        <v>21.303404373764693</v>
      </c>
      <c r="Y3173" s="147">
        <f>(1+'Assumptions (Oil G&amp;T)'!X43)*'Assumptions (Oil G&amp;T)'!X37</f>
        <v>21.367254152042655</v>
      </c>
      <c r="Z3173" s="147">
        <f>(1+'Assumptions (Oil G&amp;T)'!Y43)*'Assumptions (Oil G&amp;T)'!Y37</f>
        <v>21.364502105936143</v>
      </c>
      <c r="AA3173" s="147">
        <f>(1+'Assumptions (Oil G&amp;T)'!Z43)*'Assumptions (Oil G&amp;T)'!Z37</f>
        <v>21.516025582070515</v>
      </c>
      <c r="AB3173" s="147">
        <f>(1+'Assumptions (Oil G&amp;T)'!AA43)*'Assumptions (Oil G&amp;T)'!AA37</f>
        <v>21.587194888002905</v>
      </c>
      <c r="AC3173" s="147">
        <f>(1+'Assumptions (Oil G&amp;T)'!AB43)*'Assumptions (Oil G&amp;T)'!AB37</f>
        <v>21.733767824886602</v>
      </c>
      <c r="AD3173" s="147">
        <f>(1+'Assumptions (Oil G&amp;T)'!AC43)*'Assumptions (Oil G&amp;T)'!AC37</f>
        <v>21.906034578688381</v>
      </c>
      <c r="AE3173" s="147">
        <f>(1+'Assumptions (Oil G&amp;T)'!AD43)*'Assumptions (Oil G&amp;T)'!AD37</f>
        <v>21.930638352207342</v>
      </c>
      <c r="AF3173" s="147">
        <f>(1+'Assumptions (Oil G&amp;T)'!AE43)*'Assumptions (Oil G&amp;T)'!AE37</f>
        <v>22.002764973343325</v>
      </c>
      <c r="AG3173" s="147">
        <f>(1+'Assumptions (Oil G&amp;T)'!AF43)*'Assumptions (Oil G&amp;T)'!AF37</f>
        <v>22.055511558792755</v>
      </c>
      <c r="AH3173" s="147">
        <f>(1+'Assumptions (Oil G&amp;T)'!AG43)*'Assumptions (Oil G&amp;T)'!AG37</f>
        <v>22.093795167602554</v>
      </c>
      <c r="AI3173" s="147">
        <f>(1+'Assumptions (Oil G&amp;T)'!AH43)*'Assumptions (Oil G&amp;T)'!AH37</f>
        <v>22.06922186056002</v>
      </c>
      <c r="AJ3173" s="147">
        <f>(1+'Assumptions (Oil G&amp;T)'!AI43)*'Assumptions (Oil G&amp;T)'!AI37</f>
        <v>22.025500024126387</v>
      </c>
      <c r="AK3173" s="147">
        <f>(1+'Assumptions (Oil G&amp;T)'!AJ43)*'Assumptions (Oil G&amp;T)'!AJ37</f>
        <v>22.006459936708094</v>
      </c>
      <c r="AL3173" s="147">
        <f>(1+'Assumptions (Oil G&amp;T)'!AK43)*'Assumptions (Oil G&amp;T)'!AK37</f>
        <v>21.944381397860973</v>
      </c>
      <c r="AM3173" s="147">
        <f>(1+'Assumptions (Oil G&amp;T)'!AL43)*'Assumptions (Oil G&amp;T)'!AL37</f>
        <v>21.862389237771797</v>
      </c>
      <c r="AN3173" s="147">
        <f>(1+'Assumptions (Oil G&amp;T)'!AM43)*'Assumptions (Oil G&amp;T)'!AM37</f>
        <v>21.767129513076615</v>
      </c>
      <c r="AO3173" s="147">
        <f>(1+'Assumptions (Oil G&amp;T)'!AN43)*'Assumptions (Oil G&amp;T)'!AN37</f>
        <v>21.70529250552913</v>
      </c>
      <c r="AP3173" s="147">
        <f>(1+'Assumptions (Oil G&amp;T)'!AO43)*'Assumptions (Oil G&amp;T)'!AO37</f>
        <v>21.65071376014544</v>
      </c>
      <c r="AQ3173" s="147">
        <f>(1+'Assumptions (Oil G&amp;T)'!AP43)*'Assumptions (Oil G&amp;T)'!AP37</f>
        <v>21.593407289377744</v>
      </c>
      <c r="AR3173" s="147">
        <f>(1+'Assumptions (Oil G&amp;T)'!AQ43)*'Assumptions (Oil G&amp;T)'!AQ37</f>
        <v>21.57683565373944</v>
      </c>
      <c r="AS3173" s="147">
        <f>(1+'Assumptions (Oil G&amp;T)'!AR43)*'Assumptions (Oil G&amp;T)'!AR37</f>
        <v>21.535307572865715</v>
      </c>
      <c r="AT3173" s="147">
        <f>(1+'Assumptions (Oil G&amp;T)'!AS43)*'Assumptions (Oil G&amp;T)'!AS37</f>
        <v>21.471266841338149</v>
      </c>
      <c r="AU3173" s="147">
        <f>(1+'Assumptions (Oil G&amp;T)'!AT43)*'Assumptions (Oil G&amp;T)'!AT37</f>
        <v>21.410229048256692</v>
      </c>
      <c r="AV3173" s="147">
        <f>(1+'Assumptions (Oil G&amp;T)'!AU43)*'Assumptions (Oil G&amp;T)'!AU37</f>
        <v>21.299388252318643</v>
      </c>
      <c r="AW3173" s="147">
        <f>(1+'Assumptions (Oil G&amp;T)'!AV43)*'Assumptions (Oil G&amp;T)'!AV37</f>
        <v>21.21187406357652</v>
      </c>
      <c r="AX3173" s="147">
        <f>(1+'Assumptions (Oil G&amp;T)'!AW43)*'Assumptions (Oil G&amp;T)'!AW37</f>
        <v>21.141908781073447</v>
      </c>
      <c r="AY3173" s="147">
        <f>(1+'Assumptions (Oil G&amp;T)'!AX43)*'Assumptions (Oil G&amp;T)'!AX37</f>
        <v>21.071773319455755</v>
      </c>
      <c r="AZ3173" s="147">
        <f>(1+'Assumptions (Oil G&amp;T)'!AY43)*'Assumptions (Oil G&amp;T)'!AY37</f>
        <v>20.941671903718156</v>
      </c>
      <c r="BA3173" s="147">
        <f>(1+'Assumptions (Oil G&amp;T)'!AZ43)*'Assumptions (Oil G&amp;T)'!AZ37</f>
        <v>20.865546981372262</v>
      </c>
    </row>
    <row r="3174" spans="1:77" ht="15.75" customHeight="1">
      <c r="A3174" s="468" t="s">
        <v>52</v>
      </c>
      <c r="B3174" s="99" t="s">
        <v>201</v>
      </c>
      <c r="C3174" s="147">
        <f>C3173*'Assumptions (Oil G&amp;T)'!$B$71</f>
        <v>1.1694464047799997</v>
      </c>
      <c r="D3174" s="147">
        <f>D3173*'Assumptions (Oil G&amp;T)'!$B$71</f>
        <v>1.2312791063699999</v>
      </c>
      <c r="E3174" s="147">
        <f>E3173*'Assumptions (Oil G&amp;T)'!$B$71</f>
        <v>1.2518918972699999</v>
      </c>
      <c r="F3174" s="147">
        <f>F3173*'Assumptions (Oil G&amp;T)'!$B$71</f>
        <v>1.2669635362199998</v>
      </c>
      <c r="G3174" s="147">
        <f>G3173*'Assumptions (Oil G&amp;T)'!$B$71</f>
        <v>2.0989533494399994</v>
      </c>
      <c r="H3174" s="147">
        <f>H3173*'Assumptions (Oil G&amp;T)'!$B$71</f>
        <v>1.9220028363299999</v>
      </c>
      <c r="I3174" s="147">
        <f>I3173*'Assumptions (Oil G&amp;T)'!$B$71</f>
        <v>1.7115407523599997</v>
      </c>
      <c r="J3174" s="147">
        <f>J3173*'Assumptions (Oil G&amp;T)'!$B$71</f>
        <v>3.2395768672199994</v>
      </c>
      <c r="K3174" s="147">
        <f>K3173*'Assumptions (Oil G&amp;T)'!$B$71</f>
        <v>3.4600860984599997</v>
      </c>
      <c r="L3174" s="147">
        <f>L3173*'Assumptions (Oil G&amp;T)'!$B$71</f>
        <v>2.7970851560700001</v>
      </c>
      <c r="M3174" s="147">
        <f>M3173*'Assumptions (Oil G&amp;T)'!$B$71</f>
        <v>5.0836600866599984</v>
      </c>
      <c r="N3174" s="147">
        <f>N3173*'Assumptions (Oil G&amp;T)'!$B$71</f>
        <v>2.7451869744300001</v>
      </c>
      <c r="O3174" s="147">
        <f>O3173*'Assumptions (Oil G&amp;T)'!$B$71</f>
        <v>4.8551916026099997</v>
      </c>
      <c r="P3174" s="147">
        <f>P3173*'Assumptions (Oil G&amp;T)'!$B$71</f>
        <v>10.570396114019998</v>
      </c>
      <c r="Q3174" s="147">
        <f>Q3173*'Assumptions (Oil G&amp;T)'!$B$71</f>
        <v>14.557678589279998</v>
      </c>
      <c r="R3174" s="147">
        <f>R3173*'Assumptions (Oil G&amp;T)'!$B$71</f>
        <v>11.037179055059999</v>
      </c>
      <c r="S3174" s="147">
        <f>S3173*'Assumptions (Oil G&amp;T)'!$B$71</f>
        <v>6.870452833799999</v>
      </c>
      <c r="T3174" s="147">
        <f>T3173*'Assumptions (Oil G&amp;T)'!$B$71</f>
        <v>10.634763952191525</v>
      </c>
      <c r="U3174" s="147">
        <f>U3173*'Assumptions (Oil G&amp;T)'!$B$71</f>
        <v>11.587660518477566</v>
      </c>
      <c r="V3174" s="147">
        <f>V3173*'Assumptions (Oil G&amp;T)'!$B$71</f>
        <v>12.182958792440109</v>
      </c>
      <c r="W3174" s="147">
        <f>W3173*'Assumptions (Oil G&amp;T)'!$B$71</f>
        <v>12.589912930961672</v>
      </c>
      <c r="X3174" s="147">
        <f>X3173*'Assumptions (Oil G&amp;T)'!$B$71</f>
        <v>12.782042624258816</v>
      </c>
      <c r="Y3174" s="147">
        <f>Y3173*'Assumptions (Oil G&amp;T)'!$B$71</f>
        <v>12.820352491225593</v>
      </c>
      <c r="Z3174" s="147">
        <f>Z3173*'Assumptions (Oil G&amp;T)'!$B$71</f>
        <v>12.818701263561685</v>
      </c>
      <c r="AA3174" s="147">
        <f>AA3173*'Assumptions (Oil G&amp;T)'!$B$71</f>
        <v>12.909615349242308</v>
      </c>
      <c r="AB3174" s="147">
        <f>AB3173*'Assumptions (Oil G&amp;T)'!$B$71</f>
        <v>12.952316932801743</v>
      </c>
      <c r="AC3174" s="147">
        <f>AC3173*'Assumptions (Oil G&amp;T)'!$B$71</f>
        <v>13.040260694931961</v>
      </c>
      <c r="AD3174" s="147">
        <f>AD3173*'Assumptions (Oil G&amp;T)'!$B$71</f>
        <v>13.143620747213028</v>
      </c>
      <c r="AE3174" s="147">
        <f>AE3173*'Assumptions (Oil G&amp;T)'!$B$71</f>
        <v>13.158383011324405</v>
      </c>
      <c r="AF3174" s="147">
        <f>AF3173*'Assumptions (Oil G&amp;T)'!$B$71</f>
        <v>13.201658984005995</v>
      </c>
      <c r="AG3174" s="147">
        <f>AG3173*'Assumptions (Oil G&amp;T)'!$B$71</f>
        <v>13.233306935275653</v>
      </c>
      <c r="AH3174" s="147">
        <f>AH3173*'Assumptions (Oil G&amp;T)'!$B$71</f>
        <v>13.256277100561531</v>
      </c>
      <c r="AI3174" s="147">
        <f>AI3173*'Assumptions (Oil G&amp;T)'!$B$71</f>
        <v>13.241533116336011</v>
      </c>
      <c r="AJ3174" s="147">
        <f>AJ3173*'Assumptions (Oil G&amp;T)'!$B$71</f>
        <v>13.215300014475831</v>
      </c>
      <c r="AK3174" s="147">
        <f>AK3173*'Assumptions (Oil G&amp;T)'!$B$71</f>
        <v>13.203875962024856</v>
      </c>
      <c r="AL3174" s="147">
        <f>AL3173*'Assumptions (Oil G&amp;T)'!$B$71</f>
        <v>13.166628838716584</v>
      </c>
      <c r="AM3174" s="147">
        <f>AM3173*'Assumptions (Oil G&amp;T)'!$B$71</f>
        <v>13.117433542663077</v>
      </c>
      <c r="AN3174" s="147">
        <f>AN3173*'Assumptions (Oil G&amp;T)'!$B$71</f>
        <v>13.060277707845968</v>
      </c>
      <c r="AO3174" s="147">
        <f>AO3173*'Assumptions (Oil G&amp;T)'!$B$71</f>
        <v>13.023175503317477</v>
      </c>
      <c r="AP3174" s="147">
        <f>AP3173*'Assumptions (Oil G&amp;T)'!$B$71</f>
        <v>12.990428256087263</v>
      </c>
      <c r="AQ3174" s="147">
        <f>AQ3173*'Assumptions (Oil G&amp;T)'!$B$71</f>
        <v>12.956044373626646</v>
      </c>
      <c r="AR3174" s="147">
        <f>AR3173*'Assumptions (Oil G&amp;T)'!$B$71</f>
        <v>12.946101392243664</v>
      </c>
      <c r="AS3174" s="147">
        <f>AS3173*'Assumptions (Oil G&amp;T)'!$B$71</f>
        <v>12.921184543719429</v>
      </c>
      <c r="AT3174" s="147">
        <f>AT3173*'Assumptions (Oil G&amp;T)'!$B$71</f>
        <v>12.882760104802889</v>
      </c>
      <c r="AU3174" s="147">
        <f>AU3173*'Assumptions (Oil G&amp;T)'!$B$71</f>
        <v>12.846137428954014</v>
      </c>
      <c r="AV3174" s="147">
        <f>AV3173*'Assumptions (Oil G&amp;T)'!$B$71</f>
        <v>12.779632951391186</v>
      </c>
      <c r="AW3174" s="147">
        <f>AW3173*'Assumptions (Oil G&amp;T)'!$B$71</f>
        <v>12.727124438145912</v>
      </c>
      <c r="AX3174" s="147">
        <f>AX3173*'Assumptions (Oil G&amp;T)'!$B$71</f>
        <v>12.685145268644067</v>
      </c>
      <c r="AY3174" s="147">
        <f>AY3173*'Assumptions (Oil G&amp;T)'!$B$71</f>
        <v>12.643063991673452</v>
      </c>
      <c r="AZ3174" s="147">
        <f>AZ3173*'Assumptions (Oil G&amp;T)'!$B$71</f>
        <v>12.565003142230893</v>
      </c>
      <c r="BA3174" s="147">
        <f>BA3173*'Assumptions (Oil G&amp;T)'!$B$71</f>
        <v>12.519328188823357</v>
      </c>
    </row>
    <row r="3175" spans="1:77" ht="15.75" customHeight="1">
      <c r="A3175" s="468" t="s">
        <v>54</v>
      </c>
      <c r="B3175" s="99" t="s">
        <v>201</v>
      </c>
      <c r="C3175" s="147">
        <f>C3173*'Assumptions (Oil G&amp;T)'!$B$72</f>
        <v>0.77963093651999993</v>
      </c>
      <c r="D3175" s="147">
        <f>D3173*'Assumptions (Oil G&amp;T)'!$B$72</f>
        <v>0.82085273757999999</v>
      </c>
      <c r="E3175" s="147">
        <f>E3173*'Assumptions (Oil G&amp;T)'!$B$72</f>
        <v>0.83459459818000004</v>
      </c>
      <c r="F3175" s="147">
        <f>F3173*'Assumptions (Oil G&amp;T)'!$B$72</f>
        <v>0.84464235747999994</v>
      </c>
      <c r="G3175" s="147">
        <f>G3173*'Assumptions (Oil G&amp;T)'!$B$72</f>
        <v>1.3993022329599998</v>
      </c>
      <c r="H3175" s="147">
        <f>H3173*'Assumptions (Oil G&amp;T)'!$B$72</f>
        <v>1.2813352242200002</v>
      </c>
      <c r="I3175" s="147">
        <f>I3173*'Assumptions (Oil G&amp;T)'!$B$72</f>
        <v>1.1410271682399997</v>
      </c>
      <c r="J3175" s="147">
        <f>J3173*'Assumptions (Oil G&amp;T)'!$B$72</f>
        <v>2.1597179114799996</v>
      </c>
      <c r="K3175" s="147">
        <f>K3173*'Assumptions (Oil G&amp;T)'!$B$72</f>
        <v>2.3067240656400001</v>
      </c>
      <c r="L3175" s="147">
        <f>L3173*'Assumptions (Oil G&amp;T)'!$B$72</f>
        <v>1.8647234373800001</v>
      </c>
      <c r="M3175" s="147">
        <f>M3173*'Assumptions (Oil G&amp;T)'!$B$72</f>
        <v>3.3891067244399995</v>
      </c>
      <c r="N3175" s="147">
        <f>N3173*'Assumptions (Oil G&amp;T)'!$B$72</f>
        <v>1.8301246496200001</v>
      </c>
      <c r="O3175" s="147">
        <f>O3173*'Assumptions (Oil G&amp;T)'!$B$72</f>
        <v>3.2367944017400001</v>
      </c>
      <c r="P3175" s="147">
        <f>P3173*'Assumptions (Oil G&amp;T)'!$B$72</f>
        <v>7.046930742679999</v>
      </c>
      <c r="Q3175" s="147">
        <f>Q3173*'Assumptions (Oil G&amp;T)'!$B$72</f>
        <v>9.7051190595200012</v>
      </c>
      <c r="R3175" s="147">
        <f>R3173*'Assumptions (Oil G&amp;T)'!$B$72</f>
        <v>7.3581193700399998</v>
      </c>
      <c r="S3175" s="147">
        <f>S3173*'Assumptions (Oil G&amp;T)'!$B$72</f>
        <v>4.5803018892000003</v>
      </c>
      <c r="T3175" s="147">
        <f>T3173*'Assumptions (Oil G&amp;T)'!$B$72</f>
        <v>7.0898426347943504</v>
      </c>
      <c r="U3175" s="147">
        <f>U3173*'Assumptions (Oil G&amp;T)'!$B$72</f>
        <v>7.7251070123183787</v>
      </c>
      <c r="V3175" s="147">
        <f>V3173*'Assumptions (Oil G&amp;T)'!$B$72</f>
        <v>8.1219725282934068</v>
      </c>
      <c r="W3175" s="147">
        <f>W3173*'Assumptions (Oil G&amp;T)'!$B$72</f>
        <v>8.3932752873077821</v>
      </c>
      <c r="X3175" s="147">
        <f>X3173*'Assumptions (Oil G&amp;T)'!$B$72</f>
        <v>8.5213617495058767</v>
      </c>
      <c r="Y3175" s="147">
        <f>Y3173*'Assumptions (Oil G&amp;T)'!$B$72</f>
        <v>8.5469016608170616</v>
      </c>
      <c r="Z3175" s="147">
        <f>Z3173*'Assumptions (Oil G&amp;T)'!$B$72</f>
        <v>8.545800842374458</v>
      </c>
      <c r="AA3175" s="147">
        <f>AA3173*'Assumptions (Oil G&amp;T)'!$B$72</f>
        <v>8.6064102328282068</v>
      </c>
      <c r="AB3175" s="147">
        <f>AB3173*'Assumptions (Oil G&amp;T)'!$B$72</f>
        <v>8.6348779552011621</v>
      </c>
      <c r="AC3175" s="147">
        <f>AC3173*'Assumptions (Oil G&amp;T)'!$B$72</f>
        <v>8.6935071299546411</v>
      </c>
      <c r="AD3175" s="147">
        <f>AD3173*'Assumptions (Oil G&amp;T)'!$B$72</f>
        <v>8.762413831475353</v>
      </c>
      <c r="AE3175" s="147">
        <f>AE3173*'Assumptions (Oil G&amp;T)'!$B$72</f>
        <v>8.7722553408829373</v>
      </c>
      <c r="AF3175" s="147">
        <f>AF3173*'Assumptions (Oil G&amp;T)'!$B$72</f>
        <v>8.80110598933733</v>
      </c>
      <c r="AG3175" s="147">
        <f>AG3173*'Assumptions (Oil G&amp;T)'!$B$72</f>
        <v>8.8222046235171021</v>
      </c>
      <c r="AH3175" s="147">
        <f>AH3173*'Assumptions (Oil G&amp;T)'!$B$72</f>
        <v>8.8375180670410227</v>
      </c>
      <c r="AI3175" s="147">
        <f>AI3173*'Assumptions (Oil G&amp;T)'!$B$72</f>
        <v>8.8276887442240088</v>
      </c>
      <c r="AJ3175" s="147">
        <f>AJ3173*'Assumptions (Oil G&amp;T)'!$B$72</f>
        <v>8.8102000096505559</v>
      </c>
      <c r="AK3175" s="147">
        <f>AK3173*'Assumptions (Oil G&amp;T)'!$B$72</f>
        <v>8.8025839746832375</v>
      </c>
      <c r="AL3175" s="147">
        <f>AL3173*'Assumptions (Oil G&amp;T)'!$B$72</f>
        <v>8.777752559144389</v>
      </c>
      <c r="AM3175" s="147">
        <f>AM3173*'Assumptions (Oil G&amp;T)'!$B$72</f>
        <v>8.74495569510872</v>
      </c>
      <c r="AN3175" s="147">
        <f>AN3173*'Assumptions (Oil G&amp;T)'!$B$72</f>
        <v>8.7068518052306469</v>
      </c>
      <c r="AO3175" s="147">
        <f>AO3173*'Assumptions (Oil G&amp;T)'!$B$72</f>
        <v>8.6821170022116529</v>
      </c>
      <c r="AP3175" s="147">
        <f>AP3173*'Assumptions (Oil G&amp;T)'!$B$72</f>
        <v>8.6602855040581765</v>
      </c>
      <c r="AQ3175" s="147">
        <f>AQ3173*'Assumptions (Oil G&amp;T)'!$B$72</f>
        <v>8.6373629157510976</v>
      </c>
      <c r="AR3175" s="147">
        <f>AR3173*'Assumptions (Oil G&amp;T)'!$B$72</f>
        <v>8.6307342614957765</v>
      </c>
      <c r="AS3175" s="147">
        <f>AS3173*'Assumptions (Oil G&amp;T)'!$B$72</f>
        <v>8.6141230291462865</v>
      </c>
      <c r="AT3175" s="147">
        <f>AT3173*'Assumptions (Oil G&amp;T)'!$B$72</f>
        <v>8.5885067365352601</v>
      </c>
      <c r="AU3175" s="147">
        <f>AU3173*'Assumptions (Oil G&amp;T)'!$B$72</f>
        <v>8.5640916193026779</v>
      </c>
      <c r="AV3175" s="147">
        <f>AV3173*'Assumptions (Oil G&amp;T)'!$B$72</f>
        <v>8.5197553009274571</v>
      </c>
      <c r="AW3175" s="147">
        <f>AW3173*'Assumptions (Oil G&amp;T)'!$B$72</f>
        <v>8.4847496254306076</v>
      </c>
      <c r="AX3175" s="147">
        <f>AX3173*'Assumptions (Oil G&amp;T)'!$B$72</f>
        <v>8.4567635124293794</v>
      </c>
      <c r="AY3175" s="147">
        <f>AY3173*'Assumptions (Oil G&amp;T)'!$B$72</f>
        <v>8.4287093277823022</v>
      </c>
      <c r="AZ3175" s="147">
        <f>AZ3173*'Assumptions (Oil G&amp;T)'!$B$72</f>
        <v>8.376668761487263</v>
      </c>
      <c r="BA3175" s="147">
        <f>BA3173*'Assumptions (Oil G&amp;T)'!$B$72</f>
        <v>8.3462187925489051</v>
      </c>
    </row>
    <row r="3176" spans="1:77" ht="15.75" customHeight="1">
      <c r="A3176" s="468" t="s">
        <v>336</v>
      </c>
      <c r="B3176" s="99" t="s">
        <v>201</v>
      </c>
      <c r="C3176" s="91">
        <f t="array" ref="C3176">SUM(IF(ISERROR(C3177:C3227),"",C3177:C3227))</f>
        <v>-4.4774870786425357E-2</v>
      </c>
      <c r="D3176" s="91">
        <f t="array" ref="D3176">SUM(IF(ISERROR(D3177:D3227),"",D3177:D3227))</f>
        <v>-9.5275260135843809E-2</v>
      </c>
      <c r="E3176" s="91">
        <f t="array" ref="E3176">SUM(IF(ISERROR(E3177:E3227),"",E3177:E3227))</f>
        <v>-0.15035238548151519</v>
      </c>
      <c r="F3176" s="91">
        <f t="array" ref="F3176">SUM(IF(ISERROR(F3177:F3227),"",F3177:F3227))</f>
        <v>-0.2101373466293284</v>
      </c>
      <c r="G3176" s="91">
        <f t="array" ref="G3176">SUM(IF(ISERROR(G3177:G3227),"",G3177:G3227))</f>
        <v>-0.30626077040306143</v>
      </c>
      <c r="H3176" s="91">
        <f t="array" ref="H3176">SUM(IF(ISERROR(H3177:H3227),"",H3177:H3227))</f>
        <v>-0.40281850485908166</v>
      </c>
      <c r="I3176" s="91">
        <f t="array" ref="I3176">SUM(IF(ISERROR(I3177:I3227),"",I3177:I3227))</f>
        <v>-0.49856005786779478</v>
      </c>
      <c r="J3176" s="91">
        <f t="array" ref="J3176">SUM(IF(ISERROR(J3177:J3227),"",J3177:J3227))</f>
        <v>-0.65998650708674134</v>
      </c>
      <c r="K3176" s="91">
        <f t="array" ref="K3176">SUM(IF(ISERROR(K3177:K3227),"",K3177:K3227))</f>
        <v>-0.84196262902982477</v>
      </c>
      <c r="L3176" s="91">
        <f t="array" ref="L3176">SUM(IF(ISERROR(L3177:L3227),"",L3177:L3227))</f>
        <v>-1.0122024864006025</v>
      </c>
      <c r="M3176" s="91">
        <f t="array" ref="M3176">SUM(IF(ISERROR(M3177:M3227),"",M3177:M3227))</f>
        <v>-1.2827569676545967</v>
      </c>
      <c r="N3176" s="91">
        <f t="array" ref="N3176">SUM(IF(ISERROR(N3177:N3227),"",N3177:N3227))</f>
        <v>-1.4840693624806187</v>
      </c>
      <c r="O3176" s="91">
        <f t="array" ref="O3176">SUM(IF(ISERROR(O3177:O3227),"",O3177:O3227))</f>
        <v>-1.7812664326151557</v>
      </c>
      <c r="P3176" s="91">
        <f t="array" ref="P3176">SUM(IF(ISERROR(P3177:P3227),"",P3177:P3227))</f>
        <v>-2.3195726683791511</v>
      </c>
      <c r="Q3176" s="91">
        <f t="array" ref="Q3176">SUM(IF(ISERROR(Q3177:Q3227),"",Q3177:Q3227))</f>
        <v>-3.0509138979679191</v>
      </c>
      <c r="R3176" s="91">
        <f t="array" ref="R3176">SUM(IF(ISERROR(R3177:R3227),"",R3177:R3227))</f>
        <v>-3.5698321712314716</v>
      </c>
      <c r="S3176" s="91">
        <f t="array" ref="S3176">SUM(IF(ISERROR(S3177:S3227),"",S3177:S3227))</f>
        <v>-3.9611320278766171</v>
      </c>
      <c r="T3176" s="91">
        <f t="array" ref="T3176">SUM(IF(ISERROR(T3177:T3227),"",T3177:T3227))</f>
        <v>-4.5235692767817346</v>
      </c>
      <c r="U3176" s="91">
        <f t="array" ref="U3176">SUM(IF(ISERROR(U3177:U3227),"",U3177:U3227))</f>
        <v>-5.1629656709914693</v>
      </c>
      <c r="V3176" s="91">
        <f t="array" ref="V3176">SUM(IF(ISERROR(V3177:V3227),"",V3177:V3227))</f>
        <v>-5.7788552938925157</v>
      </c>
      <c r="W3176" s="91">
        <f t="array" ref="W3176">SUM(IF(ISERROR(W3177:W3227),"",W3177:W3227))</f>
        <v>-6.4765640223413286</v>
      </c>
      <c r="X3176" s="91">
        <f t="array" ref="X3176">SUM(IF(ISERROR(X3177:X3227),"",X3177:X3227))</f>
        <v>-7.2577996882117768</v>
      </c>
      <c r="Y3176" s="91">
        <f t="array" ref="Y3176">SUM(IF(ISERROR(Y3177:Y3227),"",Y3177:Y3227))</f>
        <v>-7.9259878196008486</v>
      </c>
      <c r="Z3176" s="91">
        <f t="array" ref="Z3176">SUM(IF(ISERROR(Z3177:Z3227),"",Z3177:Z3227))</f>
        <v>-8.6192459585247096</v>
      </c>
      <c r="AA3176" s="91">
        <f t="array" ref="AA3176">SUM(IF(ISERROR(AA3177:AA3227),"",AA3177:AA3227))</f>
        <v>-9.4430888513424343</v>
      </c>
      <c r="AB3176" s="91">
        <f t="array" ref="AB3176">SUM(IF(ISERROR(AB3177:AB3227),"",AB3177:AB3227))</f>
        <v>-10.071315132364999</v>
      </c>
      <c r="AC3176" s="91">
        <f t="array" ref="AC3176">SUM(IF(ISERROR(AC3177:AC3227),"",AC3177:AC3227))</f>
        <v>-11.014944664001291</v>
      </c>
      <c r="AD3176" s="91">
        <f t="array" ref="AD3176">SUM(IF(ISERROR(AD3177:AD3227),"",AD3177:AD3227))</f>
        <v>-11.794267188441168</v>
      </c>
      <c r="AE3176" s="91">
        <f t="array" ref="AE3176">SUM(IF(ISERROR(AE3177:AE3227),"",AE3177:AE3227))</f>
        <v>-11.9851443847826</v>
      </c>
      <c r="AF3176" s="91">
        <f t="array" ref="AF3176">SUM(IF(ISERROR(AF3177:AF3227),"",AF3177:AF3227))</f>
        <v>-11.740286076452852</v>
      </c>
      <c r="AG3176" s="91">
        <f t="array" ref="AG3176">SUM(IF(ISERROR(AG3177:AG3227),"",AG3177:AG3227))</f>
        <v>-11.877102770051549</v>
      </c>
      <c r="AH3176" s="91">
        <f t="array" ref="AH3176">SUM(IF(ISERROR(AH3177:AH3227),"",AH3177:AH3227))</f>
        <v>-12.497097077649657</v>
      </c>
      <c r="AI3176" s="91">
        <f t="array" ref="AI3176">SUM(IF(ISERROR(AI3177:AI3227),"",AI3177:AI3227))</f>
        <v>-12.736578048906754</v>
      </c>
      <c r="AJ3176" s="91">
        <f t="array" ref="AJ3176">SUM(IF(ISERROR(AJ3177:AJ3227),"",AJ3177:AJ3227))</f>
        <v>-12.885064681608881</v>
      </c>
      <c r="AK3176" s="91">
        <f t="array" ref="AK3176">SUM(IF(ISERROR(AK3177:AK3227),"",AK3177:AK3227))</f>
        <v>-12.976810720164389</v>
      </c>
      <c r="AL3176" s="91">
        <f t="array" ref="AL3176">SUM(IF(ISERROR(AL3177:AL3227),"",AL3177:AL3227))</f>
        <v>-13.027908912566355</v>
      </c>
      <c r="AM3176" s="91">
        <f t="array" ref="AM3176">SUM(IF(ISERROR(AM3177:AM3227),"",AM3177:AM3227))</f>
        <v>-13.059190075519874</v>
      </c>
      <c r="AN3176" s="91">
        <f t="array" ref="AN3176">SUM(IF(ISERROR(AN3177:AN3227),"",AN3177:AN3227))</f>
        <v>-13.086288967794028</v>
      </c>
      <c r="AO3176" s="91">
        <f t="array" ref="AO3176">SUM(IF(ISERROR(AO3177:AO3227),"",AO3177:AO3227))</f>
        <v>-13.114186799136878</v>
      </c>
      <c r="AP3176" s="91">
        <f t="array" ref="AP3176">SUM(IF(ISERROR(AP3177:AP3227),"",AP3177:AP3227))</f>
        <v>-13.132623760735733</v>
      </c>
      <c r="AQ3176" s="91">
        <f t="array" ref="AQ3176">SUM(IF(ISERROR(AQ3177:AQ3227),"",AQ3177:AQ3227))</f>
        <v>-13.146289486238267</v>
      </c>
      <c r="AR3176" s="91">
        <f t="array" ref="AR3176">SUM(IF(ISERROR(AR3177:AR3227),"",AR3177:AR3227))</f>
        <v>-13.150636546118685</v>
      </c>
      <c r="AS3176" s="91">
        <f t="array" ref="AS3176">SUM(IF(ISERROR(AS3177:AS3227),"",AS3177:AS3227))</f>
        <v>-13.142646263561964</v>
      </c>
      <c r="AT3176" s="91">
        <f t="array" ref="AT3176">SUM(IF(ISERROR(AT3177:AT3227),"",AT3177:AT3227))</f>
        <v>-13.130913168140724</v>
      </c>
      <c r="AU3176" s="91">
        <f t="array" ref="AU3176">SUM(IF(ISERROR(AU3177:AU3227),"",AU3177:AU3227))</f>
        <v>-13.111995294179099</v>
      </c>
      <c r="AV3176" s="91">
        <f t="array" ref="AV3176">SUM(IF(ISERROR(AV3177:AV3227),"",AV3177:AV3227))</f>
        <v>-13.085526998093492</v>
      </c>
      <c r="AW3176" s="91">
        <f t="array" ref="AW3176">SUM(IF(ISERROR(AW3177:AW3227),"",AW3177:AW3227))</f>
        <v>-13.052460947407948</v>
      </c>
      <c r="AX3176" s="91">
        <f t="array" ref="AX3176">SUM(IF(ISERROR(AX3177:AX3227),"",AX3177:AX3227))</f>
        <v>-13.0169779817648</v>
      </c>
      <c r="AY3176" s="91">
        <f t="array" ref="AY3176">SUM(IF(ISERROR(AY3177:AY3227),"",AY3177:AY3227))</f>
        <v>-12.980194493513281</v>
      </c>
      <c r="AZ3176" s="91">
        <f t="array" ref="AZ3176">SUM(IF(ISERROR(AZ3177:AZ3227),"",AZ3177:AZ3227))</f>
        <v>-12.938957708787077</v>
      </c>
      <c r="BA3176" s="91">
        <f t="array" ref="BA3176">SUM(IF(ISERROR(BA3177:BA3227),"",BA3177:BA3227))</f>
        <v>-12.897099021132412</v>
      </c>
      <c r="BB3176" s="91">
        <f t="array" ref="BB3176">SUM(IF(ISERROR(BB3177:BB3227),"",BB3177:BB3227))</f>
        <v>-12.378343654921032</v>
      </c>
      <c r="BC3176" s="91">
        <f t="array" ref="BC3176">SUM(IF(ISERROR(BC3177:BC3227),"",BC3177:BC3227))</f>
        <v>-11.827156662806027</v>
      </c>
      <c r="BD3176" s="91">
        <f t="array" ref="BD3176">SUM(IF(ISERROR(BD3177:BD3227),"",BD3177:BD3227))</f>
        <v>-11.23883385249237</v>
      </c>
      <c r="BE3176" s="91">
        <f t="array" ref="BE3176">SUM(IF(ISERROR(BE3177:BE3227),"",BE3177:BE3227))</f>
        <v>-10.610096676538827</v>
      </c>
      <c r="BF3176" s="91">
        <f t="array" ref="BF3176">SUM(IF(ISERROR(BF3177:BF3227),"",BF3177:BF3227))</f>
        <v>-9.9380994674044256</v>
      </c>
      <c r="BG3176" s="91">
        <f t="array" ref="BG3176">SUM(IF(ISERROR(BG3177:BG3227),"",BG3177:BG3227))</f>
        <v>-9.2168288804659468</v>
      </c>
      <c r="BH3176" s="91">
        <f t="array" ref="BH3176">SUM(IF(ISERROR(BH3177:BH3227),"",BH3177:BH3227))</f>
        <v>-8.4442857604125567</v>
      </c>
      <c r="BI3176" s="91">
        <f t="array" ref="BI3176">SUM(IF(ISERROR(BI3177:BI3227),"",BI3177:BI3227))</f>
        <v>-7.6181549048446344</v>
      </c>
      <c r="BJ3176" s="91">
        <f t="array" ref="BJ3176">SUM(IF(ISERROR(BJ3177:BJ3227),"",BJ3177:BJ3227))</f>
        <v>-6.7342131168402712</v>
      </c>
      <c r="BK3176" s="91">
        <f t="array" ref="BK3176">SUM(IF(ISERROR(BK3177:BK3227),"",BK3177:BK3227))</f>
        <v>-5.7915098031972043</v>
      </c>
      <c r="BL3176" s="91">
        <f t="array" ref="BL3176">SUM(IF(ISERROR(BL3177:BL3227),"",BL3177:BL3227))</f>
        <v>-4.7840522853762781</v>
      </c>
      <c r="BM3176" s="91">
        <f t="array" ref="BM3176">SUM(IF(ISERROR(BM3177:BM3227),"",BM3177:BM3227))</f>
        <v>-3.7057911578118947</v>
      </c>
      <c r="BN3176" s="91">
        <f t="array" ref="BN3176">SUM(IF(ISERROR(BN3177:BN3227),"",BN3177:BN3227))</f>
        <v>-2.551427717246229</v>
      </c>
      <c r="BO3176" s="91">
        <f t="array" ref="BO3176">SUM(IF(ISERROR(BO3177:BO3227),"",BO3177:BO3227))</f>
        <v>-1.319330316531141</v>
      </c>
      <c r="BP3176" s="91">
        <f t="array" ref="BP3176">SUM(IF(ISERROR(BP3177:BP3227),"",BP3177:BP3227))</f>
        <v>0</v>
      </c>
      <c r="BQ3176" s="91">
        <f t="array" ref="BQ3176">SUM(IF(ISERROR(BQ3177:BQ3227),"",BQ3177:BQ3227))</f>
        <v>0</v>
      </c>
      <c r="BR3176" s="91">
        <f t="array" ref="BR3176">SUM(IF(ISERROR(BR3177:BR3227),"",BR3177:BR3227))</f>
        <v>0</v>
      </c>
      <c r="BS3176" s="91">
        <f t="array" ref="BS3176">SUM(IF(ISERROR(BS3177:BS3227),"",BS3177:BS3227))</f>
        <v>0</v>
      </c>
      <c r="BT3176" s="91">
        <f t="array" ref="BT3176">SUM(IF(ISERROR(BT3177:BT3227),"",BT3177:BT3227))</f>
        <v>0</v>
      </c>
      <c r="BU3176" s="91">
        <f t="array" ref="BU3176">SUM(IF(ISERROR(BU3177:BU3227),"",BU3177:BU3227))</f>
        <v>0</v>
      </c>
      <c r="BV3176" s="91">
        <f t="array" ref="BV3176">SUM(IF(ISERROR(BV3177:BV3227),"",BV3177:BV3227))</f>
        <v>0</v>
      </c>
      <c r="BW3176" s="91">
        <f t="array" ref="BW3176">SUM(IF(ISERROR(BW3177:BW3227),"",BW3177:BW3227))</f>
        <v>0</v>
      </c>
      <c r="BX3176" s="91">
        <f t="array" ref="BX3176">SUM(IF(ISERROR(BX3177:BX3227),"",BX3177:BX3227))</f>
        <v>0</v>
      </c>
      <c r="BY3176" s="91">
        <f t="array" ref="BY3176">SUM(IF(ISERROR(BY3177:BY3227),"",BY3177:BY3227))</f>
        <v>0</v>
      </c>
    </row>
    <row r="3177" spans="1:77" ht="15.75" hidden="1" customHeight="1" outlineLevel="1">
      <c r="A3177" s="468"/>
      <c r="B3177" s="99"/>
      <c r="C3177" s="377">
        <f>PPMT('Assumptions (Oil G&amp;T)'!$B$73,Model!W$1,'Assumptions (Oil G&amp;T)'!$B$76,Model!$C$3174)</f>
        <v>-4.4774870786425357E-2</v>
      </c>
      <c r="D3177" s="377">
        <f>PPMT('Assumptions (Oil G&amp;T)'!$B$73,Model!X$1,'Assumptions (Oil G&amp;T)'!$B$76,Model!$C$3174)</f>
        <v>-4.8132986095407261E-2</v>
      </c>
      <c r="E3177" s="377">
        <f>PPMT('Assumptions (Oil G&amp;T)'!$B$73,Model!Y$1,'Assumptions (Oil G&amp;T)'!$B$76,Model!$C$3174)</f>
        <v>-5.1742960052562813E-2</v>
      </c>
      <c r="F3177" s="377">
        <f>PPMT('Assumptions (Oil G&amp;T)'!$B$73,Model!Z$1,'Assumptions (Oil G&amp;T)'!$B$76,Model!$C$3174)</f>
        <v>-5.5623682056505024E-2</v>
      </c>
      <c r="G3177" s="377">
        <f>PPMT('Assumptions (Oil G&amp;T)'!$B$73,Model!AA$1,'Assumptions (Oil G&amp;T)'!$B$76,Model!$C$3174)</f>
        <v>-5.9795458210742891E-2</v>
      </c>
      <c r="H3177" s="377">
        <f>PPMT('Assumptions (Oil G&amp;T)'!$B$73,Model!AB$1,'Assumptions (Oil G&amp;T)'!$B$76,Model!$C$3174)</f>
        <v>-6.4280117576548612E-2</v>
      </c>
      <c r="I3177" s="377">
        <f>PPMT('Assumptions (Oil G&amp;T)'!$B$73,Model!AC$1,'Assumptions (Oil G&amp;T)'!$B$76,Model!$C$3174)</f>
        <v>-6.9101126394789755E-2</v>
      </c>
      <c r="J3177" s="377">
        <f>PPMT('Assumptions (Oil G&amp;T)'!$B$73,Model!AD$1,'Assumptions (Oil G&amp;T)'!$B$76,Model!$C$3174)</f>
        <v>-7.4283710874398987E-2</v>
      </c>
      <c r="K3177" s="377">
        <f>PPMT('Assumptions (Oil G&amp;T)'!$B$73,Model!AE$1,'Assumptions (Oil G&amp;T)'!$B$76,Model!$C$3174)</f>
        <v>-7.9854989189978923E-2</v>
      </c>
      <c r="L3177" s="377">
        <f>PPMT('Assumptions (Oil G&amp;T)'!$B$73,Model!AF$1,'Assumptions (Oil G&amp;T)'!$B$76,Model!$C$3174)</f>
        <v>-8.584411337922733E-2</v>
      </c>
      <c r="M3177" s="377">
        <f>PPMT('Assumptions (Oil G&amp;T)'!$B$73,Model!AG$1,'Assumptions (Oil G&amp;T)'!$B$76,Model!$C$3174)</f>
        <v>-9.2282421882669372E-2</v>
      </c>
      <c r="N3177" s="377">
        <f>PPMT('Assumptions (Oil G&amp;T)'!$B$73,Model!AH$1,'Assumptions (Oil G&amp;T)'!$B$76,Model!$C$3174)</f>
        <v>-9.9203603523869574E-2</v>
      </c>
      <c r="O3177" s="377">
        <f>PPMT('Assumptions (Oil G&amp;T)'!$B$73,Model!AI$1,'Assumptions (Oil G&amp;T)'!$B$76,Model!$C$3174)</f>
        <v>-0.1066438737881598</v>
      </c>
      <c r="P3177" s="377">
        <f>PPMT('Assumptions (Oil G&amp;T)'!$B$73,Model!AJ$1,'Assumptions (Oil G&amp;T)'!$B$76,Model!$C$3174)</f>
        <v>-0.1146421643222718</v>
      </c>
      <c r="Q3177" s="377">
        <f>PPMT('Assumptions (Oil G&amp;T)'!$B$73,Model!AK$1,'Assumptions (Oil G&amp;T)'!$B$76,Model!$C$3174)</f>
        <v>-0.12324032664644217</v>
      </c>
      <c r="R3177" s="377" t="e">
        <f>PPMT('Assumptions (Oil G&amp;T)'!$B$73,Model!AL$1,'Assumptions (Oil G&amp;T)'!$B$76,Model!$C$3174)</f>
        <v>#NUM!</v>
      </c>
      <c r="S3177" s="377" t="e">
        <f>PPMT('Assumptions (Oil G&amp;T)'!$B$73,Model!AM$1,'Assumptions (Oil G&amp;T)'!$B$76,Model!$C$3174)</f>
        <v>#NUM!</v>
      </c>
      <c r="T3177" s="377" t="e">
        <f>PPMT('Assumptions (Oil G&amp;T)'!$B$73,Model!AN$1,'Assumptions (Oil G&amp;T)'!$B$76,Model!$C$3174)</f>
        <v>#NUM!</v>
      </c>
      <c r="U3177" s="377" t="e">
        <f>PPMT('Assumptions (Oil G&amp;T)'!$B$73,Model!AO$1,'Assumptions (Oil G&amp;T)'!$B$76,Model!$C$3174)</f>
        <v>#NUM!</v>
      </c>
      <c r="V3177" s="377" t="e">
        <f>PPMT('Assumptions (Oil G&amp;T)'!$B$73,Model!AP$1,'Assumptions (Oil G&amp;T)'!$B$76,Model!$C$3174)</f>
        <v>#NUM!</v>
      </c>
      <c r="W3177" s="377" t="e">
        <f>PPMT('Assumptions (Oil G&amp;T)'!$B$73,Model!AQ$1,'Assumptions (Oil G&amp;T)'!$B$76,Model!$C$3174)</f>
        <v>#NUM!</v>
      </c>
      <c r="X3177" s="377" t="e">
        <f>PPMT('Assumptions (Oil G&amp;T)'!$B$73,Model!AR$1,'Assumptions (Oil G&amp;T)'!$B$76,Model!$C$3174)</f>
        <v>#NUM!</v>
      </c>
      <c r="Y3177" s="377" t="e">
        <f>PPMT('Assumptions (Oil G&amp;T)'!$B$73,Model!AS$1,'Assumptions (Oil G&amp;T)'!$B$76,Model!$C$3174)</f>
        <v>#NUM!</v>
      </c>
      <c r="Z3177" s="377" t="e">
        <f>PPMT('Assumptions (Oil G&amp;T)'!$B$73,Model!AT$1,'Assumptions (Oil G&amp;T)'!$B$76,Model!$C$3174)</f>
        <v>#NUM!</v>
      </c>
      <c r="AA3177" s="377" t="e">
        <f>PPMT('Assumptions (Oil G&amp;T)'!$B$73,Model!AU$1,'Assumptions (Oil G&amp;T)'!$B$76,Model!$C$3174)</f>
        <v>#NUM!</v>
      </c>
      <c r="AB3177" s="377"/>
    </row>
    <row r="3178" spans="1:77" ht="15.75" hidden="1" customHeight="1" outlineLevel="1">
      <c r="A3178" s="468"/>
      <c r="B3178" s="99"/>
      <c r="C3178" s="377"/>
      <c r="D3178" s="377">
        <f>PPMT('Assumptions (Oil G&amp;T)'!$B$73,Model!W$1,'Assumptions (Oil G&amp;T)'!$B$76,Model!$D$3174)</f>
        <v>-4.7142274040436548E-2</v>
      </c>
      <c r="E3178" s="377">
        <f>PPMT('Assumptions (Oil G&amp;T)'!$B$73,Model!X$1,'Assumptions (Oil G&amp;T)'!$B$76,Model!$D$3174)</f>
        <v>-5.0677944593469297E-2</v>
      </c>
      <c r="F3178" s="377">
        <f>PPMT('Assumptions (Oil G&amp;T)'!$B$73,Model!Y$1,'Assumptions (Oil G&amp;T)'!$B$76,Model!$D$3174)</f>
        <v>-5.4478790437979499E-2</v>
      </c>
      <c r="G3178" s="377">
        <f>PPMT('Assumptions (Oil G&amp;T)'!$B$73,Model!Z$1,'Assumptions (Oil G&amp;T)'!$B$76,Model!$D$3174)</f>
        <v>-5.8564699720827958E-2</v>
      </c>
      <c r="H3178" s="377">
        <f>PPMT('Assumptions (Oil G&amp;T)'!$B$73,Model!AA$1,'Assumptions (Oil G&amp;T)'!$B$76,Model!$D$3174)</f>
        <v>-6.2957052199890035E-2</v>
      </c>
      <c r="I3178" s="377">
        <f>PPMT('Assumptions (Oil G&amp;T)'!$B$73,Model!AB$1,'Assumptions (Oil G&amp;T)'!$B$76,Model!$D$3174)</f>
        <v>-6.7678831114881807E-2</v>
      </c>
      <c r="J3178" s="377">
        <f>PPMT('Assumptions (Oil G&amp;T)'!$B$73,Model!AC$1,'Assumptions (Oil G&amp;T)'!$B$76,Model!$D$3174)</f>
        <v>-7.275474344849793E-2</v>
      </c>
      <c r="K3178" s="377">
        <f>PPMT('Assumptions (Oil G&amp;T)'!$B$73,Model!AD$1,'Assumptions (Oil G&amp;T)'!$B$76,Model!$D$3174)</f>
        <v>-7.8211349207135281E-2</v>
      </c>
      <c r="L3178" s="377">
        <f>PPMT('Assumptions (Oil G&amp;T)'!$B$73,Model!AE$1,'Assumptions (Oil G&amp;T)'!$B$76,Model!$D$3174)</f>
        <v>-8.4077200397670429E-2</v>
      </c>
      <c r="M3178" s="377">
        <f>PPMT('Assumptions (Oil G&amp;T)'!$B$73,Model!AF$1,'Assumptions (Oil G&amp;T)'!$B$76,Model!$D$3174)</f>
        <v>-9.0382990427495716E-2</v>
      </c>
      <c r="N3178" s="377">
        <f>PPMT('Assumptions (Oil G&amp;T)'!$B$73,Model!AG$1,'Assumptions (Oil G&amp;T)'!$B$76,Model!$D$3174)</f>
        <v>-9.7161714709557881E-2</v>
      </c>
      <c r="O3178" s="377">
        <f>PPMT('Assumptions (Oil G&amp;T)'!$B$73,Model!AH$1,'Assumptions (Oil G&amp;T)'!$B$76,Model!$D$3174)</f>
        <v>-0.10444884331277474</v>
      </c>
      <c r="P3178" s="377">
        <f>PPMT('Assumptions (Oil G&amp;T)'!$B$73,Model!AI$1,'Assumptions (Oil G&amp;T)'!$B$76,Model!$D$3174)</f>
        <v>-0.11228250656123284</v>
      </c>
      <c r="Q3178" s="377">
        <f>PPMT('Assumptions (Oil G&amp;T)'!$B$73,Model!AJ$1,'Assumptions (Oil G&amp;T)'!$B$76,Model!$D$3174)</f>
        <v>-0.12070369455332532</v>
      </c>
      <c r="R3178" s="377">
        <f>PPMT('Assumptions (Oil G&amp;T)'!$B$73,Model!AK$1,'Assumptions (Oil G&amp;T)'!$B$76,Model!$D$3174)</f>
        <v>-0.12975647164482471</v>
      </c>
      <c r="S3178" s="377" t="e">
        <f>PPMT('Assumptions (Oil G&amp;T)'!$B$73,Model!AL$1,'Assumptions (Oil G&amp;T)'!$B$76,Model!$D$3174)</f>
        <v>#NUM!</v>
      </c>
      <c r="T3178" s="377" t="e">
        <f>PPMT('Assumptions (Oil G&amp;T)'!$B$73,Model!AM$1,'Assumptions (Oil G&amp;T)'!$B$76,Model!$D$3174)</f>
        <v>#NUM!</v>
      </c>
      <c r="U3178" s="377" t="e">
        <f>PPMT('Assumptions (Oil G&amp;T)'!$B$73,Model!AN$1,'Assumptions (Oil G&amp;T)'!$B$76,Model!$D$3174)</f>
        <v>#NUM!</v>
      </c>
      <c r="V3178" s="377" t="e">
        <f>PPMT('Assumptions (Oil G&amp;T)'!$B$73,Model!AO$1,'Assumptions (Oil G&amp;T)'!$B$76,Model!$D$3174)</f>
        <v>#NUM!</v>
      </c>
      <c r="W3178" s="377" t="e">
        <f>PPMT('Assumptions (Oil G&amp;T)'!$B$73,Model!AP$1,'Assumptions (Oil G&amp;T)'!$B$76,Model!$D$3174)</f>
        <v>#NUM!</v>
      </c>
      <c r="X3178" s="377" t="e">
        <f>PPMT('Assumptions (Oil G&amp;T)'!$B$73,Model!AQ$1,'Assumptions (Oil G&amp;T)'!$B$76,Model!$D$3174)</f>
        <v>#NUM!</v>
      </c>
      <c r="Y3178" s="377" t="e">
        <f>PPMT('Assumptions (Oil G&amp;T)'!$B$73,Model!AR$1,'Assumptions (Oil G&amp;T)'!$B$76,Model!$D$3174)</f>
        <v>#NUM!</v>
      </c>
      <c r="Z3178" s="377" t="e">
        <f>PPMT('Assumptions (Oil G&amp;T)'!$B$73,Model!AS$1,'Assumptions (Oil G&amp;T)'!$B$76,Model!$D$3174)</f>
        <v>#NUM!</v>
      </c>
      <c r="AA3178" s="377" t="e">
        <f>PPMT('Assumptions (Oil G&amp;T)'!$B$73,Model!AT$1,'Assumptions (Oil G&amp;T)'!$B$76,Model!$D$3174)</f>
        <v>#NUM!</v>
      </c>
      <c r="AB3178" s="377" t="e">
        <f>PPMT('Assumptions (Oil G&amp;T)'!$B$73,Model!AU$1,'Assumptions (Oil G&amp;T)'!$B$76,Model!$D$3174)</f>
        <v>#NUM!</v>
      </c>
    </row>
    <row r="3179" spans="1:77" ht="15.75" hidden="1" customHeight="1" outlineLevel="1">
      <c r="A3179" s="468"/>
      <c r="B3179" s="99"/>
      <c r="C3179" s="377"/>
      <c r="D3179" s="377"/>
      <c r="E3179" s="377">
        <f>PPMT('Assumptions (Oil G&amp;T)'!$B$73,Model!W$1,'Assumptions (Oil G&amp;T)'!$B$76,Model!$E$3174)</f>
        <v>-4.7931480835483077E-2</v>
      </c>
      <c r="F3179" s="377">
        <f>PPMT('Assumptions (Oil G&amp;T)'!$B$73,Model!X$1,'Assumptions (Oil G&amp;T)'!$B$76,Model!$E$3174)</f>
        <v>-5.1526341898144305E-2</v>
      </c>
      <c r="G3179" s="377">
        <f>PPMT('Assumptions (Oil G&amp;T)'!$B$73,Model!Y$1,'Assumptions (Oil G&amp;T)'!$B$76,Model!$E$3174)</f>
        <v>-5.5390817540505136E-2</v>
      </c>
      <c r="H3179" s="377">
        <f>PPMT('Assumptions (Oil G&amp;T)'!$B$73,Model!Z$1,'Assumptions (Oil G&amp;T)'!$B$76,Model!$E$3174)</f>
        <v>-5.954512885604301E-2</v>
      </c>
      <c r="I3179" s="377">
        <f>PPMT('Assumptions (Oil G&amp;T)'!$B$73,Model!AA$1,'Assumptions (Oil G&amp;T)'!$B$76,Model!$E$3174)</f>
        <v>-6.4011013520246227E-2</v>
      </c>
      <c r="J3179" s="377">
        <f>PPMT('Assumptions (Oil G&amp;T)'!$B$73,Model!AB$1,'Assumptions (Oil G&amp;T)'!$B$76,Model!$E$3174)</f>
        <v>-6.8811839534264715E-2</v>
      </c>
      <c r="K3179" s="377">
        <f>PPMT('Assumptions (Oil G&amp;T)'!$B$73,Model!AC$1,'Assumptions (Oil G&amp;T)'!$B$76,Model!$E$3174)</f>
        <v>-7.3972727499334562E-2</v>
      </c>
      <c r="L3179" s="377">
        <f>PPMT('Assumptions (Oil G&amp;T)'!$B$73,Model!AD$1,'Assumptions (Oil G&amp;T)'!$B$76,Model!$E$3174)</f>
        <v>-7.9520682061784656E-2</v>
      </c>
      <c r="M3179" s="377">
        <f>PPMT('Assumptions (Oil G&amp;T)'!$B$73,Model!AE$1,'Assumptions (Oil G&amp;T)'!$B$76,Model!$E$3174)</f>
        <v>-8.5484733216418501E-2</v>
      </c>
      <c r="N3179" s="377">
        <f>PPMT('Assumptions (Oil G&amp;T)'!$B$73,Model!AF$1,'Assumptions (Oil G&amp;T)'!$B$76,Model!$E$3174)</f>
        <v>-9.1896088207649898E-2</v>
      </c>
      <c r="O3179" s="377">
        <f>PPMT('Assumptions (Oil G&amp;T)'!$B$73,Model!AG$1,'Assumptions (Oil G&amp;T)'!$B$76,Model!$E$3174)</f>
        <v>-9.8788294823223613E-2</v>
      </c>
      <c r="P3179" s="377">
        <f>PPMT('Assumptions (Oil G&amp;T)'!$B$73,Model!AH$1,'Assumptions (Oil G&amp;T)'!$B$76,Model!$E$3174)</f>
        <v>-0.10619741693496539</v>
      </c>
      <c r="Q3179" s="377">
        <f>PPMT('Assumptions (Oil G&amp;T)'!$B$73,Model!AI$1,'Assumptions (Oil G&amp;T)'!$B$76,Model!$E$3174)</f>
        <v>-0.1141622232050878</v>
      </c>
      <c r="R3179" s="377">
        <f>PPMT('Assumptions (Oil G&amp;T)'!$B$73,Model!AJ$1,'Assumptions (Oil G&amp;T)'!$B$76,Model!$E$3174)</f>
        <v>-0.12272438994546939</v>
      </c>
      <c r="S3179" s="377">
        <f>PPMT('Assumptions (Oil G&amp;T)'!$B$73,Model!AK$1,'Assumptions (Oil G&amp;T)'!$B$76,Model!$E$3174)</f>
        <v>-0.13192871919137958</v>
      </c>
      <c r="T3179" s="377" t="e">
        <f>PPMT('Assumptions (Oil G&amp;T)'!$B$73,Model!AL$1,'Assumptions (Oil G&amp;T)'!$B$76,Model!$E$3174)</f>
        <v>#NUM!</v>
      </c>
      <c r="U3179" s="377" t="e">
        <f>PPMT('Assumptions (Oil G&amp;T)'!$B$73,Model!AM$1,'Assumptions (Oil G&amp;T)'!$B$76,Model!$E$3174)</f>
        <v>#NUM!</v>
      </c>
      <c r="V3179" s="377" t="e">
        <f>PPMT('Assumptions (Oil G&amp;T)'!$B$73,Model!AN$1,'Assumptions (Oil G&amp;T)'!$B$76,Model!$E$3174)</f>
        <v>#NUM!</v>
      </c>
      <c r="W3179" s="377" t="e">
        <f>PPMT('Assumptions (Oil G&amp;T)'!$B$73,Model!AO$1,'Assumptions (Oil G&amp;T)'!$B$76,Model!$E$3174)</f>
        <v>#NUM!</v>
      </c>
      <c r="X3179" s="377" t="e">
        <f>PPMT('Assumptions (Oil G&amp;T)'!$B$73,Model!AP$1,'Assumptions (Oil G&amp;T)'!$B$76,Model!$E$3174)</f>
        <v>#NUM!</v>
      </c>
      <c r="Y3179" s="377" t="e">
        <f>PPMT('Assumptions (Oil G&amp;T)'!$B$73,Model!AQ$1,'Assumptions (Oil G&amp;T)'!$B$76,Model!$E$3174)</f>
        <v>#NUM!</v>
      </c>
      <c r="Z3179" s="377" t="e">
        <f>PPMT('Assumptions (Oil G&amp;T)'!$B$73,Model!AR$1,'Assumptions (Oil G&amp;T)'!$B$76,Model!$E$3174)</f>
        <v>#NUM!</v>
      </c>
      <c r="AA3179" s="377" t="e">
        <f>PPMT('Assumptions (Oil G&amp;T)'!$B$73,Model!AS$1,'Assumptions (Oil G&amp;T)'!$B$76,Model!$E$3174)</f>
        <v>#NUM!</v>
      </c>
      <c r="AB3179" s="377" t="e">
        <f>PPMT('Assumptions (Oil G&amp;T)'!$B$73,Model!AT$1,'Assumptions (Oil G&amp;T)'!$B$76,Model!$E$3174)</f>
        <v>#NUM!</v>
      </c>
      <c r="AC3179" s="377" t="e">
        <f>PPMT('Assumptions (Oil G&amp;T)'!$B$73,Model!AU$1,'Assumptions (Oil G&amp;T)'!$B$76,Model!$E$3174)</f>
        <v>#NUM!</v>
      </c>
    </row>
    <row r="3180" spans="1:77" ht="15.75" hidden="1" customHeight="1" outlineLevel="1">
      <c r="A3180" s="468"/>
      <c r="B3180" s="99"/>
      <c r="C3180" s="377"/>
      <c r="D3180" s="377"/>
      <c r="E3180" s="377"/>
      <c r="F3180" s="377">
        <f>PPMT('Assumptions (Oil G&amp;T)'!$B$73,Model!W$1,'Assumptions (Oil G&amp;T)'!$B$76,Model!$F$3174)</f>
        <v>-4.8508532236699577E-2</v>
      </c>
      <c r="G3180" s="377">
        <f>PPMT('Assumptions (Oil G&amp;T)'!$B$73,Model!X$1,'Assumptions (Oil G&amp;T)'!$B$76,Model!$F$3174)</f>
        <v>-5.2146672154452046E-2</v>
      </c>
      <c r="H3180" s="377">
        <f>PPMT('Assumptions (Oil G&amp;T)'!$B$73,Model!Y$1,'Assumptions (Oil G&amp;T)'!$B$76,Model!$F$3174)</f>
        <v>-5.6057672566035957E-2</v>
      </c>
      <c r="I3180" s="377">
        <f>PPMT('Assumptions (Oil G&amp;T)'!$B$73,Model!Z$1,'Assumptions (Oil G&amp;T)'!$B$76,Model!$F$3174)</f>
        <v>-6.0261998008488644E-2</v>
      </c>
      <c r="J3180" s="377">
        <f>PPMT('Assumptions (Oil G&amp;T)'!$B$73,Model!AA$1,'Assumptions (Oil G&amp;T)'!$B$76,Model!$F$3174)</f>
        <v>-6.4781647859125296E-2</v>
      </c>
      <c r="K3180" s="377">
        <f>PPMT('Assumptions (Oil G&amp;T)'!$B$73,Model!AB$1,'Assumptions (Oil G&amp;T)'!$B$76,Model!$F$3174)</f>
        <v>-6.9640271448559693E-2</v>
      </c>
      <c r="L3180" s="377">
        <f>PPMT('Assumptions (Oil G&amp;T)'!$B$73,Model!AC$1,'Assumptions (Oil G&amp;T)'!$B$76,Model!$F$3174)</f>
        <v>-7.4863291807201665E-2</v>
      </c>
      <c r="M3180" s="377">
        <f>PPMT('Assumptions (Oil G&amp;T)'!$B$73,Model!AD$1,'Assumptions (Oil G&amp;T)'!$B$76,Model!$F$3174)</f>
        <v>-8.0478038692741796E-2</v>
      </c>
      <c r="N3180" s="377">
        <f>PPMT('Assumptions (Oil G&amp;T)'!$B$73,Model!AE$1,'Assumptions (Oil G&amp;T)'!$B$76,Model!$F$3174)</f>
        <v>-8.651389159469744E-2</v>
      </c>
      <c r="O3180" s="377">
        <f>PPMT('Assumptions (Oil G&amp;T)'!$B$73,Model!AF$1,'Assumptions (Oil G&amp;T)'!$B$76,Model!$F$3174)</f>
        <v>-9.3002433464299747E-2</v>
      </c>
      <c r="P3180" s="377">
        <f>PPMT('Assumptions (Oil G&amp;T)'!$B$73,Model!AG$1,'Assumptions (Oil G&amp;T)'!$B$76,Model!$F$3174)</f>
        <v>-9.9977615974122219E-2</v>
      </c>
      <c r="Q3180" s="377">
        <f>PPMT('Assumptions (Oil G&amp;T)'!$B$73,Model!AH$1,'Assumptions (Oil G&amp;T)'!$B$76,Model!$F$3174)</f>
        <v>-0.10747593717218137</v>
      </c>
      <c r="R3180" s="377">
        <f>PPMT('Assumptions (Oil G&amp;T)'!$B$73,Model!AI$1,'Assumptions (Oil G&amp;T)'!$B$76,Model!$F$3174)</f>
        <v>-0.11553663246009498</v>
      </c>
      <c r="S3180" s="377">
        <f>PPMT('Assumptions (Oil G&amp;T)'!$B$73,Model!AJ$1,'Assumptions (Oil G&amp;T)'!$B$76,Model!$F$3174)</f>
        <v>-0.12420187989460213</v>
      </c>
      <c r="T3180" s="377">
        <f>PPMT('Assumptions (Oil G&amp;T)'!$B$73,Model!AK$1,'Assumptions (Oil G&amp;T)'!$B$76,Model!$F$3174)</f>
        <v>-0.13351702088669726</v>
      </c>
      <c r="U3180" s="377" t="e">
        <f>PPMT('Assumptions (Oil G&amp;T)'!$B$73,Model!AL$1,'Assumptions (Oil G&amp;T)'!$B$76,Model!$F$3174)</f>
        <v>#NUM!</v>
      </c>
      <c r="V3180" s="377" t="e">
        <f>PPMT('Assumptions (Oil G&amp;T)'!$B$73,Model!AM$1,'Assumptions (Oil G&amp;T)'!$B$76,Model!$F$3174)</f>
        <v>#NUM!</v>
      </c>
      <c r="W3180" s="377" t="e">
        <f>PPMT('Assumptions (Oil G&amp;T)'!$B$73,Model!AN$1,'Assumptions (Oil G&amp;T)'!$B$76,Model!$F$3174)</f>
        <v>#NUM!</v>
      </c>
      <c r="X3180" s="377" t="e">
        <f>PPMT('Assumptions (Oil G&amp;T)'!$B$73,Model!AO$1,'Assumptions (Oil G&amp;T)'!$B$76,Model!$F$3174)</f>
        <v>#NUM!</v>
      </c>
      <c r="Y3180" s="377" t="e">
        <f>PPMT('Assumptions (Oil G&amp;T)'!$B$73,Model!AP$1,'Assumptions (Oil G&amp;T)'!$B$76,Model!$F$3174)</f>
        <v>#NUM!</v>
      </c>
      <c r="Z3180" s="377" t="e">
        <f>PPMT('Assumptions (Oil G&amp;T)'!$B$73,Model!AQ$1,'Assumptions (Oil G&amp;T)'!$B$76,Model!$F$3174)</f>
        <v>#NUM!</v>
      </c>
      <c r="AA3180" s="377" t="e">
        <f>PPMT('Assumptions (Oil G&amp;T)'!$B$73,Model!AR$1,'Assumptions (Oil G&amp;T)'!$B$76,Model!$F$3174)</f>
        <v>#NUM!</v>
      </c>
      <c r="AB3180" s="377" t="e">
        <f>PPMT('Assumptions (Oil G&amp;T)'!$B$73,Model!AS$1,'Assumptions (Oil G&amp;T)'!$B$76,Model!$F$3174)</f>
        <v>#NUM!</v>
      </c>
      <c r="AC3180" s="377" t="e">
        <f>PPMT('Assumptions (Oil G&amp;T)'!$B$73,Model!AT$1,'Assumptions (Oil G&amp;T)'!$B$76,Model!$F$3174)</f>
        <v>#NUM!</v>
      </c>
      <c r="AD3180" s="377" t="e">
        <f>PPMT('Assumptions (Oil G&amp;T)'!$B$73,Model!AU$1,'Assumptions (Oil G&amp;T)'!$B$76,Model!$F$3174)</f>
        <v>#NUM!</v>
      </c>
    </row>
    <row r="3181" spans="1:77" ht="15.75" hidden="1" customHeight="1" outlineLevel="1">
      <c r="A3181" s="468"/>
      <c r="B3181" s="99"/>
      <c r="C3181" s="377"/>
      <c r="D3181" s="377"/>
      <c r="E3181" s="377"/>
      <c r="F3181" s="377"/>
      <c r="G3181" s="377">
        <f>PPMT('Assumptions (Oil G&amp;T)'!$B$73,Model!W$1,'Assumptions (Oil G&amp;T)'!$B$76,Model!$G$3174)</f>
        <v>-8.0363122776533402E-2</v>
      </c>
      <c r="H3181" s="377">
        <f>PPMT('Assumptions (Oil G&amp;T)'!$B$73,Model!X$1,'Assumptions (Oil G&amp;T)'!$B$76,Model!$G$3174)</f>
        <v>-8.6390356984773403E-2</v>
      </c>
      <c r="I3181" s="377">
        <f>PPMT('Assumptions (Oil G&amp;T)'!$B$73,Model!Y$1,'Assumptions (Oil G&amp;T)'!$B$76,Model!$G$3174)</f>
        <v>-9.2869633758631429E-2</v>
      </c>
      <c r="J3181" s="377">
        <f>PPMT('Assumptions (Oil G&amp;T)'!$B$73,Model!Z$1,'Assumptions (Oil G&amp;T)'!$B$76,Model!$G$3174)</f>
        <v>-9.9834856290528767E-2</v>
      </c>
      <c r="K3181" s="377">
        <f>PPMT('Assumptions (Oil G&amp;T)'!$B$73,Model!AA$1,'Assumptions (Oil G&amp;T)'!$B$76,Model!$G$3174)</f>
        <v>-0.10732247051231843</v>
      </c>
      <c r="L3181" s="377">
        <f>PPMT('Assumptions (Oil G&amp;T)'!$B$73,Model!AB$1,'Assumptions (Oil G&amp;T)'!$B$76,Model!$G$3174)</f>
        <v>-0.11537165580074231</v>
      </c>
      <c r="M3181" s="377">
        <f>PPMT('Assumptions (Oil G&amp;T)'!$B$73,Model!AC$1,'Assumptions (Oil G&amp;T)'!$B$76,Model!$G$3174)</f>
        <v>-0.12402452998579798</v>
      </c>
      <c r="N3181" s="377">
        <f>PPMT('Assumptions (Oil G&amp;T)'!$B$73,Model!AD$1,'Assumptions (Oil G&amp;T)'!$B$76,Model!$G$3174)</f>
        <v>-0.13332636973473283</v>
      </c>
      <c r="O3181" s="377">
        <f>PPMT('Assumptions (Oil G&amp;T)'!$B$73,Model!AE$1,'Assumptions (Oil G&amp;T)'!$B$76,Model!$G$3174)</f>
        <v>-0.14332584746483779</v>
      </c>
      <c r="P3181" s="377">
        <f>PPMT('Assumptions (Oil G&amp;T)'!$B$73,Model!AF$1,'Assumptions (Oil G&amp;T)'!$B$76,Model!$G$3174)</f>
        <v>-0.15407528602470064</v>
      </c>
      <c r="Q3181" s="377">
        <f>PPMT('Assumptions (Oil G&amp;T)'!$B$73,Model!AG$1,'Assumptions (Oil G&amp;T)'!$B$76,Model!$G$3174)</f>
        <v>-0.16563093247655314</v>
      </c>
      <c r="R3181" s="377">
        <f>PPMT('Assumptions (Oil G&amp;T)'!$B$73,Model!AH$1,'Assumptions (Oil G&amp;T)'!$B$76,Model!$G$3174)</f>
        <v>-0.17805325241229467</v>
      </c>
      <c r="S3181" s="377">
        <f>PPMT('Assumptions (Oil G&amp;T)'!$B$73,Model!AI$1,'Assumptions (Oil G&amp;T)'!$B$76,Model!$G$3174)</f>
        <v>-0.19140724634321676</v>
      </c>
      <c r="T3181" s="377">
        <f>PPMT('Assumptions (Oil G&amp;T)'!$B$73,Model!AJ$1,'Assumptions (Oil G&amp;T)'!$B$76,Model!$G$3174)</f>
        <v>-0.20576278981895804</v>
      </c>
      <c r="U3181" s="377">
        <f>PPMT('Assumptions (Oil G&amp;T)'!$B$73,Model!AK$1,'Assumptions (Oil G&amp;T)'!$B$76,Model!$G$3174)</f>
        <v>-0.22119499905537987</v>
      </c>
      <c r="V3181" s="377" t="e">
        <f>PPMT('Assumptions (Oil G&amp;T)'!$B$73,Model!AL$1,'Assumptions (Oil G&amp;T)'!$B$76,Model!$G$3174)</f>
        <v>#NUM!</v>
      </c>
      <c r="W3181" s="377" t="e">
        <f>PPMT('Assumptions (Oil G&amp;T)'!$B$73,Model!AM$1,'Assumptions (Oil G&amp;T)'!$B$76,Model!$G$3174)</f>
        <v>#NUM!</v>
      </c>
      <c r="X3181" s="377" t="e">
        <f>PPMT('Assumptions (Oil G&amp;T)'!$B$73,Model!AN$1,'Assumptions (Oil G&amp;T)'!$B$76,Model!$G$3174)</f>
        <v>#NUM!</v>
      </c>
      <c r="Y3181" s="377" t="e">
        <f>PPMT('Assumptions (Oil G&amp;T)'!$B$73,Model!AO$1,'Assumptions (Oil G&amp;T)'!$B$76,Model!$G$3174)</f>
        <v>#NUM!</v>
      </c>
      <c r="Z3181" s="377" t="e">
        <f>PPMT('Assumptions (Oil G&amp;T)'!$B$73,Model!AP$1,'Assumptions (Oil G&amp;T)'!$B$76,Model!$G$3174)</f>
        <v>#NUM!</v>
      </c>
      <c r="AA3181" s="377" t="e">
        <f>PPMT('Assumptions (Oil G&amp;T)'!$B$73,Model!AQ$1,'Assumptions (Oil G&amp;T)'!$B$76,Model!$G$3174)</f>
        <v>#NUM!</v>
      </c>
      <c r="AB3181" s="377" t="e">
        <f>PPMT('Assumptions (Oil G&amp;T)'!$B$73,Model!AR$1,'Assumptions (Oil G&amp;T)'!$B$76,Model!$G$3174)</f>
        <v>#NUM!</v>
      </c>
      <c r="AC3181" s="377" t="e">
        <f>PPMT('Assumptions (Oil G&amp;T)'!$B$73,Model!AS$1,'Assumptions (Oil G&amp;T)'!$B$76,Model!$G$3174)</f>
        <v>#NUM!</v>
      </c>
      <c r="AD3181" s="377" t="e">
        <f>PPMT('Assumptions (Oil G&amp;T)'!$B$73,Model!AT$1,'Assumptions (Oil G&amp;T)'!$B$76,Model!$G$3174)</f>
        <v>#NUM!</v>
      </c>
      <c r="AE3181" s="377" t="e">
        <f>PPMT('Assumptions (Oil G&amp;T)'!$B$73,Model!AU$1,'Assumptions (Oil G&amp;T)'!$B$76,Model!$G$3174)</f>
        <v>#NUM!</v>
      </c>
    </row>
    <row r="3182" spans="1:77" ht="15.75" hidden="1" customHeight="1" outlineLevel="1">
      <c r="A3182" s="468"/>
      <c r="B3182" s="99"/>
      <c r="C3182" s="377"/>
      <c r="D3182" s="377"/>
      <c r="E3182" s="377"/>
      <c r="F3182" s="377"/>
      <c r="G3182" s="377"/>
      <c r="H3182" s="377">
        <f>PPMT('Assumptions (Oil G&amp;T)'!$B$73,Model!W$1,'Assumptions (Oil G&amp;T)'!$B$76,Model!$H$3174)</f>
        <v>-7.3588176675790651E-2</v>
      </c>
      <c r="I3182" s="377">
        <f>PPMT('Assumptions (Oil G&amp;T)'!$B$73,Model!X$1,'Assumptions (Oil G&amp;T)'!$B$76,Model!$H$3174)</f>
        <v>-7.9107289926474936E-2</v>
      </c>
      <c r="J3182" s="377">
        <f>PPMT('Assumptions (Oil G&amp;T)'!$B$73,Model!Y$1,'Assumptions (Oil G&amp;T)'!$B$76,Model!$H$3174)</f>
        <v>-8.5040336670960573E-2</v>
      </c>
      <c r="K3182" s="377">
        <f>PPMT('Assumptions (Oil G&amp;T)'!$B$73,Model!Z$1,'Assumptions (Oil G&amp;T)'!$B$76,Model!$H$3174)</f>
        <v>-9.1418361921282595E-2</v>
      </c>
      <c r="L3182" s="377">
        <f>PPMT('Assumptions (Oil G&amp;T)'!$B$73,Model!AA$1,'Assumptions (Oil G&amp;T)'!$B$76,Model!$H$3174)</f>
        <v>-9.8274739065378786E-2</v>
      </c>
      <c r="M3182" s="377">
        <f>PPMT('Assumptions (Oil G&amp;T)'!$B$73,Model!AB$1,'Assumptions (Oil G&amp;T)'!$B$76,Model!$H$3174)</f>
        <v>-0.10564534449528221</v>
      </c>
      <c r="N3182" s="377">
        <f>PPMT('Assumptions (Oil G&amp;T)'!$B$73,Model!AC$1,'Assumptions (Oil G&amp;T)'!$B$76,Model!$H$3174)</f>
        <v>-0.11356874533242838</v>
      </c>
      <c r="O3182" s="377">
        <f>PPMT('Assumptions (Oil G&amp;T)'!$B$73,Model!AD$1,'Assumptions (Oil G&amp;T)'!$B$76,Model!$H$3174)</f>
        <v>-0.12208640123236048</v>
      </c>
      <c r="P3182" s="377">
        <f>PPMT('Assumptions (Oil G&amp;T)'!$B$73,Model!AE$1,'Assumptions (Oil G&amp;T)'!$B$76,Model!$H$3174)</f>
        <v>-0.13124288132478754</v>
      </c>
      <c r="Q3182" s="377">
        <f>PPMT('Assumptions (Oil G&amp;T)'!$B$73,Model!AF$1,'Assumptions (Oil G&amp;T)'!$B$76,Model!$H$3174)</f>
        <v>-0.1410860974241466</v>
      </c>
      <c r="R3182" s="377">
        <f>PPMT('Assumptions (Oil G&amp;T)'!$B$73,Model!AG$1,'Assumptions (Oil G&amp;T)'!$B$76,Model!$H$3174)</f>
        <v>-0.15166755473095758</v>
      </c>
      <c r="S3182" s="377">
        <f>PPMT('Assumptions (Oil G&amp;T)'!$B$73,Model!AH$1,'Assumptions (Oil G&amp;T)'!$B$76,Model!$H$3174)</f>
        <v>-0.1630426213357794</v>
      </c>
      <c r="T3182" s="377">
        <f>PPMT('Assumptions (Oil G&amp;T)'!$B$73,Model!AI$1,'Assumptions (Oil G&amp;T)'!$B$76,Model!$H$3174)</f>
        <v>-0.17527081793596286</v>
      </c>
      <c r="U3182" s="377">
        <f>PPMT('Assumptions (Oil G&amp;T)'!$B$73,Model!AJ$1,'Assumptions (Oil G&amp;T)'!$B$76,Model!$H$3174)</f>
        <v>-0.18841612928116011</v>
      </c>
      <c r="V3182" s="377">
        <f>PPMT('Assumptions (Oil G&amp;T)'!$B$73,Model!AK$1,'Assumptions (Oil G&amp;T)'!$B$76,Model!$H$3174)</f>
        <v>-0.20254733897724708</v>
      </c>
      <c r="W3182" s="377" t="e">
        <f>PPMT('Assumptions (Oil G&amp;T)'!$B$73,Model!AL$1,'Assumptions (Oil G&amp;T)'!$B$76,Model!$H$3174)</f>
        <v>#NUM!</v>
      </c>
      <c r="X3182" s="377" t="e">
        <f>PPMT('Assumptions (Oil G&amp;T)'!$B$73,Model!AM$1,'Assumptions (Oil G&amp;T)'!$B$76,Model!$H$3174)</f>
        <v>#NUM!</v>
      </c>
      <c r="Y3182" s="377" t="e">
        <f>PPMT('Assumptions (Oil G&amp;T)'!$B$73,Model!AN$1,'Assumptions (Oil G&amp;T)'!$B$76,Model!$H$3174)</f>
        <v>#NUM!</v>
      </c>
      <c r="Z3182" s="377" t="e">
        <f>PPMT('Assumptions (Oil G&amp;T)'!$B$73,Model!AO$1,'Assumptions (Oil G&amp;T)'!$B$76,Model!$H$3174)</f>
        <v>#NUM!</v>
      </c>
      <c r="AA3182" s="377" t="e">
        <f>PPMT('Assumptions (Oil G&amp;T)'!$B$73,Model!AP$1,'Assumptions (Oil G&amp;T)'!$B$76,Model!$H$3174)</f>
        <v>#NUM!</v>
      </c>
      <c r="AB3182" s="377" t="e">
        <f>PPMT('Assumptions (Oil G&amp;T)'!$B$73,Model!AQ$1,'Assumptions (Oil G&amp;T)'!$B$76,Model!$H$3174)</f>
        <v>#NUM!</v>
      </c>
      <c r="AC3182" s="377" t="e">
        <f>PPMT('Assumptions (Oil G&amp;T)'!$B$73,Model!AR$1,'Assumptions (Oil G&amp;T)'!$B$76,Model!$H$3174)</f>
        <v>#NUM!</v>
      </c>
      <c r="AD3182" s="377" t="e">
        <f>PPMT('Assumptions (Oil G&amp;T)'!$B$73,Model!AS$1,'Assumptions (Oil G&amp;T)'!$B$76,Model!$H$3174)</f>
        <v>#NUM!</v>
      </c>
      <c r="AE3182" s="377" t="e">
        <f>PPMT('Assumptions (Oil G&amp;T)'!$B$73,Model!AT$1,'Assumptions (Oil G&amp;T)'!$B$76,Model!$H$3174)</f>
        <v>#NUM!</v>
      </c>
      <c r="AF3182" s="377" t="e">
        <f>PPMT('Assumptions (Oil G&amp;T)'!$B$73,Model!AU$1,'Assumptions (Oil G&amp;T)'!$B$76,Model!$H$3174)</f>
        <v>#NUM!</v>
      </c>
    </row>
    <row r="3183" spans="1:77" ht="15.75" hidden="1" customHeight="1" outlineLevel="1">
      <c r="A3183" s="468"/>
      <c r="B3183" s="99"/>
      <c r="C3183" s="377"/>
      <c r="D3183" s="377"/>
      <c r="E3183" s="377"/>
      <c r="F3183" s="377"/>
      <c r="G3183" s="377"/>
      <c r="H3183" s="377"/>
      <c r="I3183" s="377">
        <f>PPMT('Assumptions (Oil G&amp;T)'!$B$73,Model!W$1,'Assumptions (Oil G&amp;T)'!$B$76,Model!$I$3174)</f>
        <v>-6.5530165144282004E-2</v>
      </c>
      <c r="J3183" s="377">
        <f>PPMT('Assumptions (Oil G&amp;T)'!$B$73,Model!X$1,'Assumptions (Oil G&amp;T)'!$B$76,Model!$I$3174)</f>
        <v>-7.0444927530103146E-2</v>
      </c>
      <c r="K3183" s="377">
        <f>PPMT('Assumptions (Oil G&amp;T)'!$B$73,Model!Y$1,'Assumptions (Oil G&amp;T)'!$B$76,Model!$I$3174)</f>
        <v>-7.5728297094860897E-2</v>
      </c>
      <c r="L3183" s="377">
        <f>PPMT('Assumptions (Oil G&amp;T)'!$B$73,Model!Z$1,'Assumptions (Oil G&amp;T)'!$B$76,Model!$I$3174)</f>
        <v>-8.140791937697546E-2</v>
      </c>
      <c r="M3183" s="377">
        <f>PPMT('Assumptions (Oil G&amp;T)'!$B$73,Model!AA$1,'Assumptions (Oil G&amp;T)'!$B$76,Model!$I$3174)</f>
        <v>-8.7513513330248607E-2</v>
      </c>
      <c r="N3183" s="377">
        <f>PPMT('Assumptions (Oil G&amp;T)'!$B$73,Model!AB$1,'Assumptions (Oil G&amp;T)'!$B$76,Model!$I$3174)</f>
        <v>-9.4077026830017271E-2</v>
      </c>
      <c r="O3183" s="377">
        <f>PPMT('Assumptions (Oil G&amp;T)'!$B$73,Model!AC$1,'Assumptions (Oil G&amp;T)'!$B$76,Model!$I$3174)</f>
        <v>-0.10113280384226854</v>
      </c>
      <c r="P3183" s="377">
        <f>PPMT('Assumptions (Oil G&amp;T)'!$B$73,Model!AD$1,'Assumptions (Oil G&amp;T)'!$B$76,Model!$I$3174)</f>
        <v>-0.10871776413043868</v>
      </c>
      <c r="Q3183" s="377">
        <f>PPMT('Assumptions (Oil G&amp;T)'!$B$73,Model!AE$1,'Assumptions (Oil G&amp;T)'!$B$76,Model!$I$3174)</f>
        <v>-0.1168715964402216</v>
      </c>
      <c r="R3183" s="377">
        <f>PPMT('Assumptions (Oil G&amp;T)'!$B$73,Model!AF$1,'Assumptions (Oil G&amp;T)'!$B$76,Model!$I$3174)</f>
        <v>-0.12563696617323822</v>
      </c>
      <c r="S3183" s="377">
        <f>PPMT('Assumptions (Oil G&amp;T)'!$B$73,Model!AG$1,'Assumptions (Oil G&amp;T)'!$B$76,Model!$I$3174)</f>
        <v>-0.13505973863623105</v>
      </c>
      <c r="T3183" s="377">
        <f>PPMT('Assumptions (Oil G&amp;T)'!$B$73,Model!AH$1,'Assumptions (Oil G&amp;T)'!$B$76,Model!$I$3174)</f>
        <v>-0.14518921903394841</v>
      </c>
      <c r="U3183" s="377">
        <f>PPMT('Assumptions (Oil G&amp;T)'!$B$73,Model!AI$1,'Assumptions (Oil G&amp;T)'!$B$76,Model!$I$3174)</f>
        <v>-0.15607841046149454</v>
      </c>
      <c r="V3183" s="377">
        <f>PPMT('Assumptions (Oil G&amp;T)'!$B$73,Model!AJ$1,'Assumptions (Oil G&amp;T)'!$B$76,Model!$I$3174)</f>
        <v>-0.16778429124610666</v>
      </c>
      <c r="W3183" s="377">
        <f>PPMT('Assumptions (Oil G&amp;T)'!$B$73,Model!AK$1,'Assumptions (Oil G&amp;T)'!$B$76,Model!$I$3174)</f>
        <v>-0.18036811308956466</v>
      </c>
      <c r="X3183" s="377" t="e">
        <f>PPMT('Assumptions (Oil G&amp;T)'!$B$73,Model!AL$1,'Assumptions (Oil G&amp;T)'!$B$76,Model!$I$3174)</f>
        <v>#NUM!</v>
      </c>
      <c r="Y3183" s="377" t="e">
        <f>PPMT('Assumptions (Oil G&amp;T)'!$B$73,Model!AM$1,'Assumptions (Oil G&amp;T)'!$B$76,Model!$I$3174)</f>
        <v>#NUM!</v>
      </c>
      <c r="Z3183" s="377" t="e">
        <f>PPMT('Assumptions (Oil G&amp;T)'!$B$73,Model!AN$1,'Assumptions (Oil G&amp;T)'!$B$76,Model!$I$3174)</f>
        <v>#NUM!</v>
      </c>
      <c r="AA3183" s="377" t="e">
        <f>PPMT('Assumptions (Oil G&amp;T)'!$B$73,Model!AO$1,'Assumptions (Oil G&amp;T)'!$B$76,Model!$I$3174)</f>
        <v>#NUM!</v>
      </c>
      <c r="AB3183" s="377" t="e">
        <f>PPMT('Assumptions (Oil G&amp;T)'!$B$73,Model!AP$1,'Assumptions (Oil G&amp;T)'!$B$76,Model!$I$3174)</f>
        <v>#NUM!</v>
      </c>
      <c r="AC3183" s="377" t="e">
        <f>PPMT('Assumptions (Oil G&amp;T)'!$B$73,Model!AQ$1,'Assumptions (Oil G&amp;T)'!$B$76,Model!$I$3174)</f>
        <v>#NUM!</v>
      </c>
      <c r="AD3183" s="377" t="e">
        <f>PPMT('Assumptions (Oil G&amp;T)'!$B$73,Model!AR$1,'Assumptions (Oil G&amp;T)'!$B$76,Model!$I$3174)</f>
        <v>#NUM!</v>
      </c>
      <c r="AE3183" s="377" t="e">
        <f>PPMT('Assumptions (Oil G&amp;T)'!$B$73,Model!AS$1,'Assumptions (Oil G&amp;T)'!$B$76,Model!$I$3174)</f>
        <v>#NUM!</v>
      </c>
      <c r="AF3183" s="377" t="e">
        <f>PPMT('Assumptions (Oil G&amp;T)'!$B$73,Model!AT$1,'Assumptions (Oil G&amp;T)'!$B$76,Model!$I$3174)</f>
        <v>#NUM!</v>
      </c>
      <c r="AG3183" s="377" t="e">
        <f>PPMT('Assumptions (Oil G&amp;T)'!$B$73,Model!AU$1,'Assumptions (Oil G&amp;T)'!$B$76,Model!$I$3174)</f>
        <v>#NUM!</v>
      </c>
    </row>
    <row r="3184" spans="1:77" ht="15.75" hidden="1" customHeight="1" outlineLevel="1">
      <c r="A3184" s="468"/>
      <c r="B3184" s="99"/>
      <c r="C3184" s="377"/>
      <c r="D3184" s="377"/>
      <c r="E3184" s="377"/>
      <c r="F3184" s="377"/>
      <c r="G3184" s="377"/>
      <c r="H3184" s="377"/>
      <c r="I3184" s="377"/>
      <c r="J3184" s="377">
        <f>PPMT('Assumptions (Oil G&amp;T)'!$B$73,Model!W$1,'Assumptions (Oil G&amp;T)'!$B$76,Model!$J$3174)</f>
        <v>-0.12403444487886195</v>
      </c>
      <c r="K3184" s="377">
        <f>PPMT('Assumptions (Oil G&amp;T)'!$B$73,Model!X$1,'Assumptions (Oil G&amp;T)'!$B$76,Model!$J$3174)</f>
        <v>-0.13333702824477658</v>
      </c>
      <c r="L3184" s="377">
        <f>PPMT('Assumptions (Oil G&amp;T)'!$B$73,Model!Y$1,'Assumptions (Oil G&amp;T)'!$B$76,Model!$J$3174)</f>
        <v>-0.14333730536313485</v>
      </c>
      <c r="M3184" s="377">
        <f>PPMT('Assumptions (Oil G&amp;T)'!$B$73,Model!Z$1,'Assumptions (Oil G&amp;T)'!$B$76,Model!$J$3174)</f>
        <v>-0.15408760326536994</v>
      </c>
      <c r="N3184" s="377">
        <f>PPMT('Assumptions (Oil G&amp;T)'!$B$73,Model!AA$1,'Assumptions (Oil G&amp;T)'!$B$76,Model!$J$3174)</f>
        <v>-0.16564417351027269</v>
      </c>
      <c r="O3184" s="377">
        <f>PPMT('Assumptions (Oil G&amp;T)'!$B$73,Model!AB$1,'Assumptions (Oil G&amp;T)'!$B$76,Model!$J$3174)</f>
        <v>-0.17806748652354318</v>
      </c>
      <c r="P3184" s="377">
        <f>PPMT('Assumptions (Oil G&amp;T)'!$B$73,Model!AC$1,'Assumptions (Oil G&amp;T)'!$B$76,Model!$J$3174)</f>
        <v>-0.19142254801280886</v>
      </c>
      <c r="Q3184" s="377">
        <f>PPMT('Assumptions (Oil G&amp;T)'!$B$73,Model!AD$1,'Assumptions (Oil G&amp;T)'!$B$76,Model!$J$3174)</f>
        <v>-0.20577923911376952</v>
      </c>
      <c r="R3184" s="377">
        <f>PPMT('Assumptions (Oil G&amp;T)'!$B$73,Model!AE$1,'Assumptions (Oil G&amp;T)'!$B$76,Model!$J$3174)</f>
        <v>-0.22121268204730229</v>
      </c>
      <c r="S3184" s="377">
        <f>PPMT('Assumptions (Oil G&amp;T)'!$B$73,Model!AF$1,'Assumptions (Oil G&amp;T)'!$B$76,Model!$J$3174)</f>
        <v>-0.23780363320084996</v>
      </c>
      <c r="T3184" s="377">
        <f>PPMT('Assumptions (Oil G&amp;T)'!$B$73,Model!AG$1,'Assumptions (Oil G&amp;T)'!$B$76,Model!$J$3174)</f>
        <v>-0.25563890569091369</v>
      </c>
      <c r="U3184" s="377">
        <f>PPMT('Assumptions (Oil G&amp;T)'!$B$73,Model!AH$1,'Assumptions (Oil G&amp;T)'!$B$76,Model!$J$3174)</f>
        <v>-0.27481182361773221</v>
      </c>
      <c r="V3184" s="377">
        <f>PPMT('Assumptions (Oil G&amp;T)'!$B$73,Model!AI$1,'Assumptions (Oil G&amp;T)'!$B$76,Model!$J$3174)</f>
        <v>-0.29542271038906209</v>
      </c>
      <c r="W3184" s="377">
        <f>PPMT('Assumptions (Oil G&amp;T)'!$B$73,Model!AJ$1,'Assumptions (Oil G&amp;T)'!$B$76,Model!$J$3174)</f>
        <v>-0.31757941366824177</v>
      </c>
      <c r="X3184" s="377">
        <f>PPMT('Assumptions (Oil G&amp;T)'!$B$73,Model!AK$1,'Assumptions (Oil G&amp;T)'!$B$76,Model!$J$3174)</f>
        <v>-0.34139786969335995</v>
      </c>
      <c r="Y3184" s="377" t="e">
        <f>PPMT('Assumptions (Oil G&amp;T)'!$B$73,Model!AL$1,'Assumptions (Oil G&amp;T)'!$B$76,Model!$J$3174)</f>
        <v>#NUM!</v>
      </c>
      <c r="Z3184" s="377" t="e">
        <f>PPMT('Assumptions (Oil G&amp;T)'!$B$73,Model!AM$1,'Assumptions (Oil G&amp;T)'!$B$76,Model!$J$3174)</f>
        <v>#NUM!</v>
      </c>
      <c r="AA3184" s="377" t="e">
        <f>PPMT('Assumptions (Oil G&amp;T)'!$B$73,Model!AN$1,'Assumptions (Oil G&amp;T)'!$B$76,Model!$J$3174)</f>
        <v>#NUM!</v>
      </c>
      <c r="AB3184" s="377" t="e">
        <f>PPMT('Assumptions (Oil G&amp;T)'!$B$73,Model!AO$1,'Assumptions (Oil G&amp;T)'!$B$76,Model!$J$3174)</f>
        <v>#NUM!</v>
      </c>
      <c r="AC3184" s="377" t="e">
        <f>PPMT('Assumptions (Oil G&amp;T)'!$B$73,Model!AP$1,'Assumptions (Oil G&amp;T)'!$B$76,Model!$J$3174)</f>
        <v>#NUM!</v>
      </c>
      <c r="AD3184" s="377" t="e">
        <f>PPMT('Assumptions (Oil G&amp;T)'!$B$73,Model!AQ$1,'Assumptions (Oil G&amp;T)'!$B$76,Model!$J$3174)</f>
        <v>#NUM!</v>
      </c>
      <c r="AE3184" s="377" t="e">
        <f>PPMT('Assumptions (Oil G&amp;T)'!$B$73,Model!AR$1,'Assumptions (Oil G&amp;T)'!$B$76,Model!$J$3174)</f>
        <v>#NUM!</v>
      </c>
      <c r="AF3184" s="377" t="e">
        <f>PPMT('Assumptions (Oil G&amp;T)'!$B$73,Model!AS$1,'Assumptions (Oil G&amp;T)'!$B$76,Model!$J$3174)</f>
        <v>#NUM!</v>
      </c>
      <c r="AG3184" s="377" t="e">
        <f>PPMT('Assumptions (Oil G&amp;T)'!$B$73,Model!AT$1,'Assumptions (Oil G&amp;T)'!$B$76,Model!$J$3174)</f>
        <v>#NUM!</v>
      </c>
      <c r="AH3184" s="377" t="e">
        <f>PPMT('Assumptions (Oil G&amp;T)'!$B$73,Model!AU$1,'Assumptions (Oil G&amp;T)'!$B$76,Model!$J$3174)</f>
        <v>#NUM!</v>
      </c>
    </row>
    <row r="3185" spans="1:50" ht="15.75" hidden="1" customHeight="1" outlineLevel="1">
      <c r="A3185" s="468"/>
      <c r="B3185" s="99"/>
      <c r="C3185" s="377"/>
      <c r="D3185" s="377"/>
      <c r="E3185" s="377"/>
      <c r="F3185" s="377"/>
      <c r="G3185" s="377"/>
      <c r="H3185" s="377"/>
      <c r="I3185" s="377"/>
      <c r="J3185" s="377"/>
      <c r="K3185" s="377">
        <f>PPMT('Assumptions (Oil G&amp;T)'!$B$73,Model!W$1,'Assumptions (Oil G&amp;T)'!$B$76,Model!$K$3174)</f>
        <v>-0.13247713391157773</v>
      </c>
      <c r="L3185" s="377">
        <f>PPMT('Assumptions (Oil G&amp;T)'!$B$73,Model!X$1,'Assumptions (Oil G&amp;T)'!$B$76,Model!$K$3174)</f>
        <v>-0.14241291895494604</v>
      </c>
      <c r="M3185" s="377">
        <f>PPMT('Assumptions (Oil G&amp;T)'!$B$73,Model!Y$1,'Assumptions (Oil G&amp;T)'!$B$76,Model!$K$3174)</f>
        <v>-0.15309388787656705</v>
      </c>
      <c r="N3185" s="377">
        <f>PPMT('Assumptions (Oil G&amp;T)'!$B$73,Model!Z$1,'Assumptions (Oil G&amp;T)'!$B$76,Model!$K$3174)</f>
        <v>-0.16457592946730953</v>
      </c>
      <c r="O3185" s="377">
        <f>PPMT('Assumptions (Oil G&amp;T)'!$B$73,Model!AA$1,'Assumptions (Oil G&amp;T)'!$B$76,Model!$K$3174)</f>
        <v>-0.17691912417735772</v>
      </c>
      <c r="P3185" s="377">
        <f>PPMT('Assumptions (Oil G&amp;T)'!$B$73,Model!AB$1,'Assumptions (Oil G&amp;T)'!$B$76,Model!$K$3174)</f>
        <v>-0.19018805849065959</v>
      </c>
      <c r="Q3185" s="377">
        <f>PPMT('Assumptions (Oil G&amp;T)'!$B$73,Model!AC$1,'Assumptions (Oil G&amp;T)'!$B$76,Model!$K$3174)</f>
        <v>-0.20445216287745907</v>
      </c>
      <c r="R3185" s="377">
        <f>PPMT('Assumptions (Oil G&amp;T)'!$B$73,Model!AD$1,'Assumptions (Oil G&amp;T)'!$B$76,Model!$K$3174)</f>
        <v>-0.21978607509326845</v>
      </c>
      <c r="S3185" s="377">
        <f>PPMT('Assumptions (Oil G&amp;T)'!$B$73,Model!AE$1,'Assumptions (Oil G&amp;T)'!$B$76,Model!$K$3174)</f>
        <v>-0.23627003072526362</v>
      </c>
      <c r="T3185" s="377">
        <f>PPMT('Assumptions (Oil G&amp;T)'!$B$73,Model!AF$1,'Assumptions (Oil G&amp;T)'!$B$76,Model!$K$3174)</f>
        <v>-0.25399028302965843</v>
      </c>
      <c r="U3185" s="377">
        <f>PPMT('Assumptions (Oil G&amp;T)'!$B$73,Model!AG$1,'Assumptions (Oil G&amp;T)'!$B$76,Model!$K$3174)</f>
        <v>-0.27303955425688275</v>
      </c>
      <c r="V3185" s="377">
        <f>PPMT('Assumptions (Oil G&amp;T)'!$B$73,Model!AH$1,'Assumptions (Oil G&amp;T)'!$B$76,Model!$K$3174)</f>
        <v>-0.29351752082614896</v>
      </c>
      <c r="W3185" s="377">
        <f>PPMT('Assumptions (Oil G&amp;T)'!$B$73,Model!AI$1,'Assumptions (Oil G&amp;T)'!$B$76,Model!$K$3174)</f>
        <v>-0.31553133488811014</v>
      </c>
      <c r="X3185" s="377">
        <f>PPMT('Assumptions (Oil G&amp;T)'!$B$73,Model!AJ$1,'Assumptions (Oil G&amp;T)'!$B$76,Model!$K$3174)</f>
        <v>-0.33919618500471843</v>
      </c>
      <c r="Y3185" s="377">
        <f>PPMT('Assumptions (Oil G&amp;T)'!$B$73,Model!AK$1,'Assumptions (Oil G&amp;T)'!$B$76,Model!$K$3174)</f>
        <v>-0.36463589888007225</v>
      </c>
      <c r="Z3185" s="377" t="e">
        <f>PPMT('Assumptions (Oil G&amp;T)'!$B$73,Model!AL$1,'Assumptions (Oil G&amp;T)'!$B$76,Model!$K$3174)</f>
        <v>#NUM!</v>
      </c>
      <c r="AA3185" s="377" t="e">
        <f>PPMT('Assumptions (Oil G&amp;T)'!$B$73,Model!AM$1,'Assumptions (Oil G&amp;T)'!$B$76,Model!$K$3174)</f>
        <v>#NUM!</v>
      </c>
      <c r="AB3185" s="377" t="e">
        <f>PPMT('Assumptions (Oil G&amp;T)'!$B$73,Model!AN$1,'Assumptions (Oil G&amp;T)'!$B$76,Model!$K$3174)</f>
        <v>#NUM!</v>
      </c>
      <c r="AC3185" s="377" t="e">
        <f>PPMT('Assumptions (Oil G&amp;T)'!$B$73,Model!AO$1,'Assumptions (Oil G&amp;T)'!$B$76,Model!$K$3174)</f>
        <v>#NUM!</v>
      </c>
      <c r="AD3185" s="377" t="e">
        <f>PPMT('Assumptions (Oil G&amp;T)'!$B$73,Model!AP$1,'Assumptions (Oil G&amp;T)'!$B$76,Model!$K$3174)</f>
        <v>#NUM!</v>
      </c>
      <c r="AE3185" s="377" t="e">
        <f>PPMT('Assumptions (Oil G&amp;T)'!$B$73,Model!AQ$1,'Assumptions (Oil G&amp;T)'!$B$76,Model!$K$3174)</f>
        <v>#NUM!</v>
      </c>
      <c r="AF3185" s="377" t="e">
        <f>PPMT('Assumptions (Oil G&amp;T)'!$B$73,Model!AR$1,'Assumptions (Oil G&amp;T)'!$B$76,Model!$K$3174)</f>
        <v>#NUM!</v>
      </c>
      <c r="AG3185" s="377" t="e">
        <f>PPMT('Assumptions (Oil G&amp;T)'!$B$73,Model!AS$1,'Assumptions (Oil G&amp;T)'!$B$76,Model!$K$3174)</f>
        <v>#NUM!</v>
      </c>
      <c r="AH3185" s="377" t="e">
        <f>PPMT('Assumptions (Oil G&amp;T)'!$B$73,Model!AT$1,'Assumptions (Oil G&amp;T)'!$B$76,Model!$K$3174)</f>
        <v>#NUM!</v>
      </c>
      <c r="AI3185" s="377" t="e">
        <f>PPMT('Assumptions (Oil G&amp;T)'!$B$73,Model!AU$1,'Assumptions (Oil G&amp;T)'!$B$76,Model!$K$3174)</f>
        <v>#NUM!</v>
      </c>
    </row>
    <row r="3186" spans="1:50" ht="15.75" hidden="1" customHeight="1" outlineLevel="1">
      <c r="A3186" s="468"/>
      <c r="B3186" s="99"/>
      <c r="C3186" s="377"/>
      <c r="D3186" s="377"/>
      <c r="E3186" s="377"/>
      <c r="F3186" s="377"/>
      <c r="G3186" s="377"/>
      <c r="H3186" s="377"/>
      <c r="I3186" s="377"/>
      <c r="J3186" s="377"/>
      <c r="K3186" s="377"/>
      <c r="L3186" s="377">
        <f>PPMT('Assumptions (Oil G&amp;T)'!$B$73,Model!W$1,'Assumptions (Oil G&amp;T)'!$B$76,Model!$L$3174)</f>
        <v>-0.10709266019354095</v>
      </c>
      <c r="M3186" s="377">
        <f>PPMT('Assumptions (Oil G&amp;T)'!$B$73,Model!X$1,'Assumptions (Oil G&amp;T)'!$B$76,Model!$L$3174)</f>
        <v>-0.11512460970805652</v>
      </c>
      <c r="N3186" s="377">
        <f>PPMT('Assumptions (Oil G&amp;T)'!$B$73,Model!Y$1,'Assumptions (Oil G&amp;T)'!$B$76,Model!$L$3174)</f>
        <v>-0.12375895543616078</v>
      </c>
      <c r="O3186" s="377">
        <f>PPMT('Assumptions (Oil G&amp;T)'!$B$73,Model!Z$1,'Assumptions (Oil G&amp;T)'!$B$76,Model!$L$3174)</f>
        <v>-0.13304087709387283</v>
      </c>
      <c r="P3186" s="377">
        <f>PPMT('Assumptions (Oil G&amp;T)'!$B$73,Model!AA$1,'Assumptions (Oil G&amp;T)'!$B$76,Model!$L$3174)</f>
        <v>-0.14301894287591327</v>
      </c>
      <c r="Q3186" s="377">
        <f>PPMT('Assumptions (Oil G&amp;T)'!$B$73,Model!AB$1,'Assumptions (Oil G&amp;T)'!$B$76,Model!$L$3174)</f>
        <v>-0.15374536359160682</v>
      </c>
      <c r="R3186" s="377">
        <f>PPMT('Assumptions (Oil G&amp;T)'!$B$73,Model!AC$1,'Assumptions (Oil G&amp;T)'!$B$76,Model!$L$3174)</f>
        <v>-0.16527626586097729</v>
      </c>
      <c r="S3186" s="377">
        <f>PPMT('Assumptions (Oil G&amp;T)'!$B$73,Model!AD$1,'Assumptions (Oil G&amp;T)'!$B$76,Model!$L$3174)</f>
        <v>-0.17767198580055057</v>
      </c>
      <c r="T3186" s="377">
        <f>PPMT('Assumptions (Oil G&amp;T)'!$B$73,Model!AE$1,'Assumptions (Oil G&amp;T)'!$B$76,Model!$L$3174)</f>
        <v>-0.19099738473559189</v>
      </c>
      <c r="U3186" s="377">
        <f>PPMT('Assumptions (Oil G&amp;T)'!$B$73,Model!AF$1,'Assumptions (Oil G&amp;T)'!$B$76,Model!$L$3174)</f>
        <v>-0.20532218859076129</v>
      </c>
      <c r="V3186" s="377">
        <f>PPMT('Assumptions (Oil G&amp;T)'!$B$73,Model!AG$1,'Assumptions (Oil G&amp;T)'!$B$76,Model!$L$3174)</f>
        <v>-0.22072135273506835</v>
      </c>
      <c r="W3186" s="377">
        <f>PPMT('Assumptions (Oil G&amp;T)'!$B$73,Model!AH$1,'Assumptions (Oil G&amp;T)'!$B$76,Model!$L$3174)</f>
        <v>-0.23727545419019849</v>
      </c>
      <c r="X3186" s="377">
        <f>PPMT('Assumptions (Oil G&amp;T)'!$B$73,Model!AI$1,'Assumptions (Oil G&amp;T)'!$B$76,Model!$L$3174)</f>
        <v>-0.25507111325446341</v>
      </c>
      <c r="Y3186" s="377">
        <f>PPMT('Assumptions (Oil G&amp;T)'!$B$73,Model!AJ$1,'Assumptions (Oil G&amp;T)'!$B$76,Model!$L$3174)</f>
        <v>-0.27420144674854818</v>
      </c>
      <c r="Z3186" s="377">
        <f>PPMT('Assumptions (Oil G&amp;T)'!$B$73,Model!AK$1,'Assumptions (Oil G&amp;T)'!$B$76,Model!$L$3174)</f>
        <v>-0.29476655525468926</v>
      </c>
      <c r="AA3186" s="377" t="e">
        <f>PPMT('Assumptions (Oil G&amp;T)'!$B$73,Model!AL$1,'Assumptions (Oil G&amp;T)'!$B$76,Model!$L$3174)</f>
        <v>#NUM!</v>
      </c>
      <c r="AB3186" s="377" t="e">
        <f>PPMT('Assumptions (Oil G&amp;T)'!$B$73,Model!AM$1,'Assumptions (Oil G&amp;T)'!$B$76,Model!$L$3174)</f>
        <v>#NUM!</v>
      </c>
      <c r="AC3186" s="377" t="e">
        <f>PPMT('Assumptions (Oil G&amp;T)'!$B$73,Model!AN$1,'Assumptions (Oil G&amp;T)'!$B$76,Model!$L$3174)</f>
        <v>#NUM!</v>
      </c>
      <c r="AD3186" s="377" t="e">
        <f>PPMT('Assumptions (Oil G&amp;T)'!$B$73,Model!AO$1,'Assumptions (Oil G&amp;T)'!$B$76,Model!$L$3174)</f>
        <v>#NUM!</v>
      </c>
      <c r="AE3186" s="377" t="e">
        <f>PPMT('Assumptions (Oil G&amp;T)'!$B$73,Model!AP$1,'Assumptions (Oil G&amp;T)'!$B$76,Model!$L$3174)</f>
        <v>#NUM!</v>
      </c>
      <c r="AF3186" s="377" t="e">
        <f>PPMT('Assumptions (Oil G&amp;T)'!$B$73,Model!AQ$1,'Assumptions (Oil G&amp;T)'!$B$76,Model!$L$3174)</f>
        <v>#NUM!</v>
      </c>
      <c r="AG3186" s="377" t="e">
        <f>PPMT('Assumptions (Oil G&amp;T)'!$B$73,Model!AR$1,'Assumptions (Oil G&amp;T)'!$B$76,Model!$L$3174)</f>
        <v>#NUM!</v>
      </c>
      <c r="AH3186" s="377" t="e">
        <f>PPMT('Assumptions (Oil G&amp;T)'!$B$73,Model!AS$1,'Assumptions (Oil G&amp;T)'!$B$76,Model!$L$3174)</f>
        <v>#NUM!</v>
      </c>
      <c r="AI3186" s="377" t="e">
        <f>PPMT('Assumptions (Oil G&amp;T)'!$B$73,Model!AT$1,'Assumptions (Oil G&amp;T)'!$B$76,Model!$L$3174)</f>
        <v>#NUM!</v>
      </c>
      <c r="AJ3186" s="377" t="e">
        <f>PPMT('Assumptions (Oil G&amp;T)'!$B$73,Model!AU$1,'Assumptions (Oil G&amp;T)'!$B$76,Model!$L$3174)</f>
        <v>#NUM!</v>
      </c>
    </row>
    <row r="3187" spans="1:50" ht="15.75" hidden="1" customHeight="1" outlineLevel="1">
      <c r="A3187" s="468"/>
      <c r="B3187" s="99"/>
      <c r="C3187" s="377"/>
      <c r="D3187" s="377"/>
      <c r="E3187" s="377"/>
      <c r="F3187" s="377"/>
      <c r="G3187" s="377"/>
      <c r="H3187" s="377"/>
      <c r="I3187" s="377"/>
      <c r="J3187" s="377"/>
      <c r="K3187" s="377"/>
      <c r="L3187" s="377"/>
      <c r="M3187" s="377">
        <f>PPMT('Assumptions (Oil G&amp;T)'!$B$73,Model!W$1,'Assumptions (Oil G&amp;T)'!$B$76,Model!$M$3174)</f>
        <v>-0.19463929477394912</v>
      </c>
      <c r="N3187" s="377">
        <f>PPMT('Assumptions (Oil G&amp;T)'!$B$73,Model!X$1,'Assumptions (Oil G&amp;T)'!$B$76,Model!$M$3174)</f>
        <v>-0.2092372418819953</v>
      </c>
      <c r="O3187" s="377">
        <f>PPMT('Assumptions (Oil G&amp;T)'!$B$73,Model!Y$1,'Assumptions (Oil G&amp;T)'!$B$76,Model!$M$3174)</f>
        <v>-0.22493003502314499</v>
      </c>
      <c r="P3187" s="377">
        <f>PPMT('Assumptions (Oil G&amp;T)'!$B$73,Model!Z$1,'Assumptions (Oil G&amp;T)'!$B$76,Model!$M$3174)</f>
        <v>-0.2417997876498808</v>
      </c>
      <c r="Q3187" s="377">
        <f>PPMT('Assumptions (Oil G&amp;T)'!$B$73,Model!AA$1,'Assumptions (Oil G&amp;T)'!$B$76,Model!$M$3174)</f>
        <v>-0.25993477172362184</v>
      </c>
      <c r="R3187" s="377">
        <f>PPMT('Assumptions (Oil G&amp;T)'!$B$73,Model!AB$1,'Assumptions (Oil G&amp;T)'!$B$76,Model!$M$3174)</f>
        <v>-0.27942987960289356</v>
      </c>
      <c r="S3187" s="377">
        <f>PPMT('Assumptions (Oil G&amp;T)'!$B$73,Model!AC$1,'Assumptions (Oil G&amp;T)'!$B$76,Model!$M$3174)</f>
        <v>-0.30038712057311057</v>
      </c>
      <c r="T3187" s="377">
        <f>PPMT('Assumptions (Oil G&amp;T)'!$B$73,Model!AD$1,'Assumptions (Oil G&amp;T)'!$B$76,Model!$M$3174)</f>
        <v>-0.32291615461609374</v>
      </c>
      <c r="U3187" s="377">
        <f>PPMT('Assumptions (Oil G&amp;T)'!$B$73,Model!AE$1,'Assumptions (Oil G&amp;T)'!$B$76,Model!$M$3174)</f>
        <v>-0.34713486621230083</v>
      </c>
      <c r="V3187" s="377">
        <f>PPMT('Assumptions (Oil G&amp;T)'!$B$73,Model!AF$1,'Assumptions (Oil G&amp;T)'!$B$76,Model!$M$3174)</f>
        <v>-0.37316998117822348</v>
      </c>
      <c r="W3187" s="377">
        <f>PPMT('Assumptions (Oil G&amp;T)'!$B$73,Model!AG$1,'Assumptions (Oil G&amp;T)'!$B$76,Model!$M$3174)</f>
        <v>-0.4011577297665902</v>
      </c>
      <c r="X3187" s="377">
        <f>PPMT('Assumptions (Oil G&amp;T)'!$B$73,Model!AH$1,'Assumptions (Oil G&amp;T)'!$B$76,Model!$M$3174)</f>
        <v>-0.43124455949908441</v>
      </c>
      <c r="Y3187" s="377">
        <f>PPMT('Assumptions (Oil G&amp;T)'!$B$73,Model!AI$1,'Assumptions (Oil G&amp;T)'!$B$76,Model!$M$3174)</f>
        <v>-0.46358790146151574</v>
      </c>
      <c r="Z3187" s="377">
        <f>PPMT('Assumptions (Oil G&amp;T)'!$B$73,Model!AJ$1,'Assumptions (Oil G&amp;T)'!$B$76,Model!$M$3174)</f>
        <v>-0.49835699407112949</v>
      </c>
      <c r="AA3187" s="377">
        <f>PPMT('Assumptions (Oil G&amp;T)'!$B$73,Model!AK$1,'Assumptions (Oil G&amp;T)'!$B$76,Model!$M$3174)</f>
        <v>-0.53573376862646416</v>
      </c>
      <c r="AB3187" s="377" t="e">
        <f>PPMT('Assumptions (Oil G&amp;T)'!$B$73,Model!AL$1,'Assumptions (Oil G&amp;T)'!$B$76,Model!$M$3174)</f>
        <v>#NUM!</v>
      </c>
      <c r="AC3187" s="377" t="e">
        <f>PPMT('Assumptions (Oil G&amp;T)'!$B$73,Model!AM$1,'Assumptions (Oil G&amp;T)'!$B$76,Model!$M$3174)</f>
        <v>#NUM!</v>
      </c>
      <c r="AD3187" s="377" t="e">
        <f>PPMT('Assumptions (Oil G&amp;T)'!$B$73,Model!AN$1,'Assumptions (Oil G&amp;T)'!$B$76,Model!$M$3174)</f>
        <v>#NUM!</v>
      </c>
      <c r="AE3187" s="377" t="e">
        <f>PPMT('Assumptions (Oil G&amp;T)'!$B$73,Model!AO$1,'Assumptions (Oil G&amp;T)'!$B$76,Model!$M$3174)</f>
        <v>#NUM!</v>
      </c>
      <c r="AF3187" s="377" t="e">
        <f>PPMT('Assumptions (Oil G&amp;T)'!$B$73,Model!AP$1,'Assumptions (Oil G&amp;T)'!$B$76,Model!$M$3174)</f>
        <v>#NUM!</v>
      </c>
      <c r="AG3187" s="377" t="e">
        <f>PPMT('Assumptions (Oil G&amp;T)'!$B$73,Model!AQ$1,'Assumptions (Oil G&amp;T)'!$B$76,Model!$M$3174)</f>
        <v>#NUM!</v>
      </c>
      <c r="AH3187" s="377" t="e">
        <f>PPMT('Assumptions (Oil G&amp;T)'!$B$73,Model!AR$1,'Assumptions (Oil G&amp;T)'!$B$76,Model!$M$3174)</f>
        <v>#NUM!</v>
      </c>
      <c r="AI3187" s="377" t="e">
        <f>PPMT('Assumptions (Oil G&amp;T)'!$B$73,Model!AS$1,'Assumptions (Oil G&amp;T)'!$B$76,Model!$M$3174)</f>
        <v>#NUM!</v>
      </c>
      <c r="AJ3187" s="377" t="e">
        <f>PPMT('Assumptions (Oil G&amp;T)'!$B$73,Model!AT$1,'Assumptions (Oil G&amp;T)'!$B$76,Model!$M$3174)</f>
        <v>#NUM!</v>
      </c>
      <c r="AK3187" s="377" t="e">
        <f>PPMT('Assumptions (Oil G&amp;T)'!$B$73,Model!AU$1,'Assumptions (Oil G&amp;T)'!$B$76,Model!$M$3174)</f>
        <v>#NUM!</v>
      </c>
    </row>
    <row r="3188" spans="1:50" ht="15.75" hidden="1" customHeight="1" outlineLevel="1">
      <c r="A3188" s="468"/>
      <c r="B3188" s="99"/>
      <c r="C3188" s="377"/>
      <c r="D3188" s="377"/>
      <c r="E3188" s="377"/>
      <c r="F3188" s="377"/>
      <c r="G3188" s="377"/>
      <c r="H3188" s="377"/>
      <c r="I3188" s="377"/>
      <c r="J3188" s="377"/>
      <c r="K3188" s="377"/>
      <c r="L3188" s="377"/>
      <c r="M3188" s="377"/>
      <c r="N3188" s="377">
        <f>PPMT('Assumptions (Oil G&amp;T)'!$B$73,Model!W$1,'Assumptions (Oil G&amp;T)'!$B$76,Model!$N$3174)</f>
        <v>-0.10510562225192742</v>
      </c>
      <c r="O3188" s="377">
        <f>PPMT('Assumptions (Oil G&amp;T)'!$B$73,Model!X$1,'Assumptions (Oil G&amp;T)'!$B$76,Model!$N$3174)</f>
        <v>-0.11298854392082196</v>
      </c>
      <c r="P3188" s="377">
        <f>PPMT('Assumptions (Oil G&amp;T)'!$B$73,Model!Y$1,'Assumptions (Oil G&amp;T)'!$B$76,Model!$N$3174)</f>
        <v>-0.12146268471488363</v>
      </c>
      <c r="Q3188" s="377">
        <f>PPMT('Assumptions (Oil G&amp;T)'!$B$73,Model!Z$1,'Assumptions (Oil G&amp;T)'!$B$76,Model!$N$3174)</f>
        <v>-0.13057238606849988</v>
      </c>
      <c r="R3188" s="377">
        <f>PPMT('Assumptions (Oil G&amp;T)'!$B$73,Model!AA$1,'Assumptions (Oil G&amp;T)'!$B$76,Model!$N$3174)</f>
        <v>-0.14036531502363736</v>
      </c>
      <c r="S3188" s="377">
        <f>PPMT('Assumptions (Oil G&amp;T)'!$B$73,Model!AB$1,'Assumptions (Oil G&amp;T)'!$B$76,Model!$N$3174)</f>
        <v>-0.15089271365041018</v>
      </c>
      <c r="T3188" s="377">
        <f>PPMT('Assumptions (Oil G&amp;T)'!$B$73,Model!AC$1,'Assumptions (Oil G&amp;T)'!$B$76,Model!$N$3174)</f>
        <v>-0.16220966717419094</v>
      </c>
      <c r="U3188" s="377">
        <f>PPMT('Assumptions (Oil G&amp;T)'!$B$73,Model!AD$1,'Assumptions (Oil G&amp;T)'!$B$76,Model!$N$3174)</f>
        <v>-0.17437539221225526</v>
      </c>
      <c r="V3188" s="377">
        <f>PPMT('Assumptions (Oil G&amp;T)'!$B$73,Model!AE$1,'Assumptions (Oil G&amp;T)'!$B$76,Model!$N$3174)</f>
        <v>-0.1874535466281744</v>
      </c>
      <c r="W3188" s="377">
        <f>PPMT('Assumptions (Oil G&amp;T)'!$B$73,Model!AF$1,'Assumptions (Oil G&amp;T)'!$B$76,Model!$N$3174)</f>
        <v>-0.20151256262528749</v>
      </c>
      <c r="X3188" s="377">
        <f>PPMT('Assumptions (Oil G&amp;T)'!$B$73,Model!AG$1,'Assumptions (Oil G&amp;T)'!$B$76,Model!$N$3174)</f>
        <v>-0.21662600482218405</v>
      </c>
      <c r="Y3188" s="377">
        <f>PPMT('Assumptions (Oil G&amp;T)'!$B$73,Model!AH$1,'Assumptions (Oil G&amp;T)'!$B$76,Model!$N$3174)</f>
        <v>-0.23287295518384785</v>
      </c>
      <c r="Z3188" s="377">
        <f>PPMT('Assumptions (Oil G&amp;T)'!$B$73,Model!AI$1,'Assumptions (Oil G&amp;T)'!$B$76,Model!$N$3174)</f>
        <v>-0.25033842682263646</v>
      </c>
      <c r="AA3188" s="377">
        <f>PPMT('Assumptions (Oil G&amp;T)'!$B$73,Model!AJ$1,'Assumptions (Oil G&amp;T)'!$B$76,Model!$N$3174)</f>
        <v>-0.26911380883433417</v>
      </c>
      <c r="AB3188" s="377">
        <f>PPMT('Assumptions (Oil G&amp;T)'!$B$73,Model!AK$1,'Assumptions (Oil G&amp;T)'!$B$76,Model!$N$3174)</f>
        <v>-0.28929734449690925</v>
      </c>
      <c r="AC3188" s="377" t="e">
        <f>PPMT('Assumptions (Oil G&amp;T)'!$B$73,Model!AL$1,'Assumptions (Oil G&amp;T)'!$B$76,Model!$N$3174)</f>
        <v>#NUM!</v>
      </c>
      <c r="AD3188" s="377" t="e">
        <f>PPMT('Assumptions (Oil G&amp;T)'!$B$73,Model!AM$1,'Assumptions (Oil G&amp;T)'!$B$76,Model!$N$3174)</f>
        <v>#NUM!</v>
      </c>
      <c r="AE3188" s="377" t="e">
        <f>PPMT('Assumptions (Oil G&amp;T)'!$B$73,Model!AN$1,'Assumptions (Oil G&amp;T)'!$B$76,Model!$N$3174)</f>
        <v>#NUM!</v>
      </c>
      <c r="AF3188" s="377" t="e">
        <f>PPMT('Assumptions (Oil G&amp;T)'!$B$73,Model!AO$1,'Assumptions (Oil G&amp;T)'!$B$76,Model!$N$3174)</f>
        <v>#NUM!</v>
      </c>
      <c r="AG3188" s="377" t="e">
        <f>PPMT('Assumptions (Oil G&amp;T)'!$B$73,Model!AP$1,'Assumptions (Oil G&amp;T)'!$B$76,Model!$N$3174)</f>
        <v>#NUM!</v>
      </c>
      <c r="AH3188" s="377" t="e">
        <f>PPMT('Assumptions (Oil G&amp;T)'!$B$73,Model!AQ$1,'Assumptions (Oil G&amp;T)'!$B$76,Model!$N$3174)</f>
        <v>#NUM!</v>
      </c>
      <c r="AI3188" s="377" t="e">
        <f>PPMT('Assumptions (Oil G&amp;T)'!$B$73,Model!AR$1,'Assumptions (Oil G&amp;T)'!$B$76,Model!$N$3174)</f>
        <v>#NUM!</v>
      </c>
      <c r="AJ3188" s="377" t="e">
        <f>PPMT('Assumptions (Oil G&amp;T)'!$B$73,Model!AS$1,'Assumptions (Oil G&amp;T)'!$B$76,Model!$N$3174)</f>
        <v>#NUM!</v>
      </c>
      <c r="AK3188" s="377" t="e">
        <f>PPMT('Assumptions (Oil G&amp;T)'!$B$73,Model!AT$1,'Assumptions (Oil G&amp;T)'!$B$76,Model!$N$3174)</f>
        <v>#NUM!</v>
      </c>
      <c r="AL3188" s="377" t="e">
        <f>PPMT('Assumptions (Oil G&amp;T)'!$B$73,Model!AU$1,'Assumptions (Oil G&amp;T)'!$B$76,Model!$N$3174)</f>
        <v>#NUM!</v>
      </c>
    </row>
    <row r="3189" spans="1:50" ht="15.75" hidden="1" customHeight="1" outlineLevel="1">
      <c r="A3189" s="468"/>
      <c r="B3189" s="99"/>
      <c r="C3189" s="377"/>
      <c r="D3189" s="377"/>
      <c r="E3189" s="377"/>
      <c r="F3189" s="377"/>
      <c r="G3189" s="377"/>
      <c r="H3189" s="377"/>
      <c r="I3189" s="377"/>
      <c r="J3189" s="377"/>
      <c r="K3189" s="377"/>
      <c r="L3189" s="377"/>
      <c r="M3189" s="377"/>
      <c r="N3189" s="377"/>
      <c r="O3189" s="377">
        <f>PPMT('Assumptions (Oil G&amp;T)'!$B$73,Model!W$1,'Assumptions (Oil G&amp;T)'!$B$76,Model!$O$3174)</f>
        <v>-0.18589186794849014</v>
      </c>
      <c r="P3189" s="377">
        <f>PPMT('Assumptions (Oil G&amp;T)'!$B$73,Model!X$1,'Assumptions (Oil G&amp;T)'!$B$76,Model!$O$3174)</f>
        <v>-0.19983375804462686</v>
      </c>
      <c r="Q3189" s="377">
        <f>PPMT('Assumptions (Oil G&amp;T)'!$B$73,Model!Y$1,'Assumptions (Oil G&amp;T)'!$B$76,Model!$O$3174)</f>
        <v>-0.21482128989797392</v>
      </c>
      <c r="R3189" s="377">
        <f>PPMT('Assumptions (Oil G&amp;T)'!$B$73,Model!Z$1,'Assumptions (Oil G&amp;T)'!$B$76,Model!$O$3174)</f>
        <v>-0.23093288664032191</v>
      </c>
      <c r="S3189" s="377">
        <f>PPMT('Assumptions (Oil G&amp;T)'!$B$73,Model!AA$1,'Assumptions (Oil G&amp;T)'!$B$76,Model!$O$3174)</f>
        <v>-0.24825285313834605</v>
      </c>
      <c r="T3189" s="377">
        <f>PPMT('Assumptions (Oil G&amp;T)'!$B$73,Model!AB$1,'Assumptions (Oil G&amp;T)'!$B$76,Model!$O$3174)</f>
        <v>-0.26687181712372204</v>
      </c>
      <c r="U3189" s="377">
        <f>PPMT('Assumptions (Oil G&amp;T)'!$B$73,Model!AC$1,'Assumptions (Oil G&amp;T)'!$B$76,Model!$O$3174)</f>
        <v>-0.28688720340800117</v>
      </c>
      <c r="V3189" s="377">
        <f>PPMT('Assumptions (Oil G&amp;T)'!$B$73,Model!AD$1,'Assumptions (Oil G&amp;T)'!$B$76,Model!$O$3174)</f>
        <v>-0.30840374366360124</v>
      </c>
      <c r="W3189" s="377">
        <f>PPMT('Assumptions (Oil G&amp;T)'!$B$73,Model!AE$1,'Assumptions (Oil G&amp;T)'!$B$76,Model!$O$3174)</f>
        <v>-0.33153402443837132</v>
      </c>
      <c r="X3189" s="377">
        <f>PPMT('Assumptions (Oil G&amp;T)'!$B$73,Model!AF$1,'Assumptions (Oil G&amp;T)'!$B$76,Model!$O$3174)</f>
        <v>-0.35639907627124923</v>
      </c>
      <c r="Y3189" s="377">
        <f>PPMT('Assumptions (Oil G&amp;T)'!$B$73,Model!AG$1,'Assumptions (Oil G&amp;T)'!$B$76,Model!$O$3174)</f>
        <v>-0.38312900699159286</v>
      </c>
      <c r="Z3189" s="377">
        <f>PPMT('Assumptions (Oil G&amp;T)'!$B$73,Model!AH$1,'Assumptions (Oil G&amp;T)'!$B$76,Model!$O$3174)</f>
        <v>-0.41186368251596234</v>
      </c>
      <c r="AA3189" s="377">
        <f>PPMT('Assumptions (Oil G&amp;T)'!$B$73,Model!AI$1,'Assumptions (Oil G&amp;T)'!$B$76,Model!$O$3174)</f>
        <v>-0.44275345870465954</v>
      </c>
      <c r="AB3189" s="377">
        <f>PPMT('Assumptions (Oil G&amp;T)'!$B$73,Model!AJ$1,'Assumptions (Oil G&amp;T)'!$B$76,Model!$O$3174)</f>
        <v>-0.47595996810750901</v>
      </c>
      <c r="AC3189" s="377">
        <f>PPMT('Assumptions (Oil G&amp;T)'!$B$73,Model!AK$1,'Assumptions (Oil G&amp;T)'!$B$76,Model!$O$3174)</f>
        <v>-0.51165696571557218</v>
      </c>
      <c r="AD3189" s="377" t="e">
        <f>PPMT('Assumptions (Oil G&amp;T)'!$B$73,Model!AL$1,'Assumptions (Oil G&amp;T)'!$B$76,Model!$O$3174)</f>
        <v>#NUM!</v>
      </c>
      <c r="AE3189" s="377" t="e">
        <f>PPMT('Assumptions (Oil G&amp;T)'!$B$73,Model!AM$1,'Assumptions (Oil G&amp;T)'!$B$76,Model!$O$3174)</f>
        <v>#NUM!</v>
      </c>
      <c r="AF3189" s="377" t="e">
        <f>PPMT('Assumptions (Oil G&amp;T)'!$B$73,Model!AN$1,'Assumptions (Oil G&amp;T)'!$B$76,Model!$O$3174)</f>
        <v>#NUM!</v>
      </c>
      <c r="AG3189" s="377" t="e">
        <f>PPMT('Assumptions (Oil G&amp;T)'!$B$73,Model!AO$1,'Assumptions (Oil G&amp;T)'!$B$76,Model!$O$3174)</f>
        <v>#NUM!</v>
      </c>
      <c r="AH3189" s="377" t="e">
        <f>PPMT('Assumptions (Oil G&amp;T)'!$B$73,Model!AP$1,'Assumptions (Oil G&amp;T)'!$B$76,Model!$O$3174)</f>
        <v>#NUM!</v>
      </c>
      <c r="AI3189" s="377" t="e">
        <f>PPMT('Assumptions (Oil G&amp;T)'!$B$73,Model!AQ$1,'Assumptions (Oil G&amp;T)'!$B$76,Model!$O$3174)</f>
        <v>#NUM!</v>
      </c>
      <c r="AJ3189" s="377" t="e">
        <f>PPMT('Assumptions (Oil G&amp;T)'!$B$73,Model!AR$1,'Assumptions (Oil G&amp;T)'!$B$76,Model!$O$3174)</f>
        <v>#NUM!</v>
      </c>
      <c r="AK3189" s="377" t="e">
        <f>PPMT('Assumptions (Oil G&amp;T)'!$B$73,Model!AS$1,'Assumptions (Oil G&amp;T)'!$B$76,Model!$O$3174)</f>
        <v>#NUM!</v>
      </c>
      <c r="AL3189" s="377" t="e">
        <f>PPMT('Assumptions (Oil G&amp;T)'!$B$73,Model!AT$1,'Assumptions (Oil G&amp;T)'!$B$76,Model!$O$3174)</f>
        <v>#NUM!</v>
      </c>
      <c r="AM3189" s="377" t="e">
        <f>PPMT('Assumptions (Oil G&amp;T)'!$B$73,Model!AU$1,'Assumptions (Oil G&amp;T)'!$B$76,Model!$O$3174)</f>
        <v>#NUM!</v>
      </c>
    </row>
    <row r="3190" spans="1:50" ht="15.75" hidden="1" customHeight="1" outlineLevel="1">
      <c r="A3190" s="468"/>
      <c r="B3190" s="99"/>
      <c r="C3190" s="377"/>
      <c r="D3190" s="377"/>
      <c r="E3190" s="377"/>
      <c r="F3190" s="377"/>
      <c r="G3190" s="377"/>
      <c r="H3190" s="377"/>
      <c r="I3190" s="377"/>
      <c r="J3190" s="377"/>
      <c r="K3190" s="377"/>
      <c r="L3190" s="377"/>
      <c r="M3190" s="377"/>
      <c r="N3190" s="377"/>
      <c r="O3190" s="377"/>
      <c r="P3190" s="377">
        <f>PPMT('Assumptions (Oil G&amp;T)'!$B$73,Model!W$1,'Assumptions (Oil G&amp;T)'!$B$76,Model!$P$3174)</f>
        <v>-0.40471125331785923</v>
      </c>
      <c r="Q3190" s="377">
        <f>PPMT('Assumptions (Oil G&amp;T)'!$B$73,Model!X$1,'Assumptions (Oil G&amp;T)'!$B$76,Model!$P$3174)</f>
        <v>-0.43506459731669861</v>
      </c>
      <c r="R3190" s="377">
        <f>PPMT('Assumptions (Oil G&amp;T)'!$B$73,Model!Y$1,'Assumptions (Oil G&amp;T)'!$B$76,Model!$P$3174)</f>
        <v>-0.46769444211545108</v>
      </c>
      <c r="S3190" s="377">
        <f>PPMT('Assumptions (Oil G&amp;T)'!$B$73,Model!Z$1,'Assumptions (Oil G&amp;T)'!$B$76,Model!$P$3174)</f>
        <v>-0.50277152527410984</v>
      </c>
      <c r="T3190" s="377">
        <f>PPMT('Assumptions (Oil G&amp;T)'!$B$73,Model!AA$1,'Assumptions (Oil G&amp;T)'!$B$76,Model!$P$3174)</f>
        <v>-0.54047938966966802</v>
      </c>
      <c r="U3190" s="377">
        <f>PPMT('Assumptions (Oil G&amp;T)'!$B$73,Model!AB$1,'Assumptions (Oil G&amp;T)'!$B$76,Model!$P$3174)</f>
        <v>-0.58101534389489318</v>
      </c>
      <c r="V3190" s="377">
        <f>PPMT('Assumptions (Oil G&amp;T)'!$B$73,Model!AC$1,'Assumptions (Oil G&amp;T)'!$B$76,Model!$P$3174)</f>
        <v>-0.62459149468701014</v>
      </c>
      <c r="W3190" s="377">
        <f>PPMT('Assumptions (Oil G&amp;T)'!$B$73,Model!AD$1,'Assumptions (Oil G&amp;T)'!$B$76,Model!$P$3174)</f>
        <v>-0.6714358567885359</v>
      </c>
      <c r="X3190" s="377">
        <f>PPMT('Assumptions (Oil G&amp;T)'!$B$73,Model!AE$1,'Assumptions (Oil G&amp;T)'!$B$76,Model!$P$3174)</f>
        <v>-0.72179354604767609</v>
      </c>
      <c r="Y3190" s="377">
        <f>PPMT('Assumptions (Oil G&amp;T)'!$B$73,Model!AF$1,'Assumptions (Oil G&amp;T)'!$B$76,Model!$P$3174)</f>
        <v>-0.77592806200125186</v>
      </c>
      <c r="Z3190" s="377">
        <f>PPMT('Assumptions (Oil G&amp;T)'!$B$73,Model!AG$1,'Assumptions (Oil G&amp;T)'!$B$76,Model!$P$3174)</f>
        <v>-0.8341226666513456</v>
      </c>
      <c r="AA3190" s="377">
        <f>PPMT('Assumptions (Oil G&amp;T)'!$B$73,Model!AH$1,'Assumptions (Oil G&amp;T)'!$B$76,Model!$P$3174)</f>
        <v>-0.89668186665019667</v>
      </c>
      <c r="AB3190" s="377">
        <f>PPMT('Assumptions (Oil G&amp;T)'!$B$73,Model!AI$1,'Assumptions (Oil G&amp;T)'!$B$76,Model!$P$3174)</f>
        <v>-0.96393300664896142</v>
      </c>
      <c r="AC3190" s="377">
        <f>PPMT('Assumptions (Oil G&amp;T)'!$B$73,Model!AJ$1,'Assumptions (Oil G&amp;T)'!$B$76,Model!$P$3174)</f>
        <v>-1.0362279821476335</v>
      </c>
      <c r="AD3190" s="377">
        <f>PPMT('Assumptions (Oil G&amp;T)'!$B$73,Model!AK$1,'Assumptions (Oil G&amp;T)'!$B$76,Model!$P$3174)</f>
        <v>-1.1139450808087059</v>
      </c>
      <c r="AE3190" s="377" t="e">
        <f>PPMT('Assumptions (Oil G&amp;T)'!$B$73,Model!AL$1,'Assumptions (Oil G&amp;T)'!$B$76,Model!$P$3174)</f>
        <v>#NUM!</v>
      </c>
      <c r="AF3190" s="377" t="e">
        <f>PPMT('Assumptions (Oil G&amp;T)'!$B$73,Model!AM$1,'Assumptions (Oil G&amp;T)'!$B$76,Model!$P$3174)</f>
        <v>#NUM!</v>
      </c>
      <c r="AG3190" s="377" t="e">
        <f>PPMT('Assumptions (Oil G&amp;T)'!$B$73,Model!AN$1,'Assumptions (Oil G&amp;T)'!$B$76,Model!$P$3174)</f>
        <v>#NUM!</v>
      </c>
      <c r="AH3190" s="377" t="e">
        <f>PPMT('Assumptions (Oil G&amp;T)'!$B$73,Model!AO$1,'Assumptions (Oil G&amp;T)'!$B$76,Model!$P$3174)</f>
        <v>#NUM!</v>
      </c>
      <c r="AI3190" s="377" t="e">
        <f>PPMT('Assumptions (Oil G&amp;T)'!$B$73,Model!AP$1,'Assumptions (Oil G&amp;T)'!$B$76,Model!$P$3174)</f>
        <v>#NUM!</v>
      </c>
      <c r="AJ3190" s="377" t="e">
        <f>PPMT('Assumptions (Oil G&amp;T)'!$B$73,Model!AQ$1,'Assumptions (Oil G&amp;T)'!$B$76,Model!$P$3174)</f>
        <v>#NUM!</v>
      </c>
      <c r="AK3190" s="377" t="e">
        <f>PPMT('Assumptions (Oil G&amp;T)'!$B$73,Model!AR$1,'Assumptions (Oil G&amp;T)'!$B$76,Model!$P$3174)</f>
        <v>#NUM!</v>
      </c>
      <c r="AL3190" s="377" t="e">
        <f>PPMT('Assumptions (Oil G&amp;T)'!$B$73,Model!AS$1,'Assumptions (Oil G&amp;T)'!$B$76,Model!$P$3174)</f>
        <v>#NUM!</v>
      </c>
      <c r="AM3190" s="377" t="e">
        <f>PPMT('Assumptions (Oil G&amp;T)'!$B$73,Model!AT$1,'Assumptions (Oil G&amp;T)'!$B$76,Model!$P$3174)</f>
        <v>#NUM!</v>
      </c>
      <c r="AN3190" s="377" t="e">
        <f>PPMT('Assumptions (Oil G&amp;T)'!$B$73,Model!AU$1,'Assumptions (Oil G&amp;T)'!$B$76,Model!$P$3174)</f>
        <v>#NUM!</v>
      </c>
    </row>
    <row r="3191" spans="1:50" ht="15.75" hidden="1" customHeight="1" outlineLevel="1">
      <c r="A3191" s="468"/>
      <c r="B3191" s="99"/>
      <c r="C3191" s="377"/>
      <c r="D3191" s="377"/>
      <c r="E3191" s="377"/>
      <c r="F3191" s="377"/>
      <c r="G3191" s="377"/>
      <c r="H3191" s="377"/>
      <c r="I3191" s="377"/>
      <c r="J3191" s="377"/>
      <c r="K3191" s="377"/>
      <c r="L3191" s="377"/>
      <c r="M3191" s="377"/>
      <c r="N3191" s="377"/>
      <c r="O3191" s="377"/>
      <c r="P3191" s="377"/>
      <c r="Q3191" s="377">
        <f>PPMT('Assumptions (Oil G&amp;T)'!$B$73,Model!W$1,'Assumptions (Oil G&amp;T)'!$B$76,Model!$Q$3174)</f>
        <v>-0.55737327946033166</v>
      </c>
      <c r="R3191" s="377">
        <f>PPMT('Assumptions (Oil G&amp;T)'!$B$73,Model!X$1,'Assumptions (Oil G&amp;T)'!$B$76,Model!$Q$3174)</f>
        <v>-0.59917627541985652</v>
      </c>
      <c r="S3191" s="377">
        <f>PPMT('Assumptions (Oil G&amp;T)'!$B$73,Model!Y$1,'Assumptions (Oil G&amp;T)'!$B$76,Model!$Q$3174)</f>
        <v>-0.64411449607634585</v>
      </c>
      <c r="T3191" s="377">
        <f>PPMT('Assumptions (Oil G&amp;T)'!$B$73,Model!Z$1,'Assumptions (Oil G&amp;T)'!$B$76,Model!$Q$3174)</f>
        <v>-0.69242308328207181</v>
      </c>
      <c r="U3191" s="377">
        <f>PPMT('Assumptions (Oil G&amp;T)'!$B$73,Model!AA$1,'Assumptions (Oil G&amp;T)'!$B$76,Model!$Q$3174)</f>
        <v>-0.74435481452822716</v>
      </c>
      <c r="V3191" s="377">
        <f>PPMT('Assumptions (Oil G&amp;T)'!$B$73,Model!AB$1,'Assumptions (Oil G&amp;T)'!$B$76,Model!$Q$3174)</f>
        <v>-0.80018142561784422</v>
      </c>
      <c r="W3191" s="377">
        <f>PPMT('Assumptions (Oil G&amp;T)'!$B$73,Model!AC$1,'Assumptions (Oil G&amp;T)'!$B$76,Model!$Q$3174)</f>
        <v>-0.8601950325391825</v>
      </c>
      <c r="X3191" s="377">
        <f>PPMT('Assumptions (Oil G&amp;T)'!$B$73,Model!AD$1,'Assumptions (Oil G&amp;T)'!$B$76,Model!$Q$3174)</f>
        <v>-0.92470965997962118</v>
      </c>
      <c r="Y3191" s="377">
        <f>PPMT('Assumptions (Oil G&amp;T)'!$B$73,Model!AE$1,'Assumptions (Oil G&amp;T)'!$B$76,Model!$Q$3174)</f>
        <v>-0.99406288447809277</v>
      </c>
      <c r="Z3191" s="377">
        <f>PPMT('Assumptions (Oil G&amp;T)'!$B$73,Model!AF$1,'Assumptions (Oil G&amp;T)'!$B$76,Model!$Q$3174)</f>
        <v>-1.0686176008139499</v>
      </c>
      <c r="AA3191" s="377">
        <f>PPMT('Assumptions (Oil G&amp;T)'!$B$73,Model!AG$1,'Assumptions (Oil G&amp;T)'!$B$76,Model!$Q$3174)</f>
        <v>-1.1487639208749958</v>
      </c>
      <c r="AB3191" s="377">
        <f>PPMT('Assumptions (Oil G&amp;T)'!$B$73,Model!AH$1,'Assumptions (Oil G&amp;T)'!$B$76,Model!$Q$3174)</f>
        <v>-1.2349212149406208</v>
      </c>
      <c r="AC3191" s="377">
        <f>PPMT('Assumptions (Oil G&amp;T)'!$B$73,Model!AI$1,'Assumptions (Oil G&amp;T)'!$B$76,Model!$Q$3174)</f>
        <v>-1.3275403060611672</v>
      </c>
      <c r="AD3191" s="377">
        <f>PPMT('Assumptions (Oil G&amp;T)'!$B$73,Model!AJ$1,'Assumptions (Oil G&amp;T)'!$B$76,Model!$Q$3174)</f>
        <v>-1.427105829015755</v>
      </c>
      <c r="AE3191" s="377">
        <f>PPMT('Assumptions (Oil G&amp;T)'!$B$73,Model!AK$1,'Assumptions (Oil G&amp;T)'!$B$76,Model!$Q$3174)</f>
        <v>-1.5341387661919363</v>
      </c>
      <c r="AF3191" s="377" t="e">
        <f>PPMT('Assumptions (Oil G&amp;T)'!$B$73,Model!AL$1,'Assumptions (Oil G&amp;T)'!$B$76,Model!$Q$3174)</f>
        <v>#NUM!</v>
      </c>
      <c r="AG3191" s="377" t="e">
        <f>PPMT('Assumptions (Oil G&amp;T)'!$B$73,Model!AM$1,'Assumptions (Oil G&amp;T)'!$B$76,Model!$Q$3174)</f>
        <v>#NUM!</v>
      </c>
      <c r="AH3191" s="377" t="e">
        <f>PPMT('Assumptions (Oil G&amp;T)'!$B$73,Model!AN$1,'Assumptions (Oil G&amp;T)'!$B$76,Model!$Q$3174)</f>
        <v>#NUM!</v>
      </c>
      <c r="AI3191" s="377" t="e">
        <f>PPMT('Assumptions (Oil G&amp;T)'!$B$73,Model!AO$1,'Assumptions (Oil G&amp;T)'!$B$76,Model!$Q$3174)</f>
        <v>#NUM!</v>
      </c>
      <c r="AJ3191" s="377" t="e">
        <f>PPMT('Assumptions (Oil G&amp;T)'!$B$73,Model!AP$1,'Assumptions (Oil G&amp;T)'!$B$76,Model!$Q$3174)</f>
        <v>#NUM!</v>
      </c>
      <c r="AK3191" s="377" t="e">
        <f>PPMT('Assumptions (Oil G&amp;T)'!$B$73,Model!AQ$1,'Assumptions (Oil G&amp;T)'!$B$76,Model!$Q$3174)</f>
        <v>#NUM!</v>
      </c>
      <c r="AL3191" s="377" t="e">
        <f>PPMT('Assumptions (Oil G&amp;T)'!$B$73,Model!AR$1,'Assumptions (Oil G&amp;T)'!$B$76,Model!$Q$3174)</f>
        <v>#NUM!</v>
      </c>
      <c r="AM3191" s="377" t="e">
        <f>PPMT('Assumptions (Oil G&amp;T)'!$B$73,Model!AS$1,'Assumptions (Oil G&amp;T)'!$B$76,Model!$Q$3174)</f>
        <v>#NUM!</v>
      </c>
      <c r="AN3191" s="377" t="e">
        <f>PPMT('Assumptions (Oil G&amp;T)'!$B$73,Model!AT$1,'Assumptions (Oil G&amp;T)'!$B$76,Model!$Q$3174)</f>
        <v>#NUM!</v>
      </c>
      <c r="AO3191" s="377" t="e">
        <f>PPMT('Assumptions (Oil G&amp;T)'!$B$73,Model!AU$1,'Assumptions (Oil G&amp;T)'!$B$76,Model!$Q$3174)</f>
        <v>#NUM!</v>
      </c>
    </row>
    <row r="3192" spans="1:50" ht="15.75" hidden="1" customHeight="1" outlineLevel="1">
      <c r="A3192" s="468"/>
      <c r="B3192" s="99"/>
      <c r="C3192" s="377"/>
      <c r="D3192" s="377"/>
      <c r="E3192" s="377"/>
      <c r="F3192" s="377"/>
      <c r="G3192" s="377"/>
      <c r="H3192" s="377"/>
      <c r="I3192" s="377"/>
      <c r="J3192" s="377"/>
      <c r="K3192" s="377"/>
      <c r="L3192" s="377"/>
      <c r="M3192" s="377"/>
      <c r="N3192" s="377"/>
      <c r="O3192" s="377"/>
      <c r="P3192" s="377"/>
      <c r="Q3192" s="377"/>
      <c r="R3192" s="377">
        <f>PPMT('Assumptions (Oil G&amp;T)'!$B$73,Model!W$1,'Assumptions (Oil G&amp;T)'!$B$76,Model!$R$3174)</f>
        <v>-0.42258308206088357</v>
      </c>
      <c r="S3192" s="377">
        <f>PPMT('Assumptions (Oil G&amp;T)'!$B$73,Model!X$1,'Assumptions (Oil G&amp;T)'!$B$76,Model!$R$3174)</f>
        <v>-0.45427681321544988</v>
      </c>
      <c r="T3192" s="377">
        <f>PPMT('Assumptions (Oil G&amp;T)'!$B$73,Model!Y$1,'Assumptions (Oil G&amp;T)'!$B$76,Model!$R$3174)</f>
        <v>-0.48834757420660868</v>
      </c>
      <c r="U3192" s="377">
        <f>PPMT('Assumptions (Oil G&amp;T)'!$B$73,Model!Z$1,'Assumptions (Oil G&amp;T)'!$B$76,Model!$R$3174)</f>
        <v>-0.52497364227210419</v>
      </c>
      <c r="V3192" s="377">
        <f>PPMT('Assumptions (Oil G&amp;T)'!$B$73,Model!AA$1,'Assumptions (Oil G&amp;T)'!$B$76,Model!$R$3174)</f>
        <v>-0.564346665442512</v>
      </c>
      <c r="W3192" s="377">
        <f>PPMT('Assumptions (Oil G&amp;T)'!$B$73,Model!AB$1,'Assumptions (Oil G&amp;T)'!$B$76,Model!$R$3174)</f>
        <v>-0.60667266535070041</v>
      </c>
      <c r="X3192" s="377">
        <f>PPMT('Assumptions (Oil G&amp;T)'!$B$73,Model!AC$1,'Assumptions (Oil G&amp;T)'!$B$76,Model!$R$3174)</f>
        <v>-0.65217311525200294</v>
      </c>
      <c r="Y3192" s="377">
        <f>PPMT('Assumptions (Oil G&amp;T)'!$B$73,Model!AD$1,'Assumptions (Oil G&amp;T)'!$B$76,Model!$R$3174)</f>
        <v>-0.70108609889590312</v>
      </c>
      <c r="Z3192" s="377">
        <f>PPMT('Assumptions (Oil G&amp;T)'!$B$73,Model!AE$1,'Assumptions (Oil G&amp;T)'!$B$76,Model!$R$3174)</f>
        <v>-0.75366755631309601</v>
      </c>
      <c r="AA3192" s="377">
        <f>PPMT('Assumptions (Oil G&amp;T)'!$B$73,Model!AF$1,'Assumptions (Oil G&amp;T)'!$B$76,Model!$R$3174)</f>
        <v>-0.81019262303657813</v>
      </c>
      <c r="AB3192" s="377">
        <f>PPMT('Assumptions (Oil G&amp;T)'!$B$73,Model!AG$1,'Assumptions (Oil G&amp;T)'!$B$76,Model!$R$3174)</f>
        <v>-0.87095706976432152</v>
      </c>
      <c r="AC3192" s="377">
        <f>PPMT('Assumptions (Oil G&amp;T)'!$B$73,Model!AH$1,'Assumptions (Oil G&amp;T)'!$B$76,Model!$R$3174)</f>
        <v>-0.93627884999664557</v>
      </c>
      <c r="AD3192" s="377">
        <f>PPMT('Assumptions (Oil G&amp;T)'!$B$73,Model!AI$1,'Assumptions (Oil G&amp;T)'!$B$76,Model!$R$3174)</f>
        <v>-1.0064997637463939</v>
      </c>
      <c r="AE3192" s="377">
        <f>PPMT('Assumptions (Oil G&amp;T)'!$B$73,Model!AJ$1,'Assumptions (Oil G&amp;T)'!$B$76,Model!$R$3174)</f>
        <v>-1.0819872460273736</v>
      </c>
      <c r="AF3192" s="377">
        <f>PPMT('Assumptions (Oil G&amp;T)'!$B$73,Model!AK$1,'Assumptions (Oil G&amp;T)'!$B$76,Model!$R$3174)</f>
        <v>-1.1631362894794266</v>
      </c>
      <c r="AG3192" s="377" t="e">
        <f>PPMT('Assumptions (Oil G&amp;T)'!$B$73,Model!AL$1,'Assumptions (Oil G&amp;T)'!$B$76,Model!$R$3174)</f>
        <v>#NUM!</v>
      </c>
      <c r="AH3192" s="377" t="e">
        <f>PPMT('Assumptions (Oil G&amp;T)'!$B$73,Model!AM$1,'Assumptions (Oil G&amp;T)'!$B$76,Model!$R$3174)</f>
        <v>#NUM!</v>
      </c>
      <c r="AI3192" s="377" t="e">
        <f>PPMT('Assumptions (Oil G&amp;T)'!$B$73,Model!AN$1,'Assumptions (Oil G&amp;T)'!$B$76,Model!$R$3174)</f>
        <v>#NUM!</v>
      </c>
      <c r="AJ3192" s="377" t="e">
        <f>PPMT('Assumptions (Oil G&amp;T)'!$B$73,Model!AO$1,'Assumptions (Oil G&amp;T)'!$B$76,Model!$R$3174)</f>
        <v>#NUM!</v>
      </c>
      <c r="AK3192" s="377" t="e">
        <f>PPMT('Assumptions (Oil G&amp;T)'!$B$73,Model!AP$1,'Assumptions (Oil G&amp;T)'!$B$76,Model!$R$3174)</f>
        <v>#NUM!</v>
      </c>
      <c r="AL3192" s="377" t="e">
        <f>PPMT('Assumptions (Oil G&amp;T)'!$B$73,Model!AQ$1,'Assumptions (Oil G&amp;T)'!$B$76,Model!$R$3174)</f>
        <v>#NUM!</v>
      </c>
      <c r="AM3192" s="377" t="e">
        <f>PPMT('Assumptions (Oil G&amp;T)'!$B$73,Model!AR$1,'Assumptions (Oil G&amp;T)'!$B$76,Model!$R$3174)</f>
        <v>#NUM!</v>
      </c>
      <c r="AN3192" s="377" t="e">
        <f>PPMT('Assumptions (Oil G&amp;T)'!$B$73,Model!AS$1,'Assumptions (Oil G&amp;T)'!$B$76,Model!$R$3174)</f>
        <v>#NUM!</v>
      </c>
      <c r="AO3192" s="377" t="e">
        <f>PPMT('Assumptions (Oil G&amp;T)'!$B$73,Model!AT$1,'Assumptions (Oil G&amp;T)'!$B$76,Model!$R$3174)</f>
        <v>#NUM!</v>
      </c>
      <c r="AP3192" s="377" t="e">
        <f>PPMT('Assumptions (Oil G&amp;T)'!$B$73,Model!AU$1,'Assumptions (Oil G&amp;T)'!$B$76,Model!$R$3174)</f>
        <v>#NUM!</v>
      </c>
    </row>
    <row r="3193" spans="1:50" ht="15.75" hidden="1" customHeight="1" outlineLevel="1">
      <c r="A3193" s="468"/>
      <c r="B3193" s="99"/>
      <c r="C3193" s="377"/>
      <c r="D3193" s="377"/>
      <c r="E3193" s="377"/>
      <c r="F3193" s="377"/>
      <c r="G3193" s="377"/>
      <c r="H3193" s="377"/>
      <c r="I3193" s="377"/>
      <c r="J3193" s="377"/>
      <c r="K3193" s="377"/>
      <c r="L3193" s="377"/>
      <c r="M3193" s="377"/>
      <c r="N3193" s="377"/>
      <c r="O3193" s="377"/>
      <c r="P3193" s="377"/>
      <c r="Q3193" s="377"/>
      <c r="R3193" s="377"/>
      <c r="S3193" s="377">
        <f>PPMT('Assumptions (Oil G&amp;T)'!$B$73,Model!W$1,'Assumptions (Oil G&amp;T)'!$B$76,Model!$S$3174)</f>
        <v>-0.26305065082097212</v>
      </c>
      <c r="T3193" s="377">
        <f>PPMT('Assumptions (Oil G&amp;T)'!$B$73,Model!X$1,'Assumptions (Oil G&amp;T)'!$B$76,Model!$S$3174)</f>
        <v>-0.28277944963254503</v>
      </c>
      <c r="U3193" s="377">
        <f>PPMT('Assumptions (Oil G&amp;T)'!$B$73,Model!Y$1,'Assumptions (Oil G&amp;T)'!$B$76,Model!$S$3174)</f>
        <v>-0.30398790835498596</v>
      </c>
      <c r="V3193" s="377">
        <f>PPMT('Assumptions (Oil G&amp;T)'!$B$73,Model!Z$1,'Assumptions (Oil G&amp;T)'!$B$76,Model!$S$3174)</f>
        <v>-0.32678700148160983</v>
      </c>
      <c r="W3193" s="377">
        <f>PPMT('Assumptions (Oil G&amp;T)'!$B$73,Model!AA$1,'Assumptions (Oil G&amp;T)'!$B$76,Model!$S$3174)</f>
        <v>-0.35129602659273051</v>
      </c>
      <c r="X3193" s="377">
        <f>PPMT('Assumptions (Oil G&amp;T)'!$B$73,Model!AB$1,'Assumptions (Oil G&amp;T)'!$B$76,Model!$S$3174)</f>
        <v>-0.37764322858718535</v>
      </c>
      <c r="Y3193" s="377">
        <f>PPMT('Assumptions (Oil G&amp;T)'!$B$73,Model!AC$1,'Assumptions (Oil G&amp;T)'!$B$76,Model!$S$3174)</f>
        <v>-0.40596647073122427</v>
      </c>
      <c r="Z3193" s="377">
        <f>PPMT('Assumptions (Oil G&amp;T)'!$B$73,Model!AD$1,'Assumptions (Oil G&amp;T)'!$B$76,Model!$S$3174)</f>
        <v>-0.43641395603606609</v>
      </c>
      <c r="AA3193" s="377">
        <f>PPMT('Assumptions (Oil G&amp;T)'!$B$73,Model!AE$1,'Assumptions (Oil G&amp;T)'!$B$76,Model!$S$3174)</f>
        <v>-0.46914500273877102</v>
      </c>
      <c r="AB3193" s="377">
        <f>PPMT('Assumptions (Oil G&amp;T)'!$B$73,Model!AF$1,'Assumptions (Oil G&amp;T)'!$B$76,Model!$S$3174)</f>
        <v>-0.50433087794417886</v>
      </c>
      <c r="AC3193" s="377">
        <f>PPMT('Assumptions (Oil G&amp;T)'!$B$73,Model!AG$1,'Assumptions (Oil G&amp;T)'!$B$76,Model!$S$3174)</f>
        <v>-0.54215569378999229</v>
      </c>
      <c r="AD3193" s="377">
        <f>PPMT('Assumptions (Oil G&amp;T)'!$B$73,Model!AH$1,'Assumptions (Oil G&amp;T)'!$B$76,Model!$S$3174)</f>
        <v>-0.58281737082424168</v>
      </c>
      <c r="AE3193" s="377">
        <f>PPMT('Assumptions (Oil G&amp;T)'!$B$73,Model!AI$1,'Assumptions (Oil G&amp;T)'!$B$76,Model!$S$3174)</f>
        <v>-0.6265286736360598</v>
      </c>
      <c r="AF3193" s="377">
        <f>PPMT('Assumptions (Oil G&amp;T)'!$B$73,Model!AJ$1,'Assumptions (Oil G&amp;T)'!$B$76,Model!$S$3174)</f>
        <v>-0.67351832415876434</v>
      </c>
      <c r="AG3193" s="377">
        <f>PPMT('Assumptions (Oil G&amp;T)'!$B$73,Model!AK$1,'Assumptions (Oil G&amp;T)'!$B$76,Model!$S$3174)</f>
        <v>-0.72403219847067157</v>
      </c>
      <c r="AH3193" s="377" t="e">
        <f>PPMT('Assumptions (Oil G&amp;T)'!$B$73,Model!AL$1,'Assumptions (Oil G&amp;T)'!$B$76,Model!$S$3174)</f>
        <v>#NUM!</v>
      </c>
      <c r="AI3193" s="377" t="e">
        <f>PPMT('Assumptions (Oil G&amp;T)'!$B$73,Model!AM$1,'Assumptions (Oil G&amp;T)'!$B$76,Model!$S$3174)</f>
        <v>#NUM!</v>
      </c>
      <c r="AJ3193" s="377" t="e">
        <f>PPMT('Assumptions (Oil G&amp;T)'!$B$73,Model!AN$1,'Assumptions (Oil G&amp;T)'!$B$76,Model!$S$3174)</f>
        <v>#NUM!</v>
      </c>
      <c r="AK3193" s="377" t="e">
        <f>PPMT('Assumptions (Oil G&amp;T)'!$B$73,Model!AO$1,'Assumptions (Oil G&amp;T)'!$B$76,Model!$S$3174)</f>
        <v>#NUM!</v>
      </c>
      <c r="AL3193" s="377" t="e">
        <f>PPMT('Assumptions (Oil G&amp;T)'!$B$73,Model!AP$1,'Assumptions (Oil G&amp;T)'!$B$76,Model!$S$3174)</f>
        <v>#NUM!</v>
      </c>
      <c r="AM3193" s="377" t="e">
        <f>PPMT('Assumptions (Oil G&amp;T)'!$B$73,Model!AQ$1,'Assumptions (Oil G&amp;T)'!$B$76,Model!$S$3174)</f>
        <v>#NUM!</v>
      </c>
      <c r="AN3193" s="377" t="e">
        <f>PPMT('Assumptions (Oil G&amp;T)'!$B$73,Model!AR$1,'Assumptions (Oil G&amp;T)'!$B$76,Model!$S$3174)</f>
        <v>#NUM!</v>
      </c>
      <c r="AO3193" s="377" t="e">
        <f>PPMT('Assumptions (Oil G&amp;T)'!$B$73,Model!AS$1,'Assumptions (Oil G&amp;T)'!$B$76,Model!$S$3174)</f>
        <v>#NUM!</v>
      </c>
      <c r="AP3193" s="377" t="e">
        <f>PPMT('Assumptions (Oil G&amp;T)'!$B$73,Model!AT$1,'Assumptions (Oil G&amp;T)'!$B$76,Model!$S$3174)</f>
        <v>#NUM!</v>
      </c>
      <c r="AQ3193" s="377" t="e">
        <f>PPMT('Assumptions (Oil G&amp;T)'!$B$73,Model!AU$1,'Assumptions (Oil G&amp;T)'!$B$76,Model!$S$3174)</f>
        <v>#NUM!</v>
      </c>
    </row>
    <row r="3194" spans="1:50" ht="15.75" hidden="1" customHeight="1" outlineLevel="1">
      <c r="A3194" s="468"/>
      <c r="B3194" s="99"/>
      <c r="C3194" s="377"/>
      <c r="D3194" s="377"/>
      <c r="E3194" s="377"/>
      <c r="F3194" s="377"/>
      <c r="G3194" s="377"/>
      <c r="H3194" s="377"/>
      <c r="I3194" s="377"/>
      <c r="J3194" s="377"/>
      <c r="K3194" s="377"/>
      <c r="L3194" s="377"/>
      <c r="M3194" s="377"/>
      <c r="N3194" s="377"/>
      <c r="O3194" s="377"/>
      <c r="P3194" s="377"/>
      <c r="Q3194" s="377"/>
      <c r="R3194" s="377"/>
      <c r="S3194" s="42"/>
      <c r="T3194" s="377">
        <f>PPMT('Assumptions (Oil G&amp;T)'!$B$73,Model!W$1,'Assumptions (Oil G&amp;T)'!$B$76,Model!$T$3174)</f>
        <v>-0.40717571994510399</v>
      </c>
      <c r="U3194" s="377">
        <f>PPMT('Assumptions (Oil G&amp;T)'!$B$73,Model!X$1,'Assumptions (Oil G&amp;T)'!$B$76,Model!$T$3174)</f>
        <v>-0.43771389894098683</v>
      </c>
      <c r="V3194" s="377">
        <f>PPMT('Assumptions (Oil G&amp;T)'!$B$73,Model!Y$1,'Assumptions (Oil G&amp;T)'!$B$76,Model!$T$3174)</f>
        <v>-0.47054244136156081</v>
      </c>
      <c r="W3194" s="377">
        <f>PPMT('Assumptions (Oil G&amp;T)'!$B$73,Model!Z$1,'Assumptions (Oil G&amp;T)'!$B$76,Model!$T$3174)</f>
        <v>-0.5058331244636779</v>
      </c>
      <c r="X3194" s="377">
        <f>PPMT('Assumptions (Oil G&amp;T)'!$B$73,Model!AA$1,'Assumptions (Oil G&amp;T)'!$B$76,Model!$T$3174)</f>
        <v>-0.54377060879845363</v>
      </c>
      <c r="Y3194" s="377">
        <f>PPMT('Assumptions (Oil G&amp;T)'!$B$73,Model!AB$1,'Assumptions (Oil G&amp;T)'!$B$76,Model!$T$3174)</f>
        <v>-0.5845534044583377</v>
      </c>
      <c r="Z3194" s="377">
        <f>PPMT('Assumptions (Oil G&amp;T)'!$B$73,Model!AC$1,'Assumptions (Oil G&amp;T)'!$B$76,Model!$T$3174)</f>
        <v>-0.62839490979271306</v>
      </c>
      <c r="AA3194" s="377">
        <f>PPMT('Assumptions (Oil G&amp;T)'!$B$73,Model!AD$1,'Assumptions (Oil G&amp;T)'!$B$76,Model!$T$3174)</f>
        <v>-0.67552452802716645</v>
      </c>
      <c r="AB3194" s="377">
        <f>PPMT('Assumptions (Oil G&amp;T)'!$B$73,Model!AE$1,'Assumptions (Oil G&amp;T)'!$B$76,Model!$T$3174)</f>
        <v>-0.72618886762920409</v>
      </c>
      <c r="AC3194" s="377">
        <f>PPMT('Assumptions (Oil G&amp;T)'!$B$73,Model!AF$1,'Assumptions (Oil G&amp;T)'!$B$76,Model!$T$3174)</f>
        <v>-0.78065303270139441</v>
      </c>
      <c r="AD3194" s="377">
        <f>PPMT('Assumptions (Oil G&amp;T)'!$B$73,Model!AG$1,'Assumptions (Oil G&amp;T)'!$B$76,Model!$T$3174)</f>
        <v>-0.83920201015399887</v>
      </c>
      <c r="AE3194" s="377">
        <f>PPMT('Assumptions (Oil G&amp;T)'!$B$73,Model!AH$1,'Assumptions (Oil G&amp;T)'!$B$76,Model!$T$3174)</f>
        <v>-0.90214216091554877</v>
      </c>
      <c r="AF3194" s="377">
        <f>PPMT('Assumptions (Oil G&amp;T)'!$B$73,Model!AI$1,'Assumptions (Oil G&amp;T)'!$B$76,Model!$T$3174)</f>
        <v>-0.96980282298421494</v>
      </c>
      <c r="AG3194" s="377">
        <f>PPMT('Assumptions (Oil G&amp;T)'!$B$73,Model!AJ$1,'Assumptions (Oil G&amp;T)'!$B$76,Model!$T$3174)</f>
        <v>-1.0425380347080313</v>
      </c>
      <c r="AH3194" s="377">
        <f>PPMT('Assumptions (Oil G&amp;T)'!$B$73,Model!AK$1,'Assumptions (Oil G&amp;T)'!$B$76,Model!$T$3174)</f>
        <v>-1.1207283873111333</v>
      </c>
      <c r="AI3194" s="377" t="e">
        <f>PPMT('Assumptions (Oil G&amp;T)'!$B$73,Model!AL$1,'Assumptions (Oil G&amp;T)'!$B$76,Model!$T$3174)</f>
        <v>#NUM!</v>
      </c>
      <c r="AJ3194" s="377" t="e">
        <f>PPMT('Assumptions (Oil G&amp;T)'!$B$73,Model!AM$1,'Assumptions (Oil G&amp;T)'!$B$76,Model!$T$3174)</f>
        <v>#NUM!</v>
      </c>
      <c r="AK3194" s="377" t="e">
        <f>PPMT('Assumptions (Oil G&amp;T)'!$B$73,Model!AN$1,'Assumptions (Oil G&amp;T)'!$B$76,Model!$T$3174)</f>
        <v>#NUM!</v>
      </c>
      <c r="AL3194" s="377" t="e">
        <f>PPMT('Assumptions (Oil G&amp;T)'!$B$73,Model!AO$1,'Assumptions (Oil G&amp;T)'!$B$76,Model!$T$3174)</f>
        <v>#NUM!</v>
      </c>
      <c r="AM3194" s="377" t="e">
        <f>PPMT('Assumptions (Oil G&amp;T)'!$B$73,Model!AP$1,'Assumptions (Oil G&amp;T)'!$B$76,Model!$T$3174)</f>
        <v>#NUM!</v>
      </c>
      <c r="AN3194" s="377" t="e">
        <f>PPMT('Assumptions (Oil G&amp;T)'!$B$73,Model!AQ$1,'Assumptions (Oil G&amp;T)'!$B$76,Model!$T$3174)</f>
        <v>#NUM!</v>
      </c>
      <c r="AO3194" s="377" t="e">
        <f>PPMT('Assumptions (Oil G&amp;T)'!$B$73,Model!AR$1,'Assumptions (Oil G&amp;T)'!$B$76,Model!$T$3174)</f>
        <v>#NUM!</v>
      </c>
      <c r="AP3194" s="377" t="e">
        <f>PPMT('Assumptions (Oil G&amp;T)'!$B$73,Model!AS$1,'Assumptions (Oil G&amp;T)'!$B$76,Model!$T$3174)</f>
        <v>#NUM!</v>
      </c>
      <c r="AQ3194" s="377" t="e">
        <f>PPMT('Assumptions (Oil G&amp;T)'!$B$73,Model!AT$1,'Assumptions (Oil G&amp;T)'!$B$76,Model!$T$3174)</f>
        <v>#NUM!</v>
      </c>
      <c r="AR3194" s="377" t="e">
        <f>PPMT('Assumptions (Oil G&amp;T)'!$B$73,Model!AU$1,'Assumptions (Oil G&amp;T)'!$B$76,Model!$T$3174)</f>
        <v>#NUM!</v>
      </c>
    </row>
    <row r="3195" spans="1:50" ht="15.75" hidden="1" customHeight="1" outlineLevel="1">
      <c r="A3195" s="468"/>
      <c r="B3195" s="99"/>
      <c r="C3195" s="377"/>
      <c r="D3195" s="377"/>
      <c r="E3195" s="377"/>
      <c r="F3195" s="377"/>
      <c r="G3195" s="377"/>
      <c r="H3195" s="377"/>
      <c r="I3195" s="377"/>
      <c r="J3195" s="377"/>
      <c r="K3195" s="377"/>
      <c r="L3195" s="377"/>
      <c r="M3195" s="377"/>
      <c r="N3195" s="377"/>
      <c r="O3195" s="377"/>
      <c r="P3195" s="377"/>
      <c r="Q3195" s="377"/>
      <c r="R3195" s="377"/>
      <c r="S3195" s="42"/>
      <c r="T3195" s="42"/>
      <c r="U3195" s="377">
        <f>PPMT('Assumptions (Oil G&amp;T)'!$B$73,Model!W$1,'Assumptions (Oil G&amp;T)'!$B$76,Model!$U$3174)</f>
        <v>-0.44365949590430437</v>
      </c>
      <c r="V3195" s="377">
        <f>PPMT('Assumptions (Oil G&amp;T)'!$B$73,Model!X$1,'Assumptions (Oil G&amp;T)'!$B$76,Model!$U$3174)</f>
        <v>-0.47693395809712719</v>
      </c>
      <c r="W3195" s="377">
        <f>PPMT('Assumptions (Oil G&amp;T)'!$B$73,Model!Y$1,'Assumptions (Oil G&amp;T)'!$B$76,Model!$U$3174)</f>
        <v>-0.51270400495441182</v>
      </c>
      <c r="X3195" s="377">
        <f>PPMT('Assumptions (Oil G&amp;T)'!$B$73,Model!Z$1,'Assumptions (Oil G&amp;T)'!$B$76,Model!$U$3174)</f>
        <v>-0.55115680532599265</v>
      </c>
      <c r="Y3195" s="377">
        <f>PPMT('Assumptions (Oil G&amp;T)'!$B$73,Model!AA$1,'Assumptions (Oil G&amp;T)'!$B$76,Model!$U$3174)</f>
        <v>-0.5924935657254421</v>
      </c>
      <c r="Z3195" s="377">
        <f>PPMT('Assumptions (Oil G&amp;T)'!$B$73,Model!AB$1,'Assumptions (Oil G&amp;T)'!$B$76,Model!$U$3174)</f>
        <v>-0.63693058315485029</v>
      </c>
      <c r="AA3195" s="377">
        <f>PPMT('Assumptions (Oil G&amp;T)'!$B$73,Model!AC$1,'Assumptions (Oil G&amp;T)'!$B$76,Model!$U$3174)</f>
        <v>-0.68470037689146401</v>
      </c>
      <c r="AB3195" s="377">
        <f>PPMT('Assumptions (Oil G&amp;T)'!$B$73,Model!AD$1,'Assumptions (Oil G&amp;T)'!$B$76,Model!$U$3174)</f>
        <v>-0.73605290515832378</v>
      </c>
      <c r="AC3195" s="377">
        <f>PPMT('Assumptions (Oil G&amp;T)'!$B$73,Model!AE$1,'Assumptions (Oil G&amp;T)'!$B$76,Model!$U$3174)</f>
        <v>-0.79125687304519809</v>
      </c>
      <c r="AD3195" s="377">
        <f>PPMT('Assumptions (Oil G&amp;T)'!$B$73,Model!AF$1,'Assumptions (Oil G&amp;T)'!$B$76,Model!$U$3174)</f>
        <v>-0.85060113852358799</v>
      </c>
      <c r="AE3195" s="377">
        <f>PPMT('Assumptions (Oil G&amp;T)'!$B$73,Model!AG$1,'Assumptions (Oil G&amp;T)'!$B$76,Model!$U$3174)</f>
        <v>-0.91439622391285702</v>
      </c>
      <c r="AF3195" s="377">
        <f>PPMT('Assumptions (Oil G&amp;T)'!$B$73,Model!AH$1,'Assumptions (Oil G&amp;T)'!$B$76,Model!$U$3174)</f>
        <v>-0.98297594070632122</v>
      </c>
      <c r="AG3195" s="377">
        <f>PPMT('Assumptions (Oil G&amp;T)'!$B$73,Model!AI$1,'Assumptions (Oil G&amp;T)'!$B$76,Model!$U$3174)</f>
        <v>-1.0566991362592955</v>
      </c>
      <c r="AH3195" s="377">
        <f>PPMT('Assumptions (Oil G&amp;T)'!$B$73,Model!AJ$1,'Assumptions (Oil G&amp;T)'!$B$76,Model!$U$3174)</f>
        <v>-1.1359515714787427</v>
      </c>
      <c r="AI3195" s="377">
        <f>PPMT('Assumptions (Oil G&amp;T)'!$B$73,Model!AK$1,'Assumptions (Oil G&amp;T)'!$B$76,Model!$U$3174)</f>
        <v>-1.2211479393396483</v>
      </c>
      <c r="AJ3195" s="377" t="e">
        <f>PPMT('Assumptions (Oil G&amp;T)'!$B$73,Model!AL$1,'Assumptions (Oil G&amp;T)'!$B$76,Model!$U$3174)</f>
        <v>#NUM!</v>
      </c>
      <c r="AK3195" s="377" t="e">
        <f>PPMT('Assumptions (Oil G&amp;T)'!$B$73,Model!AM$1,'Assumptions (Oil G&amp;T)'!$B$76,Model!$U$3174)</f>
        <v>#NUM!</v>
      </c>
      <c r="AL3195" s="377" t="e">
        <f>PPMT('Assumptions (Oil G&amp;T)'!$B$73,Model!AN$1,'Assumptions (Oil G&amp;T)'!$B$76,Model!$U$3174)</f>
        <v>#NUM!</v>
      </c>
      <c r="AM3195" s="377" t="e">
        <f>PPMT('Assumptions (Oil G&amp;T)'!$B$73,Model!AO$1,'Assumptions (Oil G&amp;T)'!$B$76,Model!$U$3174)</f>
        <v>#NUM!</v>
      </c>
      <c r="AN3195" s="377" t="e">
        <f>PPMT('Assumptions (Oil G&amp;T)'!$B$73,Model!AP$1,'Assumptions (Oil G&amp;T)'!$B$76,Model!$U$3174)</f>
        <v>#NUM!</v>
      </c>
      <c r="AO3195" s="377" t="e">
        <f>PPMT('Assumptions (Oil G&amp;T)'!$B$73,Model!AQ$1,'Assumptions (Oil G&amp;T)'!$B$76,Model!$U$3174)</f>
        <v>#NUM!</v>
      </c>
      <c r="AP3195" s="377" t="e">
        <f>PPMT('Assumptions (Oil G&amp;T)'!$B$73,Model!AR$1,'Assumptions (Oil G&amp;T)'!$B$76,Model!$U$3174)</f>
        <v>#NUM!</v>
      </c>
      <c r="AQ3195" s="377" t="e">
        <f>PPMT('Assumptions (Oil G&amp;T)'!$B$73,Model!AS$1,'Assumptions (Oil G&amp;T)'!$B$76,Model!$U$3174)</f>
        <v>#NUM!</v>
      </c>
      <c r="AR3195" s="377" t="e">
        <f>PPMT('Assumptions (Oil G&amp;T)'!$B$73,Model!AT$1,'Assumptions (Oil G&amp;T)'!$B$76,Model!$U$3174)</f>
        <v>#NUM!</v>
      </c>
      <c r="AS3195" s="377" t="e">
        <f>PPMT('Assumptions (Oil G&amp;T)'!$B$73,Model!AU$1,'Assumptions (Oil G&amp;T)'!$B$76,Model!$U$3174)</f>
        <v>#NUM!</v>
      </c>
    </row>
    <row r="3196" spans="1:50" ht="15.75" hidden="1" customHeight="1" outlineLevel="1">
      <c r="A3196" s="468"/>
      <c r="B3196" s="99"/>
      <c r="C3196" s="377"/>
      <c r="D3196" s="377"/>
      <c r="E3196" s="377"/>
      <c r="F3196" s="377"/>
      <c r="G3196" s="377"/>
      <c r="H3196" s="377"/>
      <c r="I3196" s="377"/>
      <c r="J3196" s="377"/>
      <c r="K3196" s="377"/>
      <c r="L3196" s="377"/>
      <c r="M3196" s="377"/>
      <c r="N3196" s="377"/>
      <c r="O3196" s="377"/>
      <c r="P3196" s="377"/>
      <c r="Q3196" s="377"/>
      <c r="R3196" s="377"/>
      <c r="S3196" s="42"/>
      <c r="T3196" s="42"/>
      <c r="U3196" s="42"/>
      <c r="V3196" s="377">
        <f>PPMT('Assumptions (Oil G&amp;T)'!$B$73,Model!W$1,'Assumptions (Oil G&amp;T)'!$B$76,Model!$V$3174)</f>
        <v>-0.46645182156121995</v>
      </c>
      <c r="W3196" s="377">
        <f>PPMT('Assumptions (Oil G&amp;T)'!$B$73,Model!X$1,'Assumptions (Oil G&amp;T)'!$B$76,Model!$V$3174)</f>
        <v>-0.50143570817831151</v>
      </c>
      <c r="X3196" s="377">
        <f>PPMT('Assumptions (Oil G&amp;T)'!$B$73,Model!Y$1,'Assumptions (Oil G&amp;T)'!$B$76,Model!$V$3174)</f>
        <v>-0.53904338629168491</v>
      </c>
      <c r="Y3196" s="377">
        <f>PPMT('Assumptions (Oil G&amp;T)'!$B$73,Model!Z$1,'Assumptions (Oil G&amp;T)'!$B$76,Model!$V$3174)</f>
        <v>-0.57947164026356124</v>
      </c>
      <c r="Z3196" s="377">
        <f>PPMT('Assumptions (Oil G&amp;T)'!$B$73,Model!AA$1,'Assumptions (Oil G&amp;T)'!$B$76,Model!$V$3174)</f>
        <v>-0.62293201328332826</v>
      </c>
      <c r="AA3196" s="377">
        <f>PPMT('Assumptions (Oil G&amp;T)'!$B$73,Model!AB$1,'Assumptions (Oil G&amp;T)'!$B$76,Model!$V$3174)</f>
        <v>-0.66965191427957793</v>
      </c>
      <c r="AB3196" s="377">
        <f>PPMT('Assumptions (Oil G&amp;T)'!$B$73,Model!AC$1,'Assumptions (Oil G&amp;T)'!$B$76,Model!$V$3174)</f>
        <v>-0.71987580785054628</v>
      </c>
      <c r="AC3196" s="377">
        <f>PPMT('Assumptions (Oil G&amp;T)'!$B$73,Model!AD$1,'Assumptions (Oil G&amp;T)'!$B$76,Model!$V$3174)</f>
        <v>-0.77386649343933722</v>
      </c>
      <c r="AD3196" s="377">
        <f>PPMT('Assumptions (Oil G&amp;T)'!$B$73,Model!AE$1,'Assumptions (Oil G&amp;T)'!$B$76,Model!$V$3174)</f>
        <v>-0.83190648044728743</v>
      </c>
      <c r="AE3196" s="377">
        <f>PPMT('Assumptions (Oil G&amp;T)'!$B$73,Model!AF$1,'Assumptions (Oil G&amp;T)'!$B$76,Model!$V$3174)</f>
        <v>-0.89429946648083414</v>
      </c>
      <c r="AF3196" s="377">
        <f>PPMT('Assumptions (Oil G&amp;T)'!$B$73,Model!AG$1,'Assumptions (Oil G&amp;T)'!$B$76,Model!$V$3174)</f>
        <v>-0.96137192646689651</v>
      </c>
      <c r="AG3196" s="377">
        <f>PPMT('Assumptions (Oil G&amp;T)'!$B$73,Model!AH$1,'Assumptions (Oil G&amp;T)'!$B$76,Model!$V$3174)</f>
        <v>-1.0334748209519138</v>
      </c>
      <c r="AH3196" s="377">
        <f>PPMT('Assumptions (Oil G&amp;T)'!$B$73,Model!AI$1,'Assumptions (Oil G&amp;T)'!$B$76,Model!$V$3174)</f>
        <v>-1.1109854325233073</v>
      </c>
      <c r="AI3196" s="377">
        <f>PPMT('Assumptions (Oil G&amp;T)'!$B$73,Model!AJ$1,'Assumptions (Oil G&amp;T)'!$B$76,Model!$V$3174)</f>
        <v>-1.1943093399625555</v>
      </c>
      <c r="AJ3196" s="377">
        <f>PPMT('Assumptions (Oil G&amp;T)'!$B$73,Model!AK$1,'Assumptions (Oil G&amp;T)'!$B$76,Model!$V$3174)</f>
        <v>-1.2838825404597471</v>
      </c>
      <c r="AK3196" s="377" t="e">
        <f>PPMT('Assumptions (Oil G&amp;T)'!$B$73,Model!AL$1,'Assumptions (Oil G&amp;T)'!$B$76,Model!$V$3174)</f>
        <v>#NUM!</v>
      </c>
      <c r="AL3196" s="377" t="e">
        <f>PPMT('Assumptions (Oil G&amp;T)'!$B$73,Model!AM$1,'Assumptions (Oil G&amp;T)'!$B$76,Model!$V$3174)</f>
        <v>#NUM!</v>
      </c>
      <c r="AM3196" s="377" t="e">
        <f>PPMT('Assumptions (Oil G&amp;T)'!$B$73,Model!AN$1,'Assumptions (Oil G&amp;T)'!$B$76,Model!$V$3174)</f>
        <v>#NUM!</v>
      </c>
      <c r="AN3196" s="377" t="e">
        <f>PPMT('Assumptions (Oil G&amp;T)'!$B$73,Model!AO$1,'Assumptions (Oil G&amp;T)'!$B$76,Model!$V$3174)</f>
        <v>#NUM!</v>
      </c>
      <c r="AO3196" s="377" t="e">
        <f>PPMT('Assumptions (Oil G&amp;T)'!$B$73,Model!AP$1,'Assumptions (Oil G&amp;T)'!$B$76,Model!$V$3174)</f>
        <v>#NUM!</v>
      </c>
      <c r="AP3196" s="377" t="e">
        <f>PPMT('Assumptions (Oil G&amp;T)'!$B$73,Model!AQ$1,'Assumptions (Oil G&amp;T)'!$B$76,Model!$V$3174)</f>
        <v>#NUM!</v>
      </c>
      <c r="AQ3196" s="377" t="e">
        <f>PPMT('Assumptions (Oil G&amp;T)'!$B$73,Model!AR$1,'Assumptions (Oil G&amp;T)'!$B$76,Model!$V$3174)</f>
        <v>#NUM!</v>
      </c>
      <c r="AR3196" s="377" t="e">
        <f>PPMT('Assumptions (Oil G&amp;T)'!$B$73,Model!AS$1,'Assumptions (Oil G&amp;T)'!$B$76,Model!$V$3174)</f>
        <v>#NUM!</v>
      </c>
      <c r="AS3196" s="377" t="e">
        <f>PPMT('Assumptions (Oil G&amp;T)'!$B$73,Model!AT$1,'Assumptions (Oil G&amp;T)'!$B$76,Model!$V$3174)</f>
        <v>#NUM!</v>
      </c>
      <c r="AT3196" s="377" t="e">
        <f>PPMT('Assumptions (Oil G&amp;T)'!$B$73,Model!AU$1,'Assumptions (Oil G&amp;T)'!$B$76,Model!$V$3174)</f>
        <v>#NUM!</v>
      </c>
    </row>
    <row r="3197" spans="1:50" ht="15.75" hidden="1" customHeight="1" outlineLevel="1">
      <c r="A3197" s="468"/>
      <c r="B3197" s="99"/>
      <c r="C3197" s="377"/>
      <c r="D3197" s="377"/>
      <c r="E3197" s="377"/>
      <c r="F3197" s="377"/>
      <c r="G3197" s="377"/>
      <c r="H3197" s="377"/>
      <c r="I3197" s="377"/>
      <c r="J3197" s="377"/>
      <c r="K3197" s="377"/>
      <c r="L3197" s="377"/>
      <c r="M3197" s="377"/>
      <c r="N3197" s="377"/>
      <c r="O3197" s="377"/>
      <c r="P3197" s="377"/>
      <c r="Q3197" s="377"/>
      <c r="R3197" s="377"/>
      <c r="S3197" s="42"/>
      <c r="T3197" s="42"/>
      <c r="U3197" s="42"/>
      <c r="V3197" s="42"/>
      <c r="W3197" s="377">
        <f>PPMT('Assumptions (Oil G&amp;T)'!$B$73,Model!W$1,'Assumptions (Oil G&amp;T)'!$B$76,Model!$W$3174)</f>
        <v>-0.48203297080741553</v>
      </c>
      <c r="X3197" s="377">
        <f>PPMT('Assumptions (Oil G&amp;T)'!$B$73,Model!X$1,'Assumptions (Oil G&amp;T)'!$B$76,Model!$W$3174)</f>
        <v>-0.5181854436179717</v>
      </c>
      <c r="Y3197" s="377">
        <f>PPMT('Assumptions (Oil G&amp;T)'!$B$73,Model!Y$1,'Assumptions (Oil G&amp;T)'!$B$76,Model!$W$3174)</f>
        <v>-0.5570493518893197</v>
      </c>
      <c r="Z3197" s="377">
        <f>PPMT('Assumptions (Oil G&amp;T)'!$B$73,Model!Z$1,'Assumptions (Oil G&amp;T)'!$B$76,Model!$W$3174)</f>
        <v>-0.59882805328101851</v>
      </c>
      <c r="AA3197" s="377">
        <f>PPMT('Assumptions (Oil G&amp;T)'!$B$73,Model!AA$1,'Assumptions (Oil G&amp;T)'!$B$76,Model!$W$3174)</f>
        <v>-0.64374015727709488</v>
      </c>
      <c r="AB3197" s="377">
        <f>PPMT('Assumptions (Oil G&amp;T)'!$B$73,Model!AB$1,'Assumptions (Oil G&amp;T)'!$B$76,Model!$W$3174)</f>
        <v>-0.69202066907287707</v>
      </c>
      <c r="AC3197" s="377">
        <f>PPMT('Assumptions (Oil G&amp;T)'!$B$73,Model!AC$1,'Assumptions (Oil G&amp;T)'!$B$76,Model!$W$3174)</f>
        <v>-0.74392221925334279</v>
      </c>
      <c r="AD3197" s="377">
        <f>PPMT('Assumptions (Oil G&amp;T)'!$B$73,Model!AD$1,'Assumptions (Oil G&amp;T)'!$B$76,Model!$W$3174)</f>
        <v>-0.79971638569734349</v>
      </c>
      <c r="AE3197" s="377">
        <f>PPMT('Assumptions (Oil G&amp;T)'!$B$73,Model!AE$1,'Assumptions (Oil G&amp;T)'!$B$76,Model!$W$3174)</f>
        <v>-0.85969511462464432</v>
      </c>
      <c r="AF3197" s="377">
        <f>PPMT('Assumptions (Oil G&amp;T)'!$B$73,Model!AF$1,'Assumptions (Oil G&amp;T)'!$B$76,Model!$W$3174)</f>
        <v>-0.92417224822149269</v>
      </c>
      <c r="AG3197" s="377">
        <f>PPMT('Assumptions (Oil G&amp;T)'!$B$73,Model!AG$1,'Assumptions (Oil G&amp;T)'!$B$76,Model!$W$3174)</f>
        <v>-0.99348516683810451</v>
      </c>
      <c r="AH3197" s="377">
        <f>PPMT('Assumptions (Oil G&amp;T)'!$B$73,Model!AH$1,'Assumptions (Oil G&amp;T)'!$B$76,Model!$W$3174)</f>
        <v>-1.0679965543509624</v>
      </c>
      <c r="AI3197" s="377">
        <f>PPMT('Assumptions (Oil G&amp;T)'!$B$73,Model!AI$1,'Assumptions (Oil G&amp;T)'!$B$76,Model!$W$3174)</f>
        <v>-1.1480962959272847</v>
      </c>
      <c r="AJ3197" s="377">
        <f>PPMT('Assumptions (Oil G&amp;T)'!$B$73,Model!AJ$1,'Assumptions (Oil G&amp;T)'!$B$76,Model!$W$3174)</f>
        <v>-1.2342035181218312</v>
      </c>
      <c r="AK3197" s="377">
        <f>PPMT('Assumptions (Oil G&amp;T)'!$B$73,Model!AK$1,'Assumptions (Oil G&amp;T)'!$B$76,Model!$W$3174)</f>
        <v>-1.3267687819809681</v>
      </c>
      <c r="AL3197" s="377" t="e">
        <f>PPMT('Assumptions (Oil G&amp;T)'!$B$73,Model!AL$1,'Assumptions (Oil G&amp;T)'!$B$76,Model!$W$3174)</f>
        <v>#NUM!</v>
      </c>
      <c r="AM3197" s="377" t="e">
        <f>PPMT('Assumptions (Oil G&amp;T)'!$B$73,Model!AM$1,'Assumptions (Oil G&amp;T)'!$B$76,Model!$W$3174)</f>
        <v>#NUM!</v>
      </c>
      <c r="AN3197" s="377" t="e">
        <f>PPMT('Assumptions (Oil G&amp;T)'!$B$73,Model!AN$1,'Assumptions (Oil G&amp;T)'!$B$76,Model!$W$3174)</f>
        <v>#NUM!</v>
      </c>
      <c r="AO3197" s="377" t="e">
        <f>PPMT('Assumptions (Oil G&amp;T)'!$B$73,Model!AO$1,'Assumptions (Oil G&amp;T)'!$B$76,Model!$W$3174)</f>
        <v>#NUM!</v>
      </c>
      <c r="AP3197" s="377" t="e">
        <f>PPMT('Assumptions (Oil G&amp;T)'!$B$73,Model!AP$1,'Assumptions (Oil G&amp;T)'!$B$76,Model!$W$3174)</f>
        <v>#NUM!</v>
      </c>
      <c r="AQ3197" s="377" t="e">
        <f>PPMT('Assumptions (Oil G&amp;T)'!$B$73,Model!AQ$1,'Assumptions (Oil G&amp;T)'!$B$76,Model!$W$3174)</f>
        <v>#NUM!</v>
      </c>
      <c r="AR3197" s="377" t="e">
        <f>PPMT('Assumptions (Oil G&amp;T)'!$B$73,Model!AR$1,'Assumptions (Oil G&amp;T)'!$B$76,Model!$W$3174)</f>
        <v>#NUM!</v>
      </c>
      <c r="AS3197" s="377" t="e">
        <f>PPMT('Assumptions (Oil G&amp;T)'!$B$73,Model!AS$1,'Assumptions (Oil G&amp;T)'!$B$76,Model!$W$3174)</f>
        <v>#NUM!</v>
      </c>
      <c r="AT3197" s="377" t="e">
        <f>PPMT('Assumptions (Oil G&amp;T)'!$B$73,Model!AT$1,'Assumptions (Oil G&amp;T)'!$B$76,Model!$W$3174)</f>
        <v>#NUM!</v>
      </c>
      <c r="AU3197" s="377" t="e">
        <f>PPMT('Assumptions (Oil G&amp;T)'!$B$73,Model!AU$1,'Assumptions (Oil G&amp;T)'!$B$76,Model!$W$3174)</f>
        <v>#NUM!</v>
      </c>
    </row>
    <row r="3198" spans="1:50" ht="15.75" hidden="1" customHeight="1" outlineLevel="1">
      <c r="A3198" s="468"/>
      <c r="B3198" s="99"/>
      <c r="C3198" s="377"/>
      <c r="D3198" s="377"/>
      <c r="E3198" s="377"/>
      <c r="F3198" s="377"/>
      <c r="G3198" s="377"/>
      <c r="H3198" s="377"/>
      <c r="I3198" s="377"/>
      <c r="J3198" s="377"/>
      <c r="K3198" s="377"/>
      <c r="L3198" s="377"/>
      <c r="M3198" s="377"/>
      <c r="N3198" s="377"/>
      <c r="O3198" s="377"/>
      <c r="P3198" s="377"/>
      <c r="Q3198" s="377"/>
      <c r="R3198" s="377"/>
      <c r="S3198" s="42"/>
      <c r="T3198" s="42"/>
      <c r="U3198" s="42"/>
      <c r="V3198" s="42"/>
      <c r="W3198" s="86"/>
      <c r="X3198" s="377">
        <f>PPMT('Assumptions (Oil G&amp;T)'!$B$73,Model!W$1,'Assumptions (Oil G&amp;T)'!$B$76,Model!$X$3174)</f>
        <v>-0.48938908576612844</v>
      </c>
      <c r="Y3198" s="377">
        <f>PPMT('Assumptions (Oil G&amp;T)'!$B$73,Model!X$1,'Assumptions (Oil G&amp;T)'!$B$76,Model!$X$3174)</f>
        <v>-0.52609326719858807</v>
      </c>
      <c r="Z3198" s="377">
        <f>PPMT('Assumptions (Oil G&amp;T)'!$B$73,Model!Y$1,'Assumptions (Oil G&amp;T)'!$B$76,Model!$X$3174)</f>
        <v>-0.56555026223848226</v>
      </c>
      <c r="AA3198" s="377">
        <f>PPMT('Assumptions (Oil G&amp;T)'!$B$73,Model!Z$1,'Assumptions (Oil G&amp;T)'!$B$76,Model!$X$3174)</f>
        <v>-0.6079665319063684</v>
      </c>
      <c r="AB3198" s="377">
        <f>PPMT('Assumptions (Oil G&amp;T)'!$B$73,Model!AA$1,'Assumptions (Oil G&amp;T)'!$B$76,Model!$X$3174)</f>
        <v>-0.65356402179934592</v>
      </c>
      <c r="AC3198" s="377">
        <f>PPMT('Assumptions (Oil G&amp;T)'!$B$73,Model!AB$1,'Assumptions (Oil G&amp;T)'!$B$76,Model!$X$3174)</f>
        <v>-0.70258132343429691</v>
      </c>
      <c r="AD3198" s="377">
        <f>PPMT('Assumptions (Oil G&amp;T)'!$B$73,Model!AC$1,'Assumptions (Oil G&amp;T)'!$B$76,Model!$X$3174)</f>
        <v>-0.75527492269186924</v>
      </c>
      <c r="AE3198" s="377">
        <f>PPMT('Assumptions (Oil G&amp;T)'!$B$73,Model!AD$1,'Assumptions (Oil G&amp;T)'!$B$76,Model!$X$3174)</f>
        <v>-0.81192054189375928</v>
      </c>
      <c r="AF3198" s="377">
        <f>PPMT('Assumptions (Oil G&amp;T)'!$B$73,Model!AE$1,'Assumptions (Oil G&amp;T)'!$B$76,Model!$X$3174)</f>
        <v>-0.87281458253579136</v>
      </c>
      <c r="AG3198" s="377">
        <f>PPMT('Assumptions (Oil G&amp;T)'!$B$73,Model!AF$1,'Assumptions (Oil G&amp;T)'!$B$76,Model!$X$3174)</f>
        <v>-0.93827567622597574</v>
      </c>
      <c r="AH3198" s="377">
        <f>PPMT('Assumptions (Oil G&amp;T)'!$B$73,Model!AG$1,'Assumptions (Oil G&amp;T)'!$B$76,Model!$X$3174)</f>
        <v>-1.0086463519429238</v>
      </c>
      <c r="AI3198" s="377">
        <f>PPMT('Assumptions (Oil G&amp;T)'!$B$73,Model!AH$1,'Assumptions (Oil G&amp;T)'!$B$76,Model!$X$3174)</f>
        <v>-1.0842948283386431</v>
      </c>
      <c r="AJ3198" s="377">
        <f>PPMT('Assumptions (Oil G&amp;T)'!$B$73,Model!AI$1,'Assumptions (Oil G&amp;T)'!$B$76,Model!$X$3174)</f>
        <v>-1.1656169404640413</v>
      </c>
      <c r="AK3198" s="377">
        <f>PPMT('Assumptions (Oil G&amp;T)'!$B$73,Model!AJ$1,'Assumptions (Oil G&amp;T)'!$B$76,Model!$X$3174)</f>
        <v>-1.2530382109988445</v>
      </c>
      <c r="AL3198" s="377">
        <f>PPMT('Assumptions (Oil G&amp;T)'!$B$73,Model!AK$1,'Assumptions (Oil G&amp;T)'!$B$76,Model!$X$3174)</f>
        <v>-1.3470160768237576</v>
      </c>
      <c r="AM3198" s="377" t="e">
        <f>PPMT('Assumptions (Oil G&amp;T)'!$B$73,Model!AL$1,'Assumptions (Oil G&amp;T)'!$B$76,Model!$X$3174)</f>
        <v>#NUM!</v>
      </c>
      <c r="AN3198" s="377" t="e">
        <f>PPMT('Assumptions (Oil G&amp;T)'!$B$73,Model!AM$1,'Assumptions (Oil G&amp;T)'!$B$76,Model!$X$3174)</f>
        <v>#NUM!</v>
      </c>
      <c r="AO3198" s="377" t="e">
        <f>PPMT('Assumptions (Oil G&amp;T)'!$B$73,Model!AN$1,'Assumptions (Oil G&amp;T)'!$B$76,Model!$X$3174)</f>
        <v>#NUM!</v>
      </c>
      <c r="AP3198" s="377" t="e">
        <f>PPMT('Assumptions (Oil G&amp;T)'!$B$73,Model!AO$1,'Assumptions (Oil G&amp;T)'!$B$76,Model!$X$3174)</f>
        <v>#NUM!</v>
      </c>
      <c r="AQ3198" s="377" t="e">
        <f>PPMT('Assumptions (Oil G&amp;T)'!$B$73,Model!AP$1,'Assumptions (Oil G&amp;T)'!$B$76,Model!$X$3174)</f>
        <v>#NUM!</v>
      </c>
      <c r="AR3198" s="377" t="e">
        <f>PPMT('Assumptions (Oil G&amp;T)'!$B$73,Model!AQ$1,'Assumptions (Oil G&amp;T)'!$B$76,Model!$X$3174)</f>
        <v>#NUM!</v>
      </c>
      <c r="AS3198" s="377" t="e">
        <f>PPMT('Assumptions (Oil G&amp;T)'!$B$73,Model!AR$1,'Assumptions (Oil G&amp;T)'!$B$76,Model!$X$3174)</f>
        <v>#NUM!</v>
      </c>
      <c r="AT3198" s="377" t="e">
        <f>PPMT('Assumptions (Oil G&amp;T)'!$B$73,Model!AS$1,'Assumptions (Oil G&amp;T)'!$B$76,Model!$X$3174)</f>
        <v>#NUM!</v>
      </c>
      <c r="AU3198" s="377" t="e">
        <f>PPMT('Assumptions (Oil G&amp;T)'!$B$73,Model!AT$1,'Assumptions (Oil G&amp;T)'!$B$76,Model!$X$3174)</f>
        <v>#NUM!</v>
      </c>
      <c r="AV3198" s="377" t="e">
        <f>PPMT('Assumptions (Oil G&amp;T)'!$B$73,Model!AU$1,'Assumptions (Oil G&amp;T)'!$B$76,Model!$X$3174)</f>
        <v>#NUM!</v>
      </c>
    </row>
    <row r="3199" spans="1:50" ht="15.75" hidden="1" customHeight="1" outlineLevel="1">
      <c r="A3199" s="468"/>
      <c r="B3199" s="99"/>
      <c r="C3199" s="377"/>
      <c r="D3199" s="377"/>
      <c r="E3199" s="377"/>
      <c r="F3199" s="377"/>
      <c r="G3199" s="377"/>
      <c r="H3199" s="377"/>
      <c r="I3199" s="377"/>
      <c r="J3199" s="377"/>
      <c r="K3199" s="377"/>
      <c r="L3199" s="377"/>
      <c r="M3199" s="377"/>
      <c r="N3199" s="377"/>
      <c r="O3199" s="377"/>
      <c r="P3199" s="377"/>
      <c r="Q3199" s="377"/>
      <c r="R3199" s="377"/>
      <c r="S3199" s="42"/>
      <c r="T3199" s="42"/>
      <c r="U3199" s="42"/>
      <c r="V3199" s="42"/>
      <c r="W3199" s="86"/>
      <c r="Y3199" s="377">
        <f>PPMT('Assumptions (Oil G&amp;T)'!$B$73,Model!W$1,'Assumptions (Oil G&amp;T)'!$B$76,Model!$Y$3174)</f>
        <v>-0.49085586469355208</v>
      </c>
      <c r="Z3199" s="377">
        <f>PPMT('Assumptions (Oil G&amp;T)'!$B$73,Model!X$1,'Assumptions (Oil G&amp;T)'!$B$76,Model!$Y$3174)</f>
        <v>-0.52767005454556837</v>
      </c>
      <c r="AA3199" s="377">
        <f>PPMT('Assumptions (Oil G&amp;T)'!$B$73,Model!Y$1,'Assumptions (Oil G&amp;T)'!$B$76,Model!$Y$3174)</f>
        <v>-0.56724530863648615</v>
      </c>
      <c r="AB3199" s="377">
        <f>PPMT('Assumptions (Oil G&amp;T)'!$B$73,Model!Z$1,'Assumptions (Oil G&amp;T)'!$B$76,Model!$Y$3174)</f>
        <v>-0.60978870678422248</v>
      </c>
      <c r="AC3199" s="377">
        <f>PPMT('Assumptions (Oil G&amp;T)'!$B$73,Model!AA$1,'Assumptions (Oil G&amp;T)'!$B$76,Model!$Y$3174)</f>
        <v>-0.65552285979303915</v>
      </c>
      <c r="AD3199" s="377">
        <f>PPMT('Assumptions (Oil G&amp;T)'!$B$73,Model!AB$1,'Assumptions (Oil G&amp;T)'!$B$76,Model!$Y$3174)</f>
        <v>-0.7046870742775172</v>
      </c>
      <c r="AE3199" s="377">
        <f>PPMT('Assumptions (Oil G&amp;T)'!$B$73,Model!AC$1,'Assumptions (Oil G&amp;T)'!$B$76,Model!$Y$3174)</f>
        <v>-0.75753860484833091</v>
      </c>
      <c r="AF3199" s="377">
        <f>PPMT('Assumptions (Oil G&amp;T)'!$B$73,Model!AD$1,'Assumptions (Oil G&amp;T)'!$B$76,Model!$Y$3174)</f>
        <v>-0.8143540002119557</v>
      </c>
      <c r="AG3199" s="377">
        <f>PPMT('Assumptions (Oil G&amp;T)'!$B$73,Model!AE$1,'Assumptions (Oil G&amp;T)'!$B$76,Model!$Y$3174)</f>
        <v>-0.87543055022785254</v>
      </c>
      <c r="AH3199" s="377">
        <f>PPMT('Assumptions (Oil G&amp;T)'!$B$73,Model!AF$1,'Assumptions (Oil G&amp;T)'!$B$76,Model!$Y$3174)</f>
        <v>-0.94108784149494151</v>
      </c>
      <c r="AI3199" s="377">
        <f>PPMT('Assumptions (Oil G&amp;T)'!$B$73,Model!AG$1,'Assumptions (Oil G&amp;T)'!$B$76,Model!$Y$3174)</f>
        <v>-1.0116694296070619</v>
      </c>
      <c r="AJ3199" s="377">
        <f>PPMT('Assumptions (Oil G&amp;T)'!$B$73,Model!AH$1,'Assumptions (Oil G&amp;T)'!$B$76,Model!$Y$3174)</f>
        <v>-1.0875446368275916</v>
      </c>
      <c r="AK3199" s="377">
        <f>PPMT('Assumptions (Oil G&amp;T)'!$B$73,Model!AI$1,'Assumptions (Oil G&amp;T)'!$B$76,Model!$Y$3174)</f>
        <v>-1.1691104845896609</v>
      </c>
      <c r="AL3199" s="377">
        <f>PPMT('Assumptions (Oil G&amp;T)'!$B$73,Model!AJ$1,'Assumptions (Oil G&amp;T)'!$B$76,Model!$Y$3174)</f>
        <v>-1.2567937709338857</v>
      </c>
      <c r="AM3199" s="377">
        <f>PPMT('Assumptions (Oil G&amp;T)'!$B$73,Model!AK$1,'Assumptions (Oil G&amp;T)'!$B$76,Model!$Y$3174)</f>
        <v>-1.351053303753927</v>
      </c>
      <c r="AN3199" s="377" t="e">
        <f>PPMT('Assumptions (Oil G&amp;T)'!$B$73,Model!AL$1,'Assumptions (Oil G&amp;T)'!$B$76,Model!$Y$3174)</f>
        <v>#NUM!</v>
      </c>
      <c r="AO3199" s="377" t="e">
        <f>PPMT('Assumptions (Oil G&amp;T)'!$B$73,Model!AM$1,'Assumptions (Oil G&amp;T)'!$B$76,Model!$Y$3174)</f>
        <v>#NUM!</v>
      </c>
      <c r="AP3199" s="377" t="e">
        <f>PPMT('Assumptions (Oil G&amp;T)'!$B$73,Model!AN$1,'Assumptions (Oil G&amp;T)'!$B$76,Model!$Y$3174)</f>
        <v>#NUM!</v>
      </c>
      <c r="AQ3199" s="377" t="e">
        <f>PPMT('Assumptions (Oil G&amp;T)'!$B$73,Model!AO$1,'Assumptions (Oil G&amp;T)'!$B$76,Model!$Y$3174)</f>
        <v>#NUM!</v>
      </c>
      <c r="AR3199" s="377" t="e">
        <f>PPMT('Assumptions (Oil G&amp;T)'!$B$73,Model!AP$1,'Assumptions (Oil G&amp;T)'!$B$76,Model!$Y$3174)</f>
        <v>#NUM!</v>
      </c>
      <c r="AS3199" s="377" t="e">
        <f>PPMT('Assumptions (Oil G&amp;T)'!$B$73,Model!AQ$1,'Assumptions (Oil G&amp;T)'!$B$76,Model!$Y$3174)</f>
        <v>#NUM!</v>
      </c>
      <c r="AT3199" s="377" t="e">
        <f>PPMT('Assumptions (Oil G&amp;T)'!$B$73,Model!AR$1,'Assumptions (Oil G&amp;T)'!$B$76,Model!$Y$3174)</f>
        <v>#NUM!</v>
      </c>
      <c r="AU3199" s="377" t="e">
        <f>PPMT('Assumptions (Oil G&amp;T)'!$B$73,Model!AS$1,'Assumptions (Oil G&amp;T)'!$B$76,Model!$Y$3174)</f>
        <v>#NUM!</v>
      </c>
      <c r="AV3199" s="377" t="e">
        <f>PPMT('Assumptions (Oil G&amp;T)'!$B$73,Model!AT$1,'Assumptions (Oil G&amp;T)'!$B$76,Model!$Y$3174)</f>
        <v>#NUM!</v>
      </c>
      <c r="AW3199" s="377" t="e">
        <f>PPMT('Assumptions (Oil G&amp;T)'!$B$73,Model!AU$1,'Assumptions (Oil G&amp;T)'!$B$76,Model!$Y$3174)</f>
        <v>#NUM!</v>
      </c>
    </row>
    <row r="3200" spans="1:50" ht="15.75" hidden="1" customHeight="1" outlineLevel="1">
      <c r="A3200" s="468"/>
      <c r="B3200" s="99"/>
      <c r="C3200" s="377"/>
      <c r="D3200" s="377"/>
      <c r="E3200" s="377"/>
      <c r="F3200" s="377"/>
      <c r="G3200" s="377"/>
      <c r="H3200" s="377"/>
      <c r="I3200" s="377"/>
      <c r="J3200" s="377"/>
      <c r="K3200" s="377"/>
      <c r="L3200" s="377"/>
      <c r="M3200" s="377"/>
      <c r="N3200" s="377"/>
      <c r="O3200" s="377"/>
      <c r="P3200" s="377"/>
      <c r="Q3200" s="377"/>
      <c r="R3200" s="377"/>
      <c r="S3200" s="42"/>
      <c r="T3200" s="42"/>
      <c r="U3200" s="42"/>
      <c r="V3200" s="42"/>
      <c r="W3200" s="86"/>
      <c r="Z3200" s="377">
        <f>PPMT('Assumptions (Oil G&amp;T)'!$B$73,Model!W$1,'Assumptions (Oil G&amp;T)'!$B$76,Model!$Z$3174)</f>
        <v>-0.49079264374987452</v>
      </c>
      <c r="AA3200" s="377">
        <f>PPMT('Assumptions (Oil G&amp;T)'!$B$73,Model!X$1,'Assumptions (Oil G&amp;T)'!$B$76,Model!$Z$3174)</f>
        <v>-0.52760209203111508</v>
      </c>
      <c r="AB3200" s="377">
        <f>PPMT('Assumptions (Oil G&amp;T)'!$B$73,Model!Y$1,'Assumptions (Oil G&amp;T)'!$B$76,Model!$Z$3174)</f>
        <v>-0.56717224893344875</v>
      </c>
      <c r="AC3200" s="377">
        <f>PPMT('Assumptions (Oil G&amp;T)'!$B$73,Model!Z$1,'Assumptions (Oil G&amp;T)'!$B$76,Model!$Z$3174)</f>
        <v>-0.60971016760345742</v>
      </c>
      <c r="AD3200" s="377">
        <f>PPMT('Assumptions (Oil G&amp;T)'!$B$73,Model!AA$1,'Assumptions (Oil G&amp;T)'!$B$76,Model!$Z$3174)</f>
        <v>-0.65543843017371661</v>
      </c>
      <c r="AE3200" s="377">
        <f>PPMT('Assumptions (Oil G&amp;T)'!$B$73,Model!AB$1,'Assumptions (Oil G&amp;T)'!$B$76,Model!$Z$3174)</f>
        <v>-0.70459631243674548</v>
      </c>
      <c r="AF3200" s="377">
        <f>PPMT('Assumptions (Oil G&amp;T)'!$B$73,Model!AC$1,'Assumptions (Oil G&amp;T)'!$B$76,Model!$Z$3174)</f>
        <v>-0.75744103586950129</v>
      </c>
      <c r="AG3200" s="377">
        <f>PPMT('Assumptions (Oil G&amp;T)'!$B$73,Model!AD$1,'Assumptions (Oil G&amp;T)'!$B$76,Model!$Z$3174)</f>
        <v>-0.81424911355971397</v>
      </c>
      <c r="AH3200" s="377">
        <f>PPMT('Assumptions (Oil G&amp;T)'!$B$73,Model!AE$1,'Assumptions (Oil G&amp;T)'!$B$76,Model!$Z$3174)</f>
        <v>-0.87531779707669255</v>
      </c>
      <c r="AI3200" s="377">
        <f>PPMT('Assumptions (Oil G&amp;T)'!$B$73,Model!AF$1,'Assumptions (Oil G&amp;T)'!$B$76,Model!$Z$3174)</f>
        <v>-0.94096663185744434</v>
      </c>
      <c r="AJ3200" s="377">
        <f>PPMT('Assumptions (Oil G&amp;T)'!$B$73,Model!AG$1,'Assumptions (Oil G&amp;T)'!$B$76,Model!$Z$3174)</f>
        <v>-1.0115391292467526</v>
      </c>
      <c r="AK3200" s="377">
        <f>PPMT('Assumptions (Oil G&amp;T)'!$B$73,Model!AH$1,'Assumptions (Oil G&amp;T)'!$B$76,Model!$Z$3174)</f>
        <v>-1.0874045639402592</v>
      </c>
      <c r="AL3200" s="377">
        <f>PPMT('Assumptions (Oil G&amp;T)'!$B$73,Model!AI$1,'Assumptions (Oil G&amp;T)'!$B$76,Model!$Z$3174)</f>
        <v>-1.1689599062357785</v>
      </c>
      <c r="AM3200" s="377">
        <f>PPMT('Assumptions (Oil G&amp;T)'!$B$73,Model!AJ$1,'Assumptions (Oil G&amp;T)'!$B$76,Model!$Z$3174)</f>
        <v>-1.256631899203462</v>
      </c>
      <c r="AN3200" s="377">
        <f>PPMT('Assumptions (Oil G&amp;T)'!$B$73,Model!AK$1,'Assumptions (Oil G&amp;T)'!$B$76,Model!$Z$3174)</f>
        <v>-1.3508792916437218</v>
      </c>
      <c r="AO3200" s="377" t="e">
        <f>PPMT('Assumptions (Oil G&amp;T)'!$B$73,Model!AL$1,'Assumptions (Oil G&amp;T)'!$B$76,Model!$Z$3174)</f>
        <v>#NUM!</v>
      </c>
      <c r="AP3200" s="377" t="e">
        <f>PPMT('Assumptions (Oil G&amp;T)'!$B$73,Model!AM$1,'Assumptions (Oil G&amp;T)'!$B$76,Model!$Z$3174)</f>
        <v>#NUM!</v>
      </c>
      <c r="AQ3200" s="377" t="e">
        <f>PPMT('Assumptions (Oil G&amp;T)'!$B$73,Model!AN$1,'Assumptions (Oil G&amp;T)'!$B$76,Model!$Z$3174)</f>
        <v>#NUM!</v>
      </c>
      <c r="AR3200" s="377" t="e">
        <f>PPMT('Assumptions (Oil G&amp;T)'!$B$73,Model!AO$1,'Assumptions (Oil G&amp;T)'!$B$76,Model!$Z$3174)</f>
        <v>#NUM!</v>
      </c>
      <c r="AS3200" s="377" t="e">
        <f>PPMT('Assumptions (Oil G&amp;T)'!$B$73,Model!AP$1,'Assumptions (Oil G&amp;T)'!$B$76,Model!$Z$3174)</f>
        <v>#NUM!</v>
      </c>
      <c r="AT3200" s="377" t="e">
        <f>PPMT('Assumptions (Oil G&amp;T)'!$B$73,Model!AQ$1,'Assumptions (Oil G&amp;T)'!$B$76,Model!$Z$3174)</f>
        <v>#NUM!</v>
      </c>
      <c r="AU3200" s="377" t="e">
        <f>PPMT('Assumptions (Oil G&amp;T)'!$B$73,Model!AR$1,'Assumptions (Oil G&amp;T)'!$B$76,Model!$Z$3174)</f>
        <v>#NUM!</v>
      </c>
      <c r="AV3200" s="377" t="e">
        <f>PPMT('Assumptions (Oil G&amp;T)'!$B$73,Model!AS$1,'Assumptions (Oil G&amp;T)'!$B$76,Model!$Z$3174)</f>
        <v>#NUM!</v>
      </c>
      <c r="AW3200" s="377" t="e">
        <f>PPMT('Assumptions (Oil G&amp;T)'!$B$73,Model!AT$1,'Assumptions (Oil G&amp;T)'!$B$76,Model!$Z$3174)</f>
        <v>#NUM!</v>
      </c>
      <c r="AX3200" s="377" t="e">
        <f>PPMT('Assumptions (Oil G&amp;T)'!$B$73,Model!AU$1,'Assumptions (Oil G&amp;T)'!$B$76,Model!$Z$3174)</f>
        <v>#NUM!</v>
      </c>
    </row>
    <row r="3201" spans="1:66" ht="15.75" hidden="1" customHeight="1" outlineLevel="1">
      <c r="A3201" s="468"/>
      <c r="B3201" s="99"/>
      <c r="C3201" s="377"/>
      <c r="D3201" s="377"/>
      <c r="E3201" s="377"/>
      <c r="F3201" s="377"/>
      <c r="G3201" s="377"/>
      <c r="H3201" s="377"/>
      <c r="I3201" s="377"/>
      <c r="J3201" s="377"/>
      <c r="K3201" s="377"/>
      <c r="L3201" s="377"/>
      <c r="M3201" s="377"/>
      <c r="N3201" s="377"/>
      <c r="O3201" s="377"/>
      <c r="P3201" s="377"/>
      <c r="Q3201" s="377"/>
      <c r="R3201" s="377"/>
      <c r="S3201" s="42"/>
      <c r="T3201" s="42"/>
      <c r="U3201" s="42"/>
      <c r="V3201" s="42"/>
      <c r="W3201" s="86"/>
      <c r="AA3201" s="377">
        <f>PPMT('Assumptions (Oil G&amp;T)'!$B$73,Model!W$1,'Assumptions (Oil G&amp;T)'!$B$76,Model!$AA$3174)</f>
        <v>-0.49427349282716226</v>
      </c>
      <c r="AB3201" s="377">
        <f>PPMT('Assumptions (Oil G&amp;T)'!$B$73,Model!X$1,'Assumptions (Oil G&amp;T)'!$B$76,Model!$AA$3174)</f>
        <v>-0.53134400478919941</v>
      </c>
      <c r="AC3201" s="377">
        <f>PPMT('Assumptions (Oil G&amp;T)'!$B$73,Model!Y$1,'Assumptions (Oil G&amp;T)'!$B$76,Model!$AA$3174)</f>
        <v>-0.5711948051483895</v>
      </c>
      <c r="AD3201" s="377">
        <f>PPMT('Assumptions (Oil G&amp;T)'!$B$73,Model!Z$1,'Assumptions (Oil G&amp;T)'!$B$76,Model!$AA$3174)</f>
        <v>-0.61403441553451865</v>
      </c>
      <c r="AE3201" s="377">
        <f>PPMT('Assumptions (Oil G&amp;T)'!$B$73,Model!AA$1,'Assumptions (Oil G&amp;T)'!$B$76,Model!$AA$3174)</f>
        <v>-0.66008699669960746</v>
      </c>
      <c r="AF3201" s="377">
        <f>PPMT('Assumptions (Oil G&amp;T)'!$B$73,Model!AB$1,'Assumptions (Oil G&amp;T)'!$B$76,Model!$AA$3174)</f>
        <v>-0.70959352145207799</v>
      </c>
      <c r="AG3201" s="377">
        <f>PPMT('Assumptions (Oil G&amp;T)'!$B$73,Model!AC$1,'Assumptions (Oil G&amp;T)'!$B$76,Model!$AA$3174)</f>
        <v>-0.7628130355609839</v>
      </c>
      <c r="AH3201" s="377">
        <f>PPMT('Assumptions (Oil G&amp;T)'!$B$73,Model!AD$1,'Assumptions (Oil G&amp;T)'!$B$76,Model!$AA$3174)</f>
        <v>-0.82002401322805762</v>
      </c>
      <c r="AI3201" s="377">
        <f>PPMT('Assumptions (Oil G&amp;T)'!$B$73,Model!AE$1,'Assumptions (Oil G&amp;T)'!$B$76,Model!$AA$3174)</f>
        <v>-0.88152581422016196</v>
      </c>
      <c r="AJ3201" s="377">
        <f>PPMT('Assumptions (Oil G&amp;T)'!$B$73,Model!AF$1,'Assumptions (Oil G&amp;T)'!$B$76,Model!$AA$3174)</f>
        <v>-0.9476402502866742</v>
      </c>
      <c r="AK3201" s="377">
        <f>PPMT('Assumptions (Oil G&amp;T)'!$B$73,Model!AG$1,'Assumptions (Oil G&amp;T)'!$B$76,Model!$AA$3174)</f>
        <v>-1.0187132690581746</v>
      </c>
      <c r="AL3201" s="377">
        <f>PPMT('Assumptions (Oil G&amp;T)'!$B$73,Model!AH$1,'Assumptions (Oil G&amp;T)'!$B$76,Model!$AA$3174)</f>
        <v>-1.0951167642375379</v>
      </c>
      <c r="AM3201" s="377">
        <f>PPMT('Assumptions (Oil G&amp;T)'!$B$73,Model!AI$1,'Assumptions (Oil G&amp;T)'!$B$76,Model!$AA$3174)</f>
        <v>-1.1772505215553533</v>
      </c>
      <c r="AN3201" s="377">
        <f>PPMT('Assumptions (Oil G&amp;T)'!$B$73,Model!AJ$1,'Assumptions (Oil G&amp;T)'!$B$76,Model!$AA$3174)</f>
        <v>-1.2655443106720048</v>
      </c>
      <c r="AO3201" s="377">
        <f>PPMT('Assumptions (Oil G&amp;T)'!$B$73,Model!AK$1,'Assumptions (Oil G&amp;T)'!$B$76,Model!$AA$3174)</f>
        <v>-1.360460133972405</v>
      </c>
      <c r="AP3201" s="377" t="e">
        <f>PPMT('Assumptions (Oil G&amp;T)'!$B$73,Model!AL$1,'Assumptions (Oil G&amp;T)'!$B$76,Model!$AA$3174)</f>
        <v>#NUM!</v>
      </c>
      <c r="AQ3201" s="377" t="e">
        <f>PPMT('Assumptions (Oil G&amp;T)'!$B$73,Model!AM$1,'Assumptions (Oil G&amp;T)'!$B$76,Model!$AA$3174)</f>
        <v>#NUM!</v>
      </c>
      <c r="AR3201" s="377" t="e">
        <f>PPMT('Assumptions (Oil G&amp;T)'!$B$73,Model!AN$1,'Assumptions (Oil G&amp;T)'!$B$76,Model!$AA$3174)</f>
        <v>#NUM!</v>
      </c>
      <c r="AS3201" s="377" t="e">
        <f>PPMT('Assumptions (Oil G&amp;T)'!$B$73,Model!AO$1,'Assumptions (Oil G&amp;T)'!$B$76,Model!$AA$3174)</f>
        <v>#NUM!</v>
      </c>
      <c r="AT3201" s="377" t="e">
        <f>PPMT('Assumptions (Oil G&amp;T)'!$B$73,Model!AP$1,'Assumptions (Oil G&amp;T)'!$B$76,Model!$AA$3174)</f>
        <v>#NUM!</v>
      </c>
      <c r="AU3201" s="377" t="e">
        <f>PPMT('Assumptions (Oil G&amp;T)'!$B$73,Model!AQ$1,'Assumptions (Oil G&amp;T)'!$B$76,Model!$AA$3174)</f>
        <v>#NUM!</v>
      </c>
      <c r="AV3201" s="377" t="e">
        <f>PPMT('Assumptions (Oil G&amp;T)'!$B$73,Model!AR$1,'Assumptions (Oil G&amp;T)'!$B$76,Model!$AA$3174)</f>
        <v>#NUM!</v>
      </c>
      <c r="AW3201" s="377" t="e">
        <f>PPMT('Assumptions (Oil G&amp;T)'!$B$73,Model!AS$1,'Assumptions (Oil G&amp;T)'!$B$76,Model!$AA$3174)</f>
        <v>#NUM!</v>
      </c>
      <c r="AX3201" s="377" t="e">
        <f>PPMT('Assumptions (Oil G&amp;T)'!$B$73,Model!AT$1,'Assumptions (Oil G&amp;T)'!$B$76,Model!$AA$3174)</f>
        <v>#NUM!</v>
      </c>
      <c r="AY3201" s="377" t="e">
        <f>PPMT('Assumptions (Oil G&amp;T)'!$B$73,Model!AU$1,'Assumptions (Oil G&amp;T)'!$B$76,Model!$AA$3174)</f>
        <v>#NUM!</v>
      </c>
    </row>
    <row r="3202" spans="1:66" ht="15.75" hidden="1" customHeight="1" outlineLevel="1">
      <c r="A3202" s="468"/>
      <c r="B3202" s="99"/>
      <c r="C3202" s="377"/>
      <c r="D3202" s="377"/>
      <c r="E3202" s="377"/>
      <c r="F3202" s="377"/>
      <c r="G3202" s="377"/>
      <c r="H3202" s="377"/>
      <c r="I3202" s="377"/>
      <c r="J3202" s="377"/>
      <c r="K3202" s="377"/>
      <c r="L3202" s="377"/>
      <c r="M3202" s="377"/>
      <c r="N3202" s="377"/>
      <c r="O3202" s="377"/>
      <c r="P3202" s="377"/>
      <c r="Q3202" s="377"/>
      <c r="R3202" s="377"/>
      <c r="S3202" s="42"/>
      <c r="T3202" s="42"/>
      <c r="U3202" s="42"/>
      <c r="V3202" s="42"/>
      <c r="W3202" s="86"/>
      <c r="AB3202" s="377">
        <f>PPMT('Assumptions (Oil G&amp;T)'!$B$73,Model!W$1,'Assumptions (Oil G&amp;T)'!$B$76,Model!$AB$3174)</f>
        <v>-0.49590841844533035</v>
      </c>
      <c r="AC3202" s="377">
        <f>PPMT('Assumptions (Oil G&amp;T)'!$B$73,Model!X$1,'Assumptions (Oil G&amp;T)'!$B$76,Model!$AB$3174)</f>
        <v>-0.53310154982873015</v>
      </c>
      <c r="AD3202" s="377">
        <f>PPMT('Assumptions (Oil G&amp;T)'!$B$73,Model!Y$1,'Assumptions (Oil G&amp;T)'!$B$76,Model!$AB$3174)</f>
        <v>-0.57308416606588497</v>
      </c>
      <c r="AE3202" s="377">
        <f>PPMT('Assumptions (Oil G&amp;T)'!$B$73,Model!Z$1,'Assumptions (Oil G&amp;T)'!$B$76,Model!$AB$3174)</f>
        <v>-0.61606547852082627</v>
      </c>
      <c r="AF3202" s="377">
        <f>PPMT('Assumptions (Oil G&amp;T)'!$B$73,Model!AA$1,'Assumptions (Oil G&amp;T)'!$B$76,Model!$AB$3174)</f>
        <v>-0.66227038940988814</v>
      </c>
      <c r="AG3202" s="377">
        <f>PPMT('Assumptions (Oil G&amp;T)'!$B$73,Model!AB$1,'Assumptions (Oil G&amp;T)'!$B$76,Model!$AB$3174)</f>
        <v>-0.71194066861562988</v>
      </c>
      <c r="AH3202" s="377">
        <f>PPMT('Assumptions (Oil G&amp;T)'!$B$73,Model!AC$1,'Assumptions (Oil G&amp;T)'!$B$76,Model!$AB$3174)</f>
        <v>-0.76533621876180202</v>
      </c>
      <c r="AI3202" s="377">
        <f>PPMT('Assumptions (Oil G&amp;T)'!$B$73,Model!AD$1,'Assumptions (Oil G&amp;T)'!$B$76,Model!$AB$3174)</f>
        <v>-0.82273643516893724</v>
      </c>
      <c r="AJ3202" s="377">
        <f>PPMT('Assumptions (Oil G&amp;T)'!$B$73,Model!AE$1,'Assumptions (Oil G&amp;T)'!$B$76,Model!$AB$3174)</f>
        <v>-0.8844416678066076</v>
      </c>
      <c r="AK3202" s="377">
        <f>PPMT('Assumptions (Oil G&amp;T)'!$B$73,Model!AF$1,'Assumptions (Oil G&amp;T)'!$B$76,Model!$AB$3174)</f>
        <v>-0.95077479289210309</v>
      </c>
      <c r="AL3202" s="377">
        <f>PPMT('Assumptions (Oil G&amp;T)'!$B$73,Model!AG$1,'Assumptions (Oil G&amp;T)'!$B$76,Model!$AB$3174)</f>
        <v>-1.0220829023590108</v>
      </c>
      <c r="AM3202" s="377">
        <f>PPMT('Assumptions (Oil G&amp;T)'!$B$73,Model!AH$1,'Assumptions (Oil G&amp;T)'!$B$76,Model!$AB$3174)</f>
        <v>-1.0987391200359367</v>
      </c>
      <c r="AN3202" s="377">
        <f>PPMT('Assumptions (Oil G&amp;T)'!$B$73,Model!AI$1,'Assumptions (Oil G&amp;T)'!$B$76,Model!$AB$3174)</f>
        <v>-1.1811445540386318</v>
      </c>
      <c r="AO3202" s="377">
        <f>PPMT('Assumptions (Oil G&amp;T)'!$B$73,Model!AJ$1,'Assumptions (Oil G&amp;T)'!$B$76,Model!$AB$3174)</f>
        <v>-1.2697303955915296</v>
      </c>
      <c r="AP3202" s="377">
        <f>PPMT('Assumptions (Oil G&amp;T)'!$B$73,Model!AK$1,'Assumptions (Oil G&amp;T)'!$B$76,Model!$AB$3174)</f>
        <v>-1.364960175260894</v>
      </c>
      <c r="AQ3202" s="377" t="e">
        <f>PPMT('Assumptions (Oil G&amp;T)'!$B$73,Model!AL$1,'Assumptions (Oil G&amp;T)'!$B$76,Model!$AB$3174)</f>
        <v>#NUM!</v>
      </c>
      <c r="AR3202" s="377" t="e">
        <f>PPMT('Assumptions (Oil G&amp;T)'!$B$73,Model!AM$1,'Assumptions (Oil G&amp;T)'!$B$76,Model!$AB$3174)</f>
        <v>#NUM!</v>
      </c>
      <c r="AS3202" s="377" t="e">
        <f>PPMT('Assumptions (Oil G&amp;T)'!$B$73,Model!AN$1,'Assumptions (Oil G&amp;T)'!$B$76,Model!$AB$3174)</f>
        <v>#NUM!</v>
      </c>
      <c r="AT3202" s="377" t="e">
        <f>PPMT('Assumptions (Oil G&amp;T)'!$B$73,Model!AO$1,'Assumptions (Oil G&amp;T)'!$B$76,Model!$AB$3174)</f>
        <v>#NUM!</v>
      </c>
      <c r="AU3202" s="377" t="e">
        <f>PPMT('Assumptions (Oil G&amp;T)'!$B$73,Model!AP$1,'Assumptions (Oil G&amp;T)'!$B$76,Model!$AB$3174)</f>
        <v>#NUM!</v>
      </c>
      <c r="AV3202" s="377" t="e">
        <f>PPMT('Assumptions (Oil G&amp;T)'!$B$73,Model!AQ$1,'Assumptions (Oil G&amp;T)'!$B$76,Model!$AB$3174)</f>
        <v>#NUM!</v>
      </c>
      <c r="AW3202" s="377" t="e">
        <f>PPMT('Assumptions (Oil G&amp;T)'!$B$73,Model!AR$1,'Assumptions (Oil G&amp;T)'!$B$76,Model!$AB$3174)</f>
        <v>#NUM!</v>
      </c>
      <c r="AX3202" s="377" t="e">
        <f>PPMT('Assumptions (Oil G&amp;T)'!$B$73,Model!AS$1,'Assumptions (Oil G&amp;T)'!$B$76,Model!$AB$3174)</f>
        <v>#NUM!</v>
      </c>
      <c r="AY3202" s="377" t="e">
        <f>PPMT('Assumptions (Oil G&amp;T)'!$B$73,Model!AT$1,'Assumptions (Oil G&amp;T)'!$B$76,Model!$AB$3174)</f>
        <v>#NUM!</v>
      </c>
      <c r="AZ3202" s="377" t="e">
        <f>PPMT('Assumptions (Oil G&amp;T)'!$B$73,Model!AU$1,'Assumptions (Oil G&amp;T)'!$B$76,Model!$AB$3174)</f>
        <v>#NUM!</v>
      </c>
    </row>
    <row r="3203" spans="1:66" ht="15.75" hidden="1" customHeight="1" outlineLevel="1">
      <c r="A3203" s="468"/>
      <c r="B3203" s="99"/>
      <c r="C3203" s="377"/>
      <c r="D3203" s="377"/>
      <c r="E3203" s="377"/>
      <c r="F3203" s="377"/>
      <c r="G3203" s="377"/>
      <c r="H3203" s="377"/>
      <c r="I3203" s="377"/>
      <c r="J3203" s="377"/>
      <c r="K3203" s="377"/>
      <c r="L3203" s="377"/>
      <c r="M3203" s="377"/>
      <c r="N3203" s="377"/>
      <c r="O3203" s="377"/>
      <c r="P3203" s="377"/>
      <c r="Q3203" s="377"/>
      <c r="R3203" s="377"/>
      <c r="S3203" s="42"/>
      <c r="T3203" s="42"/>
      <c r="U3203" s="42"/>
      <c r="V3203" s="42"/>
      <c r="W3203" s="86"/>
      <c r="AC3203" s="377">
        <f>PPMT('Assumptions (Oil G&amp;T)'!$B$73,Model!W$1,'Assumptions (Oil G&amp;T)'!$B$76,Model!$AC$3174)</f>
        <v>-0.49927554204309238</v>
      </c>
      <c r="AD3203" s="377">
        <f>PPMT('Assumptions (Oil G&amp;T)'!$B$73,Model!X$1,'Assumptions (Oil G&amp;T)'!$B$76,Model!$AC$3174)</f>
        <v>-0.53672120769632425</v>
      </c>
      <c r="AE3203" s="377">
        <f>PPMT('Assumptions (Oil G&amp;T)'!$B$73,Model!Y$1,'Assumptions (Oil G&amp;T)'!$B$76,Model!$AC$3174)</f>
        <v>-0.57697529827354865</v>
      </c>
      <c r="AF3203" s="377">
        <f>PPMT('Assumptions (Oil G&amp;T)'!$B$73,Model!Z$1,'Assumptions (Oil G&amp;T)'!$B$76,Model!$AC$3174)</f>
        <v>-0.62024844564406478</v>
      </c>
      <c r="AG3203" s="377">
        <f>PPMT('Assumptions (Oil G&amp;T)'!$B$73,Model!AA$1,'Assumptions (Oil G&amp;T)'!$B$76,Model!$AC$3174)</f>
        <v>-0.66676707906736954</v>
      </c>
      <c r="AH3203" s="377">
        <f>PPMT('Assumptions (Oil G&amp;T)'!$B$73,Model!AB$1,'Assumptions (Oil G&amp;T)'!$B$76,Model!$AC$3174)</f>
        <v>-0.71677460999742226</v>
      </c>
      <c r="AI3203" s="377">
        <f>PPMT('Assumptions (Oil G&amp;T)'!$B$73,Model!AC$1,'Assumptions (Oil G&amp;T)'!$B$76,Model!$AC$3174)</f>
        <v>-0.77053270574722899</v>
      </c>
      <c r="AJ3203" s="377">
        <f>PPMT('Assumptions (Oil G&amp;T)'!$B$73,Model!AD$1,'Assumptions (Oil G&amp;T)'!$B$76,Model!$AC$3174)</f>
        <v>-0.82832265867827115</v>
      </c>
      <c r="AK3203" s="377">
        <f>PPMT('Assumptions (Oil G&amp;T)'!$B$73,Model!AE$1,'Assumptions (Oil G&amp;T)'!$B$76,Model!$AC$3174)</f>
        <v>-0.89044685807914159</v>
      </c>
      <c r="AL3203" s="377">
        <f>PPMT('Assumptions (Oil G&amp;T)'!$B$73,Model!AF$1,'Assumptions (Oil G&amp;T)'!$B$76,Model!$AC$3174)</f>
        <v>-0.95723037243507714</v>
      </c>
      <c r="AM3203" s="377">
        <f>PPMT('Assumptions (Oil G&amp;T)'!$B$73,Model!AG$1,'Assumptions (Oil G&amp;T)'!$B$76,Model!$AC$3174)</f>
        <v>-1.0290226503677078</v>
      </c>
      <c r="AN3203" s="377">
        <f>PPMT('Assumptions (Oil G&amp;T)'!$B$73,Model!AH$1,'Assumptions (Oil G&amp;T)'!$B$76,Model!$AC$3174)</f>
        <v>-1.1061993491452859</v>
      </c>
      <c r="AO3203" s="377">
        <f>PPMT('Assumptions (Oil G&amp;T)'!$B$73,Model!AI$1,'Assumptions (Oil G&amp;T)'!$B$76,Model!$AC$3174)</f>
        <v>-1.1891643003311825</v>
      </c>
      <c r="AP3203" s="377">
        <f>PPMT('Assumptions (Oil G&amp;T)'!$B$73,Model!AJ$1,'Assumptions (Oil G&amp;T)'!$B$76,Model!$AC$3174)</f>
        <v>-1.2783516228560214</v>
      </c>
      <c r="AQ3203" s="377">
        <f>PPMT('Assumptions (Oil G&amp;T)'!$B$73,Model!AK$1,'Assumptions (Oil G&amp;T)'!$B$76,Model!$AC$3174)</f>
        <v>-1.3742279945702227</v>
      </c>
      <c r="AR3203" s="377" t="e">
        <f>PPMT('Assumptions (Oil G&amp;T)'!$B$73,Model!AL$1,'Assumptions (Oil G&amp;T)'!$B$76,Model!$AC$3174)</f>
        <v>#NUM!</v>
      </c>
      <c r="AS3203" s="377" t="e">
        <f>PPMT('Assumptions (Oil G&amp;T)'!$B$73,Model!AM$1,'Assumptions (Oil G&amp;T)'!$B$76,Model!$AC$3174)</f>
        <v>#NUM!</v>
      </c>
      <c r="AT3203" s="377" t="e">
        <f>PPMT('Assumptions (Oil G&amp;T)'!$B$73,Model!AN$1,'Assumptions (Oil G&amp;T)'!$B$76,Model!$AC$3174)</f>
        <v>#NUM!</v>
      </c>
      <c r="AU3203" s="377" t="e">
        <f>PPMT('Assumptions (Oil G&amp;T)'!$B$73,Model!AO$1,'Assumptions (Oil G&amp;T)'!$B$76,Model!$AC$3174)</f>
        <v>#NUM!</v>
      </c>
      <c r="AV3203" s="377" t="e">
        <f>PPMT('Assumptions (Oil G&amp;T)'!$B$73,Model!AP$1,'Assumptions (Oil G&amp;T)'!$B$76,Model!$AC$3174)</f>
        <v>#NUM!</v>
      </c>
      <c r="AW3203" s="377" t="e">
        <f>PPMT('Assumptions (Oil G&amp;T)'!$B$73,Model!AQ$1,'Assumptions (Oil G&amp;T)'!$B$76,Model!$AC$3174)</f>
        <v>#NUM!</v>
      </c>
      <c r="AX3203" s="377" t="e">
        <f>PPMT('Assumptions (Oil G&amp;T)'!$B$73,Model!AR$1,'Assumptions (Oil G&amp;T)'!$B$76,Model!$AC$3174)</f>
        <v>#NUM!</v>
      </c>
      <c r="AY3203" s="377" t="e">
        <f>PPMT('Assumptions (Oil G&amp;T)'!$B$73,Model!AS$1,'Assumptions (Oil G&amp;T)'!$B$76,Model!$AC$3174)</f>
        <v>#NUM!</v>
      </c>
      <c r="AZ3203" s="377" t="e">
        <f>PPMT('Assumptions (Oil G&amp;T)'!$B$73,Model!AT$1,'Assumptions (Oil G&amp;T)'!$B$76,Model!$AC$3174)</f>
        <v>#NUM!</v>
      </c>
      <c r="BA3203" s="377" t="e">
        <f>PPMT('Assumptions (Oil G&amp;T)'!$B$73,Model!AU$1,'Assumptions (Oil G&amp;T)'!$B$76,Model!$AC$3174)</f>
        <v>#NUM!</v>
      </c>
    </row>
    <row r="3204" spans="1:66" ht="15.75" hidden="1" customHeight="1" outlineLevel="1">
      <c r="A3204" s="468"/>
      <c r="B3204" s="99"/>
      <c r="C3204" s="377"/>
      <c r="D3204" s="377"/>
      <c r="E3204" s="377"/>
      <c r="F3204" s="377"/>
      <c r="G3204" s="377"/>
      <c r="H3204" s="377"/>
      <c r="I3204" s="377"/>
      <c r="J3204" s="377"/>
      <c r="K3204" s="377"/>
      <c r="L3204" s="377"/>
      <c r="M3204" s="377"/>
      <c r="N3204" s="377"/>
      <c r="O3204" s="377"/>
      <c r="P3204" s="377"/>
      <c r="Q3204" s="377"/>
      <c r="R3204" s="377"/>
      <c r="S3204" s="42"/>
      <c r="T3204" s="42"/>
      <c r="U3204" s="42"/>
      <c r="V3204" s="42"/>
      <c r="W3204" s="86"/>
      <c r="AD3204" s="377">
        <f>PPMT('Assumptions (Oil G&amp;T)'!$B$73,Model!W$1,'Assumptions (Oil G&amp;T)'!$B$76,Model!$AD$3174)</f>
        <v>-0.50323291278402305</v>
      </c>
      <c r="AE3204" s="377">
        <f>PPMT('Assumptions (Oil G&amp;T)'!$B$73,Model!X$1,'Assumptions (Oil G&amp;T)'!$B$76,Model!$AD$3174)</f>
        <v>-0.54097538124282474</v>
      </c>
      <c r="AF3204" s="377">
        <f>PPMT('Assumptions (Oil G&amp;T)'!$B$73,Model!Y$1,'Assumptions (Oil G&amp;T)'!$B$76,Model!$AD$3174)</f>
        <v>-0.58154853483603663</v>
      </c>
      <c r="AG3204" s="377">
        <f>PPMT('Assumptions (Oil G&amp;T)'!$B$73,Model!Z$1,'Assumptions (Oil G&amp;T)'!$B$76,Model!$AD$3174)</f>
        <v>-0.62516467494873929</v>
      </c>
      <c r="AH3204" s="377">
        <f>PPMT('Assumptions (Oil G&amp;T)'!$B$73,Model!AA$1,'Assumptions (Oil G&amp;T)'!$B$76,Model!$AD$3174)</f>
        <v>-0.67205202556989474</v>
      </c>
      <c r="AI3204" s="377">
        <f>PPMT('Assumptions (Oil G&amp;T)'!$B$73,Model!AB$1,'Assumptions (Oil G&amp;T)'!$B$76,Model!$AD$3174)</f>
        <v>-0.72245592748763687</v>
      </c>
      <c r="AJ3204" s="377">
        <f>PPMT('Assumptions (Oil G&amp;T)'!$B$73,Model!AC$1,'Assumptions (Oil G&amp;T)'!$B$76,Model!$AD$3174)</f>
        <v>-0.77664012204920962</v>
      </c>
      <c r="AK3204" s="377">
        <f>PPMT('Assumptions (Oil G&amp;T)'!$B$73,Model!AD$1,'Assumptions (Oil G&amp;T)'!$B$76,Model!$AD$3174)</f>
        <v>-0.83488813120290029</v>
      </c>
      <c r="AL3204" s="377">
        <f>PPMT('Assumptions (Oil G&amp;T)'!$B$73,Model!AE$1,'Assumptions (Oil G&amp;T)'!$B$76,Model!$AD$3174)</f>
        <v>-0.89750474104311795</v>
      </c>
      <c r="AM3204" s="377">
        <f>PPMT('Assumptions (Oil G&amp;T)'!$B$73,Model!AF$1,'Assumptions (Oil G&amp;T)'!$B$76,Model!$AD$3174)</f>
        <v>-0.9648175966213518</v>
      </c>
      <c r="AN3204" s="377">
        <f>PPMT('Assumptions (Oil G&amp;T)'!$B$73,Model!AG$1,'Assumptions (Oil G&amp;T)'!$B$76,Model!$AD$3174)</f>
        <v>-1.037178916367953</v>
      </c>
      <c r="AO3204" s="377">
        <f>PPMT('Assumptions (Oil G&amp;T)'!$B$73,Model!AH$1,'Assumptions (Oil G&amp;T)'!$B$76,Model!$AD$3174)</f>
        <v>-1.1149673350955496</v>
      </c>
      <c r="AP3204" s="377">
        <f>PPMT('Assumptions (Oil G&amp;T)'!$B$73,Model!AI$1,'Assumptions (Oil G&amp;T)'!$B$76,Model!$AD$3174)</f>
        <v>-1.1985898852277159</v>
      </c>
      <c r="AQ3204" s="377">
        <f>PPMT('Assumptions (Oil G&amp;T)'!$B$73,Model!AJ$1,'Assumptions (Oil G&amp;T)'!$B$76,Model!$AD$3174)</f>
        <v>-1.2884841266197944</v>
      </c>
      <c r="AR3204" s="377">
        <f>PPMT('Assumptions (Oil G&amp;T)'!$B$73,Model!AK$1,'Assumptions (Oil G&amp;T)'!$B$76,Model!$AD$3174)</f>
        <v>-1.3851204361162792</v>
      </c>
      <c r="AS3204" s="377" t="e">
        <f>PPMT('Assumptions (Oil G&amp;T)'!$B$73,Model!AL$1,'Assumptions (Oil G&amp;T)'!$B$76,Model!$AD$3174)</f>
        <v>#NUM!</v>
      </c>
      <c r="AT3204" s="377" t="e">
        <f>PPMT('Assumptions (Oil G&amp;T)'!$B$73,Model!AM$1,'Assumptions (Oil G&amp;T)'!$B$76,Model!$AD$3174)</f>
        <v>#NUM!</v>
      </c>
      <c r="AU3204" s="377" t="e">
        <f>PPMT('Assumptions (Oil G&amp;T)'!$B$73,Model!AN$1,'Assumptions (Oil G&amp;T)'!$B$76,Model!$AD$3174)</f>
        <v>#NUM!</v>
      </c>
      <c r="AV3204" s="377" t="e">
        <f>PPMT('Assumptions (Oil G&amp;T)'!$B$73,Model!AO$1,'Assumptions (Oil G&amp;T)'!$B$76,Model!$AD$3174)</f>
        <v>#NUM!</v>
      </c>
      <c r="AW3204" s="377" t="e">
        <f>PPMT('Assumptions (Oil G&amp;T)'!$B$73,Model!AP$1,'Assumptions (Oil G&amp;T)'!$B$76,Model!$AD$3174)</f>
        <v>#NUM!</v>
      </c>
      <c r="AX3204" s="377" t="e">
        <f>PPMT('Assumptions (Oil G&amp;T)'!$B$73,Model!AQ$1,'Assumptions (Oil G&amp;T)'!$B$76,Model!$AD$3174)</f>
        <v>#NUM!</v>
      </c>
      <c r="AY3204" s="377" t="e">
        <f>PPMT('Assumptions (Oil G&amp;T)'!$B$73,Model!AR$1,'Assumptions (Oil G&amp;T)'!$B$76,Model!$AD$3174)</f>
        <v>#NUM!</v>
      </c>
      <c r="AZ3204" s="377" t="e">
        <f>PPMT('Assumptions (Oil G&amp;T)'!$B$73,Model!AS$1,'Assumptions (Oil G&amp;T)'!$B$76,Model!$AD$3174)</f>
        <v>#NUM!</v>
      </c>
      <c r="BA3204" s="377" t="e">
        <f>PPMT('Assumptions (Oil G&amp;T)'!$B$73,Model!AT$1,'Assumptions (Oil G&amp;T)'!$B$76,Model!$AD$3174)</f>
        <v>#NUM!</v>
      </c>
      <c r="BB3204" s="377" t="e">
        <f>PPMT('Assumptions (Oil G&amp;T)'!$B$73,Model!AU$1,'Assumptions (Oil G&amp;T)'!$B$76,Model!$AD$3174)</f>
        <v>#NUM!</v>
      </c>
    </row>
    <row r="3205" spans="1:66" ht="15.75" hidden="1" customHeight="1" outlineLevel="1">
      <c r="A3205" s="468"/>
      <c r="B3205" s="99"/>
      <c r="C3205" s="377"/>
      <c r="D3205" s="377"/>
      <c r="E3205" s="377"/>
      <c r="F3205" s="377"/>
      <c r="G3205" s="377"/>
      <c r="H3205" s="377"/>
      <c r="I3205" s="377"/>
      <c r="J3205" s="377"/>
      <c r="K3205" s="377"/>
      <c r="L3205" s="377"/>
      <c r="M3205" s="377"/>
      <c r="N3205" s="377"/>
      <c r="O3205" s="377"/>
      <c r="P3205" s="377"/>
      <c r="Q3205" s="377"/>
      <c r="R3205" s="377"/>
      <c r="S3205" s="42"/>
      <c r="T3205" s="42"/>
      <c r="U3205" s="42"/>
      <c r="V3205" s="42"/>
      <c r="W3205" s="86"/>
      <c r="AE3205" s="377">
        <f>PPMT('Assumptions (Oil G&amp;T)'!$B$73,Model!W$1,'Assumptions (Oil G&amp;T)'!$B$76,Model!$AE$3174)</f>
        <v>-0.50379811907770211</v>
      </c>
      <c r="AF3205" s="377">
        <f>PPMT('Assumptions (Oil G&amp;T)'!$B$73,Model!X$1,'Assumptions (Oil G&amp;T)'!$B$76,Model!$AE$3174)</f>
        <v>-0.54158297800852973</v>
      </c>
      <c r="AG3205" s="377">
        <f>PPMT('Assumptions (Oil G&amp;T)'!$B$73,Model!Y$1,'Assumptions (Oil G&amp;T)'!$B$76,Model!$AE$3174)</f>
        <v>-0.5822017013591696</v>
      </c>
      <c r="AH3205" s="377">
        <f>PPMT('Assumptions (Oil G&amp;T)'!$B$73,Model!Z$1,'Assumptions (Oil G&amp;T)'!$B$76,Model!$AE$3174)</f>
        <v>-0.62586682896110724</v>
      </c>
      <c r="AI3205" s="377">
        <f>PPMT('Assumptions (Oil G&amp;T)'!$B$73,Model!AA$1,'Assumptions (Oil G&amp;T)'!$B$76,Model!$AE$3174)</f>
        <v>-0.67280684113319011</v>
      </c>
      <c r="AJ3205" s="377">
        <f>PPMT('Assumptions (Oil G&amp;T)'!$B$73,Model!AB$1,'Assumptions (Oil G&amp;T)'!$B$76,Model!$AE$3174)</f>
        <v>-0.72326735421817945</v>
      </c>
      <c r="AK3205" s="377">
        <f>PPMT('Assumptions (Oil G&amp;T)'!$B$73,Model!AC$1,'Assumptions (Oil G&amp;T)'!$B$76,Model!$AE$3174)</f>
        <v>-0.77751240578454295</v>
      </c>
      <c r="AL3205" s="377">
        <f>PPMT('Assumptions (Oil G&amp;T)'!$B$73,Model!AD$1,'Assumptions (Oil G&amp;T)'!$B$76,Model!$AE$3174)</f>
        <v>-0.83582583621838358</v>
      </c>
      <c r="AM3205" s="377">
        <f>PPMT('Assumptions (Oil G&amp;T)'!$B$73,Model!AE$1,'Assumptions (Oil G&amp;T)'!$B$76,Model!$AE$3174)</f>
        <v>-0.89851277393476248</v>
      </c>
      <c r="AN3205" s="377">
        <f>PPMT('Assumptions (Oil G&amp;T)'!$B$73,Model!AF$1,'Assumptions (Oil G&amp;T)'!$B$76,Model!$AE$3174)</f>
        <v>-0.96590123197986966</v>
      </c>
      <c r="AO3205" s="377">
        <f>PPMT('Assumptions (Oil G&amp;T)'!$B$73,Model!AG$1,'Assumptions (Oil G&amp;T)'!$B$76,Model!$AE$3174)</f>
        <v>-1.0383438243783598</v>
      </c>
      <c r="AP3205" s="377">
        <f>PPMT('Assumptions (Oil G&amp;T)'!$B$73,Model!AH$1,'Assumptions (Oil G&amp;T)'!$B$76,Model!$AE$3174)</f>
        <v>-1.1162196112067369</v>
      </c>
      <c r="AQ3205" s="377">
        <f>PPMT('Assumptions (Oil G&amp;T)'!$B$73,Model!AI$1,'Assumptions (Oil G&amp;T)'!$B$76,Model!$AE$3174)</f>
        <v>-1.1999360820472422</v>
      </c>
      <c r="AR3205" s="377">
        <f>PPMT('Assumptions (Oil G&amp;T)'!$B$73,Model!AJ$1,'Assumptions (Oil G&amp;T)'!$B$76,Model!$AE$3174)</f>
        <v>-1.2899312882007854</v>
      </c>
      <c r="AS3205" s="377">
        <f>PPMT('Assumptions (Oil G&amp;T)'!$B$73,Model!AK$1,'Assumptions (Oil G&amp;T)'!$B$76,Model!$AE$3174)</f>
        <v>-1.3866761348158443</v>
      </c>
      <c r="AT3205" s="377" t="e">
        <f>PPMT('Assumptions (Oil G&amp;T)'!$B$73,Model!AL$1,'Assumptions (Oil G&amp;T)'!$B$76,Model!$AE$3174)</f>
        <v>#NUM!</v>
      </c>
      <c r="AU3205" s="377" t="e">
        <f>PPMT('Assumptions (Oil G&amp;T)'!$B$73,Model!AM$1,'Assumptions (Oil G&amp;T)'!$B$76,Model!$AE$3174)</f>
        <v>#NUM!</v>
      </c>
      <c r="AV3205" s="377" t="e">
        <f>PPMT('Assumptions (Oil G&amp;T)'!$B$73,Model!AN$1,'Assumptions (Oil G&amp;T)'!$B$76,Model!$AE$3174)</f>
        <v>#NUM!</v>
      </c>
      <c r="AW3205" s="377" t="e">
        <f>PPMT('Assumptions (Oil G&amp;T)'!$B$73,Model!AO$1,'Assumptions (Oil G&amp;T)'!$B$76,Model!$AE$3174)</f>
        <v>#NUM!</v>
      </c>
      <c r="AX3205" s="377" t="e">
        <f>PPMT('Assumptions (Oil G&amp;T)'!$B$73,Model!AP$1,'Assumptions (Oil G&amp;T)'!$B$76,Model!$AE$3174)</f>
        <v>#NUM!</v>
      </c>
      <c r="AY3205" s="377" t="e">
        <f>PPMT('Assumptions (Oil G&amp;T)'!$B$73,Model!AQ$1,'Assumptions (Oil G&amp;T)'!$B$76,Model!$AE$3174)</f>
        <v>#NUM!</v>
      </c>
      <c r="AZ3205" s="377" t="e">
        <f>PPMT('Assumptions (Oil G&amp;T)'!$B$73,Model!AR$1,'Assumptions (Oil G&amp;T)'!$B$76,Model!$AE$3174)</f>
        <v>#NUM!</v>
      </c>
      <c r="BA3205" s="377" t="e">
        <f>PPMT('Assumptions (Oil G&amp;T)'!$B$73,Model!AS$1,'Assumptions (Oil G&amp;T)'!$B$76,Model!$AE$3174)</f>
        <v>#NUM!</v>
      </c>
      <c r="BB3205" s="377" t="e">
        <f>PPMT('Assumptions (Oil G&amp;T)'!$B$73,Model!AT$1,'Assumptions (Oil G&amp;T)'!$B$76,Model!$AE$3174)</f>
        <v>#NUM!</v>
      </c>
      <c r="BC3205" s="377" t="e">
        <f>PPMT('Assumptions (Oil G&amp;T)'!$B$73,Model!AU$1,'Assumptions (Oil G&amp;T)'!$B$76,Model!$AE$3174)</f>
        <v>#NUM!</v>
      </c>
    </row>
    <row r="3206" spans="1:66" ht="15.75" hidden="1" customHeight="1" outlineLevel="1">
      <c r="A3206" s="468"/>
      <c r="B3206" s="99"/>
      <c r="C3206" s="377"/>
      <c r="D3206" s="377"/>
      <c r="E3206" s="377"/>
      <c r="F3206" s="377"/>
      <c r="G3206" s="377"/>
      <c r="H3206" s="377"/>
      <c r="I3206" s="377"/>
      <c r="J3206" s="377"/>
      <c r="K3206" s="377"/>
      <c r="L3206" s="377"/>
      <c r="M3206" s="377"/>
      <c r="N3206" s="377"/>
      <c r="O3206" s="377"/>
      <c r="P3206" s="377"/>
      <c r="Q3206" s="377"/>
      <c r="R3206" s="377"/>
      <c r="S3206" s="42"/>
      <c r="T3206" s="42"/>
      <c r="U3206" s="42"/>
      <c r="V3206" s="42"/>
      <c r="W3206" s="86"/>
      <c r="AF3206" s="377">
        <f>PPMT('Assumptions (Oil G&amp;T)'!$B$73,Model!W$1,'Assumptions (Oil G&amp;T)'!$B$76,Model!$AF$3174)</f>
        <v>-0.50545503646789192</v>
      </c>
      <c r="AG3206" s="377">
        <f>PPMT('Assumptions (Oil G&amp;T)'!$B$73,Model!X$1,'Assumptions (Oil G&amp;T)'!$B$76,Model!$AF$3174)</f>
        <v>-0.54336416420298383</v>
      </c>
      <c r="AH3206" s="377">
        <f>PPMT('Assumptions (Oil G&amp;T)'!$B$73,Model!Y$1,'Assumptions (Oil G&amp;T)'!$B$76,Model!$AF$3174)</f>
        <v>-0.58411647651820775</v>
      </c>
      <c r="AI3206" s="377">
        <f>PPMT('Assumptions (Oil G&amp;T)'!$B$73,Model!Z$1,'Assumptions (Oil G&amp;T)'!$B$76,Model!$AF$3174)</f>
        <v>-0.62792521225707321</v>
      </c>
      <c r="AJ3206" s="377">
        <f>PPMT('Assumptions (Oil G&amp;T)'!$B$73,Model!AA$1,'Assumptions (Oil G&amp;T)'!$B$76,Model!$AF$3174)</f>
        <v>-0.67501960317635368</v>
      </c>
      <c r="AK3206" s="377">
        <f>PPMT('Assumptions (Oil G&amp;T)'!$B$73,Model!AB$1,'Assumptions (Oil G&amp;T)'!$B$76,Model!$AF$3174)</f>
        <v>-0.72564607341458032</v>
      </c>
      <c r="AL3206" s="377">
        <f>PPMT('Assumptions (Oil G&amp;T)'!$B$73,Model!AC$1,'Assumptions (Oil G&amp;T)'!$B$76,Model!$AF$3174)</f>
        <v>-0.78006952892067372</v>
      </c>
      <c r="AM3206" s="377">
        <f>PPMT('Assumptions (Oil G&amp;T)'!$B$73,Model!AD$1,'Assumptions (Oil G&amp;T)'!$B$76,Model!$AF$3174)</f>
        <v>-0.83857474358972428</v>
      </c>
      <c r="AN3206" s="377">
        <f>PPMT('Assumptions (Oil G&amp;T)'!$B$73,Model!AE$1,'Assumptions (Oil G&amp;T)'!$B$76,Model!$AF$3174)</f>
        <v>-0.90146784935895363</v>
      </c>
      <c r="AO3206" s="377">
        <f>PPMT('Assumptions (Oil G&amp;T)'!$B$73,Model!AF$1,'Assumptions (Oil G&amp;T)'!$B$76,Model!$AF$3174)</f>
        <v>-0.96907793806087517</v>
      </c>
      <c r="AP3206" s="377">
        <f>PPMT('Assumptions (Oil G&amp;T)'!$B$73,Model!AG$1,'Assumptions (Oil G&amp;T)'!$B$76,Model!$AF$3174)</f>
        <v>-1.0417587834154407</v>
      </c>
      <c r="AQ3206" s="377">
        <f>PPMT('Assumptions (Oil G&amp;T)'!$B$73,Model!AH$1,'Assumptions (Oil G&amp;T)'!$B$76,Model!$AF$3174)</f>
        <v>-1.1198906921715988</v>
      </c>
      <c r="AR3206" s="377">
        <f>PPMT('Assumptions (Oil G&amp;T)'!$B$73,Model!AI$1,'Assumptions (Oil G&amp;T)'!$B$76,Model!$AF$3174)</f>
        <v>-1.2038824940844686</v>
      </c>
      <c r="AS3206" s="377">
        <f>PPMT('Assumptions (Oil G&amp;T)'!$B$73,Model!AJ$1,'Assumptions (Oil G&amp;T)'!$B$76,Model!$AF$3174)</f>
        <v>-1.294173681140804</v>
      </c>
      <c r="AT3206" s="377">
        <f>PPMT('Assumptions (Oil G&amp;T)'!$B$73,Model!AK$1,'Assumptions (Oil G&amp;T)'!$B$76,Model!$AF$3174)</f>
        <v>-1.3912367072263641</v>
      </c>
      <c r="AU3206" s="377" t="e">
        <f>PPMT('Assumptions (Oil G&amp;T)'!$B$73,Model!AL$1,'Assumptions (Oil G&amp;T)'!$B$76,Model!$AF$3174)</f>
        <v>#NUM!</v>
      </c>
      <c r="AV3206" s="377" t="e">
        <f>PPMT('Assumptions (Oil G&amp;T)'!$B$73,Model!AM$1,'Assumptions (Oil G&amp;T)'!$B$76,Model!$AF$3174)</f>
        <v>#NUM!</v>
      </c>
      <c r="AW3206" s="377" t="e">
        <f>PPMT('Assumptions (Oil G&amp;T)'!$B$73,Model!AN$1,'Assumptions (Oil G&amp;T)'!$B$76,Model!$AF$3174)</f>
        <v>#NUM!</v>
      </c>
      <c r="AX3206" s="377" t="e">
        <f>PPMT('Assumptions (Oil G&amp;T)'!$B$73,Model!AO$1,'Assumptions (Oil G&amp;T)'!$B$76,Model!$AF$3174)</f>
        <v>#NUM!</v>
      </c>
      <c r="AY3206" s="377" t="e">
        <f>PPMT('Assumptions (Oil G&amp;T)'!$B$73,Model!AP$1,'Assumptions (Oil G&amp;T)'!$B$76,Model!$AF$3174)</f>
        <v>#NUM!</v>
      </c>
      <c r="AZ3206" s="377" t="e">
        <f>PPMT('Assumptions (Oil G&amp;T)'!$B$73,Model!AQ$1,'Assumptions (Oil G&amp;T)'!$B$76,Model!$AF$3174)</f>
        <v>#NUM!</v>
      </c>
      <c r="BA3206" s="377" t="e">
        <f>PPMT('Assumptions (Oil G&amp;T)'!$B$73,Model!AR$1,'Assumptions (Oil G&amp;T)'!$B$76,Model!$AF$3174)</f>
        <v>#NUM!</v>
      </c>
      <c r="BB3206" s="377" t="e">
        <f>PPMT('Assumptions (Oil G&amp;T)'!$B$73,Model!AS$1,'Assumptions (Oil G&amp;T)'!$B$76,Model!$AF$3174)</f>
        <v>#NUM!</v>
      </c>
      <c r="BC3206" s="377" t="e">
        <f>PPMT('Assumptions (Oil G&amp;T)'!$B$73,Model!AT$1,'Assumptions (Oil G&amp;T)'!$B$76,Model!$AF$3174)</f>
        <v>#NUM!</v>
      </c>
      <c r="BD3206" s="377" t="e">
        <f>PPMT('Assumptions (Oil G&amp;T)'!$B$73,Model!AU$1,'Assumptions (Oil G&amp;T)'!$B$76,Model!$AF$3174)</f>
        <v>#NUM!</v>
      </c>
    </row>
    <row r="3207" spans="1:66" ht="15.75" hidden="1" customHeight="1" outlineLevel="1">
      <c r="A3207" s="468"/>
      <c r="B3207" s="99"/>
      <c r="C3207" s="377"/>
      <c r="D3207" s="377"/>
      <c r="E3207" s="377"/>
      <c r="F3207" s="377"/>
      <c r="G3207" s="377"/>
      <c r="H3207" s="377"/>
      <c r="I3207" s="377"/>
      <c r="J3207" s="377"/>
      <c r="K3207" s="377"/>
      <c r="L3207" s="377"/>
      <c r="M3207" s="377"/>
      <c r="N3207" s="377"/>
      <c r="O3207" s="377"/>
      <c r="P3207" s="377"/>
      <c r="Q3207" s="377"/>
      <c r="R3207" s="377"/>
      <c r="S3207" s="42"/>
      <c r="T3207" s="42"/>
      <c r="U3207" s="42"/>
      <c r="V3207" s="42"/>
      <c r="W3207" s="86"/>
      <c r="AG3207" s="377">
        <f>PPMT('Assumptions (Oil G&amp;T)'!$B$73,Model!W$1,'Assumptions (Oil G&amp;T)'!$B$76,Model!$AG$3174)</f>
        <v>-0.50666674905511455</v>
      </c>
      <c r="AH3207" s="377">
        <f>PPMT('Assumptions (Oil G&amp;T)'!$B$73,Model!X$1,'Assumptions (Oil G&amp;T)'!$B$76,Model!$AG$3174)</f>
        <v>-0.54466675523424801</v>
      </c>
      <c r="AI3207" s="377">
        <f>PPMT('Assumptions (Oil G&amp;T)'!$B$73,Model!Y$1,'Assumptions (Oil G&amp;T)'!$B$76,Model!$AG$3174)</f>
        <v>-0.58551676187681678</v>
      </c>
      <c r="AJ3207" s="377">
        <f>PPMT('Assumptions (Oil G&amp;T)'!$B$73,Model!Z$1,'Assumptions (Oil G&amp;T)'!$B$76,Model!$AG$3174)</f>
        <v>-0.62943051901757796</v>
      </c>
      <c r="AK3207" s="377">
        <f>PPMT('Assumptions (Oil G&amp;T)'!$B$73,Model!AA$1,'Assumptions (Oil G&amp;T)'!$B$76,Model!$AG$3174)</f>
        <v>-0.67663780794389627</v>
      </c>
      <c r="AL3207" s="377">
        <f>PPMT('Assumptions (Oil G&amp;T)'!$B$73,Model!AB$1,'Assumptions (Oil G&amp;T)'!$B$76,Model!$AG$3174)</f>
        <v>-0.7273856435396886</v>
      </c>
      <c r="AM3207" s="377">
        <f>PPMT('Assumptions (Oil G&amp;T)'!$B$73,Model!AC$1,'Assumptions (Oil G&amp;T)'!$B$76,Model!$AG$3174)</f>
        <v>-0.78193956680516508</v>
      </c>
      <c r="AN3207" s="377">
        <f>PPMT('Assumptions (Oil G&amp;T)'!$B$73,Model!AD$1,'Assumptions (Oil G&amp;T)'!$B$76,Model!$AG$3174)</f>
        <v>-0.84058503431555243</v>
      </c>
      <c r="AO3207" s="377">
        <f>PPMT('Assumptions (Oil G&amp;T)'!$B$73,Model!AE$1,'Assumptions (Oil G&amp;T)'!$B$76,Model!$AG$3174)</f>
        <v>-0.9036289118892189</v>
      </c>
      <c r="AP3207" s="377">
        <f>PPMT('Assumptions (Oil G&amp;T)'!$B$73,Model!AF$1,'Assumptions (Oil G&amp;T)'!$B$76,Model!$AG$3174)</f>
        <v>-0.97140108028091043</v>
      </c>
      <c r="AQ3207" s="377">
        <f>PPMT('Assumptions (Oil G&amp;T)'!$B$73,Model!AG$1,'Assumptions (Oil G&amp;T)'!$B$76,Model!$AG$3174)</f>
        <v>-1.0442561613019785</v>
      </c>
      <c r="AR3207" s="377">
        <f>PPMT('Assumptions (Oil G&amp;T)'!$B$73,Model!AH$1,'Assumptions (Oil G&amp;T)'!$B$76,Model!$AG$3174)</f>
        <v>-1.1225753733996271</v>
      </c>
      <c r="AS3207" s="377">
        <f>PPMT('Assumptions (Oil G&amp;T)'!$B$73,Model!AI$1,'Assumptions (Oil G&amp;T)'!$B$76,Model!$AG$3174)</f>
        <v>-1.2067685264045991</v>
      </c>
      <c r="AT3207" s="377">
        <f>PPMT('Assumptions (Oil G&amp;T)'!$B$73,Model!AJ$1,'Assumptions (Oil G&amp;T)'!$B$76,Model!$AG$3174)</f>
        <v>-1.2972761658849441</v>
      </c>
      <c r="AU3207" s="377">
        <f>PPMT('Assumptions (Oil G&amp;T)'!$B$73,Model!AK$1,'Assumptions (Oil G&amp;T)'!$B$76,Model!$AG$3174)</f>
        <v>-1.394571878326315</v>
      </c>
      <c r="AV3207" s="377" t="e">
        <f>PPMT('Assumptions (Oil G&amp;T)'!$B$73,Model!AL$1,'Assumptions (Oil G&amp;T)'!$B$76,Model!$AG$3174)</f>
        <v>#NUM!</v>
      </c>
      <c r="AW3207" s="377" t="e">
        <f>PPMT('Assumptions (Oil G&amp;T)'!$B$73,Model!AM$1,'Assumptions (Oil G&amp;T)'!$B$76,Model!$AG$3174)</f>
        <v>#NUM!</v>
      </c>
      <c r="AX3207" s="377" t="e">
        <f>PPMT('Assumptions (Oil G&amp;T)'!$B$73,Model!AN$1,'Assumptions (Oil G&amp;T)'!$B$76,Model!$AG$3174)</f>
        <v>#NUM!</v>
      </c>
      <c r="AY3207" s="377" t="e">
        <f>PPMT('Assumptions (Oil G&amp;T)'!$B$73,Model!AO$1,'Assumptions (Oil G&amp;T)'!$B$76,Model!$AG$3174)</f>
        <v>#NUM!</v>
      </c>
      <c r="AZ3207" s="377" t="e">
        <f>PPMT('Assumptions (Oil G&amp;T)'!$B$73,Model!AP$1,'Assumptions (Oil G&amp;T)'!$B$76,Model!$AG$3174)</f>
        <v>#NUM!</v>
      </c>
      <c r="BA3207" s="377" t="e">
        <f>PPMT('Assumptions (Oil G&amp;T)'!$B$73,Model!AQ$1,'Assumptions (Oil G&amp;T)'!$B$76,Model!$AG$3174)</f>
        <v>#NUM!</v>
      </c>
      <c r="BB3207" s="377" t="e">
        <f>PPMT('Assumptions (Oil G&amp;T)'!$B$73,Model!AR$1,'Assumptions (Oil G&amp;T)'!$B$76,Model!$AG$3174)</f>
        <v>#NUM!</v>
      </c>
      <c r="BC3207" s="377" t="e">
        <f>PPMT('Assumptions (Oil G&amp;T)'!$B$73,Model!AS$1,'Assumptions (Oil G&amp;T)'!$B$76,Model!$AG$3174)</f>
        <v>#NUM!</v>
      </c>
      <c r="BD3207" s="377" t="e">
        <f>PPMT('Assumptions (Oil G&amp;T)'!$B$73,Model!AT$1,'Assumptions (Oil G&amp;T)'!$B$76,Model!$AG$3174)</f>
        <v>#NUM!</v>
      </c>
      <c r="BE3207" s="377" t="e">
        <f>PPMT('Assumptions (Oil G&amp;T)'!$B$73,Model!AU$1,'Assumptions (Oil G&amp;T)'!$B$76,Model!$AG$3174)</f>
        <v>#NUM!</v>
      </c>
    </row>
    <row r="3208" spans="1:66" ht="15.75" hidden="1" customHeight="1" outlineLevel="1">
      <c r="A3208" s="468"/>
      <c r="B3208" s="99"/>
      <c r="C3208" s="377"/>
      <c r="D3208" s="377"/>
      <c r="E3208" s="377"/>
      <c r="F3208" s="377"/>
      <c r="G3208" s="377"/>
      <c r="H3208" s="377"/>
      <c r="I3208" s="377"/>
      <c r="J3208" s="377"/>
      <c r="K3208" s="377"/>
      <c r="L3208" s="377"/>
      <c r="M3208" s="377"/>
      <c r="N3208" s="377"/>
      <c r="O3208" s="377"/>
      <c r="P3208" s="377"/>
      <c r="Q3208" s="377"/>
      <c r="R3208" s="377"/>
      <c r="S3208" s="42"/>
      <c r="T3208" s="42"/>
      <c r="U3208" s="42"/>
      <c r="V3208" s="42"/>
      <c r="W3208" s="86"/>
      <c r="AH3208" s="377">
        <f>PPMT('Assumptions (Oil G&amp;T)'!$B$73,Model!W$1,'Assumptions (Oil G&amp;T)'!$B$76,Model!$AH$3174)</f>
        <v>-0.50754621320021276</v>
      </c>
      <c r="AI3208" s="377">
        <f>PPMT('Assumptions (Oil G&amp;T)'!$B$73,Model!X$1,'Assumptions (Oil G&amp;T)'!$B$76,Model!$AH$3174)</f>
        <v>-0.54561217919022875</v>
      </c>
      <c r="AJ3208" s="377">
        <f>PPMT('Assumptions (Oil G&amp;T)'!$B$73,Model!Y$1,'Assumptions (Oil G&amp;T)'!$B$76,Model!$AH$3174)</f>
        <v>-0.58653309262949593</v>
      </c>
      <c r="AK3208" s="377">
        <f>PPMT('Assumptions (Oil G&amp;T)'!$B$73,Model!Z$1,'Assumptions (Oil G&amp;T)'!$B$76,Model!$AH$3174)</f>
        <v>-0.63052307457670798</v>
      </c>
      <c r="AL3208" s="377">
        <f>PPMT('Assumptions (Oil G&amp;T)'!$B$73,Model!AA$1,'Assumptions (Oil G&amp;T)'!$B$76,Model!$AH$3174)</f>
        <v>-0.67781230516996105</v>
      </c>
      <c r="AM3208" s="377">
        <f>PPMT('Assumptions (Oil G&amp;T)'!$B$73,Model!AB$1,'Assumptions (Oil G&amp;T)'!$B$76,Model!$AH$3174)</f>
        <v>-0.72864822805770835</v>
      </c>
      <c r="AN3208" s="377">
        <f>PPMT('Assumptions (Oil G&amp;T)'!$B$73,Model!AC$1,'Assumptions (Oil G&amp;T)'!$B$76,Model!$AH$3174)</f>
        <v>-0.78329684516203635</v>
      </c>
      <c r="AO3208" s="377">
        <f>PPMT('Assumptions (Oil G&amp;T)'!$B$73,Model!AD$1,'Assumptions (Oil G&amp;T)'!$B$76,Model!$AH$3174)</f>
        <v>-0.84204410854918899</v>
      </c>
      <c r="AP3208" s="377">
        <f>PPMT('Assumptions (Oil G&amp;T)'!$B$73,Model!AE$1,'Assumptions (Oil G&amp;T)'!$B$76,Model!$AH$3174)</f>
        <v>-0.90519741669037823</v>
      </c>
      <c r="AQ3208" s="377">
        <f>PPMT('Assumptions (Oil G&amp;T)'!$B$73,Model!AF$1,'Assumptions (Oil G&amp;T)'!$B$76,Model!$AH$3174)</f>
        <v>-0.97308722294215666</v>
      </c>
      <c r="AR3208" s="377">
        <f>PPMT('Assumptions (Oil G&amp;T)'!$B$73,Model!AG$1,'Assumptions (Oil G&amp;T)'!$B$76,Model!$AH$3174)</f>
        <v>-1.0460687646628184</v>
      </c>
      <c r="AS3208" s="377">
        <f>PPMT('Assumptions (Oil G&amp;T)'!$B$73,Model!AH$1,'Assumptions (Oil G&amp;T)'!$B$76,Model!$AH$3174)</f>
        <v>-1.1245239220125296</v>
      </c>
      <c r="AT3208" s="377">
        <f>PPMT('Assumptions (Oil G&amp;T)'!$B$73,Model!AI$1,'Assumptions (Oil G&amp;T)'!$B$76,Model!$AH$3174)</f>
        <v>-1.2088632161634694</v>
      </c>
      <c r="AU3208" s="377">
        <f>PPMT('Assumptions (Oil G&amp;T)'!$B$73,Model!AJ$1,'Assumptions (Oil G&amp;T)'!$B$76,Model!$AH$3174)</f>
        <v>-1.2995279573757297</v>
      </c>
      <c r="AV3208" s="377">
        <f>PPMT('Assumptions (Oil G&amp;T)'!$B$73,Model!AK$1,'Assumptions (Oil G&amp;T)'!$B$76,Model!$AH$3174)</f>
        <v>-1.3969925541789094</v>
      </c>
      <c r="AW3208" s="377" t="e">
        <f>PPMT('Assumptions (Oil G&amp;T)'!$B$73,Model!AL$1,'Assumptions (Oil G&amp;T)'!$B$76,Model!$AH$3174)</f>
        <v>#NUM!</v>
      </c>
      <c r="AX3208" s="377" t="e">
        <f>PPMT('Assumptions (Oil G&amp;T)'!$B$73,Model!AM$1,'Assumptions (Oil G&amp;T)'!$B$76,Model!$AH$3174)</f>
        <v>#NUM!</v>
      </c>
      <c r="AY3208" s="377" t="e">
        <f>PPMT('Assumptions (Oil G&amp;T)'!$B$73,Model!AN$1,'Assumptions (Oil G&amp;T)'!$B$76,Model!$AH$3174)</f>
        <v>#NUM!</v>
      </c>
      <c r="AZ3208" s="377" t="e">
        <f>PPMT('Assumptions (Oil G&amp;T)'!$B$73,Model!AO$1,'Assumptions (Oil G&amp;T)'!$B$76,Model!$AH$3174)</f>
        <v>#NUM!</v>
      </c>
      <c r="BA3208" s="377" t="e">
        <f>PPMT('Assumptions (Oil G&amp;T)'!$B$73,Model!AP$1,'Assumptions (Oil G&amp;T)'!$B$76,Model!$AH$3174)</f>
        <v>#NUM!</v>
      </c>
      <c r="BB3208" s="377" t="e">
        <f>PPMT('Assumptions (Oil G&amp;T)'!$B$73,Model!AQ$1,'Assumptions (Oil G&amp;T)'!$B$76,Model!$AH$3174)</f>
        <v>#NUM!</v>
      </c>
      <c r="BC3208" s="377" t="e">
        <f>PPMT('Assumptions (Oil G&amp;T)'!$B$73,Model!AR$1,'Assumptions (Oil G&amp;T)'!$B$76,Model!$AH$3174)</f>
        <v>#NUM!</v>
      </c>
      <c r="BD3208" s="377" t="e">
        <f>PPMT('Assumptions (Oil G&amp;T)'!$B$73,Model!AS$1,'Assumptions (Oil G&amp;T)'!$B$76,Model!$AH$3174)</f>
        <v>#NUM!</v>
      </c>
      <c r="BE3208" s="377" t="e">
        <f>PPMT('Assumptions (Oil G&amp;T)'!$B$73,Model!AT$1,'Assumptions (Oil G&amp;T)'!$B$76,Model!$AH$3174)</f>
        <v>#NUM!</v>
      </c>
      <c r="BF3208" s="377" t="e">
        <f>PPMT('Assumptions (Oil G&amp;T)'!$B$73,Model!AU$1,'Assumptions (Oil G&amp;T)'!$B$76,Model!$AH$3174)</f>
        <v>#NUM!</v>
      </c>
    </row>
    <row r="3209" spans="1:66" ht="15.75" hidden="1" customHeight="1" outlineLevel="1">
      <c r="A3209" s="468"/>
      <c r="B3209" s="99"/>
      <c r="C3209" s="377"/>
      <c r="D3209" s="377"/>
      <c r="E3209" s="377"/>
      <c r="F3209" s="377"/>
      <c r="G3209" s="377"/>
      <c r="H3209" s="377"/>
      <c r="I3209" s="377"/>
      <c r="J3209" s="377"/>
      <c r="K3209" s="377"/>
      <c r="L3209" s="377"/>
      <c r="M3209" s="377"/>
      <c r="N3209" s="377"/>
      <c r="O3209" s="377"/>
      <c r="P3209" s="377"/>
      <c r="Q3209" s="377"/>
      <c r="R3209" s="377"/>
      <c r="S3209" s="42"/>
      <c r="T3209" s="42"/>
      <c r="U3209" s="42"/>
      <c r="V3209" s="42"/>
      <c r="W3209" s="86"/>
      <c r="AI3209" s="377">
        <f>PPMT('Assumptions (Oil G&amp;T)'!$B$73,Model!W$1,'Assumptions (Oil G&amp;T)'!$B$76,Model!$AI$3174)</f>
        <v>-0.50698170679284227</v>
      </c>
      <c r="AJ3209" s="377">
        <f>PPMT('Assumptions (Oil G&amp;T)'!$B$73,Model!X$1,'Assumptions (Oil G&amp;T)'!$B$76,Model!$AI$3174)</f>
        <v>-0.5450053348023054</v>
      </c>
      <c r="AK3209" s="377">
        <f>PPMT('Assumptions (Oil G&amp;T)'!$B$73,Model!Y$1,'Assumptions (Oil G&amp;T)'!$B$76,Model!$AI$3174)</f>
        <v>-0.58588073491247838</v>
      </c>
      <c r="AL3209" s="377">
        <f>PPMT('Assumptions (Oil G&amp;T)'!$B$73,Model!Z$1,'Assumptions (Oil G&amp;T)'!$B$76,Model!$AI$3174)</f>
        <v>-0.62982179003091421</v>
      </c>
      <c r="AM3209" s="377">
        <f>PPMT('Assumptions (Oil G&amp;T)'!$B$73,Model!AA$1,'Assumptions (Oil G&amp;T)'!$B$76,Model!$AI$3174)</f>
        <v>-0.67705842428323271</v>
      </c>
      <c r="AN3209" s="377">
        <f>PPMT('Assumptions (Oil G&amp;T)'!$B$73,Model!AB$1,'Assumptions (Oil G&amp;T)'!$B$76,Model!$AI$3174)</f>
        <v>-0.72783780610447513</v>
      </c>
      <c r="AO3209" s="377">
        <f>PPMT('Assumptions (Oil G&amp;T)'!$B$73,Model!AC$1,'Assumptions (Oil G&amp;T)'!$B$76,Model!$AI$3174)</f>
        <v>-0.78242564156231076</v>
      </c>
      <c r="AP3209" s="377">
        <f>PPMT('Assumptions (Oil G&amp;T)'!$B$73,Model!AD$1,'Assumptions (Oil G&amp;T)'!$B$76,Model!$AI$3174)</f>
        <v>-0.84110756467948411</v>
      </c>
      <c r="AQ3209" s="377">
        <f>PPMT('Assumptions (Oil G&amp;T)'!$B$73,Model!AE$1,'Assumptions (Oil G&amp;T)'!$B$76,Model!$AI$3174)</f>
        <v>-0.90419063203044536</v>
      </c>
      <c r="AR3209" s="377">
        <f>PPMT('Assumptions (Oil G&amp;T)'!$B$73,Model!AF$1,'Assumptions (Oil G&amp;T)'!$B$76,Model!$AI$3174)</f>
        <v>-0.97200492943272887</v>
      </c>
      <c r="AS3209" s="377">
        <f>PPMT('Assumptions (Oil G&amp;T)'!$B$73,Model!AG$1,'Assumptions (Oil G&amp;T)'!$B$76,Model!$AI$3174)</f>
        <v>-1.0449052991401833</v>
      </c>
      <c r="AT3209" s="377">
        <f>PPMT('Assumptions (Oil G&amp;T)'!$B$73,Model!AH$1,'Assumptions (Oil G&amp;T)'!$B$76,Model!$AI$3174)</f>
        <v>-1.1232731965756972</v>
      </c>
      <c r="AU3209" s="377">
        <f>PPMT('Assumptions (Oil G&amp;T)'!$B$73,Model!AI$1,'Assumptions (Oil G&amp;T)'!$B$76,Model!$AI$3174)</f>
        <v>-1.2075186863188745</v>
      </c>
      <c r="AV3209" s="377">
        <f>PPMT('Assumptions (Oil G&amp;T)'!$B$73,Model!AJ$1,'Assumptions (Oil G&amp;T)'!$B$76,Model!$AI$3174)</f>
        <v>-1.2980825877927902</v>
      </c>
      <c r="AW3209" s="377">
        <f>PPMT('Assumptions (Oil G&amp;T)'!$B$73,Model!AK$1,'Assumptions (Oil G&amp;T)'!$B$76,Model!$AI$3174)</f>
        <v>-1.3954387818772493</v>
      </c>
      <c r="AX3209" s="377" t="e">
        <f>PPMT('Assumptions (Oil G&amp;T)'!$B$73,Model!AL$1,'Assumptions (Oil G&amp;T)'!$B$76,Model!$AI$3174)</f>
        <v>#NUM!</v>
      </c>
      <c r="AY3209" s="377" t="e">
        <f>PPMT('Assumptions (Oil G&amp;T)'!$B$73,Model!AM$1,'Assumptions (Oil G&amp;T)'!$B$76,Model!$AI$3174)</f>
        <v>#NUM!</v>
      </c>
      <c r="AZ3209" s="377" t="e">
        <f>PPMT('Assumptions (Oil G&amp;T)'!$B$73,Model!AN$1,'Assumptions (Oil G&amp;T)'!$B$76,Model!$AI$3174)</f>
        <v>#NUM!</v>
      </c>
      <c r="BA3209" s="377" t="e">
        <f>PPMT('Assumptions (Oil G&amp;T)'!$B$73,Model!AO$1,'Assumptions (Oil G&amp;T)'!$B$76,Model!$AI$3174)</f>
        <v>#NUM!</v>
      </c>
      <c r="BB3209" s="377" t="e">
        <f>PPMT('Assumptions (Oil G&amp;T)'!$B$73,Model!AP$1,'Assumptions (Oil G&amp;T)'!$B$76,Model!$AI$3174)</f>
        <v>#NUM!</v>
      </c>
      <c r="BC3209" s="377" t="e">
        <f>PPMT('Assumptions (Oil G&amp;T)'!$B$73,Model!AQ$1,'Assumptions (Oil G&amp;T)'!$B$76,Model!$AI$3174)</f>
        <v>#NUM!</v>
      </c>
      <c r="BD3209" s="377" t="e">
        <f>PPMT('Assumptions (Oil G&amp;T)'!$B$73,Model!AR$1,'Assumptions (Oil G&amp;T)'!$B$76,Model!$AI$3174)</f>
        <v>#NUM!</v>
      </c>
      <c r="BE3209" s="377" t="e">
        <f>PPMT('Assumptions (Oil G&amp;T)'!$B$73,Model!AS$1,'Assumptions (Oil G&amp;T)'!$B$76,Model!$AI$3174)</f>
        <v>#NUM!</v>
      </c>
      <c r="BF3209" s="377" t="e">
        <f>PPMT('Assumptions (Oil G&amp;T)'!$B$73,Model!AT$1,'Assumptions (Oil G&amp;T)'!$B$76,Model!$AI$3174)</f>
        <v>#NUM!</v>
      </c>
      <c r="BG3209" s="377" t="e">
        <f>PPMT('Assumptions (Oil G&amp;T)'!$B$73,Model!AU$1,'Assumptions (Oil G&amp;T)'!$B$76,Model!$AI$3174)</f>
        <v>#NUM!</v>
      </c>
    </row>
    <row r="3210" spans="1:66" ht="15.75" hidden="1" customHeight="1" outlineLevel="1">
      <c r="A3210" s="468"/>
      <c r="B3210" s="99"/>
      <c r="C3210" s="377"/>
      <c r="D3210" s="377"/>
      <c r="E3210" s="377"/>
      <c r="F3210" s="377"/>
      <c r="G3210" s="377"/>
      <c r="H3210" s="377"/>
      <c r="I3210" s="377"/>
      <c r="J3210" s="377"/>
      <c r="K3210" s="377"/>
      <c r="L3210" s="377"/>
      <c r="M3210" s="377"/>
      <c r="N3210" s="377"/>
      <c r="O3210" s="377"/>
      <c r="P3210" s="377"/>
      <c r="Q3210" s="377"/>
      <c r="R3210" s="377"/>
      <c r="S3210" s="42"/>
      <c r="T3210" s="42"/>
      <c r="U3210" s="42"/>
      <c r="V3210" s="42"/>
      <c r="W3210" s="86"/>
      <c r="AJ3210" s="377">
        <f>PPMT('Assumptions (Oil G&amp;T)'!$B$73,Model!W$1,'Assumptions (Oil G&amp;T)'!$B$76,Model!$AJ$3174)</f>
        <v>-0.50597731382424127</v>
      </c>
      <c r="AK3210" s="377">
        <f>PPMT('Assumptions (Oil G&amp;T)'!$B$73,Model!X$1,'Assumptions (Oil G&amp;T)'!$B$76,Model!$AJ$3174)</f>
        <v>-0.5439256123610593</v>
      </c>
      <c r="AL3210" s="377">
        <f>PPMT('Assumptions (Oil G&amp;T)'!$B$73,Model!Y$1,'Assumptions (Oil G&amp;T)'!$B$76,Model!$AJ$3174)</f>
        <v>-0.58472003328813882</v>
      </c>
      <c r="AM3210" s="377">
        <f>PPMT('Assumptions (Oil G&amp;T)'!$B$73,Model!Z$1,'Assumptions (Oil G&amp;T)'!$B$76,Model!$AJ$3174)</f>
        <v>-0.62857403578474913</v>
      </c>
      <c r="AN3210" s="377">
        <f>PPMT('Assumptions (Oil G&amp;T)'!$B$73,Model!AA$1,'Assumptions (Oil G&amp;T)'!$B$76,Model!$AJ$3174)</f>
        <v>-0.67571708846860534</v>
      </c>
      <c r="AO3210" s="377">
        <f>PPMT('Assumptions (Oil G&amp;T)'!$B$73,Model!AB$1,'Assumptions (Oil G&amp;T)'!$B$76,Model!$AJ$3174)</f>
        <v>-0.72639587010375084</v>
      </c>
      <c r="AP3210" s="377">
        <f>PPMT('Assumptions (Oil G&amp;T)'!$B$73,Model!AC$1,'Assumptions (Oil G&amp;T)'!$B$76,Model!$AJ$3174)</f>
        <v>-0.78087556036153216</v>
      </c>
      <c r="AQ3210" s="377">
        <f>PPMT('Assumptions (Oil G&amp;T)'!$B$73,Model!AD$1,'Assumptions (Oil G&amp;T)'!$B$76,Model!$AJ$3174)</f>
        <v>-0.83944122738864702</v>
      </c>
      <c r="AR3210" s="377">
        <f>PPMT('Assumptions (Oil G&amp;T)'!$B$73,Model!AE$1,'Assumptions (Oil G&amp;T)'!$B$76,Model!$AJ$3174)</f>
        <v>-0.90239931944279561</v>
      </c>
      <c r="AS3210" s="377">
        <f>PPMT('Assumptions (Oil G&amp;T)'!$B$73,Model!AF$1,'Assumptions (Oil G&amp;T)'!$B$76,Model!$AJ$3174)</f>
        <v>-0.97007926840100522</v>
      </c>
      <c r="AT3210" s="377">
        <f>PPMT('Assumptions (Oil G&amp;T)'!$B$73,Model!AG$1,'Assumptions (Oil G&amp;T)'!$B$76,Model!$AJ$3174)</f>
        <v>-1.0428352135310806</v>
      </c>
      <c r="AU3210" s="377">
        <f>PPMT('Assumptions (Oil G&amp;T)'!$B$73,Model!AH$1,'Assumptions (Oil G&amp;T)'!$B$76,Model!$AJ$3174)</f>
        <v>-1.1210478545459115</v>
      </c>
      <c r="AV3210" s="377">
        <f>PPMT('Assumptions (Oil G&amp;T)'!$B$73,Model!AI$1,'Assumptions (Oil G&amp;T)'!$B$76,Model!$AJ$3174)</f>
        <v>-1.2051264436368549</v>
      </c>
      <c r="AW3210" s="377">
        <f>PPMT('Assumptions (Oil G&amp;T)'!$B$73,Model!AJ$1,'Assumptions (Oil G&amp;T)'!$B$76,Model!$AJ$3174)</f>
        <v>-1.2955109269096192</v>
      </c>
      <c r="AX3210" s="377">
        <f>PPMT('Assumptions (Oil G&amp;T)'!$B$73,Model!AK$1,'Assumptions (Oil G&amp;T)'!$B$76,Model!$AJ$3174)</f>
        <v>-1.3926742464278405</v>
      </c>
      <c r="AY3210" s="377" t="e">
        <f>PPMT('Assumptions (Oil G&amp;T)'!$B$73,Model!AL$1,'Assumptions (Oil G&amp;T)'!$B$76,Model!$AJ$3174)</f>
        <v>#NUM!</v>
      </c>
      <c r="AZ3210" s="377" t="e">
        <f>PPMT('Assumptions (Oil G&amp;T)'!$B$73,Model!AM$1,'Assumptions (Oil G&amp;T)'!$B$76,Model!$AJ$3174)</f>
        <v>#NUM!</v>
      </c>
      <c r="BA3210" s="377" t="e">
        <f>PPMT('Assumptions (Oil G&amp;T)'!$B$73,Model!AN$1,'Assumptions (Oil G&amp;T)'!$B$76,Model!$AJ$3174)</f>
        <v>#NUM!</v>
      </c>
      <c r="BB3210" s="377" t="e">
        <f>PPMT('Assumptions (Oil G&amp;T)'!$B$73,Model!AO$1,'Assumptions (Oil G&amp;T)'!$B$76,Model!$AJ$3174)</f>
        <v>#NUM!</v>
      </c>
      <c r="BC3210" s="377" t="e">
        <f>PPMT('Assumptions (Oil G&amp;T)'!$B$73,Model!AP$1,'Assumptions (Oil G&amp;T)'!$B$76,Model!$AJ$3174)</f>
        <v>#NUM!</v>
      </c>
      <c r="BD3210" s="377" t="e">
        <f>PPMT('Assumptions (Oil G&amp;T)'!$B$73,Model!AQ$1,'Assumptions (Oil G&amp;T)'!$B$76,Model!$AJ$3174)</f>
        <v>#NUM!</v>
      </c>
      <c r="BE3210" s="377" t="e">
        <f>PPMT('Assumptions (Oil G&amp;T)'!$B$73,Model!AR$1,'Assumptions (Oil G&amp;T)'!$B$76,Model!$AJ$3174)</f>
        <v>#NUM!</v>
      </c>
      <c r="BF3210" s="377" t="e">
        <f>PPMT('Assumptions (Oil G&amp;T)'!$B$73,Model!AS$1,'Assumptions (Oil G&amp;T)'!$B$76,Model!$AJ$3174)</f>
        <v>#NUM!</v>
      </c>
      <c r="BG3210" s="377" t="e">
        <f>PPMT('Assumptions (Oil G&amp;T)'!$B$73,Model!AT$1,'Assumptions (Oil G&amp;T)'!$B$76,Model!$AJ$3174)</f>
        <v>#NUM!</v>
      </c>
      <c r="BH3210" s="377" t="e">
        <f>PPMT('Assumptions (Oil G&amp;T)'!$B$73,Model!AU$1,'Assumptions (Oil G&amp;T)'!$B$76,Model!$AJ$3174)</f>
        <v>#NUM!</v>
      </c>
    </row>
    <row r="3211" spans="1:66" ht="15.75" hidden="1" customHeight="1" outlineLevel="1">
      <c r="A3211" s="468"/>
      <c r="B3211" s="99"/>
      <c r="C3211" s="377"/>
      <c r="D3211" s="377"/>
      <c r="E3211" s="377"/>
      <c r="F3211" s="377"/>
      <c r="G3211" s="377"/>
      <c r="H3211" s="377"/>
      <c r="I3211" s="377"/>
      <c r="J3211" s="377"/>
      <c r="K3211" s="377"/>
      <c r="L3211" s="377"/>
      <c r="M3211" s="377"/>
      <c r="N3211" s="377"/>
      <c r="O3211" s="377"/>
      <c r="P3211" s="377"/>
      <c r="Q3211" s="377"/>
      <c r="R3211" s="377"/>
      <c r="S3211" s="42"/>
      <c r="T3211" s="42"/>
      <c r="U3211" s="42"/>
      <c r="V3211" s="42"/>
      <c r="W3211" s="86"/>
      <c r="AK3211" s="377">
        <f>PPMT('Assumptions (Oil G&amp;T)'!$B$73,Model!W$1,'Assumptions (Oil G&amp;T)'!$B$76,Model!$AK$3174)</f>
        <v>-0.50553991842907042</v>
      </c>
      <c r="AL3211" s="377">
        <f>PPMT('Assumptions (Oil G&amp;T)'!$B$73,Model!X$1,'Assumptions (Oil G&amp;T)'!$B$76,Model!$AK$3174)</f>
        <v>-0.54345541231125072</v>
      </c>
      <c r="AM3211" s="377">
        <f>PPMT('Assumptions (Oil G&amp;T)'!$B$73,Model!Y$1,'Assumptions (Oil G&amp;T)'!$B$76,Model!$AK$3174)</f>
        <v>-0.58421456823459461</v>
      </c>
      <c r="AN3211" s="377">
        <f>PPMT('Assumptions (Oil G&amp;T)'!$B$73,Model!Z$1,'Assumptions (Oil G&amp;T)'!$B$76,Model!$AK$3174)</f>
        <v>-0.62803066085218917</v>
      </c>
      <c r="AO3211" s="377">
        <f>PPMT('Assumptions (Oil G&amp;T)'!$B$73,Model!AA$1,'Assumptions (Oil G&amp;T)'!$B$76,Model!$AK$3174)</f>
        <v>-0.67513296041610327</v>
      </c>
      <c r="AP3211" s="377">
        <f>PPMT('Assumptions (Oil G&amp;T)'!$B$73,Model!AB$1,'Assumptions (Oil G&amp;T)'!$B$76,Model!$AK$3174)</f>
        <v>-0.72576793244731108</v>
      </c>
      <c r="AQ3211" s="377">
        <f>PPMT('Assumptions (Oil G&amp;T)'!$B$73,Model!AC$1,'Assumptions (Oil G&amp;T)'!$B$76,Model!$AK$3174)</f>
        <v>-0.78020052738085932</v>
      </c>
      <c r="AR3211" s="377">
        <f>PPMT('Assumptions (Oil G&amp;T)'!$B$73,Model!AD$1,'Assumptions (Oil G&amp;T)'!$B$76,Model!$AK$3174)</f>
        <v>-0.83871556693442384</v>
      </c>
      <c r="AS3211" s="377">
        <f>PPMT('Assumptions (Oil G&amp;T)'!$B$73,Model!AE$1,'Assumptions (Oil G&amp;T)'!$B$76,Model!$AK$3174)</f>
        <v>-0.90161923445450576</v>
      </c>
      <c r="AT3211" s="377">
        <f>PPMT('Assumptions (Oil G&amp;T)'!$B$73,Model!AF$1,'Assumptions (Oil G&amp;T)'!$B$76,Model!$AK$3174)</f>
        <v>-0.96924067703859362</v>
      </c>
      <c r="AU3211" s="377">
        <f>PPMT('Assumptions (Oil G&amp;T)'!$B$73,Model!AG$1,'Assumptions (Oil G&amp;T)'!$B$76,Model!$AK$3174)</f>
        <v>-1.041933727816488</v>
      </c>
      <c r="AV3211" s="377">
        <f>PPMT('Assumptions (Oil G&amp;T)'!$B$73,Model!AH$1,'Assumptions (Oil G&amp;T)'!$B$76,Model!$AK$3174)</f>
        <v>-1.1200787574027247</v>
      </c>
      <c r="AW3211" s="377">
        <f>PPMT('Assumptions (Oil G&amp;T)'!$B$73,Model!AI$1,'Assumptions (Oil G&amp;T)'!$B$76,Model!$AK$3174)</f>
        <v>-1.204084664207929</v>
      </c>
      <c r="AX3211" s="377">
        <f>PPMT('Assumptions (Oil G&amp;T)'!$B$73,Model!AJ$1,'Assumptions (Oil G&amp;T)'!$B$76,Model!$AK$3174)</f>
        <v>-1.2943910140235237</v>
      </c>
      <c r="AY3211" s="377">
        <f>PPMT('Assumptions (Oil G&amp;T)'!$B$73,Model!AK$1,'Assumptions (Oil G&amp;T)'!$B$76,Model!$AK$3174)</f>
        <v>-1.3914703400752881</v>
      </c>
      <c r="AZ3211" s="377" t="e">
        <f>PPMT('Assumptions (Oil G&amp;T)'!$B$73,Model!AL$1,'Assumptions (Oil G&amp;T)'!$B$76,Model!$AK$3174)</f>
        <v>#NUM!</v>
      </c>
      <c r="BA3211" s="377" t="e">
        <f>PPMT('Assumptions (Oil G&amp;T)'!$B$73,Model!AM$1,'Assumptions (Oil G&amp;T)'!$B$76,Model!$AK$3174)</f>
        <v>#NUM!</v>
      </c>
      <c r="BB3211" s="377" t="e">
        <f>PPMT('Assumptions (Oil G&amp;T)'!$B$73,Model!AN$1,'Assumptions (Oil G&amp;T)'!$B$76,Model!$AK$3174)</f>
        <v>#NUM!</v>
      </c>
      <c r="BC3211" s="377" t="e">
        <f>PPMT('Assumptions (Oil G&amp;T)'!$B$73,Model!AO$1,'Assumptions (Oil G&amp;T)'!$B$76,Model!$AK$3174)</f>
        <v>#NUM!</v>
      </c>
      <c r="BD3211" s="377" t="e">
        <f>PPMT('Assumptions (Oil G&amp;T)'!$B$73,Model!AP$1,'Assumptions (Oil G&amp;T)'!$B$76,Model!$AK$3174)</f>
        <v>#NUM!</v>
      </c>
      <c r="BE3211" s="377" t="e">
        <f>PPMT('Assumptions (Oil G&amp;T)'!$B$73,Model!AQ$1,'Assumptions (Oil G&amp;T)'!$B$76,Model!$AK$3174)</f>
        <v>#NUM!</v>
      </c>
      <c r="BF3211" s="377" t="e">
        <f>PPMT('Assumptions (Oil G&amp;T)'!$B$73,Model!AR$1,'Assumptions (Oil G&amp;T)'!$B$76,Model!$AK$3174)</f>
        <v>#NUM!</v>
      </c>
      <c r="BG3211" s="377" t="e">
        <f>PPMT('Assumptions (Oil G&amp;T)'!$B$73,Model!AS$1,'Assumptions (Oil G&amp;T)'!$B$76,Model!$AK$3174)</f>
        <v>#NUM!</v>
      </c>
      <c r="BH3211" s="377" t="e">
        <f>PPMT('Assumptions (Oil G&amp;T)'!$B$73,Model!AT$1,'Assumptions (Oil G&amp;T)'!$B$76,Model!$AK$3174)</f>
        <v>#NUM!</v>
      </c>
      <c r="BI3211" s="377" t="e">
        <f>PPMT('Assumptions (Oil G&amp;T)'!$B$73,Model!AU$1,'Assumptions (Oil G&amp;T)'!$B$76,Model!$AK$3174)</f>
        <v>#NUM!</v>
      </c>
    </row>
    <row r="3212" spans="1:66" ht="15.75" hidden="1" customHeight="1" outlineLevel="1">
      <c r="A3212" s="468"/>
      <c r="B3212" s="99"/>
      <c r="C3212" s="377"/>
      <c r="D3212" s="377"/>
      <c r="E3212" s="377"/>
      <c r="F3212" s="377"/>
      <c r="G3212" s="377"/>
      <c r="H3212" s="377"/>
      <c r="I3212" s="377"/>
      <c r="J3212" s="377"/>
      <c r="K3212" s="377"/>
      <c r="L3212" s="377"/>
      <c r="M3212" s="377"/>
      <c r="N3212" s="377"/>
      <c r="O3212" s="377"/>
      <c r="P3212" s="377"/>
      <c r="Q3212" s="377"/>
      <c r="R3212" s="377"/>
      <c r="S3212" s="42"/>
      <c r="T3212" s="42"/>
      <c r="U3212" s="42"/>
      <c r="V3212" s="42"/>
      <c r="W3212" s="86"/>
      <c r="AL3212" s="377">
        <f>PPMT('Assumptions (Oil G&amp;T)'!$B$73,Model!W$1,'Assumptions (Oil G&amp;T)'!$B$76,Model!$AL$3174)</f>
        <v>-0.50411382901917778</v>
      </c>
      <c r="AM3212" s="377">
        <f>PPMT('Assumptions (Oil G&amp;T)'!$B$73,Model!X$1,'Assumptions (Oil G&amp;T)'!$B$76,Model!$AL$3174)</f>
        <v>-0.54192236619561607</v>
      </c>
      <c r="AN3212" s="377">
        <f>PPMT('Assumptions (Oil G&amp;T)'!$B$73,Model!Y$1,'Assumptions (Oil G&amp;T)'!$B$76,Model!$AL$3174)</f>
        <v>-0.58256654366028737</v>
      </c>
      <c r="AO3212" s="377">
        <f>PPMT('Assumptions (Oil G&amp;T)'!$B$73,Model!Z$1,'Assumptions (Oil G&amp;T)'!$B$76,Model!$AL$3174)</f>
        <v>-0.62625903443480879</v>
      </c>
      <c r="AP3212" s="377">
        <f>PPMT('Assumptions (Oil G&amp;T)'!$B$73,Model!AA$1,'Assumptions (Oil G&amp;T)'!$B$76,Model!$AL$3174)</f>
        <v>-0.67322846201741937</v>
      </c>
      <c r="AQ3212" s="377">
        <f>PPMT('Assumptions (Oil G&amp;T)'!$B$73,Model!AB$1,'Assumptions (Oil G&amp;T)'!$B$76,Model!$AL$3174)</f>
        <v>-0.72372059666872601</v>
      </c>
      <c r="AR3212" s="377">
        <f>PPMT('Assumptions (Oil G&amp;T)'!$B$73,Model!AC$1,'Assumptions (Oil G&amp;T)'!$B$76,Model!$AL$3174)</f>
        <v>-0.77799964141888034</v>
      </c>
      <c r="AS3212" s="377">
        <f>PPMT('Assumptions (Oil G&amp;T)'!$B$73,Model!AD$1,'Assumptions (Oil G&amp;T)'!$B$76,Model!$AL$3174)</f>
        <v>-0.83634961452529633</v>
      </c>
      <c r="AT3212" s="377">
        <f>PPMT('Assumptions (Oil G&amp;T)'!$B$73,Model!AE$1,'Assumptions (Oil G&amp;T)'!$B$76,Model!$AL$3174)</f>
        <v>-0.89907583561469362</v>
      </c>
      <c r="AU3212" s="377">
        <f>PPMT('Assumptions (Oil G&amp;T)'!$B$73,Model!AF$1,'Assumptions (Oil G&amp;T)'!$B$76,Model!$AL$3174)</f>
        <v>-0.96650652328579567</v>
      </c>
      <c r="AV3212" s="377">
        <f>PPMT('Assumptions (Oil G&amp;T)'!$B$73,Model!AG$1,'Assumptions (Oil G&amp;T)'!$B$76,Model!$AL$3174)</f>
        <v>-1.0389945125322302</v>
      </c>
      <c r="AW3212" s="377">
        <f>PPMT('Assumptions (Oil G&amp;T)'!$B$73,Model!AH$1,'Assumptions (Oil G&amp;T)'!$B$76,Model!$AL$3174)</f>
        <v>-1.1169191009721475</v>
      </c>
      <c r="AX3212" s="377">
        <f>PPMT('Assumptions (Oil G&amp;T)'!$B$73,Model!AI$1,'Assumptions (Oil G&amp;T)'!$B$76,Model!$AL$3174)</f>
        <v>-1.2006880335450587</v>
      </c>
      <c r="AY3212" s="377">
        <f>PPMT('Assumptions (Oil G&amp;T)'!$B$73,Model!AJ$1,'Assumptions (Oil G&amp;T)'!$B$76,Model!$AL$3174)</f>
        <v>-1.2907396360609382</v>
      </c>
      <c r="AZ3212" s="377">
        <f>PPMT('Assumptions (Oil G&amp;T)'!$B$73,Model!AK$1,'Assumptions (Oil G&amp;T)'!$B$76,Model!$AL$3174)</f>
        <v>-1.3875451087655084</v>
      </c>
      <c r="BA3212" s="377" t="e">
        <f>PPMT('Assumptions (Oil G&amp;T)'!$B$73,Model!AL$1,'Assumptions (Oil G&amp;T)'!$B$76,Model!$AL$3174)</f>
        <v>#NUM!</v>
      </c>
      <c r="BB3212" s="377" t="e">
        <f>PPMT('Assumptions (Oil G&amp;T)'!$B$73,Model!AM$1,'Assumptions (Oil G&amp;T)'!$B$76,Model!$AL$3174)</f>
        <v>#NUM!</v>
      </c>
      <c r="BC3212" s="377" t="e">
        <f>PPMT('Assumptions (Oil G&amp;T)'!$B$73,Model!AN$1,'Assumptions (Oil G&amp;T)'!$B$76,Model!$AL$3174)</f>
        <v>#NUM!</v>
      </c>
      <c r="BD3212" s="377" t="e">
        <f>PPMT('Assumptions (Oil G&amp;T)'!$B$73,Model!AO$1,'Assumptions (Oil G&amp;T)'!$B$76,Model!$AL$3174)</f>
        <v>#NUM!</v>
      </c>
      <c r="BE3212" s="377" t="e">
        <f>PPMT('Assumptions (Oil G&amp;T)'!$B$73,Model!AP$1,'Assumptions (Oil G&amp;T)'!$B$76,Model!$AL$3174)</f>
        <v>#NUM!</v>
      </c>
      <c r="BF3212" s="377" t="e">
        <f>PPMT('Assumptions (Oil G&amp;T)'!$B$73,Model!AQ$1,'Assumptions (Oil G&amp;T)'!$B$76,Model!$AL$3174)</f>
        <v>#NUM!</v>
      </c>
      <c r="BG3212" s="377" t="e">
        <f>PPMT('Assumptions (Oil G&amp;T)'!$B$73,Model!AR$1,'Assumptions (Oil G&amp;T)'!$B$76,Model!$AL$3174)</f>
        <v>#NUM!</v>
      </c>
      <c r="BH3212" s="377" t="e">
        <f>PPMT('Assumptions (Oil G&amp;T)'!$B$73,Model!AS$1,'Assumptions (Oil G&amp;T)'!$B$76,Model!$AL$3174)</f>
        <v>#NUM!</v>
      </c>
      <c r="BI3212" s="377" t="e">
        <f>PPMT('Assumptions (Oil G&amp;T)'!$B$73,Model!AT$1,'Assumptions (Oil G&amp;T)'!$B$76,Model!$AL$3174)</f>
        <v>#NUM!</v>
      </c>
      <c r="BJ3212" s="377" t="e">
        <f>PPMT('Assumptions (Oil G&amp;T)'!$B$73,Model!AU$1,'Assumptions (Oil G&amp;T)'!$B$76,Model!$AL$3174)</f>
        <v>#NUM!</v>
      </c>
    </row>
    <row r="3213" spans="1:66" ht="15.75" hidden="1" customHeight="1" outlineLevel="1">
      <c r="A3213" s="468"/>
      <c r="B3213" s="99"/>
      <c r="C3213" s="377"/>
      <c r="D3213" s="377"/>
      <c r="E3213" s="377"/>
      <c r="F3213" s="377"/>
      <c r="G3213" s="377"/>
      <c r="H3213" s="377"/>
      <c r="I3213" s="377"/>
      <c r="J3213" s="377"/>
      <c r="K3213" s="377"/>
      <c r="L3213" s="377"/>
      <c r="M3213" s="377"/>
      <c r="N3213" s="377"/>
      <c r="O3213" s="377"/>
      <c r="P3213" s="377"/>
      <c r="Q3213" s="377"/>
      <c r="R3213" s="377"/>
      <c r="S3213" s="42"/>
      <c r="T3213" s="42"/>
      <c r="U3213" s="42"/>
      <c r="V3213" s="42"/>
      <c r="W3213" s="86"/>
      <c r="AM3213" s="377">
        <f>PPMT('Assumptions (Oil G&amp;T)'!$B$73,Model!W$1,'Assumptions (Oil G&amp;T)'!$B$76,Model!$AM$3174)</f>
        <v>-0.5022302770965823</v>
      </c>
      <c r="AN3213" s="377">
        <f>PPMT('Assumptions (Oil G&amp;T)'!$B$73,Model!X$1,'Assumptions (Oil G&amp;T)'!$B$76,Model!$AM$3174)</f>
        <v>-0.53989754787882593</v>
      </c>
      <c r="AO3213" s="377">
        <f>PPMT('Assumptions (Oil G&amp;T)'!$B$73,Model!Y$1,'Assumptions (Oil G&amp;T)'!$B$76,Model!$AM$3174)</f>
        <v>-0.58038986396973791</v>
      </c>
      <c r="AP3213" s="377">
        <f>PPMT('Assumptions (Oil G&amp;T)'!$B$73,Model!Z$1,'Assumptions (Oil G&amp;T)'!$B$76,Model!$AM$3174)</f>
        <v>-0.62391910376746818</v>
      </c>
      <c r="AQ3213" s="377">
        <f>PPMT('Assumptions (Oil G&amp;T)'!$B$73,Model!AA$1,'Assumptions (Oil G&amp;T)'!$B$76,Model!$AM$3174)</f>
        <v>-0.67071303655002834</v>
      </c>
      <c r="AR3213" s="377">
        <f>PPMT('Assumptions (Oil G&amp;T)'!$B$73,Model!AB$1,'Assumptions (Oil G&amp;T)'!$B$76,Model!$AM$3174)</f>
        <v>-0.72101651429128055</v>
      </c>
      <c r="AS3213" s="377">
        <f>PPMT('Assumptions (Oil G&amp;T)'!$B$73,Model!AC$1,'Assumptions (Oil G&amp;T)'!$B$76,Model!$AM$3174)</f>
        <v>-0.77509275286312651</v>
      </c>
      <c r="AT3213" s="377">
        <f>PPMT('Assumptions (Oil G&amp;T)'!$B$73,Model!AD$1,'Assumptions (Oil G&amp;T)'!$B$76,Model!$AM$3174)</f>
        <v>-0.83322470932786097</v>
      </c>
      <c r="AU3213" s="377">
        <f>PPMT('Assumptions (Oil G&amp;T)'!$B$73,Model!AE$1,'Assumptions (Oil G&amp;T)'!$B$76,Model!$AM$3174)</f>
        <v>-0.89571656252745069</v>
      </c>
      <c r="AV3213" s="377">
        <f>PPMT('Assumptions (Oil G&amp;T)'!$B$73,Model!AF$1,'Assumptions (Oil G&amp;T)'!$B$76,Model!$AM$3174)</f>
        <v>-0.96289530471700946</v>
      </c>
      <c r="AW3213" s="377">
        <f>PPMT('Assumptions (Oil G&amp;T)'!$B$73,Model!AG$1,'Assumptions (Oil G&amp;T)'!$B$76,Model!$AM$3174)</f>
        <v>-1.0351124525707851</v>
      </c>
      <c r="AX3213" s="377">
        <f>PPMT('Assumptions (Oil G&amp;T)'!$B$73,Model!AH$1,'Assumptions (Oil G&amp;T)'!$B$76,Model!$AM$3174)</f>
        <v>-1.112745886513594</v>
      </c>
      <c r="AY3213" s="377">
        <f>PPMT('Assumptions (Oil G&amp;T)'!$B$73,Model!AI$1,'Assumptions (Oil G&amp;T)'!$B$76,Model!$AM$3174)</f>
        <v>-1.1962018280021136</v>
      </c>
      <c r="AZ3213" s="377">
        <f>PPMT('Assumptions (Oil G&amp;T)'!$B$73,Model!AJ$1,'Assumptions (Oil G&amp;T)'!$B$76,Model!$AM$3174)</f>
        <v>-1.2859169651022719</v>
      </c>
      <c r="BA3213" s="377">
        <f>PPMT('Assumptions (Oil G&amp;T)'!$B$73,Model!AK$1,'Assumptions (Oil G&amp;T)'!$B$76,Model!$AM$3174)</f>
        <v>-1.3823607374849423</v>
      </c>
      <c r="BB3213" s="377" t="e">
        <f>PPMT('Assumptions (Oil G&amp;T)'!$B$73,Model!AL$1,'Assumptions (Oil G&amp;T)'!$B$76,Model!$AM$3174)</f>
        <v>#NUM!</v>
      </c>
      <c r="BC3213" s="377" t="e">
        <f>PPMT('Assumptions (Oil G&amp;T)'!$B$73,Model!AM$1,'Assumptions (Oil G&amp;T)'!$B$76,Model!$AM$3174)</f>
        <v>#NUM!</v>
      </c>
      <c r="BD3213" s="377" t="e">
        <f>PPMT('Assumptions (Oil G&amp;T)'!$B$73,Model!AN$1,'Assumptions (Oil G&amp;T)'!$B$76,Model!$AM$3174)</f>
        <v>#NUM!</v>
      </c>
      <c r="BE3213" s="377" t="e">
        <f>PPMT('Assumptions (Oil G&amp;T)'!$B$73,Model!AO$1,'Assumptions (Oil G&amp;T)'!$B$76,Model!$AM$3174)</f>
        <v>#NUM!</v>
      </c>
      <c r="BF3213" s="377" t="e">
        <f>PPMT('Assumptions (Oil G&amp;T)'!$B$73,Model!AP$1,'Assumptions (Oil G&amp;T)'!$B$76,Model!$AM$3174)</f>
        <v>#NUM!</v>
      </c>
      <c r="BG3213" s="377" t="e">
        <f>PPMT('Assumptions (Oil G&amp;T)'!$B$73,Model!AQ$1,'Assumptions (Oil G&amp;T)'!$B$76,Model!$AM$3174)</f>
        <v>#NUM!</v>
      </c>
      <c r="BH3213" s="377" t="e">
        <f>PPMT('Assumptions (Oil G&amp;T)'!$B$73,Model!AR$1,'Assumptions (Oil G&amp;T)'!$B$76,Model!$AM$3174)</f>
        <v>#NUM!</v>
      </c>
      <c r="BI3213" s="377" t="e">
        <f>PPMT('Assumptions (Oil G&amp;T)'!$B$73,Model!AS$1,'Assumptions (Oil G&amp;T)'!$B$76,Model!$AM$3174)</f>
        <v>#NUM!</v>
      </c>
      <c r="BJ3213" s="377" t="e">
        <f>PPMT('Assumptions (Oil G&amp;T)'!$B$73,Model!AT$1,'Assumptions (Oil G&amp;T)'!$B$76,Model!$AM$3174)</f>
        <v>#NUM!</v>
      </c>
      <c r="BK3213" s="377" t="e">
        <f>PPMT('Assumptions (Oil G&amp;T)'!$B$73,Model!AU$1,'Assumptions (Oil G&amp;T)'!$B$76,Model!$AM$3174)</f>
        <v>#NUM!</v>
      </c>
    </row>
    <row r="3214" spans="1:66" ht="15.75" hidden="1" customHeight="1" outlineLevel="1">
      <c r="A3214" s="468"/>
      <c r="B3214" s="99"/>
      <c r="C3214" s="377"/>
      <c r="D3214" s="377"/>
      <c r="E3214" s="377"/>
      <c r="F3214" s="377"/>
      <c r="G3214" s="377"/>
      <c r="H3214" s="377"/>
      <c r="I3214" s="377"/>
      <c r="J3214" s="377"/>
      <c r="K3214" s="377"/>
      <c r="L3214" s="377"/>
      <c r="M3214" s="377"/>
      <c r="N3214" s="377"/>
      <c r="O3214" s="377"/>
      <c r="P3214" s="377"/>
      <c r="Q3214" s="377"/>
      <c r="R3214" s="377"/>
      <c r="S3214" s="42"/>
      <c r="T3214" s="42"/>
      <c r="U3214" s="42"/>
      <c r="V3214" s="42"/>
      <c r="W3214" s="86"/>
      <c r="AN3214" s="377">
        <f>PPMT('Assumptions (Oil G&amp;T)'!$B$73,Model!W$1,'Assumptions (Oil G&amp;T)'!$B$76,Model!$AN$3174)</f>
        <v>-0.50004193814563414</v>
      </c>
      <c r="AO3214" s="377">
        <f>PPMT('Assumptions (Oil G&amp;T)'!$B$73,Model!X$1,'Assumptions (Oil G&amp;T)'!$B$76,Model!$AN$3174)</f>
        <v>-0.53754508350655661</v>
      </c>
      <c r="AP3214" s="377">
        <f>PPMT('Assumptions (Oil G&amp;T)'!$B$73,Model!Y$1,'Assumptions (Oil G&amp;T)'!$B$76,Model!$AN$3174)</f>
        <v>-0.57786096476954851</v>
      </c>
      <c r="AQ3214" s="377">
        <f>PPMT('Assumptions (Oil G&amp;T)'!$B$73,Model!Z$1,'Assumptions (Oil G&amp;T)'!$B$76,Model!$AN$3174)</f>
        <v>-0.62120053712726453</v>
      </c>
      <c r="AR3214" s="377">
        <f>PPMT('Assumptions (Oil G&amp;T)'!$B$73,Model!AA$1,'Assumptions (Oil G&amp;T)'!$B$76,Model!$AN$3174)</f>
        <v>-0.66779057741180936</v>
      </c>
      <c r="AS3214" s="377">
        <f>PPMT('Assumptions (Oil G&amp;T)'!$B$73,Model!AB$1,'Assumptions (Oil G&amp;T)'!$B$76,Model!$AN$3174)</f>
        <v>-0.71787487071769507</v>
      </c>
      <c r="AT3214" s="377">
        <f>PPMT('Assumptions (Oil G&amp;T)'!$B$73,Model!AC$1,'Assumptions (Oil G&amp;T)'!$B$76,Model!$AN$3174)</f>
        <v>-0.77171548602152218</v>
      </c>
      <c r="AU3214" s="377">
        <f>PPMT('Assumptions (Oil G&amp;T)'!$B$73,Model!AD$1,'Assumptions (Oil G&amp;T)'!$B$76,Model!$AN$3174)</f>
        <v>-0.82959414747313631</v>
      </c>
      <c r="AV3214" s="377">
        <f>PPMT('Assumptions (Oil G&amp;T)'!$B$73,Model!AE$1,'Assumptions (Oil G&amp;T)'!$B$76,Model!$AN$3174)</f>
        <v>-0.89181370853362163</v>
      </c>
      <c r="AW3214" s="377">
        <f>PPMT('Assumptions (Oil G&amp;T)'!$B$73,Model!AF$1,'Assumptions (Oil G&amp;T)'!$B$76,Model!$AN$3174)</f>
        <v>-0.95869973667364317</v>
      </c>
      <c r="AX3214" s="377">
        <f>PPMT('Assumptions (Oil G&amp;T)'!$B$73,Model!AG$1,'Assumptions (Oil G&amp;T)'!$B$76,Model!$AN$3174)</f>
        <v>-1.0306022169241664</v>
      </c>
      <c r="AY3214" s="377">
        <f>PPMT('Assumptions (Oil G&amp;T)'!$B$73,Model!AH$1,'Assumptions (Oil G&amp;T)'!$B$76,Model!$AN$3174)</f>
        <v>-1.1078973831934789</v>
      </c>
      <c r="AZ3214" s="377">
        <f>PPMT('Assumptions (Oil G&amp;T)'!$B$73,Model!AI$1,'Assumptions (Oil G&amp;T)'!$B$76,Model!$AN$3174)</f>
        <v>-1.1909896869329897</v>
      </c>
      <c r="BA3214" s="377">
        <f>PPMT('Assumptions (Oil G&amp;T)'!$B$73,Model!AJ$1,'Assumptions (Oil G&amp;T)'!$B$76,Model!$AN$3174)</f>
        <v>-1.2803139134529642</v>
      </c>
      <c r="BB3214" s="377">
        <f>PPMT('Assumptions (Oil G&amp;T)'!$B$73,Model!AK$1,'Assumptions (Oil G&amp;T)'!$B$76,Model!$AN$3174)</f>
        <v>-1.3763374569619362</v>
      </c>
      <c r="BC3214" s="377" t="e">
        <f>PPMT('Assumptions (Oil G&amp;T)'!$B$73,Model!AL$1,'Assumptions (Oil G&amp;T)'!$B$76,Model!$AN$3174)</f>
        <v>#NUM!</v>
      </c>
      <c r="BD3214" s="377" t="e">
        <f>PPMT('Assumptions (Oil G&amp;T)'!$B$73,Model!AM$1,'Assumptions (Oil G&amp;T)'!$B$76,Model!$AN$3174)</f>
        <v>#NUM!</v>
      </c>
      <c r="BE3214" s="377" t="e">
        <f>PPMT('Assumptions (Oil G&amp;T)'!$B$73,Model!AN$1,'Assumptions (Oil G&amp;T)'!$B$76,Model!$AN$3174)</f>
        <v>#NUM!</v>
      </c>
      <c r="BF3214" s="377" t="e">
        <f>PPMT('Assumptions (Oil G&amp;T)'!$B$73,Model!AO$1,'Assumptions (Oil G&amp;T)'!$B$76,Model!$AN$3174)</f>
        <v>#NUM!</v>
      </c>
      <c r="BG3214" s="377" t="e">
        <f>PPMT('Assumptions (Oil G&amp;T)'!$B$73,Model!AP$1,'Assumptions (Oil G&amp;T)'!$B$76,Model!$AN$3174)</f>
        <v>#NUM!</v>
      </c>
      <c r="BH3214" s="377" t="e">
        <f>PPMT('Assumptions (Oil G&amp;T)'!$B$73,Model!AQ$1,'Assumptions (Oil G&amp;T)'!$B$76,Model!$AN$3174)</f>
        <v>#NUM!</v>
      </c>
      <c r="BI3214" s="377" t="e">
        <f>PPMT('Assumptions (Oil G&amp;T)'!$B$73,Model!AR$1,'Assumptions (Oil G&amp;T)'!$B$76,Model!$AN$3174)</f>
        <v>#NUM!</v>
      </c>
      <c r="BJ3214" s="377" t="e">
        <f>PPMT('Assumptions (Oil G&amp;T)'!$B$73,Model!AS$1,'Assumptions (Oil G&amp;T)'!$B$76,Model!$AN$3174)</f>
        <v>#NUM!</v>
      </c>
      <c r="BK3214" s="377" t="e">
        <f>PPMT('Assumptions (Oil G&amp;T)'!$B$73,Model!AT$1,'Assumptions (Oil G&amp;T)'!$B$76,Model!$AN$3174)</f>
        <v>#NUM!</v>
      </c>
      <c r="BL3214" s="377" t="e">
        <f>PPMT('Assumptions (Oil G&amp;T)'!$B$73,Model!AU$1,'Assumptions (Oil G&amp;T)'!$B$76,Model!$AN$3174)</f>
        <v>#NUM!</v>
      </c>
    </row>
    <row r="3215" spans="1:66" ht="15.75" hidden="1" customHeight="1" outlineLevel="1">
      <c r="A3215" s="468"/>
      <c r="B3215" s="99"/>
      <c r="C3215" s="377"/>
      <c r="D3215" s="377"/>
      <c r="E3215" s="377"/>
      <c r="F3215" s="377"/>
      <c r="G3215" s="377"/>
      <c r="H3215" s="377"/>
      <c r="I3215" s="377"/>
      <c r="J3215" s="377"/>
      <c r="K3215" s="377"/>
      <c r="L3215" s="377"/>
      <c r="M3215" s="377"/>
      <c r="N3215" s="377"/>
      <c r="O3215" s="377"/>
      <c r="P3215" s="377"/>
      <c r="Q3215" s="377"/>
      <c r="R3215" s="377"/>
      <c r="S3215" s="42"/>
      <c r="T3215" s="42"/>
      <c r="U3215" s="42"/>
      <c r="V3215" s="42"/>
      <c r="W3215" s="86"/>
      <c r="AO3215" s="377">
        <f>PPMT('Assumptions (Oil G&amp;T)'!$B$73,Model!W$1,'Assumptions (Oil G&amp;T)'!$B$76,Model!$AO$3174)</f>
        <v>-0.49862139727530047</v>
      </c>
      <c r="AP3215" s="377">
        <f>PPMT('Assumptions (Oil G&amp;T)'!$B$73,Model!X$1,'Assumptions (Oil G&amp;T)'!$B$76,Model!$AO$3174)</f>
        <v>-0.53601800207094807</v>
      </c>
      <c r="AQ3215" s="377">
        <f>PPMT('Assumptions (Oil G&amp;T)'!$B$73,Model!Y$1,'Assumptions (Oil G&amp;T)'!$B$76,Model!$AO$3174)</f>
        <v>-0.57621935222626919</v>
      </c>
      <c r="AR3215" s="377">
        <f>PPMT('Assumptions (Oil G&amp;T)'!$B$73,Model!Z$1,'Assumptions (Oil G&amp;T)'!$B$76,Model!$AO$3174)</f>
        <v>-0.61943580364323936</v>
      </c>
      <c r="AS3215" s="377">
        <f>PPMT('Assumptions (Oil G&amp;T)'!$B$73,Model!AA$1,'Assumptions (Oil G&amp;T)'!$B$76,Model!$AO$3174)</f>
        <v>-0.66589348891648226</v>
      </c>
      <c r="AT3215" s="377">
        <f>PPMT('Assumptions (Oil G&amp;T)'!$B$73,Model!AB$1,'Assumptions (Oil G&amp;T)'!$B$76,Model!$AO$3174)</f>
        <v>-0.7158355005852185</v>
      </c>
      <c r="AU3215" s="377">
        <f>PPMT('Assumptions (Oil G&amp;T)'!$B$73,Model!AC$1,'Assumptions (Oil G&amp;T)'!$B$76,Model!$AO$3174)</f>
        <v>-0.76952316312910984</v>
      </c>
      <c r="AV3215" s="377">
        <f>PPMT('Assumptions (Oil G&amp;T)'!$B$73,Model!AD$1,'Assumptions (Oil G&amp;T)'!$B$76,Model!$AO$3174)</f>
        <v>-0.82723740036379301</v>
      </c>
      <c r="AW3215" s="377">
        <f>PPMT('Assumptions (Oil G&amp;T)'!$B$73,Model!AE$1,'Assumptions (Oil G&amp;T)'!$B$76,Model!$AO$3174)</f>
        <v>-0.88928020539107755</v>
      </c>
      <c r="AX3215" s="377">
        <f>PPMT('Assumptions (Oil G&amp;T)'!$B$73,Model!AF$1,'Assumptions (Oil G&amp;T)'!$B$76,Model!$AO$3174)</f>
        <v>-0.95597622079540834</v>
      </c>
      <c r="AY3215" s="377">
        <f>PPMT('Assumptions (Oil G&amp;T)'!$B$73,Model!AG$1,'Assumptions (Oil G&amp;T)'!$B$76,Model!$AO$3174)</f>
        <v>-1.0276744373550639</v>
      </c>
      <c r="AZ3215" s="377">
        <f>PPMT('Assumptions (Oil G&amp;T)'!$B$73,Model!AH$1,'Assumptions (Oil G&amp;T)'!$B$76,Model!$AO$3174)</f>
        <v>-1.1047500201566935</v>
      </c>
      <c r="BA3215" s="377">
        <f>PPMT('Assumptions (Oil G&amp;T)'!$B$73,Model!AI$1,'Assumptions (Oil G&amp;T)'!$B$76,Model!$AO$3174)</f>
        <v>-1.1876062716684457</v>
      </c>
      <c r="BB3215" s="377">
        <f>PPMT('Assumptions (Oil G&amp;T)'!$B$73,Model!AJ$1,'Assumptions (Oil G&amp;T)'!$B$76,Model!$AO$3174)</f>
        <v>-1.2766767420435794</v>
      </c>
      <c r="BC3215" s="377">
        <f>PPMT('Assumptions (Oil G&amp;T)'!$B$73,Model!AK$1,'Assumptions (Oil G&amp;T)'!$B$76,Model!$AO$3174)</f>
        <v>-1.3724274976968476</v>
      </c>
      <c r="BD3215" s="377" t="e">
        <f>PPMT('Assumptions (Oil G&amp;T)'!$B$73,Model!AL$1,'Assumptions (Oil G&amp;T)'!$B$76,Model!$AO$3174)</f>
        <v>#NUM!</v>
      </c>
      <c r="BE3215" s="377" t="e">
        <f>PPMT('Assumptions (Oil G&amp;T)'!$B$73,Model!AM$1,'Assumptions (Oil G&amp;T)'!$B$76,Model!$AO$3174)</f>
        <v>#NUM!</v>
      </c>
      <c r="BF3215" s="377" t="e">
        <f>PPMT('Assumptions (Oil G&amp;T)'!$B$73,Model!AN$1,'Assumptions (Oil G&amp;T)'!$B$76,Model!$AO$3174)</f>
        <v>#NUM!</v>
      </c>
      <c r="BG3215" s="377" t="e">
        <f>PPMT('Assumptions (Oil G&amp;T)'!$B$73,Model!AO$1,'Assumptions (Oil G&amp;T)'!$B$76,Model!$AO$3174)</f>
        <v>#NUM!</v>
      </c>
      <c r="BH3215" s="377" t="e">
        <f>PPMT('Assumptions (Oil G&amp;T)'!$B$73,Model!AP$1,'Assumptions (Oil G&amp;T)'!$B$76,Model!$AO$3174)</f>
        <v>#NUM!</v>
      </c>
      <c r="BI3215" s="377" t="e">
        <f>PPMT('Assumptions (Oil G&amp;T)'!$B$73,Model!AQ$1,'Assumptions (Oil G&amp;T)'!$B$76,Model!$AO$3174)</f>
        <v>#NUM!</v>
      </c>
      <c r="BJ3215" s="377" t="e">
        <f>PPMT('Assumptions (Oil G&amp;T)'!$B$73,Model!AR$1,'Assumptions (Oil G&amp;T)'!$B$76,Model!$AO$3174)</f>
        <v>#NUM!</v>
      </c>
      <c r="BK3215" s="377" t="e">
        <f>PPMT('Assumptions (Oil G&amp;T)'!$B$73,Model!AS$1,'Assumptions (Oil G&amp;T)'!$B$76,Model!$AO$3174)</f>
        <v>#NUM!</v>
      </c>
      <c r="BL3215" s="377" t="e">
        <f>PPMT('Assumptions (Oil G&amp;T)'!$B$73,Model!AT$1,'Assumptions (Oil G&amp;T)'!$B$76,Model!$AO$3174)</f>
        <v>#NUM!</v>
      </c>
      <c r="BM3215" s="377" t="e">
        <f>PPMT('Assumptions (Oil G&amp;T)'!$B$73,Model!AU$1,'Assumptions (Oil G&amp;T)'!$B$76,Model!$AO$3174)</f>
        <v>#NUM!</v>
      </c>
    </row>
    <row r="3216" spans="1:66" ht="15.75" hidden="1" customHeight="1" outlineLevel="1">
      <c r="A3216" s="468"/>
      <c r="B3216" s="99"/>
      <c r="C3216" s="377"/>
      <c r="D3216" s="377"/>
      <c r="E3216" s="377"/>
      <c r="F3216" s="377"/>
      <c r="G3216" s="377"/>
      <c r="H3216" s="377"/>
      <c r="I3216" s="377"/>
      <c r="J3216" s="377"/>
      <c r="K3216" s="377"/>
      <c r="L3216" s="377"/>
      <c r="M3216" s="377"/>
      <c r="N3216" s="377"/>
      <c r="O3216" s="377"/>
      <c r="P3216" s="377"/>
      <c r="Q3216" s="377"/>
      <c r="R3216" s="377"/>
      <c r="S3216" s="42"/>
      <c r="T3216" s="42"/>
      <c r="U3216" s="42"/>
      <c r="V3216" s="42"/>
      <c r="W3216" s="86"/>
      <c r="AP3216" s="377">
        <f>PPMT('Assumptions (Oil G&amp;T)'!$B$73,Model!W$1,'Assumptions (Oil G&amp;T)'!$B$76,Model!$AP$3174)</f>
        <v>-0.49736759568392291</v>
      </c>
      <c r="AQ3216" s="377">
        <f>PPMT('Assumptions (Oil G&amp;T)'!$B$73,Model!X$1,'Assumptions (Oil G&amp;T)'!$B$76,Model!$AP$3174)</f>
        <v>-0.53467016536021716</v>
      </c>
      <c r="AR3216" s="377">
        <f>PPMT('Assumptions (Oil G&amp;T)'!$B$73,Model!Y$1,'Assumptions (Oil G&amp;T)'!$B$76,Model!$AP$3174)</f>
        <v>-0.57477042776223353</v>
      </c>
      <c r="AS3216" s="377">
        <f>PPMT('Assumptions (Oil G&amp;T)'!$B$73,Model!Z$1,'Assumptions (Oil G&amp;T)'!$B$76,Model!$AP$3174)</f>
        <v>-0.61787820984440089</v>
      </c>
      <c r="AT3216" s="377">
        <f>PPMT('Assumptions (Oil G&amp;T)'!$B$73,Model!AA$1,'Assumptions (Oil G&amp;T)'!$B$76,Model!$AP$3174)</f>
        <v>-0.66421907558273097</v>
      </c>
      <c r="AU3216" s="377">
        <f>PPMT('Assumptions (Oil G&amp;T)'!$B$73,Model!AB$1,'Assumptions (Oil G&amp;T)'!$B$76,Model!$AP$3174)</f>
        <v>-0.71403550625143586</v>
      </c>
      <c r="AV3216" s="377">
        <f>PPMT('Assumptions (Oil G&amp;T)'!$B$73,Model!AC$1,'Assumptions (Oil G&amp;T)'!$B$76,Model!$AP$3174)</f>
        <v>-0.76758816922029349</v>
      </c>
      <c r="AW3216" s="377">
        <f>PPMT('Assumptions (Oil G&amp;T)'!$B$73,Model!AD$1,'Assumptions (Oil G&amp;T)'!$B$76,Model!$AP$3174)</f>
        <v>-0.82515728191181548</v>
      </c>
      <c r="AX3216" s="377">
        <f>PPMT('Assumptions (Oil G&amp;T)'!$B$73,Model!AE$1,'Assumptions (Oil G&amp;T)'!$B$76,Model!$AP$3174)</f>
        <v>-0.88704407805520169</v>
      </c>
      <c r="AY3216" s="377">
        <f>PPMT('Assumptions (Oil G&amp;T)'!$B$73,Model!AF$1,'Assumptions (Oil G&amp;T)'!$B$76,Model!$AP$3174)</f>
        <v>-0.95357238390934196</v>
      </c>
      <c r="AZ3216" s="377">
        <f>PPMT('Assumptions (Oil G&amp;T)'!$B$73,Model!AG$1,'Assumptions (Oil G&amp;T)'!$B$76,Model!$AP$3174)</f>
        <v>-1.0250903127025424</v>
      </c>
      <c r="BA3216" s="377">
        <f>PPMT('Assumptions (Oil G&amp;T)'!$B$73,Model!AH$1,'Assumptions (Oil G&amp;T)'!$B$76,Model!$AP$3174)</f>
        <v>-1.1019720861552331</v>
      </c>
      <c r="BB3216" s="377">
        <f>PPMT('Assumptions (Oil G&amp;T)'!$B$73,Model!AI$1,'Assumptions (Oil G&amp;T)'!$B$76,Model!$AP$3174)</f>
        <v>-1.1846199926168757</v>
      </c>
      <c r="BC3216" s="377">
        <f>PPMT('Assumptions (Oil G&amp;T)'!$B$73,Model!AJ$1,'Assumptions (Oil G&amp;T)'!$B$76,Model!$AP$3174)</f>
        <v>-1.2734664920631416</v>
      </c>
      <c r="BD3216" s="377">
        <f>PPMT('Assumptions (Oil G&amp;T)'!$B$73,Model!AK$1,'Assumptions (Oil G&amp;T)'!$B$76,Model!$AP$3174)</f>
        <v>-1.3689764789678769</v>
      </c>
      <c r="BE3216" s="377" t="e">
        <f>PPMT('Assumptions (Oil G&amp;T)'!$B$73,Model!AL$1,'Assumptions (Oil G&amp;T)'!$B$76,Model!$AP$3174)</f>
        <v>#NUM!</v>
      </c>
      <c r="BF3216" s="377" t="e">
        <f>PPMT('Assumptions (Oil G&amp;T)'!$B$73,Model!AM$1,'Assumptions (Oil G&amp;T)'!$B$76,Model!$AP$3174)</f>
        <v>#NUM!</v>
      </c>
      <c r="BG3216" s="377" t="e">
        <f>PPMT('Assumptions (Oil G&amp;T)'!$B$73,Model!AN$1,'Assumptions (Oil G&amp;T)'!$B$76,Model!$AP$3174)</f>
        <v>#NUM!</v>
      </c>
      <c r="BH3216" s="377" t="e">
        <f>PPMT('Assumptions (Oil G&amp;T)'!$B$73,Model!AO$1,'Assumptions (Oil G&amp;T)'!$B$76,Model!$AP$3174)</f>
        <v>#NUM!</v>
      </c>
      <c r="BI3216" s="377" t="e">
        <f>PPMT('Assumptions (Oil G&amp;T)'!$B$73,Model!AP$1,'Assumptions (Oil G&amp;T)'!$B$76,Model!$AP$3174)</f>
        <v>#NUM!</v>
      </c>
      <c r="BJ3216" s="377" t="e">
        <f>PPMT('Assumptions (Oil G&amp;T)'!$B$73,Model!AQ$1,'Assumptions (Oil G&amp;T)'!$B$76,Model!$AP$3174)</f>
        <v>#NUM!</v>
      </c>
      <c r="BK3216" s="377" t="e">
        <f>PPMT('Assumptions (Oil G&amp;T)'!$B$73,Model!AR$1,'Assumptions (Oil G&amp;T)'!$B$76,Model!$AP$3174)</f>
        <v>#NUM!</v>
      </c>
      <c r="BL3216" s="377" t="e">
        <f>PPMT('Assumptions (Oil G&amp;T)'!$B$73,Model!AS$1,'Assumptions (Oil G&amp;T)'!$B$76,Model!$AP$3174)</f>
        <v>#NUM!</v>
      </c>
      <c r="BM3216" s="377" t="e">
        <f>PPMT('Assumptions (Oil G&amp;T)'!$B$73,Model!AT$1,'Assumptions (Oil G&amp;T)'!$B$76,Model!$AP$3174)</f>
        <v>#NUM!</v>
      </c>
      <c r="BN3216" s="377" t="e">
        <f>PPMT('Assumptions (Oil G&amp;T)'!$B$73,Model!AU$1,'Assumptions (Oil G&amp;T)'!$B$76,Model!$AP$3174)</f>
        <v>#NUM!</v>
      </c>
    </row>
    <row r="3217" spans="1:77" ht="15.75" hidden="1" customHeight="1" outlineLevel="1">
      <c r="A3217" s="468"/>
      <c r="B3217" s="99"/>
      <c r="C3217" s="377"/>
      <c r="D3217" s="377"/>
      <c r="E3217" s="377"/>
      <c r="F3217" s="377"/>
      <c r="G3217" s="377"/>
      <c r="H3217" s="377"/>
      <c r="I3217" s="377"/>
      <c r="J3217" s="377"/>
      <c r="K3217" s="377"/>
      <c r="L3217" s="377"/>
      <c r="M3217" s="377"/>
      <c r="N3217" s="377"/>
      <c r="O3217" s="377"/>
      <c r="P3217" s="377"/>
      <c r="Q3217" s="377"/>
      <c r="R3217" s="377"/>
      <c r="S3217" s="42"/>
      <c r="T3217" s="42"/>
      <c r="U3217" s="42"/>
      <c r="V3217" s="42"/>
      <c r="W3217" s="86"/>
      <c r="AQ3217" s="377">
        <f>PPMT('Assumptions (Oil G&amp;T)'!$B$73,Model!W$1,'Assumptions (Oil G&amp;T)'!$B$76,Model!$AQ$3174)</f>
        <v>-0.49605113185281691</v>
      </c>
      <c r="AR3217" s="377">
        <f>PPMT('Assumptions (Oil G&amp;T)'!$B$73,Model!X$1,'Assumptions (Oil G&amp;T)'!$B$76,Model!$AQ$3174)</f>
        <v>-0.53325496674177819</v>
      </c>
      <c r="AS3217" s="377">
        <f>PPMT('Assumptions (Oil G&amp;T)'!$B$73,Model!Y$1,'Assumptions (Oil G&amp;T)'!$B$76,Model!$AQ$3174)</f>
        <v>-0.57324908924741169</v>
      </c>
      <c r="AT3217" s="377">
        <f>PPMT('Assumptions (Oil G&amp;T)'!$B$73,Model!Z$1,'Assumptions (Oil G&amp;T)'!$B$76,Model!$AQ$3174)</f>
        <v>-0.61624277094096735</v>
      </c>
      <c r="AU3217" s="377">
        <f>PPMT('Assumptions (Oil G&amp;T)'!$B$73,Model!AA$1,'Assumptions (Oil G&amp;T)'!$B$76,Model!$AQ$3174)</f>
        <v>-0.66246097876153998</v>
      </c>
      <c r="AV3217" s="377">
        <f>PPMT('Assumptions (Oil G&amp;T)'!$B$73,Model!AB$1,'Assumptions (Oil G&amp;T)'!$B$76,Model!$AQ$3174)</f>
        <v>-0.71214555216865549</v>
      </c>
      <c r="AW3217" s="377">
        <f>PPMT('Assumptions (Oil G&amp;T)'!$B$73,Model!AC$1,'Assumptions (Oil G&amp;T)'!$B$76,Model!$AQ$3174)</f>
        <v>-0.76555646858130466</v>
      </c>
      <c r="AX3217" s="377">
        <f>PPMT('Assumptions (Oil G&amp;T)'!$B$73,Model!AD$1,'Assumptions (Oil G&amp;T)'!$B$76,Model!$AQ$3174)</f>
        <v>-0.82297320372490246</v>
      </c>
      <c r="AY3217" s="377">
        <f>PPMT('Assumptions (Oil G&amp;T)'!$B$73,Model!AE$1,'Assumptions (Oil G&amp;T)'!$B$76,Model!$AQ$3174)</f>
        <v>-0.88469619400427013</v>
      </c>
      <c r="AZ3217" s="377">
        <f>PPMT('Assumptions (Oil G&amp;T)'!$B$73,Model!AF$1,'Assumptions (Oil G&amp;T)'!$B$76,Model!$AQ$3174)</f>
        <v>-0.95104840855459039</v>
      </c>
      <c r="BA3217" s="377">
        <f>PPMT('Assumptions (Oil G&amp;T)'!$B$73,Model!AG$1,'Assumptions (Oil G&amp;T)'!$B$76,Model!$AQ$3174)</f>
        <v>-1.0223770391961846</v>
      </c>
      <c r="BB3217" s="377">
        <f>PPMT('Assumptions (Oil G&amp;T)'!$B$73,Model!AH$1,'Assumptions (Oil G&amp;T)'!$B$76,Model!$AQ$3174)</f>
        <v>-1.0990553171358985</v>
      </c>
      <c r="BC3217" s="377">
        <f>PPMT('Assumptions (Oil G&amp;T)'!$B$73,Model!AI$1,'Assumptions (Oil G&amp;T)'!$B$76,Model!$AQ$3174)</f>
        <v>-1.181484465921091</v>
      </c>
      <c r="BD3217" s="377">
        <f>PPMT('Assumptions (Oil G&amp;T)'!$B$73,Model!AJ$1,'Assumptions (Oil G&amp;T)'!$B$76,Model!$AQ$3174)</f>
        <v>-1.2700958008651728</v>
      </c>
      <c r="BE3217" s="377">
        <f>PPMT('Assumptions (Oil G&amp;T)'!$B$73,Model!AK$1,'Assumptions (Oil G&amp;T)'!$B$76,Model!$AQ$3174)</f>
        <v>-1.3653529859300606</v>
      </c>
      <c r="BF3217" s="377" t="e">
        <f>PPMT('Assumptions (Oil G&amp;T)'!$B$73,Model!AL$1,'Assumptions (Oil G&amp;T)'!$B$76,Model!$AQ$3174)</f>
        <v>#NUM!</v>
      </c>
      <c r="BG3217" s="377" t="e">
        <f>PPMT('Assumptions (Oil G&amp;T)'!$B$73,Model!AM$1,'Assumptions (Oil G&amp;T)'!$B$76,Model!$AQ$3174)</f>
        <v>#NUM!</v>
      </c>
      <c r="BH3217" s="377" t="e">
        <f>PPMT('Assumptions (Oil G&amp;T)'!$B$73,Model!AN$1,'Assumptions (Oil G&amp;T)'!$B$76,Model!$AQ$3174)</f>
        <v>#NUM!</v>
      </c>
      <c r="BI3217" s="377" t="e">
        <f>PPMT('Assumptions (Oil G&amp;T)'!$B$73,Model!AO$1,'Assumptions (Oil G&amp;T)'!$B$76,Model!$AQ$3174)</f>
        <v>#NUM!</v>
      </c>
      <c r="BJ3217" s="377" t="e">
        <f>PPMT('Assumptions (Oil G&amp;T)'!$B$73,Model!AP$1,'Assumptions (Oil G&amp;T)'!$B$76,Model!$AQ$3174)</f>
        <v>#NUM!</v>
      </c>
      <c r="BK3217" s="377" t="e">
        <f>PPMT('Assumptions (Oil G&amp;T)'!$B$73,Model!AQ$1,'Assumptions (Oil G&amp;T)'!$B$76,Model!$AQ$3174)</f>
        <v>#NUM!</v>
      </c>
      <c r="BL3217" s="377" t="e">
        <f>PPMT('Assumptions (Oil G&amp;T)'!$B$73,Model!AR$1,'Assumptions (Oil G&amp;T)'!$B$76,Model!$AQ$3174)</f>
        <v>#NUM!</v>
      </c>
      <c r="BM3217" s="377" t="e">
        <f>PPMT('Assumptions (Oil G&amp;T)'!$B$73,Model!AS$1,'Assumptions (Oil G&amp;T)'!$B$76,Model!$AQ$3174)</f>
        <v>#NUM!</v>
      </c>
      <c r="BN3217" s="377" t="e">
        <f>PPMT('Assumptions (Oil G&amp;T)'!$B$73,Model!AT$1,'Assumptions (Oil G&amp;T)'!$B$76,Model!$AQ$3174)</f>
        <v>#NUM!</v>
      </c>
      <c r="BO3217" s="377" t="e">
        <f>PPMT('Assumptions (Oil G&amp;T)'!$B$73,Model!AU$1,'Assumptions (Oil G&amp;T)'!$B$76,Model!$AQ$3174)</f>
        <v>#NUM!</v>
      </c>
    </row>
    <row r="3218" spans="1:77" ht="15.75" hidden="1" customHeight="1" outlineLevel="1">
      <c r="A3218" s="468"/>
      <c r="B3218" s="99"/>
      <c r="C3218" s="377"/>
      <c r="D3218" s="377"/>
      <c r="E3218" s="377"/>
      <c r="F3218" s="377"/>
      <c r="G3218" s="377"/>
      <c r="H3218" s="377"/>
      <c r="I3218" s="377"/>
      <c r="J3218" s="377"/>
      <c r="K3218" s="377"/>
      <c r="L3218" s="377"/>
      <c r="M3218" s="377"/>
      <c r="N3218" s="377"/>
      <c r="O3218" s="377"/>
      <c r="P3218" s="377"/>
      <c r="Q3218" s="377"/>
      <c r="R3218" s="377"/>
      <c r="S3218" s="42"/>
      <c r="T3218" s="42"/>
      <c r="U3218" s="42"/>
      <c r="V3218" s="42"/>
      <c r="W3218" s="86"/>
      <c r="AR3218" s="377">
        <f>PPMT('Assumptions (Oil G&amp;T)'!$B$73,Model!W$1,'Assumptions (Oil G&amp;T)'!$B$76,Model!$AR$3174)</f>
        <v>-0.49567044257553572</v>
      </c>
      <c r="AS3218" s="377">
        <f>PPMT('Assumptions (Oil G&amp;T)'!$B$73,Model!X$1,'Assumptions (Oil G&amp;T)'!$B$76,Model!$AR$3174)</f>
        <v>-0.53284572576870093</v>
      </c>
      <c r="AT3218" s="377">
        <f>PPMT('Assumptions (Oil G&amp;T)'!$B$73,Model!Y$1,'Assumptions (Oil G&amp;T)'!$B$76,Model!$AR$3174)</f>
        <v>-0.57280915520135356</v>
      </c>
      <c r="AU3218" s="377">
        <f>PPMT('Assumptions (Oil G&amp;T)'!$B$73,Model!Z$1,'Assumptions (Oil G&amp;T)'!$B$76,Model!$AR$3174)</f>
        <v>-0.615769841841455</v>
      </c>
      <c r="AV3218" s="377">
        <f>PPMT('Assumptions (Oil G&amp;T)'!$B$73,Model!AA$1,'Assumptions (Oil G&amp;T)'!$B$76,Model!$AR$3174)</f>
        <v>-0.66195257997956403</v>
      </c>
      <c r="AW3218" s="377">
        <f>PPMT('Assumptions (Oil G&amp;T)'!$B$73,Model!AB$1,'Assumptions (Oil G&amp;T)'!$B$76,Model!$AR$3174)</f>
        <v>-0.7115990234780315</v>
      </c>
      <c r="AX3218" s="377">
        <f>PPMT('Assumptions (Oil G&amp;T)'!$B$73,Model!AC$1,'Assumptions (Oil G&amp;T)'!$B$76,Model!$AR$3174)</f>
        <v>-0.76496895023888367</v>
      </c>
      <c r="AY3218" s="377">
        <f>PPMT('Assumptions (Oil G&amp;T)'!$B$73,Model!AD$1,'Assumptions (Oil G&amp;T)'!$B$76,Model!$AR$3174)</f>
        <v>-0.82234162150680001</v>
      </c>
      <c r="AZ3218" s="377">
        <f>PPMT('Assumptions (Oil G&amp;T)'!$B$73,Model!AE$1,'Assumptions (Oil G&amp;T)'!$B$76,Model!$AR$3174)</f>
        <v>-0.88401724311981011</v>
      </c>
      <c r="BA3218" s="377">
        <f>PPMT('Assumptions (Oil G&amp;T)'!$B$73,Model!AF$1,'Assumptions (Oil G&amp;T)'!$B$76,Model!$AR$3174)</f>
        <v>-0.95031853635379582</v>
      </c>
      <c r="BB3218" s="377">
        <f>PPMT('Assumptions (Oil G&amp;T)'!$B$73,Model!AG$1,'Assumptions (Oil G&amp;T)'!$B$76,Model!$AR$3174)</f>
        <v>-1.0215924265803304</v>
      </c>
      <c r="BC3218" s="377">
        <f>PPMT('Assumptions (Oil G&amp;T)'!$B$73,Model!AH$1,'Assumptions (Oil G&amp;T)'!$B$76,Model!$AR$3174)</f>
        <v>-1.0982118585738552</v>
      </c>
      <c r="BD3218" s="377">
        <f>PPMT('Assumptions (Oil G&amp;T)'!$B$73,Model!AI$1,'Assumptions (Oil G&amp;T)'!$B$76,Model!$AR$3174)</f>
        <v>-1.1805777479668944</v>
      </c>
      <c r="BE3218" s="377">
        <f>PPMT('Assumptions (Oil G&amp;T)'!$B$73,Model!AJ$1,'Assumptions (Oil G&amp;T)'!$B$76,Model!$AR$3174)</f>
        <v>-1.2691210790644114</v>
      </c>
      <c r="BF3218" s="377">
        <f>PPMT('Assumptions (Oil G&amp;T)'!$B$73,Model!AK$1,'Assumptions (Oil G&amp;T)'!$B$76,Model!$AR$3174)</f>
        <v>-1.3643051599942424</v>
      </c>
      <c r="BG3218" s="377" t="e">
        <f>PPMT('Assumptions (Oil G&amp;T)'!$B$73,Model!AL$1,'Assumptions (Oil G&amp;T)'!$B$76,Model!$AR$3174)</f>
        <v>#NUM!</v>
      </c>
      <c r="BH3218" s="377" t="e">
        <f>PPMT('Assumptions (Oil G&amp;T)'!$B$73,Model!AM$1,'Assumptions (Oil G&amp;T)'!$B$76,Model!$AR$3174)</f>
        <v>#NUM!</v>
      </c>
      <c r="BI3218" s="377" t="e">
        <f>PPMT('Assumptions (Oil G&amp;T)'!$B$73,Model!AN$1,'Assumptions (Oil G&amp;T)'!$B$76,Model!$AR$3174)</f>
        <v>#NUM!</v>
      </c>
      <c r="BJ3218" s="377" t="e">
        <f>PPMT('Assumptions (Oil G&amp;T)'!$B$73,Model!AO$1,'Assumptions (Oil G&amp;T)'!$B$76,Model!$AR$3174)</f>
        <v>#NUM!</v>
      </c>
      <c r="BK3218" s="377" t="e">
        <f>PPMT('Assumptions (Oil G&amp;T)'!$B$73,Model!AP$1,'Assumptions (Oil G&amp;T)'!$B$76,Model!$AR$3174)</f>
        <v>#NUM!</v>
      </c>
      <c r="BL3218" s="377" t="e">
        <f>PPMT('Assumptions (Oil G&amp;T)'!$B$73,Model!AQ$1,'Assumptions (Oil G&amp;T)'!$B$76,Model!$AR$3174)</f>
        <v>#NUM!</v>
      </c>
      <c r="BM3218" s="377" t="e">
        <f>PPMT('Assumptions (Oil G&amp;T)'!$B$73,Model!AR$1,'Assumptions (Oil G&amp;T)'!$B$76,Model!$AR$3174)</f>
        <v>#NUM!</v>
      </c>
      <c r="BN3218" s="377" t="e">
        <f>PPMT('Assumptions (Oil G&amp;T)'!$B$73,Model!AS$1,'Assumptions (Oil G&amp;T)'!$B$76,Model!$AR$3174)</f>
        <v>#NUM!</v>
      </c>
      <c r="BO3218" s="377" t="e">
        <f>PPMT('Assumptions (Oil G&amp;T)'!$B$73,Model!AT$1,'Assumptions (Oil G&amp;T)'!$B$76,Model!$AR$3174)</f>
        <v>#NUM!</v>
      </c>
      <c r="BP3218" s="377" t="e">
        <f>PPMT('Assumptions (Oil G&amp;T)'!$B$73,Model!AU$1,'Assumptions (Oil G&amp;T)'!$B$76,Model!$AR$3174)</f>
        <v>#NUM!</v>
      </c>
    </row>
    <row r="3219" spans="1:77" ht="15.75" hidden="1" customHeight="1" outlineLevel="1">
      <c r="A3219" s="468"/>
      <c r="B3219" s="99"/>
      <c r="C3219" s="377"/>
      <c r="D3219" s="377"/>
      <c r="E3219" s="377"/>
      <c r="F3219" s="377"/>
      <c r="G3219" s="377"/>
      <c r="H3219" s="377"/>
      <c r="I3219" s="377"/>
      <c r="J3219" s="377"/>
      <c r="K3219" s="377"/>
      <c r="L3219" s="377"/>
      <c r="M3219" s="377"/>
      <c r="N3219" s="377"/>
      <c r="O3219" s="377"/>
      <c r="P3219" s="377"/>
      <c r="Q3219" s="377"/>
      <c r="R3219" s="377"/>
      <c r="S3219" s="42"/>
      <c r="T3219" s="42"/>
      <c r="U3219" s="42"/>
      <c r="V3219" s="42"/>
      <c r="W3219" s="86"/>
      <c r="AS3219" s="377">
        <f>PPMT('Assumptions (Oil G&amp;T)'!$B$73,Model!W$1,'Assumptions (Oil G&amp;T)'!$B$76,Model!$AS$3174)</f>
        <v>-0.49471644530937842</v>
      </c>
      <c r="AT3219" s="377">
        <f>PPMT('Assumptions (Oil G&amp;T)'!$B$73,Model!X$1,'Assumptions (Oil G&amp;T)'!$B$76,Model!$AS$3174)</f>
        <v>-0.5318201787075818</v>
      </c>
      <c r="AU3219" s="377">
        <f>PPMT('Assumptions (Oil G&amp;T)'!$B$73,Model!Y$1,'Assumptions (Oil G&amp;T)'!$B$76,Model!$AS$3174)</f>
        <v>-0.57170669211065051</v>
      </c>
      <c r="AV3219" s="377">
        <f>PPMT('Assumptions (Oil G&amp;T)'!$B$73,Model!Z$1,'Assumptions (Oil G&amp;T)'!$B$76,Model!$AS$3174)</f>
        <v>-0.61458469401894922</v>
      </c>
      <c r="AW3219" s="377">
        <f>PPMT('Assumptions (Oil G&amp;T)'!$B$73,Model!AA$1,'Assumptions (Oil G&amp;T)'!$B$76,Model!$AS$3174)</f>
        <v>-0.66067854607037035</v>
      </c>
      <c r="AX3219" s="377">
        <f>PPMT('Assumptions (Oil G&amp;T)'!$B$73,Model!AB$1,'Assumptions (Oil G&amp;T)'!$B$76,Model!$AS$3174)</f>
        <v>-0.71022943702564822</v>
      </c>
      <c r="AY3219" s="377">
        <f>PPMT('Assumptions (Oil G&amp;T)'!$B$73,Model!AC$1,'Assumptions (Oil G&amp;T)'!$B$76,Model!$AS$3174)</f>
        <v>-0.76349664480257184</v>
      </c>
      <c r="AZ3219" s="377">
        <f>PPMT('Assumptions (Oil G&amp;T)'!$B$73,Model!AD$1,'Assumptions (Oil G&amp;T)'!$B$76,Model!$AS$3174)</f>
        <v>-0.82075889316276462</v>
      </c>
      <c r="BA3219" s="377">
        <f>PPMT('Assumptions (Oil G&amp;T)'!$B$73,Model!AE$1,'Assumptions (Oil G&amp;T)'!$B$76,Model!$AS$3174)</f>
        <v>-0.88231581014997207</v>
      </c>
      <c r="BB3219" s="377">
        <f>PPMT('Assumptions (Oil G&amp;T)'!$B$73,Model!AF$1,'Assumptions (Oil G&amp;T)'!$B$76,Model!$AS$3174)</f>
        <v>-0.94848949591122</v>
      </c>
      <c r="BC3219" s="377">
        <f>PPMT('Assumptions (Oil G&amp;T)'!$B$73,Model!AG$1,'Assumptions (Oil G&amp;T)'!$B$76,Model!$AS$3174)</f>
        <v>-1.0196262081045613</v>
      </c>
      <c r="BD3219" s="377">
        <f>PPMT('Assumptions (Oil G&amp;T)'!$B$73,Model!AH$1,'Assumptions (Oil G&amp;T)'!$B$76,Model!$AS$3174)</f>
        <v>-1.0960981737124034</v>
      </c>
      <c r="BE3219" s="377">
        <f>PPMT('Assumptions (Oil G&amp;T)'!$B$73,Model!AI$1,'Assumptions (Oil G&amp;T)'!$B$76,Model!$AS$3174)</f>
        <v>-1.1783055367408337</v>
      </c>
      <c r="BF3219" s="377">
        <f>PPMT('Assumptions (Oil G&amp;T)'!$B$73,Model!AJ$1,'Assumptions (Oil G&amp;T)'!$B$76,Model!$AS$3174)</f>
        <v>-1.2666784519963963</v>
      </c>
      <c r="BG3219" s="377">
        <f>PPMT('Assumptions (Oil G&amp;T)'!$B$73,Model!AK$1,'Assumptions (Oil G&amp;T)'!$B$76,Model!$AS$3174)</f>
        <v>-1.3616793358961259</v>
      </c>
      <c r="BH3219" s="377" t="e">
        <f>PPMT('Assumptions (Oil G&amp;T)'!$B$73,Model!AL$1,'Assumptions (Oil G&amp;T)'!$B$76,Model!$AS$3174)</f>
        <v>#NUM!</v>
      </c>
      <c r="BI3219" s="377" t="e">
        <f>PPMT('Assumptions (Oil G&amp;T)'!$B$73,Model!AM$1,'Assumptions (Oil G&amp;T)'!$B$76,Model!$AS$3174)</f>
        <v>#NUM!</v>
      </c>
      <c r="BJ3219" s="377" t="e">
        <f>PPMT('Assumptions (Oil G&amp;T)'!$B$73,Model!AN$1,'Assumptions (Oil G&amp;T)'!$B$76,Model!$AS$3174)</f>
        <v>#NUM!</v>
      </c>
      <c r="BK3219" s="377" t="e">
        <f>PPMT('Assumptions (Oil G&amp;T)'!$B$73,Model!AO$1,'Assumptions (Oil G&amp;T)'!$B$76,Model!$AS$3174)</f>
        <v>#NUM!</v>
      </c>
      <c r="BL3219" s="377" t="e">
        <f>PPMT('Assumptions (Oil G&amp;T)'!$B$73,Model!AP$1,'Assumptions (Oil G&amp;T)'!$B$76,Model!$AS$3174)</f>
        <v>#NUM!</v>
      </c>
      <c r="BM3219" s="377" t="e">
        <f>PPMT('Assumptions (Oil G&amp;T)'!$B$73,Model!AQ$1,'Assumptions (Oil G&amp;T)'!$B$76,Model!$AS$3174)</f>
        <v>#NUM!</v>
      </c>
      <c r="BN3219" s="377" t="e">
        <f>PPMT('Assumptions (Oil G&amp;T)'!$B$73,Model!AR$1,'Assumptions (Oil G&amp;T)'!$B$76,Model!$AS$3174)</f>
        <v>#NUM!</v>
      </c>
      <c r="BO3219" s="377" t="e">
        <f>PPMT('Assumptions (Oil G&amp;T)'!$B$73,Model!AS$1,'Assumptions (Oil G&amp;T)'!$B$76,Model!$AS$3174)</f>
        <v>#NUM!</v>
      </c>
      <c r="BP3219" s="377" t="e">
        <f>PPMT('Assumptions (Oil G&amp;T)'!$B$73,Model!AT$1,'Assumptions (Oil G&amp;T)'!$B$76,Model!$AS$3174)</f>
        <v>#NUM!</v>
      </c>
      <c r="BQ3219" s="377" t="e">
        <f>PPMT('Assumptions (Oil G&amp;T)'!$B$73,Model!AU$1,'Assumptions (Oil G&amp;T)'!$B$76,Model!$AS$3174)</f>
        <v>#NUM!</v>
      </c>
    </row>
    <row r="3220" spans="1:77" ht="15.75" hidden="1" customHeight="1" outlineLevel="1">
      <c r="A3220" s="468"/>
      <c r="B3220" s="99"/>
      <c r="C3220" s="377"/>
      <c r="D3220" s="377"/>
      <c r="E3220" s="377"/>
      <c r="F3220" s="377"/>
      <c r="G3220" s="377"/>
      <c r="H3220" s="377"/>
      <c r="I3220" s="377"/>
      <c r="J3220" s="377"/>
      <c r="K3220" s="377"/>
      <c r="L3220" s="377"/>
      <c r="M3220" s="377"/>
      <c r="N3220" s="377"/>
      <c r="O3220" s="377"/>
      <c r="P3220" s="377"/>
      <c r="Q3220" s="377"/>
      <c r="R3220" s="377"/>
      <c r="S3220" s="42"/>
      <c r="T3220" s="42"/>
      <c r="U3220" s="42"/>
      <c r="V3220" s="42"/>
      <c r="W3220" s="86"/>
      <c r="AT3220" s="377">
        <f>PPMT('Assumptions (Oil G&amp;T)'!$B$73,Model!W$1,'Assumptions (Oil G&amp;T)'!$B$76,Model!$AT$3174)</f>
        <v>-0.49324527973864618</v>
      </c>
      <c r="AU3220" s="377">
        <f>PPMT('Assumptions (Oil G&amp;T)'!$B$73,Model!X$1,'Assumptions (Oil G&amp;T)'!$B$76,Model!$AT$3174)</f>
        <v>-0.53023867571904459</v>
      </c>
      <c r="AV3220" s="377">
        <f>PPMT('Assumptions (Oil G&amp;T)'!$B$73,Model!Y$1,'Assumptions (Oil G&amp;T)'!$B$76,Model!$AT$3174)</f>
        <v>-0.57000657639797303</v>
      </c>
      <c r="AW3220" s="377">
        <f>PPMT('Assumptions (Oil G&amp;T)'!$B$73,Model!Z$1,'Assumptions (Oil G&amp;T)'!$B$76,Model!$AT$3174)</f>
        <v>-0.61275706962782095</v>
      </c>
      <c r="AX3220" s="377">
        <f>PPMT('Assumptions (Oil G&amp;T)'!$B$73,Model!AA$1,'Assumptions (Oil G&amp;T)'!$B$76,Model!$AT$3174)</f>
        <v>-0.65871384984990755</v>
      </c>
      <c r="AY3220" s="377">
        <f>PPMT('Assumptions (Oil G&amp;T)'!$B$73,Model!AB$1,'Assumptions (Oil G&amp;T)'!$B$76,Model!$AT$3174)</f>
        <v>-0.70811738858865059</v>
      </c>
      <c r="AZ3220" s="377">
        <f>PPMT('Assumptions (Oil G&amp;T)'!$B$73,Model!AC$1,'Assumptions (Oil G&amp;T)'!$B$76,Model!$AT$3174)</f>
        <v>-0.76122619273279946</v>
      </c>
      <c r="BA3220" s="377">
        <f>PPMT('Assumptions (Oil G&amp;T)'!$B$73,Model!AD$1,'Assumptions (Oil G&amp;T)'!$B$76,Model!$AT$3174)</f>
        <v>-0.81831815718775924</v>
      </c>
      <c r="BB3220" s="377">
        <f>PPMT('Assumptions (Oil G&amp;T)'!$B$73,Model!AE$1,'Assumptions (Oil G&amp;T)'!$B$76,Model!$AT$3174)</f>
        <v>-0.87969201897684135</v>
      </c>
      <c r="BC3220" s="377">
        <f>PPMT('Assumptions (Oil G&amp;T)'!$B$73,Model!AF$1,'Assumptions (Oil G&amp;T)'!$B$76,Model!$AT$3174)</f>
        <v>-0.94566892040010442</v>
      </c>
      <c r="BD3220" s="377">
        <f>PPMT('Assumptions (Oil G&amp;T)'!$B$73,Model!AG$1,'Assumptions (Oil G&amp;T)'!$B$76,Model!$AT$3174)</f>
        <v>-1.0165940894301122</v>
      </c>
      <c r="BE3220" s="377">
        <f>PPMT('Assumptions (Oil G&amp;T)'!$B$73,Model!AH$1,'Assumptions (Oil G&amp;T)'!$B$76,Model!$AT$3174)</f>
        <v>-1.0928386461373705</v>
      </c>
      <c r="BF3220" s="377">
        <f>PPMT('Assumptions (Oil G&amp;T)'!$B$73,Model!AI$1,'Assumptions (Oil G&amp;T)'!$B$76,Model!$AT$3174)</f>
        <v>-1.1748015445976734</v>
      </c>
      <c r="BG3220" s="377">
        <f>PPMT('Assumptions (Oil G&amp;T)'!$B$73,Model!AJ$1,'Assumptions (Oil G&amp;T)'!$B$76,Model!$AT$3174)</f>
        <v>-1.262911660442499</v>
      </c>
      <c r="BH3220" s="377">
        <f>PPMT('Assumptions (Oil G&amp;T)'!$B$73,Model!AK$1,'Assumptions (Oil G&amp;T)'!$B$76,Model!$AT$3174)</f>
        <v>-1.3576300349756865</v>
      </c>
      <c r="BI3220" s="377" t="e">
        <f>PPMT('Assumptions (Oil G&amp;T)'!$B$73,Model!AL$1,'Assumptions (Oil G&amp;T)'!$B$76,Model!$AT$3174)</f>
        <v>#NUM!</v>
      </c>
      <c r="BJ3220" s="377" t="e">
        <f>PPMT('Assumptions (Oil G&amp;T)'!$B$73,Model!AM$1,'Assumptions (Oil G&amp;T)'!$B$76,Model!$AT$3174)</f>
        <v>#NUM!</v>
      </c>
      <c r="BK3220" s="377" t="e">
        <f>PPMT('Assumptions (Oil G&amp;T)'!$B$73,Model!AN$1,'Assumptions (Oil G&amp;T)'!$B$76,Model!$AT$3174)</f>
        <v>#NUM!</v>
      </c>
      <c r="BL3220" s="377" t="e">
        <f>PPMT('Assumptions (Oil G&amp;T)'!$B$73,Model!AO$1,'Assumptions (Oil G&amp;T)'!$B$76,Model!$AT$3174)</f>
        <v>#NUM!</v>
      </c>
      <c r="BM3220" s="377" t="e">
        <f>PPMT('Assumptions (Oil G&amp;T)'!$B$73,Model!AP$1,'Assumptions (Oil G&amp;T)'!$B$76,Model!$AT$3174)</f>
        <v>#NUM!</v>
      </c>
      <c r="BN3220" s="377" t="e">
        <f>PPMT('Assumptions (Oil G&amp;T)'!$B$73,Model!AQ$1,'Assumptions (Oil G&amp;T)'!$B$76,Model!$AT$3174)</f>
        <v>#NUM!</v>
      </c>
      <c r="BO3220" s="377" t="e">
        <f>PPMT('Assumptions (Oil G&amp;T)'!$B$73,Model!AR$1,'Assumptions (Oil G&amp;T)'!$B$76,Model!$AT$3174)</f>
        <v>#NUM!</v>
      </c>
      <c r="BP3220" s="377" t="e">
        <f>PPMT('Assumptions (Oil G&amp;T)'!$B$73,Model!AS$1,'Assumptions (Oil G&amp;T)'!$B$76,Model!$AT$3174)</f>
        <v>#NUM!</v>
      </c>
      <c r="BQ3220" s="377" t="e">
        <f>PPMT('Assumptions (Oil G&amp;T)'!$B$73,Model!AT$1,'Assumptions (Oil G&amp;T)'!$B$76,Model!$AT$3174)</f>
        <v>#NUM!</v>
      </c>
      <c r="BR3220" s="377" t="e">
        <f>PPMT('Assumptions (Oil G&amp;T)'!$B$73,Model!AU$1,'Assumptions (Oil G&amp;T)'!$B$76,Model!$AT$3174)</f>
        <v>#NUM!</v>
      </c>
    </row>
    <row r="3221" spans="1:77" ht="15.75" hidden="1" customHeight="1" outlineLevel="1">
      <c r="A3221" s="468"/>
      <c r="B3221" s="99"/>
      <c r="C3221" s="377"/>
      <c r="D3221" s="377"/>
      <c r="E3221" s="377"/>
      <c r="F3221" s="377"/>
      <c r="G3221" s="377"/>
      <c r="H3221" s="377"/>
      <c r="I3221" s="377"/>
      <c r="J3221" s="377"/>
      <c r="K3221" s="377"/>
      <c r="L3221" s="377"/>
      <c r="M3221" s="377"/>
      <c r="N3221" s="377"/>
      <c r="O3221" s="377"/>
      <c r="P3221" s="377"/>
      <c r="Q3221" s="377"/>
      <c r="R3221" s="377"/>
      <c r="S3221" s="42"/>
      <c r="T3221" s="42"/>
      <c r="U3221" s="42"/>
      <c r="V3221" s="42"/>
      <c r="W3221" s="86"/>
      <c r="AU3221" s="377">
        <f>PPMT('Assumptions (Oil G&amp;T)'!$B$73,Model!W$1,'Assumptions (Oil G&amp;T)'!$B$76,Model!$AU$3174)</f>
        <v>-0.49184309869615972</v>
      </c>
      <c r="AV3221" s="377">
        <f>PPMT('Assumptions (Oil G&amp;T)'!$B$73,Model!X$1,'Assumptions (Oil G&amp;T)'!$B$76,Model!$AU$3174)</f>
        <v>-0.52873133109837167</v>
      </c>
      <c r="AW3221" s="377">
        <f>PPMT('Assumptions (Oil G&amp;T)'!$B$73,Model!Y$1,'Assumptions (Oil G&amp;T)'!$B$76,Model!$AU$3174)</f>
        <v>-0.56838618093074966</v>
      </c>
      <c r="AX3221" s="377">
        <f>PPMT('Assumptions (Oil G&amp;T)'!$B$73,Model!Z$1,'Assumptions (Oil G&amp;T)'!$B$76,Model!$AU$3174)</f>
        <v>-0.61101514450055572</v>
      </c>
      <c r="AY3221" s="377">
        <f>PPMT('Assumptions (Oil G&amp;T)'!$B$73,Model!AA$1,'Assumptions (Oil G&amp;T)'!$B$76,Model!$AU$3174)</f>
        <v>-0.65684128033809741</v>
      </c>
      <c r="AZ3221" s="377">
        <f>PPMT('Assumptions (Oil G&amp;T)'!$B$73,Model!AB$1,'Assumptions (Oil G&amp;T)'!$B$76,Model!$AU$3174)</f>
        <v>-0.70610437636345469</v>
      </c>
      <c r="BA3221" s="377">
        <f>PPMT('Assumptions (Oil G&amp;T)'!$B$73,Model!AC$1,'Assumptions (Oil G&amp;T)'!$B$76,Model!$AU$3174)</f>
        <v>-0.75906220459071372</v>
      </c>
      <c r="BB3221" s="377">
        <f>PPMT('Assumptions (Oil G&amp;T)'!$B$73,Model!AD$1,'Assumptions (Oil G&amp;T)'!$B$76,Model!$AU$3174)</f>
        <v>-0.81599186993501738</v>
      </c>
      <c r="BC3221" s="377">
        <f>PPMT('Assumptions (Oil G&amp;T)'!$B$73,Model!AE$1,'Assumptions (Oil G&amp;T)'!$B$76,Model!$AU$3174)</f>
        <v>-0.87719126018014371</v>
      </c>
      <c r="BD3221" s="377">
        <f>PPMT('Assumptions (Oil G&amp;T)'!$B$73,Model!AF$1,'Assumptions (Oil G&amp;T)'!$B$76,Model!$AU$3174)</f>
        <v>-0.94298060469365452</v>
      </c>
      <c r="BE3221" s="377">
        <f>PPMT('Assumptions (Oil G&amp;T)'!$B$73,Model!AG$1,'Assumptions (Oil G&amp;T)'!$B$76,Model!$AU$3174)</f>
        <v>-1.0137041500456785</v>
      </c>
      <c r="BF3221" s="377">
        <f>PPMT('Assumptions (Oil G&amp;T)'!$B$73,Model!AH$1,'Assumptions (Oil G&amp;T)'!$B$76,Model!$AU$3174)</f>
        <v>-1.0897319612991043</v>
      </c>
      <c r="BG3221" s="377">
        <f>PPMT('Assumptions (Oil G&amp;T)'!$B$73,Model!AI$1,'Assumptions (Oil G&amp;T)'!$B$76,Model!$AU$3174)</f>
        <v>-1.1714618583965373</v>
      </c>
      <c r="BH3221" s="377">
        <f>PPMT('Assumptions (Oil G&amp;T)'!$B$73,Model!AJ$1,'Assumptions (Oil G&amp;T)'!$B$76,Model!$AU$3174)</f>
        <v>-1.2593214977762777</v>
      </c>
      <c r="BI3221" s="377">
        <f>PPMT('Assumptions (Oil G&amp;T)'!$B$73,Model!AK$1,'Assumptions (Oil G&amp;T)'!$B$76,Model!$AU$3174)</f>
        <v>-1.3537706101094982</v>
      </c>
      <c r="BJ3221" s="377" t="e">
        <f>PPMT('Assumptions (Oil G&amp;T)'!$B$73,Model!AL$1,'Assumptions (Oil G&amp;T)'!$B$76,Model!$AU$3174)</f>
        <v>#NUM!</v>
      </c>
      <c r="BK3221" s="377" t="e">
        <f>PPMT('Assumptions (Oil G&amp;T)'!$B$73,Model!AM$1,'Assumptions (Oil G&amp;T)'!$B$76,Model!$AU$3174)</f>
        <v>#NUM!</v>
      </c>
      <c r="BL3221" s="377" t="e">
        <f>PPMT('Assumptions (Oil G&amp;T)'!$B$73,Model!AN$1,'Assumptions (Oil G&amp;T)'!$B$76,Model!$AU$3174)</f>
        <v>#NUM!</v>
      </c>
      <c r="BM3221" s="377" t="e">
        <f>PPMT('Assumptions (Oil G&amp;T)'!$B$73,Model!AO$1,'Assumptions (Oil G&amp;T)'!$B$76,Model!$AU$3174)</f>
        <v>#NUM!</v>
      </c>
      <c r="BN3221" s="377" t="e">
        <f>PPMT('Assumptions (Oil G&amp;T)'!$B$73,Model!AP$1,'Assumptions (Oil G&amp;T)'!$B$76,Model!$AU$3174)</f>
        <v>#NUM!</v>
      </c>
      <c r="BO3221" s="377" t="e">
        <f>PPMT('Assumptions (Oil G&amp;T)'!$B$73,Model!AQ$1,'Assumptions (Oil G&amp;T)'!$B$76,Model!$AU$3174)</f>
        <v>#NUM!</v>
      </c>
      <c r="BP3221" s="377" t="e">
        <f>PPMT('Assumptions (Oil G&amp;T)'!$B$73,Model!AR$1,'Assumptions (Oil G&amp;T)'!$B$76,Model!$AU$3174)</f>
        <v>#NUM!</v>
      </c>
      <c r="BQ3221" s="377" t="e">
        <f>PPMT('Assumptions (Oil G&amp;T)'!$B$73,Model!AS$1,'Assumptions (Oil G&amp;T)'!$B$76,Model!$AU$3174)</f>
        <v>#NUM!</v>
      </c>
      <c r="BR3221" s="377" t="e">
        <f>PPMT('Assumptions (Oil G&amp;T)'!$B$73,Model!AT$1,'Assumptions (Oil G&amp;T)'!$B$76,Model!$AU$3174)</f>
        <v>#NUM!</v>
      </c>
      <c r="BS3221" s="377" t="e">
        <f>PPMT('Assumptions (Oil G&amp;T)'!$B$73,Model!AU$1,'Assumptions (Oil G&amp;T)'!$B$76,Model!$AU$3174)</f>
        <v>#NUM!</v>
      </c>
    </row>
    <row r="3222" spans="1:77" ht="15.75" hidden="1" customHeight="1" outlineLevel="1">
      <c r="A3222" s="468"/>
      <c r="B3222" s="99"/>
      <c r="C3222" s="377"/>
      <c r="D3222" s="377"/>
      <c r="E3222" s="377"/>
      <c r="F3222" s="377"/>
      <c r="G3222" s="377"/>
      <c r="H3222" s="377"/>
      <c r="I3222" s="377"/>
      <c r="J3222" s="377"/>
      <c r="K3222" s="377"/>
      <c r="L3222" s="377"/>
      <c r="M3222" s="377"/>
      <c r="N3222" s="377"/>
      <c r="O3222" s="377"/>
      <c r="P3222" s="377"/>
      <c r="Q3222" s="377"/>
      <c r="R3222" s="377"/>
      <c r="S3222" s="42"/>
      <c r="T3222" s="42"/>
      <c r="U3222" s="42"/>
      <c r="V3222" s="42"/>
      <c r="W3222" s="86"/>
      <c r="AV3222" s="377">
        <f>PPMT('Assumptions (Oil G&amp;T)'!$B$73,Model!W$1,'Assumptions (Oil G&amp;T)'!$B$76,Model!$AV$3174)</f>
        <v>-0.48929682605175018</v>
      </c>
      <c r="AW3222" s="377">
        <f>PPMT('Assumptions (Oil G&amp;T)'!$B$73,Model!X$1,'Assumptions (Oil G&amp;T)'!$B$76,Model!$AV$3174)</f>
        <v>-0.52599408800563141</v>
      </c>
      <c r="AX3222" s="377">
        <f>PPMT('Assumptions (Oil G&amp;T)'!$B$73,Model!Y$1,'Assumptions (Oil G&amp;T)'!$B$76,Model!$AV$3174)</f>
        <v>-0.5654436446060539</v>
      </c>
      <c r="AY3222" s="377">
        <f>PPMT('Assumptions (Oil G&amp;T)'!$B$73,Model!Z$1,'Assumptions (Oil G&amp;T)'!$B$76,Model!$AV$3174)</f>
        <v>-0.60785191795150784</v>
      </c>
      <c r="AZ3222" s="377">
        <f>PPMT('Assumptions (Oil G&amp;T)'!$B$73,Model!AA$1,'Assumptions (Oil G&amp;T)'!$B$76,Model!$AV$3174)</f>
        <v>-0.65344081179787084</v>
      </c>
      <c r="BA3222" s="377">
        <f>PPMT('Assumptions (Oil G&amp;T)'!$B$73,Model!AB$1,'Assumptions (Oil G&amp;T)'!$B$76,Model!$AV$3174)</f>
        <v>-0.70244887268271128</v>
      </c>
      <c r="BB3222" s="377">
        <f>PPMT('Assumptions (Oil G&amp;T)'!$B$73,Model!AC$1,'Assumptions (Oil G&amp;T)'!$B$76,Model!$AV$3174)</f>
        <v>-0.75513253813391457</v>
      </c>
      <c r="BC3222" s="377">
        <f>PPMT('Assumptions (Oil G&amp;T)'!$B$73,Model!AD$1,'Assumptions (Oil G&amp;T)'!$B$76,Model!$AV$3174)</f>
        <v>-0.81176747849395803</v>
      </c>
      <c r="BD3222" s="377">
        <f>PPMT('Assumptions (Oil G&amp;T)'!$B$73,Model!AE$1,'Assumptions (Oil G&amp;T)'!$B$76,Model!$AV$3174)</f>
        <v>-0.87265003938100516</v>
      </c>
      <c r="BE3222" s="377">
        <f>PPMT('Assumptions (Oil G&amp;T)'!$B$73,Model!AF$1,'Assumptions (Oil G&amp;T)'!$B$76,Model!$AV$3174)</f>
        <v>-0.93809879233458049</v>
      </c>
      <c r="BF3222" s="377">
        <f>PPMT('Assumptions (Oil G&amp;T)'!$B$73,Model!AG$1,'Assumptions (Oil G&amp;T)'!$B$76,Model!$AV$3174)</f>
        <v>-1.0084562017596739</v>
      </c>
      <c r="BG3222" s="377">
        <f>PPMT('Assumptions (Oil G&amp;T)'!$B$73,Model!AH$1,'Assumptions (Oil G&amp;T)'!$B$76,Model!$AV$3174)</f>
        <v>-1.0840904168916494</v>
      </c>
      <c r="BH3222" s="377">
        <f>PPMT('Assumptions (Oil G&amp;T)'!$B$73,Model!AI$1,'Assumptions (Oil G&amp;T)'!$B$76,Model!$AV$3174)</f>
        <v>-1.1653971981585232</v>
      </c>
      <c r="BI3222" s="377">
        <f>PPMT('Assumptions (Oil G&amp;T)'!$B$73,Model!AJ$1,'Assumptions (Oil G&amp;T)'!$B$76,Model!$AV$3174)</f>
        <v>-1.2528019880204126</v>
      </c>
      <c r="BJ3222" s="377">
        <f>PPMT('Assumptions (Oil G&amp;T)'!$B$73,Model!AK$1,'Assumptions (Oil G&amp;T)'!$B$76,Model!$AV$3174)</f>
        <v>-1.3467621371219434</v>
      </c>
      <c r="BK3222" s="377" t="e">
        <f>PPMT('Assumptions (Oil G&amp;T)'!$B$73,Model!AL$1,'Assumptions (Oil G&amp;T)'!$B$76,Model!$AV$3174)</f>
        <v>#NUM!</v>
      </c>
      <c r="BL3222" s="377" t="e">
        <f>PPMT('Assumptions (Oil G&amp;T)'!$B$73,Model!AM$1,'Assumptions (Oil G&amp;T)'!$B$76,Model!$AV$3174)</f>
        <v>#NUM!</v>
      </c>
      <c r="BM3222" s="377" t="e">
        <f>PPMT('Assumptions (Oil G&amp;T)'!$B$73,Model!AN$1,'Assumptions (Oil G&amp;T)'!$B$76,Model!$AV$3174)</f>
        <v>#NUM!</v>
      </c>
      <c r="BN3222" s="377" t="e">
        <f>PPMT('Assumptions (Oil G&amp;T)'!$B$73,Model!AO$1,'Assumptions (Oil G&amp;T)'!$B$76,Model!$AV$3174)</f>
        <v>#NUM!</v>
      </c>
      <c r="BO3222" s="377" t="e">
        <f>PPMT('Assumptions (Oil G&amp;T)'!$B$73,Model!AP$1,'Assumptions (Oil G&amp;T)'!$B$76,Model!$AV$3174)</f>
        <v>#NUM!</v>
      </c>
      <c r="BP3222" s="377" t="e">
        <f>PPMT('Assumptions (Oil G&amp;T)'!$B$73,Model!AQ$1,'Assumptions (Oil G&amp;T)'!$B$76,Model!$AV$3174)</f>
        <v>#NUM!</v>
      </c>
      <c r="BQ3222" s="377" t="e">
        <f>PPMT('Assumptions (Oil G&amp;T)'!$B$73,Model!AR$1,'Assumptions (Oil G&amp;T)'!$B$76,Model!$AV$3174)</f>
        <v>#NUM!</v>
      </c>
      <c r="BR3222" s="377" t="e">
        <f>PPMT('Assumptions (Oil G&amp;T)'!$B$73,Model!AS$1,'Assumptions (Oil G&amp;T)'!$B$76,Model!$AV$3174)</f>
        <v>#NUM!</v>
      </c>
      <c r="BS3222" s="377" t="e">
        <f>PPMT('Assumptions (Oil G&amp;T)'!$B$73,Model!AT$1,'Assumptions (Oil G&amp;T)'!$B$76,Model!$AV$3174)</f>
        <v>#NUM!</v>
      </c>
      <c r="BT3222" s="377" t="e">
        <f>PPMT('Assumptions (Oil G&amp;T)'!$B$73,Model!AU$1,'Assumptions (Oil G&amp;T)'!$B$76,Model!$AV$3174)</f>
        <v>#NUM!</v>
      </c>
    </row>
    <row r="3223" spans="1:77" ht="15.75" hidden="1" customHeight="1" outlineLevel="1">
      <c r="A3223" s="468"/>
      <c r="B3223" s="99"/>
      <c r="C3223" s="377"/>
      <c r="D3223" s="377"/>
      <c r="E3223" s="377"/>
      <c r="F3223" s="377"/>
      <c r="G3223" s="377"/>
      <c r="H3223" s="377"/>
      <c r="I3223" s="377"/>
      <c r="J3223" s="377"/>
      <c r="K3223" s="377"/>
      <c r="L3223" s="377"/>
      <c r="M3223" s="377"/>
      <c r="N3223" s="377"/>
      <c r="O3223" s="377"/>
      <c r="P3223" s="377"/>
      <c r="Q3223" s="377"/>
      <c r="R3223" s="377"/>
      <c r="S3223" s="42"/>
      <c r="T3223" s="42"/>
      <c r="U3223" s="42"/>
      <c r="V3223" s="42"/>
      <c r="W3223" s="86"/>
      <c r="AW3223" s="377">
        <f>PPMT('Assumptions (Oil G&amp;T)'!$B$73,Model!W$1,'Assumptions (Oil G&amp;T)'!$B$76,Model!$AW$3174)</f>
        <v>-0.48728642019977209</v>
      </c>
      <c r="AX3223" s="377">
        <f>PPMT('Assumptions (Oil G&amp;T)'!$B$73,Model!X$1,'Assumptions (Oil G&amp;T)'!$B$76,Model!$AW$3174)</f>
        <v>-0.52383290171475494</v>
      </c>
      <c r="AY3223" s="377">
        <f>PPMT('Assumptions (Oil G&amp;T)'!$B$73,Model!Y$1,'Assumptions (Oil G&amp;T)'!$B$76,Model!$AW$3174)</f>
        <v>-0.56312036934336163</v>
      </c>
      <c r="AZ3223" s="377">
        <f>PPMT('Assumptions (Oil G&amp;T)'!$B$73,Model!Z$1,'Assumptions (Oil G&amp;T)'!$B$76,Model!$AW$3174)</f>
        <v>-0.60535439704411376</v>
      </c>
      <c r="BA3223" s="377">
        <f>PPMT('Assumptions (Oil G&amp;T)'!$B$73,Model!AA$1,'Assumptions (Oil G&amp;T)'!$B$76,Model!$AW$3174)</f>
        <v>-0.65075597682242226</v>
      </c>
      <c r="BB3223" s="377">
        <f>PPMT('Assumptions (Oil G&amp;T)'!$B$73,Model!AB$1,'Assumptions (Oil G&amp;T)'!$B$76,Model!$AW$3174)</f>
        <v>-0.69956267508410386</v>
      </c>
      <c r="BC3223" s="377">
        <f>PPMT('Assumptions (Oil G&amp;T)'!$B$73,Model!AC$1,'Assumptions (Oil G&amp;T)'!$B$76,Model!$AW$3174)</f>
        <v>-0.75202987571541169</v>
      </c>
      <c r="BD3223" s="377">
        <f>PPMT('Assumptions (Oil G&amp;T)'!$B$73,Model!AD$1,'Assumptions (Oil G&amp;T)'!$B$76,Model!$AW$3174)</f>
        <v>-0.80843211639406765</v>
      </c>
      <c r="BE3223" s="377">
        <f>PPMT('Assumptions (Oil G&amp;T)'!$B$73,Model!AE$1,'Assumptions (Oil G&amp;T)'!$B$76,Model!$AW$3174)</f>
        <v>-0.86906452512362264</v>
      </c>
      <c r="BF3223" s="377">
        <f>PPMT('Assumptions (Oil G&amp;T)'!$B$73,Model!AF$1,'Assumptions (Oil G&amp;T)'!$B$76,Model!$AW$3174)</f>
        <v>-0.9342443645078945</v>
      </c>
      <c r="BG3223" s="377">
        <f>PPMT('Assumptions (Oil G&amp;T)'!$B$73,Model!AG$1,'Assumptions (Oil G&amp;T)'!$B$76,Model!$AW$3174)</f>
        <v>-1.0043126918459864</v>
      </c>
      <c r="BH3223" s="377">
        <f>PPMT('Assumptions (Oil G&amp;T)'!$B$73,Model!AH$1,'Assumptions (Oil G&amp;T)'!$B$76,Model!$AW$3174)</f>
        <v>-1.0796361437344355</v>
      </c>
      <c r="BI3223" s="377">
        <f>PPMT('Assumptions (Oil G&amp;T)'!$B$73,Model!AI$1,'Assumptions (Oil G&amp;T)'!$B$76,Model!$AW$3174)</f>
        <v>-1.1606088545145181</v>
      </c>
      <c r="BJ3223" s="377">
        <f>PPMT('Assumptions (Oil G&amp;T)'!$B$73,Model!AJ$1,'Assumptions (Oil G&amp;T)'!$B$76,Model!$AW$3174)</f>
        <v>-1.2476545186031069</v>
      </c>
      <c r="BK3223" s="377">
        <f>PPMT('Assumptions (Oil G&amp;T)'!$B$73,Model!AK$1,'Assumptions (Oil G&amp;T)'!$B$76,Model!$AW$3174)</f>
        <v>-1.3412286074983399</v>
      </c>
      <c r="BL3223" s="377" t="e">
        <f>PPMT('Assumptions (Oil G&amp;T)'!$B$73,Model!AL$1,'Assumptions (Oil G&amp;T)'!$B$76,Model!$AW$3174)</f>
        <v>#NUM!</v>
      </c>
      <c r="BM3223" s="377" t="e">
        <f>PPMT('Assumptions (Oil G&amp;T)'!$B$73,Model!AM$1,'Assumptions (Oil G&amp;T)'!$B$76,Model!$AW$3174)</f>
        <v>#NUM!</v>
      </c>
      <c r="BN3223" s="377" t="e">
        <f>PPMT('Assumptions (Oil G&amp;T)'!$B$73,Model!AN$1,'Assumptions (Oil G&amp;T)'!$B$76,Model!$AW$3174)</f>
        <v>#NUM!</v>
      </c>
      <c r="BO3223" s="377" t="e">
        <f>PPMT('Assumptions (Oil G&amp;T)'!$B$73,Model!AO$1,'Assumptions (Oil G&amp;T)'!$B$76,Model!$AW$3174)</f>
        <v>#NUM!</v>
      </c>
      <c r="BP3223" s="377" t="e">
        <f>PPMT('Assumptions (Oil G&amp;T)'!$B$73,Model!AP$1,'Assumptions (Oil G&amp;T)'!$B$76,Model!$AW$3174)</f>
        <v>#NUM!</v>
      </c>
      <c r="BQ3223" s="377" t="e">
        <f>PPMT('Assumptions (Oil G&amp;T)'!$B$73,Model!AQ$1,'Assumptions (Oil G&amp;T)'!$B$76,Model!$AW$3174)</f>
        <v>#NUM!</v>
      </c>
      <c r="BR3223" s="377" t="e">
        <f>PPMT('Assumptions (Oil G&amp;T)'!$B$73,Model!AR$1,'Assumptions (Oil G&amp;T)'!$B$76,Model!$AW$3174)</f>
        <v>#NUM!</v>
      </c>
      <c r="BS3223" s="377" t="e">
        <f>PPMT('Assumptions (Oil G&amp;T)'!$B$73,Model!AS$1,'Assumptions (Oil G&amp;T)'!$B$76,Model!$AW$3174)</f>
        <v>#NUM!</v>
      </c>
      <c r="BT3223" s="377" t="e">
        <f>PPMT('Assumptions (Oil G&amp;T)'!$B$73,Model!AT$1,'Assumptions (Oil G&amp;T)'!$B$76,Model!$AW$3174)</f>
        <v>#NUM!</v>
      </c>
      <c r="BU3223" s="377" t="e">
        <f>PPMT('Assumptions (Oil G&amp;T)'!$B$73,Model!AU$1,'Assumptions (Oil G&amp;T)'!$B$76,Model!$AW$3174)</f>
        <v>#NUM!</v>
      </c>
    </row>
    <row r="3224" spans="1:77" ht="15.75" hidden="1" customHeight="1" outlineLevel="1">
      <c r="A3224" s="468"/>
      <c r="B3224" s="99"/>
      <c r="C3224" s="377"/>
      <c r="D3224" s="377"/>
      <c r="E3224" s="377"/>
      <c r="F3224" s="377"/>
      <c r="G3224" s="377"/>
      <c r="H3224" s="377"/>
      <c r="I3224" s="377"/>
      <c r="J3224" s="377"/>
      <c r="K3224" s="377"/>
      <c r="L3224" s="377"/>
      <c r="M3224" s="377"/>
      <c r="N3224" s="377"/>
      <c r="O3224" s="377"/>
      <c r="P3224" s="377"/>
      <c r="Q3224" s="377"/>
      <c r="R3224" s="377"/>
      <c r="S3224" s="42"/>
      <c r="T3224" s="42"/>
      <c r="U3224" s="42"/>
      <c r="V3224" s="42"/>
      <c r="W3224" s="86"/>
      <c r="AW3224" s="377"/>
      <c r="AX3224" s="377">
        <f>PPMT('Assumptions (Oil G&amp;T)'!$B$73,Model!W$1,'Assumptions (Oil G&amp;T)'!$B$76,Model!$AX$3174)</f>
        <v>-0.48567915381930021</v>
      </c>
      <c r="AY3224" s="377">
        <f>PPMT('Assumptions (Oil G&amp;T)'!$B$73,Model!X$1,'Assumptions (Oil G&amp;T)'!$B$76,Model!$AX$3174)</f>
        <v>-0.5221050903557477</v>
      </c>
      <c r="AZ3224" s="377">
        <f>PPMT('Assumptions (Oil G&amp;T)'!$B$73,Model!Y$1,'Assumptions (Oil G&amp;T)'!$B$76,Model!$AX$3174)</f>
        <v>-0.56126297213242893</v>
      </c>
      <c r="BA3224" s="377">
        <f>PPMT('Assumptions (Oil G&amp;T)'!$B$73,Model!Z$1,'Assumptions (Oil G&amp;T)'!$B$76,Model!$AX$3174)</f>
        <v>-0.60335769504236103</v>
      </c>
      <c r="BB3224" s="377">
        <f>PPMT('Assumptions (Oil G&amp;T)'!$B$73,Model!AA$1,'Assumptions (Oil G&amp;T)'!$B$76,Model!$AX$3174)</f>
        <v>-0.64860952217053802</v>
      </c>
      <c r="BC3224" s="377">
        <f>PPMT('Assumptions (Oil G&amp;T)'!$B$73,Model!AB$1,'Assumptions (Oil G&amp;T)'!$B$76,Model!$AX$3174)</f>
        <v>-0.69725523633332842</v>
      </c>
      <c r="BD3224" s="377">
        <f>PPMT('Assumptions (Oil G&amp;T)'!$B$73,Model!AC$1,'Assumptions (Oil G&amp;T)'!$B$76,Model!$AX$3174)</f>
        <v>-0.74954937905832797</v>
      </c>
      <c r="BE3224" s="377">
        <f>PPMT('Assumptions (Oil G&amp;T)'!$B$73,Model!AD$1,'Assumptions (Oil G&amp;T)'!$B$76,Model!$AX$3174)</f>
        <v>-0.80576558248770258</v>
      </c>
      <c r="BF3224" s="377">
        <f>PPMT('Assumptions (Oil G&amp;T)'!$B$73,Model!AE$1,'Assumptions (Oil G&amp;T)'!$B$76,Model!$AX$3174)</f>
        <v>-0.86619800117428036</v>
      </c>
      <c r="BG3224" s="377">
        <f>PPMT('Assumptions (Oil G&amp;T)'!$B$73,Model!AF$1,'Assumptions (Oil G&amp;T)'!$B$76,Model!$AX$3174)</f>
        <v>-0.93116285126235143</v>
      </c>
      <c r="BH3224" s="377">
        <f>PPMT('Assumptions (Oil G&amp;T)'!$B$73,Model!AG$1,'Assumptions (Oil G&amp;T)'!$B$76,Model!$AX$3174)</f>
        <v>-1.0010000651070277</v>
      </c>
      <c r="BI3224" s="377">
        <f>PPMT('Assumptions (Oil G&amp;T)'!$B$73,Model!AH$1,'Assumptions (Oil G&amp;T)'!$B$76,Model!$AX$3174)</f>
        <v>-1.0760750699900548</v>
      </c>
      <c r="BJ3224" s="377">
        <f>PPMT('Assumptions (Oil G&amp;T)'!$B$73,Model!AI$1,'Assumptions (Oil G&amp;T)'!$B$76,Model!$AX$3174)</f>
        <v>-1.1567807002393089</v>
      </c>
      <c r="BK3224" s="377">
        <f>PPMT('Assumptions (Oil G&amp;T)'!$B$73,Model!AJ$1,'Assumptions (Oil G&amp;T)'!$B$76,Model!$AX$3174)</f>
        <v>-1.2435392527572573</v>
      </c>
      <c r="BL3224" s="377">
        <f>PPMT('Assumptions (Oil G&amp;T)'!$B$73,Model!AK$1,'Assumptions (Oil G&amp;T)'!$B$76,Model!$AX$3174)</f>
        <v>-1.3368046967140514</v>
      </c>
      <c r="BM3224" s="377" t="e">
        <f>PPMT('Assumptions (Oil G&amp;T)'!$B$73,Model!AL$1,'Assumptions (Oil G&amp;T)'!$B$76,Model!$AX$3174)</f>
        <v>#NUM!</v>
      </c>
      <c r="BN3224" s="377" t="e">
        <f>PPMT('Assumptions (Oil G&amp;T)'!$B$73,Model!AM$1,'Assumptions (Oil G&amp;T)'!$B$76,Model!$AX$3174)</f>
        <v>#NUM!</v>
      </c>
      <c r="BO3224" s="377" t="e">
        <f>PPMT('Assumptions (Oil G&amp;T)'!$B$73,Model!AN$1,'Assumptions (Oil G&amp;T)'!$B$76,Model!$AX$3174)</f>
        <v>#NUM!</v>
      </c>
      <c r="BP3224" s="377" t="e">
        <f>PPMT('Assumptions (Oil G&amp;T)'!$B$73,Model!AO$1,'Assumptions (Oil G&amp;T)'!$B$76,Model!$AX$3174)</f>
        <v>#NUM!</v>
      </c>
      <c r="BQ3224" s="377" t="e">
        <f>PPMT('Assumptions (Oil G&amp;T)'!$B$73,Model!AP$1,'Assumptions (Oil G&amp;T)'!$B$76,Model!$AX$3174)</f>
        <v>#NUM!</v>
      </c>
      <c r="BR3224" s="377" t="e">
        <f>PPMT('Assumptions (Oil G&amp;T)'!$B$73,Model!AQ$1,'Assumptions (Oil G&amp;T)'!$B$76,Model!$AX$3174)</f>
        <v>#NUM!</v>
      </c>
      <c r="BS3224" s="377" t="e">
        <f>PPMT('Assumptions (Oil G&amp;T)'!$B$73,Model!AR$1,'Assumptions (Oil G&amp;T)'!$B$76,Model!$AX$3174)</f>
        <v>#NUM!</v>
      </c>
      <c r="BT3224" s="377" t="e">
        <f>PPMT('Assumptions (Oil G&amp;T)'!$B$73,Model!AS$1,'Assumptions (Oil G&amp;T)'!$B$76,Model!$AX$3174)</f>
        <v>#NUM!</v>
      </c>
      <c r="BU3224" s="377" t="e">
        <f>PPMT('Assumptions (Oil G&amp;T)'!$B$73,Model!AT$1,'Assumptions (Oil G&amp;T)'!$B$76,Model!$AX$3174)</f>
        <v>#NUM!</v>
      </c>
      <c r="BV3224" s="377" t="e">
        <f>PPMT('Assumptions (Oil G&amp;T)'!$B$73,Model!AU$1,'Assumptions (Oil G&amp;T)'!$B$76,Model!$AX$3174)</f>
        <v>#NUM!</v>
      </c>
    </row>
    <row r="3225" spans="1:77" ht="15.75" hidden="1" customHeight="1" outlineLevel="1">
      <c r="A3225" s="468"/>
      <c r="B3225" s="99"/>
      <c r="C3225" s="377"/>
      <c r="D3225" s="377"/>
      <c r="E3225" s="377"/>
      <c r="F3225" s="377"/>
      <c r="G3225" s="377"/>
      <c r="H3225" s="377"/>
      <c r="I3225" s="377"/>
      <c r="J3225" s="377"/>
      <c r="K3225" s="377"/>
      <c r="L3225" s="377"/>
      <c r="M3225" s="377"/>
      <c r="N3225" s="377"/>
      <c r="O3225" s="377"/>
      <c r="P3225" s="377"/>
      <c r="Q3225" s="377"/>
      <c r="R3225" s="377"/>
      <c r="S3225" s="42"/>
      <c r="T3225" s="42"/>
      <c r="U3225" s="42"/>
      <c r="V3225" s="42"/>
      <c r="W3225" s="86"/>
      <c r="AW3225" s="377"/>
      <c r="AX3225" s="377"/>
      <c r="AY3225" s="377">
        <f>PPMT('Assumptions (Oil G&amp;T)'!$B$73,Model!W$1,'Assumptions (Oil G&amp;T)'!$B$76,Model!$AY$3174)</f>
        <v>-0.48406797802604828</v>
      </c>
      <c r="AZ3225" s="377">
        <f>PPMT('Assumptions (Oil G&amp;T)'!$B$73,Model!X$1,'Assumptions (Oil G&amp;T)'!$B$76,Model!$AY$3174)</f>
        <v>-0.5203730763780019</v>
      </c>
      <c r="BA3225" s="377">
        <f>PPMT('Assumptions (Oil G&amp;T)'!$B$73,Model!Y$1,'Assumptions (Oil G&amp;T)'!$B$76,Model!$AY$3174)</f>
        <v>-0.55940105710635213</v>
      </c>
      <c r="BB3225" s="377">
        <f>PPMT('Assumptions (Oil G&amp;T)'!$B$73,Model!Z$1,'Assumptions (Oil G&amp;T)'!$B$76,Model!$AY$3174)</f>
        <v>-0.60135613638932839</v>
      </c>
      <c r="BC3225" s="377">
        <f>PPMT('Assumptions (Oil G&amp;T)'!$B$73,Model!AA$1,'Assumptions (Oil G&amp;T)'!$B$76,Model!$AY$3174)</f>
        <v>-0.64645784661852801</v>
      </c>
      <c r="BD3225" s="377">
        <f>PPMT('Assumptions (Oil G&amp;T)'!$B$73,Model!AB$1,'Assumptions (Oil G&amp;T)'!$B$76,Model!$AY$3174)</f>
        <v>-0.69494218511491768</v>
      </c>
      <c r="BE3225" s="377">
        <f>PPMT('Assumptions (Oil G&amp;T)'!$B$73,Model!AC$1,'Assumptions (Oil G&amp;T)'!$B$76,Model!$AY$3174)</f>
        <v>-0.74706284899853659</v>
      </c>
      <c r="BF3225" s="377">
        <f>PPMT('Assumptions (Oil G&amp;T)'!$B$73,Model!AD$1,'Assumptions (Oil G&amp;T)'!$B$76,Model!$AY$3174)</f>
        <v>-0.80309256267342677</v>
      </c>
      <c r="BG3225" s="377">
        <f>PPMT('Assumptions (Oil G&amp;T)'!$B$73,Model!AE$1,'Assumptions (Oil G&amp;T)'!$B$76,Model!$AY$3174)</f>
        <v>-0.86332450487393375</v>
      </c>
      <c r="BH3225" s="377">
        <f>PPMT('Assumptions (Oil G&amp;T)'!$B$73,Model!AF$1,'Assumptions (Oil G&amp;T)'!$B$76,Model!$AY$3174)</f>
        <v>-0.9280738427394789</v>
      </c>
      <c r="BI3225" s="377">
        <f>PPMT('Assumptions (Oil G&amp;T)'!$B$73,Model!AG$1,'Assumptions (Oil G&amp;T)'!$B$76,Model!$AY$3174)</f>
        <v>-0.99767938094493958</v>
      </c>
      <c r="BJ3225" s="377">
        <f>PPMT('Assumptions (Oil G&amp;T)'!$B$73,Model!AH$1,'Assumptions (Oil G&amp;T)'!$B$76,Model!$AY$3174)</f>
        <v>-1.0725053345158102</v>
      </c>
      <c r="BK3225" s="377">
        <f>PPMT('Assumptions (Oil G&amp;T)'!$B$73,Model!AI$1,'Assumptions (Oil G&amp;T)'!$B$76,Model!$AY$3174)</f>
        <v>-1.1529432346044959</v>
      </c>
      <c r="BL3225" s="377">
        <f>PPMT('Assumptions (Oil G&amp;T)'!$B$73,Model!AJ$1,'Assumptions (Oil G&amp;T)'!$B$76,Model!$AY$3174)</f>
        <v>-1.2394139771998332</v>
      </c>
      <c r="BM3225" s="377">
        <f>PPMT('Assumptions (Oil G&amp;T)'!$B$73,Model!AK$1,'Assumptions (Oil G&amp;T)'!$B$76,Model!$AY$3174)</f>
        <v>-1.3323700254898208</v>
      </c>
      <c r="BN3225" s="377" t="e">
        <f>PPMT('Assumptions (Oil G&amp;T)'!$B$73,Model!AL$1,'Assumptions (Oil G&amp;T)'!$B$76,Model!$AY$3174)</f>
        <v>#NUM!</v>
      </c>
      <c r="BO3225" s="377" t="e">
        <f>PPMT('Assumptions (Oil G&amp;T)'!$B$73,Model!AM$1,'Assumptions (Oil G&amp;T)'!$B$76,Model!$AY$3174)</f>
        <v>#NUM!</v>
      </c>
      <c r="BP3225" s="377" t="e">
        <f>PPMT('Assumptions (Oil G&amp;T)'!$B$73,Model!AN$1,'Assumptions (Oil G&amp;T)'!$B$76,Model!$AY$3174)</f>
        <v>#NUM!</v>
      </c>
      <c r="BQ3225" s="377" t="e">
        <f>PPMT('Assumptions (Oil G&amp;T)'!$B$73,Model!AO$1,'Assumptions (Oil G&amp;T)'!$B$76,Model!$AY$3174)</f>
        <v>#NUM!</v>
      </c>
      <c r="BR3225" s="377" t="e">
        <f>PPMT('Assumptions (Oil G&amp;T)'!$B$73,Model!AP$1,'Assumptions (Oil G&amp;T)'!$B$76,Model!$AY$3174)</f>
        <v>#NUM!</v>
      </c>
      <c r="BS3225" s="377" t="e">
        <f>PPMT('Assumptions (Oil G&amp;T)'!$B$73,Model!AQ$1,'Assumptions (Oil G&amp;T)'!$B$76,Model!$AY$3174)</f>
        <v>#NUM!</v>
      </c>
      <c r="BT3225" s="377" t="e">
        <f>PPMT('Assumptions (Oil G&amp;T)'!$B$73,Model!AR$1,'Assumptions (Oil G&amp;T)'!$B$76,Model!$AY$3174)</f>
        <v>#NUM!</v>
      </c>
      <c r="BU3225" s="377" t="e">
        <f>PPMT('Assumptions (Oil G&amp;T)'!$B$73,Model!AS$1,'Assumptions (Oil G&amp;T)'!$B$76,Model!$AY$3174)</f>
        <v>#NUM!</v>
      </c>
      <c r="BV3225" s="377" t="e">
        <f>PPMT('Assumptions (Oil G&amp;T)'!$B$73,Model!AT$1,'Assumptions (Oil G&amp;T)'!$B$76,Model!$AY$3174)</f>
        <v>#NUM!</v>
      </c>
      <c r="BW3225" s="377" t="e">
        <f>PPMT('Assumptions (Oil G&amp;T)'!$B$73,Model!AU$1,'Assumptions (Oil G&amp;T)'!$B$76,Model!$AY$3174)</f>
        <v>#NUM!</v>
      </c>
    </row>
    <row r="3226" spans="1:77" ht="15.75" hidden="1" customHeight="1" outlineLevel="1">
      <c r="A3226" s="468"/>
      <c r="B3226" s="99"/>
      <c r="C3226" s="377"/>
      <c r="D3226" s="377"/>
      <c r="E3226" s="377"/>
      <c r="F3226" s="377"/>
      <c r="G3226" s="377"/>
      <c r="H3226" s="377"/>
      <c r="I3226" s="377"/>
      <c r="J3226" s="377"/>
      <c r="K3226" s="377"/>
      <c r="L3226" s="377"/>
      <c r="M3226" s="377"/>
      <c r="N3226" s="377"/>
      <c r="O3226" s="377"/>
      <c r="P3226" s="377"/>
      <c r="Q3226" s="377"/>
      <c r="R3226" s="377"/>
      <c r="S3226" s="42"/>
      <c r="T3226" s="42"/>
      <c r="U3226" s="42"/>
      <c r="V3226" s="42"/>
      <c r="W3226" s="86"/>
      <c r="AW3226" s="377"/>
      <c r="AX3226" s="377"/>
      <c r="AY3226" s="377"/>
      <c r="AZ3226" s="377">
        <f>PPMT('Assumptions (Oil G&amp;T)'!$B$73,Model!W$1,'Assumptions (Oil G&amp;T)'!$B$76,Model!$AZ$3174)</f>
        <v>-0.48107924384123829</v>
      </c>
      <c r="BA3226" s="377">
        <f>PPMT('Assumptions (Oil G&amp;T)'!$B$73,Model!X$1,'Assumptions (Oil G&amp;T)'!$B$76,Model!$AZ$3174)</f>
        <v>-0.51716018712933109</v>
      </c>
      <c r="BB3226" s="377">
        <f>PPMT('Assumptions (Oil G&amp;T)'!$B$73,Model!Y$1,'Assumptions (Oil G&amp;T)'!$B$76,Model!$AZ$3174)</f>
        <v>-0.55594720116403107</v>
      </c>
      <c r="BC3226" s="377">
        <f>PPMT('Assumptions (Oil G&amp;T)'!$B$73,Model!Z$1,'Assumptions (Oil G&amp;T)'!$B$76,Model!$AZ$3174)</f>
        <v>-0.59764324125133328</v>
      </c>
      <c r="BD3226" s="377">
        <f>PPMT('Assumptions (Oil G&amp;T)'!$B$73,Model!AA$1,'Assumptions (Oil G&amp;T)'!$B$76,Model!$AZ$3174)</f>
        <v>-0.64246648434518316</v>
      </c>
      <c r="BE3226" s="377">
        <f>PPMT('Assumptions (Oil G&amp;T)'!$B$73,Model!AB$1,'Assumptions (Oil G&amp;T)'!$B$76,Model!$AZ$3174)</f>
        <v>-0.69065147067107202</v>
      </c>
      <c r="BF3226" s="377">
        <f>PPMT('Assumptions (Oil G&amp;T)'!$B$73,Model!AC$1,'Assumptions (Oil G&amp;T)'!$B$76,Model!$AZ$3174)</f>
        <v>-0.74245033097140234</v>
      </c>
      <c r="BG3226" s="377">
        <f>PPMT('Assumptions (Oil G&amp;T)'!$B$73,Model!AD$1,'Assumptions (Oil G&amp;T)'!$B$76,Model!$AZ$3174)</f>
        <v>-0.79813410579425759</v>
      </c>
      <c r="BH3226" s="377">
        <f>PPMT('Assumptions (Oil G&amp;T)'!$B$73,Model!AE$1,'Assumptions (Oil G&amp;T)'!$B$76,Model!$AZ$3174)</f>
        <v>-0.85799416372882698</v>
      </c>
      <c r="BI3226" s="377">
        <f>PPMT('Assumptions (Oil G&amp;T)'!$B$73,Model!AF$1,'Assumptions (Oil G&amp;T)'!$B$76,Model!$AZ$3174)</f>
        <v>-0.92234372600848902</v>
      </c>
      <c r="BJ3226" s="377">
        <f>PPMT('Assumptions (Oil G&amp;T)'!$B$73,Model!AG$1,'Assumptions (Oil G&amp;T)'!$B$76,Model!$AZ$3174)</f>
        <v>-0.99151950545912548</v>
      </c>
      <c r="BK3226" s="377">
        <f>PPMT('Assumptions (Oil G&amp;T)'!$B$73,Model!AH$1,'Assumptions (Oil G&amp;T)'!$B$76,Model!$AZ$3174)</f>
        <v>-1.0658834683685601</v>
      </c>
      <c r="BL3226" s="377">
        <f>PPMT('Assumptions (Oil G&amp;T)'!$B$73,Model!AI$1,'Assumptions (Oil G&amp;T)'!$B$76,Model!$AZ$3174)</f>
        <v>-1.145824728496202</v>
      </c>
      <c r="BM3226" s="377">
        <f>PPMT('Assumptions (Oil G&amp;T)'!$B$73,Model!AJ$1,'Assumptions (Oil G&amp;T)'!$B$76,Model!$AZ$3174)</f>
        <v>-1.2317615831334174</v>
      </c>
      <c r="BN3226" s="377">
        <f>PPMT('Assumptions (Oil G&amp;T)'!$B$73,Model!AK$1,'Assumptions (Oil G&amp;T)'!$B$76,Model!$AZ$3174)</f>
        <v>-1.3241437018684235</v>
      </c>
      <c r="BO3226" s="377" t="e">
        <f>PPMT('Assumptions (Oil G&amp;T)'!$B$73,Model!AL$1,'Assumptions (Oil G&amp;T)'!$B$76,Model!$AZ$3174)</f>
        <v>#NUM!</v>
      </c>
      <c r="BP3226" s="377" t="e">
        <f>PPMT('Assumptions (Oil G&amp;T)'!$B$73,Model!AM$1,'Assumptions (Oil G&amp;T)'!$B$76,Model!$AZ$3174)</f>
        <v>#NUM!</v>
      </c>
      <c r="BQ3226" s="377" t="e">
        <f>PPMT('Assumptions (Oil G&amp;T)'!$B$73,Model!AN$1,'Assumptions (Oil G&amp;T)'!$B$76,Model!$AZ$3174)</f>
        <v>#NUM!</v>
      </c>
      <c r="BR3226" s="377" t="e">
        <f>PPMT('Assumptions (Oil G&amp;T)'!$B$73,Model!AO$1,'Assumptions (Oil G&amp;T)'!$B$76,Model!$AZ$3174)</f>
        <v>#NUM!</v>
      </c>
      <c r="BS3226" s="377" t="e">
        <f>PPMT('Assumptions (Oil G&amp;T)'!$B$73,Model!AP$1,'Assumptions (Oil G&amp;T)'!$B$76,Model!$AZ$3174)</f>
        <v>#NUM!</v>
      </c>
      <c r="BT3226" s="377" t="e">
        <f>PPMT('Assumptions (Oil G&amp;T)'!$B$73,Model!AQ$1,'Assumptions (Oil G&amp;T)'!$B$76,Model!$AZ$3174)</f>
        <v>#NUM!</v>
      </c>
      <c r="BU3226" s="377" t="e">
        <f>PPMT('Assumptions (Oil G&amp;T)'!$B$73,Model!AR$1,'Assumptions (Oil G&amp;T)'!$B$76,Model!$AZ$3174)</f>
        <v>#NUM!</v>
      </c>
      <c r="BV3226" s="377" t="e">
        <f>PPMT('Assumptions (Oil G&amp;T)'!$B$73,Model!AS$1,'Assumptions (Oil G&amp;T)'!$B$76,Model!$AZ$3174)</f>
        <v>#NUM!</v>
      </c>
      <c r="BW3226" s="377" t="e">
        <f>PPMT('Assumptions (Oil G&amp;T)'!$B$73,Model!AT$1,'Assumptions (Oil G&amp;T)'!$B$76,Model!$AZ$3174)</f>
        <v>#NUM!</v>
      </c>
      <c r="BX3226" s="377" t="e">
        <f>PPMT('Assumptions (Oil G&amp;T)'!$B$73,Model!AU$1,'Assumptions (Oil G&amp;T)'!$B$76,Model!$AZ$3174)</f>
        <v>#NUM!</v>
      </c>
    </row>
    <row r="3227" spans="1:77" ht="15.75" hidden="1" customHeight="1" outlineLevel="1">
      <c r="A3227" s="468"/>
      <c r="B3227" s="99"/>
      <c r="C3227" s="377"/>
      <c r="D3227" s="377"/>
      <c r="E3227" s="377"/>
      <c r="F3227" s="377"/>
      <c r="G3227" s="377"/>
      <c r="H3227" s="377"/>
      <c r="I3227" s="377"/>
      <c r="J3227" s="377"/>
      <c r="K3227" s="377"/>
      <c r="L3227" s="377"/>
      <c r="M3227" s="377"/>
      <c r="N3227" s="377"/>
      <c r="O3227" s="377"/>
      <c r="P3227" s="377"/>
      <c r="Q3227" s="377"/>
      <c r="R3227" s="377"/>
      <c r="S3227" s="42"/>
      <c r="T3227" s="42"/>
      <c r="U3227" s="42"/>
      <c r="V3227" s="42"/>
      <c r="W3227" s="86"/>
      <c r="BA3227" s="377">
        <f>PPMT('Assumptions (Oil G&amp;T)'!$B$73,Model!W$1,'Assumptions (Oil G&amp;T)'!$B$76,Model!$BA$3174)</f>
        <v>-0.47933047610922475</v>
      </c>
      <c r="BB3227" s="377">
        <f>PPMT('Assumptions (Oil G&amp;T)'!$B$73,Model!X$1,'Assumptions (Oil G&amp;T)'!$B$76,Model!$BA$3174)</f>
        <v>-0.5152802618174166</v>
      </c>
      <c r="BC3227" s="377">
        <f>PPMT('Assumptions (Oil G&amp;T)'!$B$73,Model!Y$1,'Assumptions (Oil G&amp;T)'!$B$76,Model!$BA$3174)</f>
        <v>-0.55392628145372291</v>
      </c>
      <c r="BD3227" s="377">
        <f>PPMT('Assumptions (Oil G&amp;T)'!$B$73,Model!Z$1,'Assumptions (Oil G&amp;T)'!$B$76,Model!$BA$3174)</f>
        <v>-0.59547075256275206</v>
      </c>
      <c r="BE3227" s="377">
        <f>PPMT('Assumptions (Oil G&amp;T)'!$B$73,Model!AA$1,'Assumptions (Oil G&amp;T)'!$B$76,Model!$BA$3174)</f>
        <v>-0.64013105900495837</v>
      </c>
      <c r="BF3227" s="377">
        <f>PPMT('Assumptions (Oil G&amp;T)'!$B$73,Model!AB$1,'Assumptions (Oil G&amp;T)'!$B$76,Model!$BA$3174)</f>
        <v>-0.68814088843033039</v>
      </c>
      <c r="BG3227" s="377">
        <f>PPMT('Assumptions (Oil G&amp;T)'!$B$73,Model!AC$1,'Assumptions (Oil G&amp;T)'!$B$76,Model!$BA$3174)</f>
        <v>-0.7397514550626052</v>
      </c>
      <c r="BH3227" s="377">
        <f>PPMT('Assumptions (Oil G&amp;T)'!$B$73,Model!AD$1,'Assumptions (Oil G&amp;T)'!$B$76,Model!$BA$3174)</f>
        <v>-0.79523281419230052</v>
      </c>
      <c r="BI3227" s="377">
        <f>PPMT('Assumptions (Oil G&amp;T)'!$B$73,Model!AE$1,'Assumptions (Oil G&amp;T)'!$B$76,Model!$BA$3174)</f>
        <v>-0.85487527525672313</v>
      </c>
      <c r="BJ3227" s="377">
        <f>PPMT('Assumptions (Oil G&amp;T)'!$B$73,Model!AF$1,'Assumptions (Oil G&amp;T)'!$B$76,Model!$BA$3174)</f>
        <v>-0.91899092090097723</v>
      </c>
      <c r="BK3227" s="377">
        <f>PPMT('Assumptions (Oil G&amp;T)'!$B$73,Model!AG$1,'Assumptions (Oil G&amp;T)'!$B$76,Model!$BA$3174)</f>
        <v>-0.98791523996855046</v>
      </c>
      <c r="BL3227" s="377">
        <f>PPMT('Assumptions (Oil G&amp;T)'!$B$73,Model!AH$1,'Assumptions (Oil G&amp;T)'!$B$76,Model!$BA$3174)</f>
        <v>-1.0620088829661918</v>
      </c>
      <c r="BM3227" s="377">
        <f>PPMT('Assumptions (Oil G&amp;T)'!$B$73,Model!AI$1,'Assumptions (Oil G&amp;T)'!$B$76,Model!$BA$3174)</f>
        <v>-1.1416595491886563</v>
      </c>
      <c r="BN3227" s="377">
        <f>PPMT('Assumptions (Oil G&amp;T)'!$B$73,Model!AJ$1,'Assumptions (Oil G&amp;T)'!$B$76,Model!$BA$3174)</f>
        <v>-1.2272840153778055</v>
      </c>
      <c r="BO3227" s="377">
        <f>PPMT('Assumptions (Oil G&amp;T)'!$B$73,Model!AK$1,'Assumptions (Oil G&amp;T)'!$B$76,Model!$BA$3174)</f>
        <v>-1.319330316531141</v>
      </c>
      <c r="BP3227" s="377" t="e">
        <f>PPMT('Assumptions (Oil G&amp;T)'!$B$73,Model!AL$1,'Assumptions (Oil G&amp;T)'!$B$76,Model!$BA$3174)</f>
        <v>#NUM!</v>
      </c>
      <c r="BQ3227" s="377" t="e">
        <f>PPMT('Assumptions (Oil G&amp;T)'!$B$73,Model!AM$1,'Assumptions (Oil G&amp;T)'!$B$76,Model!$BA$3174)</f>
        <v>#NUM!</v>
      </c>
      <c r="BR3227" s="377" t="e">
        <f>PPMT('Assumptions (Oil G&amp;T)'!$B$73,Model!AN$1,'Assumptions (Oil G&amp;T)'!$B$76,Model!$BA$3174)</f>
        <v>#NUM!</v>
      </c>
      <c r="BS3227" s="377" t="e">
        <f>PPMT('Assumptions (Oil G&amp;T)'!$B$73,Model!AO$1,'Assumptions (Oil G&amp;T)'!$B$76,Model!$BA$3174)</f>
        <v>#NUM!</v>
      </c>
      <c r="BT3227" s="377" t="e">
        <f>PPMT('Assumptions (Oil G&amp;T)'!$B$73,Model!AP$1,'Assumptions (Oil G&amp;T)'!$B$76,Model!$BA$3174)</f>
        <v>#NUM!</v>
      </c>
      <c r="BU3227" s="377" t="e">
        <f>PPMT('Assumptions (Oil G&amp;T)'!$B$73,Model!AQ$1,'Assumptions (Oil G&amp;T)'!$B$76,Model!$BA$3174)</f>
        <v>#NUM!</v>
      </c>
      <c r="BV3227" s="377" t="e">
        <f>PPMT('Assumptions (Oil G&amp;T)'!$B$73,Model!AR$1,'Assumptions (Oil G&amp;T)'!$B$76,Model!$BA$3174)</f>
        <v>#NUM!</v>
      </c>
      <c r="BW3227" s="377" t="e">
        <f>PPMT('Assumptions (Oil G&amp;T)'!$B$73,Model!AS$1,'Assumptions (Oil G&amp;T)'!$B$76,Model!$BA$3174)</f>
        <v>#NUM!</v>
      </c>
      <c r="BX3227" s="377" t="e">
        <f>PPMT('Assumptions (Oil G&amp;T)'!$B$73,Model!AT$1,'Assumptions (Oil G&amp;T)'!$B$76,Model!$BA$3174)</f>
        <v>#NUM!</v>
      </c>
      <c r="BY3227" s="377" t="e">
        <f>PPMT('Assumptions (Oil G&amp;T)'!$B$73,Model!AU$1,'Assumptions (Oil G&amp;T)'!$B$76,Model!$BA$3174)</f>
        <v>#NUM!</v>
      </c>
    </row>
    <row r="3228" spans="1:77" ht="15.75" customHeight="1" collapsed="1">
      <c r="A3228" s="468" t="s">
        <v>709</v>
      </c>
      <c r="B3228" s="99" t="s">
        <v>201</v>
      </c>
      <c r="C3228" s="91">
        <f t="array" ref="C3228">SUM(IF(ISERROR(C3229:C3279),"",C3229:C3279))</f>
        <v>-8.7708480358499971E-2</v>
      </c>
      <c r="D3228" s="91">
        <f t="array" ref="D3228">SUM(IF(ISERROR(D3229:D3279),"",D3229:D3279))</f>
        <v>-0.17669629802726805</v>
      </c>
      <c r="E3228" s="91">
        <f t="array" ref="E3228">SUM(IF(ISERROR(E3229:E3279),"",E3229:E3279))</f>
        <v>-0.26344254581232973</v>
      </c>
      <c r="F3228" s="91">
        <f t="array" ref="F3228">SUM(IF(ISERROR(F3229:F3279),"",F3229:F3279))</f>
        <v>-0.34718838211771613</v>
      </c>
      <c r="G3228" s="91">
        <f t="array" ref="G3228">SUM(IF(ISERROR(G3229:G3279),"",G3229:G3279))</f>
        <v>-0.48884958232851639</v>
      </c>
      <c r="H3228" s="91">
        <f t="array" ref="H3228">SUM(IF(ISERROR(H3229:H3279),"",H3229:H3279))</f>
        <v>-0.61003023727303685</v>
      </c>
      <c r="I3228" s="91">
        <f t="array" ref="I3228">SUM(IF(ISERROR(I3229:I3279),"",I3229:I3279))</f>
        <v>-0.70818440583560571</v>
      </c>
      <c r="J3228" s="91">
        <f t="array" ref="J3228">SUM(IF(ISERROR(J3229:J3279),"",J3229:J3279))</f>
        <v>-0.91376066653702104</v>
      </c>
      <c r="K3228" s="91">
        <f t="array" ref="K3228">SUM(IF(ISERROR(K3229:K3279),"",K3229:K3279))</f>
        <v>-1.1237681358900153</v>
      </c>
      <c r="L3228" s="91">
        <f t="array" ref="L3228">SUM(IF(ISERROR(L3229:L3279),"",L3229:L3279))</f>
        <v>-1.2704023254180286</v>
      </c>
      <c r="M3228" s="91">
        <f t="array" ref="M3228">SUM(IF(ISERROR(M3229:M3279),"",M3229:M3279))</f>
        <v>-1.575761645437483</v>
      </c>
      <c r="N3228" s="91">
        <f t="array" ref="N3228">SUM(IF(ISERROR(N3229:N3279),"",N3229:N3279))</f>
        <v>-1.6854438959456386</v>
      </c>
      <c r="O3228" s="91">
        <f t="array" ref="O3228">SUM(IF(ISERROR(O3229:O3279),"",O3229:O3279))</f>
        <v>-1.9382780639553423</v>
      </c>
      <c r="P3228" s="91">
        <f t="array" ref="P3228">SUM(IF(ISERROR(P3229:P3279),"",P3229:P3279))</f>
        <v>-2.597462790060705</v>
      </c>
      <c r="Q3228" s="91">
        <f t="array" ref="Q3228">SUM(IF(ISERROR(Q3229:Q3279),"",Q3229:Q3279))</f>
        <v>-3.5153207341282684</v>
      </c>
      <c r="R3228" s="91">
        <f t="array" ref="R3228">SUM(IF(ISERROR(R3229:R3279),"",R3229:R3279))</f>
        <v>-4.1142906209101744</v>
      </c>
      <c r="S3228" s="91">
        <f t="array" ref="S3228">SUM(IF(ISERROR(S3229:S3279),"",S3229:S3279))</f>
        <v>-4.361837170602815</v>
      </c>
      <c r="T3228" s="91">
        <f t="array" ref="T3228">SUM(IF(ISERROR(T3229:T3279),"",T3229:T3279))</f>
        <v>-4.8623595649264324</v>
      </c>
      <c r="U3228" s="91">
        <f t="array" ref="U3228">SUM(IF(ISERROR(U3229:U3279),"",U3229:U3279))</f>
        <v>-5.3921664080536198</v>
      </c>
      <c r="V3228" s="91">
        <f t="array" ref="V3228">SUM(IF(ISERROR(V3229:V3279),"",V3229:V3279))</f>
        <v>-5.9186658921622675</v>
      </c>
      <c r="W3228" s="91">
        <f t="array" ref="W3228">SUM(IF(ISERROR(W3229:W3279),"",W3229:W3279))</f>
        <v>-6.4294952149424542</v>
      </c>
      <c r="X3228" s="91">
        <f t="array" ref="X3228">SUM(IF(ISERROR(X3229:X3279),"",X3229:X3279))</f>
        <v>-6.9024061100862664</v>
      </c>
      <c r="Y3228" s="91">
        <f t="array" ref="Y3228">SUM(IF(ISERROR(Y3229:Y3279),"",Y3229:Y3279))</f>
        <v>-7.3195975703123031</v>
      </c>
      <c r="Z3228" s="91">
        <f t="array" ref="Z3228">SUM(IF(ISERROR(Z3229:Z3279),"",Z3229:Z3279))</f>
        <v>-7.686551078609364</v>
      </c>
      <c r="AA3228" s="91">
        <f t="array" ref="AA3228">SUM(IF(ISERROR(AA3229:AA3279),"",AA3229:AA3279))</f>
        <v>-8.0083287829131837</v>
      </c>
      <c r="AB3228" s="91">
        <f t="array" ref="AB3228">SUM(IF(ISERROR(AB3229:AB3279),"",AB3229:AB3279))</f>
        <v>-8.2715208890226322</v>
      </c>
      <c r="AC3228" s="91">
        <f t="array" ref="AC3228">SUM(IF(ISERROR(AC3229:AC3279),"",AC3229:AC3279))</f>
        <v>-8.494191806215154</v>
      </c>
      <c r="AD3228" s="91">
        <f t="array" ref="AD3228">SUM(IF(ISERROR(AD3229:AD3279),"",AD3229:AD3279))</f>
        <v>-8.6538425124560359</v>
      </c>
      <c r="AE3228" s="91">
        <f t="array" ref="AE3228">SUM(IF(ISERROR(AE3229:AE3279),"",AE3229:AE3279))</f>
        <v>-8.7561511991722778</v>
      </c>
      <c r="AF3228" s="91">
        <f t="array" ref="AF3228">SUM(IF(ISERROR(AF3229:AF3279),"",AF3229:AF3279))</f>
        <v>-8.8473897941140311</v>
      </c>
      <c r="AG3228" s="91">
        <f t="array" ref="AG3228">SUM(IF(ISERROR(AG3229:AG3279),"",AG3229:AG3279))</f>
        <v>-8.9593663585257417</v>
      </c>
      <c r="AH3228" s="91">
        <f t="array" ref="AH3228">SUM(IF(ISERROR(AH3229:AH3279),"",AH3229:AH3279))</f>
        <v>-9.0628044333139908</v>
      </c>
      <c r="AI3228" s="91">
        <f t="array" ref="AI3228">SUM(IF(ISERROR(AI3229:AI3279),"",AI3229:AI3279))</f>
        <v>-9.1186371362154688</v>
      </c>
      <c r="AJ3228" s="91">
        <f t="array" ref="AJ3228">SUM(IF(ISERROR(AJ3229:AJ3279),"",AJ3229:AJ3279))</f>
        <v>-9.1545412836331472</v>
      </c>
      <c r="AK3228" s="91">
        <f t="array" ref="AK3228">SUM(IF(ISERROR(AK3229:AK3279),"",AK3229:AK3279))</f>
        <v>-9.1784521296643451</v>
      </c>
      <c r="AL3228" s="91">
        <f t="array" ref="AL3228">SUM(IF(ISERROR(AL3229:AL3279),"",AL3229:AL3279))</f>
        <v>-9.1926884885557598</v>
      </c>
      <c r="AM3228" s="91">
        <f t="array" ref="AM3228">SUM(IF(ISERROR(AM3229:AM3279),"",AM3229:AM3279))</f>
        <v>-9.1994028358130162</v>
      </c>
      <c r="AN3228" s="91">
        <f t="array" ref="AN3228">SUM(IF(ISERROR(AN3229:AN3279),"",AN3229:AN3279))</f>
        <v>-9.1994844082374705</v>
      </c>
      <c r="AO3228" s="91">
        <f t="array" ref="AO3228">SUM(IF(ISERROR(AO3229:AO3279),"",AO3229:AO3279))</f>
        <v>-9.1947508984017308</v>
      </c>
      <c r="AP3228" s="91">
        <f t="array" ref="AP3228">SUM(IF(ISERROR(AP3229:AP3279),"",AP3229:AP3279))</f>
        <v>-9.1854690076730101</v>
      </c>
      <c r="AQ3228" s="91">
        <f t="array" ref="AQ3228">SUM(IF(ISERROR(AQ3229:AQ3279),"",AQ3229:AQ3279))</f>
        <v>-9.1722255536398283</v>
      </c>
      <c r="AR3228" s="91">
        <f t="array" ref="AR3228">SUM(IF(ISERROR(AR3229:AR3279),"",AR3229:AR3279))</f>
        <v>-9.1572114465902317</v>
      </c>
      <c r="AS3228" s="91">
        <f t="array" ref="AS3228">SUM(IF(ISERROR(AS3229:AS3279),"",AS3229:AS3279))</f>
        <v>-9.1400025464102885</v>
      </c>
      <c r="AT3228" s="91">
        <f t="array" ref="AT3228">SUM(IF(ISERROR(AT3229:AT3279),"",AT3229:AT3279))</f>
        <v>-9.1205110845033595</v>
      </c>
      <c r="AU3228" s="91">
        <f t="array" ref="AU3228">SUM(IF(ISERROR(AU3229:AU3279),"",AU3229:AU3279))</f>
        <v>-9.0991529040643577</v>
      </c>
      <c r="AV3228" s="91">
        <f t="array" ref="AV3228">SUM(IF(ISERROR(AV3229:AV3279),"",AV3229:AV3279))</f>
        <v>-9.0742257283552625</v>
      </c>
      <c r="AW3228" s="91">
        <f t="array" ref="AW3228">SUM(IF(ISERROR(AW3229:AW3279),"",AW3229:AW3279))</f>
        <v>-9.0473455363591917</v>
      </c>
      <c r="AX3228" s="91">
        <f t="array" ref="AX3228">SUM(IF(ISERROR(AX3229:AX3279),"",AX3229:AX3279))</f>
        <v>-9.019796860451903</v>
      </c>
      <c r="AY3228" s="91">
        <f t="array" ref="AY3228">SUM(IF(ISERROR(AY3229:AY3279),"",AY3229:AY3279))</f>
        <v>-8.9917533111950529</v>
      </c>
      <c r="AZ3228" s="91">
        <f t="array" ref="AZ3228">SUM(IF(ISERROR(AZ3229:AZ3279),"",AZ3229:AZ3279))</f>
        <v>-8.9606139598488728</v>
      </c>
      <c r="BA3228" s="91">
        <f t="array" ref="BA3228">SUM(IF(ISERROR(BA3229:BA3279),"",BA3229:BA3279))</f>
        <v>-8.9291417458515934</v>
      </c>
      <c r="BB3228" s="91">
        <f t="array" ref="BB3228">SUM(IF(ISERROR(BB3229:BB3279),"",BB3229:BB3279))</f>
        <v>-7.9618593192666616</v>
      </c>
      <c r="BC3228" s="91">
        <f t="array" ref="BC3228">SUM(IF(ISERROR(BC3229:BC3279),"",BC3229:BC3279))</f>
        <v>-7.0334835451475852</v>
      </c>
      <c r="BD3228" s="91">
        <f t="array" ref="BD3228">SUM(IF(ISERROR(BD3229:BD3279),"",BD3229:BD3279))</f>
        <v>-6.1464467954371331</v>
      </c>
      <c r="BE3228" s="91">
        <f t="array" ref="BE3228">SUM(IF(ISERROR(BE3229:BE3279),"",BE3229:BE3279))</f>
        <v>-5.303534256500205</v>
      </c>
      <c r="BF3228" s="91">
        <f t="array" ref="BF3228">SUM(IF(ISERROR(BF3229:BF3279),"",BF3229:BF3279))</f>
        <v>-4.5077770057597935</v>
      </c>
      <c r="BG3228" s="91">
        <f t="array" ref="BG3228">SUM(IF(ISERROR(BG3229:BG3279),"",BG3229:BG3279))</f>
        <v>-3.7624195457044611</v>
      </c>
      <c r="BH3228" s="91">
        <f t="array" ref="BH3228">SUM(IF(ISERROR(BH3229:BH3279),"",BH3229:BH3279))</f>
        <v>-3.0711573796695162</v>
      </c>
      <c r="BI3228" s="91">
        <f t="array" ref="BI3228">SUM(IF(ISERROR(BI3229:BI3279),"",BI3229:BI3279))</f>
        <v>-2.4378359476385736</v>
      </c>
      <c r="BJ3228" s="91">
        <f t="array" ref="BJ3228">SUM(IF(ISERROR(BJ3229:BJ3279),"",BJ3229:BJ3279))</f>
        <v>-1.8664743297752264</v>
      </c>
      <c r="BK3228" s="91">
        <f t="array" ref="BK3228">SUM(IF(ISERROR(BK3229:BK3279),"",BK3229:BK3279))</f>
        <v>-1.3614083460122057</v>
      </c>
      <c r="BL3228" s="91">
        <f t="array" ref="BL3228">SUM(IF(ISERROR(BL3229:BL3279),"",BL3229:BL3279))</f>
        <v>-0.9270451107724158</v>
      </c>
      <c r="BM3228" s="91">
        <f t="array" ref="BM3228">SUM(IF(ISERROR(BM3229:BM3279),"",BM3229:BM3279))</f>
        <v>-0.56824118936919477</v>
      </c>
      <c r="BN3228" s="91">
        <f t="array" ref="BN3228">SUM(IF(ISERROR(BN3229:BN3279),"",BN3229:BN3279))</f>
        <v>-0.29030685253330274</v>
      </c>
      <c r="BO3228" s="91">
        <f t="array" ref="BO3228">SUM(IF(ISERROR(BO3229:BO3279),"",BO3229:BO3279))</f>
        <v>-9.8949773739835573E-2</v>
      </c>
      <c r="BP3228" s="91">
        <f t="array" ref="BP3228">SUM(IF(ISERROR(BP3229:BP3279),"",BP3229:BP3279))</f>
        <v>0</v>
      </c>
      <c r="BQ3228" s="91">
        <f t="array" ref="BQ3228">SUM(IF(ISERROR(BQ3229:BQ3279),"",BQ3229:BQ3279))</f>
        <v>0</v>
      </c>
      <c r="BR3228" s="91">
        <f t="array" ref="BR3228">SUM(IF(ISERROR(BR3229:BR3279),"",BR3229:BR3279))</f>
        <v>0</v>
      </c>
      <c r="BS3228" s="91">
        <f t="array" ref="BS3228">SUM(IF(ISERROR(BS3229:BS3279),"",BS3229:BS3279))</f>
        <v>0</v>
      </c>
      <c r="BT3228" s="91">
        <f t="array" ref="BT3228">SUM(IF(ISERROR(BT3229:BT3279),"",BT3229:BT3279))</f>
        <v>0</v>
      </c>
      <c r="BU3228" s="91">
        <f t="array" ref="BU3228">SUM(IF(ISERROR(BU3229:BU3279),"",BU3229:BU3279))</f>
        <v>0</v>
      </c>
      <c r="BV3228" s="91">
        <f t="array" ref="BV3228">SUM(IF(ISERROR(BV3229:BV3279),"",BV3229:BV3279))</f>
        <v>0</v>
      </c>
      <c r="BW3228" s="91">
        <f t="array" ref="BW3228">SUM(IF(ISERROR(BW3229:BW3279),"",BW3229:BW3279))</f>
        <v>0</v>
      </c>
      <c r="BX3228" s="91">
        <f t="array" ref="BX3228">SUM(IF(ISERROR(BX3229:BX3279),"",BX3229:BX3279))</f>
        <v>0</v>
      </c>
      <c r="BY3228" s="91">
        <f t="array" ref="BY3228">SUM(IF(ISERROR(BY3229:BY3279),"",BY3229:BY3279))</f>
        <v>0</v>
      </c>
    </row>
    <row r="3229" spans="1:77" ht="15.75" hidden="1" customHeight="1" outlineLevel="1">
      <c r="A3229" s="468"/>
      <c r="B3229" s="99"/>
      <c r="C3229" s="377">
        <f>IPMT('Assumptions (Oil G&amp;T)'!$B$73,Model!W$1,'Assumptions (Oil G&amp;T)'!$B$76,Model!$C$3174)</f>
        <v>-8.7708480358499971E-2</v>
      </c>
      <c r="D3229" s="377">
        <f>IPMT('Assumptions (Oil G&amp;T)'!$B$73,Model!X$1,'Assumptions (Oil G&amp;T)'!$B$76,Model!$C$3174)</f>
        <v>-8.4350365049518067E-2</v>
      </c>
      <c r="E3229" s="377">
        <f>IPMT('Assumptions (Oil G&amp;T)'!$B$73,Model!Y$1,'Assumptions (Oil G&amp;T)'!$B$76,Model!$C$3174)</f>
        <v>-8.0740391092362529E-2</v>
      </c>
      <c r="F3229" s="377">
        <f>IPMT('Assumptions (Oil G&amp;T)'!$B$73,Model!Z$1,'Assumptions (Oil G&amp;T)'!$B$76,Model!$C$3174)</f>
        <v>-7.6859669088420318E-2</v>
      </c>
      <c r="G3229" s="377">
        <f>IPMT('Assumptions (Oil G&amp;T)'!$B$73,Model!AA$1,'Assumptions (Oil G&amp;T)'!$B$76,Model!$C$3174)</f>
        <v>-7.268789293418243E-2</v>
      </c>
      <c r="H3229" s="377">
        <f>IPMT('Assumptions (Oil G&amp;T)'!$B$73,Model!AB$1,'Assumptions (Oil G&amp;T)'!$B$76,Model!$C$3174)</f>
        <v>-6.8203233568376723E-2</v>
      </c>
      <c r="I3229" s="377">
        <f>IPMT('Assumptions (Oil G&amp;T)'!$B$73,Model!AC$1,'Assumptions (Oil G&amp;T)'!$B$76,Model!$C$3174)</f>
        <v>-6.338222475013558E-2</v>
      </c>
      <c r="J3229" s="377">
        <f>IPMT('Assumptions (Oil G&amp;T)'!$B$73,Model!AD$1,'Assumptions (Oil G&amp;T)'!$B$76,Model!$C$3174)</f>
        <v>-5.8199640270526341E-2</v>
      </c>
      <c r="K3229" s="377">
        <f>IPMT('Assumptions (Oil G&amp;T)'!$B$73,Model!AE$1,'Assumptions (Oil G&amp;T)'!$B$76,Model!$C$3174)</f>
        <v>-5.2628361954946419E-2</v>
      </c>
      <c r="L3229" s="377">
        <f>IPMT('Assumptions (Oil G&amp;T)'!$B$73,Model!AF$1,'Assumptions (Oil G&amp;T)'!$B$76,Model!$C$3174)</f>
        <v>-4.6639237765697998E-2</v>
      </c>
      <c r="M3229" s="377">
        <f>IPMT('Assumptions (Oil G&amp;T)'!$B$73,Model!AG$1,'Assumptions (Oil G&amp;T)'!$B$76,Model!$C$3174)</f>
        <v>-4.0200929262255956E-2</v>
      </c>
      <c r="N3229" s="377">
        <f>IPMT('Assumptions (Oil G&amp;T)'!$B$73,Model!AH$1,'Assumptions (Oil G&amp;T)'!$B$76,Model!$C$3174)</f>
        <v>-3.3279747621055754E-2</v>
      </c>
      <c r="O3229" s="377">
        <f>IPMT('Assumptions (Oil G&amp;T)'!$B$73,Model!AI$1,'Assumptions (Oil G&amp;T)'!$B$76,Model!$C$3174)</f>
        <v>-2.5839477356765526E-2</v>
      </c>
      <c r="P3229" s="377">
        <f>IPMT('Assumptions (Oil G&amp;T)'!$B$73,Model!AJ$1,'Assumptions (Oil G&amp;T)'!$B$76,Model!$C$3174)</f>
        <v>-1.7841186822653548E-2</v>
      </c>
      <c r="Q3229" s="377">
        <f>IPMT('Assumptions (Oil G&amp;T)'!$B$73,Model!AK$1,'Assumptions (Oil G&amp;T)'!$B$76,Model!$C$3174)</f>
        <v>-9.2430244984831635E-3</v>
      </c>
      <c r="R3229" s="377" t="e">
        <f>IPMT('Assumptions (Oil G&amp;T)'!$B$73,Model!AL$1,'Assumptions (Oil G&amp;T)'!$B$76,Model!$C$3174)</f>
        <v>#NUM!</v>
      </c>
      <c r="S3229" s="377" t="e">
        <f>IPMT('Assumptions (Oil G&amp;T)'!$B$73,Model!AM$1,'Assumptions (Oil G&amp;T)'!$B$76,Model!$C$3174)</f>
        <v>#NUM!</v>
      </c>
      <c r="T3229" s="377" t="e">
        <f>IPMT('Assumptions (Oil G&amp;T)'!$B$73,Model!AN$1,'Assumptions (Oil G&amp;T)'!$B$76,Model!$C$3174)</f>
        <v>#NUM!</v>
      </c>
      <c r="U3229" s="377" t="e">
        <f>IPMT('Assumptions (Oil G&amp;T)'!$B$73,Model!AO$1,'Assumptions (Oil G&amp;T)'!$B$76,Model!$C$3174)</f>
        <v>#NUM!</v>
      </c>
      <c r="V3229" s="377" t="e">
        <f>IPMT('Assumptions (Oil G&amp;T)'!$B$73,Model!AP$1,'Assumptions (Oil G&amp;T)'!$B$76,Model!$C$3174)</f>
        <v>#NUM!</v>
      </c>
      <c r="W3229" s="377" t="e">
        <f>IPMT('Assumptions (Oil G&amp;T)'!$B$73,Model!AQ$1,'Assumptions (Oil G&amp;T)'!$B$76,Model!$C$3174)</f>
        <v>#NUM!</v>
      </c>
      <c r="X3229" s="377" t="e">
        <f>IPMT('Assumptions (Oil G&amp;T)'!$B$73,Model!AR$1,'Assumptions (Oil G&amp;T)'!$B$76,Model!$C$3174)</f>
        <v>#NUM!</v>
      </c>
      <c r="Y3229" s="377" t="e">
        <f>IPMT('Assumptions (Oil G&amp;T)'!$B$73,Model!AS$1,'Assumptions (Oil G&amp;T)'!$B$76,Model!$C$3174)</f>
        <v>#NUM!</v>
      </c>
      <c r="Z3229" s="377" t="e">
        <f>IPMT('Assumptions (Oil G&amp;T)'!$B$73,Model!AT$1,'Assumptions (Oil G&amp;T)'!$B$76,Model!$C$3174)</f>
        <v>#NUM!</v>
      </c>
      <c r="AA3229" s="377" t="e">
        <f>IPMT('Assumptions (Oil G&amp;T)'!$B$73,Model!AU$1,'Assumptions (Oil G&amp;T)'!$B$76,Model!$C$3174)</f>
        <v>#NUM!</v>
      </c>
      <c r="AB3229" s="377"/>
    </row>
    <row r="3230" spans="1:77" ht="15.75" hidden="1" customHeight="1" outlineLevel="1">
      <c r="A3230" s="468"/>
      <c r="B3230" s="99"/>
      <c r="C3230" s="377"/>
      <c r="D3230" s="377">
        <f>IPMT('Assumptions (Oil G&amp;T)'!$B$73,Model!W$1,'Assumptions (Oil G&amp;T)'!$B$76,Model!$D$3174)</f>
        <v>-9.2345932977749998E-2</v>
      </c>
      <c r="E3230" s="377">
        <f>IPMT('Assumptions (Oil G&amp;T)'!$B$73,Model!X$1,'Assumptions (Oil G&amp;T)'!$B$76,Model!$D$3174)</f>
        <v>-8.8810262424717248E-2</v>
      </c>
      <c r="F3230" s="377">
        <f>IPMT('Assumptions (Oil G&amp;T)'!$B$73,Model!Y$1,'Assumptions (Oil G&amp;T)'!$B$76,Model!$D$3174)</f>
        <v>-8.5009416580207067E-2</v>
      </c>
      <c r="G3230" s="377">
        <f>IPMT('Assumptions (Oil G&amp;T)'!$B$73,Model!Z$1,'Assumptions (Oil G&amp;T)'!$B$76,Model!$D$3174)</f>
        <v>-8.0923507297358602E-2</v>
      </c>
      <c r="H3230" s="377">
        <f>IPMT('Assumptions (Oil G&amp;T)'!$B$73,Model!AA$1,'Assumptions (Oil G&amp;T)'!$B$76,Model!$D$3174)</f>
        <v>-7.6531154818296504E-2</v>
      </c>
      <c r="I3230" s="377">
        <f>IPMT('Assumptions (Oil G&amp;T)'!$B$73,Model!AB$1,'Assumptions (Oil G&amp;T)'!$B$76,Model!$D$3174)</f>
        <v>-7.1809375903304745E-2</v>
      </c>
      <c r="J3230" s="377">
        <f>IPMT('Assumptions (Oil G&amp;T)'!$B$73,Model!AC$1,'Assumptions (Oil G&amp;T)'!$B$76,Model!$D$3174)</f>
        <v>-6.6733463569688609E-2</v>
      </c>
      <c r="K3230" s="377">
        <f>IPMT('Assumptions (Oil G&amp;T)'!$B$73,Model!AD$1,'Assumptions (Oil G&amp;T)'!$B$76,Model!$D$3174)</f>
        <v>-6.1276857811051265E-2</v>
      </c>
      <c r="L3230" s="377">
        <f>IPMT('Assumptions (Oil G&amp;T)'!$B$73,Model!AE$1,'Assumptions (Oil G&amp;T)'!$B$76,Model!$D$3174)</f>
        <v>-5.5411006620516116E-2</v>
      </c>
      <c r="M3230" s="377">
        <f>IPMT('Assumptions (Oil G&amp;T)'!$B$73,Model!AF$1,'Assumptions (Oil G&amp;T)'!$B$76,Model!$D$3174)</f>
        <v>-4.9105216590690837E-2</v>
      </c>
      <c r="N3230" s="377">
        <f>IPMT('Assumptions (Oil G&amp;T)'!$B$73,Model!AG$1,'Assumptions (Oil G&amp;T)'!$B$76,Model!$D$3174)</f>
        <v>-4.2326492308628665E-2</v>
      </c>
      <c r="O3230" s="377">
        <f>IPMT('Assumptions (Oil G&amp;T)'!$B$73,Model!AH$1,'Assumptions (Oil G&amp;T)'!$B$76,Model!$D$3174)</f>
        <v>-3.5039363705411823E-2</v>
      </c>
      <c r="P3230" s="377">
        <f>IPMT('Assumptions (Oil G&amp;T)'!$B$73,Model!AI$1,'Assumptions (Oil G&amp;T)'!$B$76,Model!$D$3174)</f>
        <v>-2.7205700456953707E-2</v>
      </c>
      <c r="Q3230" s="377">
        <f>IPMT('Assumptions (Oil G&amp;T)'!$B$73,Model!AJ$1,'Assumptions (Oil G&amp;T)'!$B$76,Model!$D$3174)</f>
        <v>-1.8784512464861246E-2</v>
      </c>
      <c r="R3230" s="377">
        <f>IPMT('Assumptions (Oil G&amp;T)'!$B$73,Model!AK$1,'Assumptions (Oil G&amp;T)'!$B$76,Model!$D$3174)</f>
        <v>-9.7317353733618519E-3</v>
      </c>
      <c r="S3230" s="377" t="e">
        <f>IPMT('Assumptions (Oil G&amp;T)'!$B$73,Model!AL$1,'Assumptions (Oil G&amp;T)'!$B$76,Model!$D$3174)</f>
        <v>#NUM!</v>
      </c>
      <c r="T3230" s="377" t="e">
        <f>IPMT('Assumptions (Oil G&amp;T)'!$B$73,Model!AM$1,'Assumptions (Oil G&amp;T)'!$B$76,Model!$D$3174)</f>
        <v>#NUM!</v>
      </c>
      <c r="U3230" s="377" t="e">
        <f>IPMT('Assumptions (Oil G&amp;T)'!$B$73,Model!AN$1,'Assumptions (Oil G&amp;T)'!$B$76,Model!$D$3174)</f>
        <v>#NUM!</v>
      </c>
      <c r="V3230" s="377" t="e">
        <f>IPMT('Assumptions (Oil G&amp;T)'!$B$73,Model!AO$1,'Assumptions (Oil G&amp;T)'!$B$76,Model!$D$3174)</f>
        <v>#NUM!</v>
      </c>
      <c r="W3230" s="377" t="e">
        <f>IPMT('Assumptions (Oil G&amp;T)'!$B$73,Model!AP$1,'Assumptions (Oil G&amp;T)'!$B$76,Model!$D$3174)</f>
        <v>#NUM!</v>
      </c>
      <c r="X3230" s="377" t="e">
        <f>IPMT('Assumptions (Oil G&amp;T)'!$B$73,Model!AQ$1,'Assumptions (Oil G&amp;T)'!$B$76,Model!$D$3174)</f>
        <v>#NUM!</v>
      </c>
      <c r="Y3230" s="377" t="e">
        <f>IPMT('Assumptions (Oil G&amp;T)'!$B$73,Model!AR$1,'Assumptions (Oil G&amp;T)'!$B$76,Model!$D$3174)</f>
        <v>#NUM!</v>
      </c>
      <c r="Z3230" s="377" t="e">
        <f>IPMT('Assumptions (Oil G&amp;T)'!$B$73,Model!AS$1,'Assumptions (Oil G&amp;T)'!$B$76,Model!$D$3174)</f>
        <v>#NUM!</v>
      </c>
      <c r="AA3230" s="377" t="e">
        <f>IPMT('Assumptions (Oil G&amp;T)'!$B$73,Model!AT$1,'Assumptions (Oil G&amp;T)'!$B$76,Model!$D$3174)</f>
        <v>#NUM!</v>
      </c>
      <c r="AB3230" s="377" t="e">
        <f>IPMT('Assumptions (Oil G&amp;T)'!$B$73,Model!AU$1,'Assumptions (Oil G&amp;T)'!$B$76,Model!$D$3174)</f>
        <v>#NUM!</v>
      </c>
    </row>
    <row r="3231" spans="1:77" ht="15.75" hidden="1" customHeight="1" outlineLevel="1">
      <c r="A3231" s="468"/>
      <c r="B3231" s="99"/>
      <c r="C3231" s="377"/>
      <c r="D3231" s="377"/>
      <c r="E3231" s="377">
        <f>IPMT('Assumptions (Oil G&amp;T)'!$B$73,Model!W$1,'Assumptions (Oil G&amp;T)'!$B$76,Model!$E$3174)</f>
        <v>-9.3891892295249996E-2</v>
      </c>
      <c r="F3231" s="377">
        <f>IPMT('Assumptions (Oil G&amp;T)'!$B$73,Model!X$1,'Assumptions (Oil G&amp;T)'!$B$76,Model!$E$3174)</f>
        <v>-9.0297031232588754E-2</v>
      </c>
      <c r="G3231" s="377">
        <f>IPMT('Assumptions (Oil G&amp;T)'!$B$73,Model!Y$1,'Assumptions (Oil G&amp;T)'!$B$76,Model!$E$3174)</f>
        <v>-8.6432555590227944E-2</v>
      </c>
      <c r="H3231" s="377">
        <f>IPMT('Assumptions (Oil G&amp;T)'!$B$73,Model!Z$1,'Assumptions (Oil G&amp;T)'!$B$76,Model!$E$3174)</f>
        <v>-8.2278244274690063E-2</v>
      </c>
      <c r="I3231" s="377">
        <f>IPMT('Assumptions (Oil G&amp;T)'!$B$73,Model!AA$1,'Assumptions (Oil G&amp;T)'!$B$76,Model!$E$3174)</f>
        <v>-7.7812359610486825E-2</v>
      </c>
      <c r="J3231" s="377">
        <f>IPMT('Assumptions (Oil G&amp;T)'!$B$73,Model!AB$1,'Assumptions (Oil G&amp;T)'!$B$76,Model!$E$3174)</f>
        <v>-7.301153359646835E-2</v>
      </c>
      <c r="K3231" s="377">
        <f>IPMT('Assumptions (Oil G&amp;T)'!$B$73,Model!AC$1,'Assumptions (Oil G&amp;T)'!$B$76,Model!$E$3174)</f>
        <v>-6.7850645631398504E-2</v>
      </c>
      <c r="L3231" s="377">
        <f>IPMT('Assumptions (Oil G&amp;T)'!$B$73,Model!AD$1,'Assumptions (Oil G&amp;T)'!$B$76,Model!$E$3174)</f>
        <v>-6.230269106894841E-2</v>
      </c>
      <c r="M3231" s="377">
        <f>IPMT('Assumptions (Oil G&amp;T)'!$B$73,Model!AE$1,'Assumptions (Oil G&amp;T)'!$B$76,Model!$E$3174)</f>
        <v>-5.6338639914314564E-2</v>
      </c>
      <c r="N3231" s="377">
        <f>IPMT('Assumptions (Oil G&amp;T)'!$B$73,Model!AF$1,'Assumptions (Oil G&amp;T)'!$B$76,Model!$E$3174)</f>
        <v>-4.9927284923083168E-2</v>
      </c>
      <c r="O3231" s="377">
        <f>IPMT('Assumptions (Oil G&amp;T)'!$B$73,Model!AG$1,'Assumptions (Oil G&amp;T)'!$B$76,Model!$E$3174)</f>
        <v>-4.3035078307509432E-2</v>
      </c>
      <c r="P3231" s="377">
        <f>IPMT('Assumptions (Oil G&amp;T)'!$B$73,Model!AH$1,'Assumptions (Oil G&amp;T)'!$B$76,Model!$E$3174)</f>
        <v>-3.5625956195767666E-2</v>
      </c>
      <c r="Q3231" s="377">
        <f>IPMT('Assumptions (Oil G&amp;T)'!$B$73,Model!AI$1,'Assumptions (Oil G&amp;T)'!$B$76,Model!$E$3174)</f>
        <v>-2.7661149925645254E-2</v>
      </c>
      <c r="R3231" s="377">
        <f>IPMT('Assumptions (Oil G&amp;T)'!$B$73,Model!AJ$1,'Assumptions (Oil G&amp;T)'!$B$76,Model!$E$3174)</f>
        <v>-1.9098983185263672E-2</v>
      </c>
      <c r="S3231" s="377">
        <f>IPMT('Assumptions (Oil G&amp;T)'!$B$73,Model!AK$1,'Assumptions (Oil G&amp;T)'!$B$76,Model!$E$3174)</f>
        <v>-9.8946539393534698E-3</v>
      </c>
      <c r="T3231" s="377" t="e">
        <f>IPMT('Assumptions (Oil G&amp;T)'!$B$73,Model!AL$1,'Assumptions (Oil G&amp;T)'!$B$76,Model!$E$3174)</f>
        <v>#NUM!</v>
      </c>
      <c r="U3231" s="377" t="e">
        <f>IPMT('Assumptions (Oil G&amp;T)'!$B$73,Model!AM$1,'Assumptions (Oil G&amp;T)'!$B$76,Model!$E$3174)</f>
        <v>#NUM!</v>
      </c>
      <c r="V3231" s="377" t="e">
        <f>IPMT('Assumptions (Oil G&amp;T)'!$B$73,Model!AN$1,'Assumptions (Oil G&amp;T)'!$B$76,Model!$E$3174)</f>
        <v>#NUM!</v>
      </c>
      <c r="W3231" s="377" t="e">
        <f>IPMT('Assumptions (Oil G&amp;T)'!$B$73,Model!AO$1,'Assumptions (Oil G&amp;T)'!$B$76,Model!$E$3174)</f>
        <v>#NUM!</v>
      </c>
      <c r="X3231" s="377" t="e">
        <f>IPMT('Assumptions (Oil G&amp;T)'!$B$73,Model!AP$1,'Assumptions (Oil G&amp;T)'!$B$76,Model!$E$3174)</f>
        <v>#NUM!</v>
      </c>
      <c r="Y3231" s="377" t="e">
        <f>IPMT('Assumptions (Oil G&amp;T)'!$B$73,Model!AQ$1,'Assumptions (Oil G&amp;T)'!$B$76,Model!$E$3174)</f>
        <v>#NUM!</v>
      </c>
      <c r="Z3231" s="377" t="e">
        <f>IPMT('Assumptions (Oil G&amp;T)'!$B$73,Model!AR$1,'Assumptions (Oil G&amp;T)'!$B$76,Model!$E$3174)</f>
        <v>#NUM!</v>
      </c>
      <c r="AA3231" s="377" t="e">
        <f>IPMT('Assumptions (Oil G&amp;T)'!$B$73,Model!AS$1,'Assumptions (Oil G&amp;T)'!$B$76,Model!$E$3174)</f>
        <v>#NUM!</v>
      </c>
      <c r="AB3231" s="377" t="e">
        <f>IPMT('Assumptions (Oil G&amp;T)'!$B$73,Model!AT$1,'Assumptions (Oil G&amp;T)'!$B$76,Model!$E$3174)</f>
        <v>#NUM!</v>
      </c>
      <c r="AC3231" s="377" t="e">
        <f>IPMT('Assumptions (Oil G&amp;T)'!$B$73,Model!AU$1,'Assumptions (Oil G&amp;T)'!$B$76,Model!$E$3174)</f>
        <v>#NUM!</v>
      </c>
    </row>
    <row r="3232" spans="1:77" ht="15.75" hidden="1" customHeight="1" outlineLevel="1">
      <c r="A3232" s="468"/>
      <c r="B3232" s="99"/>
      <c r="C3232" s="377"/>
      <c r="D3232" s="377"/>
      <c r="E3232" s="377"/>
      <c r="F3232" s="377">
        <f>IPMT('Assumptions (Oil G&amp;T)'!$B$73,Model!W$1,'Assumptions (Oil G&amp;T)'!$B$76,Model!$F$3174)</f>
        <v>-9.5022265216499979E-2</v>
      </c>
      <c r="G3232" s="377">
        <f>IPMT('Assumptions (Oil G&amp;T)'!$B$73,Model!X$1,'Assumptions (Oil G&amp;T)'!$B$76,Model!$F$3174)</f>
        <v>-9.1384125298747509E-2</v>
      </c>
      <c r="H3232" s="377">
        <f>IPMT('Assumptions (Oil G&amp;T)'!$B$73,Model!Y$1,'Assumptions (Oil G&amp;T)'!$B$76,Model!$F$3174)</f>
        <v>-8.747312488716362E-2</v>
      </c>
      <c r="I3232" s="377">
        <f>IPMT('Assumptions (Oil G&amp;T)'!$B$73,Model!Z$1,'Assumptions (Oil G&amp;T)'!$B$76,Model!$F$3174)</f>
        <v>-8.3268799444710925E-2</v>
      </c>
      <c r="J3232" s="377">
        <f>IPMT('Assumptions (Oil G&amp;T)'!$B$73,Model!AA$1,'Assumptions (Oil G&amp;T)'!$B$76,Model!$F$3174)</f>
        <v>-7.8749149594074266E-2</v>
      </c>
      <c r="K3232" s="377">
        <f>IPMT('Assumptions (Oil G&amp;T)'!$B$73,Model!AB$1,'Assumptions (Oil G&amp;T)'!$B$76,Model!$F$3174)</f>
        <v>-7.389052600463987E-2</v>
      </c>
      <c r="L3232" s="377">
        <f>IPMT('Assumptions (Oil G&amp;T)'!$B$73,Model!AC$1,'Assumptions (Oil G&amp;T)'!$B$76,Model!$F$3174)</f>
        <v>-6.8667505645997898E-2</v>
      </c>
      <c r="M3232" s="377">
        <f>IPMT('Assumptions (Oil G&amp;T)'!$B$73,Model!AD$1,'Assumptions (Oil G&amp;T)'!$B$76,Model!$F$3174)</f>
        <v>-6.3052758760457767E-2</v>
      </c>
      <c r="N3232" s="377">
        <f>IPMT('Assumptions (Oil G&amp;T)'!$B$73,Model!AE$1,'Assumptions (Oil G&amp;T)'!$B$76,Model!$F$3174)</f>
        <v>-5.701690585850213E-2</v>
      </c>
      <c r="O3232" s="377">
        <f>IPMT('Assumptions (Oil G&amp;T)'!$B$73,Model!AF$1,'Assumptions (Oil G&amp;T)'!$B$76,Model!$F$3174)</f>
        <v>-5.052836398889983E-2</v>
      </c>
      <c r="P3232" s="377">
        <f>IPMT('Assumptions (Oil G&amp;T)'!$B$73,Model!AG$1,'Assumptions (Oil G&amp;T)'!$B$76,Model!$F$3174)</f>
        <v>-4.3553181479077351E-2</v>
      </c>
      <c r="Q3232" s="377">
        <f>IPMT('Assumptions (Oil G&amp;T)'!$B$73,Model!AH$1,'Assumptions (Oil G&amp;T)'!$B$76,Model!$F$3174)</f>
        <v>-3.6054860281018189E-2</v>
      </c>
      <c r="R3232" s="377">
        <f>IPMT('Assumptions (Oil G&amp;T)'!$B$73,Model!AI$1,'Assumptions (Oil G&amp;T)'!$B$76,Model!$F$3174)</f>
        <v>-2.7994164993104573E-2</v>
      </c>
      <c r="S3232" s="377">
        <f>IPMT('Assumptions (Oil G&amp;T)'!$B$73,Model!AJ$1,'Assumptions (Oil G&amp;T)'!$B$76,Model!$F$3174)</f>
        <v>-1.9328917558597454E-2</v>
      </c>
      <c r="T3232" s="377">
        <f>IPMT('Assumptions (Oil G&amp;T)'!$B$73,Model!AK$1,'Assumptions (Oil G&amp;T)'!$B$76,Model!$F$3174)</f>
        <v>-1.0013776566502297E-2</v>
      </c>
      <c r="U3232" s="377" t="e">
        <f>IPMT('Assumptions (Oil G&amp;T)'!$B$73,Model!AL$1,'Assumptions (Oil G&amp;T)'!$B$76,Model!$F$3174)</f>
        <v>#NUM!</v>
      </c>
      <c r="V3232" s="377" t="e">
        <f>IPMT('Assumptions (Oil G&amp;T)'!$B$73,Model!AM$1,'Assumptions (Oil G&amp;T)'!$B$76,Model!$F$3174)</f>
        <v>#NUM!</v>
      </c>
      <c r="W3232" s="377" t="e">
        <f>IPMT('Assumptions (Oil G&amp;T)'!$B$73,Model!AN$1,'Assumptions (Oil G&amp;T)'!$B$76,Model!$F$3174)</f>
        <v>#NUM!</v>
      </c>
      <c r="X3232" s="377" t="e">
        <f>IPMT('Assumptions (Oil G&amp;T)'!$B$73,Model!AO$1,'Assumptions (Oil G&amp;T)'!$B$76,Model!$F$3174)</f>
        <v>#NUM!</v>
      </c>
      <c r="Y3232" s="377" t="e">
        <f>IPMT('Assumptions (Oil G&amp;T)'!$B$73,Model!AP$1,'Assumptions (Oil G&amp;T)'!$B$76,Model!$F$3174)</f>
        <v>#NUM!</v>
      </c>
      <c r="Z3232" s="377" t="e">
        <f>IPMT('Assumptions (Oil G&amp;T)'!$B$73,Model!AQ$1,'Assumptions (Oil G&amp;T)'!$B$76,Model!$F$3174)</f>
        <v>#NUM!</v>
      </c>
      <c r="AA3232" s="377" t="e">
        <f>IPMT('Assumptions (Oil G&amp;T)'!$B$73,Model!AR$1,'Assumptions (Oil G&amp;T)'!$B$76,Model!$F$3174)</f>
        <v>#NUM!</v>
      </c>
      <c r="AB3232" s="377" t="e">
        <f>IPMT('Assumptions (Oil G&amp;T)'!$B$73,Model!AS$1,'Assumptions (Oil G&amp;T)'!$B$76,Model!$F$3174)</f>
        <v>#NUM!</v>
      </c>
      <c r="AC3232" s="377" t="e">
        <f>IPMT('Assumptions (Oil G&amp;T)'!$B$73,Model!AT$1,'Assumptions (Oil G&amp;T)'!$B$76,Model!$F$3174)</f>
        <v>#NUM!</v>
      </c>
      <c r="AD3232" s="377" t="e">
        <f>IPMT('Assumptions (Oil G&amp;T)'!$B$73,Model!AU$1,'Assumptions (Oil G&amp;T)'!$B$76,Model!$F$3174)</f>
        <v>#NUM!</v>
      </c>
    </row>
    <row r="3233" spans="1:46" ht="15.75" hidden="1" customHeight="1" outlineLevel="1">
      <c r="A3233" s="468"/>
      <c r="B3233" s="99"/>
      <c r="C3233" s="377"/>
      <c r="D3233" s="377"/>
      <c r="E3233" s="377"/>
      <c r="F3233" s="377"/>
      <c r="G3233" s="377">
        <f>IPMT('Assumptions (Oil G&amp;T)'!$B$73,Model!W$1,'Assumptions (Oil G&amp;T)'!$B$76,Model!$G$3174)</f>
        <v>-0.15742150120799994</v>
      </c>
      <c r="H3233" s="377">
        <f>IPMT('Assumptions (Oil G&amp;T)'!$B$73,Model!X$1,'Assumptions (Oil G&amp;T)'!$B$76,Model!$G$3174)</f>
        <v>-0.15139426699975994</v>
      </c>
      <c r="I3233" s="377">
        <f>IPMT('Assumptions (Oil G&amp;T)'!$B$73,Model!Y$1,'Assumptions (Oil G&amp;T)'!$B$76,Model!$G$3174)</f>
        <v>-0.14491499022590193</v>
      </c>
      <c r="J3233" s="377">
        <f>IPMT('Assumptions (Oil G&amp;T)'!$B$73,Model!Z$1,'Assumptions (Oil G&amp;T)'!$B$76,Model!$G$3174)</f>
        <v>-0.1379497676940046</v>
      </c>
      <c r="K3233" s="377">
        <f>IPMT('Assumptions (Oil G&amp;T)'!$B$73,Model!AA$1,'Assumptions (Oil G&amp;T)'!$B$76,Model!$G$3174)</f>
        <v>-0.13046215347221493</v>
      </c>
      <c r="L3233" s="377">
        <f>IPMT('Assumptions (Oil G&amp;T)'!$B$73,Model!AB$1,'Assumptions (Oil G&amp;T)'!$B$76,Model!$G$3174)</f>
        <v>-0.12241296818379103</v>
      </c>
      <c r="M3233" s="377">
        <f>IPMT('Assumptions (Oil G&amp;T)'!$B$73,Model!AC$1,'Assumptions (Oil G&amp;T)'!$B$76,Model!$G$3174)</f>
        <v>-0.11376009399873536</v>
      </c>
      <c r="N3233" s="377">
        <f>IPMT('Assumptions (Oil G&amp;T)'!$B$73,Model!AD$1,'Assumptions (Oil G&amp;T)'!$B$76,Model!$G$3174)</f>
        <v>-0.10445825424980051</v>
      </c>
      <c r="O3233" s="377">
        <f>IPMT('Assumptions (Oil G&amp;T)'!$B$73,Model!AE$1,'Assumptions (Oil G&amp;T)'!$B$76,Model!$G$3174)</f>
        <v>-9.4458776519695573E-2</v>
      </c>
      <c r="P3233" s="377">
        <f>IPMT('Assumptions (Oil G&amp;T)'!$B$73,Model!AF$1,'Assumptions (Oil G&amp;T)'!$B$76,Model!$G$3174)</f>
        <v>-8.3709337959832722E-2</v>
      </c>
      <c r="Q3233" s="377">
        <f>IPMT('Assumptions (Oil G&amp;T)'!$B$73,Model!AG$1,'Assumptions (Oil G&amp;T)'!$B$76,Model!$G$3174)</f>
        <v>-7.2153691507980178E-2</v>
      </c>
      <c r="R3233" s="377">
        <f>IPMT('Assumptions (Oil G&amp;T)'!$B$73,Model!AH$1,'Assumptions (Oil G&amp;T)'!$B$76,Model!$G$3174)</f>
        <v>-5.9731371572238706E-2</v>
      </c>
      <c r="S3233" s="377">
        <f>IPMT('Assumptions (Oil G&amp;T)'!$B$73,Model!AI$1,'Assumptions (Oil G&amp;T)'!$B$76,Model!$G$3174)</f>
        <v>-4.6377377641316594E-2</v>
      </c>
      <c r="T3233" s="377">
        <f>IPMT('Assumptions (Oil G&amp;T)'!$B$73,Model!AJ$1,'Assumptions (Oil G&amp;T)'!$B$76,Model!$G$3174)</f>
        <v>-3.2021834165575337E-2</v>
      </c>
      <c r="U3233" s="377">
        <f>IPMT('Assumptions (Oil G&amp;T)'!$B$73,Model!AK$1,'Assumptions (Oil G&amp;T)'!$B$76,Model!$G$3174)</f>
        <v>-1.6589624929153491E-2</v>
      </c>
      <c r="V3233" s="377" t="e">
        <f>IPMT('Assumptions (Oil G&amp;T)'!$B$73,Model!AL$1,'Assumptions (Oil G&amp;T)'!$B$76,Model!$G$3174)</f>
        <v>#NUM!</v>
      </c>
      <c r="W3233" s="377" t="e">
        <f>IPMT('Assumptions (Oil G&amp;T)'!$B$73,Model!AM$1,'Assumptions (Oil G&amp;T)'!$B$76,Model!$G$3174)</f>
        <v>#NUM!</v>
      </c>
      <c r="X3233" s="377" t="e">
        <f>IPMT('Assumptions (Oil G&amp;T)'!$B$73,Model!AN$1,'Assumptions (Oil G&amp;T)'!$B$76,Model!$G$3174)</f>
        <v>#NUM!</v>
      </c>
      <c r="Y3233" s="377" t="e">
        <f>IPMT('Assumptions (Oil G&amp;T)'!$B$73,Model!AO$1,'Assumptions (Oil G&amp;T)'!$B$76,Model!$G$3174)</f>
        <v>#NUM!</v>
      </c>
      <c r="Z3233" s="377" t="e">
        <f>IPMT('Assumptions (Oil G&amp;T)'!$B$73,Model!AP$1,'Assumptions (Oil G&amp;T)'!$B$76,Model!$G$3174)</f>
        <v>#NUM!</v>
      </c>
      <c r="AA3233" s="377" t="e">
        <f>IPMT('Assumptions (Oil G&amp;T)'!$B$73,Model!AQ$1,'Assumptions (Oil G&amp;T)'!$B$76,Model!$G$3174)</f>
        <v>#NUM!</v>
      </c>
      <c r="AB3233" s="377" t="e">
        <f>IPMT('Assumptions (Oil G&amp;T)'!$B$73,Model!AR$1,'Assumptions (Oil G&amp;T)'!$B$76,Model!$G$3174)</f>
        <v>#NUM!</v>
      </c>
      <c r="AC3233" s="377" t="e">
        <f>IPMT('Assumptions (Oil G&amp;T)'!$B$73,Model!AS$1,'Assumptions (Oil G&amp;T)'!$B$76,Model!$G$3174)</f>
        <v>#NUM!</v>
      </c>
      <c r="AD3233" s="377" t="e">
        <f>IPMT('Assumptions (Oil G&amp;T)'!$B$73,Model!AT$1,'Assumptions (Oil G&amp;T)'!$B$76,Model!$G$3174)</f>
        <v>#NUM!</v>
      </c>
      <c r="AE3233" s="377" t="e">
        <f>IPMT('Assumptions (Oil G&amp;T)'!$B$73,Model!AU$1,'Assumptions (Oil G&amp;T)'!$B$76,Model!$G$3174)</f>
        <v>#NUM!</v>
      </c>
    </row>
    <row r="3234" spans="1:46" ht="15.75" hidden="1" customHeight="1" outlineLevel="1">
      <c r="A3234" s="468"/>
      <c r="B3234" s="99"/>
      <c r="C3234" s="377"/>
      <c r="D3234" s="377"/>
      <c r="E3234" s="377"/>
      <c r="F3234" s="377"/>
      <c r="G3234" s="377"/>
      <c r="H3234" s="377">
        <f>IPMT('Assumptions (Oil G&amp;T)'!$B$73,Model!W$1,'Assumptions (Oil G&amp;T)'!$B$76,Model!$H$3174)</f>
        <v>-0.14415021272474998</v>
      </c>
      <c r="I3234" s="377">
        <f>IPMT('Assumptions (Oil G&amp;T)'!$B$73,Model!X$1,'Assumptions (Oil G&amp;T)'!$B$76,Model!$H$3174)</f>
        <v>-0.13863109947406568</v>
      </c>
      <c r="J3234" s="377">
        <f>IPMT('Assumptions (Oil G&amp;T)'!$B$73,Model!Y$1,'Assumptions (Oil G&amp;T)'!$B$76,Model!$H$3174)</f>
        <v>-0.13269805272958007</v>
      </c>
      <c r="K3234" s="377">
        <f>IPMT('Assumptions (Oil G&amp;T)'!$B$73,Model!Z$1,'Assumptions (Oil G&amp;T)'!$B$76,Model!$H$3174)</f>
        <v>-0.12632002747925805</v>
      </c>
      <c r="L3234" s="377">
        <f>IPMT('Assumptions (Oil G&amp;T)'!$B$73,Model!AA$1,'Assumptions (Oil G&amp;T)'!$B$76,Model!$H$3174)</f>
        <v>-0.11946365033516182</v>
      </c>
      <c r="M3234" s="377">
        <f>IPMT('Assumptions (Oil G&amp;T)'!$B$73,Model!AB$1,'Assumptions (Oil G&amp;T)'!$B$76,Model!$H$3174)</f>
        <v>-0.11209304490525843</v>
      </c>
      <c r="N3234" s="377">
        <f>IPMT('Assumptions (Oil G&amp;T)'!$B$73,Model!AC$1,'Assumptions (Oil G&amp;T)'!$B$76,Model!$H$3174)</f>
        <v>-0.10416964406811226</v>
      </c>
      <c r="O3234" s="377">
        <f>IPMT('Assumptions (Oil G&amp;T)'!$B$73,Model!AD$1,'Assumptions (Oil G&amp;T)'!$B$76,Model!$H$3174)</f>
        <v>-9.565198816818013E-2</v>
      </c>
      <c r="P3234" s="377">
        <f>IPMT('Assumptions (Oil G&amp;T)'!$B$73,Model!AE$1,'Assumptions (Oil G&amp;T)'!$B$76,Model!$H$3174)</f>
        <v>-8.6495508075753083E-2</v>
      </c>
      <c r="Q3234" s="377">
        <f>IPMT('Assumptions (Oil G&amp;T)'!$B$73,Model!AF$1,'Assumptions (Oil G&amp;T)'!$B$76,Model!$H$3174)</f>
        <v>-7.6652291976394019E-2</v>
      </c>
      <c r="R3234" s="377">
        <f>IPMT('Assumptions (Oil G&amp;T)'!$B$73,Model!AG$1,'Assumptions (Oil G&amp;T)'!$B$76,Model!$H$3174)</f>
        <v>-6.6070834669583037E-2</v>
      </c>
      <c r="S3234" s="377">
        <f>IPMT('Assumptions (Oil G&amp;T)'!$B$73,Model!AH$1,'Assumptions (Oil G&amp;T)'!$B$76,Model!$H$3174)</f>
        <v>-5.4695768064761223E-2</v>
      </c>
      <c r="T3234" s="377">
        <f>IPMT('Assumptions (Oil G&amp;T)'!$B$73,Model!AI$1,'Assumptions (Oil G&amp;T)'!$B$76,Model!$H$3174)</f>
        <v>-4.2467571464577747E-2</v>
      </c>
      <c r="U3234" s="377">
        <f>IPMT('Assumptions (Oil G&amp;T)'!$B$73,Model!AJ$1,'Assumptions (Oil G&amp;T)'!$B$76,Model!$H$3174)</f>
        <v>-2.9322260119380536E-2</v>
      </c>
      <c r="V3234" s="377">
        <f>IPMT('Assumptions (Oil G&amp;T)'!$B$73,Model!AK$1,'Assumptions (Oil G&amp;T)'!$B$76,Model!$H$3174)</f>
        <v>-1.5191050423293533E-2</v>
      </c>
      <c r="W3234" s="377" t="e">
        <f>IPMT('Assumptions (Oil G&amp;T)'!$B$73,Model!AL$1,'Assumptions (Oil G&amp;T)'!$B$76,Model!$H$3174)</f>
        <v>#NUM!</v>
      </c>
      <c r="X3234" s="377" t="e">
        <f>IPMT('Assumptions (Oil G&amp;T)'!$B$73,Model!AM$1,'Assumptions (Oil G&amp;T)'!$B$76,Model!$H$3174)</f>
        <v>#NUM!</v>
      </c>
      <c r="Y3234" s="377" t="e">
        <f>IPMT('Assumptions (Oil G&amp;T)'!$B$73,Model!AN$1,'Assumptions (Oil G&amp;T)'!$B$76,Model!$H$3174)</f>
        <v>#NUM!</v>
      </c>
      <c r="Z3234" s="377" t="e">
        <f>IPMT('Assumptions (Oil G&amp;T)'!$B$73,Model!AO$1,'Assumptions (Oil G&amp;T)'!$B$76,Model!$H$3174)</f>
        <v>#NUM!</v>
      </c>
      <c r="AA3234" s="377" t="e">
        <f>IPMT('Assumptions (Oil G&amp;T)'!$B$73,Model!AP$1,'Assumptions (Oil G&amp;T)'!$B$76,Model!$H$3174)</f>
        <v>#NUM!</v>
      </c>
      <c r="AB3234" s="377" t="e">
        <f>IPMT('Assumptions (Oil G&amp;T)'!$B$73,Model!AQ$1,'Assumptions (Oil G&amp;T)'!$B$76,Model!$H$3174)</f>
        <v>#NUM!</v>
      </c>
      <c r="AC3234" s="377" t="e">
        <f>IPMT('Assumptions (Oil G&amp;T)'!$B$73,Model!AR$1,'Assumptions (Oil G&amp;T)'!$B$76,Model!$H$3174)</f>
        <v>#NUM!</v>
      </c>
      <c r="AD3234" s="377" t="e">
        <f>IPMT('Assumptions (Oil G&amp;T)'!$B$73,Model!AS$1,'Assumptions (Oil G&amp;T)'!$B$76,Model!$H$3174)</f>
        <v>#NUM!</v>
      </c>
      <c r="AE3234" s="377" t="e">
        <f>IPMT('Assumptions (Oil G&amp;T)'!$B$73,Model!AT$1,'Assumptions (Oil G&amp;T)'!$B$76,Model!$H$3174)</f>
        <v>#NUM!</v>
      </c>
      <c r="AF3234" s="377" t="e">
        <f>IPMT('Assumptions (Oil G&amp;T)'!$B$73,Model!AU$1,'Assumptions (Oil G&amp;T)'!$B$76,Model!$H$3174)</f>
        <v>#NUM!</v>
      </c>
    </row>
    <row r="3235" spans="1:46" ht="15.75" hidden="1" customHeight="1" outlineLevel="1">
      <c r="A3235" s="468"/>
      <c r="B3235" s="99"/>
      <c r="C3235" s="377"/>
      <c r="D3235" s="377"/>
      <c r="E3235" s="377"/>
      <c r="F3235" s="377"/>
      <c r="G3235" s="377"/>
      <c r="H3235" s="377"/>
      <c r="I3235" s="377">
        <f>IPMT('Assumptions (Oil G&amp;T)'!$B$73,Model!W$1,'Assumptions (Oil G&amp;T)'!$B$76,Model!$I$3174)</f>
        <v>-0.12836555642699998</v>
      </c>
      <c r="J3235" s="377">
        <f>IPMT('Assumptions (Oil G&amp;T)'!$B$73,Model!X$1,'Assumptions (Oil G&amp;T)'!$B$76,Model!$I$3174)</f>
        <v>-0.12345079404117883</v>
      </c>
      <c r="K3235" s="377">
        <f>IPMT('Assumptions (Oil G&amp;T)'!$B$73,Model!Y$1,'Assumptions (Oil G&amp;T)'!$B$76,Model!$I$3174)</f>
        <v>-0.11816742447642109</v>
      </c>
      <c r="L3235" s="377">
        <f>IPMT('Assumptions (Oil G&amp;T)'!$B$73,Model!Z$1,'Assumptions (Oil G&amp;T)'!$B$76,Model!$I$3174)</f>
        <v>-0.11248780219430654</v>
      </c>
      <c r="M3235" s="377">
        <f>IPMT('Assumptions (Oil G&amp;T)'!$B$73,Model!AA$1,'Assumptions (Oil G&amp;T)'!$B$76,Model!$I$3174)</f>
        <v>-0.10638220824103337</v>
      </c>
      <c r="N3235" s="377">
        <f>IPMT('Assumptions (Oil G&amp;T)'!$B$73,Model!AB$1,'Assumptions (Oil G&amp;T)'!$B$76,Model!$I$3174)</f>
        <v>-9.9818694741264716E-2</v>
      </c>
      <c r="O3235" s="377">
        <f>IPMT('Assumptions (Oil G&amp;T)'!$B$73,Model!AC$1,'Assumptions (Oil G&amp;T)'!$B$76,Model!$I$3174)</f>
        <v>-9.2762917729013433E-2</v>
      </c>
      <c r="P3235" s="377">
        <f>IPMT('Assumptions (Oil G&amp;T)'!$B$73,Model!AD$1,'Assumptions (Oil G&amp;T)'!$B$76,Model!$I$3174)</f>
        <v>-8.5177957440843277E-2</v>
      </c>
      <c r="Q3235" s="377">
        <f>IPMT('Assumptions (Oil G&amp;T)'!$B$73,Model!AE$1,'Assumptions (Oil G&amp;T)'!$B$76,Model!$I$3174)</f>
        <v>-7.7024125131060384E-2</v>
      </c>
      <c r="R3235" s="377">
        <f>IPMT('Assumptions (Oil G&amp;T)'!$B$73,Model!AF$1,'Assumptions (Oil G&amp;T)'!$B$76,Model!$I$3174)</f>
        <v>-6.8258755398043755E-2</v>
      </c>
      <c r="S3235" s="377">
        <f>IPMT('Assumptions (Oil G&amp;T)'!$B$73,Model!AG$1,'Assumptions (Oil G&amp;T)'!$B$76,Model!$I$3174)</f>
        <v>-5.88359829350509E-2</v>
      </c>
      <c r="T3235" s="377">
        <f>IPMT('Assumptions (Oil G&amp;T)'!$B$73,Model!AH$1,'Assumptions (Oil G&amp;T)'!$B$76,Model!$I$3174)</f>
        <v>-4.8706502537333572E-2</v>
      </c>
      <c r="U3235" s="377">
        <f>IPMT('Assumptions (Oil G&amp;T)'!$B$73,Model!AI$1,'Assumptions (Oil G&amp;T)'!$B$76,Model!$I$3174)</f>
        <v>-3.7817311109787435E-2</v>
      </c>
      <c r="V3235" s="377">
        <f>IPMT('Assumptions (Oil G&amp;T)'!$B$73,Model!AJ$1,'Assumptions (Oil G&amp;T)'!$B$76,Model!$I$3174)</f>
        <v>-2.6111430325175346E-2</v>
      </c>
      <c r="W3235" s="377">
        <f>IPMT('Assumptions (Oil G&amp;T)'!$B$73,Model!AK$1,'Assumptions (Oil G&amp;T)'!$B$76,Model!$I$3174)</f>
        <v>-1.3527608481717347E-2</v>
      </c>
      <c r="X3235" s="377" t="e">
        <f>IPMT('Assumptions (Oil G&amp;T)'!$B$73,Model!AL$1,'Assumptions (Oil G&amp;T)'!$B$76,Model!$I$3174)</f>
        <v>#NUM!</v>
      </c>
      <c r="Y3235" s="377" t="e">
        <f>IPMT('Assumptions (Oil G&amp;T)'!$B$73,Model!AM$1,'Assumptions (Oil G&amp;T)'!$B$76,Model!$I$3174)</f>
        <v>#NUM!</v>
      </c>
      <c r="Z3235" s="377" t="e">
        <f>IPMT('Assumptions (Oil G&amp;T)'!$B$73,Model!AN$1,'Assumptions (Oil G&amp;T)'!$B$76,Model!$I$3174)</f>
        <v>#NUM!</v>
      </c>
      <c r="AA3235" s="377" t="e">
        <f>IPMT('Assumptions (Oil G&amp;T)'!$B$73,Model!AO$1,'Assumptions (Oil G&amp;T)'!$B$76,Model!$I$3174)</f>
        <v>#NUM!</v>
      </c>
      <c r="AB3235" s="377" t="e">
        <f>IPMT('Assumptions (Oil G&amp;T)'!$B$73,Model!AP$1,'Assumptions (Oil G&amp;T)'!$B$76,Model!$I$3174)</f>
        <v>#NUM!</v>
      </c>
      <c r="AC3235" s="377" t="e">
        <f>IPMT('Assumptions (Oil G&amp;T)'!$B$73,Model!AQ$1,'Assumptions (Oil G&amp;T)'!$B$76,Model!$I$3174)</f>
        <v>#NUM!</v>
      </c>
      <c r="AD3235" s="377" t="e">
        <f>IPMT('Assumptions (Oil G&amp;T)'!$B$73,Model!AR$1,'Assumptions (Oil G&amp;T)'!$B$76,Model!$I$3174)</f>
        <v>#NUM!</v>
      </c>
      <c r="AE3235" s="377" t="e">
        <f>IPMT('Assumptions (Oil G&amp;T)'!$B$73,Model!AS$1,'Assumptions (Oil G&amp;T)'!$B$76,Model!$I$3174)</f>
        <v>#NUM!</v>
      </c>
      <c r="AF3235" s="377" t="e">
        <f>IPMT('Assumptions (Oil G&amp;T)'!$B$73,Model!AT$1,'Assumptions (Oil G&amp;T)'!$B$76,Model!$I$3174)</f>
        <v>#NUM!</v>
      </c>
      <c r="AG3235" s="377" t="e">
        <f>IPMT('Assumptions (Oil G&amp;T)'!$B$73,Model!AU$1,'Assumptions (Oil G&amp;T)'!$B$76,Model!$I$3174)</f>
        <v>#NUM!</v>
      </c>
    </row>
    <row r="3236" spans="1:46" ht="15.75" hidden="1" customHeight="1" outlineLevel="1">
      <c r="A3236" s="468"/>
      <c r="B3236" s="99"/>
      <c r="C3236" s="377"/>
      <c r="D3236" s="377"/>
      <c r="E3236" s="377"/>
      <c r="F3236" s="377"/>
      <c r="G3236" s="377"/>
      <c r="H3236" s="377"/>
      <c r="I3236" s="377"/>
      <c r="J3236" s="377">
        <f>IPMT('Assumptions (Oil G&amp;T)'!$B$73,Model!W$1,'Assumptions (Oil G&amp;T)'!$B$76,Model!$J$3174)</f>
        <v>-0.24296826504149999</v>
      </c>
      <c r="K3236" s="377">
        <f>IPMT('Assumptions (Oil G&amp;T)'!$B$73,Model!X$1,'Assumptions (Oil G&amp;T)'!$B$76,Model!$J$3174)</f>
        <v>-0.23366568167558532</v>
      </c>
      <c r="L3236" s="377">
        <f>IPMT('Assumptions (Oil G&amp;T)'!$B$73,Model!Y$1,'Assumptions (Oil G&amp;T)'!$B$76,Model!$J$3174)</f>
        <v>-0.22366540455722708</v>
      </c>
      <c r="M3236" s="377">
        <f>IPMT('Assumptions (Oil G&amp;T)'!$B$73,Model!Z$1,'Assumptions (Oil G&amp;T)'!$B$76,Model!$J$3174)</f>
        <v>-0.21291510665499197</v>
      </c>
      <c r="N3236" s="377">
        <f>IPMT('Assumptions (Oil G&amp;T)'!$B$73,Model!AA$1,'Assumptions (Oil G&amp;T)'!$B$76,Model!$J$3174)</f>
        <v>-0.20135853641008919</v>
      </c>
      <c r="O3236" s="377">
        <f>IPMT('Assumptions (Oil G&amp;T)'!$B$73,Model!AB$1,'Assumptions (Oil G&amp;T)'!$B$76,Model!$J$3174)</f>
        <v>-0.18893522339681876</v>
      </c>
      <c r="P3236" s="377">
        <f>IPMT('Assumptions (Oil G&amp;T)'!$B$73,Model!AC$1,'Assumptions (Oil G&amp;T)'!$B$76,Model!$J$3174)</f>
        <v>-0.17558016190755305</v>
      </c>
      <c r="Q3236" s="377">
        <f>IPMT('Assumptions (Oil G&amp;T)'!$B$73,Model!AD$1,'Assumptions (Oil G&amp;T)'!$B$76,Model!$J$3174)</f>
        <v>-0.16122347080659236</v>
      </c>
      <c r="R3236" s="377">
        <f>IPMT('Assumptions (Oil G&amp;T)'!$B$73,Model!AE$1,'Assumptions (Oil G&amp;T)'!$B$76,Model!$J$3174)</f>
        <v>-0.14579002787305964</v>
      </c>
      <c r="S3236" s="377">
        <f>IPMT('Assumptions (Oil G&amp;T)'!$B$73,Model!AF$1,'Assumptions (Oil G&amp;T)'!$B$76,Model!$J$3174)</f>
        <v>-0.12919907671951195</v>
      </c>
      <c r="T3236" s="377">
        <f>IPMT('Assumptions (Oil G&amp;T)'!$B$73,Model!AG$1,'Assumptions (Oil G&amp;T)'!$B$76,Model!$J$3174)</f>
        <v>-0.11136380422944823</v>
      </c>
      <c r="U3236" s="377">
        <f>IPMT('Assumptions (Oil G&amp;T)'!$B$73,Model!AH$1,'Assumptions (Oil G&amp;T)'!$B$76,Model!$J$3174)</f>
        <v>-9.2190886302629713E-2</v>
      </c>
      <c r="V3236" s="377">
        <f>IPMT('Assumptions (Oil G&amp;T)'!$B$73,Model!AI$1,'Assumptions (Oil G&amp;T)'!$B$76,Model!$J$3174)</f>
        <v>-7.1579999531299773E-2</v>
      </c>
      <c r="W3236" s="377">
        <f>IPMT('Assumptions (Oil G&amp;T)'!$B$73,Model!AJ$1,'Assumptions (Oil G&amp;T)'!$B$76,Model!$J$3174)</f>
        <v>-4.9423296252120122E-2</v>
      </c>
      <c r="X3236" s="377">
        <f>IPMT('Assumptions (Oil G&amp;T)'!$B$73,Model!AK$1,'Assumptions (Oil G&amp;T)'!$B$76,Model!$J$3174)</f>
        <v>-2.5604840227001994E-2</v>
      </c>
      <c r="Y3236" s="377" t="e">
        <f>IPMT('Assumptions (Oil G&amp;T)'!$B$73,Model!AL$1,'Assumptions (Oil G&amp;T)'!$B$76,Model!$J$3174)</f>
        <v>#NUM!</v>
      </c>
      <c r="Z3236" s="377" t="e">
        <f>IPMT('Assumptions (Oil G&amp;T)'!$B$73,Model!AM$1,'Assumptions (Oil G&amp;T)'!$B$76,Model!$J$3174)</f>
        <v>#NUM!</v>
      </c>
      <c r="AA3236" s="377" t="e">
        <f>IPMT('Assumptions (Oil G&amp;T)'!$B$73,Model!AN$1,'Assumptions (Oil G&amp;T)'!$B$76,Model!$J$3174)</f>
        <v>#NUM!</v>
      </c>
      <c r="AB3236" s="377" t="e">
        <f>IPMT('Assumptions (Oil G&amp;T)'!$B$73,Model!AO$1,'Assumptions (Oil G&amp;T)'!$B$76,Model!$J$3174)</f>
        <v>#NUM!</v>
      </c>
      <c r="AC3236" s="377" t="e">
        <f>IPMT('Assumptions (Oil G&amp;T)'!$B$73,Model!AP$1,'Assumptions (Oil G&amp;T)'!$B$76,Model!$J$3174)</f>
        <v>#NUM!</v>
      </c>
      <c r="AD3236" s="377" t="e">
        <f>IPMT('Assumptions (Oil G&amp;T)'!$B$73,Model!AQ$1,'Assumptions (Oil G&amp;T)'!$B$76,Model!$J$3174)</f>
        <v>#NUM!</v>
      </c>
      <c r="AE3236" s="377" t="e">
        <f>IPMT('Assumptions (Oil G&amp;T)'!$B$73,Model!AR$1,'Assumptions (Oil G&amp;T)'!$B$76,Model!$J$3174)</f>
        <v>#NUM!</v>
      </c>
      <c r="AF3236" s="377" t="e">
        <f>IPMT('Assumptions (Oil G&amp;T)'!$B$73,Model!AS$1,'Assumptions (Oil G&amp;T)'!$B$76,Model!$J$3174)</f>
        <v>#NUM!</v>
      </c>
      <c r="AG3236" s="377" t="e">
        <f>IPMT('Assumptions (Oil G&amp;T)'!$B$73,Model!AT$1,'Assumptions (Oil G&amp;T)'!$B$76,Model!$J$3174)</f>
        <v>#NUM!</v>
      </c>
      <c r="AH3236" s="377" t="e">
        <f>IPMT('Assumptions (Oil G&amp;T)'!$B$73,Model!AU$1,'Assumptions (Oil G&amp;T)'!$B$76,Model!$J$3174)</f>
        <v>#NUM!</v>
      </c>
    </row>
    <row r="3237" spans="1:46" ht="15.75" hidden="1" customHeight="1" outlineLevel="1">
      <c r="A3237" s="468"/>
      <c r="B3237" s="99"/>
      <c r="C3237" s="377"/>
      <c r="D3237" s="377"/>
      <c r="E3237" s="377"/>
      <c r="F3237" s="377"/>
      <c r="G3237" s="377"/>
      <c r="H3237" s="377"/>
      <c r="I3237" s="377"/>
      <c r="J3237" s="377"/>
      <c r="K3237" s="377">
        <f>IPMT('Assumptions (Oil G&amp;T)'!$B$73,Model!W$1,'Assumptions (Oil G&amp;T)'!$B$76,Model!$K$3174)</f>
        <v>-0.25950645738449996</v>
      </c>
      <c r="L3237" s="377">
        <f>IPMT('Assumptions (Oil G&amp;T)'!$B$73,Model!X$1,'Assumptions (Oil G&amp;T)'!$B$76,Model!$K$3174)</f>
        <v>-0.24957067234113164</v>
      </c>
      <c r="M3237" s="377">
        <f>IPMT('Assumptions (Oil G&amp;T)'!$B$73,Model!Y$1,'Assumptions (Oil G&amp;T)'!$B$76,Model!$K$3174)</f>
        <v>-0.23888970341951068</v>
      </c>
      <c r="N3237" s="377">
        <f>IPMT('Assumptions (Oil G&amp;T)'!$B$73,Model!Z$1,'Assumptions (Oil G&amp;T)'!$B$76,Model!$K$3174)</f>
        <v>-0.2274076618287682</v>
      </c>
      <c r="O3237" s="377">
        <f>IPMT('Assumptions (Oil G&amp;T)'!$B$73,Model!AA$1,'Assumptions (Oil G&amp;T)'!$B$76,Model!$K$3174)</f>
        <v>-0.21506446711871996</v>
      </c>
      <c r="P3237" s="377">
        <f>IPMT('Assumptions (Oil G&amp;T)'!$B$73,Model!AB$1,'Assumptions (Oil G&amp;T)'!$B$76,Model!$K$3174)</f>
        <v>-0.20179553280541809</v>
      </c>
      <c r="Q3237" s="377">
        <f>IPMT('Assumptions (Oil G&amp;T)'!$B$73,Model!AC$1,'Assumptions (Oil G&amp;T)'!$B$76,Model!$K$3174)</f>
        <v>-0.18753142841861864</v>
      </c>
      <c r="R3237" s="377">
        <f>IPMT('Assumptions (Oil G&amp;T)'!$B$73,Model!AD$1,'Assumptions (Oil G&amp;T)'!$B$76,Model!$K$3174)</f>
        <v>-0.17219751620280924</v>
      </c>
      <c r="S3237" s="377">
        <f>IPMT('Assumptions (Oil G&amp;T)'!$B$73,Model!AE$1,'Assumptions (Oil G&amp;T)'!$B$76,Model!$K$3174)</f>
        <v>-0.15571356057081409</v>
      </c>
      <c r="T3237" s="377">
        <f>IPMT('Assumptions (Oil G&amp;T)'!$B$73,Model!AF$1,'Assumptions (Oil G&amp;T)'!$B$76,Model!$K$3174)</f>
        <v>-0.13799330826641931</v>
      </c>
      <c r="U3237" s="377">
        <f>IPMT('Assumptions (Oil G&amp;T)'!$B$73,Model!AG$1,'Assumptions (Oil G&amp;T)'!$B$76,Model!$K$3174)</f>
        <v>-0.11894403703919494</v>
      </c>
      <c r="V3237" s="377">
        <f>IPMT('Assumptions (Oil G&amp;T)'!$B$73,Model!AH$1,'Assumptions (Oil G&amp;T)'!$B$76,Model!$K$3174)</f>
        <v>-9.8466070469928738E-2</v>
      </c>
      <c r="W3237" s="377">
        <f>IPMT('Assumptions (Oil G&amp;T)'!$B$73,Model!AI$1,'Assumptions (Oil G&amp;T)'!$B$76,Model!$K$3174)</f>
        <v>-7.6452256407967545E-2</v>
      </c>
      <c r="X3237" s="377">
        <f>IPMT('Assumptions (Oil G&amp;T)'!$B$73,Model!AJ$1,'Assumptions (Oil G&amp;T)'!$B$76,Model!$K$3174)</f>
        <v>-5.27874062913593E-2</v>
      </c>
      <c r="Y3237" s="377">
        <f>IPMT('Assumptions (Oil G&amp;T)'!$B$73,Model!AK$1,'Assumptions (Oil G&amp;T)'!$B$76,Model!$K$3174)</f>
        <v>-2.7347692416005421E-2</v>
      </c>
      <c r="Z3237" s="377" t="e">
        <f>IPMT('Assumptions (Oil G&amp;T)'!$B$73,Model!AL$1,'Assumptions (Oil G&amp;T)'!$B$76,Model!$K$3174)</f>
        <v>#NUM!</v>
      </c>
      <c r="AA3237" s="377" t="e">
        <f>IPMT('Assumptions (Oil G&amp;T)'!$B$73,Model!AM$1,'Assumptions (Oil G&amp;T)'!$B$76,Model!$K$3174)</f>
        <v>#NUM!</v>
      </c>
      <c r="AB3237" s="377" t="e">
        <f>IPMT('Assumptions (Oil G&amp;T)'!$B$73,Model!AN$1,'Assumptions (Oil G&amp;T)'!$B$76,Model!$K$3174)</f>
        <v>#NUM!</v>
      </c>
      <c r="AC3237" s="377" t="e">
        <f>IPMT('Assumptions (Oil G&amp;T)'!$B$73,Model!AO$1,'Assumptions (Oil G&amp;T)'!$B$76,Model!$K$3174)</f>
        <v>#NUM!</v>
      </c>
      <c r="AD3237" s="377" t="e">
        <f>IPMT('Assumptions (Oil G&amp;T)'!$B$73,Model!AP$1,'Assumptions (Oil G&amp;T)'!$B$76,Model!$K$3174)</f>
        <v>#NUM!</v>
      </c>
      <c r="AE3237" s="377" t="e">
        <f>IPMT('Assumptions (Oil G&amp;T)'!$B$73,Model!AQ$1,'Assumptions (Oil G&amp;T)'!$B$76,Model!$K$3174)</f>
        <v>#NUM!</v>
      </c>
      <c r="AF3237" s="377" t="e">
        <f>IPMT('Assumptions (Oil G&amp;T)'!$B$73,Model!AR$1,'Assumptions (Oil G&amp;T)'!$B$76,Model!$K$3174)</f>
        <v>#NUM!</v>
      </c>
      <c r="AG3237" s="377" t="e">
        <f>IPMT('Assumptions (Oil G&amp;T)'!$B$73,Model!AS$1,'Assumptions (Oil G&amp;T)'!$B$76,Model!$K$3174)</f>
        <v>#NUM!</v>
      </c>
      <c r="AH3237" s="377" t="e">
        <f>IPMT('Assumptions (Oil G&amp;T)'!$B$73,Model!AT$1,'Assumptions (Oil G&amp;T)'!$B$76,Model!$K$3174)</f>
        <v>#NUM!</v>
      </c>
      <c r="AI3237" s="377" t="e">
        <f>IPMT('Assumptions (Oil G&amp;T)'!$B$73,Model!AU$1,'Assumptions (Oil G&amp;T)'!$B$76,Model!$K$3174)</f>
        <v>#NUM!</v>
      </c>
    </row>
    <row r="3238" spans="1:46" ht="15.75" hidden="1" customHeight="1" outlineLevel="1">
      <c r="A3238" s="468"/>
      <c r="B3238" s="99"/>
      <c r="C3238" s="377"/>
      <c r="D3238" s="377"/>
      <c r="E3238" s="377"/>
      <c r="F3238" s="377"/>
      <c r="G3238" s="377"/>
      <c r="H3238" s="377"/>
      <c r="I3238" s="377"/>
      <c r="J3238" s="377"/>
      <c r="K3238" s="377"/>
      <c r="L3238" s="377">
        <f>IPMT('Assumptions (Oil G&amp;T)'!$B$73,Model!W$1,'Assumptions (Oil G&amp;T)'!$B$76,Model!$L$3174)</f>
        <v>-0.20978138670525001</v>
      </c>
      <c r="M3238" s="377">
        <f>IPMT('Assumptions (Oil G&amp;T)'!$B$73,Model!X$1,'Assumptions (Oil G&amp;T)'!$B$76,Model!$L$3174)</f>
        <v>-0.2017494371907344</v>
      </c>
      <c r="N3238" s="377">
        <f>IPMT('Assumptions (Oil G&amp;T)'!$B$73,Model!Y$1,'Assumptions (Oil G&amp;T)'!$B$76,Model!$L$3174)</f>
        <v>-0.19311509146263017</v>
      </c>
      <c r="O3238" s="377">
        <f>IPMT('Assumptions (Oil G&amp;T)'!$B$73,Model!Z$1,'Assumptions (Oil G&amp;T)'!$B$76,Model!$L$3174)</f>
        <v>-0.18383316980491815</v>
      </c>
      <c r="P3238" s="377">
        <f>IPMT('Assumptions (Oil G&amp;T)'!$B$73,Model!AA$1,'Assumptions (Oil G&amp;T)'!$B$76,Model!$L$3174)</f>
        <v>-0.17385510402287765</v>
      </c>
      <c r="Q3238" s="377">
        <f>IPMT('Assumptions (Oil G&amp;T)'!$B$73,Model!AB$1,'Assumptions (Oil G&amp;T)'!$B$76,Model!$L$3174)</f>
        <v>-0.16312868330718414</v>
      </c>
      <c r="R3238" s="377">
        <f>IPMT('Assumptions (Oil G&amp;T)'!$B$73,Model!AC$1,'Assumptions (Oil G&amp;T)'!$B$76,Model!$L$3174)</f>
        <v>-0.15159778103781366</v>
      </c>
      <c r="S3238" s="377">
        <f>IPMT('Assumptions (Oil G&amp;T)'!$B$73,Model!AD$1,'Assumptions (Oil G&amp;T)'!$B$76,Model!$L$3174)</f>
        <v>-0.13920206109824035</v>
      </c>
      <c r="T3238" s="377">
        <f>IPMT('Assumptions (Oil G&amp;T)'!$B$73,Model!AE$1,'Assumptions (Oil G&amp;T)'!$B$76,Model!$L$3174)</f>
        <v>-0.12587666216319904</v>
      </c>
      <c r="U3238" s="377">
        <f>IPMT('Assumptions (Oil G&amp;T)'!$B$73,Model!AF$1,'Assumptions (Oil G&amp;T)'!$B$76,Model!$L$3174)</f>
        <v>-0.11155185830802966</v>
      </c>
      <c r="V3238" s="377">
        <f>IPMT('Assumptions (Oil G&amp;T)'!$B$73,Model!AG$1,'Assumptions (Oil G&amp;T)'!$B$76,Model!$L$3174)</f>
        <v>-9.615269416372256E-2</v>
      </c>
      <c r="W3238" s="377">
        <f>IPMT('Assumptions (Oil G&amp;T)'!$B$73,Model!AH$1,'Assumptions (Oil G&amp;T)'!$B$76,Model!$L$3174)</f>
        <v>-7.9598592708592444E-2</v>
      </c>
      <c r="X3238" s="377">
        <f>IPMT('Assumptions (Oil G&amp;T)'!$B$73,Model!AI$1,'Assumptions (Oil G&amp;T)'!$B$76,Model!$L$3174)</f>
        <v>-6.1802933644327547E-2</v>
      </c>
      <c r="Y3238" s="377">
        <f>IPMT('Assumptions (Oil G&amp;T)'!$B$73,Model!AJ$1,'Assumptions (Oil G&amp;T)'!$B$76,Model!$L$3174)</f>
        <v>-4.2672600150242802E-2</v>
      </c>
      <c r="Z3238" s="377">
        <f>IPMT('Assumptions (Oil G&amp;T)'!$B$73,Model!AK$1,'Assumptions (Oil G&amp;T)'!$B$76,Model!$L$3174)</f>
        <v>-2.2107491644101692E-2</v>
      </c>
      <c r="AA3238" s="377" t="e">
        <f>IPMT('Assumptions (Oil G&amp;T)'!$B$73,Model!AL$1,'Assumptions (Oil G&amp;T)'!$B$76,Model!$L$3174)</f>
        <v>#NUM!</v>
      </c>
      <c r="AB3238" s="377" t="e">
        <f>IPMT('Assumptions (Oil G&amp;T)'!$B$73,Model!AM$1,'Assumptions (Oil G&amp;T)'!$B$76,Model!$L$3174)</f>
        <v>#NUM!</v>
      </c>
      <c r="AC3238" s="377" t="e">
        <f>IPMT('Assumptions (Oil G&amp;T)'!$B$73,Model!AN$1,'Assumptions (Oil G&amp;T)'!$B$76,Model!$L$3174)</f>
        <v>#NUM!</v>
      </c>
      <c r="AD3238" s="377" t="e">
        <f>IPMT('Assumptions (Oil G&amp;T)'!$B$73,Model!AO$1,'Assumptions (Oil G&amp;T)'!$B$76,Model!$L$3174)</f>
        <v>#NUM!</v>
      </c>
      <c r="AE3238" s="377" t="e">
        <f>IPMT('Assumptions (Oil G&amp;T)'!$B$73,Model!AP$1,'Assumptions (Oil G&amp;T)'!$B$76,Model!$L$3174)</f>
        <v>#NUM!</v>
      </c>
      <c r="AF3238" s="377" t="e">
        <f>IPMT('Assumptions (Oil G&amp;T)'!$B$73,Model!AQ$1,'Assumptions (Oil G&amp;T)'!$B$76,Model!$L$3174)</f>
        <v>#NUM!</v>
      </c>
      <c r="AG3238" s="377" t="e">
        <f>IPMT('Assumptions (Oil G&amp;T)'!$B$73,Model!AR$1,'Assumptions (Oil G&amp;T)'!$B$76,Model!$L$3174)</f>
        <v>#NUM!</v>
      </c>
      <c r="AH3238" s="377" t="e">
        <f>IPMT('Assumptions (Oil G&amp;T)'!$B$73,Model!AS$1,'Assumptions (Oil G&amp;T)'!$B$76,Model!$L$3174)</f>
        <v>#NUM!</v>
      </c>
      <c r="AI3238" s="377" t="e">
        <f>IPMT('Assumptions (Oil G&amp;T)'!$B$73,Model!AT$1,'Assumptions (Oil G&amp;T)'!$B$76,Model!$L$3174)</f>
        <v>#NUM!</v>
      </c>
      <c r="AJ3238" s="377" t="e">
        <f>IPMT('Assumptions (Oil G&amp;T)'!$B$73,Model!AU$1,'Assumptions (Oil G&amp;T)'!$B$76,Model!$L$3174)</f>
        <v>#NUM!</v>
      </c>
    </row>
    <row r="3239" spans="1:46" ht="15.75" hidden="1" customHeight="1" outlineLevel="1">
      <c r="A3239" s="468"/>
      <c r="B3239" s="99"/>
      <c r="C3239" s="377"/>
      <c r="D3239" s="377"/>
      <c r="E3239" s="377"/>
      <c r="F3239" s="377"/>
      <c r="G3239" s="377"/>
      <c r="H3239" s="377"/>
      <c r="I3239" s="377"/>
      <c r="J3239" s="377"/>
      <c r="K3239" s="377"/>
      <c r="L3239" s="377"/>
      <c r="M3239" s="377">
        <f>IPMT('Assumptions (Oil G&amp;T)'!$B$73,Model!W$1,'Assumptions (Oil G&amp;T)'!$B$76,Model!$M$3174)</f>
        <v>-0.38127450649949984</v>
      </c>
      <c r="N3239" s="377">
        <f>IPMT('Assumptions (Oil G&amp;T)'!$B$73,Model!X$1,'Assumptions (Oil G&amp;T)'!$B$76,Model!$M$3174)</f>
        <v>-0.36667655939145372</v>
      </c>
      <c r="O3239" s="377">
        <f>IPMT('Assumptions (Oil G&amp;T)'!$B$73,Model!Y$1,'Assumptions (Oil G&amp;T)'!$B$76,Model!$M$3174)</f>
        <v>-0.35098376625030409</v>
      </c>
      <c r="P3239" s="377">
        <f>IPMT('Assumptions (Oil G&amp;T)'!$B$73,Model!Z$1,'Assumptions (Oil G&amp;T)'!$B$76,Model!$M$3174)</f>
        <v>-0.33411401362356818</v>
      </c>
      <c r="Q3239" s="377">
        <f>IPMT('Assumptions (Oil G&amp;T)'!$B$73,Model!AA$1,'Assumptions (Oil G&amp;T)'!$B$76,Model!$M$3174)</f>
        <v>-0.3159790295498271</v>
      </c>
      <c r="R3239" s="377">
        <f>IPMT('Assumptions (Oil G&amp;T)'!$B$73,Model!AB$1,'Assumptions (Oil G&amp;T)'!$B$76,Model!$M$3174)</f>
        <v>-0.29648392167055543</v>
      </c>
      <c r="S3239" s="377">
        <f>IPMT('Assumptions (Oil G&amp;T)'!$B$73,Model!AC$1,'Assumptions (Oil G&amp;T)'!$B$76,Model!$M$3174)</f>
        <v>-0.27552668070033848</v>
      </c>
      <c r="T3239" s="377">
        <f>IPMT('Assumptions (Oil G&amp;T)'!$B$73,Model!AD$1,'Assumptions (Oil G&amp;T)'!$B$76,Model!$M$3174)</f>
        <v>-0.25299764665735514</v>
      </c>
      <c r="U3239" s="377">
        <f>IPMT('Assumptions (Oil G&amp;T)'!$B$73,Model!AE$1,'Assumptions (Oil G&amp;T)'!$B$76,Model!$M$3174)</f>
        <v>-0.2287789350611481</v>
      </c>
      <c r="V3239" s="377">
        <f>IPMT('Assumptions (Oil G&amp;T)'!$B$73,Model!AF$1,'Assumptions (Oil G&amp;T)'!$B$76,Model!$M$3174)</f>
        <v>-0.20274382009522554</v>
      </c>
      <c r="W3239" s="377">
        <f>IPMT('Assumptions (Oil G&amp;T)'!$B$73,Model!AG$1,'Assumptions (Oil G&amp;T)'!$B$76,Model!$M$3174)</f>
        <v>-0.17475607150685882</v>
      </c>
      <c r="X3239" s="377">
        <f>IPMT('Assumptions (Oil G&amp;T)'!$B$73,Model!AH$1,'Assumptions (Oil G&amp;T)'!$B$76,Model!$M$3174)</f>
        <v>-0.14466924177436455</v>
      </c>
      <c r="Y3239" s="377">
        <f>IPMT('Assumptions (Oil G&amp;T)'!$B$73,Model!AI$1,'Assumptions (Oil G&amp;T)'!$B$76,Model!$M$3174)</f>
        <v>-0.11232589981193319</v>
      </c>
      <c r="Z3239" s="377">
        <f>IPMT('Assumptions (Oil G&amp;T)'!$B$73,Model!AJ$1,'Assumptions (Oil G&amp;T)'!$B$76,Model!$M$3174)</f>
        <v>-7.7556807202319528E-2</v>
      </c>
      <c r="AA3239" s="377">
        <f>IPMT('Assumptions (Oil G&amp;T)'!$B$73,Model!AK$1,'Assumptions (Oil G&amp;T)'!$B$76,Model!$M$3174)</f>
        <v>-4.018003264698481E-2</v>
      </c>
      <c r="AB3239" s="377" t="e">
        <f>IPMT('Assumptions (Oil G&amp;T)'!$B$73,Model!AL$1,'Assumptions (Oil G&amp;T)'!$B$76,Model!$M$3174)</f>
        <v>#NUM!</v>
      </c>
      <c r="AC3239" s="377" t="e">
        <f>IPMT('Assumptions (Oil G&amp;T)'!$B$73,Model!AM$1,'Assumptions (Oil G&amp;T)'!$B$76,Model!$M$3174)</f>
        <v>#NUM!</v>
      </c>
      <c r="AD3239" s="377" t="e">
        <f>IPMT('Assumptions (Oil G&amp;T)'!$B$73,Model!AN$1,'Assumptions (Oil G&amp;T)'!$B$76,Model!$M$3174)</f>
        <v>#NUM!</v>
      </c>
      <c r="AE3239" s="377" t="e">
        <f>IPMT('Assumptions (Oil G&amp;T)'!$B$73,Model!AO$1,'Assumptions (Oil G&amp;T)'!$B$76,Model!$M$3174)</f>
        <v>#NUM!</v>
      </c>
      <c r="AF3239" s="377" t="e">
        <f>IPMT('Assumptions (Oil G&amp;T)'!$B$73,Model!AP$1,'Assumptions (Oil G&amp;T)'!$B$76,Model!$M$3174)</f>
        <v>#NUM!</v>
      </c>
      <c r="AG3239" s="377" t="e">
        <f>IPMT('Assumptions (Oil G&amp;T)'!$B$73,Model!AQ$1,'Assumptions (Oil G&amp;T)'!$B$76,Model!$M$3174)</f>
        <v>#NUM!</v>
      </c>
      <c r="AH3239" s="377" t="e">
        <f>IPMT('Assumptions (Oil G&amp;T)'!$B$73,Model!AR$1,'Assumptions (Oil G&amp;T)'!$B$76,Model!$M$3174)</f>
        <v>#NUM!</v>
      </c>
      <c r="AI3239" s="377" t="e">
        <f>IPMT('Assumptions (Oil G&amp;T)'!$B$73,Model!AS$1,'Assumptions (Oil G&amp;T)'!$B$76,Model!$M$3174)</f>
        <v>#NUM!</v>
      </c>
      <c r="AJ3239" s="377" t="e">
        <f>IPMT('Assumptions (Oil G&amp;T)'!$B$73,Model!AT$1,'Assumptions (Oil G&amp;T)'!$B$76,Model!$M$3174)</f>
        <v>#NUM!</v>
      </c>
      <c r="AK3239" s="377" t="e">
        <f>IPMT('Assumptions (Oil G&amp;T)'!$B$73,Model!AU$1,'Assumptions (Oil G&amp;T)'!$B$76,Model!$M$3174)</f>
        <v>#NUM!</v>
      </c>
    </row>
    <row r="3240" spans="1:46" ht="15.75" hidden="1" customHeight="1" outlineLevel="1">
      <c r="A3240" s="468"/>
      <c r="B3240" s="99"/>
      <c r="C3240" s="377"/>
      <c r="D3240" s="377"/>
      <c r="E3240" s="377"/>
      <c r="F3240" s="377"/>
      <c r="G3240" s="377"/>
      <c r="H3240" s="377"/>
      <c r="I3240" s="377"/>
      <c r="J3240" s="377"/>
      <c r="K3240" s="377"/>
      <c r="L3240" s="377"/>
      <c r="M3240" s="377"/>
      <c r="N3240" s="377">
        <f>IPMT('Assumptions (Oil G&amp;T)'!$B$73,Model!W$1,'Assumptions (Oil G&amp;T)'!$B$76,Model!$N$3174)</f>
        <v>-0.20588902308225002</v>
      </c>
      <c r="O3240" s="377">
        <f>IPMT('Assumptions (Oil G&amp;T)'!$B$73,Model!X$1,'Assumptions (Oil G&amp;T)'!$B$76,Model!$N$3174)</f>
        <v>-0.19800610141335545</v>
      </c>
      <c r="P3240" s="377">
        <f>IPMT('Assumptions (Oil G&amp;T)'!$B$73,Model!Y$1,'Assumptions (Oil G&amp;T)'!$B$76,Model!$N$3174)</f>
        <v>-0.18953196061929381</v>
      </c>
      <c r="Q3240" s="377">
        <f>IPMT('Assumptions (Oil G&amp;T)'!$B$73,Model!Z$1,'Assumptions (Oil G&amp;T)'!$B$76,Model!$N$3174)</f>
        <v>-0.18042225926567754</v>
      </c>
      <c r="R3240" s="377">
        <f>IPMT('Assumptions (Oil G&amp;T)'!$B$73,Model!AA$1,'Assumptions (Oil G&amp;T)'!$B$76,Model!$N$3174)</f>
        <v>-0.17062933031054006</v>
      </c>
      <c r="S3240" s="377">
        <f>IPMT('Assumptions (Oil G&amp;T)'!$B$73,Model!AB$1,'Assumptions (Oil G&amp;T)'!$B$76,Model!$N$3174)</f>
        <v>-0.16010193168376727</v>
      </c>
      <c r="T3240" s="377">
        <f>IPMT('Assumptions (Oil G&amp;T)'!$B$73,Model!AC$1,'Assumptions (Oil G&amp;T)'!$B$76,Model!$N$3174)</f>
        <v>-0.14878497815998651</v>
      </c>
      <c r="U3240" s="377">
        <f>IPMT('Assumptions (Oil G&amp;T)'!$B$73,Model!AD$1,'Assumptions (Oil G&amp;T)'!$B$76,Model!$N$3174)</f>
        <v>-0.13661925312192216</v>
      </c>
      <c r="V3240" s="377">
        <f>IPMT('Assumptions (Oil G&amp;T)'!$B$73,Model!AE$1,'Assumptions (Oil G&amp;T)'!$B$76,Model!$N$3174)</f>
        <v>-0.12354109870600302</v>
      </c>
      <c r="W3240" s="377">
        <f>IPMT('Assumptions (Oil G&amp;T)'!$B$73,Model!AF$1,'Assumptions (Oil G&amp;T)'!$B$76,Model!$N$3174)</f>
        <v>-0.10948208270888993</v>
      </c>
      <c r="X3240" s="377">
        <f>IPMT('Assumptions (Oil G&amp;T)'!$B$73,Model!AG$1,'Assumptions (Oil G&amp;T)'!$B$76,Model!$N$3174)</f>
        <v>-9.4368640511993382E-2</v>
      </c>
      <c r="Y3240" s="377">
        <f>IPMT('Assumptions (Oil G&amp;T)'!$B$73,Model!AH$1,'Assumptions (Oil G&amp;T)'!$B$76,Model!$N$3174)</f>
        <v>-7.812169015032959E-2</v>
      </c>
      <c r="Z3240" s="377">
        <f>IPMT('Assumptions (Oil G&amp;T)'!$B$73,Model!AI$1,'Assumptions (Oil G&amp;T)'!$B$76,Model!$N$3174)</f>
        <v>-6.0656218511540981E-2</v>
      </c>
      <c r="AA3240" s="377">
        <f>IPMT('Assumptions (Oil G&amp;T)'!$B$73,Model!AJ$1,'Assumptions (Oil G&amp;T)'!$B$76,Model!$N$3174)</f>
        <v>-4.1880836499843262E-2</v>
      </c>
      <c r="AB3240" s="377">
        <f>IPMT('Assumptions (Oil G&amp;T)'!$B$73,Model!AK$1,'Assumptions (Oil G&amp;T)'!$B$76,Model!$N$3174)</f>
        <v>-2.1697300837268192E-2</v>
      </c>
      <c r="AC3240" s="377" t="e">
        <f>IPMT('Assumptions (Oil G&amp;T)'!$B$73,Model!AL$1,'Assumptions (Oil G&amp;T)'!$B$76,Model!$N$3174)</f>
        <v>#NUM!</v>
      </c>
      <c r="AD3240" s="377" t="e">
        <f>IPMT('Assumptions (Oil G&amp;T)'!$B$73,Model!AM$1,'Assumptions (Oil G&amp;T)'!$B$76,Model!$N$3174)</f>
        <v>#NUM!</v>
      </c>
      <c r="AE3240" s="377" t="e">
        <f>IPMT('Assumptions (Oil G&amp;T)'!$B$73,Model!AN$1,'Assumptions (Oil G&amp;T)'!$B$76,Model!$N$3174)</f>
        <v>#NUM!</v>
      </c>
      <c r="AF3240" s="377" t="e">
        <f>IPMT('Assumptions (Oil G&amp;T)'!$B$73,Model!AO$1,'Assumptions (Oil G&amp;T)'!$B$76,Model!$N$3174)</f>
        <v>#NUM!</v>
      </c>
      <c r="AG3240" s="377" t="e">
        <f>IPMT('Assumptions (Oil G&amp;T)'!$B$73,Model!AP$1,'Assumptions (Oil G&amp;T)'!$B$76,Model!$N$3174)</f>
        <v>#NUM!</v>
      </c>
      <c r="AH3240" s="377" t="e">
        <f>IPMT('Assumptions (Oil G&amp;T)'!$B$73,Model!AQ$1,'Assumptions (Oil G&amp;T)'!$B$76,Model!$N$3174)</f>
        <v>#NUM!</v>
      </c>
      <c r="AI3240" s="377" t="e">
        <f>IPMT('Assumptions (Oil G&amp;T)'!$B$73,Model!AR$1,'Assumptions (Oil G&amp;T)'!$B$76,Model!$N$3174)</f>
        <v>#NUM!</v>
      </c>
      <c r="AJ3240" s="377" t="e">
        <f>IPMT('Assumptions (Oil G&amp;T)'!$B$73,Model!AS$1,'Assumptions (Oil G&amp;T)'!$B$76,Model!$N$3174)</f>
        <v>#NUM!</v>
      </c>
      <c r="AK3240" s="377" t="e">
        <f>IPMT('Assumptions (Oil G&amp;T)'!$B$73,Model!AT$1,'Assumptions (Oil G&amp;T)'!$B$76,Model!$N$3174)</f>
        <v>#NUM!</v>
      </c>
      <c r="AL3240" s="377" t="e">
        <f>IPMT('Assumptions (Oil G&amp;T)'!$B$73,Model!AU$1,'Assumptions (Oil G&amp;T)'!$B$76,Model!$N$3174)</f>
        <v>#NUM!</v>
      </c>
    </row>
    <row r="3241" spans="1:46" ht="15.75" hidden="1" customHeight="1" outlineLevel="1">
      <c r="A3241" s="468"/>
      <c r="B3241" s="99"/>
      <c r="C3241" s="377"/>
      <c r="D3241" s="377"/>
      <c r="E3241" s="377"/>
      <c r="F3241" s="377"/>
      <c r="G3241" s="377"/>
      <c r="H3241" s="377"/>
      <c r="I3241" s="377"/>
      <c r="J3241" s="377"/>
      <c r="K3241" s="377"/>
      <c r="L3241" s="377"/>
      <c r="M3241" s="377"/>
      <c r="N3241" s="377"/>
      <c r="O3241" s="377">
        <f>IPMT('Assumptions (Oil G&amp;T)'!$B$73,Model!W$1,'Assumptions (Oil G&amp;T)'!$B$76,Model!$O$3174)</f>
        <v>-0.36413937019574999</v>
      </c>
      <c r="P3241" s="377">
        <f>IPMT('Assumptions (Oil G&amp;T)'!$B$73,Model!X$1,'Assumptions (Oil G&amp;T)'!$B$76,Model!$O$3174)</f>
        <v>-0.35019748009961321</v>
      </c>
      <c r="Q3241" s="377">
        <f>IPMT('Assumptions (Oil G&amp;T)'!$B$73,Model!Y$1,'Assumptions (Oil G&amp;T)'!$B$76,Model!$O$3174)</f>
        <v>-0.33520994824626621</v>
      </c>
      <c r="R3241" s="377">
        <f>IPMT('Assumptions (Oil G&amp;T)'!$B$73,Model!Z$1,'Assumptions (Oil G&amp;T)'!$B$76,Model!$O$3174)</f>
        <v>-0.31909835150391819</v>
      </c>
      <c r="S3241" s="377">
        <f>IPMT('Assumptions (Oil G&amp;T)'!$B$73,Model!AA$1,'Assumptions (Oil G&amp;T)'!$B$76,Model!$O$3174)</f>
        <v>-0.30177838500589399</v>
      </c>
      <c r="T3241" s="377">
        <f>IPMT('Assumptions (Oil G&amp;T)'!$B$73,Model!AB$1,'Assumptions (Oil G&amp;T)'!$B$76,Model!$O$3174)</f>
        <v>-0.28315942102051805</v>
      </c>
      <c r="U3241" s="377">
        <f>IPMT('Assumptions (Oil G&amp;T)'!$B$73,Model!AC$1,'Assumptions (Oil G&amp;T)'!$B$76,Model!$O$3174)</f>
        <v>-0.26314403473623893</v>
      </c>
      <c r="V3241" s="377">
        <f>IPMT('Assumptions (Oil G&amp;T)'!$B$73,Model!AD$1,'Assumptions (Oil G&amp;T)'!$B$76,Model!$O$3174)</f>
        <v>-0.24162749448063883</v>
      </c>
      <c r="W3241" s="377">
        <f>IPMT('Assumptions (Oil G&amp;T)'!$B$73,Model!AE$1,'Assumptions (Oil G&amp;T)'!$B$76,Model!$O$3174)</f>
        <v>-0.21849721370586872</v>
      </c>
      <c r="X3241" s="377">
        <f>IPMT('Assumptions (Oil G&amp;T)'!$B$73,Model!AF$1,'Assumptions (Oil G&amp;T)'!$B$76,Model!$O$3174)</f>
        <v>-0.19363216187299087</v>
      </c>
      <c r="Y3241" s="377">
        <f>IPMT('Assumptions (Oil G&amp;T)'!$B$73,Model!AG$1,'Assumptions (Oil G&amp;T)'!$B$76,Model!$O$3174)</f>
        <v>-0.16690223115264721</v>
      </c>
      <c r="Z3241" s="377">
        <f>IPMT('Assumptions (Oil G&amp;T)'!$B$73,Model!AH$1,'Assumptions (Oil G&amp;T)'!$B$76,Model!$O$3174)</f>
        <v>-0.13816755562827776</v>
      </c>
      <c r="AA3241" s="377">
        <f>IPMT('Assumptions (Oil G&amp;T)'!$B$73,Model!AI$1,'Assumptions (Oil G&amp;T)'!$B$76,Model!$O$3174)</f>
        <v>-0.10727777943958053</v>
      </c>
      <c r="AB3241" s="377">
        <f>IPMT('Assumptions (Oil G&amp;T)'!$B$73,Model!AJ$1,'Assumptions (Oil G&amp;T)'!$B$76,Model!$O$3174)</f>
        <v>-7.4071270036731085E-2</v>
      </c>
      <c r="AC3241" s="377">
        <f>IPMT('Assumptions (Oil G&amp;T)'!$B$73,Model!AK$1,'Assumptions (Oil G&amp;T)'!$B$76,Model!$O$3174)</f>
        <v>-3.8374272428667915E-2</v>
      </c>
      <c r="AD3241" s="377" t="e">
        <f>IPMT('Assumptions (Oil G&amp;T)'!$B$73,Model!AL$1,'Assumptions (Oil G&amp;T)'!$B$76,Model!$O$3174)</f>
        <v>#NUM!</v>
      </c>
      <c r="AE3241" s="377" t="e">
        <f>IPMT('Assumptions (Oil G&amp;T)'!$B$73,Model!AM$1,'Assumptions (Oil G&amp;T)'!$B$76,Model!$O$3174)</f>
        <v>#NUM!</v>
      </c>
      <c r="AF3241" s="377" t="e">
        <f>IPMT('Assumptions (Oil G&amp;T)'!$B$73,Model!AN$1,'Assumptions (Oil G&amp;T)'!$B$76,Model!$O$3174)</f>
        <v>#NUM!</v>
      </c>
      <c r="AG3241" s="377" t="e">
        <f>IPMT('Assumptions (Oil G&amp;T)'!$B$73,Model!AO$1,'Assumptions (Oil G&amp;T)'!$B$76,Model!$O$3174)</f>
        <v>#NUM!</v>
      </c>
      <c r="AH3241" s="377" t="e">
        <f>IPMT('Assumptions (Oil G&amp;T)'!$B$73,Model!AP$1,'Assumptions (Oil G&amp;T)'!$B$76,Model!$O$3174)</f>
        <v>#NUM!</v>
      </c>
      <c r="AI3241" s="377" t="e">
        <f>IPMT('Assumptions (Oil G&amp;T)'!$B$73,Model!AQ$1,'Assumptions (Oil G&amp;T)'!$B$76,Model!$O$3174)</f>
        <v>#NUM!</v>
      </c>
      <c r="AJ3241" s="377" t="e">
        <f>IPMT('Assumptions (Oil G&amp;T)'!$B$73,Model!AR$1,'Assumptions (Oil G&amp;T)'!$B$76,Model!$O$3174)</f>
        <v>#NUM!</v>
      </c>
      <c r="AK3241" s="377" t="e">
        <f>IPMT('Assumptions (Oil G&amp;T)'!$B$73,Model!AS$1,'Assumptions (Oil G&amp;T)'!$B$76,Model!$O$3174)</f>
        <v>#NUM!</v>
      </c>
      <c r="AL3241" s="377" t="e">
        <f>IPMT('Assumptions (Oil G&amp;T)'!$B$73,Model!AT$1,'Assumptions (Oil G&amp;T)'!$B$76,Model!$O$3174)</f>
        <v>#NUM!</v>
      </c>
      <c r="AM3241" s="377" t="e">
        <f>IPMT('Assumptions (Oil G&amp;T)'!$B$73,Model!AU$1,'Assumptions (Oil G&amp;T)'!$B$76,Model!$O$3174)</f>
        <v>#NUM!</v>
      </c>
    </row>
    <row r="3242" spans="1:46" ht="15.75" hidden="1" customHeight="1" outlineLevel="1">
      <c r="A3242" s="468"/>
      <c r="B3242" s="99"/>
      <c r="C3242" s="377"/>
      <c r="D3242" s="377"/>
      <c r="E3242" s="377"/>
      <c r="F3242" s="377"/>
      <c r="G3242" s="377"/>
      <c r="H3242" s="377"/>
      <c r="I3242" s="377"/>
      <c r="J3242" s="377"/>
      <c r="K3242" s="377"/>
      <c r="L3242" s="377"/>
      <c r="M3242" s="377"/>
      <c r="N3242" s="377"/>
      <c r="O3242" s="377"/>
      <c r="P3242" s="377">
        <f>IPMT('Assumptions (Oil G&amp;T)'!$B$73,Model!W$1,'Assumptions (Oil G&amp;T)'!$B$76,Model!$P$3174)</f>
        <v>-0.79277970855149982</v>
      </c>
      <c r="Q3242" s="377">
        <f>IPMT('Assumptions (Oil G&amp;T)'!$B$73,Model!X$1,'Assumptions (Oil G&amp;T)'!$B$76,Model!$P$3174)</f>
        <v>-0.76242636455266044</v>
      </c>
      <c r="R3242" s="377">
        <f>IPMT('Assumptions (Oil G&amp;T)'!$B$73,Model!Y$1,'Assumptions (Oil G&amp;T)'!$B$76,Model!$P$3174)</f>
        <v>-0.72979651975390791</v>
      </c>
      <c r="S3242" s="377">
        <f>IPMT('Assumptions (Oil G&amp;T)'!$B$73,Model!Z$1,'Assumptions (Oil G&amp;T)'!$B$76,Model!$P$3174)</f>
        <v>-0.69471943659524926</v>
      </c>
      <c r="T3242" s="377">
        <f>IPMT('Assumptions (Oil G&amp;T)'!$B$73,Model!AA$1,'Assumptions (Oil G&amp;T)'!$B$76,Model!$P$3174)</f>
        <v>-0.65701157219969086</v>
      </c>
      <c r="U3242" s="377">
        <f>IPMT('Assumptions (Oil G&amp;T)'!$B$73,Model!AB$1,'Assumptions (Oil G&amp;T)'!$B$76,Model!$P$3174)</f>
        <v>-0.61647561797446571</v>
      </c>
      <c r="V3242" s="377">
        <f>IPMT('Assumptions (Oil G&amp;T)'!$B$73,Model!AC$1,'Assumptions (Oil G&amp;T)'!$B$76,Model!$P$3174)</f>
        <v>-0.57289946718234885</v>
      </c>
      <c r="W3242" s="377">
        <f>IPMT('Assumptions (Oil G&amp;T)'!$B$73,Model!AD$1,'Assumptions (Oil G&amp;T)'!$B$76,Model!$P$3174)</f>
        <v>-0.52605510508082298</v>
      </c>
      <c r="X3242" s="377">
        <f>IPMT('Assumptions (Oil G&amp;T)'!$B$73,Model!AE$1,'Assumptions (Oil G&amp;T)'!$B$76,Model!$P$3174)</f>
        <v>-0.47569741582168279</v>
      </c>
      <c r="Y3242" s="377">
        <f>IPMT('Assumptions (Oil G&amp;T)'!$B$73,Model!AF$1,'Assumptions (Oil G&amp;T)'!$B$76,Model!$P$3174)</f>
        <v>-0.42156289986810708</v>
      </c>
      <c r="Z3242" s="377">
        <f>IPMT('Assumptions (Oil G&amp;T)'!$B$73,Model!AG$1,'Assumptions (Oil G&amp;T)'!$B$76,Model!$P$3174)</f>
        <v>-0.36336829521801323</v>
      </c>
      <c r="AA3242" s="377">
        <f>IPMT('Assumptions (Oil G&amp;T)'!$B$73,Model!AH$1,'Assumptions (Oil G&amp;T)'!$B$76,Model!$P$3174)</f>
        <v>-0.30080909521916238</v>
      </c>
      <c r="AB3242" s="377">
        <f>IPMT('Assumptions (Oil G&amp;T)'!$B$73,Model!AI$1,'Assumptions (Oil G&amp;T)'!$B$76,Model!$P$3174)</f>
        <v>-0.23355795522039755</v>
      </c>
      <c r="AC3242" s="377">
        <f>IPMT('Assumptions (Oil G&amp;T)'!$B$73,Model!AJ$1,'Assumptions (Oil G&amp;T)'!$B$76,Model!$P$3174)</f>
        <v>-0.16126297972172549</v>
      </c>
      <c r="AD3242" s="377">
        <f>IPMT('Assumptions (Oil G&amp;T)'!$B$73,Model!AK$1,'Assumptions (Oil G&amp;T)'!$B$76,Model!$P$3174)</f>
        <v>-8.3545881060652957E-2</v>
      </c>
      <c r="AE3242" s="377" t="e">
        <f>IPMT('Assumptions (Oil G&amp;T)'!$B$73,Model!AL$1,'Assumptions (Oil G&amp;T)'!$B$76,Model!$P$3174)</f>
        <v>#NUM!</v>
      </c>
      <c r="AF3242" s="377" t="e">
        <f>IPMT('Assumptions (Oil G&amp;T)'!$B$73,Model!AM$1,'Assumptions (Oil G&amp;T)'!$B$76,Model!$P$3174)</f>
        <v>#NUM!</v>
      </c>
      <c r="AG3242" s="377" t="e">
        <f>IPMT('Assumptions (Oil G&amp;T)'!$B$73,Model!AN$1,'Assumptions (Oil G&amp;T)'!$B$76,Model!$P$3174)</f>
        <v>#NUM!</v>
      </c>
      <c r="AH3242" s="377" t="e">
        <f>IPMT('Assumptions (Oil G&amp;T)'!$B$73,Model!AO$1,'Assumptions (Oil G&amp;T)'!$B$76,Model!$P$3174)</f>
        <v>#NUM!</v>
      </c>
      <c r="AI3242" s="377" t="e">
        <f>IPMT('Assumptions (Oil G&amp;T)'!$B$73,Model!AP$1,'Assumptions (Oil G&amp;T)'!$B$76,Model!$P$3174)</f>
        <v>#NUM!</v>
      </c>
      <c r="AJ3242" s="377" t="e">
        <f>IPMT('Assumptions (Oil G&amp;T)'!$B$73,Model!AQ$1,'Assumptions (Oil G&amp;T)'!$B$76,Model!$P$3174)</f>
        <v>#NUM!</v>
      </c>
      <c r="AK3242" s="377" t="e">
        <f>IPMT('Assumptions (Oil G&amp;T)'!$B$73,Model!AR$1,'Assumptions (Oil G&amp;T)'!$B$76,Model!$P$3174)</f>
        <v>#NUM!</v>
      </c>
      <c r="AL3242" s="377" t="e">
        <f>IPMT('Assumptions (Oil G&amp;T)'!$B$73,Model!AS$1,'Assumptions (Oil G&amp;T)'!$B$76,Model!$P$3174)</f>
        <v>#NUM!</v>
      </c>
      <c r="AM3242" s="377" t="e">
        <f>IPMT('Assumptions (Oil G&amp;T)'!$B$73,Model!AT$1,'Assumptions (Oil G&amp;T)'!$B$76,Model!$P$3174)</f>
        <v>#NUM!</v>
      </c>
      <c r="AN3242" s="377" t="e">
        <f>IPMT('Assumptions (Oil G&amp;T)'!$B$73,Model!AU$1,'Assumptions (Oil G&amp;T)'!$B$76,Model!$P$3174)</f>
        <v>#NUM!</v>
      </c>
    </row>
    <row r="3243" spans="1:46" ht="15.75" hidden="1" customHeight="1" outlineLevel="1">
      <c r="A3243" s="468"/>
      <c r="B3243" s="99"/>
      <c r="C3243" s="377"/>
      <c r="D3243" s="377"/>
      <c r="E3243" s="377"/>
      <c r="F3243" s="377"/>
      <c r="G3243" s="377"/>
      <c r="H3243" s="377"/>
      <c r="I3243" s="377"/>
      <c r="J3243" s="377"/>
      <c r="K3243" s="377"/>
      <c r="L3243" s="377"/>
      <c r="M3243" s="377"/>
      <c r="N3243" s="377"/>
      <c r="O3243" s="377"/>
      <c r="P3243" s="377"/>
      <c r="Q3243" s="377">
        <f>IPMT('Assumptions (Oil G&amp;T)'!$B$73,Model!W$1,'Assumptions (Oil G&amp;T)'!$B$76,Model!$Q$3174)</f>
        <v>-1.0918258941959997</v>
      </c>
      <c r="R3243" s="377">
        <f>IPMT('Assumptions (Oil G&amp;T)'!$B$73,Model!X$1,'Assumptions (Oil G&amp;T)'!$B$76,Model!$Q$3174)</f>
        <v>-1.050022898236475</v>
      </c>
      <c r="S3243" s="377">
        <f>IPMT('Assumptions (Oil G&amp;T)'!$B$73,Model!Y$1,'Assumptions (Oil G&amp;T)'!$B$76,Model!$Q$3174)</f>
        <v>-1.0050846775799858</v>
      </c>
      <c r="T3243" s="377">
        <f>IPMT('Assumptions (Oil G&amp;T)'!$B$73,Model!Z$1,'Assumptions (Oil G&amp;T)'!$B$76,Model!$Q$3174)</f>
        <v>-0.95677609037425992</v>
      </c>
      <c r="U3243" s="377">
        <f>IPMT('Assumptions (Oil G&amp;T)'!$B$73,Model!AA$1,'Assumptions (Oil G&amp;T)'!$B$76,Model!$Q$3174)</f>
        <v>-0.90484435912810446</v>
      </c>
      <c r="V3243" s="377">
        <f>IPMT('Assumptions (Oil G&amp;T)'!$B$73,Model!AB$1,'Assumptions (Oil G&amp;T)'!$B$76,Model!$Q$3174)</f>
        <v>-0.8490177480384874</v>
      </c>
      <c r="W3243" s="377">
        <f>IPMT('Assumptions (Oil G&amp;T)'!$B$73,Model!AC$1,'Assumptions (Oil G&amp;T)'!$B$76,Model!$Q$3174)</f>
        <v>-0.78900414111714912</v>
      </c>
      <c r="X3243" s="377">
        <f>IPMT('Assumptions (Oil G&amp;T)'!$B$73,Model!AD$1,'Assumptions (Oil G&amp;T)'!$B$76,Model!$Q$3174)</f>
        <v>-0.72448951367671044</v>
      </c>
      <c r="Y3243" s="377">
        <f>IPMT('Assumptions (Oil G&amp;T)'!$B$73,Model!AE$1,'Assumptions (Oil G&amp;T)'!$B$76,Model!$Q$3174)</f>
        <v>-0.65513628917823885</v>
      </c>
      <c r="Z3243" s="377">
        <f>IPMT('Assumptions (Oil G&amp;T)'!$B$73,Model!AF$1,'Assumptions (Oil G&amp;T)'!$B$76,Model!$Q$3174)</f>
        <v>-0.58058157284238177</v>
      </c>
      <c r="AA3243" s="377">
        <f>IPMT('Assumptions (Oil G&amp;T)'!$B$73,Model!AG$1,'Assumptions (Oil G&amp;T)'!$B$76,Model!$Q$3174)</f>
        <v>-0.5004352527813356</v>
      </c>
      <c r="AB3243" s="377">
        <f>IPMT('Assumptions (Oil G&amp;T)'!$B$73,Model!AH$1,'Assumptions (Oil G&amp;T)'!$B$76,Model!$Q$3174)</f>
        <v>-0.41427795871571099</v>
      </c>
      <c r="AC3243" s="377">
        <f>IPMT('Assumptions (Oil G&amp;T)'!$B$73,Model!AI$1,'Assumptions (Oil G&amp;T)'!$B$76,Model!$Q$3174)</f>
        <v>-0.32165886759516432</v>
      </c>
      <c r="AD3243" s="377">
        <f>IPMT('Assumptions (Oil G&amp;T)'!$B$73,Model!AJ$1,'Assumptions (Oil G&amp;T)'!$B$76,Model!$Q$3174)</f>
        <v>-0.22209334464057684</v>
      </c>
      <c r="AE3243" s="377">
        <f>IPMT('Assumptions (Oil G&amp;T)'!$B$73,Model!AK$1,'Assumptions (Oil G&amp;T)'!$B$76,Model!$Q$3174)</f>
        <v>-0.11506040746439522</v>
      </c>
      <c r="AF3243" s="377" t="e">
        <f>IPMT('Assumptions (Oil G&amp;T)'!$B$73,Model!AL$1,'Assumptions (Oil G&amp;T)'!$B$76,Model!$Q$3174)</f>
        <v>#NUM!</v>
      </c>
      <c r="AG3243" s="377" t="e">
        <f>IPMT('Assumptions (Oil G&amp;T)'!$B$73,Model!AM$1,'Assumptions (Oil G&amp;T)'!$B$76,Model!$Q$3174)</f>
        <v>#NUM!</v>
      </c>
      <c r="AH3243" s="377" t="e">
        <f>IPMT('Assumptions (Oil G&amp;T)'!$B$73,Model!AN$1,'Assumptions (Oil G&amp;T)'!$B$76,Model!$Q$3174)</f>
        <v>#NUM!</v>
      </c>
      <c r="AI3243" s="377" t="e">
        <f>IPMT('Assumptions (Oil G&amp;T)'!$B$73,Model!AO$1,'Assumptions (Oil G&amp;T)'!$B$76,Model!$Q$3174)</f>
        <v>#NUM!</v>
      </c>
      <c r="AJ3243" s="377" t="e">
        <f>IPMT('Assumptions (Oil G&amp;T)'!$B$73,Model!AP$1,'Assumptions (Oil G&amp;T)'!$B$76,Model!$Q$3174)</f>
        <v>#NUM!</v>
      </c>
      <c r="AK3243" s="377" t="e">
        <f>IPMT('Assumptions (Oil G&amp;T)'!$B$73,Model!AQ$1,'Assumptions (Oil G&amp;T)'!$B$76,Model!$Q$3174)</f>
        <v>#NUM!</v>
      </c>
      <c r="AL3243" s="377" t="e">
        <f>IPMT('Assumptions (Oil G&amp;T)'!$B$73,Model!AR$1,'Assumptions (Oil G&amp;T)'!$B$76,Model!$Q$3174)</f>
        <v>#NUM!</v>
      </c>
      <c r="AM3243" s="377" t="e">
        <f>IPMT('Assumptions (Oil G&amp;T)'!$B$73,Model!AS$1,'Assumptions (Oil G&amp;T)'!$B$76,Model!$Q$3174)</f>
        <v>#NUM!</v>
      </c>
      <c r="AN3243" s="377" t="e">
        <f>IPMT('Assumptions (Oil G&amp;T)'!$B$73,Model!AT$1,'Assumptions (Oil G&amp;T)'!$B$76,Model!$Q$3174)</f>
        <v>#NUM!</v>
      </c>
      <c r="AO3243" s="377" t="e">
        <f>IPMT('Assumptions (Oil G&amp;T)'!$B$73,Model!AU$1,'Assumptions (Oil G&amp;T)'!$B$76,Model!$Q$3174)</f>
        <v>#NUM!</v>
      </c>
    </row>
    <row r="3244" spans="1:46" ht="15.75" hidden="1" customHeight="1" outlineLevel="1">
      <c r="A3244" s="468"/>
      <c r="B3244" s="99"/>
      <c r="C3244" s="377"/>
      <c r="D3244" s="377"/>
      <c r="E3244" s="377"/>
      <c r="F3244" s="377"/>
      <c r="G3244" s="377"/>
      <c r="H3244" s="377"/>
      <c r="I3244" s="377"/>
      <c r="J3244" s="377"/>
      <c r="K3244" s="377"/>
      <c r="L3244" s="377"/>
      <c r="M3244" s="377"/>
      <c r="N3244" s="377"/>
      <c r="O3244" s="377"/>
      <c r="P3244" s="377"/>
      <c r="Q3244" s="377"/>
      <c r="R3244" s="377">
        <f>IPMT('Assumptions (Oil G&amp;T)'!$B$73,Model!W$1,'Assumptions (Oil G&amp;T)'!$B$76,Model!$R$3174)</f>
        <v>-0.82778842912950001</v>
      </c>
      <c r="S3244" s="377">
        <f>IPMT('Assumptions (Oil G&amp;T)'!$B$73,Model!X$1,'Assumptions (Oil G&amp;T)'!$B$76,Model!$R$3174)</f>
        <v>-0.79609469797493382</v>
      </c>
      <c r="T3244" s="377">
        <f>IPMT('Assumptions (Oil G&amp;T)'!$B$73,Model!Y$1,'Assumptions (Oil G&amp;T)'!$B$76,Model!$R$3174)</f>
        <v>-0.76202393698377502</v>
      </c>
      <c r="U3244" s="377">
        <f>IPMT('Assumptions (Oil G&amp;T)'!$B$73,Model!Z$1,'Assumptions (Oil G&amp;T)'!$B$76,Model!$R$3174)</f>
        <v>-0.72539786891827951</v>
      </c>
      <c r="V3244" s="377">
        <f>IPMT('Assumptions (Oil G&amp;T)'!$B$73,Model!AA$1,'Assumptions (Oil G&amp;T)'!$B$76,Model!$R$3174)</f>
        <v>-0.68602484574787148</v>
      </c>
      <c r="W3244" s="377">
        <f>IPMT('Assumptions (Oil G&amp;T)'!$B$73,Model!AB$1,'Assumptions (Oil G&amp;T)'!$B$76,Model!$R$3174)</f>
        <v>-0.64369884583968318</v>
      </c>
      <c r="X3244" s="377">
        <f>IPMT('Assumptions (Oil G&amp;T)'!$B$73,Model!AC$1,'Assumptions (Oil G&amp;T)'!$B$76,Model!$R$3174)</f>
        <v>-0.59819839593838053</v>
      </c>
      <c r="Y3244" s="377">
        <f>IPMT('Assumptions (Oil G&amp;T)'!$B$73,Model!AD$1,'Assumptions (Oil G&amp;T)'!$B$76,Model!$R$3174)</f>
        <v>-0.54928541229448036</v>
      </c>
      <c r="Z3244" s="377">
        <f>IPMT('Assumptions (Oil G&amp;T)'!$B$73,Model!AE$1,'Assumptions (Oil G&amp;T)'!$B$76,Model!$R$3174)</f>
        <v>-0.49670395487728763</v>
      </c>
      <c r="AA3244" s="377">
        <f>IPMT('Assumptions (Oil G&amp;T)'!$B$73,Model!AF$1,'Assumptions (Oil G&amp;T)'!$B$76,Model!$R$3174)</f>
        <v>-0.4401788881538054</v>
      </c>
      <c r="AB3244" s="377">
        <f>IPMT('Assumptions (Oil G&amp;T)'!$B$73,Model!AG$1,'Assumptions (Oil G&amp;T)'!$B$76,Model!$R$3174)</f>
        <v>-0.37941444142606212</v>
      </c>
      <c r="AC3244" s="377">
        <f>IPMT('Assumptions (Oil G&amp;T)'!$B$73,Model!AH$1,'Assumptions (Oil G&amp;T)'!$B$76,Model!$R$3174)</f>
        <v>-0.31409266119373802</v>
      </c>
      <c r="AD3244" s="377">
        <f>IPMT('Assumptions (Oil G&amp;T)'!$B$73,Model!AI$1,'Assumptions (Oil G&amp;T)'!$B$76,Model!$R$3174)</f>
        <v>-0.24387174744398951</v>
      </c>
      <c r="AE3244" s="377">
        <f>IPMT('Assumptions (Oil G&amp;T)'!$B$73,Model!AJ$1,'Assumptions (Oil G&amp;T)'!$B$76,Model!$R$3174)</f>
        <v>-0.16838426516301</v>
      </c>
      <c r="AF3244" s="377">
        <f>IPMT('Assumptions (Oil G&amp;T)'!$B$73,Model!AK$1,'Assumptions (Oil G&amp;T)'!$B$76,Model!$R$3174)</f>
        <v>-8.7235221710956989E-2</v>
      </c>
      <c r="AG3244" s="377" t="e">
        <f>IPMT('Assumptions (Oil G&amp;T)'!$B$73,Model!AL$1,'Assumptions (Oil G&amp;T)'!$B$76,Model!$R$3174)</f>
        <v>#NUM!</v>
      </c>
      <c r="AH3244" s="377" t="e">
        <f>IPMT('Assumptions (Oil G&amp;T)'!$B$73,Model!AM$1,'Assumptions (Oil G&amp;T)'!$B$76,Model!$R$3174)</f>
        <v>#NUM!</v>
      </c>
      <c r="AI3244" s="377" t="e">
        <f>IPMT('Assumptions (Oil G&amp;T)'!$B$73,Model!AN$1,'Assumptions (Oil G&amp;T)'!$B$76,Model!$R$3174)</f>
        <v>#NUM!</v>
      </c>
      <c r="AJ3244" s="377" t="e">
        <f>IPMT('Assumptions (Oil G&amp;T)'!$B$73,Model!AO$1,'Assumptions (Oil G&amp;T)'!$B$76,Model!$R$3174)</f>
        <v>#NUM!</v>
      </c>
      <c r="AK3244" s="377" t="e">
        <f>IPMT('Assumptions (Oil G&amp;T)'!$B$73,Model!AP$1,'Assumptions (Oil G&amp;T)'!$B$76,Model!$R$3174)</f>
        <v>#NUM!</v>
      </c>
      <c r="AL3244" s="377" t="e">
        <f>IPMT('Assumptions (Oil G&amp;T)'!$B$73,Model!AQ$1,'Assumptions (Oil G&amp;T)'!$B$76,Model!$R$3174)</f>
        <v>#NUM!</v>
      </c>
      <c r="AM3244" s="377" t="e">
        <f>IPMT('Assumptions (Oil G&amp;T)'!$B$73,Model!AR$1,'Assumptions (Oil G&amp;T)'!$B$76,Model!$R$3174)</f>
        <v>#NUM!</v>
      </c>
      <c r="AN3244" s="377" t="e">
        <f>IPMT('Assumptions (Oil G&amp;T)'!$B$73,Model!AS$1,'Assumptions (Oil G&amp;T)'!$B$76,Model!$R$3174)</f>
        <v>#NUM!</v>
      </c>
      <c r="AO3244" s="377" t="e">
        <f>IPMT('Assumptions (Oil G&amp;T)'!$B$73,Model!AT$1,'Assumptions (Oil G&amp;T)'!$B$76,Model!$R$3174)</f>
        <v>#NUM!</v>
      </c>
      <c r="AP3244" s="377" t="e">
        <f>IPMT('Assumptions (Oil G&amp;T)'!$B$73,Model!AU$1,'Assumptions (Oil G&amp;T)'!$B$76,Model!$R$3174)</f>
        <v>#NUM!</v>
      </c>
    </row>
    <row r="3245" spans="1:46" ht="15.75" hidden="1" customHeight="1" outlineLevel="1">
      <c r="A3245" s="468"/>
      <c r="B3245" s="99"/>
      <c r="C3245" s="377"/>
      <c r="D3245" s="377"/>
      <c r="E3245" s="377"/>
      <c r="F3245" s="377"/>
      <c r="G3245" s="377"/>
      <c r="H3245" s="377"/>
      <c r="I3245" s="377"/>
      <c r="J3245" s="377"/>
      <c r="K3245" s="377"/>
      <c r="L3245" s="377"/>
      <c r="M3245" s="377"/>
      <c r="N3245" s="377"/>
      <c r="O3245" s="377"/>
      <c r="P3245" s="377"/>
      <c r="Q3245" s="377"/>
      <c r="R3245" s="377"/>
      <c r="S3245" s="377">
        <f>IPMT('Assumptions (Oil G&amp;T)'!$B$73,Model!W$1,'Assumptions (Oil G&amp;T)'!$B$76,Model!$S$3174)</f>
        <v>-0.51528396253499986</v>
      </c>
      <c r="T3245" s="377">
        <f>IPMT('Assumptions (Oil G&amp;T)'!$B$73,Model!X$1,'Assumptions (Oil G&amp;T)'!$B$76,Model!$S$3174)</f>
        <v>-0.49555516372342701</v>
      </c>
      <c r="U3245" s="377">
        <f>IPMT('Assumptions (Oil G&amp;T)'!$B$73,Model!Y$1,'Assumptions (Oil G&amp;T)'!$B$76,Model!$S$3174)</f>
        <v>-0.47434670500098614</v>
      </c>
      <c r="V3245" s="377">
        <f>IPMT('Assumptions (Oil G&amp;T)'!$B$73,Model!Z$1,'Assumptions (Oil G&amp;T)'!$B$76,Model!$S$3174)</f>
        <v>-0.45154761187436221</v>
      </c>
      <c r="W3245" s="377">
        <f>IPMT('Assumptions (Oil G&amp;T)'!$B$73,Model!AA$1,'Assumptions (Oil G&amp;T)'!$B$76,Model!$S$3174)</f>
        <v>-0.42703858676324141</v>
      </c>
      <c r="X3245" s="377">
        <f>IPMT('Assumptions (Oil G&amp;T)'!$B$73,Model!AB$1,'Assumptions (Oil G&amp;T)'!$B$76,Model!$S$3174)</f>
        <v>-0.40069138476878668</v>
      </c>
      <c r="Y3245" s="377">
        <f>IPMT('Assumptions (Oil G&amp;T)'!$B$73,Model!AC$1,'Assumptions (Oil G&amp;T)'!$B$76,Model!$S$3174)</f>
        <v>-0.37236814262474777</v>
      </c>
      <c r="Z3245" s="377">
        <f>IPMT('Assumptions (Oil G&amp;T)'!$B$73,Model!AD$1,'Assumptions (Oil G&amp;T)'!$B$76,Model!$S$3174)</f>
        <v>-0.34192065731990595</v>
      </c>
      <c r="AA3245" s="377">
        <f>IPMT('Assumptions (Oil G&amp;T)'!$B$73,Model!AE$1,'Assumptions (Oil G&amp;T)'!$B$76,Model!$S$3174)</f>
        <v>-0.30918961061720096</v>
      </c>
      <c r="AB3245" s="377">
        <f>IPMT('Assumptions (Oil G&amp;T)'!$B$73,Model!AF$1,'Assumptions (Oil G&amp;T)'!$B$76,Model!$S$3174)</f>
        <v>-0.27400373541179313</v>
      </c>
      <c r="AC3245" s="377">
        <f>IPMT('Assumptions (Oil G&amp;T)'!$B$73,Model!AG$1,'Assumptions (Oil G&amp;T)'!$B$76,Model!$S$3174)</f>
        <v>-0.23617891956597975</v>
      </c>
      <c r="AD3245" s="377">
        <f>IPMT('Assumptions (Oil G&amp;T)'!$B$73,Model!AH$1,'Assumptions (Oil G&amp;T)'!$B$76,Model!$S$3174)</f>
        <v>-0.19551724253173033</v>
      </c>
      <c r="AE3245" s="377">
        <f>IPMT('Assumptions (Oil G&amp;T)'!$B$73,Model!AI$1,'Assumptions (Oil G&amp;T)'!$B$76,Model!$S$3174)</f>
        <v>-0.15180593971991216</v>
      </c>
      <c r="AF3245" s="377">
        <f>IPMT('Assumptions (Oil G&amp;T)'!$B$73,Model!AJ$1,'Assumptions (Oil G&amp;T)'!$B$76,Model!$S$3174)</f>
        <v>-0.1048162891972077</v>
      </c>
      <c r="AG3245" s="377">
        <f>IPMT('Assumptions (Oil G&amp;T)'!$B$73,Model!AK$1,'Assumptions (Oil G&amp;T)'!$B$76,Model!$S$3174)</f>
        <v>-5.4302414885300375E-2</v>
      </c>
      <c r="AH3245" s="377" t="e">
        <f>IPMT('Assumptions (Oil G&amp;T)'!$B$73,Model!AL$1,'Assumptions (Oil G&amp;T)'!$B$76,Model!$S$3174)</f>
        <v>#NUM!</v>
      </c>
      <c r="AI3245" s="377" t="e">
        <f>IPMT('Assumptions (Oil G&amp;T)'!$B$73,Model!AM$1,'Assumptions (Oil G&amp;T)'!$B$76,Model!$S$3174)</f>
        <v>#NUM!</v>
      </c>
      <c r="AJ3245" s="377" t="e">
        <f>IPMT('Assumptions (Oil G&amp;T)'!$B$73,Model!AN$1,'Assumptions (Oil G&amp;T)'!$B$76,Model!$S$3174)</f>
        <v>#NUM!</v>
      </c>
      <c r="AK3245" s="377" t="e">
        <f>IPMT('Assumptions (Oil G&amp;T)'!$B$73,Model!AO$1,'Assumptions (Oil G&amp;T)'!$B$76,Model!$S$3174)</f>
        <v>#NUM!</v>
      </c>
      <c r="AL3245" s="377" t="e">
        <f>IPMT('Assumptions (Oil G&amp;T)'!$B$73,Model!AP$1,'Assumptions (Oil G&amp;T)'!$B$76,Model!$S$3174)</f>
        <v>#NUM!</v>
      </c>
      <c r="AM3245" s="377" t="e">
        <f>IPMT('Assumptions (Oil G&amp;T)'!$B$73,Model!AQ$1,'Assumptions (Oil G&amp;T)'!$B$76,Model!$S$3174)</f>
        <v>#NUM!</v>
      </c>
      <c r="AN3245" s="377" t="e">
        <f>IPMT('Assumptions (Oil G&amp;T)'!$B$73,Model!AR$1,'Assumptions (Oil G&amp;T)'!$B$76,Model!$S$3174)</f>
        <v>#NUM!</v>
      </c>
      <c r="AO3245" s="377" t="e">
        <f>IPMT('Assumptions (Oil G&amp;T)'!$B$73,Model!AS$1,'Assumptions (Oil G&amp;T)'!$B$76,Model!$S$3174)</f>
        <v>#NUM!</v>
      </c>
      <c r="AP3245" s="377" t="e">
        <f>IPMT('Assumptions (Oil G&amp;T)'!$B$73,Model!AT$1,'Assumptions (Oil G&amp;T)'!$B$76,Model!$S$3174)</f>
        <v>#NUM!</v>
      </c>
      <c r="AQ3245" s="377" t="e">
        <f>IPMT('Assumptions (Oil G&amp;T)'!$B$73,Model!AU$1,'Assumptions (Oil G&amp;T)'!$B$76,Model!$S$3174)</f>
        <v>#NUM!</v>
      </c>
    </row>
    <row r="3246" spans="1:46" ht="15.75" hidden="1" customHeight="1" outlineLevel="1">
      <c r="A3246" s="468"/>
      <c r="B3246" s="99"/>
      <c r="C3246" s="377"/>
      <c r="D3246" s="377"/>
      <c r="E3246" s="377"/>
      <c r="F3246" s="377"/>
      <c r="G3246" s="377"/>
      <c r="H3246" s="377"/>
      <c r="I3246" s="377"/>
      <c r="J3246" s="377"/>
      <c r="K3246" s="377"/>
      <c r="L3246" s="377"/>
      <c r="M3246" s="377"/>
      <c r="N3246" s="377"/>
      <c r="O3246" s="377"/>
      <c r="P3246" s="377"/>
      <c r="Q3246" s="377"/>
      <c r="R3246" s="377"/>
      <c r="S3246" s="42"/>
      <c r="T3246" s="377">
        <f>IPMT('Assumptions (Oil G&amp;T)'!$B$73,Model!W$1,'Assumptions (Oil G&amp;T)'!$B$76,Model!$T$3174)</f>
        <v>-0.79760729641436445</v>
      </c>
      <c r="U3246" s="377">
        <f>IPMT('Assumptions (Oil G&amp;T)'!$B$73,Model!X$1,'Assumptions (Oil G&amp;T)'!$B$76,Model!$T$3174)</f>
        <v>-0.76706911741848161</v>
      </c>
      <c r="V3246" s="377">
        <f>IPMT('Assumptions (Oil G&amp;T)'!$B$73,Model!Y$1,'Assumptions (Oil G&amp;T)'!$B$76,Model!$T$3174)</f>
        <v>-0.73424057499790762</v>
      </c>
      <c r="W3246" s="377">
        <f>IPMT('Assumptions (Oil G&amp;T)'!$B$73,Model!Z$1,'Assumptions (Oil G&amp;T)'!$B$76,Model!$T$3174)</f>
        <v>-0.6989498918957906</v>
      </c>
      <c r="X3246" s="377">
        <f>IPMT('Assumptions (Oil G&amp;T)'!$B$73,Model!AA$1,'Assumptions (Oil G&amp;T)'!$B$76,Model!$T$3174)</f>
        <v>-0.66101240756101465</v>
      </c>
      <c r="Y3246" s="377">
        <f>IPMT('Assumptions (Oil G&amp;T)'!$B$73,Model!AB$1,'Assumptions (Oil G&amp;T)'!$B$76,Model!$T$3174)</f>
        <v>-0.62022961190113068</v>
      </c>
      <c r="Z3246" s="377">
        <f>IPMT('Assumptions (Oil G&amp;T)'!$B$73,Model!AC$1,'Assumptions (Oil G&amp;T)'!$B$76,Model!$T$3174)</f>
        <v>-0.57638810656675543</v>
      </c>
      <c r="AA3246" s="377">
        <f>IPMT('Assumptions (Oil G&amp;T)'!$B$73,Model!AD$1,'Assumptions (Oil G&amp;T)'!$B$76,Model!$T$3174)</f>
        <v>-0.52925848833230194</v>
      </c>
      <c r="AB3246" s="377">
        <f>IPMT('Assumptions (Oil G&amp;T)'!$B$73,Model!AE$1,'Assumptions (Oil G&amp;T)'!$B$76,Model!$T$3174)</f>
        <v>-0.47859414873026435</v>
      </c>
      <c r="AC3246" s="377">
        <f>IPMT('Assumptions (Oil G&amp;T)'!$B$73,Model!AF$1,'Assumptions (Oil G&amp;T)'!$B$76,Model!$T$3174)</f>
        <v>-0.42412998365807408</v>
      </c>
      <c r="AD3246" s="377">
        <f>IPMT('Assumptions (Oil G&amp;T)'!$B$73,Model!AG$1,'Assumptions (Oil G&amp;T)'!$B$76,Model!$T$3174)</f>
        <v>-0.36558100620546952</v>
      </c>
      <c r="AE3246" s="377">
        <f>IPMT('Assumptions (Oil G&amp;T)'!$B$73,Model!AH$1,'Assumptions (Oil G&amp;T)'!$B$76,Model!$T$3174)</f>
        <v>-0.30264085544391967</v>
      </c>
      <c r="AF3246" s="377">
        <f>IPMT('Assumptions (Oil G&amp;T)'!$B$73,Model!AI$1,'Assumptions (Oil G&amp;T)'!$B$76,Model!$T$3174)</f>
        <v>-0.23498019337525344</v>
      </c>
      <c r="AG3246" s="377">
        <f>IPMT('Assumptions (Oil G&amp;T)'!$B$73,Model!AJ$1,'Assumptions (Oil G&amp;T)'!$B$76,Model!$T$3174)</f>
        <v>-0.16224498165143733</v>
      </c>
      <c r="AH3246" s="377">
        <f>IPMT('Assumptions (Oil G&amp;T)'!$B$73,Model!AK$1,'Assumptions (Oil G&amp;T)'!$B$76,Model!$T$3174)</f>
        <v>-8.4054629048335008E-2</v>
      </c>
      <c r="AI3246" s="377" t="e">
        <f>IPMT('Assumptions (Oil G&amp;T)'!$B$73,Model!AL$1,'Assumptions (Oil G&amp;T)'!$B$76,Model!$T$3174)</f>
        <v>#NUM!</v>
      </c>
      <c r="AJ3246" s="377" t="e">
        <f>IPMT('Assumptions (Oil G&amp;T)'!$B$73,Model!AM$1,'Assumptions (Oil G&amp;T)'!$B$76,Model!$T$3174)</f>
        <v>#NUM!</v>
      </c>
      <c r="AK3246" s="377" t="e">
        <f>IPMT('Assumptions (Oil G&amp;T)'!$B$73,Model!AN$1,'Assumptions (Oil G&amp;T)'!$B$76,Model!$T$3174)</f>
        <v>#NUM!</v>
      </c>
      <c r="AL3246" s="377" t="e">
        <f>IPMT('Assumptions (Oil G&amp;T)'!$B$73,Model!AO$1,'Assumptions (Oil G&amp;T)'!$B$76,Model!$T$3174)</f>
        <v>#NUM!</v>
      </c>
      <c r="AM3246" s="377" t="e">
        <f>IPMT('Assumptions (Oil G&amp;T)'!$B$73,Model!AP$1,'Assumptions (Oil G&amp;T)'!$B$76,Model!$T$3174)</f>
        <v>#NUM!</v>
      </c>
      <c r="AN3246" s="377" t="e">
        <f>IPMT('Assumptions (Oil G&amp;T)'!$B$73,Model!AQ$1,'Assumptions (Oil G&amp;T)'!$B$76,Model!$T$3174)</f>
        <v>#NUM!</v>
      </c>
      <c r="AO3246" s="377" t="e">
        <f>IPMT('Assumptions (Oil G&amp;T)'!$B$73,Model!AR$1,'Assumptions (Oil G&amp;T)'!$B$76,Model!$T$3174)</f>
        <v>#NUM!</v>
      </c>
      <c r="AP3246" s="377" t="e">
        <f>IPMT('Assumptions (Oil G&amp;T)'!$B$73,Model!AS$1,'Assumptions (Oil G&amp;T)'!$B$76,Model!$T$3174)</f>
        <v>#NUM!</v>
      </c>
      <c r="AQ3246" s="377" t="e">
        <f>IPMT('Assumptions (Oil G&amp;T)'!$B$73,Model!AT$1,'Assumptions (Oil G&amp;T)'!$B$76,Model!$T$3174)</f>
        <v>#NUM!</v>
      </c>
      <c r="AR3246" s="377" t="e">
        <f>IPMT('Assumptions (Oil G&amp;T)'!$B$73,Model!AU$1,'Assumptions (Oil G&amp;T)'!$B$76,Model!$T$3174)</f>
        <v>#NUM!</v>
      </c>
    </row>
    <row r="3247" spans="1:46" ht="15.75" hidden="1" customHeight="1" outlineLevel="1">
      <c r="A3247" s="468"/>
      <c r="B3247" s="99"/>
      <c r="C3247" s="377"/>
      <c r="D3247" s="377"/>
      <c r="E3247" s="377"/>
      <c r="F3247" s="377"/>
      <c r="G3247" s="377"/>
      <c r="H3247" s="377"/>
      <c r="I3247" s="377"/>
      <c r="J3247" s="377"/>
      <c r="K3247" s="377"/>
      <c r="L3247" s="377"/>
      <c r="M3247" s="377"/>
      <c r="N3247" s="377"/>
      <c r="O3247" s="377"/>
      <c r="P3247" s="377"/>
      <c r="Q3247" s="377"/>
      <c r="R3247" s="377"/>
      <c r="S3247" s="42"/>
      <c r="T3247" s="42"/>
      <c r="U3247" s="377">
        <f>IPMT('Assumptions (Oil G&amp;T)'!$B$73,Model!W$1,'Assumptions (Oil G&amp;T)'!$B$76,Model!$U$3174)</f>
        <v>-0.86907453888581743</v>
      </c>
      <c r="V3247" s="377">
        <f>IPMT('Assumptions (Oil G&amp;T)'!$B$73,Model!X$1,'Assumptions (Oil G&amp;T)'!$B$76,Model!$U$3174)</f>
        <v>-0.83580007669299461</v>
      </c>
      <c r="W3247" s="377">
        <f>IPMT('Assumptions (Oil G&amp;T)'!$B$73,Model!Y$1,'Assumptions (Oil G&amp;T)'!$B$76,Model!$U$3174)</f>
        <v>-0.80003002983571014</v>
      </c>
      <c r="X3247" s="377">
        <f>IPMT('Assumptions (Oil G&amp;T)'!$B$73,Model!Z$1,'Assumptions (Oil G&amp;T)'!$B$76,Model!$U$3174)</f>
        <v>-0.76157722946412931</v>
      </c>
      <c r="Y3247" s="377">
        <f>IPMT('Assumptions (Oil G&amp;T)'!$B$73,Model!AA$1,'Assumptions (Oil G&amp;T)'!$B$76,Model!$U$3174)</f>
        <v>-0.72024046906467987</v>
      </c>
      <c r="Z3247" s="377">
        <f>IPMT('Assumptions (Oil G&amp;T)'!$B$73,Model!AB$1,'Assumptions (Oil G&amp;T)'!$B$76,Model!$U$3174)</f>
        <v>-0.67580345163527167</v>
      </c>
      <c r="AA3247" s="377">
        <f>IPMT('Assumptions (Oil G&amp;T)'!$B$73,Model!AC$1,'Assumptions (Oil G&amp;T)'!$B$76,Model!$U$3174)</f>
        <v>-0.62803365789865784</v>
      </c>
      <c r="AB3247" s="377">
        <f>IPMT('Assumptions (Oil G&amp;T)'!$B$73,Model!AD$1,'Assumptions (Oil G&amp;T)'!$B$76,Model!$U$3174)</f>
        <v>-0.57668112963179807</v>
      </c>
      <c r="AC3247" s="377">
        <f>IPMT('Assumptions (Oil G&amp;T)'!$B$73,Model!AE$1,'Assumptions (Oil G&amp;T)'!$B$76,Model!$U$3174)</f>
        <v>-0.52147716174492376</v>
      </c>
      <c r="AD3247" s="377">
        <f>IPMT('Assumptions (Oil G&amp;T)'!$B$73,Model!AF$1,'Assumptions (Oil G&amp;T)'!$B$76,Model!$U$3174)</f>
        <v>-0.46213289626653392</v>
      </c>
      <c r="AE3247" s="377">
        <f>IPMT('Assumptions (Oil G&amp;T)'!$B$73,Model!AG$1,'Assumptions (Oil G&amp;T)'!$B$76,Model!$U$3174)</f>
        <v>-0.39833781087726489</v>
      </c>
      <c r="AF3247" s="377">
        <f>IPMT('Assumptions (Oil G&amp;T)'!$B$73,Model!AH$1,'Assumptions (Oil G&amp;T)'!$B$76,Model!$U$3174)</f>
        <v>-0.32975809408380058</v>
      </c>
      <c r="AG3247" s="377">
        <f>IPMT('Assumptions (Oil G&amp;T)'!$B$73,Model!AI$1,'Assumptions (Oil G&amp;T)'!$B$76,Model!$U$3174)</f>
        <v>-0.25603489853082645</v>
      </c>
      <c r="AH3247" s="377">
        <f>IPMT('Assumptions (Oil G&amp;T)'!$B$73,Model!AJ$1,'Assumptions (Oil G&amp;T)'!$B$76,Model!$U$3174)</f>
        <v>-0.17678246331137931</v>
      </c>
      <c r="AI3247" s="377">
        <f>IPMT('Assumptions (Oil G&amp;T)'!$B$73,Model!AK$1,'Assumptions (Oil G&amp;T)'!$B$76,Model!$U$3174)</f>
        <v>-9.1586095450473623E-2</v>
      </c>
      <c r="AJ3247" s="377" t="e">
        <f>IPMT('Assumptions (Oil G&amp;T)'!$B$73,Model!AL$1,'Assumptions (Oil G&amp;T)'!$B$76,Model!$U$3174)</f>
        <v>#NUM!</v>
      </c>
      <c r="AK3247" s="377" t="e">
        <f>IPMT('Assumptions (Oil G&amp;T)'!$B$73,Model!AM$1,'Assumptions (Oil G&amp;T)'!$B$76,Model!$U$3174)</f>
        <v>#NUM!</v>
      </c>
      <c r="AL3247" s="377" t="e">
        <f>IPMT('Assumptions (Oil G&amp;T)'!$B$73,Model!AN$1,'Assumptions (Oil G&amp;T)'!$B$76,Model!$U$3174)</f>
        <v>#NUM!</v>
      </c>
      <c r="AM3247" s="377" t="e">
        <f>IPMT('Assumptions (Oil G&amp;T)'!$B$73,Model!AO$1,'Assumptions (Oil G&amp;T)'!$B$76,Model!$U$3174)</f>
        <v>#NUM!</v>
      </c>
      <c r="AN3247" s="377" t="e">
        <f>IPMT('Assumptions (Oil G&amp;T)'!$B$73,Model!AP$1,'Assumptions (Oil G&amp;T)'!$B$76,Model!$U$3174)</f>
        <v>#NUM!</v>
      </c>
      <c r="AO3247" s="377" t="e">
        <f>IPMT('Assumptions (Oil G&amp;T)'!$B$73,Model!AQ$1,'Assumptions (Oil G&amp;T)'!$B$76,Model!$U$3174)</f>
        <v>#NUM!</v>
      </c>
      <c r="AP3247" s="377" t="e">
        <f>IPMT('Assumptions (Oil G&amp;T)'!$B$73,Model!AR$1,'Assumptions (Oil G&amp;T)'!$B$76,Model!$U$3174)</f>
        <v>#NUM!</v>
      </c>
      <c r="AQ3247" s="377" t="e">
        <f>IPMT('Assumptions (Oil G&amp;T)'!$B$73,Model!AS$1,'Assumptions (Oil G&amp;T)'!$B$76,Model!$U$3174)</f>
        <v>#NUM!</v>
      </c>
      <c r="AR3247" s="377" t="e">
        <f>IPMT('Assumptions (Oil G&amp;T)'!$B$73,Model!AT$1,'Assumptions (Oil G&amp;T)'!$B$76,Model!$U$3174)</f>
        <v>#NUM!</v>
      </c>
      <c r="AS3247" s="377" t="e">
        <f>IPMT('Assumptions (Oil G&amp;T)'!$B$73,Model!AU$1,'Assumptions (Oil G&amp;T)'!$B$76,Model!$U$3174)</f>
        <v>#NUM!</v>
      </c>
    </row>
    <row r="3248" spans="1:46" ht="15.75" hidden="1" customHeight="1" outlineLevel="1">
      <c r="A3248" s="468"/>
      <c r="B3248" s="99"/>
      <c r="C3248" s="377"/>
      <c r="D3248" s="377"/>
      <c r="E3248" s="377"/>
      <c r="F3248" s="377"/>
      <c r="G3248" s="377"/>
      <c r="H3248" s="377"/>
      <c r="I3248" s="377"/>
      <c r="J3248" s="377"/>
      <c r="K3248" s="377"/>
      <c r="L3248" s="377"/>
      <c r="M3248" s="377"/>
      <c r="N3248" s="377"/>
      <c r="O3248" s="377"/>
      <c r="P3248" s="377"/>
      <c r="Q3248" s="377"/>
      <c r="R3248" s="377"/>
      <c r="S3248" s="42"/>
      <c r="T3248" s="42"/>
      <c r="U3248" s="42"/>
      <c r="V3248" s="377">
        <f>IPMT('Assumptions (Oil G&amp;T)'!$B$73,Model!W$1,'Assumptions (Oil G&amp;T)'!$B$76,Model!$V$3174)</f>
        <v>-0.91372190943300813</v>
      </c>
      <c r="W3248" s="377">
        <f>IPMT('Assumptions (Oil G&amp;T)'!$B$73,Model!X$1,'Assumptions (Oil G&amp;T)'!$B$76,Model!$V$3174)</f>
        <v>-0.87873802281591662</v>
      </c>
      <c r="X3248" s="377">
        <f>IPMT('Assumptions (Oil G&amp;T)'!$B$73,Model!Y$1,'Assumptions (Oil G&amp;T)'!$B$76,Model!$V$3174)</f>
        <v>-0.84113034470254333</v>
      </c>
      <c r="Y3248" s="377">
        <f>IPMT('Assumptions (Oil G&amp;T)'!$B$73,Model!Z$1,'Assumptions (Oil G&amp;T)'!$B$76,Model!$V$3174)</f>
        <v>-0.800702090730667</v>
      </c>
      <c r="Z3248" s="377">
        <f>IPMT('Assumptions (Oil G&amp;T)'!$B$73,Model!AA$1,'Assumptions (Oil G&amp;T)'!$B$76,Model!$V$3174)</f>
        <v>-0.75724171771089988</v>
      </c>
      <c r="AA3248" s="377">
        <f>IPMT('Assumptions (Oil G&amp;T)'!$B$73,Model!AB$1,'Assumptions (Oil G&amp;T)'!$B$76,Model!$V$3174)</f>
        <v>-0.7105218167146502</v>
      </c>
      <c r="AB3248" s="377">
        <f>IPMT('Assumptions (Oil G&amp;T)'!$B$73,Model!AC$1,'Assumptions (Oil G&amp;T)'!$B$76,Model!$V$3174)</f>
        <v>-0.66029792314368185</v>
      </c>
      <c r="AC3248" s="377">
        <f>IPMT('Assumptions (Oil G&amp;T)'!$B$73,Model!AD$1,'Assumptions (Oil G&amp;T)'!$B$76,Model!$V$3174)</f>
        <v>-0.60630723755489091</v>
      </c>
      <c r="AD3248" s="377">
        <f>IPMT('Assumptions (Oil G&amp;T)'!$B$73,Model!AE$1,'Assumptions (Oil G&amp;T)'!$B$76,Model!$V$3174)</f>
        <v>-0.54826725054694059</v>
      </c>
      <c r="AE3248" s="377">
        <f>IPMT('Assumptions (Oil G&amp;T)'!$B$73,Model!AF$1,'Assumptions (Oil G&amp;T)'!$B$76,Model!$V$3174)</f>
        <v>-0.48587426451339405</v>
      </c>
      <c r="AF3248" s="377">
        <f>IPMT('Assumptions (Oil G&amp;T)'!$B$73,Model!AG$1,'Assumptions (Oil G&amp;T)'!$B$76,Model!$V$3174)</f>
        <v>-0.41880180452733151</v>
      </c>
      <c r="AG3248" s="377">
        <f>IPMT('Assumptions (Oil G&amp;T)'!$B$73,Model!AH$1,'Assumptions (Oil G&amp;T)'!$B$76,Model!$V$3174)</f>
        <v>-0.34669891004231435</v>
      </c>
      <c r="AH3248" s="377">
        <f>IPMT('Assumptions (Oil G&amp;T)'!$B$73,Model!AI$1,'Assumptions (Oil G&amp;T)'!$B$76,Model!$V$3174)</f>
        <v>-0.26918829847092074</v>
      </c>
      <c r="AI3248" s="377">
        <f>IPMT('Assumptions (Oil G&amp;T)'!$B$73,Model!AJ$1,'Assumptions (Oil G&amp;T)'!$B$76,Model!$V$3174)</f>
        <v>-0.18586439103167268</v>
      </c>
      <c r="AJ3248" s="377">
        <f>IPMT('Assumptions (Oil G&amp;T)'!$B$73,Model!AK$1,'Assumptions (Oil G&amp;T)'!$B$76,Model!$V$3174)</f>
        <v>-9.6291190534481028E-2</v>
      </c>
      <c r="AK3248" s="377" t="e">
        <f>IPMT('Assumptions (Oil G&amp;T)'!$B$73,Model!AL$1,'Assumptions (Oil G&amp;T)'!$B$76,Model!$V$3174)</f>
        <v>#NUM!</v>
      </c>
      <c r="AL3248" s="377" t="e">
        <f>IPMT('Assumptions (Oil G&amp;T)'!$B$73,Model!AM$1,'Assumptions (Oil G&amp;T)'!$B$76,Model!$V$3174)</f>
        <v>#NUM!</v>
      </c>
      <c r="AM3248" s="377" t="e">
        <f>IPMT('Assumptions (Oil G&amp;T)'!$B$73,Model!AN$1,'Assumptions (Oil G&amp;T)'!$B$76,Model!$V$3174)</f>
        <v>#NUM!</v>
      </c>
      <c r="AN3248" s="377" t="e">
        <f>IPMT('Assumptions (Oil G&amp;T)'!$B$73,Model!AO$1,'Assumptions (Oil G&amp;T)'!$B$76,Model!$V$3174)</f>
        <v>#NUM!</v>
      </c>
      <c r="AO3248" s="377" t="e">
        <f>IPMT('Assumptions (Oil G&amp;T)'!$B$73,Model!AP$1,'Assumptions (Oil G&amp;T)'!$B$76,Model!$V$3174)</f>
        <v>#NUM!</v>
      </c>
      <c r="AP3248" s="377" t="e">
        <f>IPMT('Assumptions (Oil G&amp;T)'!$B$73,Model!AQ$1,'Assumptions (Oil G&amp;T)'!$B$76,Model!$V$3174)</f>
        <v>#NUM!</v>
      </c>
      <c r="AQ3248" s="377" t="e">
        <f>IPMT('Assumptions (Oil G&amp;T)'!$B$73,Model!AR$1,'Assumptions (Oil G&amp;T)'!$B$76,Model!$V$3174)</f>
        <v>#NUM!</v>
      </c>
      <c r="AR3248" s="377" t="e">
        <f>IPMT('Assumptions (Oil G&amp;T)'!$B$73,Model!AS$1,'Assumptions (Oil G&amp;T)'!$B$76,Model!$V$3174)</f>
        <v>#NUM!</v>
      </c>
      <c r="AS3248" s="377" t="e">
        <f>IPMT('Assumptions (Oil G&amp;T)'!$B$73,Model!AT$1,'Assumptions (Oil G&amp;T)'!$B$76,Model!$V$3174)</f>
        <v>#NUM!</v>
      </c>
      <c r="AT3248" s="377" t="e">
        <f>IPMT('Assumptions (Oil G&amp;T)'!$B$73,Model!AU$1,'Assumptions (Oil G&amp;T)'!$B$76,Model!$V$3174)</f>
        <v>#NUM!</v>
      </c>
    </row>
    <row r="3249" spans="1:62" ht="15.75" hidden="1" customHeight="1" outlineLevel="1">
      <c r="A3249" s="468"/>
      <c r="B3249" s="99"/>
      <c r="C3249" s="377"/>
      <c r="D3249" s="377"/>
      <c r="E3249" s="377"/>
      <c r="F3249" s="377"/>
      <c r="G3249" s="377"/>
      <c r="H3249" s="377"/>
      <c r="I3249" s="377"/>
      <c r="J3249" s="377"/>
      <c r="K3249" s="377"/>
      <c r="L3249" s="377"/>
      <c r="M3249" s="377"/>
      <c r="N3249" s="377"/>
      <c r="O3249" s="377"/>
      <c r="P3249" s="377"/>
      <c r="Q3249" s="377"/>
      <c r="R3249" s="377"/>
      <c r="S3249" s="42"/>
      <c r="T3249" s="42"/>
      <c r="U3249" s="42"/>
      <c r="V3249" s="42"/>
      <c r="W3249" s="377">
        <f>IPMT('Assumptions (Oil G&amp;T)'!$B$73,Model!W$1,'Assumptions (Oil G&amp;T)'!$B$76,Model!$W$3174)</f>
        <v>-0.94424346982212537</v>
      </c>
      <c r="X3249" s="377">
        <f>IPMT('Assumptions (Oil G&amp;T)'!$B$73,Model!X$1,'Assumptions (Oil G&amp;T)'!$B$76,Model!$W$3174)</f>
        <v>-0.90809099701156926</v>
      </c>
      <c r="Y3249" s="377">
        <f>IPMT('Assumptions (Oil G&amp;T)'!$B$73,Model!Y$1,'Assumptions (Oil G&amp;T)'!$B$76,Model!$W$3174)</f>
        <v>-0.86922708874022137</v>
      </c>
      <c r="Z3249" s="377">
        <f>IPMT('Assumptions (Oil G&amp;T)'!$B$73,Model!Z$1,'Assumptions (Oil G&amp;T)'!$B$76,Model!$W$3174)</f>
        <v>-0.82744838734852244</v>
      </c>
      <c r="AA3249" s="377">
        <f>IPMT('Assumptions (Oil G&amp;T)'!$B$73,Model!AA$1,'Assumptions (Oil G&amp;T)'!$B$76,Model!$W$3174)</f>
        <v>-0.78253628335244596</v>
      </c>
      <c r="AB3249" s="377">
        <f>IPMT('Assumptions (Oil G&amp;T)'!$B$73,Model!AB$1,'Assumptions (Oil G&amp;T)'!$B$76,Model!$W$3174)</f>
        <v>-0.73425577155666388</v>
      </c>
      <c r="AC3249" s="377">
        <f>IPMT('Assumptions (Oil G&amp;T)'!$B$73,Model!AC$1,'Assumptions (Oil G&amp;T)'!$B$76,Model!$W$3174)</f>
        <v>-0.68235422137619806</v>
      </c>
      <c r="AD3249" s="377">
        <f>IPMT('Assumptions (Oil G&amp;T)'!$B$73,Model!AD$1,'Assumptions (Oil G&amp;T)'!$B$76,Model!$W$3174)</f>
        <v>-0.62656005493219735</v>
      </c>
      <c r="AE3249" s="377">
        <f>IPMT('Assumptions (Oil G&amp;T)'!$B$73,Model!AE$1,'Assumptions (Oil G&amp;T)'!$B$76,Model!$W$3174)</f>
        <v>-0.56658132600489652</v>
      </c>
      <c r="AF3249" s="377">
        <f>IPMT('Assumptions (Oil G&amp;T)'!$B$73,Model!AF$1,'Assumptions (Oil G&amp;T)'!$B$76,Model!$W$3174)</f>
        <v>-0.50210419240804827</v>
      </c>
      <c r="AG3249" s="377">
        <f>IPMT('Assumptions (Oil G&amp;T)'!$B$73,Model!AG$1,'Assumptions (Oil G&amp;T)'!$B$76,Model!$W$3174)</f>
        <v>-0.43279127379143628</v>
      </c>
      <c r="AH3249" s="377">
        <f>IPMT('Assumptions (Oil G&amp;T)'!$B$73,Model!AH$1,'Assumptions (Oil G&amp;T)'!$B$76,Model!$W$3174)</f>
        <v>-0.35827988627857849</v>
      </c>
      <c r="AI3249" s="377">
        <f>IPMT('Assumptions (Oil G&amp;T)'!$B$73,Model!AI$1,'Assumptions (Oil G&amp;T)'!$B$76,Model!$W$3174)</f>
        <v>-0.27818014470225622</v>
      </c>
      <c r="AJ3249" s="377">
        <f>IPMT('Assumptions (Oil G&amp;T)'!$B$73,Model!AJ$1,'Assumptions (Oil G&amp;T)'!$B$76,Model!$W$3174)</f>
        <v>-0.19207292250770994</v>
      </c>
      <c r="AK3249" s="377">
        <f>IPMT('Assumptions (Oil G&amp;T)'!$B$73,Model!AK$1,'Assumptions (Oil G&amp;T)'!$B$76,Model!$W$3174)</f>
        <v>-9.9507658648572625E-2</v>
      </c>
      <c r="AL3249" s="377" t="e">
        <f>IPMT('Assumptions (Oil G&amp;T)'!$B$73,Model!AL$1,'Assumptions (Oil G&amp;T)'!$B$76,Model!$W$3174)</f>
        <v>#NUM!</v>
      </c>
      <c r="AM3249" s="377" t="e">
        <f>IPMT('Assumptions (Oil G&amp;T)'!$B$73,Model!AM$1,'Assumptions (Oil G&amp;T)'!$B$76,Model!$W$3174)</f>
        <v>#NUM!</v>
      </c>
      <c r="AN3249" s="377" t="e">
        <f>IPMT('Assumptions (Oil G&amp;T)'!$B$73,Model!AN$1,'Assumptions (Oil G&amp;T)'!$B$76,Model!$W$3174)</f>
        <v>#NUM!</v>
      </c>
      <c r="AO3249" s="377" t="e">
        <f>IPMT('Assumptions (Oil G&amp;T)'!$B$73,Model!AO$1,'Assumptions (Oil G&amp;T)'!$B$76,Model!$W$3174)</f>
        <v>#NUM!</v>
      </c>
      <c r="AP3249" s="377" t="e">
        <f>IPMT('Assumptions (Oil G&amp;T)'!$B$73,Model!AP$1,'Assumptions (Oil G&amp;T)'!$B$76,Model!$W$3174)</f>
        <v>#NUM!</v>
      </c>
      <c r="AQ3249" s="377" t="e">
        <f>IPMT('Assumptions (Oil G&amp;T)'!$B$73,Model!AQ$1,'Assumptions (Oil G&amp;T)'!$B$76,Model!$W$3174)</f>
        <v>#NUM!</v>
      </c>
      <c r="AR3249" s="377" t="e">
        <f>IPMT('Assumptions (Oil G&amp;T)'!$B$73,Model!AR$1,'Assumptions (Oil G&amp;T)'!$B$76,Model!$W$3174)</f>
        <v>#NUM!</v>
      </c>
      <c r="AS3249" s="377" t="e">
        <f>IPMT('Assumptions (Oil G&amp;T)'!$B$73,Model!AS$1,'Assumptions (Oil G&amp;T)'!$B$76,Model!$W$3174)</f>
        <v>#NUM!</v>
      </c>
      <c r="AT3249" s="377" t="e">
        <f>IPMT('Assumptions (Oil G&amp;T)'!$B$73,Model!AT$1,'Assumptions (Oil G&amp;T)'!$B$76,Model!$W$3174)</f>
        <v>#NUM!</v>
      </c>
      <c r="AU3249" s="377" t="e">
        <f>IPMT('Assumptions (Oil G&amp;T)'!$B$73,Model!AU$1,'Assumptions (Oil G&amp;T)'!$B$76,Model!$W$3174)</f>
        <v>#NUM!</v>
      </c>
    </row>
    <row r="3250" spans="1:62" ht="15.75" hidden="1" customHeight="1" outlineLevel="1">
      <c r="A3250" s="468"/>
      <c r="B3250" s="99"/>
      <c r="C3250" s="377"/>
      <c r="D3250" s="377"/>
      <c r="E3250" s="377"/>
      <c r="F3250" s="377"/>
      <c r="G3250" s="377"/>
      <c r="H3250" s="377"/>
      <c r="I3250" s="377"/>
      <c r="J3250" s="377"/>
      <c r="K3250" s="377"/>
      <c r="L3250" s="377"/>
      <c r="M3250" s="377"/>
      <c r="N3250" s="377"/>
      <c r="O3250" s="377"/>
      <c r="P3250" s="377"/>
      <c r="Q3250" s="377"/>
      <c r="R3250" s="377"/>
      <c r="S3250" s="42"/>
      <c r="T3250" s="42"/>
      <c r="U3250" s="42"/>
      <c r="V3250" s="42"/>
      <c r="W3250" s="86"/>
      <c r="X3250" s="377">
        <f>IPMT('Assumptions (Oil G&amp;T)'!$B$73,Model!W$1,'Assumptions (Oil G&amp;T)'!$B$76,Model!$X$3174)</f>
        <v>-0.95865319681941119</v>
      </c>
      <c r="Y3250" s="377">
        <f>IPMT('Assumptions (Oil G&amp;T)'!$B$73,Model!X$1,'Assumptions (Oil G&amp;T)'!$B$76,Model!$X$3174)</f>
        <v>-0.92194901538695162</v>
      </c>
      <c r="Z3250" s="377">
        <f>IPMT('Assumptions (Oil G&amp;T)'!$B$73,Model!Y$1,'Assumptions (Oil G&amp;T)'!$B$76,Model!$X$3174)</f>
        <v>-0.88249202034705754</v>
      </c>
      <c r="AA3250" s="377">
        <f>IPMT('Assumptions (Oil G&amp;T)'!$B$73,Model!Z$1,'Assumptions (Oil G&amp;T)'!$B$76,Model!$X$3174)</f>
        <v>-0.8400757506791714</v>
      </c>
      <c r="AB3250" s="377">
        <f>IPMT('Assumptions (Oil G&amp;T)'!$B$73,Model!AA$1,'Assumptions (Oil G&amp;T)'!$B$76,Model!$X$3174)</f>
        <v>-0.79447826078619355</v>
      </c>
      <c r="AC3250" s="377">
        <f>IPMT('Assumptions (Oil G&amp;T)'!$B$73,Model!AB$1,'Assumptions (Oil G&amp;T)'!$B$76,Model!$X$3174)</f>
        <v>-0.74546095915124266</v>
      </c>
      <c r="AD3250" s="377">
        <f>IPMT('Assumptions (Oil G&amp;T)'!$B$73,Model!AC$1,'Assumptions (Oil G&amp;T)'!$B$76,Model!$X$3174)</f>
        <v>-0.69276735989367044</v>
      </c>
      <c r="AE3250" s="377">
        <f>IPMT('Assumptions (Oil G&amp;T)'!$B$73,Model!AD$1,'Assumptions (Oil G&amp;T)'!$B$76,Model!$X$3174)</f>
        <v>-0.63612174069178018</v>
      </c>
      <c r="AF3250" s="377">
        <f>IPMT('Assumptions (Oil G&amp;T)'!$B$73,Model!AE$1,'Assumptions (Oil G&amp;T)'!$B$76,Model!$X$3174)</f>
        <v>-0.57522770004974821</v>
      </c>
      <c r="AG3250" s="377">
        <f>IPMT('Assumptions (Oil G&amp;T)'!$B$73,Model!AF$1,'Assumptions (Oil G&amp;T)'!$B$76,Model!$X$3174)</f>
        <v>-0.50976660635956395</v>
      </c>
      <c r="AH3250" s="377">
        <f>IPMT('Assumptions (Oil G&amp;T)'!$B$73,Model!AG$1,'Assumptions (Oil G&amp;T)'!$B$76,Model!$X$3174)</f>
        <v>-0.43939593064261578</v>
      </c>
      <c r="AI3250" s="377">
        <f>IPMT('Assumptions (Oil G&amp;T)'!$B$73,Model!AH$1,'Assumptions (Oil G&amp;T)'!$B$76,Model!$X$3174)</f>
        <v>-0.36374745424689653</v>
      </c>
      <c r="AJ3250" s="377">
        <f>IPMT('Assumptions (Oil G&amp;T)'!$B$73,Model!AI$1,'Assumptions (Oil G&amp;T)'!$B$76,Model!$X$3174)</f>
        <v>-0.28242534212149822</v>
      </c>
      <c r="AK3250" s="377">
        <f>IPMT('Assumptions (Oil G&amp;T)'!$B$73,Model!AJ$1,'Assumptions (Oil G&amp;T)'!$B$76,Model!$X$3174)</f>
        <v>-0.19500407158669517</v>
      </c>
      <c r="AL3250" s="377">
        <f>IPMT('Assumptions (Oil G&amp;T)'!$B$73,Model!AK$1,'Assumptions (Oil G&amp;T)'!$B$76,Model!$X$3174)</f>
        <v>-0.10102620576178183</v>
      </c>
      <c r="AM3250" s="377" t="e">
        <f>IPMT('Assumptions (Oil G&amp;T)'!$B$73,Model!AL$1,'Assumptions (Oil G&amp;T)'!$B$76,Model!$X$3174)</f>
        <v>#NUM!</v>
      </c>
      <c r="AN3250" s="377" t="e">
        <f>IPMT('Assumptions (Oil G&amp;T)'!$B$73,Model!AM$1,'Assumptions (Oil G&amp;T)'!$B$76,Model!$X$3174)</f>
        <v>#NUM!</v>
      </c>
      <c r="AO3250" s="377" t="e">
        <f>IPMT('Assumptions (Oil G&amp;T)'!$B$73,Model!AN$1,'Assumptions (Oil G&amp;T)'!$B$76,Model!$X$3174)</f>
        <v>#NUM!</v>
      </c>
      <c r="AP3250" s="377" t="e">
        <f>IPMT('Assumptions (Oil G&amp;T)'!$B$73,Model!AO$1,'Assumptions (Oil G&amp;T)'!$B$76,Model!$X$3174)</f>
        <v>#NUM!</v>
      </c>
      <c r="AQ3250" s="377" t="e">
        <f>IPMT('Assumptions (Oil G&amp;T)'!$B$73,Model!AP$1,'Assumptions (Oil G&amp;T)'!$B$76,Model!$X$3174)</f>
        <v>#NUM!</v>
      </c>
      <c r="AR3250" s="377" t="e">
        <f>IPMT('Assumptions (Oil G&amp;T)'!$B$73,Model!AQ$1,'Assumptions (Oil G&amp;T)'!$B$76,Model!$X$3174)</f>
        <v>#NUM!</v>
      </c>
      <c r="AS3250" s="377" t="e">
        <f>IPMT('Assumptions (Oil G&amp;T)'!$B$73,Model!AR$1,'Assumptions (Oil G&amp;T)'!$B$76,Model!$X$3174)</f>
        <v>#NUM!</v>
      </c>
      <c r="AT3250" s="377" t="e">
        <f>IPMT('Assumptions (Oil G&amp;T)'!$B$73,Model!AS$1,'Assumptions (Oil G&amp;T)'!$B$76,Model!$X$3174)</f>
        <v>#NUM!</v>
      </c>
      <c r="AU3250" s="377" t="e">
        <f>IPMT('Assumptions (Oil G&amp;T)'!$B$73,Model!AT$1,'Assumptions (Oil G&amp;T)'!$B$76,Model!$X$3174)</f>
        <v>#NUM!</v>
      </c>
      <c r="AV3250" s="377" t="e">
        <f>IPMT('Assumptions (Oil G&amp;T)'!$B$73,Model!AU$1,'Assumptions (Oil G&amp;T)'!$B$76,Model!$X$3174)</f>
        <v>#NUM!</v>
      </c>
    </row>
    <row r="3251" spans="1:62" ht="15.75" hidden="1" customHeight="1" outlineLevel="1">
      <c r="A3251" s="468"/>
      <c r="B3251" s="99"/>
      <c r="C3251" s="377"/>
      <c r="D3251" s="377"/>
      <c r="E3251" s="377"/>
      <c r="F3251" s="377"/>
      <c r="G3251" s="377"/>
      <c r="H3251" s="377"/>
      <c r="I3251" s="377"/>
      <c r="J3251" s="377"/>
      <c r="K3251" s="377"/>
      <c r="L3251" s="377"/>
      <c r="M3251" s="377"/>
      <c r="N3251" s="377"/>
      <c r="O3251" s="377"/>
      <c r="P3251" s="377"/>
      <c r="Q3251" s="377"/>
      <c r="R3251" s="377"/>
      <c r="S3251" s="42"/>
      <c r="T3251" s="42"/>
      <c r="U3251" s="42"/>
      <c r="V3251" s="42"/>
      <c r="W3251" s="86"/>
      <c r="Y3251" s="377">
        <f>IPMT('Assumptions (Oil G&amp;T)'!$B$73,Model!W$1,'Assumptions (Oil G&amp;T)'!$B$76,Model!$Y$3174)</f>
        <v>-0.96152643684191941</v>
      </c>
      <c r="Z3251" s="377">
        <f>IPMT('Assumptions (Oil G&amp;T)'!$B$73,Model!X$1,'Assumptions (Oil G&amp;T)'!$B$76,Model!$Y$3174)</f>
        <v>-0.92471224698990306</v>
      </c>
      <c r="AA3251" s="377">
        <f>IPMT('Assumptions (Oil G&amp;T)'!$B$73,Model!Y$1,'Assumptions (Oil G&amp;T)'!$B$76,Model!$Y$3174)</f>
        <v>-0.8851369928989854</v>
      </c>
      <c r="AB3251" s="377">
        <f>IPMT('Assumptions (Oil G&amp;T)'!$B$73,Model!Z$1,'Assumptions (Oil G&amp;T)'!$B$76,Model!$Y$3174)</f>
        <v>-0.84259359475124906</v>
      </c>
      <c r="AC3251" s="377">
        <f>IPMT('Assumptions (Oil G&amp;T)'!$B$73,Model!AA$1,'Assumptions (Oil G&amp;T)'!$B$76,Model!$Y$3174)</f>
        <v>-0.79685944174243228</v>
      </c>
      <c r="AD3251" s="377">
        <f>IPMT('Assumptions (Oil G&amp;T)'!$B$73,Model!AB$1,'Assumptions (Oil G&amp;T)'!$B$76,Model!$Y$3174)</f>
        <v>-0.74769522725795434</v>
      </c>
      <c r="AE3251" s="377">
        <f>IPMT('Assumptions (Oil G&amp;T)'!$B$73,Model!AC$1,'Assumptions (Oil G&amp;T)'!$B$76,Model!$Y$3174)</f>
        <v>-0.69484369668714063</v>
      </c>
      <c r="AF3251" s="377">
        <f>IPMT('Assumptions (Oil G&amp;T)'!$B$73,Model!AD$1,'Assumptions (Oil G&amp;T)'!$B$76,Model!$Y$3174)</f>
        <v>-0.63802830132351573</v>
      </c>
      <c r="AG3251" s="377">
        <f>IPMT('Assumptions (Oil G&amp;T)'!$B$73,Model!AE$1,'Assumptions (Oil G&amp;T)'!$B$76,Model!$Y$3174)</f>
        <v>-0.576951751307619</v>
      </c>
      <c r="AH3251" s="377">
        <f>IPMT('Assumptions (Oil G&amp;T)'!$B$73,Model!AF$1,'Assumptions (Oil G&amp;T)'!$B$76,Model!$Y$3174)</f>
        <v>-0.51129446004053014</v>
      </c>
      <c r="AI3251" s="377">
        <f>IPMT('Assumptions (Oil G&amp;T)'!$B$73,Model!AG$1,'Assumptions (Oil G&amp;T)'!$B$76,Model!$Y$3174)</f>
        <v>-0.44071287192840958</v>
      </c>
      <c r="AJ3251" s="377">
        <f>IPMT('Assumptions (Oil G&amp;T)'!$B$73,Model!AH$1,'Assumptions (Oil G&amp;T)'!$B$76,Model!$Y$3174)</f>
        <v>-0.36483766470787998</v>
      </c>
      <c r="AK3251" s="377">
        <f>IPMT('Assumptions (Oil G&amp;T)'!$B$73,Model!AI$1,'Assumptions (Oil G&amp;T)'!$B$76,Model!$Y$3174)</f>
        <v>-0.2832718169458105</v>
      </c>
      <c r="AL3251" s="377">
        <f>IPMT('Assumptions (Oil G&amp;T)'!$B$73,Model!AJ$1,'Assumptions (Oil G&amp;T)'!$B$76,Model!$Y$3174)</f>
        <v>-0.19558853060158596</v>
      </c>
      <c r="AM3251" s="377">
        <f>IPMT('Assumptions (Oil G&amp;T)'!$B$73,Model!AK$1,'Assumptions (Oil G&amp;T)'!$B$76,Model!$Y$3174)</f>
        <v>-0.10132899778154451</v>
      </c>
      <c r="AN3251" s="377" t="e">
        <f>IPMT('Assumptions (Oil G&amp;T)'!$B$73,Model!AL$1,'Assumptions (Oil G&amp;T)'!$B$76,Model!$Y$3174)</f>
        <v>#NUM!</v>
      </c>
      <c r="AO3251" s="377" t="e">
        <f>IPMT('Assumptions (Oil G&amp;T)'!$B$73,Model!AM$1,'Assumptions (Oil G&amp;T)'!$B$76,Model!$Y$3174)</f>
        <v>#NUM!</v>
      </c>
      <c r="AP3251" s="377" t="e">
        <f>IPMT('Assumptions (Oil G&amp;T)'!$B$73,Model!AN$1,'Assumptions (Oil G&amp;T)'!$B$76,Model!$Y$3174)</f>
        <v>#NUM!</v>
      </c>
      <c r="AQ3251" s="377" t="e">
        <f>IPMT('Assumptions (Oil G&amp;T)'!$B$73,Model!AO$1,'Assumptions (Oil G&amp;T)'!$B$76,Model!$Y$3174)</f>
        <v>#NUM!</v>
      </c>
      <c r="AR3251" s="377" t="e">
        <f>IPMT('Assumptions (Oil G&amp;T)'!$B$73,Model!AP$1,'Assumptions (Oil G&amp;T)'!$B$76,Model!$Y$3174)</f>
        <v>#NUM!</v>
      </c>
      <c r="AS3251" s="377" t="e">
        <f>IPMT('Assumptions (Oil G&amp;T)'!$B$73,Model!AQ$1,'Assumptions (Oil G&amp;T)'!$B$76,Model!$Y$3174)</f>
        <v>#NUM!</v>
      </c>
      <c r="AT3251" s="377" t="e">
        <f>IPMT('Assumptions (Oil G&amp;T)'!$B$73,Model!AR$1,'Assumptions (Oil G&amp;T)'!$B$76,Model!$Y$3174)</f>
        <v>#NUM!</v>
      </c>
      <c r="AU3251" s="377" t="e">
        <f>IPMT('Assumptions (Oil G&amp;T)'!$B$73,Model!AS$1,'Assumptions (Oil G&amp;T)'!$B$76,Model!$Y$3174)</f>
        <v>#NUM!</v>
      </c>
      <c r="AV3251" s="377" t="e">
        <f>IPMT('Assumptions (Oil G&amp;T)'!$B$73,Model!AT$1,'Assumptions (Oil G&amp;T)'!$B$76,Model!$Y$3174)</f>
        <v>#NUM!</v>
      </c>
      <c r="AW3251" s="377" t="e">
        <f>IPMT('Assumptions (Oil G&amp;T)'!$B$73,Model!AU$1,'Assumptions (Oil G&amp;T)'!$B$76,Model!$Y$3174)</f>
        <v>#NUM!</v>
      </c>
    </row>
    <row r="3252" spans="1:62" ht="15.75" hidden="1" customHeight="1" outlineLevel="1">
      <c r="A3252" s="468"/>
      <c r="B3252" s="99"/>
      <c r="C3252" s="377"/>
      <c r="D3252" s="377"/>
      <c r="E3252" s="377"/>
      <c r="F3252" s="377"/>
      <c r="G3252" s="377"/>
      <c r="H3252" s="377"/>
      <c r="I3252" s="377"/>
      <c r="J3252" s="377"/>
      <c r="K3252" s="377"/>
      <c r="L3252" s="377"/>
      <c r="M3252" s="377"/>
      <c r="N3252" s="377"/>
      <c r="O3252" s="377"/>
      <c r="P3252" s="377"/>
      <c r="Q3252" s="377"/>
      <c r="R3252" s="377"/>
      <c r="S3252" s="42"/>
      <c r="T3252" s="42"/>
      <c r="U3252" s="42"/>
      <c r="V3252" s="42"/>
      <c r="W3252" s="86"/>
      <c r="Z3252" s="377">
        <f>IPMT('Assumptions (Oil G&amp;T)'!$B$73,Model!W$1,'Assumptions (Oil G&amp;T)'!$B$76,Model!$Z$3174)</f>
        <v>-0.96140259476712631</v>
      </c>
      <c r="AA3252" s="377">
        <f>IPMT('Assumptions (Oil G&amp;T)'!$B$73,Model!X$1,'Assumptions (Oil G&amp;T)'!$B$76,Model!$Z$3174)</f>
        <v>-0.92459314648588564</v>
      </c>
      <c r="AB3252" s="377">
        <f>IPMT('Assumptions (Oil G&amp;T)'!$B$73,Model!Y$1,'Assumptions (Oil G&amp;T)'!$B$76,Model!$Z$3174)</f>
        <v>-0.88502298958355208</v>
      </c>
      <c r="AC3252" s="377">
        <f>IPMT('Assumptions (Oil G&amp;T)'!$B$73,Model!Z$1,'Assumptions (Oil G&amp;T)'!$B$76,Model!$Z$3174)</f>
        <v>-0.84248507091354352</v>
      </c>
      <c r="AD3252" s="377">
        <f>IPMT('Assumptions (Oil G&amp;T)'!$B$73,Model!AA$1,'Assumptions (Oil G&amp;T)'!$B$76,Model!$Z$3174)</f>
        <v>-0.79675680834328422</v>
      </c>
      <c r="AE3252" s="377">
        <f>IPMT('Assumptions (Oil G&amp;T)'!$B$73,Model!AB$1,'Assumptions (Oil G&amp;T)'!$B$76,Model!$Z$3174)</f>
        <v>-0.74759892608025535</v>
      </c>
      <c r="AF3252" s="377">
        <f>IPMT('Assumptions (Oil G&amp;T)'!$B$73,Model!AC$1,'Assumptions (Oil G&amp;T)'!$B$76,Model!$Z$3174)</f>
        <v>-0.69475420264749943</v>
      </c>
      <c r="AG3252" s="377">
        <f>IPMT('Assumptions (Oil G&amp;T)'!$B$73,Model!AD$1,'Assumptions (Oil G&amp;T)'!$B$76,Model!$Z$3174)</f>
        <v>-0.63794612495728686</v>
      </c>
      <c r="AH3252" s="377">
        <f>IPMT('Assumptions (Oil G&amp;T)'!$B$73,Model!AE$1,'Assumptions (Oil G&amp;T)'!$B$76,Model!$Z$3174)</f>
        <v>-0.57687744144030828</v>
      </c>
      <c r="AI3252" s="377">
        <f>IPMT('Assumptions (Oil G&amp;T)'!$B$73,Model!AF$1,'Assumptions (Oil G&amp;T)'!$B$76,Model!$Z$3174)</f>
        <v>-0.51122860665955638</v>
      </c>
      <c r="AJ3252" s="377">
        <f>IPMT('Assumptions (Oil G&amp;T)'!$B$73,Model!AG$1,'Assumptions (Oil G&amp;T)'!$B$76,Model!$Z$3174)</f>
        <v>-0.44065610927024806</v>
      </c>
      <c r="AK3252" s="377">
        <f>IPMT('Assumptions (Oil G&amp;T)'!$B$73,Model!AH$1,'Assumptions (Oil G&amp;T)'!$B$76,Model!$Z$3174)</f>
        <v>-0.36479067457674164</v>
      </c>
      <c r="AL3252" s="377">
        <f>IPMT('Assumptions (Oil G&amp;T)'!$B$73,Model!AI$1,'Assumptions (Oil G&amp;T)'!$B$76,Model!$Z$3174)</f>
        <v>-0.28323533228122216</v>
      </c>
      <c r="AM3252" s="377">
        <f>IPMT('Assumptions (Oil G&amp;T)'!$B$73,Model!AJ$1,'Assumptions (Oil G&amp;T)'!$B$76,Model!$Z$3174)</f>
        <v>-0.19556333931353878</v>
      </c>
      <c r="AN3252" s="377">
        <f>IPMT('Assumptions (Oil G&amp;T)'!$B$73,Model!AK$1,'Assumptions (Oil G&amp;T)'!$B$76,Model!$Z$3174)</f>
        <v>-0.10131594687327913</v>
      </c>
      <c r="AO3252" s="377" t="e">
        <f>IPMT('Assumptions (Oil G&amp;T)'!$B$73,Model!AL$1,'Assumptions (Oil G&amp;T)'!$B$76,Model!$Z$3174)</f>
        <v>#NUM!</v>
      </c>
      <c r="AP3252" s="377" t="e">
        <f>IPMT('Assumptions (Oil G&amp;T)'!$B$73,Model!AM$1,'Assumptions (Oil G&amp;T)'!$B$76,Model!$Z$3174)</f>
        <v>#NUM!</v>
      </c>
      <c r="AQ3252" s="377" t="e">
        <f>IPMT('Assumptions (Oil G&amp;T)'!$B$73,Model!AN$1,'Assumptions (Oil G&amp;T)'!$B$76,Model!$Z$3174)</f>
        <v>#NUM!</v>
      </c>
      <c r="AR3252" s="377" t="e">
        <f>IPMT('Assumptions (Oil G&amp;T)'!$B$73,Model!AO$1,'Assumptions (Oil G&amp;T)'!$B$76,Model!$Z$3174)</f>
        <v>#NUM!</v>
      </c>
      <c r="AS3252" s="377" t="e">
        <f>IPMT('Assumptions (Oil G&amp;T)'!$B$73,Model!AP$1,'Assumptions (Oil G&amp;T)'!$B$76,Model!$Z$3174)</f>
        <v>#NUM!</v>
      </c>
      <c r="AT3252" s="377" t="e">
        <f>IPMT('Assumptions (Oil G&amp;T)'!$B$73,Model!AQ$1,'Assumptions (Oil G&amp;T)'!$B$76,Model!$Z$3174)</f>
        <v>#NUM!</v>
      </c>
      <c r="AU3252" s="377" t="e">
        <f>IPMT('Assumptions (Oil G&amp;T)'!$B$73,Model!AR$1,'Assumptions (Oil G&amp;T)'!$B$76,Model!$Z$3174)</f>
        <v>#NUM!</v>
      </c>
      <c r="AV3252" s="377" t="e">
        <f>IPMT('Assumptions (Oil G&amp;T)'!$B$73,Model!AS$1,'Assumptions (Oil G&amp;T)'!$B$76,Model!$Z$3174)</f>
        <v>#NUM!</v>
      </c>
      <c r="AW3252" s="377" t="e">
        <f>IPMT('Assumptions (Oil G&amp;T)'!$B$73,Model!AT$1,'Assumptions (Oil G&amp;T)'!$B$76,Model!$Z$3174)</f>
        <v>#NUM!</v>
      </c>
      <c r="AX3252" s="377" t="e">
        <f>IPMT('Assumptions (Oil G&amp;T)'!$B$73,Model!AU$1,'Assumptions (Oil G&amp;T)'!$B$76,Model!$Z$3174)</f>
        <v>#NUM!</v>
      </c>
    </row>
    <row r="3253" spans="1:62" ht="15.75" hidden="1" customHeight="1" outlineLevel="1">
      <c r="A3253" s="468"/>
      <c r="B3253" s="99"/>
      <c r="C3253" s="377"/>
      <c r="D3253" s="377"/>
      <c r="E3253" s="377"/>
      <c r="F3253" s="377"/>
      <c r="G3253" s="377"/>
      <c r="H3253" s="377"/>
      <c r="I3253" s="377"/>
      <c r="J3253" s="377"/>
      <c r="K3253" s="377"/>
      <c r="L3253" s="377"/>
      <c r="M3253" s="377"/>
      <c r="N3253" s="377"/>
      <c r="O3253" s="377"/>
      <c r="P3253" s="377"/>
      <c r="Q3253" s="377"/>
      <c r="R3253" s="377"/>
      <c r="S3253" s="42"/>
      <c r="T3253" s="42"/>
      <c r="U3253" s="42"/>
      <c r="V3253" s="42"/>
      <c r="W3253" s="86"/>
      <c r="AA3253" s="377">
        <f>IPMT('Assumptions (Oil G&amp;T)'!$B$73,Model!W$1,'Assumptions (Oil G&amp;T)'!$B$76,Model!$AA$3174)</f>
        <v>-0.96822115119317309</v>
      </c>
      <c r="AB3253" s="377">
        <f>IPMT('Assumptions (Oil G&amp;T)'!$B$73,Model!X$1,'Assumptions (Oil G&amp;T)'!$B$76,Model!$AA$3174)</f>
        <v>-0.93115063923113595</v>
      </c>
      <c r="AC3253" s="377">
        <f>IPMT('Assumptions (Oil G&amp;T)'!$B$73,Model!Y$1,'Assumptions (Oil G&amp;T)'!$B$76,Model!$AA$3174)</f>
        <v>-0.89129983887194608</v>
      </c>
      <c r="AD3253" s="377">
        <f>IPMT('Assumptions (Oil G&amp;T)'!$B$73,Model!Z$1,'Assumptions (Oil G&amp;T)'!$B$76,Model!$AA$3174)</f>
        <v>-0.84846022848581681</v>
      </c>
      <c r="AE3253" s="377">
        <f>IPMT('Assumptions (Oil G&amp;T)'!$B$73,Model!AA$1,'Assumptions (Oil G&amp;T)'!$B$76,Model!$AA$3174)</f>
        <v>-0.80240764732072789</v>
      </c>
      <c r="AF3253" s="377">
        <f>IPMT('Assumptions (Oil G&amp;T)'!$B$73,Model!AB$1,'Assumptions (Oil G&amp;T)'!$B$76,Model!$AA$3174)</f>
        <v>-0.75290112256825736</v>
      </c>
      <c r="AG3253" s="377">
        <f>IPMT('Assumptions (Oil G&amp;T)'!$B$73,Model!AC$1,'Assumptions (Oil G&amp;T)'!$B$76,Model!$AA$3174)</f>
        <v>-0.69968160845935146</v>
      </c>
      <c r="AH3253" s="377">
        <f>IPMT('Assumptions (Oil G&amp;T)'!$B$73,Model!AD$1,'Assumptions (Oil G&amp;T)'!$B$76,Model!$AA$3174)</f>
        <v>-0.64247063079227762</v>
      </c>
      <c r="AI3253" s="377">
        <f>IPMT('Assumptions (Oil G&amp;T)'!$B$73,Model!AE$1,'Assumptions (Oil G&amp;T)'!$B$76,Model!$AA$3174)</f>
        <v>-0.58096882980017328</v>
      </c>
      <c r="AJ3253" s="377">
        <f>IPMT('Assumptions (Oil G&amp;T)'!$B$73,Model!AF$1,'Assumptions (Oil G&amp;T)'!$B$76,Model!$AA$3174)</f>
        <v>-0.51485439373366115</v>
      </c>
      <c r="AK3253" s="377">
        <f>IPMT('Assumptions (Oil G&amp;T)'!$B$73,Model!AG$1,'Assumptions (Oil G&amp;T)'!$B$76,Model!$AA$3174)</f>
        <v>-0.44378137496216069</v>
      </c>
      <c r="AL3253" s="377">
        <f>IPMT('Assumptions (Oil G&amp;T)'!$B$73,Model!AH$1,'Assumptions (Oil G&amp;T)'!$B$76,Model!$AA$3174)</f>
        <v>-0.36737787978279757</v>
      </c>
      <c r="AM3253" s="377">
        <f>IPMT('Assumptions (Oil G&amp;T)'!$B$73,Model!AI$1,'Assumptions (Oil G&amp;T)'!$B$76,Model!$AA$3174)</f>
        <v>-0.28524412246498215</v>
      </c>
      <c r="AN3253" s="377">
        <f>IPMT('Assumptions (Oil G&amp;T)'!$B$73,Model!AJ$1,'Assumptions (Oil G&amp;T)'!$B$76,Model!$AA$3174)</f>
        <v>-0.19695033334833073</v>
      </c>
      <c r="AO3253" s="377">
        <f>IPMT('Assumptions (Oil G&amp;T)'!$B$73,Model!AK$1,'Assumptions (Oil G&amp;T)'!$B$76,Model!$AA$3174)</f>
        <v>-0.10203451004793036</v>
      </c>
      <c r="AP3253" s="377" t="e">
        <f>IPMT('Assumptions (Oil G&amp;T)'!$B$73,Model!AL$1,'Assumptions (Oil G&amp;T)'!$B$76,Model!$AA$3174)</f>
        <v>#NUM!</v>
      </c>
      <c r="AQ3253" s="377" t="e">
        <f>IPMT('Assumptions (Oil G&amp;T)'!$B$73,Model!AM$1,'Assumptions (Oil G&amp;T)'!$B$76,Model!$AA$3174)</f>
        <v>#NUM!</v>
      </c>
      <c r="AR3253" s="377" t="e">
        <f>IPMT('Assumptions (Oil G&amp;T)'!$B$73,Model!AN$1,'Assumptions (Oil G&amp;T)'!$B$76,Model!$AA$3174)</f>
        <v>#NUM!</v>
      </c>
      <c r="AS3253" s="377" t="e">
        <f>IPMT('Assumptions (Oil G&amp;T)'!$B$73,Model!AO$1,'Assumptions (Oil G&amp;T)'!$B$76,Model!$AA$3174)</f>
        <v>#NUM!</v>
      </c>
      <c r="AT3253" s="377" t="e">
        <f>IPMT('Assumptions (Oil G&amp;T)'!$B$73,Model!AP$1,'Assumptions (Oil G&amp;T)'!$B$76,Model!$AA$3174)</f>
        <v>#NUM!</v>
      </c>
      <c r="AU3253" s="377" t="e">
        <f>IPMT('Assumptions (Oil G&amp;T)'!$B$73,Model!AQ$1,'Assumptions (Oil G&amp;T)'!$B$76,Model!$AA$3174)</f>
        <v>#NUM!</v>
      </c>
      <c r="AV3253" s="377" t="e">
        <f>IPMT('Assumptions (Oil G&amp;T)'!$B$73,Model!AR$1,'Assumptions (Oil G&amp;T)'!$B$76,Model!$AA$3174)</f>
        <v>#NUM!</v>
      </c>
      <c r="AW3253" s="377" t="e">
        <f>IPMT('Assumptions (Oil G&amp;T)'!$B$73,Model!AS$1,'Assumptions (Oil G&amp;T)'!$B$76,Model!$AA$3174)</f>
        <v>#NUM!</v>
      </c>
      <c r="AX3253" s="377" t="e">
        <f>IPMT('Assumptions (Oil G&amp;T)'!$B$73,Model!AT$1,'Assumptions (Oil G&amp;T)'!$B$76,Model!$AA$3174)</f>
        <v>#NUM!</v>
      </c>
      <c r="AY3253" s="377" t="e">
        <f>IPMT('Assumptions (Oil G&amp;T)'!$B$73,Model!AU$1,'Assumptions (Oil G&amp;T)'!$B$76,Model!$AA$3174)</f>
        <v>#NUM!</v>
      </c>
    </row>
    <row r="3254" spans="1:62" ht="15.75" hidden="1" customHeight="1" outlineLevel="1">
      <c r="A3254" s="468"/>
      <c r="B3254" s="99"/>
      <c r="C3254" s="377"/>
      <c r="D3254" s="377"/>
      <c r="E3254" s="377"/>
      <c r="F3254" s="377"/>
      <c r="G3254" s="377"/>
      <c r="H3254" s="377"/>
      <c r="I3254" s="377"/>
      <c r="J3254" s="377"/>
      <c r="K3254" s="377"/>
      <c r="L3254" s="377"/>
      <c r="M3254" s="377"/>
      <c r="N3254" s="377"/>
      <c r="O3254" s="377"/>
      <c r="P3254" s="377"/>
      <c r="Q3254" s="377"/>
      <c r="R3254" s="377"/>
      <c r="S3254" s="42"/>
      <c r="T3254" s="42"/>
      <c r="U3254" s="42"/>
      <c r="V3254" s="42"/>
      <c r="W3254" s="86"/>
      <c r="AB3254" s="377">
        <f>IPMT('Assumptions (Oil G&amp;T)'!$B$73,Model!W$1,'Assumptions (Oil G&amp;T)'!$B$76,Model!$AB$3174)</f>
        <v>-0.97142376996013069</v>
      </c>
      <c r="AC3254" s="377">
        <f>IPMT('Assumptions (Oil G&amp;T)'!$B$73,Model!X$1,'Assumptions (Oil G&amp;T)'!$B$76,Model!$AB$3174)</f>
        <v>-0.93423063857673083</v>
      </c>
      <c r="AD3254" s="377">
        <f>IPMT('Assumptions (Oil G&amp;T)'!$B$73,Model!Y$1,'Assumptions (Oil G&amp;T)'!$B$76,Model!$AB$3174)</f>
        <v>-0.89424802233957623</v>
      </c>
      <c r="AE3254" s="377">
        <f>IPMT('Assumptions (Oil G&amp;T)'!$B$73,Model!Z$1,'Assumptions (Oil G&amp;T)'!$B$76,Model!$AB$3174)</f>
        <v>-0.85126670988463482</v>
      </c>
      <c r="AF3254" s="377">
        <f>IPMT('Assumptions (Oil G&amp;T)'!$B$73,Model!AA$1,'Assumptions (Oil G&amp;T)'!$B$76,Model!$AB$3174)</f>
        <v>-0.80506179899557284</v>
      </c>
      <c r="AG3254" s="377">
        <f>IPMT('Assumptions (Oil G&amp;T)'!$B$73,Model!AB$1,'Assumptions (Oil G&amp;T)'!$B$76,Model!$AB$3174)</f>
        <v>-0.75539151978983121</v>
      </c>
      <c r="AH3254" s="377">
        <f>IPMT('Assumptions (Oil G&amp;T)'!$B$73,Model!AC$1,'Assumptions (Oil G&amp;T)'!$B$76,Model!$AB$3174)</f>
        <v>-0.70199596964365896</v>
      </c>
      <c r="AI3254" s="377">
        <f>IPMT('Assumptions (Oil G&amp;T)'!$B$73,Model!AD$1,'Assumptions (Oil G&amp;T)'!$B$76,Model!$AB$3174)</f>
        <v>-0.64459575323652374</v>
      </c>
      <c r="AJ3254" s="377">
        <f>IPMT('Assumptions (Oil G&amp;T)'!$B$73,Model!AE$1,'Assumptions (Oil G&amp;T)'!$B$76,Model!$AB$3174)</f>
        <v>-0.58289052059885338</v>
      </c>
      <c r="AK3254" s="377">
        <f>IPMT('Assumptions (Oil G&amp;T)'!$B$73,Model!AF$1,'Assumptions (Oil G&amp;T)'!$B$76,Model!$AB$3174)</f>
        <v>-0.51655739551335789</v>
      </c>
      <c r="AL3254" s="377">
        <f>IPMT('Assumptions (Oil G&amp;T)'!$B$73,Model!AG$1,'Assumptions (Oil G&amp;T)'!$B$76,Model!$AB$3174)</f>
        <v>-0.44524928604645014</v>
      </c>
      <c r="AM3254" s="377">
        <f>IPMT('Assumptions (Oil G&amp;T)'!$B$73,Model!AH$1,'Assumptions (Oil G&amp;T)'!$B$76,Model!$AB$3174)</f>
        <v>-0.36859306836952443</v>
      </c>
      <c r="AN3254" s="377">
        <f>IPMT('Assumptions (Oil G&amp;T)'!$B$73,Model!AI$1,'Assumptions (Oil G&amp;T)'!$B$76,Model!$AB$3174)</f>
        <v>-0.28618763436682909</v>
      </c>
      <c r="AO3254" s="377">
        <f>IPMT('Assumptions (Oil G&amp;T)'!$B$73,Model!AJ$1,'Assumptions (Oil G&amp;T)'!$B$76,Model!$AB$3174)</f>
        <v>-0.19760179281393173</v>
      </c>
      <c r="AP3254" s="377">
        <f>IPMT('Assumptions (Oil G&amp;T)'!$B$73,Model!AK$1,'Assumptions (Oil G&amp;T)'!$B$76,Model!$AB$3174)</f>
        <v>-0.10237201314456705</v>
      </c>
      <c r="AQ3254" s="377" t="e">
        <f>IPMT('Assumptions (Oil G&amp;T)'!$B$73,Model!AL$1,'Assumptions (Oil G&amp;T)'!$B$76,Model!$AB$3174)</f>
        <v>#NUM!</v>
      </c>
      <c r="AR3254" s="377" t="e">
        <f>IPMT('Assumptions (Oil G&amp;T)'!$B$73,Model!AM$1,'Assumptions (Oil G&amp;T)'!$B$76,Model!$AB$3174)</f>
        <v>#NUM!</v>
      </c>
      <c r="AS3254" s="377" t="e">
        <f>IPMT('Assumptions (Oil G&amp;T)'!$B$73,Model!AN$1,'Assumptions (Oil G&amp;T)'!$B$76,Model!$AB$3174)</f>
        <v>#NUM!</v>
      </c>
      <c r="AT3254" s="377" t="e">
        <f>IPMT('Assumptions (Oil G&amp;T)'!$B$73,Model!AO$1,'Assumptions (Oil G&amp;T)'!$B$76,Model!$AB$3174)</f>
        <v>#NUM!</v>
      </c>
      <c r="AU3254" s="377" t="e">
        <f>IPMT('Assumptions (Oil G&amp;T)'!$B$73,Model!AP$1,'Assumptions (Oil G&amp;T)'!$B$76,Model!$AB$3174)</f>
        <v>#NUM!</v>
      </c>
      <c r="AV3254" s="377" t="e">
        <f>IPMT('Assumptions (Oil G&amp;T)'!$B$73,Model!AQ$1,'Assumptions (Oil G&amp;T)'!$B$76,Model!$AB$3174)</f>
        <v>#NUM!</v>
      </c>
      <c r="AW3254" s="377" t="e">
        <f>IPMT('Assumptions (Oil G&amp;T)'!$B$73,Model!AR$1,'Assumptions (Oil G&amp;T)'!$B$76,Model!$AB$3174)</f>
        <v>#NUM!</v>
      </c>
      <c r="AX3254" s="377" t="e">
        <f>IPMT('Assumptions (Oil G&amp;T)'!$B$73,Model!AS$1,'Assumptions (Oil G&amp;T)'!$B$76,Model!$AB$3174)</f>
        <v>#NUM!</v>
      </c>
      <c r="AY3254" s="377" t="e">
        <f>IPMT('Assumptions (Oil G&amp;T)'!$B$73,Model!AT$1,'Assumptions (Oil G&amp;T)'!$B$76,Model!$AB$3174)</f>
        <v>#NUM!</v>
      </c>
      <c r="AZ3254" s="377" t="e">
        <f>IPMT('Assumptions (Oil G&amp;T)'!$B$73,Model!AU$1,'Assumptions (Oil G&amp;T)'!$B$76,Model!$AB$3174)</f>
        <v>#NUM!</v>
      </c>
    </row>
    <row r="3255" spans="1:62" ht="15.75" hidden="1" customHeight="1" outlineLevel="1">
      <c r="A3255" s="468"/>
      <c r="B3255" s="99"/>
      <c r="C3255" s="377"/>
      <c r="D3255" s="377"/>
      <c r="E3255" s="377"/>
      <c r="F3255" s="377"/>
      <c r="G3255" s="377"/>
      <c r="H3255" s="377"/>
      <c r="I3255" s="377"/>
      <c r="J3255" s="377"/>
      <c r="K3255" s="377"/>
      <c r="L3255" s="377"/>
      <c r="M3255" s="377"/>
      <c r="N3255" s="377"/>
      <c r="O3255" s="377"/>
      <c r="P3255" s="377"/>
      <c r="Q3255" s="377"/>
      <c r="R3255" s="377"/>
      <c r="S3255" s="42"/>
      <c r="T3255" s="42"/>
      <c r="U3255" s="42"/>
      <c r="V3255" s="42"/>
      <c r="W3255" s="86"/>
      <c r="AC3255" s="377">
        <f>IPMT('Assumptions (Oil G&amp;T)'!$B$73,Model!W$1,'Assumptions (Oil G&amp;T)'!$B$76,Model!$AC$3174)</f>
        <v>-0.978019552119897</v>
      </c>
      <c r="AD3255" s="377">
        <f>IPMT('Assumptions (Oil G&amp;T)'!$B$73,Model!X$1,'Assumptions (Oil G&amp;T)'!$B$76,Model!$AC$3174)</f>
        <v>-0.94057388646666507</v>
      </c>
      <c r="AE3255" s="377">
        <f>IPMT('Assumptions (Oil G&amp;T)'!$B$73,Model!Y$1,'Assumptions (Oil G&amp;T)'!$B$76,Model!$AC$3174)</f>
        <v>-0.90031979588944078</v>
      </c>
      <c r="AF3255" s="377">
        <f>IPMT('Assumptions (Oil G&amp;T)'!$B$73,Model!Z$1,'Assumptions (Oil G&amp;T)'!$B$76,Model!$AC$3174)</f>
        <v>-0.85704664851892476</v>
      </c>
      <c r="AG3255" s="377">
        <f>IPMT('Assumptions (Oil G&amp;T)'!$B$73,Model!AA$1,'Assumptions (Oil G&amp;T)'!$B$76,Model!$AC$3174)</f>
        <v>-0.81052801509561989</v>
      </c>
      <c r="AH3255" s="377">
        <f>IPMT('Assumptions (Oil G&amp;T)'!$B$73,Model!AB$1,'Assumptions (Oil G&amp;T)'!$B$76,Model!$AC$3174)</f>
        <v>-0.76052048416556717</v>
      </c>
      <c r="AI3255" s="377">
        <f>IPMT('Assumptions (Oil G&amp;T)'!$B$73,Model!AC$1,'Assumptions (Oil G&amp;T)'!$B$76,Model!$AC$3174)</f>
        <v>-0.70676238841576045</v>
      </c>
      <c r="AJ3255" s="377">
        <f>IPMT('Assumptions (Oil G&amp;T)'!$B$73,Model!AD$1,'Assumptions (Oil G&amp;T)'!$B$76,Model!$AC$3174)</f>
        <v>-0.64897243548471828</v>
      </c>
      <c r="AK3255" s="377">
        <f>IPMT('Assumptions (Oil G&amp;T)'!$B$73,Model!AE$1,'Assumptions (Oil G&amp;T)'!$B$76,Model!$AC$3174)</f>
        <v>-0.58684823608384784</v>
      </c>
      <c r="AL3255" s="377">
        <f>IPMT('Assumptions (Oil G&amp;T)'!$B$73,Model!AF$1,'Assumptions (Oil G&amp;T)'!$B$76,Model!$AC$3174)</f>
        <v>-0.52006472172791229</v>
      </c>
      <c r="AM3255" s="377">
        <f>IPMT('Assumptions (Oil G&amp;T)'!$B$73,Model!AG$1,'Assumptions (Oil G&amp;T)'!$B$76,Model!$AC$3174)</f>
        <v>-0.44827244379528153</v>
      </c>
      <c r="AN3255" s="377">
        <f>IPMT('Assumptions (Oil G&amp;T)'!$B$73,Model!AH$1,'Assumptions (Oil G&amp;T)'!$B$76,Model!$AC$3174)</f>
        <v>-0.37109574501770343</v>
      </c>
      <c r="AO3255" s="377">
        <f>IPMT('Assumptions (Oil G&amp;T)'!$B$73,Model!AI$1,'Assumptions (Oil G&amp;T)'!$B$76,Model!$AC$3174)</f>
        <v>-0.2881307938318069</v>
      </c>
      <c r="AP3255" s="377">
        <f>IPMT('Assumptions (Oil G&amp;T)'!$B$73,Model!AJ$1,'Assumptions (Oil G&amp;T)'!$B$76,Model!$AC$3174)</f>
        <v>-0.19894347130696827</v>
      </c>
      <c r="AQ3255" s="377">
        <f>IPMT('Assumptions (Oil G&amp;T)'!$B$73,Model!AK$1,'Assumptions (Oil G&amp;T)'!$B$76,Model!$AC$3174)</f>
        <v>-0.10306709959276671</v>
      </c>
      <c r="AR3255" s="377" t="e">
        <f>IPMT('Assumptions (Oil G&amp;T)'!$B$73,Model!AL$1,'Assumptions (Oil G&amp;T)'!$B$76,Model!$AC$3174)</f>
        <v>#NUM!</v>
      </c>
      <c r="AS3255" s="377" t="e">
        <f>IPMT('Assumptions (Oil G&amp;T)'!$B$73,Model!AM$1,'Assumptions (Oil G&amp;T)'!$B$76,Model!$AC$3174)</f>
        <v>#NUM!</v>
      </c>
      <c r="AT3255" s="377" t="e">
        <f>IPMT('Assumptions (Oil G&amp;T)'!$B$73,Model!AN$1,'Assumptions (Oil G&amp;T)'!$B$76,Model!$AC$3174)</f>
        <v>#NUM!</v>
      </c>
      <c r="AU3255" s="377" t="e">
        <f>IPMT('Assumptions (Oil G&amp;T)'!$B$73,Model!AO$1,'Assumptions (Oil G&amp;T)'!$B$76,Model!$AC$3174)</f>
        <v>#NUM!</v>
      </c>
      <c r="AV3255" s="377" t="e">
        <f>IPMT('Assumptions (Oil G&amp;T)'!$B$73,Model!AP$1,'Assumptions (Oil G&amp;T)'!$B$76,Model!$AC$3174)</f>
        <v>#NUM!</v>
      </c>
      <c r="AW3255" s="377" t="e">
        <f>IPMT('Assumptions (Oil G&amp;T)'!$B$73,Model!AQ$1,'Assumptions (Oil G&amp;T)'!$B$76,Model!$AC$3174)</f>
        <v>#NUM!</v>
      </c>
      <c r="AX3255" s="377" t="e">
        <f>IPMT('Assumptions (Oil G&amp;T)'!$B$73,Model!AR$1,'Assumptions (Oil G&amp;T)'!$B$76,Model!$AC$3174)</f>
        <v>#NUM!</v>
      </c>
      <c r="AY3255" s="377" t="e">
        <f>IPMT('Assumptions (Oil G&amp;T)'!$B$73,Model!AS$1,'Assumptions (Oil G&amp;T)'!$B$76,Model!$AC$3174)</f>
        <v>#NUM!</v>
      </c>
      <c r="AZ3255" s="377" t="e">
        <f>IPMT('Assumptions (Oil G&amp;T)'!$B$73,Model!AT$1,'Assumptions (Oil G&amp;T)'!$B$76,Model!$AC$3174)</f>
        <v>#NUM!</v>
      </c>
      <c r="BA3255" s="377" t="e">
        <f>IPMT('Assumptions (Oil G&amp;T)'!$B$73,Model!AU$1,'Assumptions (Oil G&amp;T)'!$B$76,Model!$AC$3174)</f>
        <v>#NUM!</v>
      </c>
    </row>
    <row r="3256" spans="1:62" ht="15.75" hidden="1" customHeight="1" outlineLevel="1">
      <c r="A3256" s="468"/>
      <c r="B3256" s="99"/>
      <c r="C3256" s="377"/>
      <c r="D3256" s="377"/>
      <c r="E3256" s="377"/>
      <c r="F3256" s="377"/>
      <c r="G3256" s="377"/>
      <c r="H3256" s="377"/>
      <c r="I3256" s="377"/>
      <c r="J3256" s="377"/>
      <c r="K3256" s="377"/>
      <c r="L3256" s="377"/>
      <c r="M3256" s="377"/>
      <c r="N3256" s="377"/>
      <c r="O3256" s="377"/>
      <c r="P3256" s="377"/>
      <c r="Q3256" s="377"/>
      <c r="R3256" s="377"/>
      <c r="S3256" s="42"/>
      <c r="T3256" s="42"/>
      <c r="U3256" s="42"/>
      <c r="V3256" s="42"/>
      <c r="W3256" s="86"/>
      <c r="AD3256" s="377">
        <f>IPMT('Assumptions (Oil G&amp;T)'!$B$73,Model!W$1,'Assumptions (Oil G&amp;T)'!$B$76,Model!$AD$3174)</f>
        <v>-0.98577155604097699</v>
      </c>
      <c r="AE3256" s="377">
        <f>IPMT('Assumptions (Oil G&amp;T)'!$B$73,Model!X$1,'Assumptions (Oil G&amp;T)'!$B$76,Model!$AD$3174)</f>
        <v>-0.9480290875821753</v>
      </c>
      <c r="AF3256" s="377">
        <f>IPMT('Assumptions (Oil G&amp;T)'!$B$73,Model!Y$1,'Assumptions (Oil G&amp;T)'!$B$76,Model!$AD$3174)</f>
        <v>-0.9074559339889634</v>
      </c>
      <c r="AG3256" s="377">
        <f>IPMT('Assumptions (Oil G&amp;T)'!$B$73,Model!Z$1,'Assumptions (Oil G&amp;T)'!$B$76,Model!$AD$3174)</f>
        <v>-0.86383979387626086</v>
      </c>
      <c r="AH3256" s="377">
        <f>IPMT('Assumptions (Oil G&amp;T)'!$B$73,Model!AA$1,'Assumptions (Oil G&amp;T)'!$B$76,Model!$AD$3174)</f>
        <v>-0.81695244325510519</v>
      </c>
      <c r="AI3256" s="377">
        <f>IPMT('Assumptions (Oil G&amp;T)'!$B$73,Model!AB$1,'Assumptions (Oil G&amp;T)'!$B$76,Model!$AD$3174)</f>
        <v>-0.76654854133736317</v>
      </c>
      <c r="AJ3256" s="377">
        <f>IPMT('Assumptions (Oil G&amp;T)'!$B$73,Model!AC$1,'Assumptions (Oil G&amp;T)'!$B$76,Model!$AD$3174)</f>
        <v>-0.71236434677579041</v>
      </c>
      <c r="AK3256" s="377">
        <f>IPMT('Assumptions (Oil G&amp;T)'!$B$73,Model!AD$1,'Assumptions (Oil G&amp;T)'!$B$76,Model!$AD$3174)</f>
        <v>-0.65411633762209964</v>
      </c>
      <c r="AL3256" s="377">
        <f>IPMT('Assumptions (Oil G&amp;T)'!$B$73,Model!AE$1,'Assumptions (Oil G&amp;T)'!$B$76,Model!$AD$3174)</f>
        <v>-0.59149972778188209</v>
      </c>
      <c r="AM3256" s="377">
        <f>IPMT('Assumptions (Oil G&amp;T)'!$B$73,Model!AF$1,'Assumptions (Oil G&amp;T)'!$B$76,Model!$AD$3174)</f>
        <v>-0.52418687220364824</v>
      </c>
      <c r="AN3256" s="377">
        <f>IPMT('Assumptions (Oil G&amp;T)'!$B$73,Model!AG$1,'Assumptions (Oil G&amp;T)'!$B$76,Model!$AD$3174)</f>
        <v>-0.45182555245704692</v>
      </c>
      <c r="AO3256" s="377">
        <f>IPMT('Assumptions (Oil G&amp;T)'!$B$73,Model!AH$1,'Assumptions (Oil G&amp;T)'!$B$76,Model!$AD$3174)</f>
        <v>-0.37403713372945047</v>
      </c>
      <c r="AP3256" s="377">
        <f>IPMT('Assumptions (Oil G&amp;T)'!$B$73,Model!AI$1,'Assumptions (Oil G&amp;T)'!$B$76,Model!$AD$3174)</f>
        <v>-0.29041458359728417</v>
      </c>
      <c r="AQ3256" s="377">
        <f>IPMT('Assumptions (Oil G&amp;T)'!$B$73,Model!AJ$1,'Assumptions (Oil G&amp;T)'!$B$76,Model!$AD$3174)</f>
        <v>-0.20052034220520554</v>
      </c>
      <c r="AR3256" s="377">
        <f>IPMT('Assumptions (Oil G&amp;T)'!$B$73,Model!AK$1,'Assumptions (Oil G&amp;T)'!$B$76,Model!$AD$3174)</f>
        <v>-0.10388403270872092</v>
      </c>
      <c r="AS3256" s="377" t="e">
        <f>IPMT('Assumptions (Oil G&amp;T)'!$B$73,Model!AL$1,'Assumptions (Oil G&amp;T)'!$B$76,Model!$AD$3174)</f>
        <v>#NUM!</v>
      </c>
      <c r="AT3256" s="377" t="e">
        <f>IPMT('Assumptions (Oil G&amp;T)'!$B$73,Model!AM$1,'Assumptions (Oil G&amp;T)'!$B$76,Model!$AD$3174)</f>
        <v>#NUM!</v>
      </c>
      <c r="AU3256" s="377" t="e">
        <f>IPMT('Assumptions (Oil G&amp;T)'!$B$73,Model!AN$1,'Assumptions (Oil G&amp;T)'!$B$76,Model!$AD$3174)</f>
        <v>#NUM!</v>
      </c>
      <c r="AV3256" s="377" t="e">
        <f>IPMT('Assumptions (Oil G&amp;T)'!$B$73,Model!AO$1,'Assumptions (Oil G&amp;T)'!$B$76,Model!$AD$3174)</f>
        <v>#NUM!</v>
      </c>
      <c r="AW3256" s="377" t="e">
        <f>IPMT('Assumptions (Oil G&amp;T)'!$B$73,Model!AP$1,'Assumptions (Oil G&amp;T)'!$B$76,Model!$AD$3174)</f>
        <v>#NUM!</v>
      </c>
      <c r="AX3256" s="377" t="e">
        <f>IPMT('Assumptions (Oil G&amp;T)'!$B$73,Model!AQ$1,'Assumptions (Oil G&amp;T)'!$B$76,Model!$AD$3174)</f>
        <v>#NUM!</v>
      </c>
      <c r="AY3256" s="377" t="e">
        <f>IPMT('Assumptions (Oil G&amp;T)'!$B$73,Model!AR$1,'Assumptions (Oil G&amp;T)'!$B$76,Model!$AD$3174)</f>
        <v>#NUM!</v>
      </c>
      <c r="AZ3256" s="377" t="e">
        <f>IPMT('Assumptions (Oil G&amp;T)'!$B$73,Model!AS$1,'Assumptions (Oil G&amp;T)'!$B$76,Model!$AD$3174)</f>
        <v>#NUM!</v>
      </c>
      <c r="BA3256" s="377" t="e">
        <f>IPMT('Assumptions (Oil G&amp;T)'!$B$73,Model!AT$1,'Assumptions (Oil G&amp;T)'!$B$76,Model!$AD$3174)</f>
        <v>#NUM!</v>
      </c>
      <c r="BB3256" s="377" t="e">
        <f>IPMT('Assumptions (Oil G&amp;T)'!$B$73,Model!AU$1,'Assumptions (Oil G&amp;T)'!$B$76,Model!$AD$3174)</f>
        <v>#NUM!</v>
      </c>
    </row>
    <row r="3257" spans="1:62" ht="15.75" hidden="1" customHeight="1" outlineLevel="1">
      <c r="A3257" s="468"/>
      <c r="B3257" s="99"/>
      <c r="C3257" s="377"/>
      <c r="D3257" s="377"/>
      <c r="E3257" s="377"/>
      <c r="F3257" s="377"/>
      <c r="G3257" s="377"/>
      <c r="H3257" s="377"/>
      <c r="I3257" s="377"/>
      <c r="J3257" s="377"/>
      <c r="K3257" s="377"/>
      <c r="L3257" s="377"/>
      <c r="M3257" s="377"/>
      <c r="N3257" s="377"/>
      <c r="O3257" s="377"/>
      <c r="P3257" s="377"/>
      <c r="Q3257" s="377"/>
      <c r="R3257" s="377"/>
      <c r="S3257" s="42"/>
      <c r="T3257" s="42"/>
      <c r="U3257" s="42"/>
      <c r="V3257" s="42"/>
      <c r="W3257" s="86"/>
      <c r="AE3257" s="377">
        <f>IPMT('Assumptions (Oil G&amp;T)'!$B$73,Model!W$1,'Assumptions (Oil G&amp;T)'!$B$76,Model!$AE$3174)</f>
        <v>-0.98687872584933034</v>
      </c>
      <c r="AF3257" s="377">
        <f>IPMT('Assumptions (Oil G&amp;T)'!$B$73,Model!X$1,'Assumptions (Oil G&amp;T)'!$B$76,Model!$AE$3174)</f>
        <v>-0.94909386691850273</v>
      </c>
      <c r="AG3257" s="377">
        <f>IPMT('Assumptions (Oil G&amp;T)'!$B$73,Model!Y$1,'Assumptions (Oil G&amp;T)'!$B$76,Model!$AE$3174)</f>
        <v>-0.90847514356786296</v>
      </c>
      <c r="AH3257" s="377">
        <f>IPMT('Assumptions (Oil G&amp;T)'!$B$73,Model!Z$1,'Assumptions (Oil G&amp;T)'!$B$76,Model!$AE$3174)</f>
        <v>-0.86481001596592544</v>
      </c>
      <c r="AI3257" s="377">
        <f>IPMT('Assumptions (Oil G&amp;T)'!$B$73,Model!AA$1,'Assumptions (Oil G&amp;T)'!$B$76,Model!$AE$3174)</f>
        <v>-0.81787000379384223</v>
      </c>
      <c r="AJ3257" s="377">
        <f>IPMT('Assumptions (Oil G&amp;T)'!$B$73,Model!AB$1,'Assumptions (Oil G&amp;T)'!$B$76,Model!$AE$3174)</f>
        <v>-0.767409490708853</v>
      </c>
      <c r="AK3257" s="377">
        <f>IPMT('Assumptions (Oil G&amp;T)'!$B$73,Model!AC$1,'Assumptions (Oil G&amp;T)'!$B$76,Model!$AE$3174)</f>
        <v>-0.7131644391424895</v>
      </c>
      <c r="AL3257" s="377">
        <f>IPMT('Assumptions (Oil G&amp;T)'!$B$73,Model!AD$1,'Assumptions (Oil G&amp;T)'!$B$76,Model!$AE$3174)</f>
        <v>-0.65485100870864876</v>
      </c>
      <c r="AM3257" s="377">
        <f>IPMT('Assumptions (Oil G&amp;T)'!$B$73,Model!AE$1,'Assumptions (Oil G&amp;T)'!$B$76,Model!$AE$3174)</f>
        <v>-0.59216407099226998</v>
      </c>
      <c r="AN3257" s="377">
        <f>IPMT('Assumptions (Oil G&amp;T)'!$B$73,Model!AF$1,'Assumptions (Oil G&amp;T)'!$B$76,Model!$AE$3174)</f>
        <v>-0.5247756129471628</v>
      </c>
      <c r="AO3257" s="377">
        <f>IPMT('Assumptions (Oil G&amp;T)'!$B$73,Model!AG$1,'Assumptions (Oil G&amp;T)'!$B$76,Model!$AE$3174)</f>
        <v>-0.45233302054867264</v>
      </c>
      <c r="AP3257" s="377">
        <f>IPMT('Assumptions (Oil G&amp;T)'!$B$73,Model!AH$1,'Assumptions (Oil G&amp;T)'!$B$76,Model!$AE$3174)</f>
        <v>-0.37445723372029566</v>
      </c>
      <c r="AQ3257" s="377">
        <f>IPMT('Assumptions (Oil G&amp;T)'!$B$73,Model!AI$1,'Assumptions (Oil G&amp;T)'!$B$76,Model!$AE$3174)</f>
        <v>-0.29074076287979034</v>
      </c>
      <c r="AR3257" s="377">
        <f>IPMT('Assumptions (Oil G&amp;T)'!$B$73,Model!AJ$1,'Assumptions (Oil G&amp;T)'!$B$76,Model!$AE$3174)</f>
        <v>-0.20074555672624719</v>
      </c>
      <c r="AS3257" s="377">
        <f>IPMT('Assumptions (Oil G&amp;T)'!$B$73,Model!AK$1,'Assumptions (Oil G&amp;T)'!$B$76,Model!$AE$3174)</f>
        <v>-0.10400071011118832</v>
      </c>
      <c r="AT3257" s="377" t="e">
        <f>IPMT('Assumptions (Oil G&amp;T)'!$B$73,Model!AL$1,'Assumptions (Oil G&amp;T)'!$B$76,Model!$AE$3174)</f>
        <v>#NUM!</v>
      </c>
      <c r="AU3257" s="377" t="e">
        <f>IPMT('Assumptions (Oil G&amp;T)'!$B$73,Model!AM$1,'Assumptions (Oil G&amp;T)'!$B$76,Model!$AE$3174)</f>
        <v>#NUM!</v>
      </c>
      <c r="AV3257" s="377" t="e">
        <f>IPMT('Assumptions (Oil G&amp;T)'!$B$73,Model!AN$1,'Assumptions (Oil G&amp;T)'!$B$76,Model!$AE$3174)</f>
        <v>#NUM!</v>
      </c>
      <c r="AW3257" s="377" t="e">
        <f>IPMT('Assumptions (Oil G&amp;T)'!$B$73,Model!AO$1,'Assumptions (Oil G&amp;T)'!$B$76,Model!$AE$3174)</f>
        <v>#NUM!</v>
      </c>
      <c r="AX3257" s="377" t="e">
        <f>IPMT('Assumptions (Oil G&amp;T)'!$B$73,Model!AP$1,'Assumptions (Oil G&amp;T)'!$B$76,Model!$AE$3174)</f>
        <v>#NUM!</v>
      </c>
      <c r="AY3257" s="377" t="e">
        <f>IPMT('Assumptions (Oil G&amp;T)'!$B$73,Model!AQ$1,'Assumptions (Oil G&amp;T)'!$B$76,Model!$AE$3174)</f>
        <v>#NUM!</v>
      </c>
      <c r="AZ3257" s="377" t="e">
        <f>IPMT('Assumptions (Oil G&amp;T)'!$B$73,Model!AR$1,'Assumptions (Oil G&amp;T)'!$B$76,Model!$AE$3174)</f>
        <v>#NUM!</v>
      </c>
      <c r="BA3257" s="377" t="e">
        <f>IPMT('Assumptions (Oil G&amp;T)'!$B$73,Model!AS$1,'Assumptions (Oil G&amp;T)'!$B$76,Model!$AE$3174)</f>
        <v>#NUM!</v>
      </c>
      <c r="BB3257" s="377" t="e">
        <f>IPMT('Assumptions (Oil G&amp;T)'!$B$73,Model!AT$1,'Assumptions (Oil G&amp;T)'!$B$76,Model!$AE$3174)</f>
        <v>#NUM!</v>
      </c>
      <c r="BC3257" s="377" t="e">
        <f>IPMT('Assumptions (Oil G&amp;T)'!$B$73,Model!AU$1,'Assumptions (Oil G&amp;T)'!$B$76,Model!$AE$3174)</f>
        <v>#NUM!</v>
      </c>
    </row>
    <row r="3258" spans="1:62" ht="15.75" hidden="1" customHeight="1" outlineLevel="1">
      <c r="A3258" s="468"/>
      <c r="B3258" s="99"/>
      <c r="C3258" s="377"/>
      <c r="D3258" s="377"/>
      <c r="E3258" s="377"/>
      <c r="F3258" s="377"/>
      <c r="G3258" s="377"/>
      <c r="H3258" s="377"/>
      <c r="I3258" s="377"/>
      <c r="J3258" s="377"/>
      <c r="K3258" s="377"/>
      <c r="L3258" s="377"/>
      <c r="M3258" s="377"/>
      <c r="N3258" s="377"/>
      <c r="O3258" s="377"/>
      <c r="P3258" s="377"/>
      <c r="Q3258" s="377"/>
      <c r="R3258" s="377"/>
      <c r="S3258" s="42"/>
      <c r="T3258" s="42"/>
      <c r="U3258" s="42"/>
      <c r="V3258" s="42"/>
      <c r="W3258" s="86"/>
      <c r="AF3258" s="377">
        <f>IPMT('Assumptions (Oil G&amp;T)'!$B$73,Model!W$1,'Assumptions (Oil G&amp;T)'!$B$76,Model!$AF$3174)</f>
        <v>-0.9901244238004494</v>
      </c>
      <c r="AG3258" s="377">
        <f>IPMT('Assumptions (Oil G&amp;T)'!$B$73,Model!X$1,'Assumptions (Oil G&amp;T)'!$B$76,Model!$AF$3174)</f>
        <v>-0.9522152960653576</v>
      </c>
      <c r="AH3258" s="377">
        <f>IPMT('Assumptions (Oil G&amp;T)'!$B$73,Model!Y$1,'Assumptions (Oil G&amp;T)'!$B$76,Model!$AF$3174)</f>
        <v>-0.91146298375013379</v>
      </c>
      <c r="AI3258" s="377">
        <f>IPMT('Assumptions (Oil G&amp;T)'!$B$73,Model!Z$1,'Assumptions (Oil G&amp;T)'!$B$76,Model!$AF$3174)</f>
        <v>-0.86765424801126834</v>
      </c>
      <c r="AJ3258" s="377">
        <f>IPMT('Assumptions (Oil G&amp;T)'!$B$73,Model!AA$1,'Assumptions (Oil G&amp;T)'!$B$76,Model!$AF$3174)</f>
        <v>-0.82055985709198775</v>
      </c>
      <c r="AK3258" s="377">
        <f>IPMT('Assumptions (Oil G&amp;T)'!$B$73,Model!AB$1,'Assumptions (Oil G&amp;T)'!$B$76,Model!$AF$3174)</f>
        <v>-0.76993338685376111</v>
      </c>
      <c r="AL3258" s="377">
        <f>IPMT('Assumptions (Oil G&amp;T)'!$B$73,Model!AC$1,'Assumptions (Oil G&amp;T)'!$B$76,Model!$AF$3174)</f>
        <v>-0.71550993134766772</v>
      </c>
      <c r="AM3258" s="377">
        <f>IPMT('Assumptions (Oil G&amp;T)'!$B$73,Model!AD$1,'Assumptions (Oil G&amp;T)'!$B$76,Model!$AF$3174)</f>
        <v>-0.65700471667861726</v>
      </c>
      <c r="AN3258" s="377">
        <f>IPMT('Assumptions (Oil G&amp;T)'!$B$73,Model!AE$1,'Assumptions (Oil G&amp;T)'!$B$76,Model!$AF$3174)</f>
        <v>-0.5941116109093878</v>
      </c>
      <c r="AO3258" s="377">
        <f>IPMT('Assumptions (Oil G&amp;T)'!$B$73,Model!AF$1,'Assumptions (Oil G&amp;T)'!$B$76,Model!$AF$3174)</f>
        <v>-0.52650152220746627</v>
      </c>
      <c r="AP3258" s="377">
        <f>IPMT('Assumptions (Oil G&amp;T)'!$B$73,Model!AG$1,'Assumptions (Oil G&amp;T)'!$B$76,Model!$AF$3174)</f>
        <v>-0.45382067685290067</v>
      </c>
      <c r="AQ3258" s="377">
        <f>IPMT('Assumptions (Oil G&amp;T)'!$B$73,Model!AH$1,'Assumptions (Oil G&amp;T)'!$B$76,Model!$AF$3174)</f>
        <v>-0.37568876809674273</v>
      </c>
      <c r="AR3258" s="377">
        <f>IPMT('Assumptions (Oil G&amp;T)'!$B$73,Model!AI$1,'Assumptions (Oil G&amp;T)'!$B$76,Model!$AF$3174)</f>
        <v>-0.2916969661838727</v>
      </c>
      <c r="AS3258" s="377">
        <f>IPMT('Assumptions (Oil G&amp;T)'!$B$73,Model!AJ$1,'Assumptions (Oil G&amp;T)'!$B$76,Model!$AF$3174)</f>
        <v>-0.20140577912753763</v>
      </c>
      <c r="AT3258" s="377">
        <f>IPMT('Assumptions (Oil G&amp;T)'!$B$73,Model!AK$1,'Assumptions (Oil G&amp;T)'!$B$76,Model!$AF$3174)</f>
        <v>-0.10434275304197732</v>
      </c>
      <c r="AU3258" s="377" t="e">
        <f>IPMT('Assumptions (Oil G&amp;T)'!$B$73,Model!AL$1,'Assumptions (Oil G&amp;T)'!$B$76,Model!$AF$3174)</f>
        <v>#NUM!</v>
      </c>
      <c r="AV3258" s="377" t="e">
        <f>IPMT('Assumptions (Oil G&amp;T)'!$B$73,Model!AM$1,'Assumptions (Oil G&amp;T)'!$B$76,Model!$AF$3174)</f>
        <v>#NUM!</v>
      </c>
      <c r="AW3258" s="377" t="e">
        <f>IPMT('Assumptions (Oil G&amp;T)'!$B$73,Model!AN$1,'Assumptions (Oil G&amp;T)'!$B$76,Model!$AF$3174)</f>
        <v>#NUM!</v>
      </c>
      <c r="AX3258" s="377" t="e">
        <f>IPMT('Assumptions (Oil G&amp;T)'!$B$73,Model!AO$1,'Assumptions (Oil G&amp;T)'!$B$76,Model!$AF$3174)</f>
        <v>#NUM!</v>
      </c>
      <c r="AY3258" s="377" t="e">
        <f>IPMT('Assumptions (Oil G&amp;T)'!$B$73,Model!AP$1,'Assumptions (Oil G&amp;T)'!$B$76,Model!$AF$3174)</f>
        <v>#NUM!</v>
      </c>
      <c r="AZ3258" s="377" t="e">
        <f>IPMT('Assumptions (Oil G&amp;T)'!$B$73,Model!AQ$1,'Assumptions (Oil G&amp;T)'!$B$76,Model!$AF$3174)</f>
        <v>#NUM!</v>
      </c>
      <c r="BA3258" s="377" t="e">
        <f>IPMT('Assumptions (Oil G&amp;T)'!$B$73,Model!AR$1,'Assumptions (Oil G&amp;T)'!$B$76,Model!$AF$3174)</f>
        <v>#NUM!</v>
      </c>
      <c r="BB3258" s="377" t="e">
        <f>IPMT('Assumptions (Oil G&amp;T)'!$B$73,Model!AS$1,'Assumptions (Oil G&amp;T)'!$B$76,Model!$AF$3174)</f>
        <v>#NUM!</v>
      </c>
      <c r="BC3258" s="377" t="e">
        <f>IPMT('Assumptions (Oil G&amp;T)'!$B$73,Model!AT$1,'Assumptions (Oil G&amp;T)'!$B$76,Model!$AF$3174)</f>
        <v>#NUM!</v>
      </c>
      <c r="BD3258" s="377" t="e">
        <f>IPMT('Assumptions (Oil G&amp;T)'!$B$73,Model!AU$1,'Assumptions (Oil G&amp;T)'!$B$76,Model!$AF$3174)</f>
        <v>#NUM!</v>
      </c>
    </row>
    <row r="3259" spans="1:62" ht="15.75" hidden="1" customHeight="1" outlineLevel="1">
      <c r="A3259" s="468"/>
      <c r="B3259" s="99"/>
      <c r="C3259" s="377"/>
      <c r="D3259" s="377"/>
      <c r="E3259" s="377"/>
      <c r="F3259" s="377"/>
      <c r="G3259" s="377"/>
      <c r="H3259" s="377"/>
      <c r="I3259" s="377"/>
      <c r="J3259" s="377"/>
      <c r="K3259" s="377"/>
      <c r="L3259" s="377"/>
      <c r="M3259" s="377"/>
      <c r="N3259" s="377"/>
      <c r="O3259" s="377"/>
      <c r="P3259" s="377"/>
      <c r="Q3259" s="377"/>
      <c r="R3259" s="377"/>
      <c r="S3259" s="42"/>
      <c r="T3259" s="42"/>
      <c r="U3259" s="42"/>
      <c r="V3259" s="42"/>
      <c r="W3259" s="86"/>
      <c r="AG3259" s="377">
        <f>IPMT('Assumptions (Oil G&amp;T)'!$B$73,Model!W$1,'Assumptions (Oil G&amp;T)'!$B$76,Model!$AG$3174)</f>
        <v>-0.9924980201456739</v>
      </c>
      <c r="AH3259" s="377">
        <f>IPMT('Assumptions (Oil G&amp;T)'!$B$73,Model!X$1,'Assumptions (Oil G&amp;T)'!$B$76,Model!$AG$3174)</f>
        <v>-0.95449801396654044</v>
      </c>
      <c r="AI3259" s="377">
        <f>IPMT('Assumptions (Oil G&amp;T)'!$B$73,Model!Y$1,'Assumptions (Oil G&amp;T)'!$B$76,Model!$AG$3174)</f>
        <v>-0.91364800732397178</v>
      </c>
      <c r="AJ3259" s="377">
        <f>IPMT('Assumptions (Oil G&amp;T)'!$B$73,Model!Z$1,'Assumptions (Oil G&amp;T)'!$B$76,Model!$AG$3174)</f>
        <v>-0.8697342501832106</v>
      </c>
      <c r="AK3259" s="377">
        <f>IPMT('Assumptions (Oil G&amp;T)'!$B$73,Model!AA$1,'Assumptions (Oil G&amp;T)'!$B$76,Model!$AG$3174)</f>
        <v>-0.82252696125689206</v>
      </c>
      <c r="AL3259" s="377">
        <f>IPMT('Assumptions (Oil G&amp;T)'!$B$73,Model!AB$1,'Assumptions (Oil G&amp;T)'!$B$76,Model!$AG$3174)</f>
        <v>-0.77177912566109985</v>
      </c>
      <c r="AM3259" s="377">
        <f>IPMT('Assumptions (Oil G&amp;T)'!$B$73,Model!AC$1,'Assumptions (Oil G&amp;T)'!$B$76,Model!$AG$3174)</f>
        <v>-0.71722520239562337</v>
      </c>
      <c r="AN3259" s="377">
        <f>IPMT('Assumptions (Oil G&amp;T)'!$B$73,Model!AD$1,'Assumptions (Oil G&amp;T)'!$B$76,Model!$AG$3174)</f>
        <v>-0.65857973488523591</v>
      </c>
      <c r="AO3259" s="377">
        <f>IPMT('Assumptions (Oil G&amp;T)'!$B$73,Model!AE$1,'Assumptions (Oil G&amp;T)'!$B$76,Model!$AG$3174)</f>
        <v>-0.59553585731156944</v>
      </c>
      <c r="AP3259" s="377">
        <f>IPMT('Assumptions (Oil G&amp;T)'!$B$73,Model!AF$1,'Assumptions (Oil G&amp;T)'!$B$76,Model!$AG$3174)</f>
        <v>-0.52776368891987802</v>
      </c>
      <c r="AQ3259" s="377">
        <f>IPMT('Assumptions (Oil G&amp;T)'!$B$73,Model!AG$1,'Assumptions (Oil G&amp;T)'!$B$76,Model!$AG$3174)</f>
        <v>-0.45490860789880977</v>
      </c>
      <c r="AR3259" s="377">
        <f>IPMT('Assumptions (Oil G&amp;T)'!$B$73,Model!AH$1,'Assumptions (Oil G&amp;T)'!$B$76,Model!$AG$3174)</f>
        <v>-0.37658939580116146</v>
      </c>
      <c r="AS3259" s="377">
        <f>IPMT('Assumptions (Oil G&amp;T)'!$B$73,Model!AI$1,'Assumptions (Oil G&amp;T)'!$B$76,Model!$AG$3174)</f>
        <v>-0.29239624279618931</v>
      </c>
      <c r="AT3259" s="377">
        <f>IPMT('Assumptions (Oil G&amp;T)'!$B$73,Model!AJ$1,'Assumptions (Oil G&amp;T)'!$B$76,Model!$AG$3174)</f>
        <v>-0.20188860331584441</v>
      </c>
      <c r="AU3259" s="377">
        <f>IPMT('Assumptions (Oil G&amp;T)'!$B$73,Model!AK$1,'Assumptions (Oil G&amp;T)'!$B$76,Model!$AG$3174)</f>
        <v>-0.10459289087447361</v>
      </c>
      <c r="AV3259" s="377" t="e">
        <f>IPMT('Assumptions (Oil G&amp;T)'!$B$73,Model!AL$1,'Assumptions (Oil G&amp;T)'!$B$76,Model!$AG$3174)</f>
        <v>#NUM!</v>
      </c>
      <c r="AW3259" s="377" t="e">
        <f>IPMT('Assumptions (Oil G&amp;T)'!$B$73,Model!AM$1,'Assumptions (Oil G&amp;T)'!$B$76,Model!$AG$3174)</f>
        <v>#NUM!</v>
      </c>
      <c r="AX3259" s="377" t="e">
        <f>IPMT('Assumptions (Oil G&amp;T)'!$B$73,Model!AN$1,'Assumptions (Oil G&amp;T)'!$B$76,Model!$AG$3174)</f>
        <v>#NUM!</v>
      </c>
      <c r="AY3259" s="377" t="e">
        <f>IPMT('Assumptions (Oil G&amp;T)'!$B$73,Model!AO$1,'Assumptions (Oil G&amp;T)'!$B$76,Model!$AG$3174)</f>
        <v>#NUM!</v>
      </c>
      <c r="AZ3259" s="377" t="e">
        <f>IPMT('Assumptions (Oil G&amp;T)'!$B$73,Model!AP$1,'Assumptions (Oil G&amp;T)'!$B$76,Model!$AG$3174)</f>
        <v>#NUM!</v>
      </c>
      <c r="BA3259" s="377" t="e">
        <f>IPMT('Assumptions (Oil G&amp;T)'!$B$73,Model!AQ$1,'Assumptions (Oil G&amp;T)'!$B$76,Model!$AG$3174)</f>
        <v>#NUM!</v>
      </c>
      <c r="BB3259" s="377" t="e">
        <f>IPMT('Assumptions (Oil G&amp;T)'!$B$73,Model!AR$1,'Assumptions (Oil G&amp;T)'!$B$76,Model!$AG$3174)</f>
        <v>#NUM!</v>
      </c>
      <c r="BC3259" s="377" t="e">
        <f>IPMT('Assumptions (Oil G&amp;T)'!$B$73,Model!AS$1,'Assumptions (Oil G&amp;T)'!$B$76,Model!$AG$3174)</f>
        <v>#NUM!</v>
      </c>
      <c r="BD3259" s="377" t="e">
        <f>IPMT('Assumptions (Oil G&amp;T)'!$B$73,Model!AT$1,'Assumptions (Oil G&amp;T)'!$B$76,Model!$AG$3174)</f>
        <v>#NUM!</v>
      </c>
      <c r="BE3259" s="377" t="e">
        <f>IPMT('Assumptions (Oil G&amp;T)'!$B$73,Model!AU$1,'Assumptions (Oil G&amp;T)'!$B$76,Model!$AG$3174)</f>
        <v>#NUM!</v>
      </c>
    </row>
    <row r="3260" spans="1:62" ht="15.75" hidden="1" customHeight="1" outlineLevel="1">
      <c r="A3260" s="468"/>
      <c r="B3260" s="99"/>
      <c r="C3260" s="377"/>
      <c r="D3260" s="377"/>
      <c r="E3260" s="377"/>
      <c r="F3260" s="377"/>
      <c r="G3260" s="377"/>
      <c r="H3260" s="377"/>
      <c r="I3260" s="377"/>
      <c r="J3260" s="377"/>
      <c r="K3260" s="377"/>
      <c r="L3260" s="377"/>
      <c r="M3260" s="377"/>
      <c r="N3260" s="377"/>
      <c r="O3260" s="377"/>
      <c r="P3260" s="377"/>
      <c r="Q3260" s="377"/>
      <c r="R3260" s="377"/>
      <c r="S3260" s="42"/>
      <c r="T3260" s="42"/>
      <c r="U3260" s="42"/>
      <c r="V3260" s="42"/>
      <c r="W3260" s="86"/>
      <c r="AH3260" s="377">
        <f>IPMT('Assumptions (Oil G&amp;T)'!$B$73,Model!W$1,'Assumptions (Oil G&amp;T)'!$B$76,Model!$AH$3174)</f>
        <v>-0.99422078254211477</v>
      </c>
      <c r="AI3260" s="377">
        <f>IPMT('Assumptions (Oil G&amp;T)'!$B$73,Model!X$1,'Assumptions (Oil G&amp;T)'!$B$76,Model!$AH$3174)</f>
        <v>-0.95615481655209889</v>
      </c>
      <c r="AJ3260" s="377">
        <f>IPMT('Assumptions (Oil G&amp;T)'!$B$73,Model!Y$1,'Assumptions (Oil G&amp;T)'!$B$76,Model!$AH$3174)</f>
        <v>-0.9152339031128317</v>
      </c>
      <c r="AK3260" s="377">
        <f>IPMT('Assumptions (Oil G&amp;T)'!$B$73,Model!Z$1,'Assumptions (Oil G&amp;T)'!$B$76,Model!$AH$3174)</f>
        <v>-0.87124392116561966</v>
      </c>
      <c r="AL3260" s="377">
        <f>IPMT('Assumptions (Oil G&amp;T)'!$B$73,Model!AA$1,'Assumptions (Oil G&amp;T)'!$B$76,Model!$AH$3174)</f>
        <v>-0.82395469057236637</v>
      </c>
      <c r="AM3260" s="377">
        <f>IPMT('Assumptions (Oil G&amp;T)'!$B$73,Model!AB$1,'Assumptions (Oil G&amp;T)'!$B$76,Model!$AH$3174)</f>
        <v>-0.77311876768461929</v>
      </c>
      <c r="AN3260" s="377">
        <f>IPMT('Assumptions (Oil G&amp;T)'!$B$73,Model!AC$1,'Assumptions (Oil G&amp;T)'!$B$76,Model!$AH$3174)</f>
        <v>-0.71847015058029118</v>
      </c>
      <c r="AO3260" s="377">
        <f>IPMT('Assumptions (Oil G&amp;T)'!$B$73,Model!AD$1,'Assumptions (Oil G&amp;T)'!$B$76,Model!$AH$3174)</f>
        <v>-0.65972288719313854</v>
      </c>
      <c r="AP3260" s="377">
        <f>IPMT('Assumptions (Oil G&amp;T)'!$B$73,Model!AE$1,'Assumptions (Oil G&amp;T)'!$B$76,Model!$AH$3174)</f>
        <v>-0.59656957905194929</v>
      </c>
      <c r="AQ3260" s="377">
        <f>IPMT('Assumptions (Oil G&amp;T)'!$B$73,Model!AF$1,'Assumptions (Oil G&amp;T)'!$B$76,Model!$AH$3174)</f>
        <v>-0.52867977280017098</v>
      </c>
      <c r="AR3260" s="377">
        <f>IPMT('Assumptions (Oil G&amp;T)'!$B$73,Model!AG$1,'Assumptions (Oil G&amp;T)'!$B$76,Model!$AH$3174)</f>
        <v>-0.45569823107950919</v>
      </c>
      <c r="AS3260" s="377">
        <f>IPMT('Assumptions (Oil G&amp;T)'!$B$73,Model!AH$1,'Assumptions (Oil G&amp;T)'!$B$76,Model!$AH$3174)</f>
        <v>-0.37724307372979787</v>
      </c>
      <c r="AT3260" s="377">
        <f>IPMT('Assumptions (Oil G&amp;T)'!$B$73,Model!AI$1,'Assumptions (Oil G&amp;T)'!$B$76,Model!$AH$3174)</f>
        <v>-0.2929037795788581</v>
      </c>
      <c r="AU3260" s="377">
        <f>IPMT('Assumptions (Oil G&amp;T)'!$B$73,Model!AJ$1,'Assumptions (Oil G&amp;T)'!$B$76,Model!$AH$3174)</f>
        <v>-0.20223903836659793</v>
      </c>
      <c r="AV3260" s="377">
        <f>IPMT('Assumptions (Oil G&amp;T)'!$B$73,Model!AK$1,'Assumptions (Oil G&amp;T)'!$B$76,Model!$AH$3174)</f>
        <v>-0.10477444156341821</v>
      </c>
      <c r="AW3260" s="377" t="e">
        <f>IPMT('Assumptions (Oil G&amp;T)'!$B$73,Model!AL$1,'Assumptions (Oil G&amp;T)'!$B$76,Model!$AH$3174)</f>
        <v>#NUM!</v>
      </c>
      <c r="AX3260" s="377" t="e">
        <f>IPMT('Assumptions (Oil G&amp;T)'!$B$73,Model!AM$1,'Assumptions (Oil G&amp;T)'!$B$76,Model!$AH$3174)</f>
        <v>#NUM!</v>
      </c>
      <c r="AY3260" s="377" t="e">
        <f>IPMT('Assumptions (Oil G&amp;T)'!$B$73,Model!AN$1,'Assumptions (Oil G&amp;T)'!$B$76,Model!$AH$3174)</f>
        <v>#NUM!</v>
      </c>
      <c r="AZ3260" s="377" t="e">
        <f>IPMT('Assumptions (Oil G&amp;T)'!$B$73,Model!AO$1,'Assumptions (Oil G&amp;T)'!$B$76,Model!$AH$3174)</f>
        <v>#NUM!</v>
      </c>
      <c r="BA3260" s="377" t="e">
        <f>IPMT('Assumptions (Oil G&amp;T)'!$B$73,Model!AP$1,'Assumptions (Oil G&amp;T)'!$B$76,Model!$AH$3174)</f>
        <v>#NUM!</v>
      </c>
      <c r="BB3260" s="377" t="e">
        <f>IPMT('Assumptions (Oil G&amp;T)'!$B$73,Model!AQ$1,'Assumptions (Oil G&amp;T)'!$B$76,Model!$AH$3174)</f>
        <v>#NUM!</v>
      </c>
      <c r="BC3260" s="377" t="e">
        <f>IPMT('Assumptions (Oil G&amp;T)'!$B$73,Model!AR$1,'Assumptions (Oil G&amp;T)'!$B$76,Model!$AH$3174)</f>
        <v>#NUM!</v>
      </c>
      <c r="BD3260" s="377" t="e">
        <f>IPMT('Assumptions (Oil G&amp;T)'!$B$73,Model!AS$1,'Assumptions (Oil G&amp;T)'!$B$76,Model!$AH$3174)</f>
        <v>#NUM!</v>
      </c>
      <c r="BE3260" s="377" t="e">
        <f>IPMT('Assumptions (Oil G&amp;T)'!$B$73,Model!AT$1,'Assumptions (Oil G&amp;T)'!$B$76,Model!$AH$3174)</f>
        <v>#NUM!</v>
      </c>
      <c r="BF3260" s="377" t="e">
        <f>IPMT('Assumptions (Oil G&amp;T)'!$B$73,Model!AU$1,'Assumptions (Oil G&amp;T)'!$B$76,Model!$AH$3174)</f>
        <v>#NUM!</v>
      </c>
    </row>
    <row r="3261" spans="1:62" ht="15.75" hidden="1" customHeight="1" outlineLevel="1">
      <c r="A3261" s="468"/>
      <c r="B3261" s="99"/>
      <c r="C3261" s="377"/>
      <c r="D3261" s="377"/>
      <c r="E3261" s="377"/>
      <c r="F3261" s="377"/>
      <c r="G3261" s="377"/>
      <c r="H3261" s="377"/>
      <c r="I3261" s="377"/>
      <c r="J3261" s="377"/>
      <c r="K3261" s="377"/>
      <c r="L3261" s="377"/>
      <c r="M3261" s="377"/>
      <c r="N3261" s="377"/>
      <c r="O3261" s="377"/>
      <c r="P3261" s="377"/>
      <c r="Q3261" s="377"/>
      <c r="R3261" s="377"/>
      <c r="S3261" s="42"/>
      <c r="T3261" s="42"/>
      <c r="U3261" s="42"/>
      <c r="V3261" s="42"/>
      <c r="W3261" s="86"/>
      <c r="AI3261" s="377">
        <f>IPMT('Assumptions (Oil G&amp;T)'!$B$73,Model!W$1,'Assumptions (Oil G&amp;T)'!$B$76,Model!$AI$3174)</f>
        <v>-0.9931149837252008</v>
      </c>
      <c r="AJ3261" s="377">
        <f>IPMT('Assumptions (Oil G&amp;T)'!$B$73,Model!X$1,'Assumptions (Oil G&amp;T)'!$B$76,Model!$AI$3174)</f>
        <v>-0.95509135571573767</v>
      </c>
      <c r="AK3261" s="377">
        <f>IPMT('Assumptions (Oil G&amp;T)'!$B$73,Model!Y$1,'Assumptions (Oil G&amp;T)'!$B$76,Model!$AI$3174)</f>
        <v>-0.91421595560556479</v>
      </c>
      <c r="AL3261" s="377">
        <f>IPMT('Assumptions (Oil G&amp;T)'!$B$73,Model!Z$1,'Assumptions (Oil G&amp;T)'!$B$76,Model!$AI$3174)</f>
        <v>-0.87027490048712897</v>
      </c>
      <c r="AM3261" s="377">
        <f>IPMT('Assumptions (Oil G&amp;T)'!$B$73,Model!AA$1,'Assumptions (Oil G&amp;T)'!$B$76,Model!$AI$3174)</f>
        <v>-0.82303826623481036</v>
      </c>
      <c r="AN3261" s="377">
        <f>IPMT('Assumptions (Oil G&amp;T)'!$B$73,Model!AB$1,'Assumptions (Oil G&amp;T)'!$B$76,Model!$AI$3174)</f>
        <v>-0.77225888441356794</v>
      </c>
      <c r="AO3261" s="377">
        <f>IPMT('Assumptions (Oil G&amp;T)'!$B$73,Model!AC$1,'Assumptions (Oil G&amp;T)'!$B$76,Model!$AI$3174)</f>
        <v>-0.7176710489557323</v>
      </c>
      <c r="AP3261" s="377">
        <f>IPMT('Assumptions (Oil G&amp;T)'!$B$73,Model!AD$1,'Assumptions (Oil G&amp;T)'!$B$76,Model!$AI$3174)</f>
        <v>-0.65898912583855895</v>
      </c>
      <c r="AQ3261" s="377">
        <f>IPMT('Assumptions (Oil G&amp;T)'!$B$73,Model!AE$1,'Assumptions (Oil G&amp;T)'!$B$76,Model!$AI$3174)</f>
        <v>-0.59590605848759759</v>
      </c>
      <c r="AR3261" s="377">
        <f>IPMT('Assumptions (Oil G&amp;T)'!$B$73,Model!AF$1,'Assumptions (Oil G&amp;T)'!$B$76,Model!$AI$3174)</f>
        <v>-0.52809176108531419</v>
      </c>
      <c r="AS3261" s="377">
        <f>IPMT('Assumptions (Oil G&amp;T)'!$B$73,Model!AG$1,'Assumptions (Oil G&amp;T)'!$B$76,Model!$AI$3174)</f>
        <v>-0.45519139137785958</v>
      </c>
      <c r="AT3261" s="377">
        <f>IPMT('Assumptions (Oil G&amp;T)'!$B$73,Model!AH$1,'Assumptions (Oil G&amp;T)'!$B$76,Model!$AI$3174)</f>
        <v>-0.37682349394234588</v>
      </c>
      <c r="AU3261" s="377">
        <f>IPMT('Assumptions (Oil G&amp;T)'!$B$73,Model!AI$1,'Assumptions (Oil G&amp;T)'!$B$76,Model!$AI$3174)</f>
        <v>-0.29257800419916852</v>
      </c>
      <c r="AV3261" s="377">
        <f>IPMT('Assumptions (Oil G&amp;T)'!$B$73,Model!AJ$1,'Assumptions (Oil G&amp;T)'!$B$76,Model!$AI$3174)</f>
        <v>-0.20201410272525297</v>
      </c>
      <c r="AW3261" s="377">
        <f>IPMT('Assumptions (Oil G&amp;T)'!$B$73,Model!AK$1,'Assumptions (Oil G&amp;T)'!$B$76,Model!$AI$3174)</f>
        <v>-0.1046579086407937</v>
      </c>
      <c r="AX3261" s="377" t="e">
        <f>IPMT('Assumptions (Oil G&amp;T)'!$B$73,Model!AL$1,'Assumptions (Oil G&amp;T)'!$B$76,Model!$AI$3174)</f>
        <v>#NUM!</v>
      </c>
      <c r="AY3261" s="377" t="e">
        <f>IPMT('Assumptions (Oil G&amp;T)'!$B$73,Model!AM$1,'Assumptions (Oil G&amp;T)'!$B$76,Model!$AI$3174)</f>
        <v>#NUM!</v>
      </c>
      <c r="AZ3261" s="377" t="e">
        <f>IPMT('Assumptions (Oil G&amp;T)'!$B$73,Model!AN$1,'Assumptions (Oil G&amp;T)'!$B$76,Model!$AI$3174)</f>
        <v>#NUM!</v>
      </c>
      <c r="BA3261" s="377" t="e">
        <f>IPMT('Assumptions (Oil G&amp;T)'!$B$73,Model!AO$1,'Assumptions (Oil G&amp;T)'!$B$76,Model!$AI$3174)</f>
        <v>#NUM!</v>
      </c>
      <c r="BB3261" s="377" t="e">
        <f>IPMT('Assumptions (Oil G&amp;T)'!$B$73,Model!AP$1,'Assumptions (Oil G&amp;T)'!$B$76,Model!$AI$3174)</f>
        <v>#NUM!</v>
      </c>
      <c r="BC3261" s="377" t="e">
        <f>IPMT('Assumptions (Oil G&amp;T)'!$B$73,Model!AQ$1,'Assumptions (Oil G&amp;T)'!$B$76,Model!$AI$3174)</f>
        <v>#NUM!</v>
      </c>
      <c r="BD3261" s="377" t="e">
        <f>IPMT('Assumptions (Oil G&amp;T)'!$B$73,Model!AR$1,'Assumptions (Oil G&amp;T)'!$B$76,Model!$AI$3174)</f>
        <v>#NUM!</v>
      </c>
      <c r="BE3261" s="377" t="e">
        <f>IPMT('Assumptions (Oil G&amp;T)'!$B$73,Model!AS$1,'Assumptions (Oil G&amp;T)'!$B$76,Model!$AI$3174)</f>
        <v>#NUM!</v>
      </c>
      <c r="BF3261" s="377" t="e">
        <f>IPMT('Assumptions (Oil G&amp;T)'!$B$73,Model!AT$1,'Assumptions (Oil G&amp;T)'!$B$76,Model!$AI$3174)</f>
        <v>#NUM!</v>
      </c>
      <c r="BG3261" s="377" t="e">
        <f>IPMT('Assumptions (Oil G&amp;T)'!$B$73,Model!AU$1,'Assumptions (Oil G&amp;T)'!$B$76,Model!$AI$3174)</f>
        <v>#NUM!</v>
      </c>
    </row>
    <row r="3262" spans="1:62" ht="15.75" hidden="1" customHeight="1" outlineLevel="1">
      <c r="A3262" s="468"/>
      <c r="B3262" s="99"/>
      <c r="C3262" s="377"/>
      <c r="D3262" s="377"/>
      <c r="E3262" s="377"/>
      <c r="F3262" s="377"/>
      <c r="G3262" s="377"/>
      <c r="H3262" s="377"/>
      <c r="I3262" s="377"/>
      <c r="J3262" s="377"/>
      <c r="K3262" s="377"/>
      <c r="L3262" s="377"/>
      <c r="M3262" s="377"/>
      <c r="N3262" s="377"/>
      <c r="O3262" s="377"/>
      <c r="P3262" s="377"/>
      <c r="Q3262" s="377"/>
      <c r="R3262" s="377"/>
      <c r="S3262" s="42"/>
      <c r="T3262" s="42"/>
      <c r="U3262" s="42"/>
      <c r="V3262" s="42"/>
      <c r="W3262" s="86"/>
      <c r="AJ3262" s="377">
        <f>IPMT('Assumptions (Oil G&amp;T)'!$B$73,Model!W$1,'Assumptions (Oil G&amp;T)'!$B$76,Model!$AJ$3174)</f>
        <v>-0.99114750108568728</v>
      </c>
      <c r="AK3262" s="377">
        <f>IPMT('Assumptions (Oil G&amp;T)'!$B$73,Model!X$1,'Assumptions (Oil G&amp;T)'!$B$76,Model!$AJ$3174)</f>
        <v>-0.95319920254886925</v>
      </c>
      <c r="AL3262" s="377">
        <f>IPMT('Assumptions (Oil G&amp;T)'!$B$73,Model!Y$1,'Assumptions (Oil G&amp;T)'!$B$76,Model!$AJ$3174)</f>
        <v>-0.91240478162178973</v>
      </c>
      <c r="AM3262" s="377">
        <f>IPMT('Assumptions (Oil G&amp;T)'!$B$73,Model!Z$1,'Assumptions (Oil G&amp;T)'!$B$76,Model!$AJ$3174)</f>
        <v>-0.86855077912517953</v>
      </c>
      <c r="AN3262" s="377">
        <f>IPMT('Assumptions (Oil G&amp;T)'!$B$73,Model!AA$1,'Assumptions (Oil G&amp;T)'!$B$76,Model!$AJ$3174)</f>
        <v>-0.8214077264413232</v>
      </c>
      <c r="AO3262" s="377">
        <f>IPMT('Assumptions (Oil G&amp;T)'!$B$73,Model!AB$1,'Assumptions (Oil G&amp;T)'!$B$76,Model!$AJ$3174)</f>
        <v>-0.77072894480617782</v>
      </c>
      <c r="AP3262" s="377">
        <f>IPMT('Assumptions (Oil G&amp;T)'!$B$73,Model!AC$1,'Assumptions (Oil G&amp;T)'!$B$76,Model!$AJ$3174)</f>
        <v>-0.7162492545483965</v>
      </c>
      <c r="AQ3262" s="377">
        <f>IPMT('Assumptions (Oil G&amp;T)'!$B$73,Model!AD$1,'Assumptions (Oil G&amp;T)'!$B$76,Model!$AJ$3174)</f>
        <v>-0.65768358752128153</v>
      </c>
      <c r="AR3262" s="377">
        <f>IPMT('Assumptions (Oil G&amp;T)'!$B$73,Model!AE$1,'Assumptions (Oil G&amp;T)'!$B$76,Model!$AJ$3174)</f>
        <v>-0.59472549546713305</v>
      </c>
      <c r="AS3262" s="377">
        <f>IPMT('Assumptions (Oil G&amp;T)'!$B$73,Model!AF$1,'Assumptions (Oil G&amp;T)'!$B$76,Model!$AJ$3174)</f>
        <v>-0.52704554650892332</v>
      </c>
      <c r="AT3262" s="377">
        <f>IPMT('Assumptions (Oil G&amp;T)'!$B$73,Model!AG$1,'Assumptions (Oil G&amp;T)'!$B$76,Model!$AJ$3174)</f>
        <v>-0.454289601378848</v>
      </c>
      <c r="AU3262" s="377">
        <f>IPMT('Assumptions (Oil G&amp;T)'!$B$73,Model!AH$1,'Assumptions (Oil G&amp;T)'!$B$76,Model!$AJ$3174)</f>
        <v>-0.376076960364017</v>
      </c>
      <c r="AV3262" s="377">
        <f>IPMT('Assumptions (Oil G&amp;T)'!$B$73,Model!AI$1,'Assumptions (Oil G&amp;T)'!$B$76,Model!$AJ$3174)</f>
        <v>-0.2919983712730736</v>
      </c>
      <c r="AW3262" s="377">
        <f>IPMT('Assumptions (Oil G&amp;T)'!$B$73,Model!AJ$1,'Assumptions (Oil G&amp;T)'!$B$76,Model!$AJ$3174)</f>
        <v>-0.20161388800030947</v>
      </c>
      <c r="AX3262" s="377">
        <f>IPMT('Assumptions (Oil G&amp;T)'!$B$73,Model!AK$1,'Assumptions (Oil G&amp;T)'!$B$76,Model!$AJ$3174)</f>
        <v>-0.10445056848208804</v>
      </c>
      <c r="AY3262" s="377" t="e">
        <f>IPMT('Assumptions (Oil G&amp;T)'!$B$73,Model!AL$1,'Assumptions (Oil G&amp;T)'!$B$76,Model!$AJ$3174)</f>
        <v>#NUM!</v>
      </c>
      <c r="AZ3262" s="377" t="e">
        <f>IPMT('Assumptions (Oil G&amp;T)'!$B$73,Model!AM$1,'Assumptions (Oil G&amp;T)'!$B$76,Model!$AJ$3174)</f>
        <v>#NUM!</v>
      </c>
      <c r="BA3262" s="377" t="e">
        <f>IPMT('Assumptions (Oil G&amp;T)'!$B$73,Model!AN$1,'Assumptions (Oil G&amp;T)'!$B$76,Model!$AJ$3174)</f>
        <v>#NUM!</v>
      </c>
      <c r="BB3262" s="377" t="e">
        <f>IPMT('Assumptions (Oil G&amp;T)'!$B$73,Model!AO$1,'Assumptions (Oil G&amp;T)'!$B$76,Model!$AJ$3174)</f>
        <v>#NUM!</v>
      </c>
      <c r="BC3262" s="377" t="e">
        <f>IPMT('Assumptions (Oil G&amp;T)'!$B$73,Model!AP$1,'Assumptions (Oil G&amp;T)'!$B$76,Model!$AJ$3174)</f>
        <v>#NUM!</v>
      </c>
      <c r="BD3262" s="377" t="e">
        <f>IPMT('Assumptions (Oil G&amp;T)'!$B$73,Model!AQ$1,'Assumptions (Oil G&amp;T)'!$B$76,Model!$AJ$3174)</f>
        <v>#NUM!</v>
      </c>
      <c r="BE3262" s="377" t="e">
        <f>IPMT('Assumptions (Oil G&amp;T)'!$B$73,Model!AR$1,'Assumptions (Oil G&amp;T)'!$B$76,Model!$AJ$3174)</f>
        <v>#NUM!</v>
      </c>
      <c r="BF3262" s="377" t="e">
        <f>IPMT('Assumptions (Oil G&amp;T)'!$B$73,Model!AS$1,'Assumptions (Oil G&amp;T)'!$B$76,Model!$AJ$3174)</f>
        <v>#NUM!</v>
      </c>
      <c r="BG3262" s="377" t="e">
        <f>IPMT('Assumptions (Oil G&amp;T)'!$B$73,Model!AT$1,'Assumptions (Oil G&amp;T)'!$B$76,Model!$AJ$3174)</f>
        <v>#NUM!</v>
      </c>
      <c r="BH3262" s="377" t="e">
        <f>IPMT('Assumptions (Oil G&amp;T)'!$B$73,Model!AU$1,'Assumptions (Oil G&amp;T)'!$B$76,Model!$AJ$3174)</f>
        <v>#NUM!</v>
      </c>
    </row>
    <row r="3263" spans="1:62" ht="15.75" hidden="1" customHeight="1" outlineLevel="1">
      <c r="A3263" s="468"/>
      <c r="B3263" s="99"/>
      <c r="C3263" s="377"/>
      <c r="D3263" s="377"/>
      <c r="E3263" s="377"/>
      <c r="F3263" s="377"/>
      <c r="G3263" s="377"/>
      <c r="H3263" s="377"/>
      <c r="I3263" s="377"/>
      <c r="J3263" s="377"/>
      <c r="K3263" s="377"/>
      <c r="L3263" s="377"/>
      <c r="M3263" s="377"/>
      <c r="N3263" s="377"/>
      <c r="O3263" s="377"/>
      <c r="P3263" s="377"/>
      <c r="Q3263" s="377"/>
      <c r="R3263" s="377"/>
      <c r="S3263" s="42"/>
      <c r="T3263" s="42"/>
      <c r="U3263" s="42"/>
      <c r="V3263" s="42"/>
      <c r="W3263" s="86"/>
      <c r="AK3263" s="377">
        <f>IPMT('Assumptions (Oil G&amp;T)'!$B$73,Model!W$1,'Assumptions (Oil G&amp;T)'!$B$76,Model!$AK$3174)</f>
        <v>-0.99029069715186402</v>
      </c>
      <c r="AL3263" s="377">
        <f>IPMT('Assumptions (Oil G&amp;T)'!$B$73,Model!X$1,'Assumptions (Oil G&amp;T)'!$B$76,Model!$AK$3174)</f>
        <v>-0.95237520326968372</v>
      </c>
      <c r="AM3263" s="377">
        <f>IPMT('Assumptions (Oil G&amp;T)'!$B$73,Model!Y$1,'Assumptions (Oil G&amp;T)'!$B$76,Model!$AK$3174)</f>
        <v>-0.91161604734634005</v>
      </c>
      <c r="AN3263" s="377">
        <f>IPMT('Assumptions (Oil G&amp;T)'!$B$73,Model!Z$1,'Assumptions (Oil G&amp;T)'!$B$76,Model!$AK$3174)</f>
        <v>-0.8677999547287456</v>
      </c>
      <c r="AO3263" s="377">
        <f>IPMT('Assumptions (Oil G&amp;T)'!$B$73,Model!AA$1,'Assumptions (Oil G&amp;T)'!$B$76,Model!$AK$3174)</f>
        <v>-0.82069765516483117</v>
      </c>
      <c r="AP3263" s="377">
        <f>IPMT('Assumptions (Oil G&amp;T)'!$B$73,Model!AB$1,'Assumptions (Oil G&amp;T)'!$B$76,Model!$AK$3174)</f>
        <v>-0.77006268313362347</v>
      </c>
      <c r="AQ3263" s="377">
        <f>IPMT('Assumptions (Oil G&amp;T)'!$B$73,Model!AC$1,'Assumptions (Oil G&amp;T)'!$B$76,Model!$AK$3174)</f>
        <v>-0.71563008820007523</v>
      </c>
      <c r="AR3263" s="377">
        <f>IPMT('Assumptions (Oil G&amp;T)'!$B$73,Model!AD$1,'Assumptions (Oil G&amp;T)'!$B$76,Model!$AK$3174)</f>
        <v>-0.65711504864651071</v>
      </c>
      <c r="AS3263" s="377">
        <f>IPMT('Assumptions (Oil G&amp;T)'!$B$73,Model!AE$1,'Assumptions (Oil G&amp;T)'!$B$76,Model!$AK$3174)</f>
        <v>-0.59421138112642891</v>
      </c>
      <c r="AT3263" s="377">
        <f>IPMT('Assumptions (Oil G&amp;T)'!$B$73,Model!AF$1,'Assumptions (Oil G&amp;T)'!$B$76,Model!$AK$3174)</f>
        <v>-0.52658993854234093</v>
      </c>
      <c r="AU3263" s="377">
        <f>IPMT('Assumptions (Oil G&amp;T)'!$B$73,Model!AG$1,'Assumptions (Oil G&amp;T)'!$B$76,Model!$AK$3174)</f>
        <v>-0.45389688776444648</v>
      </c>
      <c r="AV3263" s="377">
        <f>IPMT('Assumptions (Oil G&amp;T)'!$B$73,Model!AH$1,'Assumptions (Oil G&amp;T)'!$B$76,Model!$AK$3174)</f>
        <v>-0.37575185817820994</v>
      </c>
      <c r="AW3263" s="377">
        <f>IPMT('Assumptions (Oil G&amp;T)'!$B$73,Model!AI$1,'Assumptions (Oil G&amp;T)'!$B$76,Model!$AK$3174)</f>
        <v>-0.29174595137300552</v>
      </c>
      <c r="AX3263" s="377">
        <f>IPMT('Assumptions (Oil G&amp;T)'!$B$73,Model!AJ$1,'Assumptions (Oil G&amp;T)'!$B$76,Model!$AK$3174)</f>
        <v>-0.20143960155741086</v>
      </c>
      <c r="AY3263" s="377">
        <f>IPMT('Assumptions (Oil G&amp;T)'!$B$73,Model!AK$1,'Assumptions (Oil G&amp;T)'!$B$76,Model!$AK$3174)</f>
        <v>-0.1043602755056466</v>
      </c>
      <c r="AZ3263" s="377" t="e">
        <f>IPMT('Assumptions (Oil G&amp;T)'!$B$73,Model!AL$1,'Assumptions (Oil G&amp;T)'!$B$76,Model!$AK$3174)</f>
        <v>#NUM!</v>
      </c>
      <c r="BA3263" s="377" t="e">
        <f>IPMT('Assumptions (Oil G&amp;T)'!$B$73,Model!AM$1,'Assumptions (Oil G&amp;T)'!$B$76,Model!$AK$3174)</f>
        <v>#NUM!</v>
      </c>
      <c r="BB3263" s="377" t="e">
        <f>IPMT('Assumptions (Oil G&amp;T)'!$B$73,Model!AN$1,'Assumptions (Oil G&amp;T)'!$B$76,Model!$AK$3174)</f>
        <v>#NUM!</v>
      </c>
      <c r="BC3263" s="377" t="e">
        <f>IPMT('Assumptions (Oil G&amp;T)'!$B$73,Model!AO$1,'Assumptions (Oil G&amp;T)'!$B$76,Model!$AK$3174)</f>
        <v>#NUM!</v>
      </c>
      <c r="BD3263" s="377" t="e">
        <f>IPMT('Assumptions (Oil G&amp;T)'!$B$73,Model!AP$1,'Assumptions (Oil G&amp;T)'!$B$76,Model!$AK$3174)</f>
        <v>#NUM!</v>
      </c>
      <c r="BE3263" s="377" t="e">
        <f>IPMT('Assumptions (Oil G&amp;T)'!$B$73,Model!AQ$1,'Assumptions (Oil G&amp;T)'!$B$76,Model!$AK$3174)</f>
        <v>#NUM!</v>
      </c>
      <c r="BF3263" s="377" t="e">
        <f>IPMT('Assumptions (Oil G&amp;T)'!$B$73,Model!AR$1,'Assumptions (Oil G&amp;T)'!$B$76,Model!$AK$3174)</f>
        <v>#NUM!</v>
      </c>
      <c r="BG3263" s="377" t="e">
        <f>IPMT('Assumptions (Oil G&amp;T)'!$B$73,Model!AS$1,'Assumptions (Oil G&amp;T)'!$B$76,Model!$AK$3174)</f>
        <v>#NUM!</v>
      </c>
      <c r="BH3263" s="377" t="e">
        <f>IPMT('Assumptions (Oil G&amp;T)'!$B$73,Model!AT$1,'Assumptions (Oil G&amp;T)'!$B$76,Model!$AK$3174)</f>
        <v>#NUM!</v>
      </c>
      <c r="BI3263" s="377" t="e">
        <f>IPMT('Assumptions (Oil G&amp;T)'!$B$73,Model!AU$1,'Assumptions (Oil G&amp;T)'!$B$76,Model!$AK$3174)</f>
        <v>#NUM!</v>
      </c>
    </row>
    <row r="3264" spans="1:62" ht="15.75" hidden="1" customHeight="1" outlineLevel="1">
      <c r="A3264" s="468"/>
      <c r="B3264" s="99"/>
      <c r="C3264" s="377"/>
      <c r="D3264" s="377"/>
      <c r="E3264" s="377"/>
      <c r="F3264" s="377"/>
      <c r="G3264" s="377"/>
      <c r="H3264" s="377"/>
      <c r="I3264" s="377"/>
      <c r="J3264" s="377"/>
      <c r="K3264" s="377"/>
      <c r="L3264" s="377"/>
      <c r="M3264" s="377"/>
      <c r="N3264" s="377"/>
      <c r="O3264" s="377"/>
      <c r="P3264" s="377"/>
      <c r="Q3264" s="377"/>
      <c r="R3264" s="377"/>
      <c r="S3264" s="42"/>
      <c r="T3264" s="42"/>
      <c r="U3264" s="42"/>
      <c r="V3264" s="42"/>
      <c r="W3264" s="86"/>
      <c r="AL3264" s="377">
        <f>IPMT('Assumptions (Oil G&amp;T)'!$B$73,Model!W$1,'Assumptions (Oil G&amp;T)'!$B$76,Model!$AL$3174)</f>
        <v>-0.9874971629037439</v>
      </c>
      <c r="AM3264" s="377">
        <f>IPMT('Assumptions (Oil G&amp;T)'!$B$73,Model!X$1,'Assumptions (Oil G&amp;T)'!$B$76,Model!$AL$3174)</f>
        <v>-0.94968862572730539</v>
      </c>
      <c r="AN3264" s="377">
        <f>IPMT('Assumptions (Oil G&amp;T)'!$B$73,Model!Y$1,'Assumptions (Oil G&amp;T)'!$B$76,Model!$AL$3174)</f>
        <v>-0.90904444826263431</v>
      </c>
      <c r="AO3264" s="377">
        <f>IPMT('Assumptions (Oil G&amp;T)'!$B$73,Model!Z$1,'Assumptions (Oil G&amp;T)'!$B$76,Model!$AL$3174)</f>
        <v>-0.86535195748811278</v>
      </c>
      <c r="AP3264" s="377">
        <f>IPMT('Assumptions (Oil G&amp;T)'!$B$73,Model!AA$1,'Assumptions (Oil G&amp;T)'!$B$76,Model!$AL$3174)</f>
        <v>-0.81838252990550209</v>
      </c>
      <c r="AQ3264" s="377">
        <f>IPMT('Assumptions (Oil G&amp;T)'!$B$73,Model!AB$1,'Assumptions (Oil G&amp;T)'!$B$76,Model!$AL$3174)</f>
        <v>-0.76789039525419556</v>
      </c>
      <c r="AR3264" s="377">
        <f>IPMT('Assumptions (Oil G&amp;T)'!$B$73,Model!AC$1,'Assumptions (Oil G&amp;T)'!$B$76,Model!$AL$3174)</f>
        <v>-0.71361135050404123</v>
      </c>
      <c r="AS3264" s="377">
        <f>IPMT('Assumptions (Oil G&amp;T)'!$B$73,Model!AD$1,'Assumptions (Oil G&amp;T)'!$B$76,Model!$AL$3174)</f>
        <v>-0.65526137739762513</v>
      </c>
      <c r="AT3264" s="377">
        <f>IPMT('Assumptions (Oil G&amp;T)'!$B$73,Model!AE$1,'Assumptions (Oil G&amp;T)'!$B$76,Model!$AL$3174)</f>
        <v>-0.59253515630822784</v>
      </c>
      <c r="AU3264" s="377">
        <f>IPMT('Assumptions (Oil G&amp;T)'!$B$73,Model!AF$1,'Assumptions (Oil G&amp;T)'!$B$76,Model!$AL$3174)</f>
        <v>-0.52510446863712579</v>
      </c>
      <c r="AV3264" s="377">
        <f>IPMT('Assumptions (Oil G&amp;T)'!$B$73,Model!AG$1,'Assumptions (Oil G&amp;T)'!$B$76,Model!$AL$3174)</f>
        <v>-0.45261647939069122</v>
      </c>
      <c r="AW3264" s="377">
        <f>IPMT('Assumptions (Oil G&amp;T)'!$B$73,Model!AH$1,'Assumptions (Oil G&amp;T)'!$B$76,Model!$AL$3174)</f>
        <v>-0.37469189095077399</v>
      </c>
      <c r="AX3264" s="377">
        <f>IPMT('Assumptions (Oil G&amp;T)'!$B$73,Model!AI$1,'Assumptions (Oil G&amp;T)'!$B$76,Model!$AL$3174)</f>
        <v>-0.29092295837786286</v>
      </c>
      <c r="AY3264" s="377">
        <f>IPMT('Assumptions (Oil G&amp;T)'!$B$73,Model!AJ$1,'Assumptions (Oil G&amp;T)'!$B$76,Model!$AL$3174)</f>
        <v>-0.20087135586198349</v>
      </c>
      <c r="AZ3264" s="377">
        <f>IPMT('Assumptions (Oil G&amp;T)'!$B$73,Model!AK$1,'Assumptions (Oil G&amp;T)'!$B$76,Model!$AL$3174)</f>
        <v>-0.10406588315741312</v>
      </c>
      <c r="BA3264" s="377" t="e">
        <f>IPMT('Assumptions (Oil G&amp;T)'!$B$73,Model!AL$1,'Assumptions (Oil G&amp;T)'!$B$76,Model!$AL$3174)</f>
        <v>#NUM!</v>
      </c>
      <c r="BB3264" s="377" t="e">
        <f>IPMT('Assumptions (Oil G&amp;T)'!$B$73,Model!AM$1,'Assumptions (Oil G&amp;T)'!$B$76,Model!$AL$3174)</f>
        <v>#NUM!</v>
      </c>
      <c r="BC3264" s="377" t="e">
        <f>IPMT('Assumptions (Oil G&amp;T)'!$B$73,Model!AN$1,'Assumptions (Oil G&amp;T)'!$B$76,Model!$AL$3174)</f>
        <v>#NUM!</v>
      </c>
      <c r="BD3264" s="377" t="e">
        <f>IPMT('Assumptions (Oil G&amp;T)'!$B$73,Model!AO$1,'Assumptions (Oil G&amp;T)'!$B$76,Model!$AL$3174)</f>
        <v>#NUM!</v>
      </c>
      <c r="BE3264" s="377" t="e">
        <f>IPMT('Assumptions (Oil G&amp;T)'!$B$73,Model!AP$1,'Assumptions (Oil G&amp;T)'!$B$76,Model!$AL$3174)</f>
        <v>#NUM!</v>
      </c>
      <c r="BF3264" s="377" t="e">
        <f>IPMT('Assumptions (Oil G&amp;T)'!$B$73,Model!AQ$1,'Assumptions (Oil G&amp;T)'!$B$76,Model!$AL$3174)</f>
        <v>#NUM!</v>
      </c>
      <c r="BG3264" s="377" t="e">
        <f>IPMT('Assumptions (Oil G&amp;T)'!$B$73,Model!AR$1,'Assumptions (Oil G&amp;T)'!$B$76,Model!$AL$3174)</f>
        <v>#NUM!</v>
      </c>
      <c r="BH3264" s="377" t="e">
        <f>IPMT('Assumptions (Oil G&amp;T)'!$B$73,Model!AS$1,'Assumptions (Oil G&amp;T)'!$B$76,Model!$AL$3174)</f>
        <v>#NUM!</v>
      </c>
      <c r="BI3264" s="377" t="e">
        <f>IPMT('Assumptions (Oil G&amp;T)'!$B$73,Model!AT$1,'Assumptions (Oil G&amp;T)'!$B$76,Model!$AL$3174)</f>
        <v>#NUM!</v>
      </c>
      <c r="BJ3264" s="377" t="e">
        <f>IPMT('Assumptions (Oil G&amp;T)'!$B$73,Model!AU$1,'Assumptions (Oil G&amp;T)'!$B$76,Model!$AL$3174)</f>
        <v>#NUM!</v>
      </c>
    </row>
    <row r="3265" spans="1:82" ht="15.75" hidden="1" customHeight="1" outlineLevel="1">
      <c r="A3265" s="468"/>
      <c r="B3265" s="99"/>
      <c r="C3265" s="377"/>
      <c r="D3265" s="377"/>
      <c r="E3265" s="377"/>
      <c r="F3265" s="377"/>
      <c r="G3265" s="377"/>
      <c r="H3265" s="377"/>
      <c r="I3265" s="377"/>
      <c r="J3265" s="377"/>
      <c r="K3265" s="377"/>
      <c r="L3265" s="377"/>
      <c r="M3265" s="377"/>
      <c r="N3265" s="377"/>
      <c r="O3265" s="377"/>
      <c r="P3265" s="377"/>
      <c r="Q3265" s="377"/>
      <c r="R3265" s="377"/>
      <c r="S3265" s="42"/>
      <c r="T3265" s="42"/>
      <c r="U3265" s="42"/>
      <c r="V3265" s="42"/>
      <c r="W3265" s="86"/>
      <c r="AM3265" s="377">
        <f>IPMT('Assumptions (Oil G&amp;T)'!$B$73,Model!W$1,'Assumptions (Oil G&amp;T)'!$B$76,Model!$AM$3174)</f>
        <v>-0.98380751569973091</v>
      </c>
      <c r="AN3265" s="377">
        <f>IPMT('Assumptions (Oil G&amp;T)'!$B$73,Model!X$1,'Assumptions (Oil G&amp;T)'!$B$76,Model!$AM$3174)</f>
        <v>-0.94614024491748716</v>
      </c>
      <c r="AO3265" s="377">
        <f>IPMT('Assumptions (Oil G&amp;T)'!$B$73,Model!Y$1,'Assumptions (Oil G&amp;T)'!$B$76,Model!$AM$3174)</f>
        <v>-0.90564792882657519</v>
      </c>
      <c r="AP3265" s="377">
        <f>IPMT('Assumptions (Oil G&amp;T)'!$B$73,Model!Z$1,'Assumptions (Oil G&amp;T)'!$B$76,Model!$AM$3174)</f>
        <v>-0.86211868902884492</v>
      </c>
      <c r="AQ3265" s="377">
        <f>IPMT('Assumptions (Oil G&amp;T)'!$B$73,Model!AA$1,'Assumptions (Oil G&amp;T)'!$B$76,Model!$AM$3174)</f>
        <v>-0.81532475624628475</v>
      </c>
      <c r="AR3265" s="377">
        <f>IPMT('Assumptions (Oil G&amp;T)'!$B$73,Model!AB$1,'Assumptions (Oil G&amp;T)'!$B$76,Model!$AM$3174)</f>
        <v>-0.76502127850503254</v>
      </c>
      <c r="AS3265" s="377">
        <f>IPMT('Assumptions (Oil G&amp;T)'!$B$73,Model!AC$1,'Assumptions (Oil G&amp;T)'!$B$76,Model!$AM$3174)</f>
        <v>-0.7109450399331867</v>
      </c>
      <c r="AT3265" s="377">
        <f>IPMT('Assumptions (Oil G&amp;T)'!$B$73,Model!AD$1,'Assumptions (Oil G&amp;T)'!$B$76,Model!$AM$3174)</f>
        <v>-0.65281308346845213</v>
      </c>
      <c r="AU3265" s="377">
        <f>IPMT('Assumptions (Oil G&amp;T)'!$B$73,Model!AE$1,'Assumptions (Oil G&amp;T)'!$B$76,Model!$AM$3174)</f>
        <v>-0.59032123026886252</v>
      </c>
      <c r="AV3265" s="377">
        <f>IPMT('Assumptions (Oil G&amp;T)'!$B$73,Model!AF$1,'Assumptions (Oil G&amp;T)'!$B$76,Model!$AM$3174)</f>
        <v>-0.52314248807930375</v>
      </c>
      <c r="AW3265" s="377">
        <f>IPMT('Assumptions (Oil G&amp;T)'!$B$73,Model!AG$1,'Assumptions (Oil G&amp;T)'!$B$76,Model!$AM$3174)</f>
        <v>-0.45092534022552799</v>
      </c>
      <c r="AX3265" s="377">
        <f>IPMT('Assumptions (Oil G&amp;T)'!$B$73,Model!AH$1,'Assumptions (Oil G&amp;T)'!$B$76,Model!$AM$3174)</f>
        <v>-0.37329190628271919</v>
      </c>
      <c r="AY3265" s="377">
        <f>IPMT('Assumptions (Oil G&amp;T)'!$B$73,Model!AI$1,'Assumptions (Oil G&amp;T)'!$B$76,Model!$AM$3174)</f>
        <v>-0.28983596479419954</v>
      </c>
      <c r="AZ3265" s="377">
        <f>IPMT('Assumptions (Oil G&amp;T)'!$B$73,Model!AJ$1,'Assumptions (Oil G&amp;T)'!$B$76,Model!$AM$3174)</f>
        <v>-0.20012082769404108</v>
      </c>
      <c r="BA3265" s="377">
        <f>IPMT('Assumptions (Oil G&amp;T)'!$B$73,Model!AK$1,'Assumptions (Oil G&amp;T)'!$B$76,Model!$AM$3174)</f>
        <v>-0.10367705531137068</v>
      </c>
      <c r="BB3265" s="377" t="e">
        <f>IPMT('Assumptions (Oil G&amp;T)'!$B$73,Model!AL$1,'Assumptions (Oil G&amp;T)'!$B$76,Model!$AM$3174)</f>
        <v>#NUM!</v>
      </c>
      <c r="BC3265" s="377" t="e">
        <f>IPMT('Assumptions (Oil G&amp;T)'!$B$73,Model!AM$1,'Assumptions (Oil G&amp;T)'!$B$76,Model!$AM$3174)</f>
        <v>#NUM!</v>
      </c>
      <c r="BD3265" s="377" t="e">
        <f>IPMT('Assumptions (Oil G&amp;T)'!$B$73,Model!AN$1,'Assumptions (Oil G&amp;T)'!$B$76,Model!$AM$3174)</f>
        <v>#NUM!</v>
      </c>
      <c r="BE3265" s="377" t="e">
        <f>IPMT('Assumptions (Oil G&amp;T)'!$B$73,Model!AO$1,'Assumptions (Oil G&amp;T)'!$B$76,Model!$AM$3174)</f>
        <v>#NUM!</v>
      </c>
      <c r="BF3265" s="377" t="e">
        <f>IPMT('Assumptions (Oil G&amp;T)'!$B$73,Model!AP$1,'Assumptions (Oil G&amp;T)'!$B$76,Model!$AM$3174)</f>
        <v>#NUM!</v>
      </c>
      <c r="BG3265" s="377" t="e">
        <f>IPMT('Assumptions (Oil G&amp;T)'!$B$73,Model!AQ$1,'Assumptions (Oil G&amp;T)'!$B$76,Model!$AM$3174)</f>
        <v>#NUM!</v>
      </c>
      <c r="BH3265" s="377" t="e">
        <f>IPMT('Assumptions (Oil G&amp;T)'!$B$73,Model!AR$1,'Assumptions (Oil G&amp;T)'!$B$76,Model!$AM$3174)</f>
        <v>#NUM!</v>
      </c>
      <c r="BI3265" s="377" t="e">
        <f>IPMT('Assumptions (Oil G&amp;T)'!$B$73,Model!AS$1,'Assumptions (Oil G&amp;T)'!$B$76,Model!$AM$3174)</f>
        <v>#NUM!</v>
      </c>
      <c r="BJ3265" s="377" t="e">
        <f>IPMT('Assumptions (Oil G&amp;T)'!$B$73,Model!AT$1,'Assumptions (Oil G&amp;T)'!$B$76,Model!$AM$3174)</f>
        <v>#NUM!</v>
      </c>
      <c r="BK3265" s="377" t="e">
        <f>IPMT('Assumptions (Oil G&amp;T)'!$B$73,Model!AU$1,'Assumptions (Oil G&amp;T)'!$B$76,Model!$AM$3174)</f>
        <v>#NUM!</v>
      </c>
    </row>
    <row r="3266" spans="1:82" ht="15.75" hidden="1" customHeight="1" outlineLevel="1">
      <c r="A3266" s="468"/>
      <c r="B3266" s="99"/>
      <c r="C3266" s="377"/>
      <c r="D3266" s="377"/>
      <c r="E3266" s="377"/>
      <c r="F3266" s="377"/>
      <c r="G3266" s="377"/>
      <c r="H3266" s="377"/>
      <c r="I3266" s="377"/>
      <c r="J3266" s="377"/>
      <c r="K3266" s="377"/>
      <c r="L3266" s="377"/>
      <c r="M3266" s="377"/>
      <c r="N3266" s="377"/>
      <c r="O3266" s="377"/>
      <c r="P3266" s="377"/>
      <c r="Q3266" s="377"/>
      <c r="R3266" s="377"/>
      <c r="S3266" s="42"/>
      <c r="T3266" s="42"/>
      <c r="U3266" s="42"/>
      <c r="V3266" s="42"/>
      <c r="W3266" s="86"/>
      <c r="AN3266" s="377">
        <f>IPMT('Assumptions (Oil G&amp;T)'!$B$73,Model!W$1,'Assumptions (Oil G&amp;T)'!$B$76,Model!$AN$3174)</f>
        <v>-0.97952082808844754</v>
      </c>
      <c r="AO3266" s="377">
        <f>IPMT('Assumptions (Oil G&amp;T)'!$B$73,Model!X$1,'Assumptions (Oil G&amp;T)'!$B$76,Model!$AN$3174)</f>
        <v>-0.94201768272752484</v>
      </c>
      <c r="AP3266" s="377">
        <f>IPMT('Assumptions (Oil G&amp;T)'!$B$73,Model!Y$1,'Assumptions (Oil G&amp;T)'!$B$76,Model!$AN$3174)</f>
        <v>-0.90170180146453316</v>
      </c>
      <c r="AQ3266" s="377">
        <f>IPMT('Assumptions (Oil G&amp;T)'!$B$73,Model!Z$1,'Assumptions (Oil G&amp;T)'!$B$76,Model!$AN$3174)</f>
        <v>-0.85836222910681714</v>
      </c>
      <c r="AR3266" s="377">
        <f>IPMT('Assumptions (Oil G&amp;T)'!$B$73,Model!AA$1,'Assumptions (Oil G&amp;T)'!$B$76,Model!$AN$3174)</f>
        <v>-0.81177218882227231</v>
      </c>
      <c r="AS3266" s="377">
        <f>IPMT('Assumptions (Oil G&amp;T)'!$B$73,Model!AB$1,'Assumptions (Oil G&amp;T)'!$B$76,Model!$AN$3174)</f>
        <v>-0.7616878955163866</v>
      </c>
      <c r="AT3266" s="377">
        <f>IPMT('Assumptions (Oil G&amp;T)'!$B$73,Model!AC$1,'Assumptions (Oil G&amp;T)'!$B$76,Model!$AN$3174)</f>
        <v>-0.70784728021255938</v>
      </c>
      <c r="AU3266" s="377">
        <f>IPMT('Assumptions (Oil G&amp;T)'!$B$73,Model!AD$1,'Assumptions (Oil G&amp;T)'!$B$76,Model!$AN$3174)</f>
        <v>-0.64996861876094525</v>
      </c>
      <c r="AV3266" s="377">
        <f>IPMT('Assumptions (Oil G&amp;T)'!$B$73,Model!AE$1,'Assumptions (Oil G&amp;T)'!$B$76,Model!$AN$3174)</f>
        <v>-0.58774905770046004</v>
      </c>
      <c r="AW3266" s="377">
        <f>IPMT('Assumptions (Oil G&amp;T)'!$B$73,Model!AF$1,'Assumptions (Oil G&amp;T)'!$B$76,Model!$AN$3174)</f>
        <v>-0.5208630295604384</v>
      </c>
      <c r="AX3266" s="377">
        <f>IPMT('Assumptions (Oil G&amp;T)'!$B$73,Model!AG$1,'Assumptions (Oil G&amp;T)'!$B$76,Model!$AN$3174)</f>
        <v>-0.44896054930991519</v>
      </c>
      <c r="AY3266" s="377">
        <f>IPMT('Assumptions (Oil G&amp;T)'!$B$73,Model!AH$1,'Assumptions (Oil G&amp;T)'!$B$76,Model!$AN$3174)</f>
        <v>-0.37166538304060276</v>
      </c>
      <c r="AZ3266" s="377">
        <f>IPMT('Assumptions (Oil G&amp;T)'!$B$73,Model!AI$1,'Assumptions (Oil G&amp;T)'!$B$76,Model!$AN$3174)</f>
        <v>-0.28857307930109172</v>
      </c>
      <c r="BA3266" s="377">
        <f>IPMT('Assumptions (Oil G&amp;T)'!$B$73,Model!AJ$1,'Assumptions (Oil G&amp;T)'!$B$76,Model!$AN$3174)</f>
        <v>-0.19924885278111754</v>
      </c>
      <c r="BB3266" s="377">
        <f>IPMT('Assumptions (Oil G&amp;T)'!$B$73,Model!AK$1,'Assumptions (Oil G&amp;T)'!$B$76,Model!$AN$3174)</f>
        <v>-0.10322530927214522</v>
      </c>
      <c r="BC3266" s="377" t="e">
        <f>IPMT('Assumptions (Oil G&amp;T)'!$B$73,Model!AL$1,'Assumptions (Oil G&amp;T)'!$B$76,Model!$AN$3174)</f>
        <v>#NUM!</v>
      </c>
      <c r="BD3266" s="377" t="e">
        <f>IPMT('Assumptions (Oil G&amp;T)'!$B$73,Model!AM$1,'Assumptions (Oil G&amp;T)'!$B$76,Model!$AN$3174)</f>
        <v>#NUM!</v>
      </c>
      <c r="BE3266" s="377" t="e">
        <f>IPMT('Assumptions (Oil G&amp;T)'!$B$73,Model!AN$1,'Assumptions (Oil G&amp;T)'!$B$76,Model!$AN$3174)</f>
        <v>#NUM!</v>
      </c>
      <c r="BF3266" s="377" t="e">
        <f>IPMT('Assumptions (Oil G&amp;T)'!$B$73,Model!AO$1,'Assumptions (Oil G&amp;T)'!$B$76,Model!$AN$3174)</f>
        <v>#NUM!</v>
      </c>
      <c r="BG3266" s="377" t="e">
        <f>IPMT('Assumptions (Oil G&amp;T)'!$B$73,Model!AP$1,'Assumptions (Oil G&amp;T)'!$B$76,Model!$AN$3174)</f>
        <v>#NUM!</v>
      </c>
      <c r="BH3266" s="377" t="e">
        <f>IPMT('Assumptions (Oil G&amp;T)'!$B$73,Model!AQ$1,'Assumptions (Oil G&amp;T)'!$B$76,Model!$AN$3174)</f>
        <v>#NUM!</v>
      </c>
      <c r="BI3266" s="377" t="e">
        <f>IPMT('Assumptions (Oil G&amp;T)'!$B$73,Model!AR$1,'Assumptions (Oil G&amp;T)'!$B$76,Model!$AN$3174)</f>
        <v>#NUM!</v>
      </c>
      <c r="BJ3266" s="377" t="e">
        <f>IPMT('Assumptions (Oil G&amp;T)'!$B$73,Model!AS$1,'Assumptions (Oil G&amp;T)'!$B$76,Model!$AN$3174)</f>
        <v>#NUM!</v>
      </c>
      <c r="BK3266" s="377" t="e">
        <f>IPMT('Assumptions (Oil G&amp;T)'!$B$73,Model!AT$1,'Assumptions (Oil G&amp;T)'!$B$76,Model!$AN$3174)</f>
        <v>#NUM!</v>
      </c>
      <c r="BL3266" s="377" t="e">
        <f>IPMT('Assumptions (Oil G&amp;T)'!$B$73,Model!AU$1,'Assumptions (Oil G&amp;T)'!$B$76,Model!$AN$3174)</f>
        <v>#NUM!</v>
      </c>
    </row>
    <row r="3267" spans="1:82" ht="15.75" hidden="1" customHeight="1" outlineLevel="1">
      <c r="A3267" s="468"/>
      <c r="B3267" s="99"/>
      <c r="C3267" s="377"/>
      <c r="D3267" s="377"/>
      <c r="E3267" s="377"/>
      <c r="F3267" s="377"/>
      <c r="G3267" s="377"/>
      <c r="H3267" s="377"/>
      <c r="I3267" s="377"/>
      <c r="J3267" s="377"/>
      <c r="K3267" s="377"/>
      <c r="L3267" s="377"/>
      <c r="M3267" s="377"/>
      <c r="N3267" s="377"/>
      <c r="O3267" s="377"/>
      <c r="P3267" s="377"/>
      <c r="Q3267" s="377"/>
      <c r="R3267" s="377"/>
      <c r="S3267" s="42"/>
      <c r="T3267" s="42"/>
      <c r="U3267" s="42"/>
      <c r="V3267" s="42"/>
      <c r="W3267" s="86"/>
      <c r="AO3267" s="377">
        <f>IPMT('Assumptions (Oil G&amp;T)'!$B$73,Model!W$1,'Assumptions (Oil G&amp;T)'!$B$76,Model!$AO$3174)</f>
        <v>-0.97673816274881076</v>
      </c>
      <c r="AP3267" s="377">
        <f>IPMT('Assumptions (Oil G&amp;T)'!$B$73,Model!X$1,'Assumptions (Oil G&amp;T)'!$B$76,Model!$AO$3174)</f>
        <v>-0.93934155795316321</v>
      </c>
      <c r="AQ3267" s="377">
        <f>IPMT('Assumptions (Oil G&amp;T)'!$B$73,Model!Y$1,'Assumptions (Oil G&amp;T)'!$B$76,Model!$AO$3174)</f>
        <v>-0.89914020779784209</v>
      </c>
      <c r="AR3267" s="377">
        <f>IPMT('Assumptions (Oil G&amp;T)'!$B$73,Model!Z$1,'Assumptions (Oil G&amp;T)'!$B$76,Model!$AO$3174)</f>
        <v>-0.85592375638087204</v>
      </c>
      <c r="AS3267" s="377">
        <f>IPMT('Assumptions (Oil G&amp;T)'!$B$73,Model!AA$1,'Assumptions (Oil G&amp;T)'!$B$76,Model!$AO$3174)</f>
        <v>-0.80946607110762903</v>
      </c>
      <c r="AT3267" s="377">
        <f>IPMT('Assumptions (Oil G&amp;T)'!$B$73,Model!AB$1,'Assumptions (Oil G&amp;T)'!$B$76,Model!$AO$3174)</f>
        <v>-0.75952405943889278</v>
      </c>
      <c r="AU3267" s="377">
        <f>IPMT('Assumptions (Oil G&amp;T)'!$B$73,Model!AC$1,'Assumptions (Oil G&amp;T)'!$B$76,Model!$AO$3174)</f>
        <v>-0.70583639689500144</v>
      </c>
      <c r="AV3267" s="377">
        <f>IPMT('Assumptions (Oil G&amp;T)'!$B$73,Model!AD$1,'Assumptions (Oil G&amp;T)'!$B$76,Model!$AO$3174)</f>
        <v>-0.64812215966031816</v>
      </c>
      <c r="AW3267" s="377">
        <f>IPMT('Assumptions (Oil G&amp;T)'!$B$73,Model!AE$1,'Assumptions (Oil G&amp;T)'!$B$76,Model!$AO$3174)</f>
        <v>-0.58607935463303362</v>
      </c>
      <c r="AX3267" s="377">
        <f>IPMT('Assumptions (Oil G&amp;T)'!$B$73,Model!AF$1,'Assumptions (Oil G&amp;T)'!$B$76,Model!$AO$3174)</f>
        <v>-0.51938333922870283</v>
      </c>
      <c r="AY3267" s="377">
        <f>IPMT('Assumptions (Oil G&amp;T)'!$B$73,Model!AG$1,'Assumptions (Oil G&amp;T)'!$B$76,Model!$AO$3174)</f>
        <v>-0.44768512266904725</v>
      </c>
      <c r="AZ3267" s="377">
        <f>IPMT('Assumptions (Oil G&amp;T)'!$B$73,Model!AH$1,'Assumptions (Oil G&amp;T)'!$B$76,Model!$AO$3174)</f>
        <v>-0.37060953986741751</v>
      </c>
      <c r="BA3267" s="377">
        <f>IPMT('Assumptions (Oil G&amp;T)'!$B$73,Model!AI$1,'Assumptions (Oil G&amp;T)'!$B$76,Model!$AO$3174)</f>
        <v>-0.28775328835566538</v>
      </c>
      <c r="BB3267" s="377">
        <f>IPMT('Assumptions (Oil G&amp;T)'!$B$73,Model!AJ$1,'Assumptions (Oil G&amp;T)'!$B$76,Model!$AO$3174)</f>
        <v>-0.19868281798053203</v>
      </c>
      <c r="BC3267" s="377">
        <f>IPMT('Assumptions (Oil G&amp;T)'!$B$73,Model!AK$1,'Assumptions (Oil G&amp;T)'!$B$76,Model!$AO$3174)</f>
        <v>-0.10293206232726357</v>
      </c>
      <c r="BD3267" s="377" t="e">
        <f>IPMT('Assumptions (Oil G&amp;T)'!$B$73,Model!AL$1,'Assumptions (Oil G&amp;T)'!$B$76,Model!$AO$3174)</f>
        <v>#NUM!</v>
      </c>
      <c r="BE3267" s="377" t="e">
        <f>IPMT('Assumptions (Oil G&amp;T)'!$B$73,Model!AM$1,'Assumptions (Oil G&amp;T)'!$B$76,Model!$AO$3174)</f>
        <v>#NUM!</v>
      </c>
      <c r="BF3267" s="377" t="e">
        <f>IPMT('Assumptions (Oil G&amp;T)'!$B$73,Model!AN$1,'Assumptions (Oil G&amp;T)'!$B$76,Model!$AO$3174)</f>
        <v>#NUM!</v>
      </c>
      <c r="BG3267" s="377" t="e">
        <f>IPMT('Assumptions (Oil G&amp;T)'!$B$73,Model!AO$1,'Assumptions (Oil G&amp;T)'!$B$76,Model!$AO$3174)</f>
        <v>#NUM!</v>
      </c>
      <c r="BH3267" s="377" t="e">
        <f>IPMT('Assumptions (Oil G&amp;T)'!$B$73,Model!AP$1,'Assumptions (Oil G&amp;T)'!$B$76,Model!$AO$3174)</f>
        <v>#NUM!</v>
      </c>
      <c r="BI3267" s="377" t="e">
        <f>IPMT('Assumptions (Oil G&amp;T)'!$B$73,Model!AQ$1,'Assumptions (Oil G&amp;T)'!$B$76,Model!$AO$3174)</f>
        <v>#NUM!</v>
      </c>
      <c r="BJ3267" s="377" t="e">
        <f>IPMT('Assumptions (Oil G&amp;T)'!$B$73,Model!AR$1,'Assumptions (Oil G&amp;T)'!$B$76,Model!$AO$3174)</f>
        <v>#NUM!</v>
      </c>
      <c r="BK3267" s="377" t="e">
        <f>IPMT('Assumptions (Oil G&amp;T)'!$B$73,Model!AS$1,'Assumptions (Oil G&amp;T)'!$B$76,Model!$AO$3174)</f>
        <v>#NUM!</v>
      </c>
      <c r="BL3267" s="377" t="e">
        <f>IPMT('Assumptions (Oil G&amp;T)'!$B$73,Model!AT$1,'Assumptions (Oil G&amp;T)'!$B$76,Model!$AO$3174)</f>
        <v>#NUM!</v>
      </c>
      <c r="BM3267" s="377" t="e">
        <f>IPMT('Assumptions (Oil G&amp;T)'!$B$73,Model!AU$1,'Assumptions (Oil G&amp;T)'!$B$76,Model!$AO$3174)</f>
        <v>#NUM!</v>
      </c>
    </row>
    <row r="3268" spans="1:82" ht="15.75" hidden="1" customHeight="1" outlineLevel="1">
      <c r="A3268" s="468"/>
      <c r="B3268" s="99"/>
      <c r="C3268" s="377"/>
      <c r="D3268" s="377"/>
      <c r="E3268" s="377"/>
      <c r="F3268" s="377"/>
      <c r="G3268" s="377"/>
      <c r="H3268" s="377"/>
      <c r="I3268" s="377"/>
      <c r="J3268" s="377"/>
      <c r="K3268" s="377"/>
      <c r="L3268" s="377"/>
      <c r="M3268" s="377"/>
      <c r="N3268" s="377"/>
      <c r="O3268" s="377"/>
      <c r="P3268" s="377"/>
      <c r="Q3268" s="377"/>
      <c r="R3268" s="377"/>
      <c r="S3268" s="42"/>
      <c r="T3268" s="42"/>
      <c r="U3268" s="42"/>
      <c r="V3268" s="42"/>
      <c r="W3268" s="86"/>
      <c r="AP3268" s="377">
        <f>IPMT('Assumptions (Oil G&amp;T)'!$B$73,Model!W$1,'Assumptions (Oil G&amp;T)'!$B$76,Model!$AP$3174)</f>
        <v>-0.97428211920654473</v>
      </c>
      <c r="AQ3268" s="377">
        <f>IPMT('Assumptions (Oil G&amp;T)'!$B$73,Model!X$1,'Assumptions (Oil G&amp;T)'!$B$76,Model!$AP$3174)</f>
        <v>-0.93697954953025053</v>
      </c>
      <c r="AR3268" s="377">
        <f>IPMT('Assumptions (Oil G&amp;T)'!$B$73,Model!Y$1,'Assumptions (Oil G&amp;T)'!$B$76,Model!$AP$3174)</f>
        <v>-0.89687928712823428</v>
      </c>
      <c r="AS3268" s="377">
        <f>IPMT('Assumptions (Oil G&amp;T)'!$B$73,Model!Z$1,'Assumptions (Oil G&amp;T)'!$B$76,Model!$AP$3174)</f>
        <v>-0.8537715050460668</v>
      </c>
      <c r="AT3268" s="377">
        <f>IPMT('Assumptions (Oil G&amp;T)'!$B$73,Model!AA$1,'Assumptions (Oil G&amp;T)'!$B$76,Model!$AP$3174)</f>
        <v>-0.80743063930773662</v>
      </c>
      <c r="AU3268" s="377">
        <f>IPMT('Assumptions (Oil G&amp;T)'!$B$73,Model!AB$1,'Assumptions (Oil G&amp;T)'!$B$76,Model!$AP$3174)</f>
        <v>-0.75761420863903184</v>
      </c>
      <c r="AV3268" s="377">
        <f>IPMT('Assumptions (Oil G&amp;T)'!$B$73,Model!AC$1,'Assumptions (Oil G&amp;T)'!$B$76,Model!$AP$3174)</f>
        <v>-0.7040615456701742</v>
      </c>
      <c r="AW3268" s="377">
        <f>IPMT('Assumptions (Oil G&amp;T)'!$B$73,Model!AD$1,'Assumptions (Oil G&amp;T)'!$B$76,Model!$AP$3174)</f>
        <v>-0.64649243297865211</v>
      </c>
      <c r="AX3268" s="377">
        <f>IPMT('Assumptions (Oil G&amp;T)'!$B$73,Model!AE$1,'Assumptions (Oil G&amp;T)'!$B$76,Model!$AP$3174)</f>
        <v>-0.58460563683526601</v>
      </c>
      <c r="AY3268" s="377">
        <f>IPMT('Assumptions (Oil G&amp;T)'!$B$73,Model!AF$1,'Assumptions (Oil G&amp;T)'!$B$76,Model!$AP$3174)</f>
        <v>-0.51807733098112585</v>
      </c>
      <c r="AZ3268" s="377">
        <f>IPMT('Assumptions (Oil G&amp;T)'!$B$73,Model!AG$1,'Assumptions (Oil G&amp;T)'!$B$76,Model!$AP$3174)</f>
        <v>-0.44655940218792517</v>
      </c>
      <c r="BA3268" s="377">
        <f>IPMT('Assumptions (Oil G&amp;T)'!$B$73,Model!AH$1,'Assumptions (Oil G&amp;T)'!$B$76,Model!$AP$3174)</f>
        <v>-0.36967762873523458</v>
      </c>
      <c r="BB3268" s="377">
        <f>IPMT('Assumptions (Oil G&amp;T)'!$B$73,Model!AI$1,'Assumptions (Oil G&amp;T)'!$B$76,Model!$AP$3174)</f>
        <v>-0.28702972227359197</v>
      </c>
      <c r="BC3268" s="377">
        <f>IPMT('Assumptions (Oil G&amp;T)'!$B$73,Model!AJ$1,'Assumptions (Oil G&amp;T)'!$B$76,Model!$AP$3174)</f>
        <v>-0.19818322282732637</v>
      </c>
      <c r="BD3268" s="377">
        <f>IPMT('Assumptions (Oil G&amp;T)'!$B$73,Model!AK$1,'Assumptions (Oil G&amp;T)'!$B$76,Model!$AP$3174)</f>
        <v>-0.10267323592259077</v>
      </c>
      <c r="BE3268" s="377" t="e">
        <f>IPMT('Assumptions (Oil G&amp;T)'!$B$73,Model!AL$1,'Assumptions (Oil G&amp;T)'!$B$76,Model!$AP$3174)</f>
        <v>#NUM!</v>
      </c>
      <c r="BF3268" s="377" t="e">
        <f>IPMT('Assumptions (Oil G&amp;T)'!$B$73,Model!AM$1,'Assumptions (Oil G&amp;T)'!$B$76,Model!$AP$3174)</f>
        <v>#NUM!</v>
      </c>
      <c r="BG3268" s="377" t="e">
        <f>IPMT('Assumptions (Oil G&amp;T)'!$B$73,Model!AN$1,'Assumptions (Oil G&amp;T)'!$B$76,Model!$AP$3174)</f>
        <v>#NUM!</v>
      </c>
      <c r="BH3268" s="377" t="e">
        <f>IPMT('Assumptions (Oil G&amp;T)'!$B$73,Model!AO$1,'Assumptions (Oil G&amp;T)'!$B$76,Model!$AP$3174)</f>
        <v>#NUM!</v>
      </c>
      <c r="BI3268" s="377" t="e">
        <f>IPMT('Assumptions (Oil G&amp;T)'!$B$73,Model!AP$1,'Assumptions (Oil G&amp;T)'!$B$76,Model!$AP$3174)</f>
        <v>#NUM!</v>
      </c>
      <c r="BJ3268" s="377" t="e">
        <f>IPMT('Assumptions (Oil G&amp;T)'!$B$73,Model!AQ$1,'Assumptions (Oil G&amp;T)'!$B$76,Model!$AP$3174)</f>
        <v>#NUM!</v>
      </c>
      <c r="BK3268" s="377" t="e">
        <f>IPMT('Assumptions (Oil G&amp;T)'!$B$73,Model!AR$1,'Assumptions (Oil G&amp;T)'!$B$76,Model!$AP$3174)</f>
        <v>#NUM!</v>
      </c>
      <c r="BL3268" s="377" t="e">
        <f>IPMT('Assumptions (Oil G&amp;T)'!$B$73,Model!AS$1,'Assumptions (Oil G&amp;T)'!$B$76,Model!$AP$3174)</f>
        <v>#NUM!</v>
      </c>
      <c r="BM3268" s="377" t="e">
        <f>IPMT('Assumptions (Oil G&amp;T)'!$B$73,Model!AT$1,'Assumptions (Oil G&amp;T)'!$B$76,Model!$AP$3174)</f>
        <v>#NUM!</v>
      </c>
      <c r="BN3268" s="377" t="e">
        <f>IPMT('Assumptions (Oil G&amp;T)'!$B$73,Model!AU$1,'Assumptions (Oil G&amp;T)'!$B$76,Model!$AP$3174)</f>
        <v>#NUM!</v>
      </c>
    </row>
    <row r="3269" spans="1:82" ht="15.75" hidden="1" customHeight="1" outlineLevel="1">
      <c r="A3269" s="468"/>
      <c r="B3269" s="99"/>
      <c r="C3269" s="377"/>
      <c r="D3269" s="377"/>
      <c r="E3269" s="377"/>
      <c r="F3269" s="377"/>
      <c r="G3269" s="377"/>
      <c r="H3269" s="377"/>
      <c r="I3269" s="377"/>
      <c r="J3269" s="377"/>
      <c r="K3269" s="377"/>
      <c r="L3269" s="377"/>
      <c r="M3269" s="377"/>
      <c r="N3269" s="377"/>
      <c r="O3269" s="377"/>
      <c r="P3269" s="377"/>
      <c r="Q3269" s="377"/>
      <c r="R3269" s="377"/>
      <c r="S3269" s="42"/>
      <c r="T3269" s="42"/>
      <c r="U3269" s="42"/>
      <c r="V3269" s="42"/>
      <c r="W3269" s="86"/>
      <c r="AQ3269" s="377">
        <f>IPMT('Assumptions (Oil G&amp;T)'!$B$73,Model!W$1,'Assumptions (Oil G&amp;T)'!$B$76,Model!$AQ$3174)</f>
        <v>-0.97170332802199832</v>
      </c>
      <c r="AR3269" s="377">
        <f>IPMT('Assumptions (Oil G&amp;T)'!$B$73,Model!X$1,'Assumptions (Oil G&amp;T)'!$B$76,Model!$AQ$3174)</f>
        <v>-0.93449949313303704</v>
      </c>
      <c r="AS3269" s="377">
        <f>IPMT('Assumptions (Oil G&amp;T)'!$B$73,Model!Y$1,'Assumptions (Oil G&amp;T)'!$B$76,Model!$AQ$3174)</f>
        <v>-0.89450537062740376</v>
      </c>
      <c r="AT3269" s="377">
        <f>IPMT('Assumptions (Oil G&amp;T)'!$B$73,Model!Z$1,'Assumptions (Oil G&amp;T)'!$B$76,Model!$AQ$3174)</f>
        <v>-0.85151168893384788</v>
      </c>
      <c r="AU3269" s="377">
        <f>IPMT('Assumptions (Oil G&amp;T)'!$B$73,Model!AA$1,'Assumptions (Oil G&amp;T)'!$B$76,Model!$AQ$3174)</f>
        <v>-0.80529348111327537</v>
      </c>
      <c r="AV3269" s="377">
        <f>IPMT('Assumptions (Oil G&amp;T)'!$B$73,Model!AB$1,'Assumptions (Oil G&amp;T)'!$B$76,Model!$AQ$3174)</f>
        <v>-0.75560890770615974</v>
      </c>
      <c r="AW3269" s="377">
        <f>IPMT('Assumptions (Oil G&amp;T)'!$B$73,Model!AC$1,'Assumptions (Oil G&amp;T)'!$B$76,Model!$AQ$3174)</f>
        <v>-0.70219799129351068</v>
      </c>
      <c r="AX3269" s="377">
        <f>IPMT('Assumptions (Oil G&amp;T)'!$B$73,Model!AD$1,'Assumptions (Oil G&amp;T)'!$B$76,Model!$AQ$3174)</f>
        <v>-0.64478125614991277</v>
      </c>
      <c r="AY3269" s="377">
        <f>IPMT('Assumptions (Oil G&amp;T)'!$B$73,Model!AE$1,'Assumptions (Oil G&amp;T)'!$B$76,Model!$AQ$3174)</f>
        <v>-0.5830582658705451</v>
      </c>
      <c r="AZ3269" s="377">
        <f>IPMT('Assumptions (Oil G&amp;T)'!$B$73,Model!AF$1,'Assumptions (Oil G&amp;T)'!$B$76,Model!$AQ$3174)</f>
        <v>-0.51670605132022485</v>
      </c>
      <c r="BA3269" s="377">
        <f>IPMT('Assumptions (Oil G&amp;T)'!$B$73,Model!AG$1,'Assumptions (Oil G&amp;T)'!$B$76,Model!$AQ$3174)</f>
        <v>-0.44537742067863062</v>
      </c>
      <c r="BB3269" s="377">
        <f>IPMT('Assumptions (Oil G&amp;T)'!$B$73,Model!AH$1,'Assumptions (Oil G&amp;T)'!$B$76,Model!$AQ$3174)</f>
        <v>-0.36869914273891674</v>
      </c>
      <c r="BC3269" s="377">
        <f>IPMT('Assumptions (Oil G&amp;T)'!$B$73,Model!AI$1,'Assumptions (Oil G&amp;T)'!$B$76,Model!$AQ$3174)</f>
        <v>-0.28626999395372427</v>
      </c>
      <c r="BD3269" s="377">
        <f>IPMT('Assumptions (Oil G&amp;T)'!$B$73,Model!AJ$1,'Assumptions (Oil G&amp;T)'!$B$76,Model!$AQ$3174)</f>
        <v>-0.19765865900964252</v>
      </c>
      <c r="BE3269" s="377">
        <f>IPMT('Assumptions (Oil G&amp;T)'!$B$73,Model!AK$1,'Assumptions (Oil G&amp;T)'!$B$76,Model!$AQ$3174)</f>
        <v>-0.10240147394475456</v>
      </c>
      <c r="BF3269" s="377" t="e">
        <f>IPMT('Assumptions (Oil G&amp;T)'!$B$73,Model!AL$1,'Assumptions (Oil G&amp;T)'!$B$76,Model!$AQ$3174)</f>
        <v>#NUM!</v>
      </c>
      <c r="BG3269" s="377" t="e">
        <f>IPMT('Assumptions (Oil G&amp;T)'!$B$73,Model!AM$1,'Assumptions (Oil G&amp;T)'!$B$76,Model!$AQ$3174)</f>
        <v>#NUM!</v>
      </c>
      <c r="BH3269" s="377" t="e">
        <f>IPMT('Assumptions (Oil G&amp;T)'!$B$73,Model!AN$1,'Assumptions (Oil G&amp;T)'!$B$76,Model!$AQ$3174)</f>
        <v>#NUM!</v>
      </c>
      <c r="BI3269" s="377" t="e">
        <f>IPMT('Assumptions (Oil G&amp;T)'!$B$73,Model!AO$1,'Assumptions (Oil G&amp;T)'!$B$76,Model!$AQ$3174)</f>
        <v>#NUM!</v>
      </c>
      <c r="BJ3269" s="377" t="e">
        <f>IPMT('Assumptions (Oil G&amp;T)'!$B$73,Model!AP$1,'Assumptions (Oil G&amp;T)'!$B$76,Model!$AQ$3174)</f>
        <v>#NUM!</v>
      </c>
      <c r="BK3269" s="377" t="e">
        <f>IPMT('Assumptions (Oil G&amp;T)'!$B$73,Model!AQ$1,'Assumptions (Oil G&amp;T)'!$B$76,Model!$AQ$3174)</f>
        <v>#NUM!</v>
      </c>
      <c r="BL3269" s="377" t="e">
        <f>IPMT('Assumptions (Oil G&amp;T)'!$B$73,Model!AR$1,'Assumptions (Oil G&amp;T)'!$B$76,Model!$AQ$3174)</f>
        <v>#NUM!</v>
      </c>
      <c r="BM3269" s="377" t="e">
        <f>IPMT('Assumptions (Oil G&amp;T)'!$B$73,Model!AS$1,'Assumptions (Oil G&amp;T)'!$B$76,Model!$AQ$3174)</f>
        <v>#NUM!</v>
      </c>
      <c r="BN3269" s="377" t="e">
        <f>IPMT('Assumptions (Oil G&amp;T)'!$B$73,Model!AT$1,'Assumptions (Oil G&amp;T)'!$B$76,Model!$AQ$3174)</f>
        <v>#NUM!</v>
      </c>
      <c r="BO3269" s="377" t="e">
        <f>IPMT('Assumptions (Oil G&amp;T)'!$B$73,Model!AU$1,'Assumptions (Oil G&amp;T)'!$B$76,Model!$AQ$3174)</f>
        <v>#NUM!</v>
      </c>
    </row>
    <row r="3270" spans="1:82" ht="15.75" hidden="1" customHeight="1" outlineLevel="1">
      <c r="A3270" s="468"/>
      <c r="B3270" s="99"/>
      <c r="C3270" s="377"/>
      <c r="D3270" s="377"/>
      <c r="E3270" s="377"/>
      <c r="F3270" s="377"/>
      <c r="G3270" s="377"/>
      <c r="H3270" s="377"/>
      <c r="I3270" s="377"/>
      <c r="J3270" s="377"/>
      <c r="K3270" s="377"/>
      <c r="L3270" s="377"/>
      <c r="M3270" s="377"/>
      <c r="N3270" s="377"/>
      <c r="O3270" s="377"/>
      <c r="P3270" s="377"/>
      <c r="Q3270" s="377"/>
      <c r="R3270" s="377"/>
      <c r="S3270" s="42"/>
      <c r="T3270" s="42"/>
      <c r="U3270" s="42"/>
      <c r="V3270" s="42"/>
      <c r="W3270" s="86"/>
      <c r="AR3270" s="377">
        <f>IPMT('Assumptions (Oil G&amp;T)'!$B$73,Model!W$1,'Assumptions (Oil G&amp;T)'!$B$76,Model!$AR$3174)</f>
        <v>-0.97095760441827472</v>
      </c>
      <c r="AS3270" s="377">
        <f>IPMT('Assumptions (Oil G&amp;T)'!$B$73,Model!X$1,'Assumptions (Oil G&amp;T)'!$B$76,Model!$AR$3174)</f>
        <v>-0.93378232122510951</v>
      </c>
      <c r="AT3270" s="377">
        <f>IPMT('Assumptions (Oil G&amp;T)'!$B$73,Model!Y$1,'Assumptions (Oil G&amp;T)'!$B$76,Model!$AR$3174)</f>
        <v>-0.8938188917924571</v>
      </c>
      <c r="AU3270" s="377">
        <f>IPMT('Assumptions (Oil G&amp;T)'!$B$73,Model!Z$1,'Assumptions (Oil G&amp;T)'!$B$76,Model!$AR$3174)</f>
        <v>-0.85085820515235566</v>
      </c>
      <c r="AV3270" s="377">
        <f>IPMT('Assumptions (Oil G&amp;T)'!$B$73,Model!AA$1,'Assumptions (Oil G&amp;T)'!$B$76,Model!$AR$3174)</f>
        <v>-0.80467546701424641</v>
      </c>
      <c r="AW3270" s="377">
        <f>IPMT('Assumptions (Oil G&amp;T)'!$B$73,Model!AB$1,'Assumptions (Oil G&amp;T)'!$B$76,Model!$AR$3174)</f>
        <v>-0.75502902351577905</v>
      </c>
      <c r="AX3270" s="377">
        <f>IPMT('Assumptions (Oil G&amp;T)'!$B$73,Model!AC$1,'Assumptions (Oil G&amp;T)'!$B$76,Model!$AR$3174)</f>
        <v>-0.70165909675492688</v>
      </c>
      <c r="AY3270" s="377">
        <f>IPMT('Assumptions (Oil G&amp;T)'!$B$73,Model!AD$1,'Assumptions (Oil G&amp;T)'!$B$76,Model!$AR$3174)</f>
        <v>-0.64428642548701054</v>
      </c>
      <c r="AZ3270" s="377">
        <f>IPMT('Assumptions (Oil G&amp;T)'!$B$73,Model!AE$1,'Assumptions (Oil G&amp;T)'!$B$76,Model!$AR$3174)</f>
        <v>-0.58261080387400044</v>
      </c>
      <c r="BA3270" s="377">
        <f>IPMT('Assumptions (Oil G&amp;T)'!$B$73,Model!AF$1,'Assumptions (Oil G&amp;T)'!$B$76,Model!$AR$3174)</f>
        <v>-0.51630951064001462</v>
      </c>
      <c r="BB3270" s="377">
        <f>IPMT('Assumptions (Oil G&amp;T)'!$B$73,Model!AG$1,'Assumptions (Oil G&amp;T)'!$B$76,Model!$AR$3174)</f>
        <v>-0.44503562041348005</v>
      </c>
      <c r="BC3270" s="377">
        <f>IPMT('Assumptions (Oil G&amp;T)'!$B$73,Model!AH$1,'Assumptions (Oil G&amp;T)'!$B$76,Model!$AR$3174)</f>
        <v>-0.36841618841995533</v>
      </c>
      <c r="BD3270" s="377">
        <f>IPMT('Assumptions (Oil G&amp;T)'!$B$73,Model!AI$1,'Assumptions (Oil G&amp;T)'!$B$76,Model!$AR$3174)</f>
        <v>-0.28605029902691609</v>
      </c>
      <c r="BE3270" s="377">
        <f>IPMT('Assumptions (Oil G&amp;T)'!$B$73,Model!AJ$1,'Assumptions (Oil G&amp;T)'!$B$76,Model!$AR$3174)</f>
        <v>-0.19750696792939904</v>
      </c>
      <c r="BF3270" s="377">
        <f>IPMT('Assumptions (Oil G&amp;T)'!$B$73,Model!AK$1,'Assumptions (Oil G&amp;T)'!$B$76,Model!$AR$3174)</f>
        <v>-0.10232288699956818</v>
      </c>
      <c r="BG3270" s="377" t="e">
        <f>IPMT('Assumptions (Oil G&amp;T)'!$B$73,Model!AL$1,'Assumptions (Oil G&amp;T)'!$B$76,Model!$AR$3174)</f>
        <v>#NUM!</v>
      </c>
      <c r="BH3270" s="377" t="e">
        <f>IPMT('Assumptions (Oil G&amp;T)'!$B$73,Model!AM$1,'Assumptions (Oil G&amp;T)'!$B$76,Model!$AR$3174)</f>
        <v>#NUM!</v>
      </c>
      <c r="BI3270" s="377" t="e">
        <f>IPMT('Assumptions (Oil G&amp;T)'!$B$73,Model!AN$1,'Assumptions (Oil G&amp;T)'!$B$76,Model!$AR$3174)</f>
        <v>#NUM!</v>
      </c>
      <c r="BJ3270" s="377" t="e">
        <f>IPMT('Assumptions (Oil G&amp;T)'!$B$73,Model!AO$1,'Assumptions (Oil G&amp;T)'!$B$76,Model!$AR$3174)</f>
        <v>#NUM!</v>
      </c>
      <c r="BK3270" s="377" t="e">
        <f>IPMT('Assumptions (Oil G&amp;T)'!$B$73,Model!AP$1,'Assumptions (Oil G&amp;T)'!$B$76,Model!$AR$3174)</f>
        <v>#NUM!</v>
      </c>
      <c r="BL3270" s="377" t="e">
        <f>IPMT('Assumptions (Oil G&amp;T)'!$B$73,Model!AQ$1,'Assumptions (Oil G&amp;T)'!$B$76,Model!$AR$3174)</f>
        <v>#NUM!</v>
      </c>
      <c r="BM3270" s="377" t="e">
        <f>IPMT('Assumptions (Oil G&amp;T)'!$B$73,Model!AR$1,'Assumptions (Oil G&amp;T)'!$B$76,Model!$AR$3174)</f>
        <v>#NUM!</v>
      </c>
      <c r="BN3270" s="377" t="e">
        <f>IPMT('Assumptions (Oil G&amp;T)'!$B$73,Model!AS$1,'Assumptions (Oil G&amp;T)'!$B$76,Model!$AR$3174)</f>
        <v>#NUM!</v>
      </c>
      <c r="BO3270" s="377" t="e">
        <f>IPMT('Assumptions (Oil G&amp;T)'!$B$73,Model!AT$1,'Assumptions (Oil G&amp;T)'!$B$76,Model!$AR$3174)</f>
        <v>#NUM!</v>
      </c>
      <c r="BP3270" s="377" t="e">
        <f>IPMT('Assumptions (Oil G&amp;T)'!$B$73,Model!AU$1,'Assumptions (Oil G&amp;T)'!$B$76,Model!$AR$3174)</f>
        <v>#NUM!</v>
      </c>
    </row>
    <row r="3271" spans="1:82" ht="15.75" hidden="1" customHeight="1" outlineLevel="1">
      <c r="A3271" s="468"/>
      <c r="B3271" s="99"/>
      <c r="C3271" s="377"/>
      <c r="D3271" s="377"/>
      <c r="E3271" s="377"/>
      <c r="F3271" s="377"/>
      <c r="G3271" s="377"/>
      <c r="H3271" s="377"/>
      <c r="I3271" s="377"/>
      <c r="J3271" s="377"/>
      <c r="K3271" s="377"/>
      <c r="L3271" s="377"/>
      <c r="M3271" s="377"/>
      <c r="N3271" s="377"/>
      <c r="O3271" s="377"/>
      <c r="P3271" s="377"/>
      <c r="Q3271" s="377"/>
      <c r="R3271" s="377"/>
      <c r="S3271" s="42"/>
      <c r="T3271" s="42"/>
      <c r="U3271" s="42"/>
      <c r="V3271" s="42"/>
      <c r="W3271" s="86"/>
      <c r="AS3271" s="377">
        <f>IPMT('Assumptions (Oil G&amp;T)'!$B$73,Model!W$1,'Assumptions (Oil G&amp;T)'!$B$76,Model!$AS$3174)</f>
        <v>-0.96908884077895707</v>
      </c>
      <c r="AT3271" s="377">
        <f>IPMT('Assumptions (Oil G&amp;T)'!$B$73,Model!X$1,'Assumptions (Oil G&amp;T)'!$B$76,Model!$AS$3174)</f>
        <v>-0.93198510738075369</v>
      </c>
      <c r="AU3271" s="377">
        <f>IPMT('Assumptions (Oil G&amp;T)'!$B$73,Model!Y$1,'Assumptions (Oil G&amp;T)'!$B$76,Model!$AS$3174)</f>
        <v>-0.89209859397768509</v>
      </c>
      <c r="AV3271" s="377">
        <f>IPMT('Assumptions (Oil G&amp;T)'!$B$73,Model!Z$1,'Assumptions (Oil G&amp;T)'!$B$76,Model!$AS$3174)</f>
        <v>-0.84922059206938638</v>
      </c>
      <c r="AW3271" s="377">
        <f>IPMT('Assumptions (Oil G&amp;T)'!$B$73,Model!AA$1,'Assumptions (Oil G&amp;T)'!$B$76,Model!$AS$3174)</f>
        <v>-0.80312674001796502</v>
      </c>
      <c r="AX3271" s="377">
        <f>IPMT('Assumptions (Oil G&amp;T)'!$B$73,Model!AB$1,'Assumptions (Oil G&amp;T)'!$B$76,Model!$AS$3174)</f>
        <v>-0.75357584906268726</v>
      </c>
      <c r="AY3271" s="377">
        <f>IPMT('Assumptions (Oil G&amp;T)'!$B$73,Model!AC$1,'Assumptions (Oil G&amp;T)'!$B$76,Model!$AS$3174)</f>
        <v>-0.70030864128576376</v>
      </c>
      <c r="AZ3271" s="377">
        <f>IPMT('Assumptions (Oil G&amp;T)'!$B$73,Model!AD$1,'Assumptions (Oil G&amp;T)'!$B$76,Model!$AS$3174)</f>
        <v>-0.64304639292557086</v>
      </c>
      <c r="BA3271" s="377">
        <f>IPMT('Assumptions (Oil G&amp;T)'!$B$73,Model!AE$1,'Assumptions (Oil G&amp;T)'!$B$76,Model!$AS$3174)</f>
        <v>-0.58148947593836342</v>
      </c>
      <c r="BB3271" s="377">
        <f>IPMT('Assumptions (Oil G&amp;T)'!$B$73,Model!AF$1,'Assumptions (Oil G&amp;T)'!$B$76,Model!$AS$3174)</f>
        <v>-0.5153157901771156</v>
      </c>
      <c r="BC3271" s="377">
        <f>IPMT('Assumptions (Oil G&amp;T)'!$B$73,Model!AG$1,'Assumptions (Oil G&amp;T)'!$B$76,Model!$AS$3174)</f>
        <v>-0.44417907798377404</v>
      </c>
      <c r="BD3271" s="377">
        <f>IPMT('Assumptions (Oil G&amp;T)'!$B$73,Model!AH$1,'Assumptions (Oil G&amp;T)'!$B$76,Model!$AS$3174)</f>
        <v>-0.36770711237593201</v>
      </c>
      <c r="BE3271" s="377">
        <f>IPMT('Assumptions (Oil G&amp;T)'!$B$73,Model!AI$1,'Assumptions (Oil G&amp;T)'!$B$76,Model!$AS$3174)</f>
        <v>-0.28549974934750166</v>
      </c>
      <c r="BF3271" s="377">
        <f>IPMT('Assumptions (Oil G&amp;T)'!$B$73,Model!AJ$1,'Assumptions (Oil G&amp;T)'!$B$76,Model!$AS$3174)</f>
        <v>-0.19712683409193918</v>
      </c>
      <c r="BG3271" s="377">
        <f>IPMT('Assumptions (Oil G&amp;T)'!$B$73,Model!AK$1,'Assumptions (Oil G&amp;T)'!$B$76,Model!$AS$3174)</f>
        <v>-0.10212595019220945</v>
      </c>
      <c r="BH3271" s="377" t="e">
        <f>IPMT('Assumptions (Oil G&amp;T)'!$B$73,Model!AL$1,'Assumptions (Oil G&amp;T)'!$B$76,Model!$AS$3174)</f>
        <v>#NUM!</v>
      </c>
      <c r="BI3271" s="377" t="e">
        <f>IPMT('Assumptions (Oil G&amp;T)'!$B$73,Model!AM$1,'Assumptions (Oil G&amp;T)'!$B$76,Model!$AS$3174)</f>
        <v>#NUM!</v>
      </c>
      <c r="BJ3271" s="377" t="e">
        <f>IPMT('Assumptions (Oil G&amp;T)'!$B$73,Model!AN$1,'Assumptions (Oil G&amp;T)'!$B$76,Model!$AS$3174)</f>
        <v>#NUM!</v>
      </c>
      <c r="BK3271" s="377" t="e">
        <f>IPMT('Assumptions (Oil G&amp;T)'!$B$73,Model!AO$1,'Assumptions (Oil G&amp;T)'!$B$76,Model!$AS$3174)</f>
        <v>#NUM!</v>
      </c>
      <c r="BL3271" s="377" t="e">
        <f>IPMT('Assumptions (Oil G&amp;T)'!$B$73,Model!AP$1,'Assumptions (Oil G&amp;T)'!$B$76,Model!$AS$3174)</f>
        <v>#NUM!</v>
      </c>
      <c r="BM3271" s="377" t="e">
        <f>IPMT('Assumptions (Oil G&amp;T)'!$B$73,Model!AQ$1,'Assumptions (Oil G&amp;T)'!$B$76,Model!$AS$3174)</f>
        <v>#NUM!</v>
      </c>
      <c r="BN3271" s="377" t="e">
        <f>IPMT('Assumptions (Oil G&amp;T)'!$B$73,Model!AR$1,'Assumptions (Oil G&amp;T)'!$B$76,Model!$AS$3174)</f>
        <v>#NUM!</v>
      </c>
      <c r="BO3271" s="377" t="e">
        <f>IPMT('Assumptions (Oil G&amp;T)'!$B$73,Model!AS$1,'Assumptions (Oil G&amp;T)'!$B$76,Model!$AS$3174)</f>
        <v>#NUM!</v>
      </c>
      <c r="BP3271" s="377" t="e">
        <f>IPMT('Assumptions (Oil G&amp;T)'!$B$73,Model!AT$1,'Assumptions (Oil G&amp;T)'!$B$76,Model!$AS$3174)</f>
        <v>#NUM!</v>
      </c>
      <c r="BQ3271" s="377" t="e">
        <f>IPMT('Assumptions (Oil G&amp;T)'!$B$73,Model!AU$1,'Assumptions (Oil G&amp;T)'!$B$76,Model!$AS$3174)</f>
        <v>#NUM!</v>
      </c>
    </row>
    <row r="3272" spans="1:82" ht="15.75" hidden="1" customHeight="1" outlineLevel="1">
      <c r="A3272" s="468"/>
      <c r="B3272" s="99"/>
      <c r="C3272" s="377"/>
      <c r="D3272" s="377"/>
      <c r="E3272" s="377"/>
      <c r="F3272" s="377"/>
      <c r="G3272" s="377"/>
      <c r="H3272" s="377"/>
      <c r="I3272" s="377"/>
      <c r="J3272" s="377"/>
      <c r="K3272" s="377"/>
      <c r="L3272" s="377"/>
      <c r="M3272" s="377"/>
      <c r="N3272" s="377"/>
      <c r="O3272" s="377"/>
      <c r="P3272" s="377"/>
      <c r="Q3272" s="377"/>
      <c r="R3272" s="377"/>
      <c r="S3272" s="42"/>
      <c r="T3272" s="42"/>
      <c r="U3272" s="42"/>
      <c r="V3272" s="42"/>
      <c r="W3272" s="86"/>
      <c r="AT3272" s="377">
        <f>IPMT('Assumptions (Oil G&amp;T)'!$B$73,Model!W$1,'Assumptions (Oil G&amp;T)'!$B$76,Model!$AT$3174)</f>
        <v>-0.96620700786021663</v>
      </c>
      <c r="AU3272" s="377">
        <f>IPMT('Assumptions (Oil G&amp;T)'!$B$73,Model!X$1,'Assumptions (Oil G&amp;T)'!$B$76,Model!$AT$3174)</f>
        <v>-0.92921361187981821</v>
      </c>
      <c r="AV3272" s="377">
        <f>IPMT('Assumptions (Oil G&amp;T)'!$B$73,Model!Y$1,'Assumptions (Oil G&amp;T)'!$B$76,Model!$AT$3174)</f>
        <v>-0.88944571120088989</v>
      </c>
      <c r="AW3272" s="377">
        <f>IPMT('Assumptions (Oil G&amp;T)'!$B$73,Model!Z$1,'Assumptions (Oil G&amp;T)'!$B$76,Model!$AT$3174)</f>
        <v>-0.84669521797104197</v>
      </c>
      <c r="AX3272" s="377">
        <f>IPMT('Assumptions (Oil G&amp;T)'!$B$73,Model!AA$1,'Assumptions (Oil G&amp;T)'!$B$76,Model!$AT$3174)</f>
        <v>-0.80073843774895537</v>
      </c>
      <c r="AY3272" s="377">
        <f>IPMT('Assumptions (Oil G&amp;T)'!$B$73,Model!AB$1,'Assumptions (Oil G&amp;T)'!$B$76,Model!$AT$3174)</f>
        <v>-0.75133489901021222</v>
      </c>
      <c r="AZ3272" s="377">
        <f>IPMT('Assumptions (Oil G&amp;T)'!$B$73,Model!AC$1,'Assumptions (Oil G&amp;T)'!$B$76,Model!$AT$3174)</f>
        <v>-0.69822609486606335</v>
      </c>
      <c r="BA3272" s="377">
        <f>IPMT('Assumptions (Oil G&amp;T)'!$B$73,Model!AD$1,'Assumptions (Oil G&amp;T)'!$B$76,Model!$AT$3174)</f>
        <v>-0.64113413041110345</v>
      </c>
      <c r="BB3272" s="377">
        <f>IPMT('Assumptions (Oil G&amp;T)'!$B$73,Model!AE$1,'Assumptions (Oil G&amp;T)'!$B$76,Model!$AT$3174)</f>
        <v>-0.57976026862202146</v>
      </c>
      <c r="BC3272" s="377">
        <f>IPMT('Assumptions (Oil G&amp;T)'!$B$73,Model!AF$1,'Assumptions (Oil G&amp;T)'!$B$76,Model!$AT$3174)</f>
        <v>-0.51378336719875839</v>
      </c>
      <c r="BD3272" s="377">
        <f>IPMT('Assumptions (Oil G&amp;T)'!$B$73,Model!AG$1,'Assumptions (Oil G&amp;T)'!$B$76,Model!$AT$3174)</f>
        <v>-0.44285819816875066</v>
      </c>
      <c r="BE3272" s="377">
        <f>IPMT('Assumptions (Oil G&amp;T)'!$B$73,Model!AH$1,'Assumptions (Oil G&amp;T)'!$B$76,Model!$AT$3174)</f>
        <v>-0.36661364146149228</v>
      </c>
      <c r="BF3272" s="377">
        <f>IPMT('Assumptions (Oil G&amp;T)'!$B$73,Model!AI$1,'Assumptions (Oil G&amp;T)'!$B$76,Model!$AT$3174)</f>
        <v>-0.28465074300118937</v>
      </c>
      <c r="BG3272" s="377">
        <f>IPMT('Assumptions (Oil G&amp;T)'!$B$73,Model!AJ$1,'Assumptions (Oil G&amp;T)'!$B$76,Model!$AT$3174)</f>
        <v>-0.19654062715636392</v>
      </c>
      <c r="BH3272" s="377">
        <f>IPMT('Assumptions (Oil G&amp;T)'!$B$73,Model!AK$1,'Assumptions (Oil G&amp;T)'!$B$76,Model!$AT$3174)</f>
        <v>-0.10182225262317648</v>
      </c>
      <c r="BI3272" s="377" t="e">
        <f>IPMT('Assumptions (Oil G&amp;T)'!$B$73,Model!AL$1,'Assumptions (Oil G&amp;T)'!$B$76,Model!$AT$3174)</f>
        <v>#NUM!</v>
      </c>
      <c r="BJ3272" s="377" t="e">
        <f>IPMT('Assumptions (Oil G&amp;T)'!$B$73,Model!AM$1,'Assumptions (Oil G&amp;T)'!$B$76,Model!$AT$3174)</f>
        <v>#NUM!</v>
      </c>
      <c r="BK3272" s="377" t="e">
        <f>IPMT('Assumptions (Oil G&amp;T)'!$B$73,Model!AN$1,'Assumptions (Oil G&amp;T)'!$B$76,Model!$AT$3174)</f>
        <v>#NUM!</v>
      </c>
      <c r="BL3272" s="377" t="e">
        <f>IPMT('Assumptions (Oil G&amp;T)'!$B$73,Model!AO$1,'Assumptions (Oil G&amp;T)'!$B$76,Model!$AT$3174)</f>
        <v>#NUM!</v>
      </c>
      <c r="BM3272" s="377" t="e">
        <f>IPMT('Assumptions (Oil G&amp;T)'!$B$73,Model!AP$1,'Assumptions (Oil G&amp;T)'!$B$76,Model!$AT$3174)</f>
        <v>#NUM!</v>
      </c>
      <c r="BN3272" s="377" t="e">
        <f>IPMT('Assumptions (Oil G&amp;T)'!$B$73,Model!AQ$1,'Assumptions (Oil G&amp;T)'!$B$76,Model!$AT$3174)</f>
        <v>#NUM!</v>
      </c>
      <c r="BO3272" s="377" t="e">
        <f>IPMT('Assumptions (Oil G&amp;T)'!$B$73,Model!AR$1,'Assumptions (Oil G&amp;T)'!$B$76,Model!$AT$3174)</f>
        <v>#NUM!</v>
      </c>
      <c r="BP3272" s="377" t="e">
        <f>IPMT('Assumptions (Oil G&amp;T)'!$B$73,Model!AS$1,'Assumptions (Oil G&amp;T)'!$B$76,Model!$AT$3174)</f>
        <v>#NUM!</v>
      </c>
      <c r="BQ3272" s="377" t="e">
        <f>IPMT('Assumptions (Oil G&amp;T)'!$B$73,Model!AT$1,'Assumptions (Oil G&amp;T)'!$B$76,Model!$AT$3174)</f>
        <v>#NUM!</v>
      </c>
      <c r="BR3272" s="377" t="e">
        <f>IPMT('Assumptions (Oil G&amp;T)'!$B$73,Model!AU$1,'Assumptions (Oil G&amp;T)'!$B$76,Model!$AT$3174)</f>
        <v>#NUM!</v>
      </c>
    </row>
    <row r="3273" spans="1:82" ht="15.75" hidden="1" customHeight="1" outlineLevel="1">
      <c r="A3273" s="468"/>
      <c r="B3273" s="99"/>
      <c r="C3273" s="377"/>
      <c r="D3273" s="377"/>
      <c r="E3273" s="377"/>
      <c r="F3273" s="377"/>
      <c r="G3273" s="377"/>
      <c r="H3273" s="377"/>
      <c r="I3273" s="377"/>
      <c r="J3273" s="377"/>
      <c r="K3273" s="377"/>
      <c r="L3273" s="377"/>
      <c r="M3273" s="377"/>
      <c r="N3273" s="377"/>
      <c r="O3273" s="377"/>
      <c r="P3273" s="377"/>
      <c r="Q3273" s="377"/>
      <c r="R3273" s="377"/>
      <c r="S3273" s="42"/>
      <c r="T3273" s="42"/>
      <c r="U3273" s="42"/>
      <c r="V3273" s="42"/>
      <c r="W3273" s="86"/>
      <c r="AU3273" s="377">
        <f>IPMT('Assumptions (Oil G&amp;T)'!$B$73,Model!W$1,'Assumptions (Oil G&amp;T)'!$B$76,Model!$AU$3174)</f>
        <v>-0.96346030717155107</v>
      </c>
      <c r="AV3273" s="377">
        <f>IPMT('Assumptions (Oil G&amp;T)'!$B$73,Model!X$1,'Assumptions (Oil G&amp;T)'!$B$76,Model!$AU$3174)</f>
        <v>-0.926572074769339</v>
      </c>
      <c r="AW3273" s="377">
        <f>IPMT('Assumptions (Oil G&amp;T)'!$B$73,Model!Y$1,'Assumptions (Oil G&amp;T)'!$B$76,Model!$AU$3174)</f>
        <v>-0.88691722493696123</v>
      </c>
      <c r="AX3273" s="377">
        <f>IPMT('Assumptions (Oil G&amp;T)'!$B$73,Model!Z$1,'Assumptions (Oil G&amp;T)'!$B$76,Model!$AU$3174)</f>
        <v>-0.84428826136715507</v>
      </c>
      <c r="AY3273" s="377">
        <f>IPMT('Assumptions (Oil G&amp;T)'!$B$73,Model!AA$1,'Assumptions (Oil G&amp;T)'!$B$76,Model!$AU$3174)</f>
        <v>-0.79846212552961338</v>
      </c>
      <c r="AZ3273" s="377">
        <f>IPMT('Assumptions (Oil G&amp;T)'!$B$73,Model!AB$1,'Assumptions (Oil G&amp;T)'!$B$76,Model!$AU$3174)</f>
        <v>-0.74919902950425599</v>
      </c>
      <c r="BA3273" s="377">
        <f>IPMT('Assumptions (Oil G&amp;T)'!$B$73,Model!AC$1,'Assumptions (Oil G&amp;T)'!$B$76,Model!$AU$3174)</f>
        <v>-0.69624120127699696</v>
      </c>
      <c r="BB3273" s="377">
        <f>IPMT('Assumptions (Oil G&amp;T)'!$B$73,Model!AD$1,'Assumptions (Oil G&amp;T)'!$B$76,Model!$AU$3174)</f>
        <v>-0.63931153593269341</v>
      </c>
      <c r="BC3273" s="377">
        <f>IPMT('Assumptions (Oil G&amp;T)'!$B$73,Model!AE$1,'Assumptions (Oil G&amp;T)'!$B$76,Model!$AU$3174)</f>
        <v>-0.57811214568756697</v>
      </c>
      <c r="BD3273" s="377">
        <f>IPMT('Assumptions (Oil G&amp;T)'!$B$73,Model!AF$1,'Assumptions (Oil G&amp;T)'!$B$76,Model!$AU$3174)</f>
        <v>-0.51232280117405626</v>
      </c>
      <c r="BE3273" s="377">
        <f>IPMT('Assumptions (Oil G&amp;T)'!$B$73,Model!AG$1,'Assumptions (Oil G&amp;T)'!$B$76,Model!$AU$3174)</f>
        <v>-0.44159925582203219</v>
      </c>
      <c r="BF3273" s="377">
        <f>IPMT('Assumptions (Oil G&amp;T)'!$B$73,Model!AH$1,'Assumptions (Oil G&amp;T)'!$B$76,Model!$AU$3174)</f>
        <v>-0.36557144456860635</v>
      </c>
      <c r="BG3273" s="377">
        <f>IPMT('Assumptions (Oil G&amp;T)'!$B$73,Model!AI$1,'Assumptions (Oil G&amp;T)'!$B$76,Model!$AU$3174)</f>
        <v>-0.28384154747117346</v>
      </c>
      <c r="BH3273" s="377">
        <f>IPMT('Assumptions (Oil G&amp;T)'!$B$73,Model!AJ$1,'Assumptions (Oil G&amp;T)'!$B$76,Model!$AU$3174)</f>
        <v>-0.19598190809143318</v>
      </c>
      <c r="BI3273" s="377">
        <f>IPMT('Assumptions (Oil G&amp;T)'!$B$73,Model!AK$1,'Assumptions (Oil G&amp;T)'!$B$76,Model!$AU$3174)</f>
        <v>-0.10153279575821238</v>
      </c>
      <c r="BJ3273" s="377" t="e">
        <f>IPMT('Assumptions (Oil G&amp;T)'!$B$73,Model!AL$1,'Assumptions (Oil G&amp;T)'!$B$76,Model!$AU$3174)</f>
        <v>#NUM!</v>
      </c>
      <c r="BK3273" s="377" t="e">
        <f>IPMT('Assumptions (Oil G&amp;T)'!$B$73,Model!AM$1,'Assumptions (Oil G&amp;T)'!$B$76,Model!$AU$3174)</f>
        <v>#NUM!</v>
      </c>
      <c r="BL3273" s="377" t="e">
        <f>IPMT('Assumptions (Oil G&amp;T)'!$B$73,Model!AN$1,'Assumptions (Oil G&amp;T)'!$B$76,Model!$AU$3174)</f>
        <v>#NUM!</v>
      </c>
      <c r="BM3273" s="377" t="e">
        <f>IPMT('Assumptions (Oil G&amp;T)'!$B$73,Model!AO$1,'Assumptions (Oil G&amp;T)'!$B$76,Model!$AU$3174)</f>
        <v>#NUM!</v>
      </c>
      <c r="BN3273" s="377" t="e">
        <f>IPMT('Assumptions (Oil G&amp;T)'!$B$73,Model!AP$1,'Assumptions (Oil G&amp;T)'!$B$76,Model!$AU$3174)</f>
        <v>#NUM!</v>
      </c>
      <c r="BO3273" s="377" t="e">
        <f>IPMT('Assumptions (Oil G&amp;T)'!$B$73,Model!AQ$1,'Assumptions (Oil G&amp;T)'!$B$76,Model!$AU$3174)</f>
        <v>#NUM!</v>
      </c>
      <c r="BP3273" s="377" t="e">
        <f>IPMT('Assumptions (Oil G&amp;T)'!$B$73,Model!AR$1,'Assumptions (Oil G&amp;T)'!$B$76,Model!$AU$3174)</f>
        <v>#NUM!</v>
      </c>
      <c r="BQ3273" s="377" t="e">
        <f>IPMT('Assumptions (Oil G&amp;T)'!$B$73,Model!AS$1,'Assumptions (Oil G&amp;T)'!$B$76,Model!$AU$3174)</f>
        <v>#NUM!</v>
      </c>
      <c r="BR3273" s="377" t="e">
        <f>IPMT('Assumptions (Oil G&amp;T)'!$B$73,Model!AT$1,'Assumptions (Oil G&amp;T)'!$B$76,Model!$AU$3174)</f>
        <v>#NUM!</v>
      </c>
      <c r="BS3273" s="377" t="e">
        <f>IPMT('Assumptions (Oil G&amp;T)'!$B$73,Model!AU$1,'Assumptions (Oil G&amp;T)'!$B$76,Model!$AU$3174)</f>
        <v>#NUM!</v>
      </c>
    </row>
    <row r="3274" spans="1:82" ht="15.75" hidden="1" customHeight="1" outlineLevel="1">
      <c r="A3274" s="468"/>
      <c r="B3274" s="99"/>
      <c r="C3274" s="377"/>
      <c r="D3274" s="377"/>
      <c r="E3274" s="377"/>
      <c r="F3274" s="377"/>
      <c r="G3274" s="377"/>
      <c r="H3274" s="377"/>
      <c r="I3274" s="377"/>
      <c r="J3274" s="377"/>
      <c r="K3274" s="377"/>
      <c r="L3274" s="377"/>
      <c r="M3274" s="377"/>
      <c r="N3274" s="377"/>
      <c r="O3274" s="377"/>
      <c r="P3274" s="377"/>
      <c r="Q3274" s="377"/>
      <c r="R3274" s="377"/>
      <c r="S3274" s="42"/>
      <c r="T3274" s="42"/>
      <c r="U3274" s="42"/>
      <c r="V3274" s="42"/>
      <c r="W3274" s="86"/>
      <c r="AV3274" s="377">
        <f>IPMT('Assumptions (Oil G&amp;T)'!$B$73,Model!W$1,'Assumptions (Oil G&amp;T)'!$B$76,Model!$AV$3174)</f>
        <v>-0.95847247135433888</v>
      </c>
      <c r="AW3274" s="377">
        <f>IPMT('Assumptions (Oil G&amp;T)'!$B$73,Model!X$1,'Assumptions (Oil G&amp;T)'!$B$76,Model!$AV$3174)</f>
        <v>-0.92177520940045765</v>
      </c>
      <c r="AX3274" s="377">
        <f>IPMT('Assumptions (Oil G&amp;T)'!$B$73,Model!Y$1,'Assumptions (Oil G&amp;T)'!$B$76,Model!$AV$3174)</f>
        <v>-0.88232565280003528</v>
      </c>
      <c r="AY3274" s="377">
        <f>IPMT('Assumptions (Oil G&amp;T)'!$B$73,Model!Z$1,'Assumptions (Oil G&amp;T)'!$B$76,Model!$AV$3174)</f>
        <v>-0.83991737945458145</v>
      </c>
      <c r="AZ3274" s="377">
        <f>IPMT('Assumptions (Oil G&amp;T)'!$B$73,Model!AA$1,'Assumptions (Oil G&amp;T)'!$B$76,Model!$AV$3174)</f>
        <v>-0.79432848560821823</v>
      </c>
      <c r="BA3274" s="377">
        <f>IPMT('Assumptions (Oil G&amp;T)'!$B$73,Model!AB$1,'Assumptions (Oil G&amp;T)'!$B$76,Model!$AV$3174)</f>
        <v>-0.74532042472337789</v>
      </c>
      <c r="BB3274" s="377">
        <f>IPMT('Assumptions (Oil G&amp;T)'!$B$73,Model!AC$1,'Assumptions (Oil G&amp;T)'!$B$76,Model!$AV$3174)</f>
        <v>-0.69263675927217461</v>
      </c>
      <c r="BC3274" s="377">
        <f>IPMT('Assumptions (Oil G&amp;T)'!$B$73,Model!AD$1,'Assumptions (Oil G&amp;T)'!$B$76,Model!$AV$3174)</f>
        <v>-0.63600181891213092</v>
      </c>
      <c r="BD3274" s="377">
        <f>IPMT('Assumptions (Oil G&amp;T)'!$B$73,Model!AE$1,'Assumptions (Oil G&amp;T)'!$B$76,Model!$AV$3174)</f>
        <v>-0.57511925802508412</v>
      </c>
      <c r="BE3274" s="377">
        <f>IPMT('Assumptions (Oil G&amp;T)'!$B$73,Model!AF$1,'Assumptions (Oil G&amp;T)'!$B$76,Model!$AV$3174)</f>
        <v>-0.50967050507150868</v>
      </c>
      <c r="BF3274" s="377">
        <f>IPMT('Assumptions (Oil G&amp;T)'!$B$73,Model!AG$1,'Assumptions (Oil G&amp;T)'!$B$76,Model!$AV$3174)</f>
        <v>-0.43931309564641519</v>
      </c>
      <c r="BG3274" s="377">
        <f>IPMT('Assumptions (Oil G&amp;T)'!$B$73,Model!AH$1,'Assumptions (Oil G&amp;T)'!$B$76,Model!$AV$3174)</f>
        <v>-0.36367888051443964</v>
      </c>
      <c r="BH3274" s="377">
        <f>IPMT('Assumptions (Oil G&amp;T)'!$B$73,Model!AI$1,'Assumptions (Oil G&amp;T)'!$B$76,Model!$AV$3174)</f>
        <v>-0.2823720992475659</v>
      </c>
      <c r="BI3274" s="377">
        <f>IPMT('Assumptions (Oil G&amp;T)'!$B$73,Model!AJ$1,'Assumptions (Oil G&amp;T)'!$B$76,Model!$AV$3174)</f>
        <v>-0.19496730938567669</v>
      </c>
      <c r="BJ3274" s="377">
        <f>IPMT('Assumptions (Oil G&amp;T)'!$B$73,Model!AK$1,'Assumptions (Oil G&amp;T)'!$B$76,Model!$AV$3174)</f>
        <v>-0.10100716028414575</v>
      </c>
      <c r="BK3274" s="377" t="e">
        <f>IPMT('Assumptions (Oil G&amp;T)'!$B$73,Model!AL$1,'Assumptions (Oil G&amp;T)'!$B$76,Model!$AV$3174)</f>
        <v>#NUM!</v>
      </c>
      <c r="BL3274" s="377" t="e">
        <f>IPMT('Assumptions (Oil G&amp;T)'!$B$73,Model!AM$1,'Assumptions (Oil G&amp;T)'!$B$76,Model!$AV$3174)</f>
        <v>#NUM!</v>
      </c>
      <c r="BM3274" s="377" t="e">
        <f>IPMT('Assumptions (Oil G&amp;T)'!$B$73,Model!AN$1,'Assumptions (Oil G&amp;T)'!$B$76,Model!$AV$3174)</f>
        <v>#NUM!</v>
      </c>
      <c r="BN3274" s="377" t="e">
        <f>IPMT('Assumptions (Oil G&amp;T)'!$B$73,Model!AO$1,'Assumptions (Oil G&amp;T)'!$B$76,Model!$AV$3174)</f>
        <v>#NUM!</v>
      </c>
      <c r="BO3274" s="377" t="e">
        <f>IPMT('Assumptions (Oil G&amp;T)'!$B$73,Model!AP$1,'Assumptions (Oil G&amp;T)'!$B$76,Model!$AV$3174)</f>
        <v>#NUM!</v>
      </c>
      <c r="BP3274" s="377" t="e">
        <f>IPMT('Assumptions (Oil G&amp;T)'!$B$73,Model!AQ$1,'Assumptions (Oil G&amp;T)'!$B$76,Model!$AV$3174)</f>
        <v>#NUM!</v>
      </c>
      <c r="BQ3274" s="377" t="e">
        <f>IPMT('Assumptions (Oil G&amp;T)'!$B$73,Model!AR$1,'Assumptions (Oil G&amp;T)'!$B$76,Model!$AV$3174)</f>
        <v>#NUM!</v>
      </c>
      <c r="BR3274" s="377" t="e">
        <f>IPMT('Assumptions (Oil G&amp;T)'!$B$73,Model!AS$1,'Assumptions (Oil G&amp;T)'!$B$76,Model!$AV$3174)</f>
        <v>#NUM!</v>
      </c>
      <c r="BS3274" s="377" t="e">
        <f>IPMT('Assumptions (Oil G&amp;T)'!$B$73,Model!AT$1,'Assumptions (Oil G&amp;T)'!$B$76,Model!$AV$3174)</f>
        <v>#NUM!</v>
      </c>
      <c r="BT3274" s="377" t="e">
        <f>IPMT('Assumptions (Oil G&amp;T)'!$B$73,Model!AU$1,'Assumptions (Oil G&amp;T)'!$B$76,Model!$AV$3174)</f>
        <v>#NUM!</v>
      </c>
    </row>
    <row r="3275" spans="1:82" ht="15.75" hidden="1" customHeight="1" outlineLevel="1">
      <c r="A3275" s="468"/>
      <c r="B3275" s="99"/>
      <c r="C3275" s="377"/>
      <c r="D3275" s="377"/>
      <c r="E3275" s="377"/>
      <c r="F3275" s="377"/>
      <c r="G3275" s="377"/>
      <c r="H3275" s="377"/>
      <c r="I3275" s="377"/>
      <c r="J3275" s="377"/>
      <c r="K3275" s="377"/>
      <c r="L3275" s="377"/>
      <c r="M3275" s="377"/>
      <c r="N3275" s="377"/>
      <c r="O3275" s="377"/>
      <c r="P3275" s="377"/>
      <c r="Q3275" s="377"/>
      <c r="R3275" s="377"/>
      <c r="S3275" s="42"/>
      <c r="T3275" s="42"/>
      <c r="U3275" s="42"/>
      <c r="V3275" s="42"/>
      <c r="W3275" s="86"/>
      <c r="AW3275" s="377">
        <f>IPMT('Assumptions (Oil G&amp;T)'!$B$73,Model!W$1,'Assumptions (Oil G&amp;T)'!$B$76,Model!$AW$3174)</f>
        <v>-0.95453433286094336</v>
      </c>
      <c r="AX3275" s="377">
        <f>IPMT('Assumptions (Oil G&amp;T)'!$B$73,Model!X$1,'Assumptions (Oil G&amp;T)'!$B$76,Model!$AW$3174)</f>
        <v>-0.91798785134596039</v>
      </c>
      <c r="AY3275" s="377">
        <f>IPMT('Assumptions (Oil G&amp;T)'!$B$73,Model!Y$1,'Assumptions (Oil G&amp;T)'!$B$76,Model!$AW$3174)</f>
        <v>-0.87870038371735393</v>
      </c>
      <c r="AZ3275" s="377">
        <f>IPMT('Assumptions (Oil G&amp;T)'!$B$73,Model!Z$1,'Assumptions (Oil G&amp;T)'!$B$76,Model!$AW$3174)</f>
        <v>-0.83646635601660191</v>
      </c>
      <c r="BA3275" s="377">
        <f>IPMT('Assumptions (Oil G&amp;T)'!$B$73,Model!AA$1,'Assumptions (Oil G&amp;T)'!$B$76,Model!$AW$3174)</f>
        <v>-0.7910647762382933</v>
      </c>
      <c r="BB3275" s="377">
        <f>IPMT('Assumptions (Oil G&amp;T)'!$B$73,Model!AB$1,'Assumptions (Oil G&amp;T)'!$B$76,Model!$AW$3174)</f>
        <v>-0.74225807797661159</v>
      </c>
      <c r="BC3275" s="377">
        <f>IPMT('Assumptions (Oil G&amp;T)'!$B$73,Model!AC$1,'Assumptions (Oil G&amp;T)'!$B$76,Model!$AW$3174)</f>
        <v>-0.68979087734530375</v>
      </c>
      <c r="BD3275" s="377">
        <f>IPMT('Assumptions (Oil G&amp;T)'!$B$73,Model!AD$1,'Assumptions (Oil G&amp;T)'!$B$76,Model!$AW$3174)</f>
        <v>-0.63338863666664791</v>
      </c>
      <c r="BE3275" s="377">
        <f>IPMT('Assumptions (Oil G&amp;T)'!$B$73,Model!AE$1,'Assumptions (Oil G&amp;T)'!$B$76,Model!$AW$3174)</f>
        <v>-0.5727562279370928</v>
      </c>
      <c r="BF3275" s="377">
        <f>IPMT('Assumptions (Oil G&amp;T)'!$B$73,Model!AF$1,'Assumptions (Oil G&amp;T)'!$B$76,Model!$AW$3174)</f>
        <v>-0.50757638855282106</v>
      </c>
      <c r="BG3275" s="377">
        <f>IPMT('Assumptions (Oil G&amp;T)'!$B$73,Model!AG$1,'Assumptions (Oil G&amp;T)'!$B$76,Model!$AW$3174)</f>
        <v>-0.43750806121472902</v>
      </c>
      <c r="BH3275" s="377">
        <f>IPMT('Assumptions (Oil G&amp;T)'!$B$73,Model!AH$1,'Assumptions (Oil G&amp;T)'!$B$76,Model!$AW$3174)</f>
        <v>-0.36218460932628005</v>
      </c>
      <c r="BI3275" s="377">
        <f>IPMT('Assumptions (Oil G&amp;T)'!$B$73,Model!AI$1,'Assumptions (Oil G&amp;T)'!$B$76,Model!$AW$3174)</f>
        <v>-0.28121189854619733</v>
      </c>
      <c r="BJ3275" s="377">
        <f>IPMT('Assumptions (Oil G&amp;T)'!$B$73,Model!AJ$1,'Assumptions (Oil G&amp;T)'!$B$76,Model!$AW$3174)</f>
        <v>-0.19416623445760853</v>
      </c>
      <c r="BK3275" s="377">
        <f>IPMT('Assumptions (Oil G&amp;T)'!$B$73,Model!AK$1,'Assumptions (Oil G&amp;T)'!$B$76,Model!$AW$3174)</f>
        <v>-0.10059214556237549</v>
      </c>
      <c r="BL3275" s="377" t="e">
        <f>IPMT('Assumptions (Oil G&amp;T)'!$B$73,Model!AL$1,'Assumptions (Oil G&amp;T)'!$B$76,Model!$AW$3174)</f>
        <v>#NUM!</v>
      </c>
      <c r="BM3275" s="377" t="e">
        <f>IPMT('Assumptions (Oil G&amp;T)'!$B$73,Model!AM$1,'Assumptions (Oil G&amp;T)'!$B$76,Model!$AW$3174)</f>
        <v>#NUM!</v>
      </c>
      <c r="BN3275" s="377" t="e">
        <f>IPMT('Assumptions (Oil G&amp;T)'!$B$73,Model!AN$1,'Assumptions (Oil G&amp;T)'!$B$76,Model!$AW$3174)</f>
        <v>#NUM!</v>
      </c>
      <c r="BO3275" s="377" t="e">
        <f>IPMT('Assumptions (Oil G&amp;T)'!$B$73,Model!AO$1,'Assumptions (Oil G&amp;T)'!$B$76,Model!$AW$3174)</f>
        <v>#NUM!</v>
      </c>
      <c r="BP3275" s="377" t="e">
        <f>IPMT('Assumptions (Oil G&amp;T)'!$B$73,Model!AP$1,'Assumptions (Oil G&amp;T)'!$B$76,Model!$AW$3174)</f>
        <v>#NUM!</v>
      </c>
      <c r="BQ3275" s="377" t="e">
        <f>IPMT('Assumptions (Oil G&amp;T)'!$B$73,Model!AQ$1,'Assumptions (Oil G&amp;T)'!$B$76,Model!$AW$3174)</f>
        <v>#NUM!</v>
      </c>
      <c r="BR3275" s="377" t="e">
        <f>IPMT('Assumptions (Oil G&amp;T)'!$B$73,Model!AR$1,'Assumptions (Oil G&amp;T)'!$B$76,Model!$AW$3174)</f>
        <v>#NUM!</v>
      </c>
      <c r="BS3275" s="377" t="e">
        <f>IPMT('Assumptions (Oil G&amp;T)'!$B$73,Model!AS$1,'Assumptions (Oil G&amp;T)'!$B$76,Model!$AW$3174)</f>
        <v>#NUM!</v>
      </c>
      <c r="BT3275" s="377" t="e">
        <f>IPMT('Assumptions (Oil G&amp;T)'!$B$73,Model!AT$1,'Assumptions (Oil G&amp;T)'!$B$76,Model!$AW$3174)</f>
        <v>#NUM!</v>
      </c>
      <c r="BU3275" s="377" t="e">
        <f>IPMT('Assumptions (Oil G&amp;T)'!$B$73,Model!AU$1,'Assumptions (Oil G&amp;T)'!$B$76,Model!$AW$3174)</f>
        <v>#NUM!</v>
      </c>
    </row>
    <row r="3276" spans="1:82" ht="15.75" hidden="1" customHeight="1" outlineLevel="1">
      <c r="A3276" s="468"/>
      <c r="B3276" s="99"/>
      <c r="C3276" s="377"/>
      <c r="D3276" s="377"/>
      <c r="E3276" s="377"/>
      <c r="F3276" s="377"/>
      <c r="G3276" s="377"/>
      <c r="H3276" s="377"/>
      <c r="I3276" s="377"/>
      <c r="J3276" s="377"/>
      <c r="K3276" s="377"/>
      <c r="L3276" s="377"/>
      <c r="M3276" s="377"/>
      <c r="N3276" s="377"/>
      <c r="O3276" s="377"/>
      <c r="P3276" s="377"/>
      <c r="Q3276" s="377"/>
      <c r="R3276" s="377"/>
      <c r="S3276" s="42"/>
      <c r="T3276" s="42"/>
      <c r="U3276" s="42"/>
      <c r="V3276" s="42"/>
      <c r="W3276" s="86"/>
      <c r="AW3276" s="377"/>
      <c r="AX3276" s="377">
        <f>IPMT('Assumptions (Oil G&amp;T)'!$B$73,Model!W$1,'Assumptions (Oil G&amp;T)'!$B$76,Model!$AX$3174)</f>
        <v>-0.95138589514830485</v>
      </c>
      <c r="AY3276" s="377">
        <f>IPMT('Assumptions (Oil G&amp;T)'!$B$73,Model!X$1,'Assumptions (Oil G&amp;T)'!$B$76,Model!$AX$3174)</f>
        <v>-0.91495995861185742</v>
      </c>
      <c r="AZ3276" s="377">
        <f>IPMT('Assumptions (Oil G&amp;T)'!$B$73,Model!Y$1,'Assumptions (Oil G&amp;T)'!$B$76,Model!$AX$3174)</f>
        <v>-0.8758020768351763</v>
      </c>
      <c r="BA3276" s="377">
        <f>IPMT('Assumptions (Oil G&amp;T)'!$B$73,Model!Z$1,'Assumptions (Oil G&amp;T)'!$B$76,Model!$AX$3174)</f>
        <v>-0.83370735392524431</v>
      </c>
      <c r="BB3276" s="377">
        <f>IPMT('Assumptions (Oil G&amp;T)'!$B$73,Model!AA$1,'Assumptions (Oil G&amp;T)'!$B$76,Model!$AX$3174)</f>
        <v>-0.7884555267970671</v>
      </c>
      <c r="BC3276" s="377">
        <f>IPMT('Assumptions (Oil G&amp;T)'!$B$73,Model!AB$1,'Assumptions (Oil G&amp;T)'!$B$76,Model!$AX$3174)</f>
        <v>-0.73980981263427681</v>
      </c>
      <c r="BD3276" s="377">
        <f>IPMT('Assumptions (Oil G&amp;T)'!$B$73,Model!AC$1,'Assumptions (Oil G&amp;T)'!$B$76,Model!$AX$3174)</f>
        <v>-0.68751566990927715</v>
      </c>
      <c r="BE3276" s="377">
        <f>IPMT('Assumptions (Oil G&amp;T)'!$B$73,Model!AD$1,'Assumptions (Oil G&amp;T)'!$B$76,Model!$AX$3174)</f>
        <v>-0.63129946647990254</v>
      </c>
      <c r="BF3276" s="377">
        <f>IPMT('Assumptions (Oil G&amp;T)'!$B$73,Model!AE$1,'Assumptions (Oil G&amp;T)'!$B$76,Model!$AX$3174)</f>
        <v>-0.57086704779332476</v>
      </c>
      <c r="BG3276" s="377">
        <f>IPMT('Assumptions (Oil G&amp;T)'!$B$73,Model!AF$1,'Assumptions (Oil G&amp;T)'!$B$76,Model!$AX$3174)</f>
        <v>-0.5059021977052538</v>
      </c>
      <c r="BH3276" s="377">
        <f>IPMT('Assumptions (Oil G&amp;T)'!$B$73,Model!AG$1,'Assumptions (Oil G&amp;T)'!$B$76,Model!$AX$3174)</f>
        <v>-0.43606498386057752</v>
      </c>
      <c r="BI3276" s="377">
        <f>IPMT('Assumptions (Oil G&amp;T)'!$B$73,Model!AH$1,'Assumptions (Oil G&amp;T)'!$B$76,Model!$AX$3174)</f>
        <v>-0.36098997897755042</v>
      </c>
      <c r="BJ3276" s="377">
        <f>IPMT('Assumptions (Oil G&amp;T)'!$B$73,Model!AI$1,'Assumptions (Oil G&amp;T)'!$B$76,Model!$AX$3174)</f>
        <v>-0.28028434872829627</v>
      </c>
      <c r="BK3276" s="377">
        <f>IPMT('Assumptions (Oil G&amp;T)'!$B$73,Model!AJ$1,'Assumptions (Oil G&amp;T)'!$B$76,Model!$AX$3174)</f>
        <v>-0.19352579621034813</v>
      </c>
      <c r="BL3276" s="377">
        <f>IPMT('Assumptions (Oil G&amp;T)'!$B$73,Model!AK$1,'Assumptions (Oil G&amp;T)'!$B$76,Model!$AX$3174)</f>
        <v>-0.10026035225355386</v>
      </c>
      <c r="BM3276" s="377" t="e">
        <f>IPMT('Assumptions (Oil G&amp;T)'!$B$73,Model!AL$1,'Assumptions (Oil G&amp;T)'!$B$76,Model!$AX$3174)</f>
        <v>#NUM!</v>
      </c>
      <c r="BN3276" s="377" t="e">
        <f>IPMT('Assumptions (Oil G&amp;T)'!$B$73,Model!AM$1,'Assumptions (Oil G&amp;T)'!$B$76,Model!$AX$3174)</f>
        <v>#NUM!</v>
      </c>
      <c r="BO3276" s="377" t="e">
        <f>IPMT('Assumptions (Oil G&amp;T)'!$B$73,Model!AN$1,'Assumptions (Oil G&amp;T)'!$B$76,Model!$AX$3174)</f>
        <v>#NUM!</v>
      </c>
      <c r="BP3276" s="377" t="e">
        <f>IPMT('Assumptions (Oil G&amp;T)'!$B$73,Model!AO$1,'Assumptions (Oil G&amp;T)'!$B$76,Model!$AX$3174)</f>
        <v>#NUM!</v>
      </c>
      <c r="BQ3276" s="377" t="e">
        <f>IPMT('Assumptions (Oil G&amp;T)'!$B$73,Model!AP$1,'Assumptions (Oil G&amp;T)'!$B$76,Model!$AX$3174)</f>
        <v>#NUM!</v>
      </c>
      <c r="BR3276" s="377" t="e">
        <f>IPMT('Assumptions (Oil G&amp;T)'!$B$73,Model!AQ$1,'Assumptions (Oil G&amp;T)'!$B$76,Model!$AX$3174)</f>
        <v>#NUM!</v>
      </c>
      <c r="BS3276" s="377" t="e">
        <f>IPMT('Assumptions (Oil G&amp;T)'!$B$73,Model!AR$1,'Assumptions (Oil G&amp;T)'!$B$76,Model!$AX$3174)</f>
        <v>#NUM!</v>
      </c>
      <c r="BT3276" s="377" t="e">
        <f>IPMT('Assumptions (Oil G&amp;T)'!$B$73,Model!AS$1,'Assumptions (Oil G&amp;T)'!$B$76,Model!$AX$3174)</f>
        <v>#NUM!</v>
      </c>
      <c r="BU3276" s="377" t="e">
        <f>IPMT('Assumptions (Oil G&amp;T)'!$B$73,Model!AT$1,'Assumptions (Oil G&amp;T)'!$B$76,Model!$AX$3174)</f>
        <v>#NUM!</v>
      </c>
      <c r="BV3276" s="377" t="e">
        <f>IPMT('Assumptions (Oil G&amp;T)'!$B$73,Model!AU$1,'Assumptions (Oil G&amp;T)'!$B$76,Model!$AX$3174)</f>
        <v>#NUM!</v>
      </c>
    </row>
    <row r="3277" spans="1:82" ht="15.75" hidden="1" customHeight="1" outlineLevel="1">
      <c r="A3277" s="468"/>
      <c r="B3277" s="99"/>
      <c r="C3277" s="377"/>
      <c r="D3277" s="377"/>
      <c r="E3277" s="377"/>
      <c r="F3277" s="377"/>
      <c r="G3277" s="377"/>
      <c r="H3277" s="377"/>
      <c r="I3277" s="377"/>
      <c r="J3277" s="377"/>
      <c r="K3277" s="377"/>
      <c r="L3277" s="377"/>
      <c r="M3277" s="377"/>
      <c r="N3277" s="377"/>
      <c r="O3277" s="377"/>
      <c r="P3277" s="377"/>
      <c r="Q3277" s="377"/>
      <c r="R3277" s="377"/>
      <c r="S3277" s="42"/>
      <c r="T3277" s="42"/>
      <c r="U3277" s="42"/>
      <c r="V3277" s="42"/>
      <c r="W3277" s="86"/>
      <c r="AW3277" s="377"/>
      <c r="AX3277" s="377"/>
      <c r="AY3277" s="377">
        <f>IPMT('Assumptions (Oil G&amp;T)'!$B$73,Model!W$1,'Assumptions (Oil G&amp;T)'!$B$76,Model!$AY$3174)</f>
        <v>-0.94822979937550889</v>
      </c>
      <c r="AZ3277" s="377">
        <f>IPMT('Assumptions (Oil G&amp;T)'!$B$73,Model!X$1,'Assumptions (Oil G&amp;T)'!$B$76,Model!$AY$3174)</f>
        <v>-0.91192470102355516</v>
      </c>
      <c r="BA3277" s="377">
        <f>IPMT('Assumptions (Oil G&amp;T)'!$B$73,Model!Y$1,'Assumptions (Oil G&amp;T)'!$B$76,Model!$AY$3174)</f>
        <v>-0.87289672029520504</v>
      </c>
      <c r="BB3277" s="377">
        <f>IPMT('Assumptions (Oil G&amp;T)'!$B$73,Model!Z$1,'Assumptions (Oil G&amp;T)'!$B$76,Model!$AY$3174)</f>
        <v>-0.83094164101222878</v>
      </c>
      <c r="BC3277" s="377">
        <f>IPMT('Assumptions (Oil G&amp;T)'!$B$73,Model!AA$1,'Assumptions (Oil G&amp;T)'!$B$76,Model!$AY$3174)</f>
        <v>-0.78583993078302905</v>
      </c>
      <c r="BD3277" s="377">
        <f>IPMT('Assumptions (Oil G&amp;T)'!$B$73,Model!AB$1,'Assumptions (Oil G&amp;T)'!$B$76,Model!$AY$3174)</f>
        <v>-0.73735559228663949</v>
      </c>
      <c r="BE3277" s="377">
        <f>IPMT('Assumptions (Oil G&amp;T)'!$B$73,Model!AC$1,'Assumptions (Oil G&amp;T)'!$B$76,Model!$AY$3174)</f>
        <v>-0.68523492840302058</v>
      </c>
      <c r="BF3277" s="377">
        <f>IPMT('Assumptions (Oil G&amp;T)'!$B$73,Model!AD$1,'Assumptions (Oil G&amp;T)'!$B$76,Model!$AY$3174)</f>
        <v>-0.62920521472813051</v>
      </c>
      <c r="BG3277" s="377">
        <f>IPMT('Assumptions (Oil G&amp;T)'!$B$73,Model!AE$1,'Assumptions (Oil G&amp;T)'!$B$76,Model!$AY$3174)</f>
        <v>-0.56897327252762331</v>
      </c>
      <c r="BH3277" s="377">
        <f>IPMT('Assumptions (Oil G&amp;T)'!$B$73,Model!AF$1,'Assumptions (Oil G&amp;T)'!$B$76,Model!$AY$3174)</f>
        <v>-0.50422393466207838</v>
      </c>
      <c r="BI3277" s="377">
        <f>IPMT('Assumptions (Oil G&amp;T)'!$B$73,Model!AG$1,'Assumptions (Oil G&amp;T)'!$B$76,Model!$AY$3174)</f>
        <v>-0.43461839645661748</v>
      </c>
      <c r="BJ3277" s="377">
        <f>IPMT('Assumptions (Oil G&amp;T)'!$B$73,Model!AH$1,'Assumptions (Oil G&amp;T)'!$B$76,Model!$AY$3174)</f>
        <v>-0.35979244288574702</v>
      </c>
      <c r="BK3277" s="377">
        <f>IPMT('Assumptions (Oil G&amp;T)'!$B$73,Model!AI$1,'Assumptions (Oil G&amp;T)'!$B$76,Model!$AY$3174)</f>
        <v>-0.27935454279706118</v>
      </c>
      <c r="BL3277" s="377">
        <f>IPMT('Assumptions (Oil G&amp;T)'!$B$73,Model!AJ$1,'Assumptions (Oil G&amp;T)'!$B$76,Model!$AY$3174)</f>
        <v>-0.19288380020172405</v>
      </c>
      <c r="BM3277" s="377">
        <f>IPMT('Assumptions (Oil G&amp;T)'!$B$73,Model!AK$1,'Assumptions (Oil G&amp;T)'!$B$76,Model!$AY$3174)</f>
        <v>-9.9927751911736556E-2</v>
      </c>
      <c r="BN3277" s="377" t="e">
        <f>IPMT('Assumptions (Oil G&amp;T)'!$B$73,Model!AL$1,'Assumptions (Oil G&amp;T)'!$B$76,Model!$AY$3174)</f>
        <v>#NUM!</v>
      </c>
      <c r="BO3277" s="377" t="e">
        <f>IPMT('Assumptions (Oil G&amp;T)'!$B$73,Model!AM$1,'Assumptions (Oil G&amp;T)'!$B$76,Model!$AY$3174)</f>
        <v>#NUM!</v>
      </c>
      <c r="BP3277" s="377" t="e">
        <f>IPMT('Assumptions (Oil G&amp;T)'!$B$73,Model!AN$1,'Assumptions (Oil G&amp;T)'!$B$76,Model!$AY$3174)</f>
        <v>#NUM!</v>
      </c>
      <c r="BQ3277" s="377" t="e">
        <f>IPMT('Assumptions (Oil G&amp;T)'!$B$73,Model!AO$1,'Assumptions (Oil G&amp;T)'!$B$76,Model!$AY$3174)</f>
        <v>#NUM!</v>
      </c>
      <c r="BR3277" s="377" t="e">
        <f>IPMT('Assumptions (Oil G&amp;T)'!$B$73,Model!AP$1,'Assumptions (Oil G&amp;T)'!$B$76,Model!$AY$3174)</f>
        <v>#NUM!</v>
      </c>
      <c r="BS3277" s="377" t="e">
        <f>IPMT('Assumptions (Oil G&amp;T)'!$B$73,Model!AQ$1,'Assumptions (Oil G&amp;T)'!$B$76,Model!$AY$3174)</f>
        <v>#NUM!</v>
      </c>
      <c r="BT3277" s="377" t="e">
        <f>IPMT('Assumptions (Oil G&amp;T)'!$B$73,Model!AR$1,'Assumptions (Oil G&amp;T)'!$B$76,Model!$AY$3174)</f>
        <v>#NUM!</v>
      </c>
      <c r="BU3277" s="377" t="e">
        <f>IPMT('Assumptions (Oil G&amp;T)'!$B$73,Model!AS$1,'Assumptions (Oil G&amp;T)'!$B$76,Model!$AY$3174)</f>
        <v>#NUM!</v>
      </c>
      <c r="BV3277" s="377" t="e">
        <f>IPMT('Assumptions (Oil G&amp;T)'!$B$73,Model!AT$1,'Assumptions (Oil G&amp;T)'!$B$76,Model!$AY$3174)</f>
        <v>#NUM!</v>
      </c>
      <c r="BW3277" s="377" t="e">
        <f>IPMT('Assumptions (Oil G&amp;T)'!$B$73,Model!AU$1,'Assumptions (Oil G&amp;T)'!$B$76,Model!$AY$3174)</f>
        <v>#NUM!</v>
      </c>
    </row>
    <row r="3278" spans="1:82" ht="15.75" hidden="1" customHeight="1" outlineLevel="1">
      <c r="A3278" s="468"/>
      <c r="B3278" s="99"/>
      <c r="C3278" s="377"/>
      <c r="D3278" s="377"/>
      <c r="E3278" s="377"/>
      <c r="F3278" s="377"/>
      <c r="G3278" s="377"/>
      <c r="H3278" s="377"/>
      <c r="I3278" s="377"/>
      <c r="J3278" s="377"/>
      <c r="K3278" s="377"/>
      <c r="L3278" s="377"/>
      <c r="M3278" s="377"/>
      <c r="N3278" s="377"/>
      <c r="O3278" s="377"/>
      <c r="P3278" s="377"/>
      <c r="Q3278" s="377"/>
      <c r="R3278" s="377"/>
      <c r="S3278" s="42"/>
      <c r="T3278" s="42"/>
      <c r="U3278" s="42"/>
      <c r="V3278" s="42"/>
      <c r="W3278" s="86"/>
      <c r="AW3278" s="377"/>
      <c r="AX3278" s="377"/>
      <c r="AY3278" s="377"/>
      <c r="AZ3278" s="377">
        <f>IPMT('Assumptions (Oil G&amp;T)'!$B$73,Model!W$1,'Assumptions (Oil G&amp;T)'!$B$76,Model!$AZ$3174)</f>
        <v>-0.94237523566731696</v>
      </c>
      <c r="BA3278" s="377">
        <f>IPMT('Assumptions (Oil G&amp;T)'!$B$73,Model!X$1,'Assumptions (Oil G&amp;T)'!$B$76,Model!$AZ$3174)</f>
        <v>-0.9062942923792241</v>
      </c>
      <c r="BB3278" s="377">
        <f>IPMT('Assumptions (Oil G&amp;T)'!$B$73,Model!Y$1,'Assumptions (Oil G&amp;T)'!$B$76,Model!$AZ$3174)</f>
        <v>-0.86750727834452424</v>
      </c>
      <c r="BC3278" s="377">
        <f>IPMT('Assumptions (Oil G&amp;T)'!$B$73,Model!Z$1,'Assumptions (Oil G&amp;T)'!$B$76,Model!$AZ$3174)</f>
        <v>-0.82581123825722202</v>
      </c>
      <c r="BD3278" s="377">
        <f>IPMT('Assumptions (Oil G&amp;T)'!$B$73,Model!AA$1,'Assumptions (Oil G&amp;T)'!$B$76,Model!$AZ$3174)</f>
        <v>-0.78098799516337192</v>
      </c>
      <c r="BE3278" s="377">
        <f>IPMT('Assumptions (Oil G&amp;T)'!$B$73,Model!AB$1,'Assumptions (Oil G&amp;T)'!$B$76,Model!$AZ$3174)</f>
        <v>-0.73280300883748317</v>
      </c>
      <c r="BF3278" s="377">
        <f>IPMT('Assumptions (Oil G&amp;T)'!$B$73,Model!AC$1,'Assumptions (Oil G&amp;T)'!$B$76,Model!$AZ$3174)</f>
        <v>-0.68100414853715285</v>
      </c>
      <c r="BG3278" s="377">
        <f>IPMT('Assumptions (Oil G&amp;T)'!$B$73,Model!AD$1,'Assumptions (Oil G&amp;T)'!$B$76,Model!$AZ$3174)</f>
        <v>-0.62532037371429761</v>
      </c>
      <c r="BH3278" s="377">
        <f>IPMT('Assumptions (Oil G&amp;T)'!$B$73,Model!AE$1,'Assumptions (Oil G&amp;T)'!$B$76,Model!$AZ$3174)</f>
        <v>-0.56546031577972833</v>
      </c>
      <c r="BI3278" s="377">
        <f>IPMT('Assumptions (Oil G&amp;T)'!$B$73,Model!AF$1,'Assumptions (Oil G&amp;T)'!$B$76,Model!$AZ$3174)</f>
        <v>-0.50111075350006618</v>
      </c>
      <c r="BJ3278" s="377">
        <f>IPMT('Assumptions (Oil G&amp;T)'!$B$73,Model!AG$1,'Assumptions (Oil G&amp;T)'!$B$76,Model!$AZ$3174)</f>
        <v>-0.4319349740494296</v>
      </c>
      <c r="BK3278" s="377">
        <f>IPMT('Assumptions (Oil G&amp;T)'!$B$73,Model!AH$1,'Assumptions (Oil G&amp;T)'!$B$76,Model!$AZ$3174)</f>
        <v>-0.35757101113999523</v>
      </c>
      <c r="BL3278" s="377">
        <f>IPMT('Assumptions (Oil G&amp;T)'!$B$73,Model!AI$1,'Assumptions (Oil G&amp;T)'!$B$76,Model!$AZ$3174)</f>
        <v>-0.27762975101235315</v>
      </c>
      <c r="BM3278" s="377">
        <f>IPMT('Assumptions (Oil G&amp;T)'!$B$73,Model!AJ$1,'Assumptions (Oil G&amp;T)'!$B$76,Model!$AZ$3174)</f>
        <v>-0.19169289637513803</v>
      </c>
      <c r="BN3278" s="377">
        <f>IPMT('Assumptions (Oil G&amp;T)'!$B$73,Model!AK$1,'Assumptions (Oil G&amp;T)'!$B$76,Model!$AZ$3174)</f>
        <v>-9.9310777640131756E-2</v>
      </c>
      <c r="BO3278" s="377" t="e">
        <f>IPMT('Assumptions (Oil G&amp;T)'!$B$73,Model!AL$1,'Assumptions (Oil G&amp;T)'!$B$76,Model!$AZ$3174)</f>
        <v>#NUM!</v>
      </c>
      <c r="BP3278" s="377" t="e">
        <f>IPMT('Assumptions (Oil G&amp;T)'!$B$73,Model!AM$1,'Assumptions (Oil G&amp;T)'!$B$76,Model!$AZ$3174)</f>
        <v>#NUM!</v>
      </c>
      <c r="BQ3278" s="377" t="e">
        <f>IPMT('Assumptions (Oil G&amp;T)'!$B$73,Model!AN$1,'Assumptions (Oil G&amp;T)'!$B$76,Model!$AZ$3174)</f>
        <v>#NUM!</v>
      </c>
      <c r="BR3278" s="377" t="e">
        <f>IPMT('Assumptions (Oil G&amp;T)'!$B$73,Model!AO$1,'Assumptions (Oil G&amp;T)'!$B$76,Model!$AZ$3174)</f>
        <v>#NUM!</v>
      </c>
      <c r="BS3278" s="377" t="e">
        <f>IPMT('Assumptions (Oil G&amp;T)'!$B$73,Model!AP$1,'Assumptions (Oil G&amp;T)'!$B$76,Model!$AZ$3174)</f>
        <v>#NUM!</v>
      </c>
      <c r="BT3278" s="377" t="e">
        <f>IPMT('Assumptions (Oil G&amp;T)'!$B$73,Model!AQ$1,'Assumptions (Oil G&amp;T)'!$B$76,Model!$AZ$3174)</f>
        <v>#NUM!</v>
      </c>
      <c r="BU3278" s="377" t="e">
        <f>IPMT('Assumptions (Oil G&amp;T)'!$B$73,Model!AR$1,'Assumptions (Oil G&amp;T)'!$B$76,Model!$AZ$3174)</f>
        <v>#NUM!</v>
      </c>
      <c r="BV3278" s="377" t="e">
        <f>IPMT('Assumptions (Oil G&amp;T)'!$B$73,Model!AS$1,'Assumptions (Oil G&amp;T)'!$B$76,Model!$AZ$3174)</f>
        <v>#NUM!</v>
      </c>
      <c r="BW3278" s="377" t="e">
        <f>IPMT('Assumptions (Oil G&amp;T)'!$B$73,Model!AT$1,'Assumptions (Oil G&amp;T)'!$B$76,Model!$AZ$3174)</f>
        <v>#NUM!</v>
      </c>
      <c r="BX3278" s="377" t="e">
        <f>IPMT('Assumptions (Oil G&amp;T)'!$B$73,Model!AU$1,'Assumptions (Oil G&amp;T)'!$B$76,Model!$AZ$3174)</f>
        <v>#NUM!</v>
      </c>
    </row>
    <row r="3279" spans="1:82" ht="15.75" hidden="1" customHeight="1" outlineLevel="1">
      <c r="A3279" s="468"/>
      <c r="B3279" s="99"/>
      <c r="C3279" s="377"/>
      <c r="D3279" s="377"/>
      <c r="E3279" s="377"/>
      <c r="F3279" s="377"/>
      <c r="G3279" s="377"/>
      <c r="H3279" s="377"/>
      <c r="I3279" s="377"/>
      <c r="J3279" s="377"/>
      <c r="K3279" s="377"/>
      <c r="L3279" s="377"/>
      <c r="M3279" s="377"/>
      <c r="N3279" s="377"/>
      <c r="O3279" s="377"/>
      <c r="P3279" s="377"/>
      <c r="Q3279" s="377"/>
      <c r="R3279" s="377"/>
      <c r="S3279" s="42"/>
      <c r="T3279" s="42"/>
      <c r="U3279" s="42"/>
      <c r="V3279" s="42"/>
      <c r="W3279" s="86"/>
      <c r="BA3279" s="377">
        <f>IPMT('Assumptions (Oil G&amp;T)'!$B$73,Model!W$1,'Assumptions (Oil G&amp;T)'!$B$76,Model!$BA$3174)</f>
        <v>-0.93894961416175171</v>
      </c>
      <c r="BB3279" s="377">
        <f>IPMT('Assumptions (Oil G&amp;T)'!$B$73,Model!X$1,'Assumptions (Oil G&amp;T)'!$B$76,Model!$BA$3174)</f>
        <v>-0.90299982845355975</v>
      </c>
      <c r="BC3279" s="377">
        <f>IPMT('Assumptions (Oil G&amp;T)'!$B$73,Model!Y$1,'Assumptions (Oil G&amp;T)'!$B$76,Model!$BA$3174)</f>
        <v>-0.86435380881725354</v>
      </c>
      <c r="BD3279" s="377">
        <f>IPMT('Assumptions (Oil G&amp;T)'!$B$73,Model!Z$1,'Assumptions (Oil G&amp;T)'!$B$76,Model!$BA$3174)</f>
        <v>-0.82280933770822451</v>
      </c>
      <c r="BE3279" s="377">
        <f>IPMT('Assumptions (Oil G&amp;T)'!$B$73,Model!AA$1,'Assumptions (Oil G&amp;T)'!$B$76,Model!$BA$3174)</f>
        <v>-0.77814903126601787</v>
      </c>
      <c r="BF3279" s="377">
        <f>IPMT('Assumptions (Oil G&amp;T)'!$B$73,Model!AB$1,'Assumptions (Oil G&amp;T)'!$B$76,Model!$BA$3174)</f>
        <v>-0.73013920184064607</v>
      </c>
      <c r="BG3279" s="377">
        <f>IPMT('Assumptions (Oil G&amp;T)'!$B$73,Model!AC$1,'Assumptions (Oil G&amp;T)'!$B$76,Model!$BA$3174)</f>
        <v>-0.67852863520837126</v>
      </c>
      <c r="BH3279" s="377">
        <f>IPMT('Assumptions (Oil G&amp;T)'!$B$73,Model!AD$1,'Assumptions (Oil G&amp;T)'!$B$76,Model!$BA$3174)</f>
        <v>-0.62304727607867594</v>
      </c>
      <c r="BI3279" s="377">
        <f>IPMT('Assumptions (Oil G&amp;T)'!$B$73,Model!AE$1,'Assumptions (Oil G&amp;T)'!$B$76,Model!$BA$3174)</f>
        <v>-0.56340481501425344</v>
      </c>
      <c r="BJ3279" s="377">
        <f>IPMT('Assumptions (Oil G&amp;T)'!$B$73,Model!AF$1,'Assumptions (Oil G&amp;T)'!$B$76,Model!$BA$3174)</f>
        <v>-0.49928916936999912</v>
      </c>
      <c r="BK3279" s="377">
        <f>IPMT('Assumptions (Oil G&amp;T)'!$B$73,Model!AG$1,'Assumptions (Oil G&amp;T)'!$B$76,Model!$BA$3174)</f>
        <v>-0.43036485030242583</v>
      </c>
      <c r="BL3279" s="377">
        <f>IPMT('Assumptions (Oil G&amp;T)'!$B$73,Model!AH$1,'Assumptions (Oil G&amp;T)'!$B$76,Model!$BA$3174)</f>
        <v>-0.35627120730478462</v>
      </c>
      <c r="BM3279" s="377">
        <f>IPMT('Assumptions (Oil G&amp;T)'!$B$73,Model!AI$1,'Assumptions (Oil G&amp;T)'!$B$76,Model!$BA$3174)</f>
        <v>-0.27662054108232015</v>
      </c>
      <c r="BN3279" s="377">
        <f>IPMT('Assumptions (Oil G&amp;T)'!$B$73,Model!AJ$1,'Assumptions (Oil G&amp;T)'!$B$76,Model!$BA$3174)</f>
        <v>-0.19099607489317097</v>
      </c>
      <c r="BO3279" s="377">
        <f>IPMT('Assumptions (Oil G&amp;T)'!$B$73,Model!AK$1,'Assumptions (Oil G&amp;T)'!$B$76,Model!$BA$3174)</f>
        <v>-9.8949773739835573E-2</v>
      </c>
      <c r="BP3279" s="377" t="e">
        <f>IPMT('Assumptions (Oil G&amp;T)'!$B$73,Model!AL$1,'Assumptions (Oil G&amp;T)'!$B$76,Model!$BA$3174)</f>
        <v>#NUM!</v>
      </c>
      <c r="BQ3279" s="377" t="e">
        <f>IPMT('Assumptions (Oil G&amp;T)'!$B$73,Model!AM$1,'Assumptions (Oil G&amp;T)'!$B$76,Model!$BA$3174)</f>
        <v>#NUM!</v>
      </c>
      <c r="BR3279" s="377" t="e">
        <f>IPMT('Assumptions (Oil G&amp;T)'!$B$73,Model!AN$1,'Assumptions (Oil G&amp;T)'!$B$76,Model!$BA$3174)</f>
        <v>#NUM!</v>
      </c>
      <c r="BS3279" s="377" t="e">
        <f>IPMT('Assumptions (Oil G&amp;T)'!$B$73,Model!AO$1,'Assumptions (Oil G&amp;T)'!$B$76,Model!$BA$3174)</f>
        <v>#NUM!</v>
      </c>
      <c r="BT3279" s="377" t="e">
        <f>IPMT('Assumptions (Oil G&amp;T)'!$B$73,Model!AP$1,'Assumptions (Oil G&amp;T)'!$B$76,Model!$BA$3174)</f>
        <v>#NUM!</v>
      </c>
      <c r="BU3279" s="377" t="e">
        <f>IPMT('Assumptions (Oil G&amp;T)'!$B$73,Model!AQ$1,'Assumptions (Oil G&amp;T)'!$B$76,Model!$BA$3174)</f>
        <v>#NUM!</v>
      </c>
      <c r="BV3279" s="377" t="e">
        <f>IPMT('Assumptions (Oil G&amp;T)'!$B$73,Model!AR$1,'Assumptions (Oil G&amp;T)'!$B$76,Model!$BA$3174)</f>
        <v>#NUM!</v>
      </c>
      <c r="BW3279" s="377" t="e">
        <f>IPMT('Assumptions (Oil G&amp;T)'!$B$73,Model!AS$1,'Assumptions (Oil G&amp;T)'!$B$76,Model!$BA$3174)</f>
        <v>#NUM!</v>
      </c>
      <c r="BX3279" s="377" t="e">
        <f>IPMT('Assumptions (Oil G&amp;T)'!$B$73,Model!AT$1,'Assumptions (Oil G&amp;T)'!$B$76,Model!$BA$3174)</f>
        <v>#NUM!</v>
      </c>
      <c r="BY3279" s="377" t="e">
        <f>IPMT('Assumptions (Oil G&amp;T)'!$B$73,Model!AU$1,'Assumptions (Oil G&amp;T)'!$B$76,Model!$BA$3174)</f>
        <v>#NUM!</v>
      </c>
    </row>
    <row r="3280" spans="1:82" ht="15.75" customHeight="1" collapsed="1">
      <c r="A3280" s="468" t="s">
        <v>837</v>
      </c>
      <c r="B3280" s="99" t="s">
        <v>201</v>
      </c>
      <c r="C3280" s="147">
        <f>SUM($C$3173:C3173)*'Assumptions (Oil G&amp;T)'!$B$78</f>
        <v>6.4969244709999985E-2</v>
      </c>
      <c r="D3280" s="147">
        <f>SUM($C$3173:D3173)*'Assumptions (Oil G&amp;T)'!$B$78</f>
        <v>0.13337363950833331</v>
      </c>
      <c r="E3280" s="147">
        <f>SUM($C$3173:E3173)*'Assumptions (Oil G&amp;T)'!$B$78</f>
        <v>0.20292318935666664</v>
      </c>
      <c r="F3280" s="147">
        <f>SUM($C$3173:F3173)*'Assumptions (Oil G&amp;T)'!$B$78</f>
        <v>0.27331005248000001</v>
      </c>
      <c r="G3280" s="147">
        <f>SUM($C$3173:G3173)*'Assumptions (Oil G&amp;T)'!$B$78</f>
        <v>0.38991857189333329</v>
      </c>
      <c r="H3280" s="147">
        <f>SUM($C$3173:H3173)*'Assumptions (Oil G&amp;T)'!$B$78</f>
        <v>0.49669650724499992</v>
      </c>
      <c r="I3280" s="147">
        <f>SUM($C$3173:I3173)*'Assumptions (Oil G&amp;T)'!$B$78</f>
        <v>0.59178210459833325</v>
      </c>
      <c r="J3280" s="147">
        <f>SUM($C$3173:J3173)*'Assumptions (Oil G&amp;T)'!$B$78</f>
        <v>0.77175859722166651</v>
      </c>
      <c r="K3280" s="147">
        <f>SUM($C$3173:K3173)*'Assumptions (Oil G&amp;T)'!$B$78</f>
        <v>0.96398560269166655</v>
      </c>
      <c r="L3280" s="147">
        <f>SUM($C$3173:L3173)*'Assumptions (Oil G&amp;T)'!$B$78</f>
        <v>1.1193792224733332</v>
      </c>
      <c r="M3280" s="147">
        <f>SUM($C$3173:M3173)*'Assumptions (Oil G&amp;T)'!$B$78</f>
        <v>1.4018047828433329</v>
      </c>
      <c r="N3280" s="147">
        <f>SUM($C$3173:N3173)*'Assumptions (Oil G&amp;T)'!$B$78</f>
        <v>1.5543151703116664</v>
      </c>
      <c r="O3280" s="147">
        <f>SUM($C$3173:O3173)*'Assumptions (Oil G&amp;T)'!$B$78</f>
        <v>1.824048037123333</v>
      </c>
      <c r="P3280" s="147">
        <f>SUM($C$3173:P3173)*'Assumptions (Oil G&amp;T)'!$B$78</f>
        <v>2.4112922656799993</v>
      </c>
      <c r="Q3280" s="147">
        <f>SUM($C$3173:Q3173)*'Assumptions (Oil G&amp;T)'!$B$78</f>
        <v>3.2200521873066661</v>
      </c>
      <c r="R3280" s="147">
        <f>SUM($C$3173:R3173)*'Assumptions (Oil G&amp;T)'!$B$78</f>
        <v>3.833228801476666</v>
      </c>
      <c r="S3280" s="147">
        <f>SUM($C$3173:S3173)*'Assumptions (Oil G&amp;T)'!$B$78</f>
        <v>4.2149206255766662</v>
      </c>
      <c r="T3280" s="147">
        <f>SUM($C$3173:T3173)*'Assumptions (Oil G&amp;T)'!$B$78</f>
        <v>4.8057408451428625</v>
      </c>
      <c r="U3280" s="147">
        <f>SUM($C$3173:U3173)*'Assumptions (Oil G&amp;T)'!$B$78</f>
        <v>5.4494997628360604</v>
      </c>
      <c r="V3280" s="147">
        <f>SUM($C$3173:V3173)*'Assumptions (Oil G&amp;T)'!$B$78</f>
        <v>6.1263308068605111</v>
      </c>
      <c r="W3280" s="147">
        <f>SUM($C$3173:W3173)*'Assumptions (Oil G&amp;T)'!$B$78</f>
        <v>6.8257704141361595</v>
      </c>
      <c r="X3280" s="147">
        <f>SUM($C$3173:X3173)*'Assumptions (Oil G&amp;T)'!$B$78</f>
        <v>7.5358838932616488</v>
      </c>
      <c r="Y3280" s="147">
        <f>SUM($C$3173:Y3173)*'Assumptions (Oil G&amp;T)'!$B$78</f>
        <v>8.2481256983297371</v>
      </c>
      <c r="Z3280" s="147">
        <f>SUM($C$3173:Z3173)*'Assumptions (Oil G&amp;T)'!$B$78</f>
        <v>8.9602757685276089</v>
      </c>
      <c r="AA3280" s="147">
        <f>SUM($C$3173:AA3173)*'Assumptions (Oil G&amp;T)'!$B$78</f>
        <v>9.6774766212632937</v>
      </c>
      <c r="AB3280" s="147">
        <f>SUM($C$3173:AB3173)*'Assumptions (Oil G&amp;T)'!$B$78</f>
        <v>10.397049784196724</v>
      </c>
      <c r="AC3280" s="147">
        <f>SUM($C$3173:AC3173)*'Assumptions (Oil G&amp;T)'!$B$78</f>
        <v>11.121508711692945</v>
      </c>
      <c r="AD3280" s="147">
        <f>SUM($C$3173:AD3173)*'Assumptions (Oil G&amp;T)'!$B$78</f>
        <v>11.851709864315891</v>
      </c>
      <c r="AE3280" s="147">
        <f>SUM($C$3173:AE3173)*'Assumptions (Oil G&amp;T)'!$B$78</f>
        <v>12.582731142722801</v>
      </c>
      <c r="AF3280" s="147">
        <f>SUM($C$3173:AF3173)*'Assumptions (Oil G&amp;T)'!$B$78</f>
        <v>13.316156641834247</v>
      </c>
      <c r="AG3280" s="147">
        <f>SUM(D3173:AG3173)*'Assumptions (Oil G&amp;T)'!$B$78</f>
        <v>13.986371115750671</v>
      </c>
      <c r="AH3280" s="147">
        <f>SUM(E3173:AH3173)*'Assumptions (Oil G&amp;T)'!$B$78</f>
        <v>14.654426559872425</v>
      </c>
      <c r="AI3280" s="147">
        <f>SUM(F3173:AI3173)*'Assumptions (Oil G&amp;T)'!$B$78</f>
        <v>15.320517738709425</v>
      </c>
      <c r="AJ3280" s="147">
        <f>SUM(G3173:AJ3173)*'Assumptions (Oil G&amp;T)'!$B$78</f>
        <v>15.984314209723637</v>
      </c>
      <c r="AK3280" s="147">
        <f>SUM(H3173:AK3173)*'Assumptions (Oil G&amp;T)'!$B$78</f>
        <v>16.60125435486724</v>
      </c>
      <c r="AL3280" s="147">
        <f>SUM(I3173:AL3173)*'Assumptions (Oil G&amp;T)'!$B$78</f>
        <v>17.225955799444268</v>
      </c>
      <c r="AM3280" s="147">
        <f>SUM(J3173:AM3173)*'Assumptions (Oil G&amp;T)'!$B$78</f>
        <v>17.859616510016664</v>
      </c>
      <c r="AN3280" s="147">
        <f>SUM(K3173:AN3173)*'Assumptions (Oil G&amp;T)'!$B$78</f>
        <v>18.405211001162552</v>
      </c>
      <c r="AO3280" s="147">
        <f>SUM(L3173:AO3173)*'Assumptions (Oil G&amp;T)'!$B$78</f>
        <v>18.936493745876856</v>
      </c>
      <c r="AP3280" s="147">
        <f>SUM(M3173:AP3173)*'Assumptions (Oil G&amp;T)'!$B$78</f>
        <v>19.5027905847667</v>
      </c>
      <c r="AQ3280" s="147">
        <f>SUM(N3173:AQ3173)*'Assumptions (Oil G&amp;T)'!$B$78</f>
        <v>19.940145267375961</v>
      </c>
      <c r="AR3280" s="147">
        <f>SUM(O3173:AR3173)*'Assumptions (Oil G&amp;T)'!$B$78</f>
        <v>20.506862735032275</v>
      </c>
      <c r="AS3280" s="147">
        <f>SUM(P3173:AS3173)*'Assumptions (Oil G&amp;T)'!$B$78</f>
        <v>20.954973453982799</v>
      </c>
      <c r="AT3280" s="147">
        <f>SUM(Q3173:AT3173)*'Assumptions (Oil G&amp;T)'!$B$78</f>
        <v>21.083438120137398</v>
      </c>
      <c r="AU3280" s="147">
        <f>SUM(R3173:AU3173)*'Assumptions (Oil G&amp;T)'!$B$78</f>
        <v>20.988352500119298</v>
      </c>
      <c r="AV3280" s="147">
        <f>SUM(S3173:AV3173)*'Assumptions (Oil G&amp;T)'!$B$78</f>
        <v>21.085155494359913</v>
      </c>
      <c r="AW3280" s="147">
        <f>SUM(T3173:AW3173)*'Assumptions (Oil G&amp;T)'!$B$78</f>
        <v>21.410526139045793</v>
      </c>
      <c r="AX3280" s="147">
        <f>SUM(U3173:AX3173)*'Assumptions (Oil G&amp;T)'!$B$78</f>
        <v>21.524436212182053</v>
      </c>
      <c r="AY3280" s="147">
        <f>SUM(V3173:AY3173)*'Assumptions (Oil G&amp;T)'!$B$78</f>
        <v>21.583069738470712</v>
      </c>
      <c r="AZ3280" s="147">
        <f>SUM(W3173:AZ3173)*'Assumptions (Oil G&amp;T)'!$B$78</f>
        <v>21.604294424570202</v>
      </c>
      <c r="BA3280" s="147">
        <f>SUM(X3173:BA3173)*'Assumptions (Oil G&amp;T)'!$B$78</f>
        <v>21.600373050006962</v>
      </c>
      <c r="BB3280" s="147">
        <f>SUM(Y3173:BB3173)*'Assumptions (Oil G&amp;T)'!$B$78</f>
        <v>20.890259570881472</v>
      </c>
      <c r="BC3280" s="147">
        <f>SUM(Z3173:BC3173)*'Assumptions (Oil G&amp;T)'!$B$78</f>
        <v>20.178017765813383</v>
      </c>
      <c r="BD3280" s="147">
        <f>SUM(AA3173:BD3173)*'Assumptions (Oil G&amp;T)'!$B$78</f>
        <v>19.465867695615511</v>
      </c>
      <c r="BE3280" s="147">
        <f>SUM(AB3173:BE3173)*'Assumptions (Oil G&amp;T)'!$B$78</f>
        <v>18.748666842879828</v>
      </c>
      <c r="BF3280" s="147">
        <f>SUM(AC3173:BF3173)*'Assumptions (Oil G&amp;T)'!$B$78</f>
        <v>18.029093679946399</v>
      </c>
      <c r="BG3280" s="147">
        <f>SUM(AD3173:BG3173)*'Assumptions (Oil G&amp;T)'!$B$78</f>
        <v>17.304634752450177</v>
      </c>
      <c r="BH3280" s="147">
        <f>SUM(AE3173:BH3173)*'Assumptions (Oil G&amp;T)'!$B$78</f>
        <v>16.574433599827231</v>
      </c>
      <c r="BI3280" s="147">
        <f>SUM(AF3173:BI3173)*'Assumptions (Oil G&amp;T)'!$B$78</f>
        <v>15.84341232142032</v>
      </c>
      <c r="BJ3280" s="147">
        <f>SUM(AG3173:BJ3173)*'Assumptions (Oil G&amp;T)'!$B$78</f>
        <v>15.109986822308876</v>
      </c>
      <c r="BK3280" s="147">
        <f>SUM(AH3173:BK3173)*'Assumptions (Oil G&amp;T)'!$B$78</f>
        <v>14.374803103682449</v>
      </c>
      <c r="BL3280" s="147">
        <f>SUM(AI3173:BL3173)*'Assumptions (Oil G&amp;T)'!$B$78</f>
        <v>13.638343264762364</v>
      </c>
      <c r="BM3280" s="147">
        <f>SUM(AJ3173:BM3173)*'Assumptions (Oil G&amp;T)'!$B$78</f>
        <v>12.90270253607703</v>
      </c>
      <c r="BN3280" s="147">
        <f>SUM(AK3173:BN3173)*'Assumptions (Oil G&amp;T)'!$B$78</f>
        <v>12.168519201939485</v>
      </c>
      <c r="BO3280" s="147">
        <f>SUM(AL3173:BO3173)*'Assumptions (Oil G&amp;T)'!$B$78</f>
        <v>11.434970537382549</v>
      </c>
      <c r="BP3280" s="147">
        <f>SUM(AM3173:BP3173)*'Assumptions (Oil G&amp;T)'!$B$78</f>
        <v>10.703491157453849</v>
      </c>
      <c r="BQ3280" s="147">
        <f>SUM(AN3173:BQ3173)*'Assumptions (Oil G&amp;T)'!$B$78</f>
        <v>9.9747448495281219</v>
      </c>
      <c r="BR3280" s="147">
        <f>SUM(AO3173:BR3173)*'Assumptions (Oil G&amp;T)'!$B$78</f>
        <v>9.2491738657589018</v>
      </c>
      <c r="BS3280" s="147">
        <f>SUM(AP3173:BS3173)*'Assumptions (Oil G&amp;T)'!$B$78</f>
        <v>8.5256641155745978</v>
      </c>
      <c r="BT3280" s="147">
        <f>SUM(AQ3173:BT3173)*'Assumptions (Oil G&amp;T)'!$B$78</f>
        <v>7.803973656903084</v>
      </c>
      <c r="BU3280" s="147">
        <f>SUM(AR3173:BU3173)*'Assumptions (Oil G&amp;T)'!$B$78</f>
        <v>7.0841934139238258</v>
      </c>
      <c r="BV3280" s="147">
        <f>SUM(AS3173:BV3173)*'Assumptions (Oil G&amp;T)'!$B$78</f>
        <v>6.3649655587991774</v>
      </c>
      <c r="BW3280" s="147">
        <f>SUM(AT3173:BW3173)*'Assumptions (Oil G&amp;T)'!$B$78</f>
        <v>5.6471219730369873</v>
      </c>
      <c r="BX3280" s="147">
        <f>SUM(AU3173:BX3173)*'Assumptions (Oil G&amp;T)'!$B$78</f>
        <v>4.9314130783257157</v>
      </c>
      <c r="BY3280" s="147">
        <f>SUM(AV3173:BY3173)*'Assumptions (Oil G&amp;T)'!$B$78</f>
        <v>4.2177387767171597</v>
      </c>
      <c r="BZ3280" s="147">
        <f>SUM(AW3173:BZ3173)*'Assumptions (Oil G&amp;T)'!$B$78</f>
        <v>3.5077591683065381</v>
      </c>
      <c r="CA3280" s="147">
        <f>SUM(AX3173:CA3173)*'Assumptions (Oil G&amp;T)'!$B$78</f>
        <v>2.8006966995206541</v>
      </c>
      <c r="CB3280" s="147">
        <f>SUM(AY3173:CB3173)*'Assumptions (Oil G&amp;T)'!$B$78</f>
        <v>2.0959664068182056</v>
      </c>
      <c r="CC3280" s="147">
        <f>SUM(AZ3173:CC3173)*'Assumptions (Oil G&amp;T)'!$B$78</f>
        <v>1.3935739628363473</v>
      </c>
      <c r="CD3280" s="147">
        <f>SUM(BA3173:CD3173)*'Assumptions (Oil G&amp;T)'!$B$78</f>
        <v>0.69551823271240876</v>
      </c>
    </row>
    <row r="3281" spans="1:73" ht="15.75" customHeight="1">
      <c r="A3281" s="468" t="s">
        <v>838</v>
      </c>
      <c r="B3281" s="99" t="s">
        <v>201</v>
      </c>
      <c r="C3281" s="147">
        <f t="shared" ref="C3281:BU3281" si="68">SUM(C3282:C3332)</f>
        <v>7.3090400298749983E-2</v>
      </c>
      <c r="D3281" s="147">
        <f t="shared" si="68"/>
        <v>0.21765883741657199</v>
      </c>
      <c r="E3281" s="147">
        <f t="shared" si="68"/>
        <v>0.35652653547272645</v>
      </c>
      <c r="F3281" s="147">
        <f t="shared" si="68"/>
        <v>0.487224031712928</v>
      </c>
      <c r="G3281" s="147">
        <f t="shared" si="68"/>
        <v>0.66104708961665981</v>
      </c>
      <c r="H3281" s="147">
        <f t="shared" si="68"/>
        <v>0.86278547384294491</v>
      </c>
      <c r="I3281" s="147">
        <f t="shared" si="68"/>
        <v>1.0251597347848613</v>
      </c>
      <c r="J3281" s="147">
        <f t="shared" si="68"/>
        <v>1.257726899914611</v>
      </c>
      <c r="K3281" s="147">
        <f t="shared" si="68"/>
        <v>1.5875730290411163</v>
      </c>
      <c r="L3281" s="147">
        <f t="shared" si="68"/>
        <v>1.8718080702398232</v>
      </c>
      <c r="M3281" s="147">
        <f t="shared" si="68"/>
        <v>2.2431867040538274</v>
      </c>
      <c r="N3281" s="147">
        <f t="shared" si="68"/>
        <v>2.5905107333743107</v>
      </c>
      <c r="O3281" s="147">
        <f t="shared" si="68"/>
        <v>2.9084302018432142</v>
      </c>
      <c r="P3281" s="147">
        <f t="shared" si="68"/>
        <v>3.7024848885125787</v>
      </c>
      <c r="Q3281" s="147">
        <f t="shared" si="68"/>
        <v>5.0531180393965354</v>
      </c>
      <c r="R3281" s="147">
        <f t="shared" si="68"/>
        <v>6.3482957760032548</v>
      </c>
      <c r="S3281" s="147">
        <f t="shared" si="68"/>
        <v>7.0849288445084335</v>
      </c>
      <c r="T3281" s="147">
        <f t="shared" si="68"/>
        <v>7.7574284033380829</v>
      </c>
      <c r="U3281" s="147">
        <f t="shared" si="68"/>
        <v>8.7005354305995866</v>
      </c>
      <c r="V3281" s="147">
        <f t="shared" si="68"/>
        <v>9.6870355396017143</v>
      </c>
      <c r="W3281" s="147">
        <f t="shared" si="68"/>
        <v>10.644005947864008</v>
      </c>
      <c r="X3281" s="147">
        <f t="shared" si="68"/>
        <v>11.571166239980505</v>
      </c>
      <c r="Y3281" s="147">
        <f t="shared" si="68"/>
        <v>12.51098273377036</v>
      </c>
      <c r="Z3281" s="147">
        <f t="shared" si="68"/>
        <v>13.439000854443407</v>
      </c>
      <c r="AA3281" s="147">
        <f t="shared" si="68"/>
        <v>14.306812471554281</v>
      </c>
      <c r="AB3281" s="147">
        <f t="shared" si="68"/>
        <v>15.139922415571805</v>
      </c>
      <c r="AC3281" s="147">
        <f t="shared" si="68"/>
        <v>15.985647512045901</v>
      </c>
      <c r="AD3281" s="147">
        <f t="shared" si="68"/>
        <v>16.788157510629709</v>
      </c>
      <c r="AE3281" s="147">
        <f t="shared" si="68"/>
        <v>17.528905977405408</v>
      </c>
      <c r="AF3281" s="147">
        <f t="shared" si="68"/>
        <v>18.286572087593797</v>
      </c>
      <c r="AG3281" s="147">
        <f t="shared" si="68"/>
        <v>18.985758683165482</v>
      </c>
      <c r="AH3281" s="147">
        <f t="shared" si="68"/>
        <v>19.6873823660945</v>
      </c>
      <c r="AI3281" s="147">
        <f t="shared" si="68"/>
        <v>20.395419622555579</v>
      </c>
      <c r="AJ3281" s="147">
        <f t="shared" si="68"/>
        <v>20.807913829015856</v>
      </c>
      <c r="AK3281" s="147">
        <f t="shared" si="68"/>
        <v>20.855982675711044</v>
      </c>
      <c r="AL3281" s="147">
        <f t="shared" si="68"/>
        <v>20.883244259179879</v>
      </c>
      <c r="AM3281" s="147">
        <f t="shared" si="68"/>
        <v>21.190776701965682</v>
      </c>
      <c r="AN3281" s="147">
        <f t="shared" si="68"/>
        <v>21.507258866220855</v>
      </c>
      <c r="AO3281" s="147">
        <f t="shared" si="68"/>
        <v>21.643682410610566</v>
      </c>
      <c r="AP3281" s="147">
        <f t="shared" si="68"/>
        <v>21.719888506149815</v>
      </c>
      <c r="AQ3281" s="147">
        <f t="shared" si="68"/>
        <v>21.756497599276948</v>
      </c>
      <c r="AR3281" s="147">
        <f t="shared" si="68"/>
        <v>21.769964231681676</v>
      </c>
      <c r="AS3281" s="147">
        <f t="shared" si="68"/>
        <v>21.774573524054595</v>
      </c>
      <c r="AT3281" s="147">
        <f t="shared" si="68"/>
        <v>21.775587122781435</v>
      </c>
      <c r="AU3281" s="147">
        <f t="shared" si="68"/>
        <v>21.770222756801271</v>
      </c>
      <c r="AV3281" s="147">
        <f t="shared" si="68"/>
        <v>21.754994743400363</v>
      </c>
      <c r="AW3281" s="147">
        <f t="shared" si="68"/>
        <v>21.729161230775389</v>
      </c>
      <c r="AX3281" s="147">
        <f t="shared" si="68"/>
        <v>21.692245870024308</v>
      </c>
      <c r="AY3281" s="147">
        <f t="shared" si="68"/>
        <v>21.647727246835601</v>
      </c>
      <c r="AZ3281" s="147">
        <f t="shared" si="68"/>
        <v>21.595747737310745</v>
      </c>
      <c r="BA3281" s="147">
        <f t="shared" si="68"/>
        <v>21.535726874112623</v>
      </c>
      <c r="BB3281" s="147">
        <f t="shared" si="68"/>
        <v>20.691033752766838</v>
      </c>
      <c r="BC3281" s="147">
        <f t="shared" si="68"/>
        <v>19.124687144972921</v>
      </c>
      <c r="BD3281" s="147">
        <f t="shared" si="68"/>
        <v>17.674904374909239</v>
      </c>
      <c r="BE3281" s="147">
        <f t="shared" si="68"/>
        <v>16.332347437488146</v>
      </c>
      <c r="BF3281" s="147">
        <f t="shared" si="68"/>
        <v>15.089557265315035</v>
      </c>
      <c r="BG3281" s="147">
        <f t="shared" si="68"/>
        <v>13.940106520327895</v>
      </c>
      <c r="BH3281" s="147">
        <f t="shared" si="68"/>
        <v>12.877802845492438</v>
      </c>
      <c r="BI3281" s="147">
        <f t="shared" si="68"/>
        <v>11.895418243054591</v>
      </c>
      <c r="BJ3281" s="147">
        <f t="shared" si="68"/>
        <v>10.928149679736562</v>
      </c>
      <c r="BK3281" s="147">
        <f t="shared" si="68"/>
        <v>9.9635859097901296</v>
      </c>
      <c r="BL3281" s="147">
        <f t="shared" si="68"/>
        <v>9.0004611531336494</v>
      </c>
      <c r="BM3281" s="147">
        <f t="shared" si="68"/>
        <v>8.0388416427001612</v>
      </c>
      <c r="BN3281" s="147">
        <f t="shared" si="68"/>
        <v>7.0793679156429299</v>
      </c>
      <c r="BO3281" s="147">
        <f t="shared" si="68"/>
        <v>6.1228935068908248</v>
      </c>
      <c r="BP3281" s="147">
        <f t="shared" si="68"/>
        <v>5.1700442826607151</v>
      </c>
      <c r="BQ3281" s="147">
        <f t="shared" si="68"/>
        <v>4.2218286765298911</v>
      </c>
      <c r="BR3281" s="147">
        <f t="shared" si="68"/>
        <v>3.2769172438695904</v>
      </c>
      <c r="BS3281" s="147">
        <f t="shared" si="68"/>
        <v>2.335339952690755</v>
      </c>
      <c r="BT3281" s="147">
        <f t="shared" si="68"/>
        <v>1.3980207510109686</v>
      </c>
      <c r="BU3281" s="147">
        <f t="shared" si="68"/>
        <v>0.46551035315441514</v>
      </c>
    </row>
    <row r="3282" spans="1:73" ht="15.75" hidden="1" customHeight="1" outlineLevel="1">
      <c r="A3282" s="468"/>
      <c r="B3282" s="99"/>
      <c r="C3282" s="147">
        <f>$C3173*'Assumptions (Oil G&amp;T)'!B$77</f>
        <v>7.3090400298749983E-2</v>
      </c>
      <c r="D3282" s="147">
        <f>$C3173*'Assumptions (Oil G&amp;T)'!C$77</f>
        <v>0.14070389326844698</v>
      </c>
      <c r="E3282" s="147">
        <f>$C3173*'Assumptions (Oil G&amp;T)'!D$77</f>
        <v>0.13013989407860097</v>
      </c>
      <c r="F3282" s="147">
        <f>$C3173*'Assumptions (Oil G&amp;T)'!E$77</f>
        <v>0.12039450737210099</v>
      </c>
      <c r="G3282" s="147">
        <f>$C3173*'Assumptions (Oil G&amp;T)'!F$77</f>
        <v>0.11135078850846898</v>
      </c>
      <c r="H3282" s="147">
        <f>$C3173*'Assumptions (Oil G&amp;T)'!G$77</f>
        <v>0.10300873748770499</v>
      </c>
      <c r="I3282" s="147">
        <f>$C3173*'Assumptions (Oil G&amp;T)'!H$77</f>
        <v>9.5270900442743986E-2</v>
      </c>
      <c r="J3282" s="147">
        <f>$C3173*'Assumptions (Oil G&amp;T)'!I$77</f>
        <v>8.8137277373585995E-2</v>
      </c>
      <c r="K3282" s="147">
        <f>$C3173*'Assumptions (Oil G&amp;T)'!J$77</f>
        <v>8.696783096880599E-2</v>
      </c>
      <c r="L3282" s="147">
        <f>$C3173*'Assumptions (Oil G&amp;T)'!K$77</f>
        <v>8.6948340195392979E-2</v>
      </c>
      <c r="M3282" s="147">
        <f>$C3173*'Assumptions (Oil G&amp;T)'!L$77</f>
        <v>8.696783096880599E-2</v>
      </c>
      <c r="N3282" s="147">
        <f>$C3173*'Assumptions (Oil G&amp;T)'!M$77</f>
        <v>8.6948340195392979E-2</v>
      </c>
      <c r="O3282" s="147">
        <f>$C3173*'Assumptions (Oil G&amp;T)'!N$77</f>
        <v>8.696783096880599E-2</v>
      </c>
      <c r="P3282" s="147">
        <f>$C3173*'Assumptions (Oil G&amp;T)'!O$77</f>
        <v>8.6948340195392979E-2</v>
      </c>
      <c r="Q3282" s="147">
        <f>$C3173*'Assumptions (Oil G&amp;T)'!P$77</f>
        <v>8.696783096880599E-2</v>
      </c>
      <c r="R3282" s="147">
        <f>$C3173*'Assumptions (Oil G&amp;T)'!Q$77</f>
        <v>8.6948340195392979E-2</v>
      </c>
      <c r="S3282" s="147">
        <f>$C3173*'Assumptions (Oil G&amp;T)'!R$77</f>
        <v>8.696783096880599E-2</v>
      </c>
      <c r="T3282" s="147">
        <f>$C3173*'Assumptions (Oil G&amp;T)'!S$77</f>
        <v>8.6948340195392979E-2</v>
      </c>
      <c r="U3282" s="147">
        <f>$C3173*'Assumptions (Oil G&amp;T)'!T$77</f>
        <v>8.696783096880599E-2</v>
      </c>
      <c r="V3282" s="147">
        <f>$C3173*'Assumptions (Oil G&amp;T)'!U$77</f>
        <v>8.6948340195392979E-2</v>
      </c>
      <c r="W3282" s="147">
        <f>$C3173*'Assumptions (Oil G&amp;T)'!V$77</f>
        <v>4.3483915484402995E-2</v>
      </c>
      <c r="X3282" s="147"/>
    </row>
    <row r="3283" spans="1:73" ht="15.75" hidden="1" customHeight="1" outlineLevel="1">
      <c r="A3283" s="468"/>
      <c r="B3283" s="99"/>
      <c r="C3283" s="147"/>
      <c r="D3283" s="147">
        <f>$D3173*'Assumptions (Oil G&amp;T)'!B$77</f>
        <v>7.6954944148124996E-2</v>
      </c>
      <c r="E3283" s="147">
        <f>$D3173*'Assumptions (Oil G&amp;T)'!C$77</f>
        <v>0.1481433978147505</v>
      </c>
      <c r="F3283" s="147">
        <f>$D3173*'Assumptions (Oil G&amp;T)'!D$77</f>
        <v>0.13702084322054148</v>
      </c>
      <c r="G3283" s="147">
        <f>$D3173*'Assumptions (Oil G&amp;T)'!E$77</f>
        <v>0.12676018400079148</v>
      </c>
      <c r="H3283" s="147">
        <f>$D3173*'Assumptions (Oil G&amp;T)'!F$77</f>
        <v>0.11723829224486348</v>
      </c>
      <c r="I3283" s="147">
        <f>$D3173*'Assumptions (Oil G&amp;T)'!G$77</f>
        <v>0.10845516795275749</v>
      </c>
      <c r="J3283" s="147">
        <f>$D3173*'Assumptions (Oil G&amp;T)'!H$77</f>
        <v>0.10030820453227599</v>
      </c>
      <c r="K3283" s="147">
        <f>$D3173*'Assumptions (Oil G&amp;T)'!I$77</f>
        <v>9.2797401983419001E-2</v>
      </c>
      <c r="L3283" s="147">
        <f>$D3173*'Assumptions (Oil G&amp;T)'!J$77</f>
        <v>9.1566122877048989E-2</v>
      </c>
      <c r="M3283" s="147">
        <f>$D3173*'Assumptions (Oil G&amp;T)'!K$77</f>
        <v>9.1545601558609482E-2</v>
      </c>
      <c r="N3283" s="147">
        <f>$D3173*'Assumptions (Oil G&amp;T)'!L$77</f>
        <v>9.1566122877048989E-2</v>
      </c>
      <c r="O3283" s="147">
        <f>$D3173*'Assumptions (Oil G&amp;T)'!M$77</f>
        <v>9.1545601558609482E-2</v>
      </c>
      <c r="P3283" s="147">
        <f>$D3173*'Assumptions (Oil G&amp;T)'!N$77</f>
        <v>9.1566122877048989E-2</v>
      </c>
      <c r="Q3283" s="147">
        <f>$D3173*'Assumptions (Oil G&amp;T)'!O$77</f>
        <v>9.1545601558609482E-2</v>
      </c>
      <c r="R3283" s="147">
        <f>$D3173*'Assumptions (Oil G&amp;T)'!P$77</f>
        <v>9.1566122877048989E-2</v>
      </c>
      <c r="S3283" s="147">
        <f>$D3173*'Assumptions (Oil G&amp;T)'!Q$77</f>
        <v>9.1545601558609482E-2</v>
      </c>
      <c r="T3283" s="147">
        <f>$D3173*'Assumptions (Oil G&amp;T)'!R$77</f>
        <v>9.1566122877048989E-2</v>
      </c>
      <c r="U3283" s="147">
        <f>$D3173*'Assumptions (Oil G&amp;T)'!S$77</f>
        <v>9.1545601558609482E-2</v>
      </c>
      <c r="V3283" s="147">
        <f>$D3173*'Assumptions (Oil G&amp;T)'!T$77</f>
        <v>9.1566122877048989E-2</v>
      </c>
      <c r="W3283" s="147">
        <f>$D3173*'Assumptions (Oil G&amp;T)'!U$77</f>
        <v>9.1545601558609482E-2</v>
      </c>
      <c r="X3283" s="147">
        <f>$D3173*'Assumptions (Oil G&amp;T)'!V$77</f>
        <v>4.5783061438524494E-2</v>
      </c>
    </row>
    <row r="3284" spans="1:73" ht="15.75" hidden="1" customHeight="1" outlineLevel="1">
      <c r="A3284" s="470"/>
      <c r="B3284" s="42"/>
      <c r="C3284" s="147"/>
      <c r="D3284" s="42"/>
      <c r="E3284" s="147">
        <f>$E3173*'Assumptions (Oil G&amp;T)'!B$77</f>
        <v>7.8243243579374996E-2</v>
      </c>
      <c r="F3284" s="147">
        <f>$E3173*'Assumptions (Oil G&amp;T)'!C$77</f>
        <v>0.15062346010653552</v>
      </c>
      <c r="G3284" s="147">
        <f>$E3173*'Assumptions (Oil G&amp;T)'!D$77</f>
        <v>0.1393147033011965</v>
      </c>
      <c r="H3284" s="147">
        <f>$E3173*'Assumptions (Oil G&amp;T)'!E$77</f>
        <v>0.12888227082394649</v>
      </c>
      <c r="I3284" s="147">
        <f>$E3173*'Assumptions (Oil G&amp;T)'!F$77</f>
        <v>0.1192009734850585</v>
      </c>
      <c r="J3284" s="147">
        <f>$E3173*'Assumptions (Oil G&amp;T)'!G$77</f>
        <v>0.11027081128453251</v>
      </c>
      <c r="K3284" s="147">
        <f>$E3173*'Assumptions (Oil G&amp;T)'!H$77</f>
        <v>0.101987459897596</v>
      </c>
      <c r="L3284" s="147">
        <f>$E3173*'Assumptions (Oil G&amp;T)'!I$77</f>
        <v>9.4350919324249008E-2</v>
      </c>
      <c r="M3284" s="147">
        <f>$E3173*'Assumptions (Oil G&amp;T)'!J$77</f>
        <v>9.3099027426978995E-2</v>
      </c>
      <c r="N3284" s="147">
        <f>$E3173*'Assumptions (Oil G&amp;T)'!K$77</f>
        <v>9.3078162562024488E-2</v>
      </c>
      <c r="O3284" s="147">
        <f>$E3173*'Assumptions (Oil G&amp;T)'!L$77</f>
        <v>9.3099027426978995E-2</v>
      </c>
      <c r="P3284" s="147">
        <f>$E3173*'Assumptions (Oil G&amp;T)'!M$77</f>
        <v>9.3078162562024488E-2</v>
      </c>
      <c r="Q3284" s="147">
        <f>$E3173*'Assumptions (Oil G&amp;T)'!N$77</f>
        <v>9.3099027426978995E-2</v>
      </c>
      <c r="R3284" s="147">
        <f>$E3173*'Assumptions (Oil G&amp;T)'!O$77</f>
        <v>9.3078162562024488E-2</v>
      </c>
      <c r="S3284" s="147">
        <f>$E3173*'Assumptions (Oil G&amp;T)'!P$77</f>
        <v>9.3099027426978995E-2</v>
      </c>
      <c r="T3284" s="147">
        <f>$E3173*'Assumptions (Oil G&amp;T)'!Q$77</f>
        <v>9.3078162562024488E-2</v>
      </c>
      <c r="U3284" s="147">
        <f>$E3173*'Assumptions (Oil G&amp;T)'!R$77</f>
        <v>9.3099027426978995E-2</v>
      </c>
      <c r="V3284" s="147">
        <f>$E3173*'Assumptions (Oil G&amp;T)'!S$77</f>
        <v>9.3078162562024488E-2</v>
      </c>
      <c r="W3284" s="147">
        <f>$E3173*'Assumptions (Oil G&amp;T)'!T$77</f>
        <v>9.3099027426978995E-2</v>
      </c>
      <c r="X3284" s="147">
        <f>$E3173*'Assumptions (Oil G&amp;T)'!U$77</f>
        <v>9.3078162562024488E-2</v>
      </c>
      <c r="Y3284" s="147">
        <f>$E3173*'Assumptions (Oil G&amp;T)'!V$77</f>
        <v>4.6549513713489497E-2</v>
      </c>
    </row>
    <row r="3285" spans="1:73" ht="15.75" hidden="1" customHeight="1" outlineLevel="1">
      <c r="A3285" s="470"/>
      <c r="B3285" s="42"/>
      <c r="C3285" s="147"/>
      <c r="D3285" s="42"/>
      <c r="E3285" s="42"/>
      <c r="F3285" s="147">
        <f>$F3173*'Assumptions (Oil G&amp;T)'!B$77</f>
        <v>7.9185221013749987E-2</v>
      </c>
      <c r="G3285" s="147">
        <f>$F3173*'Assumptions (Oil G&amp;T)'!C$77</f>
        <v>0.15243682946620299</v>
      </c>
      <c r="H3285" s="147">
        <f>$F3173*'Assumptions (Oil G&amp;T)'!D$77</f>
        <v>0.14099192552234899</v>
      </c>
      <c r="I3285" s="147">
        <f>$F3173*'Assumptions (Oil G&amp;T)'!E$77</f>
        <v>0.13043389605384897</v>
      </c>
      <c r="J3285" s="147">
        <f>$F3173*'Assumptions (Oil G&amp;T)'!F$77</f>
        <v>0.12063604470708099</v>
      </c>
      <c r="K3285" s="147">
        <f>$F3173*'Assumptions (Oil G&amp;T)'!G$77</f>
        <v>0.11159837148204499</v>
      </c>
      <c r="L3285" s="147">
        <f>$F3173*'Assumptions (Oil G&amp;T)'!H$77</f>
        <v>0.10321529608405598</v>
      </c>
      <c r="M3285" s="147">
        <f>$F3173*'Assumptions (Oil G&amp;T)'!I$77</f>
        <v>9.5486818513113997E-2</v>
      </c>
      <c r="N3285" s="147">
        <f>$F3173*'Assumptions (Oil G&amp;T)'!J$77</f>
        <v>9.4219854976893988E-2</v>
      </c>
      <c r="O3285" s="147">
        <f>$F3173*'Assumptions (Oil G&amp;T)'!K$77</f>
        <v>9.4198738917956978E-2</v>
      </c>
      <c r="P3285" s="147">
        <f>$F3173*'Assumptions (Oil G&amp;T)'!L$77</f>
        <v>9.4219854976893988E-2</v>
      </c>
      <c r="Q3285" s="147">
        <f>$F3173*'Assumptions (Oil G&amp;T)'!M$77</f>
        <v>9.4198738917956978E-2</v>
      </c>
      <c r="R3285" s="147">
        <f>$F3173*'Assumptions (Oil G&amp;T)'!N$77</f>
        <v>9.4219854976893988E-2</v>
      </c>
      <c r="S3285" s="147">
        <f>$F3173*'Assumptions (Oil G&amp;T)'!O$77</f>
        <v>9.4198738917956978E-2</v>
      </c>
      <c r="T3285" s="147">
        <f>$F3173*'Assumptions (Oil G&amp;T)'!P$77</f>
        <v>9.4219854976893988E-2</v>
      </c>
      <c r="U3285" s="147">
        <f>$F3173*'Assumptions (Oil G&amp;T)'!Q$77</f>
        <v>9.4198738917956978E-2</v>
      </c>
      <c r="V3285" s="147">
        <f>$F3173*'Assumptions (Oil G&amp;T)'!R$77</f>
        <v>9.4219854976893988E-2</v>
      </c>
      <c r="W3285" s="147">
        <f>$F3173*'Assumptions (Oil G&amp;T)'!S$77</f>
        <v>9.4198738917956978E-2</v>
      </c>
      <c r="X3285" s="147">
        <f>$F3173*'Assumptions (Oil G&amp;T)'!T$77</f>
        <v>9.4219854976893988E-2</v>
      </c>
      <c r="Y3285" s="147">
        <f>$F3173*'Assumptions (Oil G&amp;T)'!U$77</f>
        <v>9.4198738917956978E-2</v>
      </c>
      <c r="Z3285" s="147">
        <f>$F3173*'Assumptions (Oil G&amp;T)'!V$77</f>
        <v>4.7109927488446994E-2</v>
      </c>
    </row>
    <row r="3286" spans="1:73" ht="15.75" hidden="1" customHeight="1" outlineLevel="1">
      <c r="A3286" s="470"/>
      <c r="B3286" s="42"/>
      <c r="C3286" s="147"/>
      <c r="D3286" s="42"/>
      <c r="E3286" s="42"/>
      <c r="F3286" s="42"/>
      <c r="G3286" s="147">
        <f>$G3173*'Assumptions (Oil G&amp;T)'!B$77</f>
        <v>0.13118458433999997</v>
      </c>
      <c r="H3286" s="147">
        <f>$G3173*'Assumptions (Oil G&amp;T)'!C$77</f>
        <v>0.25253907049345597</v>
      </c>
      <c r="I3286" s="147">
        <f>$G3173*'Assumptions (Oil G&amp;T)'!D$77</f>
        <v>0.23357852523684794</v>
      </c>
      <c r="J3286" s="147">
        <f>$G3173*'Assumptions (Oil G&amp;T)'!E$77</f>
        <v>0.21608724732484794</v>
      </c>
      <c r="K3286" s="147">
        <f>$G3173*'Assumptions (Oil G&amp;T)'!F$77</f>
        <v>0.19985534142251196</v>
      </c>
      <c r="L3286" s="147">
        <f>$G3173*'Assumptions (Oil G&amp;T)'!G$77</f>
        <v>0.18488280752983996</v>
      </c>
      <c r="M3286" s="147">
        <f>$G3173*'Assumptions (Oil G&amp;T)'!H$77</f>
        <v>0.17099473286771197</v>
      </c>
      <c r="N3286" s="147">
        <f>$G3173*'Assumptions (Oil G&amp;T)'!I$77</f>
        <v>0.15819111743612799</v>
      </c>
      <c r="O3286" s="147">
        <f>$G3173*'Assumptions (Oil G&amp;T)'!J$77</f>
        <v>0.15609216408668797</v>
      </c>
      <c r="P3286" s="147">
        <f>$G3173*'Assumptions (Oil G&amp;T)'!K$77</f>
        <v>0.15605718153086395</v>
      </c>
      <c r="Q3286" s="147">
        <f>$G3173*'Assumptions (Oil G&amp;T)'!L$77</f>
        <v>0.15609216408668797</v>
      </c>
      <c r="R3286" s="147">
        <f>$G3173*'Assumptions (Oil G&amp;T)'!M$77</f>
        <v>0.15605718153086395</v>
      </c>
      <c r="S3286" s="147">
        <f>$G3173*'Assumptions (Oil G&amp;T)'!N$77</f>
        <v>0.15609216408668797</v>
      </c>
      <c r="T3286" s="147">
        <f>$G3173*'Assumptions (Oil G&amp;T)'!O$77</f>
        <v>0.15605718153086395</v>
      </c>
      <c r="U3286" s="147">
        <f>$G3173*'Assumptions (Oil G&amp;T)'!P$77</f>
        <v>0.15609216408668797</v>
      </c>
      <c r="V3286" s="147">
        <f>$G3173*'Assumptions (Oil G&amp;T)'!Q$77</f>
        <v>0.15605718153086395</v>
      </c>
      <c r="W3286" s="147">
        <f>$G3173*'Assumptions (Oil G&amp;T)'!R$77</f>
        <v>0.15609216408668797</v>
      </c>
      <c r="X3286" s="147">
        <f>$G3173*'Assumptions (Oil G&amp;T)'!S$77</f>
        <v>0.15605718153086395</v>
      </c>
      <c r="Y3286" s="147">
        <f>$G3173*'Assumptions (Oil G&amp;T)'!T$77</f>
        <v>0.15609216408668797</v>
      </c>
      <c r="Z3286" s="147">
        <f>$G3173*'Assumptions (Oil G&amp;T)'!U$77</f>
        <v>0.15605718153086395</v>
      </c>
      <c r="AA3286" s="147">
        <f>$G3173*'Assumptions (Oil G&amp;T)'!V$77</f>
        <v>7.8046082043343984E-2</v>
      </c>
    </row>
    <row r="3287" spans="1:73" ht="15.75" hidden="1" customHeight="1" outlineLevel="1">
      <c r="A3287" s="470"/>
      <c r="B3287" s="42"/>
      <c r="C3287" s="147"/>
      <c r="D3287" s="42"/>
      <c r="E3287" s="42"/>
      <c r="F3287" s="42"/>
      <c r="G3287" s="42"/>
      <c r="H3287" s="147">
        <f>$H3173*'Assumptions (Oil G&amp;T)'!B$77</f>
        <v>0.12012517727062499</v>
      </c>
      <c r="I3287" s="147">
        <f>$H3173*'Assumptions (Oil G&amp;T)'!C$77</f>
        <v>0.23124897459110452</v>
      </c>
      <c r="J3287" s="147">
        <f>$H3173*'Assumptions (Oil G&amp;T)'!D$77</f>
        <v>0.21388688230292349</v>
      </c>
      <c r="K3287" s="147">
        <f>$H3173*'Assumptions (Oil G&amp;T)'!E$77</f>
        <v>0.1978701920001735</v>
      </c>
      <c r="L3287" s="147">
        <f>$H3173*'Assumptions (Oil G&amp;T)'!F$77</f>
        <v>0.18300670339922151</v>
      </c>
      <c r="M3287" s="147">
        <f>$H3173*'Assumptions (Oil G&amp;T)'!G$77</f>
        <v>0.16929641650006752</v>
      </c>
      <c r="N3287" s="147">
        <f>$H3173*'Assumptions (Oil G&amp;T)'!H$77</f>
        <v>0.156579164399684</v>
      </c>
      <c r="O3287" s="147">
        <f>$H3173*'Assumptions (Oil G&amp;T)'!I$77</f>
        <v>0.14485494709807101</v>
      </c>
      <c r="P3287" s="147">
        <f>$H3173*'Assumptions (Oil G&amp;T)'!J$77</f>
        <v>0.142932944261741</v>
      </c>
      <c r="Q3287" s="147">
        <f>$H3173*'Assumptions (Oil G&amp;T)'!K$77</f>
        <v>0.14290091088113549</v>
      </c>
      <c r="R3287" s="147">
        <f>$H3173*'Assumptions (Oil G&amp;T)'!L$77</f>
        <v>0.142932944261741</v>
      </c>
      <c r="S3287" s="147">
        <f>$H3173*'Assumptions (Oil G&amp;T)'!M$77</f>
        <v>0.14290091088113549</v>
      </c>
      <c r="T3287" s="147">
        <f>$H3173*'Assumptions (Oil G&amp;T)'!N$77</f>
        <v>0.142932944261741</v>
      </c>
      <c r="U3287" s="147">
        <f>$H3173*'Assumptions (Oil G&amp;T)'!O$77</f>
        <v>0.14290091088113549</v>
      </c>
      <c r="V3287" s="147">
        <f>$H3173*'Assumptions (Oil G&amp;T)'!P$77</f>
        <v>0.142932944261741</v>
      </c>
      <c r="W3287" s="147">
        <f>$H3173*'Assumptions (Oil G&amp;T)'!Q$77</f>
        <v>0.14290091088113549</v>
      </c>
      <c r="X3287" s="147">
        <f>$H3173*'Assumptions (Oil G&amp;T)'!R$77</f>
        <v>0.142932944261741</v>
      </c>
      <c r="Y3287" s="147">
        <f>$H3173*'Assumptions (Oil G&amp;T)'!S$77</f>
        <v>0.14290091088113549</v>
      </c>
      <c r="Z3287" s="147">
        <f>$H3173*'Assumptions (Oil G&amp;T)'!T$77</f>
        <v>0.142932944261741</v>
      </c>
      <c r="AA3287" s="147">
        <f>$H3173*'Assumptions (Oil G&amp;T)'!U$77</f>
        <v>0.14290091088113549</v>
      </c>
      <c r="AB3287" s="147">
        <f>$H3173*'Assumptions (Oil G&amp;T)'!V$77</f>
        <v>7.1466472130870498E-2</v>
      </c>
    </row>
    <row r="3288" spans="1:73" ht="15.75" hidden="1" customHeight="1" outlineLevel="1">
      <c r="A3288" s="470"/>
      <c r="B3288" s="42"/>
      <c r="C3288" s="147"/>
      <c r="D3288" s="42"/>
      <c r="E3288" s="42"/>
      <c r="F3288" s="42"/>
      <c r="G3288" s="42"/>
      <c r="H3288" s="42"/>
      <c r="I3288" s="147">
        <f>$I3173*'Assumptions (Oil G&amp;T)'!B$77</f>
        <v>0.10697129702249998</v>
      </c>
      <c r="J3288" s="147">
        <f>$I3173*'Assumptions (Oil G&amp;T)'!C$77</f>
        <v>0.20592687818811398</v>
      </c>
      <c r="K3288" s="147">
        <f>$I3173*'Assumptions (Oil G&amp;T)'!D$77</f>
        <v>0.19046596005846195</v>
      </c>
      <c r="L3288" s="147">
        <f>$I3173*'Assumptions (Oil G&amp;T)'!E$77</f>
        <v>0.17620312045546196</v>
      </c>
      <c r="M3288" s="147">
        <f>$I3173*'Assumptions (Oil G&amp;T)'!F$77</f>
        <v>0.16296720530387795</v>
      </c>
      <c r="N3288" s="147">
        <f>$I3173*'Assumptions (Oil G&amp;T)'!G$77</f>
        <v>0.15075821460370997</v>
      </c>
      <c r="O3288" s="147">
        <f>$I3173*'Assumptions (Oil G&amp;T)'!H$77</f>
        <v>0.13943351995892797</v>
      </c>
      <c r="P3288" s="147">
        <f>$I3173*'Assumptions (Oil G&amp;T)'!I$77</f>
        <v>0.12899312136953198</v>
      </c>
      <c r="Q3288" s="147">
        <f>$I3173*'Assumptions (Oil G&amp;T)'!J$77</f>
        <v>0.12728158061717199</v>
      </c>
      <c r="R3288" s="147">
        <f>$I3173*'Assumptions (Oil G&amp;T)'!K$77</f>
        <v>0.12725305493796596</v>
      </c>
      <c r="S3288" s="147">
        <f>$I3173*'Assumptions (Oil G&amp;T)'!L$77</f>
        <v>0.12728158061717199</v>
      </c>
      <c r="T3288" s="147">
        <f>$I3173*'Assumptions (Oil G&amp;T)'!M$77</f>
        <v>0.12725305493796596</v>
      </c>
      <c r="U3288" s="147">
        <f>$I3173*'Assumptions (Oil G&amp;T)'!N$77</f>
        <v>0.12728158061717199</v>
      </c>
      <c r="V3288" s="147">
        <f>$I3173*'Assumptions (Oil G&amp;T)'!O$77</f>
        <v>0.12725305493796596</v>
      </c>
      <c r="W3288" s="147">
        <f>$I3173*'Assumptions (Oil G&amp;T)'!P$77</f>
        <v>0.12728158061717199</v>
      </c>
      <c r="X3288" s="147">
        <f>$I3173*'Assumptions (Oil G&amp;T)'!Q$77</f>
        <v>0.12725305493796596</v>
      </c>
      <c r="Y3288" s="147">
        <f>$I3173*'Assumptions (Oil G&amp;T)'!R$77</f>
        <v>0.12728158061717199</v>
      </c>
      <c r="Z3288" s="147">
        <f>$I3173*'Assumptions (Oil G&amp;T)'!S$77</f>
        <v>0.12725305493796596</v>
      </c>
      <c r="AA3288" s="147">
        <f>$I3173*'Assumptions (Oil G&amp;T)'!T$77</f>
        <v>0.12728158061717199</v>
      </c>
      <c r="AB3288" s="147">
        <f>$I3173*'Assumptions (Oil G&amp;T)'!U$77</f>
        <v>0.12725305493796596</v>
      </c>
      <c r="AC3288" s="147">
        <f>$I3173*'Assumptions (Oil G&amp;T)'!V$77</f>
        <v>6.3640790308585993E-2</v>
      </c>
    </row>
    <row r="3289" spans="1:73" ht="15.75" hidden="1" customHeight="1" outlineLevel="1">
      <c r="A3289" s="470"/>
      <c r="B3289" s="42"/>
      <c r="C3289" s="147"/>
      <c r="D3289" s="42"/>
      <c r="E3289" s="42"/>
      <c r="F3289" s="42"/>
      <c r="G3289" s="42"/>
      <c r="H3289" s="42"/>
      <c r="I3289" s="42"/>
      <c r="J3289" s="147">
        <f>$J3173*'Assumptions (Oil G&amp;T)'!B$77</f>
        <v>0.20247355420124996</v>
      </c>
      <c r="K3289" s="147">
        <f>$J3173*'Assumptions (Oil G&amp;T)'!C$77</f>
        <v>0.38977509007435296</v>
      </c>
      <c r="L3289" s="147">
        <f>$J3173*'Assumptions (Oil G&amp;T)'!D$77</f>
        <v>0.3605109123737989</v>
      </c>
      <c r="M3289" s="147">
        <f>$J3173*'Assumptions (Oil G&amp;T)'!E$77</f>
        <v>0.33351443848029894</v>
      </c>
      <c r="N3289" s="147">
        <f>$J3173*'Assumptions (Oil G&amp;T)'!F$77</f>
        <v>0.30846171070713096</v>
      </c>
      <c r="O3289" s="147">
        <f>$J3173*'Assumptions (Oil G&amp;T)'!G$77</f>
        <v>0.28535272905429493</v>
      </c>
      <c r="P3289" s="147">
        <f>$J3173*'Assumptions (Oil G&amp;T)'!H$77</f>
        <v>0.26391752878285596</v>
      </c>
      <c r="Q3289" s="147">
        <f>$J3173*'Assumptions (Oil G&amp;T)'!I$77</f>
        <v>0.24415610989281397</v>
      </c>
      <c r="R3289" s="147">
        <f>$J3173*'Assumptions (Oil G&amp;T)'!J$77</f>
        <v>0.24091653302559396</v>
      </c>
      <c r="S3289" s="147">
        <f>$J3173*'Assumptions (Oil G&amp;T)'!K$77</f>
        <v>0.24086254007780694</v>
      </c>
      <c r="T3289" s="147">
        <f>$J3173*'Assumptions (Oil G&amp;T)'!L$77</f>
        <v>0.24091653302559396</v>
      </c>
      <c r="U3289" s="147">
        <f>$J3173*'Assumptions (Oil G&amp;T)'!M$77</f>
        <v>0.24086254007780694</v>
      </c>
      <c r="V3289" s="147">
        <f>$J3173*'Assumptions (Oil G&amp;T)'!N$77</f>
        <v>0.24091653302559396</v>
      </c>
      <c r="W3289" s="147">
        <f>$J3173*'Assumptions (Oil G&amp;T)'!O$77</f>
        <v>0.24086254007780694</v>
      </c>
      <c r="X3289" s="147">
        <f>$J3173*'Assumptions (Oil G&amp;T)'!P$77</f>
        <v>0.24091653302559396</v>
      </c>
      <c r="Y3289" s="147">
        <f>$J3173*'Assumptions (Oil G&amp;T)'!Q$77</f>
        <v>0.24086254007780694</v>
      </c>
      <c r="Z3289" s="147">
        <f>$J3173*'Assumptions (Oil G&amp;T)'!R$77</f>
        <v>0.24091653302559396</v>
      </c>
      <c r="AA3289" s="147">
        <f>$J3173*'Assumptions (Oil G&amp;T)'!S$77</f>
        <v>0.24086254007780694</v>
      </c>
      <c r="AB3289" s="147">
        <f>$J3173*'Assumptions (Oil G&amp;T)'!T$77</f>
        <v>0.24091653302559396</v>
      </c>
      <c r="AC3289" s="147">
        <f>$J3173*'Assumptions (Oil G&amp;T)'!U$77</f>
        <v>0.24086254007780694</v>
      </c>
      <c r="AD3289" s="147">
        <f>$J3173*'Assumptions (Oil G&amp;T)'!V$77</f>
        <v>0.12045826651279698</v>
      </c>
    </row>
    <row r="3290" spans="1:73" ht="15.75" hidden="1" customHeight="1" outlineLevel="1">
      <c r="A3290" s="470"/>
      <c r="B3290" s="42"/>
      <c r="C3290" s="147"/>
      <c r="D3290" s="42"/>
      <c r="E3290" s="42"/>
      <c r="F3290" s="42"/>
      <c r="G3290" s="42"/>
      <c r="H3290" s="42"/>
      <c r="I3290" s="42"/>
      <c r="J3290" s="42"/>
      <c r="K3290" s="147">
        <f>$K3173*'Assumptions (Oil G&amp;T)'!B$77</f>
        <v>0.21625538115374998</v>
      </c>
      <c r="L3290" s="147">
        <f>$K3173*'Assumptions (Oil G&amp;T)'!C$77</f>
        <v>0.41630602574637898</v>
      </c>
      <c r="M3290" s="147">
        <f>$K3173*'Assumptions (Oil G&amp;T)'!D$77</f>
        <v>0.38504991465695698</v>
      </c>
      <c r="N3290" s="147">
        <f>$K3173*'Assumptions (Oil G&amp;T)'!E$77</f>
        <v>0.35621586383645698</v>
      </c>
      <c r="O3290" s="147">
        <f>$K3173*'Assumptions (Oil G&amp;T)'!F$77</f>
        <v>0.32945786467503296</v>
      </c>
      <c r="P3290" s="147">
        <f>$K3173*'Assumptions (Oil G&amp;T)'!G$77</f>
        <v>0.30477591717268498</v>
      </c>
      <c r="Q3290" s="147">
        <f>$K3173*'Assumptions (Oil G&amp;T)'!H$77</f>
        <v>0.28188168082120801</v>
      </c>
      <c r="R3290" s="147">
        <f>$K3173*'Assumptions (Oil G&amp;T)'!I$77</f>
        <v>0.26077515562060199</v>
      </c>
      <c r="S3290" s="147">
        <f>$K3173*'Assumptions (Oil G&amp;T)'!J$77</f>
        <v>0.257315069522142</v>
      </c>
      <c r="T3290" s="147">
        <f>$K3173*'Assumptions (Oil G&amp;T)'!K$77</f>
        <v>0.25725740142050096</v>
      </c>
      <c r="U3290" s="147">
        <f>$K3173*'Assumptions (Oil G&amp;T)'!L$77</f>
        <v>0.257315069522142</v>
      </c>
      <c r="V3290" s="147">
        <f>$K3173*'Assumptions (Oil G&amp;T)'!M$77</f>
        <v>0.25725740142050096</v>
      </c>
      <c r="W3290" s="147">
        <f>$K3173*'Assumptions (Oil G&amp;T)'!N$77</f>
        <v>0.257315069522142</v>
      </c>
      <c r="X3290" s="147">
        <f>$K3173*'Assumptions (Oil G&amp;T)'!O$77</f>
        <v>0.25725740142050096</v>
      </c>
      <c r="Y3290" s="147">
        <f>$K3173*'Assumptions (Oil G&amp;T)'!P$77</f>
        <v>0.257315069522142</v>
      </c>
      <c r="Z3290" s="147">
        <f>$K3173*'Assumptions (Oil G&amp;T)'!Q$77</f>
        <v>0.25725740142050096</v>
      </c>
      <c r="AA3290" s="147">
        <f>$K3173*'Assumptions (Oil G&amp;T)'!R$77</f>
        <v>0.257315069522142</v>
      </c>
      <c r="AB3290" s="147">
        <f>$K3173*'Assumptions (Oil G&amp;T)'!S$77</f>
        <v>0.25725740142050096</v>
      </c>
      <c r="AC3290" s="147">
        <f>$K3173*'Assumptions (Oil G&amp;T)'!T$77</f>
        <v>0.257315069522142</v>
      </c>
      <c r="AD3290" s="147">
        <f>$K3173*'Assumptions (Oil G&amp;T)'!U$77</f>
        <v>0.25725740142050096</v>
      </c>
      <c r="AE3290" s="147">
        <f>$K3173*'Assumptions (Oil G&amp;T)'!V$77</f>
        <v>0.128657534761071</v>
      </c>
    </row>
    <row r="3291" spans="1:73" ht="15.75" hidden="1" customHeight="1" outlineLevel="1">
      <c r="A3291" s="470"/>
      <c r="B3291" s="42"/>
      <c r="C3291" s="42"/>
      <c r="D3291" s="42"/>
      <c r="E3291" s="42"/>
      <c r="F3291" s="42"/>
      <c r="G3291" s="42"/>
      <c r="H3291" s="42"/>
      <c r="I3291" s="42"/>
      <c r="J3291" s="42"/>
      <c r="K3291" s="42"/>
      <c r="L3291" s="147">
        <f>$L3173*'Assumptions (Oil G&amp;T)'!B$77</f>
        <v>0.174817822254375</v>
      </c>
      <c r="M3291" s="147">
        <f>$L3173*'Assumptions (Oil G&amp;T)'!C$77</f>
        <v>0.33653596236115552</v>
      </c>
      <c r="N3291" s="147">
        <f>$L3173*'Assumptions (Oil G&amp;T)'!D$77</f>
        <v>0.31126895978465646</v>
      </c>
      <c r="O3291" s="147">
        <f>$L3173*'Assumptions (Oil G&amp;T)'!E$77</f>
        <v>0.28795991681740651</v>
      </c>
      <c r="P3291" s="147">
        <f>$L3173*'Assumptions (Oil G&amp;T)'!F$77</f>
        <v>0.26632912494379851</v>
      </c>
      <c r="Q3291" s="147">
        <f>$L3173*'Assumptions (Oil G&amp;T)'!G$77</f>
        <v>0.24637658416383251</v>
      </c>
      <c r="R3291" s="147">
        <f>$L3173*'Assumptions (Oil G&amp;T)'!H$77</f>
        <v>0.227869204047836</v>
      </c>
      <c r="S3291" s="147">
        <f>$L3173*'Assumptions (Oil G&amp;T)'!I$77</f>
        <v>0.21080698459580902</v>
      </c>
      <c r="T3291" s="147">
        <f>$L3173*'Assumptions (Oil G&amp;T)'!J$77</f>
        <v>0.20800989943973899</v>
      </c>
      <c r="U3291" s="147">
        <f>$L3173*'Assumptions (Oil G&amp;T)'!K$77</f>
        <v>0.20796328135380449</v>
      </c>
      <c r="V3291" s="147">
        <f>$L3173*'Assumptions (Oil G&amp;T)'!L$77</f>
        <v>0.20800989943973899</v>
      </c>
      <c r="W3291" s="147">
        <f>$L3173*'Assumptions (Oil G&amp;T)'!M$77</f>
        <v>0.20796328135380449</v>
      </c>
      <c r="X3291" s="147">
        <f>$L3173*'Assumptions (Oil G&amp;T)'!N$77</f>
        <v>0.20800989943973899</v>
      </c>
      <c r="Y3291" s="147">
        <f>$L3173*'Assumptions (Oil G&amp;T)'!O$77</f>
        <v>0.20796328135380449</v>
      </c>
      <c r="Z3291" s="147">
        <f>$L3173*'Assumptions (Oil G&amp;T)'!P$77</f>
        <v>0.20800989943973899</v>
      </c>
      <c r="AA3291" s="147">
        <f>$L3173*'Assumptions (Oil G&amp;T)'!Q$77</f>
        <v>0.20796328135380449</v>
      </c>
      <c r="AB3291" s="147">
        <f>$L3173*'Assumptions (Oil G&amp;T)'!R$77</f>
        <v>0.20800989943973899</v>
      </c>
      <c r="AC3291" s="147">
        <f>$L3173*'Assumptions (Oil G&amp;T)'!S$77</f>
        <v>0.20796328135380449</v>
      </c>
      <c r="AD3291" s="147">
        <f>$L3173*'Assumptions (Oil G&amp;T)'!T$77</f>
        <v>0.20800989943973899</v>
      </c>
      <c r="AE3291" s="147">
        <f>$L3173*'Assumptions (Oil G&amp;T)'!U$77</f>
        <v>0.20796328135380449</v>
      </c>
      <c r="AF3291" s="147">
        <f>$L3173*'Assumptions (Oil G&amp;T)'!V$77</f>
        <v>0.1040049497198695</v>
      </c>
    </row>
    <row r="3292" spans="1:73" ht="15.75" hidden="1" customHeight="1" outlineLevel="1">
      <c r="A3292" s="470"/>
      <c r="B3292" s="42"/>
      <c r="C3292" s="42"/>
      <c r="D3292" s="42"/>
      <c r="E3292" s="42"/>
      <c r="F3292" s="42"/>
      <c r="G3292" s="42"/>
      <c r="H3292" s="42"/>
      <c r="I3292" s="42"/>
      <c r="J3292" s="42"/>
      <c r="K3292" s="42"/>
      <c r="L3292" s="42"/>
      <c r="M3292" s="147">
        <f>$M3173*'Assumptions (Oil G&amp;T)'!B$77</f>
        <v>0.3177287554162499</v>
      </c>
      <c r="N3292" s="147">
        <f>$M3173*'Assumptions (Oil G&amp;T)'!C$77</f>
        <v>0.6116490360933089</v>
      </c>
      <c r="O3292" s="147">
        <f>$M3173*'Assumptions (Oil G&amp;T)'!D$77</f>
        <v>0.56572663997714678</v>
      </c>
      <c r="P3292" s="147">
        <f>$M3173*'Assumptions (Oil G&amp;T)'!E$77</f>
        <v>0.52336280592164686</v>
      </c>
      <c r="Q3292" s="147">
        <f>$M3173*'Assumptions (Oil G&amp;T)'!F$77</f>
        <v>0.4840491679181429</v>
      </c>
      <c r="R3292" s="147">
        <f>$M3173*'Assumptions (Oil G&amp;T)'!G$77</f>
        <v>0.44778572596663491</v>
      </c>
      <c r="S3292" s="147">
        <f>$M3173*'Assumptions (Oil G&amp;T)'!H$77</f>
        <v>0.41414884172656791</v>
      </c>
      <c r="T3292" s="147">
        <f>$M3173*'Assumptions (Oil G&amp;T)'!I$77</f>
        <v>0.38313851519794195</v>
      </c>
      <c r="U3292" s="147">
        <f>$M3173*'Assumptions (Oil G&amp;T)'!J$77</f>
        <v>0.3780548551112819</v>
      </c>
      <c r="V3292" s="147">
        <f>$M3173*'Assumptions (Oil G&amp;T)'!K$77</f>
        <v>0.37797012744317088</v>
      </c>
      <c r="W3292" s="147">
        <f>$M3173*'Assumptions (Oil G&amp;T)'!L$77</f>
        <v>0.3780548551112819</v>
      </c>
      <c r="X3292" s="147">
        <f>$M3173*'Assumptions (Oil G&amp;T)'!M$77</f>
        <v>0.37797012744317088</v>
      </c>
      <c r="Y3292" s="147">
        <f>$M3173*'Assumptions (Oil G&amp;T)'!N$77</f>
        <v>0.3780548551112819</v>
      </c>
      <c r="Z3292" s="147">
        <f>$M3173*'Assumptions (Oil G&amp;T)'!O$77</f>
        <v>0.37797012744317088</v>
      </c>
      <c r="AA3292" s="147">
        <f>$M3173*'Assumptions (Oil G&amp;T)'!P$77</f>
        <v>0.3780548551112819</v>
      </c>
      <c r="AB3292" s="147">
        <f>$M3173*'Assumptions (Oil G&amp;T)'!Q$77</f>
        <v>0.37797012744317088</v>
      </c>
      <c r="AC3292" s="147">
        <f>$M3173*'Assumptions (Oil G&amp;T)'!R$77</f>
        <v>0.3780548551112819</v>
      </c>
      <c r="AD3292" s="147">
        <f>$M3173*'Assumptions (Oil G&amp;T)'!S$77</f>
        <v>0.37797012744317088</v>
      </c>
      <c r="AE3292" s="147">
        <f>$M3173*'Assumptions (Oil G&amp;T)'!T$77</f>
        <v>0.3780548551112819</v>
      </c>
      <c r="AF3292" s="147">
        <f>$M3173*'Assumptions (Oil G&amp;T)'!U$77</f>
        <v>0.37797012744317088</v>
      </c>
      <c r="AG3292" s="147">
        <f>$M3173*'Assumptions (Oil G&amp;T)'!V$77</f>
        <v>0.18902742755564095</v>
      </c>
    </row>
    <row r="3293" spans="1:73" ht="15.75" hidden="1" customHeight="1" outlineLevel="1">
      <c r="A3293" s="470"/>
      <c r="B3293" s="42"/>
      <c r="C3293" s="42"/>
      <c r="D3293" s="42"/>
      <c r="E3293" s="42"/>
      <c r="F3293" s="42"/>
      <c r="G3293" s="42"/>
      <c r="H3293" s="42"/>
      <c r="I3293" s="42"/>
      <c r="J3293" s="42"/>
      <c r="K3293" s="42"/>
      <c r="L3293" s="42"/>
      <c r="M3293" s="42"/>
      <c r="N3293" s="147">
        <f>$N3173*'Assumptions (Oil G&amp;T)'!B$77</f>
        <v>0.17157418590187501</v>
      </c>
      <c r="O3293" s="147">
        <f>$N3173*'Assumptions (Oil G&amp;T)'!C$77</f>
        <v>0.33029174614016954</v>
      </c>
      <c r="P3293" s="147">
        <f>$N3173*'Assumptions (Oil G&amp;T)'!D$77</f>
        <v>0.30549355713781851</v>
      </c>
      <c r="Q3293" s="147">
        <f>$N3173*'Assumptions (Oil G&amp;T)'!E$77</f>
        <v>0.28261699901756848</v>
      </c>
      <c r="R3293" s="147">
        <f>$N3173*'Assumptions (Oil G&amp;T)'!F$77</f>
        <v>0.26138755308197653</v>
      </c>
      <c r="S3293" s="147">
        <f>$N3173*'Assumptions (Oil G&amp;T)'!G$77</f>
        <v>0.24180521933104251</v>
      </c>
      <c r="T3293" s="147">
        <f>$N3173*'Assumptions (Oil G&amp;T)'!H$77</f>
        <v>0.22364123218356402</v>
      </c>
      <c r="U3293" s="147">
        <f>$N3173*'Assumptions (Oil G&amp;T)'!I$77</f>
        <v>0.20689559163954102</v>
      </c>
      <c r="V3293" s="147">
        <f>$N3173*'Assumptions (Oil G&amp;T)'!J$77</f>
        <v>0.204150404665111</v>
      </c>
      <c r="W3293" s="147">
        <f>$N3173*'Assumptions (Oil G&amp;T)'!K$77</f>
        <v>0.2041046515488705</v>
      </c>
      <c r="X3293" s="147">
        <f>$N3173*'Assumptions (Oil G&amp;T)'!L$77</f>
        <v>0.204150404665111</v>
      </c>
      <c r="Y3293" s="147">
        <f>$N3173*'Assumptions (Oil G&amp;T)'!M$77</f>
        <v>0.2041046515488705</v>
      </c>
      <c r="Z3293" s="147">
        <f>$N3173*'Assumptions (Oil G&amp;T)'!N$77</f>
        <v>0.204150404665111</v>
      </c>
      <c r="AA3293" s="147">
        <f>$N3173*'Assumptions (Oil G&amp;T)'!O$77</f>
        <v>0.2041046515488705</v>
      </c>
      <c r="AB3293" s="147">
        <f>$N3173*'Assumptions (Oil G&amp;T)'!P$77</f>
        <v>0.204150404665111</v>
      </c>
      <c r="AC3293" s="147">
        <f>$N3173*'Assumptions (Oil G&amp;T)'!Q$77</f>
        <v>0.2041046515488705</v>
      </c>
      <c r="AD3293" s="147">
        <f>$N3173*'Assumptions (Oil G&amp;T)'!R$77</f>
        <v>0.204150404665111</v>
      </c>
      <c r="AE3293" s="147">
        <f>$N3173*'Assumptions (Oil G&amp;T)'!S$77</f>
        <v>0.2041046515488705</v>
      </c>
      <c r="AF3293" s="147">
        <f>$N3173*'Assumptions (Oil G&amp;T)'!T$77</f>
        <v>0.204150404665111</v>
      </c>
      <c r="AG3293" s="147">
        <f>$N3173*'Assumptions (Oil G&amp;T)'!U$77</f>
        <v>0.2041046515488705</v>
      </c>
      <c r="AH3293" s="147">
        <f>$N3173*'Assumptions (Oil G&amp;T)'!V$77</f>
        <v>0.1020752023325555</v>
      </c>
    </row>
    <row r="3294" spans="1:73" ht="15.75" hidden="1" customHeight="1" outlineLevel="1">
      <c r="A3294" s="470"/>
      <c r="B3294" s="42"/>
      <c r="C3294" s="42"/>
      <c r="D3294" s="42"/>
      <c r="E3294" s="42"/>
      <c r="F3294" s="42"/>
      <c r="G3294" s="42"/>
      <c r="H3294" s="42"/>
      <c r="I3294" s="42"/>
      <c r="J3294" s="42"/>
      <c r="K3294" s="42"/>
      <c r="L3294" s="42"/>
      <c r="M3294" s="42"/>
      <c r="N3294" s="42"/>
      <c r="O3294" s="147">
        <f>$O3173*'Assumptions (Oil G&amp;T)'!B$77</f>
        <v>0.30344947516312498</v>
      </c>
      <c r="P3294" s="147">
        <f>$O3173*'Assumptions (Oil G&amp;T)'!C$77</f>
        <v>0.58416046965402657</v>
      </c>
      <c r="Q3294" s="147">
        <f>$O3173*'Assumptions (Oil G&amp;T)'!D$77</f>
        <v>0.54030190551044943</v>
      </c>
      <c r="R3294" s="147">
        <f>$O3173*'Assumptions (Oil G&amp;T)'!E$77</f>
        <v>0.49984197548869946</v>
      </c>
      <c r="S3294" s="147">
        <f>$O3173*'Assumptions (Oil G&amp;T)'!F$77</f>
        <v>0.46229516042851548</v>
      </c>
      <c r="T3294" s="147">
        <f>$O3173*'Assumptions (Oil G&amp;T)'!G$77</f>
        <v>0.42766146032989749</v>
      </c>
      <c r="U3294" s="147">
        <f>$O3173*'Assumptions (Oil G&amp;T)'!H$77</f>
        <v>0.39553627589262796</v>
      </c>
      <c r="V3294" s="147">
        <f>$O3173*'Assumptions (Oil G&amp;T)'!I$77</f>
        <v>0.36591960711670701</v>
      </c>
      <c r="W3294" s="147">
        <f>$O3173*'Assumptions (Oil G&amp;T)'!J$77</f>
        <v>0.36106441551409701</v>
      </c>
      <c r="X3294" s="147">
        <f>$O3173*'Assumptions (Oil G&amp;T)'!K$77</f>
        <v>0.36098349565405347</v>
      </c>
      <c r="Y3294" s="147">
        <f>$O3173*'Assumptions (Oil G&amp;T)'!L$77</f>
        <v>0.36106441551409701</v>
      </c>
      <c r="Z3294" s="147">
        <f>$O3173*'Assumptions (Oil G&amp;T)'!M$77</f>
        <v>0.36098349565405347</v>
      </c>
      <c r="AA3294" s="147">
        <f>$O3173*'Assumptions (Oil G&amp;T)'!N$77</f>
        <v>0.36106441551409701</v>
      </c>
      <c r="AB3294" s="147">
        <f>$O3173*'Assumptions (Oil G&amp;T)'!O$77</f>
        <v>0.36098349565405347</v>
      </c>
      <c r="AC3294" s="147">
        <f>$O3173*'Assumptions (Oil G&amp;T)'!P$77</f>
        <v>0.36106441551409701</v>
      </c>
      <c r="AD3294" s="147">
        <f>$O3173*'Assumptions (Oil G&amp;T)'!Q$77</f>
        <v>0.36098349565405347</v>
      </c>
      <c r="AE3294" s="147">
        <f>$O3173*'Assumptions (Oil G&amp;T)'!R$77</f>
        <v>0.36106441551409701</v>
      </c>
      <c r="AF3294" s="147">
        <f>$O3173*'Assumptions (Oil G&amp;T)'!S$77</f>
        <v>0.36098349565405347</v>
      </c>
      <c r="AG3294" s="147">
        <f>$O3173*'Assumptions (Oil G&amp;T)'!T$77</f>
        <v>0.36106441551409701</v>
      </c>
      <c r="AH3294" s="147">
        <f>$O3173*'Assumptions (Oil G&amp;T)'!U$77</f>
        <v>0.36098349565405347</v>
      </c>
      <c r="AI3294" s="147">
        <f>$O3173*'Assumptions (Oil G&amp;T)'!V$77</f>
        <v>0.18053220775704851</v>
      </c>
    </row>
    <row r="3295" spans="1:73" ht="15.75" hidden="1" customHeight="1" outlineLevel="1">
      <c r="A3295" s="470"/>
      <c r="B3295" s="42"/>
      <c r="C3295" s="42"/>
      <c r="D3295" s="42"/>
      <c r="E3295" s="42"/>
      <c r="F3295" s="42"/>
      <c r="G3295" s="42"/>
      <c r="H3295" s="42"/>
      <c r="I3295" s="42"/>
      <c r="J3295" s="42"/>
      <c r="K3295" s="42"/>
      <c r="L3295" s="42"/>
      <c r="M3295" s="42"/>
      <c r="N3295" s="42"/>
      <c r="O3295" s="42"/>
      <c r="P3295" s="147">
        <f>$P3173*'Assumptions (Oil G&amp;T)'!B$77</f>
        <v>0.66064975712624985</v>
      </c>
      <c r="Q3295" s="147">
        <f>$P3173*'Assumptions (Oil G&amp;T)'!C$77</f>
        <v>1.2717948257851728</v>
      </c>
      <c r="R3295" s="147">
        <f>$P3173*'Assumptions (Oil G&amp;T)'!D$77</f>
        <v>1.1763089142218588</v>
      </c>
      <c r="S3295" s="147">
        <f>$P3173*'Assumptions (Oil G&amp;T)'!E$77</f>
        <v>1.0882222799383587</v>
      </c>
      <c r="T3295" s="147">
        <f>$P3173*'Assumptions (Oil G&amp;T)'!F$77</f>
        <v>1.0064778833232708</v>
      </c>
      <c r="U3295" s="147">
        <f>$P3173*'Assumptions (Oil G&amp;T)'!G$77</f>
        <v>0.9310757243765948</v>
      </c>
      <c r="V3295" s="147">
        <f>$P3173*'Assumptions (Oil G&amp;T)'!H$77</f>
        <v>0.86113493675549579</v>
      </c>
      <c r="W3295" s="147">
        <f>$P3173*'Assumptions (Oil G&amp;T)'!I$77</f>
        <v>0.7966555204599739</v>
      </c>
      <c r="X3295" s="147">
        <f>$P3173*'Assumptions (Oil G&amp;T)'!J$77</f>
        <v>0.78608512434595379</v>
      </c>
      <c r="Y3295" s="147">
        <f>$P3173*'Assumptions (Oil G&amp;T)'!K$77</f>
        <v>0.78590895107738679</v>
      </c>
      <c r="Z3295" s="147">
        <f>$P3173*'Assumptions (Oil G&amp;T)'!L$77</f>
        <v>0.78608512434595379</v>
      </c>
      <c r="AA3295" s="147">
        <f>$P3173*'Assumptions (Oil G&amp;T)'!M$77</f>
        <v>0.78590895107738679</v>
      </c>
      <c r="AB3295" s="147">
        <f>$P3173*'Assumptions (Oil G&amp;T)'!N$77</f>
        <v>0.78608512434595379</v>
      </c>
      <c r="AC3295" s="147">
        <f>$P3173*'Assumptions (Oil G&amp;T)'!O$77</f>
        <v>0.78590895107738679</v>
      </c>
      <c r="AD3295" s="147">
        <f>$P3173*'Assumptions (Oil G&amp;T)'!P$77</f>
        <v>0.78608512434595379</v>
      </c>
      <c r="AE3295" s="147">
        <f>$P3173*'Assumptions (Oil G&amp;T)'!Q$77</f>
        <v>0.78590895107738679</v>
      </c>
      <c r="AF3295" s="147">
        <f>$P3173*'Assumptions (Oil G&amp;T)'!R$77</f>
        <v>0.78608512434595379</v>
      </c>
      <c r="AG3295" s="147">
        <f>$P3173*'Assumptions (Oil G&amp;T)'!S$77</f>
        <v>0.78590895107738679</v>
      </c>
      <c r="AH3295" s="147">
        <f>$P3173*'Assumptions (Oil G&amp;T)'!T$77</f>
        <v>0.78608512434595379</v>
      </c>
      <c r="AI3295" s="147">
        <f>$P3173*'Assumptions (Oil G&amp;T)'!U$77</f>
        <v>0.78590895107738679</v>
      </c>
      <c r="AJ3295" s="147">
        <f>$P3173*'Assumptions (Oil G&amp;T)'!V$77</f>
        <v>0.39304256217297689</v>
      </c>
    </row>
    <row r="3296" spans="1:73" ht="15.75" hidden="1" customHeight="1" outlineLevel="1">
      <c r="A3296" s="470"/>
      <c r="B3296" s="42"/>
      <c r="C3296" s="42"/>
      <c r="D3296" s="42"/>
      <c r="E3296" s="42"/>
      <c r="F3296" s="42"/>
      <c r="G3296" s="42"/>
      <c r="H3296" s="42"/>
      <c r="I3296" s="42"/>
      <c r="J3296" s="42"/>
      <c r="K3296" s="42"/>
      <c r="L3296" s="42"/>
      <c r="M3296" s="42"/>
      <c r="N3296" s="42"/>
      <c r="O3296" s="42"/>
      <c r="P3296" s="42"/>
      <c r="Q3296" s="147">
        <f>$Q3173*'Assumptions (Oil G&amp;T)'!B$77</f>
        <v>0.90985491182999989</v>
      </c>
      <c r="R3296" s="147">
        <f>$Q3173*'Assumptions (Oil G&amp;T)'!C$77</f>
        <v>1.751531362266872</v>
      </c>
      <c r="S3296" s="147">
        <f>$Q3173*'Assumptions (Oil G&amp;T)'!D$77</f>
        <v>1.6200269990103759</v>
      </c>
      <c r="T3296" s="147">
        <f>$Q3173*'Assumptions (Oil G&amp;T)'!E$77</f>
        <v>1.498713010766376</v>
      </c>
      <c r="U3296" s="147">
        <f>$Q3173*'Assumptions (Oil G&amp;T)'!F$77</f>
        <v>1.3861336296759439</v>
      </c>
      <c r="V3296" s="147">
        <f>$Q3173*'Assumptions (Oil G&amp;T)'!G$77</f>
        <v>1.2822888557390799</v>
      </c>
      <c r="W3296" s="147">
        <f>$Q3173*'Assumptions (Oil G&amp;T)'!H$77</f>
        <v>1.1859655490733441</v>
      </c>
      <c r="X3296" s="147">
        <f>$Q3173*'Assumptions (Oil G&amp;T)'!I$77</f>
        <v>1.0971637096787361</v>
      </c>
      <c r="Y3296" s="147">
        <f>$Q3173*'Assumptions (Oil G&amp;T)'!J$77</f>
        <v>1.0826060310894561</v>
      </c>
      <c r="Z3296" s="147">
        <f>$Q3173*'Assumptions (Oil G&amp;T)'!K$77</f>
        <v>1.0823634031129679</v>
      </c>
      <c r="AA3296" s="147">
        <f>$Q3173*'Assumptions (Oil G&amp;T)'!L$77</f>
        <v>1.0826060310894561</v>
      </c>
      <c r="AB3296" s="147">
        <f>$Q3173*'Assumptions (Oil G&amp;T)'!M$77</f>
        <v>1.0823634031129679</v>
      </c>
      <c r="AC3296" s="147">
        <f>$Q3173*'Assumptions (Oil G&amp;T)'!N$77</f>
        <v>1.0826060310894561</v>
      </c>
      <c r="AD3296" s="147">
        <f>$Q3173*'Assumptions (Oil G&amp;T)'!O$77</f>
        <v>1.0823634031129679</v>
      </c>
      <c r="AE3296" s="147">
        <f>$Q3173*'Assumptions (Oil G&amp;T)'!P$77</f>
        <v>1.0826060310894561</v>
      </c>
      <c r="AF3296" s="147">
        <f>$Q3173*'Assumptions (Oil G&amp;T)'!Q$77</f>
        <v>1.0823634031129679</v>
      </c>
      <c r="AG3296" s="147">
        <f>$Q3173*'Assumptions (Oil G&amp;T)'!R$77</f>
        <v>1.0826060310894561</v>
      </c>
      <c r="AH3296" s="147">
        <f>$Q3173*'Assumptions (Oil G&amp;T)'!S$77</f>
        <v>1.0823634031129679</v>
      </c>
      <c r="AI3296" s="147">
        <f>$Q3173*'Assumptions (Oil G&amp;T)'!T$77</f>
        <v>1.0826060310894561</v>
      </c>
      <c r="AJ3296" s="147">
        <f>$Q3173*'Assumptions (Oil G&amp;T)'!U$77</f>
        <v>1.0823634031129679</v>
      </c>
      <c r="AK3296" s="147">
        <f>$Q3173*'Assumptions (Oil G&amp;T)'!V$77</f>
        <v>0.54130301554472804</v>
      </c>
    </row>
    <row r="3297" spans="1:53" ht="15.75" hidden="1" customHeight="1" outlineLevel="1">
      <c r="A3297" s="470"/>
      <c r="B3297" s="42"/>
      <c r="C3297" s="42"/>
      <c r="D3297" s="42"/>
      <c r="E3297" s="42"/>
      <c r="F3297" s="42"/>
      <c r="G3297" s="42"/>
      <c r="H3297" s="42"/>
      <c r="I3297" s="42"/>
      <c r="J3297" s="42"/>
      <c r="K3297" s="42"/>
      <c r="L3297" s="42"/>
      <c r="M3297" s="42"/>
      <c r="N3297" s="42"/>
      <c r="O3297" s="42"/>
      <c r="P3297" s="42"/>
      <c r="Q3297" s="42"/>
      <c r="R3297" s="147">
        <f>$R3173*'Assumptions (Oil G&amp;T)'!B$77</f>
        <v>0.68982369094124996</v>
      </c>
      <c r="S3297" s="147">
        <f>$R3173*'Assumptions (Oil G&amp;T)'!C$77</f>
        <v>1.3279565933079689</v>
      </c>
      <c r="T3297" s="147">
        <f>$R3173*'Assumptions (Oil G&amp;T)'!D$77</f>
        <v>1.2282540758439269</v>
      </c>
      <c r="U3297" s="147">
        <f>$R3173*'Assumptions (Oil G&amp;T)'!E$77</f>
        <v>1.1362775837184269</v>
      </c>
      <c r="V3297" s="147">
        <f>$R3173*'Assumptions (Oil G&amp;T)'!F$77</f>
        <v>1.050923399025963</v>
      </c>
      <c r="W3297" s="147">
        <f>$R3173*'Assumptions (Oil G&amp;T)'!G$77</f>
        <v>0.97219152176653489</v>
      </c>
      <c r="X3297" s="147">
        <f>$R3173*'Assumptions (Oil G&amp;T)'!H$77</f>
        <v>0.89916218701888795</v>
      </c>
      <c r="Y3297" s="147">
        <f>$R3173*'Assumptions (Oil G&amp;T)'!I$77</f>
        <v>0.83183539478302193</v>
      </c>
      <c r="Z3297" s="147">
        <f>$R3173*'Assumptions (Oil G&amp;T)'!J$77</f>
        <v>0.82079821572796197</v>
      </c>
      <c r="AA3297" s="147">
        <f>$R3173*'Assumptions (Oil G&amp;T)'!K$77</f>
        <v>0.82061426274371085</v>
      </c>
      <c r="AB3297" s="147">
        <f>$R3173*'Assumptions (Oil G&amp;T)'!L$77</f>
        <v>0.82079821572796197</v>
      </c>
      <c r="AC3297" s="147">
        <f>$R3173*'Assumptions (Oil G&amp;T)'!M$77</f>
        <v>0.82061426274371085</v>
      </c>
      <c r="AD3297" s="147">
        <f>$R3173*'Assumptions (Oil G&amp;T)'!N$77</f>
        <v>0.82079821572796197</v>
      </c>
      <c r="AE3297" s="147">
        <f>$R3173*'Assumptions (Oil G&amp;T)'!O$77</f>
        <v>0.82061426274371085</v>
      </c>
      <c r="AF3297" s="147">
        <f>$R3173*'Assumptions (Oil G&amp;T)'!P$77</f>
        <v>0.82079821572796197</v>
      </c>
      <c r="AG3297" s="147">
        <f>$R3173*'Assumptions (Oil G&amp;T)'!Q$77</f>
        <v>0.82061426274371085</v>
      </c>
      <c r="AH3297" s="147">
        <f>$R3173*'Assumptions (Oil G&amp;T)'!R$77</f>
        <v>0.82079821572796197</v>
      </c>
      <c r="AI3297" s="147">
        <f>$R3173*'Assumptions (Oil G&amp;T)'!S$77</f>
        <v>0.82061426274371085</v>
      </c>
      <c r="AJ3297" s="147">
        <f>$R3173*'Assumptions (Oil G&amp;T)'!T$77</f>
        <v>0.82079821572796197</v>
      </c>
      <c r="AK3297" s="147">
        <f>$R3173*'Assumptions (Oil G&amp;T)'!U$77</f>
        <v>0.82061426274371085</v>
      </c>
      <c r="AL3297" s="147">
        <f>$R3173*'Assumptions (Oil G&amp;T)'!V$77</f>
        <v>0.41039910786398098</v>
      </c>
    </row>
    <row r="3298" spans="1:53" ht="15.75" hidden="1" customHeight="1" outlineLevel="1">
      <c r="A3298" s="470"/>
      <c r="B3298" s="42"/>
      <c r="C3298" s="42"/>
      <c r="D3298" s="42"/>
      <c r="E3298" s="42"/>
      <c r="F3298" s="42"/>
      <c r="G3298" s="42"/>
      <c r="H3298" s="42"/>
      <c r="I3298" s="42"/>
      <c r="J3298" s="42"/>
      <c r="K3298" s="42"/>
      <c r="L3298" s="42"/>
      <c r="M3298" s="42"/>
      <c r="N3298" s="42"/>
      <c r="O3298" s="42"/>
      <c r="P3298" s="42"/>
      <c r="Q3298" s="42"/>
      <c r="R3298" s="42"/>
      <c r="S3298" s="147">
        <f>$S3173*'Assumptions (Oil G&amp;T)'!B$77</f>
        <v>0.42940330211249994</v>
      </c>
      <c r="T3298" s="147">
        <f>$S3173*'Assumptions (Oil G&amp;T)'!C$77</f>
        <v>0.82662998345337002</v>
      </c>
      <c r="U3298" s="147">
        <f>$S3173*'Assumptions (Oil G&amp;T)'!D$77</f>
        <v>0.76456689285470991</v>
      </c>
      <c r="V3298" s="147">
        <f>$S3173*'Assumptions (Oil G&amp;T)'!E$77</f>
        <v>0.70731311923970996</v>
      </c>
      <c r="W3298" s="147">
        <f>$S3173*'Assumptions (Oil G&amp;T)'!F$77</f>
        <v>0.65418161732498992</v>
      </c>
      <c r="X3298" s="147">
        <f>$S3173*'Assumptions (Oil G&amp;T)'!G$77</f>
        <v>0.60517238711054999</v>
      </c>
      <c r="Y3298" s="147">
        <f>$S3173*'Assumptions (Oil G&amp;T)'!H$77</f>
        <v>0.55971289086024001</v>
      </c>
      <c r="Z3298" s="147">
        <f>$S3173*'Assumptions (Oil G&amp;T)'!I$77</f>
        <v>0.51780312857405997</v>
      </c>
      <c r="AA3298" s="147">
        <f>$S3173*'Assumptions (Oil G&amp;T)'!J$77</f>
        <v>0.51093267574026002</v>
      </c>
      <c r="AB3298" s="147">
        <f>$S3173*'Assumptions (Oil G&amp;T)'!K$77</f>
        <v>0.51081816819302994</v>
      </c>
      <c r="AC3298" s="147">
        <f>$S3173*'Assumptions (Oil G&amp;T)'!L$77</f>
        <v>0.51093267574026002</v>
      </c>
      <c r="AD3298" s="147">
        <f>$S3173*'Assumptions (Oil G&amp;T)'!M$77</f>
        <v>0.51081816819302994</v>
      </c>
      <c r="AE3298" s="147">
        <f>$S3173*'Assumptions (Oil G&amp;T)'!N$77</f>
        <v>0.51093267574026002</v>
      </c>
      <c r="AF3298" s="147">
        <f>$S3173*'Assumptions (Oil G&amp;T)'!O$77</f>
        <v>0.51081816819302994</v>
      </c>
      <c r="AG3298" s="147">
        <f>$S3173*'Assumptions (Oil G&amp;T)'!P$77</f>
        <v>0.51093267574026002</v>
      </c>
      <c r="AH3298" s="147">
        <f>$S3173*'Assumptions (Oil G&amp;T)'!Q$77</f>
        <v>0.51081816819302994</v>
      </c>
      <c r="AI3298" s="147">
        <f>$S3173*'Assumptions (Oil G&amp;T)'!R$77</f>
        <v>0.51093267574026002</v>
      </c>
      <c r="AJ3298" s="147">
        <f>$S3173*'Assumptions (Oil G&amp;T)'!S$77</f>
        <v>0.51081816819302994</v>
      </c>
      <c r="AK3298" s="147">
        <f>$S3173*'Assumptions (Oil G&amp;T)'!T$77</f>
        <v>0.51093267574026002</v>
      </c>
      <c r="AL3298" s="147">
        <f>$S3173*'Assumptions (Oil G&amp;T)'!U$77</f>
        <v>0.51081816819302994</v>
      </c>
      <c r="AM3298" s="147">
        <f>$S3173*'Assumptions (Oil G&amp;T)'!V$77</f>
        <v>0.25546633787013001</v>
      </c>
    </row>
    <row r="3299" spans="1:53" ht="15.75" hidden="1" customHeight="1" outlineLevel="1">
      <c r="A3299" s="470"/>
      <c r="B3299" s="42"/>
      <c r="C3299" s="42"/>
      <c r="D3299" s="42"/>
      <c r="E3299" s="42"/>
      <c r="F3299" s="42"/>
      <c r="G3299" s="42"/>
      <c r="H3299" s="42"/>
      <c r="I3299" s="42"/>
      <c r="J3299" s="42"/>
      <c r="K3299" s="42"/>
      <c r="L3299" s="42"/>
      <c r="M3299" s="42"/>
      <c r="N3299" s="42"/>
      <c r="O3299" s="42"/>
      <c r="P3299" s="42"/>
      <c r="Q3299" s="42"/>
      <c r="R3299" s="42"/>
      <c r="S3299" s="42"/>
      <c r="T3299" s="147">
        <f>$T3173*'Assumptions (Oil G&amp;T)'!B$77</f>
        <v>0.66467274701197032</v>
      </c>
      <c r="U3299" s="147">
        <f>$T3173*'Assumptions (Oil G&amp;T)'!C$77</f>
        <v>1.2795393495145104</v>
      </c>
      <c r="V3299" s="147">
        <f>$T3173*'Assumptions (Oil G&amp;T)'!D$77</f>
        <v>1.1834719818130468</v>
      </c>
      <c r="W3299" s="147">
        <f>$T3173*'Assumptions (Oil G&amp;T)'!E$77</f>
        <v>1.0948489488781175</v>
      </c>
      <c r="X3299" s="147">
        <f>$T3173*'Assumptions (Oil G&amp;T)'!F$77</f>
        <v>1.0126067743145031</v>
      </c>
      <c r="Y3299" s="147">
        <f>$T3173*'Assumptions (Oil G&amp;T)'!G$77</f>
        <v>0.93674545812220344</v>
      </c>
      <c r="Z3299" s="147">
        <f>$T3173*'Assumptions (Oil G&amp;T)'!H$77</f>
        <v>0.86637876997186958</v>
      </c>
      <c r="AA3299" s="147">
        <f>$T3173*'Assumptions (Oil G&amp;T)'!I$77</f>
        <v>0.80150670986350125</v>
      </c>
      <c r="AB3299" s="147">
        <f>$T3173*'Assumptions (Oil G&amp;T)'!J$77</f>
        <v>0.79087194591130971</v>
      </c>
      <c r="AC3299" s="147">
        <f>$T3173*'Assumptions (Oil G&amp;T)'!K$77</f>
        <v>0.79069469984543983</v>
      </c>
      <c r="AD3299" s="147">
        <f>$T3173*'Assumptions (Oil G&amp;T)'!L$77</f>
        <v>0.79087194591130971</v>
      </c>
      <c r="AE3299" s="147">
        <f>$T3173*'Assumptions (Oil G&amp;T)'!M$77</f>
        <v>0.79069469984543983</v>
      </c>
      <c r="AF3299" s="147">
        <f>$T3173*'Assumptions (Oil G&amp;T)'!N$77</f>
        <v>0.79087194591130971</v>
      </c>
      <c r="AG3299" s="147">
        <f>$T3173*'Assumptions (Oil G&amp;T)'!O$77</f>
        <v>0.79069469984543983</v>
      </c>
      <c r="AH3299" s="147">
        <f>$T3173*'Assumptions (Oil G&amp;T)'!P$77</f>
        <v>0.79087194591130971</v>
      </c>
      <c r="AI3299" s="147">
        <f>$T3173*'Assumptions (Oil G&amp;T)'!Q$77</f>
        <v>0.79069469984543983</v>
      </c>
      <c r="AJ3299" s="147">
        <f>$T3173*'Assumptions (Oil G&amp;T)'!R$77</f>
        <v>0.79087194591130971</v>
      </c>
      <c r="AK3299" s="147">
        <f>$T3173*'Assumptions (Oil G&amp;T)'!S$77</f>
        <v>0.79069469984543983</v>
      </c>
      <c r="AL3299" s="147">
        <f>$T3173*'Assumptions (Oil G&amp;T)'!T$77</f>
        <v>0.79087194591130971</v>
      </c>
      <c r="AM3299" s="147">
        <f>$T3173*'Assumptions (Oil G&amp;T)'!U$77</f>
        <v>0.79069469984543983</v>
      </c>
      <c r="AN3299" s="147">
        <f>$T3173*'Assumptions (Oil G&amp;T)'!V$77</f>
        <v>0.39543597295565486</v>
      </c>
    </row>
    <row r="3300" spans="1:53" ht="15.75" hidden="1" customHeight="1" outlineLevel="1">
      <c r="A3300" s="470"/>
      <c r="B3300" s="42"/>
      <c r="C3300" s="42"/>
      <c r="D3300" s="42"/>
      <c r="E3300" s="42"/>
      <c r="F3300" s="42"/>
      <c r="G3300" s="42"/>
      <c r="H3300" s="42"/>
      <c r="I3300" s="42"/>
      <c r="J3300" s="42"/>
      <c r="K3300" s="42"/>
      <c r="L3300" s="42"/>
      <c r="M3300" s="42"/>
      <c r="N3300" s="42"/>
      <c r="O3300" s="42"/>
      <c r="P3300" s="42"/>
      <c r="Q3300" s="42"/>
      <c r="R3300" s="42"/>
      <c r="S3300" s="42"/>
      <c r="T3300" s="42"/>
      <c r="U3300" s="147">
        <f>$U3173*'Assumptions (Oil G&amp;T)'!B$77</f>
        <v>0.72422878240484789</v>
      </c>
      <c r="V3300" s="147">
        <f>$U3173*'Assumptions (Oil G&amp;T)'!C$77</f>
        <v>1.3941886880481593</v>
      </c>
      <c r="W3300" s="147">
        <f>$U3173*'Assumptions (Oil G&amp;T)'!D$77</f>
        <v>1.2895134880312451</v>
      </c>
      <c r="X3300" s="147">
        <f>$U3173*'Assumptions (Oil G&amp;T)'!E$77</f>
        <v>1.1929496503772654</v>
      </c>
      <c r="Y3300" s="147">
        <f>$U3173*'Assumptions (Oil G&amp;T)'!F$77</f>
        <v>1.1033384090343723</v>
      </c>
      <c r="Z3300" s="147">
        <f>$U3173*'Assumptions (Oil G&amp;T)'!G$77</f>
        <v>1.0206797640025658</v>
      </c>
      <c r="AA3300" s="147">
        <f>$U3173*'Assumptions (Oil G&amp;T)'!H$77</f>
        <v>0.94400807690530575</v>
      </c>
      <c r="AB3300" s="147">
        <f>$U3173*'Assumptions (Oil G&amp;T)'!I$77</f>
        <v>0.87332334774259268</v>
      </c>
      <c r="AC3300" s="147">
        <f>$U3173*'Assumptions (Oil G&amp;T)'!J$77</f>
        <v>0.86173568722411509</v>
      </c>
      <c r="AD3300" s="147">
        <f>$U3173*'Assumptions (Oil G&amp;T)'!K$77</f>
        <v>0.8615425595488071</v>
      </c>
      <c r="AE3300" s="147">
        <f>$U3173*'Assumptions (Oil G&amp;T)'!L$77</f>
        <v>0.86173568722411509</v>
      </c>
      <c r="AF3300" s="147">
        <f>$U3173*'Assumptions (Oil G&amp;T)'!M$77</f>
        <v>0.8615425595488071</v>
      </c>
      <c r="AG3300" s="147">
        <f>$U3173*'Assumptions (Oil G&amp;T)'!N$77</f>
        <v>0.86173568722411509</v>
      </c>
      <c r="AH3300" s="147">
        <f>$U3173*'Assumptions (Oil G&amp;T)'!O$77</f>
        <v>0.8615425595488071</v>
      </c>
      <c r="AI3300" s="147">
        <f>$U3173*'Assumptions (Oil G&amp;T)'!P$77</f>
        <v>0.86173568722411509</v>
      </c>
      <c r="AJ3300" s="147">
        <f>$U3173*'Assumptions (Oil G&amp;T)'!Q$77</f>
        <v>0.8615425595488071</v>
      </c>
      <c r="AK3300" s="147">
        <f>$U3173*'Assumptions (Oil G&amp;T)'!R$77</f>
        <v>0.86173568722411509</v>
      </c>
      <c r="AL3300" s="147">
        <f>$U3173*'Assumptions (Oil G&amp;T)'!S$77</f>
        <v>0.8615425595488071</v>
      </c>
      <c r="AM3300" s="147">
        <f>$U3173*'Assumptions (Oil G&amp;T)'!T$77</f>
        <v>0.86173568722411509</v>
      </c>
      <c r="AN3300" s="147">
        <f>$U3173*'Assumptions (Oil G&amp;T)'!U$77</f>
        <v>0.8615425595488071</v>
      </c>
      <c r="AO3300" s="147">
        <f>$U3173*'Assumptions (Oil G&amp;T)'!V$77</f>
        <v>0.43086784361205754</v>
      </c>
    </row>
    <row r="3301" spans="1:53" ht="15.75" hidden="1" customHeight="1" outlineLevel="1">
      <c r="A3301" s="470"/>
      <c r="B3301" s="42"/>
      <c r="C3301" s="42"/>
      <c r="D3301" s="42"/>
      <c r="E3301" s="42"/>
      <c r="F3301" s="42"/>
      <c r="G3301" s="42"/>
      <c r="H3301" s="42"/>
      <c r="I3301" s="42"/>
      <c r="J3301" s="42"/>
      <c r="K3301" s="42"/>
      <c r="L3301" s="42"/>
      <c r="M3301" s="42"/>
      <c r="N3301" s="42"/>
      <c r="O3301" s="42"/>
      <c r="P3301" s="42"/>
      <c r="Q3301" s="42"/>
      <c r="R3301" s="42"/>
      <c r="S3301" s="42"/>
      <c r="T3301" s="42"/>
      <c r="U3301" s="42"/>
      <c r="V3301" s="147">
        <f>$V3173*'Assumptions (Oil G&amp;T)'!B$77</f>
        <v>0.76143492452750683</v>
      </c>
      <c r="W3301" s="147">
        <f>$V3173*'Assumptions (Oil G&amp;T)'!C$77</f>
        <v>1.4658129920437526</v>
      </c>
      <c r="X3301" s="147">
        <f>$V3173*'Assumptions (Oil G&amp;T)'!D$77</f>
        <v>1.3557602642853768</v>
      </c>
      <c r="Y3301" s="147">
        <f>$V3173*'Assumptions (Oil G&amp;T)'!E$77</f>
        <v>1.2542356076817092</v>
      </c>
      <c r="Z3301" s="147">
        <f>$V3173*'Assumptions (Oil G&amp;T)'!F$77</f>
        <v>1.1600207263535058</v>
      </c>
      <c r="AA3301" s="147">
        <f>$V3173*'Assumptions (Oil G&amp;T)'!G$77</f>
        <v>1.0731156203007663</v>
      </c>
      <c r="AB3301" s="147">
        <f>$V3173*'Assumptions (Oil G&amp;T)'!H$77</f>
        <v>0.99250504295745423</v>
      </c>
      <c r="AC3301" s="147">
        <f>$V3173*'Assumptions (Oil G&amp;T)'!I$77</f>
        <v>0.91818899432356971</v>
      </c>
      <c r="AD3301" s="147">
        <f>$V3173*'Assumptions (Oil G&amp;T)'!J$77</f>
        <v>0.90600603553112946</v>
      </c>
      <c r="AE3301" s="147">
        <f>$V3173*'Assumptions (Oil G&amp;T)'!K$77</f>
        <v>0.9058029862179221</v>
      </c>
      <c r="AF3301" s="147">
        <f>$V3173*'Assumptions (Oil G&amp;T)'!L$77</f>
        <v>0.90600603553112946</v>
      </c>
      <c r="AG3301" s="147">
        <f>$V3173*'Assumptions (Oil G&amp;T)'!M$77</f>
        <v>0.9058029862179221</v>
      </c>
      <c r="AH3301" s="147">
        <f>$V3173*'Assumptions (Oil G&amp;T)'!N$77</f>
        <v>0.90600603553112946</v>
      </c>
      <c r="AI3301" s="147">
        <f>$V3173*'Assumptions (Oil G&amp;T)'!O$77</f>
        <v>0.9058029862179221</v>
      </c>
      <c r="AJ3301" s="147">
        <f>$V3173*'Assumptions (Oil G&amp;T)'!P$77</f>
        <v>0.90600603553112946</v>
      </c>
      <c r="AK3301" s="147">
        <f>$V3173*'Assumptions (Oil G&amp;T)'!Q$77</f>
        <v>0.9058029862179221</v>
      </c>
      <c r="AL3301" s="147">
        <f>$V3173*'Assumptions (Oil G&amp;T)'!R$77</f>
        <v>0.90600603553112946</v>
      </c>
      <c r="AM3301" s="147">
        <f>$V3173*'Assumptions (Oil G&amp;T)'!S$77</f>
        <v>0.9058029862179221</v>
      </c>
      <c r="AN3301" s="147">
        <f>$V3173*'Assumptions (Oil G&amp;T)'!T$77</f>
        <v>0.90600603553112946</v>
      </c>
      <c r="AO3301" s="147">
        <f>$V3173*'Assumptions (Oil G&amp;T)'!U$77</f>
        <v>0.9058029862179221</v>
      </c>
      <c r="AP3301" s="147">
        <f>$V3173*'Assumptions (Oil G&amp;T)'!V$77</f>
        <v>0.45300301776556473</v>
      </c>
    </row>
    <row r="3302" spans="1:53" ht="15.75" hidden="1" customHeight="1" outlineLevel="1">
      <c r="A3302" s="470"/>
      <c r="B3302" s="42"/>
      <c r="C3302" s="42"/>
      <c r="D3302" s="42"/>
      <c r="E3302" s="42"/>
      <c r="F3302" s="42"/>
      <c r="G3302" s="42"/>
      <c r="H3302" s="42"/>
      <c r="I3302" s="42"/>
      <c r="J3302" s="42"/>
      <c r="K3302" s="42"/>
      <c r="L3302" s="42"/>
      <c r="M3302" s="42"/>
      <c r="N3302" s="42"/>
      <c r="O3302" s="42"/>
      <c r="P3302" s="42"/>
      <c r="Q3302" s="42"/>
      <c r="R3302" s="42"/>
      <c r="S3302" s="42"/>
      <c r="T3302" s="42"/>
      <c r="U3302" s="42"/>
      <c r="V3302" s="42"/>
      <c r="W3302" s="147">
        <f>$W3173*'Assumptions (Oil G&amp;T)'!B$77</f>
        <v>0.78686955818510451</v>
      </c>
      <c r="X3302" s="147">
        <f>$W3173*'Assumptions (Oil G&amp;T)'!C$77</f>
        <v>1.514776357476872</v>
      </c>
      <c r="Y3302" s="147">
        <f>$W3173*'Assumptions (Oil G&amp;T)'!D$77</f>
        <v>1.4010474773338513</v>
      </c>
      <c r="Z3302" s="147">
        <f>$W3173*'Assumptions (Oil G&amp;T)'!E$77</f>
        <v>1.2961315362425041</v>
      </c>
      <c r="AA3302" s="147">
        <f>$W3173*'Assumptions (Oil G&amp;T)'!F$77</f>
        <v>1.198769542909734</v>
      </c>
      <c r="AB3302" s="147">
        <f>$W3173*'Assumptions (Oil G&amp;T)'!G$77</f>
        <v>1.1089614973355406</v>
      </c>
      <c r="AC3302" s="147">
        <f>$W3173*'Assumptions (Oil G&amp;T)'!H$77</f>
        <v>1.0256582401090109</v>
      </c>
      <c r="AD3302" s="147">
        <f>$W3173*'Assumptions (Oil G&amp;T)'!I$77</f>
        <v>0.94885977123014476</v>
      </c>
      <c r="AE3302" s="147">
        <f>$W3173*'Assumptions (Oil G&amp;T)'!J$77</f>
        <v>0.93626985829918308</v>
      </c>
      <c r="AF3302" s="147">
        <f>$W3173*'Assumptions (Oil G&amp;T)'!K$77</f>
        <v>0.93606002641700026</v>
      </c>
      <c r="AG3302" s="147">
        <f>$W3173*'Assumptions (Oil G&amp;T)'!L$77</f>
        <v>0.93626985829918308</v>
      </c>
      <c r="AH3302" s="147">
        <f>$W3173*'Assumptions (Oil G&amp;T)'!M$77</f>
        <v>0.93606002641700026</v>
      </c>
      <c r="AI3302" s="147">
        <f>$W3173*'Assumptions (Oil G&amp;T)'!N$77</f>
        <v>0.93626985829918308</v>
      </c>
      <c r="AJ3302" s="147">
        <f>$W3173*'Assumptions (Oil G&amp;T)'!O$77</f>
        <v>0.93606002641700026</v>
      </c>
      <c r="AK3302" s="147">
        <f>$W3173*'Assumptions (Oil G&amp;T)'!P$77</f>
        <v>0.93626985829918308</v>
      </c>
      <c r="AL3302" s="147">
        <f>$W3173*'Assumptions (Oil G&amp;T)'!Q$77</f>
        <v>0.93606002641700026</v>
      </c>
      <c r="AM3302" s="147">
        <f>$W3173*'Assumptions (Oil G&amp;T)'!R$77</f>
        <v>0.93626985829918308</v>
      </c>
      <c r="AN3302" s="147">
        <f>$W3173*'Assumptions (Oil G&amp;T)'!S$77</f>
        <v>0.93606002641700026</v>
      </c>
      <c r="AO3302" s="147">
        <f>$W3173*'Assumptions (Oil G&amp;T)'!T$77</f>
        <v>0.93626985829918308</v>
      </c>
      <c r="AP3302" s="147">
        <f>$W3173*'Assumptions (Oil G&amp;T)'!U$77</f>
        <v>0.93606002641700026</v>
      </c>
      <c r="AQ3302" s="147">
        <f>$W3173*'Assumptions (Oil G&amp;T)'!V$77</f>
        <v>0.46813492914959154</v>
      </c>
    </row>
    <row r="3303" spans="1:53" ht="15.75" hidden="1" customHeight="1" outlineLevel="1">
      <c r="A3303" s="470"/>
      <c r="B3303" s="42"/>
      <c r="C3303" s="42"/>
      <c r="D3303" s="42"/>
      <c r="E3303" s="42"/>
      <c r="F3303" s="42"/>
      <c r="G3303" s="42"/>
      <c r="H3303" s="42"/>
      <c r="I3303" s="42"/>
      <c r="J3303" s="42"/>
      <c r="K3303" s="42"/>
      <c r="L3303" s="42"/>
      <c r="M3303" s="42"/>
      <c r="N3303" s="42"/>
      <c r="O3303" s="42"/>
      <c r="P3303" s="42"/>
      <c r="Q3303" s="42"/>
      <c r="R3303" s="42"/>
      <c r="S3303" s="42"/>
      <c r="T3303" s="42"/>
      <c r="U3303" s="42"/>
      <c r="V3303" s="42"/>
      <c r="W3303" s="86"/>
      <c r="X3303" s="147">
        <f>$X3173*'Assumptions (Oil G&amp;T)'!B$77</f>
        <v>0.79887766401617599</v>
      </c>
      <c r="Y3303" s="147">
        <f>$X3173*'Assumptions (Oil G&amp;T)'!C$77</f>
        <v>1.5378927617420732</v>
      </c>
      <c r="Z3303" s="147">
        <f>$X3173*'Assumptions (Oil G&amp;T)'!D$77</f>
        <v>1.4224283100362685</v>
      </c>
      <c r="AA3303" s="147">
        <f>$X3173*'Assumptions (Oil G&amp;T)'!E$77</f>
        <v>1.3159112881674451</v>
      </c>
      <c r="AB3303" s="147">
        <f>$X3173*'Assumptions (Oil G&amp;T)'!F$77</f>
        <v>1.2170634918731769</v>
      </c>
      <c r="AC3303" s="147">
        <f>$X3173*'Assumptions (Oil G&amp;T)'!G$77</f>
        <v>1.1258849211534641</v>
      </c>
      <c r="AD3303" s="147">
        <f>$X3173*'Assumptions (Oil G&amp;T)'!H$77</f>
        <v>1.0413104057896181</v>
      </c>
      <c r="AE3303" s="147">
        <f>$X3173*'Assumptions (Oil G&amp;T)'!I$77</f>
        <v>0.96333994578163951</v>
      </c>
      <c r="AF3303" s="147">
        <f>$X3173*'Assumptions (Oil G&amp;T)'!J$77</f>
        <v>0.95055790315738053</v>
      </c>
      <c r="AG3303" s="147">
        <f>$X3173*'Assumptions (Oil G&amp;T)'!K$77</f>
        <v>0.95034486911364291</v>
      </c>
      <c r="AH3303" s="147">
        <f>$X3173*'Assumptions (Oil G&amp;T)'!L$77</f>
        <v>0.95055790315738053</v>
      </c>
      <c r="AI3303" s="147">
        <f>$X3173*'Assumptions (Oil G&amp;T)'!M$77</f>
        <v>0.95034486911364291</v>
      </c>
      <c r="AJ3303" s="147">
        <f>$X3173*'Assumptions (Oil G&amp;T)'!N$77</f>
        <v>0.95055790315738053</v>
      </c>
      <c r="AK3303" s="147">
        <f>$X3173*'Assumptions (Oil G&amp;T)'!O$77</f>
        <v>0.95034486911364291</v>
      </c>
      <c r="AL3303" s="147">
        <f>$X3173*'Assumptions (Oil G&amp;T)'!P$77</f>
        <v>0.95055790315738053</v>
      </c>
      <c r="AM3303" s="147">
        <f>$X3173*'Assumptions (Oil G&amp;T)'!Q$77</f>
        <v>0.95034486911364291</v>
      </c>
      <c r="AN3303" s="147">
        <f>$X3173*'Assumptions (Oil G&amp;T)'!R$77</f>
        <v>0.95055790315738053</v>
      </c>
      <c r="AO3303" s="147">
        <f>$X3173*'Assumptions (Oil G&amp;T)'!S$77</f>
        <v>0.95034486911364291</v>
      </c>
      <c r="AP3303" s="147">
        <f>$X3173*'Assumptions (Oil G&amp;T)'!T$77</f>
        <v>0.95055790315738053</v>
      </c>
      <c r="AQ3303" s="147">
        <f>$X3173*'Assumptions (Oil G&amp;T)'!U$77</f>
        <v>0.95034486911364291</v>
      </c>
      <c r="AR3303" s="147">
        <f>$X3173*'Assumptions (Oil G&amp;T)'!V$77</f>
        <v>0.47527895157869027</v>
      </c>
    </row>
    <row r="3304" spans="1:53" ht="15.75" hidden="1" customHeight="1" outlineLevel="1">
      <c r="A3304" s="470"/>
      <c r="B3304" s="42"/>
      <c r="C3304" s="42"/>
      <c r="D3304" s="42"/>
      <c r="E3304" s="42"/>
      <c r="F3304" s="42"/>
      <c r="G3304" s="42"/>
      <c r="H3304" s="42"/>
      <c r="I3304" s="42"/>
      <c r="J3304" s="42"/>
      <c r="K3304" s="42"/>
      <c r="L3304" s="42"/>
      <c r="M3304" s="42"/>
      <c r="N3304" s="42"/>
      <c r="O3304" s="42"/>
      <c r="P3304" s="42"/>
      <c r="Q3304" s="42"/>
      <c r="R3304" s="42"/>
      <c r="S3304" s="42"/>
      <c r="T3304" s="42"/>
      <c r="U3304" s="42"/>
      <c r="V3304" s="42"/>
      <c r="W3304" s="86"/>
      <c r="Y3304" s="147">
        <f>$Y3173*'Assumptions (Oil G&amp;T)'!B$77</f>
        <v>0.80127203070159958</v>
      </c>
      <c r="Z3304" s="147">
        <f>$Y3173*'Assumptions (Oil G&amp;T)'!C$77</f>
        <v>1.5425020772359594</v>
      </c>
      <c r="AA3304" s="147">
        <f>$Y3173*'Assumptions (Oil G&amp;T)'!D$77</f>
        <v>1.4266915597318879</v>
      </c>
      <c r="AB3304" s="147">
        <f>$Y3173*'Assumptions (Oil G&amp;T)'!E$77</f>
        <v>1.3198552889716748</v>
      </c>
      <c r="AC3304" s="147">
        <f>$Y3173*'Assumptions (Oil G&amp;T)'!F$77</f>
        <v>1.2207112297061968</v>
      </c>
      <c r="AD3304" s="147">
        <f>$Y3173*'Assumptions (Oil G&amp;T)'!G$77</f>
        <v>1.1292593819354544</v>
      </c>
      <c r="AE3304" s="147">
        <f>$Y3173*'Assumptions (Oil G&amp;T)'!H$77</f>
        <v>1.044431382951845</v>
      </c>
      <c r="AF3304" s="147">
        <f>$Y3173*'Assumptions (Oil G&amp;T)'!I$77</f>
        <v>0.96622723275536893</v>
      </c>
      <c r="AG3304" s="147">
        <f>$Y3173*'Assumptions (Oil G&amp;T)'!J$77</f>
        <v>0.95340688026414322</v>
      </c>
      <c r="AH3304" s="147">
        <f>$Y3173*'Assumptions (Oil G&amp;T)'!K$77</f>
        <v>0.95319320772262273</v>
      </c>
      <c r="AI3304" s="147">
        <f>$Y3173*'Assumptions (Oil G&amp;T)'!L$77</f>
        <v>0.95340688026414322</v>
      </c>
      <c r="AJ3304" s="147">
        <f>$Y3173*'Assumptions (Oil G&amp;T)'!M$77</f>
        <v>0.95319320772262273</v>
      </c>
      <c r="AK3304" s="147">
        <f>$Y3173*'Assumptions (Oil G&amp;T)'!N$77</f>
        <v>0.95340688026414322</v>
      </c>
      <c r="AL3304" s="147">
        <f>$Y3173*'Assumptions (Oil G&amp;T)'!O$77</f>
        <v>0.95319320772262273</v>
      </c>
      <c r="AM3304" s="147">
        <f>$Y3173*'Assumptions (Oil G&amp;T)'!P$77</f>
        <v>0.95340688026414322</v>
      </c>
      <c r="AN3304" s="147">
        <f>$Y3173*'Assumptions (Oil G&amp;T)'!Q$77</f>
        <v>0.95319320772262273</v>
      </c>
      <c r="AO3304" s="147">
        <f>$Y3173*'Assumptions (Oil G&amp;T)'!R$77</f>
        <v>0.95340688026414322</v>
      </c>
      <c r="AP3304" s="147">
        <f>$Y3173*'Assumptions (Oil G&amp;T)'!S$77</f>
        <v>0.95319320772262273</v>
      </c>
      <c r="AQ3304" s="147">
        <f>$Y3173*'Assumptions (Oil G&amp;T)'!T$77</f>
        <v>0.95340688026414322</v>
      </c>
      <c r="AR3304" s="147">
        <f>$Y3173*'Assumptions (Oil G&amp;T)'!U$77</f>
        <v>0.95319320772262273</v>
      </c>
      <c r="AS3304" s="147">
        <f>$Y3173*'Assumptions (Oil G&amp;T)'!V$77</f>
        <v>0.47670344013207161</v>
      </c>
    </row>
    <row r="3305" spans="1:53" ht="15.75" hidden="1" customHeight="1" outlineLevel="1">
      <c r="A3305" s="470"/>
      <c r="B3305" s="42"/>
      <c r="C3305" s="42"/>
      <c r="D3305" s="42"/>
      <c r="E3305" s="42"/>
      <c r="F3305" s="42"/>
      <c r="G3305" s="42"/>
      <c r="H3305" s="42"/>
      <c r="I3305" s="42"/>
      <c r="J3305" s="42"/>
      <c r="K3305" s="42"/>
      <c r="L3305" s="42"/>
      <c r="M3305" s="42"/>
      <c r="N3305" s="42"/>
      <c r="O3305" s="42"/>
      <c r="P3305" s="42"/>
      <c r="Q3305" s="42"/>
      <c r="R3305" s="42"/>
      <c r="S3305" s="42"/>
      <c r="T3305" s="42"/>
      <c r="U3305" s="42"/>
      <c r="V3305" s="42"/>
      <c r="W3305" s="86"/>
      <c r="Z3305" s="147">
        <f>$Z3173*'Assumptions (Oil G&amp;T)'!B$77</f>
        <v>0.80116882897260533</v>
      </c>
      <c r="AA3305" s="147">
        <f>$Z3173*'Assumptions (Oil G&amp;T)'!C$77</f>
        <v>1.5423034070275303</v>
      </c>
      <c r="AB3305" s="147">
        <f>$Z3173*'Assumptions (Oil G&amp;T)'!D$77</f>
        <v>1.4265078056133562</v>
      </c>
      <c r="AC3305" s="147">
        <f>$Z3173*'Assumptions (Oil G&amp;T)'!E$77</f>
        <v>1.3196852950836755</v>
      </c>
      <c r="AD3305" s="147">
        <f>$Z3173*'Assumptions (Oil G&amp;T)'!F$77</f>
        <v>1.2205540053121318</v>
      </c>
      <c r="AE3305" s="147">
        <f>$Z3173*'Assumptions (Oil G&amp;T)'!G$77</f>
        <v>1.1291139362987253</v>
      </c>
      <c r="AF3305" s="147">
        <f>$Z3173*'Assumptions (Oil G&amp;T)'!H$77</f>
        <v>1.0442968629381586</v>
      </c>
      <c r="AG3305" s="147">
        <f>$Z3173*'Assumptions (Oil G&amp;T)'!I$77</f>
        <v>0.96610278523043247</v>
      </c>
      <c r="AH3305" s="147">
        <f>$Z3173*'Assumptions (Oil G&amp;T)'!J$77</f>
        <v>0.9532840839668707</v>
      </c>
      <c r="AI3305" s="147">
        <f>$Z3173*'Assumptions (Oil G&amp;T)'!K$77</f>
        <v>0.95307043894581134</v>
      </c>
      <c r="AJ3305" s="147">
        <f>$Z3173*'Assumptions (Oil G&amp;T)'!L$77</f>
        <v>0.9532840839668707</v>
      </c>
      <c r="AK3305" s="147">
        <f>$Z3173*'Assumptions (Oil G&amp;T)'!M$77</f>
        <v>0.95307043894581134</v>
      </c>
      <c r="AL3305" s="147">
        <f>$Z3173*'Assumptions (Oil G&amp;T)'!N$77</f>
        <v>0.9532840839668707</v>
      </c>
      <c r="AM3305" s="147">
        <f>$Z3173*'Assumptions (Oil G&amp;T)'!O$77</f>
        <v>0.95307043894581134</v>
      </c>
      <c r="AN3305" s="147">
        <f>$Z3173*'Assumptions (Oil G&amp;T)'!P$77</f>
        <v>0.9532840839668707</v>
      </c>
      <c r="AO3305" s="147">
        <f>$Z3173*'Assumptions (Oil G&amp;T)'!Q$77</f>
        <v>0.95307043894581134</v>
      </c>
      <c r="AP3305" s="147">
        <f>$Z3173*'Assumptions (Oil G&amp;T)'!R$77</f>
        <v>0.9532840839668707</v>
      </c>
      <c r="AQ3305" s="147">
        <f>$Z3173*'Assumptions (Oil G&amp;T)'!S$77</f>
        <v>0.95307043894581134</v>
      </c>
      <c r="AR3305" s="147">
        <f>$Z3173*'Assumptions (Oil G&amp;T)'!T$77</f>
        <v>0.9532840839668707</v>
      </c>
      <c r="AS3305" s="147">
        <f>$Z3173*'Assumptions (Oil G&amp;T)'!U$77</f>
        <v>0.95307043894581134</v>
      </c>
      <c r="AT3305" s="147">
        <f>$Z3173*'Assumptions (Oil G&amp;T)'!V$77</f>
        <v>0.47664204198343535</v>
      </c>
    </row>
    <row r="3306" spans="1:53" ht="15.75" hidden="1" customHeight="1" outlineLevel="1">
      <c r="A3306" s="470"/>
      <c r="B3306" s="42"/>
      <c r="C3306" s="42"/>
      <c r="D3306" s="42"/>
      <c r="E3306" s="42"/>
      <c r="F3306" s="42"/>
      <c r="G3306" s="42"/>
      <c r="H3306" s="42"/>
      <c r="I3306" s="42"/>
      <c r="J3306" s="42"/>
      <c r="K3306" s="42"/>
      <c r="L3306" s="42"/>
      <c r="M3306" s="42"/>
      <c r="N3306" s="42"/>
      <c r="O3306" s="42"/>
      <c r="P3306" s="42"/>
      <c r="Q3306" s="42"/>
      <c r="R3306" s="42"/>
      <c r="S3306" s="42"/>
      <c r="T3306" s="42"/>
      <c r="U3306" s="42"/>
      <c r="V3306" s="42"/>
      <c r="W3306" s="86"/>
      <c r="AA3306" s="147">
        <f>$AA3173*'Assumptions (Oil G&amp;T)'!B$77</f>
        <v>0.80685095932764428</v>
      </c>
      <c r="AB3306" s="147">
        <f>$AA3173*'Assumptions (Oil G&amp;T)'!C$77</f>
        <v>1.5532418867696707</v>
      </c>
      <c r="AC3306" s="147">
        <f>$AA3173*'Assumptions (Oil G&amp;T)'!D$77</f>
        <v>1.4366250281148483</v>
      </c>
      <c r="AD3306" s="147">
        <f>$AA3173*'Assumptions (Oil G&amp;T)'!E$77</f>
        <v>1.3290449002044957</v>
      </c>
      <c r="AE3306" s="147">
        <f>$AA3173*'Assumptions (Oil G&amp;T)'!F$77</f>
        <v>1.2292105415036885</v>
      </c>
      <c r="AF3306" s="147">
        <f>$AA3173*'Assumptions (Oil G&amp;T)'!G$77</f>
        <v>1.1371219520124267</v>
      </c>
      <c r="AG3306" s="147">
        <f>$AA3173*'Assumptions (Oil G&amp;T)'!H$77</f>
        <v>1.0517033304516068</v>
      </c>
      <c r="AH3306" s="147">
        <f>$AA3173*'Assumptions (Oil G&amp;T)'!I$77</f>
        <v>0.97295467682122883</v>
      </c>
      <c r="AI3306" s="147">
        <f>$AA3173*'Assumptions (Oil G&amp;T)'!J$77</f>
        <v>0.96004506147198643</v>
      </c>
      <c r="AJ3306" s="147">
        <f>$AA3173*'Assumptions (Oil G&amp;T)'!K$77</f>
        <v>0.95982990121616563</v>
      </c>
      <c r="AK3306" s="147">
        <f>$AA3173*'Assumptions (Oil G&amp;T)'!L$77</f>
        <v>0.96004506147198643</v>
      </c>
      <c r="AL3306" s="147">
        <f>$AA3173*'Assumptions (Oil G&amp;T)'!M$77</f>
        <v>0.95982990121616563</v>
      </c>
      <c r="AM3306" s="147">
        <f>$AA3173*'Assumptions (Oil G&amp;T)'!N$77</f>
        <v>0.96004506147198643</v>
      </c>
      <c r="AN3306" s="147">
        <f>$AA3173*'Assumptions (Oil G&amp;T)'!O$77</f>
        <v>0.95982990121616563</v>
      </c>
      <c r="AO3306" s="147">
        <f>$AA3173*'Assumptions (Oil G&amp;T)'!P$77</f>
        <v>0.96004506147198643</v>
      </c>
      <c r="AP3306" s="147">
        <f>$AA3173*'Assumptions (Oil G&amp;T)'!Q$77</f>
        <v>0.95982990121616563</v>
      </c>
      <c r="AQ3306" s="147">
        <f>$AA3173*'Assumptions (Oil G&amp;T)'!R$77</f>
        <v>0.96004506147198643</v>
      </c>
      <c r="AR3306" s="147">
        <f>$AA3173*'Assumptions (Oil G&amp;T)'!S$77</f>
        <v>0.95982990121616563</v>
      </c>
      <c r="AS3306" s="147">
        <f>$AA3173*'Assumptions (Oil G&amp;T)'!T$77</f>
        <v>0.96004506147198643</v>
      </c>
      <c r="AT3306" s="147">
        <f>$AA3173*'Assumptions (Oil G&amp;T)'!U$77</f>
        <v>0.95982990121616563</v>
      </c>
      <c r="AU3306" s="147">
        <f>$AA3173*'Assumptions (Oil G&amp;T)'!V$77</f>
        <v>0.48002253073599321</v>
      </c>
    </row>
    <row r="3307" spans="1:53" ht="15.75" hidden="1" customHeight="1" outlineLevel="1">
      <c r="A3307" s="470"/>
      <c r="B3307" s="42"/>
      <c r="C3307" s="42"/>
      <c r="D3307" s="42"/>
      <c r="E3307" s="42"/>
      <c r="F3307" s="42"/>
      <c r="G3307" s="42"/>
      <c r="H3307" s="42"/>
      <c r="I3307" s="42"/>
      <c r="J3307" s="42"/>
      <c r="K3307" s="42"/>
      <c r="L3307" s="42"/>
      <c r="M3307" s="42"/>
      <c r="N3307" s="42"/>
      <c r="O3307" s="42"/>
      <c r="P3307" s="42"/>
      <c r="Q3307" s="42"/>
      <c r="R3307" s="42"/>
      <c r="S3307" s="42"/>
      <c r="T3307" s="42"/>
      <c r="U3307" s="42"/>
      <c r="V3307" s="42"/>
      <c r="W3307" s="86"/>
      <c r="AB3307" s="147">
        <f>$AB3173*'Assumptions (Oil G&amp;T)'!B$77</f>
        <v>0.80951980830010895</v>
      </c>
      <c r="AC3307" s="147">
        <f>$AB3173*'Assumptions (Oil G&amp;T)'!C$77</f>
        <v>1.5583795989649298</v>
      </c>
      <c r="AD3307" s="147">
        <f>$AB3173*'Assumptions (Oil G&amp;T)'!D$77</f>
        <v>1.4413770026719539</v>
      </c>
      <c r="AE3307" s="147">
        <f>$AB3173*'Assumptions (Oil G&amp;T)'!E$77</f>
        <v>1.3334410282319393</v>
      </c>
      <c r="AF3307" s="147">
        <f>$AB3173*'Assumptions (Oil G&amp;T)'!F$77</f>
        <v>1.233276443951606</v>
      </c>
      <c r="AG3307" s="147">
        <f>$AB3173*'Assumptions (Oil G&amp;T)'!G$77</f>
        <v>1.1408832498309536</v>
      </c>
      <c r="AH3307" s="147">
        <f>$AB3173*'Assumptions (Oil G&amp;T)'!H$77</f>
        <v>1.0551820861255821</v>
      </c>
      <c r="AI3307" s="147">
        <f>$AB3173*'Assumptions (Oil G&amp;T)'!I$77</f>
        <v>0.97617295283549144</v>
      </c>
      <c r="AJ3307" s="147">
        <f>$AB3173*'Assumptions (Oil G&amp;T)'!J$77</f>
        <v>0.96322063590268958</v>
      </c>
      <c r="AK3307" s="147">
        <f>$AB3173*'Assumptions (Oil G&amp;T)'!K$77</f>
        <v>0.96300476395380952</v>
      </c>
      <c r="AL3307" s="147">
        <f>$AB3173*'Assumptions (Oil G&amp;T)'!L$77</f>
        <v>0.96322063590268958</v>
      </c>
      <c r="AM3307" s="147">
        <f>$AB3173*'Assumptions (Oil G&amp;T)'!M$77</f>
        <v>0.96300476395380952</v>
      </c>
      <c r="AN3307" s="147">
        <f>$AB3173*'Assumptions (Oil G&amp;T)'!N$77</f>
        <v>0.96322063590268958</v>
      </c>
      <c r="AO3307" s="147">
        <f>$AB3173*'Assumptions (Oil G&amp;T)'!O$77</f>
        <v>0.96300476395380952</v>
      </c>
      <c r="AP3307" s="147">
        <f>$AB3173*'Assumptions (Oil G&amp;T)'!P$77</f>
        <v>0.96322063590268958</v>
      </c>
      <c r="AQ3307" s="147">
        <f>$AB3173*'Assumptions (Oil G&amp;T)'!Q$77</f>
        <v>0.96300476395380952</v>
      </c>
      <c r="AR3307" s="147">
        <f>$AB3173*'Assumptions (Oil G&amp;T)'!R$77</f>
        <v>0.96322063590268958</v>
      </c>
      <c r="AS3307" s="147">
        <f>$AB3173*'Assumptions (Oil G&amp;T)'!S$77</f>
        <v>0.96300476395380952</v>
      </c>
      <c r="AT3307" s="147">
        <f>$AB3173*'Assumptions (Oil G&amp;T)'!T$77</f>
        <v>0.96322063590268958</v>
      </c>
      <c r="AU3307" s="147">
        <f>$AB3173*'Assumptions (Oil G&amp;T)'!U$77</f>
        <v>0.96300476395380952</v>
      </c>
      <c r="AV3307" s="147">
        <f>$AB3173*'Assumptions (Oil G&amp;T)'!V$77</f>
        <v>0.48161031795134479</v>
      </c>
    </row>
    <row r="3308" spans="1:53" ht="15.75" hidden="1" customHeight="1" outlineLevel="1">
      <c r="A3308" s="470"/>
      <c r="B3308" s="42"/>
      <c r="C3308" s="42"/>
      <c r="D3308" s="42"/>
      <c r="E3308" s="42"/>
      <c r="F3308" s="42"/>
      <c r="G3308" s="42"/>
      <c r="H3308" s="42"/>
      <c r="I3308" s="42"/>
      <c r="J3308" s="42"/>
      <c r="K3308" s="42"/>
      <c r="L3308" s="42"/>
      <c r="M3308" s="42"/>
      <c r="N3308" s="42"/>
      <c r="O3308" s="42"/>
      <c r="P3308" s="42"/>
      <c r="Q3308" s="42"/>
      <c r="R3308" s="42"/>
      <c r="S3308" s="42"/>
      <c r="T3308" s="42"/>
      <c r="U3308" s="42"/>
      <c r="V3308" s="42"/>
      <c r="W3308" s="86"/>
      <c r="AC3308" s="147">
        <f>$AC3173*'Assumptions (Oil G&amp;T)'!B$77</f>
        <v>0.81501629343324755</v>
      </c>
      <c r="AD3308" s="147">
        <f>$AC3173*'Assumptions (Oil G&amp;T)'!C$77</f>
        <v>1.5689606992785639</v>
      </c>
      <c r="AE3308" s="147">
        <f>$AC3173*'Assumptions (Oil G&amp;T)'!D$77</f>
        <v>1.4511636776676784</v>
      </c>
      <c r="AF3308" s="147">
        <f>$AC3173*'Assumptions (Oil G&amp;T)'!E$77</f>
        <v>1.3424948385432454</v>
      </c>
      <c r="AG3308" s="147">
        <f>$AC3173*'Assumptions (Oil G&amp;T)'!F$77</f>
        <v>1.2416501558357715</v>
      </c>
      <c r="AH3308" s="147">
        <f>$AC3173*'Assumptions (Oil G&amp;T)'!G$77</f>
        <v>1.1486296295452569</v>
      </c>
      <c r="AI3308" s="147">
        <f>$AC3173*'Assumptions (Oil G&amp;T)'!H$77</f>
        <v>1.0623465712804572</v>
      </c>
      <c r="AJ3308" s="147">
        <f>$AC3173*'Assumptions (Oil G&amp;T)'!I$77</f>
        <v>0.98280098104137226</v>
      </c>
      <c r="AK3308" s="147">
        <f>$AC3173*'Assumptions (Oil G&amp;T)'!J$77</f>
        <v>0.96976072034644023</v>
      </c>
      <c r="AL3308" s="147">
        <f>$AC3173*'Assumptions (Oil G&amp;T)'!K$77</f>
        <v>0.96954338266819129</v>
      </c>
      <c r="AM3308" s="147">
        <f>$AC3173*'Assumptions (Oil G&amp;T)'!L$77</f>
        <v>0.96976072034644023</v>
      </c>
      <c r="AN3308" s="147">
        <f>$AC3173*'Assumptions (Oil G&amp;T)'!M$77</f>
        <v>0.96954338266819129</v>
      </c>
      <c r="AO3308" s="147">
        <f>$AC3173*'Assumptions (Oil G&amp;T)'!N$77</f>
        <v>0.96976072034644023</v>
      </c>
      <c r="AP3308" s="147">
        <f>$AC3173*'Assumptions (Oil G&amp;T)'!O$77</f>
        <v>0.96954338266819129</v>
      </c>
      <c r="AQ3308" s="147">
        <f>$AC3173*'Assumptions (Oil G&amp;T)'!P$77</f>
        <v>0.96976072034644023</v>
      </c>
      <c r="AR3308" s="147">
        <f>$AC3173*'Assumptions (Oil G&amp;T)'!Q$77</f>
        <v>0.96954338266819129</v>
      </c>
      <c r="AS3308" s="147">
        <f>$AC3173*'Assumptions (Oil G&amp;T)'!R$77</f>
        <v>0.96976072034644023</v>
      </c>
      <c r="AT3308" s="147">
        <f>$AC3173*'Assumptions (Oil G&amp;T)'!S$77</f>
        <v>0.96954338266819129</v>
      </c>
      <c r="AU3308" s="147">
        <f>$AC3173*'Assumptions (Oil G&amp;T)'!T$77</f>
        <v>0.96976072034644023</v>
      </c>
      <c r="AV3308" s="147">
        <f>$AC3173*'Assumptions (Oil G&amp;T)'!U$77</f>
        <v>0.96954338266819129</v>
      </c>
      <c r="AW3308" s="147">
        <f>$AC3173*'Assumptions (Oil G&amp;T)'!V$77</f>
        <v>0.48488036017322012</v>
      </c>
    </row>
    <row r="3309" spans="1:53" ht="15.75" hidden="1" customHeight="1" outlineLevel="1">
      <c r="A3309" s="470"/>
      <c r="B3309" s="42"/>
      <c r="C3309" s="42"/>
      <c r="D3309" s="42"/>
      <c r="E3309" s="42"/>
      <c r="F3309" s="42"/>
      <c r="G3309" s="42"/>
      <c r="H3309" s="42"/>
      <c r="I3309" s="42"/>
      <c r="J3309" s="42"/>
      <c r="K3309" s="42"/>
      <c r="L3309" s="42"/>
      <c r="M3309" s="42"/>
      <c r="N3309" s="42"/>
      <c r="O3309" s="42"/>
      <c r="P3309" s="42"/>
      <c r="Q3309" s="42"/>
      <c r="R3309" s="42"/>
      <c r="S3309" s="42"/>
      <c r="T3309" s="42"/>
      <c r="U3309" s="42"/>
      <c r="V3309" s="42"/>
      <c r="W3309" s="86"/>
      <c r="AD3309" s="147">
        <f>$AD3173*'Assumptions (Oil G&amp;T)'!B$77</f>
        <v>0.82147629670081423</v>
      </c>
      <c r="AE3309" s="147">
        <f>$AD3173*'Assumptions (Oil G&amp;T)'!C$77</f>
        <v>1.5813966362355143</v>
      </c>
      <c r="AF3309" s="147">
        <f>$AD3173*'Assumptions (Oil G&amp;T)'!D$77</f>
        <v>1.4626659288190231</v>
      </c>
      <c r="AG3309" s="147">
        <f>$AD3173*'Assumptions (Oil G&amp;T)'!E$77</f>
        <v>1.3531357559255812</v>
      </c>
      <c r="AH3309" s="147">
        <f>$AD3173*'Assumptions (Oil G&amp;T)'!F$77</f>
        <v>1.2514917554804672</v>
      </c>
      <c r="AI3309" s="147">
        <f>$AD3173*'Assumptions (Oil G&amp;T)'!G$77</f>
        <v>1.1577339274836809</v>
      </c>
      <c r="AJ3309" s="147">
        <f>$AD3173*'Assumptions (Oil G&amp;T)'!H$77</f>
        <v>1.0707669702062881</v>
      </c>
      <c r="AK3309" s="147">
        <f>$AD3173*'Assumptions (Oil G&amp;T)'!I$77</f>
        <v>0.99059088364828862</v>
      </c>
      <c r="AL3309" s="147">
        <f>$AD3173*'Assumptions (Oil G&amp;T)'!J$77</f>
        <v>0.97744726290107553</v>
      </c>
      <c r="AM3309" s="147">
        <f>$AD3173*'Assumptions (Oil G&amp;T)'!K$77</f>
        <v>0.97722820255528864</v>
      </c>
      <c r="AN3309" s="147">
        <f>$AD3173*'Assumptions (Oil G&amp;T)'!L$77</f>
        <v>0.97744726290107553</v>
      </c>
      <c r="AO3309" s="147">
        <f>$AD3173*'Assumptions (Oil G&amp;T)'!M$77</f>
        <v>0.97722820255528864</v>
      </c>
      <c r="AP3309" s="147">
        <f>$AD3173*'Assumptions (Oil G&amp;T)'!N$77</f>
        <v>0.97744726290107553</v>
      </c>
      <c r="AQ3309" s="147">
        <f>$AD3173*'Assumptions (Oil G&amp;T)'!O$77</f>
        <v>0.97722820255528864</v>
      </c>
      <c r="AR3309" s="147">
        <f>$AD3173*'Assumptions (Oil G&amp;T)'!P$77</f>
        <v>0.97744726290107553</v>
      </c>
      <c r="AS3309" s="147">
        <f>$AD3173*'Assumptions (Oil G&amp;T)'!Q$77</f>
        <v>0.97722820255528864</v>
      </c>
      <c r="AT3309" s="147">
        <f>$AD3173*'Assumptions (Oil G&amp;T)'!R$77</f>
        <v>0.97744726290107553</v>
      </c>
      <c r="AU3309" s="147">
        <f>$AD3173*'Assumptions (Oil G&amp;T)'!S$77</f>
        <v>0.97722820255528864</v>
      </c>
      <c r="AV3309" s="147">
        <f>$AD3173*'Assumptions (Oil G&amp;T)'!T$77</f>
        <v>0.97744726290107553</v>
      </c>
      <c r="AW3309" s="147">
        <f>$AD3173*'Assumptions (Oil G&amp;T)'!U$77</f>
        <v>0.97722820255528864</v>
      </c>
      <c r="AX3309" s="147">
        <f>$AD3173*'Assumptions (Oil G&amp;T)'!V$77</f>
        <v>0.48872363145053777</v>
      </c>
    </row>
    <row r="3310" spans="1:53" ht="15.75" hidden="1" customHeight="1" outlineLevel="1">
      <c r="A3310" s="470"/>
      <c r="B3310" s="42"/>
      <c r="C3310" s="42"/>
      <c r="D3310" s="42"/>
      <c r="E3310" s="42"/>
      <c r="F3310" s="42"/>
      <c r="G3310" s="42"/>
      <c r="H3310" s="42"/>
      <c r="I3310" s="42"/>
      <c r="J3310" s="42"/>
      <c r="K3310" s="42"/>
      <c r="L3310" s="42"/>
      <c r="M3310" s="42"/>
      <c r="N3310" s="42"/>
      <c r="O3310" s="42"/>
      <c r="P3310" s="42"/>
      <c r="Q3310" s="42"/>
      <c r="R3310" s="42"/>
      <c r="S3310" s="42"/>
      <c r="T3310" s="42"/>
      <c r="U3310" s="42"/>
      <c r="V3310" s="42"/>
      <c r="W3310" s="86"/>
      <c r="AE3310" s="147">
        <f>$AE3173*'Assumptions (Oil G&amp;T)'!B$77</f>
        <v>0.82239893820777532</v>
      </c>
      <c r="AF3310" s="147">
        <f>$AE3173*'Assumptions (Oil G&amp;T)'!C$77</f>
        <v>1.5831727826458482</v>
      </c>
      <c r="AG3310" s="147">
        <f>$AE3173*'Assumptions (Oil G&amp;T)'!D$77</f>
        <v>1.4643087227768841</v>
      </c>
      <c r="AH3310" s="147">
        <f>$AE3173*'Assumptions (Oil G&amp;T)'!E$77</f>
        <v>1.3546555310158475</v>
      </c>
      <c r="AI3310" s="147">
        <f>$AE3173*'Assumptions (Oil G&amp;T)'!F$77</f>
        <v>1.2528973690616054</v>
      </c>
      <c r="AJ3310" s="147">
        <f>$AE3173*'Assumptions (Oil G&amp;T)'!G$77</f>
        <v>1.159034236914158</v>
      </c>
      <c r="AK3310" s="147">
        <f>$AE3173*'Assumptions (Oil G&amp;T)'!H$77</f>
        <v>1.0719696026558949</v>
      </c>
      <c r="AL3310" s="147">
        <f>$AE3173*'Assumptions (Oil G&amp;T)'!I$77</f>
        <v>0.99170346628681605</v>
      </c>
      <c r="AM3310" s="147">
        <f>$AE3173*'Assumptions (Oil G&amp;T)'!J$77</f>
        <v>0.97854508327549161</v>
      </c>
      <c r="AN3310" s="147">
        <f>$AE3173*'Assumptions (Oil G&amp;T)'!K$77</f>
        <v>0.97832577689196953</v>
      </c>
      <c r="AO3310" s="147">
        <f>$AE3173*'Assumptions (Oil G&amp;T)'!L$77</f>
        <v>0.97854508327549161</v>
      </c>
      <c r="AP3310" s="147">
        <f>$AE3173*'Assumptions (Oil G&amp;T)'!M$77</f>
        <v>0.97832577689196953</v>
      </c>
      <c r="AQ3310" s="147">
        <f>$AE3173*'Assumptions (Oil G&amp;T)'!N$77</f>
        <v>0.97854508327549161</v>
      </c>
      <c r="AR3310" s="147">
        <f>$AE3173*'Assumptions (Oil G&amp;T)'!O$77</f>
        <v>0.97832577689196953</v>
      </c>
      <c r="AS3310" s="147">
        <f>$AE3173*'Assumptions (Oil G&amp;T)'!P$77</f>
        <v>0.97854508327549161</v>
      </c>
      <c r="AT3310" s="147">
        <f>$AE3173*'Assumptions (Oil G&amp;T)'!Q$77</f>
        <v>0.97832577689196953</v>
      </c>
      <c r="AU3310" s="147">
        <f>$AE3173*'Assumptions (Oil G&amp;T)'!R$77</f>
        <v>0.97854508327549161</v>
      </c>
      <c r="AV3310" s="147">
        <f>$AE3173*'Assumptions (Oil G&amp;T)'!S$77</f>
        <v>0.97832577689196953</v>
      </c>
      <c r="AW3310" s="147">
        <f>$AE3173*'Assumptions (Oil G&amp;T)'!T$77</f>
        <v>0.97854508327549161</v>
      </c>
      <c r="AX3310" s="147">
        <f>$AE3173*'Assumptions (Oil G&amp;T)'!U$77</f>
        <v>0.97832577689196953</v>
      </c>
      <c r="AY3310" s="147">
        <f>$AE3173*'Assumptions (Oil G&amp;T)'!V$77</f>
        <v>0.48927254163774581</v>
      </c>
    </row>
    <row r="3311" spans="1:53" ht="15.75" hidden="1" customHeight="1" outlineLevel="1">
      <c r="A3311" s="470"/>
      <c r="B3311" s="42"/>
      <c r="C3311" s="42"/>
      <c r="D3311" s="42"/>
      <c r="E3311" s="42"/>
      <c r="F3311" s="42"/>
      <c r="G3311" s="42"/>
      <c r="H3311" s="42"/>
      <c r="I3311" s="42"/>
      <c r="J3311" s="42"/>
      <c r="K3311" s="42"/>
      <c r="L3311" s="42"/>
      <c r="M3311" s="42"/>
      <c r="N3311" s="42"/>
      <c r="O3311" s="42"/>
      <c r="P3311" s="42"/>
      <c r="Q3311" s="42"/>
      <c r="R3311" s="42"/>
      <c r="S3311" s="42"/>
      <c r="T3311" s="42"/>
      <c r="U3311" s="42"/>
      <c r="V3311" s="42"/>
      <c r="W3311" s="86"/>
      <c r="AF3311" s="147">
        <f>$AF3173*'Assumptions (Oil G&amp;T)'!B$77</f>
        <v>0.82510368650037469</v>
      </c>
      <c r="AG3311" s="147">
        <f>$AF3173*'Assumptions (Oil G&amp;T)'!C$77</f>
        <v>1.5883796034256548</v>
      </c>
      <c r="AH3311" s="147">
        <f>$AF3173*'Assumptions (Oil G&amp;T)'!D$77</f>
        <v>1.4691246172701338</v>
      </c>
      <c r="AI3311" s="147">
        <f>$AF3173*'Assumptions (Oil G&amp;T)'!E$77</f>
        <v>1.3591107924034171</v>
      </c>
      <c r="AJ3311" s="147">
        <f>$AF3173*'Assumptions (Oil G&amp;T)'!F$77</f>
        <v>1.2570179629271041</v>
      </c>
      <c r="AK3311" s="147">
        <f>$AF3173*'Assumptions (Oil G&amp;T)'!G$77</f>
        <v>1.1628461288411946</v>
      </c>
      <c r="AL3311" s="147">
        <f>$AF3173*'Assumptions (Oil G&amp;T)'!H$77</f>
        <v>1.0754951518970217</v>
      </c>
      <c r="AM3311" s="147">
        <f>$AF3173*'Assumptions (Oil G&amp;T)'!I$77</f>
        <v>0.9949650320945852</v>
      </c>
      <c r="AN3311" s="147">
        <f>$AF3173*'Assumptions (Oil G&amp;T)'!J$77</f>
        <v>0.98176337311057915</v>
      </c>
      <c r="AO3311" s="147">
        <f>$AF3173*'Assumptions (Oil G&amp;T)'!K$77</f>
        <v>0.98154334546084565</v>
      </c>
      <c r="AP3311" s="147">
        <f>$AF3173*'Assumptions (Oil G&amp;T)'!L$77</f>
        <v>0.98176337311057915</v>
      </c>
      <c r="AQ3311" s="147">
        <f>$AF3173*'Assumptions (Oil G&amp;T)'!M$77</f>
        <v>0.98154334546084565</v>
      </c>
      <c r="AR3311" s="147">
        <f>$AF3173*'Assumptions (Oil G&amp;T)'!N$77</f>
        <v>0.98176337311057915</v>
      </c>
      <c r="AS3311" s="147">
        <f>$AF3173*'Assumptions (Oil G&amp;T)'!O$77</f>
        <v>0.98154334546084565</v>
      </c>
      <c r="AT3311" s="147">
        <f>$AF3173*'Assumptions (Oil G&amp;T)'!P$77</f>
        <v>0.98176337311057915</v>
      </c>
      <c r="AU3311" s="147">
        <f>$AF3173*'Assumptions (Oil G&amp;T)'!Q$77</f>
        <v>0.98154334546084565</v>
      </c>
      <c r="AV3311" s="147">
        <f>$AF3173*'Assumptions (Oil G&amp;T)'!R$77</f>
        <v>0.98176337311057915</v>
      </c>
      <c r="AW3311" s="147">
        <f>$AF3173*'Assumptions (Oil G&amp;T)'!S$77</f>
        <v>0.98154334546084565</v>
      </c>
      <c r="AX3311" s="147">
        <f>$AF3173*'Assumptions (Oil G&amp;T)'!T$77</f>
        <v>0.98176337311057915</v>
      </c>
      <c r="AY3311" s="147">
        <f>$AF3173*'Assumptions (Oil G&amp;T)'!U$77</f>
        <v>0.98154334546084565</v>
      </c>
      <c r="AZ3311" s="147">
        <f>$AF3173*'Assumptions (Oil G&amp;T)'!V$77</f>
        <v>0.49088168655528958</v>
      </c>
    </row>
    <row r="3312" spans="1:53" ht="15.75" hidden="1" customHeight="1" outlineLevel="1">
      <c r="A3312" s="470"/>
      <c r="B3312" s="42"/>
      <c r="C3312" s="42"/>
      <c r="D3312" s="42"/>
      <c r="E3312" s="42"/>
      <c r="F3312" s="42"/>
      <c r="G3312" s="42"/>
      <c r="H3312" s="42"/>
      <c r="I3312" s="42"/>
      <c r="J3312" s="42"/>
      <c r="K3312" s="42"/>
      <c r="L3312" s="42"/>
      <c r="M3312" s="42"/>
      <c r="N3312" s="42"/>
      <c r="O3312" s="42"/>
      <c r="P3312" s="42"/>
      <c r="Q3312" s="42"/>
      <c r="R3312" s="42"/>
      <c r="S3312" s="42"/>
      <c r="T3312" s="42"/>
      <c r="U3312" s="42"/>
      <c r="V3312" s="42"/>
      <c r="W3312" s="86"/>
      <c r="AG3312" s="147">
        <f>$AG3173*'Assumptions (Oil G&amp;T)'!B$77</f>
        <v>0.82708168345472832</v>
      </c>
      <c r="AH3312" s="147">
        <f>$AG3173*'Assumptions (Oil G&amp;T)'!C$77</f>
        <v>1.5921873794292491</v>
      </c>
      <c r="AI3312" s="147">
        <f>$AG3173*'Assumptions (Oil G&amp;T)'!D$77</f>
        <v>1.4726465067805923</v>
      </c>
      <c r="AJ3312" s="147">
        <f>$AG3173*'Assumptions (Oil G&amp;T)'!E$77</f>
        <v>1.3623689489866284</v>
      </c>
      <c r="AK3312" s="147">
        <f>$AG3173*'Assumptions (Oil G&amp;T)'!F$77</f>
        <v>1.2600313753538301</v>
      </c>
      <c r="AL3312" s="147">
        <f>$AG3173*'Assumptions (Oil G&amp;T)'!G$77</f>
        <v>1.1656337858821972</v>
      </c>
      <c r="AM3312" s="147">
        <f>$AG3173*'Assumptions (Oil G&amp;T)'!H$77</f>
        <v>1.0780734049937899</v>
      </c>
      <c r="AN3312" s="147">
        <f>$AG3173*'Assumptions (Oil G&amp;T)'!I$77</f>
        <v>0.99735023268860845</v>
      </c>
      <c r="AO3312" s="147">
        <f>$AG3173*'Assumptions (Oil G&amp;T)'!J$77</f>
        <v>0.98411692575333276</v>
      </c>
      <c r="AP3312" s="147">
        <f>$AG3173*'Assumptions (Oil G&amp;T)'!K$77</f>
        <v>0.98389637063774471</v>
      </c>
      <c r="AQ3312" s="147">
        <f>$AG3173*'Assumptions (Oil G&amp;T)'!L$77</f>
        <v>0.98411692575333276</v>
      </c>
      <c r="AR3312" s="147">
        <f>$AG3173*'Assumptions (Oil G&amp;T)'!M$77</f>
        <v>0.98389637063774471</v>
      </c>
      <c r="AS3312" s="147">
        <f>$AG3173*'Assumptions (Oil G&amp;T)'!N$77</f>
        <v>0.98411692575333276</v>
      </c>
      <c r="AT3312" s="147">
        <f>$AG3173*'Assumptions (Oil G&amp;T)'!O$77</f>
        <v>0.98389637063774471</v>
      </c>
      <c r="AU3312" s="147">
        <f>$AG3173*'Assumptions (Oil G&amp;T)'!P$77</f>
        <v>0.98411692575333276</v>
      </c>
      <c r="AV3312" s="147">
        <f>$AG3173*'Assumptions (Oil G&amp;T)'!Q$77</f>
        <v>0.98389637063774471</v>
      </c>
      <c r="AW3312" s="147">
        <f>$AG3173*'Assumptions (Oil G&amp;T)'!R$77</f>
        <v>0.98411692575333276</v>
      </c>
      <c r="AX3312" s="147">
        <f>$AG3173*'Assumptions (Oil G&amp;T)'!S$77</f>
        <v>0.98389637063774471</v>
      </c>
      <c r="AY3312" s="147">
        <f>$AG3173*'Assumptions (Oil G&amp;T)'!T$77</f>
        <v>0.98411692575333276</v>
      </c>
      <c r="AZ3312" s="147">
        <f>$AG3173*'Assumptions (Oil G&amp;T)'!U$77</f>
        <v>0.98389637063774471</v>
      </c>
      <c r="BA3312" s="147">
        <f>$AG3173*'Assumptions (Oil G&amp;T)'!V$77</f>
        <v>0.49205846287666638</v>
      </c>
    </row>
    <row r="3313" spans="1:69" ht="15.75" hidden="1" customHeight="1" outlineLevel="1">
      <c r="A3313" s="470"/>
      <c r="B3313" s="42"/>
      <c r="C3313" s="42"/>
      <c r="D3313" s="42"/>
      <c r="E3313" s="42"/>
      <c r="F3313" s="42"/>
      <c r="G3313" s="42"/>
      <c r="H3313" s="42"/>
      <c r="I3313" s="42"/>
      <c r="J3313" s="42"/>
      <c r="K3313" s="42"/>
      <c r="L3313" s="42"/>
      <c r="M3313" s="42"/>
      <c r="N3313" s="42"/>
      <c r="O3313" s="42"/>
      <c r="P3313" s="42"/>
      <c r="Q3313" s="42"/>
      <c r="R3313" s="42"/>
      <c r="S3313" s="42"/>
      <c r="T3313" s="42"/>
      <c r="U3313" s="42"/>
      <c r="V3313" s="42"/>
      <c r="W3313" s="86"/>
      <c r="AH3313" s="147">
        <f>$AH3173*'Assumptions (Oil G&amp;T)'!B$77</f>
        <v>0.82851731878509571</v>
      </c>
      <c r="AI3313" s="147">
        <f>$AH3173*'Assumptions (Oil G&amp;T)'!C$77</f>
        <v>1.5949510731492285</v>
      </c>
      <c r="AJ3313" s="147">
        <f>$AH3173*'Assumptions (Oil G&amp;T)'!D$77</f>
        <v>1.4752027033408224</v>
      </c>
      <c r="AK3313" s="147">
        <f>$AH3173*'Assumptions (Oil G&amp;T)'!E$77</f>
        <v>1.3647337275028097</v>
      </c>
      <c r="AL3313" s="147">
        <f>$AH3173*'Assumptions (Oil G&amp;T)'!F$77</f>
        <v>1.262218517925134</v>
      </c>
      <c r="AM3313" s="147">
        <f>$AH3173*'Assumptions (Oil G&amp;T)'!G$77</f>
        <v>1.167657074607795</v>
      </c>
      <c r="AN3313" s="147">
        <f>$AH3173*'Assumptions (Oil G&amp;T)'!H$77</f>
        <v>1.0799447077924129</v>
      </c>
      <c r="AO3313" s="147">
        <f>$AH3173*'Assumptions (Oil G&amp;T)'!I$77</f>
        <v>0.9990814174789876</v>
      </c>
      <c r="AP3313" s="147">
        <f>$AH3173*'Assumptions (Oil G&amp;T)'!J$77</f>
        <v>0.98582514037842595</v>
      </c>
      <c r="AQ3313" s="147">
        <f>$AH3173*'Assumptions (Oil G&amp;T)'!K$77</f>
        <v>0.98560420242674984</v>
      </c>
      <c r="AR3313" s="147">
        <f>$AH3173*'Assumptions (Oil G&amp;T)'!L$77</f>
        <v>0.98582514037842595</v>
      </c>
      <c r="AS3313" s="147">
        <f>$AH3173*'Assumptions (Oil G&amp;T)'!M$77</f>
        <v>0.98560420242674984</v>
      </c>
      <c r="AT3313" s="147">
        <f>$AH3173*'Assumptions (Oil G&amp;T)'!N$77</f>
        <v>0.98582514037842595</v>
      </c>
      <c r="AU3313" s="147">
        <f>$AH3173*'Assumptions (Oil G&amp;T)'!O$77</f>
        <v>0.98560420242674984</v>
      </c>
      <c r="AV3313" s="147">
        <f>$AH3173*'Assumptions (Oil G&amp;T)'!P$77</f>
        <v>0.98582514037842595</v>
      </c>
      <c r="AW3313" s="147">
        <f>$AH3173*'Assumptions (Oil G&amp;T)'!Q$77</f>
        <v>0.98560420242674984</v>
      </c>
      <c r="AX3313" s="147">
        <f>$AH3173*'Assumptions (Oil G&amp;T)'!R$77</f>
        <v>0.98582514037842595</v>
      </c>
      <c r="AY3313" s="147">
        <f>$AH3173*'Assumptions (Oil G&amp;T)'!S$77</f>
        <v>0.98560420242674984</v>
      </c>
      <c r="AZ3313" s="147">
        <f>$AH3173*'Assumptions (Oil G&amp;T)'!T$77</f>
        <v>0.98582514037842595</v>
      </c>
      <c r="BA3313" s="147">
        <f>$AH3173*'Assumptions (Oil G&amp;T)'!U$77</f>
        <v>0.98560420242674984</v>
      </c>
      <c r="BB3313" s="147">
        <f>$AH3173*'Assumptions (Oil G&amp;T)'!V$77</f>
        <v>0.49291257018921297</v>
      </c>
    </row>
    <row r="3314" spans="1:69" ht="15.75" hidden="1" customHeight="1" outlineLevel="1">
      <c r="A3314" s="470"/>
      <c r="B3314" s="42"/>
      <c r="C3314" s="42"/>
      <c r="D3314" s="42"/>
      <c r="E3314" s="42"/>
      <c r="F3314" s="42"/>
      <c r="G3314" s="42"/>
      <c r="H3314" s="42"/>
      <c r="I3314" s="42"/>
      <c r="J3314" s="42"/>
      <c r="K3314" s="42"/>
      <c r="L3314" s="42"/>
      <c r="M3314" s="42"/>
      <c r="N3314" s="42"/>
      <c r="O3314" s="42"/>
      <c r="P3314" s="42"/>
      <c r="Q3314" s="42"/>
      <c r="R3314" s="42"/>
      <c r="S3314" s="42"/>
      <c r="T3314" s="42"/>
      <c r="U3314" s="42"/>
      <c r="V3314" s="42"/>
      <c r="W3314" s="86"/>
      <c r="AI3314" s="147">
        <f>$AI3173*'Assumptions (Oil G&amp;T)'!B$77</f>
        <v>0.82759581977100072</v>
      </c>
      <c r="AJ3314" s="147">
        <f>$AI3173*'Assumptions (Oil G&amp;T)'!C$77</f>
        <v>1.5931771261138279</v>
      </c>
      <c r="AK3314" s="147">
        <f>$AI3173*'Assumptions (Oil G&amp;T)'!D$77</f>
        <v>1.4735619436295924</v>
      </c>
      <c r="AL3314" s="147">
        <f>$AI3173*'Assumptions (Oil G&amp;T)'!E$77</f>
        <v>1.3632158343267924</v>
      </c>
      <c r="AM3314" s="147">
        <f>$AI3173*'Assumptions (Oil G&amp;T)'!F$77</f>
        <v>1.260814644893794</v>
      </c>
      <c r="AN3314" s="147">
        <f>$AI3173*'Assumptions (Oil G&amp;T)'!G$77</f>
        <v>1.1663583753305971</v>
      </c>
      <c r="AO3314" s="147">
        <f>$AI3173*'Assumptions (Oil G&amp;T)'!H$77</f>
        <v>1.0787435645441739</v>
      </c>
      <c r="AP3314" s="147">
        <f>$AI3173*'Assumptions (Oil G&amp;T)'!I$77</f>
        <v>0.99797021253452423</v>
      </c>
      <c r="AQ3314" s="147">
        <f>$AI3173*'Assumptions (Oil G&amp;T)'!J$77</f>
        <v>0.98472867941818809</v>
      </c>
      <c r="AR3314" s="147">
        <f>$AI3173*'Assumptions (Oil G&amp;T)'!K$77</f>
        <v>0.98450798719958243</v>
      </c>
      <c r="AS3314" s="147">
        <f>$AI3173*'Assumptions (Oil G&amp;T)'!L$77</f>
        <v>0.98472867941818809</v>
      </c>
      <c r="AT3314" s="147">
        <f>$AI3173*'Assumptions (Oil G&amp;T)'!M$77</f>
        <v>0.98450798719958243</v>
      </c>
      <c r="AU3314" s="147">
        <f>$AI3173*'Assumptions (Oil G&amp;T)'!N$77</f>
        <v>0.98472867941818809</v>
      </c>
      <c r="AV3314" s="147">
        <f>$AI3173*'Assumptions (Oil G&amp;T)'!O$77</f>
        <v>0.98450798719958243</v>
      </c>
      <c r="AW3314" s="147">
        <f>$AI3173*'Assumptions (Oil G&amp;T)'!P$77</f>
        <v>0.98472867941818809</v>
      </c>
      <c r="AX3314" s="147">
        <f>$AI3173*'Assumptions (Oil G&amp;T)'!Q$77</f>
        <v>0.98450798719958243</v>
      </c>
      <c r="AY3314" s="147">
        <f>$AI3173*'Assumptions (Oil G&amp;T)'!R$77</f>
        <v>0.98472867941818809</v>
      </c>
      <c r="AZ3314" s="147">
        <f>$AI3173*'Assumptions (Oil G&amp;T)'!S$77</f>
        <v>0.98450798719958243</v>
      </c>
      <c r="BA3314" s="147">
        <f>$AI3173*'Assumptions (Oil G&amp;T)'!T$77</f>
        <v>0.98472867941818809</v>
      </c>
      <c r="BB3314" s="147">
        <f>$AI3173*'Assumptions (Oil G&amp;T)'!U$77</f>
        <v>0.98450798719958243</v>
      </c>
      <c r="BC3314" s="147">
        <f>$AI3173*'Assumptions (Oil G&amp;T)'!V$77</f>
        <v>0.49236433970909405</v>
      </c>
    </row>
    <row r="3315" spans="1:69" ht="15.75" hidden="1" customHeight="1" outlineLevel="1">
      <c r="A3315" s="470"/>
      <c r="B3315" s="42"/>
      <c r="C3315" s="42"/>
      <c r="D3315" s="42"/>
      <c r="E3315" s="42"/>
      <c r="F3315" s="42"/>
      <c r="G3315" s="42"/>
      <c r="H3315" s="42"/>
      <c r="I3315" s="42"/>
      <c r="J3315" s="42"/>
      <c r="K3315" s="42"/>
      <c r="L3315" s="42"/>
      <c r="M3315" s="42"/>
      <c r="N3315" s="42"/>
      <c r="O3315" s="42"/>
      <c r="P3315" s="42"/>
      <c r="Q3315" s="42"/>
      <c r="R3315" s="42"/>
      <c r="S3315" s="42"/>
      <c r="T3315" s="42"/>
      <c r="U3315" s="42"/>
      <c r="V3315" s="42"/>
      <c r="W3315" s="86"/>
      <c r="AJ3315" s="147">
        <f>$AJ3173*'Assumptions (Oil G&amp;T)'!B$77</f>
        <v>0.82595625090473945</v>
      </c>
      <c r="AK3315" s="147">
        <f>$AJ3173*'Assumptions (Oil G&amp;T)'!C$77</f>
        <v>1.5900208467416841</v>
      </c>
      <c r="AL3315" s="147">
        <f>$AJ3173*'Assumptions (Oil G&amp;T)'!D$77</f>
        <v>1.4706426366109189</v>
      </c>
      <c r="AM3315" s="147">
        <f>$AJ3173*'Assumptions (Oil G&amp;T)'!E$77</f>
        <v>1.360515136490287</v>
      </c>
      <c r="AN3315" s="147">
        <f>$AJ3173*'Assumptions (Oil G&amp;T)'!F$77</f>
        <v>1.2583168163783405</v>
      </c>
      <c r="AO3315" s="147">
        <f>$AJ3173*'Assumptions (Oil G&amp;T)'!G$77</f>
        <v>1.1640476762750795</v>
      </c>
      <c r="AP3315" s="147">
        <f>$AJ3173*'Assumptions (Oil G&amp;T)'!H$77</f>
        <v>1.0766064411792977</v>
      </c>
      <c r="AQ3315" s="147">
        <f>$AJ3173*'Assumptions (Oil G&amp;T)'!I$77</f>
        <v>0.99599311109099531</v>
      </c>
      <c r="AR3315" s="147">
        <f>$AJ3173*'Assumptions (Oil G&amp;T)'!J$77</f>
        <v>0.9827778110765194</v>
      </c>
      <c r="AS3315" s="147">
        <f>$AJ3173*'Assumptions (Oil G&amp;T)'!K$77</f>
        <v>0.98255755607627804</v>
      </c>
      <c r="AT3315" s="147">
        <f>$AJ3173*'Assumptions (Oil G&amp;T)'!L$77</f>
        <v>0.9827778110765194</v>
      </c>
      <c r="AU3315" s="147">
        <f>$AJ3173*'Assumptions (Oil G&amp;T)'!M$77</f>
        <v>0.98255755607627804</v>
      </c>
      <c r="AV3315" s="147">
        <f>$AJ3173*'Assumptions (Oil G&amp;T)'!N$77</f>
        <v>0.9827778110765194</v>
      </c>
      <c r="AW3315" s="147">
        <f>$AJ3173*'Assumptions (Oil G&amp;T)'!O$77</f>
        <v>0.98255755607627804</v>
      </c>
      <c r="AX3315" s="147">
        <f>$AJ3173*'Assumptions (Oil G&amp;T)'!P$77</f>
        <v>0.9827778110765194</v>
      </c>
      <c r="AY3315" s="147">
        <f>$AJ3173*'Assumptions (Oil G&amp;T)'!Q$77</f>
        <v>0.98255755607627804</v>
      </c>
      <c r="AZ3315" s="147">
        <f>$AJ3173*'Assumptions (Oil G&amp;T)'!R$77</f>
        <v>0.9827778110765194</v>
      </c>
      <c r="BA3315" s="147">
        <f>$AJ3173*'Assumptions (Oil G&amp;T)'!S$77</f>
        <v>0.98255755607627804</v>
      </c>
      <c r="BB3315" s="147">
        <f>$AJ3173*'Assumptions (Oil G&amp;T)'!T$77</f>
        <v>0.9827778110765194</v>
      </c>
      <c r="BC3315" s="147">
        <f>$AJ3173*'Assumptions (Oil G&amp;T)'!U$77</f>
        <v>0.98255755607627804</v>
      </c>
      <c r="BD3315" s="147">
        <f>$AJ3173*'Assumptions (Oil G&amp;T)'!V$77</f>
        <v>0.4913889055382597</v>
      </c>
    </row>
    <row r="3316" spans="1:69" ht="15.75" hidden="1" customHeight="1" outlineLevel="1">
      <c r="A3316" s="470"/>
      <c r="B3316" s="42"/>
      <c r="C3316" s="42"/>
      <c r="D3316" s="42"/>
      <c r="E3316" s="42"/>
      <c r="F3316" s="42"/>
      <c r="G3316" s="42"/>
      <c r="H3316" s="42"/>
      <c r="I3316" s="42"/>
      <c r="J3316" s="42"/>
      <c r="K3316" s="42"/>
      <c r="L3316" s="42"/>
      <c r="M3316" s="42"/>
      <c r="N3316" s="42"/>
      <c r="O3316" s="42"/>
      <c r="P3316" s="42"/>
      <c r="Q3316" s="42"/>
      <c r="R3316" s="42"/>
      <c r="S3316" s="42"/>
      <c r="T3316" s="42"/>
      <c r="U3316" s="42"/>
      <c r="V3316" s="42"/>
      <c r="W3316" s="86"/>
      <c r="AK3316" s="147">
        <f>$AK3173*'Assumptions (Oil G&amp;T)'!B$77</f>
        <v>0.82524224762655352</v>
      </c>
      <c r="AL3316" s="147">
        <f>$AK3173*'Assumptions (Oil G&amp;T)'!C$77</f>
        <v>1.5886463428309574</v>
      </c>
      <c r="AM3316" s="147">
        <f>$AK3173*'Assumptions (Oil G&amp;T)'!D$77</f>
        <v>1.4693713299739994</v>
      </c>
      <c r="AN3316" s="147">
        <f>$AK3173*'Assumptions (Oil G&amp;T)'!E$77</f>
        <v>1.3593390302904589</v>
      </c>
      <c r="AO3316" s="147">
        <f>$AK3173*'Assumptions (Oil G&amp;T)'!F$77</f>
        <v>1.2572290561841335</v>
      </c>
      <c r="AP3316" s="147">
        <f>$AK3173*'Assumptions (Oil G&amp;T)'!G$77</f>
        <v>1.1630414076550228</v>
      </c>
      <c r="AQ3316" s="147">
        <f>$AK3173*'Assumptions (Oil G&amp;T)'!H$77</f>
        <v>1.0756757617062915</v>
      </c>
      <c r="AR3316" s="147">
        <f>$AK3173*'Assumptions (Oil G&amp;T)'!I$77</f>
        <v>0.99513211833794002</v>
      </c>
      <c r="AS3316" s="147">
        <f>$AK3173*'Assumptions (Oil G&amp;T)'!J$77</f>
        <v>0.98192824237591514</v>
      </c>
      <c r="AT3316" s="147">
        <f>$AK3173*'Assumptions (Oil G&amp;T)'!K$77</f>
        <v>0.98170817777654795</v>
      </c>
      <c r="AU3316" s="147">
        <f>$AK3173*'Assumptions (Oil G&amp;T)'!L$77</f>
        <v>0.98192824237591514</v>
      </c>
      <c r="AV3316" s="147">
        <f>$AK3173*'Assumptions (Oil G&amp;T)'!M$77</f>
        <v>0.98170817777654795</v>
      </c>
      <c r="AW3316" s="147">
        <f>$AK3173*'Assumptions (Oil G&amp;T)'!N$77</f>
        <v>0.98192824237591514</v>
      </c>
      <c r="AX3316" s="147">
        <f>$AK3173*'Assumptions (Oil G&amp;T)'!O$77</f>
        <v>0.98170817777654795</v>
      </c>
      <c r="AY3316" s="147">
        <f>$AK3173*'Assumptions (Oil G&amp;T)'!P$77</f>
        <v>0.98192824237591514</v>
      </c>
      <c r="AZ3316" s="147">
        <f>$AK3173*'Assumptions (Oil G&amp;T)'!Q$77</f>
        <v>0.98170817777654795</v>
      </c>
      <c r="BA3316" s="147">
        <f>$AK3173*'Assumptions (Oil G&amp;T)'!R$77</f>
        <v>0.98192824237591514</v>
      </c>
      <c r="BB3316" s="147">
        <f>$AK3173*'Assumptions (Oil G&amp;T)'!S$77</f>
        <v>0.98170817777654795</v>
      </c>
      <c r="BC3316" s="147">
        <f>$AK3173*'Assumptions (Oil G&amp;T)'!T$77</f>
        <v>0.98192824237591514</v>
      </c>
      <c r="BD3316" s="147">
        <f>$AK3173*'Assumptions (Oil G&amp;T)'!U$77</f>
        <v>0.98170817777654795</v>
      </c>
      <c r="BE3316" s="147">
        <f>$AK3173*'Assumptions (Oil G&amp;T)'!V$77</f>
        <v>0.49096412118795757</v>
      </c>
    </row>
    <row r="3317" spans="1:69" ht="15.75" hidden="1" customHeight="1" outlineLevel="1">
      <c r="A3317" s="470"/>
      <c r="B3317" s="42"/>
      <c r="C3317" s="42"/>
      <c r="D3317" s="42"/>
      <c r="E3317" s="42"/>
      <c r="F3317" s="42"/>
      <c r="G3317" s="42"/>
      <c r="H3317" s="42"/>
      <c r="I3317" s="42"/>
      <c r="J3317" s="42"/>
      <c r="K3317" s="42"/>
      <c r="L3317" s="42"/>
      <c r="M3317" s="42"/>
      <c r="N3317" s="42"/>
      <c r="O3317" s="42"/>
      <c r="P3317" s="42"/>
      <c r="Q3317" s="42"/>
      <c r="R3317" s="42"/>
      <c r="S3317" s="42"/>
      <c r="T3317" s="42"/>
      <c r="U3317" s="42"/>
      <c r="V3317" s="42"/>
      <c r="W3317" s="86"/>
      <c r="AL3317" s="147">
        <f>$AL3173*'Assumptions (Oil G&amp;T)'!B$77</f>
        <v>0.82291430241978647</v>
      </c>
      <c r="AM3317" s="147">
        <f>$AL3173*'Assumptions (Oil G&amp;T)'!C$77</f>
        <v>1.5841648931115837</v>
      </c>
      <c r="AN3317" s="147">
        <f>$AL3173*'Assumptions (Oil G&amp;T)'!D$77</f>
        <v>1.4652263459351771</v>
      </c>
      <c r="AO3317" s="147">
        <f>$AL3173*'Assumptions (Oil G&amp;T)'!E$77</f>
        <v>1.3555044389458721</v>
      </c>
      <c r="AP3317" s="147">
        <f>$AL3173*'Assumptions (Oil G&amp;T)'!F$77</f>
        <v>1.2536825092597974</v>
      </c>
      <c r="AQ3317" s="147">
        <f>$AL3173*'Assumptions (Oil G&amp;T)'!G$77</f>
        <v>1.1597605568769525</v>
      </c>
      <c r="AR3317" s="147">
        <f>$AL3173*'Assumptions (Oil G&amp;T)'!H$77</f>
        <v>1.0726413627274443</v>
      </c>
      <c r="AS3317" s="147">
        <f>$AL3173*'Assumptions (Oil G&amp;T)'!I$77</f>
        <v>0.99232492681127327</v>
      </c>
      <c r="AT3317" s="147">
        <f>$AL3173*'Assumptions (Oil G&amp;T)'!J$77</f>
        <v>0.9791582979725566</v>
      </c>
      <c r="AU3317" s="147">
        <f>$AL3173*'Assumptions (Oil G&amp;T)'!K$77</f>
        <v>0.97893885415857795</v>
      </c>
      <c r="AV3317" s="147">
        <f>$AL3173*'Assumptions (Oil G&amp;T)'!L$77</f>
        <v>0.9791582979725566</v>
      </c>
      <c r="AW3317" s="147">
        <f>$AL3173*'Assumptions (Oil G&amp;T)'!M$77</f>
        <v>0.97893885415857795</v>
      </c>
      <c r="AX3317" s="147">
        <f>$AL3173*'Assumptions (Oil G&amp;T)'!N$77</f>
        <v>0.9791582979725566</v>
      </c>
      <c r="AY3317" s="147">
        <f>$AL3173*'Assumptions (Oil G&amp;T)'!O$77</f>
        <v>0.97893885415857795</v>
      </c>
      <c r="AZ3317" s="147">
        <f>$AL3173*'Assumptions (Oil G&amp;T)'!P$77</f>
        <v>0.9791582979725566</v>
      </c>
      <c r="BA3317" s="147">
        <f>$AL3173*'Assumptions (Oil G&amp;T)'!Q$77</f>
        <v>0.97893885415857795</v>
      </c>
      <c r="BB3317" s="147">
        <f>$AL3173*'Assumptions (Oil G&amp;T)'!R$77</f>
        <v>0.9791582979725566</v>
      </c>
      <c r="BC3317" s="147">
        <f>$AL3173*'Assumptions (Oil G&amp;T)'!S$77</f>
        <v>0.97893885415857795</v>
      </c>
      <c r="BD3317" s="147">
        <f>$AL3173*'Assumptions (Oil G&amp;T)'!T$77</f>
        <v>0.9791582979725566</v>
      </c>
      <c r="BE3317" s="147">
        <f>$AL3173*'Assumptions (Oil G&amp;T)'!U$77</f>
        <v>0.97893885415857795</v>
      </c>
      <c r="BF3317" s="147">
        <f>$AL3173*'Assumptions (Oil G&amp;T)'!V$77</f>
        <v>0.4895791489862783</v>
      </c>
    </row>
    <row r="3318" spans="1:69" ht="15.75" hidden="1" customHeight="1" outlineLevel="1">
      <c r="A3318" s="470"/>
      <c r="B3318" s="42"/>
      <c r="C3318" s="42"/>
      <c r="D3318" s="42"/>
      <c r="E3318" s="42"/>
      <c r="F3318" s="42"/>
      <c r="G3318" s="42"/>
      <c r="H3318" s="42"/>
      <c r="I3318" s="42"/>
      <c r="J3318" s="42"/>
      <c r="K3318" s="42"/>
      <c r="L3318" s="42"/>
      <c r="M3318" s="42"/>
      <c r="N3318" s="42"/>
      <c r="O3318" s="42"/>
      <c r="P3318" s="42"/>
      <c r="Q3318" s="42"/>
      <c r="R3318" s="42"/>
      <c r="S3318" s="42"/>
      <c r="T3318" s="42"/>
      <c r="U3318" s="42"/>
      <c r="V3318" s="42"/>
      <c r="W3318" s="86"/>
      <c r="AM3318" s="147">
        <f>$AM3173*'Assumptions (Oil G&amp;T)'!B$77</f>
        <v>0.81983959641644233</v>
      </c>
      <c r="AN3318" s="147">
        <f>$AM3173*'Assumptions (Oil G&amp;T)'!C$77</f>
        <v>1.5782458790747462</v>
      </c>
      <c r="AO3318" s="147">
        <f>$AM3173*'Assumptions (Oil G&amp;T)'!D$77</f>
        <v>1.4597517294060227</v>
      </c>
      <c r="AP3318" s="147">
        <f>$AM3173*'Assumptions (Oil G&amp;T)'!E$77</f>
        <v>1.350439783217164</v>
      </c>
      <c r="AQ3318" s="147">
        <f>$AM3173*'Assumptions (Oil G&amp;T)'!F$77</f>
        <v>1.2489982971539029</v>
      </c>
      <c r="AR3318" s="147">
        <f>$AM3173*'Assumptions (Oil G&amp;T)'!G$77</f>
        <v>1.1554272712162394</v>
      </c>
      <c r="AS3318" s="147">
        <f>$AM3173*'Assumptions (Oil G&amp;T)'!H$77</f>
        <v>1.0686335859422855</v>
      </c>
      <c r="AT3318" s="147">
        <f>$AM3173*'Assumptions (Oil G&amp;T)'!I$77</f>
        <v>0.98861724133204076</v>
      </c>
      <c r="AU3318" s="147">
        <f>$AM3173*'Assumptions (Oil G&amp;T)'!J$77</f>
        <v>0.97549980778937762</v>
      </c>
      <c r="AV3318" s="147">
        <f>$AM3173*'Assumptions (Oil G&amp;T)'!K$77</f>
        <v>0.9752811838969998</v>
      </c>
      <c r="AW3318" s="147">
        <f>$AM3173*'Assumptions (Oil G&amp;T)'!L$77</f>
        <v>0.97549980778937762</v>
      </c>
      <c r="AX3318" s="147">
        <f>$AM3173*'Assumptions (Oil G&amp;T)'!M$77</f>
        <v>0.9752811838969998</v>
      </c>
      <c r="AY3318" s="147">
        <f>$AM3173*'Assumptions (Oil G&amp;T)'!N$77</f>
        <v>0.97549980778937762</v>
      </c>
      <c r="AZ3318" s="147">
        <f>$AM3173*'Assumptions (Oil G&amp;T)'!O$77</f>
        <v>0.9752811838969998</v>
      </c>
      <c r="BA3318" s="147">
        <f>$AM3173*'Assumptions (Oil G&amp;T)'!P$77</f>
        <v>0.97549980778937762</v>
      </c>
      <c r="BB3318" s="147">
        <f>$AM3173*'Assumptions (Oil G&amp;T)'!Q$77</f>
        <v>0.9752811838969998</v>
      </c>
      <c r="BC3318" s="147">
        <f>$AM3173*'Assumptions (Oil G&amp;T)'!R$77</f>
        <v>0.97549980778937762</v>
      </c>
      <c r="BD3318" s="147">
        <f>$AM3173*'Assumptions (Oil G&amp;T)'!S$77</f>
        <v>0.9752811838969998</v>
      </c>
      <c r="BE3318" s="147">
        <f>$AM3173*'Assumptions (Oil G&amp;T)'!T$77</f>
        <v>0.97549980778937762</v>
      </c>
      <c r="BF3318" s="147">
        <f>$AM3173*'Assumptions (Oil G&amp;T)'!U$77</f>
        <v>0.9752811838969998</v>
      </c>
      <c r="BG3318" s="147">
        <f>$AM3173*'Assumptions (Oil G&amp;T)'!V$77</f>
        <v>0.48774990389468881</v>
      </c>
    </row>
    <row r="3319" spans="1:69" ht="15.75" hidden="1" customHeight="1" outlineLevel="1">
      <c r="A3319" s="470"/>
      <c r="B3319" s="42"/>
      <c r="C3319" s="42"/>
      <c r="D3319" s="42"/>
      <c r="E3319" s="42"/>
      <c r="F3319" s="42"/>
      <c r="G3319" s="42"/>
      <c r="H3319" s="42"/>
      <c r="I3319" s="42"/>
      <c r="J3319" s="42"/>
      <c r="K3319" s="42"/>
      <c r="L3319" s="42"/>
      <c r="M3319" s="42"/>
      <c r="N3319" s="42"/>
      <c r="O3319" s="42"/>
      <c r="P3319" s="42"/>
      <c r="Q3319" s="42"/>
      <c r="R3319" s="42"/>
      <c r="S3319" s="42"/>
      <c r="T3319" s="42"/>
      <c r="U3319" s="42"/>
      <c r="V3319" s="42"/>
      <c r="W3319" s="86"/>
      <c r="AN3319" s="147">
        <f>$AN3173*'Assumptions (Oil G&amp;T)'!B$77</f>
        <v>0.81626735674037298</v>
      </c>
      <c r="AO3319" s="147">
        <f>$AN3173*'Assumptions (Oil G&amp;T)'!C$77</f>
        <v>1.571369079549001</v>
      </c>
      <c r="AP3319" s="147">
        <f>$AN3173*'Assumptions (Oil G&amp;T)'!D$77</f>
        <v>1.4533912375881255</v>
      </c>
      <c r="AQ3319" s="147">
        <f>$AN3173*'Assumptions (Oil G&amp;T)'!E$77</f>
        <v>1.3445555900227424</v>
      </c>
      <c r="AR3319" s="147">
        <f>$AN3173*'Assumptions (Oil G&amp;T)'!F$77</f>
        <v>1.243556109082067</v>
      </c>
      <c r="AS3319" s="147">
        <f>$AN3173*'Assumptions (Oil G&amp;T)'!G$77</f>
        <v>1.150392794766099</v>
      </c>
      <c r="AT3319" s="147">
        <f>$AN3173*'Assumptions (Oil G&amp;T)'!H$77</f>
        <v>1.0639772905991849</v>
      </c>
      <c r="AU3319" s="147">
        <f>$AN3173*'Assumptions (Oil G&amp;T)'!I$77</f>
        <v>0.98430959658132455</v>
      </c>
      <c r="AV3319" s="147">
        <f>$AN3173*'Assumptions (Oil G&amp;T)'!J$77</f>
        <v>0.97124931887347854</v>
      </c>
      <c r="AW3319" s="147">
        <f>$AN3173*'Assumptions (Oil G&amp;T)'!K$77</f>
        <v>0.9710316475783477</v>
      </c>
      <c r="AX3319" s="147">
        <f>$AN3173*'Assumptions (Oil G&amp;T)'!L$77</f>
        <v>0.97124931887347854</v>
      </c>
      <c r="AY3319" s="147">
        <f>$AN3173*'Assumptions (Oil G&amp;T)'!M$77</f>
        <v>0.9710316475783477</v>
      </c>
      <c r="AZ3319" s="147">
        <f>$AN3173*'Assumptions (Oil G&amp;T)'!N$77</f>
        <v>0.97124931887347854</v>
      </c>
      <c r="BA3319" s="147">
        <f>$AN3173*'Assumptions (Oil G&amp;T)'!O$77</f>
        <v>0.9710316475783477</v>
      </c>
      <c r="BB3319" s="147">
        <f>$AN3173*'Assumptions (Oil G&amp;T)'!P$77</f>
        <v>0.97124931887347854</v>
      </c>
      <c r="BC3319" s="147">
        <f>$AN3173*'Assumptions (Oil G&amp;T)'!Q$77</f>
        <v>0.9710316475783477</v>
      </c>
      <c r="BD3319" s="147">
        <f>$AN3173*'Assumptions (Oil G&amp;T)'!R$77</f>
        <v>0.97124931887347854</v>
      </c>
      <c r="BE3319" s="147">
        <f>$AN3173*'Assumptions (Oil G&amp;T)'!S$77</f>
        <v>0.9710316475783477</v>
      </c>
      <c r="BF3319" s="147">
        <f>$AN3173*'Assumptions (Oil G&amp;T)'!T$77</f>
        <v>0.97124931887347854</v>
      </c>
      <c r="BG3319" s="147">
        <f>$AN3173*'Assumptions (Oil G&amp;T)'!U$77</f>
        <v>0.9710316475783477</v>
      </c>
      <c r="BH3319" s="147">
        <f>$AN3173*'Assumptions (Oil G&amp;T)'!V$77</f>
        <v>0.48562465943673927</v>
      </c>
    </row>
    <row r="3320" spans="1:69" ht="15.75" hidden="1" customHeight="1" outlineLevel="1">
      <c r="A3320" s="470"/>
      <c r="B3320" s="42"/>
      <c r="C3320" s="42"/>
      <c r="D3320" s="42"/>
      <c r="E3320" s="42"/>
      <c r="F3320" s="42"/>
      <c r="G3320" s="42"/>
      <c r="H3320" s="42"/>
      <c r="I3320" s="42"/>
      <c r="J3320" s="42"/>
      <c r="K3320" s="42"/>
      <c r="L3320" s="42"/>
      <c r="M3320" s="42"/>
      <c r="N3320" s="42"/>
      <c r="O3320" s="42"/>
      <c r="P3320" s="42"/>
      <c r="Q3320" s="42"/>
      <c r="R3320" s="42"/>
      <c r="S3320" s="42"/>
      <c r="T3320" s="42"/>
      <c r="U3320" s="42"/>
      <c r="V3320" s="42"/>
      <c r="W3320" s="86"/>
      <c r="AO3320" s="147">
        <f>$AO3173*'Assumptions (Oil G&amp;T)'!B$77</f>
        <v>0.8139484689573423</v>
      </c>
      <c r="AP3320" s="147">
        <f>$AO3173*'Assumptions (Oil G&amp;T)'!C$77</f>
        <v>1.5669050659741479</v>
      </c>
      <c r="AQ3320" s="147">
        <f>$AO3173*'Assumptions (Oil G&amp;T)'!D$77</f>
        <v>1.44926238059418</v>
      </c>
      <c r="AR3320" s="147">
        <f>$AO3173*'Assumptions (Oil G&amp;T)'!E$77</f>
        <v>1.3407359180665344</v>
      </c>
      <c r="AS3320" s="147">
        <f>$AO3173*'Assumptions (Oil G&amp;T)'!F$77</f>
        <v>1.2400233608408793</v>
      </c>
      <c r="AT3320" s="147">
        <f>$AO3173*'Assumptions (Oil G&amp;T)'!G$77</f>
        <v>1.1471247089172145</v>
      </c>
      <c r="AU3320" s="147">
        <f>$AO3173*'Assumptions (Oil G&amp;T)'!H$77</f>
        <v>1.060954697670264</v>
      </c>
      <c r="AV3320" s="147">
        <f>$AO3173*'Assumptions (Oil G&amp;T)'!I$77</f>
        <v>0.98151332710002737</v>
      </c>
      <c r="AW3320" s="147">
        <f>$AO3173*'Assumptions (Oil G&amp;T)'!J$77</f>
        <v>0.96849015159670981</v>
      </c>
      <c r="AX3320" s="147">
        <f>$AO3173*'Assumptions (Oil G&amp;T)'!K$77</f>
        <v>0.96827309867165445</v>
      </c>
      <c r="AY3320" s="147">
        <f>$AO3173*'Assumptions (Oil G&amp;T)'!L$77</f>
        <v>0.96849015159670981</v>
      </c>
      <c r="AZ3320" s="147">
        <f>$AO3173*'Assumptions (Oil G&amp;T)'!M$77</f>
        <v>0.96827309867165445</v>
      </c>
      <c r="BA3320" s="147">
        <f>$AO3173*'Assumptions (Oil G&amp;T)'!N$77</f>
        <v>0.96849015159670981</v>
      </c>
      <c r="BB3320" s="147">
        <f>$AO3173*'Assumptions (Oil G&amp;T)'!O$77</f>
        <v>0.96827309867165445</v>
      </c>
      <c r="BC3320" s="147">
        <f>$AO3173*'Assumptions (Oil G&amp;T)'!P$77</f>
        <v>0.96849015159670981</v>
      </c>
      <c r="BD3320" s="147">
        <f>$AO3173*'Assumptions (Oil G&amp;T)'!Q$77</f>
        <v>0.96827309867165445</v>
      </c>
      <c r="BE3320" s="147">
        <f>$AO3173*'Assumptions (Oil G&amp;T)'!R$77</f>
        <v>0.96849015159670981</v>
      </c>
      <c r="BF3320" s="147">
        <f>$AO3173*'Assumptions (Oil G&amp;T)'!S$77</f>
        <v>0.96827309867165445</v>
      </c>
      <c r="BG3320" s="147">
        <f>$AO3173*'Assumptions (Oil G&amp;T)'!T$77</f>
        <v>0.96849015159670981</v>
      </c>
      <c r="BH3320" s="147">
        <f>$AO3173*'Assumptions (Oil G&amp;T)'!U$77</f>
        <v>0.96827309867165445</v>
      </c>
      <c r="BI3320" s="147">
        <f>$AO3173*'Assumptions (Oil G&amp;T)'!V$77</f>
        <v>0.48424507579835491</v>
      </c>
    </row>
    <row r="3321" spans="1:69" ht="15.75" hidden="1" customHeight="1" outlineLevel="1">
      <c r="A3321" s="470"/>
      <c r="B3321" s="42"/>
      <c r="C3321" s="42"/>
      <c r="D3321" s="42"/>
      <c r="E3321" s="42"/>
      <c r="F3321" s="42"/>
      <c r="G3321" s="42"/>
      <c r="H3321" s="42"/>
      <c r="I3321" s="42"/>
      <c r="J3321" s="42"/>
      <c r="K3321" s="42"/>
      <c r="L3321" s="42"/>
      <c r="M3321" s="42"/>
      <c r="N3321" s="42"/>
      <c r="O3321" s="42"/>
      <c r="P3321" s="42"/>
      <c r="Q3321" s="42"/>
      <c r="R3321" s="42"/>
      <c r="S3321" s="42"/>
      <c r="T3321" s="42"/>
      <c r="U3321" s="42"/>
      <c r="V3321" s="42"/>
      <c r="W3321" s="86"/>
      <c r="AP3321" s="147">
        <f>$AP3173*'Assumptions (Oil G&amp;T)'!B$77</f>
        <v>0.81190176600545394</v>
      </c>
      <c r="AQ3321" s="147">
        <f>$AP3173*'Assumptions (Oil G&amp;T)'!C$77</f>
        <v>1.5629650263448993</v>
      </c>
      <c r="AR3321" s="147">
        <f>$AP3173*'Assumptions (Oil G&amp;T)'!D$77</f>
        <v>1.445618157764911</v>
      </c>
      <c r="AS3321" s="147">
        <f>$AP3173*'Assumptions (Oil G&amp;T)'!E$77</f>
        <v>1.3373645889641839</v>
      </c>
      <c r="AT3321" s="147">
        <f>$AP3173*'Assumptions (Oil G&amp;T)'!F$77</f>
        <v>1.236905277117109</v>
      </c>
      <c r="AU3321" s="147">
        <f>$AP3173*'Assumptions (Oil G&amp;T)'!G$77</f>
        <v>1.1442402222236865</v>
      </c>
      <c r="AV3321" s="147">
        <f>$AP3173*'Assumptions (Oil G&amp;T)'!H$77</f>
        <v>1.0582868885959091</v>
      </c>
      <c r="AW3321" s="147">
        <f>$AP3173*'Assumptions (Oil G&amp;T)'!I$77</f>
        <v>0.9790452762337768</v>
      </c>
      <c r="AX3321" s="147">
        <f>$AP3173*'Assumptions (Oil G&amp;T)'!J$77</f>
        <v>0.96605484797768948</v>
      </c>
      <c r="AY3321" s="147">
        <f>$AP3173*'Assumptions (Oil G&amp;T)'!K$77</f>
        <v>0.96583834084008802</v>
      </c>
      <c r="AZ3321" s="147">
        <f>$AP3173*'Assumptions (Oil G&amp;T)'!L$77</f>
        <v>0.96605484797768948</v>
      </c>
      <c r="BA3321" s="147">
        <f>$AP3173*'Assumptions (Oil G&amp;T)'!M$77</f>
        <v>0.96583834084008802</v>
      </c>
      <c r="BB3321" s="147">
        <f>$AP3173*'Assumptions (Oil G&amp;T)'!N$77</f>
        <v>0.96605484797768948</v>
      </c>
      <c r="BC3321" s="147">
        <f>$AP3173*'Assumptions (Oil G&amp;T)'!O$77</f>
        <v>0.96583834084008802</v>
      </c>
      <c r="BD3321" s="147">
        <f>$AP3173*'Assumptions (Oil G&amp;T)'!P$77</f>
        <v>0.96605484797768948</v>
      </c>
      <c r="BE3321" s="147">
        <f>$AP3173*'Assumptions (Oil G&amp;T)'!Q$77</f>
        <v>0.96583834084008802</v>
      </c>
      <c r="BF3321" s="147">
        <f>$AP3173*'Assumptions (Oil G&amp;T)'!R$77</f>
        <v>0.96605484797768948</v>
      </c>
      <c r="BG3321" s="147">
        <f>$AP3173*'Assumptions (Oil G&amp;T)'!S$77</f>
        <v>0.96583834084008802</v>
      </c>
      <c r="BH3321" s="147">
        <f>$AP3173*'Assumptions (Oil G&amp;T)'!T$77</f>
        <v>0.96605484797768948</v>
      </c>
      <c r="BI3321" s="147">
        <f>$AP3173*'Assumptions (Oil G&amp;T)'!U$77</f>
        <v>0.96583834084008802</v>
      </c>
      <c r="BJ3321" s="147">
        <f>$AP3173*'Assumptions (Oil G&amp;T)'!V$77</f>
        <v>0.48302742398884474</v>
      </c>
    </row>
    <row r="3322" spans="1:69" ht="15.75" hidden="1" customHeight="1" outlineLevel="1">
      <c r="A3322" s="470"/>
      <c r="B3322" s="42"/>
      <c r="C3322" s="42"/>
      <c r="D3322" s="42"/>
      <c r="E3322" s="42"/>
      <c r="F3322" s="42"/>
      <c r="G3322" s="42"/>
      <c r="H3322" s="42"/>
      <c r="I3322" s="42"/>
      <c r="J3322" s="42"/>
      <c r="K3322" s="42"/>
      <c r="L3322" s="42"/>
      <c r="M3322" s="42"/>
      <c r="N3322" s="42"/>
      <c r="O3322" s="42"/>
      <c r="P3322" s="42"/>
      <c r="Q3322" s="42"/>
      <c r="R3322" s="42"/>
      <c r="S3322" s="42"/>
      <c r="T3322" s="42"/>
      <c r="U3322" s="42"/>
      <c r="V3322" s="42"/>
      <c r="W3322" s="86"/>
      <c r="AQ3322" s="147">
        <f>$AQ3173*'Assumptions (Oil G&amp;T)'!B$77</f>
        <v>0.8097527733516654</v>
      </c>
      <c r="AR3322" s="147">
        <f>$AQ3173*'Assumptions (Oil G&amp;T)'!C$77</f>
        <v>1.5588280722201795</v>
      </c>
      <c r="AS3322" s="147">
        <f>$AQ3173*'Assumptions (Oil G&amp;T)'!D$77</f>
        <v>1.4417918047117519</v>
      </c>
      <c r="AT3322" s="147">
        <f>$AQ3173*'Assumptions (Oil G&amp;T)'!E$77</f>
        <v>1.3338247682648632</v>
      </c>
      <c r="AU3322" s="147">
        <f>$AQ3173*'Assumptions (Oil G&amp;T)'!F$77</f>
        <v>1.2336313584421505</v>
      </c>
      <c r="AV3322" s="147">
        <f>$AQ3173*'Assumptions (Oil G&amp;T)'!G$77</f>
        <v>1.1412115752436138</v>
      </c>
      <c r="AW3322" s="147">
        <f>$AQ3173*'Assumptions (Oil G&amp;T)'!H$77</f>
        <v>1.0554857483047841</v>
      </c>
      <c r="AX3322" s="147">
        <f>$AQ3173*'Assumptions (Oil G&amp;T)'!I$77</f>
        <v>0.9764538776256616</v>
      </c>
      <c r="AY3322" s="147">
        <f>$AQ3173*'Assumptions (Oil G&amp;T)'!J$77</f>
        <v>0.96349783325203497</v>
      </c>
      <c r="AZ3322" s="147">
        <f>$AQ3173*'Assumptions (Oil G&amp;T)'!K$77</f>
        <v>0.96328189917914109</v>
      </c>
      <c r="BA3322" s="147">
        <f>$AQ3173*'Assumptions (Oil G&amp;T)'!L$77</f>
        <v>0.96349783325203497</v>
      </c>
      <c r="BB3322" s="147">
        <f>$AQ3173*'Assumptions (Oil G&amp;T)'!M$77</f>
        <v>0.96328189917914109</v>
      </c>
      <c r="BC3322" s="147">
        <f>$AQ3173*'Assumptions (Oil G&amp;T)'!N$77</f>
        <v>0.96349783325203497</v>
      </c>
      <c r="BD3322" s="147">
        <f>$AQ3173*'Assumptions (Oil G&amp;T)'!O$77</f>
        <v>0.96328189917914109</v>
      </c>
      <c r="BE3322" s="147">
        <f>$AQ3173*'Assumptions (Oil G&amp;T)'!P$77</f>
        <v>0.96349783325203497</v>
      </c>
      <c r="BF3322" s="147">
        <f>$AQ3173*'Assumptions (Oil G&amp;T)'!Q$77</f>
        <v>0.96328189917914109</v>
      </c>
      <c r="BG3322" s="147">
        <f>$AQ3173*'Assumptions (Oil G&amp;T)'!R$77</f>
        <v>0.96349783325203497</v>
      </c>
      <c r="BH3322" s="147">
        <f>$AQ3173*'Assumptions (Oil G&amp;T)'!S$77</f>
        <v>0.96328189917914109</v>
      </c>
      <c r="BI3322" s="147">
        <f>$AQ3173*'Assumptions (Oil G&amp;T)'!T$77</f>
        <v>0.96349783325203497</v>
      </c>
      <c r="BJ3322" s="147">
        <f>$AQ3173*'Assumptions (Oil G&amp;T)'!U$77</f>
        <v>0.96328189917914109</v>
      </c>
      <c r="BK3322" s="147">
        <f>$AQ3173*'Assumptions (Oil G&amp;T)'!V$77</f>
        <v>0.48174891662601749</v>
      </c>
    </row>
    <row r="3323" spans="1:69" ht="15.75" hidden="1" customHeight="1" outlineLevel="1">
      <c r="A3323" s="470"/>
      <c r="B3323" s="42"/>
      <c r="C3323" s="42"/>
      <c r="D3323" s="42"/>
      <c r="E3323" s="42"/>
      <c r="F3323" s="42"/>
      <c r="G3323" s="42"/>
      <c r="H3323" s="42"/>
      <c r="I3323" s="42"/>
      <c r="J3323" s="42"/>
      <c r="K3323" s="42"/>
      <c r="L3323" s="42"/>
      <c r="M3323" s="42"/>
      <c r="N3323" s="42"/>
      <c r="O3323" s="42"/>
      <c r="P3323" s="42"/>
      <c r="Q3323" s="42"/>
      <c r="R3323" s="42"/>
      <c r="S3323" s="42"/>
      <c r="T3323" s="42"/>
      <c r="U3323" s="42"/>
      <c r="V3323" s="42"/>
      <c r="W3323" s="86"/>
      <c r="AR3323" s="147">
        <f>$AR3173*'Assumptions (Oil G&amp;T)'!B$77</f>
        <v>0.80913133701522899</v>
      </c>
      <c r="AS3323" s="147">
        <f>$AR3173*'Assumptions (Oil G&amp;T)'!C$77</f>
        <v>1.5576317658434502</v>
      </c>
      <c r="AT3323" s="147">
        <f>$AR3173*'Assumptions (Oil G&amp;T)'!D$77</f>
        <v>1.4406853166001823</v>
      </c>
      <c r="AU3323" s="147">
        <f>$AR3173*'Assumptions (Oil G&amp;T)'!E$77</f>
        <v>1.3328011383314853</v>
      </c>
      <c r="AV3323" s="147">
        <f>$AR3173*'Assumptions (Oil G&amp;T)'!F$77</f>
        <v>1.2326846208981341</v>
      </c>
      <c r="AW3323" s="147">
        <f>$AR3173*'Assumptions (Oil G&amp;T)'!G$77</f>
        <v>1.1403357643001295</v>
      </c>
      <c r="AX3323" s="147">
        <f>$AR3173*'Assumptions (Oil G&amp;T)'!H$77</f>
        <v>1.0546757267547839</v>
      </c>
      <c r="AY3323" s="147">
        <f>$AR3173*'Assumptions (Oil G&amp;T)'!I$77</f>
        <v>0.97570450826209754</v>
      </c>
      <c r="AZ3323" s="147">
        <f>$AR3173*'Assumptions (Oil G&amp;T)'!J$77</f>
        <v>0.96275840686985381</v>
      </c>
      <c r="BA3323" s="147">
        <f>$AR3173*'Assumptions (Oil G&amp;T)'!K$77</f>
        <v>0.96254263851331634</v>
      </c>
      <c r="BB3323" s="147">
        <f>$AR3173*'Assumptions (Oil G&amp;T)'!L$77</f>
        <v>0.96275840686985381</v>
      </c>
      <c r="BC3323" s="147">
        <f>$AR3173*'Assumptions (Oil G&amp;T)'!M$77</f>
        <v>0.96254263851331634</v>
      </c>
      <c r="BD3323" s="147">
        <f>$AR3173*'Assumptions (Oil G&amp;T)'!N$77</f>
        <v>0.96275840686985381</v>
      </c>
      <c r="BE3323" s="147">
        <f>$AR3173*'Assumptions (Oil G&amp;T)'!O$77</f>
        <v>0.96254263851331634</v>
      </c>
      <c r="BF3323" s="147">
        <f>$AR3173*'Assumptions (Oil G&amp;T)'!P$77</f>
        <v>0.96275840686985381</v>
      </c>
      <c r="BG3323" s="147">
        <f>$AR3173*'Assumptions (Oil G&amp;T)'!Q$77</f>
        <v>0.96254263851331634</v>
      </c>
      <c r="BH3323" s="147">
        <f>$AR3173*'Assumptions (Oil G&amp;T)'!R$77</f>
        <v>0.96275840686985381</v>
      </c>
      <c r="BI3323" s="147">
        <f>$AR3173*'Assumptions (Oil G&amp;T)'!S$77</f>
        <v>0.96254263851331634</v>
      </c>
      <c r="BJ3323" s="147">
        <f>$AR3173*'Assumptions (Oil G&amp;T)'!T$77</f>
        <v>0.96275840686985381</v>
      </c>
      <c r="BK3323" s="147">
        <f>$AR3173*'Assumptions (Oil G&amp;T)'!U$77</f>
        <v>0.96254263851331634</v>
      </c>
      <c r="BL3323" s="147">
        <f>$AR3173*'Assumptions (Oil G&amp;T)'!V$77</f>
        <v>0.48137920343492691</v>
      </c>
    </row>
    <row r="3324" spans="1:69" ht="15.75" hidden="1" customHeight="1" outlineLevel="1">
      <c r="A3324" s="470"/>
      <c r="B3324" s="42"/>
      <c r="C3324" s="42"/>
      <c r="D3324" s="42"/>
      <c r="E3324" s="42"/>
      <c r="F3324" s="42"/>
      <c r="G3324" s="42"/>
      <c r="H3324" s="42"/>
      <c r="I3324" s="42"/>
      <c r="J3324" s="42"/>
      <c r="K3324" s="42"/>
      <c r="L3324" s="42"/>
      <c r="M3324" s="42"/>
      <c r="N3324" s="42"/>
      <c r="O3324" s="42"/>
      <c r="P3324" s="42"/>
      <c r="Q3324" s="42"/>
      <c r="R3324" s="42"/>
      <c r="S3324" s="42"/>
      <c r="T3324" s="42"/>
      <c r="U3324" s="42"/>
      <c r="V3324" s="42"/>
      <c r="W3324" s="86"/>
      <c r="AS3324" s="147">
        <f>$AS3173*'Assumptions (Oil G&amp;T)'!B$77</f>
        <v>0.8075740339824643</v>
      </c>
      <c r="AT3324" s="147">
        <f>$AS3173*'Assumptions (Oil G&amp;T)'!C$77</f>
        <v>1.554633853685176</v>
      </c>
      <c r="AU3324" s="147">
        <f>$AS3173*'Assumptions (Oil G&amp;T)'!D$77</f>
        <v>1.4379124866402437</v>
      </c>
      <c r="AV3324" s="147">
        <f>$AS3173*'Assumptions (Oil G&amp;T)'!E$77</f>
        <v>1.3302359487759152</v>
      </c>
      <c r="AW3324" s="147">
        <f>$AS3173*'Assumptions (Oil G&amp;T)'!F$77</f>
        <v>1.2303121216378183</v>
      </c>
      <c r="AX3324" s="147">
        <f>$AS3173*'Assumptions (Oil G&amp;T)'!G$77</f>
        <v>1.1381410052259531</v>
      </c>
      <c r="AY3324" s="147">
        <f>$AS3173*'Assumptions (Oil G&amp;T)'!H$77</f>
        <v>1.0526458341616762</v>
      </c>
      <c r="AZ3324" s="147">
        <f>$AS3173*'Assumptions (Oil G&amp;T)'!I$77</f>
        <v>0.9738266084449877</v>
      </c>
      <c r="BA3324" s="147">
        <f>$AS3173*'Assumptions (Oil G&amp;T)'!J$77</f>
        <v>0.96090542390126821</v>
      </c>
      <c r="BB3324" s="147">
        <f>$AS3173*'Assumptions (Oil G&amp;T)'!K$77</f>
        <v>0.96069007082553948</v>
      </c>
      <c r="BC3324" s="147">
        <f>$AS3173*'Assumptions (Oil G&amp;T)'!L$77</f>
        <v>0.96090542390126821</v>
      </c>
      <c r="BD3324" s="147">
        <f>$AS3173*'Assumptions (Oil G&amp;T)'!M$77</f>
        <v>0.96069007082553948</v>
      </c>
      <c r="BE3324" s="147">
        <f>$AS3173*'Assumptions (Oil G&amp;T)'!N$77</f>
        <v>0.96090542390126821</v>
      </c>
      <c r="BF3324" s="147">
        <f>$AS3173*'Assumptions (Oil G&amp;T)'!O$77</f>
        <v>0.96069007082553948</v>
      </c>
      <c r="BG3324" s="147">
        <f>$AS3173*'Assumptions (Oil G&amp;T)'!P$77</f>
        <v>0.96090542390126821</v>
      </c>
      <c r="BH3324" s="147">
        <f>$AS3173*'Assumptions (Oil G&amp;T)'!Q$77</f>
        <v>0.96069007082553948</v>
      </c>
      <c r="BI3324" s="147">
        <f>$AS3173*'Assumptions (Oil G&amp;T)'!R$77</f>
        <v>0.96090542390126821</v>
      </c>
      <c r="BJ3324" s="147">
        <f>$AS3173*'Assumptions (Oil G&amp;T)'!S$77</f>
        <v>0.96069007082553948</v>
      </c>
      <c r="BK3324" s="147">
        <f>$AS3173*'Assumptions (Oil G&amp;T)'!T$77</f>
        <v>0.96090542390126821</v>
      </c>
      <c r="BL3324" s="147">
        <f>$AS3173*'Assumptions (Oil G&amp;T)'!U$77</f>
        <v>0.96069007082553948</v>
      </c>
      <c r="BM3324" s="147">
        <f>$AS3173*'Assumptions (Oil G&amp;T)'!V$77</f>
        <v>0.4804527119506341</v>
      </c>
    </row>
    <row r="3325" spans="1:69" ht="15.75" hidden="1" customHeight="1" outlineLevel="1">
      <c r="A3325" s="470"/>
      <c r="B3325" s="42"/>
      <c r="C3325" s="42"/>
      <c r="D3325" s="42"/>
      <c r="E3325" s="42"/>
      <c r="F3325" s="42"/>
      <c r="G3325" s="42"/>
      <c r="H3325" s="42"/>
      <c r="I3325" s="42"/>
      <c r="J3325" s="42"/>
      <c r="K3325" s="42"/>
      <c r="L3325" s="42"/>
      <c r="M3325" s="42"/>
      <c r="N3325" s="42"/>
      <c r="O3325" s="42"/>
      <c r="P3325" s="42"/>
      <c r="Q3325" s="42"/>
      <c r="R3325" s="42"/>
      <c r="S3325" s="42"/>
      <c r="T3325" s="42"/>
      <c r="U3325" s="42"/>
      <c r="V3325" s="42"/>
      <c r="W3325" s="86"/>
      <c r="AT3325" s="147">
        <f>$AT3173*'Assumptions (Oil G&amp;T)'!B$77</f>
        <v>0.80517250655018058</v>
      </c>
      <c r="AU3325" s="147">
        <f>$AT3173*'Assumptions (Oil G&amp;T)'!C$77</f>
        <v>1.5500107532762011</v>
      </c>
      <c r="AV3325" s="147">
        <f>$AT3173*'Assumptions (Oil G&amp;T)'!D$77</f>
        <v>1.4336364869961482</v>
      </c>
      <c r="AW3325" s="147">
        <f>$AT3173*'Assumptions (Oil G&amp;T)'!E$77</f>
        <v>1.3262801527894574</v>
      </c>
      <c r="AX3325" s="147">
        <f>$AT3173*'Assumptions (Oil G&amp;T)'!F$77</f>
        <v>1.2266534746456486</v>
      </c>
      <c r="AY3325" s="147">
        <f>$AT3173*'Assumptions (Oil G&amp;T)'!G$77</f>
        <v>1.1347564525647211</v>
      </c>
      <c r="AZ3325" s="147">
        <f>$AT3173*'Assumptions (Oil G&amp;T)'!H$77</f>
        <v>1.0495155232046087</v>
      </c>
      <c r="BA3325" s="147">
        <f>$AT3173*'Assumptions (Oil G&amp;T)'!I$77</f>
        <v>0.97093068656531123</v>
      </c>
      <c r="BB3325" s="147">
        <f>$AT3173*'Assumptions (Oil G&amp;T)'!J$77</f>
        <v>0.95804792646050818</v>
      </c>
      <c r="BC3325" s="147">
        <f>$AT3173*'Assumptions (Oil G&amp;T)'!K$77</f>
        <v>0.95783321379209474</v>
      </c>
      <c r="BD3325" s="147">
        <f>$AT3173*'Assumptions (Oil G&amp;T)'!L$77</f>
        <v>0.95804792646050818</v>
      </c>
      <c r="BE3325" s="147">
        <f>$AT3173*'Assumptions (Oil G&amp;T)'!M$77</f>
        <v>0.95783321379209474</v>
      </c>
      <c r="BF3325" s="147">
        <f>$AT3173*'Assumptions (Oil G&amp;T)'!N$77</f>
        <v>0.95804792646050818</v>
      </c>
      <c r="BG3325" s="147">
        <f>$AT3173*'Assumptions (Oil G&amp;T)'!O$77</f>
        <v>0.95783321379209474</v>
      </c>
      <c r="BH3325" s="147">
        <f>$AT3173*'Assumptions (Oil G&amp;T)'!P$77</f>
        <v>0.95804792646050818</v>
      </c>
      <c r="BI3325" s="147">
        <f>$AT3173*'Assumptions (Oil G&amp;T)'!Q$77</f>
        <v>0.95783321379209474</v>
      </c>
      <c r="BJ3325" s="147">
        <f>$AT3173*'Assumptions (Oil G&amp;T)'!R$77</f>
        <v>0.95804792646050818</v>
      </c>
      <c r="BK3325" s="147">
        <f>$AT3173*'Assumptions (Oil G&amp;T)'!S$77</f>
        <v>0.95783321379209474</v>
      </c>
      <c r="BL3325" s="147">
        <f>$AT3173*'Assumptions (Oil G&amp;T)'!T$77</f>
        <v>0.95804792646050818</v>
      </c>
      <c r="BM3325" s="147">
        <f>$AT3173*'Assumptions (Oil G&amp;T)'!U$77</f>
        <v>0.95783321379209474</v>
      </c>
      <c r="BN3325" s="147">
        <f>$AT3173*'Assumptions (Oil G&amp;T)'!V$77</f>
        <v>0.47902396323025409</v>
      </c>
    </row>
    <row r="3326" spans="1:69" ht="15.75" hidden="1" customHeight="1" outlineLevel="1">
      <c r="A3326" s="470"/>
      <c r="B3326" s="42"/>
      <c r="C3326" s="42"/>
      <c r="D3326" s="42"/>
      <c r="E3326" s="42"/>
      <c r="F3326" s="42"/>
      <c r="G3326" s="42"/>
      <c r="H3326" s="42"/>
      <c r="I3326" s="42"/>
      <c r="J3326" s="42"/>
      <c r="K3326" s="42"/>
      <c r="L3326" s="42"/>
      <c r="M3326" s="42"/>
      <c r="N3326" s="42"/>
      <c r="O3326" s="42"/>
      <c r="P3326" s="42"/>
      <c r="Q3326" s="42"/>
      <c r="R3326" s="42"/>
      <c r="S3326" s="42"/>
      <c r="T3326" s="42"/>
      <c r="U3326" s="42"/>
      <c r="V3326" s="42"/>
      <c r="W3326" s="86"/>
      <c r="AU3326" s="147">
        <f>$AU3173*'Assumptions (Oil G&amp;T)'!B$77</f>
        <v>0.80288358930962589</v>
      </c>
      <c r="AV3326" s="147">
        <f>$AU3173*'Assumptions (Oil G&amp;T)'!C$77</f>
        <v>1.5456044349936506</v>
      </c>
      <c r="AW3326" s="147">
        <f>$AU3173*'Assumptions (Oil G&amp;T)'!D$77</f>
        <v>1.4295609935520992</v>
      </c>
      <c r="AX3326" s="147">
        <f>$AU3173*'Assumptions (Oil G&amp;T)'!E$77</f>
        <v>1.3225098483108157</v>
      </c>
      <c r="AY3326" s="147">
        <f>$AU3173*'Assumptions (Oil G&amp;T)'!F$77</f>
        <v>1.2231663855269048</v>
      </c>
      <c r="AZ3326" s="147">
        <f>$AU3173*'Assumptions (Oil G&amp;T)'!G$77</f>
        <v>1.1315306052003662</v>
      </c>
      <c r="BA3326" s="147">
        <f>$AU3173*'Assumptions (Oil G&amp;T)'!H$77</f>
        <v>1.0465319958787871</v>
      </c>
      <c r="BB3326" s="147">
        <f>$AU3173*'Assumptions (Oil G&amp;T)'!I$77</f>
        <v>0.96817055756216774</v>
      </c>
      <c r="BC3326" s="147">
        <f>$AU3173*'Assumptions (Oil G&amp;T)'!J$77</f>
        <v>0.95532442013321361</v>
      </c>
      <c r="BD3326" s="147">
        <f>$AU3173*'Assumptions (Oil G&amp;T)'!K$77</f>
        <v>0.95511031784273093</v>
      </c>
      <c r="BE3326" s="147">
        <f>$AU3173*'Assumptions (Oil G&amp;T)'!L$77</f>
        <v>0.95532442013321361</v>
      </c>
      <c r="BF3326" s="147">
        <f>$AU3173*'Assumptions (Oil G&amp;T)'!M$77</f>
        <v>0.95511031784273093</v>
      </c>
      <c r="BG3326" s="147">
        <f>$AU3173*'Assumptions (Oil G&amp;T)'!N$77</f>
        <v>0.95532442013321361</v>
      </c>
      <c r="BH3326" s="147">
        <f>$AU3173*'Assumptions (Oil G&amp;T)'!O$77</f>
        <v>0.95511031784273093</v>
      </c>
      <c r="BI3326" s="147">
        <f>$AU3173*'Assumptions (Oil G&amp;T)'!P$77</f>
        <v>0.95532442013321361</v>
      </c>
      <c r="BJ3326" s="147">
        <f>$AU3173*'Assumptions (Oil G&amp;T)'!Q$77</f>
        <v>0.95511031784273093</v>
      </c>
      <c r="BK3326" s="147">
        <f>$AU3173*'Assumptions (Oil G&amp;T)'!R$77</f>
        <v>0.95532442013321361</v>
      </c>
      <c r="BL3326" s="147">
        <f>$AU3173*'Assumptions (Oil G&amp;T)'!S$77</f>
        <v>0.95511031784273093</v>
      </c>
      <c r="BM3326" s="147">
        <f>$AU3173*'Assumptions (Oil G&amp;T)'!T$77</f>
        <v>0.95532442013321361</v>
      </c>
      <c r="BN3326" s="147">
        <f>$AU3173*'Assumptions (Oil G&amp;T)'!U$77</f>
        <v>0.95511031784273093</v>
      </c>
      <c r="BO3326" s="147">
        <f>$AU3173*'Assumptions (Oil G&amp;T)'!V$77</f>
        <v>0.47766221006660681</v>
      </c>
    </row>
    <row r="3327" spans="1:69" ht="15.75" hidden="1" customHeight="1" outlineLevel="1">
      <c r="A3327" s="470"/>
      <c r="B3327" s="42"/>
      <c r="C3327" s="42"/>
      <c r="D3327" s="42"/>
      <c r="E3327" s="42"/>
      <c r="F3327" s="42"/>
      <c r="G3327" s="42"/>
      <c r="H3327" s="42"/>
      <c r="I3327" s="42"/>
      <c r="J3327" s="42"/>
      <c r="K3327" s="42"/>
      <c r="L3327" s="42"/>
      <c r="M3327" s="42"/>
      <c r="N3327" s="42"/>
      <c r="O3327" s="42"/>
      <c r="P3327" s="42"/>
      <c r="Q3327" s="42"/>
      <c r="R3327" s="42"/>
      <c r="S3327" s="42"/>
      <c r="T3327" s="42"/>
      <c r="U3327" s="42"/>
      <c r="V3327" s="42"/>
      <c r="W3327" s="86"/>
      <c r="AV3327" s="147">
        <f>$AV3173*'Assumptions (Oil G&amp;T)'!B$77</f>
        <v>0.79872705946194911</v>
      </c>
      <c r="AW3327" s="147">
        <f>$AV3173*'Assumptions (Oil G&amp;T)'!C$77</f>
        <v>1.5376028379348829</v>
      </c>
      <c r="AX3327" s="147">
        <f>$AV3173*'Assumptions (Oil G&amp;T)'!D$77</f>
        <v>1.4221601536073156</v>
      </c>
      <c r="AY3327" s="147">
        <f>$AV3173*'Assumptions (Oil G&amp;T)'!E$77</f>
        <v>1.3156632123457226</v>
      </c>
      <c r="AZ3327" s="147">
        <f>$AV3173*'Assumptions (Oil G&amp;T)'!F$77</f>
        <v>1.216834050854964</v>
      </c>
      <c r="BA3327" s="147">
        <f>$AV3173*'Assumptions (Oil G&amp;T)'!G$77</f>
        <v>1.1256726691350403</v>
      </c>
      <c r="BB3327" s="147">
        <f>$AV3173*'Assumptions (Oil G&amp;T)'!H$77</f>
        <v>1.0411140977733353</v>
      </c>
      <c r="BC3327" s="147">
        <f>$AV3173*'Assumptions (Oil G&amp;T)'!I$77</f>
        <v>0.96315833676984908</v>
      </c>
      <c r="BD3327" s="147">
        <f>$AV3173*'Assumptions (Oil G&amp;T)'!J$77</f>
        <v>0.95037870381845779</v>
      </c>
      <c r="BE3327" s="147">
        <f>$AV3173*'Assumptions (Oil G&amp;T)'!K$77</f>
        <v>0.95016570993593463</v>
      </c>
      <c r="BF3327" s="147">
        <f>$AV3173*'Assumptions (Oil G&amp;T)'!L$77</f>
        <v>0.95037870381845779</v>
      </c>
      <c r="BG3327" s="147">
        <f>$AV3173*'Assumptions (Oil G&amp;T)'!M$77</f>
        <v>0.95016570993593463</v>
      </c>
      <c r="BH3327" s="147">
        <f>$AV3173*'Assumptions (Oil G&amp;T)'!N$77</f>
        <v>0.95037870381845779</v>
      </c>
      <c r="BI3327" s="147">
        <f>$AV3173*'Assumptions (Oil G&amp;T)'!O$77</f>
        <v>0.95016570993593463</v>
      </c>
      <c r="BJ3327" s="147">
        <f>$AV3173*'Assumptions (Oil G&amp;T)'!P$77</f>
        <v>0.95037870381845779</v>
      </c>
      <c r="BK3327" s="147">
        <f>$AV3173*'Assumptions (Oil G&amp;T)'!Q$77</f>
        <v>0.95016570993593463</v>
      </c>
      <c r="BL3327" s="147">
        <f>$AV3173*'Assumptions (Oil G&amp;T)'!R$77</f>
        <v>0.95037870381845779</v>
      </c>
      <c r="BM3327" s="147">
        <f>$AV3173*'Assumptions (Oil G&amp;T)'!S$77</f>
        <v>0.95016570993593463</v>
      </c>
      <c r="BN3327" s="147">
        <f>$AV3173*'Assumptions (Oil G&amp;T)'!T$77</f>
        <v>0.95037870381845779</v>
      </c>
      <c r="BO3327" s="147">
        <f>$AV3173*'Assumptions (Oil G&amp;T)'!U$77</f>
        <v>0.95016570993593463</v>
      </c>
      <c r="BP3327" s="147">
        <f>$AV3173*'Assumptions (Oil G&amp;T)'!V$77</f>
        <v>0.4751893519092289</v>
      </c>
    </row>
    <row r="3328" spans="1:69" ht="15.75" hidden="1" customHeight="1" outlineLevel="1">
      <c r="A3328" s="470"/>
      <c r="B3328" s="42"/>
      <c r="C3328" s="42"/>
      <c r="D3328" s="42"/>
      <c r="E3328" s="42"/>
      <c r="F3328" s="42"/>
      <c r="G3328" s="42"/>
      <c r="H3328" s="42"/>
      <c r="I3328" s="42"/>
      <c r="J3328" s="42"/>
      <c r="K3328" s="42"/>
      <c r="L3328" s="42"/>
      <c r="M3328" s="42"/>
      <c r="N3328" s="42"/>
      <c r="O3328" s="42"/>
      <c r="P3328" s="42"/>
      <c r="Q3328" s="42"/>
      <c r="R3328" s="42"/>
      <c r="S3328" s="42"/>
      <c r="T3328" s="42"/>
      <c r="U3328" s="42"/>
      <c r="V3328" s="42"/>
      <c r="W3328" s="86"/>
      <c r="AW3328" s="147">
        <f>$AW3173*'Assumptions (Oil G&amp;T)'!B$77</f>
        <v>0.79544527738411952</v>
      </c>
      <c r="AX3328" s="147">
        <f>$AW3173*'Assumptions (Oil G&amp;T)'!C$77</f>
        <v>1.5312851886495891</v>
      </c>
      <c r="AY3328" s="147">
        <f>$AW3173*'Assumptions (Oil G&amp;T)'!D$77</f>
        <v>1.4163168312250041</v>
      </c>
      <c r="AZ3328" s="147">
        <f>$AW3173*'Assumptions (Oil G&amp;T)'!E$77</f>
        <v>1.3102574609071216</v>
      </c>
      <c r="BA3328" s="147">
        <f>$AW3173*'Assumptions (Oil G&amp;T)'!F$77</f>
        <v>1.2118343652521266</v>
      </c>
      <c r="BB3328" s="147">
        <f>$AW3173*'Assumptions (Oil G&amp;T)'!G$77</f>
        <v>1.1210475442600192</v>
      </c>
      <c r="BC3328" s="147">
        <f>$AW3173*'Assumptions (Oil G&amp;T)'!H$77</f>
        <v>1.0368364042276204</v>
      </c>
      <c r="BD3328" s="147">
        <f>$AW3173*'Assumptions (Oil G&amp;T)'!I$77</f>
        <v>0.95920094515493026</v>
      </c>
      <c r="BE3328" s="147">
        <f>$AW3173*'Assumptions (Oil G&amp;T)'!J$77</f>
        <v>0.94647382071678432</v>
      </c>
      <c r="BF3328" s="147">
        <f>$AW3173*'Assumptions (Oil G&amp;T)'!K$77</f>
        <v>0.94626170197614845</v>
      </c>
      <c r="BG3328" s="147">
        <f>$AW3173*'Assumptions (Oil G&amp;T)'!L$77</f>
        <v>0.94647382071678432</v>
      </c>
      <c r="BH3328" s="147">
        <f>$AW3173*'Assumptions (Oil G&amp;T)'!M$77</f>
        <v>0.94626170197614845</v>
      </c>
      <c r="BI3328" s="147">
        <f>$AW3173*'Assumptions (Oil G&amp;T)'!N$77</f>
        <v>0.94647382071678432</v>
      </c>
      <c r="BJ3328" s="147">
        <f>$AW3173*'Assumptions (Oil G&amp;T)'!O$77</f>
        <v>0.94626170197614845</v>
      </c>
      <c r="BK3328" s="147">
        <f>$AW3173*'Assumptions (Oil G&amp;T)'!P$77</f>
        <v>0.94647382071678432</v>
      </c>
      <c r="BL3328" s="147">
        <f>$AW3173*'Assumptions (Oil G&amp;T)'!Q$77</f>
        <v>0.94626170197614845</v>
      </c>
      <c r="BM3328" s="147">
        <f>$AW3173*'Assumptions (Oil G&amp;T)'!R$77</f>
        <v>0.94647382071678432</v>
      </c>
      <c r="BN3328" s="147">
        <f>$AW3173*'Assumptions (Oil G&amp;T)'!S$77</f>
        <v>0.94626170197614845</v>
      </c>
      <c r="BO3328" s="147">
        <f>$AW3173*'Assumptions (Oil G&amp;T)'!T$77</f>
        <v>0.94647382071678432</v>
      </c>
      <c r="BP3328" s="147">
        <f>$AW3173*'Assumptions (Oil G&amp;T)'!U$77</f>
        <v>0.94626170197614845</v>
      </c>
      <c r="BQ3328" s="147">
        <f>$AW3173*'Assumptions (Oil G&amp;T)'!V$77</f>
        <v>0.47323691035839216</v>
      </c>
    </row>
    <row r="3329" spans="1:77" ht="15.75" hidden="1" customHeight="1" outlineLevel="1">
      <c r="A3329" s="470"/>
      <c r="B3329" s="42"/>
      <c r="C3329" s="42"/>
      <c r="D3329" s="42"/>
      <c r="E3329" s="42"/>
      <c r="F3329" s="42"/>
      <c r="G3329" s="42"/>
      <c r="H3329" s="42"/>
      <c r="I3329" s="42"/>
      <c r="J3329" s="42"/>
      <c r="K3329" s="42"/>
      <c r="L3329" s="42"/>
      <c r="M3329" s="42"/>
      <c r="N3329" s="42"/>
      <c r="O3329" s="42"/>
      <c r="P3329" s="42"/>
      <c r="Q3329" s="42"/>
      <c r="R3329" s="42"/>
      <c r="S3329" s="42"/>
      <c r="T3329" s="42"/>
      <c r="U3329" s="42"/>
      <c r="V3329" s="42"/>
      <c r="W3329" s="86"/>
      <c r="AX3329" s="147">
        <f>$AX3173*'Assumptions (Oil G&amp;T)'!B$77</f>
        <v>0.79282157929025421</v>
      </c>
      <c r="AY3329" s="147">
        <f>$AX3173*'Assumptions (Oil G&amp;T)'!C$77</f>
        <v>1.5262343949056922</v>
      </c>
      <c r="AZ3329" s="147">
        <f>$AX3173*'Assumptions (Oil G&amp;T)'!D$77</f>
        <v>1.411645249312274</v>
      </c>
      <c r="BA3329" s="147">
        <f>$AX3173*'Assumptions (Oil G&amp;T)'!E$77</f>
        <v>1.3059357054069067</v>
      </c>
      <c r="BB3329" s="147">
        <f>$AX3173*'Assumptions (Oil G&amp;T)'!F$77</f>
        <v>1.207837248662726</v>
      </c>
      <c r="BC3329" s="147">
        <f>$AX3173*'Assumptions (Oil G&amp;T)'!G$77</f>
        <v>1.1173498790797316</v>
      </c>
      <c r="BD3329" s="147">
        <f>$AX3173*'Assumptions (Oil G&amp;T)'!H$77</f>
        <v>1.0334165012188701</v>
      </c>
      <c r="BE3329" s="147">
        <f>$AX3173*'Assumptions (Oil G&amp;T)'!I$77</f>
        <v>0.95603711508014133</v>
      </c>
      <c r="BF3329" s="147">
        <f>$AX3173*'Assumptions (Oil G&amp;T)'!J$77</f>
        <v>0.94335196981149716</v>
      </c>
      <c r="BG3329" s="147">
        <f>$AX3173*'Assumptions (Oil G&amp;T)'!K$77</f>
        <v>0.94314055072368641</v>
      </c>
      <c r="BH3329" s="147">
        <f>$AX3173*'Assumptions (Oil G&amp;T)'!L$77</f>
        <v>0.94335196981149716</v>
      </c>
      <c r="BI3329" s="147">
        <f>$AX3173*'Assumptions (Oil G&amp;T)'!M$77</f>
        <v>0.94314055072368641</v>
      </c>
      <c r="BJ3329" s="147">
        <f>$AX3173*'Assumptions (Oil G&amp;T)'!N$77</f>
        <v>0.94335196981149716</v>
      </c>
      <c r="BK3329" s="147">
        <f>$AX3173*'Assumptions (Oil G&amp;T)'!O$77</f>
        <v>0.94314055072368641</v>
      </c>
      <c r="BL3329" s="147">
        <f>$AX3173*'Assumptions (Oil G&amp;T)'!P$77</f>
        <v>0.94335196981149716</v>
      </c>
      <c r="BM3329" s="147">
        <f>$AX3173*'Assumptions (Oil G&amp;T)'!Q$77</f>
        <v>0.94314055072368641</v>
      </c>
      <c r="BN3329" s="147">
        <f>$AX3173*'Assumptions (Oil G&amp;T)'!R$77</f>
        <v>0.94335196981149716</v>
      </c>
      <c r="BO3329" s="147">
        <f>$AX3173*'Assumptions (Oil G&amp;T)'!S$77</f>
        <v>0.94314055072368641</v>
      </c>
      <c r="BP3329" s="147">
        <f>$AX3173*'Assumptions (Oil G&amp;T)'!T$77</f>
        <v>0.94335196981149716</v>
      </c>
      <c r="BQ3329" s="147">
        <f>$AX3173*'Assumptions (Oil G&amp;T)'!U$77</f>
        <v>0.94314055072368641</v>
      </c>
      <c r="BR3329" s="147">
        <f>$AX3173*'Assumptions (Oil G&amp;T)'!V$77</f>
        <v>0.47167598490574858</v>
      </c>
    </row>
    <row r="3330" spans="1:77" ht="15.75" hidden="1" customHeight="1" outlineLevel="1">
      <c r="A3330" s="470"/>
      <c r="B3330" s="42"/>
      <c r="C3330" s="42"/>
      <c r="D3330" s="42"/>
      <c r="E3330" s="42"/>
      <c r="F3330" s="42"/>
      <c r="G3330" s="42"/>
      <c r="H3330" s="42"/>
      <c r="I3330" s="42"/>
      <c r="J3330" s="42"/>
      <c r="K3330" s="42"/>
      <c r="L3330" s="42"/>
      <c r="M3330" s="42"/>
      <c r="N3330" s="42"/>
      <c r="O3330" s="42"/>
      <c r="P3330" s="42"/>
      <c r="Q3330" s="42"/>
      <c r="R3330" s="42"/>
      <c r="S3330" s="42"/>
      <c r="T3330" s="42"/>
      <c r="U3330" s="42"/>
      <c r="V3330" s="42"/>
      <c r="W3330" s="86"/>
      <c r="AY3330" s="147">
        <f>$AY3173*'Assumptions (Oil G&amp;T)'!B$77</f>
        <v>0.79019149947959078</v>
      </c>
      <c r="AZ3330" s="147">
        <f>$AY3173*'Assumptions (Oil G&amp;T)'!C$77</f>
        <v>1.521171315931511</v>
      </c>
      <c r="BA3330" s="147">
        <f>$AY3173*'Assumptions (Oil G&amp;T)'!D$77</f>
        <v>1.4069623045400605</v>
      </c>
      <c r="BB3330" s="147">
        <f>$AY3173*'Assumptions (Oil G&amp;T)'!E$77</f>
        <v>1.3016034379427819</v>
      </c>
      <c r="BC3330" s="147">
        <f>$AY3173*'Assumptions (Oil G&amp;T)'!F$77</f>
        <v>1.2038304097405073</v>
      </c>
      <c r="BD3330" s="147">
        <f>$AY3173*'Assumptions (Oil G&amp;T)'!G$77</f>
        <v>1.1136432199332367</v>
      </c>
      <c r="BE3330" s="147">
        <f>$AY3173*'Assumptions (Oil G&amp;T)'!H$77</f>
        <v>1.0299882798549973</v>
      </c>
      <c r="BF3330" s="147">
        <f>$AY3173*'Assumptions (Oil G&amp;T)'!I$77</f>
        <v>0.95286558950578926</v>
      </c>
      <c r="BG3330" s="147">
        <f>$AY3173*'Assumptions (Oil G&amp;T)'!J$77</f>
        <v>0.94022252551411578</v>
      </c>
      <c r="BH3330" s="147">
        <f>$AY3173*'Assumptions (Oil G&amp;T)'!K$77</f>
        <v>0.94001180778092119</v>
      </c>
      <c r="BI3330" s="147">
        <f>$AY3173*'Assumptions (Oil G&amp;T)'!L$77</f>
        <v>0.94022252551411578</v>
      </c>
      <c r="BJ3330" s="147">
        <f>$AY3173*'Assumptions (Oil G&amp;T)'!M$77</f>
        <v>0.94001180778092119</v>
      </c>
      <c r="BK3330" s="147">
        <f>$AY3173*'Assumptions (Oil G&amp;T)'!N$77</f>
        <v>0.94022252551411578</v>
      </c>
      <c r="BL3330" s="147">
        <f>$AY3173*'Assumptions (Oil G&amp;T)'!O$77</f>
        <v>0.94001180778092119</v>
      </c>
      <c r="BM3330" s="147">
        <f>$AY3173*'Assumptions (Oil G&amp;T)'!P$77</f>
        <v>0.94022252551411578</v>
      </c>
      <c r="BN3330" s="147">
        <f>$AY3173*'Assumptions (Oil G&amp;T)'!Q$77</f>
        <v>0.94001180778092119</v>
      </c>
      <c r="BO3330" s="147">
        <f>$AY3173*'Assumptions (Oil G&amp;T)'!R$77</f>
        <v>0.94022252551411578</v>
      </c>
      <c r="BP3330" s="147">
        <f>$AY3173*'Assumptions (Oil G&amp;T)'!S$77</f>
        <v>0.94001180778092119</v>
      </c>
      <c r="BQ3330" s="147">
        <f>$AY3173*'Assumptions (Oil G&amp;T)'!T$77</f>
        <v>0.94022252551411578</v>
      </c>
      <c r="BR3330" s="147">
        <f>$AY3173*'Assumptions (Oil G&amp;T)'!U$77</f>
        <v>0.94001180778092119</v>
      </c>
      <c r="BS3330" s="147">
        <f>$AY3173*'Assumptions (Oil G&amp;T)'!V$77</f>
        <v>0.47011126275705789</v>
      </c>
    </row>
    <row r="3331" spans="1:77" ht="15.75" hidden="1" customHeight="1" outlineLevel="1">
      <c r="A3331" s="470"/>
      <c r="B3331" s="42"/>
      <c r="C3331" s="42"/>
      <c r="D3331" s="42"/>
      <c r="E3331" s="42"/>
      <c r="F3331" s="42"/>
      <c r="G3331" s="42"/>
      <c r="H3331" s="42"/>
      <c r="I3331" s="42"/>
      <c r="J3331" s="42"/>
      <c r="K3331" s="42"/>
      <c r="L3331" s="42"/>
      <c r="M3331" s="42"/>
      <c r="N3331" s="42"/>
      <c r="O3331" s="42"/>
      <c r="P3331" s="42"/>
      <c r="Q3331" s="42"/>
      <c r="R3331" s="42"/>
      <c r="S3331" s="42"/>
      <c r="T3331" s="42"/>
      <c r="U3331" s="42"/>
      <c r="V3331" s="42"/>
      <c r="W3331" s="86"/>
      <c r="AZ3331" s="147">
        <f>$AZ3173*'Assumptions (Oil G&amp;T)'!B$77</f>
        <v>0.7853126963894308</v>
      </c>
      <c r="BA3331" s="147">
        <f>$AZ3173*'Assumptions (Oil G&amp;T)'!C$77</f>
        <v>1.5117792947294137</v>
      </c>
      <c r="BB3331" s="147">
        <f>$AZ3173*'Assumptions (Oil G&amp;T)'!D$77</f>
        <v>1.3982754330112612</v>
      </c>
      <c r="BC3331" s="147">
        <f>$AZ3173*'Assumptions (Oil G&amp;T)'!E$77</f>
        <v>1.2935670734926705</v>
      </c>
      <c r="BD3331" s="147">
        <f>$AZ3173*'Assumptions (Oil G&amp;T)'!F$77</f>
        <v>1.1963977158594183</v>
      </c>
      <c r="BE3331" s="147">
        <f>$AZ3173*'Assumptions (Oil G&amp;T)'!G$77</f>
        <v>1.1067673601115045</v>
      </c>
      <c r="BF3331" s="147">
        <f>$AZ3173*'Assumptions (Oil G&amp;T)'!H$77</f>
        <v>1.0236289226537434</v>
      </c>
      <c r="BG3331" s="147">
        <f>$AZ3173*'Assumptions (Oil G&amp;T)'!I$77</f>
        <v>0.94698240348613505</v>
      </c>
      <c r="BH3331" s="147">
        <f>$AZ3173*'Assumptions (Oil G&amp;T)'!J$77</f>
        <v>0.93441740034390408</v>
      </c>
      <c r="BI3331" s="147">
        <f>$AZ3173*'Assumptions (Oil G&amp;T)'!K$77</f>
        <v>0.9342079836248669</v>
      </c>
      <c r="BJ3331" s="147">
        <f>$AZ3173*'Assumptions (Oil G&amp;T)'!L$77</f>
        <v>0.93441740034390408</v>
      </c>
      <c r="BK3331" s="147">
        <f>$AZ3173*'Assumptions (Oil G&amp;T)'!M$77</f>
        <v>0.9342079836248669</v>
      </c>
      <c r="BL3331" s="147">
        <f>$AZ3173*'Assumptions (Oil G&amp;T)'!N$77</f>
        <v>0.93441740034390408</v>
      </c>
      <c r="BM3331" s="147">
        <f>$AZ3173*'Assumptions (Oil G&amp;T)'!O$77</f>
        <v>0.9342079836248669</v>
      </c>
      <c r="BN3331" s="147">
        <f>$AZ3173*'Assumptions (Oil G&amp;T)'!P$77</f>
        <v>0.93441740034390408</v>
      </c>
      <c r="BO3331" s="147">
        <f>$AZ3173*'Assumptions (Oil G&amp;T)'!Q$77</f>
        <v>0.9342079836248669</v>
      </c>
      <c r="BP3331" s="147">
        <f>$AZ3173*'Assumptions (Oil G&amp;T)'!R$77</f>
        <v>0.93441740034390408</v>
      </c>
      <c r="BQ3331" s="147">
        <f>$AZ3173*'Assumptions (Oil G&amp;T)'!S$77</f>
        <v>0.9342079836248669</v>
      </c>
      <c r="BR3331" s="147">
        <f>$AZ3173*'Assumptions (Oil G&amp;T)'!T$77</f>
        <v>0.93441740034390408</v>
      </c>
      <c r="BS3331" s="147">
        <f>$AZ3173*'Assumptions (Oil G&amp;T)'!U$77</f>
        <v>0.9342079836248669</v>
      </c>
      <c r="BT3331" s="147">
        <f>$AZ3173*'Assumptions (Oil G&amp;T)'!V$77</f>
        <v>0.46720870017195204</v>
      </c>
    </row>
    <row r="3332" spans="1:77" ht="15.75" hidden="1" customHeight="1" outlineLevel="1">
      <c r="A3332" s="470"/>
      <c r="B3332" s="42"/>
      <c r="C3332" s="42"/>
      <c r="D3332" s="42"/>
      <c r="E3332" s="42"/>
      <c r="F3332" s="42"/>
      <c r="G3332" s="42"/>
      <c r="H3332" s="42"/>
      <c r="I3332" s="42"/>
      <c r="J3332" s="42"/>
      <c r="K3332" s="42"/>
      <c r="L3332" s="42"/>
      <c r="M3332" s="42"/>
      <c r="N3332" s="42"/>
      <c r="O3332" s="42"/>
      <c r="P3332" s="42"/>
      <c r="Q3332" s="42"/>
      <c r="R3332" s="42"/>
      <c r="S3332" s="42"/>
      <c r="T3332" s="42"/>
      <c r="U3332" s="42"/>
      <c r="V3332" s="42"/>
      <c r="W3332" s="86"/>
      <c r="BA3332" s="147">
        <f>$BA3173*'Assumptions (Oil G&amp;T)'!B$77</f>
        <v>0.7824580118014598</v>
      </c>
      <c r="BB3332" s="147">
        <f>$BA3173*'Assumptions (Oil G&amp;T)'!C$77</f>
        <v>1.5062838365852638</v>
      </c>
      <c r="BC3332" s="147">
        <f>$BA3173*'Assumptions (Oil G&amp;T)'!D$77</f>
        <v>1.3931925719462259</v>
      </c>
      <c r="BD3332" s="147">
        <f>$BA3173*'Assumptions (Oil G&amp;T)'!E$77</f>
        <v>1.2888648370393645</v>
      </c>
      <c r="BE3332" s="147">
        <f>$BA3173*'Assumptions (Oil G&amp;T)'!F$77</f>
        <v>1.1920486990457972</v>
      </c>
      <c r="BF3332" s="147">
        <f>$BA3173*'Assumptions (Oil G&amp;T)'!G$77</f>
        <v>1.1027441579655242</v>
      </c>
      <c r="BG3332" s="147">
        <f>$BA3173*'Assumptions (Oil G&amp;T)'!H$77</f>
        <v>1.0199079364494761</v>
      </c>
      <c r="BH3332" s="147">
        <f>$BA3173*'Assumptions (Oil G&amp;T)'!I$77</f>
        <v>0.94354003449765378</v>
      </c>
      <c r="BI3332" s="147">
        <f>$BA3173*'Assumptions (Oil G&amp;T)'!J$77</f>
        <v>0.93102070630883027</v>
      </c>
      <c r="BJ3332" s="147">
        <f>$BA3173*'Assumptions (Oil G&amp;T)'!K$77</f>
        <v>0.93081205083901652</v>
      </c>
      <c r="BK3332" s="147">
        <f>$BA3173*'Assumptions (Oil G&amp;T)'!L$77</f>
        <v>0.93102070630883027</v>
      </c>
      <c r="BL3332" s="147">
        <f>$BA3173*'Assumptions (Oil G&amp;T)'!M$77</f>
        <v>0.93081205083901652</v>
      </c>
      <c r="BM3332" s="147">
        <f>$BA3173*'Assumptions (Oil G&amp;T)'!N$77</f>
        <v>0.93102070630883027</v>
      </c>
      <c r="BN3332" s="147">
        <f>$BA3173*'Assumptions (Oil G&amp;T)'!O$77</f>
        <v>0.93081205083901652</v>
      </c>
      <c r="BO3332" s="147">
        <f>$BA3173*'Assumptions (Oil G&amp;T)'!P$77</f>
        <v>0.93102070630883027</v>
      </c>
      <c r="BP3332" s="147">
        <f>$BA3173*'Assumptions (Oil G&amp;T)'!Q$77</f>
        <v>0.93081205083901652</v>
      </c>
      <c r="BQ3332" s="147">
        <f>$BA3173*'Assumptions (Oil G&amp;T)'!R$77</f>
        <v>0.93102070630883027</v>
      </c>
      <c r="BR3332" s="147">
        <f>$BA3173*'Assumptions (Oil G&amp;T)'!S$77</f>
        <v>0.93081205083901652</v>
      </c>
      <c r="BS3332" s="147">
        <f>$BA3173*'Assumptions (Oil G&amp;T)'!T$77</f>
        <v>0.93102070630883027</v>
      </c>
      <c r="BT3332" s="147">
        <f>$BA3173*'Assumptions (Oil G&amp;T)'!U$77</f>
        <v>0.93081205083901652</v>
      </c>
      <c r="BU3332" s="147">
        <f>$BA3173*'Assumptions (Oil G&amp;T)'!V$77</f>
        <v>0.46551035315441514</v>
      </c>
    </row>
    <row r="3333" spans="1:77" ht="15.75" customHeight="1" collapsed="1">
      <c r="A3333" s="468" t="s">
        <v>839</v>
      </c>
      <c r="B3333" s="99" t="s">
        <v>201</v>
      </c>
      <c r="C3333" s="229">
        <f>(1+'Assumptions (Oil G&amp;T)'!B43)*'Assumptions (Oil G&amp;T)'!B40</f>
        <v>8.374604441799999</v>
      </c>
      <c r="D3333" s="229">
        <f>(1+'Assumptions (Oil G&amp;T)'!C43)*'Assumptions (Oil G&amp;T)'!C40</f>
        <v>8.9335319279499998</v>
      </c>
      <c r="E3333" s="229">
        <f>(1+'Assumptions (Oil G&amp;T)'!D43)*'Assumptions (Oil G&amp;T)'!D40</f>
        <v>9.1319552175999998</v>
      </c>
      <c r="F3333" s="229">
        <f>(1+'Assumptions (Oil G&amp;T)'!E43)*'Assumptions (Oil G&amp;T)'!E40</f>
        <v>8.8905720886499982</v>
      </c>
      <c r="G3333" s="229">
        <f>(1+'Assumptions (Oil G&amp;T)'!F43)*'Assumptions (Oil G&amp;T)'!F40</f>
        <v>8.806202568649999</v>
      </c>
      <c r="H3333" s="229">
        <f>(1+'Assumptions (Oil G&amp;T)'!G43)*'Assumptions (Oil G&amp;T)'!G40</f>
        <v>9.1470962728499998</v>
      </c>
      <c r="I3333" s="229">
        <f>(1+'Assumptions (Oil G&amp;T)'!H43)*'Assumptions (Oil G&amp;T)'!H40</f>
        <v>9.8213266759</v>
      </c>
      <c r="J3333" s="229">
        <f>(1+'Assumptions (Oil G&amp;T)'!I43)*'Assumptions (Oil G&amp;T)'!I40</f>
        <v>10.706909656449996</v>
      </c>
      <c r="K3333" s="229">
        <f>(1+'Assumptions (Oil G&amp;T)'!J43)*'Assumptions (Oil G&amp;T)'!J40</f>
        <v>10.620727393749998</v>
      </c>
      <c r="L3333" s="229">
        <f>(1+'Assumptions (Oil G&amp;T)'!K43)*'Assumptions (Oil G&amp;T)'!K40</f>
        <v>11.475664411849998</v>
      </c>
      <c r="M3333" s="229">
        <f>(1+'Assumptions (Oil G&amp;T)'!L43)*'Assumptions (Oil G&amp;T)'!L40</f>
        <v>12.892139558699999</v>
      </c>
      <c r="N3333" s="229">
        <f>(1+'Assumptions (Oil G&amp;T)'!M43)*'Assumptions (Oil G&amp;T)'!M40</f>
        <v>14.4501080824</v>
      </c>
      <c r="O3333" s="229">
        <f>(1+'Assumptions (Oil G&amp;T)'!N43)*'Assumptions (Oil G&amp;T)'!N40</f>
        <v>16.129498617799999</v>
      </c>
      <c r="P3333" s="229">
        <f>(1+'Assumptions (Oil G&amp;T)'!O43)*'Assumptions (Oil G&amp;T)'!O40</f>
        <v>18.427650609200001</v>
      </c>
      <c r="Q3333" s="229">
        <f>(1+'Assumptions (Oil G&amp;T)'!P43)*'Assumptions (Oil G&amp;T)'!P40</f>
        <v>22.21172115525</v>
      </c>
      <c r="R3333" s="229">
        <f>(1+'Assumptions (Oil G&amp;T)'!Q43)*'Assumptions (Oil G&amp;T)'!Q40</f>
        <v>25.381091615199999</v>
      </c>
      <c r="S3333" s="229">
        <f>(1+'Assumptions (Oil G&amp;T)'!R43)*'Assumptions (Oil G&amp;T)'!R40</f>
        <v>26.586813297750002</v>
      </c>
      <c r="T3333" s="229">
        <f>(1+'Assumptions (Oil G&amp;T)'!S43)*'Assumptions (Oil G&amp;T)'!S40</f>
        <v>26.643751890428</v>
      </c>
      <c r="U3333" s="229">
        <f>(1+'Assumptions (Oil G&amp;T)'!T43)*'Assumptions (Oil G&amp;T)'!T40</f>
        <v>32.252439705554004</v>
      </c>
      <c r="V3333" s="229">
        <f>(1+'Assumptions (Oil G&amp;T)'!U43)*'Assumptions (Oil G&amp;T)'!U40</f>
        <v>36.590475151999996</v>
      </c>
      <c r="W3333" s="229">
        <f>(1+'Assumptions (Oil G&amp;T)'!V43)*'Assumptions (Oil G&amp;T)'!V40</f>
        <v>39.997537004000002</v>
      </c>
      <c r="X3333" s="229">
        <f>(1+'Assumptions (Oil G&amp;T)'!W43)*'Assumptions (Oil G&amp;T)'!W40</f>
        <v>41.745112976000001</v>
      </c>
      <c r="Y3333" s="229">
        <f>(1+'Assumptions (Oil G&amp;T)'!X43)*'Assumptions (Oil G&amp;T)'!X40</f>
        <v>42.10488063199999</v>
      </c>
      <c r="Z3333" s="229">
        <f>(1+'Assumptions (Oil G&amp;T)'!Y43)*'Assumptions (Oil G&amp;T)'!Y40</f>
        <v>42.089294773999995</v>
      </c>
      <c r="AA3333" s="229">
        <f>(1+'Assumptions (Oil G&amp;T)'!Z43)*'Assumptions (Oil G&amp;T)'!Z40</f>
        <v>42.958171892000003</v>
      </c>
      <c r="AB3333" s="229">
        <f>(1+'Assumptions (Oil G&amp;T)'!AA43)*'Assumptions (Oil G&amp;T)'!AA40</f>
        <v>43.373922697999994</v>
      </c>
      <c r="AC3333" s="229">
        <f>(1+'Assumptions (Oil G&amp;T)'!AB43)*'Assumptions (Oil G&amp;T)'!AB40</f>
        <v>44.245877491999998</v>
      </c>
      <c r="AD3333" s="229">
        <f>(1+'Assumptions (Oil G&amp;T)'!AC43)*'Assumptions (Oil G&amp;T)'!AC40</f>
        <v>45.298327178000008</v>
      </c>
      <c r="AE3333" s="229">
        <f>(1+'Assumptions (Oil G&amp;T)'!AD43)*'Assumptions (Oil G&amp;T)'!AD40</f>
        <v>45.451126711999997</v>
      </c>
      <c r="AF3333" s="229">
        <f>(1+'Assumptions (Oil G&amp;T)'!AE43)*'Assumptions (Oil G&amp;T)'!AE40</f>
        <v>45.902695555999998</v>
      </c>
      <c r="AG3333" s="229">
        <f>(1+'Assumptions (Oil G&amp;T)'!AF43)*'Assumptions (Oil G&amp;T)'!AF40</f>
        <v>46.236388664000003</v>
      </c>
      <c r="AH3333" s="229">
        <f>(1+'Assumptions (Oil G&amp;T)'!AG43)*'Assumptions (Oil G&amp;T)'!AG40</f>
        <v>46.480430485999996</v>
      </c>
      <c r="AI3333" s="229">
        <f>(1+'Assumptions (Oil G&amp;T)'!AH43)*'Assumptions (Oil G&amp;T)'!AH40</f>
        <v>46.323606872000006</v>
      </c>
      <c r="AJ3333" s="229">
        <f>(1+'Assumptions (Oil G&amp;T)'!AI43)*'Assumptions (Oil G&amp;T)'!AI40</f>
        <v>46.046165186000003</v>
      </c>
      <c r="AK3333" s="229">
        <f>(1+'Assumptions (Oil G&amp;T)'!AJ43)*'Assumptions (Oil G&amp;T)'!AJ40</f>
        <v>45.925975604000001</v>
      </c>
      <c r="AL3333" s="229">
        <f>(1+'Assumptions (Oil G&amp;T)'!AK43)*'Assumptions (Oil G&amp;T)'!AK40</f>
        <v>45.536750192</v>
      </c>
      <c r="AM3333" s="229">
        <f>(1+'Assumptions (Oil G&amp;T)'!AL43)*'Assumptions (Oil G&amp;T)'!AL40</f>
        <v>45.028810693999993</v>
      </c>
      <c r="AN3333" s="229">
        <f>(1+'Assumptions (Oil G&amp;T)'!AM43)*'Assumptions (Oil G&amp;T)'!AM40</f>
        <v>44.447342311999996</v>
      </c>
      <c r="AO3333" s="229">
        <f>(1+'Assumptions (Oil G&amp;T)'!AN43)*'Assumptions (Oil G&amp;T)'!AN40</f>
        <v>44.074805654000002</v>
      </c>
      <c r="AP3333" s="229">
        <f>(1+'Assumptions (Oil G&amp;T)'!AO43)*'Assumptions (Oil G&amp;T)'!AO40</f>
        <v>43.749175610000002</v>
      </c>
      <c r="AQ3333" s="229">
        <f>(1+'Assumptions (Oil G&amp;T)'!AP43)*'Assumptions (Oil G&amp;T)'!AP40</f>
        <v>43.410448676000001</v>
      </c>
      <c r="AR3333" s="229">
        <f>(1+'Assumptions (Oil G&amp;T)'!AQ43)*'Assumptions (Oil G&amp;T)'!AQ40</f>
        <v>43.313099473999998</v>
      </c>
      <c r="AS3333" s="229">
        <f>(1+'Assumptions (Oil G&amp;T)'!AR43)*'Assumptions (Oil G&amp;T)'!AR40</f>
        <v>43.070324492000005</v>
      </c>
      <c r="AT3333" s="229">
        <f>(1+'Assumptions (Oil G&amp;T)'!AS43)*'Assumptions (Oil G&amp;T)'!AS40</f>
        <v>42.699222344000006</v>
      </c>
      <c r="AU3333" s="229">
        <f>(1+'Assumptions (Oil G&amp;T)'!AT43)*'Assumptions (Oil G&amp;T)'!AT40</f>
        <v>42.349194452000006</v>
      </c>
      <c r="AV3333" s="229">
        <f>(1+'Assumptions (Oil G&amp;T)'!AU43)*'Assumptions (Oil G&amp;T)'!AU40</f>
        <v>41.722611662000006</v>
      </c>
      <c r="AW3333" s="229">
        <f>(1+'Assumptions (Oil G&amp;T)'!AV43)*'Assumptions (Oil G&amp;T)'!AV40</f>
        <v>41.236018418</v>
      </c>
      <c r="AX3333" s="229">
        <f>(1+'Assumptions (Oil G&amp;T)'!AW43)*'Assumptions (Oil G&amp;T)'!AW40</f>
        <v>40.852080200000003</v>
      </c>
      <c r="AY3333" s="229">
        <f>(1+'Assumptions (Oil G&amp;T)'!AX43)*'Assumptions (Oil G&amp;T)'!AX40</f>
        <v>40.471681682000003</v>
      </c>
      <c r="AZ3333" s="229">
        <f>(1+'Assumptions (Oil G&amp;T)'!AY43)*'Assumptions (Oil G&amp;T)'!AY40</f>
        <v>39.777725360000005</v>
      </c>
      <c r="BA3333" s="229">
        <f>(1+'Assumptions (Oil G&amp;T)'!AZ43)*'Assumptions (Oil G&amp;T)'!AZ40</f>
        <v>39.378611143999997</v>
      </c>
    </row>
    <row r="3334" spans="1:77" ht="15.75" customHeight="1">
      <c r="A3334" s="468" t="s">
        <v>62</v>
      </c>
      <c r="B3334" s="99" t="s">
        <v>201</v>
      </c>
      <c r="C3334" s="147">
        <f>IF(C3333-C3169-C3281+C3228&gt;0,(1-'Assumptions (Oil G&amp;T)'!B$79)*(C3333-C3169-C3281+C3228)-C3175+C3176+C3281,C3333-C3169-C3175+C3176+C3228)</f>
        <v>1.0919707426601128</v>
      </c>
      <c r="D3334" s="147">
        <f>IF(D3333-D3169-D3281+D3228&gt;0,(1-'Assumptions (Oil G&amp;T)'!C$79)*(D3333-D3169-D3281+D3228)-D3175+D3176+D3281,D3333-D3169-D3175+D3176+D3228)</f>
        <v>1.0733772965072323</v>
      </c>
      <c r="E3334" s="147">
        <f>IF(E3333-E3169-E3281+E3228&gt;0,(1-'Assumptions (Oil G&amp;T)'!D$79)*(E3333-E3169-E3281+E3228)-E3175+E3176+E3281,E3333-E3169-E3175+E3176+E3228)</f>
        <v>1.0491330704684252</v>
      </c>
      <c r="F3334" s="147">
        <f>IF(F3333-F3169-F3281+F3228&gt;0,(1-'Assumptions (Oil G&amp;T)'!E$79)*(F3333-F3169-F3281+F3228)-F3175+F3176+F3281,F3333-F3169-F3175+F3176+F3228)</f>
        <v>0.77103588324868011</v>
      </c>
      <c r="G3334" s="147">
        <f>IF(G3333-G3169-G3281+G3228&gt;0,(1-'Assumptions (Oil G&amp;T)'!F$79)*(G3333-G3169-G3281+G3228)-G3175+G3176+G3281,G3333-G3169-G3175+G3176+G3228)</f>
        <v>1.447916634056734</v>
      </c>
      <c r="H3334" s="147">
        <f>IF(H3333-H3169-H3281+H3228&gt;0,(1-'Assumptions (Oil G&amp;T)'!G$79)*(H3333-H3169-H3281+H3228)-H3175+H3176+H3281,H3333-H3169-H3175+H3176+H3228)</f>
        <v>1.7053587482684753</v>
      </c>
      <c r="I3334" s="147">
        <f>IF(I3333-I3169-I3281+I3228&gt;0,(1-'Assumptions (Oil G&amp;T)'!H$79)*(I3333-I3169-I3281+I3228)-I3175+I3176+I3281,I3333-I3169-I3175+I3176+I3228)</f>
        <v>1.6263873989062647</v>
      </c>
      <c r="J3334" s="147">
        <f>IF(J3333-J3169-J3281+J3228&gt;0,(1-'Assumptions (Oil G&amp;T)'!I$79)*(J3333-J3169-J3281+J3228)-J3175+J3176+J3281,J3333-J3169-J3175+J3176+J3228)</f>
        <v>0.64288028015930665</v>
      </c>
      <c r="K3334" s="147">
        <f>IF(K3333-K3169-K3281+K3228&gt;0,(1-'Assumptions (Oil G&amp;T)'!J$79)*(K3333-K3169-K3281+K3228)-K3175+K3176+K3281,K3333-K3169-K3175+K3176+K3228)</f>
        <v>0.46024508707605549</v>
      </c>
      <c r="L3334" s="147">
        <f>IF(L3333-L3169-L3281+L3228&gt;0,(1-'Assumptions (Oil G&amp;T)'!K$79)*(L3333-L3169-L3281+L3228)-L3175+L3176+L3281,L3333-L3169-L3175+L3176+L3228)</f>
        <v>1.1877042160416156</v>
      </c>
      <c r="M3334" s="147">
        <f>IF(M3333-M3169-M3281+M3228&gt;0,(1-'Assumptions (Oil G&amp;T)'!L$79)*(M3333-M3169-M3281+M3228)-M3175+M3176+M3281,M3333-M3169-M3175+M3176+M3228)</f>
        <v>-0.65856385415512175</v>
      </c>
      <c r="N3334" s="147">
        <f>IF(N3333-N3169-N3281+N3228&gt;0,(1-'Assumptions (Oil G&amp;T)'!M$79)*(N3333-N3169-N3281+N3228)-N3175+N3176+N3281,N3333-N3169-N3175+N3176+N3228)</f>
        <v>2.163037664828225</v>
      </c>
      <c r="O3334" s="147">
        <f>IF(O3333-O3169-O3281+O3228&gt;0,(1-'Assumptions (Oil G&amp;T)'!N$79)*(O3333-O3169-O3281+O3228)-O3175+O3176+O3281,O3333-O3169-O3175+O3176+O3228)</f>
        <v>1.3949125287639967</v>
      </c>
      <c r="P3334" s="147">
        <f>IF(P3333-P3169-P3281+P3228&gt;0,(1-'Assumptions (Oil G&amp;T)'!O$79)*(P3333-P3169-P3281+P3228)-P3175+P3176+P3281,P3333-P3169-P3175+P3176+P3228)</f>
        <v>-2.5667263945992054</v>
      </c>
      <c r="Q3334" s="147">
        <f>IF(Q3333-Q3169-Q3281+Q3228&gt;0,(1-'Assumptions (Oil G&amp;T)'!P$79)*(Q3333-Q3169-Q3281+Q3228)-Q3175+Q3176+Q3281,Q3333-Q3169-Q3175+Q3176+Q3228)</f>
        <v>-3.9999884224950062</v>
      </c>
      <c r="R3334" s="147">
        <f>IF(R3333-R3169-R3281+R3228&gt;0,(1-'Assumptions (Oil G&amp;T)'!Q$79)*(R3333-R3169-R3281+R3228)-R3175+R3176+R3281,R3333-R3169-R3175+R3176+R3228)</f>
        <v>-0.58718746932444432</v>
      </c>
      <c r="S3334" s="147">
        <f>IF(S3333-S3169-S3281+S3228&gt;0,(1-'Assumptions (Oil G&amp;T)'!R$79)*(S3333-S3169-S3281+S3228)-S3175+S3176+S3281,S3333-S3169-S3175+S3176+S3228)</f>
        <v>2.4251114366495079</v>
      </c>
      <c r="T3334" s="147">
        <f>IF(T3333-T3169-T3281+T3228&gt;0,(1-'Assumptions (Oil G&amp;T)'!S$79)*(T3333-T3169-T3281+T3228)-T3175+T3176+T3281,T3333-T3169-T3175+T3176+T3228)</f>
        <v>-0.60393913325848114</v>
      </c>
      <c r="U3334" s="147">
        <f>IF(U3333-U3169-U3281+U3228&gt;0,(1-'Assumptions (Oil G&amp;T)'!T$79)*(U3333-U3169-U3281+U3228)-U3175+U3176+U3281,U3333-U3169-U3175+U3176+U3228)</f>
        <v>1.9942380936700017</v>
      </c>
      <c r="V3334" s="147">
        <f>IF(V3333-V3169-V3281+V3228&gt;0,(1-'Assumptions (Oil G&amp;T)'!U$79)*(V3333-V3169-V3281+V3228)-V3175+V3176+V3281,V3333-V3169-V3175+V3176+V3228)</f>
        <v>3.3969436613742454</v>
      </c>
      <c r="W3334" s="147">
        <f>IF(W3333-W3169-W3281+W3228&gt;0,(1-'Assumptions (Oil G&amp;T)'!V$79)*(W3333-W3169-W3281+W3228)-W3175+W3176+W3281,W3333-W3169-W3175+W3176+W3228)</f>
        <v>4.2863923870267904</v>
      </c>
      <c r="X3334" s="147">
        <f>IF(X3333-X3169-X3281+X3228&gt;0,(1-'Assumptions (Oil G&amp;T)'!W$79)*(X3333-X3169-X3281+X3228)-X3175+X3176+X3281,X3333-X3169-X3175+X3176+X3228)</f>
        <v>4.2553445073861029</v>
      </c>
      <c r="Y3334" s="147">
        <f>IF(Y3333-Y3169-Y3281+Y3228&gt;0,(1-'Assumptions (Oil G&amp;T)'!X$79)*(Y3333-Y3169-Y3281+Y3228)-Y3175+Y3176+Y3281,Y3333-Y3169-Y3175+Y3176+Y3228)</f>
        <v>3.6470327884091382</v>
      </c>
      <c r="Z3334" s="147">
        <f>IF(Z3333-Z3169-Z3281+Z3228&gt;0,(1-'Assumptions (Oil G&amp;T)'!Y$79)*(Z3333-Z3169-Z3281+Z3228)-Z3175+Z3176+Z3281,Z3333-Z3169-Z3175+Z3176+Z3228)</f>
        <v>2.8504375678190499</v>
      </c>
      <c r="AA3334" s="147">
        <f>IF(AA3333-AA3169-AA3281+AA3228&gt;0,(1-'Assumptions (Oil G&amp;T)'!Z$79)*(AA3333-AA3169-AA3281+AA3228)-AA3175+AA3176+AA3281,AA3333-AA3169-AA3175+AA3176+AA3228)</f>
        <v>2.419635678021347</v>
      </c>
      <c r="AB3334" s="147">
        <f>IF(AB3333-AB3169-AB3281+AB3228&gt;0,(1-'Assumptions (Oil G&amp;T)'!AA$79)*(AB3333-AB3169-AB3281+AB3228)-AB3175+AB3176+AB3281,AB3333-AB3169-AB3175+AB3176+AB3228)</f>
        <v>1.9814752898615335</v>
      </c>
      <c r="AC3334" s="147">
        <f>IF(AC3333-AC3169-AC3281+AC3228&gt;0,(1-'Assumptions (Oil G&amp;T)'!AB$79)*(AC3333-AC3169-AC3281+AC3228)-AC3175+AC3176+AC3281,AC3333-AC3169-AC3175+AC3176+AC3228)</f>
        <v>1.5083849639307356</v>
      </c>
      <c r="AD3334" s="147">
        <f>IF(AD3333-AD3169-AD3281+AD3228&gt;0,(1-'Assumptions (Oil G&amp;T)'!AC$79)*(AD3333-AD3169-AD3281+AD3228)-AD3175+AD3176+AD3281,AD3333-AD3169-AD3175+AD3176+AD3228)</f>
        <v>1.3392226254409572</v>
      </c>
      <c r="AE3334" s="147">
        <f>IF(AE3333-AE3169-AE3281+AE3228&gt;0,(1-'Assumptions (Oil G&amp;T)'!AD$79)*(AE3333-AE3169-AE3281+AE3228)-AE3175+AE3176+AE3281,AE3333-AE3169-AE3175+AE3176+AE3228)</f>
        <v>1.3056710496054933</v>
      </c>
      <c r="AF3334" s="147">
        <f>IF(AF3333-AF3169-AF3281+AF3228&gt;0,(1-'Assumptions (Oil G&amp;T)'!AE$79)*(AF3333-AF3169-AF3281+AF3228)-AF3175+AF3176+AF3281,AF3333-AF3169-AF3175+AF3176+AF3228)</f>
        <v>1.8818799848854297</v>
      </c>
      <c r="AG3334" s="147">
        <f>IF(AG3333-AG3169-AG3281+AG3228&gt;0,(1-'Assumptions (Oil G&amp;T)'!AF$79)*(AG3333-AG3169-AG3281+AG3228)-AG3175+AG3176+AG3281,AG3333-AG3169-AG3175+AG3176+AG3228)</f>
        <v>1.9841950583747696</v>
      </c>
      <c r="AH3334" s="147">
        <f>IF(AH3333-AH3169-AH3281+AH3228&gt;0,(1-'Assumptions (Oil G&amp;T)'!AG$79)*(AH3333-AH3169-AH3281+AH3228)-AH3175+AH3176+AH3281,AH3333-AH3169-AH3175+AH3176+AH3228)</f>
        <v>1.5621416863696105</v>
      </c>
      <c r="AI3334" s="147">
        <f>IF(AI3333-AI3169-AI3281+AI3228&gt;0,(1-'Assumptions (Oil G&amp;T)'!AH$79)*(AI3333-AI3169-AI3281+AI3228)-AI3175+AI3176+AI3281,AI3333-AI3169-AI3175+AI3176+AI3228)</f>
        <v>1.3422019045176938</v>
      </c>
      <c r="AJ3334" s="147">
        <f>IF(AJ3333-AJ3169-AJ3281+AJ3228&gt;0,(1-'Assumptions (Oil G&amp;T)'!AI$79)*(AJ3333-AJ3169-AJ3281+AJ3228)-AJ3175+AJ3176+AJ3281,AJ3333-AJ3169-AJ3175+AJ3176+AJ3228)</f>
        <v>1.1016292755872108</v>
      </c>
      <c r="AK3334" s="147">
        <f>IF(AK3333-AK3169-AK3281+AK3228&gt;0,(1-'Assumptions (Oil G&amp;T)'!AJ$79)*(AK3333-AK3169-AK3281+AK3228)-AK3175+AK3176+AK3281,AK3333-AK3169-AK3175+AK3176+AK3228)</f>
        <v>0.93599725439586123</v>
      </c>
      <c r="AL3334" s="147">
        <f>IF(AL3333-AL3169-AL3281+AL3228&gt;0,(1-'Assumptions (Oil G&amp;T)'!AK$79)*(AL3333-AL3169-AL3281+AL3228)-AL3175+AL3176+AL3281,AL3333-AL3169-AL3175+AL3176+AL3228)</f>
        <v>0.6687525398499794</v>
      </c>
      <c r="AM3334" s="147">
        <f>IF(AM3333-AM3169-AM3281+AM3228&gt;0,(1-'Assumptions (Oil G&amp;T)'!AL$79)*(AM3333-AM3169-AM3281+AM3228)-AM3175+AM3176+AM3281,AM3333-AM3169-AM3175+AM3176+AM3228)</f>
        <v>0.42227524529841531</v>
      </c>
      <c r="AN3334" s="147">
        <f>IF(AN3333-AN3169-AN3281+AN3228&gt;0,(1-'Assumptions (Oil G&amp;T)'!AM$79)*(AN3333-AN3169-AN3281+AN3228)-AN3175+AN3176+AN3281,AN3333-AN3169-AN3175+AN3176+AN3228)</f>
        <v>0.14792637183610324</v>
      </c>
      <c r="AO3334" s="147">
        <f>IF(AO3333-AO3169-AO3281+AO3228&gt;0,(1-'Assumptions (Oil G&amp;T)'!AN$79)*(AO3333-AO3169-AO3281+AO3228)-AO3175+AO3176+AO3281,AO3333-AO3169-AO3175+AO3176+AO3228)</f>
        <v>-4.8208771591173871E-2</v>
      </c>
      <c r="AP3334" s="147">
        <f>IF(AP3333-AP3169-AP3281+AP3228&gt;0,(1-'Assumptions (Oil G&amp;T)'!AO$79)*(AP3333-AP3169-AP3281+AP3228)-AP3175+AP3176+AP3281,AP3333-AP3169-AP3175+AP3176+AP3228)</f>
        <v>-0.25712528221691855</v>
      </c>
      <c r="AQ3334" s="147">
        <f>IF(AQ3333-AQ3169-AQ3281+AQ3228&gt;0,(1-'Assumptions (Oil G&amp;T)'!AP$79)*(AQ3333-AQ3169-AQ3281+AQ3228)-AQ3175+AQ3176+AQ3281,AQ3333-AQ3169-AQ3175+AQ3176+AQ3228)</f>
        <v>-0.49400197872918916</v>
      </c>
      <c r="AR3334" s="147">
        <f>IF(AR3333-AR3169-AR3281+AR3228&gt;0,(1-'Assumptions (Oil G&amp;T)'!AQ$79)*(AR3333-AR3169-AR3281+AR3228)-AR3175+AR3176+AR3281,AR3333-AR3169-AR3175+AR3176+AR3228)</f>
        <v>-0.55125052735469104</v>
      </c>
      <c r="AS3334" s="147">
        <f>IF(AS3333-AS3169-AS3281+AS3228&gt;0,(1-'Assumptions (Oil G&amp;T)'!AR$79)*(AS3333-AS3169-AS3281+AS3228)-AS3175+AS3176+AS3281,AS3333-AS3169-AS3175+AS3176+AS3228)</f>
        <v>-0.69534280681853211</v>
      </c>
      <c r="AT3334" s="147">
        <f>IF(AT3333-AT3169-AT3281+AT3228&gt;0,(1-'Assumptions (Oil G&amp;T)'!AS$79)*(AT3333-AT3169-AT3281+AT3228)-AT3175+AT3176+AT3281,AT3333-AT3169-AT3175+AT3176+AT3228)</f>
        <v>-0.92266999057933496</v>
      </c>
      <c r="AU3334" s="147">
        <f>IF(AU3333-AU3169-AU3281+AU3228&gt;0,(1-'Assumptions (Oil G&amp;T)'!AT$79)*(AU3333-AU3169-AU3281+AU3228)-AU3175+AU3176+AU3281,AU3333-AU3169-AU3175+AU3176+AU3228)</f>
        <v>-1.1260094362461288</v>
      </c>
      <c r="AV3334" s="147">
        <f>IF(AV3333-AV3169-AV3281+AV3228&gt;0,(1-'Assumptions (Oil G&amp;T)'!AU$79)*(AV3333-AV3169-AV3281+AV3228)-AV3175+AV3176+AV3281,AV3333-AV3169-AV3175+AV3176+AV3228)</f>
        <v>-1.510077615826205</v>
      </c>
      <c r="AW3334" s="147">
        <f>IF(AW3333-AW3169-AW3281+AW3228&gt;0,(1-'Assumptions (Oil G&amp;T)'!AV$79)*(AW3333-AW3169-AW3281+AW3228)-AW3175+AW3176+AW3281,AW3333-AW3169-AW3175+AW3176+AW3228)</f>
        <v>-1.7877299687477475</v>
      </c>
      <c r="AX3334" s="147">
        <f>IF(AX3333-AX3169-AX3281+AX3228&gt;0,(1-'Assumptions (Oil G&amp;T)'!AW$79)*(AX3333-AX3169-AX3281+AX3228)-AX3175+AX3176+AX3281,AX3333-AX3169-AX3175+AX3176+AX3228)</f>
        <v>-1.9907093496460799</v>
      </c>
      <c r="AY3334" s="147">
        <f>IF(AY3333-AY3169-AY3281+AY3228&gt;0,(1-'Assumptions (Oil G&amp;T)'!AX$79)*(AY3333-AY3169-AY3281+AY3228)-AY3175+AY3176+AY3281,AY3333-AY3169-AY3175+AY3176+AY3228)</f>
        <v>-2.1891147704406304</v>
      </c>
      <c r="AZ3334" s="147">
        <f>IF(AZ3333-AZ3169-AZ3281+AZ3228&gt;0,(1-'Assumptions (Oil G&amp;T)'!AY$79)*(AZ3333-AZ3169-AZ3281+AZ3228)-AZ3175+AZ3176+AZ3281,AZ3333-AZ3169-AZ3175+AZ3176+AZ3228)</f>
        <v>-2.596088696123207</v>
      </c>
      <c r="BA3334" s="147">
        <f>IF(BA3333-BA3169-BA3281+BA3228&gt;0,(1-'Assumptions (Oil G&amp;T)'!AZ$79)*(BA3333-BA3169-BA3281+BA3228)-BA3175+BA3176+BA3281,BA3333-BA3169-BA3175+BA3176+BA3228)</f>
        <v>-2.7979258409329102</v>
      </c>
    </row>
    <row r="3335" spans="1:77" ht="15.75" customHeight="1">
      <c r="A3335" s="468" t="s">
        <v>840</v>
      </c>
      <c r="B3335" s="99" t="s">
        <v>201</v>
      </c>
      <c r="C3335" s="147">
        <f>IF(C3333-C3169-C3281-C3228&gt;0,'Assumptions (Oil G&amp;T)'!B$79*(C3333-C3169-C3281+C3228),0)</f>
        <v>0.99253869597496269</v>
      </c>
      <c r="D3335" s="147">
        <f>IF(D3333-D3169-D3281-D3228&gt;0,'Assumptions (Oil G&amp;T)'!C$79*(D3333-D3169-D3281+D3228),0)</f>
        <v>0.95407116904965594</v>
      </c>
      <c r="E3335" s="147">
        <f>IF(E3333-E3169-E3281-E3228&gt;0,'Assumptions (Oil G&amp;T)'!D$79*(E3333-E3169-E3281+E3228),0)</f>
        <v>0.90329804850773043</v>
      </c>
      <c r="F3335" s="147">
        <f>IF(F3333-F3169-F3281-F3228&gt;0,'Assumptions (Oil G&amp;T)'!E$79*(F3333-F3169-F3281+F3228),0)</f>
        <v>0.720780068424274</v>
      </c>
      <c r="G3335" s="147">
        <f>IF(G3333-G3169-G3281-G3228&gt;0,'Assumptions (Oil G&amp;T)'!F$79*(G3333-G3169-G3281+G3228),0)</f>
        <v>1.3420790642016882</v>
      </c>
      <c r="H3335" s="147">
        <f>IF(H3333-H3169-H3281-H3228&gt;0,'Assumptions (Oil G&amp;T)'!G$79*(H3333-H3169-H3281+H3228),0)</f>
        <v>1.3605453095794064</v>
      </c>
      <c r="I3335" s="147">
        <f>IF(I3333-I3169-I3281-I3228&gt;0,'Assumptions (Oil G&amp;T)'!H$79*(I3333-I3169-I3281+I3228),0)</f>
        <v>1.2065926332003372</v>
      </c>
      <c r="J3335" s="147">
        <f>IF(J3333-J3169-J3281-J3228&gt;0,'Assumptions (Oil G&amp;T)'!I$79*(J3333-J3169-J3281+J3228),0)</f>
        <v>1.1872311224369274</v>
      </c>
      <c r="K3335" s="147">
        <f>IF(K3333-K3169-K3281-K3228&gt;0,'Assumptions (Oil G&amp;T)'!J$79*(K3333-K3169-K3281+K3228),0)</f>
        <v>1.0884239437641037</v>
      </c>
      <c r="L3335" s="147">
        <f>IF(L3333-L3169-L3281-L3228&gt;0,'Assumptions (Oil G&amp;T)'!K$79*(L3333-L3169-L3281+L3228),0)</f>
        <v>1.180750345159751</v>
      </c>
      <c r="M3335" s="147">
        <f>IF(M3333-M3169-M3281-M3228&gt;0,'Assumptions (Oil G&amp;T)'!L$79*(M3333-M3169-M3281+M3228),0)</f>
        <v>0.95313784132304047</v>
      </c>
      <c r="N3335" s="147">
        <f>IF(N3333-N3169-N3281-N3228&gt;0,'Assumptions (Oil G&amp;T)'!M$79*(N3333-N3169-N3281+N3228),0)</f>
        <v>1.5543882003755178</v>
      </c>
      <c r="O3335" s="147">
        <f>IF(O3333-O3169-O3281-O3228&gt;0,'Assumptions (Oil G&amp;T)'!N$79*(O3333-O3169-O3281+O3228),0)</f>
        <v>1.8870617022255052</v>
      </c>
      <c r="P3335" s="147">
        <f>IF(P3333-P3169-P3281-P3228&gt;0,'Assumptions (Oil G&amp;T)'!O$79*(P3333-P3169-P3281+P3228),0)</f>
        <v>1.6677726842793508</v>
      </c>
      <c r="Q3335" s="147">
        <f>IF(Q3333-Q3169-Q3281-Q3228&gt;0,'Assumptions (Oil G&amp;T)'!P$79*(Q3333-Q3169-Q3281+Q3228),0)</f>
        <v>1.9938834976288191</v>
      </c>
      <c r="R3335" s="147">
        <f>IF(R3333-R3169-R3281-R3228&gt;0,'Assumptions (Oil G&amp;T)'!Q$79*(R3333-R3169-R3281+R3228),0)</f>
        <v>2.1497906208928002</v>
      </c>
      <c r="S3335" s="147">
        <f>IF(S3333-S3169-S3281-S3228&gt;0,'Assumptions (Oil G&amp;T)'!R$79*(S3333-S3169-S3281+S3228),0)</f>
        <v>2.090101197271065</v>
      </c>
      <c r="T3335" s="147">
        <f>IF(T3333-T3169-T3281-T3228&gt;0,'Assumptions (Oil G&amp;T)'!S$79*(T3333-T3169-T3281+T3228),0)</f>
        <v>1.7511008172966649</v>
      </c>
      <c r="U3335" s="147">
        <f>IF(U3333-U3169-U3281-U3228&gt;0,'Assumptions (Oil G&amp;T)'!T$79*(U3333-U3169-U3281+U3228),0)</f>
        <v>1.6432567376453864</v>
      </c>
      <c r="V3335" s="147">
        <f>IF(V3333-V3169-V3281-V3228&gt;0,'Assumptions (Oil G&amp;T)'!U$79*(V3333-V3169-V3281+V3228),0)</f>
        <v>2.0231070230775634</v>
      </c>
      <c r="W3335" s="147">
        <f>IF(W3333-W3169-W3281-W3228&gt;0,'Assumptions (Oil G&amp;T)'!V$79*(W3333-W3169-W3281+W3228),0)</f>
        <v>2.2627435534816427</v>
      </c>
      <c r="X3335" s="147">
        <f>IF(X3333-X3169-X3281-X3228&gt;0,'Assumptions (Oil G&amp;T)'!W$79*(X3333-X3169-X3281+X3228),0)</f>
        <v>2.2497485292099779</v>
      </c>
      <c r="Y3335" s="147">
        <f>IF(Y3333-Y3169-Y3281-Y3228&gt;0,'Assumptions (Oil G&amp;T)'!X$79*(Y3333-Y3169-Y3281+Y3228),0)</f>
        <v>2.0226294966606386</v>
      </c>
      <c r="Z3335" s="147">
        <f>IF(Z3333-Z3169-Z3281-Z3228&gt;0,'Assumptions (Oil G&amp;T)'!Y$79*(Z3333-Z3169-Z3281+Z3228),0)</f>
        <v>1.7481791620224179</v>
      </c>
      <c r="AA3335" s="147">
        <f>IF(AA3333-AA3169-AA3281-AA3228&gt;0,'Assumptions (Oil G&amp;T)'!Z$79*(AA3333-AA3169-AA3281+AA3228),0)</f>
        <v>1.6380856721948331</v>
      </c>
      <c r="AB3335" s="147">
        <f>IF(AB3333-AB3169-AB3281-AB3228&gt;0,'Assumptions (Oil G&amp;T)'!AA$79*(AB3333-AB3169-AB3281+AB3228),0)</f>
        <v>1.4747172809996667</v>
      </c>
      <c r="AC3335" s="147">
        <f>IF(AC3333-AC3169-AC3281-AC3228&gt;0,'Assumptions (Oil G&amp;T)'!AB$79*(AC3333-AC3169-AC3281+AC3228),0)</f>
        <v>1.3905692931981783</v>
      </c>
      <c r="AD3335" s="147">
        <f>IF(AD3333-AD3169-AD3281-AD3228&gt;0,'Assumptions (Oil G&amp;T)'!AC$79*(AD3333-AD3169-AD3281+AD3228),0)</f>
        <v>1.3577553016364956</v>
      </c>
      <c r="AE3335" s="147">
        <f>IF(AE3333-AE3169-AE3281-AE3228&gt;0,'Assumptions (Oil G&amp;T)'!AD$79*(AE3333-AE3169-AE3281+AE3228),0)</f>
        <v>1.2052843133566846</v>
      </c>
      <c r="AF3335" s="147">
        <f>IF(AF3333-AF3169-AF3281-AF3228&gt;0,'Assumptions (Oil G&amp;T)'!AE$79*(AF3333-AF3169-AF3281+AF3228),0)</f>
        <v>1.0996291041103559</v>
      </c>
      <c r="AG3335" s="147">
        <f>IF(AG3333-AG3169-AG3281-AG3228&gt;0,'Assumptions (Oil G&amp;T)'!AF$79*(AG3333-AG3169-AG3281+AG3228),0)</f>
        <v>0.98294454613084414</v>
      </c>
      <c r="AH3335" s="147">
        <f>IF(AH3333-AH3169-AH3281-AH3228&gt;0,'Assumptions (Oil G&amp;T)'!AG$79*(AH3333-AH3169-AH3281+AH3228),0)</f>
        <v>0.85312485777571645</v>
      </c>
      <c r="AI3335" s="147">
        <f>IF(AI3333-AI3169-AI3281-AI3228&gt;0,'Assumptions (Oil G&amp;T)'!AH$79*(AI3333-AI3169-AI3281+AI3228),0)</f>
        <v>0.66749405793608152</v>
      </c>
      <c r="AJ3335" s="147">
        <f>IF(AJ3333-AJ3169-AJ3281-AJ3228&gt;0,'Assumptions (Oil G&amp;T)'!AI$79*(AJ3333-AJ3169-AJ3281+AJ3228),0)</f>
        <v>0.52871623917021038</v>
      </c>
      <c r="AK3335" s="147">
        <f>IF(AK3333-AK3169-AK3281-AK3228&gt;0,'Assumptions (Oil G&amp;T)'!AJ$79*(AK3333-AK3169-AK3281+AK3228),0)</f>
        <v>0.49427335119216897</v>
      </c>
      <c r="AL3335" s="147">
        <f>IF(AL3333-AL3169-AL3281-AL3228&gt;0,'Assumptions (Oil G&amp;T)'!AK$79*(AL3333-AL3169-AL3281+AL3228),0)</f>
        <v>0.42296917468351602</v>
      </c>
      <c r="AM3335" s="147">
        <f>IF(AM3333-AM3169-AM3281-AM3228&gt;0,'Assumptions (Oil G&amp;T)'!AL$79*(AM3333-AM3169-AM3281+AM3228),0)</f>
        <v>0.275297855609973</v>
      </c>
      <c r="AN3335" s="147">
        <f>IF(AN3333-AN3169-AN3281-AN3228&gt;0,'Assumptions (Oil G&amp;T)'!AM$79*(AN3333-AN3169-AN3281+AN3228),0)</f>
        <v>0.11531612470175112</v>
      </c>
      <c r="AO3335" s="147">
        <f>IF(AO3333-AO3169-AO3281-AO3228&gt;0,'Assumptions (Oil G&amp;T)'!AN$79*(AO3333-AO3169-AO3281+AO3228),0)</f>
        <v>2.7755253190918816E-2</v>
      </c>
      <c r="AP3335" s="147">
        <f>IF(AP3333-AP3169-AP3281-AP3228&gt;0,'Assumptions (Oil G&amp;T)'!AO$79*(AP3333-AP3169-AP3281+AP3228),0)</f>
        <v>-3.8661949950292998E-2</v>
      </c>
      <c r="AQ3335" s="147">
        <f>IF(AQ3333-AQ3169-AQ3281-AQ3228&gt;0,'Assumptions (Oil G&amp;T)'!AP$79*(AQ3333-AQ3169-AQ3281+AQ3228),0)</f>
        <v>-9.8037906963522173E-2</v>
      </c>
      <c r="AR3335" s="147">
        <f>IF(AR3333-AR3169-AR3281-AR3228&gt;0,'Assumptions (Oil G&amp;T)'!AQ$79*(AR3333-AR3169-AR3281+AR3228),0)</f>
        <v>-0.11336722979860063</v>
      </c>
      <c r="AS3335" s="147">
        <f>IF(AS3333-AS3169-AS3281-AS3228&gt;0,'Assumptions (Oil G&amp;T)'!AR$79*(AS3333-AS3169-AS3281+AS3228),0)</f>
        <v>-0.14976087801462448</v>
      </c>
      <c r="AT3335" s="147">
        <f>IF(AT3333-AT3169-AT3281-AT3228&gt;0,'Assumptions (Oil G&amp;T)'!AS$79*(AT3333-AT3169-AT3281+AT3228),0)</f>
        <v>-0.20555581382380531</v>
      </c>
      <c r="AU3335" s="147">
        <f>IF(AU3333-AU3169-AU3281-AU3228&gt;0,'Assumptions (Oil G&amp;T)'!AT$79*(AU3333-AU3169-AU3281+AU3228),0)</f>
        <v>-0.25623050870878039</v>
      </c>
      <c r="AV3335" s="147">
        <f>IF(AV3333-AV3169-AV3281-AV3228&gt;0,'Assumptions (Oil G&amp;T)'!AU$79*(AV3333-AV3169-AV3281+AV3228),0)</f>
        <v>-0.34855591264318003</v>
      </c>
      <c r="AW3335" s="147">
        <f>IF(AW3333-AW3169-AW3281-AW3228&gt;0,'Assumptions (Oil G&amp;T)'!AV$79*(AW3333-AW3169-AW3281+AW3228),0)</f>
        <v>-0.41573293160376174</v>
      </c>
      <c r="AX3335" s="147">
        <f>IF(AX3333-AX3169-AX3281-AX3228&gt;0,'Assumptions (Oil G&amp;T)'!AW$79*(AX3333-AX3169-AX3281+AX3228),0)</f>
        <v>-0.46393488235000385</v>
      </c>
      <c r="AY3335" s="147">
        <f>IF(AY3333-AY3169-AY3281-AY3228&gt;0,'Assumptions (Oil G&amp;T)'!AX$79*(AY3333-AY3169-AY3281+AY3228),0)</f>
        <v>-0.50986702115593641</v>
      </c>
      <c r="AZ3335" s="147">
        <f>IF(AZ3333-AZ3169-AZ3281-AZ3228&gt;0,'Assumptions (Oil G&amp;T)'!AY$79*(AZ3333-AZ3169-AZ3281+AZ3228),0)</f>
        <v>-0.60400409226351848</v>
      </c>
      <c r="BA3335" s="147">
        <f>IF(BA3333-BA3169-BA3281-BA3228&gt;0,'Assumptions (Oil G&amp;T)'!AZ$79*(BA3333-BA3169-BA3281+BA3228),0)</f>
        <v>-0.64897032928648568</v>
      </c>
    </row>
    <row r="3336" spans="1:77" ht="15.75" customHeight="1">
      <c r="A3336" s="471" t="s">
        <v>890</v>
      </c>
      <c r="B3336" s="99"/>
      <c r="C3336" s="147"/>
      <c r="D3336" s="147"/>
      <c r="E3336" s="147"/>
      <c r="F3336" s="147"/>
      <c r="G3336" s="147"/>
      <c r="H3336" s="147"/>
      <c r="I3336" s="147"/>
      <c r="J3336" s="147"/>
      <c r="K3336" s="147"/>
      <c r="L3336" s="147"/>
      <c r="M3336" s="147"/>
      <c r="N3336" s="147"/>
      <c r="O3336" s="147"/>
      <c r="P3336" s="147"/>
      <c r="Q3336" s="147"/>
      <c r="R3336" s="147"/>
      <c r="S3336" s="147"/>
      <c r="T3336" s="147"/>
      <c r="U3336" s="147"/>
      <c r="V3336" s="147"/>
      <c r="W3336" s="147"/>
      <c r="X3336" s="147"/>
      <c r="Y3336" s="147"/>
      <c r="Z3336" s="147"/>
      <c r="AA3336" s="147"/>
      <c r="AB3336" s="147"/>
      <c r="AC3336" s="147"/>
      <c r="AD3336" s="147"/>
      <c r="AE3336" s="147"/>
      <c r="AF3336" s="147"/>
      <c r="AG3336" s="147"/>
      <c r="AH3336" s="147"/>
      <c r="AI3336" s="147"/>
      <c r="AJ3336" s="147"/>
      <c r="AK3336" s="147"/>
      <c r="AL3336" s="147"/>
      <c r="AM3336" s="147"/>
      <c r="AN3336" s="147"/>
      <c r="AO3336" s="147"/>
      <c r="AP3336" s="147"/>
      <c r="AQ3336" s="147"/>
      <c r="AR3336" s="147"/>
      <c r="AS3336" s="147"/>
      <c r="AT3336" s="147"/>
      <c r="AU3336" s="147"/>
      <c r="AV3336" s="147"/>
      <c r="AW3336" s="147"/>
      <c r="AX3336" s="147"/>
      <c r="AY3336" s="147"/>
      <c r="AZ3336" s="147"/>
      <c r="BA3336" s="147"/>
    </row>
    <row r="3337" spans="1:77" ht="15.75" customHeight="1">
      <c r="A3337" s="472" t="s">
        <v>851</v>
      </c>
      <c r="B3337" s="99" t="s">
        <v>201</v>
      </c>
      <c r="C3337" s="147">
        <f>'Assumptions (O&amp;G Upstream)'!C188</f>
        <v>45.605050486855163</v>
      </c>
      <c r="D3337" s="147">
        <f>'Assumptions (O&amp;G Upstream)'!D188</f>
        <v>45.910998798775481</v>
      </c>
      <c r="E3337" s="147">
        <f>'Assumptions (O&amp;G Upstream)'!E188</f>
        <v>45.051820344287187</v>
      </c>
      <c r="F3337" s="147">
        <f>'Assumptions (O&amp;G Upstream)'!F188</f>
        <v>47.199276245962736</v>
      </c>
      <c r="G3337" s="147">
        <f>'Assumptions (O&amp;G Upstream)'!G188</f>
        <v>49.520839734306762</v>
      </c>
      <c r="H3337" s="147">
        <f>'Assumptions (O&amp;G Upstream)'!H188</f>
        <v>55.639546657260148</v>
      </c>
      <c r="I3337" s="147">
        <f>'Assumptions (O&amp;G Upstream)'!I188</f>
        <v>56.929564935454096</v>
      </c>
      <c r="J3337" s="147">
        <f>'Assumptions (O&amp;G Upstream)'!J188</f>
        <v>66.313007751682989</v>
      </c>
      <c r="K3337" s="147">
        <f>'Assumptions (O&amp;G Upstream)'!K188</f>
        <v>81.863606098110012</v>
      </c>
      <c r="L3337" s="147">
        <f>'Assumptions (O&amp;G Upstream)'!L188</f>
        <v>78.028653026315794</v>
      </c>
      <c r="M3337" s="147">
        <f>'Assumptions (O&amp;G Upstream)'!M188</f>
        <v>74.959402054561394</v>
      </c>
      <c r="N3337" s="147">
        <f>'Assumptions (O&amp;G Upstream)'!N188</f>
        <v>87.667444738421054</v>
      </c>
      <c r="O3337" s="147">
        <f>'Assumptions (O&amp;G Upstream)'!O188</f>
        <v>89.012528023157884</v>
      </c>
      <c r="P3337" s="147">
        <f>'Assumptions (O&amp;G Upstream)'!P188</f>
        <v>99.298666996491221</v>
      </c>
      <c r="Q3337" s="147">
        <f>'Assumptions (O&amp;G Upstream)'!Q188</f>
        <v>113.45372125140349</v>
      </c>
      <c r="R3337" s="147">
        <f>'Assumptions (O&amp;G Upstream)'!R188</f>
        <v>110.22873948210527</v>
      </c>
      <c r="S3337" s="147">
        <f>'Assumptions (O&amp;G Upstream)'!S188</f>
        <v>98.339293830964905</v>
      </c>
      <c r="T3337" s="147">
        <f>'Assumptions (O&amp;G Upstream)'!T188</f>
        <v>104.23036292763156</v>
      </c>
      <c r="U3337" s="147">
        <f>'Assumptions (O&amp;G Upstream)'!U188</f>
        <v>107.11961215789475</v>
      </c>
      <c r="V3337" s="147">
        <f>'Assumptions (O&amp;G Upstream)'!V188</f>
        <v>120.17735024610708</v>
      </c>
      <c r="W3337" s="147">
        <f>'Assumptions (O&amp;G Upstream)'!W188</f>
        <v>122.57725781979678</v>
      </c>
      <c r="X3337" s="147">
        <f>'Assumptions (O&amp;G Upstream)'!X188</f>
        <v>123.71029336957548</v>
      </c>
      <c r="Y3337" s="147">
        <f>'Assumptions (O&amp;G Upstream)'!Y188</f>
        <v>123.93621597651745</v>
      </c>
      <c r="Z3337" s="147">
        <f>'Assumptions (O&amp;G Upstream)'!Z188</f>
        <v>123.92647828521174</v>
      </c>
      <c r="AA3337" s="147">
        <f>'Assumptions (O&amp;G Upstream)'!AA188</f>
        <v>124.46262076940582</v>
      </c>
      <c r="AB3337" s="147">
        <f>'Assumptions (O&amp;G Upstream)'!AB188</f>
        <v>124.71444239767362</v>
      </c>
      <c r="AC3337" s="147">
        <f>'Assumptions (O&amp;G Upstream)'!AC188</f>
        <v>125.23306816116096</v>
      </c>
      <c r="AD3337" s="147">
        <f>'Assumptions (O&amp;G Upstream)'!AD188</f>
        <v>125.84260753871212</v>
      </c>
      <c r="AE3337" s="147">
        <f>'Assumptions (O&amp;G Upstream)'!AE188</f>
        <v>125.92966420208558</v>
      </c>
      <c r="AF3337" s="147">
        <f>'Assumptions (O&amp;G Upstream)'!AF188</f>
        <v>126.18487314276533</v>
      </c>
      <c r="AG3337" s="147">
        <f>'Assumptions (O&amp;G Upstream)'!AG188</f>
        <v>126.37150881188458</v>
      </c>
      <c r="AH3337" s="147">
        <f>'Assumptions (O&amp;G Upstream)'!AH188</f>
        <v>126.50696946560529</v>
      </c>
      <c r="AI3337" s="147">
        <f>'Assumptions (O&amp;G Upstream)'!AI188</f>
        <v>126.42002060316656</v>
      </c>
      <c r="AJ3337" s="147">
        <f>'Assumptions (O&amp;G Upstream)'!AJ188</f>
        <v>126.2653176185395</v>
      </c>
      <c r="AK3337" s="147">
        <f>'Assumptions (O&amp;G Upstream)'!AK188</f>
        <v>126.19794720157083</v>
      </c>
      <c r="AL3337" s="147">
        <f>'Assumptions (O&amp;G Upstream)'!AL188</f>
        <v>125.97829185256657</v>
      </c>
      <c r="AM3337" s="147">
        <f>'Assumptions (O&amp;G Upstream)'!AM188</f>
        <v>125.68817522169107</v>
      </c>
      <c r="AN3337" s="147">
        <f>'Assumptions (O&amp;G Upstream)'!AN188</f>
        <v>125.35111335679282</v>
      </c>
      <c r="AO3337" s="147">
        <f>'Assumptions (O&amp;G Upstream)'!AO188</f>
        <v>125.13231262909414</v>
      </c>
      <c r="AP3337" s="147">
        <f>'Assumptions (O&amp;G Upstream)'!AP188</f>
        <v>124.93919414421819</v>
      </c>
      <c r="AQ3337" s="147">
        <f>'Assumptions (O&amp;G Upstream)'!AQ188</f>
        <v>124.73642402316753</v>
      </c>
      <c r="AR3337" s="147">
        <f>'Assumptions (O&amp;G Upstream)'!AR188</f>
        <v>124.67778784265644</v>
      </c>
      <c r="AS3337" s="147">
        <f>'Assumptions (O&amp;G Upstream)'!AS188</f>
        <v>124.53084712421816</v>
      </c>
      <c r="AT3337" s="147">
        <f>'Assumptions (O&amp;G Upstream)'!AT188</f>
        <v>124.30424885861117</v>
      </c>
      <c r="AU3337" s="147">
        <f>'Assumptions (O&amp;G Upstream)'!AU188</f>
        <v>124.08827602821361</v>
      </c>
      <c r="AV3337" s="147">
        <f>'Assumptions (O&amp;G Upstream)'!AV188</f>
        <v>123.69608294236087</v>
      </c>
      <c r="AW3337" s="147">
        <f>'Assumptions (O&amp;G Upstream)'!AW188</f>
        <v>123.38642746354371</v>
      </c>
      <c r="AX3337" s="147">
        <f>'Assumptions (O&amp;G Upstream)'!AX188</f>
        <v>123.13886608674906</v>
      </c>
      <c r="AY3337" s="147">
        <f>'Assumptions (O&amp;G Upstream)'!AY188</f>
        <v>122.89070255736658</v>
      </c>
      <c r="AZ3337" s="147">
        <f>'Assumptions (O&amp;G Upstream)'!AZ188</f>
        <v>122.43035873467826</v>
      </c>
      <c r="BA3337" s="147">
        <f>'Assumptions (O&amp;G Upstream)'!BA188</f>
        <v>122.16100242094498</v>
      </c>
    </row>
    <row r="3338" spans="1:77" ht="15.75" customHeight="1">
      <c r="A3338" s="472" t="s">
        <v>290</v>
      </c>
      <c r="B3338" s="99" t="s">
        <v>201</v>
      </c>
      <c r="C3338" s="147">
        <f>'Assumptions (O&amp;G Upstream)'!C305</f>
        <v>31.1</v>
      </c>
      <c r="D3338" s="147">
        <f>'Assumptions (O&amp;G Upstream)'!D305</f>
        <v>41.7</v>
      </c>
      <c r="E3338" s="147">
        <f>'Assumptions (O&amp;G Upstream)'!E305</f>
        <v>33.799999999999997</v>
      </c>
      <c r="F3338" s="147">
        <f>'Assumptions (O&amp;G Upstream)'!F305</f>
        <v>44.7</v>
      </c>
      <c r="G3338" s="147">
        <f>'Assumptions (O&amp;G Upstream)'!G305</f>
        <v>51.7</v>
      </c>
      <c r="H3338" s="147">
        <f>'Assumptions (O&amp;G Upstream)'!H305</f>
        <v>71.7</v>
      </c>
      <c r="I3338" s="147">
        <f>'Assumptions (O&amp;G Upstream)'!I305</f>
        <v>98.8</v>
      </c>
      <c r="J3338" s="147">
        <f>'Assumptions (O&amp;G Upstream)'!J305</f>
        <v>108.1</v>
      </c>
      <c r="K3338" s="147">
        <f>'Assumptions (O&amp;G Upstream)'!K305</f>
        <v>125.3</v>
      </c>
      <c r="L3338" s="147">
        <f>'Assumptions (O&amp;G Upstream)'!L305</f>
        <v>87.2</v>
      </c>
      <c r="M3338" s="147">
        <f>'Assumptions (O&amp;G Upstream)'!M305</f>
        <v>103.1</v>
      </c>
      <c r="N3338" s="147">
        <f>'Assumptions (O&amp;G Upstream)'!N305</f>
        <v>130.19999999999999</v>
      </c>
      <c r="O3338" s="147">
        <f>'Assumptions (O&amp;G Upstream)'!O305</f>
        <v>162.69999999999999</v>
      </c>
      <c r="P3338" s="147">
        <f>'Assumptions (O&amp;G Upstream)'!P305</f>
        <v>170.6</v>
      </c>
      <c r="Q3338" s="147">
        <f>'Assumptions (O&amp;G Upstream)'!Q305</f>
        <v>203.9</v>
      </c>
      <c r="R3338" s="147">
        <f>'Assumptions (O&amp;G Upstream)'!R305</f>
        <v>149.6</v>
      </c>
      <c r="S3338" s="147">
        <f>'Assumptions (O&amp;G Upstream)'!S305</f>
        <v>79.900000000000006</v>
      </c>
      <c r="T3338" s="147">
        <f>'Assumptions (O&amp;G Upstream)'!T305</f>
        <v>112.3</v>
      </c>
      <c r="U3338" s="147">
        <f>'Assumptions (O&amp;G Upstream)'!U305</f>
        <v>168.51053225525459</v>
      </c>
      <c r="V3338" s="147">
        <f>'Assumptions (O&amp;G Upstream)'!V305</f>
        <v>189.6636614658</v>
      </c>
      <c r="W3338" s="147">
        <f>'Assumptions (O&amp;G Upstream)'!W305</f>
        <v>206.58208897460003</v>
      </c>
      <c r="X3338" s="147">
        <f>'Assumptions (O&amp;G Upstream)'!X305</f>
        <v>217.35143697939998</v>
      </c>
      <c r="Y3338" s="147">
        <f>'Assumptions (O&amp;G Upstream)'!Y305</f>
        <v>220.1246443718</v>
      </c>
      <c r="Z3338" s="147">
        <f>'Assumptions (O&amp;G Upstream)'!Z305</f>
        <v>224.9103731056</v>
      </c>
      <c r="AA3338" s="147">
        <f>'Assumptions (O&amp;G Upstream)'!AA305</f>
        <v>235.1595854338</v>
      </c>
      <c r="AB3338" s="147">
        <f>'Assumptions (O&amp;G Upstream)'!AB305</f>
        <v>243.40610194919998</v>
      </c>
      <c r="AC3338" s="147">
        <f>'Assumptions (O&amp;G Upstream)'!AC305</f>
        <v>252.54794460580001</v>
      </c>
      <c r="AD3338" s="147">
        <f>'Assumptions (O&amp;G Upstream)'!AD305</f>
        <v>262.81876997820001</v>
      </c>
      <c r="AE3338" s="147">
        <f>'Assumptions (O&amp;G Upstream)'!AE305</f>
        <v>269.17502899580001</v>
      </c>
      <c r="AF3338" s="147">
        <f>'Assumptions (O&amp;G Upstream)'!AF305</f>
        <v>277.06953699439998</v>
      </c>
      <c r="AG3338" s="147">
        <f>'Assumptions (O&amp;G Upstream)'!AG305</f>
        <v>283.76404788460002</v>
      </c>
      <c r="AH3338" s="147">
        <f>'Assumptions (O&amp;G Upstream)'!AH305</f>
        <v>291.14727620539998</v>
      </c>
      <c r="AI3338" s="147">
        <f>'Assumptions (O&amp;G Upstream)'!AI305</f>
        <v>296.05841487179998</v>
      </c>
      <c r="AJ3338" s="147">
        <f>'Assumptions (O&amp;G Upstream)'!AJ305</f>
        <v>303.59918571139997</v>
      </c>
      <c r="AK3338" s="147">
        <f>'Assumptions (O&amp;G Upstream)'!AK305</f>
        <v>308.1018894046</v>
      </c>
      <c r="AL3338" s="147">
        <f>'Assumptions (O&amp;G Upstream)'!AL305</f>
        <v>313.61077377679999</v>
      </c>
      <c r="AM3338" s="147">
        <f>'Assumptions (O&amp;G Upstream)'!AM305</f>
        <v>319.71105381559994</v>
      </c>
      <c r="AN3338" s="147">
        <f>'Assumptions (O&amp;G Upstream)'!AN305</f>
        <v>321.29826848779999</v>
      </c>
      <c r="AO3338" s="147">
        <f>'Assumptions (O&amp;G Upstream)'!AO305</f>
        <v>326.7825854916</v>
      </c>
      <c r="AP3338" s="147">
        <f>'Assumptions (O&amp;G Upstream)'!AP305</f>
        <v>331.75652220199999</v>
      </c>
      <c r="AQ3338" s="147">
        <f>'Assumptions (O&amp;G Upstream)'!AQ305</f>
        <v>338.38938304940001</v>
      </c>
      <c r="AR3338" s="147">
        <f>'Assumptions (O&amp;G Upstream)'!AR305</f>
        <v>344.28561146660002</v>
      </c>
      <c r="AS3338" s="147">
        <f>'Assumptions (O&amp;G Upstream)'!AS305</f>
        <v>351.57226056080003</v>
      </c>
      <c r="AT3338" s="147">
        <f>'Assumptions (O&amp;G Upstream)'!AT305</f>
        <v>356.2649177596</v>
      </c>
      <c r="AU3338" s="147">
        <f>'Assumptions (O&amp;G Upstream)'!AU305</f>
        <v>361.84472090679998</v>
      </c>
      <c r="AV3338" s="147">
        <f>'Assumptions (O&amp;G Upstream)'!AV305</f>
        <v>366.70617757780002</v>
      </c>
      <c r="AW3338" s="147">
        <f>'Assumptions (O&amp;G Upstream)'!AW305</f>
        <v>371.80518041819994</v>
      </c>
      <c r="AX3338" s="147">
        <f>'Assumptions (O&amp;G Upstream)'!AX305</f>
        <v>377.372298871</v>
      </c>
      <c r="AY3338" s="147">
        <f>'Assumptions (O&amp;G Upstream)'!AY305</f>
        <v>383.21368043979999</v>
      </c>
      <c r="AZ3338" s="147">
        <f>'Assumptions (O&amp;G Upstream)'!AZ305</f>
        <v>387.59423119499996</v>
      </c>
      <c r="BA3338" s="147">
        <f>'Assumptions (O&amp;G Upstream)'!BA305</f>
        <v>392.99659759159999</v>
      </c>
    </row>
    <row r="3339" spans="1:77" ht="15.75" customHeight="1">
      <c r="A3339" s="472" t="s">
        <v>52</v>
      </c>
      <c r="B3339" s="99" t="s">
        <v>201</v>
      </c>
      <c r="C3339" s="147">
        <f>C3338*'Assumptions (O&amp;G Upstream)'!$B$337</f>
        <v>18.66</v>
      </c>
      <c r="D3339" s="147">
        <f>D3338*'Assumptions (O&amp;G Upstream)'!$B$337</f>
        <v>25.02</v>
      </c>
      <c r="E3339" s="147">
        <f>E3338*'Assumptions (O&amp;G Upstream)'!$B$337</f>
        <v>20.279999999999998</v>
      </c>
      <c r="F3339" s="147">
        <f>F3338*'Assumptions (O&amp;G Upstream)'!$B$337</f>
        <v>26.82</v>
      </c>
      <c r="G3339" s="147">
        <f>G3338*'Assumptions (O&amp;G Upstream)'!$B$337</f>
        <v>31.02</v>
      </c>
      <c r="H3339" s="147">
        <f>H3338*'Assumptions (O&amp;G Upstream)'!$B$337</f>
        <v>43.02</v>
      </c>
      <c r="I3339" s="147">
        <f>I3338*'Assumptions (O&amp;G Upstream)'!$B$337</f>
        <v>59.279999999999994</v>
      </c>
      <c r="J3339" s="147">
        <f>J3338*'Assumptions (O&amp;G Upstream)'!$B$337</f>
        <v>64.86</v>
      </c>
      <c r="K3339" s="147">
        <f>K3338*'Assumptions (O&amp;G Upstream)'!$B$337</f>
        <v>75.179999999999993</v>
      </c>
      <c r="L3339" s="147">
        <f>L3338*'Assumptions (O&amp;G Upstream)'!$B$337</f>
        <v>52.32</v>
      </c>
      <c r="M3339" s="147">
        <f>M3338*'Assumptions (O&amp;G Upstream)'!$B$337</f>
        <v>61.859999999999992</v>
      </c>
      <c r="N3339" s="147">
        <f>N3338*'Assumptions (O&amp;G Upstream)'!$B$337</f>
        <v>78.11999999999999</v>
      </c>
      <c r="O3339" s="147">
        <f>O3338*'Assumptions (O&amp;G Upstream)'!$B$337</f>
        <v>97.61999999999999</v>
      </c>
      <c r="P3339" s="147">
        <f>P3338*'Assumptions (O&amp;G Upstream)'!$B$337</f>
        <v>102.36</v>
      </c>
      <c r="Q3339" s="147">
        <f>Q3338*'Assumptions (O&amp;G Upstream)'!$B$337</f>
        <v>122.34</v>
      </c>
      <c r="R3339" s="147">
        <f>R3338*'Assumptions (O&amp;G Upstream)'!$B$337</f>
        <v>89.759999999999991</v>
      </c>
      <c r="S3339" s="147">
        <f>S3338*'Assumptions (O&amp;G Upstream)'!$B$337</f>
        <v>47.940000000000005</v>
      </c>
      <c r="T3339" s="147">
        <f>T3338*'Assumptions (O&amp;G Upstream)'!$B$337</f>
        <v>67.38</v>
      </c>
      <c r="U3339" s="147">
        <f>U3338*'Assumptions (O&amp;G Upstream)'!$B$337</f>
        <v>101.10631935315276</v>
      </c>
      <c r="V3339" s="147">
        <f>V3338*'Assumptions (O&amp;G Upstream)'!$B$337</f>
        <v>113.79819687948</v>
      </c>
      <c r="W3339" s="147">
        <f>W3338*'Assumptions (O&amp;G Upstream)'!$B$337</f>
        <v>123.94925338476001</v>
      </c>
      <c r="X3339" s="147">
        <f>X3338*'Assumptions (O&amp;G Upstream)'!$B$337</f>
        <v>130.41086218763999</v>
      </c>
      <c r="Y3339" s="147">
        <f>Y3338*'Assumptions (O&amp;G Upstream)'!$B$337</f>
        <v>132.07478662308</v>
      </c>
      <c r="Z3339" s="147">
        <f>Z3338*'Assumptions (O&amp;G Upstream)'!$B$337</f>
        <v>134.94622386335999</v>
      </c>
      <c r="AA3339" s="147">
        <f>AA3338*'Assumptions (O&amp;G Upstream)'!$B$337</f>
        <v>141.09575126028</v>
      </c>
      <c r="AB3339" s="147">
        <f>AB3338*'Assumptions (O&amp;G Upstream)'!$B$337</f>
        <v>146.04366116951999</v>
      </c>
      <c r="AC3339" s="147">
        <f>AC3338*'Assumptions (O&amp;G Upstream)'!$B$337</f>
        <v>151.52876676348001</v>
      </c>
      <c r="AD3339" s="147">
        <f>AD3338*'Assumptions (O&amp;G Upstream)'!$B$337</f>
        <v>157.69126198692001</v>
      </c>
      <c r="AE3339" s="147">
        <f>AE3338*'Assumptions (O&amp;G Upstream)'!$B$337</f>
        <v>161.50501739748</v>
      </c>
      <c r="AF3339" s="147">
        <f>AF3338*'Assumptions (O&amp;G Upstream)'!$B$337</f>
        <v>166.24172219663998</v>
      </c>
      <c r="AG3339" s="147">
        <f>AG3338*'Assumptions (O&amp;G Upstream)'!$B$337</f>
        <v>170.25842873076002</v>
      </c>
      <c r="AH3339" s="147">
        <f>AH3338*'Assumptions (O&amp;G Upstream)'!$B$337</f>
        <v>174.68836572323997</v>
      </c>
      <c r="AI3339" s="147">
        <f>AI3338*'Assumptions (O&amp;G Upstream)'!$B$337</f>
        <v>177.63504892307998</v>
      </c>
      <c r="AJ3339" s="147">
        <f>AJ3338*'Assumptions (O&amp;G Upstream)'!$B$337</f>
        <v>182.15951142683997</v>
      </c>
      <c r="AK3339" s="147">
        <f>AK3338*'Assumptions (O&amp;G Upstream)'!$B$337</f>
        <v>184.86113364276</v>
      </c>
      <c r="AL3339" s="147">
        <f>AL3338*'Assumptions (O&amp;G Upstream)'!$B$337</f>
        <v>188.16646426608</v>
      </c>
      <c r="AM3339" s="147">
        <f>AM3338*'Assumptions (O&amp;G Upstream)'!$B$337</f>
        <v>191.82663228935996</v>
      </c>
      <c r="AN3339" s="147">
        <f>AN3338*'Assumptions (O&amp;G Upstream)'!$B$337</f>
        <v>192.77896109267999</v>
      </c>
      <c r="AO3339" s="147">
        <f>AO3338*'Assumptions (O&amp;G Upstream)'!$B$337</f>
        <v>196.06955129496001</v>
      </c>
      <c r="AP3339" s="147">
        <f>AP3338*'Assumptions (O&amp;G Upstream)'!$B$337</f>
        <v>199.05391332119999</v>
      </c>
      <c r="AQ3339" s="147">
        <f>AQ3338*'Assumptions (O&amp;G Upstream)'!$B$337</f>
        <v>203.03362982964001</v>
      </c>
      <c r="AR3339" s="147">
        <f>AR3338*'Assumptions (O&amp;G Upstream)'!$B$337</f>
        <v>206.57136687996001</v>
      </c>
      <c r="AS3339" s="147">
        <f>AS3338*'Assumptions (O&amp;G Upstream)'!$B$337</f>
        <v>210.94335633648001</v>
      </c>
      <c r="AT3339" s="147">
        <f>AT3338*'Assumptions (O&amp;G Upstream)'!$B$337</f>
        <v>213.75895065576</v>
      </c>
      <c r="AU3339" s="147">
        <f>AU3338*'Assumptions (O&amp;G Upstream)'!$B$337</f>
        <v>217.10683254407999</v>
      </c>
      <c r="AV3339" s="147">
        <f>AV3338*'Assumptions (O&amp;G Upstream)'!$B$337</f>
        <v>220.02370654668002</v>
      </c>
      <c r="AW3339" s="147">
        <f>AW3338*'Assumptions (O&amp;G Upstream)'!$B$337</f>
        <v>223.08310825091996</v>
      </c>
      <c r="AX3339" s="147">
        <f>AX3338*'Assumptions (O&amp;G Upstream)'!$B$337</f>
        <v>226.4233793226</v>
      </c>
      <c r="AY3339" s="147">
        <f>AY3338*'Assumptions (O&amp;G Upstream)'!$B$337</f>
        <v>229.92820826387998</v>
      </c>
      <c r="AZ3339" s="147">
        <f>AZ3338*'Assumptions (O&amp;G Upstream)'!$B$337</f>
        <v>232.55653871699997</v>
      </c>
      <c r="BA3339" s="147">
        <f>BA3338*'Assumptions (O&amp;G Upstream)'!$B$337</f>
        <v>235.79795855495999</v>
      </c>
    </row>
    <row r="3340" spans="1:77" ht="15.75" customHeight="1">
      <c r="A3340" s="472" t="s">
        <v>54</v>
      </c>
      <c r="B3340" s="99" t="s">
        <v>201</v>
      </c>
      <c r="C3340" s="147">
        <f>C3338*'Assumptions (O&amp;G Upstream)'!$B$338</f>
        <v>12.440000000000001</v>
      </c>
      <c r="D3340" s="147">
        <f>D3338*'Assumptions (O&amp;G Upstream)'!$B$338</f>
        <v>16.680000000000003</v>
      </c>
      <c r="E3340" s="147">
        <f>E3338*'Assumptions (O&amp;G Upstream)'!$B$338</f>
        <v>13.52</v>
      </c>
      <c r="F3340" s="147">
        <f>F3338*'Assumptions (O&amp;G Upstream)'!$B$338</f>
        <v>17.880000000000003</v>
      </c>
      <c r="G3340" s="147">
        <f>G3338*'Assumptions (O&amp;G Upstream)'!$B$338</f>
        <v>20.680000000000003</v>
      </c>
      <c r="H3340" s="147">
        <f>H3338*'Assumptions (O&amp;G Upstream)'!$B$338</f>
        <v>28.680000000000003</v>
      </c>
      <c r="I3340" s="147">
        <f>I3338*'Assumptions (O&amp;G Upstream)'!$B$338</f>
        <v>39.520000000000003</v>
      </c>
      <c r="J3340" s="147">
        <f>J3338*'Assumptions (O&amp;G Upstream)'!$B$338</f>
        <v>43.24</v>
      </c>
      <c r="K3340" s="147">
        <f>K3338*'Assumptions (O&amp;G Upstream)'!$B$338</f>
        <v>50.120000000000005</v>
      </c>
      <c r="L3340" s="147">
        <f>L3338*'Assumptions (O&amp;G Upstream)'!$B$338</f>
        <v>34.880000000000003</v>
      </c>
      <c r="M3340" s="147">
        <f>M3338*'Assumptions (O&amp;G Upstream)'!$B$338</f>
        <v>41.24</v>
      </c>
      <c r="N3340" s="147">
        <f>N3338*'Assumptions (O&amp;G Upstream)'!$B$338</f>
        <v>52.08</v>
      </c>
      <c r="O3340" s="147">
        <f>O3338*'Assumptions (O&amp;G Upstream)'!$B$338</f>
        <v>65.08</v>
      </c>
      <c r="P3340" s="147">
        <f>P3338*'Assumptions (O&amp;G Upstream)'!$B$338</f>
        <v>68.239999999999995</v>
      </c>
      <c r="Q3340" s="147">
        <f>Q3338*'Assumptions (O&amp;G Upstream)'!$B$338</f>
        <v>81.56</v>
      </c>
      <c r="R3340" s="147">
        <f>R3338*'Assumptions (O&amp;G Upstream)'!$B$338</f>
        <v>59.84</v>
      </c>
      <c r="S3340" s="147">
        <f>S3338*'Assumptions (O&amp;G Upstream)'!$B$338</f>
        <v>31.960000000000004</v>
      </c>
      <c r="T3340" s="147">
        <f>T3338*'Assumptions (O&amp;G Upstream)'!$B$338</f>
        <v>44.92</v>
      </c>
      <c r="U3340" s="147">
        <f>U3338*'Assumptions (O&amp;G Upstream)'!$B$338</f>
        <v>67.404212902101833</v>
      </c>
      <c r="V3340" s="147">
        <f>V3338*'Assumptions (O&amp;G Upstream)'!$B$338</f>
        <v>75.865464586320002</v>
      </c>
      <c r="W3340" s="147">
        <f>W3338*'Assumptions (O&amp;G Upstream)'!$B$338</f>
        <v>82.632835589840013</v>
      </c>
      <c r="X3340" s="147">
        <f>X3338*'Assumptions (O&amp;G Upstream)'!$B$338</f>
        <v>86.94057479176</v>
      </c>
      <c r="Y3340" s="147">
        <f>Y3338*'Assumptions (O&amp;G Upstream)'!$B$338</f>
        <v>88.049857748720001</v>
      </c>
      <c r="Z3340" s="147">
        <f>Z3338*'Assumptions (O&amp;G Upstream)'!$B$338</f>
        <v>89.964149242240012</v>
      </c>
      <c r="AA3340" s="147">
        <f>AA3338*'Assumptions (O&amp;G Upstream)'!$B$338</f>
        <v>94.063834173520007</v>
      </c>
      <c r="AB3340" s="147">
        <f>AB3338*'Assumptions (O&amp;G Upstream)'!$B$338</f>
        <v>97.36244077968</v>
      </c>
      <c r="AC3340" s="147">
        <f>AC3338*'Assumptions (O&amp;G Upstream)'!$B$338</f>
        <v>101.01917784232</v>
      </c>
      <c r="AD3340" s="147">
        <f>AD3338*'Assumptions (O&amp;G Upstream)'!$B$338</f>
        <v>105.12750799128001</v>
      </c>
      <c r="AE3340" s="147">
        <f>AE3338*'Assumptions (O&amp;G Upstream)'!$B$338</f>
        <v>107.67001159832</v>
      </c>
      <c r="AF3340" s="147">
        <f>AF3338*'Assumptions (O&amp;G Upstream)'!$B$338</f>
        <v>110.82781479776</v>
      </c>
      <c r="AG3340" s="147">
        <f>AG3338*'Assumptions (O&amp;G Upstream)'!$B$338</f>
        <v>113.50561915384002</v>
      </c>
      <c r="AH3340" s="147">
        <f>AH3338*'Assumptions (O&amp;G Upstream)'!$B$338</f>
        <v>116.45891048215999</v>
      </c>
      <c r="AI3340" s="147">
        <f>AI3338*'Assumptions (O&amp;G Upstream)'!$B$338</f>
        <v>118.42336594872</v>
      </c>
      <c r="AJ3340" s="147">
        <f>AJ3338*'Assumptions (O&amp;G Upstream)'!$B$338</f>
        <v>121.43967428456</v>
      </c>
      <c r="AK3340" s="147">
        <f>AK3338*'Assumptions (O&amp;G Upstream)'!$B$338</f>
        <v>123.24075576184001</v>
      </c>
      <c r="AL3340" s="147">
        <f>AL3338*'Assumptions (O&amp;G Upstream)'!$B$338</f>
        <v>125.44430951072</v>
      </c>
      <c r="AM3340" s="147">
        <f>AM3338*'Assumptions (O&amp;G Upstream)'!$B$338</f>
        <v>127.88442152623998</v>
      </c>
      <c r="AN3340" s="147">
        <f>AN3338*'Assumptions (O&amp;G Upstream)'!$B$338</f>
        <v>128.51930739511999</v>
      </c>
      <c r="AO3340" s="147">
        <f>AO3338*'Assumptions (O&amp;G Upstream)'!$B$338</f>
        <v>130.71303419664</v>
      </c>
      <c r="AP3340" s="147">
        <f>AP3338*'Assumptions (O&amp;G Upstream)'!$B$338</f>
        <v>132.7026088808</v>
      </c>
      <c r="AQ3340" s="147">
        <f>AQ3338*'Assumptions (O&amp;G Upstream)'!$B$338</f>
        <v>135.35575321976</v>
      </c>
      <c r="AR3340" s="147">
        <f>AR3338*'Assumptions (O&amp;G Upstream)'!$B$338</f>
        <v>137.71424458664001</v>
      </c>
      <c r="AS3340" s="147">
        <f>AS3338*'Assumptions (O&amp;G Upstream)'!$B$338</f>
        <v>140.62890422432002</v>
      </c>
      <c r="AT3340" s="147">
        <f>AT3338*'Assumptions (O&amp;G Upstream)'!$B$338</f>
        <v>142.50596710383999</v>
      </c>
      <c r="AU3340" s="147">
        <f>AU3338*'Assumptions (O&amp;G Upstream)'!$B$338</f>
        <v>144.73788836271999</v>
      </c>
      <c r="AV3340" s="147">
        <f>AV3338*'Assumptions (O&amp;G Upstream)'!$B$338</f>
        <v>146.68247103112</v>
      </c>
      <c r="AW3340" s="147">
        <f>AW3338*'Assumptions (O&amp;G Upstream)'!$B$338</f>
        <v>148.72207216727998</v>
      </c>
      <c r="AX3340" s="147">
        <f>AX3338*'Assumptions (O&amp;G Upstream)'!$B$338</f>
        <v>150.9489195484</v>
      </c>
      <c r="AY3340" s="147">
        <f>AY3338*'Assumptions (O&amp;G Upstream)'!$B$338</f>
        <v>153.28547217592001</v>
      </c>
      <c r="AZ3340" s="147">
        <f>AZ3338*'Assumptions (O&amp;G Upstream)'!$B$338</f>
        <v>155.037692478</v>
      </c>
      <c r="BA3340" s="147">
        <f>BA3338*'Assumptions (O&amp;G Upstream)'!$B$338</f>
        <v>157.19863903664</v>
      </c>
    </row>
    <row r="3341" spans="1:77" ht="15.75" customHeight="1">
      <c r="A3341" s="472" t="s">
        <v>336</v>
      </c>
      <c r="B3341" s="99" t="s">
        <v>201</v>
      </c>
      <c r="C3341" s="91">
        <f t="array" ref="C3341">SUM(IF(ISERROR(C3342:C3392),"",C3342:C3392))</f>
        <v>-1.318999405771442</v>
      </c>
      <c r="D3341" s="91">
        <f t="array" ref="D3341">SUM(IF(ISERROR(D3342:D3392),"",D3342:D3392))</f>
        <v>-3.1864862654058808</v>
      </c>
      <c r="E3341" s="91">
        <f t="array" ref="E3341">SUM(IF(ISERROR(E3342:E3392),"",E3342:E3392))</f>
        <v>-4.8589833435130814</v>
      </c>
      <c r="F3341" s="91">
        <f t="array" ref="F3341">SUM(IF(ISERROR(F3342:F3392),"",F3342:F3392))</f>
        <v>-7.1192036678451629</v>
      </c>
      <c r="G3341" s="91">
        <f t="array" ref="G3341">SUM(IF(ISERROR(G3342:G3392),"",G3342:G3392))</f>
        <v>-9.8458214116918654</v>
      </c>
      <c r="H3341" s="91">
        <f t="array" ref="H3341">SUM(IF(ISERROR(H3342:H3392),"",H3342:H3392))</f>
        <v>-13.625166615440536</v>
      </c>
      <c r="I3341" s="91">
        <f t="array" ref="I3341">SUM(IF(ISERROR(I3342:I3392),"",I3342:I3392))</f>
        <v>-18.837315889419106</v>
      </c>
      <c r="J3341" s="91">
        <f t="array" ref="J3341">SUM(IF(ISERROR(J3342:J3392),"",J3342:J3392))</f>
        <v>-24.83480383398383</v>
      </c>
      <c r="K3341" s="91">
        <f t="array" ref="K3341">SUM(IF(ISERROR(K3342:K3392),"",K3342:K3392))</f>
        <v>-32.011582145428491</v>
      </c>
      <c r="L3341" s="91">
        <f t="array" ref="L3341">SUM(IF(ISERROR(L3342:L3392),"",L3342:L3392))</f>
        <v>-38.11073852927035</v>
      </c>
      <c r="M3341" s="91">
        <f t="array" ref="M3341">SUM(IF(ISERROR(M3342:M3392),"",M3342:M3392))</f>
        <v>-42.623175983774111</v>
      </c>
      <c r="N3341" s="91">
        <f t="array" ref="N3341">SUM(IF(ISERROR(N3342:N3392),"",N3342:N3392))</f>
        <v>-47.69683692888426</v>
      </c>
      <c r="O3341" s="91">
        <f t="array" ref="O3341">SUM(IF(ISERROR(O3342:O3392),"",O3342:O3392))</f>
        <v>-55.219949325686869</v>
      </c>
      <c r="P3341" s="91">
        <f t="array" ref="P3341">SUM(IF(ISERROR(P3342:P3392),"",P3342:P3392))</f>
        <v>-62.689560482882669</v>
      </c>
      <c r="Q3341" s="91">
        <f t="array" ref="Q3341">SUM(IF(ISERROR(Q3342:Q3392),"",Q3342:Q3392))</f>
        <v>-71.519816411652357</v>
      </c>
      <c r="R3341" s="91">
        <f t="array" ref="R3341">SUM(IF(ISERROR(R3342:R3392),"",R3342:R3392))</f>
        <v>-76.961162890423253</v>
      </c>
      <c r="S3341" s="91">
        <f t="array" ref="S3341">SUM(IF(ISERROR(S3342:S3392),"",S3342:S3392))</f>
        <v>-77.48567169019276</v>
      </c>
      <c r="T3341" s="91">
        <f t="array" ref="T3341">SUM(IF(ISERROR(T3342:T3392),"",T3342:T3392))</f>
        <v>-78.610725604071035</v>
      </c>
      <c r="U3341" s="91">
        <f t="array" ref="U3341">SUM(IF(ISERROR(U3342:U3392),"",U3342:U3392))</f>
        <v>-80.700655952599803</v>
      </c>
      <c r="V3341" s="91">
        <f t="array" ref="V3341">SUM(IF(ISERROR(V3342:V3392),"",V3342:V3392))</f>
        <v>-87.174848511956554</v>
      </c>
      <c r="W3341" s="91">
        <f t="array" ref="W3341">SUM(IF(ISERROR(W3342:W3392),"",W3342:W3392))</f>
        <v>-93.462298609050563</v>
      </c>
      <c r="X3341" s="91">
        <f t="array" ref="X3341">SUM(IF(ISERROR(X3342:X3392),"",X3342:X3392))</f>
        <v>-98.309199094374264</v>
      </c>
      <c r="Y3341" s="91">
        <f t="array" ref="Y3341">SUM(IF(ISERROR(Y3342:Y3392),"",Y3342:Y3392))</f>
        <v>-100.79635757317388</v>
      </c>
      <c r="Z3341" s="91">
        <f t="array" ref="Z3341">SUM(IF(ISERROR(Z3342:Z3392),"",Z3342:Z3392))</f>
        <v>-102.98247184625878</v>
      </c>
      <c r="AA3341" s="91">
        <f t="array" ref="AA3341">SUM(IF(ISERROR(AA3342:AA3392),"",AA3342:AA3392))</f>
        <v>-102.85642490713474</v>
      </c>
      <c r="AB3341" s="91">
        <f t="array" ref="AB3341">SUM(IF(ISERROR(AB3342:AB3392),"",AB3342:AB3392))</f>
        <v>-107.81711956387498</v>
      </c>
      <c r="AC3341" s="91">
        <f t="array" ref="AC3341">SUM(IF(ISERROR(AC3342:AC3392),"",AC3342:AC3392))</f>
        <v>-119.63017158077047</v>
      </c>
      <c r="AD3341" s="91">
        <f t="array" ref="AD3341">SUM(IF(ISERROR(AD3342:AD3392),"",AD3342:AD3392))</f>
        <v>-129.93266975989721</v>
      </c>
      <c r="AE3341" s="91">
        <f t="array" ref="AE3341">SUM(IF(ISERROR(AE3342:AE3392),"",AE3342:AE3392))</f>
        <v>-136.36398402699666</v>
      </c>
      <c r="AF3341" s="91">
        <f t="array" ref="AF3341">SUM(IF(ISERROR(AF3342:AF3392),"",AF3342:AF3392))</f>
        <v>-141.76343728759915</v>
      </c>
      <c r="AG3341" s="91">
        <f t="array" ref="AG3341">SUM(IF(ISERROR(AG3342:AG3392),"",AG3342:AG3392))</f>
        <v>-146.37290808798301</v>
      </c>
      <c r="AH3341" s="91">
        <f t="array" ref="AH3341">SUM(IF(ISERROR(AH3342:AH3392),"",AH3342:AH3392))</f>
        <v>-150.69985793203605</v>
      </c>
      <c r="AI3341" s="91">
        <f t="array" ref="AI3341">SUM(IF(ISERROR(AI3342:AI3392),"",AI3342:AI3392))</f>
        <v>-155.31720767466064</v>
      </c>
      <c r="AJ3341" s="91">
        <f t="array" ref="AJ3341">SUM(IF(ISERROR(AJ3342:AJ3392),"",AJ3342:AJ3392))</f>
        <v>-160.18234647876898</v>
      </c>
      <c r="AK3341" s="91">
        <f t="array" ref="AK3341">SUM(IF(ISERROR(AK3342:AK3392),"",AK3342:AK3392))</f>
        <v>-164.70743776302012</v>
      </c>
      <c r="AL3341" s="91">
        <f t="array" ref="AL3341">SUM(IF(ISERROR(AL3342:AL3392),"",AL3342:AL3392))</f>
        <v>-169.0847104102009</v>
      </c>
      <c r="AM3341" s="91">
        <f t="array" ref="AM3341">SUM(IF(ISERROR(AM3342:AM3392),"",AM3342:AM3392))</f>
        <v>-173.24989818169499</v>
      </c>
      <c r="AN3341" s="91">
        <f t="array" ref="AN3341">SUM(IF(ISERROR(AN3342:AN3392),"",AN3342:AN3392))</f>
        <v>-176.89700244884241</v>
      </c>
      <c r="AO3341" s="91">
        <f t="array" ref="AO3341">SUM(IF(ISERROR(AO3342:AO3392),"",AO3342:AO3392))</f>
        <v>-180.49462746228966</v>
      </c>
      <c r="AP3341" s="91">
        <f t="array" ref="AP3341">SUM(IF(ISERROR(AP3342:AP3392),"",AP3342:AP3392))</f>
        <v>-183.88295551773609</v>
      </c>
      <c r="AQ3341" s="91">
        <f t="array" ref="AQ3341">SUM(IF(ISERROR(AQ3342:AQ3392),"",AQ3342:AQ3392))</f>
        <v>-187.22154051301129</v>
      </c>
      <c r="AR3341" s="91">
        <f t="array" ref="AR3341">SUM(IF(ISERROR(AR3342:AR3392),"",AR3342:AR3392))</f>
        <v>-190.41520812813502</v>
      </c>
      <c r="AS3341" s="91">
        <f t="array" ref="AS3341">SUM(IF(ISERROR(AS3342:AS3392),"",AS3342:AS3392))</f>
        <v>-193.7281486690247</v>
      </c>
      <c r="AT3341" s="91">
        <f t="array" ref="AT3341">SUM(IF(ISERROR(AT3342:AT3392),"",AT3342:AT3392))</f>
        <v>-196.82943213023017</v>
      </c>
      <c r="AU3341" s="91">
        <f t="array" ref="AU3341">SUM(IF(ISERROR(AU3342:AU3392),"",AU3342:AU3392))</f>
        <v>-200.00637164913374</v>
      </c>
      <c r="AV3341" s="91">
        <f t="array" ref="AV3341">SUM(IF(ISERROR(AV3342:AV3392),"",AV3342:AV3392))</f>
        <v>-203.14622341870563</v>
      </c>
      <c r="AW3341" s="91">
        <f t="array" ref="AW3341">SUM(IF(ISERROR(AW3342:AW3392),"",AW3342:AW3392))</f>
        <v>-206.20458574482174</v>
      </c>
      <c r="AX3341" s="91">
        <f t="array" ref="AX3341">SUM(IF(ISERROR(AX3342:AX3392),"",AX3342:AX3392))</f>
        <v>-209.58969449902659</v>
      </c>
      <c r="AY3341" s="91">
        <f t="array" ref="AY3341">SUM(IF(ISERROR(AY3342:AY3392),"",AY3342:AY3392))</f>
        <v>-212.99703580858264</v>
      </c>
      <c r="AZ3341" s="91">
        <f t="array" ref="AZ3341">SUM(IF(ISERROR(AZ3342:AZ3392),"",AZ3342:AZ3392))</f>
        <v>-216.41093414244841</v>
      </c>
      <c r="BA3341" s="91">
        <f t="array" ref="BA3341">SUM(IF(ISERROR(BA3342:BA3392),"",BA3342:BA3392))</f>
        <v>-219.7302089283526</v>
      </c>
      <c r="BB3341" s="91">
        <f t="array" ref="BB3341">SUM(IF(ISERROR(BB3342:BB3392),"",BB3342:BB3392))</f>
        <v>-206.11543343439033</v>
      </c>
      <c r="BC3341" s="91">
        <f t="array" ref="BC3341">SUM(IF(ISERROR(BC3342:BC3392),"",BC3342:BC3392))</f>
        <v>-190.84261243971054</v>
      </c>
      <c r="BD3341" s="91">
        <f t="array" ref="BD3341">SUM(IF(ISERROR(BD3342:BD3392),"",BD3342:BD3392))</f>
        <v>-174.01413740076973</v>
      </c>
      <c r="BE3341" s="91">
        <f t="array" ref="BE3341">SUM(IF(ISERROR(BE3342:BE3392),"",BE3342:BE3392))</f>
        <v>-155.43578745609534</v>
      </c>
      <c r="BF3341" s="91">
        <f t="array" ref="BF3341">SUM(IF(ISERROR(BF3342:BF3392),"",BF3342:BF3392))</f>
        <v>-135.03911377131641</v>
      </c>
      <c r="BG3341" s="91">
        <f t="array" ref="BG3341">SUM(IF(ISERROR(BG3342:BG3392),"",BG3342:BG3392))</f>
        <v>-112.66697778552783</v>
      </c>
      <c r="BH3341" s="91">
        <f t="array" ref="BH3341">SUM(IF(ISERROR(BH3342:BH3392),"",BH3342:BH3392))</f>
        <v>-88.130301111872754</v>
      </c>
      <c r="BI3341" s="91">
        <f t="array" ref="BI3341">SUM(IF(ISERROR(BI3342:BI3392),"",BI3342:BI3392))</f>
        <v>-61.242769432913256</v>
      </c>
      <c r="BJ3341" s="91">
        <f t="array" ref="BJ3341">SUM(IF(ISERROR(BJ3342:BJ3392),"",BJ3342:BJ3392))</f>
        <v>-31.955762118386694</v>
      </c>
      <c r="BK3341" s="91">
        <f t="array" ref="BK3341">SUM(IF(ISERROR(BK3342:BK3392),"",BK3342:BK3392))</f>
        <v>0</v>
      </c>
      <c r="BL3341" s="91">
        <f t="array" ref="BL3341">SUM(IF(ISERROR(BL3342:BL3392),"",BL3342:BL3392))</f>
        <v>0</v>
      </c>
      <c r="BM3341" s="91">
        <f t="array" ref="BM3341">SUM(IF(ISERROR(BM3342:BM3392),"",BM3342:BM3392))</f>
        <v>0</v>
      </c>
      <c r="BN3341" s="91">
        <f t="array" ref="BN3341">SUM(IF(ISERROR(BN3342:BN3392),"",BN3342:BN3392))</f>
        <v>0</v>
      </c>
      <c r="BO3341" s="91">
        <f t="array" ref="BO3341">SUM(IF(ISERROR(BO3342:BO3392),"",BO3342:BO3392))</f>
        <v>0</v>
      </c>
      <c r="BP3341" s="91">
        <f t="array" ref="BP3341">SUM(IF(ISERROR(BP3342:BP3392),"",BP3342:BP3392))</f>
        <v>0</v>
      </c>
      <c r="BQ3341" s="91">
        <f t="array" ref="BQ3341">SUM(IF(ISERROR(BQ3342:BQ3392),"",BQ3342:BQ3392))</f>
        <v>0</v>
      </c>
      <c r="BR3341" s="91">
        <f t="array" ref="BR3341">SUM(IF(ISERROR(BR3342:BR3392),"",BR3342:BR3392))</f>
        <v>0</v>
      </c>
      <c r="BS3341" s="91">
        <f t="array" ref="BS3341">SUM(IF(ISERROR(BS3342:BS3392),"",BS3342:BS3392))</f>
        <v>0</v>
      </c>
      <c r="BT3341" s="91">
        <f t="array" ref="BT3341">SUM(IF(ISERROR(BT3342:BT3392),"",BT3342:BT3392))</f>
        <v>0</v>
      </c>
      <c r="BU3341" s="91">
        <f t="array" ref="BU3341">SUM(IF(ISERROR(BU3342:BU3392),"",BU3342:BU3392))</f>
        <v>0</v>
      </c>
      <c r="BV3341" s="91">
        <f t="array" ref="BV3341">SUM(IF(ISERROR(BV3342:BV3392),"",BV3342:BV3392))</f>
        <v>0</v>
      </c>
      <c r="BW3341" s="91">
        <f t="array" ref="BW3341">SUM(IF(ISERROR(BW3342:BW3392),"",BW3342:BW3392))</f>
        <v>0</v>
      </c>
      <c r="BX3341" s="91">
        <f t="array" ref="BX3341">SUM(IF(ISERROR(BX3342:BX3392),"",BX3342:BX3392))</f>
        <v>0</v>
      </c>
      <c r="BY3341" s="91">
        <f t="array" ref="BY3341">SUM(IF(ISERROR(BY3342:BY3392),"",BY3342:BY3392))</f>
        <v>0</v>
      </c>
    </row>
    <row r="3342" spans="1:77" ht="15.75" hidden="1" customHeight="1" outlineLevel="1">
      <c r="A3342" s="472"/>
      <c r="B3342" s="99"/>
      <c r="C3342" s="377">
        <f>PPMT('Assumptions (O&amp;G Upstream)'!$B$339,Model!W$1,'Assumptions (O&amp;G Upstream)'!$B$342,Model!$C$3339)</f>
        <v>-1.318999405771442</v>
      </c>
      <c r="D3342" s="377">
        <f>PPMT('Assumptions (O&amp;G Upstream)'!$B$339,Model!X$1,'Assumptions (O&amp;G Upstream)'!$B$342,Model!$C$3339)</f>
        <v>-1.4179243612043002</v>
      </c>
      <c r="E3342" s="377">
        <f>PPMT('Assumptions (O&amp;G Upstream)'!$B$339,Model!Y$1,'Assumptions (O&amp;G Upstream)'!$B$342,Model!$C$3339)</f>
        <v>-1.5242686882946228</v>
      </c>
      <c r="F3342" s="377">
        <f>PPMT('Assumptions (O&amp;G Upstream)'!$B$339,Model!Z$1,'Assumptions (O&amp;G Upstream)'!$B$342,Model!$C$3339)</f>
        <v>-1.6385888399167197</v>
      </c>
      <c r="G3342" s="377">
        <f>PPMT('Assumptions (O&amp;G Upstream)'!$B$339,Model!AA$1,'Assumptions (O&amp;G Upstream)'!$B$342,Model!$C$3339)</f>
        <v>-1.7614830029104735</v>
      </c>
      <c r="H3342" s="377">
        <f>PPMT('Assumptions (O&amp;G Upstream)'!$B$339,Model!AB$1,'Assumptions (O&amp;G Upstream)'!$B$342,Model!$C$3339)</f>
        <v>-1.8935942281287588</v>
      </c>
      <c r="I3342" s="377">
        <f>PPMT('Assumptions (O&amp;G Upstream)'!$B$339,Model!AC$1,'Assumptions (O&amp;G Upstream)'!$B$342,Model!$C$3339)</f>
        <v>-2.0356137952384161</v>
      </c>
      <c r="J3342" s="377">
        <f>PPMT('Assumptions (O&amp;G Upstream)'!$B$339,Model!AD$1,'Assumptions (O&amp;G Upstream)'!$B$342,Model!$C$3339)</f>
        <v>-2.1882848298812969</v>
      </c>
      <c r="K3342" s="377">
        <f>PPMT('Assumptions (O&amp;G Upstream)'!$B$339,Model!AE$1,'Assumptions (O&amp;G Upstream)'!$B$342,Model!$C$3339)</f>
        <v>-2.3524061921223947</v>
      </c>
      <c r="L3342" s="377">
        <f>PPMT('Assumptions (O&amp;G Upstream)'!$B$339,Model!AF$1,'Assumptions (O&amp;G Upstream)'!$B$342,Model!$C$3339)</f>
        <v>-2.5288366565315741</v>
      </c>
      <c r="M3342" s="377" t="e">
        <f>PPMT('Assumptions (O&amp;G Upstream)'!$B$339,Model!AG$1,'Assumptions (O&amp;G Upstream)'!$B$342,Model!$C$3339)</f>
        <v>#NUM!</v>
      </c>
      <c r="N3342" s="377" t="e">
        <f>PPMT('Assumptions (O&amp;G Upstream)'!$B$339,Model!AH$1,'Assumptions (O&amp;G Upstream)'!$B$342,Model!$C$3339)</f>
        <v>#NUM!</v>
      </c>
      <c r="O3342" s="377" t="e">
        <f>PPMT('Assumptions (O&amp;G Upstream)'!$B$339,Model!AI$1,'Assumptions (O&amp;G Upstream)'!$B$342,Model!$C$3339)</f>
        <v>#NUM!</v>
      </c>
      <c r="P3342" s="377" t="e">
        <f>PPMT('Assumptions (O&amp;G Upstream)'!$B$339,Model!AJ$1,'Assumptions (O&amp;G Upstream)'!$B$342,Model!$C$3339)</f>
        <v>#NUM!</v>
      </c>
      <c r="Q3342" s="377" t="e">
        <f>PPMT('Assumptions (O&amp;G Upstream)'!$B$339,Model!AK$1,'Assumptions (O&amp;G Upstream)'!$B$342,Model!$C$3339)</f>
        <v>#NUM!</v>
      </c>
      <c r="R3342" s="377" t="e">
        <f>PPMT('Assumptions (O&amp;G Upstream)'!$B$339,Model!AL$1,'Assumptions (O&amp;G Upstream)'!$B$342,Model!$C$3339)</f>
        <v>#NUM!</v>
      </c>
      <c r="S3342" s="377" t="e">
        <f>PPMT('Assumptions (O&amp;G Upstream)'!$B$339,Model!AM$1,'Assumptions (O&amp;G Upstream)'!$B$342,Model!$C$3339)</f>
        <v>#NUM!</v>
      </c>
      <c r="T3342" s="377" t="e">
        <f>PPMT('Assumptions (O&amp;G Upstream)'!$B$339,Model!AN$1,'Assumptions (O&amp;G Upstream)'!$B$342,Model!$C$3339)</f>
        <v>#NUM!</v>
      </c>
      <c r="U3342" s="377" t="e">
        <f>PPMT('Assumptions (O&amp;G Upstream)'!$B$339,Model!AO$1,'Assumptions (O&amp;G Upstream)'!$B$342,Model!$C$3339)</f>
        <v>#NUM!</v>
      </c>
      <c r="V3342" s="377" t="e">
        <f>PPMT('Assumptions (O&amp;G Upstream)'!$B$339,Model!AP$1,'Assumptions (O&amp;G Upstream)'!$B$342,Model!$C$3339)</f>
        <v>#NUM!</v>
      </c>
      <c r="W3342" s="377" t="e">
        <f>PPMT('Assumptions (O&amp;G Upstream)'!$B$339,Model!AQ$1,'Assumptions (O&amp;G Upstream)'!$B$342,Model!$C$3339)</f>
        <v>#NUM!</v>
      </c>
      <c r="X3342" s="377" t="e">
        <f>PPMT('Assumptions (O&amp;G Upstream)'!$B$339,Model!AR$1,'Assumptions (O&amp;G Upstream)'!$B$342,Model!$C$3339)</f>
        <v>#NUM!</v>
      </c>
      <c r="Y3342" s="377" t="e">
        <f>PPMT('Assumptions (O&amp;G Upstream)'!$B$339,Model!AS$1,'Assumptions (O&amp;G Upstream)'!$B$342,Model!$C$3339)</f>
        <v>#NUM!</v>
      </c>
      <c r="Z3342" s="377" t="e">
        <f>PPMT('Assumptions (O&amp;G Upstream)'!$B$339,Model!AT$1,'Assumptions (O&amp;G Upstream)'!$B$342,Model!$C$3339)</f>
        <v>#NUM!</v>
      </c>
      <c r="AA3342" s="377" t="e">
        <f>PPMT('Assumptions (O&amp;G Upstream)'!$B$339,Model!AU$1,'Assumptions (O&amp;G Upstream)'!$B$342,Model!$C$3339)</f>
        <v>#NUM!</v>
      </c>
      <c r="AB3342" s="377"/>
    </row>
    <row r="3343" spans="1:77" ht="15.75" hidden="1" customHeight="1" outlineLevel="1">
      <c r="A3343" s="472"/>
      <c r="B3343" s="99"/>
      <c r="C3343" s="377"/>
      <c r="D3343" s="377">
        <f>PPMT('Assumptions (O&amp;G Upstream)'!$B$339,Model!W$1,'Assumptions (O&amp;G Upstream)'!$B$342,Model!$D$3339)</f>
        <v>-1.7685619042015803</v>
      </c>
      <c r="E3343" s="377">
        <f>PPMT('Assumptions (O&amp;G Upstream)'!$B$339,Model!X$1,'Assumptions (O&amp;G Upstream)'!$B$342,Model!$D$3339)</f>
        <v>-1.9012040470166984</v>
      </c>
      <c r="F3343" s="377">
        <f>PPMT('Assumptions (O&amp;G Upstream)'!$B$339,Model!Y$1,'Assumptions (O&amp;G Upstream)'!$B$342,Model!$D$3339)</f>
        <v>-2.0437943505429508</v>
      </c>
      <c r="G3343" s="377">
        <f>PPMT('Assumptions (O&amp;G Upstream)'!$B$339,Model!Z$1,'Assumptions (O&amp;G Upstream)'!$B$342,Model!$D$3339)</f>
        <v>-2.1970789268336728</v>
      </c>
      <c r="H3343" s="377">
        <f>PPMT('Assumptions (O&amp;G Upstream)'!$B$339,Model!AA$1,'Assumptions (O&amp;G Upstream)'!$B$342,Model!$D$3339)</f>
        <v>-2.3618598463461979</v>
      </c>
      <c r="I3343" s="377">
        <f>PPMT('Assumptions (O&amp;G Upstream)'!$B$339,Model!AB$1,'Assumptions (O&amp;G Upstream)'!$B$342,Model!$D$3339)</f>
        <v>-2.5389993348221629</v>
      </c>
      <c r="J3343" s="377">
        <f>PPMT('Assumptions (O&amp;G Upstream)'!$B$339,Model!AC$1,'Assumptions (O&amp;G Upstream)'!$B$342,Model!$D$3339)</f>
        <v>-2.7294242849338244</v>
      </c>
      <c r="K3343" s="377">
        <f>PPMT('Assumptions (O&amp;G Upstream)'!$B$339,Model!AD$1,'Assumptions (O&amp;G Upstream)'!$B$342,Model!$D$3339)</f>
        <v>-2.9341311063038615</v>
      </c>
      <c r="L3343" s="377">
        <f>PPMT('Assumptions (O&amp;G Upstream)'!$B$339,Model!AE$1,'Assumptions (O&amp;G Upstream)'!$B$342,Model!$D$3339)</f>
        <v>-3.1541909392766514</v>
      </c>
      <c r="M3343" s="377">
        <f>PPMT('Assumptions (O&amp;G Upstream)'!$B$339,Model!AF$1,'Assumptions (O&amp;G Upstream)'!$B$342,Model!$D$3339)</f>
        <v>-3.3907552597224</v>
      </c>
      <c r="N3343" s="377" t="e">
        <f>PPMT('Assumptions (O&amp;G Upstream)'!$B$339,Model!AG$1,'Assumptions (O&amp;G Upstream)'!$B$342,Model!$D$3339)</f>
        <v>#NUM!</v>
      </c>
      <c r="O3343" s="377" t="e">
        <f>PPMT('Assumptions (O&amp;G Upstream)'!$B$339,Model!AH$1,'Assumptions (O&amp;G Upstream)'!$B$342,Model!$D$3339)</f>
        <v>#NUM!</v>
      </c>
      <c r="P3343" s="377" t="e">
        <f>PPMT('Assumptions (O&amp;G Upstream)'!$B$339,Model!AI$1,'Assumptions (O&amp;G Upstream)'!$B$342,Model!$D$3339)</f>
        <v>#NUM!</v>
      </c>
      <c r="Q3343" s="377" t="e">
        <f>PPMT('Assumptions (O&amp;G Upstream)'!$B$339,Model!AJ$1,'Assumptions (O&amp;G Upstream)'!$B$342,Model!$D$3339)</f>
        <v>#NUM!</v>
      </c>
      <c r="R3343" s="377" t="e">
        <f>PPMT('Assumptions (O&amp;G Upstream)'!$B$339,Model!AK$1,'Assumptions (O&amp;G Upstream)'!$B$342,Model!$D$3339)</f>
        <v>#NUM!</v>
      </c>
      <c r="S3343" s="377" t="e">
        <f>PPMT('Assumptions (O&amp;G Upstream)'!$B$339,Model!AL$1,'Assumptions (O&amp;G Upstream)'!$B$342,Model!$D$3339)</f>
        <v>#NUM!</v>
      </c>
      <c r="T3343" s="377" t="e">
        <f>PPMT('Assumptions (O&amp;G Upstream)'!$B$339,Model!AM$1,'Assumptions (O&amp;G Upstream)'!$B$342,Model!$D$3339)</f>
        <v>#NUM!</v>
      </c>
      <c r="U3343" s="377" t="e">
        <f>PPMT('Assumptions (O&amp;G Upstream)'!$B$339,Model!AN$1,'Assumptions (O&amp;G Upstream)'!$B$342,Model!$D$3339)</f>
        <v>#NUM!</v>
      </c>
      <c r="V3343" s="377" t="e">
        <f>PPMT('Assumptions (O&amp;G Upstream)'!$B$339,Model!AO$1,'Assumptions (O&amp;G Upstream)'!$B$342,Model!$D$3339)</f>
        <v>#NUM!</v>
      </c>
      <c r="W3343" s="377" t="e">
        <f>PPMT('Assumptions (O&amp;G Upstream)'!$B$339,Model!AP$1,'Assumptions (O&amp;G Upstream)'!$B$342,Model!$D$3339)</f>
        <v>#NUM!</v>
      </c>
      <c r="X3343" s="377" t="e">
        <f>PPMT('Assumptions (O&amp;G Upstream)'!$B$339,Model!AQ$1,'Assumptions (O&amp;G Upstream)'!$B$342,Model!$D$3339)</f>
        <v>#NUM!</v>
      </c>
      <c r="Y3343" s="377" t="e">
        <f>PPMT('Assumptions (O&amp;G Upstream)'!$B$339,Model!AR$1,'Assumptions (O&amp;G Upstream)'!$B$342,Model!$D$3339)</f>
        <v>#NUM!</v>
      </c>
      <c r="Z3343" s="377" t="e">
        <f>PPMT('Assumptions (O&amp;G Upstream)'!$B$339,Model!AS$1,'Assumptions (O&amp;G Upstream)'!$B$342,Model!$D$3339)</f>
        <v>#NUM!</v>
      </c>
      <c r="AA3343" s="377" t="e">
        <f>PPMT('Assumptions (O&amp;G Upstream)'!$B$339,Model!AT$1,'Assumptions (O&amp;G Upstream)'!$B$342,Model!$D$3339)</f>
        <v>#NUM!</v>
      </c>
      <c r="AB3343" s="377" t="e">
        <f>PPMT('Assumptions (O&amp;G Upstream)'!$B$339,Model!AU$1,'Assumptions (O&amp;G Upstream)'!$B$342,Model!$D$3339)</f>
        <v>#NUM!</v>
      </c>
    </row>
    <row r="3344" spans="1:77" ht="15.75" hidden="1" customHeight="1" outlineLevel="1">
      <c r="A3344" s="472"/>
      <c r="B3344" s="99"/>
      <c r="C3344" s="377"/>
      <c r="D3344" s="377"/>
      <c r="E3344" s="377">
        <f>PPMT('Assumptions (O&amp;G Upstream)'!$B$339,Model!W$1,'Assumptions (O&amp;G Upstream)'!$B$342,Model!$E$3339)</f>
        <v>-1.4335106082017601</v>
      </c>
      <c r="F3344" s="377">
        <f>PPMT('Assumptions (O&amp;G Upstream)'!$B$339,Model!X$1,'Assumptions (O&amp;G Upstream)'!$B$342,Model!$E$3339)</f>
        <v>-1.5410239038168922</v>
      </c>
      <c r="G3344" s="377">
        <f>PPMT('Assumptions (O&amp;G Upstream)'!$B$339,Model!Y$1,'Assumptions (O&amp;G Upstream)'!$B$342,Model!$E$3339)</f>
        <v>-1.656600696603159</v>
      </c>
      <c r="H3344" s="377">
        <f>PPMT('Assumptions (O&amp;G Upstream)'!$B$339,Model!Z$1,'Assumptions (O&amp;G Upstream)'!$B$342,Model!$E$3339)</f>
        <v>-1.7808457488483962</v>
      </c>
      <c r="I3344" s="377">
        <f>PPMT('Assumptions (O&amp;G Upstream)'!$B$339,Model!AA$1,'Assumptions (O&amp;G Upstream)'!$B$342,Model!$E$3339)</f>
        <v>-1.9144091800120258</v>
      </c>
      <c r="J3344" s="377">
        <f>PPMT('Assumptions (O&amp;G Upstream)'!$B$339,Model!AB$1,'Assumptions (O&amp;G Upstream)'!$B$342,Model!$E$3339)</f>
        <v>-2.0579898685129274</v>
      </c>
      <c r="K3344" s="377">
        <f>PPMT('Assumptions (O&amp;G Upstream)'!$B$339,Model!AC$1,'Assumptions (O&amp;G Upstream)'!$B$342,Model!$E$3339)</f>
        <v>-2.2123391086513968</v>
      </c>
      <c r="L3344" s="377">
        <f>PPMT('Assumptions (O&amp;G Upstream)'!$B$339,Model!AD$1,'Assumptions (O&amp;G Upstream)'!$B$342,Model!$E$3339)</f>
        <v>-2.3782645418002519</v>
      </c>
      <c r="M3344" s="377">
        <f>PPMT('Assumptions (O&amp;G Upstream)'!$B$339,Model!AE$1,'Assumptions (O&amp;G Upstream)'!$B$342,Model!$E$3339)</f>
        <v>-2.5566343824352713</v>
      </c>
      <c r="N3344" s="377">
        <f>PPMT('Assumptions (O&amp;G Upstream)'!$B$339,Model!AF$1,'Assumptions (O&amp;G Upstream)'!$B$342,Model!$E$3339)</f>
        <v>-2.7483819611179165</v>
      </c>
      <c r="O3344" s="377" t="e">
        <f>PPMT('Assumptions (O&amp;G Upstream)'!$B$339,Model!AG$1,'Assumptions (O&amp;G Upstream)'!$B$342,Model!$E$3339)</f>
        <v>#NUM!</v>
      </c>
      <c r="P3344" s="377" t="e">
        <f>PPMT('Assumptions (O&amp;G Upstream)'!$B$339,Model!AH$1,'Assumptions (O&amp;G Upstream)'!$B$342,Model!$E$3339)</f>
        <v>#NUM!</v>
      </c>
      <c r="Q3344" s="377" t="e">
        <f>PPMT('Assumptions (O&amp;G Upstream)'!$B$339,Model!AI$1,'Assumptions (O&amp;G Upstream)'!$B$342,Model!$E$3339)</f>
        <v>#NUM!</v>
      </c>
      <c r="R3344" s="377" t="e">
        <f>PPMT('Assumptions (O&amp;G Upstream)'!$B$339,Model!AJ$1,'Assumptions (O&amp;G Upstream)'!$B$342,Model!$E$3339)</f>
        <v>#NUM!</v>
      </c>
      <c r="S3344" s="377" t="e">
        <f>PPMT('Assumptions (O&amp;G Upstream)'!$B$339,Model!AK$1,'Assumptions (O&amp;G Upstream)'!$B$342,Model!$E$3339)</f>
        <v>#NUM!</v>
      </c>
      <c r="T3344" s="377" t="e">
        <f>PPMT('Assumptions (O&amp;G Upstream)'!$B$339,Model!AL$1,'Assumptions (O&amp;G Upstream)'!$B$342,Model!$E$3339)</f>
        <v>#NUM!</v>
      </c>
      <c r="U3344" s="377" t="e">
        <f>PPMT('Assumptions (O&amp;G Upstream)'!$B$339,Model!AM$1,'Assumptions (O&amp;G Upstream)'!$B$342,Model!$E$3339)</f>
        <v>#NUM!</v>
      </c>
      <c r="V3344" s="377" t="e">
        <f>PPMT('Assumptions (O&amp;G Upstream)'!$B$339,Model!AN$1,'Assumptions (O&amp;G Upstream)'!$B$342,Model!$E$3339)</f>
        <v>#NUM!</v>
      </c>
      <c r="W3344" s="377" t="e">
        <f>PPMT('Assumptions (O&amp;G Upstream)'!$B$339,Model!AO$1,'Assumptions (O&amp;G Upstream)'!$B$342,Model!$E$3339)</f>
        <v>#NUM!</v>
      </c>
      <c r="X3344" s="377" t="e">
        <f>PPMT('Assumptions (O&amp;G Upstream)'!$B$339,Model!AP$1,'Assumptions (O&amp;G Upstream)'!$B$342,Model!$E$3339)</f>
        <v>#NUM!</v>
      </c>
      <c r="Y3344" s="377" t="e">
        <f>PPMT('Assumptions (O&amp;G Upstream)'!$B$339,Model!AQ$1,'Assumptions (O&amp;G Upstream)'!$B$342,Model!$E$3339)</f>
        <v>#NUM!</v>
      </c>
      <c r="Z3344" s="377" t="e">
        <f>PPMT('Assumptions (O&amp;G Upstream)'!$B$339,Model!AR$1,'Assumptions (O&amp;G Upstream)'!$B$342,Model!$E$3339)</f>
        <v>#NUM!</v>
      </c>
      <c r="AA3344" s="377" t="e">
        <f>PPMT('Assumptions (O&amp;G Upstream)'!$B$339,Model!AS$1,'Assumptions (O&amp;G Upstream)'!$B$342,Model!$E$3339)</f>
        <v>#NUM!</v>
      </c>
      <c r="AB3344" s="377" t="e">
        <f>PPMT('Assumptions (O&amp;G Upstream)'!$B$339,Model!AT$1,'Assumptions (O&amp;G Upstream)'!$B$342,Model!$E$3339)</f>
        <v>#NUM!</v>
      </c>
      <c r="AC3344" s="377" t="e">
        <f>PPMT('Assumptions (O&amp;G Upstream)'!$B$339,Model!AU$1,'Assumptions (O&amp;G Upstream)'!$B$342,Model!$E$3339)</f>
        <v>#NUM!</v>
      </c>
    </row>
    <row r="3345" spans="1:45" ht="15.75" hidden="1" customHeight="1" outlineLevel="1">
      <c r="A3345" s="472"/>
      <c r="B3345" s="99"/>
      <c r="C3345" s="377"/>
      <c r="D3345" s="377"/>
      <c r="E3345" s="377"/>
      <c r="F3345" s="377">
        <f>PPMT('Assumptions (O&amp;G Upstream)'!$B$339,Model!W$1,'Assumptions (O&amp;G Upstream)'!$B$342,Model!$F$3339)</f>
        <v>-1.8957965735686004</v>
      </c>
      <c r="G3345" s="377">
        <f>PPMT('Assumptions (O&amp;G Upstream)'!$B$339,Model!X$1,'Assumptions (O&amp;G Upstream)'!$B$342,Model!$F$3339)</f>
        <v>-2.0379813165862455</v>
      </c>
      <c r="H3345" s="377">
        <f>PPMT('Assumptions (O&amp;G Upstream)'!$B$339,Model!Y$1,'Assumptions (O&amp;G Upstream)'!$B$342,Model!$F$3339)</f>
        <v>-2.1908299153302138</v>
      </c>
      <c r="I3345" s="377">
        <f>PPMT('Assumptions (O&amp;G Upstream)'!$B$339,Model!Z$1,'Assumptions (O&amp;G Upstream)'!$B$342,Model!$F$3339)</f>
        <v>-2.3551421589799797</v>
      </c>
      <c r="J3345" s="377">
        <f>PPMT('Assumptions (O&amp;G Upstream)'!$B$339,Model!AA$1,'Assumptions (O&amp;G Upstream)'!$B$342,Model!$F$3339)</f>
        <v>-2.5317778209034785</v>
      </c>
      <c r="K3345" s="377">
        <f>PPMT('Assumptions (O&amp;G Upstream)'!$B$339,Model!AB$1,'Assumptions (O&amp;G Upstream)'!$B$342,Model!$F$3339)</f>
        <v>-2.7216611574712388</v>
      </c>
      <c r="L3345" s="377">
        <f>PPMT('Assumptions (O&amp;G Upstream)'!$B$339,Model!AC$1,'Assumptions (O&amp;G Upstream)'!$B$342,Model!$F$3339)</f>
        <v>-2.925785744281582</v>
      </c>
      <c r="M3345" s="377">
        <f>PPMT('Assumptions (O&amp;G Upstream)'!$B$339,Model!AD$1,'Assumptions (O&amp;G Upstream)'!$B$342,Model!$F$3339)</f>
        <v>-3.1452196751027004</v>
      </c>
      <c r="N3345" s="377">
        <f>PPMT('Assumptions (O&amp;G Upstream)'!$B$339,Model!AE$1,'Assumptions (O&amp;G Upstream)'!$B$342,Model!$F$3339)</f>
        <v>-3.381111150735403</v>
      </c>
      <c r="O3345" s="377">
        <f>PPMT('Assumptions (O&amp;G Upstream)'!$B$339,Model!AF$1,'Assumptions (O&amp;G Upstream)'!$B$342,Model!$F$3339)</f>
        <v>-3.6346944870405582</v>
      </c>
      <c r="P3345" s="377" t="e">
        <f>PPMT('Assumptions (O&amp;G Upstream)'!$B$339,Model!AG$1,'Assumptions (O&amp;G Upstream)'!$B$342,Model!$F$3339)</f>
        <v>#NUM!</v>
      </c>
      <c r="Q3345" s="377" t="e">
        <f>PPMT('Assumptions (O&amp;G Upstream)'!$B$339,Model!AH$1,'Assumptions (O&amp;G Upstream)'!$B$342,Model!$F$3339)</f>
        <v>#NUM!</v>
      </c>
      <c r="R3345" s="377" t="e">
        <f>PPMT('Assumptions (O&amp;G Upstream)'!$B$339,Model!AI$1,'Assumptions (O&amp;G Upstream)'!$B$342,Model!$F$3339)</f>
        <v>#NUM!</v>
      </c>
      <c r="S3345" s="377" t="e">
        <f>PPMT('Assumptions (O&amp;G Upstream)'!$B$339,Model!AJ$1,'Assumptions (O&amp;G Upstream)'!$B$342,Model!$F$3339)</f>
        <v>#NUM!</v>
      </c>
      <c r="T3345" s="377" t="e">
        <f>PPMT('Assumptions (O&amp;G Upstream)'!$B$339,Model!AK$1,'Assumptions (O&amp;G Upstream)'!$B$342,Model!$F$3339)</f>
        <v>#NUM!</v>
      </c>
      <c r="U3345" s="377" t="e">
        <f>PPMT('Assumptions (O&amp;G Upstream)'!$B$339,Model!AL$1,'Assumptions (O&amp;G Upstream)'!$B$342,Model!$F$3339)</f>
        <v>#NUM!</v>
      </c>
      <c r="V3345" s="377" t="e">
        <f>PPMT('Assumptions (O&amp;G Upstream)'!$B$339,Model!AM$1,'Assumptions (O&amp;G Upstream)'!$B$342,Model!$F$3339)</f>
        <v>#NUM!</v>
      </c>
      <c r="W3345" s="377" t="e">
        <f>PPMT('Assumptions (O&amp;G Upstream)'!$B$339,Model!AN$1,'Assumptions (O&amp;G Upstream)'!$B$342,Model!$F$3339)</f>
        <v>#NUM!</v>
      </c>
      <c r="X3345" s="377" t="e">
        <f>PPMT('Assumptions (O&amp;G Upstream)'!$B$339,Model!AO$1,'Assumptions (O&amp;G Upstream)'!$B$342,Model!$F$3339)</f>
        <v>#NUM!</v>
      </c>
      <c r="Y3345" s="377" t="e">
        <f>PPMT('Assumptions (O&amp;G Upstream)'!$B$339,Model!AP$1,'Assumptions (O&amp;G Upstream)'!$B$342,Model!$F$3339)</f>
        <v>#NUM!</v>
      </c>
      <c r="Z3345" s="377" t="e">
        <f>PPMT('Assumptions (O&amp;G Upstream)'!$B$339,Model!AQ$1,'Assumptions (O&amp;G Upstream)'!$B$342,Model!$F$3339)</f>
        <v>#NUM!</v>
      </c>
      <c r="AA3345" s="377" t="e">
        <f>PPMT('Assumptions (O&amp;G Upstream)'!$B$339,Model!AR$1,'Assumptions (O&amp;G Upstream)'!$B$342,Model!$F$3339)</f>
        <v>#NUM!</v>
      </c>
      <c r="AB3345" s="377" t="e">
        <f>PPMT('Assumptions (O&amp;G Upstream)'!$B$339,Model!AS$1,'Assumptions (O&amp;G Upstream)'!$B$342,Model!$F$3339)</f>
        <v>#NUM!</v>
      </c>
      <c r="AC3345" s="377" t="e">
        <f>PPMT('Assumptions (O&amp;G Upstream)'!$B$339,Model!AT$1,'Assumptions (O&amp;G Upstream)'!$B$342,Model!$F$3339)</f>
        <v>#NUM!</v>
      </c>
      <c r="AD3345" s="377" t="e">
        <f>PPMT('Assumptions (O&amp;G Upstream)'!$B$339,Model!AU$1,'Assumptions (O&amp;G Upstream)'!$B$342,Model!$F$3339)</f>
        <v>#NUM!</v>
      </c>
    </row>
    <row r="3346" spans="1:45" ht="15.75" hidden="1" customHeight="1" outlineLevel="1">
      <c r="A3346" s="472"/>
      <c r="B3346" s="99"/>
      <c r="C3346" s="377"/>
      <c r="D3346" s="377"/>
      <c r="E3346" s="377"/>
      <c r="F3346" s="377"/>
      <c r="G3346" s="377">
        <f>PPMT('Assumptions (O&amp;G Upstream)'!$B$339,Model!W$1,'Assumptions (O&amp;G Upstream)'!$B$342,Model!$G$3339)</f>
        <v>-2.1926774687583142</v>
      </c>
      <c r="H3346" s="377">
        <f>PPMT('Assumptions (O&amp;G Upstream)'!$B$339,Model!X$1,'Assumptions (O&amp;G Upstream)'!$B$342,Model!$G$3339)</f>
        <v>-2.3571282789151877</v>
      </c>
      <c r="I3346" s="377">
        <f>PPMT('Assumptions (O&amp;G Upstream)'!$B$339,Model!Y$1,'Assumptions (O&amp;G Upstream)'!$B$342,Model!$G$3339)</f>
        <v>-2.5339128998338265</v>
      </c>
      <c r="J3346" s="377">
        <f>PPMT('Assumptions (O&amp;G Upstream)'!$B$339,Model!Z$1,'Assumptions (O&amp;G Upstream)'!$B$342,Model!$G$3339)</f>
        <v>-2.7239563673213638</v>
      </c>
      <c r="K3346" s="377">
        <f>PPMT('Assumptions (O&amp;G Upstream)'!$B$339,Model!AA$1,'Assumptions (O&amp;G Upstream)'!$B$342,Model!$G$3339)</f>
        <v>-2.9282530948704664</v>
      </c>
      <c r="L3346" s="377">
        <f>PPMT('Assumptions (O&amp;G Upstream)'!$B$339,Model!AB$1,'Assumptions (O&amp;G Upstream)'!$B$342,Model!$G$3339)</f>
        <v>-3.1478720769857502</v>
      </c>
      <c r="M3346" s="377">
        <f>PPMT('Assumptions (O&amp;G Upstream)'!$B$339,Model!AC$1,'Assumptions (O&amp;G Upstream)'!$B$342,Model!$G$3339)</f>
        <v>-3.3839624827596819</v>
      </c>
      <c r="N3346" s="377">
        <f>PPMT('Assumptions (O&amp;G Upstream)'!$B$339,Model!AD$1,'Assumptions (O&amp;G Upstream)'!$B$342,Model!$G$3339)</f>
        <v>-3.6377596689666585</v>
      </c>
      <c r="O3346" s="377">
        <f>PPMT('Assumptions (O&amp;G Upstream)'!$B$339,Model!AE$1,'Assumptions (O&amp;G Upstream)'!$B$342,Model!$G$3339)</f>
        <v>-3.9105916441391577</v>
      </c>
      <c r="P3346" s="377">
        <f>PPMT('Assumptions (O&amp;G Upstream)'!$B$339,Model!AF$1,'Assumptions (O&amp;G Upstream)'!$B$342,Model!$G$3339)</f>
        <v>-4.2038860174495944</v>
      </c>
      <c r="Q3346" s="377" t="e">
        <f>PPMT('Assumptions (O&amp;G Upstream)'!$B$339,Model!AG$1,'Assumptions (O&amp;G Upstream)'!$B$342,Model!$G$3339)</f>
        <v>#NUM!</v>
      </c>
      <c r="R3346" s="377" t="e">
        <f>PPMT('Assumptions (O&amp;G Upstream)'!$B$339,Model!AH$1,'Assumptions (O&amp;G Upstream)'!$B$342,Model!$G$3339)</f>
        <v>#NUM!</v>
      </c>
      <c r="S3346" s="377" t="e">
        <f>PPMT('Assumptions (O&amp;G Upstream)'!$B$339,Model!AI$1,'Assumptions (O&amp;G Upstream)'!$B$342,Model!$G$3339)</f>
        <v>#NUM!</v>
      </c>
      <c r="T3346" s="377" t="e">
        <f>PPMT('Assumptions (O&amp;G Upstream)'!$B$339,Model!AJ$1,'Assumptions (O&amp;G Upstream)'!$B$342,Model!$G$3339)</f>
        <v>#NUM!</v>
      </c>
      <c r="U3346" s="377" t="e">
        <f>PPMT('Assumptions (O&amp;G Upstream)'!$B$339,Model!AK$1,'Assumptions (O&amp;G Upstream)'!$B$342,Model!$G$3339)</f>
        <v>#NUM!</v>
      </c>
      <c r="V3346" s="377" t="e">
        <f>PPMT('Assumptions (O&amp;G Upstream)'!$B$339,Model!AL$1,'Assumptions (O&amp;G Upstream)'!$B$342,Model!$G$3339)</f>
        <v>#NUM!</v>
      </c>
      <c r="W3346" s="377" t="e">
        <f>PPMT('Assumptions (O&amp;G Upstream)'!$B$339,Model!AM$1,'Assumptions (O&amp;G Upstream)'!$B$342,Model!$G$3339)</f>
        <v>#NUM!</v>
      </c>
      <c r="X3346" s="377" t="e">
        <f>PPMT('Assumptions (O&amp;G Upstream)'!$B$339,Model!AN$1,'Assumptions (O&amp;G Upstream)'!$B$342,Model!$G$3339)</f>
        <v>#NUM!</v>
      </c>
      <c r="Y3346" s="377" t="e">
        <f>PPMT('Assumptions (O&amp;G Upstream)'!$B$339,Model!AO$1,'Assumptions (O&amp;G Upstream)'!$B$342,Model!$G$3339)</f>
        <v>#NUM!</v>
      </c>
      <c r="Z3346" s="377" t="e">
        <f>PPMT('Assumptions (O&amp;G Upstream)'!$B$339,Model!AP$1,'Assumptions (O&amp;G Upstream)'!$B$342,Model!$G$3339)</f>
        <v>#NUM!</v>
      </c>
      <c r="AA3346" s="377" t="e">
        <f>PPMT('Assumptions (O&amp;G Upstream)'!$B$339,Model!AQ$1,'Assumptions (O&amp;G Upstream)'!$B$342,Model!$G$3339)</f>
        <v>#NUM!</v>
      </c>
      <c r="AB3346" s="377" t="e">
        <f>PPMT('Assumptions (O&amp;G Upstream)'!$B$339,Model!AR$1,'Assumptions (O&amp;G Upstream)'!$B$342,Model!$G$3339)</f>
        <v>#NUM!</v>
      </c>
      <c r="AC3346" s="377" t="e">
        <f>PPMT('Assumptions (O&amp;G Upstream)'!$B$339,Model!AS$1,'Assumptions (O&amp;G Upstream)'!$B$342,Model!$G$3339)</f>
        <v>#NUM!</v>
      </c>
      <c r="AD3346" s="377" t="e">
        <f>PPMT('Assumptions (O&amp;G Upstream)'!$B$339,Model!AT$1,'Assumptions (O&amp;G Upstream)'!$B$342,Model!$G$3339)</f>
        <v>#NUM!</v>
      </c>
      <c r="AE3346" s="377" t="e">
        <f>PPMT('Assumptions (O&amp;G Upstream)'!$B$339,Model!AU$1,'Assumptions (O&amp;G Upstream)'!$B$342,Model!$G$3339)</f>
        <v>#NUM!</v>
      </c>
    </row>
    <row r="3347" spans="1:45" ht="15.75" hidden="1" customHeight="1" outlineLevel="1">
      <c r="A3347" s="472"/>
      <c r="B3347" s="99"/>
      <c r="C3347" s="377"/>
      <c r="D3347" s="377"/>
      <c r="E3347" s="377"/>
      <c r="F3347" s="377"/>
      <c r="G3347" s="377"/>
      <c r="H3347" s="377">
        <f>PPMT('Assumptions (O&amp;G Upstream)'!$B$339,Model!W$1,'Assumptions (O&amp;G Upstream)'!$B$342,Model!$H$3339)</f>
        <v>-3.0409085978717822</v>
      </c>
      <c r="I3347" s="377">
        <f>PPMT('Assumptions (O&amp;G Upstream)'!$B$339,Model!X$1,'Assumptions (O&amp;G Upstream)'!$B$342,Model!$H$3339)</f>
        <v>-3.2689767427121654</v>
      </c>
      <c r="J3347" s="377">
        <f>PPMT('Assumptions (O&amp;G Upstream)'!$B$339,Model!Y$1,'Assumptions (O&amp;G Upstream)'!$B$342,Model!$H$3339)</f>
        <v>-3.514149998415578</v>
      </c>
      <c r="K3347" s="377">
        <f>PPMT('Assumptions (O&amp;G Upstream)'!$B$339,Model!Z$1,'Assumptions (O&amp;G Upstream)'!$B$342,Model!$H$3339)</f>
        <v>-3.7777112482967463</v>
      </c>
      <c r="L3347" s="377">
        <f>PPMT('Assumptions (O&amp;G Upstream)'!$B$339,Model!AA$1,'Assumptions (O&amp;G Upstream)'!$B$342,Model!$H$3339)</f>
        <v>-4.0610395919190028</v>
      </c>
      <c r="M3347" s="377">
        <f>PPMT('Assumptions (O&amp;G Upstream)'!$B$339,Model!AB$1,'Assumptions (O&amp;G Upstream)'!$B$342,Model!$H$3339)</f>
        <v>-4.3656175613129271</v>
      </c>
      <c r="N3347" s="377">
        <f>PPMT('Assumptions (O&amp;G Upstream)'!$B$339,Model!AC$1,'Assumptions (O&amp;G Upstream)'!$B$342,Model!$H$3339)</f>
        <v>-4.6930388784113974</v>
      </c>
      <c r="O3347" s="377">
        <f>PPMT('Assumptions (O&amp;G Upstream)'!$B$339,Model!AD$1,'Assumptions (O&amp;G Upstream)'!$B$342,Model!$H$3339)</f>
        <v>-5.0450167942922519</v>
      </c>
      <c r="P3347" s="377">
        <f>PPMT('Assumptions (O&amp;G Upstream)'!$B$339,Model!AE$1,'Assumptions (O&amp;G Upstream)'!$B$342,Model!$H$3339)</f>
        <v>-5.4233930538641708</v>
      </c>
      <c r="Q3347" s="377">
        <f>PPMT('Assumptions (O&amp;G Upstream)'!$B$339,Model!AF$1,'Assumptions (O&amp;G Upstream)'!$B$342,Model!$H$3339)</f>
        <v>-5.8301475329039842</v>
      </c>
      <c r="R3347" s="377" t="e">
        <f>PPMT('Assumptions (O&amp;G Upstream)'!$B$339,Model!AG$1,'Assumptions (O&amp;G Upstream)'!$B$342,Model!$H$3339)</f>
        <v>#NUM!</v>
      </c>
      <c r="S3347" s="377" t="e">
        <f>PPMT('Assumptions (O&amp;G Upstream)'!$B$339,Model!AH$1,'Assumptions (O&amp;G Upstream)'!$B$342,Model!$H$3339)</f>
        <v>#NUM!</v>
      </c>
      <c r="T3347" s="377" t="e">
        <f>PPMT('Assumptions (O&amp;G Upstream)'!$B$339,Model!AI$1,'Assumptions (O&amp;G Upstream)'!$B$342,Model!$H$3339)</f>
        <v>#NUM!</v>
      </c>
      <c r="U3347" s="377" t="e">
        <f>PPMT('Assumptions (O&amp;G Upstream)'!$B$339,Model!AJ$1,'Assumptions (O&amp;G Upstream)'!$B$342,Model!$H$3339)</f>
        <v>#NUM!</v>
      </c>
      <c r="V3347" s="377" t="e">
        <f>PPMT('Assumptions (O&amp;G Upstream)'!$B$339,Model!AK$1,'Assumptions (O&amp;G Upstream)'!$B$342,Model!$H$3339)</f>
        <v>#NUM!</v>
      </c>
      <c r="W3347" s="377" t="e">
        <f>PPMT('Assumptions (O&amp;G Upstream)'!$B$339,Model!AL$1,'Assumptions (O&amp;G Upstream)'!$B$342,Model!$H$3339)</f>
        <v>#NUM!</v>
      </c>
      <c r="X3347" s="377" t="e">
        <f>PPMT('Assumptions (O&amp;G Upstream)'!$B$339,Model!AM$1,'Assumptions (O&amp;G Upstream)'!$B$342,Model!$H$3339)</f>
        <v>#NUM!</v>
      </c>
      <c r="Y3347" s="377" t="e">
        <f>PPMT('Assumptions (O&amp;G Upstream)'!$B$339,Model!AN$1,'Assumptions (O&amp;G Upstream)'!$B$342,Model!$H$3339)</f>
        <v>#NUM!</v>
      </c>
      <c r="Z3347" s="377" t="e">
        <f>PPMT('Assumptions (O&amp;G Upstream)'!$B$339,Model!AO$1,'Assumptions (O&amp;G Upstream)'!$B$342,Model!$H$3339)</f>
        <v>#NUM!</v>
      </c>
      <c r="AA3347" s="377" t="e">
        <f>PPMT('Assumptions (O&amp;G Upstream)'!$B$339,Model!AP$1,'Assumptions (O&amp;G Upstream)'!$B$342,Model!$H$3339)</f>
        <v>#NUM!</v>
      </c>
      <c r="AB3347" s="377" t="e">
        <f>PPMT('Assumptions (O&amp;G Upstream)'!$B$339,Model!AQ$1,'Assumptions (O&amp;G Upstream)'!$B$342,Model!$H$3339)</f>
        <v>#NUM!</v>
      </c>
      <c r="AC3347" s="377" t="e">
        <f>PPMT('Assumptions (O&amp;G Upstream)'!$B$339,Model!AR$1,'Assumptions (O&amp;G Upstream)'!$B$342,Model!$H$3339)</f>
        <v>#NUM!</v>
      </c>
      <c r="AD3347" s="377" t="e">
        <f>PPMT('Assumptions (O&amp;G Upstream)'!$B$339,Model!AS$1,'Assumptions (O&amp;G Upstream)'!$B$342,Model!$H$3339)</f>
        <v>#NUM!</v>
      </c>
      <c r="AE3347" s="377" t="e">
        <f>PPMT('Assumptions (O&amp;G Upstream)'!$B$339,Model!AT$1,'Assumptions (O&amp;G Upstream)'!$B$342,Model!$H$3339)</f>
        <v>#NUM!</v>
      </c>
      <c r="AF3347" s="377" t="e">
        <f>PPMT('Assumptions (O&amp;G Upstream)'!$B$339,Model!AU$1,'Assumptions (O&amp;G Upstream)'!$B$342,Model!$H$3339)</f>
        <v>#NUM!</v>
      </c>
    </row>
    <row r="3348" spans="1:45" ht="15.75" hidden="1" customHeight="1" outlineLevel="1">
      <c r="A3348" s="472"/>
      <c r="B3348" s="99"/>
      <c r="C3348" s="377"/>
      <c r="D3348" s="377"/>
      <c r="E3348" s="377"/>
      <c r="F3348" s="377"/>
      <c r="G3348" s="377"/>
      <c r="H3348" s="377"/>
      <c r="I3348" s="377">
        <f>PPMT('Assumptions (O&amp;G Upstream)'!$B$339,Model!W$1,'Assumptions (O&amp;G Upstream)'!$B$342,Model!$I$3339)</f>
        <v>-4.1902617778205293</v>
      </c>
      <c r="J3348" s="377">
        <f>PPMT('Assumptions (O&amp;G Upstream)'!$B$339,Model!X$1,'Assumptions (O&amp;G Upstream)'!$B$342,Model!$I$3339)</f>
        <v>-4.5045314111570693</v>
      </c>
      <c r="K3348" s="377">
        <f>PPMT('Assumptions (O&amp;G Upstream)'!$B$339,Model!Y$1,'Assumptions (O&amp;G Upstream)'!$B$342,Model!$I$3339)</f>
        <v>-4.8423712669938492</v>
      </c>
      <c r="L3348" s="377">
        <f>PPMT('Assumptions (O&amp;G Upstream)'!$B$339,Model!Z$1,'Assumptions (O&amp;G Upstream)'!$B$342,Model!$I$3339)</f>
        <v>-5.2055491120183888</v>
      </c>
      <c r="M3348" s="377">
        <f>PPMT('Assumptions (O&amp;G Upstream)'!$B$339,Model!AA$1,'Assumptions (O&amp;G Upstream)'!$B$342,Model!$I$3339)</f>
        <v>-5.5959652954197683</v>
      </c>
      <c r="N3348" s="377">
        <f>PPMT('Assumptions (O&amp;G Upstream)'!$B$339,Model!AB$1,'Assumptions (O&amp;G Upstream)'!$B$342,Model!$I$3339)</f>
        <v>-6.0156626925762504</v>
      </c>
      <c r="O3348" s="377">
        <f>PPMT('Assumptions (O&amp;G Upstream)'!$B$339,Model!AC$1,'Assumptions (O&amp;G Upstream)'!$B$342,Model!$I$3339)</f>
        <v>-6.4668373945194686</v>
      </c>
      <c r="P3348" s="377">
        <f>PPMT('Assumptions (O&amp;G Upstream)'!$B$339,Model!AD$1,'Assumptions (O&amp;G Upstream)'!$B$342,Model!$I$3339)</f>
        <v>-6.9518501991084287</v>
      </c>
      <c r="Q3348" s="377">
        <f>PPMT('Assumptions (O&amp;G Upstream)'!$B$339,Model!AE$1,'Assumptions (O&amp;G Upstream)'!$B$342,Model!$I$3339)</f>
        <v>-7.4732389640415615</v>
      </c>
      <c r="R3348" s="377">
        <f>PPMT('Assumptions (O&amp;G Upstream)'!$B$339,Model!AF$1,'Assumptions (O&amp;G Upstream)'!$B$342,Model!$I$3339)</f>
        <v>-8.0337318863446772</v>
      </c>
      <c r="S3348" s="377" t="e">
        <f>PPMT('Assumptions (O&amp;G Upstream)'!$B$339,Model!AG$1,'Assumptions (O&amp;G Upstream)'!$B$342,Model!$I$3339)</f>
        <v>#NUM!</v>
      </c>
      <c r="T3348" s="377" t="e">
        <f>PPMT('Assumptions (O&amp;G Upstream)'!$B$339,Model!AH$1,'Assumptions (O&amp;G Upstream)'!$B$342,Model!$I$3339)</f>
        <v>#NUM!</v>
      </c>
      <c r="U3348" s="377" t="e">
        <f>PPMT('Assumptions (O&amp;G Upstream)'!$B$339,Model!AI$1,'Assumptions (O&amp;G Upstream)'!$B$342,Model!$I$3339)</f>
        <v>#NUM!</v>
      </c>
      <c r="V3348" s="377" t="e">
        <f>PPMT('Assumptions (O&amp;G Upstream)'!$B$339,Model!AJ$1,'Assumptions (O&amp;G Upstream)'!$B$342,Model!$I$3339)</f>
        <v>#NUM!</v>
      </c>
      <c r="W3348" s="377" t="e">
        <f>PPMT('Assumptions (O&amp;G Upstream)'!$B$339,Model!AK$1,'Assumptions (O&amp;G Upstream)'!$B$342,Model!$I$3339)</f>
        <v>#NUM!</v>
      </c>
      <c r="X3348" s="377" t="e">
        <f>PPMT('Assumptions (O&amp;G Upstream)'!$B$339,Model!AL$1,'Assumptions (O&amp;G Upstream)'!$B$342,Model!$I$3339)</f>
        <v>#NUM!</v>
      </c>
      <c r="Y3348" s="377" t="e">
        <f>PPMT('Assumptions (O&amp;G Upstream)'!$B$339,Model!AM$1,'Assumptions (O&amp;G Upstream)'!$B$342,Model!$I$3339)</f>
        <v>#NUM!</v>
      </c>
      <c r="Z3348" s="377" t="e">
        <f>PPMT('Assumptions (O&amp;G Upstream)'!$B$339,Model!AN$1,'Assumptions (O&amp;G Upstream)'!$B$342,Model!$I$3339)</f>
        <v>#NUM!</v>
      </c>
      <c r="AA3348" s="377" t="e">
        <f>PPMT('Assumptions (O&amp;G Upstream)'!$B$339,Model!AO$1,'Assumptions (O&amp;G Upstream)'!$B$342,Model!$I$3339)</f>
        <v>#NUM!</v>
      </c>
      <c r="AB3348" s="377" t="e">
        <f>PPMT('Assumptions (O&amp;G Upstream)'!$B$339,Model!AP$1,'Assumptions (O&amp;G Upstream)'!$B$342,Model!$I$3339)</f>
        <v>#NUM!</v>
      </c>
      <c r="AC3348" s="377" t="e">
        <f>PPMT('Assumptions (O&amp;G Upstream)'!$B$339,Model!AQ$1,'Assumptions (O&amp;G Upstream)'!$B$342,Model!$I$3339)</f>
        <v>#NUM!</v>
      </c>
      <c r="AD3348" s="377" t="e">
        <f>PPMT('Assumptions (O&amp;G Upstream)'!$B$339,Model!AR$1,'Assumptions (O&amp;G Upstream)'!$B$342,Model!$I$3339)</f>
        <v>#NUM!</v>
      </c>
      <c r="AE3348" s="377" t="e">
        <f>PPMT('Assumptions (O&amp;G Upstream)'!$B$339,Model!AS$1,'Assumptions (O&amp;G Upstream)'!$B$342,Model!$I$3339)</f>
        <v>#NUM!</v>
      </c>
      <c r="AF3348" s="377" t="e">
        <f>PPMT('Assumptions (O&amp;G Upstream)'!$B$339,Model!AT$1,'Assumptions (O&amp;G Upstream)'!$B$342,Model!$I$3339)</f>
        <v>#NUM!</v>
      </c>
      <c r="AG3348" s="377" t="e">
        <f>PPMT('Assumptions (O&amp;G Upstream)'!$B$339,Model!AU$1,'Assumptions (O&amp;G Upstream)'!$B$342,Model!$I$3339)</f>
        <v>#NUM!</v>
      </c>
    </row>
    <row r="3349" spans="1:45" ht="15.75" hidden="1" customHeight="1" outlineLevel="1">
      <c r="A3349" s="472"/>
      <c r="B3349" s="99"/>
      <c r="C3349" s="377"/>
      <c r="D3349" s="377"/>
      <c r="E3349" s="377"/>
      <c r="F3349" s="377"/>
      <c r="G3349" s="377"/>
      <c r="H3349" s="377"/>
      <c r="I3349" s="377"/>
      <c r="J3349" s="377">
        <f>PPMT('Assumptions (O&amp;G Upstream)'!$B$339,Model!W$1,'Assumptions (O&amp;G Upstream)'!$B$342,Model!$J$3339)</f>
        <v>-4.5846892528582934</v>
      </c>
      <c r="K3349" s="377">
        <f>PPMT('Assumptions (O&amp;G Upstream)'!$B$339,Model!X$1,'Assumptions (O&amp;G Upstream)'!$B$342,Model!$J$3339)</f>
        <v>-4.9285409468226646</v>
      </c>
      <c r="L3349" s="377">
        <f>PPMT('Assumptions (O&amp;G Upstream)'!$B$339,Model!Y$1,'Assumptions (O&amp;G Upstream)'!$B$342,Model!$J$3339)</f>
        <v>-5.2981815178343643</v>
      </c>
      <c r="M3349" s="377">
        <f>PPMT('Assumptions (O&amp;G Upstream)'!$B$339,Model!Z$1,'Assumptions (O&amp;G Upstream)'!$B$342,Model!$J$3339)</f>
        <v>-5.6955451316719428</v>
      </c>
      <c r="N3349" s="377">
        <f>PPMT('Assumptions (O&amp;G Upstream)'!$B$339,Model!AA$1,'Assumptions (O&amp;G Upstream)'!$B$342,Model!$J$3339)</f>
        <v>-6.1227110165473375</v>
      </c>
      <c r="O3349" s="377">
        <f>PPMT('Assumptions (O&amp;G Upstream)'!$B$339,Model!AB$1,'Assumptions (O&amp;G Upstream)'!$B$342,Model!$J$3339)</f>
        <v>-6.5819143427883873</v>
      </c>
      <c r="P3349" s="377">
        <f>PPMT('Assumptions (O&amp;G Upstream)'!$B$339,Model!AC$1,'Assumptions (O&amp;G Upstream)'!$B$342,Model!$J$3339)</f>
        <v>-7.075557918497517</v>
      </c>
      <c r="Q3349" s="377">
        <f>PPMT('Assumptions (O&amp;G Upstream)'!$B$339,Model!AD$1,'Assumptions (O&amp;G Upstream)'!$B$342,Model!$J$3339)</f>
        <v>-7.6062247623848309</v>
      </c>
      <c r="R3349" s="377">
        <f>PPMT('Assumptions (O&amp;G Upstream)'!$B$339,Model!AE$1,'Assumptions (O&amp;G Upstream)'!$B$342,Model!$J$3339)</f>
        <v>-8.1766916195636945</v>
      </c>
      <c r="S3349" s="377">
        <f>PPMT('Assumptions (O&amp;G Upstream)'!$B$339,Model!AF$1,'Assumptions (O&amp;G Upstream)'!$B$342,Model!$J$3339)</f>
        <v>-8.7899434910309697</v>
      </c>
      <c r="T3349" s="377" t="e">
        <f>PPMT('Assumptions (O&amp;G Upstream)'!$B$339,Model!AG$1,'Assumptions (O&amp;G Upstream)'!$B$342,Model!$J$3339)</f>
        <v>#NUM!</v>
      </c>
      <c r="U3349" s="377" t="e">
        <f>PPMT('Assumptions (O&amp;G Upstream)'!$B$339,Model!AH$1,'Assumptions (O&amp;G Upstream)'!$B$342,Model!$J$3339)</f>
        <v>#NUM!</v>
      </c>
      <c r="V3349" s="377" t="e">
        <f>PPMT('Assumptions (O&amp;G Upstream)'!$B$339,Model!AI$1,'Assumptions (O&amp;G Upstream)'!$B$342,Model!$J$3339)</f>
        <v>#NUM!</v>
      </c>
      <c r="W3349" s="377" t="e">
        <f>PPMT('Assumptions (O&amp;G Upstream)'!$B$339,Model!AJ$1,'Assumptions (O&amp;G Upstream)'!$B$342,Model!$J$3339)</f>
        <v>#NUM!</v>
      </c>
      <c r="X3349" s="377" t="e">
        <f>PPMT('Assumptions (O&amp;G Upstream)'!$B$339,Model!AK$1,'Assumptions (O&amp;G Upstream)'!$B$342,Model!$J$3339)</f>
        <v>#NUM!</v>
      </c>
      <c r="Y3349" s="377" t="e">
        <f>PPMT('Assumptions (O&amp;G Upstream)'!$B$339,Model!AL$1,'Assumptions (O&amp;G Upstream)'!$B$342,Model!$J$3339)</f>
        <v>#NUM!</v>
      </c>
      <c r="Z3349" s="377" t="e">
        <f>PPMT('Assumptions (O&amp;G Upstream)'!$B$339,Model!AM$1,'Assumptions (O&amp;G Upstream)'!$B$342,Model!$J$3339)</f>
        <v>#NUM!</v>
      </c>
      <c r="AA3349" s="377" t="e">
        <f>PPMT('Assumptions (O&amp;G Upstream)'!$B$339,Model!AN$1,'Assumptions (O&amp;G Upstream)'!$B$342,Model!$J$3339)</f>
        <v>#NUM!</v>
      </c>
      <c r="AB3349" s="377" t="e">
        <f>PPMT('Assumptions (O&amp;G Upstream)'!$B$339,Model!AO$1,'Assumptions (O&amp;G Upstream)'!$B$342,Model!$J$3339)</f>
        <v>#NUM!</v>
      </c>
      <c r="AC3349" s="377" t="e">
        <f>PPMT('Assumptions (O&amp;G Upstream)'!$B$339,Model!AP$1,'Assumptions (O&amp;G Upstream)'!$B$342,Model!$J$3339)</f>
        <v>#NUM!</v>
      </c>
      <c r="AD3349" s="377" t="e">
        <f>PPMT('Assumptions (O&amp;G Upstream)'!$B$339,Model!AQ$1,'Assumptions (O&amp;G Upstream)'!$B$342,Model!$J$3339)</f>
        <v>#NUM!</v>
      </c>
      <c r="AE3349" s="377" t="e">
        <f>PPMT('Assumptions (O&amp;G Upstream)'!$B$339,Model!AR$1,'Assumptions (O&amp;G Upstream)'!$B$342,Model!$J$3339)</f>
        <v>#NUM!</v>
      </c>
      <c r="AF3349" s="377" t="e">
        <f>PPMT('Assumptions (O&amp;G Upstream)'!$B$339,Model!AS$1,'Assumptions (O&amp;G Upstream)'!$B$342,Model!$J$3339)</f>
        <v>#NUM!</v>
      </c>
      <c r="AG3349" s="377" t="e">
        <f>PPMT('Assumptions (O&amp;G Upstream)'!$B$339,Model!AT$1,'Assumptions (O&amp;G Upstream)'!$B$342,Model!$J$3339)</f>
        <v>#NUM!</v>
      </c>
      <c r="AH3349" s="377" t="e">
        <f>PPMT('Assumptions (O&amp;G Upstream)'!$B$339,Model!AU$1,'Assumptions (O&amp;G Upstream)'!$B$342,Model!$J$3339)</f>
        <v>#NUM!</v>
      </c>
    </row>
    <row r="3350" spans="1:45" ht="15.75" hidden="1" customHeight="1" outlineLevel="1">
      <c r="A3350" s="472"/>
      <c r="B3350" s="99"/>
      <c r="C3350" s="377"/>
      <c r="D3350" s="377"/>
      <c r="E3350" s="377"/>
      <c r="F3350" s="377"/>
      <c r="G3350" s="377"/>
      <c r="H3350" s="377"/>
      <c r="I3350" s="377"/>
      <c r="J3350" s="377"/>
      <c r="K3350" s="377">
        <f>PPMT('Assumptions (O&amp;G Upstream)'!$B$339,Model!W$1,'Assumptions (O&amp;G Upstream)'!$B$342,Model!$K$3339)</f>
        <v>-5.3141680238958742</v>
      </c>
      <c r="L3350" s="377">
        <f>PPMT('Assumptions (O&amp;G Upstream)'!$B$339,Model!X$1,'Assumptions (O&amp;G Upstream)'!$B$342,Model!$K$3339)</f>
        <v>-5.7127306256880646</v>
      </c>
      <c r="M3350" s="377">
        <f>PPMT('Assumptions (O&amp;G Upstream)'!$B$339,Model!Y$1,'Assumptions (O&amp;G Upstream)'!$B$342,Model!$K$3339)</f>
        <v>-6.1411854226146687</v>
      </c>
      <c r="N3350" s="377">
        <f>PPMT('Assumptions (O&amp;G Upstream)'!$B$339,Model!Z$1,'Assumptions (O&amp;G Upstream)'!$B$342,Model!$K$3339)</f>
        <v>-6.6017743293107705</v>
      </c>
      <c r="O3350" s="377">
        <f>PPMT('Assumptions (O&amp;G Upstream)'!$B$339,Model!AA$1,'Assumptions (O&amp;G Upstream)'!$B$342,Model!$K$3339)</f>
        <v>-7.0969074040090776</v>
      </c>
      <c r="P3350" s="377">
        <f>PPMT('Assumptions (O&amp;G Upstream)'!$B$339,Model!AB$1,'Assumptions (O&amp;G Upstream)'!$B$342,Model!$K$3339)</f>
        <v>-7.6291754593097583</v>
      </c>
      <c r="Q3350" s="377">
        <f>PPMT('Assumptions (O&amp;G Upstream)'!$B$339,Model!AC$1,'Assumptions (O&amp;G Upstream)'!$B$342,Model!$K$3339)</f>
        <v>-8.2013636187579912</v>
      </c>
      <c r="R3350" s="377">
        <f>PPMT('Assumptions (O&amp;G Upstream)'!$B$339,Model!AD$1,'Assumptions (O&amp;G Upstream)'!$B$342,Model!$K$3339)</f>
        <v>-8.8164658901648405</v>
      </c>
      <c r="S3350" s="377">
        <f>PPMT('Assumptions (O&amp;G Upstream)'!$B$339,Model!AE$1,'Assumptions (O&amp;G Upstream)'!$B$342,Model!$K$3339)</f>
        <v>-9.4777008319272031</v>
      </c>
      <c r="T3350" s="377">
        <f>PPMT('Assumptions (O&amp;G Upstream)'!$B$339,Model!AF$1,'Assumptions (O&amp;G Upstream)'!$B$342,Model!$K$3339)</f>
        <v>-10.188528394321743</v>
      </c>
      <c r="U3350" s="377" t="e">
        <f>PPMT('Assumptions (O&amp;G Upstream)'!$B$339,Model!AG$1,'Assumptions (O&amp;G Upstream)'!$B$342,Model!$K$3339)</f>
        <v>#NUM!</v>
      </c>
      <c r="V3350" s="377" t="e">
        <f>PPMT('Assumptions (O&amp;G Upstream)'!$B$339,Model!AH$1,'Assumptions (O&amp;G Upstream)'!$B$342,Model!$K$3339)</f>
        <v>#NUM!</v>
      </c>
      <c r="W3350" s="377" t="e">
        <f>PPMT('Assumptions (O&amp;G Upstream)'!$B$339,Model!AI$1,'Assumptions (O&amp;G Upstream)'!$B$342,Model!$K$3339)</f>
        <v>#NUM!</v>
      </c>
      <c r="X3350" s="377" t="e">
        <f>PPMT('Assumptions (O&amp;G Upstream)'!$B$339,Model!AJ$1,'Assumptions (O&amp;G Upstream)'!$B$342,Model!$K$3339)</f>
        <v>#NUM!</v>
      </c>
      <c r="Y3350" s="377" t="e">
        <f>PPMT('Assumptions (O&amp;G Upstream)'!$B$339,Model!AK$1,'Assumptions (O&amp;G Upstream)'!$B$342,Model!$K$3339)</f>
        <v>#NUM!</v>
      </c>
      <c r="Z3350" s="377" t="e">
        <f>PPMT('Assumptions (O&amp;G Upstream)'!$B$339,Model!AL$1,'Assumptions (O&amp;G Upstream)'!$B$342,Model!$K$3339)</f>
        <v>#NUM!</v>
      </c>
      <c r="AA3350" s="377" t="e">
        <f>PPMT('Assumptions (O&amp;G Upstream)'!$B$339,Model!AM$1,'Assumptions (O&amp;G Upstream)'!$B$342,Model!$K$3339)</f>
        <v>#NUM!</v>
      </c>
      <c r="AB3350" s="377" t="e">
        <f>PPMT('Assumptions (O&amp;G Upstream)'!$B$339,Model!AN$1,'Assumptions (O&amp;G Upstream)'!$B$342,Model!$K$3339)</f>
        <v>#NUM!</v>
      </c>
      <c r="AC3350" s="377" t="e">
        <f>PPMT('Assumptions (O&amp;G Upstream)'!$B$339,Model!AO$1,'Assumptions (O&amp;G Upstream)'!$B$342,Model!$K$3339)</f>
        <v>#NUM!</v>
      </c>
      <c r="AD3350" s="377" t="e">
        <f>PPMT('Assumptions (O&amp;G Upstream)'!$B$339,Model!AP$1,'Assumptions (O&amp;G Upstream)'!$B$342,Model!$K$3339)</f>
        <v>#NUM!</v>
      </c>
      <c r="AE3350" s="377" t="e">
        <f>PPMT('Assumptions (O&amp;G Upstream)'!$B$339,Model!AQ$1,'Assumptions (O&amp;G Upstream)'!$B$342,Model!$K$3339)</f>
        <v>#NUM!</v>
      </c>
      <c r="AF3350" s="377" t="e">
        <f>PPMT('Assumptions (O&amp;G Upstream)'!$B$339,Model!AR$1,'Assumptions (O&amp;G Upstream)'!$B$342,Model!$K$3339)</f>
        <v>#NUM!</v>
      </c>
      <c r="AG3350" s="377" t="e">
        <f>PPMT('Assumptions (O&amp;G Upstream)'!$B$339,Model!AS$1,'Assumptions (O&amp;G Upstream)'!$B$342,Model!$K$3339)</f>
        <v>#NUM!</v>
      </c>
      <c r="AH3350" s="377" t="e">
        <f>PPMT('Assumptions (O&amp;G Upstream)'!$B$339,Model!AT$1,'Assumptions (O&amp;G Upstream)'!$B$342,Model!$K$3339)</f>
        <v>#NUM!</v>
      </c>
      <c r="AI3350" s="377" t="e">
        <f>PPMT('Assumptions (O&amp;G Upstream)'!$B$339,Model!AU$1,'Assumptions (O&amp;G Upstream)'!$B$342,Model!$K$3339)</f>
        <v>#NUM!</v>
      </c>
    </row>
    <row r="3351" spans="1:45" ht="15.75" hidden="1" customHeight="1" outlineLevel="1">
      <c r="A3351" s="472"/>
      <c r="B3351" s="99"/>
      <c r="C3351" s="377"/>
      <c r="D3351" s="377"/>
      <c r="E3351" s="377"/>
      <c r="F3351" s="377"/>
      <c r="G3351" s="377"/>
      <c r="H3351" s="377"/>
      <c r="I3351" s="377"/>
      <c r="J3351" s="377"/>
      <c r="K3351" s="377"/>
      <c r="L3351" s="377">
        <f>PPMT('Assumptions (O&amp;G Upstream)'!$B$339,Model!W$1,'Assumptions (O&amp;G Upstream)'!$B$342,Model!$L$3339)</f>
        <v>-3.6982877229347189</v>
      </c>
      <c r="M3351" s="377">
        <f>PPMT('Assumptions (O&amp;G Upstream)'!$B$339,Model!X$1,'Assumptions (O&amp;G Upstream)'!$B$342,Model!$L$3339)</f>
        <v>-3.9756593021548223</v>
      </c>
      <c r="N3351" s="377">
        <f>PPMT('Assumptions (O&amp;G Upstream)'!$B$339,Model!Y$1,'Assumptions (O&amp;G Upstream)'!$B$342,Model!$L$3339)</f>
        <v>-4.2738337498164345</v>
      </c>
      <c r="O3351" s="377">
        <f>PPMT('Assumptions (O&amp;G Upstream)'!$B$339,Model!Z$1,'Assumptions (O&amp;G Upstream)'!$B$342,Model!$L$3339)</f>
        <v>-4.5943712810526671</v>
      </c>
      <c r="P3351" s="377">
        <f>PPMT('Assumptions (O&amp;G Upstream)'!$B$339,Model!AA$1,'Assumptions (O&amp;G Upstream)'!$B$342,Model!$L$3339)</f>
        <v>-4.9389491271316173</v>
      </c>
      <c r="Q3351" s="377">
        <f>PPMT('Assumptions (O&amp;G Upstream)'!$B$339,Model!AB$1,'Assumptions (O&amp;G Upstream)'!$B$342,Model!$L$3339)</f>
        <v>-5.3093703116664877</v>
      </c>
      <c r="R3351" s="377">
        <f>PPMT('Assumptions (O&amp;G Upstream)'!$B$339,Model!AC$1,'Assumptions (O&amp;G Upstream)'!$B$342,Model!$L$3339)</f>
        <v>-5.7075730850414752</v>
      </c>
      <c r="S3351" s="377">
        <f>PPMT('Assumptions (O&amp;G Upstream)'!$B$339,Model!AD$1,'Assumptions (O&amp;G Upstream)'!$B$342,Model!$L$3339)</f>
        <v>-6.135641066419586</v>
      </c>
      <c r="T3351" s="377">
        <f>PPMT('Assumptions (O&amp;G Upstream)'!$B$339,Model!AE$1,'Assumptions (O&amp;G Upstream)'!$B$342,Model!$L$3339)</f>
        <v>-6.5958141464010556</v>
      </c>
      <c r="U3351" s="377">
        <f>PPMT('Assumptions (O&amp;G Upstream)'!$B$339,Model!AF$1,'Assumptions (O&amp;G Upstream)'!$B$342,Model!$L$3339)</f>
        <v>-7.0905002073811332</v>
      </c>
      <c r="V3351" s="377" t="e">
        <f>PPMT('Assumptions (O&amp;G Upstream)'!$B$339,Model!AG$1,'Assumptions (O&amp;G Upstream)'!$B$342,Model!$L$3339)</f>
        <v>#NUM!</v>
      </c>
      <c r="W3351" s="377" t="e">
        <f>PPMT('Assumptions (O&amp;G Upstream)'!$B$339,Model!AH$1,'Assumptions (O&amp;G Upstream)'!$B$342,Model!$L$3339)</f>
        <v>#NUM!</v>
      </c>
      <c r="X3351" s="377" t="e">
        <f>PPMT('Assumptions (O&amp;G Upstream)'!$B$339,Model!AI$1,'Assumptions (O&amp;G Upstream)'!$B$342,Model!$L$3339)</f>
        <v>#NUM!</v>
      </c>
      <c r="Y3351" s="377" t="e">
        <f>PPMT('Assumptions (O&amp;G Upstream)'!$B$339,Model!AJ$1,'Assumptions (O&amp;G Upstream)'!$B$342,Model!$L$3339)</f>
        <v>#NUM!</v>
      </c>
      <c r="Z3351" s="377" t="e">
        <f>PPMT('Assumptions (O&amp;G Upstream)'!$B$339,Model!AK$1,'Assumptions (O&amp;G Upstream)'!$B$342,Model!$L$3339)</f>
        <v>#NUM!</v>
      </c>
      <c r="AA3351" s="377" t="e">
        <f>PPMT('Assumptions (O&amp;G Upstream)'!$B$339,Model!AL$1,'Assumptions (O&amp;G Upstream)'!$B$342,Model!$L$3339)</f>
        <v>#NUM!</v>
      </c>
      <c r="AB3351" s="377" t="e">
        <f>PPMT('Assumptions (O&amp;G Upstream)'!$B$339,Model!AM$1,'Assumptions (O&amp;G Upstream)'!$B$342,Model!$L$3339)</f>
        <v>#NUM!</v>
      </c>
      <c r="AC3351" s="377" t="e">
        <f>PPMT('Assumptions (O&amp;G Upstream)'!$B$339,Model!AN$1,'Assumptions (O&amp;G Upstream)'!$B$342,Model!$L$3339)</f>
        <v>#NUM!</v>
      </c>
      <c r="AD3351" s="377" t="e">
        <f>PPMT('Assumptions (O&amp;G Upstream)'!$B$339,Model!AO$1,'Assumptions (O&amp;G Upstream)'!$B$342,Model!$L$3339)</f>
        <v>#NUM!</v>
      </c>
      <c r="AE3351" s="377" t="e">
        <f>PPMT('Assumptions (O&amp;G Upstream)'!$B$339,Model!AP$1,'Assumptions (O&amp;G Upstream)'!$B$342,Model!$L$3339)</f>
        <v>#NUM!</v>
      </c>
      <c r="AF3351" s="377" t="e">
        <f>PPMT('Assumptions (O&amp;G Upstream)'!$B$339,Model!AQ$1,'Assumptions (O&amp;G Upstream)'!$B$342,Model!$L$3339)</f>
        <v>#NUM!</v>
      </c>
      <c r="AG3351" s="377" t="e">
        <f>PPMT('Assumptions (O&amp;G Upstream)'!$B$339,Model!AR$1,'Assumptions (O&amp;G Upstream)'!$B$342,Model!$L$3339)</f>
        <v>#NUM!</v>
      </c>
      <c r="AH3351" s="377" t="e">
        <f>PPMT('Assumptions (O&amp;G Upstream)'!$B$339,Model!AS$1,'Assumptions (O&amp;G Upstream)'!$B$342,Model!$L$3339)</f>
        <v>#NUM!</v>
      </c>
      <c r="AI3351" s="377" t="e">
        <f>PPMT('Assumptions (O&amp;G Upstream)'!$B$339,Model!AT$1,'Assumptions (O&amp;G Upstream)'!$B$342,Model!$L$3339)</f>
        <v>#NUM!</v>
      </c>
      <c r="AJ3351" s="377" t="e">
        <f>PPMT('Assumptions (O&amp;G Upstream)'!$B$339,Model!AU$1,'Assumptions (O&amp;G Upstream)'!$B$342,Model!$L$3339)</f>
        <v>#NUM!</v>
      </c>
    </row>
    <row r="3352" spans="1:45" ht="15.75" hidden="1" customHeight="1" outlineLevel="1">
      <c r="A3352" s="472"/>
      <c r="B3352" s="99"/>
      <c r="C3352" s="377"/>
      <c r="D3352" s="377"/>
      <c r="E3352" s="377"/>
      <c r="F3352" s="377"/>
      <c r="G3352" s="377"/>
      <c r="H3352" s="377"/>
      <c r="I3352" s="377"/>
      <c r="J3352" s="377"/>
      <c r="K3352" s="377"/>
      <c r="L3352" s="377"/>
      <c r="M3352" s="377">
        <f>PPMT('Assumptions (O&amp;G Upstream)'!$B$339,Model!W$1,'Assumptions (O&amp;G Upstream)'!$B$342,Model!$M$3339)</f>
        <v>-4.3726314705799254</v>
      </c>
      <c r="N3352" s="377">
        <f>PPMT('Assumptions (O&amp;G Upstream)'!$B$339,Model!X$1,'Assumptions (O&amp;G Upstream)'!$B$342,Model!$M$3339)</f>
        <v>-4.70057883087342</v>
      </c>
      <c r="O3352" s="377">
        <f>PPMT('Assumptions (O&amp;G Upstream)'!$B$339,Model!Y$1,'Assumptions (O&amp;G Upstream)'!$B$342,Model!$M$3339)</f>
        <v>-5.053122243188926</v>
      </c>
      <c r="P3352" s="377">
        <f>PPMT('Assumptions (O&amp;G Upstream)'!$B$339,Model!Z$1,'Assumptions (O&amp;G Upstream)'!$B$342,Model!$M$3339)</f>
        <v>-5.4321064114280961</v>
      </c>
      <c r="Q3352" s="377">
        <f>PPMT('Assumptions (O&amp;G Upstream)'!$B$339,Model!AA$1,'Assumptions (O&amp;G Upstream)'!$B$342,Model!$M$3339)</f>
        <v>-5.8395143922852037</v>
      </c>
      <c r="R3352" s="377">
        <f>PPMT('Assumptions (O&amp;G Upstream)'!$B$339,Model!AB$1,'Assumptions (O&amp;G Upstream)'!$B$342,Model!$M$3339)</f>
        <v>-6.2774779717065927</v>
      </c>
      <c r="S3352" s="377">
        <f>PPMT('Assumptions (O&amp;G Upstream)'!$B$339,Model!AC$1,'Assumptions (O&amp;G Upstream)'!$B$342,Model!$M$3339)</f>
        <v>-6.7482888195845874</v>
      </c>
      <c r="T3352" s="377">
        <f>PPMT('Assumptions (O&amp;G Upstream)'!$B$339,Model!AD$1,'Assumptions (O&amp;G Upstream)'!$B$342,Model!$M$3339)</f>
        <v>-7.2544104810534318</v>
      </c>
      <c r="U3352" s="377">
        <f>PPMT('Assumptions (O&amp;G Upstream)'!$B$339,Model!AE$1,'Assumptions (O&amp;G Upstream)'!$B$342,Model!$M$3339)</f>
        <v>-7.7984912671324391</v>
      </c>
      <c r="V3352" s="377">
        <f>PPMT('Assumptions (O&amp;G Upstream)'!$B$339,Model!AF$1,'Assumptions (O&amp;G Upstream)'!$B$342,Model!$M$3339)</f>
        <v>-8.3833781121673709</v>
      </c>
      <c r="W3352" s="377" t="e">
        <f>PPMT('Assumptions (O&amp;G Upstream)'!$B$339,Model!AG$1,'Assumptions (O&amp;G Upstream)'!$B$342,Model!$M$3339)</f>
        <v>#NUM!</v>
      </c>
      <c r="X3352" s="377" t="e">
        <f>PPMT('Assumptions (O&amp;G Upstream)'!$B$339,Model!AH$1,'Assumptions (O&amp;G Upstream)'!$B$342,Model!$M$3339)</f>
        <v>#NUM!</v>
      </c>
      <c r="Y3352" s="377" t="e">
        <f>PPMT('Assumptions (O&amp;G Upstream)'!$B$339,Model!AI$1,'Assumptions (O&amp;G Upstream)'!$B$342,Model!$M$3339)</f>
        <v>#NUM!</v>
      </c>
      <c r="Z3352" s="377" t="e">
        <f>PPMT('Assumptions (O&amp;G Upstream)'!$B$339,Model!AJ$1,'Assumptions (O&amp;G Upstream)'!$B$342,Model!$M$3339)</f>
        <v>#NUM!</v>
      </c>
      <c r="AA3352" s="377" t="e">
        <f>PPMT('Assumptions (O&amp;G Upstream)'!$B$339,Model!AK$1,'Assumptions (O&amp;G Upstream)'!$B$342,Model!$M$3339)</f>
        <v>#NUM!</v>
      </c>
      <c r="AB3352" s="377" t="e">
        <f>PPMT('Assumptions (O&amp;G Upstream)'!$B$339,Model!AL$1,'Assumptions (O&amp;G Upstream)'!$B$342,Model!$M$3339)</f>
        <v>#NUM!</v>
      </c>
      <c r="AC3352" s="377" t="e">
        <f>PPMT('Assumptions (O&amp;G Upstream)'!$B$339,Model!AM$1,'Assumptions (O&amp;G Upstream)'!$B$342,Model!$M$3339)</f>
        <v>#NUM!</v>
      </c>
      <c r="AD3352" s="377" t="e">
        <f>PPMT('Assumptions (O&amp;G Upstream)'!$B$339,Model!AN$1,'Assumptions (O&amp;G Upstream)'!$B$342,Model!$M$3339)</f>
        <v>#NUM!</v>
      </c>
      <c r="AE3352" s="377" t="e">
        <f>PPMT('Assumptions (O&amp;G Upstream)'!$B$339,Model!AO$1,'Assumptions (O&amp;G Upstream)'!$B$342,Model!$M$3339)</f>
        <v>#NUM!</v>
      </c>
      <c r="AF3352" s="377" t="e">
        <f>PPMT('Assumptions (O&amp;G Upstream)'!$B$339,Model!AP$1,'Assumptions (O&amp;G Upstream)'!$B$342,Model!$M$3339)</f>
        <v>#NUM!</v>
      </c>
      <c r="AG3352" s="377" t="e">
        <f>PPMT('Assumptions (O&amp;G Upstream)'!$B$339,Model!AQ$1,'Assumptions (O&amp;G Upstream)'!$B$342,Model!$M$3339)</f>
        <v>#NUM!</v>
      </c>
      <c r="AH3352" s="377" t="e">
        <f>PPMT('Assumptions (O&amp;G Upstream)'!$B$339,Model!AR$1,'Assumptions (O&amp;G Upstream)'!$B$342,Model!$M$3339)</f>
        <v>#NUM!</v>
      </c>
      <c r="AI3352" s="377" t="e">
        <f>PPMT('Assumptions (O&amp;G Upstream)'!$B$339,Model!AS$1,'Assumptions (O&amp;G Upstream)'!$B$342,Model!$M$3339)</f>
        <v>#NUM!</v>
      </c>
      <c r="AJ3352" s="377" t="e">
        <f>PPMT('Assumptions (O&amp;G Upstream)'!$B$339,Model!AT$1,'Assumptions (O&amp;G Upstream)'!$B$342,Model!$M$3339)</f>
        <v>#NUM!</v>
      </c>
      <c r="AK3352" s="377" t="e">
        <f>PPMT('Assumptions (O&amp;G Upstream)'!$B$339,Model!AU$1,'Assumptions (O&amp;G Upstream)'!$B$342,Model!$M$3339)</f>
        <v>#NUM!</v>
      </c>
    </row>
    <row r="3353" spans="1:45" ht="15.75" hidden="1" customHeight="1" outlineLevel="1">
      <c r="A3353" s="472"/>
      <c r="B3353" s="99"/>
      <c r="C3353" s="377"/>
      <c r="D3353" s="377"/>
      <c r="E3353" s="377"/>
      <c r="F3353" s="377"/>
      <c r="G3353" s="377"/>
      <c r="H3353" s="377"/>
      <c r="I3353" s="377"/>
      <c r="J3353" s="377"/>
      <c r="K3353" s="377"/>
      <c r="L3353" s="377"/>
      <c r="M3353" s="377"/>
      <c r="N3353" s="377">
        <f>PPMT('Assumptions (O&amp;G Upstream)'!$B$339,Model!W$1,'Assumptions (O&amp;G Upstream)'!$B$342,Model!$N$3339)</f>
        <v>-5.5219846505286752</v>
      </c>
      <c r="O3353" s="377">
        <f>PPMT('Assumptions (O&amp;G Upstream)'!$B$339,Model!X$1,'Assumptions (O&amp;G Upstream)'!$B$342,Model!$N$3339)</f>
        <v>-5.9361334993183243</v>
      </c>
      <c r="P3353" s="377">
        <f>PPMT('Assumptions (O&amp;G Upstream)'!$B$339,Model!Y$1,'Assumptions (O&amp;G Upstream)'!$B$342,Model!$N$3339)</f>
        <v>-6.3813435117671986</v>
      </c>
      <c r="Q3353" s="377">
        <f>PPMT('Assumptions (O&amp;G Upstream)'!$B$339,Model!Z$1,'Assumptions (O&amp;G Upstream)'!$B$342,Model!$N$3339)</f>
        <v>-6.859944275149739</v>
      </c>
      <c r="R3353" s="377">
        <f>PPMT('Assumptions (O&amp;G Upstream)'!$B$339,Model!AA$1,'Assumptions (O&amp;G Upstream)'!$B$342,Model!$N$3339)</f>
        <v>-7.3744400957859702</v>
      </c>
      <c r="S3353" s="377">
        <f>PPMT('Assumptions (O&amp;G Upstream)'!$B$339,Model!AB$1,'Assumptions (O&amp;G Upstream)'!$B$342,Model!$N$3339)</f>
        <v>-7.9275231029699169</v>
      </c>
      <c r="T3353" s="377">
        <f>PPMT('Assumptions (O&amp;G Upstream)'!$B$339,Model!AC$1,'Assumptions (O&amp;G Upstream)'!$B$342,Model!$N$3339)</f>
        <v>-8.5220873356926603</v>
      </c>
      <c r="U3353" s="377">
        <f>PPMT('Assumptions (O&amp;G Upstream)'!$B$339,Model!AD$1,'Assumptions (O&amp;G Upstream)'!$B$342,Model!$N$3339)</f>
        <v>-9.1612438858696112</v>
      </c>
      <c r="V3353" s="377">
        <f>PPMT('Assumptions (O&amp;G Upstream)'!$B$339,Model!AE$1,'Assumptions (O&amp;G Upstream)'!$B$342,Model!$N$3339)</f>
        <v>-9.8483371773098316</v>
      </c>
      <c r="W3353" s="377">
        <f>PPMT('Assumptions (O&amp;G Upstream)'!$B$339,Model!AF$1,'Assumptions (O&amp;G Upstream)'!$B$342,Model!$N$3339)</f>
        <v>-10.586962465608067</v>
      </c>
      <c r="X3353" s="377" t="e">
        <f>PPMT('Assumptions (O&amp;G Upstream)'!$B$339,Model!AG$1,'Assumptions (O&amp;G Upstream)'!$B$342,Model!$N$3339)</f>
        <v>#NUM!</v>
      </c>
      <c r="Y3353" s="377" t="e">
        <f>PPMT('Assumptions (O&amp;G Upstream)'!$B$339,Model!AH$1,'Assumptions (O&amp;G Upstream)'!$B$342,Model!$N$3339)</f>
        <v>#NUM!</v>
      </c>
      <c r="Z3353" s="377" t="e">
        <f>PPMT('Assumptions (O&amp;G Upstream)'!$B$339,Model!AI$1,'Assumptions (O&amp;G Upstream)'!$B$342,Model!$N$3339)</f>
        <v>#NUM!</v>
      </c>
      <c r="AA3353" s="377" t="e">
        <f>PPMT('Assumptions (O&amp;G Upstream)'!$B$339,Model!AJ$1,'Assumptions (O&amp;G Upstream)'!$B$342,Model!$N$3339)</f>
        <v>#NUM!</v>
      </c>
      <c r="AB3353" s="377" t="e">
        <f>PPMT('Assumptions (O&amp;G Upstream)'!$B$339,Model!AK$1,'Assumptions (O&amp;G Upstream)'!$B$342,Model!$N$3339)</f>
        <v>#NUM!</v>
      </c>
      <c r="AC3353" s="377" t="e">
        <f>PPMT('Assumptions (O&amp;G Upstream)'!$B$339,Model!AL$1,'Assumptions (O&amp;G Upstream)'!$B$342,Model!$N$3339)</f>
        <v>#NUM!</v>
      </c>
      <c r="AD3353" s="377" t="e">
        <f>PPMT('Assumptions (O&amp;G Upstream)'!$B$339,Model!AM$1,'Assumptions (O&amp;G Upstream)'!$B$342,Model!$N$3339)</f>
        <v>#NUM!</v>
      </c>
      <c r="AE3353" s="377" t="e">
        <f>PPMT('Assumptions (O&amp;G Upstream)'!$B$339,Model!AN$1,'Assumptions (O&amp;G Upstream)'!$B$342,Model!$N$3339)</f>
        <v>#NUM!</v>
      </c>
      <c r="AF3353" s="377" t="e">
        <f>PPMT('Assumptions (O&amp;G Upstream)'!$B$339,Model!AO$1,'Assumptions (O&amp;G Upstream)'!$B$342,Model!$N$3339)</f>
        <v>#NUM!</v>
      </c>
      <c r="AG3353" s="377" t="e">
        <f>PPMT('Assumptions (O&amp;G Upstream)'!$B$339,Model!AP$1,'Assumptions (O&amp;G Upstream)'!$B$342,Model!$N$3339)</f>
        <v>#NUM!</v>
      </c>
      <c r="AH3353" s="377" t="e">
        <f>PPMT('Assumptions (O&amp;G Upstream)'!$B$339,Model!AQ$1,'Assumptions (O&amp;G Upstream)'!$B$342,Model!$N$3339)</f>
        <v>#NUM!</v>
      </c>
      <c r="AI3353" s="377" t="e">
        <f>PPMT('Assumptions (O&amp;G Upstream)'!$B$339,Model!AR$1,'Assumptions (O&amp;G Upstream)'!$B$342,Model!$N$3339)</f>
        <v>#NUM!</v>
      </c>
      <c r="AJ3353" s="377" t="e">
        <f>PPMT('Assumptions (O&amp;G Upstream)'!$B$339,Model!AS$1,'Assumptions (O&amp;G Upstream)'!$B$342,Model!$N$3339)</f>
        <v>#NUM!</v>
      </c>
      <c r="AK3353" s="377" t="e">
        <f>PPMT('Assumptions (O&amp;G Upstream)'!$B$339,Model!AT$1,'Assumptions (O&amp;G Upstream)'!$B$342,Model!$N$3339)</f>
        <v>#NUM!</v>
      </c>
      <c r="AL3353" s="377" t="e">
        <f>PPMT('Assumptions (O&amp;G Upstream)'!$B$339,Model!AU$1,'Assumptions (O&amp;G Upstream)'!$B$342,Model!$N$3339)</f>
        <v>#NUM!</v>
      </c>
    </row>
    <row r="3354" spans="1:45" ht="15.75" hidden="1" customHeight="1" outlineLevel="1">
      <c r="A3354" s="472"/>
      <c r="B3354" s="99"/>
      <c r="C3354" s="377"/>
      <c r="D3354" s="377"/>
      <c r="E3354" s="377"/>
      <c r="F3354" s="377"/>
      <c r="G3354" s="377"/>
      <c r="H3354" s="377"/>
      <c r="I3354" s="377"/>
      <c r="J3354" s="377"/>
      <c r="K3354" s="377"/>
      <c r="L3354" s="377"/>
      <c r="M3354" s="377"/>
      <c r="N3354" s="377"/>
      <c r="O3354" s="377">
        <f>PPMT('Assumptions (O&amp;G Upstream)'!$B$339,Model!W$1,'Assumptions (O&amp;G Upstream)'!$B$342,Model!$O$3339)</f>
        <v>-6.9003602353380593</v>
      </c>
      <c r="P3354" s="377">
        <f>PPMT('Assumptions (O&amp;G Upstream)'!$B$339,Model!X$1,'Assumptions (O&amp;G Upstream)'!$B$342,Model!$O$3339)</f>
        <v>-7.4178872529884137</v>
      </c>
      <c r="Q3354" s="377">
        <f>PPMT('Assumptions (O&amp;G Upstream)'!$B$339,Model!Y$1,'Assumptions (O&amp;G Upstream)'!$B$342,Model!$O$3339)</f>
        <v>-7.9742287969625441</v>
      </c>
      <c r="R3354" s="377">
        <f>PPMT('Assumptions (O&amp;G Upstream)'!$B$339,Model!Z$1,'Assumptions (O&amp;G Upstream)'!$B$342,Model!$O$3339)</f>
        <v>-8.5722959567347345</v>
      </c>
      <c r="S3354" s="377">
        <f>PPMT('Assumptions (O&amp;G Upstream)'!$B$339,Model!AA$1,'Assumptions (O&amp;G Upstream)'!$B$342,Model!$O$3339)</f>
        <v>-9.2152181534898396</v>
      </c>
      <c r="T3354" s="377">
        <f>PPMT('Assumptions (O&amp;G Upstream)'!$B$339,Model!AB$1,'Assumptions (O&amp;G Upstream)'!$B$342,Model!$O$3339)</f>
        <v>-9.9063595150015775</v>
      </c>
      <c r="U3354" s="377">
        <f>PPMT('Assumptions (O&amp;G Upstream)'!$B$339,Model!AC$1,'Assumptions (O&amp;G Upstream)'!$B$342,Model!$O$3339)</f>
        <v>-10.649336478626696</v>
      </c>
      <c r="V3354" s="377">
        <f>PPMT('Assumptions (O&amp;G Upstream)'!$B$339,Model!AD$1,'Assumptions (O&amp;G Upstream)'!$B$342,Model!$O$3339)</f>
        <v>-11.448036714523699</v>
      </c>
      <c r="W3354" s="377">
        <f>PPMT('Assumptions (O&amp;G Upstream)'!$B$339,Model!AE$1,'Assumptions (O&amp;G Upstream)'!$B$342,Model!$O$3339)</f>
        <v>-12.306639468112978</v>
      </c>
      <c r="X3354" s="377">
        <f>PPMT('Assumptions (O&amp;G Upstream)'!$B$339,Model!AF$1,'Assumptions (O&amp;G Upstream)'!$B$342,Model!$O$3339)</f>
        <v>-13.22963742822145</v>
      </c>
      <c r="Y3354" s="377" t="e">
        <f>PPMT('Assumptions (O&amp;G Upstream)'!$B$339,Model!AG$1,'Assumptions (O&amp;G Upstream)'!$B$342,Model!$O$3339)</f>
        <v>#NUM!</v>
      </c>
      <c r="Z3354" s="377" t="e">
        <f>PPMT('Assumptions (O&amp;G Upstream)'!$B$339,Model!AH$1,'Assumptions (O&amp;G Upstream)'!$B$342,Model!$O$3339)</f>
        <v>#NUM!</v>
      </c>
      <c r="AA3354" s="377" t="e">
        <f>PPMT('Assumptions (O&amp;G Upstream)'!$B$339,Model!AI$1,'Assumptions (O&amp;G Upstream)'!$B$342,Model!$O$3339)</f>
        <v>#NUM!</v>
      </c>
      <c r="AB3354" s="377" t="e">
        <f>PPMT('Assumptions (O&amp;G Upstream)'!$B$339,Model!AJ$1,'Assumptions (O&amp;G Upstream)'!$B$342,Model!$O$3339)</f>
        <v>#NUM!</v>
      </c>
      <c r="AC3354" s="377" t="e">
        <f>PPMT('Assumptions (O&amp;G Upstream)'!$B$339,Model!AK$1,'Assumptions (O&amp;G Upstream)'!$B$342,Model!$O$3339)</f>
        <v>#NUM!</v>
      </c>
      <c r="AD3354" s="377" t="e">
        <f>PPMT('Assumptions (O&amp;G Upstream)'!$B$339,Model!AL$1,'Assumptions (O&amp;G Upstream)'!$B$342,Model!$O$3339)</f>
        <v>#NUM!</v>
      </c>
      <c r="AE3354" s="377" t="e">
        <f>PPMT('Assumptions (O&amp;G Upstream)'!$B$339,Model!AM$1,'Assumptions (O&amp;G Upstream)'!$B$342,Model!$O$3339)</f>
        <v>#NUM!</v>
      </c>
      <c r="AF3354" s="377" t="e">
        <f>PPMT('Assumptions (O&amp;G Upstream)'!$B$339,Model!AN$1,'Assumptions (O&amp;G Upstream)'!$B$342,Model!$O$3339)</f>
        <v>#NUM!</v>
      </c>
      <c r="AG3354" s="377" t="e">
        <f>PPMT('Assumptions (O&amp;G Upstream)'!$B$339,Model!AO$1,'Assumptions (O&amp;G Upstream)'!$B$342,Model!$O$3339)</f>
        <v>#NUM!</v>
      </c>
      <c r="AH3354" s="377" t="e">
        <f>PPMT('Assumptions (O&amp;G Upstream)'!$B$339,Model!AP$1,'Assumptions (O&amp;G Upstream)'!$B$342,Model!$O$3339)</f>
        <v>#NUM!</v>
      </c>
      <c r="AI3354" s="377" t="e">
        <f>PPMT('Assumptions (O&amp;G Upstream)'!$B$339,Model!AQ$1,'Assumptions (O&amp;G Upstream)'!$B$342,Model!$O$3339)</f>
        <v>#NUM!</v>
      </c>
      <c r="AJ3354" s="377" t="e">
        <f>PPMT('Assumptions (O&amp;G Upstream)'!$B$339,Model!AR$1,'Assumptions (O&amp;G Upstream)'!$B$342,Model!$O$3339)</f>
        <v>#NUM!</v>
      </c>
      <c r="AK3354" s="377" t="e">
        <f>PPMT('Assumptions (O&amp;G Upstream)'!$B$339,Model!AS$1,'Assumptions (O&amp;G Upstream)'!$B$342,Model!$O$3339)</f>
        <v>#NUM!</v>
      </c>
      <c r="AL3354" s="377" t="e">
        <f>PPMT('Assumptions (O&amp;G Upstream)'!$B$339,Model!AT$1,'Assumptions (O&amp;G Upstream)'!$B$342,Model!$O$3339)</f>
        <v>#NUM!</v>
      </c>
      <c r="AM3354" s="377" t="e">
        <f>PPMT('Assumptions (O&amp;G Upstream)'!$B$339,Model!AU$1,'Assumptions (O&amp;G Upstream)'!$B$342,Model!$O$3339)</f>
        <v>#NUM!</v>
      </c>
    </row>
    <row r="3355" spans="1:45" ht="15.75" hidden="1" customHeight="1" outlineLevel="1">
      <c r="A3355" s="472"/>
      <c r="B3355" s="99"/>
      <c r="C3355" s="377"/>
      <c r="D3355" s="377"/>
      <c r="E3355" s="377"/>
      <c r="F3355" s="377"/>
      <c r="G3355" s="377"/>
      <c r="H3355" s="377"/>
      <c r="I3355" s="377"/>
      <c r="J3355" s="377"/>
      <c r="K3355" s="377"/>
      <c r="L3355" s="377"/>
      <c r="M3355" s="377"/>
      <c r="N3355" s="377"/>
      <c r="O3355" s="377"/>
      <c r="P3355" s="377">
        <f>PPMT('Assumptions (O&amp;G Upstream)'!$B$339,Model!W$1,'Assumptions (O&amp;G Upstream)'!$B$342,Model!$P$3339)</f>
        <v>-7.2354115313378786</v>
      </c>
      <c r="Q3355" s="377">
        <f>PPMT('Assumptions (O&amp;G Upstream)'!$B$339,Model!X$1,'Assumptions (O&amp;G Upstream)'!$B$342,Model!$P$3339)</f>
        <v>-7.7780673961882192</v>
      </c>
      <c r="R3355" s="377">
        <f>PPMT('Assumptions (O&amp;G Upstream)'!$B$339,Model!Y$1,'Assumptions (O&amp;G Upstream)'!$B$342,Model!$P$3339)</f>
        <v>-8.3614224509023352</v>
      </c>
      <c r="S3355" s="377">
        <f>PPMT('Assumptions (O&amp;G Upstream)'!$B$339,Model!Z$1,'Assumptions (O&amp;G Upstream)'!$B$342,Model!$P$3339)</f>
        <v>-8.9885291347200127</v>
      </c>
      <c r="T3355" s="377">
        <f>PPMT('Assumptions (O&amp;G Upstream)'!$B$339,Model!AA$1,'Assumptions (O&amp;G Upstream)'!$B$342,Model!$P$3339)</f>
        <v>-9.6626688198240132</v>
      </c>
      <c r="U3355" s="377">
        <f>PPMT('Assumptions (O&amp;G Upstream)'!$B$339,Model!AB$1,'Assumptions (O&amp;G Upstream)'!$B$342,Model!$P$3339)</f>
        <v>-10.387368981310813</v>
      </c>
      <c r="V3355" s="377">
        <f>PPMT('Assumptions (O&amp;G Upstream)'!$B$339,Model!AC$1,'Assumptions (O&amp;G Upstream)'!$B$342,Model!$P$3339)</f>
        <v>-11.166421654909124</v>
      </c>
      <c r="W3355" s="377">
        <f>PPMT('Assumptions (O&amp;G Upstream)'!$B$339,Model!AD$1,'Assumptions (O&amp;G Upstream)'!$B$342,Model!$P$3339)</f>
        <v>-12.003903279027307</v>
      </c>
      <c r="X3355" s="377">
        <f>PPMT('Assumptions (O&amp;G Upstream)'!$B$339,Model!AE$1,'Assumptions (O&amp;G Upstream)'!$B$342,Model!$P$3339)</f>
        <v>-12.904196024954357</v>
      </c>
      <c r="Y3355" s="377">
        <f>PPMT('Assumptions (O&amp;G Upstream)'!$B$339,Model!AF$1,'Assumptions (O&amp;G Upstream)'!$B$342,Model!$P$3339)</f>
        <v>-13.872010726825932</v>
      </c>
      <c r="Z3355" s="377" t="e">
        <f>PPMT('Assumptions (O&amp;G Upstream)'!$B$339,Model!AG$1,'Assumptions (O&amp;G Upstream)'!$B$342,Model!$P$3339)</f>
        <v>#NUM!</v>
      </c>
      <c r="AA3355" s="377" t="e">
        <f>PPMT('Assumptions (O&amp;G Upstream)'!$B$339,Model!AH$1,'Assumptions (O&amp;G Upstream)'!$B$342,Model!$P$3339)</f>
        <v>#NUM!</v>
      </c>
      <c r="AB3355" s="377" t="e">
        <f>PPMT('Assumptions (O&amp;G Upstream)'!$B$339,Model!AI$1,'Assumptions (O&amp;G Upstream)'!$B$342,Model!$P$3339)</f>
        <v>#NUM!</v>
      </c>
      <c r="AC3355" s="377" t="e">
        <f>PPMT('Assumptions (O&amp;G Upstream)'!$B$339,Model!AJ$1,'Assumptions (O&amp;G Upstream)'!$B$342,Model!$P$3339)</f>
        <v>#NUM!</v>
      </c>
      <c r="AD3355" s="377" t="e">
        <f>PPMT('Assumptions (O&amp;G Upstream)'!$B$339,Model!AK$1,'Assumptions (O&amp;G Upstream)'!$B$342,Model!$P$3339)</f>
        <v>#NUM!</v>
      </c>
      <c r="AE3355" s="377" t="e">
        <f>PPMT('Assumptions (O&amp;G Upstream)'!$B$339,Model!AL$1,'Assumptions (O&amp;G Upstream)'!$B$342,Model!$P$3339)</f>
        <v>#NUM!</v>
      </c>
      <c r="AF3355" s="377" t="e">
        <f>PPMT('Assumptions (O&amp;G Upstream)'!$B$339,Model!AM$1,'Assumptions (O&amp;G Upstream)'!$B$342,Model!$P$3339)</f>
        <v>#NUM!</v>
      </c>
      <c r="AG3355" s="377" t="e">
        <f>PPMT('Assumptions (O&amp;G Upstream)'!$B$339,Model!AN$1,'Assumptions (O&amp;G Upstream)'!$B$342,Model!$P$3339)</f>
        <v>#NUM!</v>
      </c>
      <c r="AH3355" s="377" t="e">
        <f>PPMT('Assumptions (O&amp;G Upstream)'!$B$339,Model!AO$1,'Assumptions (O&amp;G Upstream)'!$B$342,Model!$P$3339)</f>
        <v>#NUM!</v>
      </c>
      <c r="AI3355" s="377" t="e">
        <f>PPMT('Assumptions (O&amp;G Upstream)'!$B$339,Model!AP$1,'Assumptions (O&amp;G Upstream)'!$B$342,Model!$P$3339)</f>
        <v>#NUM!</v>
      </c>
      <c r="AJ3355" s="377" t="e">
        <f>PPMT('Assumptions (O&amp;G Upstream)'!$B$339,Model!AQ$1,'Assumptions (O&amp;G Upstream)'!$B$342,Model!$P$3339)</f>
        <v>#NUM!</v>
      </c>
      <c r="AK3355" s="377" t="e">
        <f>PPMT('Assumptions (O&amp;G Upstream)'!$B$339,Model!AR$1,'Assumptions (O&amp;G Upstream)'!$B$342,Model!$P$3339)</f>
        <v>#NUM!</v>
      </c>
      <c r="AL3355" s="377" t="e">
        <f>PPMT('Assumptions (O&amp;G Upstream)'!$B$339,Model!AS$1,'Assumptions (O&amp;G Upstream)'!$B$342,Model!$P$3339)</f>
        <v>#NUM!</v>
      </c>
      <c r="AM3355" s="377" t="e">
        <f>PPMT('Assumptions (O&amp;G Upstream)'!$B$339,Model!AT$1,'Assumptions (O&amp;G Upstream)'!$B$342,Model!$P$3339)</f>
        <v>#NUM!</v>
      </c>
      <c r="AN3355" s="377" t="e">
        <f>PPMT('Assumptions (O&amp;G Upstream)'!$B$339,Model!AU$1,'Assumptions (O&amp;G Upstream)'!$B$342,Model!$P$3339)</f>
        <v>#NUM!</v>
      </c>
    </row>
    <row r="3356" spans="1:45" ht="15.75" hidden="1" customHeight="1" outlineLevel="1">
      <c r="A3356" s="472"/>
      <c r="B3356" s="99"/>
      <c r="C3356" s="377"/>
      <c r="D3356" s="377"/>
      <c r="E3356" s="377"/>
      <c r="F3356" s="377"/>
      <c r="G3356" s="377"/>
      <c r="H3356" s="377"/>
      <c r="I3356" s="377"/>
      <c r="J3356" s="377"/>
      <c r="K3356" s="377"/>
      <c r="L3356" s="377"/>
      <c r="M3356" s="377"/>
      <c r="N3356" s="377"/>
      <c r="O3356" s="377"/>
      <c r="P3356" s="377"/>
      <c r="Q3356" s="377">
        <f>PPMT('Assumptions (O&amp;G Upstream)'!$B$339,Model!W$1,'Assumptions (O&amp;G Upstream)'!$B$342,Model!$Q$3339)</f>
        <v>-8.6477163613118027</v>
      </c>
      <c r="R3356" s="377">
        <f>PPMT('Assumptions (O&amp;G Upstream)'!$B$339,Model!X$1,'Assumptions (O&amp;G Upstream)'!$B$342,Model!$Q$3339)</f>
        <v>-9.2962950884101883</v>
      </c>
      <c r="S3356" s="377">
        <f>PPMT('Assumptions (O&amp;G Upstream)'!$B$339,Model!Y$1,'Assumptions (O&amp;G Upstream)'!$B$342,Model!$Q$3339)</f>
        <v>-9.9935172200409514</v>
      </c>
      <c r="T3356" s="377">
        <f>PPMT('Assumptions (O&amp;G Upstream)'!$B$339,Model!Z$1,'Assumptions (O&amp;G Upstream)'!$B$342,Model!$Q$3339)</f>
        <v>-10.743031011544023</v>
      </c>
      <c r="U3356" s="377">
        <f>PPMT('Assumptions (O&amp;G Upstream)'!$B$339,Model!AA$1,'Assumptions (O&amp;G Upstream)'!$B$342,Model!$Q$3339)</f>
        <v>-11.548758337409827</v>
      </c>
      <c r="V3356" s="377">
        <f>PPMT('Assumptions (O&amp;G Upstream)'!$B$339,Model!AB$1,'Assumptions (O&amp;G Upstream)'!$B$342,Model!$Q$3339)</f>
        <v>-12.414915212715561</v>
      </c>
      <c r="W3356" s="377">
        <f>PPMT('Assumptions (O&amp;G Upstream)'!$B$339,Model!AC$1,'Assumptions (O&amp;G Upstream)'!$B$342,Model!$Q$3339)</f>
        <v>-13.346033853669228</v>
      </c>
      <c r="X3356" s="377">
        <f>PPMT('Assumptions (O&amp;G Upstream)'!$B$339,Model!AD$1,'Assumptions (O&amp;G Upstream)'!$B$342,Model!$Q$3339)</f>
        <v>-14.34698639269442</v>
      </c>
      <c r="Y3356" s="377">
        <f>PPMT('Assumptions (O&amp;G Upstream)'!$B$339,Model!AE$1,'Assumptions (O&amp;G Upstream)'!$B$342,Model!$Q$3339)</f>
        <v>-15.423010372146503</v>
      </c>
      <c r="Z3356" s="377">
        <f>PPMT('Assumptions (O&amp;G Upstream)'!$B$339,Model!AF$1,'Assumptions (O&amp;G Upstream)'!$B$342,Model!$Q$3339)</f>
        <v>-16.579736150057489</v>
      </c>
      <c r="AA3356" s="377" t="e">
        <f>PPMT('Assumptions (O&amp;G Upstream)'!$B$339,Model!AG$1,'Assumptions (O&amp;G Upstream)'!$B$342,Model!$Q$3339)</f>
        <v>#NUM!</v>
      </c>
      <c r="AB3356" s="377" t="e">
        <f>PPMT('Assumptions (O&amp;G Upstream)'!$B$339,Model!AH$1,'Assumptions (O&amp;G Upstream)'!$B$342,Model!$Q$3339)</f>
        <v>#NUM!</v>
      </c>
      <c r="AC3356" s="377" t="e">
        <f>PPMT('Assumptions (O&amp;G Upstream)'!$B$339,Model!AI$1,'Assumptions (O&amp;G Upstream)'!$B$342,Model!$Q$3339)</f>
        <v>#NUM!</v>
      </c>
      <c r="AD3356" s="377" t="e">
        <f>PPMT('Assumptions (O&amp;G Upstream)'!$B$339,Model!AJ$1,'Assumptions (O&amp;G Upstream)'!$B$342,Model!$Q$3339)</f>
        <v>#NUM!</v>
      </c>
      <c r="AE3356" s="377" t="e">
        <f>PPMT('Assumptions (O&amp;G Upstream)'!$B$339,Model!AK$1,'Assumptions (O&amp;G Upstream)'!$B$342,Model!$Q$3339)</f>
        <v>#NUM!</v>
      </c>
      <c r="AF3356" s="377" t="e">
        <f>PPMT('Assumptions (O&amp;G Upstream)'!$B$339,Model!AL$1,'Assumptions (O&amp;G Upstream)'!$B$342,Model!$Q$3339)</f>
        <v>#NUM!</v>
      </c>
      <c r="AG3356" s="377" t="e">
        <f>PPMT('Assumptions (O&amp;G Upstream)'!$B$339,Model!AM$1,'Assumptions (O&amp;G Upstream)'!$B$342,Model!$Q$3339)</f>
        <v>#NUM!</v>
      </c>
      <c r="AH3356" s="377" t="e">
        <f>PPMT('Assumptions (O&amp;G Upstream)'!$B$339,Model!AN$1,'Assumptions (O&amp;G Upstream)'!$B$342,Model!$Q$3339)</f>
        <v>#NUM!</v>
      </c>
      <c r="AI3356" s="377" t="e">
        <f>PPMT('Assumptions (O&amp;G Upstream)'!$B$339,Model!AO$1,'Assumptions (O&amp;G Upstream)'!$B$342,Model!$Q$3339)</f>
        <v>#NUM!</v>
      </c>
      <c r="AJ3356" s="377" t="e">
        <f>PPMT('Assumptions (O&amp;G Upstream)'!$B$339,Model!AP$1,'Assumptions (O&amp;G Upstream)'!$B$342,Model!$Q$3339)</f>
        <v>#NUM!</v>
      </c>
      <c r="AK3356" s="377" t="e">
        <f>PPMT('Assumptions (O&amp;G Upstream)'!$B$339,Model!AQ$1,'Assumptions (O&amp;G Upstream)'!$B$342,Model!$Q$3339)</f>
        <v>#NUM!</v>
      </c>
      <c r="AL3356" s="377" t="e">
        <f>PPMT('Assumptions (O&amp;G Upstream)'!$B$339,Model!AR$1,'Assumptions (O&amp;G Upstream)'!$B$342,Model!$Q$3339)</f>
        <v>#NUM!</v>
      </c>
      <c r="AM3356" s="377" t="e">
        <f>PPMT('Assumptions (O&amp;G Upstream)'!$B$339,Model!AS$1,'Assumptions (O&amp;G Upstream)'!$B$342,Model!$Q$3339)</f>
        <v>#NUM!</v>
      </c>
      <c r="AN3356" s="377" t="e">
        <f>PPMT('Assumptions (O&amp;G Upstream)'!$B$339,Model!AT$1,'Assumptions (O&amp;G Upstream)'!$B$342,Model!$Q$3339)</f>
        <v>#NUM!</v>
      </c>
      <c r="AO3356" s="377" t="e">
        <f>PPMT('Assumptions (O&amp;G Upstream)'!$B$339,Model!AU$1,'Assumptions (O&amp;G Upstream)'!$B$342,Model!$Q$3339)</f>
        <v>#NUM!</v>
      </c>
    </row>
    <row r="3357" spans="1:45" ht="15.75" hidden="1" customHeight="1" outlineLevel="1">
      <c r="A3357" s="472"/>
      <c r="B3357" s="99"/>
      <c r="C3357" s="377"/>
      <c r="D3357" s="377"/>
      <c r="E3357" s="377"/>
      <c r="F3357" s="377"/>
      <c r="G3357" s="377"/>
      <c r="H3357" s="377"/>
      <c r="I3357" s="377"/>
      <c r="J3357" s="377"/>
      <c r="K3357" s="377"/>
      <c r="L3357" s="377"/>
      <c r="M3357" s="377"/>
      <c r="N3357" s="377"/>
      <c r="O3357" s="377"/>
      <c r="P3357" s="377"/>
      <c r="Q3357" s="377"/>
      <c r="R3357" s="377">
        <f>PPMT('Assumptions (O&amp;G Upstream)'!$B$339,Model!W$1,'Assumptions (O&amp;G Upstream)'!$B$342,Model!$R$3339)</f>
        <v>-6.3447688457687379</v>
      </c>
      <c r="S3357" s="377">
        <f>PPMT('Assumptions (O&amp;G Upstream)'!$B$339,Model!X$1,'Assumptions (O&amp;G Upstream)'!$B$342,Model!$R$3339)</f>
        <v>-6.8206265092013929</v>
      </c>
      <c r="T3357" s="377">
        <f>PPMT('Assumptions (O&amp;G Upstream)'!$B$339,Model!Y$1,'Assumptions (O&amp;G Upstream)'!$B$342,Model!$R$3339)</f>
        <v>-7.3321734973914969</v>
      </c>
      <c r="U3357" s="377">
        <f>PPMT('Assumptions (O&amp;G Upstream)'!$B$339,Model!Z$1,'Assumptions (O&amp;G Upstream)'!$B$342,Model!$R$3339)</f>
        <v>-7.8820865096958599</v>
      </c>
      <c r="V3357" s="377">
        <f>PPMT('Assumptions (O&amp;G Upstream)'!$B$339,Model!AA$1,'Assumptions (O&amp;G Upstream)'!$B$342,Model!$R$3339)</f>
        <v>-8.4732429979230499</v>
      </c>
      <c r="W3357" s="377">
        <f>PPMT('Assumptions (O&amp;G Upstream)'!$B$339,Model!AB$1,'Assumptions (O&amp;G Upstream)'!$B$342,Model!$R$3339)</f>
        <v>-9.108736222767277</v>
      </c>
      <c r="X3357" s="377">
        <f>PPMT('Assumptions (O&amp;G Upstream)'!$B$339,Model!AC$1,'Assumptions (O&amp;G Upstream)'!$B$342,Model!$R$3339)</f>
        <v>-9.7918914394748242</v>
      </c>
      <c r="Y3357" s="377">
        <f>PPMT('Assumptions (O&amp;G Upstream)'!$B$339,Model!AD$1,'Assumptions (O&amp;G Upstream)'!$B$342,Model!$R$3339)</f>
        <v>-10.526283297435436</v>
      </c>
      <c r="Z3357" s="377">
        <f>PPMT('Assumptions (O&amp;G Upstream)'!$B$339,Model!AE$1,'Assumptions (O&amp;G Upstream)'!$B$342,Model!$R$3339)</f>
        <v>-11.315754544743095</v>
      </c>
      <c r="AA3357" s="377">
        <f>PPMT('Assumptions (O&amp;G Upstream)'!$B$339,Model!AF$1,'Assumptions (O&amp;G Upstream)'!$B$342,Model!$R$3339)</f>
        <v>-12.164436135598825</v>
      </c>
      <c r="AB3357" s="377" t="e">
        <f>PPMT('Assumptions (O&amp;G Upstream)'!$B$339,Model!AG$1,'Assumptions (O&amp;G Upstream)'!$B$342,Model!$R$3339)</f>
        <v>#NUM!</v>
      </c>
      <c r="AC3357" s="377" t="e">
        <f>PPMT('Assumptions (O&amp;G Upstream)'!$B$339,Model!AH$1,'Assumptions (O&amp;G Upstream)'!$B$342,Model!$R$3339)</f>
        <v>#NUM!</v>
      </c>
      <c r="AD3357" s="377" t="e">
        <f>PPMT('Assumptions (O&amp;G Upstream)'!$B$339,Model!AI$1,'Assumptions (O&amp;G Upstream)'!$B$342,Model!$R$3339)</f>
        <v>#NUM!</v>
      </c>
      <c r="AE3357" s="377" t="e">
        <f>PPMT('Assumptions (O&amp;G Upstream)'!$B$339,Model!AJ$1,'Assumptions (O&amp;G Upstream)'!$B$342,Model!$R$3339)</f>
        <v>#NUM!</v>
      </c>
      <c r="AF3357" s="377" t="e">
        <f>PPMT('Assumptions (O&amp;G Upstream)'!$B$339,Model!AK$1,'Assumptions (O&amp;G Upstream)'!$B$342,Model!$R$3339)</f>
        <v>#NUM!</v>
      </c>
      <c r="AG3357" s="377" t="e">
        <f>PPMT('Assumptions (O&amp;G Upstream)'!$B$339,Model!AL$1,'Assumptions (O&amp;G Upstream)'!$B$342,Model!$R$3339)</f>
        <v>#NUM!</v>
      </c>
      <c r="AH3357" s="377" t="e">
        <f>PPMT('Assumptions (O&amp;G Upstream)'!$B$339,Model!AM$1,'Assumptions (O&amp;G Upstream)'!$B$342,Model!$R$3339)</f>
        <v>#NUM!</v>
      </c>
      <c r="AI3357" s="377" t="e">
        <f>PPMT('Assumptions (O&amp;G Upstream)'!$B$339,Model!AN$1,'Assumptions (O&amp;G Upstream)'!$B$342,Model!$R$3339)</f>
        <v>#NUM!</v>
      </c>
      <c r="AJ3357" s="377" t="e">
        <f>PPMT('Assumptions (O&amp;G Upstream)'!$B$339,Model!AO$1,'Assumptions (O&amp;G Upstream)'!$B$342,Model!$R$3339)</f>
        <v>#NUM!</v>
      </c>
      <c r="AK3357" s="377" t="e">
        <f>PPMT('Assumptions (O&amp;G Upstream)'!$B$339,Model!AP$1,'Assumptions (O&amp;G Upstream)'!$B$342,Model!$R$3339)</f>
        <v>#NUM!</v>
      </c>
      <c r="AL3357" s="377" t="e">
        <f>PPMT('Assumptions (O&amp;G Upstream)'!$B$339,Model!AQ$1,'Assumptions (O&amp;G Upstream)'!$B$342,Model!$R$3339)</f>
        <v>#NUM!</v>
      </c>
      <c r="AM3357" s="377" t="e">
        <f>PPMT('Assumptions (O&amp;G Upstream)'!$B$339,Model!AR$1,'Assumptions (O&amp;G Upstream)'!$B$342,Model!$R$3339)</f>
        <v>#NUM!</v>
      </c>
      <c r="AN3357" s="377" t="e">
        <f>PPMT('Assumptions (O&amp;G Upstream)'!$B$339,Model!AS$1,'Assumptions (O&amp;G Upstream)'!$B$342,Model!$R$3339)</f>
        <v>#NUM!</v>
      </c>
      <c r="AO3357" s="377" t="e">
        <f>PPMT('Assumptions (O&amp;G Upstream)'!$B$339,Model!AT$1,'Assumptions (O&amp;G Upstream)'!$B$342,Model!$R$3339)</f>
        <v>#NUM!</v>
      </c>
      <c r="AP3357" s="377" t="e">
        <f>PPMT('Assumptions (O&amp;G Upstream)'!$B$339,Model!AU$1,'Assumptions (O&amp;G Upstream)'!$B$342,Model!$R$3339)</f>
        <v>#NUM!</v>
      </c>
    </row>
    <row r="3358" spans="1:45" ht="15.75" hidden="1" customHeight="1" outlineLevel="1">
      <c r="A3358" s="472"/>
      <c r="B3358" s="99"/>
      <c r="C3358" s="377"/>
      <c r="D3358" s="377"/>
      <c r="E3358" s="377"/>
      <c r="F3358" s="377"/>
      <c r="G3358" s="377"/>
      <c r="H3358" s="377"/>
      <c r="I3358" s="377"/>
      <c r="J3358" s="377"/>
      <c r="K3358" s="377"/>
      <c r="L3358" s="377"/>
      <c r="M3358" s="377"/>
      <c r="N3358" s="377"/>
      <c r="O3358" s="377"/>
      <c r="P3358" s="377"/>
      <c r="Q3358" s="377"/>
      <c r="R3358" s="377"/>
      <c r="S3358" s="377">
        <f>PPMT('Assumptions (O&amp;G Upstream)'!$B$339,Model!W$1,'Assumptions (O&amp;G Upstream)'!$B$342,Model!$S$3339)</f>
        <v>-3.388683360808304</v>
      </c>
      <c r="T3358" s="377">
        <f>PPMT('Assumptions (O&amp;G Upstream)'!$B$339,Model!X$1,'Assumptions (O&amp;G Upstream)'!$B$342,Model!$S$3339)</f>
        <v>-3.6428346128689268</v>
      </c>
      <c r="U3358" s="377">
        <f>PPMT('Assumptions (O&amp;G Upstream)'!$B$339,Model!Y$1,'Assumptions (O&amp;G Upstream)'!$B$342,Model!$S$3339)</f>
        <v>-3.9160472088340961</v>
      </c>
      <c r="V3358" s="377">
        <f>PPMT('Assumptions (O&amp;G Upstream)'!$B$339,Model!Z$1,'Assumptions (O&amp;G Upstream)'!$B$342,Model!$S$3339)</f>
        <v>-4.2097507494966537</v>
      </c>
      <c r="W3358" s="377">
        <f>PPMT('Assumptions (O&amp;G Upstream)'!$B$339,Model!AA$1,'Assumptions (O&amp;G Upstream)'!$B$342,Model!$S$3339)</f>
        <v>-4.5254820557089026</v>
      </c>
      <c r="X3358" s="377">
        <f>PPMT('Assumptions (O&amp;G Upstream)'!$B$339,Model!AB$1,'Assumptions (O&amp;G Upstream)'!$B$342,Model!$S$3339)</f>
        <v>-4.8648932098870699</v>
      </c>
      <c r="Y3358" s="377">
        <f>PPMT('Assumptions (O&amp;G Upstream)'!$B$339,Model!AC$1,'Assumptions (O&amp;G Upstream)'!$B$342,Model!$S$3339)</f>
        <v>-5.2297602006285997</v>
      </c>
      <c r="Z3358" s="377">
        <f>PPMT('Assumptions (O&amp;G Upstream)'!$B$339,Model!AD$1,'Assumptions (O&amp;G Upstream)'!$B$342,Model!$S$3339)</f>
        <v>-5.6219922156757454</v>
      </c>
      <c r="AA3358" s="377">
        <f>PPMT('Assumptions (O&amp;G Upstream)'!$B$339,Model!AE$1,'Assumptions (O&amp;G Upstream)'!$B$342,Model!$S$3339)</f>
        <v>-6.0436416318514263</v>
      </c>
      <c r="AB3358" s="377">
        <f>PPMT('Assumptions (O&amp;G Upstream)'!$B$339,Model!AF$1,'Assumptions (O&amp;G Upstream)'!$B$342,Model!$S$3339)</f>
        <v>-6.4969147542402839</v>
      </c>
      <c r="AC3358" s="377" t="e">
        <f>PPMT('Assumptions (O&amp;G Upstream)'!$B$339,Model!AG$1,'Assumptions (O&amp;G Upstream)'!$B$342,Model!$S$3339)</f>
        <v>#NUM!</v>
      </c>
      <c r="AD3358" s="377" t="e">
        <f>PPMT('Assumptions (O&amp;G Upstream)'!$B$339,Model!AH$1,'Assumptions (O&amp;G Upstream)'!$B$342,Model!$S$3339)</f>
        <v>#NUM!</v>
      </c>
      <c r="AE3358" s="377" t="e">
        <f>PPMT('Assumptions (O&amp;G Upstream)'!$B$339,Model!AI$1,'Assumptions (O&amp;G Upstream)'!$B$342,Model!$S$3339)</f>
        <v>#NUM!</v>
      </c>
      <c r="AF3358" s="377" t="e">
        <f>PPMT('Assumptions (O&amp;G Upstream)'!$B$339,Model!AJ$1,'Assumptions (O&amp;G Upstream)'!$B$342,Model!$S$3339)</f>
        <v>#NUM!</v>
      </c>
      <c r="AG3358" s="377" t="e">
        <f>PPMT('Assumptions (O&amp;G Upstream)'!$B$339,Model!AK$1,'Assumptions (O&amp;G Upstream)'!$B$342,Model!$S$3339)</f>
        <v>#NUM!</v>
      </c>
      <c r="AH3358" s="377" t="e">
        <f>PPMT('Assumptions (O&amp;G Upstream)'!$B$339,Model!AL$1,'Assumptions (O&amp;G Upstream)'!$B$342,Model!$S$3339)</f>
        <v>#NUM!</v>
      </c>
      <c r="AI3358" s="377" t="e">
        <f>PPMT('Assumptions (O&amp;G Upstream)'!$B$339,Model!AM$1,'Assumptions (O&amp;G Upstream)'!$B$342,Model!$S$3339)</f>
        <v>#NUM!</v>
      </c>
      <c r="AJ3358" s="377" t="e">
        <f>PPMT('Assumptions (O&amp;G Upstream)'!$B$339,Model!AN$1,'Assumptions (O&amp;G Upstream)'!$B$342,Model!$S$3339)</f>
        <v>#NUM!</v>
      </c>
      <c r="AK3358" s="377" t="e">
        <f>PPMT('Assumptions (O&amp;G Upstream)'!$B$339,Model!AO$1,'Assumptions (O&amp;G Upstream)'!$B$342,Model!$S$3339)</f>
        <v>#NUM!</v>
      </c>
      <c r="AL3358" s="377" t="e">
        <f>PPMT('Assumptions (O&amp;G Upstream)'!$B$339,Model!AP$1,'Assumptions (O&amp;G Upstream)'!$B$342,Model!$S$3339)</f>
        <v>#NUM!</v>
      </c>
      <c r="AM3358" s="377" t="e">
        <f>PPMT('Assumptions (O&amp;G Upstream)'!$B$339,Model!AQ$1,'Assumptions (O&amp;G Upstream)'!$B$342,Model!$S$3339)</f>
        <v>#NUM!</v>
      </c>
      <c r="AN3358" s="377" t="e">
        <f>PPMT('Assumptions (O&amp;G Upstream)'!$B$339,Model!AR$1,'Assumptions (O&amp;G Upstream)'!$B$342,Model!$S$3339)</f>
        <v>#NUM!</v>
      </c>
      <c r="AO3358" s="377" t="e">
        <f>PPMT('Assumptions (O&amp;G Upstream)'!$B$339,Model!AS$1,'Assumptions (O&amp;G Upstream)'!$B$342,Model!$S$3339)</f>
        <v>#NUM!</v>
      </c>
      <c r="AP3358" s="377" t="e">
        <f>PPMT('Assumptions (O&amp;G Upstream)'!$B$339,Model!AT$1,'Assumptions (O&amp;G Upstream)'!$B$342,Model!$S$3339)</f>
        <v>#NUM!</v>
      </c>
      <c r="AQ3358" s="377" t="e">
        <f>PPMT('Assumptions (O&amp;G Upstream)'!$B$339,Model!AU$1,'Assumptions (O&amp;G Upstream)'!$B$342,Model!$S$3339)</f>
        <v>#NUM!</v>
      </c>
    </row>
    <row r="3359" spans="1:45" ht="15.75" hidden="1" customHeight="1" outlineLevel="1">
      <c r="A3359" s="472"/>
      <c r="B3359" s="99"/>
      <c r="C3359" s="377"/>
      <c r="D3359" s="377"/>
      <c r="E3359" s="377"/>
      <c r="F3359" s="377"/>
      <c r="G3359" s="377"/>
      <c r="H3359" s="377"/>
      <c r="I3359" s="377"/>
      <c r="J3359" s="377"/>
      <c r="K3359" s="377"/>
      <c r="L3359" s="377"/>
      <c r="M3359" s="377"/>
      <c r="N3359" s="377"/>
      <c r="O3359" s="377"/>
      <c r="P3359" s="377"/>
      <c r="Q3359" s="377"/>
      <c r="R3359" s="377"/>
      <c r="S3359" s="42"/>
      <c r="T3359" s="377">
        <f>PPMT('Assumptions (O&amp;G Upstream)'!$B$339,Model!W$1,'Assumptions (O&amp;G Upstream)'!$B$342,Model!$T$3339)</f>
        <v>-4.7628177899721207</v>
      </c>
      <c r="U3359" s="377">
        <f>PPMT('Assumptions (O&amp;G Upstream)'!$B$339,Model!X$1,'Assumptions (O&amp;G Upstream)'!$B$342,Model!$T$3339)</f>
        <v>-5.1200291242200295</v>
      </c>
      <c r="V3359" s="377">
        <f>PPMT('Assumptions (O&amp;G Upstream)'!$B$339,Model!Y$1,'Assumptions (O&amp;G Upstream)'!$B$342,Model!$T$3339)</f>
        <v>-5.5040313085365318</v>
      </c>
      <c r="W3359" s="377">
        <f>PPMT('Assumptions (O&amp;G Upstream)'!$B$339,Model!Z$1,'Assumptions (O&amp;G Upstream)'!$B$342,Model!$T$3339)</f>
        <v>-5.9168336566767721</v>
      </c>
      <c r="X3359" s="377">
        <f>PPMT('Assumptions (O&amp;G Upstream)'!$B$339,Model!AA$1,'Assumptions (O&amp;G Upstream)'!$B$342,Model!$T$3339)</f>
        <v>-6.36059618092753</v>
      </c>
      <c r="Y3359" s="377">
        <f>PPMT('Assumptions (O&amp;G Upstream)'!$B$339,Model!AB$1,'Assumptions (O&amp;G Upstream)'!$B$342,Model!$T$3339)</f>
        <v>-6.8376408944970937</v>
      </c>
      <c r="Z3359" s="377">
        <f>PPMT('Assumptions (O&amp;G Upstream)'!$B$339,Model!AC$1,'Assumptions (O&amp;G Upstream)'!$B$342,Model!$T$3339)</f>
        <v>-7.3504639615843761</v>
      </c>
      <c r="AA3359" s="377">
        <f>PPMT('Assumptions (O&amp;G Upstream)'!$B$339,Model!AD$1,'Assumptions (O&amp;G Upstream)'!$B$342,Model!$T$3339)</f>
        <v>-7.9017487587032047</v>
      </c>
      <c r="AB3359" s="377">
        <f>PPMT('Assumptions (O&amp;G Upstream)'!$B$339,Model!AE$1,'Assumptions (O&amp;G Upstream)'!$B$342,Model!$T$3339)</f>
        <v>-8.4943799156059452</v>
      </c>
      <c r="AC3359" s="377">
        <f>PPMT('Assumptions (O&amp;G Upstream)'!$B$339,Model!AF$1,'Assumptions (O&amp;G Upstream)'!$B$342,Model!$T$3339)</f>
        <v>-9.1314584092763909</v>
      </c>
      <c r="AD3359" s="377" t="e">
        <f>PPMT('Assumptions (O&amp;G Upstream)'!$B$339,Model!AG$1,'Assumptions (O&amp;G Upstream)'!$B$342,Model!$T$3339)</f>
        <v>#NUM!</v>
      </c>
      <c r="AE3359" s="377" t="e">
        <f>PPMT('Assumptions (O&amp;G Upstream)'!$B$339,Model!AH$1,'Assumptions (O&amp;G Upstream)'!$B$342,Model!$T$3339)</f>
        <v>#NUM!</v>
      </c>
      <c r="AF3359" s="377" t="e">
        <f>PPMT('Assumptions (O&amp;G Upstream)'!$B$339,Model!AI$1,'Assumptions (O&amp;G Upstream)'!$B$342,Model!$T$3339)</f>
        <v>#NUM!</v>
      </c>
      <c r="AG3359" s="377" t="e">
        <f>PPMT('Assumptions (O&amp;G Upstream)'!$B$339,Model!AJ$1,'Assumptions (O&amp;G Upstream)'!$B$342,Model!$T$3339)</f>
        <v>#NUM!</v>
      </c>
      <c r="AH3359" s="377" t="e">
        <f>PPMT('Assumptions (O&amp;G Upstream)'!$B$339,Model!AK$1,'Assumptions (O&amp;G Upstream)'!$B$342,Model!$T$3339)</f>
        <v>#NUM!</v>
      </c>
      <c r="AI3359" s="377" t="e">
        <f>PPMT('Assumptions (O&amp;G Upstream)'!$B$339,Model!AL$1,'Assumptions (O&amp;G Upstream)'!$B$342,Model!$T$3339)</f>
        <v>#NUM!</v>
      </c>
      <c r="AJ3359" s="377" t="e">
        <f>PPMT('Assumptions (O&amp;G Upstream)'!$B$339,Model!AM$1,'Assumptions (O&amp;G Upstream)'!$B$342,Model!$T$3339)</f>
        <v>#NUM!</v>
      </c>
      <c r="AK3359" s="377" t="e">
        <f>PPMT('Assumptions (O&amp;G Upstream)'!$B$339,Model!AN$1,'Assumptions (O&amp;G Upstream)'!$B$342,Model!$T$3339)</f>
        <v>#NUM!</v>
      </c>
      <c r="AL3359" s="377" t="e">
        <f>PPMT('Assumptions (O&amp;G Upstream)'!$B$339,Model!AO$1,'Assumptions (O&amp;G Upstream)'!$B$342,Model!$T$3339)</f>
        <v>#NUM!</v>
      </c>
      <c r="AM3359" s="377" t="e">
        <f>PPMT('Assumptions (O&amp;G Upstream)'!$B$339,Model!AP$1,'Assumptions (O&amp;G Upstream)'!$B$342,Model!$T$3339)</f>
        <v>#NUM!</v>
      </c>
      <c r="AN3359" s="377" t="e">
        <f>PPMT('Assumptions (O&amp;G Upstream)'!$B$339,Model!AQ$1,'Assumptions (O&amp;G Upstream)'!$B$342,Model!$T$3339)</f>
        <v>#NUM!</v>
      </c>
      <c r="AO3359" s="377" t="e">
        <f>PPMT('Assumptions (O&amp;G Upstream)'!$B$339,Model!AR$1,'Assumptions (O&amp;G Upstream)'!$B$342,Model!$T$3339)</f>
        <v>#NUM!</v>
      </c>
      <c r="AP3359" s="377" t="e">
        <f>PPMT('Assumptions (O&amp;G Upstream)'!$B$339,Model!AS$1,'Assumptions (O&amp;G Upstream)'!$B$342,Model!$T$3339)</f>
        <v>#NUM!</v>
      </c>
      <c r="AQ3359" s="377" t="e">
        <f>PPMT('Assumptions (O&amp;G Upstream)'!$B$339,Model!AT$1,'Assumptions (O&amp;G Upstream)'!$B$342,Model!$T$3339)</f>
        <v>#NUM!</v>
      </c>
      <c r="AR3359" s="377" t="e">
        <f>PPMT('Assumptions (O&amp;G Upstream)'!$B$339,Model!AU$1,'Assumptions (O&amp;G Upstream)'!$B$342,Model!$T$3339)</f>
        <v>#NUM!</v>
      </c>
    </row>
    <row r="3360" spans="1:45" ht="15.75" hidden="1" customHeight="1" outlineLevel="1">
      <c r="A3360" s="472"/>
      <c r="B3360" s="99"/>
      <c r="C3360" s="377"/>
      <c r="D3360" s="377"/>
      <c r="E3360" s="377"/>
      <c r="F3360" s="377"/>
      <c r="G3360" s="377"/>
      <c r="H3360" s="377"/>
      <c r="I3360" s="377"/>
      <c r="J3360" s="377"/>
      <c r="K3360" s="377"/>
      <c r="L3360" s="377"/>
      <c r="M3360" s="377"/>
      <c r="N3360" s="377"/>
      <c r="O3360" s="377"/>
      <c r="P3360" s="377"/>
      <c r="Q3360" s="377"/>
      <c r="R3360" s="377"/>
      <c r="S3360" s="42"/>
      <c r="T3360" s="42"/>
      <c r="U3360" s="377">
        <f>PPMT('Assumptions (O&amp;G Upstream)'!$B$339,Model!W$1,'Assumptions (O&amp;G Upstream)'!$B$342,Model!$U$3339)</f>
        <v>-7.1467939521193014</v>
      </c>
      <c r="V3360" s="377">
        <f>PPMT('Assumptions (O&amp;G Upstream)'!$B$339,Model!X$1,'Assumptions (O&amp;G Upstream)'!$B$342,Model!$U$3339)</f>
        <v>-7.6828034985282478</v>
      </c>
      <c r="W3360" s="377">
        <f>PPMT('Assumptions (O&amp;G Upstream)'!$B$339,Model!Y$1,'Assumptions (O&amp;G Upstream)'!$B$342,Model!$U$3339)</f>
        <v>-8.2590137609178669</v>
      </c>
      <c r="X3360" s="377">
        <f>PPMT('Assumptions (O&amp;G Upstream)'!$B$339,Model!Z$1,'Assumptions (O&amp;G Upstream)'!$B$342,Model!$U$3339)</f>
        <v>-8.8784397929867076</v>
      </c>
      <c r="Y3360" s="377">
        <f>PPMT('Assumptions (O&amp;G Upstream)'!$B$339,Model!AA$1,'Assumptions (O&amp;G Upstream)'!$B$342,Model!$U$3339)</f>
        <v>-9.5443227774607102</v>
      </c>
      <c r="Z3360" s="377">
        <f>PPMT('Assumptions (O&amp;G Upstream)'!$B$339,Model!AB$1,'Assumptions (O&amp;G Upstream)'!$B$342,Model!$U$3339)</f>
        <v>-10.260146985770263</v>
      </c>
      <c r="AA3360" s="377">
        <f>PPMT('Assumptions (O&amp;G Upstream)'!$B$339,Model!AC$1,'Assumptions (O&amp;G Upstream)'!$B$342,Model!$U$3339)</f>
        <v>-11.029658009703033</v>
      </c>
      <c r="AB3360" s="377">
        <f>PPMT('Assumptions (O&amp;G Upstream)'!$B$339,Model!AD$1,'Assumptions (O&amp;G Upstream)'!$B$342,Model!$U$3339)</f>
        <v>-11.856882360430761</v>
      </c>
      <c r="AC3360" s="377">
        <f>PPMT('Assumptions (O&amp;G Upstream)'!$B$339,Model!AE$1,'Assumptions (O&amp;G Upstream)'!$B$342,Model!$U$3339)</f>
        <v>-12.746148537463069</v>
      </c>
      <c r="AD3360" s="377">
        <f>PPMT('Assumptions (O&amp;G Upstream)'!$B$339,Model!AF$1,'Assumptions (O&amp;G Upstream)'!$B$342,Model!$U$3339)</f>
        <v>-13.702109677772798</v>
      </c>
      <c r="AE3360" s="377" t="e">
        <f>PPMT('Assumptions (O&amp;G Upstream)'!$B$339,Model!AG$1,'Assumptions (O&amp;G Upstream)'!$B$342,Model!$U$3339)</f>
        <v>#NUM!</v>
      </c>
      <c r="AF3360" s="377" t="e">
        <f>PPMT('Assumptions (O&amp;G Upstream)'!$B$339,Model!AH$1,'Assumptions (O&amp;G Upstream)'!$B$342,Model!$U$3339)</f>
        <v>#NUM!</v>
      </c>
      <c r="AG3360" s="377" t="e">
        <f>PPMT('Assumptions (O&amp;G Upstream)'!$B$339,Model!AI$1,'Assumptions (O&amp;G Upstream)'!$B$342,Model!$U$3339)</f>
        <v>#NUM!</v>
      </c>
      <c r="AH3360" s="377" t="e">
        <f>PPMT('Assumptions (O&amp;G Upstream)'!$B$339,Model!AJ$1,'Assumptions (O&amp;G Upstream)'!$B$342,Model!$U$3339)</f>
        <v>#NUM!</v>
      </c>
      <c r="AI3360" s="377" t="e">
        <f>PPMT('Assumptions (O&amp;G Upstream)'!$B$339,Model!AK$1,'Assumptions (O&amp;G Upstream)'!$B$342,Model!$U$3339)</f>
        <v>#NUM!</v>
      </c>
      <c r="AJ3360" s="377" t="e">
        <f>PPMT('Assumptions (O&amp;G Upstream)'!$B$339,Model!AL$1,'Assumptions (O&amp;G Upstream)'!$B$342,Model!$U$3339)</f>
        <v>#NUM!</v>
      </c>
      <c r="AK3360" s="377" t="e">
        <f>PPMT('Assumptions (O&amp;G Upstream)'!$B$339,Model!AM$1,'Assumptions (O&amp;G Upstream)'!$B$342,Model!$U$3339)</f>
        <v>#NUM!</v>
      </c>
      <c r="AL3360" s="377" t="e">
        <f>PPMT('Assumptions (O&amp;G Upstream)'!$B$339,Model!AN$1,'Assumptions (O&amp;G Upstream)'!$B$342,Model!$U$3339)</f>
        <v>#NUM!</v>
      </c>
      <c r="AM3360" s="377" t="e">
        <f>PPMT('Assumptions (O&amp;G Upstream)'!$B$339,Model!AO$1,'Assumptions (O&amp;G Upstream)'!$B$342,Model!$U$3339)</f>
        <v>#NUM!</v>
      </c>
      <c r="AN3360" s="377" t="e">
        <f>PPMT('Assumptions (O&amp;G Upstream)'!$B$339,Model!AP$1,'Assumptions (O&amp;G Upstream)'!$B$342,Model!$U$3339)</f>
        <v>#NUM!</v>
      </c>
      <c r="AO3360" s="377" t="e">
        <f>PPMT('Assumptions (O&amp;G Upstream)'!$B$339,Model!AQ$1,'Assumptions (O&amp;G Upstream)'!$B$342,Model!$U$3339)</f>
        <v>#NUM!</v>
      </c>
      <c r="AP3360" s="377" t="e">
        <f>PPMT('Assumptions (O&amp;G Upstream)'!$B$339,Model!AR$1,'Assumptions (O&amp;G Upstream)'!$B$342,Model!$U$3339)</f>
        <v>#NUM!</v>
      </c>
      <c r="AQ3360" s="377" t="e">
        <f>PPMT('Assumptions (O&amp;G Upstream)'!$B$339,Model!AS$1,'Assumptions (O&amp;G Upstream)'!$B$342,Model!$U$3339)</f>
        <v>#NUM!</v>
      </c>
      <c r="AR3360" s="377" t="e">
        <f>PPMT('Assumptions (O&amp;G Upstream)'!$B$339,Model!AT$1,'Assumptions (O&amp;G Upstream)'!$B$342,Model!$U$3339)</f>
        <v>#NUM!</v>
      </c>
      <c r="AS3360" s="377" t="e">
        <f>PPMT('Assumptions (O&amp;G Upstream)'!$B$339,Model!AU$1,'Assumptions (O&amp;G Upstream)'!$B$342,Model!$U$3339)</f>
        <v>#NUM!</v>
      </c>
    </row>
    <row r="3361" spans="1:61" ht="15.75" hidden="1" customHeight="1" outlineLevel="1">
      <c r="A3361" s="472"/>
      <c r="B3361" s="99"/>
      <c r="C3361" s="377"/>
      <c r="D3361" s="377"/>
      <c r="E3361" s="377"/>
      <c r="F3361" s="377"/>
      <c r="G3361" s="377"/>
      <c r="H3361" s="377"/>
      <c r="I3361" s="377"/>
      <c r="J3361" s="377"/>
      <c r="K3361" s="377"/>
      <c r="L3361" s="377"/>
      <c r="M3361" s="377"/>
      <c r="N3361" s="377"/>
      <c r="O3361" s="377"/>
      <c r="P3361" s="377"/>
      <c r="Q3361" s="377"/>
      <c r="R3361" s="377"/>
      <c r="S3361" s="42"/>
      <c r="T3361" s="42"/>
      <c r="U3361" s="42"/>
      <c r="V3361" s="377">
        <f>PPMT('Assumptions (O&amp;G Upstream)'!$B$339,Model!W$1,'Assumptions (O&amp;G Upstream)'!$B$342,Model!$V$3339)</f>
        <v>-8.0439310858465003</v>
      </c>
      <c r="W3361" s="377">
        <f>PPMT('Assumptions (O&amp;G Upstream)'!$B$339,Model!X$1,'Assumptions (O&amp;G Upstream)'!$B$342,Model!$V$3339)</f>
        <v>-8.6472259172849881</v>
      </c>
      <c r="X3361" s="377">
        <f>PPMT('Assumptions (O&amp;G Upstream)'!$B$339,Model!Y$1,'Assumptions (O&amp;G Upstream)'!$B$342,Model!$V$3339)</f>
        <v>-9.2957678610813623</v>
      </c>
      <c r="Y3361" s="377">
        <f>PPMT('Assumptions (O&amp;G Upstream)'!$B$339,Model!Z$1,'Assumptions (O&amp;G Upstream)'!$B$342,Model!$V$3339)</f>
        <v>-9.9929504506624642</v>
      </c>
      <c r="Z3361" s="377">
        <f>PPMT('Assumptions (O&amp;G Upstream)'!$B$339,Model!AA$1,'Assumptions (O&amp;G Upstream)'!$B$342,Model!$V$3339)</f>
        <v>-10.74242173446215</v>
      </c>
      <c r="AA3361" s="377">
        <f>PPMT('Assumptions (O&amp;G Upstream)'!$B$339,Model!AB$1,'Assumptions (O&amp;G Upstream)'!$B$342,Model!$V$3339)</f>
        <v>-11.548103364546812</v>
      </c>
      <c r="AB3361" s="377">
        <f>PPMT('Assumptions (O&amp;G Upstream)'!$B$339,Model!AC$1,'Assumptions (O&amp;G Upstream)'!$B$342,Model!$V$3339)</f>
        <v>-12.41421111688782</v>
      </c>
      <c r="AC3361" s="377">
        <f>PPMT('Assumptions (O&amp;G Upstream)'!$B$339,Model!AD$1,'Assumptions (O&amp;G Upstream)'!$B$342,Model!$V$3339)</f>
        <v>-13.34527695065441</v>
      </c>
      <c r="AD3361" s="377">
        <f>PPMT('Assumptions (O&amp;G Upstream)'!$B$339,Model!AE$1,'Assumptions (O&amp;G Upstream)'!$B$342,Model!$V$3339)</f>
        <v>-14.34617272195349</v>
      </c>
      <c r="AE3361" s="377">
        <f>PPMT('Assumptions (O&amp;G Upstream)'!$B$339,Model!AF$1,'Assumptions (O&amp;G Upstream)'!$B$342,Model!$V$3339)</f>
        <v>-15.422135676100002</v>
      </c>
      <c r="AF3361" s="377" t="e">
        <f>PPMT('Assumptions (O&amp;G Upstream)'!$B$339,Model!AG$1,'Assumptions (O&amp;G Upstream)'!$B$342,Model!$V$3339)</f>
        <v>#NUM!</v>
      </c>
      <c r="AG3361" s="377" t="e">
        <f>PPMT('Assumptions (O&amp;G Upstream)'!$B$339,Model!AH$1,'Assumptions (O&amp;G Upstream)'!$B$342,Model!$V$3339)</f>
        <v>#NUM!</v>
      </c>
      <c r="AH3361" s="377" t="e">
        <f>PPMT('Assumptions (O&amp;G Upstream)'!$B$339,Model!AI$1,'Assumptions (O&amp;G Upstream)'!$B$342,Model!$V$3339)</f>
        <v>#NUM!</v>
      </c>
      <c r="AI3361" s="377" t="e">
        <f>PPMT('Assumptions (O&amp;G Upstream)'!$B$339,Model!AJ$1,'Assumptions (O&amp;G Upstream)'!$B$342,Model!$V$3339)</f>
        <v>#NUM!</v>
      </c>
      <c r="AJ3361" s="377" t="e">
        <f>PPMT('Assumptions (O&amp;G Upstream)'!$B$339,Model!AK$1,'Assumptions (O&amp;G Upstream)'!$B$342,Model!$V$3339)</f>
        <v>#NUM!</v>
      </c>
      <c r="AK3361" s="377" t="e">
        <f>PPMT('Assumptions (O&amp;G Upstream)'!$B$339,Model!AL$1,'Assumptions (O&amp;G Upstream)'!$B$342,Model!$V$3339)</f>
        <v>#NUM!</v>
      </c>
      <c r="AL3361" s="377" t="e">
        <f>PPMT('Assumptions (O&amp;G Upstream)'!$B$339,Model!AM$1,'Assumptions (O&amp;G Upstream)'!$B$342,Model!$V$3339)</f>
        <v>#NUM!</v>
      </c>
      <c r="AM3361" s="377" t="e">
        <f>PPMT('Assumptions (O&amp;G Upstream)'!$B$339,Model!AN$1,'Assumptions (O&amp;G Upstream)'!$B$342,Model!$V$3339)</f>
        <v>#NUM!</v>
      </c>
      <c r="AN3361" s="377" t="e">
        <f>PPMT('Assumptions (O&amp;G Upstream)'!$B$339,Model!AO$1,'Assumptions (O&amp;G Upstream)'!$B$342,Model!$V$3339)</f>
        <v>#NUM!</v>
      </c>
      <c r="AO3361" s="377" t="e">
        <f>PPMT('Assumptions (O&amp;G Upstream)'!$B$339,Model!AP$1,'Assumptions (O&amp;G Upstream)'!$B$342,Model!$V$3339)</f>
        <v>#NUM!</v>
      </c>
      <c r="AP3361" s="377" t="e">
        <f>PPMT('Assumptions (O&amp;G Upstream)'!$B$339,Model!AQ$1,'Assumptions (O&amp;G Upstream)'!$B$342,Model!$V$3339)</f>
        <v>#NUM!</v>
      </c>
      <c r="AQ3361" s="377" t="e">
        <f>PPMT('Assumptions (O&amp;G Upstream)'!$B$339,Model!AR$1,'Assumptions (O&amp;G Upstream)'!$B$342,Model!$V$3339)</f>
        <v>#NUM!</v>
      </c>
      <c r="AR3361" s="377" t="e">
        <f>PPMT('Assumptions (O&amp;G Upstream)'!$B$339,Model!AS$1,'Assumptions (O&amp;G Upstream)'!$B$342,Model!$V$3339)</f>
        <v>#NUM!</v>
      </c>
      <c r="AS3361" s="377" t="e">
        <f>PPMT('Assumptions (O&amp;G Upstream)'!$B$339,Model!AT$1,'Assumptions (O&amp;G Upstream)'!$B$342,Model!$V$3339)</f>
        <v>#NUM!</v>
      </c>
      <c r="AT3361" s="377" t="e">
        <f>PPMT('Assumptions (O&amp;G Upstream)'!$B$339,Model!AU$1,'Assumptions (O&amp;G Upstream)'!$B$342,Model!$V$3339)</f>
        <v>#NUM!</v>
      </c>
    </row>
    <row r="3362" spans="1:61" ht="15.75" hidden="1" customHeight="1" outlineLevel="1">
      <c r="A3362" s="472"/>
      <c r="B3362" s="99"/>
      <c r="C3362" s="377"/>
      <c r="D3362" s="377"/>
      <c r="E3362" s="377"/>
      <c r="F3362" s="377"/>
      <c r="G3362" s="377"/>
      <c r="H3362" s="377"/>
      <c r="I3362" s="377"/>
      <c r="J3362" s="377"/>
      <c r="K3362" s="377"/>
      <c r="L3362" s="377"/>
      <c r="M3362" s="377"/>
      <c r="N3362" s="377"/>
      <c r="O3362" s="377"/>
      <c r="P3362" s="377"/>
      <c r="Q3362" s="377"/>
      <c r="R3362" s="377"/>
      <c r="S3362" s="42"/>
      <c r="T3362" s="42"/>
      <c r="U3362" s="42"/>
      <c r="V3362" s="42"/>
      <c r="W3362" s="377">
        <f>PPMT('Assumptions (O&amp;G Upstream)'!$B$339,Model!W$1,'Assumptions (O&amp;G Upstream)'!$B$342,Model!$W$3339)</f>
        <v>-8.7614679292771918</v>
      </c>
      <c r="X3362" s="377">
        <f>PPMT('Assumptions (O&amp;G Upstream)'!$B$339,Model!X$1,'Assumptions (O&amp;G Upstream)'!$B$342,Model!$W$3339)</f>
        <v>-9.4185780239729802</v>
      </c>
      <c r="Y3362" s="377">
        <f>PPMT('Assumptions (O&amp;G Upstream)'!$B$339,Model!Y$1,'Assumptions (O&amp;G Upstream)'!$B$342,Model!$W$3339)</f>
        <v>-10.124971375770953</v>
      </c>
      <c r="Z3362" s="377">
        <f>PPMT('Assumptions (O&amp;G Upstream)'!$B$339,Model!Z$1,'Assumptions (O&amp;G Upstream)'!$B$342,Model!$W$3339)</f>
        <v>-10.884344228953777</v>
      </c>
      <c r="AA3362" s="377">
        <f>PPMT('Assumptions (O&amp;G Upstream)'!$B$339,Model!AA$1,'Assumptions (O&amp;G Upstream)'!$B$342,Model!$W$3339)</f>
        <v>-11.700670046125309</v>
      </c>
      <c r="AB3362" s="377">
        <f>PPMT('Assumptions (O&amp;G Upstream)'!$B$339,Model!AB$1,'Assumptions (O&amp;G Upstream)'!$B$342,Model!$W$3339)</f>
        <v>-12.578220299584705</v>
      </c>
      <c r="AC3362" s="377">
        <f>PPMT('Assumptions (O&amp;G Upstream)'!$B$339,Model!AC$1,'Assumptions (O&amp;G Upstream)'!$B$342,Model!$W$3339)</f>
        <v>-13.521586822053559</v>
      </c>
      <c r="AD3362" s="377">
        <f>PPMT('Assumptions (O&amp;G Upstream)'!$B$339,Model!AD$1,'Assumptions (O&amp;G Upstream)'!$B$342,Model!$W$3339)</f>
        <v>-14.535705833707576</v>
      </c>
      <c r="AE3362" s="377">
        <f>PPMT('Assumptions (O&amp;G Upstream)'!$B$339,Model!AE$1,'Assumptions (O&amp;G Upstream)'!$B$342,Model!$W$3339)</f>
        <v>-15.625883771235646</v>
      </c>
      <c r="AF3362" s="377">
        <f>PPMT('Assumptions (O&amp;G Upstream)'!$B$339,Model!AF$1,'Assumptions (O&amp;G Upstream)'!$B$342,Model!$W$3339)</f>
        <v>-16.797825054078316</v>
      </c>
      <c r="AG3362" s="377" t="e">
        <f>PPMT('Assumptions (O&amp;G Upstream)'!$B$339,Model!AG$1,'Assumptions (O&amp;G Upstream)'!$B$342,Model!$W$3339)</f>
        <v>#NUM!</v>
      </c>
      <c r="AH3362" s="377" t="e">
        <f>PPMT('Assumptions (O&amp;G Upstream)'!$B$339,Model!AH$1,'Assumptions (O&amp;G Upstream)'!$B$342,Model!$W$3339)</f>
        <v>#NUM!</v>
      </c>
      <c r="AI3362" s="377" t="e">
        <f>PPMT('Assumptions (O&amp;G Upstream)'!$B$339,Model!AI$1,'Assumptions (O&amp;G Upstream)'!$B$342,Model!$W$3339)</f>
        <v>#NUM!</v>
      </c>
      <c r="AJ3362" s="377" t="e">
        <f>PPMT('Assumptions (O&amp;G Upstream)'!$B$339,Model!AJ$1,'Assumptions (O&amp;G Upstream)'!$B$342,Model!$W$3339)</f>
        <v>#NUM!</v>
      </c>
      <c r="AK3362" s="377" t="e">
        <f>PPMT('Assumptions (O&amp;G Upstream)'!$B$339,Model!AK$1,'Assumptions (O&amp;G Upstream)'!$B$342,Model!$W$3339)</f>
        <v>#NUM!</v>
      </c>
      <c r="AL3362" s="377" t="e">
        <f>PPMT('Assumptions (O&amp;G Upstream)'!$B$339,Model!AL$1,'Assumptions (O&amp;G Upstream)'!$B$342,Model!$W$3339)</f>
        <v>#NUM!</v>
      </c>
      <c r="AM3362" s="377" t="e">
        <f>PPMT('Assumptions (O&amp;G Upstream)'!$B$339,Model!AM$1,'Assumptions (O&amp;G Upstream)'!$B$342,Model!$W$3339)</f>
        <v>#NUM!</v>
      </c>
      <c r="AN3362" s="377" t="e">
        <f>PPMT('Assumptions (O&amp;G Upstream)'!$B$339,Model!AN$1,'Assumptions (O&amp;G Upstream)'!$B$342,Model!$W$3339)</f>
        <v>#NUM!</v>
      </c>
      <c r="AO3362" s="377" t="e">
        <f>PPMT('Assumptions (O&amp;G Upstream)'!$B$339,Model!AO$1,'Assumptions (O&amp;G Upstream)'!$B$342,Model!$W$3339)</f>
        <v>#NUM!</v>
      </c>
      <c r="AP3362" s="377" t="e">
        <f>PPMT('Assumptions (O&amp;G Upstream)'!$B$339,Model!AP$1,'Assumptions (O&amp;G Upstream)'!$B$342,Model!$W$3339)</f>
        <v>#NUM!</v>
      </c>
      <c r="AQ3362" s="377" t="e">
        <f>PPMT('Assumptions (O&amp;G Upstream)'!$B$339,Model!AQ$1,'Assumptions (O&amp;G Upstream)'!$B$342,Model!$W$3339)</f>
        <v>#NUM!</v>
      </c>
      <c r="AR3362" s="377" t="e">
        <f>PPMT('Assumptions (O&amp;G Upstream)'!$B$339,Model!AR$1,'Assumptions (O&amp;G Upstream)'!$B$342,Model!$W$3339)</f>
        <v>#NUM!</v>
      </c>
      <c r="AS3362" s="377" t="e">
        <f>PPMT('Assumptions (O&amp;G Upstream)'!$B$339,Model!AS$1,'Assumptions (O&amp;G Upstream)'!$B$342,Model!$W$3339)</f>
        <v>#NUM!</v>
      </c>
      <c r="AT3362" s="377" t="e">
        <f>PPMT('Assumptions (O&amp;G Upstream)'!$B$339,Model!AT$1,'Assumptions (O&amp;G Upstream)'!$B$342,Model!$W$3339)</f>
        <v>#NUM!</v>
      </c>
      <c r="AU3362" s="377" t="e">
        <f>PPMT('Assumptions (O&amp;G Upstream)'!$B$339,Model!AU$1,'Assumptions (O&amp;G Upstream)'!$B$342,Model!$W$3339)</f>
        <v>#NUM!</v>
      </c>
    </row>
    <row r="3363" spans="1:61" ht="15.75" hidden="1" customHeight="1" outlineLevel="1">
      <c r="A3363" s="472"/>
      <c r="B3363" s="99"/>
      <c r="C3363" s="377"/>
      <c r="D3363" s="377"/>
      <c r="E3363" s="377"/>
      <c r="F3363" s="377"/>
      <c r="G3363" s="377"/>
      <c r="H3363" s="377"/>
      <c r="I3363" s="377"/>
      <c r="J3363" s="377"/>
      <c r="K3363" s="377"/>
      <c r="L3363" s="377"/>
      <c r="M3363" s="377"/>
      <c r="N3363" s="377"/>
      <c r="O3363" s="377"/>
      <c r="P3363" s="377"/>
      <c r="Q3363" s="377"/>
      <c r="R3363" s="377"/>
      <c r="S3363" s="42"/>
      <c r="T3363" s="42"/>
      <c r="U3363" s="42"/>
      <c r="V3363" s="42"/>
      <c r="W3363" s="86"/>
      <c r="X3363" s="377">
        <f>PPMT('Assumptions (O&amp;G Upstream)'!$B$339,Model!W$1,'Assumptions (O&amp;G Upstream)'!$B$342,Model!$X$3339)</f>
        <v>-9.2182127401735574</v>
      </c>
      <c r="Y3363" s="377">
        <f>PPMT('Assumptions (O&amp;G Upstream)'!$B$339,Model!X$1,'Assumptions (O&amp;G Upstream)'!$B$342,Model!$X$3339)</f>
        <v>-9.9095786956865748</v>
      </c>
      <c r="Z3363" s="377">
        <f>PPMT('Assumptions (O&amp;G Upstream)'!$B$339,Model!Y$1,'Assumptions (O&amp;G Upstream)'!$B$342,Model!$X$3339)</f>
        <v>-10.652797097863068</v>
      </c>
      <c r="AA3363" s="377">
        <f>PPMT('Assumptions (O&amp;G Upstream)'!$B$339,Model!Z$1,'Assumptions (O&amp;G Upstream)'!$B$342,Model!$X$3339)</f>
        <v>-11.451756880202799</v>
      </c>
      <c r="AB3363" s="377">
        <f>PPMT('Assumptions (O&amp;G Upstream)'!$B$339,Model!AA$1,'Assumptions (O&amp;G Upstream)'!$B$342,Model!$X$3339)</f>
        <v>-12.310638646218008</v>
      </c>
      <c r="AC3363" s="377">
        <f>PPMT('Assumptions (O&amp;G Upstream)'!$B$339,Model!AB$1,'Assumptions (O&amp;G Upstream)'!$B$342,Model!$X$3339)</f>
        <v>-13.233936544684358</v>
      </c>
      <c r="AD3363" s="377">
        <f>PPMT('Assumptions (O&amp;G Upstream)'!$B$339,Model!AC$1,'Assumptions (O&amp;G Upstream)'!$B$342,Model!$X$3339)</f>
        <v>-14.226481785535684</v>
      </c>
      <c r="AE3363" s="377">
        <f>PPMT('Assumptions (O&amp;G Upstream)'!$B$339,Model!AD$1,'Assumptions (O&amp;G Upstream)'!$B$342,Model!$X$3339)</f>
        <v>-15.293467919450862</v>
      </c>
      <c r="AF3363" s="377">
        <f>PPMT('Assumptions (O&amp;G Upstream)'!$B$339,Model!AE$1,'Assumptions (O&amp;G Upstream)'!$B$342,Model!$X$3339)</f>
        <v>-16.440478013409678</v>
      </c>
      <c r="AG3363" s="377">
        <f>PPMT('Assumptions (O&amp;G Upstream)'!$B$339,Model!AF$1,'Assumptions (O&amp;G Upstream)'!$B$342,Model!$X$3339)</f>
        <v>-17.673513864415401</v>
      </c>
      <c r="AH3363" s="377" t="e">
        <f>PPMT('Assumptions (O&amp;G Upstream)'!$B$339,Model!AG$1,'Assumptions (O&amp;G Upstream)'!$B$342,Model!$X$3339)</f>
        <v>#NUM!</v>
      </c>
      <c r="AI3363" s="377" t="e">
        <f>PPMT('Assumptions (O&amp;G Upstream)'!$B$339,Model!AH$1,'Assumptions (O&amp;G Upstream)'!$B$342,Model!$X$3339)</f>
        <v>#NUM!</v>
      </c>
      <c r="AJ3363" s="377" t="e">
        <f>PPMT('Assumptions (O&amp;G Upstream)'!$B$339,Model!AI$1,'Assumptions (O&amp;G Upstream)'!$B$342,Model!$X$3339)</f>
        <v>#NUM!</v>
      </c>
      <c r="AK3363" s="377" t="e">
        <f>PPMT('Assumptions (O&amp;G Upstream)'!$B$339,Model!AJ$1,'Assumptions (O&amp;G Upstream)'!$B$342,Model!$X$3339)</f>
        <v>#NUM!</v>
      </c>
      <c r="AL3363" s="377" t="e">
        <f>PPMT('Assumptions (O&amp;G Upstream)'!$B$339,Model!AK$1,'Assumptions (O&amp;G Upstream)'!$B$342,Model!$X$3339)</f>
        <v>#NUM!</v>
      </c>
      <c r="AM3363" s="377" t="e">
        <f>PPMT('Assumptions (O&amp;G Upstream)'!$B$339,Model!AL$1,'Assumptions (O&amp;G Upstream)'!$B$342,Model!$X$3339)</f>
        <v>#NUM!</v>
      </c>
      <c r="AN3363" s="377" t="e">
        <f>PPMT('Assumptions (O&amp;G Upstream)'!$B$339,Model!AM$1,'Assumptions (O&amp;G Upstream)'!$B$342,Model!$X$3339)</f>
        <v>#NUM!</v>
      </c>
      <c r="AO3363" s="377" t="e">
        <f>PPMT('Assumptions (O&amp;G Upstream)'!$B$339,Model!AN$1,'Assumptions (O&amp;G Upstream)'!$B$342,Model!$X$3339)</f>
        <v>#NUM!</v>
      </c>
      <c r="AP3363" s="377" t="e">
        <f>PPMT('Assumptions (O&amp;G Upstream)'!$B$339,Model!AO$1,'Assumptions (O&amp;G Upstream)'!$B$342,Model!$X$3339)</f>
        <v>#NUM!</v>
      </c>
      <c r="AQ3363" s="377" t="e">
        <f>PPMT('Assumptions (O&amp;G Upstream)'!$B$339,Model!AP$1,'Assumptions (O&amp;G Upstream)'!$B$342,Model!$X$3339)</f>
        <v>#NUM!</v>
      </c>
      <c r="AR3363" s="377" t="e">
        <f>PPMT('Assumptions (O&amp;G Upstream)'!$B$339,Model!AQ$1,'Assumptions (O&amp;G Upstream)'!$B$342,Model!$X$3339)</f>
        <v>#NUM!</v>
      </c>
      <c r="AS3363" s="377" t="e">
        <f>PPMT('Assumptions (O&amp;G Upstream)'!$B$339,Model!AR$1,'Assumptions (O&amp;G Upstream)'!$B$342,Model!$X$3339)</f>
        <v>#NUM!</v>
      </c>
      <c r="AT3363" s="377" t="e">
        <f>PPMT('Assumptions (O&amp;G Upstream)'!$B$339,Model!AS$1,'Assumptions (O&amp;G Upstream)'!$B$342,Model!$X$3339)</f>
        <v>#NUM!</v>
      </c>
      <c r="AU3363" s="377" t="e">
        <f>PPMT('Assumptions (O&amp;G Upstream)'!$B$339,Model!AT$1,'Assumptions (O&amp;G Upstream)'!$B$342,Model!$X$3339)</f>
        <v>#NUM!</v>
      </c>
      <c r="AV3363" s="377" t="e">
        <f>PPMT('Assumptions (O&amp;G Upstream)'!$B$339,Model!AU$1,'Assumptions (O&amp;G Upstream)'!$B$342,Model!$X$3339)</f>
        <v>#NUM!</v>
      </c>
    </row>
    <row r="3364" spans="1:61" ht="15.75" hidden="1" customHeight="1" outlineLevel="1">
      <c r="A3364" s="472"/>
      <c r="B3364" s="99"/>
      <c r="C3364" s="377"/>
      <c r="D3364" s="377"/>
      <c r="E3364" s="377"/>
      <c r="F3364" s="377"/>
      <c r="G3364" s="377"/>
      <c r="H3364" s="377"/>
      <c r="I3364" s="377"/>
      <c r="J3364" s="377"/>
      <c r="K3364" s="377"/>
      <c r="L3364" s="377"/>
      <c r="M3364" s="377"/>
      <c r="N3364" s="377"/>
      <c r="O3364" s="377"/>
      <c r="P3364" s="377"/>
      <c r="Q3364" s="377"/>
      <c r="R3364" s="377"/>
      <c r="S3364" s="42"/>
      <c r="T3364" s="42"/>
      <c r="U3364" s="42"/>
      <c r="V3364" s="42"/>
      <c r="W3364" s="86"/>
      <c r="Y3364" s="377">
        <f>PPMT('Assumptions (O&amp;G Upstream)'!$B$339,Model!W$1,'Assumptions (O&amp;G Upstream)'!$B$342,Model!$Y$3339)</f>
        <v>-9.3358287820596235</v>
      </c>
      <c r="Z3364" s="377">
        <f>PPMT('Assumptions (O&amp;G Upstream)'!$B$339,Model!X$1,'Assumptions (O&amp;G Upstream)'!$B$342,Model!$Y$3339)</f>
        <v>-10.036015940714094</v>
      </c>
      <c r="AA3364" s="377">
        <f>PPMT('Assumptions (O&amp;G Upstream)'!$B$339,Model!Y$1,'Assumptions (O&amp;G Upstream)'!$B$342,Model!$Y$3339)</f>
        <v>-10.78871713626765</v>
      </c>
      <c r="AB3364" s="377">
        <f>PPMT('Assumptions (O&amp;G Upstream)'!$B$339,Model!Z$1,'Assumptions (O&amp;G Upstream)'!$B$342,Model!$Y$3339)</f>
        <v>-11.597870921487726</v>
      </c>
      <c r="AC3364" s="377">
        <f>PPMT('Assumptions (O&amp;G Upstream)'!$B$339,Model!AA$1,'Assumptions (O&amp;G Upstream)'!$B$342,Model!$Y$3339)</f>
        <v>-12.467711240599305</v>
      </c>
      <c r="AD3364" s="377">
        <f>PPMT('Assumptions (O&amp;G Upstream)'!$B$339,Model!AB$1,'Assumptions (O&amp;G Upstream)'!$B$342,Model!$Y$3339)</f>
        <v>-13.402789583644251</v>
      </c>
      <c r="AE3364" s="377">
        <f>PPMT('Assumptions (O&amp;G Upstream)'!$B$339,Model!AC$1,'Assumptions (O&amp;G Upstream)'!$B$342,Model!$Y$3339)</f>
        <v>-14.40799880241757</v>
      </c>
      <c r="AF3364" s="377">
        <f>PPMT('Assumptions (O&amp;G Upstream)'!$B$339,Model!AD$1,'Assumptions (O&amp;G Upstream)'!$B$342,Model!$Y$3339)</f>
        <v>-15.48859871259889</v>
      </c>
      <c r="AG3364" s="377">
        <f>PPMT('Assumptions (O&amp;G Upstream)'!$B$339,Model!AE$1,'Assumptions (O&amp;G Upstream)'!$B$342,Model!$Y$3339)</f>
        <v>-16.650243616043806</v>
      </c>
      <c r="AH3364" s="377">
        <f>PPMT('Assumptions (O&amp;G Upstream)'!$B$339,Model!AF$1,'Assumptions (O&amp;G Upstream)'!$B$342,Model!$Y$3339)</f>
        <v>-17.899011887247092</v>
      </c>
      <c r="AI3364" s="377" t="e">
        <f>PPMT('Assumptions (O&amp;G Upstream)'!$B$339,Model!AG$1,'Assumptions (O&amp;G Upstream)'!$B$342,Model!$Y$3339)</f>
        <v>#NUM!</v>
      </c>
      <c r="AJ3364" s="377" t="e">
        <f>PPMT('Assumptions (O&amp;G Upstream)'!$B$339,Model!AH$1,'Assumptions (O&amp;G Upstream)'!$B$342,Model!$Y$3339)</f>
        <v>#NUM!</v>
      </c>
      <c r="AK3364" s="377" t="e">
        <f>PPMT('Assumptions (O&amp;G Upstream)'!$B$339,Model!AI$1,'Assumptions (O&amp;G Upstream)'!$B$342,Model!$Y$3339)</f>
        <v>#NUM!</v>
      </c>
      <c r="AL3364" s="377" t="e">
        <f>PPMT('Assumptions (O&amp;G Upstream)'!$B$339,Model!AJ$1,'Assumptions (O&amp;G Upstream)'!$B$342,Model!$Y$3339)</f>
        <v>#NUM!</v>
      </c>
      <c r="AM3364" s="377" t="e">
        <f>PPMT('Assumptions (O&amp;G Upstream)'!$B$339,Model!AK$1,'Assumptions (O&amp;G Upstream)'!$B$342,Model!$Y$3339)</f>
        <v>#NUM!</v>
      </c>
      <c r="AN3364" s="377" t="e">
        <f>PPMT('Assumptions (O&amp;G Upstream)'!$B$339,Model!AL$1,'Assumptions (O&amp;G Upstream)'!$B$342,Model!$Y$3339)</f>
        <v>#NUM!</v>
      </c>
      <c r="AO3364" s="377" t="e">
        <f>PPMT('Assumptions (O&amp;G Upstream)'!$B$339,Model!AM$1,'Assumptions (O&amp;G Upstream)'!$B$342,Model!$Y$3339)</f>
        <v>#NUM!</v>
      </c>
      <c r="AP3364" s="377" t="e">
        <f>PPMT('Assumptions (O&amp;G Upstream)'!$B$339,Model!AN$1,'Assumptions (O&amp;G Upstream)'!$B$342,Model!$Y$3339)</f>
        <v>#NUM!</v>
      </c>
      <c r="AQ3364" s="377" t="e">
        <f>PPMT('Assumptions (O&amp;G Upstream)'!$B$339,Model!AO$1,'Assumptions (O&amp;G Upstream)'!$B$342,Model!$Y$3339)</f>
        <v>#NUM!</v>
      </c>
      <c r="AR3364" s="377" t="e">
        <f>PPMT('Assumptions (O&amp;G Upstream)'!$B$339,Model!AP$1,'Assumptions (O&amp;G Upstream)'!$B$342,Model!$Y$3339)</f>
        <v>#NUM!</v>
      </c>
      <c r="AS3364" s="377" t="e">
        <f>PPMT('Assumptions (O&amp;G Upstream)'!$B$339,Model!AQ$1,'Assumptions (O&amp;G Upstream)'!$B$342,Model!$Y$3339)</f>
        <v>#NUM!</v>
      </c>
      <c r="AT3364" s="377" t="e">
        <f>PPMT('Assumptions (O&amp;G Upstream)'!$B$339,Model!AR$1,'Assumptions (O&amp;G Upstream)'!$B$342,Model!$Y$3339)</f>
        <v>#NUM!</v>
      </c>
      <c r="AU3364" s="377" t="e">
        <f>PPMT('Assumptions (O&amp;G Upstream)'!$B$339,Model!AS$1,'Assumptions (O&amp;G Upstream)'!$B$342,Model!$Y$3339)</f>
        <v>#NUM!</v>
      </c>
      <c r="AV3364" s="377" t="e">
        <f>PPMT('Assumptions (O&amp;G Upstream)'!$B$339,Model!AT$1,'Assumptions (O&amp;G Upstream)'!$B$342,Model!$Y$3339)</f>
        <v>#NUM!</v>
      </c>
      <c r="AW3364" s="377" t="e">
        <f>PPMT('Assumptions (O&amp;G Upstream)'!$B$339,Model!AU$1,'Assumptions (O&amp;G Upstream)'!$B$342,Model!$Y$3339)</f>
        <v>#NUM!</v>
      </c>
    </row>
    <row r="3365" spans="1:61" ht="15.75" hidden="1" customHeight="1" outlineLevel="1">
      <c r="A3365" s="472"/>
      <c r="B3365" s="99"/>
      <c r="C3365" s="377"/>
      <c r="D3365" s="377"/>
      <c r="E3365" s="377"/>
      <c r="F3365" s="377"/>
      <c r="G3365" s="377"/>
      <c r="H3365" s="377"/>
      <c r="I3365" s="377"/>
      <c r="J3365" s="377"/>
      <c r="K3365" s="377"/>
      <c r="L3365" s="377"/>
      <c r="M3365" s="377"/>
      <c r="N3365" s="377"/>
      <c r="O3365" s="377"/>
      <c r="P3365" s="377"/>
      <c r="Q3365" s="377"/>
      <c r="R3365" s="377"/>
      <c r="S3365" s="42"/>
      <c r="T3365" s="42"/>
      <c r="U3365" s="42"/>
      <c r="V3365" s="42"/>
      <c r="W3365" s="86"/>
      <c r="Z3365" s="377">
        <f>PPMT('Assumptions (O&amp;G Upstream)'!$B$339,Model!W$1,'Assumptions (O&amp;G Upstream)'!$B$342,Model!$Z$3339)</f>
        <v>-9.5387989864347187</v>
      </c>
      <c r="AA3365" s="377">
        <f>PPMT('Assumptions (O&amp;G Upstream)'!$B$339,Model!X$1,'Assumptions (O&amp;G Upstream)'!$B$342,Model!$Z$3339)</f>
        <v>-10.25420891041732</v>
      </c>
      <c r="AB3365" s="377">
        <f>PPMT('Assumptions (O&amp;G Upstream)'!$B$339,Model!Y$1,'Assumptions (O&amp;G Upstream)'!$B$342,Model!$Z$3339)</f>
        <v>-11.02327457869862</v>
      </c>
      <c r="AC3365" s="377">
        <f>PPMT('Assumptions (O&amp;G Upstream)'!$B$339,Model!Z$1,'Assumptions (O&amp;G Upstream)'!$B$342,Model!$Z$3339)</f>
        <v>-11.850020172101017</v>
      </c>
      <c r="AD3365" s="377">
        <f>PPMT('Assumptions (O&amp;G Upstream)'!$B$339,Model!AA$1,'Assumptions (O&amp;G Upstream)'!$B$342,Model!$Z$3339)</f>
        <v>-12.738771685008595</v>
      </c>
      <c r="AE3365" s="377">
        <f>PPMT('Assumptions (O&amp;G Upstream)'!$B$339,Model!AB$1,'Assumptions (O&amp;G Upstream)'!$B$342,Model!$Z$3339)</f>
        <v>-13.694179561384239</v>
      </c>
      <c r="AF3365" s="377">
        <f>PPMT('Assumptions (O&amp;G Upstream)'!$B$339,Model!AC$1,'Assumptions (O&amp;G Upstream)'!$B$342,Model!$Z$3339)</f>
        <v>-14.721243028488056</v>
      </c>
      <c r="AG3365" s="377">
        <f>PPMT('Assumptions (O&amp;G Upstream)'!$B$339,Model!AD$1,'Assumptions (O&amp;G Upstream)'!$B$342,Model!$Z$3339)</f>
        <v>-15.825336255624659</v>
      </c>
      <c r="AH3365" s="377">
        <f>PPMT('Assumptions (O&amp;G Upstream)'!$B$339,Model!AE$1,'Assumptions (O&amp;G Upstream)'!$B$342,Model!$Z$3339)</f>
        <v>-17.012236474796509</v>
      </c>
      <c r="AI3365" s="377">
        <f>PPMT('Assumptions (O&amp;G Upstream)'!$B$339,Model!AF$1,'Assumptions (O&amp;G Upstream)'!$B$342,Model!$Z$3339)</f>
        <v>-18.288154210406248</v>
      </c>
      <c r="AJ3365" s="377" t="e">
        <f>PPMT('Assumptions (O&amp;G Upstream)'!$B$339,Model!AG$1,'Assumptions (O&amp;G Upstream)'!$B$342,Model!$Z$3339)</f>
        <v>#NUM!</v>
      </c>
      <c r="AK3365" s="377" t="e">
        <f>PPMT('Assumptions (O&amp;G Upstream)'!$B$339,Model!AH$1,'Assumptions (O&amp;G Upstream)'!$B$342,Model!$Z$3339)</f>
        <v>#NUM!</v>
      </c>
      <c r="AL3365" s="377" t="e">
        <f>PPMT('Assumptions (O&amp;G Upstream)'!$B$339,Model!AI$1,'Assumptions (O&amp;G Upstream)'!$B$342,Model!$Z$3339)</f>
        <v>#NUM!</v>
      </c>
      <c r="AM3365" s="377" t="e">
        <f>PPMT('Assumptions (O&amp;G Upstream)'!$B$339,Model!AJ$1,'Assumptions (O&amp;G Upstream)'!$B$342,Model!$Z$3339)</f>
        <v>#NUM!</v>
      </c>
      <c r="AN3365" s="377" t="e">
        <f>PPMT('Assumptions (O&amp;G Upstream)'!$B$339,Model!AK$1,'Assumptions (O&amp;G Upstream)'!$B$342,Model!$Z$3339)</f>
        <v>#NUM!</v>
      </c>
      <c r="AO3365" s="377" t="e">
        <f>PPMT('Assumptions (O&amp;G Upstream)'!$B$339,Model!AL$1,'Assumptions (O&amp;G Upstream)'!$B$342,Model!$Z$3339)</f>
        <v>#NUM!</v>
      </c>
      <c r="AP3365" s="377" t="e">
        <f>PPMT('Assumptions (O&amp;G Upstream)'!$B$339,Model!AM$1,'Assumptions (O&amp;G Upstream)'!$B$342,Model!$Z$3339)</f>
        <v>#NUM!</v>
      </c>
      <c r="AQ3365" s="377" t="e">
        <f>PPMT('Assumptions (O&amp;G Upstream)'!$B$339,Model!AN$1,'Assumptions (O&amp;G Upstream)'!$B$342,Model!$Z$3339)</f>
        <v>#NUM!</v>
      </c>
      <c r="AR3365" s="377" t="e">
        <f>PPMT('Assumptions (O&amp;G Upstream)'!$B$339,Model!AO$1,'Assumptions (O&amp;G Upstream)'!$B$342,Model!$Z$3339)</f>
        <v>#NUM!</v>
      </c>
      <c r="AS3365" s="377" t="e">
        <f>PPMT('Assumptions (O&amp;G Upstream)'!$B$339,Model!AP$1,'Assumptions (O&amp;G Upstream)'!$B$342,Model!$Z$3339)</f>
        <v>#NUM!</v>
      </c>
      <c r="AT3365" s="377" t="e">
        <f>PPMT('Assumptions (O&amp;G Upstream)'!$B$339,Model!AQ$1,'Assumptions (O&amp;G Upstream)'!$B$342,Model!$Z$3339)</f>
        <v>#NUM!</v>
      </c>
      <c r="AU3365" s="377" t="e">
        <f>PPMT('Assumptions (O&amp;G Upstream)'!$B$339,Model!AR$1,'Assumptions (O&amp;G Upstream)'!$B$342,Model!$Z$3339)</f>
        <v>#NUM!</v>
      </c>
      <c r="AV3365" s="377" t="e">
        <f>PPMT('Assumptions (O&amp;G Upstream)'!$B$339,Model!AS$1,'Assumptions (O&amp;G Upstream)'!$B$342,Model!$Z$3339)</f>
        <v>#NUM!</v>
      </c>
      <c r="AW3365" s="377" t="e">
        <f>PPMT('Assumptions (O&amp;G Upstream)'!$B$339,Model!AT$1,'Assumptions (O&amp;G Upstream)'!$B$342,Model!$Z$3339)</f>
        <v>#NUM!</v>
      </c>
      <c r="AX3365" s="377" t="e">
        <f>PPMT('Assumptions (O&amp;G Upstream)'!$B$339,Model!AU$1,'Assumptions (O&amp;G Upstream)'!$B$342,Model!$Z$3339)</f>
        <v>#NUM!</v>
      </c>
    </row>
    <row r="3366" spans="1:61" ht="15.75" hidden="1" customHeight="1" outlineLevel="1">
      <c r="A3366" s="472"/>
      <c r="B3366" s="99"/>
      <c r="C3366" s="377"/>
      <c r="D3366" s="377"/>
      <c r="E3366" s="377"/>
      <c r="F3366" s="377"/>
      <c r="G3366" s="377"/>
      <c r="H3366" s="377"/>
      <c r="I3366" s="377"/>
      <c r="J3366" s="377"/>
      <c r="K3366" s="377"/>
      <c r="L3366" s="377"/>
      <c r="M3366" s="377"/>
      <c r="N3366" s="377"/>
      <c r="O3366" s="377"/>
      <c r="P3366" s="377"/>
      <c r="Q3366" s="377"/>
      <c r="R3366" s="377"/>
      <c r="S3366" s="42"/>
      <c r="T3366" s="42"/>
      <c r="U3366" s="42"/>
      <c r="V3366" s="42"/>
      <c r="W3366" s="86"/>
      <c r="AA3366" s="377">
        <f>PPMT('Assumptions (O&amp;G Upstream)'!$B$339,Model!W$1,'Assumptions (O&amp;G Upstream)'!$B$342,Model!$AA$3339)</f>
        <v>-9.9734840337183588</v>
      </c>
      <c r="AB3366" s="377">
        <f>PPMT('Assumptions (O&amp;G Upstream)'!$B$339,Model!X$1,'Assumptions (O&amp;G Upstream)'!$B$342,Model!$AA$3339)</f>
        <v>-10.721495336247234</v>
      </c>
      <c r="AC3366" s="377">
        <f>PPMT('Assumptions (O&amp;G Upstream)'!$B$339,Model!Y$1,'Assumptions (O&amp;G Upstream)'!$B$342,Model!$AA$3339)</f>
        <v>-11.525607486465777</v>
      </c>
      <c r="AD3366" s="377">
        <f>PPMT('Assumptions (O&amp;G Upstream)'!$B$339,Model!Z$1,'Assumptions (O&amp;G Upstream)'!$B$342,Model!$AA$3339)</f>
        <v>-12.390028047950711</v>
      </c>
      <c r="AE3366" s="377">
        <f>PPMT('Assumptions (O&amp;G Upstream)'!$B$339,Model!AA$1,'Assumptions (O&amp;G Upstream)'!$B$342,Model!$AA$3339)</f>
        <v>-13.319280151547014</v>
      </c>
      <c r="AF3366" s="377">
        <f>PPMT('Assumptions (O&amp;G Upstream)'!$B$339,Model!AB$1,'Assumptions (O&amp;G Upstream)'!$B$342,Model!$AA$3339)</f>
        <v>-14.318226162913039</v>
      </c>
      <c r="AG3366" s="377">
        <f>PPMT('Assumptions (O&amp;G Upstream)'!$B$339,Model!AC$1,'Assumptions (O&amp;G Upstream)'!$B$342,Model!$AA$3339)</f>
        <v>-15.392093125131515</v>
      </c>
      <c r="AH3366" s="377">
        <f>PPMT('Assumptions (O&amp;G Upstream)'!$B$339,Model!AD$1,'Assumptions (O&amp;G Upstream)'!$B$342,Model!$AA$3339)</f>
        <v>-16.54650010951638</v>
      </c>
      <c r="AI3366" s="377">
        <f>PPMT('Assumptions (O&amp;G Upstream)'!$B$339,Model!AE$1,'Assumptions (O&amp;G Upstream)'!$B$342,Model!$AA$3339)</f>
        <v>-17.787487617730111</v>
      </c>
      <c r="AJ3366" s="377">
        <f>PPMT('Assumptions (O&amp;G Upstream)'!$B$339,Model!AF$1,'Assumptions (O&amp;G Upstream)'!$B$342,Model!$AA$3339)</f>
        <v>-19.121549189059866</v>
      </c>
      <c r="AK3366" s="377" t="e">
        <f>PPMT('Assumptions (O&amp;G Upstream)'!$B$339,Model!AG$1,'Assumptions (O&amp;G Upstream)'!$B$342,Model!$AA$3339)</f>
        <v>#NUM!</v>
      </c>
      <c r="AL3366" s="377" t="e">
        <f>PPMT('Assumptions (O&amp;G Upstream)'!$B$339,Model!AH$1,'Assumptions (O&amp;G Upstream)'!$B$342,Model!$AA$3339)</f>
        <v>#NUM!</v>
      </c>
      <c r="AM3366" s="377" t="e">
        <f>PPMT('Assumptions (O&amp;G Upstream)'!$B$339,Model!AI$1,'Assumptions (O&amp;G Upstream)'!$B$342,Model!$AA$3339)</f>
        <v>#NUM!</v>
      </c>
      <c r="AN3366" s="377" t="e">
        <f>PPMT('Assumptions (O&amp;G Upstream)'!$B$339,Model!AJ$1,'Assumptions (O&amp;G Upstream)'!$B$342,Model!$AA$3339)</f>
        <v>#NUM!</v>
      </c>
      <c r="AO3366" s="377" t="e">
        <f>PPMT('Assumptions (O&amp;G Upstream)'!$B$339,Model!AK$1,'Assumptions (O&amp;G Upstream)'!$B$342,Model!$AA$3339)</f>
        <v>#NUM!</v>
      </c>
      <c r="AP3366" s="377" t="e">
        <f>PPMT('Assumptions (O&amp;G Upstream)'!$B$339,Model!AL$1,'Assumptions (O&amp;G Upstream)'!$B$342,Model!$AA$3339)</f>
        <v>#NUM!</v>
      </c>
      <c r="AQ3366" s="377" t="e">
        <f>PPMT('Assumptions (O&amp;G Upstream)'!$B$339,Model!AM$1,'Assumptions (O&amp;G Upstream)'!$B$342,Model!$AA$3339)</f>
        <v>#NUM!</v>
      </c>
      <c r="AR3366" s="377" t="e">
        <f>PPMT('Assumptions (O&amp;G Upstream)'!$B$339,Model!AN$1,'Assumptions (O&amp;G Upstream)'!$B$342,Model!$AA$3339)</f>
        <v>#NUM!</v>
      </c>
      <c r="AS3366" s="377" t="e">
        <f>PPMT('Assumptions (O&amp;G Upstream)'!$B$339,Model!AO$1,'Assumptions (O&amp;G Upstream)'!$B$342,Model!$AA$3339)</f>
        <v>#NUM!</v>
      </c>
      <c r="AT3366" s="377" t="e">
        <f>PPMT('Assumptions (O&amp;G Upstream)'!$B$339,Model!AP$1,'Assumptions (O&amp;G Upstream)'!$B$342,Model!$AA$3339)</f>
        <v>#NUM!</v>
      </c>
      <c r="AU3366" s="377" t="e">
        <f>PPMT('Assumptions (O&amp;G Upstream)'!$B$339,Model!AQ$1,'Assumptions (O&amp;G Upstream)'!$B$342,Model!$AA$3339)</f>
        <v>#NUM!</v>
      </c>
      <c r="AV3366" s="377" t="e">
        <f>PPMT('Assumptions (O&amp;G Upstream)'!$B$339,Model!AR$1,'Assumptions (O&amp;G Upstream)'!$B$342,Model!$AA$3339)</f>
        <v>#NUM!</v>
      </c>
      <c r="AW3366" s="377" t="e">
        <f>PPMT('Assumptions (O&amp;G Upstream)'!$B$339,Model!AS$1,'Assumptions (O&amp;G Upstream)'!$B$342,Model!$AA$3339)</f>
        <v>#NUM!</v>
      </c>
      <c r="AX3366" s="377" t="e">
        <f>PPMT('Assumptions (O&amp;G Upstream)'!$B$339,Model!AT$1,'Assumptions (O&amp;G Upstream)'!$B$342,Model!$AA$3339)</f>
        <v>#NUM!</v>
      </c>
      <c r="AY3366" s="377" t="e">
        <f>PPMT('Assumptions (O&amp;G Upstream)'!$B$339,Model!AU$1,'Assumptions (O&amp;G Upstream)'!$B$342,Model!$AA$3339)</f>
        <v>#NUM!</v>
      </c>
    </row>
    <row r="3367" spans="1:61" ht="15.75" hidden="1" customHeight="1" outlineLevel="1">
      <c r="A3367" s="472"/>
      <c r="B3367" s="99"/>
      <c r="C3367" s="377"/>
      <c r="D3367" s="377"/>
      <c r="E3367" s="377"/>
      <c r="F3367" s="377"/>
      <c r="G3367" s="377"/>
      <c r="H3367" s="377"/>
      <c r="I3367" s="377"/>
      <c r="J3367" s="377"/>
      <c r="K3367" s="377"/>
      <c r="L3367" s="377"/>
      <c r="M3367" s="377"/>
      <c r="N3367" s="377"/>
      <c r="O3367" s="377"/>
      <c r="P3367" s="377"/>
      <c r="Q3367" s="377"/>
      <c r="R3367" s="377"/>
      <c r="S3367" s="42"/>
      <c r="T3367" s="42"/>
      <c r="U3367" s="42"/>
      <c r="V3367" s="42"/>
      <c r="W3367" s="86"/>
      <c r="AB3367" s="377">
        <f>PPMT('Assumptions (O&amp;G Upstream)'!$B$339,Model!W$1,'Assumptions (O&amp;G Upstream)'!$B$342,Model!$AB$3339)</f>
        <v>-10.323231634473885</v>
      </c>
      <c r="AC3367" s="377">
        <f>PPMT('Assumptions (O&amp;G Upstream)'!$B$339,Model!X$1,'Assumptions (O&amp;G Upstream)'!$B$342,Model!$AB$3339)</f>
        <v>-11.097474007059427</v>
      </c>
      <c r="AD3367" s="377">
        <f>PPMT('Assumptions (O&amp;G Upstream)'!$B$339,Model!Y$1,'Assumptions (O&amp;G Upstream)'!$B$342,Model!$AB$3339)</f>
        <v>-11.929784557588883</v>
      </c>
      <c r="AE3367" s="377">
        <f>PPMT('Assumptions (O&amp;G Upstream)'!$B$339,Model!Z$1,'Assumptions (O&amp;G Upstream)'!$B$342,Model!$AB$3339)</f>
        <v>-12.824518399408051</v>
      </c>
      <c r="AF3367" s="377">
        <f>PPMT('Assumptions (O&amp;G Upstream)'!$B$339,Model!AA$1,'Assumptions (O&amp;G Upstream)'!$B$342,Model!$AB$3339)</f>
        <v>-13.786357279363655</v>
      </c>
      <c r="AG3367" s="377">
        <f>PPMT('Assumptions (O&amp;G Upstream)'!$B$339,Model!AB$1,'Assumptions (O&amp;G Upstream)'!$B$342,Model!$AB$3339)</f>
        <v>-14.820334075315927</v>
      </c>
      <c r="AH3367" s="377">
        <f>PPMT('Assumptions (O&amp;G Upstream)'!$B$339,Model!AC$1,'Assumptions (O&amp;G Upstream)'!$B$342,Model!$AB$3339)</f>
        <v>-15.931859130964622</v>
      </c>
      <c r="AI3367" s="377">
        <f>PPMT('Assumptions (O&amp;G Upstream)'!$B$339,Model!AD$1,'Assumptions (O&amp;G Upstream)'!$B$342,Model!$AB$3339)</f>
        <v>-17.126748565786968</v>
      </c>
      <c r="AJ3367" s="377">
        <f>PPMT('Assumptions (O&amp;G Upstream)'!$B$339,Model!AE$1,'Assumptions (O&amp;G Upstream)'!$B$342,Model!$AB$3339)</f>
        <v>-18.411254708220994</v>
      </c>
      <c r="AK3367" s="377">
        <f>PPMT('Assumptions (O&amp;G Upstream)'!$B$339,Model!AF$1,'Assumptions (O&amp;G Upstream)'!$B$342,Model!$AB$3339)</f>
        <v>-19.792098811337567</v>
      </c>
      <c r="AL3367" s="377" t="e">
        <f>PPMT('Assumptions (O&amp;G Upstream)'!$B$339,Model!AG$1,'Assumptions (O&amp;G Upstream)'!$B$342,Model!$AB$3339)</f>
        <v>#NUM!</v>
      </c>
      <c r="AM3367" s="377" t="e">
        <f>PPMT('Assumptions (O&amp;G Upstream)'!$B$339,Model!AH$1,'Assumptions (O&amp;G Upstream)'!$B$342,Model!$AB$3339)</f>
        <v>#NUM!</v>
      </c>
      <c r="AN3367" s="377" t="e">
        <f>PPMT('Assumptions (O&amp;G Upstream)'!$B$339,Model!AI$1,'Assumptions (O&amp;G Upstream)'!$B$342,Model!$AB$3339)</f>
        <v>#NUM!</v>
      </c>
      <c r="AO3367" s="377" t="e">
        <f>PPMT('Assumptions (O&amp;G Upstream)'!$B$339,Model!AJ$1,'Assumptions (O&amp;G Upstream)'!$B$342,Model!$AB$3339)</f>
        <v>#NUM!</v>
      </c>
      <c r="AP3367" s="377" t="e">
        <f>PPMT('Assumptions (O&amp;G Upstream)'!$B$339,Model!AK$1,'Assumptions (O&amp;G Upstream)'!$B$342,Model!$AB$3339)</f>
        <v>#NUM!</v>
      </c>
      <c r="AQ3367" s="377" t="e">
        <f>PPMT('Assumptions (O&amp;G Upstream)'!$B$339,Model!AL$1,'Assumptions (O&amp;G Upstream)'!$B$342,Model!$AB$3339)</f>
        <v>#NUM!</v>
      </c>
      <c r="AR3367" s="377" t="e">
        <f>PPMT('Assumptions (O&amp;G Upstream)'!$B$339,Model!AM$1,'Assumptions (O&amp;G Upstream)'!$B$342,Model!$AB$3339)</f>
        <v>#NUM!</v>
      </c>
      <c r="AS3367" s="377" t="e">
        <f>PPMT('Assumptions (O&amp;G Upstream)'!$B$339,Model!AN$1,'Assumptions (O&amp;G Upstream)'!$B$342,Model!$AB$3339)</f>
        <v>#NUM!</v>
      </c>
      <c r="AT3367" s="377" t="e">
        <f>PPMT('Assumptions (O&amp;G Upstream)'!$B$339,Model!AO$1,'Assumptions (O&amp;G Upstream)'!$B$342,Model!$AB$3339)</f>
        <v>#NUM!</v>
      </c>
      <c r="AU3367" s="377" t="e">
        <f>PPMT('Assumptions (O&amp;G Upstream)'!$B$339,Model!AP$1,'Assumptions (O&amp;G Upstream)'!$B$342,Model!$AB$3339)</f>
        <v>#NUM!</v>
      </c>
      <c r="AV3367" s="377" t="e">
        <f>PPMT('Assumptions (O&amp;G Upstream)'!$B$339,Model!AQ$1,'Assumptions (O&amp;G Upstream)'!$B$342,Model!$AB$3339)</f>
        <v>#NUM!</v>
      </c>
      <c r="AW3367" s="377" t="e">
        <f>PPMT('Assumptions (O&amp;G Upstream)'!$B$339,Model!AR$1,'Assumptions (O&amp;G Upstream)'!$B$342,Model!$AB$3339)</f>
        <v>#NUM!</v>
      </c>
      <c r="AX3367" s="377" t="e">
        <f>PPMT('Assumptions (O&amp;G Upstream)'!$B$339,Model!AS$1,'Assumptions (O&amp;G Upstream)'!$B$342,Model!$AB$3339)</f>
        <v>#NUM!</v>
      </c>
      <c r="AY3367" s="377" t="e">
        <f>PPMT('Assumptions (O&amp;G Upstream)'!$B$339,Model!AT$1,'Assumptions (O&amp;G Upstream)'!$B$342,Model!$AB$3339)</f>
        <v>#NUM!</v>
      </c>
      <c r="AZ3367" s="377" t="e">
        <f>PPMT('Assumptions (O&amp;G Upstream)'!$B$339,Model!AU$1,'Assumptions (O&amp;G Upstream)'!$B$342,Model!$AB$3339)</f>
        <v>#NUM!</v>
      </c>
    </row>
    <row r="3368" spans="1:61" ht="15.75" hidden="1" customHeight="1" outlineLevel="1">
      <c r="A3368" s="472"/>
      <c r="B3368" s="99"/>
      <c r="C3368" s="377"/>
      <c r="D3368" s="377"/>
      <c r="E3368" s="377"/>
      <c r="F3368" s="377"/>
      <c r="G3368" s="377"/>
      <c r="H3368" s="377"/>
      <c r="I3368" s="377"/>
      <c r="J3368" s="377"/>
      <c r="K3368" s="377"/>
      <c r="L3368" s="377"/>
      <c r="M3368" s="377"/>
      <c r="N3368" s="377"/>
      <c r="O3368" s="377"/>
      <c r="P3368" s="377"/>
      <c r="Q3368" s="377"/>
      <c r="R3368" s="377"/>
      <c r="S3368" s="42"/>
      <c r="T3368" s="42"/>
      <c r="U3368" s="42"/>
      <c r="V3368" s="42"/>
      <c r="W3368" s="86"/>
      <c r="AC3368" s="377">
        <f>PPMT('Assumptions (O&amp;G Upstream)'!$B$339,Model!W$1,'Assumptions (O&amp;G Upstream)'!$B$342,Model!$AC$3339)</f>
        <v>-10.710951410413161</v>
      </c>
      <c r="AD3368" s="377">
        <f>PPMT('Assumptions (O&amp;G Upstream)'!$B$339,Model!X$1,'Assumptions (O&amp;G Upstream)'!$B$342,Model!$AC$3339)</f>
        <v>-11.514272766194148</v>
      </c>
      <c r="AE3368" s="377">
        <f>PPMT('Assumptions (O&amp;G Upstream)'!$B$339,Model!Y$1,'Assumptions (O&amp;G Upstream)'!$B$342,Model!$AC$3339)</f>
        <v>-12.377843223658708</v>
      </c>
      <c r="AF3368" s="377">
        <f>PPMT('Assumptions (O&amp;G Upstream)'!$B$339,Model!Z$1,'Assumptions (O&amp;G Upstream)'!$B$342,Model!$AC$3339)</f>
        <v>-13.306181465433113</v>
      </c>
      <c r="AG3368" s="377">
        <f>PPMT('Assumptions (O&amp;G Upstream)'!$B$339,Model!AA$1,'Assumptions (O&amp;G Upstream)'!$B$342,Model!$AC$3339)</f>
        <v>-14.304145075340596</v>
      </c>
      <c r="AH3368" s="377">
        <f>PPMT('Assumptions (O&amp;G Upstream)'!$B$339,Model!AB$1,'Assumptions (O&amp;G Upstream)'!$B$342,Model!$AC$3339)</f>
        <v>-15.376955955991139</v>
      </c>
      <c r="AI3368" s="377">
        <f>PPMT('Assumptions (O&amp;G Upstream)'!$B$339,Model!AC$1,'Assumptions (O&amp;G Upstream)'!$B$342,Model!$AC$3339)</f>
        <v>-16.530227652690474</v>
      </c>
      <c r="AJ3368" s="377">
        <f>PPMT('Assumptions (O&amp;G Upstream)'!$B$339,Model!AD$1,'Assumptions (O&amp;G Upstream)'!$B$342,Model!$AC$3339)</f>
        <v>-17.769994726642263</v>
      </c>
      <c r="AK3368" s="377">
        <f>PPMT('Assumptions (O&amp;G Upstream)'!$B$339,Model!AE$1,'Assumptions (O&amp;G Upstream)'!$B$342,Model!$AC$3339)</f>
        <v>-19.102744331140432</v>
      </c>
      <c r="AL3368" s="377">
        <f>PPMT('Assumptions (O&amp;G Upstream)'!$B$339,Model!AF$1,'Assumptions (O&amp;G Upstream)'!$B$342,Model!$AC$3339)</f>
        <v>-20.535450155975962</v>
      </c>
      <c r="AM3368" s="377" t="e">
        <f>PPMT('Assumptions (O&amp;G Upstream)'!$B$339,Model!AG$1,'Assumptions (O&amp;G Upstream)'!$B$342,Model!$AC$3339)</f>
        <v>#NUM!</v>
      </c>
      <c r="AN3368" s="377" t="e">
        <f>PPMT('Assumptions (O&amp;G Upstream)'!$B$339,Model!AH$1,'Assumptions (O&amp;G Upstream)'!$B$342,Model!$AC$3339)</f>
        <v>#NUM!</v>
      </c>
      <c r="AO3368" s="377" t="e">
        <f>PPMT('Assumptions (O&amp;G Upstream)'!$B$339,Model!AI$1,'Assumptions (O&amp;G Upstream)'!$B$342,Model!$AC$3339)</f>
        <v>#NUM!</v>
      </c>
      <c r="AP3368" s="377" t="e">
        <f>PPMT('Assumptions (O&amp;G Upstream)'!$B$339,Model!AJ$1,'Assumptions (O&amp;G Upstream)'!$B$342,Model!$AC$3339)</f>
        <v>#NUM!</v>
      </c>
      <c r="AQ3368" s="377" t="e">
        <f>PPMT('Assumptions (O&amp;G Upstream)'!$B$339,Model!AK$1,'Assumptions (O&amp;G Upstream)'!$B$342,Model!$AC$3339)</f>
        <v>#NUM!</v>
      </c>
      <c r="AR3368" s="377" t="e">
        <f>PPMT('Assumptions (O&amp;G Upstream)'!$B$339,Model!AL$1,'Assumptions (O&amp;G Upstream)'!$B$342,Model!$AC$3339)</f>
        <v>#NUM!</v>
      </c>
      <c r="AS3368" s="377" t="e">
        <f>PPMT('Assumptions (O&amp;G Upstream)'!$B$339,Model!AM$1,'Assumptions (O&amp;G Upstream)'!$B$342,Model!$AC$3339)</f>
        <v>#NUM!</v>
      </c>
      <c r="AT3368" s="377" t="e">
        <f>PPMT('Assumptions (O&amp;G Upstream)'!$B$339,Model!AN$1,'Assumptions (O&amp;G Upstream)'!$B$342,Model!$AC$3339)</f>
        <v>#NUM!</v>
      </c>
      <c r="AU3368" s="377" t="e">
        <f>PPMT('Assumptions (O&amp;G Upstream)'!$B$339,Model!AO$1,'Assumptions (O&amp;G Upstream)'!$B$342,Model!$AC$3339)</f>
        <v>#NUM!</v>
      </c>
      <c r="AV3368" s="377" t="e">
        <f>PPMT('Assumptions (O&amp;G Upstream)'!$B$339,Model!AP$1,'Assumptions (O&amp;G Upstream)'!$B$342,Model!$AC$3339)</f>
        <v>#NUM!</v>
      </c>
      <c r="AW3368" s="377" t="e">
        <f>PPMT('Assumptions (O&amp;G Upstream)'!$B$339,Model!AQ$1,'Assumptions (O&amp;G Upstream)'!$B$342,Model!$AC$3339)</f>
        <v>#NUM!</v>
      </c>
      <c r="AX3368" s="377" t="e">
        <f>PPMT('Assumptions (O&amp;G Upstream)'!$B$339,Model!AR$1,'Assumptions (O&amp;G Upstream)'!$B$342,Model!$AC$3339)</f>
        <v>#NUM!</v>
      </c>
      <c r="AY3368" s="377" t="e">
        <f>PPMT('Assumptions (O&amp;G Upstream)'!$B$339,Model!AS$1,'Assumptions (O&amp;G Upstream)'!$B$342,Model!$AC$3339)</f>
        <v>#NUM!</v>
      </c>
      <c r="AZ3368" s="377" t="e">
        <f>PPMT('Assumptions (O&amp;G Upstream)'!$B$339,Model!AT$1,'Assumptions (O&amp;G Upstream)'!$B$342,Model!$AC$3339)</f>
        <v>#NUM!</v>
      </c>
      <c r="BA3368" s="377" t="e">
        <f>PPMT('Assumptions (O&amp;G Upstream)'!$B$339,Model!AU$1,'Assumptions (O&amp;G Upstream)'!$B$342,Model!$AC$3339)</f>
        <v>#NUM!</v>
      </c>
    </row>
    <row r="3369" spans="1:61" ht="15.75" hidden="1" customHeight="1" outlineLevel="1">
      <c r="A3369" s="472"/>
      <c r="B3369" s="99"/>
      <c r="C3369" s="377"/>
      <c r="D3369" s="377"/>
      <c r="E3369" s="377"/>
      <c r="F3369" s="377"/>
      <c r="G3369" s="377"/>
      <c r="H3369" s="377"/>
      <c r="I3369" s="377"/>
      <c r="J3369" s="377"/>
      <c r="K3369" s="377"/>
      <c r="L3369" s="377"/>
      <c r="M3369" s="377"/>
      <c r="N3369" s="377"/>
      <c r="O3369" s="377"/>
      <c r="P3369" s="377"/>
      <c r="Q3369" s="377"/>
      <c r="R3369" s="377"/>
      <c r="S3369" s="42"/>
      <c r="T3369" s="42"/>
      <c r="U3369" s="42"/>
      <c r="V3369" s="42"/>
      <c r="W3369" s="86"/>
      <c r="AD3369" s="377">
        <f>PPMT('Assumptions (O&amp;G Upstream)'!$B$339,Model!W$1,'Assumptions (O&amp;G Upstream)'!$B$342,Model!$AD$3339)</f>
        <v>-11.146553100541068</v>
      </c>
      <c r="AE3369" s="377">
        <f>PPMT('Assumptions (O&amp;G Upstream)'!$B$339,Model!X$1,'Assumptions (O&amp;G Upstream)'!$B$342,Model!$AD$3339)</f>
        <v>-11.982544583081648</v>
      </c>
      <c r="AF3369" s="377">
        <f>PPMT('Assumptions (O&amp;G Upstream)'!$B$339,Model!Y$1,'Assumptions (O&amp;G Upstream)'!$B$342,Model!$AD$3339)</f>
        <v>-12.881235426812768</v>
      </c>
      <c r="AG3369" s="377">
        <f>PPMT('Assumptions (O&amp;G Upstream)'!$B$339,Model!Z$1,'Assumptions (O&amp;G Upstream)'!$B$342,Model!$AD$3339)</f>
        <v>-13.847328083823728</v>
      </c>
      <c r="AH3369" s="377">
        <f>PPMT('Assumptions (O&amp;G Upstream)'!$B$339,Model!AA$1,'Assumptions (O&amp;G Upstream)'!$B$342,Model!$AD$3339)</f>
        <v>-14.885877690110508</v>
      </c>
      <c r="AI3369" s="377">
        <f>PPMT('Assumptions (O&amp;G Upstream)'!$B$339,Model!AB$1,'Assumptions (O&amp;G Upstream)'!$B$342,Model!$AD$3339)</f>
        <v>-16.002318516868794</v>
      </c>
      <c r="AJ3369" s="377">
        <f>PPMT('Assumptions (O&amp;G Upstream)'!$B$339,Model!AC$1,'Assumptions (O&amp;G Upstream)'!$B$342,Model!$AD$3339)</f>
        <v>-17.202492405633954</v>
      </c>
      <c r="AK3369" s="377">
        <f>PPMT('Assumptions (O&amp;G Upstream)'!$B$339,Model!AD$1,'Assumptions (O&amp;G Upstream)'!$B$342,Model!$AD$3339)</f>
        <v>-18.492679336056501</v>
      </c>
      <c r="AL3369" s="377">
        <f>PPMT('Assumptions (O&amp;G Upstream)'!$B$339,Model!AE$1,'Assumptions (O&amp;G Upstream)'!$B$342,Model!$AD$3339)</f>
        <v>-19.879630286260742</v>
      </c>
      <c r="AM3369" s="377">
        <f>PPMT('Assumptions (O&amp;G Upstream)'!$B$339,Model!AF$1,'Assumptions (O&amp;G Upstream)'!$B$342,Model!$AD$3339)</f>
        <v>-21.370602557730294</v>
      </c>
      <c r="AN3369" s="377" t="e">
        <f>PPMT('Assumptions (O&amp;G Upstream)'!$B$339,Model!AG$1,'Assumptions (O&amp;G Upstream)'!$B$342,Model!$AD$3339)</f>
        <v>#NUM!</v>
      </c>
      <c r="AO3369" s="377" t="e">
        <f>PPMT('Assumptions (O&amp;G Upstream)'!$B$339,Model!AH$1,'Assumptions (O&amp;G Upstream)'!$B$342,Model!$AD$3339)</f>
        <v>#NUM!</v>
      </c>
      <c r="AP3369" s="377" t="e">
        <f>PPMT('Assumptions (O&amp;G Upstream)'!$B$339,Model!AI$1,'Assumptions (O&amp;G Upstream)'!$B$342,Model!$AD$3339)</f>
        <v>#NUM!</v>
      </c>
      <c r="AQ3369" s="377" t="e">
        <f>PPMT('Assumptions (O&amp;G Upstream)'!$B$339,Model!AJ$1,'Assumptions (O&amp;G Upstream)'!$B$342,Model!$AD$3339)</f>
        <v>#NUM!</v>
      </c>
      <c r="AR3369" s="377" t="e">
        <f>PPMT('Assumptions (O&amp;G Upstream)'!$B$339,Model!AK$1,'Assumptions (O&amp;G Upstream)'!$B$342,Model!$AD$3339)</f>
        <v>#NUM!</v>
      </c>
      <c r="AS3369" s="377" t="e">
        <f>PPMT('Assumptions (O&amp;G Upstream)'!$B$339,Model!AL$1,'Assumptions (O&amp;G Upstream)'!$B$342,Model!$AD$3339)</f>
        <v>#NUM!</v>
      </c>
      <c r="AT3369" s="377" t="e">
        <f>PPMT('Assumptions (O&amp;G Upstream)'!$B$339,Model!AM$1,'Assumptions (O&amp;G Upstream)'!$B$342,Model!$AD$3339)</f>
        <v>#NUM!</v>
      </c>
      <c r="AU3369" s="377" t="e">
        <f>PPMT('Assumptions (O&amp;G Upstream)'!$B$339,Model!AN$1,'Assumptions (O&amp;G Upstream)'!$B$342,Model!$AD$3339)</f>
        <v>#NUM!</v>
      </c>
      <c r="AV3369" s="377" t="e">
        <f>PPMT('Assumptions (O&amp;G Upstream)'!$B$339,Model!AO$1,'Assumptions (O&amp;G Upstream)'!$B$342,Model!$AD$3339)</f>
        <v>#NUM!</v>
      </c>
      <c r="AW3369" s="377" t="e">
        <f>PPMT('Assumptions (O&amp;G Upstream)'!$B$339,Model!AP$1,'Assumptions (O&amp;G Upstream)'!$B$342,Model!$AD$3339)</f>
        <v>#NUM!</v>
      </c>
      <c r="AX3369" s="377" t="e">
        <f>PPMT('Assumptions (O&amp;G Upstream)'!$B$339,Model!AQ$1,'Assumptions (O&amp;G Upstream)'!$B$342,Model!$AD$3339)</f>
        <v>#NUM!</v>
      </c>
      <c r="AY3369" s="377" t="e">
        <f>PPMT('Assumptions (O&amp;G Upstream)'!$B$339,Model!AR$1,'Assumptions (O&amp;G Upstream)'!$B$342,Model!$AD$3339)</f>
        <v>#NUM!</v>
      </c>
      <c r="AZ3369" s="377" t="e">
        <f>PPMT('Assumptions (O&amp;G Upstream)'!$B$339,Model!AS$1,'Assumptions (O&amp;G Upstream)'!$B$342,Model!$AD$3339)</f>
        <v>#NUM!</v>
      </c>
      <c r="BA3369" s="377" t="e">
        <f>PPMT('Assumptions (O&amp;G Upstream)'!$B$339,Model!AT$1,'Assumptions (O&amp;G Upstream)'!$B$342,Model!$AD$3339)</f>
        <v>#NUM!</v>
      </c>
      <c r="BB3369" s="377" t="e">
        <f>PPMT('Assumptions (O&amp;G Upstream)'!$B$339,Model!AU$1,'Assumptions (O&amp;G Upstream)'!$B$342,Model!$AD$3339)</f>
        <v>#NUM!</v>
      </c>
    </row>
    <row r="3370" spans="1:61" ht="15.75" hidden="1" customHeight="1" outlineLevel="1">
      <c r="A3370" s="472"/>
      <c r="B3370" s="99"/>
      <c r="C3370" s="377"/>
      <c r="D3370" s="377"/>
      <c r="E3370" s="377"/>
      <c r="F3370" s="377"/>
      <c r="G3370" s="377"/>
      <c r="H3370" s="377"/>
      <c r="I3370" s="377"/>
      <c r="J3370" s="377"/>
      <c r="K3370" s="377"/>
      <c r="L3370" s="377"/>
      <c r="M3370" s="377"/>
      <c r="N3370" s="377"/>
      <c r="O3370" s="377"/>
      <c r="P3370" s="377"/>
      <c r="Q3370" s="377"/>
      <c r="R3370" s="377"/>
      <c r="S3370" s="42"/>
      <c r="T3370" s="42"/>
      <c r="U3370" s="42"/>
      <c r="V3370" s="42"/>
      <c r="W3370" s="86"/>
      <c r="AE3370" s="377">
        <f>PPMT('Assumptions (O&amp;G Upstream)'!$B$339,Model!W$1,'Assumptions (O&amp;G Upstream)'!$B$342,Model!$AE$3339)</f>
        <v>-11.416131938712894</v>
      </c>
      <c r="AF3370" s="377">
        <f>PPMT('Assumptions (O&amp;G Upstream)'!$B$339,Model!X$1,'Assumptions (O&amp;G Upstream)'!$B$342,Model!$AE$3339)</f>
        <v>-12.272341834116359</v>
      </c>
      <c r="AG3370" s="377">
        <f>PPMT('Assumptions (O&amp;G Upstream)'!$B$339,Model!Y$1,'Assumptions (O&amp;G Upstream)'!$B$342,Model!$AE$3339)</f>
        <v>-13.192767471675085</v>
      </c>
      <c r="AH3370" s="377">
        <f>PPMT('Assumptions (O&amp;G Upstream)'!$B$339,Model!Z$1,'Assumptions (O&amp;G Upstream)'!$B$342,Model!$AE$3339)</f>
        <v>-14.182225032050718</v>
      </c>
      <c r="AI3370" s="377">
        <f>PPMT('Assumptions (O&amp;G Upstream)'!$B$339,Model!AA$1,'Assumptions (O&amp;G Upstream)'!$B$342,Model!$AE$3339)</f>
        <v>-15.245891909454523</v>
      </c>
      <c r="AJ3370" s="377">
        <f>PPMT('Assumptions (O&amp;G Upstream)'!$B$339,Model!AB$1,'Assumptions (O&amp;G Upstream)'!$B$342,Model!$AE$3339)</f>
        <v>-16.389333802663611</v>
      </c>
      <c r="AK3370" s="377">
        <f>PPMT('Assumptions (O&amp;G Upstream)'!$B$339,Model!AC$1,'Assumptions (O&amp;G Upstream)'!$B$342,Model!$AE$3339)</f>
        <v>-17.618533837863382</v>
      </c>
      <c r="AL3370" s="377">
        <f>PPMT('Assumptions (O&amp;G Upstream)'!$B$339,Model!AD$1,'Assumptions (O&amp;G Upstream)'!$B$342,Model!$AE$3339)</f>
        <v>-18.939923875703137</v>
      </c>
      <c r="AM3370" s="377">
        <f>PPMT('Assumptions (O&amp;G Upstream)'!$B$339,Model!AE$1,'Assumptions (O&amp;G Upstream)'!$B$342,Model!$AE$3339)</f>
        <v>-20.360418166380871</v>
      </c>
      <c r="AN3370" s="377">
        <f>PPMT('Assumptions (O&amp;G Upstream)'!$B$339,Model!AF$1,'Assumptions (O&amp;G Upstream)'!$B$342,Model!$AE$3339)</f>
        <v>-21.887449528859435</v>
      </c>
      <c r="AO3370" s="377" t="e">
        <f>PPMT('Assumptions (O&amp;G Upstream)'!$B$339,Model!AG$1,'Assumptions (O&amp;G Upstream)'!$B$342,Model!$AE$3339)</f>
        <v>#NUM!</v>
      </c>
      <c r="AP3370" s="377" t="e">
        <f>PPMT('Assumptions (O&amp;G Upstream)'!$B$339,Model!AH$1,'Assumptions (O&amp;G Upstream)'!$B$342,Model!$AE$3339)</f>
        <v>#NUM!</v>
      </c>
      <c r="AQ3370" s="377" t="e">
        <f>PPMT('Assumptions (O&amp;G Upstream)'!$B$339,Model!AI$1,'Assumptions (O&amp;G Upstream)'!$B$342,Model!$AE$3339)</f>
        <v>#NUM!</v>
      </c>
      <c r="AR3370" s="377" t="e">
        <f>PPMT('Assumptions (O&amp;G Upstream)'!$B$339,Model!AJ$1,'Assumptions (O&amp;G Upstream)'!$B$342,Model!$AE$3339)</f>
        <v>#NUM!</v>
      </c>
      <c r="AS3370" s="377" t="e">
        <f>PPMT('Assumptions (O&amp;G Upstream)'!$B$339,Model!AK$1,'Assumptions (O&amp;G Upstream)'!$B$342,Model!$AE$3339)</f>
        <v>#NUM!</v>
      </c>
      <c r="AT3370" s="377" t="e">
        <f>PPMT('Assumptions (O&amp;G Upstream)'!$B$339,Model!AL$1,'Assumptions (O&amp;G Upstream)'!$B$342,Model!$AE$3339)</f>
        <v>#NUM!</v>
      </c>
      <c r="AU3370" s="377" t="e">
        <f>PPMT('Assumptions (O&amp;G Upstream)'!$B$339,Model!AM$1,'Assumptions (O&amp;G Upstream)'!$B$342,Model!$AE$3339)</f>
        <v>#NUM!</v>
      </c>
      <c r="AV3370" s="377" t="e">
        <f>PPMT('Assumptions (O&amp;G Upstream)'!$B$339,Model!AN$1,'Assumptions (O&amp;G Upstream)'!$B$342,Model!$AE$3339)</f>
        <v>#NUM!</v>
      </c>
      <c r="AW3370" s="377" t="e">
        <f>PPMT('Assumptions (O&amp;G Upstream)'!$B$339,Model!AO$1,'Assumptions (O&amp;G Upstream)'!$B$342,Model!$AE$3339)</f>
        <v>#NUM!</v>
      </c>
      <c r="AX3370" s="377" t="e">
        <f>PPMT('Assumptions (O&amp;G Upstream)'!$B$339,Model!AP$1,'Assumptions (O&amp;G Upstream)'!$B$342,Model!$AE$3339)</f>
        <v>#NUM!</v>
      </c>
      <c r="AY3370" s="377" t="e">
        <f>PPMT('Assumptions (O&amp;G Upstream)'!$B$339,Model!AQ$1,'Assumptions (O&amp;G Upstream)'!$B$342,Model!$AE$3339)</f>
        <v>#NUM!</v>
      </c>
      <c r="AZ3370" s="377" t="e">
        <f>PPMT('Assumptions (O&amp;G Upstream)'!$B$339,Model!AR$1,'Assumptions (O&amp;G Upstream)'!$B$342,Model!$AE$3339)</f>
        <v>#NUM!</v>
      </c>
      <c r="BA3370" s="377" t="e">
        <f>PPMT('Assumptions (O&amp;G Upstream)'!$B$339,Model!AS$1,'Assumptions (O&amp;G Upstream)'!$B$342,Model!$AE$3339)</f>
        <v>#NUM!</v>
      </c>
      <c r="BB3370" s="377" t="e">
        <f>PPMT('Assumptions (O&amp;G Upstream)'!$B$339,Model!AT$1,'Assumptions (O&amp;G Upstream)'!$B$342,Model!$AE$3339)</f>
        <v>#NUM!</v>
      </c>
      <c r="BC3370" s="377" t="e">
        <f>PPMT('Assumptions (O&amp;G Upstream)'!$B$339,Model!AU$1,'Assumptions (O&amp;G Upstream)'!$B$342,Model!$AE$3339)</f>
        <v>#NUM!</v>
      </c>
    </row>
    <row r="3371" spans="1:61" ht="15.75" hidden="1" customHeight="1" outlineLevel="1">
      <c r="A3371" s="472"/>
      <c r="B3371" s="99"/>
      <c r="C3371" s="377"/>
      <c r="D3371" s="377"/>
      <c r="E3371" s="377"/>
      <c r="F3371" s="377"/>
      <c r="G3371" s="377"/>
      <c r="H3371" s="377"/>
      <c r="I3371" s="377"/>
      <c r="J3371" s="377"/>
      <c r="K3371" s="377"/>
      <c r="L3371" s="377"/>
      <c r="M3371" s="377"/>
      <c r="N3371" s="377"/>
      <c r="O3371" s="377"/>
      <c r="P3371" s="377"/>
      <c r="Q3371" s="377"/>
      <c r="R3371" s="377"/>
      <c r="S3371" s="42"/>
      <c r="T3371" s="42"/>
      <c r="U3371" s="42"/>
      <c r="V3371" s="42"/>
      <c r="W3371" s="86"/>
      <c r="AF3371" s="377">
        <f>PPMT('Assumptions (O&amp;G Upstream)'!$B$339,Model!W$1,'Assumptions (O&amp;G Upstream)'!$B$342,Model!$AF$3339)</f>
        <v>-11.75095031038528</v>
      </c>
      <c r="AG3371" s="377">
        <f>PPMT('Assumptions (O&amp;G Upstream)'!$B$339,Model!X$1,'Assumptions (O&amp;G Upstream)'!$B$342,Model!$AF$3339)</f>
        <v>-12.632271583664174</v>
      </c>
      <c r="AH3371" s="377">
        <f>PPMT('Assumptions (O&amp;G Upstream)'!$B$339,Model!Y$1,'Assumptions (O&amp;G Upstream)'!$B$342,Model!$AF$3339)</f>
        <v>-13.579691952438987</v>
      </c>
      <c r="AI3371" s="377">
        <f>PPMT('Assumptions (O&amp;G Upstream)'!$B$339,Model!Z$1,'Assumptions (O&amp;G Upstream)'!$B$342,Model!$AF$3339)</f>
        <v>-14.598168848871913</v>
      </c>
      <c r="AJ3371" s="377">
        <f>PPMT('Assumptions (O&amp;G Upstream)'!$B$339,Model!AA$1,'Assumptions (O&amp;G Upstream)'!$B$342,Model!$AF$3339)</f>
        <v>-15.693031512537306</v>
      </c>
      <c r="AK3371" s="377">
        <f>PPMT('Assumptions (O&amp;G Upstream)'!$B$339,Model!AB$1,'Assumptions (O&amp;G Upstream)'!$B$342,Model!$AF$3339)</f>
        <v>-16.870008875977604</v>
      </c>
      <c r="AL3371" s="377">
        <f>PPMT('Assumptions (O&amp;G Upstream)'!$B$339,Model!AC$1,'Assumptions (O&amp;G Upstream)'!$B$342,Model!$AF$3339)</f>
        <v>-18.135259541675921</v>
      </c>
      <c r="AM3371" s="377">
        <f>PPMT('Assumptions (O&amp;G Upstream)'!$B$339,Model!AD$1,'Assumptions (O&amp;G Upstream)'!$B$342,Model!$AF$3339)</f>
        <v>-19.495404007301619</v>
      </c>
      <c r="AN3371" s="377">
        <f>PPMT('Assumptions (O&amp;G Upstream)'!$B$339,Model!AE$1,'Assumptions (O&amp;G Upstream)'!$B$342,Model!$AF$3339)</f>
        <v>-20.957559307849241</v>
      </c>
      <c r="AO3371" s="377">
        <f>PPMT('Assumptions (O&amp;G Upstream)'!$B$339,Model!AF$1,'Assumptions (O&amp;G Upstream)'!$B$342,Model!$AF$3339)</f>
        <v>-22.52937625593793</v>
      </c>
      <c r="AP3371" s="377" t="e">
        <f>PPMT('Assumptions (O&amp;G Upstream)'!$B$339,Model!AG$1,'Assumptions (O&amp;G Upstream)'!$B$342,Model!$AF$3339)</f>
        <v>#NUM!</v>
      </c>
      <c r="AQ3371" s="377" t="e">
        <f>PPMT('Assumptions (O&amp;G Upstream)'!$B$339,Model!AH$1,'Assumptions (O&amp;G Upstream)'!$B$342,Model!$AF$3339)</f>
        <v>#NUM!</v>
      </c>
      <c r="AR3371" s="377" t="e">
        <f>PPMT('Assumptions (O&amp;G Upstream)'!$B$339,Model!AI$1,'Assumptions (O&amp;G Upstream)'!$B$342,Model!$AF$3339)</f>
        <v>#NUM!</v>
      </c>
      <c r="AS3371" s="377" t="e">
        <f>PPMT('Assumptions (O&amp;G Upstream)'!$B$339,Model!AJ$1,'Assumptions (O&amp;G Upstream)'!$B$342,Model!$AF$3339)</f>
        <v>#NUM!</v>
      </c>
      <c r="AT3371" s="377" t="e">
        <f>PPMT('Assumptions (O&amp;G Upstream)'!$B$339,Model!AK$1,'Assumptions (O&amp;G Upstream)'!$B$342,Model!$AF$3339)</f>
        <v>#NUM!</v>
      </c>
      <c r="AU3371" s="377" t="e">
        <f>PPMT('Assumptions (O&amp;G Upstream)'!$B$339,Model!AL$1,'Assumptions (O&amp;G Upstream)'!$B$342,Model!$AF$3339)</f>
        <v>#NUM!</v>
      </c>
      <c r="AV3371" s="377" t="e">
        <f>PPMT('Assumptions (O&amp;G Upstream)'!$B$339,Model!AM$1,'Assumptions (O&amp;G Upstream)'!$B$342,Model!$AF$3339)</f>
        <v>#NUM!</v>
      </c>
      <c r="AW3371" s="377" t="e">
        <f>PPMT('Assumptions (O&amp;G Upstream)'!$B$339,Model!AN$1,'Assumptions (O&amp;G Upstream)'!$B$342,Model!$AF$3339)</f>
        <v>#NUM!</v>
      </c>
      <c r="AX3371" s="377" t="e">
        <f>PPMT('Assumptions (O&amp;G Upstream)'!$B$339,Model!AO$1,'Assumptions (O&amp;G Upstream)'!$B$342,Model!$AF$3339)</f>
        <v>#NUM!</v>
      </c>
      <c r="AY3371" s="377" t="e">
        <f>PPMT('Assumptions (O&amp;G Upstream)'!$B$339,Model!AP$1,'Assumptions (O&amp;G Upstream)'!$B$342,Model!$AF$3339)</f>
        <v>#NUM!</v>
      </c>
      <c r="AZ3371" s="377" t="e">
        <f>PPMT('Assumptions (O&amp;G Upstream)'!$B$339,Model!AQ$1,'Assumptions (O&amp;G Upstream)'!$B$342,Model!$AF$3339)</f>
        <v>#NUM!</v>
      </c>
      <c r="BA3371" s="377" t="e">
        <f>PPMT('Assumptions (O&amp;G Upstream)'!$B$339,Model!AR$1,'Assumptions (O&amp;G Upstream)'!$B$342,Model!$AF$3339)</f>
        <v>#NUM!</v>
      </c>
      <c r="BB3371" s="377" t="e">
        <f>PPMT('Assumptions (O&amp;G Upstream)'!$B$339,Model!AS$1,'Assumptions (O&amp;G Upstream)'!$B$342,Model!$AF$3339)</f>
        <v>#NUM!</v>
      </c>
      <c r="BC3371" s="377" t="e">
        <f>PPMT('Assumptions (O&amp;G Upstream)'!$B$339,Model!AT$1,'Assumptions (O&amp;G Upstream)'!$B$342,Model!$AF$3339)</f>
        <v>#NUM!</v>
      </c>
      <c r="BD3371" s="377" t="e">
        <f>PPMT('Assumptions (O&amp;G Upstream)'!$B$339,Model!AU$1,'Assumptions (O&amp;G Upstream)'!$B$342,Model!$AF$3339)</f>
        <v>#NUM!</v>
      </c>
    </row>
    <row r="3372" spans="1:61" ht="15.75" hidden="1" customHeight="1" outlineLevel="1">
      <c r="A3372" s="472"/>
      <c r="B3372" s="99"/>
      <c r="C3372" s="377"/>
      <c r="D3372" s="377"/>
      <c r="E3372" s="377"/>
      <c r="F3372" s="377"/>
      <c r="G3372" s="377"/>
      <c r="H3372" s="377"/>
      <c r="I3372" s="377"/>
      <c r="J3372" s="377"/>
      <c r="K3372" s="377"/>
      <c r="L3372" s="377"/>
      <c r="M3372" s="377"/>
      <c r="N3372" s="377"/>
      <c r="O3372" s="377"/>
      <c r="P3372" s="377"/>
      <c r="Q3372" s="377"/>
      <c r="R3372" s="377"/>
      <c r="S3372" s="42"/>
      <c r="T3372" s="42"/>
      <c r="U3372" s="42"/>
      <c r="V3372" s="42"/>
      <c r="W3372" s="86"/>
      <c r="AG3372" s="377">
        <f>PPMT('Assumptions (O&amp;G Upstream)'!$B$339,Model!W$1,'Assumptions (O&amp;G Upstream)'!$B$342,Model!$AG$3339)</f>
        <v>-12.034874936948121</v>
      </c>
      <c r="AH3372" s="377">
        <f>PPMT('Assumptions (O&amp;G Upstream)'!$B$339,Model!X$1,'Assumptions (O&amp;G Upstream)'!$B$342,Model!$AG$3339)</f>
        <v>-12.937490557219229</v>
      </c>
      <c r="AI3372" s="377">
        <f>PPMT('Assumptions (O&amp;G Upstream)'!$B$339,Model!Y$1,'Assumptions (O&amp;G Upstream)'!$B$342,Model!$AG$3339)</f>
        <v>-13.907802349010671</v>
      </c>
      <c r="AJ3372" s="377">
        <f>PPMT('Assumptions (O&amp;G Upstream)'!$B$339,Model!Z$1,'Assumptions (O&amp;G Upstream)'!$B$342,Model!$AG$3339)</f>
        <v>-14.950887525186472</v>
      </c>
      <c r="AK3372" s="377">
        <f>PPMT('Assumptions (O&amp;G Upstream)'!$B$339,Model!AA$1,'Assumptions (O&amp;G Upstream)'!$B$342,Model!$AG$3339)</f>
        <v>-16.072204089575457</v>
      </c>
      <c r="AL3372" s="377">
        <f>PPMT('Assumptions (O&amp;G Upstream)'!$B$339,Model!AB$1,'Assumptions (O&amp;G Upstream)'!$B$342,Model!$AG$3339)</f>
        <v>-17.277619396293616</v>
      </c>
      <c r="AM3372" s="377">
        <f>PPMT('Assumptions (O&amp;G Upstream)'!$B$339,Model!AC$1,'Assumptions (O&amp;G Upstream)'!$B$342,Model!$AG$3339)</f>
        <v>-18.573440851015636</v>
      </c>
      <c r="AN3372" s="377">
        <f>PPMT('Assumptions (O&amp;G Upstream)'!$B$339,Model!AD$1,'Assumptions (O&amp;G Upstream)'!$B$342,Model!$AG$3339)</f>
        <v>-19.966448914841809</v>
      </c>
      <c r="AO3372" s="377">
        <f>PPMT('Assumptions (O&amp;G Upstream)'!$B$339,Model!AE$1,'Assumptions (O&amp;G Upstream)'!$B$342,Model!$AG$3339)</f>
        <v>-21.463932583454948</v>
      </c>
      <c r="AP3372" s="377">
        <f>PPMT('Assumptions (O&amp;G Upstream)'!$B$339,Model!AF$1,'Assumptions (O&amp;G Upstream)'!$B$342,Model!$AG$3339)</f>
        <v>-23.073727527214064</v>
      </c>
      <c r="AQ3372" s="377" t="e">
        <f>PPMT('Assumptions (O&amp;G Upstream)'!$B$339,Model!AG$1,'Assumptions (O&amp;G Upstream)'!$B$342,Model!$AG$3339)</f>
        <v>#NUM!</v>
      </c>
      <c r="AR3372" s="377" t="e">
        <f>PPMT('Assumptions (O&amp;G Upstream)'!$B$339,Model!AH$1,'Assumptions (O&amp;G Upstream)'!$B$342,Model!$AG$3339)</f>
        <v>#NUM!</v>
      </c>
      <c r="AS3372" s="377" t="e">
        <f>PPMT('Assumptions (O&amp;G Upstream)'!$B$339,Model!AI$1,'Assumptions (O&amp;G Upstream)'!$B$342,Model!$AG$3339)</f>
        <v>#NUM!</v>
      </c>
      <c r="AT3372" s="377" t="e">
        <f>PPMT('Assumptions (O&amp;G Upstream)'!$B$339,Model!AJ$1,'Assumptions (O&amp;G Upstream)'!$B$342,Model!$AG$3339)</f>
        <v>#NUM!</v>
      </c>
      <c r="AU3372" s="377" t="e">
        <f>PPMT('Assumptions (O&amp;G Upstream)'!$B$339,Model!AK$1,'Assumptions (O&amp;G Upstream)'!$B$342,Model!$AG$3339)</f>
        <v>#NUM!</v>
      </c>
      <c r="AV3372" s="377" t="e">
        <f>PPMT('Assumptions (O&amp;G Upstream)'!$B$339,Model!AL$1,'Assumptions (O&amp;G Upstream)'!$B$342,Model!$AG$3339)</f>
        <v>#NUM!</v>
      </c>
      <c r="AW3372" s="377" t="e">
        <f>PPMT('Assumptions (O&amp;G Upstream)'!$B$339,Model!AM$1,'Assumptions (O&amp;G Upstream)'!$B$342,Model!$AG$3339)</f>
        <v>#NUM!</v>
      </c>
      <c r="AX3372" s="377" t="e">
        <f>PPMT('Assumptions (O&amp;G Upstream)'!$B$339,Model!AN$1,'Assumptions (O&amp;G Upstream)'!$B$342,Model!$AG$3339)</f>
        <v>#NUM!</v>
      </c>
      <c r="AY3372" s="377" t="e">
        <f>PPMT('Assumptions (O&amp;G Upstream)'!$B$339,Model!AO$1,'Assumptions (O&amp;G Upstream)'!$B$342,Model!$AG$3339)</f>
        <v>#NUM!</v>
      </c>
      <c r="AZ3372" s="377" t="e">
        <f>PPMT('Assumptions (O&amp;G Upstream)'!$B$339,Model!AP$1,'Assumptions (O&amp;G Upstream)'!$B$342,Model!$AG$3339)</f>
        <v>#NUM!</v>
      </c>
      <c r="BA3372" s="377" t="e">
        <f>PPMT('Assumptions (O&amp;G Upstream)'!$B$339,Model!AQ$1,'Assumptions (O&amp;G Upstream)'!$B$342,Model!$AG$3339)</f>
        <v>#NUM!</v>
      </c>
      <c r="BB3372" s="377" t="e">
        <f>PPMT('Assumptions (O&amp;G Upstream)'!$B$339,Model!AR$1,'Assumptions (O&amp;G Upstream)'!$B$342,Model!$AG$3339)</f>
        <v>#NUM!</v>
      </c>
      <c r="BC3372" s="377" t="e">
        <f>PPMT('Assumptions (O&amp;G Upstream)'!$B$339,Model!AS$1,'Assumptions (O&amp;G Upstream)'!$B$342,Model!$AG$3339)</f>
        <v>#NUM!</v>
      </c>
      <c r="BD3372" s="377" t="e">
        <f>PPMT('Assumptions (O&amp;G Upstream)'!$B$339,Model!AT$1,'Assumptions (O&amp;G Upstream)'!$B$342,Model!$AG$3339)</f>
        <v>#NUM!</v>
      </c>
      <c r="BE3372" s="377" t="e">
        <f>PPMT('Assumptions (O&amp;G Upstream)'!$B$339,Model!AU$1,'Assumptions (O&amp;G Upstream)'!$B$342,Model!$AG$3339)</f>
        <v>#NUM!</v>
      </c>
    </row>
    <row r="3373" spans="1:61" ht="15.75" hidden="1" customHeight="1" outlineLevel="1">
      <c r="A3373" s="472"/>
      <c r="B3373" s="99"/>
      <c r="C3373" s="377"/>
      <c r="D3373" s="377"/>
      <c r="E3373" s="377"/>
      <c r="F3373" s="377"/>
      <c r="G3373" s="377"/>
      <c r="H3373" s="377"/>
      <c r="I3373" s="377"/>
      <c r="J3373" s="377"/>
      <c r="K3373" s="377"/>
      <c r="L3373" s="377"/>
      <c r="M3373" s="377"/>
      <c r="N3373" s="377"/>
      <c r="O3373" s="377"/>
      <c r="P3373" s="377"/>
      <c r="Q3373" s="377"/>
      <c r="R3373" s="377"/>
      <c r="S3373" s="42"/>
      <c r="T3373" s="42"/>
      <c r="U3373" s="42"/>
      <c r="V3373" s="42"/>
      <c r="W3373" s="86"/>
      <c r="AH3373" s="377">
        <f>PPMT('Assumptions (O&amp;G Upstream)'!$B$339,Model!W$1,'Assumptions (O&amp;G Upstream)'!$B$342,Model!$AH$3339)</f>
        <v>-12.348009141700855</v>
      </c>
      <c r="AI3373" s="377">
        <f>PPMT('Assumptions (O&amp;G Upstream)'!$B$339,Model!X$1,'Assumptions (O&amp;G Upstream)'!$B$342,Model!$AH$3339)</f>
        <v>-13.274109827328417</v>
      </c>
      <c r="AJ3373" s="377">
        <f>PPMT('Assumptions (O&amp;G Upstream)'!$B$339,Model!Y$1,'Assumptions (O&amp;G Upstream)'!$B$342,Model!$AH$3339)</f>
        <v>-14.269668064378047</v>
      </c>
      <c r="AK3373" s="377">
        <f>PPMT('Assumptions (O&amp;G Upstream)'!$B$339,Model!Z$1,'Assumptions (O&amp;G Upstream)'!$B$342,Model!$AH$3339)</f>
        <v>-15.339893169206402</v>
      </c>
      <c r="AL3373" s="377">
        <f>PPMT('Assumptions (O&amp;G Upstream)'!$B$339,Model!AA$1,'Assumptions (O&amp;G Upstream)'!$B$342,Model!$AH$3339)</f>
        <v>-16.490385156896881</v>
      </c>
      <c r="AM3373" s="377">
        <f>PPMT('Assumptions (O&amp;G Upstream)'!$B$339,Model!AB$1,'Assumptions (O&amp;G Upstream)'!$B$342,Model!$AH$3339)</f>
        <v>-17.727164043664146</v>
      </c>
      <c r="AN3373" s="377">
        <f>PPMT('Assumptions (O&amp;G Upstream)'!$B$339,Model!AC$1,'Assumptions (O&amp;G Upstream)'!$B$342,Model!$AH$3339)</f>
        <v>-19.056701346938958</v>
      </c>
      <c r="AO3373" s="377">
        <f>PPMT('Assumptions (O&amp;G Upstream)'!$B$339,Model!AD$1,'Assumptions (O&amp;G Upstream)'!$B$342,Model!$AH$3339)</f>
        <v>-20.485953947959384</v>
      </c>
      <c r="AP3373" s="377">
        <f>PPMT('Assumptions (O&amp;G Upstream)'!$B$339,Model!AE$1,'Assumptions (O&amp;G Upstream)'!$B$342,Model!$AH$3339)</f>
        <v>-22.022400494056338</v>
      </c>
      <c r="AQ3373" s="377">
        <f>PPMT('Assumptions (O&amp;G Upstream)'!$B$339,Model!AF$1,'Assumptions (O&amp;G Upstream)'!$B$342,Model!$AH$3339)</f>
        <v>-23.674080531110558</v>
      </c>
      <c r="AR3373" s="377" t="e">
        <f>PPMT('Assumptions (O&amp;G Upstream)'!$B$339,Model!AG$1,'Assumptions (O&amp;G Upstream)'!$B$342,Model!$AH$3339)</f>
        <v>#NUM!</v>
      </c>
      <c r="AS3373" s="377" t="e">
        <f>PPMT('Assumptions (O&amp;G Upstream)'!$B$339,Model!AH$1,'Assumptions (O&amp;G Upstream)'!$B$342,Model!$AH$3339)</f>
        <v>#NUM!</v>
      </c>
      <c r="AT3373" s="377" t="e">
        <f>PPMT('Assumptions (O&amp;G Upstream)'!$B$339,Model!AI$1,'Assumptions (O&amp;G Upstream)'!$B$342,Model!$AH$3339)</f>
        <v>#NUM!</v>
      </c>
      <c r="AU3373" s="377" t="e">
        <f>PPMT('Assumptions (O&amp;G Upstream)'!$B$339,Model!AJ$1,'Assumptions (O&amp;G Upstream)'!$B$342,Model!$AH$3339)</f>
        <v>#NUM!</v>
      </c>
      <c r="AV3373" s="377" t="e">
        <f>PPMT('Assumptions (O&amp;G Upstream)'!$B$339,Model!AK$1,'Assumptions (O&amp;G Upstream)'!$B$342,Model!$AH$3339)</f>
        <v>#NUM!</v>
      </c>
      <c r="AW3373" s="377" t="e">
        <f>PPMT('Assumptions (O&amp;G Upstream)'!$B$339,Model!AL$1,'Assumptions (O&amp;G Upstream)'!$B$342,Model!$AH$3339)</f>
        <v>#NUM!</v>
      </c>
      <c r="AX3373" s="377" t="e">
        <f>PPMT('Assumptions (O&amp;G Upstream)'!$B$339,Model!AM$1,'Assumptions (O&amp;G Upstream)'!$B$342,Model!$AH$3339)</f>
        <v>#NUM!</v>
      </c>
      <c r="AY3373" s="377" t="e">
        <f>PPMT('Assumptions (O&amp;G Upstream)'!$B$339,Model!AN$1,'Assumptions (O&amp;G Upstream)'!$B$342,Model!$AH$3339)</f>
        <v>#NUM!</v>
      </c>
      <c r="AZ3373" s="377" t="e">
        <f>PPMT('Assumptions (O&amp;G Upstream)'!$B$339,Model!AO$1,'Assumptions (O&amp;G Upstream)'!$B$342,Model!$AH$3339)</f>
        <v>#NUM!</v>
      </c>
      <c r="BA3373" s="377" t="e">
        <f>PPMT('Assumptions (O&amp;G Upstream)'!$B$339,Model!AP$1,'Assumptions (O&amp;G Upstream)'!$B$342,Model!$AH$3339)</f>
        <v>#NUM!</v>
      </c>
      <c r="BB3373" s="377" t="e">
        <f>PPMT('Assumptions (O&amp;G Upstream)'!$B$339,Model!AQ$1,'Assumptions (O&amp;G Upstream)'!$B$342,Model!$AH$3339)</f>
        <v>#NUM!</v>
      </c>
      <c r="BC3373" s="377" t="e">
        <f>PPMT('Assumptions (O&amp;G Upstream)'!$B$339,Model!AR$1,'Assumptions (O&amp;G Upstream)'!$B$342,Model!$AH$3339)</f>
        <v>#NUM!</v>
      </c>
      <c r="BD3373" s="377" t="e">
        <f>PPMT('Assumptions (O&amp;G Upstream)'!$B$339,Model!AS$1,'Assumptions (O&amp;G Upstream)'!$B$342,Model!$AH$3339)</f>
        <v>#NUM!</v>
      </c>
      <c r="BE3373" s="377" t="e">
        <f>PPMT('Assumptions (O&amp;G Upstream)'!$B$339,Model!AT$1,'Assumptions (O&amp;G Upstream)'!$B$342,Model!$AH$3339)</f>
        <v>#NUM!</v>
      </c>
      <c r="BF3373" s="377" t="e">
        <f>PPMT('Assumptions (O&amp;G Upstream)'!$B$339,Model!AU$1,'Assumptions (O&amp;G Upstream)'!$B$342,Model!$AH$3339)</f>
        <v>#NUM!</v>
      </c>
    </row>
    <row r="3374" spans="1:61" ht="15.75" hidden="1" customHeight="1" outlineLevel="1">
      <c r="A3374" s="472"/>
      <c r="B3374" s="99"/>
      <c r="C3374" s="377"/>
      <c r="D3374" s="377"/>
      <c r="E3374" s="377"/>
      <c r="F3374" s="377"/>
      <c r="G3374" s="377"/>
      <c r="H3374" s="377"/>
      <c r="I3374" s="377"/>
      <c r="J3374" s="377"/>
      <c r="K3374" s="377"/>
      <c r="L3374" s="377"/>
      <c r="M3374" s="377"/>
      <c r="N3374" s="377"/>
      <c r="O3374" s="377"/>
      <c r="P3374" s="377"/>
      <c r="Q3374" s="377"/>
      <c r="R3374" s="377"/>
      <c r="S3374" s="42"/>
      <c r="T3374" s="42"/>
      <c r="U3374" s="42"/>
      <c r="V3374" s="42"/>
      <c r="W3374" s="86"/>
      <c r="AI3374" s="377">
        <f>PPMT('Assumptions (O&amp;G Upstream)'!$B$339,Model!W$1,'Assumptions (O&amp;G Upstream)'!$B$342,Model!$AI$3339)</f>
        <v>-12.556298176512517</v>
      </c>
      <c r="AJ3374" s="377">
        <f>PPMT('Assumptions (O&amp;G Upstream)'!$B$339,Model!X$1,'Assumptions (O&amp;G Upstream)'!$B$342,Model!$AI$3339)</f>
        <v>-13.498020539750955</v>
      </c>
      <c r="AK3374" s="377">
        <f>PPMT('Assumptions (O&amp;G Upstream)'!$B$339,Model!Y$1,'Assumptions (O&amp;G Upstream)'!$B$342,Model!$AI$3339)</f>
        <v>-14.510372080232276</v>
      </c>
      <c r="AL3374" s="377">
        <f>PPMT('Assumptions (O&amp;G Upstream)'!$B$339,Model!Z$1,'Assumptions (O&amp;G Upstream)'!$B$342,Model!$AI$3339)</f>
        <v>-15.598649986249699</v>
      </c>
      <c r="AM3374" s="377">
        <f>PPMT('Assumptions (O&amp;G Upstream)'!$B$339,Model!AA$1,'Assumptions (O&amp;G Upstream)'!$B$342,Model!$AI$3339)</f>
        <v>-16.768548735218424</v>
      </c>
      <c r="AN3374" s="377">
        <f>PPMT('Assumptions (O&amp;G Upstream)'!$B$339,Model!AB$1,'Assumptions (O&amp;G Upstream)'!$B$342,Model!$AI$3339)</f>
        <v>-18.026189890359806</v>
      </c>
      <c r="AO3374" s="377">
        <f>PPMT('Assumptions (O&amp;G Upstream)'!$B$339,Model!AC$1,'Assumptions (O&amp;G Upstream)'!$B$342,Model!$AI$3339)</f>
        <v>-19.378154132136792</v>
      </c>
      <c r="AP3374" s="377">
        <f>PPMT('Assumptions (O&amp;G Upstream)'!$B$339,Model!AD$1,'Assumptions (O&amp;G Upstream)'!$B$342,Model!$AI$3339)</f>
        <v>-20.831515692047052</v>
      </c>
      <c r="AQ3374" s="377">
        <f>PPMT('Assumptions (O&amp;G Upstream)'!$B$339,Model!AE$1,'Assumptions (O&amp;G Upstream)'!$B$342,Model!$AI$3339)</f>
        <v>-22.393879368950582</v>
      </c>
      <c r="AR3374" s="377">
        <f>PPMT('Assumptions (O&amp;G Upstream)'!$B$339,Model!AF$1,'Assumptions (O&amp;G Upstream)'!$B$342,Model!$AI$3339)</f>
        <v>-24.073420321621875</v>
      </c>
      <c r="AS3374" s="377" t="e">
        <f>PPMT('Assumptions (O&amp;G Upstream)'!$B$339,Model!AG$1,'Assumptions (O&amp;G Upstream)'!$B$342,Model!$AI$3339)</f>
        <v>#NUM!</v>
      </c>
      <c r="AT3374" s="377" t="e">
        <f>PPMT('Assumptions (O&amp;G Upstream)'!$B$339,Model!AH$1,'Assumptions (O&amp;G Upstream)'!$B$342,Model!$AI$3339)</f>
        <v>#NUM!</v>
      </c>
      <c r="AU3374" s="377" t="e">
        <f>PPMT('Assumptions (O&amp;G Upstream)'!$B$339,Model!AI$1,'Assumptions (O&amp;G Upstream)'!$B$342,Model!$AI$3339)</f>
        <v>#NUM!</v>
      </c>
      <c r="AV3374" s="377" t="e">
        <f>PPMT('Assumptions (O&amp;G Upstream)'!$B$339,Model!AJ$1,'Assumptions (O&amp;G Upstream)'!$B$342,Model!$AI$3339)</f>
        <v>#NUM!</v>
      </c>
      <c r="AW3374" s="377" t="e">
        <f>PPMT('Assumptions (O&amp;G Upstream)'!$B$339,Model!AK$1,'Assumptions (O&amp;G Upstream)'!$B$342,Model!$AI$3339)</f>
        <v>#NUM!</v>
      </c>
      <c r="AX3374" s="377" t="e">
        <f>PPMT('Assumptions (O&amp;G Upstream)'!$B$339,Model!AL$1,'Assumptions (O&amp;G Upstream)'!$B$342,Model!$AI$3339)</f>
        <v>#NUM!</v>
      </c>
      <c r="AY3374" s="377" t="e">
        <f>PPMT('Assumptions (O&amp;G Upstream)'!$B$339,Model!AM$1,'Assumptions (O&amp;G Upstream)'!$B$342,Model!$AI$3339)</f>
        <v>#NUM!</v>
      </c>
      <c r="AZ3374" s="377" t="e">
        <f>PPMT('Assumptions (O&amp;G Upstream)'!$B$339,Model!AN$1,'Assumptions (O&amp;G Upstream)'!$B$342,Model!$AI$3339)</f>
        <v>#NUM!</v>
      </c>
      <c r="BA3374" s="377" t="e">
        <f>PPMT('Assumptions (O&amp;G Upstream)'!$B$339,Model!AO$1,'Assumptions (O&amp;G Upstream)'!$B$342,Model!$AI$3339)</f>
        <v>#NUM!</v>
      </c>
      <c r="BB3374" s="377" t="e">
        <f>PPMT('Assumptions (O&amp;G Upstream)'!$B$339,Model!AP$1,'Assumptions (O&amp;G Upstream)'!$B$342,Model!$AI$3339)</f>
        <v>#NUM!</v>
      </c>
      <c r="BC3374" s="377" t="e">
        <f>PPMT('Assumptions (O&amp;G Upstream)'!$B$339,Model!AQ$1,'Assumptions (O&amp;G Upstream)'!$B$342,Model!$AI$3339)</f>
        <v>#NUM!</v>
      </c>
      <c r="BD3374" s="377" t="e">
        <f>PPMT('Assumptions (O&amp;G Upstream)'!$B$339,Model!AR$1,'Assumptions (O&amp;G Upstream)'!$B$342,Model!$AI$3339)</f>
        <v>#NUM!</v>
      </c>
      <c r="BE3374" s="377" t="e">
        <f>PPMT('Assumptions (O&amp;G Upstream)'!$B$339,Model!AS$1,'Assumptions (O&amp;G Upstream)'!$B$342,Model!$AI$3339)</f>
        <v>#NUM!</v>
      </c>
      <c r="BF3374" s="377" t="e">
        <f>PPMT('Assumptions (O&amp;G Upstream)'!$B$339,Model!AT$1,'Assumptions (O&amp;G Upstream)'!$B$342,Model!$AI$3339)</f>
        <v>#NUM!</v>
      </c>
      <c r="BG3374" s="377" t="e">
        <f>PPMT('Assumptions (O&amp;G Upstream)'!$B$339,Model!AU$1,'Assumptions (O&amp;G Upstream)'!$B$342,Model!$AI$3339)</f>
        <v>#NUM!</v>
      </c>
    </row>
    <row r="3375" spans="1:61" ht="15.75" hidden="1" customHeight="1" outlineLevel="1">
      <c r="A3375" s="472"/>
      <c r="B3375" s="99"/>
      <c r="C3375" s="377"/>
      <c r="D3375" s="377"/>
      <c r="E3375" s="377"/>
      <c r="F3375" s="377"/>
      <c r="G3375" s="377"/>
      <c r="H3375" s="377"/>
      <c r="I3375" s="377"/>
      <c r="J3375" s="377"/>
      <c r="K3375" s="377"/>
      <c r="L3375" s="377"/>
      <c r="M3375" s="377"/>
      <c r="N3375" s="377"/>
      <c r="O3375" s="377"/>
      <c r="P3375" s="377"/>
      <c r="Q3375" s="377"/>
      <c r="R3375" s="377"/>
      <c r="S3375" s="42"/>
      <c r="T3375" s="42"/>
      <c r="U3375" s="42"/>
      <c r="V3375" s="42"/>
      <c r="W3375" s="86"/>
      <c r="AJ3375" s="377">
        <f>PPMT('Assumptions (O&amp;G Upstream)'!$B$339,Model!W$1,'Assumptions (O&amp;G Upstream)'!$B$342,Model!$AJ$3339)</f>
        <v>-12.876114004695506</v>
      </c>
      <c r="AK3375" s="377">
        <f>PPMT('Assumptions (O&amp;G Upstream)'!$B$339,Model!X$1,'Assumptions (O&amp;G Upstream)'!$B$342,Model!$AJ$3339)</f>
        <v>-13.841822555047671</v>
      </c>
      <c r="AL3375" s="377">
        <f>PPMT('Assumptions (O&amp;G Upstream)'!$B$339,Model!Y$1,'Assumptions (O&amp;G Upstream)'!$B$342,Model!$AJ$3339)</f>
        <v>-14.879959246676243</v>
      </c>
      <c r="AM3375" s="377">
        <f>PPMT('Assumptions (O&amp;G Upstream)'!$B$339,Model!Z$1,'Assumptions (O&amp;G Upstream)'!$B$342,Model!$AJ$3339)</f>
        <v>-15.995956190176964</v>
      </c>
      <c r="AN3375" s="377">
        <f>PPMT('Assumptions (O&amp;G Upstream)'!$B$339,Model!AA$1,'Assumptions (O&amp;G Upstream)'!$B$342,Model!$AJ$3339)</f>
        <v>-17.195652904440237</v>
      </c>
      <c r="AO3375" s="377">
        <f>PPMT('Assumptions (O&amp;G Upstream)'!$B$339,Model!AB$1,'Assumptions (O&amp;G Upstream)'!$B$342,Model!$AJ$3339)</f>
        <v>-18.485326872273252</v>
      </c>
      <c r="AP3375" s="377">
        <f>PPMT('Assumptions (O&amp;G Upstream)'!$B$339,Model!AC$1,'Assumptions (O&amp;G Upstream)'!$B$342,Model!$AJ$3339)</f>
        <v>-19.871726387693744</v>
      </c>
      <c r="AQ3375" s="377">
        <f>PPMT('Assumptions (O&amp;G Upstream)'!$B$339,Model!AD$1,'Assumptions (O&amp;G Upstream)'!$B$342,Model!$AJ$3339)</f>
        <v>-21.362105866770776</v>
      </c>
      <c r="AR3375" s="377">
        <f>PPMT('Assumptions (O&amp;G Upstream)'!$B$339,Model!AE$1,'Assumptions (O&amp;G Upstream)'!$B$342,Model!$AJ$3339)</f>
        <v>-22.96426380677859</v>
      </c>
      <c r="AS3375" s="377">
        <f>PPMT('Assumptions (O&amp;G Upstream)'!$B$339,Model!AF$1,'Assumptions (O&amp;G Upstream)'!$B$342,Model!$AJ$3339)</f>
        <v>-24.686583592286979</v>
      </c>
      <c r="AT3375" s="377" t="e">
        <f>PPMT('Assumptions (O&amp;G Upstream)'!$B$339,Model!AG$1,'Assumptions (O&amp;G Upstream)'!$B$342,Model!$AJ$3339)</f>
        <v>#NUM!</v>
      </c>
      <c r="AU3375" s="377" t="e">
        <f>PPMT('Assumptions (O&amp;G Upstream)'!$B$339,Model!AH$1,'Assumptions (O&amp;G Upstream)'!$B$342,Model!$AJ$3339)</f>
        <v>#NUM!</v>
      </c>
      <c r="AV3375" s="377" t="e">
        <f>PPMT('Assumptions (O&amp;G Upstream)'!$B$339,Model!AI$1,'Assumptions (O&amp;G Upstream)'!$B$342,Model!$AJ$3339)</f>
        <v>#NUM!</v>
      </c>
      <c r="AW3375" s="377" t="e">
        <f>PPMT('Assumptions (O&amp;G Upstream)'!$B$339,Model!AJ$1,'Assumptions (O&amp;G Upstream)'!$B$342,Model!$AJ$3339)</f>
        <v>#NUM!</v>
      </c>
      <c r="AX3375" s="377" t="e">
        <f>PPMT('Assumptions (O&amp;G Upstream)'!$B$339,Model!AK$1,'Assumptions (O&amp;G Upstream)'!$B$342,Model!$AJ$3339)</f>
        <v>#NUM!</v>
      </c>
      <c r="AY3375" s="377" t="e">
        <f>PPMT('Assumptions (O&amp;G Upstream)'!$B$339,Model!AL$1,'Assumptions (O&amp;G Upstream)'!$B$342,Model!$AJ$3339)</f>
        <v>#NUM!</v>
      </c>
      <c r="AZ3375" s="377" t="e">
        <f>PPMT('Assumptions (O&amp;G Upstream)'!$B$339,Model!AM$1,'Assumptions (O&amp;G Upstream)'!$B$342,Model!$AJ$3339)</f>
        <v>#NUM!</v>
      </c>
      <c r="BA3375" s="377" t="e">
        <f>PPMT('Assumptions (O&amp;G Upstream)'!$B$339,Model!AN$1,'Assumptions (O&amp;G Upstream)'!$B$342,Model!$AJ$3339)</f>
        <v>#NUM!</v>
      </c>
      <c r="BB3375" s="377" t="e">
        <f>PPMT('Assumptions (O&amp;G Upstream)'!$B$339,Model!AO$1,'Assumptions (O&amp;G Upstream)'!$B$342,Model!$AJ$3339)</f>
        <v>#NUM!</v>
      </c>
      <c r="BC3375" s="377" t="e">
        <f>PPMT('Assumptions (O&amp;G Upstream)'!$B$339,Model!AP$1,'Assumptions (O&amp;G Upstream)'!$B$342,Model!$AJ$3339)</f>
        <v>#NUM!</v>
      </c>
      <c r="BD3375" s="377" t="e">
        <f>PPMT('Assumptions (O&amp;G Upstream)'!$B$339,Model!AQ$1,'Assumptions (O&amp;G Upstream)'!$B$342,Model!$AJ$3339)</f>
        <v>#NUM!</v>
      </c>
      <c r="BE3375" s="377" t="e">
        <f>PPMT('Assumptions (O&amp;G Upstream)'!$B$339,Model!AR$1,'Assumptions (O&amp;G Upstream)'!$B$342,Model!$AJ$3339)</f>
        <v>#NUM!</v>
      </c>
      <c r="BF3375" s="377" t="e">
        <f>PPMT('Assumptions (O&amp;G Upstream)'!$B$339,Model!AS$1,'Assumptions (O&amp;G Upstream)'!$B$342,Model!$AJ$3339)</f>
        <v>#NUM!</v>
      </c>
      <c r="BG3375" s="377" t="e">
        <f>PPMT('Assumptions (O&amp;G Upstream)'!$B$339,Model!AT$1,'Assumptions (O&amp;G Upstream)'!$B$342,Model!$AJ$3339)</f>
        <v>#NUM!</v>
      </c>
      <c r="BH3375" s="377" t="e">
        <f>PPMT('Assumptions (O&amp;G Upstream)'!$B$339,Model!AU$1,'Assumptions (O&amp;G Upstream)'!$B$342,Model!$AJ$3339)</f>
        <v>#NUM!</v>
      </c>
    </row>
    <row r="3376" spans="1:61" ht="15.75" hidden="1" customHeight="1" outlineLevel="1">
      <c r="A3376" s="472"/>
      <c r="B3376" s="99"/>
      <c r="C3376" s="377"/>
      <c r="D3376" s="377"/>
      <c r="E3376" s="377"/>
      <c r="F3376" s="377"/>
      <c r="G3376" s="377"/>
      <c r="H3376" s="377"/>
      <c r="I3376" s="377"/>
      <c r="J3376" s="377"/>
      <c r="K3376" s="377"/>
      <c r="L3376" s="377"/>
      <c r="M3376" s="377"/>
      <c r="N3376" s="377"/>
      <c r="O3376" s="377"/>
      <c r="P3376" s="377"/>
      <c r="Q3376" s="377"/>
      <c r="R3376" s="377"/>
      <c r="S3376" s="42"/>
      <c r="T3376" s="42"/>
      <c r="U3376" s="42"/>
      <c r="V3376" s="42"/>
      <c r="W3376" s="86"/>
      <c r="AK3376" s="377">
        <f>PPMT('Assumptions (O&amp;G Upstream)'!$B$339,Model!W$1,'Assumptions (O&amp;G Upstream)'!$B$342,Model!$AK$3339)</f>
        <v>-13.067080676582831</v>
      </c>
      <c r="AL3376" s="377">
        <f>PPMT('Assumptions (O&amp;G Upstream)'!$B$339,Model!X$1,'Assumptions (O&amp;G Upstream)'!$B$342,Model!$AK$3339)</f>
        <v>-14.047111727326543</v>
      </c>
      <c r="AM3376" s="377">
        <f>PPMT('Assumptions (O&amp;G Upstream)'!$B$339,Model!Y$1,'Assumptions (O&amp;G Upstream)'!$B$342,Model!$AK$3339)</f>
        <v>-15.100645106876032</v>
      </c>
      <c r="AN3376" s="377">
        <f>PPMT('Assumptions (O&amp;G Upstream)'!$B$339,Model!Z$1,'Assumptions (O&amp;G Upstream)'!$B$342,Model!$AK$3339)</f>
        <v>-16.233193489891736</v>
      </c>
      <c r="AO3376" s="377">
        <f>PPMT('Assumptions (O&amp;G Upstream)'!$B$339,Model!AA$1,'Assumptions (O&amp;G Upstream)'!$B$342,Model!$AK$3339)</f>
        <v>-17.450683001633617</v>
      </c>
      <c r="AP3376" s="377">
        <f>PPMT('Assumptions (O&amp;G Upstream)'!$B$339,Model!AB$1,'Assumptions (O&amp;G Upstream)'!$B$342,Model!$AK$3339)</f>
        <v>-18.759484226756136</v>
      </c>
      <c r="AQ3376" s="377">
        <f>PPMT('Assumptions (O&amp;G Upstream)'!$B$339,Model!AC$1,'Assumptions (O&amp;G Upstream)'!$B$342,Model!$AK$3339)</f>
        <v>-20.166445543762848</v>
      </c>
      <c r="AR3376" s="377">
        <f>PPMT('Assumptions (O&amp;G Upstream)'!$B$339,Model!AD$1,'Assumptions (O&amp;G Upstream)'!$B$342,Model!$AK$3339)</f>
        <v>-21.678928959545061</v>
      </c>
      <c r="AS3376" s="377">
        <f>PPMT('Assumptions (O&amp;G Upstream)'!$B$339,Model!AE$1,'Assumptions (O&amp;G Upstream)'!$B$342,Model!$AK$3339)</f>
        <v>-23.304848631510943</v>
      </c>
      <c r="AT3376" s="377">
        <f>PPMT('Assumptions (O&amp;G Upstream)'!$B$339,Model!AF$1,'Assumptions (O&amp;G Upstream)'!$B$342,Model!$AK$3339)</f>
        <v>-25.052712278874264</v>
      </c>
      <c r="AU3376" s="377" t="e">
        <f>PPMT('Assumptions (O&amp;G Upstream)'!$B$339,Model!AG$1,'Assumptions (O&amp;G Upstream)'!$B$342,Model!$AK$3339)</f>
        <v>#NUM!</v>
      </c>
      <c r="AV3376" s="377" t="e">
        <f>PPMT('Assumptions (O&amp;G Upstream)'!$B$339,Model!AH$1,'Assumptions (O&amp;G Upstream)'!$B$342,Model!$AK$3339)</f>
        <v>#NUM!</v>
      </c>
      <c r="AW3376" s="377" t="e">
        <f>PPMT('Assumptions (O&amp;G Upstream)'!$B$339,Model!AI$1,'Assumptions (O&amp;G Upstream)'!$B$342,Model!$AK$3339)</f>
        <v>#NUM!</v>
      </c>
      <c r="AX3376" s="377" t="e">
        <f>PPMT('Assumptions (O&amp;G Upstream)'!$B$339,Model!AJ$1,'Assumptions (O&amp;G Upstream)'!$B$342,Model!$AK$3339)</f>
        <v>#NUM!</v>
      </c>
      <c r="AY3376" s="377" t="e">
        <f>PPMT('Assumptions (O&amp;G Upstream)'!$B$339,Model!AK$1,'Assumptions (O&amp;G Upstream)'!$B$342,Model!$AK$3339)</f>
        <v>#NUM!</v>
      </c>
      <c r="AZ3376" s="377" t="e">
        <f>PPMT('Assumptions (O&amp;G Upstream)'!$B$339,Model!AL$1,'Assumptions (O&amp;G Upstream)'!$B$342,Model!$AK$3339)</f>
        <v>#NUM!</v>
      </c>
      <c r="BA3376" s="377" t="e">
        <f>PPMT('Assumptions (O&amp;G Upstream)'!$B$339,Model!AM$1,'Assumptions (O&amp;G Upstream)'!$B$342,Model!$AK$3339)</f>
        <v>#NUM!</v>
      </c>
      <c r="BB3376" s="377" t="e">
        <f>PPMT('Assumptions (O&amp;G Upstream)'!$B$339,Model!AN$1,'Assumptions (O&amp;G Upstream)'!$B$342,Model!$AK$3339)</f>
        <v>#NUM!</v>
      </c>
      <c r="BC3376" s="377" t="e">
        <f>PPMT('Assumptions (O&amp;G Upstream)'!$B$339,Model!AO$1,'Assumptions (O&amp;G Upstream)'!$B$342,Model!$AK$3339)</f>
        <v>#NUM!</v>
      </c>
      <c r="BD3376" s="377" t="e">
        <f>PPMT('Assumptions (O&amp;G Upstream)'!$B$339,Model!AP$1,'Assumptions (O&amp;G Upstream)'!$B$342,Model!$AK$3339)</f>
        <v>#NUM!</v>
      </c>
      <c r="BE3376" s="377" t="e">
        <f>PPMT('Assumptions (O&amp;G Upstream)'!$B$339,Model!AQ$1,'Assumptions (O&amp;G Upstream)'!$B$342,Model!$AK$3339)</f>
        <v>#NUM!</v>
      </c>
      <c r="BF3376" s="377" t="e">
        <f>PPMT('Assumptions (O&amp;G Upstream)'!$B$339,Model!AR$1,'Assumptions (O&amp;G Upstream)'!$B$342,Model!$AK$3339)</f>
        <v>#NUM!</v>
      </c>
      <c r="BG3376" s="377" t="e">
        <f>PPMT('Assumptions (O&amp;G Upstream)'!$B$339,Model!AS$1,'Assumptions (O&amp;G Upstream)'!$B$342,Model!$AK$3339)</f>
        <v>#NUM!</v>
      </c>
      <c r="BH3376" s="377" t="e">
        <f>PPMT('Assumptions (O&amp;G Upstream)'!$B$339,Model!AT$1,'Assumptions (O&amp;G Upstream)'!$B$342,Model!$AK$3339)</f>
        <v>#NUM!</v>
      </c>
      <c r="BI3376" s="377" t="e">
        <f>PPMT('Assumptions (O&amp;G Upstream)'!$B$339,Model!AU$1,'Assumptions (O&amp;G Upstream)'!$B$342,Model!$AK$3339)</f>
        <v>#NUM!</v>
      </c>
    </row>
    <row r="3377" spans="1:77" ht="15.75" hidden="1" customHeight="1" outlineLevel="1">
      <c r="A3377" s="472"/>
      <c r="B3377" s="99"/>
      <c r="C3377" s="377"/>
      <c r="D3377" s="377"/>
      <c r="E3377" s="377"/>
      <c r="F3377" s="377"/>
      <c r="G3377" s="377"/>
      <c r="H3377" s="377"/>
      <c r="I3377" s="377"/>
      <c r="J3377" s="377"/>
      <c r="K3377" s="377"/>
      <c r="L3377" s="377"/>
      <c r="M3377" s="377"/>
      <c r="N3377" s="377"/>
      <c r="O3377" s="377"/>
      <c r="P3377" s="377"/>
      <c r="Q3377" s="377"/>
      <c r="R3377" s="377"/>
      <c r="S3377" s="42"/>
      <c r="T3377" s="42"/>
      <c r="U3377" s="42"/>
      <c r="V3377" s="42"/>
      <c r="W3377" s="86"/>
      <c r="AL3377" s="377">
        <f>PPMT('Assumptions (O&amp;G Upstream)'!$B$339,Model!W$1,'Assumptions (O&amp;G Upstream)'!$B$342,Model!$AL$3339)</f>
        <v>-13.300721037142168</v>
      </c>
      <c r="AM3377" s="377">
        <f>PPMT('Assumptions (O&amp;G Upstream)'!$B$339,Model!X$1,'Assumptions (O&amp;G Upstream)'!$B$342,Model!$AL$3339)</f>
        <v>-14.298275114927829</v>
      </c>
      <c r="AN3377" s="377">
        <f>PPMT('Assumptions (O&amp;G Upstream)'!$B$339,Model!Y$1,'Assumptions (O&amp;G Upstream)'!$B$342,Model!$AL$3339)</f>
        <v>-15.370645748547414</v>
      </c>
      <c r="AO3377" s="377">
        <f>PPMT('Assumptions (O&amp;G Upstream)'!$B$339,Model!Z$1,'Assumptions (O&amp;G Upstream)'!$B$342,Model!$AL$3339)</f>
        <v>-16.523444179688472</v>
      </c>
      <c r="AP3377" s="377">
        <f>PPMT('Assumptions (O&amp;G Upstream)'!$B$339,Model!AA$1,'Assumptions (O&amp;G Upstream)'!$B$342,Model!$AL$3339)</f>
        <v>-17.762702493165108</v>
      </c>
      <c r="AQ3377" s="377">
        <f>PPMT('Assumptions (O&amp;G Upstream)'!$B$339,Model!AB$1,'Assumptions (O&amp;G Upstream)'!$B$342,Model!$AL$3339)</f>
        <v>-19.094905180152491</v>
      </c>
      <c r="AR3377" s="377">
        <f>PPMT('Assumptions (O&amp;G Upstream)'!$B$339,Model!AC$1,'Assumptions (O&amp;G Upstream)'!$B$342,Model!$AL$3339)</f>
        <v>-20.527023068663926</v>
      </c>
      <c r="AS3377" s="377">
        <f>PPMT('Assumptions (O&amp;G Upstream)'!$B$339,Model!AD$1,'Assumptions (O&amp;G Upstream)'!$B$342,Model!$AL$3339)</f>
        <v>-22.066549798813721</v>
      </c>
      <c r="AT3377" s="377">
        <f>PPMT('Assumptions (O&amp;G Upstream)'!$B$339,Model!AE$1,'Assumptions (O&amp;G Upstream)'!$B$342,Model!$AL$3339)</f>
        <v>-23.721541033724755</v>
      </c>
      <c r="AU3377" s="377">
        <f>PPMT('Assumptions (O&amp;G Upstream)'!$B$339,Model!AF$1,'Assumptions (O&amp;G Upstream)'!$B$342,Model!$AL$3339)</f>
        <v>-25.500656611254112</v>
      </c>
      <c r="AV3377" s="377" t="e">
        <f>PPMT('Assumptions (O&amp;G Upstream)'!$B$339,Model!AG$1,'Assumptions (O&amp;G Upstream)'!$B$342,Model!$AL$3339)</f>
        <v>#NUM!</v>
      </c>
      <c r="AW3377" s="377" t="e">
        <f>PPMT('Assumptions (O&amp;G Upstream)'!$B$339,Model!AH$1,'Assumptions (O&amp;G Upstream)'!$B$342,Model!$AL$3339)</f>
        <v>#NUM!</v>
      </c>
      <c r="AX3377" s="377" t="e">
        <f>PPMT('Assumptions (O&amp;G Upstream)'!$B$339,Model!AI$1,'Assumptions (O&amp;G Upstream)'!$B$342,Model!$AL$3339)</f>
        <v>#NUM!</v>
      </c>
      <c r="AY3377" s="377" t="e">
        <f>PPMT('Assumptions (O&amp;G Upstream)'!$B$339,Model!AJ$1,'Assumptions (O&amp;G Upstream)'!$B$342,Model!$AL$3339)</f>
        <v>#NUM!</v>
      </c>
      <c r="AZ3377" s="377" t="e">
        <f>PPMT('Assumptions (O&amp;G Upstream)'!$B$339,Model!AK$1,'Assumptions (O&amp;G Upstream)'!$B$342,Model!$AL$3339)</f>
        <v>#NUM!</v>
      </c>
      <c r="BA3377" s="377" t="e">
        <f>PPMT('Assumptions (O&amp;G Upstream)'!$B$339,Model!AL$1,'Assumptions (O&amp;G Upstream)'!$B$342,Model!$AL$3339)</f>
        <v>#NUM!</v>
      </c>
      <c r="BB3377" s="377" t="e">
        <f>PPMT('Assumptions (O&amp;G Upstream)'!$B$339,Model!AM$1,'Assumptions (O&amp;G Upstream)'!$B$342,Model!$AL$3339)</f>
        <v>#NUM!</v>
      </c>
      <c r="BC3377" s="377" t="e">
        <f>PPMT('Assumptions (O&amp;G Upstream)'!$B$339,Model!AN$1,'Assumptions (O&amp;G Upstream)'!$B$342,Model!$AL$3339)</f>
        <v>#NUM!</v>
      </c>
      <c r="BD3377" s="377" t="e">
        <f>PPMT('Assumptions (O&amp;G Upstream)'!$B$339,Model!AO$1,'Assumptions (O&amp;G Upstream)'!$B$342,Model!$AL$3339)</f>
        <v>#NUM!</v>
      </c>
      <c r="BE3377" s="377" t="e">
        <f>PPMT('Assumptions (O&amp;G Upstream)'!$B$339,Model!AP$1,'Assumptions (O&amp;G Upstream)'!$B$342,Model!$AL$3339)</f>
        <v>#NUM!</v>
      </c>
      <c r="BF3377" s="377" t="e">
        <f>PPMT('Assumptions (O&amp;G Upstream)'!$B$339,Model!AQ$1,'Assumptions (O&amp;G Upstream)'!$B$342,Model!$AL$3339)</f>
        <v>#NUM!</v>
      </c>
      <c r="BG3377" s="377" t="e">
        <f>PPMT('Assumptions (O&amp;G Upstream)'!$B$339,Model!AR$1,'Assumptions (O&amp;G Upstream)'!$B$342,Model!$AL$3339)</f>
        <v>#NUM!</v>
      </c>
      <c r="BH3377" s="377" t="e">
        <f>PPMT('Assumptions (O&amp;G Upstream)'!$B$339,Model!AS$1,'Assumptions (O&amp;G Upstream)'!$B$342,Model!$AL$3339)</f>
        <v>#NUM!</v>
      </c>
      <c r="BI3377" s="377" t="e">
        <f>PPMT('Assumptions (O&amp;G Upstream)'!$B$339,Model!AT$1,'Assumptions (O&amp;G Upstream)'!$B$342,Model!$AL$3339)</f>
        <v>#NUM!</v>
      </c>
      <c r="BJ3377" s="377" t="e">
        <f>PPMT('Assumptions (O&amp;G Upstream)'!$B$339,Model!AU$1,'Assumptions (O&amp;G Upstream)'!$B$342,Model!$AL$3339)</f>
        <v>#NUM!</v>
      </c>
    </row>
    <row r="3378" spans="1:77" ht="15.75" hidden="1" customHeight="1" outlineLevel="1">
      <c r="A3378" s="472"/>
      <c r="B3378" s="99"/>
      <c r="C3378" s="377"/>
      <c r="D3378" s="377"/>
      <c r="E3378" s="377"/>
      <c r="F3378" s="377"/>
      <c r="G3378" s="377"/>
      <c r="H3378" s="377"/>
      <c r="I3378" s="377"/>
      <c r="J3378" s="377"/>
      <c r="K3378" s="377"/>
      <c r="L3378" s="377"/>
      <c r="M3378" s="377"/>
      <c r="N3378" s="377"/>
      <c r="O3378" s="377"/>
      <c r="P3378" s="377"/>
      <c r="Q3378" s="377"/>
      <c r="R3378" s="377"/>
      <c r="S3378" s="42"/>
      <c r="T3378" s="42"/>
      <c r="U3378" s="42"/>
      <c r="V3378" s="42"/>
      <c r="W3378" s="86"/>
      <c r="AM3378" s="377">
        <f>PPMT('Assumptions (O&amp;G Upstream)'!$B$339,Model!W$1,'Assumptions (O&amp;G Upstream)'!$B$342,Model!$AM$3339)</f>
        <v>-13.559443408403149</v>
      </c>
      <c r="AN3378" s="377">
        <f>PPMT('Assumptions (O&amp;G Upstream)'!$B$339,Model!X$1,'Assumptions (O&amp;G Upstream)'!$B$342,Model!$AM$3339)</f>
        <v>-14.576401664033384</v>
      </c>
      <c r="AO3378" s="377">
        <f>PPMT('Assumptions (O&amp;G Upstream)'!$B$339,Model!Y$1,'Assumptions (O&amp;G Upstream)'!$B$342,Model!$AM$3339)</f>
        <v>-15.669631788835886</v>
      </c>
      <c r="AP3378" s="377">
        <f>PPMT('Assumptions (O&amp;G Upstream)'!$B$339,Model!Z$1,'Assumptions (O&amp;G Upstream)'!$B$342,Model!$AM$3339)</f>
        <v>-16.844854172998581</v>
      </c>
      <c r="AQ3378" s="377">
        <f>PPMT('Assumptions (O&amp;G Upstream)'!$B$339,Model!AA$1,'Assumptions (O&amp;G Upstream)'!$B$342,Model!$AM$3339)</f>
        <v>-18.108218235973474</v>
      </c>
      <c r="AR3378" s="377">
        <f>PPMT('Assumptions (O&amp;G Upstream)'!$B$339,Model!AB$1,'Assumptions (O&amp;G Upstream)'!$B$342,Model!$AM$3339)</f>
        <v>-19.466334603671481</v>
      </c>
      <c r="AS3378" s="377">
        <f>PPMT('Assumptions (O&amp;G Upstream)'!$B$339,Model!AC$1,'Assumptions (O&amp;G Upstream)'!$B$342,Model!$AM$3339)</f>
        <v>-20.926309698946845</v>
      </c>
      <c r="AT3378" s="377">
        <f>PPMT('Assumptions (O&amp;G Upstream)'!$B$339,Model!AD$1,'Assumptions (O&amp;G Upstream)'!$B$342,Model!$AM$3339)</f>
        <v>-22.495782926367859</v>
      </c>
      <c r="AU3378" s="377">
        <f>PPMT('Assumptions (O&amp;G Upstream)'!$B$339,Model!AE$1,'Assumptions (O&amp;G Upstream)'!$B$342,Model!$AM$3339)</f>
        <v>-24.18296664584545</v>
      </c>
      <c r="AV3378" s="377">
        <f>PPMT('Assumptions (O&amp;G Upstream)'!$B$339,Model!AF$1,'Assumptions (O&amp;G Upstream)'!$B$342,Model!$AM$3339)</f>
        <v>-25.996689144283856</v>
      </c>
      <c r="AW3378" s="377" t="e">
        <f>PPMT('Assumptions (O&amp;G Upstream)'!$B$339,Model!AG$1,'Assumptions (O&amp;G Upstream)'!$B$342,Model!$AM$3339)</f>
        <v>#NUM!</v>
      </c>
      <c r="AX3378" s="377" t="e">
        <f>PPMT('Assumptions (O&amp;G Upstream)'!$B$339,Model!AH$1,'Assumptions (O&amp;G Upstream)'!$B$342,Model!$AM$3339)</f>
        <v>#NUM!</v>
      </c>
      <c r="AY3378" s="377" t="e">
        <f>PPMT('Assumptions (O&amp;G Upstream)'!$B$339,Model!AI$1,'Assumptions (O&amp;G Upstream)'!$B$342,Model!$AM$3339)</f>
        <v>#NUM!</v>
      </c>
      <c r="AZ3378" s="377" t="e">
        <f>PPMT('Assumptions (O&amp;G Upstream)'!$B$339,Model!AJ$1,'Assumptions (O&amp;G Upstream)'!$B$342,Model!$AM$3339)</f>
        <v>#NUM!</v>
      </c>
      <c r="BA3378" s="377" t="e">
        <f>PPMT('Assumptions (O&amp;G Upstream)'!$B$339,Model!AK$1,'Assumptions (O&amp;G Upstream)'!$B$342,Model!$AM$3339)</f>
        <v>#NUM!</v>
      </c>
      <c r="BB3378" s="377" t="e">
        <f>PPMT('Assumptions (O&amp;G Upstream)'!$B$339,Model!AL$1,'Assumptions (O&amp;G Upstream)'!$B$342,Model!$AM$3339)</f>
        <v>#NUM!</v>
      </c>
      <c r="BC3378" s="377" t="e">
        <f>PPMT('Assumptions (O&amp;G Upstream)'!$B$339,Model!AM$1,'Assumptions (O&amp;G Upstream)'!$B$342,Model!$AM$3339)</f>
        <v>#NUM!</v>
      </c>
      <c r="BD3378" s="377" t="e">
        <f>PPMT('Assumptions (O&amp;G Upstream)'!$B$339,Model!AN$1,'Assumptions (O&amp;G Upstream)'!$B$342,Model!$AM$3339)</f>
        <v>#NUM!</v>
      </c>
      <c r="BE3378" s="377" t="e">
        <f>PPMT('Assumptions (O&amp;G Upstream)'!$B$339,Model!AO$1,'Assumptions (O&amp;G Upstream)'!$B$342,Model!$AM$3339)</f>
        <v>#NUM!</v>
      </c>
      <c r="BF3378" s="377" t="e">
        <f>PPMT('Assumptions (O&amp;G Upstream)'!$B$339,Model!AP$1,'Assumptions (O&amp;G Upstream)'!$B$342,Model!$AM$3339)</f>
        <v>#NUM!</v>
      </c>
      <c r="BG3378" s="377" t="e">
        <f>PPMT('Assumptions (O&amp;G Upstream)'!$B$339,Model!AQ$1,'Assumptions (O&amp;G Upstream)'!$B$342,Model!$AM$3339)</f>
        <v>#NUM!</v>
      </c>
      <c r="BH3378" s="377" t="e">
        <f>PPMT('Assumptions (O&amp;G Upstream)'!$B$339,Model!AR$1,'Assumptions (O&amp;G Upstream)'!$B$342,Model!$AM$3339)</f>
        <v>#NUM!</v>
      </c>
      <c r="BI3378" s="377" t="e">
        <f>PPMT('Assumptions (O&amp;G Upstream)'!$B$339,Model!AS$1,'Assumptions (O&amp;G Upstream)'!$B$342,Model!$AM$3339)</f>
        <v>#NUM!</v>
      </c>
      <c r="BJ3378" s="377" t="e">
        <f>PPMT('Assumptions (O&amp;G Upstream)'!$B$339,Model!AT$1,'Assumptions (O&amp;G Upstream)'!$B$342,Model!$AM$3339)</f>
        <v>#NUM!</v>
      </c>
      <c r="BK3378" s="377" t="e">
        <f>PPMT('Assumptions (O&amp;G Upstream)'!$B$339,Model!AU$1,'Assumptions (O&amp;G Upstream)'!$B$342,Model!$AM$3339)</f>
        <v>#NUM!</v>
      </c>
    </row>
    <row r="3379" spans="1:77" ht="15.75" hidden="1" customHeight="1" outlineLevel="1">
      <c r="A3379" s="472"/>
      <c r="B3379" s="99"/>
      <c r="C3379" s="377"/>
      <c r="D3379" s="377"/>
      <c r="E3379" s="377"/>
      <c r="F3379" s="377"/>
      <c r="G3379" s="377"/>
      <c r="H3379" s="377"/>
      <c r="I3379" s="377"/>
      <c r="J3379" s="377"/>
      <c r="K3379" s="377"/>
      <c r="L3379" s="377"/>
      <c r="M3379" s="377"/>
      <c r="N3379" s="377"/>
      <c r="O3379" s="377"/>
      <c r="P3379" s="377"/>
      <c r="Q3379" s="377"/>
      <c r="R3379" s="377"/>
      <c r="S3379" s="42"/>
      <c r="T3379" s="42"/>
      <c r="U3379" s="42"/>
      <c r="V3379" s="42"/>
      <c r="W3379" s="86"/>
      <c r="AN3379" s="377">
        <f>PPMT('Assumptions (O&amp;G Upstream)'!$B$339,Model!W$1,'Assumptions (O&amp;G Upstream)'!$B$342,Model!$AN$3339)</f>
        <v>-13.626759653080434</v>
      </c>
      <c r="AO3379" s="377">
        <f>PPMT('Assumptions (O&amp;G Upstream)'!$B$339,Model!X$1,'Assumptions (O&amp;G Upstream)'!$B$342,Model!$AN$3339)</f>
        <v>-14.648766627061466</v>
      </c>
      <c r="AP3379" s="377">
        <f>PPMT('Assumptions (O&amp;G Upstream)'!$B$339,Model!Y$1,'Assumptions (O&amp;G Upstream)'!$B$342,Model!$AN$3339)</f>
        <v>-15.747424124091076</v>
      </c>
      <c r="AQ3379" s="377">
        <f>PPMT('Assumptions (O&amp;G Upstream)'!$B$339,Model!Z$1,'Assumptions (O&amp;G Upstream)'!$B$342,Model!$AN$3339)</f>
        <v>-16.928480933397907</v>
      </c>
      <c r="AR3379" s="377">
        <f>PPMT('Assumptions (O&amp;G Upstream)'!$B$339,Model!AA$1,'Assumptions (O&amp;G Upstream)'!$B$342,Model!$AN$3339)</f>
        <v>-18.19811700340275</v>
      </c>
      <c r="AS3379" s="377">
        <f>PPMT('Assumptions (O&amp;G Upstream)'!$B$339,Model!AB$1,'Assumptions (O&amp;G Upstream)'!$B$342,Model!$AN$3339)</f>
        <v>-19.562975778657954</v>
      </c>
      <c r="AT3379" s="377">
        <f>PPMT('Assumptions (O&amp;G Upstream)'!$B$339,Model!AC$1,'Assumptions (O&amp;G Upstream)'!$B$342,Model!$AN$3339)</f>
        <v>-21.030198962057302</v>
      </c>
      <c r="AU3379" s="377">
        <f>PPMT('Assumptions (O&amp;G Upstream)'!$B$339,Model!AD$1,'Assumptions (O&amp;G Upstream)'!$B$342,Model!$AN$3339)</f>
        <v>-22.607463884211597</v>
      </c>
      <c r="AV3379" s="377">
        <f>PPMT('Assumptions (O&amp;G Upstream)'!$B$339,Model!AE$1,'Assumptions (O&amp;G Upstream)'!$B$342,Model!$AN$3339)</f>
        <v>-24.303023675527474</v>
      </c>
      <c r="AW3379" s="377">
        <f>PPMT('Assumptions (O&amp;G Upstream)'!$B$339,Model!AF$1,'Assumptions (O&amp;G Upstream)'!$B$342,Model!$AN$3339)</f>
        <v>-26.12575045119203</v>
      </c>
      <c r="AX3379" s="377" t="e">
        <f>PPMT('Assumptions (O&amp;G Upstream)'!$B$339,Model!AG$1,'Assumptions (O&amp;G Upstream)'!$B$342,Model!$AN$3339)</f>
        <v>#NUM!</v>
      </c>
      <c r="AY3379" s="377" t="e">
        <f>PPMT('Assumptions (O&amp;G Upstream)'!$B$339,Model!AH$1,'Assumptions (O&amp;G Upstream)'!$B$342,Model!$AN$3339)</f>
        <v>#NUM!</v>
      </c>
      <c r="AZ3379" s="377" t="e">
        <f>PPMT('Assumptions (O&amp;G Upstream)'!$B$339,Model!AI$1,'Assumptions (O&amp;G Upstream)'!$B$342,Model!$AN$3339)</f>
        <v>#NUM!</v>
      </c>
      <c r="BA3379" s="377" t="e">
        <f>PPMT('Assumptions (O&amp;G Upstream)'!$B$339,Model!AJ$1,'Assumptions (O&amp;G Upstream)'!$B$342,Model!$AN$3339)</f>
        <v>#NUM!</v>
      </c>
      <c r="BB3379" s="377" t="e">
        <f>PPMT('Assumptions (O&amp;G Upstream)'!$B$339,Model!AK$1,'Assumptions (O&amp;G Upstream)'!$B$342,Model!$AN$3339)</f>
        <v>#NUM!</v>
      </c>
      <c r="BC3379" s="377" t="e">
        <f>PPMT('Assumptions (O&amp;G Upstream)'!$B$339,Model!AL$1,'Assumptions (O&amp;G Upstream)'!$B$342,Model!$AN$3339)</f>
        <v>#NUM!</v>
      </c>
      <c r="BD3379" s="377" t="e">
        <f>PPMT('Assumptions (O&amp;G Upstream)'!$B$339,Model!AM$1,'Assumptions (O&amp;G Upstream)'!$B$342,Model!$AN$3339)</f>
        <v>#NUM!</v>
      </c>
      <c r="BE3379" s="377" t="e">
        <f>PPMT('Assumptions (O&amp;G Upstream)'!$B$339,Model!AN$1,'Assumptions (O&amp;G Upstream)'!$B$342,Model!$AN$3339)</f>
        <v>#NUM!</v>
      </c>
      <c r="BF3379" s="377" t="e">
        <f>PPMT('Assumptions (O&amp;G Upstream)'!$B$339,Model!AO$1,'Assumptions (O&amp;G Upstream)'!$B$342,Model!$AN$3339)</f>
        <v>#NUM!</v>
      </c>
      <c r="BG3379" s="377" t="e">
        <f>PPMT('Assumptions (O&amp;G Upstream)'!$B$339,Model!AP$1,'Assumptions (O&amp;G Upstream)'!$B$342,Model!$AN$3339)</f>
        <v>#NUM!</v>
      </c>
      <c r="BH3379" s="377" t="e">
        <f>PPMT('Assumptions (O&amp;G Upstream)'!$B$339,Model!AQ$1,'Assumptions (O&amp;G Upstream)'!$B$342,Model!$AN$3339)</f>
        <v>#NUM!</v>
      </c>
      <c r="BI3379" s="377" t="e">
        <f>PPMT('Assumptions (O&amp;G Upstream)'!$B$339,Model!AR$1,'Assumptions (O&amp;G Upstream)'!$B$342,Model!$AN$3339)</f>
        <v>#NUM!</v>
      </c>
      <c r="BJ3379" s="377" t="e">
        <f>PPMT('Assumptions (O&amp;G Upstream)'!$B$339,Model!AS$1,'Assumptions (O&amp;G Upstream)'!$B$342,Model!$AN$3339)</f>
        <v>#NUM!</v>
      </c>
      <c r="BK3379" s="377" t="e">
        <f>PPMT('Assumptions (O&amp;G Upstream)'!$B$339,Model!AT$1,'Assumptions (O&amp;G Upstream)'!$B$342,Model!$AN$3339)</f>
        <v>#NUM!</v>
      </c>
      <c r="BL3379" s="377" t="e">
        <f>PPMT('Assumptions (O&amp;G Upstream)'!$B$339,Model!AU$1,'Assumptions (O&amp;G Upstream)'!$B$342,Model!$AN$3339)</f>
        <v>#NUM!</v>
      </c>
    </row>
    <row r="3380" spans="1:77" ht="15.75" hidden="1" customHeight="1" outlineLevel="1">
      <c r="A3380" s="472"/>
      <c r="B3380" s="99"/>
      <c r="C3380" s="377"/>
      <c r="D3380" s="377"/>
      <c r="E3380" s="377"/>
      <c r="F3380" s="377"/>
      <c r="G3380" s="377"/>
      <c r="H3380" s="377"/>
      <c r="I3380" s="377"/>
      <c r="J3380" s="377"/>
      <c r="K3380" s="377"/>
      <c r="L3380" s="377"/>
      <c r="M3380" s="377"/>
      <c r="N3380" s="377"/>
      <c r="O3380" s="377"/>
      <c r="P3380" s="377"/>
      <c r="Q3380" s="377"/>
      <c r="R3380" s="377"/>
      <c r="S3380" s="42"/>
      <c r="T3380" s="42"/>
      <c r="U3380" s="42"/>
      <c r="V3380" s="42"/>
      <c r="W3380" s="86"/>
      <c r="AO3380" s="377">
        <f>PPMT('Assumptions (O&amp;G Upstream)'!$B$339,Model!W$1,'Assumptions (O&amp;G Upstream)'!$B$342,Model!$AO$3339)</f>
        <v>-13.859358073307908</v>
      </c>
      <c r="AP3380" s="377">
        <f>PPMT('Assumptions (O&amp;G Upstream)'!$B$339,Model!X$1,'Assumptions (O&amp;G Upstream)'!$B$342,Model!$AO$3339)</f>
        <v>-14.898809928806001</v>
      </c>
      <c r="AQ3380" s="377">
        <f>PPMT('Assumptions (O&amp;G Upstream)'!$B$339,Model!Y$1,'Assumptions (O&amp;G Upstream)'!$B$342,Model!$AO$3339)</f>
        <v>-16.016220673466449</v>
      </c>
      <c r="AR3380" s="377">
        <f>PPMT('Assumptions (O&amp;G Upstream)'!$B$339,Model!Z$1,'Assumptions (O&amp;G Upstream)'!$B$342,Model!$AO$3339)</f>
        <v>-17.217437223976436</v>
      </c>
      <c r="AS3380" s="377">
        <f>PPMT('Assumptions (O&amp;G Upstream)'!$B$339,Model!AA$1,'Assumptions (O&amp;G Upstream)'!$B$342,Model!$AO$3339)</f>
        <v>-18.508745015774668</v>
      </c>
      <c r="AT3380" s="377">
        <f>PPMT('Assumptions (O&amp;G Upstream)'!$B$339,Model!AB$1,'Assumptions (O&amp;G Upstream)'!$B$342,Model!$AO$3339)</f>
        <v>-19.896900891957767</v>
      </c>
      <c r="AU3380" s="377">
        <f>PPMT('Assumptions (O&amp;G Upstream)'!$B$339,Model!AC$1,'Assumptions (O&amp;G Upstream)'!$B$342,Model!$AO$3339)</f>
        <v>-21.389168458854602</v>
      </c>
      <c r="AV3380" s="377">
        <f>PPMT('Assumptions (O&amp;G Upstream)'!$B$339,Model!AD$1,'Assumptions (O&amp;G Upstream)'!$B$342,Model!$AO$3339)</f>
        <v>-22.993356093268698</v>
      </c>
      <c r="AW3380" s="377">
        <f>PPMT('Assumptions (O&amp;G Upstream)'!$B$339,Model!AE$1,'Assumptions (O&amp;G Upstream)'!$B$342,Model!$AO$3339)</f>
        <v>-24.717857800263847</v>
      </c>
      <c r="AX3380" s="377">
        <f>PPMT('Assumptions (O&amp;G Upstream)'!$B$339,Model!AF$1,'Assumptions (O&amp;G Upstream)'!$B$342,Model!$AO$3339)</f>
        <v>-26.571697135283639</v>
      </c>
      <c r="AY3380" s="377" t="e">
        <f>PPMT('Assumptions (O&amp;G Upstream)'!$B$339,Model!AG$1,'Assumptions (O&amp;G Upstream)'!$B$342,Model!$AO$3339)</f>
        <v>#NUM!</v>
      </c>
      <c r="AZ3380" s="377" t="e">
        <f>PPMT('Assumptions (O&amp;G Upstream)'!$B$339,Model!AH$1,'Assumptions (O&amp;G Upstream)'!$B$342,Model!$AO$3339)</f>
        <v>#NUM!</v>
      </c>
      <c r="BA3380" s="377" t="e">
        <f>PPMT('Assumptions (O&amp;G Upstream)'!$B$339,Model!AI$1,'Assumptions (O&amp;G Upstream)'!$B$342,Model!$AO$3339)</f>
        <v>#NUM!</v>
      </c>
      <c r="BB3380" s="377" t="e">
        <f>PPMT('Assumptions (O&amp;G Upstream)'!$B$339,Model!AJ$1,'Assumptions (O&amp;G Upstream)'!$B$342,Model!$AO$3339)</f>
        <v>#NUM!</v>
      </c>
      <c r="BC3380" s="377" t="e">
        <f>PPMT('Assumptions (O&amp;G Upstream)'!$B$339,Model!AK$1,'Assumptions (O&amp;G Upstream)'!$B$342,Model!$AO$3339)</f>
        <v>#NUM!</v>
      </c>
      <c r="BD3380" s="377" t="e">
        <f>PPMT('Assumptions (O&amp;G Upstream)'!$B$339,Model!AL$1,'Assumptions (O&amp;G Upstream)'!$B$342,Model!$AO$3339)</f>
        <v>#NUM!</v>
      </c>
      <c r="BE3380" s="377" t="e">
        <f>PPMT('Assumptions (O&amp;G Upstream)'!$B$339,Model!AM$1,'Assumptions (O&amp;G Upstream)'!$B$342,Model!$AO$3339)</f>
        <v>#NUM!</v>
      </c>
      <c r="BF3380" s="377" t="e">
        <f>PPMT('Assumptions (O&amp;G Upstream)'!$B$339,Model!AN$1,'Assumptions (O&amp;G Upstream)'!$B$342,Model!$AO$3339)</f>
        <v>#NUM!</v>
      </c>
      <c r="BG3380" s="377" t="e">
        <f>PPMT('Assumptions (O&amp;G Upstream)'!$B$339,Model!AO$1,'Assumptions (O&amp;G Upstream)'!$B$342,Model!$AO$3339)</f>
        <v>#NUM!</v>
      </c>
      <c r="BH3380" s="377" t="e">
        <f>PPMT('Assumptions (O&amp;G Upstream)'!$B$339,Model!AP$1,'Assumptions (O&amp;G Upstream)'!$B$342,Model!$AO$3339)</f>
        <v>#NUM!</v>
      </c>
      <c r="BI3380" s="377" t="e">
        <f>PPMT('Assumptions (O&amp;G Upstream)'!$B$339,Model!AQ$1,'Assumptions (O&amp;G Upstream)'!$B$342,Model!$AO$3339)</f>
        <v>#NUM!</v>
      </c>
      <c r="BJ3380" s="377" t="e">
        <f>PPMT('Assumptions (O&amp;G Upstream)'!$B$339,Model!AR$1,'Assumptions (O&amp;G Upstream)'!$B$342,Model!$AO$3339)</f>
        <v>#NUM!</v>
      </c>
      <c r="BK3380" s="377" t="e">
        <f>PPMT('Assumptions (O&amp;G Upstream)'!$B$339,Model!AS$1,'Assumptions (O&amp;G Upstream)'!$B$342,Model!$AO$3339)</f>
        <v>#NUM!</v>
      </c>
      <c r="BL3380" s="377" t="e">
        <f>PPMT('Assumptions (O&amp;G Upstream)'!$B$339,Model!AT$1,'Assumptions (O&amp;G Upstream)'!$B$342,Model!$AO$3339)</f>
        <v>#NUM!</v>
      </c>
      <c r="BM3380" s="377" t="e">
        <f>PPMT('Assumptions (O&amp;G Upstream)'!$B$339,Model!AU$1,'Assumptions (O&amp;G Upstream)'!$B$342,Model!$AO$3339)</f>
        <v>#NUM!</v>
      </c>
    </row>
    <row r="3381" spans="1:77" ht="15.75" hidden="1" customHeight="1" outlineLevel="1">
      <c r="A3381" s="472"/>
      <c r="B3381" s="99"/>
      <c r="C3381" s="377"/>
      <c r="D3381" s="377"/>
      <c r="E3381" s="377"/>
      <c r="F3381" s="377"/>
      <c r="G3381" s="377"/>
      <c r="H3381" s="377"/>
      <c r="I3381" s="377"/>
      <c r="J3381" s="377"/>
      <c r="K3381" s="377"/>
      <c r="L3381" s="377"/>
      <c r="M3381" s="377"/>
      <c r="N3381" s="377"/>
      <c r="O3381" s="377"/>
      <c r="P3381" s="377"/>
      <c r="Q3381" s="377"/>
      <c r="R3381" s="377"/>
      <c r="S3381" s="42"/>
      <c r="T3381" s="42"/>
      <c r="U3381" s="42"/>
      <c r="V3381" s="42"/>
      <c r="W3381" s="86"/>
      <c r="AP3381" s="377">
        <f>PPMT('Assumptions (O&amp;G Upstream)'!$B$339,Model!W$1,'Assumptions (O&amp;G Upstream)'!$B$342,Model!$AP$3339)</f>
        <v>-14.070310470907982</v>
      </c>
      <c r="AQ3381" s="377">
        <f>PPMT('Assumptions (O&amp;G Upstream)'!$B$339,Model!X$1,'Assumptions (O&amp;G Upstream)'!$B$342,Model!$AP$3339)</f>
        <v>-15.125583756226082</v>
      </c>
      <c r="AR3381" s="377">
        <f>PPMT('Assumptions (O&amp;G Upstream)'!$B$339,Model!Y$1,'Assumptions (O&amp;G Upstream)'!$B$342,Model!$AP$3339)</f>
        <v>-16.260002537943034</v>
      </c>
      <c r="AS3381" s="377">
        <f>PPMT('Assumptions (O&amp;G Upstream)'!$B$339,Model!Z$1,'Assumptions (O&amp;G Upstream)'!$B$342,Model!$AP$3339)</f>
        <v>-17.479502728288765</v>
      </c>
      <c r="AT3381" s="377">
        <f>PPMT('Assumptions (O&amp;G Upstream)'!$B$339,Model!AA$1,'Assumptions (O&amp;G Upstream)'!$B$342,Model!$AP$3339)</f>
        <v>-18.790465432910423</v>
      </c>
      <c r="AU3381" s="377">
        <f>PPMT('Assumptions (O&amp;G Upstream)'!$B$339,Model!AB$1,'Assumptions (O&amp;G Upstream)'!$B$342,Model!$AP$3339)</f>
        <v>-20.199750340378703</v>
      </c>
      <c r="AV3381" s="377">
        <f>PPMT('Assumptions (O&amp;G Upstream)'!$B$339,Model!AC$1,'Assumptions (O&amp;G Upstream)'!$B$342,Model!$AP$3339)</f>
        <v>-21.714731615907105</v>
      </c>
      <c r="AW3381" s="377">
        <f>PPMT('Assumptions (O&amp;G Upstream)'!$B$339,Model!AD$1,'Assumptions (O&amp;G Upstream)'!$B$342,Model!$AP$3339)</f>
        <v>-23.343336487100139</v>
      </c>
      <c r="AX3381" s="377">
        <f>PPMT('Assumptions (O&amp;G Upstream)'!$B$339,Model!AE$1,'Assumptions (O&amp;G Upstream)'!$B$342,Model!$AP$3339)</f>
        <v>-25.09408672363265</v>
      </c>
      <c r="AY3381" s="377">
        <f>PPMT('Assumptions (O&amp;G Upstream)'!$B$339,Model!AF$1,'Assumptions (O&amp;G Upstream)'!$B$342,Model!$AP$3339)</f>
        <v>-26.976143227905098</v>
      </c>
      <c r="AZ3381" s="377" t="e">
        <f>PPMT('Assumptions (O&amp;G Upstream)'!$B$339,Model!AG$1,'Assumptions (O&amp;G Upstream)'!$B$342,Model!$AP$3339)</f>
        <v>#NUM!</v>
      </c>
      <c r="BA3381" s="377" t="e">
        <f>PPMT('Assumptions (O&amp;G Upstream)'!$B$339,Model!AH$1,'Assumptions (O&amp;G Upstream)'!$B$342,Model!$AP$3339)</f>
        <v>#NUM!</v>
      </c>
      <c r="BB3381" s="377" t="e">
        <f>PPMT('Assumptions (O&amp;G Upstream)'!$B$339,Model!AI$1,'Assumptions (O&amp;G Upstream)'!$B$342,Model!$AP$3339)</f>
        <v>#NUM!</v>
      </c>
      <c r="BC3381" s="377" t="e">
        <f>PPMT('Assumptions (O&amp;G Upstream)'!$B$339,Model!AJ$1,'Assumptions (O&amp;G Upstream)'!$B$342,Model!$AP$3339)</f>
        <v>#NUM!</v>
      </c>
      <c r="BD3381" s="377" t="e">
        <f>PPMT('Assumptions (O&amp;G Upstream)'!$B$339,Model!AK$1,'Assumptions (O&amp;G Upstream)'!$B$342,Model!$AP$3339)</f>
        <v>#NUM!</v>
      </c>
      <c r="BE3381" s="377" t="e">
        <f>PPMT('Assumptions (O&amp;G Upstream)'!$B$339,Model!AL$1,'Assumptions (O&amp;G Upstream)'!$B$342,Model!$AP$3339)</f>
        <v>#NUM!</v>
      </c>
      <c r="BF3381" s="377" t="e">
        <f>PPMT('Assumptions (O&amp;G Upstream)'!$B$339,Model!AM$1,'Assumptions (O&amp;G Upstream)'!$B$342,Model!$AP$3339)</f>
        <v>#NUM!</v>
      </c>
      <c r="BG3381" s="377" t="e">
        <f>PPMT('Assumptions (O&amp;G Upstream)'!$B$339,Model!AN$1,'Assumptions (O&amp;G Upstream)'!$B$342,Model!$AP$3339)</f>
        <v>#NUM!</v>
      </c>
      <c r="BH3381" s="377" t="e">
        <f>PPMT('Assumptions (O&amp;G Upstream)'!$B$339,Model!AO$1,'Assumptions (O&amp;G Upstream)'!$B$342,Model!$AP$3339)</f>
        <v>#NUM!</v>
      </c>
      <c r="BI3381" s="377" t="e">
        <f>PPMT('Assumptions (O&amp;G Upstream)'!$B$339,Model!AP$1,'Assumptions (O&amp;G Upstream)'!$B$342,Model!$AP$3339)</f>
        <v>#NUM!</v>
      </c>
      <c r="BJ3381" s="377" t="e">
        <f>PPMT('Assumptions (O&amp;G Upstream)'!$B$339,Model!AQ$1,'Assumptions (O&amp;G Upstream)'!$B$342,Model!$AP$3339)</f>
        <v>#NUM!</v>
      </c>
      <c r="BK3381" s="377" t="e">
        <f>PPMT('Assumptions (O&amp;G Upstream)'!$B$339,Model!AR$1,'Assumptions (O&amp;G Upstream)'!$B$342,Model!$AP$3339)</f>
        <v>#NUM!</v>
      </c>
      <c r="BL3381" s="377" t="e">
        <f>PPMT('Assumptions (O&amp;G Upstream)'!$B$339,Model!AS$1,'Assumptions (O&amp;G Upstream)'!$B$342,Model!$AP$3339)</f>
        <v>#NUM!</v>
      </c>
      <c r="BM3381" s="377" t="e">
        <f>PPMT('Assumptions (O&amp;G Upstream)'!$B$339,Model!AT$1,'Assumptions (O&amp;G Upstream)'!$B$342,Model!$AP$3339)</f>
        <v>#NUM!</v>
      </c>
      <c r="BN3381" s="377" t="e">
        <f>PPMT('Assumptions (O&amp;G Upstream)'!$B$339,Model!AU$1,'Assumptions (O&amp;G Upstream)'!$B$342,Model!$AP$3339)</f>
        <v>#NUM!</v>
      </c>
    </row>
    <row r="3382" spans="1:77" ht="15.75" hidden="1" customHeight="1" outlineLevel="1">
      <c r="A3382" s="472"/>
      <c r="B3382" s="99"/>
      <c r="C3382" s="377"/>
      <c r="D3382" s="377"/>
      <c r="E3382" s="377"/>
      <c r="F3382" s="377"/>
      <c r="G3382" s="377"/>
      <c r="H3382" s="377"/>
      <c r="I3382" s="377"/>
      <c r="J3382" s="377"/>
      <c r="K3382" s="377"/>
      <c r="L3382" s="377"/>
      <c r="M3382" s="377"/>
      <c r="N3382" s="377"/>
      <c r="O3382" s="377"/>
      <c r="P3382" s="377"/>
      <c r="Q3382" s="377"/>
      <c r="R3382" s="377"/>
      <c r="S3382" s="42"/>
      <c r="T3382" s="42"/>
      <c r="U3382" s="42"/>
      <c r="V3382" s="42"/>
      <c r="W3382" s="86"/>
      <c r="AQ3382" s="377">
        <f>PPMT('Assumptions (O&amp;G Upstream)'!$B$339,Model!W$1,'Assumptions (O&amp;G Upstream)'!$B$342,Model!$AQ$3339)</f>
        <v>-14.351620423200117</v>
      </c>
      <c r="AR3382" s="377">
        <f>PPMT('Assumptions (O&amp;G Upstream)'!$B$339,Model!X$1,'Assumptions (O&amp;G Upstream)'!$B$342,Model!$AQ$3339)</f>
        <v>-15.427991954940124</v>
      </c>
      <c r="AS3382" s="377">
        <f>PPMT('Assumptions (O&amp;G Upstream)'!$B$339,Model!Y$1,'Assumptions (O&amp;G Upstream)'!$B$342,Model!$AQ$3339)</f>
        <v>-16.585091351560632</v>
      </c>
      <c r="AT3382" s="377">
        <f>PPMT('Assumptions (O&amp;G Upstream)'!$B$339,Model!Z$1,'Assumptions (O&amp;G Upstream)'!$B$342,Model!$AQ$3339)</f>
        <v>-17.828973202927681</v>
      </c>
      <c r="AU3382" s="377">
        <f>PPMT('Assumptions (O&amp;G Upstream)'!$B$339,Model!AA$1,'Assumptions (O&amp;G Upstream)'!$B$342,Model!$AQ$3339)</f>
        <v>-19.166146193147256</v>
      </c>
      <c r="AV3382" s="377">
        <f>PPMT('Assumptions (O&amp;G Upstream)'!$B$339,Model!AB$1,'Assumptions (O&amp;G Upstream)'!$B$342,Model!$AQ$3339)</f>
        <v>-20.603607157633302</v>
      </c>
      <c r="AW3382" s="377">
        <f>PPMT('Assumptions (O&amp;G Upstream)'!$B$339,Model!AC$1,'Assumptions (O&amp;G Upstream)'!$B$342,Model!$AQ$3339)</f>
        <v>-22.148877694455798</v>
      </c>
      <c r="AX3382" s="377">
        <f>PPMT('Assumptions (O&amp;G Upstream)'!$B$339,Model!AD$1,'Assumptions (O&amp;G Upstream)'!$B$342,Model!$AQ$3339)</f>
        <v>-23.810043521539981</v>
      </c>
      <c r="AY3382" s="377">
        <f>PPMT('Assumptions (O&amp;G Upstream)'!$B$339,Model!AE$1,'Assumptions (O&amp;G Upstream)'!$B$342,Model!$AQ$3339)</f>
        <v>-25.595796785655484</v>
      </c>
      <c r="AZ3382" s="377">
        <f>PPMT('Assumptions (O&amp;G Upstream)'!$B$339,Model!AF$1,'Assumptions (O&amp;G Upstream)'!$B$342,Model!$AQ$3339)</f>
        <v>-27.515481544579643</v>
      </c>
      <c r="BA3382" s="377" t="e">
        <f>PPMT('Assumptions (O&amp;G Upstream)'!$B$339,Model!AG$1,'Assumptions (O&amp;G Upstream)'!$B$342,Model!$AQ$3339)</f>
        <v>#NUM!</v>
      </c>
      <c r="BB3382" s="377" t="e">
        <f>PPMT('Assumptions (O&amp;G Upstream)'!$B$339,Model!AH$1,'Assumptions (O&amp;G Upstream)'!$B$342,Model!$AQ$3339)</f>
        <v>#NUM!</v>
      </c>
      <c r="BC3382" s="377" t="e">
        <f>PPMT('Assumptions (O&amp;G Upstream)'!$B$339,Model!AI$1,'Assumptions (O&amp;G Upstream)'!$B$342,Model!$AQ$3339)</f>
        <v>#NUM!</v>
      </c>
      <c r="BD3382" s="377" t="e">
        <f>PPMT('Assumptions (O&amp;G Upstream)'!$B$339,Model!AJ$1,'Assumptions (O&amp;G Upstream)'!$B$342,Model!$AQ$3339)</f>
        <v>#NUM!</v>
      </c>
      <c r="BE3382" s="377" t="e">
        <f>PPMT('Assumptions (O&amp;G Upstream)'!$B$339,Model!AK$1,'Assumptions (O&amp;G Upstream)'!$B$342,Model!$AQ$3339)</f>
        <v>#NUM!</v>
      </c>
      <c r="BF3382" s="377" t="e">
        <f>PPMT('Assumptions (O&amp;G Upstream)'!$B$339,Model!AL$1,'Assumptions (O&amp;G Upstream)'!$B$342,Model!$AQ$3339)</f>
        <v>#NUM!</v>
      </c>
      <c r="BG3382" s="377" t="e">
        <f>PPMT('Assumptions (O&amp;G Upstream)'!$B$339,Model!AM$1,'Assumptions (O&amp;G Upstream)'!$B$342,Model!$AQ$3339)</f>
        <v>#NUM!</v>
      </c>
      <c r="BH3382" s="377" t="e">
        <f>PPMT('Assumptions (O&amp;G Upstream)'!$B$339,Model!AN$1,'Assumptions (O&amp;G Upstream)'!$B$342,Model!$AQ$3339)</f>
        <v>#NUM!</v>
      </c>
      <c r="BI3382" s="377" t="e">
        <f>PPMT('Assumptions (O&amp;G Upstream)'!$B$339,Model!AO$1,'Assumptions (O&amp;G Upstream)'!$B$342,Model!$AQ$3339)</f>
        <v>#NUM!</v>
      </c>
      <c r="BJ3382" s="377" t="e">
        <f>PPMT('Assumptions (O&amp;G Upstream)'!$B$339,Model!AP$1,'Assumptions (O&amp;G Upstream)'!$B$342,Model!$AQ$3339)</f>
        <v>#NUM!</v>
      </c>
      <c r="BK3382" s="377" t="e">
        <f>PPMT('Assumptions (O&amp;G Upstream)'!$B$339,Model!AQ$1,'Assumptions (O&amp;G Upstream)'!$B$342,Model!$AQ$3339)</f>
        <v>#NUM!</v>
      </c>
      <c r="BL3382" s="377" t="e">
        <f>PPMT('Assumptions (O&amp;G Upstream)'!$B$339,Model!AR$1,'Assumptions (O&amp;G Upstream)'!$B$342,Model!$AQ$3339)</f>
        <v>#NUM!</v>
      </c>
      <c r="BM3382" s="377" t="e">
        <f>PPMT('Assumptions (O&amp;G Upstream)'!$B$339,Model!AS$1,'Assumptions (O&amp;G Upstream)'!$B$342,Model!$AQ$3339)</f>
        <v>#NUM!</v>
      </c>
      <c r="BN3382" s="377" t="e">
        <f>PPMT('Assumptions (O&amp;G Upstream)'!$B$339,Model!AT$1,'Assumptions (O&amp;G Upstream)'!$B$342,Model!$AQ$3339)</f>
        <v>#NUM!</v>
      </c>
      <c r="BO3382" s="377" t="e">
        <f>PPMT('Assumptions (O&amp;G Upstream)'!$B$339,Model!AU$1,'Assumptions (O&amp;G Upstream)'!$B$342,Model!$AQ$3339)</f>
        <v>#NUM!</v>
      </c>
    </row>
    <row r="3383" spans="1:77" ht="15.75" hidden="1" customHeight="1" outlineLevel="1">
      <c r="A3383" s="472"/>
      <c r="B3383" s="99"/>
      <c r="C3383" s="377"/>
      <c r="D3383" s="377"/>
      <c r="E3383" s="377"/>
      <c r="F3383" s="377"/>
      <c r="G3383" s="377"/>
      <c r="H3383" s="377"/>
      <c r="I3383" s="377"/>
      <c r="J3383" s="377"/>
      <c r="K3383" s="377"/>
      <c r="L3383" s="377"/>
      <c r="M3383" s="377"/>
      <c r="N3383" s="377"/>
      <c r="O3383" s="377"/>
      <c r="P3383" s="377"/>
      <c r="Q3383" s="377"/>
      <c r="R3383" s="377"/>
      <c r="S3383" s="42"/>
      <c r="T3383" s="42"/>
      <c r="U3383" s="42"/>
      <c r="V3383" s="42"/>
      <c r="W3383" s="86"/>
      <c r="AR3383" s="377">
        <f>PPMT('Assumptions (O&amp;G Upstream)'!$B$339,Model!W$1,'Assumptions (O&amp;G Upstream)'!$B$342,Model!$AR$3339)</f>
        <v>-14.601688647591738</v>
      </c>
      <c r="AS3383" s="377">
        <f>PPMT('Assumptions (O&amp;G Upstream)'!$B$339,Model!X$1,'Assumptions (O&amp;G Upstream)'!$B$342,Model!$AR$3339)</f>
        <v>-15.69681529616112</v>
      </c>
      <c r="AT3383" s="377">
        <f>PPMT('Assumptions (O&amp;G Upstream)'!$B$339,Model!Y$1,'Assumptions (O&amp;G Upstream)'!$B$342,Model!$AR$3339)</f>
        <v>-16.874076443373202</v>
      </c>
      <c r="AU3383" s="377">
        <f>PPMT('Assumptions (O&amp;G Upstream)'!$B$339,Model!Z$1,'Assumptions (O&amp;G Upstream)'!$B$342,Model!$AR$3339)</f>
        <v>-18.139632176626193</v>
      </c>
      <c r="AV3383" s="377">
        <f>PPMT('Assumptions (O&amp;G Upstream)'!$B$339,Model!AA$1,'Assumptions (O&amp;G Upstream)'!$B$342,Model!$AR$3339)</f>
        <v>-19.500104589873157</v>
      </c>
      <c r="AW3383" s="377">
        <f>PPMT('Assumptions (O&amp;G Upstream)'!$B$339,Model!AB$1,'Assumptions (O&amp;G Upstream)'!$B$342,Model!$AR$3339)</f>
        <v>-20.962612434113641</v>
      </c>
      <c r="AX3383" s="377">
        <f>PPMT('Assumptions (O&amp;G Upstream)'!$B$339,Model!AC$1,'Assumptions (O&amp;G Upstream)'!$B$342,Model!$AR$3339)</f>
        <v>-22.534808366672166</v>
      </c>
      <c r="AY3383" s="377">
        <f>PPMT('Assumptions (O&amp;G Upstream)'!$B$339,Model!AD$1,'Assumptions (O&amp;G Upstream)'!$B$342,Model!$AR$3339)</f>
        <v>-24.22491899417258</v>
      </c>
      <c r="AZ3383" s="377">
        <f>PPMT('Assumptions (O&amp;G Upstream)'!$B$339,Model!AE$1,'Assumptions (O&amp;G Upstream)'!$B$342,Model!$AR$3339)</f>
        <v>-26.041787918735523</v>
      </c>
      <c r="BA3383" s="377">
        <f>PPMT('Assumptions (O&amp;G Upstream)'!$B$339,Model!AF$1,'Assumptions (O&amp;G Upstream)'!$B$342,Model!$AR$3339)</f>
        <v>-27.994922012640686</v>
      </c>
      <c r="BB3383" s="377" t="e">
        <f>PPMT('Assumptions (O&amp;G Upstream)'!$B$339,Model!AG$1,'Assumptions (O&amp;G Upstream)'!$B$342,Model!$AR$3339)</f>
        <v>#NUM!</v>
      </c>
      <c r="BC3383" s="377" t="e">
        <f>PPMT('Assumptions (O&amp;G Upstream)'!$B$339,Model!AH$1,'Assumptions (O&amp;G Upstream)'!$B$342,Model!$AR$3339)</f>
        <v>#NUM!</v>
      </c>
      <c r="BD3383" s="377" t="e">
        <f>PPMT('Assumptions (O&amp;G Upstream)'!$B$339,Model!AI$1,'Assumptions (O&amp;G Upstream)'!$B$342,Model!$AR$3339)</f>
        <v>#NUM!</v>
      </c>
      <c r="BE3383" s="377" t="e">
        <f>PPMT('Assumptions (O&amp;G Upstream)'!$B$339,Model!AJ$1,'Assumptions (O&amp;G Upstream)'!$B$342,Model!$AR$3339)</f>
        <v>#NUM!</v>
      </c>
      <c r="BF3383" s="377" t="e">
        <f>PPMT('Assumptions (O&amp;G Upstream)'!$B$339,Model!AK$1,'Assumptions (O&amp;G Upstream)'!$B$342,Model!$AR$3339)</f>
        <v>#NUM!</v>
      </c>
      <c r="BG3383" s="377" t="e">
        <f>PPMT('Assumptions (O&amp;G Upstream)'!$B$339,Model!AL$1,'Assumptions (O&amp;G Upstream)'!$B$342,Model!$AR$3339)</f>
        <v>#NUM!</v>
      </c>
      <c r="BH3383" s="377" t="e">
        <f>PPMT('Assumptions (O&amp;G Upstream)'!$B$339,Model!AM$1,'Assumptions (O&amp;G Upstream)'!$B$342,Model!$AR$3339)</f>
        <v>#NUM!</v>
      </c>
      <c r="BI3383" s="377" t="e">
        <f>PPMT('Assumptions (O&amp;G Upstream)'!$B$339,Model!AN$1,'Assumptions (O&amp;G Upstream)'!$B$342,Model!$AR$3339)</f>
        <v>#NUM!</v>
      </c>
      <c r="BJ3383" s="377" t="e">
        <f>PPMT('Assumptions (O&amp;G Upstream)'!$B$339,Model!AO$1,'Assumptions (O&amp;G Upstream)'!$B$342,Model!$AR$3339)</f>
        <v>#NUM!</v>
      </c>
      <c r="BK3383" s="377" t="e">
        <f>PPMT('Assumptions (O&amp;G Upstream)'!$B$339,Model!AP$1,'Assumptions (O&amp;G Upstream)'!$B$342,Model!$AR$3339)</f>
        <v>#NUM!</v>
      </c>
      <c r="BL3383" s="377" t="e">
        <f>PPMT('Assumptions (O&amp;G Upstream)'!$B$339,Model!AQ$1,'Assumptions (O&amp;G Upstream)'!$B$342,Model!$AR$3339)</f>
        <v>#NUM!</v>
      </c>
      <c r="BM3383" s="377" t="e">
        <f>PPMT('Assumptions (O&amp;G Upstream)'!$B$339,Model!AR$1,'Assumptions (O&amp;G Upstream)'!$B$342,Model!$AR$3339)</f>
        <v>#NUM!</v>
      </c>
      <c r="BN3383" s="377" t="e">
        <f>PPMT('Assumptions (O&amp;G Upstream)'!$B$339,Model!AS$1,'Assumptions (O&amp;G Upstream)'!$B$342,Model!$AR$3339)</f>
        <v>#NUM!</v>
      </c>
      <c r="BO3383" s="377" t="e">
        <f>PPMT('Assumptions (O&amp;G Upstream)'!$B$339,Model!AT$1,'Assumptions (O&amp;G Upstream)'!$B$342,Model!$AR$3339)</f>
        <v>#NUM!</v>
      </c>
      <c r="BP3383" s="377" t="e">
        <f>PPMT('Assumptions (O&amp;G Upstream)'!$B$339,Model!AU$1,'Assumptions (O&amp;G Upstream)'!$B$342,Model!$AR$3339)</f>
        <v>#NUM!</v>
      </c>
    </row>
    <row r="3384" spans="1:77" ht="15.75" hidden="1" customHeight="1" outlineLevel="1">
      <c r="A3384" s="472"/>
      <c r="B3384" s="99"/>
      <c r="C3384" s="377"/>
      <c r="D3384" s="377"/>
      <c r="E3384" s="377"/>
      <c r="F3384" s="377"/>
      <c r="G3384" s="377"/>
      <c r="H3384" s="377"/>
      <c r="I3384" s="377"/>
      <c r="J3384" s="377"/>
      <c r="K3384" s="377"/>
      <c r="L3384" s="377"/>
      <c r="M3384" s="377"/>
      <c r="N3384" s="377"/>
      <c r="O3384" s="377"/>
      <c r="P3384" s="377"/>
      <c r="Q3384" s="377"/>
      <c r="R3384" s="377"/>
      <c r="S3384" s="42"/>
      <c r="T3384" s="42"/>
      <c r="U3384" s="42"/>
      <c r="V3384" s="42"/>
      <c r="W3384" s="86"/>
      <c r="AS3384" s="377">
        <f>PPMT('Assumptions (O&amp;G Upstream)'!$B$339,Model!W$1,'Assumptions (O&amp;G Upstream)'!$B$342,Model!$AS$3339)</f>
        <v>-14.910726777023084</v>
      </c>
      <c r="AT3384" s="377">
        <f>PPMT('Assumptions (O&amp;G Upstream)'!$B$339,Model!X$1,'Assumptions (O&amp;G Upstream)'!$B$342,Model!$AS$3339)</f>
        <v>-16.029031285299812</v>
      </c>
      <c r="AU3384" s="377">
        <f>PPMT('Assumptions (O&amp;G Upstream)'!$B$339,Model!Y$1,'Assumptions (O&amp;G Upstream)'!$B$342,Model!$AS$3339)</f>
        <v>-17.231208631697299</v>
      </c>
      <c r="AV3384" s="377">
        <f>PPMT('Assumptions (O&amp;G Upstream)'!$B$339,Model!Z$1,'Assumptions (O&amp;G Upstream)'!$B$342,Model!$AS$3339)</f>
        <v>-18.523549279074597</v>
      </c>
      <c r="AW3384" s="377">
        <f>PPMT('Assumptions (O&amp;G Upstream)'!$B$339,Model!AA$1,'Assumptions (O&amp;G Upstream)'!$B$342,Model!$AS$3339)</f>
        <v>-19.912815475005193</v>
      </c>
      <c r="AX3384" s="377">
        <f>PPMT('Assumptions (O&amp;G Upstream)'!$B$339,Model!AB$1,'Assumptions (O&amp;G Upstream)'!$B$342,Model!$AS$3339)</f>
        <v>-21.406276635630579</v>
      </c>
      <c r="AY3384" s="377">
        <f>PPMT('Assumptions (O&amp;G Upstream)'!$B$339,Model!AC$1,'Assumptions (O&amp;G Upstream)'!$B$342,Model!$AS$3339)</f>
        <v>-23.011747383302875</v>
      </c>
      <c r="AZ3384" s="377">
        <f>PPMT('Assumptions (O&amp;G Upstream)'!$B$339,Model!AD$1,'Assumptions (O&amp;G Upstream)'!$B$342,Model!$AS$3339)</f>
        <v>-24.737628437050592</v>
      </c>
      <c r="BA3384" s="377">
        <f>PPMT('Assumptions (O&amp;G Upstream)'!$B$339,Model!AE$1,'Assumptions (O&amp;G Upstream)'!$B$342,Model!$AS$3339)</f>
        <v>-26.592950569829391</v>
      </c>
      <c r="BB3384" s="377">
        <f>PPMT('Assumptions (O&amp;G Upstream)'!$B$339,Model!AF$1,'Assumptions (O&amp;G Upstream)'!$B$342,Model!$AS$3339)</f>
        <v>-28.58742186256659</v>
      </c>
      <c r="BC3384" s="377" t="e">
        <f>PPMT('Assumptions (O&amp;G Upstream)'!$B$339,Model!AG$1,'Assumptions (O&amp;G Upstream)'!$B$342,Model!$AS$3339)</f>
        <v>#NUM!</v>
      </c>
      <c r="BD3384" s="377" t="e">
        <f>PPMT('Assumptions (O&amp;G Upstream)'!$B$339,Model!AH$1,'Assumptions (O&amp;G Upstream)'!$B$342,Model!$AS$3339)</f>
        <v>#NUM!</v>
      </c>
      <c r="BE3384" s="377" t="e">
        <f>PPMT('Assumptions (O&amp;G Upstream)'!$B$339,Model!AI$1,'Assumptions (O&amp;G Upstream)'!$B$342,Model!$AS$3339)</f>
        <v>#NUM!</v>
      </c>
      <c r="BF3384" s="377" t="e">
        <f>PPMT('Assumptions (O&amp;G Upstream)'!$B$339,Model!AJ$1,'Assumptions (O&amp;G Upstream)'!$B$342,Model!$AS$3339)</f>
        <v>#NUM!</v>
      </c>
      <c r="BG3384" s="377" t="e">
        <f>PPMT('Assumptions (O&amp;G Upstream)'!$B$339,Model!AK$1,'Assumptions (O&amp;G Upstream)'!$B$342,Model!$AS$3339)</f>
        <v>#NUM!</v>
      </c>
      <c r="BH3384" s="377" t="e">
        <f>PPMT('Assumptions (O&amp;G Upstream)'!$B$339,Model!AL$1,'Assumptions (O&amp;G Upstream)'!$B$342,Model!$AS$3339)</f>
        <v>#NUM!</v>
      </c>
      <c r="BI3384" s="377" t="e">
        <f>PPMT('Assumptions (O&amp;G Upstream)'!$B$339,Model!AM$1,'Assumptions (O&amp;G Upstream)'!$B$342,Model!$AS$3339)</f>
        <v>#NUM!</v>
      </c>
      <c r="BJ3384" s="377" t="e">
        <f>PPMT('Assumptions (O&amp;G Upstream)'!$B$339,Model!AN$1,'Assumptions (O&amp;G Upstream)'!$B$342,Model!$AS$3339)</f>
        <v>#NUM!</v>
      </c>
      <c r="BK3384" s="377" t="e">
        <f>PPMT('Assumptions (O&amp;G Upstream)'!$B$339,Model!AO$1,'Assumptions (O&amp;G Upstream)'!$B$342,Model!$AS$3339)</f>
        <v>#NUM!</v>
      </c>
      <c r="BL3384" s="377" t="e">
        <f>PPMT('Assumptions (O&amp;G Upstream)'!$B$339,Model!AP$1,'Assumptions (O&amp;G Upstream)'!$B$342,Model!$AS$3339)</f>
        <v>#NUM!</v>
      </c>
      <c r="BM3384" s="377" t="e">
        <f>PPMT('Assumptions (O&amp;G Upstream)'!$B$339,Model!AQ$1,'Assumptions (O&amp;G Upstream)'!$B$342,Model!$AS$3339)</f>
        <v>#NUM!</v>
      </c>
      <c r="BN3384" s="377" t="e">
        <f>PPMT('Assumptions (O&amp;G Upstream)'!$B$339,Model!AR$1,'Assumptions (O&amp;G Upstream)'!$B$342,Model!$AS$3339)</f>
        <v>#NUM!</v>
      </c>
      <c r="BO3384" s="377" t="e">
        <f>PPMT('Assumptions (O&amp;G Upstream)'!$B$339,Model!AS$1,'Assumptions (O&amp;G Upstream)'!$B$342,Model!$AS$3339)</f>
        <v>#NUM!</v>
      </c>
      <c r="BP3384" s="377" t="e">
        <f>PPMT('Assumptions (O&amp;G Upstream)'!$B$339,Model!AT$1,'Assumptions (O&amp;G Upstream)'!$B$342,Model!$AS$3339)</f>
        <v>#NUM!</v>
      </c>
      <c r="BQ3384" s="377" t="e">
        <f>PPMT('Assumptions (O&amp;G Upstream)'!$B$339,Model!AU$1,'Assumptions (O&amp;G Upstream)'!$B$342,Model!$AS$3339)</f>
        <v>#NUM!</v>
      </c>
    </row>
    <row r="3385" spans="1:77" ht="15.75" hidden="1" customHeight="1" outlineLevel="1">
      <c r="A3385" s="472"/>
      <c r="B3385" s="99"/>
      <c r="C3385" s="377"/>
      <c r="D3385" s="377"/>
      <c r="E3385" s="377"/>
      <c r="F3385" s="377"/>
      <c r="G3385" s="377"/>
      <c r="H3385" s="377"/>
      <c r="I3385" s="377"/>
      <c r="J3385" s="377"/>
      <c r="K3385" s="377"/>
      <c r="L3385" s="377"/>
      <c r="M3385" s="377"/>
      <c r="N3385" s="377"/>
      <c r="O3385" s="377"/>
      <c r="P3385" s="377"/>
      <c r="Q3385" s="377"/>
      <c r="R3385" s="377"/>
      <c r="S3385" s="42"/>
      <c r="T3385" s="42"/>
      <c r="U3385" s="42"/>
      <c r="V3385" s="42"/>
      <c r="W3385" s="86"/>
      <c r="AT3385" s="377">
        <f>PPMT('Assumptions (O&amp;G Upstream)'!$B$339,Model!W$1,'Assumptions (O&amp;G Upstream)'!$B$342,Model!$AT$3339)</f>
        <v>-15.109749672737111</v>
      </c>
      <c r="AU3385" s="377">
        <f>PPMT('Assumptions (O&amp;G Upstream)'!$B$339,Model!X$1,'Assumptions (O&amp;G Upstream)'!$B$342,Model!$AT$3339)</f>
        <v>-16.242980898192393</v>
      </c>
      <c r="AV3385" s="377">
        <f>PPMT('Assumptions (O&amp;G Upstream)'!$B$339,Model!Y$1,'Assumptions (O&amp;G Upstream)'!$B$342,Model!$AT$3339)</f>
        <v>-17.461204465556822</v>
      </c>
      <c r="AW3385" s="377">
        <f>PPMT('Assumptions (O&amp;G Upstream)'!$B$339,Model!Z$1,'Assumptions (O&amp;G Upstream)'!$B$342,Model!$AT$3339)</f>
        <v>-18.770794800473585</v>
      </c>
      <c r="AX3385" s="377">
        <f>PPMT('Assumptions (O&amp;G Upstream)'!$B$339,Model!AA$1,'Assumptions (O&amp;G Upstream)'!$B$342,Model!$AT$3339)</f>
        <v>-20.178604410509102</v>
      </c>
      <c r="AY3385" s="377">
        <f>PPMT('Assumptions (O&amp;G Upstream)'!$B$339,Model!AB$1,'Assumptions (O&amp;G Upstream)'!$B$342,Model!$AT$3339)</f>
        <v>-21.691999741297284</v>
      </c>
      <c r="AZ3385" s="377">
        <f>PPMT('Assumptions (O&amp;G Upstream)'!$B$339,Model!AC$1,'Assumptions (O&amp;G Upstream)'!$B$342,Model!$AT$3339)</f>
        <v>-23.318899721894581</v>
      </c>
      <c r="BA3385" s="377">
        <f>PPMT('Assumptions (O&amp;G Upstream)'!$B$339,Model!AD$1,'Assumptions (O&amp;G Upstream)'!$B$342,Model!$AT$3339)</f>
        <v>-25.067817201036675</v>
      </c>
      <c r="BB3385" s="377">
        <f>PPMT('Assumptions (O&amp;G Upstream)'!$B$339,Model!AE$1,'Assumptions (O&amp;G Upstream)'!$B$342,Model!$AT$3339)</f>
        <v>-26.947903491114431</v>
      </c>
      <c r="BC3385" s="377">
        <f>PPMT('Assumptions (O&amp;G Upstream)'!$B$339,Model!AF$1,'Assumptions (O&amp;G Upstream)'!$B$342,Model!$AT$3339)</f>
        <v>-28.96899625294801</v>
      </c>
      <c r="BD3385" s="377" t="e">
        <f>PPMT('Assumptions (O&amp;G Upstream)'!$B$339,Model!AG$1,'Assumptions (O&amp;G Upstream)'!$B$342,Model!$AT$3339)</f>
        <v>#NUM!</v>
      </c>
      <c r="BE3385" s="377" t="e">
        <f>PPMT('Assumptions (O&amp;G Upstream)'!$B$339,Model!AH$1,'Assumptions (O&amp;G Upstream)'!$B$342,Model!$AT$3339)</f>
        <v>#NUM!</v>
      </c>
      <c r="BF3385" s="377" t="e">
        <f>PPMT('Assumptions (O&amp;G Upstream)'!$B$339,Model!AI$1,'Assumptions (O&amp;G Upstream)'!$B$342,Model!$AT$3339)</f>
        <v>#NUM!</v>
      </c>
      <c r="BG3385" s="377" t="e">
        <f>PPMT('Assumptions (O&amp;G Upstream)'!$B$339,Model!AJ$1,'Assumptions (O&amp;G Upstream)'!$B$342,Model!$AT$3339)</f>
        <v>#NUM!</v>
      </c>
      <c r="BH3385" s="377" t="e">
        <f>PPMT('Assumptions (O&amp;G Upstream)'!$B$339,Model!AK$1,'Assumptions (O&amp;G Upstream)'!$B$342,Model!$AT$3339)</f>
        <v>#NUM!</v>
      </c>
      <c r="BI3385" s="377" t="e">
        <f>PPMT('Assumptions (O&amp;G Upstream)'!$B$339,Model!AL$1,'Assumptions (O&amp;G Upstream)'!$B$342,Model!$AT$3339)</f>
        <v>#NUM!</v>
      </c>
      <c r="BJ3385" s="377" t="e">
        <f>PPMT('Assumptions (O&amp;G Upstream)'!$B$339,Model!AM$1,'Assumptions (O&amp;G Upstream)'!$B$342,Model!$AT$3339)</f>
        <v>#NUM!</v>
      </c>
      <c r="BK3385" s="377" t="e">
        <f>PPMT('Assumptions (O&amp;G Upstream)'!$B$339,Model!AN$1,'Assumptions (O&amp;G Upstream)'!$B$342,Model!$AT$3339)</f>
        <v>#NUM!</v>
      </c>
      <c r="BL3385" s="377" t="e">
        <f>PPMT('Assumptions (O&amp;G Upstream)'!$B$339,Model!AO$1,'Assumptions (O&amp;G Upstream)'!$B$342,Model!$AT$3339)</f>
        <v>#NUM!</v>
      </c>
      <c r="BM3385" s="377" t="e">
        <f>PPMT('Assumptions (O&amp;G Upstream)'!$B$339,Model!AP$1,'Assumptions (O&amp;G Upstream)'!$B$342,Model!$AT$3339)</f>
        <v>#NUM!</v>
      </c>
      <c r="BN3385" s="377" t="e">
        <f>PPMT('Assumptions (O&amp;G Upstream)'!$B$339,Model!AQ$1,'Assumptions (O&amp;G Upstream)'!$B$342,Model!$AT$3339)</f>
        <v>#NUM!</v>
      </c>
      <c r="BO3385" s="377" t="e">
        <f>PPMT('Assumptions (O&amp;G Upstream)'!$B$339,Model!AR$1,'Assumptions (O&amp;G Upstream)'!$B$342,Model!$AT$3339)</f>
        <v>#NUM!</v>
      </c>
      <c r="BP3385" s="377" t="e">
        <f>PPMT('Assumptions (O&amp;G Upstream)'!$B$339,Model!AS$1,'Assumptions (O&amp;G Upstream)'!$B$342,Model!$AT$3339)</f>
        <v>#NUM!</v>
      </c>
      <c r="BQ3385" s="377" t="e">
        <f>PPMT('Assumptions (O&amp;G Upstream)'!$B$339,Model!AT$1,'Assumptions (O&amp;G Upstream)'!$B$342,Model!$AT$3339)</f>
        <v>#NUM!</v>
      </c>
      <c r="BR3385" s="377" t="e">
        <f>PPMT('Assumptions (O&amp;G Upstream)'!$B$339,Model!AU$1,'Assumptions (O&amp;G Upstream)'!$B$342,Model!$AT$3339)</f>
        <v>#NUM!</v>
      </c>
    </row>
    <row r="3386" spans="1:77" ht="15.75" hidden="1" customHeight="1" outlineLevel="1">
      <c r="A3386" s="472"/>
      <c r="B3386" s="99"/>
      <c r="C3386" s="377"/>
      <c r="D3386" s="377"/>
      <c r="E3386" s="377"/>
      <c r="F3386" s="377"/>
      <c r="G3386" s="377"/>
      <c r="H3386" s="377"/>
      <c r="I3386" s="377"/>
      <c r="J3386" s="377"/>
      <c r="K3386" s="377"/>
      <c r="L3386" s="377"/>
      <c r="M3386" s="377"/>
      <c r="N3386" s="377"/>
      <c r="O3386" s="377"/>
      <c r="P3386" s="377"/>
      <c r="Q3386" s="377"/>
      <c r="R3386" s="377"/>
      <c r="S3386" s="42"/>
      <c r="T3386" s="42"/>
      <c r="U3386" s="42"/>
      <c r="V3386" s="42"/>
      <c r="W3386" s="86"/>
      <c r="AU3386" s="377">
        <f>PPMT('Assumptions (O&amp;G Upstream)'!$B$339,Model!W$1,'Assumptions (O&amp;G Upstream)'!$B$342,Model!$AU$3339)</f>
        <v>-15.346397808926129</v>
      </c>
      <c r="AV3386" s="377">
        <f>PPMT('Assumptions (O&amp;G Upstream)'!$B$339,Model!X$1,'Assumptions (O&amp;G Upstream)'!$B$342,Model!$AU$3339)</f>
        <v>-16.497377644595588</v>
      </c>
      <c r="AW3386" s="377">
        <f>PPMT('Assumptions (O&amp;G Upstream)'!$B$339,Model!Y$1,'Assumptions (O&amp;G Upstream)'!$B$342,Model!$AU$3339)</f>
        <v>-17.734680967940257</v>
      </c>
      <c r="AX3386" s="377">
        <f>PPMT('Assumptions (O&amp;G Upstream)'!$B$339,Model!Z$1,'Assumptions (O&amp;G Upstream)'!$B$342,Model!$AU$3339)</f>
        <v>-19.064782040535775</v>
      </c>
      <c r="AY3386" s="377">
        <f>PPMT('Assumptions (O&amp;G Upstream)'!$B$339,Model!AA$1,'Assumptions (O&amp;G Upstream)'!$B$342,Model!$AU$3339)</f>
        <v>-20.49464069357596</v>
      </c>
      <c r="AZ3386" s="377">
        <f>PPMT('Assumptions (O&amp;G Upstream)'!$B$339,Model!AB$1,'Assumptions (O&amp;G Upstream)'!$B$342,Model!$AU$3339)</f>
        <v>-22.031738745594151</v>
      </c>
      <c r="BA3386" s="377">
        <f>PPMT('Assumptions (O&amp;G Upstream)'!$B$339,Model!AC$1,'Assumptions (O&amp;G Upstream)'!$B$342,Model!$AU$3339)</f>
        <v>-23.684119151513716</v>
      </c>
      <c r="BB3386" s="377">
        <f>PPMT('Assumptions (O&amp;G Upstream)'!$B$339,Model!AD$1,'Assumptions (O&amp;G Upstream)'!$B$342,Model!$AU$3339)</f>
        <v>-25.460428087877247</v>
      </c>
      <c r="BC3386" s="377">
        <f>PPMT('Assumptions (O&amp;G Upstream)'!$B$339,Model!AE$1,'Assumptions (O&amp;G Upstream)'!$B$342,Model!$AU$3339)</f>
        <v>-27.369960194468042</v>
      </c>
      <c r="BD3386" s="377">
        <f>PPMT('Assumptions (O&amp;G Upstream)'!$B$339,Model!AF$1,'Assumptions (O&amp;G Upstream)'!$B$342,Model!$AU$3339)</f>
        <v>-29.42270720905314</v>
      </c>
      <c r="BE3386" s="377" t="e">
        <f>PPMT('Assumptions (O&amp;G Upstream)'!$B$339,Model!AG$1,'Assumptions (O&amp;G Upstream)'!$B$342,Model!$AU$3339)</f>
        <v>#NUM!</v>
      </c>
      <c r="BF3386" s="377" t="e">
        <f>PPMT('Assumptions (O&amp;G Upstream)'!$B$339,Model!AH$1,'Assumptions (O&amp;G Upstream)'!$B$342,Model!$AU$3339)</f>
        <v>#NUM!</v>
      </c>
      <c r="BG3386" s="377" t="e">
        <f>PPMT('Assumptions (O&amp;G Upstream)'!$B$339,Model!AI$1,'Assumptions (O&amp;G Upstream)'!$B$342,Model!$AU$3339)</f>
        <v>#NUM!</v>
      </c>
      <c r="BH3386" s="377" t="e">
        <f>PPMT('Assumptions (O&amp;G Upstream)'!$B$339,Model!AJ$1,'Assumptions (O&amp;G Upstream)'!$B$342,Model!$AU$3339)</f>
        <v>#NUM!</v>
      </c>
      <c r="BI3386" s="377" t="e">
        <f>PPMT('Assumptions (O&amp;G Upstream)'!$B$339,Model!AK$1,'Assumptions (O&amp;G Upstream)'!$B$342,Model!$AU$3339)</f>
        <v>#NUM!</v>
      </c>
      <c r="BJ3386" s="377" t="e">
        <f>PPMT('Assumptions (O&amp;G Upstream)'!$B$339,Model!AL$1,'Assumptions (O&amp;G Upstream)'!$B$342,Model!$AU$3339)</f>
        <v>#NUM!</v>
      </c>
      <c r="BK3386" s="377" t="e">
        <f>PPMT('Assumptions (O&amp;G Upstream)'!$B$339,Model!AM$1,'Assumptions (O&amp;G Upstream)'!$B$342,Model!$AU$3339)</f>
        <v>#NUM!</v>
      </c>
      <c r="BL3386" s="377" t="e">
        <f>PPMT('Assumptions (O&amp;G Upstream)'!$B$339,Model!AN$1,'Assumptions (O&amp;G Upstream)'!$B$342,Model!$AU$3339)</f>
        <v>#NUM!</v>
      </c>
      <c r="BM3386" s="377" t="e">
        <f>PPMT('Assumptions (O&amp;G Upstream)'!$B$339,Model!AO$1,'Assumptions (O&amp;G Upstream)'!$B$342,Model!$AU$3339)</f>
        <v>#NUM!</v>
      </c>
      <c r="BN3386" s="377" t="e">
        <f>PPMT('Assumptions (O&amp;G Upstream)'!$B$339,Model!AP$1,'Assumptions (O&amp;G Upstream)'!$B$342,Model!$AU$3339)</f>
        <v>#NUM!</v>
      </c>
      <c r="BO3386" s="377" t="e">
        <f>PPMT('Assumptions (O&amp;G Upstream)'!$B$339,Model!AQ$1,'Assumptions (O&amp;G Upstream)'!$B$342,Model!$AU$3339)</f>
        <v>#NUM!</v>
      </c>
      <c r="BP3386" s="377" t="e">
        <f>PPMT('Assumptions (O&amp;G Upstream)'!$B$339,Model!AR$1,'Assumptions (O&amp;G Upstream)'!$B$342,Model!$AU$3339)</f>
        <v>#NUM!</v>
      </c>
      <c r="BQ3386" s="377" t="e">
        <f>PPMT('Assumptions (O&amp;G Upstream)'!$B$339,Model!AS$1,'Assumptions (O&amp;G Upstream)'!$B$342,Model!$AU$3339)</f>
        <v>#NUM!</v>
      </c>
      <c r="BR3386" s="377" t="e">
        <f>PPMT('Assumptions (O&amp;G Upstream)'!$B$339,Model!AT$1,'Assumptions (O&amp;G Upstream)'!$B$342,Model!$AU$3339)</f>
        <v>#NUM!</v>
      </c>
      <c r="BS3386" s="377" t="e">
        <f>PPMT('Assumptions (O&amp;G Upstream)'!$B$339,Model!AU$1,'Assumptions (O&amp;G Upstream)'!$B$342,Model!$AU$3339)</f>
        <v>#NUM!</v>
      </c>
    </row>
    <row r="3387" spans="1:77" ht="15.75" hidden="1" customHeight="1" outlineLevel="1">
      <c r="A3387" s="472"/>
      <c r="B3387" s="99"/>
      <c r="C3387" s="377"/>
      <c r="D3387" s="377"/>
      <c r="E3387" s="377"/>
      <c r="F3387" s="377"/>
      <c r="G3387" s="377"/>
      <c r="H3387" s="377"/>
      <c r="I3387" s="377"/>
      <c r="J3387" s="377"/>
      <c r="K3387" s="377"/>
      <c r="L3387" s="377"/>
      <c r="M3387" s="377"/>
      <c r="N3387" s="377"/>
      <c r="O3387" s="377"/>
      <c r="P3387" s="377"/>
      <c r="Q3387" s="377"/>
      <c r="R3387" s="377"/>
      <c r="S3387" s="42"/>
      <c r="T3387" s="42"/>
      <c r="U3387" s="42"/>
      <c r="V3387" s="42"/>
      <c r="W3387" s="86"/>
      <c r="AV3387" s="377">
        <f>PPMT('Assumptions (O&amp;G Upstream)'!$B$339,Model!W$1,'Assumptions (O&amp;G Upstream)'!$B$342,Model!$AV$3339)</f>
        <v>-15.552579752985057</v>
      </c>
      <c r="AW3387" s="377">
        <f>PPMT('Assumptions (O&amp;G Upstream)'!$B$339,Model!X$1,'Assumptions (O&amp;G Upstream)'!$B$342,Model!$AV$3339)</f>
        <v>-16.719023234458934</v>
      </c>
      <c r="AX3387" s="377">
        <f>PPMT('Assumptions (O&amp;G Upstream)'!$B$339,Model!Y$1,'Assumptions (O&amp;G Upstream)'!$B$342,Model!$AV$3339)</f>
        <v>-17.972949977043353</v>
      </c>
      <c r="AY3387" s="377">
        <f>PPMT('Assumptions (O&amp;G Upstream)'!$B$339,Model!Z$1,'Assumptions (O&amp;G Upstream)'!$B$342,Model!$AV$3339)</f>
        <v>-19.320921225321605</v>
      </c>
      <c r="AZ3387" s="377">
        <f>PPMT('Assumptions (O&amp;G Upstream)'!$B$339,Model!AA$1,'Assumptions (O&amp;G Upstream)'!$B$342,Model!$AV$3339)</f>
        <v>-20.769990317220728</v>
      </c>
      <c r="BA3387" s="377">
        <f>PPMT('Assumptions (O&amp;G Upstream)'!$B$339,Model!AB$1,'Assumptions (O&amp;G Upstream)'!$B$342,Model!$AV$3339)</f>
        <v>-22.327739591012278</v>
      </c>
      <c r="BB3387" s="377">
        <f>PPMT('Assumptions (O&amp;G Upstream)'!$B$339,Model!AC$1,'Assumptions (O&amp;G Upstream)'!$B$342,Model!$AV$3339)</f>
        <v>-24.002320060338199</v>
      </c>
      <c r="BC3387" s="377">
        <f>PPMT('Assumptions (O&amp;G Upstream)'!$B$339,Model!AD$1,'Assumptions (O&amp;G Upstream)'!$B$342,Model!$AV$3339)</f>
        <v>-25.80249406486357</v>
      </c>
      <c r="BD3387" s="377">
        <f>PPMT('Assumptions (O&amp;G Upstream)'!$B$339,Model!AE$1,'Assumptions (O&amp;G Upstream)'!$B$342,Model!$AV$3339)</f>
        <v>-27.737681119728336</v>
      </c>
      <c r="BE3387" s="377">
        <f>PPMT('Assumptions (O&amp;G Upstream)'!$B$339,Model!AF$1,'Assumptions (O&amp;G Upstream)'!$B$342,Model!$AV$3339)</f>
        <v>-29.81800720370796</v>
      </c>
      <c r="BF3387" s="377" t="e">
        <f>PPMT('Assumptions (O&amp;G Upstream)'!$B$339,Model!AG$1,'Assumptions (O&amp;G Upstream)'!$B$342,Model!$AV$3339)</f>
        <v>#NUM!</v>
      </c>
      <c r="BG3387" s="377" t="e">
        <f>PPMT('Assumptions (O&amp;G Upstream)'!$B$339,Model!AH$1,'Assumptions (O&amp;G Upstream)'!$B$342,Model!$AV$3339)</f>
        <v>#NUM!</v>
      </c>
      <c r="BH3387" s="377" t="e">
        <f>PPMT('Assumptions (O&amp;G Upstream)'!$B$339,Model!AI$1,'Assumptions (O&amp;G Upstream)'!$B$342,Model!$AV$3339)</f>
        <v>#NUM!</v>
      </c>
      <c r="BI3387" s="377" t="e">
        <f>PPMT('Assumptions (O&amp;G Upstream)'!$B$339,Model!AJ$1,'Assumptions (O&amp;G Upstream)'!$B$342,Model!$AV$3339)</f>
        <v>#NUM!</v>
      </c>
      <c r="BJ3387" s="377" t="e">
        <f>PPMT('Assumptions (O&amp;G Upstream)'!$B$339,Model!AK$1,'Assumptions (O&amp;G Upstream)'!$B$342,Model!$AV$3339)</f>
        <v>#NUM!</v>
      </c>
      <c r="BK3387" s="377" t="e">
        <f>PPMT('Assumptions (O&amp;G Upstream)'!$B$339,Model!AL$1,'Assumptions (O&amp;G Upstream)'!$B$342,Model!$AV$3339)</f>
        <v>#NUM!</v>
      </c>
      <c r="BL3387" s="377" t="e">
        <f>PPMT('Assumptions (O&amp;G Upstream)'!$B$339,Model!AM$1,'Assumptions (O&amp;G Upstream)'!$B$342,Model!$AV$3339)</f>
        <v>#NUM!</v>
      </c>
      <c r="BM3387" s="377" t="e">
        <f>PPMT('Assumptions (O&amp;G Upstream)'!$B$339,Model!AN$1,'Assumptions (O&amp;G Upstream)'!$B$342,Model!$AV$3339)</f>
        <v>#NUM!</v>
      </c>
      <c r="BN3387" s="377" t="e">
        <f>PPMT('Assumptions (O&amp;G Upstream)'!$B$339,Model!AO$1,'Assumptions (O&amp;G Upstream)'!$B$342,Model!$AV$3339)</f>
        <v>#NUM!</v>
      </c>
      <c r="BO3387" s="377" t="e">
        <f>PPMT('Assumptions (O&amp;G Upstream)'!$B$339,Model!AP$1,'Assumptions (O&amp;G Upstream)'!$B$342,Model!$AV$3339)</f>
        <v>#NUM!</v>
      </c>
      <c r="BP3387" s="377" t="e">
        <f>PPMT('Assumptions (O&amp;G Upstream)'!$B$339,Model!AQ$1,'Assumptions (O&amp;G Upstream)'!$B$342,Model!$AV$3339)</f>
        <v>#NUM!</v>
      </c>
      <c r="BQ3387" s="377" t="e">
        <f>PPMT('Assumptions (O&amp;G Upstream)'!$B$339,Model!AR$1,'Assumptions (O&amp;G Upstream)'!$B$342,Model!$AV$3339)</f>
        <v>#NUM!</v>
      </c>
      <c r="BR3387" s="377" t="e">
        <f>PPMT('Assumptions (O&amp;G Upstream)'!$B$339,Model!AS$1,'Assumptions (O&amp;G Upstream)'!$B$342,Model!$AV$3339)</f>
        <v>#NUM!</v>
      </c>
      <c r="BS3387" s="377" t="e">
        <f>PPMT('Assumptions (O&amp;G Upstream)'!$B$339,Model!AT$1,'Assumptions (O&amp;G Upstream)'!$B$342,Model!$AV$3339)</f>
        <v>#NUM!</v>
      </c>
      <c r="BT3387" s="377" t="e">
        <f>PPMT('Assumptions (O&amp;G Upstream)'!$B$339,Model!AU$1,'Assumptions (O&amp;G Upstream)'!$B$342,Model!$AV$3339)</f>
        <v>#NUM!</v>
      </c>
    </row>
    <row r="3388" spans="1:77" ht="15.75" hidden="1" customHeight="1" outlineLevel="1">
      <c r="A3388" s="472"/>
      <c r="B3388" s="99"/>
      <c r="C3388" s="377"/>
      <c r="D3388" s="377"/>
      <c r="E3388" s="377"/>
      <c r="F3388" s="377"/>
      <c r="G3388" s="377"/>
      <c r="H3388" s="377"/>
      <c r="I3388" s="377"/>
      <c r="J3388" s="377"/>
      <c r="K3388" s="377"/>
      <c r="L3388" s="377"/>
      <c r="M3388" s="377"/>
      <c r="N3388" s="377"/>
      <c r="O3388" s="377"/>
      <c r="P3388" s="377"/>
      <c r="Q3388" s="377"/>
      <c r="R3388" s="377"/>
      <c r="S3388" s="42"/>
      <c r="T3388" s="42"/>
      <c r="U3388" s="42"/>
      <c r="V3388" s="42"/>
      <c r="W3388" s="86"/>
      <c r="AW3388" s="377">
        <f>PPMT('Assumptions (O&amp;G Upstream)'!$B$339,Model!W$1,'Assumptions (O&amp;G Upstream)'!$B$342,Model!$AW$3339)</f>
        <v>-15.768836399818316</v>
      </c>
      <c r="AX3388" s="377">
        <f>PPMT('Assumptions (O&amp;G Upstream)'!$B$339,Model!X$1,'Assumptions (O&amp;G Upstream)'!$B$342,Model!$AW$3339)</f>
        <v>-16.951499129804688</v>
      </c>
      <c r="AY3388" s="377">
        <f>PPMT('Assumptions (O&amp;G Upstream)'!$B$339,Model!Y$1,'Assumptions (O&amp;G Upstream)'!$B$342,Model!$AW$3339)</f>
        <v>-18.22286156454004</v>
      </c>
      <c r="AZ3388" s="377">
        <f>PPMT('Assumptions (O&amp;G Upstream)'!$B$339,Model!Z$1,'Assumptions (O&amp;G Upstream)'!$B$342,Model!$AW$3339)</f>
        <v>-19.589576181880545</v>
      </c>
      <c r="BA3388" s="377">
        <f>PPMT('Assumptions (O&amp;G Upstream)'!$B$339,Model!AA$1,'Assumptions (O&amp;G Upstream)'!$B$342,Model!$AW$3339)</f>
        <v>-21.058794395521584</v>
      </c>
      <c r="BB3388" s="377">
        <f>PPMT('Assumptions (O&amp;G Upstream)'!$B$339,Model!AB$1,'Assumptions (O&amp;G Upstream)'!$B$342,Model!$AW$3339)</f>
        <v>-22.6382039751857</v>
      </c>
      <c r="BC3388" s="377">
        <f>PPMT('Assumptions (O&amp;G Upstream)'!$B$339,Model!AC$1,'Assumptions (O&amp;G Upstream)'!$B$342,Model!$AW$3339)</f>
        <v>-24.336069273324629</v>
      </c>
      <c r="BD3388" s="377">
        <f>PPMT('Assumptions (O&amp;G Upstream)'!$B$339,Model!AD$1,'Assumptions (O&amp;G Upstream)'!$B$342,Model!$AW$3339)</f>
        <v>-26.161274468823979</v>
      </c>
      <c r="BE3388" s="377">
        <f>PPMT('Assumptions (O&amp;G Upstream)'!$B$339,Model!AE$1,'Assumptions (O&amp;G Upstream)'!$B$342,Model!$AW$3339)</f>
        <v>-28.123370053985777</v>
      </c>
      <c r="BF3388" s="377">
        <f>PPMT('Assumptions (O&amp;G Upstream)'!$B$339,Model!AF$1,'Assumptions (O&amp;G Upstream)'!$B$342,Model!$AW$3339)</f>
        <v>-30.232622808034709</v>
      </c>
      <c r="BG3388" s="377" t="e">
        <f>PPMT('Assumptions (O&amp;G Upstream)'!$B$339,Model!AG$1,'Assumptions (O&amp;G Upstream)'!$B$342,Model!$AW$3339)</f>
        <v>#NUM!</v>
      </c>
      <c r="BH3388" s="377" t="e">
        <f>PPMT('Assumptions (O&amp;G Upstream)'!$B$339,Model!AH$1,'Assumptions (O&amp;G Upstream)'!$B$342,Model!$AW$3339)</f>
        <v>#NUM!</v>
      </c>
      <c r="BI3388" s="377" t="e">
        <f>PPMT('Assumptions (O&amp;G Upstream)'!$B$339,Model!AI$1,'Assumptions (O&amp;G Upstream)'!$B$342,Model!$AW$3339)</f>
        <v>#NUM!</v>
      </c>
      <c r="BJ3388" s="377" t="e">
        <f>PPMT('Assumptions (O&amp;G Upstream)'!$B$339,Model!AJ$1,'Assumptions (O&amp;G Upstream)'!$B$342,Model!$AW$3339)</f>
        <v>#NUM!</v>
      </c>
      <c r="BK3388" s="377" t="e">
        <f>PPMT('Assumptions (O&amp;G Upstream)'!$B$339,Model!AK$1,'Assumptions (O&amp;G Upstream)'!$B$342,Model!$AW$3339)</f>
        <v>#NUM!</v>
      </c>
      <c r="BL3388" s="377" t="e">
        <f>PPMT('Assumptions (O&amp;G Upstream)'!$B$339,Model!AL$1,'Assumptions (O&amp;G Upstream)'!$B$342,Model!$AW$3339)</f>
        <v>#NUM!</v>
      </c>
      <c r="BM3388" s="377" t="e">
        <f>PPMT('Assumptions (O&amp;G Upstream)'!$B$339,Model!AM$1,'Assumptions (O&amp;G Upstream)'!$B$342,Model!$AW$3339)</f>
        <v>#NUM!</v>
      </c>
      <c r="BN3388" s="377" t="e">
        <f>PPMT('Assumptions (O&amp;G Upstream)'!$B$339,Model!AN$1,'Assumptions (O&amp;G Upstream)'!$B$342,Model!$AW$3339)</f>
        <v>#NUM!</v>
      </c>
      <c r="BO3388" s="377" t="e">
        <f>PPMT('Assumptions (O&amp;G Upstream)'!$B$339,Model!AO$1,'Assumptions (O&amp;G Upstream)'!$B$342,Model!$AW$3339)</f>
        <v>#NUM!</v>
      </c>
      <c r="BP3388" s="377" t="e">
        <f>PPMT('Assumptions (O&amp;G Upstream)'!$B$339,Model!AP$1,'Assumptions (O&amp;G Upstream)'!$B$342,Model!$AW$3339)</f>
        <v>#NUM!</v>
      </c>
      <c r="BQ3388" s="377" t="e">
        <f>PPMT('Assumptions (O&amp;G Upstream)'!$B$339,Model!AQ$1,'Assumptions (O&amp;G Upstream)'!$B$342,Model!$AW$3339)</f>
        <v>#NUM!</v>
      </c>
      <c r="BR3388" s="377" t="e">
        <f>PPMT('Assumptions (O&amp;G Upstream)'!$B$339,Model!AR$1,'Assumptions (O&amp;G Upstream)'!$B$342,Model!$AW$3339)</f>
        <v>#NUM!</v>
      </c>
      <c r="BS3388" s="377" t="e">
        <f>PPMT('Assumptions (O&amp;G Upstream)'!$B$339,Model!AS$1,'Assumptions (O&amp;G Upstream)'!$B$342,Model!$AW$3339)</f>
        <v>#NUM!</v>
      </c>
      <c r="BT3388" s="377" t="e">
        <f>PPMT('Assumptions (O&amp;G Upstream)'!$B$339,Model!AT$1,'Assumptions (O&amp;G Upstream)'!$B$342,Model!$AW$3339)</f>
        <v>#NUM!</v>
      </c>
      <c r="BU3388" s="377" t="e">
        <f>PPMT('Assumptions (O&amp;G Upstream)'!$B$339,Model!AU$1,'Assumptions (O&amp;G Upstream)'!$B$342,Model!$AW$3339)</f>
        <v>#NUM!</v>
      </c>
    </row>
    <row r="3389" spans="1:77" ht="15.75" hidden="1" customHeight="1" outlineLevel="1">
      <c r="A3389" s="472"/>
      <c r="B3389" s="99"/>
      <c r="C3389" s="377"/>
      <c r="D3389" s="377"/>
      <c r="E3389" s="377"/>
      <c r="F3389" s="377"/>
      <c r="G3389" s="377"/>
      <c r="H3389" s="377"/>
      <c r="I3389" s="377"/>
      <c r="J3389" s="377"/>
      <c r="K3389" s="377"/>
      <c r="L3389" s="377"/>
      <c r="M3389" s="377"/>
      <c r="N3389" s="377"/>
      <c r="O3389" s="377"/>
      <c r="P3389" s="377"/>
      <c r="Q3389" s="377"/>
      <c r="R3389" s="377"/>
      <c r="S3389" s="42"/>
      <c r="T3389" s="42"/>
      <c r="U3389" s="42"/>
      <c r="V3389" s="42"/>
      <c r="W3389" s="86"/>
      <c r="AW3389" s="377"/>
      <c r="AX3389" s="377">
        <f>PPMT('Assumptions (O&amp;G Upstream)'!$B$339,Model!W$1,'Assumptions (O&amp;G Upstream)'!$B$342,Model!$AX$3339)</f>
        <v>-16.004946558374666</v>
      </c>
      <c r="AY3389" s="377">
        <f>PPMT('Assumptions (O&amp;G Upstream)'!$B$339,Model!X$1,'Assumptions (O&amp;G Upstream)'!$B$342,Model!$AX$3339)</f>
        <v>-17.205317550252765</v>
      </c>
      <c r="AZ3389" s="377">
        <f>PPMT('Assumptions (O&amp;G Upstream)'!$B$339,Model!Y$1,'Assumptions (O&amp;G Upstream)'!$B$342,Model!$AX$3339)</f>
        <v>-18.495716366521719</v>
      </c>
      <c r="BA3389" s="377">
        <f>PPMT('Assumptions (O&amp;G Upstream)'!$B$339,Model!Z$1,'Assumptions (O&amp;G Upstream)'!$B$342,Model!$AX$3339)</f>
        <v>-19.882895094010852</v>
      </c>
      <c r="BB3389" s="377">
        <f>PPMT('Assumptions (O&amp;G Upstream)'!$B$339,Model!AA$1,'Assumptions (O&amp;G Upstream)'!$B$342,Model!$AX$3339)</f>
        <v>-21.374112226061666</v>
      </c>
      <c r="BC3389" s="377">
        <f>PPMT('Assumptions (O&amp;G Upstream)'!$B$339,Model!AB$1,'Assumptions (O&amp;G Upstream)'!$B$342,Model!$AX$3339)</f>
        <v>-22.977170643016287</v>
      </c>
      <c r="BD3389" s="377">
        <f>PPMT('Assumptions (O&amp;G Upstream)'!$B$339,Model!AC$1,'Assumptions (O&amp;G Upstream)'!$B$342,Model!$AX$3339)</f>
        <v>-24.700458441242514</v>
      </c>
      <c r="BE3389" s="377">
        <f>PPMT('Assumptions (O&amp;G Upstream)'!$B$339,Model!AD$1,'Assumptions (O&amp;G Upstream)'!$B$342,Model!$AX$3339)</f>
        <v>-26.5529928243357</v>
      </c>
      <c r="BF3389" s="377">
        <f>PPMT('Assumptions (O&amp;G Upstream)'!$B$339,Model!AE$1,'Assumptions (O&amp;G Upstream)'!$B$342,Model!$AX$3339)</f>
        <v>-28.544467286160881</v>
      </c>
      <c r="BG3389" s="377">
        <f>PPMT('Assumptions (O&amp;G Upstream)'!$B$339,Model!AF$1,'Assumptions (O&amp;G Upstream)'!$B$342,Model!$AX$3339)</f>
        <v>-30.685302332622943</v>
      </c>
      <c r="BH3389" s="377" t="e">
        <f>PPMT('Assumptions (O&amp;G Upstream)'!$B$339,Model!AG$1,'Assumptions (O&amp;G Upstream)'!$B$342,Model!$AX$3339)</f>
        <v>#NUM!</v>
      </c>
      <c r="BI3389" s="377" t="e">
        <f>PPMT('Assumptions (O&amp;G Upstream)'!$B$339,Model!AH$1,'Assumptions (O&amp;G Upstream)'!$B$342,Model!$AX$3339)</f>
        <v>#NUM!</v>
      </c>
      <c r="BJ3389" s="377" t="e">
        <f>PPMT('Assumptions (O&amp;G Upstream)'!$B$339,Model!AI$1,'Assumptions (O&amp;G Upstream)'!$B$342,Model!$AX$3339)</f>
        <v>#NUM!</v>
      </c>
      <c r="BK3389" s="377" t="e">
        <f>PPMT('Assumptions (O&amp;G Upstream)'!$B$339,Model!AJ$1,'Assumptions (O&amp;G Upstream)'!$B$342,Model!$AX$3339)</f>
        <v>#NUM!</v>
      </c>
      <c r="BL3389" s="377" t="e">
        <f>PPMT('Assumptions (O&amp;G Upstream)'!$B$339,Model!AK$1,'Assumptions (O&amp;G Upstream)'!$B$342,Model!$AX$3339)</f>
        <v>#NUM!</v>
      </c>
      <c r="BM3389" s="377" t="e">
        <f>PPMT('Assumptions (O&amp;G Upstream)'!$B$339,Model!AL$1,'Assumptions (O&amp;G Upstream)'!$B$342,Model!$AX$3339)</f>
        <v>#NUM!</v>
      </c>
      <c r="BN3389" s="377" t="e">
        <f>PPMT('Assumptions (O&amp;G Upstream)'!$B$339,Model!AM$1,'Assumptions (O&amp;G Upstream)'!$B$342,Model!$AX$3339)</f>
        <v>#NUM!</v>
      </c>
      <c r="BO3389" s="377" t="e">
        <f>PPMT('Assumptions (O&amp;G Upstream)'!$B$339,Model!AN$1,'Assumptions (O&amp;G Upstream)'!$B$342,Model!$AX$3339)</f>
        <v>#NUM!</v>
      </c>
      <c r="BP3389" s="377" t="e">
        <f>PPMT('Assumptions (O&amp;G Upstream)'!$B$339,Model!AO$1,'Assumptions (O&amp;G Upstream)'!$B$342,Model!$AX$3339)</f>
        <v>#NUM!</v>
      </c>
      <c r="BQ3389" s="377" t="e">
        <f>PPMT('Assumptions (O&amp;G Upstream)'!$B$339,Model!AP$1,'Assumptions (O&amp;G Upstream)'!$B$342,Model!$AX$3339)</f>
        <v>#NUM!</v>
      </c>
      <c r="BR3389" s="377" t="e">
        <f>PPMT('Assumptions (O&amp;G Upstream)'!$B$339,Model!AQ$1,'Assumptions (O&amp;G Upstream)'!$B$342,Model!$AX$3339)</f>
        <v>#NUM!</v>
      </c>
      <c r="BS3389" s="377" t="e">
        <f>PPMT('Assumptions (O&amp;G Upstream)'!$B$339,Model!AR$1,'Assumptions (O&amp;G Upstream)'!$B$342,Model!$AX$3339)</f>
        <v>#NUM!</v>
      </c>
      <c r="BT3389" s="377" t="e">
        <f>PPMT('Assumptions (O&amp;G Upstream)'!$B$339,Model!AS$1,'Assumptions (O&amp;G Upstream)'!$B$342,Model!$AX$3339)</f>
        <v>#NUM!</v>
      </c>
      <c r="BU3389" s="377" t="e">
        <f>PPMT('Assumptions (O&amp;G Upstream)'!$B$339,Model!AT$1,'Assumptions (O&amp;G Upstream)'!$B$342,Model!$AX$3339)</f>
        <v>#NUM!</v>
      </c>
      <c r="BV3389" s="377" t="e">
        <f>PPMT('Assumptions (O&amp;G Upstream)'!$B$339,Model!AU$1,'Assumptions (O&amp;G Upstream)'!$B$342,Model!$AX$3339)</f>
        <v>#NUM!</v>
      </c>
    </row>
    <row r="3390" spans="1:77" ht="15.75" hidden="1" customHeight="1" outlineLevel="1">
      <c r="A3390" s="472"/>
      <c r="B3390" s="99"/>
      <c r="C3390" s="377"/>
      <c r="D3390" s="377"/>
      <c r="E3390" s="377"/>
      <c r="F3390" s="377"/>
      <c r="G3390" s="377"/>
      <c r="H3390" s="377"/>
      <c r="I3390" s="377"/>
      <c r="J3390" s="377"/>
      <c r="K3390" s="377"/>
      <c r="L3390" s="377"/>
      <c r="M3390" s="377"/>
      <c r="N3390" s="377"/>
      <c r="O3390" s="377"/>
      <c r="P3390" s="377"/>
      <c r="Q3390" s="377"/>
      <c r="R3390" s="377"/>
      <c r="S3390" s="42"/>
      <c r="T3390" s="42"/>
      <c r="U3390" s="42"/>
      <c r="V3390" s="42"/>
      <c r="W3390" s="86"/>
      <c r="AW3390" s="377"/>
      <c r="AX3390" s="377"/>
      <c r="AY3390" s="377">
        <f>PPMT('Assumptions (O&amp;G Upstream)'!$B$339,Model!W$1,'Assumptions (O&amp;G Upstream)'!$B$342,Model!$AY$3339)</f>
        <v>-16.252688642558955</v>
      </c>
      <c r="AZ3390" s="377">
        <f>PPMT('Assumptions (O&amp;G Upstream)'!$B$339,Model!X$1,'Assumptions (O&amp;G Upstream)'!$B$342,Model!$AY$3339)</f>
        <v>-17.471640290750877</v>
      </c>
      <c r="BA3390" s="377">
        <f>PPMT('Assumptions (O&amp;G Upstream)'!$B$339,Model!Y$1,'Assumptions (O&amp;G Upstream)'!$B$342,Model!$AY$3339)</f>
        <v>-18.78201331255719</v>
      </c>
      <c r="BB3390" s="377">
        <f>PPMT('Assumptions (O&amp;G Upstream)'!$B$339,Model!Z$1,'Assumptions (O&amp;G Upstream)'!$B$342,Model!$AY$3339)</f>
        <v>-20.190664310998979</v>
      </c>
      <c r="BC3390" s="377">
        <f>PPMT('Assumptions (O&amp;G Upstream)'!$B$339,Model!AA$1,'Assumptions (O&amp;G Upstream)'!$B$342,Model!$AY$3339)</f>
        <v>-21.704964134323905</v>
      </c>
      <c r="BD3390" s="377">
        <f>PPMT('Assumptions (O&amp;G Upstream)'!$B$339,Model!AB$1,'Assumptions (O&amp;G Upstream)'!$B$342,Model!$AY$3339)</f>
        <v>-23.332836444398197</v>
      </c>
      <c r="BE3390" s="377">
        <f>PPMT('Assumptions (O&amp;G Upstream)'!$B$339,Model!AC$1,'Assumptions (O&amp;G Upstream)'!$B$342,Model!$AY$3339)</f>
        <v>-25.082799177728059</v>
      </c>
      <c r="BF3390" s="377">
        <f>PPMT('Assumptions (O&amp;G Upstream)'!$B$339,Model!AD$1,'Assumptions (O&amp;G Upstream)'!$B$342,Model!$AY$3339)</f>
        <v>-26.964009116057667</v>
      </c>
      <c r="BG3390" s="377">
        <f>PPMT('Assumptions (O&amp;G Upstream)'!$B$339,Model!AE$1,'Assumptions (O&amp;G Upstream)'!$B$342,Model!$AY$3339)</f>
        <v>-28.986309799761994</v>
      </c>
      <c r="BH3390" s="377">
        <f>PPMT('Assumptions (O&amp;G Upstream)'!$B$339,Model!AF$1,'Assumptions (O&amp;G Upstream)'!$B$342,Model!$AY$3339)</f>
        <v>-31.16028303474414</v>
      </c>
      <c r="BI3390" s="377" t="e">
        <f>PPMT('Assumptions (O&amp;G Upstream)'!$B$339,Model!AG$1,'Assumptions (O&amp;G Upstream)'!$B$342,Model!$AY$3339)</f>
        <v>#NUM!</v>
      </c>
      <c r="BJ3390" s="377" t="e">
        <f>PPMT('Assumptions (O&amp;G Upstream)'!$B$339,Model!AH$1,'Assumptions (O&amp;G Upstream)'!$B$342,Model!$AY$3339)</f>
        <v>#NUM!</v>
      </c>
      <c r="BK3390" s="377" t="e">
        <f>PPMT('Assumptions (O&amp;G Upstream)'!$B$339,Model!AI$1,'Assumptions (O&amp;G Upstream)'!$B$342,Model!$AY$3339)</f>
        <v>#NUM!</v>
      </c>
      <c r="BL3390" s="377" t="e">
        <f>PPMT('Assumptions (O&amp;G Upstream)'!$B$339,Model!AJ$1,'Assumptions (O&amp;G Upstream)'!$B$342,Model!$AY$3339)</f>
        <v>#NUM!</v>
      </c>
      <c r="BM3390" s="377" t="e">
        <f>PPMT('Assumptions (O&amp;G Upstream)'!$B$339,Model!AK$1,'Assumptions (O&amp;G Upstream)'!$B$342,Model!$AY$3339)</f>
        <v>#NUM!</v>
      </c>
      <c r="BN3390" s="377" t="e">
        <f>PPMT('Assumptions (O&amp;G Upstream)'!$B$339,Model!AL$1,'Assumptions (O&amp;G Upstream)'!$B$342,Model!$AY$3339)</f>
        <v>#NUM!</v>
      </c>
      <c r="BO3390" s="377" t="e">
        <f>PPMT('Assumptions (O&amp;G Upstream)'!$B$339,Model!AM$1,'Assumptions (O&amp;G Upstream)'!$B$342,Model!$AY$3339)</f>
        <v>#NUM!</v>
      </c>
      <c r="BP3390" s="377" t="e">
        <f>PPMT('Assumptions (O&amp;G Upstream)'!$B$339,Model!AN$1,'Assumptions (O&amp;G Upstream)'!$B$342,Model!$AY$3339)</f>
        <v>#NUM!</v>
      </c>
      <c r="BQ3390" s="377" t="e">
        <f>PPMT('Assumptions (O&amp;G Upstream)'!$B$339,Model!AO$1,'Assumptions (O&amp;G Upstream)'!$B$342,Model!$AY$3339)</f>
        <v>#NUM!</v>
      </c>
      <c r="BR3390" s="377" t="e">
        <f>PPMT('Assumptions (O&amp;G Upstream)'!$B$339,Model!AP$1,'Assumptions (O&amp;G Upstream)'!$B$342,Model!$AY$3339)</f>
        <v>#NUM!</v>
      </c>
      <c r="BS3390" s="377" t="e">
        <f>PPMT('Assumptions (O&amp;G Upstream)'!$B$339,Model!AQ$1,'Assumptions (O&amp;G Upstream)'!$B$342,Model!$AY$3339)</f>
        <v>#NUM!</v>
      </c>
      <c r="BT3390" s="377" t="e">
        <f>PPMT('Assumptions (O&amp;G Upstream)'!$B$339,Model!AR$1,'Assumptions (O&amp;G Upstream)'!$B$342,Model!$AY$3339)</f>
        <v>#NUM!</v>
      </c>
      <c r="BU3390" s="377" t="e">
        <f>PPMT('Assumptions (O&amp;G Upstream)'!$B$339,Model!AS$1,'Assumptions (O&amp;G Upstream)'!$B$342,Model!$AY$3339)</f>
        <v>#NUM!</v>
      </c>
      <c r="BV3390" s="377" t="e">
        <f>PPMT('Assumptions (O&amp;G Upstream)'!$B$339,Model!AT$1,'Assumptions (O&amp;G Upstream)'!$B$342,Model!$AY$3339)</f>
        <v>#NUM!</v>
      </c>
      <c r="BW3390" s="377" t="e">
        <f>PPMT('Assumptions (O&amp;G Upstream)'!$B$339,Model!AU$1,'Assumptions (O&amp;G Upstream)'!$B$342,Model!$AY$3339)</f>
        <v>#NUM!</v>
      </c>
    </row>
    <row r="3391" spans="1:77" ht="15.75" hidden="1" customHeight="1" outlineLevel="1">
      <c r="A3391" s="472"/>
      <c r="B3391" s="99"/>
      <c r="C3391" s="377"/>
      <c r="D3391" s="377"/>
      <c r="E3391" s="377"/>
      <c r="F3391" s="377"/>
      <c r="G3391" s="377"/>
      <c r="H3391" s="377"/>
      <c r="I3391" s="377"/>
      <c r="J3391" s="377"/>
      <c r="K3391" s="377"/>
      <c r="L3391" s="377"/>
      <c r="M3391" s="377"/>
      <c r="N3391" s="377"/>
      <c r="O3391" s="377"/>
      <c r="P3391" s="377"/>
      <c r="Q3391" s="377"/>
      <c r="R3391" s="377"/>
      <c r="S3391" s="42"/>
      <c r="T3391" s="42"/>
      <c r="U3391" s="42"/>
      <c r="V3391" s="42"/>
      <c r="W3391" s="86"/>
      <c r="AW3391" s="377"/>
      <c r="AX3391" s="377"/>
      <c r="AY3391" s="377"/>
      <c r="AZ3391" s="377">
        <f>PPMT('Assumptions (O&amp;G Upstream)'!$B$339,Model!W$1,'Assumptions (O&amp;G Upstream)'!$B$342,Model!$AZ$3339)</f>
        <v>-16.438474618220063</v>
      </c>
      <c r="BA3391" s="377">
        <f>PPMT('Assumptions (O&amp;G Upstream)'!$B$339,Model!X$1,'Assumptions (O&amp;G Upstream)'!$B$342,Model!$AZ$3339)</f>
        <v>-17.671360214586567</v>
      </c>
      <c r="BB3391" s="377">
        <f>PPMT('Assumptions (O&amp;G Upstream)'!$B$339,Model!Y$1,'Assumptions (O&amp;G Upstream)'!$B$342,Model!$AZ$3339)</f>
        <v>-18.996712230680558</v>
      </c>
      <c r="BC3391" s="377">
        <f>PPMT('Assumptions (O&amp;G Upstream)'!$B$339,Model!Z$1,'Assumptions (O&amp;G Upstream)'!$B$342,Model!$AZ$3339)</f>
        <v>-20.421465647981602</v>
      </c>
      <c r="BD3391" s="377">
        <f>PPMT('Assumptions (O&amp;G Upstream)'!$B$339,Model!AA$1,'Assumptions (O&amp;G Upstream)'!$B$342,Model!$AZ$3339)</f>
        <v>-21.953075571580225</v>
      </c>
      <c r="BE3391" s="377">
        <f>PPMT('Assumptions (O&amp;G Upstream)'!$B$339,Model!AB$1,'Assumptions (O&amp;G Upstream)'!$B$342,Model!$AZ$3339)</f>
        <v>-23.599556239448734</v>
      </c>
      <c r="BF3391" s="377">
        <f>PPMT('Assumptions (O&amp;G Upstream)'!$B$339,Model!AC$1,'Assumptions (O&amp;G Upstream)'!$B$342,Model!$AZ$3339)</f>
        <v>-25.369522957407391</v>
      </c>
      <c r="BG3391" s="377">
        <f>PPMT('Assumptions (O&amp;G Upstream)'!$B$339,Model!AD$1,'Assumptions (O&amp;G Upstream)'!$B$342,Model!$AZ$3339)</f>
        <v>-27.272237179212947</v>
      </c>
      <c r="BH3391" s="377">
        <f>PPMT('Assumptions (O&amp;G Upstream)'!$B$339,Model!AE$1,'Assumptions (O&amp;G Upstream)'!$B$342,Model!$AZ$3339)</f>
        <v>-29.317654967653922</v>
      </c>
      <c r="BI3391" s="377">
        <f>PPMT('Assumptions (O&amp;G Upstream)'!$B$339,Model!AF$1,'Assumptions (O&amp;G Upstream)'!$B$342,Model!$AZ$3339)</f>
        <v>-31.516479090227961</v>
      </c>
      <c r="BJ3391" s="377" t="e">
        <f>PPMT('Assumptions (O&amp;G Upstream)'!$B$339,Model!AG$1,'Assumptions (O&amp;G Upstream)'!$B$342,Model!$AZ$3339)</f>
        <v>#NUM!</v>
      </c>
      <c r="BK3391" s="377" t="e">
        <f>PPMT('Assumptions (O&amp;G Upstream)'!$B$339,Model!AH$1,'Assumptions (O&amp;G Upstream)'!$B$342,Model!$AZ$3339)</f>
        <v>#NUM!</v>
      </c>
      <c r="BL3391" s="377" t="e">
        <f>PPMT('Assumptions (O&amp;G Upstream)'!$B$339,Model!AI$1,'Assumptions (O&amp;G Upstream)'!$B$342,Model!$AZ$3339)</f>
        <v>#NUM!</v>
      </c>
      <c r="BM3391" s="377" t="e">
        <f>PPMT('Assumptions (O&amp;G Upstream)'!$B$339,Model!AJ$1,'Assumptions (O&amp;G Upstream)'!$B$342,Model!$AZ$3339)</f>
        <v>#NUM!</v>
      </c>
      <c r="BN3391" s="377" t="e">
        <f>PPMT('Assumptions (O&amp;G Upstream)'!$B$339,Model!AK$1,'Assumptions (O&amp;G Upstream)'!$B$342,Model!$AZ$3339)</f>
        <v>#NUM!</v>
      </c>
      <c r="BO3391" s="377" t="e">
        <f>PPMT('Assumptions (O&amp;G Upstream)'!$B$339,Model!AL$1,'Assumptions (O&amp;G Upstream)'!$B$342,Model!$AZ$3339)</f>
        <v>#NUM!</v>
      </c>
      <c r="BP3391" s="377" t="e">
        <f>PPMT('Assumptions (O&amp;G Upstream)'!$B$339,Model!AM$1,'Assumptions (O&amp;G Upstream)'!$B$342,Model!$AZ$3339)</f>
        <v>#NUM!</v>
      </c>
      <c r="BQ3391" s="377" t="e">
        <f>PPMT('Assumptions (O&amp;G Upstream)'!$B$339,Model!AN$1,'Assumptions (O&amp;G Upstream)'!$B$342,Model!$AZ$3339)</f>
        <v>#NUM!</v>
      </c>
      <c r="BR3391" s="377" t="e">
        <f>PPMT('Assumptions (O&amp;G Upstream)'!$B$339,Model!AO$1,'Assumptions (O&amp;G Upstream)'!$B$342,Model!$AZ$3339)</f>
        <v>#NUM!</v>
      </c>
      <c r="BS3391" s="377" t="e">
        <f>PPMT('Assumptions (O&amp;G Upstream)'!$B$339,Model!AP$1,'Assumptions (O&amp;G Upstream)'!$B$342,Model!$AZ$3339)</f>
        <v>#NUM!</v>
      </c>
      <c r="BT3391" s="377" t="e">
        <f>PPMT('Assumptions (O&amp;G Upstream)'!$B$339,Model!AQ$1,'Assumptions (O&amp;G Upstream)'!$B$342,Model!$AZ$3339)</f>
        <v>#NUM!</v>
      </c>
      <c r="BU3391" s="377" t="e">
        <f>PPMT('Assumptions (O&amp;G Upstream)'!$B$339,Model!AR$1,'Assumptions (O&amp;G Upstream)'!$B$342,Model!$AZ$3339)</f>
        <v>#NUM!</v>
      </c>
      <c r="BV3391" s="377" t="e">
        <f>PPMT('Assumptions (O&amp;G Upstream)'!$B$339,Model!AS$1,'Assumptions (O&amp;G Upstream)'!$B$342,Model!$AZ$3339)</f>
        <v>#NUM!</v>
      </c>
      <c r="BW3391" s="377" t="e">
        <f>PPMT('Assumptions (O&amp;G Upstream)'!$B$339,Model!AT$1,'Assumptions (O&amp;G Upstream)'!$B$342,Model!$AZ$3339)</f>
        <v>#NUM!</v>
      </c>
      <c r="BX3391" s="377" t="e">
        <f>PPMT('Assumptions (O&amp;G Upstream)'!$B$339,Model!AU$1,'Assumptions (O&amp;G Upstream)'!$B$342,Model!$AZ$3339)</f>
        <v>#NUM!</v>
      </c>
    </row>
    <row r="3392" spans="1:77" ht="15.75" hidden="1" customHeight="1" outlineLevel="1">
      <c r="A3392" s="472"/>
      <c r="B3392" s="99"/>
      <c r="C3392" s="377"/>
      <c r="D3392" s="377"/>
      <c r="E3392" s="377"/>
      <c r="F3392" s="377"/>
      <c r="G3392" s="377"/>
      <c r="H3392" s="377"/>
      <c r="I3392" s="377"/>
      <c r="J3392" s="377"/>
      <c r="K3392" s="377"/>
      <c r="L3392" s="377"/>
      <c r="M3392" s="377"/>
      <c r="N3392" s="377"/>
      <c r="O3392" s="377"/>
      <c r="P3392" s="377"/>
      <c r="Q3392" s="377"/>
      <c r="R3392" s="377"/>
      <c r="S3392" s="42"/>
      <c r="T3392" s="42"/>
      <c r="U3392" s="42"/>
      <c r="V3392" s="42"/>
      <c r="W3392" s="86"/>
      <c r="BA3392" s="377">
        <f>PPMT('Assumptions (O&amp;G Upstream)'!$B$339,Model!W$1,'Assumptions (O&amp;G Upstream)'!$B$342,Model!$BA$3339)</f>
        <v>-16.667597385643695</v>
      </c>
      <c r="BB3392" s="377">
        <f>PPMT('Assumptions (O&amp;G Upstream)'!$B$339,Model!X$1,'Assumptions (O&amp;G Upstream)'!$B$342,Model!$BA$3339)</f>
        <v>-17.917667189566973</v>
      </c>
      <c r="BC3392" s="377">
        <f>PPMT('Assumptions (O&amp;G Upstream)'!$B$339,Model!Y$1,'Assumptions (O&amp;G Upstream)'!$B$342,Model!$BA$3339)</f>
        <v>-19.261492228784494</v>
      </c>
      <c r="BD3392" s="377">
        <f>PPMT('Assumptions (O&amp;G Upstream)'!$B$339,Model!Z$1,'Assumptions (O&amp;G Upstream)'!$B$342,Model!$BA$3339)</f>
        <v>-20.706104145943335</v>
      </c>
      <c r="BE3392" s="377">
        <f>PPMT('Assumptions (O&amp;G Upstream)'!$B$339,Model!AA$1,'Assumptions (O&amp;G Upstream)'!$B$342,Model!$BA$3339)</f>
        <v>-22.259061956889084</v>
      </c>
      <c r="BF3392" s="377">
        <f>PPMT('Assumptions (O&amp;G Upstream)'!$B$339,Model!AB$1,'Assumptions (O&amp;G Upstream)'!$B$342,Model!$BA$3339)</f>
        <v>-23.928491603655765</v>
      </c>
      <c r="BG3392" s="377">
        <f>PPMT('Assumptions (O&amp;G Upstream)'!$B$339,Model!AC$1,'Assumptions (O&amp;G Upstream)'!$B$342,Model!$BA$3339)</f>
        <v>-25.72312847392995</v>
      </c>
      <c r="BH3392" s="377">
        <f>PPMT('Assumptions (O&amp;G Upstream)'!$B$339,Model!AD$1,'Assumptions (O&amp;G Upstream)'!$B$342,Model!$BA$3339)</f>
        <v>-27.652363109474695</v>
      </c>
      <c r="BI3392" s="377">
        <f>PPMT('Assumptions (O&amp;G Upstream)'!$B$339,Model!AE$1,'Assumptions (O&amp;G Upstream)'!$B$342,Model!$BA$3339)</f>
        <v>-29.726290342685296</v>
      </c>
      <c r="BJ3392" s="377">
        <f>PPMT('Assumptions (O&amp;G Upstream)'!$B$339,Model!AF$1,'Assumptions (O&amp;G Upstream)'!$B$342,Model!$BA$3339)</f>
        <v>-31.955762118386694</v>
      </c>
      <c r="BK3392" s="377" t="e">
        <f>PPMT('Assumptions (O&amp;G Upstream)'!$B$339,Model!AG$1,'Assumptions (O&amp;G Upstream)'!$B$342,Model!$BA$3339)</f>
        <v>#NUM!</v>
      </c>
      <c r="BL3392" s="377" t="e">
        <f>PPMT('Assumptions (O&amp;G Upstream)'!$B$339,Model!AH$1,'Assumptions (O&amp;G Upstream)'!$B$342,Model!$BA$3339)</f>
        <v>#NUM!</v>
      </c>
      <c r="BM3392" s="377" t="e">
        <f>PPMT('Assumptions (O&amp;G Upstream)'!$B$339,Model!AI$1,'Assumptions (O&amp;G Upstream)'!$B$342,Model!$BA$3339)</f>
        <v>#NUM!</v>
      </c>
      <c r="BN3392" s="377" t="e">
        <f>PPMT('Assumptions (O&amp;G Upstream)'!$B$339,Model!AJ$1,'Assumptions (O&amp;G Upstream)'!$B$342,Model!$BA$3339)</f>
        <v>#NUM!</v>
      </c>
      <c r="BO3392" s="377" t="e">
        <f>PPMT('Assumptions (O&amp;G Upstream)'!$B$339,Model!AK$1,'Assumptions (O&amp;G Upstream)'!$B$342,Model!$BA$3339)</f>
        <v>#NUM!</v>
      </c>
      <c r="BP3392" s="377" t="e">
        <f>PPMT('Assumptions (O&amp;G Upstream)'!$B$339,Model!AL$1,'Assumptions (O&amp;G Upstream)'!$B$342,Model!$BA$3339)</f>
        <v>#NUM!</v>
      </c>
      <c r="BQ3392" s="377" t="e">
        <f>PPMT('Assumptions (O&amp;G Upstream)'!$B$339,Model!AM$1,'Assumptions (O&amp;G Upstream)'!$B$342,Model!$BA$3339)</f>
        <v>#NUM!</v>
      </c>
      <c r="BR3392" s="377" t="e">
        <f>PPMT('Assumptions (O&amp;G Upstream)'!$B$339,Model!AN$1,'Assumptions (O&amp;G Upstream)'!$B$342,Model!$BA$3339)</f>
        <v>#NUM!</v>
      </c>
      <c r="BS3392" s="377" t="e">
        <f>PPMT('Assumptions (O&amp;G Upstream)'!$B$339,Model!AO$1,'Assumptions (O&amp;G Upstream)'!$B$342,Model!$BA$3339)</f>
        <v>#NUM!</v>
      </c>
      <c r="BT3392" s="377" t="e">
        <f>PPMT('Assumptions (O&amp;G Upstream)'!$B$339,Model!AP$1,'Assumptions (O&amp;G Upstream)'!$B$342,Model!$BA$3339)</f>
        <v>#NUM!</v>
      </c>
      <c r="BU3392" s="377" t="e">
        <f>PPMT('Assumptions (O&amp;G Upstream)'!$B$339,Model!AQ$1,'Assumptions (O&amp;G Upstream)'!$B$342,Model!$BA$3339)</f>
        <v>#NUM!</v>
      </c>
      <c r="BV3392" s="377" t="e">
        <f>PPMT('Assumptions (O&amp;G Upstream)'!$B$339,Model!AR$1,'Assumptions (O&amp;G Upstream)'!$B$342,Model!$BA$3339)</f>
        <v>#NUM!</v>
      </c>
      <c r="BW3392" s="377" t="e">
        <f>PPMT('Assumptions (O&amp;G Upstream)'!$B$339,Model!AS$1,'Assumptions (O&amp;G Upstream)'!$B$342,Model!$BA$3339)</f>
        <v>#NUM!</v>
      </c>
      <c r="BX3392" s="377" t="e">
        <f>PPMT('Assumptions (O&amp;G Upstream)'!$B$339,Model!AT$1,'Assumptions (O&amp;G Upstream)'!$B$342,Model!$BA$3339)</f>
        <v>#NUM!</v>
      </c>
      <c r="BY3392" s="377" t="e">
        <f>PPMT('Assumptions (O&amp;G Upstream)'!$B$339,Model!AU$1,'Assumptions (O&amp;G Upstream)'!$B$342,Model!$BA$3339)</f>
        <v>#NUM!</v>
      </c>
    </row>
    <row r="3393" spans="1:77" ht="15.75" customHeight="1" collapsed="1">
      <c r="A3393" s="472" t="s">
        <v>709</v>
      </c>
      <c r="B3393" s="99" t="s">
        <v>201</v>
      </c>
      <c r="C3393" s="91">
        <f t="array" ref="C3393">SUM(IF(ISERROR(C3394:C3444),"",C3394:C3444))</f>
        <v>-1.3995</v>
      </c>
      <c r="D3393" s="91">
        <f t="array" ref="D3393">SUM(IF(ISERROR(D3394:D3444),"",D3394:D3444))</f>
        <v>-3.1770750445671414</v>
      </c>
      <c r="E3393" s="91">
        <f t="array" ref="E3393">SUM(IF(ISERROR(E3394:E3444),"",E3394:E3444))</f>
        <v>-4.4590885746617008</v>
      </c>
      <c r="F3393" s="91">
        <f t="array" ref="F3393">SUM(IF(ISERROR(F3394:F3444),"",F3394:F3444))</f>
        <v>-6.1061648238982196</v>
      </c>
      <c r="G3393" s="91">
        <f t="array" ref="G3393">SUM(IF(ISERROR(G3394:G3444),"",G3394:G3444))</f>
        <v>-7.8987245488098319</v>
      </c>
      <c r="H3393" s="91">
        <f t="array" ref="H3393">SUM(IF(ISERROR(H3394:H3444),"",H3394:H3444))</f>
        <v>-10.386787942932942</v>
      </c>
      <c r="I3393" s="91">
        <f t="array" ref="I3393">SUM(IF(ISERROR(I3394:I3444),"",I3394:I3444))</f>
        <v>-13.810900446774903</v>
      </c>
      <c r="J3393" s="91">
        <f t="array" ref="J3393">SUM(IF(ISERROR(J3394:J3444),"",J3394:J3444))</f>
        <v>-17.262601755068467</v>
      </c>
      <c r="K3393" s="91">
        <f t="array" ref="K3393">SUM(IF(ISERROR(K3394:K3444),"",K3394:K3444))</f>
        <v>-21.03849146751968</v>
      </c>
      <c r="L3393" s="91">
        <f t="array" ref="L3393">SUM(IF(ISERROR(L3394:L3444),"",L3394:L3444))</f>
        <v>-22.561622806612544</v>
      </c>
      <c r="M3393" s="91">
        <f t="array" ref="M3393">SUM(IF(ISERROR(M3394:M3444),"",M3394:M3444))</f>
        <v>-24.342817416917264</v>
      </c>
      <c r="N3393" s="91">
        <f t="array" ref="N3393">SUM(IF(ISERROR(N3394:N3444),"",N3394:N3444))</f>
        <v>-27.005079218134206</v>
      </c>
      <c r="O3393" s="91">
        <f t="array" ref="O3393">SUM(IF(ISERROR(O3394:O3444),"",O3394:O3444))</f>
        <v>-30.749316448467894</v>
      </c>
      <c r="P3393" s="91">
        <f t="array" ref="P3393">SUM(IF(ISERROR(P3394:P3444),"",P3394:P3444))</f>
        <v>-34.284820249041374</v>
      </c>
      <c r="Q3393" s="91">
        <f t="array" ref="Q3393">SUM(IF(ISERROR(Q3394:Q3444),"",Q3394:Q3444))</f>
        <v>-38.758603212825172</v>
      </c>
      <c r="R3393" s="91">
        <f t="array" ref="R3393">SUM(IF(ISERROR(R3394:R3444),"",R3394:R3444))</f>
        <v>-40.126616981951244</v>
      </c>
      <c r="S3393" s="91">
        <f t="array" ref="S3393">SUM(IF(ISERROR(S3394:S3444),"",S3394:S3444))</f>
        <v>-37.950029765169504</v>
      </c>
      <c r="T3393" s="91">
        <f t="array" ref="T3393">SUM(IF(ISERROR(T3394:T3444),"",T3394:T3444))</f>
        <v>-37.192104388405035</v>
      </c>
      <c r="U3393" s="91">
        <f t="array" ref="U3393">SUM(IF(ISERROR(U3394:U3444),"",U3394:U3444))</f>
        <v>-38.879273919586176</v>
      </c>
      <c r="V3393" s="91">
        <f t="array" ref="V3393">SUM(IF(ISERROR(V3394:V3444),"",V3394:V3444))</f>
        <v>-41.361589489102187</v>
      </c>
      <c r="W3393" s="91">
        <f t="array" ref="W3393">SUM(IF(ISERROR(W3394:W3444),"",W3394:W3444))</f>
        <v>-44.119669854562446</v>
      </c>
      <c r="X3393" s="91">
        <f t="array" ref="X3393">SUM(IF(ISERROR(X3394:X3444),"",X3394:X3444))</f>
        <v>-46.890812122956653</v>
      </c>
      <c r="Y3393" s="91">
        <f t="array" ref="Y3393">SUM(IF(ISERROR(Y3394:Y3444),"",Y3394:Y3444))</f>
        <v>-49.423231187609581</v>
      </c>
      <c r="Z3393" s="91">
        <f t="array" ref="Z3393">SUM(IF(ISERROR(Z3394:Z3444),"",Z3394:Z3444))</f>
        <v>-51.984471159373534</v>
      </c>
      <c r="AA3393" s="91">
        <f t="array" ref="AA3393">SUM(IF(ISERROR(AA3394:AA3444),"",AA3394:AA3444))</f>
        <v>-54.842967115425118</v>
      </c>
      <c r="AB3393" s="91">
        <f t="array" ref="AB3393">SUM(IF(ISERROR(AB3394:AB3444),"",AB3394:AB3444))</f>
        <v>-58.082009835104024</v>
      </c>
      <c r="AC3393" s="91">
        <f t="array" ref="AC3393">SUM(IF(ISERROR(AC3394:AC3444),"",AC3394:AC3444))</f>
        <v>-61.360383375074399</v>
      </c>
      <c r="AD3393" s="91">
        <f t="array" ref="AD3393">SUM(IF(ISERROR(AD3394:AD3444),"",AD3394:AD3444))</f>
        <v>-64.214965155535609</v>
      </c>
      <c r="AE3393" s="91">
        <f t="array" ref="AE3393">SUM(IF(ISERROR(AE3394:AE3444),"",AE3394:AE3444))</f>
        <v>-66.582891228354313</v>
      </c>
      <c r="AF3393" s="91">
        <f t="array" ref="AF3393">SUM(IF(ISERROR(AF3394:AF3444),"",AF3394:AF3444))</f>
        <v>-68.823721591077572</v>
      </c>
      <c r="AG3393" s="91">
        <f t="array" ref="AG3393">SUM(IF(ISERROR(AG3394:AG3444),"",AG3394:AG3444))</f>
        <v>-70.960845949314646</v>
      </c>
      <c r="AH3393" s="91">
        <f t="array" ref="AH3393">SUM(IF(ISERROR(AH3394:AH3444),"",AH3394:AH3444))</f>
        <v>-73.084505271958918</v>
      </c>
      <c r="AI3393" s="91">
        <f t="array" ref="AI3393">SUM(IF(ISERROR(AI3394:AI3444),"",AI3394:AI3444))</f>
        <v>-75.104644596287201</v>
      </c>
      <c r="AJ3393" s="91">
        <f t="array" ref="AJ3393">SUM(IF(ISERROR(AJ3394:AJ3444),"",AJ3394:AJ3444))</f>
        <v>-77.117817377700661</v>
      </c>
      <c r="AK3393" s="91">
        <f t="array" ref="AK3393">SUM(IF(ISERROR(AK3394:AK3444),"",AK3394:AK3444))</f>
        <v>-78.968726414999978</v>
      </c>
      <c r="AL3393" s="91">
        <f t="array" ref="AL3393">SUM(IF(ISERROR(AL3394:AL3444),"",AL3394:AL3444))</f>
        <v>-80.728153402729475</v>
      </c>
      <c r="AM3393" s="91">
        <f t="array" ref="AM3393">SUM(IF(ISERROR(AM3394:AM3444),"",AM3394:AM3444))</f>
        <v>-82.433797543666401</v>
      </c>
      <c r="AN3393" s="91">
        <f t="array" ref="AN3393">SUM(IF(ISERROR(AN3394:AN3444),"",AN3394:AN3444))</f>
        <v>-83.89847726199028</v>
      </c>
      <c r="AO3393" s="91">
        <f t="array" ref="AO3393">SUM(IF(ISERROR(AO3394:AO3444),"",AO3394:AO3444))</f>
        <v>-85.336418425449097</v>
      </c>
      <c r="AP3393" s="91">
        <f t="array" ref="AP3393">SUM(IF(ISERROR(AP3394:AP3444),"",AP3394:AP3444))</f>
        <v>-86.728364864867373</v>
      </c>
      <c r="AQ3393" s="91">
        <f t="array" ref="AQ3393">SUM(IF(ISERROR(AQ3394:AQ3444),"",AQ3394:AQ3444))</f>
        <v>-88.164665438260158</v>
      </c>
      <c r="AR3393" s="91">
        <f t="array" ref="AR3393">SUM(IF(ISERROR(AR3394:AR3444),"",AR3394:AR3444))</f>
        <v>-89.615902415781321</v>
      </c>
      <c r="AS3393" s="91">
        <f t="array" ref="AS3393">SUM(IF(ISERROR(AS3394:AS3444),"",AS3394:AS3444))</f>
        <v>-91.155513531407195</v>
      </c>
      <c r="AT3393" s="91">
        <f t="array" ref="AT3393">SUM(IF(ISERROR(AT3394:AT3444),"",AT3394:AT3444))</f>
        <v>-92.657823680412335</v>
      </c>
      <c r="AU3393" s="91">
        <f t="array" ref="AU3393">SUM(IF(ISERROR(AU3394:AU3444),"",AU3394:AU3444))</f>
        <v>-94.178628711451069</v>
      </c>
      <c r="AV3393" s="91">
        <f t="array" ref="AV3393">SUM(IF(ISERROR(AV3394:AV3444),"",AV3394:AV3444))</f>
        <v>-95.679928828767061</v>
      </c>
      <c r="AW3393" s="91">
        <f t="array" ref="AW3393">SUM(IF(ISERROR(AW3394:AW3444),"",AW3394:AW3444))</f>
        <v>-97.175195191183107</v>
      </c>
      <c r="AX3393" s="91">
        <f t="array" ref="AX3393">SUM(IF(ISERROR(AX3394:AX3444),"",AX3394:AX3444))</f>
        <v>-98.691604709516511</v>
      </c>
      <c r="AY3393" s="91">
        <f t="array" ref="AY3393">SUM(IF(ISERROR(AY3394:AY3444),"",AY3394:AY3444))</f>
        <v>-100.21699324188049</v>
      </c>
      <c r="AZ3393" s="91">
        <f t="array" ref="AZ3393">SUM(IF(ISERROR(AZ3394:AZ3444),"",AZ3394:AZ3444))</f>
        <v>-101.68395596001179</v>
      </c>
      <c r="BA3393" s="91">
        <f t="array" ref="BA3393">SUM(IF(ISERROR(BA3394:BA3444),"",BA3394:BA3444))</f>
        <v>-103.13798279095018</v>
      </c>
      <c r="BB3393" s="91">
        <f t="array" ref="BB3393">SUM(IF(ISERROR(BB3394:BB3444),"",BB3394:BB3444))</f>
        <v>-86.658217121323702</v>
      </c>
      <c r="BC3393" s="91">
        <f t="array" ref="BC3393">SUM(IF(ISERROR(BC3394:BC3444),"",BC3394:BC3444))</f>
        <v>-71.199559613744441</v>
      </c>
      <c r="BD3393" s="91">
        <f t="array" ref="BD3393">SUM(IF(ISERROR(BD3394:BD3444),"",BD3394:BD3444))</f>
        <v>-56.886363680766152</v>
      </c>
      <c r="BE3393" s="91">
        <f t="array" ref="BE3393">SUM(IF(ISERROR(BE3394:BE3444),"",BE3394:BE3444))</f>
        <v>-43.835303375708421</v>
      </c>
      <c r="BF3393" s="91">
        <f t="array" ref="BF3393">SUM(IF(ISERROR(BF3394:BF3444),"",BF3394:BF3444))</f>
        <v>-32.177619316501271</v>
      </c>
      <c r="BG3393" s="91">
        <f t="array" ref="BG3393">SUM(IF(ISERROR(BG3394:BG3444),"",BG3394:BG3444))</f>
        <v>-22.049685783652542</v>
      </c>
      <c r="BH3393" s="91">
        <f t="array" ref="BH3393">SUM(IF(ISERROR(BH3394:BH3444),"",BH3394:BH3444))</f>
        <v>-13.599662449737952</v>
      </c>
      <c r="BI3393" s="91">
        <f t="array" ref="BI3393">SUM(IF(ISERROR(BI3394:BI3444),"",BI3394:BI3444))</f>
        <v>-6.9898898663474966</v>
      </c>
      <c r="BJ3393" s="91">
        <f t="array" ref="BJ3393">SUM(IF(ISERROR(BJ3394:BJ3444),"",BJ3394:BJ3444))</f>
        <v>-2.3966821588790022</v>
      </c>
      <c r="BK3393" s="91">
        <f t="array" ref="BK3393">SUM(IF(ISERROR(BK3394:BK3444),"",BK3394:BK3444))</f>
        <v>0</v>
      </c>
      <c r="BL3393" s="91">
        <f t="array" ref="BL3393">SUM(IF(ISERROR(BL3394:BL3444),"",BL3394:BL3444))</f>
        <v>0</v>
      </c>
      <c r="BM3393" s="91">
        <f t="array" ref="BM3393">SUM(IF(ISERROR(BM3394:BM3444),"",BM3394:BM3444))</f>
        <v>0</v>
      </c>
      <c r="BN3393" s="91">
        <f t="array" ref="BN3393">SUM(IF(ISERROR(BN3394:BN3444),"",BN3394:BN3444))</f>
        <v>0</v>
      </c>
      <c r="BO3393" s="91">
        <f t="array" ref="BO3393">SUM(IF(ISERROR(BO3394:BO3444),"",BO3394:BO3444))</f>
        <v>0</v>
      </c>
      <c r="BP3393" s="91">
        <f t="array" ref="BP3393">SUM(IF(ISERROR(BP3394:BP3444),"",BP3394:BP3444))</f>
        <v>0</v>
      </c>
      <c r="BQ3393" s="91">
        <f t="array" ref="BQ3393">SUM(IF(ISERROR(BQ3394:BQ3444),"",BQ3394:BQ3444))</f>
        <v>0</v>
      </c>
      <c r="BR3393" s="91">
        <f t="array" ref="BR3393">SUM(IF(ISERROR(BR3394:BR3444),"",BR3394:BR3444))</f>
        <v>0</v>
      </c>
      <c r="BS3393" s="91">
        <f t="array" ref="BS3393">SUM(IF(ISERROR(BS3394:BS3444),"",BS3394:BS3444))</f>
        <v>0</v>
      </c>
      <c r="BT3393" s="91">
        <f t="array" ref="BT3393">SUM(IF(ISERROR(BT3394:BT3444),"",BT3394:BT3444))</f>
        <v>0</v>
      </c>
      <c r="BU3393" s="91">
        <f t="array" ref="BU3393">SUM(IF(ISERROR(BU3394:BU3444),"",BU3394:BU3444))</f>
        <v>0</v>
      </c>
      <c r="BV3393" s="91">
        <f t="array" ref="BV3393">SUM(IF(ISERROR(BV3394:BV3444),"",BV3394:BV3444))</f>
        <v>0</v>
      </c>
      <c r="BW3393" s="91">
        <f t="array" ref="BW3393">SUM(IF(ISERROR(BW3394:BW3444),"",BW3394:BW3444))</f>
        <v>0</v>
      </c>
      <c r="BX3393" s="91">
        <f t="array" ref="BX3393">SUM(IF(ISERROR(BX3394:BX3444),"",BX3394:BX3444))</f>
        <v>0</v>
      </c>
      <c r="BY3393" s="91">
        <f t="array" ref="BY3393">SUM(IF(ISERROR(BY3394:BY3444),"",BY3394:BY3444))</f>
        <v>0</v>
      </c>
    </row>
    <row r="3394" spans="1:77" ht="15.75" hidden="1" customHeight="1" outlineLevel="1">
      <c r="A3394" s="472"/>
      <c r="B3394" s="99"/>
      <c r="C3394" s="377">
        <f>IPMT('Assumptions (O&amp;G Upstream)'!$B$339,Model!W$1,'Assumptions (O&amp;G Upstream)'!$B$342,Model!$C$3339)</f>
        <v>-1.3995</v>
      </c>
      <c r="D3394" s="377">
        <f>IPMT('Assumptions (O&amp;G Upstream)'!$B$339,Model!X$1,'Assumptions (O&amp;G Upstream)'!$B$342,Model!$C$3339)</f>
        <v>-1.3005750445671418</v>
      </c>
      <c r="E3394" s="377">
        <f>IPMT('Assumptions (O&amp;G Upstream)'!$B$339,Model!Y$1,'Assumptions (O&amp;G Upstream)'!$B$342,Model!$C$3339)</f>
        <v>-1.1942307174768192</v>
      </c>
      <c r="F3394" s="377">
        <f>IPMT('Assumptions (O&amp;G Upstream)'!$B$339,Model!Z$1,'Assumptions (O&amp;G Upstream)'!$B$342,Model!$C$3339)</f>
        <v>-1.0799105658547226</v>
      </c>
      <c r="G3394" s="377">
        <f>IPMT('Assumptions (O&amp;G Upstream)'!$B$339,Model!AA$1,'Assumptions (O&amp;G Upstream)'!$B$342,Model!$C$3339)</f>
        <v>-0.95701640286096845</v>
      </c>
      <c r="H3394" s="377">
        <f>IPMT('Assumptions (O&amp;G Upstream)'!$B$339,Model!AB$1,'Assumptions (O&amp;G Upstream)'!$B$342,Model!$C$3339)</f>
        <v>-0.82490517764268301</v>
      </c>
      <c r="I3394" s="377">
        <f>IPMT('Assumptions (O&amp;G Upstream)'!$B$339,Model!AC$1,'Assumptions (O&amp;G Upstream)'!$B$342,Model!$C$3339)</f>
        <v>-0.68288561053302621</v>
      </c>
      <c r="J3394" s="377">
        <f>IPMT('Assumptions (O&amp;G Upstream)'!$B$339,Model!AD$1,'Assumptions (O&amp;G Upstream)'!$B$342,Model!$C$3339)</f>
        <v>-0.53021457589014476</v>
      </c>
      <c r="K3394" s="377">
        <f>IPMT('Assumptions (O&amp;G Upstream)'!$B$339,Model!AE$1,'Assumptions (O&amp;G Upstream)'!$B$342,Model!$C$3339)</f>
        <v>-0.36609321364904762</v>
      </c>
      <c r="L3394" s="377">
        <f>IPMT('Assumptions (O&amp;G Upstream)'!$B$339,Model!AF$1,'Assumptions (O&amp;G Upstream)'!$B$342,Model!$C$3339)</f>
        <v>-0.18966274923986806</v>
      </c>
      <c r="M3394" s="377" t="e">
        <f>IPMT('Assumptions (O&amp;G Upstream)'!$B$339,Model!AG$1,'Assumptions (O&amp;G Upstream)'!$B$342,Model!$C$3339)</f>
        <v>#NUM!</v>
      </c>
      <c r="N3394" s="377" t="e">
        <f>IPMT('Assumptions (O&amp;G Upstream)'!$B$339,Model!AH$1,'Assumptions (O&amp;G Upstream)'!$B$342,Model!$C$3339)</f>
        <v>#NUM!</v>
      </c>
      <c r="O3394" s="377" t="e">
        <f>IPMT('Assumptions (O&amp;G Upstream)'!$B$339,Model!AI$1,'Assumptions (O&amp;G Upstream)'!$B$342,Model!$C$3339)</f>
        <v>#NUM!</v>
      </c>
      <c r="P3394" s="377" t="e">
        <f>IPMT('Assumptions (O&amp;G Upstream)'!$B$339,Model!AJ$1,'Assumptions (O&amp;G Upstream)'!$B$342,Model!$C$3339)</f>
        <v>#NUM!</v>
      </c>
      <c r="Q3394" s="377" t="e">
        <f>IPMT('Assumptions (O&amp;G Upstream)'!$B$339,Model!AK$1,'Assumptions (O&amp;G Upstream)'!$B$342,Model!$C$3339)</f>
        <v>#NUM!</v>
      </c>
      <c r="R3394" s="377" t="e">
        <f>IPMT('Assumptions (O&amp;G Upstream)'!$B$339,Model!AL$1,'Assumptions (O&amp;G Upstream)'!$B$342,Model!$C$3339)</f>
        <v>#NUM!</v>
      </c>
      <c r="S3394" s="377" t="e">
        <f>IPMT('Assumptions (O&amp;G Upstream)'!$B$339,Model!AM$1,'Assumptions (O&amp;G Upstream)'!$B$342,Model!$C$3339)</f>
        <v>#NUM!</v>
      </c>
      <c r="T3394" s="377" t="e">
        <f>IPMT('Assumptions (O&amp;G Upstream)'!$B$339,Model!AN$1,'Assumptions (O&amp;G Upstream)'!$B$342,Model!$C$3339)</f>
        <v>#NUM!</v>
      </c>
      <c r="U3394" s="377" t="e">
        <f>IPMT('Assumptions (O&amp;G Upstream)'!$B$339,Model!AO$1,'Assumptions (O&amp;G Upstream)'!$B$342,Model!$C$3339)</f>
        <v>#NUM!</v>
      </c>
      <c r="V3394" s="377" t="e">
        <f>IPMT('Assumptions (O&amp;G Upstream)'!$B$339,Model!AP$1,'Assumptions (O&amp;G Upstream)'!$B$342,Model!$C$3339)</f>
        <v>#NUM!</v>
      </c>
      <c r="W3394" s="377" t="e">
        <f>IPMT('Assumptions (O&amp;G Upstream)'!$B$339,Model!AQ$1,'Assumptions (O&amp;G Upstream)'!$B$342,Model!$C$3339)</f>
        <v>#NUM!</v>
      </c>
      <c r="X3394" s="377" t="e">
        <f>IPMT('Assumptions (O&amp;G Upstream)'!$B$339,Model!AR$1,'Assumptions (O&amp;G Upstream)'!$B$342,Model!$C$3339)</f>
        <v>#NUM!</v>
      </c>
      <c r="Y3394" s="377" t="e">
        <f>IPMT('Assumptions (O&amp;G Upstream)'!$B$339,Model!AS$1,'Assumptions (O&amp;G Upstream)'!$B$342,Model!$C$3339)</f>
        <v>#NUM!</v>
      </c>
      <c r="Z3394" s="377" t="e">
        <f>IPMT('Assumptions (O&amp;G Upstream)'!$B$339,Model!AT$1,'Assumptions (O&amp;G Upstream)'!$B$342,Model!$C$3339)</f>
        <v>#NUM!</v>
      </c>
      <c r="AA3394" s="377" t="e">
        <f>IPMT('Assumptions (O&amp;G Upstream)'!$B$339,Model!AU$1,'Assumptions (O&amp;G Upstream)'!$B$342,Model!$C$3339)</f>
        <v>#NUM!</v>
      </c>
      <c r="AB3394" s="377"/>
    </row>
    <row r="3395" spans="1:77" ht="15.75" hidden="1" customHeight="1" outlineLevel="1">
      <c r="A3395" s="472"/>
      <c r="B3395" s="99"/>
      <c r="C3395" s="377"/>
      <c r="D3395" s="377">
        <f>IPMT('Assumptions (O&amp;G Upstream)'!$B$339,Model!W$1,'Assumptions (O&amp;G Upstream)'!$B$342,Model!$D$3339)</f>
        <v>-1.8764999999999998</v>
      </c>
      <c r="E3395" s="377">
        <f>IPMT('Assumptions (O&amp;G Upstream)'!$B$339,Model!X$1,'Assumptions (O&amp;G Upstream)'!$B$342,Model!$D$3339)</f>
        <v>-1.7438578571848817</v>
      </c>
      <c r="F3395" s="377">
        <f>IPMT('Assumptions (O&amp;G Upstream)'!$B$339,Model!Y$1,'Assumptions (O&amp;G Upstream)'!$B$342,Model!$D$3339)</f>
        <v>-1.6012675536586292</v>
      </c>
      <c r="G3395" s="377">
        <f>IPMT('Assumptions (O&amp;G Upstream)'!$B$339,Model!Z$1,'Assumptions (O&amp;G Upstream)'!$B$342,Model!$D$3339)</f>
        <v>-1.4479829773679076</v>
      </c>
      <c r="H3395" s="377">
        <f>IPMT('Assumptions (O&amp;G Upstream)'!$B$339,Model!AA$1,'Assumptions (O&amp;G Upstream)'!$B$342,Model!$D$3339)</f>
        <v>-1.2832020578553822</v>
      </c>
      <c r="I3395" s="377">
        <f>IPMT('Assumptions (O&amp;G Upstream)'!$B$339,Model!AB$1,'Assumptions (O&amp;G Upstream)'!$B$342,Model!$D$3339)</f>
        <v>-1.1060625693794175</v>
      </c>
      <c r="J3395" s="377">
        <f>IPMT('Assumptions (O&amp;G Upstream)'!$B$339,Model!AC$1,'Assumptions (O&amp;G Upstream)'!$B$342,Model!$D$3339)</f>
        <v>-0.91563761926775544</v>
      </c>
      <c r="K3395" s="377">
        <f>IPMT('Assumptions (O&amp;G Upstream)'!$B$339,Model!AD$1,'Assumptions (O&amp;G Upstream)'!$B$342,Model!$D$3339)</f>
        <v>-0.7109307978977184</v>
      </c>
      <c r="L3395" s="377">
        <f>IPMT('Assumptions (O&amp;G Upstream)'!$B$339,Model!AE$1,'Assumptions (O&amp;G Upstream)'!$B$342,Model!$D$3339)</f>
        <v>-0.49087096492492882</v>
      </c>
      <c r="M3395" s="377">
        <f>IPMT('Assumptions (O&amp;G Upstream)'!$B$339,Model!AF$1,'Assumptions (O&amp;G Upstream)'!$B$342,Model!$D$3339)</f>
        <v>-0.25430664447918</v>
      </c>
      <c r="N3395" s="377" t="e">
        <f>IPMT('Assumptions (O&amp;G Upstream)'!$B$339,Model!AG$1,'Assumptions (O&amp;G Upstream)'!$B$342,Model!$D$3339)</f>
        <v>#NUM!</v>
      </c>
      <c r="O3395" s="377" t="e">
        <f>IPMT('Assumptions (O&amp;G Upstream)'!$B$339,Model!AH$1,'Assumptions (O&amp;G Upstream)'!$B$342,Model!$D$3339)</f>
        <v>#NUM!</v>
      </c>
      <c r="P3395" s="377" t="e">
        <f>IPMT('Assumptions (O&amp;G Upstream)'!$B$339,Model!AI$1,'Assumptions (O&amp;G Upstream)'!$B$342,Model!$D$3339)</f>
        <v>#NUM!</v>
      </c>
      <c r="Q3395" s="377" t="e">
        <f>IPMT('Assumptions (O&amp;G Upstream)'!$B$339,Model!AJ$1,'Assumptions (O&amp;G Upstream)'!$B$342,Model!$D$3339)</f>
        <v>#NUM!</v>
      </c>
      <c r="R3395" s="377" t="e">
        <f>IPMT('Assumptions (O&amp;G Upstream)'!$B$339,Model!AK$1,'Assumptions (O&amp;G Upstream)'!$B$342,Model!$D$3339)</f>
        <v>#NUM!</v>
      </c>
      <c r="S3395" s="377" t="e">
        <f>IPMT('Assumptions (O&amp;G Upstream)'!$B$339,Model!AL$1,'Assumptions (O&amp;G Upstream)'!$B$342,Model!$D$3339)</f>
        <v>#NUM!</v>
      </c>
      <c r="T3395" s="377" t="e">
        <f>IPMT('Assumptions (O&amp;G Upstream)'!$B$339,Model!AM$1,'Assumptions (O&amp;G Upstream)'!$B$342,Model!$D$3339)</f>
        <v>#NUM!</v>
      </c>
      <c r="U3395" s="377" t="e">
        <f>IPMT('Assumptions (O&amp;G Upstream)'!$B$339,Model!AN$1,'Assumptions (O&amp;G Upstream)'!$B$342,Model!$D$3339)</f>
        <v>#NUM!</v>
      </c>
      <c r="V3395" s="377" t="e">
        <f>IPMT('Assumptions (O&amp;G Upstream)'!$B$339,Model!AO$1,'Assumptions (O&amp;G Upstream)'!$B$342,Model!$D$3339)</f>
        <v>#NUM!</v>
      </c>
      <c r="W3395" s="377" t="e">
        <f>IPMT('Assumptions (O&amp;G Upstream)'!$B$339,Model!AP$1,'Assumptions (O&amp;G Upstream)'!$B$342,Model!$D$3339)</f>
        <v>#NUM!</v>
      </c>
      <c r="X3395" s="377" t="e">
        <f>IPMT('Assumptions (O&amp;G Upstream)'!$B$339,Model!AQ$1,'Assumptions (O&amp;G Upstream)'!$B$342,Model!$D$3339)</f>
        <v>#NUM!</v>
      </c>
      <c r="Y3395" s="377" t="e">
        <f>IPMT('Assumptions (O&amp;G Upstream)'!$B$339,Model!AR$1,'Assumptions (O&amp;G Upstream)'!$B$342,Model!$D$3339)</f>
        <v>#NUM!</v>
      </c>
      <c r="Z3395" s="377" t="e">
        <f>IPMT('Assumptions (O&amp;G Upstream)'!$B$339,Model!AS$1,'Assumptions (O&amp;G Upstream)'!$B$342,Model!$D$3339)</f>
        <v>#NUM!</v>
      </c>
      <c r="AA3395" s="377" t="e">
        <f>IPMT('Assumptions (O&amp;G Upstream)'!$B$339,Model!AT$1,'Assumptions (O&amp;G Upstream)'!$B$342,Model!$D$3339)</f>
        <v>#NUM!</v>
      </c>
      <c r="AB3395" s="377" t="e">
        <f>IPMT('Assumptions (O&amp;G Upstream)'!$B$339,Model!AU$1,'Assumptions (O&amp;G Upstream)'!$B$342,Model!$D$3339)</f>
        <v>#NUM!</v>
      </c>
    </row>
    <row r="3396" spans="1:77" ht="15.75" hidden="1" customHeight="1" outlineLevel="1">
      <c r="A3396" s="472"/>
      <c r="B3396" s="99"/>
      <c r="C3396" s="377"/>
      <c r="D3396" s="377"/>
      <c r="E3396" s="377">
        <f>IPMT('Assumptions (O&amp;G Upstream)'!$B$339,Model!W$1,'Assumptions (O&amp;G Upstream)'!$B$342,Model!$E$3339)</f>
        <v>-1.5209999999999997</v>
      </c>
      <c r="F3396" s="377">
        <f>IPMT('Assumptions (O&amp;G Upstream)'!$B$339,Model!X$1,'Assumptions (O&amp;G Upstream)'!$B$342,Model!$E$3339)</f>
        <v>-1.4134867043848678</v>
      </c>
      <c r="G3396" s="377">
        <f>IPMT('Assumptions (O&amp;G Upstream)'!$B$339,Model!Y$1,'Assumptions (O&amp;G Upstream)'!$B$342,Model!$E$3339)</f>
        <v>-1.2979099115986008</v>
      </c>
      <c r="H3396" s="377">
        <f>IPMT('Assumptions (O&amp;G Upstream)'!$B$339,Model!Z$1,'Assumptions (O&amp;G Upstream)'!$B$342,Model!$E$3339)</f>
        <v>-1.1736648593533638</v>
      </c>
      <c r="I3396" s="377">
        <f>IPMT('Assumptions (O&amp;G Upstream)'!$B$339,Model!AA$1,'Assumptions (O&amp;G Upstream)'!$B$342,Model!$E$3339)</f>
        <v>-1.0401014281897343</v>
      </c>
      <c r="J3396" s="377">
        <f>IPMT('Assumptions (O&amp;G Upstream)'!$B$339,Model!AB$1,'Assumptions (O&amp;G Upstream)'!$B$342,Model!$E$3339)</f>
        <v>-0.89652073968883228</v>
      </c>
      <c r="K3396" s="377">
        <f>IPMT('Assumptions (O&amp;G Upstream)'!$B$339,Model!AC$1,'Assumptions (O&amp;G Upstream)'!$B$342,Model!$E$3339)</f>
        <v>-0.74217149955036277</v>
      </c>
      <c r="L3396" s="377">
        <f>IPMT('Assumptions (O&amp;G Upstream)'!$B$339,Model!AD$1,'Assumptions (O&amp;G Upstream)'!$B$342,Model!$E$3339)</f>
        <v>-0.57624606640150788</v>
      </c>
      <c r="M3396" s="377">
        <f>IPMT('Assumptions (O&amp;G Upstream)'!$B$339,Model!AE$1,'Assumptions (O&amp;G Upstream)'!$B$342,Model!$E$3339)</f>
        <v>-0.39787622576648901</v>
      </c>
      <c r="N3396" s="377">
        <f>IPMT('Assumptions (O&amp;G Upstream)'!$B$339,Model!AF$1,'Assumptions (O&amp;G Upstream)'!$B$342,Model!$E$3339)</f>
        <v>-0.20612864708384371</v>
      </c>
      <c r="O3396" s="377" t="e">
        <f>IPMT('Assumptions (O&amp;G Upstream)'!$B$339,Model!AG$1,'Assumptions (O&amp;G Upstream)'!$B$342,Model!$E$3339)</f>
        <v>#NUM!</v>
      </c>
      <c r="P3396" s="377" t="e">
        <f>IPMT('Assumptions (O&amp;G Upstream)'!$B$339,Model!AH$1,'Assumptions (O&amp;G Upstream)'!$B$342,Model!$E$3339)</f>
        <v>#NUM!</v>
      </c>
      <c r="Q3396" s="377" t="e">
        <f>IPMT('Assumptions (O&amp;G Upstream)'!$B$339,Model!AI$1,'Assumptions (O&amp;G Upstream)'!$B$342,Model!$E$3339)</f>
        <v>#NUM!</v>
      </c>
      <c r="R3396" s="377" t="e">
        <f>IPMT('Assumptions (O&amp;G Upstream)'!$B$339,Model!AJ$1,'Assumptions (O&amp;G Upstream)'!$B$342,Model!$E$3339)</f>
        <v>#NUM!</v>
      </c>
      <c r="S3396" s="377" t="e">
        <f>IPMT('Assumptions (O&amp;G Upstream)'!$B$339,Model!AK$1,'Assumptions (O&amp;G Upstream)'!$B$342,Model!$E$3339)</f>
        <v>#NUM!</v>
      </c>
      <c r="T3396" s="377" t="e">
        <f>IPMT('Assumptions (O&amp;G Upstream)'!$B$339,Model!AL$1,'Assumptions (O&amp;G Upstream)'!$B$342,Model!$E$3339)</f>
        <v>#NUM!</v>
      </c>
      <c r="U3396" s="377" t="e">
        <f>IPMT('Assumptions (O&amp;G Upstream)'!$B$339,Model!AM$1,'Assumptions (O&amp;G Upstream)'!$B$342,Model!$E$3339)</f>
        <v>#NUM!</v>
      </c>
      <c r="V3396" s="377" t="e">
        <f>IPMT('Assumptions (O&amp;G Upstream)'!$B$339,Model!AN$1,'Assumptions (O&amp;G Upstream)'!$B$342,Model!$E$3339)</f>
        <v>#NUM!</v>
      </c>
      <c r="W3396" s="377" t="e">
        <f>IPMT('Assumptions (O&amp;G Upstream)'!$B$339,Model!AO$1,'Assumptions (O&amp;G Upstream)'!$B$342,Model!$E$3339)</f>
        <v>#NUM!</v>
      </c>
      <c r="X3396" s="377" t="e">
        <f>IPMT('Assumptions (O&amp;G Upstream)'!$B$339,Model!AP$1,'Assumptions (O&amp;G Upstream)'!$B$342,Model!$E$3339)</f>
        <v>#NUM!</v>
      </c>
      <c r="Y3396" s="377" t="e">
        <f>IPMT('Assumptions (O&amp;G Upstream)'!$B$339,Model!AQ$1,'Assumptions (O&amp;G Upstream)'!$B$342,Model!$E$3339)</f>
        <v>#NUM!</v>
      </c>
      <c r="Z3396" s="377" t="e">
        <f>IPMT('Assumptions (O&amp;G Upstream)'!$B$339,Model!AR$1,'Assumptions (O&amp;G Upstream)'!$B$342,Model!$E$3339)</f>
        <v>#NUM!</v>
      </c>
      <c r="AA3396" s="377" t="e">
        <f>IPMT('Assumptions (O&amp;G Upstream)'!$B$339,Model!AS$1,'Assumptions (O&amp;G Upstream)'!$B$342,Model!$E$3339)</f>
        <v>#NUM!</v>
      </c>
      <c r="AB3396" s="377" t="e">
        <f>IPMT('Assumptions (O&amp;G Upstream)'!$B$339,Model!AT$1,'Assumptions (O&amp;G Upstream)'!$B$342,Model!$E$3339)</f>
        <v>#NUM!</v>
      </c>
      <c r="AC3396" s="377" t="e">
        <f>IPMT('Assumptions (O&amp;G Upstream)'!$B$339,Model!AU$1,'Assumptions (O&amp;G Upstream)'!$B$342,Model!$E$3339)</f>
        <v>#NUM!</v>
      </c>
    </row>
    <row r="3397" spans="1:77" ht="15.75" hidden="1" customHeight="1" outlineLevel="1">
      <c r="A3397" s="472"/>
      <c r="B3397" s="99"/>
      <c r="C3397" s="377"/>
      <c r="D3397" s="377"/>
      <c r="E3397" s="377"/>
      <c r="F3397" s="377">
        <f>IPMT('Assumptions (O&amp;G Upstream)'!$B$339,Model!W$1,'Assumptions (O&amp;G Upstream)'!$B$342,Model!$F$3339)</f>
        <v>-2.0114999999999998</v>
      </c>
      <c r="G3397" s="377">
        <f>IPMT('Assumptions (O&amp;G Upstream)'!$B$339,Model!X$1,'Assumptions (O&amp;G Upstream)'!$B$342,Model!$F$3339)</f>
        <v>-1.869315256982355</v>
      </c>
      <c r="H3397" s="377">
        <f>IPMT('Assumptions (O&amp;G Upstream)'!$B$339,Model!Y$1,'Assumptions (O&amp;G Upstream)'!$B$342,Model!$F$3339)</f>
        <v>-1.7164666582383865</v>
      </c>
      <c r="I3397" s="377">
        <f>IPMT('Assumptions (O&amp;G Upstream)'!$B$339,Model!Z$1,'Assumptions (O&amp;G Upstream)'!$B$342,Model!$F$3339)</f>
        <v>-1.5521544145886206</v>
      </c>
      <c r="J3397" s="377">
        <f>IPMT('Assumptions (O&amp;G Upstream)'!$B$339,Model!AA$1,'Assumptions (O&amp;G Upstream)'!$B$342,Model!$F$3339)</f>
        <v>-1.375518752665122</v>
      </c>
      <c r="K3397" s="377">
        <f>IPMT('Assumptions (O&amp;G Upstream)'!$B$339,Model!AB$1,'Assumptions (O&amp;G Upstream)'!$B$342,Model!$F$3339)</f>
        <v>-1.1856354160973612</v>
      </c>
      <c r="L3397" s="377">
        <f>IPMT('Assumptions (O&amp;G Upstream)'!$B$339,Model!AC$1,'Assumptions (O&amp;G Upstream)'!$B$342,Model!$F$3339)</f>
        <v>-0.98151082928701838</v>
      </c>
      <c r="M3397" s="377">
        <f>IPMT('Assumptions (O&amp;G Upstream)'!$B$339,Model!AD$1,'Assumptions (O&amp;G Upstream)'!$B$342,Model!$F$3339)</f>
        <v>-0.76207689846589954</v>
      </c>
      <c r="N3397" s="377">
        <f>IPMT('Assumptions (O&amp;G Upstream)'!$B$339,Model!AE$1,'Assumptions (O&amp;G Upstream)'!$B$342,Model!$F$3339)</f>
        <v>-0.52618542283319714</v>
      </c>
      <c r="O3397" s="377">
        <f>IPMT('Assumptions (O&amp;G Upstream)'!$B$339,Model!AF$1,'Assumptions (O&amp;G Upstream)'!$B$342,Model!$F$3339)</f>
        <v>-0.27260208652804191</v>
      </c>
      <c r="P3397" s="377" t="e">
        <f>IPMT('Assumptions (O&amp;G Upstream)'!$B$339,Model!AG$1,'Assumptions (O&amp;G Upstream)'!$B$342,Model!$F$3339)</f>
        <v>#NUM!</v>
      </c>
      <c r="Q3397" s="377" t="e">
        <f>IPMT('Assumptions (O&amp;G Upstream)'!$B$339,Model!AH$1,'Assumptions (O&amp;G Upstream)'!$B$342,Model!$F$3339)</f>
        <v>#NUM!</v>
      </c>
      <c r="R3397" s="377" t="e">
        <f>IPMT('Assumptions (O&amp;G Upstream)'!$B$339,Model!AI$1,'Assumptions (O&amp;G Upstream)'!$B$342,Model!$F$3339)</f>
        <v>#NUM!</v>
      </c>
      <c r="S3397" s="377" t="e">
        <f>IPMT('Assumptions (O&amp;G Upstream)'!$B$339,Model!AJ$1,'Assumptions (O&amp;G Upstream)'!$B$342,Model!$F$3339)</f>
        <v>#NUM!</v>
      </c>
      <c r="T3397" s="377" t="e">
        <f>IPMT('Assumptions (O&amp;G Upstream)'!$B$339,Model!AK$1,'Assumptions (O&amp;G Upstream)'!$B$342,Model!$F$3339)</f>
        <v>#NUM!</v>
      </c>
      <c r="U3397" s="377" t="e">
        <f>IPMT('Assumptions (O&amp;G Upstream)'!$B$339,Model!AL$1,'Assumptions (O&amp;G Upstream)'!$B$342,Model!$F$3339)</f>
        <v>#NUM!</v>
      </c>
      <c r="V3397" s="377" t="e">
        <f>IPMT('Assumptions (O&amp;G Upstream)'!$B$339,Model!AM$1,'Assumptions (O&amp;G Upstream)'!$B$342,Model!$F$3339)</f>
        <v>#NUM!</v>
      </c>
      <c r="W3397" s="377" t="e">
        <f>IPMT('Assumptions (O&amp;G Upstream)'!$B$339,Model!AN$1,'Assumptions (O&amp;G Upstream)'!$B$342,Model!$F$3339)</f>
        <v>#NUM!</v>
      </c>
      <c r="X3397" s="377" t="e">
        <f>IPMT('Assumptions (O&amp;G Upstream)'!$B$339,Model!AO$1,'Assumptions (O&amp;G Upstream)'!$B$342,Model!$F$3339)</f>
        <v>#NUM!</v>
      </c>
      <c r="Y3397" s="377" t="e">
        <f>IPMT('Assumptions (O&amp;G Upstream)'!$B$339,Model!AP$1,'Assumptions (O&amp;G Upstream)'!$B$342,Model!$F$3339)</f>
        <v>#NUM!</v>
      </c>
      <c r="Z3397" s="377" t="e">
        <f>IPMT('Assumptions (O&amp;G Upstream)'!$B$339,Model!AQ$1,'Assumptions (O&amp;G Upstream)'!$B$342,Model!$F$3339)</f>
        <v>#NUM!</v>
      </c>
      <c r="AA3397" s="377" t="e">
        <f>IPMT('Assumptions (O&amp;G Upstream)'!$B$339,Model!AR$1,'Assumptions (O&amp;G Upstream)'!$B$342,Model!$F$3339)</f>
        <v>#NUM!</v>
      </c>
      <c r="AB3397" s="377" t="e">
        <f>IPMT('Assumptions (O&amp;G Upstream)'!$B$339,Model!AS$1,'Assumptions (O&amp;G Upstream)'!$B$342,Model!$F$3339)</f>
        <v>#NUM!</v>
      </c>
      <c r="AC3397" s="377" t="e">
        <f>IPMT('Assumptions (O&amp;G Upstream)'!$B$339,Model!AT$1,'Assumptions (O&amp;G Upstream)'!$B$342,Model!$F$3339)</f>
        <v>#NUM!</v>
      </c>
      <c r="AD3397" s="377" t="e">
        <f>IPMT('Assumptions (O&amp;G Upstream)'!$B$339,Model!AU$1,'Assumptions (O&amp;G Upstream)'!$B$342,Model!$F$3339)</f>
        <v>#NUM!</v>
      </c>
    </row>
    <row r="3398" spans="1:77" ht="15.75" hidden="1" customHeight="1" outlineLevel="1">
      <c r="A3398" s="472"/>
      <c r="B3398" s="99"/>
      <c r="C3398" s="377"/>
      <c r="D3398" s="377"/>
      <c r="E3398" s="377"/>
      <c r="F3398" s="377"/>
      <c r="G3398" s="377">
        <f>IPMT('Assumptions (O&amp;G Upstream)'!$B$339,Model!W$1,'Assumptions (O&amp;G Upstream)'!$B$342,Model!$G$3339)</f>
        <v>-2.3265000000000002</v>
      </c>
      <c r="H3398" s="377">
        <f>IPMT('Assumptions (O&amp;G Upstream)'!$B$339,Model!X$1,'Assumptions (O&amp;G Upstream)'!$B$342,Model!$G$3339)</f>
        <v>-2.1620491898431267</v>
      </c>
      <c r="I3398" s="377">
        <f>IPMT('Assumptions (O&amp;G Upstream)'!$B$339,Model!Y$1,'Assumptions (O&amp;G Upstream)'!$B$342,Model!$G$3339)</f>
        <v>-1.9852645689244874</v>
      </c>
      <c r="J3398" s="377">
        <f>IPMT('Assumptions (O&amp;G Upstream)'!$B$339,Model!Z$1,'Assumptions (O&amp;G Upstream)'!$B$342,Model!$G$3339)</f>
        <v>-1.7952211014369504</v>
      </c>
      <c r="K3398" s="377">
        <f>IPMT('Assumptions (O&amp;G Upstream)'!$B$339,Model!AA$1,'Assumptions (O&amp;G Upstream)'!$B$342,Model!$G$3339)</f>
        <v>-1.590924373887848</v>
      </c>
      <c r="L3398" s="377">
        <f>IPMT('Assumptions (O&amp;G Upstream)'!$B$339,Model!AB$1,'Assumptions (O&amp;G Upstream)'!$B$342,Model!$G$3339)</f>
        <v>-1.3713053917725633</v>
      </c>
      <c r="M3398" s="377">
        <f>IPMT('Assumptions (O&amp;G Upstream)'!$B$339,Model!AC$1,'Assumptions (O&amp;G Upstream)'!$B$342,Model!$G$3339)</f>
        <v>-1.135214985998632</v>
      </c>
      <c r="N3398" s="377">
        <f>IPMT('Assumptions (O&amp;G Upstream)'!$B$339,Model!AD$1,'Assumptions (O&amp;G Upstream)'!$B$342,Model!$G$3339)</f>
        <v>-0.88141779979165569</v>
      </c>
      <c r="O3398" s="377">
        <f>IPMT('Assumptions (O&amp;G Upstream)'!$B$339,Model!AE$1,'Assumptions (O&amp;G Upstream)'!$B$342,Model!$G$3339)</f>
        <v>-0.60858582461915645</v>
      </c>
      <c r="P3398" s="377">
        <f>IPMT('Assumptions (O&amp;G Upstream)'!$B$339,Model!AF$1,'Assumptions (O&amp;G Upstream)'!$B$342,Model!$G$3339)</f>
        <v>-0.31529145130871955</v>
      </c>
      <c r="Q3398" s="377" t="e">
        <f>IPMT('Assumptions (O&amp;G Upstream)'!$B$339,Model!AG$1,'Assumptions (O&amp;G Upstream)'!$B$342,Model!$G$3339)</f>
        <v>#NUM!</v>
      </c>
      <c r="R3398" s="377" t="e">
        <f>IPMT('Assumptions (O&amp;G Upstream)'!$B$339,Model!AH$1,'Assumptions (O&amp;G Upstream)'!$B$342,Model!$G$3339)</f>
        <v>#NUM!</v>
      </c>
      <c r="S3398" s="377" t="e">
        <f>IPMT('Assumptions (O&amp;G Upstream)'!$B$339,Model!AI$1,'Assumptions (O&amp;G Upstream)'!$B$342,Model!$G$3339)</f>
        <v>#NUM!</v>
      </c>
      <c r="T3398" s="377" t="e">
        <f>IPMT('Assumptions (O&amp;G Upstream)'!$B$339,Model!AJ$1,'Assumptions (O&amp;G Upstream)'!$B$342,Model!$G$3339)</f>
        <v>#NUM!</v>
      </c>
      <c r="U3398" s="377" t="e">
        <f>IPMT('Assumptions (O&amp;G Upstream)'!$B$339,Model!AK$1,'Assumptions (O&amp;G Upstream)'!$B$342,Model!$G$3339)</f>
        <v>#NUM!</v>
      </c>
      <c r="V3398" s="377" t="e">
        <f>IPMT('Assumptions (O&amp;G Upstream)'!$B$339,Model!AL$1,'Assumptions (O&amp;G Upstream)'!$B$342,Model!$G$3339)</f>
        <v>#NUM!</v>
      </c>
      <c r="W3398" s="377" t="e">
        <f>IPMT('Assumptions (O&amp;G Upstream)'!$B$339,Model!AM$1,'Assumptions (O&amp;G Upstream)'!$B$342,Model!$G$3339)</f>
        <v>#NUM!</v>
      </c>
      <c r="X3398" s="377" t="e">
        <f>IPMT('Assumptions (O&amp;G Upstream)'!$B$339,Model!AN$1,'Assumptions (O&amp;G Upstream)'!$B$342,Model!$G$3339)</f>
        <v>#NUM!</v>
      </c>
      <c r="Y3398" s="377" t="e">
        <f>IPMT('Assumptions (O&amp;G Upstream)'!$B$339,Model!AO$1,'Assumptions (O&amp;G Upstream)'!$B$342,Model!$G$3339)</f>
        <v>#NUM!</v>
      </c>
      <c r="Z3398" s="377" t="e">
        <f>IPMT('Assumptions (O&amp;G Upstream)'!$B$339,Model!AP$1,'Assumptions (O&amp;G Upstream)'!$B$342,Model!$G$3339)</f>
        <v>#NUM!</v>
      </c>
      <c r="AA3398" s="377" t="e">
        <f>IPMT('Assumptions (O&amp;G Upstream)'!$B$339,Model!AQ$1,'Assumptions (O&amp;G Upstream)'!$B$342,Model!$G$3339)</f>
        <v>#NUM!</v>
      </c>
      <c r="AB3398" s="377" t="e">
        <f>IPMT('Assumptions (O&amp;G Upstream)'!$B$339,Model!AR$1,'Assumptions (O&amp;G Upstream)'!$B$342,Model!$G$3339)</f>
        <v>#NUM!</v>
      </c>
      <c r="AC3398" s="377" t="e">
        <f>IPMT('Assumptions (O&amp;G Upstream)'!$B$339,Model!AS$1,'Assumptions (O&amp;G Upstream)'!$B$342,Model!$G$3339)</f>
        <v>#NUM!</v>
      </c>
      <c r="AD3398" s="377" t="e">
        <f>IPMT('Assumptions (O&amp;G Upstream)'!$B$339,Model!AT$1,'Assumptions (O&amp;G Upstream)'!$B$342,Model!$G$3339)</f>
        <v>#NUM!</v>
      </c>
      <c r="AE3398" s="377" t="e">
        <f>IPMT('Assumptions (O&amp;G Upstream)'!$B$339,Model!AU$1,'Assumptions (O&amp;G Upstream)'!$B$342,Model!$G$3339)</f>
        <v>#NUM!</v>
      </c>
    </row>
    <row r="3399" spans="1:77" ht="15.75" hidden="1" customHeight="1" outlineLevel="1">
      <c r="A3399" s="472"/>
      <c r="B3399" s="99"/>
      <c r="C3399" s="377"/>
      <c r="D3399" s="377"/>
      <c r="E3399" s="377"/>
      <c r="F3399" s="377"/>
      <c r="G3399" s="377"/>
      <c r="H3399" s="377">
        <f>IPMT('Assumptions (O&amp;G Upstream)'!$B$339,Model!W$1,'Assumptions (O&amp;G Upstream)'!$B$342,Model!$H$3339)</f>
        <v>-3.2265000000000001</v>
      </c>
      <c r="I3399" s="377">
        <f>IPMT('Assumptions (O&amp;G Upstream)'!$B$339,Model!X$1,'Assumptions (O&amp;G Upstream)'!$B$342,Model!$H$3339)</f>
        <v>-2.998431855159617</v>
      </c>
      <c r="J3399" s="377">
        <f>IPMT('Assumptions (O&amp;G Upstream)'!$B$339,Model!Y$1,'Assumptions (O&amp;G Upstream)'!$B$342,Model!$H$3339)</f>
        <v>-2.753258599456204</v>
      </c>
      <c r="K3399" s="377">
        <f>IPMT('Assumptions (O&amp;G Upstream)'!$B$339,Model!Z$1,'Assumptions (O&amp;G Upstream)'!$B$342,Model!$H$3339)</f>
        <v>-2.4896973495750361</v>
      </c>
      <c r="L3399" s="377">
        <f>IPMT('Assumptions (O&amp;G Upstream)'!$B$339,Model!AA$1,'Assumptions (O&amp;G Upstream)'!$B$342,Model!$H$3339)</f>
        <v>-2.2063690059527796</v>
      </c>
      <c r="M3399" s="377">
        <f>IPMT('Assumptions (O&amp;G Upstream)'!$B$339,Model!AB$1,'Assumptions (O&amp;G Upstream)'!$B$342,Model!$H$3339)</f>
        <v>-1.9017910365588548</v>
      </c>
      <c r="N3399" s="377">
        <f>IPMT('Assumptions (O&amp;G Upstream)'!$B$339,Model!AC$1,'Assumptions (O&amp;G Upstream)'!$B$342,Model!$H$3339)</f>
        <v>-1.5743697194603854</v>
      </c>
      <c r="O3399" s="377">
        <f>IPMT('Assumptions (O&amp;G Upstream)'!$B$339,Model!AD$1,'Assumptions (O&amp;G Upstream)'!$B$342,Model!$H$3339)</f>
        <v>-1.2223918035795303</v>
      </c>
      <c r="P3399" s="377">
        <f>IPMT('Assumptions (O&amp;G Upstream)'!$B$339,Model!AE$1,'Assumptions (O&amp;G Upstream)'!$B$342,Model!$H$3339)</f>
        <v>-0.84401554400761158</v>
      </c>
      <c r="Q3399" s="377">
        <f>IPMT('Assumptions (O&amp;G Upstream)'!$B$339,Model!AF$1,'Assumptions (O&amp;G Upstream)'!$B$342,Model!$H$3339)</f>
        <v>-0.43726106496779876</v>
      </c>
      <c r="R3399" s="377" t="e">
        <f>IPMT('Assumptions (O&amp;G Upstream)'!$B$339,Model!AG$1,'Assumptions (O&amp;G Upstream)'!$B$342,Model!$H$3339)</f>
        <v>#NUM!</v>
      </c>
      <c r="S3399" s="377" t="e">
        <f>IPMT('Assumptions (O&amp;G Upstream)'!$B$339,Model!AH$1,'Assumptions (O&amp;G Upstream)'!$B$342,Model!$H$3339)</f>
        <v>#NUM!</v>
      </c>
      <c r="T3399" s="377" t="e">
        <f>IPMT('Assumptions (O&amp;G Upstream)'!$B$339,Model!AI$1,'Assumptions (O&amp;G Upstream)'!$B$342,Model!$H$3339)</f>
        <v>#NUM!</v>
      </c>
      <c r="U3399" s="377" t="e">
        <f>IPMT('Assumptions (O&amp;G Upstream)'!$B$339,Model!AJ$1,'Assumptions (O&amp;G Upstream)'!$B$342,Model!$H$3339)</f>
        <v>#NUM!</v>
      </c>
      <c r="V3399" s="377" t="e">
        <f>IPMT('Assumptions (O&amp;G Upstream)'!$B$339,Model!AK$1,'Assumptions (O&amp;G Upstream)'!$B$342,Model!$H$3339)</f>
        <v>#NUM!</v>
      </c>
      <c r="W3399" s="377" t="e">
        <f>IPMT('Assumptions (O&amp;G Upstream)'!$B$339,Model!AL$1,'Assumptions (O&amp;G Upstream)'!$B$342,Model!$H$3339)</f>
        <v>#NUM!</v>
      </c>
      <c r="X3399" s="377" t="e">
        <f>IPMT('Assumptions (O&amp;G Upstream)'!$B$339,Model!AM$1,'Assumptions (O&amp;G Upstream)'!$B$342,Model!$H$3339)</f>
        <v>#NUM!</v>
      </c>
      <c r="Y3399" s="377" t="e">
        <f>IPMT('Assumptions (O&amp;G Upstream)'!$B$339,Model!AN$1,'Assumptions (O&amp;G Upstream)'!$B$342,Model!$H$3339)</f>
        <v>#NUM!</v>
      </c>
      <c r="Z3399" s="377" t="e">
        <f>IPMT('Assumptions (O&amp;G Upstream)'!$B$339,Model!AO$1,'Assumptions (O&amp;G Upstream)'!$B$342,Model!$H$3339)</f>
        <v>#NUM!</v>
      </c>
      <c r="AA3399" s="377" t="e">
        <f>IPMT('Assumptions (O&amp;G Upstream)'!$B$339,Model!AP$1,'Assumptions (O&amp;G Upstream)'!$B$342,Model!$H$3339)</f>
        <v>#NUM!</v>
      </c>
      <c r="AB3399" s="377" t="e">
        <f>IPMT('Assumptions (O&amp;G Upstream)'!$B$339,Model!AQ$1,'Assumptions (O&amp;G Upstream)'!$B$342,Model!$H$3339)</f>
        <v>#NUM!</v>
      </c>
      <c r="AC3399" s="377" t="e">
        <f>IPMT('Assumptions (O&amp;G Upstream)'!$B$339,Model!AR$1,'Assumptions (O&amp;G Upstream)'!$B$342,Model!$H$3339)</f>
        <v>#NUM!</v>
      </c>
      <c r="AD3399" s="377" t="e">
        <f>IPMT('Assumptions (O&amp;G Upstream)'!$B$339,Model!AS$1,'Assumptions (O&amp;G Upstream)'!$B$342,Model!$H$3339)</f>
        <v>#NUM!</v>
      </c>
      <c r="AE3399" s="377" t="e">
        <f>IPMT('Assumptions (O&amp;G Upstream)'!$B$339,Model!AT$1,'Assumptions (O&amp;G Upstream)'!$B$342,Model!$H$3339)</f>
        <v>#NUM!</v>
      </c>
      <c r="AF3399" s="377" t="e">
        <f>IPMT('Assumptions (O&amp;G Upstream)'!$B$339,Model!AU$1,'Assumptions (O&amp;G Upstream)'!$B$342,Model!$H$3339)</f>
        <v>#NUM!</v>
      </c>
    </row>
    <row r="3400" spans="1:77" ht="15.75" hidden="1" customHeight="1" outlineLevel="1">
      <c r="A3400" s="472"/>
      <c r="B3400" s="99"/>
      <c r="C3400" s="377"/>
      <c r="D3400" s="377"/>
      <c r="E3400" s="377"/>
      <c r="F3400" s="377"/>
      <c r="G3400" s="377"/>
      <c r="H3400" s="377"/>
      <c r="I3400" s="377">
        <f>IPMT('Assumptions (O&amp;G Upstream)'!$B$339,Model!W$1,'Assumptions (O&amp;G Upstream)'!$B$342,Model!$I$3339)</f>
        <v>-4.4459999999999997</v>
      </c>
      <c r="J3400" s="377">
        <f>IPMT('Assumptions (O&amp;G Upstream)'!$B$339,Model!X$1,'Assumptions (O&amp;G Upstream)'!$B$342,Model!$I$3339)</f>
        <v>-4.1317303666634597</v>
      </c>
      <c r="K3400" s="377">
        <f>IPMT('Assumptions (O&amp;G Upstream)'!$B$339,Model!Y$1,'Assumptions (O&amp;G Upstream)'!$B$342,Model!$I$3339)</f>
        <v>-3.7938905108266794</v>
      </c>
      <c r="L3400" s="377">
        <f>IPMT('Assumptions (O&amp;G Upstream)'!$B$339,Model!Z$1,'Assumptions (O&amp;G Upstream)'!$B$342,Model!$I$3339)</f>
        <v>-3.4307126658021407</v>
      </c>
      <c r="M3400" s="377">
        <f>IPMT('Assumptions (O&amp;G Upstream)'!$B$339,Model!AA$1,'Assumptions (O&amp;G Upstream)'!$B$342,Model!$I$3339)</f>
        <v>-3.0402964824007617</v>
      </c>
      <c r="N3400" s="377">
        <f>IPMT('Assumptions (O&amp;G Upstream)'!$B$339,Model!AB$1,'Assumptions (O&amp;G Upstream)'!$B$342,Model!$I$3339)</f>
        <v>-2.6205990852442791</v>
      </c>
      <c r="O3400" s="377">
        <f>IPMT('Assumptions (O&amp;G Upstream)'!$B$339,Model!AC$1,'Assumptions (O&amp;G Upstream)'!$B$342,Model!$I$3339)</f>
        <v>-2.1694243833010605</v>
      </c>
      <c r="P3400" s="377">
        <f>IPMT('Assumptions (O&amp;G Upstream)'!$B$339,Model!AD$1,'Assumptions (O&amp;G Upstream)'!$B$342,Model!$I$3339)</f>
        <v>-1.6844115787120999</v>
      </c>
      <c r="Q3400" s="377">
        <f>IPMT('Assumptions (O&amp;G Upstream)'!$B$339,Model!AE$1,'Assumptions (O&amp;G Upstream)'!$B$342,Model!$I$3339)</f>
        <v>-1.163022813778968</v>
      </c>
      <c r="R3400" s="377">
        <f>IPMT('Assumptions (O&amp;G Upstream)'!$B$339,Model!AF$1,'Assumptions (O&amp;G Upstream)'!$B$342,Model!$I$3339)</f>
        <v>-0.6025298914758509</v>
      </c>
      <c r="S3400" s="377" t="e">
        <f>IPMT('Assumptions (O&amp;G Upstream)'!$B$339,Model!AG$1,'Assumptions (O&amp;G Upstream)'!$B$342,Model!$I$3339)</f>
        <v>#NUM!</v>
      </c>
      <c r="T3400" s="377" t="e">
        <f>IPMT('Assumptions (O&amp;G Upstream)'!$B$339,Model!AH$1,'Assumptions (O&amp;G Upstream)'!$B$342,Model!$I$3339)</f>
        <v>#NUM!</v>
      </c>
      <c r="U3400" s="377" t="e">
        <f>IPMT('Assumptions (O&amp;G Upstream)'!$B$339,Model!AI$1,'Assumptions (O&amp;G Upstream)'!$B$342,Model!$I$3339)</f>
        <v>#NUM!</v>
      </c>
      <c r="V3400" s="377" t="e">
        <f>IPMT('Assumptions (O&amp;G Upstream)'!$B$339,Model!AJ$1,'Assumptions (O&amp;G Upstream)'!$B$342,Model!$I$3339)</f>
        <v>#NUM!</v>
      </c>
      <c r="W3400" s="377" t="e">
        <f>IPMT('Assumptions (O&amp;G Upstream)'!$B$339,Model!AK$1,'Assumptions (O&amp;G Upstream)'!$B$342,Model!$I$3339)</f>
        <v>#NUM!</v>
      </c>
      <c r="X3400" s="377" t="e">
        <f>IPMT('Assumptions (O&amp;G Upstream)'!$B$339,Model!AL$1,'Assumptions (O&amp;G Upstream)'!$B$342,Model!$I$3339)</f>
        <v>#NUM!</v>
      </c>
      <c r="Y3400" s="377" t="e">
        <f>IPMT('Assumptions (O&amp;G Upstream)'!$B$339,Model!AM$1,'Assumptions (O&amp;G Upstream)'!$B$342,Model!$I$3339)</f>
        <v>#NUM!</v>
      </c>
      <c r="Z3400" s="377" t="e">
        <f>IPMT('Assumptions (O&amp;G Upstream)'!$B$339,Model!AN$1,'Assumptions (O&amp;G Upstream)'!$B$342,Model!$I$3339)</f>
        <v>#NUM!</v>
      </c>
      <c r="AA3400" s="377" t="e">
        <f>IPMT('Assumptions (O&amp;G Upstream)'!$B$339,Model!AO$1,'Assumptions (O&amp;G Upstream)'!$B$342,Model!$I$3339)</f>
        <v>#NUM!</v>
      </c>
      <c r="AB3400" s="377" t="e">
        <f>IPMT('Assumptions (O&amp;G Upstream)'!$B$339,Model!AP$1,'Assumptions (O&amp;G Upstream)'!$B$342,Model!$I$3339)</f>
        <v>#NUM!</v>
      </c>
      <c r="AC3400" s="377" t="e">
        <f>IPMT('Assumptions (O&amp;G Upstream)'!$B$339,Model!AQ$1,'Assumptions (O&amp;G Upstream)'!$B$342,Model!$I$3339)</f>
        <v>#NUM!</v>
      </c>
      <c r="AD3400" s="377" t="e">
        <f>IPMT('Assumptions (O&amp;G Upstream)'!$B$339,Model!AR$1,'Assumptions (O&amp;G Upstream)'!$B$342,Model!$I$3339)</f>
        <v>#NUM!</v>
      </c>
      <c r="AE3400" s="377" t="e">
        <f>IPMT('Assumptions (O&amp;G Upstream)'!$B$339,Model!AS$1,'Assumptions (O&amp;G Upstream)'!$B$342,Model!$I$3339)</f>
        <v>#NUM!</v>
      </c>
      <c r="AF3400" s="377" t="e">
        <f>IPMT('Assumptions (O&amp;G Upstream)'!$B$339,Model!AT$1,'Assumptions (O&amp;G Upstream)'!$B$342,Model!$I$3339)</f>
        <v>#NUM!</v>
      </c>
      <c r="AG3400" s="377" t="e">
        <f>IPMT('Assumptions (O&amp;G Upstream)'!$B$339,Model!AU$1,'Assumptions (O&amp;G Upstream)'!$B$342,Model!$I$3339)</f>
        <v>#NUM!</v>
      </c>
    </row>
    <row r="3401" spans="1:77" ht="15.75" hidden="1" customHeight="1" outlineLevel="1">
      <c r="A3401" s="472"/>
      <c r="B3401" s="99"/>
      <c r="C3401" s="377"/>
      <c r="D3401" s="377"/>
      <c r="E3401" s="377"/>
      <c r="F3401" s="377"/>
      <c r="G3401" s="377"/>
      <c r="H3401" s="377"/>
      <c r="I3401" s="377"/>
      <c r="J3401" s="377">
        <f>IPMT('Assumptions (O&amp;G Upstream)'!$B$339,Model!W$1,'Assumptions (O&amp;G Upstream)'!$B$342,Model!$J$3339)</f>
        <v>-4.8644999999999996</v>
      </c>
      <c r="K3401" s="377">
        <f>IPMT('Assumptions (O&amp;G Upstream)'!$B$339,Model!X$1,'Assumptions (O&amp;G Upstream)'!$B$342,Model!$J$3339)</f>
        <v>-4.5206483060356284</v>
      </c>
      <c r="L3401" s="377">
        <f>IPMT('Assumptions (O&amp;G Upstream)'!$B$339,Model!Y$1,'Assumptions (O&amp;G Upstream)'!$B$342,Model!$J$3339)</f>
        <v>-4.1510077350239278</v>
      </c>
      <c r="M3401" s="377">
        <f>IPMT('Assumptions (O&amp;G Upstream)'!$B$339,Model!Z$1,'Assumptions (O&amp;G Upstream)'!$B$342,Model!$J$3339)</f>
        <v>-3.7536441211863507</v>
      </c>
      <c r="N3401" s="377">
        <f>IPMT('Assumptions (O&amp;G Upstream)'!$B$339,Model!AA$1,'Assumptions (O&amp;G Upstream)'!$B$342,Model!$J$3339)</f>
        <v>-3.3264782363109551</v>
      </c>
      <c r="O3401" s="377">
        <f>IPMT('Assumptions (O&amp;G Upstream)'!$B$339,Model!AB$1,'Assumptions (O&amp;G Upstream)'!$B$342,Model!$J$3339)</f>
        <v>-2.8672749100699053</v>
      </c>
      <c r="P3401" s="377">
        <f>IPMT('Assumptions (O&amp;G Upstream)'!$B$339,Model!AC$1,'Assumptions (O&amp;G Upstream)'!$B$342,Model!$J$3339)</f>
        <v>-2.373631334360776</v>
      </c>
      <c r="Q3401" s="377">
        <f>IPMT('Assumptions (O&amp;G Upstream)'!$B$339,Model!AD$1,'Assumptions (O&amp;G Upstream)'!$B$342,Model!$J$3339)</f>
        <v>-1.8429644904734619</v>
      </c>
      <c r="R3401" s="377">
        <f>IPMT('Assumptions (O&amp;G Upstream)'!$B$339,Model!AE$1,'Assumptions (O&amp;G Upstream)'!$B$342,Model!$J$3339)</f>
        <v>-1.2724976332945996</v>
      </c>
      <c r="S3401" s="377">
        <f>IPMT('Assumptions (O&amp;G Upstream)'!$B$339,Model!AF$1,'Assumptions (O&amp;G Upstream)'!$B$342,Model!$J$3339)</f>
        <v>-0.65924576182732275</v>
      </c>
      <c r="T3401" s="377" t="e">
        <f>IPMT('Assumptions (O&amp;G Upstream)'!$B$339,Model!AG$1,'Assumptions (O&amp;G Upstream)'!$B$342,Model!$J$3339)</f>
        <v>#NUM!</v>
      </c>
      <c r="U3401" s="377" t="e">
        <f>IPMT('Assumptions (O&amp;G Upstream)'!$B$339,Model!AH$1,'Assumptions (O&amp;G Upstream)'!$B$342,Model!$J$3339)</f>
        <v>#NUM!</v>
      </c>
      <c r="V3401" s="377" t="e">
        <f>IPMT('Assumptions (O&amp;G Upstream)'!$B$339,Model!AI$1,'Assumptions (O&amp;G Upstream)'!$B$342,Model!$J$3339)</f>
        <v>#NUM!</v>
      </c>
      <c r="W3401" s="377" t="e">
        <f>IPMT('Assumptions (O&amp;G Upstream)'!$B$339,Model!AJ$1,'Assumptions (O&amp;G Upstream)'!$B$342,Model!$J$3339)</f>
        <v>#NUM!</v>
      </c>
      <c r="X3401" s="377" t="e">
        <f>IPMT('Assumptions (O&amp;G Upstream)'!$B$339,Model!AK$1,'Assumptions (O&amp;G Upstream)'!$B$342,Model!$J$3339)</f>
        <v>#NUM!</v>
      </c>
      <c r="Y3401" s="377" t="e">
        <f>IPMT('Assumptions (O&amp;G Upstream)'!$B$339,Model!AL$1,'Assumptions (O&amp;G Upstream)'!$B$342,Model!$J$3339)</f>
        <v>#NUM!</v>
      </c>
      <c r="Z3401" s="377" t="e">
        <f>IPMT('Assumptions (O&amp;G Upstream)'!$B$339,Model!AM$1,'Assumptions (O&amp;G Upstream)'!$B$342,Model!$J$3339)</f>
        <v>#NUM!</v>
      </c>
      <c r="AA3401" s="377" t="e">
        <f>IPMT('Assumptions (O&amp;G Upstream)'!$B$339,Model!AN$1,'Assumptions (O&amp;G Upstream)'!$B$342,Model!$J$3339)</f>
        <v>#NUM!</v>
      </c>
      <c r="AB3401" s="377" t="e">
        <f>IPMT('Assumptions (O&amp;G Upstream)'!$B$339,Model!AO$1,'Assumptions (O&amp;G Upstream)'!$B$342,Model!$J$3339)</f>
        <v>#NUM!</v>
      </c>
      <c r="AC3401" s="377" t="e">
        <f>IPMT('Assumptions (O&amp;G Upstream)'!$B$339,Model!AP$1,'Assumptions (O&amp;G Upstream)'!$B$342,Model!$J$3339)</f>
        <v>#NUM!</v>
      </c>
      <c r="AD3401" s="377" t="e">
        <f>IPMT('Assumptions (O&amp;G Upstream)'!$B$339,Model!AQ$1,'Assumptions (O&amp;G Upstream)'!$B$342,Model!$J$3339)</f>
        <v>#NUM!</v>
      </c>
      <c r="AE3401" s="377" t="e">
        <f>IPMT('Assumptions (O&amp;G Upstream)'!$B$339,Model!AR$1,'Assumptions (O&amp;G Upstream)'!$B$342,Model!$J$3339)</f>
        <v>#NUM!</v>
      </c>
      <c r="AF3401" s="377" t="e">
        <f>IPMT('Assumptions (O&amp;G Upstream)'!$B$339,Model!AS$1,'Assumptions (O&amp;G Upstream)'!$B$342,Model!$J$3339)</f>
        <v>#NUM!</v>
      </c>
      <c r="AG3401" s="377" t="e">
        <f>IPMT('Assumptions (O&amp;G Upstream)'!$B$339,Model!AT$1,'Assumptions (O&amp;G Upstream)'!$B$342,Model!$J$3339)</f>
        <v>#NUM!</v>
      </c>
      <c r="AH3401" s="377" t="e">
        <f>IPMT('Assumptions (O&amp;G Upstream)'!$B$339,Model!AU$1,'Assumptions (O&amp;G Upstream)'!$B$342,Model!$J$3339)</f>
        <v>#NUM!</v>
      </c>
    </row>
    <row r="3402" spans="1:77" ht="15.75" hidden="1" customHeight="1" outlineLevel="1">
      <c r="A3402" s="472"/>
      <c r="B3402" s="99"/>
      <c r="C3402" s="377"/>
      <c r="D3402" s="377"/>
      <c r="E3402" s="377"/>
      <c r="F3402" s="377"/>
      <c r="G3402" s="377"/>
      <c r="H3402" s="377"/>
      <c r="I3402" s="377"/>
      <c r="J3402" s="377"/>
      <c r="K3402" s="377">
        <f>IPMT('Assumptions (O&amp;G Upstream)'!$B$339,Model!W$1,'Assumptions (O&amp;G Upstream)'!$B$342,Model!$K$3339)</f>
        <v>-5.6384999999999996</v>
      </c>
      <c r="L3402" s="377">
        <f>IPMT('Assumptions (O&amp;G Upstream)'!$B$339,Model!X$1,'Assumptions (O&amp;G Upstream)'!$B$342,Model!$K$3339)</f>
        <v>-5.2399373982078084</v>
      </c>
      <c r="M3402" s="377">
        <f>IPMT('Assumptions (O&amp;G Upstream)'!$B$339,Model!Y$1,'Assumptions (O&amp;G Upstream)'!$B$342,Model!$K$3339)</f>
        <v>-4.8114826012812033</v>
      </c>
      <c r="N3402" s="377">
        <f>IPMT('Assumptions (O&amp;G Upstream)'!$B$339,Model!Z$1,'Assumptions (O&amp;G Upstream)'!$B$342,Model!$K$3339)</f>
        <v>-4.3508936945851033</v>
      </c>
      <c r="O3402" s="377">
        <f>IPMT('Assumptions (O&amp;G Upstream)'!$B$339,Model!AA$1,'Assumptions (O&amp;G Upstream)'!$B$342,Model!$K$3339)</f>
        <v>-3.8557606198867957</v>
      </c>
      <c r="P3402" s="377">
        <f>IPMT('Assumptions (O&amp;G Upstream)'!$B$339,Model!AB$1,'Assumptions (O&amp;G Upstream)'!$B$342,Model!$K$3339)</f>
        <v>-3.3234925645861151</v>
      </c>
      <c r="Q3402" s="377">
        <f>IPMT('Assumptions (O&amp;G Upstream)'!$B$339,Model!AC$1,'Assumptions (O&amp;G Upstream)'!$B$342,Model!$K$3339)</f>
        <v>-2.7513044051378834</v>
      </c>
      <c r="R3402" s="377">
        <f>IPMT('Assumptions (O&amp;G Upstream)'!$B$339,Model!AD$1,'Assumptions (O&amp;G Upstream)'!$B$342,Model!$K$3339)</f>
        <v>-2.1362021337310337</v>
      </c>
      <c r="S3402" s="377">
        <f>IPMT('Assumptions (O&amp;G Upstream)'!$B$339,Model!AE$1,'Assumptions (O&amp;G Upstream)'!$B$342,Model!$K$3339)</f>
        <v>-1.4749671919686709</v>
      </c>
      <c r="T3402" s="377">
        <f>IPMT('Assumptions (O&amp;G Upstream)'!$B$339,Model!AF$1,'Assumptions (O&amp;G Upstream)'!$B$342,Model!$K$3339)</f>
        <v>-0.76413962957413073</v>
      </c>
      <c r="U3402" s="377" t="e">
        <f>IPMT('Assumptions (O&amp;G Upstream)'!$B$339,Model!AG$1,'Assumptions (O&amp;G Upstream)'!$B$342,Model!$K$3339)</f>
        <v>#NUM!</v>
      </c>
      <c r="V3402" s="377" t="e">
        <f>IPMT('Assumptions (O&amp;G Upstream)'!$B$339,Model!AH$1,'Assumptions (O&amp;G Upstream)'!$B$342,Model!$K$3339)</f>
        <v>#NUM!</v>
      </c>
      <c r="W3402" s="377" t="e">
        <f>IPMT('Assumptions (O&amp;G Upstream)'!$B$339,Model!AI$1,'Assumptions (O&amp;G Upstream)'!$B$342,Model!$K$3339)</f>
        <v>#NUM!</v>
      </c>
      <c r="X3402" s="377" t="e">
        <f>IPMT('Assumptions (O&amp;G Upstream)'!$B$339,Model!AJ$1,'Assumptions (O&amp;G Upstream)'!$B$342,Model!$K$3339)</f>
        <v>#NUM!</v>
      </c>
      <c r="Y3402" s="377" t="e">
        <f>IPMT('Assumptions (O&amp;G Upstream)'!$B$339,Model!AK$1,'Assumptions (O&amp;G Upstream)'!$B$342,Model!$K$3339)</f>
        <v>#NUM!</v>
      </c>
      <c r="Z3402" s="377" t="e">
        <f>IPMT('Assumptions (O&amp;G Upstream)'!$B$339,Model!AL$1,'Assumptions (O&amp;G Upstream)'!$B$342,Model!$K$3339)</f>
        <v>#NUM!</v>
      </c>
      <c r="AA3402" s="377" t="e">
        <f>IPMT('Assumptions (O&amp;G Upstream)'!$B$339,Model!AM$1,'Assumptions (O&amp;G Upstream)'!$B$342,Model!$K$3339)</f>
        <v>#NUM!</v>
      </c>
      <c r="AB3402" s="377" t="e">
        <f>IPMT('Assumptions (O&amp;G Upstream)'!$B$339,Model!AN$1,'Assumptions (O&amp;G Upstream)'!$B$342,Model!$K$3339)</f>
        <v>#NUM!</v>
      </c>
      <c r="AC3402" s="377" t="e">
        <f>IPMT('Assumptions (O&amp;G Upstream)'!$B$339,Model!AO$1,'Assumptions (O&amp;G Upstream)'!$B$342,Model!$K$3339)</f>
        <v>#NUM!</v>
      </c>
      <c r="AD3402" s="377" t="e">
        <f>IPMT('Assumptions (O&amp;G Upstream)'!$B$339,Model!AP$1,'Assumptions (O&amp;G Upstream)'!$B$342,Model!$K$3339)</f>
        <v>#NUM!</v>
      </c>
      <c r="AE3402" s="377" t="e">
        <f>IPMT('Assumptions (O&amp;G Upstream)'!$B$339,Model!AQ$1,'Assumptions (O&amp;G Upstream)'!$B$342,Model!$K$3339)</f>
        <v>#NUM!</v>
      </c>
      <c r="AF3402" s="377" t="e">
        <f>IPMT('Assumptions (O&amp;G Upstream)'!$B$339,Model!AR$1,'Assumptions (O&amp;G Upstream)'!$B$342,Model!$K$3339)</f>
        <v>#NUM!</v>
      </c>
      <c r="AG3402" s="377" t="e">
        <f>IPMT('Assumptions (O&amp;G Upstream)'!$B$339,Model!AS$1,'Assumptions (O&amp;G Upstream)'!$B$342,Model!$K$3339)</f>
        <v>#NUM!</v>
      </c>
      <c r="AH3402" s="377" t="e">
        <f>IPMT('Assumptions (O&amp;G Upstream)'!$B$339,Model!AT$1,'Assumptions (O&amp;G Upstream)'!$B$342,Model!$K$3339)</f>
        <v>#NUM!</v>
      </c>
      <c r="AI3402" s="377" t="e">
        <f>IPMT('Assumptions (O&amp;G Upstream)'!$B$339,Model!AU$1,'Assumptions (O&amp;G Upstream)'!$B$342,Model!$K$3339)</f>
        <v>#NUM!</v>
      </c>
    </row>
    <row r="3403" spans="1:77" ht="15.75" hidden="1" customHeight="1" outlineLevel="1">
      <c r="A3403" s="472"/>
      <c r="B3403" s="99"/>
      <c r="C3403" s="377"/>
      <c r="D3403" s="377"/>
      <c r="E3403" s="377"/>
      <c r="F3403" s="377"/>
      <c r="G3403" s="377"/>
      <c r="H3403" s="377"/>
      <c r="I3403" s="377"/>
      <c r="J3403" s="377"/>
      <c r="K3403" s="377"/>
      <c r="L3403" s="377">
        <f>IPMT('Assumptions (O&amp;G Upstream)'!$B$339,Model!W$1,'Assumptions (O&amp;G Upstream)'!$B$342,Model!$L$3339)</f>
        <v>-3.9239999999999999</v>
      </c>
      <c r="M3403" s="377">
        <f>IPMT('Assumptions (O&amp;G Upstream)'!$B$339,Model!X$1,'Assumptions (O&amp;G Upstream)'!$B$342,Model!$L$3339)</f>
        <v>-3.646628420779896</v>
      </c>
      <c r="N3403" s="377">
        <f>IPMT('Assumptions (O&amp;G Upstream)'!$B$339,Model!Y$1,'Assumptions (O&amp;G Upstream)'!$B$342,Model!$L$3339)</f>
        <v>-3.3484539731182839</v>
      </c>
      <c r="O3403" s="377">
        <f>IPMT('Assumptions (O&amp;G Upstream)'!$B$339,Model!Z$1,'Assumptions (O&amp;G Upstream)'!$B$342,Model!$L$3339)</f>
        <v>-3.0279164418820517</v>
      </c>
      <c r="P3403" s="377">
        <f>IPMT('Assumptions (O&amp;G Upstream)'!$B$339,Model!AA$1,'Assumptions (O&amp;G Upstream)'!$B$342,Model!$L$3339)</f>
        <v>-2.6833385958031015</v>
      </c>
      <c r="Q3403" s="377">
        <f>IPMT('Assumptions (O&amp;G Upstream)'!$B$339,Model!AB$1,'Assumptions (O&amp;G Upstream)'!$B$342,Model!$L$3339)</f>
        <v>-2.3129174112682302</v>
      </c>
      <c r="R3403" s="377">
        <f>IPMT('Assumptions (O&amp;G Upstream)'!$B$339,Model!AC$1,'Assumptions (O&amp;G Upstream)'!$B$342,Model!$L$3339)</f>
        <v>-1.9147146378932438</v>
      </c>
      <c r="S3403" s="377">
        <f>IPMT('Assumptions (O&amp;G Upstream)'!$B$339,Model!AD$1,'Assumptions (O&amp;G Upstream)'!$B$342,Model!$L$3339)</f>
        <v>-1.4866466565151328</v>
      </c>
      <c r="T3403" s="377">
        <f>IPMT('Assumptions (O&amp;G Upstream)'!$B$339,Model!AE$1,'Assumptions (O&amp;G Upstream)'!$B$342,Model!$L$3339)</f>
        <v>-1.0264735765336641</v>
      </c>
      <c r="U3403" s="377">
        <f>IPMT('Assumptions (O&amp;G Upstream)'!$B$339,Model!AF$1,'Assumptions (O&amp;G Upstream)'!$B$342,Model!$L$3339)</f>
        <v>-0.53178751555358506</v>
      </c>
      <c r="V3403" s="377" t="e">
        <f>IPMT('Assumptions (O&amp;G Upstream)'!$B$339,Model!AG$1,'Assumptions (O&amp;G Upstream)'!$B$342,Model!$L$3339)</f>
        <v>#NUM!</v>
      </c>
      <c r="W3403" s="377" t="e">
        <f>IPMT('Assumptions (O&amp;G Upstream)'!$B$339,Model!AH$1,'Assumptions (O&amp;G Upstream)'!$B$342,Model!$L$3339)</f>
        <v>#NUM!</v>
      </c>
      <c r="X3403" s="377" t="e">
        <f>IPMT('Assumptions (O&amp;G Upstream)'!$B$339,Model!AI$1,'Assumptions (O&amp;G Upstream)'!$B$342,Model!$L$3339)</f>
        <v>#NUM!</v>
      </c>
      <c r="Y3403" s="377" t="e">
        <f>IPMT('Assumptions (O&amp;G Upstream)'!$B$339,Model!AJ$1,'Assumptions (O&amp;G Upstream)'!$B$342,Model!$L$3339)</f>
        <v>#NUM!</v>
      </c>
      <c r="Z3403" s="377" t="e">
        <f>IPMT('Assumptions (O&amp;G Upstream)'!$B$339,Model!AK$1,'Assumptions (O&amp;G Upstream)'!$B$342,Model!$L$3339)</f>
        <v>#NUM!</v>
      </c>
      <c r="AA3403" s="377" t="e">
        <f>IPMT('Assumptions (O&amp;G Upstream)'!$B$339,Model!AL$1,'Assumptions (O&amp;G Upstream)'!$B$342,Model!$L$3339)</f>
        <v>#NUM!</v>
      </c>
      <c r="AB3403" s="377" t="e">
        <f>IPMT('Assumptions (O&amp;G Upstream)'!$B$339,Model!AM$1,'Assumptions (O&amp;G Upstream)'!$B$342,Model!$L$3339)</f>
        <v>#NUM!</v>
      </c>
      <c r="AC3403" s="377" t="e">
        <f>IPMT('Assumptions (O&amp;G Upstream)'!$B$339,Model!AN$1,'Assumptions (O&amp;G Upstream)'!$B$342,Model!$L$3339)</f>
        <v>#NUM!</v>
      </c>
      <c r="AD3403" s="377" t="e">
        <f>IPMT('Assumptions (O&amp;G Upstream)'!$B$339,Model!AO$1,'Assumptions (O&amp;G Upstream)'!$B$342,Model!$L$3339)</f>
        <v>#NUM!</v>
      </c>
      <c r="AE3403" s="377" t="e">
        <f>IPMT('Assumptions (O&amp;G Upstream)'!$B$339,Model!AP$1,'Assumptions (O&amp;G Upstream)'!$B$342,Model!$L$3339)</f>
        <v>#NUM!</v>
      </c>
      <c r="AF3403" s="377" t="e">
        <f>IPMT('Assumptions (O&amp;G Upstream)'!$B$339,Model!AQ$1,'Assumptions (O&amp;G Upstream)'!$B$342,Model!$L$3339)</f>
        <v>#NUM!</v>
      </c>
      <c r="AG3403" s="377" t="e">
        <f>IPMT('Assumptions (O&amp;G Upstream)'!$B$339,Model!AR$1,'Assumptions (O&amp;G Upstream)'!$B$342,Model!$L$3339)</f>
        <v>#NUM!</v>
      </c>
      <c r="AH3403" s="377" t="e">
        <f>IPMT('Assumptions (O&amp;G Upstream)'!$B$339,Model!AS$1,'Assumptions (O&amp;G Upstream)'!$B$342,Model!$L$3339)</f>
        <v>#NUM!</v>
      </c>
      <c r="AI3403" s="377" t="e">
        <f>IPMT('Assumptions (O&amp;G Upstream)'!$B$339,Model!AT$1,'Assumptions (O&amp;G Upstream)'!$B$342,Model!$L$3339)</f>
        <v>#NUM!</v>
      </c>
      <c r="AJ3403" s="377" t="e">
        <f>IPMT('Assumptions (O&amp;G Upstream)'!$B$339,Model!AU$1,'Assumptions (O&amp;G Upstream)'!$B$342,Model!$L$3339)</f>
        <v>#NUM!</v>
      </c>
    </row>
    <row r="3404" spans="1:77" ht="15.75" hidden="1" customHeight="1" outlineLevel="1">
      <c r="A3404" s="472"/>
      <c r="B3404" s="99"/>
      <c r="C3404" s="377"/>
      <c r="D3404" s="377"/>
      <c r="E3404" s="377"/>
      <c r="F3404" s="377"/>
      <c r="G3404" s="377"/>
      <c r="H3404" s="377"/>
      <c r="I3404" s="377"/>
      <c r="J3404" s="377"/>
      <c r="K3404" s="377"/>
      <c r="L3404" s="377"/>
      <c r="M3404" s="377">
        <f>IPMT('Assumptions (O&amp;G Upstream)'!$B$339,Model!W$1,'Assumptions (O&amp;G Upstream)'!$B$342,Model!$M$3339)</f>
        <v>-4.6394999999999991</v>
      </c>
      <c r="N3404" s="377">
        <f>IPMT('Assumptions (O&amp;G Upstream)'!$B$339,Model!X$1,'Assumptions (O&amp;G Upstream)'!$B$342,Model!$M$3339)</f>
        <v>-4.3115526397065054</v>
      </c>
      <c r="O3404" s="377">
        <f>IPMT('Assumptions (O&amp;G Upstream)'!$B$339,Model!Y$1,'Assumptions (O&amp;G Upstream)'!$B$342,Model!$M$3339)</f>
        <v>-3.9590092273909985</v>
      </c>
      <c r="P3404" s="377">
        <f>IPMT('Assumptions (O&amp;G Upstream)'!$B$339,Model!Z$1,'Assumptions (O&amp;G Upstream)'!$B$342,Model!$M$3339)</f>
        <v>-3.5800250591518288</v>
      </c>
      <c r="Q3404" s="377">
        <f>IPMT('Assumptions (O&amp;G Upstream)'!$B$339,Model!AA$1,'Assumptions (O&amp;G Upstream)'!$B$342,Model!$M$3339)</f>
        <v>-3.1726170782947216</v>
      </c>
      <c r="R3404" s="377">
        <f>IPMT('Assumptions (O&amp;G Upstream)'!$B$339,Model!AB$1,'Assumptions (O&amp;G Upstream)'!$B$342,Model!$M$3339)</f>
        <v>-2.7346534988733322</v>
      </c>
      <c r="S3404" s="377">
        <f>IPMT('Assumptions (O&amp;G Upstream)'!$B$339,Model!AC$1,'Assumptions (O&amp;G Upstream)'!$B$342,Model!$M$3339)</f>
        <v>-2.2638426509953375</v>
      </c>
      <c r="T3404" s="377">
        <f>IPMT('Assumptions (O&amp;G Upstream)'!$B$339,Model!AD$1,'Assumptions (O&amp;G Upstream)'!$B$342,Model!$M$3339)</f>
        <v>-1.7577209895264931</v>
      </c>
      <c r="U3404" s="377">
        <f>IPMT('Assumptions (O&amp;G Upstream)'!$B$339,Model!AE$1,'Assumptions (O&amp;G Upstream)'!$B$342,Model!$M$3339)</f>
        <v>-1.2136402034474858</v>
      </c>
      <c r="V3404" s="377">
        <f>IPMT('Assumptions (O&amp;G Upstream)'!$B$339,Model!AF$1,'Assumptions (O&amp;G Upstream)'!$B$342,Model!$M$3339)</f>
        <v>-0.62875335841255298</v>
      </c>
      <c r="W3404" s="377" t="e">
        <f>IPMT('Assumptions (O&amp;G Upstream)'!$B$339,Model!AG$1,'Assumptions (O&amp;G Upstream)'!$B$342,Model!$M$3339)</f>
        <v>#NUM!</v>
      </c>
      <c r="X3404" s="377" t="e">
        <f>IPMT('Assumptions (O&amp;G Upstream)'!$B$339,Model!AH$1,'Assumptions (O&amp;G Upstream)'!$B$342,Model!$M$3339)</f>
        <v>#NUM!</v>
      </c>
      <c r="Y3404" s="377" t="e">
        <f>IPMT('Assumptions (O&amp;G Upstream)'!$B$339,Model!AI$1,'Assumptions (O&amp;G Upstream)'!$B$342,Model!$M$3339)</f>
        <v>#NUM!</v>
      </c>
      <c r="Z3404" s="377" t="e">
        <f>IPMT('Assumptions (O&amp;G Upstream)'!$B$339,Model!AJ$1,'Assumptions (O&amp;G Upstream)'!$B$342,Model!$M$3339)</f>
        <v>#NUM!</v>
      </c>
      <c r="AA3404" s="377" t="e">
        <f>IPMT('Assumptions (O&amp;G Upstream)'!$B$339,Model!AK$1,'Assumptions (O&amp;G Upstream)'!$B$342,Model!$M$3339)</f>
        <v>#NUM!</v>
      </c>
      <c r="AB3404" s="377" t="e">
        <f>IPMT('Assumptions (O&amp;G Upstream)'!$B$339,Model!AL$1,'Assumptions (O&amp;G Upstream)'!$B$342,Model!$M$3339)</f>
        <v>#NUM!</v>
      </c>
      <c r="AC3404" s="377" t="e">
        <f>IPMT('Assumptions (O&amp;G Upstream)'!$B$339,Model!AM$1,'Assumptions (O&amp;G Upstream)'!$B$342,Model!$M$3339)</f>
        <v>#NUM!</v>
      </c>
      <c r="AD3404" s="377" t="e">
        <f>IPMT('Assumptions (O&amp;G Upstream)'!$B$339,Model!AN$1,'Assumptions (O&amp;G Upstream)'!$B$342,Model!$M$3339)</f>
        <v>#NUM!</v>
      </c>
      <c r="AE3404" s="377" t="e">
        <f>IPMT('Assumptions (O&amp;G Upstream)'!$B$339,Model!AO$1,'Assumptions (O&amp;G Upstream)'!$B$342,Model!$M$3339)</f>
        <v>#NUM!</v>
      </c>
      <c r="AF3404" s="377" t="e">
        <f>IPMT('Assumptions (O&amp;G Upstream)'!$B$339,Model!AP$1,'Assumptions (O&amp;G Upstream)'!$B$342,Model!$M$3339)</f>
        <v>#NUM!</v>
      </c>
      <c r="AG3404" s="377" t="e">
        <f>IPMT('Assumptions (O&amp;G Upstream)'!$B$339,Model!AQ$1,'Assumptions (O&amp;G Upstream)'!$B$342,Model!$M$3339)</f>
        <v>#NUM!</v>
      </c>
      <c r="AH3404" s="377" t="e">
        <f>IPMT('Assumptions (O&amp;G Upstream)'!$B$339,Model!AR$1,'Assumptions (O&amp;G Upstream)'!$B$342,Model!$M$3339)</f>
        <v>#NUM!</v>
      </c>
      <c r="AI3404" s="377" t="e">
        <f>IPMT('Assumptions (O&amp;G Upstream)'!$B$339,Model!AS$1,'Assumptions (O&amp;G Upstream)'!$B$342,Model!$M$3339)</f>
        <v>#NUM!</v>
      </c>
      <c r="AJ3404" s="377" t="e">
        <f>IPMT('Assumptions (O&amp;G Upstream)'!$B$339,Model!AT$1,'Assumptions (O&amp;G Upstream)'!$B$342,Model!$M$3339)</f>
        <v>#NUM!</v>
      </c>
      <c r="AK3404" s="377" t="e">
        <f>IPMT('Assumptions (O&amp;G Upstream)'!$B$339,Model!AU$1,'Assumptions (O&amp;G Upstream)'!$B$342,Model!$M$3339)</f>
        <v>#NUM!</v>
      </c>
    </row>
    <row r="3405" spans="1:77" ht="15.75" hidden="1" customHeight="1" outlineLevel="1">
      <c r="A3405" s="472"/>
      <c r="B3405" s="99"/>
      <c r="C3405" s="377"/>
      <c r="D3405" s="377"/>
      <c r="E3405" s="377"/>
      <c r="F3405" s="377"/>
      <c r="G3405" s="377"/>
      <c r="H3405" s="377"/>
      <c r="I3405" s="377"/>
      <c r="J3405" s="377"/>
      <c r="K3405" s="377"/>
      <c r="L3405" s="377"/>
      <c r="M3405" s="377"/>
      <c r="N3405" s="377">
        <f>IPMT('Assumptions (O&amp;G Upstream)'!$B$339,Model!W$1,'Assumptions (O&amp;G Upstream)'!$B$342,Model!$N$3339)</f>
        <v>-5.8589999999999991</v>
      </c>
      <c r="O3405" s="377">
        <f>IPMT('Assumptions (O&amp;G Upstream)'!$B$339,Model!X$1,'Assumptions (O&amp;G Upstream)'!$B$342,Model!$N$3339)</f>
        <v>-5.444851151210349</v>
      </c>
      <c r="P3405" s="377">
        <f>IPMT('Assumptions (O&amp;G Upstream)'!$B$339,Model!Y$1,'Assumptions (O&amp;G Upstream)'!$B$342,Model!$N$3339)</f>
        <v>-4.9996411387614748</v>
      </c>
      <c r="Q3405" s="377">
        <f>IPMT('Assumptions (O&amp;G Upstream)'!$B$339,Model!Z$1,'Assumptions (O&amp;G Upstream)'!$B$342,Model!$N$3339)</f>
        <v>-4.5210403753789343</v>
      </c>
      <c r="R3405" s="377">
        <f>IPMT('Assumptions (O&amp;G Upstream)'!$B$339,Model!AA$1,'Assumptions (O&amp;G Upstream)'!$B$342,Model!$N$3339)</f>
        <v>-4.0065445547427041</v>
      </c>
      <c r="S3405" s="377">
        <f>IPMT('Assumptions (O&amp;G Upstream)'!$B$339,Model!AB$1,'Assumptions (O&amp;G Upstream)'!$B$342,Model!$N$3339)</f>
        <v>-3.4534615475587565</v>
      </c>
      <c r="T3405" s="377">
        <f>IPMT('Assumptions (O&amp;G Upstream)'!$B$339,Model!AC$1,'Assumptions (O&amp;G Upstream)'!$B$342,Model!$N$3339)</f>
        <v>-2.8588973148360131</v>
      </c>
      <c r="U3405" s="377">
        <f>IPMT('Assumptions (O&amp;G Upstream)'!$B$339,Model!AD$1,'Assumptions (O&amp;G Upstream)'!$B$342,Model!$N$3339)</f>
        <v>-2.219740764659063</v>
      </c>
      <c r="V3405" s="377">
        <f>IPMT('Assumptions (O&amp;G Upstream)'!$B$339,Model!AE$1,'Assumptions (O&amp;G Upstream)'!$B$342,Model!$N$3339)</f>
        <v>-1.5326474732188424</v>
      </c>
      <c r="W3405" s="377">
        <f>IPMT('Assumptions (O&amp;G Upstream)'!$B$339,Model!AF$1,'Assumptions (O&amp;G Upstream)'!$B$342,Model!$N$3339)</f>
        <v>-0.79402218492060517</v>
      </c>
      <c r="X3405" s="377" t="e">
        <f>IPMT('Assumptions (O&amp;G Upstream)'!$B$339,Model!AG$1,'Assumptions (O&amp;G Upstream)'!$B$342,Model!$N$3339)</f>
        <v>#NUM!</v>
      </c>
      <c r="Y3405" s="377" t="e">
        <f>IPMT('Assumptions (O&amp;G Upstream)'!$B$339,Model!AH$1,'Assumptions (O&amp;G Upstream)'!$B$342,Model!$N$3339)</f>
        <v>#NUM!</v>
      </c>
      <c r="Z3405" s="377" t="e">
        <f>IPMT('Assumptions (O&amp;G Upstream)'!$B$339,Model!AI$1,'Assumptions (O&amp;G Upstream)'!$B$342,Model!$N$3339)</f>
        <v>#NUM!</v>
      </c>
      <c r="AA3405" s="377" t="e">
        <f>IPMT('Assumptions (O&amp;G Upstream)'!$B$339,Model!AJ$1,'Assumptions (O&amp;G Upstream)'!$B$342,Model!$N$3339)</f>
        <v>#NUM!</v>
      </c>
      <c r="AB3405" s="377" t="e">
        <f>IPMT('Assumptions (O&amp;G Upstream)'!$B$339,Model!AK$1,'Assumptions (O&amp;G Upstream)'!$B$342,Model!$N$3339)</f>
        <v>#NUM!</v>
      </c>
      <c r="AC3405" s="377" t="e">
        <f>IPMT('Assumptions (O&amp;G Upstream)'!$B$339,Model!AL$1,'Assumptions (O&amp;G Upstream)'!$B$342,Model!$N$3339)</f>
        <v>#NUM!</v>
      </c>
      <c r="AD3405" s="377" t="e">
        <f>IPMT('Assumptions (O&amp;G Upstream)'!$B$339,Model!AM$1,'Assumptions (O&amp;G Upstream)'!$B$342,Model!$N$3339)</f>
        <v>#NUM!</v>
      </c>
      <c r="AE3405" s="377" t="e">
        <f>IPMT('Assumptions (O&amp;G Upstream)'!$B$339,Model!AN$1,'Assumptions (O&amp;G Upstream)'!$B$342,Model!$N$3339)</f>
        <v>#NUM!</v>
      </c>
      <c r="AF3405" s="377" t="e">
        <f>IPMT('Assumptions (O&amp;G Upstream)'!$B$339,Model!AO$1,'Assumptions (O&amp;G Upstream)'!$B$342,Model!$N$3339)</f>
        <v>#NUM!</v>
      </c>
      <c r="AG3405" s="377" t="e">
        <f>IPMT('Assumptions (O&amp;G Upstream)'!$B$339,Model!AP$1,'Assumptions (O&amp;G Upstream)'!$B$342,Model!$N$3339)</f>
        <v>#NUM!</v>
      </c>
      <c r="AH3405" s="377" t="e">
        <f>IPMT('Assumptions (O&amp;G Upstream)'!$B$339,Model!AQ$1,'Assumptions (O&amp;G Upstream)'!$B$342,Model!$N$3339)</f>
        <v>#NUM!</v>
      </c>
      <c r="AI3405" s="377" t="e">
        <f>IPMT('Assumptions (O&amp;G Upstream)'!$B$339,Model!AR$1,'Assumptions (O&amp;G Upstream)'!$B$342,Model!$N$3339)</f>
        <v>#NUM!</v>
      </c>
      <c r="AJ3405" s="377" t="e">
        <f>IPMT('Assumptions (O&amp;G Upstream)'!$B$339,Model!AS$1,'Assumptions (O&amp;G Upstream)'!$B$342,Model!$N$3339)</f>
        <v>#NUM!</v>
      </c>
      <c r="AK3405" s="377" t="e">
        <f>IPMT('Assumptions (O&amp;G Upstream)'!$B$339,Model!AT$1,'Assumptions (O&amp;G Upstream)'!$B$342,Model!$N$3339)</f>
        <v>#NUM!</v>
      </c>
      <c r="AL3405" s="377" t="e">
        <f>IPMT('Assumptions (O&amp;G Upstream)'!$B$339,Model!AU$1,'Assumptions (O&amp;G Upstream)'!$B$342,Model!$N$3339)</f>
        <v>#NUM!</v>
      </c>
    </row>
    <row r="3406" spans="1:77" ht="15.75" hidden="1" customHeight="1" outlineLevel="1">
      <c r="A3406" s="472"/>
      <c r="B3406" s="99"/>
      <c r="C3406" s="377"/>
      <c r="D3406" s="377"/>
      <c r="E3406" s="377"/>
      <c r="F3406" s="377"/>
      <c r="G3406" s="377"/>
      <c r="H3406" s="377"/>
      <c r="I3406" s="377"/>
      <c r="J3406" s="377"/>
      <c r="K3406" s="377"/>
      <c r="L3406" s="377"/>
      <c r="M3406" s="377"/>
      <c r="N3406" s="377"/>
      <c r="O3406" s="377">
        <f>IPMT('Assumptions (O&amp;G Upstream)'!$B$339,Model!W$1,'Assumptions (O&amp;G Upstream)'!$B$342,Model!$O$3339)</f>
        <v>-7.3214999999999986</v>
      </c>
      <c r="P3406" s="377">
        <f>IPMT('Assumptions (O&amp;G Upstream)'!$B$339,Model!X$1,'Assumptions (O&amp;G Upstream)'!$B$342,Model!$O$3339)</f>
        <v>-6.8039729823496451</v>
      </c>
      <c r="Q3406" s="377">
        <f>IPMT('Assumptions (O&amp;G Upstream)'!$B$339,Model!Y$1,'Assumptions (O&amp;G Upstream)'!$B$342,Model!$O$3339)</f>
        <v>-6.2476314383755147</v>
      </c>
      <c r="R3406" s="377">
        <f>IPMT('Assumptions (O&amp;G Upstream)'!$B$339,Model!Z$1,'Assumptions (O&amp;G Upstream)'!$B$342,Model!$O$3339)</f>
        <v>-5.6495642786033233</v>
      </c>
      <c r="S3406" s="377">
        <f>IPMT('Assumptions (O&amp;G Upstream)'!$B$339,Model!AA$1,'Assumptions (O&amp;G Upstream)'!$B$342,Model!$O$3339)</f>
        <v>-5.0066420818482182</v>
      </c>
      <c r="T3406" s="377">
        <f>IPMT('Assumptions (O&amp;G Upstream)'!$B$339,Model!AB$1,'Assumptions (O&amp;G Upstream)'!$B$342,Model!$O$3339)</f>
        <v>-4.3155007203364795</v>
      </c>
      <c r="U3406" s="377">
        <f>IPMT('Assumptions (O&amp;G Upstream)'!$B$339,Model!AC$1,'Assumptions (O&amp;G Upstream)'!$B$342,Model!$O$3339)</f>
        <v>-3.5725237567113624</v>
      </c>
      <c r="V3406" s="377">
        <f>IPMT('Assumptions (O&amp;G Upstream)'!$B$339,Model!AD$1,'Assumptions (O&amp;G Upstream)'!$B$342,Model!$O$3339)</f>
        <v>-2.7738235208143593</v>
      </c>
      <c r="W3406" s="377">
        <f>IPMT('Assumptions (O&amp;G Upstream)'!$B$339,Model!AE$1,'Assumptions (O&amp;G Upstream)'!$B$342,Model!$O$3339)</f>
        <v>-1.9152207672250821</v>
      </c>
      <c r="X3406" s="377">
        <f>IPMT('Assumptions (O&amp;G Upstream)'!$B$339,Model!AF$1,'Assumptions (O&amp;G Upstream)'!$B$342,Model!$O$3339)</f>
        <v>-0.99222280711660871</v>
      </c>
      <c r="Y3406" s="377" t="e">
        <f>IPMT('Assumptions (O&amp;G Upstream)'!$B$339,Model!AG$1,'Assumptions (O&amp;G Upstream)'!$B$342,Model!$O$3339)</f>
        <v>#NUM!</v>
      </c>
      <c r="Z3406" s="377" t="e">
        <f>IPMT('Assumptions (O&amp;G Upstream)'!$B$339,Model!AH$1,'Assumptions (O&amp;G Upstream)'!$B$342,Model!$O$3339)</f>
        <v>#NUM!</v>
      </c>
      <c r="AA3406" s="377" t="e">
        <f>IPMT('Assumptions (O&amp;G Upstream)'!$B$339,Model!AI$1,'Assumptions (O&amp;G Upstream)'!$B$342,Model!$O$3339)</f>
        <v>#NUM!</v>
      </c>
      <c r="AB3406" s="377" t="e">
        <f>IPMT('Assumptions (O&amp;G Upstream)'!$B$339,Model!AJ$1,'Assumptions (O&amp;G Upstream)'!$B$342,Model!$O$3339)</f>
        <v>#NUM!</v>
      </c>
      <c r="AC3406" s="377" t="e">
        <f>IPMT('Assumptions (O&amp;G Upstream)'!$B$339,Model!AK$1,'Assumptions (O&amp;G Upstream)'!$B$342,Model!$O$3339)</f>
        <v>#NUM!</v>
      </c>
      <c r="AD3406" s="377" t="e">
        <f>IPMT('Assumptions (O&amp;G Upstream)'!$B$339,Model!AL$1,'Assumptions (O&amp;G Upstream)'!$B$342,Model!$O$3339)</f>
        <v>#NUM!</v>
      </c>
      <c r="AE3406" s="377" t="e">
        <f>IPMT('Assumptions (O&amp;G Upstream)'!$B$339,Model!AM$1,'Assumptions (O&amp;G Upstream)'!$B$342,Model!$O$3339)</f>
        <v>#NUM!</v>
      </c>
      <c r="AF3406" s="377" t="e">
        <f>IPMT('Assumptions (O&amp;G Upstream)'!$B$339,Model!AN$1,'Assumptions (O&amp;G Upstream)'!$B$342,Model!$O$3339)</f>
        <v>#NUM!</v>
      </c>
      <c r="AG3406" s="377" t="e">
        <f>IPMT('Assumptions (O&amp;G Upstream)'!$B$339,Model!AO$1,'Assumptions (O&amp;G Upstream)'!$B$342,Model!$O$3339)</f>
        <v>#NUM!</v>
      </c>
      <c r="AH3406" s="377" t="e">
        <f>IPMT('Assumptions (O&amp;G Upstream)'!$B$339,Model!AP$1,'Assumptions (O&amp;G Upstream)'!$B$342,Model!$O$3339)</f>
        <v>#NUM!</v>
      </c>
      <c r="AI3406" s="377" t="e">
        <f>IPMT('Assumptions (O&amp;G Upstream)'!$B$339,Model!AQ$1,'Assumptions (O&amp;G Upstream)'!$B$342,Model!$O$3339)</f>
        <v>#NUM!</v>
      </c>
      <c r="AJ3406" s="377" t="e">
        <f>IPMT('Assumptions (O&amp;G Upstream)'!$B$339,Model!AR$1,'Assumptions (O&amp;G Upstream)'!$B$342,Model!$O$3339)</f>
        <v>#NUM!</v>
      </c>
      <c r="AK3406" s="377" t="e">
        <f>IPMT('Assumptions (O&amp;G Upstream)'!$B$339,Model!AS$1,'Assumptions (O&amp;G Upstream)'!$B$342,Model!$O$3339)</f>
        <v>#NUM!</v>
      </c>
      <c r="AL3406" s="377" t="e">
        <f>IPMT('Assumptions (O&amp;G Upstream)'!$B$339,Model!AT$1,'Assumptions (O&amp;G Upstream)'!$B$342,Model!$O$3339)</f>
        <v>#NUM!</v>
      </c>
      <c r="AM3406" s="377" t="e">
        <f>IPMT('Assumptions (O&amp;G Upstream)'!$B$339,Model!AU$1,'Assumptions (O&amp;G Upstream)'!$B$342,Model!$O$3339)</f>
        <v>#NUM!</v>
      </c>
    </row>
    <row r="3407" spans="1:77" ht="15.75" hidden="1" customHeight="1" outlineLevel="1">
      <c r="A3407" s="472"/>
      <c r="B3407" s="99"/>
      <c r="C3407" s="377"/>
      <c r="D3407" s="377"/>
      <c r="E3407" s="377"/>
      <c r="F3407" s="377"/>
      <c r="G3407" s="377"/>
      <c r="H3407" s="377"/>
      <c r="I3407" s="377"/>
      <c r="J3407" s="377"/>
      <c r="K3407" s="377"/>
      <c r="L3407" s="377"/>
      <c r="M3407" s="377"/>
      <c r="N3407" s="377"/>
      <c r="O3407" s="377"/>
      <c r="P3407" s="377">
        <f>IPMT('Assumptions (O&amp;G Upstream)'!$B$339,Model!W$1,'Assumptions (O&amp;G Upstream)'!$B$342,Model!$P$3339)</f>
        <v>-7.6769999999999996</v>
      </c>
      <c r="Q3407" s="377">
        <f>IPMT('Assumptions (O&amp;G Upstream)'!$B$339,Model!X$1,'Assumptions (O&amp;G Upstream)'!$B$342,Model!$P$3339)</f>
        <v>-7.134344135149659</v>
      </c>
      <c r="R3407" s="377">
        <f>IPMT('Assumptions (O&amp;G Upstream)'!$B$339,Model!Y$1,'Assumptions (O&amp;G Upstream)'!$B$342,Model!$P$3339)</f>
        <v>-6.5509890804355413</v>
      </c>
      <c r="S3407" s="377">
        <f>IPMT('Assumptions (O&amp;G Upstream)'!$B$339,Model!Z$1,'Assumptions (O&amp;G Upstream)'!$B$342,Model!$P$3339)</f>
        <v>-5.9238823966178664</v>
      </c>
      <c r="T3407" s="377">
        <f>IPMT('Assumptions (O&amp;G Upstream)'!$B$339,Model!AA$1,'Assumptions (O&amp;G Upstream)'!$B$342,Model!$P$3339)</f>
        <v>-5.2497427115138651</v>
      </c>
      <c r="U3407" s="377">
        <f>IPMT('Assumptions (O&amp;G Upstream)'!$B$339,Model!AB$1,'Assumptions (O&amp;G Upstream)'!$B$342,Model!$P$3339)</f>
        <v>-4.5250425500270648</v>
      </c>
      <c r="V3407" s="377">
        <f>IPMT('Assumptions (O&amp;G Upstream)'!$B$339,Model!AC$1,'Assumptions (O&amp;G Upstream)'!$B$342,Model!$P$3339)</f>
        <v>-3.7459898764287543</v>
      </c>
      <c r="W3407" s="377">
        <f>IPMT('Assumptions (O&amp;G Upstream)'!$B$339,Model!AD$1,'Assumptions (O&amp;G Upstream)'!$B$342,Model!$P$3339)</f>
        <v>-2.9085082523105692</v>
      </c>
      <c r="X3407" s="377">
        <f>IPMT('Assumptions (O&amp;G Upstream)'!$B$339,Model!AE$1,'Assumptions (O&amp;G Upstream)'!$B$342,Model!$P$3339)</f>
        <v>-2.0082155063835216</v>
      </c>
      <c r="Y3407" s="377">
        <f>IPMT('Assumptions (O&amp;G Upstream)'!$B$339,Model!AF$1,'Assumptions (O&amp;G Upstream)'!$B$342,Model!$P$3339)</f>
        <v>-1.0404008045119451</v>
      </c>
      <c r="Z3407" s="377" t="e">
        <f>IPMT('Assumptions (O&amp;G Upstream)'!$B$339,Model!AG$1,'Assumptions (O&amp;G Upstream)'!$B$342,Model!$P$3339)</f>
        <v>#NUM!</v>
      </c>
      <c r="AA3407" s="377" t="e">
        <f>IPMT('Assumptions (O&amp;G Upstream)'!$B$339,Model!AH$1,'Assumptions (O&amp;G Upstream)'!$B$342,Model!$P$3339)</f>
        <v>#NUM!</v>
      </c>
      <c r="AB3407" s="377" t="e">
        <f>IPMT('Assumptions (O&amp;G Upstream)'!$B$339,Model!AI$1,'Assumptions (O&amp;G Upstream)'!$B$342,Model!$P$3339)</f>
        <v>#NUM!</v>
      </c>
      <c r="AC3407" s="377" t="e">
        <f>IPMT('Assumptions (O&amp;G Upstream)'!$B$339,Model!AJ$1,'Assumptions (O&amp;G Upstream)'!$B$342,Model!$P$3339)</f>
        <v>#NUM!</v>
      </c>
      <c r="AD3407" s="377" t="e">
        <f>IPMT('Assumptions (O&amp;G Upstream)'!$B$339,Model!AK$1,'Assumptions (O&amp;G Upstream)'!$B$342,Model!$P$3339)</f>
        <v>#NUM!</v>
      </c>
      <c r="AE3407" s="377" t="e">
        <f>IPMT('Assumptions (O&amp;G Upstream)'!$B$339,Model!AL$1,'Assumptions (O&amp;G Upstream)'!$B$342,Model!$P$3339)</f>
        <v>#NUM!</v>
      </c>
      <c r="AF3407" s="377" t="e">
        <f>IPMT('Assumptions (O&amp;G Upstream)'!$B$339,Model!AM$1,'Assumptions (O&amp;G Upstream)'!$B$342,Model!$P$3339)</f>
        <v>#NUM!</v>
      </c>
      <c r="AG3407" s="377" t="e">
        <f>IPMT('Assumptions (O&amp;G Upstream)'!$B$339,Model!AN$1,'Assumptions (O&amp;G Upstream)'!$B$342,Model!$P$3339)</f>
        <v>#NUM!</v>
      </c>
      <c r="AH3407" s="377" t="e">
        <f>IPMT('Assumptions (O&amp;G Upstream)'!$B$339,Model!AO$1,'Assumptions (O&amp;G Upstream)'!$B$342,Model!$P$3339)</f>
        <v>#NUM!</v>
      </c>
      <c r="AI3407" s="377" t="e">
        <f>IPMT('Assumptions (O&amp;G Upstream)'!$B$339,Model!AP$1,'Assumptions (O&amp;G Upstream)'!$B$342,Model!$P$3339)</f>
        <v>#NUM!</v>
      </c>
      <c r="AJ3407" s="377" t="e">
        <f>IPMT('Assumptions (O&amp;G Upstream)'!$B$339,Model!AQ$1,'Assumptions (O&amp;G Upstream)'!$B$342,Model!$P$3339)</f>
        <v>#NUM!</v>
      </c>
      <c r="AK3407" s="377" t="e">
        <f>IPMT('Assumptions (O&amp;G Upstream)'!$B$339,Model!AR$1,'Assumptions (O&amp;G Upstream)'!$B$342,Model!$P$3339)</f>
        <v>#NUM!</v>
      </c>
      <c r="AL3407" s="377" t="e">
        <f>IPMT('Assumptions (O&amp;G Upstream)'!$B$339,Model!AS$1,'Assumptions (O&amp;G Upstream)'!$B$342,Model!$P$3339)</f>
        <v>#NUM!</v>
      </c>
      <c r="AM3407" s="377" t="e">
        <f>IPMT('Assumptions (O&amp;G Upstream)'!$B$339,Model!AT$1,'Assumptions (O&amp;G Upstream)'!$B$342,Model!$P$3339)</f>
        <v>#NUM!</v>
      </c>
      <c r="AN3407" s="377" t="e">
        <f>IPMT('Assumptions (O&amp;G Upstream)'!$B$339,Model!AU$1,'Assumptions (O&amp;G Upstream)'!$B$342,Model!$P$3339)</f>
        <v>#NUM!</v>
      </c>
    </row>
    <row r="3408" spans="1:77" ht="15.75" hidden="1" customHeight="1" outlineLevel="1">
      <c r="A3408" s="472"/>
      <c r="B3408" s="99"/>
      <c r="C3408" s="377"/>
      <c r="D3408" s="377"/>
      <c r="E3408" s="377"/>
      <c r="F3408" s="377"/>
      <c r="G3408" s="377"/>
      <c r="H3408" s="377"/>
      <c r="I3408" s="377"/>
      <c r="J3408" s="377"/>
      <c r="K3408" s="377"/>
      <c r="L3408" s="377"/>
      <c r="M3408" s="377"/>
      <c r="N3408" s="377"/>
      <c r="O3408" s="377"/>
      <c r="P3408" s="377"/>
      <c r="Q3408" s="377">
        <f>IPMT('Assumptions (O&amp;G Upstream)'!$B$339,Model!W$1,'Assumptions (O&amp;G Upstream)'!$B$342,Model!$Q$3339)</f>
        <v>-9.1754999999999995</v>
      </c>
      <c r="R3408" s="377">
        <f>IPMT('Assumptions (O&amp;G Upstream)'!$B$339,Model!X$1,'Assumptions (O&amp;G Upstream)'!$B$342,Model!$Q$3339)</f>
        <v>-8.5269212729016139</v>
      </c>
      <c r="S3408" s="377">
        <f>IPMT('Assumptions (O&amp;G Upstream)'!$B$339,Model!Y$1,'Assumptions (O&amp;G Upstream)'!$B$342,Model!$Q$3339)</f>
        <v>-7.8296991412708499</v>
      </c>
      <c r="T3408" s="377">
        <f>IPMT('Assumptions (O&amp;G Upstream)'!$B$339,Model!Z$1,'Assumptions (O&amp;G Upstream)'!$B$342,Model!$Q$3339)</f>
        <v>-7.0801853497677785</v>
      </c>
      <c r="U3408" s="377">
        <f>IPMT('Assumptions (O&amp;G Upstream)'!$B$339,Model!AA$1,'Assumptions (O&amp;G Upstream)'!$B$342,Model!$Q$3339)</f>
        <v>-6.2744580239019774</v>
      </c>
      <c r="V3408" s="377">
        <f>IPMT('Assumptions (O&amp;G Upstream)'!$B$339,Model!AB$1,'Assumptions (O&amp;G Upstream)'!$B$342,Model!$Q$3339)</f>
        <v>-5.40830114859624</v>
      </c>
      <c r="W3408" s="377">
        <f>IPMT('Assumptions (O&amp;G Upstream)'!$B$339,Model!AC$1,'Assumptions (O&amp;G Upstream)'!$B$342,Model!$Q$3339)</f>
        <v>-4.4771825076425733</v>
      </c>
      <c r="X3408" s="377">
        <f>IPMT('Assumptions (O&amp;G Upstream)'!$B$339,Model!AD$1,'Assumptions (O&amp;G Upstream)'!$B$342,Model!$Q$3339)</f>
        <v>-3.4762299686173805</v>
      </c>
      <c r="Y3408" s="377">
        <f>IPMT('Assumptions (O&amp;G Upstream)'!$B$339,Model!AE$1,'Assumptions (O&amp;G Upstream)'!$B$342,Model!$Q$3339)</f>
        <v>-2.4002059891652991</v>
      </c>
      <c r="Z3408" s="377">
        <f>IPMT('Assumptions (O&amp;G Upstream)'!$B$339,Model!AF$1,'Assumptions (O&amp;G Upstream)'!$B$342,Model!$Q$3339)</f>
        <v>-1.243480211254312</v>
      </c>
      <c r="AA3408" s="377" t="e">
        <f>IPMT('Assumptions (O&amp;G Upstream)'!$B$339,Model!AG$1,'Assumptions (O&amp;G Upstream)'!$B$342,Model!$Q$3339)</f>
        <v>#NUM!</v>
      </c>
      <c r="AB3408" s="377" t="e">
        <f>IPMT('Assumptions (O&amp;G Upstream)'!$B$339,Model!AH$1,'Assumptions (O&amp;G Upstream)'!$B$342,Model!$Q$3339)</f>
        <v>#NUM!</v>
      </c>
      <c r="AC3408" s="377" t="e">
        <f>IPMT('Assumptions (O&amp;G Upstream)'!$B$339,Model!AI$1,'Assumptions (O&amp;G Upstream)'!$B$342,Model!$Q$3339)</f>
        <v>#NUM!</v>
      </c>
      <c r="AD3408" s="377" t="e">
        <f>IPMT('Assumptions (O&amp;G Upstream)'!$B$339,Model!AJ$1,'Assumptions (O&amp;G Upstream)'!$B$342,Model!$Q$3339)</f>
        <v>#NUM!</v>
      </c>
      <c r="AE3408" s="377" t="e">
        <f>IPMT('Assumptions (O&amp;G Upstream)'!$B$339,Model!AK$1,'Assumptions (O&amp;G Upstream)'!$B$342,Model!$Q$3339)</f>
        <v>#NUM!</v>
      </c>
      <c r="AF3408" s="377" t="e">
        <f>IPMT('Assumptions (O&amp;G Upstream)'!$B$339,Model!AL$1,'Assumptions (O&amp;G Upstream)'!$B$342,Model!$Q$3339)</f>
        <v>#NUM!</v>
      </c>
      <c r="AG3408" s="377" t="e">
        <f>IPMT('Assumptions (O&amp;G Upstream)'!$B$339,Model!AM$1,'Assumptions (O&amp;G Upstream)'!$B$342,Model!$Q$3339)</f>
        <v>#NUM!</v>
      </c>
      <c r="AH3408" s="377" t="e">
        <f>IPMT('Assumptions (O&amp;G Upstream)'!$B$339,Model!AN$1,'Assumptions (O&amp;G Upstream)'!$B$342,Model!$Q$3339)</f>
        <v>#NUM!</v>
      </c>
      <c r="AI3408" s="377" t="e">
        <f>IPMT('Assumptions (O&amp;G Upstream)'!$B$339,Model!AO$1,'Assumptions (O&amp;G Upstream)'!$B$342,Model!$Q$3339)</f>
        <v>#NUM!</v>
      </c>
      <c r="AJ3408" s="377" t="e">
        <f>IPMT('Assumptions (O&amp;G Upstream)'!$B$339,Model!AP$1,'Assumptions (O&amp;G Upstream)'!$B$342,Model!$Q$3339)</f>
        <v>#NUM!</v>
      </c>
      <c r="AK3408" s="377" t="e">
        <f>IPMT('Assumptions (O&amp;G Upstream)'!$B$339,Model!AQ$1,'Assumptions (O&amp;G Upstream)'!$B$342,Model!$Q$3339)</f>
        <v>#NUM!</v>
      </c>
      <c r="AL3408" s="377" t="e">
        <f>IPMT('Assumptions (O&amp;G Upstream)'!$B$339,Model!AR$1,'Assumptions (O&amp;G Upstream)'!$B$342,Model!$Q$3339)</f>
        <v>#NUM!</v>
      </c>
      <c r="AM3408" s="377" t="e">
        <f>IPMT('Assumptions (O&amp;G Upstream)'!$B$339,Model!AS$1,'Assumptions (O&amp;G Upstream)'!$B$342,Model!$Q$3339)</f>
        <v>#NUM!</v>
      </c>
      <c r="AN3408" s="377" t="e">
        <f>IPMT('Assumptions (O&amp;G Upstream)'!$B$339,Model!AT$1,'Assumptions (O&amp;G Upstream)'!$B$342,Model!$Q$3339)</f>
        <v>#NUM!</v>
      </c>
      <c r="AO3408" s="377" t="e">
        <f>IPMT('Assumptions (O&amp;G Upstream)'!$B$339,Model!AU$1,'Assumptions (O&amp;G Upstream)'!$B$342,Model!$Q$3339)</f>
        <v>#NUM!</v>
      </c>
    </row>
    <row r="3409" spans="1:57" ht="15.75" hidden="1" customHeight="1" outlineLevel="1">
      <c r="A3409" s="472"/>
      <c r="B3409" s="99"/>
      <c r="C3409" s="377"/>
      <c r="D3409" s="377"/>
      <c r="E3409" s="377"/>
      <c r="F3409" s="377"/>
      <c r="G3409" s="377"/>
      <c r="H3409" s="377"/>
      <c r="I3409" s="377"/>
      <c r="J3409" s="377"/>
      <c r="K3409" s="377"/>
      <c r="L3409" s="377"/>
      <c r="M3409" s="377"/>
      <c r="N3409" s="377"/>
      <c r="O3409" s="377"/>
      <c r="P3409" s="377"/>
      <c r="Q3409" s="377"/>
      <c r="R3409" s="377">
        <f>IPMT('Assumptions (O&amp;G Upstream)'!$B$339,Model!W$1,'Assumptions (O&amp;G Upstream)'!$B$342,Model!$R$3339)</f>
        <v>-6.7319999999999993</v>
      </c>
      <c r="S3409" s="377">
        <f>IPMT('Assumptions (O&amp;G Upstream)'!$B$339,Model!X$1,'Assumptions (O&amp;G Upstream)'!$B$342,Model!$R$3339)</f>
        <v>-6.2561423365673443</v>
      </c>
      <c r="T3409" s="377">
        <f>IPMT('Assumptions (O&amp;G Upstream)'!$B$339,Model!Y$1,'Assumptions (O&amp;G Upstream)'!$B$342,Model!$R$3339)</f>
        <v>-5.7445953483772394</v>
      </c>
      <c r="U3409" s="377">
        <f>IPMT('Assumptions (O&amp;G Upstream)'!$B$339,Model!Z$1,'Assumptions (O&amp;G Upstream)'!$B$342,Model!$R$3339)</f>
        <v>-5.1946823360728773</v>
      </c>
      <c r="V3409" s="377">
        <f>IPMT('Assumptions (O&amp;G Upstream)'!$B$339,Model!AA$1,'Assumptions (O&amp;G Upstream)'!$B$342,Model!$R$3339)</f>
        <v>-4.6035258478456873</v>
      </c>
      <c r="W3409" s="377">
        <f>IPMT('Assumptions (O&amp;G Upstream)'!$B$339,Model!AB$1,'Assumptions (O&amp;G Upstream)'!$B$342,Model!$R$3339)</f>
        <v>-3.9680326230014589</v>
      </c>
      <c r="X3409" s="377">
        <f>IPMT('Assumptions (O&amp;G Upstream)'!$B$339,Model!AC$1,'Assumptions (O&amp;G Upstream)'!$B$342,Model!$R$3339)</f>
        <v>-3.2848774062939139</v>
      </c>
      <c r="Y3409" s="377">
        <f>IPMT('Assumptions (O&amp;G Upstream)'!$B$339,Model!AD$1,'Assumptions (O&amp;G Upstream)'!$B$342,Model!$R$3339)</f>
        <v>-2.5504855483333015</v>
      </c>
      <c r="Z3409" s="377">
        <f>IPMT('Assumptions (O&amp;G Upstream)'!$B$339,Model!AE$1,'Assumptions (O&amp;G Upstream)'!$B$342,Model!$R$3339)</f>
        <v>-1.761014301025644</v>
      </c>
      <c r="AA3409" s="377">
        <f>IPMT('Assumptions (O&amp;G Upstream)'!$B$339,Model!AF$1,'Assumptions (O&amp;G Upstream)'!$B$342,Model!$R$3339)</f>
        <v>-0.9123327101699118</v>
      </c>
      <c r="AB3409" s="377" t="e">
        <f>IPMT('Assumptions (O&amp;G Upstream)'!$B$339,Model!AG$1,'Assumptions (O&amp;G Upstream)'!$B$342,Model!$R$3339)</f>
        <v>#NUM!</v>
      </c>
      <c r="AC3409" s="377" t="e">
        <f>IPMT('Assumptions (O&amp;G Upstream)'!$B$339,Model!AH$1,'Assumptions (O&amp;G Upstream)'!$B$342,Model!$R$3339)</f>
        <v>#NUM!</v>
      </c>
      <c r="AD3409" s="377" t="e">
        <f>IPMT('Assumptions (O&amp;G Upstream)'!$B$339,Model!AI$1,'Assumptions (O&amp;G Upstream)'!$B$342,Model!$R$3339)</f>
        <v>#NUM!</v>
      </c>
      <c r="AE3409" s="377" t="e">
        <f>IPMT('Assumptions (O&amp;G Upstream)'!$B$339,Model!AJ$1,'Assumptions (O&amp;G Upstream)'!$B$342,Model!$R$3339)</f>
        <v>#NUM!</v>
      </c>
      <c r="AF3409" s="377" t="e">
        <f>IPMT('Assumptions (O&amp;G Upstream)'!$B$339,Model!AK$1,'Assumptions (O&amp;G Upstream)'!$B$342,Model!$R$3339)</f>
        <v>#NUM!</v>
      </c>
      <c r="AG3409" s="377" t="e">
        <f>IPMT('Assumptions (O&amp;G Upstream)'!$B$339,Model!AL$1,'Assumptions (O&amp;G Upstream)'!$B$342,Model!$R$3339)</f>
        <v>#NUM!</v>
      </c>
      <c r="AH3409" s="377" t="e">
        <f>IPMT('Assumptions (O&amp;G Upstream)'!$B$339,Model!AM$1,'Assumptions (O&amp;G Upstream)'!$B$342,Model!$R$3339)</f>
        <v>#NUM!</v>
      </c>
      <c r="AI3409" s="377" t="e">
        <f>IPMT('Assumptions (O&amp;G Upstream)'!$B$339,Model!AN$1,'Assumptions (O&amp;G Upstream)'!$B$342,Model!$R$3339)</f>
        <v>#NUM!</v>
      </c>
      <c r="AJ3409" s="377" t="e">
        <f>IPMT('Assumptions (O&amp;G Upstream)'!$B$339,Model!AO$1,'Assumptions (O&amp;G Upstream)'!$B$342,Model!$R$3339)</f>
        <v>#NUM!</v>
      </c>
      <c r="AK3409" s="377" t="e">
        <f>IPMT('Assumptions (O&amp;G Upstream)'!$B$339,Model!AP$1,'Assumptions (O&amp;G Upstream)'!$B$342,Model!$R$3339)</f>
        <v>#NUM!</v>
      </c>
      <c r="AL3409" s="377" t="e">
        <f>IPMT('Assumptions (O&amp;G Upstream)'!$B$339,Model!AQ$1,'Assumptions (O&amp;G Upstream)'!$B$342,Model!$R$3339)</f>
        <v>#NUM!</v>
      </c>
      <c r="AM3409" s="377" t="e">
        <f>IPMT('Assumptions (O&amp;G Upstream)'!$B$339,Model!AR$1,'Assumptions (O&amp;G Upstream)'!$B$342,Model!$R$3339)</f>
        <v>#NUM!</v>
      </c>
      <c r="AN3409" s="377" t="e">
        <f>IPMT('Assumptions (O&amp;G Upstream)'!$B$339,Model!AS$1,'Assumptions (O&amp;G Upstream)'!$B$342,Model!$R$3339)</f>
        <v>#NUM!</v>
      </c>
      <c r="AO3409" s="377" t="e">
        <f>IPMT('Assumptions (O&amp;G Upstream)'!$B$339,Model!AT$1,'Assumptions (O&amp;G Upstream)'!$B$342,Model!$R$3339)</f>
        <v>#NUM!</v>
      </c>
      <c r="AP3409" s="377" t="e">
        <f>IPMT('Assumptions (O&amp;G Upstream)'!$B$339,Model!AU$1,'Assumptions (O&amp;G Upstream)'!$B$342,Model!$R$3339)</f>
        <v>#NUM!</v>
      </c>
    </row>
    <row r="3410" spans="1:57" ht="15.75" hidden="1" customHeight="1" outlineLevel="1">
      <c r="A3410" s="472"/>
      <c r="B3410" s="99"/>
      <c r="C3410" s="377"/>
      <c r="D3410" s="377"/>
      <c r="E3410" s="377"/>
      <c r="F3410" s="377"/>
      <c r="G3410" s="377"/>
      <c r="H3410" s="377"/>
      <c r="I3410" s="377"/>
      <c r="J3410" s="377"/>
      <c r="K3410" s="377"/>
      <c r="L3410" s="377"/>
      <c r="M3410" s="377"/>
      <c r="N3410" s="377"/>
      <c r="O3410" s="377"/>
      <c r="P3410" s="377"/>
      <c r="Q3410" s="377"/>
      <c r="R3410" s="377"/>
      <c r="S3410" s="377">
        <f>IPMT('Assumptions (O&amp;G Upstream)'!$B$339,Model!W$1,'Assumptions (O&amp;G Upstream)'!$B$342,Model!$S$3339)</f>
        <v>-3.5955000000000004</v>
      </c>
      <c r="T3410" s="377">
        <f>IPMT('Assumptions (O&amp;G Upstream)'!$B$339,Model!X$1,'Assumptions (O&amp;G Upstream)'!$B$342,Model!$S$3339)</f>
        <v>-3.3413487479393775</v>
      </c>
      <c r="U3410" s="377">
        <f>IPMT('Assumptions (O&amp;G Upstream)'!$B$339,Model!Y$1,'Assumptions (O&amp;G Upstream)'!$B$342,Model!$S$3339)</f>
        <v>-3.0681361519742083</v>
      </c>
      <c r="V3410" s="377">
        <f>IPMT('Assumptions (O&amp;G Upstream)'!$B$339,Model!Z$1,'Assumptions (O&amp;G Upstream)'!$B$342,Model!$S$3339)</f>
        <v>-2.7744326113116506</v>
      </c>
      <c r="W3410" s="377">
        <f>IPMT('Assumptions (O&amp;G Upstream)'!$B$339,Model!AA$1,'Assumptions (O&amp;G Upstream)'!$B$342,Model!$S$3339)</f>
        <v>-2.4587013050994018</v>
      </c>
      <c r="X3410" s="377">
        <f>IPMT('Assumptions (O&amp;G Upstream)'!$B$339,Model!AB$1,'Assumptions (O&amp;G Upstream)'!$B$342,Model!$S$3339)</f>
        <v>-2.1192901509212345</v>
      </c>
      <c r="Y3410" s="377">
        <f>IPMT('Assumptions (O&amp;G Upstream)'!$B$339,Model!AC$1,'Assumptions (O&amp;G Upstream)'!$B$342,Model!$S$3339)</f>
        <v>-1.7544231601797045</v>
      </c>
      <c r="Z3410" s="377">
        <f>IPMT('Assumptions (O&amp;G Upstream)'!$B$339,Model!AD$1,'Assumptions (O&amp;G Upstream)'!$B$342,Model!$S$3339)</f>
        <v>-1.3621911451325588</v>
      </c>
      <c r="AA3410" s="377">
        <f>IPMT('Assumptions (O&amp;G Upstream)'!$B$339,Model!AE$1,'Assumptions (O&amp;G Upstream)'!$B$342,Model!$S$3339)</f>
        <v>-0.94054172895687826</v>
      </c>
      <c r="AB3410" s="377">
        <f>IPMT('Assumptions (O&amp;G Upstream)'!$B$339,Model!AF$1,'Assumptions (O&amp;G Upstream)'!$B$342,Model!$S$3339)</f>
        <v>-0.48726860656802118</v>
      </c>
      <c r="AC3410" s="377" t="e">
        <f>IPMT('Assumptions (O&amp;G Upstream)'!$B$339,Model!AG$1,'Assumptions (O&amp;G Upstream)'!$B$342,Model!$S$3339)</f>
        <v>#NUM!</v>
      </c>
      <c r="AD3410" s="377" t="e">
        <f>IPMT('Assumptions (O&amp;G Upstream)'!$B$339,Model!AH$1,'Assumptions (O&amp;G Upstream)'!$B$342,Model!$S$3339)</f>
        <v>#NUM!</v>
      </c>
      <c r="AE3410" s="377" t="e">
        <f>IPMT('Assumptions (O&amp;G Upstream)'!$B$339,Model!AI$1,'Assumptions (O&amp;G Upstream)'!$B$342,Model!$S$3339)</f>
        <v>#NUM!</v>
      </c>
      <c r="AF3410" s="377" t="e">
        <f>IPMT('Assumptions (O&amp;G Upstream)'!$B$339,Model!AJ$1,'Assumptions (O&amp;G Upstream)'!$B$342,Model!$S$3339)</f>
        <v>#NUM!</v>
      </c>
      <c r="AG3410" s="377" t="e">
        <f>IPMT('Assumptions (O&amp;G Upstream)'!$B$339,Model!AK$1,'Assumptions (O&amp;G Upstream)'!$B$342,Model!$S$3339)</f>
        <v>#NUM!</v>
      </c>
      <c r="AH3410" s="377" t="e">
        <f>IPMT('Assumptions (O&amp;G Upstream)'!$B$339,Model!AL$1,'Assumptions (O&amp;G Upstream)'!$B$342,Model!$S$3339)</f>
        <v>#NUM!</v>
      </c>
      <c r="AI3410" s="377" t="e">
        <f>IPMT('Assumptions (O&amp;G Upstream)'!$B$339,Model!AM$1,'Assumptions (O&amp;G Upstream)'!$B$342,Model!$S$3339)</f>
        <v>#NUM!</v>
      </c>
      <c r="AJ3410" s="377" t="e">
        <f>IPMT('Assumptions (O&amp;G Upstream)'!$B$339,Model!AN$1,'Assumptions (O&amp;G Upstream)'!$B$342,Model!$S$3339)</f>
        <v>#NUM!</v>
      </c>
      <c r="AK3410" s="377" t="e">
        <f>IPMT('Assumptions (O&amp;G Upstream)'!$B$339,Model!AO$1,'Assumptions (O&amp;G Upstream)'!$B$342,Model!$S$3339)</f>
        <v>#NUM!</v>
      </c>
      <c r="AL3410" s="377" t="e">
        <f>IPMT('Assumptions (O&amp;G Upstream)'!$B$339,Model!AP$1,'Assumptions (O&amp;G Upstream)'!$B$342,Model!$S$3339)</f>
        <v>#NUM!</v>
      </c>
      <c r="AM3410" s="377" t="e">
        <f>IPMT('Assumptions (O&amp;G Upstream)'!$B$339,Model!AQ$1,'Assumptions (O&amp;G Upstream)'!$B$342,Model!$S$3339)</f>
        <v>#NUM!</v>
      </c>
      <c r="AN3410" s="377" t="e">
        <f>IPMT('Assumptions (O&amp;G Upstream)'!$B$339,Model!AR$1,'Assumptions (O&amp;G Upstream)'!$B$342,Model!$S$3339)</f>
        <v>#NUM!</v>
      </c>
      <c r="AO3410" s="377" t="e">
        <f>IPMT('Assumptions (O&amp;G Upstream)'!$B$339,Model!AS$1,'Assumptions (O&amp;G Upstream)'!$B$342,Model!$S$3339)</f>
        <v>#NUM!</v>
      </c>
      <c r="AP3410" s="377" t="e">
        <f>IPMT('Assumptions (O&amp;G Upstream)'!$B$339,Model!AT$1,'Assumptions (O&amp;G Upstream)'!$B$342,Model!$S$3339)</f>
        <v>#NUM!</v>
      </c>
      <c r="AQ3410" s="377" t="e">
        <f>IPMT('Assumptions (O&amp;G Upstream)'!$B$339,Model!AU$1,'Assumptions (O&amp;G Upstream)'!$B$342,Model!$S$3339)</f>
        <v>#NUM!</v>
      </c>
    </row>
    <row r="3411" spans="1:57" ht="15.75" hidden="1" customHeight="1" outlineLevel="1">
      <c r="A3411" s="472"/>
      <c r="B3411" s="99"/>
      <c r="C3411" s="377"/>
      <c r="D3411" s="377"/>
      <c r="E3411" s="377"/>
      <c r="F3411" s="377"/>
      <c r="G3411" s="377"/>
      <c r="H3411" s="377"/>
      <c r="I3411" s="377"/>
      <c r="J3411" s="377"/>
      <c r="K3411" s="377"/>
      <c r="L3411" s="377"/>
      <c r="M3411" s="377"/>
      <c r="N3411" s="377"/>
      <c r="O3411" s="377"/>
      <c r="P3411" s="377"/>
      <c r="Q3411" s="377"/>
      <c r="R3411" s="377"/>
      <c r="S3411" s="42"/>
      <c r="T3411" s="377">
        <f>IPMT('Assumptions (O&amp;G Upstream)'!$B$339,Model!W$1,'Assumptions (O&amp;G Upstream)'!$B$342,Model!$T$3339)</f>
        <v>-5.0534999999999997</v>
      </c>
      <c r="U3411" s="377">
        <f>IPMT('Assumptions (O&amp;G Upstream)'!$B$339,Model!X$1,'Assumptions (O&amp;G Upstream)'!$B$342,Model!$T$3339)</f>
        <v>-4.6962886657520908</v>
      </c>
      <c r="V3411" s="377">
        <f>IPMT('Assumptions (O&amp;G Upstream)'!$B$339,Model!Y$1,'Assumptions (O&amp;G Upstream)'!$B$342,Model!$T$3339)</f>
        <v>-4.3122864814355886</v>
      </c>
      <c r="W3411" s="377">
        <f>IPMT('Assumptions (O&amp;G Upstream)'!$B$339,Model!Z$1,'Assumptions (O&amp;G Upstream)'!$B$342,Model!$T$3339)</f>
        <v>-3.8994841332953483</v>
      </c>
      <c r="X3411" s="377">
        <f>IPMT('Assumptions (O&amp;G Upstream)'!$B$339,Model!AA$1,'Assumptions (O&amp;G Upstream)'!$B$342,Model!$T$3339)</f>
        <v>-3.4557216090445904</v>
      </c>
      <c r="Y3411" s="377">
        <f>IPMT('Assumptions (O&amp;G Upstream)'!$B$339,Model!AB$1,'Assumptions (O&amp;G Upstream)'!$B$342,Model!$T$3339)</f>
        <v>-2.9786768954750258</v>
      </c>
      <c r="Z3411" s="377">
        <f>IPMT('Assumptions (O&amp;G Upstream)'!$B$339,Model!AC$1,'Assumptions (O&amp;G Upstream)'!$B$342,Model!$T$3339)</f>
        <v>-2.4658538283877438</v>
      </c>
      <c r="AA3411" s="377">
        <f>IPMT('Assumptions (O&amp;G Upstream)'!$B$339,Model!AD$1,'Assumptions (O&amp;G Upstream)'!$B$342,Model!$T$3339)</f>
        <v>-1.9145690312689152</v>
      </c>
      <c r="AB3411" s="377">
        <f>IPMT('Assumptions (O&amp;G Upstream)'!$B$339,Model!AE$1,'Assumptions (O&amp;G Upstream)'!$B$342,Model!$T$3339)</f>
        <v>-1.3219378743661754</v>
      </c>
      <c r="AC3411" s="377">
        <f>IPMT('Assumptions (O&amp;G Upstream)'!$B$339,Model!AF$1,'Assumptions (O&amp;G Upstream)'!$B$342,Model!$T$3339)</f>
        <v>-0.68485938069572927</v>
      </c>
      <c r="AD3411" s="377" t="e">
        <f>IPMT('Assumptions (O&amp;G Upstream)'!$B$339,Model!AG$1,'Assumptions (O&amp;G Upstream)'!$B$342,Model!$T$3339)</f>
        <v>#NUM!</v>
      </c>
      <c r="AE3411" s="377" t="e">
        <f>IPMT('Assumptions (O&amp;G Upstream)'!$B$339,Model!AH$1,'Assumptions (O&amp;G Upstream)'!$B$342,Model!$T$3339)</f>
        <v>#NUM!</v>
      </c>
      <c r="AF3411" s="377" t="e">
        <f>IPMT('Assumptions (O&amp;G Upstream)'!$B$339,Model!AI$1,'Assumptions (O&amp;G Upstream)'!$B$342,Model!$T$3339)</f>
        <v>#NUM!</v>
      </c>
      <c r="AG3411" s="377" t="e">
        <f>IPMT('Assumptions (O&amp;G Upstream)'!$B$339,Model!AJ$1,'Assumptions (O&amp;G Upstream)'!$B$342,Model!$T$3339)</f>
        <v>#NUM!</v>
      </c>
      <c r="AH3411" s="377" t="e">
        <f>IPMT('Assumptions (O&amp;G Upstream)'!$B$339,Model!AK$1,'Assumptions (O&amp;G Upstream)'!$B$342,Model!$T$3339)</f>
        <v>#NUM!</v>
      </c>
      <c r="AI3411" s="377" t="e">
        <f>IPMT('Assumptions (O&amp;G Upstream)'!$B$339,Model!AL$1,'Assumptions (O&amp;G Upstream)'!$B$342,Model!$T$3339)</f>
        <v>#NUM!</v>
      </c>
      <c r="AJ3411" s="377" t="e">
        <f>IPMT('Assumptions (O&amp;G Upstream)'!$B$339,Model!AM$1,'Assumptions (O&amp;G Upstream)'!$B$342,Model!$T$3339)</f>
        <v>#NUM!</v>
      </c>
      <c r="AK3411" s="377" t="e">
        <f>IPMT('Assumptions (O&amp;G Upstream)'!$B$339,Model!AN$1,'Assumptions (O&amp;G Upstream)'!$B$342,Model!$T$3339)</f>
        <v>#NUM!</v>
      </c>
      <c r="AL3411" s="377" t="e">
        <f>IPMT('Assumptions (O&amp;G Upstream)'!$B$339,Model!AO$1,'Assumptions (O&amp;G Upstream)'!$B$342,Model!$T$3339)</f>
        <v>#NUM!</v>
      </c>
      <c r="AM3411" s="377" t="e">
        <f>IPMT('Assumptions (O&amp;G Upstream)'!$B$339,Model!AP$1,'Assumptions (O&amp;G Upstream)'!$B$342,Model!$T$3339)</f>
        <v>#NUM!</v>
      </c>
      <c r="AN3411" s="377" t="e">
        <f>IPMT('Assumptions (O&amp;G Upstream)'!$B$339,Model!AQ$1,'Assumptions (O&amp;G Upstream)'!$B$342,Model!$T$3339)</f>
        <v>#NUM!</v>
      </c>
      <c r="AO3411" s="377" t="e">
        <f>IPMT('Assumptions (O&amp;G Upstream)'!$B$339,Model!AR$1,'Assumptions (O&amp;G Upstream)'!$B$342,Model!$T$3339)</f>
        <v>#NUM!</v>
      </c>
      <c r="AP3411" s="377" t="e">
        <f>IPMT('Assumptions (O&amp;G Upstream)'!$B$339,Model!AS$1,'Assumptions (O&amp;G Upstream)'!$B$342,Model!$T$3339)</f>
        <v>#NUM!</v>
      </c>
      <c r="AQ3411" s="377" t="e">
        <f>IPMT('Assumptions (O&amp;G Upstream)'!$B$339,Model!AT$1,'Assumptions (O&amp;G Upstream)'!$B$342,Model!$T$3339)</f>
        <v>#NUM!</v>
      </c>
      <c r="AR3411" s="377" t="e">
        <f>IPMT('Assumptions (O&amp;G Upstream)'!$B$339,Model!AU$1,'Assumptions (O&amp;G Upstream)'!$B$342,Model!$T$3339)</f>
        <v>#NUM!</v>
      </c>
    </row>
    <row r="3412" spans="1:57" ht="15.75" hidden="1" customHeight="1" outlineLevel="1">
      <c r="A3412" s="472"/>
      <c r="B3412" s="99"/>
      <c r="C3412" s="377"/>
      <c r="D3412" s="377"/>
      <c r="E3412" s="377"/>
      <c r="F3412" s="377"/>
      <c r="G3412" s="377"/>
      <c r="H3412" s="377"/>
      <c r="I3412" s="377"/>
      <c r="J3412" s="377"/>
      <c r="K3412" s="377"/>
      <c r="L3412" s="377"/>
      <c r="M3412" s="377"/>
      <c r="N3412" s="377"/>
      <c r="O3412" s="377"/>
      <c r="P3412" s="377"/>
      <c r="Q3412" s="377"/>
      <c r="R3412" s="377"/>
      <c r="S3412" s="42"/>
      <c r="T3412" s="42"/>
      <c r="U3412" s="377">
        <f>IPMT('Assumptions (O&amp;G Upstream)'!$B$339,Model!W$1,'Assumptions (O&amp;G Upstream)'!$B$342,Model!$U$3339)</f>
        <v>-7.5829739514864567</v>
      </c>
      <c r="V3412" s="377">
        <f>IPMT('Assumptions (O&amp;G Upstream)'!$B$339,Model!X$1,'Assumptions (O&amp;G Upstream)'!$B$342,Model!$U$3339)</f>
        <v>-7.0469644050775093</v>
      </c>
      <c r="W3412" s="377">
        <f>IPMT('Assumptions (O&amp;G Upstream)'!$B$339,Model!Y$1,'Assumptions (O&amp;G Upstream)'!$B$342,Model!$U$3339)</f>
        <v>-6.4707541426878903</v>
      </c>
      <c r="X3412" s="377">
        <f>IPMT('Assumptions (O&amp;G Upstream)'!$B$339,Model!Z$1,'Assumptions (O&amp;G Upstream)'!$B$342,Model!$U$3339)</f>
        <v>-5.8513281106190496</v>
      </c>
      <c r="Y3412" s="377">
        <f>IPMT('Assumptions (O&amp;G Upstream)'!$B$339,Model!AA$1,'Assumptions (O&amp;G Upstream)'!$B$342,Model!$U$3339)</f>
        <v>-5.1854451261450469</v>
      </c>
      <c r="Z3412" s="377">
        <f>IPMT('Assumptions (O&amp;G Upstream)'!$B$339,Model!AB$1,'Assumptions (O&amp;G Upstream)'!$B$342,Model!$U$3339)</f>
        <v>-4.4696209178354938</v>
      </c>
      <c r="AA3412" s="377">
        <f>IPMT('Assumptions (O&amp;G Upstream)'!$B$339,Model!AC$1,'Assumptions (O&amp;G Upstream)'!$B$342,Model!$U$3339)</f>
        <v>-3.700109893902725</v>
      </c>
      <c r="AB3412" s="377">
        <f>IPMT('Assumptions (O&amp;G Upstream)'!$B$339,Model!AD$1,'Assumptions (O&amp;G Upstream)'!$B$342,Model!$U$3339)</f>
        <v>-2.8728855431749962</v>
      </c>
      <c r="AC3412" s="377">
        <f>IPMT('Assumptions (O&amp;G Upstream)'!$B$339,Model!AE$1,'Assumptions (O&amp;G Upstream)'!$B$342,Model!$U$3339)</f>
        <v>-1.98361936614269</v>
      </c>
      <c r="AD3412" s="377">
        <f>IPMT('Assumptions (O&amp;G Upstream)'!$B$339,Model!AF$1,'Assumptions (O&amp;G Upstream)'!$B$342,Model!$U$3339)</f>
        <v>-1.0276582258329598</v>
      </c>
      <c r="AE3412" s="377" t="e">
        <f>IPMT('Assumptions (O&amp;G Upstream)'!$B$339,Model!AG$1,'Assumptions (O&amp;G Upstream)'!$B$342,Model!$U$3339)</f>
        <v>#NUM!</v>
      </c>
      <c r="AF3412" s="377" t="e">
        <f>IPMT('Assumptions (O&amp;G Upstream)'!$B$339,Model!AH$1,'Assumptions (O&amp;G Upstream)'!$B$342,Model!$U$3339)</f>
        <v>#NUM!</v>
      </c>
      <c r="AG3412" s="377" t="e">
        <f>IPMT('Assumptions (O&amp;G Upstream)'!$B$339,Model!AI$1,'Assumptions (O&amp;G Upstream)'!$B$342,Model!$U$3339)</f>
        <v>#NUM!</v>
      </c>
      <c r="AH3412" s="377" t="e">
        <f>IPMT('Assumptions (O&amp;G Upstream)'!$B$339,Model!AJ$1,'Assumptions (O&amp;G Upstream)'!$B$342,Model!$U$3339)</f>
        <v>#NUM!</v>
      </c>
      <c r="AI3412" s="377" t="e">
        <f>IPMT('Assumptions (O&amp;G Upstream)'!$B$339,Model!AK$1,'Assumptions (O&amp;G Upstream)'!$B$342,Model!$U$3339)</f>
        <v>#NUM!</v>
      </c>
      <c r="AJ3412" s="377" t="e">
        <f>IPMT('Assumptions (O&amp;G Upstream)'!$B$339,Model!AL$1,'Assumptions (O&amp;G Upstream)'!$B$342,Model!$U$3339)</f>
        <v>#NUM!</v>
      </c>
      <c r="AK3412" s="377" t="e">
        <f>IPMT('Assumptions (O&amp;G Upstream)'!$B$339,Model!AM$1,'Assumptions (O&amp;G Upstream)'!$B$342,Model!$U$3339)</f>
        <v>#NUM!</v>
      </c>
      <c r="AL3412" s="377" t="e">
        <f>IPMT('Assumptions (O&amp;G Upstream)'!$B$339,Model!AN$1,'Assumptions (O&amp;G Upstream)'!$B$342,Model!$U$3339)</f>
        <v>#NUM!</v>
      </c>
      <c r="AM3412" s="377" t="e">
        <f>IPMT('Assumptions (O&amp;G Upstream)'!$B$339,Model!AO$1,'Assumptions (O&amp;G Upstream)'!$B$342,Model!$U$3339)</f>
        <v>#NUM!</v>
      </c>
      <c r="AN3412" s="377" t="e">
        <f>IPMT('Assumptions (O&amp;G Upstream)'!$B$339,Model!AP$1,'Assumptions (O&amp;G Upstream)'!$B$342,Model!$U$3339)</f>
        <v>#NUM!</v>
      </c>
      <c r="AO3412" s="377" t="e">
        <f>IPMT('Assumptions (O&amp;G Upstream)'!$B$339,Model!AQ$1,'Assumptions (O&amp;G Upstream)'!$B$342,Model!$U$3339)</f>
        <v>#NUM!</v>
      </c>
      <c r="AP3412" s="377" t="e">
        <f>IPMT('Assumptions (O&amp;G Upstream)'!$B$339,Model!AR$1,'Assumptions (O&amp;G Upstream)'!$B$342,Model!$U$3339)</f>
        <v>#NUM!</v>
      </c>
      <c r="AQ3412" s="377" t="e">
        <f>IPMT('Assumptions (O&amp;G Upstream)'!$B$339,Model!AS$1,'Assumptions (O&amp;G Upstream)'!$B$342,Model!$U$3339)</f>
        <v>#NUM!</v>
      </c>
      <c r="AR3412" s="377" t="e">
        <f>IPMT('Assumptions (O&amp;G Upstream)'!$B$339,Model!AT$1,'Assumptions (O&amp;G Upstream)'!$B$342,Model!$U$3339)</f>
        <v>#NUM!</v>
      </c>
      <c r="AS3412" s="377" t="e">
        <f>IPMT('Assumptions (O&amp;G Upstream)'!$B$339,Model!AU$1,'Assumptions (O&amp;G Upstream)'!$B$342,Model!$U$3339)</f>
        <v>#NUM!</v>
      </c>
    </row>
    <row r="3413" spans="1:57" ht="15.75" hidden="1" customHeight="1" outlineLevel="1">
      <c r="A3413" s="472"/>
      <c r="B3413" s="99"/>
      <c r="C3413" s="377"/>
      <c r="D3413" s="377"/>
      <c r="E3413" s="377"/>
      <c r="F3413" s="377"/>
      <c r="G3413" s="377"/>
      <c r="H3413" s="377"/>
      <c r="I3413" s="377"/>
      <c r="J3413" s="377"/>
      <c r="K3413" s="377"/>
      <c r="L3413" s="377"/>
      <c r="M3413" s="377"/>
      <c r="N3413" s="377"/>
      <c r="O3413" s="377"/>
      <c r="P3413" s="377"/>
      <c r="Q3413" s="377"/>
      <c r="R3413" s="377"/>
      <c r="S3413" s="42"/>
      <c r="T3413" s="42"/>
      <c r="U3413" s="42"/>
      <c r="V3413" s="377">
        <f>IPMT('Assumptions (O&amp;G Upstream)'!$B$339,Model!W$1,'Assumptions (O&amp;G Upstream)'!$B$342,Model!$V$3339)</f>
        <v>-8.5348647659610002</v>
      </c>
      <c r="W3413" s="377">
        <f>IPMT('Assumptions (O&amp;G Upstream)'!$B$339,Model!X$1,'Assumptions (O&amp;G Upstream)'!$B$342,Model!$V$3339)</f>
        <v>-7.9315699345225124</v>
      </c>
      <c r="X3413" s="377">
        <f>IPMT('Assumptions (O&amp;G Upstream)'!$B$339,Model!Y$1,'Assumptions (O&amp;G Upstream)'!$B$342,Model!$V$3339)</f>
        <v>-7.2830279907261382</v>
      </c>
      <c r="Y3413" s="377">
        <f>IPMT('Assumptions (O&amp;G Upstream)'!$B$339,Model!Z$1,'Assumptions (O&amp;G Upstream)'!$B$342,Model!$V$3339)</f>
        <v>-6.5858454011450362</v>
      </c>
      <c r="Z3413" s="377">
        <f>IPMT('Assumptions (O&amp;G Upstream)'!$B$339,Model!AA$1,'Assumptions (O&amp;G Upstream)'!$B$342,Model!$V$3339)</f>
        <v>-5.8363741173453505</v>
      </c>
      <c r="AA3413" s="377">
        <f>IPMT('Assumptions (O&amp;G Upstream)'!$B$339,Model!AB$1,'Assumptions (O&amp;G Upstream)'!$B$342,Model!$V$3339)</f>
        <v>-5.0306924872606897</v>
      </c>
      <c r="AB3413" s="377">
        <f>IPMT('Assumptions (O&amp;G Upstream)'!$B$339,Model!AC$1,'Assumptions (O&amp;G Upstream)'!$B$342,Model!$V$3339)</f>
        <v>-4.1645847349196794</v>
      </c>
      <c r="AC3413" s="377">
        <f>IPMT('Assumptions (O&amp;G Upstream)'!$B$339,Model!AD$1,'Assumptions (O&amp;G Upstream)'!$B$342,Model!$V$3339)</f>
        <v>-3.2335189011530918</v>
      </c>
      <c r="AD3413" s="377">
        <f>IPMT('Assumptions (O&amp;G Upstream)'!$B$339,Model!AE$1,'Assumptions (O&amp;G Upstream)'!$B$342,Model!$V$3339)</f>
        <v>-2.2326231298540118</v>
      </c>
      <c r="AE3413" s="377">
        <f>IPMT('Assumptions (O&amp;G Upstream)'!$B$339,Model!AF$1,'Assumptions (O&amp;G Upstream)'!$B$342,Model!$V$3339)</f>
        <v>-1.1566601757075001</v>
      </c>
      <c r="AF3413" s="377" t="e">
        <f>IPMT('Assumptions (O&amp;G Upstream)'!$B$339,Model!AG$1,'Assumptions (O&amp;G Upstream)'!$B$342,Model!$V$3339)</f>
        <v>#NUM!</v>
      </c>
      <c r="AG3413" s="377" t="e">
        <f>IPMT('Assumptions (O&amp;G Upstream)'!$B$339,Model!AH$1,'Assumptions (O&amp;G Upstream)'!$B$342,Model!$V$3339)</f>
        <v>#NUM!</v>
      </c>
      <c r="AH3413" s="377" t="e">
        <f>IPMT('Assumptions (O&amp;G Upstream)'!$B$339,Model!AI$1,'Assumptions (O&amp;G Upstream)'!$B$342,Model!$V$3339)</f>
        <v>#NUM!</v>
      </c>
      <c r="AI3413" s="377" t="e">
        <f>IPMT('Assumptions (O&amp;G Upstream)'!$B$339,Model!AJ$1,'Assumptions (O&amp;G Upstream)'!$B$342,Model!$V$3339)</f>
        <v>#NUM!</v>
      </c>
      <c r="AJ3413" s="377" t="e">
        <f>IPMT('Assumptions (O&amp;G Upstream)'!$B$339,Model!AK$1,'Assumptions (O&amp;G Upstream)'!$B$342,Model!$V$3339)</f>
        <v>#NUM!</v>
      </c>
      <c r="AK3413" s="377" t="e">
        <f>IPMT('Assumptions (O&amp;G Upstream)'!$B$339,Model!AL$1,'Assumptions (O&amp;G Upstream)'!$B$342,Model!$V$3339)</f>
        <v>#NUM!</v>
      </c>
      <c r="AL3413" s="377" t="e">
        <f>IPMT('Assumptions (O&amp;G Upstream)'!$B$339,Model!AM$1,'Assumptions (O&amp;G Upstream)'!$B$342,Model!$V$3339)</f>
        <v>#NUM!</v>
      </c>
      <c r="AM3413" s="377" t="e">
        <f>IPMT('Assumptions (O&amp;G Upstream)'!$B$339,Model!AN$1,'Assumptions (O&amp;G Upstream)'!$B$342,Model!$V$3339)</f>
        <v>#NUM!</v>
      </c>
      <c r="AN3413" s="377" t="e">
        <f>IPMT('Assumptions (O&amp;G Upstream)'!$B$339,Model!AO$1,'Assumptions (O&amp;G Upstream)'!$B$342,Model!$V$3339)</f>
        <v>#NUM!</v>
      </c>
      <c r="AO3413" s="377" t="e">
        <f>IPMT('Assumptions (O&amp;G Upstream)'!$B$339,Model!AP$1,'Assumptions (O&amp;G Upstream)'!$B$342,Model!$V$3339)</f>
        <v>#NUM!</v>
      </c>
      <c r="AP3413" s="377" t="e">
        <f>IPMT('Assumptions (O&amp;G Upstream)'!$B$339,Model!AQ$1,'Assumptions (O&amp;G Upstream)'!$B$342,Model!$V$3339)</f>
        <v>#NUM!</v>
      </c>
      <c r="AQ3413" s="377" t="e">
        <f>IPMT('Assumptions (O&amp;G Upstream)'!$B$339,Model!AR$1,'Assumptions (O&amp;G Upstream)'!$B$342,Model!$V$3339)</f>
        <v>#NUM!</v>
      </c>
      <c r="AR3413" s="377" t="e">
        <f>IPMT('Assumptions (O&amp;G Upstream)'!$B$339,Model!AS$1,'Assumptions (O&amp;G Upstream)'!$B$342,Model!$V$3339)</f>
        <v>#NUM!</v>
      </c>
      <c r="AS3413" s="377" t="e">
        <f>IPMT('Assumptions (O&amp;G Upstream)'!$B$339,Model!AT$1,'Assumptions (O&amp;G Upstream)'!$B$342,Model!$V$3339)</f>
        <v>#NUM!</v>
      </c>
      <c r="AT3413" s="377" t="e">
        <f>IPMT('Assumptions (O&amp;G Upstream)'!$B$339,Model!AU$1,'Assumptions (O&amp;G Upstream)'!$B$342,Model!$V$3339)</f>
        <v>#NUM!</v>
      </c>
    </row>
    <row r="3414" spans="1:57" ht="15.75" hidden="1" customHeight="1" outlineLevel="1">
      <c r="A3414" s="472"/>
      <c r="B3414" s="99"/>
      <c r="C3414" s="377"/>
      <c r="D3414" s="377"/>
      <c r="E3414" s="377"/>
      <c r="F3414" s="377"/>
      <c r="G3414" s="377"/>
      <c r="H3414" s="377"/>
      <c r="I3414" s="377"/>
      <c r="J3414" s="377"/>
      <c r="K3414" s="377"/>
      <c r="L3414" s="377"/>
      <c r="M3414" s="377"/>
      <c r="N3414" s="377"/>
      <c r="O3414" s="377"/>
      <c r="P3414" s="377"/>
      <c r="Q3414" s="377"/>
      <c r="R3414" s="377"/>
      <c r="S3414" s="42"/>
      <c r="T3414" s="42"/>
      <c r="U3414" s="42"/>
      <c r="V3414" s="42"/>
      <c r="W3414" s="377">
        <f>IPMT('Assumptions (O&amp;G Upstream)'!$B$339,Model!W$1,'Assumptions (O&amp;G Upstream)'!$B$342,Model!$W$3339)</f>
        <v>-9.2961940038569999</v>
      </c>
      <c r="X3414" s="377">
        <f>IPMT('Assumptions (O&amp;G Upstream)'!$B$339,Model!X$1,'Assumptions (O&amp;G Upstream)'!$B$342,Model!$W$3339)</f>
        <v>-8.6390839091612115</v>
      </c>
      <c r="Y3414" s="377">
        <f>IPMT('Assumptions (O&amp;G Upstream)'!$B$339,Model!Y$1,'Assumptions (O&amp;G Upstream)'!$B$342,Model!$W$3339)</f>
        <v>-7.9326905573632374</v>
      </c>
      <c r="Z3414" s="377">
        <f>IPMT('Assumptions (O&amp;G Upstream)'!$B$339,Model!Z$1,'Assumptions (O&amp;G Upstream)'!$B$342,Model!$W$3339)</f>
        <v>-7.1733177041804161</v>
      </c>
      <c r="AA3414" s="377">
        <f>IPMT('Assumptions (O&amp;G Upstream)'!$B$339,Model!AA$1,'Assumptions (O&amp;G Upstream)'!$B$342,Model!$W$3339)</f>
        <v>-6.3569918870088831</v>
      </c>
      <c r="AB3414" s="377">
        <f>IPMT('Assumptions (O&amp;G Upstream)'!$B$339,Model!AB$1,'Assumptions (O&amp;G Upstream)'!$B$342,Model!$W$3339)</f>
        <v>-5.4794416335494853</v>
      </c>
      <c r="AC3414" s="377">
        <f>IPMT('Assumptions (O&amp;G Upstream)'!$B$339,Model!AC$1,'Assumptions (O&amp;G Upstream)'!$B$342,Model!$W$3339)</f>
        <v>-4.536075111080633</v>
      </c>
      <c r="AD3414" s="377">
        <f>IPMT('Assumptions (O&amp;G Upstream)'!$B$339,Model!AD$1,'Assumptions (O&amp;G Upstream)'!$B$342,Model!$W$3339)</f>
        <v>-3.5219560994266148</v>
      </c>
      <c r="AE3414" s="377">
        <f>IPMT('Assumptions (O&amp;G Upstream)'!$B$339,Model!AE$1,'Assumptions (O&amp;G Upstream)'!$B$342,Model!$W$3339)</f>
        <v>-2.4317781618985475</v>
      </c>
      <c r="AF3414" s="377">
        <f>IPMT('Assumptions (O&amp;G Upstream)'!$B$339,Model!AF$1,'Assumptions (O&amp;G Upstream)'!$B$342,Model!$W$3339)</f>
        <v>-1.2598368790558736</v>
      </c>
      <c r="AG3414" s="377" t="e">
        <f>IPMT('Assumptions (O&amp;G Upstream)'!$B$339,Model!AG$1,'Assumptions (O&amp;G Upstream)'!$B$342,Model!$W$3339)</f>
        <v>#NUM!</v>
      </c>
      <c r="AH3414" s="377" t="e">
        <f>IPMT('Assumptions (O&amp;G Upstream)'!$B$339,Model!AH$1,'Assumptions (O&amp;G Upstream)'!$B$342,Model!$W$3339)</f>
        <v>#NUM!</v>
      </c>
      <c r="AI3414" s="377" t="e">
        <f>IPMT('Assumptions (O&amp;G Upstream)'!$B$339,Model!AI$1,'Assumptions (O&amp;G Upstream)'!$B$342,Model!$W$3339)</f>
        <v>#NUM!</v>
      </c>
      <c r="AJ3414" s="377" t="e">
        <f>IPMT('Assumptions (O&amp;G Upstream)'!$B$339,Model!AJ$1,'Assumptions (O&amp;G Upstream)'!$B$342,Model!$W$3339)</f>
        <v>#NUM!</v>
      </c>
      <c r="AK3414" s="377" t="e">
        <f>IPMT('Assumptions (O&amp;G Upstream)'!$B$339,Model!AK$1,'Assumptions (O&amp;G Upstream)'!$B$342,Model!$W$3339)</f>
        <v>#NUM!</v>
      </c>
      <c r="AL3414" s="377" t="e">
        <f>IPMT('Assumptions (O&amp;G Upstream)'!$B$339,Model!AL$1,'Assumptions (O&amp;G Upstream)'!$B$342,Model!$W$3339)</f>
        <v>#NUM!</v>
      </c>
      <c r="AM3414" s="377" t="e">
        <f>IPMT('Assumptions (O&amp;G Upstream)'!$B$339,Model!AM$1,'Assumptions (O&amp;G Upstream)'!$B$342,Model!$W$3339)</f>
        <v>#NUM!</v>
      </c>
      <c r="AN3414" s="377" t="e">
        <f>IPMT('Assumptions (O&amp;G Upstream)'!$B$339,Model!AN$1,'Assumptions (O&amp;G Upstream)'!$B$342,Model!$W$3339)</f>
        <v>#NUM!</v>
      </c>
      <c r="AO3414" s="377" t="e">
        <f>IPMT('Assumptions (O&amp;G Upstream)'!$B$339,Model!AO$1,'Assumptions (O&amp;G Upstream)'!$B$342,Model!$W$3339)</f>
        <v>#NUM!</v>
      </c>
      <c r="AP3414" s="377" t="e">
        <f>IPMT('Assumptions (O&amp;G Upstream)'!$B$339,Model!AP$1,'Assumptions (O&amp;G Upstream)'!$B$342,Model!$W$3339)</f>
        <v>#NUM!</v>
      </c>
      <c r="AQ3414" s="377" t="e">
        <f>IPMT('Assumptions (O&amp;G Upstream)'!$B$339,Model!AQ$1,'Assumptions (O&amp;G Upstream)'!$B$342,Model!$W$3339)</f>
        <v>#NUM!</v>
      </c>
      <c r="AR3414" s="377" t="e">
        <f>IPMT('Assumptions (O&amp;G Upstream)'!$B$339,Model!AR$1,'Assumptions (O&amp;G Upstream)'!$B$342,Model!$W$3339)</f>
        <v>#NUM!</v>
      </c>
      <c r="AS3414" s="377" t="e">
        <f>IPMT('Assumptions (O&amp;G Upstream)'!$B$339,Model!AS$1,'Assumptions (O&amp;G Upstream)'!$B$342,Model!$W$3339)</f>
        <v>#NUM!</v>
      </c>
      <c r="AT3414" s="377" t="e">
        <f>IPMT('Assumptions (O&amp;G Upstream)'!$B$339,Model!AT$1,'Assumptions (O&amp;G Upstream)'!$B$342,Model!$W$3339)</f>
        <v>#NUM!</v>
      </c>
      <c r="AU3414" s="377" t="e">
        <f>IPMT('Assumptions (O&amp;G Upstream)'!$B$339,Model!AU$1,'Assumptions (O&amp;G Upstream)'!$B$342,Model!$W$3339)</f>
        <v>#NUM!</v>
      </c>
    </row>
    <row r="3415" spans="1:57" ht="15.75" hidden="1" customHeight="1" outlineLevel="1">
      <c r="A3415" s="472"/>
      <c r="B3415" s="99"/>
      <c r="C3415" s="377"/>
      <c r="D3415" s="377"/>
      <c r="E3415" s="377"/>
      <c r="F3415" s="377"/>
      <c r="G3415" s="377"/>
      <c r="H3415" s="377"/>
      <c r="I3415" s="377"/>
      <c r="J3415" s="377"/>
      <c r="K3415" s="377"/>
      <c r="L3415" s="377"/>
      <c r="M3415" s="377"/>
      <c r="N3415" s="377"/>
      <c r="O3415" s="377"/>
      <c r="P3415" s="377"/>
      <c r="Q3415" s="377"/>
      <c r="R3415" s="377"/>
      <c r="S3415" s="42"/>
      <c r="T3415" s="42"/>
      <c r="U3415" s="42"/>
      <c r="V3415" s="42"/>
      <c r="W3415" s="86"/>
      <c r="X3415" s="377">
        <f>IPMT('Assumptions (O&amp;G Upstream)'!$B$339,Model!W$1,'Assumptions (O&amp;G Upstream)'!$B$342,Model!$X$3339)</f>
        <v>-9.7808146640729987</v>
      </c>
      <c r="Y3415" s="377">
        <f>IPMT('Assumptions (O&amp;G Upstream)'!$B$339,Model!X$1,'Assumptions (O&amp;G Upstream)'!$B$342,Model!$X$3339)</f>
        <v>-9.0894487085599831</v>
      </c>
      <c r="Z3415" s="377">
        <f>IPMT('Assumptions (O&amp;G Upstream)'!$B$339,Model!Y$1,'Assumptions (O&amp;G Upstream)'!$B$342,Model!$X$3339)</f>
        <v>-8.3462303063834895</v>
      </c>
      <c r="AA3415" s="377">
        <f>IPMT('Assumptions (O&amp;G Upstream)'!$B$339,Model!Z$1,'Assumptions (O&amp;G Upstream)'!$B$342,Model!$X$3339)</f>
        <v>-7.5472705240437588</v>
      </c>
      <c r="AB3415" s="377">
        <f>IPMT('Assumptions (O&amp;G Upstream)'!$B$339,Model!AA$1,'Assumptions (O&amp;G Upstream)'!$B$342,Model!$X$3339)</f>
        <v>-6.6883887580285482</v>
      </c>
      <c r="AC3415" s="377">
        <f>IPMT('Assumptions (O&amp;G Upstream)'!$B$339,Model!AB$1,'Assumptions (O&amp;G Upstream)'!$B$342,Model!$X$3339)</f>
        <v>-5.765090859562199</v>
      </c>
      <c r="AD3415" s="377">
        <f>IPMT('Assumptions (O&amp;G Upstream)'!$B$339,Model!AC$1,'Assumptions (O&amp;G Upstream)'!$B$342,Model!$X$3339)</f>
        <v>-4.7725456187108728</v>
      </c>
      <c r="AE3415" s="377">
        <f>IPMT('Assumptions (O&amp;G Upstream)'!$B$339,Model!AD$1,'Assumptions (O&amp;G Upstream)'!$B$342,Model!$X$3339)</f>
        <v>-3.7055594847956947</v>
      </c>
      <c r="AF3415" s="377">
        <f>IPMT('Assumptions (O&amp;G Upstream)'!$B$339,Model!AE$1,'Assumptions (O&amp;G Upstream)'!$B$342,Model!$X$3339)</f>
        <v>-2.5585493908368808</v>
      </c>
      <c r="AG3415" s="377">
        <f>IPMT('Assumptions (O&amp;G Upstream)'!$B$339,Model!AF$1,'Assumptions (O&amp;G Upstream)'!$B$342,Model!$X$3339)</f>
        <v>-1.3255135398311551</v>
      </c>
      <c r="AH3415" s="377" t="e">
        <f>IPMT('Assumptions (O&amp;G Upstream)'!$B$339,Model!AG$1,'Assumptions (O&amp;G Upstream)'!$B$342,Model!$X$3339)</f>
        <v>#NUM!</v>
      </c>
      <c r="AI3415" s="377" t="e">
        <f>IPMT('Assumptions (O&amp;G Upstream)'!$B$339,Model!AH$1,'Assumptions (O&amp;G Upstream)'!$B$342,Model!$X$3339)</f>
        <v>#NUM!</v>
      </c>
      <c r="AJ3415" s="377" t="e">
        <f>IPMT('Assumptions (O&amp;G Upstream)'!$B$339,Model!AI$1,'Assumptions (O&amp;G Upstream)'!$B$342,Model!$X$3339)</f>
        <v>#NUM!</v>
      </c>
      <c r="AK3415" s="377" t="e">
        <f>IPMT('Assumptions (O&amp;G Upstream)'!$B$339,Model!AJ$1,'Assumptions (O&amp;G Upstream)'!$B$342,Model!$X$3339)</f>
        <v>#NUM!</v>
      </c>
      <c r="AL3415" s="377" t="e">
        <f>IPMT('Assumptions (O&amp;G Upstream)'!$B$339,Model!AK$1,'Assumptions (O&amp;G Upstream)'!$B$342,Model!$X$3339)</f>
        <v>#NUM!</v>
      </c>
      <c r="AM3415" s="377" t="e">
        <f>IPMT('Assumptions (O&amp;G Upstream)'!$B$339,Model!AL$1,'Assumptions (O&amp;G Upstream)'!$B$342,Model!$X$3339)</f>
        <v>#NUM!</v>
      </c>
      <c r="AN3415" s="377" t="e">
        <f>IPMT('Assumptions (O&amp;G Upstream)'!$B$339,Model!AM$1,'Assumptions (O&amp;G Upstream)'!$B$342,Model!$X$3339)</f>
        <v>#NUM!</v>
      </c>
      <c r="AO3415" s="377" t="e">
        <f>IPMT('Assumptions (O&amp;G Upstream)'!$B$339,Model!AN$1,'Assumptions (O&amp;G Upstream)'!$B$342,Model!$X$3339)</f>
        <v>#NUM!</v>
      </c>
      <c r="AP3415" s="377" t="e">
        <f>IPMT('Assumptions (O&amp;G Upstream)'!$B$339,Model!AO$1,'Assumptions (O&amp;G Upstream)'!$B$342,Model!$X$3339)</f>
        <v>#NUM!</v>
      </c>
      <c r="AQ3415" s="377" t="e">
        <f>IPMT('Assumptions (O&amp;G Upstream)'!$B$339,Model!AP$1,'Assumptions (O&amp;G Upstream)'!$B$342,Model!$X$3339)</f>
        <v>#NUM!</v>
      </c>
      <c r="AR3415" s="377" t="e">
        <f>IPMT('Assumptions (O&amp;G Upstream)'!$B$339,Model!AQ$1,'Assumptions (O&amp;G Upstream)'!$B$342,Model!$X$3339)</f>
        <v>#NUM!</v>
      </c>
      <c r="AS3415" s="377" t="e">
        <f>IPMT('Assumptions (O&amp;G Upstream)'!$B$339,Model!AR$1,'Assumptions (O&amp;G Upstream)'!$B$342,Model!$X$3339)</f>
        <v>#NUM!</v>
      </c>
      <c r="AT3415" s="377" t="e">
        <f>IPMT('Assumptions (O&amp;G Upstream)'!$B$339,Model!AS$1,'Assumptions (O&amp;G Upstream)'!$B$342,Model!$X$3339)</f>
        <v>#NUM!</v>
      </c>
      <c r="AU3415" s="377" t="e">
        <f>IPMT('Assumptions (O&amp;G Upstream)'!$B$339,Model!AT$1,'Assumptions (O&amp;G Upstream)'!$B$342,Model!$X$3339)</f>
        <v>#NUM!</v>
      </c>
      <c r="AV3415" s="377" t="e">
        <f>IPMT('Assumptions (O&amp;G Upstream)'!$B$339,Model!AU$1,'Assumptions (O&amp;G Upstream)'!$B$342,Model!$X$3339)</f>
        <v>#NUM!</v>
      </c>
    </row>
    <row r="3416" spans="1:57" ht="15.75" hidden="1" customHeight="1" outlineLevel="1">
      <c r="A3416" s="472"/>
      <c r="B3416" s="99"/>
      <c r="C3416" s="377"/>
      <c r="D3416" s="377"/>
      <c r="E3416" s="377"/>
      <c r="F3416" s="377"/>
      <c r="G3416" s="377"/>
      <c r="H3416" s="377"/>
      <c r="I3416" s="377"/>
      <c r="J3416" s="377"/>
      <c r="K3416" s="377"/>
      <c r="L3416" s="377"/>
      <c r="M3416" s="377"/>
      <c r="N3416" s="377"/>
      <c r="O3416" s="377"/>
      <c r="P3416" s="377"/>
      <c r="Q3416" s="377"/>
      <c r="R3416" s="377"/>
      <c r="S3416" s="42"/>
      <c r="T3416" s="42"/>
      <c r="U3416" s="42"/>
      <c r="V3416" s="42"/>
      <c r="W3416" s="86"/>
      <c r="Y3416" s="377">
        <f>IPMT('Assumptions (O&amp;G Upstream)'!$B$339,Model!W$1,'Assumptions (O&amp;G Upstream)'!$B$342,Model!$Y$3339)</f>
        <v>-9.905608996730999</v>
      </c>
      <c r="Z3416" s="377">
        <f>IPMT('Assumptions (O&amp;G Upstream)'!$B$339,Model!X$1,'Assumptions (O&amp;G Upstream)'!$B$342,Model!$Y$3339)</f>
        <v>-9.2054218380765285</v>
      </c>
      <c r="AA3416" s="377">
        <f>IPMT('Assumptions (O&amp;G Upstream)'!$B$339,Model!Y$1,'Assumptions (O&amp;G Upstream)'!$B$342,Model!$Y$3339)</f>
        <v>-8.4527206425229711</v>
      </c>
      <c r="AB3416" s="377">
        <f>IPMT('Assumptions (O&amp;G Upstream)'!$B$339,Model!Z$1,'Assumptions (O&amp;G Upstream)'!$B$342,Model!$Y$3339)</f>
        <v>-7.643566857302897</v>
      </c>
      <c r="AC3416" s="377">
        <f>IPMT('Assumptions (O&amp;G Upstream)'!$B$339,Model!AA$1,'Assumptions (O&amp;G Upstream)'!$B$342,Model!$Y$3339)</f>
        <v>-6.7737265381913181</v>
      </c>
      <c r="AD3416" s="377">
        <f>IPMT('Assumptions (O&amp;G Upstream)'!$B$339,Model!AB$1,'Assumptions (O&amp;G Upstream)'!$B$342,Model!$Y$3339)</f>
        <v>-5.8386481951463702</v>
      </c>
      <c r="AE3416" s="377">
        <f>IPMT('Assumptions (O&amp;G Upstream)'!$B$339,Model!AC$1,'Assumptions (O&amp;G Upstream)'!$B$342,Model!$Y$3339)</f>
        <v>-4.8334389763730519</v>
      </c>
      <c r="AF3416" s="377">
        <f>IPMT('Assumptions (O&amp;G Upstream)'!$B$339,Model!AD$1,'Assumptions (O&amp;G Upstream)'!$B$342,Model!$Y$3339)</f>
        <v>-3.7528390661917332</v>
      </c>
      <c r="AG3416" s="377">
        <f>IPMT('Assumptions (O&amp;G Upstream)'!$B$339,Model!AE$1,'Assumptions (O&amp;G Upstream)'!$B$342,Model!$Y$3339)</f>
        <v>-2.5911941627468171</v>
      </c>
      <c r="AH3416" s="377">
        <f>IPMT('Assumptions (O&amp;G Upstream)'!$B$339,Model!AF$1,'Assumptions (O&amp;G Upstream)'!$B$342,Model!$Y$3339)</f>
        <v>-1.3424258915435319</v>
      </c>
      <c r="AI3416" s="377" t="e">
        <f>IPMT('Assumptions (O&amp;G Upstream)'!$B$339,Model!AG$1,'Assumptions (O&amp;G Upstream)'!$B$342,Model!$Y$3339)</f>
        <v>#NUM!</v>
      </c>
      <c r="AJ3416" s="377" t="e">
        <f>IPMT('Assumptions (O&amp;G Upstream)'!$B$339,Model!AH$1,'Assumptions (O&amp;G Upstream)'!$B$342,Model!$Y$3339)</f>
        <v>#NUM!</v>
      </c>
      <c r="AK3416" s="377" t="e">
        <f>IPMT('Assumptions (O&amp;G Upstream)'!$B$339,Model!AI$1,'Assumptions (O&amp;G Upstream)'!$B$342,Model!$Y$3339)</f>
        <v>#NUM!</v>
      </c>
      <c r="AL3416" s="377" t="e">
        <f>IPMT('Assumptions (O&amp;G Upstream)'!$B$339,Model!AJ$1,'Assumptions (O&amp;G Upstream)'!$B$342,Model!$Y$3339)</f>
        <v>#NUM!</v>
      </c>
      <c r="AM3416" s="377" t="e">
        <f>IPMT('Assumptions (O&amp;G Upstream)'!$B$339,Model!AK$1,'Assumptions (O&amp;G Upstream)'!$B$342,Model!$Y$3339)</f>
        <v>#NUM!</v>
      </c>
      <c r="AN3416" s="377" t="e">
        <f>IPMT('Assumptions (O&amp;G Upstream)'!$B$339,Model!AL$1,'Assumptions (O&amp;G Upstream)'!$B$342,Model!$Y$3339)</f>
        <v>#NUM!</v>
      </c>
      <c r="AO3416" s="377" t="e">
        <f>IPMT('Assumptions (O&amp;G Upstream)'!$B$339,Model!AM$1,'Assumptions (O&amp;G Upstream)'!$B$342,Model!$Y$3339)</f>
        <v>#NUM!</v>
      </c>
      <c r="AP3416" s="377" t="e">
        <f>IPMT('Assumptions (O&amp;G Upstream)'!$B$339,Model!AN$1,'Assumptions (O&amp;G Upstream)'!$B$342,Model!$Y$3339)</f>
        <v>#NUM!</v>
      </c>
      <c r="AQ3416" s="377" t="e">
        <f>IPMT('Assumptions (O&amp;G Upstream)'!$B$339,Model!AO$1,'Assumptions (O&amp;G Upstream)'!$B$342,Model!$Y$3339)</f>
        <v>#NUM!</v>
      </c>
      <c r="AR3416" s="377" t="e">
        <f>IPMT('Assumptions (O&amp;G Upstream)'!$B$339,Model!AP$1,'Assumptions (O&amp;G Upstream)'!$B$342,Model!$Y$3339)</f>
        <v>#NUM!</v>
      </c>
      <c r="AS3416" s="377" t="e">
        <f>IPMT('Assumptions (O&amp;G Upstream)'!$B$339,Model!AQ$1,'Assumptions (O&amp;G Upstream)'!$B$342,Model!$Y$3339)</f>
        <v>#NUM!</v>
      </c>
      <c r="AT3416" s="377" t="e">
        <f>IPMT('Assumptions (O&amp;G Upstream)'!$B$339,Model!AR$1,'Assumptions (O&amp;G Upstream)'!$B$342,Model!$Y$3339)</f>
        <v>#NUM!</v>
      </c>
      <c r="AU3416" s="377" t="e">
        <f>IPMT('Assumptions (O&amp;G Upstream)'!$B$339,Model!AS$1,'Assumptions (O&amp;G Upstream)'!$B$342,Model!$Y$3339)</f>
        <v>#NUM!</v>
      </c>
      <c r="AV3416" s="377" t="e">
        <f>IPMT('Assumptions (O&amp;G Upstream)'!$B$339,Model!AT$1,'Assumptions (O&amp;G Upstream)'!$B$342,Model!$Y$3339)</f>
        <v>#NUM!</v>
      </c>
      <c r="AW3416" s="377" t="e">
        <f>IPMT('Assumptions (O&amp;G Upstream)'!$B$339,Model!AU$1,'Assumptions (O&amp;G Upstream)'!$B$342,Model!$Y$3339)</f>
        <v>#NUM!</v>
      </c>
    </row>
    <row r="3417" spans="1:57" ht="15.75" hidden="1" customHeight="1" outlineLevel="1">
      <c r="A3417" s="472"/>
      <c r="B3417" s="99"/>
      <c r="C3417" s="377"/>
      <c r="D3417" s="377"/>
      <c r="E3417" s="377"/>
      <c r="F3417" s="377"/>
      <c r="G3417" s="377"/>
      <c r="H3417" s="377"/>
      <c r="I3417" s="377"/>
      <c r="J3417" s="377"/>
      <c r="K3417" s="377"/>
      <c r="L3417" s="377"/>
      <c r="M3417" s="377"/>
      <c r="N3417" s="377"/>
      <c r="O3417" s="377"/>
      <c r="P3417" s="377"/>
      <c r="Q3417" s="377"/>
      <c r="R3417" s="377"/>
      <c r="S3417" s="42"/>
      <c r="T3417" s="42"/>
      <c r="U3417" s="42"/>
      <c r="V3417" s="42"/>
      <c r="W3417" s="86"/>
      <c r="Z3417" s="377">
        <f>IPMT('Assumptions (O&amp;G Upstream)'!$B$339,Model!W$1,'Assumptions (O&amp;G Upstream)'!$B$342,Model!$Z$3339)</f>
        <v>-10.120966789751998</v>
      </c>
      <c r="AA3417" s="377">
        <f>IPMT('Assumptions (O&amp;G Upstream)'!$B$339,Model!X$1,'Assumptions (O&amp;G Upstream)'!$B$342,Model!$Z$3339)</f>
        <v>-9.4055568657693946</v>
      </c>
      <c r="AB3417" s="377">
        <f>IPMT('Assumptions (O&amp;G Upstream)'!$B$339,Model!Y$1,'Assumptions (O&amp;G Upstream)'!$B$342,Model!$Z$3339)</f>
        <v>-8.6364911974880965</v>
      </c>
      <c r="AC3417" s="377">
        <f>IPMT('Assumptions (O&amp;G Upstream)'!$B$339,Model!Z$1,'Assumptions (O&amp;G Upstream)'!$B$342,Model!$Z$3339)</f>
        <v>-7.8097456040856992</v>
      </c>
      <c r="AD3417" s="377">
        <f>IPMT('Assumptions (O&amp;G Upstream)'!$B$339,Model!AA$1,'Assumptions (O&amp;G Upstream)'!$B$342,Model!$Z$3339)</f>
        <v>-6.9209940911781223</v>
      </c>
      <c r="AE3417" s="377">
        <f>IPMT('Assumptions (O&amp;G Upstream)'!$B$339,Model!AB$1,'Assumptions (O&amp;G Upstream)'!$B$342,Model!$Z$3339)</f>
        <v>-5.9655862148024781</v>
      </c>
      <c r="AF3417" s="377">
        <f>IPMT('Assumptions (O&amp;G Upstream)'!$B$339,Model!AC$1,'Assumptions (O&amp;G Upstream)'!$B$342,Model!$Z$3339)</f>
        <v>-4.9385227476986611</v>
      </c>
      <c r="AG3417" s="377">
        <f>IPMT('Assumptions (O&amp;G Upstream)'!$B$339,Model!AD$1,'Assumptions (O&amp;G Upstream)'!$B$342,Model!$Z$3339)</f>
        <v>-3.8344295205620558</v>
      </c>
      <c r="AH3417" s="377">
        <f>IPMT('Assumptions (O&amp;G Upstream)'!$B$339,Model!AE$1,'Assumptions (O&amp;G Upstream)'!$B$342,Model!$Z$3339)</f>
        <v>-2.6475293013902066</v>
      </c>
      <c r="AI3417" s="377">
        <f>IPMT('Assumptions (O&amp;G Upstream)'!$B$339,Model!AF$1,'Assumptions (O&amp;G Upstream)'!$B$342,Model!$Z$3339)</f>
        <v>-1.3716115657804686</v>
      </c>
      <c r="AJ3417" s="377" t="e">
        <f>IPMT('Assumptions (O&amp;G Upstream)'!$B$339,Model!AG$1,'Assumptions (O&amp;G Upstream)'!$B$342,Model!$Z$3339)</f>
        <v>#NUM!</v>
      </c>
      <c r="AK3417" s="377" t="e">
        <f>IPMT('Assumptions (O&amp;G Upstream)'!$B$339,Model!AH$1,'Assumptions (O&amp;G Upstream)'!$B$342,Model!$Z$3339)</f>
        <v>#NUM!</v>
      </c>
      <c r="AL3417" s="377" t="e">
        <f>IPMT('Assumptions (O&amp;G Upstream)'!$B$339,Model!AI$1,'Assumptions (O&amp;G Upstream)'!$B$342,Model!$Z$3339)</f>
        <v>#NUM!</v>
      </c>
      <c r="AM3417" s="377" t="e">
        <f>IPMT('Assumptions (O&amp;G Upstream)'!$B$339,Model!AJ$1,'Assumptions (O&amp;G Upstream)'!$B$342,Model!$Z$3339)</f>
        <v>#NUM!</v>
      </c>
      <c r="AN3417" s="377" t="e">
        <f>IPMT('Assumptions (O&amp;G Upstream)'!$B$339,Model!AK$1,'Assumptions (O&amp;G Upstream)'!$B$342,Model!$Z$3339)</f>
        <v>#NUM!</v>
      </c>
      <c r="AO3417" s="377" t="e">
        <f>IPMT('Assumptions (O&amp;G Upstream)'!$B$339,Model!AL$1,'Assumptions (O&amp;G Upstream)'!$B$342,Model!$Z$3339)</f>
        <v>#NUM!</v>
      </c>
      <c r="AP3417" s="377" t="e">
        <f>IPMT('Assumptions (O&amp;G Upstream)'!$B$339,Model!AM$1,'Assumptions (O&amp;G Upstream)'!$B$342,Model!$Z$3339)</f>
        <v>#NUM!</v>
      </c>
      <c r="AQ3417" s="377" t="e">
        <f>IPMT('Assumptions (O&amp;G Upstream)'!$B$339,Model!AN$1,'Assumptions (O&amp;G Upstream)'!$B$342,Model!$Z$3339)</f>
        <v>#NUM!</v>
      </c>
      <c r="AR3417" s="377" t="e">
        <f>IPMT('Assumptions (O&amp;G Upstream)'!$B$339,Model!AO$1,'Assumptions (O&amp;G Upstream)'!$B$342,Model!$Z$3339)</f>
        <v>#NUM!</v>
      </c>
      <c r="AS3417" s="377" t="e">
        <f>IPMT('Assumptions (O&amp;G Upstream)'!$B$339,Model!AP$1,'Assumptions (O&amp;G Upstream)'!$B$342,Model!$Z$3339)</f>
        <v>#NUM!</v>
      </c>
      <c r="AT3417" s="377" t="e">
        <f>IPMT('Assumptions (O&amp;G Upstream)'!$B$339,Model!AQ$1,'Assumptions (O&amp;G Upstream)'!$B$342,Model!$Z$3339)</f>
        <v>#NUM!</v>
      </c>
      <c r="AU3417" s="377" t="e">
        <f>IPMT('Assumptions (O&amp;G Upstream)'!$B$339,Model!AR$1,'Assumptions (O&amp;G Upstream)'!$B$342,Model!$Z$3339)</f>
        <v>#NUM!</v>
      </c>
      <c r="AV3417" s="377" t="e">
        <f>IPMT('Assumptions (O&amp;G Upstream)'!$B$339,Model!AS$1,'Assumptions (O&amp;G Upstream)'!$B$342,Model!$Z$3339)</f>
        <v>#NUM!</v>
      </c>
      <c r="AW3417" s="377" t="e">
        <f>IPMT('Assumptions (O&amp;G Upstream)'!$B$339,Model!AT$1,'Assumptions (O&amp;G Upstream)'!$B$342,Model!$Z$3339)</f>
        <v>#NUM!</v>
      </c>
      <c r="AX3417" s="377" t="e">
        <f>IPMT('Assumptions (O&amp;G Upstream)'!$B$339,Model!AU$1,'Assumptions (O&amp;G Upstream)'!$B$342,Model!$Z$3339)</f>
        <v>#NUM!</v>
      </c>
    </row>
    <row r="3418" spans="1:57" ht="15.75" hidden="1" customHeight="1" outlineLevel="1">
      <c r="A3418" s="472"/>
      <c r="B3418" s="99"/>
      <c r="C3418" s="377"/>
      <c r="D3418" s="377"/>
      <c r="E3418" s="377"/>
      <c r="F3418" s="377"/>
      <c r="G3418" s="377"/>
      <c r="H3418" s="377"/>
      <c r="I3418" s="377"/>
      <c r="J3418" s="377"/>
      <c r="K3418" s="377"/>
      <c r="L3418" s="377"/>
      <c r="M3418" s="377"/>
      <c r="N3418" s="377"/>
      <c r="O3418" s="377"/>
      <c r="P3418" s="377"/>
      <c r="Q3418" s="377"/>
      <c r="R3418" s="377"/>
      <c r="S3418" s="42"/>
      <c r="T3418" s="42"/>
      <c r="U3418" s="42"/>
      <c r="V3418" s="42"/>
      <c r="W3418" s="86"/>
      <c r="AA3418" s="377">
        <f>IPMT('Assumptions (O&amp;G Upstream)'!$B$339,Model!W$1,'Assumptions (O&amp;G Upstream)'!$B$342,Model!$AA$3339)</f>
        <v>-10.582181344520999</v>
      </c>
      <c r="AB3418" s="377">
        <f>IPMT('Assumptions (O&amp;G Upstream)'!$B$339,Model!X$1,'Assumptions (O&amp;G Upstream)'!$B$342,Model!$AA$3339)</f>
        <v>-9.8341700419921239</v>
      </c>
      <c r="AC3418" s="377">
        <f>IPMT('Assumptions (O&amp;G Upstream)'!$B$339,Model!Y$1,'Assumptions (O&amp;G Upstream)'!$B$342,Model!$AA$3339)</f>
        <v>-9.0300578917735805</v>
      </c>
      <c r="AD3418" s="377">
        <f>IPMT('Assumptions (O&amp;G Upstream)'!$B$339,Model!Z$1,'Assumptions (O&amp;G Upstream)'!$B$342,Model!$AA$3339)</f>
        <v>-8.1656373302886465</v>
      </c>
      <c r="AE3418" s="377">
        <f>IPMT('Assumptions (O&amp;G Upstream)'!$B$339,Model!AA$1,'Assumptions (O&amp;G Upstream)'!$B$342,Model!$AA$3339)</f>
        <v>-7.2363852266923434</v>
      </c>
      <c r="AF3418" s="377">
        <f>IPMT('Assumptions (O&amp;G Upstream)'!$B$339,Model!AB$1,'Assumptions (O&amp;G Upstream)'!$B$342,Model!$AA$3339)</f>
        <v>-6.2374392153263187</v>
      </c>
      <c r="AG3418" s="377">
        <f>IPMT('Assumptions (O&amp;G Upstream)'!$B$339,Model!AC$1,'Assumptions (O&amp;G Upstream)'!$B$342,Model!$AA$3339)</f>
        <v>-5.1635722531078407</v>
      </c>
      <c r="AH3418" s="377">
        <f>IPMT('Assumptions (O&amp;G Upstream)'!$B$339,Model!AD$1,'Assumptions (O&amp;G Upstream)'!$B$342,Model!$AA$3339)</f>
        <v>-4.0091652687229757</v>
      </c>
      <c r="AI3418" s="377">
        <f>IPMT('Assumptions (O&amp;G Upstream)'!$B$339,Model!AE$1,'Assumptions (O&amp;G Upstream)'!$B$342,Model!$AA$3339)</f>
        <v>-2.7681777605092481</v>
      </c>
      <c r="AJ3418" s="377">
        <f>IPMT('Assumptions (O&amp;G Upstream)'!$B$339,Model!AF$1,'Assumptions (O&amp;G Upstream)'!$B$342,Model!$AA$3339)</f>
        <v>-1.43411618917949</v>
      </c>
      <c r="AK3418" s="377" t="e">
        <f>IPMT('Assumptions (O&amp;G Upstream)'!$B$339,Model!AG$1,'Assumptions (O&amp;G Upstream)'!$B$342,Model!$AA$3339)</f>
        <v>#NUM!</v>
      </c>
      <c r="AL3418" s="377" t="e">
        <f>IPMT('Assumptions (O&amp;G Upstream)'!$B$339,Model!AH$1,'Assumptions (O&amp;G Upstream)'!$B$342,Model!$AA$3339)</f>
        <v>#NUM!</v>
      </c>
      <c r="AM3418" s="377" t="e">
        <f>IPMT('Assumptions (O&amp;G Upstream)'!$B$339,Model!AI$1,'Assumptions (O&amp;G Upstream)'!$B$342,Model!$AA$3339)</f>
        <v>#NUM!</v>
      </c>
      <c r="AN3418" s="377" t="e">
        <f>IPMT('Assumptions (O&amp;G Upstream)'!$B$339,Model!AJ$1,'Assumptions (O&amp;G Upstream)'!$B$342,Model!$AA$3339)</f>
        <v>#NUM!</v>
      </c>
      <c r="AO3418" s="377" t="e">
        <f>IPMT('Assumptions (O&amp;G Upstream)'!$B$339,Model!AK$1,'Assumptions (O&amp;G Upstream)'!$B$342,Model!$AA$3339)</f>
        <v>#NUM!</v>
      </c>
      <c r="AP3418" s="377" t="e">
        <f>IPMT('Assumptions (O&amp;G Upstream)'!$B$339,Model!AL$1,'Assumptions (O&amp;G Upstream)'!$B$342,Model!$AA$3339)</f>
        <v>#NUM!</v>
      </c>
      <c r="AQ3418" s="377" t="e">
        <f>IPMT('Assumptions (O&amp;G Upstream)'!$B$339,Model!AM$1,'Assumptions (O&amp;G Upstream)'!$B$342,Model!$AA$3339)</f>
        <v>#NUM!</v>
      </c>
      <c r="AR3418" s="377" t="e">
        <f>IPMT('Assumptions (O&amp;G Upstream)'!$B$339,Model!AN$1,'Assumptions (O&amp;G Upstream)'!$B$342,Model!$AA$3339)</f>
        <v>#NUM!</v>
      </c>
      <c r="AS3418" s="377" t="e">
        <f>IPMT('Assumptions (O&amp;G Upstream)'!$B$339,Model!AO$1,'Assumptions (O&amp;G Upstream)'!$B$342,Model!$AA$3339)</f>
        <v>#NUM!</v>
      </c>
      <c r="AT3418" s="377" t="e">
        <f>IPMT('Assumptions (O&amp;G Upstream)'!$B$339,Model!AP$1,'Assumptions (O&amp;G Upstream)'!$B$342,Model!$AA$3339)</f>
        <v>#NUM!</v>
      </c>
      <c r="AU3418" s="377" t="e">
        <f>IPMT('Assumptions (O&amp;G Upstream)'!$B$339,Model!AQ$1,'Assumptions (O&amp;G Upstream)'!$B$342,Model!$AA$3339)</f>
        <v>#NUM!</v>
      </c>
      <c r="AV3418" s="377" t="e">
        <f>IPMT('Assumptions (O&amp;G Upstream)'!$B$339,Model!AR$1,'Assumptions (O&amp;G Upstream)'!$B$342,Model!$AA$3339)</f>
        <v>#NUM!</v>
      </c>
      <c r="AW3418" s="377" t="e">
        <f>IPMT('Assumptions (O&amp;G Upstream)'!$B$339,Model!AS$1,'Assumptions (O&amp;G Upstream)'!$B$342,Model!$AA$3339)</f>
        <v>#NUM!</v>
      </c>
      <c r="AX3418" s="377" t="e">
        <f>IPMT('Assumptions (O&amp;G Upstream)'!$B$339,Model!AT$1,'Assumptions (O&amp;G Upstream)'!$B$342,Model!$AA$3339)</f>
        <v>#NUM!</v>
      </c>
      <c r="AY3418" s="377" t="e">
        <f>IPMT('Assumptions (O&amp;G Upstream)'!$B$339,Model!AU$1,'Assumptions (O&amp;G Upstream)'!$B$342,Model!$AA$3339)</f>
        <v>#NUM!</v>
      </c>
    </row>
    <row r="3419" spans="1:57" ht="15.75" hidden="1" customHeight="1" outlineLevel="1">
      <c r="A3419" s="472"/>
      <c r="B3419" s="99"/>
      <c r="C3419" s="377"/>
      <c r="D3419" s="377"/>
      <c r="E3419" s="377"/>
      <c r="F3419" s="377"/>
      <c r="G3419" s="377"/>
      <c r="H3419" s="377"/>
      <c r="I3419" s="377"/>
      <c r="J3419" s="377"/>
      <c r="K3419" s="377"/>
      <c r="L3419" s="377"/>
      <c r="M3419" s="377"/>
      <c r="N3419" s="377"/>
      <c r="O3419" s="377"/>
      <c r="P3419" s="377"/>
      <c r="Q3419" s="377"/>
      <c r="R3419" s="377"/>
      <c r="S3419" s="42"/>
      <c r="T3419" s="42"/>
      <c r="U3419" s="42"/>
      <c r="V3419" s="42"/>
      <c r="W3419" s="86"/>
      <c r="AB3419" s="377">
        <f>IPMT('Assumptions (O&amp;G Upstream)'!$B$339,Model!W$1,'Assumptions (O&amp;G Upstream)'!$B$342,Model!$AB$3339)</f>
        <v>-10.953274587713999</v>
      </c>
      <c r="AC3419" s="377">
        <f>IPMT('Assumptions (O&amp;G Upstream)'!$B$339,Model!X$1,'Assumptions (O&amp;G Upstream)'!$B$342,Model!$AB$3339)</f>
        <v>-10.179032215128457</v>
      </c>
      <c r="AD3419" s="377">
        <f>IPMT('Assumptions (O&amp;G Upstream)'!$B$339,Model!Y$1,'Assumptions (O&amp;G Upstream)'!$B$342,Model!$AB$3339)</f>
        <v>-9.3467216645990003</v>
      </c>
      <c r="AE3419" s="377">
        <f>IPMT('Assumptions (O&amp;G Upstream)'!$B$339,Model!Z$1,'Assumptions (O&amp;G Upstream)'!$B$342,Model!$AB$3339)</f>
        <v>-8.4519878227798344</v>
      </c>
      <c r="AF3419" s="377">
        <f>IPMT('Assumptions (O&amp;G Upstream)'!$B$339,Model!AA$1,'Assumptions (O&amp;G Upstream)'!$B$342,Model!$AB$3339)</f>
        <v>-7.4901489428242289</v>
      </c>
      <c r="AG3419" s="377">
        <f>IPMT('Assumptions (O&amp;G Upstream)'!$B$339,Model!AB$1,'Assumptions (O&amp;G Upstream)'!$B$342,Model!$AB$3339)</f>
        <v>-6.456172146871956</v>
      </c>
      <c r="AH3419" s="377">
        <f>IPMT('Assumptions (O&amp;G Upstream)'!$B$339,Model!AC$1,'Assumptions (O&amp;G Upstream)'!$B$342,Model!$AB$3339)</f>
        <v>-5.3446470912232611</v>
      </c>
      <c r="AI3419" s="377">
        <f>IPMT('Assumptions (O&amp;G Upstream)'!$B$339,Model!AD$1,'Assumptions (O&amp;G Upstream)'!$B$342,Model!$AB$3339)</f>
        <v>-4.1497576564009142</v>
      </c>
      <c r="AJ3419" s="377">
        <f>IPMT('Assumptions (O&amp;G Upstream)'!$B$339,Model!AE$1,'Assumptions (O&amp;G Upstream)'!$B$342,Model!$AB$3339)</f>
        <v>-2.8652515139668919</v>
      </c>
      <c r="AK3419" s="377">
        <f>IPMT('Assumptions (O&amp;G Upstream)'!$B$339,Model!AF$1,'Assumptions (O&amp;G Upstream)'!$B$342,Model!$AB$3339)</f>
        <v>-1.4844074108503176</v>
      </c>
      <c r="AL3419" s="377" t="e">
        <f>IPMT('Assumptions (O&amp;G Upstream)'!$B$339,Model!AG$1,'Assumptions (O&amp;G Upstream)'!$B$342,Model!$AB$3339)</f>
        <v>#NUM!</v>
      </c>
      <c r="AM3419" s="377" t="e">
        <f>IPMT('Assumptions (O&amp;G Upstream)'!$B$339,Model!AH$1,'Assumptions (O&amp;G Upstream)'!$B$342,Model!$AB$3339)</f>
        <v>#NUM!</v>
      </c>
      <c r="AN3419" s="377" t="e">
        <f>IPMT('Assumptions (O&amp;G Upstream)'!$B$339,Model!AI$1,'Assumptions (O&amp;G Upstream)'!$B$342,Model!$AB$3339)</f>
        <v>#NUM!</v>
      </c>
      <c r="AO3419" s="377" t="e">
        <f>IPMT('Assumptions (O&amp;G Upstream)'!$B$339,Model!AJ$1,'Assumptions (O&amp;G Upstream)'!$B$342,Model!$AB$3339)</f>
        <v>#NUM!</v>
      </c>
      <c r="AP3419" s="377" t="e">
        <f>IPMT('Assumptions (O&amp;G Upstream)'!$B$339,Model!AK$1,'Assumptions (O&amp;G Upstream)'!$B$342,Model!$AB$3339)</f>
        <v>#NUM!</v>
      </c>
      <c r="AQ3419" s="377" t="e">
        <f>IPMT('Assumptions (O&amp;G Upstream)'!$B$339,Model!AL$1,'Assumptions (O&amp;G Upstream)'!$B$342,Model!$AB$3339)</f>
        <v>#NUM!</v>
      </c>
      <c r="AR3419" s="377" t="e">
        <f>IPMT('Assumptions (O&amp;G Upstream)'!$B$339,Model!AM$1,'Assumptions (O&amp;G Upstream)'!$B$342,Model!$AB$3339)</f>
        <v>#NUM!</v>
      </c>
      <c r="AS3419" s="377" t="e">
        <f>IPMT('Assumptions (O&amp;G Upstream)'!$B$339,Model!AN$1,'Assumptions (O&amp;G Upstream)'!$B$342,Model!$AB$3339)</f>
        <v>#NUM!</v>
      </c>
      <c r="AT3419" s="377" t="e">
        <f>IPMT('Assumptions (O&amp;G Upstream)'!$B$339,Model!AO$1,'Assumptions (O&amp;G Upstream)'!$B$342,Model!$AB$3339)</f>
        <v>#NUM!</v>
      </c>
      <c r="AU3419" s="377" t="e">
        <f>IPMT('Assumptions (O&amp;G Upstream)'!$B$339,Model!AP$1,'Assumptions (O&amp;G Upstream)'!$B$342,Model!$AB$3339)</f>
        <v>#NUM!</v>
      </c>
      <c r="AV3419" s="377" t="e">
        <f>IPMT('Assumptions (O&amp;G Upstream)'!$B$339,Model!AQ$1,'Assumptions (O&amp;G Upstream)'!$B$342,Model!$AB$3339)</f>
        <v>#NUM!</v>
      </c>
      <c r="AW3419" s="377" t="e">
        <f>IPMT('Assumptions (O&amp;G Upstream)'!$B$339,Model!AR$1,'Assumptions (O&amp;G Upstream)'!$B$342,Model!$AB$3339)</f>
        <v>#NUM!</v>
      </c>
      <c r="AX3419" s="377" t="e">
        <f>IPMT('Assumptions (O&amp;G Upstream)'!$B$339,Model!AS$1,'Assumptions (O&amp;G Upstream)'!$B$342,Model!$AB$3339)</f>
        <v>#NUM!</v>
      </c>
      <c r="AY3419" s="377" t="e">
        <f>IPMT('Assumptions (O&amp;G Upstream)'!$B$339,Model!AT$1,'Assumptions (O&amp;G Upstream)'!$B$342,Model!$AB$3339)</f>
        <v>#NUM!</v>
      </c>
      <c r="AZ3419" s="377" t="e">
        <f>IPMT('Assumptions (O&amp;G Upstream)'!$B$339,Model!AU$1,'Assumptions (O&amp;G Upstream)'!$B$342,Model!$AB$3339)</f>
        <v>#NUM!</v>
      </c>
    </row>
    <row r="3420" spans="1:57" ht="15.75" hidden="1" customHeight="1" outlineLevel="1">
      <c r="A3420" s="472"/>
      <c r="B3420" s="99"/>
      <c r="C3420" s="377"/>
      <c r="D3420" s="377"/>
      <c r="E3420" s="377"/>
      <c r="F3420" s="377"/>
      <c r="G3420" s="377"/>
      <c r="H3420" s="377"/>
      <c r="I3420" s="377"/>
      <c r="J3420" s="377"/>
      <c r="K3420" s="377"/>
      <c r="L3420" s="377"/>
      <c r="M3420" s="377"/>
      <c r="N3420" s="377"/>
      <c r="O3420" s="377"/>
      <c r="P3420" s="377"/>
      <c r="Q3420" s="377"/>
      <c r="R3420" s="377"/>
      <c r="S3420" s="42"/>
      <c r="T3420" s="42"/>
      <c r="U3420" s="42"/>
      <c r="V3420" s="42"/>
      <c r="W3420" s="86"/>
      <c r="AC3420" s="377">
        <f>IPMT('Assumptions (O&amp;G Upstream)'!$B$339,Model!W$1,'Assumptions (O&amp;G Upstream)'!$B$342,Model!$AC$3339)</f>
        <v>-11.364657507261001</v>
      </c>
      <c r="AD3420" s="377">
        <f>IPMT('Assumptions (O&amp;G Upstream)'!$B$339,Model!X$1,'Assumptions (O&amp;G Upstream)'!$B$342,Model!$AC$3339)</f>
        <v>-10.561336151480011</v>
      </c>
      <c r="AE3420" s="377">
        <f>IPMT('Assumptions (O&amp;G Upstream)'!$B$339,Model!Y$1,'Assumptions (O&amp;G Upstream)'!$B$342,Model!$AC$3339)</f>
        <v>-9.69776569401545</v>
      </c>
      <c r="AF3420" s="377">
        <f>IPMT('Assumptions (O&amp;G Upstream)'!$B$339,Model!Z$1,'Assumptions (O&amp;G Upstream)'!$B$342,Model!$AC$3339)</f>
        <v>-8.7694274522410485</v>
      </c>
      <c r="AG3420" s="377">
        <f>IPMT('Assumptions (O&amp;G Upstream)'!$B$339,Model!AA$1,'Assumptions (O&amp;G Upstream)'!$B$342,Model!$AC$3339)</f>
        <v>-7.7714638423335645</v>
      </c>
      <c r="AH3420" s="377">
        <f>IPMT('Assumptions (O&amp;G Upstream)'!$B$339,Model!AB$1,'Assumptions (O&amp;G Upstream)'!$B$342,Model!$AC$3339)</f>
        <v>-6.6986529616830195</v>
      </c>
      <c r="AI3420" s="377">
        <f>IPMT('Assumptions (O&amp;G Upstream)'!$B$339,Model!AC$1,'Assumptions (O&amp;G Upstream)'!$B$342,Model!$AC$3339)</f>
        <v>-5.5453812649836856</v>
      </c>
      <c r="AJ3420" s="377">
        <f>IPMT('Assumptions (O&amp;G Upstream)'!$B$339,Model!AD$1,'Assumptions (O&amp;G Upstream)'!$B$342,Model!$AC$3339)</f>
        <v>-4.3056141910318981</v>
      </c>
      <c r="AK3420" s="377">
        <f>IPMT('Assumptions (O&amp;G Upstream)'!$B$339,Model!AE$1,'Assumptions (O&amp;G Upstream)'!$B$342,Model!$AC$3339)</f>
        <v>-2.9728645865337295</v>
      </c>
      <c r="AL3420" s="377">
        <f>IPMT('Assumptions (O&amp;G Upstream)'!$B$339,Model!AF$1,'Assumptions (O&amp;G Upstream)'!$B$342,Model!$AC$3339)</f>
        <v>-1.5401587616981971</v>
      </c>
      <c r="AM3420" s="377" t="e">
        <f>IPMT('Assumptions (O&amp;G Upstream)'!$B$339,Model!AG$1,'Assumptions (O&amp;G Upstream)'!$B$342,Model!$AC$3339)</f>
        <v>#NUM!</v>
      </c>
      <c r="AN3420" s="377" t="e">
        <f>IPMT('Assumptions (O&amp;G Upstream)'!$B$339,Model!AH$1,'Assumptions (O&amp;G Upstream)'!$B$342,Model!$AC$3339)</f>
        <v>#NUM!</v>
      </c>
      <c r="AO3420" s="377" t="e">
        <f>IPMT('Assumptions (O&amp;G Upstream)'!$B$339,Model!AI$1,'Assumptions (O&amp;G Upstream)'!$B$342,Model!$AC$3339)</f>
        <v>#NUM!</v>
      </c>
      <c r="AP3420" s="377" t="e">
        <f>IPMT('Assumptions (O&amp;G Upstream)'!$B$339,Model!AJ$1,'Assumptions (O&amp;G Upstream)'!$B$342,Model!$AC$3339)</f>
        <v>#NUM!</v>
      </c>
      <c r="AQ3420" s="377" t="e">
        <f>IPMT('Assumptions (O&amp;G Upstream)'!$B$339,Model!AK$1,'Assumptions (O&amp;G Upstream)'!$B$342,Model!$AC$3339)</f>
        <v>#NUM!</v>
      </c>
      <c r="AR3420" s="377" t="e">
        <f>IPMT('Assumptions (O&amp;G Upstream)'!$B$339,Model!AL$1,'Assumptions (O&amp;G Upstream)'!$B$342,Model!$AC$3339)</f>
        <v>#NUM!</v>
      </c>
      <c r="AS3420" s="377" t="e">
        <f>IPMT('Assumptions (O&amp;G Upstream)'!$B$339,Model!AM$1,'Assumptions (O&amp;G Upstream)'!$B$342,Model!$AC$3339)</f>
        <v>#NUM!</v>
      </c>
      <c r="AT3420" s="377" t="e">
        <f>IPMT('Assumptions (O&amp;G Upstream)'!$B$339,Model!AN$1,'Assumptions (O&amp;G Upstream)'!$B$342,Model!$AC$3339)</f>
        <v>#NUM!</v>
      </c>
      <c r="AU3420" s="377" t="e">
        <f>IPMT('Assumptions (O&amp;G Upstream)'!$B$339,Model!AO$1,'Assumptions (O&amp;G Upstream)'!$B$342,Model!$AC$3339)</f>
        <v>#NUM!</v>
      </c>
      <c r="AV3420" s="377" t="e">
        <f>IPMT('Assumptions (O&amp;G Upstream)'!$B$339,Model!AP$1,'Assumptions (O&amp;G Upstream)'!$B$342,Model!$AC$3339)</f>
        <v>#NUM!</v>
      </c>
      <c r="AW3420" s="377" t="e">
        <f>IPMT('Assumptions (O&amp;G Upstream)'!$B$339,Model!AQ$1,'Assumptions (O&amp;G Upstream)'!$B$342,Model!$AC$3339)</f>
        <v>#NUM!</v>
      </c>
      <c r="AX3420" s="377" t="e">
        <f>IPMT('Assumptions (O&amp;G Upstream)'!$B$339,Model!AR$1,'Assumptions (O&amp;G Upstream)'!$B$342,Model!$AC$3339)</f>
        <v>#NUM!</v>
      </c>
      <c r="AY3420" s="377" t="e">
        <f>IPMT('Assumptions (O&amp;G Upstream)'!$B$339,Model!AS$1,'Assumptions (O&amp;G Upstream)'!$B$342,Model!$AC$3339)</f>
        <v>#NUM!</v>
      </c>
      <c r="AZ3420" s="377" t="e">
        <f>IPMT('Assumptions (O&amp;G Upstream)'!$B$339,Model!AT$1,'Assumptions (O&amp;G Upstream)'!$B$342,Model!$AC$3339)</f>
        <v>#NUM!</v>
      </c>
      <c r="BA3420" s="377" t="e">
        <f>IPMT('Assumptions (O&amp;G Upstream)'!$B$339,Model!AU$1,'Assumptions (O&amp;G Upstream)'!$B$342,Model!$AC$3339)</f>
        <v>#NUM!</v>
      </c>
    </row>
    <row r="3421" spans="1:57" ht="15.75" hidden="1" customHeight="1" outlineLevel="1">
      <c r="A3421" s="472"/>
      <c r="B3421" s="99"/>
      <c r="C3421" s="377"/>
      <c r="D3421" s="377"/>
      <c r="E3421" s="377"/>
      <c r="F3421" s="377"/>
      <c r="G3421" s="377"/>
      <c r="H3421" s="377"/>
      <c r="I3421" s="377"/>
      <c r="J3421" s="377"/>
      <c r="K3421" s="377"/>
      <c r="L3421" s="377"/>
      <c r="M3421" s="377"/>
      <c r="N3421" s="377"/>
      <c r="O3421" s="377"/>
      <c r="P3421" s="377"/>
      <c r="Q3421" s="377"/>
      <c r="R3421" s="377"/>
      <c r="S3421" s="42"/>
      <c r="T3421" s="42"/>
      <c r="U3421" s="42"/>
      <c r="V3421" s="42"/>
      <c r="W3421" s="86"/>
      <c r="AD3421" s="377">
        <f>IPMT('Assumptions (O&amp;G Upstream)'!$B$339,Model!W$1,'Assumptions (O&amp;G Upstream)'!$B$342,Model!$AD$3339)</f>
        <v>-11.826844649019</v>
      </c>
      <c r="AE3421" s="377">
        <f>IPMT('Assumptions (O&amp;G Upstream)'!$B$339,Model!X$1,'Assumptions (O&amp;G Upstream)'!$B$342,Model!$AD$3339)</f>
        <v>-10.99085316647842</v>
      </c>
      <c r="AF3421" s="377">
        <f>IPMT('Assumptions (O&amp;G Upstream)'!$B$339,Model!Y$1,'Assumptions (O&amp;G Upstream)'!$B$342,Model!$AD$3339)</f>
        <v>-10.092162322747297</v>
      </c>
      <c r="AG3421" s="377">
        <f>IPMT('Assumptions (O&amp;G Upstream)'!$B$339,Model!Z$1,'Assumptions (O&amp;G Upstream)'!$B$342,Model!$AD$3339)</f>
        <v>-9.1260696657363383</v>
      </c>
      <c r="AH3421" s="377">
        <f>IPMT('Assumptions (O&amp;G Upstream)'!$B$339,Model!AA$1,'Assumptions (O&amp;G Upstream)'!$B$342,Model!$AD$3339)</f>
        <v>-8.0875200594495595</v>
      </c>
      <c r="AI3421" s="377">
        <f>IPMT('Assumptions (O&amp;G Upstream)'!$B$339,Model!AB$1,'Assumptions (O&amp;G Upstream)'!$B$342,Model!$AD$3339)</f>
        <v>-6.9710792326912712</v>
      </c>
      <c r="AJ3421" s="377">
        <f>IPMT('Assumptions (O&amp;G Upstream)'!$B$339,Model!AC$1,'Assumptions (O&amp;G Upstream)'!$B$342,Model!$AD$3339)</f>
        <v>-5.7709053439261124</v>
      </c>
      <c r="AK3421" s="377">
        <f>IPMT('Assumptions (O&amp;G Upstream)'!$B$339,Model!AD$1,'Assumptions (O&amp;G Upstream)'!$B$342,Model!$AD$3339)</f>
        <v>-4.4807184135035651</v>
      </c>
      <c r="AL3421" s="377">
        <f>IPMT('Assumptions (O&amp;G Upstream)'!$B$339,Model!AE$1,'Assumptions (O&amp;G Upstream)'!$B$342,Model!$AD$3339)</f>
        <v>-3.0937674632993275</v>
      </c>
      <c r="AM3421" s="377">
        <f>IPMT('Assumptions (O&amp;G Upstream)'!$B$339,Model!AF$1,'Assumptions (O&amp;G Upstream)'!$B$342,Model!$AD$3339)</f>
        <v>-1.6027951918297723</v>
      </c>
      <c r="AN3421" s="377" t="e">
        <f>IPMT('Assumptions (O&amp;G Upstream)'!$B$339,Model!AG$1,'Assumptions (O&amp;G Upstream)'!$B$342,Model!$AD$3339)</f>
        <v>#NUM!</v>
      </c>
      <c r="AO3421" s="377" t="e">
        <f>IPMT('Assumptions (O&amp;G Upstream)'!$B$339,Model!AH$1,'Assumptions (O&amp;G Upstream)'!$B$342,Model!$AD$3339)</f>
        <v>#NUM!</v>
      </c>
      <c r="AP3421" s="377" t="e">
        <f>IPMT('Assumptions (O&amp;G Upstream)'!$B$339,Model!AI$1,'Assumptions (O&amp;G Upstream)'!$B$342,Model!$AD$3339)</f>
        <v>#NUM!</v>
      </c>
      <c r="AQ3421" s="377" t="e">
        <f>IPMT('Assumptions (O&amp;G Upstream)'!$B$339,Model!AJ$1,'Assumptions (O&amp;G Upstream)'!$B$342,Model!$AD$3339)</f>
        <v>#NUM!</v>
      </c>
      <c r="AR3421" s="377" t="e">
        <f>IPMT('Assumptions (O&amp;G Upstream)'!$B$339,Model!AK$1,'Assumptions (O&amp;G Upstream)'!$B$342,Model!$AD$3339)</f>
        <v>#NUM!</v>
      </c>
      <c r="AS3421" s="377" t="e">
        <f>IPMT('Assumptions (O&amp;G Upstream)'!$B$339,Model!AL$1,'Assumptions (O&amp;G Upstream)'!$B$342,Model!$AD$3339)</f>
        <v>#NUM!</v>
      </c>
      <c r="AT3421" s="377" t="e">
        <f>IPMT('Assumptions (O&amp;G Upstream)'!$B$339,Model!AM$1,'Assumptions (O&amp;G Upstream)'!$B$342,Model!$AD$3339)</f>
        <v>#NUM!</v>
      </c>
      <c r="AU3421" s="377" t="e">
        <f>IPMT('Assumptions (O&amp;G Upstream)'!$B$339,Model!AN$1,'Assumptions (O&amp;G Upstream)'!$B$342,Model!$AD$3339)</f>
        <v>#NUM!</v>
      </c>
      <c r="AV3421" s="377" t="e">
        <f>IPMT('Assumptions (O&amp;G Upstream)'!$B$339,Model!AO$1,'Assumptions (O&amp;G Upstream)'!$B$342,Model!$AD$3339)</f>
        <v>#NUM!</v>
      </c>
      <c r="AW3421" s="377" t="e">
        <f>IPMT('Assumptions (O&amp;G Upstream)'!$B$339,Model!AP$1,'Assumptions (O&amp;G Upstream)'!$B$342,Model!$AD$3339)</f>
        <v>#NUM!</v>
      </c>
      <c r="AX3421" s="377" t="e">
        <f>IPMT('Assumptions (O&amp;G Upstream)'!$B$339,Model!AQ$1,'Assumptions (O&amp;G Upstream)'!$B$342,Model!$AD$3339)</f>
        <v>#NUM!</v>
      </c>
      <c r="AY3421" s="377" t="e">
        <f>IPMT('Assumptions (O&amp;G Upstream)'!$B$339,Model!AR$1,'Assumptions (O&amp;G Upstream)'!$B$342,Model!$AD$3339)</f>
        <v>#NUM!</v>
      </c>
      <c r="AZ3421" s="377" t="e">
        <f>IPMT('Assumptions (O&amp;G Upstream)'!$B$339,Model!AS$1,'Assumptions (O&amp;G Upstream)'!$B$342,Model!$AD$3339)</f>
        <v>#NUM!</v>
      </c>
      <c r="BA3421" s="377" t="e">
        <f>IPMT('Assumptions (O&amp;G Upstream)'!$B$339,Model!AT$1,'Assumptions (O&amp;G Upstream)'!$B$342,Model!$AD$3339)</f>
        <v>#NUM!</v>
      </c>
      <c r="BB3421" s="377" t="e">
        <f>IPMT('Assumptions (O&amp;G Upstream)'!$B$339,Model!AU$1,'Assumptions (O&amp;G Upstream)'!$B$342,Model!$AD$3339)</f>
        <v>#NUM!</v>
      </c>
    </row>
    <row r="3422" spans="1:57" ht="15.75" hidden="1" customHeight="1" outlineLevel="1">
      <c r="A3422" s="472"/>
      <c r="B3422" s="99"/>
      <c r="C3422" s="377"/>
      <c r="D3422" s="377"/>
      <c r="E3422" s="377"/>
      <c r="F3422" s="377"/>
      <c r="G3422" s="377"/>
      <c r="H3422" s="377"/>
      <c r="I3422" s="377"/>
      <c r="J3422" s="377"/>
      <c r="K3422" s="377"/>
      <c r="L3422" s="377"/>
      <c r="M3422" s="377"/>
      <c r="N3422" s="377"/>
      <c r="O3422" s="377"/>
      <c r="P3422" s="377"/>
      <c r="Q3422" s="377"/>
      <c r="R3422" s="377"/>
      <c r="S3422" s="42"/>
      <c r="T3422" s="42"/>
      <c r="U3422" s="42"/>
      <c r="V3422" s="42"/>
      <c r="W3422" s="86"/>
      <c r="AE3422" s="377">
        <f>IPMT('Assumptions (O&amp;G Upstream)'!$B$339,Model!W$1,'Assumptions (O&amp;G Upstream)'!$B$342,Model!$AE$3339)</f>
        <v>-12.112876304811</v>
      </c>
      <c r="AF3422" s="377">
        <f>IPMT('Assumptions (O&amp;G Upstream)'!$B$339,Model!X$1,'Assumptions (O&amp;G Upstream)'!$B$342,Model!$AE$3339)</f>
        <v>-11.256666409407535</v>
      </c>
      <c r="AG3422" s="377">
        <f>IPMT('Assumptions (O&amp;G Upstream)'!$B$339,Model!Y$1,'Assumptions (O&amp;G Upstream)'!$B$342,Model!$AE$3339)</f>
        <v>-10.336240771848807</v>
      </c>
      <c r="AH3422" s="377">
        <f>IPMT('Assumptions (O&amp;G Upstream)'!$B$339,Model!Z$1,'Assumptions (O&amp;G Upstream)'!$B$342,Model!$AE$3339)</f>
        <v>-9.3467832114731753</v>
      </c>
      <c r="AI3422" s="377">
        <f>IPMT('Assumptions (O&amp;G Upstream)'!$B$339,Model!AA$1,'Assumptions (O&amp;G Upstream)'!$B$342,Model!$AE$3339)</f>
        <v>-8.283116334069371</v>
      </c>
      <c r="AJ3422" s="377">
        <f>IPMT('Assumptions (O&amp;G Upstream)'!$B$339,Model!AB$1,'Assumptions (O&amp;G Upstream)'!$B$342,Model!$AE$3339)</f>
        <v>-7.1396744408602828</v>
      </c>
      <c r="AK3422" s="377">
        <f>IPMT('Assumptions (O&amp;G Upstream)'!$B$339,Model!AC$1,'Assumptions (O&amp;G Upstream)'!$B$342,Model!$AE$3339)</f>
        <v>-5.9104744056605121</v>
      </c>
      <c r="AL3422" s="377">
        <f>IPMT('Assumptions (O&amp;G Upstream)'!$B$339,Model!AD$1,'Assumptions (O&amp;G Upstream)'!$B$342,Model!$AE$3339)</f>
        <v>-4.5890843678207576</v>
      </c>
      <c r="AM3422" s="377">
        <f>IPMT('Assumptions (O&amp;G Upstream)'!$B$339,Model!AE$1,'Assumptions (O&amp;G Upstream)'!$B$342,Model!$AE$3339)</f>
        <v>-3.1685900771430231</v>
      </c>
      <c r="AN3422" s="377">
        <f>IPMT('Assumptions (O&amp;G Upstream)'!$B$339,Model!AF$1,'Assumptions (O&amp;G Upstream)'!$B$342,Model!$AE$3339)</f>
        <v>-1.6415587146644575</v>
      </c>
      <c r="AO3422" s="377" t="e">
        <f>IPMT('Assumptions (O&amp;G Upstream)'!$B$339,Model!AG$1,'Assumptions (O&amp;G Upstream)'!$B$342,Model!$AE$3339)</f>
        <v>#NUM!</v>
      </c>
      <c r="AP3422" s="377" t="e">
        <f>IPMT('Assumptions (O&amp;G Upstream)'!$B$339,Model!AH$1,'Assumptions (O&amp;G Upstream)'!$B$342,Model!$AE$3339)</f>
        <v>#NUM!</v>
      </c>
      <c r="AQ3422" s="377" t="e">
        <f>IPMT('Assumptions (O&amp;G Upstream)'!$B$339,Model!AI$1,'Assumptions (O&amp;G Upstream)'!$B$342,Model!$AE$3339)</f>
        <v>#NUM!</v>
      </c>
      <c r="AR3422" s="377" t="e">
        <f>IPMT('Assumptions (O&amp;G Upstream)'!$B$339,Model!AJ$1,'Assumptions (O&amp;G Upstream)'!$B$342,Model!$AE$3339)</f>
        <v>#NUM!</v>
      </c>
      <c r="AS3422" s="377" t="e">
        <f>IPMT('Assumptions (O&amp;G Upstream)'!$B$339,Model!AK$1,'Assumptions (O&amp;G Upstream)'!$B$342,Model!$AE$3339)</f>
        <v>#NUM!</v>
      </c>
      <c r="AT3422" s="377" t="e">
        <f>IPMT('Assumptions (O&amp;G Upstream)'!$B$339,Model!AL$1,'Assumptions (O&amp;G Upstream)'!$B$342,Model!$AE$3339)</f>
        <v>#NUM!</v>
      </c>
      <c r="AU3422" s="377" t="e">
        <f>IPMT('Assumptions (O&amp;G Upstream)'!$B$339,Model!AM$1,'Assumptions (O&amp;G Upstream)'!$B$342,Model!$AE$3339)</f>
        <v>#NUM!</v>
      </c>
      <c r="AV3422" s="377" t="e">
        <f>IPMT('Assumptions (O&amp;G Upstream)'!$B$339,Model!AN$1,'Assumptions (O&amp;G Upstream)'!$B$342,Model!$AE$3339)</f>
        <v>#NUM!</v>
      </c>
      <c r="AW3422" s="377" t="e">
        <f>IPMT('Assumptions (O&amp;G Upstream)'!$B$339,Model!AO$1,'Assumptions (O&amp;G Upstream)'!$B$342,Model!$AE$3339)</f>
        <v>#NUM!</v>
      </c>
      <c r="AX3422" s="377" t="e">
        <f>IPMT('Assumptions (O&amp;G Upstream)'!$B$339,Model!AP$1,'Assumptions (O&amp;G Upstream)'!$B$342,Model!$AE$3339)</f>
        <v>#NUM!</v>
      </c>
      <c r="AY3422" s="377" t="e">
        <f>IPMT('Assumptions (O&amp;G Upstream)'!$B$339,Model!AQ$1,'Assumptions (O&amp;G Upstream)'!$B$342,Model!$AE$3339)</f>
        <v>#NUM!</v>
      </c>
      <c r="AZ3422" s="377" t="e">
        <f>IPMT('Assumptions (O&amp;G Upstream)'!$B$339,Model!AR$1,'Assumptions (O&amp;G Upstream)'!$B$342,Model!$AE$3339)</f>
        <v>#NUM!</v>
      </c>
      <c r="BA3422" s="377" t="e">
        <f>IPMT('Assumptions (O&amp;G Upstream)'!$B$339,Model!AS$1,'Assumptions (O&amp;G Upstream)'!$B$342,Model!$AE$3339)</f>
        <v>#NUM!</v>
      </c>
      <c r="BB3422" s="377" t="e">
        <f>IPMT('Assumptions (O&amp;G Upstream)'!$B$339,Model!AT$1,'Assumptions (O&amp;G Upstream)'!$B$342,Model!$AE$3339)</f>
        <v>#NUM!</v>
      </c>
      <c r="BC3422" s="377" t="e">
        <f>IPMT('Assumptions (O&amp;G Upstream)'!$B$339,Model!AU$1,'Assumptions (O&amp;G Upstream)'!$B$342,Model!$AE$3339)</f>
        <v>#NUM!</v>
      </c>
    </row>
    <row r="3423" spans="1:57" ht="15.75" hidden="1" customHeight="1" outlineLevel="1">
      <c r="A3423" s="472"/>
      <c r="B3423" s="99"/>
      <c r="C3423" s="377"/>
      <c r="D3423" s="377"/>
      <c r="E3423" s="377"/>
      <c r="F3423" s="377"/>
      <c r="G3423" s="377"/>
      <c r="H3423" s="377"/>
      <c r="I3423" s="377"/>
      <c r="J3423" s="377"/>
      <c r="K3423" s="377"/>
      <c r="L3423" s="377"/>
      <c r="M3423" s="377"/>
      <c r="N3423" s="377"/>
      <c r="O3423" s="377"/>
      <c r="P3423" s="377"/>
      <c r="Q3423" s="377"/>
      <c r="R3423" s="377"/>
      <c r="S3423" s="42"/>
      <c r="T3423" s="42"/>
      <c r="U3423" s="42"/>
      <c r="V3423" s="42"/>
      <c r="W3423" s="86"/>
      <c r="AF3423" s="377">
        <f>IPMT('Assumptions (O&amp;G Upstream)'!$B$339,Model!W$1,'Assumptions (O&amp;G Upstream)'!$B$342,Model!$AF$3339)</f>
        <v>-12.468129164747998</v>
      </c>
      <c r="AG3423" s="377">
        <f>IPMT('Assumptions (O&amp;G Upstream)'!$B$339,Model!X$1,'Assumptions (O&amp;G Upstream)'!$B$342,Model!$AF$3339)</f>
        <v>-11.586807891469103</v>
      </c>
      <c r="AH3423" s="377">
        <f>IPMT('Assumptions (O&amp;G Upstream)'!$B$339,Model!Y$1,'Assumptions (O&amp;G Upstream)'!$B$342,Model!$AF$3339)</f>
        <v>-10.639387522694289</v>
      </c>
      <c r="AI3423" s="377">
        <f>IPMT('Assumptions (O&amp;G Upstream)'!$B$339,Model!Z$1,'Assumptions (O&amp;G Upstream)'!$B$342,Model!$AF$3339)</f>
        <v>-9.6209106262613648</v>
      </c>
      <c r="AJ3423" s="377">
        <f>IPMT('Assumptions (O&amp;G Upstream)'!$B$339,Model!AA$1,'Assumptions (O&amp;G Upstream)'!$B$342,Model!$AF$3339)</f>
        <v>-8.5260479625959711</v>
      </c>
      <c r="AK3423" s="377">
        <f>IPMT('Assumptions (O&amp;G Upstream)'!$B$339,Model!AB$1,'Assumptions (O&amp;G Upstream)'!$B$342,Model!$AF$3339)</f>
        <v>-7.3490705991556737</v>
      </c>
      <c r="AL3423" s="377">
        <f>IPMT('Assumptions (O&amp;G Upstream)'!$B$339,Model!AC$1,'Assumptions (O&amp;G Upstream)'!$B$342,Model!$AF$3339)</f>
        <v>-6.0838199334573542</v>
      </c>
      <c r="AM3423" s="377">
        <f>IPMT('Assumptions (O&amp;G Upstream)'!$B$339,Model!AD$1,'Assumptions (O&amp;G Upstream)'!$B$342,Model!$AF$3339)</f>
        <v>-4.7236754678316588</v>
      </c>
      <c r="AN3423" s="377">
        <f>IPMT('Assumptions (O&amp;G Upstream)'!$B$339,Model!AE$1,'Assumptions (O&amp;G Upstream)'!$B$342,Model!$AF$3339)</f>
        <v>-3.2615201672840377</v>
      </c>
      <c r="AO3423" s="377">
        <f>IPMT('Assumptions (O&amp;G Upstream)'!$B$339,Model!AF$1,'Assumptions (O&amp;G Upstream)'!$B$342,Model!$AF$3339)</f>
        <v>-1.6897032191953449</v>
      </c>
      <c r="AP3423" s="377" t="e">
        <f>IPMT('Assumptions (O&amp;G Upstream)'!$B$339,Model!AG$1,'Assumptions (O&amp;G Upstream)'!$B$342,Model!$AF$3339)</f>
        <v>#NUM!</v>
      </c>
      <c r="AQ3423" s="377" t="e">
        <f>IPMT('Assumptions (O&amp;G Upstream)'!$B$339,Model!AH$1,'Assumptions (O&amp;G Upstream)'!$B$342,Model!$AF$3339)</f>
        <v>#NUM!</v>
      </c>
      <c r="AR3423" s="377" t="e">
        <f>IPMT('Assumptions (O&amp;G Upstream)'!$B$339,Model!AI$1,'Assumptions (O&amp;G Upstream)'!$B$342,Model!$AF$3339)</f>
        <v>#NUM!</v>
      </c>
      <c r="AS3423" s="377" t="e">
        <f>IPMT('Assumptions (O&amp;G Upstream)'!$B$339,Model!AJ$1,'Assumptions (O&amp;G Upstream)'!$B$342,Model!$AF$3339)</f>
        <v>#NUM!</v>
      </c>
      <c r="AT3423" s="377" t="e">
        <f>IPMT('Assumptions (O&amp;G Upstream)'!$B$339,Model!AK$1,'Assumptions (O&amp;G Upstream)'!$B$342,Model!$AF$3339)</f>
        <v>#NUM!</v>
      </c>
      <c r="AU3423" s="377" t="e">
        <f>IPMT('Assumptions (O&amp;G Upstream)'!$B$339,Model!AL$1,'Assumptions (O&amp;G Upstream)'!$B$342,Model!$AF$3339)</f>
        <v>#NUM!</v>
      </c>
      <c r="AV3423" s="377" t="e">
        <f>IPMT('Assumptions (O&amp;G Upstream)'!$B$339,Model!AM$1,'Assumptions (O&amp;G Upstream)'!$B$342,Model!$AF$3339)</f>
        <v>#NUM!</v>
      </c>
      <c r="AW3423" s="377" t="e">
        <f>IPMT('Assumptions (O&amp;G Upstream)'!$B$339,Model!AN$1,'Assumptions (O&amp;G Upstream)'!$B$342,Model!$AF$3339)</f>
        <v>#NUM!</v>
      </c>
      <c r="AX3423" s="377" t="e">
        <f>IPMT('Assumptions (O&amp;G Upstream)'!$B$339,Model!AO$1,'Assumptions (O&amp;G Upstream)'!$B$342,Model!$AF$3339)</f>
        <v>#NUM!</v>
      </c>
      <c r="AY3423" s="377" t="e">
        <f>IPMT('Assumptions (O&amp;G Upstream)'!$B$339,Model!AP$1,'Assumptions (O&amp;G Upstream)'!$B$342,Model!$AF$3339)</f>
        <v>#NUM!</v>
      </c>
      <c r="AZ3423" s="377" t="e">
        <f>IPMT('Assumptions (O&amp;G Upstream)'!$B$339,Model!AQ$1,'Assumptions (O&amp;G Upstream)'!$B$342,Model!$AF$3339)</f>
        <v>#NUM!</v>
      </c>
      <c r="BA3423" s="377" t="e">
        <f>IPMT('Assumptions (O&amp;G Upstream)'!$B$339,Model!AR$1,'Assumptions (O&amp;G Upstream)'!$B$342,Model!$AF$3339)</f>
        <v>#NUM!</v>
      </c>
      <c r="BB3423" s="377" t="e">
        <f>IPMT('Assumptions (O&amp;G Upstream)'!$B$339,Model!AS$1,'Assumptions (O&amp;G Upstream)'!$B$342,Model!$AF$3339)</f>
        <v>#NUM!</v>
      </c>
      <c r="BC3423" s="377" t="e">
        <f>IPMT('Assumptions (O&amp;G Upstream)'!$B$339,Model!AT$1,'Assumptions (O&amp;G Upstream)'!$B$342,Model!$AF$3339)</f>
        <v>#NUM!</v>
      </c>
      <c r="BD3423" s="377" t="e">
        <f>IPMT('Assumptions (O&amp;G Upstream)'!$B$339,Model!AU$1,'Assumptions (O&amp;G Upstream)'!$B$342,Model!$AF$3339)</f>
        <v>#NUM!</v>
      </c>
    </row>
    <row r="3424" spans="1:57" ht="15.75" hidden="1" customHeight="1" outlineLevel="1">
      <c r="A3424" s="472"/>
      <c r="B3424" s="99"/>
      <c r="C3424" s="377"/>
      <c r="D3424" s="377"/>
      <c r="E3424" s="377"/>
      <c r="F3424" s="377"/>
      <c r="G3424" s="377"/>
      <c r="H3424" s="377"/>
      <c r="I3424" s="377"/>
      <c r="J3424" s="377"/>
      <c r="K3424" s="377"/>
      <c r="L3424" s="377"/>
      <c r="M3424" s="377"/>
      <c r="N3424" s="377"/>
      <c r="O3424" s="377"/>
      <c r="P3424" s="377"/>
      <c r="Q3424" s="377"/>
      <c r="R3424" s="377"/>
      <c r="S3424" s="42"/>
      <c r="T3424" s="42"/>
      <c r="U3424" s="42"/>
      <c r="V3424" s="42"/>
      <c r="W3424" s="86"/>
      <c r="AG3424" s="377">
        <f>IPMT('Assumptions (O&amp;G Upstream)'!$B$339,Model!W$1,'Assumptions (O&amp;G Upstream)'!$B$342,Model!$AG$3339)</f>
        <v>-12.769382154807001</v>
      </c>
      <c r="AH3424" s="377">
        <f>IPMT('Assumptions (O&amp;G Upstream)'!$B$339,Model!X$1,'Assumptions (O&amp;G Upstream)'!$B$342,Model!$AG$3339)</f>
        <v>-11.866766534535893</v>
      </c>
      <c r="AI3424" s="377">
        <f>IPMT('Assumptions (O&amp;G Upstream)'!$B$339,Model!Y$1,'Assumptions (O&amp;G Upstream)'!$B$342,Model!$AG$3339)</f>
        <v>-10.896454742744449</v>
      </c>
      <c r="AJ3424" s="377">
        <f>IPMT('Assumptions (O&amp;G Upstream)'!$B$339,Model!Z$1,'Assumptions (O&amp;G Upstream)'!$B$342,Model!$AG$3339)</f>
        <v>-9.8533695665686505</v>
      </c>
      <c r="AK3424" s="377">
        <f>IPMT('Assumptions (O&amp;G Upstream)'!$B$339,Model!AA$1,'Assumptions (O&amp;G Upstream)'!$B$342,Model!$AG$3339)</f>
        <v>-8.732053002179665</v>
      </c>
      <c r="AL3424" s="377">
        <f>IPMT('Assumptions (O&amp;G Upstream)'!$B$339,Model!AB$1,'Assumptions (O&amp;G Upstream)'!$B$342,Model!$AG$3339)</f>
        <v>-7.5266376954615053</v>
      </c>
      <c r="AM3424" s="377">
        <f>IPMT('Assumptions (O&amp;G Upstream)'!$B$339,Model!AC$1,'Assumptions (O&amp;G Upstream)'!$B$342,Model!$AG$3339)</f>
        <v>-6.2308162407394851</v>
      </c>
      <c r="AN3424" s="377">
        <f>IPMT('Assumptions (O&amp;G Upstream)'!$B$339,Model!AD$1,'Assumptions (O&amp;G Upstream)'!$B$342,Model!$AG$3339)</f>
        <v>-4.8378081769133106</v>
      </c>
      <c r="AO3424" s="377">
        <f>IPMT('Assumptions (O&amp;G Upstream)'!$B$339,Model!AE$1,'Assumptions (O&amp;G Upstream)'!$B$342,Model!$AG$3339)</f>
        <v>-3.340324508300176</v>
      </c>
      <c r="AP3424" s="377">
        <f>IPMT('Assumptions (O&amp;G Upstream)'!$B$339,Model!AF$1,'Assumptions (O&amp;G Upstream)'!$B$342,Model!$AG$3339)</f>
        <v>-1.730529564541055</v>
      </c>
      <c r="AQ3424" s="377" t="e">
        <f>IPMT('Assumptions (O&amp;G Upstream)'!$B$339,Model!AG$1,'Assumptions (O&amp;G Upstream)'!$B$342,Model!$AG$3339)</f>
        <v>#NUM!</v>
      </c>
      <c r="AR3424" s="377" t="e">
        <f>IPMT('Assumptions (O&amp;G Upstream)'!$B$339,Model!AH$1,'Assumptions (O&amp;G Upstream)'!$B$342,Model!$AG$3339)</f>
        <v>#NUM!</v>
      </c>
      <c r="AS3424" s="377" t="e">
        <f>IPMT('Assumptions (O&amp;G Upstream)'!$B$339,Model!AI$1,'Assumptions (O&amp;G Upstream)'!$B$342,Model!$AG$3339)</f>
        <v>#NUM!</v>
      </c>
      <c r="AT3424" s="377" t="e">
        <f>IPMT('Assumptions (O&amp;G Upstream)'!$B$339,Model!AJ$1,'Assumptions (O&amp;G Upstream)'!$B$342,Model!$AG$3339)</f>
        <v>#NUM!</v>
      </c>
      <c r="AU3424" s="377" t="e">
        <f>IPMT('Assumptions (O&amp;G Upstream)'!$B$339,Model!AK$1,'Assumptions (O&amp;G Upstream)'!$B$342,Model!$AG$3339)</f>
        <v>#NUM!</v>
      </c>
      <c r="AV3424" s="377" t="e">
        <f>IPMT('Assumptions (O&amp;G Upstream)'!$B$339,Model!AL$1,'Assumptions (O&amp;G Upstream)'!$B$342,Model!$AG$3339)</f>
        <v>#NUM!</v>
      </c>
      <c r="AW3424" s="377" t="e">
        <f>IPMT('Assumptions (O&amp;G Upstream)'!$B$339,Model!AM$1,'Assumptions (O&amp;G Upstream)'!$B$342,Model!$AG$3339)</f>
        <v>#NUM!</v>
      </c>
      <c r="AX3424" s="377" t="e">
        <f>IPMT('Assumptions (O&amp;G Upstream)'!$B$339,Model!AN$1,'Assumptions (O&amp;G Upstream)'!$B$342,Model!$AG$3339)</f>
        <v>#NUM!</v>
      </c>
      <c r="AY3424" s="377" t="e">
        <f>IPMT('Assumptions (O&amp;G Upstream)'!$B$339,Model!AO$1,'Assumptions (O&amp;G Upstream)'!$B$342,Model!$AG$3339)</f>
        <v>#NUM!</v>
      </c>
      <c r="AZ3424" s="377" t="e">
        <f>IPMT('Assumptions (O&amp;G Upstream)'!$B$339,Model!AP$1,'Assumptions (O&amp;G Upstream)'!$B$342,Model!$AG$3339)</f>
        <v>#NUM!</v>
      </c>
      <c r="BA3424" s="377" t="e">
        <f>IPMT('Assumptions (O&amp;G Upstream)'!$B$339,Model!AQ$1,'Assumptions (O&amp;G Upstream)'!$B$342,Model!$AG$3339)</f>
        <v>#NUM!</v>
      </c>
      <c r="BB3424" s="377" t="e">
        <f>IPMT('Assumptions (O&amp;G Upstream)'!$B$339,Model!AR$1,'Assumptions (O&amp;G Upstream)'!$B$342,Model!$AG$3339)</f>
        <v>#NUM!</v>
      </c>
      <c r="BC3424" s="377" t="e">
        <f>IPMT('Assumptions (O&amp;G Upstream)'!$B$339,Model!AS$1,'Assumptions (O&amp;G Upstream)'!$B$342,Model!$AG$3339)</f>
        <v>#NUM!</v>
      </c>
      <c r="BD3424" s="377" t="e">
        <f>IPMT('Assumptions (O&amp;G Upstream)'!$B$339,Model!AT$1,'Assumptions (O&amp;G Upstream)'!$B$342,Model!$AG$3339)</f>
        <v>#NUM!</v>
      </c>
      <c r="BE3424" s="377" t="e">
        <f>IPMT('Assumptions (O&amp;G Upstream)'!$B$339,Model!AU$1,'Assumptions (O&amp;G Upstream)'!$B$342,Model!$AG$3339)</f>
        <v>#NUM!</v>
      </c>
    </row>
    <row r="3425" spans="1:73" ht="15.75" hidden="1" customHeight="1" outlineLevel="1">
      <c r="A3425" s="472"/>
      <c r="B3425" s="99"/>
      <c r="C3425" s="377"/>
      <c r="D3425" s="377"/>
      <c r="E3425" s="377"/>
      <c r="F3425" s="377"/>
      <c r="G3425" s="377"/>
      <c r="H3425" s="377"/>
      <c r="I3425" s="377"/>
      <c r="J3425" s="377"/>
      <c r="K3425" s="377"/>
      <c r="L3425" s="377"/>
      <c r="M3425" s="377"/>
      <c r="N3425" s="377"/>
      <c r="O3425" s="377"/>
      <c r="P3425" s="377"/>
      <c r="Q3425" s="377"/>
      <c r="R3425" s="377"/>
      <c r="S3425" s="42"/>
      <c r="T3425" s="42"/>
      <c r="U3425" s="42"/>
      <c r="V3425" s="42"/>
      <c r="W3425" s="86"/>
      <c r="AH3425" s="377">
        <f>IPMT('Assumptions (O&amp;G Upstream)'!$B$339,Model!W$1,'Assumptions (O&amp;G Upstream)'!$B$342,Model!$AH$3339)</f>
        <v>-13.101627429242997</v>
      </c>
      <c r="AI3425" s="377">
        <f>IPMT('Assumptions (O&amp;G Upstream)'!$B$339,Model!X$1,'Assumptions (O&amp;G Upstream)'!$B$342,Model!$AH$3339)</f>
        <v>-12.175526743615436</v>
      </c>
      <c r="AJ3425" s="377">
        <f>IPMT('Assumptions (O&amp;G Upstream)'!$B$339,Model!Y$1,'Assumptions (O&amp;G Upstream)'!$B$342,Model!$AH$3339)</f>
        <v>-11.179968506565803</v>
      </c>
      <c r="AK3425" s="377">
        <f>IPMT('Assumptions (O&amp;G Upstream)'!$B$339,Model!Z$1,'Assumptions (O&amp;G Upstream)'!$B$342,Model!$AH$3339)</f>
        <v>-10.10974340173745</v>
      </c>
      <c r="AL3425" s="377">
        <f>IPMT('Assumptions (O&amp;G Upstream)'!$B$339,Model!AA$1,'Assumptions (O&amp;G Upstream)'!$B$342,Model!$AH$3339)</f>
        <v>-8.9592514140469692</v>
      </c>
      <c r="AM3425" s="377">
        <f>IPMT('Assumptions (O&amp;G Upstream)'!$B$339,Model!AB$1,'Assumptions (O&amp;G Upstream)'!$B$342,Model!$AH$3339)</f>
        <v>-7.7224725272797041</v>
      </c>
      <c r="AN3425" s="377">
        <f>IPMT('Assumptions (O&amp;G Upstream)'!$B$339,Model!AC$1,'Assumptions (O&amp;G Upstream)'!$B$342,Model!$AH$3339)</f>
        <v>-6.3929352240048933</v>
      </c>
      <c r="AO3425" s="377">
        <f>IPMT('Assumptions (O&amp;G Upstream)'!$B$339,Model!AD$1,'Assumptions (O&amp;G Upstream)'!$B$342,Model!$AH$3339)</f>
        <v>-4.9636826229844697</v>
      </c>
      <c r="AP3425" s="377">
        <f>IPMT('Assumptions (O&amp;G Upstream)'!$B$339,Model!AE$1,'Assumptions (O&amp;G Upstream)'!$B$342,Model!$AH$3339)</f>
        <v>-3.427236076887517</v>
      </c>
      <c r="AQ3425" s="377">
        <f>IPMT('Assumptions (O&amp;G Upstream)'!$B$339,Model!AF$1,'Assumptions (O&amp;G Upstream)'!$B$342,Model!$AH$3339)</f>
        <v>-1.7755560398332919</v>
      </c>
      <c r="AR3425" s="377" t="e">
        <f>IPMT('Assumptions (O&amp;G Upstream)'!$B$339,Model!AG$1,'Assumptions (O&amp;G Upstream)'!$B$342,Model!$AH$3339)</f>
        <v>#NUM!</v>
      </c>
      <c r="AS3425" s="377" t="e">
        <f>IPMT('Assumptions (O&amp;G Upstream)'!$B$339,Model!AH$1,'Assumptions (O&amp;G Upstream)'!$B$342,Model!$AH$3339)</f>
        <v>#NUM!</v>
      </c>
      <c r="AT3425" s="377" t="e">
        <f>IPMT('Assumptions (O&amp;G Upstream)'!$B$339,Model!AI$1,'Assumptions (O&amp;G Upstream)'!$B$342,Model!$AH$3339)</f>
        <v>#NUM!</v>
      </c>
      <c r="AU3425" s="377" t="e">
        <f>IPMT('Assumptions (O&amp;G Upstream)'!$B$339,Model!AJ$1,'Assumptions (O&amp;G Upstream)'!$B$342,Model!$AH$3339)</f>
        <v>#NUM!</v>
      </c>
      <c r="AV3425" s="377" t="e">
        <f>IPMT('Assumptions (O&amp;G Upstream)'!$B$339,Model!AK$1,'Assumptions (O&amp;G Upstream)'!$B$342,Model!$AH$3339)</f>
        <v>#NUM!</v>
      </c>
      <c r="AW3425" s="377" t="e">
        <f>IPMT('Assumptions (O&amp;G Upstream)'!$B$339,Model!AL$1,'Assumptions (O&amp;G Upstream)'!$B$342,Model!$AH$3339)</f>
        <v>#NUM!</v>
      </c>
      <c r="AX3425" s="377" t="e">
        <f>IPMT('Assumptions (O&amp;G Upstream)'!$B$339,Model!AM$1,'Assumptions (O&amp;G Upstream)'!$B$342,Model!$AH$3339)</f>
        <v>#NUM!</v>
      </c>
      <c r="AY3425" s="377" t="e">
        <f>IPMT('Assumptions (O&amp;G Upstream)'!$B$339,Model!AN$1,'Assumptions (O&amp;G Upstream)'!$B$342,Model!$AH$3339)</f>
        <v>#NUM!</v>
      </c>
      <c r="AZ3425" s="377" t="e">
        <f>IPMT('Assumptions (O&amp;G Upstream)'!$B$339,Model!AO$1,'Assumptions (O&amp;G Upstream)'!$B$342,Model!$AH$3339)</f>
        <v>#NUM!</v>
      </c>
      <c r="BA3425" s="377" t="e">
        <f>IPMT('Assumptions (O&amp;G Upstream)'!$B$339,Model!AP$1,'Assumptions (O&amp;G Upstream)'!$B$342,Model!$AH$3339)</f>
        <v>#NUM!</v>
      </c>
      <c r="BB3425" s="377" t="e">
        <f>IPMT('Assumptions (O&amp;G Upstream)'!$B$339,Model!AQ$1,'Assumptions (O&amp;G Upstream)'!$B$342,Model!$AH$3339)</f>
        <v>#NUM!</v>
      </c>
      <c r="BC3425" s="377" t="e">
        <f>IPMT('Assumptions (O&amp;G Upstream)'!$B$339,Model!AR$1,'Assumptions (O&amp;G Upstream)'!$B$342,Model!$AH$3339)</f>
        <v>#NUM!</v>
      </c>
      <c r="BD3425" s="377" t="e">
        <f>IPMT('Assumptions (O&amp;G Upstream)'!$B$339,Model!AS$1,'Assumptions (O&amp;G Upstream)'!$B$342,Model!$AH$3339)</f>
        <v>#NUM!</v>
      </c>
      <c r="BE3425" s="377" t="e">
        <f>IPMT('Assumptions (O&amp;G Upstream)'!$B$339,Model!AT$1,'Assumptions (O&amp;G Upstream)'!$B$342,Model!$AH$3339)</f>
        <v>#NUM!</v>
      </c>
      <c r="BF3425" s="377" t="e">
        <f>IPMT('Assumptions (O&amp;G Upstream)'!$B$339,Model!AU$1,'Assumptions (O&amp;G Upstream)'!$B$342,Model!$AH$3339)</f>
        <v>#NUM!</v>
      </c>
    </row>
    <row r="3426" spans="1:73" ht="15.75" hidden="1" customHeight="1" outlineLevel="1">
      <c r="A3426" s="472"/>
      <c r="B3426" s="99"/>
      <c r="C3426" s="377"/>
      <c r="D3426" s="377"/>
      <c r="E3426" s="377"/>
      <c r="F3426" s="377"/>
      <c r="G3426" s="377"/>
      <c r="H3426" s="377"/>
      <c r="I3426" s="377"/>
      <c r="J3426" s="377"/>
      <c r="K3426" s="377"/>
      <c r="L3426" s="377"/>
      <c r="M3426" s="377"/>
      <c r="N3426" s="377"/>
      <c r="O3426" s="377"/>
      <c r="P3426" s="377"/>
      <c r="Q3426" s="377"/>
      <c r="R3426" s="377"/>
      <c r="S3426" s="42"/>
      <c r="T3426" s="42"/>
      <c r="U3426" s="42"/>
      <c r="V3426" s="42"/>
      <c r="W3426" s="86"/>
      <c r="AI3426" s="377">
        <f>IPMT('Assumptions (O&amp;G Upstream)'!$B$339,Model!W$1,'Assumptions (O&amp;G Upstream)'!$B$342,Model!$AI$3339)</f>
        <v>-13.322628669230998</v>
      </c>
      <c r="AJ3426" s="377">
        <f>IPMT('Assumptions (O&amp;G Upstream)'!$B$339,Model!X$1,'Assumptions (O&amp;G Upstream)'!$B$342,Model!$AI$3339)</f>
        <v>-12.380906305992559</v>
      </c>
      <c r="AK3426" s="377">
        <f>IPMT('Assumptions (O&amp;G Upstream)'!$B$339,Model!Y$1,'Assumptions (O&amp;G Upstream)'!$B$342,Model!$AI$3339)</f>
        <v>-11.368554765511236</v>
      </c>
      <c r="AL3426" s="377">
        <f>IPMT('Assumptions (O&amp;G Upstream)'!$B$339,Model!Z$1,'Assumptions (O&amp;G Upstream)'!$B$342,Model!$AI$3339)</f>
        <v>-10.280276859493815</v>
      </c>
      <c r="AM3426" s="377">
        <f>IPMT('Assumptions (O&amp;G Upstream)'!$B$339,Model!AA$1,'Assumptions (O&amp;G Upstream)'!$B$342,Model!$AI$3339)</f>
        <v>-9.1103781105250885</v>
      </c>
      <c r="AN3426" s="377">
        <f>IPMT('Assumptions (O&amp;G Upstream)'!$B$339,Model!AB$1,'Assumptions (O&amp;G Upstream)'!$B$342,Model!$AI$3339)</f>
        <v>-7.8527369553837083</v>
      </c>
      <c r="AO3426" s="377">
        <f>IPMT('Assumptions (O&amp;G Upstream)'!$B$339,Model!AC$1,'Assumptions (O&amp;G Upstream)'!$B$342,Model!$AI$3339)</f>
        <v>-6.5007727136067226</v>
      </c>
      <c r="AP3426" s="377">
        <f>IPMT('Assumptions (O&amp;G Upstream)'!$B$339,Model!AD$1,'Assumptions (O&amp;G Upstream)'!$B$342,Model!$AI$3339)</f>
        <v>-5.0474111536964621</v>
      </c>
      <c r="AQ3426" s="377">
        <f>IPMT('Assumptions (O&amp;G Upstream)'!$B$339,Model!AE$1,'Assumptions (O&amp;G Upstream)'!$B$342,Model!$AI$3339)</f>
        <v>-3.4850474767929338</v>
      </c>
      <c r="AR3426" s="377">
        <f>IPMT('Assumptions (O&amp;G Upstream)'!$B$339,Model!AF$1,'Assumptions (O&amp;G Upstream)'!$B$342,Model!$AI$3339)</f>
        <v>-1.8055065241216406</v>
      </c>
      <c r="AS3426" s="377" t="e">
        <f>IPMT('Assumptions (O&amp;G Upstream)'!$B$339,Model!AG$1,'Assumptions (O&amp;G Upstream)'!$B$342,Model!$AI$3339)</f>
        <v>#NUM!</v>
      </c>
      <c r="AT3426" s="377" t="e">
        <f>IPMT('Assumptions (O&amp;G Upstream)'!$B$339,Model!AH$1,'Assumptions (O&amp;G Upstream)'!$B$342,Model!$AI$3339)</f>
        <v>#NUM!</v>
      </c>
      <c r="AU3426" s="377" t="e">
        <f>IPMT('Assumptions (O&amp;G Upstream)'!$B$339,Model!AI$1,'Assumptions (O&amp;G Upstream)'!$B$342,Model!$AI$3339)</f>
        <v>#NUM!</v>
      </c>
      <c r="AV3426" s="377" t="e">
        <f>IPMT('Assumptions (O&amp;G Upstream)'!$B$339,Model!AJ$1,'Assumptions (O&amp;G Upstream)'!$B$342,Model!$AI$3339)</f>
        <v>#NUM!</v>
      </c>
      <c r="AW3426" s="377" t="e">
        <f>IPMT('Assumptions (O&amp;G Upstream)'!$B$339,Model!AK$1,'Assumptions (O&amp;G Upstream)'!$B$342,Model!$AI$3339)</f>
        <v>#NUM!</v>
      </c>
      <c r="AX3426" s="377" t="e">
        <f>IPMT('Assumptions (O&amp;G Upstream)'!$B$339,Model!AL$1,'Assumptions (O&amp;G Upstream)'!$B$342,Model!$AI$3339)</f>
        <v>#NUM!</v>
      </c>
      <c r="AY3426" s="377" t="e">
        <f>IPMT('Assumptions (O&amp;G Upstream)'!$B$339,Model!AM$1,'Assumptions (O&amp;G Upstream)'!$B$342,Model!$AI$3339)</f>
        <v>#NUM!</v>
      </c>
      <c r="AZ3426" s="377" t="e">
        <f>IPMT('Assumptions (O&amp;G Upstream)'!$B$339,Model!AN$1,'Assumptions (O&amp;G Upstream)'!$B$342,Model!$AI$3339)</f>
        <v>#NUM!</v>
      </c>
      <c r="BA3426" s="377" t="e">
        <f>IPMT('Assumptions (O&amp;G Upstream)'!$B$339,Model!AO$1,'Assumptions (O&amp;G Upstream)'!$B$342,Model!$AI$3339)</f>
        <v>#NUM!</v>
      </c>
      <c r="BB3426" s="377" t="e">
        <f>IPMT('Assumptions (O&amp;G Upstream)'!$B$339,Model!AP$1,'Assumptions (O&amp;G Upstream)'!$B$342,Model!$AI$3339)</f>
        <v>#NUM!</v>
      </c>
      <c r="BC3426" s="377" t="e">
        <f>IPMT('Assumptions (O&amp;G Upstream)'!$B$339,Model!AQ$1,'Assumptions (O&amp;G Upstream)'!$B$342,Model!$AI$3339)</f>
        <v>#NUM!</v>
      </c>
      <c r="BD3426" s="377" t="e">
        <f>IPMT('Assumptions (O&amp;G Upstream)'!$B$339,Model!AR$1,'Assumptions (O&amp;G Upstream)'!$B$342,Model!$AI$3339)</f>
        <v>#NUM!</v>
      </c>
      <c r="BE3426" s="377" t="e">
        <f>IPMT('Assumptions (O&amp;G Upstream)'!$B$339,Model!AS$1,'Assumptions (O&amp;G Upstream)'!$B$342,Model!$AI$3339)</f>
        <v>#NUM!</v>
      </c>
      <c r="BF3426" s="377" t="e">
        <f>IPMT('Assumptions (O&amp;G Upstream)'!$B$339,Model!AT$1,'Assumptions (O&amp;G Upstream)'!$B$342,Model!$AI$3339)</f>
        <v>#NUM!</v>
      </c>
      <c r="BG3426" s="377" t="e">
        <f>IPMT('Assumptions (O&amp;G Upstream)'!$B$339,Model!AU$1,'Assumptions (O&amp;G Upstream)'!$B$342,Model!$AI$3339)</f>
        <v>#NUM!</v>
      </c>
    </row>
    <row r="3427" spans="1:73" ht="15.75" hidden="1" customHeight="1" outlineLevel="1">
      <c r="A3427" s="472"/>
      <c r="B3427" s="99"/>
      <c r="C3427" s="377"/>
      <c r="D3427" s="377"/>
      <c r="E3427" s="377"/>
      <c r="F3427" s="377"/>
      <c r="G3427" s="377"/>
      <c r="H3427" s="377"/>
      <c r="I3427" s="377"/>
      <c r="J3427" s="377"/>
      <c r="K3427" s="377"/>
      <c r="L3427" s="377"/>
      <c r="M3427" s="377"/>
      <c r="N3427" s="377"/>
      <c r="O3427" s="377"/>
      <c r="P3427" s="377"/>
      <c r="Q3427" s="377"/>
      <c r="R3427" s="377"/>
      <c r="S3427" s="42"/>
      <c r="T3427" s="42"/>
      <c r="U3427" s="42"/>
      <c r="V3427" s="42"/>
      <c r="W3427" s="86"/>
      <c r="AJ3427" s="377">
        <f>IPMT('Assumptions (O&amp;G Upstream)'!$B$339,Model!W$1,'Assumptions (O&amp;G Upstream)'!$B$342,Model!$AJ$3339)</f>
        <v>-13.661963357012997</v>
      </c>
      <c r="AK3427" s="377">
        <f>IPMT('Assumptions (O&amp;G Upstream)'!$B$339,Model!X$1,'Assumptions (O&amp;G Upstream)'!$B$342,Model!$AJ$3339)</f>
        <v>-12.696254806660834</v>
      </c>
      <c r="AL3427" s="377">
        <f>IPMT('Assumptions (O&amp;G Upstream)'!$B$339,Model!Y$1,'Assumptions (O&amp;G Upstream)'!$B$342,Model!$AJ$3339)</f>
        <v>-11.658118115032259</v>
      </c>
      <c r="AM3427" s="377">
        <f>IPMT('Assumptions (O&amp;G Upstream)'!$B$339,Model!Z$1,'Assumptions (O&amp;G Upstream)'!$B$342,Model!$AJ$3339)</f>
        <v>-10.542121171531539</v>
      </c>
      <c r="AN3427" s="377">
        <f>IPMT('Assumptions (O&amp;G Upstream)'!$B$339,Model!AA$1,'Assumptions (O&amp;G Upstream)'!$B$342,Model!$AJ$3339)</f>
        <v>-9.3424244572682671</v>
      </c>
      <c r="AO3427" s="377">
        <f>IPMT('Assumptions (O&amp;G Upstream)'!$B$339,Model!AB$1,'Assumptions (O&amp;G Upstream)'!$B$342,Model!$AJ$3339)</f>
        <v>-8.0527504894352511</v>
      </c>
      <c r="AP3427" s="377">
        <f>IPMT('Assumptions (O&amp;G Upstream)'!$B$339,Model!AC$1,'Assumptions (O&amp;G Upstream)'!$B$342,Model!$AJ$3339)</f>
        <v>-6.6663509740147573</v>
      </c>
      <c r="AQ3427" s="377">
        <f>IPMT('Assumptions (O&amp;G Upstream)'!$B$339,Model!AD$1,'Assumptions (O&amp;G Upstream)'!$B$342,Model!$AJ$3339)</f>
        <v>-5.1759714949377242</v>
      </c>
      <c r="AR3427" s="377">
        <f>IPMT('Assumptions (O&amp;G Upstream)'!$B$339,Model!AE$1,'Assumptions (O&amp;G Upstream)'!$B$342,Model!$AJ$3339)</f>
        <v>-3.5738135549299175</v>
      </c>
      <c r="AS3427" s="377">
        <f>IPMT('Assumptions (O&amp;G Upstream)'!$B$339,Model!AF$1,'Assumptions (O&amp;G Upstream)'!$B$342,Model!$AJ$3339)</f>
        <v>-1.8514937694215234</v>
      </c>
      <c r="AT3427" s="377" t="e">
        <f>IPMT('Assumptions (O&amp;G Upstream)'!$B$339,Model!AG$1,'Assumptions (O&amp;G Upstream)'!$B$342,Model!$AJ$3339)</f>
        <v>#NUM!</v>
      </c>
      <c r="AU3427" s="377" t="e">
        <f>IPMT('Assumptions (O&amp;G Upstream)'!$B$339,Model!AH$1,'Assumptions (O&amp;G Upstream)'!$B$342,Model!$AJ$3339)</f>
        <v>#NUM!</v>
      </c>
      <c r="AV3427" s="377" t="e">
        <f>IPMT('Assumptions (O&amp;G Upstream)'!$B$339,Model!AI$1,'Assumptions (O&amp;G Upstream)'!$B$342,Model!$AJ$3339)</f>
        <v>#NUM!</v>
      </c>
      <c r="AW3427" s="377" t="e">
        <f>IPMT('Assumptions (O&amp;G Upstream)'!$B$339,Model!AJ$1,'Assumptions (O&amp;G Upstream)'!$B$342,Model!$AJ$3339)</f>
        <v>#NUM!</v>
      </c>
      <c r="AX3427" s="377" t="e">
        <f>IPMT('Assumptions (O&amp;G Upstream)'!$B$339,Model!AK$1,'Assumptions (O&amp;G Upstream)'!$B$342,Model!$AJ$3339)</f>
        <v>#NUM!</v>
      </c>
      <c r="AY3427" s="377" t="e">
        <f>IPMT('Assumptions (O&amp;G Upstream)'!$B$339,Model!AL$1,'Assumptions (O&amp;G Upstream)'!$B$342,Model!$AJ$3339)</f>
        <v>#NUM!</v>
      </c>
      <c r="AZ3427" s="377" t="e">
        <f>IPMT('Assumptions (O&amp;G Upstream)'!$B$339,Model!AM$1,'Assumptions (O&amp;G Upstream)'!$B$342,Model!$AJ$3339)</f>
        <v>#NUM!</v>
      </c>
      <c r="BA3427" s="377" t="e">
        <f>IPMT('Assumptions (O&amp;G Upstream)'!$B$339,Model!AN$1,'Assumptions (O&amp;G Upstream)'!$B$342,Model!$AJ$3339)</f>
        <v>#NUM!</v>
      </c>
      <c r="BB3427" s="377" t="e">
        <f>IPMT('Assumptions (O&amp;G Upstream)'!$B$339,Model!AO$1,'Assumptions (O&amp;G Upstream)'!$B$342,Model!$AJ$3339)</f>
        <v>#NUM!</v>
      </c>
      <c r="BC3427" s="377" t="e">
        <f>IPMT('Assumptions (O&amp;G Upstream)'!$B$339,Model!AP$1,'Assumptions (O&amp;G Upstream)'!$B$342,Model!$AJ$3339)</f>
        <v>#NUM!</v>
      </c>
      <c r="BD3427" s="377" t="e">
        <f>IPMT('Assumptions (O&amp;G Upstream)'!$B$339,Model!AQ$1,'Assumptions (O&amp;G Upstream)'!$B$342,Model!$AJ$3339)</f>
        <v>#NUM!</v>
      </c>
      <c r="BE3427" s="377" t="e">
        <f>IPMT('Assumptions (O&amp;G Upstream)'!$B$339,Model!AR$1,'Assumptions (O&amp;G Upstream)'!$B$342,Model!$AJ$3339)</f>
        <v>#NUM!</v>
      </c>
      <c r="BF3427" s="377" t="e">
        <f>IPMT('Assumptions (O&amp;G Upstream)'!$B$339,Model!AS$1,'Assumptions (O&amp;G Upstream)'!$B$342,Model!$AJ$3339)</f>
        <v>#NUM!</v>
      </c>
      <c r="BG3427" s="377" t="e">
        <f>IPMT('Assumptions (O&amp;G Upstream)'!$B$339,Model!AT$1,'Assumptions (O&amp;G Upstream)'!$B$342,Model!$AJ$3339)</f>
        <v>#NUM!</v>
      </c>
      <c r="BH3427" s="377" t="e">
        <f>IPMT('Assumptions (O&amp;G Upstream)'!$B$339,Model!AU$1,'Assumptions (O&amp;G Upstream)'!$B$342,Model!$AJ$3339)</f>
        <v>#NUM!</v>
      </c>
    </row>
    <row r="3428" spans="1:73" ht="15.75" hidden="1" customHeight="1" outlineLevel="1">
      <c r="A3428" s="472"/>
      <c r="B3428" s="99"/>
      <c r="C3428" s="377"/>
      <c r="D3428" s="377"/>
      <c r="E3428" s="377"/>
      <c r="F3428" s="377"/>
      <c r="G3428" s="377"/>
      <c r="H3428" s="377"/>
      <c r="I3428" s="377"/>
      <c r="J3428" s="377"/>
      <c r="K3428" s="377"/>
      <c r="L3428" s="377"/>
      <c r="M3428" s="377"/>
      <c r="N3428" s="377"/>
      <c r="O3428" s="377"/>
      <c r="P3428" s="377"/>
      <c r="Q3428" s="377"/>
      <c r="R3428" s="377"/>
      <c r="S3428" s="42"/>
      <c r="T3428" s="42"/>
      <c r="U3428" s="42"/>
      <c r="V3428" s="42"/>
      <c r="W3428" s="86"/>
      <c r="AK3428" s="377">
        <f>IPMT('Assumptions (O&amp;G Upstream)'!$B$339,Model!W$1,'Assumptions (O&amp;G Upstream)'!$B$342,Model!$AK$3339)</f>
        <v>-13.864585023206999</v>
      </c>
      <c r="AL3428" s="377">
        <f>IPMT('Assumptions (O&amp;G Upstream)'!$B$339,Model!X$1,'Assumptions (O&amp;G Upstream)'!$B$342,Model!$AK$3339)</f>
        <v>-12.884553972463289</v>
      </c>
      <c r="AM3428" s="377">
        <f>IPMT('Assumptions (O&amp;G Upstream)'!$B$339,Model!Y$1,'Assumptions (O&amp;G Upstream)'!$B$342,Model!$AK$3339)</f>
        <v>-11.831020592913797</v>
      </c>
      <c r="AN3428" s="377">
        <f>IPMT('Assumptions (O&amp;G Upstream)'!$B$339,Model!Z$1,'Assumptions (O&amp;G Upstream)'!$B$342,Model!$AK$3339)</f>
        <v>-10.698472209898094</v>
      </c>
      <c r="AO3428" s="377">
        <f>IPMT('Assumptions (O&amp;G Upstream)'!$B$339,Model!AA$1,'Assumptions (O&amp;G Upstream)'!$B$342,Model!$AK$3339)</f>
        <v>-9.4809826981562146</v>
      </c>
      <c r="AP3428" s="377">
        <f>IPMT('Assumptions (O&amp;G Upstream)'!$B$339,Model!AB$1,'Assumptions (O&amp;G Upstream)'!$B$342,Model!$AK$3339)</f>
        <v>-8.1721814730336941</v>
      </c>
      <c r="AQ3428" s="377">
        <f>IPMT('Assumptions (O&amp;G Upstream)'!$B$339,Model!AC$1,'Assumptions (O&amp;G Upstream)'!$B$342,Model!$AK$3339)</f>
        <v>-6.7652201560269845</v>
      </c>
      <c r="AR3428" s="377">
        <f>IPMT('Assumptions (O&amp;G Upstream)'!$B$339,Model!AD$1,'Assumptions (O&amp;G Upstream)'!$B$342,Model!$AK$3339)</f>
        <v>-5.2527367402447682</v>
      </c>
      <c r="AS3428" s="377">
        <f>IPMT('Assumptions (O&amp;G Upstream)'!$B$339,Model!AE$1,'Assumptions (O&amp;G Upstream)'!$B$342,Model!$AK$3339)</f>
        <v>-3.6268170682788901</v>
      </c>
      <c r="AT3428" s="377">
        <f>IPMT('Assumptions (O&amp;G Upstream)'!$B$339,Model!AF$1,'Assumptions (O&amp;G Upstream)'!$B$342,Model!$AK$3339)</f>
        <v>-1.8789534209155696</v>
      </c>
      <c r="AU3428" s="377" t="e">
        <f>IPMT('Assumptions (O&amp;G Upstream)'!$B$339,Model!AG$1,'Assumptions (O&amp;G Upstream)'!$B$342,Model!$AK$3339)</f>
        <v>#NUM!</v>
      </c>
      <c r="AV3428" s="377" t="e">
        <f>IPMT('Assumptions (O&amp;G Upstream)'!$B$339,Model!AH$1,'Assumptions (O&amp;G Upstream)'!$B$342,Model!$AK$3339)</f>
        <v>#NUM!</v>
      </c>
      <c r="AW3428" s="377" t="e">
        <f>IPMT('Assumptions (O&amp;G Upstream)'!$B$339,Model!AI$1,'Assumptions (O&amp;G Upstream)'!$B$342,Model!$AK$3339)</f>
        <v>#NUM!</v>
      </c>
      <c r="AX3428" s="377" t="e">
        <f>IPMT('Assumptions (O&amp;G Upstream)'!$B$339,Model!AJ$1,'Assumptions (O&amp;G Upstream)'!$B$342,Model!$AK$3339)</f>
        <v>#NUM!</v>
      </c>
      <c r="AY3428" s="377" t="e">
        <f>IPMT('Assumptions (O&amp;G Upstream)'!$B$339,Model!AK$1,'Assumptions (O&amp;G Upstream)'!$B$342,Model!$AK$3339)</f>
        <v>#NUM!</v>
      </c>
      <c r="AZ3428" s="377" t="e">
        <f>IPMT('Assumptions (O&amp;G Upstream)'!$B$339,Model!AL$1,'Assumptions (O&amp;G Upstream)'!$B$342,Model!$AK$3339)</f>
        <v>#NUM!</v>
      </c>
      <c r="BA3428" s="377" t="e">
        <f>IPMT('Assumptions (O&amp;G Upstream)'!$B$339,Model!AM$1,'Assumptions (O&amp;G Upstream)'!$B$342,Model!$AK$3339)</f>
        <v>#NUM!</v>
      </c>
      <c r="BB3428" s="377" t="e">
        <f>IPMT('Assumptions (O&amp;G Upstream)'!$B$339,Model!AN$1,'Assumptions (O&amp;G Upstream)'!$B$342,Model!$AK$3339)</f>
        <v>#NUM!</v>
      </c>
      <c r="BC3428" s="377" t="e">
        <f>IPMT('Assumptions (O&amp;G Upstream)'!$B$339,Model!AO$1,'Assumptions (O&amp;G Upstream)'!$B$342,Model!$AK$3339)</f>
        <v>#NUM!</v>
      </c>
      <c r="BD3428" s="377" t="e">
        <f>IPMT('Assumptions (O&amp;G Upstream)'!$B$339,Model!AP$1,'Assumptions (O&amp;G Upstream)'!$B$342,Model!$AK$3339)</f>
        <v>#NUM!</v>
      </c>
      <c r="BE3428" s="377" t="e">
        <f>IPMT('Assumptions (O&amp;G Upstream)'!$B$339,Model!AQ$1,'Assumptions (O&amp;G Upstream)'!$B$342,Model!$AK$3339)</f>
        <v>#NUM!</v>
      </c>
      <c r="BF3428" s="377" t="e">
        <f>IPMT('Assumptions (O&amp;G Upstream)'!$B$339,Model!AR$1,'Assumptions (O&amp;G Upstream)'!$B$342,Model!$AK$3339)</f>
        <v>#NUM!</v>
      </c>
      <c r="BG3428" s="377" t="e">
        <f>IPMT('Assumptions (O&amp;G Upstream)'!$B$339,Model!AS$1,'Assumptions (O&amp;G Upstream)'!$B$342,Model!$AK$3339)</f>
        <v>#NUM!</v>
      </c>
      <c r="BH3428" s="377" t="e">
        <f>IPMT('Assumptions (O&amp;G Upstream)'!$B$339,Model!AT$1,'Assumptions (O&amp;G Upstream)'!$B$342,Model!$AK$3339)</f>
        <v>#NUM!</v>
      </c>
      <c r="BI3428" s="377" t="e">
        <f>IPMT('Assumptions (O&amp;G Upstream)'!$B$339,Model!AU$1,'Assumptions (O&amp;G Upstream)'!$B$342,Model!$AK$3339)</f>
        <v>#NUM!</v>
      </c>
    </row>
    <row r="3429" spans="1:73" ht="15.75" hidden="1" customHeight="1" outlineLevel="1">
      <c r="A3429" s="472"/>
      <c r="B3429" s="99"/>
      <c r="C3429" s="377"/>
      <c r="D3429" s="377"/>
      <c r="E3429" s="377"/>
      <c r="F3429" s="377"/>
      <c r="G3429" s="377"/>
      <c r="H3429" s="377"/>
      <c r="I3429" s="377"/>
      <c r="J3429" s="377"/>
      <c r="K3429" s="377"/>
      <c r="L3429" s="377"/>
      <c r="M3429" s="377"/>
      <c r="N3429" s="377"/>
      <c r="O3429" s="377"/>
      <c r="P3429" s="377"/>
      <c r="Q3429" s="377"/>
      <c r="R3429" s="377"/>
      <c r="S3429" s="42"/>
      <c r="T3429" s="42"/>
      <c r="U3429" s="42"/>
      <c r="V3429" s="42"/>
      <c r="W3429" s="86"/>
      <c r="AL3429" s="377">
        <f>IPMT('Assumptions (O&amp;G Upstream)'!$B$339,Model!W$1,'Assumptions (O&amp;G Upstream)'!$B$342,Model!$AL$3339)</f>
        <v>-14.112484819956</v>
      </c>
      <c r="AM3429" s="377">
        <f>IPMT('Assumptions (O&amp;G Upstream)'!$B$339,Model!X$1,'Assumptions (O&amp;G Upstream)'!$B$342,Model!$AL$3339)</f>
        <v>-13.114930742170339</v>
      </c>
      <c r="AN3429" s="377">
        <f>IPMT('Assumptions (O&amp;G Upstream)'!$B$339,Model!Y$1,'Assumptions (O&amp;G Upstream)'!$B$342,Model!$AL$3339)</f>
        <v>-12.042560108550751</v>
      </c>
      <c r="AO3429" s="377">
        <f>IPMT('Assumptions (O&amp;G Upstream)'!$B$339,Model!Z$1,'Assumptions (O&amp;G Upstream)'!$B$342,Model!$AL$3339)</f>
        <v>-10.889761677409695</v>
      </c>
      <c r="AP3429" s="377">
        <f>IPMT('Assumptions (O&amp;G Upstream)'!$B$339,Model!AA$1,'Assumptions (O&amp;G Upstream)'!$B$342,Model!$AL$3339)</f>
        <v>-9.6505033639330584</v>
      </c>
      <c r="AQ3429" s="377">
        <f>IPMT('Assumptions (O&amp;G Upstream)'!$B$339,Model!AB$1,'Assumptions (O&amp;G Upstream)'!$B$342,Model!$AL$3339)</f>
        <v>-8.3183006769456753</v>
      </c>
      <c r="AR3429" s="377">
        <f>IPMT('Assumptions (O&amp;G Upstream)'!$B$339,Model!AC$1,'Assumptions (O&amp;G Upstream)'!$B$342,Model!$AL$3339)</f>
        <v>-6.8861827884342395</v>
      </c>
      <c r="AS3429" s="377">
        <f>IPMT('Assumptions (O&amp;G Upstream)'!$B$339,Model!AD$1,'Assumptions (O&amp;G Upstream)'!$B$342,Model!$AL$3339)</f>
        <v>-5.3466560582844425</v>
      </c>
      <c r="AT3429" s="377">
        <f>IPMT('Assumptions (O&amp;G Upstream)'!$B$339,Model!AE$1,'Assumptions (O&amp;G Upstream)'!$B$342,Model!$AL$3339)</f>
        <v>-3.6916648233734146</v>
      </c>
      <c r="AU3429" s="377">
        <f>IPMT('Assumptions (O&amp;G Upstream)'!$B$339,Model!AF$1,'Assumptions (O&amp;G Upstream)'!$B$342,Model!$AL$3339)</f>
        <v>-1.9125492458440583</v>
      </c>
      <c r="AV3429" s="377" t="e">
        <f>IPMT('Assumptions (O&amp;G Upstream)'!$B$339,Model!AG$1,'Assumptions (O&amp;G Upstream)'!$B$342,Model!$AL$3339)</f>
        <v>#NUM!</v>
      </c>
      <c r="AW3429" s="377" t="e">
        <f>IPMT('Assumptions (O&amp;G Upstream)'!$B$339,Model!AH$1,'Assumptions (O&amp;G Upstream)'!$B$342,Model!$AL$3339)</f>
        <v>#NUM!</v>
      </c>
      <c r="AX3429" s="377" t="e">
        <f>IPMT('Assumptions (O&amp;G Upstream)'!$B$339,Model!AI$1,'Assumptions (O&amp;G Upstream)'!$B$342,Model!$AL$3339)</f>
        <v>#NUM!</v>
      </c>
      <c r="AY3429" s="377" t="e">
        <f>IPMT('Assumptions (O&amp;G Upstream)'!$B$339,Model!AJ$1,'Assumptions (O&amp;G Upstream)'!$B$342,Model!$AL$3339)</f>
        <v>#NUM!</v>
      </c>
      <c r="AZ3429" s="377" t="e">
        <f>IPMT('Assumptions (O&amp;G Upstream)'!$B$339,Model!AK$1,'Assumptions (O&amp;G Upstream)'!$B$342,Model!$AL$3339)</f>
        <v>#NUM!</v>
      </c>
      <c r="BA3429" s="377" t="e">
        <f>IPMT('Assumptions (O&amp;G Upstream)'!$B$339,Model!AL$1,'Assumptions (O&amp;G Upstream)'!$B$342,Model!$AL$3339)</f>
        <v>#NUM!</v>
      </c>
      <c r="BB3429" s="377" t="e">
        <f>IPMT('Assumptions (O&amp;G Upstream)'!$B$339,Model!AM$1,'Assumptions (O&amp;G Upstream)'!$B$342,Model!$AL$3339)</f>
        <v>#NUM!</v>
      </c>
      <c r="BC3429" s="377" t="e">
        <f>IPMT('Assumptions (O&amp;G Upstream)'!$B$339,Model!AN$1,'Assumptions (O&amp;G Upstream)'!$B$342,Model!$AL$3339)</f>
        <v>#NUM!</v>
      </c>
      <c r="BD3429" s="377" t="e">
        <f>IPMT('Assumptions (O&amp;G Upstream)'!$B$339,Model!AO$1,'Assumptions (O&amp;G Upstream)'!$B$342,Model!$AL$3339)</f>
        <v>#NUM!</v>
      </c>
      <c r="BE3429" s="377" t="e">
        <f>IPMT('Assumptions (O&amp;G Upstream)'!$B$339,Model!AP$1,'Assumptions (O&amp;G Upstream)'!$B$342,Model!$AL$3339)</f>
        <v>#NUM!</v>
      </c>
      <c r="BF3429" s="377" t="e">
        <f>IPMT('Assumptions (O&amp;G Upstream)'!$B$339,Model!AQ$1,'Assumptions (O&amp;G Upstream)'!$B$342,Model!$AL$3339)</f>
        <v>#NUM!</v>
      </c>
      <c r="BG3429" s="377" t="e">
        <f>IPMT('Assumptions (O&amp;G Upstream)'!$B$339,Model!AR$1,'Assumptions (O&amp;G Upstream)'!$B$342,Model!$AL$3339)</f>
        <v>#NUM!</v>
      </c>
      <c r="BH3429" s="377" t="e">
        <f>IPMT('Assumptions (O&amp;G Upstream)'!$B$339,Model!AS$1,'Assumptions (O&amp;G Upstream)'!$B$342,Model!$AL$3339)</f>
        <v>#NUM!</v>
      </c>
      <c r="BI3429" s="377" t="e">
        <f>IPMT('Assumptions (O&amp;G Upstream)'!$B$339,Model!AT$1,'Assumptions (O&amp;G Upstream)'!$B$342,Model!$AL$3339)</f>
        <v>#NUM!</v>
      </c>
      <c r="BJ3429" s="377" t="e">
        <f>IPMT('Assumptions (O&amp;G Upstream)'!$B$339,Model!AU$1,'Assumptions (O&amp;G Upstream)'!$B$342,Model!$AL$3339)</f>
        <v>#NUM!</v>
      </c>
    </row>
    <row r="3430" spans="1:73" ht="15.75" hidden="1" customHeight="1" outlineLevel="1">
      <c r="A3430" s="472"/>
      <c r="B3430" s="99"/>
      <c r="C3430" s="377"/>
      <c r="D3430" s="377"/>
      <c r="E3430" s="377"/>
      <c r="F3430" s="377"/>
      <c r="G3430" s="377"/>
      <c r="H3430" s="377"/>
      <c r="I3430" s="377"/>
      <c r="J3430" s="377"/>
      <c r="K3430" s="377"/>
      <c r="L3430" s="377"/>
      <c r="M3430" s="377"/>
      <c r="N3430" s="377"/>
      <c r="O3430" s="377"/>
      <c r="P3430" s="377"/>
      <c r="Q3430" s="377"/>
      <c r="R3430" s="377"/>
      <c r="S3430" s="42"/>
      <c r="T3430" s="42"/>
      <c r="U3430" s="42"/>
      <c r="V3430" s="42"/>
      <c r="W3430" s="86"/>
      <c r="AM3430" s="377">
        <f>IPMT('Assumptions (O&amp;G Upstream)'!$B$339,Model!W$1,'Assumptions (O&amp;G Upstream)'!$B$342,Model!$AM$3339)</f>
        <v>-14.386997421701997</v>
      </c>
      <c r="AN3430" s="377">
        <f>IPMT('Assumptions (O&amp;G Upstream)'!$B$339,Model!X$1,'Assumptions (O&amp;G Upstream)'!$B$342,Model!$AM$3339)</f>
        <v>-13.370039166071763</v>
      </c>
      <c r="AO3430" s="377">
        <f>IPMT('Assumptions (O&amp;G Upstream)'!$B$339,Model!Y$1,'Assumptions (O&amp;G Upstream)'!$B$342,Model!$AM$3339)</f>
        <v>-12.276809041269258</v>
      </c>
      <c r="AP3430" s="377">
        <f>IPMT('Assumptions (O&amp;G Upstream)'!$B$339,Model!Z$1,'Assumptions (O&amp;G Upstream)'!$B$342,Model!$AM$3339)</f>
        <v>-11.101586657106566</v>
      </c>
      <c r="AQ3430" s="377">
        <f>IPMT('Assumptions (O&amp;G Upstream)'!$B$339,Model!AA$1,'Assumptions (O&amp;G Upstream)'!$B$342,Model!$AM$3339)</f>
        <v>-9.8382225941316719</v>
      </c>
      <c r="AR3430" s="377">
        <f>IPMT('Assumptions (O&amp;G Upstream)'!$B$339,Model!AB$1,'Assumptions (O&amp;G Upstream)'!$B$342,Model!$AM$3339)</f>
        <v>-8.4801062264336622</v>
      </c>
      <c r="AS3430" s="377">
        <f>IPMT('Assumptions (O&amp;G Upstream)'!$B$339,Model!AC$1,'Assumptions (O&amp;G Upstream)'!$B$342,Model!$AM$3339)</f>
        <v>-7.0201311311583012</v>
      </c>
      <c r="AT3430" s="377">
        <f>IPMT('Assumptions (O&amp;G Upstream)'!$B$339,Model!AD$1,'Assumptions (O&amp;G Upstream)'!$B$342,Model!$AM$3339)</f>
        <v>-5.4506579037372864</v>
      </c>
      <c r="AU3430" s="377">
        <f>IPMT('Assumptions (O&amp;G Upstream)'!$B$339,Model!AE$1,'Assumptions (O&amp;G Upstream)'!$B$342,Model!$AM$3339)</f>
        <v>-3.7634741842596982</v>
      </c>
      <c r="AV3430" s="377">
        <f>IPMT('Assumptions (O&amp;G Upstream)'!$B$339,Model!AF$1,'Assumptions (O&amp;G Upstream)'!$B$342,Model!$AM$3339)</f>
        <v>-1.9497516858212893</v>
      </c>
      <c r="AW3430" s="377" t="e">
        <f>IPMT('Assumptions (O&amp;G Upstream)'!$B$339,Model!AG$1,'Assumptions (O&amp;G Upstream)'!$B$342,Model!$AM$3339)</f>
        <v>#NUM!</v>
      </c>
      <c r="AX3430" s="377" t="e">
        <f>IPMT('Assumptions (O&amp;G Upstream)'!$B$339,Model!AH$1,'Assumptions (O&amp;G Upstream)'!$B$342,Model!$AM$3339)</f>
        <v>#NUM!</v>
      </c>
      <c r="AY3430" s="377" t="e">
        <f>IPMT('Assumptions (O&amp;G Upstream)'!$B$339,Model!AI$1,'Assumptions (O&amp;G Upstream)'!$B$342,Model!$AM$3339)</f>
        <v>#NUM!</v>
      </c>
      <c r="AZ3430" s="377" t="e">
        <f>IPMT('Assumptions (O&amp;G Upstream)'!$B$339,Model!AJ$1,'Assumptions (O&amp;G Upstream)'!$B$342,Model!$AM$3339)</f>
        <v>#NUM!</v>
      </c>
      <c r="BA3430" s="377" t="e">
        <f>IPMT('Assumptions (O&amp;G Upstream)'!$B$339,Model!AK$1,'Assumptions (O&amp;G Upstream)'!$B$342,Model!$AM$3339)</f>
        <v>#NUM!</v>
      </c>
      <c r="BB3430" s="377" t="e">
        <f>IPMT('Assumptions (O&amp;G Upstream)'!$B$339,Model!AL$1,'Assumptions (O&amp;G Upstream)'!$B$342,Model!$AM$3339)</f>
        <v>#NUM!</v>
      </c>
      <c r="BC3430" s="377" t="e">
        <f>IPMT('Assumptions (O&amp;G Upstream)'!$B$339,Model!AM$1,'Assumptions (O&amp;G Upstream)'!$B$342,Model!$AM$3339)</f>
        <v>#NUM!</v>
      </c>
      <c r="BD3430" s="377" t="e">
        <f>IPMT('Assumptions (O&amp;G Upstream)'!$B$339,Model!AN$1,'Assumptions (O&amp;G Upstream)'!$B$342,Model!$AM$3339)</f>
        <v>#NUM!</v>
      </c>
      <c r="BE3430" s="377" t="e">
        <f>IPMT('Assumptions (O&amp;G Upstream)'!$B$339,Model!AO$1,'Assumptions (O&amp;G Upstream)'!$B$342,Model!$AM$3339)</f>
        <v>#NUM!</v>
      </c>
      <c r="BF3430" s="377" t="e">
        <f>IPMT('Assumptions (O&amp;G Upstream)'!$B$339,Model!AP$1,'Assumptions (O&amp;G Upstream)'!$B$342,Model!$AM$3339)</f>
        <v>#NUM!</v>
      </c>
      <c r="BG3430" s="377" t="e">
        <f>IPMT('Assumptions (O&amp;G Upstream)'!$B$339,Model!AQ$1,'Assumptions (O&amp;G Upstream)'!$B$342,Model!$AM$3339)</f>
        <v>#NUM!</v>
      </c>
      <c r="BH3430" s="377" t="e">
        <f>IPMT('Assumptions (O&amp;G Upstream)'!$B$339,Model!AR$1,'Assumptions (O&amp;G Upstream)'!$B$342,Model!$AM$3339)</f>
        <v>#NUM!</v>
      </c>
      <c r="BI3430" s="377" t="e">
        <f>IPMT('Assumptions (O&amp;G Upstream)'!$B$339,Model!AS$1,'Assumptions (O&amp;G Upstream)'!$B$342,Model!$AM$3339)</f>
        <v>#NUM!</v>
      </c>
      <c r="BJ3430" s="377" t="e">
        <f>IPMT('Assumptions (O&amp;G Upstream)'!$B$339,Model!AT$1,'Assumptions (O&amp;G Upstream)'!$B$342,Model!$AM$3339)</f>
        <v>#NUM!</v>
      </c>
      <c r="BK3430" s="377" t="e">
        <f>IPMT('Assumptions (O&amp;G Upstream)'!$B$339,Model!AU$1,'Assumptions (O&amp;G Upstream)'!$B$342,Model!$AM$3339)</f>
        <v>#NUM!</v>
      </c>
    </row>
    <row r="3431" spans="1:73" ht="15.75" hidden="1" customHeight="1" outlineLevel="1">
      <c r="A3431" s="472"/>
      <c r="B3431" s="99"/>
      <c r="C3431" s="377"/>
      <c r="D3431" s="377"/>
      <c r="E3431" s="377"/>
      <c r="F3431" s="377"/>
      <c r="G3431" s="377"/>
      <c r="H3431" s="377"/>
      <c r="I3431" s="377"/>
      <c r="J3431" s="377"/>
      <c r="K3431" s="377"/>
      <c r="L3431" s="377"/>
      <c r="M3431" s="377"/>
      <c r="N3431" s="377"/>
      <c r="O3431" s="377"/>
      <c r="P3431" s="377"/>
      <c r="Q3431" s="377"/>
      <c r="R3431" s="377"/>
      <c r="S3431" s="42"/>
      <c r="T3431" s="42"/>
      <c r="U3431" s="42"/>
      <c r="V3431" s="42"/>
      <c r="W3431" s="86"/>
      <c r="AN3431" s="377">
        <f>IPMT('Assumptions (O&amp;G Upstream)'!$B$339,Model!W$1,'Assumptions (O&amp;G Upstream)'!$B$342,Model!$AN$3339)</f>
        <v>-14.458422081950999</v>
      </c>
      <c r="AO3431" s="377">
        <f>IPMT('Assumptions (O&amp;G Upstream)'!$B$339,Model!X$1,'Assumptions (O&amp;G Upstream)'!$B$342,Model!$AN$3339)</f>
        <v>-13.436415107969967</v>
      </c>
      <c r="AP3431" s="377">
        <f>IPMT('Assumptions (O&amp;G Upstream)'!$B$339,Model!Y$1,'Assumptions (O&amp;G Upstream)'!$B$342,Model!$AN$3339)</f>
        <v>-12.337757610940358</v>
      </c>
      <c r="AQ3431" s="377">
        <f>IPMT('Assumptions (O&amp;G Upstream)'!$B$339,Model!Z$1,'Assumptions (O&amp;G Upstream)'!$B$342,Model!$AN$3339)</f>
        <v>-11.156700801633527</v>
      </c>
      <c r="AR3431" s="377">
        <f>IPMT('Assumptions (O&amp;G Upstream)'!$B$339,Model!AA$1,'Assumptions (O&amp;G Upstream)'!$B$342,Model!$AN$3339)</f>
        <v>-9.8870647316286835</v>
      </c>
      <c r="AS3431" s="377">
        <f>IPMT('Assumptions (O&amp;G Upstream)'!$B$339,Model!AB$1,'Assumptions (O&amp;G Upstream)'!$B$342,Model!$AN$3339)</f>
        <v>-8.522205956373476</v>
      </c>
      <c r="AT3431" s="377">
        <f>IPMT('Assumptions (O&amp;G Upstream)'!$B$339,Model!AC$1,'Assumptions (O&amp;G Upstream)'!$B$342,Model!$AN$3339)</f>
        <v>-7.0549827729741308</v>
      </c>
      <c r="AU3431" s="377">
        <f>IPMT('Assumptions (O&amp;G Upstream)'!$B$339,Model!AD$1,'Assumptions (O&amp;G Upstream)'!$B$342,Model!$AN$3339)</f>
        <v>-5.4777178508198316</v>
      </c>
      <c r="AV3431" s="377">
        <f>IPMT('Assumptions (O&amp;G Upstream)'!$B$339,Model!AE$1,'Assumptions (O&amp;G Upstream)'!$B$342,Model!$AN$3339)</f>
        <v>-3.7821580595039626</v>
      </c>
      <c r="AW3431" s="377">
        <f>IPMT('Assumptions (O&amp;G Upstream)'!$B$339,Model!AF$1,'Assumptions (O&amp;G Upstream)'!$B$342,Model!$AN$3339)</f>
        <v>-1.9594312838394021</v>
      </c>
      <c r="AX3431" s="377" t="e">
        <f>IPMT('Assumptions (O&amp;G Upstream)'!$B$339,Model!AG$1,'Assumptions (O&amp;G Upstream)'!$B$342,Model!$AN$3339)</f>
        <v>#NUM!</v>
      </c>
      <c r="AY3431" s="377" t="e">
        <f>IPMT('Assumptions (O&amp;G Upstream)'!$B$339,Model!AH$1,'Assumptions (O&amp;G Upstream)'!$B$342,Model!$AN$3339)</f>
        <v>#NUM!</v>
      </c>
      <c r="AZ3431" s="377" t="e">
        <f>IPMT('Assumptions (O&amp;G Upstream)'!$B$339,Model!AI$1,'Assumptions (O&amp;G Upstream)'!$B$342,Model!$AN$3339)</f>
        <v>#NUM!</v>
      </c>
      <c r="BA3431" s="377" t="e">
        <f>IPMT('Assumptions (O&amp;G Upstream)'!$B$339,Model!AJ$1,'Assumptions (O&amp;G Upstream)'!$B$342,Model!$AN$3339)</f>
        <v>#NUM!</v>
      </c>
      <c r="BB3431" s="377" t="e">
        <f>IPMT('Assumptions (O&amp;G Upstream)'!$B$339,Model!AK$1,'Assumptions (O&amp;G Upstream)'!$B$342,Model!$AN$3339)</f>
        <v>#NUM!</v>
      </c>
      <c r="BC3431" s="377" t="e">
        <f>IPMT('Assumptions (O&amp;G Upstream)'!$B$339,Model!AL$1,'Assumptions (O&amp;G Upstream)'!$B$342,Model!$AN$3339)</f>
        <v>#NUM!</v>
      </c>
      <c r="BD3431" s="377" t="e">
        <f>IPMT('Assumptions (O&amp;G Upstream)'!$B$339,Model!AM$1,'Assumptions (O&amp;G Upstream)'!$B$342,Model!$AN$3339)</f>
        <v>#NUM!</v>
      </c>
      <c r="BE3431" s="377" t="e">
        <f>IPMT('Assumptions (O&amp;G Upstream)'!$B$339,Model!AN$1,'Assumptions (O&amp;G Upstream)'!$B$342,Model!$AN$3339)</f>
        <v>#NUM!</v>
      </c>
      <c r="BF3431" s="377" t="e">
        <f>IPMT('Assumptions (O&amp;G Upstream)'!$B$339,Model!AO$1,'Assumptions (O&amp;G Upstream)'!$B$342,Model!$AN$3339)</f>
        <v>#NUM!</v>
      </c>
      <c r="BG3431" s="377" t="e">
        <f>IPMT('Assumptions (O&amp;G Upstream)'!$B$339,Model!AP$1,'Assumptions (O&amp;G Upstream)'!$B$342,Model!$AN$3339)</f>
        <v>#NUM!</v>
      </c>
      <c r="BH3431" s="377" t="e">
        <f>IPMT('Assumptions (O&amp;G Upstream)'!$B$339,Model!AQ$1,'Assumptions (O&amp;G Upstream)'!$B$342,Model!$AN$3339)</f>
        <v>#NUM!</v>
      </c>
      <c r="BI3431" s="377" t="e">
        <f>IPMT('Assumptions (O&amp;G Upstream)'!$B$339,Model!AR$1,'Assumptions (O&amp;G Upstream)'!$B$342,Model!$AN$3339)</f>
        <v>#NUM!</v>
      </c>
      <c r="BJ3431" s="377" t="e">
        <f>IPMT('Assumptions (O&amp;G Upstream)'!$B$339,Model!AS$1,'Assumptions (O&amp;G Upstream)'!$B$342,Model!$AN$3339)</f>
        <v>#NUM!</v>
      </c>
      <c r="BK3431" s="377" t="e">
        <f>IPMT('Assumptions (O&amp;G Upstream)'!$B$339,Model!AT$1,'Assumptions (O&amp;G Upstream)'!$B$342,Model!$AN$3339)</f>
        <v>#NUM!</v>
      </c>
      <c r="BL3431" s="377" t="e">
        <f>IPMT('Assumptions (O&amp;G Upstream)'!$B$339,Model!AU$1,'Assumptions (O&amp;G Upstream)'!$B$342,Model!$AN$3339)</f>
        <v>#NUM!</v>
      </c>
    </row>
    <row r="3432" spans="1:73" ht="15.75" hidden="1" customHeight="1" outlineLevel="1">
      <c r="A3432" s="472"/>
      <c r="B3432" s="99"/>
      <c r="C3432" s="377"/>
      <c r="D3432" s="377"/>
      <c r="E3432" s="377"/>
      <c r="F3432" s="377"/>
      <c r="G3432" s="377"/>
      <c r="H3432" s="377"/>
      <c r="I3432" s="377"/>
      <c r="J3432" s="377"/>
      <c r="K3432" s="377"/>
      <c r="L3432" s="377"/>
      <c r="M3432" s="377"/>
      <c r="N3432" s="377"/>
      <c r="O3432" s="377"/>
      <c r="P3432" s="377"/>
      <c r="Q3432" s="377"/>
      <c r="R3432" s="377"/>
      <c r="S3432" s="42"/>
      <c r="T3432" s="42"/>
      <c r="U3432" s="42"/>
      <c r="V3432" s="42"/>
      <c r="W3432" s="86"/>
      <c r="AO3432" s="377">
        <f>IPMT('Assumptions (O&amp;G Upstream)'!$B$339,Model!W$1,'Assumptions (O&amp;G Upstream)'!$B$342,Model!$AO$3339)</f>
        <v>-14.705216347122001</v>
      </c>
      <c r="AP3432" s="377">
        <f>IPMT('Assumptions (O&amp;G Upstream)'!$B$339,Model!X$1,'Assumptions (O&amp;G Upstream)'!$B$342,Model!$AO$3339)</f>
        <v>-13.665764491623907</v>
      </c>
      <c r="AQ3432" s="377">
        <f>IPMT('Assumptions (O&amp;G Upstream)'!$B$339,Model!Y$1,'Assumptions (O&amp;G Upstream)'!$B$342,Model!$AO$3339)</f>
        <v>-12.548353746963457</v>
      </c>
      <c r="AR3432" s="377">
        <f>IPMT('Assumptions (O&amp;G Upstream)'!$B$339,Model!Z$1,'Assumptions (O&amp;G Upstream)'!$B$342,Model!$AO$3339)</f>
        <v>-11.347137196453474</v>
      </c>
      <c r="AS3432" s="377">
        <f>IPMT('Assumptions (O&amp;G Upstream)'!$B$339,Model!AA$1,'Assumptions (O&amp;G Upstream)'!$B$342,Model!$AO$3339)</f>
        <v>-10.05582940465524</v>
      </c>
      <c r="AT3432" s="377">
        <f>IPMT('Assumptions (O&amp;G Upstream)'!$B$339,Model!AB$1,'Assumptions (O&amp;G Upstream)'!$B$342,Model!$AO$3339)</f>
        <v>-8.6676735284721396</v>
      </c>
      <c r="AU3432" s="377">
        <f>IPMT('Assumptions (O&amp;G Upstream)'!$B$339,Model!AC$1,'Assumptions (O&amp;G Upstream)'!$B$342,Model!$AO$3339)</f>
        <v>-7.1754059615753087</v>
      </c>
      <c r="AV3432" s="377">
        <f>IPMT('Assumptions (O&amp;G Upstream)'!$B$339,Model!AD$1,'Assumptions (O&amp;G Upstream)'!$B$342,Model!$AO$3339)</f>
        <v>-5.5712183271612128</v>
      </c>
      <c r="AW3432" s="377">
        <f>IPMT('Assumptions (O&amp;G Upstream)'!$B$339,Model!AE$1,'Assumptions (O&amp;G Upstream)'!$B$342,Model!$AO$3339)</f>
        <v>-3.8467166201660614</v>
      </c>
      <c r="AX3432" s="377">
        <f>IPMT('Assumptions (O&amp;G Upstream)'!$B$339,Model!AF$1,'Assumptions (O&amp;G Upstream)'!$B$342,Model!$AO$3339)</f>
        <v>-1.9928772851462726</v>
      </c>
      <c r="AY3432" s="377" t="e">
        <f>IPMT('Assumptions (O&amp;G Upstream)'!$B$339,Model!AG$1,'Assumptions (O&amp;G Upstream)'!$B$342,Model!$AO$3339)</f>
        <v>#NUM!</v>
      </c>
      <c r="AZ3432" s="377" t="e">
        <f>IPMT('Assumptions (O&amp;G Upstream)'!$B$339,Model!AH$1,'Assumptions (O&amp;G Upstream)'!$B$342,Model!$AO$3339)</f>
        <v>#NUM!</v>
      </c>
      <c r="BA3432" s="377" t="e">
        <f>IPMT('Assumptions (O&amp;G Upstream)'!$B$339,Model!AI$1,'Assumptions (O&amp;G Upstream)'!$B$342,Model!$AO$3339)</f>
        <v>#NUM!</v>
      </c>
      <c r="BB3432" s="377" t="e">
        <f>IPMT('Assumptions (O&amp;G Upstream)'!$B$339,Model!AJ$1,'Assumptions (O&amp;G Upstream)'!$B$342,Model!$AO$3339)</f>
        <v>#NUM!</v>
      </c>
      <c r="BC3432" s="377" t="e">
        <f>IPMT('Assumptions (O&amp;G Upstream)'!$B$339,Model!AK$1,'Assumptions (O&amp;G Upstream)'!$B$342,Model!$AO$3339)</f>
        <v>#NUM!</v>
      </c>
      <c r="BD3432" s="377" t="e">
        <f>IPMT('Assumptions (O&amp;G Upstream)'!$B$339,Model!AL$1,'Assumptions (O&amp;G Upstream)'!$B$342,Model!$AO$3339)</f>
        <v>#NUM!</v>
      </c>
      <c r="BE3432" s="377" t="e">
        <f>IPMT('Assumptions (O&amp;G Upstream)'!$B$339,Model!AM$1,'Assumptions (O&amp;G Upstream)'!$B$342,Model!$AO$3339)</f>
        <v>#NUM!</v>
      </c>
      <c r="BF3432" s="377" t="e">
        <f>IPMT('Assumptions (O&amp;G Upstream)'!$B$339,Model!AN$1,'Assumptions (O&amp;G Upstream)'!$B$342,Model!$AO$3339)</f>
        <v>#NUM!</v>
      </c>
      <c r="BG3432" s="377" t="e">
        <f>IPMT('Assumptions (O&amp;G Upstream)'!$B$339,Model!AO$1,'Assumptions (O&amp;G Upstream)'!$B$342,Model!$AO$3339)</f>
        <v>#NUM!</v>
      </c>
      <c r="BH3432" s="377" t="e">
        <f>IPMT('Assumptions (O&amp;G Upstream)'!$B$339,Model!AP$1,'Assumptions (O&amp;G Upstream)'!$B$342,Model!$AO$3339)</f>
        <v>#NUM!</v>
      </c>
      <c r="BI3432" s="377" t="e">
        <f>IPMT('Assumptions (O&amp;G Upstream)'!$B$339,Model!AQ$1,'Assumptions (O&amp;G Upstream)'!$B$342,Model!$AO$3339)</f>
        <v>#NUM!</v>
      </c>
      <c r="BJ3432" s="377" t="e">
        <f>IPMT('Assumptions (O&amp;G Upstream)'!$B$339,Model!AR$1,'Assumptions (O&amp;G Upstream)'!$B$342,Model!$AO$3339)</f>
        <v>#NUM!</v>
      </c>
      <c r="BK3432" s="377" t="e">
        <f>IPMT('Assumptions (O&amp;G Upstream)'!$B$339,Model!AS$1,'Assumptions (O&amp;G Upstream)'!$B$342,Model!$AO$3339)</f>
        <v>#NUM!</v>
      </c>
      <c r="BL3432" s="377" t="e">
        <f>IPMT('Assumptions (O&amp;G Upstream)'!$B$339,Model!AT$1,'Assumptions (O&amp;G Upstream)'!$B$342,Model!$AO$3339)</f>
        <v>#NUM!</v>
      </c>
      <c r="BM3432" s="377" t="e">
        <f>IPMT('Assumptions (O&amp;G Upstream)'!$B$339,Model!AU$1,'Assumptions (O&amp;G Upstream)'!$B$342,Model!$AO$3339)</f>
        <v>#NUM!</v>
      </c>
    </row>
    <row r="3433" spans="1:73" ht="15.75" hidden="1" customHeight="1" outlineLevel="1">
      <c r="A3433" s="472"/>
      <c r="B3433" s="99"/>
      <c r="C3433" s="377"/>
      <c r="D3433" s="377"/>
      <c r="E3433" s="377"/>
      <c r="F3433" s="377"/>
      <c r="G3433" s="377"/>
      <c r="H3433" s="377"/>
      <c r="I3433" s="377"/>
      <c r="J3433" s="377"/>
      <c r="K3433" s="377"/>
      <c r="L3433" s="377"/>
      <c r="M3433" s="377"/>
      <c r="N3433" s="377"/>
      <c r="O3433" s="377"/>
      <c r="P3433" s="377"/>
      <c r="Q3433" s="377"/>
      <c r="R3433" s="377"/>
      <c r="S3433" s="42"/>
      <c r="T3433" s="42"/>
      <c r="U3433" s="42"/>
      <c r="V3433" s="42"/>
      <c r="W3433" s="86"/>
      <c r="AP3433" s="377">
        <f>IPMT('Assumptions (O&amp;G Upstream)'!$B$339,Model!W$1,'Assumptions (O&amp;G Upstream)'!$B$342,Model!$AP$3339)</f>
        <v>-14.929043499089998</v>
      </c>
      <c r="AQ3433" s="377">
        <f>IPMT('Assumptions (O&amp;G Upstream)'!$B$339,Model!X$1,'Assumptions (O&amp;G Upstream)'!$B$342,Model!$AP$3339)</f>
        <v>-13.873770213771898</v>
      </c>
      <c r="AR3433" s="377">
        <f>IPMT('Assumptions (O&amp;G Upstream)'!$B$339,Model!Y$1,'Assumptions (O&amp;G Upstream)'!$B$342,Model!$AP$3339)</f>
        <v>-12.739351432054944</v>
      </c>
      <c r="AS3433" s="377">
        <f>IPMT('Assumptions (O&amp;G Upstream)'!$B$339,Model!Z$1,'Assumptions (O&amp;G Upstream)'!$B$342,Model!$AP$3339)</f>
        <v>-11.519851241709215</v>
      </c>
      <c r="AT3433" s="377">
        <f>IPMT('Assumptions (O&amp;G Upstream)'!$B$339,Model!AA$1,'Assumptions (O&amp;G Upstream)'!$B$342,Model!$AP$3339)</f>
        <v>-10.208888537087558</v>
      </c>
      <c r="AU3433" s="377">
        <f>IPMT('Assumptions (O&amp;G Upstream)'!$B$339,Model!AB$1,'Assumptions (O&amp;G Upstream)'!$B$342,Model!$AP$3339)</f>
        <v>-8.799603629619277</v>
      </c>
      <c r="AV3433" s="377">
        <f>IPMT('Assumptions (O&amp;G Upstream)'!$B$339,Model!AC$1,'Assumptions (O&amp;G Upstream)'!$B$342,Model!$AP$3339)</f>
        <v>-7.2846223540908746</v>
      </c>
      <c r="AW3433" s="377">
        <f>IPMT('Assumptions (O&amp;G Upstream)'!$B$339,Model!AD$1,'Assumptions (O&amp;G Upstream)'!$B$342,Model!$AP$3339)</f>
        <v>-5.6560174828978402</v>
      </c>
      <c r="AX3433" s="377">
        <f>IPMT('Assumptions (O&amp;G Upstream)'!$B$339,Model!AE$1,'Assumptions (O&amp;G Upstream)'!$B$342,Model!$AP$3339)</f>
        <v>-3.9052672463653311</v>
      </c>
      <c r="AY3433" s="377">
        <f>IPMT('Assumptions (O&amp;G Upstream)'!$B$339,Model!AF$1,'Assumptions (O&amp;G Upstream)'!$B$342,Model!$AP$3339)</f>
        <v>-2.0232107420928824</v>
      </c>
      <c r="AZ3433" s="377" t="e">
        <f>IPMT('Assumptions (O&amp;G Upstream)'!$B$339,Model!AG$1,'Assumptions (O&amp;G Upstream)'!$B$342,Model!$AP$3339)</f>
        <v>#NUM!</v>
      </c>
      <c r="BA3433" s="377" t="e">
        <f>IPMT('Assumptions (O&amp;G Upstream)'!$B$339,Model!AH$1,'Assumptions (O&amp;G Upstream)'!$B$342,Model!$AP$3339)</f>
        <v>#NUM!</v>
      </c>
      <c r="BB3433" s="377" t="e">
        <f>IPMT('Assumptions (O&amp;G Upstream)'!$B$339,Model!AI$1,'Assumptions (O&amp;G Upstream)'!$B$342,Model!$AP$3339)</f>
        <v>#NUM!</v>
      </c>
      <c r="BC3433" s="377" t="e">
        <f>IPMT('Assumptions (O&amp;G Upstream)'!$B$339,Model!AJ$1,'Assumptions (O&amp;G Upstream)'!$B$342,Model!$AP$3339)</f>
        <v>#NUM!</v>
      </c>
      <c r="BD3433" s="377" t="e">
        <f>IPMT('Assumptions (O&amp;G Upstream)'!$B$339,Model!AK$1,'Assumptions (O&amp;G Upstream)'!$B$342,Model!$AP$3339)</f>
        <v>#NUM!</v>
      </c>
      <c r="BE3433" s="377" t="e">
        <f>IPMT('Assumptions (O&amp;G Upstream)'!$B$339,Model!AL$1,'Assumptions (O&amp;G Upstream)'!$B$342,Model!$AP$3339)</f>
        <v>#NUM!</v>
      </c>
      <c r="BF3433" s="377" t="e">
        <f>IPMT('Assumptions (O&amp;G Upstream)'!$B$339,Model!AM$1,'Assumptions (O&amp;G Upstream)'!$B$342,Model!$AP$3339)</f>
        <v>#NUM!</v>
      </c>
      <c r="BG3433" s="377" t="e">
        <f>IPMT('Assumptions (O&amp;G Upstream)'!$B$339,Model!AN$1,'Assumptions (O&amp;G Upstream)'!$B$342,Model!$AP$3339)</f>
        <v>#NUM!</v>
      </c>
      <c r="BH3433" s="377" t="e">
        <f>IPMT('Assumptions (O&amp;G Upstream)'!$B$339,Model!AO$1,'Assumptions (O&amp;G Upstream)'!$B$342,Model!$AP$3339)</f>
        <v>#NUM!</v>
      </c>
      <c r="BI3433" s="377" t="e">
        <f>IPMT('Assumptions (O&amp;G Upstream)'!$B$339,Model!AP$1,'Assumptions (O&amp;G Upstream)'!$B$342,Model!$AP$3339)</f>
        <v>#NUM!</v>
      </c>
      <c r="BJ3433" s="377" t="e">
        <f>IPMT('Assumptions (O&amp;G Upstream)'!$B$339,Model!AQ$1,'Assumptions (O&amp;G Upstream)'!$B$342,Model!$AP$3339)</f>
        <v>#NUM!</v>
      </c>
      <c r="BK3433" s="377" t="e">
        <f>IPMT('Assumptions (O&amp;G Upstream)'!$B$339,Model!AR$1,'Assumptions (O&amp;G Upstream)'!$B$342,Model!$AP$3339)</f>
        <v>#NUM!</v>
      </c>
      <c r="BL3433" s="377" t="e">
        <f>IPMT('Assumptions (O&amp;G Upstream)'!$B$339,Model!AS$1,'Assumptions (O&amp;G Upstream)'!$B$342,Model!$AP$3339)</f>
        <v>#NUM!</v>
      </c>
      <c r="BM3433" s="377" t="e">
        <f>IPMT('Assumptions (O&amp;G Upstream)'!$B$339,Model!AT$1,'Assumptions (O&amp;G Upstream)'!$B$342,Model!$AP$3339)</f>
        <v>#NUM!</v>
      </c>
      <c r="BN3433" s="377" t="e">
        <f>IPMT('Assumptions (O&amp;G Upstream)'!$B$339,Model!AU$1,'Assumptions (O&amp;G Upstream)'!$B$342,Model!$AP$3339)</f>
        <v>#NUM!</v>
      </c>
    </row>
    <row r="3434" spans="1:73" ht="15.75" hidden="1" customHeight="1" outlineLevel="1">
      <c r="A3434" s="472"/>
      <c r="B3434" s="99"/>
      <c r="C3434" s="377"/>
      <c r="D3434" s="377"/>
      <c r="E3434" s="377"/>
      <c r="F3434" s="377"/>
      <c r="G3434" s="377"/>
      <c r="H3434" s="377"/>
      <c r="I3434" s="377"/>
      <c r="J3434" s="377"/>
      <c r="K3434" s="377"/>
      <c r="L3434" s="377"/>
      <c r="M3434" s="377"/>
      <c r="N3434" s="377"/>
      <c r="O3434" s="377"/>
      <c r="P3434" s="377"/>
      <c r="Q3434" s="377"/>
      <c r="R3434" s="377"/>
      <c r="S3434" s="42"/>
      <c r="T3434" s="42"/>
      <c r="U3434" s="42"/>
      <c r="V3434" s="42"/>
      <c r="W3434" s="86"/>
      <c r="AQ3434" s="377">
        <f>IPMT('Assumptions (O&amp;G Upstream)'!$B$339,Model!W$1,'Assumptions (O&amp;G Upstream)'!$B$342,Model!$AQ$3339)</f>
        <v>-15.227522237222999</v>
      </c>
      <c r="AR3434" s="377">
        <f>IPMT('Assumptions (O&amp;G Upstream)'!$B$339,Model!X$1,'Assumptions (O&amp;G Upstream)'!$B$342,Model!$AQ$3339)</f>
        <v>-14.151150705482992</v>
      </c>
      <c r="AS3434" s="377">
        <f>IPMT('Assumptions (O&amp;G Upstream)'!$B$339,Model!Y$1,'Assumptions (O&amp;G Upstream)'!$B$342,Model!$AQ$3339)</f>
        <v>-12.994051308862483</v>
      </c>
      <c r="AT3434" s="377">
        <f>IPMT('Assumptions (O&amp;G Upstream)'!$B$339,Model!Z$1,'Assumptions (O&amp;G Upstream)'!$B$342,Model!$AQ$3339)</f>
        <v>-11.750169457495435</v>
      </c>
      <c r="AU3434" s="377">
        <f>IPMT('Assumptions (O&amp;G Upstream)'!$B$339,Model!AA$1,'Assumptions (O&amp;G Upstream)'!$B$342,Model!$AQ$3339)</f>
        <v>-10.41299646727586</v>
      </c>
      <c r="AV3434" s="377">
        <f>IPMT('Assumptions (O&amp;G Upstream)'!$B$339,Model!AB$1,'Assumptions (O&amp;G Upstream)'!$B$342,Model!$AQ$3339)</f>
        <v>-8.9755355027898158</v>
      </c>
      <c r="AW3434" s="377">
        <f>IPMT('Assumptions (O&amp;G Upstream)'!$B$339,Model!AC$1,'Assumptions (O&amp;G Upstream)'!$B$342,Model!$AQ$3339)</f>
        <v>-7.4302649659673188</v>
      </c>
      <c r="AX3434" s="377">
        <f>IPMT('Assumptions (O&amp;G Upstream)'!$B$339,Model!AD$1,'Assumptions (O&amp;G Upstream)'!$B$342,Model!$AQ$3339)</f>
        <v>-5.7690991388831323</v>
      </c>
      <c r="AY3434" s="377">
        <f>IPMT('Assumptions (O&amp;G Upstream)'!$B$339,Model!AE$1,'Assumptions (O&amp;G Upstream)'!$B$342,Model!$AQ$3339)</f>
        <v>-3.9833458747676342</v>
      </c>
      <c r="AZ3434" s="377">
        <f>IPMT('Assumptions (O&amp;G Upstream)'!$B$339,Model!AF$1,'Assumptions (O&amp;G Upstream)'!$B$342,Model!$AQ$3339)</f>
        <v>-2.0636611158434732</v>
      </c>
      <c r="BA3434" s="377" t="e">
        <f>IPMT('Assumptions (O&amp;G Upstream)'!$B$339,Model!AG$1,'Assumptions (O&amp;G Upstream)'!$B$342,Model!$AQ$3339)</f>
        <v>#NUM!</v>
      </c>
      <c r="BB3434" s="377" t="e">
        <f>IPMT('Assumptions (O&amp;G Upstream)'!$B$339,Model!AH$1,'Assumptions (O&amp;G Upstream)'!$B$342,Model!$AQ$3339)</f>
        <v>#NUM!</v>
      </c>
      <c r="BC3434" s="377" t="e">
        <f>IPMT('Assumptions (O&amp;G Upstream)'!$B$339,Model!AI$1,'Assumptions (O&amp;G Upstream)'!$B$342,Model!$AQ$3339)</f>
        <v>#NUM!</v>
      </c>
      <c r="BD3434" s="377" t="e">
        <f>IPMT('Assumptions (O&amp;G Upstream)'!$B$339,Model!AJ$1,'Assumptions (O&amp;G Upstream)'!$B$342,Model!$AQ$3339)</f>
        <v>#NUM!</v>
      </c>
      <c r="BE3434" s="377" t="e">
        <f>IPMT('Assumptions (O&amp;G Upstream)'!$B$339,Model!AK$1,'Assumptions (O&amp;G Upstream)'!$B$342,Model!$AQ$3339)</f>
        <v>#NUM!</v>
      </c>
      <c r="BF3434" s="377" t="e">
        <f>IPMT('Assumptions (O&amp;G Upstream)'!$B$339,Model!AL$1,'Assumptions (O&amp;G Upstream)'!$B$342,Model!$AQ$3339)</f>
        <v>#NUM!</v>
      </c>
      <c r="BG3434" s="377" t="e">
        <f>IPMT('Assumptions (O&amp;G Upstream)'!$B$339,Model!AM$1,'Assumptions (O&amp;G Upstream)'!$B$342,Model!$AQ$3339)</f>
        <v>#NUM!</v>
      </c>
      <c r="BH3434" s="377" t="e">
        <f>IPMT('Assumptions (O&amp;G Upstream)'!$B$339,Model!AN$1,'Assumptions (O&amp;G Upstream)'!$B$342,Model!$AQ$3339)</f>
        <v>#NUM!</v>
      </c>
      <c r="BI3434" s="377" t="e">
        <f>IPMT('Assumptions (O&amp;G Upstream)'!$B$339,Model!AO$1,'Assumptions (O&amp;G Upstream)'!$B$342,Model!$AQ$3339)</f>
        <v>#NUM!</v>
      </c>
      <c r="BJ3434" s="377" t="e">
        <f>IPMT('Assumptions (O&amp;G Upstream)'!$B$339,Model!AP$1,'Assumptions (O&amp;G Upstream)'!$B$342,Model!$AQ$3339)</f>
        <v>#NUM!</v>
      </c>
      <c r="BK3434" s="377" t="e">
        <f>IPMT('Assumptions (O&amp;G Upstream)'!$B$339,Model!AQ$1,'Assumptions (O&amp;G Upstream)'!$B$342,Model!$AQ$3339)</f>
        <v>#NUM!</v>
      </c>
      <c r="BL3434" s="377" t="e">
        <f>IPMT('Assumptions (O&amp;G Upstream)'!$B$339,Model!AR$1,'Assumptions (O&amp;G Upstream)'!$B$342,Model!$AQ$3339)</f>
        <v>#NUM!</v>
      </c>
      <c r="BM3434" s="377" t="e">
        <f>IPMT('Assumptions (O&amp;G Upstream)'!$B$339,Model!AS$1,'Assumptions (O&amp;G Upstream)'!$B$342,Model!$AQ$3339)</f>
        <v>#NUM!</v>
      </c>
      <c r="BN3434" s="377" t="e">
        <f>IPMT('Assumptions (O&amp;G Upstream)'!$B$339,Model!AT$1,'Assumptions (O&amp;G Upstream)'!$B$342,Model!$AQ$3339)</f>
        <v>#NUM!</v>
      </c>
      <c r="BO3434" s="377" t="e">
        <f>IPMT('Assumptions (O&amp;G Upstream)'!$B$339,Model!AU$1,'Assumptions (O&amp;G Upstream)'!$B$342,Model!$AQ$3339)</f>
        <v>#NUM!</v>
      </c>
    </row>
    <row r="3435" spans="1:73" ht="15.75" hidden="1" customHeight="1" outlineLevel="1">
      <c r="A3435" s="472"/>
      <c r="B3435" s="99"/>
      <c r="C3435" s="377"/>
      <c r="D3435" s="377"/>
      <c r="E3435" s="377"/>
      <c r="F3435" s="377"/>
      <c r="G3435" s="377"/>
      <c r="H3435" s="377"/>
      <c r="I3435" s="377"/>
      <c r="J3435" s="377"/>
      <c r="K3435" s="377"/>
      <c r="L3435" s="377"/>
      <c r="M3435" s="377"/>
      <c r="N3435" s="377"/>
      <c r="O3435" s="377"/>
      <c r="P3435" s="377"/>
      <c r="Q3435" s="377"/>
      <c r="R3435" s="377"/>
      <c r="S3435" s="42"/>
      <c r="T3435" s="42"/>
      <c r="U3435" s="42"/>
      <c r="V3435" s="42"/>
      <c r="W3435" s="86"/>
      <c r="AR3435" s="377">
        <f>IPMT('Assumptions (O&amp;G Upstream)'!$B$339,Model!W$1,'Assumptions (O&amp;G Upstream)'!$B$342,Model!$AR$3339)</f>
        <v>-15.492852515997001</v>
      </c>
      <c r="AS3435" s="377">
        <f>IPMT('Assumptions (O&amp;G Upstream)'!$B$339,Model!X$1,'Assumptions (O&amp;G Upstream)'!$B$342,Model!$AR$3339)</f>
        <v>-14.397725867427619</v>
      </c>
      <c r="AT3435" s="377">
        <f>IPMT('Assumptions (O&amp;G Upstream)'!$B$339,Model!Y$1,'Assumptions (O&amp;G Upstream)'!$B$342,Model!$AR$3339)</f>
        <v>-13.220464720215537</v>
      </c>
      <c r="AU3435" s="377">
        <f>IPMT('Assumptions (O&amp;G Upstream)'!$B$339,Model!Z$1,'Assumptions (O&amp;G Upstream)'!$B$342,Model!$AR$3339)</f>
        <v>-11.954908986962545</v>
      </c>
      <c r="AV3435" s="377">
        <f>IPMT('Assumptions (O&amp;G Upstream)'!$B$339,Model!AA$1,'Assumptions (O&amp;G Upstream)'!$B$342,Model!$AR$3339)</f>
        <v>-10.59443657371558</v>
      </c>
      <c r="AW3435" s="377">
        <f>IPMT('Assumptions (O&amp;G Upstream)'!$B$339,Model!AB$1,'Assumptions (O&amp;G Upstream)'!$B$342,Model!$AR$3339)</f>
        <v>-9.1319287294750939</v>
      </c>
      <c r="AX3435" s="377">
        <f>IPMT('Assumptions (O&amp;G Upstream)'!$B$339,Model!AC$1,'Assumptions (O&amp;G Upstream)'!$B$342,Model!$AR$3339)</f>
        <v>-7.5597327969165722</v>
      </c>
      <c r="AY3435" s="377">
        <f>IPMT('Assumptions (O&amp;G Upstream)'!$B$339,Model!AD$1,'Assumptions (O&amp;G Upstream)'!$B$342,Model!$AR$3339)</f>
        <v>-5.8696221694161581</v>
      </c>
      <c r="AZ3435" s="377">
        <f>IPMT('Assumptions (O&amp;G Upstream)'!$B$339,Model!AE$1,'Assumptions (O&amp;G Upstream)'!$B$342,Model!$AR$3339)</f>
        <v>-4.0527532448532151</v>
      </c>
      <c r="BA3435" s="377">
        <f>IPMT('Assumptions (O&amp;G Upstream)'!$B$339,Model!AF$1,'Assumptions (O&amp;G Upstream)'!$B$342,Model!$AR$3339)</f>
        <v>-2.0996191509480515</v>
      </c>
      <c r="BB3435" s="377" t="e">
        <f>IPMT('Assumptions (O&amp;G Upstream)'!$B$339,Model!AG$1,'Assumptions (O&amp;G Upstream)'!$B$342,Model!$AR$3339)</f>
        <v>#NUM!</v>
      </c>
      <c r="BC3435" s="377" t="e">
        <f>IPMT('Assumptions (O&amp;G Upstream)'!$B$339,Model!AH$1,'Assumptions (O&amp;G Upstream)'!$B$342,Model!$AR$3339)</f>
        <v>#NUM!</v>
      </c>
      <c r="BD3435" s="377" t="e">
        <f>IPMT('Assumptions (O&amp;G Upstream)'!$B$339,Model!AI$1,'Assumptions (O&amp;G Upstream)'!$B$342,Model!$AR$3339)</f>
        <v>#NUM!</v>
      </c>
      <c r="BE3435" s="377" t="e">
        <f>IPMT('Assumptions (O&amp;G Upstream)'!$B$339,Model!AJ$1,'Assumptions (O&amp;G Upstream)'!$B$342,Model!$AR$3339)</f>
        <v>#NUM!</v>
      </c>
      <c r="BF3435" s="377" t="e">
        <f>IPMT('Assumptions (O&amp;G Upstream)'!$B$339,Model!AK$1,'Assumptions (O&amp;G Upstream)'!$B$342,Model!$AR$3339)</f>
        <v>#NUM!</v>
      </c>
      <c r="BG3435" s="377" t="e">
        <f>IPMT('Assumptions (O&amp;G Upstream)'!$B$339,Model!AL$1,'Assumptions (O&amp;G Upstream)'!$B$342,Model!$AR$3339)</f>
        <v>#NUM!</v>
      </c>
      <c r="BH3435" s="377" t="e">
        <f>IPMT('Assumptions (O&amp;G Upstream)'!$B$339,Model!AM$1,'Assumptions (O&amp;G Upstream)'!$B$342,Model!$AR$3339)</f>
        <v>#NUM!</v>
      </c>
      <c r="BI3435" s="377" t="e">
        <f>IPMT('Assumptions (O&amp;G Upstream)'!$B$339,Model!AN$1,'Assumptions (O&amp;G Upstream)'!$B$342,Model!$AR$3339)</f>
        <v>#NUM!</v>
      </c>
      <c r="BJ3435" s="377" t="e">
        <f>IPMT('Assumptions (O&amp;G Upstream)'!$B$339,Model!AO$1,'Assumptions (O&amp;G Upstream)'!$B$342,Model!$AR$3339)</f>
        <v>#NUM!</v>
      </c>
      <c r="BK3435" s="377" t="e">
        <f>IPMT('Assumptions (O&amp;G Upstream)'!$B$339,Model!AP$1,'Assumptions (O&amp;G Upstream)'!$B$342,Model!$AR$3339)</f>
        <v>#NUM!</v>
      </c>
      <c r="BL3435" s="377" t="e">
        <f>IPMT('Assumptions (O&amp;G Upstream)'!$B$339,Model!AQ$1,'Assumptions (O&amp;G Upstream)'!$B$342,Model!$AR$3339)</f>
        <v>#NUM!</v>
      </c>
      <c r="BM3435" s="377" t="e">
        <f>IPMT('Assumptions (O&amp;G Upstream)'!$B$339,Model!AR$1,'Assumptions (O&amp;G Upstream)'!$B$342,Model!$AR$3339)</f>
        <v>#NUM!</v>
      </c>
      <c r="BN3435" s="377" t="e">
        <f>IPMT('Assumptions (O&amp;G Upstream)'!$B$339,Model!AS$1,'Assumptions (O&amp;G Upstream)'!$B$342,Model!$AR$3339)</f>
        <v>#NUM!</v>
      </c>
      <c r="BO3435" s="377" t="e">
        <f>IPMT('Assumptions (O&amp;G Upstream)'!$B$339,Model!AT$1,'Assumptions (O&amp;G Upstream)'!$B$342,Model!$AR$3339)</f>
        <v>#NUM!</v>
      </c>
      <c r="BP3435" s="377" t="e">
        <f>IPMT('Assumptions (O&amp;G Upstream)'!$B$339,Model!AU$1,'Assumptions (O&amp;G Upstream)'!$B$342,Model!$AR$3339)</f>
        <v>#NUM!</v>
      </c>
    </row>
    <row r="3436" spans="1:73" ht="15.75" hidden="1" customHeight="1" outlineLevel="1">
      <c r="A3436" s="472"/>
      <c r="B3436" s="99"/>
      <c r="C3436" s="377"/>
      <c r="D3436" s="377"/>
      <c r="E3436" s="377"/>
      <c r="F3436" s="377"/>
      <c r="G3436" s="377"/>
      <c r="H3436" s="377"/>
      <c r="I3436" s="377"/>
      <c r="J3436" s="377"/>
      <c r="K3436" s="377"/>
      <c r="L3436" s="377"/>
      <c r="M3436" s="377"/>
      <c r="N3436" s="377"/>
      <c r="O3436" s="377"/>
      <c r="P3436" s="377"/>
      <c r="Q3436" s="377"/>
      <c r="R3436" s="377"/>
      <c r="S3436" s="42"/>
      <c r="T3436" s="42"/>
      <c r="U3436" s="42"/>
      <c r="V3436" s="42"/>
      <c r="W3436" s="86"/>
      <c r="AS3436" s="377">
        <f>IPMT('Assumptions (O&amp;G Upstream)'!$B$339,Model!W$1,'Assumptions (O&amp;G Upstream)'!$B$342,Model!$AS$3339)</f>
        <v>-15.820751725236001</v>
      </c>
      <c r="AT3436" s="377">
        <f>IPMT('Assumptions (O&amp;G Upstream)'!$B$339,Model!X$1,'Assumptions (O&amp;G Upstream)'!$B$342,Model!$AS$3339)</f>
        <v>-14.702447216959271</v>
      </c>
      <c r="AU3436" s="377">
        <f>IPMT('Assumptions (O&amp;G Upstream)'!$B$339,Model!Y$1,'Assumptions (O&amp;G Upstream)'!$B$342,Model!$AS$3339)</f>
        <v>-13.500269870561784</v>
      </c>
      <c r="AV3436" s="377">
        <f>IPMT('Assumptions (O&amp;G Upstream)'!$B$339,Model!Z$1,'Assumptions (O&amp;G Upstream)'!$B$342,Model!$AS$3339)</f>
        <v>-12.207929223184486</v>
      </c>
      <c r="AW3436" s="377">
        <f>IPMT('Assumptions (O&amp;G Upstream)'!$B$339,Model!AA$1,'Assumptions (O&amp;G Upstream)'!$B$342,Model!$AS$3339)</f>
        <v>-10.818663027253889</v>
      </c>
      <c r="AX3436" s="377">
        <f>IPMT('Assumptions (O&amp;G Upstream)'!$B$339,Model!AB$1,'Assumptions (O&amp;G Upstream)'!$B$342,Model!$AS$3339)</f>
        <v>-9.3252018666285021</v>
      </c>
      <c r="AY3436" s="377">
        <f>IPMT('Assumptions (O&amp;G Upstream)'!$B$339,Model!AC$1,'Assumptions (O&amp;G Upstream)'!$B$342,Model!$AS$3339)</f>
        <v>-7.7197311189562097</v>
      </c>
      <c r="AZ3436" s="377">
        <f>IPMT('Assumptions (O&amp;G Upstream)'!$B$339,Model!AD$1,'Assumptions (O&amp;G Upstream)'!$B$342,Model!$AS$3339)</f>
        <v>-5.9938500652084921</v>
      </c>
      <c r="BA3436" s="377">
        <f>IPMT('Assumptions (O&amp;G Upstream)'!$B$339,Model!AE$1,'Assumptions (O&amp;G Upstream)'!$B$342,Model!$AS$3339)</f>
        <v>-4.1385279324296977</v>
      </c>
      <c r="BB3436" s="377">
        <f>IPMT('Assumptions (O&amp;G Upstream)'!$B$339,Model!AF$1,'Assumptions (O&amp;G Upstream)'!$B$342,Model!$AS$3339)</f>
        <v>-2.144056639692494</v>
      </c>
      <c r="BC3436" s="377" t="e">
        <f>IPMT('Assumptions (O&amp;G Upstream)'!$B$339,Model!AG$1,'Assumptions (O&amp;G Upstream)'!$B$342,Model!$AS$3339)</f>
        <v>#NUM!</v>
      </c>
      <c r="BD3436" s="377" t="e">
        <f>IPMT('Assumptions (O&amp;G Upstream)'!$B$339,Model!AH$1,'Assumptions (O&amp;G Upstream)'!$B$342,Model!$AS$3339)</f>
        <v>#NUM!</v>
      </c>
      <c r="BE3436" s="377" t="e">
        <f>IPMT('Assumptions (O&amp;G Upstream)'!$B$339,Model!AI$1,'Assumptions (O&amp;G Upstream)'!$B$342,Model!$AS$3339)</f>
        <v>#NUM!</v>
      </c>
      <c r="BF3436" s="377" t="e">
        <f>IPMT('Assumptions (O&amp;G Upstream)'!$B$339,Model!AJ$1,'Assumptions (O&amp;G Upstream)'!$B$342,Model!$AS$3339)</f>
        <v>#NUM!</v>
      </c>
      <c r="BG3436" s="377" t="e">
        <f>IPMT('Assumptions (O&amp;G Upstream)'!$B$339,Model!AK$1,'Assumptions (O&amp;G Upstream)'!$B$342,Model!$AS$3339)</f>
        <v>#NUM!</v>
      </c>
      <c r="BH3436" s="377" t="e">
        <f>IPMT('Assumptions (O&amp;G Upstream)'!$B$339,Model!AL$1,'Assumptions (O&amp;G Upstream)'!$B$342,Model!$AS$3339)</f>
        <v>#NUM!</v>
      </c>
      <c r="BI3436" s="377" t="e">
        <f>IPMT('Assumptions (O&amp;G Upstream)'!$B$339,Model!AM$1,'Assumptions (O&amp;G Upstream)'!$B$342,Model!$AS$3339)</f>
        <v>#NUM!</v>
      </c>
      <c r="BJ3436" s="377" t="e">
        <f>IPMT('Assumptions (O&amp;G Upstream)'!$B$339,Model!AN$1,'Assumptions (O&amp;G Upstream)'!$B$342,Model!$AS$3339)</f>
        <v>#NUM!</v>
      </c>
      <c r="BK3436" s="377" t="e">
        <f>IPMT('Assumptions (O&amp;G Upstream)'!$B$339,Model!AO$1,'Assumptions (O&amp;G Upstream)'!$B$342,Model!$AS$3339)</f>
        <v>#NUM!</v>
      </c>
      <c r="BL3436" s="377" t="e">
        <f>IPMT('Assumptions (O&amp;G Upstream)'!$B$339,Model!AP$1,'Assumptions (O&amp;G Upstream)'!$B$342,Model!$AS$3339)</f>
        <v>#NUM!</v>
      </c>
      <c r="BM3436" s="377" t="e">
        <f>IPMT('Assumptions (O&amp;G Upstream)'!$B$339,Model!AQ$1,'Assumptions (O&amp;G Upstream)'!$B$342,Model!$AS$3339)</f>
        <v>#NUM!</v>
      </c>
      <c r="BN3436" s="377" t="e">
        <f>IPMT('Assumptions (O&amp;G Upstream)'!$B$339,Model!AR$1,'Assumptions (O&amp;G Upstream)'!$B$342,Model!$AS$3339)</f>
        <v>#NUM!</v>
      </c>
      <c r="BO3436" s="377" t="e">
        <f>IPMT('Assumptions (O&amp;G Upstream)'!$B$339,Model!AS$1,'Assumptions (O&amp;G Upstream)'!$B$342,Model!$AS$3339)</f>
        <v>#NUM!</v>
      </c>
      <c r="BP3436" s="377" t="e">
        <f>IPMT('Assumptions (O&amp;G Upstream)'!$B$339,Model!AT$1,'Assumptions (O&amp;G Upstream)'!$B$342,Model!$AS$3339)</f>
        <v>#NUM!</v>
      </c>
      <c r="BQ3436" s="377" t="e">
        <f>IPMT('Assumptions (O&amp;G Upstream)'!$B$339,Model!AU$1,'Assumptions (O&amp;G Upstream)'!$B$342,Model!$AS$3339)</f>
        <v>#NUM!</v>
      </c>
    </row>
    <row r="3437" spans="1:73" ht="15.75" hidden="1" customHeight="1" outlineLevel="1">
      <c r="A3437" s="472"/>
      <c r="B3437" s="99"/>
      <c r="C3437" s="377"/>
      <c r="D3437" s="377"/>
      <c r="E3437" s="377"/>
      <c r="F3437" s="377"/>
      <c r="G3437" s="377"/>
      <c r="H3437" s="377"/>
      <c r="I3437" s="377"/>
      <c r="J3437" s="377"/>
      <c r="K3437" s="377"/>
      <c r="L3437" s="377"/>
      <c r="M3437" s="377"/>
      <c r="N3437" s="377"/>
      <c r="O3437" s="377"/>
      <c r="P3437" s="377"/>
      <c r="Q3437" s="377"/>
      <c r="R3437" s="377"/>
      <c r="S3437" s="42"/>
      <c r="T3437" s="42"/>
      <c r="U3437" s="42"/>
      <c r="V3437" s="42"/>
      <c r="W3437" s="86"/>
      <c r="AT3437" s="377">
        <f>IPMT('Assumptions (O&amp;G Upstream)'!$B$339,Model!W$1,'Assumptions (O&amp;G Upstream)'!$B$342,Model!$AT$3339)</f>
        <v>-16.031921299181999</v>
      </c>
      <c r="AU3437" s="377">
        <f>IPMT('Assumptions (O&amp;G Upstream)'!$B$339,Model!X$1,'Assumptions (O&amp;G Upstream)'!$B$342,Model!$AT$3339)</f>
        <v>-14.898690073726716</v>
      </c>
      <c r="AV3437" s="377">
        <f>IPMT('Assumptions (O&amp;G Upstream)'!$B$339,Model!Y$1,'Assumptions (O&amp;G Upstream)'!$B$342,Model!$AT$3339)</f>
        <v>-13.680466506362286</v>
      </c>
      <c r="AW3437" s="377">
        <f>IPMT('Assumptions (O&amp;G Upstream)'!$B$339,Model!Z$1,'Assumptions (O&amp;G Upstream)'!$B$342,Model!$AT$3339)</f>
        <v>-12.370876171445525</v>
      </c>
      <c r="AX3437" s="377">
        <f>IPMT('Assumptions (O&amp;G Upstream)'!$B$339,Model!AA$1,'Assumptions (O&amp;G Upstream)'!$B$342,Model!$AT$3339)</f>
        <v>-10.963066561410006</v>
      </c>
      <c r="AY3437" s="377">
        <f>IPMT('Assumptions (O&amp;G Upstream)'!$B$339,Model!AB$1,'Assumptions (O&amp;G Upstream)'!$B$342,Model!$AT$3339)</f>
        <v>-9.4496712306218242</v>
      </c>
      <c r="AZ3437" s="377">
        <f>IPMT('Assumptions (O&amp;G Upstream)'!$B$339,Model!AC$1,'Assumptions (O&amp;G Upstream)'!$B$342,Model!$AT$3339)</f>
        <v>-7.8227712500245286</v>
      </c>
      <c r="BA3437" s="377">
        <f>IPMT('Assumptions (O&amp;G Upstream)'!$B$339,Model!AD$1,'Assumptions (O&amp;G Upstream)'!$B$342,Model!$AT$3339)</f>
        <v>-6.0738537708824332</v>
      </c>
      <c r="BB3437" s="377">
        <f>IPMT('Assumptions (O&amp;G Upstream)'!$B$339,Model!AE$1,'Assumptions (O&amp;G Upstream)'!$B$342,Model!$AT$3339)</f>
        <v>-4.1937674808046825</v>
      </c>
      <c r="BC3437" s="377">
        <f>IPMT('Assumptions (O&amp;G Upstream)'!$B$339,Model!AF$1,'Assumptions (O&amp;G Upstream)'!$B$342,Model!$AT$3339)</f>
        <v>-2.1726747189711006</v>
      </c>
      <c r="BD3437" s="377" t="e">
        <f>IPMT('Assumptions (O&amp;G Upstream)'!$B$339,Model!AG$1,'Assumptions (O&amp;G Upstream)'!$B$342,Model!$AT$3339)</f>
        <v>#NUM!</v>
      </c>
      <c r="BE3437" s="377" t="e">
        <f>IPMT('Assumptions (O&amp;G Upstream)'!$B$339,Model!AH$1,'Assumptions (O&amp;G Upstream)'!$B$342,Model!$AT$3339)</f>
        <v>#NUM!</v>
      </c>
      <c r="BF3437" s="377" t="e">
        <f>IPMT('Assumptions (O&amp;G Upstream)'!$B$339,Model!AI$1,'Assumptions (O&amp;G Upstream)'!$B$342,Model!$AT$3339)</f>
        <v>#NUM!</v>
      </c>
      <c r="BG3437" s="377" t="e">
        <f>IPMT('Assumptions (O&amp;G Upstream)'!$B$339,Model!AJ$1,'Assumptions (O&amp;G Upstream)'!$B$342,Model!$AT$3339)</f>
        <v>#NUM!</v>
      </c>
      <c r="BH3437" s="377" t="e">
        <f>IPMT('Assumptions (O&amp;G Upstream)'!$B$339,Model!AK$1,'Assumptions (O&amp;G Upstream)'!$B$342,Model!$AT$3339)</f>
        <v>#NUM!</v>
      </c>
      <c r="BI3437" s="377" t="e">
        <f>IPMT('Assumptions (O&amp;G Upstream)'!$B$339,Model!AL$1,'Assumptions (O&amp;G Upstream)'!$B$342,Model!$AT$3339)</f>
        <v>#NUM!</v>
      </c>
      <c r="BJ3437" s="377" t="e">
        <f>IPMT('Assumptions (O&amp;G Upstream)'!$B$339,Model!AM$1,'Assumptions (O&amp;G Upstream)'!$B$342,Model!$AT$3339)</f>
        <v>#NUM!</v>
      </c>
      <c r="BK3437" s="377" t="e">
        <f>IPMT('Assumptions (O&amp;G Upstream)'!$B$339,Model!AN$1,'Assumptions (O&amp;G Upstream)'!$B$342,Model!$AT$3339)</f>
        <v>#NUM!</v>
      </c>
      <c r="BL3437" s="377" t="e">
        <f>IPMT('Assumptions (O&amp;G Upstream)'!$B$339,Model!AO$1,'Assumptions (O&amp;G Upstream)'!$B$342,Model!$AT$3339)</f>
        <v>#NUM!</v>
      </c>
      <c r="BM3437" s="377" t="e">
        <f>IPMT('Assumptions (O&amp;G Upstream)'!$B$339,Model!AP$1,'Assumptions (O&amp;G Upstream)'!$B$342,Model!$AT$3339)</f>
        <v>#NUM!</v>
      </c>
      <c r="BN3437" s="377" t="e">
        <f>IPMT('Assumptions (O&amp;G Upstream)'!$B$339,Model!AQ$1,'Assumptions (O&amp;G Upstream)'!$B$342,Model!$AT$3339)</f>
        <v>#NUM!</v>
      </c>
      <c r="BO3437" s="377" t="e">
        <f>IPMT('Assumptions (O&amp;G Upstream)'!$B$339,Model!AR$1,'Assumptions (O&amp;G Upstream)'!$B$342,Model!$AT$3339)</f>
        <v>#NUM!</v>
      </c>
      <c r="BP3437" s="377" t="e">
        <f>IPMT('Assumptions (O&amp;G Upstream)'!$B$339,Model!AS$1,'Assumptions (O&amp;G Upstream)'!$B$342,Model!$AT$3339)</f>
        <v>#NUM!</v>
      </c>
      <c r="BQ3437" s="377" t="e">
        <f>IPMT('Assumptions (O&amp;G Upstream)'!$B$339,Model!AT$1,'Assumptions (O&amp;G Upstream)'!$B$342,Model!$AT$3339)</f>
        <v>#NUM!</v>
      </c>
      <c r="BR3437" s="377" t="e">
        <f>IPMT('Assumptions (O&amp;G Upstream)'!$B$339,Model!AU$1,'Assumptions (O&amp;G Upstream)'!$B$342,Model!$AT$3339)</f>
        <v>#NUM!</v>
      </c>
    </row>
    <row r="3438" spans="1:73" ht="15.75" hidden="1" customHeight="1" outlineLevel="1">
      <c r="A3438" s="472"/>
      <c r="B3438" s="99"/>
      <c r="C3438" s="377"/>
      <c r="D3438" s="377"/>
      <c r="E3438" s="377"/>
      <c r="F3438" s="377"/>
      <c r="G3438" s="377"/>
      <c r="H3438" s="377"/>
      <c r="I3438" s="377"/>
      <c r="J3438" s="377"/>
      <c r="K3438" s="377"/>
      <c r="L3438" s="377"/>
      <c r="M3438" s="377"/>
      <c r="N3438" s="377"/>
      <c r="O3438" s="377"/>
      <c r="P3438" s="377"/>
      <c r="Q3438" s="377"/>
      <c r="R3438" s="377"/>
      <c r="S3438" s="42"/>
      <c r="T3438" s="42"/>
      <c r="U3438" s="42"/>
      <c r="V3438" s="42"/>
      <c r="W3438" s="86"/>
      <c r="AU3438" s="377">
        <f>IPMT('Assumptions (O&amp;G Upstream)'!$B$339,Model!W$1,'Assumptions (O&amp;G Upstream)'!$B$342,Model!$AU$3339)</f>
        <v>-16.283012440805997</v>
      </c>
      <c r="AV3438" s="377">
        <f>IPMT('Assumptions (O&amp;G Upstream)'!$B$339,Model!X$1,'Assumptions (O&amp;G Upstream)'!$B$342,Model!$AU$3339)</f>
        <v>-15.132032605136541</v>
      </c>
      <c r="AW3438" s="377">
        <f>IPMT('Assumptions (O&amp;G Upstream)'!$B$339,Model!Y$1,'Assumptions (O&amp;G Upstream)'!$B$342,Model!$AU$3339)</f>
        <v>-13.89472928179187</v>
      </c>
      <c r="AX3438" s="377">
        <f>IPMT('Assumptions (O&amp;G Upstream)'!$B$339,Model!Z$1,'Assumptions (O&amp;G Upstream)'!$B$342,Model!$AU$3339)</f>
        <v>-12.564628209196352</v>
      </c>
      <c r="AY3438" s="377">
        <f>IPMT('Assumptions (O&amp;G Upstream)'!$B$339,Model!AA$1,'Assumptions (O&amp;G Upstream)'!$B$342,Model!$AU$3339)</f>
        <v>-11.134769556156167</v>
      </c>
      <c r="AZ3438" s="377">
        <f>IPMT('Assumptions (O&amp;G Upstream)'!$B$339,Model!AB$1,'Assumptions (O&amp;G Upstream)'!$B$342,Model!$AU$3339)</f>
        <v>-9.5976715041379723</v>
      </c>
      <c r="BA3438" s="377">
        <f>IPMT('Assumptions (O&amp;G Upstream)'!$B$339,Model!AC$1,'Assumptions (O&amp;G Upstream)'!$B$342,Model!$AU$3339)</f>
        <v>-7.9452910982184113</v>
      </c>
      <c r="BB3438" s="377">
        <f>IPMT('Assumptions (O&amp;G Upstream)'!$B$339,Model!AD$1,'Assumptions (O&amp;G Upstream)'!$B$342,Model!$AU$3339)</f>
        <v>-6.1689821618548804</v>
      </c>
      <c r="BC3438" s="377">
        <f>IPMT('Assumptions (O&amp;G Upstream)'!$B$339,Model!AE$1,'Assumptions (O&amp;G Upstream)'!$B$342,Model!$AU$3339)</f>
        <v>-4.2594500552640886</v>
      </c>
      <c r="BD3438" s="377">
        <f>IPMT('Assumptions (O&amp;G Upstream)'!$B$339,Model!AF$1,'Assumptions (O&amp;G Upstream)'!$B$342,Model!$AU$3339)</f>
        <v>-2.2067030406789856</v>
      </c>
      <c r="BE3438" s="377" t="e">
        <f>IPMT('Assumptions (O&amp;G Upstream)'!$B$339,Model!AG$1,'Assumptions (O&amp;G Upstream)'!$B$342,Model!$AU$3339)</f>
        <v>#NUM!</v>
      </c>
      <c r="BF3438" s="377" t="e">
        <f>IPMT('Assumptions (O&amp;G Upstream)'!$B$339,Model!AH$1,'Assumptions (O&amp;G Upstream)'!$B$342,Model!$AU$3339)</f>
        <v>#NUM!</v>
      </c>
      <c r="BG3438" s="377" t="e">
        <f>IPMT('Assumptions (O&amp;G Upstream)'!$B$339,Model!AI$1,'Assumptions (O&amp;G Upstream)'!$B$342,Model!$AU$3339)</f>
        <v>#NUM!</v>
      </c>
      <c r="BH3438" s="377" t="e">
        <f>IPMT('Assumptions (O&amp;G Upstream)'!$B$339,Model!AJ$1,'Assumptions (O&amp;G Upstream)'!$B$342,Model!$AU$3339)</f>
        <v>#NUM!</v>
      </c>
      <c r="BI3438" s="377" t="e">
        <f>IPMT('Assumptions (O&amp;G Upstream)'!$B$339,Model!AK$1,'Assumptions (O&amp;G Upstream)'!$B$342,Model!$AU$3339)</f>
        <v>#NUM!</v>
      </c>
      <c r="BJ3438" s="377" t="e">
        <f>IPMT('Assumptions (O&amp;G Upstream)'!$B$339,Model!AL$1,'Assumptions (O&amp;G Upstream)'!$B$342,Model!$AU$3339)</f>
        <v>#NUM!</v>
      </c>
      <c r="BK3438" s="377" t="e">
        <f>IPMT('Assumptions (O&amp;G Upstream)'!$B$339,Model!AM$1,'Assumptions (O&amp;G Upstream)'!$B$342,Model!$AU$3339)</f>
        <v>#NUM!</v>
      </c>
      <c r="BL3438" s="377" t="e">
        <f>IPMT('Assumptions (O&amp;G Upstream)'!$B$339,Model!AN$1,'Assumptions (O&amp;G Upstream)'!$B$342,Model!$AU$3339)</f>
        <v>#NUM!</v>
      </c>
      <c r="BM3438" s="377" t="e">
        <f>IPMT('Assumptions (O&amp;G Upstream)'!$B$339,Model!AO$1,'Assumptions (O&amp;G Upstream)'!$B$342,Model!$AU$3339)</f>
        <v>#NUM!</v>
      </c>
      <c r="BN3438" s="377" t="e">
        <f>IPMT('Assumptions (O&amp;G Upstream)'!$B$339,Model!AP$1,'Assumptions (O&amp;G Upstream)'!$B$342,Model!$AU$3339)</f>
        <v>#NUM!</v>
      </c>
      <c r="BO3438" s="377" t="e">
        <f>IPMT('Assumptions (O&amp;G Upstream)'!$B$339,Model!AQ$1,'Assumptions (O&amp;G Upstream)'!$B$342,Model!$AU$3339)</f>
        <v>#NUM!</v>
      </c>
      <c r="BP3438" s="377" t="e">
        <f>IPMT('Assumptions (O&amp;G Upstream)'!$B$339,Model!AR$1,'Assumptions (O&amp;G Upstream)'!$B$342,Model!$AU$3339)</f>
        <v>#NUM!</v>
      </c>
      <c r="BQ3438" s="377" t="e">
        <f>IPMT('Assumptions (O&amp;G Upstream)'!$B$339,Model!AS$1,'Assumptions (O&amp;G Upstream)'!$B$342,Model!$AU$3339)</f>
        <v>#NUM!</v>
      </c>
      <c r="BR3438" s="377" t="e">
        <f>IPMT('Assumptions (O&amp;G Upstream)'!$B$339,Model!AT$1,'Assumptions (O&amp;G Upstream)'!$B$342,Model!$AU$3339)</f>
        <v>#NUM!</v>
      </c>
      <c r="BS3438" s="377" t="e">
        <f>IPMT('Assumptions (O&amp;G Upstream)'!$B$339,Model!AU$1,'Assumptions (O&amp;G Upstream)'!$B$342,Model!$AU$3339)</f>
        <v>#NUM!</v>
      </c>
    </row>
    <row r="3439" spans="1:73" ht="15.75" hidden="1" customHeight="1" outlineLevel="1">
      <c r="A3439" s="472"/>
      <c r="B3439" s="99"/>
      <c r="C3439" s="377"/>
      <c r="D3439" s="377"/>
      <c r="E3439" s="377"/>
      <c r="F3439" s="377"/>
      <c r="G3439" s="377"/>
      <c r="H3439" s="377"/>
      <c r="I3439" s="377"/>
      <c r="J3439" s="377"/>
      <c r="K3439" s="377"/>
      <c r="L3439" s="377"/>
      <c r="M3439" s="377"/>
      <c r="N3439" s="377"/>
      <c r="O3439" s="377"/>
      <c r="P3439" s="377"/>
      <c r="Q3439" s="377"/>
      <c r="R3439" s="377"/>
      <c r="S3439" s="42"/>
      <c r="T3439" s="42"/>
      <c r="U3439" s="42"/>
      <c r="V3439" s="42"/>
      <c r="W3439" s="86"/>
      <c r="AV3439" s="377">
        <f>IPMT('Assumptions (O&amp;G Upstream)'!$B$339,Model!W$1,'Assumptions (O&amp;G Upstream)'!$B$342,Model!$AV$3339)</f>
        <v>-16.501777991000999</v>
      </c>
      <c r="AW3439" s="377">
        <f>IPMT('Assumptions (O&amp;G Upstream)'!$B$339,Model!X$1,'Assumptions (O&amp;G Upstream)'!$B$342,Model!$AV$3339)</f>
        <v>-15.335334509527122</v>
      </c>
      <c r="AX3439" s="377">
        <f>IPMT('Assumptions (O&amp;G Upstream)'!$B$339,Model!Y$1,'Assumptions (O&amp;G Upstream)'!$B$342,Model!$AV$3339)</f>
        <v>-14.081407766942704</v>
      </c>
      <c r="AY3439" s="377">
        <f>IPMT('Assumptions (O&amp;G Upstream)'!$B$339,Model!Z$1,'Assumptions (O&amp;G Upstream)'!$B$342,Model!$AV$3339)</f>
        <v>-12.733436518664449</v>
      </c>
      <c r="AZ3439" s="377">
        <f>IPMT('Assumptions (O&amp;G Upstream)'!$B$339,Model!AA$1,'Assumptions (O&amp;G Upstream)'!$B$342,Model!$AV$3339)</f>
        <v>-11.28436742676533</v>
      </c>
      <c r="BA3439" s="377">
        <f>IPMT('Assumptions (O&amp;G Upstream)'!$B$339,Model!AB$1,'Assumptions (O&amp;G Upstream)'!$B$342,Model!$AV$3339)</f>
        <v>-9.7266181529737761</v>
      </c>
      <c r="BB3439" s="377">
        <f>IPMT('Assumptions (O&amp;G Upstream)'!$B$339,Model!AC$1,'Assumptions (O&amp;G Upstream)'!$B$342,Model!$AV$3339)</f>
        <v>-8.0520376836478569</v>
      </c>
      <c r="BC3439" s="377">
        <f>IPMT('Assumptions (O&amp;G Upstream)'!$B$339,Model!AD$1,'Assumptions (O&amp;G Upstream)'!$B$342,Model!$AV$3339)</f>
        <v>-6.2518636791224891</v>
      </c>
      <c r="BD3439" s="377">
        <f>IPMT('Assumptions (O&amp;G Upstream)'!$B$339,Model!AE$1,'Assumptions (O&amp;G Upstream)'!$B$342,Model!$AV$3339)</f>
        <v>-4.3166766242577221</v>
      </c>
      <c r="BE3439" s="377">
        <f>IPMT('Assumptions (O&amp;G Upstream)'!$B$339,Model!AF$1,'Assumptions (O&amp;G Upstream)'!$B$342,Model!$AV$3339)</f>
        <v>-2.2363505402780968</v>
      </c>
      <c r="BF3439" s="377" t="e">
        <f>IPMT('Assumptions (O&amp;G Upstream)'!$B$339,Model!AG$1,'Assumptions (O&amp;G Upstream)'!$B$342,Model!$AV$3339)</f>
        <v>#NUM!</v>
      </c>
      <c r="BG3439" s="377" t="e">
        <f>IPMT('Assumptions (O&amp;G Upstream)'!$B$339,Model!AH$1,'Assumptions (O&amp;G Upstream)'!$B$342,Model!$AV$3339)</f>
        <v>#NUM!</v>
      </c>
      <c r="BH3439" s="377" t="e">
        <f>IPMT('Assumptions (O&amp;G Upstream)'!$B$339,Model!AI$1,'Assumptions (O&amp;G Upstream)'!$B$342,Model!$AV$3339)</f>
        <v>#NUM!</v>
      </c>
      <c r="BI3439" s="377" t="e">
        <f>IPMT('Assumptions (O&amp;G Upstream)'!$B$339,Model!AJ$1,'Assumptions (O&amp;G Upstream)'!$B$342,Model!$AV$3339)</f>
        <v>#NUM!</v>
      </c>
      <c r="BJ3439" s="377" t="e">
        <f>IPMT('Assumptions (O&amp;G Upstream)'!$B$339,Model!AK$1,'Assumptions (O&amp;G Upstream)'!$B$342,Model!$AV$3339)</f>
        <v>#NUM!</v>
      </c>
      <c r="BK3439" s="377" t="e">
        <f>IPMT('Assumptions (O&amp;G Upstream)'!$B$339,Model!AL$1,'Assumptions (O&amp;G Upstream)'!$B$342,Model!$AV$3339)</f>
        <v>#NUM!</v>
      </c>
      <c r="BL3439" s="377" t="e">
        <f>IPMT('Assumptions (O&amp;G Upstream)'!$B$339,Model!AM$1,'Assumptions (O&amp;G Upstream)'!$B$342,Model!$AV$3339)</f>
        <v>#NUM!</v>
      </c>
      <c r="BM3439" s="377" t="e">
        <f>IPMT('Assumptions (O&amp;G Upstream)'!$B$339,Model!AN$1,'Assumptions (O&amp;G Upstream)'!$B$342,Model!$AV$3339)</f>
        <v>#NUM!</v>
      </c>
      <c r="BN3439" s="377" t="e">
        <f>IPMT('Assumptions (O&amp;G Upstream)'!$B$339,Model!AO$1,'Assumptions (O&amp;G Upstream)'!$B$342,Model!$AV$3339)</f>
        <v>#NUM!</v>
      </c>
      <c r="BO3439" s="377" t="e">
        <f>IPMT('Assumptions (O&amp;G Upstream)'!$B$339,Model!AP$1,'Assumptions (O&amp;G Upstream)'!$B$342,Model!$AV$3339)</f>
        <v>#NUM!</v>
      </c>
      <c r="BP3439" s="377" t="e">
        <f>IPMT('Assumptions (O&amp;G Upstream)'!$B$339,Model!AQ$1,'Assumptions (O&amp;G Upstream)'!$B$342,Model!$AV$3339)</f>
        <v>#NUM!</v>
      </c>
      <c r="BQ3439" s="377" t="e">
        <f>IPMT('Assumptions (O&amp;G Upstream)'!$B$339,Model!AR$1,'Assumptions (O&amp;G Upstream)'!$B$342,Model!$AV$3339)</f>
        <v>#NUM!</v>
      </c>
      <c r="BR3439" s="377" t="e">
        <f>IPMT('Assumptions (O&amp;G Upstream)'!$B$339,Model!AS$1,'Assumptions (O&amp;G Upstream)'!$B$342,Model!$AV$3339)</f>
        <v>#NUM!</v>
      </c>
      <c r="BS3439" s="377" t="e">
        <f>IPMT('Assumptions (O&amp;G Upstream)'!$B$339,Model!AT$1,'Assumptions (O&amp;G Upstream)'!$B$342,Model!$AV$3339)</f>
        <v>#NUM!</v>
      </c>
      <c r="BT3439" s="377" t="e">
        <f>IPMT('Assumptions (O&amp;G Upstream)'!$B$339,Model!AU$1,'Assumptions (O&amp;G Upstream)'!$B$342,Model!$AV$3339)</f>
        <v>#NUM!</v>
      </c>
    </row>
    <row r="3440" spans="1:73" ht="15.75" hidden="1" customHeight="1" outlineLevel="1">
      <c r="A3440" s="472"/>
      <c r="B3440" s="99"/>
      <c r="C3440" s="377"/>
      <c r="D3440" s="377"/>
      <c r="E3440" s="377"/>
      <c r="F3440" s="377"/>
      <c r="G3440" s="377"/>
      <c r="H3440" s="377"/>
      <c r="I3440" s="377"/>
      <c r="J3440" s="377"/>
      <c r="K3440" s="377"/>
      <c r="L3440" s="377"/>
      <c r="M3440" s="377"/>
      <c r="N3440" s="377"/>
      <c r="O3440" s="377"/>
      <c r="P3440" s="377"/>
      <c r="Q3440" s="377"/>
      <c r="R3440" s="377"/>
      <c r="S3440" s="42"/>
      <c r="T3440" s="42"/>
      <c r="U3440" s="42"/>
      <c r="V3440" s="42"/>
      <c r="W3440" s="86"/>
      <c r="AW3440" s="377">
        <f>IPMT('Assumptions (O&amp;G Upstream)'!$B$339,Model!W$1,'Assumptions (O&amp;G Upstream)'!$B$342,Model!$AW$3339)</f>
        <v>-16.731233118818995</v>
      </c>
      <c r="AX3440" s="377">
        <f>IPMT('Assumptions (O&amp;G Upstream)'!$B$339,Model!X$1,'Assumptions (O&amp;G Upstream)'!$B$342,Model!$AW$3339)</f>
        <v>-15.548570388832625</v>
      </c>
      <c r="AY3440" s="377">
        <f>IPMT('Assumptions (O&amp;G Upstream)'!$B$339,Model!Y$1,'Assumptions (O&amp;G Upstream)'!$B$342,Model!$AW$3339)</f>
        <v>-14.277207954097273</v>
      </c>
      <c r="AZ3440" s="377">
        <f>IPMT('Assumptions (O&amp;G Upstream)'!$B$339,Model!Z$1,'Assumptions (O&amp;G Upstream)'!$B$342,Model!$AW$3339)</f>
        <v>-12.910493336756767</v>
      </c>
      <c r="BA3440" s="377">
        <f>IPMT('Assumptions (O&amp;G Upstream)'!$B$339,Model!AA$1,'Assumptions (O&amp;G Upstream)'!$B$342,Model!$AW$3339)</f>
        <v>-11.441275123115727</v>
      </c>
      <c r="BB3440" s="377">
        <f>IPMT('Assumptions (O&amp;G Upstream)'!$B$339,Model!AB$1,'Assumptions (O&amp;G Upstream)'!$B$342,Model!$AW$3339)</f>
        <v>-9.8618655434516089</v>
      </c>
      <c r="BC3440" s="377">
        <f>IPMT('Assumptions (O&amp;G Upstream)'!$B$339,Model!AC$1,'Assumptions (O&amp;G Upstream)'!$B$342,Model!$AW$3339)</f>
        <v>-8.1640002453126836</v>
      </c>
      <c r="BD3440" s="377">
        <f>IPMT('Assumptions (O&amp;G Upstream)'!$B$339,Model!AD$1,'Assumptions (O&amp;G Upstream)'!$B$342,Model!$AW$3339)</f>
        <v>-6.3387950498133332</v>
      </c>
      <c r="BE3440" s="377">
        <f>IPMT('Assumptions (O&amp;G Upstream)'!$B$339,Model!AE$1,'Assumptions (O&amp;G Upstream)'!$B$342,Model!$AW$3339)</f>
        <v>-4.3766994646515363</v>
      </c>
      <c r="BF3440" s="377">
        <f>IPMT('Assumptions (O&amp;G Upstream)'!$B$339,Model!AF$1,'Assumptions (O&amp;G Upstream)'!$B$342,Model!$AW$3339)</f>
        <v>-2.2674467106026031</v>
      </c>
      <c r="BG3440" s="377" t="e">
        <f>IPMT('Assumptions (O&amp;G Upstream)'!$B$339,Model!AG$1,'Assumptions (O&amp;G Upstream)'!$B$342,Model!$AW$3339)</f>
        <v>#NUM!</v>
      </c>
      <c r="BH3440" s="377" t="e">
        <f>IPMT('Assumptions (O&amp;G Upstream)'!$B$339,Model!AH$1,'Assumptions (O&amp;G Upstream)'!$B$342,Model!$AW$3339)</f>
        <v>#NUM!</v>
      </c>
      <c r="BI3440" s="377" t="e">
        <f>IPMT('Assumptions (O&amp;G Upstream)'!$B$339,Model!AI$1,'Assumptions (O&amp;G Upstream)'!$B$342,Model!$AW$3339)</f>
        <v>#NUM!</v>
      </c>
      <c r="BJ3440" s="377" t="e">
        <f>IPMT('Assumptions (O&amp;G Upstream)'!$B$339,Model!AJ$1,'Assumptions (O&amp;G Upstream)'!$B$342,Model!$AW$3339)</f>
        <v>#NUM!</v>
      </c>
      <c r="BK3440" s="377" t="e">
        <f>IPMT('Assumptions (O&amp;G Upstream)'!$B$339,Model!AK$1,'Assumptions (O&amp;G Upstream)'!$B$342,Model!$AW$3339)</f>
        <v>#NUM!</v>
      </c>
      <c r="BL3440" s="377" t="e">
        <f>IPMT('Assumptions (O&amp;G Upstream)'!$B$339,Model!AL$1,'Assumptions (O&amp;G Upstream)'!$B$342,Model!$AW$3339)</f>
        <v>#NUM!</v>
      </c>
      <c r="BM3440" s="377" t="e">
        <f>IPMT('Assumptions (O&amp;G Upstream)'!$B$339,Model!AM$1,'Assumptions (O&amp;G Upstream)'!$B$342,Model!$AW$3339)</f>
        <v>#NUM!</v>
      </c>
      <c r="BN3440" s="377" t="e">
        <f>IPMT('Assumptions (O&amp;G Upstream)'!$B$339,Model!AN$1,'Assumptions (O&amp;G Upstream)'!$B$342,Model!$AW$3339)</f>
        <v>#NUM!</v>
      </c>
      <c r="BO3440" s="377" t="e">
        <f>IPMT('Assumptions (O&amp;G Upstream)'!$B$339,Model!AO$1,'Assumptions (O&amp;G Upstream)'!$B$342,Model!$AW$3339)</f>
        <v>#NUM!</v>
      </c>
      <c r="BP3440" s="377" t="e">
        <f>IPMT('Assumptions (O&amp;G Upstream)'!$B$339,Model!AP$1,'Assumptions (O&amp;G Upstream)'!$B$342,Model!$AW$3339)</f>
        <v>#NUM!</v>
      </c>
      <c r="BQ3440" s="377" t="e">
        <f>IPMT('Assumptions (O&amp;G Upstream)'!$B$339,Model!AQ$1,'Assumptions (O&amp;G Upstream)'!$B$342,Model!$AW$3339)</f>
        <v>#NUM!</v>
      </c>
      <c r="BR3440" s="377" t="e">
        <f>IPMT('Assumptions (O&amp;G Upstream)'!$B$339,Model!AR$1,'Assumptions (O&amp;G Upstream)'!$B$342,Model!$AW$3339)</f>
        <v>#NUM!</v>
      </c>
      <c r="BS3440" s="377" t="e">
        <f>IPMT('Assumptions (O&amp;G Upstream)'!$B$339,Model!AS$1,'Assumptions (O&amp;G Upstream)'!$B$342,Model!$AW$3339)</f>
        <v>#NUM!</v>
      </c>
      <c r="BT3440" s="377" t="e">
        <f>IPMT('Assumptions (O&amp;G Upstream)'!$B$339,Model!AT$1,'Assumptions (O&amp;G Upstream)'!$B$342,Model!$AW$3339)</f>
        <v>#NUM!</v>
      </c>
      <c r="BU3440" s="377" t="e">
        <f>IPMT('Assumptions (O&amp;G Upstream)'!$B$339,Model!AU$1,'Assumptions (O&amp;G Upstream)'!$B$342,Model!$AW$3339)</f>
        <v>#NUM!</v>
      </c>
    </row>
    <row r="3441" spans="1:77" ht="15.75" hidden="1" customHeight="1" outlineLevel="1">
      <c r="A3441" s="472"/>
      <c r="B3441" s="99"/>
      <c r="C3441" s="377"/>
      <c r="D3441" s="377"/>
      <c r="E3441" s="377"/>
      <c r="F3441" s="377"/>
      <c r="G3441" s="377"/>
      <c r="H3441" s="377"/>
      <c r="I3441" s="377"/>
      <c r="J3441" s="377"/>
      <c r="K3441" s="377"/>
      <c r="L3441" s="377"/>
      <c r="M3441" s="377"/>
      <c r="N3441" s="377"/>
      <c r="O3441" s="377"/>
      <c r="P3441" s="377"/>
      <c r="Q3441" s="377"/>
      <c r="R3441" s="377"/>
      <c r="S3441" s="42"/>
      <c r="T3441" s="42"/>
      <c r="U3441" s="42"/>
      <c r="V3441" s="42"/>
      <c r="W3441" s="86"/>
      <c r="AW3441" s="377"/>
      <c r="AX3441" s="377">
        <f>IPMT('Assumptions (O&amp;G Upstream)'!$B$339,Model!W$1,'Assumptions (O&amp;G Upstream)'!$B$342,Model!$AX$3339)</f>
        <v>-16.981753449195001</v>
      </c>
      <c r="AY3441" s="377">
        <f>IPMT('Assumptions (O&amp;G Upstream)'!$B$339,Model!X$1,'Assumptions (O&amp;G Upstream)'!$B$342,Model!$AX$3339)</f>
        <v>-15.7813824573169</v>
      </c>
      <c r="AZ3441" s="377">
        <f>IPMT('Assumptions (O&amp;G Upstream)'!$B$339,Model!Y$1,'Assumptions (O&amp;G Upstream)'!$B$342,Model!$AX$3339)</f>
        <v>-14.490983641047942</v>
      </c>
      <c r="BA3441" s="377">
        <f>IPMT('Assumptions (O&amp;G Upstream)'!$B$339,Model!Z$1,'Assumptions (O&amp;G Upstream)'!$B$342,Model!$AX$3339)</f>
        <v>-13.103804913558811</v>
      </c>
      <c r="BB3441" s="377">
        <f>IPMT('Assumptions (O&amp;G Upstream)'!$B$339,Model!AA$1,'Assumptions (O&amp;G Upstream)'!$B$342,Model!$AX$3339)</f>
        <v>-11.612587781507997</v>
      </c>
      <c r="BC3441" s="377">
        <f>IPMT('Assumptions (O&amp;G Upstream)'!$B$339,Model!AB$1,'Assumptions (O&amp;G Upstream)'!$B$342,Model!$AX$3339)</f>
        <v>-10.009529364553375</v>
      </c>
      <c r="BD3441" s="377">
        <f>IPMT('Assumptions (O&amp;G Upstream)'!$B$339,Model!AC$1,'Assumptions (O&amp;G Upstream)'!$B$342,Model!$AX$3339)</f>
        <v>-8.2862415663271527</v>
      </c>
      <c r="BE3441" s="377">
        <f>IPMT('Assumptions (O&amp;G Upstream)'!$B$339,Model!AD$1,'Assumptions (O&amp;G Upstream)'!$B$342,Model!$AX$3339)</f>
        <v>-6.4337071832339632</v>
      </c>
      <c r="BF3441" s="377">
        <f>IPMT('Assumptions (O&amp;G Upstream)'!$B$339,Model!AE$1,'Assumptions (O&amp;G Upstream)'!$B$342,Model!$AX$3339)</f>
        <v>-4.4422327214087867</v>
      </c>
      <c r="BG3441" s="377">
        <f>IPMT('Assumptions (O&amp;G Upstream)'!$B$339,Model!AF$1,'Assumptions (O&amp;G Upstream)'!$B$342,Model!$AX$3339)</f>
        <v>-2.3013976749467204</v>
      </c>
      <c r="BH3441" s="377" t="e">
        <f>IPMT('Assumptions (O&amp;G Upstream)'!$B$339,Model!AG$1,'Assumptions (O&amp;G Upstream)'!$B$342,Model!$AX$3339)</f>
        <v>#NUM!</v>
      </c>
      <c r="BI3441" s="377" t="e">
        <f>IPMT('Assumptions (O&amp;G Upstream)'!$B$339,Model!AH$1,'Assumptions (O&amp;G Upstream)'!$B$342,Model!$AX$3339)</f>
        <v>#NUM!</v>
      </c>
      <c r="BJ3441" s="377" t="e">
        <f>IPMT('Assumptions (O&amp;G Upstream)'!$B$339,Model!AI$1,'Assumptions (O&amp;G Upstream)'!$B$342,Model!$AX$3339)</f>
        <v>#NUM!</v>
      </c>
      <c r="BK3441" s="377" t="e">
        <f>IPMT('Assumptions (O&amp;G Upstream)'!$B$339,Model!AJ$1,'Assumptions (O&amp;G Upstream)'!$B$342,Model!$AX$3339)</f>
        <v>#NUM!</v>
      </c>
      <c r="BL3441" s="377" t="e">
        <f>IPMT('Assumptions (O&amp;G Upstream)'!$B$339,Model!AK$1,'Assumptions (O&amp;G Upstream)'!$B$342,Model!$AX$3339)</f>
        <v>#NUM!</v>
      </c>
      <c r="BM3441" s="377" t="e">
        <f>IPMT('Assumptions (O&amp;G Upstream)'!$B$339,Model!AL$1,'Assumptions (O&amp;G Upstream)'!$B$342,Model!$AX$3339)</f>
        <v>#NUM!</v>
      </c>
      <c r="BN3441" s="377" t="e">
        <f>IPMT('Assumptions (O&amp;G Upstream)'!$B$339,Model!AM$1,'Assumptions (O&amp;G Upstream)'!$B$342,Model!$AX$3339)</f>
        <v>#NUM!</v>
      </c>
      <c r="BO3441" s="377" t="e">
        <f>IPMT('Assumptions (O&amp;G Upstream)'!$B$339,Model!AN$1,'Assumptions (O&amp;G Upstream)'!$B$342,Model!$AX$3339)</f>
        <v>#NUM!</v>
      </c>
      <c r="BP3441" s="377" t="e">
        <f>IPMT('Assumptions (O&amp;G Upstream)'!$B$339,Model!AO$1,'Assumptions (O&amp;G Upstream)'!$B$342,Model!$AX$3339)</f>
        <v>#NUM!</v>
      </c>
      <c r="BQ3441" s="377" t="e">
        <f>IPMT('Assumptions (O&amp;G Upstream)'!$B$339,Model!AP$1,'Assumptions (O&amp;G Upstream)'!$B$342,Model!$AX$3339)</f>
        <v>#NUM!</v>
      </c>
      <c r="BR3441" s="377" t="e">
        <f>IPMT('Assumptions (O&amp;G Upstream)'!$B$339,Model!AQ$1,'Assumptions (O&amp;G Upstream)'!$B$342,Model!$AX$3339)</f>
        <v>#NUM!</v>
      </c>
      <c r="BS3441" s="377" t="e">
        <f>IPMT('Assumptions (O&amp;G Upstream)'!$B$339,Model!AR$1,'Assumptions (O&amp;G Upstream)'!$B$342,Model!$AX$3339)</f>
        <v>#NUM!</v>
      </c>
      <c r="BT3441" s="377" t="e">
        <f>IPMT('Assumptions (O&amp;G Upstream)'!$B$339,Model!AS$1,'Assumptions (O&amp;G Upstream)'!$B$342,Model!$AX$3339)</f>
        <v>#NUM!</v>
      </c>
      <c r="BU3441" s="377" t="e">
        <f>IPMT('Assumptions (O&amp;G Upstream)'!$B$339,Model!AT$1,'Assumptions (O&amp;G Upstream)'!$B$342,Model!$AX$3339)</f>
        <v>#NUM!</v>
      </c>
      <c r="BV3441" s="377" t="e">
        <f>IPMT('Assumptions (O&amp;G Upstream)'!$B$339,Model!AU$1,'Assumptions (O&amp;G Upstream)'!$B$342,Model!$AX$3339)</f>
        <v>#NUM!</v>
      </c>
    </row>
    <row r="3442" spans="1:77" ht="15.75" hidden="1" customHeight="1" outlineLevel="1">
      <c r="A3442" s="472"/>
      <c r="B3442" s="99"/>
      <c r="C3442" s="377"/>
      <c r="D3442" s="377"/>
      <c r="E3442" s="377"/>
      <c r="F3442" s="377"/>
      <c r="G3442" s="377"/>
      <c r="H3442" s="377"/>
      <c r="I3442" s="377"/>
      <c r="J3442" s="377"/>
      <c r="K3442" s="377"/>
      <c r="L3442" s="377"/>
      <c r="M3442" s="377"/>
      <c r="N3442" s="377"/>
      <c r="O3442" s="377"/>
      <c r="P3442" s="377"/>
      <c r="Q3442" s="377"/>
      <c r="R3442" s="377"/>
      <c r="S3442" s="42"/>
      <c r="T3442" s="42"/>
      <c r="U3442" s="42"/>
      <c r="V3442" s="42"/>
      <c r="W3442" s="86"/>
      <c r="AW3442" s="377"/>
      <c r="AX3442" s="377"/>
      <c r="AY3442" s="377">
        <f>IPMT('Assumptions (O&amp;G Upstream)'!$B$339,Model!W$1,'Assumptions (O&amp;G Upstream)'!$B$342,Model!$AY$3339)</f>
        <v>-17.244615619790999</v>
      </c>
      <c r="AZ3442" s="377">
        <f>IPMT('Assumptions (O&amp;G Upstream)'!$B$339,Model!X$1,'Assumptions (O&amp;G Upstream)'!$B$342,Model!$AY$3339)</f>
        <v>-16.025663971599077</v>
      </c>
      <c r="BA3442" s="377">
        <f>IPMT('Assumptions (O&amp;G Upstream)'!$B$339,Model!Y$1,'Assumptions (O&amp;G Upstream)'!$B$342,Model!$AY$3339)</f>
        <v>-14.71529094979276</v>
      </c>
      <c r="BB3442" s="377">
        <f>IPMT('Assumptions (O&amp;G Upstream)'!$B$339,Model!Z$1,'Assumptions (O&amp;G Upstream)'!$B$342,Model!$AY$3339)</f>
        <v>-13.30663995135097</v>
      </c>
      <c r="BC3442" s="377">
        <f>IPMT('Assumptions (O&amp;G Upstream)'!$B$339,Model!AA$1,'Assumptions (O&amp;G Upstream)'!$B$342,Model!$AY$3339)</f>
        <v>-11.792340128026046</v>
      </c>
      <c r="BD3442" s="377">
        <f>IPMT('Assumptions (O&amp;G Upstream)'!$B$339,Model!AB$1,'Assumptions (O&amp;G Upstream)'!$B$342,Model!$AY$3339)</f>
        <v>-10.164467817951754</v>
      </c>
      <c r="BE3442" s="377">
        <f>IPMT('Assumptions (O&amp;G Upstream)'!$B$339,Model!AC$1,'Assumptions (O&amp;G Upstream)'!$B$342,Model!$AY$3339)</f>
        <v>-8.4145050846218901</v>
      </c>
      <c r="BF3442" s="377">
        <f>IPMT('Assumptions (O&amp;G Upstream)'!$B$339,Model!AD$1,'Assumptions (O&amp;G Upstream)'!$B$342,Model!$AY$3339)</f>
        <v>-6.5332951462922839</v>
      </c>
      <c r="BG3442" s="377">
        <f>IPMT('Assumptions (O&amp;G Upstream)'!$B$339,Model!AE$1,'Assumptions (O&amp;G Upstream)'!$B$342,Model!$AY$3339)</f>
        <v>-4.5109944625879601</v>
      </c>
      <c r="BH3442" s="377">
        <f>IPMT('Assumptions (O&amp;G Upstream)'!$B$339,Model!AF$1,'Assumptions (O&amp;G Upstream)'!$B$342,Model!$AY$3339)</f>
        <v>-2.3370212276058107</v>
      </c>
      <c r="BI3442" s="377" t="e">
        <f>IPMT('Assumptions (O&amp;G Upstream)'!$B$339,Model!AG$1,'Assumptions (O&amp;G Upstream)'!$B$342,Model!$AY$3339)</f>
        <v>#NUM!</v>
      </c>
      <c r="BJ3442" s="377" t="e">
        <f>IPMT('Assumptions (O&amp;G Upstream)'!$B$339,Model!AH$1,'Assumptions (O&amp;G Upstream)'!$B$342,Model!$AY$3339)</f>
        <v>#NUM!</v>
      </c>
      <c r="BK3442" s="377" t="e">
        <f>IPMT('Assumptions (O&amp;G Upstream)'!$B$339,Model!AI$1,'Assumptions (O&amp;G Upstream)'!$B$342,Model!$AY$3339)</f>
        <v>#NUM!</v>
      </c>
      <c r="BL3442" s="377" t="e">
        <f>IPMT('Assumptions (O&amp;G Upstream)'!$B$339,Model!AJ$1,'Assumptions (O&amp;G Upstream)'!$B$342,Model!$AY$3339)</f>
        <v>#NUM!</v>
      </c>
      <c r="BM3442" s="377" t="e">
        <f>IPMT('Assumptions (O&amp;G Upstream)'!$B$339,Model!AK$1,'Assumptions (O&amp;G Upstream)'!$B$342,Model!$AY$3339)</f>
        <v>#NUM!</v>
      </c>
      <c r="BN3442" s="377" t="e">
        <f>IPMT('Assumptions (O&amp;G Upstream)'!$B$339,Model!AL$1,'Assumptions (O&amp;G Upstream)'!$B$342,Model!$AY$3339)</f>
        <v>#NUM!</v>
      </c>
      <c r="BO3442" s="377" t="e">
        <f>IPMT('Assumptions (O&amp;G Upstream)'!$B$339,Model!AM$1,'Assumptions (O&amp;G Upstream)'!$B$342,Model!$AY$3339)</f>
        <v>#NUM!</v>
      </c>
      <c r="BP3442" s="377" t="e">
        <f>IPMT('Assumptions (O&amp;G Upstream)'!$B$339,Model!AN$1,'Assumptions (O&amp;G Upstream)'!$B$342,Model!$AY$3339)</f>
        <v>#NUM!</v>
      </c>
      <c r="BQ3442" s="377" t="e">
        <f>IPMT('Assumptions (O&amp;G Upstream)'!$B$339,Model!AO$1,'Assumptions (O&amp;G Upstream)'!$B$342,Model!$AY$3339)</f>
        <v>#NUM!</v>
      </c>
      <c r="BR3442" s="377" t="e">
        <f>IPMT('Assumptions (O&amp;G Upstream)'!$B$339,Model!AP$1,'Assumptions (O&amp;G Upstream)'!$B$342,Model!$AY$3339)</f>
        <v>#NUM!</v>
      </c>
      <c r="BS3442" s="377" t="e">
        <f>IPMT('Assumptions (O&amp;G Upstream)'!$B$339,Model!AQ$1,'Assumptions (O&amp;G Upstream)'!$B$342,Model!$AY$3339)</f>
        <v>#NUM!</v>
      </c>
      <c r="BT3442" s="377" t="e">
        <f>IPMT('Assumptions (O&amp;G Upstream)'!$B$339,Model!AR$1,'Assumptions (O&amp;G Upstream)'!$B$342,Model!$AY$3339)</f>
        <v>#NUM!</v>
      </c>
      <c r="BU3442" s="377" t="e">
        <f>IPMT('Assumptions (O&amp;G Upstream)'!$B$339,Model!AS$1,'Assumptions (O&amp;G Upstream)'!$B$342,Model!$AY$3339)</f>
        <v>#NUM!</v>
      </c>
      <c r="BV3442" s="377" t="e">
        <f>IPMT('Assumptions (O&amp;G Upstream)'!$B$339,Model!AT$1,'Assumptions (O&amp;G Upstream)'!$B$342,Model!$AY$3339)</f>
        <v>#NUM!</v>
      </c>
      <c r="BW3442" s="377" t="e">
        <f>IPMT('Assumptions (O&amp;G Upstream)'!$B$339,Model!AU$1,'Assumptions (O&amp;G Upstream)'!$B$342,Model!$AY$3339)</f>
        <v>#NUM!</v>
      </c>
    </row>
    <row r="3443" spans="1:77" ht="15.75" hidden="1" customHeight="1" outlineLevel="1">
      <c r="A3443" s="472"/>
      <c r="B3443" s="99"/>
      <c r="C3443" s="377"/>
      <c r="D3443" s="377"/>
      <c r="E3443" s="377"/>
      <c r="F3443" s="377"/>
      <c r="G3443" s="377"/>
      <c r="H3443" s="377"/>
      <c r="I3443" s="377"/>
      <c r="J3443" s="377"/>
      <c r="K3443" s="377"/>
      <c r="L3443" s="377"/>
      <c r="M3443" s="377"/>
      <c r="N3443" s="377"/>
      <c r="O3443" s="377"/>
      <c r="P3443" s="377"/>
      <c r="Q3443" s="377"/>
      <c r="R3443" s="377"/>
      <c r="S3443" s="42"/>
      <c r="T3443" s="42"/>
      <c r="U3443" s="42"/>
      <c r="V3443" s="42"/>
      <c r="W3443" s="86"/>
      <c r="AW3443" s="377"/>
      <c r="AX3443" s="377"/>
      <c r="AY3443" s="377"/>
      <c r="AZ3443" s="377">
        <f>IPMT('Assumptions (O&amp;G Upstream)'!$B$339,Model!W$1,'Assumptions (O&amp;G Upstream)'!$B$342,Model!$AZ$3339)</f>
        <v>-17.441740403774997</v>
      </c>
      <c r="BA3443" s="377">
        <f>IPMT('Assumptions (O&amp;G Upstream)'!$B$339,Model!X$1,'Assumptions (O&amp;G Upstream)'!$B$342,Model!$AZ$3339)</f>
        <v>-16.208854807408493</v>
      </c>
      <c r="BB3443" s="377">
        <f>IPMT('Assumptions (O&amp;G Upstream)'!$B$339,Model!Y$1,'Assumptions (O&amp;G Upstream)'!$B$342,Model!$AZ$3339)</f>
        <v>-14.8835027913145</v>
      </c>
      <c r="BC3443" s="377">
        <f>IPMT('Assumptions (O&amp;G Upstream)'!$B$339,Model!Z$1,'Assumptions (O&amp;G Upstream)'!$B$342,Model!$AZ$3339)</f>
        <v>-13.458749374013458</v>
      </c>
      <c r="BD3443" s="377">
        <f>IPMT('Assumptions (O&amp;G Upstream)'!$B$339,Model!AA$1,'Assumptions (O&amp;G Upstream)'!$B$342,Model!$AZ$3339)</f>
        <v>-11.927139450414838</v>
      </c>
      <c r="BE3443" s="377">
        <f>IPMT('Assumptions (O&amp;G Upstream)'!$B$339,Model!AB$1,'Assumptions (O&amp;G Upstream)'!$B$342,Model!$AZ$3339)</f>
        <v>-10.28065878254632</v>
      </c>
      <c r="BF3443" s="377">
        <f>IPMT('Assumptions (O&amp;G Upstream)'!$B$339,Model!AC$1,'Assumptions (O&amp;G Upstream)'!$B$342,Model!$AZ$3339)</f>
        <v>-8.5106920645876674</v>
      </c>
      <c r="BG3443" s="377">
        <f>IPMT('Assumptions (O&amp;G Upstream)'!$B$339,Model!AD$1,'Assumptions (O&amp;G Upstream)'!$B$342,Model!$AZ$3339)</f>
        <v>-6.6079778427821116</v>
      </c>
      <c r="BH3443" s="377">
        <f>IPMT('Assumptions (O&amp;G Upstream)'!$B$339,Model!AE$1,'Assumptions (O&amp;G Upstream)'!$B$342,Model!$AZ$3339)</f>
        <v>-4.5625600543411409</v>
      </c>
      <c r="BI3443" s="377">
        <f>IPMT('Assumptions (O&amp;G Upstream)'!$B$339,Model!AF$1,'Assumptions (O&amp;G Upstream)'!$B$342,Model!$AZ$3339)</f>
        <v>-2.3637359317670974</v>
      </c>
      <c r="BJ3443" s="377" t="e">
        <f>IPMT('Assumptions (O&amp;G Upstream)'!$B$339,Model!AG$1,'Assumptions (O&amp;G Upstream)'!$B$342,Model!$AZ$3339)</f>
        <v>#NUM!</v>
      </c>
      <c r="BK3443" s="377" t="e">
        <f>IPMT('Assumptions (O&amp;G Upstream)'!$B$339,Model!AH$1,'Assumptions (O&amp;G Upstream)'!$B$342,Model!$AZ$3339)</f>
        <v>#NUM!</v>
      </c>
      <c r="BL3443" s="377" t="e">
        <f>IPMT('Assumptions (O&amp;G Upstream)'!$B$339,Model!AI$1,'Assumptions (O&amp;G Upstream)'!$B$342,Model!$AZ$3339)</f>
        <v>#NUM!</v>
      </c>
      <c r="BM3443" s="377" t="e">
        <f>IPMT('Assumptions (O&amp;G Upstream)'!$B$339,Model!AJ$1,'Assumptions (O&amp;G Upstream)'!$B$342,Model!$AZ$3339)</f>
        <v>#NUM!</v>
      </c>
      <c r="BN3443" s="377" t="e">
        <f>IPMT('Assumptions (O&amp;G Upstream)'!$B$339,Model!AK$1,'Assumptions (O&amp;G Upstream)'!$B$342,Model!$AZ$3339)</f>
        <v>#NUM!</v>
      </c>
      <c r="BO3443" s="377" t="e">
        <f>IPMT('Assumptions (O&amp;G Upstream)'!$B$339,Model!AL$1,'Assumptions (O&amp;G Upstream)'!$B$342,Model!$AZ$3339)</f>
        <v>#NUM!</v>
      </c>
      <c r="BP3443" s="377" t="e">
        <f>IPMT('Assumptions (O&amp;G Upstream)'!$B$339,Model!AM$1,'Assumptions (O&amp;G Upstream)'!$B$342,Model!$AZ$3339)</f>
        <v>#NUM!</v>
      </c>
      <c r="BQ3443" s="377" t="e">
        <f>IPMT('Assumptions (O&amp;G Upstream)'!$B$339,Model!AN$1,'Assumptions (O&amp;G Upstream)'!$B$342,Model!$AZ$3339)</f>
        <v>#NUM!</v>
      </c>
      <c r="BR3443" s="377" t="e">
        <f>IPMT('Assumptions (O&amp;G Upstream)'!$B$339,Model!AO$1,'Assumptions (O&amp;G Upstream)'!$B$342,Model!$AZ$3339)</f>
        <v>#NUM!</v>
      </c>
      <c r="BS3443" s="377" t="e">
        <f>IPMT('Assumptions (O&amp;G Upstream)'!$B$339,Model!AP$1,'Assumptions (O&amp;G Upstream)'!$B$342,Model!$AZ$3339)</f>
        <v>#NUM!</v>
      </c>
      <c r="BT3443" s="377" t="e">
        <f>IPMT('Assumptions (O&amp;G Upstream)'!$B$339,Model!AQ$1,'Assumptions (O&amp;G Upstream)'!$B$342,Model!$AZ$3339)</f>
        <v>#NUM!</v>
      </c>
      <c r="BU3443" s="377" t="e">
        <f>IPMT('Assumptions (O&amp;G Upstream)'!$B$339,Model!AR$1,'Assumptions (O&amp;G Upstream)'!$B$342,Model!$AZ$3339)</f>
        <v>#NUM!</v>
      </c>
      <c r="BV3443" s="377" t="e">
        <f>IPMT('Assumptions (O&amp;G Upstream)'!$B$339,Model!AS$1,'Assumptions (O&amp;G Upstream)'!$B$342,Model!$AZ$3339)</f>
        <v>#NUM!</v>
      </c>
      <c r="BW3443" s="377" t="e">
        <f>IPMT('Assumptions (O&amp;G Upstream)'!$B$339,Model!AT$1,'Assumptions (O&amp;G Upstream)'!$B$342,Model!$AZ$3339)</f>
        <v>#NUM!</v>
      </c>
      <c r="BX3443" s="377" t="e">
        <f>IPMT('Assumptions (O&amp;G Upstream)'!$B$339,Model!AU$1,'Assumptions (O&amp;G Upstream)'!$B$342,Model!$AZ$3339)</f>
        <v>#NUM!</v>
      </c>
    </row>
    <row r="3444" spans="1:77" ht="15.75" hidden="1" customHeight="1" outlineLevel="1">
      <c r="A3444" s="472"/>
      <c r="B3444" s="99"/>
      <c r="C3444" s="377"/>
      <c r="D3444" s="377"/>
      <c r="E3444" s="377"/>
      <c r="F3444" s="377"/>
      <c r="G3444" s="377"/>
      <c r="H3444" s="377"/>
      <c r="I3444" s="377"/>
      <c r="J3444" s="377"/>
      <c r="K3444" s="377"/>
      <c r="L3444" s="377"/>
      <c r="M3444" s="377"/>
      <c r="N3444" s="377"/>
      <c r="O3444" s="377"/>
      <c r="P3444" s="377"/>
      <c r="Q3444" s="377"/>
      <c r="R3444" s="377"/>
      <c r="S3444" s="42"/>
      <c r="T3444" s="42"/>
      <c r="U3444" s="42"/>
      <c r="V3444" s="42"/>
      <c r="W3444" s="86"/>
      <c r="BA3444" s="377">
        <f>IPMT('Assumptions (O&amp;G Upstream)'!$B$339,Model!W$1,'Assumptions (O&amp;G Upstream)'!$B$342,Model!$BA$3339)</f>
        <v>-17.684846891621998</v>
      </c>
      <c r="BB3444" s="377">
        <f>IPMT('Assumptions (O&amp;G Upstream)'!$B$339,Model!X$1,'Assumptions (O&amp;G Upstream)'!$B$342,Model!$BA$3339)</f>
        <v>-16.434777087698723</v>
      </c>
      <c r="BC3444" s="377">
        <f>IPMT('Assumptions (O&amp;G Upstream)'!$B$339,Model!Y$1,'Assumptions (O&amp;G Upstream)'!$B$342,Model!$BA$3339)</f>
        <v>-15.090952048481197</v>
      </c>
      <c r="BD3444" s="377">
        <f>IPMT('Assumptions (O&amp;G Upstream)'!$B$339,Model!Z$1,'Assumptions (O&amp;G Upstream)'!$B$342,Model!$BA$3339)</f>
        <v>-13.64634013132236</v>
      </c>
      <c r="BE3444" s="377">
        <f>IPMT('Assumptions (O&amp;G Upstream)'!$B$339,Model!AA$1,'Assumptions (O&amp;G Upstream)'!$B$342,Model!$BA$3339)</f>
        <v>-12.093382320376611</v>
      </c>
      <c r="BF3444" s="377">
        <f>IPMT('Assumptions (O&amp;G Upstream)'!$B$339,Model!AB$1,'Assumptions (O&amp;G Upstream)'!$B$342,Model!$BA$3339)</f>
        <v>-10.42395267360993</v>
      </c>
      <c r="BG3444" s="377">
        <f>IPMT('Assumptions (O&amp;G Upstream)'!$B$339,Model!AC$1,'Assumptions (O&amp;G Upstream)'!$B$342,Model!$BA$3339)</f>
        <v>-8.6293158033357482</v>
      </c>
      <c r="BH3444" s="377">
        <f>IPMT('Assumptions (O&amp;G Upstream)'!$B$339,Model!AD$1,'Assumptions (O&amp;G Upstream)'!$B$342,Model!$BA$3339)</f>
        <v>-6.7000811677909997</v>
      </c>
      <c r="BI3444" s="377">
        <f>IPMT('Assumptions (O&amp;G Upstream)'!$B$339,Model!AE$1,'Assumptions (O&amp;G Upstream)'!$B$342,Model!$BA$3339)</f>
        <v>-4.6261539345803993</v>
      </c>
      <c r="BJ3444" s="377">
        <f>IPMT('Assumptions (O&amp;G Upstream)'!$B$339,Model!AF$1,'Assumptions (O&amp;G Upstream)'!$B$342,Model!$BA$3339)</f>
        <v>-2.3966821588790022</v>
      </c>
      <c r="BK3444" s="377" t="e">
        <f>IPMT('Assumptions (O&amp;G Upstream)'!$B$339,Model!AG$1,'Assumptions (O&amp;G Upstream)'!$B$342,Model!$BA$3339)</f>
        <v>#NUM!</v>
      </c>
      <c r="BL3444" s="377" t="e">
        <f>IPMT('Assumptions (O&amp;G Upstream)'!$B$339,Model!AH$1,'Assumptions (O&amp;G Upstream)'!$B$342,Model!$BA$3339)</f>
        <v>#NUM!</v>
      </c>
      <c r="BM3444" s="377" t="e">
        <f>IPMT('Assumptions (O&amp;G Upstream)'!$B$339,Model!AI$1,'Assumptions (O&amp;G Upstream)'!$B$342,Model!$BA$3339)</f>
        <v>#NUM!</v>
      </c>
      <c r="BN3444" s="377" t="e">
        <f>IPMT('Assumptions (O&amp;G Upstream)'!$B$339,Model!AJ$1,'Assumptions (O&amp;G Upstream)'!$B$342,Model!$BA$3339)</f>
        <v>#NUM!</v>
      </c>
      <c r="BO3444" s="377" t="e">
        <f>IPMT('Assumptions (O&amp;G Upstream)'!$B$339,Model!AK$1,'Assumptions (O&amp;G Upstream)'!$B$342,Model!$BA$3339)</f>
        <v>#NUM!</v>
      </c>
      <c r="BP3444" s="377" t="e">
        <f>IPMT('Assumptions (O&amp;G Upstream)'!$B$339,Model!AL$1,'Assumptions (O&amp;G Upstream)'!$B$342,Model!$BA$3339)</f>
        <v>#NUM!</v>
      </c>
      <c r="BQ3444" s="377" t="e">
        <f>IPMT('Assumptions (O&amp;G Upstream)'!$B$339,Model!AM$1,'Assumptions (O&amp;G Upstream)'!$B$342,Model!$BA$3339)</f>
        <v>#NUM!</v>
      </c>
      <c r="BR3444" s="377" t="e">
        <f>IPMT('Assumptions (O&amp;G Upstream)'!$B$339,Model!AN$1,'Assumptions (O&amp;G Upstream)'!$B$342,Model!$BA$3339)</f>
        <v>#NUM!</v>
      </c>
      <c r="BS3444" s="377" t="e">
        <f>IPMT('Assumptions (O&amp;G Upstream)'!$B$339,Model!AO$1,'Assumptions (O&amp;G Upstream)'!$B$342,Model!$BA$3339)</f>
        <v>#NUM!</v>
      </c>
      <c r="BT3444" s="377" t="e">
        <f>IPMT('Assumptions (O&amp;G Upstream)'!$B$339,Model!AP$1,'Assumptions (O&amp;G Upstream)'!$B$342,Model!$BA$3339)</f>
        <v>#NUM!</v>
      </c>
      <c r="BU3444" s="377" t="e">
        <f>IPMT('Assumptions (O&amp;G Upstream)'!$B$339,Model!AQ$1,'Assumptions (O&amp;G Upstream)'!$B$342,Model!$BA$3339)</f>
        <v>#NUM!</v>
      </c>
      <c r="BV3444" s="377" t="e">
        <f>IPMT('Assumptions (O&amp;G Upstream)'!$B$339,Model!AR$1,'Assumptions (O&amp;G Upstream)'!$B$342,Model!$BA$3339)</f>
        <v>#NUM!</v>
      </c>
      <c r="BW3444" s="377" t="e">
        <f>IPMT('Assumptions (O&amp;G Upstream)'!$B$339,Model!AS$1,'Assumptions (O&amp;G Upstream)'!$B$342,Model!$BA$3339)</f>
        <v>#NUM!</v>
      </c>
      <c r="BX3444" s="377" t="e">
        <f>IPMT('Assumptions (O&amp;G Upstream)'!$B$339,Model!AT$1,'Assumptions (O&amp;G Upstream)'!$B$342,Model!$BA$3339)</f>
        <v>#NUM!</v>
      </c>
      <c r="BY3444" s="377" t="e">
        <f>IPMT('Assumptions (O&amp;G Upstream)'!$B$339,Model!AU$1,'Assumptions (O&amp;G Upstream)'!$B$342,Model!$BA$3339)</f>
        <v>#NUM!</v>
      </c>
    </row>
    <row r="3445" spans="1:77" ht="15.75" customHeight="1" collapsed="1">
      <c r="A3445" s="472" t="s">
        <v>891</v>
      </c>
      <c r="B3445" s="99" t="s">
        <v>201</v>
      </c>
      <c r="C3445" s="147">
        <f t="shared" ref="C3445:BU3445" si="69">SUM(C3446:C3496)</f>
        <v>4.4441899999999999</v>
      </c>
      <c r="D3445" s="147">
        <f t="shared" si="69"/>
        <v>13.575320000000001</v>
      </c>
      <c r="E3445" s="147">
        <f t="shared" si="69"/>
        <v>20.481740000000002</v>
      </c>
      <c r="F3445" s="147">
        <f t="shared" si="69"/>
        <v>25.842970000000001</v>
      </c>
      <c r="G3445" s="147">
        <f t="shared" si="69"/>
        <v>32.232140000000001</v>
      </c>
      <c r="H3445" s="147">
        <f t="shared" si="69"/>
        <v>41.444839999999999</v>
      </c>
      <c r="I3445" s="147">
        <f t="shared" si="69"/>
        <v>55.818420000000003</v>
      </c>
      <c r="J3445" s="147">
        <f t="shared" si="69"/>
        <v>70.758809999999997</v>
      </c>
      <c r="K3445" s="147">
        <f t="shared" si="69"/>
        <v>84.096720000000005</v>
      </c>
      <c r="L3445" s="147">
        <f t="shared" si="69"/>
        <v>90.907300000000006</v>
      </c>
      <c r="M3445" s="147">
        <f t="shared" si="69"/>
        <v>93.333840000000009</v>
      </c>
      <c r="N3445" s="147">
        <f t="shared" si="69"/>
        <v>101.93094000000001</v>
      </c>
      <c r="O3445" s="147">
        <f t="shared" si="69"/>
        <v>116.91175</v>
      </c>
      <c r="P3445" s="147">
        <f t="shared" si="69"/>
        <v>132.89667</v>
      </c>
      <c r="Q3445" s="147">
        <f t="shared" si="69"/>
        <v>148.63108</v>
      </c>
      <c r="R3445" s="147">
        <f t="shared" si="69"/>
        <v>155.67084</v>
      </c>
      <c r="S3445" s="147">
        <f t="shared" si="69"/>
        <v>144.2637</v>
      </c>
      <c r="T3445" s="147">
        <f t="shared" si="69"/>
        <v>133.21987000000001</v>
      </c>
      <c r="U3445" s="147">
        <f t="shared" si="69"/>
        <v>138.00379505927589</v>
      </c>
      <c r="V3445" s="147">
        <f t="shared" si="69"/>
        <v>152.03010657277468</v>
      </c>
      <c r="W3445" s="147">
        <f t="shared" si="69"/>
        <v>165.76439329888876</v>
      </c>
      <c r="X3445" s="147">
        <f t="shared" si="69"/>
        <v>175.47930380328552</v>
      </c>
      <c r="Y3445" s="147">
        <f t="shared" si="69"/>
        <v>183.37775780611548</v>
      </c>
      <c r="Z3445" s="147">
        <f t="shared" si="69"/>
        <v>195.4251214101333</v>
      </c>
      <c r="AA3445" s="147">
        <f t="shared" si="69"/>
        <v>209.75419958998171</v>
      </c>
      <c r="AB3445" s="147">
        <f t="shared" si="69"/>
        <v>221.49284714576061</v>
      </c>
      <c r="AC3445" s="147">
        <f t="shared" si="69"/>
        <v>230.87163151255965</v>
      </c>
      <c r="AD3445" s="147">
        <f t="shared" si="69"/>
        <v>239.69161240226413</v>
      </c>
      <c r="AE3445" s="147">
        <f t="shared" si="69"/>
        <v>247.81424714811135</v>
      </c>
      <c r="AF3445" s="147">
        <f t="shared" si="69"/>
        <v>255.63889797009367</v>
      </c>
      <c r="AG3445" s="147">
        <f t="shared" si="69"/>
        <v>263.60409836119521</v>
      </c>
      <c r="AH3445" s="147">
        <f t="shared" si="69"/>
        <v>271.39945947088785</v>
      </c>
      <c r="AI3445" s="147">
        <f t="shared" si="69"/>
        <v>278.73424054511241</v>
      </c>
      <c r="AJ3445" s="147">
        <f t="shared" si="69"/>
        <v>285.73889435787106</v>
      </c>
      <c r="AK3445" s="147">
        <f t="shared" si="69"/>
        <v>292.33789154211939</v>
      </c>
      <c r="AL3445" s="147">
        <f t="shared" si="69"/>
        <v>298.40504666956406</v>
      </c>
      <c r="AM3445" s="147">
        <f t="shared" si="69"/>
        <v>304.40233115202437</v>
      </c>
      <c r="AN3445" s="147">
        <f t="shared" si="69"/>
        <v>309.71835615793185</v>
      </c>
      <c r="AO3445" s="147">
        <f t="shared" si="69"/>
        <v>314.48835743258286</v>
      </c>
      <c r="AP3445" s="147">
        <f t="shared" si="69"/>
        <v>319.36778321011218</v>
      </c>
      <c r="AQ3445" s="147">
        <f t="shared" si="69"/>
        <v>324.465743594819</v>
      </c>
      <c r="AR3445" s="147">
        <f t="shared" si="69"/>
        <v>329.86628219043132</v>
      </c>
      <c r="AS3445" s="147">
        <f t="shared" si="69"/>
        <v>335.5546430503685</v>
      </c>
      <c r="AT3445" s="147">
        <f t="shared" si="69"/>
        <v>341.21660318219079</v>
      </c>
      <c r="AU3445" s="147">
        <f t="shared" si="69"/>
        <v>346.77059156685561</v>
      </c>
      <c r="AV3445" s="147">
        <f t="shared" si="69"/>
        <v>352.36959320367879</v>
      </c>
      <c r="AW3445" s="147">
        <f t="shared" si="69"/>
        <v>357.84162529275818</v>
      </c>
      <c r="AX3445" s="147">
        <f t="shared" si="69"/>
        <v>363.32448067862589</v>
      </c>
      <c r="AY3445" s="147">
        <f t="shared" si="69"/>
        <v>368.85214394358911</v>
      </c>
      <c r="AZ3445" s="147">
        <f t="shared" si="69"/>
        <v>374.19511882377168</v>
      </c>
      <c r="BA3445" s="147">
        <f t="shared" si="69"/>
        <v>379.35345641374448</v>
      </c>
      <c r="BB3445" s="147">
        <f t="shared" si="69"/>
        <v>327.64799106574389</v>
      </c>
      <c r="BC3445" s="147">
        <f t="shared" si="69"/>
        <v>234.58551324890882</v>
      </c>
      <c r="BD3445" s="147">
        <f t="shared" si="69"/>
        <v>168.16195751596652</v>
      </c>
      <c r="BE3445" s="147">
        <f t="shared" si="69"/>
        <v>120.71978778044462</v>
      </c>
      <c r="BF3445" s="147">
        <f t="shared" si="69"/>
        <v>86.758791498499306</v>
      </c>
      <c r="BG3445" s="147">
        <f t="shared" si="69"/>
        <v>52.381298876226879</v>
      </c>
      <c r="BH3445" s="147">
        <f t="shared" si="69"/>
        <v>17.527648252585362</v>
      </c>
      <c r="BI3445" s="147">
        <f t="shared" si="69"/>
        <v>0</v>
      </c>
      <c r="BJ3445" s="147">
        <f t="shared" si="69"/>
        <v>0</v>
      </c>
      <c r="BK3445" s="147">
        <f t="shared" si="69"/>
        <v>0</v>
      </c>
      <c r="BL3445" s="147">
        <f t="shared" si="69"/>
        <v>0</v>
      </c>
      <c r="BM3445" s="147">
        <f t="shared" si="69"/>
        <v>0</v>
      </c>
      <c r="BN3445" s="147">
        <f t="shared" si="69"/>
        <v>0</v>
      </c>
      <c r="BO3445" s="147">
        <f t="shared" si="69"/>
        <v>0</v>
      </c>
      <c r="BP3445" s="147">
        <f t="shared" si="69"/>
        <v>0</v>
      </c>
      <c r="BQ3445" s="147">
        <f t="shared" si="69"/>
        <v>0</v>
      </c>
      <c r="BR3445" s="147">
        <f t="shared" si="69"/>
        <v>0</v>
      </c>
      <c r="BS3445" s="147">
        <f t="shared" si="69"/>
        <v>0</v>
      </c>
      <c r="BT3445" s="147">
        <f t="shared" si="69"/>
        <v>0</v>
      </c>
      <c r="BU3445" s="147">
        <f t="shared" si="69"/>
        <v>0</v>
      </c>
    </row>
    <row r="3446" spans="1:77" ht="15.75" hidden="1" customHeight="1" outlineLevel="1">
      <c r="A3446" s="472"/>
      <c r="B3446" s="99"/>
      <c r="C3446" s="147">
        <f>$C3338*'Assumptions (O&amp;G Upstream)'!B$344</f>
        <v>4.4441899999999999</v>
      </c>
      <c r="D3446" s="147">
        <f>$C3338*'Assumptions (O&amp;G Upstream)'!C$344</f>
        <v>7.6163900000000009</v>
      </c>
      <c r="E3446" s="147">
        <f>$C3338*'Assumptions (O&amp;G Upstream)'!D$344</f>
        <v>5.4393900000000004</v>
      </c>
      <c r="F3446" s="147">
        <f>$C3338*'Assumptions (O&amp;G Upstream)'!E$344</f>
        <v>3.8843900000000002</v>
      </c>
      <c r="G3446" s="147">
        <f>$C3338*'Assumptions (O&amp;G Upstream)'!F$344</f>
        <v>2.7772300000000003</v>
      </c>
      <c r="H3446" s="147">
        <f>$C3338*'Assumptions (O&amp;G Upstream)'!G$344</f>
        <v>2.7741200000000004</v>
      </c>
      <c r="I3446" s="147">
        <f>$C3338*'Assumptions (O&amp;G Upstream)'!H$344</f>
        <v>2.7772300000000003</v>
      </c>
      <c r="J3446" s="147">
        <f>$C3338*'Assumptions (O&amp;G Upstream)'!I$344</f>
        <v>1.3870600000000002</v>
      </c>
      <c r="K3446" s="147">
        <f>$C3338*'Assumptions (O&amp;G Upstream)'!J$344</f>
        <v>0</v>
      </c>
      <c r="L3446" s="147">
        <f>$C3338*'Assumptions (O&amp;G Upstream)'!K$344</f>
        <v>0</v>
      </c>
      <c r="M3446" s="147">
        <f>$C3338*'Assumptions (O&amp;G Upstream)'!L$344</f>
        <v>0</v>
      </c>
      <c r="N3446" s="147">
        <f>$C3338*'Assumptions (O&amp;G Upstream)'!M$344</f>
        <v>0</v>
      </c>
      <c r="O3446" s="147">
        <f>$C3338*'Assumptions (O&amp;G Upstream)'!N$344</f>
        <v>0</v>
      </c>
      <c r="P3446" s="147">
        <f>$C3338*'Assumptions (O&amp;G Upstream)'!O$344</f>
        <v>0</v>
      </c>
      <c r="Q3446" s="147">
        <f>$C3338*'Assumptions (O&amp;G Upstream)'!P$344</f>
        <v>0</v>
      </c>
      <c r="R3446" s="147">
        <f>$C3338*'Assumptions (O&amp;G Upstream)'!Q$344</f>
        <v>0</v>
      </c>
      <c r="S3446" s="147">
        <f>$C3338*'Assumptions (O&amp;G Upstream)'!R$344</f>
        <v>0</v>
      </c>
      <c r="T3446" s="147">
        <f>$C3338*'Assumptions (O&amp;G Upstream)'!S$344</f>
        <v>0</v>
      </c>
      <c r="U3446" s="147">
        <f>$C3338*'Assumptions (O&amp;G Upstream)'!T$344</f>
        <v>0</v>
      </c>
      <c r="V3446" s="147">
        <f>$C3338*'Assumptions (O&amp;G Upstream)'!U$344</f>
        <v>0</v>
      </c>
      <c r="W3446" s="147">
        <f>$C3338*'Assumptions (O&amp;G Upstream)'!V$344</f>
        <v>0</v>
      </c>
      <c r="X3446" s="147"/>
    </row>
    <row r="3447" spans="1:77" ht="15.75" hidden="1" customHeight="1" outlineLevel="1">
      <c r="A3447" s="472"/>
      <c r="B3447" s="99"/>
      <c r="C3447" s="147"/>
      <c r="D3447" s="147">
        <f>$D3338*'Assumptions (O&amp;G Upstream)'!B$344</f>
        <v>5.9589300000000005</v>
      </c>
      <c r="E3447" s="147">
        <f>$D3338*'Assumptions (O&amp;G Upstream)'!C$344</f>
        <v>10.212330000000001</v>
      </c>
      <c r="F3447" s="147">
        <f>$D3338*'Assumptions (O&amp;G Upstream)'!D$344</f>
        <v>7.2933300000000001</v>
      </c>
      <c r="G3447" s="147">
        <f>$D3338*'Assumptions (O&amp;G Upstream)'!E$344</f>
        <v>5.2083300000000001</v>
      </c>
      <c r="H3447" s="147">
        <f>$D3338*'Assumptions (O&amp;G Upstream)'!F$344</f>
        <v>3.7238100000000003</v>
      </c>
      <c r="I3447" s="147">
        <f>$D3338*'Assumptions (O&amp;G Upstream)'!G$344</f>
        <v>3.7196400000000005</v>
      </c>
      <c r="J3447" s="147">
        <f>$D3338*'Assumptions (O&amp;G Upstream)'!H$344</f>
        <v>3.7238100000000003</v>
      </c>
      <c r="K3447" s="147">
        <f>$D3338*'Assumptions (O&amp;G Upstream)'!I$344</f>
        <v>1.8598200000000003</v>
      </c>
      <c r="L3447" s="147">
        <f>$D3338*'Assumptions (O&amp;G Upstream)'!J$344</f>
        <v>0</v>
      </c>
      <c r="M3447" s="147">
        <f>$D3338*'Assumptions (O&amp;G Upstream)'!K$344</f>
        <v>0</v>
      </c>
      <c r="N3447" s="147">
        <f>$D3338*'Assumptions (O&amp;G Upstream)'!L$344</f>
        <v>0</v>
      </c>
      <c r="O3447" s="147">
        <f>$D3338*'Assumptions (O&amp;G Upstream)'!M$344</f>
        <v>0</v>
      </c>
      <c r="P3447" s="147">
        <f>$D3338*'Assumptions (O&amp;G Upstream)'!N$344</f>
        <v>0</v>
      </c>
      <c r="Q3447" s="147">
        <f>$D3338*'Assumptions (O&amp;G Upstream)'!O$344</f>
        <v>0</v>
      </c>
      <c r="R3447" s="147">
        <f>$D3338*'Assumptions (O&amp;G Upstream)'!P$344</f>
        <v>0</v>
      </c>
      <c r="S3447" s="147">
        <f>$D3338*'Assumptions (O&amp;G Upstream)'!Q$344</f>
        <v>0</v>
      </c>
      <c r="T3447" s="147">
        <f>$D3338*'Assumptions (O&amp;G Upstream)'!R$344</f>
        <v>0</v>
      </c>
      <c r="U3447" s="147">
        <f>$D3338*'Assumptions (O&amp;G Upstream)'!S$344</f>
        <v>0</v>
      </c>
      <c r="V3447" s="147">
        <f>$D3338*'Assumptions (O&amp;G Upstream)'!T$344</f>
        <v>0</v>
      </c>
      <c r="W3447" s="147">
        <f>$D3338*'Assumptions (O&amp;G Upstream)'!U$344</f>
        <v>0</v>
      </c>
      <c r="X3447" s="147">
        <f>$D3338*'Assumptions (O&amp;G Upstream)'!V$344</f>
        <v>0</v>
      </c>
    </row>
    <row r="3448" spans="1:77" ht="15.75" hidden="1" customHeight="1" outlineLevel="1">
      <c r="A3448" s="472"/>
      <c r="B3448" s="99"/>
      <c r="C3448" s="147"/>
      <c r="D3448" s="42"/>
      <c r="E3448" s="147">
        <f>$E3338*'Assumptions (O&amp;G Upstream)'!B$344</f>
        <v>4.8300199999999993</v>
      </c>
      <c r="F3448" s="147">
        <f>$E3338*'Assumptions (O&amp;G Upstream)'!C$344</f>
        <v>8.2776199999999989</v>
      </c>
      <c r="G3448" s="147">
        <f>$E3338*'Assumptions (O&amp;G Upstream)'!D$344</f>
        <v>5.9116199999999992</v>
      </c>
      <c r="H3448" s="147">
        <f>$E3338*'Assumptions (O&amp;G Upstream)'!E$344</f>
        <v>4.2216199999999997</v>
      </c>
      <c r="I3448" s="147">
        <f>$E3338*'Assumptions (O&amp;G Upstream)'!F$344</f>
        <v>3.0183399999999998</v>
      </c>
      <c r="J3448" s="147">
        <f>$E3338*'Assumptions (O&amp;G Upstream)'!G$344</f>
        <v>3.0149599999999999</v>
      </c>
      <c r="K3448" s="147">
        <f>$E3338*'Assumptions (O&amp;G Upstream)'!H$344</f>
        <v>3.0183399999999998</v>
      </c>
      <c r="L3448" s="147">
        <f>$E3338*'Assumptions (O&amp;G Upstream)'!I$344</f>
        <v>1.5074799999999999</v>
      </c>
      <c r="M3448" s="147">
        <f>$E3338*'Assumptions (O&amp;G Upstream)'!J$344</f>
        <v>0</v>
      </c>
      <c r="N3448" s="147">
        <f>$E3338*'Assumptions (O&amp;G Upstream)'!K$344</f>
        <v>0</v>
      </c>
      <c r="O3448" s="147">
        <f>$E3338*'Assumptions (O&amp;G Upstream)'!L$344</f>
        <v>0</v>
      </c>
      <c r="P3448" s="147">
        <f>$E3338*'Assumptions (O&amp;G Upstream)'!M$344</f>
        <v>0</v>
      </c>
      <c r="Q3448" s="147">
        <f>$E3338*'Assumptions (O&amp;G Upstream)'!N$344</f>
        <v>0</v>
      </c>
      <c r="R3448" s="147">
        <f>$E3338*'Assumptions (O&amp;G Upstream)'!O$344</f>
        <v>0</v>
      </c>
      <c r="S3448" s="147">
        <f>$E3338*'Assumptions (O&amp;G Upstream)'!P$344</f>
        <v>0</v>
      </c>
      <c r="T3448" s="147">
        <f>$E3338*'Assumptions (O&amp;G Upstream)'!Q$344</f>
        <v>0</v>
      </c>
      <c r="U3448" s="147">
        <f>$E3338*'Assumptions (O&amp;G Upstream)'!R$344</f>
        <v>0</v>
      </c>
      <c r="V3448" s="147">
        <f>$E3338*'Assumptions (O&amp;G Upstream)'!S$344</f>
        <v>0</v>
      </c>
      <c r="W3448" s="147">
        <f>$E3338*'Assumptions (O&amp;G Upstream)'!T$344</f>
        <v>0</v>
      </c>
      <c r="X3448" s="147">
        <f>$E3338*'Assumptions (O&amp;G Upstream)'!U$344</f>
        <v>0</v>
      </c>
      <c r="Y3448" s="147">
        <f>$E3338*'Assumptions (O&amp;G Upstream)'!V$344</f>
        <v>0</v>
      </c>
    </row>
    <row r="3449" spans="1:77" ht="15.75" hidden="1" customHeight="1" outlineLevel="1">
      <c r="A3449" s="472"/>
      <c r="B3449" s="99"/>
      <c r="C3449" s="147"/>
      <c r="D3449" s="42"/>
      <c r="E3449" s="42"/>
      <c r="F3449" s="147">
        <f>$F3338*'Assumptions (O&amp;G Upstream)'!B$344</f>
        <v>6.3876300000000006</v>
      </c>
      <c r="G3449" s="147">
        <f>$F3338*'Assumptions (O&amp;G Upstream)'!C$344</f>
        <v>10.947030000000002</v>
      </c>
      <c r="H3449" s="147">
        <f>$F3338*'Assumptions (O&amp;G Upstream)'!D$344</f>
        <v>7.8180300000000003</v>
      </c>
      <c r="I3449" s="147">
        <f>$F3338*'Assumptions (O&amp;G Upstream)'!E$344</f>
        <v>5.5830299999999999</v>
      </c>
      <c r="J3449" s="147">
        <f>$F3338*'Assumptions (O&amp;G Upstream)'!F$344</f>
        <v>3.9917100000000003</v>
      </c>
      <c r="K3449" s="147">
        <f>$F3338*'Assumptions (O&amp;G Upstream)'!G$344</f>
        <v>3.9872400000000003</v>
      </c>
      <c r="L3449" s="147">
        <f>$F3338*'Assumptions (O&amp;G Upstream)'!H$344</f>
        <v>3.9917100000000003</v>
      </c>
      <c r="M3449" s="147">
        <f>$F3338*'Assumptions (O&amp;G Upstream)'!I$344</f>
        <v>1.9936200000000002</v>
      </c>
      <c r="N3449" s="147">
        <f>$F3338*'Assumptions (O&amp;G Upstream)'!J$344</f>
        <v>0</v>
      </c>
      <c r="O3449" s="147">
        <f>$F3338*'Assumptions (O&amp;G Upstream)'!K$344</f>
        <v>0</v>
      </c>
      <c r="P3449" s="147">
        <f>$F3338*'Assumptions (O&amp;G Upstream)'!L$344</f>
        <v>0</v>
      </c>
      <c r="Q3449" s="147">
        <f>$F3338*'Assumptions (O&amp;G Upstream)'!M$344</f>
        <v>0</v>
      </c>
      <c r="R3449" s="147">
        <f>$F3338*'Assumptions (O&amp;G Upstream)'!N$344</f>
        <v>0</v>
      </c>
      <c r="S3449" s="147">
        <f>$F3338*'Assumptions (O&amp;G Upstream)'!O$344</f>
        <v>0</v>
      </c>
      <c r="T3449" s="147">
        <f>$F3338*'Assumptions (O&amp;G Upstream)'!P$344</f>
        <v>0</v>
      </c>
      <c r="U3449" s="147">
        <f>$F3338*'Assumptions (O&amp;G Upstream)'!Q$344</f>
        <v>0</v>
      </c>
      <c r="V3449" s="147">
        <f>$F3338*'Assumptions (O&amp;G Upstream)'!R$344</f>
        <v>0</v>
      </c>
      <c r="W3449" s="147">
        <f>$F3338*'Assumptions (O&amp;G Upstream)'!S$344</f>
        <v>0</v>
      </c>
      <c r="X3449" s="147">
        <f>$F3338*'Assumptions (O&amp;G Upstream)'!T$344</f>
        <v>0</v>
      </c>
      <c r="Y3449" s="147">
        <f>$F3338*'Assumptions (O&amp;G Upstream)'!U$344</f>
        <v>0</v>
      </c>
      <c r="Z3449" s="147">
        <f>$F3338*'Assumptions (O&amp;G Upstream)'!V$344</f>
        <v>0</v>
      </c>
    </row>
    <row r="3450" spans="1:77" ht="15.75" hidden="1" customHeight="1" outlineLevel="1">
      <c r="A3450" s="472"/>
      <c r="B3450" s="99"/>
      <c r="C3450" s="147"/>
      <c r="D3450" s="42"/>
      <c r="E3450" s="42"/>
      <c r="F3450" s="42"/>
      <c r="G3450" s="147">
        <f>$G3338*'Assumptions (O&amp;G Upstream)'!B$344</f>
        <v>7.3879300000000008</v>
      </c>
      <c r="H3450" s="147">
        <f>$G3338*'Assumptions (O&amp;G Upstream)'!C$344</f>
        <v>12.661330000000001</v>
      </c>
      <c r="I3450" s="147">
        <f>$G3338*'Assumptions (O&amp;G Upstream)'!D$344</f>
        <v>9.0423299999999998</v>
      </c>
      <c r="J3450" s="147">
        <f>$G3338*'Assumptions (O&amp;G Upstream)'!E$344</f>
        <v>6.4573299999999998</v>
      </c>
      <c r="K3450" s="147">
        <f>$G3338*'Assumptions (O&amp;G Upstream)'!F$344</f>
        <v>4.6168100000000001</v>
      </c>
      <c r="L3450" s="147">
        <f>$G3338*'Assumptions (O&amp;G Upstream)'!G$344</f>
        <v>4.6116400000000004</v>
      </c>
      <c r="M3450" s="147">
        <f>$G3338*'Assumptions (O&amp;G Upstream)'!H$344</f>
        <v>4.6168100000000001</v>
      </c>
      <c r="N3450" s="147">
        <f>$G3338*'Assumptions (O&amp;G Upstream)'!I$344</f>
        <v>2.3058200000000002</v>
      </c>
      <c r="O3450" s="147">
        <f>$G3338*'Assumptions (O&amp;G Upstream)'!J$344</f>
        <v>0</v>
      </c>
      <c r="P3450" s="147">
        <f>$G3338*'Assumptions (O&amp;G Upstream)'!K$344</f>
        <v>0</v>
      </c>
      <c r="Q3450" s="147">
        <f>$G3338*'Assumptions (O&amp;G Upstream)'!L$344</f>
        <v>0</v>
      </c>
      <c r="R3450" s="147">
        <f>$G3338*'Assumptions (O&amp;G Upstream)'!M$344</f>
        <v>0</v>
      </c>
      <c r="S3450" s="147">
        <f>$G3338*'Assumptions (O&amp;G Upstream)'!N$344</f>
        <v>0</v>
      </c>
      <c r="T3450" s="147">
        <f>$G3338*'Assumptions (O&amp;G Upstream)'!O$344</f>
        <v>0</v>
      </c>
      <c r="U3450" s="147">
        <f>$G3338*'Assumptions (O&amp;G Upstream)'!P$344</f>
        <v>0</v>
      </c>
      <c r="V3450" s="147">
        <f>$G3338*'Assumptions (O&amp;G Upstream)'!Q$344</f>
        <v>0</v>
      </c>
      <c r="W3450" s="147">
        <f>$G3338*'Assumptions (O&amp;G Upstream)'!R$344</f>
        <v>0</v>
      </c>
      <c r="X3450" s="147">
        <f>$G3338*'Assumptions (O&amp;G Upstream)'!S$344</f>
        <v>0</v>
      </c>
      <c r="Y3450" s="147">
        <f>$G3338*'Assumptions (O&amp;G Upstream)'!T$344</f>
        <v>0</v>
      </c>
      <c r="Z3450" s="147">
        <f>$G3338*'Assumptions (O&amp;G Upstream)'!U$344</f>
        <v>0</v>
      </c>
      <c r="AA3450" s="147">
        <f>$G3338*'Assumptions (O&amp;G Upstream)'!V$344</f>
        <v>0</v>
      </c>
    </row>
    <row r="3451" spans="1:77" ht="15.75" hidden="1" customHeight="1" outlineLevel="1">
      <c r="A3451" s="472"/>
      <c r="B3451" s="99"/>
      <c r="C3451" s="147"/>
      <c r="D3451" s="42"/>
      <c r="E3451" s="42"/>
      <c r="F3451" s="42"/>
      <c r="G3451" s="42"/>
      <c r="H3451" s="147">
        <f>$H3338*'Assumptions (O&amp;G Upstream)'!B$344</f>
        <v>10.24593</v>
      </c>
      <c r="I3451" s="147">
        <f>$H3338*'Assumptions (O&amp;G Upstream)'!C$344</f>
        <v>17.559330000000003</v>
      </c>
      <c r="J3451" s="147">
        <f>$H3338*'Assumptions (O&amp;G Upstream)'!D$344</f>
        <v>12.540330000000001</v>
      </c>
      <c r="K3451" s="147">
        <f>$H3338*'Assumptions (O&amp;G Upstream)'!E$344</f>
        <v>8.95533</v>
      </c>
      <c r="L3451" s="147">
        <f>$H3338*'Assumptions (O&amp;G Upstream)'!F$344</f>
        <v>6.4028100000000006</v>
      </c>
      <c r="M3451" s="147">
        <f>$H3338*'Assumptions (O&amp;G Upstream)'!G$344</f>
        <v>6.3956400000000002</v>
      </c>
      <c r="N3451" s="147">
        <f>$H3338*'Assumptions (O&amp;G Upstream)'!H$344</f>
        <v>6.4028100000000006</v>
      </c>
      <c r="O3451" s="147">
        <f>$H3338*'Assumptions (O&amp;G Upstream)'!I$344</f>
        <v>3.1978200000000001</v>
      </c>
      <c r="P3451" s="147">
        <f>$H3338*'Assumptions (O&amp;G Upstream)'!J$344</f>
        <v>0</v>
      </c>
      <c r="Q3451" s="147">
        <f>$H3338*'Assumptions (O&amp;G Upstream)'!K$344</f>
        <v>0</v>
      </c>
      <c r="R3451" s="147">
        <f>$H3338*'Assumptions (O&amp;G Upstream)'!L$344</f>
        <v>0</v>
      </c>
      <c r="S3451" s="147">
        <f>$H3338*'Assumptions (O&amp;G Upstream)'!M$344</f>
        <v>0</v>
      </c>
      <c r="T3451" s="147">
        <f>$H3338*'Assumptions (O&amp;G Upstream)'!N$344</f>
        <v>0</v>
      </c>
      <c r="U3451" s="147">
        <f>$H3338*'Assumptions (O&amp;G Upstream)'!O$344</f>
        <v>0</v>
      </c>
      <c r="V3451" s="147">
        <f>$H3338*'Assumptions (O&amp;G Upstream)'!P$344</f>
        <v>0</v>
      </c>
      <c r="W3451" s="147">
        <f>$H3338*'Assumptions (O&amp;G Upstream)'!Q$344</f>
        <v>0</v>
      </c>
      <c r="X3451" s="147">
        <f>$H3338*'Assumptions (O&amp;G Upstream)'!R$344</f>
        <v>0</v>
      </c>
      <c r="Y3451" s="147">
        <f>$H3338*'Assumptions (O&amp;G Upstream)'!S$344</f>
        <v>0</v>
      </c>
      <c r="Z3451" s="147">
        <f>$H3338*'Assumptions (O&amp;G Upstream)'!T$344</f>
        <v>0</v>
      </c>
      <c r="AA3451" s="147">
        <f>$H3338*'Assumptions (O&amp;G Upstream)'!U$344</f>
        <v>0</v>
      </c>
      <c r="AB3451" s="147">
        <f>$H3338*'Assumptions (O&amp;G Upstream)'!V$344</f>
        <v>0</v>
      </c>
    </row>
    <row r="3452" spans="1:77" ht="15.75" hidden="1" customHeight="1" outlineLevel="1">
      <c r="A3452" s="472"/>
      <c r="B3452" s="99"/>
      <c r="C3452" s="147"/>
      <c r="D3452" s="42"/>
      <c r="E3452" s="42"/>
      <c r="F3452" s="42"/>
      <c r="G3452" s="42"/>
      <c r="H3452" s="42"/>
      <c r="I3452" s="147">
        <f>$I3338*'Assumptions (O&amp;G Upstream)'!B$344</f>
        <v>14.11852</v>
      </c>
      <c r="J3452" s="147">
        <f>$I3338*'Assumptions (O&amp;G Upstream)'!C$344</f>
        <v>24.196120000000001</v>
      </c>
      <c r="K3452" s="147">
        <f>$I3338*'Assumptions (O&amp;G Upstream)'!D$344</f>
        <v>17.28012</v>
      </c>
      <c r="L3452" s="147">
        <f>$I3338*'Assumptions (O&amp;G Upstream)'!E$344</f>
        <v>12.340119999999999</v>
      </c>
      <c r="M3452" s="147">
        <f>$I3338*'Assumptions (O&amp;G Upstream)'!F$344</f>
        <v>8.8228399999999993</v>
      </c>
      <c r="N3452" s="147">
        <f>$I3338*'Assumptions (O&amp;G Upstream)'!G$344</f>
        <v>8.8129600000000003</v>
      </c>
      <c r="O3452" s="147">
        <f>$I3338*'Assumptions (O&amp;G Upstream)'!H$344</f>
        <v>8.8228399999999993</v>
      </c>
      <c r="P3452" s="147">
        <f>$I3338*'Assumptions (O&amp;G Upstream)'!I$344</f>
        <v>4.4064800000000002</v>
      </c>
      <c r="Q3452" s="147">
        <f>$I3338*'Assumptions (O&amp;G Upstream)'!J$344</f>
        <v>0</v>
      </c>
      <c r="R3452" s="147">
        <f>$I3338*'Assumptions (O&amp;G Upstream)'!K$344</f>
        <v>0</v>
      </c>
      <c r="S3452" s="147">
        <f>$I3338*'Assumptions (O&amp;G Upstream)'!L$344</f>
        <v>0</v>
      </c>
      <c r="T3452" s="147">
        <f>$I3338*'Assumptions (O&amp;G Upstream)'!M$344</f>
        <v>0</v>
      </c>
      <c r="U3452" s="147">
        <f>$I3338*'Assumptions (O&amp;G Upstream)'!N$344</f>
        <v>0</v>
      </c>
      <c r="V3452" s="147">
        <f>$I3338*'Assumptions (O&amp;G Upstream)'!O$344</f>
        <v>0</v>
      </c>
      <c r="W3452" s="147">
        <f>$I3338*'Assumptions (O&amp;G Upstream)'!P$344</f>
        <v>0</v>
      </c>
      <c r="X3452" s="147">
        <f>$I3338*'Assumptions (O&amp;G Upstream)'!Q$344</f>
        <v>0</v>
      </c>
      <c r="Y3452" s="147">
        <f>$I3338*'Assumptions (O&amp;G Upstream)'!R$344</f>
        <v>0</v>
      </c>
      <c r="Z3452" s="147">
        <f>$I3338*'Assumptions (O&amp;G Upstream)'!S$344</f>
        <v>0</v>
      </c>
      <c r="AA3452" s="147">
        <f>$I3338*'Assumptions (O&amp;G Upstream)'!T$344</f>
        <v>0</v>
      </c>
      <c r="AB3452" s="147">
        <f>$I3338*'Assumptions (O&amp;G Upstream)'!U$344</f>
        <v>0</v>
      </c>
      <c r="AC3452" s="147">
        <f>$I3338*'Assumptions (O&amp;G Upstream)'!V$344</f>
        <v>0</v>
      </c>
    </row>
    <row r="3453" spans="1:77" ht="15.75" hidden="1" customHeight="1" outlineLevel="1">
      <c r="A3453" s="472"/>
      <c r="B3453" s="99"/>
      <c r="C3453" s="147"/>
      <c r="D3453" s="42"/>
      <c r="E3453" s="42"/>
      <c r="F3453" s="42"/>
      <c r="G3453" s="42"/>
      <c r="H3453" s="42"/>
      <c r="I3453" s="42"/>
      <c r="J3453" s="147">
        <f>$J3338*'Assumptions (O&amp;G Upstream)'!B$344</f>
        <v>15.447489999999998</v>
      </c>
      <c r="K3453" s="147">
        <f>$J3338*'Assumptions (O&amp;G Upstream)'!C$344</f>
        <v>26.473689999999998</v>
      </c>
      <c r="L3453" s="147">
        <f>$J3338*'Assumptions (O&amp;G Upstream)'!D$344</f>
        <v>18.906689999999998</v>
      </c>
      <c r="M3453" s="147">
        <f>$J3338*'Assumptions (O&amp;G Upstream)'!E$344</f>
        <v>13.501689999999998</v>
      </c>
      <c r="N3453" s="147">
        <f>$J3338*'Assumptions (O&amp;G Upstream)'!F$344</f>
        <v>9.6533300000000004</v>
      </c>
      <c r="O3453" s="147">
        <f>$J3338*'Assumptions (O&amp;G Upstream)'!G$344</f>
        <v>9.6425199999999993</v>
      </c>
      <c r="P3453" s="147">
        <f>$J3338*'Assumptions (O&amp;G Upstream)'!H$344</f>
        <v>9.6533300000000004</v>
      </c>
      <c r="Q3453" s="147">
        <f>$J3338*'Assumptions (O&amp;G Upstream)'!I$344</f>
        <v>4.8212599999999997</v>
      </c>
      <c r="R3453" s="147">
        <f>$J3338*'Assumptions (O&amp;G Upstream)'!J$344</f>
        <v>0</v>
      </c>
      <c r="S3453" s="147">
        <f>$J3338*'Assumptions (O&amp;G Upstream)'!K$344</f>
        <v>0</v>
      </c>
      <c r="T3453" s="147">
        <f>$J3338*'Assumptions (O&amp;G Upstream)'!L$344</f>
        <v>0</v>
      </c>
      <c r="U3453" s="147">
        <f>$J3338*'Assumptions (O&amp;G Upstream)'!M$344</f>
        <v>0</v>
      </c>
      <c r="V3453" s="147">
        <f>$J3338*'Assumptions (O&amp;G Upstream)'!N$344</f>
        <v>0</v>
      </c>
      <c r="W3453" s="147">
        <f>$J3338*'Assumptions (O&amp;G Upstream)'!O$344</f>
        <v>0</v>
      </c>
      <c r="X3453" s="147">
        <f>$J3338*'Assumptions (O&amp;G Upstream)'!P$344</f>
        <v>0</v>
      </c>
      <c r="Y3453" s="147">
        <f>$J3338*'Assumptions (O&amp;G Upstream)'!Q$344</f>
        <v>0</v>
      </c>
      <c r="Z3453" s="147">
        <f>$J3338*'Assumptions (O&amp;G Upstream)'!R$344</f>
        <v>0</v>
      </c>
      <c r="AA3453" s="147">
        <f>$J3338*'Assumptions (O&amp;G Upstream)'!S$344</f>
        <v>0</v>
      </c>
      <c r="AB3453" s="147">
        <f>$J3338*'Assumptions (O&amp;G Upstream)'!T$344</f>
        <v>0</v>
      </c>
      <c r="AC3453" s="147">
        <f>$J3338*'Assumptions (O&amp;G Upstream)'!U$344</f>
        <v>0</v>
      </c>
      <c r="AD3453" s="147">
        <f>$J3338*'Assumptions (O&amp;G Upstream)'!V$344</f>
        <v>0</v>
      </c>
    </row>
    <row r="3454" spans="1:77" ht="15.75" hidden="1" customHeight="1" outlineLevel="1">
      <c r="A3454" s="472"/>
      <c r="B3454" s="99"/>
      <c r="C3454" s="147"/>
      <c r="D3454" s="42"/>
      <c r="E3454" s="42"/>
      <c r="F3454" s="42"/>
      <c r="G3454" s="42"/>
      <c r="H3454" s="42"/>
      <c r="I3454" s="42"/>
      <c r="J3454" s="42"/>
      <c r="K3454" s="147">
        <f>$K3338*'Assumptions (O&amp;G Upstream)'!B$344</f>
        <v>17.905369999999998</v>
      </c>
      <c r="L3454" s="147">
        <f>$K3338*'Assumptions (O&amp;G Upstream)'!C$344</f>
        <v>30.685970000000001</v>
      </c>
      <c r="M3454" s="147">
        <f>$K3338*'Assumptions (O&amp;G Upstream)'!D$344</f>
        <v>21.91497</v>
      </c>
      <c r="N3454" s="147">
        <f>$K3338*'Assumptions (O&amp;G Upstream)'!E$344</f>
        <v>15.64997</v>
      </c>
      <c r="O3454" s="147">
        <f>$K3338*'Assumptions (O&amp;G Upstream)'!F$344</f>
        <v>11.18929</v>
      </c>
      <c r="P3454" s="147">
        <f>$K3338*'Assumptions (O&amp;G Upstream)'!G$344</f>
        <v>11.17676</v>
      </c>
      <c r="Q3454" s="147">
        <f>$K3338*'Assumptions (O&amp;G Upstream)'!H$344</f>
        <v>11.18929</v>
      </c>
      <c r="R3454" s="147">
        <f>$K3338*'Assumptions (O&amp;G Upstream)'!I$344</f>
        <v>5.5883799999999999</v>
      </c>
      <c r="S3454" s="147">
        <f>$K3338*'Assumptions (O&amp;G Upstream)'!J$344</f>
        <v>0</v>
      </c>
      <c r="T3454" s="147">
        <f>$K3338*'Assumptions (O&amp;G Upstream)'!K$344</f>
        <v>0</v>
      </c>
      <c r="U3454" s="147">
        <f>$K3338*'Assumptions (O&amp;G Upstream)'!L$344</f>
        <v>0</v>
      </c>
      <c r="V3454" s="147">
        <f>$K3338*'Assumptions (O&amp;G Upstream)'!M$344</f>
        <v>0</v>
      </c>
      <c r="W3454" s="147">
        <f>$K3338*'Assumptions (O&amp;G Upstream)'!N$344</f>
        <v>0</v>
      </c>
      <c r="X3454" s="147">
        <f>$K3338*'Assumptions (O&amp;G Upstream)'!O$344</f>
        <v>0</v>
      </c>
      <c r="Y3454" s="147">
        <f>$K3338*'Assumptions (O&amp;G Upstream)'!P$344</f>
        <v>0</v>
      </c>
      <c r="Z3454" s="147">
        <f>$K3338*'Assumptions (O&amp;G Upstream)'!Q$344</f>
        <v>0</v>
      </c>
      <c r="AA3454" s="147">
        <f>$K3338*'Assumptions (O&amp;G Upstream)'!R$344</f>
        <v>0</v>
      </c>
      <c r="AB3454" s="147">
        <f>$K3338*'Assumptions (O&amp;G Upstream)'!S$344</f>
        <v>0</v>
      </c>
      <c r="AC3454" s="147">
        <f>$K3338*'Assumptions (O&amp;G Upstream)'!T$344</f>
        <v>0</v>
      </c>
      <c r="AD3454" s="147">
        <f>$K3338*'Assumptions (O&amp;G Upstream)'!U$344</f>
        <v>0</v>
      </c>
      <c r="AE3454" s="147">
        <f>$K3338*'Assumptions (O&amp;G Upstream)'!V$344</f>
        <v>0</v>
      </c>
    </row>
    <row r="3455" spans="1:77" ht="15.75" hidden="1" customHeight="1" outlineLevel="1">
      <c r="A3455" s="472"/>
      <c r="B3455" s="99"/>
      <c r="C3455" s="42"/>
      <c r="D3455" s="42"/>
      <c r="E3455" s="42"/>
      <c r="F3455" s="42"/>
      <c r="G3455" s="42"/>
      <c r="H3455" s="42"/>
      <c r="I3455" s="42"/>
      <c r="J3455" s="42"/>
      <c r="K3455" s="42"/>
      <c r="L3455" s="147">
        <f>$L3338*'Assumptions (O&amp;G Upstream)'!B$344</f>
        <v>12.46088</v>
      </c>
      <c r="M3455" s="147">
        <f>$L3338*'Assumptions (O&amp;G Upstream)'!C$344</f>
        <v>21.35528</v>
      </c>
      <c r="N3455" s="147">
        <f>$L3338*'Assumptions (O&amp;G Upstream)'!D$344</f>
        <v>15.251280000000001</v>
      </c>
      <c r="O3455" s="147">
        <f>$L3338*'Assumptions (O&amp;G Upstream)'!E$344</f>
        <v>10.89128</v>
      </c>
      <c r="P3455" s="147">
        <f>$L3338*'Assumptions (O&amp;G Upstream)'!F$344</f>
        <v>7.7869600000000005</v>
      </c>
      <c r="Q3455" s="147">
        <f>$L3338*'Assumptions (O&amp;G Upstream)'!G$344</f>
        <v>7.7782400000000003</v>
      </c>
      <c r="R3455" s="147">
        <f>$L3338*'Assumptions (O&amp;G Upstream)'!H$344</f>
        <v>7.7869600000000005</v>
      </c>
      <c r="S3455" s="147">
        <f>$L3338*'Assumptions (O&amp;G Upstream)'!I$344</f>
        <v>3.8891200000000001</v>
      </c>
      <c r="T3455" s="147">
        <f>$L3338*'Assumptions (O&amp;G Upstream)'!J$344</f>
        <v>0</v>
      </c>
      <c r="U3455" s="147">
        <f>$L3338*'Assumptions (O&amp;G Upstream)'!K$344</f>
        <v>0</v>
      </c>
      <c r="V3455" s="147">
        <f>$L3338*'Assumptions (O&amp;G Upstream)'!L$344</f>
        <v>0</v>
      </c>
      <c r="W3455" s="147">
        <f>$L3338*'Assumptions (O&amp;G Upstream)'!M$344</f>
        <v>0</v>
      </c>
      <c r="X3455" s="147">
        <f>$L3338*'Assumptions (O&amp;G Upstream)'!N$344</f>
        <v>0</v>
      </c>
      <c r="Y3455" s="147">
        <f>$L3338*'Assumptions (O&amp;G Upstream)'!O$344</f>
        <v>0</v>
      </c>
      <c r="Z3455" s="147">
        <f>$L3338*'Assumptions (O&amp;G Upstream)'!P$344</f>
        <v>0</v>
      </c>
      <c r="AA3455" s="147">
        <f>$L3338*'Assumptions (O&amp;G Upstream)'!Q$344</f>
        <v>0</v>
      </c>
      <c r="AB3455" s="147">
        <f>$L3338*'Assumptions (O&amp;G Upstream)'!R$344</f>
        <v>0</v>
      </c>
      <c r="AC3455" s="147">
        <f>$L3338*'Assumptions (O&amp;G Upstream)'!S$344</f>
        <v>0</v>
      </c>
      <c r="AD3455" s="147">
        <f>$L3338*'Assumptions (O&amp;G Upstream)'!T$344</f>
        <v>0</v>
      </c>
      <c r="AE3455" s="147">
        <f>$L3338*'Assumptions (O&amp;G Upstream)'!U$344</f>
        <v>0</v>
      </c>
      <c r="AF3455" s="147">
        <f>$L3338*'Assumptions (O&amp;G Upstream)'!V$344</f>
        <v>0</v>
      </c>
    </row>
    <row r="3456" spans="1:77" ht="15.75" hidden="1" customHeight="1" outlineLevel="1">
      <c r="A3456" s="472"/>
      <c r="B3456" s="99"/>
      <c r="C3456" s="42"/>
      <c r="D3456" s="42"/>
      <c r="E3456" s="42"/>
      <c r="F3456" s="42"/>
      <c r="G3456" s="42"/>
      <c r="H3456" s="42"/>
      <c r="I3456" s="42"/>
      <c r="J3456" s="42"/>
      <c r="K3456" s="42"/>
      <c r="L3456" s="42"/>
      <c r="M3456" s="147">
        <f>$M3338*'Assumptions (O&amp;G Upstream)'!B$344</f>
        <v>14.732989999999999</v>
      </c>
      <c r="N3456" s="147">
        <f>$M3338*'Assumptions (O&amp;G Upstream)'!C$344</f>
        <v>25.249189999999999</v>
      </c>
      <c r="O3456" s="147">
        <f>$M3338*'Assumptions (O&amp;G Upstream)'!D$344</f>
        <v>18.03219</v>
      </c>
      <c r="P3456" s="147">
        <f>$M3338*'Assumptions (O&amp;G Upstream)'!E$344</f>
        <v>12.877189999999999</v>
      </c>
      <c r="Q3456" s="147">
        <f>$M3338*'Assumptions (O&amp;G Upstream)'!F$344</f>
        <v>9.2068300000000001</v>
      </c>
      <c r="R3456" s="147">
        <f>$M3338*'Assumptions (O&amp;G Upstream)'!G$344</f>
        <v>9.1965199999999996</v>
      </c>
      <c r="S3456" s="147">
        <f>$M3338*'Assumptions (O&amp;G Upstream)'!H$344</f>
        <v>9.2068300000000001</v>
      </c>
      <c r="T3456" s="147">
        <f>$M3338*'Assumptions (O&amp;G Upstream)'!I$344</f>
        <v>4.5982599999999998</v>
      </c>
      <c r="U3456" s="147">
        <f>$M3338*'Assumptions (O&amp;G Upstream)'!J$344</f>
        <v>0</v>
      </c>
      <c r="V3456" s="147">
        <f>$M3338*'Assumptions (O&amp;G Upstream)'!K$344</f>
        <v>0</v>
      </c>
      <c r="W3456" s="147">
        <f>$M3338*'Assumptions (O&amp;G Upstream)'!L$344</f>
        <v>0</v>
      </c>
      <c r="X3456" s="147">
        <f>$M3338*'Assumptions (O&amp;G Upstream)'!M$344</f>
        <v>0</v>
      </c>
      <c r="Y3456" s="147">
        <f>$M3338*'Assumptions (O&amp;G Upstream)'!N$344</f>
        <v>0</v>
      </c>
      <c r="Z3456" s="147">
        <f>$M3338*'Assumptions (O&amp;G Upstream)'!O$344</f>
        <v>0</v>
      </c>
      <c r="AA3456" s="147">
        <f>$M3338*'Assumptions (O&amp;G Upstream)'!P$344</f>
        <v>0</v>
      </c>
      <c r="AB3456" s="147">
        <f>$M3338*'Assumptions (O&amp;G Upstream)'!Q$344</f>
        <v>0</v>
      </c>
      <c r="AC3456" s="147">
        <f>$M3338*'Assumptions (O&amp;G Upstream)'!R$344</f>
        <v>0</v>
      </c>
      <c r="AD3456" s="147">
        <f>$M3338*'Assumptions (O&amp;G Upstream)'!S$344</f>
        <v>0</v>
      </c>
      <c r="AE3456" s="147">
        <f>$M3338*'Assumptions (O&amp;G Upstream)'!T$344</f>
        <v>0</v>
      </c>
      <c r="AF3456" s="147">
        <f>$M3338*'Assumptions (O&amp;G Upstream)'!U$344</f>
        <v>0</v>
      </c>
      <c r="AG3456" s="147">
        <f>$M3338*'Assumptions (O&amp;G Upstream)'!V$344</f>
        <v>0</v>
      </c>
    </row>
    <row r="3457" spans="1:49" ht="15.75" hidden="1" customHeight="1" outlineLevel="1">
      <c r="A3457" s="472"/>
      <c r="B3457" s="99"/>
      <c r="C3457" s="42"/>
      <c r="D3457" s="42"/>
      <c r="E3457" s="42"/>
      <c r="F3457" s="42"/>
      <c r="G3457" s="42"/>
      <c r="H3457" s="42"/>
      <c r="I3457" s="42"/>
      <c r="J3457" s="42"/>
      <c r="K3457" s="42"/>
      <c r="L3457" s="42"/>
      <c r="M3457" s="42"/>
      <c r="N3457" s="147">
        <f>$N3338*'Assumptions (O&amp;G Upstream)'!B$344</f>
        <v>18.60558</v>
      </c>
      <c r="O3457" s="147">
        <f>$N3338*'Assumptions (O&amp;G Upstream)'!C$344</f>
        <v>31.885979999999996</v>
      </c>
      <c r="P3457" s="147">
        <f>$N3338*'Assumptions (O&amp;G Upstream)'!D$344</f>
        <v>22.771979999999999</v>
      </c>
      <c r="Q3457" s="147">
        <f>$N3338*'Assumptions (O&amp;G Upstream)'!E$344</f>
        <v>16.261979999999998</v>
      </c>
      <c r="R3457" s="147">
        <f>$N3338*'Assumptions (O&amp;G Upstream)'!F$344</f>
        <v>11.626859999999999</v>
      </c>
      <c r="S3457" s="147">
        <f>$N3338*'Assumptions (O&amp;G Upstream)'!G$344</f>
        <v>11.61384</v>
      </c>
      <c r="T3457" s="147">
        <f>$N3338*'Assumptions (O&amp;G Upstream)'!H$344</f>
        <v>11.626859999999999</v>
      </c>
      <c r="U3457" s="147">
        <f>$N3338*'Assumptions (O&amp;G Upstream)'!I$344</f>
        <v>5.8069199999999999</v>
      </c>
      <c r="V3457" s="147">
        <f>$N3338*'Assumptions (O&amp;G Upstream)'!J$344</f>
        <v>0</v>
      </c>
      <c r="W3457" s="147">
        <f>$N3338*'Assumptions (O&amp;G Upstream)'!K$344</f>
        <v>0</v>
      </c>
      <c r="X3457" s="147">
        <f>$N3338*'Assumptions (O&amp;G Upstream)'!L$344</f>
        <v>0</v>
      </c>
      <c r="Y3457" s="147">
        <f>$N3338*'Assumptions (O&amp;G Upstream)'!M$344</f>
        <v>0</v>
      </c>
      <c r="Z3457" s="147">
        <f>$N3338*'Assumptions (O&amp;G Upstream)'!N$344</f>
        <v>0</v>
      </c>
      <c r="AA3457" s="147">
        <f>$N3338*'Assumptions (O&amp;G Upstream)'!O$344</f>
        <v>0</v>
      </c>
      <c r="AB3457" s="147">
        <f>$N3338*'Assumptions (O&amp;G Upstream)'!P$344</f>
        <v>0</v>
      </c>
      <c r="AC3457" s="147">
        <f>$N3338*'Assumptions (O&amp;G Upstream)'!Q$344</f>
        <v>0</v>
      </c>
      <c r="AD3457" s="147">
        <f>$N3338*'Assumptions (O&amp;G Upstream)'!R$344</f>
        <v>0</v>
      </c>
      <c r="AE3457" s="147">
        <f>$N3338*'Assumptions (O&amp;G Upstream)'!S$344</f>
        <v>0</v>
      </c>
      <c r="AF3457" s="147">
        <f>$N3338*'Assumptions (O&amp;G Upstream)'!T$344</f>
        <v>0</v>
      </c>
      <c r="AG3457" s="147">
        <f>$N3338*'Assumptions (O&amp;G Upstream)'!U$344</f>
        <v>0</v>
      </c>
      <c r="AH3457" s="147">
        <f>$N3338*'Assumptions (O&amp;G Upstream)'!V$344</f>
        <v>0</v>
      </c>
    </row>
    <row r="3458" spans="1:49" ht="15.75" hidden="1" customHeight="1" outlineLevel="1">
      <c r="A3458" s="472"/>
      <c r="B3458" s="99"/>
      <c r="C3458" s="42"/>
      <c r="D3458" s="42"/>
      <c r="E3458" s="42"/>
      <c r="F3458" s="42"/>
      <c r="G3458" s="42"/>
      <c r="H3458" s="42"/>
      <c r="I3458" s="42"/>
      <c r="J3458" s="42"/>
      <c r="K3458" s="42"/>
      <c r="L3458" s="42"/>
      <c r="M3458" s="42"/>
      <c r="N3458" s="42"/>
      <c r="O3458" s="147">
        <f>$O3338*'Assumptions (O&amp;G Upstream)'!B$344</f>
        <v>23.249829999999999</v>
      </c>
      <c r="P3458" s="147">
        <f>$O3338*'Assumptions (O&amp;G Upstream)'!C$344</f>
        <v>39.845230000000001</v>
      </c>
      <c r="Q3458" s="147">
        <f>$O3338*'Assumptions (O&amp;G Upstream)'!D$344</f>
        <v>28.456229999999998</v>
      </c>
      <c r="R3458" s="147">
        <f>$O3338*'Assumptions (O&amp;G Upstream)'!E$344</f>
        <v>20.321229999999996</v>
      </c>
      <c r="S3458" s="147">
        <f>$O3338*'Assumptions (O&amp;G Upstream)'!F$344</f>
        <v>14.529109999999999</v>
      </c>
      <c r="T3458" s="147">
        <f>$O3338*'Assumptions (O&amp;G Upstream)'!G$344</f>
        <v>14.512839999999999</v>
      </c>
      <c r="U3458" s="147">
        <f>$O3338*'Assumptions (O&amp;G Upstream)'!H$344</f>
        <v>14.529109999999999</v>
      </c>
      <c r="V3458" s="147">
        <f>$O3338*'Assumptions (O&amp;G Upstream)'!I$344</f>
        <v>7.2564199999999994</v>
      </c>
      <c r="W3458" s="147">
        <f>$O3338*'Assumptions (O&amp;G Upstream)'!J$344</f>
        <v>0</v>
      </c>
      <c r="X3458" s="147">
        <f>$O3338*'Assumptions (O&amp;G Upstream)'!K$344</f>
        <v>0</v>
      </c>
      <c r="Y3458" s="147">
        <f>$O3338*'Assumptions (O&amp;G Upstream)'!L$344</f>
        <v>0</v>
      </c>
      <c r="Z3458" s="147">
        <f>$O3338*'Assumptions (O&amp;G Upstream)'!M$344</f>
        <v>0</v>
      </c>
      <c r="AA3458" s="147">
        <f>$O3338*'Assumptions (O&amp;G Upstream)'!N$344</f>
        <v>0</v>
      </c>
      <c r="AB3458" s="147">
        <f>$O3338*'Assumptions (O&amp;G Upstream)'!O$344</f>
        <v>0</v>
      </c>
      <c r="AC3458" s="147">
        <f>$O3338*'Assumptions (O&amp;G Upstream)'!P$344</f>
        <v>0</v>
      </c>
      <c r="AD3458" s="147">
        <f>$O3338*'Assumptions (O&amp;G Upstream)'!Q$344</f>
        <v>0</v>
      </c>
      <c r="AE3458" s="147">
        <f>$O3338*'Assumptions (O&amp;G Upstream)'!R$344</f>
        <v>0</v>
      </c>
      <c r="AF3458" s="147">
        <f>$O3338*'Assumptions (O&amp;G Upstream)'!S$344</f>
        <v>0</v>
      </c>
      <c r="AG3458" s="147">
        <f>$O3338*'Assumptions (O&amp;G Upstream)'!T$344</f>
        <v>0</v>
      </c>
      <c r="AH3458" s="147">
        <f>$O3338*'Assumptions (O&amp;G Upstream)'!U$344</f>
        <v>0</v>
      </c>
      <c r="AI3458" s="147">
        <f>$O3338*'Assumptions (O&amp;G Upstream)'!V$344</f>
        <v>0</v>
      </c>
    </row>
    <row r="3459" spans="1:49" ht="15.75" hidden="1" customHeight="1" outlineLevel="1">
      <c r="A3459" s="472"/>
      <c r="B3459" s="99"/>
      <c r="C3459" s="42"/>
      <c r="D3459" s="42"/>
      <c r="E3459" s="42"/>
      <c r="F3459" s="42"/>
      <c r="G3459" s="42"/>
      <c r="H3459" s="42"/>
      <c r="I3459" s="42"/>
      <c r="J3459" s="42"/>
      <c r="K3459" s="42"/>
      <c r="L3459" s="42"/>
      <c r="M3459" s="42"/>
      <c r="N3459" s="42"/>
      <c r="O3459" s="42"/>
      <c r="P3459" s="147">
        <f>$P3338*'Assumptions (O&amp;G Upstream)'!B$344</f>
        <v>24.378740000000001</v>
      </c>
      <c r="Q3459" s="147">
        <f>$P3338*'Assumptions (O&amp;G Upstream)'!C$344</f>
        <v>41.779939999999996</v>
      </c>
      <c r="R3459" s="147">
        <f>$P3338*'Assumptions (O&amp;G Upstream)'!D$344</f>
        <v>29.83794</v>
      </c>
      <c r="S3459" s="147">
        <f>$P3338*'Assumptions (O&amp;G Upstream)'!E$344</f>
        <v>21.307939999999999</v>
      </c>
      <c r="T3459" s="147">
        <f>$P3338*'Assumptions (O&amp;G Upstream)'!F$344</f>
        <v>15.234580000000001</v>
      </c>
      <c r="U3459" s="147">
        <f>$P3338*'Assumptions (O&amp;G Upstream)'!G$344</f>
        <v>15.21752</v>
      </c>
      <c r="V3459" s="147">
        <f>$P3338*'Assumptions (O&amp;G Upstream)'!H$344</f>
        <v>15.234580000000001</v>
      </c>
      <c r="W3459" s="147">
        <f>$P3338*'Assumptions (O&amp;G Upstream)'!I$344</f>
        <v>7.6087600000000002</v>
      </c>
      <c r="X3459" s="147">
        <f>$P3338*'Assumptions (O&amp;G Upstream)'!J$344</f>
        <v>0</v>
      </c>
      <c r="Y3459" s="147">
        <f>$P3338*'Assumptions (O&amp;G Upstream)'!K$344</f>
        <v>0</v>
      </c>
      <c r="Z3459" s="147">
        <f>$P3338*'Assumptions (O&amp;G Upstream)'!L$344</f>
        <v>0</v>
      </c>
      <c r="AA3459" s="147">
        <f>$P3338*'Assumptions (O&amp;G Upstream)'!M$344</f>
        <v>0</v>
      </c>
      <c r="AB3459" s="147">
        <f>$P3338*'Assumptions (O&amp;G Upstream)'!N$344</f>
        <v>0</v>
      </c>
      <c r="AC3459" s="147">
        <f>$P3338*'Assumptions (O&amp;G Upstream)'!O$344</f>
        <v>0</v>
      </c>
      <c r="AD3459" s="147">
        <f>$P3338*'Assumptions (O&amp;G Upstream)'!P$344</f>
        <v>0</v>
      </c>
      <c r="AE3459" s="147">
        <f>$P3338*'Assumptions (O&amp;G Upstream)'!Q$344</f>
        <v>0</v>
      </c>
      <c r="AF3459" s="147">
        <f>$P3338*'Assumptions (O&amp;G Upstream)'!R$344</f>
        <v>0</v>
      </c>
      <c r="AG3459" s="147">
        <f>$P3338*'Assumptions (O&amp;G Upstream)'!S$344</f>
        <v>0</v>
      </c>
      <c r="AH3459" s="147">
        <f>$P3338*'Assumptions (O&amp;G Upstream)'!T$344</f>
        <v>0</v>
      </c>
      <c r="AI3459" s="147">
        <f>$P3338*'Assumptions (O&amp;G Upstream)'!U$344</f>
        <v>0</v>
      </c>
      <c r="AJ3459" s="147">
        <f>$P3338*'Assumptions (O&amp;G Upstream)'!V$344</f>
        <v>0</v>
      </c>
    </row>
    <row r="3460" spans="1:49" ht="15.75" hidden="1" customHeight="1" outlineLevel="1">
      <c r="A3460" s="472"/>
      <c r="B3460" s="99"/>
      <c r="C3460" s="42"/>
      <c r="D3460" s="42"/>
      <c r="E3460" s="42"/>
      <c r="F3460" s="42"/>
      <c r="G3460" s="42"/>
      <c r="H3460" s="42"/>
      <c r="I3460" s="42"/>
      <c r="J3460" s="42"/>
      <c r="K3460" s="42"/>
      <c r="L3460" s="42"/>
      <c r="M3460" s="42"/>
      <c r="N3460" s="42"/>
      <c r="O3460" s="42"/>
      <c r="P3460" s="42"/>
      <c r="Q3460" s="147">
        <f>$Q3338*'Assumptions (O&amp;G Upstream)'!B$344</f>
        <v>29.137309999999999</v>
      </c>
      <c r="R3460" s="147">
        <f>$Q3338*'Assumptions (O&amp;G Upstream)'!C$344</f>
        <v>49.935110000000002</v>
      </c>
      <c r="S3460" s="147">
        <f>$Q3338*'Assumptions (O&amp;G Upstream)'!D$344</f>
        <v>35.662109999999998</v>
      </c>
      <c r="T3460" s="147">
        <f>$Q3338*'Assumptions (O&amp;G Upstream)'!E$344</f>
        <v>25.467110000000002</v>
      </c>
      <c r="U3460" s="147">
        <f>$Q3338*'Assumptions (O&amp;G Upstream)'!F$344</f>
        <v>18.208270000000002</v>
      </c>
      <c r="V3460" s="147">
        <f>$Q3338*'Assumptions (O&amp;G Upstream)'!G$344</f>
        <v>18.18788</v>
      </c>
      <c r="W3460" s="147">
        <f>$Q3338*'Assumptions (O&amp;G Upstream)'!H$344</f>
        <v>18.208270000000002</v>
      </c>
      <c r="X3460" s="147">
        <f>$Q3338*'Assumptions (O&amp;G Upstream)'!I$344</f>
        <v>9.0939399999999999</v>
      </c>
      <c r="Y3460" s="147">
        <f>$Q3338*'Assumptions (O&amp;G Upstream)'!J$344</f>
        <v>0</v>
      </c>
      <c r="Z3460" s="147">
        <f>$Q3338*'Assumptions (O&amp;G Upstream)'!K$344</f>
        <v>0</v>
      </c>
      <c r="AA3460" s="147">
        <f>$Q3338*'Assumptions (O&amp;G Upstream)'!L$344</f>
        <v>0</v>
      </c>
      <c r="AB3460" s="147">
        <f>$Q3338*'Assumptions (O&amp;G Upstream)'!M$344</f>
        <v>0</v>
      </c>
      <c r="AC3460" s="147">
        <f>$Q3338*'Assumptions (O&amp;G Upstream)'!N$344</f>
        <v>0</v>
      </c>
      <c r="AD3460" s="147">
        <f>$Q3338*'Assumptions (O&amp;G Upstream)'!O$344</f>
        <v>0</v>
      </c>
      <c r="AE3460" s="147">
        <f>$Q3338*'Assumptions (O&amp;G Upstream)'!P$344</f>
        <v>0</v>
      </c>
      <c r="AF3460" s="147">
        <f>$Q3338*'Assumptions (O&amp;G Upstream)'!Q$344</f>
        <v>0</v>
      </c>
      <c r="AG3460" s="147">
        <f>$Q3338*'Assumptions (O&amp;G Upstream)'!R$344</f>
        <v>0</v>
      </c>
      <c r="AH3460" s="147">
        <f>$Q3338*'Assumptions (O&amp;G Upstream)'!S$344</f>
        <v>0</v>
      </c>
      <c r="AI3460" s="147">
        <f>$Q3338*'Assumptions (O&amp;G Upstream)'!T$344</f>
        <v>0</v>
      </c>
      <c r="AJ3460" s="147">
        <f>$Q3338*'Assumptions (O&amp;G Upstream)'!U$344</f>
        <v>0</v>
      </c>
      <c r="AK3460" s="147">
        <f>$Q3338*'Assumptions (O&amp;G Upstream)'!V$344</f>
        <v>0</v>
      </c>
    </row>
    <row r="3461" spans="1:49" ht="15.75" hidden="1" customHeight="1" outlineLevel="1">
      <c r="A3461" s="472"/>
      <c r="B3461" s="99"/>
      <c r="C3461" s="42"/>
      <c r="D3461" s="42"/>
      <c r="E3461" s="42"/>
      <c r="F3461" s="42"/>
      <c r="G3461" s="42"/>
      <c r="H3461" s="42"/>
      <c r="I3461" s="42"/>
      <c r="J3461" s="42"/>
      <c r="K3461" s="42"/>
      <c r="L3461" s="42"/>
      <c r="M3461" s="42"/>
      <c r="N3461" s="42"/>
      <c r="O3461" s="42"/>
      <c r="P3461" s="42"/>
      <c r="Q3461" s="42"/>
      <c r="R3461" s="147">
        <f>$R3338*'Assumptions (O&amp;G Upstream)'!B$344</f>
        <v>21.377839999999999</v>
      </c>
      <c r="S3461" s="147">
        <f>$R3338*'Assumptions (O&amp;G Upstream)'!C$344</f>
        <v>36.637039999999999</v>
      </c>
      <c r="T3461" s="147">
        <f>$R3338*'Assumptions (O&amp;G Upstream)'!D$344</f>
        <v>26.165039999999998</v>
      </c>
      <c r="U3461" s="147">
        <f>$R3338*'Assumptions (O&amp;G Upstream)'!E$344</f>
        <v>18.685039999999997</v>
      </c>
      <c r="V3461" s="147">
        <f>$R3338*'Assumptions (O&amp;G Upstream)'!F$344</f>
        <v>13.35928</v>
      </c>
      <c r="W3461" s="147">
        <f>$R3338*'Assumptions (O&amp;G Upstream)'!G$344</f>
        <v>13.34432</v>
      </c>
      <c r="X3461" s="147">
        <f>$R3338*'Assumptions (O&amp;G Upstream)'!H$344</f>
        <v>13.35928</v>
      </c>
      <c r="Y3461" s="147">
        <f>$R3338*'Assumptions (O&amp;G Upstream)'!I$344</f>
        <v>6.6721599999999999</v>
      </c>
      <c r="Z3461" s="147">
        <f>$R3338*'Assumptions (O&amp;G Upstream)'!J$344</f>
        <v>0</v>
      </c>
      <c r="AA3461" s="147">
        <f>$R3338*'Assumptions (O&amp;G Upstream)'!K$344</f>
        <v>0</v>
      </c>
      <c r="AB3461" s="147">
        <f>$R3338*'Assumptions (O&amp;G Upstream)'!L$344</f>
        <v>0</v>
      </c>
      <c r="AC3461" s="147">
        <f>$R3338*'Assumptions (O&amp;G Upstream)'!M$344</f>
        <v>0</v>
      </c>
      <c r="AD3461" s="147">
        <f>$R3338*'Assumptions (O&amp;G Upstream)'!N$344</f>
        <v>0</v>
      </c>
      <c r="AE3461" s="147">
        <f>$R3338*'Assumptions (O&amp;G Upstream)'!O$344</f>
        <v>0</v>
      </c>
      <c r="AF3461" s="147">
        <f>$R3338*'Assumptions (O&amp;G Upstream)'!P$344</f>
        <v>0</v>
      </c>
      <c r="AG3461" s="147">
        <f>$R3338*'Assumptions (O&amp;G Upstream)'!Q$344</f>
        <v>0</v>
      </c>
      <c r="AH3461" s="147">
        <f>$R3338*'Assumptions (O&amp;G Upstream)'!R$344</f>
        <v>0</v>
      </c>
      <c r="AI3461" s="147">
        <f>$R3338*'Assumptions (O&amp;G Upstream)'!S$344</f>
        <v>0</v>
      </c>
      <c r="AJ3461" s="147">
        <f>$R3338*'Assumptions (O&amp;G Upstream)'!T$344</f>
        <v>0</v>
      </c>
      <c r="AK3461" s="147">
        <f>$R3338*'Assumptions (O&amp;G Upstream)'!U$344</f>
        <v>0</v>
      </c>
      <c r="AL3461" s="147">
        <f>$R3338*'Assumptions (O&amp;G Upstream)'!V$344</f>
        <v>0</v>
      </c>
    </row>
    <row r="3462" spans="1:49" ht="15.75" hidden="1" customHeight="1" outlineLevel="1">
      <c r="A3462" s="472"/>
      <c r="B3462" s="99"/>
      <c r="C3462" s="42"/>
      <c r="D3462" s="42"/>
      <c r="E3462" s="42"/>
      <c r="F3462" s="42"/>
      <c r="G3462" s="42"/>
      <c r="H3462" s="42"/>
      <c r="I3462" s="42"/>
      <c r="J3462" s="42"/>
      <c r="K3462" s="42"/>
      <c r="L3462" s="42"/>
      <c r="M3462" s="42"/>
      <c r="N3462" s="42"/>
      <c r="O3462" s="42"/>
      <c r="P3462" s="42"/>
      <c r="Q3462" s="42"/>
      <c r="R3462" s="42"/>
      <c r="S3462" s="147">
        <f>$S3338*'Assumptions (O&amp;G Upstream)'!B$344</f>
        <v>11.417710000000001</v>
      </c>
      <c r="T3462" s="147">
        <f>$S3338*'Assumptions (O&amp;G Upstream)'!C$344</f>
        <v>19.567510000000002</v>
      </c>
      <c r="U3462" s="147">
        <f>$S3338*'Assumptions (O&amp;G Upstream)'!D$344</f>
        <v>13.97451</v>
      </c>
      <c r="V3462" s="147">
        <f>$S3338*'Assumptions (O&amp;G Upstream)'!E$344</f>
        <v>9.9795100000000012</v>
      </c>
      <c r="W3462" s="147">
        <f>$S3338*'Assumptions (O&amp;G Upstream)'!F$344</f>
        <v>7.1350700000000007</v>
      </c>
      <c r="X3462" s="147">
        <f>$S3338*'Assumptions (O&amp;G Upstream)'!G$344</f>
        <v>7.1270800000000003</v>
      </c>
      <c r="Y3462" s="147">
        <f>$S3338*'Assumptions (O&amp;G Upstream)'!H$344</f>
        <v>7.1350700000000007</v>
      </c>
      <c r="Z3462" s="147">
        <f>$S3338*'Assumptions (O&amp;G Upstream)'!I$344</f>
        <v>3.5635400000000002</v>
      </c>
      <c r="AA3462" s="147">
        <f>$S3338*'Assumptions (O&amp;G Upstream)'!J$344</f>
        <v>0</v>
      </c>
      <c r="AB3462" s="147">
        <f>$S3338*'Assumptions (O&amp;G Upstream)'!K$344</f>
        <v>0</v>
      </c>
      <c r="AC3462" s="147">
        <f>$S3338*'Assumptions (O&amp;G Upstream)'!L$344</f>
        <v>0</v>
      </c>
      <c r="AD3462" s="147">
        <f>$S3338*'Assumptions (O&amp;G Upstream)'!M$344</f>
        <v>0</v>
      </c>
      <c r="AE3462" s="147">
        <f>$S3338*'Assumptions (O&amp;G Upstream)'!N$344</f>
        <v>0</v>
      </c>
      <c r="AF3462" s="147">
        <f>$S3338*'Assumptions (O&amp;G Upstream)'!O$344</f>
        <v>0</v>
      </c>
      <c r="AG3462" s="147">
        <f>$S3338*'Assumptions (O&amp;G Upstream)'!P$344</f>
        <v>0</v>
      </c>
      <c r="AH3462" s="147">
        <f>$S3338*'Assumptions (O&amp;G Upstream)'!Q$344</f>
        <v>0</v>
      </c>
      <c r="AI3462" s="147">
        <f>$S3338*'Assumptions (O&amp;G Upstream)'!R$344</f>
        <v>0</v>
      </c>
      <c r="AJ3462" s="147">
        <f>$S3338*'Assumptions (O&amp;G Upstream)'!S$344</f>
        <v>0</v>
      </c>
      <c r="AK3462" s="147">
        <f>$S3338*'Assumptions (O&amp;G Upstream)'!T$344</f>
        <v>0</v>
      </c>
      <c r="AL3462" s="147">
        <f>$S3338*'Assumptions (O&amp;G Upstream)'!U$344</f>
        <v>0</v>
      </c>
      <c r="AM3462" s="147">
        <f>$S3338*'Assumptions (O&amp;G Upstream)'!V$344</f>
        <v>0</v>
      </c>
    </row>
    <row r="3463" spans="1:49" ht="15.75" hidden="1" customHeight="1" outlineLevel="1">
      <c r="A3463" s="472"/>
      <c r="B3463" s="99"/>
      <c r="C3463" s="42"/>
      <c r="D3463" s="42"/>
      <c r="E3463" s="42"/>
      <c r="F3463" s="42"/>
      <c r="G3463" s="42"/>
      <c r="H3463" s="42"/>
      <c r="I3463" s="42"/>
      <c r="J3463" s="42"/>
      <c r="K3463" s="42"/>
      <c r="L3463" s="42"/>
      <c r="M3463" s="42"/>
      <c r="N3463" s="42"/>
      <c r="O3463" s="42"/>
      <c r="P3463" s="42"/>
      <c r="Q3463" s="42"/>
      <c r="R3463" s="42"/>
      <c r="S3463" s="42"/>
      <c r="T3463" s="147">
        <f>$T3338*'Assumptions (O&amp;G Upstream)'!B$344</f>
        <v>16.04767</v>
      </c>
      <c r="U3463" s="147">
        <f>$T3338*'Assumptions (O&amp;G Upstream)'!C$344</f>
        <v>27.502269999999999</v>
      </c>
      <c r="V3463" s="147">
        <f>$T3338*'Assumptions (O&amp;G Upstream)'!D$344</f>
        <v>19.641269999999999</v>
      </c>
      <c r="W3463" s="147">
        <f>$T3338*'Assumptions (O&amp;G Upstream)'!E$344</f>
        <v>14.026269999999998</v>
      </c>
      <c r="X3463" s="147">
        <f>$T3338*'Assumptions (O&amp;G Upstream)'!F$344</f>
        <v>10.02839</v>
      </c>
      <c r="Y3463" s="147">
        <f>$T3338*'Assumptions (O&amp;G Upstream)'!G$344</f>
        <v>10.017160000000001</v>
      </c>
      <c r="Z3463" s="147">
        <f>$T3338*'Assumptions (O&amp;G Upstream)'!H$344</f>
        <v>10.02839</v>
      </c>
      <c r="AA3463" s="147">
        <f>$T3338*'Assumptions (O&amp;G Upstream)'!I$344</f>
        <v>5.0085800000000003</v>
      </c>
      <c r="AB3463" s="147">
        <f>$T3338*'Assumptions (O&amp;G Upstream)'!J$344</f>
        <v>0</v>
      </c>
      <c r="AC3463" s="147">
        <f>$T3338*'Assumptions (O&amp;G Upstream)'!K$344</f>
        <v>0</v>
      </c>
      <c r="AD3463" s="147">
        <f>$T3338*'Assumptions (O&amp;G Upstream)'!L$344</f>
        <v>0</v>
      </c>
      <c r="AE3463" s="147">
        <f>$T3338*'Assumptions (O&amp;G Upstream)'!M$344</f>
        <v>0</v>
      </c>
      <c r="AF3463" s="147">
        <f>$T3338*'Assumptions (O&amp;G Upstream)'!N$344</f>
        <v>0</v>
      </c>
      <c r="AG3463" s="147">
        <f>$T3338*'Assumptions (O&amp;G Upstream)'!O$344</f>
        <v>0</v>
      </c>
      <c r="AH3463" s="147">
        <f>$T3338*'Assumptions (O&amp;G Upstream)'!P$344</f>
        <v>0</v>
      </c>
      <c r="AI3463" s="147">
        <f>$T3338*'Assumptions (O&amp;G Upstream)'!Q$344</f>
        <v>0</v>
      </c>
      <c r="AJ3463" s="147">
        <f>$T3338*'Assumptions (O&amp;G Upstream)'!R$344</f>
        <v>0</v>
      </c>
      <c r="AK3463" s="147">
        <f>$T3338*'Assumptions (O&amp;G Upstream)'!S$344</f>
        <v>0</v>
      </c>
      <c r="AL3463" s="147">
        <f>$T3338*'Assumptions (O&amp;G Upstream)'!T$344</f>
        <v>0</v>
      </c>
      <c r="AM3463" s="147">
        <f>$T3338*'Assumptions (O&amp;G Upstream)'!U$344</f>
        <v>0</v>
      </c>
      <c r="AN3463" s="147">
        <f>$T3338*'Assumptions (O&amp;G Upstream)'!V$344</f>
        <v>0</v>
      </c>
    </row>
    <row r="3464" spans="1:49" ht="15.75" hidden="1" customHeight="1" outlineLevel="1">
      <c r="A3464" s="472"/>
      <c r="B3464" s="99"/>
      <c r="C3464" s="42"/>
      <c r="D3464" s="42"/>
      <c r="E3464" s="42"/>
      <c r="F3464" s="42"/>
      <c r="G3464" s="42"/>
      <c r="H3464" s="42"/>
      <c r="I3464" s="42"/>
      <c r="J3464" s="42"/>
      <c r="K3464" s="42"/>
      <c r="L3464" s="42"/>
      <c r="M3464" s="42"/>
      <c r="N3464" s="42"/>
      <c r="O3464" s="42"/>
      <c r="P3464" s="42"/>
      <c r="Q3464" s="42"/>
      <c r="R3464" s="42"/>
      <c r="S3464" s="42"/>
      <c r="T3464" s="42"/>
      <c r="U3464" s="147">
        <f>$U3338*'Assumptions (O&amp;G Upstream)'!B$344</f>
        <v>24.080155059275882</v>
      </c>
      <c r="V3464" s="147">
        <f>$U3338*'Assumptions (O&amp;G Upstream)'!C$344</f>
        <v>41.268229349311852</v>
      </c>
      <c r="W3464" s="147">
        <f>$U3338*'Assumptions (O&amp;G Upstream)'!D$344</f>
        <v>29.472492091444028</v>
      </c>
      <c r="X3464" s="147">
        <f>$U3338*'Assumptions (O&amp;G Upstream)'!E$344</f>
        <v>21.046965478681297</v>
      </c>
      <c r="Y3464" s="147">
        <f>$U3338*'Assumptions (O&amp;G Upstream)'!F$344</f>
        <v>15.047990530394236</v>
      </c>
      <c r="Z3464" s="147">
        <f>$U3338*'Assumptions (O&amp;G Upstream)'!G$344</f>
        <v>15.031139477168709</v>
      </c>
      <c r="AA3464" s="147">
        <f>$U3338*'Assumptions (O&amp;G Upstream)'!H$344</f>
        <v>15.047990530394236</v>
      </c>
      <c r="AB3464" s="147">
        <f>$U3338*'Assumptions (O&amp;G Upstream)'!I$344</f>
        <v>7.5155697385843547</v>
      </c>
      <c r="AC3464" s="147">
        <f>$U3338*'Assumptions (O&amp;G Upstream)'!J$344</f>
        <v>0</v>
      </c>
      <c r="AD3464" s="147">
        <f>$U3338*'Assumptions (O&amp;G Upstream)'!K$344</f>
        <v>0</v>
      </c>
      <c r="AE3464" s="147">
        <f>$U3338*'Assumptions (O&amp;G Upstream)'!L$344</f>
        <v>0</v>
      </c>
      <c r="AF3464" s="147">
        <f>$U3338*'Assumptions (O&amp;G Upstream)'!M$344</f>
        <v>0</v>
      </c>
      <c r="AG3464" s="147">
        <f>$U3338*'Assumptions (O&amp;G Upstream)'!N$344</f>
        <v>0</v>
      </c>
      <c r="AH3464" s="147">
        <f>$U3338*'Assumptions (O&amp;G Upstream)'!O$344</f>
        <v>0</v>
      </c>
      <c r="AI3464" s="147">
        <f>$U3338*'Assumptions (O&amp;G Upstream)'!P$344</f>
        <v>0</v>
      </c>
      <c r="AJ3464" s="147">
        <f>$U3338*'Assumptions (O&amp;G Upstream)'!Q$344</f>
        <v>0</v>
      </c>
      <c r="AK3464" s="147">
        <f>$U3338*'Assumptions (O&amp;G Upstream)'!R$344</f>
        <v>0</v>
      </c>
      <c r="AL3464" s="147">
        <f>$U3338*'Assumptions (O&amp;G Upstream)'!S$344</f>
        <v>0</v>
      </c>
      <c r="AM3464" s="147">
        <f>$U3338*'Assumptions (O&amp;G Upstream)'!T$344</f>
        <v>0</v>
      </c>
      <c r="AN3464" s="147">
        <f>$U3338*'Assumptions (O&amp;G Upstream)'!U$344</f>
        <v>0</v>
      </c>
      <c r="AO3464" s="147">
        <f>$U3338*'Assumptions (O&amp;G Upstream)'!V$344</f>
        <v>0</v>
      </c>
    </row>
    <row r="3465" spans="1:49" ht="15.75" hidden="1" customHeight="1" outlineLevel="1">
      <c r="A3465" s="472"/>
      <c r="B3465" s="99"/>
      <c r="C3465" s="42"/>
      <c r="D3465" s="42"/>
      <c r="E3465" s="42"/>
      <c r="F3465" s="42"/>
      <c r="G3465" s="42"/>
      <c r="H3465" s="42"/>
      <c r="I3465" s="42"/>
      <c r="J3465" s="42"/>
      <c r="K3465" s="42"/>
      <c r="L3465" s="42"/>
      <c r="M3465" s="42"/>
      <c r="N3465" s="42"/>
      <c r="O3465" s="42"/>
      <c r="P3465" s="42"/>
      <c r="Q3465" s="42"/>
      <c r="R3465" s="42"/>
      <c r="S3465" s="42"/>
      <c r="T3465" s="42"/>
      <c r="U3465" s="42"/>
      <c r="V3465" s="147">
        <f>$V3338*'Assumptions (O&amp;G Upstream)'!B$344</f>
        <v>27.102937223462821</v>
      </c>
      <c r="W3465" s="147">
        <f>$V3338*'Assumptions (O&amp;G Upstream)'!C$344</f>
        <v>46.448630692974419</v>
      </c>
      <c r="X3465" s="147">
        <f>$V3338*'Assumptions (O&amp;G Upstream)'!D$344</f>
        <v>33.172174390368419</v>
      </c>
      <c r="Y3465" s="147">
        <f>$V3338*'Assumptions (O&amp;G Upstream)'!E$344</f>
        <v>23.688991317078418</v>
      </c>
      <c r="Z3465" s="147">
        <f>$V3338*'Assumptions (O&amp;G Upstream)'!F$344</f>
        <v>16.936964968895943</v>
      </c>
      <c r="AA3465" s="147">
        <f>$V3338*'Assumptions (O&amp;G Upstream)'!G$344</f>
        <v>16.917998602749361</v>
      </c>
      <c r="AB3465" s="147">
        <f>$V3338*'Assumptions (O&amp;G Upstream)'!H$344</f>
        <v>16.936964968895943</v>
      </c>
      <c r="AC3465" s="147">
        <f>$V3338*'Assumptions (O&amp;G Upstream)'!I$344</f>
        <v>8.4589993013746803</v>
      </c>
      <c r="AD3465" s="147">
        <f>$V3338*'Assumptions (O&amp;G Upstream)'!J$344</f>
        <v>0</v>
      </c>
      <c r="AE3465" s="147">
        <f>$V3338*'Assumptions (O&amp;G Upstream)'!K$344</f>
        <v>0</v>
      </c>
      <c r="AF3465" s="147">
        <f>$V3338*'Assumptions (O&amp;G Upstream)'!L$344</f>
        <v>0</v>
      </c>
      <c r="AG3465" s="147">
        <f>$V3338*'Assumptions (O&amp;G Upstream)'!M$344</f>
        <v>0</v>
      </c>
      <c r="AH3465" s="147">
        <f>$V3338*'Assumptions (O&amp;G Upstream)'!N$344</f>
        <v>0</v>
      </c>
      <c r="AI3465" s="147">
        <f>$V3338*'Assumptions (O&amp;G Upstream)'!O$344</f>
        <v>0</v>
      </c>
      <c r="AJ3465" s="147">
        <f>$V3338*'Assumptions (O&amp;G Upstream)'!P$344</f>
        <v>0</v>
      </c>
      <c r="AK3465" s="147">
        <f>$V3338*'Assumptions (O&amp;G Upstream)'!Q$344</f>
        <v>0</v>
      </c>
      <c r="AL3465" s="147">
        <f>$V3338*'Assumptions (O&amp;G Upstream)'!R$344</f>
        <v>0</v>
      </c>
      <c r="AM3465" s="147">
        <f>$V3338*'Assumptions (O&amp;G Upstream)'!S$344</f>
        <v>0</v>
      </c>
      <c r="AN3465" s="147">
        <f>$V3338*'Assumptions (O&amp;G Upstream)'!T$344</f>
        <v>0</v>
      </c>
      <c r="AO3465" s="147">
        <f>$V3338*'Assumptions (O&amp;G Upstream)'!U$344</f>
        <v>0</v>
      </c>
      <c r="AP3465" s="147">
        <f>$V3338*'Assumptions (O&amp;G Upstream)'!V$344</f>
        <v>0</v>
      </c>
    </row>
    <row r="3466" spans="1:49" ht="15.75" hidden="1" customHeight="1" outlineLevel="1">
      <c r="A3466" s="472"/>
      <c r="B3466" s="99"/>
      <c r="C3466" s="42"/>
      <c r="D3466" s="42"/>
      <c r="E3466" s="42"/>
      <c r="F3466" s="42"/>
      <c r="G3466" s="42"/>
      <c r="H3466" s="42"/>
      <c r="I3466" s="42"/>
      <c r="J3466" s="42"/>
      <c r="K3466" s="42"/>
      <c r="L3466" s="42"/>
      <c r="M3466" s="42"/>
      <c r="N3466" s="42"/>
      <c r="O3466" s="42"/>
      <c r="P3466" s="42"/>
      <c r="Q3466" s="42"/>
      <c r="R3466" s="42"/>
      <c r="S3466" s="42"/>
      <c r="T3466" s="42"/>
      <c r="U3466" s="42"/>
      <c r="V3466" s="42"/>
      <c r="W3466" s="147">
        <f>$W3338*'Assumptions (O&amp;G Upstream)'!B$344</f>
        <v>29.520580514470343</v>
      </c>
      <c r="X3466" s="147">
        <f>$W3338*'Assumptions (O&amp;G Upstream)'!C$344</f>
        <v>50.591953589879544</v>
      </c>
      <c r="Y3466" s="147">
        <f>$W3338*'Assumptions (O&amp;G Upstream)'!D$344</f>
        <v>36.131207361657545</v>
      </c>
      <c r="Z3466" s="147">
        <f>$W3338*'Assumptions (O&amp;G Upstream)'!E$344</f>
        <v>25.802102912927541</v>
      </c>
      <c r="AA3466" s="147">
        <f>$W3338*'Assumptions (O&amp;G Upstream)'!F$344</f>
        <v>18.447780545431783</v>
      </c>
      <c r="AB3466" s="147">
        <f>$W3338*'Assumptions (O&amp;G Upstream)'!G$344</f>
        <v>18.427122336534321</v>
      </c>
      <c r="AC3466" s="147">
        <f>$W3338*'Assumptions (O&amp;G Upstream)'!H$344</f>
        <v>18.447780545431783</v>
      </c>
      <c r="AD3466" s="147">
        <f>$W3338*'Assumptions (O&amp;G Upstream)'!I$344</f>
        <v>9.2135611682671605</v>
      </c>
      <c r="AE3466" s="147">
        <f>$W3338*'Assumptions (O&amp;G Upstream)'!J$344</f>
        <v>0</v>
      </c>
      <c r="AF3466" s="147">
        <f>$W3338*'Assumptions (O&amp;G Upstream)'!K$344</f>
        <v>0</v>
      </c>
      <c r="AG3466" s="147">
        <f>$W3338*'Assumptions (O&amp;G Upstream)'!L$344</f>
        <v>0</v>
      </c>
      <c r="AH3466" s="147">
        <f>$W3338*'Assumptions (O&amp;G Upstream)'!M$344</f>
        <v>0</v>
      </c>
      <c r="AI3466" s="147">
        <f>$W3338*'Assumptions (O&amp;G Upstream)'!N$344</f>
        <v>0</v>
      </c>
      <c r="AJ3466" s="147">
        <f>$W3338*'Assumptions (O&amp;G Upstream)'!O$344</f>
        <v>0</v>
      </c>
      <c r="AK3466" s="147">
        <f>$W3338*'Assumptions (O&amp;G Upstream)'!P$344</f>
        <v>0</v>
      </c>
      <c r="AL3466" s="147">
        <f>$W3338*'Assumptions (O&amp;G Upstream)'!Q$344</f>
        <v>0</v>
      </c>
      <c r="AM3466" s="147">
        <f>$W3338*'Assumptions (O&amp;G Upstream)'!R$344</f>
        <v>0</v>
      </c>
      <c r="AN3466" s="147">
        <f>$W3338*'Assumptions (O&amp;G Upstream)'!S$344</f>
        <v>0</v>
      </c>
      <c r="AO3466" s="147">
        <f>$W3338*'Assumptions (O&amp;G Upstream)'!T$344</f>
        <v>0</v>
      </c>
      <c r="AP3466" s="147">
        <f>$W3338*'Assumptions (O&amp;G Upstream)'!U$344</f>
        <v>0</v>
      </c>
      <c r="AQ3466" s="147">
        <f>$W3338*'Assumptions (O&amp;G Upstream)'!V$344</f>
        <v>0</v>
      </c>
    </row>
    <row r="3467" spans="1:49" ht="15.75" hidden="1" customHeight="1" outlineLevel="1">
      <c r="A3467" s="472"/>
      <c r="B3467" s="99"/>
      <c r="C3467" s="42"/>
      <c r="D3467" s="42"/>
      <c r="E3467" s="42"/>
      <c r="F3467" s="42"/>
      <c r="G3467" s="42"/>
      <c r="H3467" s="42"/>
      <c r="I3467" s="42"/>
      <c r="J3467" s="42"/>
      <c r="K3467" s="42"/>
      <c r="L3467" s="42"/>
      <c r="M3467" s="42"/>
      <c r="N3467" s="42"/>
      <c r="O3467" s="42"/>
      <c r="P3467" s="42"/>
      <c r="Q3467" s="42"/>
      <c r="R3467" s="42"/>
      <c r="S3467" s="42"/>
      <c r="T3467" s="42"/>
      <c r="U3467" s="42"/>
      <c r="V3467" s="42"/>
      <c r="W3467" s="86"/>
      <c r="X3467" s="147">
        <f>$X3338*'Assumptions (O&amp;G Upstream)'!B$344</f>
        <v>31.059520344356258</v>
      </c>
      <c r="Y3467" s="147">
        <f>$X3338*'Assumptions (O&amp;G Upstream)'!C$344</f>
        <v>53.229366916255053</v>
      </c>
      <c r="Z3467" s="147">
        <f>$X3338*'Assumptions (O&amp;G Upstream)'!D$344</f>
        <v>38.014766327697053</v>
      </c>
      <c r="AA3467" s="147">
        <f>$X3338*'Assumptions (O&amp;G Upstream)'!E$344</f>
        <v>27.147194478727055</v>
      </c>
      <c r="AB3467" s="147">
        <f>$X3338*'Assumptions (O&amp;G Upstream)'!F$344</f>
        <v>19.409483322260417</v>
      </c>
      <c r="AC3467" s="147">
        <f>$X3338*'Assumptions (O&amp;G Upstream)'!G$344</f>
        <v>19.387748178562479</v>
      </c>
      <c r="AD3467" s="147">
        <f>$X3338*'Assumptions (O&amp;G Upstream)'!H$344</f>
        <v>19.409483322260417</v>
      </c>
      <c r="AE3467" s="147">
        <f>$X3338*'Assumptions (O&amp;G Upstream)'!I$344</f>
        <v>9.6938740892812394</v>
      </c>
      <c r="AF3467" s="147">
        <f>$X3338*'Assumptions (O&amp;G Upstream)'!J$344</f>
        <v>0</v>
      </c>
      <c r="AG3467" s="147">
        <f>$X3338*'Assumptions (O&amp;G Upstream)'!K$344</f>
        <v>0</v>
      </c>
      <c r="AH3467" s="147">
        <f>$X3338*'Assumptions (O&amp;G Upstream)'!L$344</f>
        <v>0</v>
      </c>
      <c r="AI3467" s="147">
        <f>$X3338*'Assumptions (O&amp;G Upstream)'!M$344</f>
        <v>0</v>
      </c>
      <c r="AJ3467" s="147">
        <f>$X3338*'Assumptions (O&amp;G Upstream)'!N$344</f>
        <v>0</v>
      </c>
      <c r="AK3467" s="147">
        <f>$X3338*'Assumptions (O&amp;G Upstream)'!O$344</f>
        <v>0</v>
      </c>
      <c r="AL3467" s="147">
        <f>$X3338*'Assumptions (O&amp;G Upstream)'!P$344</f>
        <v>0</v>
      </c>
      <c r="AM3467" s="147">
        <f>$X3338*'Assumptions (O&amp;G Upstream)'!Q$344</f>
        <v>0</v>
      </c>
      <c r="AN3467" s="147">
        <f>$X3338*'Assumptions (O&amp;G Upstream)'!R$344</f>
        <v>0</v>
      </c>
      <c r="AO3467" s="147">
        <f>$X3338*'Assumptions (O&amp;G Upstream)'!S$344</f>
        <v>0</v>
      </c>
      <c r="AP3467" s="147">
        <f>$X3338*'Assumptions (O&amp;G Upstream)'!T$344</f>
        <v>0</v>
      </c>
      <c r="AQ3467" s="147">
        <f>$X3338*'Assumptions (O&amp;G Upstream)'!U$344</f>
        <v>0</v>
      </c>
      <c r="AR3467" s="147">
        <f>$X3338*'Assumptions (O&amp;G Upstream)'!V$344</f>
        <v>0</v>
      </c>
    </row>
    <row r="3468" spans="1:49" ht="15.75" hidden="1" customHeight="1" outlineLevel="1">
      <c r="A3468" s="472"/>
      <c r="B3468" s="99"/>
      <c r="C3468" s="42"/>
      <c r="D3468" s="42"/>
      <c r="E3468" s="42"/>
      <c r="F3468" s="42"/>
      <c r="G3468" s="42"/>
      <c r="H3468" s="42"/>
      <c r="I3468" s="42"/>
      <c r="J3468" s="42"/>
      <c r="K3468" s="42"/>
      <c r="L3468" s="42"/>
      <c r="M3468" s="42"/>
      <c r="N3468" s="42"/>
      <c r="O3468" s="42"/>
      <c r="P3468" s="42"/>
      <c r="Q3468" s="42"/>
      <c r="R3468" s="42"/>
      <c r="S3468" s="42"/>
      <c r="T3468" s="42"/>
      <c r="U3468" s="42"/>
      <c r="V3468" s="42"/>
      <c r="W3468" s="86"/>
      <c r="Y3468" s="147">
        <f>$Y3338*'Assumptions (O&amp;G Upstream)'!B$344</f>
        <v>31.455811680730221</v>
      </c>
      <c r="Z3468" s="147">
        <f>$Y3338*'Assumptions (O&amp;G Upstream)'!C$344</f>
        <v>53.908525406653823</v>
      </c>
      <c r="AA3468" s="147">
        <f>$Y3338*'Assumptions (O&amp;G Upstream)'!D$344</f>
        <v>38.499800300627818</v>
      </c>
      <c r="AB3468" s="147">
        <f>$Y3338*'Assumptions (O&amp;G Upstream)'!E$344</f>
        <v>27.493568082037818</v>
      </c>
      <c r="AC3468" s="147">
        <f>$Y3338*'Assumptions (O&amp;G Upstream)'!F$344</f>
        <v>19.657130742401741</v>
      </c>
      <c r="AD3468" s="147">
        <f>$Y3338*'Assumptions (O&amp;G Upstream)'!G$344</f>
        <v>19.635118277964562</v>
      </c>
      <c r="AE3468" s="147">
        <f>$Y3338*'Assumptions (O&amp;G Upstream)'!H$344</f>
        <v>19.657130742401741</v>
      </c>
      <c r="AF3468" s="147">
        <f>$Y3338*'Assumptions (O&amp;G Upstream)'!I$344</f>
        <v>9.8175591389822809</v>
      </c>
      <c r="AG3468" s="147">
        <f>$Y3338*'Assumptions (O&amp;G Upstream)'!J$344</f>
        <v>0</v>
      </c>
      <c r="AH3468" s="147">
        <f>$Y3338*'Assumptions (O&amp;G Upstream)'!K$344</f>
        <v>0</v>
      </c>
      <c r="AI3468" s="147">
        <f>$Y3338*'Assumptions (O&amp;G Upstream)'!L$344</f>
        <v>0</v>
      </c>
      <c r="AJ3468" s="147">
        <f>$Y3338*'Assumptions (O&amp;G Upstream)'!M$344</f>
        <v>0</v>
      </c>
      <c r="AK3468" s="147">
        <f>$Y3338*'Assumptions (O&amp;G Upstream)'!N$344</f>
        <v>0</v>
      </c>
      <c r="AL3468" s="147">
        <f>$Y3338*'Assumptions (O&amp;G Upstream)'!O$344</f>
        <v>0</v>
      </c>
      <c r="AM3468" s="147">
        <f>$Y3338*'Assumptions (O&amp;G Upstream)'!P$344</f>
        <v>0</v>
      </c>
      <c r="AN3468" s="147">
        <f>$Y3338*'Assumptions (O&amp;G Upstream)'!Q$344</f>
        <v>0</v>
      </c>
      <c r="AO3468" s="147">
        <f>$Y3338*'Assumptions (O&amp;G Upstream)'!R$344</f>
        <v>0</v>
      </c>
      <c r="AP3468" s="147">
        <f>$Y3338*'Assumptions (O&amp;G Upstream)'!S$344</f>
        <v>0</v>
      </c>
      <c r="AQ3468" s="147">
        <f>$Y3338*'Assumptions (O&amp;G Upstream)'!T$344</f>
        <v>0</v>
      </c>
      <c r="AR3468" s="147">
        <f>$Y3338*'Assumptions (O&amp;G Upstream)'!U$344</f>
        <v>0</v>
      </c>
      <c r="AS3468" s="147">
        <f>$Y3338*'Assumptions (O&amp;G Upstream)'!V$344</f>
        <v>0</v>
      </c>
    </row>
    <row r="3469" spans="1:49" ht="15.75" hidden="1" customHeight="1" outlineLevel="1">
      <c r="A3469" s="472"/>
      <c r="B3469" s="99"/>
      <c r="C3469" s="42"/>
      <c r="D3469" s="42"/>
      <c r="E3469" s="42"/>
      <c r="F3469" s="42"/>
      <c r="G3469" s="42"/>
      <c r="H3469" s="42"/>
      <c r="I3469" s="42"/>
      <c r="J3469" s="42"/>
      <c r="K3469" s="42"/>
      <c r="L3469" s="42"/>
      <c r="M3469" s="42"/>
      <c r="N3469" s="42"/>
      <c r="O3469" s="42"/>
      <c r="P3469" s="42"/>
      <c r="Q3469" s="42"/>
      <c r="R3469" s="42"/>
      <c r="S3469" s="42"/>
      <c r="T3469" s="42"/>
      <c r="U3469" s="42"/>
      <c r="V3469" s="42"/>
      <c r="W3469" s="86"/>
      <c r="Z3469" s="147">
        <f>$Z3338*'Assumptions (O&amp;G Upstream)'!B$344</f>
        <v>32.139692316790239</v>
      </c>
      <c r="AA3469" s="147">
        <f>$Z3338*'Assumptions (O&amp;G Upstream)'!C$344</f>
        <v>55.080550373561444</v>
      </c>
      <c r="AB3469" s="147">
        <f>$Z3338*'Assumptions (O&amp;G Upstream)'!D$344</f>
        <v>39.336824256169443</v>
      </c>
      <c r="AC3469" s="147">
        <f>$Z3338*'Assumptions (O&amp;G Upstream)'!E$344</f>
        <v>28.091305600889438</v>
      </c>
      <c r="AD3469" s="147">
        <f>$Z3338*'Assumptions (O&amp;G Upstream)'!F$344</f>
        <v>20.084496318330082</v>
      </c>
      <c r="AE3469" s="147">
        <f>$Z3338*'Assumptions (O&amp;G Upstream)'!G$344</f>
        <v>20.06200528101952</v>
      </c>
      <c r="AF3469" s="147">
        <f>$Z3338*'Assumptions (O&amp;G Upstream)'!H$344</f>
        <v>20.084496318330082</v>
      </c>
      <c r="AG3469" s="147">
        <f>$Z3338*'Assumptions (O&amp;G Upstream)'!I$344</f>
        <v>10.03100264050976</v>
      </c>
      <c r="AH3469" s="147">
        <f>$Z3338*'Assumptions (O&amp;G Upstream)'!J$344</f>
        <v>0</v>
      </c>
      <c r="AI3469" s="147">
        <f>$Z3338*'Assumptions (O&amp;G Upstream)'!K$344</f>
        <v>0</v>
      </c>
      <c r="AJ3469" s="147">
        <f>$Z3338*'Assumptions (O&amp;G Upstream)'!L$344</f>
        <v>0</v>
      </c>
      <c r="AK3469" s="147">
        <f>$Z3338*'Assumptions (O&amp;G Upstream)'!M$344</f>
        <v>0</v>
      </c>
      <c r="AL3469" s="147">
        <f>$Z3338*'Assumptions (O&amp;G Upstream)'!N$344</f>
        <v>0</v>
      </c>
      <c r="AM3469" s="147">
        <f>$Z3338*'Assumptions (O&amp;G Upstream)'!O$344</f>
        <v>0</v>
      </c>
      <c r="AN3469" s="147">
        <f>$Z3338*'Assumptions (O&amp;G Upstream)'!P$344</f>
        <v>0</v>
      </c>
      <c r="AO3469" s="147">
        <f>$Z3338*'Assumptions (O&amp;G Upstream)'!Q$344</f>
        <v>0</v>
      </c>
      <c r="AP3469" s="147">
        <f>$Z3338*'Assumptions (O&amp;G Upstream)'!R$344</f>
        <v>0</v>
      </c>
      <c r="AQ3469" s="147">
        <f>$Z3338*'Assumptions (O&amp;G Upstream)'!S$344</f>
        <v>0</v>
      </c>
      <c r="AR3469" s="147">
        <f>$Z3338*'Assumptions (O&amp;G Upstream)'!T$344</f>
        <v>0</v>
      </c>
      <c r="AS3469" s="147">
        <f>$Z3338*'Assumptions (O&amp;G Upstream)'!U$344</f>
        <v>0</v>
      </c>
      <c r="AT3469" s="147">
        <f>$Z3338*'Assumptions (O&amp;G Upstream)'!V$344</f>
        <v>0</v>
      </c>
    </row>
    <row r="3470" spans="1:49" ht="15.75" hidden="1" customHeight="1" outlineLevel="1">
      <c r="A3470" s="472"/>
      <c r="B3470" s="99"/>
      <c r="C3470" s="42"/>
      <c r="D3470" s="42"/>
      <c r="E3470" s="42"/>
      <c r="F3470" s="42"/>
      <c r="G3470" s="42"/>
      <c r="H3470" s="42"/>
      <c r="I3470" s="42"/>
      <c r="J3470" s="42"/>
      <c r="K3470" s="42"/>
      <c r="L3470" s="42"/>
      <c r="M3470" s="42"/>
      <c r="N3470" s="42"/>
      <c r="O3470" s="42"/>
      <c r="P3470" s="42"/>
      <c r="Q3470" s="42"/>
      <c r="R3470" s="42"/>
      <c r="S3470" s="42"/>
      <c r="T3470" s="42"/>
      <c r="U3470" s="42"/>
      <c r="V3470" s="42"/>
      <c r="W3470" s="86"/>
      <c r="AA3470" s="147">
        <f>$AA3338*'Assumptions (O&amp;G Upstream)'!B$344</f>
        <v>33.604304758490024</v>
      </c>
      <c r="AB3470" s="147">
        <f>$AA3338*'Assumptions (O&amp;G Upstream)'!C$344</f>
        <v>57.590582472737623</v>
      </c>
      <c r="AC3470" s="147">
        <f>$AA3338*'Assumptions (O&amp;G Upstream)'!D$344</f>
        <v>41.129411492371624</v>
      </c>
      <c r="AD3470" s="147">
        <f>$AA3338*'Assumptions (O&amp;G Upstream)'!E$344</f>
        <v>29.371432220681619</v>
      </c>
      <c r="AE3470" s="147">
        <f>$AA3338*'Assumptions (O&amp;G Upstream)'!F$344</f>
        <v>20.999750979238343</v>
      </c>
      <c r="AF3470" s="147">
        <f>$AA3338*'Assumptions (O&amp;G Upstream)'!G$344</f>
        <v>20.976235020694961</v>
      </c>
      <c r="AG3470" s="147">
        <f>$AA3338*'Assumptions (O&amp;G Upstream)'!H$344</f>
        <v>20.999750979238343</v>
      </c>
      <c r="AH3470" s="147">
        <f>$AA3338*'Assumptions (O&amp;G Upstream)'!I$344</f>
        <v>10.488117510347481</v>
      </c>
      <c r="AI3470" s="147">
        <f>$AA3338*'Assumptions (O&amp;G Upstream)'!J$344</f>
        <v>0</v>
      </c>
      <c r="AJ3470" s="147">
        <f>$AA3338*'Assumptions (O&amp;G Upstream)'!K$344</f>
        <v>0</v>
      </c>
      <c r="AK3470" s="147">
        <f>$AA3338*'Assumptions (O&amp;G Upstream)'!L$344</f>
        <v>0</v>
      </c>
      <c r="AL3470" s="147">
        <f>$AA3338*'Assumptions (O&amp;G Upstream)'!M$344</f>
        <v>0</v>
      </c>
      <c r="AM3470" s="147">
        <f>$AA3338*'Assumptions (O&amp;G Upstream)'!N$344</f>
        <v>0</v>
      </c>
      <c r="AN3470" s="147">
        <f>$AA3338*'Assumptions (O&amp;G Upstream)'!O$344</f>
        <v>0</v>
      </c>
      <c r="AO3470" s="147">
        <f>$AA3338*'Assumptions (O&amp;G Upstream)'!P$344</f>
        <v>0</v>
      </c>
      <c r="AP3470" s="147">
        <f>$AA3338*'Assumptions (O&amp;G Upstream)'!Q$344</f>
        <v>0</v>
      </c>
      <c r="AQ3470" s="147">
        <f>$AA3338*'Assumptions (O&amp;G Upstream)'!R$344</f>
        <v>0</v>
      </c>
      <c r="AR3470" s="147">
        <f>$AA3338*'Assumptions (O&amp;G Upstream)'!S$344</f>
        <v>0</v>
      </c>
      <c r="AS3470" s="147">
        <f>$AA3338*'Assumptions (O&amp;G Upstream)'!T$344</f>
        <v>0</v>
      </c>
      <c r="AT3470" s="147">
        <f>$AA3338*'Assumptions (O&amp;G Upstream)'!U$344</f>
        <v>0</v>
      </c>
      <c r="AU3470" s="147">
        <f>$AA3338*'Assumptions (O&amp;G Upstream)'!V$344</f>
        <v>0</v>
      </c>
    </row>
    <row r="3471" spans="1:49" ht="15.75" hidden="1" customHeight="1" outlineLevel="1">
      <c r="A3471" s="472"/>
      <c r="B3471" s="99"/>
      <c r="C3471" s="42"/>
      <c r="D3471" s="42"/>
      <c r="E3471" s="42"/>
      <c r="F3471" s="42"/>
      <c r="G3471" s="42"/>
      <c r="H3471" s="42"/>
      <c r="I3471" s="42"/>
      <c r="J3471" s="42"/>
      <c r="K3471" s="42"/>
      <c r="L3471" s="42"/>
      <c r="M3471" s="42"/>
      <c r="N3471" s="42"/>
      <c r="O3471" s="42"/>
      <c r="P3471" s="42"/>
      <c r="Q3471" s="42"/>
      <c r="R3471" s="42"/>
      <c r="S3471" s="42"/>
      <c r="T3471" s="42"/>
      <c r="U3471" s="42"/>
      <c r="V3471" s="42"/>
      <c r="W3471" s="86"/>
      <c r="AB3471" s="147">
        <f>$AB3338*'Assumptions (O&amp;G Upstream)'!B$344</f>
        <v>34.782731968540674</v>
      </c>
      <c r="AC3471" s="147">
        <f>$AB3338*'Assumptions (O&amp;G Upstream)'!C$344</f>
        <v>59.61015436735908</v>
      </c>
      <c r="AD3471" s="147">
        <f>$AB3338*'Assumptions (O&amp;G Upstream)'!D$344</f>
        <v>42.571727230915073</v>
      </c>
      <c r="AE3471" s="147">
        <f>$AB3338*'Assumptions (O&amp;G Upstream)'!E$344</f>
        <v>30.401422133455078</v>
      </c>
      <c r="AF3471" s="147">
        <f>$AB3338*'Assumptions (O&amp;G Upstream)'!F$344</f>
        <v>21.73616490406356</v>
      </c>
      <c r="AG3471" s="147">
        <f>$AB3338*'Assumptions (O&amp;G Upstream)'!G$344</f>
        <v>21.711824293868638</v>
      </c>
      <c r="AH3471" s="147">
        <f>$AB3338*'Assumptions (O&amp;G Upstream)'!H$344</f>
        <v>21.73616490406356</v>
      </c>
      <c r="AI3471" s="147">
        <f>$AB3338*'Assumptions (O&amp;G Upstream)'!I$344</f>
        <v>10.855912146934319</v>
      </c>
      <c r="AJ3471" s="147">
        <f>$AB3338*'Assumptions (O&amp;G Upstream)'!J$344</f>
        <v>0</v>
      </c>
      <c r="AK3471" s="147">
        <f>$AB3338*'Assumptions (O&amp;G Upstream)'!K$344</f>
        <v>0</v>
      </c>
      <c r="AL3471" s="147">
        <f>$AB3338*'Assumptions (O&amp;G Upstream)'!L$344</f>
        <v>0</v>
      </c>
      <c r="AM3471" s="147">
        <f>$AB3338*'Assumptions (O&amp;G Upstream)'!M$344</f>
        <v>0</v>
      </c>
      <c r="AN3471" s="147">
        <f>$AB3338*'Assumptions (O&amp;G Upstream)'!N$344</f>
        <v>0</v>
      </c>
      <c r="AO3471" s="147">
        <f>$AB3338*'Assumptions (O&amp;G Upstream)'!O$344</f>
        <v>0</v>
      </c>
      <c r="AP3471" s="147">
        <f>$AB3338*'Assumptions (O&amp;G Upstream)'!P$344</f>
        <v>0</v>
      </c>
      <c r="AQ3471" s="147">
        <f>$AB3338*'Assumptions (O&amp;G Upstream)'!Q$344</f>
        <v>0</v>
      </c>
      <c r="AR3471" s="147">
        <f>$AB3338*'Assumptions (O&amp;G Upstream)'!R$344</f>
        <v>0</v>
      </c>
      <c r="AS3471" s="147">
        <f>$AB3338*'Assumptions (O&amp;G Upstream)'!S$344</f>
        <v>0</v>
      </c>
      <c r="AT3471" s="147">
        <f>$AB3338*'Assumptions (O&amp;G Upstream)'!T$344</f>
        <v>0</v>
      </c>
      <c r="AU3471" s="147">
        <f>$AB3338*'Assumptions (O&amp;G Upstream)'!U$344</f>
        <v>0</v>
      </c>
      <c r="AV3471" s="147">
        <f>$AB3338*'Assumptions (O&amp;G Upstream)'!V$344</f>
        <v>0</v>
      </c>
    </row>
    <row r="3472" spans="1:49" ht="15.75" hidden="1" customHeight="1" outlineLevel="1">
      <c r="A3472" s="472"/>
      <c r="B3472" s="99"/>
      <c r="C3472" s="42"/>
      <c r="D3472" s="42"/>
      <c r="E3472" s="42"/>
      <c r="F3472" s="42"/>
      <c r="G3472" s="42"/>
      <c r="H3472" s="42"/>
      <c r="I3472" s="42"/>
      <c r="J3472" s="42"/>
      <c r="K3472" s="42"/>
      <c r="L3472" s="42"/>
      <c r="M3472" s="42"/>
      <c r="N3472" s="42"/>
      <c r="O3472" s="42"/>
      <c r="P3472" s="42"/>
      <c r="Q3472" s="42"/>
      <c r="R3472" s="42"/>
      <c r="S3472" s="42"/>
      <c r="T3472" s="42"/>
      <c r="U3472" s="42"/>
      <c r="V3472" s="42"/>
      <c r="W3472" s="86"/>
      <c r="AC3472" s="147">
        <f>$AC3338*'Assumptions (O&amp;G Upstream)'!B$344</f>
        <v>36.089101284168819</v>
      </c>
      <c r="AD3472" s="147">
        <f>$AC3338*'Assumptions (O&amp;G Upstream)'!C$344</f>
        <v>61.848991633960424</v>
      </c>
      <c r="AE3472" s="147">
        <f>$AC3338*'Assumptions (O&amp;G Upstream)'!D$344</f>
        <v>44.170635511554423</v>
      </c>
      <c r="AF3472" s="147">
        <f>$AC3338*'Assumptions (O&amp;G Upstream)'!E$344</f>
        <v>31.543238281264422</v>
      </c>
      <c r="AG3472" s="147">
        <f>$AC3338*'Assumptions (O&amp;G Upstream)'!F$344</f>
        <v>22.552531453297942</v>
      </c>
      <c r="AH3472" s="147">
        <f>$AC3338*'Assumptions (O&amp;G Upstream)'!G$344</f>
        <v>22.527276658837362</v>
      </c>
      <c r="AI3472" s="147">
        <f>$AC3338*'Assumptions (O&amp;G Upstream)'!H$344</f>
        <v>22.552531453297942</v>
      </c>
      <c r="AJ3472" s="147">
        <f>$AC3338*'Assumptions (O&amp;G Upstream)'!I$344</f>
        <v>11.263638329418681</v>
      </c>
      <c r="AK3472" s="147">
        <f>$AC3338*'Assumptions (O&amp;G Upstream)'!J$344</f>
        <v>0</v>
      </c>
      <c r="AL3472" s="147">
        <f>$AC3338*'Assumptions (O&amp;G Upstream)'!K$344</f>
        <v>0</v>
      </c>
      <c r="AM3472" s="147">
        <f>$AC3338*'Assumptions (O&amp;G Upstream)'!L$344</f>
        <v>0</v>
      </c>
      <c r="AN3472" s="147">
        <f>$AC3338*'Assumptions (O&amp;G Upstream)'!M$344</f>
        <v>0</v>
      </c>
      <c r="AO3472" s="147">
        <f>$AC3338*'Assumptions (O&amp;G Upstream)'!N$344</f>
        <v>0</v>
      </c>
      <c r="AP3472" s="147">
        <f>$AC3338*'Assumptions (O&amp;G Upstream)'!O$344</f>
        <v>0</v>
      </c>
      <c r="AQ3472" s="147">
        <f>$AC3338*'Assumptions (O&amp;G Upstream)'!P$344</f>
        <v>0</v>
      </c>
      <c r="AR3472" s="147">
        <f>$AC3338*'Assumptions (O&amp;G Upstream)'!Q$344</f>
        <v>0</v>
      </c>
      <c r="AS3472" s="147">
        <f>$AC3338*'Assumptions (O&amp;G Upstream)'!R$344</f>
        <v>0</v>
      </c>
      <c r="AT3472" s="147">
        <f>$AC3338*'Assumptions (O&amp;G Upstream)'!S$344</f>
        <v>0</v>
      </c>
      <c r="AU3472" s="147">
        <f>$AC3338*'Assumptions (O&amp;G Upstream)'!T$344</f>
        <v>0</v>
      </c>
      <c r="AV3472" s="147">
        <f>$AC3338*'Assumptions (O&amp;G Upstream)'!U$344</f>
        <v>0</v>
      </c>
      <c r="AW3472" s="147">
        <f>$AC3338*'Assumptions (O&amp;G Upstream)'!V$344</f>
        <v>0</v>
      </c>
    </row>
    <row r="3473" spans="1:65" ht="15.75" hidden="1" customHeight="1" outlineLevel="1">
      <c r="A3473" s="472"/>
      <c r="B3473" s="99"/>
      <c r="C3473" s="42"/>
      <c r="D3473" s="42"/>
      <c r="E3473" s="42"/>
      <c r="F3473" s="42"/>
      <c r="G3473" s="42"/>
      <c r="H3473" s="42"/>
      <c r="I3473" s="42"/>
      <c r="J3473" s="42"/>
      <c r="K3473" s="42"/>
      <c r="L3473" s="42"/>
      <c r="M3473" s="42"/>
      <c r="N3473" s="42"/>
      <c r="O3473" s="42"/>
      <c r="P3473" s="42"/>
      <c r="Q3473" s="42"/>
      <c r="R3473" s="42"/>
      <c r="S3473" s="42"/>
      <c r="T3473" s="42"/>
      <c r="U3473" s="42"/>
      <c r="V3473" s="42"/>
      <c r="W3473" s="86"/>
      <c r="AD3473" s="147">
        <f>$AD3338*'Assumptions (O&amp;G Upstream)'!B$344</f>
        <v>37.556802229884781</v>
      </c>
      <c r="AE3473" s="147">
        <f>$AD3338*'Assumptions (O&amp;G Upstream)'!C$344</f>
        <v>64.36431676766118</v>
      </c>
      <c r="AF3473" s="147">
        <f>$AD3338*'Assumptions (O&amp;G Upstream)'!D$344</f>
        <v>45.967002869187183</v>
      </c>
      <c r="AG3473" s="147">
        <f>$AD3338*'Assumptions (O&amp;G Upstream)'!E$344</f>
        <v>32.82606437027718</v>
      </c>
      <c r="AH3473" s="147">
        <f>$AD3338*'Assumptions (O&amp;G Upstream)'!F$344</f>
        <v>23.469716159053263</v>
      </c>
      <c r="AI3473" s="147">
        <f>$AD3338*'Assumptions (O&amp;G Upstream)'!G$344</f>
        <v>23.443434282055442</v>
      </c>
      <c r="AJ3473" s="147">
        <f>$AD3338*'Assumptions (O&amp;G Upstream)'!H$344</f>
        <v>23.469716159053263</v>
      </c>
      <c r="AK3473" s="147">
        <f>$AD3338*'Assumptions (O&amp;G Upstream)'!I$344</f>
        <v>11.721717141027721</v>
      </c>
      <c r="AL3473" s="147">
        <f>$AD3338*'Assumptions (O&amp;G Upstream)'!J$344</f>
        <v>0</v>
      </c>
      <c r="AM3473" s="147">
        <f>$AD3338*'Assumptions (O&amp;G Upstream)'!K$344</f>
        <v>0</v>
      </c>
      <c r="AN3473" s="147">
        <f>$AD3338*'Assumptions (O&amp;G Upstream)'!L$344</f>
        <v>0</v>
      </c>
      <c r="AO3473" s="147">
        <f>$AD3338*'Assumptions (O&amp;G Upstream)'!M$344</f>
        <v>0</v>
      </c>
      <c r="AP3473" s="147">
        <f>$AD3338*'Assumptions (O&amp;G Upstream)'!N$344</f>
        <v>0</v>
      </c>
      <c r="AQ3473" s="147">
        <f>$AD3338*'Assumptions (O&amp;G Upstream)'!O$344</f>
        <v>0</v>
      </c>
      <c r="AR3473" s="147">
        <f>$AD3338*'Assumptions (O&amp;G Upstream)'!P$344</f>
        <v>0</v>
      </c>
      <c r="AS3473" s="147">
        <f>$AD3338*'Assumptions (O&amp;G Upstream)'!Q$344</f>
        <v>0</v>
      </c>
      <c r="AT3473" s="147">
        <f>$AD3338*'Assumptions (O&amp;G Upstream)'!R$344</f>
        <v>0</v>
      </c>
      <c r="AU3473" s="147">
        <f>$AD3338*'Assumptions (O&amp;G Upstream)'!S$344</f>
        <v>0</v>
      </c>
      <c r="AV3473" s="147">
        <f>$AD3338*'Assumptions (O&amp;G Upstream)'!T$344</f>
        <v>0</v>
      </c>
      <c r="AW3473" s="147">
        <f>$AD3338*'Assumptions (O&amp;G Upstream)'!U$344</f>
        <v>0</v>
      </c>
      <c r="AX3473" s="147">
        <f>$AD3338*'Assumptions (O&amp;G Upstream)'!V$344</f>
        <v>0</v>
      </c>
    </row>
    <row r="3474" spans="1:65" ht="15.75" hidden="1" customHeight="1" outlineLevel="1">
      <c r="A3474" s="472"/>
      <c r="B3474" s="99"/>
      <c r="C3474" s="42"/>
      <c r="D3474" s="42"/>
      <c r="E3474" s="42"/>
      <c r="F3474" s="42"/>
      <c r="G3474" s="42"/>
      <c r="H3474" s="42"/>
      <c r="I3474" s="42"/>
      <c r="J3474" s="42"/>
      <c r="K3474" s="42"/>
      <c r="L3474" s="42"/>
      <c r="M3474" s="42"/>
      <c r="N3474" s="42"/>
      <c r="O3474" s="42"/>
      <c r="P3474" s="42"/>
      <c r="Q3474" s="42"/>
      <c r="R3474" s="42"/>
      <c r="S3474" s="42"/>
      <c r="T3474" s="42"/>
      <c r="U3474" s="42"/>
      <c r="V3474" s="42"/>
      <c r="W3474" s="86"/>
      <c r="AE3474" s="147">
        <f>$AE3338*'Assumptions (O&amp;G Upstream)'!B$344</f>
        <v>38.465111643499817</v>
      </c>
      <c r="AF3474" s="147">
        <f>$AE3338*'Assumptions (O&amp;G Upstream)'!C$344</f>
        <v>65.920964601071418</v>
      </c>
      <c r="AG3474" s="147">
        <f>$AE3338*'Assumptions (O&amp;G Upstream)'!D$344</f>
        <v>47.078712571365422</v>
      </c>
      <c r="AH3474" s="147">
        <f>$AE3338*'Assumptions (O&amp;G Upstream)'!E$344</f>
        <v>33.619961121575422</v>
      </c>
      <c r="AI3474" s="147">
        <f>$AE3338*'Assumptions (O&amp;G Upstream)'!F$344</f>
        <v>24.037330089324943</v>
      </c>
      <c r="AJ3474" s="147">
        <f>$AE3338*'Assumptions (O&amp;G Upstream)'!G$344</f>
        <v>24.01041258642536</v>
      </c>
      <c r="AK3474" s="147">
        <f>$AE3338*'Assumptions (O&amp;G Upstream)'!H$344</f>
        <v>24.037330089324943</v>
      </c>
      <c r="AL3474" s="147">
        <f>$AE3338*'Assumptions (O&amp;G Upstream)'!I$344</f>
        <v>12.00520629321268</v>
      </c>
      <c r="AM3474" s="147">
        <f>$AE3338*'Assumptions (O&amp;G Upstream)'!J$344</f>
        <v>0</v>
      </c>
      <c r="AN3474" s="147">
        <f>$AE3338*'Assumptions (O&amp;G Upstream)'!K$344</f>
        <v>0</v>
      </c>
      <c r="AO3474" s="147">
        <f>$AE3338*'Assumptions (O&amp;G Upstream)'!L$344</f>
        <v>0</v>
      </c>
      <c r="AP3474" s="147">
        <f>$AE3338*'Assumptions (O&amp;G Upstream)'!M$344</f>
        <v>0</v>
      </c>
      <c r="AQ3474" s="147">
        <f>$AE3338*'Assumptions (O&amp;G Upstream)'!N$344</f>
        <v>0</v>
      </c>
      <c r="AR3474" s="147">
        <f>$AE3338*'Assumptions (O&amp;G Upstream)'!O$344</f>
        <v>0</v>
      </c>
      <c r="AS3474" s="147">
        <f>$AE3338*'Assumptions (O&amp;G Upstream)'!P$344</f>
        <v>0</v>
      </c>
      <c r="AT3474" s="147">
        <f>$AE3338*'Assumptions (O&amp;G Upstream)'!Q$344</f>
        <v>0</v>
      </c>
      <c r="AU3474" s="147">
        <f>$AE3338*'Assumptions (O&amp;G Upstream)'!R$344</f>
        <v>0</v>
      </c>
      <c r="AV3474" s="147">
        <f>$AE3338*'Assumptions (O&amp;G Upstream)'!S$344</f>
        <v>0</v>
      </c>
      <c r="AW3474" s="147">
        <f>$AE3338*'Assumptions (O&amp;G Upstream)'!T$344</f>
        <v>0</v>
      </c>
      <c r="AX3474" s="147">
        <f>$AE3338*'Assumptions (O&amp;G Upstream)'!U$344</f>
        <v>0</v>
      </c>
      <c r="AY3474" s="147">
        <f>$AE3338*'Assumptions (O&amp;G Upstream)'!V$344</f>
        <v>0</v>
      </c>
    </row>
    <row r="3475" spans="1:65" ht="15.75" hidden="1" customHeight="1" outlineLevel="1">
      <c r="A3475" s="472"/>
      <c r="B3475" s="99"/>
      <c r="C3475" s="42"/>
      <c r="D3475" s="42"/>
      <c r="E3475" s="42"/>
      <c r="F3475" s="42"/>
      <c r="G3475" s="42"/>
      <c r="H3475" s="42"/>
      <c r="I3475" s="42"/>
      <c r="J3475" s="42"/>
      <c r="K3475" s="42"/>
      <c r="L3475" s="42"/>
      <c r="M3475" s="42"/>
      <c r="N3475" s="42"/>
      <c r="O3475" s="42"/>
      <c r="P3475" s="42"/>
      <c r="Q3475" s="42"/>
      <c r="R3475" s="42"/>
      <c r="S3475" s="42"/>
      <c r="T3475" s="42"/>
      <c r="U3475" s="42"/>
      <c r="V3475" s="42"/>
      <c r="W3475" s="86"/>
      <c r="AF3475" s="147">
        <f>$AF3338*'Assumptions (O&amp;G Upstream)'!B$344</f>
        <v>39.593236836499756</v>
      </c>
      <c r="AG3475" s="147">
        <f>$AF3338*'Assumptions (O&amp;G Upstream)'!C$344</f>
        <v>67.854329609928556</v>
      </c>
      <c r="AH3475" s="147">
        <f>$AF3338*'Assumptions (O&amp;G Upstream)'!D$344</f>
        <v>48.459462020320558</v>
      </c>
      <c r="AI3475" s="147">
        <f>$AF3338*'Assumptions (O&amp;G Upstream)'!E$344</f>
        <v>34.605985170600555</v>
      </c>
      <c r="AJ3475" s="147">
        <f>$AF3338*'Assumptions (O&amp;G Upstream)'!F$344</f>
        <v>24.742309653599918</v>
      </c>
      <c r="AK3475" s="147">
        <f>$AF3338*'Assumptions (O&amp;G Upstream)'!G$344</f>
        <v>24.714602699900478</v>
      </c>
      <c r="AL3475" s="147">
        <f>$AF3338*'Assumptions (O&amp;G Upstream)'!H$344</f>
        <v>24.742309653599918</v>
      </c>
      <c r="AM3475" s="147">
        <f>$AF3338*'Assumptions (O&amp;G Upstream)'!I$344</f>
        <v>12.357301349950239</v>
      </c>
      <c r="AN3475" s="147">
        <f>$AF3338*'Assumptions (O&amp;G Upstream)'!J$344</f>
        <v>0</v>
      </c>
      <c r="AO3475" s="147">
        <f>$AF3338*'Assumptions (O&amp;G Upstream)'!K$344</f>
        <v>0</v>
      </c>
      <c r="AP3475" s="147">
        <f>$AF3338*'Assumptions (O&amp;G Upstream)'!L$344</f>
        <v>0</v>
      </c>
      <c r="AQ3475" s="147">
        <f>$AF3338*'Assumptions (O&amp;G Upstream)'!M$344</f>
        <v>0</v>
      </c>
      <c r="AR3475" s="147">
        <f>$AF3338*'Assumptions (O&amp;G Upstream)'!N$344</f>
        <v>0</v>
      </c>
      <c r="AS3475" s="147">
        <f>$AF3338*'Assumptions (O&amp;G Upstream)'!O$344</f>
        <v>0</v>
      </c>
      <c r="AT3475" s="147">
        <f>$AF3338*'Assumptions (O&amp;G Upstream)'!P$344</f>
        <v>0</v>
      </c>
      <c r="AU3475" s="147">
        <f>$AF3338*'Assumptions (O&amp;G Upstream)'!Q$344</f>
        <v>0</v>
      </c>
      <c r="AV3475" s="147">
        <f>$AF3338*'Assumptions (O&amp;G Upstream)'!R$344</f>
        <v>0</v>
      </c>
      <c r="AW3475" s="147">
        <f>$AF3338*'Assumptions (O&amp;G Upstream)'!S$344</f>
        <v>0</v>
      </c>
      <c r="AX3475" s="147">
        <f>$AF3338*'Assumptions (O&amp;G Upstream)'!T$344</f>
        <v>0</v>
      </c>
      <c r="AY3475" s="147">
        <f>$AF3338*'Assumptions (O&amp;G Upstream)'!U$344</f>
        <v>0</v>
      </c>
      <c r="AZ3475" s="147">
        <f>$AF3338*'Assumptions (O&amp;G Upstream)'!V$344</f>
        <v>0</v>
      </c>
    </row>
    <row r="3476" spans="1:65" ht="15.75" hidden="1" customHeight="1" outlineLevel="1">
      <c r="A3476" s="472"/>
      <c r="B3476" s="99"/>
      <c r="C3476" s="42"/>
      <c r="D3476" s="42"/>
      <c r="E3476" s="42"/>
      <c r="F3476" s="42"/>
      <c r="G3476" s="42"/>
      <c r="H3476" s="42"/>
      <c r="I3476" s="42"/>
      <c r="J3476" s="42"/>
      <c r="K3476" s="42"/>
      <c r="L3476" s="42"/>
      <c r="M3476" s="42"/>
      <c r="N3476" s="42"/>
      <c r="O3476" s="42"/>
      <c r="P3476" s="42"/>
      <c r="Q3476" s="42"/>
      <c r="R3476" s="42"/>
      <c r="S3476" s="42"/>
      <c r="T3476" s="42"/>
      <c r="U3476" s="42"/>
      <c r="V3476" s="42"/>
      <c r="W3476" s="86"/>
      <c r="AG3476" s="147">
        <f>$AG3338*'Assumptions (O&amp;G Upstream)'!B$344</f>
        <v>40.54988244270934</v>
      </c>
      <c r="AH3476" s="147">
        <f>$AG3338*'Assumptions (O&amp;G Upstream)'!C$344</f>
        <v>69.493815326938545</v>
      </c>
      <c r="AI3476" s="147">
        <f>$AG3338*'Assumptions (O&amp;G Upstream)'!D$344</f>
        <v>49.630331975016546</v>
      </c>
      <c r="AJ3476" s="147">
        <f>$AG3338*'Assumptions (O&amp;G Upstream)'!E$344</f>
        <v>35.442129580786542</v>
      </c>
      <c r="AK3476" s="147">
        <f>$AG3338*'Assumptions (O&amp;G Upstream)'!F$344</f>
        <v>25.340129476094784</v>
      </c>
      <c r="AL3476" s="147">
        <f>$AG3338*'Assumptions (O&amp;G Upstream)'!G$344</f>
        <v>25.31175307130632</v>
      </c>
      <c r="AM3476" s="147">
        <f>$AG3338*'Assumptions (O&amp;G Upstream)'!H$344</f>
        <v>25.340129476094784</v>
      </c>
      <c r="AN3476" s="147">
        <f>$AG3338*'Assumptions (O&amp;G Upstream)'!I$344</f>
        <v>12.65587653565316</v>
      </c>
      <c r="AO3476" s="147">
        <f>$AG3338*'Assumptions (O&amp;G Upstream)'!J$344</f>
        <v>0</v>
      </c>
      <c r="AP3476" s="147">
        <f>$AG3338*'Assumptions (O&amp;G Upstream)'!K$344</f>
        <v>0</v>
      </c>
      <c r="AQ3476" s="147">
        <f>$AG3338*'Assumptions (O&amp;G Upstream)'!L$344</f>
        <v>0</v>
      </c>
      <c r="AR3476" s="147">
        <f>$AG3338*'Assumptions (O&amp;G Upstream)'!M$344</f>
        <v>0</v>
      </c>
      <c r="AS3476" s="147">
        <f>$AG3338*'Assumptions (O&amp;G Upstream)'!N$344</f>
        <v>0</v>
      </c>
      <c r="AT3476" s="147">
        <f>$AG3338*'Assumptions (O&amp;G Upstream)'!O$344</f>
        <v>0</v>
      </c>
      <c r="AU3476" s="147">
        <f>$AG3338*'Assumptions (O&amp;G Upstream)'!P$344</f>
        <v>0</v>
      </c>
      <c r="AV3476" s="147">
        <f>$AG3338*'Assumptions (O&amp;G Upstream)'!Q$344</f>
        <v>0</v>
      </c>
      <c r="AW3476" s="147">
        <f>$AG3338*'Assumptions (O&amp;G Upstream)'!R$344</f>
        <v>0</v>
      </c>
      <c r="AX3476" s="147">
        <f>$AG3338*'Assumptions (O&amp;G Upstream)'!S$344</f>
        <v>0</v>
      </c>
      <c r="AY3476" s="147">
        <f>$AG3338*'Assumptions (O&amp;G Upstream)'!T$344</f>
        <v>0</v>
      </c>
      <c r="AZ3476" s="147">
        <f>$AG3338*'Assumptions (O&amp;G Upstream)'!U$344</f>
        <v>0</v>
      </c>
      <c r="BA3476" s="147">
        <f>$AG3338*'Assumptions (O&amp;G Upstream)'!V$344</f>
        <v>0</v>
      </c>
    </row>
    <row r="3477" spans="1:65" ht="15.75" hidden="1" customHeight="1" outlineLevel="1">
      <c r="A3477" s="472"/>
      <c r="B3477" s="99"/>
      <c r="C3477" s="42"/>
      <c r="D3477" s="42"/>
      <c r="E3477" s="42"/>
      <c r="F3477" s="42"/>
      <c r="G3477" s="42"/>
      <c r="H3477" s="42"/>
      <c r="I3477" s="42"/>
      <c r="J3477" s="42"/>
      <c r="K3477" s="42"/>
      <c r="L3477" s="42"/>
      <c r="M3477" s="42"/>
      <c r="N3477" s="42"/>
      <c r="O3477" s="42"/>
      <c r="P3477" s="42"/>
      <c r="Q3477" s="42"/>
      <c r="R3477" s="42"/>
      <c r="S3477" s="42"/>
      <c r="T3477" s="42"/>
      <c r="U3477" s="42"/>
      <c r="V3477" s="42"/>
      <c r="W3477" s="86"/>
      <c r="AH3477" s="147">
        <f>$AH3338*'Assumptions (O&amp;G Upstream)'!B$344</f>
        <v>41.604945769751659</v>
      </c>
      <c r="AI3477" s="147">
        <f>$AH3338*'Assumptions (O&amp;G Upstream)'!C$344</f>
        <v>71.301967942702461</v>
      </c>
      <c r="AJ3477" s="147">
        <f>$AH3338*'Assumptions (O&amp;G Upstream)'!D$344</f>
        <v>50.921658608324456</v>
      </c>
      <c r="AK3477" s="147">
        <f>$AH3338*'Assumptions (O&amp;G Upstream)'!E$344</f>
        <v>36.364294798054459</v>
      </c>
      <c r="AL3477" s="147">
        <f>$AH3338*'Assumptions (O&amp;G Upstream)'!F$344</f>
        <v>25.999451765142219</v>
      </c>
      <c r="AM3477" s="147">
        <f>$AH3338*'Assumptions (O&amp;G Upstream)'!G$344</f>
        <v>25.970337037521677</v>
      </c>
      <c r="AN3477" s="147">
        <f>$AH3338*'Assumptions (O&amp;G Upstream)'!H$344</f>
        <v>25.999451765142219</v>
      </c>
      <c r="AO3477" s="147">
        <f>$AH3338*'Assumptions (O&amp;G Upstream)'!I$344</f>
        <v>12.985168518760839</v>
      </c>
      <c r="AP3477" s="147">
        <f>$AH3338*'Assumptions (O&amp;G Upstream)'!J$344</f>
        <v>0</v>
      </c>
      <c r="AQ3477" s="147">
        <f>$AH3338*'Assumptions (O&amp;G Upstream)'!K$344</f>
        <v>0</v>
      </c>
      <c r="AR3477" s="147">
        <f>$AH3338*'Assumptions (O&amp;G Upstream)'!L$344</f>
        <v>0</v>
      </c>
      <c r="AS3477" s="147">
        <f>$AH3338*'Assumptions (O&amp;G Upstream)'!M$344</f>
        <v>0</v>
      </c>
      <c r="AT3477" s="147">
        <f>$AH3338*'Assumptions (O&amp;G Upstream)'!N$344</f>
        <v>0</v>
      </c>
      <c r="AU3477" s="147">
        <f>$AH3338*'Assumptions (O&amp;G Upstream)'!O$344</f>
        <v>0</v>
      </c>
      <c r="AV3477" s="147">
        <f>$AH3338*'Assumptions (O&amp;G Upstream)'!P$344</f>
        <v>0</v>
      </c>
      <c r="AW3477" s="147">
        <f>$AH3338*'Assumptions (O&amp;G Upstream)'!Q$344</f>
        <v>0</v>
      </c>
      <c r="AX3477" s="147">
        <f>$AH3338*'Assumptions (O&amp;G Upstream)'!R$344</f>
        <v>0</v>
      </c>
      <c r="AY3477" s="147">
        <f>$AH3338*'Assumptions (O&amp;G Upstream)'!S$344</f>
        <v>0</v>
      </c>
      <c r="AZ3477" s="147">
        <f>$AH3338*'Assumptions (O&amp;G Upstream)'!T$344</f>
        <v>0</v>
      </c>
      <c r="BA3477" s="147">
        <f>$AH3338*'Assumptions (O&amp;G Upstream)'!U$344</f>
        <v>0</v>
      </c>
      <c r="BB3477" s="147">
        <f>$AH3338*'Assumptions (O&amp;G Upstream)'!V$344</f>
        <v>0</v>
      </c>
    </row>
    <row r="3478" spans="1:65" ht="15.75" hidden="1" customHeight="1" outlineLevel="1">
      <c r="A3478" s="472"/>
      <c r="B3478" s="99"/>
      <c r="C3478" s="42"/>
      <c r="D3478" s="42"/>
      <c r="E3478" s="42"/>
      <c r="F3478" s="42"/>
      <c r="G3478" s="42"/>
      <c r="H3478" s="42"/>
      <c r="I3478" s="42"/>
      <c r="J3478" s="42"/>
      <c r="K3478" s="42"/>
      <c r="L3478" s="42"/>
      <c r="M3478" s="42"/>
      <c r="N3478" s="42"/>
      <c r="O3478" s="42"/>
      <c r="P3478" s="42"/>
      <c r="Q3478" s="42"/>
      <c r="R3478" s="42"/>
      <c r="S3478" s="42"/>
      <c r="T3478" s="42"/>
      <c r="U3478" s="42"/>
      <c r="V3478" s="42"/>
      <c r="W3478" s="86"/>
      <c r="AI3478" s="147">
        <f>$AI3338*'Assumptions (O&amp;G Upstream)'!B$344</f>
        <v>42.306747485180217</v>
      </c>
      <c r="AJ3478" s="147">
        <f>$AI3338*'Assumptions (O&amp;G Upstream)'!C$344</f>
        <v>72.504705802103814</v>
      </c>
      <c r="AK3478" s="147">
        <f>$AI3338*'Assumptions (O&amp;G Upstream)'!D$344</f>
        <v>51.780616761077816</v>
      </c>
      <c r="AL3478" s="147">
        <f>$AI3338*'Assumptions (O&amp;G Upstream)'!E$344</f>
        <v>36.977696017487816</v>
      </c>
      <c r="AM3478" s="147">
        <f>$AI3338*'Assumptions (O&amp;G Upstream)'!F$344</f>
        <v>26.438016448051741</v>
      </c>
      <c r="AN3478" s="147">
        <f>$AI3338*'Assumptions (O&amp;G Upstream)'!G$344</f>
        <v>26.408410606564559</v>
      </c>
      <c r="AO3478" s="147">
        <f>$AI3338*'Assumptions (O&amp;G Upstream)'!H$344</f>
        <v>26.438016448051741</v>
      </c>
      <c r="AP3478" s="147">
        <f>$AI3338*'Assumptions (O&amp;G Upstream)'!I$344</f>
        <v>13.204205303282279</v>
      </c>
      <c r="AQ3478" s="147">
        <f>$AI3338*'Assumptions (O&amp;G Upstream)'!J$344</f>
        <v>0</v>
      </c>
      <c r="AR3478" s="147">
        <f>$AI3338*'Assumptions (O&amp;G Upstream)'!K$344</f>
        <v>0</v>
      </c>
      <c r="AS3478" s="147">
        <f>$AI3338*'Assumptions (O&amp;G Upstream)'!L$344</f>
        <v>0</v>
      </c>
      <c r="AT3478" s="147">
        <f>$AI3338*'Assumptions (O&amp;G Upstream)'!M$344</f>
        <v>0</v>
      </c>
      <c r="AU3478" s="147">
        <f>$AI3338*'Assumptions (O&amp;G Upstream)'!N$344</f>
        <v>0</v>
      </c>
      <c r="AV3478" s="147">
        <f>$AI3338*'Assumptions (O&amp;G Upstream)'!O$344</f>
        <v>0</v>
      </c>
      <c r="AW3478" s="147">
        <f>$AI3338*'Assumptions (O&amp;G Upstream)'!P$344</f>
        <v>0</v>
      </c>
      <c r="AX3478" s="147">
        <f>$AI3338*'Assumptions (O&amp;G Upstream)'!Q$344</f>
        <v>0</v>
      </c>
      <c r="AY3478" s="147">
        <f>$AI3338*'Assumptions (O&amp;G Upstream)'!R$344</f>
        <v>0</v>
      </c>
      <c r="AZ3478" s="147">
        <f>$AI3338*'Assumptions (O&amp;G Upstream)'!S$344</f>
        <v>0</v>
      </c>
      <c r="BA3478" s="147">
        <f>$AI3338*'Assumptions (O&amp;G Upstream)'!T$344</f>
        <v>0</v>
      </c>
      <c r="BB3478" s="147">
        <f>$AI3338*'Assumptions (O&amp;G Upstream)'!U$344</f>
        <v>0</v>
      </c>
      <c r="BC3478" s="147">
        <f>$AI3338*'Assumptions (O&amp;G Upstream)'!V$344</f>
        <v>0</v>
      </c>
    </row>
    <row r="3479" spans="1:65" ht="15.75" hidden="1" customHeight="1" outlineLevel="1">
      <c r="A3479" s="472"/>
      <c r="B3479" s="99"/>
      <c r="C3479" s="42"/>
      <c r="D3479" s="42"/>
      <c r="E3479" s="42"/>
      <c r="F3479" s="42"/>
      <c r="G3479" s="42"/>
      <c r="H3479" s="42"/>
      <c r="I3479" s="42"/>
      <c r="J3479" s="42"/>
      <c r="K3479" s="42"/>
      <c r="L3479" s="42"/>
      <c r="M3479" s="42"/>
      <c r="N3479" s="42"/>
      <c r="O3479" s="42"/>
      <c r="P3479" s="42"/>
      <c r="Q3479" s="42"/>
      <c r="R3479" s="42"/>
      <c r="S3479" s="42"/>
      <c r="T3479" s="42"/>
      <c r="U3479" s="42"/>
      <c r="V3479" s="42"/>
      <c r="W3479" s="86"/>
      <c r="AJ3479" s="147">
        <f>$AJ3338*'Assumptions (O&amp;G Upstream)'!B$344</f>
        <v>43.384323638159053</v>
      </c>
      <c r="AK3479" s="147">
        <f>$AJ3338*'Assumptions (O&amp;G Upstream)'!C$344</f>
        <v>74.351440580721857</v>
      </c>
      <c r="AL3479" s="147">
        <f>$AJ3338*'Assumptions (O&amp;G Upstream)'!D$344</f>
        <v>53.099497580923853</v>
      </c>
      <c r="AM3479" s="147">
        <f>$AJ3338*'Assumptions (O&amp;G Upstream)'!E$344</f>
        <v>37.919538295353853</v>
      </c>
      <c r="AN3479" s="147">
        <f>$AJ3338*'Assumptions (O&amp;G Upstream)'!F$344</f>
        <v>27.111407284028019</v>
      </c>
      <c r="AO3479" s="147">
        <f>$AJ3338*'Assumptions (O&amp;G Upstream)'!G$344</f>
        <v>27.081047365456879</v>
      </c>
      <c r="AP3479" s="147">
        <f>$AJ3338*'Assumptions (O&amp;G Upstream)'!H$344</f>
        <v>27.111407284028019</v>
      </c>
      <c r="AQ3479" s="147">
        <f>$AJ3338*'Assumptions (O&amp;G Upstream)'!I$344</f>
        <v>13.540523682728439</v>
      </c>
      <c r="AR3479" s="147">
        <f>$AJ3338*'Assumptions (O&amp;G Upstream)'!J$344</f>
        <v>0</v>
      </c>
      <c r="AS3479" s="147">
        <f>$AJ3338*'Assumptions (O&amp;G Upstream)'!K$344</f>
        <v>0</v>
      </c>
      <c r="AT3479" s="147">
        <f>$AJ3338*'Assumptions (O&amp;G Upstream)'!L$344</f>
        <v>0</v>
      </c>
      <c r="AU3479" s="147">
        <f>$AJ3338*'Assumptions (O&amp;G Upstream)'!M$344</f>
        <v>0</v>
      </c>
      <c r="AV3479" s="147">
        <f>$AJ3338*'Assumptions (O&amp;G Upstream)'!N$344</f>
        <v>0</v>
      </c>
      <c r="AW3479" s="147">
        <f>$AJ3338*'Assumptions (O&amp;G Upstream)'!O$344</f>
        <v>0</v>
      </c>
      <c r="AX3479" s="147">
        <f>$AJ3338*'Assumptions (O&amp;G Upstream)'!P$344</f>
        <v>0</v>
      </c>
      <c r="AY3479" s="147">
        <f>$AJ3338*'Assumptions (O&amp;G Upstream)'!Q$344</f>
        <v>0</v>
      </c>
      <c r="AZ3479" s="147">
        <f>$AJ3338*'Assumptions (O&amp;G Upstream)'!R$344</f>
        <v>0</v>
      </c>
      <c r="BA3479" s="147">
        <f>$AJ3338*'Assumptions (O&amp;G Upstream)'!S$344</f>
        <v>0</v>
      </c>
      <c r="BB3479" s="147">
        <f>$AJ3338*'Assumptions (O&amp;G Upstream)'!T$344</f>
        <v>0</v>
      </c>
      <c r="BC3479" s="147">
        <f>$AJ3338*'Assumptions (O&amp;G Upstream)'!U$344</f>
        <v>0</v>
      </c>
      <c r="BD3479" s="147">
        <f>$AJ3338*'Assumptions (O&amp;G Upstream)'!V$344</f>
        <v>0</v>
      </c>
    </row>
    <row r="3480" spans="1:65" ht="15.75" hidden="1" customHeight="1" outlineLevel="1">
      <c r="A3480" s="472"/>
      <c r="B3480" s="99"/>
      <c r="C3480" s="42"/>
      <c r="D3480" s="42"/>
      <c r="E3480" s="42"/>
      <c r="F3480" s="42"/>
      <c r="G3480" s="42"/>
      <c r="H3480" s="42"/>
      <c r="I3480" s="42"/>
      <c r="J3480" s="42"/>
      <c r="K3480" s="42"/>
      <c r="L3480" s="42"/>
      <c r="M3480" s="42"/>
      <c r="N3480" s="42"/>
      <c r="O3480" s="42"/>
      <c r="P3480" s="42"/>
      <c r="Q3480" s="42"/>
      <c r="R3480" s="42"/>
      <c r="S3480" s="42"/>
      <c r="T3480" s="42"/>
      <c r="U3480" s="42"/>
      <c r="V3480" s="42"/>
      <c r="W3480" s="86"/>
      <c r="AK3480" s="147">
        <f>$AK3338*'Assumptions (O&amp;G Upstream)'!B$344</f>
        <v>44.027759995917343</v>
      </c>
      <c r="AL3480" s="147">
        <f>$AK3338*'Assumptions (O&amp;G Upstream)'!C$344</f>
        <v>75.454152715186538</v>
      </c>
      <c r="AM3480" s="147">
        <f>$AK3338*'Assumptions (O&amp;G Upstream)'!D$344</f>
        <v>53.887020456864541</v>
      </c>
      <c r="AN3480" s="147">
        <f>$AK3338*'Assumptions (O&amp;G Upstream)'!E$344</f>
        <v>38.481925986634536</v>
      </c>
      <c r="AO3480" s="147">
        <f>$AK3338*'Assumptions (O&amp;G Upstream)'!F$344</f>
        <v>27.513498723830782</v>
      </c>
      <c r="AP3480" s="147">
        <f>$AK3338*'Assumptions (O&amp;G Upstream)'!G$344</f>
        <v>27.482688534890322</v>
      </c>
      <c r="AQ3480" s="147">
        <f>$AK3338*'Assumptions (O&amp;G Upstream)'!H$344</f>
        <v>27.513498723830782</v>
      </c>
      <c r="AR3480" s="147">
        <f>$AK3338*'Assumptions (O&amp;G Upstream)'!I$344</f>
        <v>13.741344267445161</v>
      </c>
      <c r="AS3480" s="147">
        <f>$AK3338*'Assumptions (O&amp;G Upstream)'!J$344</f>
        <v>0</v>
      </c>
      <c r="AT3480" s="147">
        <f>$AK3338*'Assumptions (O&amp;G Upstream)'!K$344</f>
        <v>0</v>
      </c>
      <c r="AU3480" s="147">
        <f>$AK3338*'Assumptions (O&amp;G Upstream)'!L$344</f>
        <v>0</v>
      </c>
      <c r="AV3480" s="147">
        <f>$AK3338*'Assumptions (O&amp;G Upstream)'!M$344</f>
        <v>0</v>
      </c>
      <c r="AW3480" s="147">
        <f>$AK3338*'Assumptions (O&amp;G Upstream)'!N$344</f>
        <v>0</v>
      </c>
      <c r="AX3480" s="147">
        <f>$AK3338*'Assumptions (O&amp;G Upstream)'!O$344</f>
        <v>0</v>
      </c>
      <c r="AY3480" s="147">
        <f>$AK3338*'Assumptions (O&amp;G Upstream)'!P$344</f>
        <v>0</v>
      </c>
      <c r="AZ3480" s="147">
        <f>$AK3338*'Assumptions (O&amp;G Upstream)'!Q$344</f>
        <v>0</v>
      </c>
      <c r="BA3480" s="147">
        <f>$AK3338*'Assumptions (O&amp;G Upstream)'!R$344</f>
        <v>0</v>
      </c>
      <c r="BB3480" s="147">
        <f>$AK3338*'Assumptions (O&amp;G Upstream)'!S$344</f>
        <v>0</v>
      </c>
      <c r="BC3480" s="147">
        <f>$AK3338*'Assumptions (O&amp;G Upstream)'!T$344</f>
        <v>0</v>
      </c>
      <c r="BD3480" s="147">
        <f>$AK3338*'Assumptions (O&amp;G Upstream)'!U$344</f>
        <v>0</v>
      </c>
      <c r="BE3480" s="147">
        <f>$AK3338*'Assumptions (O&amp;G Upstream)'!V$344</f>
        <v>0</v>
      </c>
    </row>
    <row r="3481" spans="1:65" ht="15.75" hidden="1" customHeight="1" outlineLevel="1">
      <c r="A3481" s="472"/>
      <c r="B3481" s="99"/>
      <c r="C3481" s="42"/>
      <c r="D3481" s="42"/>
      <c r="E3481" s="42"/>
      <c r="F3481" s="42"/>
      <c r="G3481" s="42"/>
      <c r="H3481" s="42"/>
      <c r="I3481" s="42"/>
      <c r="J3481" s="42"/>
      <c r="K3481" s="42"/>
      <c r="L3481" s="42"/>
      <c r="M3481" s="42"/>
      <c r="N3481" s="42"/>
      <c r="O3481" s="42"/>
      <c r="P3481" s="42"/>
      <c r="Q3481" s="42"/>
      <c r="R3481" s="42"/>
      <c r="S3481" s="42"/>
      <c r="T3481" s="42"/>
      <c r="U3481" s="42"/>
      <c r="V3481" s="42"/>
      <c r="W3481" s="86"/>
      <c r="AL3481" s="147">
        <f>$AL3338*'Assumptions (O&amp;G Upstream)'!B$344</f>
        <v>44.814979572704715</v>
      </c>
      <c r="AM3481" s="147">
        <f>$AL3338*'Assumptions (O&amp;G Upstream)'!C$344</f>
        <v>76.803278497938322</v>
      </c>
      <c r="AN3481" s="147">
        <f>$AL3338*'Assumptions (O&amp;G Upstream)'!D$344</f>
        <v>54.850524333562319</v>
      </c>
      <c r="AO3481" s="147">
        <f>$AL3338*'Assumptions (O&amp;G Upstream)'!E$344</f>
        <v>39.169985644722317</v>
      </c>
      <c r="AP3481" s="147">
        <f>$AL3338*'Assumptions (O&amp;G Upstream)'!F$344</f>
        <v>28.00544209826824</v>
      </c>
      <c r="AQ3481" s="147">
        <f>$AL3338*'Assumptions (O&amp;G Upstream)'!G$344</f>
        <v>27.974081020890559</v>
      </c>
      <c r="AR3481" s="147">
        <f>$AL3338*'Assumptions (O&amp;G Upstream)'!H$344</f>
        <v>28.00544209826824</v>
      </c>
      <c r="AS3481" s="147">
        <f>$AL3338*'Assumptions (O&amp;G Upstream)'!I$344</f>
        <v>13.987040510445279</v>
      </c>
      <c r="AT3481" s="147">
        <f>$AL3338*'Assumptions (O&amp;G Upstream)'!J$344</f>
        <v>0</v>
      </c>
      <c r="AU3481" s="147">
        <f>$AL3338*'Assumptions (O&amp;G Upstream)'!K$344</f>
        <v>0</v>
      </c>
      <c r="AV3481" s="147">
        <f>$AL3338*'Assumptions (O&amp;G Upstream)'!L$344</f>
        <v>0</v>
      </c>
      <c r="AW3481" s="147">
        <f>$AL3338*'Assumptions (O&amp;G Upstream)'!M$344</f>
        <v>0</v>
      </c>
      <c r="AX3481" s="147">
        <f>$AL3338*'Assumptions (O&amp;G Upstream)'!N$344</f>
        <v>0</v>
      </c>
      <c r="AY3481" s="147">
        <f>$AL3338*'Assumptions (O&amp;G Upstream)'!O$344</f>
        <v>0</v>
      </c>
      <c r="AZ3481" s="147">
        <f>$AL3338*'Assumptions (O&amp;G Upstream)'!P$344</f>
        <v>0</v>
      </c>
      <c r="BA3481" s="147">
        <f>$AL3338*'Assumptions (O&amp;G Upstream)'!Q$344</f>
        <v>0</v>
      </c>
      <c r="BB3481" s="147">
        <f>$AL3338*'Assumptions (O&amp;G Upstream)'!R$344</f>
        <v>0</v>
      </c>
      <c r="BC3481" s="147">
        <f>$AL3338*'Assumptions (O&amp;G Upstream)'!S$344</f>
        <v>0</v>
      </c>
      <c r="BD3481" s="147">
        <f>$AL3338*'Assumptions (O&amp;G Upstream)'!T$344</f>
        <v>0</v>
      </c>
      <c r="BE3481" s="147">
        <f>$AL3338*'Assumptions (O&amp;G Upstream)'!U$344</f>
        <v>0</v>
      </c>
      <c r="BF3481" s="147">
        <f>$AL3338*'Assumptions (O&amp;G Upstream)'!V$344</f>
        <v>0</v>
      </c>
    </row>
    <row r="3482" spans="1:65" ht="15.75" hidden="1" customHeight="1" outlineLevel="1">
      <c r="A3482" s="472"/>
      <c r="B3482" s="99"/>
      <c r="C3482" s="42"/>
      <c r="D3482" s="42"/>
      <c r="E3482" s="42"/>
      <c r="F3482" s="42"/>
      <c r="G3482" s="42"/>
      <c r="H3482" s="42"/>
      <c r="I3482" s="42"/>
      <c r="J3482" s="42"/>
      <c r="K3482" s="42"/>
      <c r="L3482" s="42"/>
      <c r="M3482" s="42"/>
      <c r="N3482" s="42"/>
      <c r="O3482" s="42"/>
      <c r="P3482" s="42"/>
      <c r="Q3482" s="42"/>
      <c r="R3482" s="42"/>
      <c r="S3482" s="42"/>
      <c r="T3482" s="42"/>
      <c r="U3482" s="42"/>
      <c r="V3482" s="42"/>
      <c r="W3482" s="86"/>
      <c r="AM3482" s="147">
        <f>$AM3338*'Assumptions (O&amp;G Upstream)'!B$344</f>
        <v>45.68670959024923</v>
      </c>
      <c r="AN3482" s="147">
        <f>$AM3338*'Assumptions (O&amp;G Upstream)'!C$344</f>
        <v>78.297237079440421</v>
      </c>
      <c r="AO3482" s="147">
        <f>$AM3338*'Assumptions (O&amp;G Upstream)'!D$344</f>
        <v>55.917463312348431</v>
      </c>
      <c r="AP3482" s="147">
        <f>$AM3338*'Assumptions (O&amp;G Upstream)'!E$344</f>
        <v>39.931910621568434</v>
      </c>
      <c r="AQ3482" s="147">
        <f>$AM3338*'Assumptions (O&amp;G Upstream)'!F$344</f>
        <v>28.550197105733076</v>
      </c>
      <c r="AR3482" s="147">
        <f>$AM3338*'Assumptions (O&amp;G Upstream)'!G$344</f>
        <v>28.518226000351515</v>
      </c>
      <c r="AS3482" s="147">
        <f>$AM3338*'Assumptions (O&amp;G Upstream)'!H$344</f>
        <v>28.550197105733076</v>
      </c>
      <c r="AT3482" s="147">
        <f>$AM3338*'Assumptions (O&amp;G Upstream)'!I$344</f>
        <v>14.259113000175757</v>
      </c>
      <c r="AU3482" s="147">
        <f>$AM3338*'Assumptions (O&amp;G Upstream)'!J$344</f>
        <v>0</v>
      </c>
      <c r="AV3482" s="147">
        <f>$AM3338*'Assumptions (O&amp;G Upstream)'!K$344</f>
        <v>0</v>
      </c>
      <c r="AW3482" s="147">
        <f>$AM3338*'Assumptions (O&amp;G Upstream)'!L$344</f>
        <v>0</v>
      </c>
      <c r="AX3482" s="147">
        <f>$AM3338*'Assumptions (O&amp;G Upstream)'!M$344</f>
        <v>0</v>
      </c>
      <c r="AY3482" s="147">
        <f>$AM3338*'Assumptions (O&amp;G Upstream)'!N$344</f>
        <v>0</v>
      </c>
      <c r="AZ3482" s="147">
        <f>$AM3338*'Assumptions (O&amp;G Upstream)'!O$344</f>
        <v>0</v>
      </c>
      <c r="BA3482" s="147">
        <f>$AM3338*'Assumptions (O&amp;G Upstream)'!P$344</f>
        <v>0</v>
      </c>
      <c r="BB3482" s="147">
        <f>$AM3338*'Assumptions (O&amp;G Upstream)'!Q$344</f>
        <v>0</v>
      </c>
      <c r="BC3482" s="147">
        <f>$AM3338*'Assumptions (O&amp;G Upstream)'!R$344</f>
        <v>0</v>
      </c>
      <c r="BD3482" s="147">
        <f>$AM3338*'Assumptions (O&amp;G Upstream)'!S$344</f>
        <v>0</v>
      </c>
      <c r="BE3482" s="147">
        <f>$AM3338*'Assumptions (O&amp;G Upstream)'!T$344</f>
        <v>0</v>
      </c>
      <c r="BF3482" s="147">
        <f>$AM3338*'Assumptions (O&amp;G Upstream)'!U$344</f>
        <v>0</v>
      </c>
      <c r="BG3482" s="147">
        <f>$AM3338*'Assumptions (O&amp;G Upstream)'!V$344</f>
        <v>0</v>
      </c>
    </row>
    <row r="3483" spans="1:65" ht="15.75" hidden="1" customHeight="1" outlineLevel="1">
      <c r="A3483" s="472"/>
      <c r="B3483" s="99"/>
      <c r="C3483" s="42"/>
      <c r="D3483" s="42"/>
      <c r="E3483" s="42"/>
      <c r="F3483" s="42"/>
      <c r="G3483" s="42"/>
      <c r="H3483" s="42"/>
      <c r="I3483" s="42"/>
      <c r="J3483" s="42"/>
      <c r="K3483" s="42"/>
      <c r="L3483" s="42"/>
      <c r="M3483" s="42"/>
      <c r="N3483" s="42"/>
      <c r="O3483" s="42"/>
      <c r="P3483" s="42"/>
      <c r="Q3483" s="42"/>
      <c r="R3483" s="42"/>
      <c r="S3483" s="42"/>
      <c r="T3483" s="42"/>
      <c r="U3483" s="42"/>
      <c r="V3483" s="42"/>
      <c r="W3483" s="86"/>
      <c r="AN3483" s="147">
        <f>$AN3338*'Assumptions (O&amp;G Upstream)'!B$344</f>
        <v>45.913522566906614</v>
      </c>
      <c r="AO3483" s="147">
        <f>$AN3338*'Assumptions (O&amp;G Upstream)'!C$344</f>
        <v>78.685945952662223</v>
      </c>
      <c r="AP3483" s="147">
        <f>$AN3338*'Assumptions (O&amp;G Upstream)'!D$344</f>
        <v>56.195067158516217</v>
      </c>
      <c r="AQ3483" s="147">
        <f>$AN3338*'Assumptions (O&amp;G Upstream)'!E$344</f>
        <v>40.130153734126218</v>
      </c>
      <c r="AR3483" s="147">
        <f>$AN3338*'Assumptions (O&amp;G Upstream)'!F$344</f>
        <v>28.69193537596054</v>
      </c>
      <c r="AS3483" s="147">
        <f>$AN3338*'Assumptions (O&amp;G Upstream)'!G$344</f>
        <v>28.659805549111759</v>
      </c>
      <c r="AT3483" s="147">
        <f>$AN3338*'Assumptions (O&amp;G Upstream)'!H$344</f>
        <v>28.69193537596054</v>
      </c>
      <c r="AU3483" s="147">
        <f>$AN3338*'Assumptions (O&amp;G Upstream)'!I$344</f>
        <v>14.32990277455588</v>
      </c>
      <c r="AV3483" s="147">
        <f>$AN3338*'Assumptions (O&amp;G Upstream)'!J$344</f>
        <v>0</v>
      </c>
      <c r="AW3483" s="147">
        <f>$AN3338*'Assumptions (O&amp;G Upstream)'!K$344</f>
        <v>0</v>
      </c>
      <c r="AX3483" s="147">
        <f>$AN3338*'Assumptions (O&amp;G Upstream)'!L$344</f>
        <v>0</v>
      </c>
      <c r="AY3483" s="147">
        <f>$AN3338*'Assumptions (O&amp;G Upstream)'!M$344</f>
        <v>0</v>
      </c>
      <c r="AZ3483" s="147">
        <f>$AN3338*'Assumptions (O&amp;G Upstream)'!N$344</f>
        <v>0</v>
      </c>
      <c r="BA3483" s="147">
        <f>$AN3338*'Assumptions (O&amp;G Upstream)'!O$344</f>
        <v>0</v>
      </c>
      <c r="BB3483" s="147">
        <f>$AN3338*'Assumptions (O&amp;G Upstream)'!P$344</f>
        <v>0</v>
      </c>
      <c r="BC3483" s="147">
        <f>$AN3338*'Assumptions (O&amp;G Upstream)'!Q$344</f>
        <v>0</v>
      </c>
      <c r="BD3483" s="147">
        <f>$AN3338*'Assumptions (O&amp;G Upstream)'!R$344</f>
        <v>0</v>
      </c>
      <c r="BE3483" s="147">
        <f>$AN3338*'Assumptions (O&amp;G Upstream)'!S$344</f>
        <v>0</v>
      </c>
      <c r="BF3483" s="147">
        <f>$AN3338*'Assumptions (O&amp;G Upstream)'!T$344</f>
        <v>0</v>
      </c>
      <c r="BG3483" s="147">
        <f>$AN3338*'Assumptions (O&amp;G Upstream)'!U$344</f>
        <v>0</v>
      </c>
      <c r="BH3483" s="147">
        <f>$AN3338*'Assumptions (O&amp;G Upstream)'!V$344</f>
        <v>0</v>
      </c>
    </row>
    <row r="3484" spans="1:65" ht="15.75" hidden="1" customHeight="1" outlineLevel="1">
      <c r="A3484" s="472"/>
      <c r="B3484" s="99"/>
      <c r="C3484" s="42"/>
      <c r="D3484" s="42"/>
      <c r="E3484" s="42"/>
      <c r="F3484" s="42"/>
      <c r="G3484" s="42"/>
      <c r="H3484" s="42"/>
      <c r="I3484" s="42"/>
      <c r="J3484" s="42"/>
      <c r="K3484" s="42"/>
      <c r="L3484" s="42"/>
      <c r="M3484" s="42"/>
      <c r="N3484" s="42"/>
      <c r="O3484" s="42"/>
      <c r="P3484" s="42"/>
      <c r="Q3484" s="42"/>
      <c r="R3484" s="42"/>
      <c r="S3484" s="42"/>
      <c r="T3484" s="42"/>
      <c r="U3484" s="42"/>
      <c r="V3484" s="42"/>
      <c r="W3484" s="86"/>
      <c r="AO3484" s="147">
        <f>$AO3338*'Assumptions (O&amp;G Upstream)'!B$344</f>
        <v>46.697231466749642</v>
      </c>
      <c r="AP3484" s="147">
        <f>$AO3338*'Assumptions (O&amp;G Upstream)'!C$344</f>
        <v>80.029055186892847</v>
      </c>
      <c r="AQ3484" s="147">
        <f>$AO3338*'Assumptions (O&amp;G Upstream)'!D$344</f>
        <v>57.154274202480842</v>
      </c>
      <c r="AR3484" s="147">
        <f>$AO3338*'Assumptions (O&amp;G Upstream)'!E$344</f>
        <v>40.815144927900839</v>
      </c>
      <c r="AS3484" s="147">
        <f>$AO3338*'Assumptions (O&amp;G Upstream)'!F$344</f>
        <v>29.181684884399882</v>
      </c>
      <c r="AT3484" s="147">
        <f>$AO3338*'Assumptions (O&amp;G Upstream)'!G$344</f>
        <v>29.149006625850721</v>
      </c>
      <c r="AU3484" s="147">
        <f>$AO3338*'Assumptions (O&amp;G Upstream)'!H$344</f>
        <v>29.181684884399882</v>
      </c>
      <c r="AV3484" s="147">
        <f>$AO3338*'Assumptions (O&amp;G Upstream)'!I$344</f>
        <v>14.57450331292536</v>
      </c>
      <c r="AW3484" s="147">
        <f>$AO3338*'Assumptions (O&amp;G Upstream)'!J$344</f>
        <v>0</v>
      </c>
      <c r="AX3484" s="147">
        <f>$AO3338*'Assumptions (O&amp;G Upstream)'!K$344</f>
        <v>0</v>
      </c>
      <c r="AY3484" s="147">
        <f>$AO3338*'Assumptions (O&amp;G Upstream)'!L$344</f>
        <v>0</v>
      </c>
      <c r="AZ3484" s="147">
        <f>$AO3338*'Assumptions (O&amp;G Upstream)'!M$344</f>
        <v>0</v>
      </c>
      <c r="BA3484" s="147">
        <f>$AO3338*'Assumptions (O&amp;G Upstream)'!N$344</f>
        <v>0</v>
      </c>
      <c r="BB3484" s="147">
        <f>$AO3338*'Assumptions (O&amp;G Upstream)'!O$344</f>
        <v>0</v>
      </c>
      <c r="BC3484" s="147">
        <f>$AO3338*'Assumptions (O&amp;G Upstream)'!P$344</f>
        <v>0</v>
      </c>
      <c r="BD3484" s="147">
        <f>$AO3338*'Assumptions (O&amp;G Upstream)'!Q$344</f>
        <v>0</v>
      </c>
      <c r="BE3484" s="147">
        <f>$AO3338*'Assumptions (O&amp;G Upstream)'!R$344</f>
        <v>0</v>
      </c>
      <c r="BF3484" s="147">
        <f>$AO3338*'Assumptions (O&amp;G Upstream)'!S$344</f>
        <v>0</v>
      </c>
      <c r="BG3484" s="147">
        <f>$AO3338*'Assumptions (O&amp;G Upstream)'!T$344</f>
        <v>0</v>
      </c>
      <c r="BH3484" s="147">
        <f>$AO3338*'Assumptions (O&amp;G Upstream)'!U$344</f>
        <v>0</v>
      </c>
      <c r="BI3484" s="147">
        <f>$AO3338*'Assumptions (O&amp;G Upstream)'!V$344</f>
        <v>0</v>
      </c>
    </row>
    <row r="3485" spans="1:65" ht="15.75" hidden="1" customHeight="1" outlineLevel="1">
      <c r="A3485" s="472"/>
      <c r="B3485" s="99"/>
      <c r="C3485" s="42"/>
      <c r="D3485" s="42"/>
      <c r="E3485" s="42"/>
      <c r="F3485" s="42"/>
      <c r="G3485" s="42"/>
      <c r="H3485" s="42"/>
      <c r="I3485" s="42"/>
      <c r="J3485" s="42"/>
      <c r="K3485" s="42"/>
      <c r="L3485" s="42"/>
      <c r="M3485" s="42"/>
      <c r="N3485" s="42"/>
      <c r="O3485" s="42"/>
      <c r="P3485" s="42"/>
      <c r="Q3485" s="42"/>
      <c r="R3485" s="42"/>
      <c r="S3485" s="42"/>
      <c r="T3485" s="42"/>
      <c r="U3485" s="42"/>
      <c r="V3485" s="42"/>
      <c r="W3485" s="86"/>
      <c r="AP3485" s="147">
        <f>$AP3338*'Assumptions (O&amp;G Upstream)'!B$344</f>
        <v>47.408007022665799</v>
      </c>
      <c r="AQ3485" s="147">
        <f>$AP3338*'Assumptions (O&amp;G Upstream)'!C$344</f>
        <v>81.247172287269805</v>
      </c>
      <c r="AR3485" s="147">
        <f>$AP3338*'Assumptions (O&amp;G Upstream)'!D$344</f>
        <v>58.0242157331298</v>
      </c>
      <c r="AS3485" s="147">
        <f>$AP3338*'Assumptions (O&amp;G Upstream)'!E$344</f>
        <v>41.436389623029797</v>
      </c>
      <c r="AT3485" s="147">
        <f>$AP3338*'Assumptions (O&amp;G Upstream)'!F$344</f>
        <v>29.6258574326386</v>
      </c>
      <c r="AU3485" s="147">
        <f>$AP3338*'Assumptions (O&amp;G Upstream)'!G$344</f>
        <v>29.592681780418399</v>
      </c>
      <c r="AV3485" s="147">
        <f>$AP3338*'Assumptions (O&amp;G Upstream)'!H$344</f>
        <v>29.6258574326386</v>
      </c>
      <c r="AW3485" s="147">
        <f>$AP3338*'Assumptions (O&amp;G Upstream)'!I$344</f>
        <v>14.7963408902092</v>
      </c>
      <c r="AX3485" s="147">
        <f>$AP3338*'Assumptions (O&amp;G Upstream)'!J$344</f>
        <v>0</v>
      </c>
      <c r="AY3485" s="147">
        <f>$AP3338*'Assumptions (O&amp;G Upstream)'!K$344</f>
        <v>0</v>
      </c>
      <c r="AZ3485" s="147">
        <f>$AP3338*'Assumptions (O&amp;G Upstream)'!L$344</f>
        <v>0</v>
      </c>
      <c r="BA3485" s="147">
        <f>$AP3338*'Assumptions (O&amp;G Upstream)'!M$344</f>
        <v>0</v>
      </c>
      <c r="BB3485" s="147">
        <f>$AP3338*'Assumptions (O&amp;G Upstream)'!N$344</f>
        <v>0</v>
      </c>
      <c r="BC3485" s="147">
        <f>$AP3338*'Assumptions (O&amp;G Upstream)'!O$344</f>
        <v>0</v>
      </c>
      <c r="BD3485" s="147">
        <f>$AP3338*'Assumptions (O&amp;G Upstream)'!P$344</f>
        <v>0</v>
      </c>
      <c r="BE3485" s="147">
        <f>$AP3338*'Assumptions (O&amp;G Upstream)'!Q$344</f>
        <v>0</v>
      </c>
      <c r="BF3485" s="147">
        <f>$AP3338*'Assumptions (O&amp;G Upstream)'!R$344</f>
        <v>0</v>
      </c>
      <c r="BG3485" s="147">
        <f>$AP3338*'Assumptions (O&amp;G Upstream)'!S$344</f>
        <v>0</v>
      </c>
      <c r="BH3485" s="147">
        <f>$AP3338*'Assumptions (O&amp;G Upstream)'!T$344</f>
        <v>0</v>
      </c>
      <c r="BI3485" s="147">
        <f>$AP3338*'Assumptions (O&amp;G Upstream)'!U$344</f>
        <v>0</v>
      </c>
      <c r="BJ3485" s="147">
        <f>$AP3338*'Assumptions (O&amp;G Upstream)'!V$344</f>
        <v>0</v>
      </c>
    </row>
    <row r="3486" spans="1:65" ht="15.75" hidden="1" customHeight="1" outlineLevel="1">
      <c r="A3486" s="472"/>
      <c r="B3486" s="99"/>
      <c r="C3486" s="42"/>
      <c r="D3486" s="42"/>
      <c r="E3486" s="42"/>
      <c r="F3486" s="42"/>
      <c r="G3486" s="42"/>
      <c r="H3486" s="42"/>
      <c r="I3486" s="42"/>
      <c r="J3486" s="42"/>
      <c r="K3486" s="42"/>
      <c r="L3486" s="42"/>
      <c r="M3486" s="42"/>
      <c r="N3486" s="42"/>
      <c r="O3486" s="42"/>
      <c r="P3486" s="42"/>
      <c r="Q3486" s="42"/>
      <c r="R3486" s="42"/>
      <c r="S3486" s="42"/>
      <c r="T3486" s="42"/>
      <c r="U3486" s="42"/>
      <c r="V3486" s="42"/>
      <c r="W3486" s="86"/>
      <c r="AQ3486" s="147">
        <f>$AQ3338*'Assumptions (O&amp;G Upstream)'!B$344</f>
        <v>48.355842837759262</v>
      </c>
      <c r="AR3486" s="147">
        <f>$AQ3338*'Assumptions (O&amp;G Upstream)'!C$344</f>
        <v>82.871559908798062</v>
      </c>
      <c r="AS3486" s="147">
        <f>$AQ3338*'Assumptions (O&amp;G Upstream)'!D$344</f>
        <v>59.184303095340063</v>
      </c>
      <c r="AT3486" s="147">
        <f>$AQ3338*'Assumptions (O&amp;G Upstream)'!E$344</f>
        <v>42.264833942870062</v>
      </c>
      <c r="AU3486" s="147">
        <f>$AQ3338*'Assumptions (O&amp;G Upstream)'!F$344</f>
        <v>30.218171906311422</v>
      </c>
      <c r="AV3486" s="147">
        <f>$AQ3338*'Assumptions (O&amp;G Upstream)'!G$344</f>
        <v>30.18433296800648</v>
      </c>
      <c r="AW3486" s="147">
        <f>$AQ3338*'Assumptions (O&amp;G Upstream)'!H$344</f>
        <v>30.218171906311422</v>
      </c>
      <c r="AX3486" s="147">
        <f>$AQ3338*'Assumptions (O&amp;G Upstream)'!I$344</f>
        <v>15.09216648400324</v>
      </c>
      <c r="AY3486" s="147">
        <f>$AQ3338*'Assumptions (O&amp;G Upstream)'!J$344</f>
        <v>0</v>
      </c>
      <c r="AZ3486" s="147">
        <f>$AQ3338*'Assumptions (O&amp;G Upstream)'!K$344</f>
        <v>0</v>
      </c>
      <c r="BA3486" s="147">
        <f>$AQ3338*'Assumptions (O&amp;G Upstream)'!L$344</f>
        <v>0</v>
      </c>
      <c r="BB3486" s="147">
        <f>$AQ3338*'Assumptions (O&amp;G Upstream)'!M$344</f>
        <v>0</v>
      </c>
      <c r="BC3486" s="147">
        <f>$AQ3338*'Assumptions (O&amp;G Upstream)'!N$344</f>
        <v>0</v>
      </c>
      <c r="BD3486" s="147">
        <f>$AQ3338*'Assumptions (O&amp;G Upstream)'!O$344</f>
        <v>0</v>
      </c>
      <c r="BE3486" s="147">
        <f>$AQ3338*'Assumptions (O&amp;G Upstream)'!P$344</f>
        <v>0</v>
      </c>
      <c r="BF3486" s="147">
        <f>$AQ3338*'Assumptions (O&amp;G Upstream)'!Q$344</f>
        <v>0</v>
      </c>
      <c r="BG3486" s="147">
        <f>$AQ3338*'Assumptions (O&amp;G Upstream)'!R$344</f>
        <v>0</v>
      </c>
      <c r="BH3486" s="147">
        <f>$AQ3338*'Assumptions (O&amp;G Upstream)'!S$344</f>
        <v>0</v>
      </c>
      <c r="BI3486" s="147">
        <f>$AQ3338*'Assumptions (O&amp;G Upstream)'!T$344</f>
        <v>0</v>
      </c>
      <c r="BJ3486" s="147">
        <f>$AQ3338*'Assumptions (O&amp;G Upstream)'!U$344</f>
        <v>0</v>
      </c>
      <c r="BK3486" s="147">
        <f>$AQ3338*'Assumptions (O&amp;G Upstream)'!V$344</f>
        <v>0</v>
      </c>
    </row>
    <row r="3487" spans="1:65" ht="15.75" hidden="1" customHeight="1" outlineLevel="1">
      <c r="A3487" s="472"/>
      <c r="B3487" s="99"/>
      <c r="C3487" s="42"/>
      <c r="D3487" s="42"/>
      <c r="E3487" s="42"/>
      <c r="F3487" s="42"/>
      <c r="G3487" s="42"/>
      <c r="H3487" s="42"/>
      <c r="I3487" s="42"/>
      <c r="J3487" s="42"/>
      <c r="K3487" s="42"/>
      <c r="L3487" s="42"/>
      <c r="M3487" s="42"/>
      <c r="N3487" s="42"/>
      <c r="O3487" s="42"/>
      <c r="P3487" s="42"/>
      <c r="Q3487" s="42"/>
      <c r="R3487" s="42"/>
      <c r="S3487" s="42"/>
      <c r="T3487" s="42"/>
      <c r="U3487" s="42"/>
      <c r="V3487" s="42"/>
      <c r="W3487" s="86"/>
      <c r="AR3487" s="147">
        <f>$AR3338*'Assumptions (O&amp;G Upstream)'!B$344</f>
        <v>49.198413878577142</v>
      </c>
      <c r="AS3487" s="147">
        <f>$AR3338*'Assumptions (O&amp;G Upstream)'!C$344</f>
        <v>84.315546248170349</v>
      </c>
      <c r="AT3487" s="147">
        <f>$AR3338*'Assumptions (O&amp;G Upstream)'!D$344</f>
        <v>60.215553445508341</v>
      </c>
      <c r="AU3487" s="147">
        <f>$AR3338*'Assumptions (O&amp;G Upstream)'!E$344</f>
        <v>43.00127287217834</v>
      </c>
      <c r="AV3487" s="147">
        <f>$AR3338*'Assumptions (O&amp;G Upstream)'!F$344</f>
        <v>30.744705103967384</v>
      </c>
      <c r="AW3487" s="147">
        <f>$AR3338*'Assumptions (O&amp;G Upstream)'!G$344</f>
        <v>30.710276542820722</v>
      </c>
      <c r="AX3487" s="147">
        <f>$AR3338*'Assumptions (O&amp;G Upstream)'!H$344</f>
        <v>30.744705103967384</v>
      </c>
      <c r="AY3487" s="147">
        <f>$AR3338*'Assumptions (O&amp;G Upstream)'!I$344</f>
        <v>15.355138271410361</v>
      </c>
      <c r="AZ3487" s="147">
        <f>$AR3338*'Assumptions (O&amp;G Upstream)'!J$344</f>
        <v>0</v>
      </c>
      <c r="BA3487" s="147">
        <f>$AR3338*'Assumptions (O&amp;G Upstream)'!K$344</f>
        <v>0</v>
      </c>
      <c r="BB3487" s="147">
        <f>$AR3338*'Assumptions (O&amp;G Upstream)'!L$344</f>
        <v>0</v>
      </c>
      <c r="BC3487" s="147">
        <f>$AR3338*'Assumptions (O&amp;G Upstream)'!M$344</f>
        <v>0</v>
      </c>
      <c r="BD3487" s="147">
        <f>$AR3338*'Assumptions (O&amp;G Upstream)'!N$344</f>
        <v>0</v>
      </c>
      <c r="BE3487" s="147">
        <f>$AR3338*'Assumptions (O&amp;G Upstream)'!O$344</f>
        <v>0</v>
      </c>
      <c r="BF3487" s="147">
        <f>$AR3338*'Assumptions (O&amp;G Upstream)'!P$344</f>
        <v>0</v>
      </c>
      <c r="BG3487" s="147">
        <f>$AR3338*'Assumptions (O&amp;G Upstream)'!Q$344</f>
        <v>0</v>
      </c>
      <c r="BH3487" s="147">
        <f>$AR3338*'Assumptions (O&amp;G Upstream)'!R$344</f>
        <v>0</v>
      </c>
      <c r="BI3487" s="147">
        <f>$AR3338*'Assumptions (O&amp;G Upstream)'!S$344</f>
        <v>0</v>
      </c>
      <c r="BJ3487" s="147">
        <f>$AR3338*'Assumptions (O&amp;G Upstream)'!T$344</f>
        <v>0</v>
      </c>
      <c r="BK3487" s="147">
        <f>$AR3338*'Assumptions (O&amp;G Upstream)'!U$344</f>
        <v>0</v>
      </c>
      <c r="BL3487" s="147">
        <f>$AR3338*'Assumptions (O&amp;G Upstream)'!V$344</f>
        <v>0</v>
      </c>
    </row>
    <row r="3488" spans="1:65" ht="15.75" hidden="1" customHeight="1" outlineLevel="1">
      <c r="A3488" s="472"/>
      <c r="B3488" s="99"/>
      <c r="C3488" s="42"/>
      <c r="D3488" s="42"/>
      <c r="E3488" s="42"/>
      <c r="F3488" s="42"/>
      <c r="G3488" s="42"/>
      <c r="H3488" s="42"/>
      <c r="I3488" s="42"/>
      <c r="J3488" s="42"/>
      <c r="K3488" s="42"/>
      <c r="L3488" s="42"/>
      <c r="M3488" s="42"/>
      <c r="N3488" s="42"/>
      <c r="O3488" s="42"/>
      <c r="P3488" s="42"/>
      <c r="Q3488" s="42"/>
      <c r="R3488" s="42"/>
      <c r="S3488" s="42"/>
      <c r="T3488" s="42"/>
      <c r="U3488" s="42"/>
      <c r="V3488" s="42"/>
      <c r="W3488" s="86"/>
      <c r="AS3488" s="147">
        <f>$AS3338*'Assumptions (O&amp;G Upstream)'!B$344</f>
        <v>50.239676034138327</v>
      </c>
      <c r="AT3488" s="147">
        <f>$AS3338*'Assumptions (O&amp;G Upstream)'!C$344</f>
        <v>86.100046611339934</v>
      </c>
      <c r="AU3488" s="147">
        <f>$AS3338*'Assumptions (O&amp;G Upstream)'!D$344</f>
        <v>61.489988372083928</v>
      </c>
      <c r="AV3488" s="147">
        <f>$AS3338*'Assumptions (O&amp;G Upstream)'!E$344</f>
        <v>43.911375344043925</v>
      </c>
      <c r="AW3488" s="147">
        <f>$AS3338*'Assumptions (O&amp;G Upstream)'!F$344</f>
        <v>31.395402868079444</v>
      </c>
      <c r="AX3488" s="147">
        <f>$AS3338*'Assumptions (O&amp;G Upstream)'!G$344</f>
        <v>31.360245642023365</v>
      </c>
      <c r="AY3488" s="147">
        <f>$AS3338*'Assumptions (O&amp;G Upstream)'!H$344</f>
        <v>31.395402868079444</v>
      </c>
      <c r="AZ3488" s="147">
        <f>$AS3338*'Assumptions (O&amp;G Upstream)'!I$344</f>
        <v>15.680122821011683</v>
      </c>
      <c r="BA3488" s="147">
        <f>$AS3338*'Assumptions (O&amp;G Upstream)'!J$344</f>
        <v>0</v>
      </c>
      <c r="BB3488" s="147">
        <f>$AS3338*'Assumptions (O&amp;G Upstream)'!K$344</f>
        <v>0</v>
      </c>
      <c r="BC3488" s="147">
        <f>$AS3338*'Assumptions (O&amp;G Upstream)'!L$344</f>
        <v>0</v>
      </c>
      <c r="BD3488" s="147">
        <f>$AS3338*'Assumptions (O&amp;G Upstream)'!M$344</f>
        <v>0</v>
      </c>
      <c r="BE3488" s="147">
        <f>$AS3338*'Assumptions (O&amp;G Upstream)'!N$344</f>
        <v>0</v>
      </c>
      <c r="BF3488" s="147">
        <f>$AS3338*'Assumptions (O&amp;G Upstream)'!O$344</f>
        <v>0</v>
      </c>
      <c r="BG3488" s="147">
        <f>$AS3338*'Assumptions (O&amp;G Upstream)'!P$344</f>
        <v>0</v>
      </c>
      <c r="BH3488" s="147">
        <f>$AS3338*'Assumptions (O&amp;G Upstream)'!Q$344</f>
        <v>0</v>
      </c>
      <c r="BI3488" s="147">
        <f>$AS3338*'Assumptions (O&amp;G Upstream)'!R$344</f>
        <v>0</v>
      </c>
      <c r="BJ3488" s="147">
        <f>$AS3338*'Assumptions (O&amp;G Upstream)'!S$344</f>
        <v>0</v>
      </c>
      <c r="BK3488" s="147">
        <f>$AS3338*'Assumptions (O&amp;G Upstream)'!T$344</f>
        <v>0</v>
      </c>
      <c r="BL3488" s="147">
        <f>$AS3338*'Assumptions (O&amp;G Upstream)'!U$344</f>
        <v>0</v>
      </c>
      <c r="BM3488" s="147">
        <f>$AS3338*'Assumptions (O&amp;G Upstream)'!V$344</f>
        <v>0</v>
      </c>
    </row>
    <row r="3489" spans="1:73" ht="15.75" hidden="1" customHeight="1" outlineLevel="1">
      <c r="A3489" s="472"/>
      <c r="B3489" s="99"/>
      <c r="C3489" s="42"/>
      <c r="D3489" s="42"/>
      <c r="E3489" s="42"/>
      <c r="F3489" s="42"/>
      <c r="G3489" s="42"/>
      <c r="H3489" s="42"/>
      <c r="I3489" s="42"/>
      <c r="J3489" s="42"/>
      <c r="K3489" s="42"/>
      <c r="L3489" s="42"/>
      <c r="M3489" s="42"/>
      <c r="N3489" s="42"/>
      <c r="O3489" s="42"/>
      <c r="P3489" s="42"/>
      <c r="Q3489" s="42"/>
      <c r="R3489" s="42"/>
      <c r="S3489" s="42"/>
      <c r="T3489" s="42"/>
      <c r="U3489" s="42"/>
      <c r="V3489" s="42"/>
      <c r="W3489" s="86"/>
      <c r="AT3489" s="147">
        <f>$AT3338*'Assumptions (O&amp;G Upstream)'!B$344</f>
        <v>50.910256747846837</v>
      </c>
      <c r="AU3489" s="147">
        <f>$AT3338*'Assumptions (O&amp;G Upstream)'!C$344</f>
        <v>87.249278359326041</v>
      </c>
      <c r="AV3489" s="147">
        <f>$AT3338*'Assumptions (O&amp;G Upstream)'!D$344</f>
        <v>62.310734116154038</v>
      </c>
      <c r="AW3489" s="147">
        <f>$AT3338*'Assumptions (O&amp;G Upstream)'!E$344</f>
        <v>44.497488228174035</v>
      </c>
      <c r="AX3489" s="147">
        <f>$AT3338*'Assumptions (O&amp;G Upstream)'!F$344</f>
        <v>31.814457155932281</v>
      </c>
      <c r="AY3489" s="147">
        <f>$AT3338*'Assumptions (O&amp;G Upstream)'!G$344</f>
        <v>31.77883066415632</v>
      </c>
      <c r="AZ3489" s="147">
        <f>$AT3338*'Assumptions (O&amp;G Upstream)'!H$344</f>
        <v>31.814457155932281</v>
      </c>
      <c r="BA3489" s="147">
        <f>$AT3338*'Assumptions (O&amp;G Upstream)'!I$344</f>
        <v>15.88941533207816</v>
      </c>
      <c r="BB3489" s="147">
        <f>$AT3338*'Assumptions (O&amp;G Upstream)'!J$344</f>
        <v>0</v>
      </c>
      <c r="BC3489" s="147">
        <f>$AT3338*'Assumptions (O&amp;G Upstream)'!K$344</f>
        <v>0</v>
      </c>
      <c r="BD3489" s="147">
        <f>$AT3338*'Assumptions (O&amp;G Upstream)'!L$344</f>
        <v>0</v>
      </c>
      <c r="BE3489" s="147">
        <f>$AT3338*'Assumptions (O&amp;G Upstream)'!M$344</f>
        <v>0</v>
      </c>
      <c r="BF3489" s="147">
        <f>$AT3338*'Assumptions (O&amp;G Upstream)'!N$344</f>
        <v>0</v>
      </c>
      <c r="BG3489" s="147">
        <f>$AT3338*'Assumptions (O&amp;G Upstream)'!O$344</f>
        <v>0</v>
      </c>
      <c r="BH3489" s="147">
        <f>$AT3338*'Assumptions (O&amp;G Upstream)'!P$344</f>
        <v>0</v>
      </c>
      <c r="BI3489" s="147">
        <f>$AT3338*'Assumptions (O&amp;G Upstream)'!Q$344</f>
        <v>0</v>
      </c>
      <c r="BJ3489" s="147">
        <f>$AT3338*'Assumptions (O&amp;G Upstream)'!R$344</f>
        <v>0</v>
      </c>
      <c r="BK3489" s="147">
        <f>$AT3338*'Assumptions (O&amp;G Upstream)'!S$344</f>
        <v>0</v>
      </c>
      <c r="BL3489" s="147">
        <f>$AT3338*'Assumptions (O&amp;G Upstream)'!T$344</f>
        <v>0</v>
      </c>
      <c r="BM3489" s="147">
        <f>$AT3338*'Assumptions (O&amp;G Upstream)'!U$344</f>
        <v>0</v>
      </c>
      <c r="BN3489" s="147">
        <f>$AT3338*'Assumptions (O&amp;G Upstream)'!V$344</f>
        <v>0</v>
      </c>
    </row>
    <row r="3490" spans="1:73" ht="15.75" hidden="1" customHeight="1" outlineLevel="1">
      <c r="A3490" s="472"/>
      <c r="B3490" s="99"/>
      <c r="C3490" s="42"/>
      <c r="D3490" s="42"/>
      <c r="E3490" s="42"/>
      <c r="F3490" s="42"/>
      <c r="G3490" s="42"/>
      <c r="H3490" s="42"/>
      <c r="I3490" s="42"/>
      <c r="J3490" s="42"/>
      <c r="K3490" s="42"/>
      <c r="L3490" s="42"/>
      <c r="M3490" s="42"/>
      <c r="N3490" s="42"/>
      <c r="O3490" s="42"/>
      <c r="P3490" s="42"/>
      <c r="Q3490" s="42"/>
      <c r="R3490" s="42"/>
      <c r="S3490" s="42"/>
      <c r="T3490" s="42"/>
      <c r="U3490" s="42"/>
      <c r="V3490" s="42"/>
      <c r="W3490" s="86"/>
      <c r="AU3490" s="147">
        <f>$AU3338*'Assumptions (O&amp;G Upstream)'!B$344</f>
        <v>51.707610617581715</v>
      </c>
      <c r="AV3490" s="147">
        <f>$AU3338*'Assumptions (O&amp;G Upstream)'!C$344</f>
        <v>88.615772150075315</v>
      </c>
      <c r="AW3490" s="147">
        <f>$AU3338*'Assumptions (O&amp;G Upstream)'!D$344</f>
        <v>63.286641686599317</v>
      </c>
      <c r="AX3490" s="147">
        <f>$AU3338*'Assumptions (O&amp;G Upstream)'!E$344</f>
        <v>45.194405641259316</v>
      </c>
      <c r="AY3490" s="147">
        <f>$AU3338*'Assumptions (O&amp;G Upstream)'!F$344</f>
        <v>32.312733576977237</v>
      </c>
      <c r="AZ3490" s="147">
        <f>$AU3338*'Assumptions (O&amp;G Upstream)'!G$344</f>
        <v>32.276549104886556</v>
      </c>
      <c r="BA3490" s="147">
        <f>$AU3338*'Assumptions (O&amp;G Upstream)'!H$344</f>
        <v>32.312733576977237</v>
      </c>
      <c r="BB3490" s="147">
        <f>$AU3338*'Assumptions (O&amp;G Upstream)'!I$344</f>
        <v>16.138274552443278</v>
      </c>
      <c r="BC3490" s="147">
        <f>$AU3338*'Assumptions (O&amp;G Upstream)'!J$344</f>
        <v>0</v>
      </c>
      <c r="BD3490" s="147">
        <f>$AU3338*'Assumptions (O&amp;G Upstream)'!K$344</f>
        <v>0</v>
      </c>
      <c r="BE3490" s="147">
        <f>$AU3338*'Assumptions (O&amp;G Upstream)'!L$344</f>
        <v>0</v>
      </c>
      <c r="BF3490" s="147">
        <f>$AU3338*'Assumptions (O&amp;G Upstream)'!M$344</f>
        <v>0</v>
      </c>
      <c r="BG3490" s="147">
        <f>$AU3338*'Assumptions (O&amp;G Upstream)'!N$344</f>
        <v>0</v>
      </c>
      <c r="BH3490" s="147">
        <f>$AU3338*'Assumptions (O&amp;G Upstream)'!O$344</f>
        <v>0</v>
      </c>
      <c r="BI3490" s="147">
        <f>$AU3338*'Assumptions (O&amp;G Upstream)'!P$344</f>
        <v>0</v>
      </c>
      <c r="BJ3490" s="147">
        <f>$AU3338*'Assumptions (O&amp;G Upstream)'!Q$344</f>
        <v>0</v>
      </c>
      <c r="BK3490" s="147">
        <f>$AU3338*'Assumptions (O&amp;G Upstream)'!R$344</f>
        <v>0</v>
      </c>
      <c r="BL3490" s="147">
        <f>$AU3338*'Assumptions (O&amp;G Upstream)'!S$344</f>
        <v>0</v>
      </c>
      <c r="BM3490" s="147">
        <f>$AU3338*'Assumptions (O&amp;G Upstream)'!T$344</f>
        <v>0</v>
      </c>
      <c r="BN3490" s="147">
        <f>$AU3338*'Assumptions (O&amp;G Upstream)'!U$344</f>
        <v>0</v>
      </c>
      <c r="BO3490" s="147">
        <f>$AU3338*'Assumptions (O&amp;G Upstream)'!V$344</f>
        <v>0</v>
      </c>
    </row>
    <row r="3491" spans="1:73" ht="15.75" hidden="1" customHeight="1" outlineLevel="1">
      <c r="A3491" s="472"/>
      <c r="B3491" s="99"/>
      <c r="C3491" s="42"/>
      <c r="D3491" s="42"/>
      <c r="E3491" s="42"/>
      <c r="F3491" s="42"/>
      <c r="G3491" s="42"/>
      <c r="H3491" s="42"/>
      <c r="I3491" s="42"/>
      <c r="J3491" s="42"/>
      <c r="K3491" s="42"/>
      <c r="L3491" s="42"/>
      <c r="M3491" s="42"/>
      <c r="N3491" s="42"/>
      <c r="O3491" s="42"/>
      <c r="P3491" s="42"/>
      <c r="Q3491" s="42"/>
      <c r="R3491" s="42"/>
      <c r="S3491" s="42"/>
      <c r="T3491" s="42"/>
      <c r="U3491" s="42"/>
      <c r="V3491" s="42"/>
      <c r="W3491" s="86"/>
      <c r="AV3491" s="147">
        <f>$AV3338*'Assumptions (O&amp;G Upstream)'!B$344</f>
        <v>52.402312775867621</v>
      </c>
      <c r="AW3491" s="147">
        <f>$AV3338*'Assumptions (O&amp;G Upstream)'!C$344</f>
        <v>89.806342888803229</v>
      </c>
      <c r="AX3491" s="147">
        <f>$AV3338*'Assumptions (O&amp;G Upstream)'!D$344</f>
        <v>64.136910458357221</v>
      </c>
      <c r="AY3491" s="147">
        <f>$AV3338*'Assumptions (O&amp;G Upstream)'!E$344</f>
        <v>45.801601579467224</v>
      </c>
      <c r="AZ3491" s="147">
        <f>$AV3338*'Assumptions (O&amp;G Upstream)'!F$344</f>
        <v>32.746861657697544</v>
      </c>
      <c r="BA3491" s="147">
        <f>$AV3338*'Assumptions (O&amp;G Upstream)'!G$344</f>
        <v>32.710191039939765</v>
      </c>
      <c r="BB3491" s="147">
        <f>$AV3338*'Assumptions (O&amp;G Upstream)'!H$344</f>
        <v>32.746861657697544</v>
      </c>
      <c r="BC3491" s="147">
        <f>$AV3338*'Assumptions (O&amp;G Upstream)'!I$344</f>
        <v>16.355095519969883</v>
      </c>
      <c r="BD3491" s="147">
        <f>$AV3338*'Assumptions (O&amp;G Upstream)'!J$344</f>
        <v>0</v>
      </c>
      <c r="BE3491" s="147">
        <f>$AV3338*'Assumptions (O&amp;G Upstream)'!K$344</f>
        <v>0</v>
      </c>
      <c r="BF3491" s="147">
        <f>$AV3338*'Assumptions (O&amp;G Upstream)'!L$344</f>
        <v>0</v>
      </c>
      <c r="BG3491" s="147">
        <f>$AV3338*'Assumptions (O&amp;G Upstream)'!M$344</f>
        <v>0</v>
      </c>
      <c r="BH3491" s="147">
        <f>$AV3338*'Assumptions (O&amp;G Upstream)'!N$344</f>
        <v>0</v>
      </c>
      <c r="BI3491" s="147">
        <f>$AV3338*'Assumptions (O&amp;G Upstream)'!O$344</f>
        <v>0</v>
      </c>
      <c r="BJ3491" s="147">
        <f>$AV3338*'Assumptions (O&amp;G Upstream)'!P$344</f>
        <v>0</v>
      </c>
      <c r="BK3491" s="147">
        <f>$AV3338*'Assumptions (O&amp;G Upstream)'!Q$344</f>
        <v>0</v>
      </c>
      <c r="BL3491" s="147">
        <f>$AV3338*'Assumptions (O&amp;G Upstream)'!R$344</f>
        <v>0</v>
      </c>
      <c r="BM3491" s="147">
        <f>$AV3338*'Assumptions (O&amp;G Upstream)'!S$344</f>
        <v>0</v>
      </c>
      <c r="BN3491" s="147">
        <f>$AV3338*'Assumptions (O&amp;G Upstream)'!T$344</f>
        <v>0</v>
      </c>
      <c r="BO3491" s="147">
        <f>$AV3338*'Assumptions (O&amp;G Upstream)'!U$344</f>
        <v>0</v>
      </c>
      <c r="BP3491" s="147">
        <f>$AV3338*'Assumptions (O&amp;G Upstream)'!V$344</f>
        <v>0</v>
      </c>
    </row>
    <row r="3492" spans="1:73" ht="15.75" hidden="1" customHeight="1" outlineLevel="1">
      <c r="A3492" s="472"/>
      <c r="B3492" s="99"/>
      <c r="C3492" s="42"/>
      <c r="D3492" s="42"/>
      <c r="E3492" s="42"/>
      <c r="F3492" s="42"/>
      <c r="G3492" s="42"/>
      <c r="H3492" s="42"/>
      <c r="I3492" s="42"/>
      <c r="J3492" s="42"/>
      <c r="K3492" s="42"/>
      <c r="L3492" s="42"/>
      <c r="M3492" s="42"/>
      <c r="N3492" s="42"/>
      <c r="O3492" s="42"/>
      <c r="P3492" s="42"/>
      <c r="Q3492" s="42"/>
      <c r="R3492" s="42"/>
      <c r="S3492" s="42"/>
      <c r="T3492" s="42"/>
      <c r="U3492" s="42"/>
      <c r="V3492" s="42"/>
      <c r="W3492" s="86"/>
      <c r="AW3492" s="147">
        <f>$AW3338*'Assumptions (O&amp;G Upstream)'!B$344</f>
        <v>53.130960281760771</v>
      </c>
      <c r="AX3492" s="147">
        <f>$AW3338*'Assumptions (O&amp;G Upstream)'!C$344</f>
        <v>91.055088684417171</v>
      </c>
      <c r="AY3492" s="147">
        <f>$AW3338*'Assumptions (O&amp;G Upstream)'!D$344</f>
        <v>65.028726055143167</v>
      </c>
      <c r="AZ3492" s="147">
        <f>$AW3338*'Assumptions (O&amp;G Upstream)'!E$344</f>
        <v>46.43846703423317</v>
      </c>
      <c r="BA3492" s="147">
        <f>$AW3338*'Assumptions (O&amp;G Upstream)'!F$344</f>
        <v>33.202202611345257</v>
      </c>
      <c r="BB3492" s="147">
        <f>$AW3338*'Assumptions (O&amp;G Upstream)'!G$344</f>
        <v>33.165022093303435</v>
      </c>
      <c r="BC3492" s="147">
        <f>$AW3338*'Assumptions (O&amp;G Upstream)'!H$344</f>
        <v>33.202202611345257</v>
      </c>
      <c r="BD3492" s="147">
        <f>$AW3338*'Assumptions (O&amp;G Upstream)'!I$344</f>
        <v>16.582511046651717</v>
      </c>
      <c r="BE3492" s="147">
        <f>$AW3338*'Assumptions (O&amp;G Upstream)'!J$344</f>
        <v>0</v>
      </c>
      <c r="BF3492" s="147">
        <f>$AW3338*'Assumptions (O&amp;G Upstream)'!K$344</f>
        <v>0</v>
      </c>
      <c r="BG3492" s="147">
        <f>$AW3338*'Assumptions (O&amp;G Upstream)'!L$344</f>
        <v>0</v>
      </c>
      <c r="BH3492" s="147">
        <f>$AW3338*'Assumptions (O&amp;G Upstream)'!M$344</f>
        <v>0</v>
      </c>
      <c r="BI3492" s="147">
        <f>$AW3338*'Assumptions (O&amp;G Upstream)'!N$344</f>
        <v>0</v>
      </c>
      <c r="BJ3492" s="147">
        <f>$AW3338*'Assumptions (O&amp;G Upstream)'!O$344</f>
        <v>0</v>
      </c>
      <c r="BK3492" s="147">
        <f>$AW3338*'Assumptions (O&amp;G Upstream)'!P$344</f>
        <v>0</v>
      </c>
      <c r="BL3492" s="147">
        <f>$AW3338*'Assumptions (O&amp;G Upstream)'!Q$344</f>
        <v>0</v>
      </c>
      <c r="BM3492" s="147">
        <f>$AW3338*'Assumptions (O&amp;G Upstream)'!R$344</f>
        <v>0</v>
      </c>
      <c r="BN3492" s="147">
        <f>$AW3338*'Assumptions (O&amp;G Upstream)'!S$344</f>
        <v>0</v>
      </c>
      <c r="BO3492" s="147">
        <f>$AW3338*'Assumptions (O&amp;G Upstream)'!T$344</f>
        <v>0</v>
      </c>
      <c r="BP3492" s="147">
        <f>$AW3338*'Assumptions (O&amp;G Upstream)'!U$344</f>
        <v>0</v>
      </c>
      <c r="BQ3492" s="147">
        <f>$AW3338*'Assumptions (O&amp;G Upstream)'!V$344</f>
        <v>0</v>
      </c>
    </row>
    <row r="3493" spans="1:73" ht="15.75" hidden="1" customHeight="1" outlineLevel="1">
      <c r="A3493" s="472"/>
      <c r="B3493" s="99"/>
      <c r="C3493" s="42"/>
      <c r="D3493" s="42"/>
      <c r="E3493" s="42"/>
      <c r="F3493" s="42"/>
      <c r="G3493" s="42"/>
      <c r="H3493" s="42"/>
      <c r="I3493" s="42"/>
      <c r="J3493" s="42"/>
      <c r="K3493" s="42"/>
      <c r="L3493" s="42"/>
      <c r="M3493" s="42"/>
      <c r="N3493" s="42"/>
      <c r="O3493" s="42"/>
      <c r="P3493" s="42"/>
      <c r="Q3493" s="42"/>
      <c r="R3493" s="42"/>
      <c r="S3493" s="42"/>
      <c r="T3493" s="42"/>
      <c r="U3493" s="42"/>
      <c r="V3493" s="42"/>
      <c r="W3493" s="86"/>
      <c r="AX3493" s="147">
        <f>$AX3338*'Assumptions (O&amp;G Upstream)'!B$344</f>
        <v>53.926501508665901</v>
      </c>
      <c r="AY3493" s="147">
        <f>$AX3338*'Assumptions (O&amp;G Upstream)'!C$344</f>
        <v>92.418475993507897</v>
      </c>
      <c r="AZ3493" s="147">
        <f>$AX3338*'Assumptions (O&amp;G Upstream)'!D$344</f>
        <v>66.0024150725379</v>
      </c>
      <c r="BA3493" s="147">
        <f>$AX3338*'Assumptions (O&amp;G Upstream)'!E$344</f>
        <v>47.1338001289879</v>
      </c>
      <c r="BB3493" s="147">
        <f>$AX3338*'Assumptions (O&amp;G Upstream)'!F$344</f>
        <v>33.699346289180305</v>
      </c>
      <c r="BC3493" s="147">
        <f>$AX3338*'Assumptions (O&amp;G Upstream)'!G$344</f>
        <v>33.661609059293198</v>
      </c>
      <c r="BD3493" s="147">
        <f>$AX3338*'Assumptions (O&amp;G Upstream)'!H$344</f>
        <v>33.699346289180305</v>
      </c>
      <c r="BE3493" s="147">
        <f>$AX3338*'Assumptions (O&amp;G Upstream)'!I$344</f>
        <v>16.830804529646599</v>
      </c>
      <c r="BF3493" s="147">
        <f>$AX3338*'Assumptions (O&amp;G Upstream)'!J$344</f>
        <v>0</v>
      </c>
      <c r="BG3493" s="147">
        <f>$AX3338*'Assumptions (O&amp;G Upstream)'!K$344</f>
        <v>0</v>
      </c>
      <c r="BH3493" s="147">
        <f>$AX3338*'Assumptions (O&amp;G Upstream)'!L$344</f>
        <v>0</v>
      </c>
      <c r="BI3493" s="147">
        <f>$AX3338*'Assumptions (O&amp;G Upstream)'!M$344</f>
        <v>0</v>
      </c>
      <c r="BJ3493" s="147">
        <f>$AX3338*'Assumptions (O&amp;G Upstream)'!N$344</f>
        <v>0</v>
      </c>
      <c r="BK3493" s="147">
        <f>$AX3338*'Assumptions (O&amp;G Upstream)'!O$344</f>
        <v>0</v>
      </c>
      <c r="BL3493" s="147">
        <f>$AX3338*'Assumptions (O&amp;G Upstream)'!P$344</f>
        <v>0</v>
      </c>
      <c r="BM3493" s="147">
        <f>$AX3338*'Assumptions (O&amp;G Upstream)'!Q$344</f>
        <v>0</v>
      </c>
      <c r="BN3493" s="147">
        <f>$AX3338*'Assumptions (O&amp;G Upstream)'!R$344</f>
        <v>0</v>
      </c>
      <c r="BO3493" s="147">
        <f>$AX3338*'Assumptions (O&amp;G Upstream)'!S$344</f>
        <v>0</v>
      </c>
      <c r="BP3493" s="147">
        <f>$AX3338*'Assumptions (O&amp;G Upstream)'!T$344</f>
        <v>0</v>
      </c>
      <c r="BQ3493" s="147">
        <f>$AX3338*'Assumptions (O&amp;G Upstream)'!U$344</f>
        <v>0</v>
      </c>
      <c r="BR3493" s="147">
        <f>$AX3338*'Assumptions (O&amp;G Upstream)'!V$344</f>
        <v>0</v>
      </c>
    </row>
    <row r="3494" spans="1:73" ht="15.75" hidden="1" customHeight="1" outlineLevel="1">
      <c r="A3494" s="472"/>
      <c r="B3494" s="99"/>
      <c r="C3494" s="42"/>
      <c r="D3494" s="42"/>
      <c r="E3494" s="42"/>
      <c r="F3494" s="42"/>
      <c r="G3494" s="42"/>
      <c r="H3494" s="42"/>
      <c r="I3494" s="42"/>
      <c r="J3494" s="42"/>
      <c r="K3494" s="42"/>
      <c r="L3494" s="42"/>
      <c r="M3494" s="42"/>
      <c r="N3494" s="42"/>
      <c r="O3494" s="42"/>
      <c r="P3494" s="42"/>
      <c r="Q3494" s="42"/>
      <c r="R3494" s="42"/>
      <c r="S3494" s="42"/>
      <c r="T3494" s="42"/>
      <c r="U3494" s="42"/>
      <c r="V3494" s="42"/>
      <c r="W3494" s="86"/>
      <c r="AY3494" s="147">
        <f>$AY3338*'Assumptions (O&amp;G Upstream)'!B$344</f>
        <v>54.761234934847415</v>
      </c>
      <c r="AZ3494" s="147">
        <f>$AY3338*'Assumptions (O&amp;G Upstream)'!C$344</f>
        <v>93.849030339707014</v>
      </c>
      <c r="BA3494" s="147">
        <f>$AY3338*'Assumptions (O&amp;G Upstream)'!D$344</f>
        <v>67.024072708921011</v>
      </c>
      <c r="BB3494" s="147">
        <f>$AY3338*'Assumptions (O&amp;G Upstream)'!E$344</f>
        <v>47.863388686931017</v>
      </c>
      <c r="BC3494" s="147">
        <f>$AY3338*'Assumptions (O&amp;G Upstream)'!F$344</f>
        <v>34.220981663274138</v>
      </c>
      <c r="BD3494" s="147">
        <f>$AY3338*'Assumptions (O&amp;G Upstream)'!G$344</f>
        <v>34.182660295230157</v>
      </c>
      <c r="BE3494" s="147">
        <f>$AY3338*'Assumptions (O&amp;G Upstream)'!H$344</f>
        <v>34.220981663274138</v>
      </c>
      <c r="BF3494" s="147">
        <f>$AY3338*'Assumptions (O&amp;G Upstream)'!I$344</f>
        <v>17.091330147615079</v>
      </c>
      <c r="BG3494" s="147">
        <f>$AY3338*'Assumptions (O&amp;G Upstream)'!J$344</f>
        <v>0</v>
      </c>
      <c r="BH3494" s="147">
        <f>$AY3338*'Assumptions (O&amp;G Upstream)'!K$344</f>
        <v>0</v>
      </c>
      <c r="BI3494" s="147">
        <f>$AY3338*'Assumptions (O&amp;G Upstream)'!L$344</f>
        <v>0</v>
      </c>
      <c r="BJ3494" s="147">
        <f>$AY3338*'Assumptions (O&amp;G Upstream)'!M$344</f>
        <v>0</v>
      </c>
      <c r="BK3494" s="147">
        <f>$AY3338*'Assumptions (O&amp;G Upstream)'!N$344</f>
        <v>0</v>
      </c>
      <c r="BL3494" s="147">
        <f>$AY3338*'Assumptions (O&amp;G Upstream)'!O$344</f>
        <v>0</v>
      </c>
      <c r="BM3494" s="147">
        <f>$AY3338*'Assumptions (O&amp;G Upstream)'!P$344</f>
        <v>0</v>
      </c>
      <c r="BN3494" s="147">
        <f>$AY3338*'Assumptions (O&amp;G Upstream)'!Q$344</f>
        <v>0</v>
      </c>
      <c r="BO3494" s="147">
        <f>$AY3338*'Assumptions (O&amp;G Upstream)'!R$344</f>
        <v>0</v>
      </c>
      <c r="BP3494" s="147">
        <f>$AY3338*'Assumptions (O&amp;G Upstream)'!S$344</f>
        <v>0</v>
      </c>
      <c r="BQ3494" s="147">
        <f>$AY3338*'Assumptions (O&amp;G Upstream)'!T$344</f>
        <v>0</v>
      </c>
      <c r="BR3494" s="147">
        <f>$AY3338*'Assumptions (O&amp;G Upstream)'!U$344</f>
        <v>0</v>
      </c>
      <c r="BS3494" s="147">
        <f>$AY3338*'Assumptions (O&amp;G Upstream)'!V$344</f>
        <v>0</v>
      </c>
    </row>
    <row r="3495" spans="1:73" ht="15.75" hidden="1" customHeight="1" outlineLevel="1">
      <c r="A3495" s="472"/>
      <c r="B3495" s="99"/>
      <c r="C3495" s="42"/>
      <c r="D3495" s="42"/>
      <c r="E3495" s="42"/>
      <c r="F3495" s="42"/>
      <c r="G3495" s="42"/>
      <c r="H3495" s="42"/>
      <c r="I3495" s="42"/>
      <c r="J3495" s="42"/>
      <c r="K3495" s="42"/>
      <c r="L3495" s="42"/>
      <c r="M3495" s="42"/>
      <c r="N3495" s="42"/>
      <c r="O3495" s="42"/>
      <c r="P3495" s="42"/>
      <c r="Q3495" s="42"/>
      <c r="R3495" s="42"/>
      <c r="S3495" s="42"/>
      <c r="T3495" s="42"/>
      <c r="U3495" s="42"/>
      <c r="V3495" s="42"/>
      <c r="W3495" s="86"/>
      <c r="AZ3495" s="147">
        <f>$AZ3338*'Assumptions (O&amp;G Upstream)'!B$344</f>
        <v>55.387215637765493</v>
      </c>
      <c r="BA3495" s="147">
        <f>$AZ3338*'Assumptions (O&amp;G Upstream)'!C$344</f>
        <v>94.921827219655498</v>
      </c>
      <c r="BB3495" s="147">
        <f>$AZ3338*'Assumptions (O&amp;G Upstream)'!D$344</f>
        <v>67.790231036005494</v>
      </c>
      <c r="BC3495" s="147">
        <f>$AZ3338*'Assumptions (O&amp;G Upstream)'!E$344</f>
        <v>48.410519476255494</v>
      </c>
      <c r="BD3495" s="147">
        <f>$AZ3338*'Assumptions (O&amp;G Upstream)'!F$344</f>
        <v>34.612164845713501</v>
      </c>
      <c r="BE3495" s="147">
        <f>$AZ3338*'Assumptions (O&amp;G Upstream)'!G$344</f>
        <v>34.573405422594</v>
      </c>
      <c r="BF3495" s="147">
        <f>$AZ3338*'Assumptions (O&amp;G Upstream)'!H$344</f>
        <v>34.612164845713501</v>
      </c>
      <c r="BG3495" s="147">
        <f>$AZ3338*'Assumptions (O&amp;G Upstream)'!I$344</f>
        <v>17.286702711297</v>
      </c>
      <c r="BH3495" s="147">
        <f>$AZ3338*'Assumptions (O&amp;G Upstream)'!J$344</f>
        <v>0</v>
      </c>
      <c r="BI3495" s="147">
        <f>$AZ3338*'Assumptions (O&amp;G Upstream)'!K$344</f>
        <v>0</v>
      </c>
      <c r="BJ3495" s="147">
        <f>$AZ3338*'Assumptions (O&amp;G Upstream)'!L$344</f>
        <v>0</v>
      </c>
      <c r="BK3495" s="147">
        <f>$AZ3338*'Assumptions (O&amp;G Upstream)'!M$344</f>
        <v>0</v>
      </c>
      <c r="BL3495" s="147">
        <f>$AZ3338*'Assumptions (O&amp;G Upstream)'!N$344</f>
        <v>0</v>
      </c>
      <c r="BM3495" s="147">
        <f>$AZ3338*'Assumptions (O&amp;G Upstream)'!O$344</f>
        <v>0</v>
      </c>
      <c r="BN3495" s="147">
        <f>$AZ3338*'Assumptions (O&amp;G Upstream)'!P$344</f>
        <v>0</v>
      </c>
      <c r="BO3495" s="147">
        <f>$AZ3338*'Assumptions (O&amp;G Upstream)'!Q$344</f>
        <v>0</v>
      </c>
      <c r="BP3495" s="147">
        <f>$AZ3338*'Assumptions (O&amp;G Upstream)'!R$344</f>
        <v>0</v>
      </c>
      <c r="BQ3495" s="147">
        <f>$AZ3338*'Assumptions (O&amp;G Upstream)'!S$344</f>
        <v>0</v>
      </c>
      <c r="BR3495" s="147">
        <f>$AZ3338*'Assumptions (O&amp;G Upstream)'!T$344</f>
        <v>0</v>
      </c>
      <c r="BS3495" s="147">
        <f>$AZ3338*'Assumptions (O&amp;G Upstream)'!U$344</f>
        <v>0</v>
      </c>
      <c r="BT3495" s="147">
        <f>$AZ3338*'Assumptions (O&amp;G Upstream)'!V$344</f>
        <v>0</v>
      </c>
    </row>
    <row r="3496" spans="1:73" ht="15.75" hidden="1" customHeight="1" outlineLevel="1">
      <c r="A3496" s="472"/>
      <c r="B3496" s="99"/>
      <c r="C3496" s="42"/>
      <c r="D3496" s="42"/>
      <c r="E3496" s="42"/>
      <c r="F3496" s="42"/>
      <c r="G3496" s="42"/>
      <c r="H3496" s="42"/>
      <c r="I3496" s="42"/>
      <c r="J3496" s="42"/>
      <c r="K3496" s="42"/>
      <c r="L3496" s="42"/>
      <c r="M3496" s="42"/>
      <c r="N3496" s="42"/>
      <c r="O3496" s="42"/>
      <c r="P3496" s="42"/>
      <c r="Q3496" s="42"/>
      <c r="R3496" s="42"/>
      <c r="S3496" s="42"/>
      <c r="T3496" s="42"/>
      <c r="U3496" s="42"/>
      <c r="V3496" s="42"/>
      <c r="W3496" s="86"/>
      <c r="BA3496" s="147">
        <f>$BA3338*'Assumptions (O&amp;G Upstream)'!B$344</f>
        <v>56.159213795839641</v>
      </c>
      <c r="BB3496" s="147">
        <f>$BA3338*'Assumptions (O&amp;G Upstream)'!C$344</f>
        <v>96.244866750182837</v>
      </c>
      <c r="BC3496" s="147">
        <f>$BA3338*'Assumptions (O&amp;G Upstream)'!D$344</f>
        <v>68.735104918770844</v>
      </c>
      <c r="BD3496" s="147">
        <f>$BA3338*'Assumptions (O&amp;G Upstream)'!E$344</f>
        <v>49.08527503919084</v>
      </c>
      <c r="BE3496" s="147">
        <f>$BA3338*'Assumptions (O&amp;G Upstream)'!F$344</f>
        <v>35.094596164929882</v>
      </c>
      <c r="BF3496" s="147">
        <f>$BA3338*'Assumptions (O&amp;G Upstream)'!G$344</f>
        <v>35.055296505170723</v>
      </c>
      <c r="BG3496" s="147">
        <f>$BA3338*'Assumptions (O&amp;G Upstream)'!H$344</f>
        <v>35.094596164929882</v>
      </c>
      <c r="BH3496" s="147">
        <f>$BA3338*'Assumptions (O&amp;G Upstream)'!I$344</f>
        <v>17.527648252585362</v>
      </c>
      <c r="BI3496" s="147">
        <f>$BA3338*'Assumptions (O&amp;G Upstream)'!J$344</f>
        <v>0</v>
      </c>
      <c r="BJ3496" s="147">
        <f>$BA3338*'Assumptions (O&amp;G Upstream)'!K$344</f>
        <v>0</v>
      </c>
      <c r="BK3496" s="147">
        <f>$BA3338*'Assumptions (O&amp;G Upstream)'!L$344</f>
        <v>0</v>
      </c>
      <c r="BL3496" s="147">
        <f>$BA3338*'Assumptions (O&amp;G Upstream)'!M$344</f>
        <v>0</v>
      </c>
      <c r="BM3496" s="147">
        <f>$BA3338*'Assumptions (O&amp;G Upstream)'!N$344</f>
        <v>0</v>
      </c>
      <c r="BN3496" s="147">
        <f>$BA3338*'Assumptions (O&amp;G Upstream)'!O$344</f>
        <v>0</v>
      </c>
      <c r="BO3496" s="147">
        <f>$BA3338*'Assumptions (O&amp;G Upstream)'!P$344</f>
        <v>0</v>
      </c>
      <c r="BP3496" s="147">
        <f>$BA3338*'Assumptions (O&amp;G Upstream)'!Q$344</f>
        <v>0</v>
      </c>
      <c r="BQ3496" s="147">
        <f>$BA3338*'Assumptions (O&amp;G Upstream)'!R$344</f>
        <v>0</v>
      </c>
      <c r="BR3496" s="147">
        <f>$BA3338*'Assumptions (O&amp;G Upstream)'!S$344</f>
        <v>0</v>
      </c>
      <c r="BS3496" s="147">
        <f>$BA3338*'Assumptions (O&amp;G Upstream)'!T$344</f>
        <v>0</v>
      </c>
      <c r="BT3496" s="147">
        <f>$BA3338*'Assumptions (O&amp;G Upstream)'!U$344</f>
        <v>0</v>
      </c>
      <c r="BU3496" s="147">
        <f>$BA3338*'Assumptions (O&amp;G Upstream)'!V$344</f>
        <v>0</v>
      </c>
    </row>
    <row r="3497" spans="1:73" ht="15.75" customHeight="1" collapsed="1">
      <c r="A3497" s="472" t="s">
        <v>839</v>
      </c>
      <c r="B3497" s="99" t="s">
        <v>201</v>
      </c>
      <c r="C3497" s="147">
        <f>0.365*'Assumptions (O&amp;G Upstream)'!C307*'Assumptions (O&amp;G Upstream)'!C309+'Assumptions (O&amp;G Upstream)'!C310*'Assumptions (O&amp;G Upstream)'!C312+'Assumptions (O&amp;G Upstream)'!C313*'Assumptions (O&amp;G Upstream)'!C314</f>
        <v>164.98129438844913</v>
      </c>
      <c r="D3497" s="147">
        <f>0.365*'Assumptions (O&amp;G Upstream)'!D307*'Assumptions (O&amp;G Upstream)'!D309+'Assumptions (O&amp;G Upstream)'!D310*'Assumptions (O&amp;G Upstream)'!D312+'Assumptions (O&amp;G Upstream)'!D313*'Assumptions (O&amp;G Upstream)'!D314</f>
        <v>147.57140004237104</v>
      </c>
      <c r="E3497" s="147">
        <f>0.365*'Assumptions (O&amp;G Upstream)'!E307*'Assumptions (O&amp;G Upstream)'!E309+'Assumptions (O&amp;G Upstream)'!E310*'Assumptions (O&amp;G Upstream)'!E312+'Assumptions (O&amp;G Upstream)'!E313*'Assumptions (O&amp;G Upstream)'!E314</f>
        <v>132.35404351457078</v>
      </c>
      <c r="F3497" s="147">
        <f>0.365*'Assumptions (O&amp;G Upstream)'!F307*'Assumptions (O&amp;G Upstream)'!F309+'Assumptions (O&amp;G Upstream)'!F310*'Assumptions (O&amp;G Upstream)'!F312+'Assumptions (O&amp;G Upstream)'!F313*'Assumptions (O&amp;G Upstream)'!F314</f>
        <v>186.4812595693426</v>
      </c>
      <c r="G3497" s="147">
        <f>0.365*'Assumptions (O&amp;G Upstream)'!G307*'Assumptions (O&amp;G Upstream)'!G309+'Assumptions (O&amp;G Upstream)'!G310*'Assumptions (O&amp;G Upstream)'!G312+'Assumptions (O&amp;G Upstream)'!G313*'Assumptions (O&amp;G Upstream)'!G314</f>
        <v>214.13775328275153</v>
      </c>
      <c r="H3497" s="147">
        <f>0.365*'Assumptions (O&amp;G Upstream)'!H307*'Assumptions (O&amp;G Upstream)'!H309+'Assumptions (O&amp;G Upstream)'!H310*'Assumptions (O&amp;G Upstream)'!H312+'Assumptions (O&amp;G Upstream)'!H313*'Assumptions (O&amp;G Upstream)'!H314</f>
        <v>293.37638832420168</v>
      </c>
      <c r="I3497" s="147">
        <f>0.365*'Assumptions (O&amp;G Upstream)'!I307*'Assumptions (O&amp;G Upstream)'!I309+'Assumptions (O&amp;G Upstream)'!I310*'Assumptions (O&amp;G Upstream)'!I312+'Assumptions (O&amp;G Upstream)'!I313*'Assumptions (O&amp;G Upstream)'!I314</f>
        <v>275.6690816028339</v>
      </c>
      <c r="J3497" s="147">
        <f>0.365*'Assumptions (O&amp;G Upstream)'!J307*'Assumptions (O&amp;G Upstream)'!J309+'Assumptions (O&amp;G Upstream)'!J310*'Assumptions (O&amp;G Upstream)'!J312+'Assumptions (O&amp;G Upstream)'!J313*'Assumptions (O&amp;G Upstream)'!J314</f>
        <v>302.10704020383156</v>
      </c>
      <c r="K3497" s="147">
        <f>0.365*'Assumptions (O&amp;G Upstream)'!K307*'Assumptions (O&amp;G Upstream)'!K309+'Assumptions (O&amp;G Upstream)'!K310*'Assumptions (O&amp;G Upstream)'!K312+'Assumptions (O&amp;G Upstream)'!K313*'Assumptions (O&amp;G Upstream)'!K314</f>
        <v>401.64650357609543</v>
      </c>
      <c r="L3497" s="147">
        <f>0.365*'Assumptions (O&amp;G Upstream)'!L307*'Assumptions (O&amp;G Upstream)'!L309+'Assumptions (O&amp;G Upstream)'!L310*'Assumptions (O&amp;G Upstream)'!L312+'Assumptions (O&amp;G Upstream)'!L313*'Assumptions (O&amp;G Upstream)'!L314</f>
        <v>227.56636624484247</v>
      </c>
      <c r="M3497" s="147">
        <f>0.365*'Assumptions (O&amp;G Upstream)'!M307*'Assumptions (O&amp;G Upstream)'!M309+'Assumptions (O&amp;G Upstream)'!M310*'Assumptions (O&amp;G Upstream)'!M312+'Assumptions (O&amp;G Upstream)'!M313*'Assumptions (O&amp;G Upstream)'!M314</f>
        <v>285.57402818999998</v>
      </c>
      <c r="N3497" s="147">
        <f>0.365*'Assumptions (O&amp;G Upstream)'!N307*'Assumptions (O&amp;G Upstream)'!N309+'Assumptions (O&amp;G Upstream)'!N310*'Assumptions (O&amp;G Upstream)'!N312+'Assumptions (O&amp;G Upstream)'!N313*'Assumptions (O&amp;G Upstream)'!N314</f>
        <v>331.8388224652075</v>
      </c>
      <c r="O3497" s="147">
        <f>0.365*'Assumptions (O&amp;G Upstream)'!O307*'Assumptions (O&amp;G Upstream)'!O309+'Assumptions (O&amp;G Upstream)'!O310*'Assumptions (O&amp;G Upstream)'!O312+'Assumptions (O&amp;G Upstream)'!O313*'Assumptions (O&amp;G Upstream)'!O314</f>
        <v>328.72907666873402</v>
      </c>
      <c r="P3497" s="147">
        <f>0.365*'Assumptions (O&amp;G Upstream)'!P307*'Assumptions (O&amp;G Upstream)'!P309+'Assumptions (O&amp;G Upstream)'!P310*'Assumptions (O&amp;G Upstream)'!P312+'Assumptions (O&amp;G Upstream)'!P313*'Assumptions (O&amp;G Upstream)'!P314</f>
        <v>394.73539065591149</v>
      </c>
      <c r="Q3497" s="147">
        <f>0.365*'Assumptions (O&amp;G Upstream)'!Q307*'Assumptions (O&amp;G Upstream)'!Q309+'Assumptions (O&amp;G Upstream)'!Q310*'Assumptions (O&amp;G Upstream)'!Q312+'Assumptions (O&amp;G Upstream)'!Q313*'Assumptions (O&amp;G Upstream)'!Q314</f>
        <v>454.72422643934198</v>
      </c>
      <c r="R3497" s="147">
        <f>0.365*'Assumptions (O&amp;G Upstream)'!R307*'Assumptions (O&amp;G Upstream)'!R309+'Assumptions (O&amp;G Upstream)'!R310*'Assumptions (O&amp;G Upstream)'!R312+'Assumptions (O&amp;G Upstream)'!R313*'Assumptions (O&amp;G Upstream)'!R314</f>
        <v>262.57769210519348</v>
      </c>
      <c r="S3497" s="147">
        <f>0.365*'Assumptions (O&amp;G Upstream)'!S307*'Assumptions (O&amp;G Upstream)'!S309+'Assumptions (O&amp;G Upstream)'!S310*'Assumptions (O&amp;G Upstream)'!S312+'Assumptions (O&amp;G Upstream)'!S313*'Assumptions (O&amp;G Upstream)'!S314</f>
        <v>231.5257374057675</v>
      </c>
      <c r="T3497" s="147">
        <f>0.365*'Assumptions (O&amp;G Upstream)'!T307*'Assumptions (O&amp;G Upstream)'!T309+'Assumptions (O&amp;G Upstream)'!T310*'Assumptions (O&amp;G Upstream)'!T312+'Assumptions (O&amp;G Upstream)'!T313*'Assumptions (O&amp;G Upstream)'!T314</f>
        <v>291.56725458304248</v>
      </c>
      <c r="U3497" s="147">
        <f>0.365*'Assumptions (O&amp;G Upstream)'!U307*'Assumptions (O&amp;G Upstream)'!U309+'Assumptions (O&amp;G Upstream)'!U310*'Assumptions (O&amp;G Upstream)'!U312+'Assumptions (O&amp;G Upstream)'!U313*'Assumptions (O&amp;G Upstream)'!U314</f>
        <v>404.74746538399995</v>
      </c>
      <c r="V3497" s="147">
        <f>0.365*'Assumptions (O&amp;G Upstream)'!V307*'Assumptions (O&amp;G Upstream)'!V309+'Assumptions (O&amp;G Upstream)'!V310*'Assumptions (O&amp;G Upstream)'!V312+'Assumptions (O&amp;G Upstream)'!V313*'Assumptions (O&amp;G Upstream)'!V314</f>
        <v>464.18960594462044</v>
      </c>
      <c r="W3497" s="147">
        <f>0.365*'Assumptions (O&amp;G Upstream)'!W307*'Assumptions (O&amp;G Upstream)'!W309+'Assumptions (O&amp;G Upstream)'!W310*'Assumptions (O&amp;G Upstream)'!W312+'Assumptions (O&amp;G Upstream)'!W313*'Assumptions (O&amp;G Upstream)'!W314</f>
        <v>526.88877607675192</v>
      </c>
      <c r="X3497" s="147">
        <f>0.365*'Assumptions (O&amp;G Upstream)'!X307*'Assumptions (O&amp;G Upstream)'!X309+'Assumptions (O&amp;G Upstream)'!X310*'Assumptions (O&amp;G Upstream)'!X312+'Assumptions (O&amp;G Upstream)'!X313*'Assumptions (O&amp;G Upstream)'!X314</f>
        <v>567.32626366757393</v>
      </c>
      <c r="Y3497" s="147">
        <f>0.365*'Assumptions (O&amp;G Upstream)'!Y307*'Assumptions (O&amp;G Upstream)'!Y309+'Assumptions (O&amp;G Upstream)'!Y310*'Assumptions (O&amp;G Upstream)'!Y312+'Assumptions (O&amp;G Upstream)'!Y313*'Assumptions (O&amp;G Upstream)'!Y314</f>
        <v>588.99851288044465</v>
      </c>
      <c r="Z3497" s="147">
        <f>0.365*'Assumptions (O&amp;G Upstream)'!Z307*'Assumptions (O&amp;G Upstream)'!Z309+'Assumptions (O&amp;G Upstream)'!Z310*'Assumptions (O&amp;G Upstream)'!Z312+'Assumptions (O&amp;G Upstream)'!Z313*'Assumptions (O&amp;G Upstream)'!Z314</f>
        <v>621.25210461219945</v>
      </c>
      <c r="AA3497" s="147">
        <f>0.365*'Assumptions (O&amp;G Upstream)'!AA307*'Assumptions (O&amp;G Upstream)'!AA309+'Assumptions (O&amp;G Upstream)'!AA310*'Assumptions (O&amp;G Upstream)'!AA312+'Assumptions (O&amp;G Upstream)'!AA313*'Assumptions (O&amp;G Upstream)'!AA314</f>
        <v>672.0545190170094</v>
      </c>
      <c r="AB3497" s="147">
        <f>0.365*'Assumptions (O&amp;G Upstream)'!AB307*'Assumptions (O&amp;G Upstream)'!AB309+'Assumptions (O&amp;G Upstream)'!AB310*'Assumptions (O&amp;G Upstream)'!AB312+'Assumptions (O&amp;G Upstream)'!AB313*'Assumptions (O&amp;G Upstream)'!AB314</f>
        <v>724.83192688199631</v>
      </c>
      <c r="AC3497" s="147">
        <f>0.365*'Assumptions (O&amp;G Upstream)'!AC307*'Assumptions (O&amp;G Upstream)'!AC309+'Assumptions (O&amp;G Upstream)'!AC310*'Assumptions (O&amp;G Upstream)'!AC312+'Assumptions (O&amp;G Upstream)'!AC313*'Assumptions (O&amp;G Upstream)'!AC314</f>
        <v>776.72607666293527</v>
      </c>
      <c r="AD3497" s="147">
        <f>0.365*'Assumptions (O&amp;G Upstream)'!AD307*'Assumptions (O&amp;G Upstream)'!AD309+'Assumptions (O&amp;G Upstream)'!AD310*'Assumptions (O&amp;G Upstream)'!AD312+'Assumptions (O&amp;G Upstream)'!AD313*'Assumptions (O&amp;G Upstream)'!AD314</f>
        <v>821.36326524102049</v>
      </c>
      <c r="AE3497" s="147">
        <f>0.365*'Assumptions (O&amp;G Upstream)'!AE307*'Assumptions (O&amp;G Upstream)'!AE309+'Assumptions (O&amp;G Upstream)'!AE310*'Assumptions (O&amp;G Upstream)'!AE312+'Assumptions (O&amp;G Upstream)'!AE313*'Assumptions (O&amp;G Upstream)'!AE314</f>
        <v>856.138793768955</v>
      </c>
      <c r="AF3497" s="147">
        <f>0.365*'Assumptions (O&amp;G Upstream)'!AF307*'Assumptions (O&amp;G Upstream)'!AF309+'Assumptions (O&amp;G Upstream)'!AF310*'Assumptions (O&amp;G Upstream)'!AF312+'Assumptions (O&amp;G Upstream)'!AF313*'Assumptions (O&amp;G Upstream)'!AF314</f>
        <v>892.65401247652574</v>
      </c>
      <c r="AG3497" s="147">
        <f>0.365*'Assumptions (O&amp;G Upstream)'!AG307*'Assumptions (O&amp;G Upstream)'!AG309+'Assumptions (O&amp;G Upstream)'!AG310*'Assumptions (O&amp;G Upstream)'!AG312+'Assumptions (O&amp;G Upstream)'!AG313*'Assumptions (O&amp;G Upstream)'!AG314</f>
        <v>927.58412034479647</v>
      </c>
      <c r="AH3497" s="147">
        <f>0.365*'Assumptions (O&amp;G Upstream)'!AH307*'Assumptions (O&amp;G Upstream)'!AH309+'Assumptions (O&amp;G Upstream)'!AH310*'Assumptions (O&amp;G Upstream)'!AH312+'Assumptions (O&amp;G Upstream)'!AH313*'Assumptions (O&amp;G Upstream)'!AH314</f>
        <v>967.63278027618878</v>
      </c>
      <c r="AI3497" s="147">
        <f>0.365*'Assumptions (O&amp;G Upstream)'!AI307*'Assumptions (O&amp;G Upstream)'!AI309+'Assumptions (O&amp;G Upstream)'!AI310*'Assumptions (O&amp;G Upstream)'!AI312+'Assumptions (O&amp;G Upstream)'!AI313*'Assumptions (O&amp;G Upstream)'!AI314</f>
        <v>1006.4613595943408</v>
      </c>
      <c r="AJ3497" s="147">
        <f>0.365*'Assumptions (O&amp;G Upstream)'!AJ307*'Assumptions (O&amp;G Upstream)'!AJ309+'Assumptions (O&amp;G Upstream)'!AJ310*'Assumptions (O&amp;G Upstream)'!AJ312+'Assumptions (O&amp;G Upstream)'!AJ313*'Assumptions (O&amp;G Upstream)'!AJ314</f>
        <v>1055.1424779673812</v>
      </c>
      <c r="AK3497" s="147">
        <f>0.365*'Assumptions (O&amp;G Upstream)'!AK307*'Assumptions (O&amp;G Upstream)'!AK309+'Assumptions (O&amp;G Upstream)'!AK310*'Assumptions (O&amp;G Upstream)'!AK312+'Assumptions (O&amp;G Upstream)'!AK313*'Assumptions (O&amp;G Upstream)'!AK314</f>
        <v>1085.6644329088926</v>
      </c>
      <c r="AL3497" s="147">
        <f>0.365*'Assumptions (O&amp;G Upstream)'!AL307*'Assumptions (O&amp;G Upstream)'!AL309+'Assumptions (O&amp;G Upstream)'!AL310*'Assumptions (O&amp;G Upstream)'!AL312+'Assumptions (O&amp;G Upstream)'!AL313*'Assumptions (O&amp;G Upstream)'!AL314</f>
        <v>1121.9567111785423</v>
      </c>
      <c r="AM3497" s="147">
        <f>0.365*'Assumptions (O&amp;G Upstream)'!AM307*'Assumptions (O&amp;G Upstream)'!AM309+'Assumptions (O&amp;G Upstream)'!AM310*'Assumptions (O&amp;G Upstream)'!AM312+'Assumptions (O&amp;G Upstream)'!AM313*'Assumptions (O&amp;G Upstream)'!AM314</f>
        <v>1167.6678469796223</v>
      </c>
      <c r="AN3497" s="147">
        <f>0.365*'Assumptions (O&amp;G Upstream)'!AN307*'Assumptions (O&amp;G Upstream)'!AN309+'Assumptions (O&amp;G Upstream)'!AN310*'Assumptions (O&amp;G Upstream)'!AN312+'Assumptions (O&amp;G Upstream)'!AN313*'Assumptions (O&amp;G Upstream)'!AN314</f>
        <v>1188.6713540454252</v>
      </c>
      <c r="AO3497" s="147">
        <f>0.365*'Assumptions (O&amp;G Upstream)'!AO307*'Assumptions (O&amp;G Upstream)'!AO309+'Assumptions (O&amp;G Upstream)'!AO310*'Assumptions (O&amp;G Upstream)'!AO312+'Assumptions (O&amp;G Upstream)'!AO313*'Assumptions (O&amp;G Upstream)'!AO314</f>
        <v>1226.8302679844628</v>
      </c>
      <c r="AP3497" s="147">
        <f>0.365*'Assumptions (O&amp;G Upstream)'!AP307*'Assumptions (O&amp;G Upstream)'!AP309+'Assumptions (O&amp;G Upstream)'!AP310*'Assumptions (O&amp;G Upstream)'!AP312+'Assumptions (O&amp;G Upstream)'!AP313*'Assumptions (O&amp;G Upstream)'!AP314</f>
        <v>1261.8481352787851</v>
      </c>
      <c r="AQ3497" s="147">
        <f>0.365*'Assumptions (O&amp;G Upstream)'!AQ307*'Assumptions (O&amp;G Upstream)'!AQ309+'Assumptions (O&amp;G Upstream)'!AQ310*'Assumptions (O&amp;G Upstream)'!AQ312+'Assumptions (O&amp;G Upstream)'!AQ313*'Assumptions (O&amp;G Upstream)'!AQ314</f>
        <v>1307.653813537082</v>
      </c>
      <c r="AR3497" s="147">
        <f>0.365*'Assumptions (O&amp;G Upstream)'!AR307*'Assumptions (O&amp;G Upstream)'!AR309+'Assumptions (O&amp;G Upstream)'!AR310*'Assumptions (O&amp;G Upstream)'!AR312+'Assumptions (O&amp;G Upstream)'!AR313*'Assumptions (O&amp;G Upstream)'!AR314</f>
        <v>1337.3542297128513</v>
      </c>
      <c r="AS3497" s="147">
        <f>0.365*'Assumptions (O&amp;G Upstream)'!AS307*'Assumptions (O&amp;G Upstream)'!AS309+'Assumptions (O&amp;G Upstream)'!AS310*'Assumptions (O&amp;G Upstream)'!AS312+'Assumptions (O&amp;G Upstream)'!AS313*'Assumptions (O&amp;G Upstream)'!AS314</f>
        <v>1375.5360425790645</v>
      </c>
      <c r="AT3497" s="147">
        <f>0.365*'Assumptions (O&amp;G Upstream)'!AT307*'Assumptions (O&amp;G Upstream)'!AT309+'Assumptions (O&amp;G Upstream)'!AT310*'Assumptions (O&amp;G Upstream)'!AT312+'Assumptions (O&amp;G Upstream)'!AT313*'Assumptions (O&amp;G Upstream)'!AT314</f>
        <v>1398.6999014867056</v>
      </c>
      <c r="AU3497" s="147">
        <f>0.365*'Assumptions (O&amp;G Upstream)'!AU307*'Assumptions (O&amp;G Upstream)'!AU309+'Assumptions (O&amp;G Upstream)'!AU310*'Assumptions (O&amp;G Upstream)'!AU312+'Assumptions (O&amp;G Upstream)'!AU313*'Assumptions (O&amp;G Upstream)'!AU314</f>
        <v>1431.2152668358292</v>
      </c>
      <c r="AV3497" s="147">
        <f>0.365*'Assumptions (O&amp;G Upstream)'!AV307*'Assumptions (O&amp;G Upstream)'!AV309+'Assumptions (O&amp;G Upstream)'!AV310*'Assumptions (O&amp;G Upstream)'!AV312+'Assumptions (O&amp;G Upstream)'!AV313*'Assumptions (O&amp;G Upstream)'!AV314</f>
        <v>1459.8867669089727</v>
      </c>
      <c r="AW3497" s="147">
        <f>0.365*'Assumptions (O&amp;G Upstream)'!AW307*'Assumptions (O&amp;G Upstream)'!AW309+'Assumptions (O&amp;G Upstream)'!AW310*'Assumptions (O&amp;G Upstream)'!AW312+'Assumptions (O&amp;G Upstream)'!AW313*'Assumptions (O&amp;G Upstream)'!AW314</f>
        <v>1489.1370863205489</v>
      </c>
      <c r="AX3497" s="147">
        <f>0.365*'Assumptions (O&amp;G Upstream)'!AX307*'Assumptions (O&amp;G Upstream)'!AX309+'Assumptions (O&amp;G Upstream)'!AX310*'Assumptions (O&amp;G Upstream)'!AX312+'Assumptions (O&amp;G Upstream)'!AX313*'Assumptions (O&amp;G Upstream)'!AX314</f>
        <v>1520.0057508297862</v>
      </c>
      <c r="AY3497" s="147">
        <f>0.365*'Assumptions (O&amp;G Upstream)'!AY307*'Assumptions (O&amp;G Upstream)'!AY309+'Assumptions (O&amp;G Upstream)'!AY310*'Assumptions (O&amp;G Upstream)'!AY312+'Assumptions (O&amp;G Upstream)'!AY313*'Assumptions (O&amp;G Upstream)'!AY314</f>
        <v>1556.5138647625731</v>
      </c>
      <c r="AZ3497" s="147">
        <f>0.365*'Assumptions (O&amp;G Upstream)'!AZ307*'Assumptions (O&amp;G Upstream)'!AZ309+'Assumptions (O&amp;G Upstream)'!AZ310*'Assumptions (O&amp;G Upstream)'!AZ312+'Assumptions (O&amp;G Upstream)'!AZ313*'Assumptions (O&amp;G Upstream)'!AZ314</f>
        <v>1581.892849102522</v>
      </c>
      <c r="BA3497" s="147">
        <f>0.365*'Assumptions (O&amp;G Upstream)'!BA307*'Assumptions (O&amp;G Upstream)'!BA309+'Assumptions (O&amp;G Upstream)'!BA310*'Assumptions (O&amp;G Upstream)'!BA312+'Assumptions (O&amp;G Upstream)'!BA313*'Assumptions (O&amp;G Upstream)'!BA314</f>
        <v>1614.3077812494687</v>
      </c>
    </row>
    <row r="3498" spans="1:73" ht="15.75" customHeight="1">
      <c r="A3498" s="472" t="s">
        <v>62</v>
      </c>
      <c r="B3498" s="99" t="s">
        <v>201</v>
      </c>
      <c r="C3498" s="147">
        <f>IF(C3497*(1-'Assumptions (O&amp;G Upstream)'!$B$347-'Assumptions (O&amp;G Upstream)'!$B$346-'Assumptions (O&amp;G Upstream)'!$B$348)-'Assumptions (O&amp;G Upstream)'!$B$343*C3338-C3337-C3445+C3393&gt;0,(1-'Assumptions (O&amp;G Upstream)'!B$345)*(C3497*(1-'Assumptions (O&amp;G Upstream)'!$B$347-'Assumptions (O&amp;G Upstream)'!$B$346-'Assumptions (O&amp;G Upstream)'!$B$348)-'Assumptions (O&amp;G Upstream)'!$B$343*C3338-C3337-C3445+C3393),C3497*(1-'Assumptions (O&amp;G Upstream)'!$B$347-'Assumptions (O&amp;G Upstream)'!$B$346)-C3337-C3340+C3341+C3393)</f>
        <v>31.763821284388179</v>
      </c>
      <c r="D3498" s="147">
        <f>IF(D3497*(1-'Assumptions (O&amp;G Upstream)'!$B$347-'Assumptions (O&amp;G Upstream)'!$B$346-'Assumptions (O&amp;G Upstream)'!$B$348)-'Assumptions (O&amp;G Upstream)'!$B$343*D3338-D3337-D3445+D3393&gt;0,(1-'Assumptions (O&amp;G Upstream)'!C$345)*(D3497*(1-'Assumptions (O&amp;G Upstream)'!$B$347-'Assumptions (O&amp;G Upstream)'!$B$346-'Assumptions (O&amp;G Upstream)'!$B$348)-'Assumptions (O&amp;G Upstream)'!$B$343*D3338-D3337-D3445+D3393),D3497*(1-'Assumptions (O&amp;G Upstream)'!$B$347-'Assumptions (O&amp;G Upstream)'!$B$346)-D3337-D3340+D3341+D3393)</f>
        <v>11.277137422207762</v>
      </c>
      <c r="E3498" s="147">
        <f>IF(E3497*(1-'Assumptions (O&amp;G Upstream)'!$B$347-'Assumptions (O&amp;G Upstream)'!$B$346-'Assumptions (O&amp;G Upstream)'!$B$348)-'Assumptions (O&amp;G Upstream)'!$B$343*E3338-E3337-E3445+E3393&gt;0,(1-'Assumptions (O&amp;G Upstream)'!D$345)*(E3497*(1-'Assumptions (O&amp;G Upstream)'!$B$347-'Assumptions (O&amp;G Upstream)'!$B$346-'Assumptions (O&amp;G Upstream)'!$B$348)-'Assumptions (O&amp;G Upstream)'!$B$343*E3338-E3337-E3445+E3393),E3497*(1-'Assumptions (O&amp;G Upstream)'!$B$347-'Assumptions (O&amp;G Upstream)'!$B$346)-E3337-E3340+E3341+E3393)</f>
        <v>2.7880731331917712</v>
      </c>
      <c r="F3498" s="147">
        <f>IF(F3497*(1-'Assumptions (O&amp;G Upstream)'!$B$347-'Assumptions (O&amp;G Upstream)'!$B$346-'Assumptions (O&amp;G Upstream)'!$B$348)-'Assumptions (O&amp;G Upstream)'!$B$343*F3338-F3337-F3445+F3393&gt;0,(1-'Assumptions (O&amp;G Upstream)'!E$345)*(F3497*(1-'Assumptions (O&amp;G Upstream)'!$B$347-'Assumptions (O&amp;G Upstream)'!$B$346-'Assumptions (O&amp;G Upstream)'!$B$348)-'Assumptions (O&amp;G Upstream)'!$B$343*F3338-F3337-F3445+F3393),F3497*(1-'Assumptions (O&amp;G Upstream)'!$B$347-'Assumptions (O&amp;G Upstream)'!$B$346)-F3337-F3340+F3341+F3393)</f>
        <v>17.912518657444181</v>
      </c>
      <c r="G3498" s="147">
        <f>IF(G3497*(1-'Assumptions (O&amp;G Upstream)'!$B$347-'Assumptions (O&amp;G Upstream)'!$B$346-'Assumptions (O&amp;G Upstream)'!$B$348)-'Assumptions (O&amp;G Upstream)'!$B$343*G3338-G3337-G3445+G3393&gt;0,(1-'Assumptions (O&amp;G Upstream)'!F$345)*(G3497*(1-'Assumptions (O&amp;G Upstream)'!$B$347-'Assumptions (O&amp;G Upstream)'!$B$346-'Assumptions (O&amp;G Upstream)'!$B$348)-'Assumptions (O&amp;G Upstream)'!$B$343*G3338-G3337-G3445+G3393),G3497*(1-'Assumptions (O&amp;G Upstream)'!$B$347-'Assumptions (O&amp;G Upstream)'!$B$346)-G3337-G3340+G3341+G3393)</f>
        <v>21.203151544977711</v>
      </c>
      <c r="H3498" s="147">
        <f>IF(H3497*(1-'Assumptions (O&amp;G Upstream)'!$B$347-'Assumptions (O&amp;G Upstream)'!$B$346-'Assumptions (O&amp;G Upstream)'!$B$348)-'Assumptions (O&amp;G Upstream)'!$B$343*H3338-H3337-H3445+H3393&gt;0,(1-'Assumptions (O&amp;G Upstream)'!G$345)*(H3497*(1-'Assumptions (O&amp;G Upstream)'!$B$347-'Assumptions (O&amp;G Upstream)'!$B$346-'Assumptions (O&amp;G Upstream)'!$B$348)-'Assumptions (O&amp;G Upstream)'!$B$343*H3338-H3337-H3445+H3393),H3497*(1-'Assumptions (O&amp;G Upstream)'!$B$347-'Assumptions (O&amp;G Upstream)'!$B$346)-H3337-H3340+H3341+H3393)</f>
        <v>38.634279293815496</v>
      </c>
      <c r="I3498" s="147">
        <f>IF(I3497*(1-'Assumptions (O&amp;G Upstream)'!$B$347-'Assumptions (O&amp;G Upstream)'!$B$346-'Assumptions (O&amp;G Upstream)'!$B$348)-'Assumptions (O&amp;G Upstream)'!$B$343*I3338-I3337-I3445+I3393&gt;0,(1-'Assumptions (O&amp;G Upstream)'!H$345)*(I3497*(1-'Assumptions (O&amp;G Upstream)'!$B$347-'Assumptions (O&amp;G Upstream)'!$B$346-'Assumptions (O&amp;G Upstream)'!$B$348)-'Assumptions (O&amp;G Upstream)'!$B$343*I3338-I3337-I3445+I3393),I3497*(1-'Assumptions (O&amp;G Upstream)'!$B$347-'Assumptions (O&amp;G Upstream)'!$B$346)-I3337-I3340+I3341+I3393)</f>
        <v>5.3795527525142566</v>
      </c>
      <c r="J3498" s="147">
        <f>IF(J3497*(1-'Assumptions (O&amp;G Upstream)'!$B$347-'Assumptions (O&amp;G Upstream)'!$B$346-'Assumptions (O&amp;G Upstream)'!$B$348)-'Assumptions (O&amp;G Upstream)'!$B$343*J3338-J3337-J3445+J3393&gt;0,(1-'Assumptions (O&amp;G Upstream)'!I$345)*(J3497*(1-'Assumptions (O&amp;G Upstream)'!$B$347-'Assumptions (O&amp;G Upstream)'!$B$346-'Assumptions (O&amp;G Upstream)'!$B$348)-'Assumptions (O&amp;G Upstream)'!$B$343*J3338-J3337-J3445+J3393),J3497*(1-'Assumptions (O&amp;G Upstream)'!$B$347-'Assumptions (O&amp;G Upstream)'!$B$346)-J3337-J3340+J3341+J3393)</f>
        <v>74.929866812138386</v>
      </c>
      <c r="K3498" s="147">
        <f>IF(K3497*(1-'Assumptions (O&amp;G Upstream)'!$B$347-'Assumptions (O&amp;G Upstream)'!$B$346-'Assumptions (O&amp;G Upstream)'!$B$348)-'Assumptions (O&amp;G Upstream)'!$B$343*K3338-K3337-K3445+K3393&gt;0,(1-'Assumptions (O&amp;G Upstream)'!J$345)*(K3497*(1-'Assumptions (O&amp;G Upstream)'!$B$347-'Assumptions (O&amp;G Upstream)'!$B$346-'Assumptions (O&amp;G Upstream)'!$B$348)-'Assumptions (O&amp;G Upstream)'!$B$343*K3338-K3337-K3445+K3393),K3497*(1-'Assumptions (O&amp;G Upstream)'!$B$347-'Assumptions (O&amp;G Upstream)'!$B$346)-K3337-K3340+K3341+K3393)</f>
        <v>14.631236802442627</v>
      </c>
      <c r="L3498" s="147">
        <f>IF(L3497*(1-'Assumptions (O&amp;G Upstream)'!$B$347-'Assumptions (O&amp;G Upstream)'!$B$346-'Assumptions (O&amp;G Upstream)'!$B$348)-'Assumptions (O&amp;G Upstream)'!$B$343*L3338-L3337-L3445+L3393&gt;0,(1-'Assumptions (O&amp;G Upstream)'!K$345)*(L3497*(1-'Assumptions (O&amp;G Upstream)'!$B$347-'Assumptions (O&amp;G Upstream)'!$B$346-'Assumptions (O&amp;G Upstream)'!$B$348)-'Assumptions (O&amp;G Upstream)'!$B$343*L3338-L3337-L3445+L3393),L3497*(1-'Assumptions (O&amp;G Upstream)'!$B$347-'Assumptions (O&amp;G Upstream)'!$B$346)-L3337-L3340+L3341+L3393)</f>
        <v>-2.9062396785668376</v>
      </c>
      <c r="M3498" s="147">
        <f>IF(M3497*(1-'Assumptions (O&amp;G Upstream)'!$B$347-'Assumptions (O&amp;G Upstream)'!$B$346-'Assumptions (O&amp;G Upstream)'!$B$348)-'Assumptions (O&amp;G Upstream)'!$B$343*M3338-M3337-M3445+M3393&gt;0,(1-'Assumptions (O&amp;G Upstream)'!L$345)*(M3497*(1-'Assumptions (O&amp;G Upstream)'!$B$347-'Assumptions (O&amp;G Upstream)'!$B$346-'Assumptions (O&amp;G Upstream)'!$B$348)-'Assumptions (O&amp;G Upstream)'!$B$343*M3338-M3337-M3445+M3393),M3497*(1-'Assumptions (O&amp;G Upstream)'!$B$347-'Assumptions (O&amp;G Upstream)'!$B$346)-M3337-M3340+M3341+M3393)</f>
        <v>31.015125687247192</v>
      </c>
      <c r="N3498" s="147">
        <f>IF(N3497*(1-'Assumptions (O&amp;G Upstream)'!$B$347-'Assumptions (O&amp;G Upstream)'!$B$346-'Assumptions (O&amp;G Upstream)'!$B$348)-'Assumptions (O&amp;G Upstream)'!$B$343*N3338-N3337-N3445+N3393&gt;0,(1-'Assumptions (O&amp;G Upstream)'!M$345)*(N3497*(1-'Assumptions (O&amp;G Upstream)'!$B$347-'Assumptions (O&amp;G Upstream)'!$B$346-'Assumptions (O&amp;G Upstream)'!$B$348)-'Assumptions (O&amp;G Upstream)'!$B$343*N3338-N3337-N3445+N3393),N3497*(1-'Assumptions (O&amp;G Upstream)'!$B$347-'Assumptions (O&amp;G Upstream)'!$B$346)-N3337-N3340+N3341+N3393)</f>
        <v>34.429755963466121</v>
      </c>
      <c r="O3498" s="147">
        <f>IF(O3497*(1-'Assumptions (O&amp;G Upstream)'!$B$347-'Assumptions (O&amp;G Upstream)'!$B$346-'Assumptions (O&amp;G Upstream)'!$B$348)-'Assumptions (O&amp;G Upstream)'!$B$343*O3338-O3337-O3445+O3393&gt;0,(1-'Assumptions (O&amp;G Upstream)'!N$345)*(O3497*(1-'Assumptions (O&amp;G Upstream)'!$B$347-'Assumptions (O&amp;G Upstream)'!$B$346-'Assumptions (O&amp;G Upstream)'!$B$348)-'Assumptions (O&amp;G Upstream)'!$B$343*O3338-O3337-O3445+O3393),O3497*(1-'Assumptions (O&amp;G Upstream)'!$B$347-'Assumptions (O&amp;G Upstream)'!$B$346)-O3337-O3340+O3341+O3393)</f>
        <v>6.4850137042378861</v>
      </c>
      <c r="P3498" s="147">
        <f>IF(P3497*(1-'Assumptions (O&amp;G Upstream)'!$B$347-'Assumptions (O&amp;G Upstream)'!$B$346-'Assumptions (O&amp;G Upstream)'!$B$348)-'Assumptions (O&amp;G Upstream)'!$B$343*P3338-P3337-P3445+P3393&gt;0,(1-'Assumptions (O&amp;G Upstream)'!O$345)*(P3497*(1-'Assumptions (O&amp;G Upstream)'!$B$347-'Assumptions (O&amp;G Upstream)'!$B$346-'Assumptions (O&amp;G Upstream)'!$B$348)-'Assumptions (O&amp;G Upstream)'!$B$343*P3338-P3337-P3445+P3393),P3497*(1-'Assumptions (O&amp;G Upstream)'!$B$347-'Assumptions (O&amp;G Upstream)'!$B$346)-P3337-P3340+P3341+P3393)</f>
        <v>31.538495263518371</v>
      </c>
      <c r="Q3498" s="147">
        <f>IF(Q3497*(1-'Assumptions (O&amp;G Upstream)'!$B$347-'Assumptions (O&amp;G Upstream)'!$B$346-'Assumptions (O&amp;G Upstream)'!$B$348)-'Assumptions (O&amp;G Upstream)'!$B$343*Q3338-Q3337-Q3445+Q3393&gt;0,(1-'Assumptions (O&amp;G Upstream)'!P$345)*(Q3497*(1-'Assumptions (O&amp;G Upstream)'!$B$347-'Assumptions (O&amp;G Upstream)'!$B$346-'Assumptions (O&amp;G Upstream)'!$B$348)-'Assumptions (O&amp;G Upstream)'!$B$343*Q3338-Q3337-Q3445+Q3393),Q3497*(1-'Assumptions (O&amp;G Upstream)'!$B$347-'Assumptions (O&amp;G Upstream)'!$B$346)-Q3337-Q3340+Q3341+Q3393)</f>
        <v>35.751028953625472</v>
      </c>
      <c r="R3498" s="147">
        <f>IF(R3497*(1-'Assumptions (O&amp;G Upstream)'!$B$347-'Assumptions (O&amp;G Upstream)'!$B$346-'Assumptions (O&amp;G Upstream)'!$B$348)-'Assumptions (O&amp;G Upstream)'!$B$343*R3338-R3337-R3445+R3393&gt;0,(1-'Assumptions (O&amp;G Upstream)'!Q$345)*(R3497*(1-'Assumptions (O&amp;G Upstream)'!$B$347-'Assumptions (O&amp;G Upstream)'!$B$346-'Assumptions (O&amp;G Upstream)'!$B$348)-'Assumptions (O&amp;G Upstream)'!$B$343*R3338-R3337-R3445+R3393),R3497*(1-'Assumptions (O&amp;G Upstream)'!$B$347-'Assumptions (O&amp;G Upstream)'!$B$346)-R3337-R3340+R3341+R3393)</f>
        <v>-90.223250275584661</v>
      </c>
      <c r="S3498" s="147">
        <f>IF(S3497*(1-'Assumptions (O&amp;G Upstream)'!$B$347-'Assumptions (O&amp;G Upstream)'!$B$346-'Assumptions (O&amp;G Upstream)'!$B$348)-'Assumptions (O&amp;G Upstream)'!$B$343*S3338-S3337-S3445+S3393&gt;0,(1-'Assumptions (O&amp;G Upstream)'!R$345)*(S3497*(1-'Assumptions (O&amp;G Upstream)'!$B$347-'Assumptions (O&amp;G Upstream)'!$B$346-'Assumptions (O&amp;G Upstream)'!$B$348)-'Assumptions (O&amp;G Upstream)'!$B$343*S3338-S3337-S3445+S3393),S3497*(1-'Assumptions (O&amp;G Upstream)'!$B$347-'Assumptions (O&amp;G Upstream)'!$B$346)-S3337-S3340+S3341+S3393)</f>
        <v>-72.090692232001544</v>
      </c>
      <c r="T3498" s="147">
        <f>IF(T3497*(1-'Assumptions (O&amp;G Upstream)'!$B$347-'Assumptions (O&amp;G Upstream)'!$B$346-'Assumptions (O&amp;G Upstream)'!$B$348)-'Assumptions (O&amp;G Upstream)'!$B$343*T3338-T3337-T3445+T3393&gt;0,(1-'Assumptions (O&amp;G Upstream)'!S$345)*(T3497*(1-'Assumptions (O&amp;G Upstream)'!$B$347-'Assumptions (O&amp;G Upstream)'!$B$346-'Assumptions (O&amp;G Upstream)'!$B$348)-'Assumptions (O&amp;G Upstream)'!$B$343*T3338-T3337-T3445+T3393),T3497*(1-'Assumptions (O&amp;G Upstream)'!$B$347-'Assumptions (O&amp;G Upstream)'!$B$346)-T3337-T3340+T3341+T3393)</f>
        <v>-46.277751982825784</v>
      </c>
      <c r="U3498" s="147">
        <f>IF(U3497*(1-'Assumptions (O&amp;G Upstream)'!$B$347-'Assumptions (O&amp;G Upstream)'!$B$346-'Assumptions (O&amp;G Upstream)'!$B$348)-'Assumptions (O&amp;G Upstream)'!$B$343*U3338-U3337-U3445+U3393&gt;0,(1-'Assumptions (O&amp;G Upstream)'!T$345)*(U3497*(1-'Assumptions (O&amp;G Upstream)'!$B$347-'Assumptions (O&amp;G Upstream)'!$B$346-'Assumptions (O&amp;G Upstream)'!$B$348)-'Assumptions (O&amp;G Upstream)'!$B$343*U3338-U3337-U3445+U3393),U3497*(1-'Assumptions (O&amp;G Upstream)'!$B$347-'Assumptions (O&amp;G Upstream)'!$B$346)-U3337-U3340+U3341+U3393)</f>
        <v>9.4568441058174173</v>
      </c>
      <c r="V3498" s="147">
        <f>IF(V3497*(1-'Assumptions (O&amp;G Upstream)'!$B$347-'Assumptions (O&amp;G Upstream)'!$B$346-'Assumptions (O&amp;G Upstream)'!$B$348)-'Assumptions (O&amp;G Upstream)'!$B$343*V3338-V3337-V3445+V3393&gt;0,(1-'Assumptions (O&amp;G Upstream)'!U$345)*(V3497*(1-'Assumptions (O&amp;G Upstream)'!$B$347-'Assumptions (O&amp;G Upstream)'!$B$346-'Assumptions (O&amp;G Upstream)'!$B$348)-'Assumptions (O&amp;G Upstream)'!$B$343*V3338-V3337-V3445+V3393),V3497*(1-'Assumptions (O&amp;G Upstream)'!$B$347-'Assumptions (O&amp;G Upstream)'!$B$346)-V3337-V3340+V3341+V3393)</f>
        <v>23.562951624979519</v>
      </c>
      <c r="W3498" s="147">
        <f>IF(W3497*(1-'Assumptions (O&amp;G Upstream)'!$B$347-'Assumptions (O&amp;G Upstream)'!$B$346-'Assumptions (O&amp;G Upstream)'!$B$348)-'Assumptions (O&amp;G Upstream)'!$B$343*W3338-W3337-W3445+W3393&gt;0,(1-'Assumptions (O&amp;G Upstream)'!V$345)*(W3497*(1-'Assumptions (O&amp;G Upstream)'!$B$347-'Assumptions (O&amp;G Upstream)'!$B$346-'Assumptions (O&amp;G Upstream)'!$B$348)-'Assumptions (O&amp;G Upstream)'!$B$343*W3338-W3337-W3445+W3393),W3497*(1-'Assumptions (O&amp;G Upstream)'!$B$347-'Assumptions (O&amp;G Upstream)'!$B$346)-W3337-W3340+W3341+W3393)</f>
        <v>52.374520184314122</v>
      </c>
      <c r="X3498" s="147">
        <f>IF(X3497*(1-'Assumptions (O&amp;G Upstream)'!$B$347-'Assumptions (O&amp;G Upstream)'!$B$346-'Assumptions (O&amp;G Upstream)'!$B$348)-'Assumptions (O&amp;G Upstream)'!$B$343*X3338-X3337-X3445+X3393&gt;0,(1-'Assumptions (O&amp;G Upstream)'!W$345)*(X3497*(1-'Assumptions (O&amp;G Upstream)'!$B$347-'Assumptions (O&amp;G Upstream)'!$B$346-'Assumptions (O&amp;G Upstream)'!$B$348)-'Assumptions (O&amp;G Upstream)'!$B$343*X3338-X3337-X3445+X3393),X3497*(1-'Assumptions (O&amp;G Upstream)'!$B$347-'Assumptions (O&amp;G Upstream)'!$B$346)-X3337-X3340+X3341+X3393)</f>
        <v>69.64381837201401</v>
      </c>
      <c r="Y3498" s="147">
        <f>IF(Y3497*(1-'Assumptions (O&amp;G Upstream)'!$B$347-'Assumptions (O&amp;G Upstream)'!$B$346-'Assumptions (O&amp;G Upstream)'!$B$348)-'Assumptions (O&amp;G Upstream)'!$B$343*Y3338-Y3337-Y3445+Y3393&gt;0,(1-'Assumptions (O&amp;G Upstream)'!X$345)*(Y3497*(1-'Assumptions (O&amp;G Upstream)'!$B$347-'Assumptions (O&amp;G Upstream)'!$B$346-'Assumptions (O&amp;G Upstream)'!$B$348)-'Assumptions (O&amp;G Upstream)'!$B$343*Y3338-Y3337-Y3445+Y3393),Y3497*(1-'Assumptions (O&amp;G Upstream)'!$B$347-'Assumptions (O&amp;G Upstream)'!$B$346)-Y3337-Y3340+Y3341+Y3393)</f>
        <v>79.543222174312547</v>
      </c>
      <c r="Z3498" s="147">
        <f>IF(Z3497*(1-'Assumptions (O&amp;G Upstream)'!$B$347-'Assumptions (O&amp;G Upstream)'!$B$346-'Assumptions (O&amp;G Upstream)'!$B$348)-'Assumptions (O&amp;G Upstream)'!$B$343*Z3338-Z3337-Z3445+Z3393&gt;0,(1-'Assumptions (O&amp;G Upstream)'!Y$345)*(Z3497*(1-'Assumptions (O&amp;G Upstream)'!$B$347-'Assumptions (O&amp;G Upstream)'!$B$346-'Assumptions (O&amp;G Upstream)'!$B$348)-'Assumptions (O&amp;G Upstream)'!$B$343*Z3338-Z3337-Z3445+Z3393),Z3497*(1-'Assumptions (O&amp;G Upstream)'!$B$347-'Assumptions (O&amp;G Upstream)'!$B$346)-Z3337-Z3340+Z3341+Z3393)</f>
        <v>97.081507926065512</v>
      </c>
      <c r="AA3498" s="147">
        <f>IF(AA3497*(1-'Assumptions (O&amp;G Upstream)'!$B$347-'Assumptions (O&amp;G Upstream)'!$B$346-'Assumptions (O&amp;G Upstream)'!$B$348)-'Assumptions (O&amp;G Upstream)'!$B$343*AA3338-AA3337-AA3445+AA3393&gt;0,(1-'Assumptions (O&amp;G Upstream)'!Z$345)*(AA3497*(1-'Assumptions (O&amp;G Upstream)'!$B$347-'Assumptions (O&amp;G Upstream)'!$B$346-'Assumptions (O&amp;G Upstream)'!$B$348)-'Assumptions (O&amp;G Upstream)'!$B$343*AA3338-AA3337-AA3445+AA3393),AA3497*(1-'Assumptions (O&amp;G Upstream)'!$B$347-'Assumptions (O&amp;G Upstream)'!$B$346)-AA3337-AA3340+AA3341+AA3393)</f>
        <v>127.81504229727139</v>
      </c>
      <c r="AB3498" s="147">
        <f>IF(AB3497*(1-'Assumptions (O&amp;G Upstream)'!$B$347-'Assumptions (O&amp;G Upstream)'!$B$346-'Assumptions (O&amp;G Upstream)'!$B$348)-'Assumptions (O&amp;G Upstream)'!$B$343*AB3338-AB3337-AB3445+AB3393&gt;0,(1-'Assumptions (O&amp;G Upstream)'!AA$345)*(AB3497*(1-'Assumptions (O&amp;G Upstream)'!$B$347-'Assumptions (O&amp;G Upstream)'!$B$346-'Assumptions (O&amp;G Upstream)'!$B$348)-'Assumptions (O&amp;G Upstream)'!$B$343*AB3338-AB3337-AB3445+AB3393),AB3497*(1-'Assumptions (O&amp;G Upstream)'!$B$347-'Assumptions (O&amp;G Upstream)'!$B$346)-AB3337-AB3340+AB3341+AB3393)</f>
        <v>155.64793258516454</v>
      </c>
      <c r="AC3498" s="147">
        <f>IF(AC3497*(1-'Assumptions (O&amp;G Upstream)'!$B$347-'Assumptions (O&amp;G Upstream)'!$B$346-'Assumptions (O&amp;G Upstream)'!$B$348)-'Assumptions (O&amp;G Upstream)'!$B$343*AC3338-AC3337-AC3445+AC3393&gt;0,(1-'Assumptions (O&amp;G Upstream)'!AB$345)*(AC3497*(1-'Assumptions (O&amp;G Upstream)'!$B$347-'Assumptions (O&amp;G Upstream)'!$B$346-'Assumptions (O&amp;G Upstream)'!$B$348)-'Assumptions (O&amp;G Upstream)'!$B$343*AC3338-AC3337-AC3445+AC3393),AC3497*(1-'Assumptions (O&amp;G Upstream)'!$B$347-'Assumptions (O&amp;G Upstream)'!$B$346)-AC3337-AC3340+AC3341+AC3393)</f>
        <v>175.3017565378756</v>
      </c>
      <c r="AD3498" s="147">
        <f>IF(AD3497*(1-'Assumptions (O&amp;G Upstream)'!$B$347-'Assumptions (O&amp;G Upstream)'!$B$346-'Assumptions (O&amp;G Upstream)'!$B$348)-'Assumptions (O&amp;G Upstream)'!$B$343*AD3338-AD3337-AD3445+AD3393&gt;0,(1-'Assumptions (O&amp;G Upstream)'!AC$345)*(AD3497*(1-'Assumptions (O&amp;G Upstream)'!$B$347-'Assumptions (O&amp;G Upstream)'!$B$346-'Assumptions (O&amp;G Upstream)'!$B$348)-'Assumptions (O&amp;G Upstream)'!$B$343*AD3338-AD3337-AD3445+AD3393),AD3497*(1-'Assumptions (O&amp;G Upstream)'!$B$347-'Assumptions (O&amp;G Upstream)'!$B$346)-AD3337-AD3340+AD3341+AD3393)</f>
        <v>190.90469848534036</v>
      </c>
      <c r="AE3498" s="147">
        <f>IF(AE3497*(1-'Assumptions (O&amp;G Upstream)'!$B$347-'Assumptions (O&amp;G Upstream)'!$B$346-'Assumptions (O&amp;G Upstream)'!$B$348)-'Assumptions (O&amp;G Upstream)'!$B$343*AE3338-AE3337-AE3445+AE3393&gt;0,(1-'Assumptions (O&amp;G Upstream)'!AD$345)*(AE3497*(1-'Assumptions (O&amp;G Upstream)'!$B$347-'Assumptions (O&amp;G Upstream)'!$B$346-'Assumptions (O&amp;G Upstream)'!$B$348)-'Assumptions (O&amp;G Upstream)'!$B$343*AE3338-AE3337-AE3445+AE3393),AE3497*(1-'Assumptions (O&amp;G Upstream)'!$B$347-'Assumptions (O&amp;G Upstream)'!$B$346)-AE3337-AE3340+AE3341+AE3393)</f>
        <v>3.7867737655981468</v>
      </c>
      <c r="AF3498" s="147">
        <f>IF(AF3497*(1-'Assumptions (O&amp;G Upstream)'!$B$347-'Assumptions (O&amp;G Upstream)'!$B$346-'Assumptions (O&amp;G Upstream)'!$B$348)-'Assumptions (O&amp;G Upstream)'!$B$343*AF3338-AF3337-AF3445+AF3393&gt;0,(1-'Assumptions (O&amp;G Upstream)'!AE$345)*(AF3497*(1-'Assumptions (O&amp;G Upstream)'!$B$347-'Assumptions (O&amp;G Upstream)'!$B$346-'Assumptions (O&amp;G Upstream)'!$B$348)-'Assumptions (O&amp;G Upstream)'!$B$343*AF3338-AF3337-AF3445+AF3393),AF3497*(1-'Assumptions (O&amp;G Upstream)'!$B$347-'Assumptions (O&amp;G Upstream)'!$B$346)-AF3337-AF3340+AF3341+AF3393)</f>
        <v>12.614562499763826</v>
      </c>
      <c r="AG3498" s="147">
        <f>IF(AG3497*(1-'Assumptions (O&amp;G Upstream)'!$B$347-'Assumptions (O&amp;G Upstream)'!$B$346-'Assumptions (O&amp;G Upstream)'!$B$348)-'Assumptions (O&amp;G Upstream)'!$B$343*AG3338-AG3337-AG3445+AG3393&gt;0,(1-'Assumptions (O&amp;G Upstream)'!AF$345)*(AG3497*(1-'Assumptions (O&amp;G Upstream)'!$B$347-'Assumptions (O&amp;G Upstream)'!$B$346-'Assumptions (O&amp;G Upstream)'!$B$348)-'Assumptions (O&amp;G Upstream)'!$B$343*AG3338-AG3337-AG3445+AG3393),AG3497*(1-'Assumptions (O&amp;G Upstream)'!$B$347-'Assumptions (O&amp;G Upstream)'!$B$346)-AG3337-AG3340+AG3341+AG3393)</f>
        <v>21.204360306692536</v>
      </c>
      <c r="AH3498" s="147">
        <f>IF(AH3497*(1-'Assumptions (O&amp;G Upstream)'!$B$347-'Assumptions (O&amp;G Upstream)'!$B$346-'Assumptions (O&amp;G Upstream)'!$B$348)-'Assumptions (O&amp;G Upstream)'!$B$343*AH3338-AH3337-AH3445+AH3393&gt;0,(1-'Assumptions (O&amp;G Upstream)'!AG$345)*(AH3497*(1-'Assumptions (O&amp;G Upstream)'!$B$347-'Assumptions (O&amp;G Upstream)'!$B$346-'Assumptions (O&amp;G Upstream)'!$B$348)-'Assumptions (O&amp;G Upstream)'!$B$343*AH3338-AH3337-AH3445+AH3393),AH3497*(1-'Assumptions (O&amp;G Upstream)'!$B$347-'Assumptions (O&amp;G Upstream)'!$B$346)-AH3337-AH3340+AH3341+AH3393)</f>
        <v>32.590841583196642</v>
      </c>
      <c r="AI3498" s="147">
        <f>IF(AI3497*(1-'Assumptions (O&amp;G Upstream)'!$B$347-'Assumptions (O&amp;G Upstream)'!$B$346-'Assumptions (O&amp;G Upstream)'!$B$348)-'Assumptions (O&amp;G Upstream)'!$B$343*AI3338-AI3337-AI3445+AI3393&gt;0,(1-'Assumptions (O&amp;G Upstream)'!AH$345)*(AI3497*(1-'Assumptions (O&amp;G Upstream)'!$B$347-'Assumptions (O&amp;G Upstream)'!$B$346-'Assumptions (O&amp;G Upstream)'!$B$348)-'Assumptions (O&amp;G Upstream)'!$B$343*AI3338-AI3337-AI3445+AI3393),AI3497*(1-'Assumptions (O&amp;G Upstream)'!$B$347-'Assumptions (O&amp;G Upstream)'!$B$346)-AI3337-AI3340+AI3341+AI3393)</f>
        <v>45.252471856538953</v>
      </c>
      <c r="AJ3498" s="147">
        <f>IF(AJ3497*(1-'Assumptions (O&amp;G Upstream)'!$B$347-'Assumptions (O&amp;G Upstream)'!$B$346-'Assumptions (O&amp;G Upstream)'!$B$348)-'Assumptions (O&amp;G Upstream)'!$B$343*AJ3338-AJ3337-AJ3445+AJ3393&gt;0,(1-'Assumptions (O&amp;G Upstream)'!AI$345)*(AJ3497*(1-'Assumptions (O&amp;G Upstream)'!$B$347-'Assumptions (O&amp;G Upstream)'!$B$346-'Assumptions (O&amp;G Upstream)'!$B$348)-'Assumptions (O&amp;G Upstream)'!$B$343*AJ3338-AJ3337-AJ3445+AJ3393),AJ3497*(1-'Assumptions (O&amp;G Upstream)'!$B$347-'Assumptions (O&amp;G Upstream)'!$B$346)-AJ3337-AJ3340+AJ3341+AJ3393)</f>
        <v>62.539539731579062</v>
      </c>
      <c r="AK3498" s="147">
        <f>IF(AK3497*(1-'Assumptions (O&amp;G Upstream)'!$B$347-'Assumptions (O&amp;G Upstream)'!$B$346-'Assumptions (O&amp;G Upstream)'!$B$348)-'Assumptions (O&amp;G Upstream)'!$B$343*AK3338-AK3337-AK3445+AK3393&gt;0,(1-'Assumptions (O&amp;G Upstream)'!AJ$345)*(AK3497*(1-'Assumptions (O&amp;G Upstream)'!$B$347-'Assumptions (O&amp;G Upstream)'!$B$346-'Assumptions (O&amp;G Upstream)'!$B$348)-'Assumptions (O&amp;G Upstream)'!$B$343*AK3338-AK3337-AK3445+AK3393),AK3497*(1-'Assumptions (O&amp;G Upstream)'!$B$347-'Assumptions (O&amp;G Upstream)'!$B$346)-AK3337-AK3340+AK3341+AK3393)</f>
        <v>71.270476162429588</v>
      </c>
      <c r="AL3498" s="147">
        <f>IF(AL3497*(1-'Assumptions (O&amp;G Upstream)'!$B$347-'Assumptions (O&amp;G Upstream)'!$B$346-'Assumptions (O&amp;G Upstream)'!$B$348)-'Assumptions (O&amp;G Upstream)'!$B$343*AL3338-AL3337-AL3445+AL3393&gt;0,(1-'Assumptions (O&amp;G Upstream)'!AK$345)*(AL3497*(1-'Assumptions (O&amp;G Upstream)'!$B$347-'Assumptions (O&amp;G Upstream)'!$B$346-'Assumptions (O&amp;G Upstream)'!$B$348)-'Assumptions (O&amp;G Upstream)'!$B$343*AL3338-AL3337-AL3445+AL3393),AL3497*(1-'Assumptions (O&amp;G Upstream)'!$B$347-'Assumptions (O&amp;G Upstream)'!$B$346)-AL3337-AL3340+AL3341+AL3393)</f>
        <v>83.431056835765958</v>
      </c>
      <c r="AM3498" s="147">
        <f>IF(AM3497*(1-'Assumptions (O&amp;G Upstream)'!$B$347-'Assumptions (O&amp;G Upstream)'!$B$346-'Assumptions (O&amp;G Upstream)'!$B$348)-'Assumptions (O&amp;G Upstream)'!$B$343*AM3338-AM3337-AM3445+AM3393&gt;0,(1-'Assumptions (O&amp;G Upstream)'!AL$345)*(AM3497*(1-'Assumptions (O&amp;G Upstream)'!$B$347-'Assumptions (O&amp;G Upstream)'!$B$346-'Assumptions (O&amp;G Upstream)'!$B$348)-'Assumptions (O&amp;G Upstream)'!$B$343*AM3338-AM3337-AM3445+AM3393),AM3497*(1-'Assumptions (O&amp;G Upstream)'!$B$347-'Assumptions (O&amp;G Upstream)'!$B$346)-AM3337-AM3340+AM3341+AM3393)</f>
        <v>100.92421048952878</v>
      </c>
      <c r="AN3498" s="147">
        <f>IF(AN3497*(1-'Assumptions (O&amp;G Upstream)'!$B$347-'Assumptions (O&amp;G Upstream)'!$B$346-'Assumptions (O&amp;G Upstream)'!$B$348)-'Assumptions (O&amp;G Upstream)'!$B$343*AN3338-AN3337-AN3445+AN3393&gt;0,(1-'Assumptions (O&amp;G Upstream)'!AM$345)*(AN3497*(1-'Assumptions (O&amp;G Upstream)'!$B$347-'Assumptions (O&amp;G Upstream)'!$B$346-'Assumptions (O&amp;G Upstream)'!$B$348)-'Assumptions (O&amp;G Upstream)'!$B$343*AN3338-AN3337-AN3445+AN3393),AN3497*(1-'Assumptions (O&amp;G Upstream)'!$B$347-'Assumptions (O&amp;G Upstream)'!$B$346)-AN3337-AN3340+AN3341+AN3393)</f>
        <v>107.23465314759743</v>
      </c>
      <c r="AO3498" s="147">
        <f>IF(AO3497*(1-'Assumptions (O&amp;G Upstream)'!$B$347-'Assumptions (O&amp;G Upstream)'!$B$346-'Assumptions (O&amp;G Upstream)'!$B$348)-'Assumptions (O&amp;G Upstream)'!$B$343*AO3338-AO3337-AO3445+AO3393&gt;0,(1-'Assumptions (O&amp;G Upstream)'!AN$345)*(AO3497*(1-'Assumptions (O&amp;G Upstream)'!$B$347-'Assumptions (O&amp;G Upstream)'!$B$346-'Assumptions (O&amp;G Upstream)'!$B$348)-'Assumptions (O&amp;G Upstream)'!$B$343*AO3338-AO3337-AO3445+AO3393),AO3497*(1-'Assumptions (O&amp;G Upstream)'!$B$347-'Assumptions (O&amp;G Upstream)'!$B$346)-AO3337-AO3340+AO3341+AO3393)</f>
        <v>121.77810498203259</v>
      </c>
      <c r="AP3498" s="147">
        <f>IF(AP3497*(1-'Assumptions (O&amp;G Upstream)'!$B$347-'Assumptions (O&amp;G Upstream)'!$B$346-'Assumptions (O&amp;G Upstream)'!$B$348)-'Assumptions (O&amp;G Upstream)'!$B$343*AP3338-AP3337-AP3445+AP3393&gt;0,(1-'Assumptions (O&amp;G Upstream)'!AO$345)*(AP3497*(1-'Assumptions (O&amp;G Upstream)'!$B$347-'Assumptions (O&amp;G Upstream)'!$B$346-'Assumptions (O&amp;G Upstream)'!$B$348)-'Assumptions (O&amp;G Upstream)'!$B$343*AP3338-AP3337-AP3445+AP3393),AP3497*(1-'Assumptions (O&amp;G Upstream)'!$B$347-'Assumptions (O&amp;G Upstream)'!$B$346)-AP3337-AP3340+AP3341+AP3393)</f>
        <v>134.69714275310551</v>
      </c>
      <c r="AQ3498" s="147">
        <f>IF(AQ3497*(1-'Assumptions (O&amp;G Upstream)'!$B$347-'Assumptions (O&amp;G Upstream)'!$B$346-'Assumptions (O&amp;G Upstream)'!$B$348)-'Assumptions (O&amp;G Upstream)'!$B$343*AQ3338-AQ3337-AQ3445+AQ3393&gt;0,(1-'Assumptions (O&amp;G Upstream)'!AP$345)*(AQ3497*(1-'Assumptions (O&amp;G Upstream)'!$B$347-'Assumptions (O&amp;G Upstream)'!$B$346-'Assumptions (O&amp;G Upstream)'!$B$348)-'Assumptions (O&amp;G Upstream)'!$B$343*AQ3338-AQ3337-AQ3445+AQ3393),AQ3497*(1-'Assumptions (O&amp;G Upstream)'!$B$347-'Assumptions (O&amp;G Upstream)'!$B$346)-AQ3337-AQ3340+AQ3341+AQ3393)</f>
        <v>152.80529245302509</v>
      </c>
      <c r="AR3498" s="147">
        <f>IF(AR3497*(1-'Assumptions (O&amp;G Upstream)'!$B$347-'Assumptions (O&amp;G Upstream)'!$B$346-'Assumptions (O&amp;G Upstream)'!$B$348)-'Assumptions (O&amp;G Upstream)'!$B$343*AR3338-AR3337-AR3445+AR3393&gt;0,(1-'Assumptions (O&amp;G Upstream)'!AQ$345)*(AR3497*(1-'Assumptions (O&amp;G Upstream)'!$B$347-'Assumptions (O&amp;G Upstream)'!$B$346-'Assumptions (O&amp;G Upstream)'!$B$348)-'Assumptions (O&amp;G Upstream)'!$B$343*AR3338-AR3337-AR3445+AR3393),AR3497*(1-'Assumptions (O&amp;G Upstream)'!$B$347-'Assumptions (O&amp;G Upstream)'!$B$346)-AR3337-AR3340+AR3341+AR3393)</f>
        <v>161.54096131449654</v>
      </c>
      <c r="AS3498" s="147">
        <f>IF(AS3497*(1-'Assumptions (O&amp;G Upstream)'!$B$347-'Assumptions (O&amp;G Upstream)'!$B$346-'Assumptions (O&amp;G Upstream)'!$B$348)-'Assumptions (O&amp;G Upstream)'!$B$343*AS3338-AS3337-AS3445+AS3393&gt;0,(1-'Assumptions (O&amp;G Upstream)'!AR$345)*(AS3497*(1-'Assumptions (O&amp;G Upstream)'!$B$347-'Assumptions (O&amp;G Upstream)'!$B$346-'Assumptions (O&amp;G Upstream)'!$B$348)-'Assumptions (O&amp;G Upstream)'!$B$343*AS3338-AS3337-AS3445+AS3393),AS3497*(1-'Assumptions (O&amp;G Upstream)'!$B$347-'Assumptions (O&amp;G Upstream)'!$B$346)-AS3337-AS3340+AS3341+AS3393)</f>
        <v>174.23851747386365</v>
      </c>
      <c r="AT3498" s="147">
        <f>IF(AT3497*(1-'Assumptions (O&amp;G Upstream)'!$B$347-'Assumptions (O&amp;G Upstream)'!$B$346-'Assumptions (O&amp;G Upstream)'!$B$348)-'Assumptions (O&amp;G Upstream)'!$B$343*AT3338-AT3337-AT3445+AT3393&gt;0,(1-'Assumptions (O&amp;G Upstream)'!AS$345)*(AT3497*(1-'Assumptions (O&amp;G Upstream)'!$B$347-'Assumptions (O&amp;G Upstream)'!$B$346-'Assumptions (O&amp;G Upstream)'!$B$348)-'Assumptions (O&amp;G Upstream)'!$B$343*AT3338-AT3337-AT3445+AT3393),AT3497*(1-'Assumptions (O&amp;G Upstream)'!$B$347-'Assumptions (O&amp;G Upstream)'!$B$346)-AT3337-AT3340+AT3341+AT3393)</f>
        <v>179.7043090683099</v>
      </c>
      <c r="AU3498" s="147">
        <f>IF(AU3497*(1-'Assumptions (O&amp;G Upstream)'!$B$347-'Assumptions (O&amp;G Upstream)'!$B$346-'Assumptions (O&amp;G Upstream)'!$B$348)-'Assumptions (O&amp;G Upstream)'!$B$343*AU3338-AU3337-AU3445+AU3393&gt;0,(1-'Assumptions (O&amp;G Upstream)'!AT$345)*(AU3497*(1-'Assumptions (O&amp;G Upstream)'!$B$347-'Assumptions (O&amp;G Upstream)'!$B$346-'Assumptions (O&amp;G Upstream)'!$B$348)-'Assumptions (O&amp;G Upstream)'!$B$343*AU3338-AU3337-AU3445+AU3393),AU3497*(1-'Assumptions (O&amp;G Upstream)'!$B$347-'Assumptions (O&amp;G Upstream)'!$B$346)-AU3337-AU3340+AU3341+AU3393)</f>
        <v>190.20869224861431</v>
      </c>
      <c r="AV3498" s="147">
        <f>IF(AV3497*(1-'Assumptions (O&amp;G Upstream)'!$B$347-'Assumptions (O&amp;G Upstream)'!$B$346-'Assumptions (O&amp;G Upstream)'!$B$348)-'Assumptions (O&amp;G Upstream)'!$B$343*AV3338-AV3337-AV3445+AV3393&gt;0,(1-'Assumptions (O&amp;G Upstream)'!AU$345)*(AV3497*(1-'Assumptions (O&amp;G Upstream)'!$B$347-'Assumptions (O&amp;G Upstream)'!$B$346-'Assumptions (O&amp;G Upstream)'!$B$348)-'Assumptions (O&amp;G Upstream)'!$B$343*AV3338-AV3337-AV3445+AV3393),AV3497*(1-'Assumptions (O&amp;G Upstream)'!$B$347-'Assumptions (O&amp;G Upstream)'!$B$346)-AV3337-AV3340+AV3341+AV3393)</f>
        <v>198.98225980436473</v>
      </c>
      <c r="AW3498" s="147">
        <f>IF(AW3497*(1-'Assumptions (O&amp;G Upstream)'!$B$347-'Assumptions (O&amp;G Upstream)'!$B$346-'Assumptions (O&amp;G Upstream)'!$B$348)-'Assumptions (O&amp;G Upstream)'!$B$343*AW3338-AW3337-AW3445+AW3393&gt;0,(1-'Assumptions (O&amp;G Upstream)'!AV$345)*(AW3497*(1-'Assumptions (O&amp;G Upstream)'!$B$347-'Assumptions (O&amp;G Upstream)'!$B$346-'Assumptions (O&amp;G Upstream)'!$B$348)-'Assumptions (O&amp;G Upstream)'!$B$343*AW3338-AW3337-AW3445+AW3393),AW3497*(1-'Assumptions (O&amp;G Upstream)'!$B$347-'Assumptions (O&amp;G Upstream)'!$B$346)-AW3337-AW3340+AW3341+AW3393)</f>
        <v>208.00271001321528</v>
      </c>
      <c r="AX3498" s="147">
        <f>IF(AX3497*(1-'Assumptions (O&amp;G Upstream)'!$B$347-'Assumptions (O&amp;G Upstream)'!$B$346-'Assumptions (O&amp;G Upstream)'!$B$348)-'Assumptions (O&amp;G Upstream)'!$B$343*AX3338-AX3337-AX3445+AX3393&gt;0,(1-'Assumptions (O&amp;G Upstream)'!AW$345)*(AX3497*(1-'Assumptions (O&amp;G Upstream)'!$B$347-'Assumptions (O&amp;G Upstream)'!$B$346-'Assumptions (O&amp;G Upstream)'!$B$348)-'Assumptions (O&amp;G Upstream)'!$B$343*AX3338-AX3337-AX3445+AX3393),AX3497*(1-'Assumptions (O&amp;G Upstream)'!$B$347-'Assumptions (O&amp;G Upstream)'!$B$346)-AX3337-AX3340+AX3341+AX3393)</f>
        <v>217.63606899426574</v>
      </c>
      <c r="AY3498" s="147">
        <f>IF(AY3497*(1-'Assumptions (O&amp;G Upstream)'!$B$347-'Assumptions (O&amp;G Upstream)'!$B$346-'Assumptions (O&amp;G Upstream)'!$B$348)-'Assumptions (O&amp;G Upstream)'!$B$343*AY3338-AY3337-AY3445+AY3393&gt;0,(1-'Assumptions (O&amp;G Upstream)'!AX$345)*(AY3497*(1-'Assumptions (O&amp;G Upstream)'!$B$347-'Assumptions (O&amp;G Upstream)'!$B$346-'Assumptions (O&amp;G Upstream)'!$B$348)-'Assumptions (O&amp;G Upstream)'!$B$343*AY3338-AY3337-AY3445+AY3393),AY3497*(1-'Assumptions (O&amp;G Upstream)'!$B$347-'Assumptions (O&amp;G Upstream)'!$B$346)-AY3337-AY3340+AY3341+AY3393)</f>
        <v>230.37256666015026</v>
      </c>
      <c r="AZ3498" s="147">
        <f>IF(AZ3497*(1-'Assumptions (O&amp;G Upstream)'!$B$347-'Assumptions (O&amp;G Upstream)'!$B$346-'Assumptions (O&amp;G Upstream)'!$B$348)-'Assumptions (O&amp;G Upstream)'!$B$343*AZ3338-AZ3337-AZ3445+AZ3393&gt;0,(1-'Assumptions (O&amp;G Upstream)'!AY$345)*(AZ3497*(1-'Assumptions (O&amp;G Upstream)'!$B$347-'Assumptions (O&amp;G Upstream)'!$B$346-'Assumptions (O&amp;G Upstream)'!$B$348)-'Assumptions (O&amp;G Upstream)'!$B$343*AZ3338-AZ3337-AZ3445+AZ3393),AZ3497*(1-'Assumptions (O&amp;G Upstream)'!$B$347-'Assumptions (O&amp;G Upstream)'!$B$346)-AZ3337-AZ3340+AZ3341+AZ3393)</f>
        <v>237.77049725491457</v>
      </c>
      <c r="BA3498" s="147">
        <f>IF(BA3497*(1-'Assumptions (O&amp;G Upstream)'!$B$347-'Assumptions (O&amp;G Upstream)'!$B$346-'Assumptions (O&amp;G Upstream)'!$B$348)-'Assumptions (O&amp;G Upstream)'!$B$343*BA3338-BA3337-BA3445+BA3393&gt;0,(1-'Assumptions (O&amp;G Upstream)'!AZ$345)*(BA3497*(1-'Assumptions (O&amp;G Upstream)'!$B$347-'Assumptions (O&amp;G Upstream)'!$B$346-'Assumptions (O&amp;G Upstream)'!$B$348)-'Assumptions (O&amp;G Upstream)'!$B$343*BA3338-BA3337-BA3445+BA3393),BA3497*(1-'Assumptions (O&amp;G Upstream)'!$B$347-'Assumptions (O&amp;G Upstream)'!$B$346)-BA3337-BA3340+BA3341+BA3393)</f>
        <v>248.72178156602931</v>
      </c>
    </row>
    <row r="3499" spans="1:73" ht="15.75" customHeight="1">
      <c r="A3499" s="472" t="s">
        <v>892</v>
      </c>
      <c r="B3499" s="99" t="s">
        <v>201</v>
      </c>
      <c r="C3499" s="147">
        <f>IF(C3497*(1-'Assumptions (O&amp;G Upstream)'!$B$347-'Assumptions (O&amp;G Upstream)'!$B$346-'Assumptions (O&amp;G Upstream)'!$B$348)-'Assumptions (O&amp;G Upstream)'!$B$343*C3338-C3337-C3445+C3393&gt;0,'Assumptions (O&amp;G Upstream)'!B$345*(C3497*(1-'Assumptions (O&amp;G Upstream)'!$B$347-'Assumptions (O&amp;G Upstream)'!$B$346-'Assumptions (O&amp;G Upstream)'!$B$348)-'Assumptions (O&amp;G Upstream)'!$B$343*C3338-C3337-C3445+C3393),0)</f>
        <v>17.103596076209016</v>
      </c>
      <c r="D3499" s="147">
        <f>IF(D3497*(1-'Assumptions (O&amp;G Upstream)'!$B$347-'Assumptions (O&amp;G Upstream)'!$B$346-'Assumptions (O&amp;G Upstream)'!$B$348)-'Assumptions (O&amp;G Upstream)'!$B$343*D3338-D3337-D3445+D3393&gt;0,'Assumptions (O&amp;G Upstream)'!C$345*(D3497*(1-'Assumptions (O&amp;G Upstream)'!$B$347-'Assumptions (O&amp;G Upstream)'!$B$346-'Assumptions (O&amp;G Upstream)'!$B$348)-'Assumptions (O&amp;G Upstream)'!$B$343*D3338-D3337-D3445+D3393),0)</f>
        <v>6.0723047658041791</v>
      </c>
      <c r="E3499" s="147">
        <f>IF(E3497*(1-'Assumptions (O&amp;G Upstream)'!$B$347-'Assumptions (O&amp;G Upstream)'!$B$346-'Assumptions (O&amp;G Upstream)'!$B$348)-'Assumptions (O&amp;G Upstream)'!$B$343*E3338-E3337-E3445+E3393&gt;0,'Assumptions (O&amp;G Upstream)'!D$345*(E3497*(1-'Assumptions (O&amp;G Upstream)'!$B$347-'Assumptions (O&amp;G Upstream)'!$B$346-'Assumptions (O&amp;G Upstream)'!$B$348)-'Assumptions (O&amp;G Upstream)'!$B$343*E3338-E3337-E3445+E3393),0)</f>
        <v>1.5012701486417228</v>
      </c>
      <c r="F3499" s="147">
        <f>IF(F3497*(1-'Assumptions (O&amp;G Upstream)'!$B$347-'Assumptions (O&amp;G Upstream)'!$B$346-'Assumptions (O&amp;G Upstream)'!$B$348)-'Assumptions (O&amp;G Upstream)'!$B$343*F3338-F3337-F3445+F3393&gt;0,'Assumptions (O&amp;G Upstream)'!E$345*(F3497*(1-'Assumptions (O&amp;G Upstream)'!$B$347-'Assumptions (O&amp;G Upstream)'!$B$346-'Assumptions (O&amp;G Upstream)'!$B$348)-'Assumptions (O&amp;G Upstream)'!$B$343*F3338-F3337-F3445+F3393),0)</f>
        <v>9.6452023540084042</v>
      </c>
      <c r="G3499" s="147">
        <f>IF(G3497*(1-'Assumptions (O&amp;G Upstream)'!$B$347-'Assumptions (O&amp;G Upstream)'!$B$346-'Assumptions (O&amp;G Upstream)'!$B$348)-'Assumptions (O&amp;G Upstream)'!$B$343*G3338-G3337-G3445+G3393&gt;0,'Assumptions (O&amp;G Upstream)'!F$345*(G3497*(1-'Assumptions (O&amp;G Upstream)'!$B$347-'Assumptions (O&amp;G Upstream)'!$B$346-'Assumptions (O&amp;G Upstream)'!$B$348)-'Assumptions (O&amp;G Upstream)'!$B$343*G3338-G3337-G3445+G3393),0)</f>
        <v>11.417081601141843</v>
      </c>
      <c r="H3499" s="147">
        <f>IF(H3497*(1-'Assumptions (O&amp;G Upstream)'!$B$347-'Assumptions (O&amp;G Upstream)'!$B$346-'Assumptions (O&amp;G Upstream)'!$B$348)-'Assumptions (O&amp;G Upstream)'!$B$343*H3338-H3337-H3445+H3393&gt;0,'Assumptions (O&amp;G Upstream)'!G$345*(H3497*(1-'Assumptions (O&amp;G Upstream)'!$B$347-'Assumptions (O&amp;G Upstream)'!$B$346-'Assumptions (O&amp;G Upstream)'!$B$348)-'Assumptions (O&amp;G Upstream)'!$B$343*H3338-H3337-H3445+H3393),0)</f>
        <v>20.803073465900649</v>
      </c>
      <c r="I3499" s="147">
        <f>IF(I3497*(1-'Assumptions (O&amp;G Upstream)'!$B$347-'Assumptions (O&amp;G Upstream)'!$B$346-'Assumptions (O&amp;G Upstream)'!$B$348)-'Assumptions (O&amp;G Upstream)'!$B$343*I3338-I3337-I3445+I3393&gt;0,'Assumptions (O&amp;G Upstream)'!H$345*(I3497*(1-'Assumptions (O&amp;G Upstream)'!$B$347-'Assumptions (O&amp;G Upstream)'!$B$346-'Assumptions (O&amp;G Upstream)'!$B$348)-'Assumptions (O&amp;G Upstream)'!$B$343*I3338-I3337-I3445+I3393),0)</f>
        <v>2.89668225135383</v>
      </c>
      <c r="J3499" s="147">
        <f>IF(J3497*(1-'Assumptions (O&amp;G Upstream)'!$B$347-'Assumptions (O&amp;G Upstream)'!$B$346-'Assumptions (O&amp;G Upstream)'!$B$348)-'Assumptions (O&amp;G Upstream)'!$B$343*J3338-J3337-J3445+J3393&gt;0,'Assumptions (O&amp;G Upstream)'!I$345*(J3497*(1-'Assumptions (O&amp;G Upstream)'!$B$347-'Assumptions (O&amp;G Upstream)'!$B$346-'Assumptions (O&amp;G Upstream)'!$B$348)-'Assumptions (O&amp;G Upstream)'!$B$343*J3338-J3337-J3445+J3393),0)</f>
        <v>0</v>
      </c>
      <c r="K3499" s="147">
        <f>IF(K3497*(1-'Assumptions (O&amp;G Upstream)'!$B$347-'Assumptions (O&amp;G Upstream)'!$B$346-'Assumptions (O&amp;G Upstream)'!$B$348)-'Assumptions (O&amp;G Upstream)'!$B$343*K3338-K3337-K3445+K3393&gt;0,'Assumptions (O&amp;G Upstream)'!J$345*(K3497*(1-'Assumptions (O&amp;G Upstream)'!$B$347-'Assumptions (O&amp;G Upstream)'!$B$346-'Assumptions (O&amp;G Upstream)'!$B$348)-'Assumptions (O&amp;G Upstream)'!$B$343*K3338-K3337-K3445+K3393),0)</f>
        <v>7.8783582782383368</v>
      </c>
      <c r="L3499" s="147">
        <f>IF(L3497*(1-'Assumptions (O&amp;G Upstream)'!$B$347-'Assumptions (O&amp;G Upstream)'!$B$346-'Assumptions (O&amp;G Upstream)'!$B$348)-'Assumptions (O&amp;G Upstream)'!$B$343*L3338-L3337-L3445+L3393&gt;0,'Assumptions (O&amp;G Upstream)'!K$345*(L3497*(1-'Assumptions (O&amp;G Upstream)'!$B$347-'Assumptions (O&amp;G Upstream)'!$B$346-'Assumptions (O&amp;G Upstream)'!$B$348)-'Assumptions (O&amp;G Upstream)'!$B$343*L3338-L3337-L3445+L3393),0)</f>
        <v>0</v>
      </c>
      <c r="M3499" s="147">
        <f>IF(M3497*(1-'Assumptions (O&amp;G Upstream)'!$B$347-'Assumptions (O&amp;G Upstream)'!$B$346-'Assumptions (O&amp;G Upstream)'!$B$348)-'Assumptions (O&amp;G Upstream)'!$B$343*M3338-M3337-M3445+M3393&gt;0,'Assumptions (O&amp;G Upstream)'!L$345*(M3497*(1-'Assumptions (O&amp;G Upstream)'!$B$347-'Assumptions (O&amp;G Upstream)'!$B$346-'Assumptions (O&amp;G Upstream)'!$B$348)-'Assumptions (O&amp;G Upstream)'!$B$343*M3338-M3337-M3445+M3393),0)</f>
        <v>0</v>
      </c>
      <c r="N3499" s="147">
        <f>IF(N3497*(1-'Assumptions (O&amp;G Upstream)'!$B$347-'Assumptions (O&amp;G Upstream)'!$B$346-'Assumptions (O&amp;G Upstream)'!$B$348)-'Assumptions (O&amp;G Upstream)'!$B$343*N3338-N3337-N3445+N3393&gt;0,'Assumptions (O&amp;G Upstream)'!M$345*(N3497*(1-'Assumptions (O&amp;G Upstream)'!$B$347-'Assumptions (O&amp;G Upstream)'!$B$346-'Assumptions (O&amp;G Upstream)'!$B$348)-'Assumptions (O&amp;G Upstream)'!$B$343*N3338-N3337-N3445+N3393),0)</f>
        <v>0</v>
      </c>
      <c r="O3499" s="147">
        <f>IF(O3497*(1-'Assumptions (O&amp;G Upstream)'!$B$347-'Assumptions (O&amp;G Upstream)'!$B$346-'Assumptions (O&amp;G Upstream)'!$B$348)-'Assumptions (O&amp;G Upstream)'!$B$343*O3338-O3337-O3445+O3393&gt;0,'Assumptions (O&amp;G Upstream)'!N$345*(O3497*(1-'Assumptions (O&amp;G Upstream)'!$B$347-'Assumptions (O&amp;G Upstream)'!$B$346-'Assumptions (O&amp;G Upstream)'!$B$348)-'Assumptions (O&amp;G Upstream)'!$B$343*O3338-O3337-O3445+O3393),0)</f>
        <v>0</v>
      </c>
      <c r="P3499" s="147">
        <f>IF(P3497*(1-'Assumptions (O&amp;G Upstream)'!$B$347-'Assumptions (O&amp;G Upstream)'!$B$346-'Assumptions (O&amp;G Upstream)'!$B$348)-'Assumptions (O&amp;G Upstream)'!$B$343*P3338-P3337-P3445+P3393&gt;0,'Assumptions (O&amp;G Upstream)'!O$345*(P3497*(1-'Assumptions (O&amp;G Upstream)'!$B$347-'Assumptions (O&amp;G Upstream)'!$B$346-'Assumptions (O&amp;G Upstream)'!$B$348)-'Assumptions (O&amp;G Upstream)'!$B$343*P3338-P3337-P3445+P3393),0)</f>
        <v>0</v>
      </c>
      <c r="Q3499" s="147">
        <f>IF(Q3497*(1-'Assumptions (O&amp;G Upstream)'!$B$347-'Assumptions (O&amp;G Upstream)'!$B$346-'Assumptions (O&amp;G Upstream)'!$B$348)-'Assumptions (O&amp;G Upstream)'!$B$343*Q3338-Q3337-Q3445+Q3393&gt;0,'Assumptions (O&amp;G Upstream)'!P$345*(Q3497*(1-'Assumptions (O&amp;G Upstream)'!$B$347-'Assumptions (O&amp;G Upstream)'!$B$346-'Assumptions (O&amp;G Upstream)'!$B$348)-'Assumptions (O&amp;G Upstream)'!$B$343*Q3338-Q3337-Q3445+Q3393),0)</f>
        <v>0</v>
      </c>
      <c r="R3499" s="147">
        <f>IF(R3497*(1-'Assumptions (O&amp;G Upstream)'!$B$347-'Assumptions (O&amp;G Upstream)'!$B$346-'Assumptions (O&amp;G Upstream)'!$B$348)-'Assumptions (O&amp;G Upstream)'!$B$343*R3338-R3337-R3445+R3393&gt;0,'Assumptions (O&amp;G Upstream)'!Q$345*(R3497*(1-'Assumptions (O&amp;G Upstream)'!$B$347-'Assumptions (O&amp;G Upstream)'!$B$346-'Assumptions (O&amp;G Upstream)'!$B$348)-'Assumptions (O&amp;G Upstream)'!$B$343*R3338-R3337-R3445+R3393),0)</f>
        <v>0</v>
      </c>
      <c r="S3499" s="147">
        <f>IF(S3497*(1-'Assumptions (O&amp;G Upstream)'!$B$347-'Assumptions (O&amp;G Upstream)'!$B$346-'Assumptions (O&amp;G Upstream)'!$B$348)-'Assumptions (O&amp;G Upstream)'!$B$343*S3338-S3337-S3445+S3393&gt;0,'Assumptions (O&amp;G Upstream)'!R$345*(S3497*(1-'Assumptions (O&amp;G Upstream)'!$B$347-'Assumptions (O&amp;G Upstream)'!$B$346-'Assumptions (O&amp;G Upstream)'!$B$348)-'Assumptions (O&amp;G Upstream)'!$B$343*S3338-S3337-S3445+S3393),0)</f>
        <v>0</v>
      </c>
      <c r="T3499" s="147">
        <f>IF(T3497*(1-'Assumptions (O&amp;G Upstream)'!$B$347-'Assumptions (O&amp;G Upstream)'!$B$346-'Assumptions (O&amp;G Upstream)'!$B$348)-'Assumptions (O&amp;G Upstream)'!$B$343*T3338-T3337-T3445+T3393&gt;0,'Assumptions (O&amp;G Upstream)'!S$345*(T3497*(1-'Assumptions (O&amp;G Upstream)'!$B$347-'Assumptions (O&amp;G Upstream)'!$B$346-'Assumptions (O&amp;G Upstream)'!$B$348)-'Assumptions (O&amp;G Upstream)'!$B$343*T3338-T3337-T3445+T3393),0)</f>
        <v>0</v>
      </c>
      <c r="U3499" s="147">
        <f>IF(U3497*(1-'Assumptions (O&amp;G Upstream)'!$B$347-'Assumptions (O&amp;G Upstream)'!$B$346-'Assumptions (O&amp;G Upstream)'!$B$348)-'Assumptions (O&amp;G Upstream)'!$B$343*U3338-U3337-U3445+U3393&gt;0,'Assumptions (O&amp;G Upstream)'!T$345*(U3497*(1-'Assumptions (O&amp;G Upstream)'!$B$347-'Assumptions (O&amp;G Upstream)'!$B$346-'Assumptions (O&amp;G Upstream)'!$B$348)-'Assumptions (O&amp;G Upstream)'!$B$343*U3338-U3337-U3445+U3393),0)</f>
        <v>0</v>
      </c>
      <c r="V3499" s="147">
        <f>IF(V3497*(1-'Assumptions (O&amp;G Upstream)'!$B$347-'Assumptions (O&amp;G Upstream)'!$B$346-'Assumptions (O&amp;G Upstream)'!$B$348)-'Assumptions (O&amp;G Upstream)'!$B$343*V3338-V3337-V3445+V3393&gt;0,'Assumptions (O&amp;G Upstream)'!U$345*(V3497*(1-'Assumptions (O&amp;G Upstream)'!$B$347-'Assumptions (O&amp;G Upstream)'!$B$346-'Assumptions (O&amp;G Upstream)'!$B$348)-'Assumptions (O&amp;G Upstream)'!$B$343*V3338-V3337-V3445+V3393),0)</f>
        <v>0</v>
      </c>
      <c r="W3499" s="147">
        <f>IF(W3497*(1-'Assumptions (O&amp;G Upstream)'!$B$347-'Assumptions (O&amp;G Upstream)'!$B$346-'Assumptions (O&amp;G Upstream)'!$B$348)-'Assumptions (O&amp;G Upstream)'!$B$343*W3338-W3337-W3445+W3393&gt;0,'Assumptions (O&amp;G Upstream)'!V$345*(W3497*(1-'Assumptions (O&amp;G Upstream)'!$B$347-'Assumptions (O&amp;G Upstream)'!$B$346-'Assumptions (O&amp;G Upstream)'!$B$348)-'Assumptions (O&amp;G Upstream)'!$B$343*W3338-W3337-W3445+W3393),0)</f>
        <v>0</v>
      </c>
      <c r="X3499" s="147">
        <f>IF(X3497*(1-'Assumptions (O&amp;G Upstream)'!$B$347-'Assumptions (O&amp;G Upstream)'!$B$346-'Assumptions (O&amp;G Upstream)'!$B$348)-'Assumptions (O&amp;G Upstream)'!$B$343*X3338-X3337-X3445+X3393&gt;0,'Assumptions (O&amp;G Upstream)'!W$345*(X3497*(1-'Assumptions (O&amp;G Upstream)'!$B$347-'Assumptions (O&amp;G Upstream)'!$B$346-'Assumptions (O&amp;G Upstream)'!$B$348)-'Assumptions (O&amp;G Upstream)'!$B$343*X3338-X3337-X3445+X3393),0)</f>
        <v>0</v>
      </c>
      <c r="Y3499" s="147">
        <f>IF(Y3497*(1-'Assumptions (O&amp;G Upstream)'!$B$347-'Assumptions (O&amp;G Upstream)'!$B$346-'Assumptions (O&amp;G Upstream)'!$B$348)-'Assumptions (O&amp;G Upstream)'!$B$343*Y3338-Y3337-Y3445+Y3393&gt;0,'Assumptions (O&amp;G Upstream)'!X$345*(Y3497*(1-'Assumptions (O&amp;G Upstream)'!$B$347-'Assumptions (O&amp;G Upstream)'!$B$346-'Assumptions (O&amp;G Upstream)'!$B$348)-'Assumptions (O&amp;G Upstream)'!$B$343*Y3338-Y3337-Y3445+Y3393),0)</f>
        <v>0</v>
      </c>
      <c r="Z3499" s="147">
        <f>IF(Z3497*(1-'Assumptions (O&amp;G Upstream)'!$B$347-'Assumptions (O&amp;G Upstream)'!$B$346-'Assumptions (O&amp;G Upstream)'!$B$348)-'Assumptions (O&amp;G Upstream)'!$B$343*Z3338-Z3337-Z3445+Z3393&gt;0,'Assumptions (O&amp;G Upstream)'!Y$345*(Z3497*(1-'Assumptions (O&amp;G Upstream)'!$B$347-'Assumptions (O&amp;G Upstream)'!$B$346-'Assumptions (O&amp;G Upstream)'!$B$348)-'Assumptions (O&amp;G Upstream)'!$B$343*Z3338-Z3337-Z3445+Z3393),0)</f>
        <v>0</v>
      </c>
      <c r="AA3499" s="147">
        <f>IF(AA3497*(1-'Assumptions (O&amp;G Upstream)'!$B$347-'Assumptions (O&amp;G Upstream)'!$B$346-'Assumptions (O&amp;G Upstream)'!$B$348)-'Assumptions (O&amp;G Upstream)'!$B$343*AA3338-AA3337-AA3445+AA3393&gt;0,'Assumptions (O&amp;G Upstream)'!Z$345*(AA3497*(1-'Assumptions (O&amp;G Upstream)'!$B$347-'Assumptions (O&amp;G Upstream)'!$B$346-'Assumptions (O&amp;G Upstream)'!$B$348)-'Assumptions (O&amp;G Upstream)'!$B$343*AA3338-AA3337-AA3445+AA3393),0)</f>
        <v>0</v>
      </c>
      <c r="AB3499" s="147">
        <f>IF(AB3497*(1-'Assumptions (O&amp;G Upstream)'!$B$347-'Assumptions (O&amp;G Upstream)'!$B$346-'Assumptions (O&amp;G Upstream)'!$B$348)-'Assumptions (O&amp;G Upstream)'!$B$343*AB3338-AB3337-AB3445+AB3393&gt;0,'Assumptions (O&amp;G Upstream)'!AA$345*(AB3497*(1-'Assumptions (O&amp;G Upstream)'!$B$347-'Assumptions (O&amp;G Upstream)'!$B$346-'Assumptions (O&amp;G Upstream)'!$B$348)-'Assumptions (O&amp;G Upstream)'!$B$343*AB3338-AB3337-AB3445+AB3393),0)</f>
        <v>0</v>
      </c>
      <c r="AC3499" s="147">
        <f>IF(AC3497*(1-'Assumptions (O&amp;G Upstream)'!$B$347-'Assumptions (O&amp;G Upstream)'!$B$346-'Assumptions (O&amp;G Upstream)'!$B$348)-'Assumptions (O&amp;G Upstream)'!$B$343*AC3338-AC3337-AC3445+AC3393&gt;0,'Assumptions (O&amp;G Upstream)'!AB$345*(AC3497*(1-'Assumptions (O&amp;G Upstream)'!$B$347-'Assumptions (O&amp;G Upstream)'!$B$346-'Assumptions (O&amp;G Upstream)'!$B$348)-'Assumptions (O&amp;G Upstream)'!$B$343*AC3338-AC3337-AC3445+AC3393),0)</f>
        <v>0</v>
      </c>
      <c r="AD3499" s="147">
        <f>IF(AD3497*(1-'Assumptions (O&amp;G Upstream)'!$B$347-'Assumptions (O&amp;G Upstream)'!$B$346-'Assumptions (O&amp;G Upstream)'!$B$348)-'Assumptions (O&amp;G Upstream)'!$B$343*AD3338-AD3337-AD3445+AD3393&gt;0,'Assumptions (O&amp;G Upstream)'!AC$345*(AD3497*(1-'Assumptions (O&amp;G Upstream)'!$B$347-'Assumptions (O&amp;G Upstream)'!$B$346-'Assumptions (O&amp;G Upstream)'!$B$348)-'Assumptions (O&amp;G Upstream)'!$B$343*AD3338-AD3337-AD3445+AD3393),0)</f>
        <v>0</v>
      </c>
      <c r="AE3499" s="147">
        <f>IF(AE3497*(1-'Assumptions (O&amp;G Upstream)'!$B$347-'Assumptions (O&amp;G Upstream)'!$B$346-'Assumptions (O&amp;G Upstream)'!$B$348)-'Assumptions (O&amp;G Upstream)'!$B$343*AE3338-AE3337-AE3445+AE3393&gt;0,'Assumptions (O&amp;G Upstream)'!AD$345*(AE3497*(1-'Assumptions (O&amp;G Upstream)'!$B$347-'Assumptions (O&amp;G Upstream)'!$B$346-'Assumptions (O&amp;G Upstream)'!$B$348)-'Assumptions (O&amp;G Upstream)'!$B$343*AE3338-AE3337-AE3445+AE3393),0)</f>
        <v>1.0066107478172288</v>
      </c>
      <c r="AF3499" s="147">
        <f>IF(AF3497*(1-'Assumptions (O&amp;G Upstream)'!$B$347-'Assumptions (O&amp;G Upstream)'!$B$346-'Assumptions (O&amp;G Upstream)'!$B$348)-'Assumptions (O&amp;G Upstream)'!$B$343*AF3338-AF3337-AF3445+AF3393&gt;0,'Assumptions (O&amp;G Upstream)'!AE$345*(AF3497*(1-'Assumptions (O&amp;G Upstream)'!$B$347-'Assumptions (O&amp;G Upstream)'!$B$346-'Assumptions (O&amp;G Upstream)'!$B$348)-'Assumptions (O&amp;G Upstream)'!$B$343*AF3338-AF3337-AF3445+AF3393),0)</f>
        <v>3.3532381328486118</v>
      </c>
      <c r="AG3499" s="147">
        <f>IF(AG3497*(1-'Assumptions (O&amp;G Upstream)'!$B$347-'Assumptions (O&amp;G Upstream)'!$B$346-'Assumptions (O&amp;G Upstream)'!$B$348)-'Assumptions (O&amp;G Upstream)'!$B$343*AG3338-AG3337-AG3445+AG3393&gt;0,'Assumptions (O&amp;G Upstream)'!AF$345*(AG3497*(1-'Assumptions (O&amp;G Upstream)'!$B$347-'Assumptions (O&amp;G Upstream)'!$B$346-'Assumptions (O&amp;G Upstream)'!$B$348)-'Assumptions (O&amp;G Upstream)'!$B$343*AG3338-AG3337-AG3445+AG3393),0)</f>
        <v>5.6366021068423189</v>
      </c>
      <c r="AH3499" s="147">
        <f>IF(AH3497*(1-'Assumptions (O&amp;G Upstream)'!$B$347-'Assumptions (O&amp;G Upstream)'!$B$346-'Assumptions (O&amp;G Upstream)'!$B$348)-'Assumptions (O&amp;G Upstream)'!$B$343*AH3338-AH3337-AH3445+AH3393&gt;0,'Assumptions (O&amp;G Upstream)'!AG$345*(AH3497*(1-'Assumptions (O&amp;G Upstream)'!$B$347-'Assumptions (O&amp;G Upstream)'!$B$346-'Assumptions (O&amp;G Upstream)'!$B$348)-'Assumptions (O&amp;G Upstream)'!$B$343*AH3338-AH3337-AH3445+AH3393),0)</f>
        <v>8.6633882689510049</v>
      </c>
      <c r="AI3499" s="147">
        <f>IF(AI3497*(1-'Assumptions (O&amp;G Upstream)'!$B$347-'Assumptions (O&amp;G Upstream)'!$B$346-'Assumptions (O&amp;G Upstream)'!$B$348)-'Assumptions (O&amp;G Upstream)'!$B$343*AI3338-AI3337-AI3445+AI3393&gt;0,'Assumptions (O&amp;G Upstream)'!AH$345*(AI3497*(1-'Assumptions (O&amp;G Upstream)'!$B$347-'Assumptions (O&amp;G Upstream)'!$B$346-'Assumptions (O&amp;G Upstream)'!$B$348)-'Assumptions (O&amp;G Upstream)'!$B$343*AI3338-AI3337-AI3445+AI3393),0)</f>
        <v>12.029138088447063</v>
      </c>
      <c r="AJ3499" s="147">
        <f>IF(AJ3497*(1-'Assumptions (O&amp;G Upstream)'!$B$347-'Assumptions (O&amp;G Upstream)'!$B$346-'Assumptions (O&amp;G Upstream)'!$B$348)-'Assumptions (O&amp;G Upstream)'!$B$343*AJ3338-AJ3337-AJ3445+AJ3393&gt;0,'Assumptions (O&amp;G Upstream)'!AI$345*(AJ3497*(1-'Assumptions (O&amp;G Upstream)'!$B$347-'Assumptions (O&amp;G Upstream)'!$B$346-'Assumptions (O&amp;G Upstream)'!$B$348)-'Assumptions (O&amp;G Upstream)'!$B$343*AJ3338-AJ3337-AJ3445+AJ3393),0)</f>
        <v>16.624434612191902</v>
      </c>
      <c r="AK3499" s="147">
        <f>IF(AK3497*(1-'Assumptions (O&amp;G Upstream)'!$B$347-'Assumptions (O&amp;G Upstream)'!$B$346-'Assumptions (O&amp;G Upstream)'!$B$348)-'Assumptions (O&amp;G Upstream)'!$B$343*AK3338-AK3337-AK3445+AK3393&gt;0,'Assumptions (O&amp;G Upstream)'!AJ$345*(AK3497*(1-'Assumptions (O&amp;G Upstream)'!$B$347-'Assumptions (O&amp;G Upstream)'!$B$346-'Assumptions (O&amp;G Upstream)'!$B$348)-'Assumptions (O&amp;G Upstream)'!$B$343*AK3338-AK3337-AK3445+AK3393),0)</f>
        <v>18.945316448240774</v>
      </c>
      <c r="AL3499" s="147">
        <f>IF(AL3497*(1-'Assumptions (O&amp;G Upstream)'!$B$347-'Assumptions (O&amp;G Upstream)'!$B$346-'Assumptions (O&amp;G Upstream)'!$B$348)-'Assumptions (O&amp;G Upstream)'!$B$343*AL3338-AL3337-AL3445+AL3393&gt;0,'Assumptions (O&amp;G Upstream)'!AK$345*(AL3497*(1-'Assumptions (O&amp;G Upstream)'!$B$347-'Assumptions (O&amp;G Upstream)'!$B$346-'Assumptions (O&amp;G Upstream)'!$B$348)-'Assumptions (O&amp;G Upstream)'!$B$343*AL3338-AL3337-AL3445+AL3393),0)</f>
        <v>22.177875867735253</v>
      </c>
      <c r="AM3499" s="147">
        <f>IF(AM3497*(1-'Assumptions (O&amp;G Upstream)'!$B$347-'Assumptions (O&amp;G Upstream)'!$B$346-'Assumptions (O&amp;G Upstream)'!$B$348)-'Assumptions (O&amp;G Upstream)'!$B$343*AM3338-AM3337-AM3445+AM3393&gt;0,'Assumptions (O&amp;G Upstream)'!AL$345*(AM3497*(1-'Assumptions (O&amp;G Upstream)'!$B$347-'Assumptions (O&amp;G Upstream)'!$B$346-'Assumptions (O&amp;G Upstream)'!$B$348)-'Assumptions (O&amp;G Upstream)'!$B$343*AM3338-AM3337-AM3445+AM3393),0)</f>
        <v>26.827954687089925</v>
      </c>
      <c r="AN3499" s="147">
        <f>IF(AN3497*(1-'Assumptions (O&amp;G Upstream)'!$B$347-'Assumptions (O&amp;G Upstream)'!$B$346-'Assumptions (O&amp;G Upstream)'!$B$348)-'Assumptions (O&amp;G Upstream)'!$B$343*AN3338-AN3337-AN3445+AN3393&gt;0,'Assumptions (O&amp;G Upstream)'!AM$345*(AN3497*(1-'Assumptions (O&amp;G Upstream)'!$B$347-'Assumptions (O&amp;G Upstream)'!$B$346-'Assumptions (O&amp;G Upstream)'!$B$348)-'Assumptions (O&amp;G Upstream)'!$B$343*AN3338-AN3337-AN3445+AN3393),0)</f>
        <v>28.50541412784235</v>
      </c>
      <c r="AO3499" s="147">
        <f>IF(AO3497*(1-'Assumptions (O&amp;G Upstream)'!$B$347-'Assumptions (O&amp;G Upstream)'!$B$346-'Assumptions (O&amp;G Upstream)'!$B$348)-'Assumptions (O&amp;G Upstream)'!$B$343*AO3338-AO3337-AO3445+AO3393&gt;0,'Assumptions (O&amp;G Upstream)'!AN$345*(AO3497*(1-'Assumptions (O&amp;G Upstream)'!$B$347-'Assumptions (O&amp;G Upstream)'!$B$346-'Assumptions (O&amp;G Upstream)'!$B$348)-'Assumptions (O&amp;G Upstream)'!$B$343*AO3338-AO3337-AO3445+AO3393),0)</f>
        <v>32.371394995223845</v>
      </c>
      <c r="AP3499" s="147">
        <f>IF(AP3497*(1-'Assumptions (O&amp;G Upstream)'!$B$347-'Assumptions (O&amp;G Upstream)'!$B$346-'Assumptions (O&amp;G Upstream)'!$B$348)-'Assumptions (O&amp;G Upstream)'!$B$343*AP3338-AP3337-AP3445+AP3393&gt;0,'Assumptions (O&amp;G Upstream)'!AO$345*(AP3497*(1-'Assumptions (O&amp;G Upstream)'!$B$347-'Assumptions (O&amp;G Upstream)'!$B$346-'Assumptions (O&amp;G Upstream)'!$B$348)-'Assumptions (O&amp;G Upstream)'!$B$343*AP3338-AP3337-AP3445+AP3393),0)</f>
        <v>35.805569592597664</v>
      </c>
      <c r="AQ3499" s="147">
        <f>IF(AQ3497*(1-'Assumptions (O&amp;G Upstream)'!$B$347-'Assumptions (O&amp;G Upstream)'!$B$346-'Assumptions (O&amp;G Upstream)'!$B$348)-'Assumptions (O&amp;G Upstream)'!$B$343*AQ3338-AQ3337-AQ3445+AQ3393&gt;0,'Assumptions (O&amp;G Upstream)'!AP$345*(AQ3497*(1-'Assumptions (O&amp;G Upstream)'!$B$347-'Assumptions (O&amp;G Upstream)'!$B$346-'Assumptions (O&amp;G Upstream)'!$B$348)-'Assumptions (O&amp;G Upstream)'!$B$343*AQ3338-AQ3337-AQ3445+AQ3393),0)</f>
        <v>40.61912837358895</v>
      </c>
      <c r="AR3499" s="147">
        <f>IF(AR3497*(1-'Assumptions (O&amp;G Upstream)'!$B$347-'Assumptions (O&amp;G Upstream)'!$B$346-'Assumptions (O&amp;G Upstream)'!$B$348)-'Assumptions (O&amp;G Upstream)'!$B$343*AR3338-AR3337-AR3445+AR3393&gt;0,'Assumptions (O&amp;G Upstream)'!AQ$345*(AR3497*(1-'Assumptions (O&amp;G Upstream)'!$B$347-'Assumptions (O&amp;G Upstream)'!$B$346-'Assumptions (O&amp;G Upstream)'!$B$348)-'Assumptions (O&amp;G Upstream)'!$B$343*AR3338-AR3337-AR3445+AR3393),0)</f>
        <v>42.941268197524394</v>
      </c>
      <c r="AS3499" s="147">
        <f>IF(AS3497*(1-'Assumptions (O&amp;G Upstream)'!$B$347-'Assumptions (O&amp;G Upstream)'!$B$346-'Assumptions (O&amp;G Upstream)'!$B$348)-'Assumptions (O&amp;G Upstream)'!$B$343*AS3338-AS3337-AS3445+AS3393&gt;0,'Assumptions (O&amp;G Upstream)'!AR$345*(AS3497*(1-'Assumptions (O&amp;G Upstream)'!$B$347-'Assumptions (O&amp;G Upstream)'!$B$346-'Assumptions (O&amp;G Upstream)'!$B$348)-'Assumptions (O&amp;G Upstream)'!$B$343*AS3338-AS3337-AS3445+AS3393),0)</f>
        <v>46.316567936090337</v>
      </c>
      <c r="AT3499" s="147">
        <f>IF(AT3497*(1-'Assumptions (O&amp;G Upstream)'!$B$347-'Assumptions (O&amp;G Upstream)'!$B$346-'Assumptions (O&amp;G Upstream)'!$B$348)-'Assumptions (O&amp;G Upstream)'!$B$343*AT3338-AT3337-AT3445+AT3393&gt;0,'Assumptions (O&amp;G Upstream)'!AS$345*(AT3497*(1-'Assumptions (O&amp;G Upstream)'!$B$347-'Assumptions (O&amp;G Upstream)'!$B$346-'Assumptions (O&amp;G Upstream)'!$B$348)-'Assumptions (O&amp;G Upstream)'!$B$343*AT3338-AT3337-AT3445+AT3393),0)</f>
        <v>47.76949987891782</v>
      </c>
      <c r="AU3499" s="147">
        <f>IF(AU3497*(1-'Assumptions (O&amp;G Upstream)'!$B$347-'Assumptions (O&amp;G Upstream)'!$B$346-'Assumptions (O&amp;G Upstream)'!$B$348)-'Assumptions (O&amp;G Upstream)'!$B$343*AU3338-AU3337-AU3445+AU3393&gt;0,'Assumptions (O&amp;G Upstream)'!AT$345*(AU3497*(1-'Assumptions (O&amp;G Upstream)'!$B$347-'Assumptions (O&amp;G Upstream)'!$B$346-'Assumptions (O&amp;G Upstream)'!$B$348)-'Assumptions (O&amp;G Upstream)'!$B$343*AU3338-AU3337-AU3445+AU3393),0)</f>
        <v>50.561804268618985</v>
      </c>
      <c r="AV3499" s="147">
        <f>IF(AV3497*(1-'Assumptions (O&amp;G Upstream)'!$B$347-'Assumptions (O&amp;G Upstream)'!$B$346-'Assumptions (O&amp;G Upstream)'!$B$348)-'Assumptions (O&amp;G Upstream)'!$B$343*AV3338-AV3337-AV3445+AV3393&gt;0,'Assumptions (O&amp;G Upstream)'!AU$345*(AV3497*(1-'Assumptions (O&amp;G Upstream)'!$B$347-'Assumptions (O&amp;G Upstream)'!$B$346-'Assumptions (O&amp;G Upstream)'!$B$348)-'Assumptions (O&amp;G Upstream)'!$B$343*AV3338-AV3337-AV3445+AV3393),0)</f>
        <v>52.894018429008341</v>
      </c>
      <c r="AW3499" s="147">
        <f>IF(AW3497*(1-'Assumptions (O&amp;G Upstream)'!$B$347-'Assumptions (O&amp;G Upstream)'!$B$346-'Assumptions (O&amp;G Upstream)'!$B$348)-'Assumptions (O&amp;G Upstream)'!$B$343*AW3338-AW3337-AW3445+AW3393&gt;0,'Assumptions (O&amp;G Upstream)'!AV$345*(AW3497*(1-'Assumptions (O&amp;G Upstream)'!$B$347-'Assumptions (O&amp;G Upstream)'!$B$346-'Assumptions (O&amp;G Upstream)'!$B$348)-'Assumptions (O&amp;G Upstream)'!$B$343*AW3338-AW3337-AW3445+AW3393),0)</f>
        <v>55.291859623766079</v>
      </c>
      <c r="AX3499" s="147">
        <f>IF(AX3497*(1-'Assumptions (O&amp;G Upstream)'!$B$347-'Assumptions (O&amp;G Upstream)'!$B$346-'Assumptions (O&amp;G Upstream)'!$B$348)-'Assumptions (O&amp;G Upstream)'!$B$343*AX3338-AX3337-AX3445+AX3393&gt;0,'Assumptions (O&amp;G Upstream)'!AW$345*(AX3497*(1-'Assumptions (O&amp;G Upstream)'!$B$347-'Assumptions (O&amp;G Upstream)'!$B$346-'Assumptions (O&amp;G Upstream)'!$B$348)-'Assumptions (O&amp;G Upstream)'!$B$343*AX3338-AX3337-AX3445+AX3393),0)</f>
        <v>57.852625935184555</v>
      </c>
      <c r="AY3499" s="147">
        <f>IF(AY3497*(1-'Assumptions (O&amp;G Upstream)'!$B$347-'Assumptions (O&amp;G Upstream)'!$B$346-'Assumptions (O&amp;G Upstream)'!$B$348)-'Assumptions (O&amp;G Upstream)'!$B$343*AY3338-AY3337-AY3445+AY3393&gt;0,'Assumptions (O&amp;G Upstream)'!AX$345*(AY3497*(1-'Assumptions (O&amp;G Upstream)'!$B$347-'Assumptions (O&amp;G Upstream)'!$B$346-'Assumptions (O&amp;G Upstream)'!$B$348)-'Assumptions (O&amp;G Upstream)'!$B$343*AY3338-AY3337-AY3445+AY3393),0)</f>
        <v>61.238277213457657</v>
      </c>
      <c r="AZ3499" s="147">
        <f>IF(AZ3497*(1-'Assumptions (O&amp;G Upstream)'!$B$347-'Assumptions (O&amp;G Upstream)'!$B$346-'Assumptions (O&amp;G Upstream)'!$B$348)-'Assumptions (O&amp;G Upstream)'!$B$343*AZ3338-AZ3337-AZ3445+AZ3393&gt;0,'Assumptions (O&amp;G Upstream)'!AY$345*(AZ3497*(1-'Assumptions (O&amp;G Upstream)'!$B$347-'Assumptions (O&amp;G Upstream)'!$B$346-'Assumptions (O&amp;G Upstream)'!$B$348)-'Assumptions (O&amp;G Upstream)'!$B$343*AZ3338-AZ3337-AZ3445+AZ3393),0)</f>
        <v>63.204815725989945</v>
      </c>
      <c r="BA3499" s="147">
        <f>IF(BA3497*(1-'Assumptions (O&amp;G Upstream)'!$B$347-'Assumptions (O&amp;G Upstream)'!$B$346-'Assumptions (O&amp;G Upstream)'!$B$348)-'Assumptions (O&amp;G Upstream)'!$B$343*BA3338-BA3337-BA3445+BA3393&gt;0,'Assumptions (O&amp;G Upstream)'!AZ$345*(BA3497*(1-'Assumptions (O&amp;G Upstream)'!$B$347-'Assumptions (O&amp;G Upstream)'!$B$346-'Assumptions (O&amp;G Upstream)'!$B$348)-'Assumptions (O&amp;G Upstream)'!$B$343*BA3338-BA3337-BA3445+BA3393),0)</f>
        <v>66.11591661881792</v>
      </c>
    </row>
    <row r="3500" spans="1:73" ht="15.75" customHeight="1">
      <c r="A3500" s="472" t="s">
        <v>893</v>
      </c>
      <c r="B3500" s="99" t="s">
        <v>201</v>
      </c>
      <c r="C3500" s="147">
        <f>C3497*'Assumptions (O&amp;G Upstream)'!$B$346</f>
        <v>8.2490647194224564</v>
      </c>
      <c r="D3500" s="147">
        <f>D3497*'Assumptions (O&amp;G Upstream)'!$B$346</f>
        <v>7.3785700021185523</v>
      </c>
      <c r="E3500" s="147">
        <f>E3497*'Assumptions (O&amp;G Upstream)'!$B$346</f>
        <v>6.6177021757285388</v>
      </c>
      <c r="F3500" s="147">
        <f>F3497*'Assumptions (O&amp;G Upstream)'!$B$346</f>
        <v>9.3240629784671309</v>
      </c>
      <c r="G3500" s="147">
        <f>G3497*'Assumptions (O&amp;G Upstream)'!$B$346</f>
        <v>10.706887664137577</v>
      </c>
      <c r="H3500" s="147">
        <f>H3497*'Assumptions (O&amp;G Upstream)'!$B$346</f>
        <v>14.668819416210084</v>
      </c>
      <c r="I3500" s="147">
        <f>I3497*'Assumptions (O&amp;G Upstream)'!$B$346</f>
        <v>13.783454080141695</v>
      </c>
      <c r="J3500" s="147">
        <f>J3497*'Assumptions (O&amp;G Upstream)'!$B$346</f>
        <v>15.105352010191579</v>
      </c>
      <c r="K3500" s="147">
        <f>K3497*'Assumptions (O&amp;G Upstream)'!$B$346</f>
        <v>20.082325178804773</v>
      </c>
      <c r="L3500" s="147">
        <f>L3497*'Assumptions (O&amp;G Upstream)'!$B$346</f>
        <v>11.378318312242124</v>
      </c>
      <c r="M3500" s="147">
        <f>M3497*'Assumptions (O&amp;G Upstream)'!$B$346</f>
        <v>14.2787014095</v>
      </c>
      <c r="N3500" s="147">
        <f>N3497*'Assumptions (O&amp;G Upstream)'!$B$346</f>
        <v>16.591941123260376</v>
      </c>
      <c r="O3500" s="147">
        <f>O3497*'Assumptions (O&amp;G Upstream)'!$B$346</f>
        <v>16.436453833436701</v>
      </c>
      <c r="P3500" s="147">
        <f>P3497*'Assumptions (O&amp;G Upstream)'!$B$346</f>
        <v>19.736769532795577</v>
      </c>
      <c r="Q3500" s="147">
        <f>Q3497*'Assumptions (O&amp;G Upstream)'!$B$346</f>
        <v>22.736211321967101</v>
      </c>
      <c r="R3500" s="147">
        <f>R3497*'Assumptions (O&amp;G Upstream)'!$B$346</f>
        <v>13.128884605259675</v>
      </c>
      <c r="S3500" s="147">
        <f>S3497*'Assumptions (O&amp;G Upstream)'!$B$346</f>
        <v>11.576286870288376</v>
      </c>
      <c r="T3500" s="147">
        <f>T3497*'Assumptions (O&amp;G Upstream)'!$B$346</f>
        <v>14.578362729152126</v>
      </c>
      <c r="U3500" s="147">
        <f>U3497*'Assumptions (O&amp;G Upstream)'!$B$346</f>
        <v>20.237373269199999</v>
      </c>
      <c r="V3500" s="147">
        <f>V3497*'Assumptions (O&amp;G Upstream)'!$B$346</f>
        <v>23.209480297231025</v>
      </c>
      <c r="W3500" s="147">
        <f>W3497*'Assumptions (O&amp;G Upstream)'!$B$346</f>
        <v>26.344438803837598</v>
      </c>
      <c r="X3500" s="147">
        <f>X3497*'Assumptions (O&amp;G Upstream)'!$B$346</f>
        <v>28.366313183378697</v>
      </c>
      <c r="Y3500" s="147">
        <f>Y3497*'Assumptions (O&amp;G Upstream)'!$B$346</f>
        <v>29.449925644022233</v>
      </c>
      <c r="Z3500" s="147">
        <f>Z3497*'Assumptions (O&amp;G Upstream)'!$B$346</f>
        <v>31.062605230609975</v>
      </c>
      <c r="AA3500" s="147">
        <f>AA3497*'Assumptions (O&amp;G Upstream)'!$B$346</f>
        <v>33.60272595085047</v>
      </c>
      <c r="AB3500" s="147">
        <f>AB3497*'Assumptions (O&amp;G Upstream)'!$B$346</f>
        <v>36.241596344099818</v>
      </c>
      <c r="AC3500" s="147">
        <f>AC3497*'Assumptions (O&amp;G Upstream)'!$B$346</f>
        <v>38.836303833146765</v>
      </c>
      <c r="AD3500" s="147">
        <f>AD3497*'Assumptions (O&amp;G Upstream)'!$B$346</f>
        <v>41.06816326205103</v>
      </c>
      <c r="AE3500" s="147">
        <f>AE3497*'Assumptions (O&amp;G Upstream)'!$B$346</f>
        <v>42.806939688447756</v>
      </c>
      <c r="AF3500" s="147">
        <f>AF3497*'Assumptions (O&amp;G Upstream)'!$B$346</f>
        <v>44.632700623826288</v>
      </c>
      <c r="AG3500" s="147">
        <f>AG3497*'Assumptions (O&amp;G Upstream)'!$B$346</f>
        <v>46.379206017239824</v>
      </c>
      <c r="AH3500" s="147">
        <f>AH3497*'Assumptions (O&amp;G Upstream)'!$B$346</f>
        <v>48.381639013809441</v>
      </c>
      <c r="AI3500" s="147">
        <f>AI3497*'Assumptions (O&amp;G Upstream)'!$B$346</f>
        <v>50.323067979717045</v>
      </c>
      <c r="AJ3500" s="147">
        <f>AJ3497*'Assumptions (O&amp;G Upstream)'!$B$346</f>
        <v>52.757123898369059</v>
      </c>
      <c r="AK3500" s="147">
        <f>AK3497*'Assumptions (O&amp;G Upstream)'!$B$346</f>
        <v>54.283221645444634</v>
      </c>
      <c r="AL3500" s="147">
        <f>AL3497*'Assumptions (O&amp;G Upstream)'!$B$346</f>
        <v>56.097835558927116</v>
      </c>
      <c r="AM3500" s="147">
        <f>AM3497*'Assumptions (O&amp;G Upstream)'!$B$346</f>
        <v>58.383392348981118</v>
      </c>
      <c r="AN3500" s="147">
        <f>AN3497*'Assumptions (O&amp;G Upstream)'!$B$346</f>
        <v>59.433567702271262</v>
      </c>
      <c r="AO3500" s="147">
        <f>AO3497*'Assumptions (O&amp;G Upstream)'!$B$346</f>
        <v>61.341513399223146</v>
      </c>
      <c r="AP3500" s="147">
        <f>AP3497*'Assumptions (O&amp;G Upstream)'!$B$346</f>
        <v>63.092406763939259</v>
      </c>
      <c r="AQ3500" s="147">
        <f>AQ3497*'Assumptions (O&amp;G Upstream)'!$B$346</f>
        <v>65.382690676854097</v>
      </c>
      <c r="AR3500" s="147">
        <f>AR3497*'Assumptions (O&amp;G Upstream)'!$B$346</f>
        <v>66.867711485642573</v>
      </c>
      <c r="AS3500" s="147">
        <f>AS3497*'Assumptions (O&amp;G Upstream)'!$B$346</f>
        <v>68.776802128953236</v>
      </c>
      <c r="AT3500" s="147">
        <f>AT3497*'Assumptions (O&amp;G Upstream)'!$B$346</f>
        <v>69.934995074335276</v>
      </c>
      <c r="AU3500" s="147">
        <f>AU3497*'Assumptions (O&amp;G Upstream)'!$B$346</f>
        <v>71.560763341791457</v>
      </c>
      <c r="AV3500" s="147">
        <f>AV3497*'Assumptions (O&amp;G Upstream)'!$B$346</f>
        <v>72.994338345448639</v>
      </c>
      <c r="AW3500" s="147">
        <f>AW3497*'Assumptions (O&amp;G Upstream)'!$B$346</f>
        <v>74.456854316027446</v>
      </c>
      <c r="AX3500" s="147">
        <f>AX3497*'Assumptions (O&amp;G Upstream)'!$B$346</f>
        <v>76.000287541489314</v>
      </c>
      <c r="AY3500" s="147">
        <f>AY3497*'Assumptions (O&amp;G Upstream)'!$B$346</f>
        <v>77.825693238128665</v>
      </c>
      <c r="AZ3500" s="147">
        <f>AZ3497*'Assumptions (O&amp;G Upstream)'!$B$346</f>
        <v>79.094642455126106</v>
      </c>
      <c r="BA3500" s="147">
        <f>BA3497*'Assumptions (O&amp;G Upstream)'!$B$346</f>
        <v>80.715389062473434</v>
      </c>
    </row>
    <row r="3501" spans="1:73" ht="15.75" customHeight="1">
      <c r="A3501" s="472" t="s">
        <v>894</v>
      </c>
      <c r="B3501" s="99" t="s">
        <v>201</v>
      </c>
      <c r="C3501" s="147">
        <f>C3497*'Assumptions (O&amp;G Upstream)'!$B$347</f>
        <v>32.996258877689826</v>
      </c>
      <c r="D3501" s="147">
        <f>D3497*'Assumptions (O&amp;G Upstream)'!$B$347</f>
        <v>29.514280008474209</v>
      </c>
      <c r="E3501" s="147">
        <f>E3497*'Assumptions (O&amp;G Upstream)'!$B$347</f>
        <v>26.470808702914155</v>
      </c>
      <c r="F3501" s="147">
        <f>F3497*'Assumptions (O&amp;G Upstream)'!$B$347</f>
        <v>37.296251913868524</v>
      </c>
      <c r="G3501" s="147">
        <f>G3497*'Assumptions (O&amp;G Upstream)'!$B$347</f>
        <v>42.827550656550308</v>
      </c>
      <c r="H3501" s="147">
        <f>H3497*'Assumptions (O&amp;G Upstream)'!$B$347</f>
        <v>58.675277664840337</v>
      </c>
      <c r="I3501" s="147">
        <f>I3497*'Assumptions (O&amp;G Upstream)'!$B$347</f>
        <v>55.13381632056678</v>
      </c>
      <c r="J3501" s="147">
        <f>J3497*'Assumptions (O&amp;G Upstream)'!$B$347</f>
        <v>60.421408040766316</v>
      </c>
      <c r="K3501" s="147">
        <f>K3497*'Assumptions (O&amp;G Upstream)'!$B$347</f>
        <v>80.329300715219091</v>
      </c>
      <c r="L3501" s="147">
        <f>L3497*'Assumptions (O&amp;G Upstream)'!$B$347</f>
        <v>45.513273248968495</v>
      </c>
      <c r="M3501" s="147">
        <f>M3497*'Assumptions (O&amp;G Upstream)'!$B$347</f>
        <v>57.114805638</v>
      </c>
      <c r="N3501" s="147">
        <f>N3497*'Assumptions (O&amp;G Upstream)'!$B$347</f>
        <v>66.367764493041506</v>
      </c>
      <c r="O3501" s="147">
        <f>O3497*'Assumptions (O&amp;G Upstream)'!$B$347</f>
        <v>65.745815333746805</v>
      </c>
      <c r="P3501" s="147">
        <f>P3497*'Assumptions (O&amp;G Upstream)'!$B$347</f>
        <v>78.947078131182309</v>
      </c>
      <c r="Q3501" s="147">
        <f>Q3497*'Assumptions (O&amp;G Upstream)'!$B$347</f>
        <v>90.944845287868404</v>
      </c>
      <c r="R3501" s="147">
        <f>R3497*'Assumptions (O&amp;G Upstream)'!$B$347</f>
        <v>52.515538421038698</v>
      </c>
      <c r="S3501" s="147">
        <f>S3497*'Assumptions (O&amp;G Upstream)'!$B$347</f>
        <v>46.305147481153504</v>
      </c>
      <c r="T3501" s="147">
        <f>T3497*'Assumptions (O&amp;G Upstream)'!$B$347</f>
        <v>58.313450916608502</v>
      </c>
      <c r="U3501" s="147">
        <f>U3497*'Assumptions (O&amp;G Upstream)'!$B$347</f>
        <v>80.949493076799996</v>
      </c>
      <c r="V3501" s="147">
        <f>V3497*'Assumptions (O&amp;G Upstream)'!$B$347</f>
        <v>92.837921188924099</v>
      </c>
      <c r="W3501" s="147">
        <f>W3497*'Assumptions (O&amp;G Upstream)'!$B$347</f>
        <v>105.37775521535039</v>
      </c>
      <c r="X3501" s="147">
        <f>X3497*'Assumptions (O&amp;G Upstream)'!$B$347</f>
        <v>113.46525273351479</v>
      </c>
      <c r="Y3501" s="147">
        <f>Y3497*'Assumptions (O&amp;G Upstream)'!$B$347</f>
        <v>117.79970257608893</v>
      </c>
      <c r="Z3501" s="147">
        <f>Z3497*'Assumptions (O&amp;G Upstream)'!$B$347</f>
        <v>124.2504209224399</v>
      </c>
      <c r="AA3501" s="147">
        <f>AA3497*'Assumptions (O&amp;G Upstream)'!$B$347</f>
        <v>134.41090380340188</v>
      </c>
      <c r="AB3501" s="147">
        <f>AB3497*'Assumptions (O&amp;G Upstream)'!$B$347</f>
        <v>144.96638537639927</v>
      </c>
      <c r="AC3501" s="147">
        <f>AC3497*'Assumptions (O&amp;G Upstream)'!$B$347</f>
        <v>155.34521533258706</v>
      </c>
      <c r="AD3501" s="147">
        <f>AD3497*'Assumptions (O&amp;G Upstream)'!$B$347</f>
        <v>164.27265304820412</v>
      </c>
      <c r="AE3501" s="147">
        <f>AE3497*'Assumptions (O&amp;G Upstream)'!$B$347</f>
        <v>171.22775875379102</v>
      </c>
      <c r="AF3501" s="147">
        <f>AF3497*'Assumptions (O&amp;G Upstream)'!$B$347</f>
        <v>178.53080249530515</v>
      </c>
      <c r="AG3501" s="147">
        <f>AG3497*'Assumptions (O&amp;G Upstream)'!$B$347</f>
        <v>185.51682406895929</v>
      </c>
      <c r="AH3501" s="147">
        <f>AH3497*'Assumptions (O&amp;G Upstream)'!$B$347</f>
        <v>193.52655605523776</v>
      </c>
      <c r="AI3501" s="147">
        <f>AI3497*'Assumptions (O&amp;G Upstream)'!$B$347</f>
        <v>201.29227191886818</v>
      </c>
      <c r="AJ3501" s="147">
        <f>AJ3497*'Assumptions (O&amp;G Upstream)'!$B$347</f>
        <v>211.02849559347624</v>
      </c>
      <c r="AK3501" s="147">
        <f>AK3497*'Assumptions (O&amp;G Upstream)'!$B$347</f>
        <v>217.13288658177854</v>
      </c>
      <c r="AL3501" s="147">
        <f>AL3497*'Assumptions (O&amp;G Upstream)'!$B$347</f>
        <v>224.39134223570846</v>
      </c>
      <c r="AM3501" s="147">
        <f>AM3497*'Assumptions (O&amp;G Upstream)'!$B$347</f>
        <v>233.53356939592447</v>
      </c>
      <c r="AN3501" s="147">
        <f>AN3497*'Assumptions (O&amp;G Upstream)'!$B$347</f>
        <v>237.73427080908505</v>
      </c>
      <c r="AO3501" s="147">
        <f>AO3497*'Assumptions (O&amp;G Upstream)'!$B$347</f>
        <v>245.36605359689258</v>
      </c>
      <c r="AP3501" s="147">
        <f>AP3497*'Assumptions (O&amp;G Upstream)'!$B$347</f>
        <v>252.36962705575704</v>
      </c>
      <c r="AQ3501" s="147">
        <f>AQ3497*'Assumptions (O&amp;G Upstream)'!$B$347</f>
        <v>261.53076270741639</v>
      </c>
      <c r="AR3501" s="147">
        <f>AR3497*'Assumptions (O&amp;G Upstream)'!$B$347</f>
        <v>267.47084594257029</v>
      </c>
      <c r="AS3501" s="147">
        <f>AS3497*'Assumptions (O&amp;G Upstream)'!$B$347</f>
        <v>275.10720851581294</v>
      </c>
      <c r="AT3501" s="147">
        <f>AT3497*'Assumptions (O&amp;G Upstream)'!$B$347</f>
        <v>279.73998029734111</v>
      </c>
      <c r="AU3501" s="147">
        <f>AU3497*'Assumptions (O&amp;G Upstream)'!$B$347</f>
        <v>286.24305336716583</v>
      </c>
      <c r="AV3501" s="147">
        <f>AV3497*'Assumptions (O&amp;G Upstream)'!$B$347</f>
        <v>291.97735338179456</v>
      </c>
      <c r="AW3501" s="147">
        <f>AW3497*'Assumptions (O&amp;G Upstream)'!$B$347</f>
        <v>297.82741726410978</v>
      </c>
      <c r="AX3501" s="147">
        <f>AX3497*'Assumptions (O&amp;G Upstream)'!$B$347</f>
        <v>304.00115016595726</v>
      </c>
      <c r="AY3501" s="147">
        <f>AY3497*'Assumptions (O&amp;G Upstream)'!$B$347</f>
        <v>311.30277295251466</v>
      </c>
      <c r="AZ3501" s="147">
        <f>AZ3497*'Assumptions (O&amp;G Upstream)'!$B$347</f>
        <v>316.37856982050442</v>
      </c>
      <c r="BA3501" s="147">
        <f>BA3497*'Assumptions (O&amp;G Upstream)'!$B$347</f>
        <v>322.86155624989374</v>
      </c>
    </row>
    <row r="3502" spans="1:73" ht="15.75" customHeight="1">
      <c r="A3502" s="99"/>
      <c r="B3502" s="99"/>
      <c r="C3502" s="147"/>
      <c r="D3502" s="147"/>
      <c r="E3502" s="147"/>
      <c r="F3502" s="147"/>
      <c r="G3502" s="147"/>
      <c r="H3502" s="147"/>
      <c r="I3502" s="147"/>
      <c r="J3502" s="147"/>
      <c r="K3502" s="147"/>
      <c r="L3502" s="147"/>
      <c r="M3502" s="147"/>
      <c r="N3502" s="147"/>
      <c r="O3502" s="147"/>
      <c r="P3502" s="147"/>
      <c r="Q3502" s="147"/>
      <c r="R3502" s="147"/>
      <c r="S3502" s="147"/>
      <c r="T3502" s="147"/>
      <c r="U3502" s="147"/>
      <c r="V3502" s="147"/>
      <c r="W3502" s="147"/>
      <c r="X3502" s="147"/>
      <c r="Y3502" s="147"/>
      <c r="Z3502" s="147"/>
      <c r="AA3502" s="147"/>
      <c r="AB3502" s="147"/>
      <c r="AC3502" s="147"/>
      <c r="AD3502" s="147"/>
      <c r="AE3502" s="147"/>
      <c r="AF3502" s="147"/>
      <c r="AG3502" s="147"/>
      <c r="AH3502" s="147"/>
      <c r="AI3502" s="147"/>
      <c r="AJ3502" s="147"/>
      <c r="AK3502" s="147"/>
      <c r="AL3502" s="147"/>
      <c r="AM3502" s="147"/>
      <c r="AN3502" s="147"/>
      <c r="AO3502" s="147"/>
      <c r="AP3502" s="147"/>
      <c r="AQ3502" s="147"/>
      <c r="AR3502" s="147"/>
      <c r="AS3502" s="147"/>
      <c r="AT3502" s="147"/>
      <c r="AU3502" s="147"/>
      <c r="AV3502" s="147"/>
      <c r="AW3502" s="147"/>
      <c r="AX3502" s="147"/>
      <c r="AY3502" s="147"/>
      <c r="AZ3502" s="147"/>
      <c r="BA3502" s="147"/>
    </row>
    <row r="3503" spans="1:73" ht="15.75" customHeight="1">
      <c r="A3503" s="99"/>
      <c r="B3503" s="99"/>
    </row>
    <row r="3504" spans="1:73" ht="15.75" customHeight="1">
      <c r="A3504" s="99"/>
      <c r="B3504" s="43"/>
      <c r="C3504" s="147"/>
      <c r="D3504" s="147"/>
      <c r="E3504" s="147"/>
      <c r="F3504" s="147"/>
      <c r="G3504" s="147"/>
      <c r="H3504" s="147"/>
      <c r="I3504" s="147"/>
      <c r="J3504" s="147"/>
      <c r="K3504" s="147"/>
      <c r="L3504" s="147"/>
      <c r="M3504" s="147"/>
      <c r="N3504" s="147"/>
      <c r="O3504" s="147"/>
      <c r="P3504" s="147"/>
      <c r="Q3504" s="147"/>
      <c r="R3504" s="147"/>
      <c r="S3504" s="147"/>
      <c r="T3504" s="147"/>
      <c r="U3504" s="147"/>
      <c r="V3504" s="147"/>
      <c r="W3504" s="147"/>
      <c r="X3504" s="147"/>
      <c r="Y3504" s="147"/>
      <c r="Z3504" s="147"/>
      <c r="AA3504" s="147"/>
      <c r="AB3504" s="147"/>
      <c r="AC3504" s="147"/>
      <c r="AD3504" s="147"/>
      <c r="AE3504" s="147"/>
      <c r="AF3504" s="147"/>
      <c r="AG3504" s="147"/>
      <c r="AH3504" s="147"/>
      <c r="AI3504" s="147"/>
      <c r="AJ3504" s="147"/>
      <c r="AK3504" s="147"/>
      <c r="AL3504" s="147"/>
      <c r="AM3504" s="147"/>
      <c r="AN3504" s="147"/>
      <c r="AO3504" s="147"/>
      <c r="AP3504" s="147"/>
      <c r="AQ3504" s="147"/>
      <c r="AR3504" s="147"/>
      <c r="AS3504" s="147"/>
      <c r="AT3504" s="147"/>
      <c r="AU3504" s="147"/>
      <c r="AV3504" s="147"/>
      <c r="AW3504" s="147"/>
      <c r="AX3504" s="147"/>
      <c r="AY3504" s="147"/>
      <c r="AZ3504" s="147"/>
      <c r="BA3504" s="147"/>
    </row>
    <row r="3505" spans="1:53" ht="15.75" customHeight="1">
      <c r="A3505" s="99"/>
      <c r="B3505" s="43"/>
      <c r="C3505" s="147"/>
      <c r="D3505" s="147"/>
      <c r="E3505" s="147"/>
      <c r="F3505" s="147"/>
      <c r="G3505" s="147"/>
      <c r="H3505" s="147"/>
      <c r="I3505" s="147"/>
      <c r="J3505" s="147"/>
      <c r="K3505" s="147"/>
      <c r="L3505" s="147"/>
      <c r="M3505" s="147"/>
      <c r="N3505" s="147"/>
      <c r="O3505" s="147"/>
      <c r="P3505" s="147"/>
      <c r="Q3505" s="147"/>
      <c r="R3505" s="147"/>
      <c r="S3505" s="147"/>
      <c r="T3505" s="147"/>
      <c r="U3505" s="147"/>
      <c r="V3505" s="147"/>
      <c r="W3505" s="147"/>
      <c r="X3505" s="147"/>
      <c r="Y3505" s="147"/>
      <c r="Z3505" s="147"/>
      <c r="AA3505" s="147"/>
      <c r="AB3505" s="147"/>
      <c r="AC3505" s="147"/>
      <c r="AD3505" s="147"/>
      <c r="AE3505" s="147"/>
      <c r="AF3505" s="147"/>
      <c r="AG3505" s="147"/>
      <c r="AH3505" s="147"/>
      <c r="AI3505" s="147"/>
      <c r="AJ3505" s="147"/>
      <c r="AK3505" s="147"/>
      <c r="AL3505" s="147"/>
      <c r="AM3505" s="147"/>
      <c r="AN3505" s="147"/>
      <c r="AO3505" s="147"/>
      <c r="AP3505" s="147"/>
      <c r="AQ3505" s="147"/>
      <c r="AR3505" s="147"/>
      <c r="AS3505" s="147"/>
      <c r="AT3505" s="147"/>
      <c r="AU3505" s="147"/>
      <c r="AV3505" s="147"/>
      <c r="AW3505" s="147"/>
      <c r="AX3505" s="147"/>
      <c r="AY3505" s="147"/>
      <c r="AZ3505" s="147"/>
      <c r="BA3505" s="147"/>
    </row>
    <row r="3506" spans="1:53" ht="15.75" customHeight="1">
      <c r="A3506" s="99"/>
      <c r="B3506" s="43"/>
      <c r="C3506" s="147"/>
      <c r="D3506" s="147"/>
      <c r="E3506" s="147"/>
      <c r="F3506" s="147"/>
      <c r="G3506" s="147"/>
      <c r="H3506" s="147"/>
      <c r="I3506" s="147"/>
      <c r="J3506" s="147"/>
      <c r="K3506" s="147"/>
      <c r="L3506" s="147"/>
      <c r="M3506" s="147"/>
      <c r="N3506" s="147"/>
      <c r="O3506" s="147"/>
      <c r="P3506" s="147"/>
      <c r="Q3506" s="147"/>
      <c r="R3506" s="147"/>
      <c r="S3506" s="147"/>
      <c r="T3506" s="147"/>
      <c r="U3506" s="147"/>
      <c r="V3506" s="147"/>
      <c r="W3506" s="147"/>
      <c r="X3506" s="147"/>
      <c r="Y3506" s="147"/>
      <c r="Z3506" s="147"/>
      <c r="AA3506" s="147"/>
      <c r="AB3506" s="147"/>
      <c r="AC3506" s="147"/>
      <c r="AD3506" s="147"/>
      <c r="AE3506" s="147"/>
      <c r="AF3506" s="147"/>
      <c r="AG3506" s="147"/>
      <c r="AH3506" s="147"/>
      <c r="AI3506" s="147"/>
      <c r="AJ3506" s="147"/>
      <c r="AK3506" s="147"/>
      <c r="AL3506" s="147"/>
      <c r="AM3506" s="147"/>
      <c r="AN3506" s="147"/>
      <c r="AO3506" s="147"/>
      <c r="AP3506" s="147"/>
      <c r="AQ3506" s="147"/>
      <c r="AR3506" s="147"/>
      <c r="AS3506" s="147"/>
      <c r="AT3506" s="147"/>
      <c r="AU3506" s="147"/>
      <c r="AV3506" s="147"/>
      <c r="AW3506" s="147"/>
      <c r="AX3506" s="147"/>
      <c r="AY3506" s="147"/>
      <c r="AZ3506" s="147"/>
      <c r="BA3506" s="147"/>
    </row>
    <row r="3507" spans="1:53" ht="15.75" customHeight="1">
      <c r="A3507" s="99"/>
      <c r="B3507" s="43"/>
      <c r="C3507" s="147"/>
      <c r="D3507" s="147"/>
      <c r="E3507" s="147"/>
      <c r="F3507" s="147"/>
      <c r="G3507" s="147"/>
      <c r="H3507" s="147"/>
      <c r="I3507" s="147"/>
      <c r="J3507" s="147"/>
      <c r="K3507" s="147"/>
      <c r="L3507" s="147"/>
      <c r="M3507" s="147"/>
      <c r="N3507" s="147"/>
      <c r="O3507" s="147"/>
      <c r="P3507" s="147"/>
      <c r="Q3507" s="147"/>
      <c r="R3507" s="147"/>
      <c r="S3507" s="147"/>
      <c r="T3507" s="147"/>
      <c r="U3507" s="147"/>
      <c r="V3507" s="147"/>
      <c r="W3507" s="147"/>
      <c r="X3507" s="147"/>
      <c r="Y3507" s="147"/>
      <c r="Z3507" s="147"/>
      <c r="AA3507" s="147"/>
      <c r="AB3507" s="147"/>
      <c r="AC3507" s="147"/>
      <c r="AD3507" s="147"/>
      <c r="AE3507" s="147"/>
      <c r="AF3507" s="147"/>
      <c r="AG3507" s="147"/>
      <c r="AH3507" s="147"/>
      <c r="AI3507" s="147"/>
      <c r="AJ3507" s="147"/>
      <c r="AK3507" s="147"/>
      <c r="AL3507" s="147"/>
      <c r="AM3507" s="147"/>
      <c r="AN3507" s="147"/>
      <c r="AO3507" s="147"/>
      <c r="AP3507" s="147"/>
      <c r="AQ3507" s="147"/>
      <c r="AR3507" s="147"/>
      <c r="AS3507" s="147"/>
      <c r="AT3507" s="147"/>
      <c r="AU3507" s="147"/>
      <c r="AV3507" s="147"/>
      <c r="AW3507" s="147"/>
      <c r="AX3507" s="147"/>
      <c r="AY3507" s="147"/>
      <c r="AZ3507" s="147"/>
      <c r="BA3507" s="147"/>
    </row>
    <row r="3508" spans="1:53" ht="15.75" customHeight="1">
      <c r="A3508" s="99"/>
      <c r="B3508" s="99"/>
      <c r="C3508" s="147"/>
      <c r="D3508" s="147"/>
      <c r="E3508" s="147"/>
      <c r="F3508" s="147"/>
      <c r="G3508" s="147"/>
      <c r="H3508" s="147"/>
      <c r="I3508" s="147"/>
      <c r="J3508" s="147"/>
      <c r="K3508" s="147"/>
      <c r="L3508" s="147"/>
      <c r="M3508" s="147"/>
      <c r="N3508" s="147"/>
      <c r="O3508" s="147"/>
      <c r="P3508" s="147"/>
      <c r="Q3508" s="147"/>
      <c r="R3508" s="147"/>
      <c r="S3508" s="147"/>
      <c r="T3508" s="147"/>
      <c r="U3508" s="147"/>
      <c r="V3508" s="147"/>
      <c r="W3508" s="147"/>
      <c r="X3508" s="147"/>
      <c r="Y3508" s="147"/>
      <c r="Z3508" s="147"/>
      <c r="AA3508" s="147"/>
      <c r="AB3508" s="147"/>
      <c r="AC3508" s="147"/>
      <c r="AD3508" s="147"/>
      <c r="AE3508" s="147"/>
      <c r="AF3508" s="147"/>
      <c r="AG3508" s="147"/>
      <c r="AH3508" s="147"/>
      <c r="AI3508" s="147"/>
      <c r="AJ3508" s="147"/>
      <c r="AK3508" s="147"/>
      <c r="AL3508" s="147"/>
      <c r="AM3508" s="147"/>
      <c r="AN3508" s="147"/>
      <c r="AO3508" s="147"/>
      <c r="AP3508" s="147"/>
      <c r="AQ3508" s="147"/>
      <c r="AR3508" s="147"/>
      <c r="AS3508" s="147"/>
      <c r="AT3508" s="147"/>
      <c r="AU3508" s="147"/>
      <c r="AV3508" s="147"/>
      <c r="AW3508" s="147"/>
      <c r="AX3508" s="147"/>
      <c r="AY3508" s="147"/>
      <c r="AZ3508" s="147"/>
      <c r="BA3508" s="147"/>
    </row>
    <row r="3509" spans="1:53" ht="15.75" customHeight="1">
      <c r="A3509" s="99"/>
      <c r="B3509" s="99"/>
      <c r="C3509" s="147"/>
      <c r="D3509" s="147"/>
      <c r="E3509" s="147"/>
      <c r="F3509" s="147"/>
      <c r="G3509" s="147"/>
      <c r="H3509" s="147"/>
      <c r="I3509" s="147"/>
      <c r="J3509" s="147"/>
      <c r="K3509" s="147"/>
      <c r="L3509" s="147"/>
      <c r="M3509" s="147"/>
      <c r="N3509" s="147"/>
      <c r="O3509" s="147"/>
      <c r="P3509" s="147"/>
      <c r="Q3509" s="147"/>
      <c r="R3509" s="147"/>
      <c r="S3509" s="147"/>
      <c r="T3509" s="147"/>
      <c r="U3509" s="147"/>
      <c r="V3509" s="147"/>
      <c r="W3509" s="147"/>
      <c r="X3509" s="147"/>
      <c r="Y3509" s="147"/>
      <c r="Z3509" s="147"/>
      <c r="AA3509" s="147"/>
      <c r="AB3509" s="147"/>
      <c r="AC3509" s="147"/>
      <c r="AD3509" s="147"/>
      <c r="AE3509" s="147"/>
      <c r="AF3509" s="147"/>
      <c r="AG3509" s="147"/>
      <c r="AH3509" s="147"/>
      <c r="AI3509" s="147"/>
      <c r="AJ3509" s="147"/>
      <c r="AK3509" s="147"/>
      <c r="AL3509" s="147"/>
      <c r="AM3509" s="147"/>
      <c r="AN3509" s="147"/>
      <c r="AO3509" s="147"/>
      <c r="AP3509" s="147"/>
      <c r="AQ3509" s="147"/>
      <c r="AR3509" s="147"/>
      <c r="AS3509" s="147"/>
      <c r="AT3509" s="147"/>
      <c r="AU3509" s="147"/>
      <c r="AV3509" s="147"/>
      <c r="AW3509" s="147"/>
      <c r="AX3509" s="147"/>
      <c r="AY3509" s="147"/>
      <c r="AZ3509" s="147"/>
      <c r="BA3509" s="147"/>
    </row>
    <row r="3510" spans="1:53" ht="15.75" customHeight="1">
      <c r="A3510" s="99"/>
      <c r="B3510" s="99"/>
      <c r="C3510" s="147"/>
      <c r="D3510" s="147"/>
      <c r="E3510" s="147"/>
      <c r="F3510" s="147"/>
      <c r="G3510" s="147"/>
      <c r="H3510" s="147"/>
      <c r="I3510" s="147"/>
      <c r="J3510" s="147"/>
      <c r="K3510" s="147"/>
      <c r="L3510" s="147"/>
      <c r="M3510" s="147"/>
      <c r="N3510" s="147"/>
      <c r="O3510" s="147"/>
      <c r="P3510" s="147"/>
      <c r="Q3510" s="147"/>
      <c r="R3510" s="147"/>
      <c r="S3510" s="147"/>
      <c r="T3510" s="147"/>
      <c r="U3510" s="147"/>
      <c r="V3510" s="147"/>
      <c r="W3510" s="147"/>
      <c r="X3510" s="147"/>
      <c r="Y3510" s="147"/>
      <c r="Z3510" s="147"/>
      <c r="AA3510" s="147"/>
      <c r="AB3510" s="147"/>
      <c r="AC3510" s="147"/>
      <c r="AD3510" s="147"/>
      <c r="AE3510" s="147"/>
      <c r="AF3510" s="147"/>
      <c r="AG3510" s="147"/>
      <c r="AH3510" s="147"/>
      <c r="AI3510" s="147"/>
      <c r="AJ3510" s="147"/>
      <c r="AK3510" s="147"/>
      <c r="AL3510" s="147"/>
      <c r="AM3510" s="147"/>
      <c r="AN3510" s="147"/>
      <c r="AO3510" s="147"/>
      <c r="AP3510" s="147"/>
      <c r="AQ3510" s="147"/>
      <c r="AR3510" s="147"/>
      <c r="AS3510" s="147"/>
      <c r="AT3510" s="147"/>
      <c r="AU3510" s="147"/>
      <c r="AV3510" s="147"/>
      <c r="AW3510" s="147"/>
      <c r="AX3510" s="147"/>
      <c r="AY3510" s="147"/>
      <c r="AZ3510" s="147"/>
      <c r="BA3510" s="147"/>
    </row>
    <row r="3511" spans="1:53" ht="15.75" customHeight="1">
      <c r="A3511" s="99"/>
      <c r="B3511" s="99"/>
      <c r="C3511" s="147"/>
      <c r="D3511" s="147"/>
      <c r="E3511" s="147"/>
      <c r="F3511" s="147"/>
      <c r="G3511" s="147"/>
      <c r="H3511" s="147"/>
      <c r="I3511" s="147"/>
      <c r="J3511" s="147"/>
      <c r="K3511" s="147"/>
      <c r="L3511" s="147"/>
      <c r="M3511" s="147"/>
      <c r="N3511" s="147"/>
      <c r="O3511" s="147"/>
      <c r="P3511" s="147"/>
      <c r="Q3511" s="147"/>
      <c r="R3511" s="147"/>
      <c r="S3511" s="147"/>
      <c r="T3511" s="147"/>
      <c r="U3511" s="147"/>
      <c r="V3511" s="147"/>
      <c r="W3511" s="147"/>
      <c r="X3511" s="147"/>
      <c r="Y3511" s="147"/>
      <c r="Z3511" s="147"/>
      <c r="AA3511" s="147"/>
      <c r="AB3511" s="147"/>
      <c r="AC3511" s="147"/>
      <c r="AD3511" s="147"/>
      <c r="AE3511" s="147"/>
      <c r="AF3511" s="147"/>
      <c r="AG3511" s="147"/>
      <c r="AH3511" s="147"/>
      <c r="AI3511" s="147"/>
      <c r="AJ3511" s="147"/>
      <c r="AK3511" s="147"/>
      <c r="AL3511" s="147"/>
      <c r="AM3511" s="147"/>
      <c r="AN3511" s="147"/>
      <c r="AO3511" s="147"/>
      <c r="AP3511" s="147"/>
      <c r="AQ3511" s="147"/>
      <c r="AR3511" s="147"/>
      <c r="AS3511" s="147"/>
      <c r="AT3511" s="147"/>
      <c r="AU3511" s="147"/>
      <c r="AV3511" s="147"/>
      <c r="AW3511" s="147"/>
      <c r="AX3511" s="147"/>
      <c r="AY3511" s="147"/>
      <c r="AZ3511" s="147"/>
      <c r="BA3511" s="147"/>
    </row>
    <row r="3512" spans="1:53" ht="15.75" customHeight="1">
      <c r="A3512" s="99"/>
      <c r="B3512" s="99"/>
      <c r="C3512" s="147"/>
      <c r="D3512" s="147"/>
      <c r="E3512" s="147"/>
      <c r="F3512" s="147"/>
      <c r="G3512" s="147"/>
      <c r="H3512" s="147"/>
      <c r="I3512" s="147"/>
      <c r="J3512" s="147"/>
      <c r="K3512" s="147"/>
      <c r="L3512" s="147"/>
      <c r="M3512" s="147"/>
      <c r="N3512" s="147"/>
      <c r="O3512" s="147"/>
      <c r="P3512" s="147"/>
      <c r="Q3512" s="147"/>
      <c r="R3512" s="147"/>
      <c r="S3512" s="147"/>
      <c r="T3512" s="147"/>
      <c r="U3512" s="147"/>
      <c r="V3512" s="147"/>
      <c r="W3512" s="147"/>
      <c r="X3512" s="147"/>
      <c r="Y3512" s="147"/>
      <c r="Z3512" s="147"/>
      <c r="AA3512" s="147"/>
      <c r="AB3512" s="147"/>
      <c r="AC3512" s="147"/>
      <c r="AD3512" s="147"/>
      <c r="AE3512" s="147"/>
      <c r="AF3512" s="147"/>
      <c r="AG3512" s="147"/>
      <c r="AH3512" s="147"/>
      <c r="AI3512" s="147"/>
      <c r="AJ3512" s="147"/>
      <c r="AK3512" s="147"/>
      <c r="AL3512" s="147"/>
      <c r="AM3512" s="147"/>
      <c r="AN3512" s="147"/>
      <c r="AO3512" s="147"/>
      <c r="AP3512" s="147"/>
      <c r="AQ3512" s="147"/>
      <c r="AR3512" s="147"/>
      <c r="AS3512" s="147"/>
      <c r="AT3512" s="147"/>
      <c r="AU3512" s="147"/>
      <c r="AV3512" s="147"/>
      <c r="AW3512" s="147"/>
      <c r="AX3512" s="147"/>
      <c r="AY3512" s="147"/>
      <c r="AZ3512" s="147"/>
      <c r="BA3512" s="147"/>
    </row>
    <row r="3513" spans="1:53" ht="15.75" customHeight="1">
      <c r="A3513" s="99"/>
      <c r="B3513" s="99"/>
      <c r="C3513" s="147"/>
      <c r="D3513" s="147"/>
      <c r="E3513" s="147"/>
      <c r="F3513" s="147"/>
      <c r="G3513" s="147"/>
      <c r="H3513" s="147"/>
      <c r="I3513" s="147"/>
      <c r="J3513" s="147"/>
      <c r="K3513" s="147"/>
      <c r="L3513" s="147"/>
      <c r="M3513" s="147"/>
      <c r="N3513" s="147"/>
      <c r="O3513" s="147"/>
      <c r="P3513" s="147"/>
      <c r="Q3513" s="147"/>
      <c r="R3513" s="147"/>
      <c r="S3513" s="147"/>
      <c r="T3513" s="147"/>
      <c r="U3513" s="147"/>
      <c r="V3513" s="147"/>
      <c r="W3513" s="147"/>
      <c r="X3513" s="147"/>
      <c r="Y3513" s="147"/>
      <c r="Z3513" s="147"/>
      <c r="AA3513" s="147"/>
      <c r="AB3513" s="147"/>
      <c r="AC3513" s="147"/>
      <c r="AD3513" s="147"/>
      <c r="AE3513" s="147"/>
      <c r="AF3513" s="147"/>
      <c r="AG3513" s="147"/>
      <c r="AH3513" s="147"/>
      <c r="AI3513" s="147"/>
      <c r="AJ3513" s="147"/>
      <c r="AK3513" s="147"/>
      <c r="AL3513" s="147"/>
      <c r="AM3513" s="147"/>
      <c r="AN3513" s="147"/>
      <c r="AO3513" s="147"/>
      <c r="AP3513" s="147"/>
      <c r="AQ3513" s="147"/>
      <c r="AR3513" s="147"/>
      <c r="AS3513" s="147"/>
      <c r="AT3513" s="147"/>
      <c r="AU3513" s="147"/>
      <c r="AV3513" s="147"/>
      <c r="AW3513" s="147"/>
      <c r="AX3513" s="147"/>
      <c r="AY3513" s="147"/>
      <c r="AZ3513" s="147"/>
      <c r="BA3513" s="147"/>
    </row>
    <row r="3514" spans="1:53" ht="15.75" customHeight="1">
      <c r="A3514" s="99"/>
      <c r="B3514" s="99"/>
      <c r="C3514" s="147"/>
      <c r="D3514" s="147"/>
      <c r="E3514" s="147"/>
      <c r="F3514" s="147"/>
      <c r="G3514" s="147"/>
      <c r="H3514" s="147"/>
      <c r="I3514" s="147"/>
      <c r="J3514" s="147"/>
      <c r="K3514" s="147"/>
      <c r="L3514" s="147"/>
      <c r="M3514" s="147"/>
      <c r="N3514" s="147"/>
      <c r="O3514" s="147"/>
      <c r="P3514" s="147"/>
      <c r="Q3514" s="147"/>
      <c r="R3514" s="147"/>
      <c r="S3514" s="147"/>
      <c r="T3514" s="147"/>
      <c r="U3514" s="147"/>
      <c r="V3514" s="147"/>
      <c r="W3514" s="147"/>
      <c r="X3514" s="147"/>
      <c r="Y3514" s="147"/>
      <c r="Z3514" s="147"/>
      <c r="AA3514" s="147"/>
      <c r="AB3514" s="147"/>
      <c r="AC3514" s="147"/>
      <c r="AD3514" s="147"/>
      <c r="AE3514" s="147"/>
      <c r="AF3514" s="147"/>
      <c r="AG3514" s="147"/>
      <c r="AH3514" s="147"/>
      <c r="AI3514" s="147"/>
      <c r="AJ3514" s="147"/>
      <c r="AK3514" s="147"/>
      <c r="AL3514" s="147"/>
      <c r="AM3514" s="147"/>
      <c r="AN3514" s="147"/>
      <c r="AO3514" s="147"/>
      <c r="AP3514" s="147"/>
      <c r="AQ3514" s="147"/>
      <c r="AR3514" s="147"/>
      <c r="AS3514" s="147"/>
      <c r="AT3514" s="147"/>
      <c r="AU3514" s="147"/>
      <c r="AV3514" s="147"/>
      <c r="AW3514" s="147"/>
      <c r="AX3514" s="147"/>
      <c r="AY3514" s="147"/>
      <c r="AZ3514" s="147"/>
      <c r="BA3514" s="147"/>
    </row>
    <row r="3515" spans="1:53" ht="15.75" customHeight="1">
      <c r="A3515" s="99"/>
      <c r="B3515" s="99"/>
      <c r="C3515" s="147"/>
      <c r="D3515" s="147"/>
      <c r="E3515" s="147"/>
      <c r="F3515" s="147"/>
      <c r="G3515" s="147"/>
      <c r="H3515" s="147"/>
      <c r="I3515" s="147"/>
      <c r="J3515" s="147"/>
      <c r="K3515" s="147"/>
      <c r="L3515" s="147"/>
      <c r="M3515" s="147"/>
      <c r="N3515" s="147"/>
      <c r="O3515" s="147"/>
      <c r="P3515" s="147"/>
      <c r="Q3515" s="147"/>
      <c r="R3515" s="147"/>
      <c r="S3515" s="147"/>
      <c r="T3515" s="147"/>
      <c r="U3515" s="147"/>
      <c r="V3515" s="147"/>
      <c r="W3515" s="147"/>
      <c r="X3515" s="147"/>
      <c r="Y3515" s="147"/>
      <c r="Z3515" s="147"/>
      <c r="AA3515" s="147"/>
      <c r="AB3515" s="147"/>
      <c r="AC3515" s="147"/>
      <c r="AD3515" s="147"/>
      <c r="AE3515" s="147"/>
      <c r="AF3515" s="147"/>
      <c r="AG3515" s="147"/>
      <c r="AH3515" s="147"/>
      <c r="AI3515" s="147"/>
      <c r="AJ3515" s="147"/>
      <c r="AK3515" s="147"/>
      <c r="AL3515" s="147"/>
      <c r="AM3515" s="147"/>
      <c r="AN3515" s="147"/>
      <c r="AO3515" s="147"/>
      <c r="AP3515" s="147"/>
      <c r="AQ3515" s="147"/>
      <c r="AR3515" s="147"/>
      <c r="AS3515" s="147"/>
      <c r="AT3515" s="147"/>
      <c r="AU3515" s="147"/>
      <c r="AV3515" s="147"/>
      <c r="AW3515" s="147"/>
      <c r="AX3515" s="147"/>
      <c r="AY3515" s="147"/>
      <c r="AZ3515" s="147"/>
      <c r="BA3515" s="147"/>
    </row>
    <row r="3516" spans="1:53" ht="15.75" customHeight="1">
      <c r="A3516" s="99"/>
      <c r="B3516" s="99"/>
      <c r="C3516" s="147"/>
      <c r="D3516" s="147"/>
      <c r="E3516" s="147"/>
      <c r="F3516" s="147"/>
      <c r="G3516" s="147"/>
      <c r="H3516" s="147"/>
      <c r="I3516" s="147"/>
      <c r="J3516" s="147"/>
      <c r="K3516" s="147"/>
      <c r="L3516" s="147"/>
      <c r="M3516" s="147"/>
      <c r="N3516" s="147"/>
      <c r="O3516" s="147"/>
      <c r="P3516" s="147"/>
      <c r="Q3516" s="147"/>
      <c r="R3516" s="147"/>
      <c r="S3516" s="147"/>
      <c r="T3516" s="147"/>
      <c r="U3516" s="147"/>
      <c r="V3516" s="147"/>
      <c r="W3516" s="147"/>
      <c r="X3516" s="147"/>
      <c r="Y3516" s="147"/>
      <c r="Z3516" s="147"/>
      <c r="AA3516" s="147"/>
      <c r="AB3516" s="147"/>
      <c r="AC3516" s="147"/>
      <c r="AD3516" s="147"/>
      <c r="AE3516" s="147"/>
      <c r="AF3516" s="147"/>
      <c r="AG3516" s="147"/>
      <c r="AH3516" s="147"/>
      <c r="AI3516" s="147"/>
      <c r="AJ3516" s="147"/>
      <c r="AK3516" s="147"/>
      <c r="AL3516" s="147"/>
      <c r="AM3516" s="147"/>
      <c r="AN3516" s="147"/>
      <c r="AO3516" s="147"/>
      <c r="AP3516" s="147"/>
      <c r="AQ3516" s="147"/>
      <c r="AR3516" s="147"/>
      <c r="AS3516" s="147"/>
      <c r="AT3516" s="147"/>
      <c r="AU3516" s="147"/>
      <c r="AV3516" s="147"/>
      <c r="AW3516" s="147"/>
      <c r="AX3516" s="147"/>
      <c r="AY3516" s="147"/>
      <c r="AZ3516" s="147"/>
      <c r="BA3516" s="147"/>
    </row>
    <row r="3517" spans="1:53" ht="15.75" customHeight="1">
      <c r="A3517" s="99"/>
      <c r="B3517" s="99"/>
      <c r="C3517" s="147"/>
      <c r="D3517" s="147"/>
      <c r="E3517" s="147"/>
      <c r="F3517" s="147"/>
      <c r="G3517" s="147"/>
      <c r="H3517" s="147"/>
      <c r="I3517" s="147"/>
      <c r="J3517" s="147"/>
      <c r="K3517" s="147"/>
      <c r="L3517" s="147"/>
      <c r="M3517" s="147"/>
      <c r="N3517" s="147"/>
      <c r="O3517" s="147"/>
      <c r="P3517" s="147"/>
      <c r="Q3517" s="147"/>
      <c r="R3517" s="147"/>
      <c r="S3517" s="147"/>
      <c r="T3517" s="147"/>
      <c r="U3517" s="147"/>
      <c r="V3517" s="147"/>
      <c r="W3517" s="147"/>
      <c r="X3517" s="147"/>
      <c r="Y3517" s="147"/>
      <c r="Z3517" s="147"/>
      <c r="AA3517" s="147"/>
      <c r="AB3517" s="147"/>
      <c r="AC3517" s="147"/>
      <c r="AD3517" s="147"/>
      <c r="AE3517" s="147"/>
      <c r="AF3517" s="147"/>
      <c r="AG3517" s="147"/>
      <c r="AH3517" s="147"/>
      <c r="AI3517" s="147"/>
      <c r="AJ3517" s="147"/>
      <c r="AK3517" s="147"/>
      <c r="AL3517" s="147"/>
      <c r="AM3517" s="147"/>
      <c r="AN3517" s="147"/>
      <c r="AO3517" s="147"/>
      <c r="AP3517" s="147"/>
      <c r="AQ3517" s="147"/>
      <c r="AR3517" s="147"/>
      <c r="AS3517" s="147"/>
      <c r="AT3517" s="147"/>
      <c r="AU3517" s="147"/>
      <c r="AV3517" s="147"/>
      <c r="AW3517" s="147"/>
      <c r="AX3517" s="147"/>
      <c r="AY3517" s="147"/>
      <c r="AZ3517" s="147"/>
      <c r="BA3517" s="147"/>
    </row>
    <row r="3518" spans="1:53" ht="15.75" customHeight="1">
      <c r="A3518" s="99"/>
      <c r="B3518" s="99"/>
      <c r="C3518" s="147"/>
      <c r="D3518" s="147"/>
      <c r="E3518" s="147"/>
      <c r="F3518" s="147"/>
      <c r="G3518" s="147"/>
      <c r="H3518" s="147"/>
      <c r="I3518" s="147"/>
      <c r="J3518" s="147"/>
      <c r="K3518" s="147"/>
      <c r="L3518" s="147"/>
      <c r="M3518" s="147"/>
      <c r="N3518" s="147"/>
      <c r="O3518" s="147"/>
      <c r="P3518" s="147"/>
      <c r="Q3518" s="147"/>
      <c r="R3518" s="147"/>
      <c r="S3518" s="147"/>
      <c r="T3518" s="147"/>
      <c r="U3518" s="147"/>
      <c r="V3518" s="147"/>
      <c r="W3518" s="147"/>
      <c r="X3518" s="147"/>
      <c r="Y3518" s="147"/>
      <c r="Z3518" s="147"/>
      <c r="AA3518" s="147"/>
      <c r="AB3518" s="147"/>
      <c r="AC3518" s="147"/>
      <c r="AD3518" s="147"/>
      <c r="AE3518" s="147"/>
      <c r="AF3518" s="147"/>
      <c r="AG3518" s="147"/>
      <c r="AH3518" s="147"/>
      <c r="AI3518" s="147"/>
      <c r="AJ3518" s="147"/>
      <c r="AK3518" s="147"/>
      <c r="AL3518" s="147"/>
      <c r="AM3518" s="147"/>
      <c r="AN3518" s="147"/>
      <c r="AO3518" s="147"/>
      <c r="AP3518" s="147"/>
      <c r="AQ3518" s="147"/>
      <c r="AR3518" s="147"/>
      <c r="AS3518" s="147"/>
      <c r="AT3518" s="147"/>
      <c r="AU3518" s="147"/>
      <c r="AV3518" s="147"/>
      <c r="AW3518" s="147"/>
      <c r="AX3518" s="147"/>
      <c r="AY3518" s="147"/>
      <c r="AZ3518" s="147"/>
      <c r="BA3518" s="147"/>
    </row>
    <row r="3519" spans="1:53" ht="15.75" customHeight="1">
      <c r="A3519" s="99"/>
      <c r="B3519" s="99"/>
      <c r="C3519" s="147"/>
      <c r="D3519" s="147"/>
      <c r="E3519" s="147"/>
      <c r="F3519" s="147"/>
      <c r="G3519" s="147"/>
      <c r="H3519" s="147"/>
      <c r="I3519" s="147"/>
      <c r="J3519" s="147"/>
      <c r="K3519" s="147"/>
      <c r="L3519" s="147"/>
      <c r="M3519" s="147"/>
      <c r="N3519" s="147"/>
      <c r="O3519" s="147"/>
      <c r="P3519" s="147"/>
      <c r="Q3519" s="147"/>
      <c r="R3519" s="147"/>
      <c r="S3519" s="147"/>
      <c r="T3519" s="147"/>
      <c r="U3519" s="147"/>
      <c r="V3519" s="147"/>
      <c r="W3519" s="147"/>
      <c r="X3519" s="147"/>
      <c r="Y3519" s="147"/>
      <c r="Z3519" s="147"/>
      <c r="AA3519" s="147"/>
      <c r="AB3519" s="147"/>
      <c r="AC3519" s="147"/>
      <c r="AD3519" s="147"/>
      <c r="AE3519" s="147"/>
      <c r="AF3519" s="147"/>
      <c r="AG3519" s="147"/>
      <c r="AH3519" s="147"/>
      <c r="AI3519" s="147"/>
      <c r="AJ3519" s="147"/>
      <c r="AK3519" s="147"/>
      <c r="AL3519" s="147"/>
      <c r="AM3519" s="147"/>
      <c r="AN3519" s="147"/>
      <c r="AO3519" s="147"/>
      <c r="AP3519" s="147"/>
      <c r="AQ3519" s="147"/>
      <c r="AR3519" s="147"/>
      <c r="AS3519" s="147"/>
      <c r="AT3519" s="147"/>
      <c r="AU3519" s="147"/>
      <c r="AV3519" s="147"/>
      <c r="AW3519" s="147"/>
      <c r="AX3519" s="147"/>
      <c r="AY3519" s="147"/>
      <c r="AZ3519" s="147"/>
      <c r="BA3519" s="147"/>
    </row>
    <row r="3520" spans="1:53" ht="15.75" customHeight="1">
      <c r="A3520" s="99"/>
      <c r="B3520" s="99"/>
      <c r="C3520" s="147"/>
      <c r="D3520" s="147"/>
      <c r="E3520" s="147"/>
      <c r="F3520" s="147"/>
      <c r="G3520" s="147"/>
      <c r="H3520" s="147"/>
      <c r="I3520" s="147"/>
      <c r="J3520" s="147"/>
      <c r="K3520" s="147"/>
      <c r="L3520" s="147"/>
      <c r="M3520" s="147"/>
      <c r="N3520" s="147"/>
      <c r="O3520" s="147"/>
      <c r="P3520" s="147"/>
      <c r="Q3520" s="147"/>
      <c r="R3520" s="147"/>
      <c r="S3520" s="147"/>
      <c r="T3520" s="147"/>
      <c r="U3520" s="147"/>
      <c r="V3520" s="147"/>
      <c r="W3520" s="147"/>
      <c r="X3520" s="147"/>
      <c r="Y3520" s="147"/>
      <c r="Z3520" s="147"/>
      <c r="AA3520" s="147"/>
      <c r="AB3520" s="147"/>
      <c r="AC3520" s="147"/>
      <c r="AD3520" s="147"/>
      <c r="AE3520" s="147"/>
      <c r="AF3520" s="147"/>
      <c r="AG3520" s="147"/>
      <c r="AH3520" s="147"/>
      <c r="AI3520" s="147"/>
      <c r="AJ3520" s="147"/>
      <c r="AK3520" s="147"/>
      <c r="AL3520" s="147"/>
      <c r="AM3520" s="147"/>
      <c r="AN3520" s="147"/>
      <c r="AO3520" s="147"/>
      <c r="AP3520" s="147"/>
      <c r="AQ3520" s="147"/>
      <c r="AR3520" s="147"/>
      <c r="AS3520" s="147"/>
      <c r="AT3520" s="147"/>
      <c r="AU3520" s="147"/>
      <c r="AV3520" s="147"/>
      <c r="AW3520" s="147"/>
      <c r="AX3520" s="147"/>
      <c r="AY3520" s="147"/>
      <c r="AZ3520" s="147"/>
      <c r="BA3520" s="147"/>
    </row>
    <row r="3521" spans="1:53" ht="15.75" customHeight="1">
      <c r="A3521" s="99"/>
      <c r="B3521" s="99"/>
      <c r="C3521" s="147"/>
      <c r="D3521" s="147"/>
      <c r="E3521" s="147"/>
      <c r="F3521" s="147"/>
      <c r="G3521" s="147"/>
      <c r="H3521" s="147"/>
      <c r="I3521" s="147"/>
      <c r="J3521" s="147"/>
      <c r="K3521" s="147"/>
      <c r="L3521" s="147"/>
      <c r="M3521" s="147"/>
      <c r="N3521" s="147"/>
      <c r="O3521" s="147"/>
      <c r="P3521" s="147"/>
      <c r="Q3521" s="147"/>
      <c r="R3521" s="147"/>
      <c r="S3521" s="147"/>
      <c r="T3521" s="147"/>
      <c r="U3521" s="147"/>
      <c r="V3521" s="147"/>
      <c r="W3521" s="147"/>
      <c r="X3521" s="147"/>
      <c r="Y3521" s="147"/>
      <c r="Z3521" s="147"/>
      <c r="AA3521" s="147"/>
      <c r="AB3521" s="147"/>
      <c r="AC3521" s="147"/>
      <c r="AD3521" s="147"/>
      <c r="AE3521" s="147"/>
      <c r="AF3521" s="147"/>
      <c r="AG3521" s="147"/>
      <c r="AH3521" s="147"/>
      <c r="AI3521" s="147"/>
      <c r="AJ3521" s="147"/>
      <c r="AK3521" s="147"/>
      <c r="AL3521" s="147"/>
      <c r="AM3521" s="147"/>
      <c r="AN3521" s="147"/>
      <c r="AO3521" s="147"/>
      <c r="AP3521" s="147"/>
      <c r="AQ3521" s="147"/>
      <c r="AR3521" s="147"/>
      <c r="AS3521" s="147"/>
      <c r="AT3521" s="147"/>
      <c r="AU3521" s="147"/>
      <c r="AV3521" s="147"/>
      <c r="AW3521" s="147"/>
      <c r="AX3521" s="147"/>
      <c r="AY3521" s="147"/>
      <c r="AZ3521" s="147"/>
      <c r="BA3521" s="147"/>
    </row>
    <row r="3522" spans="1:53" ht="15.75" customHeight="1">
      <c r="A3522" s="99"/>
      <c r="B3522" s="99"/>
      <c r="C3522" s="147"/>
      <c r="D3522" s="147"/>
      <c r="E3522" s="147"/>
      <c r="F3522" s="147"/>
      <c r="G3522" s="147"/>
      <c r="H3522" s="147"/>
      <c r="I3522" s="147"/>
      <c r="J3522" s="147"/>
      <c r="K3522" s="147"/>
      <c r="L3522" s="147"/>
      <c r="M3522" s="147"/>
      <c r="N3522" s="147"/>
      <c r="O3522" s="147"/>
      <c r="P3522" s="147"/>
      <c r="Q3522" s="147"/>
      <c r="R3522" s="147"/>
      <c r="S3522" s="147"/>
      <c r="T3522" s="147"/>
      <c r="U3522" s="147"/>
      <c r="V3522" s="147"/>
      <c r="W3522" s="147"/>
      <c r="X3522" s="147"/>
      <c r="Y3522" s="147"/>
      <c r="Z3522" s="147"/>
      <c r="AA3522" s="147"/>
      <c r="AB3522" s="147"/>
      <c r="AC3522" s="147"/>
      <c r="AD3522" s="147"/>
      <c r="AE3522" s="147"/>
      <c r="AF3522" s="147"/>
      <c r="AG3522" s="147"/>
      <c r="AH3522" s="147"/>
      <c r="AI3522" s="147"/>
      <c r="AJ3522" s="147"/>
      <c r="AK3522" s="147"/>
      <c r="AL3522" s="147"/>
      <c r="AM3522" s="147"/>
      <c r="AN3522" s="147"/>
      <c r="AO3522" s="147"/>
      <c r="AP3522" s="147"/>
      <c r="AQ3522" s="147"/>
      <c r="AR3522" s="147"/>
      <c r="AS3522" s="147"/>
      <c r="AT3522" s="147"/>
      <c r="AU3522" s="147"/>
      <c r="AV3522" s="147"/>
      <c r="AW3522" s="147"/>
      <c r="AX3522" s="147"/>
      <c r="AY3522" s="147"/>
      <c r="AZ3522" s="147"/>
      <c r="BA3522" s="147"/>
    </row>
    <row r="3523" spans="1:53" ht="15.75" customHeight="1">
      <c r="A3523" s="99"/>
      <c r="B3523" s="99"/>
      <c r="C3523" s="147"/>
      <c r="D3523" s="147"/>
      <c r="E3523" s="147"/>
      <c r="F3523" s="147"/>
      <c r="G3523" s="147"/>
      <c r="H3523" s="147"/>
      <c r="I3523" s="147"/>
      <c r="J3523" s="147"/>
      <c r="K3523" s="147"/>
      <c r="L3523" s="147"/>
      <c r="M3523" s="147"/>
      <c r="N3523" s="147"/>
      <c r="O3523" s="147"/>
      <c r="P3523" s="147"/>
      <c r="Q3523" s="147"/>
      <c r="R3523" s="147"/>
      <c r="S3523" s="147"/>
      <c r="T3523" s="147"/>
      <c r="U3523" s="147"/>
      <c r="V3523" s="147"/>
      <c r="W3523" s="147"/>
      <c r="X3523" s="147"/>
      <c r="Y3523" s="147"/>
      <c r="Z3523" s="147"/>
      <c r="AA3523" s="147"/>
      <c r="AB3523" s="147"/>
      <c r="AC3523" s="147"/>
      <c r="AD3523" s="147"/>
      <c r="AE3523" s="147"/>
      <c r="AF3523" s="147"/>
      <c r="AG3523" s="147"/>
      <c r="AH3523" s="147"/>
      <c r="AI3523" s="147"/>
      <c r="AJ3523" s="147"/>
      <c r="AK3523" s="147"/>
      <c r="AL3523" s="147"/>
      <c r="AM3523" s="147"/>
      <c r="AN3523" s="147"/>
      <c r="AO3523" s="147"/>
      <c r="AP3523" s="147"/>
      <c r="AQ3523" s="147"/>
      <c r="AR3523" s="147"/>
      <c r="AS3523" s="147"/>
      <c r="AT3523" s="147"/>
      <c r="AU3523" s="147"/>
      <c r="AV3523" s="147"/>
      <c r="AW3523" s="147"/>
      <c r="AX3523" s="147"/>
      <c r="AY3523" s="147"/>
      <c r="AZ3523" s="147"/>
      <c r="BA3523" s="147"/>
    </row>
    <row r="3524" spans="1:53" ht="15.75" customHeight="1">
      <c r="A3524" s="99"/>
      <c r="B3524" s="99"/>
      <c r="C3524" s="147"/>
      <c r="D3524" s="147"/>
      <c r="E3524" s="147"/>
      <c r="F3524" s="147"/>
      <c r="G3524" s="147"/>
      <c r="H3524" s="147"/>
      <c r="I3524" s="147"/>
      <c r="J3524" s="147"/>
      <c r="K3524" s="147"/>
      <c r="L3524" s="147"/>
      <c r="M3524" s="147"/>
      <c r="N3524" s="147"/>
      <c r="O3524" s="147"/>
      <c r="P3524" s="147"/>
      <c r="Q3524" s="147"/>
      <c r="R3524" s="147"/>
      <c r="S3524" s="147"/>
      <c r="T3524" s="147"/>
      <c r="U3524" s="147"/>
      <c r="V3524" s="147"/>
      <c r="W3524" s="147"/>
      <c r="X3524" s="147"/>
      <c r="Y3524" s="147"/>
      <c r="Z3524" s="147"/>
      <c r="AA3524" s="147"/>
      <c r="AB3524" s="147"/>
      <c r="AC3524" s="147"/>
      <c r="AD3524" s="147"/>
      <c r="AE3524" s="147"/>
      <c r="AF3524" s="147"/>
      <c r="AG3524" s="147"/>
      <c r="AH3524" s="147"/>
      <c r="AI3524" s="147"/>
      <c r="AJ3524" s="147"/>
      <c r="AK3524" s="147"/>
      <c r="AL3524" s="147"/>
      <c r="AM3524" s="147"/>
      <c r="AN3524" s="147"/>
      <c r="AO3524" s="147"/>
      <c r="AP3524" s="147"/>
      <c r="AQ3524" s="147"/>
      <c r="AR3524" s="147"/>
      <c r="AS3524" s="147"/>
      <c r="AT3524" s="147"/>
      <c r="AU3524" s="147"/>
      <c r="AV3524" s="147"/>
      <c r="AW3524" s="147"/>
      <c r="AX3524" s="147"/>
      <c r="AY3524" s="147"/>
      <c r="AZ3524" s="147"/>
      <c r="BA3524" s="147"/>
    </row>
    <row r="3525" spans="1:53" ht="15.75" customHeight="1">
      <c r="A3525" s="99"/>
      <c r="B3525" s="99"/>
      <c r="C3525" s="147"/>
      <c r="D3525" s="147"/>
      <c r="E3525" s="147"/>
      <c r="F3525" s="147"/>
      <c r="G3525" s="147"/>
      <c r="H3525" s="147"/>
      <c r="I3525" s="147"/>
      <c r="J3525" s="147"/>
      <c r="K3525" s="147"/>
      <c r="L3525" s="147"/>
      <c r="M3525" s="147"/>
      <c r="N3525" s="147"/>
      <c r="O3525" s="147"/>
      <c r="P3525" s="147"/>
      <c r="Q3525" s="147"/>
      <c r="R3525" s="147"/>
      <c r="S3525" s="147"/>
      <c r="T3525" s="147"/>
      <c r="U3525" s="147"/>
      <c r="V3525" s="147"/>
      <c r="W3525" s="147"/>
      <c r="X3525" s="147"/>
      <c r="Y3525" s="147"/>
      <c r="Z3525" s="147"/>
      <c r="AA3525" s="147"/>
      <c r="AB3525" s="147"/>
      <c r="AC3525" s="147"/>
      <c r="AD3525" s="147"/>
      <c r="AE3525" s="147"/>
      <c r="AF3525" s="147"/>
      <c r="AG3525" s="147"/>
      <c r="AH3525" s="147"/>
      <c r="AI3525" s="147"/>
      <c r="AJ3525" s="147"/>
      <c r="AK3525" s="147"/>
      <c r="AL3525" s="147"/>
      <c r="AM3525" s="147"/>
      <c r="AN3525" s="147"/>
      <c r="AO3525" s="147"/>
      <c r="AP3525" s="147"/>
      <c r="AQ3525" s="147"/>
      <c r="AR3525" s="147"/>
      <c r="AS3525" s="147"/>
      <c r="AT3525" s="147"/>
      <c r="AU3525" s="147"/>
      <c r="AV3525" s="147"/>
      <c r="AW3525" s="147"/>
      <c r="AX3525" s="147"/>
      <c r="AY3525" s="147"/>
      <c r="AZ3525" s="147"/>
      <c r="BA3525" s="147"/>
    </row>
    <row r="3526" spans="1:53" ht="15.75" customHeight="1">
      <c r="A3526" s="99"/>
      <c r="B3526" s="99"/>
      <c r="C3526" s="147"/>
      <c r="D3526" s="147"/>
      <c r="E3526" s="147"/>
      <c r="F3526" s="147"/>
      <c r="G3526" s="147"/>
      <c r="H3526" s="147"/>
      <c r="I3526" s="147"/>
      <c r="J3526" s="147"/>
      <c r="K3526" s="147"/>
      <c r="L3526" s="147"/>
      <c r="M3526" s="147"/>
      <c r="N3526" s="147"/>
      <c r="O3526" s="147"/>
      <c r="P3526" s="147"/>
      <c r="Q3526" s="147"/>
      <c r="R3526" s="147"/>
      <c r="S3526" s="147"/>
      <c r="T3526" s="147"/>
      <c r="U3526" s="147"/>
      <c r="V3526" s="147"/>
      <c r="W3526" s="147"/>
      <c r="X3526" s="147"/>
      <c r="Y3526" s="147"/>
      <c r="Z3526" s="147"/>
      <c r="AA3526" s="147"/>
      <c r="AB3526" s="147"/>
      <c r="AC3526" s="147"/>
      <c r="AD3526" s="147"/>
      <c r="AE3526" s="147"/>
      <c r="AF3526" s="147"/>
      <c r="AG3526" s="147"/>
      <c r="AH3526" s="147"/>
      <c r="AI3526" s="147"/>
      <c r="AJ3526" s="147"/>
      <c r="AK3526" s="147"/>
      <c r="AL3526" s="147"/>
      <c r="AM3526" s="147"/>
      <c r="AN3526" s="147"/>
      <c r="AO3526" s="147"/>
      <c r="AP3526" s="147"/>
      <c r="AQ3526" s="147"/>
      <c r="AR3526" s="147"/>
      <c r="AS3526" s="147"/>
      <c r="AT3526" s="147"/>
      <c r="AU3526" s="147"/>
      <c r="AV3526" s="147"/>
      <c r="AW3526" s="147"/>
      <c r="AX3526" s="147"/>
      <c r="AY3526" s="147"/>
      <c r="AZ3526" s="147"/>
      <c r="BA3526" s="147"/>
    </row>
    <row r="3527" spans="1:53" ht="15.75" customHeight="1">
      <c r="A3527" s="99"/>
      <c r="B3527" s="99"/>
      <c r="C3527" s="147"/>
      <c r="D3527" s="147"/>
      <c r="E3527" s="147"/>
      <c r="F3527" s="147"/>
      <c r="G3527" s="147"/>
      <c r="H3527" s="147"/>
      <c r="I3527" s="147"/>
      <c r="J3527" s="147"/>
      <c r="K3527" s="147"/>
      <c r="L3527" s="147"/>
      <c r="M3527" s="147"/>
      <c r="N3527" s="147"/>
      <c r="O3527" s="147"/>
      <c r="P3527" s="147"/>
      <c r="Q3527" s="147"/>
      <c r="R3527" s="147"/>
      <c r="S3527" s="147"/>
      <c r="T3527" s="147"/>
      <c r="U3527" s="147"/>
      <c r="V3527" s="147"/>
      <c r="W3527" s="147"/>
      <c r="X3527" s="147"/>
      <c r="Y3527" s="147"/>
      <c r="Z3527" s="147"/>
      <c r="AA3527" s="147"/>
      <c r="AB3527" s="147"/>
      <c r="AC3527" s="147"/>
      <c r="AD3527" s="147"/>
      <c r="AE3527" s="147"/>
      <c r="AF3527" s="147"/>
      <c r="AG3527" s="147"/>
      <c r="AH3527" s="147"/>
      <c r="AI3527" s="147"/>
      <c r="AJ3527" s="147"/>
      <c r="AK3527" s="147"/>
      <c r="AL3527" s="147"/>
      <c r="AM3527" s="147"/>
      <c r="AN3527" s="147"/>
      <c r="AO3527" s="147"/>
      <c r="AP3527" s="147"/>
      <c r="AQ3527" s="147"/>
      <c r="AR3527" s="147"/>
      <c r="AS3527" s="147"/>
      <c r="AT3527" s="147"/>
      <c r="AU3527" s="147"/>
      <c r="AV3527" s="147"/>
      <c r="AW3527" s="147"/>
      <c r="AX3527" s="147"/>
      <c r="AY3527" s="147"/>
      <c r="AZ3527" s="147"/>
      <c r="BA3527" s="147"/>
    </row>
    <row r="3528" spans="1:53" ht="15.75" customHeight="1">
      <c r="A3528" s="99"/>
      <c r="B3528" s="99"/>
      <c r="C3528" s="147"/>
      <c r="D3528" s="147"/>
      <c r="E3528" s="147"/>
      <c r="F3528" s="147"/>
      <c r="G3528" s="147"/>
      <c r="H3528" s="147"/>
      <c r="I3528" s="147"/>
      <c r="J3528" s="147"/>
      <c r="K3528" s="147"/>
      <c r="L3528" s="147"/>
      <c r="M3528" s="147"/>
      <c r="N3528" s="147"/>
      <c r="O3528" s="147"/>
      <c r="P3528" s="147"/>
      <c r="Q3528" s="147"/>
      <c r="R3528" s="147"/>
      <c r="S3528" s="147"/>
      <c r="T3528" s="147"/>
      <c r="U3528" s="147"/>
      <c r="V3528" s="147"/>
      <c r="W3528" s="147"/>
      <c r="X3528" s="147"/>
      <c r="Y3528" s="147"/>
      <c r="Z3528" s="147"/>
      <c r="AA3528" s="147"/>
      <c r="AB3528" s="147"/>
      <c r="AC3528" s="147"/>
      <c r="AD3528" s="147"/>
      <c r="AE3528" s="147"/>
      <c r="AF3528" s="147"/>
      <c r="AG3528" s="147"/>
      <c r="AH3528" s="147"/>
      <c r="AI3528" s="147"/>
      <c r="AJ3528" s="147"/>
      <c r="AK3528" s="147"/>
      <c r="AL3528" s="147"/>
      <c r="AM3528" s="147"/>
      <c r="AN3528" s="147"/>
      <c r="AO3528" s="147"/>
      <c r="AP3528" s="147"/>
      <c r="AQ3528" s="147"/>
      <c r="AR3528" s="147"/>
      <c r="AS3528" s="147"/>
      <c r="AT3528" s="147"/>
      <c r="AU3528" s="147"/>
      <c r="AV3528" s="147"/>
      <c r="AW3528" s="147"/>
      <c r="AX3528" s="147"/>
      <c r="AY3528" s="147"/>
      <c r="AZ3528" s="147"/>
      <c r="BA3528" s="147"/>
    </row>
    <row r="3529" spans="1:53" ht="15.75" customHeight="1">
      <c r="A3529" s="99"/>
      <c r="B3529" s="99"/>
      <c r="C3529" s="147"/>
      <c r="D3529" s="147"/>
      <c r="E3529" s="147"/>
      <c r="F3529" s="147"/>
      <c r="G3529" s="147"/>
      <c r="H3529" s="147"/>
      <c r="I3529" s="147"/>
      <c r="J3529" s="147"/>
      <c r="K3529" s="147"/>
      <c r="L3529" s="147"/>
      <c r="M3529" s="147"/>
      <c r="N3529" s="147"/>
      <c r="O3529" s="147"/>
      <c r="P3529" s="147"/>
      <c r="Q3529" s="147"/>
      <c r="R3529" s="147"/>
      <c r="S3529" s="147"/>
      <c r="T3529" s="147"/>
      <c r="U3529" s="147"/>
      <c r="V3529" s="147"/>
      <c r="W3529" s="147"/>
      <c r="X3529" s="147"/>
      <c r="Y3529" s="147"/>
      <c r="Z3529" s="147"/>
      <c r="AA3529" s="147"/>
      <c r="AB3529" s="147"/>
      <c r="AC3529" s="147"/>
      <c r="AD3529" s="147"/>
      <c r="AE3529" s="147"/>
      <c r="AF3529" s="147"/>
      <c r="AG3529" s="147"/>
      <c r="AH3529" s="147"/>
      <c r="AI3529" s="147"/>
      <c r="AJ3529" s="147"/>
      <c r="AK3529" s="147"/>
      <c r="AL3529" s="147"/>
      <c r="AM3529" s="147"/>
      <c r="AN3529" s="147"/>
      <c r="AO3529" s="147"/>
      <c r="AP3529" s="147"/>
      <c r="AQ3529" s="147"/>
      <c r="AR3529" s="147"/>
      <c r="AS3529" s="147"/>
      <c r="AT3529" s="147"/>
      <c r="AU3529" s="147"/>
      <c r="AV3529" s="147"/>
      <c r="AW3529" s="147"/>
      <c r="AX3529" s="147"/>
      <c r="AY3529" s="147"/>
      <c r="AZ3529" s="147"/>
      <c r="BA3529" s="147"/>
    </row>
    <row r="3530" spans="1:53" ht="15.75" customHeight="1">
      <c r="A3530" s="99"/>
      <c r="B3530" s="99"/>
      <c r="C3530" s="147"/>
      <c r="D3530" s="147"/>
      <c r="E3530" s="147"/>
      <c r="F3530" s="147"/>
      <c r="G3530" s="147"/>
      <c r="H3530" s="147"/>
      <c r="I3530" s="147"/>
      <c r="J3530" s="147"/>
      <c r="K3530" s="147"/>
      <c r="L3530" s="147"/>
      <c r="M3530" s="147"/>
      <c r="N3530" s="147"/>
      <c r="O3530" s="147"/>
      <c r="P3530" s="147"/>
      <c r="Q3530" s="147"/>
      <c r="R3530" s="147"/>
      <c r="S3530" s="147"/>
      <c r="T3530" s="147"/>
      <c r="U3530" s="147"/>
      <c r="V3530" s="147"/>
      <c r="W3530" s="147"/>
      <c r="X3530" s="147"/>
      <c r="Y3530" s="147"/>
      <c r="Z3530" s="147"/>
      <c r="AA3530" s="147"/>
      <c r="AB3530" s="147"/>
      <c r="AC3530" s="147"/>
      <c r="AD3530" s="147"/>
      <c r="AE3530" s="147"/>
      <c r="AF3530" s="147"/>
      <c r="AG3530" s="147"/>
      <c r="AH3530" s="147"/>
      <c r="AI3530" s="147"/>
      <c r="AJ3530" s="147"/>
      <c r="AK3530" s="147"/>
      <c r="AL3530" s="147"/>
      <c r="AM3530" s="147"/>
      <c r="AN3530" s="147"/>
      <c r="AO3530" s="147"/>
      <c r="AP3530" s="147"/>
      <c r="AQ3530" s="147"/>
      <c r="AR3530" s="147"/>
      <c r="AS3530" s="147"/>
      <c r="AT3530" s="147"/>
      <c r="AU3530" s="147"/>
      <c r="AV3530" s="147"/>
      <c r="AW3530" s="147"/>
      <c r="AX3530" s="147"/>
      <c r="AY3530" s="147"/>
      <c r="AZ3530" s="147"/>
      <c r="BA3530" s="147"/>
    </row>
    <row r="3531" spans="1:53" ht="15.75" customHeight="1">
      <c r="A3531" s="99"/>
      <c r="B3531" s="99"/>
      <c r="C3531" s="147"/>
      <c r="D3531" s="147"/>
      <c r="E3531" s="147"/>
      <c r="F3531" s="147"/>
      <c r="G3531" s="147"/>
      <c r="H3531" s="147"/>
      <c r="I3531" s="147"/>
      <c r="J3531" s="147"/>
      <c r="K3531" s="147"/>
      <c r="L3531" s="147"/>
      <c r="M3531" s="147"/>
      <c r="N3531" s="147"/>
      <c r="O3531" s="147"/>
      <c r="P3531" s="147"/>
      <c r="Q3531" s="147"/>
      <c r="R3531" s="147"/>
      <c r="S3531" s="147"/>
      <c r="T3531" s="147"/>
      <c r="U3531" s="147"/>
      <c r="V3531" s="147"/>
      <c r="W3531" s="147"/>
      <c r="X3531" s="147"/>
      <c r="Y3531" s="147"/>
      <c r="Z3531" s="147"/>
      <c r="AA3531" s="147"/>
      <c r="AB3531" s="147"/>
      <c r="AC3531" s="147"/>
      <c r="AD3531" s="147"/>
      <c r="AE3531" s="147"/>
      <c r="AF3531" s="147"/>
      <c r="AG3531" s="147"/>
      <c r="AH3531" s="147"/>
      <c r="AI3531" s="147"/>
      <c r="AJ3531" s="147"/>
      <c r="AK3531" s="147"/>
      <c r="AL3531" s="147"/>
      <c r="AM3531" s="147"/>
      <c r="AN3531" s="147"/>
      <c r="AO3531" s="147"/>
      <c r="AP3531" s="147"/>
      <c r="AQ3531" s="147"/>
      <c r="AR3531" s="147"/>
      <c r="AS3531" s="147"/>
      <c r="AT3531" s="147"/>
      <c r="AU3531" s="147"/>
      <c r="AV3531" s="147"/>
      <c r="AW3531" s="147"/>
      <c r="AX3531" s="147"/>
      <c r="AY3531" s="147"/>
      <c r="AZ3531" s="147"/>
      <c r="BA3531" s="147"/>
    </row>
    <row r="3532" spans="1:53" ht="15.75" customHeight="1">
      <c r="A3532" s="99"/>
      <c r="B3532" s="99"/>
      <c r="C3532" s="147"/>
      <c r="D3532" s="147"/>
      <c r="E3532" s="147"/>
      <c r="F3532" s="147"/>
      <c r="G3532" s="147"/>
      <c r="H3532" s="147"/>
      <c r="I3532" s="147"/>
      <c r="J3532" s="147"/>
      <c r="K3532" s="147"/>
      <c r="L3532" s="147"/>
      <c r="M3532" s="147"/>
      <c r="N3532" s="147"/>
      <c r="O3532" s="147"/>
      <c r="P3532" s="147"/>
      <c r="Q3532" s="147"/>
      <c r="R3532" s="147"/>
      <c r="S3532" s="147"/>
      <c r="T3532" s="147"/>
      <c r="U3532" s="147"/>
      <c r="V3532" s="147"/>
      <c r="W3532" s="147"/>
      <c r="X3532" s="147"/>
      <c r="Y3532" s="147"/>
      <c r="Z3532" s="147"/>
      <c r="AA3532" s="147"/>
      <c r="AB3532" s="147"/>
      <c r="AC3532" s="147"/>
      <c r="AD3532" s="147"/>
      <c r="AE3532" s="147"/>
      <c r="AF3532" s="147"/>
      <c r="AG3532" s="147"/>
      <c r="AH3532" s="147"/>
      <c r="AI3532" s="147"/>
      <c r="AJ3532" s="147"/>
      <c r="AK3532" s="147"/>
      <c r="AL3532" s="147"/>
      <c r="AM3532" s="147"/>
      <c r="AN3532" s="147"/>
      <c r="AO3532" s="147"/>
      <c r="AP3532" s="147"/>
      <c r="AQ3532" s="147"/>
      <c r="AR3532" s="147"/>
      <c r="AS3532" s="147"/>
      <c r="AT3532" s="147"/>
      <c r="AU3532" s="147"/>
      <c r="AV3532" s="147"/>
      <c r="AW3532" s="147"/>
      <c r="AX3532" s="147"/>
      <c r="AY3532" s="147"/>
      <c r="AZ3532" s="147"/>
      <c r="BA3532" s="147"/>
    </row>
    <row r="3533" spans="1:53" ht="15.75" customHeight="1">
      <c r="A3533" s="99"/>
      <c r="B3533" s="99"/>
      <c r="C3533" s="147"/>
      <c r="D3533" s="147"/>
      <c r="E3533" s="147"/>
      <c r="F3533" s="147"/>
      <c r="G3533" s="147"/>
      <c r="H3533" s="147"/>
      <c r="I3533" s="147"/>
      <c r="J3533" s="147"/>
      <c r="K3533" s="147"/>
      <c r="L3533" s="147"/>
      <c r="M3533" s="147"/>
      <c r="N3533" s="147"/>
      <c r="O3533" s="147"/>
      <c r="P3533" s="147"/>
      <c r="Q3533" s="147"/>
      <c r="R3533" s="147"/>
      <c r="S3533" s="147"/>
      <c r="T3533" s="147"/>
      <c r="U3533" s="147"/>
      <c r="V3533" s="147"/>
      <c r="W3533" s="147"/>
      <c r="X3533" s="147"/>
      <c r="Y3533" s="147"/>
      <c r="Z3533" s="147"/>
      <c r="AA3533" s="147"/>
      <c r="AB3533" s="147"/>
      <c r="AC3533" s="147"/>
      <c r="AD3533" s="147"/>
      <c r="AE3533" s="147"/>
      <c r="AF3533" s="147"/>
      <c r="AG3533" s="147"/>
      <c r="AH3533" s="147"/>
      <c r="AI3533" s="147"/>
      <c r="AJ3533" s="147"/>
      <c r="AK3533" s="147"/>
      <c r="AL3533" s="147"/>
      <c r="AM3533" s="147"/>
      <c r="AN3533" s="147"/>
      <c r="AO3533" s="147"/>
      <c r="AP3533" s="147"/>
      <c r="AQ3533" s="147"/>
      <c r="AR3533" s="147"/>
      <c r="AS3533" s="147"/>
      <c r="AT3533" s="147"/>
      <c r="AU3533" s="147"/>
      <c r="AV3533" s="147"/>
      <c r="AW3533" s="147"/>
      <c r="AX3533" s="147"/>
      <c r="AY3533" s="147"/>
      <c r="AZ3533" s="147"/>
      <c r="BA3533" s="147"/>
    </row>
    <row r="3534" spans="1:53" ht="15.75" customHeight="1">
      <c r="A3534" s="99"/>
      <c r="B3534" s="99"/>
      <c r="C3534" s="147"/>
      <c r="D3534" s="147"/>
      <c r="E3534" s="147"/>
      <c r="F3534" s="147"/>
      <c r="G3534" s="147"/>
      <c r="H3534" s="147"/>
      <c r="I3534" s="147"/>
      <c r="J3534" s="147"/>
      <c r="K3534" s="147"/>
      <c r="L3534" s="147"/>
      <c r="M3534" s="147"/>
      <c r="N3534" s="147"/>
      <c r="O3534" s="147"/>
      <c r="P3534" s="147"/>
      <c r="Q3534" s="147"/>
      <c r="R3534" s="147"/>
      <c r="S3534" s="147"/>
      <c r="T3534" s="147"/>
      <c r="U3534" s="147"/>
      <c r="V3534" s="147"/>
      <c r="W3534" s="147"/>
      <c r="X3534" s="147"/>
      <c r="Y3534" s="147"/>
      <c r="Z3534" s="147"/>
      <c r="AA3534" s="147"/>
      <c r="AB3534" s="147"/>
      <c r="AC3534" s="147"/>
      <c r="AD3534" s="147"/>
      <c r="AE3534" s="147"/>
      <c r="AF3534" s="147"/>
      <c r="AG3534" s="147"/>
      <c r="AH3534" s="147"/>
      <c r="AI3534" s="147"/>
      <c r="AJ3534" s="147"/>
      <c r="AK3534" s="147"/>
      <c r="AL3534" s="147"/>
      <c r="AM3534" s="147"/>
      <c r="AN3534" s="147"/>
      <c r="AO3534" s="147"/>
      <c r="AP3534" s="147"/>
      <c r="AQ3534" s="147"/>
      <c r="AR3534" s="147"/>
      <c r="AS3534" s="147"/>
      <c r="AT3534" s="147"/>
      <c r="AU3534" s="147"/>
      <c r="AV3534" s="147"/>
      <c r="AW3534" s="147"/>
      <c r="AX3534" s="147"/>
      <c r="AY3534" s="147"/>
      <c r="AZ3534" s="147"/>
      <c r="BA3534" s="147"/>
    </row>
    <row r="3535" spans="1:53" ht="15.75" customHeight="1">
      <c r="A3535" s="99"/>
      <c r="B3535" s="99"/>
      <c r="C3535" s="147"/>
      <c r="D3535" s="147"/>
      <c r="E3535" s="147"/>
      <c r="F3535" s="147"/>
      <c r="G3535" s="147"/>
      <c r="H3535" s="147"/>
      <c r="I3535" s="147"/>
      <c r="J3535" s="147"/>
      <c r="K3535" s="147"/>
      <c r="L3535" s="147"/>
      <c r="M3535" s="147"/>
      <c r="N3535" s="147"/>
      <c r="O3535" s="147"/>
      <c r="P3535" s="147"/>
      <c r="Q3535" s="147"/>
      <c r="R3535" s="147"/>
      <c r="S3535" s="147"/>
      <c r="T3535" s="147"/>
      <c r="U3535" s="147"/>
      <c r="V3535" s="147"/>
      <c r="W3535" s="147"/>
      <c r="X3535" s="147"/>
      <c r="Y3535" s="147"/>
      <c r="Z3535" s="147"/>
      <c r="AA3535" s="147"/>
      <c r="AB3535" s="147"/>
      <c r="AC3535" s="147"/>
      <c r="AD3535" s="147"/>
      <c r="AE3535" s="147"/>
      <c r="AF3535" s="147"/>
      <c r="AG3535" s="147"/>
      <c r="AH3535" s="147"/>
      <c r="AI3535" s="147"/>
      <c r="AJ3535" s="147"/>
      <c r="AK3535" s="147"/>
      <c r="AL3535" s="147"/>
      <c r="AM3535" s="147"/>
      <c r="AN3535" s="147"/>
      <c r="AO3535" s="147"/>
      <c r="AP3535" s="147"/>
      <c r="AQ3535" s="147"/>
      <c r="AR3535" s="147"/>
      <c r="AS3535" s="147"/>
      <c r="AT3535" s="147"/>
      <c r="AU3535" s="147"/>
      <c r="AV3535" s="147"/>
      <c r="AW3535" s="147"/>
      <c r="AX3535" s="147"/>
      <c r="AY3535" s="147"/>
      <c r="AZ3535" s="147"/>
      <c r="BA3535" s="147"/>
    </row>
    <row r="3536" spans="1:53" ht="15.75" customHeight="1">
      <c r="A3536" s="99"/>
      <c r="B3536" s="99"/>
      <c r="C3536" s="147"/>
      <c r="D3536" s="147"/>
      <c r="E3536" s="147"/>
      <c r="F3536" s="147"/>
      <c r="G3536" s="147"/>
      <c r="H3536" s="147"/>
      <c r="I3536" s="147"/>
      <c r="J3536" s="147"/>
      <c r="K3536" s="147"/>
      <c r="L3536" s="147"/>
      <c r="M3536" s="147"/>
      <c r="N3536" s="147"/>
      <c r="O3536" s="147"/>
      <c r="P3536" s="147"/>
      <c r="Q3536" s="147"/>
      <c r="R3536" s="147"/>
      <c r="S3536" s="147"/>
      <c r="T3536" s="147"/>
      <c r="U3536" s="147"/>
      <c r="V3536" s="147"/>
      <c r="W3536" s="147"/>
      <c r="X3536" s="147"/>
      <c r="Y3536" s="147"/>
      <c r="Z3536" s="147"/>
      <c r="AA3536" s="147"/>
      <c r="AB3536" s="147"/>
      <c r="AC3536" s="147"/>
      <c r="AD3536" s="147"/>
      <c r="AE3536" s="147"/>
      <c r="AF3536" s="147"/>
      <c r="AG3536" s="147"/>
      <c r="AH3536" s="147"/>
      <c r="AI3536" s="147"/>
      <c r="AJ3536" s="147"/>
      <c r="AK3536" s="147"/>
      <c r="AL3536" s="147"/>
      <c r="AM3536" s="147"/>
      <c r="AN3536" s="147"/>
      <c r="AO3536" s="147"/>
      <c r="AP3536" s="147"/>
      <c r="AQ3536" s="147"/>
      <c r="AR3536" s="147"/>
      <c r="AS3536" s="147"/>
      <c r="AT3536" s="147"/>
      <c r="AU3536" s="147"/>
      <c r="AV3536" s="147"/>
      <c r="AW3536" s="147"/>
      <c r="AX3536" s="147"/>
      <c r="AY3536" s="147"/>
      <c r="AZ3536" s="147"/>
      <c r="BA3536" s="147"/>
    </row>
    <row r="3537" spans="1:53" ht="15.75" customHeight="1">
      <c r="A3537" s="99"/>
      <c r="B3537" s="99"/>
      <c r="C3537" s="147"/>
      <c r="D3537" s="147"/>
      <c r="E3537" s="147"/>
      <c r="F3537" s="147"/>
      <c r="G3537" s="147"/>
      <c r="H3537" s="147"/>
      <c r="I3537" s="147"/>
      <c r="J3537" s="147"/>
      <c r="K3537" s="147"/>
      <c r="L3537" s="147"/>
      <c r="M3537" s="147"/>
      <c r="N3537" s="147"/>
      <c r="O3537" s="147"/>
      <c r="P3537" s="147"/>
      <c r="Q3537" s="147"/>
      <c r="R3537" s="147"/>
      <c r="S3537" s="147"/>
      <c r="T3537" s="147"/>
      <c r="U3537" s="147"/>
      <c r="V3537" s="147"/>
      <c r="W3537" s="147"/>
      <c r="X3537" s="147"/>
      <c r="Y3537" s="147"/>
      <c r="Z3537" s="147"/>
      <c r="AA3537" s="147"/>
      <c r="AB3537" s="147"/>
      <c r="AC3537" s="147"/>
      <c r="AD3537" s="147"/>
      <c r="AE3537" s="147"/>
      <c r="AF3537" s="147"/>
      <c r="AG3537" s="147"/>
      <c r="AH3537" s="147"/>
      <c r="AI3537" s="147"/>
      <c r="AJ3537" s="147"/>
      <c r="AK3537" s="147"/>
      <c r="AL3537" s="147"/>
      <c r="AM3537" s="147"/>
      <c r="AN3537" s="147"/>
      <c r="AO3537" s="147"/>
      <c r="AP3537" s="147"/>
      <c r="AQ3537" s="147"/>
      <c r="AR3537" s="147"/>
      <c r="AS3537" s="147"/>
      <c r="AT3537" s="147"/>
      <c r="AU3537" s="147"/>
      <c r="AV3537" s="147"/>
      <c r="AW3537" s="147"/>
      <c r="AX3537" s="147"/>
      <c r="AY3537" s="147"/>
      <c r="AZ3537" s="147"/>
      <c r="BA3537" s="147"/>
    </row>
    <row r="3538" spans="1:53" ht="15.75" customHeight="1">
      <c r="A3538" s="99"/>
      <c r="B3538" s="99"/>
      <c r="C3538" s="147"/>
      <c r="D3538" s="147"/>
      <c r="E3538" s="147"/>
      <c r="F3538" s="147"/>
      <c r="G3538" s="147"/>
      <c r="H3538" s="147"/>
      <c r="I3538" s="147"/>
      <c r="J3538" s="147"/>
      <c r="K3538" s="147"/>
      <c r="L3538" s="147"/>
      <c r="M3538" s="147"/>
      <c r="N3538" s="147"/>
      <c r="O3538" s="147"/>
      <c r="P3538" s="147"/>
      <c r="Q3538" s="147"/>
      <c r="R3538" s="147"/>
      <c r="S3538" s="147"/>
      <c r="T3538" s="147"/>
      <c r="U3538" s="147"/>
      <c r="V3538" s="147"/>
      <c r="W3538" s="147"/>
      <c r="X3538" s="147"/>
      <c r="Y3538" s="147"/>
      <c r="Z3538" s="147"/>
      <c r="AA3538" s="147"/>
      <c r="AB3538" s="147"/>
      <c r="AC3538" s="147"/>
      <c r="AD3538" s="147"/>
      <c r="AE3538" s="147"/>
      <c r="AF3538" s="147"/>
      <c r="AG3538" s="147"/>
      <c r="AH3538" s="147"/>
      <c r="AI3538" s="147"/>
      <c r="AJ3538" s="147"/>
      <c r="AK3538" s="147"/>
      <c r="AL3538" s="147"/>
      <c r="AM3538" s="147"/>
      <c r="AN3538" s="147"/>
      <c r="AO3538" s="147"/>
      <c r="AP3538" s="147"/>
      <c r="AQ3538" s="147"/>
      <c r="AR3538" s="147"/>
      <c r="AS3538" s="147"/>
      <c r="AT3538" s="147"/>
      <c r="AU3538" s="147"/>
      <c r="AV3538" s="147"/>
      <c r="AW3538" s="147"/>
      <c r="AX3538" s="147"/>
      <c r="AY3538" s="147"/>
      <c r="AZ3538" s="147"/>
      <c r="BA3538" s="147"/>
    </row>
    <row r="3539" spans="1:53" ht="15.75" customHeight="1">
      <c r="A3539" s="99"/>
      <c r="B3539" s="99"/>
      <c r="C3539" s="147"/>
      <c r="D3539" s="147"/>
      <c r="E3539" s="147"/>
      <c r="F3539" s="147"/>
      <c r="G3539" s="147"/>
      <c r="H3539" s="147"/>
      <c r="I3539" s="147"/>
      <c r="J3539" s="147"/>
      <c r="K3539" s="147"/>
      <c r="L3539" s="147"/>
      <c r="M3539" s="147"/>
      <c r="N3539" s="147"/>
      <c r="O3539" s="147"/>
      <c r="P3539" s="147"/>
      <c r="Q3539" s="147"/>
      <c r="R3539" s="147"/>
      <c r="S3539" s="147"/>
      <c r="T3539" s="147"/>
      <c r="U3539" s="147"/>
      <c r="V3539" s="147"/>
      <c r="W3539" s="147"/>
      <c r="X3539" s="147"/>
      <c r="Y3539" s="147"/>
      <c r="Z3539" s="147"/>
      <c r="AA3539" s="147"/>
      <c r="AB3539" s="147"/>
      <c r="AC3539" s="147"/>
      <c r="AD3539" s="147"/>
      <c r="AE3539" s="147"/>
      <c r="AF3539" s="147"/>
      <c r="AG3539" s="147"/>
      <c r="AH3539" s="147"/>
      <c r="AI3539" s="147"/>
      <c r="AJ3539" s="147"/>
      <c r="AK3539" s="147"/>
      <c r="AL3539" s="147"/>
      <c r="AM3539" s="147"/>
      <c r="AN3539" s="147"/>
      <c r="AO3539" s="147"/>
      <c r="AP3539" s="147"/>
      <c r="AQ3539" s="147"/>
      <c r="AR3539" s="147"/>
      <c r="AS3539" s="147"/>
      <c r="AT3539" s="147"/>
      <c r="AU3539" s="147"/>
      <c r="AV3539" s="147"/>
      <c r="AW3539" s="147"/>
      <c r="AX3539" s="147"/>
      <c r="AY3539" s="147"/>
      <c r="AZ3539" s="147"/>
      <c r="BA3539" s="147"/>
    </row>
    <row r="3540" spans="1:53" ht="15.75" customHeight="1">
      <c r="A3540" s="99"/>
      <c r="B3540" s="99"/>
      <c r="C3540" s="147"/>
      <c r="D3540" s="147"/>
      <c r="E3540" s="147"/>
      <c r="F3540" s="147"/>
      <c r="G3540" s="147"/>
      <c r="H3540" s="147"/>
      <c r="I3540" s="147"/>
      <c r="J3540" s="147"/>
      <c r="K3540" s="147"/>
      <c r="L3540" s="147"/>
      <c r="M3540" s="147"/>
      <c r="N3540" s="147"/>
      <c r="O3540" s="147"/>
      <c r="P3540" s="147"/>
      <c r="Q3540" s="147"/>
      <c r="R3540" s="147"/>
      <c r="S3540" s="147"/>
      <c r="T3540" s="147"/>
      <c r="U3540" s="147"/>
      <c r="V3540" s="147"/>
      <c r="W3540" s="147"/>
      <c r="X3540" s="147"/>
      <c r="Y3540" s="147"/>
      <c r="Z3540" s="147"/>
      <c r="AA3540" s="147"/>
      <c r="AB3540" s="147"/>
      <c r="AC3540" s="147"/>
      <c r="AD3540" s="147"/>
      <c r="AE3540" s="147"/>
      <c r="AF3540" s="147"/>
      <c r="AG3540" s="147"/>
      <c r="AH3540" s="147"/>
      <c r="AI3540" s="147"/>
      <c r="AJ3540" s="147"/>
      <c r="AK3540" s="147"/>
      <c r="AL3540" s="147"/>
      <c r="AM3540" s="147"/>
      <c r="AN3540" s="147"/>
      <c r="AO3540" s="147"/>
      <c r="AP3540" s="147"/>
      <c r="AQ3540" s="147"/>
      <c r="AR3540" s="147"/>
      <c r="AS3540" s="147"/>
      <c r="AT3540" s="147"/>
      <c r="AU3540" s="147"/>
      <c r="AV3540" s="147"/>
      <c r="AW3540" s="147"/>
      <c r="AX3540" s="147"/>
      <c r="AY3540" s="147"/>
      <c r="AZ3540" s="147"/>
      <c r="BA3540" s="147"/>
    </row>
    <row r="3541" spans="1:53" ht="15.75" customHeight="1">
      <c r="A3541" s="99"/>
      <c r="B3541" s="99"/>
      <c r="C3541" s="147"/>
      <c r="D3541" s="147"/>
      <c r="E3541" s="147"/>
      <c r="F3541" s="147"/>
      <c r="G3541" s="147"/>
      <c r="H3541" s="147"/>
      <c r="I3541" s="147"/>
      <c r="J3541" s="147"/>
      <c r="K3541" s="147"/>
      <c r="L3541" s="147"/>
      <c r="M3541" s="147"/>
      <c r="N3541" s="147"/>
      <c r="O3541" s="147"/>
      <c r="P3541" s="147"/>
      <c r="Q3541" s="147"/>
      <c r="R3541" s="147"/>
      <c r="S3541" s="147"/>
      <c r="T3541" s="147"/>
      <c r="U3541" s="147"/>
      <c r="V3541" s="147"/>
      <c r="W3541" s="147"/>
      <c r="X3541" s="147"/>
      <c r="Y3541" s="147"/>
      <c r="Z3541" s="147"/>
      <c r="AA3541" s="147"/>
      <c r="AB3541" s="147"/>
      <c r="AC3541" s="147"/>
      <c r="AD3541" s="147"/>
      <c r="AE3541" s="147"/>
      <c r="AF3541" s="147"/>
      <c r="AG3541" s="147"/>
      <c r="AH3541" s="147"/>
      <c r="AI3541" s="147"/>
      <c r="AJ3541" s="147"/>
      <c r="AK3541" s="147"/>
      <c r="AL3541" s="147"/>
      <c r="AM3541" s="147"/>
      <c r="AN3541" s="147"/>
      <c r="AO3541" s="147"/>
      <c r="AP3541" s="147"/>
      <c r="AQ3541" s="147"/>
      <c r="AR3541" s="147"/>
      <c r="AS3541" s="147"/>
      <c r="AT3541" s="147"/>
      <c r="AU3541" s="147"/>
      <c r="AV3541" s="147"/>
      <c r="AW3541" s="147"/>
      <c r="AX3541" s="147"/>
      <c r="AY3541" s="147"/>
      <c r="AZ3541" s="147"/>
      <c r="BA3541" s="147"/>
    </row>
    <row r="3542" spans="1:53" ht="15.75" customHeight="1">
      <c r="A3542" s="99"/>
      <c r="B3542" s="99"/>
      <c r="C3542" s="147"/>
      <c r="D3542" s="147"/>
      <c r="E3542" s="147"/>
      <c r="F3542" s="147"/>
      <c r="G3542" s="147"/>
      <c r="H3542" s="147"/>
      <c r="I3542" s="147"/>
      <c r="J3542" s="147"/>
      <c r="K3542" s="147"/>
      <c r="L3542" s="147"/>
      <c r="M3542" s="147"/>
      <c r="N3542" s="147"/>
      <c r="O3542" s="147"/>
      <c r="P3542" s="147"/>
      <c r="Q3542" s="147"/>
      <c r="R3542" s="147"/>
      <c r="S3542" s="147"/>
      <c r="T3542" s="147"/>
      <c r="U3542" s="147"/>
      <c r="V3542" s="147"/>
      <c r="W3542" s="147"/>
      <c r="X3542" s="147"/>
      <c r="Y3542" s="147"/>
      <c r="Z3542" s="147"/>
      <c r="AA3542" s="147"/>
      <c r="AB3542" s="147"/>
      <c r="AC3542" s="147"/>
      <c r="AD3542" s="147"/>
      <c r="AE3542" s="147"/>
      <c r="AF3542" s="147"/>
      <c r="AG3542" s="147"/>
      <c r="AH3542" s="147"/>
      <c r="AI3542" s="147"/>
      <c r="AJ3542" s="147"/>
      <c r="AK3542" s="147"/>
      <c r="AL3542" s="147"/>
      <c r="AM3542" s="147"/>
      <c r="AN3542" s="147"/>
      <c r="AO3542" s="147"/>
      <c r="AP3542" s="147"/>
      <c r="AQ3542" s="147"/>
      <c r="AR3542" s="147"/>
      <c r="AS3542" s="147"/>
      <c r="AT3542" s="147"/>
      <c r="AU3542" s="147"/>
      <c r="AV3542" s="147"/>
      <c r="AW3542" s="147"/>
      <c r="AX3542" s="147"/>
      <c r="AY3542" s="147"/>
      <c r="AZ3542" s="147"/>
      <c r="BA3542" s="147"/>
    </row>
    <row r="3543" spans="1:53" ht="15.75" customHeight="1">
      <c r="A3543" s="99"/>
      <c r="B3543" s="99"/>
      <c r="C3543" s="147"/>
      <c r="D3543" s="147"/>
      <c r="E3543" s="147"/>
      <c r="F3543" s="147"/>
      <c r="G3543" s="147"/>
      <c r="H3543" s="147"/>
      <c r="I3543" s="147"/>
      <c r="J3543" s="147"/>
      <c r="K3543" s="147"/>
      <c r="L3543" s="147"/>
      <c r="M3543" s="147"/>
      <c r="N3543" s="147"/>
      <c r="O3543" s="147"/>
      <c r="P3543" s="147"/>
      <c r="Q3543" s="147"/>
      <c r="R3543" s="147"/>
      <c r="S3543" s="147"/>
      <c r="T3543" s="147"/>
      <c r="U3543" s="147"/>
      <c r="V3543" s="147"/>
      <c r="W3543" s="147"/>
      <c r="X3543" s="147"/>
      <c r="Y3543" s="147"/>
      <c r="Z3543" s="147"/>
      <c r="AA3543" s="147"/>
      <c r="AB3543" s="147"/>
      <c r="AC3543" s="147"/>
      <c r="AD3543" s="147"/>
      <c r="AE3543" s="147"/>
      <c r="AF3543" s="147"/>
      <c r="AG3543" s="147"/>
      <c r="AH3543" s="147"/>
      <c r="AI3543" s="147"/>
      <c r="AJ3543" s="147"/>
      <c r="AK3543" s="147"/>
      <c r="AL3543" s="147"/>
      <c r="AM3543" s="147"/>
      <c r="AN3543" s="147"/>
      <c r="AO3543" s="147"/>
      <c r="AP3543" s="147"/>
      <c r="AQ3543" s="147"/>
      <c r="AR3543" s="147"/>
      <c r="AS3543" s="147"/>
      <c r="AT3543" s="147"/>
      <c r="AU3543" s="147"/>
      <c r="AV3543" s="147"/>
      <c r="AW3543" s="147"/>
      <c r="AX3543" s="147"/>
      <c r="AY3543" s="147"/>
      <c r="AZ3543" s="147"/>
      <c r="BA3543" s="147"/>
    </row>
    <row r="3544" spans="1:53" ht="15.75" customHeight="1">
      <c r="A3544" s="99"/>
      <c r="B3544" s="99"/>
      <c r="C3544" s="147"/>
      <c r="D3544" s="147"/>
      <c r="E3544" s="147"/>
      <c r="F3544" s="147"/>
      <c r="G3544" s="147"/>
      <c r="H3544" s="147"/>
      <c r="I3544" s="147"/>
      <c r="J3544" s="147"/>
      <c r="K3544" s="147"/>
      <c r="L3544" s="147"/>
      <c r="M3544" s="147"/>
      <c r="N3544" s="147"/>
      <c r="O3544" s="147"/>
      <c r="P3544" s="147"/>
      <c r="Q3544" s="147"/>
      <c r="R3544" s="147"/>
      <c r="S3544" s="147"/>
      <c r="T3544" s="147"/>
      <c r="U3544" s="147"/>
      <c r="V3544" s="147"/>
      <c r="W3544" s="147"/>
      <c r="X3544" s="147"/>
      <c r="Y3544" s="147"/>
      <c r="Z3544" s="147"/>
      <c r="AA3544" s="147"/>
      <c r="AB3544" s="147"/>
      <c r="AC3544" s="147"/>
      <c r="AD3544" s="147"/>
      <c r="AE3544" s="147"/>
      <c r="AF3544" s="147"/>
      <c r="AG3544" s="147"/>
      <c r="AH3544" s="147"/>
      <c r="AI3544" s="147"/>
      <c r="AJ3544" s="147"/>
      <c r="AK3544" s="147"/>
      <c r="AL3544" s="147"/>
      <c r="AM3544" s="147"/>
      <c r="AN3544" s="147"/>
      <c r="AO3544" s="147"/>
      <c r="AP3544" s="147"/>
      <c r="AQ3544" s="147"/>
      <c r="AR3544" s="147"/>
      <c r="AS3544" s="147"/>
      <c r="AT3544" s="147"/>
      <c r="AU3544" s="147"/>
      <c r="AV3544" s="147"/>
      <c r="AW3544" s="147"/>
      <c r="AX3544" s="147"/>
      <c r="AY3544" s="147"/>
      <c r="AZ3544" s="147"/>
      <c r="BA3544" s="147"/>
    </row>
    <row r="3545" spans="1:53" ht="15.75" customHeight="1">
      <c r="A3545" s="99"/>
      <c r="B3545" s="99"/>
      <c r="C3545" s="147"/>
      <c r="D3545" s="147"/>
      <c r="E3545" s="147"/>
      <c r="F3545" s="147"/>
      <c r="G3545" s="147"/>
      <c r="H3545" s="147"/>
      <c r="I3545" s="147"/>
      <c r="J3545" s="147"/>
      <c r="K3545" s="147"/>
      <c r="L3545" s="147"/>
      <c r="M3545" s="147"/>
      <c r="N3545" s="147"/>
      <c r="O3545" s="147"/>
      <c r="P3545" s="147"/>
      <c r="Q3545" s="147"/>
      <c r="R3545" s="147"/>
      <c r="S3545" s="147"/>
      <c r="T3545" s="147"/>
      <c r="U3545" s="147"/>
      <c r="V3545" s="147"/>
      <c r="W3545" s="147"/>
      <c r="X3545" s="147"/>
      <c r="Y3545" s="147"/>
      <c r="Z3545" s="147"/>
      <c r="AA3545" s="147"/>
      <c r="AB3545" s="147"/>
      <c r="AC3545" s="147"/>
      <c r="AD3545" s="147"/>
      <c r="AE3545" s="147"/>
      <c r="AF3545" s="147"/>
      <c r="AG3545" s="147"/>
      <c r="AH3545" s="147"/>
      <c r="AI3545" s="147"/>
      <c r="AJ3545" s="147"/>
      <c r="AK3545" s="147"/>
      <c r="AL3545" s="147"/>
      <c r="AM3545" s="147"/>
      <c r="AN3545" s="147"/>
      <c r="AO3545" s="147"/>
      <c r="AP3545" s="147"/>
      <c r="AQ3545" s="147"/>
      <c r="AR3545" s="147"/>
      <c r="AS3545" s="147"/>
      <c r="AT3545" s="147"/>
      <c r="AU3545" s="147"/>
      <c r="AV3545" s="147"/>
      <c r="AW3545" s="147"/>
      <c r="AX3545" s="147"/>
      <c r="AY3545" s="147"/>
      <c r="AZ3545" s="147"/>
      <c r="BA3545" s="147"/>
    </row>
    <row r="3546" spans="1:53" ht="15.75" customHeight="1">
      <c r="A3546" s="99"/>
      <c r="B3546" s="99"/>
      <c r="C3546" s="147"/>
      <c r="D3546" s="147"/>
      <c r="E3546" s="147"/>
      <c r="F3546" s="147"/>
      <c r="G3546" s="147"/>
      <c r="H3546" s="147"/>
      <c r="I3546" s="147"/>
      <c r="J3546" s="147"/>
      <c r="K3546" s="147"/>
      <c r="L3546" s="147"/>
      <c r="M3546" s="147"/>
      <c r="N3546" s="147"/>
      <c r="O3546" s="147"/>
      <c r="P3546" s="147"/>
      <c r="Q3546" s="147"/>
      <c r="R3546" s="147"/>
      <c r="S3546" s="147"/>
      <c r="T3546" s="147"/>
      <c r="U3546" s="147"/>
      <c r="V3546" s="147"/>
      <c r="W3546" s="147"/>
      <c r="X3546" s="147"/>
      <c r="Y3546" s="147"/>
      <c r="Z3546" s="147"/>
      <c r="AA3546" s="147"/>
      <c r="AB3546" s="147"/>
      <c r="AC3546" s="147"/>
      <c r="AD3546" s="147"/>
      <c r="AE3546" s="147"/>
      <c r="AF3546" s="147"/>
      <c r="AG3546" s="147"/>
      <c r="AH3546" s="147"/>
      <c r="AI3546" s="147"/>
      <c r="AJ3546" s="147"/>
      <c r="AK3546" s="147"/>
      <c r="AL3546" s="147"/>
      <c r="AM3546" s="147"/>
      <c r="AN3546" s="147"/>
      <c r="AO3546" s="147"/>
      <c r="AP3546" s="147"/>
      <c r="AQ3546" s="147"/>
      <c r="AR3546" s="147"/>
      <c r="AS3546" s="147"/>
      <c r="AT3546" s="147"/>
      <c r="AU3546" s="147"/>
      <c r="AV3546" s="147"/>
      <c r="AW3546" s="147"/>
      <c r="AX3546" s="147"/>
      <c r="AY3546" s="147"/>
      <c r="AZ3546" s="147"/>
      <c r="BA3546" s="147"/>
    </row>
    <row r="3547" spans="1:53" ht="15.75" customHeight="1">
      <c r="A3547" s="99"/>
      <c r="B3547" s="99"/>
      <c r="C3547" s="147"/>
      <c r="D3547" s="147"/>
      <c r="E3547" s="147"/>
      <c r="F3547" s="147"/>
      <c r="G3547" s="147"/>
      <c r="H3547" s="147"/>
      <c r="I3547" s="147"/>
      <c r="J3547" s="147"/>
      <c r="K3547" s="147"/>
      <c r="L3547" s="147"/>
      <c r="M3547" s="147"/>
      <c r="N3547" s="147"/>
      <c r="O3547" s="147"/>
      <c r="P3547" s="147"/>
      <c r="Q3547" s="147"/>
      <c r="R3547" s="147"/>
      <c r="S3547" s="147"/>
      <c r="T3547" s="147"/>
      <c r="U3547" s="147"/>
      <c r="V3547" s="147"/>
      <c r="W3547" s="147"/>
      <c r="X3547" s="147"/>
      <c r="Y3547" s="147"/>
      <c r="Z3547" s="147"/>
      <c r="AA3547" s="147"/>
      <c r="AB3547" s="147"/>
      <c r="AC3547" s="147"/>
      <c r="AD3547" s="147"/>
      <c r="AE3547" s="147"/>
      <c r="AF3547" s="147"/>
      <c r="AG3547" s="147"/>
      <c r="AH3547" s="147"/>
      <c r="AI3547" s="147"/>
      <c r="AJ3547" s="147"/>
      <c r="AK3547" s="147"/>
      <c r="AL3547" s="147"/>
      <c r="AM3547" s="147"/>
      <c r="AN3547" s="147"/>
      <c r="AO3547" s="147"/>
      <c r="AP3547" s="147"/>
      <c r="AQ3547" s="147"/>
      <c r="AR3547" s="147"/>
      <c r="AS3547" s="147"/>
      <c r="AT3547" s="147"/>
      <c r="AU3547" s="147"/>
      <c r="AV3547" s="147"/>
      <c r="AW3547" s="147"/>
      <c r="AX3547" s="147"/>
      <c r="AY3547" s="147"/>
      <c r="AZ3547" s="147"/>
      <c r="BA3547" s="147"/>
    </row>
    <row r="3548" spans="1:53" ht="15.75" customHeight="1">
      <c r="A3548" s="99"/>
      <c r="B3548" s="99"/>
      <c r="C3548" s="147"/>
      <c r="D3548" s="147"/>
      <c r="E3548" s="147"/>
      <c r="F3548" s="147"/>
      <c r="G3548" s="147"/>
      <c r="H3548" s="147"/>
      <c r="I3548" s="147"/>
      <c r="J3548" s="147"/>
      <c r="K3548" s="147"/>
      <c r="L3548" s="147"/>
      <c r="M3548" s="147"/>
      <c r="N3548" s="147"/>
      <c r="O3548" s="147"/>
      <c r="P3548" s="147"/>
      <c r="Q3548" s="147"/>
      <c r="R3548" s="147"/>
      <c r="S3548" s="147"/>
      <c r="T3548" s="147"/>
      <c r="U3548" s="147"/>
      <c r="V3548" s="147"/>
      <c r="W3548" s="147"/>
      <c r="X3548" s="147"/>
      <c r="Y3548" s="147"/>
      <c r="Z3548" s="147"/>
      <c r="AA3548" s="147"/>
      <c r="AB3548" s="147"/>
      <c r="AC3548" s="147"/>
      <c r="AD3548" s="147"/>
      <c r="AE3548" s="147"/>
      <c r="AF3548" s="147"/>
      <c r="AG3548" s="147"/>
      <c r="AH3548" s="147"/>
      <c r="AI3548" s="147"/>
      <c r="AJ3548" s="147"/>
      <c r="AK3548" s="147"/>
      <c r="AL3548" s="147"/>
      <c r="AM3548" s="147"/>
      <c r="AN3548" s="147"/>
      <c r="AO3548" s="147"/>
      <c r="AP3548" s="147"/>
      <c r="AQ3548" s="147"/>
      <c r="AR3548" s="147"/>
      <c r="AS3548" s="147"/>
      <c r="AT3548" s="147"/>
      <c r="AU3548" s="147"/>
      <c r="AV3548" s="147"/>
      <c r="AW3548" s="147"/>
      <c r="AX3548" s="147"/>
      <c r="AY3548" s="147"/>
      <c r="AZ3548" s="147"/>
      <c r="BA3548" s="147"/>
    </row>
    <row r="3549" spans="1:53" ht="15.75" customHeight="1">
      <c r="A3549" s="99"/>
      <c r="B3549" s="99"/>
      <c r="C3549" s="147"/>
      <c r="D3549" s="147"/>
      <c r="E3549" s="147"/>
      <c r="F3549" s="147"/>
      <c r="G3549" s="147"/>
      <c r="H3549" s="147"/>
      <c r="I3549" s="147"/>
      <c r="J3549" s="147"/>
      <c r="K3549" s="147"/>
      <c r="L3549" s="147"/>
      <c r="M3549" s="147"/>
      <c r="N3549" s="147"/>
      <c r="O3549" s="147"/>
      <c r="P3549" s="147"/>
      <c r="Q3549" s="147"/>
      <c r="R3549" s="147"/>
      <c r="S3549" s="147"/>
      <c r="T3549" s="147"/>
      <c r="U3549" s="147"/>
      <c r="V3549" s="147"/>
      <c r="W3549" s="147"/>
      <c r="X3549" s="147"/>
      <c r="Y3549" s="147"/>
      <c r="Z3549" s="147"/>
      <c r="AA3549" s="147"/>
      <c r="AB3549" s="147"/>
      <c r="AC3549" s="147"/>
      <c r="AD3549" s="147"/>
      <c r="AE3549" s="147"/>
      <c r="AF3549" s="147"/>
      <c r="AG3549" s="147"/>
      <c r="AH3549" s="147"/>
      <c r="AI3549" s="147"/>
      <c r="AJ3549" s="147"/>
      <c r="AK3549" s="147"/>
      <c r="AL3549" s="147"/>
      <c r="AM3549" s="147"/>
      <c r="AN3549" s="147"/>
      <c r="AO3549" s="147"/>
      <c r="AP3549" s="147"/>
      <c r="AQ3549" s="147"/>
      <c r="AR3549" s="147"/>
      <c r="AS3549" s="147"/>
      <c r="AT3549" s="147"/>
      <c r="AU3549" s="147"/>
      <c r="AV3549" s="147"/>
      <c r="AW3549" s="147"/>
      <c r="AX3549" s="147"/>
      <c r="AY3549" s="147"/>
      <c r="AZ3549" s="147"/>
      <c r="BA3549" s="147"/>
    </row>
    <row r="3550" spans="1:53" ht="15.75" customHeight="1">
      <c r="A3550" s="99"/>
      <c r="B3550" s="99"/>
      <c r="C3550" s="147"/>
      <c r="D3550" s="147"/>
      <c r="E3550" s="147"/>
      <c r="F3550" s="147"/>
      <c r="G3550" s="147"/>
      <c r="H3550" s="147"/>
      <c r="I3550" s="147"/>
      <c r="J3550" s="147"/>
      <c r="K3550" s="147"/>
      <c r="L3550" s="147"/>
      <c r="M3550" s="147"/>
      <c r="N3550" s="147"/>
      <c r="O3550" s="147"/>
      <c r="P3550" s="147"/>
      <c r="Q3550" s="147"/>
      <c r="R3550" s="147"/>
      <c r="S3550" s="147"/>
      <c r="T3550" s="147"/>
      <c r="U3550" s="147"/>
      <c r="V3550" s="147"/>
      <c r="W3550" s="147"/>
      <c r="X3550" s="147"/>
      <c r="Y3550" s="147"/>
      <c r="Z3550" s="147"/>
      <c r="AA3550" s="147"/>
      <c r="AB3550" s="147"/>
      <c r="AC3550" s="147"/>
      <c r="AD3550" s="147"/>
      <c r="AE3550" s="147"/>
      <c r="AF3550" s="147"/>
      <c r="AG3550" s="147"/>
      <c r="AH3550" s="147"/>
      <c r="AI3550" s="147"/>
      <c r="AJ3550" s="147"/>
      <c r="AK3550" s="147"/>
      <c r="AL3550" s="147"/>
      <c r="AM3550" s="147"/>
      <c r="AN3550" s="147"/>
      <c r="AO3550" s="147"/>
      <c r="AP3550" s="147"/>
      <c r="AQ3550" s="147"/>
      <c r="AR3550" s="147"/>
      <c r="AS3550" s="147"/>
      <c r="AT3550" s="147"/>
      <c r="AU3550" s="147"/>
      <c r="AV3550" s="147"/>
      <c r="AW3550" s="147"/>
      <c r="AX3550" s="147"/>
      <c r="AY3550" s="147"/>
      <c r="AZ3550" s="147"/>
      <c r="BA3550" s="147"/>
    </row>
    <row r="3551" spans="1:53" ht="15.75" customHeight="1">
      <c r="A3551" s="99"/>
      <c r="B3551" s="99"/>
      <c r="C3551" s="147"/>
      <c r="D3551" s="147"/>
      <c r="E3551" s="147"/>
      <c r="F3551" s="147"/>
      <c r="G3551" s="147"/>
      <c r="H3551" s="147"/>
      <c r="I3551" s="147"/>
      <c r="J3551" s="147"/>
      <c r="K3551" s="147"/>
      <c r="L3551" s="147"/>
      <c r="M3551" s="147"/>
      <c r="N3551" s="147"/>
      <c r="O3551" s="147"/>
      <c r="P3551" s="147"/>
      <c r="Q3551" s="147"/>
      <c r="R3551" s="147"/>
      <c r="S3551" s="147"/>
      <c r="T3551" s="147"/>
      <c r="U3551" s="147"/>
      <c r="V3551" s="147"/>
      <c r="W3551" s="147"/>
      <c r="X3551" s="147"/>
      <c r="Y3551" s="147"/>
      <c r="Z3551" s="147"/>
      <c r="AA3551" s="147"/>
      <c r="AB3551" s="147"/>
      <c r="AC3551" s="147"/>
      <c r="AD3551" s="147"/>
      <c r="AE3551" s="147"/>
      <c r="AF3551" s="147"/>
      <c r="AG3551" s="147"/>
      <c r="AH3551" s="147"/>
      <c r="AI3551" s="147"/>
      <c r="AJ3551" s="147"/>
      <c r="AK3551" s="147"/>
      <c r="AL3551" s="147"/>
      <c r="AM3551" s="147"/>
      <c r="AN3551" s="147"/>
      <c r="AO3551" s="147"/>
      <c r="AP3551" s="147"/>
      <c r="AQ3551" s="147"/>
      <c r="AR3551" s="147"/>
      <c r="AS3551" s="147"/>
      <c r="AT3551" s="147"/>
      <c r="AU3551" s="147"/>
      <c r="AV3551" s="147"/>
      <c r="AW3551" s="147"/>
      <c r="AX3551" s="147"/>
      <c r="AY3551" s="147"/>
      <c r="AZ3551" s="147"/>
      <c r="BA3551" s="147"/>
    </row>
    <row r="3552" spans="1:53" ht="15.75" customHeight="1">
      <c r="A3552" s="99"/>
      <c r="B3552" s="99"/>
      <c r="C3552" s="147"/>
      <c r="D3552" s="147"/>
      <c r="E3552" s="147"/>
      <c r="F3552" s="147"/>
      <c r="G3552" s="147"/>
      <c r="H3552" s="147"/>
      <c r="I3552" s="147"/>
      <c r="J3552" s="147"/>
      <c r="K3552" s="147"/>
      <c r="L3552" s="147"/>
      <c r="M3552" s="147"/>
      <c r="N3552" s="147"/>
      <c r="O3552" s="147"/>
      <c r="P3552" s="147"/>
      <c r="Q3552" s="147"/>
      <c r="R3552" s="147"/>
      <c r="S3552" s="147"/>
      <c r="T3552" s="147"/>
      <c r="U3552" s="147"/>
      <c r="V3552" s="147"/>
      <c r="W3552" s="147"/>
      <c r="X3552" s="147"/>
      <c r="Y3552" s="147"/>
      <c r="Z3552" s="147"/>
      <c r="AA3552" s="147"/>
      <c r="AB3552" s="147"/>
      <c r="AC3552" s="147"/>
      <c r="AD3552" s="147"/>
      <c r="AE3552" s="147"/>
      <c r="AF3552" s="147"/>
      <c r="AG3552" s="147"/>
      <c r="AH3552" s="147"/>
      <c r="AI3552" s="147"/>
      <c r="AJ3552" s="147"/>
      <c r="AK3552" s="147"/>
      <c r="AL3552" s="147"/>
      <c r="AM3552" s="147"/>
      <c r="AN3552" s="147"/>
      <c r="AO3552" s="147"/>
      <c r="AP3552" s="147"/>
      <c r="AQ3552" s="147"/>
      <c r="AR3552" s="147"/>
      <c r="AS3552" s="147"/>
      <c r="AT3552" s="147"/>
      <c r="AU3552" s="147"/>
      <c r="AV3552" s="147"/>
      <c r="AW3552" s="147"/>
      <c r="AX3552" s="147"/>
      <c r="AY3552" s="147"/>
      <c r="AZ3552" s="147"/>
      <c r="BA3552" s="147"/>
    </row>
    <row r="3553" spans="1:53" ht="15.75" customHeight="1">
      <c r="A3553" s="99"/>
      <c r="B3553" s="99"/>
      <c r="C3553" s="147"/>
      <c r="D3553" s="147"/>
      <c r="E3553" s="147"/>
      <c r="F3553" s="147"/>
      <c r="G3553" s="147"/>
      <c r="H3553" s="147"/>
      <c r="I3553" s="147"/>
      <c r="J3553" s="147"/>
      <c r="K3553" s="147"/>
      <c r="L3553" s="147"/>
      <c r="M3553" s="147"/>
      <c r="N3553" s="147"/>
      <c r="O3553" s="147"/>
      <c r="P3553" s="147"/>
      <c r="Q3553" s="147"/>
      <c r="R3553" s="147"/>
      <c r="S3553" s="147"/>
      <c r="T3553" s="147"/>
      <c r="U3553" s="147"/>
      <c r="V3553" s="147"/>
      <c r="W3553" s="147"/>
      <c r="X3553" s="147"/>
      <c r="Y3553" s="147"/>
      <c r="Z3553" s="147"/>
      <c r="AA3553" s="147"/>
      <c r="AB3553" s="147"/>
      <c r="AC3553" s="147"/>
      <c r="AD3553" s="147"/>
      <c r="AE3553" s="147"/>
      <c r="AF3553" s="147"/>
      <c r="AG3553" s="147"/>
      <c r="AH3553" s="147"/>
      <c r="AI3553" s="147"/>
      <c r="AJ3553" s="147"/>
      <c r="AK3553" s="147"/>
      <c r="AL3553" s="147"/>
      <c r="AM3553" s="147"/>
      <c r="AN3553" s="147"/>
      <c r="AO3553" s="147"/>
      <c r="AP3553" s="147"/>
      <c r="AQ3553" s="147"/>
      <c r="AR3553" s="147"/>
      <c r="AS3553" s="147"/>
      <c r="AT3553" s="147"/>
      <c r="AU3553" s="147"/>
      <c r="AV3553" s="147"/>
      <c r="AW3553" s="147"/>
      <c r="AX3553" s="147"/>
      <c r="AY3553" s="147"/>
      <c r="AZ3553" s="147"/>
      <c r="BA3553" s="147"/>
    </row>
    <row r="3554" spans="1:53" ht="15.75" customHeight="1">
      <c r="A3554" s="99"/>
      <c r="B3554" s="99"/>
      <c r="C3554" s="147"/>
      <c r="D3554" s="147"/>
      <c r="E3554" s="147"/>
      <c r="F3554" s="147"/>
      <c r="G3554" s="147"/>
      <c r="H3554" s="147"/>
      <c r="I3554" s="147"/>
      <c r="J3554" s="147"/>
      <c r="K3554" s="147"/>
      <c r="L3554" s="147"/>
      <c r="M3554" s="147"/>
      <c r="N3554" s="147"/>
      <c r="O3554" s="147"/>
      <c r="P3554" s="147"/>
      <c r="Q3554" s="147"/>
      <c r="R3554" s="147"/>
      <c r="S3554" s="147"/>
      <c r="T3554" s="147"/>
      <c r="U3554" s="147"/>
      <c r="V3554" s="147"/>
      <c r="W3554" s="147"/>
      <c r="X3554" s="147"/>
      <c r="Y3554" s="147"/>
      <c r="Z3554" s="147"/>
      <c r="AA3554" s="147"/>
      <c r="AB3554" s="147"/>
      <c r="AC3554" s="147"/>
      <c r="AD3554" s="147"/>
      <c r="AE3554" s="147"/>
      <c r="AF3554" s="147"/>
      <c r="AG3554" s="147"/>
      <c r="AH3554" s="147"/>
      <c r="AI3554" s="147"/>
      <c r="AJ3554" s="147"/>
      <c r="AK3554" s="147"/>
      <c r="AL3554" s="147"/>
      <c r="AM3554" s="147"/>
      <c r="AN3554" s="147"/>
      <c r="AO3554" s="147"/>
      <c r="AP3554" s="147"/>
      <c r="AQ3554" s="147"/>
      <c r="AR3554" s="147"/>
      <c r="AS3554" s="147"/>
      <c r="AT3554" s="147"/>
      <c r="AU3554" s="147"/>
      <c r="AV3554" s="147"/>
      <c r="AW3554" s="147"/>
      <c r="AX3554" s="147"/>
      <c r="AY3554" s="147"/>
      <c r="AZ3554" s="147"/>
      <c r="BA3554" s="147"/>
    </row>
    <row r="3555" spans="1:53" ht="15.75" customHeight="1">
      <c r="A3555" s="99"/>
      <c r="B3555" s="99"/>
      <c r="C3555" s="147"/>
      <c r="D3555" s="147"/>
      <c r="E3555" s="147"/>
      <c r="F3555" s="147"/>
      <c r="G3555" s="147"/>
      <c r="H3555" s="147"/>
      <c r="I3555" s="147"/>
      <c r="J3555" s="147"/>
      <c r="K3555" s="147"/>
      <c r="L3555" s="147"/>
      <c r="M3555" s="147"/>
      <c r="N3555" s="147"/>
      <c r="O3555" s="147"/>
      <c r="P3555" s="147"/>
      <c r="Q3555" s="147"/>
      <c r="R3555" s="147"/>
      <c r="S3555" s="147"/>
      <c r="T3555" s="147"/>
      <c r="U3555" s="147"/>
      <c r="V3555" s="147"/>
      <c r="W3555" s="147"/>
      <c r="X3555" s="147"/>
      <c r="Y3555" s="147"/>
      <c r="Z3555" s="147"/>
      <c r="AA3555" s="147"/>
      <c r="AB3555" s="147"/>
      <c r="AC3555" s="147"/>
      <c r="AD3555" s="147"/>
      <c r="AE3555" s="147"/>
      <c r="AF3555" s="147"/>
      <c r="AG3555" s="147"/>
      <c r="AH3555" s="147"/>
      <c r="AI3555" s="147"/>
      <c r="AJ3555" s="147"/>
      <c r="AK3555" s="147"/>
      <c r="AL3555" s="147"/>
      <c r="AM3555" s="147"/>
      <c r="AN3555" s="147"/>
      <c r="AO3555" s="147"/>
      <c r="AP3555" s="147"/>
      <c r="AQ3555" s="147"/>
      <c r="AR3555" s="147"/>
      <c r="AS3555" s="147"/>
      <c r="AT3555" s="147"/>
      <c r="AU3555" s="147"/>
      <c r="AV3555" s="147"/>
      <c r="AW3555" s="147"/>
      <c r="AX3555" s="147"/>
      <c r="AY3555" s="147"/>
      <c r="AZ3555" s="147"/>
      <c r="BA3555" s="147"/>
    </row>
    <row r="3556" spans="1:53" ht="15.75" customHeight="1">
      <c r="A3556" s="99"/>
      <c r="B3556" s="99"/>
      <c r="C3556" s="147"/>
      <c r="D3556" s="147"/>
      <c r="E3556" s="147"/>
      <c r="F3556" s="147"/>
      <c r="G3556" s="147"/>
      <c r="H3556" s="147"/>
      <c r="I3556" s="147"/>
      <c r="J3556" s="147"/>
      <c r="K3556" s="147"/>
      <c r="L3556" s="147"/>
      <c r="M3556" s="147"/>
      <c r="N3556" s="147"/>
      <c r="O3556" s="147"/>
      <c r="P3556" s="147"/>
      <c r="Q3556" s="147"/>
      <c r="R3556" s="147"/>
      <c r="S3556" s="147"/>
      <c r="T3556" s="147"/>
      <c r="U3556" s="147"/>
      <c r="V3556" s="147"/>
      <c r="W3556" s="147"/>
      <c r="X3556" s="147"/>
      <c r="Y3556" s="147"/>
      <c r="Z3556" s="147"/>
      <c r="AA3556" s="147"/>
      <c r="AB3556" s="147"/>
      <c r="AC3556" s="147"/>
      <c r="AD3556" s="147"/>
      <c r="AE3556" s="147"/>
      <c r="AF3556" s="147"/>
      <c r="AG3556" s="147"/>
      <c r="AH3556" s="147"/>
      <c r="AI3556" s="147"/>
      <c r="AJ3556" s="147"/>
      <c r="AK3556" s="147"/>
      <c r="AL3556" s="147"/>
      <c r="AM3556" s="147"/>
      <c r="AN3556" s="147"/>
      <c r="AO3556" s="147"/>
      <c r="AP3556" s="147"/>
      <c r="AQ3556" s="147"/>
      <c r="AR3556" s="147"/>
      <c r="AS3556" s="147"/>
      <c r="AT3556" s="147"/>
      <c r="AU3556" s="147"/>
      <c r="AV3556" s="147"/>
      <c r="AW3556" s="147"/>
      <c r="AX3556" s="147"/>
      <c r="AY3556" s="147"/>
      <c r="AZ3556" s="147"/>
      <c r="BA3556" s="147"/>
    </row>
    <row r="3557" spans="1:53" ht="15.75" customHeight="1">
      <c r="A3557" s="99"/>
      <c r="B3557" s="99"/>
      <c r="C3557" s="147"/>
      <c r="D3557" s="147"/>
      <c r="E3557" s="147"/>
      <c r="F3557" s="147"/>
      <c r="G3557" s="147"/>
      <c r="H3557" s="147"/>
      <c r="I3557" s="147"/>
      <c r="J3557" s="147"/>
      <c r="K3557" s="147"/>
      <c r="L3557" s="147"/>
      <c r="M3557" s="147"/>
      <c r="N3557" s="147"/>
      <c r="O3557" s="147"/>
      <c r="P3557" s="147"/>
      <c r="Q3557" s="147"/>
      <c r="R3557" s="147"/>
      <c r="S3557" s="147"/>
      <c r="T3557" s="147"/>
      <c r="U3557" s="147"/>
      <c r="V3557" s="147"/>
      <c r="W3557" s="147"/>
      <c r="X3557" s="147"/>
      <c r="Y3557" s="147"/>
      <c r="Z3557" s="147"/>
      <c r="AA3557" s="147"/>
      <c r="AB3557" s="147"/>
      <c r="AC3557" s="147"/>
      <c r="AD3557" s="147"/>
      <c r="AE3557" s="147"/>
      <c r="AF3557" s="147"/>
      <c r="AG3557" s="147"/>
      <c r="AH3557" s="147"/>
      <c r="AI3557" s="147"/>
      <c r="AJ3557" s="147"/>
      <c r="AK3557" s="147"/>
      <c r="AL3557" s="147"/>
      <c r="AM3557" s="147"/>
      <c r="AN3557" s="147"/>
      <c r="AO3557" s="147"/>
      <c r="AP3557" s="147"/>
      <c r="AQ3557" s="147"/>
      <c r="AR3557" s="147"/>
      <c r="AS3557" s="147"/>
      <c r="AT3557" s="147"/>
      <c r="AU3557" s="147"/>
      <c r="AV3557" s="147"/>
      <c r="AW3557" s="147"/>
      <c r="AX3557" s="147"/>
      <c r="AY3557" s="147"/>
      <c r="AZ3557" s="147"/>
      <c r="BA3557" s="147"/>
    </row>
    <row r="3558" spans="1:53" ht="15.75" customHeight="1">
      <c r="A3558" s="99"/>
      <c r="B3558" s="99"/>
      <c r="C3558" s="147"/>
      <c r="D3558" s="147"/>
      <c r="E3558" s="147"/>
      <c r="F3558" s="147"/>
      <c r="G3558" s="147"/>
      <c r="H3558" s="147"/>
      <c r="I3558" s="147"/>
      <c r="J3558" s="147"/>
      <c r="K3558" s="147"/>
      <c r="L3558" s="147"/>
      <c r="M3558" s="147"/>
      <c r="N3558" s="147"/>
      <c r="O3558" s="147"/>
      <c r="P3558" s="147"/>
      <c r="Q3558" s="147"/>
      <c r="R3558" s="147"/>
      <c r="S3558" s="147"/>
      <c r="T3558" s="147"/>
      <c r="U3558" s="147"/>
      <c r="V3558" s="147"/>
      <c r="W3558" s="147"/>
      <c r="X3558" s="147"/>
      <c r="Y3558" s="147"/>
      <c r="Z3558" s="147"/>
      <c r="AA3558" s="147"/>
      <c r="AB3558" s="147"/>
      <c r="AC3558" s="147"/>
      <c r="AD3558" s="147"/>
      <c r="AE3558" s="147"/>
      <c r="AF3558" s="147"/>
      <c r="AG3558" s="147"/>
      <c r="AH3558" s="147"/>
      <c r="AI3558" s="147"/>
      <c r="AJ3558" s="147"/>
      <c r="AK3558" s="147"/>
      <c r="AL3558" s="147"/>
      <c r="AM3558" s="147"/>
      <c r="AN3558" s="147"/>
      <c r="AO3558" s="147"/>
      <c r="AP3558" s="147"/>
      <c r="AQ3558" s="147"/>
      <c r="AR3558" s="147"/>
      <c r="AS3558" s="147"/>
      <c r="AT3558" s="147"/>
      <c r="AU3558" s="147"/>
      <c r="AV3558" s="147"/>
      <c r="AW3558" s="147"/>
      <c r="AX3558" s="147"/>
      <c r="AY3558" s="147"/>
      <c r="AZ3558" s="147"/>
      <c r="BA3558" s="147"/>
    </row>
    <row r="3559" spans="1:53" ht="15.75" customHeight="1">
      <c r="A3559" s="99"/>
      <c r="B3559" s="99"/>
      <c r="C3559" s="147"/>
      <c r="D3559" s="147"/>
      <c r="E3559" s="147"/>
      <c r="F3559" s="147"/>
      <c r="G3559" s="147"/>
      <c r="H3559" s="147"/>
      <c r="I3559" s="147"/>
      <c r="J3559" s="147"/>
      <c r="K3559" s="147"/>
      <c r="L3559" s="147"/>
      <c r="M3559" s="147"/>
      <c r="N3559" s="147"/>
      <c r="O3559" s="147"/>
      <c r="P3559" s="147"/>
      <c r="Q3559" s="147"/>
      <c r="R3559" s="147"/>
      <c r="S3559" s="147"/>
      <c r="T3559" s="147"/>
      <c r="U3559" s="147"/>
      <c r="V3559" s="147"/>
      <c r="W3559" s="147"/>
      <c r="X3559" s="147"/>
      <c r="Y3559" s="147"/>
      <c r="Z3559" s="147"/>
      <c r="AA3559" s="147"/>
      <c r="AB3559" s="147"/>
      <c r="AC3559" s="147"/>
      <c r="AD3559" s="147"/>
      <c r="AE3559" s="147"/>
      <c r="AF3559" s="147"/>
      <c r="AG3559" s="147"/>
      <c r="AH3559" s="147"/>
      <c r="AI3559" s="147"/>
      <c r="AJ3559" s="147"/>
      <c r="AK3559" s="147"/>
      <c r="AL3559" s="147"/>
      <c r="AM3559" s="147"/>
      <c r="AN3559" s="147"/>
      <c r="AO3559" s="147"/>
      <c r="AP3559" s="147"/>
      <c r="AQ3559" s="147"/>
      <c r="AR3559" s="147"/>
      <c r="AS3559" s="147"/>
      <c r="AT3559" s="147"/>
      <c r="AU3559" s="147"/>
      <c r="AV3559" s="147"/>
      <c r="AW3559" s="147"/>
      <c r="AX3559" s="147"/>
      <c r="AY3559" s="147"/>
      <c r="AZ3559" s="147"/>
      <c r="BA3559" s="147"/>
    </row>
    <row r="3560" spans="1:53" ht="15.75" customHeight="1">
      <c r="A3560" s="99"/>
      <c r="B3560" s="99"/>
      <c r="C3560" s="147"/>
      <c r="D3560" s="147"/>
      <c r="E3560" s="147"/>
      <c r="F3560" s="147"/>
      <c r="G3560" s="147"/>
      <c r="H3560" s="147"/>
      <c r="I3560" s="147"/>
      <c r="J3560" s="147"/>
      <c r="K3560" s="147"/>
      <c r="L3560" s="147"/>
      <c r="M3560" s="147"/>
      <c r="N3560" s="147"/>
      <c r="O3560" s="147"/>
      <c r="P3560" s="147"/>
      <c r="Q3560" s="147"/>
      <c r="R3560" s="147"/>
      <c r="S3560" s="147"/>
      <c r="T3560" s="147"/>
      <c r="U3560" s="147"/>
      <c r="V3560" s="147"/>
      <c r="W3560" s="147"/>
      <c r="X3560" s="147"/>
      <c r="Y3560" s="147"/>
      <c r="Z3560" s="147"/>
      <c r="AA3560" s="147"/>
      <c r="AB3560" s="147"/>
      <c r="AC3560" s="147"/>
      <c r="AD3560" s="147"/>
      <c r="AE3560" s="147"/>
      <c r="AF3560" s="147"/>
      <c r="AG3560" s="147"/>
      <c r="AH3560" s="147"/>
      <c r="AI3560" s="147"/>
      <c r="AJ3560" s="147"/>
      <c r="AK3560" s="147"/>
      <c r="AL3560" s="147"/>
      <c r="AM3560" s="147"/>
      <c r="AN3560" s="147"/>
      <c r="AO3560" s="147"/>
      <c r="AP3560" s="147"/>
      <c r="AQ3560" s="147"/>
      <c r="AR3560" s="147"/>
      <c r="AS3560" s="147"/>
      <c r="AT3560" s="147"/>
      <c r="AU3560" s="147"/>
      <c r="AV3560" s="147"/>
      <c r="AW3560" s="147"/>
      <c r="AX3560" s="147"/>
      <c r="AY3560" s="147"/>
      <c r="AZ3560" s="147"/>
      <c r="BA3560" s="147"/>
    </row>
    <row r="3561" spans="1:53" ht="15.75" customHeight="1">
      <c r="A3561" s="99"/>
      <c r="B3561" s="99"/>
      <c r="C3561" s="147"/>
      <c r="D3561" s="147"/>
      <c r="E3561" s="147"/>
      <c r="F3561" s="147"/>
      <c r="G3561" s="147"/>
      <c r="H3561" s="147"/>
      <c r="I3561" s="147"/>
      <c r="J3561" s="147"/>
      <c r="K3561" s="147"/>
      <c r="L3561" s="147"/>
      <c r="M3561" s="147"/>
      <c r="N3561" s="147"/>
      <c r="O3561" s="147"/>
      <c r="P3561" s="147"/>
      <c r="Q3561" s="147"/>
      <c r="R3561" s="147"/>
      <c r="S3561" s="147"/>
      <c r="T3561" s="147"/>
      <c r="U3561" s="147"/>
      <c r="V3561" s="147"/>
      <c r="W3561" s="147"/>
      <c r="X3561" s="147"/>
      <c r="Y3561" s="147"/>
      <c r="Z3561" s="147"/>
      <c r="AA3561" s="147"/>
      <c r="AB3561" s="147"/>
      <c r="AC3561" s="147"/>
      <c r="AD3561" s="147"/>
      <c r="AE3561" s="147"/>
      <c r="AF3561" s="147"/>
      <c r="AG3561" s="147"/>
      <c r="AH3561" s="147"/>
      <c r="AI3561" s="147"/>
      <c r="AJ3561" s="147"/>
      <c r="AK3561" s="147"/>
      <c r="AL3561" s="147"/>
      <c r="AM3561" s="147"/>
      <c r="AN3561" s="147"/>
      <c r="AO3561" s="147"/>
      <c r="AP3561" s="147"/>
      <c r="AQ3561" s="147"/>
      <c r="AR3561" s="147"/>
      <c r="AS3561" s="147"/>
      <c r="AT3561" s="147"/>
      <c r="AU3561" s="147"/>
      <c r="AV3561" s="147"/>
      <c r="AW3561" s="147"/>
      <c r="AX3561" s="147"/>
      <c r="AY3561" s="147"/>
      <c r="AZ3561" s="147"/>
      <c r="BA3561" s="147"/>
    </row>
    <row r="3562" spans="1:53" ht="15.75" customHeight="1">
      <c r="A3562" s="99"/>
      <c r="B3562" s="99"/>
      <c r="C3562" s="147"/>
      <c r="D3562" s="147"/>
      <c r="E3562" s="147"/>
      <c r="F3562" s="147"/>
      <c r="G3562" s="147"/>
      <c r="H3562" s="147"/>
      <c r="I3562" s="147"/>
      <c r="J3562" s="147"/>
      <c r="K3562" s="147"/>
      <c r="L3562" s="147"/>
      <c r="M3562" s="147"/>
      <c r="N3562" s="147"/>
      <c r="O3562" s="147"/>
      <c r="P3562" s="147"/>
      <c r="Q3562" s="147"/>
      <c r="R3562" s="147"/>
      <c r="S3562" s="147"/>
      <c r="T3562" s="147"/>
      <c r="U3562" s="147"/>
      <c r="V3562" s="147"/>
      <c r="W3562" s="147"/>
      <c r="X3562" s="147"/>
      <c r="Y3562" s="147"/>
      <c r="Z3562" s="147"/>
      <c r="AA3562" s="147"/>
      <c r="AB3562" s="147"/>
      <c r="AC3562" s="147"/>
      <c r="AD3562" s="147"/>
      <c r="AE3562" s="147"/>
      <c r="AF3562" s="147"/>
      <c r="AG3562" s="147"/>
      <c r="AH3562" s="147"/>
      <c r="AI3562" s="147"/>
      <c r="AJ3562" s="147"/>
      <c r="AK3562" s="147"/>
      <c r="AL3562" s="147"/>
      <c r="AM3562" s="147"/>
      <c r="AN3562" s="147"/>
      <c r="AO3562" s="147"/>
      <c r="AP3562" s="147"/>
      <c r="AQ3562" s="147"/>
      <c r="AR3562" s="147"/>
      <c r="AS3562" s="147"/>
      <c r="AT3562" s="147"/>
      <c r="AU3562" s="147"/>
      <c r="AV3562" s="147"/>
      <c r="AW3562" s="147"/>
      <c r="AX3562" s="147"/>
      <c r="AY3562" s="147"/>
      <c r="AZ3562" s="147"/>
      <c r="BA3562" s="147"/>
    </row>
    <row r="3563" spans="1:53" ht="15.75" customHeight="1">
      <c r="A3563" s="99"/>
      <c r="B3563" s="99"/>
      <c r="C3563" s="147"/>
      <c r="D3563" s="147"/>
      <c r="E3563" s="147"/>
      <c r="F3563" s="147"/>
      <c r="G3563" s="147"/>
      <c r="H3563" s="147"/>
      <c r="I3563" s="147"/>
      <c r="J3563" s="147"/>
      <c r="K3563" s="147"/>
      <c r="L3563" s="147"/>
      <c r="M3563" s="147"/>
      <c r="N3563" s="147"/>
      <c r="O3563" s="147"/>
      <c r="P3563" s="147"/>
      <c r="Q3563" s="147"/>
      <c r="R3563" s="147"/>
      <c r="S3563" s="147"/>
      <c r="T3563" s="147"/>
      <c r="U3563" s="147"/>
      <c r="V3563" s="147"/>
      <c r="W3563" s="147"/>
      <c r="X3563" s="147"/>
      <c r="Y3563" s="147"/>
      <c r="Z3563" s="147"/>
      <c r="AA3563" s="147"/>
      <c r="AB3563" s="147"/>
      <c r="AC3563" s="147"/>
      <c r="AD3563" s="147"/>
      <c r="AE3563" s="147"/>
      <c r="AF3563" s="147"/>
      <c r="AG3563" s="147"/>
      <c r="AH3563" s="147"/>
      <c r="AI3563" s="147"/>
      <c r="AJ3563" s="147"/>
      <c r="AK3563" s="147"/>
      <c r="AL3563" s="147"/>
      <c r="AM3563" s="147"/>
      <c r="AN3563" s="147"/>
      <c r="AO3563" s="147"/>
      <c r="AP3563" s="147"/>
      <c r="AQ3563" s="147"/>
      <c r="AR3563" s="147"/>
      <c r="AS3563" s="147"/>
      <c r="AT3563" s="147"/>
      <c r="AU3563" s="147"/>
      <c r="AV3563" s="147"/>
      <c r="AW3563" s="147"/>
      <c r="AX3563" s="147"/>
      <c r="AY3563" s="147"/>
      <c r="AZ3563" s="147"/>
      <c r="BA3563" s="147"/>
    </row>
    <row r="3564" spans="1:53" ht="15.75" customHeight="1">
      <c r="A3564" s="99"/>
      <c r="B3564" s="99"/>
      <c r="C3564" s="147"/>
      <c r="D3564" s="147"/>
      <c r="E3564" s="147"/>
      <c r="F3564" s="147"/>
      <c r="G3564" s="147"/>
      <c r="H3564" s="147"/>
      <c r="I3564" s="147"/>
      <c r="J3564" s="147"/>
      <c r="K3564" s="147"/>
      <c r="L3564" s="147"/>
      <c r="M3564" s="147"/>
      <c r="N3564" s="147"/>
      <c r="O3564" s="147"/>
      <c r="P3564" s="147"/>
      <c r="Q3564" s="147"/>
      <c r="R3564" s="147"/>
      <c r="S3564" s="147"/>
      <c r="T3564" s="147"/>
      <c r="U3564" s="147"/>
      <c r="V3564" s="147"/>
      <c r="W3564" s="147"/>
      <c r="X3564" s="147"/>
      <c r="Y3564" s="147"/>
      <c r="Z3564" s="147"/>
      <c r="AA3564" s="147"/>
      <c r="AB3564" s="147"/>
      <c r="AC3564" s="147"/>
      <c r="AD3564" s="147"/>
      <c r="AE3564" s="147"/>
      <c r="AF3564" s="147"/>
      <c r="AG3564" s="147"/>
      <c r="AH3564" s="147"/>
      <c r="AI3564" s="147"/>
      <c r="AJ3564" s="147"/>
      <c r="AK3564" s="147"/>
      <c r="AL3564" s="147"/>
      <c r="AM3564" s="147"/>
      <c r="AN3564" s="147"/>
      <c r="AO3564" s="147"/>
      <c r="AP3564" s="147"/>
      <c r="AQ3564" s="147"/>
      <c r="AR3564" s="147"/>
      <c r="AS3564" s="147"/>
      <c r="AT3564" s="147"/>
      <c r="AU3564" s="147"/>
      <c r="AV3564" s="147"/>
      <c r="AW3564" s="147"/>
      <c r="AX3564" s="147"/>
      <c r="AY3564" s="147"/>
      <c r="AZ3564" s="147"/>
      <c r="BA3564" s="147"/>
    </row>
    <row r="3565" spans="1:53" ht="15.75" customHeight="1">
      <c r="A3565" s="99"/>
      <c r="B3565" s="99"/>
      <c r="C3565" s="147"/>
      <c r="D3565" s="147"/>
      <c r="E3565" s="147"/>
      <c r="F3565" s="147"/>
      <c r="G3565" s="147"/>
      <c r="H3565" s="147"/>
      <c r="I3565" s="147"/>
      <c r="J3565" s="147"/>
      <c r="K3565" s="147"/>
      <c r="L3565" s="147"/>
      <c r="M3565" s="147"/>
      <c r="N3565" s="147"/>
      <c r="O3565" s="147"/>
      <c r="P3565" s="147"/>
      <c r="Q3565" s="147"/>
      <c r="R3565" s="147"/>
      <c r="S3565" s="147"/>
      <c r="T3565" s="147"/>
      <c r="U3565" s="147"/>
      <c r="V3565" s="147"/>
      <c r="W3565" s="147"/>
      <c r="X3565" s="147"/>
      <c r="Y3565" s="147"/>
      <c r="Z3565" s="147"/>
      <c r="AA3565" s="147"/>
      <c r="AB3565" s="147"/>
      <c r="AC3565" s="147"/>
      <c r="AD3565" s="147"/>
      <c r="AE3565" s="147"/>
      <c r="AF3565" s="147"/>
      <c r="AG3565" s="147"/>
      <c r="AH3565" s="147"/>
      <c r="AI3565" s="147"/>
      <c r="AJ3565" s="147"/>
      <c r="AK3565" s="147"/>
      <c r="AL3565" s="147"/>
      <c r="AM3565" s="147"/>
      <c r="AN3565" s="147"/>
      <c r="AO3565" s="147"/>
      <c r="AP3565" s="147"/>
      <c r="AQ3565" s="147"/>
      <c r="AR3565" s="147"/>
      <c r="AS3565" s="147"/>
      <c r="AT3565" s="147"/>
      <c r="AU3565" s="147"/>
      <c r="AV3565" s="147"/>
      <c r="AW3565" s="147"/>
      <c r="AX3565" s="147"/>
      <c r="AY3565" s="147"/>
      <c r="AZ3565" s="147"/>
      <c r="BA3565" s="147"/>
    </row>
    <row r="3566" spans="1:53" ht="15.75" customHeight="1">
      <c r="A3566" s="99"/>
      <c r="B3566" s="99"/>
      <c r="C3566" s="147"/>
      <c r="D3566" s="147"/>
      <c r="E3566" s="147"/>
      <c r="F3566" s="147"/>
      <c r="G3566" s="147"/>
      <c r="H3566" s="147"/>
      <c r="I3566" s="147"/>
      <c r="J3566" s="147"/>
      <c r="K3566" s="147"/>
      <c r="L3566" s="147"/>
      <c r="M3566" s="147"/>
      <c r="N3566" s="147"/>
      <c r="O3566" s="147"/>
      <c r="P3566" s="147"/>
      <c r="Q3566" s="147"/>
      <c r="R3566" s="147"/>
      <c r="S3566" s="147"/>
      <c r="T3566" s="147"/>
      <c r="U3566" s="147"/>
      <c r="V3566" s="147"/>
      <c r="W3566" s="147"/>
      <c r="X3566" s="147"/>
      <c r="Y3566" s="147"/>
      <c r="Z3566" s="147"/>
      <c r="AA3566" s="147"/>
      <c r="AB3566" s="147"/>
      <c r="AC3566" s="147"/>
      <c r="AD3566" s="147"/>
      <c r="AE3566" s="147"/>
      <c r="AF3566" s="147"/>
      <c r="AG3566" s="147"/>
      <c r="AH3566" s="147"/>
      <c r="AI3566" s="147"/>
      <c r="AJ3566" s="147"/>
      <c r="AK3566" s="147"/>
      <c r="AL3566" s="147"/>
      <c r="AM3566" s="147"/>
      <c r="AN3566" s="147"/>
      <c r="AO3566" s="147"/>
      <c r="AP3566" s="147"/>
      <c r="AQ3566" s="147"/>
      <c r="AR3566" s="147"/>
      <c r="AS3566" s="147"/>
      <c r="AT3566" s="147"/>
      <c r="AU3566" s="147"/>
      <c r="AV3566" s="147"/>
      <c r="AW3566" s="147"/>
      <c r="AX3566" s="147"/>
      <c r="AY3566" s="147"/>
      <c r="AZ3566" s="147"/>
      <c r="BA3566" s="147"/>
    </row>
    <row r="3567" spans="1:53" ht="15.75" customHeight="1">
      <c r="A3567" s="99"/>
      <c r="B3567" s="99"/>
      <c r="C3567" s="147"/>
      <c r="D3567" s="147"/>
      <c r="E3567" s="147"/>
      <c r="F3567" s="147"/>
      <c r="G3567" s="147"/>
      <c r="H3567" s="147"/>
      <c r="I3567" s="147"/>
      <c r="J3567" s="147"/>
      <c r="K3567" s="147"/>
      <c r="L3567" s="147"/>
      <c r="M3567" s="147"/>
      <c r="N3567" s="147"/>
      <c r="O3567" s="147"/>
      <c r="P3567" s="147"/>
      <c r="Q3567" s="147"/>
      <c r="R3567" s="147"/>
      <c r="S3567" s="147"/>
      <c r="T3567" s="147"/>
      <c r="U3567" s="147"/>
      <c r="V3567" s="147"/>
      <c r="W3567" s="147"/>
      <c r="X3567" s="147"/>
      <c r="Y3567" s="147"/>
      <c r="Z3567" s="147"/>
      <c r="AA3567" s="147"/>
      <c r="AB3567" s="147"/>
      <c r="AC3567" s="147"/>
      <c r="AD3567" s="147"/>
      <c r="AE3567" s="147"/>
      <c r="AF3567" s="147"/>
      <c r="AG3567" s="147"/>
      <c r="AH3567" s="147"/>
      <c r="AI3567" s="147"/>
      <c r="AJ3567" s="147"/>
      <c r="AK3567" s="147"/>
      <c r="AL3567" s="147"/>
      <c r="AM3567" s="147"/>
      <c r="AN3567" s="147"/>
      <c r="AO3567" s="147"/>
      <c r="AP3567" s="147"/>
      <c r="AQ3567" s="147"/>
      <c r="AR3567" s="147"/>
      <c r="AS3567" s="147"/>
      <c r="AT3567" s="147"/>
      <c r="AU3567" s="147"/>
      <c r="AV3567" s="147"/>
      <c r="AW3567" s="147"/>
      <c r="AX3567" s="147"/>
      <c r="AY3567" s="147"/>
      <c r="AZ3567" s="147"/>
      <c r="BA3567" s="147"/>
    </row>
    <row r="3568" spans="1:53" ht="15.75" customHeight="1">
      <c r="A3568" s="99"/>
      <c r="B3568" s="99"/>
      <c r="C3568" s="147"/>
      <c r="D3568" s="147"/>
      <c r="E3568" s="147"/>
      <c r="F3568" s="147"/>
      <c r="G3568" s="147"/>
      <c r="H3568" s="147"/>
      <c r="I3568" s="147"/>
      <c r="J3568" s="147"/>
      <c r="K3568" s="147"/>
      <c r="L3568" s="147"/>
      <c r="M3568" s="147"/>
      <c r="N3568" s="147"/>
      <c r="O3568" s="147"/>
      <c r="P3568" s="147"/>
      <c r="Q3568" s="147"/>
      <c r="R3568" s="147"/>
      <c r="S3568" s="147"/>
      <c r="T3568" s="147"/>
      <c r="U3568" s="147"/>
      <c r="V3568" s="147"/>
      <c r="W3568" s="147"/>
      <c r="X3568" s="147"/>
      <c r="Y3568" s="147"/>
      <c r="Z3568" s="147"/>
      <c r="AA3568" s="147"/>
      <c r="AB3568" s="147"/>
      <c r="AC3568" s="147"/>
      <c r="AD3568" s="147"/>
      <c r="AE3568" s="147"/>
      <c r="AF3568" s="147"/>
      <c r="AG3568" s="147"/>
      <c r="AH3568" s="147"/>
      <c r="AI3568" s="147"/>
      <c r="AJ3568" s="147"/>
      <c r="AK3568" s="147"/>
      <c r="AL3568" s="147"/>
      <c r="AM3568" s="147"/>
      <c r="AN3568" s="147"/>
      <c r="AO3568" s="147"/>
      <c r="AP3568" s="147"/>
      <c r="AQ3568" s="147"/>
      <c r="AR3568" s="147"/>
      <c r="AS3568" s="147"/>
      <c r="AT3568" s="147"/>
      <c r="AU3568" s="147"/>
      <c r="AV3568" s="147"/>
      <c r="AW3568" s="147"/>
      <c r="AX3568" s="147"/>
      <c r="AY3568" s="147"/>
      <c r="AZ3568" s="147"/>
      <c r="BA3568" s="147"/>
    </row>
    <row r="3569" spans="1:53" ht="15.75" customHeight="1">
      <c r="A3569" s="99"/>
      <c r="B3569" s="99"/>
      <c r="C3569" s="147"/>
      <c r="D3569" s="147"/>
      <c r="E3569" s="147"/>
      <c r="F3569" s="147"/>
      <c r="G3569" s="147"/>
      <c r="H3569" s="147"/>
      <c r="I3569" s="147"/>
      <c r="J3569" s="147"/>
      <c r="K3569" s="147"/>
      <c r="L3569" s="147"/>
      <c r="M3569" s="147"/>
      <c r="N3569" s="147"/>
      <c r="O3569" s="147"/>
      <c r="P3569" s="147"/>
      <c r="Q3569" s="147"/>
      <c r="R3569" s="147"/>
      <c r="S3569" s="147"/>
      <c r="T3569" s="147"/>
      <c r="U3569" s="147"/>
      <c r="V3569" s="147"/>
      <c r="W3569" s="147"/>
      <c r="X3569" s="147"/>
      <c r="Y3569" s="147"/>
      <c r="Z3569" s="147"/>
      <c r="AA3569" s="147"/>
      <c r="AB3569" s="147"/>
      <c r="AC3569" s="147"/>
      <c r="AD3569" s="147"/>
      <c r="AE3569" s="147"/>
      <c r="AF3569" s="147"/>
      <c r="AG3569" s="147"/>
      <c r="AH3569" s="147"/>
      <c r="AI3569" s="147"/>
      <c r="AJ3569" s="147"/>
      <c r="AK3569" s="147"/>
      <c r="AL3569" s="147"/>
      <c r="AM3569" s="147"/>
      <c r="AN3569" s="147"/>
      <c r="AO3569" s="147"/>
      <c r="AP3569" s="147"/>
      <c r="AQ3569" s="147"/>
      <c r="AR3569" s="147"/>
      <c r="AS3569" s="147"/>
      <c r="AT3569" s="147"/>
      <c r="AU3569" s="147"/>
      <c r="AV3569" s="147"/>
      <c r="AW3569" s="147"/>
      <c r="AX3569" s="147"/>
      <c r="AY3569" s="147"/>
      <c r="AZ3569" s="147"/>
      <c r="BA3569" s="147"/>
    </row>
    <row r="3570" spans="1:53" ht="15.75" customHeight="1">
      <c r="A3570" s="99"/>
      <c r="B3570" s="99"/>
      <c r="C3570" s="147"/>
      <c r="D3570" s="147"/>
      <c r="E3570" s="147"/>
      <c r="F3570" s="147"/>
      <c r="G3570" s="147"/>
      <c r="H3570" s="147"/>
      <c r="I3570" s="147"/>
      <c r="J3570" s="147"/>
      <c r="K3570" s="147"/>
      <c r="L3570" s="147"/>
      <c r="M3570" s="147"/>
      <c r="N3570" s="147"/>
      <c r="O3570" s="147"/>
      <c r="P3570" s="147"/>
      <c r="Q3570" s="147"/>
      <c r="R3570" s="147"/>
      <c r="S3570" s="147"/>
      <c r="T3570" s="147"/>
      <c r="U3570" s="147"/>
      <c r="V3570" s="147"/>
      <c r="W3570" s="147"/>
      <c r="X3570" s="147"/>
      <c r="Y3570" s="147"/>
      <c r="Z3570" s="147"/>
      <c r="AA3570" s="147"/>
      <c r="AB3570" s="147"/>
      <c r="AC3570" s="147"/>
      <c r="AD3570" s="147"/>
      <c r="AE3570" s="147"/>
      <c r="AF3570" s="147"/>
      <c r="AG3570" s="147"/>
      <c r="AH3570" s="147"/>
      <c r="AI3570" s="147"/>
      <c r="AJ3570" s="147"/>
      <c r="AK3570" s="147"/>
      <c r="AL3570" s="147"/>
      <c r="AM3570" s="147"/>
      <c r="AN3570" s="147"/>
      <c r="AO3570" s="147"/>
      <c r="AP3570" s="147"/>
      <c r="AQ3570" s="147"/>
      <c r="AR3570" s="147"/>
      <c r="AS3570" s="147"/>
      <c r="AT3570" s="147"/>
      <c r="AU3570" s="147"/>
      <c r="AV3570" s="147"/>
      <c r="AW3570" s="147"/>
      <c r="AX3570" s="147"/>
      <c r="AY3570" s="147"/>
      <c r="AZ3570" s="147"/>
      <c r="BA3570" s="147"/>
    </row>
    <row r="3571" spans="1:53" ht="15.75" customHeight="1">
      <c r="A3571" s="99"/>
      <c r="B3571" s="99"/>
      <c r="C3571" s="147"/>
      <c r="D3571" s="147"/>
      <c r="E3571" s="147"/>
      <c r="F3571" s="147"/>
      <c r="G3571" s="147"/>
      <c r="H3571" s="147"/>
      <c r="I3571" s="147"/>
      <c r="J3571" s="147"/>
      <c r="K3571" s="147"/>
      <c r="L3571" s="147"/>
      <c r="M3571" s="147"/>
      <c r="N3571" s="147"/>
      <c r="O3571" s="147"/>
      <c r="P3571" s="147"/>
      <c r="Q3571" s="147"/>
      <c r="R3571" s="147"/>
      <c r="S3571" s="147"/>
      <c r="T3571" s="147"/>
      <c r="U3571" s="147"/>
      <c r="V3571" s="147"/>
      <c r="W3571" s="147"/>
      <c r="X3571" s="147"/>
      <c r="Y3571" s="147"/>
      <c r="Z3571" s="147"/>
      <c r="AA3571" s="147"/>
      <c r="AB3571" s="147"/>
      <c r="AC3571" s="147"/>
      <c r="AD3571" s="147"/>
      <c r="AE3571" s="147"/>
      <c r="AF3571" s="147"/>
      <c r="AG3571" s="147"/>
      <c r="AH3571" s="147"/>
      <c r="AI3571" s="147"/>
      <c r="AJ3571" s="147"/>
      <c r="AK3571" s="147"/>
      <c r="AL3571" s="147"/>
      <c r="AM3571" s="147"/>
      <c r="AN3571" s="147"/>
      <c r="AO3571" s="147"/>
      <c r="AP3571" s="147"/>
      <c r="AQ3571" s="147"/>
      <c r="AR3571" s="147"/>
      <c r="AS3571" s="147"/>
      <c r="AT3571" s="147"/>
      <c r="AU3571" s="147"/>
      <c r="AV3571" s="147"/>
      <c r="AW3571" s="147"/>
      <c r="AX3571" s="147"/>
      <c r="AY3571" s="147"/>
      <c r="AZ3571" s="147"/>
      <c r="BA3571" s="147"/>
    </row>
    <row r="3572" spans="1:53" ht="15.75" customHeight="1">
      <c r="A3572" s="99"/>
      <c r="B3572" s="99"/>
      <c r="C3572" s="147"/>
      <c r="D3572" s="147"/>
      <c r="E3572" s="147"/>
      <c r="F3572" s="147"/>
      <c r="G3572" s="147"/>
      <c r="H3572" s="147"/>
      <c r="I3572" s="147"/>
      <c r="J3572" s="147"/>
      <c r="K3572" s="147"/>
      <c r="L3572" s="147"/>
      <c r="M3572" s="147"/>
      <c r="N3572" s="147"/>
      <c r="O3572" s="147"/>
      <c r="P3572" s="147"/>
      <c r="Q3572" s="147"/>
      <c r="R3572" s="147"/>
      <c r="S3572" s="147"/>
      <c r="T3572" s="147"/>
      <c r="U3572" s="147"/>
      <c r="V3572" s="147"/>
      <c r="W3572" s="147"/>
      <c r="X3572" s="147"/>
      <c r="Y3572" s="147"/>
      <c r="Z3572" s="147"/>
      <c r="AA3572" s="147"/>
      <c r="AB3572" s="147"/>
      <c r="AC3572" s="147"/>
      <c r="AD3572" s="147"/>
      <c r="AE3572" s="147"/>
      <c r="AF3572" s="147"/>
      <c r="AG3572" s="147"/>
      <c r="AH3572" s="147"/>
      <c r="AI3572" s="147"/>
      <c r="AJ3572" s="147"/>
      <c r="AK3572" s="147"/>
      <c r="AL3572" s="147"/>
      <c r="AM3572" s="147"/>
      <c r="AN3572" s="147"/>
      <c r="AO3572" s="147"/>
      <c r="AP3572" s="147"/>
      <c r="AQ3572" s="147"/>
      <c r="AR3572" s="147"/>
      <c r="AS3572" s="147"/>
      <c r="AT3572" s="147"/>
      <c r="AU3572" s="147"/>
      <c r="AV3572" s="147"/>
      <c r="AW3572" s="147"/>
      <c r="AX3572" s="147"/>
      <c r="AY3572" s="147"/>
      <c r="AZ3572" s="147"/>
      <c r="BA3572" s="147"/>
    </row>
    <row r="3573" spans="1:53" ht="15.75" customHeight="1">
      <c r="A3573" s="99"/>
      <c r="B3573" s="99"/>
      <c r="C3573" s="147"/>
      <c r="D3573" s="147"/>
      <c r="E3573" s="147"/>
      <c r="F3573" s="147"/>
      <c r="G3573" s="147"/>
      <c r="H3573" s="147"/>
      <c r="I3573" s="147"/>
      <c r="J3573" s="147"/>
      <c r="K3573" s="147"/>
      <c r="L3573" s="147"/>
      <c r="M3573" s="147"/>
      <c r="N3573" s="147"/>
      <c r="O3573" s="147"/>
      <c r="P3573" s="147"/>
      <c r="Q3573" s="147"/>
      <c r="R3573" s="147"/>
      <c r="S3573" s="147"/>
      <c r="T3573" s="147"/>
      <c r="U3573" s="147"/>
      <c r="V3573" s="147"/>
      <c r="W3573" s="147"/>
      <c r="X3573" s="147"/>
      <c r="Y3573" s="147"/>
      <c r="Z3573" s="147"/>
      <c r="AA3573" s="147"/>
      <c r="AB3573" s="147"/>
      <c r="AC3573" s="147"/>
      <c r="AD3573" s="147"/>
      <c r="AE3573" s="147"/>
      <c r="AF3573" s="147"/>
      <c r="AG3573" s="147"/>
      <c r="AH3573" s="147"/>
      <c r="AI3573" s="147"/>
      <c r="AJ3573" s="147"/>
      <c r="AK3573" s="147"/>
      <c r="AL3573" s="147"/>
      <c r="AM3573" s="147"/>
      <c r="AN3573" s="147"/>
      <c r="AO3573" s="147"/>
      <c r="AP3573" s="147"/>
      <c r="AQ3573" s="147"/>
      <c r="AR3573" s="147"/>
      <c r="AS3573" s="147"/>
      <c r="AT3573" s="147"/>
      <c r="AU3573" s="147"/>
      <c r="AV3573" s="147"/>
      <c r="AW3573" s="147"/>
      <c r="AX3573" s="147"/>
      <c r="AY3573" s="147"/>
      <c r="AZ3573" s="147"/>
      <c r="BA3573" s="147"/>
    </row>
    <row r="3574" spans="1:53" ht="15.75" customHeight="1">
      <c r="A3574" s="99"/>
      <c r="B3574" s="99"/>
      <c r="C3574" s="147"/>
      <c r="D3574" s="147"/>
      <c r="E3574" s="147"/>
      <c r="F3574" s="147"/>
      <c r="G3574" s="147"/>
      <c r="H3574" s="147"/>
      <c r="I3574" s="147"/>
      <c r="J3574" s="147"/>
      <c r="K3574" s="147"/>
      <c r="L3574" s="147"/>
      <c r="M3574" s="147"/>
      <c r="N3574" s="147"/>
      <c r="O3574" s="147"/>
      <c r="P3574" s="147"/>
      <c r="Q3574" s="147"/>
      <c r="R3574" s="147"/>
      <c r="S3574" s="147"/>
      <c r="T3574" s="147"/>
      <c r="U3574" s="147"/>
      <c r="V3574" s="147"/>
      <c r="W3574" s="147"/>
      <c r="X3574" s="147"/>
      <c r="Y3574" s="147"/>
      <c r="Z3574" s="147"/>
      <c r="AA3574" s="147"/>
      <c r="AB3574" s="147"/>
      <c r="AC3574" s="147"/>
      <c r="AD3574" s="147"/>
      <c r="AE3574" s="147"/>
      <c r="AF3574" s="147"/>
      <c r="AG3574" s="147"/>
      <c r="AH3574" s="147"/>
      <c r="AI3574" s="147"/>
      <c r="AJ3574" s="147"/>
      <c r="AK3574" s="147"/>
      <c r="AL3574" s="147"/>
      <c r="AM3574" s="147"/>
      <c r="AN3574" s="147"/>
      <c r="AO3574" s="147"/>
      <c r="AP3574" s="147"/>
      <c r="AQ3574" s="147"/>
      <c r="AR3574" s="147"/>
      <c r="AS3574" s="147"/>
      <c r="AT3574" s="147"/>
      <c r="AU3574" s="147"/>
      <c r="AV3574" s="147"/>
      <c r="AW3574" s="147"/>
      <c r="AX3574" s="147"/>
      <c r="AY3574" s="147"/>
      <c r="AZ3574" s="147"/>
      <c r="BA3574" s="147"/>
    </row>
    <row r="3575" spans="1:53" ht="15.75" customHeight="1">
      <c r="A3575" s="99"/>
      <c r="B3575" s="99"/>
      <c r="C3575" s="147"/>
      <c r="D3575" s="147"/>
      <c r="E3575" s="147"/>
      <c r="F3575" s="147"/>
      <c r="G3575" s="147"/>
      <c r="H3575" s="147"/>
      <c r="I3575" s="147"/>
      <c r="J3575" s="147"/>
      <c r="K3575" s="147"/>
      <c r="L3575" s="147"/>
      <c r="M3575" s="147"/>
      <c r="N3575" s="147"/>
      <c r="O3575" s="147"/>
      <c r="P3575" s="147"/>
      <c r="Q3575" s="147"/>
      <c r="R3575" s="147"/>
      <c r="S3575" s="147"/>
      <c r="T3575" s="147"/>
      <c r="U3575" s="147"/>
      <c r="V3575" s="147"/>
      <c r="W3575" s="147"/>
      <c r="X3575" s="147"/>
      <c r="Y3575" s="147"/>
      <c r="Z3575" s="147"/>
      <c r="AA3575" s="147"/>
      <c r="AB3575" s="147"/>
      <c r="AC3575" s="147"/>
      <c r="AD3575" s="147"/>
      <c r="AE3575" s="147"/>
      <c r="AF3575" s="147"/>
      <c r="AG3575" s="147"/>
      <c r="AH3575" s="147"/>
      <c r="AI3575" s="147"/>
      <c r="AJ3575" s="147"/>
      <c r="AK3575" s="147"/>
      <c r="AL3575" s="147"/>
      <c r="AM3575" s="147"/>
      <c r="AN3575" s="147"/>
      <c r="AO3575" s="147"/>
      <c r="AP3575" s="147"/>
      <c r="AQ3575" s="147"/>
      <c r="AR3575" s="147"/>
      <c r="AS3575" s="147"/>
      <c r="AT3575" s="147"/>
      <c r="AU3575" s="147"/>
      <c r="AV3575" s="147"/>
      <c r="AW3575" s="147"/>
      <c r="AX3575" s="147"/>
      <c r="AY3575" s="147"/>
      <c r="AZ3575" s="147"/>
      <c r="BA3575" s="147"/>
    </row>
    <row r="3576" spans="1:53" ht="15.75" customHeight="1">
      <c r="A3576" s="99"/>
      <c r="B3576" s="99"/>
      <c r="C3576" s="147"/>
      <c r="D3576" s="147"/>
      <c r="E3576" s="147"/>
      <c r="F3576" s="147"/>
      <c r="G3576" s="147"/>
      <c r="H3576" s="147"/>
      <c r="I3576" s="147"/>
      <c r="J3576" s="147"/>
      <c r="K3576" s="147"/>
      <c r="L3576" s="147"/>
      <c r="M3576" s="147"/>
      <c r="N3576" s="147"/>
      <c r="O3576" s="147"/>
      <c r="P3576" s="147"/>
      <c r="Q3576" s="147"/>
      <c r="R3576" s="147"/>
      <c r="S3576" s="147"/>
      <c r="T3576" s="147"/>
      <c r="U3576" s="147"/>
      <c r="V3576" s="147"/>
      <c r="W3576" s="147"/>
      <c r="X3576" s="147"/>
      <c r="Y3576" s="147"/>
      <c r="Z3576" s="147"/>
      <c r="AA3576" s="147"/>
      <c r="AB3576" s="147"/>
      <c r="AC3576" s="147"/>
      <c r="AD3576" s="147"/>
      <c r="AE3576" s="147"/>
      <c r="AF3576" s="147"/>
      <c r="AG3576" s="147"/>
      <c r="AH3576" s="147"/>
      <c r="AI3576" s="147"/>
      <c r="AJ3576" s="147"/>
      <c r="AK3576" s="147"/>
      <c r="AL3576" s="147"/>
      <c r="AM3576" s="147"/>
      <c r="AN3576" s="147"/>
      <c r="AO3576" s="147"/>
      <c r="AP3576" s="147"/>
      <c r="AQ3576" s="147"/>
      <c r="AR3576" s="147"/>
      <c r="AS3576" s="147"/>
      <c r="AT3576" s="147"/>
      <c r="AU3576" s="147"/>
      <c r="AV3576" s="147"/>
      <c r="AW3576" s="147"/>
      <c r="AX3576" s="147"/>
      <c r="AY3576" s="147"/>
      <c r="AZ3576" s="147"/>
      <c r="BA3576" s="147"/>
    </row>
    <row r="3577" spans="1:53" ht="15.75" customHeight="1">
      <c r="A3577" s="99"/>
      <c r="B3577" s="99"/>
      <c r="C3577" s="147"/>
      <c r="D3577" s="147"/>
      <c r="E3577" s="147"/>
      <c r="F3577" s="147"/>
      <c r="G3577" s="147"/>
      <c r="H3577" s="147"/>
      <c r="I3577" s="147"/>
      <c r="J3577" s="147"/>
      <c r="K3577" s="147"/>
      <c r="L3577" s="147"/>
      <c r="M3577" s="147"/>
      <c r="N3577" s="147"/>
      <c r="O3577" s="147"/>
      <c r="P3577" s="147"/>
      <c r="Q3577" s="147"/>
      <c r="R3577" s="147"/>
      <c r="S3577" s="147"/>
      <c r="T3577" s="147"/>
      <c r="U3577" s="147"/>
      <c r="V3577" s="147"/>
      <c r="W3577" s="147"/>
      <c r="X3577" s="147"/>
      <c r="Y3577" s="147"/>
      <c r="Z3577" s="147"/>
      <c r="AA3577" s="147"/>
      <c r="AB3577" s="147"/>
      <c r="AC3577" s="147"/>
      <c r="AD3577" s="147"/>
      <c r="AE3577" s="147"/>
      <c r="AF3577" s="147"/>
      <c r="AG3577" s="147"/>
      <c r="AH3577" s="147"/>
      <c r="AI3577" s="147"/>
      <c r="AJ3577" s="147"/>
      <c r="AK3577" s="147"/>
      <c r="AL3577" s="147"/>
      <c r="AM3577" s="147"/>
      <c r="AN3577" s="147"/>
      <c r="AO3577" s="147"/>
      <c r="AP3577" s="147"/>
      <c r="AQ3577" s="147"/>
      <c r="AR3577" s="147"/>
      <c r="AS3577" s="147"/>
      <c r="AT3577" s="147"/>
      <c r="AU3577" s="147"/>
      <c r="AV3577" s="147"/>
      <c r="AW3577" s="147"/>
      <c r="AX3577" s="147"/>
      <c r="AY3577" s="147"/>
      <c r="AZ3577" s="147"/>
      <c r="BA3577" s="147"/>
    </row>
    <row r="3578" spans="1:53" ht="15.75" customHeight="1">
      <c r="A3578" s="99"/>
      <c r="B3578" s="99"/>
      <c r="C3578" s="147"/>
      <c r="D3578" s="147"/>
      <c r="E3578" s="147"/>
      <c r="F3578" s="147"/>
      <c r="G3578" s="147"/>
      <c r="H3578" s="147"/>
      <c r="I3578" s="147"/>
      <c r="J3578" s="147"/>
      <c r="K3578" s="147"/>
      <c r="L3578" s="147"/>
      <c r="M3578" s="147"/>
      <c r="N3578" s="147"/>
      <c r="O3578" s="147"/>
      <c r="P3578" s="147"/>
      <c r="Q3578" s="147"/>
      <c r="R3578" s="147"/>
      <c r="S3578" s="147"/>
      <c r="T3578" s="147"/>
      <c r="U3578" s="147"/>
      <c r="V3578" s="147"/>
      <c r="W3578" s="147"/>
      <c r="X3578" s="147"/>
      <c r="Y3578" s="147"/>
      <c r="Z3578" s="147"/>
      <c r="AA3578" s="147"/>
      <c r="AB3578" s="147"/>
      <c r="AC3578" s="147"/>
      <c r="AD3578" s="147"/>
      <c r="AE3578" s="147"/>
      <c r="AF3578" s="147"/>
      <c r="AG3578" s="147"/>
      <c r="AH3578" s="147"/>
      <c r="AI3578" s="147"/>
      <c r="AJ3578" s="147"/>
      <c r="AK3578" s="147"/>
      <c r="AL3578" s="147"/>
      <c r="AM3578" s="147"/>
      <c r="AN3578" s="147"/>
      <c r="AO3578" s="147"/>
      <c r="AP3578" s="147"/>
      <c r="AQ3578" s="147"/>
      <c r="AR3578" s="147"/>
      <c r="AS3578" s="147"/>
      <c r="AT3578" s="147"/>
      <c r="AU3578" s="147"/>
      <c r="AV3578" s="147"/>
      <c r="AW3578" s="147"/>
      <c r="AX3578" s="147"/>
      <c r="AY3578" s="147"/>
      <c r="AZ3578" s="147"/>
      <c r="BA3578" s="147"/>
    </row>
    <row r="3579" spans="1:53" ht="15.75" customHeight="1">
      <c r="A3579" s="99"/>
      <c r="B3579" s="99"/>
      <c r="C3579" s="147"/>
      <c r="D3579" s="147"/>
      <c r="E3579" s="147"/>
      <c r="F3579" s="147"/>
      <c r="G3579" s="147"/>
      <c r="H3579" s="147"/>
      <c r="I3579" s="147"/>
      <c r="J3579" s="147"/>
      <c r="K3579" s="147"/>
      <c r="L3579" s="147"/>
      <c r="M3579" s="147"/>
      <c r="N3579" s="147"/>
      <c r="O3579" s="147"/>
      <c r="P3579" s="147"/>
      <c r="Q3579" s="147"/>
      <c r="R3579" s="147"/>
      <c r="S3579" s="147"/>
      <c r="T3579" s="147"/>
      <c r="U3579" s="147"/>
      <c r="V3579" s="147"/>
      <c r="W3579" s="147"/>
      <c r="X3579" s="147"/>
      <c r="Y3579" s="147"/>
      <c r="Z3579" s="147"/>
      <c r="AA3579" s="147"/>
      <c r="AB3579" s="147"/>
      <c r="AC3579" s="147"/>
      <c r="AD3579" s="147"/>
      <c r="AE3579" s="147"/>
      <c r="AF3579" s="147"/>
      <c r="AG3579" s="147"/>
      <c r="AH3579" s="147"/>
      <c r="AI3579" s="147"/>
      <c r="AJ3579" s="147"/>
      <c r="AK3579" s="147"/>
      <c r="AL3579" s="147"/>
      <c r="AM3579" s="147"/>
      <c r="AN3579" s="147"/>
      <c r="AO3579" s="147"/>
      <c r="AP3579" s="147"/>
      <c r="AQ3579" s="147"/>
      <c r="AR3579" s="147"/>
      <c r="AS3579" s="147"/>
      <c r="AT3579" s="147"/>
      <c r="AU3579" s="147"/>
      <c r="AV3579" s="147"/>
      <c r="AW3579" s="147"/>
      <c r="AX3579" s="147"/>
      <c r="AY3579" s="147"/>
      <c r="AZ3579" s="147"/>
      <c r="BA3579" s="147"/>
    </row>
    <row r="3580" spans="1:53" ht="15.75" customHeight="1">
      <c r="A3580" s="99"/>
      <c r="B3580" s="99"/>
      <c r="C3580" s="147"/>
      <c r="D3580" s="147"/>
      <c r="E3580" s="147"/>
      <c r="F3580" s="147"/>
      <c r="G3580" s="147"/>
      <c r="H3580" s="147"/>
      <c r="I3580" s="147"/>
      <c r="J3580" s="147"/>
      <c r="K3580" s="147"/>
      <c r="L3580" s="147"/>
      <c r="M3580" s="147"/>
      <c r="N3580" s="147"/>
      <c r="O3580" s="147"/>
      <c r="P3580" s="147"/>
      <c r="Q3580" s="147"/>
      <c r="R3580" s="147"/>
      <c r="S3580" s="147"/>
      <c r="T3580" s="147"/>
      <c r="U3580" s="147"/>
      <c r="V3580" s="147"/>
      <c r="W3580" s="147"/>
      <c r="X3580" s="147"/>
      <c r="Y3580" s="147"/>
      <c r="Z3580" s="147"/>
      <c r="AA3580" s="147"/>
      <c r="AB3580" s="147"/>
      <c r="AC3580" s="147"/>
      <c r="AD3580" s="147"/>
      <c r="AE3580" s="147"/>
      <c r="AF3580" s="147"/>
      <c r="AG3580" s="147"/>
      <c r="AH3580" s="147"/>
      <c r="AI3580" s="147"/>
      <c r="AJ3580" s="147"/>
      <c r="AK3580" s="147"/>
      <c r="AL3580" s="147"/>
      <c r="AM3580" s="147"/>
      <c r="AN3580" s="147"/>
      <c r="AO3580" s="147"/>
      <c r="AP3580" s="147"/>
      <c r="AQ3580" s="147"/>
      <c r="AR3580" s="147"/>
      <c r="AS3580" s="147"/>
      <c r="AT3580" s="147"/>
      <c r="AU3580" s="147"/>
      <c r="AV3580" s="147"/>
      <c r="AW3580" s="147"/>
      <c r="AX3580" s="147"/>
      <c r="AY3580" s="147"/>
      <c r="AZ3580" s="147"/>
      <c r="BA3580" s="147"/>
    </row>
    <row r="3581" spans="1:53" ht="15.75" customHeight="1">
      <c r="A3581" s="99"/>
      <c r="B3581" s="99"/>
      <c r="C3581" s="147"/>
      <c r="D3581" s="147"/>
      <c r="E3581" s="147"/>
      <c r="F3581" s="147"/>
      <c r="G3581" s="147"/>
      <c r="H3581" s="147"/>
      <c r="I3581" s="147"/>
      <c r="J3581" s="147"/>
      <c r="K3581" s="147"/>
      <c r="L3581" s="147"/>
      <c r="M3581" s="147"/>
      <c r="N3581" s="147"/>
      <c r="O3581" s="147"/>
      <c r="P3581" s="147"/>
      <c r="Q3581" s="147"/>
      <c r="R3581" s="147"/>
      <c r="S3581" s="147"/>
      <c r="T3581" s="147"/>
      <c r="U3581" s="147"/>
      <c r="V3581" s="147"/>
      <c r="W3581" s="147"/>
      <c r="X3581" s="147"/>
      <c r="Y3581" s="147"/>
      <c r="Z3581" s="147"/>
      <c r="AA3581" s="147"/>
      <c r="AB3581" s="147"/>
      <c r="AC3581" s="147"/>
      <c r="AD3581" s="147"/>
      <c r="AE3581" s="147"/>
      <c r="AF3581" s="147"/>
      <c r="AG3581" s="147"/>
      <c r="AH3581" s="147"/>
      <c r="AI3581" s="147"/>
      <c r="AJ3581" s="147"/>
      <c r="AK3581" s="147"/>
      <c r="AL3581" s="147"/>
      <c r="AM3581" s="147"/>
      <c r="AN3581" s="147"/>
      <c r="AO3581" s="147"/>
      <c r="AP3581" s="147"/>
      <c r="AQ3581" s="147"/>
      <c r="AR3581" s="147"/>
      <c r="AS3581" s="147"/>
      <c r="AT3581" s="147"/>
      <c r="AU3581" s="147"/>
      <c r="AV3581" s="147"/>
      <c r="AW3581" s="147"/>
      <c r="AX3581" s="147"/>
      <c r="AY3581" s="147"/>
      <c r="AZ3581" s="147"/>
      <c r="BA3581" s="147"/>
    </row>
    <row r="3582" spans="1:53" ht="15.75" customHeight="1">
      <c r="A3582" s="99"/>
      <c r="B3582" s="99"/>
      <c r="C3582" s="147"/>
      <c r="D3582" s="147"/>
      <c r="E3582" s="147"/>
      <c r="F3582" s="147"/>
      <c r="G3582" s="147"/>
      <c r="H3582" s="147"/>
      <c r="I3582" s="147"/>
      <c r="J3582" s="147"/>
      <c r="K3582" s="147"/>
      <c r="L3582" s="147"/>
      <c r="M3582" s="147"/>
      <c r="N3582" s="147"/>
      <c r="O3582" s="147"/>
      <c r="P3582" s="147"/>
      <c r="Q3582" s="147"/>
      <c r="R3582" s="147"/>
      <c r="S3582" s="147"/>
      <c r="T3582" s="147"/>
      <c r="U3582" s="147"/>
      <c r="V3582" s="147"/>
      <c r="W3582" s="147"/>
      <c r="X3582" s="147"/>
      <c r="Y3582" s="147"/>
      <c r="Z3582" s="147"/>
      <c r="AA3582" s="147"/>
      <c r="AB3582" s="147"/>
      <c r="AC3582" s="147"/>
      <c r="AD3582" s="147"/>
      <c r="AE3582" s="147"/>
      <c r="AF3582" s="147"/>
      <c r="AG3582" s="147"/>
      <c r="AH3582" s="147"/>
      <c r="AI3582" s="147"/>
      <c r="AJ3582" s="147"/>
      <c r="AK3582" s="147"/>
      <c r="AL3582" s="147"/>
      <c r="AM3582" s="147"/>
      <c r="AN3582" s="147"/>
      <c r="AO3582" s="147"/>
      <c r="AP3582" s="147"/>
      <c r="AQ3582" s="147"/>
      <c r="AR3582" s="147"/>
      <c r="AS3582" s="147"/>
      <c r="AT3582" s="147"/>
      <c r="AU3582" s="147"/>
      <c r="AV3582" s="147"/>
      <c r="AW3582" s="147"/>
      <c r="AX3582" s="147"/>
      <c r="AY3582" s="147"/>
      <c r="AZ3582" s="147"/>
      <c r="BA3582" s="147"/>
    </row>
    <row r="3583" spans="1:53" ht="15.75" customHeight="1">
      <c r="A3583" s="99"/>
      <c r="B3583" s="99"/>
      <c r="C3583" s="147"/>
      <c r="D3583" s="147"/>
      <c r="E3583" s="147"/>
      <c r="F3583" s="147"/>
      <c r="G3583" s="147"/>
      <c r="H3583" s="147"/>
      <c r="I3583" s="147"/>
      <c r="J3583" s="147"/>
      <c r="K3583" s="147"/>
      <c r="L3583" s="147"/>
      <c r="M3583" s="147"/>
      <c r="N3583" s="147"/>
      <c r="O3583" s="147"/>
      <c r="P3583" s="147"/>
      <c r="Q3583" s="147"/>
      <c r="R3583" s="147"/>
      <c r="S3583" s="147"/>
      <c r="T3583" s="147"/>
      <c r="U3583" s="147"/>
      <c r="V3583" s="147"/>
      <c r="W3583" s="147"/>
      <c r="X3583" s="147"/>
      <c r="Y3583" s="147"/>
      <c r="Z3583" s="147"/>
      <c r="AA3583" s="147"/>
      <c r="AB3583" s="147"/>
      <c r="AC3583" s="147"/>
      <c r="AD3583" s="147"/>
      <c r="AE3583" s="147"/>
      <c r="AF3583" s="147"/>
      <c r="AG3583" s="147"/>
      <c r="AH3583" s="147"/>
      <c r="AI3583" s="147"/>
      <c r="AJ3583" s="147"/>
      <c r="AK3583" s="147"/>
      <c r="AL3583" s="147"/>
      <c r="AM3583" s="147"/>
      <c r="AN3583" s="147"/>
      <c r="AO3583" s="147"/>
      <c r="AP3583" s="147"/>
      <c r="AQ3583" s="147"/>
      <c r="AR3583" s="147"/>
      <c r="AS3583" s="147"/>
      <c r="AT3583" s="147"/>
      <c r="AU3583" s="147"/>
      <c r="AV3583" s="147"/>
      <c r="AW3583" s="147"/>
      <c r="AX3583" s="147"/>
      <c r="AY3583" s="147"/>
      <c r="AZ3583" s="147"/>
      <c r="BA3583" s="147"/>
    </row>
    <row r="3584" spans="1:53" ht="15.75" customHeight="1">
      <c r="A3584" s="99"/>
      <c r="B3584" s="99"/>
      <c r="C3584" s="147"/>
      <c r="D3584" s="147"/>
      <c r="E3584" s="147"/>
      <c r="F3584" s="147"/>
      <c r="G3584" s="147"/>
      <c r="H3584" s="147"/>
      <c r="I3584" s="147"/>
      <c r="J3584" s="147"/>
      <c r="K3584" s="147"/>
      <c r="L3584" s="147"/>
      <c r="M3584" s="147"/>
      <c r="N3584" s="147"/>
      <c r="O3584" s="147"/>
      <c r="P3584" s="147"/>
      <c r="Q3584" s="147"/>
      <c r="R3584" s="147"/>
      <c r="S3584" s="147"/>
      <c r="T3584" s="147"/>
      <c r="U3584" s="147"/>
      <c r="V3584" s="147"/>
      <c r="W3584" s="147"/>
      <c r="X3584" s="147"/>
      <c r="Y3584" s="147"/>
      <c r="Z3584" s="147"/>
      <c r="AA3584" s="147"/>
      <c r="AB3584" s="147"/>
      <c r="AC3584" s="147"/>
      <c r="AD3584" s="147"/>
      <c r="AE3584" s="147"/>
      <c r="AF3584" s="147"/>
      <c r="AG3584" s="147"/>
      <c r="AH3584" s="147"/>
      <c r="AI3584" s="147"/>
      <c r="AJ3584" s="147"/>
      <c r="AK3584" s="147"/>
      <c r="AL3584" s="147"/>
      <c r="AM3584" s="147"/>
      <c r="AN3584" s="147"/>
      <c r="AO3584" s="147"/>
      <c r="AP3584" s="147"/>
      <c r="AQ3584" s="147"/>
      <c r="AR3584" s="147"/>
      <c r="AS3584" s="147"/>
      <c r="AT3584" s="147"/>
      <c r="AU3584" s="147"/>
      <c r="AV3584" s="147"/>
      <c r="AW3584" s="147"/>
      <c r="AX3584" s="147"/>
      <c r="AY3584" s="147"/>
      <c r="AZ3584" s="147"/>
      <c r="BA3584" s="147"/>
    </row>
    <row r="3585" spans="1:53" ht="15.75" customHeight="1">
      <c r="A3585" s="99"/>
      <c r="B3585" s="99"/>
      <c r="C3585" s="147"/>
      <c r="D3585" s="147"/>
      <c r="E3585" s="147"/>
      <c r="F3585" s="147"/>
      <c r="G3585" s="147"/>
      <c r="H3585" s="147"/>
      <c r="I3585" s="147"/>
      <c r="J3585" s="147"/>
      <c r="K3585" s="147"/>
      <c r="L3585" s="147"/>
      <c r="M3585" s="147"/>
      <c r="N3585" s="147"/>
      <c r="O3585" s="147"/>
      <c r="P3585" s="147"/>
      <c r="Q3585" s="147"/>
      <c r="R3585" s="147"/>
      <c r="S3585" s="147"/>
      <c r="T3585" s="147"/>
      <c r="U3585" s="147"/>
      <c r="V3585" s="147"/>
      <c r="W3585" s="147"/>
      <c r="X3585" s="147"/>
      <c r="Y3585" s="147"/>
      <c r="Z3585" s="147"/>
      <c r="AA3585" s="147"/>
      <c r="AB3585" s="147"/>
      <c r="AC3585" s="147"/>
      <c r="AD3585" s="147"/>
      <c r="AE3585" s="147"/>
      <c r="AF3585" s="147"/>
      <c r="AG3585" s="147"/>
      <c r="AH3585" s="147"/>
      <c r="AI3585" s="147"/>
      <c r="AJ3585" s="147"/>
      <c r="AK3585" s="147"/>
      <c r="AL3585" s="147"/>
      <c r="AM3585" s="147"/>
      <c r="AN3585" s="147"/>
      <c r="AO3585" s="147"/>
      <c r="AP3585" s="147"/>
      <c r="AQ3585" s="147"/>
      <c r="AR3585" s="147"/>
      <c r="AS3585" s="147"/>
      <c r="AT3585" s="147"/>
      <c r="AU3585" s="147"/>
      <c r="AV3585" s="147"/>
      <c r="AW3585" s="147"/>
      <c r="AX3585" s="147"/>
      <c r="AY3585" s="147"/>
      <c r="AZ3585" s="147"/>
      <c r="BA3585" s="147"/>
    </row>
    <row r="3586" spans="1:53" ht="15.75" customHeight="1">
      <c r="A3586" s="99"/>
      <c r="B3586" s="99"/>
      <c r="C3586" s="147"/>
      <c r="D3586" s="147"/>
      <c r="E3586" s="147"/>
      <c r="F3586" s="147"/>
      <c r="G3586" s="147"/>
      <c r="H3586" s="147"/>
      <c r="I3586" s="147"/>
      <c r="J3586" s="147"/>
      <c r="K3586" s="147"/>
      <c r="L3586" s="147"/>
      <c r="M3586" s="147"/>
      <c r="N3586" s="147"/>
      <c r="O3586" s="147"/>
      <c r="P3586" s="147"/>
      <c r="Q3586" s="147"/>
      <c r="R3586" s="147"/>
      <c r="S3586" s="147"/>
      <c r="T3586" s="147"/>
      <c r="U3586" s="147"/>
      <c r="V3586" s="147"/>
      <c r="W3586" s="147"/>
      <c r="X3586" s="147"/>
      <c r="Y3586" s="147"/>
      <c r="Z3586" s="147"/>
      <c r="AA3586" s="147"/>
      <c r="AB3586" s="147"/>
      <c r="AC3586" s="147"/>
      <c r="AD3586" s="147"/>
      <c r="AE3586" s="147"/>
      <c r="AF3586" s="147"/>
      <c r="AG3586" s="147"/>
      <c r="AH3586" s="147"/>
      <c r="AI3586" s="147"/>
      <c r="AJ3586" s="147"/>
      <c r="AK3586" s="147"/>
      <c r="AL3586" s="147"/>
      <c r="AM3586" s="147"/>
      <c r="AN3586" s="147"/>
      <c r="AO3586" s="147"/>
      <c r="AP3586" s="147"/>
      <c r="AQ3586" s="147"/>
      <c r="AR3586" s="147"/>
      <c r="AS3586" s="147"/>
      <c r="AT3586" s="147"/>
      <c r="AU3586" s="147"/>
      <c r="AV3586" s="147"/>
      <c r="AW3586" s="147"/>
      <c r="AX3586" s="147"/>
      <c r="AY3586" s="147"/>
      <c r="AZ3586" s="147"/>
      <c r="BA3586" s="147"/>
    </row>
    <row r="3587" spans="1:53" ht="15.75" customHeight="1">
      <c r="A3587" s="99"/>
      <c r="B3587" s="99"/>
      <c r="C3587" s="147"/>
      <c r="D3587" s="147"/>
      <c r="E3587" s="147"/>
      <c r="F3587" s="147"/>
      <c r="G3587" s="147"/>
      <c r="H3587" s="147"/>
      <c r="I3587" s="147"/>
      <c r="J3587" s="147"/>
      <c r="K3587" s="147"/>
      <c r="L3587" s="147"/>
      <c r="M3587" s="147"/>
      <c r="N3587" s="147"/>
      <c r="O3587" s="147"/>
      <c r="P3587" s="147"/>
      <c r="Q3587" s="147"/>
      <c r="R3587" s="147"/>
      <c r="S3587" s="147"/>
      <c r="T3587" s="147"/>
      <c r="U3587" s="147"/>
      <c r="V3587" s="147"/>
      <c r="W3587" s="147"/>
      <c r="X3587" s="147"/>
      <c r="Y3587" s="147"/>
      <c r="Z3587" s="147"/>
      <c r="AA3587" s="147"/>
      <c r="AB3587" s="147"/>
      <c r="AC3587" s="147"/>
      <c r="AD3587" s="147"/>
      <c r="AE3587" s="147"/>
      <c r="AF3587" s="147"/>
      <c r="AG3587" s="147"/>
      <c r="AH3587" s="147"/>
      <c r="AI3587" s="147"/>
      <c r="AJ3587" s="147"/>
      <c r="AK3587" s="147"/>
      <c r="AL3587" s="147"/>
      <c r="AM3587" s="147"/>
      <c r="AN3587" s="147"/>
      <c r="AO3587" s="147"/>
      <c r="AP3587" s="147"/>
      <c r="AQ3587" s="147"/>
      <c r="AR3587" s="147"/>
      <c r="AS3587" s="147"/>
      <c r="AT3587" s="147"/>
      <c r="AU3587" s="147"/>
      <c r="AV3587" s="147"/>
      <c r="AW3587" s="147"/>
      <c r="AX3587" s="147"/>
      <c r="AY3587" s="147"/>
      <c r="AZ3587" s="147"/>
      <c r="BA3587" s="147"/>
    </row>
    <row r="3588" spans="1:53" ht="15.75" customHeight="1">
      <c r="A3588" s="99"/>
      <c r="B3588" s="99"/>
      <c r="C3588" s="147"/>
      <c r="D3588" s="147"/>
      <c r="E3588" s="147"/>
      <c r="F3588" s="147"/>
      <c r="G3588" s="147"/>
      <c r="H3588" s="147"/>
      <c r="I3588" s="147"/>
      <c r="J3588" s="147"/>
      <c r="K3588" s="147"/>
      <c r="L3588" s="147"/>
      <c r="M3588" s="147"/>
      <c r="N3588" s="147"/>
      <c r="O3588" s="147"/>
      <c r="P3588" s="147"/>
      <c r="Q3588" s="147"/>
      <c r="R3588" s="147"/>
      <c r="S3588" s="147"/>
      <c r="T3588" s="147"/>
      <c r="U3588" s="147"/>
      <c r="V3588" s="147"/>
      <c r="W3588" s="147"/>
      <c r="X3588" s="147"/>
      <c r="Y3588" s="147"/>
      <c r="Z3588" s="147"/>
      <c r="AA3588" s="147"/>
      <c r="AB3588" s="147"/>
      <c r="AC3588" s="147"/>
      <c r="AD3588" s="147"/>
      <c r="AE3588" s="147"/>
      <c r="AF3588" s="147"/>
      <c r="AG3588" s="147"/>
      <c r="AH3588" s="147"/>
      <c r="AI3588" s="147"/>
      <c r="AJ3588" s="147"/>
      <c r="AK3588" s="147"/>
      <c r="AL3588" s="147"/>
      <c r="AM3588" s="147"/>
      <c r="AN3588" s="147"/>
      <c r="AO3588" s="147"/>
      <c r="AP3588" s="147"/>
      <c r="AQ3588" s="147"/>
      <c r="AR3588" s="147"/>
      <c r="AS3588" s="147"/>
      <c r="AT3588" s="147"/>
      <c r="AU3588" s="147"/>
      <c r="AV3588" s="147"/>
      <c r="AW3588" s="147"/>
      <c r="AX3588" s="147"/>
      <c r="AY3588" s="147"/>
      <c r="AZ3588" s="147"/>
      <c r="BA3588" s="147"/>
    </row>
    <row r="3589" spans="1:53" ht="15.75" customHeight="1">
      <c r="A3589" s="99"/>
      <c r="B3589" s="99"/>
      <c r="C3589" s="147"/>
      <c r="D3589" s="147"/>
      <c r="E3589" s="147"/>
      <c r="F3589" s="147"/>
      <c r="G3589" s="147"/>
      <c r="H3589" s="147"/>
      <c r="I3589" s="147"/>
      <c r="J3589" s="147"/>
      <c r="K3589" s="147"/>
      <c r="L3589" s="147"/>
      <c r="M3589" s="147"/>
      <c r="N3589" s="147"/>
      <c r="O3589" s="147"/>
      <c r="P3589" s="147"/>
      <c r="Q3589" s="147"/>
      <c r="R3589" s="147"/>
      <c r="S3589" s="147"/>
      <c r="T3589" s="147"/>
      <c r="U3589" s="147"/>
      <c r="V3589" s="147"/>
      <c r="W3589" s="147"/>
      <c r="X3589" s="147"/>
      <c r="Y3589" s="147"/>
      <c r="Z3589" s="147"/>
      <c r="AA3589" s="147"/>
      <c r="AB3589" s="147"/>
      <c r="AC3589" s="147"/>
      <c r="AD3589" s="147"/>
      <c r="AE3589" s="147"/>
      <c r="AF3589" s="147"/>
      <c r="AG3589" s="147"/>
      <c r="AH3589" s="147"/>
      <c r="AI3589" s="147"/>
      <c r="AJ3589" s="147"/>
      <c r="AK3589" s="147"/>
      <c r="AL3589" s="147"/>
      <c r="AM3589" s="147"/>
      <c r="AN3589" s="147"/>
      <c r="AO3589" s="147"/>
      <c r="AP3589" s="147"/>
      <c r="AQ3589" s="147"/>
      <c r="AR3589" s="147"/>
      <c r="AS3589" s="147"/>
      <c r="AT3589" s="147"/>
      <c r="AU3589" s="147"/>
      <c r="AV3589" s="147"/>
      <c r="AW3589" s="147"/>
      <c r="AX3589" s="147"/>
      <c r="AY3589" s="147"/>
      <c r="AZ3589" s="147"/>
      <c r="BA3589" s="147"/>
    </row>
    <row r="3590" spans="1:53" ht="15.75" customHeight="1">
      <c r="A3590" s="99"/>
      <c r="B3590" s="99"/>
      <c r="C3590" s="147"/>
      <c r="D3590" s="147"/>
      <c r="E3590" s="147"/>
      <c r="F3590" s="147"/>
      <c r="G3590" s="147"/>
      <c r="H3590" s="147"/>
      <c r="I3590" s="147"/>
      <c r="J3590" s="147"/>
      <c r="K3590" s="147"/>
      <c r="L3590" s="147"/>
      <c r="M3590" s="147"/>
      <c r="N3590" s="147"/>
      <c r="O3590" s="147"/>
      <c r="P3590" s="147"/>
      <c r="Q3590" s="147"/>
      <c r="R3590" s="147"/>
      <c r="S3590" s="147"/>
      <c r="T3590" s="147"/>
      <c r="U3590" s="147"/>
      <c r="V3590" s="147"/>
      <c r="W3590" s="147"/>
      <c r="X3590" s="147"/>
      <c r="Y3590" s="147"/>
      <c r="Z3590" s="147"/>
      <c r="AA3590" s="147"/>
      <c r="AB3590" s="147"/>
      <c r="AC3590" s="147"/>
      <c r="AD3590" s="147"/>
      <c r="AE3590" s="147"/>
      <c r="AF3590" s="147"/>
      <c r="AG3590" s="147"/>
      <c r="AH3590" s="147"/>
      <c r="AI3590" s="147"/>
      <c r="AJ3590" s="147"/>
      <c r="AK3590" s="147"/>
      <c r="AL3590" s="147"/>
      <c r="AM3590" s="147"/>
      <c r="AN3590" s="147"/>
      <c r="AO3590" s="147"/>
      <c r="AP3590" s="147"/>
      <c r="AQ3590" s="147"/>
      <c r="AR3590" s="147"/>
      <c r="AS3590" s="147"/>
      <c r="AT3590" s="147"/>
      <c r="AU3590" s="147"/>
      <c r="AV3590" s="147"/>
      <c r="AW3590" s="147"/>
      <c r="AX3590" s="147"/>
      <c r="AY3590" s="147"/>
      <c r="AZ3590" s="147"/>
      <c r="BA3590" s="147"/>
    </row>
    <row r="3591" spans="1:53" ht="15.75" customHeight="1">
      <c r="A3591" s="99"/>
      <c r="B3591" s="99"/>
      <c r="C3591" s="147"/>
      <c r="D3591" s="147"/>
      <c r="E3591" s="147"/>
      <c r="F3591" s="147"/>
      <c r="G3591" s="147"/>
      <c r="H3591" s="147"/>
      <c r="I3591" s="147"/>
      <c r="J3591" s="147"/>
      <c r="K3591" s="147"/>
      <c r="L3591" s="147"/>
      <c r="M3591" s="147"/>
      <c r="N3591" s="147"/>
      <c r="O3591" s="147"/>
      <c r="P3591" s="147"/>
      <c r="Q3591" s="147"/>
      <c r="R3591" s="147"/>
      <c r="S3591" s="147"/>
      <c r="T3591" s="147"/>
      <c r="U3591" s="147"/>
      <c r="V3591" s="147"/>
      <c r="W3591" s="147"/>
      <c r="X3591" s="147"/>
      <c r="Y3591" s="147"/>
      <c r="Z3591" s="147"/>
      <c r="AA3591" s="147"/>
      <c r="AB3591" s="147"/>
      <c r="AC3591" s="147"/>
      <c r="AD3591" s="147"/>
      <c r="AE3591" s="147"/>
      <c r="AF3591" s="147"/>
      <c r="AG3591" s="147"/>
      <c r="AH3591" s="147"/>
      <c r="AI3591" s="147"/>
      <c r="AJ3591" s="147"/>
      <c r="AK3591" s="147"/>
      <c r="AL3591" s="147"/>
      <c r="AM3591" s="147"/>
      <c r="AN3591" s="147"/>
      <c r="AO3591" s="147"/>
      <c r="AP3591" s="147"/>
      <c r="AQ3591" s="147"/>
      <c r="AR3591" s="147"/>
      <c r="AS3591" s="147"/>
      <c r="AT3591" s="147"/>
      <c r="AU3591" s="147"/>
      <c r="AV3591" s="147"/>
      <c r="AW3591" s="147"/>
      <c r="AX3591" s="147"/>
      <c r="AY3591" s="147"/>
      <c r="AZ3591" s="147"/>
      <c r="BA3591" s="147"/>
    </row>
    <row r="3592" spans="1:53" ht="15.75" customHeight="1">
      <c r="A3592" s="99"/>
      <c r="B3592" s="99"/>
      <c r="C3592" s="147"/>
      <c r="D3592" s="147"/>
      <c r="E3592" s="147"/>
      <c r="F3592" s="147"/>
      <c r="G3592" s="147"/>
      <c r="H3592" s="147"/>
      <c r="I3592" s="147"/>
      <c r="J3592" s="147"/>
      <c r="K3592" s="147"/>
      <c r="L3592" s="147"/>
      <c r="M3592" s="147"/>
      <c r="N3592" s="147"/>
      <c r="O3592" s="147"/>
      <c r="P3592" s="147"/>
      <c r="Q3592" s="147"/>
      <c r="R3592" s="147"/>
      <c r="S3592" s="147"/>
      <c r="T3592" s="147"/>
      <c r="U3592" s="147"/>
      <c r="V3592" s="147"/>
      <c r="W3592" s="147"/>
      <c r="X3592" s="147"/>
      <c r="Y3592" s="147"/>
      <c r="Z3592" s="147"/>
      <c r="AA3592" s="147"/>
      <c r="AB3592" s="147"/>
      <c r="AC3592" s="147"/>
      <c r="AD3592" s="147"/>
      <c r="AE3592" s="147"/>
      <c r="AF3592" s="147"/>
      <c r="AG3592" s="147"/>
      <c r="AH3592" s="147"/>
      <c r="AI3592" s="147"/>
      <c r="AJ3592" s="147"/>
      <c r="AK3592" s="147"/>
      <c r="AL3592" s="147"/>
      <c r="AM3592" s="147"/>
      <c r="AN3592" s="147"/>
      <c r="AO3592" s="147"/>
      <c r="AP3592" s="147"/>
      <c r="AQ3592" s="147"/>
      <c r="AR3592" s="147"/>
      <c r="AS3592" s="147"/>
      <c r="AT3592" s="147"/>
      <c r="AU3592" s="147"/>
      <c r="AV3592" s="147"/>
      <c r="AW3592" s="147"/>
      <c r="AX3592" s="147"/>
      <c r="AY3592" s="147"/>
      <c r="AZ3592" s="147"/>
      <c r="BA3592" s="147"/>
    </row>
    <row r="3593" spans="1:53" ht="15.75" customHeight="1">
      <c r="A3593" s="99"/>
      <c r="B3593" s="99"/>
      <c r="C3593" s="147"/>
      <c r="D3593" s="147"/>
      <c r="E3593" s="147"/>
      <c r="F3593" s="147"/>
      <c r="G3593" s="147"/>
      <c r="H3593" s="147"/>
      <c r="I3593" s="147"/>
      <c r="J3593" s="147"/>
      <c r="K3593" s="147"/>
      <c r="L3593" s="147"/>
      <c r="M3593" s="147"/>
      <c r="N3593" s="147"/>
      <c r="O3593" s="147"/>
      <c r="P3593" s="147"/>
      <c r="Q3593" s="147"/>
      <c r="R3593" s="147"/>
      <c r="S3593" s="147"/>
      <c r="T3593" s="147"/>
      <c r="U3593" s="147"/>
      <c r="V3593" s="147"/>
      <c r="W3593" s="147"/>
      <c r="X3593" s="147"/>
      <c r="Y3593" s="147"/>
      <c r="Z3593" s="147"/>
      <c r="AA3593" s="147"/>
      <c r="AB3593" s="147"/>
      <c r="AC3593" s="147"/>
      <c r="AD3593" s="147"/>
      <c r="AE3593" s="147"/>
      <c r="AF3593" s="147"/>
      <c r="AG3593" s="147"/>
      <c r="AH3593" s="147"/>
      <c r="AI3593" s="147"/>
      <c r="AJ3593" s="147"/>
      <c r="AK3593" s="147"/>
      <c r="AL3593" s="147"/>
      <c r="AM3593" s="147"/>
      <c r="AN3593" s="147"/>
      <c r="AO3593" s="147"/>
      <c r="AP3593" s="147"/>
      <c r="AQ3593" s="147"/>
      <c r="AR3593" s="147"/>
      <c r="AS3593" s="147"/>
      <c r="AT3593" s="147"/>
      <c r="AU3593" s="147"/>
      <c r="AV3593" s="147"/>
      <c r="AW3593" s="147"/>
      <c r="AX3593" s="147"/>
      <c r="AY3593" s="147"/>
      <c r="AZ3593" s="147"/>
      <c r="BA3593" s="147"/>
    </row>
    <row r="3594" spans="1:53" ht="15.75" customHeight="1">
      <c r="A3594" s="99"/>
      <c r="B3594" s="99"/>
      <c r="C3594" s="147"/>
      <c r="D3594" s="147"/>
      <c r="E3594" s="147"/>
      <c r="F3594" s="147"/>
      <c r="G3594" s="147"/>
      <c r="H3594" s="147"/>
      <c r="I3594" s="147"/>
      <c r="J3594" s="147"/>
      <c r="K3594" s="147"/>
      <c r="L3594" s="147"/>
      <c r="M3594" s="147"/>
      <c r="N3594" s="147"/>
      <c r="O3594" s="147"/>
      <c r="P3594" s="147"/>
      <c r="Q3594" s="147"/>
      <c r="R3594" s="147"/>
      <c r="S3594" s="147"/>
      <c r="T3594" s="147"/>
      <c r="U3594" s="147"/>
      <c r="V3594" s="147"/>
      <c r="W3594" s="147"/>
      <c r="X3594" s="147"/>
      <c r="Y3594" s="147"/>
      <c r="Z3594" s="147"/>
      <c r="AA3594" s="147"/>
      <c r="AB3594" s="147"/>
      <c r="AC3594" s="147"/>
      <c r="AD3594" s="147"/>
      <c r="AE3594" s="147"/>
      <c r="AF3594" s="147"/>
      <c r="AG3594" s="147"/>
      <c r="AH3594" s="147"/>
      <c r="AI3594" s="147"/>
      <c r="AJ3594" s="147"/>
      <c r="AK3594" s="147"/>
      <c r="AL3594" s="147"/>
      <c r="AM3594" s="147"/>
      <c r="AN3594" s="147"/>
      <c r="AO3594" s="147"/>
      <c r="AP3594" s="147"/>
      <c r="AQ3594" s="147"/>
      <c r="AR3594" s="147"/>
      <c r="AS3594" s="147"/>
      <c r="AT3594" s="147"/>
      <c r="AU3594" s="147"/>
      <c r="AV3594" s="147"/>
      <c r="AW3594" s="147"/>
      <c r="AX3594" s="147"/>
      <c r="AY3594" s="147"/>
      <c r="AZ3594" s="147"/>
      <c r="BA3594" s="147"/>
    </row>
    <row r="3595" spans="1:53" ht="15.75" customHeight="1">
      <c r="A3595" s="99"/>
      <c r="B3595" s="99"/>
      <c r="C3595" s="147"/>
      <c r="D3595" s="147"/>
      <c r="E3595" s="147"/>
      <c r="F3595" s="147"/>
      <c r="G3595" s="147"/>
      <c r="H3595" s="147"/>
      <c r="I3595" s="147"/>
      <c r="J3595" s="147"/>
      <c r="K3595" s="147"/>
      <c r="L3595" s="147"/>
      <c r="M3595" s="147"/>
      <c r="N3595" s="147"/>
      <c r="O3595" s="147"/>
      <c r="P3595" s="147"/>
      <c r="Q3595" s="147"/>
      <c r="R3595" s="147"/>
      <c r="S3595" s="147"/>
      <c r="T3595" s="147"/>
      <c r="U3595" s="147"/>
      <c r="V3595" s="147"/>
      <c r="W3595" s="147"/>
      <c r="X3595" s="147"/>
      <c r="Y3595" s="147"/>
      <c r="Z3595" s="147"/>
      <c r="AA3595" s="147"/>
      <c r="AB3595" s="147"/>
      <c r="AC3595" s="147"/>
      <c r="AD3595" s="147"/>
      <c r="AE3595" s="147"/>
      <c r="AF3595" s="147"/>
      <c r="AG3595" s="147"/>
      <c r="AH3595" s="147"/>
      <c r="AI3595" s="147"/>
      <c r="AJ3595" s="147"/>
      <c r="AK3595" s="147"/>
      <c r="AL3595" s="147"/>
      <c r="AM3595" s="147"/>
      <c r="AN3595" s="147"/>
      <c r="AO3595" s="147"/>
      <c r="AP3595" s="147"/>
      <c r="AQ3595" s="147"/>
      <c r="AR3595" s="147"/>
      <c r="AS3595" s="147"/>
      <c r="AT3595" s="147"/>
      <c r="AU3595" s="147"/>
      <c r="AV3595" s="147"/>
      <c r="AW3595" s="147"/>
      <c r="AX3595" s="147"/>
      <c r="AY3595" s="147"/>
      <c r="AZ3595" s="147"/>
      <c r="BA3595" s="147"/>
    </row>
    <row r="3596" spans="1:53" ht="15.75" customHeight="1">
      <c r="A3596" s="99"/>
      <c r="B3596" s="99"/>
      <c r="C3596" s="147"/>
      <c r="D3596" s="147"/>
      <c r="E3596" s="147"/>
      <c r="F3596" s="147"/>
      <c r="G3596" s="147"/>
      <c r="H3596" s="147"/>
      <c r="I3596" s="147"/>
      <c r="J3596" s="147"/>
      <c r="K3596" s="147"/>
      <c r="L3596" s="147"/>
      <c r="M3596" s="147"/>
      <c r="N3596" s="147"/>
      <c r="O3596" s="147"/>
      <c r="P3596" s="147"/>
      <c r="Q3596" s="147"/>
      <c r="R3596" s="147"/>
      <c r="S3596" s="147"/>
      <c r="T3596" s="147"/>
      <c r="U3596" s="147"/>
      <c r="V3596" s="147"/>
      <c r="W3596" s="147"/>
      <c r="X3596" s="147"/>
      <c r="Y3596" s="147"/>
      <c r="Z3596" s="147"/>
      <c r="AA3596" s="147"/>
      <c r="AB3596" s="147"/>
      <c r="AC3596" s="147"/>
      <c r="AD3596" s="147"/>
      <c r="AE3596" s="147"/>
      <c r="AF3596" s="147"/>
      <c r="AG3596" s="147"/>
      <c r="AH3596" s="147"/>
      <c r="AI3596" s="147"/>
      <c r="AJ3596" s="147"/>
      <c r="AK3596" s="147"/>
      <c r="AL3596" s="147"/>
      <c r="AM3596" s="147"/>
      <c r="AN3596" s="147"/>
      <c r="AO3596" s="147"/>
      <c r="AP3596" s="147"/>
      <c r="AQ3596" s="147"/>
      <c r="AR3596" s="147"/>
      <c r="AS3596" s="147"/>
      <c r="AT3596" s="147"/>
      <c r="AU3596" s="147"/>
      <c r="AV3596" s="147"/>
      <c r="AW3596" s="147"/>
      <c r="AX3596" s="147"/>
      <c r="AY3596" s="147"/>
      <c r="AZ3596" s="147"/>
      <c r="BA3596" s="147"/>
    </row>
    <row r="3597" spans="1:53" ht="15.75" customHeight="1">
      <c r="A3597" s="99"/>
      <c r="B3597" s="99"/>
      <c r="C3597" s="147"/>
      <c r="D3597" s="147"/>
      <c r="E3597" s="147"/>
      <c r="F3597" s="147"/>
      <c r="G3597" s="147"/>
      <c r="H3597" s="147"/>
      <c r="I3597" s="147"/>
      <c r="J3597" s="147"/>
      <c r="K3597" s="147"/>
      <c r="L3597" s="147"/>
      <c r="M3597" s="147"/>
      <c r="N3597" s="147"/>
      <c r="O3597" s="147"/>
      <c r="P3597" s="147"/>
      <c r="Q3597" s="147"/>
      <c r="R3597" s="147"/>
      <c r="S3597" s="147"/>
      <c r="T3597" s="147"/>
      <c r="U3597" s="147"/>
      <c r="V3597" s="147"/>
      <c r="W3597" s="147"/>
      <c r="X3597" s="147"/>
      <c r="Y3597" s="147"/>
      <c r="Z3597" s="147"/>
      <c r="AA3597" s="147"/>
      <c r="AB3597" s="147"/>
      <c r="AC3597" s="147"/>
      <c r="AD3597" s="147"/>
      <c r="AE3597" s="147"/>
      <c r="AF3597" s="147"/>
      <c r="AG3597" s="147"/>
      <c r="AH3597" s="147"/>
      <c r="AI3597" s="147"/>
      <c r="AJ3597" s="147"/>
      <c r="AK3597" s="147"/>
      <c r="AL3597" s="147"/>
      <c r="AM3597" s="147"/>
      <c r="AN3597" s="147"/>
      <c r="AO3597" s="147"/>
      <c r="AP3597" s="147"/>
      <c r="AQ3597" s="147"/>
      <c r="AR3597" s="147"/>
      <c r="AS3597" s="147"/>
      <c r="AT3597" s="147"/>
      <c r="AU3597" s="147"/>
      <c r="AV3597" s="147"/>
      <c r="AW3597" s="147"/>
      <c r="AX3597" s="147"/>
      <c r="AY3597" s="147"/>
      <c r="AZ3597" s="147"/>
      <c r="BA3597" s="147"/>
    </row>
    <row r="3598" spans="1:53" ht="15.75" customHeight="1">
      <c r="A3598" s="99"/>
      <c r="B3598" s="99"/>
      <c r="C3598" s="147"/>
      <c r="D3598" s="147"/>
      <c r="E3598" s="147"/>
      <c r="F3598" s="147"/>
      <c r="G3598" s="147"/>
      <c r="H3598" s="147"/>
      <c r="I3598" s="147"/>
      <c r="J3598" s="147"/>
      <c r="K3598" s="147"/>
      <c r="L3598" s="147"/>
      <c r="M3598" s="147"/>
      <c r="N3598" s="147"/>
      <c r="O3598" s="147"/>
      <c r="P3598" s="147"/>
      <c r="Q3598" s="147"/>
      <c r="R3598" s="147"/>
      <c r="S3598" s="147"/>
      <c r="T3598" s="147"/>
      <c r="U3598" s="147"/>
      <c r="V3598" s="147"/>
      <c r="W3598" s="147"/>
      <c r="X3598" s="147"/>
      <c r="Y3598" s="147"/>
      <c r="Z3598" s="147"/>
      <c r="AA3598" s="147"/>
      <c r="AB3598" s="147"/>
      <c r="AC3598" s="147"/>
      <c r="AD3598" s="147"/>
      <c r="AE3598" s="147"/>
      <c r="AF3598" s="147"/>
      <c r="AG3598" s="147"/>
      <c r="AH3598" s="147"/>
      <c r="AI3598" s="147"/>
      <c r="AJ3598" s="147"/>
      <c r="AK3598" s="147"/>
      <c r="AL3598" s="147"/>
      <c r="AM3598" s="147"/>
      <c r="AN3598" s="147"/>
      <c r="AO3598" s="147"/>
      <c r="AP3598" s="147"/>
      <c r="AQ3598" s="147"/>
      <c r="AR3598" s="147"/>
      <c r="AS3598" s="147"/>
      <c r="AT3598" s="147"/>
      <c r="AU3598" s="147"/>
      <c r="AV3598" s="147"/>
      <c r="AW3598" s="147"/>
      <c r="AX3598" s="147"/>
      <c r="AY3598" s="147"/>
      <c r="AZ3598" s="147"/>
      <c r="BA3598" s="147"/>
    </row>
    <row r="3599" spans="1:53" ht="15.75" customHeight="1">
      <c r="A3599" s="99"/>
      <c r="B3599" s="99"/>
      <c r="C3599" s="147"/>
      <c r="D3599" s="147"/>
      <c r="E3599" s="147"/>
      <c r="F3599" s="147"/>
      <c r="G3599" s="147"/>
      <c r="H3599" s="147"/>
      <c r="I3599" s="147"/>
      <c r="J3599" s="147"/>
      <c r="K3599" s="147"/>
      <c r="L3599" s="147"/>
      <c r="M3599" s="147"/>
      <c r="N3599" s="147"/>
      <c r="O3599" s="147"/>
      <c r="P3599" s="147"/>
      <c r="Q3599" s="147"/>
      <c r="R3599" s="147"/>
      <c r="S3599" s="147"/>
      <c r="T3599" s="147"/>
      <c r="U3599" s="147"/>
      <c r="V3599" s="147"/>
      <c r="W3599" s="147"/>
      <c r="X3599" s="147"/>
      <c r="Y3599" s="147"/>
      <c r="Z3599" s="147"/>
      <c r="AA3599" s="147"/>
      <c r="AB3599" s="147"/>
      <c r="AC3599" s="147"/>
      <c r="AD3599" s="147"/>
      <c r="AE3599" s="147"/>
      <c r="AF3599" s="147"/>
      <c r="AG3599" s="147"/>
      <c r="AH3599" s="147"/>
      <c r="AI3599" s="147"/>
      <c r="AJ3599" s="147"/>
      <c r="AK3599" s="147"/>
      <c r="AL3599" s="147"/>
      <c r="AM3599" s="147"/>
      <c r="AN3599" s="147"/>
      <c r="AO3599" s="147"/>
      <c r="AP3599" s="147"/>
      <c r="AQ3599" s="147"/>
      <c r="AR3599" s="147"/>
      <c r="AS3599" s="147"/>
      <c r="AT3599" s="147"/>
      <c r="AU3599" s="147"/>
      <c r="AV3599" s="147"/>
      <c r="AW3599" s="147"/>
      <c r="AX3599" s="147"/>
      <c r="AY3599" s="147"/>
      <c r="AZ3599" s="147"/>
      <c r="BA3599" s="147"/>
    </row>
    <row r="3600" spans="1:53" ht="15.75" customHeight="1">
      <c r="A3600" s="99"/>
      <c r="B3600" s="99"/>
      <c r="C3600" s="147"/>
      <c r="D3600" s="147"/>
      <c r="E3600" s="147"/>
      <c r="F3600" s="147"/>
      <c r="G3600" s="147"/>
      <c r="H3600" s="147"/>
      <c r="I3600" s="147"/>
      <c r="J3600" s="147"/>
      <c r="K3600" s="147"/>
      <c r="L3600" s="147"/>
      <c r="M3600" s="147"/>
      <c r="N3600" s="147"/>
      <c r="O3600" s="147"/>
      <c r="P3600" s="147"/>
      <c r="Q3600" s="147"/>
      <c r="R3600" s="147"/>
      <c r="S3600" s="147"/>
      <c r="T3600" s="147"/>
      <c r="U3600" s="147"/>
      <c r="V3600" s="147"/>
      <c r="W3600" s="147"/>
      <c r="X3600" s="147"/>
      <c r="Y3600" s="147"/>
      <c r="Z3600" s="147"/>
      <c r="AA3600" s="147"/>
      <c r="AB3600" s="147"/>
      <c r="AC3600" s="147"/>
      <c r="AD3600" s="147"/>
      <c r="AE3600" s="147"/>
      <c r="AF3600" s="147"/>
      <c r="AG3600" s="147"/>
      <c r="AH3600" s="147"/>
      <c r="AI3600" s="147"/>
      <c r="AJ3600" s="147"/>
      <c r="AK3600" s="147"/>
      <c r="AL3600" s="147"/>
      <c r="AM3600" s="147"/>
      <c r="AN3600" s="147"/>
      <c r="AO3600" s="147"/>
      <c r="AP3600" s="147"/>
      <c r="AQ3600" s="147"/>
      <c r="AR3600" s="147"/>
      <c r="AS3600" s="147"/>
      <c r="AT3600" s="147"/>
      <c r="AU3600" s="147"/>
      <c r="AV3600" s="147"/>
      <c r="AW3600" s="147"/>
      <c r="AX3600" s="147"/>
      <c r="AY3600" s="147"/>
      <c r="AZ3600" s="147"/>
      <c r="BA3600" s="147"/>
    </row>
    <row r="3601" spans="1:53" ht="15.75" customHeight="1">
      <c r="A3601" s="99"/>
      <c r="B3601" s="99"/>
      <c r="C3601" s="147"/>
      <c r="D3601" s="147"/>
      <c r="E3601" s="147"/>
      <c r="F3601" s="147"/>
      <c r="G3601" s="147"/>
      <c r="H3601" s="147"/>
      <c r="I3601" s="147"/>
      <c r="J3601" s="147"/>
      <c r="K3601" s="147"/>
      <c r="L3601" s="147"/>
      <c r="M3601" s="147"/>
      <c r="N3601" s="147"/>
      <c r="O3601" s="147"/>
      <c r="P3601" s="147"/>
      <c r="Q3601" s="147"/>
      <c r="R3601" s="147"/>
      <c r="S3601" s="147"/>
      <c r="T3601" s="147"/>
      <c r="U3601" s="147"/>
      <c r="V3601" s="147"/>
      <c r="W3601" s="147"/>
      <c r="X3601" s="147"/>
      <c r="Y3601" s="147"/>
      <c r="Z3601" s="147"/>
      <c r="AA3601" s="147"/>
      <c r="AB3601" s="147"/>
      <c r="AC3601" s="147"/>
      <c r="AD3601" s="147"/>
      <c r="AE3601" s="147"/>
      <c r="AF3601" s="147"/>
      <c r="AG3601" s="147"/>
      <c r="AH3601" s="147"/>
      <c r="AI3601" s="147"/>
      <c r="AJ3601" s="147"/>
      <c r="AK3601" s="147"/>
      <c r="AL3601" s="147"/>
      <c r="AM3601" s="147"/>
      <c r="AN3601" s="147"/>
      <c r="AO3601" s="147"/>
      <c r="AP3601" s="147"/>
      <c r="AQ3601" s="147"/>
      <c r="AR3601" s="147"/>
      <c r="AS3601" s="147"/>
      <c r="AT3601" s="147"/>
      <c r="AU3601" s="147"/>
      <c r="AV3601" s="147"/>
      <c r="AW3601" s="147"/>
      <c r="AX3601" s="147"/>
      <c r="AY3601" s="147"/>
      <c r="AZ3601" s="147"/>
      <c r="BA3601" s="147"/>
    </row>
    <row r="3602" spans="1:53" ht="15.75" customHeight="1">
      <c r="A3602" s="99"/>
      <c r="B3602" s="99"/>
      <c r="C3602" s="147"/>
      <c r="D3602" s="147"/>
      <c r="E3602" s="147"/>
      <c r="F3602" s="147"/>
      <c r="G3602" s="147"/>
      <c r="H3602" s="147"/>
      <c r="I3602" s="147"/>
      <c r="J3602" s="147"/>
      <c r="K3602" s="147"/>
      <c r="L3602" s="147"/>
      <c r="M3602" s="147"/>
      <c r="N3602" s="147"/>
      <c r="O3602" s="147"/>
      <c r="P3602" s="147"/>
      <c r="Q3602" s="147"/>
      <c r="R3602" s="147"/>
      <c r="S3602" s="147"/>
      <c r="T3602" s="147"/>
      <c r="U3602" s="147"/>
      <c r="V3602" s="147"/>
      <c r="W3602" s="147"/>
      <c r="X3602" s="147"/>
      <c r="Y3602" s="147"/>
      <c r="Z3602" s="147"/>
      <c r="AA3602" s="147"/>
      <c r="AB3602" s="147"/>
      <c r="AC3602" s="147"/>
      <c r="AD3602" s="147"/>
      <c r="AE3602" s="147"/>
      <c r="AF3602" s="147"/>
      <c r="AG3602" s="147"/>
      <c r="AH3602" s="147"/>
      <c r="AI3602" s="147"/>
      <c r="AJ3602" s="147"/>
      <c r="AK3602" s="147"/>
      <c r="AL3602" s="147"/>
      <c r="AM3602" s="147"/>
      <c r="AN3602" s="147"/>
      <c r="AO3602" s="147"/>
      <c r="AP3602" s="147"/>
      <c r="AQ3602" s="147"/>
      <c r="AR3602" s="147"/>
      <c r="AS3602" s="147"/>
      <c r="AT3602" s="147"/>
      <c r="AU3602" s="147"/>
      <c r="AV3602" s="147"/>
      <c r="AW3602" s="147"/>
      <c r="AX3602" s="147"/>
      <c r="AY3602" s="147"/>
      <c r="AZ3602" s="147"/>
      <c r="BA3602" s="147"/>
    </row>
    <row r="3603" spans="1:53" ht="15.75" customHeight="1">
      <c r="A3603" s="99"/>
      <c r="B3603" s="99"/>
      <c r="C3603" s="147"/>
      <c r="D3603" s="147"/>
      <c r="E3603" s="147"/>
      <c r="F3603" s="147"/>
      <c r="G3603" s="147"/>
      <c r="H3603" s="147"/>
      <c r="I3603" s="147"/>
      <c r="J3603" s="147"/>
      <c r="K3603" s="147"/>
      <c r="L3603" s="147"/>
      <c r="M3603" s="147"/>
      <c r="N3603" s="147"/>
      <c r="O3603" s="147"/>
      <c r="P3603" s="147"/>
      <c r="Q3603" s="147"/>
      <c r="R3603" s="147"/>
      <c r="S3603" s="147"/>
      <c r="T3603" s="147"/>
      <c r="U3603" s="147"/>
      <c r="V3603" s="147"/>
      <c r="W3603" s="147"/>
      <c r="X3603" s="147"/>
      <c r="Y3603" s="147"/>
      <c r="Z3603" s="147"/>
      <c r="AA3603" s="147"/>
      <c r="AB3603" s="147"/>
      <c r="AC3603" s="147"/>
      <c r="AD3603" s="147"/>
      <c r="AE3603" s="147"/>
      <c r="AF3603" s="147"/>
      <c r="AG3603" s="147"/>
      <c r="AH3603" s="147"/>
      <c r="AI3603" s="147"/>
      <c r="AJ3603" s="147"/>
      <c r="AK3603" s="147"/>
      <c r="AL3603" s="147"/>
      <c r="AM3603" s="147"/>
      <c r="AN3603" s="147"/>
      <c r="AO3603" s="147"/>
      <c r="AP3603" s="147"/>
      <c r="AQ3603" s="147"/>
      <c r="AR3603" s="147"/>
      <c r="AS3603" s="147"/>
      <c r="AT3603" s="147"/>
      <c r="AU3603" s="147"/>
      <c r="AV3603" s="147"/>
      <c r="AW3603" s="147"/>
      <c r="AX3603" s="147"/>
      <c r="AY3603" s="147"/>
      <c r="AZ3603" s="147"/>
      <c r="BA3603" s="147"/>
    </row>
    <row r="3604" spans="1:53" ht="15.75" customHeight="1">
      <c r="A3604" s="99"/>
      <c r="B3604" s="99"/>
      <c r="C3604" s="147"/>
      <c r="D3604" s="147"/>
      <c r="E3604" s="147"/>
      <c r="F3604" s="147"/>
      <c r="G3604" s="147"/>
      <c r="H3604" s="147"/>
      <c r="I3604" s="147"/>
      <c r="J3604" s="147"/>
      <c r="K3604" s="147"/>
      <c r="L3604" s="147"/>
      <c r="M3604" s="147"/>
      <c r="N3604" s="147"/>
      <c r="O3604" s="147"/>
      <c r="P3604" s="147"/>
      <c r="Q3604" s="147"/>
      <c r="R3604" s="147"/>
      <c r="S3604" s="147"/>
      <c r="T3604" s="147"/>
      <c r="U3604" s="147"/>
      <c r="V3604" s="147"/>
      <c r="W3604" s="147"/>
      <c r="X3604" s="147"/>
      <c r="Y3604" s="147"/>
      <c r="Z3604" s="147"/>
      <c r="AA3604" s="147"/>
      <c r="AB3604" s="147"/>
      <c r="AC3604" s="147"/>
      <c r="AD3604" s="147"/>
      <c r="AE3604" s="147"/>
      <c r="AF3604" s="147"/>
      <c r="AG3604" s="147"/>
      <c r="AH3604" s="147"/>
      <c r="AI3604" s="147"/>
      <c r="AJ3604" s="147"/>
      <c r="AK3604" s="147"/>
      <c r="AL3604" s="147"/>
      <c r="AM3604" s="147"/>
      <c r="AN3604" s="147"/>
      <c r="AO3604" s="147"/>
      <c r="AP3604" s="147"/>
      <c r="AQ3604" s="147"/>
      <c r="AR3604" s="147"/>
      <c r="AS3604" s="147"/>
      <c r="AT3604" s="147"/>
      <c r="AU3604" s="147"/>
      <c r="AV3604" s="147"/>
      <c r="AW3604" s="147"/>
      <c r="AX3604" s="147"/>
      <c r="AY3604" s="147"/>
      <c r="AZ3604" s="147"/>
      <c r="BA3604" s="147"/>
    </row>
    <row r="3605" spans="1:53" ht="15.75" customHeight="1">
      <c r="A3605" s="99"/>
      <c r="B3605" s="99"/>
      <c r="C3605" s="147"/>
      <c r="D3605" s="147"/>
      <c r="E3605" s="147"/>
      <c r="F3605" s="147"/>
      <c r="G3605" s="147"/>
      <c r="H3605" s="147"/>
      <c r="I3605" s="147"/>
      <c r="J3605" s="147"/>
      <c r="K3605" s="147"/>
      <c r="L3605" s="147"/>
      <c r="M3605" s="147"/>
      <c r="N3605" s="147"/>
      <c r="O3605" s="147"/>
      <c r="P3605" s="147"/>
      <c r="Q3605" s="147"/>
      <c r="R3605" s="147"/>
      <c r="S3605" s="147"/>
      <c r="T3605" s="147"/>
      <c r="U3605" s="147"/>
      <c r="V3605" s="147"/>
      <c r="W3605" s="147"/>
      <c r="X3605" s="147"/>
      <c r="Y3605" s="147"/>
      <c r="Z3605" s="147"/>
      <c r="AA3605" s="147"/>
      <c r="AB3605" s="147"/>
      <c r="AC3605" s="147"/>
      <c r="AD3605" s="147"/>
      <c r="AE3605" s="147"/>
      <c r="AF3605" s="147"/>
      <c r="AG3605" s="147"/>
      <c r="AH3605" s="147"/>
      <c r="AI3605" s="147"/>
      <c r="AJ3605" s="147"/>
      <c r="AK3605" s="147"/>
      <c r="AL3605" s="147"/>
      <c r="AM3605" s="147"/>
      <c r="AN3605" s="147"/>
      <c r="AO3605" s="147"/>
      <c r="AP3605" s="147"/>
      <c r="AQ3605" s="147"/>
      <c r="AR3605" s="147"/>
      <c r="AS3605" s="147"/>
      <c r="AT3605" s="147"/>
      <c r="AU3605" s="147"/>
      <c r="AV3605" s="147"/>
      <c r="AW3605" s="147"/>
      <c r="AX3605" s="147"/>
      <c r="AY3605" s="147"/>
      <c r="AZ3605" s="147"/>
      <c r="BA3605" s="147"/>
    </row>
    <row r="3606" spans="1:53" ht="15.75" customHeight="1">
      <c r="A3606" s="99"/>
      <c r="B3606" s="99"/>
      <c r="C3606" s="147"/>
      <c r="D3606" s="147"/>
      <c r="E3606" s="147"/>
      <c r="F3606" s="147"/>
      <c r="G3606" s="147"/>
      <c r="H3606" s="147"/>
      <c r="I3606" s="147"/>
      <c r="J3606" s="147"/>
      <c r="K3606" s="147"/>
      <c r="L3606" s="147"/>
      <c r="M3606" s="147"/>
      <c r="N3606" s="147"/>
      <c r="O3606" s="147"/>
      <c r="P3606" s="147"/>
      <c r="Q3606" s="147"/>
      <c r="R3606" s="147"/>
      <c r="S3606" s="147"/>
      <c r="T3606" s="147"/>
      <c r="U3606" s="147"/>
      <c r="V3606" s="147"/>
      <c r="W3606" s="147"/>
      <c r="X3606" s="147"/>
      <c r="Y3606" s="147"/>
      <c r="Z3606" s="147"/>
      <c r="AA3606" s="147"/>
      <c r="AB3606" s="147"/>
      <c r="AC3606" s="147"/>
      <c r="AD3606" s="147"/>
      <c r="AE3606" s="147"/>
      <c r="AF3606" s="147"/>
      <c r="AG3606" s="147"/>
      <c r="AH3606" s="147"/>
      <c r="AI3606" s="147"/>
      <c r="AJ3606" s="147"/>
      <c r="AK3606" s="147"/>
      <c r="AL3606" s="147"/>
      <c r="AM3606" s="147"/>
      <c r="AN3606" s="147"/>
      <c r="AO3606" s="147"/>
      <c r="AP3606" s="147"/>
      <c r="AQ3606" s="147"/>
      <c r="AR3606" s="147"/>
      <c r="AS3606" s="147"/>
      <c r="AT3606" s="147"/>
      <c r="AU3606" s="147"/>
      <c r="AV3606" s="147"/>
      <c r="AW3606" s="147"/>
      <c r="AX3606" s="147"/>
      <c r="AY3606" s="147"/>
      <c r="AZ3606" s="147"/>
      <c r="BA3606" s="147"/>
    </row>
    <row r="3607" spans="1:53" ht="15.75" customHeight="1">
      <c r="A3607" s="99"/>
      <c r="B3607" s="99"/>
      <c r="C3607" s="147"/>
      <c r="D3607" s="147"/>
      <c r="E3607" s="147"/>
      <c r="F3607" s="147"/>
      <c r="G3607" s="147"/>
      <c r="H3607" s="147"/>
      <c r="I3607" s="147"/>
      <c r="J3607" s="147"/>
      <c r="K3607" s="147"/>
      <c r="L3607" s="147"/>
      <c r="M3607" s="147"/>
      <c r="N3607" s="147"/>
      <c r="O3607" s="147"/>
      <c r="P3607" s="147"/>
      <c r="Q3607" s="147"/>
      <c r="R3607" s="147"/>
      <c r="S3607" s="147"/>
      <c r="T3607" s="147"/>
      <c r="U3607" s="147"/>
      <c r="V3607" s="147"/>
      <c r="W3607" s="147"/>
      <c r="X3607" s="147"/>
      <c r="Y3607" s="147"/>
      <c r="Z3607" s="147"/>
      <c r="AA3607" s="147"/>
      <c r="AB3607" s="147"/>
      <c r="AC3607" s="147"/>
      <c r="AD3607" s="147"/>
      <c r="AE3607" s="147"/>
      <c r="AF3607" s="147"/>
      <c r="AG3607" s="147"/>
      <c r="AH3607" s="147"/>
      <c r="AI3607" s="147"/>
      <c r="AJ3607" s="147"/>
      <c r="AK3607" s="147"/>
      <c r="AL3607" s="147"/>
      <c r="AM3607" s="147"/>
      <c r="AN3607" s="147"/>
      <c r="AO3607" s="147"/>
      <c r="AP3607" s="147"/>
      <c r="AQ3607" s="147"/>
      <c r="AR3607" s="147"/>
      <c r="AS3607" s="147"/>
      <c r="AT3607" s="147"/>
      <c r="AU3607" s="147"/>
      <c r="AV3607" s="147"/>
      <c r="AW3607" s="147"/>
      <c r="AX3607" s="147"/>
      <c r="AY3607" s="147"/>
      <c r="AZ3607" s="147"/>
      <c r="BA3607" s="147"/>
    </row>
    <row r="3608" spans="1:53" ht="15.75" customHeight="1">
      <c r="A3608" s="99"/>
      <c r="B3608" s="99"/>
      <c r="C3608" s="147"/>
      <c r="D3608" s="147"/>
      <c r="E3608" s="147"/>
      <c r="F3608" s="147"/>
      <c r="G3608" s="147"/>
      <c r="H3608" s="147"/>
      <c r="I3608" s="147"/>
      <c r="J3608" s="147"/>
      <c r="K3608" s="147"/>
      <c r="L3608" s="147"/>
      <c r="M3608" s="147"/>
      <c r="N3608" s="147"/>
      <c r="O3608" s="147"/>
      <c r="P3608" s="147"/>
      <c r="Q3608" s="147"/>
      <c r="R3608" s="147"/>
      <c r="S3608" s="147"/>
      <c r="T3608" s="147"/>
      <c r="U3608" s="147"/>
      <c r="V3608" s="147"/>
      <c r="W3608" s="147"/>
      <c r="X3608" s="147"/>
      <c r="Y3608" s="147"/>
      <c r="Z3608" s="147"/>
      <c r="AA3608" s="147"/>
      <c r="AB3608" s="147"/>
      <c r="AC3608" s="147"/>
      <c r="AD3608" s="147"/>
      <c r="AE3608" s="147"/>
      <c r="AF3608" s="147"/>
      <c r="AG3608" s="147"/>
      <c r="AH3608" s="147"/>
      <c r="AI3608" s="147"/>
      <c r="AJ3608" s="147"/>
      <c r="AK3608" s="147"/>
      <c r="AL3608" s="147"/>
      <c r="AM3608" s="147"/>
      <c r="AN3608" s="147"/>
      <c r="AO3608" s="147"/>
      <c r="AP3608" s="147"/>
      <c r="AQ3608" s="147"/>
      <c r="AR3608" s="147"/>
      <c r="AS3608" s="147"/>
      <c r="AT3608" s="147"/>
      <c r="AU3608" s="147"/>
      <c r="AV3608" s="147"/>
      <c r="AW3608" s="147"/>
      <c r="AX3608" s="147"/>
      <c r="AY3608" s="147"/>
      <c r="AZ3608" s="147"/>
      <c r="BA3608" s="147"/>
    </row>
    <row r="3609" spans="1:53" ht="15.75" customHeight="1">
      <c r="A3609" s="99"/>
      <c r="B3609" s="99"/>
      <c r="C3609" s="147"/>
      <c r="D3609" s="147"/>
      <c r="E3609" s="147"/>
      <c r="F3609" s="147"/>
      <c r="G3609" s="147"/>
      <c r="H3609" s="147"/>
      <c r="I3609" s="147"/>
      <c r="J3609" s="147"/>
      <c r="K3609" s="147"/>
      <c r="L3609" s="147"/>
      <c r="M3609" s="147"/>
      <c r="N3609" s="147"/>
      <c r="O3609" s="147"/>
      <c r="P3609" s="147"/>
      <c r="Q3609" s="147"/>
      <c r="R3609" s="147"/>
      <c r="S3609" s="147"/>
      <c r="T3609" s="147"/>
      <c r="U3609" s="147"/>
      <c r="V3609" s="147"/>
      <c r="W3609" s="147"/>
      <c r="X3609" s="147"/>
      <c r="Y3609" s="147"/>
      <c r="Z3609" s="147"/>
      <c r="AA3609" s="147"/>
      <c r="AB3609" s="147"/>
      <c r="AC3609" s="147"/>
      <c r="AD3609" s="147"/>
      <c r="AE3609" s="147"/>
      <c r="AF3609" s="147"/>
      <c r="AG3609" s="147"/>
      <c r="AH3609" s="147"/>
      <c r="AI3609" s="147"/>
      <c r="AJ3609" s="147"/>
      <c r="AK3609" s="147"/>
      <c r="AL3609" s="147"/>
      <c r="AM3609" s="147"/>
      <c r="AN3609" s="147"/>
      <c r="AO3609" s="147"/>
      <c r="AP3609" s="147"/>
      <c r="AQ3609" s="147"/>
      <c r="AR3609" s="147"/>
      <c r="AS3609" s="147"/>
      <c r="AT3609" s="147"/>
      <c r="AU3609" s="147"/>
      <c r="AV3609" s="147"/>
      <c r="AW3609" s="147"/>
      <c r="AX3609" s="147"/>
      <c r="AY3609" s="147"/>
      <c r="AZ3609" s="147"/>
      <c r="BA3609" s="147"/>
    </row>
    <row r="3610" spans="1:53" ht="15.75" customHeight="1">
      <c r="A3610" s="99"/>
      <c r="B3610" s="99"/>
      <c r="C3610" s="147"/>
      <c r="D3610" s="147"/>
      <c r="E3610" s="147"/>
      <c r="F3610" s="147"/>
      <c r="G3610" s="147"/>
      <c r="H3610" s="147"/>
      <c r="I3610" s="147"/>
      <c r="J3610" s="147"/>
      <c r="K3610" s="147"/>
      <c r="L3610" s="147"/>
      <c r="M3610" s="147"/>
      <c r="N3610" s="147"/>
      <c r="O3610" s="147"/>
      <c r="P3610" s="147"/>
      <c r="Q3610" s="147"/>
      <c r="R3610" s="147"/>
      <c r="S3610" s="147"/>
      <c r="T3610" s="147"/>
      <c r="U3610" s="147"/>
      <c r="V3610" s="147"/>
      <c r="W3610" s="147"/>
      <c r="X3610" s="147"/>
      <c r="Y3610" s="147"/>
      <c r="Z3610" s="147"/>
      <c r="AA3610" s="147"/>
      <c r="AB3610" s="147"/>
      <c r="AC3610" s="147"/>
      <c r="AD3610" s="147"/>
      <c r="AE3610" s="147"/>
      <c r="AF3610" s="147"/>
      <c r="AG3610" s="147"/>
      <c r="AH3610" s="147"/>
      <c r="AI3610" s="147"/>
      <c r="AJ3610" s="147"/>
      <c r="AK3610" s="147"/>
      <c r="AL3610" s="147"/>
      <c r="AM3610" s="147"/>
      <c r="AN3610" s="147"/>
      <c r="AO3610" s="147"/>
      <c r="AP3610" s="147"/>
      <c r="AQ3610" s="147"/>
      <c r="AR3610" s="147"/>
      <c r="AS3610" s="147"/>
      <c r="AT3610" s="147"/>
      <c r="AU3610" s="147"/>
      <c r="AV3610" s="147"/>
      <c r="AW3610" s="147"/>
      <c r="AX3610" s="147"/>
      <c r="AY3610" s="147"/>
      <c r="AZ3610" s="147"/>
      <c r="BA3610" s="147"/>
    </row>
    <row r="3611" spans="1:53" ht="15.75" customHeight="1">
      <c r="A3611" s="99"/>
      <c r="B3611" s="99"/>
      <c r="C3611" s="147"/>
      <c r="D3611" s="147"/>
      <c r="E3611" s="147"/>
      <c r="F3611" s="147"/>
      <c r="G3611" s="147"/>
      <c r="H3611" s="147"/>
      <c r="I3611" s="147"/>
      <c r="J3611" s="147"/>
      <c r="K3611" s="147"/>
      <c r="L3611" s="147"/>
      <c r="M3611" s="147"/>
      <c r="N3611" s="147"/>
      <c r="O3611" s="147"/>
      <c r="P3611" s="147"/>
      <c r="Q3611" s="147"/>
      <c r="R3611" s="147"/>
      <c r="S3611" s="147"/>
      <c r="T3611" s="147"/>
      <c r="U3611" s="147"/>
      <c r="V3611" s="147"/>
      <c r="W3611" s="147"/>
      <c r="X3611" s="147"/>
      <c r="Y3611" s="147"/>
      <c r="Z3611" s="147"/>
      <c r="AA3611" s="147"/>
      <c r="AB3611" s="147"/>
      <c r="AC3611" s="147"/>
      <c r="AD3611" s="147"/>
      <c r="AE3611" s="147"/>
      <c r="AF3611" s="147"/>
      <c r="AG3611" s="147"/>
      <c r="AH3611" s="147"/>
      <c r="AI3611" s="147"/>
      <c r="AJ3611" s="147"/>
      <c r="AK3611" s="147"/>
      <c r="AL3611" s="147"/>
      <c r="AM3611" s="147"/>
      <c r="AN3611" s="147"/>
      <c r="AO3611" s="147"/>
      <c r="AP3611" s="147"/>
      <c r="AQ3611" s="147"/>
      <c r="AR3611" s="147"/>
      <c r="AS3611" s="147"/>
      <c r="AT3611" s="147"/>
      <c r="AU3611" s="147"/>
      <c r="AV3611" s="147"/>
      <c r="AW3611" s="147"/>
      <c r="AX3611" s="147"/>
      <c r="AY3611" s="147"/>
      <c r="AZ3611" s="147"/>
      <c r="BA3611" s="147"/>
    </row>
    <row r="3612" spans="1:53" ht="15.75" customHeight="1">
      <c r="A3612" s="99"/>
      <c r="B3612" s="99"/>
      <c r="C3612" s="147"/>
      <c r="D3612" s="147"/>
      <c r="E3612" s="147"/>
      <c r="F3612" s="147"/>
      <c r="G3612" s="147"/>
      <c r="H3612" s="147"/>
      <c r="I3612" s="147"/>
      <c r="J3612" s="147"/>
      <c r="K3612" s="147"/>
      <c r="L3612" s="147"/>
      <c r="M3612" s="147"/>
      <c r="N3612" s="147"/>
      <c r="O3612" s="147"/>
      <c r="P3612" s="147"/>
      <c r="Q3612" s="147"/>
      <c r="R3612" s="147"/>
      <c r="S3612" s="147"/>
      <c r="T3612" s="147"/>
      <c r="U3612" s="147"/>
      <c r="V3612" s="147"/>
      <c r="W3612" s="147"/>
      <c r="X3612" s="147"/>
      <c r="Y3612" s="147"/>
      <c r="Z3612" s="147"/>
      <c r="AA3612" s="147"/>
      <c r="AB3612" s="147"/>
      <c r="AC3612" s="147"/>
      <c r="AD3612" s="147"/>
      <c r="AE3612" s="147"/>
      <c r="AF3612" s="147"/>
      <c r="AG3612" s="147"/>
      <c r="AH3612" s="147"/>
      <c r="AI3612" s="147"/>
      <c r="AJ3612" s="147"/>
      <c r="AK3612" s="147"/>
      <c r="AL3612" s="147"/>
      <c r="AM3612" s="147"/>
      <c r="AN3612" s="147"/>
      <c r="AO3612" s="147"/>
      <c r="AP3612" s="147"/>
      <c r="AQ3612" s="147"/>
      <c r="AR3612" s="147"/>
      <c r="AS3612" s="147"/>
      <c r="AT3612" s="147"/>
      <c r="AU3612" s="147"/>
      <c r="AV3612" s="147"/>
      <c r="AW3612" s="147"/>
      <c r="AX3612" s="147"/>
      <c r="AY3612" s="147"/>
      <c r="AZ3612" s="147"/>
      <c r="BA3612" s="147"/>
    </row>
    <row r="3613" spans="1:53" ht="15.75" customHeight="1">
      <c r="A3613" s="99"/>
      <c r="B3613" s="99"/>
      <c r="C3613" s="147"/>
      <c r="D3613" s="147"/>
      <c r="E3613" s="147"/>
      <c r="F3613" s="147"/>
      <c r="G3613" s="147"/>
      <c r="H3613" s="147"/>
      <c r="I3613" s="147"/>
      <c r="J3613" s="147"/>
      <c r="K3613" s="147"/>
      <c r="L3613" s="147"/>
      <c r="M3613" s="147"/>
      <c r="N3613" s="147"/>
      <c r="O3613" s="147"/>
      <c r="P3613" s="147"/>
      <c r="Q3613" s="147"/>
      <c r="R3613" s="147"/>
      <c r="S3613" s="147"/>
      <c r="T3613" s="147"/>
      <c r="U3613" s="147"/>
      <c r="V3613" s="147"/>
      <c r="W3613" s="147"/>
      <c r="X3613" s="147"/>
      <c r="Y3613" s="147"/>
      <c r="Z3613" s="147"/>
      <c r="AA3613" s="147"/>
      <c r="AB3613" s="147"/>
      <c r="AC3613" s="147"/>
      <c r="AD3613" s="147"/>
      <c r="AE3613" s="147"/>
      <c r="AF3613" s="147"/>
      <c r="AG3613" s="147"/>
      <c r="AH3613" s="147"/>
      <c r="AI3613" s="147"/>
      <c r="AJ3613" s="147"/>
      <c r="AK3613" s="147"/>
      <c r="AL3613" s="147"/>
      <c r="AM3613" s="147"/>
      <c r="AN3613" s="147"/>
      <c r="AO3613" s="147"/>
      <c r="AP3613" s="147"/>
      <c r="AQ3613" s="147"/>
      <c r="AR3613" s="147"/>
      <c r="AS3613" s="147"/>
      <c r="AT3613" s="147"/>
      <c r="AU3613" s="147"/>
      <c r="AV3613" s="147"/>
      <c r="AW3613" s="147"/>
      <c r="AX3613" s="147"/>
      <c r="AY3613" s="147"/>
      <c r="AZ3613" s="147"/>
      <c r="BA3613" s="147"/>
    </row>
    <row r="3614" spans="1:53" ht="15.75" customHeight="1">
      <c r="A3614" s="99"/>
      <c r="B3614" s="99"/>
      <c r="C3614" s="147"/>
      <c r="D3614" s="147"/>
      <c r="E3614" s="147"/>
      <c r="F3614" s="147"/>
      <c r="G3614" s="147"/>
      <c r="H3614" s="147"/>
      <c r="I3614" s="147"/>
      <c r="J3614" s="147"/>
      <c r="K3614" s="147"/>
      <c r="L3614" s="147"/>
      <c r="M3614" s="147"/>
      <c r="N3614" s="147"/>
      <c r="O3614" s="147"/>
      <c r="P3614" s="147"/>
      <c r="Q3614" s="147"/>
      <c r="R3614" s="147"/>
      <c r="S3614" s="147"/>
      <c r="T3614" s="147"/>
      <c r="U3614" s="147"/>
      <c r="V3614" s="147"/>
      <c r="W3614" s="147"/>
      <c r="X3614" s="147"/>
      <c r="Y3614" s="147"/>
      <c r="Z3614" s="147"/>
      <c r="AA3614" s="147"/>
      <c r="AB3614" s="147"/>
      <c r="AC3614" s="147"/>
      <c r="AD3614" s="147"/>
      <c r="AE3614" s="147"/>
      <c r="AF3614" s="147"/>
      <c r="AG3614" s="147"/>
      <c r="AH3614" s="147"/>
      <c r="AI3614" s="147"/>
      <c r="AJ3614" s="147"/>
      <c r="AK3614" s="147"/>
      <c r="AL3614" s="147"/>
      <c r="AM3614" s="147"/>
      <c r="AN3614" s="147"/>
      <c r="AO3614" s="147"/>
      <c r="AP3614" s="147"/>
      <c r="AQ3614" s="147"/>
      <c r="AR3614" s="147"/>
      <c r="AS3614" s="147"/>
      <c r="AT3614" s="147"/>
      <c r="AU3614" s="147"/>
      <c r="AV3614" s="147"/>
      <c r="AW3614" s="147"/>
      <c r="AX3614" s="147"/>
      <c r="AY3614" s="147"/>
      <c r="AZ3614" s="147"/>
      <c r="BA3614" s="147"/>
    </row>
    <row r="3615" spans="1:53" ht="15.75" customHeight="1">
      <c r="A3615" s="99"/>
      <c r="B3615" s="99"/>
      <c r="C3615" s="147"/>
      <c r="D3615" s="147"/>
      <c r="E3615" s="147"/>
      <c r="F3615" s="147"/>
      <c r="G3615" s="147"/>
      <c r="H3615" s="147"/>
      <c r="I3615" s="147"/>
      <c r="J3615" s="147"/>
      <c r="K3615" s="147"/>
      <c r="L3615" s="147"/>
      <c r="M3615" s="147"/>
      <c r="N3615" s="147"/>
      <c r="O3615" s="147"/>
      <c r="P3615" s="147"/>
      <c r="Q3615" s="147"/>
      <c r="R3615" s="147"/>
      <c r="S3615" s="147"/>
      <c r="T3615" s="147"/>
      <c r="U3615" s="147"/>
      <c r="V3615" s="147"/>
      <c r="W3615" s="147"/>
      <c r="X3615" s="147"/>
      <c r="Y3615" s="147"/>
      <c r="Z3615" s="147"/>
      <c r="AA3615" s="147"/>
      <c r="AB3615" s="147"/>
      <c r="AC3615" s="147"/>
      <c r="AD3615" s="147"/>
      <c r="AE3615" s="147"/>
      <c r="AF3615" s="147"/>
      <c r="AG3615" s="147"/>
      <c r="AH3615" s="147"/>
      <c r="AI3615" s="147"/>
      <c r="AJ3615" s="147"/>
      <c r="AK3615" s="147"/>
      <c r="AL3615" s="147"/>
      <c r="AM3615" s="147"/>
      <c r="AN3615" s="147"/>
      <c r="AO3615" s="147"/>
      <c r="AP3615" s="147"/>
      <c r="AQ3615" s="147"/>
      <c r="AR3615" s="147"/>
      <c r="AS3615" s="147"/>
      <c r="AT3615" s="147"/>
      <c r="AU3615" s="147"/>
      <c r="AV3615" s="147"/>
      <c r="AW3615" s="147"/>
      <c r="AX3615" s="147"/>
      <c r="AY3615" s="147"/>
      <c r="AZ3615" s="147"/>
      <c r="BA3615" s="147"/>
    </row>
    <row r="3616" spans="1:53" ht="15.75" customHeight="1">
      <c r="A3616" s="99"/>
      <c r="B3616" s="99"/>
      <c r="C3616" s="147"/>
      <c r="D3616" s="147"/>
      <c r="E3616" s="147"/>
      <c r="F3616" s="147"/>
      <c r="G3616" s="147"/>
      <c r="H3616" s="147"/>
      <c r="I3616" s="147"/>
      <c r="J3616" s="147"/>
      <c r="K3616" s="147"/>
      <c r="L3616" s="147"/>
      <c r="M3616" s="147"/>
      <c r="N3616" s="147"/>
      <c r="O3616" s="147"/>
      <c r="P3616" s="147"/>
      <c r="Q3616" s="147"/>
      <c r="R3616" s="147"/>
      <c r="S3616" s="147"/>
      <c r="T3616" s="147"/>
      <c r="U3616" s="147"/>
      <c r="V3616" s="147"/>
      <c r="W3616" s="147"/>
      <c r="X3616" s="147"/>
      <c r="Y3616" s="147"/>
      <c r="Z3616" s="147"/>
      <c r="AA3616" s="147"/>
      <c r="AB3616" s="147"/>
      <c r="AC3616" s="147"/>
      <c r="AD3616" s="147"/>
      <c r="AE3616" s="147"/>
      <c r="AF3616" s="147"/>
      <c r="AG3616" s="147"/>
      <c r="AH3616" s="147"/>
      <c r="AI3616" s="147"/>
      <c r="AJ3616" s="147"/>
      <c r="AK3616" s="147"/>
      <c r="AL3616" s="147"/>
      <c r="AM3616" s="147"/>
      <c r="AN3616" s="147"/>
      <c r="AO3616" s="147"/>
      <c r="AP3616" s="147"/>
      <c r="AQ3616" s="147"/>
      <c r="AR3616" s="147"/>
      <c r="AS3616" s="147"/>
      <c r="AT3616" s="147"/>
      <c r="AU3616" s="147"/>
      <c r="AV3616" s="147"/>
      <c r="AW3616" s="147"/>
      <c r="AX3616" s="147"/>
      <c r="AY3616" s="147"/>
      <c r="AZ3616" s="147"/>
      <c r="BA3616" s="147"/>
    </row>
    <row r="3617" spans="1:53" ht="15.75" customHeight="1">
      <c r="A3617" s="99"/>
      <c r="B3617" s="99"/>
      <c r="C3617" s="147"/>
      <c r="D3617" s="147"/>
      <c r="E3617" s="147"/>
      <c r="F3617" s="147"/>
      <c r="G3617" s="147"/>
      <c r="H3617" s="147"/>
      <c r="I3617" s="147"/>
      <c r="J3617" s="147"/>
      <c r="K3617" s="147"/>
      <c r="L3617" s="147"/>
      <c r="M3617" s="147"/>
      <c r="N3617" s="147"/>
      <c r="O3617" s="147"/>
      <c r="P3617" s="147"/>
      <c r="Q3617" s="147"/>
      <c r="R3617" s="147"/>
      <c r="S3617" s="147"/>
      <c r="T3617" s="147"/>
      <c r="U3617" s="147"/>
      <c r="V3617" s="147"/>
      <c r="W3617" s="147"/>
      <c r="X3617" s="147"/>
      <c r="Y3617" s="147"/>
      <c r="Z3617" s="147"/>
      <c r="AA3617" s="147"/>
      <c r="AB3617" s="147"/>
      <c r="AC3617" s="147"/>
      <c r="AD3617" s="147"/>
      <c r="AE3617" s="147"/>
      <c r="AF3617" s="147"/>
      <c r="AG3617" s="147"/>
      <c r="AH3617" s="147"/>
      <c r="AI3617" s="147"/>
      <c r="AJ3617" s="147"/>
      <c r="AK3617" s="147"/>
      <c r="AL3617" s="147"/>
      <c r="AM3617" s="147"/>
      <c r="AN3617" s="147"/>
      <c r="AO3617" s="147"/>
      <c r="AP3617" s="147"/>
      <c r="AQ3617" s="147"/>
      <c r="AR3617" s="147"/>
      <c r="AS3617" s="147"/>
      <c r="AT3617" s="147"/>
      <c r="AU3617" s="147"/>
      <c r="AV3617" s="147"/>
      <c r="AW3617" s="147"/>
      <c r="AX3617" s="147"/>
      <c r="AY3617" s="147"/>
      <c r="AZ3617" s="147"/>
      <c r="BA3617" s="147"/>
    </row>
    <row r="3618" spans="1:53" ht="15.75" customHeight="1">
      <c r="A3618" s="99"/>
      <c r="B3618" s="99"/>
      <c r="C3618" s="147"/>
      <c r="D3618" s="147"/>
      <c r="E3618" s="147"/>
      <c r="F3618" s="147"/>
      <c r="G3618" s="147"/>
      <c r="H3618" s="147"/>
      <c r="I3618" s="147"/>
      <c r="J3618" s="147"/>
      <c r="K3618" s="147"/>
      <c r="L3618" s="147"/>
      <c r="M3618" s="147"/>
      <c r="N3618" s="147"/>
      <c r="O3618" s="147"/>
      <c r="P3618" s="147"/>
      <c r="Q3618" s="147"/>
      <c r="R3618" s="147"/>
      <c r="S3618" s="147"/>
      <c r="T3618" s="147"/>
      <c r="U3618" s="147"/>
      <c r="V3618" s="147"/>
      <c r="W3618" s="147"/>
      <c r="X3618" s="147"/>
      <c r="Y3618" s="147"/>
      <c r="Z3618" s="147"/>
      <c r="AA3618" s="147"/>
      <c r="AB3618" s="147"/>
      <c r="AC3618" s="147"/>
      <c r="AD3618" s="147"/>
      <c r="AE3618" s="147"/>
      <c r="AF3618" s="147"/>
      <c r="AG3618" s="147"/>
      <c r="AH3618" s="147"/>
      <c r="AI3618" s="147"/>
      <c r="AJ3618" s="147"/>
      <c r="AK3618" s="147"/>
      <c r="AL3618" s="147"/>
      <c r="AM3618" s="147"/>
      <c r="AN3618" s="147"/>
      <c r="AO3618" s="147"/>
      <c r="AP3618" s="147"/>
      <c r="AQ3618" s="147"/>
      <c r="AR3618" s="147"/>
      <c r="AS3618" s="147"/>
      <c r="AT3618" s="147"/>
      <c r="AU3618" s="147"/>
      <c r="AV3618" s="147"/>
      <c r="AW3618" s="147"/>
      <c r="AX3618" s="147"/>
      <c r="AY3618" s="147"/>
      <c r="AZ3618" s="147"/>
      <c r="BA3618" s="147"/>
    </row>
    <row r="3619" spans="1:53" ht="15.75" customHeight="1">
      <c r="A3619" s="99"/>
      <c r="B3619" s="99"/>
      <c r="C3619" s="147"/>
      <c r="D3619" s="147"/>
      <c r="E3619" s="147"/>
      <c r="F3619" s="147"/>
      <c r="G3619" s="147"/>
      <c r="H3619" s="147"/>
      <c r="I3619" s="147"/>
      <c r="J3619" s="147"/>
      <c r="K3619" s="147"/>
      <c r="L3619" s="147"/>
      <c r="M3619" s="147"/>
      <c r="N3619" s="147"/>
      <c r="O3619" s="147"/>
      <c r="P3619" s="147"/>
      <c r="Q3619" s="147"/>
      <c r="R3619" s="147"/>
      <c r="S3619" s="147"/>
      <c r="T3619" s="147"/>
      <c r="U3619" s="147"/>
      <c r="V3619" s="147"/>
      <c r="W3619" s="147"/>
      <c r="X3619" s="147"/>
      <c r="Y3619" s="147"/>
      <c r="Z3619" s="147"/>
      <c r="AA3619" s="147"/>
      <c r="AB3619" s="147"/>
      <c r="AC3619" s="147"/>
      <c r="AD3619" s="147"/>
      <c r="AE3619" s="147"/>
      <c r="AF3619" s="147"/>
      <c r="AG3619" s="147"/>
      <c r="AH3619" s="147"/>
      <c r="AI3619" s="147"/>
      <c r="AJ3619" s="147"/>
      <c r="AK3619" s="147"/>
      <c r="AL3619" s="147"/>
      <c r="AM3619" s="147"/>
      <c r="AN3619" s="147"/>
      <c r="AO3619" s="147"/>
      <c r="AP3619" s="147"/>
      <c r="AQ3619" s="147"/>
      <c r="AR3619" s="147"/>
      <c r="AS3619" s="147"/>
      <c r="AT3619" s="147"/>
      <c r="AU3619" s="147"/>
      <c r="AV3619" s="147"/>
      <c r="AW3619" s="147"/>
      <c r="AX3619" s="147"/>
      <c r="AY3619" s="147"/>
      <c r="AZ3619" s="147"/>
      <c r="BA3619" s="147"/>
    </row>
    <row r="3620" spans="1:53" ht="15.75" customHeight="1">
      <c r="A3620" s="99"/>
      <c r="B3620" s="99"/>
      <c r="C3620" s="147"/>
      <c r="D3620" s="147"/>
      <c r="E3620" s="147"/>
      <c r="F3620" s="147"/>
      <c r="G3620" s="147"/>
      <c r="H3620" s="147"/>
      <c r="I3620" s="147"/>
      <c r="J3620" s="147"/>
      <c r="K3620" s="147"/>
      <c r="L3620" s="147"/>
      <c r="M3620" s="147"/>
      <c r="N3620" s="147"/>
      <c r="O3620" s="147"/>
      <c r="P3620" s="147"/>
      <c r="Q3620" s="147"/>
      <c r="R3620" s="147"/>
      <c r="S3620" s="147"/>
      <c r="T3620" s="147"/>
      <c r="U3620" s="147"/>
      <c r="V3620" s="147"/>
      <c r="W3620" s="147"/>
      <c r="X3620" s="147"/>
      <c r="Y3620" s="147"/>
      <c r="Z3620" s="147"/>
      <c r="AA3620" s="147"/>
      <c r="AB3620" s="147"/>
      <c r="AC3620" s="147"/>
      <c r="AD3620" s="147"/>
      <c r="AE3620" s="147"/>
      <c r="AF3620" s="147"/>
      <c r="AG3620" s="147"/>
      <c r="AH3620" s="147"/>
      <c r="AI3620" s="147"/>
      <c r="AJ3620" s="147"/>
      <c r="AK3620" s="147"/>
      <c r="AL3620" s="147"/>
      <c r="AM3620" s="147"/>
      <c r="AN3620" s="147"/>
      <c r="AO3620" s="147"/>
      <c r="AP3620" s="147"/>
      <c r="AQ3620" s="147"/>
      <c r="AR3620" s="147"/>
      <c r="AS3620" s="147"/>
      <c r="AT3620" s="147"/>
      <c r="AU3620" s="147"/>
      <c r="AV3620" s="147"/>
      <c r="AW3620" s="147"/>
      <c r="AX3620" s="147"/>
      <c r="AY3620" s="147"/>
      <c r="AZ3620" s="147"/>
      <c r="BA3620" s="147"/>
    </row>
    <row r="3621" spans="1:53" ht="15.75" customHeight="1">
      <c r="A3621" s="99"/>
      <c r="B3621" s="99"/>
      <c r="C3621" s="147"/>
      <c r="D3621" s="147"/>
      <c r="E3621" s="147"/>
      <c r="F3621" s="147"/>
      <c r="G3621" s="147"/>
      <c r="H3621" s="147"/>
      <c r="I3621" s="147"/>
      <c r="J3621" s="147"/>
      <c r="K3621" s="147"/>
      <c r="L3621" s="147"/>
      <c r="M3621" s="147"/>
      <c r="N3621" s="147"/>
      <c r="O3621" s="147"/>
      <c r="P3621" s="147"/>
      <c r="Q3621" s="147"/>
      <c r="R3621" s="147"/>
      <c r="S3621" s="147"/>
      <c r="T3621" s="147"/>
      <c r="U3621" s="147"/>
      <c r="V3621" s="147"/>
      <c r="W3621" s="147"/>
      <c r="X3621" s="147"/>
      <c r="Y3621" s="147"/>
      <c r="Z3621" s="147"/>
      <c r="AA3621" s="147"/>
      <c r="AB3621" s="147"/>
      <c r="AC3621" s="147"/>
      <c r="AD3621" s="147"/>
      <c r="AE3621" s="147"/>
      <c r="AF3621" s="147"/>
      <c r="AG3621" s="147"/>
      <c r="AH3621" s="147"/>
      <c r="AI3621" s="147"/>
      <c r="AJ3621" s="147"/>
      <c r="AK3621" s="147"/>
      <c r="AL3621" s="147"/>
      <c r="AM3621" s="147"/>
      <c r="AN3621" s="147"/>
      <c r="AO3621" s="147"/>
      <c r="AP3621" s="147"/>
      <c r="AQ3621" s="147"/>
      <c r="AR3621" s="147"/>
      <c r="AS3621" s="147"/>
      <c r="AT3621" s="147"/>
      <c r="AU3621" s="147"/>
      <c r="AV3621" s="147"/>
      <c r="AW3621" s="147"/>
      <c r="AX3621" s="147"/>
      <c r="AY3621" s="147"/>
      <c r="AZ3621" s="147"/>
      <c r="BA3621" s="147"/>
    </row>
    <row r="3622" spans="1:53" ht="15.75" customHeight="1">
      <c r="A3622" s="99"/>
      <c r="B3622" s="99"/>
      <c r="C3622" s="147"/>
      <c r="D3622" s="147"/>
      <c r="E3622" s="147"/>
      <c r="F3622" s="147"/>
      <c r="G3622" s="147"/>
      <c r="H3622" s="147"/>
      <c r="I3622" s="147"/>
      <c r="J3622" s="147"/>
      <c r="K3622" s="147"/>
      <c r="L3622" s="147"/>
      <c r="M3622" s="147"/>
      <c r="N3622" s="147"/>
      <c r="O3622" s="147"/>
      <c r="P3622" s="147"/>
      <c r="Q3622" s="147"/>
      <c r="R3622" s="147"/>
      <c r="S3622" s="147"/>
      <c r="T3622" s="147"/>
      <c r="U3622" s="147"/>
      <c r="V3622" s="147"/>
      <c r="W3622" s="147"/>
      <c r="X3622" s="147"/>
      <c r="Y3622" s="147"/>
      <c r="Z3622" s="147"/>
      <c r="AA3622" s="147"/>
      <c r="AB3622" s="147"/>
      <c r="AC3622" s="147"/>
      <c r="AD3622" s="147"/>
      <c r="AE3622" s="147"/>
      <c r="AF3622" s="147"/>
      <c r="AG3622" s="147"/>
      <c r="AH3622" s="147"/>
      <c r="AI3622" s="147"/>
      <c r="AJ3622" s="147"/>
      <c r="AK3622" s="147"/>
      <c r="AL3622" s="147"/>
      <c r="AM3622" s="147"/>
      <c r="AN3622" s="147"/>
      <c r="AO3622" s="147"/>
      <c r="AP3622" s="147"/>
      <c r="AQ3622" s="147"/>
      <c r="AR3622" s="147"/>
      <c r="AS3622" s="147"/>
      <c r="AT3622" s="147"/>
      <c r="AU3622" s="147"/>
      <c r="AV3622" s="147"/>
      <c r="AW3622" s="147"/>
      <c r="AX3622" s="147"/>
      <c r="AY3622" s="147"/>
      <c r="AZ3622" s="147"/>
      <c r="BA3622" s="147"/>
    </row>
    <row r="3623" spans="1:53" ht="15.75" customHeight="1">
      <c r="A3623" s="99"/>
      <c r="B3623" s="99"/>
      <c r="C3623" s="147"/>
      <c r="D3623" s="147"/>
      <c r="E3623" s="147"/>
      <c r="F3623" s="147"/>
      <c r="G3623" s="147"/>
      <c r="H3623" s="147"/>
      <c r="I3623" s="147"/>
      <c r="J3623" s="147"/>
      <c r="K3623" s="147"/>
      <c r="L3623" s="147"/>
      <c r="M3623" s="147"/>
      <c r="N3623" s="147"/>
      <c r="O3623" s="147"/>
      <c r="P3623" s="147"/>
      <c r="Q3623" s="147"/>
      <c r="R3623" s="147"/>
      <c r="S3623" s="147"/>
      <c r="T3623" s="147"/>
      <c r="U3623" s="147"/>
      <c r="V3623" s="147"/>
      <c r="W3623" s="147"/>
      <c r="X3623" s="147"/>
      <c r="Y3623" s="147"/>
      <c r="Z3623" s="147"/>
      <c r="AA3623" s="147"/>
      <c r="AB3623" s="147"/>
      <c r="AC3623" s="147"/>
      <c r="AD3623" s="147"/>
      <c r="AE3623" s="147"/>
      <c r="AF3623" s="147"/>
      <c r="AG3623" s="147"/>
      <c r="AH3623" s="147"/>
      <c r="AI3623" s="147"/>
      <c r="AJ3623" s="147"/>
      <c r="AK3623" s="147"/>
      <c r="AL3623" s="147"/>
      <c r="AM3623" s="147"/>
      <c r="AN3623" s="147"/>
      <c r="AO3623" s="147"/>
      <c r="AP3623" s="147"/>
      <c r="AQ3623" s="147"/>
      <c r="AR3623" s="147"/>
      <c r="AS3623" s="147"/>
      <c r="AT3623" s="147"/>
      <c r="AU3623" s="147"/>
      <c r="AV3623" s="147"/>
      <c r="AW3623" s="147"/>
      <c r="AX3623" s="147"/>
      <c r="AY3623" s="147"/>
      <c r="AZ3623" s="147"/>
      <c r="BA3623" s="147"/>
    </row>
    <row r="3624" spans="1:53" ht="15.75" customHeight="1">
      <c r="A3624" s="99"/>
      <c r="B3624" s="99"/>
      <c r="C3624" s="147"/>
      <c r="D3624" s="147"/>
      <c r="E3624" s="147"/>
      <c r="F3624" s="147"/>
      <c r="G3624" s="147"/>
      <c r="H3624" s="147"/>
      <c r="I3624" s="147"/>
      <c r="J3624" s="147"/>
      <c r="K3624" s="147"/>
      <c r="L3624" s="147"/>
      <c r="M3624" s="147"/>
      <c r="N3624" s="147"/>
      <c r="O3624" s="147"/>
      <c r="P3624" s="147"/>
      <c r="Q3624" s="147"/>
      <c r="R3624" s="147"/>
      <c r="S3624" s="147"/>
      <c r="T3624" s="147"/>
      <c r="U3624" s="147"/>
      <c r="V3624" s="147"/>
      <c r="W3624" s="147"/>
      <c r="X3624" s="147"/>
      <c r="Y3624" s="147"/>
      <c r="Z3624" s="147"/>
      <c r="AA3624" s="147"/>
      <c r="AB3624" s="147"/>
      <c r="AC3624" s="147"/>
      <c r="AD3624" s="147"/>
      <c r="AE3624" s="147"/>
      <c r="AF3624" s="147"/>
      <c r="AG3624" s="147"/>
      <c r="AH3624" s="147"/>
      <c r="AI3624" s="147"/>
      <c r="AJ3624" s="147"/>
      <c r="AK3624" s="147"/>
      <c r="AL3624" s="147"/>
      <c r="AM3624" s="147"/>
      <c r="AN3624" s="147"/>
      <c r="AO3624" s="147"/>
      <c r="AP3624" s="147"/>
      <c r="AQ3624" s="147"/>
      <c r="AR3624" s="147"/>
      <c r="AS3624" s="147"/>
      <c r="AT3624" s="147"/>
      <c r="AU3624" s="147"/>
      <c r="AV3624" s="147"/>
      <c r="AW3624" s="147"/>
      <c r="AX3624" s="147"/>
      <c r="AY3624" s="147"/>
      <c r="AZ3624" s="147"/>
      <c r="BA3624" s="147"/>
    </row>
    <row r="3625" spans="1:53" ht="15.75" customHeight="1">
      <c r="A3625" s="99"/>
      <c r="B3625" s="99"/>
      <c r="C3625" s="147"/>
      <c r="D3625" s="147"/>
      <c r="E3625" s="147"/>
      <c r="F3625" s="147"/>
      <c r="G3625" s="147"/>
      <c r="H3625" s="147"/>
      <c r="I3625" s="147"/>
      <c r="J3625" s="147"/>
      <c r="K3625" s="147"/>
      <c r="L3625" s="147"/>
      <c r="M3625" s="147"/>
      <c r="N3625" s="147"/>
      <c r="O3625" s="147"/>
      <c r="P3625" s="147"/>
      <c r="Q3625" s="147"/>
      <c r="R3625" s="147"/>
      <c r="S3625" s="147"/>
      <c r="T3625" s="147"/>
      <c r="U3625" s="147"/>
      <c r="V3625" s="147"/>
      <c r="W3625" s="147"/>
      <c r="X3625" s="147"/>
      <c r="Y3625" s="147"/>
      <c r="Z3625" s="147"/>
      <c r="AA3625" s="147"/>
      <c r="AB3625" s="147"/>
      <c r="AC3625" s="147"/>
      <c r="AD3625" s="147"/>
      <c r="AE3625" s="147"/>
      <c r="AF3625" s="147"/>
      <c r="AG3625" s="147"/>
      <c r="AH3625" s="147"/>
      <c r="AI3625" s="147"/>
      <c r="AJ3625" s="147"/>
      <c r="AK3625" s="147"/>
      <c r="AL3625" s="147"/>
      <c r="AM3625" s="147"/>
      <c r="AN3625" s="147"/>
      <c r="AO3625" s="147"/>
      <c r="AP3625" s="147"/>
      <c r="AQ3625" s="147"/>
      <c r="AR3625" s="147"/>
      <c r="AS3625" s="147"/>
      <c r="AT3625" s="147"/>
      <c r="AU3625" s="147"/>
      <c r="AV3625" s="147"/>
      <c r="AW3625" s="147"/>
      <c r="AX3625" s="147"/>
      <c r="AY3625" s="147"/>
      <c r="AZ3625" s="147"/>
      <c r="BA3625" s="147"/>
    </row>
    <row r="3626" spans="1:53" ht="15.75" customHeight="1">
      <c r="A3626" s="99"/>
      <c r="B3626" s="99"/>
      <c r="C3626" s="147"/>
      <c r="D3626" s="147"/>
      <c r="E3626" s="147"/>
      <c r="F3626" s="147"/>
      <c r="G3626" s="147"/>
      <c r="H3626" s="147"/>
      <c r="I3626" s="147"/>
      <c r="J3626" s="147"/>
      <c r="K3626" s="147"/>
      <c r="L3626" s="147"/>
      <c r="M3626" s="147"/>
      <c r="N3626" s="147"/>
      <c r="O3626" s="147"/>
      <c r="P3626" s="147"/>
      <c r="Q3626" s="147"/>
      <c r="R3626" s="147"/>
      <c r="S3626" s="147"/>
      <c r="T3626" s="147"/>
      <c r="U3626" s="147"/>
      <c r="V3626" s="147"/>
      <c r="W3626" s="147"/>
      <c r="X3626" s="147"/>
      <c r="Y3626" s="147"/>
      <c r="Z3626" s="147"/>
      <c r="AA3626" s="147"/>
      <c r="AB3626" s="147"/>
      <c r="AC3626" s="147"/>
      <c r="AD3626" s="147"/>
      <c r="AE3626" s="147"/>
      <c r="AF3626" s="147"/>
      <c r="AG3626" s="147"/>
      <c r="AH3626" s="147"/>
      <c r="AI3626" s="147"/>
      <c r="AJ3626" s="147"/>
      <c r="AK3626" s="147"/>
      <c r="AL3626" s="147"/>
      <c r="AM3626" s="147"/>
      <c r="AN3626" s="147"/>
      <c r="AO3626" s="147"/>
      <c r="AP3626" s="147"/>
      <c r="AQ3626" s="147"/>
      <c r="AR3626" s="147"/>
      <c r="AS3626" s="147"/>
      <c r="AT3626" s="147"/>
      <c r="AU3626" s="147"/>
      <c r="AV3626" s="147"/>
      <c r="AW3626" s="147"/>
      <c r="AX3626" s="147"/>
      <c r="AY3626" s="147"/>
      <c r="AZ3626" s="147"/>
      <c r="BA3626" s="147"/>
    </row>
    <row r="3627" spans="1:53" ht="15.75" customHeight="1">
      <c r="A3627" s="99"/>
      <c r="B3627" s="99"/>
      <c r="C3627" s="147"/>
      <c r="D3627" s="147"/>
      <c r="E3627" s="147"/>
      <c r="F3627" s="147"/>
      <c r="G3627" s="147"/>
      <c r="H3627" s="147"/>
      <c r="I3627" s="147"/>
      <c r="J3627" s="147"/>
      <c r="K3627" s="147"/>
      <c r="L3627" s="147"/>
      <c r="M3627" s="147"/>
      <c r="N3627" s="147"/>
      <c r="O3627" s="147"/>
      <c r="P3627" s="147"/>
      <c r="Q3627" s="147"/>
      <c r="R3627" s="147"/>
      <c r="S3627" s="147"/>
      <c r="T3627" s="147"/>
      <c r="U3627" s="147"/>
      <c r="V3627" s="147"/>
      <c r="W3627" s="147"/>
      <c r="X3627" s="147"/>
      <c r="Y3627" s="147"/>
      <c r="Z3627" s="147"/>
      <c r="AA3627" s="147"/>
      <c r="AB3627" s="147"/>
      <c r="AC3627" s="147"/>
      <c r="AD3627" s="147"/>
      <c r="AE3627" s="147"/>
      <c r="AF3627" s="147"/>
      <c r="AG3627" s="147"/>
      <c r="AH3627" s="147"/>
      <c r="AI3627" s="147"/>
      <c r="AJ3627" s="147"/>
      <c r="AK3627" s="147"/>
      <c r="AL3627" s="147"/>
      <c r="AM3627" s="147"/>
      <c r="AN3627" s="147"/>
      <c r="AO3627" s="147"/>
      <c r="AP3627" s="147"/>
      <c r="AQ3627" s="147"/>
      <c r="AR3627" s="147"/>
      <c r="AS3627" s="147"/>
      <c r="AT3627" s="147"/>
      <c r="AU3627" s="147"/>
      <c r="AV3627" s="147"/>
      <c r="AW3627" s="147"/>
      <c r="AX3627" s="147"/>
      <c r="AY3627" s="147"/>
      <c r="AZ3627" s="147"/>
      <c r="BA3627" s="147"/>
    </row>
    <row r="3628" spans="1:53" ht="15.75" customHeight="1">
      <c r="A3628" s="99"/>
      <c r="B3628" s="99"/>
      <c r="C3628" s="147"/>
      <c r="D3628" s="147"/>
      <c r="E3628" s="147"/>
      <c r="F3628" s="147"/>
      <c r="G3628" s="147"/>
      <c r="H3628" s="147"/>
      <c r="I3628" s="147"/>
      <c r="J3628" s="147"/>
      <c r="K3628" s="147"/>
      <c r="L3628" s="147"/>
      <c r="M3628" s="147"/>
      <c r="N3628" s="147"/>
      <c r="O3628" s="147"/>
      <c r="P3628" s="147"/>
      <c r="Q3628" s="147"/>
      <c r="R3628" s="147"/>
      <c r="S3628" s="147"/>
      <c r="T3628" s="147"/>
      <c r="U3628" s="147"/>
      <c r="V3628" s="147"/>
      <c r="W3628" s="147"/>
      <c r="X3628" s="147"/>
      <c r="Y3628" s="147"/>
      <c r="Z3628" s="147"/>
      <c r="AA3628" s="147"/>
      <c r="AB3628" s="147"/>
      <c r="AC3628" s="147"/>
      <c r="AD3628" s="147"/>
      <c r="AE3628" s="147"/>
      <c r="AF3628" s="147"/>
      <c r="AG3628" s="147"/>
      <c r="AH3628" s="147"/>
      <c r="AI3628" s="147"/>
      <c r="AJ3628" s="147"/>
      <c r="AK3628" s="147"/>
      <c r="AL3628" s="147"/>
      <c r="AM3628" s="147"/>
      <c r="AN3628" s="147"/>
      <c r="AO3628" s="147"/>
      <c r="AP3628" s="147"/>
      <c r="AQ3628" s="147"/>
      <c r="AR3628" s="147"/>
      <c r="AS3628" s="147"/>
      <c r="AT3628" s="147"/>
      <c r="AU3628" s="147"/>
      <c r="AV3628" s="147"/>
      <c r="AW3628" s="147"/>
      <c r="AX3628" s="147"/>
      <c r="AY3628" s="147"/>
      <c r="AZ3628" s="147"/>
      <c r="BA3628" s="147"/>
    </row>
    <row r="3629" spans="1:53" ht="15.75" customHeight="1">
      <c r="A3629" s="99"/>
      <c r="B3629" s="99"/>
      <c r="C3629" s="147"/>
      <c r="D3629" s="147"/>
      <c r="E3629" s="147"/>
      <c r="F3629" s="147"/>
      <c r="G3629" s="147"/>
      <c r="H3629" s="147"/>
      <c r="I3629" s="147"/>
      <c r="J3629" s="147"/>
      <c r="K3629" s="147"/>
      <c r="L3629" s="147"/>
      <c r="M3629" s="147"/>
      <c r="N3629" s="147"/>
      <c r="O3629" s="147"/>
      <c r="P3629" s="147"/>
      <c r="Q3629" s="147"/>
      <c r="R3629" s="147"/>
      <c r="S3629" s="147"/>
      <c r="T3629" s="147"/>
      <c r="U3629" s="147"/>
      <c r="V3629" s="147"/>
      <c r="W3629" s="147"/>
      <c r="X3629" s="147"/>
      <c r="Y3629" s="147"/>
      <c r="Z3629" s="147"/>
      <c r="AA3629" s="147"/>
      <c r="AB3629" s="147"/>
      <c r="AC3629" s="147"/>
      <c r="AD3629" s="147"/>
      <c r="AE3629" s="147"/>
      <c r="AF3629" s="147"/>
      <c r="AG3629" s="147"/>
      <c r="AH3629" s="147"/>
      <c r="AI3629" s="147"/>
      <c r="AJ3629" s="147"/>
      <c r="AK3629" s="147"/>
      <c r="AL3629" s="147"/>
      <c r="AM3629" s="147"/>
      <c r="AN3629" s="147"/>
      <c r="AO3629" s="147"/>
      <c r="AP3629" s="147"/>
      <c r="AQ3629" s="147"/>
      <c r="AR3629" s="147"/>
      <c r="AS3629" s="147"/>
      <c r="AT3629" s="147"/>
      <c r="AU3629" s="147"/>
      <c r="AV3629" s="147"/>
      <c r="AW3629" s="147"/>
      <c r="AX3629" s="147"/>
      <c r="AY3629" s="147"/>
      <c r="AZ3629" s="147"/>
      <c r="BA3629" s="147"/>
    </row>
    <row r="3630" spans="1:53" ht="15.75" customHeight="1">
      <c r="A3630" s="99"/>
      <c r="B3630" s="99"/>
      <c r="C3630" s="147"/>
      <c r="D3630" s="147"/>
      <c r="E3630" s="147"/>
      <c r="F3630" s="147"/>
      <c r="G3630" s="147"/>
      <c r="H3630" s="147"/>
      <c r="I3630" s="147"/>
      <c r="J3630" s="147"/>
      <c r="K3630" s="147"/>
      <c r="L3630" s="147"/>
      <c r="M3630" s="147"/>
      <c r="N3630" s="147"/>
      <c r="O3630" s="147"/>
      <c r="P3630" s="147"/>
      <c r="Q3630" s="147"/>
      <c r="R3630" s="147"/>
      <c r="S3630" s="147"/>
      <c r="T3630" s="147"/>
      <c r="U3630" s="147"/>
      <c r="V3630" s="147"/>
      <c r="W3630" s="147"/>
      <c r="X3630" s="147"/>
      <c r="Y3630" s="147"/>
      <c r="Z3630" s="147"/>
      <c r="AA3630" s="147"/>
      <c r="AB3630" s="147"/>
      <c r="AC3630" s="147"/>
      <c r="AD3630" s="147"/>
      <c r="AE3630" s="147"/>
      <c r="AF3630" s="147"/>
      <c r="AG3630" s="147"/>
      <c r="AH3630" s="147"/>
      <c r="AI3630" s="147"/>
      <c r="AJ3630" s="147"/>
      <c r="AK3630" s="147"/>
      <c r="AL3630" s="147"/>
      <c r="AM3630" s="147"/>
      <c r="AN3630" s="147"/>
      <c r="AO3630" s="147"/>
      <c r="AP3630" s="147"/>
      <c r="AQ3630" s="147"/>
      <c r="AR3630" s="147"/>
      <c r="AS3630" s="147"/>
      <c r="AT3630" s="147"/>
      <c r="AU3630" s="147"/>
      <c r="AV3630" s="147"/>
      <c r="AW3630" s="147"/>
      <c r="AX3630" s="147"/>
      <c r="AY3630" s="147"/>
      <c r="AZ3630" s="147"/>
      <c r="BA3630" s="147"/>
    </row>
    <row r="3631" spans="1:53" ht="15.75" customHeight="1">
      <c r="A3631" s="99"/>
      <c r="B3631" s="99"/>
      <c r="C3631" s="147"/>
      <c r="D3631" s="147"/>
      <c r="E3631" s="147"/>
      <c r="F3631" s="147"/>
      <c r="G3631" s="147"/>
      <c r="H3631" s="147"/>
      <c r="I3631" s="147"/>
      <c r="J3631" s="147"/>
      <c r="K3631" s="147"/>
      <c r="L3631" s="147"/>
      <c r="M3631" s="147"/>
      <c r="N3631" s="147"/>
      <c r="O3631" s="147"/>
      <c r="P3631" s="147"/>
      <c r="Q3631" s="147"/>
      <c r="R3631" s="147"/>
      <c r="S3631" s="147"/>
      <c r="T3631" s="147"/>
      <c r="U3631" s="147"/>
      <c r="V3631" s="147"/>
      <c r="W3631" s="147"/>
      <c r="X3631" s="147"/>
      <c r="Y3631" s="147"/>
      <c r="Z3631" s="147"/>
      <c r="AA3631" s="147"/>
      <c r="AB3631" s="147"/>
      <c r="AC3631" s="147"/>
      <c r="AD3631" s="147"/>
      <c r="AE3631" s="147"/>
      <c r="AF3631" s="147"/>
      <c r="AG3631" s="147"/>
      <c r="AH3631" s="147"/>
      <c r="AI3631" s="147"/>
      <c r="AJ3631" s="147"/>
      <c r="AK3631" s="147"/>
      <c r="AL3631" s="147"/>
      <c r="AM3631" s="147"/>
      <c r="AN3631" s="147"/>
      <c r="AO3631" s="147"/>
      <c r="AP3631" s="147"/>
      <c r="AQ3631" s="147"/>
      <c r="AR3631" s="147"/>
      <c r="AS3631" s="147"/>
      <c r="AT3631" s="147"/>
      <c r="AU3631" s="147"/>
      <c r="AV3631" s="147"/>
      <c r="AW3631" s="147"/>
      <c r="AX3631" s="147"/>
      <c r="AY3631" s="147"/>
      <c r="AZ3631" s="147"/>
      <c r="BA3631" s="147"/>
    </row>
    <row r="3632" spans="1:53" ht="15.75" customHeight="1">
      <c r="A3632" s="99"/>
      <c r="B3632" s="99"/>
      <c r="C3632" s="147"/>
      <c r="D3632" s="147"/>
      <c r="E3632" s="147"/>
      <c r="F3632" s="147"/>
      <c r="G3632" s="147"/>
      <c r="H3632" s="147"/>
      <c r="I3632" s="147"/>
      <c r="J3632" s="147"/>
      <c r="K3632" s="147"/>
      <c r="L3632" s="147"/>
      <c r="M3632" s="147"/>
      <c r="N3632" s="147"/>
      <c r="O3632" s="147"/>
      <c r="P3632" s="147"/>
      <c r="Q3632" s="147"/>
      <c r="R3632" s="147"/>
      <c r="S3632" s="147"/>
      <c r="T3632" s="147"/>
      <c r="U3632" s="147"/>
      <c r="V3632" s="147"/>
      <c r="W3632" s="147"/>
      <c r="X3632" s="147"/>
      <c r="Y3632" s="147"/>
      <c r="Z3632" s="147"/>
      <c r="AA3632" s="147"/>
      <c r="AB3632" s="147"/>
      <c r="AC3632" s="147"/>
      <c r="AD3632" s="147"/>
      <c r="AE3632" s="147"/>
      <c r="AF3632" s="147"/>
      <c r="AG3632" s="147"/>
      <c r="AH3632" s="147"/>
      <c r="AI3632" s="147"/>
      <c r="AJ3632" s="147"/>
      <c r="AK3632" s="147"/>
      <c r="AL3632" s="147"/>
      <c r="AM3632" s="147"/>
      <c r="AN3632" s="147"/>
      <c r="AO3632" s="147"/>
      <c r="AP3632" s="147"/>
      <c r="AQ3632" s="147"/>
      <c r="AR3632" s="147"/>
      <c r="AS3632" s="147"/>
      <c r="AT3632" s="147"/>
      <c r="AU3632" s="147"/>
      <c r="AV3632" s="147"/>
      <c r="AW3632" s="147"/>
      <c r="AX3632" s="147"/>
      <c r="AY3632" s="147"/>
      <c r="AZ3632" s="147"/>
      <c r="BA3632" s="147"/>
    </row>
    <row r="3633" spans="1:53" ht="15.75" customHeight="1">
      <c r="A3633" s="99"/>
      <c r="B3633" s="99"/>
      <c r="C3633" s="147"/>
      <c r="D3633" s="147"/>
      <c r="E3633" s="147"/>
      <c r="F3633" s="147"/>
      <c r="G3633" s="147"/>
      <c r="H3633" s="147"/>
      <c r="I3633" s="147"/>
      <c r="J3633" s="147"/>
      <c r="K3633" s="147"/>
      <c r="L3633" s="147"/>
      <c r="M3633" s="147"/>
      <c r="N3633" s="147"/>
      <c r="O3633" s="147"/>
      <c r="P3633" s="147"/>
      <c r="Q3633" s="147"/>
      <c r="R3633" s="147"/>
      <c r="S3633" s="147"/>
      <c r="T3633" s="147"/>
      <c r="U3633" s="147"/>
      <c r="V3633" s="147"/>
      <c r="W3633" s="147"/>
      <c r="X3633" s="147"/>
      <c r="Y3633" s="147"/>
      <c r="Z3633" s="147"/>
      <c r="AA3633" s="147"/>
      <c r="AB3633" s="147"/>
      <c r="AC3633" s="147"/>
      <c r="AD3633" s="147"/>
      <c r="AE3633" s="147"/>
      <c r="AF3633" s="147"/>
      <c r="AG3633" s="147"/>
      <c r="AH3633" s="147"/>
      <c r="AI3633" s="147"/>
      <c r="AJ3633" s="147"/>
      <c r="AK3633" s="147"/>
      <c r="AL3633" s="147"/>
      <c r="AM3633" s="147"/>
      <c r="AN3633" s="147"/>
      <c r="AO3633" s="147"/>
      <c r="AP3633" s="147"/>
      <c r="AQ3633" s="147"/>
      <c r="AR3633" s="147"/>
      <c r="AS3633" s="147"/>
      <c r="AT3633" s="147"/>
      <c r="AU3633" s="147"/>
      <c r="AV3633" s="147"/>
      <c r="AW3633" s="147"/>
      <c r="AX3633" s="147"/>
      <c r="AY3633" s="147"/>
      <c r="AZ3633" s="147"/>
      <c r="BA3633" s="147"/>
    </row>
    <row r="3634" spans="1:53" ht="15.75" customHeight="1">
      <c r="A3634" s="99"/>
      <c r="B3634" s="99"/>
      <c r="C3634" s="147"/>
      <c r="D3634" s="147"/>
      <c r="E3634" s="147"/>
      <c r="F3634" s="147"/>
      <c r="G3634" s="147"/>
      <c r="H3634" s="147"/>
      <c r="I3634" s="147"/>
      <c r="J3634" s="147"/>
      <c r="K3634" s="147"/>
      <c r="L3634" s="147"/>
      <c r="M3634" s="147"/>
      <c r="N3634" s="147"/>
      <c r="O3634" s="147"/>
      <c r="P3634" s="147"/>
      <c r="Q3634" s="147"/>
      <c r="R3634" s="147"/>
      <c r="S3634" s="147"/>
      <c r="T3634" s="147"/>
      <c r="U3634" s="147"/>
      <c r="V3634" s="147"/>
      <c r="W3634" s="147"/>
      <c r="X3634" s="147"/>
      <c r="Y3634" s="147"/>
      <c r="Z3634" s="147"/>
      <c r="AA3634" s="147"/>
      <c r="AB3634" s="147"/>
      <c r="AC3634" s="147"/>
      <c r="AD3634" s="147"/>
      <c r="AE3634" s="147"/>
      <c r="AF3634" s="147"/>
      <c r="AG3634" s="147"/>
      <c r="AH3634" s="147"/>
      <c r="AI3634" s="147"/>
      <c r="AJ3634" s="147"/>
      <c r="AK3634" s="147"/>
      <c r="AL3634" s="147"/>
      <c r="AM3634" s="147"/>
      <c r="AN3634" s="147"/>
      <c r="AO3634" s="147"/>
      <c r="AP3634" s="147"/>
      <c r="AQ3634" s="147"/>
      <c r="AR3634" s="147"/>
      <c r="AS3634" s="147"/>
      <c r="AT3634" s="147"/>
      <c r="AU3634" s="147"/>
      <c r="AV3634" s="147"/>
      <c r="AW3634" s="147"/>
      <c r="AX3634" s="147"/>
      <c r="AY3634" s="147"/>
      <c r="AZ3634" s="147"/>
      <c r="BA3634" s="147"/>
    </row>
    <row r="3635" spans="1:53" ht="15.75" customHeight="1">
      <c r="A3635" s="99"/>
      <c r="B3635" s="99"/>
      <c r="C3635" s="147"/>
      <c r="D3635" s="147"/>
      <c r="E3635" s="147"/>
      <c r="F3635" s="147"/>
      <c r="G3635" s="147"/>
      <c r="H3635" s="147"/>
      <c r="I3635" s="147"/>
      <c r="J3635" s="147"/>
      <c r="K3635" s="147"/>
      <c r="L3635" s="147"/>
      <c r="M3635" s="147"/>
      <c r="N3635" s="147"/>
      <c r="O3635" s="147"/>
      <c r="P3635" s="147"/>
      <c r="Q3635" s="147"/>
      <c r="R3635" s="147"/>
      <c r="S3635" s="147"/>
      <c r="T3635" s="147"/>
      <c r="U3635" s="147"/>
      <c r="V3635" s="147"/>
      <c r="W3635" s="147"/>
      <c r="X3635" s="147"/>
      <c r="Y3635" s="147"/>
      <c r="Z3635" s="147"/>
      <c r="AA3635" s="147"/>
      <c r="AB3635" s="147"/>
      <c r="AC3635" s="147"/>
      <c r="AD3635" s="147"/>
      <c r="AE3635" s="147"/>
      <c r="AF3635" s="147"/>
      <c r="AG3635" s="147"/>
      <c r="AH3635" s="147"/>
      <c r="AI3635" s="147"/>
      <c r="AJ3635" s="147"/>
      <c r="AK3635" s="147"/>
      <c r="AL3635" s="147"/>
      <c r="AM3635" s="147"/>
      <c r="AN3635" s="147"/>
      <c r="AO3635" s="147"/>
      <c r="AP3635" s="147"/>
      <c r="AQ3635" s="147"/>
      <c r="AR3635" s="147"/>
      <c r="AS3635" s="147"/>
      <c r="AT3635" s="147"/>
      <c r="AU3635" s="147"/>
      <c r="AV3635" s="147"/>
      <c r="AW3635" s="147"/>
      <c r="AX3635" s="147"/>
      <c r="AY3635" s="147"/>
      <c r="AZ3635" s="147"/>
      <c r="BA3635" s="147"/>
    </row>
    <row r="3636" spans="1:53" ht="15.75" customHeight="1">
      <c r="A3636" s="99"/>
      <c r="B3636" s="99"/>
      <c r="C3636" s="147"/>
      <c r="D3636" s="147"/>
      <c r="E3636" s="147"/>
      <c r="F3636" s="147"/>
      <c r="G3636" s="147"/>
      <c r="H3636" s="147"/>
      <c r="I3636" s="147"/>
      <c r="J3636" s="147"/>
      <c r="K3636" s="147"/>
      <c r="L3636" s="147"/>
      <c r="M3636" s="147"/>
      <c r="N3636" s="147"/>
      <c r="O3636" s="147"/>
      <c r="P3636" s="147"/>
      <c r="Q3636" s="147"/>
      <c r="R3636" s="147"/>
      <c r="S3636" s="147"/>
      <c r="T3636" s="147"/>
      <c r="U3636" s="147"/>
      <c r="V3636" s="147"/>
      <c r="W3636" s="147"/>
      <c r="X3636" s="147"/>
      <c r="Y3636" s="147"/>
      <c r="Z3636" s="147"/>
      <c r="AA3636" s="147"/>
      <c r="AB3636" s="147"/>
      <c r="AC3636" s="147"/>
      <c r="AD3636" s="147"/>
      <c r="AE3636" s="147"/>
      <c r="AF3636" s="147"/>
      <c r="AG3636" s="147"/>
      <c r="AH3636" s="147"/>
      <c r="AI3636" s="147"/>
      <c r="AJ3636" s="147"/>
      <c r="AK3636" s="147"/>
      <c r="AL3636" s="147"/>
      <c r="AM3636" s="147"/>
      <c r="AN3636" s="147"/>
      <c r="AO3636" s="147"/>
      <c r="AP3636" s="147"/>
      <c r="AQ3636" s="147"/>
      <c r="AR3636" s="147"/>
      <c r="AS3636" s="147"/>
      <c r="AT3636" s="147"/>
      <c r="AU3636" s="147"/>
      <c r="AV3636" s="147"/>
      <c r="AW3636" s="147"/>
      <c r="AX3636" s="147"/>
      <c r="AY3636" s="147"/>
      <c r="AZ3636" s="147"/>
      <c r="BA3636" s="147"/>
    </row>
    <row r="3637" spans="1:53" ht="15.75" customHeight="1">
      <c r="A3637" s="99"/>
      <c r="B3637" s="99"/>
      <c r="C3637" s="147"/>
      <c r="D3637" s="147"/>
      <c r="E3637" s="147"/>
      <c r="F3637" s="147"/>
      <c r="G3637" s="147"/>
      <c r="H3637" s="147"/>
      <c r="I3637" s="147"/>
      <c r="J3637" s="147"/>
      <c r="K3637" s="147"/>
      <c r="L3637" s="147"/>
      <c r="M3637" s="147"/>
      <c r="N3637" s="147"/>
      <c r="O3637" s="147"/>
      <c r="P3637" s="147"/>
      <c r="Q3637" s="147"/>
      <c r="R3637" s="147"/>
      <c r="S3637" s="147"/>
      <c r="T3637" s="147"/>
      <c r="U3637" s="147"/>
      <c r="V3637" s="147"/>
      <c r="W3637" s="147"/>
      <c r="X3637" s="147"/>
      <c r="Y3637" s="147"/>
      <c r="Z3637" s="147"/>
      <c r="AA3637" s="147"/>
      <c r="AB3637" s="147"/>
      <c r="AC3637" s="147"/>
      <c r="AD3637" s="147"/>
      <c r="AE3637" s="147"/>
      <c r="AF3637" s="147"/>
      <c r="AG3637" s="147"/>
      <c r="AH3637" s="147"/>
      <c r="AI3637" s="147"/>
      <c r="AJ3637" s="147"/>
      <c r="AK3637" s="147"/>
      <c r="AL3637" s="147"/>
      <c r="AM3637" s="147"/>
      <c r="AN3637" s="147"/>
      <c r="AO3637" s="147"/>
      <c r="AP3637" s="147"/>
      <c r="AQ3637" s="147"/>
      <c r="AR3637" s="147"/>
      <c r="AS3637" s="147"/>
      <c r="AT3637" s="147"/>
      <c r="AU3637" s="147"/>
      <c r="AV3637" s="147"/>
      <c r="AW3637" s="147"/>
      <c r="AX3637" s="147"/>
      <c r="AY3637" s="147"/>
      <c r="AZ3637" s="147"/>
      <c r="BA3637" s="147"/>
    </row>
    <row r="3638" spans="1:53" ht="15.75" customHeight="1">
      <c r="A3638" s="99"/>
      <c r="B3638" s="99"/>
      <c r="C3638" s="147"/>
      <c r="D3638" s="147"/>
      <c r="E3638" s="147"/>
      <c r="F3638" s="147"/>
      <c r="G3638" s="147"/>
      <c r="H3638" s="147"/>
      <c r="I3638" s="147"/>
      <c r="J3638" s="147"/>
      <c r="K3638" s="147"/>
      <c r="L3638" s="147"/>
      <c r="M3638" s="147"/>
      <c r="N3638" s="147"/>
      <c r="O3638" s="147"/>
      <c r="P3638" s="147"/>
      <c r="Q3638" s="147"/>
      <c r="R3638" s="147"/>
      <c r="S3638" s="147"/>
      <c r="T3638" s="147"/>
      <c r="U3638" s="147"/>
      <c r="V3638" s="147"/>
      <c r="W3638" s="147"/>
      <c r="X3638" s="147"/>
      <c r="Y3638" s="147"/>
      <c r="Z3638" s="147"/>
      <c r="AA3638" s="147"/>
      <c r="AB3638" s="147"/>
      <c r="AC3638" s="147"/>
      <c r="AD3638" s="147"/>
      <c r="AE3638" s="147"/>
      <c r="AF3638" s="147"/>
      <c r="AG3638" s="147"/>
      <c r="AH3638" s="147"/>
      <c r="AI3638" s="147"/>
      <c r="AJ3638" s="147"/>
      <c r="AK3638" s="147"/>
      <c r="AL3638" s="147"/>
      <c r="AM3638" s="147"/>
      <c r="AN3638" s="147"/>
      <c r="AO3638" s="147"/>
      <c r="AP3638" s="147"/>
      <c r="AQ3638" s="147"/>
      <c r="AR3638" s="147"/>
      <c r="AS3638" s="147"/>
      <c r="AT3638" s="147"/>
      <c r="AU3638" s="147"/>
      <c r="AV3638" s="147"/>
      <c r="AW3638" s="147"/>
      <c r="AX3638" s="147"/>
      <c r="AY3638" s="147"/>
      <c r="AZ3638" s="147"/>
      <c r="BA3638" s="147"/>
    </row>
    <row r="3639" spans="1:53" ht="15.75" customHeight="1">
      <c r="A3639" s="99"/>
      <c r="B3639" s="99"/>
      <c r="C3639" s="147"/>
      <c r="D3639" s="147"/>
      <c r="E3639" s="147"/>
      <c r="F3639" s="147"/>
      <c r="G3639" s="147"/>
      <c r="H3639" s="147"/>
      <c r="I3639" s="147"/>
      <c r="J3639" s="147"/>
      <c r="K3639" s="147"/>
      <c r="L3639" s="147"/>
      <c r="M3639" s="147"/>
      <c r="N3639" s="147"/>
      <c r="O3639" s="147"/>
      <c r="P3639" s="147"/>
      <c r="Q3639" s="147"/>
      <c r="R3639" s="147"/>
      <c r="S3639" s="147"/>
      <c r="T3639" s="147"/>
      <c r="U3639" s="147"/>
      <c r="V3639" s="147"/>
      <c r="W3639" s="147"/>
      <c r="X3639" s="147"/>
      <c r="Y3639" s="147"/>
      <c r="Z3639" s="147"/>
      <c r="AA3639" s="147"/>
      <c r="AB3639" s="147"/>
      <c r="AC3639" s="147"/>
      <c r="AD3639" s="147"/>
      <c r="AE3639" s="147"/>
      <c r="AF3639" s="147"/>
      <c r="AG3639" s="147"/>
      <c r="AH3639" s="147"/>
      <c r="AI3639" s="147"/>
      <c r="AJ3639" s="147"/>
      <c r="AK3639" s="147"/>
      <c r="AL3639" s="147"/>
      <c r="AM3639" s="147"/>
      <c r="AN3639" s="147"/>
      <c r="AO3639" s="147"/>
      <c r="AP3639" s="147"/>
      <c r="AQ3639" s="147"/>
      <c r="AR3639" s="147"/>
      <c r="AS3639" s="147"/>
      <c r="AT3639" s="147"/>
      <c r="AU3639" s="147"/>
      <c r="AV3639" s="147"/>
      <c r="AW3639" s="147"/>
      <c r="AX3639" s="147"/>
      <c r="AY3639" s="147"/>
      <c r="AZ3639" s="147"/>
      <c r="BA3639" s="147"/>
    </row>
    <row r="3640" spans="1:53" ht="15.75" customHeight="1">
      <c r="A3640" s="99"/>
      <c r="B3640" s="99"/>
      <c r="C3640" s="147"/>
      <c r="D3640" s="147"/>
      <c r="E3640" s="147"/>
      <c r="F3640" s="147"/>
      <c r="G3640" s="147"/>
      <c r="H3640" s="147"/>
      <c r="I3640" s="147"/>
      <c r="J3640" s="147"/>
      <c r="K3640" s="147"/>
      <c r="L3640" s="147"/>
      <c r="M3640" s="147"/>
      <c r="N3640" s="147"/>
      <c r="O3640" s="147"/>
      <c r="P3640" s="147"/>
      <c r="Q3640" s="147"/>
      <c r="R3640" s="147"/>
      <c r="S3640" s="147"/>
      <c r="T3640" s="147"/>
      <c r="U3640" s="147"/>
      <c r="V3640" s="147"/>
      <c r="W3640" s="147"/>
      <c r="X3640" s="147"/>
      <c r="Y3640" s="147"/>
      <c r="Z3640" s="147"/>
      <c r="AA3640" s="147"/>
      <c r="AB3640" s="147"/>
      <c r="AC3640" s="147"/>
      <c r="AD3640" s="147"/>
      <c r="AE3640" s="147"/>
      <c r="AF3640" s="147"/>
      <c r="AG3640" s="147"/>
      <c r="AH3640" s="147"/>
      <c r="AI3640" s="147"/>
      <c r="AJ3640" s="147"/>
      <c r="AK3640" s="147"/>
      <c r="AL3640" s="147"/>
      <c r="AM3640" s="147"/>
      <c r="AN3640" s="147"/>
      <c r="AO3640" s="147"/>
      <c r="AP3640" s="147"/>
      <c r="AQ3640" s="147"/>
      <c r="AR3640" s="147"/>
      <c r="AS3640" s="147"/>
      <c r="AT3640" s="147"/>
      <c r="AU3640" s="147"/>
      <c r="AV3640" s="147"/>
      <c r="AW3640" s="147"/>
      <c r="AX3640" s="147"/>
      <c r="AY3640" s="147"/>
      <c r="AZ3640" s="147"/>
      <c r="BA3640" s="147"/>
    </row>
    <row r="3641" spans="1:53" ht="15.75" customHeight="1">
      <c r="A3641" s="99"/>
      <c r="B3641" s="99"/>
      <c r="C3641" s="147"/>
      <c r="D3641" s="147"/>
      <c r="E3641" s="147"/>
      <c r="F3641" s="147"/>
      <c r="G3641" s="147"/>
      <c r="H3641" s="147"/>
      <c r="I3641" s="147"/>
      <c r="J3641" s="147"/>
      <c r="K3641" s="147"/>
      <c r="L3641" s="147"/>
      <c r="M3641" s="147"/>
      <c r="N3641" s="147"/>
      <c r="O3641" s="147"/>
      <c r="P3641" s="147"/>
      <c r="Q3641" s="147"/>
      <c r="R3641" s="147"/>
      <c r="S3641" s="147"/>
      <c r="T3641" s="147"/>
      <c r="U3641" s="147"/>
      <c r="V3641" s="147"/>
      <c r="W3641" s="147"/>
      <c r="X3641" s="147"/>
      <c r="Y3641" s="147"/>
      <c r="Z3641" s="147"/>
      <c r="AA3641" s="147"/>
      <c r="AB3641" s="147"/>
      <c r="AC3641" s="147"/>
      <c r="AD3641" s="147"/>
      <c r="AE3641" s="147"/>
      <c r="AF3641" s="147"/>
      <c r="AG3641" s="147"/>
      <c r="AH3641" s="147"/>
      <c r="AI3641" s="147"/>
      <c r="AJ3641" s="147"/>
      <c r="AK3641" s="147"/>
      <c r="AL3641" s="147"/>
      <c r="AM3641" s="147"/>
      <c r="AN3641" s="147"/>
      <c r="AO3641" s="147"/>
      <c r="AP3641" s="147"/>
      <c r="AQ3641" s="147"/>
      <c r="AR3641" s="147"/>
      <c r="AS3641" s="147"/>
      <c r="AT3641" s="147"/>
      <c r="AU3641" s="147"/>
      <c r="AV3641" s="147"/>
      <c r="AW3641" s="147"/>
      <c r="AX3641" s="147"/>
      <c r="AY3641" s="147"/>
      <c r="AZ3641" s="147"/>
      <c r="BA3641" s="147"/>
    </row>
    <row r="3642" spans="1:53" ht="15.75" customHeight="1">
      <c r="A3642" s="99"/>
      <c r="B3642" s="99"/>
      <c r="C3642" s="147"/>
      <c r="D3642" s="147"/>
      <c r="E3642" s="147"/>
      <c r="F3642" s="147"/>
      <c r="G3642" s="147"/>
      <c r="H3642" s="147"/>
      <c r="I3642" s="147"/>
      <c r="J3642" s="147"/>
      <c r="K3642" s="147"/>
      <c r="L3642" s="147"/>
      <c r="M3642" s="147"/>
      <c r="N3642" s="147"/>
      <c r="O3642" s="147"/>
      <c r="P3642" s="147"/>
      <c r="Q3642" s="147"/>
      <c r="R3642" s="147"/>
      <c r="S3642" s="147"/>
      <c r="T3642" s="147"/>
      <c r="U3642" s="147"/>
      <c r="V3642" s="147"/>
      <c r="W3642" s="147"/>
      <c r="X3642" s="147"/>
      <c r="Y3642" s="147"/>
      <c r="Z3642" s="147"/>
      <c r="AA3642" s="147"/>
      <c r="AB3642" s="147"/>
      <c r="AC3642" s="147"/>
      <c r="AD3642" s="147"/>
      <c r="AE3642" s="147"/>
      <c r="AF3642" s="147"/>
      <c r="AG3642" s="147"/>
      <c r="AH3642" s="147"/>
      <c r="AI3642" s="147"/>
      <c r="AJ3642" s="147"/>
      <c r="AK3642" s="147"/>
      <c r="AL3642" s="147"/>
      <c r="AM3642" s="147"/>
      <c r="AN3642" s="147"/>
      <c r="AO3642" s="147"/>
      <c r="AP3642" s="147"/>
      <c r="AQ3642" s="147"/>
      <c r="AR3642" s="147"/>
      <c r="AS3642" s="147"/>
      <c r="AT3642" s="147"/>
      <c r="AU3642" s="147"/>
      <c r="AV3642" s="147"/>
      <c r="AW3642" s="147"/>
      <c r="AX3642" s="147"/>
      <c r="AY3642" s="147"/>
      <c r="AZ3642" s="147"/>
      <c r="BA3642" s="147"/>
    </row>
    <row r="3643" spans="1:53" ht="15.75" customHeight="1">
      <c r="A3643" s="99"/>
      <c r="B3643" s="99"/>
      <c r="C3643" s="147"/>
      <c r="D3643" s="147"/>
      <c r="E3643" s="147"/>
      <c r="F3643" s="147"/>
      <c r="G3643" s="147"/>
      <c r="H3643" s="147"/>
      <c r="I3643" s="147"/>
      <c r="J3643" s="147"/>
      <c r="K3643" s="147"/>
      <c r="L3643" s="147"/>
      <c r="M3643" s="147"/>
      <c r="N3643" s="147"/>
      <c r="O3643" s="147"/>
      <c r="P3643" s="147"/>
      <c r="Q3643" s="147"/>
      <c r="R3643" s="147"/>
      <c r="S3643" s="147"/>
      <c r="T3643" s="147"/>
      <c r="U3643" s="147"/>
      <c r="V3643" s="147"/>
      <c r="W3643" s="147"/>
      <c r="X3643" s="147"/>
      <c r="Y3643" s="147"/>
      <c r="Z3643" s="147"/>
      <c r="AA3643" s="147"/>
      <c r="AB3643" s="147"/>
      <c r="AC3643" s="147"/>
      <c r="AD3643" s="147"/>
      <c r="AE3643" s="147"/>
      <c r="AF3643" s="147"/>
      <c r="AG3643" s="147"/>
      <c r="AH3643" s="147"/>
      <c r="AI3643" s="147"/>
      <c r="AJ3643" s="147"/>
      <c r="AK3643" s="147"/>
      <c r="AL3643" s="147"/>
      <c r="AM3643" s="147"/>
      <c r="AN3643" s="147"/>
      <c r="AO3643" s="147"/>
      <c r="AP3643" s="147"/>
      <c r="AQ3643" s="147"/>
      <c r="AR3643" s="147"/>
      <c r="AS3643" s="147"/>
      <c r="AT3643" s="147"/>
      <c r="AU3643" s="147"/>
      <c r="AV3643" s="147"/>
      <c r="AW3643" s="147"/>
      <c r="AX3643" s="147"/>
      <c r="AY3643" s="147"/>
      <c r="AZ3643" s="147"/>
      <c r="BA3643" s="147"/>
    </row>
    <row r="3644" spans="1:53" ht="15.75" customHeight="1">
      <c r="A3644" s="99"/>
      <c r="B3644" s="99"/>
      <c r="C3644" s="147"/>
      <c r="D3644" s="147"/>
      <c r="E3644" s="147"/>
      <c r="F3644" s="147"/>
      <c r="G3644" s="147"/>
      <c r="H3644" s="147"/>
      <c r="I3644" s="147"/>
      <c r="J3644" s="147"/>
      <c r="K3644" s="147"/>
      <c r="L3644" s="147"/>
      <c r="M3644" s="147"/>
      <c r="N3644" s="147"/>
      <c r="O3644" s="147"/>
      <c r="P3644" s="147"/>
      <c r="Q3644" s="147"/>
      <c r="R3644" s="147"/>
      <c r="S3644" s="147"/>
      <c r="T3644" s="147"/>
      <c r="U3644" s="147"/>
      <c r="V3644" s="147"/>
      <c r="W3644" s="147"/>
      <c r="X3644" s="147"/>
      <c r="Y3644" s="147"/>
      <c r="Z3644" s="147"/>
      <c r="AA3644" s="147"/>
      <c r="AB3644" s="147"/>
      <c r="AC3644" s="147"/>
      <c r="AD3644" s="147"/>
      <c r="AE3644" s="147"/>
      <c r="AF3644" s="147"/>
      <c r="AG3644" s="147"/>
      <c r="AH3644" s="147"/>
      <c r="AI3644" s="147"/>
      <c r="AJ3644" s="147"/>
      <c r="AK3644" s="147"/>
      <c r="AL3644" s="147"/>
      <c r="AM3644" s="147"/>
      <c r="AN3644" s="147"/>
      <c r="AO3644" s="147"/>
      <c r="AP3644" s="147"/>
      <c r="AQ3644" s="147"/>
      <c r="AR3644" s="147"/>
      <c r="AS3644" s="147"/>
      <c r="AT3644" s="147"/>
      <c r="AU3644" s="147"/>
      <c r="AV3644" s="147"/>
      <c r="AW3644" s="147"/>
      <c r="AX3644" s="147"/>
      <c r="AY3644" s="147"/>
      <c r="AZ3644" s="147"/>
      <c r="BA3644" s="147"/>
    </row>
    <row r="3645" spans="1:53" ht="15.75" customHeight="1">
      <c r="A3645" s="99"/>
      <c r="B3645" s="99"/>
      <c r="C3645" s="147"/>
      <c r="D3645" s="147"/>
      <c r="E3645" s="147"/>
      <c r="F3645" s="147"/>
      <c r="G3645" s="147"/>
      <c r="H3645" s="147"/>
      <c r="I3645" s="147"/>
      <c r="J3645" s="147"/>
      <c r="K3645" s="147"/>
      <c r="L3645" s="147"/>
      <c r="M3645" s="147"/>
      <c r="N3645" s="147"/>
      <c r="O3645" s="147"/>
      <c r="P3645" s="147"/>
      <c r="Q3645" s="147"/>
      <c r="R3645" s="147"/>
      <c r="S3645" s="147"/>
      <c r="T3645" s="147"/>
      <c r="U3645" s="147"/>
      <c r="V3645" s="147"/>
      <c r="W3645" s="147"/>
      <c r="X3645" s="147"/>
      <c r="Y3645" s="147"/>
      <c r="Z3645" s="147"/>
      <c r="AA3645" s="147"/>
      <c r="AB3645" s="147"/>
      <c r="AC3645" s="147"/>
      <c r="AD3645" s="147"/>
      <c r="AE3645" s="147"/>
      <c r="AF3645" s="147"/>
      <c r="AG3645" s="147"/>
      <c r="AH3645" s="147"/>
      <c r="AI3645" s="147"/>
      <c r="AJ3645" s="147"/>
      <c r="AK3645" s="147"/>
      <c r="AL3645" s="147"/>
      <c r="AM3645" s="147"/>
      <c r="AN3645" s="147"/>
      <c r="AO3645" s="147"/>
      <c r="AP3645" s="147"/>
      <c r="AQ3645" s="147"/>
      <c r="AR3645" s="147"/>
      <c r="AS3645" s="147"/>
      <c r="AT3645" s="147"/>
      <c r="AU3645" s="147"/>
      <c r="AV3645" s="147"/>
      <c r="AW3645" s="147"/>
      <c r="AX3645" s="147"/>
      <c r="AY3645" s="147"/>
      <c r="AZ3645" s="147"/>
      <c r="BA3645" s="147"/>
    </row>
    <row r="3646" spans="1:53" ht="15.75" customHeight="1">
      <c r="A3646" s="99"/>
      <c r="B3646" s="99"/>
      <c r="C3646" s="147"/>
      <c r="D3646" s="147"/>
      <c r="E3646" s="147"/>
      <c r="F3646" s="147"/>
      <c r="G3646" s="147"/>
      <c r="H3646" s="147"/>
      <c r="I3646" s="147"/>
      <c r="J3646" s="147"/>
      <c r="K3646" s="147"/>
      <c r="L3646" s="147"/>
      <c r="M3646" s="147"/>
      <c r="N3646" s="147"/>
      <c r="O3646" s="147"/>
      <c r="P3646" s="147"/>
      <c r="Q3646" s="147"/>
      <c r="R3646" s="147"/>
      <c r="S3646" s="147"/>
      <c r="T3646" s="147"/>
      <c r="U3646" s="147"/>
      <c r="V3646" s="147"/>
      <c r="W3646" s="147"/>
      <c r="X3646" s="147"/>
      <c r="Y3646" s="147"/>
      <c r="Z3646" s="147"/>
      <c r="AA3646" s="147"/>
      <c r="AB3646" s="147"/>
      <c r="AC3646" s="147"/>
      <c r="AD3646" s="147"/>
      <c r="AE3646" s="147"/>
      <c r="AF3646" s="147"/>
      <c r="AG3646" s="147"/>
      <c r="AH3646" s="147"/>
      <c r="AI3646" s="147"/>
      <c r="AJ3646" s="147"/>
      <c r="AK3646" s="147"/>
      <c r="AL3646" s="147"/>
      <c r="AM3646" s="147"/>
      <c r="AN3646" s="147"/>
      <c r="AO3646" s="147"/>
      <c r="AP3646" s="147"/>
      <c r="AQ3646" s="147"/>
      <c r="AR3646" s="147"/>
      <c r="AS3646" s="147"/>
      <c r="AT3646" s="147"/>
      <c r="AU3646" s="147"/>
      <c r="AV3646" s="147"/>
      <c r="AW3646" s="147"/>
      <c r="AX3646" s="147"/>
      <c r="AY3646" s="147"/>
      <c r="AZ3646" s="147"/>
      <c r="BA3646" s="147"/>
    </row>
    <row r="3647" spans="1:53" ht="15.75" customHeight="1">
      <c r="A3647" s="99"/>
      <c r="B3647" s="99"/>
      <c r="C3647" s="147"/>
      <c r="D3647" s="147"/>
      <c r="E3647" s="147"/>
      <c r="F3647" s="147"/>
      <c r="G3647" s="147"/>
      <c r="H3647" s="147"/>
      <c r="I3647" s="147"/>
      <c r="J3647" s="147"/>
      <c r="K3647" s="147"/>
      <c r="L3647" s="147"/>
      <c r="M3647" s="147"/>
      <c r="N3647" s="147"/>
      <c r="O3647" s="147"/>
      <c r="P3647" s="147"/>
      <c r="Q3647" s="147"/>
      <c r="R3647" s="147"/>
      <c r="S3647" s="147"/>
      <c r="T3647" s="147"/>
      <c r="U3647" s="147"/>
      <c r="V3647" s="147"/>
      <c r="W3647" s="147"/>
      <c r="X3647" s="147"/>
      <c r="Y3647" s="147"/>
      <c r="Z3647" s="147"/>
      <c r="AA3647" s="147"/>
      <c r="AB3647" s="147"/>
      <c r="AC3647" s="147"/>
      <c r="AD3647" s="147"/>
      <c r="AE3647" s="147"/>
      <c r="AF3647" s="147"/>
      <c r="AG3647" s="147"/>
      <c r="AH3647" s="147"/>
      <c r="AI3647" s="147"/>
      <c r="AJ3647" s="147"/>
      <c r="AK3647" s="147"/>
      <c r="AL3647" s="147"/>
      <c r="AM3647" s="147"/>
      <c r="AN3647" s="147"/>
      <c r="AO3647" s="147"/>
      <c r="AP3647" s="147"/>
      <c r="AQ3647" s="147"/>
      <c r="AR3647" s="147"/>
      <c r="AS3647" s="147"/>
      <c r="AT3647" s="147"/>
      <c r="AU3647" s="147"/>
      <c r="AV3647" s="147"/>
      <c r="AW3647" s="147"/>
      <c r="AX3647" s="147"/>
      <c r="AY3647" s="147"/>
      <c r="AZ3647" s="147"/>
      <c r="BA3647" s="147"/>
    </row>
    <row r="3648" spans="1:53" ht="15.75" customHeight="1">
      <c r="A3648" s="99"/>
      <c r="B3648" s="99"/>
      <c r="C3648" s="147"/>
      <c r="D3648" s="147"/>
      <c r="E3648" s="147"/>
      <c r="F3648" s="147"/>
      <c r="G3648" s="147"/>
      <c r="H3648" s="147"/>
      <c r="I3648" s="147"/>
      <c r="J3648" s="147"/>
      <c r="K3648" s="147"/>
      <c r="L3648" s="147"/>
      <c r="M3648" s="147"/>
      <c r="N3648" s="147"/>
      <c r="O3648" s="147"/>
      <c r="P3648" s="147"/>
      <c r="Q3648" s="147"/>
      <c r="R3648" s="147"/>
      <c r="S3648" s="147"/>
      <c r="T3648" s="147"/>
      <c r="U3648" s="147"/>
      <c r="V3648" s="147"/>
      <c r="W3648" s="147"/>
      <c r="X3648" s="147"/>
      <c r="Y3648" s="147"/>
      <c r="Z3648" s="147"/>
      <c r="AA3648" s="147"/>
      <c r="AB3648" s="147"/>
      <c r="AC3648" s="147"/>
      <c r="AD3648" s="147"/>
      <c r="AE3648" s="147"/>
      <c r="AF3648" s="147"/>
      <c r="AG3648" s="147"/>
      <c r="AH3648" s="147"/>
      <c r="AI3648" s="147"/>
      <c r="AJ3648" s="147"/>
      <c r="AK3648" s="147"/>
      <c r="AL3648" s="147"/>
      <c r="AM3648" s="147"/>
      <c r="AN3648" s="147"/>
      <c r="AO3648" s="147"/>
      <c r="AP3648" s="147"/>
      <c r="AQ3648" s="147"/>
      <c r="AR3648" s="147"/>
      <c r="AS3648" s="147"/>
      <c r="AT3648" s="147"/>
      <c r="AU3648" s="147"/>
      <c r="AV3648" s="147"/>
      <c r="AW3648" s="147"/>
      <c r="AX3648" s="147"/>
      <c r="AY3648" s="147"/>
      <c r="AZ3648" s="147"/>
      <c r="BA3648" s="147"/>
    </row>
    <row r="3649" spans="1:53" ht="15.75" customHeight="1">
      <c r="A3649" s="99"/>
      <c r="B3649" s="99"/>
      <c r="C3649" s="147"/>
      <c r="D3649" s="147"/>
      <c r="E3649" s="147"/>
      <c r="F3649" s="147"/>
      <c r="G3649" s="147"/>
      <c r="H3649" s="147"/>
      <c r="I3649" s="147"/>
      <c r="J3649" s="147"/>
      <c r="K3649" s="147"/>
      <c r="L3649" s="147"/>
      <c r="M3649" s="147"/>
      <c r="N3649" s="147"/>
      <c r="O3649" s="147"/>
      <c r="P3649" s="147"/>
      <c r="Q3649" s="147"/>
      <c r="R3649" s="147"/>
      <c r="S3649" s="147"/>
      <c r="T3649" s="147"/>
      <c r="U3649" s="147"/>
      <c r="V3649" s="147"/>
      <c r="W3649" s="147"/>
      <c r="X3649" s="147"/>
      <c r="Y3649" s="147"/>
      <c r="Z3649" s="147"/>
      <c r="AA3649" s="147"/>
      <c r="AB3649" s="147"/>
      <c r="AC3649" s="147"/>
      <c r="AD3649" s="147"/>
      <c r="AE3649" s="147"/>
      <c r="AF3649" s="147"/>
      <c r="AG3649" s="147"/>
      <c r="AH3649" s="147"/>
      <c r="AI3649" s="147"/>
      <c r="AJ3649" s="147"/>
      <c r="AK3649" s="147"/>
      <c r="AL3649" s="147"/>
      <c r="AM3649" s="147"/>
      <c r="AN3649" s="147"/>
      <c r="AO3649" s="147"/>
      <c r="AP3649" s="147"/>
      <c r="AQ3649" s="147"/>
      <c r="AR3649" s="147"/>
      <c r="AS3649" s="147"/>
      <c r="AT3649" s="147"/>
      <c r="AU3649" s="147"/>
      <c r="AV3649" s="147"/>
      <c r="AW3649" s="147"/>
      <c r="AX3649" s="147"/>
      <c r="AY3649" s="147"/>
      <c r="AZ3649" s="147"/>
      <c r="BA3649" s="147"/>
    </row>
    <row r="3650" spans="1:53" ht="15.75" customHeight="1">
      <c r="A3650" s="99"/>
      <c r="B3650" s="99"/>
      <c r="C3650" s="147"/>
      <c r="D3650" s="147"/>
      <c r="E3650" s="147"/>
      <c r="F3650" s="147"/>
      <c r="G3650" s="147"/>
      <c r="H3650" s="147"/>
      <c r="I3650" s="147"/>
      <c r="J3650" s="147"/>
      <c r="K3650" s="147"/>
      <c r="L3650" s="147"/>
      <c r="M3650" s="147"/>
      <c r="N3650" s="147"/>
      <c r="O3650" s="147"/>
      <c r="P3650" s="147"/>
      <c r="Q3650" s="147"/>
      <c r="R3650" s="147"/>
      <c r="S3650" s="147"/>
      <c r="T3650" s="147"/>
      <c r="U3650" s="147"/>
      <c r="V3650" s="147"/>
      <c r="W3650" s="147"/>
      <c r="X3650" s="147"/>
      <c r="Y3650" s="147"/>
      <c r="Z3650" s="147"/>
      <c r="AA3650" s="147"/>
      <c r="AB3650" s="147"/>
      <c r="AC3650" s="147"/>
      <c r="AD3650" s="147"/>
      <c r="AE3650" s="147"/>
      <c r="AF3650" s="147"/>
      <c r="AG3650" s="147"/>
      <c r="AH3650" s="147"/>
      <c r="AI3650" s="147"/>
      <c r="AJ3650" s="147"/>
      <c r="AK3650" s="147"/>
      <c r="AL3650" s="147"/>
      <c r="AM3650" s="147"/>
      <c r="AN3650" s="147"/>
      <c r="AO3650" s="147"/>
      <c r="AP3650" s="147"/>
      <c r="AQ3650" s="147"/>
      <c r="AR3650" s="147"/>
      <c r="AS3650" s="147"/>
      <c r="AT3650" s="147"/>
      <c r="AU3650" s="147"/>
      <c r="AV3650" s="147"/>
      <c r="AW3650" s="147"/>
      <c r="AX3650" s="147"/>
      <c r="AY3650" s="147"/>
      <c r="AZ3650" s="147"/>
      <c r="BA3650" s="147"/>
    </row>
    <row r="3651" spans="1:53" ht="15.75" customHeight="1">
      <c r="A3651" s="99"/>
      <c r="B3651" s="99"/>
      <c r="C3651" s="147"/>
      <c r="D3651" s="147"/>
      <c r="E3651" s="147"/>
      <c r="F3651" s="147"/>
      <c r="G3651" s="147"/>
      <c r="H3651" s="147"/>
      <c r="I3651" s="147"/>
      <c r="J3651" s="147"/>
      <c r="K3651" s="147"/>
      <c r="L3651" s="147"/>
      <c r="M3651" s="147"/>
      <c r="N3651" s="147"/>
      <c r="O3651" s="147"/>
      <c r="P3651" s="147"/>
      <c r="Q3651" s="147"/>
      <c r="R3651" s="147"/>
      <c r="S3651" s="147"/>
      <c r="T3651" s="147"/>
      <c r="U3651" s="147"/>
      <c r="V3651" s="147"/>
      <c r="W3651" s="147"/>
      <c r="X3651" s="147"/>
      <c r="Y3651" s="147"/>
      <c r="Z3651" s="147"/>
      <c r="AA3651" s="147"/>
      <c r="AB3651" s="147"/>
      <c r="AC3651" s="147"/>
      <c r="AD3651" s="147"/>
      <c r="AE3651" s="147"/>
      <c r="AF3651" s="147"/>
      <c r="AG3651" s="147"/>
      <c r="AH3651" s="147"/>
      <c r="AI3651" s="147"/>
      <c r="AJ3651" s="147"/>
      <c r="AK3651" s="147"/>
      <c r="AL3651" s="147"/>
      <c r="AM3651" s="147"/>
      <c r="AN3651" s="147"/>
      <c r="AO3651" s="147"/>
      <c r="AP3651" s="147"/>
      <c r="AQ3651" s="147"/>
      <c r="AR3651" s="147"/>
      <c r="AS3651" s="147"/>
      <c r="AT3651" s="147"/>
      <c r="AU3651" s="147"/>
      <c r="AV3651" s="147"/>
      <c r="AW3651" s="147"/>
      <c r="AX3651" s="147"/>
      <c r="AY3651" s="147"/>
      <c r="AZ3651" s="147"/>
      <c r="BA3651" s="147"/>
    </row>
    <row r="3652" spans="1:53" ht="15.75" customHeight="1">
      <c r="A3652" s="99"/>
      <c r="B3652" s="99"/>
      <c r="C3652" s="147"/>
      <c r="D3652" s="147"/>
      <c r="E3652" s="147"/>
      <c r="F3652" s="147"/>
      <c r="G3652" s="147"/>
      <c r="H3652" s="147"/>
      <c r="I3652" s="147"/>
      <c r="J3652" s="147"/>
      <c r="K3652" s="147"/>
      <c r="L3652" s="147"/>
      <c r="M3652" s="147"/>
      <c r="N3652" s="147"/>
      <c r="O3652" s="147"/>
      <c r="P3652" s="147"/>
      <c r="Q3652" s="147"/>
      <c r="R3652" s="147"/>
      <c r="S3652" s="147"/>
      <c r="T3652" s="147"/>
      <c r="U3652" s="147"/>
      <c r="V3652" s="147"/>
      <c r="W3652" s="147"/>
      <c r="X3652" s="147"/>
      <c r="Y3652" s="147"/>
      <c r="Z3652" s="147"/>
      <c r="AA3652" s="147"/>
      <c r="AB3652" s="147"/>
      <c r="AC3652" s="147"/>
      <c r="AD3652" s="147"/>
      <c r="AE3652" s="147"/>
      <c r="AF3652" s="147"/>
      <c r="AG3652" s="147"/>
      <c r="AH3652" s="147"/>
      <c r="AI3652" s="147"/>
      <c r="AJ3652" s="147"/>
      <c r="AK3652" s="147"/>
      <c r="AL3652" s="147"/>
      <c r="AM3652" s="147"/>
      <c r="AN3652" s="147"/>
      <c r="AO3652" s="147"/>
      <c r="AP3652" s="147"/>
      <c r="AQ3652" s="147"/>
      <c r="AR3652" s="147"/>
      <c r="AS3652" s="147"/>
      <c r="AT3652" s="147"/>
      <c r="AU3652" s="147"/>
      <c r="AV3652" s="147"/>
      <c r="AW3652" s="147"/>
      <c r="AX3652" s="147"/>
      <c r="AY3652" s="147"/>
      <c r="AZ3652" s="147"/>
      <c r="BA3652" s="147"/>
    </row>
    <row r="3653" spans="1:53" ht="15.75" customHeight="1">
      <c r="A3653" s="99"/>
      <c r="B3653" s="99"/>
      <c r="C3653" s="147"/>
      <c r="D3653" s="147"/>
      <c r="E3653" s="147"/>
      <c r="F3653" s="147"/>
      <c r="G3653" s="147"/>
      <c r="H3653" s="147"/>
      <c r="I3653" s="147"/>
      <c r="J3653" s="147"/>
      <c r="K3653" s="147"/>
      <c r="L3653" s="147"/>
      <c r="M3653" s="147"/>
      <c r="N3653" s="147"/>
      <c r="O3653" s="147"/>
      <c r="P3653" s="147"/>
      <c r="Q3653" s="147"/>
      <c r="R3653" s="147"/>
      <c r="S3653" s="147"/>
      <c r="T3653" s="147"/>
      <c r="U3653" s="147"/>
      <c r="V3653" s="147"/>
      <c r="W3653" s="147"/>
      <c r="X3653" s="147"/>
      <c r="Y3653" s="147"/>
      <c r="Z3653" s="147"/>
      <c r="AA3653" s="147"/>
      <c r="AB3653" s="147"/>
      <c r="AC3653" s="147"/>
      <c r="AD3653" s="147"/>
      <c r="AE3653" s="147"/>
      <c r="AF3653" s="147"/>
      <c r="AG3653" s="147"/>
      <c r="AH3653" s="147"/>
      <c r="AI3653" s="147"/>
      <c r="AJ3653" s="147"/>
      <c r="AK3653" s="147"/>
      <c r="AL3653" s="147"/>
      <c r="AM3653" s="147"/>
      <c r="AN3653" s="147"/>
      <c r="AO3653" s="147"/>
      <c r="AP3653" s="147"/>
      <c r="AQ3653" s="147"/>
      <c r="AR3653" s="147"/>
      <c r="AS3653" s="147"/>
      <c r="AT3653" s="147"/>
      <c r="AU3653" s="147"/>
      <c r="AV3653" s="147"/>
      <c r="AW3653" s="147"/>
      <c r="AX3653" s="147"/>
      <c r="AY3653" s="147"/>
      <c r="AZ3653" s="147"/>
      <c r="BA3653" s="147"/>
    </row>
    <row r="3654" spans="1:53" ht="15.75" customHeight="1">
      <c r="A3654" s="99"/>
      <c r="B3654" s="99"/>
      <c r="C3654" s="147"/>
      <c r="D3654" s="147"/>
      <c r="E3654" s="147"/>
      <c r="F3654" s="147"/>
      <c r="G3654" s="147"/>
      <c r="H3654" s="147"/>
      <c r="I3654" s="147"/>
      <c r="J3654" s="147"/>
      <c r="K3654" s="147"/>
      <c r="L3654" s="147"/>
      <c r="M3654" s="147"/>
      <c r="N3654" s="147"/>
      <c r="O3654" s="147"/>
      <c r="P3654" s="147"/>
      <c r="Q3654" s="147"/>
      <c r="R3654" s="147"/>
      <c r="S3654" s="147"/>
      <c r="T3654" s="147"/>
      <c r="U3654" s="147"/>
      <c r="V3654" s="147"/>
      <c r="W3654" s="147"/>
      <c r="X3654" s="147"/>
      <c r="Y3654" s="147"/>
      <c r="Z3654" s="147"/>
      <c r="AA3654" s="147"/>
      <c r="AB3654" s="147"/>
      <c r="AC3654" s="147"/>
      <c r="AD3654" s="147"/>
      <c r="AE3654" s="147"/>
      <c r="AF3654" s="147"/>
      <c r="AG3654" s="147"/>
      <c r="AH3654" s="147"/>
      <c r="AI3654" s="147"/>
      <c r="AJ3654" s="147"/>
      <c r="AK3654" s="147"/>
      <c r="AL3654" s="147"/>
      <c r="AM3654" s="147"/>
      <c r="AN3654" s="147"/>
      <c r="AO3654" s="147"/>
      <c r="AP3654" s="147"/>
      <c r="AQ3654" s="147"/>
      <c r="AR3654" s="147"/>
      <c r="AS3654" s="147"/>
      <c r="AT3654" s="147"/>
      <c r="AU3654" s="147"/>
      <c r="AV3654" s="147"/>
      <c r="AW3654" s="147"/>
      <c r="AX3654" s="147"/>
      <c r="AY3654" s="147"/>
      <c r="AZ3654" s="147"/>
      <c r="BA3654" s="147"/>
    </row>
    <row r="3655" spans="1:53" ht="15.75" customHeight="1">
      <c r="A3655" s="99"/>
      <c r="B3655" s="99"/>
      <c r="C3655" s="147"/>
      <c r="D3655" s="147"/>
      <c r="E3655" s="147"/>
      <c r="F3655" s="147"/>
      <c r="G3655" s="147"/>
      <c r="H3655" s="147"/>
      <c r="I3655" s="147"/>
      <c r="J3655" s="147"/>
      <c r="K3655" s="147"/>
      <c r="L3655" s="147"/>
      <c r="M3655" s="147"/>
      <c r="N3655" s="147"/>
      <c r="O3655" s="147"/>
      <c r="P3655" s="147"/>
      <c r="Q3655" s="147"/>
      <c r="R3655" s="147"/>
      <c r="S3655" s="147"/>
      <c r="T3655" s="147"/>
      <c r="U3655" s="147"/>
      <c r="V3655" s="147"/>
      <c r="W3655" s="147"/>
      <c r="X3655" s="147"/>
      <c r="Y3655" s="147"/>
      <c r="Z3655" s="147"/>
      <c r="AA3655" s="147"/>
      <c r="AB3655" s="147"/>
      <c r="AC3655" s="147"/>
      <c r="AD3655" s="147"/>
      <c r="AE3655" s="147"/>
      <c r="AF3655" s="147"/>
      <c r="AG3655" s="147"/>
      <c r="AH3655" s="147"/>
      <c r="AI3655" s="147"/>
      <c r="AJ3655" s="147"/>
      <c r="AK3655" s="147"/>
      <c r="AL3655" s="147"/>
      <c r="AM3655" s="147"/>
      <c r="AN3655" s="147"/>
      <c r="AO3655" s="147"/>
      <c r="AP3655" s="147"/>
      <c r="AQ3655" s="147"/>
      <c r="AR3655" s="147"/>
      <c r="AS3655" s="147"/>
      <c r="AT3655" s="147"/>
      <c r="AU3655" s="147"/>
      <c r="AV3655" s="147"/>
      <c r="AW3655" s="147"/>
      <c r="AX3655" s="147"/>
      <c r="AY3655" s="147"/>
      <c r="AZ3655" s="147"/>
      <c r="BA3655" s="147"/>
    </row>
    <row r="3656" spans="1:53" ht="15.75" customHeight="1">
      <c r="A3656" s="99"/>
      <c r="B3656" s="99"/>
      <c r="C3656" s="147"/>
      <c r="D3656" s="147"/>
      <c r="E3656" s="147"/>
      <c r="F3656" s="147"/>
      <c r="G3656" s="147"/>
      <c r="H3656" s="147"/>
      <c r="I3656" s="147"/>
      <c r="J3656" s="147"/>
      <c r="K3656" s="147"/>
      <c r="L3656" s="147"/>
      <c r="M3656" s="147"/>
      <c r="N3656" s="147"/>
      <c r="O3656" s="147"/>
      <c r="P3656" s="147"/>
      <c r="Q3656" s="147"/>
      <c r="R3656" s="147"/>
      <c r="S3656" s="147"/>
      <c r="T3656" s="147"/>
      <c r="U3656" s="147"/>
      <c r="V3656" s="147"/>
      <c r="W3656" s="147"/>
      <c r="X3656" s="147"/>
      <c r="Y3656" s="147"/>
      <c r="Z3656" s="147"/>
      <c r="AA3656" s="147"/>
      <c r="AB3656" s="147"/>
      <c r="AC3656" s="147"/>
      <c r="AD3656" s="147"/>
      <c r="AE3656" s="147"/>
      <c r="AF3656" s="147"/>
      <c r="AG3656" s="147"/>
      <c r="AH3656" s="147"/>
      <c r="AI3656" s="147"/>
      <c r="AJ3656" s="147"/>
      <c r="AK3656" s="147"/>
      <c r="AL3656" s="147"/>
      <c r="AM3656" s="147"/>
      <c r="AN3656" s="147"/>
      <c r="AO3656" s="147"/>
      <c r="AP3656" s="147"/>
      <c r="AQ3656" s="147"/>
      <c r="AR3656" s="147"/>
      <c r="AS3656" s="147"/>
      <c r="AT3656" s="147"/>
      <c r="AU3656" s="147"/>
      <c r="AV3656" s="147"/>
      <c r="AW3656" s="147"/>
      <c r="AX3656" s="147"/>
      <c r="AY3656" s="147"/>
      <c r="AZ3656" s="147"/>
      <c r="BA3656" s="147"/>
    </row>
    <row r="3657" spans="1:53" ht="15.75" customHeight="1">
      <c r="A3657" s="99"/>
      <c r="B3657" s="99"/>
      <c r="C3657" s="147"/>
      <c r="D3657" s="147"/>
      <c r="E3657" s="147"/>
      <c r="F3657" s="147"/>
      <c r="G3657" s="147"/>
      <c r="H3657" s="147"/>
      <c r="I3657" s="147"/>
      <c r="J3657" s="147"/>
      <c r="K3657" s="147"/>
      <c r="L3657" s="147"/>
      <c r="M3657" s="147"/>
      <c r="N3657" s="147"/>
      <c r="O3657" s="147"/>
      <c r="P3657" s="147"/>
      <c r="Q3657" s="147"/>
      <c r="R3657" s="147"/>
      <c r="S3657" s="147"/>
      <c r="T3657" s="147"/>
      <c r="U3657" s="147"/>
      <c r="V3657" s="147"/>
      <c r="W3657" s="147"/>
      <c r="X3657" s="147"/>
      <c r="Y3657" s="147"/>
      <c r="Z3657" s="147"/>
      <c r="AA3657" s="147"/>
      <c r="AB3657" s="147"/>
      <c r="AC3657" s="147"/>
      <c r="AD3657" s="147"/>
      <c r="AE3657" s="147"/>
      <c r="AF3657" s="147"/>
      <c r="AG3657" s="147"/>
      <c r="AH3657" s="147"/>
      <c r="AI3657" s="147"/>
      <c r="AJ3657" s="147"/>
      <c r="AK3657" s="147"/>
      <c r="AL3657" s="147"/>
      <c r="AM3657" s="147"/>
      <c r="AN3657" s="147"/>
      <c r="AO3657" s="147"/>
      <c r="AP3657" s="147"/>
      <c r="AQ3657" s="147"/>
      <c r="AR3657" s="147"/>
      <c r="AS3657" s="147"/>
      <c r="AT3657" s="147"/>
      <c r="AU3657" s="147"/>
      <c r="AV3657" s="147"/>
      <c r="AW3657" s="147"/>
      <c r="AX3657" s="147"/>
      <c r="AY3657" s="147"/>
      <c r="AZ3657" s="147"/>
      <c r="BA3657" s="147"/>
    </row>
    <row r="3658" spans="1:53" ht="15.75" customHeight="1">
      <c r="A3658" s="99"/>
      <c r="B3658" s="99"/>
      <c r="C3658" s="147"/>
      <c r="D3658" s="147"/>
      <c r="E3658" s="147"/>
      <c r="F3658" s="147"/>
      <c r="G3658" s="147"/>
      <c r="H3658" s="147"/>
      <c r="I3658" s="147"/>
      <c r="J3658" s="147"/>
      <c r="K3658" s="147"/>
      <c r="L3658" s="147"/>
      <c r="M3658" s="147"/>
      <c r="N3658" s="147"/>
      <c r="O3658" s="147"/>
      <c r="P3658" s="147"/>
      <c r="Q3658" s="147"/>
      <c r="R3658" s="147"/>
      <c r="S3658" s="147"/>
      <c r="T3658" s="147"/>
      <c r="U3658" s="147"/>
      <c r="V3658" s="147"/>
      <c r="W3658" s="147"/>
      <c r="X3658" s="147"/>
      <c r="Y3658" s="147"/>
      <c r="Z3658" s="147"/>
      <c r="AA3658" s="147"/>
      <c r="AB3658" s="147"/>
      <c r="AC3658" s="147"/>
      <c r="AD3658" s="147"/>
      <c r="AE3658" s="147"/>
      <c r="AF3658" s="147"/>
      <c r="AG3658" s="147"/>
      <c r="AH3658" s="147"/>
      <c r="AI3658" s="147"/>
      <c r="AJ3658" s="147"/>
      <c r="AK3658" s="147"/>
      <c r="AL3658" s="147"/>
      <c r="AM3658" s="147"/>
      <c r="AN3658" s="147"/>
      <c r="AO3658" s="147"/>
      <c r="AP3658" s="147"/>
      <c r="AQ3658" s="147"/>
      <c r="AR3658" s="147"/>
      <c r="AS3658" s="147"/>
      <c r="AT3658" s="147"/>
      <c r="AU3658" s="147"/>
      <c r="AV3658" s="147"/>
      <c r="AW3658" s="147"/>
      <c r="AX3658" s="147"/>
      <c r="AY3658" s="147"/>
      <c r="AZ3658" s="147"/>
      <c r="BA3658" s="147"/>
    </row>
    <row r="3659" spans="1:53" ht="15.75" customHeight="1">
      <c r="A3659" s="99"/>
      <c r="B3659" s="99"/>
      <c r="C3659" s="147"/>
      <c r="D3659" s="147"/>
      <c r="E3659" s="147"/>
      <c r="F3659" s="147"/>
      <c r="G3659" s="147"/>
      <c r="H3659" s="147"/>
      <c r="I3659" s="147"/>
      <c r="J3659" s="147"/>
      <c r="K3659" s="147"/>
      <c r="L3659" s="147"/>
      <c r="M3659" s="147"/>
      <c r="N3659" s="147"/>
      <c r="O3659" s="147"/>
      <c r="P3659" s="147"/>
      <c r="Q3659" s="147"/>
      <c r="R3659" s="147"/>
      <c r="S3659" s="147"/>
      <c r="T3659" s="147"/>
      <c r="U3659" s="147"/>
      <c r="V3659" s="147"/>
      <c r="W3659" s="147"/>
      <c r="X3659" s="147"/>
      <c r="Y3659" s="147"/>
      <c r="Z3659" s="147"/>
      <c r="AA3659" s="147"/>
      <c r="AB3659" s="147"/>
      <c r="AC3659" s="147"/>
      <c r="AD3659" s="147"/>
      <c r="AE3659" s="147"/>
      <c r="AF3659" s="147"/>
      <c r="AG3659" s="147"/>
      <c r="AH3659" s="147"/>
      <c r="AI3659" s="147"/>
      <c r="AJ3659" s="147"/>
      <c r="AK3659" s="147"/>
      <c r="AL3659" s="147"/>
      <c r="AM3659" s="147"/>
      <c r="AN3659" s="147"/>
      <c r="AO3659" s="147"/>
      <c r="AP3659" s="147"/>
      <c r="AQ3659" s="147"/>
      <c r="AR3659" s="147"/>
      <c r="AS3659" s="147"/>
      <c r="AT3659" s="147"/>
      <c r="AU3659" s="147"/>
      <c r="AV3659" s="147"/>
      <c r="AW3659" s="147"/>
      <c r="AX3659" s="147"/>
      <c r="AY3659" s="147"/>
      <c r="AZ3659" s="147"/>
      <c r="BA3659" s="147"/>
    </row>
    <row r="3660" spans="1:53" ht="15.75" customHeight="1">
      <c r="A3660" s="99"/>
      <c r="B3660" s="99"/>
      <c r="C3660" s="147"/>
      <c r="D3660" s="147"/>
      <c r="E3660" s="147"/>
      <c r="F3660" s="147"/>
      <c r="G3660" s="147"/>
      <c r="H3660" s="147"/>
      <c r="I3660" s="147"/>
      <c r="J3660" s="147"/>
      <c r="K3660" s="147"/>
      <c r="L3660" s="147"/>
      <c r="M3660" s="147"/>
      <c r="N3660" s="147"/>
      <c r="O3660" s="147"/>
      <c r="P3660" s="147"/>
      <c r="Q3660" s="147"/>
      <c r="R3660" s="147"/>
      <c r="S3660" s="147"/>
      <c r="T3660" s="147"/>
      <c r="U3660" s="147"/>
      <c r="V3660" s="147"/>
      <c r="W3660" s="147"/>
      <c r="X3660" s="147"/>
      <c r="Y3660" s="147"/>
      <c r="Z3660" s="147"/>
      <c r="AA3660" s="147"/>
      <c r="AB3660" s="147"/>
      <c r="AC3660" s="147"/>
      <c r="AD3660" s="147"/>
      <c r="AE3660" s="147"/>
      <c r="AF3660" s="147"/>
      <c r="AG3660" s="147"/>
      <c r="AH3660" s="147"/>
      <c r="AI3660" s="147"/>
      <c r="AJ3660" s="147"/>
      <c r="AK3660" s="147"/>
      <c r="AL3660" s="147"/>
      <c r="AM3660" s="147"/>
      <c r="AN3660" s="147"/>
      <c r="AO3660" s="147"/>
      <c r="AP3660" s="147"/>
      <c r="AQ3660" s="147"/>
      <c r="AR3660" s="147"/>
      <c r="AS3660" s="147"/>
      <c r="AT3660" s="147"/>
      <c r="AU3660" s="147"/>
      <c r="AV3660" s="147"/>
      <c r="AW3660" s="147"/>
      <c r="AX3660" s="147"/>
      <c r="AY3660" s="147"/>
      <c r="AZ3660" s="147"/>
      <c r="BA3660" s="147"/>
    </row>
    <row r="3661" spans="1:53" ht="15.75" customHeight="1">
      <c r="A3661" s="99"/>
      <c r="B3661" s="99"/>
      <c r="C3661" s="147"/>
      <c r="D3661" s="147"/>
      <c r="E3661" s="147"/>
      <c r="F3661" s="147"/>
      <c r="G3661" s="147"/>
      <c r="H3661" s="147"/>
      <c r="I3661" s="147"/>
      <c r="J3661" s="147"/>
      <c r="K3661" s="147"/>
      <c r="L3661" s="147"/>
      <c r="M3661" s="147"/>
      <c r="N3661" s="147"/>
      <c r="O3661" s="147"/>
      <c r="P3661" s="147"/>
      <c r="Q3661" s="147"/>
      <c r="R3661" s="147"/>
      <c r="S3661" s="147"/>
      <c r="T3661" s="147"/>
      <c r="U3661" s="147"/>
      <c r="V3661" s="147"/>
      <c r="W3661" s="147"/>
      <c r="X3661" s="147"/>
      <c r="Y3661" s="147"/>
      <c r="Z3661" s="147"/>
      <c r="AA3661" s="147"/>
      <c r="AB3661" s="147"/>
      <c r="AC3661" s="147"/>
      <c r="AD3661" s="147"/>
      <c r="AE3661" s="147"/>
      <c r="AF3661" s="147"/>
      <c r="AG3661" s="147"/>
      <c r="AH3661" s="147"/>
      <c r="AI3661" s="147"/>
      <c r="AJ3661" s="147"/>
      <c r="AK3661" s="147"/>
      <c r="AL3661" s="147"/>
      <c r="AM3661" s="147"/>
      <c r="AN3661" s="147"/>
      <c r="AO3661" s="147"/>
      <c r="AP3661" s="147"/>
      <c r="AQ3661" s="147"/>
      <c r="AR3661" s="147"/>
      <c r="AS3661" s="147"/>
      <c r="AT3661" s="147"/>
      <c r="AU3661" s="147"/>
      <c r="AV3661" s="147"/>
      <c r="AW3661" s="147"/>
      <c r="AX3661" s="147"/>
      <c r="AY3661" s="147"/>
      <c r="AZ3661" s="147"/>
      <c r="BA3661" s="147"/>
    </row>
    <row r="3662" spans="1:53" ht="15.75" customHeight="1">
      <c r="A3662" s="99"/>
      <c r="B3662" s="99"/>
      <c r="C3662" s="147"/>
      <c r="D3662" s="147"/>
      <c r="E3662" s="147"/>
      <c r="F3662" s="147"/>
      <c r="G3662" s="147"/>
      <c r="H3662" s="147"/>
      <c r="I3662" s="147"/>
      <c r="J3662" s="147"/>
      <c r="K3662" s="147"/>
      <c r="L3662" s="147"/>
      <c r="M3662" s="147"/>
      <c r="N3662" s="147"/>
      <c r="O3662" s="147"/>
      <c r="P3662" s="147"/>
      <c r="Q3662" s="147"/>
      <c r="R3662" s="147"/>
      <c r="S3662" s="147"/>
      <c r="T3662" s="147"/>
      <c r="U3662" s="147"/>
      <c r="V3662" s="147"/>
      <c r="W3662" s="147"/>
      <c r="X3662" s="147"/>
      <c r="Y3662" s="147"/>
      <c r="Z3662" s="147"/>
      <c r="AA3662" s="147"/>
      <c r="AB3662" s="147"/>
      <c r="AC3662" s="147"/>
      <c r="AD3662" s="147"/>
      <c r="AE3662" s="147"/>
      <c r="AF3662" s="147"/>
      <c r="AG3662" s="147"/>
      <c r="AH3662" s="147"/>
      <c r="AI3662" s="147"/>
      <c r="AJ3662" s="147"/>
      <c r="AK3662" s="147"/>
      <c r="AL3662" s="147"/>
      <c r="AM3662" s="147"/>
      <c r="AN3662" s="147"/>
      <c r="AO3662" s="147"/>
      <c r="AP3662" s="147"/>
      <c r="AQ3662" s="147"/>
      <c r="AR3662" s="147"/>
      <c r="AS3662" s="147"/>
      <c r="AT3662" s="147"/>
      <c r="AU3662" s="147"/>
      <c r="AV3662" s="147"/>
      <c r="AW3662" s="147"/>
      <c r="AX3662" s="147"/>
      <c r="AY3662" s="147"/>
      <c r="AZ3662" s="147"/>
      <c r="BA3662" s="147"/>
    </row>
    <row r="3663" spans="1:53" ht="15.75" customHeight="1">
      <c r="A3663" s="99"/>
      <c r="B3663" s="99"/>
      <c r="C3663" s="147"/>
      <c r="D3663" s="147"/>
      <c r="E3663" s="147"/>
      <c r="F3663" s="147"/>
      <c r="G3663" s="147"/>
      <c r="H3663" s="147"/>
      <c r="I3663" s="147"/>
      <c r="J3663" s="147"/>
      <c r="K3663" s="147"/>
      <c r="L3663" s="147"/>
      <c r="M3663" s="147"/>
      <c r="N3663" s="147"/>
      <c r="O3663" s="147"/>
      <c r="P3663" s="147"/>
      <c r="Q3663" s="147"/>
      <c r="R3663" s="147"/>
      <c r="S3663" s="147"/>
      <c r="T3663" s="147"/>
      <c r="U3663" s="147"/>
      <c r="V3663" s="147"/>
      <c r="W3663" s="147"/>
      <c r="X3663" s="147"/>
      <c r="Y3663" s="147"/>
      <c r="Z3663" s="147"/>
      <c r="AA3663" s="147"/>
      <c r="AB3663" s="147"/>
      <c r="AC3663" s="147"/>
      <c r="AD3663" s="147"/>
      <c r="AE3663" s="147"/>
      <c r="AF3663" s="147"/>
      <c r="AG3663" s="147"/>
      <c r="AH3663" s="147"/>
      <c r="AI3663" s="147"/>
      <c r="AJ3663" s="147"/>
      <c r="AK3663" s="147"/>
      <c r="AL3663" s="147"/>
      <c r="AM3663" s="147"/>
      <c r="AN3663" s="147"/>
      <c r="AO3663" s="147"/>
      <c r="AP3663" s="147"/>
      <c r="AQ3663" s="147"/>
      <c r="AR3663" s="147"/>
      <c r="AS3663" s="147"/>
      <c r="AT3663" s="147"/>
      <c r="AU3663" s="147"/>
      <c r="AV3663" s="147"/>
      <c r="AW3663" s="147"/>
      <c r="AX3663" s="147"/>
      <c r="AY3663" s="147"/>
      <c r="AZ3663" s="147"/>
      <c r="BA3663" s="147"/>
    </row>
    <row r="3664" spans="1:53" ht="15.75" customHeight="1">
      <c r="A3664" s="99"/>
      <c r="B3664" s="99"/>
      <c r="C3664" s="147"/>
      <c r="D3664" s="147"/>
      <c r="E3664" s="147"/>
      <c r="F3664" s="147"/>
      <c r="G3664" s="147"/>
      <c r="H3664" s="147"/>
      <c r="I3664" s="147"/>
      <c r="J3664" s="147"/>
      <c r="K3664" s="147"/>
      <c r="L3664" s="147"/>
      <c r="M3664" s="147"/>
      <c r="N3664" s="147"/>
      <c r="O3664" s="147"/>
      <c r="P3664" s="147"/>
      <c r="Q3664" s="147"/>
      <c r="R3664" s="147"/>
      <c r="S3664" s="147"/>
      <c r="T3664" s="147"/>
      <c r="U3664" s="147"/>
      <c r="V3664" s="147"/>
      <c r="W3664" s="147"/>
      <c r="X3664" s="147"/>
      <c r="Y3664" s="147"/>
      <c r="Z3664" s="147"/>
      <c r="AA3664" s="147"/>
      <c r="AB3664" s="147"/>
      <c r="AC3664" s="147"/>
      <c r="AD3664" s="147"/>
      <c r="AE3664" s="147"/>
      <c r="AF3664" s="147"/>
      <c r="AG3664" s="147"/>
      <c r="AH3664" s="147"/>
      <c r="AI3664" s="147"/>
      <c r="AJ3664" s="147"/>
      <c r="AK3664" s="147"/>
      <c r="AL3664" s="147"/>
      <c r="AM3664" s="147"/>
      <c r="AN3664" s="147"/>
      <c r="AO3664" s="147"/>
      <c r="AP3664" s="147"/>
      <c r="AQ3664" s="147"/>
      <c r="AR3664" s="147"/>
      <c r="AS3664" s="147"/>
      <c r="AT3664" s="147"/>
      <c r="AU3664" s="147"/>
      <c r="AV3664" s="147"/>
      <c r="AW3664" s="147"/>
      <c r="AX3664" s="147"/>
      <c r="AY3664" s="147"/>
      <c r="AZ3664" s="147"/>
      <c r="BA3664" s="147"/>
    </row>
    <row r="3665" spans="1:53" ht="15.75" customHeight="1">
      <c r="A3665" s="99"/>
      <c r="B3665" s="99"/>
      <c r="C3665" s="147"/>
      <c r="D3665" s="147"/>
      <c r="E3665" s="147"/>
      <c r="F3665" s="147"/>
      <c r="G3665" s="147"/>
      <c r="H3665" s="147"/>
      <c r="I3665" s="147"/>
      <c r="J3665" s="147"/>
      <c r="K3665" s="147"/>
      <c r="L3665" s="147"/>
      <c r="M3665" s="147"/>
      <c r="N3665" s="147"/>
      <c r="O3665" s="147"/>
      <c r="P3665" s="147"/>
      <c r="Q3665" s="147"/>
      <c r="R3665" s="147"/>
      <c r="S3665" s="147"/>
      <c r="T3665" s="147"/>
      <c r="U3665" s="147"/>
      <c r="V3665" s="147"/>
      <c r="W3665" s="147"/>
      <c r="X3665" s="147"/>
      <c r="Y3665" s="147"/>
      <c r="Z3665" s="147"/>
      <c r="AA3665" s="147"/>
      <c r="AB3665" s="147"/>
      <c r="AC3665" s="147"/>
      <c r="AD3665" s="147"/>
      <c r="AE3665" s="147"/>
      <c r="AF3665" s="147"/>
      <c r="AG3665" s="147"/>
      <c r="AH3665" s="147"/>
      <c r="AI3665" s="147"/>
      <c r="AJ3665" s="147"/>
      <c r="AK3665" s="147"/>
      <c r="AL3665" s="147"/>
      <c r="AM3665" s="147"/>
      <c r="AN3665" s="147"/>
      <c r="AO3665" s="147"/>
      <c r="AP3665" s="147"/>
      <c r="AQ3665" s="147"/>
      <c r="AR3665" s="147"/>
      <c r="AS3665" s="147"/>
      <c r="AT3665" s="147"/>
      <c r="AU3665" s="147"/>
      <c r="AV3665" s="147"/>
      <c r="AW3665" s="147"/>
      <c r="AX3665" s="147"/>
      <c r="AY3665" s="147"/>
      <c r="AZ3665" s="147"/>
      <c r="BA3665" s="147"/>
    </row>
    <row r="3666" spans="1:53" ht="15.75" customHeight="1">
      <c r="A3666" s="99"/>
      <c r="B3666" s="99"/>
      <c r="C3666" s="147"/>
      <c r="D3666" s="147"/>
      <c r="E3666" s="147"/>
      <c r="F3666" s="147"/>
      <c r="G3666" s="147"/>
      <c r="H3666" s="147"/>
      <c r="I3666" s="147"/>
      <c r="J3666" s="147"/>
      <c r="K3666" s="147"/>
      <c r="L3666" s="147"/>
      <c r="M3666" s="147"/>
      <c r="N3666" s="147"/>
      <c r="O3666" s="147"/>
      <c r="P3666" s="147"/>
      <c r="Q3666" s="147"/>
      <c r="R3666" s="147"/>
      <c r="S3666" s="147"/>
      <c r="T3666" s="147"/>
      <c r="U3666" s="147"/>
      <c r="V3666" s="147"/>
      <c r="W3666" s="147"/>
      <c r="X3666" s="147"/>
      <c r="Y3666" s="147"/>
      <c r="Z3666" s="147"/>
      <c r="AA3666" s="147"/>
      <c r="AB3666" s="147"/>
      <c r="AC3666" s="147"/>
      <c r="AD3666" s="147"/>
      <c r="AE3666" s="147"/>
      <c r="AF3666" s="147"/>
      <c r="AG3666" s="147"/>
      <c r="AH3666" s="147"/>
      <c r="AI3666" s="147"/>
      <c r="AJ3666" s="147"/>
      <c r="AK3666" s="147"/>
      <c r="AL3666" s="147"/>
      <c r="AM3666" s="147"/>
      <c r="AN3666" s="147"/>
      <c r="AO3666" s="147"/>
      <c r="AP3666" s="147"/>
      <c r="AQ3666" s="147"/>
      <c r="AR3666" s="147"/>
      <c r="AS3666" s="147"/>
      <c r="AT3666" s="147"/>
      <c r="AU3666" s="147"/>
      <c r="AV3666" s="147"/>
      <c r="AW3666" s="147"/>
      <c r="AX3666" s="147"/>
      <c r="AY3666" s="147"/>
      <c r="AZ3666" s="147"/>
      <c r="BA3666" s="147"/>
    </row>
    <row r="3667" spans="1:53" ht="15.75" customHeight="1">
      <c r="A3667" s="99"/>
      <c r="B3667" s="99"/>
      <c r="C3667" s="147"/>
      <c r="D3667" s="147"/>
      <c r="E3667" s="147"/>
      <c r="F3667" s="147"/>
      <c r="G3667" s="147"/>
      <c r="H3667" s="147"/>
      <c r="I3667" s="147"/>
      <c r="J3667" s="147"/>
      <c r="K3667" s="147"/>
      <c r="L3667" s="147"/>
      <c r="M3667" s="147"/>
      <c r="N3667" s="147"/>
      <c r="O3667" s="147"/>
      <c r="P3667" s="147"/>
      <c r="Q3667" s="147"/>
      <c r="R3667" s="147"/>
      <c r="S3667" s="147"/>
      <c r="T3667" s="147"/>
      <c r="U3667" s="147"/>
      <c r="V3667" s="147"/>
      <c r="W3667" s="147"/>
      <c r="X3667" s="147"/>
      <c r="Y3667" s="147"/>
      <c r="Z3667" s="147"/>
      <c r="AA3667" s="147"/>
      <c r="AB3667" s="147"/>
      <c r="AC3667" s="147"/>
      <c r="AD3667" s="147"/>
      <c r="AE3667" s="147"/>
      <c r="AF3667" s="147"/>
      <c r="AG3667" s="147"/>
      <c r="AH3667" s="147"/>
      <c r="AI3667" s="147"/>
      <c r="AJ3667" s="147"/>
      <c r="AK3667" s="147"/>
      <c r="AL3667" s="147"/>
      <c r="AM3667" s="147"/>
      <c r="AN3667" s="147"/>
      <c r="AO3667" s="147"/>
      <c r="AP3667" s="147"/>
      <c r="AQ3667" s="147"/>
      <c r="AR3667" s="147"/>
      <c r="AS3667" s="147"/>
      <c r="AT3667" s="147"/>
      <c r="AU3667" s="147"/>
      <c r="AV3667" s="147"/>
      <c r="AW3667" s="147"/>
      <c r="AX3667" s="147"/>
      <c r="AY3667" s="147"/>
      <c r="AZ3667" s="147"/>
      <c r="BA3667" s="147"/>
    </row>
    <row r="3668" spans="1:53" ht="15.75" customHeight="1">
      <c r="A3668" s="99"/>
      <c r="B3668" s="99"/>
      <c r="C3668" s="147"/>
      <c r="D3668" s="147"/>
      <c r="E3668" s="147"/>
      <c r="F3668" s="147"/>
      <c r="G3668" s="147"/>
      <c r="H3668" s="147"/>
      <c r="I3668" s="147"/>
      <c r="J3668" s="147"/>
      <c r="K3668" s="147"/>
      <c r="L3668" s="147"/>
      <c r="M3668" s="147"/>
      <c r="N3668" s="147"/>
      <c r="O3668" s="147"/>
      <c r="P3668" s="147"/>
      <c r="Q3668" s="147"/>
      <c r="R3668" s="147"/>
      <c r="S3668" s="147"/>
      <c r="T3668" s="147"/>
      <c r="U3668" s="147"/>
      <c r="V3668" s="147"/>
      <c r="W3668" s="147"/>
      <c r="X3668" s="147"/>
      <c r="Y3668" s="147"/>
      <c r="Z3668" s="147"/>
      <c r="AA3668" s="147"/>
      <c r="AB3668" s="147"/>
      <c r="AC3668" s="147"/>
      <c r="AD3668" s="147"/>
      <c r="AE3668" s="147"/>
      <c r="AF3668" s="147"/>
      <c r="AG3668" s="147"/>
      <c r="AH3668" s="147"/>
      <c r="AI3668" s="147"/>
      <c r="AJ3668" s="147"/>
      <c r="AK3668" s="147"/>
      <c r="AL3668" s="147"/>
      <c r="AM3668" s="147"/>
      <c r="AN3668" s="147"/>
      <c r="AO3668" s="147"/>
      <c r="AP3668" s="147"/>
      <c r="AQ3668" s="147"/>
      <c r="AR3668" s="147"/>
      <c r="AS3668" s="147"/>
      <c r="AT3668" s="147"/>
      <c r="AU3668" s="147"/>
      <c r="AV3668" s="147"/>
      <c r="AW3668" s="147"/>
      <c r="AX3668" s="147"/>
      <c r="AY3668" s="147"/>
      <c r="AZ3668" s="147"/>
      <c r="BA3668" s="147"/>
    </row>
    <row r="3669" spans="1:53" ht="15.75" customHeight="1">
      <c r="A3669" s="99"/>
      <c r="B3669" s="99"/>
      <c r="C3669" s="147"/>
      <c r="D3669" s="147"/>
      <c r="E3669" s="147"/>
      <c r="F3669" s="147"/>
      <c r="G3669" s="147"/>
      <c r="H3669" s="147"/>
      <c r="I3669" s="147"/>
      <c r="J3669" s="147"/>
      <c r="K3669" s="147"/>
      <c r="L3669" s="147"/>
      <c r="M3669" s="147"/>
      <c r="N3669" s="147"/>
      <c r="O3669" s="147"/>
      <c r="P3669" s="147"/>
      <c r="Q3669" s="147"/>
      <c r="R3669" s="147"/>
      <c r="S3669" s="147"/>
      <c r="T3669" s="147"/>
      <c r="U3669" s="147"/>
      <c r="V3669" s="147"/>
      <c r="W3669" s="147"/>
      <c r="X3669" s="147"/>
      <c r="Y3669" s="147"/>
      <c r="Z3669" s="147"/>
      <c r="AA3669" s="147"/>
      <c r="AB3669" s="147"/>
      <c r="AC3669" s="147"/>
      <c r="AD3669" s="147"/>
      <c r="AE3669" s="147"/>
      <c r="AF3669" s="147"/>
      <c r="AG3669" s="147"/>
      <c r="AH3669" s="147"/>
      <c r="AI3669" s="147"/>
      <c r="AJ3669" s="147"/>
      <c r="AK3669" s="147"/>
      <c r="AL3669" s="147"/>
      <c r="AM3669" s="147"/>
      <c r="AN3669" s="147"/>
      <c r="AO3669" s="147"/>
      <c r="AP3669" s="147"/>
      <c r="AQ3669" s="147"/>
      <c r="AR3669" s="147"/>
      <c r="AS3669" s="147"/>
      <c r="AT3669" s="147"/>
      <c r="AU3669" s="147"/>
      <c r="AV3669" s="147"/>
      <c r="AW3669" s="147"/>
      <c r="AX3669" s="147"/>
      <c r="AY3669" s="147"/>
      <c r="AZ3669" s="147"/>
      <c r="BA3669" s="147"/>
    </row>
    <row r="3670" spans="1:53" ht="15.75" customHeight="1">
      <c r="A3670" s="99"/>
      <c r="B3670" s="99"/>
      <c r="C3670" s="147"/>
      <c r="D3670" s="147"/>
      <c r="E3670" s="147"/>
      <c r="F3670" s="147"/>
      <c r="G3670" s="147"/>
      <c r="H3670" s="147"/>
      <c r="I3670" s="147"/>
      <c r="J3670" s="147"/>
      <c r="K3670" s="147"/>
      <c r="L3670" s="147"/>
      <c r="M3670" s="147"/>
      <c r="N3670" s="147"/>
      <c r="O3670" s="147"/>
      <c r="P3670" s="147"/>
      <c r="Q3670" s="147"/>
      <c r="R3670" s="147"/>
      <c r="S3670" s="147"/>
      <c r="T3670" s="147"/>
      <c r="U3670" s="147"/>
      <c r="V3670" s="147"/>
      <c r="W3670" s="147"/>
      <c r="X3670" s="147"/>
      <c r="Y3670" s="147"/>
      <c r="Z3670" s="147"/>
      <c r="AA3670" s="147"/>
      <c r="AB3670" s="147"/>
      <c r="AC3670" s="147"/>
      <c r="AD3670" s="147"/>
      <c r="AE3670" s="147"/>
      <c r="AF3670" s="147"/>
      <c r="AG3670" s="147"/>
      <c r="AH3670" s="147"/>
      <c r="AI3670" s="147"/>
      <c r="AJ3670" s="147"/>
      <c r="AK3670" s="147"/>
      <c r="AL3670" s="147"/>
      <c r="AM3670" s="147"/>
      <c r="AN3670" s="147"/>
      <c r="AO3670" s="147"/>
      <c r="AP3670" s="147"/>
      <c r="AQ3670" s="147"/>
      <c r="AR3670" s="147"/>
      <c r="AS3670" s="147"/>
      <c r="AT3670" s="147"/>
      <c r="AU3670" s="147"/>
      <c r="AV3670" s="147"/>
      <c r="AW3670" s="147"/>
      <c r="AX3670" s="147"/>
      <c r="AY3670" s="147"/>
      <c r="AZ3670" s="147"/>
      <c r="BA3670" s="147"/>
    </row>
    <row r="3671" spans="1:53" ht="15.75" customHeight="1">
      <c r="A3671" s="99"/>
      <c r="B3671" s="99"/>
      <c r="C3671" s="147"/>
      <c r="D3671" s="147"/>
      <c r="E3671" s="147"/>
      <c r="F3671" s="147"/>
      <c r="G3671" s="147"/>
      <c r="H3671" s="147"/>
      <c r="I3671" s="147"/>
      <c r="J3671" s="147"/>
      <c r="K3671" s="147"/>
      <c r="L3671" s="147"/>
      <c r="M3671" s="147"/>
      <c r="N3671" s="147"/>
      <c r="O3671" s="147"/>
      <c r="P3671" s="147"/>
      <c r="Q3671" s="147"/>
      <c r="R3671" s="147"/>
      <c r="S3671" s="147"/>
      <c r="T3671" s="147"/>
      <c r="U3671" s="147"/>
      <c r="V3671" s="147"/>
      <c r="W3671" s="147"/>
      <c r="X3671" s="147"/>
      <c r="Y3671" s="147"/>
      <c r="Z3671" s="147"/>
      <c r="AA3671" s="147"/>
      <c r="AB3671" s="147"/>
      <c r="AC3671" s="147"/>
      <c r="AD3671" s="147"/>
      <c r="AE3671" s="147"/>
      <c r="AF3671" s="147"/>
      <c r="AG3671" s="147"/>
      <c r="AH3671" s="147"/>
      <c r="AI3671" s="147"/>
      <c r="AJ3671" s="147"/>
      <c r="AK3671" s="147"/>
      <c r="AL3671" s="147"/>
      <c r="AM3671" s="147"/>
      <c r="AN3671" s="147"/>
      <c r="AO3671" s="147"/>
      <c r="AP3671" s="147"/>
      <c r="AQ3671" s="147"/>
      <c r="AR3671" s="147"/>
      <c r="AS3671" s="147"/>
      <c r="AT3671" s="147"/>
      <c r="AU3671" s="147"/>
      <c r="AV3671" s="147"/>
      <c r="AW3671" s="147"/>
      <c r="AX3671" s="147"/>
      <c r="AY3671" s="147"/>
      <c r="AZ3671" s="147"/>
      <c r="BA3671" s="147"/>
    </row>
    <row r="3672" spans="1:53" ht="15.75" customHeight="1">
      <c r="A3672" s="99"/>
      <c r="B3672" s="99"/>
      <c r="C3672" s="147"/>
      <c r="D3672" s="147"/>
      <c r="E3672" s="147"/>
      <c r="F3672" s="147"/>
      <c r="G3672" s="147"/>
      <c r="H3672" s="147"/>
      <c r="I3672" s="147"/>
      <c r="J3672" s="147"/>
      <c r="K3672" s="147"/>
      <c r="L3672" s="147"/>
      <c r="M3672" s="147"/>
      <c r="N3672" s="147"/>
      <c r="O3672" s="147"/>
      <c r="P3672" s="147"/>
      <c r="Q3672" s="147"/>
      <c r="R3672" s="147"/>
      <c r="S3672" s="147"/>
      <c r="T3672" s="147"/>
      <c r="U3672" s="147"/>
      <c r="V3672" s="147"/>
      <c r="W3672" s="147"/>
      <c r="X3672" s="147"/>
      <c r="Y3672" s="147"/>
      <c r="Z3672" s="147"/>
      <c r="AA3672" s="147"/>
      <c r="AB3672" s="147"/>
      <c r="AC3672" s="147"/>
      <c r="AD3672" s="147"/>
      <c r="AE3672" s="147"/>
      <c r="AF3672" s="147"/>
      <c r="AG3672" s="147"/>
      <c r="AH3672" s="147"/>
      <c r="AI3672" s="147"/>
      <c r="AJ3672" s="147"/>
      <c r="AK3672" s="147"/>
      <c r="AL3672" s="147"/>
      <c r="AM3672" s="147"/>
      <c r="AN3672" s="147"/>
      <c r="AO3672" s="147"/>
      <c r="AP3672" s="147"/>
      <c r="AQ3672" s="147"/>
      <c r="AR3672" s="147"/>
      <c r="AS3672" s="147"/>
      <c r="AT3672" s="147"/>
      <c r="AU3672" s="147"/>
      <c r="AV3672" s="147"/>
      <c r="AW3672" s="147"/>
      <c r="AX3672" s="147"/>
      <c r="AY3672" s="147"/>
      <c r="AZ3672" s="147"/>
      <c r="BA3672" s="147"/>
    </row>
    <row r="3673" spans="1:53" ht="15.75" customHeight="1">
      <c r="A3673" s="99"/>
      <c r="B3673" s="99"/>
      <c r="C3673" s="147"/>
      <c r="D3673" s="147"/>
      <c r="E3673" s="147"/>
      <c r="F3673" s="147"/>
      <c r="G3673" s="147"/>
      <c r="H3673" s="147"/>
      <c r="I3673" s="147"/>
      <c r="J3673" s="147"/>
      <c r="K3673" s="147"/>
      <c r="L3673" s="147"/>
      <c r="M3673" s="147"/>
      <c r="N3673" s="147"/>
      <c r="O3673" s="147"/>
      <c r="P3673" s="147"/>
      <c r="Q3673" s="147"/>
      <c r="R3673" s="147"/>
      <c r="S3673" s="147"/>
      <c r="T3673" s="147"/>
      <c r="U3673" s="147"/>
      <c r="V3673" s="147"/>
      <c r="W3673" s="147"/>
      <c r="X3673" s="147"/>
      <c r="Y3673" s="147"/>
      <c r="Z3673" s="147"/>
      <c r="AA3673" s="147"/>
      <c r="AB3673" s="147"/>
      <c r="AC3673" s="147"/>
      <c r="AD3673" s="147"/>
      <c r="AE3673" s="147"/>
      <c r="AF3673" s="147"/>
      <c r="AG3673" s="147"/>
      <c r="AH3673" s="147"/>
      <c r="AI3673" s="147"/>
      <c r="AJ3673" s="147"/>
      <c r="AK3673" s="147"/>
      <c r="AL3673" s="147"/>
      <c r="AM3673" s="147"/>
      <c r="AN3673" s="147"/>
      <c r="AO3673" s="147"/>
      <c r="AP3673" s="147"/>
      <c r="AQ3673" s="147"/>
      <c r="AR3673" s="147"/>
      <c r="AS3673" s="147"/>
      <c r="AT3673" s="147"/>
      <c r="AU3673" s="147"/>
      <c r="AV3673" s="147"/>
      <c r="AW3673" s="147"/>
      <c r="AX3673" s="147"/>
      <c r="AY3673" s="147"/>
      <c r="AZ3673" s="147"/>
      <c r="BA3673" s="147"/>
    </row>
    <row r="3674" spans="1:53" ht="15.75" customHeight="1">
      <c r="A3674" s="99"/>
      <c r="B3674" s="99"/>
      <c r="C3674" s="147"/>
      <c r="D3674" s="147"/>
      <c r="E3674" s="147"/>
      <c r="F3674" s="147"/>
      <c r="G3674" s="147"/>
      <c r="H3674" s="147"/>
      <c r="I3674" s="147"/>
      <c r="J3674" s="147"/>
      <c r="K3674" s="147"/>
      <c r="L3674" s="147"/>
      <c r="M3674" s="147"/>
      <c r="N3674" s="147"/>
      <c r="O3674" s="147"/>
      <c r="P3674" s="147"/>
      <c r="Q3674" s="147"/>
      <c r="R3674" s="147"/>
      <c r="S3674" s="147"/>
      <c r="T3674" s="147"/>
      <c r="U3674" s="147"/>
      <c r="V3674" s="147"/>
      <c r="W3674" s="147"/>
      <c r="X3674" s="147"/>
      <c r="Y3674" s="147"/>
      <c r="Z3674" s="147"/>
      <c r="AA3674" s="147"/>
      <c r="AB3674" s="147"/>
      <c r="AC3674" s="147"/>
      <c r="AD3674" s="147"/>
      <c r="AE3674" s="147"/>
      <c r="AF3674" s="147"/>
      <c r="AG3674" s="147"/>
      <c r="AH3674" s="147"/>
      <c r="AI3674" s="147"/>
      <c r="AJ3674" s="147"/>
      <c r="AK3674" s="147"/>
      <c r="AL3674" s="147"/>
      <c r="AM3674" s="147"/>
      <c r="AN3674" s="147"/>
      <c r="AO3674" s="147"/>
      <c r="AP3674" s="147"/>
      <c r="AQ3674" s="147"/>
      <c r="AR3674" s="147"/>
      <c r="AS3674" s="147"/>
      <c r="AT3674" s="147"/>
      <c r="AU3674" s="147"/>
      <c r="AV3674" s="147"/>
      <c r="AW3674" s="147"/>
      <c r="AX3674" s="147"/>
      <c r="AY3674" s="147"/>
      <c r="AZ3674" s="147"/>
      <c r="BA3674" s="147"/>
    </row>
    <row r="3675" spans="1:53" ht="15.75" customHeight="1">
      <c r="A3675" s="99"/>
      <c r="B3675" s="99"/>
      <c r="C3675" s="147"/>
      <c r="D3675" s="147"/>
      <c r="E3675" s="147"/>
      <c r="F3675" s="147"/>
      <c r="G3675" s="147"/>
      <c r="H3675" s="147"/>
      <c r="I3675" s="147"/>
      <c r="J3675" s="147"/>
      <c r="K3675" s="147"/>
      <c r="L3675" s="147"/>
      <c r="M3675" s="147"/>
      <c r="N3675" s="147"/>
      <c r="O3675" s="147"/>
      <c r="P3675" s="147"/>
      <c r="Q3675" s="147"/>
      <c r="R3675" s="147"/>
      <c r="S3675" s="147"/>
      <c r="T3675" s="147"/>
      <c r="U3675" s="147"/>
      <c r="V3675" s="147"/>
      <c r="W3675" s="147"/>
      <c r="X3675" s="147"/>
      <c r="Y3675" s="147"/>
      <c r="Z3675" s="147"/>
      <c r="AA3675" s="147"/>
      <c r="AB3675" s="147"/>
      <c r="AC3675" s="147"/>
      <c r="AD3675" s="147"/>
      <c r="AE3675" s="147"/>
      <c r="AF3675" s="147"/>
      <c r="AG3675" s="147"/>
      <c r="AH3675" s="147"/>
      <c r="AI3675" s="147"/>
      <c r="AJ3675" s="147"/>
      <c r="AK3675" s="147"/>
      <c r="AL3675" s="147"/>
      <c r="AM3675" s="147"/>
      <c r="AN3675" s="147"/>
      <c r="AO3675" s="147"/>
      <c r="AP3675" s="147"/>
      <c r="AQ3675" s="147"/>
      <c r="AR3675" s="147"/>
      <c r="AS3675" s="147"/>
      <c r="AT3675" s="147"/>
      <c r="AU3675" s="147"/>
      <c r="AV3675" s="147"/>
      <c r="AW3675" s="147"/>
      <c r="AX3675" s="147"/>
      <c r="AY3675" s="147"/>
      <c r="AZ3675" s="147"/>
      <c r="BA3675" s="147"/>
    </row>
    <row r="3676" spans="1:53" ht="15.75" customHeight="1">
      <c r="A3676" s="99"/>
      <c r="B3676" s="99"/>
      <c r="C3676" s="147"/>
      <c r="D3676" s="147"/>
      <c r="E3676" s="147"/>
      <c r="F3676" s="147"/>
      <c r="G3676" s="147"/>
      <c r="H3676" s="147"/>
      <c r="I3676" s="147"/>
      <c r="J3676" s="147"/>
      <c r="K3676" s="147"/>
      <c r="L3676" s="147"/>
      <c r="M3676" s="147"/>
      <c r="N3676" s="147"/>
      <c r="O3676" s="147"/>
      <c r="P3676" s="147"/>
      <c r="Q3676" s="147"/>
      <c r="R3676" s="147"/>
      <c r="S3676" s="147"/>
      <c r="T3676" s="147"/>
      <c r="U3676" s="147"/>
      <c r="V3676" s="147"/>
      <c r="W3676" s="147"/>
      <c r="X3676" s="147"/>
      <c r="Y3676" s="147"/>
      <c r="Z3676" s="147"/>
      <c r="AA3676" s="147"/>
      <c r="AB3676" s="147"/>
      <c r="AC3676" s="147"/>
      <c r="AD3676" s="147"/>
      <c r="AE3676" s="147"/>
      <c r="AF3676" s="147"/>
      <c r="AG3676" s="147"/>
      <c r="AH3676" s="147"/>
      <c r="AI3676" s="147"/>
      <c r="AJ3676" s="147"/>
      <c r="AK3676" s="147"/>
      <c r="AL3676" s="147"/>
      <c r="AM3676" s="147"/>
      <c r="AN3676" s="147"/>
      <c r="AO3676" s="147"/>
      <c r="AP3676" s="147"/>
      <c r="AQ3676" s="147"/>
      <c r="AR3676" s="147"/>
      <c r="AS3676" s="147"/>
      <c r="AT3676" s="147"/>
      <c r="AU3676" s="147"/>
      <c r="AV3676" s="147"/>
      <c r="AW3676" s="147"/>
      <c r="AX3676" s="147"/>
      <c r="AY3676" s="147"/>
      <c r="AZ3676" s="147"/>
      <c r="BA3676" s="147"/>
    </row>
    <row r="3677" spans="1:53" ht="15.75" customHeight="1">
      <c r="A3677" s="99"/>
      <c r="B3677" s="99"/>
      <c r="C3677" s="147"/>
      <c r="D3677" s="147"/>
      <c r="E3677" s="147"/>
      <c r="F3677" s="147"/>
      <c r="G3677" s="147"/>
      <c r="H3677" s="147"/>
      <c r="I3677" s="147"/>
      <c r="J3677" s="147"/>
      <c r="K3677" s="147"/>
      <c r="L3677" s="147"/>
      <c r="M3677" s="147"/>
      <c r="N3677" s="147"/>
      <c r="O3677" s="147"/>
      <c r="P3677" s="147"/>
      <c r="Q3677" s="147"/>
      <c r="R3677" s="147"/>
      <c r="S3677" s="147"/>
      <c r="T3677" s="147"/>
      <c r="U3677" s="147"/>
      <c r="V3677" s="147"/>
      <c r="W3677" s="147"/>
      <c r="X3677" s="147"/>
      <c r="Y3677" s="147"/>
      <c r="Z3677" s="147"/>
      <c r="AA3677" s="147"/>
      <c r="AB3677" s="147"/>
      <c r="AC3677" s="147"/>
      <c r="AD3677" s="147"/>
      <c r="AE3677" s="147"/>
      <c r="AF3677" s="147"/>
      <c r="AG3677" s="147"/>
      <c r="AH3677" s="147"/>
      <c r="AI3677" s="147"/>
      <c r="AJ3677" s="147"/>
      <c r="AK3677" s="147"/>
      <c r="AL3677" s="147"/>
      <c r="AM3677" s="147"/>
      <c r="AN3677" s="147"/>
      <c r="AO3677" s="147"/>
      <c r="AP3677" s="147"/>
      <c r="AQ3677" s="147"/>
      <c r="AR3677" s="147"/>
      <c r="AS3677" s="147"/>
      <c r="AT3677" s="147"/>
      <c r="AU3677" s="147"/>
      <c r="AV3677" s="147"/>
      <c r="AW3677" s="147"/>
      <c r="AX3677" s="147"/>
      <c r="AY3677" s="147"/>
      <c r="AZ3677" s="147"/>
      <c r="BA3677" s="147"/>
    </row>
    <row r="3678" spans="1:53" ht="15.75" customHeight="1">
      <c r="A3678" s="99"/>
      <c r="B3678" s="99"/>
      <c r="C3678" s="147"/>
      <c r="D3678" s="147"/>
      <c r="E3678" s="147"/>
      <c r="F3678" s="147"/>
      <c r="G3678" s="147"/>
      <c r="H3678" s="147"/>
      <c r="I3678" s="147"/>
      <c r="J3678" s="147"/>
      <c r="K3678" s="147"/>
      <c r="L3678" s="147"/>
      <c r="M3678" s="147"/>
      <c r="N3678" s="147"/>
      <c r="O3678" s="147"/>
      <c r="P3678" s="147"/>
      <c r="Q3678" s="147"/>
      <c r="R3678" s="147"/>
      <c r="S3678" s="147"/>
      <c r="T3678" s="147"/>
      <c r="U3678" s="147"/>
      <c r="V3678" s="147"/>
      <c r="W3678" s="147"/>
      <c r="X3678" s="147"/>
      <c r="Y3678" s="147"/>
      <c r="Z3678" s="147"/>
      <c r="AA3678" s="147"/>
      <c r="AB3678" s="147"/>
      <c r="AC3678" s="147"/>
      <c r="AD3678" s="147"/>
      <c r="AE3678" s="147"/>
      <c r="AF3678" s="147"/>
      <c r="AG3678" s="147"/>
      <c r="AH3678" s="147"/>
      <c r="AI3678" s="147"/>
      <c r="AJ3678" s="147"/>
      <c r="AK3678" s="147"/>
      <c r="AL3678" s="147"/>
      <c r="AM3678" s="147"/>
      <c r="AN3678" s="147"/>
      <c r="AO3678" s="147"/>
      <c r="AP3678" s="147"/>
      <c r="AQ3678" s="147"/>
      <c r="AR3678" s="147"/>
      <c r="AS3678" s="147"/>
      <c r="AT3678" s="147"/>
      <c r="AU3678" s="147"/>
      <c r="AV3678" s="147"/>
      <c r="AW3678" s="147"/>
      <c r="AX3678" s="147"/>
      <c r="AY3678" s="147"/>
      <c r="AZ3678" s="147"/>
      <c r="BA3678" s="147"/>
    </row>
    <row r="3679" spans="1:53" ht="15.75" customHeight="1">
      <c r="A3679" s="99"/>
      <c r="B3679" s="99"/>
      <c r="C3679" s="147"/>
      <c r="D3679" s="147"/>
      <c r="E3679" s="147"/>
      <c r="F3679" s="147"/>
      <c r="G3679" s="147"/>
      <c r="H3679" s="147"/>
      <c r="I3679" s="147"/>
      <c r="J3679" s="147"/>
      <c r="K3679" s="147"/>
      <c r="L3679" s="147"/>
      <c r="M3679" s="147"/>
      <c r="N3679" s="147"/>
      <c r="O3679" s="147"/>
      <c r="P3679" s="147"/>
      <c r="Q3679" s="147"/>
      <c r="R3679" s="147"/>
      <c r="S3679" s="147"/>
      <c r="T3679" s="147"/>
      <c r="U3679" s="147"/>
      <c r="V3679" s="147"/>
      <c r="W3679" s="147"/>
      <c r="X3679" s="147"/>
      <c r="Y3679" s="147"/>
      <c r="Z3679" s="147"/>
      <c r="AA3679" s="147"/>
      <c r="AB3679" s="147"/>
      <c r="AC3679" s="147"/>
      <c r="AD3679" s="147"/>
      <c r="AE3679" s="147"/>
      <c r="AF3679" s="147"/>
      <c r="AG3679" s="147"/>
      <c r="AH3679" s="147"/>
      <c r="AI3679" s="147"/>
      <c r="AJ3679" s="147"/>
      <c r="AK3679" s="147"/>
      <c r="AL3679" s="147"/>
      <c r="AM3679" s="147"/>
      <c r="AN3679" s="147"/>
      <c r="AO3679" s="147"/>
      <c r="AP3679" s="147"/>
      <c r="AQ3679" s="147"/>
      <c r="AR3679" s="147"/>
      <c r="AS3679" s="147"/>
      <c r="AT3679" s="147"/>
      <c r="AU3679" s="147"/>
      <c r="AV3679" s="147"/>
      <c r="AW3679" s="147"/>
      <c r="AX3679" s="147"/>
      <c r="AY3679" s="147"/>
      <c r="AZ3679" s="147"/>
      <c r="BA3679" s="147"/>
    </row>
    <row r="3680" spans="1:53" ht="15.75" customHeight="1">
      <c r="A3680" s="99"/>
      <c r="B3680" s="99"/>
      <c r="C3680" s="147"/>
      <c r="D3680" s="147"/>
      <c r="E3680" s="147"/>
      <c r="F3680" s="147"/>
      <c r="G3680" s="147"/>
      <c r="H3680" s="147"/>
      <c r="I3680" s="147"/>
      <c r="J3680" s="147"/>
      <c r="K3680" s="147"/>
      <c r="L3680" s="147"/>
      <c r="M3680" s="147"/>
      <c r="N3680" s="147"/>
      <c r="O3680" s="147"/>
      <c r="P3680" s="147"/>
      <c r="Q3680" s="147"/>
      <c r="R3680" s="147"/>
      <c r="S3680" s="147"/>
      <c r="T3680" s="147"/>
      <c r="U3680" s="147"/>
      <c r="V3680" s="147"/>
      <c r="W3680" s="147"/>
      <c r="X3680" s="147"/>
      <c r="Y3680" s="147"/>
      <c r="Z3680" s="147"/>
      <c r="AA3680" s="147"/>
      <c r="AB3680" s="147"/>
      <c r="AC3680" s="147"/>
      <c r="AD3680" s="147"/>
      <c r="AE3680" s="147"/>
      <c r="AF3680" s="147"/>
      <c r="AG3680" s="147"/>
      <c r="AH3680" s="147"/>
      <c r="AI3680" s="147"/>
      <c r="AJ3680" s="147"/>
      <c r="AK3680" s="147"/>
      <c r="AL3680" s="147"/>
      <c r="AM3680" s="147"/>
      <c r="AN3680" s="147"/>
      <c r="AO3680" s="147"/>
      <c r="AP3680" s="147"/>
      <c r="AQ3680" s="147"/>
      <c r="AR3680" s="147"/>
      <c r="AS3680" s="147"/>
      <c r="AT3680" s="147"/>
      <c r="AU3680" s="147"/>
      <c r="AV3680" s="147"/>
      <c r="AW3680" s="147"/>
      <c r="AX3680" s="147"/>
      <c r="AY3680" s="147"/>
      <c r="AZ3680" s="147"/>
      <c r="BA3680" s="147"/>
    </row>
    <row r="3681" spans="1:53" ht="15.75" customHeight="1">
      <c r="A3681" s="99"/>
      <c r="B3681" s="99"/>
      <c r="C3681" s="147"/>
      <c r="D3681" s="147"/>
      <c r="E3681" s="147"/>
      <c r="F3681" s="147"/>
      <c r="G3681" s="147"/>
      <c r="H3681" s="147"/>
      <c r="I3681" s="147"/>
      <c r="J3681" s="147"/>
      <c r="K3681" s="147"/>
      <c r="L3681" s="147"/>
      <c r="M3681" s="147"/>
      <c r="N3681" s="147"/>
      <c r="O3681" s="147"/>
      <c r="P3681" s="147"/>
      <c r="Q3681" s="147"/>
      <c r="R3681" s="147"/>
      <c r="S3681" s="147"/>
      <c r="T3681" s="147"/>
      <c r="U3681" s="147"/>
      <c r="V3681" s="147"/>
      <c r="W3681" s="147"/>
      <c r="X3681" s="147"/>
      <c r="Y3681" s="147"/>
      <c r="Z3681" s="147"/>
      <c r="AA3681" s="147"/>
      <c r="AB3681" s="147"/>
      <c r="AC3681" s="147"/>
      <c r="AD3681" s="147"/>
      <c r="AE3681" s="147"/>
      <c r="AF3681" s="147"/>
      <c r="AG3681" s="147"/>
      <c r="AH3681" s="147"/>
      <c r="AI3681" s="147"/>
      <c r="AJ3681" s="147"/>
      <c r="AK3681" s="147"/>
      <c r="AL3681" s="147"/>
      <c r="AM3681" s="147"/>
      <c r="AN3681" s="147"/>
      <c r="AO3681" s="147"/>
      <c r="AP3681" s="147"/>
      <c r="AQ3681" s="147"/>
      <c r="AR3681" s="147"/>
      <c r="AS3681" s="147"/>
      <c r="AT3681" s="147"/>
      <c r="AU3681" s="147"/>
      <c r="AV3681" s="147"/>
      <c r="AW3681" s="147"/>
      <c r="AX3681" s="147"/>
      <c r="AY3681" s="147"/>
      <c r="AZ3681" s="147"/>
      <c r="BA3681" s="147"/>
    </row>
    <row r="3682" spans="1:53" ht="15.75" customHeight="1">
      <c r="A3682" s="99"/>
      <c r="B3682" s="99"/>
      <c r="C3682" s="147"/>
      <c r="D3682" s="147"/>
      <c r="E3682" s="147"/>
      <c r="F3682" s="147"/>
      <c r="G3682" s="147"/>
      <c r="H3682" s="147"/>
      <c r="I3682" s="147"/>
      <c r="J3682" s="147"/>
      <c r="K3682" s="147"/>
      <c r="L3682" s="147"/>
      <c r="M3682" s="147"/>
      <c r="N3682" s="147"/>
      <c r="O3682" s="147"/>
      <c r="P3682" s="147"/>
      <c r="Q3682" s="147"/>
      <c r="R3682" s="147"/>
      <c r="S3682" s="147"/>
      <c r="T3682" s="147"/>
      <c r="U3682" s="147"/>
      <c r="V3682" s="147"/>
      <c r="W3682" s="147"/>
      <c r="X3682" s="147"/>
      <c r="Y3682" s="147"/>
      <c r="Z3682" s="147"/>
      <c r="AA3682" s="147"/>
      <c r="AB3682" s="147"/>
      <c r="AC3682" s="147"/>
      <c r="AD3682" s="147"/>
      <c r="AE3682" s="147"/>
      <c r="AF3682" s="147"/>
      <c r="AG3682" s="147"/>
      <c r="AH3682" s="147"/>
      <c r="AI3682" s="147"/>
      <c r="AJ3682" s="147"/>
      <c r="AK3682" s="147"/>
      <c r="AL3682" s="147"/>
      <c r="AM3682" s="147"/>
      <c r="AN3682" s="147"/>
      <c r="AO3682" s="147"/>
      <c r="AP3682" s="147"/>
      <c r="AQ3682" s="147"/>
      <c r="AR3682" s="147"/>
      <c r="AS3682" s="147"/>
      <c r="AT3682" s="147"/>
      <c r="AU3682" s="147"/>
      <c r="AV3682" s="147"/>
      <c r="AW3682" s="147"/>
      <c r="AX3682" s="147"/>
      <c r="AY3682" s="147"/>
      <c r="AZ3682" s="147"/>
      <c r="BA3682" s="147"/>
    </row>
    <row r="3683" spans="1:53" ht="15.75" customHeight="1">
      <c r="A3683" s="99"/>
      <c r="B3683" s="99"/>
      <c r="C3683" s="147"/>
      <c r="D3683" s="147"/>
      <c r="E3683" s="147"/>
      <c r="F3683" s="147"/>
      <c r="G3683" s="147"/>
      <c r="H3683" s="147"/>
      <c r="I3683" s="147"/>
      <c r="J3683" s="147"/>
      <c r="K3683" s="147"/>
      <c r="L3683" s="147"/>
      <c r="M3683" s="147"/>
      <c r="N3683" s="147"/>
      <c r="O3683" s="147"/>
      <c r="P3683" s="147"/>
      <c r="Q3683" s="147"/>
      <c r="R3683" s="147"/>
      <c r="S3683" s="147"/>
      <c r="T3683" s="147"/>
      <c r="U3683" s="147"/>
      <c r="V3683" s="147"/>
      <c r="W3683" s="147"/>
      <c r="X3683" s="147"/>
      <c r="Y3683" s="147"/>
      <c r="Z3683" s="147"/>
      <c r="AA3683" s="147"/>
      <c r="AB3683" s="147"/>
      <c r="AC3683" s="147"/>
      <c r="AD3683" s="147"/>
      <c r="AE3683" s="147"/>
      <c r="AF3683" s="147"/>
      <c r="AG3683" s="147"/>
      <c r="AH3683" s="147"/>
      <c r="AI3683" s="147"/>
      <c r="AJ3683" s="147"/>
      <c r="AK3683" s="147"/>
      <c r="AL3683" s="147"/>
      <c r="AM3683" s="147"/>
      <c r="AN3683" s="147"/>
      <c r="AO3683" s="147"/>
      <c r="AP3683" s="147"/>
      <c r="AQ3683" s="147"/>
      <c r="AR3683" s="147"/>
      <c r="AS3683" s="147"/>
      <c r="AT3683" s="147"/>
      <c r="AU3683" s="147"/>
      <c r="AV3683" s="147"/>
      <c r="AW3683" s="147"/>
      <c r="AX3683" s="147"/>
      <c r="AY3683" s="147"/>
      <c r="AZ3683" s="147"/>
      <c r="BA3683" s="147"/>
    </row>
    <row r="3684" spans="1:53" ht="15.75" customHeight="1">
      <c r="A3684" s="99"/>
      <c r="B3684" s="99"/>
      <c r="C3684" s="147"/>
      <c r="D3684" s="147"/>
      <c r="E3684" s="147"/>
      <c r="F3684" s="147"/>
      <c r="G3684" s="147"/>
      <c r="H3684" s="147"/>
      <c r="I3684" s="147"/>
      <c r="J3684" s="147"/>
      <c r="K3684" s="147"/>
      <c r="L3684" s="147"/>
      <c r="M3684" s="147"/>
      <c r="N3684" s="147"/>
      <c r="O3684" s="147"/>
      <c r="P3684" s="147"/>
      <c r="Q3684" s="147"/>
      <c r="R3684" s="147"/>
      <c r="S3684" s="147"/>
      <c r="T3684" s="147"/>
      <c r="U3684" s="147"/>
      <c r="V3684" s="147"/>
      <c r="W3684" s="147"/>
      <c r="X3684" s="147"/>
      <c r="Y3684" s="147"/>
      <c r="Z3684" s="147"/>
      <c r="AA3684" s="147"/>
      <c r="AB3684" s="147"/>
      <c r="AC3684" s="147"/>
      <c r="AD3684" s="147"/>
      <c r="AE3684" s="147"/>
      <c r="AF3684" s="147"/>
      <c r="AG3684" s="147"/>
      <c r="AH3684" s="147"/>
      <c r="AI3684" s="147"/>
      <c r="AJ3684" s="147"/>
      <c r="AK3684" s="147"/>
      <c r="AL3684" s="147"/>
      <c r="AM3684" s="147"/>
      <c r="AN3684" s="147"/>
      <c r="AO3684" s="147"/>
      <c r="AP3684" s="147"/>
      <c r="AQ3684" s="147"/>
      <c r="AR3684" s="147"/>
      <c r="AS3684" s="147"/>
      <c r="AT3684" s="147"/>
      <c r="AU3684" s="147"/>
      <c r="AV3684" s="147"/>
      <c r="AW3684" s="147"/>
      <c r="AX3684" s="147"/>
      <c r="AY3684" s="147"/>
      <c r="AZ3684" s="147"/>
      <c r="BA3684" s="147"/>
    </row>
    <row r="3685" spans="1:53" ht="15.75" customHeight="1">
      <c r="A3685" s="99"/>
      <c r="B3685" s="99"/>
      <c r="C3685" s="147"/>
      <c r="D3685" s="147"/>
      <c r="E3685" s="147"/>
      <c r="F3685" s="147"/>
      <c r="G3685" s="147"/>
      <c r="H3685" s="147"/>
      <c r="I3685" s="147"/>
      <c r="J3685" s="147"/>
      <c r="K3685" s="147"/>
      <c r="L3685" s="147"/>
      <c r="M3685" s="147"/>
      <c r="N3685" s="147"/>
      <c r="O3685" s="147"/>
      <c r="P3685" s="147"/>
      <c r="Q3685" s="147"/>
      <c r="R3685" s="147"/>
      <c r="S3685" s="147"/>
      <c r="T3685" s="147"/>
      <c r="U3685" s="147"/>
      <c r="V3685" s="147"/>
      <c r="W3685" s="147"/>
      <c r="X3685" s="147"/>
      <c r="Y3685" s="147"/>
      <c r="Z3685" s="147"/>
      <c r="AA3685" s="147"/>
      <c r="AB3685" s="147"/>
      <c r="AC3685" s="147"/>
      <c r="AD3685" s="147"/>
      <c r="AE3685" s="147"/>
      <c r="AF3685" s="147"/>
      <c r="AG3685" s="147"/>
      <c r="AH3685" s="147"/>
      <c r="AI3685" s="147"/>
      <c r="AJ3685" s="147"/>
      <c r="AK3685" s="147"/>
      <c r="AL3685" s="147"/>
      <c r="AM3685" s="147"/>
      <c r="AN3685" s="147"/>
      <c r="AO3685" s="147"/>
      <c r="AP3685" s="147"/>
      <c r="AQ3685" s="147"/>
      <c r="AR3685" s="147"/>
      <c r="AS3685" s="147"/>
      <c r="AT3685" s="147"/>
      <c r="AU3685" s="147"/>
      <c r="AV3685" s="147"/>
      <c r="AW3685" s="147"/>
      <c r="AX3685" s="147"/>
      <c r="AY3685" s="147"/>
      <c r="AZ3685" s="147"/>
      <c r="BA3685" s="147"/>
    </row>
    <row r="3686" spans="1:53" ht="15.75" customHeight="1">
      <c r="A3686" s="99"/>
      <c r="B3686" s="99"/>
      <c r="C3686" s="147"/>
      <c r="D3686" s="147"/>
      <c r="E3686" s="147"/>
      <c r="F3686" s="147"/>
      <c r="G3686" s="147"/>
      <c r="H3686" s="147"/>
      <c r="I3686" s="147"/>
      <c r="J3686" s="147"/>
      <c r="K3686" s="147"/>
      <c r="L3686" s="147"/>
      <c r="M3686" s="147"/>
      <c r="N3686" s="147"/>
      <c r="O3686" s="147"/>
      <c r="P3686" s="147"/>
      <c r="Q3686" s="147"/>
      <c r="R3686" s="147"/>
      <c r="S3686" s="147"/>
      <c r="T3686" s="147"/>
      <c r="U3686" s="147"/>
      <c r="V3686" s="147"/>
      <c r="W3686" s="147"/>
      <c r="X3686" s="147"/>
      <c r="Y3686" s="147"/>
      <c r="Z3686" s="147"/>
      <c r="AA3686" s="147"/>
      <c r="AB3686" s="147"/>
      <c r="AC3686" s="147"/>
      <c r="AD3686" s="147"/>
      <c r="AE3686" s="147"/>
      <c r="AF3686" s="147"/>
      <c r="AG3686" s="147"/>
      <c r="AH3686" s="147"/>
      <c r="AI3686" s="147"/>
      <c r="AJ3686" s="147"/>
      <c r="AK3686" s="147"/>
      <c r="AL3686" s="147"/>
      <c r="AM3686" s="147"/>
      <c r="AN3686" s="147"/>
      <c r="AO3686" s="147"/>
      <c r="AP3686" s="147"/>
      <c r="AQ3686" s="147"/>
      <c r="AR3686" s="147"/>
      <c r="AS3686" s="147"/>
      <c r="AT3686" s="147"/>
      <c r="AU3686" s="147"/>
      <c r="AV3686" s="147"/>
      <c r="AW3686" s="147"/>
      <c r="AX3686" s="147"/>
      <c r="AY3686" s="147"/>
      <c r="AZ3686" s="147"/>
      <c r="BA3686" s="147"/>
    </row>
    <row r="3687" spans="1:53" ht="15.75" customHeight="1">
      <c r="A3687" s="99"/>
      <c r="B3687" s="99"/>
      <c r="C3687" s="147"/>
      <c r="D3687" s="147"/>
      <c r="E3687" s="147"/>
      <c r="F3687" s="147"/>
      <c r="G3687" s="147"/>
      <c r="H3687" s="147"/>
      <c r="I3687" s="147"/>
      <c r="J3687" s="147"/>
      <c r="K3687" s="147"/>
      <c r="L3687" s="147"/>
      <c r="M3687" s="147"/>
      <c r="N3687" s="147"/>
      <c r="O3687" s="147"/>
      <c r="P3687" s="147"/>
      <c r="Q3687" s="147"/>
      <c r="R3687" s="147"/>
      <c r="S3687" s="147"/>
      <c r="T3687" s="147"/>
      <c r="U3687" s="147"/>
      <c r="V3687" s="147"/>
      <c r="W3687" s="147"/>
      <c r="X3687" s="147"/>
      <c r="Y3687" s="147"/>
      <c r="Z3687" s="147"/>
      <c r="AA3687" s="147"/>
      <c r="AB3687" s="147"/>
      <c r="AC3687" s="147"/>
      <c r="AD3687" s="147"/>
      <c r="AE3687" s="147"/>
      <c r="AF3687" s="147"/>
      <c r="AG3687" s="147"/>
      <c r="AH3687" s="147"/>
      <c r="AI3687" s="147"/>
      <c r="AJ3687" s="147"/>
      <c r="AK3687" s="147"/>
      <c r="AL3687" s="147"/>
      <c r="AM3687" s="147"/>
      <c r="AN3687" s="147"/>
      <c r="AO3687" s="147"/>
      <c r="AP3687" s="147"/>
      <c r="AQ3687" s="147"/>
      <c r="AR3687" s="147"/>
      <c r="AS3687" s="147"/>
      <c r="AT3687" s="147"/>
      <c r="AU3687" s="147"/>
      <c r="AV3687" s="147"/>
      <c r="AW3687" s="147"/>
      <c r="AX3687" s="147"/>
      <c r="AY3687" s="147"/>
      <c r="AZ3687" s="147"/>
      <c r="BA3687" s="147"/>
    </row>
    <row r="3688" spans="1:53" ht="15.75" customHeight="1">
      <c r="A3688" s="99"/>
      <c r="B3688" s="99"/>
      <c r="C3688" s="147"/>
      <c r="D3688" s="147"/>
      <c r="E3688" s="147"/>
      <c r="F3688" s="147"/>
      <c r="G3688" s="147"/>
      <c r="H3688" s="147"/>
      <c r="I3688" s="147"/>
      <c r="J3688" s="147"/>
      <c r="K3688" s="147"/>
      <c r="L3688" s="147"/>
      <c r="M3688" s="147"/>
      <c r="N3688" s="147"/>
      <c r="O3688" s="147"/>
      <c r="P3688" s="147"/>
      <c r="Q3688" s="147"/>
      <c r="R3688" s="147"/>
      <c r="S3688" s="147"/>
      <c r="T3688" s="147"/>
      <c r="U3688" s="147"/>
      <c r="V3688" s="147"/>
      <c r="W3688" s="147"/>
      <c r="X3688" s="147"/>
      <c r="Y3688" s="147"/>
      <c r="Z3688" s="147"/>
      <c r="AA3688" s="147"/>
      <c r="AB3688" s="147"/>
      <c r="AC3688" s="147"/>
      <c r="AD3688" s="147"/>
      <c r="AE3688" s="147"/>
      <c r="AF3688" s="147"/>
      <c r="AG3688" s="147"/>
      <c r="AH3688" s="147"/>
      <c r="AI3688" s="147"/>
      <c r="AJ3688" s="147"/>
      <c r="AK3688" s="147"/>
      <c r="AL3688" s="147"/>
      <c r="AM3688" s="147"/>
      <c r="AN3688" s="147"/>
      <c r="AO3688" s="147"/>
      <c r="AP3688" s="147"/>
      <c r="AQ3688" s="147"/>
      <c r="AR3688" s="147"/>
      <c r="AS3688" s="147"/>
      <c r="AT3688" s="147"/>
      <c r="AU3688" s="147"/>
      <c r="AV3688" s="147"/>
      <c r="AW3688" s="147"/>
      <c r="AX3688" s="147"/>
      <c r="AY3688" s="147"/>
      <c r="AZ3688" s="147"/>
      <c r="BA3688" s="147"/>
    </row>
    <row r="3689" spans="1:53" ht="15.75" customHeight="1">
      <c r="A3689" s="99"/>
      <c r="B3689" s="99"/>
      <c r="C3689" s="147"/>
      <c r="D3689" s="147"/>
      <c r="E3689" s="147"/>
      <c r="F3689" s="147"/>
      <c r="G3689" s="147"/>
      <c r="H3689" s="147"/>
      <c r="I3689" s="147"/>
      <c r="J3689" s="147"/>
      <c r="K3689" s="147"/>
      <c r="L3689" s="147"/>
      <c r="M3689" s="147"/>
      <c r="N3689" s="147"/>
      <c r="O3689" s="147"/>
      <c r="P3689" s="147"/>
      <c r="Q3689" s="147"/>
      <c r="R3689" s="147"/>
      <c r="S3689" s="147"/>
      <c r="T3689" s="147"/>
      <c r="U3689" s="147"/>
      <c r="V3689" s="147"/>
      <c r="W3689" s="147"/>
      <c r="X3689" s="147"/>
      <c r="Y3689" s="147"/>
      <c r="Z3689" s="147"/>
      <c r="AA3689" s="147"/>
      <c r="AB3689" s="147"/>
      <c r="AC3689" s="147"/>
      <c r="AD3689" s="147"/>
      <c r="AE3689" s="147"/>
      <c r="AF3689" s="147"/>
      <c r="AG3689" s="147"/>
      <c r="AH3689" s="147"/>
      <c r="AI3689" s="147"/>
      <c r="AJ3689" s="147"/>
      <c r="AK3689" s="147"/>
      <c r="AL3689" s="147"/>
      <c r="AM3689" s="147"/>
      <c r="AN3689" s="147"/>
      <c r="AO3689" s="147"/>
      <c r="AP3689" s="147"/>
      <c r="AQ3689" s="147"/>
      <c r="AR3689" s="147"/>
      <c r="AS3689" s="147"/>
      <c r="AT3689" s="147"/>
      <c r="AU3689" s="147"/>
      <c r="AV3689" s="147"/>
      <c r="AW3689" s="147"/>
      <c r="AX3689" s="147"/>
      <c r="AY3689" s="147"/>
      <c r="AZ3689" s="147"/>
      <c r="BA3689" s="147"/>
    </row>
    <row r="3690" spans="1:53" ht="15.75" customHeight="1">
      <c r="A3690" s="99"/>
      <c r="B3690" s="99"/>
      <c r="C3690" s="147"/>
      <c r="D3690" s="147"/>
      <c r="E3690" s="147"/>
      <c r="F3690" s="147"/>
      <c r="G3690" s="147"/>
      <c r="H3690" s="147"/>
      <c r="I3690" s="147"/>
      <c r="J3690" s="147"/>
      <c r="K3690" s="147"/>
      <c r="L3690" s="147"/>
      <c r="M3690" s="147"/>
      <c r="N3690" s="147"/>
      <c r="O3690" s="147"/>
      <c r="P3690" s="147"/>
      <c r="Q3690" s="147"/>
      <c r="R3690" s="147"/>
      <c r="S3690" s="147"/>
      <c r="T3690" s="147"/>
      <c r="U3690" s="147"/>
      <c r="V3690" s="147"/>
      <c r="W3690" s="147"/>
      <c r="X3690" s="147"/>
      <c r="Y3690" s="147"/>
      <c r="Z3690" s="147"/>
      <c r="AA3690" s="147"/>
      <c r="AB3690" s="147"/>
      <c r="AC3690" s="147"/>
      <c r="AD3690" s="147"/>
      <c r="AE3690" s="147"/>
      <c r="AF3690" s="147"/>
      <c r="AG3690" s="147"/>
      <c r="AH3690" s="147"/>
      <c r="AI3690" s="147"/>
      <c r="AJ3690" s="147"/>
      <c r="AK3690" s="147"/>
      <c r="AL3690" s="147"/>
      <c r="AM3690" s="147"/>
      <c r="AN3690" s="147"/>
      <c r="AO3690" s="147"/>
      <c r="AP3690" s="147"/>
      <c r="AQ3690" s="147"/>
      <c r="AR3690" s="147"/>
      <c r="AS3690" s="147"/>
      <c r="AT3690" s="147"/>
      <c r="AU3690" s="147"/>
      <c r="AV3690" s="147"/>
      <c r="AW3690" s="147"/>
      <c r="AX3690" s="147"/>
      <c r="AY3690" s="147"/>
      <c r="AZ3690" s="147"/>
      <c r="BA3690" s="147"/>
    </row>
    <row r="3691" spans="1:53" ht="15.75" customHeight="1">
      <c r="A3691" s="99"/>
      <c r="B3691" s="99"/>
      <c r="C3691" s="147"/>
      <c r="D3691" s="147"/>
      <c r="E3691" s="147"/>
      <c r="F3691" s="147"/>
      <c r="G3691" s="147"/>
      <c r="H3691" s="147"/>
      <c r="I3691" s="147"/>
      <c r="J3691" s="147"/>
      <c r="K3691" s="147"/>
      <c r="L3691" s="147"/>
      <c r="M3691" s="147"/>
      <c r="N3691" s="147"/>
      <c r="O3691" s="147"/>
      <c r="P3691" s="147"/>
      <c r="Q3691" s="147"/>
      <c r="R3691" s="147"/>
      <c r="S3691" s="147"/>
      <c r="T3691" s="147"/>
      <c r="U3691" s="147"/>
      <c r="V3691" s="147"/>
      <c r="W3691" s="147"/>
      <c r="X3691" s="147"/>
      <c r="Y3691" s="147"/>
      <c r="Z3691" s="147"/>
      <c r="AA3691" s="147"/>
      <c r="AB3691" s="147"/>
      <c r="AC3691" s="147"/>
      <c r="AD3691" s="147"/>
      <c r="AE3691" s="147"/>
      <c r="AF3691" s="147"/>
      <c r="AG3691" s="147"/>
      <c r="AH3691" s="147"/>
      <c r="AI3691" s="147"/>
      <c r="AJ3691" s="147"/>
      <c r="AK3691" s="147"/>
      <c r="AL3691" s="147"/>
      <c r="AM3691" s="147"/>
      <c r="AN3691" s="147"/>
      <c r="AO3691" s="147"/>
      <c r="AP3691" s="147"/>
      <c r="AQ3691" s="147"/>
      <c r="AR3691" s="147"/>
      <c r="AS3691" s="147"/>
      <c r="AT3691" s="147"/>
      <c r="AU3691" s="147"/>
      <c r="AV3691" s="147"/>
      <c r="AW3691" s="147"/>
      <c r="AX3691" s="147"/>
      <c r="AY3691" s="147"/>
      <c r="AZ3691" s="147"/>
      <c r="BA3691" s="147"/>
    </row>
    <row r="3692" spans="1:53" ht="15.75" customHeight="1">
      <c r="A3692" s="99"/>
      <c r="B3692" s="99"/>
      <c r="C3692" s="147"/>
      <c r="D3692" s="147"/>
      <c r="E3692" s="147"/>
      <c r="F3692" s="147"/>
      <c r="G3692" s="147"/>
      <c r="H3692" s="147"/>
      <c r="I3692" s="147"/>
      <c r="J3692" s="147"/>
      <c r="K3692" s="147"/>
      <c r="L3692" s="147"/>
      <c r="M3692" s="147"/>
      <c r="N3692" s="147"/>
      <c r="O3692" s="147"/>
      <c r="P3692" s="147"/>
      <c r="Q3692" s="147"/>
      <c r="R3692" s="147"/>
      <c r="S3692" s="147"/>
      <c r="T3692" s="147"/>
      <c r="U3692" s="147"/>
      <c r="V3692" s="147"/>
      <c r="W3692" s="147"/>
      <c r="X3692" s="147"/>
      <c r="Y3692" s="147"/>
      <c r="Z3692" s="147"/>
      <c r="AA3692" s="147"/>
      <c r="AB3692" s="147"/>
      <c r="AC3692" s="147"/>
      <c r="AD3692" s="147"/>
      <c r="AE3692" s="147"/>
      <c r="AF3692" s="147"/>
      <c r="AG3692" s="147"/>
      <c r="AH3692" s="147"/>
      <c r="AI3692" s="147"/>
      <c r="AJ3692" s="147"/>
      <c r="AK3692" s="147"/>
      <c r="AL3692" s="147"/>
      <c r="AM3692" s="147"/>
      <c r="AN3692" s="147"/>
      <c r="AO3692" s="147"/>
      <c r="AP3692" s="147"/>
      <c r="AQ3692" s="147"/>
      <c r="AR3692" s="147"/>
      <c r="AS3692" s="147"/>
      <c r="AT3692" s="147"/>
      <c r="AU3692" s="147"/>
      <c r="AV3692" s="147"/>
      <c r="AW3692" s="147"/>
      <c r="AX3692" s="147"/>
      <c r="AY3692" s="147"/>
      <c r="AZ3692" s="147"/>
      <c r="BA3692" s="147"/>
    </row>
    <row r="3693" spans="1:53" ht="15.75" customHeight="1">
      <c r="A3693" s="99"/>
      <c r="B3693" s="99"/>
      <c r="C3693" s="147"/>
      <c r="D3693" s="147"/>
      <c r="E3693" s="147"/>
      <c r="F3693" s="147"/>
      <c r="G3693" s="147"/>
      <c r="H3693" s="147"/>
      <c r="I3693" s="147"/>
      <c r="J3693" s="147"/>
      <c r="K3693" s="147"/>
      <c r="L3693" s="147"/>
      <c r="M3693" s="147"/>
      <c r="N3693" s="147"/>
      <c r="O3693" s="147"/>
      <c r="P3693" s="147"/>
      <c r="Q3693" s="147"/>
      <c r="R3693" s="147"/>
      <c r="S3693" s="147"/>
      <c r="T3693" s="147"/>
      <c r="U3693" s="147"/>
      <c r="V3693" s="147"/>
      <c r="W3693" s="147"/>
      <c r="X3693" s="147"/>
      <c r="Y3693" s="147"/>
      <c r="Z3693" s="147"/>
      <c r="AA3693" s="147"/>
      <c r="AB3693" s="147"/>
      <c r="AC3693" s="147"/>
      <c r="AD3693" s="147"/>
      <c r="AE3693" s="147"/>
      <c r="AF3693" s="147"/>
      <c r="AG3693" s="147"/>
      <c r="AH3693" s="147"/>
      <c r="AI3693" s="147"/>
      <c r="AJ3693" s="147"/>
      <c r="AK3693" s="147"/>
      <c r="AL3693" s="147"/>
      <c r="AM3693" s="147"/>
      <c r="AN3693" s="147"/>
      <c r="AO3693" s="147"/>
      <c r="AP3693" s="147"/>
      <c r="AQ3693" s="147"/>
      <c r="AR3693" s="147"/>
      <c r="AS3693" s="147"/>
      <c r="AT3693" s="147"/>
      <c r="AU3693" s="147"/>
      <c r="AV3693" s="147"/>
      <c r="AW3693" s="147"/>
      <c r="AX3693" s="147"/>
      <c r="AY3693" s="147"/>
      <c r="AZ3693" s="147"/>
      <c r="BA3693" s="147"/>
    </row>
    <row r="3694" spans="1:53" ht="15.75" customHeight="1">
      <c r="A3694" s="99"/>
      <c r="B3694" s="99"/>
      <c r="C3694" s="147"/>
      <c r="D3694" s="147"/>
      <c r="E3694" s="147"/>
      <c r="F3694" s="147"/>
      <c r="G3694" s="147"/>
      <c r="H3694" s="147"/>
      <c r="I3694" s="147"/>
      <c r="J3694" s="147"/>
      <c r="K3694" s="147"/>
      <c r="L3694" s="147"/>
      <c r="M3694" s="147"/>
      <c r="N3694" s="147"/>
      <c r="O3694" s="147"/>
      <c r="P3694" s="147"/>
      <c r="Q3694" s="147"/>
      <c r="R3694" s="147"/>
      <c r="S3694" s="147"/>
      <c r="T3694" s="147"/>
      <c r="U3694" s="147"/>
      <c r="V3694" s="147"/>
      <c r="W3694" s="147"/>
      <c r="X3694" s="147"/>
      <c r="Y3694" s="147"/>
      <c r="Z3694" s="147"/>
      <c r="AA3694" s="147"/>
      <c r="AB3694" s="147"/>
      <c r="AC3694" s="147"/>
      <c r="AD3694" s="147"/>
      <c r="AE3694" s="147"/>
      <c r="AF3694" s="147"/>
      <c r="AG3694" s="147"/>
      <c r="AH3694" s="147"/>
      <c r="AI3694" s="147"/>
      <c r="AJ3694" s="147"/>
      <c r="AK3694" s="147"/>
      <c r="AL3694" s="147"/>
      <c r="AM3694" s="147"/>
      <c r="AN3694" s="147"/>
      <c r="AO3694" s="147"/>
      <c r="AP3694" s="147"/>
      <c r="AQ3694" s="147"/>
      <c r="AR3694" s="147"/>
      <c r="AS3694" s="147"/>
      <c r="AT3694" s="147"/>
      <c r="AU3694" s="147"/>
      <c r="AV3694" s="147"/>
      <c r="AW3694" s="147"/>
      <c r="AX3694" s="147"/>
      <c r="AY3694" s="147"/>
      <c r="AZ3694" s="147"/>
      <c r="BA3694" s="147"/>
    </row>
    <row r="3695" spans="1:53" ht="15.75" customHeight="1">
      <c r="A3695" s="99"/>
      <c r="B3695" s="99"/>
      <c r="C3695" s="147"/>
      <c r="D3695" s="147"/>
      <c r="E3695" s="147"/>
      <c r="F3695" s="147"/>
      <c r="G3695" s="147"/>
      <c r="H3695" s="147"/>
      <c r="I3695" s="147"/>
      <c r="J3695" s="147"/>
      <c r="K3695" s="147"/>
      <c r="L3695" s="147"/>
      <c r="M3695" s="147"/>
      <c r="N3695" s="147"/>
      <c r="O3695" s="147"/>
      <c r="P3695" s="147"/>
      <c r="Q3695" s="147"/>
      <c r="R3695" s="147"/>
      <c r="S3695" s="147"/>
      <c r="T3695" s="147"/>
      <c r="U3695" s="147"/>
      <c r="V3695" s="147"/>
      <c r="W3695" s="147"/>
      <c r="X3695" s="147"/>
      <c r="Y3695" s="147"/>
      <c r="Z3695" s="147"/>
      <c r="AA3695" s="147"/>
      <c r="AB3695" s="147"/>
      <c r="AC3695" s="147"/>
      <c r="AD3695" s="147"/>
      <c r="AE3695" s="147"/>
      <c r="AF3695" s="147"/>
      <c r="AG3695" s="147"/>
      <c r="AH3695" s="147"/>
      <c r="AI3695" s="147"/>
      <c r="AJ3695" s="147"/>
      <c r="AK3695" s="147"/>
      <c r="AL3695" s="147"/>
      <c r="AM3695" s="147"/>
      <c r="AN3695" s="147"/>
      <c r="AO3695" s="147"/>
      <c r="AP3695" s="147"/>
      <c r="AQ3695" s="147"/>
      <c r="AR3695" s="147"/>
      <c r="AS3695" s="147"/>
      <c r="AT3695" s="147"/>
      <c r="AU3695" s="147"/>
      <c r="AV3695" s="147"/>
      <c r="AW3695" s="147"/>
      <c r="AX3695" s="147"/>
      <c r="AY3695" s="147"/>
      <c r="AZ3695" s="147"/>
      <c r="BA3695" s="147"/>
    </row>
    <row r="3696" spans="1:53" ht="15.75" customHeight="1">
      <c r="A3696" s="99"/>
      <c r="B3696" s="99"/>
      <c r="C3696" s="147"/>
      <c r="D3696" s="147"/>
      <c r="E3696" s="147"/>
      <c r="F3696" s="147"/>
      <c r="G3696" s="147"/>
      <c r="H3696" s="147"/>
      <c r="I3696" s="147"/>
      <c r="J3696" s="147"/>
      <c r="K3696" s="147"/>
      <c r="L3696" s="147"/>
      <c r="M3696" s="147"/>
      <c r="N3696" s="147"/>
      <c r="O3696" s="147"/>
      <c r="P3696" s="147"/>
      <c r="Q3696" s="147"/>
      <c r="R3696" s="147"/>
      <c r="S3696" s="147"/>
      <c r="T3696" s="147"/>
      <c r="U3696" s="147"/>
      <c r="V3696" s="147"/>
      <c r="W3696" s="147"/>
      <c r="X3696" s="147"/>
      <c r="Y3696" s="147"/>
      <c r="Z3696" s="147"/>
      <c r="AA3696" s="147"/>
      <c r="AB3696" s="147"/>
      <c r="AC3696" s="147"/>
      <c r="AD3696" s="147"/>
      <c r="AE3696" s="147"/>
      <c r="AF3696" s="147"/>
      <c r="AG3696" s="147"/>
      <c r="AH3696" s="147"/>
      <c r="AI3696" s="147"/>
      <c r="AJ3696" s="147"/>
      <c r="AK3696" s="147"/>
      <c r="AL3696" s="147"/>
      <c r="AM3696" s="147"/>
      <c r="AN3696" s="147"/>
      <c r="AO3696" s="147"/>
      <c r="AP3696" s="147"/>
      <c r="AQ3696" s="147"/>
      <c r="AR3696" s="147"/>
      <c r="AS3696" s="147"/>
      <c r="AT3696" s="147"/>
      <c r="AU3696" s="147"/>
      <c r="AV3696" s="147"/>
      <c r="AW3696" s="147"/>
      <c r="AX3696" s="147"/>
      <c r="AY3696" s="147"/>
      <c r="AZ3696" s="147"/>
      <c r="BA3696" s="147"/>
    </row>
    <row r="3697" spans="1:53" ht="15.75" customHeight="1">
      <c r="A3697" s="99"/>
      <c r="B3697" s="99"/>
      <c r="C3697" s="147"/>
      <c r="D3697" s="147"/>
      <c r="E3697" s="147"/>
      <c r="F3697" s="147"/>
      <c r="G3697" s="147"/>
      <c r="H3697" s="147"/>
      <c r="I3697" s="147"/>
      <c r="J3697" s="147"/>
      <c r="K3697" s="147"/>
      <c r="L3697" s="147"/>
      <c r="M3697" s="147"/>
      <c r="N3697" s="147"/>
      <c r="O3697" s="147"/>
      <c r="P3697" s="147"/>
      <c r="Q3697" s="147"/>
      <c r="R3697" s="147"/>
      <c r="S3697" s="147"/>
      <c r="T3697" s="147"/>
      <c r="U3697" s="147"/>
      <c r="V3697" s="147"/>
      <c r="W3697" s="147"/>
      <c r="X3697" s="147"/>
      <c r="Y3697" s="147"/>
      <c r="Z3697" s="147"/>
      <c r="AA3697" s="147"/>
      <c r="AB3697" s="147"/>
      <c r="AC3697" s="147"/>
      <c r="AD3697" s="147"/>
      <c r="AE3697" s="147"/>
      <c r="AF3697" s="147"/>
      <c r="AG3697" s="147"/>
      <c r="AH3697" s="147"/>
      <c r="AI3697" s="147"/>
      <c r="AJ3697" s="147"/>
      <c r="AK3697" s="147"/>
      <c r="AL3697" s="147"/>
      <c r="AM3697" s="147"/>
      <c r="AN3697" s="147"/>
      <c r="AO3697" s="147"/>
      <c r="AP3697" s="147"/>
      <c r="AQ3697" s="147"/>
      <c r="AR3697" s="147"/>
      <c r="AS3697" s="147"/>
      <c r="AT3697" s="147"/>
      <c r="AU3697" s="147"/>
      <c r="AV3697" s="147"/>
      <c r="AW3697" s="147"/>
      <c r="AX3697" s="147"/>
      <c r="AY3697" s="147"/>
      <c r="AZ3697" s="147"/>
      <c r="BA3697" s="147"/>
    </row>
    <row r="3698" spans="1:53" ht="15.75" customHeight="1">
      <c r="A3698" s="99"/>
      <c r="B3698" s="99"/>
      <c r="C3698" s="147"/>
      <c r="D3698" s="147"/>
      <c r="E3698" s="147"/>
      <c r="F3698" s="147"/>
      <c r="G3698" s="147"/>
      <c r="H3698" s="147"/>
      <c r="I3698" s="147"/>
      <c r="J3698" s="147"/>
      <c r="K3698" s="147"/>
      <c r="L3698" s="147"/>
      <c r="M3698" s="147"/>
      <c r="N3698" s="147"/>
      <c r="O3698" s="147"/>
      <c r="P3698" s="147"/>
      <c r="Q3698" s="147"/>
      <c r="R3698" s="147"/>
      <c r="S3698" s="147"/>
      <c r="T3698" s="147"/>
      <c r="U3698" s="147"/>
      <c r="V3698" s="147"/>
      <c r="W3698" s="147"/>
      <c r="X3698" s="147"/>
      <c r="Y3698" s="147"/>
      <c r="Z3698" s="147"/>
      <c r="AA3698" s="147"/>
      <c r="AB3698" s="147"/>
      <c r="AC3698" s="147"/>
      <c r="AD3698" s="147"/>
      <c r="AE3698" s="147"/>
      <c r="AF3698" s="147"/>
      <c r="AG3698" s="147"/>
      <c r="AH3698" s="147"/>
      <c r="AI3698" s="147"/>
      <c r="AJ3698" s="147"/>
      <c r="AK3698" s="147"/>
      <c r="AL3698" s="147"/>
      <c r="AM3698" s="147"/>
      <c r="AN3698" s="147"/>
      <c r="AO3698" s="147"/>
      <c r="AP3698" s="147"/>
      <c r="AQ3698" s="147"/>
      <c r="AR3698" s="147"/>
      <c r="AS3698" s="147"/>
      <c r="AT3698" s="147"/>
      <c r="AU3698" s="147"/>
      <c r="AV3698" s="147"/>
      <c r="AW3698" s="147"/>
      <c r="AX3698" s="147"/>
      <c r="AY3698" s="147"/>
      <c r="AZ3698" s="147"/>
      <c r="BA3698" s="147"/>
    </row>
    <row r="3699" spans="1:53" ht="15.75" customHeight="1">
      <c r="A3699" s="99"/>
      <c r="B3699" s="99"/>
      <c r="C3699" s="147"/>
      <c r="D3699" s="147"/>
      <c r="E3699" s="147"/>
      <c r="F3699" s="147"/>
      <c r="G3699" s="147"/>
      <c r="H3699" s="147"/>
      <c r="I3699" s="147"/>
      <c r="J3699" s="147"/>
      <c r="K3699" s="147"/>
      <c r="L3699" s="147"/>
      <c r="M3699" s="147"/>
      <c r="N3699" s="147"/>
      <c r="O3699" s="147"/>
      <c r="P3699" s="147"/>
      <c r="Q3699" s="147"/>
      <c r="R3699" s="147"/>
      <c r="S3699" s="147"/>
      <c r="T3699" s="147"/>
      <c r="U3699" s="147"/>
      <c r="V3699" s="147"/>
      <c r="W3699" s="147"/>
      <c r="X3699" s="147"/>
      <c r="Y3699" s="147"/>
      <c r="Z3699" s="147"/>
      <c r="AA3699" s="147"/>
      <c r="AB3699" s="147"/>
      <c r="AC3699" s="147"/>
      <c r="AD3699" s="147"/>
      <c r="AE3699" s="147"/>
      <c r="AF3699" s="147"/>
      <c r="AG3699" s="147"/>
      <c r="AH3699" s="147"/>
      <c r="AI3699" s="147"/>
      <c r="AJ3699" s="147"/>
      <c r="AK3699" s="147"/>
      <c r="AL3699" s="147"/>
      <c r="AM3699" s="147"/>
      <c r="AN3699" s="147"/>
      <c r="AO3699" s="147"/>
      <c r="AP3699" s="147"/>
      <c r="AQ3699" s="147"/>
      <c r="AR3699" s="147"/>
      <c r="AS3699" s="147"/>
      <c r="AT3699" s="147"/>
      <c r="AU3699" s="147"/>
      <c r="AV3699" s="147"/>
      <c r="AW3699" s="147"/>
      <c r="AX3699" s="147"/>
      <c r="AY3699" s="147"/>
      <c r="AZ3699" s="147"/>
      <c r="BA3699" s="147"/>
    </row>
    <row r="3700" spans="1:53" ht="15.75" customHeight="1">
      <c r="A3700" s="99"/>
      <c r="B3700" s="99"/>
      <c r="C3700" s="147"/>
      <c r="D3700" s="147"/>
      <c r="E3700" s="147"/>
      <c r="F3700" s="147"/>
      <c r="G3700" s="147"/>
      <c r="H3700" s="147"/>
      <c r="I3700" s="147"/>
      <c r="J3700" s="147"/>
      <c r="K3700" s="147"/>
      <c r="L3700" s="147"/>
      <c r="M3700" s="147"/>
      <c r="N3700" s="147"/>
      <c r="O3700" s="147"/>
      <c r="P3700" s="147"/>
      <c r="Q3700" s="147"/>
      <c r="R3700" s="147"/>
      <c r="S3700" s="147"/>
      <c r="T3700" s="147"/>
      <c r="U3700" s="147"/>
      <c r="V3700" s="147"/>
      <c r="W3700" s="147"/>
      <c r="X3700" s="147"/>
      <c r="Y3700" s="147"/>
      <c r="Z3700" s="147"/>
      <c r="AA3700" s="147"/>
      <c r="AB3700" s="147"/>
      <c r="AC3700" s="147"/>
      <c r="AD3700" s="147"/>
      <c r="AE3700" s="147"/>
      <c r="AF3700" s="147"/>
      <c r="AG3700" s="147"/>
      <c r="AH3700" s="147"/>
      <c r="AI3700" s="147"/>
      <c r="AJ3700" s="147"/>
      <c r="AK3700" s="147"/>
      <c r="AL3700" s="147"/>
      <c r="AM3700" s="147"/>
      <c r="AN3700" s="147"/>
      <c r="AO3700" s="147"/>
      <c r="AP3700" s="147"/>
      <c r="AQ3700" s="147"/>
      <c r="AR3700" s="147"/>
      <c r="AS3700" s="147"/>
      <c r="AT3700" s="147"/>
      <c r="AU3700" s="147"/>
      <c r="AV3700" s="147"/>
      <c r="AW3700" s="147"/>
      <c r="AX3700" s="147"/>
      <c r="AY3700" s="147"/>
      <c r="AZ3700" s="147"/>
      <c r="BA3700" s="147"/>
    </row>
    <row r="3701" spans="1:53" ht="15.75" customHeight="1">
      <c r="A3701" s="99"/>
      <c r="B3701" s="99"/>
      <c r="C3701" s="147"/>
      <c r="D3701" s="147"/>
      <c r="E3701" s="147"/>
      <c r="F3701" s="147"/>
      <c r="G3701" s="147"/>
      <c r="H3701" s="147"/>
      <c r="I3701" s="147"/>
      <c r="J3701" s="147"/>
      <c r="K3701" s="147"/>
      <c r="L3701" s="147"/>
      <c r="M3701" s="147"/>
      <c r="N3701" s="147"/>
      <c r="O3701" s="147"/>
      <c r="P3701" s="147"/>
      <c r="Q3701" s="147"/>
      <c r="R3701" s="147"/>
      <c r="S3701" s="147"/>
      <c r="T3701" s="147"/>
      <c r="U3701" s="147"/>
      <c r="V3701" s="147"/>
      <c r="W3701" s="147"/>
      <c r="X3701" s="147"/>
      <c r="Y3701" s="147"/>
      <c r="Z3701" s="147"/>
      <c r="AA3701" s="147"/>
      <c r="AB3701" s="147"/>
      <c r="AC3701" s="147"/>
      <c r="AD3701" s="147"/>
      <c r="AE3701" s="147"/>
      <c r="AF3701" s="147"/>
      <c r="AG3701" s="147"/>
      <c r="AH3701" s="147"/>
      <c r="AI3701" s="147"/>
      <c r="AJ3701" s="147"/>
      <c r="AK3701" s="147"/>
      <c r="AL3701" s="147"/>
      <c r="AM3701" s="147"/>
      <c r="AN3701" s="147"/>
      <c r="AO3701" s="147"/>
      <c r="AP3701" s="147"/>
      <c r="AQ3701" s="147"/>
      <c r="AR3701" s="147"/>
      <c r="AS3701" s="147"/>
      <c r="AT3701" s="147"/>
      <c r="AU3701" s="147"/>
      <c r="AV3701" s="147"/>
      <c r="AW3701" s="147"/>
      <c r="AX3701" s="147"/>
      <c r="AY3701" s="147"/>
      <c r="AZ3701" s="147"/>
      <c r="BA3701" s="147"/>
    </row>
    <row r="3702" spans="1:53" ht="15.75" customHeight="1">
      <c r="A3702" s="99"/>
      <c r="B3702" s="99"/>
      <c r="C3702" s="147"/>
      <c r="D3702" s="147"/>
      <c r="E3702" s="147"/>
      <c r="F3702" s="147"/>
      <c r="G3702" s="147"/>
      <c r="H3702" s="147"/>
      <c r="I3702" s="147"/>
      <c r="J3702" s="147"/>
      <c r="K3702" s="147"/>
      <c r="L3702" s="147"/>
      <c r="M3702" s="147"/>
      <c r="N3702" s="147"/>
      <c r="O3702" s="147"/>
      <c r="P3702" s="147"/>
      <c r="Q3702" s="147"/>
      <c r="R3702" s="147"/>
      <c r="S3702" s="147"/>
      <c r="T3702" s="147"/>
      <c r="U3702" s="147"/>
      <c r="V3702" s="147"/>
      <c r="W3702" s="147"/>
      <c r="X3702" s="147"/>
      <c r="Y3702" s="147"/>
      <c r="Z3702" s="147"/>
      <c r="AA3702" s="147"/>
      <c r="AB3702" s="147"/>
      <c r="AC3702" s="147"/>
      <c r="AD3702" s="147"/>
      <c r="AE3702" s="147"/>
      <c r="AF3702" s="147"/>
      <c r="AG3702" s="147"/>
      <c r="AH3702" s="147"/>
      <c r="AI3702" s="147"/>
      <c r="AJ3702" s="147"/>
      <c r="AK3702" s="147"/>
      <c r="AL3702" s="147"/>
      <c r="AM3702" s="147"/>
      <c r="AN3702" s="147"/>
      <c r="AO3702" s="147"/>
      <c r="AP3702" s="147"/>
      <c r="AQ3702" s="147"/>
      <c r="AR3702" s="147"/>
      <c r="AS3702" s="147"/>
      <c r="AT3702" s="147"/>
      <c r="AU3702" s="147"/>
      <c r="AV3702" s="147"/>
      <c r="AW3702" s="147"/>
      <c r="AX3702" s="147"/>
      <c r="AY3702" s="147"/>
      <c r="AZ3702" s="147"/>
      <c r="BA3702" s="147"/>
    </row>
    <row r="3703" spans="1:53" ht="15.75" customHeight="1">
      <c r="A3703" s="99"/>
      <c r="B3703" s="99"/>
      <c r="C3703" s="147"/>
      <c r="D3703" s="147"/>
      <c r="E3703" s="147"/>
      <c r="F3703" s="147"/>
      <c r="G3703" s="147"/>
      <c r="H3703" s="147"/>
      <c r="I3703" s="147"/>
      <c r="J3703" s="147"/>
      <c r="K3703" s="147"/>
      <c r="L3703" s="147"/>
      <c r="M3703" s="147"/>
      <c r="N3703" s="147"/>
      <c r="O3703" s="147"/>
      <c r="P3703" s="147"/>
      <c r="Q3703" s="147"/>
      <c r="R3703" s="147"/>
      <c r="S3703" s="147"/>
      <c r="T3703" s="147"/>
      <c r="U3703" s="147"/>
      <c r="V3703" s="147"/>
      <c r="W3703" s="147"/>
      <c r="X3703" s="147"/>
      <c r="Y3703" s="147"/>
      <c r="Z3703" s="147"/>
      <c r="AA3703" s="147"/>
      <c r="AB3703" s="147"/>
      <c r="AC3703" s="147"/>
      <c r="AD3703" s="147"/>
      <c r="AE3703" s="147"/>
      <c r="AF3703" s="147"/>
      <c r="AG3703" s="147"/>
      <c r="AH3703" s="147"/>
      <c r="AI3703" s="147"/>
      <c r="AJ3703" s="147"/>
      <c r="AK3703" s="147"/>
      <c r="AL3703" s="147"/>
      <c r="AM3703" s="147"/>
      <c r="AN3703" s="147"/>
      <c r="AO3703" s="147"/>
      <c r="AP3703" s="147"/>
      <c r="AQ3703" s="147"/>
      <c r="AR3703" s="147"/>
      <c r="AS3703" s="147"/>
      <c r="AT3703" s="147"/>
      <c r="AU3703" s="147"/>
      <c r="AV3703" s="147"/>
      <c r="AW3703" s="147"/>
      <c r="AX3703" s="147"/>
      <c r="AY3703" s="147"/>
      <c r="AZ3703" s="147"/>
      <c r="BA3703" s="147"/>
    </row>
    <row r="3704" spans="1:53" ht="15.75" customHeight="1">
      <c r="A3704" s="99"/>
      <c r="B3704" s="99"/>
      <c r="C3704" s="147"/>
      <c r="D3704" s="147"/>
      <c r="E3704" s="147"/>
      <c r="F3704" s="147"/>
      <c r="G3704" s="147"/>
      <c r="H3704" s="147"/>
      <c r="I3704" s="147"/>
      <c r="J3704" s="147"/>
      <c r="K3704" s="147"/>
      <c r="L3704" s="147"/>
      <c r="M3704" s="147"/>
      <c r="N3704" s="147"/>
      <c r="O3704" s="147"/>
      <c r="P3704" s="147"/>
      <c r="Q3704" s="147"/>
      <c r="R3704" s="147"/>
      <c r="S3704" s="147"/>
      <c r="T3704" s="147"/>
      <c r="U3704" s="147"/>
      <c r="V3704" s="147"/>
      <c r="W3704" s="147"/>
      <c r="X3704" s="147"/>
      <c r="Y3704" s="147"/>
      <c r="Z3704" s="147"/>
      <c r="AA3704" s="147"/>
      <c r="AB3704" s="147"/>
      <c r="AC3704" s="147"/>
      <c r="AD3704" s="147"/>
      <c r="AE3704" s="147"/>
      <c r="AF3704" s="147"/>
      <c r="AG3704" s="147"/>
      <c r="AH3704" s="147"/>
      <c r="AI3704" s="147"/>
      <c r="AJ3704" s="147"/>
      <c r="AK3704" s="147"/>
      <c r="AL3704" s="147"/>
      <c r="AM3704" s="147"/>
      <c r="AN3704" s="147"/>
      <c r="AO3704" s="147"/>
      <c r="AP3704" s="147"/>
      <c r="AQ3704" s="147"/>
      <c r="AR3704" s="147"/>
      <c r="AS3704" s="147"/>
      <c r="AT3704" s="147"/>
      <c r="AU3704" s="147"/>
      <c r="AV3704" s="147"/>
      <c r="AW3704" s="147"/>
      <c r="AX3704" s="147"/>
      <c r="AY3704" s="147"/>
      <c r="AZ3704" s="147"/>
      <c r="BA3704" s="147"/>
    </row>
    <row r="3705" spans="1:53" ht="15.75" customHeight="1">
      <c r="A3705" s="99"/>
      <c r="B3705" s="99"/>
      <c r="C3705" s="147"/>
      <c r="D3705" s="147"/>
      <c r="E3705" s="147"/>
      <c r="F3705" s="147"/>
      <c r="G3705" s="147"/>
      <c r="H3705" s="147"/>
      <c r="I3705" s="147"/>
      <c r="J3705" s="147"/>
      <c r="K3705" s="147"/>
      <c r="L3705" s="147"/>
      <c r="M3705" s="147"/>
      <c r="N3705" s="147"/>
      <c r="O3705" s="147"/>
      <c r="P3705" s="147"/>
      <c r="Q3705" s="147"/>
      <c r="R3705" s="147"/>
      <c r="S3705" s="147"/>
      <c r="T3705" s="147"/>
      <c r="U3705" s="147"/>
      <c r="V3705" s="147"/>
      <c r="W3705" s="147"/>
      <c r="X3705" s="147"/>
      <c r="Y3705" s="147"/>
      <c r="Z3705" s="147"/>
      <c r="AA3705" s="147"/>
      <c r="AB3705" s="147"/>
      <c r="AC3705" s="147"/>
      <c r="AD3705" s="147"/>
      <c r="AE3705" s="147"/>
      <c r="AF3705" s="147"/>
      <c r="AG3705" s="147"/>
      <c r="AH3705" s="147"/>
      <c r="AI3705" s="147"/>
      <c r="AJ3705" s="147"/>
      <c r="AK3705" s="147"/>
      <c r="AL3705" s="147"/>
      <c r="AM3705" s="147"/>
      <c r="AN3705" s="147"/>
      <c r="AO3705" s="147"/>
      <c r="AP3705" s="147"/>
      <c r="AQ3705" s="147"/>
      <c r="AR3705" s="147"/>
      <c r="AS3705" s="147"/>
      <c r="AT3705" s="147"/>
      <c r="AU3705" s="147"/>
      <c r="AV3705" s="147"/>
      <c r="AW3705" s="147"/>
      <c r="AX3705" s="147"/>
      <c r="AY3705" s="147"/>
      <c r="AZ3705" s="147"/>
      <c r="BA3705" s="147"/>
    </row>
    <row r="3706" spans="1:53" ht="15.75" customHeight="1">
      <c r="A3706" s="99"/>
      <c r="B3706" s="99"/>
      <c r="C3706" s="147"/>
      <c r="D3706" s="147"/>
      <c r="E3706" s="147"/>
      <c r="F3706" s="147"/>
      <c r="G3706" s="147"/>
      <c r="H3706" s="147"/>
      <c r="I3706" s="147"/>
      <c r="J3706" s="147"/>
      <c r="K3706" s="147"/>
      <c r="L3706" s="147"/>
      <c r="M3706" s="147"/>
      <c r="N3706" s="147"/>
      <c r="O3706" s="147"/>
      <c r="P3706" s="147"/>
      <c r="Q3706" s="147"/>
      <c r="R3706" s="147"/>
      <c r="S3706" s="147"/>
      <c r="T3706" s="147"/>
      <c r="U3706" s="147"/>
      <c r="V3706" s="147"/>
      <c r="W3706" s="147"/>
      <c r="X3706" s="147"/>
      <c r="Y3706" s="147"/>
      <c r="Z3706" s="147"/>
      <c r="AA3706" s="147"/>
      <c r="AB3706" s="147"/>
      <c r="AC3706" s="147"/>
      <c r="AD3706" s="147"/>
      <c r="AE3706" s="147"/>
      <c r="AF3706" s="147"/>
      <c r="AG3706" s="147"/>
      <c r="AH3706" s="147"/>
      <c r="AI3706" s="147"/>
      <c r="AJ3706" s="147"/>
      <c r="AK3706" s="147"/>
      <c r="AL3706" s="147"/>
      <c r="AM3706" s="147"/>
      <c r="AN3706" s="147"/>
      <c r="AO3706" s="147"/>
      <c r="AP3706" s="147"/>
      <c r="AQ3706" s="147"/>
      <c r="AR3706" s="147"/>
      <c r="AS3706" s="147"/>
      <c r="AT3706" s="147"/>
      <c r="AU3706" s="147"/>
      <c r="AV3706" s="147"/>
      <c r="AW3706" s="147"/>
      <c r="AX3706" s="147"/>
      <c r="AY3706" s="147"/>
      <c r="AZ3706" s="147"/>
      <c r="BA3706" s="147"/>
    </row>
    <row r="3707" spans="1:53" ht="15.75" customHeight="1">
      <c r="A3707" s="99"/>
      <c r="B3707" s="99"/>
      <c r="C3707" s="147"/>
      <c r="D3707" s="147"/>
      <c r="E3707" s="147"/>
      <c r="F3707" s="147"/>
      <c r="G3707" s="147"/>
      <c r="H3707" s="147"/>
      <c r="I3707" s="147"/>
      <c r="J3707" s="147"/>
      <c r="K3707" s="147"/>
      <c r="L3707" s="147"/>
      <c r="M3707" s="147"/>
      <c r="N3707" s="147"/>
      <c r="O3707" s="147"/>
      <c r="P3707" s="147"/>
      <c r="Q3707" s="147"/>
      <c r="R3707" s="147"/>
      <c r="S3707" s="147"/>
      <c r="T3707" s="147"/>
      <c r="U3707" s="147"/>
      <c r="V3707" s="147"/>
      <c r="W3707" s="147"/>
      <c r="X3707" s="147"/>
      <c r="Y3707" s="147"/>
      <c r="Z3707" s="147"/>
      <c r="AA3707" s="147"/>
      <c r="AB3707" s="147"/>
      <c r="AC3707" s="147"/>
      <c r="AD3707" s="147"/>
      <c r="AE3707" s="147"/>
      <c r="AF3707" s="147"/>
      <c r="AG3707" s="147"/>
      <c r="AH3707" s="147"/>
      <c r="AI3707" s="147"/>
      <c r="AJ3707" s="147"/>
      <c r="AK3707" s="147"/>
      <c r="AL3707" s="147"/>
      <c r="AM3707" s="147"/>
      <c r="AN3707" s="147"/>
      <c r="AO3707" s="147"/>
      <c r="AP3707" s="147"/>
      <c r="AQ3707" s="147"/>
      <c r="AR3707" s="147"/>
      <c r="AS3707" s="147"/>
      <c r="AT3707" s="147"/>
      <c r="AU3707" s="147"/>
      <c r="AV3707" s="147"/>
      <c r="AW3707" s="147"/>
      <c r="AX3707" s="147"/>
      <c r="AY3707" s="147"/>
      <c r="AZ3707" s="147"/>
      <c r="BA3707" s="147"/>
    </row>
    <row r="3708" spans="1:53" ht="15.75" customHeight="1">
      <c r="A3708" s="99"/>
      <c r="B3708" s="99"/>
      <c r="C3708" s="147"/>
      <c r="D3708" s="147"/>
      <c r="E3708" s="147"/>
      <c r="F3708" s="147"/>
      <c r="G3708" s="147"/>
      <c r="H3708" s="147"/>
      <c r="I3708" s="147"/>
      <c r="J3708" s="147"/>
      <c r="K3708" s="147"/>
      <c r="L3708" s="147"/>
      <c r="M3708" s="147"/>
      <c r="N3708" s="147"/>
      <c r="O3708" s="147"/>
      <c r="P3708" s="147"/>
      <c r="Q3708" s="147"/>
      <c r="R3708" s="147"/>
      <c r="S3708" s="147"/>
      <c r="T3708" s="147"/>
      <c r="U3708" s="147"/>
      <c r="V3708" s="147"/>
      <c r="W3708" s="147"/>
      <c r="X3708" s="147"/>
      <c r="Y3708" s="147"/>
      <c r="Z3708" s="147"/>
      <c r="AA3708" s="147"/>
      <c r="AB3708" s="147"/>
      <c r="AC3708" s="147"/>
      <c r="AD3708" s="147"/>
      <c r="AE3708" s="147"/>
      <c r="AF3708" s="147"/>
      <c r="AG3708" s="147"/>
      <c r="AH3708" s="147"/>
      <c r="AI3708" s="147"/>
      <c r="AJ3708" s="147"/>
      <c r="AK3708" s="147"/>
      <c r="AL3708" s="147"/>
      <c r="AM3708" s="147"/>
      <c r="AN3708" s="147"/>
      <c r="AO3708" s="147"/>
      <c r="AP3708" s="147"/>
      <c r="AQ3708" s="147"/>
      <c r="AR3708" s="147"/>
      <c r="AS3708" s="147"/>
      <c r="AT3708" s="147"/>
      <c r="AU3708" s="147"/>
      <c r="AV3708" s="147"/>
      <c r="AW3708" s="147"/>
      <c r="AX3708" s="147"/>
      <c r="AY3708" s="147"/>
      <c r="AZ3708" s="147"/>
      <c r="BA3708" s="147"/>
    </row>
    <row r="3709" spans="1:53" ht="15.75" customHeight="1">
      <c r="A3709" s="99"/>
      <c r="B3709" s="99"/>
      <c r="C3709" s="147"/>
      <c r="D3709" s="147"/>
      <c r="E3709" s="147"/>
      <c r="F3709" s="147"/>
      <c r="G3709" s="147"/>
      <c r="H3709" s="147"/>
      <c r="I3709" s="147"/>
      <c r="J3709" s="147"/>
      <c r="K3709" s="147"/>
      <c r="L3709" s="147"/>
      <c r="M3709" s="147"/>
      <c r="N3709" s="147"/>
      <c r="O3709" s="147"/>
      <c r="P3709" s="147"/>
      <c r="Q3709" s="147"/>
      <c r="R3709" s="147"/>
      <c r="S3709" s="147"/>
      <c r="T3709" s="147"/>
      <c r="U3709" s="147"/>
      <c r="V3709" s="147"/>
      <c r="W3709" s="147"/>
      <c r="X3709" s="147"/>
      <c r="Y3709" s="147"/>
      <c r="Z3709" s="147"/>
      <c r="AA3709" s="147"/>
      <c r="AB3709" s="147"/>
      <c r="AC3709" s="147"/>
      <c r="AD3709" s="147"/>
      <c r="AE3709" s="147"/>
      <c r="AF3709" s="147"/>
      <c r="AG3709" s="147"/>
      <c r="AH3709" s="147"/>
      <c r="AI3709" s="147"/>
      <c r="AJ3709" s="147"/>
      <c r="AK3709" s="147"/>
      <c r="AL3709" s="147"/>
      <c r="AM3709" s="147"/>
      <c r="AN3709" s="147"/>
      <c r="AO3709" s="147"/>
      <c r="AP3709" s="147"/>
      <c r="AQ3709" s="147"/>
      <c r="AR3709" s="147"/>
      <c r="AS3709" s="147"/>
      <c r="AT3709" s="147"/>
      <c r="AU3709" s="147"/>
      <c r="AV3709" s="147"/>
      <c r="AW3709" s="147"/>
      <c r="AX3709" s="147"/>
      <c r="AY3709" s="147"/>
      <c r="AZ3709" s="147"/>
      <c r="BA3709" s="147"/>
    </row>
    <row r="3710" spans="1:53" ht="15.75" customHeight="1">
      <c r="A3710" s="99"/>
      <c r="B3710" s="99"/>
      <c r="C3710" s="147"/>
      <c r="D3710" s="147"/>
      <c r="E3710" s="147"/>
      <c r="F3710" s="147"/>
      <c r="G3710" s="147"/>
      <c r="H3710" s="147"/>
      <c r="I3710" s="147"/>
      <c r="J3710" s="147"/>
      <c r="K3710" s="147"/>
      <c r="L3710" s="147"/>
      <c r="M3710" s="147"/>
      <c r="N3710" s="147"/>
      <c r="O3710" s="147"/>
      <c r="P3710" s="147"/>
      <c r="Q3710" s="147"/>
      <c r="R3710" s="147"/>
      <c r="S3710" s="147"/>
      <c r="T3710" s="147"/>
      <c r="U3710" s="147"/>
      <c r="V3710" s="147"/>
      <c r="W3710" s="147"/>
      <c r="X3710" s="147"/>
      <c r="Y3710" s="147"/>
      <c r="Z3710" s="147"/>
      <c r="AA3710" s="147"/>
      <c r="AB3710" s="147"/>
      <c r="AC3710" s="147"/>
      <c r="AD3710" s="147"/>
      <c r="AE3710" s="147"/>
      <c r="AF3710" s="147"/>
      <c r="AG3710" s="147"/>
      <c r="AH3710" s="147"/>
      <c r="AI3710" s="147"/>
      <c r="AJ3710" s="147"/>
      <c r="AK3710" s="147"/>
      <c r="AL3710" s="147"/>
      <c r="AM3710" s="147"/>
      <c r="AN3710" s="147"/>
      <c r="AO3710" s="147"/>
      <c r="AP3710" s="147"/>
      <c r="AQ3710" s="147"/>
      <c r="AR3710" s="147"/>
      <c r="AS3710" s="147"/>
      <c r="AT3710" s="147"/>
      <c r="AU3710" s="147"/>
      <c r="AV3710" s="147"/>
      <c r="AW3710" s="147"/>
      <c r="AX3710" s="147"/>
      <c r="AY3710" s="147"/>
      <c r="AZ3710" s="147"/>
      <c r="BA3710" s="147"/>
    </row>
    <row r="3711" spans="1:53" ht="15.75" customHeight="1">
      <c r="A3711" s="99"/>
      <c r="B3711" s="99"/>
      <c r="C3711" s="147"/>
      <c r="D3711" s="147"/>
      <c r="E3711" s="147"/>
      <c r="F3711" s="147"/>
      <c r="G3711" s="147"/>
      <c r="H3711" s="147"/>
      <c r="I3711" s="147"/>
      <c r="J3711" s="147"/>
      <c r="K3711" s="147"/>
      <c r="L3711" s="147"/>
      <c r="M3711" s="147"/>
      <c r="N3711" s="147"/>
      <c r="O3711" s="147"/>
      <c r="P3711" s="147"/>
      <c r="Q3711" s="147"/>
      <c r="R3711" s="147"/>
      <c r="S3711" s="147"/>
      <c r="T3711" s="147"/>
      <c r="U3711" s="147"/>
      <c r="V3711" s="147"/>
      <c r="W3711" s="147"/>
      <c r="X3711" s="147"/>
      <c r="Y3711" s="147"/>
      <c r="Z3711" s="147"/>
      <c r="AA3711" s="147"/>
      <c r="AB3711" s="147"/>
      <c r="AC3711" s="147"/>
      <c r="AD3711" s="147"/>
      <c r="AE3711" s="147"/>
      <c r="AF3711" s="147"/>
      <c r="AG3711" s="147"/>
      <c r="AH3711" s="147"/>
      <c r="AI3711" s="147"/>
      <c r="AJ3711" s="147"/>
      <c r="AK3711" s="147"/>
      <c r="AL3711" s="147"/>
      <c r="AM3711" s="147"/>
      <c r="AN3711" s="147"/>
      <c r="AO3711" s="147"/>
      <c r="AP3711" s="147"/>
      <c r="AQ3711" s="147"/>
      <c r="AR3711" s="147"/>
      <c r="AS3711" s="147"/>
      <c r="AT3711" s="147"/>
      <c r="AU3711" s="147"/>
      <c r="AV3711" s="147"/>
      <c r="AW3711" s="147"/>
      <c r="AX3711" s="147"/>
      <c r="AY3711" s="147"/>
      <c r="AZ3711" s="147"/>
      <c r="BA3711" s="147"/>
    </row>
    <row r="3712" spans="1:53" ht="15.75" customHeight="1">
      <c r="A3712" s="99"/>
      <c r="B3712" s="99"/>
      <c r="C3712" s="147"/>
      <c r="D3712" s="147"/>
      <c r="E3712" s="147"/>
      <c r="F3712" s="147"/>
      <c r="G3712" s="147"/>
      <c r="H3712" s="147"/>
      <c r="I3712" s="147"/>
      <c r="J3712" s="147"/>
      <c r="K3712" s="147"/>
      <c r="L3712" s="147"/>
      <c r="M3712" s="147"/>
      <c r="N3712" s="147"/>
      <c r="O3712" s="147"/>
      <c r="P3712" s="147"/>
      <c r="Q3712" s="147"/>
      <c r="R3712" s="147"/>
      <c r="S3712" s="147"/>
      <c r="T3712" s="147"/>
      <c r="U3712" s="147"/>
      <c r="V3712" s="147"/>
      <c r="W3712" s="147"/>
      <c r="X3712" s="147"/>
      <c r="Y3712" s="147"/>
      <c r="Z3712" s="147"/>
      <c r="AA3712" s="147"/>
      <c r="AB3712" s="147"/>
      <c r="AC3712" s="147"/>
      <c r="AD3712" s="147"/>
      <c r="AE3712" s="147"/>
      <c r="AF3712" s="147"/>
      <c r="AG3712" s="147"/>
      <c r="AH3712" s="147"/>
      <c r="AI3712" s="147"/>
      <c r="AJ3712" s="147"/>
      <c r="AK3712" s="147"/>
      <c r="AL3712" s="147"/>
      <c r="AM3712" s="147"/>
      <c r="AN3712" s="147"/>
      <c r="AO3712" s="147"/>
      <c r="AP3712" s="147"/>
      <c r="AQ3712" s="147"/>
      <c r="AR3712" s="147"/>
      <c r="AS3712" s="147"/>
      <c r="AT3712" s="147"/>
      <c r="AU3712" s="147"/>
      <c r="AV3712" s="147"/>
      <c r="AW3712" s="147"/>
      <c r="AX3712" s="147"/>
      <c r="AY3712" s="147"/>
      <c r="AZ3712" s="147"/>
      <c r="BA3712" s="147"/>
    </row>
    <row r="3713" spans="1:53" ht="15.75" customHeight="1">
      <c r="A3713" s="99"/>
      <c r="B3713" s="99"/>
      <c r="C3713" s="147"/>
      <c r="D3713" s="147"/>
      <c r="E3713" s="147"/>
      <c r="F3713" s="147"/>
      <c r="G3713" s="147"/>
      <c r="H3713" s="147"/>
      <c r="I3713" s="147"/>
      <c r="J3713" s="147"/>
      <c r="K3713" s="147"/>
      <c r="L3713" s="147"/>
      <c r="M3713" s="147"/>
      <c r="N3713" s="147"/>
      <c r="O3713" s="147"/>
      <c r="P3713" s="147"/>
      <c r="Q3713" s="147"/>
      <c r="R3713" s="147"/>
      <c r="S3713" s="147"/>
      <c r="T3713" s="147"/>
      <c r="U3713" s="147"/>
      <c r="V3713" s="147"/>
      <c r="W3713" s="147"/>
      <c r="X3713" s="147"/>
      <c r="Y3713" s="147"/>
      <c r="Z3713" s="147"/>
      <c r="AA3713" s="147"/>
      <c r="AB3713" s="147"/>
      <c r="AC3713" s="147"/>
      <c r="AD3713" s="147"/>
      <c r="AE3713" s="147"/>
      <c r="AF3713" s="147"/>
      <c r="AG3713" s="147"/>
      <c r="AH3713" s="147"/>
      <c r="AI3713" s="147"/>
      <c r="AJ3713" s="147"/>
      <c r="AK3713" s="147"/>
      <c r="AL3713" s="147"/>
      <c r="AM3713" s="147"/>
      <c r="AN3713" s="147"/>
      <c r="AO3713" s="147"/>
      <c r="AP3713" s="147"/>
      <c r="AQ3713" s="147"/>
      <c r="AR3713" s="147"/>
      <c r="AS3713" s="147"/>
      <c r="AT3713" s="147"/>
      <c r="AU3713" s="147"/>
      <c r="AV3713" s="147"/>
      <c r="AW3713" s="147"/>
      <c r="AX3713" s="147"/>
      <c r="AY3713" s="147"/>
      <c r="AZ3713" s="147"/>
      <c r="BA3713" s="147"/>
    </row>
    <row r="3714" spans="1:53" ht="15.75" customHeight="1">
      <c r="A3714" s="99"/>
      <c r="B3714" s="99"/>
      <c r="C3714" s="147"/>
      <c r="D3714" s="147"/>
      <c r="E3714" s="147"/>
      <c r="F3714" s="147"/>
      <c r="G3714" s="147"/>
      <c r="H3714" s="147"/>
      <c r="I3714" s="147"/>
      <c r="J3714" s="147"/>
      <c r="K3714" s="147"/>
      <c r="L3714" s="147"/>
      <c r="M3714" s="147"/>
      <c r="N3714" s="147"/>
      <c r="O3714" s="147"/>
      <c r="P3714" s="147"/>
      <c r="Q3714" s="147"/>
      <c r="R3714" s="147"/>
      <c r="S3714" s="147"/>
      <c r="T3714" s="147"/>
      <c r="U3714" s="147"/>
      <c r="V3714" s="147"/>
      <c r="W3714" s="147"/>
      <c r="X3714" s="147"/>
      <c r="Y3714" s="147"/>
      <c r="Z3714" s="147"/>
      <c r="AA3714" s="147"/>
      <c r="AB3714" s="147"/>
      <c r="AC3714" s="147"/>
      <c r="AD3714" s="147"/>
      <c r="AE3714" s="147"/>
      <c r="AF3714" s="147"/>
      <c r="AG3714" s="147"/>
      <c r="AH3714" s="147"/>
      <c r="AI3714" s="147"/>
      <c r="AJ3714" s="147"/>
      <c r="AK3714" s="147"/>
      <c r="AL3714" s="147"/>
      <c r="AM3714" s="147"/>
      <c r="AN3714" s="147"/>
      <c r="AO3714" s="147"/>
      <c r="AP3714" s="147"/>
      <c r="AQ3714" s="147"/>
      <c r="AR3714" s="147"/>
      <c r="AS3714" s="147"/>
      <c r="AT3714" s="147"/>
      <c r="AU3714" s="147"/>
      <c r="AV3714" s="147"/>
      <c r="AW3714" s="147"/>
      <c r="AX3714" s="147"/>
      <c r="AY3714" s="147"/>
      <c r="AZ3714" s="147"/>
      <c r="BA3714" s="147"/>
    </row>
    <row r="3715" spans="1:53" ht="15.75" customHeight="1">
      <c r="A3715" s="99"/>
      <c r="B3715" s="99"/>
      <c r="C3715" s="147"/>
      <c r="D3715" s="147"/>
      <c r="E3715" s="147"/>
      <c r="F3715" s="147"/>
      <c r="G3715" s="147"/>
      <c r="H3715" s="147"/>
      <c r="I3715" s="147"/>
      <c r="J3715" s="147"/>
      <c r="K3715" s="147"/>
      <c r="L3715" s="147"/>
      <c r="M3715" s="147"/>
      <c r="N3715" s="147"/>
      <c r="O3715" s="147"/>
      <c r="P3715" s="147"/>
      <c r="Q3715" s="147"/>
      <c r="R3715" s="147"/>
      <c r="S3715" s="147"/>
      <c r="T3715" s="147"/>
      <c r="U3715" s="147"/>
      <c r="V3715" s="147"/>
      <c r="W3715" s="147"/>
      <c r="X3715" s="147"/>
      <c r="Y3715" s="147"/>
      <c r="Z3715" s="147"/>
      <c r="AA3715" s="147"/>
      <c r="AB3715" s="147"/>
      <c r="AC3715" s="147"/>
      <c r="AD3715" s="147"/>
      <c r="AE3715" s="147"/>
      <c r="AF3715" s="147"/>
      <c r="AG3715" s="147"/>
      <c r="AH3715" s="147"/>
      <c r="AI3715" s="147"/>
      <c r="AJ3715" s="147"/>
      <c r="AK3715" s="147"/>
      <c r="AL3715" s="147"/>
      <c r="AM3715" s="147"/>
      <c r="AN3715" s="147"/>
      <c r="AO3715" s="147"/>
      <c r="AP3715" s="147"/>
      <c r="AQ3715" s="147"/>
      <c r="AR3715" s="147"/>
      <c r="AS3715" s="147"/>
      <c r="AT3715" s="147"/>
      <c r="AU3715" s="147"/>
      <c r="AV3715" s="147"/>
      <c r="AW3715" s="147"/>
      <c r="AX3715" s="147"/>
      <c r="AY3715" s="147"/>
      <c r="AZ3715" s="147"/>
      <c r="BA3715" s="147"/>
    </row>
    <row r="3716" spans="1:53" ht="15.75" customHeight="1">
      <c r="A3716" s="99"/>
      <c r="B3716" s="99"/>
      <c r="C3716" s="147"/>
      <c r="D3716" s="147"/>
      <c r="E3716" s="147"/>
      <c r="F3716" s="147"/>
      <c r="G3716" s="147"/>
      <c r="H3716" s="147"/>
      <c r="I3716" s="147"/>
      <c r="J3716" s="147"/>
      <c r="K3716" s="147"/>
      <c r="L3716" s="147"/>
      <c r="M3716" s="147"/>
      <c r="N3716" s="147"/>
      <c r="O3716" s="147"/>
      <c r="P3716" s="147"/>
      <c r="Q3716" s="147"/>
      <c r="R3716" s="147"/>
      <c r="S3716" s="147"/>
      <c r="T3716" s="147"/>
      <c r="U3716" s="147"/>
      <c r="V3716" s="147"/>
      <c r="W3716" s="147"/>
      <c r="X3716" s="147"/>
      <c r="Y3716" s="147"/>
      <c r="Z3716" s="147"/>
      <c r="AA3716" s="147"/>
      <c r="AB3716" s="147"/>
      <c r="AC3716" s="147"/>
      <c r="AD3716" s="147"/>
      <c r="AE3716" s="147"/>
      <c r="AF3716" s="147"/>
      <c r="AG3716" s="147"/>
      <c r="AH3716" s="147"/>
      <c r="AI3716" s="147"/>
      <c r="AJ3716" s="147"/>
      <c r="AK3716" s="147"/>
      <c r="AL3716" s="147"/>
      <c r="AM3716" s="147"/>
      <c r="AN3716" s="147"/>
      <c r="AO3716" s="147"/>
      <c r="AP3716" s="147"/>
      <c r="AQ3716" s="147"/>
      <c r="AR3716" s="147"/>
      <c r="AS3716" s="147"/>
      <c r="AT3716" s="147"/>
      <c r="AU3716" s="147"/>
      <c r="AV3716" s="147"/>
      <c r="AW3716" s="147"/>
      <c r="AX3716" s="147"/>
      <c r="AY3716" s="147"/>
      <c r="AZ3716" s="147"/>
      <c r="BA3716" s="147"/>
    </row>
    <row r="3717" spans="1:53" ht="15.75" customHeight="1">
      <c r="A3717" s="99"/>
      <c r="B3717" s="99"/>
      <c r="C3717" s="147"/>
      <c r="D3717" s="147"/>
      <c r="E3717" s="147"/>
      <c r="F3717" s="147"/>
      <c r="G3717" s="147"/>
      <c r="H3717" s="147"/>
      <c r="I3717" s="147"/>
      <c r="J3717" s="147"/>
      <c r="K3717" s="147"/>
      <c r="L3717" s="147"/>
      <c r="M3717" s="147"/>
      <c r="N3717" s="147"/>
      <c r="O3717" s="147"/>
      <c r="P3717" s="147"/>
      <c r="Q3717" s="147"/>
      <c r="R3717" s="147"/>
      <c r="S3717" s="147"/>
      <c r="T3717" s="147"/>
      <c r="U3717" s="147"/>
      <c r="V3717" s="147"/>
      <c r="W3717" s="147"/>
      <c r="X3717" s="147"/>
      <c r="Y3717" s="147"/>
      <c r="Z3717" s="147"/>
      <c r="AA3717" s="147"/>
      <c r="AB3717" s="147"/>
      <c r="AC3717" s="147"/>
      <c r="AD3717" s="147"/>
      <c r="AE3717" s="147"/>
      <c r="AF3717" s="147"/>
      <c r="AG3717" s="147"/>
      <c r="AH3717" s="147"/>
      <c r="AI3717" s="147"/>
      <c r="AJ3717" s="147"/>
      <c r="AK3717" s="147"/>
      <c r="AL3717" s="147"/>
      <c r="AM3717" s="147"/>
      <c r="AN3717" s="147"/>
      <c r="AO3717" s="147"/>
      <c r="AP3717" s="147"/>
      <c r="AQ3717" s="147"/>
      <c r="AR3717" s="147"/>
      <c r="AS3717" s="147"/>
      <c r="AT3717" s="147"/>
      <c r="AU3717" s="147"/>
      <c r="AV3717" s="147"/>
      <c r="AW3717" s="147"/>
      <c r="AX3717" s="147"/>
      <c r="AY3717" s="147"/>
      <c r="AZ3717" s="147"/>
      <c r="BA3717" s="147"/>
    </row>
    <row r="3718" spans="1:53" ht="15.75" customHeight="1">
      <c r="A3718" s="99"/>
      <c r="B3718" s="99"/>
      <c r="C3718" s="147"/>
      <c r="D3718" s="147"/>
      <c r="E3718" s="147"/>
      <c r="F3718" s="147"/>
      <c r="G3718" s="147"/>
      <c r="H3718" s="147"/>
      <c r="I3718" s="147"/>
      <c r="J3718" s="147"/>
      <c r="K3718" s="147"/>
      <c r="L3718" s="147"/>
      <c r="M3718" s="147"/>
      <c r="N3718" s="147"/>
      <c r="O3718" s="147"/>
      <c r="P3718" s="147"/>
      <c r="Q3718" s="147"/>
      <c r="R3718" s="147"/>
      <c r="S3718" s="147"/>
      <c r="T3718" s="147"/>
      <c r="U3718" s="147"/>
      <c r="V3718" s="147"/>
      <c r="W3718" s="147"/>
      <c r="X3718" s="147"/>
      <c r="Y3718" s="147"/>
      <c r="Z3718" s="147"/>
      <c r="AA3718" s="147"/>
      <c r="AB3718" s="147"/>
      <c r="AC3718" s="147"/>
      <c r="AD3718" s="147"/>
      <c r="AE3718" s="147"/>
      <c r="AF3718" s="147"/>
      <c r="AG3718" s="147"/>
      <c r="AH3718" s="147"/>
      <c r="AI3718" s="147"/>
      <c r="AJ3718" s="147"/>
      <c r="AK3718" s="147"/>
      <c r="AL3718" s="147"/>
      <c r="AM3718" s="147"/>
      <c r="AN3718" s="147"/>
      <c r="AO3718" s="147"/>
      <c r="AP3718" s="147"/>
      <c r="AQ3718" s="147"/>
      <c r="AR3718" s="147"/>
      <c r="AS3718" s="147"/>
      <c r="AT3718" s="147"/>
      <c r="AU3718" s="147"/>
      <c r="AV3718" s="147"/>
      <c r="AW3718" s="147"/>
      <c r="AX3718" s="147"/>
      <c r="AY3718" s="147"/>
      <c r="AZ3718" s="147"/>
      <c r="BA3718" s="147"/>
    </row>
    <row r="3719" spans="1:53" ht="15.75" customHeight="1">
      <c r="A3719" s="99"/>
      <c r="B3719" s="99"/>
      <c r="C3719" s="147"/>
      <c r="D3719" s="147"/>
      <c r="E3719" s="147"/>
      <c r="F3719" s="147"/>
      <c r="G3719" s="147"/>
      <c r="H3719" s="147"/>
      <c r="I3719" s="147"/>
      <c r="J3719" s="147"/>
      <c r="K3719" s="147"/>
      <c r="L3719" s="147"/>
      <c r="M3719" s="147"/>
      <c r="N3719" s="147"/>
      <c r="O3719" s="147"/>
      <c r="P3719" s="147"/>
      <c r="Q3719" s="147"/>
      <c r="R3719" s="147"/>
      <c r="S3719" s="147"/>
      <c r="T3719" s="147"/>
      <c r="U3719" s="147"/>
      <c r="V3719" s="147"/>
      <c r="W3719" s="147"/>
      <c r="X3719" s="147"/>
      <c r="Y3719" s="147"/>
      <c r="Z3719" s="147"/>
      <c r="AA3719" s="147"/>
      <c r="AB3719" s="147"/>
      <c r="AC3719" s="147"/>
      <c r="AD3719" s="147"/>
      <c r="AE3719" s="147"/>
      <c r="AF3719" s="147"/>
      <c r="AG3719" s="147"/>
      <c r="AH3719" s="147"/>
      <c r="AI3719" s="147"/>
      <c r="AJ3719" s="147"/>
      <c r="AK3719" s="147"/>
      <c r="AL3719" s="147"/>
      <c r="AM3719" s="147"/>
      <c r="AN3719" s="147"/>
      <c r="AO3719" s="147"/>
      <c r="AP3719" s="147"/>
      <c r="AQ3719" s="147"/>
      <c r="AR3719" s="147"/>
      <c r="AS3719" s="147"/>
      <c r="AT3719" s="147"/>
      <c r="AU3719" s="147"/>
      <c r="AV3719" s="147"/>
      <c r="AW3719" s="147"/>
      <c r="AX3719" s="147"/>
      <c r="AY3719" s="147"/>
      <c r="AZ3719" s="147"/>
      <c r="BA3719" s="147"/>
    </row>
    <row r="3720" spans="1:53" ht="15.75" customHeight="1">
      <c r="A3720" s="99"/>
      <c r="B3720" s="99"/>
      <c r="C3720" s="147"/>
      <c r="D3720" s="147"/>
      <c r="E3720" s="147"/>
      <c r="F3720" s="147"/>
      <c r="G3720" s="147"/>
      <c r="H3720" s="147"/>
      <c r="I3720" s="147"/>
      <c r="J3720" s="147"/>
      <c r="K3720" s="147"/>
      <c r="L3720" s="147"/>
      <c r="M3720" s="147"/>
      <c r="N3720" s="147"/>
      <c r="O3720" s="147"/>
      <c r="P3720" s="147"/>
      <c r="Q3720" s="147"/>
      <c r="R3720" s="147"/>
      <c r="S3720" s="147"/>
      <c r="T3720" s="147"/>
      <c r="U3720" s="147"/>
      <c r="V3720" s="147"/>
      <c r="W3720" s="147"/>
      <c r="X3720" s="147"/>
      <c r="Y3720" s="147"/>
      <c r="Z3720" s="147"/>
      <c r="AA3720" s="147"/>
      <c r="AB3720" s="147"/>
      <c r="AC3720" s="147"/>
      <c r="AD3720" s="147"/>
      <c r="AE3720" s="147"/>
      <c r="AF3720" s="147"/>
      <c r="AG3720" s="147"/>
      <c r="AH3720" s="147"/>
      <c r="AI3720" s="147"/>
      <c r="AJ3720" s="147"/>
      <c r="AK3720" s="147"/>
      <c r="AL3720" s="147"/>
      <c r="AM3720" s="147"/>
      <c r="AN3720" s="147"/>
      <c r="AO3720" s="147"/>
      <c r="AP3720" s="147"/>
      <c r="AQ3720" s="147"/>
      <c r="AR3720" s="147"/>
      <c r="AS3720" s="147"/>
      <c r="AT3720" s="147"/>
      <c r="AU3720" s="147"/>
      <c r="AV3720" s="147"/>
      <c r="AW3720" s="147"/>
      <c r="AX3720" s="147"/>
      <c r="AY3720" s="147"/>
      <c r="AZ3720" s="147"/>
      <c r="BA3720" s="147"/>
    </row>
    <row r="3721" spans="1:53" ht="15.75" customHeight="1">
      <c r="A3721" s="99"/>
      <c r="B3721" s="99"/>
      <c r="C3721" s="147"/>
      <c r="D3721" s="147"/>
      <c r="E3721" s="147"/>
      <c r="F3721" s="147"/>
      <c r="G3721" s="147"/>
      <c r="H3721" s="147"/>
      <c r="I3721" s="147"/>
      <c r="J3721" s="147"/>
      <c r="K3721" s="147"/>
      <c r="L3721" s="147"/>
      <c r="M3721" s="147"/>
      <c r="N3721" s="147"/>
      <c r="O3721" s="147"/>
      <c r="P3721" s="147"/>
      <c r="Q3721" s="147"/>
      <c r="R3721" s="147"/>
      <c r="S3721" s="147"/>
      <c r="T3721" s="147"/>
      <c r="U3721" s="147"/>
      <c r="V3721" s="147"/>
      <c r="W3721" s="147"/>
      <c r="X3721" s="147"/>
      <c r="Y3721" s="147"/>
      <c r="Z3721" s="147"/>
      <c r="AA3721" s="147"/>
      <c r="AB3721" s="147"/>
      <c r="AC3721" s="147"/>
      <c r="AD3721" s="147"/>
      <c r="AE3721" s="147"/>
      <c r="AF3721" s="147"/>
      <c r="AG3721" s="147"/>
      <c r="AH3721" s="147"/>
      <c r="AI3721" s="147"/>
      <c r="AJ3721" s="147"/>
      <c r="AK3721" s="147"/>
      <c r="AL3721" s="147"/>
      <c r="AM3721" s="147"/>
      <c r="AN3721" s="147"/>
      <c r="AO3721" s="147"/>
      <c r="AP3721" s="147"/>
      <c r="AQ3721" s="147"/>
      <c r="AR3721" s="147"/>
      <c r="AS3721" s="147"/>
      <c r="AT3721" s="147"/>
      <c r="AU3721" s="147"/>
      <c r="AV3721" s="147"/>
      <c r="AW3721" s="147"/>
      <c r="AX3721" s="147"/>
      <c r="AY3721" s="147"/>
      <c r="AZ3721" s="147"/>
      <c r="BA3721" s="147"/>
    </row>
    <row r="3722" spans="1:53" ht="15.75" customHeight="1">
      <c r="A3722" s="99"/>
      <c r="B3722" s="99"/>
      <c r="C3722" s="147"/>
      <c r="D3722" s="147"/>
      <c r="E3722" s="147"/>
      <c r="F3722" s="147"/>
      <c r="G3722" s="147"/>
      <c r="H3722" s="147"/>
      <c r="I3722" s="147"/>
      <c r="J3722" s="147"/>
      <c r="K3722" s="147"/>
      <c r="L3722" s="147"/>
      <c r="M3722" s="147"/>
      <c r="N3722" s="147"/>
      <c r="O3722" s="147"/>
      <c r="P3722" s="147"/>
      <c r="Q3722" s="147"/>
      <c r="R3722" s="147"/>
      <c r="S3722" s="147"/>
      <c r="T3722" s="147"/>
      <c r="U3722" s="147"/>
      <c r="V3722" s="147"/>
      <c r="W3722" s="147"/>
      <c r="X3722" s="147"/>
      <c r="Y3722" s="147"/>
      <c r="Z3722" s="147"/>
      <c r="AA3722" s="147"/>
      <c r="AB3722" s="147"/>
      <c r="AC3722" s="147"/>
      <c r="AD3722" s="147"/>
      <c r="AE3722" s="147"/>
      <c r="AF3722" s="147"/>
      <c r="AG3722" s="147"/>
      <c r="AH3722" s="147"/>
      <c r="AI3722" s="147"/>
      <c r="AJ3722" s="147"/>
      <c r="AK3722" s="147"/>
      <c r="AL3722" s="147"/>
      <c r="AM3722" s="147"/>
      <c r="AN3722" s="147"/>
      <c r="AO3722" s="147"/>
      <c r="AP3722" s="147"/>
      <c r="AQ3722" s="147"/>
      <c r="AR3722" s="147"/>
      <c r="AS3722" s="147"/>
      <c r="AT3722" s="147"/>
      <c r="AU3722" s="147"/>
      <c r="AV3722" s="147"/>
      <c r="AW3722" s="147"/>
      <c r="AX3722" s="147"/>
      <c r="AY3722" s="147"/>
      <c r="AZ3722" s="147"/>
      <c r="BA3722" s="147"/>
    </row>
    <row r="3723" spans="1:53" ht="15.75" customHeight="1">
      <c r="A3723" s="99"/>
      <c r="B3723" s="99"/>
      <c r="C3723" s="147"/>
      <c r="D3723" s="147"/>
      <c r="E3723" s="147"/>
      <c r="F3723" s="147"/>
      <c r="G3723" s="147"/>
      <c r="H3723" s="147"/>
      <c r="I3723" s="147"/>
      <c r="J3723" s="147"/>
      <c r="K3723" s="147"/>
      <c r="L3723" s="147"/>
      <c r="M3723" s="147"/>
      <c r="N3723" s="147"/>
      <c r="O3723" s="147"/>
      <c r="P3723" s="147"/>
      <c r="Q3723" s="147"/>
      <c r="R3723" s="147"/>
      <c r="S3723" s="147"/>
      <c r="T3723" s="147"/>
      <c r="U3723" s="147"/>
      <c r="V3723" s="147"/>
      <c r="W3723" s="147"/>
      <c r="X3723" s="147"/>
      <c r="Y3723" s="147"/>
      <c r="Z3723" s="147"/>
      <c r="AA3723" s="147"/>
      <c r="AB3723" s="147"/>
      <c r="AC3723" s="147"/>
      <c r="AD3723" s="147"/>
      <c r="AE3723" s="147"/>
      <c r="AF3723" s="147"/>
      <c r="AG3723" s="147"/>
      <c r="AH3723" s="147"/>
      <c r="AI3723" s="147"/>
      <c r="AJ3723" s="147"/>
      <c r="AK3723" s="147"/>
      <c r="AL3723" s="147"/>
      <c r="AM3723" s="147"/>
      <c r="AN3723" s="147"/>
      <c r="AO3723" s="147"/>
      <c r="AP3723" s="147"/>
      <c r="AQ3723" s="147"/>
      <c r="AR3723" s="147"/>
      <c r="AS3723" s="147"/>
      <c r="AT3723" s="147"/>
      <c r="AU3723" s="147"/>
      <c r="AV3723" s="147"/>
      <c r="AW3723" s="147"/>
      <c r="AX3723" s="147"/>
      <c r="AY3723" s="147"/>
      <c r="AZ3723" s="147"/>
      <c r="BA3723" s="147"/>
    </row>
    <row r="3724" spans="1:53" ht="15.75" customHeight="1">
      <c r="A3724" s="99"/>
      <c r="B3724" s="99"/>
      <c r="C3724" s="147"/>
      <c r="D3724" s="147"/>
      <c r="E3724" s="147"/>
      <c r="F3724" s="147"/>
      <c r="G3724" s="147"/>
      <c r="H3724" s="147"/>
      <c r="I3724" s="147"/>
      <c r="J3724" s="147"/>
      <c r="K3724" s="147"/>
      <c r="L3724" s="147"/>
      <c r="M3724" s="147"/>
      <c r="N3724" s="147"/>
      <c r="O3724" s="147"/>
      <c r="P3724" s="147"/>
      <c r="Q3724" s="147"/>
      <c r="R3724" s="147"/>
      <c r="S3724" s="147"/>
      <c r="T3724" s="147"/>
      <c r="U3724" s="147"/>
      <c r="V3724" s="147"/>
      <c r="W3724" s="147"/>
      <c r="X3724" s="147"/>
      <c r="Y3724" s="147"/>
      <c r="Z3724" s="147"/>
      <c r="AA3724" s="147"/>
      <c r="AB3724" s="147"/>
      <c r="AC3724" s="147"/>
      <c r="AD3724" s="147"/>
      <c r="AE3724" s="147"/>
      <c r="AF3724" s="147"/>
      <c r="AG3724" s="147"/>
      <c r="AH3724" s="147"/>
      <c r="AI3724" s="147"/>
      <c r="AJ3724" s="147"/>
      <c r="AK3724" s="147"/>
      <c r="AL3724" s="147"/>
      <c r="AM3724" s="147"/>
      <c r="AN3724" s="147"/>
      <c r="AO3724" s="147"/>
      <c r="AP3724" s="147"/>
      <c r="AQ3724" s="147"/>
      <c r="AR3724" s="147"/>
      <c r="AS3724" s="147"/>
      <c r="AT3724" s="147"/>
      <c r="AU3724" s="147"/>
      <c r="AV3724" s="147"/>
      <c r="AW3724" s="147"/>
      <c r="AX3724" s="147"/>
      <c r="AY3724" s="147"/>
      <c r="AZ3724" s="147"/>
      <c r="BA3724" s="147"/>
    </row>
    <row r="3725" spans="1:53" ht="15.75" customHeight="1">
      <c r="A3725" s="99"/>
      <c r="B3725" s="99"/>
      <c r="C3725" s="147"/>
      <c r="D3725" s="147"/>
      <c r="E3725" s="147"/>
      <c r="F3725" s="147"/>
      <c r="G3725" s="147"/>
      <c r="H3725" s="147"/>
      <c r="I3725" s="147"/>
      <c r="J3725" s="147"/>
      <c r="K3725" s="147"/>
      <c r="L3725" s="147"/>
      <c r="M3725" s="147"/>
      <c r="N3725" s="147"/>
      <c r="O3725" s="147"/>
      <c r="P3725" s="147"/>
      <c r="Q3725" s="147"/>
      <c r="R3725" s="147"/>
      <c r="S3725" s="147"/>
      <c r="T3725" s="147"/>
      <c r="U3725" s="147"/>
      <c r="V3725" s="147"/>
      <c r="W3725" s="147"/>
      <c r="X3725" s="147"/>
      <c r="Y3725" s="147"/>
      <c r="Z3725" s="147"/>
      <c r="AA3725" s="147"/>
      <c r="AB3725" s="147"/>
      <c r="AC3725" s="147"/>
      <c r="AD3725" s="147"/>
      <c r="AE3725" s="147"/>
      <c r="AF3725" s="147"/>
      <c r="AG3725" s="147"/>
      <c r="AH3725" s="147"/>
      <c r="AI3725" s="147"/>
      <c r="AJ3725" s="147"/>
      <c r="AK3725" s="147"/>
      <c r="AL3725" s="147"/>
      <c r="AM3725" s="147"/>
      <c r="AN3725" s="147"/>
      <c r="AO3725" s="147"/>
      <c r="AP3725" s="147"/>
      <c r="AQ3725" s="147"/>
      <c r="AR3725" s="147"/>
      <c r="AS3725" s="147"/>
      <c r="AT3725" s="147"/>
      <c r="AU3725" s="147"/>
      <c r="AV3725" s="147"/>
      <c r="AW3725" s="147"/>
      <c r="AX3725" s="147"/>
      <c r="AY3725" s="147"/>
      <c r="AZ3725" s="147"/>
      <c r="BA3725" s="147"/>
    </row>
    <row r="3726" spans="1:53" ht="15.75" customHeight="1">
      <c r="A3726" s="99"/>
      <c r="B3726" s="99"/>
      <c r="C3726" s="147"/>
      <c r="D3726" s="147"/>
      <c r="E3726" s="147"/>
      <c r="F3726" s="147"/>
      <c r="G3726" s="147"/>
      <c r="H3726" s="147"/>
      <c r="I3726" s="147"/>
      <c r="J3726" s="147"/>
      <c r="K3726" s="147"/>
      <c r="L3726" s="147"/>
      <c r="M3726" s="147"/>
      <c r="N3726" s="147"/>
      <c r="O3726" s="147"/>
      <c r="P3726" s="147"/>
      <c r="Q3726" s="147"/>
      <c r="R3726" s="147"/>
      <c r="S3726" s="147"/>
      <c r="T3726" s="147"/>
      <c r="U3726" s="147"/>
      <c r="V3726" s="147"/>
      <c r="W3726" s="147"/>
      <c r="X3726" s="147"/>
      <c r="Y3726" s="147"/>
      <c r="Z3726" s="147"/>
      <c r="AA3726" s="147"/>
      <c r="AB3726" s="147"/>
      <c r="AC3726" s="147"/>
      <c r="AD3726" s="147"/>
      <c r="AE3726" s="147"/>
      <c r="AF3726" s="147"/>
      <c r="AG3726" s="147"/>
      <c r="AH3726" s="147"/>
      <c r="AI3726" s="147"/>
      <c r="AJ3726" s="147"/>
      <c r="AK3726" s="147"/>
      <c r="AL3726" s="147"/>
      <c r="AM3726" s="147"/>
      <c r="AN3726" s="147"/>
      <c r="AO3726" s="147"/>
      <c r="AP3726" s="147"/>
      <c r="AQ3726" s="147"/>
      <c r="AR3726" s="147"/>
      <c r="AS3726" s="147"/>
      <c r="AT3726" s="147"/>
      <c r="AU3726" s="147"/>
      <c r="AV3726" s="147"/>
      <c r="AW3726" s="147"/>
      <c r="AX3726" s="147"/>
      <c r="AY3726" s="147"/>
      <c r="AZ3726" s="147"/>
      <c r="BA3726" s="147"/>
    </row>
    <row r="3727" spans="1:53" ht="15.75" customHeight="1">
      <c r="A3727" s="99"/>
      <c r="B3727" s="99"/>
      <c r="C3727" s="147"/>
      <c r="D3727" s="147"/>
      <c r="E3727" s="147"/>
      <c r="F3727" s="147"/>
      <c r="G3727" s="147"/>
      <c r="H3727" s="147"/>
      <c r="I3727" s="147"/>
      <c r="J3727" s="147"/>
      <c r="K3727" s="147"/>
      <c r="L3727" s="147"/>
      <c r="M3727" s="147"/>
      <c r="N3727" s="147"/>
      <c r="O3727" s="147"/>
      <c r="P3727" s="147"/>
      <c r="Q3727" s="147"/>
      <c r="R3727" s="147"/>
      <c r="S3727" s="147"/>
      <c r="T3727" s="147"/>
      <c r="U3727" s="147"/>
      <c r="V3727" s="147"/>
      <c r="W3727" s="147"/>
      <c r="X3727" s="147"/>
      <c r="Y3727" s="147"/>
      <c r="Z3727" s="147"/>
      <c r="AA3727" s="147"/>
      <c r="AB3727" s="147"/>
      <c r="AC3727" s="147"/>
      <c r="AD3727" s="147"/>
      <c r="AE3727" s="147"/>
      <c r="AF3727" s="147"/>
      <c r="AG3727" s="147"/>
      <c r="AH3727" s="147"/>
      <c r="AI3727" s="147"/>
      <c r="AJ3727" s="147"/>
      <c r="AK3727" s="147"/>
      <c r="AL3727" s="147"/>
      <c r="AM3727" s="147"/>
      <c r="AN3727" s="147"/>
      <c r="AO3727" s="147"/>
      <c r="AP3727" s="147"/>
      <c r="AQ3727" s="147"/>
      <c r="AR3727" s="147"/>
      <c r="AS3727" s="147"/>
      <c r="AT3727" s="147"/>
      <c r="AU3727" s="147"/>
      <c r="AV3727" s="147"/>
      <c r="AW3727" s="147"/>
      <c r="AX3727" s="147"/>
      <c r="AY3727" s="147"/>
      <c r="AZ3727" s="147"/>
      <c r="BA3727" s="147"/>
    </row>
    <row r="3728" spans="1:53" ht="15.75" customHeight="1">
      <c r="A3728" s="99"/>
      <c r="B3728" s="99"/>
      <c r="C3728" s="147"/>
      <c r="D3728" s="147"/>
      <c r="E3728" s="147"/>
      <c r="F3728" s="147"/>
      <c r="G3728" s="147"/>
      <c r="H3728" s="147"/>
      <c r="I3728" s="147"/>
      <c r="J3728" s="147"/>
      <c r="K3728" s="147"/>
      <c r="L3728" s="147"/>
      <c r="M3728" s="147"/>
      <c r="N3728" s="147"/>
      <c r="O3728" s="147"/>
      <c r="P3728" s="147"/>
      <c r="Q3728" s="147"/>
      <c r="R3728" s="147"/>
      <c r="S3728" s="147"/>
      <c r="T3728" s="147"/>
      <c r="U3728" s="147"/>
      <c r="V3728" s="147"/>
      <c r="W3728" s="147"/>
      <c r="X3728" s="147"/>
      <c r="Y3728" s="147"/>
      <c r="Z3728" s="147"/>
      <c r="AA3728" s="147"/>
      <c r="AB3728" s="147"/>
      <c r="AC3728" s="147"/>
      <c r="AD3728" s="147"/>
      <c r="AE3728" s="147"/>
      <c r="AF3728" s="147"/>
      <c r="AG3728" s="147"/>
      <c r="AH3728" s="147"/>
      <c r="AI3728" s="147"/>
      <c r="AJ3728" s="147"/>
      <c r="AK3728" s="147"/>
      <c r="AL3728" s="147"/>
      <c r="AM3728" s="147"/>
      <c r="AN3728" s="147"/>
      <c r="AO3728" s="147"/>
      <c r="AP3728" s="147"/>
      <c r="AQ3728" s="147"/>
      <c r="AR3728" s="147"/>
      <c r="AS3728" s="147"/>
      <c r="AT3728" s="147"/>
      <c r="AU3728" s="147"/>
      <c r="AV3728" s="147"/>
      <c r="AW3728" s="147"/>
      <c r="AX3728" s="147"/>
      <c r="AY3728" s="147"/>
      <c r="AZ3728" s="147"/>
      <c r="BA3728" s="147"/>
    </row>
    <row r="3729" spans="1:53" ht="15.75" customHeight="1">
      <c r="A3729" s="99"/>
      <c r="B3729" s="99"/>
      <c r="C3729" s="147"/>
      <c r="D3729" s="147"/>
      <c r="E3729" s="147"/>
      <c r="F3729" s="147"/>
      <c r="G3729" s="147"/>
      <c r="H3729" s="147"/>
      <c r="I3729" s="147"/>
      <c r="J3729" s="147"/>
      <c r="K3729" s="147"/>
      <c r="L3729" s="147"/>
      <c r="M3729" s="147"/>
      <c r="N3729" s="147"/>
      <c r="O3729" s="147"/>
      <c r="P3729" s="147"/>
      <c r="Q3729" s="147"/>
      <c r="R3729" s="147"/>
      <c r="S3729" s="147"/>
      <c r="T3729" s="147"/>
      <c r="U3729" s="147"/>
      <c r="V3729" s="147"/>
      <c r="W3729" s="147"/>
      <c r="X3729" s="147"/>
      <c r="Y3729" s="147"/>
      <c r="Z3729" s="147"/>
      <c r="AA3729" s="147"/>
      <c r="AB3729" s="147"/>
      <c r="AC3729" s="147"/>
      <c r="AD3729" s="147"/>
      <c r="AE3729" s="147"/>
      <c r="AF3729" s="147"/>
      <c r="AG3729" s="147"/>
      <c r="AH3729" s="147"/>
      <c r="AI3729" s="147"/>
      <c r="AJ3729" s="147"/>
      <c r="AK3729" s="147"/>
      <c r="AL3729" s="147"/>
      <c r="AM3729" s="147"/>
      <c r="AN3729" s="147"/>
      <c r="AO3729" s="147"/>
      <c r="AP3729" s="147"/>
      <c r="AQ3729" s="147"/>
      <c r="AR3729" s="147"/>
      <c r="AS3729" s="147"/>
      <c r="AT3729" s="147"/>
      <c r="AU3729" s="147"/>
      <c r="AV3729" s="147"/>
      <c r="AW3729" s="147"/>
      <c r="AX3729" s="147"/>
      <c r="AY3729" s="147"/>
      <c r="AZ3729" s="147"/>
      <c r="BA3729" s="147"/>
    </row>
    <row r="3730" spans="1:53" ht="15.75" customHeight="1">
      <c r="A3730" s="99"/>
      <c r="B3730" s="99"/>
      <c r="C3730" s="147"/>
      <c r="D3730" s="147"/>
      <c r="E3730" s="147"/>
      <c r="F3730" s="147"/>
      <c r="G3730" s="147"/>
      <c r="H3730" s="147"/>
      <c r="I3730" s="147"/>
      <c r="J3730" s="147"/>
      <c r="K3730" s="147"/>
      <c r="L3730" s="147"/>
      <c r="M3730" s="147"/>
      <c r="N3730" s="147"/>
      <c r="O3730" s="147"/>
      <c r="P3730" s="147"/>
      <c r="Q3730" s="147"/>
      <c r="R3730" s="147"/>
      <c r="S3730" s="147"/>
      <c r="T3730" s="147"/>
      <c r="U3730" s="147"/>
      <c r="V3730" s="147"/>
      <c r="W3730" s="147"/>
      <c r="X3730" s="147"/>
      <c r="Y3730" s="147"/>
      <c r="Z3730" s="147"/>
      <c r="AA3730" s="147"/>
      <c r="AB3730" s="147"/>
      <c r="AC3730" s="147"/>
      <c r="AD3730" s="147"/>
      <c r="AE3730" s="147"/>
      <c r="AF3730" s="147"/>
      <c r="AG3730" s="147"/>
      <c r="AH3730" s="147"/>
      <c r="AI3730" s="147"/>
      <c r="AJ3730" s="147"/>
      <c r="AK3730" s="147"/>
      <c r="AL3730" s="147"/>
      <c r="AM3730" s="147"/>
      <c r="AN3730" s="147"/>
      <c r="AO3730" s="147"/>
      <c r="AP3730" s="147"/>
      <c r="AQ3730" s="147"/>
      <c r="AR3730" s="147"/>
      <c r="AS3730" s="147"/>
      <c r="AT3730" s="147"/>
      <c r="AU3730" s="147"/>
      <c r="AV3730" s="147"/>
      <c r="AW3730" s="147"/>
      <c r="AX3730" s="147"/>
      <c r="AY3730" s="147"/>
      <c r="AZ3730" s="147"/>
      <c r="BA3730" s="147"/>
    </row>
    <row r="3731" spans="1:53" ht="15.75" customHeight="1">
      <c r="A3731" s="99"/>
      <c r="B3731" s="99"/>
      <c r="C3731" s="147"/>
      <c r="D3731" s="147"/>
      <c r="E3731" s="147"/>
      <c r="F3731" s="147"/>
      <c r="G3731" s="147"/>
      <c r="H3731" s="147"/>
      <c r="I3731" s="147"/>
      <c r="J3731" s="147"/>
      <c r="K3731" s="147"/>
      <c r="L3731" s="147"/>
      <c r="M3731" s="147"/>
      <c r="N3731" s="147"/>
      <c r="O3731" s="147"/>
      <c r="P3731" s="147"/>
      <c r="Q3731" s="147"/>
      <c r="R3731" s="147"/>
      <c r="S3731" s="147"/>
      <c r="T3731" s="147"/>
      <c r="U3731" s="147"/>
      <c r="V3731" s="147"/>
      <c r="W3731" s="147"/>
      <c r="X3731" s="147"/>
      <c r="Y3731" s="147"/>
      <c r="Z3731" s="147"/>
      <c r="AA3731" s="147"/>
      <c r="AB3731" s="147"/>
      <c r="AC3731" s="147"/>
      <c r="AD3731" s="147"/>
      <c r="AE3731" s="147"/>
      <c r="AF3731" s="147"/>
      <c r="AG3731" s="147"/>
      <c r="AH3731" s="147"/>
      <c r="AI3731" s="147"/>
      <c r="AJ3731" s="147"/>
      <c r="AK3731" s="147"/>
      <c r="AL3731" s="147"/>
      <c r="AM3731" s="147"/>
      <c r="AN3731" s="147"/>
      <c r="AO3731" s="147"/>
      <c r="AP3731" s="147"/>
      <c r="AQ3731" s="147"/>
      <c r="AR3731" s="147"/>
      <c r="AS3731" s="147"/>
      <c r="AT3731" s="147"/>
      <c r="AU3731" s="147"/>
      <c r="AV3731" s="147"/>
      <c r="AW3731" s="147"/>
      <c r="AX3731" s="147"/>
      <c r="AY3731" s="147"/>
      <c r="AZ3731" s="147"/>
      <c r="BA3731" s="147"/>
    </row>
    <row r="3732" spans="1:53" ht="15.75" customHeight="1">
      <c r="A3732" s="99"/>
      <c r="B3732" s="99"/>
      <c r="C3732" s="147"/>
      <c r="D3732" s="147"/>
      <c r="E3732" s="147"/>
      <c r="F3732" s="147"/>
      <c r="G3732" s="147"/>
      <c r="H3732" s="147"/>
      <c r="I3732" s="147"/>
      <c r="J3732" s="147"/>
      <c r="K3732" s="147"/>
      <c r="L3732" s="147"/>
      <c r="M3732" s="147"/>
      <c r="N3732" s="147"/>
      <c r="O3732" s="147"/>
      <c r="P3732" s="147"/>
      <c r="Q3732" s="147"/>
      <c r="R3732" s="147"/>
      <c r="S3732" s="147"/>
      <c r="T3732" s="147"/>
      <c r="U3732" s="147"/>
      <c r="V3732" s="147"/>
      <c r="W3732" s="147"/>
      <c r="X3732" s="147"/>
      <c r="Y3732" s="147"/>
      <c r="Z3732" s="147"/>
      <c r="AA3732" s="147"/>
      <c r="AB3732" s="147"/>
      <c r="AC3732" s="147"/>
      <c r="AD3732" s="147"/>
      <c r="AE3732" s="147"/>
      <c r="AF3732" s="147"/>
      <c r="AG3732" s="147"/>
      <c r="AH3732" s="147"/>
      <c r="AI3732" s="147"/>
      <c r="AJ3732" s="147"/>
      <c r="AK3732" s="147"/>
      <c r="AL3732" s="147"/>
      <c r="AM3732" s="147"/>
      <c r="AN3732" s="147"/>
      <c r="AO3732" s="147"/>
      <c r="AP3732" s="147"/>
      <c r="AQ3732" s="147"/>
      <c r="AR3732" s="147"/>
      <c r="AS3732" s="147"/>
      <c r="AT3732" s="147"/>
      <c r="AU3732" s="147"/>
      <c r="AV3732" s="147"/>
      <c r="AW3732" s="147"/>
      <c r="AX3732" s="147"/>
      <c r="AY3732" s="147"/>
      <c r="AZ3732" s="147"/>
      <c r="BA3732" s="147"/>
    </row>
    <row r="3733" spans="1:53" ht="15.75" customHeight="1">
      <c r="A3733" s="99"/>
      <c r="B3733" s="99"/>
      <c r="C3733" s="147"/>
      <c r="D3733" s="147"/>
      <c r="E3733" s="147"/>
      <c r="F3733" s="147"/>
      <c r="G3733" s="147"/>
      <c r="H3733" s="147"/>
      <c r="I3733" s="147"/>
      <c r="J3733" s="147"/>
      <c r="K3733" s="147"/>
      <c r="L3733" s="147"/>
      <c r="M3733" s="147"/>
      <c r="N3733" s="147"/>
      <c r="O3733" s="147"/>
      <c r="P3733" s="147"/>
      <c r="Q3733" s="147"/>
      <c r="R3733" s="147"/>
      <c r="S3733" s="147"/>
      <c r="T3733" s="147"/>
      <c r="U3733" s="147"/>
      <c r="V3733" s="147"/>
      <c r="W3733" s="147"/>
      <c r="X3733" s="147"/>
      <c r="Y3733" s="147"/>
      <c r="Z3733" s="147"/>
      <c r="AA3733" s="147"/>
      <c r="AB3733" s="147"/>
      <c r="AC3733" s="147"/>
      <c r="AD3733" s="147"/>
      <c r="AE3733" s="147"/>
      <c r="AF3733" s="147"/>
      <c r="AG3733" s="147"/>
      <c r="AH3733" s="147"/>
      <c r="AI3733" s="147"/>
      <c r="AJ3733" s="147"/>
      <c r="AK3733" s="147"/>
      <c r="AL3733" s="147"/>
      <c r="AM3733" s="147"/>
      <c r="AN3733" s="147"/>
      <c r="AO3733" s="147"/>
      <c r="AP3733" s="147"/>
      <c r="AQ3733" s="147"/>
      <c r="AR3733" s="147"/>
      <c r="AS3733" s="147"/>
      <c r="AT3733" s="147"/>
      <c r="AU3733" s="147"/>
      <c r="AV3733" s="147"/>
      <c r="AW3733" s="147"/>
      <c r="AX3733" s="147"/>
      <c r="AY3733" s="147"/>
      <c r="AZ3733" s="147"/>
      <c r="BA3733" s="147"/>
    </row>
    <row r="3734" spans="1:53" ht="15.75" customHeight="1">
      <c r="A3734" s="99"/>
      <c r="B3734" s="99"/>
      <c r="C3734" s="147"/>
      <c r="D3734" s="147"/>
      <c r="E3734" s="147"/>
      <c r="F3734" s="147"/>
      <c r="G3734" s="147"/>
      <c r="H3734" s="147"/>
      <c r="I3734" s="147"/>
      <c r="J3734" s="147"/>
      <c r="K3734" s="147"/>
      <c r="L3734" s="147"/>
      <c r="M3734" s="147"/>
      <c r="N3734" s="147"/>
      <c r="O3734" s="147"/>
      <c r="P3734" s="147"/>
      <c r="Q3734" s="147"/>
      <c r="R3734" s="147"/>
      <c r="S3734" s="147"/>
      <c r="T3734" s="147"/>
      <c r="U3734" s="147"/>
      <c r="V3734" s="147"/>
      <c r="W3734" s="147"/>
      <c r="X3734" s="147"/>
      <c r="Y3734" s="147"/>
      <c r="Z3734" s="147"/>
      <c r="AA3734" s="147"/>
      <c r="AB3734" s="147"/>
      <c r="AC3734" s="147"/>
      <c r="AD3734" s="147"/>
      <c r="AE3734" s="147"/>
      <c r="AF3734" s="147"/>
      <c r="AG3734" s="147"/>
      <c r="AH3734" s="147"/>
      <c r="AI3734" s="147"/>
      <c r="AJ3734" s="147"/>
      <c r="AK3734" s="147"/>
      <c r="AL3734" s="147"/>
      <c r="AM3734" s="147"/>
      <c r="AN3734" s="147"/>
      <c r="AO3734" s="147"/>
      <c r="AP3734" s="147"/>
      <c r="AQ3734" s="147"/>
      <c r="AR3734" s="147"/>
      <c r="AS3734" s="147"/>
      <c r="AT3734" s="147"/>
      <c r="AU3734" s="147"/>
      <c r="AV3734" s="147"/>
      <c r="AW3734" s="147"/>
      <c r="AX3734" s="147"/>
      <c r="AY3734" s="147"/>
      <c r="AZ3734" s="147"/>
      <c r="BA3734" s="147"/>
    </row>
    <row r="3735" spans="1:53" ht="15.75" customHeight="1">
      <c r="A3735" s="99"/>
      <c r="B3735" s="99"/>
      <c r="C3735" s="147"/>
      <c r="D3735" s="147"/>
      <c r="E3735" s="147"/>
      <c r="F3735" s="147"/>
      <c r="G3735" s="147"/>
      <c r="H3735" s="147"/>
      <c r="I3735" s="147"/>
      <c r="J3735" s="147"/>
      <c r="K3735" s="147"/>
      <c r="L3735" s="147"/>
      <c r="M3735" s="147"/>
      <c r="N3735" s="147"/>
      <c r="O3735" s="147"/>
      <c r="P3735" s="147"/>
      <c r="Q3735" s="147"/>
      <c r="R3735" s="147"/>
      <c r="S3735" s="147"/>
      <c r="T3735" s="147"/>
      <c r="U3735" s="147"/>
      <c r="V3735" s="147"/>
      <c r="W3735" s="147"/>
      <c r="X3735" s="147"/>
      <c r="Y3735" s="147"/>
      <c r="Z3735" s="147"/>
      <c r="AA3735" s="147"/>
      <c r="AB3735" s="147"/>
      <c r="AC3735" s="147"/>
      <c r="AD3735" s="147"/>
      <c r="AE3735" s="147"/>
      <c r="AF3735" s="147"/>
      <c r="AG3735" s="147"/>
      <c r="AH3735" s="147"/>
      <c r="AI3735" s="147"/>
      <c r="AJ3735" s="147"/>
      <c r="AK3735" s="147"/>
      <c r="AL3735" s="147"/>
      <c r="AM3735" s="147"/>
      <c r="AN3735" s="147"/>
      <c r="AO3735" s="147"/>
      <c r="AP3735" s="147"/>
      <c r="AQ3735" s="147"/>
      <c r="AR3735" s="147"/>
      <c r="AS3735" s="147"/>
      <c r="AT3735" s="147"/>
      <c r="AU3735" s="147"/>
      <c r="AV3735" s="147"/>
      <c r="AW3735" s="147"/>
      <c r="AX3735" s="147"/>
      <c r="AY3735" s="147"/>
      <c r="AZ3735" s="147"/>
      <c r="BA3735" s="147"/>
    </row>
    <row r="3736" spans="1:53" ht="15.75" customHeight="1">
      <c r="A3736" s="99"/>
      <c r="B3736" s="99"/>
      <c r="C3736" s="147"/>
      <c r="D3736" s="147"/>
      <c r="E3736" s="147"/>
      <c r="F3736" s="147"/>
      <c r="G3736" s="147"/>
      <c r="H3736" s="147"/>
      <c r="I3736" s="147"/>
      <c r="J3736" s="147"/>
      <c r="K3736" s="147"/>
      <c r="L3736" s="147"/>
      <c r="M3736" s="147"/>
      <c r="N3736" s="147"/>
      <c r="O3736" s="147"/>
      <c r="P3736" s="147"/>
      <c r="Q3736" s="147"/>
      <c r="R3736" s="147"/>
      <c r="S3736" s="147"/>
      <c r="T3736" s="147"/>
      <c r="U3736" s="147"/>
      <c r="V3736" s="147"/>
      <c r="W3736" s="147"/>
      <c r="X3736" s="147"/>
      <c r="Y3736" s="147"/>
      <c r="Z3736" s="147"/>
      <c r="AA3736" s="147"/>
      <c r="AB3736" s="147"/>
      <c r="AC3736" s="147"/>
      <c r="AD3736" s="147"/>
      <c r="AE3736" s="147"/>
      <c r="AF3736" s="147"/>
      <c r="AG3736" s="147"/>
      <c r="AH3736" s="147"/>
      <c r="AI3736" s="147"/>
      <c r="AJ3736" s="147"/>
      <c r="AK3736" s="147"/>
      <c r="AL3736" s="147"/>
      <c r="AM3736" s="147"/>
      <c r="AN3736" s="147"/>
      <c r="AO3736" s="147"/>
      <c r="AP3736" s="147"/>
      <c r="AQ3736" s="147"/>
      <c r="AR3736" s="147"/>
      <c r="AS3736" s="147"/>
      <c r="AT3736" s="147"/>
      <c r="AU3736" s="147"/>
      <c r="AV3736" s="147"/>
      <c r="AW3736" s="147"/>
      <c r="AX3736" s="147"/>
      <c r="AY3736" s="147"/>
      <c r="AZ3736" s="147"/>
      <c r="BA3736" s="147"/>
    </row>
    <row r="3737" spans="1:53" ht="15.75" customHeight="1">
      <c r="A3737" s="99"/>
      <c r="B3737" s="99"/>
      <c r="C3737" s="147"/>
      <c r="D3737" s="147"/>
      <c r="E3737" s="147"/>
      <c r="F3737" s="147"/>
      <c r="G3737" s="147"/>
      <c r="H3737" s="147"/>
      <c r="I3737" s="147"/>
      <c r="J3737" s="147"/>
      <c r="K3737" s="147"/>
      <c r="L3737" s="147"/>
      <c r="M3737" s="147"/>
      <c r="N3737" s="147"/>
      <c r="O3737" s="147"/>
      <c r="P3737" s="147"/>
      <c r="Q3737" s="147"/>
      <c r="R3737" s="147"/>
      <c r="S3737" s="147"/>
      <c r="T3737" s="147"/>
      <c r="U3737" s="147"/>
      <c r="V3737" s="147"/>
      <c r="W3737" s="147"/>
      <c r="X3737" s="147"/>
      <c r="Y3737" s="147"/>
      <c r="Z3737" s="147"/>
      <c r="AA3737" s="147"/>
      <c r="AB3737" s="147"/>
      <c r="AC3737" s="147"/>
      <c r="AD3737" s="147"/>
      <c r="AE3737" s="147"/>
      <c r="AF3737" s="147"/>
      <c r="AG3737" s="147"/>
      <c r="AH3737" s="147"/>
      <c r="AI3737" s="147"/>
      <c r="AJ3737" s="147"/>
      <c r="AK3737" s="147"/>
      <c r="AL3737" s="147"/>
      <c r="AM3737" s="147"/>
      <c r="AN3737" s="147"/>
      <c r="AO3737" s="147"/>
      <c r="AP3737" s="147"/>
      <c r="AQ3737" s="147"/>
      <c r="AR3737" s="147"/>
      <c r="AS3737" s="147"/>
      <c r="AT3737" s="147"/>
      <c r="AU3737" s="147"/>
      <c r="AV3737" s="147"/>
      <c r="AW3737" s="147"/>
      <c r="AX3737" s="147"/>
      <c r="AY3737" s="147"/>
      <c r="AZ3737" s="147"/>
      <c r="BA3737" s="147"/>
    </row>
    <row r="3738" spans="1:53" ht="15.75" customHeight="1">
      <c r="A3738" s="99"/>
      <c r="B3738" s="99"/>
      <c r="C3738" s="147"/>
      <c r="D3738" s="147"/>
      <c r="E3738" s="147"/>
      <c r="F3738" s="147"/>
      <c r="G3738" s="147"/>
      <c r="H3738" s="147"/>
      <c r="I3738" s="147"/>
      <c r="J3738" s="147"/>
      <c r="K3738" s="147"/>
      <c r="L3738" s="147"/>
      <c r="M3738" s="147"/>
      <c r="N3738" s="147"/>
      <c r="O3738" s="147"/>
      <c r="P3738" s="147"/>
      <c r="Q3738" s="147"/>
      <c r="R3738" s="147"/>
      <c r="S3738" s="147"/>
      <c r="T3738" s="147"/>
      <c r="U3738" s="147"/>
      <c r="V3738" s="147"/>
      <c r="W3738" s="147"/>
      <c r="X3738" s="147"/>
      <c r="Y3738" s="147"/>
      <c r="Z3738" s="147"/>
      <c r="AA3738" s="147"/>
      <c r="AB3738" s="147"/>
      <c r="AC3738" s="147"/>
      <c r="AD3738" s="147"/>
      <c r="AE3738" s="147"/>
      <c r="AF3738" s="147"/>
      <c r="AG3738" s="147"/>
      <c r="AH3738" s="147"/>
      <c r="AI3738" s="147"/>
      <c r="AJ3738" s="147"/>
      <c r="AK3738" s="147"/>
      <c r="AL3738" s="147"/>
      <c r="AM3738" s="147"/>
      <c r="AN3738" s="147"/>
      <c r="AO3738" s="147"/>
      <c r="AP3738" s="147"/>
      <c r="AQ3738" s="147"/>
      <c r="AR3738" s="147"/>
      <c r="AS3738" s="147"/>
      <c r="AT3738" s="147"/>
      <c r="AU3738" s="147"/>
      <c r="AV3738" s="147"/>
      <c r="AW3738" s="147"/>
      <c r="AX3738" s="147"/>
      <c r="AY3738" s="147"/>
      <c r="AZ3738" s="147"/>
      <c r="BA3738" s="147"/>
    </row>
    <row r="3739" spans="1:53" ht="15.75" customHeight="1">
      <c r="A3739" s="99"/>
      <c r="B3739" s="99"/>
      <c r="C3739" s="147"/>
      <c r="D3739" s="147"/>
      <c r="E3739" s="147"/>
      <c r="F3739" s="147"/>
      <c r="G3739" s="147"/>
      <c r="H3739" s="147"/>
      <c r="I3739" s="147"/>
      <c r="J3739" s="147"/>
      <c r="K3739" s="147"/>
      <c r="L3739" s="147"/>
      <c r="M3739" s="147"/>
      <c r="N3739" s="147"/>
      <c r="O3739" s="147"/>
      <c r="P3739" s="147"/>
      <c r="Q3739" s="147"/>
      <c r="R3739" s="147"/>
      <c r="S3739" s="147"/>
      <c r="T3739" s="147"/>
      <c r="U3739" s="147"/>
      <c r="V3739" s="147"/>
      <c r="W3739" s="147"/>
      <c r="X3739" s="147"/>
      <c r="Y3739" s="147"/>
      <c r="Z3739" s="147"/>
      <c r="AA3739" s="147"/>
      <c r="AB3739" s="147"/>
      <c r="AC3739" s="147"/>
      <c r="AD3739" s="147"/>
      <c r="AE3739" s="147"/>
      <c r="AF3739" s="147"/>
      <c r="AG3739" s="147"/>
      <c r="AH3739" s="147"/>
      <c r="AI3739" s="147"/>
      <c r="AJ3739" s="147"/>
      <c r="AK3739" s="147"/>
      <c r="AL3739" s="147"/>
      <c r="AM3739" s="147"/>
      <c r="AN3739" s="147"/>
      <c r="AO3739" s="147"/>
      <c r="AP3739" s="147"/>
      <c r="AQ3739" s="147"/>
      <c r="AR3739" s="147"/>
      <c r="AS3739" s="147"/>
      <c r="AT3739" s="147"/>
      <c r="AU3739" s="147"/>
      <c r="AV3739" s="147"/>
      <c r="AW3739" s="147"/>
      <c r="AX3739" s="147"/>
      <c r="AY3739" s="147"/>
      <c r="AZ3739" s="147"/>
      <c r="BA3739" s="147"/>
    </row>
    <row r="3740" spans="1:53" ht="15.75" customHeight="1">
      <c r="A3740" s="99"/>
      <c r="B3740" s="99"/>
      <c r="C3740" s="147"/>
      <c r="D3740" s="147"/>
      <c r="E3740" s="147"/>
      <c r="F3740" s="147"/>
      <c r="G3740" s="147"/>
      <c r="H3740" s="147"/>
      <c r="I3740" s="147"/>
      <c r="J3740" s="147"/>
      <c r="K3740" s="147"/>
      <c r="L3740" s="147"/>
      <c r="M3740" s="147"/>
      <c r="N3740" s="147"/>
      <c r="O3740" s="147"/>
      <c r="P3740" s="147"/>
      <c r="Q3740" s="147"/>
      <c r="R3740" s="147"/>
      <c r="S3740" s="147"/>
      <c r="T3740" s="147"/>
      <c r="U3740" s="147"/>
      <c r="V3740" s="147"/>
      <c r="W3740" s="147"/>
      <c r="X3740" s="147"/>
      <c r="Y3740" s="147"/>
      <c r="Z3740" s="147"/>
      <c r="AA3740" s="147"/>
      <c r="AB3740" s="147"/>
      <c r="AC3740" s="147"/>
      <c r="AD3740" s="147"/>
      <c r="AE3740" s="147"/>
      <c r="AF3740" s="147"/>
      <c r="AG3740" s="147"/>
      <c r="AH3740" s="147"/>
      <c r="AI3740" s="147"/>
      <c r="AJ3740" s="147"/>
      <c r="AK3740" s="147"/>
      <c r="AL3740" s="147"/>
      <c r="AM3740" s="147"/>
      <c r="AN3740" s="147"/>
      <c r="AO3740" s="147"/>
      <c r="AP3740" s="147"/>
      <c r="AQ3740" s="147"/>
      <c r="AR3740" s="147"/>
      <c r="AS3740" s="147"/>
      <c r="AT3740" s="147"/>
      <c r="AU3740" s="147"/>
      <c r="AV3740" s="147"/>
      <c r="AW3740" s="147"/>
      <c r="AX3740" s="147"/>
      <c r="AY3740" s="147"/>
      <c r="AZ3740" s="147"/>
      <c r="BA3740" s="147"/>
    </row>
    <row r="3741" spans="1:53" ht="15.75" customHeight="1">
      <c r="A3741" s="99"/>
      <c r="B3741" s="99"/>
      <c r="C3741" s="147"/>
      <c r="D3741" s="147"/>
      <c r="E3741" s="147"/>
      <c r="F3741" s="147"/>
      <c r="G3741" s="147"/>
      <c r="H3741" s="147"/>
      <c r="I3741" s="147"/>
      <c r="J3741" s="147"/>
      <c r="K3741" s="147"/>
      <c r="L3741" s="147"/>
      <c r="M3741" s="147"/>
      <c r="N3741" s="147"/>
      <c r="O3741" s="147"/>
      <c r="P3741" s="147"/>
      <c r="Q3741" s="147"/>
      <c r="R3741" s="147"/>
      <c r="S3741" s="147"/>
      <c r="T3741" s="147"/>
      <c r="U3741" s="147"/>
      <c r="V3741" s="147"/>
      <c r="W3741" s="147"/>
      <c r="X3741" s="147"/>
      <c r="Y3741" s="147"/>
      <c r="Z3741" s="147"/>
      <c r="AA3741" s="147"/>
      <c r="AB3741" s="147"/>
      <c r="AC3741" s="147"/>
      <c r="AD3741" s="147"/>
      <c r="AE3741" s="147"/>
      <c r="AF3741" s="147"/>
      <c r="AG3741" s="147"/>
      <c r="AH3741" s="147"/>
      <c r="AI3741" s="147"/>
      <c r="AJ3741" s="147"/>
      <c r="AK3741" s="147"/>
      <c r="AL3741" s="147"/>
      <c r="AM3741" s="147"/>
      <c r="AN3741" s="147"/>
      <c r="AO3741" s="147"/>
      <c r="AP3741" s="147"/>
      <c r="AQ3741" s="147"/>
      <c r="AR3741" s="147"/>
      <c r="AS3741" s="147"/>
      <c r="AT3741" s="147"/>
      <c r="AU3741" s="147"/>
      <c r="AV3741" s="147"/>
      <c r="AW3741" s="147"/>
      <c r="AX3741" s="147"/>
      <c r="AY3741" s="147"/>
      <c r="AZ3741" s="147"/>
      <c r="BA3741" s="147"/>
    </row>
    <row r="3742" spans="1:53" ht="15.75" customHeight="1">
      <c r="A3742" s="99"/>
      <c r="B3742" s="99"/>
      <c r="C3742" s="147"/>
      <c r="D3742" s="147"/>
      <c r="E3742" s="147"/>
      <c r="F3742" s="147"/>
      <c r="G3742" s="147"/>
      <c r="H3742" s="147"/>
      <c r="I3742" s="147"/>
      <c r="J3742" s="147"/>
      <c r="K3742" s="147"/>
      <c r="L3742" s="147"/>
      <c r="M3742" s="147"/>
      <c r="N3742" s="147"/>
      <c r="O3742" s="147"/>
      <c r="P3742" s="147"/>
      <c r="Q3742" s="147"/>
      <c r="R3742" s="147"/>
      <c r="S3742" s="147"/>
      <c r="T3742" s="147"/>
      <c r="U3742" s="147"/>
      <c r="V3742" s="147"/>
      <c r="W3742" s="147"/>
      <c r="X3742" s="147"/>
      <c r="Y3742" s="147"/>
      <c r="Z3742" s="147"/>
      <c r="AA3742" s="147"/>
      <c r="AB3742" s="147"/>
      <c r="AC3742" s="147"/>
      <c r="AD3742" s="147"/>
      <c r="AE3742" s="147"/>
      <c r="AF3742" s="147"/>
      <c r="AG3742" s="147"/>
      <c r="AH3742" s="147"/>
      <c r="AI3742" s="147"/>
      <c r="AJ3742" s="147"/>
      <c r="AK3742" s="147"/>
      <c r="AL3742" s="147"/>
      <c r="AM3742" s="147"/>
      <c r="AN3742" s="147"/>
      <c r="AO3742" s="147"/>
      <c r="AP3742" s="147"/>
      <c r="AQ3742" s="147"/>
      <c r="AR3742" s="147"/>
      <c r="AS3742" s="147"/>
      <c r="AT3742" s="147"/>
      <c r="AU3742" s="147"/>
      <c r="AV3742" s="147"/>
      <c r="AW3742" s="147"/>
      <c r="AX3742" s="147"/>
      <c r="AY3742" s="147"/>
      <c r="AZ3742" s="147"/>
      <c r="BA3742" s="147"/>
    </row>
    <row r="3743" spans="1:53" ht="15.75" customHeight="1">
      <c r="A3743" s="99"/>
      <c r="B3743" s="99"/>
      <c r="C3743" s="147"/>
      <c r="D3743" s="147"/>
      <c r="E3743" s="147"/>
      <c r="F3743" s="147"/>
      <c r="G3743" s="147"/>
      <c r="H3743" s="147"/>
      <c r="I3743" s="147"/>
      <c r="J3743" s="147"/>
      <c r="K3743" s="147"/>
      <c r="L3743" s="147"/>
      <c r="M3743" s="147"/>
      <c r="N3743" s="147"/>
      <c r="O3743" s="147"/>
      <c r="P3743" s="147"/>
      <c r="Q3743" s="147"/>
      <c r="R3743" s="147"/>
      <c r="S3743" s="147"/>
      <c r="T3743" s="147"/>
      <c r="U3743" s="147"/>
      <c r="V3743" s="147"/>
      <c r="W3743" s="147"/>
      <c r="X3743" s="147"/>
      <c r="Y3743" s="147"/>
      <c r="Z3743" s="147"/>
      <c r="AA3743" s="147"/>
      <c r="AB3743" s="147"/>
      <c r="AC3743" s="147"/>
      <c r="AD3743" s="147"/>
      <c r="AE3743" s="147"/>
      <c r="AF3743" s="147"/>
      <c r="AG3743" s="147"/>
      <c r="AH3743" s="147"/>
      <c r="AI3743" s="147"/>
      <c r="AJ3743" s="147"/>
      <c r="AK3743" s="147"/>
      <c r="AL3743" s="147"/>
      <c r="AM3743" s="147"/>
      <c r="AN3743" s="147"/>
      <c r="AO3743" s="147"/>
      <c r="AP3743" s="147"/>
      <c r="AQ3743" s="147"/>
      <c r="AR3743" s="147"/>
      <c r="AS3743" s="147"/>
      <c r="AT3743" s="147"/>
      <c r="AU3743" s="147"/>
      <c r="AV3743" s="147"/>
      <c r="AW3743" s="147"/>
      <c r="AX3743" s="147"/>
      <c r="AY3743" s="147"/>
      <c r="AZ3743" s="147"/>
      <c r="BA3743" s="147"/>
    </row>
    <row r="3744" spans="1:53" ht="15.75" customHeight="1">
      <c r="A3744" s="99"/>
      <c r="B3744" s="99"/>
      <c r="C3744" s="147"/>
      <c r="D3744" s="147"/>
      <c r="E3744" s="147"/>
      <c r="F3744" s="147"/>
      <c r="G3744" s="147"/>
      <c r="H3744" s="147"/>
      <c r="I3744" s="147"/>
      <c r="J3744" s="147"/>
      <c r="K3744" s="147"/>
      <c r="L3744" s="147"/>
      <c r="M3744" s="147"/>
      <c r="N3744" s="147"/>
      <c r="O3744" s="147"/>
      <c r="P3744" s="147"/>
      <c r="Q3744" s="147"/>
      <c r="R3744" s="147"/>
      <c r="S3744" s="147"/>
      <c r="T3744" s="147"/>
      <c r="U3744" s="147"/>
      <c r="V3744" s="147"/>
      <c r="W3744" s="147"/>
      <c r="X3744" s="147"/>
      <c r="Y3744" s="147"/>
      <c r="Z3744" s="147"/>
      <c r="AA3744" s="147"/>
      <c r="AB3744" s="147"/>
      <c r="AC3744" s="147"/>
      <c r="AD3744" s="147"/>
      <c r="AE3744" s="147"/>
      <c r="AF3744" s="147"/>
      <c r="AG3744" s="147"/>
      <c r="AH3744" s="147"/>
      <c r="AI3744" s="147"/>
      <c r="AJ3744" s="147"/>
      <c r="AK3744" s="147"/>
      <c r="AL3744" s="147"/>
      <c r="AM3744" s="147"/>
      <c r="AN3744" s="147"/>
      <c r="AO3744" s="147"/>
      <c r="AP3744" s="147"/>
      <c r="AQ3744" s="147"/>
      <c r="AR3744" s="147"/>
      <c r="AS3744" s="147"/>
      <c r="AT3744" s="147"/>
      <c r="AU3744" s="147"/>
      <c r="AV3744" s="147"/>
      <c r="AW3744" s="147"/>
      <c r="AX3744" s="147"/>
      <c r="AY3744" s="147"/>
      <c r="AZ3744" s="147"/>
      <c r="BA3744" s="147"/>
    </row>
    <row r="3745" spans="1:53" ht="15.75" customHeight="1">
      <c r="A3745" s="99"/>
      <c r="B3745" s="99"/>
      <c r="C3745" s="147"/>
      <c r="D3745" s="147"/>
      <c r="E3745" s="147"/>
      <c r="F3745" s="147"/>
      <c r="G3745" s="147"/>
      <c r="H3745" s="147"/>
      <c r="I3745" s="147"/>
      <c r="J3745" s="147"/>
      <c r="K3745" s="147"/>
      <c r="L3745" s="147"/>
      <c r="M3745" s="147"/>
      <c r="N3745" s="147"/>
      <c r="O3745" s="147"/>
      <c r="P3745" s="147"/>
      <c r="Q3745" s="147"/>
      <c r="R3745" s="147"/>
      <c r="S3745" s="147"/>
      <c r="T3745" s="147"/>
      <c r="U3745" s="147"/>
      <c r="V3745" s="147"/>
      <c r="W3745" s="147"/>
      <c r="X3745" s="147"/>
      <c r="Y3745" s="147"/>
      <c r="Z3745" s="147"/>
      <c r="AA3745" s="147"/>
      <c r="AB3745" s="147"/>
      <c r="AC3745" s="147"/>
      <c r="AD3745" s="147"/>
      <c r="AE3745" s="147"/>
      <c r="AF3745" s="147"/>
      <c r="AG3745" s="147"/>
      <c r="AH3745" s="147"/>
      <c r="AI3745" s="147"/>
      <c r="AJ3745" s="147"/>
      <c r="AK3745" s="147"/>
      <c r="AL3745" s="147"/>
      <c r="AM3745" s="147"/>
      <c r="AN3745" s="147"/>
      <c r="AO3745" s="147"/>
      <c r="AP3745" s="147"/>
      <c r="AQ3745" s="147"/>
      <c r="AR3745" s="147"/>
      <c r="AS3745" s="147"/>
      <c r="AT3745" s="147"/>
      <c r="AU3745" s="147"/>
      <c r="AV3745" s="147"/>
      <c r="AW3745" s="147"/>
      <c r="AX3745" s="147"/>
      <c r="AY3745" s="147"/>
      <c r="AZ3745" s="147"/>
      <c r="BA3745" s="147"/>
    </row>
    <row r="3746" spans="1:53" ht="15.75" customHeight="1">
      <c r="A3746" s="99"/>
      <c r="B3746" s="99"/>
      <c r="C3746" s="147"/>
      <c r="D3746" s="147"/>
      <c r="E3746" s="147"/>
      <c r="F3746" s="147"/>
      <c r="G3746" s="147"/>
      <c r="H3746" s="147"/>
      <c r="I3746" s="147"/>
      <c r="J3746" s="147"/>
      <c r="K3746" s="147"/>
      <c r="L3746" s="147"/>
      <c r="M3746" s="147"/>
      <c r="N3746" s="147"/>
      <c r="O3746" s="147"/>
      <c r="P3746" s="147"/>
      <c r="Q3746" s="147"/>
      <c r="R3746" s="147"/>
      <c r="S3746" s="147"/>
      <c r="T3746" s="147"/>
      <c r="U3746" s="147"/>
      <c r="V3746" s="147"/>
      <c r="W3746" s="147"/>
      <c r="X3746" s="147"/>
      <c r="Y3746" s="147"/>
      <c r="Z3746" s="147"/>
      <c r="AA3746" s="147"/>
      <c r="AB3746" s="147"/>
      <c r="AC3746" s="147"/>
      <c r="AD3746" s="147"/>
      <c r="AE3746" s="147"/>
      <c r="AF3746" s="147"/>
      <c r="AG3746" s="147"/>
      <c r="AH3746" s="147"/>
      <c r="AI3746" s="147"/>
      <c r="AJ3746" s="147"/>
      <c r="AK3746" s="147"/>
      <c r="AL3746" s="147"/>
      <c r="AM3746" s="147"/>
      <c r="AN3746" s="147"/>
      <c r="AO3746" s="147"/>
      <c r="AP3746" s="147"/>
      <c r="AQ3746" s="147"/>
      <c r="AR3746" s="147"/>
      <c r="AS3746" s="147"/>
      <c r="AT3746" s="147"/>
      <c r="AU3746" s="147"/>
      <c r="AV3746" s="147"/>
      <c r="AW3746" s="147"/>
      <c r="AX3746" s="147"/>
      <c r="AY3746" s="147"/>
      <c r="AZ3746" s="147"/>
      <c r="BA3746" s="147"/>
    </row>
    <row r="3747" spans="1:53" ht="15.75" customHeight="1">
      <c r="A3747" s="99"/>
      <c r="B3747" s="99"/>
      <c r="C3747" s="147"/>
      <c r="D3747" s="147"/>
      <c r="E3747" s="147"/>
      <c r="F3747" s="147"/>
      <c r="G3747" s="147"/>
      <c r="H3747" s="147"/>
      <c r="I3747" s="147"/>
      <c r="J3747" s="147"/>
      <c r="K3747" s="147"/>
      <c r="L3747" s="147"/>
      <c r="M3747" s="147"/>
      <c r="N3747" s="147"/>
      <c r="O3747" s="147"/>
      <c r="P3747" s="147"/>
      <c r="Q3747" s="147"/>
      <c r="R3747" s="147"/>
      <c r="S3747" s="147"/>
      <c r="T3747" s="147"/>
      <c r="U3747" s="147"/>
      <c r="V3747" s="147"/>
      <c r="W3747" s="147"/>
      <c r="X3747" s="147"/>
      <c r="Y3747" s="147"/>
      <c r="Z3747" s="147"/>
      <c r="AA3747" s="147"/>
      <c r="AB3747" s="147"/>
      <c r="AC3747" s="147"/>
      <c r="AD3747" s="147"/>
      <c r="AE3747" s="147"/>
      <c r="AF3747" s="147"/>
      <c r="AG3747" s="147"/>
      <c r="AH3747" s="147"/>
      <c r="AI3747" s="147"/>
      <c r="AJ3747" s="147"/>
      <c r="AK3747" s="147"/>
      <c r="AL3747" s="147"/>
      <c r="AM3747" s="147"/>
      <c r="AN3747" s="147"/>
      <c r="AO3747" s="147"/>
      <c r="AP3747" s="147"/>
      <c r="AQ3747" s="147"/>
      <c r="AR3747" s="147"/>
      <c r="AS3747" s="147"/>
      <c r="AT3747" s="147"/>
      <c r="AU3747" s="147"/>
      <c r="AV3747" s="147"/>
      <c r="AW3747" s="147"/>
      <c r="AX3747" s="147"/>
      <c r="AY3747" s="147"/>
      <c r="AZ3747" s="147"/>
      <c r="BA3747" s="147"/>
    </row>
    <row r="3748" spans="1:53" ht="15.75" customHeight="1">
      <c r="A3748" s="99"/>
      <c r="B3748" s="99"/>
      <c r="C3748" s="147"/>
      <c r="D3748" s="147"/>
      <c r="E3748" s="147"/>
      <c r="F3748" s="147"/>
      <c r="G3748" s="147"/>
      <c r="H3748" s="147"/>
      <c r="I3748" s="147"/>
      <c r="J3748" s="147"/>
      <c r="K3748" s="147"/>
      <c r="L3748" s="147"/>
      <c r="M3748" s="147"/>
      <c r="N3748" s="147"/>
      <c r="O3748" s="147"/>
      <c r="P3748" s="147"/>
      <c r="Q3748" s="147"/>
      <c r="R3748" s="147"/>
      <c r="S3748" s="147"/>
      <c r="T3748" s="147"/>
      <c r="U3748" s="147"/>
      <c r="V3748" s="147"/>
      <c r="W3748" s="147"/>
      <c r="X3748" s="147"/>
      <c r="Y3748" s="147"/>
      <c r="Z3748" s="147"/>
      <c r="AA3748" s="147"/>
      <c r="AB3748" s="147"/>
      <c r="AC3748" s="147"/>
      <c r="AD3748" s="147"/>
      <c r="AE3748" s="147"/>
      <c r="AF3748" s="147"/>
      <c r="AG3748" s="147"/>
      <c r="AH3748" s="147"/>
      <c r="AI3748" s="147"/>
      <c r="AJ3748" s="147"/>
      <c r="AK3748" s="147"/>
      <c r="AL3748" s="147"/>
      <c r="AM3748" s="147"/>
      <c r="AN3748" s="147"/>
      <c r="AO3748" s="147"/>
      <c r="AP3748" s="147"/>
      <c r="AQ3748" s="147"/>
      <c r="AR3748" s="147"/>
      <c r="AS3748" s="147"/>
      <c r="AT3748" s="147"/>
      <c r="AU3748" s="147"/>
      <c r="AV3748" s="147"/>
      <c r="AW3748" s="147"/>
      <c r="AX3748" s="147"/>
      <c r="AY3748" s="147"/>
      <c r="AZ3748" s="147"/>
      <c r="BA3748" s="147"/>
    </row>
    <row r="3749" spans="1:53" ht="15.75" customHeight="1">
      <c r="A3749" s="99"/>
      <c r="B3749" s="99"/>
      <c r="C3749" s="147"/>
      <c r="D3749" s="147"/>
      <c r="E3749" s="147"/>
      <c r="F3749" s="147"/>
      <c r="G3749" s="147"/>
      <c r="H3749" s="147"/>
      <c r="I3749" s="147"/>
      <c r="J3749" s="147"/>
      <c r="K3749" s="147"/>
      <c r="L3749" s="147"/>
      <c r="M3749" s="147"/>
      <c r="N3749" s="147"/>
      <c r="O3749" s="147"/>
      <c r="P3749" s="147"/>
      <c r="Q3749" s="147"/>
      <c r="R3749" s="147"/>
      <c r="S3749" s="147"/>
      <c r="T3749" s="147"/>
      <c r="U3749" s="147"/>
      <c r="V3749" s="147"/>
      <c r="W3749" s="147"/>
      <c r="X3749" s="147"/>
      <c r="Y3749" s="147"/>
      <c r="Z3749" s="147"/>
      <c r="AA3749" s="147"/>
      <c r="AB3749" s="147"/>
      <c r="AC3749" s="147"/>
      <c r="AD3749" s="147"/>
      <c r="AE3749" s="147"/>
      <c r="AF3749" s="147"/>
      <c r="AG3749" s="147"/>
      <c r="AH3749" s="147"/>
      <c r="AI3749" s="147"/>
      <c r="AJ3749" s="147"/>
      <c r="AK3749" s="147"/>
      <c r="AL3749" s="147"/>
      <c r="AM3749" s="147"/>
      <c r="AN3749" s="147"/>
      <c r="AO3749" s="147"/>
      <c r="AP3749" s="147"/>
      <c r="AQ3749" s="147"/>
      <c r="AR3749" s="147"/>
      <c r="AS3749" s="147"/>
      <c r="AT3749" s="147"/>
      <c r="AU3749" s="147"/>
      <c r="AV3749" s="147"/>
      <c r="AW3749" s="147"/>
      <c r="AX3749" s="147"/>
      <c r="AY3749" s="147"/>
      <c r="AZ3749" s="147"/>
      <c r="BA3749" s="147"/>
    </row>
    <row r="3750" spans="1:53" ht="15.75" customHeight="1">
      <c r="A3750" s="99"/>
      <c r="B3750" s="99"/>
      <c r="C3750" s="147"/>
      <c r="D3750" s="147"/>
      <c r="E3750" s="147"/>
      <c r="F3750" s="147"/>
      <c r="G3750" s="147"/>
      <c r="H3750" s="147"/>
      <c r="I3750" s="147"/>
      <c r="J3750" s="147"/>
      <c r="K3750" s="147"/>
      <c r="L3750" s="147"/>
      <c r="M3750" s="147"/>
      <c r="N3750" s="147"/>
      <c r="O3750" s="147"/>
      <c r="P3750" s="147"/>
      <c r="Q3750" s="147"/>
      <c r="R3750" s="147"/>
      <c r="S3750" s="147"/>
      <c r="T3750" s="147"/>
      <c r="U3750" s="147"/>
      <c r="V3750" s="147"/>
      <c r="W3750" s="147"/>
      <c r="X3750" s="147"/>
      <c r="Y3750" s="147"/>
      <c r="Z3750" s="147"/>
      <c r="AA3750" s="147"/>
      <c r="AB3750" s="147"/>
      <c r="AC3750" s="147"/>
      <c r="AD3750" s="147"/>
      <c r="AE3750" s="147"/>
      <c r="AF3750" s="147"/>
      <c r="AG3750" s="147"/>
      <c r="AH3750" s="147"/>
      <c r="AI3750" s="147"/>
      <c r="AJ3750" s="147"/>
      <c r="AK3750" s="147"/>
      <c r="AL3750" s="147"/>
      <c r="AM3750" s="147"/>
      <c r="AN3750" s="147"/>
      <c r="AO3750" s="147"/>
      <c r="AP3750" s="147"/>
      <c r="AQ3750" s="147"/>
      <c r="AR3750" s="147"/>
      <c r="AS3750" s="147"/>
      <c r="AT3750" s="147"/>
      <c r="AU3750" s="147"/>
      <c r="AV3750" s="147"/>
      <c r="AW3750" s="147"/>
      <c r="AX3750" s="147"/>
      <c r="AY3750" s="147"/>
      <c r="AZ3750" s="147"/>
      <c r="BA3750" s="147"/>
    </row>
    <row r="3751" spans="1:53" ht="15.75" customHeight="1">
      <c r="A3751" s="99"/>
      <c r="B3751" s="99"/>
      <c r="C3751" s="147"/>
      <c r="D3751" s="147"/>
      <c r="E3751" s="147"/>
      <c r="F3751" s="147"/>
      <c r="G3751" s="147"/>
      <c r="H3751" s="147"/>
      <c r="I3751" s="147"/>
      <c r="J3751" s="147"/>
      <c r="K3751" s="147"/>
      <c r="L3751" s="147"/>
      <c r="M3751" s="147"/>
      <c r="N3751" s="147"/>
      <c r="O3751" s="147"/>
      <c r="P3751" s="147"/>
      <c r="Q3751" s="147"/>
      <c r="R3751" s="147"/>
      <c r="S3751" s="147"/>
      <c r="T3751" s="147"/>
      <c r="U3751" s="147"/>
      <c r="V3751" s="147"/>
      <c r="W3751" s="147"/>
      <c r="X3751" s="147"/>
      <c r="Y3751" s="147"/>
      <c r="Z3751" s="147"/>
      <c r="AA3751" s="147"/>
      <c r="AB3751" s="147"/>
      <c r="AC3751" s="147"/>
      <c r="AD3751" s="147"/>
      <c r="AE3751" s="147"/>
      <c r="AF3751" s="147"/>
      <c r="AG3751" s="147"/>
      <c r="AH3751" s="147"/>
      <c r="AI3751" s="147"/>
      <c r="AJ3751" s="147"/>
      <c r="AK3751" s="147"/>
      <c r="AL3751" s="147"/>
      <c r="AM3751" s="147"/>
      <c r="AN3751" s="147"/>
      <c r="AO3751" s="147"/>
      <c r="AP3751" s="147"/>
      <c r="AQ3751" s="147"/>
      <c r="AR3751" s="147"/>
      <c r="AS3751" s="147"/>
      <c r="AT3751" s="147"/>
      <c r="AU3751" s="147"/>
      <c r="AV3751" s="147"/>
      <c r="AW3751" s="147"/>
      <c r="AX3751" s="147"/>
      <c r="AY3751" s="147"/>
      <c r="AZ3751" s="147"/>
      <c r="BA3751" s="147"/>
    </row>
    <row r="3752" spans="1:53" ht="15.75" customHeight="1">
      <c r="A3752" s="99"/>
      <c r="B3752" s="99"/>
      <c r="C3752" s="147"/>
      <c r="D3752" s="147"/>
      <c r="E3752" s="147"/>
      <c r="F3752" s="147"/>
      <c r="G3752" s="147"/>
      <c r="H3752" s="147"/>
      <c r="I3752" s="147"/>
      <c r="J3752" s="147"/>
      <c r="K3752" s="147"/>
      <c r="L3752" s="147"/>
      <c r="M3752" s="147"/>
      <c r="N3752" s="147"/>
      <c r="O3752" s="147"/>
      <c r="P3752" s="147"/>
      <c r="Q3752" s="147"/>
      <c r="R3752" s="147"/>
      <c r="S3752" s="147"/>
      <c r="T3752" s="147"/>
      <c r="U3752" s="147"/>
      <c r="V3752" s="147"/>
      <c r="W3752" s="147"/>
      <c r="X3752" s="147"/>
      <c r="Y3752" s="147"/>
      <c r="Z3752" s="147"/>
      <c r="AA3752" s="147"/>
      <c r="AB3752" s="147"/>
      <c r="AC3752" s="147"/>
      <c r="AD3752" s="147"/>
      <c r="AE3752" s="147"/>
      <c r="AF3752" s="147"/>
      <c r="AG3752" s="147"/>
      <c r="AH3752" s="147"/>
      <c r="AI3752" s="147"/>
      <c r="AJ3752" s="147"/>
      <c r="AK3752" s="147"/>
      <c r="AL3752" s="147"/>
      <c r="AM3752" s="147"/>
      <c r="AN3752" s="147"/>
      <c r="AO3752" s="147"/>
      <c r="AP3752" s="147"/>
      <c r="AQ3752" s="147"/>
      <c r="AR3752" s="147"/>
      <c r="AS3752" s="147"/>
      <c r="AT3752" s="147"/>
      <c r="AU3752" s="147"/>
      <c r="AV3752" s="147"/>
      <c r="AW3752" s="147"/>
      <c r="AX3752" s="147"/>
      <c r="AY3752" s="147"/>
      <c r="AZ3752" s="147"/>
      <c r="BA3752" s="147"/>
    </row>
    <row r="3753" spans="1:53" ht="15.75" customHeight="1">
      <c r="A3753" s="99"/>
      <c r="B3753" s="99"/>
      <c r="C3753" s="147"/>
      <c r="D3753" s="147"/>
      <c r="E3753" s="147"/>
      <c r="F3753" s="147"/>
      <c r="G3753" s="147"/>
      <c r="H3753" s="147"/>
      <c r="I3753" s="147"/>
      <c r="J3753" s="147"/>
      <c r="K3753" s="147"/>
      <c r="L3753" s="147"/>
      <c r="M3753" s="147"/>
      <c r="N3753" s="147"/>
      <c r="O3753" s="147"/>
      <c r="P3753" s="147"/>
      <c r="Q3753" s="147"/>
      <c r="R3753" s="147"/>
      <c r="S3753" s="147"/>
      <c r="T3753" s="147"/>
      <c r="U3753" s="147"/>
      <c r="V3753" s="147"/>
      <c r="W3753" s="147"/>
      <c r="X3753" s="147"/>
      <c r="Y3753" s="147"/>
      <c r="Z3753" s="147"/>
      <c r="AA3753" s="147"/>
      <c r="AB3753" s="147"/>
      <c r="AC3753" s="147"/>
      <c r="AD3753" s="147"/>
      <c r="AE3753" s="147"/>
      <c r="AF3753" s="147"/>
      <c r="AG3753" s="147"/>
      <c r="AH3753" s="147"/>
      <c r="AI3753" s="147"/>
      <c r="AJ3753" s="147"/>
      <c r="AK3753" s="147"/>
      <c r="AL3753" s="147"/>
      <c r="AM3753" s="147"/>
      <c r="AN3753" s="147"/>
      <c r="AO3753" s="147"/>
      <c r="AP3753" s="147"/>
      <c r="AQ3753" s="147"/>
      <c r="AR3753" s="147"/>
      <c r="AS3753" s="147"/>
      <c r="AT3753" s="147"/>
      <c r="AU3753" s="147"/>
      <c r="AV3753" s="147"/>
      <c r="AW3753" s="147"/>
      <c r="AX3753" s="147"/>
      <c r="AY3753" s="147"/>
      <c r="AZ3753" s="147"/>
      <c r="BA3753" s="147"/>
    </row>
    <row r="3754" spans="1:53" ht="15.75" customHeight="1">
      <c r="A3754" s="99"/>
      <c r="B3754" s="99"/>
      <c r="C3754" s="147"/>
      <c r="D3754" s="147"/>
      <c r="E3754" s="147"/>
      <c r="F3754" s="147"/>
      <c r="G3754" s="147"/>
      <c r="H3754" s="147"/>
      <c r="I3754" s="147"/>
      <c r="J3754" s="147"/>
      <c r="K3754" s="147"/>
      <c r="L3754" s="147"/>
      <c r="M3754" s="147"/>
      <c r="N3754" s="147"/>
      <c r="O3754" s="147"/>
      <c r="P3754" s="147"/>
      <c r="Q3754" s="147"/>
      <c r="R3754" s="147"/>
      <c r="S3754" s="147"/>
      <c r="T3754" s="147"/>
      <c r="U3754" s="147"/>
      <c r="V3754" s="147"/>
      <c r="W3754" s="147"/>
      <c r="X3754" s="147"/>
      <c r="Y3754" s="147"/>
      <c r="Z3754" s="147"/>
      <c r="AA3754" s="147"/>
      <c r="AB3754" s="147"/>
      <c r="AC3754" s="147"/>
      <c r="AD3754" s="147"/>
      <c r="AE3754" s="147"/>
      <c r="AF3754" s="147"/>
      <c r="AG3754" s="147"/>
      <c r="AH3754" s="147"/>
      <c r="AI3754" s="147"/>
      <c r="AJ3754" s="147"/>
      <c r="AK3754" s="147"/>
      <c r="AL3754" s="147"/>
      <c r="AM3754" s="147"/>
      <c r="AN3754" s="147"/>
      <c r="AO3754" s="147"/>
      <c r="AP3754" s="147"/>
      <c r="AQ3754" s="147"/>
      <c r="AR3754" s="147"/>
      <c r="AS3754" s="147"/>
      <c r="AT3754" s="147"/>
      <c r="AU3754" s="147"/>
      <c r="AV3754" s="147"/>
      <c r="AW3754" s="147"/>
      <c r="AX3754" s="147"/>
      <c r="AY3754" s="147"/>
      <c r="AZ3754" s="147"/>
      <c r="BA3754" s="147"/>
    </row>
    <row r="3755" spans="1:53" ht="15.75" customHeight="1">
      <c r="A3755" s="99"/>
      <c r="B3755" s="99"/>
      <c r="C3755" s="147"/>
      <c r="D3755" s="147"/>
      <c r="E3755" s="147"/>
      <c r="F3755" s="147"/>
      <c r="G3755" s="147"/>
      <c r="H3755" s="147"/>
      <c r="I3755" s="147"/>
      <c r="J3755" s="147"/>
      <c r="K3755" s="147"/>
      <c r="L3755" s="147"/>
      <c r="M3755" s="147"/>
      <c r="N3755" s="147"/>
      <c r="O3755" s="147"/>
      <c r="P3755" s="147"/>
      <c r="Q3755" s="147"/>
      <c r="R3755" s="147"/>
      <c r="S3755" s="147"/>
      <c r="T3755" s="147"/>
      <c r="U3755" s="147"/>
      <c r="V3755" s="147"/>
      <c r="W3755" s="147"/>
      <c r="X3755" s="147"/>
      <c r="Y3755" s="147"/>
      <c r="Z3755" s="147"/>
      <c r="AA3755" s="147"/>
      <c r="AB3755" s="147"/>
      <c r="AC3755" s="147"/>
      <c r="AD3755" s="147"/>
      <c r="AE3755" s="147"/>
      <c r="AF3755" s="147"/>
      <c r="AG3755" s="147"/>
      <c r="AH3755" s="147"/>
      <c r="AI3755" s="147"/>
      <c r="AJ3755" s="147"/>
      <c r="AK3755" s="147"/>
      <c r="AL3755" s="147"/>
      <c r="AM3755" s="147"/>
      <c r="AN3755" s="147"/>
      <c r="AO3755" s="147"/>
      <c r="AP3755" s="147"/>
      <c r="AQ3755" s="147"/>
      <c r="AR3755" s="147"/>
      <c r="AS3755" s="147"/>
      <c r="AT3755" s="147"/>
      <c r="AU3755" s="147"/>
      <c r="AV3755" s="147"/>
      <c r="AW3755" s="147"/>
      <c r="AX3755" s="147"/>
      <c r="AY3755" s="147"/>
      <c r="AZ3755" s="147"/>
      <c r="BA3755" s="147"/>
    </row>
    <row r="3756" spans="1:53" ht="15.75" customHeight="1">
      <c r="A3756" s="99"/>
      <c r="B3756" s="99"/>
      <c r="C3756" s="147"/>
      <c r="D3756" s="147"/>
      <c r="E3756" s="147"/>
      <c r="F3756" s="147"/>
      <c r="G3756" s="147"/>
      <c r="H3756" s="147"/>
      <c r="I3756" s="147"/>
      <c r="J3756" s="147"/>
      <c r="K3756" s="147"/>
      <c r="L3756" s="147"/>
      <c r="M3756" s="147"/>
      <c r="N3756" s="147"/>
      <c r="O3756" s="147"/>
      <c r="P3756" s="147"/>
      <c r="Q3756" s="147"/>
      <c r="R3756" s="147"/>
      <c r="S3756" s="147"/>
      <c r="T3756" s="147"/>
      <c r="U3756" s="147"/>
      <c r="V3756" s="147"/>
      <c r="W3756" s="147"/>
      <c r="X3756" s="147"/>
      <c r="Y3756" s="147"/>
      <c r="Z3756" s="147"/>
      <c r="AA3756" s="147"/>
      <c r="AB3756" s="147"/>
      <c r="AC3756" s="147"/>
      <c r="AD3756" s="147"/>
      <c r="AE3756" s="147"/>
      <c r="AF3756" s="147"/>
      <c r="AG3756" s="147"/>
      <c r="AH3756" s="147"/>
      <c r="AI3756" s="147"/>
      <c r="AJ3756" s="147"/>
      <c r="AK3756" s="147"/>
      <c r="AL3756" s="147"/>
      <c r="AM3756" s="147"/>
      <c r="AN3756" s="147"/>
      <c r="AO3756" s="147"/>
      <c r="AP3756" s="147"/>
      <c r="AQ3756" s="147"/>
      <c r="AR3756" s="147"/>
      <c r="AS3756" s="147"/>
      <c r="AT3756" s="147"/>
      <c r="AU3756" s="147"/>
      <c r="AV3756" s="147"/>
      <c r="AW3756" s="147"/>
      <c r="AX3756" s="147"/>
      <c r="AY3756" s="147"/>
      <c r="AZ3756" s="147"/>
      <c r="BA3756" s="147"/>
    </row>
    <row r="3757" spans="1:53" ht="15.75" customHeight="1">
      <c r="A3757" s="99"/>
      <c r="B3757" s="99"/>
      <c r="C3757" s="147"/>
      <c r="D3757" s="147"/>
      <c r="E3757" s="147"/>
      <c r="F3757" s="147"/>
      <c r="G3757" s="147"/>
      <c r="H3757" s="147"/>
      <c r="I3757" s="147"/>
      <c r="J3757" s="147"/>
      <c r="K3757" s="147"/>
      <c r="L3757" s="147"/>
      <c r="M3757" s="147"/>
      <c r="N3757" s="147"/>
      <c r="O3757" s="147"/>
      <c r="P3757" s="147"/>
      <c r="Q3757" s="147"/>
      <c r="R3757" s="147"/>
      <c r="S3757" s="147"/>
      <c r="T3757" s="147"/>
      <c r="U3757" s="147"/>
      <c r="V3757" s="147"/>
      <c r="W3757" s="147"/>
      <c r="X3757" s="147"/>
      <c r="Y3757" s="147"/>
      <c r="Z3757" s="147"/>
      <c r="AA3757" s="147"/>
      <c r="AB3757" s="147"/>
      <c r="AC3757" s="147"/>
      <c r="AD3757" s="147"/>
      <c r="AE3757" s="147"/>
      <c r="AF3757" s="147"/>
      <c r="AG3757" s="147"/>
      <c r="AH3757" s="147"/>
      <c r="AI3757" s="147"/>
      <c r="AJ3757" s="147"/>
      <c r="AK3757" s="147"/>
      <c r="AL3757" s="147"/>
      <c r="AM3757" s="147"/>
      <c r="AN3757" s="147"/>
      <c r="AO3757" s="147"/>
      <c r="AP3757" s="147"/>
      <c r="AQ3757" s="147"/>
      <c r="AR3757" s="147"/>
      <c r="AS3757" s="147"/>
      <c r="AT3757" s="147"/>
      <c r="AU3757" s="147"/>
      <c r="AV3757" s="147"/>
      <c r="AW3757" s="147"/>
      <c r="AX3757" s="147"/>
      <c r="AY3757" s="147"/>
      <c r="AZ3757" s="147"/>
      <c r="BA3757" s="147"/>
    </row>
    <row r="3758" spans="1:53" ht="15.75" customHeight="1">
      <c r="A3758" s="99"/>
      <c r="B3758" s="99"/>
      <c r="C3758" s="147"/>
      <c r="D3758" s="147"/>
      <c r="E3758" s="147"/>
      <c r="F3758" s="147"/>
      <c r="G3758" s="147"/>
      <c r="H3758" s="147"/>
      <c r="I3758" s="147"/>
      <c r="J3758" s="147"/>
      <c r="K3758" s="147"/>
      <c r="L3758" s="147"/>
      <c r="M3758" s="147"/>
      <c r="N3758" s="147"/>
      <c r="O3758" s="147"/>
      <c r="P3758" s="147"/>
      <c r="Q3758" s="147"/>
      <c r="R3758" s="147"/>
      <c r="S3758" s="147"/>
      <c r="T3758" s="147"/>
      <c r="U3758" s="147"/>
      <c r="V3758" s="147"/>
      <c r="W3758" s="147"/>
      <c r="X3758" s="147"/>
      <c r="Y3758" s="147"/>
      <c r="Z3758" s="147"/>
      <c r="AA3758" s="147"/>
      <c r="AB3758" s="147"/>
      <c r="AC3758" s="147"/>
      <c r="AD3758" s="147"/>
      <c r="AE3758" s="147"/>
      <c r="AF3758" s="147"/>
      <c r="AG3758" s="147"/>
      <c r="AH3758" s="147"/>
      <c r="AI3758" s="147"/>
      <c r="AJ3758" s="147"/>
      <c r="AK3758" s="147"/>
      <c r="AL3758" s="147"/>
      <c r="AM3758" s="147"/>
      <c r="AN3758" s="147"/>
      <c r="AO3758" s="147"/>
      <c r="AP3758" s="147"/>
      <c r="AQ3758" s="147"/>
      <c r="AR3758" s="147"/>
      <c r="AS3758" s="147"/>
      <c r="AT3758" s="147"/>
      <c r="AU3758" s="147"/>
      <c r="AV3758" s="147"/>
      <c r="AW3758" s="147"/>
      <c r="AX3758" s="147"/>
      <c r="AY3758" s="147"/>
      <c r="AZ3758" s="147"/>
      <c r="BA3758" s="147"/>
    </row>
    <row r="3759" spans="1:53" ht="15.75" customHeight="1">
      <c r="A3759" s="99"/>
      <c r="B3759" s="99"/>
      <c r="C3759" s="147"/>
      <c r="D3759" s="147"/>
      <c r="E3759" s="147"/>
      <c r="F3759" s="147"/>
      <c r="G3759" s="147"/>
      <c r="H3759" s="147"/>
      <c r="I3759" s="147"/>
      <c r="J3759" s="147"/>
      <c r="K3759" s="147"/>
      <c r="L3759" s="147"/>
      <c r="M3759" s="147"/>
      <c r="N3759" s="147"/>
      <c r="O3759" s="147"/>
      <c r="P3759" s="147"/>
      <c r="Q3759" s="147"/>
      <c r="R3759" s="147"/>
      <c r="S3759" s="147"/>
      <c r="T3759" s="147"/>
      <c r="U3759" s="147"/>
      <c r="V3759" s="147"/>
      <c r="W3759" s="147"/>
      <c r="X3759" s="147"/>
      <c r="Y3759" s="147"/>
      <c r="Z3759" s="147"/>
      <c r="AA3759" s="147"/>
      <c r="AB3759" s="147"/>
      <c r="AC3759" s="147"/>
      <c r="AD3759" s="147"/>
      <c r="AE3759" s="147"/>
      <c r="AF3759" s="147"/>
      <c r="AG3759" s="147"/>
      <c r="AH3759" s="147"/>
      <c r="AI3759" s="147"/>
      <c r="AJ3759" s="147"/>
      <c r="AK3759" s="147"/>
      <c r="AL3759" s="147"/>
      <c r="AM3759" s="147"/>
      <c r="AN3759" s="147"/>
      <c r="AO3759" s="147"/>
      <c r="AP3759" s="147"/>
      <c r="AQ3759" s="147"/>
      <c r="AR3759" s="147"/>
      <c r="AS3759" s="147"/>
      <c r="AT3759" s="147"/>
      <c r="AU3759" s="147"/>
      <c r="AV3759" s="147"/>
      <c r="AW3759" s="147"/>
      <c r="AX3759" s="147"/>
      <c r="AY3759" s="147"/>
      <c r="AZ3759" s="147"/>
      <c r="BA3759" s="147"/>
    </row>
    <row r="3760" spans="1:53" ht="15.75" customHeight="1">
      <c r="A3760" s="99"/>
      <c r="B3760" s="99"/>
      <c r="C3760" s="147"/>
      <c r="D3760" s="147"/>
      <c r="E3760" s="147"/>
      <c r="F3760" s="147"/>
      <c r="G3760" s="147"/>
      <c r="H3760" s="147"/>
      <c r="I3760" s="147"/>
      <c r="J3760" s="147"/>
      <c r="K3760" s="147"/>
      <c r="L3760" s="147"/>
      <c r="M3760" s="147"/>
      <c r="N3760" s="147"/>
      <c r="O3760" s="147"/>
      <c r="P3760" s="147"/>
      <c r="Q3760" s="147"/>
      <c r="R3760" s="147"/>
      <c r="S3760" s="147"/>
      <c r="T3760" s="147"/>
      <c r="U3760" s="147"/>
      <c r="V3760" s="147"/>
      <c r="W3760" s="147"/>
      <c r="X3760" s="147"/>
      <c r="Y3760" s="147"/>
      <c r="Z3760" s="147"/>
      <c r="AA3760" s="147"/>
      <c r="AB3760" s="147"/>
      <c r="AC3760" s="147"/>
      <c r="AD3760" s="147"/>
      <c r="AE3760" s="147"/>
      <c r="AF3760" s="147"/>
      <c r="AG3760" s="147"/>
      <c r="AH3760" s="147"/>
      <c r="AI3760" s="147"/>
      <c r="AJ3760" s="147"/>
      <c r="AK3760" s="147"/>
      <c r="AL3760" s="147"/>
      <c r="AM3760" s="147"/>
      <c r="AN3760" s="147"/>
      <c r="AO3760" s="147"/>
      <c r="AP3760" s="147"/>
      <c r="AQ3760" s="147"/>
      <c r="AR3760" s="147"/>
      <c r="AS3760" s="147"/>
      <c r="AT3760" s="147"/>
      <c r="AU3760" s="147"/>
      <c r="AV3760" s="147"/>
      <c r="AW3760" s="147"/>
      <c r="AX3760" s="147"/>
      <c r="AY3760" s="147"/>
      <c r="AZ3760" s="147"/>
      <c r="BA3760" s="147"/>
    </row>
    <row r="3761" spans="1:53" ht="15.75" customHeight="1">
      <c r="A3761" s="99"/>
      <c r="B3761" s="99"/>
      <c r="C3761" s="147"/>
      <c r="D3761" s="147"/>
      <c r="E3761" s="147"/>
      <c r="F3761" s="147"/>
      <c r="G3761" s="147"/>
      <c r="H3761" s="147"/>
      <c r="I3761" s="147"/>
      <c r="J3761" s="147"/>
      <c r="K3761" s="147"/>
      <c r="L3761" s="147"/>
      <c r="M3761" s="147"/>
      <c r="N3761" s="147"/>
      <c r="O3761" s="147"/>
      <c r="P3761" s="147"/>
      <c r="Q3761" s="147"/>
      <c r="R3761" s="147"/>
      <c r="S3761" s="147"/>
      <c r="T3761" s="147"/>
      <c r="U3761" s="147"/>
      <c r="V3761" s="147"/>
      <c r="W3761" s="147"/>
      <c r="X3761" s="147"/>
      <c r="Y3761" s="147"/>
      <c r="Z3761" s="147"/>
      <c r="AA3761" s="147"/>
      <c r="AB3761" s="147"/>
      <c r="AC3761" s="147"/>
      <c r="AD3761" s="147"/>
      <c r="AE3761" s="147"/>
      <c r="AF3761" s="147"/>
      <c r="AG3761" s="147"/>
      <c r="AH3761" s="147"/>
      <c r="AI3761" s="147"/>
      <c r="AJ3761" s="147"/>
      <c r="AK3761" s="147"/>
      <c r="AL3761" s="147"/>
      <c r="AM3761" s="147"/>
      <c r="AN3761" s="147"/>
      <c r="AO3761" s="147"/>
      <c r="AP3761" s="147"/>
      <c r="AQ3761" s="147"/>
      <c r="AR3761" s="147"/>
      <c r="AS3761" s="147"/>
      <c r="AT3761" s="147"/>
      <c r="AU3761" s="147"/>
      <c r="AV3761" s="147"/>
      <c r="AW3761" s="147"/>
      <c r="AX3761" s="147"/>
      <c r="AY3761" s="147"/>
      <c r="AZ3761" s="147"/>
      <c r="BA3761" s="147"/>
    </row>
    <row r="3762" spans="1:53" ht="15.75" customHeight="1">
      <c r="A3762" s="99"/>
      <c r="B3762" s="99"/>
      <c r="C3762" s="147"/>
      <c r="D3762" s="147"/>
      <c r="E3762" s="147"/>
      <c r="F3762" s="147"/>
      <c r="G3762" s="147"/>
      <c r="H3762" s="147"/>
      <c r="I3762" s="147"/>
      <c r="J3762" s="147"/>
      <c r="K3762" s="147"/>
      <c r="L3762" s="147"/>
      <c r="M3762" s="147"/>
      <c r="N3762" s="147"/>
      <c r="O3762" s="147"/>
      <c r="P3762" s="147"/>
      <c r="Q3762" s="147"/>
      <c r="R3762" s="147"/>
      <c r="S3762" s="147"/>
      <c r="T3762" s="147"/>
      <c r="U3762" s="147"/>
      <c r="V3762" s="147"/>
      <c r="W3762" s="147"/>
      <c r="X3762" s="147"/>
      <c r="Y3762" s="147"/>
      <c r="Z3762" s="147"/>
      <c r="AA3762" s="147"/>
      <c r="AB3762" s="147"/>
      <c r="AC3762" s="147"/>
      <c r="AD3762" s="147"/>
      <c r="AE3762" s="147"/>
      <c r="AF3762" s="147"/>
      <c r="AG3762" s="147"/>
      <c r="AH3762" s="147"/>
      <c r="AI3762" s="147"/>
      <c r="AJ3762" s="147"/>
      <c r="AK3762" s="147"/>
      <c r="AL3762" s="147"/>
      <c r="AM3762" s="147"/>
      <c r="AN3762" s="147"/>
      <c r="AO3762" s="147"/>
      <c r="AP3762" s="147"/>
      <c r="AQ3762" s="147"/>
      <c r="AR3762" s="147"/>
      <c r="AS3762" s="147"/>
      <c r="AT3762" s="147"/>
      <c r="AU3762" s="147"/>
      <c r="AV3762" s="147"/>
      <c r="AW3762" s="147"/>
      <c r="AX3762" s="147"/>
      <c r="AY3762" s="147"/>
      <c r="AZ3762" s="147"/>
      <c r="BA3762" s="147"/>
    </row>
    <row r="3763" spans="1:53" ht="15.75" customHeight="1">
      <c r="A3763" s="99"/>
      <c r="B3763" s="99"/>
      <c r="C3763" s="147"/>
      <c r="D3763" s="147"/>
      <c r="E3763" s="147"/>
      <c r="F3763" s="147"/>
      <c r="G3763" s="147"/>
      <c r="H3763" s="147"/>
      <c r="I3763" s="147"/>
      <c r="J3763" s="147"/>
      <c r="K3763" s="147"/>
      <c r="L3763" s="147"/>
      <c r="M3763" s="147"/>
      <c r="N3763" s="147"/>
      <c r="O3763" s="147"/>
      <c r="P3763" s="147"/>
      <c r="Q3763" s="147"/>
      <c r="R3763" s="147"/>
      <c r="S3763" s="147"/>
      <c r="T3763" s="147"/>
      <c r="U3763" s="147"/>
      <c r="V3763" s="147"/>
      <c r="W3763" s="147"/>
      <c r="X3763" s="147"/>
      <c r="Y3763" s="147"/>
      <c r="Z3763" s="147"/>
      <c r="AA3763" s="147"/>
      <c r="AB3763" s="147"/>
      <c r="AC3763" s="147"/>
      <c r="AD3763" s="147"/>
      <c r="AE3763" s="147"/>
      <c r="AF3763" s="147"/>
      <c r="AG3763" s="147"/>
      <c r="AH3763" s="147"/>
      <c r="AI3763" s="147"/>
      <c r="AJ3763" s="147"/>
      <c r="AK3763" s="147"/>
      <c r="AL3763" s="147"/>
      <c r="AM3763" s="147"/>
      <c r="AN3763" s="147"/>
      <c r="AO3763" s="147"/>
      <c r="AP3763" s="147"/>
      <c r="AQ3763" s="147"/>
      <c r="AR3763" s="147"/>
      <c r="AS3763" s="147"/>
      <c r="AT3763" s="147"/>
      <c r="AU3763" s="147"/>
      <c r="AV3763" s="147"/>
      <c r="AW3763" s="147"/>
      <c r="AX3763" s="147"/>
      <c r="AY3763" s="147"/>
      <c r="AZ3763" s="147"/>
      <c r="BA3763" s="147"/>
    </row>
    <row r="3764" spans="1:53" ht="15.75" customHeight="1">
      <c r="A3764" s="99"/>
      <c r="B3764" s="99"/>
      <c r="C3764" s="147"/>
      <c r="D3764" s="147"/>
      <c r="E3764" s="147"/>
      <c r="F3764" s="147"/>
      <c r="G3764" s="147"/>
      <c r="H3764" s="147"/>
      <c r="I3764" s="147"/>
      <c r="J3764" s="147"/>
      <c r="K3764" s="147"/>
      <c r="L3764" s="147"/>
      <c r="M3764" s="147"/>
      <c r="N3764" s="147"/>
      <c r="O3764" s="147"/>
      <c r="P3764" s="147"/>
      <c r="Q3764" s="147"/>
      <c r="R3764" s="147"/>
      <c r="S3764" s="147"/>
      <c r="T3764" s="147"/>
      <c r="U3764" s="147"/>
      <c r="V3764" s="147"/>
      <c r="W3764" s="147"/>
      <c r="X3764" s="147"/>
      <c r="Y3764" s="147"/>
      <c r="Z3764" s="147"/>
      <c r="AA3764" s="147"/>
      <c r="AB3764" s="147"/>
      <c r="AC3764" s="147"/>
      <c r="AD3764" s="147"/>
      <c r="AE3764" s="147"/>
      <c r="AF3764" s="147"/>
      <c r="AG3764" s="147"/>
      <c r="AH3764" s="147"/>
      <c r="AI3764" s="147"/>
      <c r="AJ3764" s="147"/>
      <c r="AK3764" s="147"/>
      <c r="AL3764" s="147"/>
      <c r="AM3764" s="147"/>
      <c r="AN3764" s="147"/>
      <c r="AO3764" s="147"/>
      <c r="AP3764" s="147"/>
      <c r="AQ3764" s="147"/>
      <c r="AR3764" s="147"/>
      <c r="AS3764" s="147"/>
      <c r="AT3764" s="147"/>
      <c r="AU3764" s="147"/>
      <c r="AV3764" s="147"/>
      <c r="AW3764" s="147"/>
      <c r="AX3764" s="147"/>
      <c r="AY3764" s="147"/>
      <c r="AZ3764" s="147"/>
      <c r="BA3764" s="147"/>
    </row>
    <row r="3765" spans="1:53" ht="15.75" customHeight="1">
      <c r="A3765" s="99"/>
      <c r="B3765" s="99"/>
      <c r="C3765" s="147"/>
      <c r="D3765" s="147"/>
      <c r="E3765" s="147"/>
      <c r="F3765" s="147"/>
      <c r="G3765" s="147"/>
      <c r="H3765" s="147"/>
      <c r="I3765" s="147"/>
      <c r="J3765" s="147"/>
      <c r="K3765" s="147"/>
      <c r="L3765" s="147"/>
      <c r="M3765" s="147"/>
      <c r="N3765" s="147"/>
      <c r="O3765" s="147"/>
      <c r="P3765" s="147"/>
      <c r="Q3765" s="147"/>
      <c r="R3765" s="147"/>
      <c r="S3765" s="147"/>
      <c r="T3765" s="147"/>
      <c r="U3765" s="147"/>
      <c r="V3765" s="147"/>
      <c r="W3765" s="147"/>
      <c r="X3765" s="147"/>
      <c r="Y3765" s="147"/>
      <c r="Z3765" s="147"/>
      <c r="AA3765" s="147"/>
      <c r="AB3765" s="147"/>
      <c r="AC3765" s="147"/>
      <c r="AD3765" s="147"/>
      <c r="AE3765" s="147"/>
      <c r="AF3765" s="147"/>
      <c r="AG3765" s="147"/>
      <c r="AH3765" s="147"/>
      <c r="AI3765" s="147"/>
      <c r="AJ3765" s="147"/>
      <c r="AK3765" s="147"/>
      <c r="AL3765" s="147"/>
      <c r="AM3765" s="147"/>
      <c r="AN3765" s="147"/>
      <c r="AO3765" s="147"/>
      <c r="AP3765" s="147"/>
      <c r="AQ3765" s="147"/>
      <c r="AR3765" s="147"/>
      <c r="AS3765" s="147"/>
      <c r="AT3765" s="147"/>
      <c r="AU3765" s="147"/>
      <c r="AV3765" s="147"/>
      <c r="AW3765" s="147"/>
      <c r="AX3765" s="147"/>
      <c r="AY3765" s="147"/>
      <c r="AZ3765" s="147"/>
      <c r="BA3765" s="147"/>
    </row>
    <row r="3766" spans="1:53" ht="15.75" customHeight="1">
      <c r="A3766" s="99"/>
      <c r="B3766" s="99"/>
      <c r="C3766" s="147"/>
      <c r="D3766" s="147"/>
      <c r="E3766" s="147"/>
      <c r="F3766" s="147"/>
      <c r="G3766" s="147"/>
      <c r="H3766" s="147"/>
      <c r="I3766" s="147"/>
      <c r="J3766" s="147"/>
      <c r="K3766" s="147"/>
      <c r="L3766" s="147"/>
      <c r="M3766" s="147"/>
      <c r="N3766" s="147"/>
      <c r="O3766" s="147"/>
      <c r="P3766" s="147"/>
      <c r="Q3766" s="147"/>
      <c r="R3766" s="147"/>
      <c r="S3766" s="147"/>
      <c r="T3766" s="147"/>
      <c r="U3766" s="147"/>
      <c r="V3766" s="147"/>
      <c r="W3766" s="147"/>
      <c r="X3766" s="147"/>
      <c r="Y3766" s="147"/>
      <c r="Z3766" s="147"/>
      <c r="AA3766" s="147"/>
      <c r="AB3766" s="147"/>
      <c r="AC3766" s="147"/>
      <c r="AD3766" s="147"/>
      <c r="AE3766" s="147"/>
      <c r="AF3766" s="147"/>
      <c r="AG3766" s="147"/>
      <c r="AH3766" s="147"/>
      <c r="AI3766" s="147"/>
      <c r="AJ3766" s="147"/>
      <c r="AK3766" s="147"/>
      <c r="AL3766" s="147"/>
      <c r="AM3766" s="147"/>
      <c r="AN3766" s="147"/>
      <c r="AO3766" s="147"/>
      <c r="AP3766" s="147"/>
      <c r="AQ3766" s="147"/>
      <c r="AR3766" s="147"/>
      <c r="AS3766" s="147"/>
      <c r="AT3766" s="147"/>
      <c r="AU3766" s="147"/>
      <c r="AV3766" s="147"/>
      <c r="AW3766" s="147"/>
      <c r="AX3766" s="147"/>
      <c r="AY3766" s="147"/>
      <c r="AZ3766" s="147"/>
      <c r="BA3766" s="147"/>
    </row>
    <row r="3767" spans="1:53" ht="15.75" customHeight="1">
      <c r="A3767" s="99"/>
      <c r="B3767" s="99"/>
      <c r="C3767" s="147"/>
      <c r="D3767" s="147"/>
      <c r="E3767" s="147"/>
      <c r="F3767" s="147"/>
      <c r="G3767" s="147"/>
      <c r="H3767" s="147"/>
      <c r="I3767" s="147"/>
      <c r="J3767" s="147"/>
      <c r="K3767" s="147"/>
      <c r="L3767" s="147"/>
      <c r="M3767" s="147"/>
      <c r="N3767" s="147"/>
      <c r="O3767" s="147"/>
      <c r="P3767" s="147"/>
      <c r="Q3767" s="147"/>
      <c r="R3767" s="147"/>
      <c r="S3767" s="147"/>
      <c r="T3767" s="147"/>
      <c r="U3767" s="147"/>
      <c r="V3767" s="147"/>
      <c r="W3767" s="147"/>
      <c r="X3767" s="147"/>
      <c r="Y3767" s="147"/>
      <c r="Z3767" s="147"/>
      <c r="AA3767" s="147"/>
      <c r="AB3767" s="147"/>
      <c r="AC3767" s="147"/>
      <c r="AD3767" s="147"/>
      <c r="AE3767" s="147"/>
      <c r="AF3767" s="147"/>
      <c r="AG3767" s="147"/>
      <c r="AH3767" s="147"/>
      <c r="AI3767" s="147"/>
      <c r="AJ3767" s="147"/>
      <c r="AK3767" s="147"/>
      <c r="AL3767" s="147"/>
      <c r="AM3767" s="147"/>
      <c r="AN3767" s="147"/>
      <c r="AO3767" s="147"/>
      <c r="AP3767" s="147"/>
      <c r="AQ3767" s="147"/>
      <c r="AR3767" s="147"/>
      <c r="AS3767" s="147"/>
      <c r="AT3767" s="147"/>
      <c r="AU3767" s="147"/>
      <c r="AV3767" s="147"/>
      <c r="AW3767" s="147"/>
      <c r="AX3767" s="147"/>
      <c r="AY3767" s="147"/>
      <c r="AZ3767" s="147"/>
      <c r="BA3767" s="147"/>
    </row>
    <row r="3768" spans="1:53" ht="15.75" customHeight="1">
      <c r="A3768" s="99"/>
      <c r="B3768" s="99"/>
      <c r="C3768" s="147"/>
      <c r="D3768" s="147"/>
      <c r="E3768" s="147"/>
      <c r="F3768" s="147"/>
      <c r="G3768" s="147"/>
      <c r="H3768" s="147"/>
      <c r="I3768" s="147"/>
      <c r="J3768" s="147"/>
      <c r="K3768" s="147"/>
      <c r="L3768" s="147"/>
      <c r="M3768" s="147"/>
      <c r="N3768" s="147"/>
      <c r="O3768" s="147"/>
      <c r="P3768" s="147"/>
      <c r="Q3768" s="147"/>
      <c r="R3768" s="147"/>
      <c r="S3768" s="147"/>
      <c r="T3768" s="147"/>
      <c r="U3768" s="147"/>
      <c r="V3768" s="147"/>
      <c r="W3768" s="147"/>
      <c r="X3768" s="147"/>
      <c r="Y3768" s="147"/>
      <c r="Z3768" s="147"/>
      <c r="AA3768" s="147"/>
      <c r="AB3768" s="147"/>
      <c r="AC3768" s="147"/>
      <c r="AD3768" s="147"/>
      <c r="AE3768" s="147"/>
      <c r="AF3768" s="147"/>
      <c r="AG3768" s="147"/>
      <c r="AH3768" s="147"/>
      <c r="AI3768" s="147"/>
      <c r="AJ3768" s="147"/>
      <c r="AK3768" s="147"/>
      <c r="AL3768" s="147"/>
      <c r="AM3768" s="147"/>
      <c r="AN3768" s="147"/>
      <c r="AO3768" s="147"/>
      <c r="AP3768" s="147"/>
      <c r="AQ3768" s="147"/>
      <c r="AR3768" s="147"/>
      <c r="AS3768" s="147"/>
      <c r="AT3768" s="147"/>
      <c r="AU3768" s="147"/>
      <c r="AV3768" s="147"/>
      <c r="AW3768" s="147"/>
      <c r="AX3768" s="147"/>
      <c r="AY3768" s="147"/>
      <c r="AZ3768" s="147"/>
      <c r="BA3768" s="147"/>
    </row>
    <row r="3769" spans="1:53" ht="15.75" customHeight="1">
      <c r="A3769" s="99"/>
      <c r="B3769" s="99"/>
      <c r="C3769" s="147"/>
      <c r="D3769" s="147"/>
      <c r="E3769" s="147"/>
      <c r="F3769" s="147"/>
      <c r="G3769" s="147"/>
      <c r="H3769" s="147"/>
      <c r="I3769" s="147"/>
      <c r="J3769" s="147"/>
      <c r="K3769" s="147"/>
      <c r="L3769" s="147"/>
      <c r="M3769" s="147"/>
      <c r="N3769" s="147"/>
      <c r="O3769" s="147"/>
      <c r="P3769" s="147"/>
      <c r="Q3769" s="147"/>
      <c r="R3769" s="147"/>
      <c r="S3769" s="147"/>
      <c r="T3769" s="147"/>
      <c r="U3769" s="147"/>
      <c r="V3769" s="147"/>
      <c r="W3769" s="147"/>
      <c r="X3769" s="147"/>
      <c r="Y3769" s="147"/>
      <c r="Z3769" s="147"/>
      <c r="AA3769" s="147"/>
      <c r="AB3769" s="147"/>
      <c r="AC3769" s="147"/>
      <c r="AD3769" s="147"/>
      <c r="AE3769" s="147"/>
      <c r="AF3769" s="147"/>
      <c r="AG3769" s="147"/>
      <c r="AH3769" s="147"/>
      <c r="AI3769" s="147"/>
      <c r="AJ3769" s="147"/>
      <c r="AK3769" s="147"/>
      <c r="AL3769" s="147"/>
      <c r="AM3769" s="147"/>
      <c r="AN3769" s="147"/>
      <c r="AO3769" s="147"/>
      <c r="AP3769" s="147"/>
      <c r="AQ3769" s="147"/>
      <c r="AR3769" s="147"/>
      <c r="AS3769" s="147"/>
      <c r="AT3769" s="147"/>
      <c r="AU3769" s="147"/>
      <c r="AV3769" s="147"/>
      <c r="AW3769" s="147"/>
      <c r="AX3769" s="147"/>
      <c r="AY3769" s="147"/>
      <c r="AZ3769" s="147"/>
      <c r="BA3769" s="147"/>
    </row>
    <row r="3770" spans="1:53" ht="15.75" customHeight="1">
      <c r="A3770" s="99"/>
      <c r="B3770" s="99"/>
      <c r="C3770" s="147"/>
      <c r="D3770" s="147"/>
      <c r="E3770" s="147"/>
      <c r="F3770" s="147"/>
      <c r="G3770" s="147"/>
      <c r="H3770" s="147"/>
      <c r="I3770" s="147"/>
      <c r="J3770" s="147"/>
      <c r="K3770" s="147"/>
      <c r="L3770" s="147"/>
      <c r="M3770" s="147"/>
      <c r="N3770" s="147"/>
      <c r="O3770" s="147"/>
      <c r="P3770" s="147"/>
      <c r="Q3770" s="147"/>
      <c r="R3770" s="147"/>
      <c r="S3770" s="147"/>
      <c r="T3770" s="147"/>
      <c r="U3770" s="147"/>
      <c r="V3770" s="147"/>
      <c r="W3770" s="147"/>
      <c r="X3770" s="147"/>
      <c r="Y3770" s="147"/>
      <c r="Z3770" s="147"/>
      <c r="AA3770" s="147"/>
      <c r="AB3770" s="147"/>
      <c r="AC3770" s="147"/>
      <c r="AD3770" s="147"/>
      <c r="AE3770" s="147"/>
      <c r="AF3770" s="147"/>
      <c r="AG3770" s="147"/>
      <c r="AH3770" s="147"/>
      <c r="AI3770" s="147"/>
      <c r="AJ3770" s="147"/>
      <c r="AK3770" s="147"/>
      <c r="AL3770" s="147"/>
      <c r="AM3770" s="147"/>
      <c r="AN3770" s="147"/>
      <c r="AO3770" s="147"/>
      <c r="AP3770" s="147"/>
      <c r="AQ3770" s="147"/>
      <c r="AR3770" s="147"/>
      <c r="AS3770" s="147"/>
      <c r="AT3770" s="147"/>
      <c r="AU3770" s="147"/>
      <c r="AV3770" s="147"/>
      <c r="AW3770" s="147"/>
      <c r="AX3770" s="147"/>
      <c r="AY3770" s="147"/>
      <c r="AZ3770" s="147"/>
      <c r="BA3770" s="147"/>
    </row>
    <row r="3771" spans="1:53" ht="15.75" customHeight="1">
      <c r="A3771" s="99"/>
      <c r="B3771" s="99"/>
      <c r="C3771" s="147"/>
      <c r="D3771" s="147"/>
      <c r="E3771" s="147"/>
      <c r="F3771" s="147"/>
      <c r="G3771" s="147"/>
      <c r="H3771" s="147"/>
      <c r="I3771" s="147"/>
      <c r="J3771" s="147"/>
      <c r="K3771" s="147"/>
      <c r="L3771" s="147"/>
      <c r="M3771" s="147"/>
      <c r="N3771" s="147"/>
      <c r="O3771" s="147"/>
      <c r="P3771" s="147"/>
      <c r="Q3771" s="147"/>
      <c r="R3771" s="147"/>
      <c r="S3771" s="147"/>
      <c r="T3771" s="147"/>
      <c r="U3771" s="147"/>
      <c r="V3771" s="147"/>
      <c r="W3771" s="147"/>
      <c r="X3771" s="147"/>
      <c r="Y3771" s="147"/>
      <c r="Z3771" s="147"/>
      <c r="AA3771" s="147"/>
      <c r="AB3771" s="147"/>
      <c r="AC3771" s="147"/>
      <c r="AD3771" s="147"/>
      <c r="AE3771" s="147"/>
      <c r="AF3771" s="147"/>
      <c r="AG3771" s="147"/>
      <c r="AH3771" s="147"/>
      <c r="AI3771" s="147"/>
      <c r="AJ3771" s="147"/>
      <c r="AK3771" s="147"/>
      <c r="AL3771" s="147"/>
      <c r="AM3771" s="147"/>
      <c r="AN3771" s="147"/>
      <c r="AO3771" s="147"/>
      <c r="AP3771" s="147"/>
      <c r="AQ3771" s="147"/>
      <c r="AR3771" s="147"/>
      <c r="AS3771" s="147"/>
      <c r="AT3771" s="147"/>
      <c r="AU3771" s="147"/>
      <c r="AV3771" s="147"/>
      <c r="AW3771" s="147"/>
      <c r="AX3771" s="147"/>
      <c r="AY3771" s="147"/>
      <c r="AZ3771" s="147"/>
      <c r="BA3771" s="147"/>
    </row>
    <row r="3772" spans="1:53" ht="15.75" customHeight="1">
      <c r="A3772" s="99"/>
      <c r="B3772" s="99"/>
      <c r="C3772" s="147"/>
      <c r="D3772" s="147"/>
      <c r="E3772" s="147"/>
      <c r="F3772" s="147"/>
      <c r="G3772" s="147"/>
      <c r="H3772" s="147"/>
      <c r="I3772" s="147"/>
      <c r="J3772" s="147"/>
      <c r="K3772" s="147"/>
      <c r="L3772" s="147"/>
      <c r="M3772" s="147"/>
      <c r="N3772" s="147"/>
      <c r="O3772" s="147"/>
      <c r="P3772" s="147"/>
      <c r="Q3772" s="147"/>
      <c r="R3772" s="147"/>
      <c r="S3772" s="147"/>
      <c r="T3772" s="147"/>
      <c r="U3772" s="147"/>
      <c r="V3772" s="147"/>
      <c r="W3772" s="147"/>
      <c r="X3772" s="147"/>
      <c r="Y3772" s="147"/>
      <c r="Z3772" s="147"/>
      <c r="AA3772" s="147"/>
      <c r="AB3772" s="147"/>
      <c r="AC3772" s="147"/>
      <c r="AD3772" s="147"/>
      <c r="AE3772" s="147"/>
      <c r="AF3772" s="147"/>
      <c r="AG3772" s="147"/>
      <c r="AH3772" s="147"/>
      <c r="AI3772" s="147"/>
      <c r="AJ3772" s="147"/>
      <c r="AK3772" s="147"/>
      <c r="AL3772" s="147"/>
      <c r="AM3772" s="147"/>
      <c r="AN3772" s="147"/>
      <c r="AO3772" s="147"/>
      <c r="AP3772" s="147"/>
      <c r="AQ3772" s="147"/>
      <c r="AR3772" s="147"/>
      <c r="AS3772" s="147"/>
      <c r="AT3772" s="147"/>
      <c r="AU3772" s="147"/>
      <c r="AV3772" s="147"/>
      <c r="AW3772" s="147"/>
      <c r="AX3772" s="147"/>
      <c r="AY3772" s="147"/>
      <c r="AZ3772" s="147"/>
      <c r="BA3772" s="147"/>
    </row>
    <row r="3773" spans="1:53" ht="15.75" customHeight="1">
      <c r="A3773" s="99"/>
      <c r="B3773" s="99"/>
      <c r="C3773" s="147"/>
      <c r="D3773" s="147"/>
      <c r="E3773" s="147"/>
      <c r="F3773" s="147"/>
      <c r="G3773" s="147"/>
      <c r="H3773" s="147"/>
      <c r="I3773" s="147"/>
      <c r="J3773" s="147"/>
      <c r="K3773" s="147"/>
      <c r="L3773" s="147"/>
      <c r="M3773" s="147"/>
      <c r="N3773" s="147"/>
      <c r="O3773" s="147"/>
      <c r="P3773" s="147"/>
      <c r="Q3773" s="147"/>
      <c r="R3773" s="147"/>
      <c r="S3773" s="147"/>
      <c r="T3773" s="147"/>
      <c r="U3773" s="147"/>
      <c r="V3773" s="147"/>
      <c r="W3773" s="147"/>
      <c r="X3773" s="147"/>
      <c r="Y3773" s="147"/>
      <c r="Z3773" s="147"/>
      <c r="AA3773" s="147"/>
      <c r="AB3773" s="147"/>
      <c r="AC3773" s="147"/>
      <c r="AD3773" s="147"/>
      <c r="AE3773" s="147"/>
      <c r="AF3773" s="147"/>
      <c r="AG3773" s="147"/>
      <c r="AH3773" s="147"/>
      <c r="AI3773" s="147"/>
      <c r="AJ3773" s="147"/>
      <c r="AK3773" s="147"/>
      <c r="AL3773" s="147"/>
      <c r="AM3773" s="147"/>
      <c r="AN3773" s="147"/>
      <c r="AO3773" s="147"/>
      <c r="AP3773" s="147"/>
      <c r="AQ3773" s="147"/>
      <c r="AR3773" s="147"/>
      <c r="AS3773" s="147"/>
      <c r="AT3773" s="147"/>
      <c r="AU3773" s="147"/>
      <c r="AV3773" s="147"/>
      <c r="AW3773" s="147"/>
      <c r="AX3773" s="147"/>
      <c r="AY3773" s="147"/>
      <c r="AZ3773" s="147"/>
      <c r="BA3773" s="147"/>
    </row>
    <row r="3774" spans="1:53" ht="15.75" customHeight="1">
      <c r="A3774" s="99"/>
      <c r="B3774" s="99"/>
      <c r="C3774" s="147"/>
      <c r="D3774" s="147"/>
      <c r="E3774" s="147"/>
      <c r="F3774" s="147"/>
      <c r="G3774" s="147"/>
      <c r="H3774" s="147"/>
      <c r="I3774" s="147"/>
      <c r="J3774" s="147"/>
      <c r="K3774" s="147"/>
      <c r="L3774" s="147"/>
      <c r="M3774" s="147"/>
      <c r="N3774" s="147"/>
      <c r="O3774" s="147"/>
      <c r="P3774" s="147"/>
      <c r="Q3774" s="147"/>
      <c r="R3774" s="147"/>
      <c r="S3774" s="147"/>
      <c r="T3774" s="147"/>
      <c r="U3774" s="147"/>
      <c r="V3774" s="147"/>
      <c r="W3774" s="147"/>
      <c r="X3774" s="147"/>
      <c r="Y3774" s="147"/>
      <c r="Z3774" s="147"/>
      <c r="AA3774" s="147"/>
      <c r="AB3774" s="147"/>
      <c r="AC3774" s="147"/>
      <c r="AD3774" s="147"/>
      <c r="AE3774" s="147"/>
      <c r="AF3774" s="147"/>
      <c r="AG3774" s="147"/>
      <c r="AH3774" s="147"/>
      <c r="AI3774" s="147"/>
      <c r="AJ3774" s="147"/>
      <c r="AK3774" s="147"/>
      <c r="AL3774" s="147"/>
      <c r="AM3774" s="147"/>
      <c r="AN3774" s="147"/>
      <c r="AO3774" s="147"/>
      <c r="AP3774" s="147"/>
      <c r="AQ3774" s="147"/>
      <c r="AR3774" s="147"/>
      <c r="AS3774" s="147"/>
      <c r="AT3774" s="147"/>
      <c r="AU3774" s="147"/>
      <c r="AV3774" s="147"/>
      <c r="AW3774" s="147"/>
      <c r="AX3774" s="147"/>
      <c r="AY3774" s="147"/>
      <c r="AZ3774" s="147"/>
      <c r="BA3774" s="147"/>
    </row>
    <row r="3775" spans="1:53" ht="15.75" customHeight="1">
      <c r="A3775" s="99"/>
      <c r="B3775" s="99"/>
      <c r="C3775" s="147"/>
      <c r="D3775" s="147"/>
      <c r="E3775" s="147"/>
      <c r="F3775" s="147"/>
      <c r="G3775" s="147"/>
      <c r="H3775" s="147"/>
      <c r="I3775" s="147"/>
      <c r="J3775" s="147"/>
      <c r="K3775" s="147"/>
      <c r="L3775" s="147"/>
      <c r="M3775" s="147"/>
      <c r="N3775" s="147"/>
      <c r="O3775" s="147"/>
      <c r="P3775" s="147"/>
      <c r="Q3775" s="147"/>
      <c r="R3775" s="147"/>
      <c r="S3775" s="147"/>
      <c r="T3775" s="147"/>
      <c r="U3775" s="147"/>
      <c r="V3775" s="147"/>
      <c r="W3775" s="147"/>
      <c r="X3775" s="147"/>
      <c r="Y3775" s="147"/>
      <c r="Z3775" s="147"/>
      <c r="AA3775" s="147"/>
      <c r="AB3775" s="147"/>
      <c r="AC3775" s="147"/>
      <c r="AD3775" s="147"/>
      <c r="AE3775" s="147"/>
      <c r="AF3775" s="147"/>
      <c r="AG3775" s="147"/>
      <c r="AH3775" s="147"/>
      <c r="AI3775" s="147"/>
      <c r="AJ3775" s="147"/>
      <c r="AK3775" s="147"/>
      <c r="AL3775" s="147"/>
      <c r="AM3775" s="147"/>
      <c r="AN3775" s="147"/>
      <c r="AO3775" s="147"/>
      <c r="AP3775" s="147"/>
      <c r="AQ3775" s="147"/>
      <c r="AR3775" s="147"/>
      <c r="AS3775" s="147"/>
      <c r="AT3775" s="147"/>
      <c r="AU3775" s="147"/>
      <c r="AV3775" s="147"/>
      <c r="AW3775" s="147"/>
      <c r="AX3775" s="147"/>
      <c r="AY3775" s="147"/>
      <c r="AZ3775" s="147"/>
      <c r="BA3775" s="147"/>
    </row>
    <row r="3776" spans="1:53" ht="15.75" customHeight="1">
      <c r="A3776" s="99"/>
      <c r="B3776" s="99"/>
      <c r="C3776" s="147"/>
      <c r="D3776" s="147"/>
      <c r="E3776" s="147"/>
      <c r="F3776" s="147"/>
      <c r="G3776" s="147"/>
      <c r="H3776" s="147"/>
      <c r="I3776" s="147"/>
      <c r="J3776" s="147"/>
      <c r="K3776" s="147"/>
      <c r="L3776" s="147"/>
      <c r="M3776" s="147"/>
      <c r="N3776" s="147"/>
      <c r="O3776" s="147"/>
      <c r="P3776" s="147"/>
      <c r="Q3776" s="147"/>
      <c r="R3776" s="147"/>
      <c r="S3776" s="147"/>
      <c r="T3776" s="147"/>
      <c r="U3776" s="147"/>
      <c r="V3776" s="147"/>
      <c r="W3776" s="147"/>
      <c r="X3776" s="147"/>
      <c r="Y3776" s="147"/>
      <c r="Z3776" s="147"/>
      <c r="AA3776" s="147"/>
      <c r="AB3776" s="147"/>
      <c r="AC3776" s="147"/>
      <c r="AD3776" s="147"/>
      <c r="AE3776" s="147"/>
      <c r="AF3776" s="147"/>
      <c r="AG3776" s="147"/>
      <c r="AH3776" s="147"/>
      <c r="AI3776" s="147"/>
      <c r="AJ3776" s="147"/>
      <c r="AK3776" s="147"/>
      <c r="AL3776" s="147"/>
      <c r="AM3776" s="147"/>
      <c r="AN3776" s="147"/>
      <c r="AO3776" s="147"/>
      <c r="AP3776" s="147"/>
      <c r="AQ3776" s="147"/>
      <c r="AR3776" s="147"/>
      <c r="AS3776" s="147"/>
      <c r="AT3776" s="147"/>
      <c r="AU3776" s="147"/>
      <c r="AV3776" s="147"/>
      <c r="AW3776" s="147"/>
      <c r="AX3776" s="147"/>
      <c r="AY3776" s="147"/>
      <c r="AZ3776" s="147"/>
      <c r="BA3776" s="147"/>
    </row>
    <row r="3777" spans="1:53" ht="15.75" customHeight="1">
      <c r="A3777" s="99"/>
      <c r="B3777" s="99"/>
      <c r="C3777" s="147"/>
      <c r="D3777" s="147"/>
      <c r="E3777" s="147"/>
      <c r="F3777" s="147"/>
      <c r="G3777" s="147"/>
      <c r="H3777" s="147"/>
      <c r="I3777" s="147"/>
      <c r="J3777" s="147"/>
      <c r="K3777" s="147"/>
      <c r="L3777" s="147"/>
      <c r="M3777" s="147"/>
      <c r="N3777" s="147"/>
      <c r="O3777" s="147"/>
      <c r="P3777" s="147"/>
      <c r="Q3777" s="147"/>
      <c r="R3777" s="147"/>
      <c r="S3777" s="147"/>
      <c r="T3777" s="147"/>
      <c r="U3777" s="147"/>
      <c r="V3777" s="147"/>
      <c r="W3777" s="147"/>
      <c r="X3777" s="147"/>
      <c r="Y3777" s="147"/>
      <c r="Z3777" s="147"/>
      <c r="AA3777" s="147"/>
      <c r="AB3777" s="147"/>
      <c r="AC3777" s="147"/>
      <c r="AD3777" s="147"/>
      <c r="AE3777" s="147"/>
      <c r="AF3777" s="147"/>
      <c r="AG3777" s="147"/>
      <c r="AH3777" s="147"/>
      <c r="AI3777" s="147"/>
      <c r="AJ3777" s="147"/>
      <c r="AK3777" s="147"/>
      <c r="AL3777" s="147"/>
      <c r="AM3777" s="147"/>
      <c r="AN3777" s="147"/>
      <c r="AO3777" s="147"/>
      <c r="AP3777" s="147"/>
      <c r="AQ3777" s="147"/>
      <c r="AR3777" s="147"/>
      <c r="AS3777" s="147"/>
      <c r="AT3777" s="147"/>
      <c r="AU3777" s="147"/>
      <c r="AV3777" s="147"/>
      <c r="AW3777" s="147"/>
      <c r="AX3777" s="147"/>
      <c r="AY3777" s="147"/>
      <c r="AZ3777" s="147"/>
      <c r="BA3777" s="147"/>
    </row>
    <row r="3778" spans="1:53" ht="15.75" customHeight="1">
      <c r="A3778" s="99"/>
      <c r="B3778" s="99"/>
      <c r="C3778" s="147"/>
      <c r="D3778" s="147"/>
      <c r="E3778" s="147"/>
      <c r="F3778" s="147"/>
      <c r="G3778" s="147"/>
      <c r="H3778" s="147"/>
      <c r="I3778" s="147"/>
      <c r="J3778" s="147"/>
      <c r="K3778" s="147"/>
      <c r="L3778" s="147"/>
      <c r="M3778" s="147"/>
      <c r="N3778" s="147"/>
      <c r="O3778" s="147"/>
      <c r="P3778" s="147"/>
      <c r="Q3778" s="147"/>
      <c r="R3778" s="147"/>
      <c r="S3778" s="147"/>
      <c r="T3778" s="147"/>
      <c r="U3778" s="147"/>
      <c r="V3778" s="147"/>
      <c r="W3778" s="147"/>
      <c r="X3778" s="147"/>
      <c r="Y3778" s="147"/>
      <c r="Z3778" s="147"/>
      <c r="AA3778" s="147"/>
      <c r="AB3778" s="147"/>
      <c r="AC3778" s="147"/>
      <c r="AD3778" s="147"/>
      <c r="AE3778" s="147"/>
      <c r="AF3778" s="147"/>
      <c r="AG3778" s="147"/>
      <c r="AH3778" s="147"/>
      <c r="AI3778" s="147"/>
      <c r="AJ3778" s="147"/>
      <c r="AK3778" s="147"/>
      <c r="AL3778" s="147"/>
      <c r="AM3778" s="147"/>
      <c r="AN3778" s="147"/>
      <c r="AO3778" s="147"/>
      <c r="AP3778" s="147"/>
      <c r="AQ3778" s="147"/>
      <c r="AR3778" s="147"/>
      <c r="AS3778" s="147"/>
      <c r="AT3778" s="147"/>
      <c r="AU3778" s="147"/>
      <c r="AV3778" s="147"/>
      <c r="AW3778" s="147"/>
      <c r="AX3778" s="147"/>
      <c r="AY3778" s="147"/>
      <c r="AZ3778" s="147"/>
      <c r="BA3778" s="147"/>
    </row>
    <row r="3779" spans="1:53" ht="15.75" customHeight="1">
      <c r="A3779" s="99"/>
      <c r="B3779" s="99"/>
      <c r="C3779" s="147"/>
      <c r="D3779" s="147"/>
      <c r="E3779" s="147"/>
      <c r="F3779" s="147"/>
      <c r="G3779" s="147"/>
      <c r="H3779" s="147"/>
      <c r="I3779" s="147"/>
      <c r="J3779" s="147"/>
      <c r="K3779" s="147"/>
      <c r="L3779" s="147"/>
      <c r="M3779" s="147"/>
      <c r="N3779" s="147"/>
      <c r="O3779" s="147"/>
      <c r="P3779" s="147"/>
      <c r="Q3779" s="147"/>
      <c r="R3779" s="147"/>
      <c r="S3779" s="147"/>
      <c r="T3779" s="147"/>
      <c r="U3779" s="147"/>
      <c r="V3779" s="147"/>
      <c r="W3779" s="147"/>
      <c r="X3779" s="147"/>
      <c r="Y3779" s="147"/>
      <c r="Z3779" s="147"/>
      <c r="AA3779" s="147"/>
      <c r="AB3779" s="147"/>
      <c r="AC3779" s="147"/>
      <c r="AD3779" s="147"/>
      <c r="AE3779" s="147"/>
      <c r="AF3779" s="147"/>
      <c r="AG3779" s="147"/>
      <c r="AH3779" s="147"/>
      <c r="AI3779" s="147"/>
      <c r="AJ3779" s="147"/>
      <c r="AK3779" s="147"/>
      <c r="AL3779" s="147"/>
      <c r="AM3779" s="147"/>
      <c r="AN3779" s="147"/>
      <c r="AO3779" s="147"/>
      <c r="AP3779" s="147"/>
      <c r="AQ3779" s="147"/>
      <c r="AR3779" s="147"/>
      <c r="AS3779" s="147"/>
      <c r="AT3779" s="147"/>
      <c r="AU3779" s="147"/>
      <c r="AV3779" s="147"/>
      <c r="AW3779" s="147"/>
      <c r="AX3779" s="147"/>
      <c r="AY3779" s="147"/>
      <c r="AZ3779" s="147"/>
      <c r="BA3779" s="147"/>
    </row>
    <row r="3780" spans="1:53" ht="15.75" customHeight="1">
      <c r="A3780" s="99"/>
      <c r="B3780" s="99"/>
      <c r="C3780" s="147"/>
      <c r="D3780" s="147"/>
      <c r="E3780" s="147"/>
      <c r="F3780" s="147"/>
      <c r="G3780" s="147"/>
      <c r="H3780" s="147"/>
      <c r="I3780" s="147"/>
      <c r="J3780" s="147"/>
      <c r="K3780" s="147"/>
      <c r="L3780" s="147"/>
      <c r="M3780" s="147"/>
      <c r="N3780" s="147"/>
      <c r="O3780" s="147"/>
      <c r="P3780" s="147"/>
      <c r="Q3780" s="147"/>
      <c r="R3780" s="147"/>
      <c r="S3780" s="147"/>
      <c r="T3780" s="147"/>
      <c r="U3780" s="147"/>
      <c r="V3780" s="147"/>
      <c r="W3780" s="147"/>
      <c r="X3780" s="147"/>
      <c r="Y3780" s="147"/>
      <c r="Z3780" s="147"/>
      <c r="AA3780" s="147"/>
      <c r="AB3780" s="147"/>
      <c r="AC3780" s="147"/>
      <c r="AD3780" s="147"/>
      <c r="AE3780" s="147"/>
      <c r="AF3780" s="147"/>
      <c r="AG3780" s="147"/>
      <c r="AH3780" s="147"/>
      <c r="AI3780" s="147"/>
      <c r="AJ3780" s="147"/>
      <c r="AK3780" s="147"/>
      <c r="AL3780" s="147"/>
      <c r="AM3780" s="147"/>
      <c r="AN3780" s="147"/>
      <c r="AO3780" s="147"/>
      <c r="AP3780" s="147"/>
      <c r="AQ3780" s="147"/>
      <c r="AR3780" s="147"/>
      <c r="AS3780" s="147"/>
      <c r="AT3780" s="147"/>
      <c r="AU3780" s="147"/>
      <c r="AV3780" s="147"/>
      <c r="AW3780" s="147"/>
      <c r="AX3780" s="147"/>
      <c r="AY3780" s="147"/>
      <c r="AZ3780" s="147"/>
      <c r="BA3780" s="147"/>
    </row>
    <row r="3781" spans="1:53" ht="15.75" customHeight="1">
      <c r="A3781" s="99"/>
      <c r="B3781" s="99"/>
      <c r="C3781" s="147"/>
      <c r="D3781" s="147"/>
      <c r="E3781" s="147"/>
      <c r="F3781" s="147"/>
      <c r="G3781" s="147"/>
      <c r="H3781" s="147"/>
      <c r="I3781" s="147"/>
      <c r="J3781" s="147"/>
      <c r="K3781" s="147"/>
      <c r="L3781" s="147"/>
      <c r="M3781" s="147"/>
      <c r="N3781" s="147"/>
      <c r="O3781" s="147"/>
      <c r="P3781" s="147"/>
      <c r="Q3781" s="147"/>
      <c r="R3781" s="147"/>
      <c r="S3781" s="147"/>
      <c r="T3781" s="147"/>
      <c r="U3781" s="147"/>
      <c r="V3781" s="147"/>
      <c r="W3781" s="147"/>
      <c r="X3781" s="147"/>
      <c r="Y3781" s="147"/>
      <c r="Z3781" s="147"/>
      <c r="AA3781" s="147"/>
      <c r="AB3781" s="147"/>
      <c r="AC3781" s="147"/>
      <c r="AD3781" s="147"/>
      <c r="AE3781" s="147"/>
      <c r="AF3781" s="147"/>
      <c r="AG3781" s="147"/>
      <c r="AH3781" s="147"/>
      <c r="AI3781" s="147"/>
      <c r="AJ3781" s="147"/>
      <c r="AK3781" s="147"/>
      <c r="AL3781" s="147"/>
      <c r="AM3781" s="147"/>
      <c r="AN3781" s="147"/>
      <c r="AO3781" s="147"/>
      <c r="AP3781" s="147"/>
      <c r="AQ3781" s="147"/>
      <c r="AR3781" s="147"/>
      <c r="AS3781" s="147"/>
      <c r="AT3781" s="147"/>
      <c r="AU3781" s="147"/>
      <c r="AV3781" s="147"/>
      <c r="AW3781" s="147"/>
      <c r="AX3781" s="147"/>
      <c r="AY3781" s="147"/>
      <c r="AZ3781" s="147"/>
      <c r="BA3781" s="147"/>
    </row>
    <row r="3782" spans="1:53" ht="15.75" customHeight="1">
      <c r="A3782" s="99"/>
      <c r="B3782" s="99"/>
      <c r="C3782" s="147"/>
      <c r="D3782" s="147"/>
      <c r="E3782" s="147"/>
      <c r="F3782" s="147"/>
      <c r="G3782" s="147"/>
      <c r="H3782" s="147"/>
      <c r="I3782" s="147"/>
      <c r="J3782" s="147"/>
      <c r="K3782" s="147"/>
      <c r="L3782" s="147"/>
      <c r="M3782" s="147"/>
      <c r="N3782" s="147"/>
      <c r="O3782" s="147"/>
      <c r="P3782" s="147"/>
      <c r="Q3782" s="147"/>
      <c r="R3782" s="147"/>
      <c r="S3782" s="147"/>
      <c r="T3782" s="147"/>
      <c r="U3782" s="147"/>
      <c r="V3782" s="147"/>
      <c r="W3782" s="147"/>
      <c r="X3782" s="147"/>
      <c r="Y3782" s="147"/>
      <c r="Z3782" s="147"/>
      <c r="AA3782" s="147"/>
      <c r="AB3782" s="147"/>
      <c r="AC3782" s="147"/>
      <c r="AD3782" s="147"/>
      <c r="AE3782" s="147"/>
      <c r="AF3782" s="147"/>
      <c r="AG3782" s="147"/>
      <c r="AH3782" s="147"/>
      <c r="AI3782" s="147"/>
      <c r="AJ3782" s="147"/>
      <c r="AK3782" s="147"/>
      <c r="AL3782" s="147"/>
      <c r="AM3782" s="147"/>
      <c r="AN3782" s="147"/>
      <c r="AO3782" s="147"/>
      <c r="AP3782" s="147"/>
      <c r="AQ3782" s="147"/>
      <c r="AR3782" s="147"/>
      <c r="AS3782" s="147"/>
      <c r="AT3782" s="147"/>
      <c r="AU3782" s="147"/>
      <c r="AV3782" s="147"/>
      <c r="AW3782" s="147"/>
      <c r="AX3782" s="147"/>
      <c r="AY3782" s="147"/>
      <c r="AZ3782" s="147"/>
      <c r="BA3782" s="147"/>
    </row>
    <row r="3783" spans="1:53" ht="15.75" customHeight="1">
      <c r="A3783" s="99"/>
      <c r="B3783" s="99"/>
      <c r="C3783" s="147"/>
      <c r="D3783" s="147"/>
      <c r="E3783" s="147"/>
      <c r="F3783" s="147"/>
      <c r="G3783" s="147"/>
      <c r="H3783" s="147"/>
      <c r="I3783" s="147"/>
      <c r="J3783" s="147"/>
      <c r="K3783" s="147"/>
      <c r="L3783" s="147"/>
      <c r="M3783" s="147"/>
      <c r="N3783" s="147"/>
      <c r="O3783" s="147"/>
      <c r="P3783" s="147"/>
      <c r="Q3783" s="147"/>
      <c r="R3783" s="147"/>
      <c r="S3783" s="147"/>
      <c r="T3783" s="147"/>
      <c r="U3783" s="147"/>
      <c r="V3783" s="147"/>
      <c r="W3783" s="147"/>
      <c r="X3783" s="147"/>
      <c r="Y3783" s="147"/>
      <c r="Z3783" s="147"/>
      <c r="AA3783" s="147"/>
      <c r="AB3783" s="147"/>
      <c r="AC3783" s="147"/>
      <c r="AD3783" s="147"/>
      <c r="AE3783" s="147"/>
      <c r="AF3783" s="147"/>
      <c r="AG3783" s="147"/>
      <c r="AH3783" s="147"/>
      <c r="AI3783" s="147"/>
      <c r="AJ3783" s="147"/>
      <c r="AK3783" s="147"/>
      <c r="AL3783" s="147"/>
      <c r="AM3783" s="147"/>
      <c r="AN3783" s="147"/>
      <c r="AO3783" s="147"/>
      <c r="AP3783" s="147"/>
      <c r="AQ3783" s="147"/>
      <c r="AR3783" s="147"/>
      <c r="AS3783" s="147"/>
      <c r="AT3783" s="147"/>
      <c r="AU3783" s="147"/>
      <c r="AV3783" s="147"/>
      <c r="AW3783" s="147"/>
      <c r="AX3783" s="147"/>
      <c r="AY3783" s="147"/>
      <c r="AZ3783" s="147"/>
      <c r="BA3783" s="147"/>
    </row>
    <row r="3784" spans="1:53" ht="15.75" customHeight="1">
      <c r="A3784" s="99"/>
      <c r="B3784" s="99"/>
      <c r="C3784" s="147"/>
      <c r="D3784" s="147"/>
      <c r="E3784" s="147"/>
      <c r="F3784" s="147"/>
      <c r="G3784" s="147"/>
      <c r="H3784" s="147"/>
      <c r="I3784" s="147"/>
      <c r="J3784" s="147"/>
      <c r="K3784" s="147"/>
      <c r="L3784" s="147"/>
      <c r="M3784" s="147"/>
      <c r="N3784" s="147"/>
      <c r="O3784" s="147"/>
      <c r="P3784" s="147"/>
      <c r="Q3784" s="147"/>
      <c r="R3784" s="147"/>
      <c r="S3784" s="147"/>
      <c r="T3784" s="147"/>
      <c r="U3784" s="147"/>
      <c r="V3784" s="147"/>
      <c r="W3784" s="147"/>
      <c r="X3784" s="147"/>
      <c r="Y3784" s="147"/>
      <c r="Z3784" s="147"/>
      <c r="AA3784" s="147"/>
      <c r="AB3784" s="147"/>
      <c r="AC3784" s="147"/>
      <c r="AD3784" s="147"/>
      <c r="AE3784" s="147"/>
      <c r="AF3784" s="147"/>
      <c r="AG3784" s="147"/>
      <c r="AH3784" s="147"/>
      <c r="AI3784" s="147"/>
      <c r="AJ3784" s="147"/>
      <c r="AK3784" s="147"/>
      <c r="AL3784" s="147"/>
      <c r="AM3784" s="147"/>
      <c r="AN3784" s="147"/>
      <c r="AO3784" s="147"/>
      <c r="AP3784" s="147"/>
      <c r="AQ3784" s="147"/>
      <c r="AR3784" s="147"/>
      <c r="AS3784" s="147"/>
      <c r="AT3784" s="147"/>
      <c r="AU3784" s="147"/>
      <c r="AV3784" s="147"/>
      <c r="AW3784" s="147"/>
      <c r="AX3784" s="147"/>
      <c r="AY3784" s="147"/>
      <c r="AZ3784" s="147"/>
      <c r="BA3784" s="147"/>
    </row>
    <row r="3785" spans="1:53" ht="15.75" customHeight="1">
      <c r="A3785" s="99"/>
      <c r="B3785" s="99"/>
      <c r="C3785" s="147"/>
      <c r="D3785" s="147"/>
      <c r="E3785" s="147"/>
      <c r="F3785" s="147"/>
      <c r="G3785" s="147"/>
      <c r="H3785" s="147"/>
      <c r="I3785" s="147"/>
      <c r="J3785" s="147"/>
      <c r="K3785" s="147"/>
      <c r="L3785" s="147"/>
      <c r="M3785" s="147"/>
      <c r="N3785" s="147"/>
      <c r="O3785" s="147"/>
      <c r="P3785" s="147"/>
      <c r="Q3785" s="147"/>
      <c r="R3785" s="147"/>
      <c r="S3785" s="147"/>
      <c r="T3785" s="147"/>
      <c r="U3785" s="147"/>
      <c r="V3785" s="147"/>
      <c r="W3785" s="147"/>
      <c r="X3785" s="147"/>
      <c r="Y3785" s="147"/>
      <c r="Z3785" s="147"/>
      <c r="AA3785" s="147"/>
      <c r="AB3785" s="147"/>
      <c r="AC3785" s="147"/>
      <c r="AD3785" s="147"/>
      <c r="AE3785" s="147"/>
      <c r="AF3785" s="147"/>
      <c r="AG3785" s="147"/>
      <c r="AH3785" s="147"/>
      <c r="AI3785" s="147"/>
      <c r="AJ3785" s="147"/>
      <c r="AK3785" s="147"/>
      <c r="AL3785" s="147"/>
      <c r="AM3785" s="147"/>
      <c r="AN3785" s="147"/>
      <c r="AO3785" s="147"/>
      <c r="AP3785" s="147"/>
      <c r="AQ3785" s="147"/>
      <c r="AR3785" s="147"/>
      <c r="AS3785" s="147"/>
      <c r="AT3785" s="147"/>
      <c r="AU3785" s="147"/>
      <c r="AV3785" s="147"/>
      <c r="AW3785" s="147"/>
      <c r="AX3785" s="147"/>
      <c r="AY3785" s="147"/>
      <c r="AZ3785" s="147"/>
      <c r="BA3785" s="147"/>
    </row>
    <row r="3786" spans="1:53" ht="15.75" customHeight="1">
      <c r="A3786" s="99"/>
      <c r="B3786" s="99"/>
      <c r="C3786" s="147"/>
      <c r="D3786" s="147"/>
      <c r="E3786" s="147"/>
      <c r="F3786" s="147"/>
      <c r="G3786" s="147"/>
      <c r="H3786" s="147"/>
      <c r="I3786" s="147"/>
      <c r="J3786" s="147"/>
      <c r="K3786" s="147"/>
      <c r="L3786" s="147"/>
      <c r="M3786" s="147"/>
      <c r="N3786" s="147"/>
      <c r="O3786" s="147"/>
      <c r="P3786" s="147"/>
      <c r="Q3786" s="147"/>
      <c r="R3786" s="147"/>
      <c r="S3786" s="147"/>
      <c r="T3786" s="147"/>
      <c r="U3786" s="147"/>
      <c r="V3786" s="147"/>
      <c r="W3786" s="147"/>
      <c r="X3786" s="147"/>
      <c r="Y3786" s="147"/>
      <c r="Z3786" s="147"/>
      <c r="AA3786" s="147"/>
      <c r="AB3786" s="147"/>
      <c r="AC3786" s="147"/>
      <c r="AD3786" s="147"/>
      <c r="AE3786" s="147"/>
      <c r="AF3786" s="147"/>
      <c r="AG3786" s="147"/>
      <c r="AH3786" s="147"/>
      <c r="AI3786" s="147"/>
      <c r="AJ3786" s="147"/>
      <c r="AK3786" s="147"/>
      <c r="AL3786" s="147"/>
      <c r="AM3786" s="147"/>
      <c r="AN3786" s="147"/>
      <c r="AO3786" s="147"/>
      <c r="AP3786" s="147"/>
      <c r="AQ3786" s="147"/>
      <c r="AR3786" s="147"/>
      <c r="AS3786" s="147"/>
      <c r="AT3786" s="147"/>
      <c r="AU3786" s="147"/>
      <c r="AV3786" s="147"/>
      <c r="AW3786" s="147"/>
      <c r="AX3786" s="147"/>
      <c r="AY3786" s="147"/>
      <c r="AZ3786" s="147"/>
      <c r="BA3786" s="147"/>
    </row>
    <row r="3787" spans="1:53" ht="15.75" customHeight="1">
      <c r="A3787" s="99"/>
      <c r="B3787" s="99"/>
      <c r="C3787" s="147"/>
      <c r="D3787" s="147"/>
      <c r="E3787" s="147"/>
      <c r="F3787" s="147"/>
      <c r="G3787" s="147"/>
      <c r="H3787" s="147"/>
      <c r="I3787" s="147"/>
      <c r="J3787" s="147"/>
      <c r="K3787" s="147"/>
      <c r="L3787" s="147"/>
      <c r="M3787" s="147"/>
      <c r="N3787" s="147"/>
      <c r="O3787" s="147"/>
      <c r="P3787" s="147"/>
      <c r="Q3787" s="147"/>
      <c r="R3787" s="147"/>
      <c r="S3787" s="147"/>
      <c r="T3787" s="147"/>
      <c r="U3787" s="147"/>
      <c r="V3787" s="147"/>
      <c r="W3787" s="147"/>
      <c r="X3787" s="147"/>
      <c r="Y3787" s="147"/>
      <c r="Z3787" s="147"/>
      <c r="AA3787" s="147"/>
      <c r="AB3787" s="147"/>
      <c r="AC3787" s="147"/>
      <c r="AD3787" s="147"/>
      <c r="AE3787" s="147"/>
      <c r="AF3787" s="147"/>
      <c r="AG3787" s="147"/>
      <c r="AH3787" s="147"/>
      <c r="AI3787" s="147"/>
      <c r="AJ3787" s="147"/>
      <c r="AK3787" s="147"/>
      <c r="AL3787" s="147"/>
      <c r="AM3787" s="147"/>
      <c r="AN3787" s="147"/>
      <c r="AO3787" s="147"/>
      <c r="AP3787" s="147"/>
      <c r="AQ3787" s="147"/>
      <c r="AR3787" s="147"/>
      <c r="AS3787" s="147"/>
      <c r="AT3787" s="147"/>
      <c r="AU3787" s="147"/>
      <c r="AV3787" s="147"/>
      <c r="AW3787" s="147"/>
      <c r="AX3787" s="147"/>
      <c r="AY3787" s="147"/>
      <c r="AZ3787" s="147"/>
      <c r="BA3787" s="147"/>
    </row>
    <row r="3788" spans="1:53" ht="15.75" customHeight="1">
      <c r="A3788" s="99"/>
      <c r="B3788" s="99"/>
      <c r="C3788" s="147"/>
      <c r="D3788" s="147"/>
      <c r="E3788" s="147"/>
      <c r="F3788" s="147"/>
      <c r="G3788" s="147"/>
      <c r="H3788" s="147"/>
      <c r="I3788" s="147"/>
      <c r="J3788" s="147"/>
      <c r="K3788" s="147"/>
      <c r="L3788" s="147"/>
      <c r="M3788" s="147"/>
      <c r="N3788" s="147"/>
      <c r="O3788" s="147"/>
      <c r="P3788" s="147"/>
      <c r="Q3788" s="147"/>
      <c r="R3788" s="147"/>
      <c r="S3788" s="147"/>
      <c r="T3788" s="147"/>
      <c r="U3788" s="147"/>
      <c r="V3788" s="147"/>
      <c r="W3788" s="147"/>
      <c r="X3788" s="147"/>
      <c r="Y3788" s="147"/>
      <c r="Z3788" s="147"/>
      <c r="AA3788" s="147"/>
      <c r="AB3788" s="147"/>
      <c r="AC3788" s="147"/>
      <c r="AD3788" s="147"/>
      <c r="AE3788" s="147"/>
      <c r="AF3788" s="147"/>
      <c r="AG3788" s="147"/>
      <c r="AH3788" s="147"/>
      <c r="AI3788" s="147"/>
      <c r="AJ3788" s="147"/>
      <c r="AK3788" s="147"/>
      <c r="AL3788" s="147"/>
      <c r="AM3788" s="147"/>
      <c r="AN3788" s="147"/>
      <c r="AO3788" s="147"/>
      <c r="AP3788" s="147"/>
      <c r="AQ3788" s="147"/>
      <c r="AR3788" s="147"/>
      <c r="AS3788" s="147"/>
      <c r="AT3788" s="147"/>
      <c r="AU3788" s="147"/>
      <c r="AV3788" s="147"/>
      <c r="AW3788" s="147"/>
      <c r="AX3788" s="147"/>
      <c r="AY3788" s="147"/>
      <c r="AZ3788" s="147"/>
      <c r="BA3788" s="147"/>
    </row>
    <row r="3789" spans="1:53" ht="15.75" customHeight="1">
      <c r="A3789" s="99"/>
      <c r="B3789" s="99"/>
      <c r="C3789" s="147"/>
      <c r="D3789" s="147"/>
      <c r="E3789" s="147"/>
      <c r="F3789" s="147"/>
      <c r="G3789" s="147"/>
      <c r="H3789" s="147"/>
      <c r="I3789" s="147"/>
      <c r="J3789" s="147"/>
      <c r="K3789" s="147"/>
      <c r="L3789" s="147"/>
      <c r="M3789" s="147"/>
      <c r="N3789" s="147"/>
      <c r="O3789" s="147"/>
      <c r="P3789" s="147"/>
      <c r="Q3789" s="147"/>
      <c r="R3789" s="147"/>
      <c r="S3789" s="147"/>
      <c r="T3789" s="147"/>
      <c r="U3789" s="147"/>
      <c r="V3789" s="147"/>
      <c r="W3789" s="147"/>
      <c r="X3789" s="147"/>
      <c r="Y3789" s="147"/>
      <c r="Z3789" s="147"/>
      <c r="AA3789" s="147"/>
      <c r="AB3789" s="147"/>
      <c r="AC3789" s="147"/>
      <c r="AD3789" s="147"/>
      <c r="AE3789" s="147"/>
      <c r="AF3789" s="147"/>
      <c r="AG3789" s="147"/>
      <c r="AH3789" s="147"/>
      <c r="AI3789" s="147"/>
      <c r="AJ3789" s="147"/>
      <c r="AK3789" s="147"/>
      <c r="AL3789" s="147"/>
      <c r="AM3789" s="147"/>
      <c r="AN3789" s="147"/>
      <c r="AO3789" s="147"/>
      <c r="AP3789" s="147"/>
      <c r="AQ3789" s="147"/>
      <c r="AR3789" s="147"/>
      <c r="AS3789" s="147"/>
      <c r="AT3789" s="147"/>
      <c r="AU3789" s="147"/>
      <c r="AV3789" s="147"/>
      <c r="AW3789" s="147"/>
      <c r="AX3789" s="147"/>
      <c r="AY3789" s="147"/>
      <c r="AZ3789" s="147"/>
      <c r="BA3789" s="147"/>
    </row>
    <row r="3790" spans="1:53" ht="15.75" customHeight="1">
      <c r="A3790" s="99"/>
      <c r="B3790" s="99"/>
      <c r="C3790" s="147"/>
      <c r="D3790" s="147"/>
      <c r="E3790" s="147"/>
      <c r="F3790" s="147"/>
      <c r="G3790" s="147"/>
      <c r="H3790" s="147"/>
      <c r="I3790" s="147"/>
      <c r="J3790" s="147"/>
      <c r="K3790" s="147"/>
      <c r="L3790" s="147"/>
      <c r="M3790" s="147"/>
      <c r="N3790" s="147"/>
      <c r="O3790" s="147"/>
      <c r="P3790" s="147"/>
      <c r="Q3790" s="147"/>
      <c r="R3790" s="147"/>
      <c r="S3790" s="147"/>
      <c r="T3790" s="147"/>
      <c r="U3790" s="147"/>
      <c r="V3790" s="147"/>
      <c r="W3790" s="147"/>
      <c r="X3790" s="147"/>
      <c r="Y3790" s="147"/>
      <c r="Z3790" s="147"/>
      <c r="AA3790" s="147"/>
      <c r="AB3790" s="147"/>
      <c r="AC3790" s="147"/>
      <c r="AD3790" s="147"/>
      <c r="AE3790" s="147"/>
      <c r="AF3790" s="147"/>
      <c r="AG3790" s="147"/>
      <c r="AH3790" s="147"/>
      <c r="AI3790" s="147"/>
      <c r="AJ3790" s="147"/>
      <c r="AK3790" s="147"/>
      <c r="AL3790" s="147"/>
      <c r="AM3790" s="147"/>
      <c r="AN3790" s="147"/>
      <c r="AO3790" s="147"/>
      <c r="AP3790" s="147"/>
      <c r="AQ3790" s="147"/>
      <c r="AR3790" s="147"/>
      <c r="AS3790" s="147"/>
      <c r="AT3790" s="147"/>
      <c r="AU3790" s="147"/>
      <c r="AV3790" s="147"/>
      <c r="AW3790" s="147"/>
      <c r="AX3790" s="147"/>
      <c r="AY3790" s="147"/>
      <c r="AZ3790" s="147"/>
      <c r="BA3790" s="147"/>
    </row>
    <row r="3791" spans="1:53" ht="15.75" customHeight="1">
      <c r="A3791" s="99"/>
      <c r="B3791" s="99"/>
      <c r="C3791" s="147"/>
      <c r="D3791" s="147"/>
      <c r="E3791" s="147"/>
      <c r="F3791" s="147"/>
      <c r="G3791" s="147"/>
      <c r="H3791" s="147"/>
      <c r="I3791" s="147"/>
      <c r="J3791" s="147"/>
      <c r="K3791" s="147"/>
      <c r="L3791" s="147"/>
      <c r="M3791" s="147"/>
      <c r="N3791" s="147"/>
      <c r="O3791" s="147"/>
      <c r="P3791" s="147"/>
      <c r="Q3791" s="147"/>
      <c r="R3791" s="147"/>
      <c r="S3791" s="147"/>
      <c r="T3791" s="147"/>
      <c r="U3791" s="147"/>
      <c r="V3791" s="147"/>
      <c r="W3791" s="147"/>
      <c r="X3791" s="147"/>
      <c r="Y3791" s="147"/>
      <c r="Z3791" s="147"/>
      <c r="AA3791" s="147"/>
      <c r="AB3791" s="147"/>
      <c r="AC3791" s="147"/>
      <c r="AD3791" s="147"/>
      <c r="AE3791" s="147"/>
      <c r="AF3791" s="147"/>
      <c r="AG3791" s="147"/>
      <c r="AH3791" s="147"/>
      <c r="AI3791" s="147"/>
      <c r="AJ3791" s="147"/>
      <c r="AK3791" s="147"/>
      <c r="AL3791" s="147"/>
      <c r="AM3791" s="147"/>
      <c r="AN3791" s="147"/>
      <c r="AO3791" s="147"/>
      <c r="AP3791" s="147"/>
      <c r="AQ3791" s="147"/>
      <c r="AR3791" s="147"/>
      <c r="AS3791" s="147"/>
      <c r="AT3791" s="147"/>
      <c r="AU3791" s="147"/>
      <c r="AV3791" s="147"/>
      <c r="AW3791" s="147"/>
      <c r="AX3791" s="147"/>
      <c r="AY3791" s="147"/>
      <c r="AZ3791" s="147"/>
      <c r="BA3791" s="147"/>
    </row>
    <row r="3792" spans="1:53" ht="15.75" customHeight="1">
      <c r="A3792" s="99"/>
      <c r="B3792" s="99"/>
      <c r="C3792" s="147"/>
      <c r="D3792" s="147"/>
      <c r="E3792" s="147"/>
      <c r="F3792" s="147"/>
      <c r="G3792" s="147"/>
      <c r="H3792" s="147"/>
      <c r="I3792" s="147"/>
      <c r="J3792" s="147"/>
      <c r="K3792" s="147"/>
      <c r="L3792" s="147"/>
      <c r="M3792" s="147"/>
      <c r="N3792" s="147"/>
      <c r="O3792" s="147"/>
      <c r="P3792" s="147"/>
      <c r="Q3792" s="147"/>
      <c r="R3792" s="147"/>
      <c r="S3792" s="147"/>
      <c r="T3792" s="147"/>
      <c r="U3792" s="147"/>
      <c r="V3792" s="147"/>
      <c r="W3792" s="147"/>
      <c r="X3792" s="147"/>
      <c r="Y3792" s="147"/>
      <c r="Z3792" s="147"/>
      <c r="AA3792" s="147"/>
      <c r="AB3792" s="147"/>
      <c r="AC3792" s="147"/>
      <c r="AD3792" s="147"/>
      <c r="AE3792" s="147"/>
      <c r="AF3792" s="147"/>
      <c r="AG3792" s="147"/>
      <c r="AH3792" s="147"/>
      <c r="AI3792" s="147"/>
      <c r="AJ3792" s="147"/>
      <c r="AK3792" s="147"/>
      <c r="AL3792" s="147"/>
      <c r="AM3792" s="147"/>
      <c r="AN3792" s="147"/>
      <c r="AO3792" s="147"/>
      <c r="AP3792" s="147"/>
      <c r="AQ3792" s="147"/>
      <c r="AR3792" s="147"/>
      <c r="AS3792" s="147"/>
      <c r="AT3792" s="147"/>
      <c r="AU3792" s="147"/>
      <c r="AV3792" s="147"/>
      <c r="AW3792" s="147"/>
      <c r="AX3792" s="147"/>
      <c r="AY3792" s="147"/>
      <c r="AZ3792" s="147"/>
      <c r="BA3792" s="147"/>
    </row>
    <row r="3793" spans="1:53" ht="15.75" customHeight="1">
      <c r="A3793" s="99"/>
      <c r="B3793" s="99"/>
      <c r="C3793" s="147"/>
      <c r="D3793" s="147"/>
      <c r="E3793" s="147"/>
      <c r="F3793" s="147"/>
      <c r="G3793" s="147"/>
      <c r="H3793" s="147"/>
      <c r="I3793" s="147"/>
      <c r="J3793" s="147"/>
      <c r="K3793" s="147"/>
      <c r="L3793" s="147"/>
      <c r="M3793" s="147"/>
      <c r="N3793" s="147"/>
      <c r="O3793" s="147"/>
      <c r="P3793" s="147"/>
      <c r="Q3793" s="147"/>
      <c r="R3793" s="147"/>
      <c r="S3793" s="147"/>
      <c r="T3793" s="147"/>
      <c r="U3793" s="147"/>
      <c r="V3793" s="147"/>
      <c r="W3793" s="147"/>
      <c r="X3793" s="147"/>
      <c r="Y3793" s="147"/>
      <c r="Z3793" s="147"/>
      <c r="AA3793" s="147"/>
      <c r="AB3793" s="147"/>
      <c r="AC3793" s="147"/>
      <c r="AD3793" s="147"/>
      <c r="AE3793" s="147"/>
      <c r="AF3793" s="147"/>
      <c r="AG3793" s="147"/>
      <c r="AH3793" s="147"/>
      <c r="AI3793" s="147"/>
      <c r="AJ3793" s="147"/>
      <c r="AK3793" s="147"/>
      <c r="AL3793" s="147"/>
      <c r="AM3793" s="147"/>
      <c r="AN3793" s="147"/>
      <c r="AO3793" s="147"/>
      <c r="AP3793" s="147"/>
      <c r="AQ3793" s="147"/>
      <c r="AR3793" s="147"/>
      <c r="AS3793" s="147"/>
      <c r="AT3793" s="147"/>
      <c r="AU3793" s="147"/>
      <c r="AV3793" s="147"/>
      <c r="AW3793" s="147"/>
      <c r="AX3793" s="147"/>
      <c r="AY3793" s="147"/>
      <c r="AZ3793" s="147"/>
      <c r="BA3793" s="147"/>
    </row>
    <row r="3794" spans="1:53" ht="15.75" customHeight="1">
      <c r="A3794" s="99"/>
      <c r="B3794" s="99"/>
      <c r="C3794" s="147"/>
      <c r="D3794" s="147"/>
      <c r="E3794" s="147"/>
      <c r="F3794" s="147"/>
      <c r="G3794" s="147"/>
      <c r="H3794" s="147"/>
      <c r="I3794" s="147"/>
      <c r="J3794" s="147"/>
      <c r="K3794" s="147"/>
      <c r="L3794" s="147"/>
      <c r="M3794" s="147"/>
      <c r="N3794" s="147"/>
      <c r="O3794" s="147"/>
      <c r="P3794" s="147"/>
      <c r="Q3794" s="147"/>
      <c r="R3794" s="147"/>
      <c r="S3794" s="147"/>
      <c r="T3794" s="147"/>
      <c r="U3794" s="147"/>
      <c r="V3794" s="147"/>
      <c r="W3794" s="147"/>
      <c r="X3794" s="147"/>
      <c r="Y3794" s="147"/>
      <c r="Z3794" s="147"/>
      <c r="AA3794" s="147"/>
      <c r="AB3794" s="147"/>
      <c r="AC3794" s="147"/>
      <c r="AD3794" s="147"/>
      <c r="AE3794" s="147"/>
      <c r="AF3794" s="147"/>
      <c r="AG3794" s="147"/>
      <c r="AH3794" s="147"/>
      <c r="AI3794" s="147"/>
      <c r="AJ3794" s="147"/>
      <c r="AK3794" s="147"/>
      <c r="AL3794" s="147"/>
      <c r="AM3794" s="147"/>
      <c r="AN3794" s="147"/>
      <c r="AO3794" s="147"/>
      <c r="AP3794" s="147"/>
      <c r="AQ3794" s="147"/>
      <c r="AR3794" s="147"/>
      <c r="AS3794" s="147"/>
      <c r="AT3794" s="147"/>
      <c r="AU3794" s="147"/>
      <c r="AV3794" s="147"/>
      <c r="AW3794" s="147"/>
      <c r="AX3794" s="147"/>
      <c r="AY3794" s="147"/>
      <c r="AZ3794" s="147"/>
      <c r="BA3794" s="147"/>
    </row>
    <row r="3795" spans="1:53" ht="15.75" customHeight="1">
      <c r="A3795" s="99"/>
      <c r="B3795" s="99"/>
      <c r="C3795" s="147"/>
      <c r="D3795" s="147"/>
      <c r="E3795" s="147"/>
      <c r="F3795" s="147"/>
      <c r="G3795" s="147"/>
      <c r="H3795" s="147"/>
      <c r="I3795" s="147"/>
      <c r="J3795" s="147"/>
      <c r="K3795" s="147"/>
      <c r="L3795" s="147"/>
      <c r="M3795" s="147"/>
      <c r="N3795" s="147"/>
      <c r="O3795" s="147"/>
      <c r="P3795" s="147"/>
      <c r="Q3795" s="147"/>
      <c r="R3795" s="147"/>
      <c r="S3795" s="147"/>
      <c r="T3795" s="147"/>
      <c r="U3795" s="147"/>
      <c r="V3795" s="147"/>
      <c r="W3795" s="147"/>
      <c r="X3795" s="147"/>
      <c r="Y3795" s="147"/>
      <c r="Z3795" s="147"/>
      <c r="AA3795" s="147"/>
      <c r="AB3795" s="147"/>
      <c r="AC3795" s="147"/>
      <c r="AD3795" s="147"/>
      <c r="AE3795" s="147"/>
      <c r="AF3795" s="147"/>
      <c r="AG3795" s="147"/>
      <c r="AH3795" s="147"/>
      <c r="AI3795" s="147"/>
      <c r="AJ3795" s="147"/>
      <c r="AK3795" s="147"/>
      <c r="AL3795" s="147"/>
      <c r="AM3795" s="147"/>
      <c r="AN3795" s="147"/>
      <c r="AO3795" s="147"/>
      <c r="AP3795" s="147"/>
      <c r="AQ3795" s="147"/>
      <c r="AR3795" s="147"/>
      <c r="AS3795" s="147"/>
      <c r="AT3795" s="147"/>
      <c r="AU3795" s="147"/>
      <c r="AV3795" s="147"/>
      <c r="AW3795" s="147"/>
      <c r="AX3795" s="147"/>
      <c r="AY3795" s="147"/>
      <c r="AZ3795" s="147"/>
      <c r="BA3795" s="147"/>
    </row>
    <row r="3796" spans="1:53" ht="15.75" customHeight="1">
      <c r="A3796" s="99"/>
      <c r="B3796" s="99"/>
      <c r="C3796" s="147"/>
      <c r="D3796" s="147"/>
      <c r="E3796" s="147"/>
      <c r="F3796" s="147"/>
      <c r="G3796" s="147"/>
      <c r="H3796" s="147"/>
      <c r="I3796" s="147"/>
      <c r="J3796" s="147"/>
      <c r="K3796" s="147"/>
      <c r="L3796" s="147"/>
      <c r="M3796" s="147"/>
      <c r="N3796" s="147"/>
      <c r="O3796" s="147"/>
      <c r="P3796" s="147"/>
      <c r="Q3796" s="147"/>
      <c r="R3796" s="147"/>
      <c r="S3796" s="147"/>
      <c r="T3796" s="147"/>
      <c r="U3796" s="147"/>
      <c r="V3796" s="147"/>
      <c r="W3796" s="147"/>
      <c r="X3796" s="147"/>
      <c r="Y3796" s="147"/>
      <c r="Z3796" s="147"/>
      <c r="AA3796" s="147"/>
      <c r="AB3796" s="147"/>
      <c r="AC3796" s="147"/>
      <c r="AD3796" s="147"/>
      <c r="AE3796" s="147"/>
      <c r="AF3796" s="147"/>
      <c r="AG3796" s="147"/>
      <c r="AH3796" s="147"/>
      <c r="AI3796" s="147"/>
      <c r="AJ3796" s="147"/>
      <c r="AK3796" s="147"/>
      <c r="AL3796" s="147"/>
      <c r="AM3796" s="147"/>
      <c r="AN3796" s="147"/>
      <c r="AO3796" s="147"/>
      <c r="AP3796" s="147"/>
      <c r="AQ3796" s="147"/>
      <c r="AR3796" s="147"/>
      <c r="AS3796" s="147"/>
      <c r="AT3796" s="147"/>
      <c r="AU3796" s="147"/>
      <c r="AV3796" s="147"/>
      <c r="AW3796" s="147"/>
      <c r="AX3796" s="147"/>
      <c r="AY3796" s="147"/>
      <c r="AZ3796" s="147"/>
      <c r="BA3796" s="147"/>
    </row>
    <row r="3797" spans="1:53" ht="15.75" customHeight="1">
      <c r="A3797" s="99"/>
      <c r="B3797" s="99"/>
      <c r="C3797" s="147"/>
      <c r="D3797" s="147"/>
      <c r="E3797" s="147"/>
      <c r="F3797" s="147"/>
      <c r="G3797" s="147"/>
      <c r="H3797" s="147"/>
      <c r="I3797" s="147"/>
      <c r="J3797" s="147"/>
      <c r="K3797" s="147"/>
      <c r="L3797" s="147"/>
      <c r="M3797" s="147"/>
      <c r="N3797" s="147"/>
      <c r="O3797" s="147"/>
      <c r="P3797" s="147"/>
      <c r="Q3797" s="147"/>
      <c r="R3797" s="147"/>
      <c r="S3797" s="147"/>
      <c r="T3797" s="147"/>
      <c r="U3797" s="147"/>
      <c r="V3797" s="147"/>
      <c r="W3797" s="147"/>
      <c r="X3797" s="147"/>
      <c r="Y3797" s="147"/>
      <c r="Z3797" s="147"/>
      <c r="AA3797" s="147"/>
      <c r="AB3797" s="147"/>
      <c r="AC3797" s="147"/>
      <c r="AD3797" s="147"/>
      <c r="AE3797" s="147"/>
      <c r="AF3797" s="147"/>
      <c r="AG3797" s="147"/>
      <c r="AH3797" s="147"/>
      <c r="AI3797" s="147"/>
      <c r="AJ3797" s="147"/>
      <c r="AK3797" s="147"/>
      <c r="AL3797" s="147"/>
      <c r="AM3797" s="147"/>
      <c r="AN3797" s="147"/>
      <c r="AO3797" s="147"/>
      <c r="AP3797" s="147"/>
      <c r="AQ3797" s="147"/>
      <c r="AR3797" s="147"/>
      <c r="AS3797" s="147"/>
      <c r="AT3797" s="147"/>
      <c r="AU3797" s="147"/>
      <c r="AV3797" s="147"/>
      <c r="AW3797" s="147"/>
      <c r="AX3797" s="147"/>
      <c r="AY3797" s="147"/>
      <c r="AZ3797" s="147"/>
      <c r="BA3797" s="147"/>
    </row>
    <row r="3798" spans="1:53" ht="15.75" customHeight="1">
      <c r="A3798" s="99"/>
      <c r="B3798" s="99"/>
      <c r="C3798" s="147"/>
      <c r="D3798" s="147"/>
      <c r="E3798" s="147"/>
      <c r="F3798" s="147"/>
      <c r="G3798" s="147"/>
      <c r="H3798" s="147"/>
      <c r="I3798" s="147"/>
      <c r="J3798" s="147"/>
      <c r="K3798" s="147"/>
      <c r="L3798" s="147"/>
      <c r="M3798" s="147"/>
      <c r="N3798" s="147"/>
      <c r="O3798" s="147"/>
      <c r="P3798" s="147"/>
      <c r="Q3798" s="147"/>
      <c r="R3798" s="147"/>
      <c r="S3798" s="147"/>
      <c r="T3798" s="147"/>
      <c r="U3798" s="147"/>
      <c r="V3798" s="147"/>
      <c r="W3798" s="147"/>
      <c r="X3798" s="147"/>
      <c r="Y3798" s="147"/>
      <c r="Z3798" s="147"/>
      <c r="AA3798" s="147"/>
      <c r="AB3798" s="147"/>
      <c r="AC3798" s="147"/>
      <c r="AD3798" s="147"/>
      <c r="AE3798" s="147"/>
      <c r="AF3798" s="147"/>
      <c r="AG3798" s="147"/>
      <c r="AH3798" s="147"/>
      <c r="AI3798" s="147"/>
      <c r="AJ3798" s="147"/>
      <c r="AK3798" s="147"/>
      <c r="AL3798" s="147"/>
      <c r="AM3798" s="147"/>
      <c r="AN3798" s="147"/>
      <c r="AO3798" s="147"/>
      <c r="AP3798" s="147"/>
      <c r="AQ3798" s="147"/>
      <c r="AR3798" s="147"/>
      <c r="AS3798" s="147"/>
      <c r="AT3798" s="147"/>
      <c r="AU3798" s="147"/>
      <c r="AV3798" s="147"/>
      <c r="AW3798" s="147"/>
      <c r="AX3798" s="147"/>
      <c r="AY3798" s="147"/>
      <c r="AZ3798" s="147"/>
      <c r="BA3798" s="147"/>
    </row>
    <row r="3799" spans="1:53" ht="15.75" customHeight="1">
      <c r="A3799" s="99"/>
      <c r="B3799" s="99"/>
      <c r="C3799" s="147"/>
      <c r="D3799" s="147"/>
      <c r="E3799" s="147"/>
      <c r="F3799" s="147"/>
      <c r="G3799" s="147"/>
      <c r="H3799" s="147"/>
      <c r="I3799" s="147"/>
      <c r="J3799" s="147"/>
      <c r="K3799" s="147"/>
      <c r="L3799" s="147"/>
      <c r="M3799" s="147"/>
      <c r="N3799" s="147"/>
      <c r="O3799" s="147"/>
      <c r="P3799" s="147"/>
      <c r="Q3799" s="147"/>
      <c r="R3799" s="147"/>
      <c r="S3799" s="147"/>
      <c r="T3799" s="147"/>
      <c r="U3799" s="147"/>
      <c r="V3799" s="147"/>
      <c r="W3799" s="147"/>
      <c r="X3799" s="147"/>
      <c r="Y3799" s="147"/>
      <c r="Z3799" s="147"/>
      <c r="AA3799" s="147"/>
      <c r="AB3799" s="147"/>
      <c r="AC3799" s="147"/>
      <c r="AD3799" s="147"/>
      <c r="AE3799" s="147"/>
      <c r="AF3799" s="147"/>
      <c r="AG3799" s="147"/>
      <c r="AH3799" s="147"/>
      <c r="AI3799" s="147"/>
      <c r="AJ3799" s="147"/>
      <c r="AK3799" s="147"/>
      <c r="AL3799" s="147"/>
      <c r="AM3799" s="147"/>
      <c r="AN3799" s="147"/>
      <c r="AO3799" s="147"/>
      <c r="AP3799" s="147"/>
      <c r="AQ3799" s="147"/>
      <c r="AR3799" s="147"/>
      <c r="AS3799" s="147"/>
      <c r="AT3799" s="147"/>
      <c r="AU3799" s="147"/>
      <c r="AV3799" s="147"/>
      <c r="AW3799" s="147"/>
      <c r="AX3799" s="147"/>
      <c r="AY3799" s="147"/>
      <c r="AZ3799" s="147"/>
      <c r="BA3799" s="147"/>
    </row>
    <row r="3800" spans="1:53" ht="15.75" customHeight="1">
      <c r="A3800" s="99"/>
      <c r="B3800" s="99"/>
      <c r="C3800" s="147"/>
      <c r="D3800" s="147"/>
      <c r="E3800" s="147"/>
      <c r="F3800" s="147"/>
      <c r="G3800" s="147"/>
      <c r="H3800" s="147"/>
      <c r="I3800" s="147"/>
      <c r="J3800" s="147"/>
      <c r="K3800" s="147"/>
      <c r="L3800" s="147"/>
      <c r="M3800" s="147"/>
      <c r="N3800" s="147"/>
      <c r="O3800" s="147"/>
      <c r="P3800" s="147"/>
      <c r="Q3800" s="147"/>
      <c r="R3800" s="147"/>
      <c r="S3800" s="147"/>
      <c r="T3800" s="147"/>
      <c r="U3800" s="147"/>
      <c r="V3800" s="147"/>
      <c r="W3800" s="147"/>
      <c r="X3800" s="147"/>
      <c r="Y3800" s="147"/>
      <c r="Z3800" s="147"/>
      <c r="AA3800" s="147"/>
      <c r="AB3800" s="147"/>
      <c r="AC3800" s="147"/>
      <c r="AD3800" s="147"/>
      <c r="AE3800" s="147"/>
      <c r="AF3800" s="147"/>
      <c r="AG3800" s="147"/>
      <c r="AH3800" s="147"/>
      <c r="AI3800" s="147"/>
      <c r="AJ3800" s="147"/>
      <c r="AK3800" s="147"/>
      <c r="AL3800" s="147"/>
      <c r="AM3800" s="147"/>
      <c r="AN3800" s="147"/>
      <c r="AO3800" s="147"/>
      <c r="AP3800" s="147"/>
      <c r="AQ3800" s="147"/>
      <c r="AR3800" s="147"/>
      <c r="AS3800" s="147"/>
      <c r="AT3800" s="147"/>
      <c r="AU3800" s="147"/>
      <c r="AV3800" s="147"/>
      <c r="AW3800" s="147"/>
      <c r="AX3800" s="147"/>
      <c r="AY3800" s="147"/>
      <c r="AZ3800" s="147"/>
      <c r="BA3800" s="147"/>
    </row>
    <row r="3801" spans="1:53" ht="15.75" customHeight="1">
      <c r="A3801" s="99"/>
      <c r="B3801" s="99"/>
      <c r="C3801" s="147"/>
      <c r="D3801" s="147"/>
      <c r="E3801" s="147"/>
      <c r="F3801" s="147"/>
      <c r="G3801" s="147"/>
      <c r="H3801" s="147"/>
      <c r="I3801" s="147"/>
      <c r="J3801" s="147"/>
      <c r="K3801" s="147"/>
      <c r="L3801" s="147"/>
      <c r="M3801" s="147"/>
      <c r="N3801" s="147"/>
      <c r="O3801" s="147"/>
      <c r="P3801" s="147"/>
      <c r="Q3801" s="147"/>
      <c r="R3801" s="147"/>
      <c r="S3801" s="147"/>
      <c r="T3801" s="147"/>
      <c r="U3801" s="147"/>
      <c r="V3801" s="147"/>
      <c r="W3801" s="147"/>
      <c r="X3801" s="147"/>
      <c r="Y3801" s="147"/>
      <c r="Z3801" s="147"/>
      <c r="AA3801" s="147"/>
      <c r="AB3801" s="147"/>
      <c r="AC3801" s="147"/>
      <c r="AD3801" s="147"/>
      <c r="AE3801" s="147"/>
      <c r="AF3801" s="147"/>
      <c r="AG3801" s="147"/>
      <c r="AH3801" s="147"/>
      <c r="AI3801" s="147"/>
      <c r="AJ3801" s="147"/>
      <c r="AK3801" s="147"/>
      <c r="AL3801" s="147"/>
      <c r="AM3801" s="147"/>
      <c r="AN3801" s="147"/>
      <c r="AO3801" s="147"/>
      <c r="AP3801" s="147"/>
      <c r="AQ3801" s="147"/>
      <c r="AR3801" s="147"/>
      <c r="AS3801" s="147"/>
      <c r="AT3801" s="147"/>
      <c r="AU3801" s="147"/>
      <c r="AV3801" s="147"/>
      <c r="AW3801" s="147"/>
      <c r="AX3801" s="147"/>
      <c r="AY3801" s="147"/>
      <c r="AZ3801" s="147"/>
      <c r="BA3801" s="147"/>
    </row>
    <row r="3802" spans="1:53" ht="15.75" customHeight="1">
      <c r="A3802" s="99"/>
      <c r="B3802" s="99"/>
      <c r="C3802" s="147"/>
      <c r="D3802" s="147"/>
      <c r="E3802" s="147"/>
      <c r="F3802" s="147"/>
      <c r="G3802" s="147"/>
      <c r="H3802" s="147"/>
      <c r="I3802" s="147"/>
      <c r="J3802" s="147"/>
      <c r="K3802" s="147"/>
      <c r="L3802" s="147"/>
      <c r="M3802" s="147"/>
      <c r="N3802" s="147"/>
      <c r="O3802" s="147"/>
      <c r="P3802" s="147"/>
      <c r="Q3802" s="147"/>
      <c r="R3802" s="147"/>
      <c r="S3802" s="147"/>
      <c r="T3802" s="147"/>
      <c r="U3802" s="147"/>
      <c r="V3802" s="147"/>
      <c r="W3802" s="147"/>
      <c r="X3802" s="147"/>
      <c r="Y3802" s="147"/>
      <c r="Z3802" s="147"/>
      <c r="AA3802" s="147"/>
      <c r="AB3802" s="147"/>
      <c r="AC3802" s="147"/>
      <c r="AD3802" s="147"/>
      <c r="AE3802" s="147"/>
      <c r="AF3802" s="147"/>
      <c r="AG3802" s="147"/>
      <c r="AH3802" s="147"/>
      <c r="AI3802" s="147"/>
      <c r="AJ3802" s="147"/>
      <c r="AK3802" s="147"/>
      <c r="AL3802" s="147"/>
      <c r="AM3802" s="147"/>
      <c r="AN3802" s="147"/>
      <c r="AO3802" s="147"/>
      <c r="AP3802" s="147"/>
      <c r="AQ3802" s="147"/>
      <c r="AR3802" s="147"/>
      <c r="AS3802" s="147"/>
      <c r="AT3802" s="147"/>
      <c r="AU3802" s="147"/>
      <c r="AV3802" s="147"/>
      <c r="AW3802" s="147"/>
      <c r="AX3802" s="147"/>
      <c r="AY3802" s="147"/>
      <c r="AZ3802" s="147"/>
      <c r="BA3802" s="147"/>
    </row>
    <row r="3803" spans="1:53" ht="15.75" customHeight="1">
      <c r="A3803" s="99"/>
      <c r="B3803" s="99"/>
      <c r="C3803" s="147"/>
      <c r="D3803" s="147"/>
      <c r="E3803" s="147"/>
      <c r="F3803" s="147"/>
      <c r="G3803" s="147"/>
      <c r="H3803" s="147"/>
      <c r="I3803" s="147"/>
      <c r="J3803" s="147"/>
      <c r="K3803" s="147"/>
      <c r="L3803" s="147"/>
      <c r="M3803" s="147"/>
      <c r="N3803" s="147"/>
      <c r="O3803" s="147"/>
      <c r="P3803" s="147"/>
      <c r="Q3803" s="147"/>
      <c r="R3803" s="147"/>
      <c r="S3803" s="147"/>
      <c r="T3803" s="147"/>
      <c r="U3803" s="147"/>
      <c r="V3803" s="147"/>
      <c r="W3803" s="147"/>
      <c r="X3803" s="147"/>
      <c r="Y3803" s="147"/>
      <c r="Z3803" s="147"/>
      <c r="AA3803" s="147"/>
      <c r="AB3803" s="147"/>
      <c r="AC3803" s="147"/>
      <c r="AD3803" s="147"/>
      <c r="AE3803" s="147"/>
      <c r="AF3803" s="147"/>
      <c r="AG3803" s="147"/>
      <c r="AH3803" s="147"/>
      <c r="AI3803" s="147"/>
      <c r="AJ3803" s="147"/>
      <c r="AK3803" s="147"/>
      <c r="AL3803" s="147"/>
      <c r="AM3803" s="147"/>
      <c r="AN3803" s="147"/>
      <c r="AO3803" s="147"/>
      <c r="AP3803" s="147"/>
      <c r="AQ3803" s="147"/>
      <c r="AR3803" s="147"/>
      <c r="AS3803" s="147"/>
      <c r="AT3803" s="147"/>
      <c r="AU3803" s="147"/>
      <c r="AV3803" s="147"/>
      <c r="AW3803" s="147"/>
      <c r="AX3803" s="147"/>
      <c r="AY3803" s="147"/>
      <c r="AZ3803" s="147"/>
      <c r="BA3803" s="147"/>
    </row>
    <row r="3804" spans="1:53" ht="15.75" customHeight="1">
      <c r="A3804" s="99"/>
      <c r="B3804" s="99"/>
      <c r="C3804" s="147"/>
      <c r="D3804" s="147"/>
      <c r="E3804" s="147"/>
      <c r="F3804" s="147"/>
      <c r="G3804" s="147"/>
      <c r="H3804" s="147"/>
      <c r="I3804" s="147"/>
      <c r="J3804" s="147"/>
      <c r="K3804" s="147"/>
      <c r="L3804" s="147"/>
      <c r="M3804" s="147"/>
      <c r="N3804" s="147"/>
      <c r="O3804" s="147"/>
      <c r="P3804" s="147"/>
      <c r="Q3804" s="147"/>
      <c r="R3804" s="147"/>
      <c r="S3804" s="147"/>
      <c r="T3804" s="147"/>
      <c r="U3804" s="147"/>
      <c r="V3804" s="147"/>
      <c r="W3804" s="147"/>
      <c r="X3804" s="147"/>
      <c r="Y3804" s="147"/>
      <c r="Z3804" s="147"/>
      <c r="AA3804" s="147"/>
      <c r="AB3804" s="147"/>
      <c r="AC3804" s="147"/>
      <c r="AD3804" s="147"/>
      <c r="AE3804" s="147"/>
      <c r="AF3804" s="147"/>
      <c r="AG3804" s="147"/>
      <c r="AH3804" s="147"/>
      <c r="AI3804" s="147"/>
      <c r="AJ3804" s="147"/>
      <c r="AK3804" s="147"/>
      <c r="AL3804" s="147"/>
      <c r="AM3804" s="147"/>
      <c r="AN3804" s="147"/>
      <c r="AO3804" s="147"/>
      <c r="AP3804" s="147"/>
      <c r="AQ3804" s="147"/>
      <c r="AR3804" s="147"/>
      <c r="AS3804" s="147"/>
      <c r="AT3804" s="147"/>
      <c r="AU3804" s="147"/>
      <c r="AV3804" s="147"/>
      <c r="AW3804" s="147"/>
      <c r="AX3804" s="147"/>
      <c r="AY3804" s="147"/>
      <c r="AZ3804" s="147"/>
      <c r="BA3804" s="147"/>
    </row>
    <row r="3805" spans="1:53" ht="15.75" customHeight="1">
      <c r="A3805" s="99"/>
      <c r="B3805" s="99"/>
      <c r="C3805" s="147"/>
      <c r="D3805" s="147"/>
      <c r="E3805" s="147"/>
      <c r="F3805" s="147"/>
      <c r="G3805" s="147"/>
      <c r="H3805" s="147"/>
      <c r="I3805" s="147"/>
      <c r="J3805" s="147"/>
      <c r="K3805" s="147"/>
      <c r="L3805" s="147"/>
      <c r="M3805" s="147"/>
      <c r="N3805" s="147"/>
      <c r="O3805" s="147"/>
      <c r="P3805" s="147"/>
      <c r="Q3805" s="147"/>
      <c r="R3805" s="147"/>
      <c r="S3805" s="147"/>
      <c r="T3805" s="147"/>
      <c r="U3805" s="147"/>
      <c r="V3805" s="147"/>
      <c r="W3805" s="147"/>
      <c r="X3805" s="147"/>
      <c r="Y3805" s="147"/>
      <c r="Z3805" s="147"/>
      <c r="AA3805" s="147"/>
      <c r="AB3805" s="147"/>
      <c r="AC3805" s="147"/>
      <c r="AD3805" s="147"/>
      <c r="AE3805" s="147"/>
      <c r="AF3805" s="147"/>
      <c r="AG3805" s="147"/>
      <c r="AH3805" s="147"/>
      <c r="AI3805" s="147"/>
      <c r="AJ3805" s="147"/>
      <c r="AK3805" s="147"/>
      <c r="AL3805" s="147"/>
      <c r="AM3805" s="147"/>
      <c r="AN3805" s="147"/>
      <c r="AO3805" s="147"/>
      <c r="AP3805" s="147"/>
      <c r="AQ3805" s="147"/>
      <c r="AR3805" s="147"/>
      <c r="AS3805" s="147"/>
      <c r="AT3805" s="147"/>
      <c r="AU3805" s="147"/>
      <c r="AV3805" s="147"/>
      <c r="AW3805" s="147"/>
      <c r="AX3805" s="147"/>
      <c r="AY3805" s="147"/>
      <c r="AZ3805" s="147"/>
      <c r="BA3805" s="147"/>
    </row>
    <row r="3806" spans="1:53" ht="15.75" customHeight="1">
      <c r="A3806" s="99"/>
      <c r="B3806" s="99"/>
      <c r="C3806" s="147"/>
      <c r="D3806" s="147"/>
      <c r="E3806" s="147"/>
      <c r="F3806" s="147"/>
      <c r="G3806" s="147"/>
      <c r="H3806" s="147"/>
      <c r="I3806" s="147"/>
      <c r="J3806" s="147"/>
      <c r="K3806" s="147"/>
      <c r="L3806" s="147"/>
      <c r="M3806" s="147"/>
      <c r="N3806" s="147"/>
      <c r="O3806" s="147"/>
      <c r="P3806" s="147"/>
      <c r="Q3806" s="147"/>
      <c r="R3806" s="147"/>
      <c r="S3806" s="147"/>
      <c r="T3806" s="147"/>
      <c r="U3806" s="147"/>
      <c r="V3806" s="147"/>
      <c r="W3806" s="147"/>
      <c r="X3806" s="147"/>
      <c r="Y3806" s="147"/>
      <c r="Z3806" s="147"/>
      <c r="AA3806" s="147"/>
      <c r="AB3806" s="147"/>
      <c r="AC3806" s="147"/>
      <c r="AD3806" s="147"/>
      <c r="AE3806" s="147"/>
      <c r="AF3806" s="147"/>
      <c r="AG3806" s="147"/>
      <c r="AH3806" s="147"/>
      <c r="AI3806" s="147"/>
      <c r="AJ3806" s="147"/>
      <c r="AK3806" s="147"/>
      <c r="AL3806" s="147"/>
      <c r="AM3806" s="147"/>
      <c r="AN3806" s="147"/>
      <c r="AO3806" s="147"/>
      <c r="AP3806" s="147"/>
      <c r="AQ3806" s="147"/>
      <c r="AR3806" s="147"/>
      <c r="AS3806" s="147"/>
      <c r="AT3806" s="147"/>
      <c r="AU3806" s="147"/>
      <c r="AV3806" s="147"/>
      <c r="AW3806" s="147"/>
      <c r="AX3806" s="147"/>
      <c r="AY3806" s="147"/>
      <c r="AZ3806" s="147"/>
      <c r="BA3806" s="147"/>
    </row>
    <row r="3807" spans="1:53" ht="15.75" customHeight="1">
      <c r="A3807" s="99"/>
      <c r="B3807" s="99"/>
      <c r="C3807" s="147"/>
      <c r="D3807" s="147"/>
      <c r="E3807" s="147"/>
      <c r="F3807" s="147"/>
      <c r="G3807" s="147"/>
      <c r="H3807" s="147"/>
      <c r="I3807" s="147"/>
      <c r="J3807" s="147"/>
      <c r="K3807" s="147"/>
      <c r="L3807" s="147"/>
      <c r="M3807" s="147"/>
      <c r="N3807" s="147"/>
      <c r="O3807" s="147"/>
      <c r="P3807" s="147"/>
      <c r="Q3807" s="147"/>
      <c r="R3807" s="147"/>
      <c r="S3807" s="147"/>
      <c r="T3807" s="147"/>
      <c r="U3807" s="147"/>
      <c r="V3807" s="147"/>
      <c r="W3807" s="147"/>
      <c r="X3807" s="147"/>
      <c r="Y3807" s="147"/>
      <c r="Z3807" s="147"/>
      <c r="AA3807" s="147"/>
      <c r="AB3807" s="147"/>
      <c r="AC3807" s="147"/>
      <c r="AD3807" s="147"/>
      <c r="AE3807" s="147"/>
      <c r="AF3807" s="147"/>
      <c r="AG3807" s="147"/>
      <c r="AH3807" s="147"/>
      <c r="AI3807" s="147"/>
      <c r="AJ3807" s="147"/>
      <c r="AK3807" s="147"/>
      <c r="AL3807" s="147"/>
      <c r="AM3807" s="147"/>
      <c r="AN3807" s="147"/>
      <c r="AO3807" s="147"/>
      <c r="AP3807" s="147"/>
      <c r="AQ3807" s="147"/>
      <c r="AR3807" s="147"/>
      <c r="AS3807" s="147"/>
      <c r="AT3807" s="147"/>
      <c r="AU3807" s="147"/>
      <c r="AV3807" s="147"/>
      <c r="AW3807" s="147"/>
      <c r="AX3807" s="147"/>
      <c r="AY3807" s="147"/>
      <c r="AZ3807" s="147"/>
      <c r="BA3807" s="147"/>
    </row>
    <row r="3808" spans="1:53" ht="15.75" customHeight="1">
      <c r="A3808" s="99"/>
      <c r="B3808" s="99"/>
      <c r="C3808" s="147"/>
      <c r="D3808" s="147"/>
      <c r="E3808" s="147"/>
      <c r="F3808" s="147"/>
      <c r="G3808" s="147"/>
      <c r="H3808" s="147"/>
      <c r="I3808" s="147"/>
      <c r="J3808" s="147"/>
      <c r="K3808" s="147"/>
      <c r="L3808" s="147"/>
      <c r="M3808" s="147"/>
      <c r="N3808" s="147"/>
      <c r="O3808" s="147"/>
      <c r="P3808" s="147"/>
      <c r="Q3808" s="147"/>
      <c r="R3808" s="147"/>
      <c r="S3808" s="147"/>
      <c r="T3808" s="147"/>
      <c r="U3808" s="147"/>
      <c r="V3808" s="147"/>
      <c r="W3808" s="147"/>
      <c r="X3808" s="147"/>
      <c r="Y3808" s="147"/>
      <c r="Z3808" s="147"/>
      <c r="AA3808" s="147"/>
      <c r="AB3808" s="147"/>
      <c r="AC3808" s="147"/>
      <c r="AD3808" s="147"/>
      <c r="AE3808" s="147"/>
      <c r="AF3808" s="147"/>
      <c r="AG3808" s="147"/>
      <c r="AH3808" s="147"/>
      <c r="AI3808" s="147"/>
      <c r="AJ3808" s="147"/>
      <c r="AK3808" s="147"/>
      <c r="AL3808" s="147"/>
      <c r="AM3808" s="147"/>
      <c r="AN3808" s="147"/>
      <c r="AO3808" s="147"/>
      <c r="AP3808" s="147"/>
      <c r="AQ3808" s="147"/>
      <c r="AR3808" s="147"/>
      <c r="AS3808" s="147"/>
      <c r="AT3808" s="147"/>
      <c r="AU3808" s="147"/>
      <c r="AV3808" s="147"/>
      <c r="AW3808" s="147"/>
      <c r="AX3808" s="147"/>
      <c r="AY3808" s="147"/>
      <c r="AZ3808" s="147"/>
      <c r="BA3808" s="147"/>
    </row>
    <row r="3809" spans="1:53" ht="15.75" customHeight="1">
      <c r="A3809" s="99"/>
      <c r="B3809" s="99"/>
      <c r="C3809" s="147"/>
      <c r="D3809" s="147"/>
      <c r="E3809" s="147"/>
      <c r="F3809" s="147"/>
      <c r="G3809" s="147"/>
      <c r="H3809" s="147"/>
      <c r="I3809" s="147"/>
      <c r="J3809" s="147"/>
      <c r="K3809" s="147"/>
      <c r="L3809" s="147"/>
      <c r="M3809" s="147"/>
      <c r="N3809" s="147"/>
      <c r="O3809" s="147"/>
      <c r="P3809" s="147"/>
      <c r="Q3809" s="147"/>
      <c r="R3809" s="147"/>
      <c r="S3809" s="147"/>
      <c r="T3809" s="147"/>
      <c r="U3809" s="147"/>
      <c r="V3809" s="147"/>
      <c r="W3809" s="147"/>
      <c r="X3809" s="147"/>
      <c r="Y3809" s="147"/>
      <c r="Z3809" s="147"/>
      <c r="AA3809" s="147"/>
      <c r="AB3809" s="147"/>
      <c r="AC3809" s="147"/>
      <c r="AD3809" s="147"/>
      <c r="AE3809" s="147"/>
      <c r="AF3809" s="147"/>
      <c r="AG3809" s="147"/>
      <c r="AH3809" s="147"/>
      <c r="AI3809" s="147"/>
      <c r="AJ3809" s="147"/>
      <c r="AK3809" s="147"/>
      <c r="AL3809" s="147"/>
      <c r="AM3809" s="147"/>
      <c r="AN3809" s="147"/>
      <c r="AO3809" s="147"/>
      <c r="AP3809" s="147"/>
      <c r="AQ3809" s="147"/>
      <c r="AR3809" s="147"/>
      <c r="AS3809" s="147"/>
      <c r="AT3809" s="147"/>
      <c r="AU3809" s="147"/>
      <c r="AV3809" s="147"/>
      <c r="AW3809" s="147"/>
      <c r="AX3809" s="147"/>
      <c r="AY3809" s="147"/>
      <c r="AZ3809" s="147"/>
      <c r="BA3809" s="147"/>
    </row>
    <row r="3810" spans="1:53" ht="15.75" customHeight="1">
      <c r="A3810" s="99"/>
      <c r="B3810" s="99"/>
      <c r="C3810" s="147"/>
      <c r="D3810" s="147"/>
      <c r="E3810" s="147"/>
      <c r="F3810" s="147"/>
      <c r="G3810" s="147"/>
      <c r="H3810" s="147"/>
      <c r="I3810" s="147"/>
      <c r="J3810" s="147"/>
      <c r="K3810" s="147"/>
      <c r="L3810" s="147"/>
      <c r="M3810" s="147"/>
      <c r="N3810" s="147"/>
      <c r="O3810" s="147"/>
      <c r="P3810" s="147"/>
      <c r="Q3810" s="147"/>
      <c r="R3810" s="147"/>
      <c r="S3810" s="147"/>
      <c r="T3810" s="147"/>
      <c r="U3810" s="147"/>
      <c r="V3810" s="147"/>
      <c r="W3810" s="147"/>
      <c r="X3810" s="147"/>
      <c r="Y3810" s="147"/>
      <c r="Z3810" s="147"/>
      <c r="AA3810" s="147"/>
      <c r="AB3810" s="147"/>
      <c r="AC3810" s="147"/>
      <c r="AD3810" s="147"/>
      <c r="AE3810" s="147"/>
      <c r="AF3810" s="147"/>
      <c r="AG3810" s="147"/>
      <c r="AH3810" s="147"/>
      <c r="AI3810" s="147"/>
      <c r="AJ3810" s="147"/>
      <c r="AK3810" s="147"/>
      <c r="AL3810" s="147"/>
      <c r="AM3810" s="147"/>
      <c r="AN3810" s="147"/>
      <c r="AO3810" s="147"/>
      <c r="AP3810" s="147"/>
      <c r="AQ3810" s="147"/>
      <c r="AR3810" s="147"/>
      <c r="AS3810" s="147"/>
      <c r="AT3810" s="147"/>
      <c r="AU3810" s="147"/>
      <c r="AV3810" s="147"/>
      <c r="AW3810" s="147"/>
      <c r="AX3810" s="147"/>
      <c r="AY3810" s="147"/>
      <c r="AZ3810" s="147"/>
      <c r="BA3810" s="147"/>
    </row>
    <row r="3811" spans="1:53" ht="15.75" customHeight="1">
      <c r="A3811" s="99"/>
      <c r="B3811" s="99"/>
      <c r="C3811" s="147"/>
      <c r="D3811" s="147"/>
      <c r="E3811" s="147"/>
      <c r="F3811" s="147"/>
      <c r="G3811" s="147"/>
      <c r="H3811" s="147"/>
      <c r="I3811" s="147"/>
      <c r="J3811" s="147"/>
      <c r="K3811" s="147"/>
      <c r="L3811" s="147"/>
      <c r="M3811" s="147"/>
      <c r="N3811" s="147"/>
      <c r="O3811" s="147"/>
      <c r="P3811" s="147"/>
      <c r="Q3811" s="147"/>
      <c r="R3811" s="147"/>
      <c r="S3811" s="147"/>
      <c r="T3811" s="147"/>
      <c r="U3811" s="147"/>
      <c r="V3811" s="147"/>
      <c r="W3811" s="147"/>
      <c r="X3811" s="147"/>
      <c r="Y3811" s="147"/>
      <c r="Z3811" s="147"/>
      <c r="AA3811" s="147"/>
      <c r="AB3811" s="147"/>
      <c r="AC3811" s="147"/>
      <c r="AD3811" s="147"/>
      <c r="AE3811" s="147"/>
      <c r="AF3811" s="147"/>
      <c r="AG3811" s="147"/>
      <c r="AH3811" s="147"/>
      <c r="AI3811" s="147"/>
      <c r="AJ3811" s="147"/>
      <c r="AK3811" s="147"/>
      <c r="AL3811" s="147"/>
      <c r="AM3811" s="147"/>
      <c r="AN3811" s="147"/>
      <c r="AO3811" s="147"/>
      <c r="AP3811" s="147"/>
      <c r="AQ3811" s="147"/>
      <c r="AR3811" s="147"/>
      <c r="AS3811" s="147"/>
      <c r="AT3811" s="147"/>
      <c r="AU3811" s="147"/>
      <c r="AV3811" s="147"/>
      <c r="AW3811" s="147"/>
      <c r="AX3811" s="147"/>
      <c r="AY3811" s="147"/>
      <c r="AZ3811" s="147"/>
      <c r="BA3811" s="147"/>
    </row>
    <row r="3812" spans="1:53" ht="15.75" customHeight="1">
      <c r="A3812" s="99"/>
      <c r="B3812" s="99"/>
      <c r="C3812" s="147"/>
      <c r="D3812" s="147"/>
      <c r="E3812" s="147"/>
      <c r="F3812" s="147"/>
      <c r="G3812" s="147"/>
      <c r="H3812" s="147"/>
      <c r="I3812" s="147"/>
      <c r="J3812" s="147"/>
      <c r="K3812" s="147"/>
      <c r="L3812" s="147"/>
      <c r="M3812" s="147"/>
      <c r="N3812" s="147"/>
      <c r="O3812" s="147"/>
      <c r="P3812" s="147"/>
      <c r="Q3812" s="147"/>
      <c r="R3812" s="147"/>
      <c r="S3812" s="147"/>
      <c r="T3812" s="147"/>
      <c r="U3812" s="147"/>
      <c r="V3812" s="147"/>
      <c r="W3812" s="147"/>
      <c r="X3812" s="147"/>
      <c r="Y3812" s="147"/>
      <c r="Z3812" s="147"/>
      <c r="AA3812" s="147"/>
      <c r="AB3812" s="147"/>
      <c r="AC3812" s="147"/>
      <c r="AD3812" s="147"/>
      <c r="AE3812" s="147"/>
      <c r="AF3812" s="147"/>
      <c r="AG3812" s="147"/>
      <c r="AH3812" s="147"/>
      <c r="AI3812" s="147"/>
      <c r="AJ3812" s="147"/>
      <c r="AK3812" s="147"/>
      <c r="AL3812" s="147"/>
      <c r="AM3812" s="147"/>
      <c r="AN3812" s="147"/>
      <c r="AO3812" s="147"/>
      <c r="AP3812" s="147"/>
      <c r="AQ3812" s="147"/>
      <c r="AR3812" s="147"/>
      <c r="AS3812" s="147"/>
      <c r="AT3812" s="147"/>
      <c r="AU3812" s="147"/>
      <c r="AV3812" s="147"/>
      <c r="AW3812" s="147"/>
      <c r="AX3812" s="147"/>
      <c r="AY3812" s="147"/>
      <c r="AZ3812" s="147"/>
      <c r="BA3812" s="147"/>
    </row>
    <row r="3813" spans="1:53" ht="15.75" customHeight="1">
      <c r="A3813" s="99"/>
      <c r="B3813" s="99"/>
      <c r="C3813" s="147"/>
      <c r="D3813" s="147"/>
      <c r="E3813" s="147"/>
      <c r="F3813" s="147"/>
      <c r="G3813" s="147"/>
      <c r="H3813" s="147"/>
      <c r="I3813" s="147"/>
      <c r="J3813" s="147"/>
      <c r="K3813" s="147"/>
      <c r="L3813" s="147"/>
      <c r="M3813" s="147"/>
      <c r="N3813" s="147"/>
      <c r="O3813" s="147"/>
      <c r="P3813" s="147"/>
      <c r="Q3813" s="147"/>
      <c r="R3813" s="147"/>
      <c r="S3813" s="147"/>
      <c r="T3813" s="147"/>
      <c r="U3813" s="147"/>
      <c r="V3813" s="147"/>
      <c r="W3813" s="147"/>
      <c r="X3813" s="147"/>
      <c r="Y3813" s="147"/>
      <c r="Z3813" s="147"/>
      <c r="AA3813" s="147"/>
      <c r="AB3813" s="147"/>
      <c r="AC3813" s="147"/>
      <c r="AD3813" s="147"/>
      <c r="AE3813" s="147"/>
      <c r="AF3813" s="147"/>
      <c r="AG3813" s="147"/>
      <c r="AH3813" s="147"/>
      <c r="AI3813" s="147"/>
      <c r="AJ3813" s="147"/>
      <c r="AK3813" s="147"/>
      <c r="AL3813" s="147"/>
      <c r="AM3813" s="147"/>
      <c r="AN3813" s="147"/>
      <c r="AO3813" s="147"/>
      <c r="AP3813" s="147"/>
      <c r="AQ3813" s="147"/>
      <c r="AR3813" s="147"/>
      <c r="AS3813" s="147"/>
      <c r="AT3813" s="147"/>
      <c r="AU3813" s="147"/>
      <c r="AV3813" s="147"/>
      <c r="AW3813" s="147"/>
      <c r="AX3813" s="147"/>
      <c r="AY3813" s="147"/>
      <c r="AZ3813" s="147"/>
      <c r="BA3813" s="147"/>
    </row>
    <row r="3814" spans="1:53" ht="15.75" customHeight="1">
      <c r="A3814" s="99"/>
      <c r="B3814" s="99"/>
      <c r="C3814" s="147"/>
      <c r="D3814" s="147"/>
      <c r="E3814" s="147"/>
      <c r="F3814" s="147"/>
      <c r="G3814" s="147"/>
      <c r="H3814" s="147"/>
      <c r="I3814" s="147"/>
      <c r="J3814" s="147"/>
      <c r="K3814" s="147"/>
      <c r="L3814" s="147"/>
      <c r="M3814" s="147"/>
      <c r="N3814" s="147"/>
      <c r="O3814" s="147"/>
      <c r="P3814" s="147"/>
      <c r="Q3814" s="147"/>
      <c r="R3814" s="147"/>
      <c r="S3814" s="147"/>
      <c r="T3814" s="147"/>
      <c r="U3814" s="147"/>
      <c r="V3814" s="147"/>
      <c r="W3814" s="147"/>
      <c r="X3814" s="147"/>
      <c r="Y3814" s="147"/>
      <c r="Z3814" s="147"/>
      <c r="AA3814" s="147"/>
      <c r="AB3814" s="147"/>
      <c r="AC3814" s="147"/>
      <c r="AD3814" s="147"/>
      <c r="AE3814" s="147"/>
      <c r="AF3814" s="147"/>
      <c r="AG3814" s="147"/>
      <c r="AH3814" s="147"/>
      <c r="AI3814" s="147"/>
      <c r="AJ3814" s="147"/>
      <c r="AK3814" s="147"/>
      <c r="AL3814" s="147"/>
      <c r="AM3814" s="147"/>
      <c r="AN3814" s="147"/>
      <c r="AO3814" s="147"/>
      <c r="AP3814" s="147"/>
      <c r="AQ3814" s="147"/>
      <c r="AR3814" s="147"/>
      <c r="AS3814" s="147"/>
      <c r="AT3814" s="147"/>
      <c r="AU3814" s="147"/>
      <c r="AV3814" s="147"/>
      <c r="AW3814" s="147"/>
      <c r="AX3814" s="147"/>
      <c r="AY3814" s="147"/>
      <c r="AZ3814" s="147"/>
      <c r="BA3814" s="147"/>
    </row>
    <row r="3815" spans="1:53" ht="15.75" customHeight="1">
      <c r="A3815" s="99"/>
      <c r="B3815" s="99"/>
      <c r="C3815" s="147"/>
      <c r="D3815" s="147"/>
      <c r="E3815" s="147"/>
      <c r="F3815" s="147"/>
      <c r="G3815" s="147"/>
      <c r="H3815" s="147"/>
      <c r="I3815" s="147"/>
      <c r="J3815" s="147"/>
      <c r="K3815" s="147"/>
      <c r="L3815" s="147"/>
      <c r="M3815" s="147"/>
      <c r="N3815" s="147"/>
      <c r="O3815" s="147"/>
      <c r="P3815" s="147"/>
      <c r="Q3815" s="147"/>
      <c r="R3815" s="147"/>
      <c r="S3815" s="147"/>
      <c r="T3815" s="147"/>
      <c r="U3815" s="147"/>
      <c r="V3815" s="147"/>
      <c r="W3815" s="147"/>
      <c r="X3815" s="147"/>
      <c r="Y3815" s="147"/>
      <c r="Z3815" s="147"/>
      <c r="AA3815" s="147"/>
      <c r="AB3815" s="147"/>
      <c r="AC3815" s="147"/>
      <c r="AD3815" s="147"/>
      <c r="AE3815" s="147"/>
      <c r="AF3815" s="147"/>
      <c r="AG3815" s="147"/>
      <c r="AH3815" s="147"/>
      <c r="AI3815" s="147"/>
      <c r="AJ3815" s="147"/>
      <c r="AK3815" s="147"/>
      <c r="AL3815" s="147"/>
      <c r="AM3815" s="147"/>
      <c r="AN3815" s="147"/>
      <c r="AO3815" s="147"/>
      <c r="AP3815" s="147"/>
      <c r="AQ3815" s="147"/>
      <c r="AR3815" s="147"/>
      <c r="AS3815" s="147"/>
      <c r="AT3815" s="147"/>
      <c r="AU3815" s="147"/>
      <c r="AV3815" s="147"/>
      <c r="AW3815" s="147"/>
      <c r="AX3815" s="147"/>
      <c r="AY3815" s="147"/>
      <c r="AZ3815" s="147"/>
      <c r="BA3815" s="147"/>
    </row>
    <row r="3816" spans="1:53" ht="15.75" customHeight="1">
      <c r="A3816" s="99"/>
      <c r="B3816" s="99"/>
      <c r="C3816" s="147"/>
      <c r="D3816" s="147"/>
      <c r="E3816" s="147"/>
      <c r="F3816" s="147"/>
      <c r="G3816" s="147"/>
      <c r="H3816" s="147"/>
      <c r="I3816" s="147"/>
      <c r="J3816" s="147"/>
      <c r="K3816" s="147"/>
      <c r="L3816" s="147"/>
      <c r="M3816" s="147"/>
      <c r="N3816" s="147"/>
      <c r="O3816" s="147"/>
      <c r="P3816" s="147"/>
      <c r="Q3816" s="147"/>
      <c r="R3816" s="147"/>
      <c r="S3816" s="147"/>
      <c r="T3816" s="147"/>
      <c r="U3816" s="147"/>
      <c r="V3816" s="147"/>
      <c r="W3816" s="147"/>
      <c r="X3816" s="147"/>
      <c r="Y3816" s="147"/>
      <c r="Z3816" s="147"/>
      <c r="AA3816" s="147"/>
      <c r="AB3816" s="147"/>
      <c r="AC3816" s="147"/>
      <c r="AD3816" s="147"/>
      <c r="AE3816" s="147"/>
      <c r="AF3816" s="147"/>
      <c r="AG3816" s="147"/>
      <c r="AH3816" s="147"/>
      <c r="AI3816" s="147"/>
      <c r="AJ3816" s="147"/>
      <c r="AK3816" s="147"/>
      <c r="AL3816" s="147"/>
      <c r="AM3816" s="147"/>
      <c r="AN3816" s="147"/>
      <c r="AO3816" s="147"/>
      <c r="AP3816" s="147"/>
      <c r="AQ3816" s="147"/>
      <c r="AR3816" s="147"/>
      <c r="AS3816" s="147"/>
      <c r="AT3816" s="147"/>
      <c r="AU3816" s="147"/>
      <c r="AV3816" s="147"/>
      <c r="AW3816" s="147"/>
      <c r="AX3816" s="147"/>
      <c r="AY3816" s="147"/>
      <c r="AZ3816" s="147"/>
      <c r="BA3816" s="147"/>
    </row>
    <row r="3817" spans="1:53" ht="15.75" customHeight="1">
      <c r="A3817" s="99"/>
      <c r="B3817" s="99"/>
      <c r="C3817" s="147"/>
      <c r="D3817" s="147"/>
      <c r="E3817" s="147"/>
      <c r="F3817" s="147"/>
      <c r="G3817" s="147"/>
      <c r="H3817" s="147"/>
      <c r="I3817" s="147"/>
      <c r="J3817" s="147"/>
      <c r="K3817" s="147"/>
      <c r="L3817" s="147"/>
      <c r="M3817" s="147"/>
      <c r="N3817" s="147"/>
      <c r="O3817" s="147"/>
      <c r="P3817" s="147"/>
      <c r="Q3817" s="147"/>
      <c r="R3817" s="147"/>
      <c r="S3817" s="147"/>
      <c r="T3817" s="147"/>
      <c r="U3817" s="147"/>
      <c r="V3817" s="147"/>
      <c r="W3817" s="147"/>
      <c r="X3817" s="147"/>
      <c r="Y3817" s="147"/>
      <c r="Z3817" s="147"/>
      <c r="AA3817" s="147"/>
      <c r="AB3817" s="147"/>
      <c r="AC3817" s="147"/>
      <c r="AD3817" s="147"/>
      <c r="AE3817" s="147"/>
      <c r="AF3817" s="147"/>
      <c r="AG3817" s="147"/>
      <c r="AH3817" s="147"/>
      <c r="AI3817" s="147"/>
      <c r="AJ3817" s="147"/>
      <c r="AK3817" s="147"/>
      <c r="AL3817" s="147"/>
      <c r="AM3817" s="147"/>
      <c r="AN3817" s="147"/>
      <c r="AO3817" s="147"/>
      <c r="AP3817" s="147"/>
      <c r="AQ3817" s="147"/>
      <c r="AR3817" s="147"/>
      <c r="AS3817" s="147"/>
      <c r="AT3817" s="147"/>
      <c r="AU3817" s="147"/>
      <c r="AV3817" s="147"/>
      <c r="AW3817" s="147"/>
      <c r="AX3817" s="147"/>
      <c r="AY3817" s="147"/>
      <c r="AZ3817" s="147"/>
      <c r="BA3817" s="147"/>
    </row>
    <row r="3818" spans="1:53" ht="15.75" customHeight="1">
      <c r="A3818" s="99"/>
      <c r="B3818" s="99"/>
      <c r="C3818" s="147"/>
      <c r="D3818" s="147"/>
      <c r="E3818" s="147"/>
      <c r="F3818" s="147"/>
      <c r="G3818" s="147"/>
      <c r="H3818" s="147"/>
      <c r="I3818" s="147"/>
      <c r="J3818" s="147"/>
      <c r="K3818" s="147"/>
      <c r="L3818" s="147"/>
      <c r="M3818" s="147"/>
      <c r="N3818" s="147"/>
      <c r="O3818" s="147"/>
      <c r="P3818" s="147"/>
      <c r="Q3818" s="147"/>
      <c r="R3818" s="147"/>
      <c r="S3818" s="147"/>
      <c r="T3818" s="147"/>
      <c r="U3818" s="147"/>
      <c r="V3818" s="147"/>
      <c r="W3818" s="147"/>
      <c r="X3818" s="147"/>
      <c r="Y3818" s="147"/>
      <c r="Z3818" s="147"/>
      <c r="AA3818" s="147"/>
      <c r="AB3818" s="147"/>
      <c r="AC3818" s="147"/>
      <c r="AD3818" s="147"/>
      <c r="AE3818" s="147"/>
      <c r="AF3818" s="147"/>
      <c r="AG3818" s="147"/>
      <c r="AH3818" s="147"/>
      <c r="AI3818" s="147"/>
      <c r="AJ3818" s="147"/>
      <c r="AK3818" s="147"/>
      <c r="AL3818" s="147"/>
      <c r="AM3818" s="147"/>
      <c r="AN3818" s="147"/>
      <c r="AO3818" s="147"/>
      <c r="AP3818" s="147"/>
      <c r="AQ3818" s="147"/>
      <c r="AR3818" s="147"/>
      <c r="AS3818" s="147"/>
      <c r="AT3818" s="147"/>
      <c r="AU3818" s="147"/>
      <c r="AV3818" s="147"/>
      <c r="AW3818" s="147"/>
      <c r="AX3818" s="147"/>
      <c r="AY3818" s="147"/>
      <c r="AZ3818" s="147"/>
      <c r="BA3818" s="147"/>
    </row>
    <row r="3819" spans="1:53" ht="15.75" customHeight="1">
      <c r="A3819" s="99"/>
      <c r="B3819" s="99"/>
      <c r="C3819" s="147"/>
      <c r="D3819" s="147"/>
      <c r="E3819" s="147"/>
      <c r="F3819" s="147"/>
      <c r="G3819" s="147"/>
      <c r="H3819" s="147"/>
      <c r="I3819" s="147"/>
      <c r="J3819" s="147"/>
      <c r="K3819" s="147"/>
      <c r="L3819" s="147"/>
      <c r="M3819" s="147"/>
      <c r="N3819" s="147"/>
      <c r="O3819" s="147"/>
      <c r="P3819" s="147"/>
      <c r="Q3819" s="147"/>
      <c r="R3819" s="147"/>
      <c r="S3819" s="147"/>
      <c r="T3819" s="147"/>
      <c r="U3819" s="147"/>
      <c r="V3819" s="147"/>
      <c r="W3819" s="147"/>
      <c r="X3819" s="147"/>
      <c r="Y3819" s="147"/>
      <c r="Z3819" s="147"/>
      <c r="AA3819" s="147"/>
      <c r="AB3819" s="147"/>
      <c r="AC3819" s="147"/>
      <c r="AD3819" s="147"/>
      <c r="AE3819" s="147"/>
      <c r="AF3819" s="147"/>
      <c r="AG3819" s="147"/>
      <c r="AH3819" s="147"/>
      <c r="AI3819" s="147"/>
      <c r="AJ3819" s="147"/>
      <c r="AK3819" s="147"/>
      <c r="AL3819" s="147"/>
      <c r="AM3819" s="147"/>
      <c r="AN3819" s="147"/>
      <c r="AO3819" s="147"/>
      <c r="AP3819" s="147"/>
      <c r="AQ3819" s="147"/>
      <c r="AR3819" s="147"/>
      <c r="AS3819" s="147"/>
      <c r="AT3819" s="147"/>
      <c r="AU3819" s="147"/>
      <c r="AV3819" s="147"/>
      <c r="AW3819" s="147"/>
      <c r="AX3819" s="147"/>
      <c r="AY3819" s="147"/>
      <c r="AZ3819" s="147"/>
      <c r="BA3819" s="147"/>
    </row>
    <row r="3820" spans="1:53" ht="15.75" customHeight="1">
      <c r="A3820" s="99"/>
      <c r="B3820" s="99"/>
      <c r="C3820" s="147"/>
      <c r="D3820" s="147"/>
      <c r="E3820" s="147"/>
      <c r="F3820" s="147"/>
      <c r="G3820" s="147"/>
      <c r="H3820" s="147"/>
      <c r="I3820" s="147"/>
      <c r="J3820" s="147"/>
      <c r="K3820" s="147"/>
      <c r="L3820" s="147"/>
      <c r="M3820" s="147"/>
      <c r="N3820" s="147"/>
      <c r="O3820" s="147"/>
      <c r="P3820" s="147"/>
      <c r="Q3820" s="147"/>
      <c r="R3820" s="147"/>
      <c r="S3820" s="147"/>
      <c r="T3820" s="147"/>
      <c r="U3820" s="147"/>
      <c r="V3820" s="147"/>
      <c r="W3820" s="147"/>
      <c r="X3820" s="147"/>
      <c r="Y3820" s="147"/>
      <c r="Z3820" s="147"/>
      <c r="AA3820" s="147"/>
      <c r="AB3820" s="147"/>
      <c r="AC3820" s="147"/>
      <c r="AD3820" s="147"/>
      <c r="AE3820" s="147"/>
      <c r="AF3820" s="147"/>
      <c r="AG3820" s="147"/>
      <c r="AH3820" s="147"/>
      <c r="AI3820" s="147"/>
      <c r="AJ3820" s="147"/>
      <c r="AK3820" s="147"/>
      <c r="AL3820" s="147"/>
      <c r="AM3820" s="147"/>
      <c r="AN3820" s="147"/>
      <c r="AO3820" s="147"/>
      <c r="AP3820" s="147"/>
      <c r="AQ3820" s="147"/>
      <c r="AR3820" s="147"/>
      <c r="AS3820" s="147"/>
      <c r="AT3820" s="147"/>
      <c r="AU3820" s="147"/>
      <c r="AV3820" s="147"/>
      <c r="AW3820" s="147"/>
      <c r="AX3820" s="147"/>
      <c r="AY3820" s="147"/>
      <c r="AZ3820" s="147"/>
      <c r="BA3820" s="147"/>
    </row>
    <row r="3821" spans="1:53" ht="15.75" customHeight="1">
      <c r="A3821" s="99"/>
      <c r="B3821" s="99"/>
      <c r="C3821" s="147"/>
      <c r="D3821" s="147"/>
      <c r="E3821" s="147"/>
      <c r="F3821" s="147"/>
      <c r="G3821" s="147"/>
      <c r="H3821" s="147"/>
      <c r="I3821" s="147"/>
      <c r="J3821" s="147"/>
      <c r="K3821" s="147"/>
      <c r="L3821" s="147"/>
      <c r="M3821" s="147"/>
      <c r="N3821" s="147"/>
      <c r="O3821" s="147"/>
      <c r="P3821" s="147"/>
      <c r="Q3821" s="147"/>
      <c r="R3821" s="147"/>
      <c r="S3821" s="147"/>
      <c r="T3821" s="147"/>
      <c r="U3821" s="147"/>
      <c r="V3821" s="147"/>
      <c r="W3821" s="147"/>
      <c r="X3821" s="147"/>
      <c r="Y3821" s="147"/>
      <c r="Z3821" s="147"/>
      <c r="AA3821" s="147"/>
      <c r="AB3821" s="147"/>
      <c r="AC3821" s="147"/>
      <c r="AD3821" s="147"/>
      <c r="AE3821" s="147"/>
      <c r="AF3821" s="147"/>
      <c r="AG3821" s="147"/>
      <c r="AH3821" s="147"/>
      <c r="AI3821" s="147"/>
      <c r="AJ3821" s="147"/>
      <c r="AK3821" s="147"/>
      <c r="AL3821" s="147"/>
      <c r="AM3821" s="147"/>
      <c r="AN3821" s="147"/>
      <c r="AO3821" s="147"/>
      <c r="AP3821" s="147"/>
      <c r="AQ3821" s="147"/>
      <c r="AR3821" s="147"/>
      <c r="AS3821" s="147"/>
      <c r="AT3821" s="147"/>
      <c r="AU3821" s="147"/>
      <c r="AV3821" s="147"/>
      <c r="AW3821" s="147"/>
      <c r="AX3821" s="147"/>
      <c r="AY3821" s="147"/>
      <c r="AZ3821" s="147"/>
      <c r="BA3821" s="147"/>
    </row>
    <row r="3822" spans="1:53" ht="15.75" customHeight="1">
      <c r="A3822" s="99"/>
      <c r="B3822" s="99"/>
      <c r="C3822" s="147"/>
      <c r="D3822" s="147"/>
      <c r="E3822" s="147"/>
      <c r="F3822" s="147"/>
      <c r="G3822" s="147"/>
      <c r="H3822" s="147"/>
      <c r="I3822" s="147"/>
      <c r="J3822" s="147"/>
      <c r="K3822" s="147"/>
      <c r="L3822" s="147"/>
      <c r="M3822" s="147"/>
      <c r="N3822" s="147"/>
      <c r="O3822" s="147"/>
      <c r="P3822" s="147"/>
      <c r="Q3822" s="147"/>
      <c r="R3822" s="147"/>
      <c r="S3822" s="147"/>
      <c r="T3822" s="147"/>
      <c r="U3822" s="147"/>
      <c r="V3822" s="147"/>
      <c r="W3822" s="147"/>
      <c r="X3822" s="147"/>
      <c r="Y3822" s="147"/>
      <c r="Z3822" s="147"/>
      <c r="AA3822" s="147"/>
      <c r="AB3822" s="147"/>
      <c r="AC3822" s="147"/>
      <c r="AD3822" s="147"/>
      <c r="AE3822" s="147"/>
      <c r="AF3822" s="147"/>
      <c r="AG3822" s="147"/>
      <c r="AH3822" s="147"/>
      <c r="AI3822" s="147"/>
      <c r="AJ3822" s="147"/>
      <c r="AK3822" s="147"/>
      <c r="AL3822" s="147"/>
      <c r="AM3822" s="147"/>
      <c r="AN3822" s="147"/>
      <c r="AO3822" s="147"/>
      <c r="AP3822" s="147"/>
      <c r="AQ3822" s="147"/>
      <c r="AR3822" s="147"/>
      <c r="AS3822" s="147"/>
      <c r="AT3822" s="147"/>
      <c r="AU3822" s="147"/>
      <c r="AV3822" s="147"/>
      <c r="AW3822" s="147"/>
      <c r="AX3822" s="147"/>
      <c r="AY3822" s="147"/>
      <c r="AZ3822" s="147"/>
      <c r="BA3822" s="147"/>
    </row>
    <row r="3823" spans="1:53" ht="15.75" customHeight="1">
      <c r="A3823" s="99"/>
      <c r="B3823" s="99"/>
      <c r="C3823" s="147"/>
      <c r="D3823" s="147"/>
      <c r="E3823" s="147"/>
      <c r="F3823" s="147"/>
      <c r="G3823" s="147"/>
      <c r="H3823" s="147"/>
      <c r="I3823" s="147"/>
      <c r="J3823" s="147"/>
      <c r="K3823" s="147"/>
      <c r="L3823" s="147"/>
      <c r="M3823" s="147"/>
      <c r="N3823" s="147"/>
      <c r="O3823" s="147"/>
      <c r="P3823" s="147"/>
      <c r="Q3823" s="147"/>
      <c r="R3823" s="147"/>
      <c r="S3823" s="147"/>
      <c r="T3823" s="147"/>
      <c r="U3823" s="147"/>
      <c r="V3823" s="147"/>
      <c r="W3823" s="147"/>
      <c r="X3823" s="147"/>
      <c r="Y3823" s="147"/>
      <c r="Z3823" s="147"/>
      <c r="AA3823" s="147"/>
      <c r="AB3823" s="147"/>
      <c r="AC3823" s="147"/>
      <c r="AD3823" s="147"/>
      <c r="AE3823" s="147"/>
      <c r="AF3823" s="147"/>
      <c r="AG3823" s="147"/>
      <c r="AH3823" s="147"/>
      <c r="AI3823" s="147"/>
      <c r="AJ3823" s="147"/>
      <c r="AK3823" s="147"/>
      <c r="AL3823" s="147"/>
      <c r="AM3823" s="147"/>
      <c r="AN3823" s="147"/>
      <c r="AO3823" s="147"/>
      <c r="AP3823" s="147"/>
      <c r="AQ3823" s="147"/>
      <c r="AR3823" s="147"/>
      <c r="AS3823" s="147"/>
      <c r="AT3823" s="147"/>
      <c r="AU3823" s="147"/>
      <c r="AV3823" s="147"/>
      <c r="AW3823" s="147"/>
      <c r="AX3823" s="147"/>
      <c r="AY3823" s="147"/>
      <c r="AZ3823" s="147"/>
      <c r="BA3823" s="147"/>
    </row>
    <row r="3824" spans="1:53" ht="15.75" customHeight="1">
      <c r="A3824" s="99"/>
      <c r="B3824" s="99"/>
      <c r="C3824" s="147"/>
      <c r="D3824" s="147"/>
      <c r="E3824" s="147"/>
      <c r="F3824" s="147"/>
      <c r="G3824" s="147"/>
      <c r="H3824" s="147"/>
      <c r="I3824" s="147"/>
      <c r="J3824" s="147"/>
      <c r="K3824" s="147"/>
      <c r="L3824" s="147"/>
      <c r="M3824" s="147"/>
      <c r="N3824" s="147"/>
      <c r="O3824" s="147"/>
      <c r="P3824" s="147"/>
      <c r="Q3824" s="147"/>
      <c r="R3824" s="147"/>
      <c r="S3824" s="147"/>
      <c r="T3824" s="147"/>
      <c r="U3824" s="147"/>
      <c r="V3824" s="147"/>
      <c r="W3824" s="147"/>
      <c r="X3824" s="147"/>
      <c r="Y3824" s="147"/>
      <c r="Z3824" s="147"/>
      <c r="AA3824" s="147"/>
      <c r="AB3824" s="147"/>
      <c r="AC3824" s="147"/>
      <c r="AD3824" s="147"/>
      <c r="AE3824" s="147"/>
      <c r="AF3824" s="147"/>
      <c r="AG3824" s="147"/>
      <c r="AH3824" s="147"/>
      <c r="AI3824" s="147"/>
      <c r="AJ3824" s="147"/>
      <c r="AK3824" s="147"/>
      <c r="AL3824" s="147"/>
      <c r="AM3824" s="147"/>
      <c r="AN3824" s="147"/>
      <c r="AO3824" s="147"/>
      <c r="AP3824" s="147"/>
      <c r="AQ3824" s="147"/>
      <c r="AR3824" s="147"/>
      <c r="AS3824" s="147"/>
      <c r="AT3824" s="147"/>
      <c r="AU3824" s="147"/>
      <c r="AV3824" s="147"/>
      <c r="AW3824" s="147"/>
      <c r="AX3824" s="147"/>
      <c r="AY3824" s="147"/>
      <c r="AZ3824" s="147"/>
      <c r="BA3824" s="147"/>
    </row>
    <row r="3825" spans="1:53" ht="15.75" customHeight="1">
      <c r="A3825" s="99"/>
      <c r="B3825" s="99"/>
      <c r="C3825" s="147"/>
      <c r="D3825" s="147"/>
      <c r="E3825" s="147"/>
      <c r="F3825" s="147"/>
      <c r="G3825" s="147"/>
      <c r="H3825" s="147"/>
      <c r="I3825" s="147"/>
      <c r="J3825" s="147"/>
      <c r="K3825" s="147"/>
      <c r="L3825" s="147"/>
      <c r="M3825" s="147"/>
      <c r="N3825" s="147"/>
      <c r="O3825" s="147"/>
      <c r="P3825" s="147"/>
      <c r="Q3825" s="147"/>
      <c r="R3825" s="147"/>
      <c r="S3825" s="147"/>
      <c r="T3825" s="147"/>
      <c r="U3825" s="147"/>
      <c r="V3825" s="147"/>
      <c r="W3825" s="147"/>
      <c r="X3825" s="147"/>
      <c r="Y3825" s="147"/>
      <c r="Z3825" s="147"/>
      <c r="AA3825" s="147"/>
      <c r="AB3825" s="147"/>
      <c r="AC3825" s="147"/>
      <c r="AD3825" s="147"/>
      <c r="AE3825" s="147"/>
      <c r="AF3825" s="147"/>
      <c r="AG3825" s="147"/>
      <c r="AH3825" s="147"/>
      <c r="AI3825" s="147"/>
      <c r="AJ3825" s="147"/>
      <c r="AK3825" s="147"/>
      <c r="AL3825" s="147"/>
      <c r="AM3825" s="147"/>
      <c r="AN3825" s="147"/>
      <c r="AO3825" s="147"/>
      <c r="AP3825" s="147"/>
      <c r="AQ3825" s="147"/>
      <c r="AR3825" s="147"/>
      <c r="AS3825" s="147"/>
      <c r="AT3825" s="147"/>
      <c r="AU3825" s="147"/>
      <c r="AV3825" s="147"/>
      <c r="AW3825" s="147"/>
      <c r="AX3825" s="147"/>
      <c r="AY3825" s="147"/>
      <c r="AZ3825" s="147"/>
      <c r="BA3825" s="147"/>
    </row>
    <row r="3826" spans="1:53" ht="15.75" customHeight="1">
      <c r="A3826" s="99"/>
      <c r="B3826" s="99"/>
      <c r="C3826" s="147"/>
      <c r="D3826" s="147"/>
      <c r="E3826" s="147"/>
      <c r="F3826" s="147"/>
      <c r="G3826" s="147"/>
      <c r="H3826" s="147"/>
      <c r="I3826" s="147"/>
      <c r="J3826" s="147"/>
      <c r="K3826" s="147"/>
      <c r="L3826" s="147"/>
      <c r="M3826" s="147"/>
      <c r="N3826" s="147"/>
      <c r="O3826" s="147"/>
      <c r="P3826" s="147"/>
      <c r="Q3826" s="147"/>
      <c r="R3826" s="147"/>
      <c r="S3826" s="147"/>
      <c r="T3826" s="147"/>
      <c r="U3826" s="147"/>
      <c r="V3826" s="147"/>
      <c r="W3826" s="147"/>
      <c r="X3826" s="147"/>
      <c r="Y3826" s="147"/>
      <c r="Z3826" s="147"/>
      <c r="AA3826" s="147"/>
      <c r="AB3826" s="147"/>
      <c r="AC3826" s="147"/>
      <c r="AD3826" s="147"/>
      <c r="AE3826" s="147"/>
      <c r="AF3826" s="147"/>
      <c r="AG3826" s="147"/>
      <c r="AH3826" s="147"/>
      <c r="AI3826" s="147"/>
      <c r="AJ3826" s="147"/>
      <c r="AK3826" s="147"/>
      <c r="AL3826" s="147"/>
      <c r="AM3826" s="147"/>
      <c r="AN3826" s="147"/>
      <c r="AO3826" s="147"/>
      <c r="AP3826" s="147"/>
      <c r="AQ3826" s="147"/>
      <c r="AR3826" s="147"/>
      <c r="AS3826" s="147"/>
      <c r="AT3826" s="147"/>
      <c r="AU3826" s="147"/>
      <c r="AV3826" s="147"/>
      <c r="AW3826" s="147"/>
      <c r="AX3826" s="147"/>
      <c r="AY3826" s="147"/>
      <c r="AZ3826" s="147"/>
      <c r="BA3826" s="147"/>
    </row>
    <row r="3827" spans="1:53" ht="15.75" customHeight="1">
      <c r="A3827" s="99"/>
      <c r="B3827" s="99"/>
      <c r="C3827" s="147"/>
      <c r="D3827" s="147"/>
      <c r="E3827" s="147"/>
      <c r="F3827" s="147"/>
      <c r="G3827" s="147"/>
      <c r="H3827" s="147"/>
      <c r="I3827" s="147"/>
      <c r="J3827" s="147"/>
      <c r="K3827" s="147"/>
      <c r="L3827" s="147"/>
      <c r="M3827" s="147"/>
      <c r="N3827" s="147"/>
      <c r="O3827" s="147"/>
      <c r="P3827" s="147"/>
      <c r="Q3827" s="147"/>
      <c r="R3827" s="147"/>
      <c r="S3827" s="147"/>
      <c r="T3827" s="147"/>
      <c r="U3827" s="147"/>
      <c r="V3827" s="147"/>
      <c r="W3827" s="147"/>
      <c r="X3827" s="147"/>
      <c r="Y3827" s="147"/>
      <c r="Z3827" s="147"/>
      <c r="AA3827" s="147"/>
      <c r="AB3827" s="147"/>
      <c r="AC3827" s="147"/>
      <c r="AD3827" s="147"/>
      <c r="AE3827" s="147"/>
      <c r="AF3827" s="147"/>
      <c r="AG3827" s="147"/>
      <c r="AH3827" s="147"/>
      <c r="AI3827" s="147"/>
      <c r="AJ3827" s="147"/>
      <c r="AK3827" s="147"/>
      <c r="AL3827" s="147"/>
      <c r="AM3827" s="147"/>
      <c r="AN3827" s="147"/>
      <c r="AO3827" s="147"/>
      <c r="AP3827" s="147"/>
      <c r="AQ3827" s="147"/>
      <c r="AR3827" s="147"/>
      <c r="AS3827" s="147"/>
      <c r="AT3827" s="147"/>
      <c r="AU3827" s="147"/>
      <c r="AV3827" s="147"/>
      <c r="AW3827" s="147"/>
      <c r="AX3827" s="147"/>
      <c r="AY3827" s="147"/>
      <c r="AZ3827" s="147"/>
      <c r="BA3827" s="147"/>
    </row>
    <row r="3828" spans="1:53" ht="15.75" customHeight="1">
      <c r="A3828" s="99"/>
      <c r="B3828" s="99"/>
      <c r="C3828" s="147"/>
      <c r="D3828" s="147"/>
      <c r="E3828" s="147"/>
      <c r="F3828" s="147"/>
      <c r="G3828" s="147"/>
      <c r="H3828" s="147"/>
      <c r="I3828" s="147"/>
      <c r="J3828" s="147"/>
      <c r="K3828" s="147"/>
      <c r="L3828" s="147"/>
      <c r="M3828" s="147"/>
      <c r="N3828" s="147"/>
      <c r="O3828" s="147"/>
      <c r="P3828" s="147"/>
      <c r="Q3828" s="147"/>
      <c r="R3828" s="147"/>
      <c r="S3828" s="147"/>
      <c r="T3828" s="147"/>
      <c r="U3828" s="147"/>
      <c r="V3828" s="147"/>
      <c r="W3828" s="147"/>
      <c r="X3828" s="147"/>
      <c r="Y3828" s="147"/>
      <c r="Z3828" s="147"/>
      <c r="AA3828" s="147"/>
      <c r="AB3828" s="147"/>
      <c r="AC3828" s="147"/>
      <c r="AD3828" s="147"/>
      <c r="AE3828" s="147"/>
      <c r="AF3828" s="147"/>
      <c r="AG3828" s="147"/>
      <c r="AH3828" s="147"/>
      <c r="AI3828" s="147"/>
      <c r="AJ3828" s="147"/>
      <c r="AK3828" s="147"/>
      <c r="AL3828" s="147"/>
      <c r="AM3828" s="147"/>
      <c r="AN3828" s="147"/>
      <c r="AO3828" s="147"/>
      <c r="AP3828" s="147"/>
      <c r="AQ3828" s="147"/>
      <c r="AR3828" s="147"/>
      <c r="AS3828" s="147"/>
      <c r="AT3828" s="147"/>
      <c r="AU3828" s="147"/>
      <c r="AV3828" s="147"/>
      <c r="AW3828" s="147"/>
      <c r="AX3828" s="147"/>
      <c r="AY3828" s="147"/>
      <c r="AZ3828" s="147"/>
      <c r="BA3828" s="147"/>
    </row>
    <row r="3829" spans="1:53" ht="15.75" customHeight="1">
      <c r="A3829" s="99"/>
      <c r="B3829" s="99"/>
      <c r="C3829" s="147"/>
      <c r="D3829" s="147"/>
      <c r="E3829" s="147"/>
      <c r="F3829" s="147"/>
      <c r="G3829" s="147"/>
      <c r="H3829" s="147"/>
      <c r="I3829" s="147"/>
      <c r="J3829" s="147"/>
      <c r="K3829" s="147"/>
      <c r="L3829" s="147"/>
      <c r="M3829" s="147"/>
      <c r="N3829" s="147"/>
      <c r="O3829" s="147"/>
      <c r="P3829" s="147"/>
      <c r="Q3829" s="147"/>
      <c r="R3829" s="147"/>
      <c r="S3829" s="147"/>
      <c r="T3829" s="147"/>
      <c r="U3829" s="147"/>
      <c r="V3829" s="147"/>
      <c r="W3829" s="147"/>
      <c r="X3829" s="147"/>
      <c r="Y3829" s="147"/>
      <c r="Z3829" s="147"/>
      <c r="AA3829" s="147"/>
      <c r="AB3829" s="147"/>
      <c r="AC3829" s="147"/>
      <c r="AD3829" s="147"/>
      <c r="AE3829" s="147"/>
      <c r="AF3829" s="147"/>
      <c r="AG3829" s="147"/>
      <c r="AH3829" s="147"/>
      <c r="AI3829" s="147"/>
      <c r="AJ3829" s="147"/>
      <c r="AK3829" s="147"/>
      <c r="AL3829" s="147"/>
      <c r="AM3829" s="147"/>
      <c r="AN3829" s="147"/>
      <c r="AO3829" s="147"/>
      <c r="AP3829" s="147"/>
      <c r="AQ3829" s="147"/>
      <c r="AR3829" s="147"/>
      <c r="AS3829" s="147"/>
      <c r="AT3829" s="147"/>
      <c r="AU3829" s="147"/>
      <c r="AV3829" s="147"/>
      <c r="AW3829" s="147"/>
      <c r="AX3829" s="147"/>
      <c r="AY3829" s="147"/>
      <c r="AZ3829" s="147"/>
      <c r="BA3829" s="147"/>
    </row>
    <row r="3830" spans="1:53" ht="15.75" customHeight="1">
      <c r="A3830" s="99"/>
      <c r="B3830" s="99"/>
      <c r="C3830" s="147"/>
      <c r="D3830" s="147"/>
      <c r="E3830" s="147"/>
      <c r="F3830" s="147"/>
      <c r="G3830" s="147"/>
      <c r="H3830" s="147"/>
      <c r="I3830" s="147"/>
      <c r="J3830" s="147"/>
      <c r="K3830" s="147"/>
      <c r="L3830" s="147"/>
      <c r="M3830" s="147"/>
      <c r="N3830" s="147"/>
      <c r="O3830" s="147"/>
      <c r="P3830" s="147"/>
      <c r="Q3830" s="147"/>
      <c r="R3830" s="147"/>
      <c r="S3830" s="147"/>
      <c r="T3830" s="147"/>
      <c r="U3830" s="147"/>
      <c r="V3830" s="147"/>
      <c r="W3830" s="147"/>
      <c r="X3830" s="147"/>
      <c r="Y3830" s="147"/>
      <c r="Z3830" s="147"/>
      <c r="AA3830" s="147"/>
      <c r="AB3830" s="147"/>
      <c r="AC3830" s="147"/>
      <c r="AD3830" s="147"/>
      <c r="AE3830" s="147"/>
      <c r="AF3830" s="147"/>
      <c r="AG3830" s="147"/>
      <c r="AH3830" s="147"/>
      <c r="AI3830" s="147"/>
      <c r="AJ3830" s="147"/>
      <c r="AK3830" s="147"/>
      <c r="AL3830" s="147"/>
      <c r="AM3830" s="147"/>
      <c r="AN3830" s="147"/>
      <c r="AO3830" s="147"/>
      <c r="AP3830" s="147"/>
      <c r="AQ3830" s="147"/>
      <c r="AR3830" s="147"/>
      <c r="AS3830" s="147"/>
      <c r="AT3830" s="147"/>
      <c r="AU3830" s="147"/>
      <c r="AV3830" s="147"/>
      <c r="AW3830" s="147"/>
      <c r="AX3830" s="147"/>
      <c r="AY3830" s="147"/>
      <c r="AZ3830" s="147"/>
      <c r="BA3830" s="147"/>
    </row>
    <row r="3831" spans="1:53" ht="15.75" customHeight="1">
      <c r="A3831" s="99"/>
      <c r="B3831" s="99"/>
      <c r="C3831" s="147"/>
      <c r="D3831" s="147"/>
      <c r="E3831" s="147"/>
      <c r="F3831" s="147"/>
      <c r="G3831" s="147"/>
      <c r="H3831" s="147"/>
      <c r="I3831" s="147"/>
      <c r="J3831" s="147"/>
      <c r="K3831" s="147"/>
      <c r="L3831" s="147"/>
      <c r="M3831" s="147"/>
      <c r="N3831" s="147"/>
      <c r="O3831" s="147"/>
      <c r="P3831" s="147"/>
      <c r="Q3831" s="147"/>
      <c r="R3831" s="147"/>
      <c r="S3831" s="147"/>
      <c r="T3831" s="147"/>
      <c r="U3831" s="147"/>
      <c r="V3831" s="147"/>
      <c r="W3831" s="147"/>
      <c r="X3831" s="147"/>
      <c r="Y3831" s="147"/>
      <c r="Z3831" s="147"/>
      <c r="AA3831" s="147"/>
      <c r="AB3831" s="147"/>
      <c r="AC3831" s="147"/>
      <c r="AD3831" s="147"/>
      <c r="AE3831" s="147"/>
      <c r="AF3831" s="147"/>
      <c r="AG3831" s="147"/>
      <c r="AH3831" s="147"/>
      <c r="AI3831" s="147"/>
      <c r="AJ3831" s="147"/>
      <c r="AK3831" s="147"/>
      <c r="AL3831" s="147"/>
      <c r="AM3831" s="147"/>
      <c r="AN3831" s="147"/>
      <c r="AO3831" s="147"/>
      <c r="AP3831" s="147"/>
      <c r="AQ3831" s="147"/>
      <c r="AR3831" s="147"/>
      <c r="AS3831" s="147"/>
      <c r="AT3831" s="147"/>
      <c r="AU3831" s="147"/>
      <c r="AV3831" s="147"/>
      <c r="AW3831" s="147"/>
      <c r="AX3831" s="147"/>
      <c r="AY3831" s="147"/>
      <c r="AZ3831" s="147"/>
      <c r="BA3831" s="147"/>
    </row>
    <row r="3832" spans="1:53" ht="15.75" customHeight="1">
      <c r="A3832" s="99"/>
      <c r="B3832" s="99"/>
      <c r="C3832" s="147"/>
      <c r="D3832" s="147"/>
      <c r="E3832" s="147"/>
      <c r="F3832" s="147"/>
      <c r="G3832" s="147"/>
      <c r="H3832" s="147"/>
      <c r="I3832" s="147"/>
      <c r="J3832" s="147"/>
      <c r="K3832" s="147"/>
      <c r="L3832" s="147"/>
      <c r="M3832" s="147"/>
      <c r="N3832" s="147"/>
      <c r="O3832" s="147"/>
      <c r="P3832" s="147"/>
      <c r="Q3832" s="147"/>
      <c r="R3832" s="147"/>
      <c r="S3832" s="147"/>
      <c r="T3832" s="147"/>
      <c r="U3832" s="147"/>
      <c r="V3832" s="147"/>
      <c r="W3832" s="147"/>
      <c r="X3832" s="147"/>
      <c r="Y3832" s="147"/>
      <c r="Z3832" s="147"/>
      <c r="AA3832" s="147"/>
      <c r="AB3832" s="147"/>
      <c r="AC3832" s="147"/>
      <c r="AD3832" s="147"/>
      <c r="AE3832" s="147"/>
      <c r="AF3832" s="147"/>
      <c r="AG3832" s="147"/>
      <c r="AH3832" s="147"/>
      <c r="AI3832" s="147"/>
      <c r="AJ3832" s="147"/>
      <c r="AK3832" s="147"/>
      <c r="AL3832" s="147"/>
      <c r="AM3832" s="147"/>
      <c r="AN3832" s="147"/>
      <c r="AO3832" s="147"/>
      <c r="AP3832" s="147"/>
      <c r="AQ3832" s="147"/>
      <c r="AR3832" s="147"/>
      <c r="AS3832" s="147"/>
      <c r="AT3832" s="147"/>
      <c r="AU3832" s="147"/>
      <c r="AV3832" s="147"/>
      <c r="AW3832" s="147"/>
      <c r="AX3832" s="147"/>
      <c r="AY3832" s="147"/>
      <c r="AZ3832" s="147"/>
      <c r="BA3832" s="147"/>
    </row>
    <row r="3833" spans="1:53" ht="15.75" customHeight="1">
      <c r="A3833" s="99"/>
      <c r="B3833" s="99"/>
      <c r="C3833" s="147"/>
      <c r="D3833" s="147"/>
      <c r="E3833" s="147"/>
      <c r="F3833" s="147"/>
      <c r="G3833" s="147"/>
      <c r="H3833" s="147"/>
      <c r="I3833" s="147"/>
      <c r="J3833" s="147"/>
      <c r="K3833" s="147"/>
      <c r="L3833" s="147"/>
      <c r="M3833" s="147"/>
      <c r="N3833" s="147"/>
      <c r="O3833" s="147"/>
      <c r="P3833" s="147"/>
      <c r="Q3833" s="147"/>
      <c r="R3833" s="147"/>
      <c r="S3833" s="147"/>
      <c r="T3833" s="147"/>
      <c r="U3833" s="147"/>
      <c r="V3833" s="147"/>
      <c r="W3833" s="147"/>
      <c r="X3833" s="147"/>
      <c r="Y3833" s="147"/>
      <c r="Z3833" s="147"/>
      <c r="AA3833" s="147"/>
      <c r="AB3833" s="147"/>
      <c r="AC3833" s="147"/>
      <c r="AD3833" s="147"/>
      <c r="AE3833" s="147"/>
      <c r="AF3833" s="147"/>
      <c r="AG3833" s="147"/>
      <c r="AH3833" s="147"/>
      <c r="AI3833" s="147"/>
      <c r="AJ3833" s="147"/>
      <c r="AK3833" s="147"/>
      <c r="AL3833" s="147"/>
      <c r="AM3833" s="147"/>
      <c r="AN3833" s="147"/>
      <c r="AO3833" s="147"/>
      <c r="AP3833" s="147"/>
      <c r="AQ3833" s="147"/>
      <c r="AR3833" s="147"/>
      <c r="AS3833" s="147"/>
      <c r="AT3833" s="147"/>
      <c r="AU3833" s="147"/>
      <c r="AV3833" s="147"/>
      <c r="AW3833" s="147"/>
      <c r="AX3833" s="147"/>
      <c r="AY3833" s="147"/>
      <c r="AZ3833" s="147"/>
      <c r="BA3833" s="147"/>
    </row>
    <row r="3834" spans="1:53" ht="15.75" customHeight="1">
      <c r="A3834" s="99"/>
      <c r="B3834" s="99"/>
      <c r="C3834" s="147"/>
      <c r="D3834" s="147"/>
      <c r="E3834" s="147"/>
      <c r="F3834" s="147"/>
      <c r="G3834" s="147"/>
      <c r="H3834" s="147"/>
      <c r="I3834" s="147"/>
      <c r="J3834" s="147"/>
      <c r="K3834" s="147"/>
      <c r="L3834" s="147"/>
      <c r="M3834" s="147"/>
      <c r="N3834" s="147"/>
      <c r="O3834" s="147"/>
      <c r="P3834" s="147"/>
      <c r="Q3834" s="147"/>
      <c r="R3834" s="147"/>
      <c r="S3834" s="147"/>
      <c r="T3834" s="147"/>
      <c r="U3834" s="147"/>
      <c r="V3834" s="147"/>
      <c r="W3834" s="147"/>
      <c r="X3834" s="147"/>
      <c r="Y3834" s="147"/>
      <c r="Z3834" s="147"/>
      <c r="AA3834" s="147"/>
      <c r="AB3834" s="147"/>
      <c r="AC3834" s="147"/>
      <c r="AD3834" s="147"/>
      <c r="AE3834" s="147"/>
      <c r="AF3834" s="147"/>
      <c r="AG3834" s="147"/>
      <c r="AH3834" s="147"/>
      <c r="AI3834" s="147"/>
      <c r="AJ3834" s="147"/>
      <c r="AK3834" s="147"/>
      <c r="AL3834" s="147"/>
      <c r="AM3834" s="147"/>
      <c r="AN3834" s="147"/>
      <c r="AO3834" s="147"/>
      <c r="AP3834" s="147"/>
      <c r="AQ3834" s="147"/>
      <c r="AR3834" s="147"/>
      <c r="AS3834" s="147"/>
      <c r="AT3834" s="147"/>
      <c r="AU3834" s="147"/>
      <c r="AV3834" s="147"/>
      <c r="AW3834" s="147"/>
      <c r="AX3834" s="147"/>
      <c r="AY3834" s="147"/>
      <c r="AZ3834" s="147"/>
      <c r="BA3834" s="147"/>
    </row>
    <row r="3835" spans="1:53" ht="15.75" customHeight="1">
      <c r="A3835" s="99"/>
      <c r="B3835" s="99"/>
      <c r="C3835" s="147"/>
      <c r="D3835" s="147"/>
      <c r="E3835" s="147"/>
      <c r="F3835" s="147"/>
      <c r="G3835" s="147"/>
      <c r="H3835" s="147"/>
      <c r="I3835" s="147"/>
      <c r="J3835" s="147"/>
      <c r="K3835" s="147"/>
      <c r="L3835" s="147"/>
      <c r="M3835" s="147"/>
      <c r="N3835" s="147"/>
      <c r="O3835" s="147"/>
      <c r="P3835" s="147"/>
      <c r="Q3835" s="147"/>
      <c r="R3835" s="147"/>
      <c r="S3835" s="147"/>
      <c r="T3835" s="147"/>
      <c r="U3835" s="147"/>
      <c r="V3835" s="147"/>
      <c r="W3835" s="147"/>
      <c r="X3835" s="147"/>
      <c r="Y3835" s="147"/>
      <c r="Z3835" s="147"/>
      <c r="AA3835" s="147"/>
      <c r="AB3835" s="147"/>
      <c r="AC3835" s="147"/>
      <c r="AD3835" s="147"/>
      <c r="AE3835" s="147"/>
      <c r="AF3835" s="147"/>
      <c r="AG3835" s="147"/>
      <c r="AH3835" s="147"/>
      <c r="AI3835" s="147"/>
      <c r="AJ3835" s="147"/>
      <c r="AK3835" s="147"/>
      <c r="AL3835" s="147"/>
      <c r="AM3835" s="147"/>
      <c r="AN3835" s="147"/>
      <c r="AO3835" s="147"/>
      <c r="AP3835" s="147"/>
      <c r="AQ3835" s="147"/>
      <c r="AR3835" s="147"/>
      <c r="AS3835" s="147"/>
      <c r="AT3835" s="147"/>
      <c r="AU3835" s="147"/>
      <c r="AV3835" s="147"/>
      <c r="AW3835" s="147"/>
      <c r="AX3835" s="147"/>
      <c r="AY3835" s="147"/>
      <c r="AZ3835" s="147"/>
      <c r="BA3835" s="147"/>
    </row>
    <row r="3836" spans="1:53" ht="15.75" customHeight="1">
      <c r="A3836" s="99"/>
      <c r="B3836" s="99"/>
      <c r="C3836" s="147"/>
      <c r="D3836" s="147"/>
      <c r="E3836" s="147"/>
      <c r="F3836" s="147"/>
      <c r="G3836" s="147"/>
      <c r="H3836" s="147"/>
      <c r="I3836" s="147"/>
      <c r="J3836" s="147"/>
      <c r="K3836" s="147"/>
      <c r="L3836" s="147"/>
      <c r="M3836" s="147"/>
      <c r="N3836" s="147"/>
      <c r="O3836" s="147"/>
      <c r="P3836" s="147"/>
      <c r="Q3836" s="147"/>
      <c r="R3836" s="147"/>
      <c r="S3836" s="147"/>
      <c r="T3836" s="147"/>
      <c r="U3836" s="147"/>
      <c r="V3836" s="147"/>
      <c r="W3836" s="147"/>
      <c r="X3836" s="147"/>
      <c r="Y3836" s="147"/>
      <c r="Z3836" s="147"/>
      <c r="AA3836" s="147"/>
      <c r="AB3836" s="147"/>
      <c r="AC3836" s="147"/>
      <c r="AD3836" s="147"/>
      <c r="AE3836" s="147"/>
      <c r="AF3836" s="147"/>
      <c r="AG3836" s="147"/>
      <c r="AH3836" s="147"/>
      <c r="AI3836" s="147"/>
      <c r="AJ3836" s="147"/>
      <c r="AK3836" s="147"/>
      <c r="AL3836" s="147"/>
      <c r="AM3836" s="147"/>
      <c r="AN3836" s="147"/>
      <c r="AO3836" s="147"/>
      <c r="AP3836" s="147"/>
      <c r="AQ3836" s="147"/>
      <c r="AR3836" s="147"/>
      <c r="AS3836" s="147"/>
      <c r="AT3836" s="147"/>
      <c r="AU3836" s="147"/>
      <c r="AV3836" s="147"/>
      <c r="AW3836" s="147"/>
      <c r="AX3836" s="147"/>
      <c r="AY3836" s="147"/>
      <c r="AZ3836" s="147"/>
      <c r="BA3836" s="147"/>
    </row>
    <row r="3837" spans="1:53" ht="15.75" customHeight="1">
      <c r="A3837" s="99"/>
      <c r="B3837" s="99"/>
      <c r="C3837" s="147"/>
      <c r="D3837" s="147"/>
      <c r="E3837" s="147"/>
      <c r="F3837" s="147"/>
      <c r="G3837" s="147"/>
      <c r="H3837" s="147"/>
      <c r="I3837" s="147"/>
      <c r="J3837" s="147"/>
      <c r="K3837" s="147"/>
      <c r="L3837" s="147"/>
      <c r="M3837" s="147"/>
      <c r="N3837" s="147"/>
      <c r="O3837" s="147"/>
      <c r="P3837" s="147"/>
      <c r="Q3837" s="147"/>
      <c r="R3837" s="147"/>
      <c r="S3837" s="147"/>
      <c r="T3837" s="147"/>
      <c r="U3837" s="147"/>
      <c r="V3837" s="147"/>
      <c r="W3837" s="147"/>
      <c r="X3837" s="147"/>
      <c r="Y3837" s="147"/>
      <c r="Z3837" s="147"/>
      <c r="AA3837" s="147"/>
      <c r="AB3837" s="147"/>
      <c r="AC3837" s="147"/>
      <c r="AD3837" s="147"/>
      <c r="AE3837" s="147"/>
      <c r="AF3837" s="147"/>
      <c r="AG3837" s="147"/>
      <c r="AH3837" s="147"/>
      <c r="AI3837" s="147"/>
      <c r="AJ3837" s="147"/>
      <c r="AK3837" s="147"/>
      <c r="AL3837" s="147"/>
      <c r="AM3837" s="147"/>
      <c r="AN3837" s="147"/>
      <c r="AO3837" s="147"/>
      <c r="AP3837" s="147"/>
      <c r="AQ3837" s="147"/>
      <c r="AR3837" s="147"/>
      <c r="AS3837" s="147"/>
      <c r="AT3837" s="147"/>
      <c r="AU3837" s="147"/>
      <c r="AV3837" s="147"/>
      <c r="AW3837" s="147"/>
      <c r="AX3837" s="147"/>
      <c r="AY3837" s="147"/>
      <c r="AZ3837" s="147"/>
      <c r="BA3837" s="147"/>
    </row>
    <row r="3838" spans="1:53" ht="15.75" customHeight="1">
      <c r="A3838" s="99"/>
      <c r="B3838" s="99"/>
      <c r="C3838" s="147"/>
      <c r="D3838" s="147"/>
      <c r="E3838" s="147"/>
      <c r="F3838" s="147"/>
      <c r="G3838" s="147"/>
      <c r="H3838" s="147"/>
      <c r="I3838" s="147"/>
      <c r="J3838" s="147"/>
      <c r="K3838" s="147"/>
      <c r="L3838" s="147"/>
      <c r="M3838" s="147"/>
      <c r="N3838" s="147"/>
      <c r="O3838" s="147"/>
      <c r="P3838" s="147"/>
      <c r="Q3838" s="147"/>
      <c r="R3838" s="147"/>
      <c r="S3838" s="147"/>
      <c r="T3838" s="147"/>
      <c r="U3838" s="147"/>
      <c r="V3838" s="147"/>
      <c r="W3838" s="147"/>
      <c r="X3838" s="147"/>
      <c r="Y3838" s="147"/>
      <c r="Z3838" s="147"/>
      <c r="AA3838" s="147"/>
      <c r="AB3838" s="147"/>
      <c r="AC3838" s="147"/>
      <c r="AD3838" s="147"/>
      <c r="AE3838" s="147"/>
      <c r="AF3838" s="147"/>
      <c r="AG3838" s="147"/>
      <c r="AH3838" s="147"/>
      <c r="AI3838" s="147"/>
      <c r="AJ3838" s="147"/>
      <c r="AK3838" s="147"/>
      <c r="AL3838" s="147"/>
      <c r="AM3838" s="147"/>
      <c r="AN3838" s="147"/>
      <c r="AO3838" s="147"/>
      <c r="AP3838" s="147"/>
      <c r="AQ3838" s="147"/>
      <c r="AR3838" s="147"/>
      <c r="AS3838" s="147"/>
      <c r="AT3838" s="147"/>
      <c r="AU3838" s="147"/>
      <c r="AV3838" s="147"/>
      <c r="AW3838" s="147"/>
      <c r="AX3838" s="147"/>
      <c r="AY3838" s="147"/>
      <c r="AZ3838" s="147"/>
      <c r="BA3838" s="147"/>
    </row>
    <row r="3839" spans="1:53" ht="15.75" customHeight="1">
      <c r="A3839" s="99"/>
      <c r="B3839" s="99"/>
      <c r="C3839" s="147"/>
      <c r="D3839" s="147"/>
      <c r="E3839" s="147"/>
      <c r="F3839" s="147"/>
      <c r="G3839" s="147"/>
      <c r="H3839" s="147"/>
      <c r="I3839" s="147"/>
      <c r="J3839" s="147"/>
      <c r="K3839" s="147"/>
      <c r="L3839" s="147"/>
      <c r="M3839" s="147"/>
      <c r="N3839" s="147"/>
      <c r="O3839" s="147"/>
      <c r="P3839" s="147"/>
      <c r="Q3839" s="147"/>
      <c r="R3839" s="147"/>
      <c r="S3839" s="147"/>
      <c r="T3839" s="147"/>
      <c r="U3839" s="147"/>
      <c r="V3839" s="147"/>
      <c r="W3839" s="147"/>
      <c r="X3839" s="147"/>
      <c r="Y3839" s="147"/>
      <c r="Z3839" s="147"/>
      <c r="AA3839" s="147"/>
      <c r="AB3839" s="147"/>
      <c r="AC3839" s="147"/>
      <c r="AD3839" s="147"/>
      <c r="AE3839" s="147"/>
      <c r="AF3839" s="147"/>
      <c r="AG3839" s="147"/>
      <c r="AH3839" s="147"/>
      <c r="AI3839" s="147"/>
      <c r="AJ3839" s="147"/>
      <c r="AK3839" s="147"/>
      <c r="AL3839" s="147"/>
      <c r="AM3839" s="147"/>
      <c r="AN3839" s="147"/>
      <c r="AO3839" s="147"/>
      <c r="AP3839" s="147"/>
      <c r="AQ3839" s="147"/>
      <c r="AR3839" s="147"/>
      <c r="AS3839" s="147"/>
      <c r="AT3839" s="147"/>
      <c r="AU3839" s="147"/>
      <c r="AV3839" s="147"/>
      <c r="AW3839" s="147"/>
      <c r="AX3839" s="147"/>
      <c r="AY3839" s="147"/>
      <c r="AZ3839" s="147"/>
      <c r="BA3839" s="147"/>
    </row>
    <row r="3840" spans="1:53" ht="15.75" customHeight="1">
      <c r="A3840" s="99"/>
      <c r="B3840" s="99"/>
      <c r="C3840" s="147"/>
      <c r="D3840" s="147"/>
      <c r="E3840" s="147"/>
      <c r="F3840" s="147"/>
      <c r="G3840" s="147"/>
      <c r="H3840" s="147"/>
      <c r="I3840" s="147"/>
      <c r="J3840" s="147"/>
      <c r="K3840" s="147"/>
      <c r="L3840" s="147"/>
      <c r="M3840" s="147"/>
      <c r="N3840" s="147"/>
      <c r="O3840" s="147"/>
      <c r="P3840" s="147"/>
      <c r="Q3840" s="147"/>
      <c r="R3840" s="147"/>
      <c r="S3840" s="147"/>
      <c r="T3840" s="147"/>
      <c r="U3840" s="147"/>
      <c r="V3840" s="147"/>
      <c r="W3840" s="147"/>
      <c r="X3840" s="147"/>
      <c r="Y3840" s="147"/>
      <c r="Z3840" s="147"/>
      <c r="AA3840" s="147"/>
      <c r="AB3840" s="147"/>
      <c r="AC3840" s="147"/>
      <c r="AD3840" s="147"/>
      <c r="AE3840" s="147"/>
      <c r="AF3840" s="147"/>
      <c r="AG3840" s="147"/>
      <c r="AH3840" s="147"/>
      <c r="AI3840" s="147"/>
      <c r="AJ3840" s="147"/>
      <c r="AK3840" s="147"/>
      <c r="AL3840" s="147"/>
      <c r="AM3840" s="147"/>
      <c r="AN3840" s="147"/>
      <c r="AO3840" s="147"/>
      <c r="AP3840" s="147"/>
      <c r="AQ3840" s="147"/>
      <c r="AR3840" s="147"/>
      <c r="AS3840" s="147"/>
      <c r="AT3840" s="147"/>
      <c r="AU3840" s="147"/>
      <c r="AV3840" s="147"/>
      <c r="AW3840" s="147"/>
      <c r="AX3840" s="147"/>
      <c r="AY3840" s="147"/>
      <c r="AZ3840" s="147"/>
      <c r="BA3840" s="147"/>
    </row>
    <row r="3841" spans="1:53" ht="15.75" customHeight="1">
      <c r="A3841" s="99"/>
      <c r="B3841" s="99"/>
      <c r="C3841" s="147"/>
      <c r="D3841" s="147"/>
      <c r="E3841" s="147"/>
      <c r="F3841" s="147"/>
      <c r="G3841" s="147"/>
      <c r="H3841" s="147"/>
      <c r="I3841" s="147"/>
      <c r="J3841" s="147"/>
      <c r="K3841" s="147"/>
      <c r="L3841" s="147"/>
      <c r="M3841" s="147"/>
      <c r="N3841" s="147"/>
      <c r="O3841" s="147"/>
      <c r="P3841" s="147"/>
      <c r="Q3841" s="147"/>
      <c r="R3841" s="147"/>
      <c r="S3841" s="147"/>
      <c r="T3841" s="147"/>
      <c r="U3841" s="147"/>
      <c r="V3841" s="147"/>
      <c r="W3841" s="147"/>
      <c r="X3841" s="147"/>
      <c r="Y3841" s="147"/>
      <c r="Z3841" s="147"/>
      <c r="AA3841" s="147"/>
      <c r="AB3841" s="147"/>
      <c r="AC3841" s="147"/>
      <c r="AD3841" s="147"/>
      <c r="AE3841" s="147"/>
      <c r="AF3841" s="147"/>
      <c r="AG3841" s="147"/>
      <c r="AH3841" s="147"/>
      <c r="AI3841" s="147"/>
      <c r="AJ3841" s="147"/>
      <c r="AK3841" s="147"/>
      <c r="AL3841" s="147"/>
      <c r="AM3841" s="147"/>
      <c r="AN3841" s="147"/>
      <c r="AO3841" s="147"/>
      <c r="AP3841" s="147"/>
      <c r="AQ3841" s="147"/>
      <c r="AR3841" s="147"/>
      <c r="AS3841" s="147"/>
      <c r="AT3841" s="147"/>
      <c r="AU3841" s="147"/>
      <c r="AV3841" s="147"/>
      <c r="AW3841" s="147"/>
      <c r="AX3841" s="147"/>
      <c r="AY3841" s="147"/>
      <c r="AZ3841" s="147"/>
      <c r="BA3841" s="147"/>
    </row>
    <row r="3842" spans="1:53" ht="15.75" customHeight="1">
      <c r="A3842" s="99"/>
      <c r="B3842" s="99"/>
      <c r="C3842" s="147"/>
      <c r="D3842" s="147"/>
      <c r="E3842" s="147"/>
      <c r="F3842" s="147"/>
      <c r="G3842" s="147"/>
      <c r="H3842" s="147"/>
      <c r="I3842" s="147"/>
      <c r="J3842" s="147"/>
      <c r="K3842" s="147"/>
      <c r="L3842" s="147"/>
      <c r="M3842" s="147"/>
      <c r="N3842" s="147"/>
      <c r="O3842" s="147"/>
      <c r="P3842" s="147"/>
      <c r="Q3842" s="147"/>
      <c r="R3842" s="147"/>
      <c r="S3842" s="147"/>
      <c r="T3842" s="147"/>
      <c r="U3842" s="147"/>
      <c r="V3842" s="147"/>
      <c r="W3842" s="147"/>
      <c r="X3842" s="147"/>
      <c r="Y3842" s="147"/>
      <c r="Z3842" s="147"/>
      <c r="AA3842" s="147"/>
      <c r="AB3842" s="147"/>
      <c r="AC3842" s="147"/>
      <c r="AD3842" s="147"/>
      <c r="AE3842" s="147"/>
      <c r="AF3842" s="147"/>
      <c r="AG3842" s="147"/>
      <c r="AH3842" s="147"/>
      <c r="AI3842" s="147"/>
      <c r="AJ3842" s="147"/>
      <c r="AK3842" s="147"/>
      <c r="AL3842" s="147"/>
      <c r="AM3842" s="147"/>
      <c r="AN3842" s="147"/>
      <c r="AO3842" s="147"/>
      <c r="AP3842" s="147"/>
      <c r="AQ3842" s="147"/>
      <c r="AR3842" s="147"/>
      <c r="AS3842" s="147"/>
      <c r="AT3842" s="147"/>
      <c r="AU3842" s="147"/>
      <c r="AV3842" s="147"/>
      <c r="AW3842" s="147"/>
      <c r="AX3842" s="147"/>
      <c r="AY3842" s="147"/>
      <c r="AZ3842" s="147"/>
      <c r="BA3842" s="147"/>
    </row>
    <row r="3843" spans="1:53" ht="15.75" customHeight="1">
      <c r="A3843" s="99"/>
      <c r="B3843" s="99"/>
      <c r="C3843" s="147"/>
      <c r="D3843" s="147"/>
      <c r="E3843" s="147"/>
      <c r="F3843" s="147"/>
      <c r="G3843" s="147"/>
      <c r="H3843" s="147"/>
      <c r="I3843" s="147"/>
      <c r="J3843" s="147"/>
      <c r="K3843" s="147"/>
      <c r="L3843" s="147"/>
      <c r="M3843" s="147"/>
      <c r="N3843" s="147"/>
      <c r="O3843" s="147"/>
      <c r="P3843" s="147"/>
      <c r="Q3843" s="147"/>
      <c r="R3843" s="147"/>
      <c r="S3843" s="147"/>
      <c r="T3843" s="147"/>
      <c r="U3843" s="147"/>
      <c r="V3843" s="147"/>
      <c r="W3843" s="147"/>
      <c r="X3843" s="147"/>
      <c r="Y3843" s="147"/>
      <c r="Z3843" s="147"/>
      <c r="AA3843" s="147"/>
      <c r="AB3843" s="147"/>
      <c r="AC3843" s="147"/>
      <c r="AD3843" s="147"/>
      <c r="AE3843" s="147"/>
      <c r="AF3843" s="147"/>
      <c r="AG3843" s="147"/>
      <c r="AH3843" s="147"/>
      <c r="AI3843" s="147"/>
      <c r="AJ3843" s="147"/>
      <c r="AK3843" s="147"/>
      <c r="AL3843" s="147"/>
      <c r="AM3843" s="147"/>
      <c r="AN3843" s="147"/>
      <c r="AO3843" s="147"/>
      <c r="AP3843" s="147"/>
      <c r="AQ3843" s="147"/>
      <c r="AR3843" s="147"/>
      <c r="AS3843" s="147"/>
      <c r="AT3843" s="147"/>
      <c r="AU3843" s="147"/>
      <c r="AV3843" s="147"/>
      <c r="AW3843" s="147"/>
      <c r="AX3843" s="147"/>
      <c r="AY3843" s="147"/>
      <c r="AZ3843" s="147"/>
      <c r="BA3843" s="147"/>
    </row>
    <row r="3844" spans="1:53" ht="15.75" customHeight="1">
      <c r="A3844" s="99"/>
      <c r="B3844" s="99"/>
      <c r="C3844" s="147"/>
      <c r="D3844" s="147"/>
      <c r="E3844" s="147"/>
      <c r="F3844" s="147"/>
      <c r="G3844" s="147"/>
      <c r="H3844" s="147"/>
      <c r="I3844" s="147"/>
      <c r="J3844" s="147"/>
      <c r="K3844" s="147"/>
      <c r="L3844" s="147"/>
      <c r="M3844" s="147"/>
      <c r="N3844" s="147"/>
      <c r="O3844" s="147"/>
      <c r="P3844" s="147"/>
      <c r="Q3844" s="147"/>
      <c r="R3844" s="147"/>
      <c r="S3844" s="147"/>
      <c r="T3844" s="147"/>
      <c r="U3844" s="147"/>
      <c r="V3844" s="147"/>
      <c r="W3844" s="147"/>
      <c r="X3844" s="147"/>
      <c r="Y3844" s="147"/>
      <c r="Z3844" s="147"/>
      <c r="AA3844" s="147"/>
      <c r="AB3844" s="147"/>
      <c r="AC3844" s="147"/>
      <c r="AD3844" s="147"/>
      <c r="AE3844" s="147"/>
      <c r="AF3844" s="147"/>
      <c r="AG3844" s="147"/>
      <c r="AH3844" s="147"/>
      <c r="AI3844" s="147"/>
      <c r="AJ3844" s="147"/>
      <c r="AK3844" s="147"/>
      <c r="AL3844" s="147"/>
      <c r="AM3844" s="147"/>
      <c r="AN3844" s="147"/>
      <c r="AO3844" s="147"/>
      <c r="AP3844" s="147"/>
      <c r="AQ3844" s="147"/>
      <c r="AR3844" s="147"/>
      <c r="AS3844" s="147"/>
      <c r="AT3844" s="147"/>
      <c r="AU3844" s="147"/>
      <c r="AV3844" s="147"/>
      <c r="AW3844" s="147"/>
      <c r="AX3844" s="147"/>
      <c r="AY3844" s="147"/>
      <c r="AZ3844" s="147"/>
      <c r="BA3844" s="147"/>
    </row>
    <row r="3845" spans="1:53" ht="15.75" customHeight="1">
      <c r="A3845" s="99"/>
      <c r="B3845" s="99"/>
      <c r="C3845" s="147"/>
      <c r="D3845" s="147"/>
      <c r="E3845" s="147"/>
      <c r="F3845" s="147"/>
      <c r="G3845" s="147"/>
      <c r="H3845" s="147"/>
      <c r="I3845" s="147"/>
      <c r="J3845" s="147"/>
      <c r="K3845" s="147"/>
      <c r="L3845" s="147"/>
      <c r="M3845" s="147"/>
      <c r="N3845" s="147"/>
      <c r="O3845" s="147"/>
      <c r="P3845" s="147"/>
      <c r="Q3845" s="147"/>
      <c r="R3845" s="147"/>
      <c r="S3845" s="147"/>
      <c r="T3845" s="147"/>
      <c r="U3845" s="147"/>
      <c r="V3845" s="147"/>
      <c r="W3845" s="147"/>
      <c r="X3845" s="147"/>
      <c r="Y3845" s="147"/>
      <c r="Z3845" s="147"/>
      <c r="AA3845" s="147"/>
      <c r="AB3845" s="147"/>
      <c r="AC3845" s="147"/>
      <c r="AD3845" s="147"/>
      <c r="AE3845" s="147"/>
      <c r="AF3845" s="147"/>
      <c r="AG3845" s="147"/>
      <c r="AH3845" s="147"/>
      <c r="AI3845" s="147"/>
      <c r="AJ3845" s="147"/>
      <c r="AK3845" s="147"/>
      <c r="AL3845" s="147"/>
      <c r="AM3845" s="147"/>
      <c r="AN3845" s="147"/>
      <c r="AO3845" s="147"/>
      <c r="AP3845" s="147"/>
      <c r="AQ3845" s="147"/>
      <c r="AR3845" s="147"/>
      <c r="AS3845" s="147"/>
      <c r="AT3845" s="147"/>
      <c r="AU3845" s="147"/>
      <c r="AV3845" s="147"/>
      <c r="AW3845" s="147"/>
      <c r="AX3845" s="147"/>
      <c r="AY3845" s="147"/>
      <c r="AZ3845" s="147"/>
      <c r="BA3845" s="147"/>
    </row>
    <row r="3846" spans="1:53" ht="15.75" customHeight="1">
      <c r="A3846" s="99"/>
      <c r="B3846" s="99"/>
      <c r="C3846" s="147"/>
      <c r="D3846" s="147"/>
      <c r="E3846" s="147"/>
      <c r="F3846" s="147"/>
      <c r="G3846" s="147"/>
      <c r="H3846" s="147"/>
      <c r="I3846" s="147"/>
      <c r="J3846" s="147"/>
      <c r="K3846" s="147"/>
      <c r="L3846" s="147"/>
      <c r="M3846" s="147"/>
      <c r="N3846" s="147"/>
      <c r="O3846" s="147"/>
      <c r="P3846" s="147"/>
      <c r="Q3846" s="147"/>
      <c r="R3846" s="147"/>
      <c r="S3846" s="147"/>
      <c r="T3846" s="147"/>
      <c r="U3846" s="147"/>
      <c r="V3846" s="147"/>
      <c r="W3846" s="147"/>
      <c r="X3846" s="147"/>
      <c r="Y3846" s="147"/>
      <c r="Z3846" s="147"/>
      <c r="AA3846" s="147"/>
      <c r="AB3846" s="147"/>
      <c r="AC3846" s="147"/>
      <c r="AD3846" s="147"/>
      <c r="AE3846" s="147"/>
      <c r="AF3846" s="147"/>
      <c r="AG3846" s="147"/>
      <c r="AH3846" s="147"/>
      <c r="AI3846" s="147"/>
      <c r="AJ3846" s="147"/>
      <c r="AK3846" s="147"/>
      <c r="AL3846" s="147"/>
      <c r="AM3846" s="147"/>
      <c r="AN3846" s="147"/>
      <c r="AO3846" s="147"/>
      <c r="AP3846" s="147"/>
      <c r="AQ3846" s="147"/>
      <c r="AR3846" s="147"/>
      <c r="AS3846" s="147"/>
      <c r="AT3846" s="147"/>
      <c r="AU3846" s="147"/>
      <c r="AV3846" s="147"/>
      <c r="AW3846" s="147"/>
      <c r="AX3846" s="147"/>
      <c r="AY3846" s="147"/>
      <c r="AZ3846" s="147"/>
      <c r="BA3846" s="147"/>
    </row>
    <row r="3847" spans="1:53" ht="15.75" customHeight="1">
      <c r="A3847" s="99"/>
      <c r="B3847" s="99"/>
      <c r="C3847" s="147"/>
      <c r="D3847" s="147"/>
      <c r="E3847" s="147"/>
      <c r="F3847" s="147"/>
      <c r="G3847" s="147"/>
      <c r="H3847" s="147"/>
      <c r="I3847" s="147"/>
      <c r="J3847" s="147"/>
      <c r="K3847" s="147"/>
      <c r="L3847" s="147"/>
      <c r="M3847" s="147"/>
      <c r="N3847" s="147"/>
      <c r="O3847" s="147"/>
      <c r="P3847" s="147"/>
      <c r="Q3847" s="147"/>
      <c r="R3847" s="147"/>
      <c r="S3847" s="147"/>
      <c r="T3847" s="147"/>
      <c r="U3847" s="147"/>
      <c r="V3847" s="147"/>
      <c r="W3847" s="147"/>
      <c r="X3847" s="147"/>
      <c r="Y3847" s="147"/>
      <c r="Z3847" s="147"/>
      <c r="AA3847" s="147"/>
      <c r="AB3847" s="147"/>
      <c r="AC3847" s="147"/>
      <c r="AD3847" s="147"/>
      <c r="AE3847" s="147"/>
      <c r="AF3847" s="147"/>
      <c r="AG3847" s="147"/>
      <c r="AH3847" s="147"/>
      <c r="AI3847" s="147"/>
      <c r="AJ3847" s="147"/>
      <c r="AK3847" s="147"/>
      <c r="AL3847" s="147"/>
      <c r="AM3847" s="147"/>
      <c r="AN3847" s="147"/>
      <c r="AO3847" s="147"/>
      <c r="AP3847" s="147"/>
      <c r="AQ3847" s="147"/>
      <c r="AR3847" s="147"/>
      <c r="AS3847" s="147"/>
      <c r="AT3847" s="147"/>
      <c r="AU3847" s="147"/>
      <c r="AV3847" s="147"/>
      <c r="AW3847" s="147"/>
      <c r="AX3847" s="147"/>
      <c r="AY3847" s="147"/>
      <c r="AZ3847" s="147"/>
      <c r="BA3847" s="147"/>
    </row>
    <row r="3848" spans="1:53" ht="15.75" customHeight="1">
      <c r="A3848" s="99"/>
      <c r="B3848" s="99"/>
      <c r="C3848" s="147"/>
      <c r="D3848" s="147"/>
      <c r="E3848" s="147"/>
      <c r="F3848" s="147"/>
      <c r="G3848" s="147"/>
      <c r="H3848" s="147"/>
      <c r="I3848" s="147"/>
      <c r="J3848" s="147"/>
      <c r="K3848" s="147"/>
      <c r="L3848" s="147"/>
      <c r="M3848" s="147"/>
      <c r="N3848" s="147"/>
      <c r="O3848" s="147"/>
      <c r="P3848" s="147"/>
      <c r="Q3848" s="147"/>
      <c r="R3848" s="147"/>
      <c r="S3848" s="147"/>
      <c r="T3848" s="147"/>
      <c r="U3848" s="147"/>
      <c r="V3848" s="147"/>
      <c r="W3848" s="147"/>
      <c r="X3848" s="147"/>
      <c r="Y3848" s="147"/>
      <c r="Z3848" s="147"/>
      <c r="AA3848" s="147"/>
      <c r="AB3848" s="147"/>
      <c r="AC3848" s="147"/>
      <c r="AD3848" s="147"/>
      <c r="AE3848" s="147"/>
      <c r="AF3848" s="147"/>
      <c r="AG3848" s="147"/>
      <c r="AH3848" s="147"/>
      <c r="AI3848" s="147"/>
      <c r="AJ3848" s="147"/>
      <c r="AK3848" s="147"/>
      <c r="AL3848" s="147"/>
      <c r="AM3848" s="147"/>
      <c r="AN3848" s="147"/>
      <c r="AO3848" s="147"/>
      <c r="AP3848" s="147"/>
      <c r="AQ3848" s="147"/>
      <c r="AR3848" s="147"/>
      <c r="AS3848" s="147"/>
      <c r="AT3848" s="147"/>
      <c r="AU3848" s="147"/>
      <c r="AV3848" s="147"/>
      <c r="AW3848" s="147"/>
      <c r="AX3848" s="147"/>
      <c r="AY3848" s="147"/>
      <c r="AZ3848" s="147"/>
      <c r="BA3848" s="147"/>
    </row>
    <row r="3849" spans="1:53" ht="15.75" customHeight="1">
      <c r="A3849" s="99"/>
      <c r="B3849" s="99"/>
      <c r="C3849" s="147"/>
      <c r="D3849" s="147"/>
      <c r="E3849" s="147"/>
      <c r="F3849" s="147"/>
      <c r="G3849" s="147"/>
      <c r="H3849" s="147"/>
      <c r="I3849" s="147"/>
      <c r="J3849" s="147"/>
      <c r="K3849" s="147"/>
      <c r="L3849" s="147"/>
      <c r="M3849" s="147"/>
      <c r="N3849" s="147"/>
      <c r="O3849" s="147"/>
      <c r="P3849" s="147"/>
      <c r="Q3849" s="147"/>
      <c r="R3849" s="147"/>
      <c r="S3849" s="147"/>
      <c r="T3849" s="147"/>
      <c r="U3849" s="147"/>
      <c r="V3849" s="147"/>
      <c r="W3849" s="147"/>
      <c r="X3849" s="147"/>
      <c r="Y3849" s="147"/>
      <c r="Z3849" s="147"/>
      <c r="AA3849" s="147"/>
      <c r="AB3849" s="147"/>
      <c r="AC3849" s="147"/>
      <c r="AD3849" s="147"/>
      <c r="AE3849" s="147"/>
      <c r="AF3849" s="147"/>
      <c r="AG3849" s="147"/>
      <c r="AH3849" s="147"/>
      <c r="AI3849" s="147"/>
      <c r="AJ3849" s="147"/>
      <c r="AK3849" s="147"/>
      <c r="AL3849" s="147"/>
      <c r="AM3849" s="147"/>
      <c r="AN3849" s="147"/>
      <c r="AO3849" s="147"/>
      <c r="AP3849" s="147"/>
      <c r="AQ3849" s="147"/>
      <c r="AR3849" s="147"/>
      <c r="AS3849" s="147"/>
      <c r="AT3849" s="147"/>
      <c r="AU3849" s="147"/>
      <c r="AV3849" s="147"/>
      <c r="AW3849" s="147"/>
      <c r="AX3849" s="147"/>
      <c r="AY3849" s="147"/>
      <c r="AZ3849" s="147"/>
      <c r="BA3849" s="147"/>
    </row>
    <row r="3850" spans="1:53" ht="15.75" customHeight="1">
      <c r="A3850" s="99"/>
      <c r="B3850" s="99"/>
      <c r="C3850" s="147"/>
      <c r="D3850" s="147"/>
      <c r="E3850" s="147"/>
      <c r="F3850" s="147"/>
      <c r="G3850" s="147"/>
      <c r="H3850" s="147"/>
      <c r="I3850" s="147"/>
      <c r="J3850" s="147"/>
      <c r="K3850" s="147"/>
      <c r="L3850" s="147"/>
      <c r="M3850" s="147"/>
      <c r="N3850" s="147"/>
      <c r="O3850" s="147"/>
      <c r="P3850" s="147"/>
      <c r="Q3850" s="147"/>
      <c r="R3850" s="147"/>
      <c r="S3850" s="147"/>
      <c r="T3850" s="147"/>
      <c r="U3850" s="147"/>
      <c r="V3850" s="147"/>
      <c r="W3850" s="147"/>
      <c r="X3850" s="147"/>
      <c r="Y3850" s="147"/>
      <c r="Z3850" s="147"/>
      <c r="AA3850" s="147"/>
      <c r="AB3850" s="147"/>
      <c r="AC3850" s="147"/>
      <c r="AD3850" s="147"/>
      <c r="AE3850" s="147"/>
      <c r="AF3850" s="147"/>
      <c r="AG3850" s="147"/>
      <c r="AH3850" s="147"/>
      <c r="AI3850" s="147"/>
      <c r="AJ3850" s="147"/>
      <c r="AK3850" s="147"/>
      <c r="AL3850" s="147"/>
      <c r="AM3850" s="147"/>
      <c r="AN3850" s="147"/>
      <c r="AO3850" s="147"/>
      <c r="AP3850" s="147"/>
      <c r="AQ3850" s="147"/>
      <c r="AR3850" s="147"/>
      <c r="AS3850" s="147"/>
      <c r="AT3850" s="147"/>
      <c r="AU3850" s="147"/>
      <c r="AV3850" s="147"/>
      <c r="AW3850" s="147"/>
      <c r="AX3850" s="147"/>
      <c r="AY3850" s="147"/>
      <c r="AZ3850" s="147"/>
      <c r="BA3850" s="147"/>
    </row>
    <row r="3851" spans="1:53" ht="15.75" customHeight="1">
      <c r="A3851" s="99"/>
      <c r="B3851" s="99"/>
      <c r="C3851" s="147"/>
      <c r="D3851" s="147"/>
      <c r="E3851" s="147"/>
      <c r="F3851" s="147"/>
      <c r="G3851" s="147"/>
      <c r="H3851" s="147"/>
      <c r="I3851" s="147"/>
      <c r="J3851" s="147"/>
      <c r="K3851" s="147"/>
      <c r="L3851" s="147"/>
      <c r="M3851" s="147"/>
      <c r="N3851" s="147"/>
      <c r="O3851" s="147"/>
      <c r="P3851" s="147"/>
      <c r="Q3851" s="147"/>
      <c r="R3851" s="147"/>
      <c r="S3851" s="147"/>
      <c r="T3851" s="147"/>
      <c r="U3851" s="147"/>
      <c r="V3851" s="147"/>
      <c r="W3851" s="147"/>
      <c r="X3851" s="147"/>
      <c r="Y3851" s="147"/>
      <c r="Z3851" s="147"/>
      <c r="AA3851" s="147"/>
      <c r="AB3851" s="147"/>
      <c r="AC3851" s="147"/>
      <c r="AD3851" s="147"/>
      <c r="AE3851" s="147"/>
      <c r="AF3851" s="147"/>
      <c r="AG3851" s="147"/>
      <c r="AH3851" s="147"/>
      <c r="AI3851" s="147"/>
      <c r="AJ3851" s="147"/>
      <c r="AK3851" s="147"/>
      <c r="AL3851" s="147"/>
      <c r="AM3851" s="147"/>
      <c r="AN3851" s="147"/>
      <c r="AO3851" s="147"/>
      <c r="AP3851" s="147"/>
      <c r="AQ3851" s="147"/>
      <c r="AR3851" s="147"/>
      <c r="AS3851" s="147"/>
      <c r="AT3851" s="147"/>
      <c r="AU3851" s="147"/>
      <c r="AV3851" s="147"/>
      <c r="AW3851" s="147"/>
      <c r="AX3851" s="147"/>
      <c r="AY3851" s="147"/>
      <c r="AZ3851" s="147"/>
      <c r="BA3851" s="147"/>
    </row>
    <row r="3852" spans="1:53" ht="15.75" customHeight="1">
      <c r="A3852" s="99"/>
      <c r="B3852" s="99"/>
      <c r="C3852" s="147"/>
      <c r="D3852" s="147"/>
      <c r="E3852" s="147"/>
      <c r="F3852" s="147"/>
      <c r="G3852" s="147"/>
      <c r="H3852" s="147"/>
      <c r="I3852" s="147"/>
      <c r="J3852" s="147"/>
      <c r="K3852" s="147"/>
      <c r="L3852" s="147"/>
      <c r="M3852" s="147"/>
      <c r="N3852" s="147"/>
      <c r="O3852" s="147"/>
      <c r="P3852" s="147"/>
      <c r="Q3852" s="147"/>
      <c r="R3852" s="147"/>
      <c r="S3852" s="147"/>
      <c r="T3852" s="147"/>
      <c r="U3852" s="147"/>
      <c r="V3852" s="147"/>
      <c r="W3852" s="147"/>
      <c r="X3852" s="147"/>
      <c r="Y3852" s="147"/>
      <c r="Z3852" s="147"/>
      <c r="AA3852" s="147"/>
      <c r="AB3852" s="147"/>
      <c r="AC3852" s="147"/>
      <c r="AD3852" s="147"/>
      <c r="AE3852" s="147"/>
      <c r="AF3852" s="147"/>
      <c r="AG3852" s="147"/>
      <c r="AH3852" s="147"/>
      <c r="AI3852" s="147"/>
      <c r="AJ3852" s="147"/>
      <c r="AK3852" s="147"/>
      <c r="AL3852" s="147"/>
      <c r="AM3852" s="147"/>
      <c r="AN3852" s="147"/>
      <c r="AO3852" s="147"/>
      <c r="AP3852" s="147"/>
      <c r="AQ3852" s="147"/>
      <c r="AR3852" s="147"/>
      <c r="AS3852" s="147"/>
      <c r="AT3852" s="147"/>
      <c r="AU3852" s="147"/>
      <c r="AV3852" s="147"/>
      <c r="AW3852" s="147"/>
      <c r="AX3852" s="147"/>
      <c r="AY3852" s="147"/>
      <c r="AZ3852" s="147"/>
      <c r="BA3852" s="147"/>
    </row>
    <row r="3853" spans="1:53" ht="15.75" customHeight="1">
      <c r="A3853" s="99"/>
      <c r="B3853" s="99"/>
      <c r="C3853" s="147"/>
      <c r="D3853" s="147"/>
      <c r="E3853" s="147"/>
      <c r="F3853" s="147"/>
      <c r="G3853" s="147"/>
      <c r="H3853" s="147"/>
      <c r="I3853" s="147"/>
      <c r="J3853" s="147"/>
      <c r="K3853" s="147"/>
      <c r="L3853" s="147"/>
      <c r="M3853" s="147"/>
      <c r="N3853" s="147"/>
      <c r="O3853" s="147"/>
      <c r="P3853" s="147"/>
      <c r="Q3853" s="147"/>
      <c r="R3853" s="147"/>
      <c r="S3853" s="147"/>
      <c r="T3853" s="147"/>
      <c r="U3853" s="147"/>
      <c r="V3853" s="147"/>
      <c r="W3853" s="147"/>
      <c r="X3853" s="147"/>
      <c r="Y3853" s="147"/>
      <c r="Z3853" s="147"/>
      <c r="AA3853" s="147"/>
      <c r="AB3853" s="147"/>
      <c r="AC3853" s="147"/>
      <c r="AD3853" s="147"/>
      <c r="AE3853" s="147"/>
      <c r="AF3853" s="147"/>
      <c r="AG3853" s="147"/>
      <c r="AH3853" s="147"/>
      <c r="AI3853" s="147"/>
      <c r="AJ3853" s="147"/>
      <c r="AK3853" s="147"/>
      <c r="AL3853" s="147"/>
      <c r="AM3853" s="147"/>
      <c r="AN3853" s="147"/>
      <c r="AO3853" s="147"/>
      <c r="AP3853" s="147"/>
      <c r="AQ3853" s="147"/>
      <c r="AR3853" s="147"/>
      <c r="AS3853" s="147"/>
      <c r="AT3853" s="147"/>
      <c r="AU3853" s="147"/>
      <c r="AV3853" s="147"/>
      <c r="AW3853" s="147"/>
      <c r="AX3853" s="147"/>
      <c r="AY3853" s="147"/>
      <c r="AZ3853" s="147"/>
      <c r="BA3853" s="147"/>
    </row>
    <row r="3854" spans="1:53" ht="15.75" customHeight="1">
      <c r="A3854" s="99"/>
      <c r="B3854" s="99"/>
      <c r="C3854" s="147"/>
      <c r="D3854" s="147"/>
      <c r="E3854" s="147"/>
      <c r="F3854" s="147"/>
      <c r="G3854" s="147"/>
      <c r="H3854" s="147"/>
      <c r="I3854" s="147"/>
      <c r="J3854" s="147"/>
      <c r="K3854" s="147"/>
      <c r="L3854" s="147"/>
      <c r="M3854" s="147"/>
      <c r="N3854" s="147"/>
      <c r="O3854" s="147"/>
      <c r="P3854" s="147"/>
      <c r="Q3854" s="147"/>
      <c r="R3854" s="147"/>
      <c r="S3854" s="147"/>
      <c r="T3854" s="147"/>
      <c r="U3854" s="147"/>
      <c r="V3854" s="147"/>
      <c r="W3854" s="147"/>
      <c r="X3854" s="147"/>
      <c r="Y3854" s="147"/>
      <c r="Z3854" s="147"/>
      <c r="AA3854" s="147"/>
      <c r="AB3854" s="147"/>
      <c r="AC3854" s="147"/>
      <c r="AD3854" s="147"/>
      <c r="AE3854" s="147"/>
      <c r="AF3854" s="147"/>
      <c r="AG3854" s="147"/>
      <c r="AH3854" s="147"/>
      <c r="AI3854" s="147"/>
      <c r="AJ3854" s="147"/>
      <c r="AK3854" s="147"/>
      <c r="AL3854" s="147"/>
      <c r="AM3854" s="147"/>
      <c r="AN3854" s="147"/>
      <c r="AO3854" s="147"/>
      <c r="AP3854" s="147"/>
      <c r="AQ3854" s="147"/>
      <c r="AR3854" s="147"/>
      <c r="AS3854" s="147"/>
      <c r="AT3854" s="147"/>
      <c r="AU3854" s="147"/>
      <c r="AV3854" s="147"/>
      <c r="AW3854" s="147"/>
      <c r="AX3854" s="147"/>
      <c r="AY3854" s="147"/>
      <c r="AZ3854" s="147"/>
      <c r="BA3854" s="147"/>
    </row>
    <row r="3855" spans="1:53" ht="15.75" customHeight="1">
      <c r="A3855" s="99"/>
      <c r="B3855" s="99"/>
      <c r="C3855" s="147"/>
      <c r="D3855" s="147"/>
      <c r="E3855" s="147"/>
      <c r="F3855" s="147"/>
      <c r="G3855" s="147"/>
      <c r="H3855" s="147"/>
      <c r="I3855" s="147"/>
      <c r="J3855" s="147"/>
      <c r="K3855" s="147"/>
      <c r="L3855" s="147"/>
      <c r="M3855" s="147"/>
      <c r="N3855" s="147"/>
      <c r="O3855" s="147"/>
      <c r="P3855" s="147"/>
      <c r="Q3855" s="147"/>
      <c r="R3855" s="147"/>
      <c r="S3855" s="147"/>
      <c r="T3855" s="147"/>
      <c r="U3855" s="147"/>
      <c r="V3855" s="147"/>
      <c r="W3855" s="147"/>
      <c r="X3855" s="147"/>
      <c r="Y3855" s="147"/>
      <c r="Z3855" s="147"/>
      <c r="AA3855" s="147"/>
      <c r="AB3855" s="147"/>
      <c r="AC3855" s="147"/>
      <c r="AD3855" s="147"/>
      <c r="AE3855" s="147"/>
      <c r="AF3855" s="147"/>
      <c r="AG3855" s="147"/>
      <c r="AH3855" s="147"/>
      <c r="AI3855" s="147"/>
      <c r="AJ3855" s="147"/>
      <c r="AK3855" s="147"/>
      <c r="AL3855" s="147"/>
      <c r="AM3855" s="147"/>
      <c r="AN3855" s="147"/>
      <c r="AO3855" s="147"/>
      <c r="AP3855" s="147"/>
      <c r="AQ3855" s="147"/>
      <c r="AR3855" s="147"/>
      <c r="AS3855" s="147"/>
      <c r="AT3855" s="147"/>
      <c r="AU3855" s="147"/>
      <c r="AV3855" s="147"/>
      <c r="AW3855" s="147"/>
      <c r="AX3855" s="147"/>
      <c r="AY3855" s="147"/>
      <c r="AZ3855" s="147"/>
      <c r="BA3855" s="147"/>
    </row>
    <row r="3856" spans="1:53" ht="15.75" customHeight="1">
      <c r="A3856" s="99"/>
      <c r="B3856" s="99"/>
      <c r="C3856" s="147"/>
      <c r="D3856" s="147"/>
      <c r="E3856" s="147"/>
      <c r="F3856" s="147"/>
      <c r="G3856" s="147"/>
      <c r="H3856" s="147"/>
      <c r="I3856" s="147"/>
      <c r="J3856" s="147"/>
      <c r="K3856" s="147"/>
      <c r="L3856" s="147"/>
      <c r="M3856" s="147"/>
      <c r="N3856" s="147"/>
      <c r="O3856" s="147"/>
      <c r="P3856" s="147"/>
      <c r="Q3856" s="147"/>
      <c r="R3856" s="147"/>
      <c r="S3856" s="147"/>
      <c r="T3856" s="147"/>
      <c r="U3856" s="147"/>
      <c r="V3856" s="147"/>
      <c r="W3856" s="147"/>
      <c r="X3856" s="147"/>
      <c r="Y3856" s="147"/>
      <c r="Z3856" s="147"/>
      <c r="AA3856" s="147"/>
      <c r="AB3856" s="147"/>
      <c r="AC3856" s="147"/>
      <c r="AD3856" s="147"/>
      <c r="AE3856" s="147"/>
      <c r="AF3856" s="147"/>
      <c r="AG3856" s="147"/>
      <c r="AH3856" s="147"/>
      <c r="AI3856" s="147"/>
      <c r="AJ3856" s="147"/>
      <c r="AK3856" s="147"/>
      <c r="AL3856" s="147"/>
      <c r="AM3856" s="147"/>
      <c r="AN3856" s="147"/>
      <c r="AO3856" s="147"/>
      <c r="AP3856" s="147"/>
      <c r="AQ3856" s="147"/>
      <c r="AR3856" s="147"/>
      <c r="AS3856" s="147"/>
      <c r="AT3856" s="147"/>
      <c r="AU3856" s="147"/>
      <c r="AV3856" s="147"/>
      <c r="AW3856" s="147"/>
      <c r="AX3856" s="147"/>
      <c r="AY3856" s="147"/>
      <c r="AZ3856" s="147"/>
      <c r="BA3856" s="147"/>
    </row>
    <row r="3857" spans="1:53" ht="15.75" customHeight="1">
      <c r="A3857" s="99"/>
      <c r="B3857" s="99"/>
      <c r="C3857" s="147"/>
      <c r="D3857" s="147"/>
      <c r="E3857" s="147"/>
      <c r="F3857" s="147"/>
      <c r="G3857" s="147"/>
      <c r="H3857" s="147"/>
      <c r="I3857" s="147"/>
      <c r="J3857" s="147"/>
      <c r="K3857" s="147"/>
      <c r="L3857" s="147"/>
      <c r="M3857" s="147"/>
      <c r="N3857" s="147"/>
      <c r="O3857" s="147"/>
      <c r="P3857" s="147"/>
      <c r="Q3857" s="147"/>
      <c r="R3857" s="147"/>
      <c r="S3857" s="147"/>
      <c r="T3857" s="147"/>
      <c r="U3857" s="147"/>
      <c r="V3857" s="147"/>
      <c r="W3857" s="147"/>
      <c r="X3857" s="147"/>
      <c r="Y3857" s="147"/>
      <c r="Z3857" s="147"/>
      <c r="AA3857" s="147"/>
      <c r="AB3857" s="147"/>
      <c r="AC3857" s="147"/>
      <c r="AD3857" s="147"/>
      <c r="AE3857" s="147"/>
      <c r="AF3857" s="147"/>
      <c r="AG3857" s="147"/>
      <c r="AH3857" s="147"/>
      <c r="AI3857" s="147"/>
      <c r="AJ3857" s="147"/>
      <c r="AK3857" s="147"/>
      <c r="AL3857" s="147"/>
      <c r="AM3857" s="147"/>
      <c r="AN3857" s="147"/>
      <c r="AO3857" s="147"/>
      <c r="AP3857" s="147"/>
      <c r="AQ3857" s="147"/>
      <c r="AR3857" s="147"/>
      <c r="AS3857" s="147"/>
      <c r="AT3857" s="147"/>
      <c r="AU3857" s="147"/>
      <c r="AV3857" s="147"/>
      <c r="AW3857" s="147"/>
      <c r="AX3857" s="147"/>
      <c r="AY3857" s="147"/>
      <c r="AZ3857" s="147"/>
      <c r="BA3857" s="147"/>
    </row>
    <row r="3858" spans="1:53" ht="15.75" customHeight="1">
      <c r="A3858" s="99"/>
      <c r="B3858" s="99"/>
      <c r="C3858" s="147"/>
      <c r="D3858" s="147"/>
      <c r="E3858" s="147"/>
      <c r="F3858" s="147"/>
      <c r="G3858" s="147"/>
      <c r="H3858" s="147"/>
      <c r="I3858" s="147"/>
      <c r="J3858" s="147"/>
      <c r="K3858" s="147"/>
      <c r="L3858" s="147"/>
      <c r="M3858" s="147"/>
      <c r="N3858" s="147"/>
      <c r="O3858" s="147"/>
      <c r="P3858" s="147"/>
      <c r="Q3858" s="147"/>
      <c r="R3858" s="147"/>
      <c r="S3858" s="147"/>
      <c r="T3858" s="147"/>
      <c r="U3858" s="147"/>
      <c r="V3858" s="147"/>
      <c r="W3858" s="147"/>
      <c r="X3858" s="147"/>
      <c r="Y3858" s="147"/>
      <c r="Z3858" s="147"/>
      <c r="AA3858" s="147"/>
      <c r="AB3858" s="147"/>
      <c r="AC3858" s="147"/>
      <c r="AD3858" s="147"/>
      <c r="AE3858" s="147"/>
      <c r="AF3858" s="147"/>
      <c r="AG3858" s="147"/>
      <c r="AH3858" s="147"/>
      <c r="AI3858" s="147"/>
      <c r="AJ3858" s="147"/>
      <c r="AK3858" s="147"/>
      <c r="AL3858" s="147"/>
      <c r="AM3858" s="147"/>
      <c r="AN3858" s="147"/>
      <c r="AO3858" s="147"/>
      <c r="AP3858" s="147"/>
      <c r="AQ3858" s="147"/>
      <c r="AR3858" s="147"/>
      <c r="AS3858" s="147"/>
      <c r="AT3858" s="147"/>
      <c r="AU3858" s="147"/>
      <c r="AV3858" s="147"/>
      <c r="AW3858" s="147"/>
      <c r="AX3858" s="147"/>
      <c r="AY3858" s="147"/>
      <c r="AZ3858" s="147"/>
      <c r="BA3858" s="147"/>
    </row>
    <row r="3859" spans="1:53" ht="15.75" customHeight="1">
      <c r="A3859" s="99"/>
      <c r="B3859" s="99"/>
      <c r="C3859" s="147"/>
      <c r="D3859" s="147"/>
      <c r="E3859" s="147"/>
      <c r="F3859" s="147"/>
      <c r="G3859" s="147"/>
      <c r="H3859" s="147"/>
      <c r="I3859" s="147"/>
      <c r="J3859" s="147"/>
      <c r="K3859" s="147"/>
      <c r="L3859" s="147"/>
      <c r="M3859" s="147"/>
      <c r="N3859" s="147"/>
      <c r="O3859" s="147"/>
      <c r="P3859" s="147"/>
      <c r="Q3859" s="147"/>
      <c r="R3859" s="147"/>
      <c r="S3859" s="147"/>
      <c r="T3859" s="147"/>
      <c r="U3859" s="147"/>
      <c r="V3859" s="147"/>
      <c r="W3859" s="147"/>
      <c r="X3859" s="147"/>
      <c r="Y3859" s="147"/>
      <c r="Z3859" s="147"/>
      <c r="AA3859" s="147"/>
      <c r="AB3859" s="147"/>
      <c r="AC3859" s="147"/>
      <c r="AD3859" s="147"/>
      <c r="AE3859" s="147"/>
      <c r="AF3859" s="147"/>
      <c r="AG3859" s="147"/>
      <c r="AH3859" s="147"/>
      <c r="AI3859" s="147"/>
      <c r="AJ3859" s="147"/>
      <c r="AK3859" s="147"/>
      <c r="AL3859" s="147"/>
      <c r="AM3859" s="147"/>
      <c r="AN3859" s="147"/>
      <c r="AO3859" s="147"/>
      <c r="AP3859" s="147"/>
      <c r="AQ3859" s="147"/>
      <c r="AR3859" s="147"/>
      <c r="AS3859" s="147"/>
      <c r="AT3859" s="147"/>
      <c r="AU3859" s="147"/>
      <c r="AV3859" s="147"/>
      <c r="AW3859" s="147"/>
      <c r="AX3859" s="147"/>
      <c r="AY3859" s="147"/>
      <c r="AZ3859" s="147"/>
      <c r="BA3859" s="147"/>
    </row>
    <row r="3860" spans="1:53" ht="15.75" customHeight="1">
      <c r="A3860" s="99"/>
      <c r="B3860" s="99"/>
      <c r="C3860" s="147"/>
      <c r="D3860" s="147"/>
      <c r="E3860" s="147"/>
      <c r="F3860" s="147"/>
      <c r="G3860" s="147"/>
      <c r="H3860" s="147"/>
      <c r="I3860" s="147"/>
      <c r="J3860" s="147"/>
      <c r="K3860" s="147"/>
      <c r="L3860" s="147"/>
      <c r="M3860" s="147"/>
      <c r="N3860" s="147"/>
      <c r="O3860" s="147"/>
      <c r="P3860" s="147"/>
      <c r="Q3860" s="147"/>
      <c r="R3860" s="147"/>
      <c r="S3860" s="147"/>
      <c r="T3860" s="147"/>
      <c r="U3860" s="147"/>
      <c r="V3860" s="147"/>
      <c r="W3860" s="147"/>
      <c r="X3860" s="147"/>
      <c r="Y3860" s="147"/>
      <c r="Z3860" s="147"/>
      <c r="AA3860" s="147"/>
      <c r="AB3860" s="147"/>
      <c r="AC3860" s="147"/>
      <c r="AD3860" s="147"/>
      <c r="AE3860" s="147"/>
      <c r="AF3860" s="147"/>
      <c r="AG3860" s="147"/>
      <c r="AH3860" s="147"/>
      <c r="AI3860" s="147"/>
      <c r="AJ3860" s="147"/>
      <c r="AK3860" s="147"/>
      <c r="AL3860" s="147"/>
      <c r="AM3860" s="147"/>
      <c r="AN3860" s="147"/>
      <c r="AO3860" s="147"/>
      <c r="AP3860" s="147"/>
      <c r="AQ3860" s="147"/>
      <c r="AR3860" s="147"/>
      <c r="AS3860" s="147"/>
      <c r="AT3860" s="147"/>
      <c r="AU3860" s="147"/>
      <c r="AV3860" s="147"/>
      <c r="AW3860" s="147"/>
      <c r="AX3860" s="147"/>
      <c r="AY3860" s="147"/>
      <c r="AZ3860" s="147"/>
      <c r="BA3860" s="147"/>
    </row>
    <row r="3861" spans="1:53" ht="15.75" customHeight="1">
      <c r="A3861" s="99"/>
      <c r="B3861" s="99"/>
      <c r="C3861" s="147"/>
      <c r="D3861" s="147"/>
      <c r="E3861" s="147"/>
      <c r="F3861" s="147"/>
      <c r="G3861" s="147"/>
      <c r="H3861" s="147"/>
      <c r="I3861" s="147"/>
      <c r="J3861" s="147"/>
      <c r="K3861" s="147"/>
      <c r="L3861" s="147"/>
      <c r="M3861" s="147"/>
      <c r="N3861" s="147"/>
      <c r="O3861" s="147"/>
      <c r="P3861" s="147"/>
      <c r="Q3861" s="147"/>
      <c r="R3861" s="147"/>
      <c r="S3861" s="147"/>
      <c r="T3861" s="147"/>
      <c r="U3861" s="147"/>
      <c r="V3861" s="147"/>
      <c r="W3861" s="147"/>
      <c r="X3861" s="147"/>
      <c r="Y3861" s="147"/>
      <c r="Z3861" s="147"/>
      <c r="AA3861" s="147"/>
      <c r="AB3861" s="147"/>
      <c r="AC3861" s="147"/>
      <c r="AD3861" s="147"/>
      <c r="AE3861" s="147"/>
      <c r="AF3861" s="147"/>
      <c r="AG3861" s="147"/>
      <c r="AH3861" s="147"/>
      <c r="AI3861" s="147"/>
      <c r="AJ3861" s="147"/>
      <c r="AK3861" s="147"/>
      <c r="AL3861" s="147"/>
      <c r="AM3861" s="147"/>
      <c r="AN3861" s="147"/>
      <c r="AO3861" s="147"/>
      <c r="AP3861" s="147"/>
      <c r="AQ3861" s="147"/>
      <c r="AR3861" s="147"/>
      <c r="AS3861" s="147"/>
      <c r="AT3861" s="147"/>
      <c r="AU3861" s="147"/>
      <c r="AV3861" s="147"/>
      <c r="AW3861" s="147"/>
      <c r="AX3861" s="147"/>
      <c r="AY3861" s="147"/>
      <c r="AZ3861" s="147"/>
      <c r="BA3861" s="147"/>
    </row>
    <row r="3862" spans="1:53" ht="15.75" customHeight="1">
      <c r="A3862" s="99"/>
      <c r="B3862" s="99"/>
      <c r="C3862" s="147"/>
      <c r="D3862" s="147"/>
      <c r="E3862" s="147"/>
      <c r="F3862" s="147"/>
      <c r="G3862" s="147"/>
      <c r="H3862" s="147"/>
      <c r="I3862" s="147"/>
      <c r="J3862" s="147"/>
      <c r="K3862" s="147"/>
      <c r="L3862" s="147"/>
      <c r="M3862" s="147"/>
      <c r="N3862" s="147"/>
      <c r="O3862" s="147"/>
      <c r="P3862" s="147"/>
      <c r="Q3862" s="147"/>
      <c r="R3862" s="147"/>
      <c r="S3862" s="147"/>
      <c r="T3862" s="147"/>
      <c r="U3862" s="147"/>
      <c r="V3862" s="147"/>
      <c r="W3862" s="147"/>
      <c r="X3862" s="147"/>
      <c r="Y3862" s="147"/>
      <c r="Z3862" s="147"/>
      <c r="AA3862" s="147"/>
      <c r="AB3862" s="147"/>
      <c r="AC3862" s="147"/>
      <c r="AD3862" s="147"/>
      <c r="AE3862" s="147"/>
      <c r="AF3862" s="147"/>
      <c r="AG3862" s="147"/>
      <c r="AH3862" s="147"/>
      <c r="AI3862" s="147"/>
      <c r="AJ3862" s="147"/>
      <c r="AK3862" s="147"/>
      <c r="AL3862" s="147"/>
      <c r="AM3862" s="147"/>
      <c r="AN3862" s="147"/>
      <c r="AO3862" s="147"/>
      <c r="AP3862" s="147"/>
      <c r="AQ3862" s="147"/>
      <c r="AR3862" s="147"/>
      <c r="AS3862" s="147"/>
      <c r="AT3862" s="147"/>
      <c r="AU3862" s="147"/>
      <c r="AV3862" s="147"/>
      <c r="AW3862" s="147"/>
      <c r="AX3862" s="147"/>
      <c r="AY3862" s="147"/>
      <c r="AZ3862" s="147"/>
      <c r="BA3862" s="147"/>
    </row>
    <row r="3863" spans="1:53" ht="15.75" customHeight="1">
      <c r="A3863" s="99"/>
      <c r="B3863" s="99"/>
      <c r="C3863" s="147"/>
      <c r="D3863" s="147"/>
      <c r="E3863" s="147"/>
      <c r="F3863" s="147"/>
      <c r="G3863" s="147"/>
      <c r="H3863" s="147"/>
      <c r="I3863" s="147"/>
      <c r="J3863" s="147"/>
      <c r="K3863" s="147"/>
      <c r="L3863" s="147"/>
      <c r="M3863" s="147"/>
      <c r="N3863" s="147"/>
      <c r="O3863" s="147"/>
      <c r="P3863" s="147"/>
      <c r="Q3863" s="147"/>
      <c r="R3863" s="147"/>
      <c r="S3863" s="147"/>
      <c r="T3863" s="147"/>
      <c r="U3863" s="147"/>
      <c r="V3863" s="147"/>
      <c r="W3863" s="147"/>
      <c r="X3863" s="147"/>
      <c r="Y3863" s="147"/>
      <c r="Z3863" s="147"/>
      <c r="AA3863" s="147"/>
      <c r="AB3863" s="147"/>
      <c r="AC3863" s="147"/>
      <c r="AD3863" s="147"/>
      <c r="AE3863" s="147"/>
      <c r="AF3863" s="147"/>
      <c r="AG3863" s="147"/>
      <c r="AH3863" s="147"/>
      <c r="AI3863" s="147"/>
      <c r="AJ3863" s="147"/>
      <c r="AK3863" s="147"/>
      <c r="AL3863" s="147"/>
      <c r="AM3863" s="147"/>
      <c r="AN3863" s="147"/>
      <c r="AO3863" s="147"/>
      <c r="AP3863" s="147"/>
      <c r="AQ3863" s="147"/>
      <c r="AR3863" s="147"/>
      <c r="AS3863" s="147"/>
      <c r="AT3863" s="147"/>
      <c r="AU3863" s="147"/>
      <c r="AV3863" s="147"/>
      <c r="AW3863" s="147"/>
      <c r="AX3863" s="147"/>
      <c r="AY3863" s="147"/>
      <c r="AZ3863" s="147"/>
      <c r="BA3863" s="147"/>
    </row>
    <row r="3864" spans="1:53" ht="15.75" customHeight="1">
      <c r="A3864" s="99"/>
      <c r="B3864" s="99"/>
      <c r="C3864" s="147"/>
      <c r="D3864" s="147"/>
      <c r="E3864" s="147"/>
      <c r="F3864" s="147"/>
      <c r="G3864" s="147"/>
      <c r="H3864" s="147"/>
      <c r="I3864" s="147"/>
      <c r="J3864" s="147"/>
      <c r="K3864" s="147"/>
      <c r="L3864" s="147"/>
      <c r="M3864" s="147"/>
      <c r="N3864" s="147"/>
      <c r="O3864" s="147"/>
      <c r="P3864" s="147"/>
      <c r="Q3864" s="147"/>
      <c r="R3864" s="147"/>
      <c r="S3864" s="147"/>
      <c r="T3864" s="147"/>
      <c r="U3864" s="147"/>
      <c r="V3864" s="147"/>
      <c r="W3864" s="147"/>
      <c r="X3864" s="147"/>
      <c r="Y3864" s="147"/>
      <c r="Z3864" s="147"/>
      <c r="AA3864" s="147"/>
      <c r="AB3864" s="147"/>
      <c r="AC3864" s="147"/>
      <c r="AD3864" s="147"/>
      <c r="AE3864" s="147"/>
      <c r="AF3864" s="147"/>
      <c r="AG3864" s="147"/>
      <c r="AH3864" s="147"/>
      <c r="AI3864" s="147"/>
      <c r="AJ3864" s="147"/>
      <c r="AK3864" s="147"/>
      <c r="AL3864" s="147"/>
      <c r="AM3864" s="147"/>
      <c r="AN3864" s="147"/>
      <c r="AO3864" s="147"/>
      <c r="AP3864" s="147"/>
      <c r="AQ3864" s="147"/>
      <c r="AR3864" s="147"/>
      <c r="AS3864" s="147"/>
      <c r="AT3864" s="147"/>
      <c r="AU3864" s="147"/>
      <c r="AV3864" s="147"/>
      <c r="AW3864" s="147"/>
      <c r="AX3864" s="147"/>
      <c r="AY3864" s="147"/>
      <c r="AZ3864" s="147"/>
      <c r="BA3864" s="147"/>
    </row>
    <row r="3865" spans="1:53" ht="15.75" customHeight="1">
      <c r="A3865" s="99"/>
      <c r="B3865" s="99"/>
      <c r="C3865" s="147"/>
      <c r="D3865" s="147"/>
      <c r="E3865" s="147"/>
      <c r="F3865" s="147"/>
      <c r="G3865" s="147"/>
      <c r="H3865" s="147"/>
      <c r="I3865" s="147"/>
      <c r="J3865" s="147"/>
      <c r="K3865" s="147"/>
      <c r="L3865" s="147"/>
      <c r="M3865" s="147"/>
      <c r="N3865" s="147"/>
      <c r="O3865" s="147"/>
      <c r="P3865" s="147"/>
      <c r="Q3865" s="147"/>
      <c r="R3865" s="147"/>
      <c r="S3865" s="147"/>
      <c r="T3865" s="147"/>
      <c r="U3865" s="147"/>
      <c r="V3865" s="147"/>
      <c r="W3865" s="147"/>
      <c r="X3865" s="147"/>
      <c r="Y3865" s="147"/>
      <c r="Z3865" s="147"/>
      <c r="AA3865" s="147"/>
      <c r="AB3865" s="147"/>
      <c r="AC3865" s="147"/>
      <c r="AD3865" s="147"/>
      <c r="AE3865" s="147"/>
      <c r="AF3865" s="147"/>
      <c r="AG3865" s="147"/>
      <c r="AH3865" s="147"/>
      <c r="AI3865" s="147"/>
      <c r="AJ3865" s="147"/>
      <c r="AK3865" s="147"/>
      <c r="AL3865" s="147"/>
      <c r="AM3865" s="147"/>
      <c r="AN3865" s="147"/>
      <c r="AO3865" s="147"/>
      <c r="AP3865" s="147"/>
      <c r="AQ3865" s="147"/>
      <c r="AR3865" s="147"/>
      <c r="AS3865" s="147"/>
      <c r="AT3865" s="147"/>
      <c r="AU3865" s="147"/>
      <c r="AV3865" s="147"/>
      <c r="AW3865" s="147"/>
      <c r="AX3865" s="147"/>
      <c r="AY3865" s="147"/>
      <c r="AZ3865" s="147"/>
      <c r="BA3865" s="147"/>
    </row>
    <row r="3866" spans="1:53" ht="15.75" customHeight="1">
      <c r="A3866" s="99"/>
      <c r="B3866" s="99"/>
      <c r="C3866" s="147"/>
      <c r="D3866" s="147"/>
      <c r="E3866" s="147"/>
      <c r="F3866" s="147"/>
      <c r="G3866" s="147"/>
      <c r="H3866" s="147"/>
      <c r="I3866" s="147"/>
      <c r="J3866" s="147"/>
      <c r="K3866" s="147"/>
      <c r="L3866" s="147"/>
      <c r="M3866" s="147"/>
      <c r="N3866" s="147"/>
      <c r="O3866" s="147"/>
      <c r="P3866" s="147"/>
      <c r="Q3866" s="147"/>
      <c r="R3866" s="147"/>
      <c r="S3866" s="147"/>
      <c r="T3866" s="147"/>
      <c r="U3866" s="147"/>
      <c r="V3866" s="147"/>
      <c r="W3866" s="147"/>
      <c r="X3866" s="147"/>
      <c r="Y3866" s="147"/>
      <c r="Z3866" s="147"/>
      <c r="AA3866" s="147"/>
      <c r="AB3866" s="147"/>
      <c r="AC3866" s="147"/>
      <c r="AD3866" s="147"/>
      <c r="AE3866" s="147"/>
      <c r="AF3866" s="147"/>
      <c r="AG3866" s="147"/>
      <c r="AH3866" s="147"/>
      <c r="AI3866" s="147"/>
      <c r="AJ3866" s="147"/>
      <c r="AK3866" s="147"/>
      <c r="AL3866" s="147"/>
      <c r="AM3866" s="147"/>
      <c r="AN3866" s="147"/>
      <c r="AO3866" s="147"/>
      <c r="AP3866" s="147"/>
      <c r="AQ3866" s="147"/>
      <c r="AR3866" s="147"/>
      <c r="AS3866" s="147"/>
      <c r="AT3866" s="147"/>
      <c r="AU3866" s="147"/>
      <c r="AV3866" s="147"/>
      <c r="AW3866" s="147"/>
      <c r="AX3866" s="147"/>
      <c r="AY3866" s="147"/>
      <c r="AZ3866" s="147"/>
      <c r="BA3866" s="147"/>
    </row>
    <row r="3867" spans="1:53" ht="15.75" customHeight="1">
      <c r="A3867" s="99"/>
      <c r="B3867" s="99"/>
      <c r="C3867" s="147"/>
      <c r="D3867" s="147"/>
      <c r="E3867" s="147"/>
      <c r="F3867" s="147"/>
      <c r="G3867" s="147"/>
      <c r="H3867" s="147"/>
      <c r="I3867" s="147"/>
      <c r="J3867" s="147"/>
      <c r="K3867" s="147"/>
      <c r="L3867" s="147"/>
      <c r="M3867" s="147"/>
      <c r="N3867" s="147"/>
      <c r="O3867" s="147"/>
      <c r="P3867" s="147"/>
      <c r="Q3867" s="147"/>
      <c r="R3867" s="147"/>
      <c r="S3867" s="147"/>
      <c r="T3867" s="147"/>
      <c r="U3867" s="147"/>
      <c r="V3867" s="147"/>
      <c r="W3867" s="147"/>
      <c r="X3867" s="147"/>
      <c r="Y3867" s="147"/>
      <c r="Z3867" s="147"/>
      <c r="AA3867" s="147"/>
      <c r="AB3867" s="147"/>
      <c r="AC3867" s="147"/>
      <c r="AD3867" s="147"/>
      <c r="AE3867" s="147"/>
      <c r="AF3867" s="147"/>
      <c r="AG3867" s="147"/>
      <c r="AH3867" s="147"/>
      <c r="AI3867" s="147"/>
      <c r="AJ3867" s="147"/>
      <c r="AK3867" s="147"/>
      <c r="AL3867" s="147"/>
      <c r="AM3867" s="147"/>
      <c r="AN3867" s="147"/>
      <c r="AO3867" s="147"/>
      <c r="AP3867" s="147"/>
      <c r="AQ3867" s="147"/>
      <c r="AR3867" s="147"/>
      <c r="AS3867" s="147"/>
      <c r="AT3867" s="147"/>
      <c r="AU3867" s="147"/>
      <c r="AV3867" s="147"/>
      <c r="AW3867" s="147"/>
      <c r="AX3867" s="147"/>
      <c r="AY3867" s="147"/>
      <c r="AZ3867" s="147"/>
      <c r="BA3867" s="147"/>
    </row>
    <row r="3868" spans="1:53" ht="15.75" customHeight="1">
      <c r="A3868" s="99"/>
      <c r="B3868" s="99"/>
      <c r="C3868" s="147"/>
      <c r="D3868" s="147"/>
      <c r="E3868" s="147"/>
      <c r="F3868" s="147"/>
      <c r="G3868" s="147"/>
      <c r="H3868" s="147"/>
      <c r="I3868" s="147"/>
      <c r="J3868" s="147"/>
      <c r="K3868" s="147"/>
      <c r="L3868" s="147"/>
      <c r="M3868" s="147"/>
      <c r="N3868" s="147"/>
      <c r="O3868" s="147"/>
      <c r="P3868" s="147"/>
      <c r="Q3868" s="147"/>
      <c r="R3868" s="147"/>
      <c r="S3868" s="147"/>
      <c r="T3868" s="147"/>
      <c r="U3868" s="147"/>
      <c r="V3868" s="147"/>
      <c r="W3868" s="147"/>
      <c r="X3868" s="147"/>
      <c r="Y3868" s="147"/>
      <c r="Z3868" s="147"/>
      <c r="AA3868" s="147"/>
      <c r="AB3868" s="147"/>
      <c r="AC3868" s="147"/>
      <c r="AD3868" s="147"/>
      <c r="AE3868" s="147"/>
      <c r="AF3868" s="147"/>
      <c r="AG3868" s="147"/>
      <c r="AH3868" s="147"/>
      <c r="AI3868" s="147"/>
      <c r="AJ3868" s="147"/>
      <c r="AK3868" s="147"/>
      <c r="AL3868" s="147"/>
      <c r="AM3868" s="147"/>
      <c r="AN3868" s="147"/>
      <c r="AO3868" s="147"/>
      <c r="AP3868" s="147"/>
      <c r="AQ3868" s="147"/>
      <c r="AR3868" s="147"/>
      <c r="AS3868" s="147"/>
      <c r="AT3868" s="147"/>
      <c r="AU3868" s="147"/>
      <c r="AV3868" s="147"/>
      <c r="AW3868" s="147"/>
      <c r="AX3868" s="147"/>
      <c r="AY3868" s="147"/>
      <c r="AZ3868" s="147"/>
      <c r="BA3868" s="147"/>
    </row>
    <row r="3869" spans="1:53" ht="15.75" customHeight="1">
      <c r="A3869" s="99"/>
      <c r="B3869" s="99"/>
      <c r="C3869" s="147"/>
      <c r="D3869" s="147"/>
      <c r="E3869" s="147"/>
      <c r="F3869" s="147"/>
      <c r="G3869" s="147"/>
      <c r="H3869" s="147"/>
      <c r="I3869" s="147"/>
      <c r="J3869" s="147"/>
      <c r="K3869" s="147"/>
      <c r="L3869" s="147"/>
      <c r="M3869" s="147"/>
      <c r="N3869" s="147"/>
      <c r="O3869" s="147"/>
      <c r="P3869" s="147"/>
      <c r="Q3869" s="147"/>
      <c r="R3869" s="147"/>
      <c r="S3869" s="147"/>
      <c r="T3869" s="147"/>
      <c r="U3869" s="147"/>
      <c r="V3869" s="147"/>
      <c r="W3869" s="147"/>
      <c r="X3869" s="147"/>
      <c r="Y3869" s="147"/>
      <c r="Z3869" s="147"/>
      <c r="AA3869" s="147"/>
      <c r="AB3869" s="147"/>
      <c r="AC3869" s="147"/>
      <c r="AD3869" s="147"/>
      <c r="AE3869" s="147"/>
      <c r="AF3869" s="147"/>
      <c r="AG3869" s="147"/>
      <c r="AH3869" s="147"/>
      <c r="AI3869" s="147"/>
      <c r="AJ3869" s="147"/>
      <c r="AK3869" s="147"/>
      <c r="AL3869" s="147"/>
      <c r="AM3869" s="147"/>
      <c r="AN3869" s="147"/>
      <c r="AO3869" s="147"/>
      <c r="AP3869" s="147"/>
      <c r="AQ3869" s="147"/>
      <c r="AR3869" s="147"/>
      <c r="AS3869" s="147"/>
      <c r="AT3869" s="147"/>
      <c r="AU3869" s="147"/>
      <c r="AV3869" s="147"/>
      <c r="AW3869" s="147"/>
      <c r="AX3869" s="147"/>
      <c r="AY3869" s="147"/>
      <c r="AZ3869" s="147"/>
      <c r="BA3869" s="147"/>
    </row>
    <row r="3870" spans="1:53" ht="15.75" customHeight="1">
      <c r="A3870" s="99"/>
      <c r="B3870" s="99"/>
      <c r="C3870" s="147"/>
      <c r="D3870" s="147"/>
      <c r="E3870" s="147"/>
      <c r="F3870" s="147"/>
      <c r="G3870" s="147"/>
      <c r="H3870" s="147"/>
      <c r="I3870" s="147"/>
      <c r="J3870" s="147"/>
      <c r="K3870" s="147"/>
      <c r="L3870" s="147"/>
      <c r="M3870" s="147"/>
      <c r="N3870" s="147"/>
      <c r="O3870" s="147"/>
      <c r="P3870" s="147"/>
      <c r="Q3870" s="147"/>
      <c r="R3870" s="147"/>
      <c r="S3870" s="147"/>
      <c r="T3870" s="147"/>
      <c r="U3870" s="147"/>
      <c r="V3870" s="147"/>
      <c r="W3870" s="147"/>
      <c r="X3870" s="147"/>
      <c r="Y3870" s="147"/>
      <c r="Z3870" s="147"/>
      <c r="AA3870" s="147"/>
      <c r="AB3870" s="147"/>
      <c r="AC3870" s="147"/>
      <c r="AD3870" s="147"/>
      <c r="AE3870" s="147"/>
      <c r="AF3870" s="147"/>
      <c r="AG3870" s="147"/>
      <c r="AH3870" s="147"/>
      <c r="AI3870" s="147"/>
      <c r="AJ3870" s="147"/>
      <c r="AK3870" s="147"/>
      <c r="AL3870" s="147"/>
      <c r="AM3870" s="147"/>
      <c r="AN3870" s="147"/>
      <c r="AO3870" s="147"/>
      <c r="AP3870" s="147"/>
      <c r="AQ3870" s="147"/>
      <c r="AR3870" s="147"/>
      <c r="AS3870" s="147"/>
      <c r="AT3870" s="147"/>
      <c r="AU3870" s="147"/>
      <c r="AV3870" s="147"/>
      <c r="AW3870" s="147"/>
      <c r="AX3870" s="147"/>
      <c r="AY3870" s="147"/>
      <c r="AZ3870" s="147"/>
      <c r="BA3870" s="147"/>
    </row>
    <row r="3871" spans="1:53" ht="15.75" customHeight="1">
      <c r="A3871" s="99"/>
      <c r="B3871" s="99"/>
      <c r="C3871" s="147"/>
      <c r="D3871" s="147"/>
      <c r="E3871" s="147"/>
      <c r="F3871" s="147"/>
      <c r="G3871" s="147"/>
      <c r="H3871" s="147"/>
      <c r="I3871" s="147"/>
      <c r="J3871" s="147"/>
      <c r="K3871" s="147"/>
      <c r="L3871" s="147"/>
      <c r="M3871" s="147"/>
      <c r="N3871" s="147"/>
      <c r="O3871" s="147"/>
      <c r="P3871" s="147"/>
      <c r="Q3871" s="147"/>
      <c r="R3871" s="147"/>
      <c r="S3871" s="147"/>
      <c r="T3871" s="147"/>
      <c r="U3871" s="147"/>
      <c r="V3871" s="147"/>
      <c r="W3871" s="147"/>
      <c r="X3871" s="147"/>
      <c r="Y3871" s="147"/>
      <c r="Z3871" s="147"/>
      <c r="AA3871" s="147"/>
      <c r="AB3871" s="147"/>
      <c r="AC3871" s="147"/>
      <c r="AD3871" s="147"/>
      <c r="AE3871" s="147"/>
      <c r="AF3871" s="147"/>
      <c r="AG3871" s="147"/>
      <c r="AH3871" s="147"/>
      <c r="AI3871" s="147"/>
      <c r="AJ3871" s="147"/>
      <c r="AK3871" s="147"/>
      <c r="AL3871" s="147"/>
      <c r="AM3871" s="147"/>
      <c r="AN3871" s="147"/>
      <c r="AO3871" s="147"/>
      <c r="AP3871" s="147"/>
      <c r="AQ3871" s="147"/>
      <c r="AR3871" s="147"/>
      <c r="AS3871" s="147"/>
      <c r="AT3871" s="147"/>
      <c r="AU3871" s="147"/>
      <c r="AV3871" s="147"/>
      <c r="AW3871" s="147"/>
      <c r="AX3871" s="147"/>
      <c r="AY3871" s="147"/>
      <c r="AZ3871" s="147"/>
      <c r="BA3871" s="147"/>
    </row>
    <row r="3872" spans="1:53" ht="15.75" customHeight="1">
      <c r="A3872" s="99"/>
      <c r="B3872" s="99"/>
      <c r="C3872" s="147"/>
      <c r="D3872" s="147"/>
      <c r="E3872" s="147"/>
      <c r="F3872" s="147"/>
      <c r="G3872" s="147"/>
      <c r="H3872" s="147"/>
      <c r="I3872" s="147"/>
      <c r="J3872" s="147"/>
      <c r="K3872" s="147"/>
      <c r="L3872" s="147"/>
      <c r="M3872" s="147"/>
      <c r="N3872" s="147"/>
      <c r="O3872" s="147"/>
      <c r="P3872" s="147"/>
      <c r="Q3872" s="147"/>
      <c r="R3872" s="147"/>
      <c r="S3872" s="147"/>
      <c r="T3872" s="147"/>
      <c r="U3872" s="147"/>
      <c r="V3872" s="147"/>
      <c r="W3872" s="147"/>
      <c r="X3872" s="147"/>
      <c r="Y3872" s="147"/>
      <c r="Z3872" s="147"/>
      <c r="AA3872" s="147"/>
      <c r="AB3872" s="147"/>
      <c r="AC3872" s="147"/>
      <c r="AD3872" s="147"/>
      <c r="AE3872" s="147"/>
      <c r="AF3872" s="147"/>
      <c r="AG3872" s="147"/>
      <c r="AH3872" s="147"/>
      <c r="AI3872" s="147"/>
      <c r="AJ3872" s="147"/>
      <c r="AK3872" s="147"/>
      <c r="AL3872" s="147"/>
      <c r="AM3872" s="147"/>
      <c r="AN3872" s="147"/>
      <c r="AO3872" s="147"/>
      <c r="AP3872" s="147"/>
      <c r="AQ3872" s="147"/>
      <c r="AR3872" s="147"/>
      <c r="AS3872" s="147"/>
      <c r="AT3872" s="147"/>
      <c r="AU3872" s="147"/>
      <c r="AV3872" s="147"/>
      <c r="AW3872" s="147"/>
      <c r="AX3872" s="147"/>
      <c r="AY3872" s="147"/>
      <c r="AZ3872" s="147"/>
      <c r="BA3872" s="147"/>
    </row>
    <row r="3873" spans="1:53" ht="15.75" customHeight="1">
      <c r="A3873" s="99"/>
      <c r="B3873" s="99"/>
      <c r="C3873" s="147"/>
      <c r="D3873" s="147"/>
      <c r="E3873" s="147"/>
      <c r="F3873" s="147"/>
      <c r="G3873" s="147"/>
      <c r="H3873" s="147"/>
      <c r="I3873" s="147"/>
      <c r="J3873" s="147"/>
      <c r="K3873" s="147"/>
      <c r="L3873" s="147"/>
      <c r="M3873" s="147"/>
      <c r="N3873" s="147"/>
      <c r="O3873" s="147"/>
      <c r="P3873" s="147"/>
      <c r="Q3873" s="147"/>
      <c r="R3873" s="147"/>
      <c r="S3873" s="147"/>
      <c r="T3873" s="147"/>
      <c r="U3873" s="147"/>
      <c r="V3873" s="147"/>
      <c r="W3873" s="147"/>
      <c r="X3873" s="147"/>
      <c r="Y3873" s="147"/>
      <c r="Z3873" s="147"/>
      <c r="AA3873" s="147"/>
      <c r="AB3873" s="147"/>
      <c r="AC3873" s="147"/>
      <c r="AD3873" s="147"/>
      <c r="AE3873" s="147"/>
      <c r="AF3873" s="147"/>
      <c r="AG3873" s="147"/>
      <c r="AH3873" s="147"/>
      <c r="AI3873" s="147"/>
      <c r="AJ3873" s="147"/>
      <c r="AK3873" s="147"/>
      <c r="AL3873" s="147"/>
      <c r="AM3873" s="147"/>
      <c r="AN3873" s="147"/>
      <c r="AO3873" s="147"/>
      <c r="AP3873" s="147"/>
      <c r="AQ3873" s="147"/>
      <c r="AR3873" s="147"/>
      <c r="AS3873" s="147"/>
      <c r="AT3873" s="147"/>
      <c r="AU3873" s="147"/>
      <c r="AV3873" s="147"/>
      <c r="AW3873" s="147"/>
      <c r="AX3873" s="147"/>
      <c r="AY3873" s="147"/>
      <c r="AZ3873" s="147"/>
      <c r="BA3873" s="147"/>
    </row>
    <row r="3874" spans="1:53" ht="15.75" customHeight="1">
      <c r="A3874" s="99"/>
      <c r="B3874" s="99"/>
      <c r="C3874" s="147"/>
      <c r="D3874" s="147"/>
      <c r="E3874" s="147"/>
      <c r="F3874" s="147"/>
      <c r="G3874" s="147"/>
      <c r="H3874" s="147"/>
      <c r="I3874" s="147"/>
      <c r="J3874" s="147"/>
      <c r="K3874" s="147"/>
      <c r="L3874" s="147"/>
      <c r="M3874" s="147"/>
      <c r="N3874" s="147"/>
      <c r="O3874" s="147"/>
      <c r="P3874" s="147"/>
      <c r="Q3874" s="147"/>
      <c r="R3874" s="147"/>
      <c r="S3874" s="147"/>
      <c r="T3874" s="147"/>
      <c r="U3874" s="147"/>
      <c r="V3874" s="147"/>
      <c r="W3874" s="147"/>
      <c r="X3874" s="147"/>
      <c r="Y3874" s="147"/>
      <c r="Z3874" s="147"/>
      <c r="AA3874" s="147"/>
      <c r="AB3874" s="147"/>
      <c r="AC3874" s="147"/>
      <c r="AD3874" s="147"/>
      <c r="AE3874" s="147"/>
      <c r="AF3874" s="147"/>
      <c r="AG3874" s="147"/>
      <c r="AH3874" s="147"/>
      <c r="AI3874" s="147"/>
      <c r="AJ3874" s="147"/>
      <c r="AK3874" s="147"/>
      <c r="AL3874" s="147"/>
      <c r="AM3874" s="147"/>
      <c r="AN3874" s="147"/>
      <c r="AO3874" s="147"/>
      <c r="AP3874" s="147"/>
      <c r="AQ3874" s="147"/>
      <c r="AR3874" s="147"/>
      <c r="AS3874" s="147"/>
      <c r="AT3874" s="147"/>
      <c r="AU3874" s="147"/>
      <c r="AV3874" s="147"/>
      <c r="AW3874" s="147"/>
      <c r="AX3874" s="147"/>
      <c r="AY3874" s="147"/>
      <c r="AZ3874" s="147"/>
      <c r="BA3874" s="147"/>
    </row>
    <row r="3875" spans="1:53" ht="15.75" customHeight="1">
      <c r="A3875" s="99"/>
      <c r="B3875" s="99"/>
      <c r="C3875" s="147"/>
      <c r="D3875" s="147"/>
      <c r="E3875" s="147"/>
      <c r="F3875" s="147"/>
      <c r="G3875" s="147"/>
      <c r="H3875" s="147"/>
      <c r="I3875" s="147"/>
      <c r="J3875" s="147"/>
      <c r="K3875" s="147"/>
      <c r="L3875" s="147"/>
      <c r="M3875" s="147"/>
      <c r="N3875" s="147"/>
      <c r="O3875" s="147"/>
      <c r="P3875" s="147"/>
      <c r="Q3875" s="147"/>
      <c r="R3875" s="147"/>
      <c r="S3875" s="147"/>
      <c r="T3875" s="147"/>
      <c r="U3875" s="147"/>
      <c r="V3875" s="147"/>
      <c r="W3875" s="147"/>
      <c r="X3875" s="147"/>
      <c r="Y3875" s="147"/>
      <c r="Z3875" s="147"/>
      <c r="AA3875" s="147"/>
      <c r="AB3875" s="147"/>
      <c r="AC3875" s="147"/>
      <c r="AD3875" s="147"/>
      <c r="AE3875" s="147"/>
      <c r="AF3875" s="147"/>
      <c r="AG3875" s="147"/>
      <c r="AH3875" s="147"/>
      <c r="AI3875" s="147"/>
      <c r="AJ3875" s="147"/>
      <c r="AK3875" s="147"/>
      <c r="AL3875" s="147"/>
      <c r="AM3875" s="147"/>
      <c r="AN3875" s="147"/>
      <c r="AO3875" s="147"/>
      <c r="AP3875" s="147"/>
      <c r="AQ3875" s="147"/>
      <c r="AR3875" s="147"/>
      <c r="AS3875" s="147"/>
      <c r="AT3875" s="147"/>
      <c r="AU3875" s="147"/>
      <c r="AV3875" s="147"/>
      <c r="AW3875" s="147"/>
      <c r="AX3875" s="147"/>
      <c r="AY3875" s="147"/>
      <c r="AZ3875" s="147"/>
      <c r="BA3875" s="147"/>
    </row>
    <row r="3876" spans="1:53" ht="15.75" customHeight="1">
      <c r="A3876" s="99"/>
      <c r="B3876" s="99"/>
      <c r="C3876" s="147"/>
      <c r="D3876" s="147"/>
      <c r="E3876" s="147"/>
      <c r="F3876" s="147"/>
      <c r="G3876" s="147"/>
      <c r="H3876" s="147"/>
      <c r="I3876" s="147"/>
      <c r="J3876" s="147"/>
      <c r="K3876" s="147"/>
      <c r="L3876" s="147"/>
      <c r="M3876" s="147"/>
      <c r="N3876" s="147"/>
      <c r="O3876" s="147"/>
      <c r="P3876" s="147"/>
      <c r="Q3876" s="147"/>
      <c r="R3876" s="147"/>
      <c r="S3876" s="147"/>
      <c r="T3876" s="147"/>
      <c r="U3876" s="147"/>
      <c r="V3876" s="147"/>
      <c r="W3876" s="147"/>
      <c r="X3876" s="147"/>
      <c r="Y3876" s="147"/>
      <c r="Z3876" s="147"/>
      <c r="AA3876" s="147"/>
      <c r="AB3876" s="147"/>
      <c r="AC3876" s="147"/>
      <c r="AD3876" s="147"/>
      <c r="AE3876" s="147"/>
      <c r="AF3876" s="147"/>
      <c r="AG3876" s="147"/>
      <c r="AH3876" s="147"/>
      <c r="AI3876" s="147"/>
      <c r="AJ3876" s="147"/>
      <c r="AK3876" s="147"/>
      <c r="AL3876" s="147"/>
      <c r="AM3876" s="147"/>
      <c r="AN3876" s="147"/>
      <c r="AO3876" s="147"/>
      <c r="AP3876" s="147"/>
      <c r="AQ3876" s="147"/>
      <c r="AR3876" s="147"/>
      <c r="AS3876" s="147"/>
      <c r="AT3876" s="147"/>
      <c r="AU3876" s="147"/>
      <c r="AV3876" s="147"/>
      <c r="AW3876" s="147"/>
      <c r="AX3876" s="147"/>
      <c r="AY3876" s="147"/>
      <c r="AZ3876" s="147"/>
      <c r="BA3876" s="147"/>
    </row>
    <row r="3877" spans="1:53" ht="15.75" customHeight="1">
      <c r="A3877" s="99"/>
      <c r="B3877" s="99"/>
      <c r="C3877" s="147"/>
      <c r="D3877" s="147"/>
      <c r="E3877" s="147"/>
      <c r="F3877" s="147"/>
      <c r="G3877" s="147"/>
      <c r="H3877" s="147"/>
      <c r="I3877" s="147"/>
      <c r="J3877" s="147"/>
      <c r="K3877" s="147"/>
      <c r="L3877" s="147"/>
      <c r="M3877" s="147"/>
      <c r="N3877" s="147"/>
      <c r="O3877" s="147"/>
      <c r="P3877" s="147"/>
      <c r="Q3877" s="147"/>
      <c r="R3877" s="147"/>
      <c r="S3877" s="147"/>
      <c r="T3877" s="147"/>
      <c r="U3877" s="147"/>
      <c r="V3877" s="147"/>
      <c r="W3877" s="147"/>
      <c r="X3877" s="147"/>
      <c r="Y3877" s="147"/>
      <c r="Z3877" s="147"/>
      <c r="AA3877" s="147"/>
      <c r="AB3877" s="147"/>
      <c r="AC3877" s="147"/>
      <c r="AD3877" s="147"/>
      <c r="AE3877" s="147"/>
      <c r="AF3877" s="147"/>
      <c r="AG3877" s="147"/>
      <c r="AH3877" s="147"/>
      <c r="AI3877" s="147"/>
      <c r="AJ3877" s="147"/>
      <c r="AK3877" s="147"/>
      <c r="AL3877" s="147"/>
      <c r="AM3877" s="147"/>
      <c r="AN3877" s="147"/>
      <c r="AO3877" s="147"/>
      <c r="AP3877" s="147"/>
      <c r="AQ3877" s="147"/>
      <c r="AR3877" s="147"/>
      <c r="AS3877" s="147"/>
      <c r="AT3877" s="147"/>
      <c r="AU3877" s="147"/>
      <c r="AV3877" s="147"/>
      <c r="AW3877" s="147"/>
      <c r="AX3877" s="147"/>
      <c r="AY3877" s="147"/>
      <c r="AZ3877" s="147"/>
      <c r="BA3877" s="147"/>
    </row>
    <row r="3878" spans="1:53" ht="15.75" customHeight="1">
      <c r="A3878" s="99"/>
      <c r="B3878" s="99"/>
      <c r="C3878" s="147"/>
      <c r="D3878" s="147"/>
      <c r="E3878" s="147"/>
      <c r="F3878" s="147"/>
      <c r="G3878" s="147"/>
      <c r="H3878" s="147"/>
      <c r="I3878" s="147"/>
      <c r="J3878" s="147"/>
      <c r="K3878" s="147"/>
      <c r="L3878" s="147"/>
      <c r="M3878" s="147"/>
      <c r="N3878" s="147"/>
      <c r="O3878" s="147"/>
      <c r="P3878" s="147"/>
      <c r="Q3878" s="147"/>
      <c r="R3878" s="147"/>
      <c r="S3878" s="147"/>
      <c r="T3878" s="147"/>
      <c r="U3878" s="147"/>
      <c r="V3878" s="147"/>
      <c r="W3878" s="147"/>
      <c r="X3878" s="147"/>
      <c r="Y3878" s="147"/>
      <c r="Z3878" s="147"/>
      <c r="AA3878" s="147"/>
      <c r="AB3878" s="147"/>
      <c r="AC3878" s="147"/>
      <c r="AD3878" s="147"/>
      <c r="AE3878" s="147"/>
      <c r="AF3878" s="147"/>
      <c r="AG3878" s="147"/>
      <c r="AH3878" s="147"/>
      <c r="AI3878" s="147"/>
      <c r="AJ3878" s="147"/>
      <c r="AK3878" s="147"/>
      <c r="AL3878" s="147"/>
      <c r="AM3878" s="147"/>
      <c r="AN3878" s="147"/>
      <c r="AO3878" s="147"/>
      <c r="AP3878" s="147"/>
      <c r="AQ3878" s="147"/>
      <c r="AR3878" s="147"/>
      <c r="AS3878" s="147"/>
      <c r="AT3878" s="147"/>
      <c r="AU3878" s="147"/>
      <c r="AV3878" s="147"/>
      <c r="AW3878" s="147"/>
      <c r="AX3878" s="147"/>
      <c r="AY3878" s="147"/>
      <c r="AZ3878" s="147"/>
      <c r="BA3878" s="147"/>
    </row>
    <row r="3879" spans="1:53" ht="15.75" customHeight="1">
      <c r="A3879" s="99"/>
      <c r="B3879" s="99"/>
      <c r="C3879" s="147"/>
      <c r="D3879" s="147"/>
      <c r="E3879" s="147"/>
      <c r="F3879" s="147"/>
      <c r="G3879" s="147"/>
      <c r="H3879" s="147"/>
      <c r="I3879" s="147"/>
      <c r="J3879" s="147"/>
      <c r="K3879" s="147"/>
      <c r="L3879" s="147"/>
      <c r="M3879" s="147"/>
      <c r="N3879" s="147"/>
      <c r="O3879" s="147"/>
      <c r="P3879" s="147"/>
      <c r="Q3879" s="147"/>
      <c r="R3879" s="147"/>
      <c r="S3879" s="147"/>
      <c r="T3879" s="147"/>
      <c r="U3879" s="147"/>
      <c r="V3879" s="147"/>
      <c r="W3879" s="147"/>
      <c r="X3879" s="147"/>
      <c r="Y3879" s="147"/>
      <c r="Z3879" s="147"/>
      <c r="AA3879" s="147"/>
      <c r="AB3879" s="147"/>
      <c r="AC3879" s="147"/>
      <c r="AD3879" s="147"/>
      <c r="AE3879" s="147"/>
      <c r="AF3879" s="147"/>
      <c r="AG3879" s="147"/>
      <c r="AH3879" s="147"/>
      <c r="AI3879" s="147"/>
      <c r="AJ3879" s="147"/>
      <c r="AK3879" s="147"/>
      <c r="AL3879" s="147"/>
      <c r="AM3879" s="147"/>
      <c r="AN3879" s="147"/>
      <c r="AO3879" s="147"/>
      <c r="AP3879" s="147"/>
      <c r="AQ3879" s="147"/>
      <c r="AR3879" s="147"/>
      <c r="AS3879" s="147"/>
      <c r="AT3879" s="147"/>
      <c r="AU3879" s="147"/>
      <c r="AV3879" s="147"/>
      <c r="AW3879" s="147"/>
      <c r="AX3879" s="147"/>
      <c r="AY3879" s="147"/>
      <c r="AZ3879" s="147"/>
      <c r="BA3879" s="147"/>
    </row>
    <row r="3880" spans="1:53" ht="15.75" customHeight="1">
      <c r="A3880" s="99"/>
      <c r="B3880" s="99"/>
      <c r="C3880" s="147"/>
      <c r="D3880" s="147"/>
      <c r="E3880" s="147"/>
      <c r="F3880" s="147"/>
      <c r="G3880" s="147"/>
      <c r="H3880" s="147"/>
      <c r="I3880" s="147"/>
      <c r="J3880" s="147"/>
      <c r="K3880" s="147"/>
      <c r="L3880" s="147"/>
      <c r="M3880" s="147"/>
      <c r="N3880" s="147"/>
      <c r="O3880" s="147"/>
      <c r="P3880" s="147"/>
      <c r="Q3880" s="147"/>
      <c r="R3880" s="147"/>
      <c r="S3880" s="147"/>
      <c r="T3880" s="147"/>
      <c r="U3880" s="147"/>
      <c r="V3880" s="147"/>
      <c r="W3880" s="147"/>
      <c r="X3880" s="147"/>
      <c r="Y3880" s="147"/>
      <c r="Z3880" s="147"/>
      <c r="AA3880" s="147"/>
      <c r="AB3880" s="147"/>
      <c r="AC3880" s="147"/>
      <c r="AD3880" s="147"/>
      <c r="AE3880" s="147"/>
      <c r="AF3880" s="147"/>
      <c r="AG3880" s="147"/>
      <c r="AH3880" s="147"/>
      <c r="AI3880" s="147"/>
      <c r="AJ3880" s="147"/>
      <c r="AK3880" s="147"/>
      <c r="AL3880" s="147"/>
      <c r="AM3880" s="147"/>
      <c r="AN3880" s="147"/>
      <c r="AO3880" s="147"/>
      <c r="AP3880" s="147"/>
      <c r="AQ3880" s="147"/>
      <c r="AR3880" s="147"/>
      <c r="AS3880" s="147"/>
      <c r="AT3880" s="147"/>
      <c r="AU3880" s="147"/>
      <c r="AV3880" s="147"/>
      <c r="AW3880" s="147"/>
      <c r="AX3880" s="147"/>
      <c r="AY3880" s="147"/>
      <c r="AZ3880" s="147"/>
      <c r="BA3880" s="147"/>
    </row>
    <row r="3881" spans="1:53" ht="15.75" customHeight="1">
      <c r="A3881" s="99"/>
      <c r="B3881" s="99"/>
      <c r="C3881" s="147"/>
      <c r="D3881" s="147"/>
      <c r="E3881" s="147"/>
      <c r="F3881" s="147"/>
      <c r="G3881" s="147"/>
      <c r="H3881" s="147"/>
      <c r="I3881" s="147"/>
      <c r="J3881" s="147"/>
      <c r="K3881" s="147"/>
      <c r="L3881" s="147"/>
      <c r="M3881" s="147"/>
      <c r="N3881" s="147"/>
      <c r="O3881" s="147"/>
      <c r="P3881" s="147"/>
      <c r="Q3881" s="147"/>
      <c r="R3881" s="147"/>
      <c r="S3881" s="147"/>
      <c r="T3881" s="147"/>
      <c r="U3881" s="147"/>
      <c r="V3881" s="147"/>
      <c r="W3881" s="147"/>
      <c r="X3881" s="147"/>
      <c r="Y3881" s="147"/>
      <c r="Z3881" s="147"/>
      <c r="AA3881" s="147"/>
      <c r="AB3881" s="147"/>
      <c r="AC3881" s="147"/>
      <c r="AD3881" s="147"/>
      <c r="AE3881" s="147"/>
      <c r="AF3881" s="147"/>
      <c r="AG3881" s="147"/>
      <c r="AH3881" s="147"/>
      <c r="AI3881" s="147"/>
      <c r="AJ3881" s="147"/>
      <c r="AK3881" s="147"/>
      <c r="AL3881" s="147"/>
      <c r="AM3881" s="147"/>
      <c r="AN3881" s="147"/>
      <c r="AO3881" s="147"/>
      <c r="AP3881" s="147"/>
      <c r="AQ3881" s="147"/>
      <c r="AR3881" s="147"/>
      <c r="AS3881" s="147"/>
      <c r="AT3881" s="147"/>
      <c r="AU3881" s="147"/>
      <c r="AV3881" s="147"/>
      <c r="AW3881" s="147"/>
      <c r="AX3881" s="147"/>
      <c r="AY3881" s="147"/>
      <c r="AZ3881" s="147"/>
      <c r="BA3881" s="147"/>
    </row>
    <row r="3882" spans="1:53" ht="15.75" customHeight="1">
      <c r="A3882" s="99"/>
      <c r="B3882" s="99"/>
      <c r="C3882" s="147"/>
      <c r="D3882" s="147"/>
      <c r="E3882" s="147"/>
      <c r="F3882" s="147"/>
      <c r="G3882" s="147"/>
      <c r="H3882" s="147"/>
      <c r="I3882" s="147"/>
      <c r="J3882" s="147"/>
      <c r="K3882" s="147"/>
      <c r="L3882" s="147"/>
      <c r="M3882" s="147"/>
      <c r="N3882" s="147"/>
      <c r="O3882" s="147"/>
      <c r="P3882" s="147"/>
      <c r="Q3882" s="147"/>
      <c r="R3882" s="147"/>
      <c r="S3882" s="147"/>
      <c r="T3882" s="147"/>
      <c r="U3882" s="147"/>
      <c r="V3882" s="147"/>
      <c r="W3882" s="147"/>
      <c r="X3882" s="147"/>
      <c r="Y3882" s="147"/>
      <c r="Z3882" s="147"/>
      <c r="AA3882" s="147"/>
      <c r="AB3882" s="147"/>
      <c r="AC3882" s="147"/>
      <c r="AD3882" s="147"/>
      <c r="AE3882" s="147"/>
      <c r="AF3882" s="147"/>
      <c r="AG3882" s="147"/>
      <c r="AH3882" s="147"/>
      <c r="AI3882" s="147"/>
      <c r="AJ3882" s="147"/>
      <c r="AK3882" s="147"/>
      <c r="AL3882" s="147"/>
      <c r="AM3882" s="147"/>
      <c r="AN3882" s="147"/>
      <c r="AO3882" s="147"/>
      <c r="AP3882" s="147"/>
      <c r="AQ3882" s="147"/>
      <c r="AR3882" s="147"/>
      <c r="AS3882" s="147"/>
      <c r="AT3882" s="147"/>
      <c r="AU3882" s="147"/>
      <c r="AV3882" s="147"/>
      <c r="AW3882" s="147"/>
      <c r="AX3882" s="147"/>
      <c r="AY3882" s="147"/>
      <c r="AZ3882" s="147"/>
      <c r="BA3882" s="147"/>
    </row>
    <row r="3883" spans="1:53" ht="15.75" customHeight="1">
      <c r="A3883" s="99"/>
      <c r="B3883" s="99"/>
      <c r="C3883" s="147"/>
      <c r="D3883" s="147"/>
      <c r="E3883" s="147"/>
      <c r="F3883" s="147"/>
      <c r="G3883" s="147"/>
      <c r="H3883" s="147"/>
      <c r="I3883" s="147"/>
      <c r="J3883" s="147"/>
      <c r="K3883" s="147"/>
      <c r="L3883" s="147"/>
      <c r="M3883" s="147"/>
      <c r="N3883" s="147"/>
      <c r="O3883" s="147"/>
      <c r="P3883" s="147"/>
      <c r="Q3883" s="147"/>
      <c r="R3883" s="147"/>
      <c r="S3883" s="147"/>
      <c r="T3883" s="147"/>
      <c r="U3883" s="147"/>
      <c r="V3883" s="147"/>
      <c r="W3883" s="147"/>
      <c r="X3883" s="147"/>
      <c r="Y3883" s="147"/>
      <c r="Z3883" s="147"/>
      <c r="AA3883" s="147"/>
      <c r="AB3883" s="147"/>
      <c r="AC3883" s="147"/>
      <c r="AD3883" s="147"/>
      <c r="AE3883" s="147"/>
      <c r="AF3883" s="147"/>
      <c r="AG3883" s="147"/>
      <c r="AH3883" s="147"/>
      <c r="AI3883" s="147"/>
      <c r="AJ3883" s="147"/>
      <c r="AK3883" s="147"/>
      <c r="AL3883" s="147"/>
      <c r="AM3883" s="147"/>
      <c r="AN3883" s="147"/>
      <c r="AO3883" s="147"/>
      <c r="AP3883" s="147"/>
      <c r="AQ3883" s="147"/>
      <c r="AR3883" s="147"/>
      <c r="AS3883" s="147"/>
      <c r="AT3883" s="147"/>
      <c r="AU3883" s="147"/>
      <c r="AV3883" s="147"/>
      <c r="AW3883" s="147"/>
      <c r="AX3883" s="147"/>
      <c r="AY3883" s="147"/>
      <c r="AZ3883" s="147"/>
      <c r="BA3883" s="147"/>
    </row>
    <row r="3884" spans="1:53" ht="15.75" customHeight="1">
      <c r="A3884" s="99"/>
      <c r="B3884" s="99"/>
      <c r="C3884" s="147"/>
      <c r="D3884" s="147"/>
      <c r="E3884" s="147"/>
      <c r="F3884" s="147"/>
      <c r="G3884" s="147"/>
      <c r="H3884" s="147"/>
      <c r="I3884" s="147"/>
      <c r="J3884" s="147"/>
      <c r="K3884" s="147"/>
      <c r="L3884" s="147"/>
      <c r="M3884" s="147"/>
      <c r="N3884" s="147"/>
      <c r="O3884" s="147"/>
      <c r="P3884" s="147"/>
      <c r="Q3884" s="147"/>
      <c r="R3884" s="147"/>
      <c r="S3884" s="147"/>
      <c r="T3884" s="147"/>
      <c r="U3884" s="147"/>
      <c r="V3884" s="147"/>
      <c r="W3884" s="147"/>
      <c r="X3884" s="147"/>
      <c r="Y3884" s="147"/>
      <c r="Z3884" s="147"/>
      <c r="AA3884" s="147"/>
      <c r="AB3884" s="147"/>
      <c r="AC3884" s="147"/>
      <c r="AD3884" s="147"/>
      <c r="AE3884" s="147"/>
      <c r="AF3884" s="147"/>
      <c r="AG3884" s="147"/>
      <c r="AH3884" s="147"/>
      <c r="AI3884" s="147"/>
      <c r="AJ3884" s="147"/>
      <c r="AK3884" s="147"/>
      <c r="AL3884" s="147"/>
      <c r="AM3884" s="147"/>
      <c r="AN3884" s="147"/>
      <c r="AO3884" s="147"/>
      <c r="AP3884" s="147"/>
      <c r="AQ3884" s="147"/>
      <c r="AR3884" s="147"/>
      <c r="AS3884" s="147"/>
      <c r="AT3884" s="147"/>
      <c r="AU3884" s="147"/>
      <c r="AV3884" s="147"/>
      <c r="AW3884" s="147"/>
      <c r="AX3884" s="147"/>
      <c r="AY3884" s="147"/>
      <c r="AZ3884" s="147"/>
      <c r="BA3884" s="147"/>
    </row>
    <row r="3885" spans="1:53" ht="15.75" customHeight="1">
      <c r="A3885" s="99"/>
      <c r="B3885" s="99"/>
      <c r="C3885" s="147"/>
      <c r="D3885" s="147"/>
      <c r="E3885" s="147"/>
      <c r="F3885" s="147"/>
      <c r="G3885" s="147"/>
      <c r="H3885" s="147"/>
      <c r="I3885" s="147"/>
      <c r="J3885" s="147"/>
      <c r="K3885" s="147"/>
      <c r="L3885" s="147"/>
      <c r="M3885" s="147"/>
      <c r="N3885" s="147"/>
      <c r="O3885" s="147"/>
      <c r="P3885" s="147"/>
      <c r="Q3885" s="147"/>
      <c r="R3885" s="147"/>
      <c r="S3885" s="147"/>
      <c r="T3885" s="147"/>
      <c r="U3885" s="147"/>
      <c r="V3885" s="147"/>
      <c r="W3885" s="147"/>
      <c r="X3885" s="147"/>
      <c r="Y3885" s="147"/>
      <c r="Z3885" s="147"/>
      <c r="AA3885" s="147"/>
      <c r="AB3885" s="147"/>
      <c r="AC3885" s="147"/>
      <c r="AD3885" s="147"/>
      <c r="AE3885" s="147"/>
      <c r="AF3885" s="147"/>
      <c r="AG3885" s="147"/>
      <c r="AH3885" s="147"/>
      <c r="AI3885" s="147"/>
      <c r="AJ3885" s="147"/>
      <c r="AK3885" s="147"/>
      <c r="AL3885" s="147"/>
      <c r="AM3885" s="147"/>
      <c r="AN3885" s="147"/>
      <c r="AO3885" s="147"/>
      <c r="AP3885" s="147"/>
      <c r="AQ3885" s="147"/>
      <c r="AR3885" s="147"/>
      <c r="AS3885" s="147"/>
      <c r="AT3885" s="147"/>
      <c r="AU3885" s="147"/>
      <c r="AV3885" s="147"/>
      <c r="AW3885" s="147"/>
      <c r="AX3885" s="147"/>
      <c r="AY3885" s="147"/>
      <c r="AZ3885" s="147"/>
      <c r="BA3885" s="147"/>
    </row>
    <row r="3886" spans="1:53" ht="15.75" customHeight="1">
      <c r="A3886" s="99"/>
      <c r="B3886" s="99"/>
      <c r="C3886" s="147"/>
      <c r="D3886" s="147"/>
      <c r="E3886" s="147"/>
      <c r="F3886" s="147"/>
      <c r="G3886" s="147"/>
      <c r="H3886" s="147"/>
      <c r="I3886" s="147"/>
      <c r="J3886" s="147"/>
      <c r="K3886" s="147"/>
      <c r="L3886" s="147"/>
      <c r="M3886" s="147"/>
      <c r="N3886" s="147"/>
      <c r="O3886" s="147"/>
      <c r="P3886" s="147"/>
      <c r="Q3886" s="147"/>
      <c r="R3886" s="147"/>
      <c r="S3886" s="147"/>
      <c r="T3886" s="147"/>
      <c r="U3886" s="147"/>
      <c r="V3886" s="147"/>
      <c r="W3886" s="147"/>
      <c r="X3886" s="147"/>
      <c r="Y3886" s="147"/>
      <c r="Z3886" s="147"/>
      <c r="AA3886" s="147"/>
      <c r="AB3886" s="147"/>
      <c r="AC3886" s="147"/>
      <c r="AD3886" s="147"/>
      <c r="AE3886" s="147"/>
      <c r="AF3886" s="147"/>
      <c r="AG3886" s="147"/>
      <c r="AH3886" s="147"/>
      <c r="AI3886" s="147"/>
      <c r="AJ3886" s="147"/>
      <c r="AK3886" s="147"/>
      <c r="AL3886" s="147"/>
      <c r="AM3886" s="147"/>
      <c r="AN3886" s="147"/>
      <c r="AO3886" s="147"/>
      <c r="AP3886" s="147"/>
      <c r="AQ3886" s="147"/>
      <c r="AR3886" s="147"/>
      <c r="AS3886" s="147"/>
      <c r="AT3886" s="147"/>
      <c r="AU3886" s="147"/>
      <c r="AV3886" s="147"/>
      <c r="AW3886" s="147"/>
      <c r="AX3886" s="147"/>
      <c r="AY3886" s="147"/>
      <c r="AZ3886" s="147"/>
      <c r="BA3886" s="147"/>
    </row>
    <row r="3887" spans="1:53" ht="15.75" customHeight="1">
      <c r="A3887" s="99"/>
      <c r="B3887" s="99"/>
      <c r="C3887" s="147"/>
      <c r="D3887" s="147"/>
      <c r="E3887" s="147"/>
      <c r="F3887" s="147"/>
      <c r="G3887" s="147"/>
      <c r="H3887" s="147"/>
      <c r="I3887" s="147"/>
      <c r="J3887" s="147"/>
      <c r="K3887" s="147"/>
      <c r="L3887" s="147"/>
      <c r="M3887" s="147"/>
      <c r="N3887" s="147"/>
      <c r="O3887" s="147"/>
      <c r="P3887" s="147"/>
      <c r="Q3887" s="147"/>
      <c r="R3887" s="147"/>
      <c r="S3887" s="147"/>
      <c r="T3887" s="147"/>
      <c r="U3887" s="147"/>
      <c r="V3887" s="147"/>
      <c r="W3887" s="147"/>
      <c r="X3887" s="147"/>
      <c r="Y3887" s="147"/>
      <c r="Z3887" s="147"/>
      <c r="AA3887" s="147"/>
      <c r="AB3887" s="147"/>
      <c r="AC3887" s="147"/>
      <c r="AD3887" s="147"/>
      <c r="AE3887" s="147"/>
      <c r="AF3887" s="147"/>
      <c r="AG3887" s="147"/>
      <c r="AH3887" s="147"/>
      <c r="AI3887" s="147"/>
      <c r="AJ3887" s="147"/>
      <c r="AK3887" s="147"/>
      <c r="AL3887" s="147"/>
      <c r="AM3887" s="147"/>
      <c r="AN3887" s="147"/>
      <c r="AO3887" s="147"/>
      <c r="AP3887" s="147"/>
      <c r="AQ3887" s="147"/>
      <c r="AR3887" s="147"/>
      <c r="AS3887" s="147"/>
      <c r="AT3887" s="147"/>
      <c r="AU3887" s="147"/>
      <c r="AV3887" s="147"/>
      <c r="AW3887" s="147"/>
      <c r="AX3887" s="147"/>
      <c r="AY3887" s="147"/>
      <c r="AZ3887" s="147"/>
      <c r="BA3887" s="147"/>
    </row>
    <row r="3888" spans="1:53" ht="15.75" customHeight="1">
      <c r="A3888" s="99"/>
      <c r="B3888" s="99"/>
      <c r="C3888" s="147"/>
      <c r="D3888" s="147"/>
      <c r="E3888" s="147"/>
      <c r="F3888" s="147"/>
      <c r="G3888" s="147"/>
      <c r="H3888" s="147"/>
      <c r="I3888" s="147"/>
      <c r="J3888" s="147"/>
      <c r="K3888" s="147"/>
      <c r="L3888" s="147"/>
      <c r="M3888" s="147"/>
      <c r="N3888" s="147"/>
      <c r="O3888" s="147"/>
      <c r="P3888" s="147"/>
      <c r="Q3888" s="147"/>
      <c r="R3888" s="147"/>
      <c r="S3888" s="147"/>
      <c r="T3888" s="147"/>
      <c r="U3888" s="147"/>
      <c r="V3888" s="147"/>
      <c r="W3888" s="147"/>
      <c r="X3888" s="147"/>
      <c r="Y3888" s="147"/>
      <c r="Z3888" s="147"/>
      <c r="AA3888" s="147"/>
      <c r="AB3888" s="147"/>
      <c r="AC3888" s="147"/>
      <c r="AD3888" s="147"/>
      <c r="AE3888" s="147"/>
      <c r="AF3888" s="147"/>
      <c r="AG3888" s="147"/>
      <c r="AH3888" s="147"/>
      <c r="AI3888" s="147"/>
      <c r="AJ3888" s="147"/>
      <c r="AK3888" s="147"/>
      <c r="AL3888" s="147"/>
      <c r="AM3888" s="147"/>
      <c r="AN3888" s="147"/>
      <c r="AO3888" s="147"/>
      <c r="AP3888" s="147"/>
      <c r="AQ3888" s="147"/>
      <c r="AR3888" s="147"/>
      <c r="AS3888" s="147"/>
      <c r="AT3888" s="147"/>
      <c r="AU3888" s="147"/>
      <c r="AV3888" s="147"/>
      <c r="AW3888" s="147"/>
      <c r="AX3888" s="147"/>
      <c r="AY3888" s="147"/>
      <c r="AZ3888" s="147"/>
      <c r="BA3888" s="147"/>
    </row>
    <row r="3889" spans="1:53" ht="15.75" customHeight="1">
      <c r="A3889" s="99"/>
      <c r="B3889" s="99"/>
      <c r="C3889" s="147"/>
      <c r="D3889" s="147"/>
      <c r="E3889" s="147"/>
      <c r="F3889" s="147"/>
      <c r="G3889" s="147"/>
      <c r="H3889" s="147"/>
      <c r="I3889" s="147"/>
      <c r="J3889" s="147"/>
      <c r="K3889" s="147"/>
      <c r="L3889" s="147"/>
      <c r="M3889" s="147"/>
      <c r="N3889" s="147"/>
      <c r="O3889" s="147"/>
      <c r="P3889" s="147"/>
      <c r="Q3889" s="147"/>
      <c r="R3889" s="147"/>
      <c r="S3889" s="147"/>
      <c r="T3889" s="147"/>
      <c r="U3889" s="147"/>
      <c r="V3889" s="147"/>
      <c r="W3889" s="147"/>
      <c r="X3889" s="147"/>
      <c r="Y3889" s="147"/>
      <c r="Z3889" s="147"/>
      <c r="AA3889" s="147"/>
      <c r="AB3889" s="147"/>
      <c r="AC3889" s="147"/>
      <c r="AD3889" s="147"/>
      <c r="AE3889" s="147"/>
      <c r="AF3889" s="147"/>
      <c r="AG3889" s="147"/>
      <c r="AH3889" s="147"/>
      <c r="AI3889" s="147"/>
      <c r="AJ3889" s="147"/>
      <c r="AK3889" s="147"/>
      <c r="AL3889" s="147"/>
      <c r="AM3889" s="147"/>
      <c r="AN3889" s="147"/>
      <c r="AO3889" s="147"/>
      <c r="AP3889" s="147"/>
      <c r="AQ3889" s="147"/>
      <c r="AR3889" s="147"/>
      <c r="AS3889" s="147"/>
      <c r="AT3889" s="147"/>
      <c r="AU3889" s="147"/>
      <c r="AV3889" s="147"/>
      <c r="AW3889" s="147"/>
      <c r="AX3889" s="147"/>
      <c r="AY3889" s="147"/>
      <c r="AZ3889" s="147"/>
      <c r="BA3889" s="147"/>
    </row>
    <row r="3890" spans="1:53" ht="15.75" customHeight="1">
      <c r="A3890" s="99"/>
      <c r="B3890" s="99"/>
      <c r="C3890" s="147"/>
      <c r="D3890" s="147"/>
      <c r="E3890" s="147"/>
      <c r="F3890" s="147"/>
      <c r="G3890" s="147"/>
      <c r="H3890" s="147"/>
      <c r="I3890" s="147"/>
      <c r="J3890" s="147"/>
      <c r="K3890" s="147"/>
      <c r="L3890" s="147"/>
      <c r="M3890" s="147"/>
      <c r="N3890" s="147"/>
      <c r="O3890" s="147"/>
      <c r="P3890" s="147"/>
      <c r="Q3890" s="147"/>
      <c r="R3890" s="147"/>
      <c r="S3890" s="147"/>
      <c r="T3890" s="147"/>
      <c r="U3890" s="147"/>
      <c r="V3890" s="147"/>
      <c r="W3890" s="147"/>
      <c r="X3890" s="147"/>
      <c r="Y3890" s="147"/>
      <c r="Z3890" s="147"/>
      <c r="AA3890" s="147"/>
      <c r="AB3890" s="147"/>
      <c r="AC3890" s="147"/>
      <c r="AD3890" s="147"/>
      <c r="AE3890" s="147"/>
      <c r="AF3890" s="147"/>
      <c r="AG3890" s="147"/>
      <c r="AH3890" s="147"/>
      <c r="AI3890" s="147"/>
      <c r="AJ3890" s="147"/>
      <c r="AK3890" s="147"/>
      <c r="AL3890" s="147"/>
      <c r="AM3890" s="147"/>
      <c r="AN3890" s="147"/>
      <c r="AO3890" s="147"/>
      <c r="AP3890" s="147"/>
      <c r="AQ3890" s="147"/>
      <c r="AR3890" s="147"/>
      <c r="AS3890" s="147"/>
      <c r="AT3890" s="147"/>
      <c r="AU3890" s="147"/>
      <c r="AV3890" s="147"/>
      <c r="AW3890" s="147"/>
      <c r="AX3890" s="147"/>
      <c r="AY3890" s="147"/>
      <c r="AZ3890" s="147"/>
      <c r="BA3890" s="147"/>
    </row>
    <row r="3891" spans="1:53" ht="15.75" customHeight="1">
      <c r="A3891" s="99"/>
      <c r="B3891" s="99"/>
      <c r="C3891" s="147"/>
      <c r="D3891" s="147"/>
      <c r="E3891" s="147"/>
      <c r="F3891" s="147"/>
      <c r="G3891" s="147"/>
      <c r="H3891" s="147"/>
      <c r="I3891" s="147"/>
      <c r="J3891" s="147"/>
      <c r="K3891" s="147"/>
      <c r="L3891" s="147"/>
      <c r="M3891" s="147"/>
      <c r="N3891" s="147"/>
      <c r="O3891" s="147"/>
      <c r="P3891" s="147"/>
      <c r="Q3891" s="147"/>
      <c r="R3891" s="147"/>
      <c r="S3891" s="147"/>
      <c r="T3891" s="147"/>
      <c r="U3891" s="147"/>
      <c r="V3891" s="147"/>
      <c r="W3891" s="147"/>
      <c r="X3891" s="147"/>
      <c r="Y3891" s="147"/>
      <c r="Z3891" s="147"/>
      <c r="AA3891" s="147"/>
      <c r="AB3891" s="147"/>
      <c r="AC3891" s="147"/>
      <c r="AD3891" s="147"/>
      <c r="AE3891" s="147"/>
      <c r="AF3891" s="147"/>
      <c r="AG3891" s="147"/>
      <c r="AH3891" s="147"/>
      <c r="AI3891" s="147"/>
      <c r="AJ3891" s="147"/>
      <c r="AK3891" s="147"/>
      <c r="AL3891" s="147"/>
      <c r="AM3891" s="147"/>
      <c r="AN3891" s="147"/>
      <c r="AO3891" s="147"/>
      <c r="AP3891" s="147"/>
      <c r="AQ3891" s="147"/>
      <c r="AR3891" s="147"/>
      <c r="AS3891" s="147"/>
      <c r="AT3891" s="147"/>
      <c r="AU3891" s="147"/>
      <c r="AV3891" s="147"/>
      <c r="AW3891" s="147"/>
      <c r="AX3891" s="147"/>
      <c r="AY3891" s="147"/>
      <c r="AZ3891" s="147"/>
      <c r="BA3891" s="147"/>
    </row>
    <row r="3892" spans="1:53" ht="15.75" customHeight="1">
      <c r="A3892" s="99"/>
      <c r="B3892" s="99"/>
      <c r="C3892" s="147"/>
      <c r="D3892" s="147"/>
      <c r="E3892" s="147"/>
      <c r="F3892" s="147"/>
      <c r="G3892" s="147"/>
      <c r="H3892" s="147"/>
      <c r="I3892" s="147"/>
      <c r="J3892" s="147"/>
      <c r="K3892" s="147"/>
      <c r="L3892" s="147"/>
      <c r="M3892" s="147"/>
      <c r="N3892" s="147"/>
      <c r="O3892" s="147"/>
      <c r="P3892" s="147"/>
      <c r="Q3892" s="147"/>
      <c r="R3892" s="147"/>
      <c r="S3892" s="147"/>
      <c r="T3892" s="147"/>
      <c r="U3892" s="147"/>
      <c r="V3892" s="147"/>
      <c r="W3892" s="147"/>
      <c r="X3892" s="147"/>
      <c r="Y3892" s="147"/>
      <c r="Z3892" s="147"/>
      <c r="AA3892" s="147"/>
      <c r="AB3892" s="147"/>
      <c r="AC3892" s="147"/>
      <c r="AD3892" s="147"/>
      <c r="AE3892" s="147"/>
      <c r="AF3892" s="147"/>
      <c r="AG3892" s="147"/>
      <c r="AH3892" s="147"/>
      <c r="AI3892" s="147"/>
      <c r="AJ3892" s="147"/>
      <c r="AK3892" s="147"/>
      <c r="AL3892" s="147"/>
      <c r="AM3892" s="147"/>
      <c r="AN3892" s="147"/>
      <c r="AO3892" s="147"/>
      <c r="AP3892" s="147"/>
      <c r="AQ3892" s="147"/>
      <c r="AR3892" s="147"/>
      <c r="AS3892" s="147"/>
      <c r="AT3892" s="147"/>
      <c r="AU3892" s="147"/>
      <c r="AV3892" s="147"/>
      <c r="AW3892" s="147"/>
      <c r="AX3892" s="147"/>
      <c r="AY3892" s="147"/>
      <c r="AZ3892" s="147"/>
      <c r="BA3892" s="147"/>
    </row>
    <row r="3893" spans="1:53" ht="15.75" customHeight="1">
      <c r="A3893" s="99"/>
      <c r="B3893" s="99"/>
      <c r="C3893" s="147"/>
      <c r="D3893" s="147"/>
      <c r="E3893" s="147"/>
      <c r="F3893" s="147"/>
      <c r="G3893" s="147"/>
      <c r="H3893" s="147"/>
      <c r="I3893" s="147"/>
      <c r="J3893" s="147"/>
      <c r="K3893" s="147"/>
      <c r="L3893" s="147"/>
      <c r="M3893" s="147"/>
      <c r="N3893" s="147"/>
      <c r="O3893" s="147"/>
      <c r="P3893" s="147"/>
      <c r="Q3893" s="147"/>
      <c r="R3893" s="147"/>
      <c r="S3893" s="147"/>
      <c r="T3893" s="147"/>
      <c r="U3893" s="147"/>
      <c r="V3893" s="147"/>
      <c r="W3893" s="147"/>
      <c r="X3893" s="147"/>
      <c r="Y3893" s="147"/>
      <c r="Z3893" s="147"/>
      <c r="AA3893" s="147"/>
      <c r="AB3893" s="147"/>
      <c r="AC3893" s="147"/>
      <c r="AD3893" s="147"/>
      <c r="AE3893" s="147"/>
      <c r="AF3893" s="147"/>
      <c r="AG3893" s="147"/>
      <c r="AH3893" s="147"/>
      <c r="AI3893" s="147"/>
      <c r="AJ3893" s="147"/>
      <c r="AK3893" s="147"/>
      <c r="AL3893" s="147"/>
      <c r="AM3893" s="147"/>
      <c r="AN3893" s="147"/>
      <c r="AO3893" s="147"/>
      <c r="AP3893" s="147"/>
      <c r="AQ3893" s="147"/>
      <c r="AR3893" s="147"/>
      <c r="AS3893" s="147"/>
      <c r="AT3893" s="147"/>
      <c r="AU3893" s="147"/>
      <c r="AV3893" s="147"/>
      <c r="AW3893" s="147"/>
      <c r="AX3893" s="147"/>
      <c r="AY3893" s="147"/>
      <c r="AZ3893" s="147"/>
      <c r="BA3893" s="147"/>
    </row>
    <row r="3894" spans="1:53" ht="15.75" customHeight="1">
      <c r="A3894" s="99"/>
      <c r="B3894" s="99"/>
      <c r="C3894" s="147"/>
      <c r="D3894" s="147"/>
      <c r="E3894" s="147"/>
      <c r="F3894" s="147"/>
      <c r="G3894" s="147"/>
      <c r="H3894" s="147"/>
      <c r="I3894" s="147"/>
      <c r="J3894" s="147"/>
      <c r="K3894" s="147"/>
      <c r="L3894" s="147"/>
      <c r="M3894" s="147"/>
      <c r="N3894" s="147"/>
      <c r="O3894" s="147"/>
      <c r="P3894" s="147"/>
      <c r="Q3894" s="147"/>
      <c r="R3894" s="147"/>
      <c r="S3894" s="147"/>
      <c r="T3894" s="147"/>
      <c r="U3894" s="147"/>
      <c r="V3894" s="147"/>
      <c r="W3894" s="147"/>
      <c r="X3894" s="147"/>
      <c r="Y3894" s="147"/>
      <c r="Z3894" s="147"/>
      <c r="AA3894" s="147"/>
      <c r="AB3894" s="147"/>
      <c r="AC3894" s="147"/>
      <c r="AD3894" s="147"/>
      <c r="AE3894" s="147"/>
      <c r="AF3894" s="147"/>
      <c r="AG3894" s="147"/>
      <c r="AH3894" s="147"/>
      <c r="AI3894" s="147"/>
      <c r="AJ3894" s="147"/>
      <c r="AK3894" s="147"/>
      <c r="AL3894" s="147"/>
      <c r="AM3894" s="147"/>
      <c r="AN3894" s="147"/>
      <c r="AO3894" s="147"/>
      <c r="AP3894" s="147"/>
      <c r="AQ3894" s="147"/>
      <c r="AR3894" s="147"/>
      <c r="AS3894" s="147"/>
      <c r="AT3894" s="147"/>
      <c r="AU3894" s="147"/>
      <c r="AV3894" s="147"/>
      <c r="AW3894" s="147"/>
      <c r="AX3894" s="147"/>
      <c r="AY3894" s="147"/>
      <c r="AZ3894" s="147"/>
      <c r="BA3894" s="147"/>
    </row>
    <row r="3895" spans="1:53" ht="15.75" customHeight="1">
      <c r="A3895" s="99"/>
      <c r="B3895" s="99"/>
      <c r="C3895" s="147"/>
      <c r="D3895" s="147"/>
      <c r="E3895" s="147"/>
      <c r="F3895" s="147"/>
      <c r="G3895" s="147"/>
      <c r="H3895" s="147"/>
      <c r="I3895" s="147"/>
      <c r="J3895" s="147"/>
      <c r="K3895" s="147"/>
      <c r="L3895" s="147"/>
      <c r="M3895" s="147"/>
      <c r="N3895" s="147"/>
      <c r="O3895" s="147"/>
      <c r="P3895" s="147"/>
      <c r="Q3895" s="147"/>
      <c r="R3895" s="147"/>
      <c r="S3895" s="147"/>
      <c r="T3895" s="147"/>
      <c r="U3895" s="147"/>
      <c r="V3895" s="147"/>
      <c r="W3895" s="147"/>
      <c r="X3895" s="147"/>
      <c r="Y3895" s="147"/>
      <c r="Z3895" s="147"/>
      <c r="AA3895" s="147"/>
      <c r="AB3895" s="147"/>
      <c r="AC3895" s="147"/>
      <c r="AD3895" s="147"/>
      <c r="AE3895" s="147"/>
      <c r="AF3895" s="147"/>
      <c r="AG3895" s="147"/>
      <c r="AH3895" s="147"/>
      <c r="AI3895" s="147"/>
      <c r="AJ3895" s="147"/>
      <c r="AK3895" s="147"/>
      <c r="AL3895" s="147"/>
      <c r="AM3895" s="147"/>
      <c r="AN3895" s="147"/>
      <c r="AO3895" s="147"/>
      <c r="AP3895" s="147"/>
      <c r="AQ3895" s="147"/>
      <c r="AR3895" s="147"/>
      <c r="AS3895" s="147"/>
      <c r="AT3895" s="147"/>
      <c r="AU3895" s="147"/>
      <c r="AV3895" s="147"/>
      <c r="AW3895" s="147"/>
      <c r="AX3895" s="147"/>
      <c r="AY3895" s="147"/>
      <c r="AZ3895" s="147"/>
      <c r="BA3895" s="147"/>
    </row>
    <row r="3896" spans="1:53" ht="15.75" customHeight="1">
      <c r="A3896" s="99"/>
      <c r="B3896" s="99"/>
      <c r="C3896" s="147"/>
      <c r="D3896" s="147"/>
      <c r="E3896" s="147"/>
      <c r="F3896" s="147"/>
      <c r="G3896" s="147"/>
      <c r="H3896" s="147"/>
      <c r="I3896" s="147"/>
      <c r="J3896" s="147"/>
      <c r="K3896" s="147"/>
      <c r="L3896" s="147"/>
      <c r="M3896" s="147"/>
      <c r="N3896" s="147"/>
      <c r="O3896" s="147"/>
      <c r="P3896" s="147"/>
      <c r="Q3896" s="147"/>
      <c r="R3896" s="147"/>
      <c r="S3896" s="147"/>
      <c r="T3896" s="147"/>
      <c r="U3896" s="147"/>
      <c r="V3896" s="147"/>
      <c r="W3896" s="147"/>
      <c r="X3896" s="147"/>
      <c r="Y3896" s="147"/>
      <c r="Z3896" s="147"/>
      <c r="AA3896" s="147"/>
      <c r="AB3896" s="147"/>
      <c r="AC3896" s="147"/>
      <c r="AD3896" s="147"/>
      <c r="AE3896" s="147"/>
      <c r="AF3896" s="147"/>
      <c r="AG3896" s="147"/>
      <c r="AH3896" s="147"/>
      <c r="AI3896" s="147"/>
      <c r="AJ3896" s="147"/>
      <c r="AK3896" s="147"/>
      <c r="AL3896" s="147"/>
      <c r="AM3896" s="147"/>
      <c r="AN3896" s="147"/>
      <c r="AO3896" s="147"/>
      <c r="AP3896" s="147"/>
      <c r="AQ3896" s="147"/>
      <c r="AR3896" s="147"/>
      <c r="AS3896" s="147"/>
      <c r="AT3896" s="147"/>
      <c r="AU3896" s="147"/>
      <c r="AV3896" s="147"/>
      <c r="AW3896" s="147"/>
      <c r="AX3896" s="147"/>
      <c r="AY3896" s="147"/>
      <c r="AZ3896" s="147"/>
      <c r="BA3896" s="147"/>
    </row>
    <row r="3897" spans="1:53" ht="15.75" customHeight="1">
      <c r="A3897" s="99"/>
      <c r="B3897" s="99"/>
      <c r="C3897" s="147"/>
      <c r="D3897" s="147"/>
      <c r="E3897" s="147"/>
      <c r="F3897" s="147"/>
      <c r="G3897" s="147"/>
      <c r="H3897" s="147"/>
      <c r="I3897" s="147"/>
      <c r="J3897" s="147"/>
      <c r="K3897" s="147"/>
      <c r="L3897" s="147"/>
      <c r="M3897" s="147"/>
      <c r="N3897" s="147"/>
      <c r="O3897" s="147"/>
      <c r="P3897" s="147"/>
      <c r="Q3897" s="147"/>
      <c r="R3897" s="147"/>
      <c r="S3897" s="147"/>
      <c r="T3897" s="147"/>
      <c r="U3897" s="147"/>
      <c r="V3897" s="147"/>
      <c r="W3897" s="147"/>
      <c r="X3897" s="147"/>
      <c r="Y3897" s="147"/>
      <c r="Z3897" s="147"/>
      <c r="AA3897" s="147"/>
      <c r="AB3897" s="147"/>
      <c r="AC3897" s="147"/>
      <c r="AD3897" s="147"/>
      <c r="AE3897" s="147"/>
      <c r="AF3897" s="147"/>
      <c r="AG3897" s="147"/>
      <c r="AH3897" s="147"/>
      <c r="AI3897" s="147"/>
      <c r="AJ3897" s="147"/>
      <c r="AK3897" s="147"/>
      <c r="AL3897" s="147"/>
      <c r="AM3897" s="147"/>
      <c r="AN3897" s="147"/>
      <c r="AO3897" s="147"/>
      <c r="AP3897" s="147"/>
      <c r="AQ3897" s="147"/>
      <c r="AR3897" s="147"/>
      <c r="AS3897" s="147"/>
      <c r="AT3897" s="147"/>
      <c r="AU3897" s="147"/>
      <c r="AV3897" s="147"/>
      <c r="AW3897" s="147"/>
      <c r="AX3897" s="147"/>
      <c r="AY3897" s="147"/>
      <c r="AZ3897" s="147"/>
      <c r="BA3897" s="147"/>
    </row>
    <row r="3898" spans="1:53" ht="15.75" customHeight="1">
      <c r="A3898" s="99"/>
      <c r="B3898" s="99"/>
      <c r="C3898" s="147"/>
      <c r="D3898" s="147"/>
      <c r="E3898" s="147"/>
      <c r="F3898" s="147"/>
      <c r="G3898" s="147"/>
      <c r="H3898" s="147"/>
      <c r="I3898" s="147"/>
      <c r="J3898" s="147"/>
      <c r="K3898" s="147"/>
      <c r="L3898" s="147"/>
      <c r="M3898" s="147"/>
      <c r="N3898" s="147"/>
      <c r="O3898" s="147"/>
      <c r="P3898" s="147"/>
      <c r="Q3898" s="147"/>
      <c r="R3898" s="147"/>
      <c r="S3898" s="147"/>
      <c r="T3898" s="147"/>
      <c r="U3898" s="147"/>
      <c r="V3898" s="147"/>
      <c r="W3898" s="147"/>
      <c r="X3898" s="147"/>
      <c r="Y3898" s="147"/>
      <c r="Z3898" s="147"/>
      <c r="AA3898" s="147"/>
      <c r="AB3898" s="147"/>
      <c r="AC3898" s="147"/>
      <c r="AD3898" s="147"/>
      <c r="AE3898" s="147"/>
      <c r="AF3898" s="147"/>
      <c r="AG3898" s="147"/>
      <c r="AH3898" s="147"/>
      <c r="AI3898" s="147"/>
      <c r="AJ3898" s="147"/>
      <c r="AK3898" s="147"/>
      <c r="AL3898" s="147"/>
      <c r="AM3898" s="147"/>
      <c r="AN3898" s="147"/>
      <c r="AO3898" s="147"/>
      <c r="AP3898" s="147"/>
      <c r="AQ3898" s="147"/>
      <c r="AR3898" s="147"/>
      <c r="AS3898" s="147"/>
      <c r="AT3898" s="147"/>
      <c r="AU3898" s="147"/>
      <c r="AV3898" s="147"/>
      <c r="AW3898" s="147"/>
      <c r="AX3898" s="147"/>
      <c r="AY3898" s="147"/>
      <c r="AZ3898" s="147"/>
      <c r="BA3898" s="147"/>
    </row>
    <row r="3899" spans="1:53" ht="15.75" customHeight="1">
      <c r="A3899" s="99"/>
      <c r="B3899" s="99"/>
      <c r="C3899" s="147"/>
      <c r="D3899" s="147"/>
      <c r="E3899" s="147"/>
      <c r="F3899" s="147"/>
      <c r="G3899" s="147"/>
      <c r="H3899" s="147"/>
      <c r="I3899" s="147"/>
      <c r="J3899" s="147"/>
      <c r="K3899" s="147"/>
      <c r="L3899" s="147"/>
      <c r="M3899" s="147"/>
      <c r="N3899" s="147"/>
      <c r="O3899" s="147"/>
      <c r="P3899" s="147"/>
      <c r="Q3899" s="147"/>
      <c r="R3899" s="147"/>
      <c r="S3899" s="147"/>
      <c r="T3899" s="147"/>
      <c r="U3899" s="147"/>
      <c r="V3899" s="147"/>
      <c r="W3899" s="147"/>
      <c r="X3899" s="147"/>
      <c r="Y3899" s="147"/>
      <c r="Z3899" s="147"/>
      <c r="AA3899" s="147"/>
      <c r="AB3899" s="147"/>
      <c r="AC3899" s="147"/>
      <c r="AD3899" s="147"/>
      <c r="AE3899" s="147"/>
      <c r="AF3899" s="147"/>
      <c r="AG3899" s="147"/>
      <c r="AH3899" s="147"/>
      <c r="AI3899" s="147"/>
      <c r="AJ3899" s="147"/>
      <c r="AK3899" s="147"/>
      <c r="AL3899" s="147"/>
      <c r="AM3899" s="147"/>
      <c r="AN3899" s="147"/>
      <c r="AO3899" s="147"/>
      <c r="AP3899" s="147"/>
      <c r="AQ3899" s="147"/>
      <c r="AR3899" s="147"/>
      <c r="AS3899" s="147"/>
      <c r="AT3899" s="147"/>
      <c r="AU3899" s="147"/>
      <c r="AV3899" s="147"/>
      <c r="AW3899" s="147"/>
      <c r="AX3899" s="147"/>
      <c r="AY3899" s="147"/>
      <c r="AZ3899" s="147"/>
      <c r="BA3899" s="147"/>
    </row>
    <row r="3900" spans="1:53" ht="15.75" customHeight="1">
      <c r="A3900" s="99"/>
      <c r="B3900" s="99"/>
      <c r="C3900" s="147"/>
      <c r="D3900" s="147"/>
      <c r="E3900" s="147"/>
      <c r="F3900" s="147"/>
      <c r="G3900" s="147"/>
      <c r="H3900" s="147"/>
      <c r="I3900" s="147"/>
      <c r="J3900" s="147"/>
      <c r="K3900" s="147"/>
      <c r="L3900" s="147"/>
      <c r="M3900" s="147"/>
      <c r="N3900" s="147"/>
      <c r="O3900" s="147"/>
      <c r="P3900" s="147"/>
      <c r="Q3900" s="147"/>
      <c r="R3900" s="147"/>
      <c r="S3900" s="147"/>
      <c r="T3900" s="147"/>
      <c r="U3900" s="147"/>
      <c r="V3900" s="147"/>
      <c r="W3900" s="147"/>
      <c r="X3900" s="147"/>
      <c r="Y3900" s="147"/>
      <c r="Z3900" s="147"/>
      <c r="AA3900" s="147"/>
      <c r="AB3900" s="147"/>
      <c r="AC3900" s="147"/>
      <c r="AD3900" s="147"/>
      <c r="AE3900" s="147"/>
      <c r="AF3900" s="147"/>
      <c r="AG3900" s="147"/>
      <c r="AH3900" s="147"/>
      <c r="AI3900" s="147"/>
      <c r="AJ3900" s="147"/>
      <c r="AK3900" s="147"/>
      <c r="AL3900" s="147"/>
      <c r="AM3900" s="147"/>
      <c r="AN3900" s="147"/>
      <c r="AO3900" s="147"/>
      <c r="AP3900" s="147"/>
      <c r="AQ3900" s="147"/>
      <c r="AR3900" s="147"/>
      <c r="AS3900" s="147"/>
      <c r="AT3900" s="147"/>
      <c r="AU3900" s="147"/>
      <c r="AV3900" s="147"/>
      <c r="AW3900" s="147"/>
      <c r="AX3900" s="147"/>
      <c r="AY3900" s="147"/>
      <c r="AZ3900" s="147"/>
      <c r="BA3900" s="147"/>
    </row>
    <row r="3901" spans="1:53" ht="15.75" customHeight="1">
      <c r="A3901" s="99"/>
      <c r="B3901" s="99"/>
      <c r="C3901" s="147"/>
      <c r="D3901" s="147"/>
      <c r="E3901" s="147"/>
      <c r="F3901" s="147"/>
      <c r="G3901" s="147"/>
      <c r="H3901" s="147"/>
      <c r="I3901" s="147"/>
      <c r="J3901" s="147"/>
      <c r="K3901" s="147"/>
      <c r="L3901" s="147"/>
      <c r="M3901" s="147"/>
      <c r="N3901" s="147"/>
      <c r="O3901" s="147"/>
      <c r="P3901" s="147"/>
      <c r="Q3901" s="147"/>
      <c r="R3901" s="147"/>
      <c r="S3901" s="147"/>
      <c r="T3901" s="147"/>
      <c r="U3901" s="147"/>
      <c r="V3901" s="147"/>
      <c r="W3901" s="147"/>
      <c r="X3901" s="147"/>
      <c r="Y3901" s="147"/>
      <c r="Z3901" s="147"/>
      <c r="AA3901" s="147"/>
      <c r="AB3901" s="147"/>
      <c r="AC3901" s="147"/>
      <c r="AD3901" s="147"/>
      <c r="AE3901" s="147"/>
      <c r="AF3901" s="147"/>
      <c r="AG3901" s="147"/>
      <c r="AH3901" s="147"/>
      <c r="AI3901" s="147"/>
      <c r="AJ3901" s="147"/>
      <c r="AK3901" s="147"/>
      <c r="AL3901" s="147"/>
      <c r="AM3901" s="147"/>
      <c r="AN3901" s="147"/>
      <c r="AO3901" s="147"/>
      <c r="AP3901" s="147"/>
      <c r="AQ3901" s="147"/>
      <c r="AR3901" s="147"/>
      <c r="AS3901" s="147"/>
      <c r="AT3901" s="147"/>
      <c r="AU3901" s="147"/>
      <c r="AV3901" s="147"/>
      <c r="AW3901" s="147"/>
      <c r="AX3901" s="147"/>
      <c r="AY3901" s="147"/>
      <c r="AZ3901" s="147"/>
      <c r="BA3901" s="147"/>
    </row>
    <row r="3902" spans="1:53" ht="15.75" customHeight="1">
      <c r="A3902" s="99"/>
      <c r="B3902" s="99"/>
      <c r="C3902" s="147"/>
      <c r="D3902" s="147"/>
      <c r="E3902" s="147"/>
      <c r="F3902" s="147"/>
      <c r="G3902" s="147"/>
      <c r="H3902" s="147"/>
      <c r="I3902" s="147"/>
      <c r="J3902" s="147"/>
      <c r="K3902" s="147"/>
      <c r="L3902" s="147"/>
      <c r="M3902" s="147"/>
      <c r="N3902" s="147"/>
      <c r="O3902" s="147"/>
      <c r="P3902" s="147"/>
      <c r="Q3902" s="147"/>
      <c r="R3902" s="147"/>
      <c r="S3902" s="147"/>
      <c r="T3902" s="147"/>
      <c r="U3902" s="147"/>
      <c r="V3902" s="147"/>
      <c r="W3902" s="147"/>
      <c r="X3902" s="147"/>
      <c r="Y3902" s="147"/>
      <c r="Z3902" s="147"/>
      <c r="AA3902" s="147"/>
      <c r="AB3902" s="147"/>
      <c r="AC3902" s="147"/>
      <c r="AD3902" s="147"/>
      <c r="AE3902" s="147"/>
      <c r="AF3902" s="147"/>
      <c r="AG3902" s="147"/>
      <c r="AH3902" s="147"/>
      <c r="AI3902" s="147"/>
      <c r="AJ3902" s="147"/>
      <c r="AK3902" s="147"/>
      <c r="AL3902" s="147"/>
      <c r="AM3902" s="147"/>
      <c r="AN3902" s="147"/>
      <c r="AO3902" s="147"/>
      <c r="AP3902" s="147"/>
      <c r="AQ3902" s="147"/>
      <c r="AR3902" s="147"/>
      <c r="AS3902" s="147"/>
      <c r="AT3902" s="147"/>
      <c r="AU3902" s="147"/>
      <c r="AV3902" s="147"/>
      <c r="AW3902" s="147"/>
      <c r="AX3902" s="147"/>
      <c r="AY3902" s="147"/>
      <c r="AZ3902" s="147"/>
      <c r="BA3902" s="147"/>
    </row>
    <row r="3903" spans="1:53" ht="15.75" customHeight="1">
      <c r="A3903" s="99"/>
      <c r="B3903" s="99"/>
      <c r="C3903" s="147"/>
      <c r="D3903" s="147"/>
      <c r="E3903" s="147"/>
      <c r="F3903" s="147"/>
      <c r="G3903" s="147"/>
      <c r="H3903" s="147"/>
      <c r="I3903" s="147"/>
      <c r="J3903" s="147"/>
      <c r="K3903" s="147"/>
      <c r="L3903" s="147"/>
      <c r="M3903" s="147"/>
      <c r="N3903" s="147"/>
      <c r="O3903" s="147"/>
      <c r="P3903" s="147"/>
      <c r="Q3903" s="147"/>
      <c r="R3903" s="147"/>
      <c r="S3903" s="147"/>
      <c r="T3903" s="147"/>
      <c r="U3903" s="147"/>
      <c r="V3903" s="147"/>
      <c r="W3903" s="147"/>
      <c r="X3903" s="147"/>
      <c r="Y3903" s="147"/>
      <c r="Z3903" s="147"/>
      <c r="AA3903" s="147"/>
      <c r="AB3903" s="147"/>
      <c r="AC3903" s="147"/>
      <c r="AD3903" s="147"/>
      <c r="AE3903" s="147"/>
      <c r="AF3903" s="147"/>
      <c r="AG3903" s="147"/>
      <c r="AH3903" s="147"/>
      <c r="AI3903" s="147"/>
      <c r="AJ3903" s="147"/>
      <c r="AK3903" s="147"/>
      <c r="AL3903" s="147"/>
      <c r="AM3903" s="147"/>
      <c r="AN3903" s="147"/>
      <c r="AO3903" s="147"/>
      <c r="AP3903" s="147"/>
      <c r="AQ3903" s="147"/>
      <c r="AR3903" s="147"/>
      <c r="AS3903" s="147"/>
      <c r="AT3903" s="147"/>
      <c r="AU3903" s="147"/>
      <c r="AV3903" s="147"/>
      <c r="AW3903" s="147"/>
      <c r="AX3903" s="147"/>
      <c r="AY3903" s="147"/>
      <c r="AZ3903" s="147"/>
      <c r="BA3903" s="147"/>
    </row>
    <row r="3904" spans="1:53" ht="15.75" customHeight="1">
      <c r="A3904" s="99"/>
      <c r="B3904" s="99"/>
      <c r="C3904" s="147"/>
      <c r="D3904" s="147"/>
      <c r="E3904" s="147"/>
      <c r="F3904" s="147"/>
      <c r="G3904" s="147"/>
      <c r="H3904" s="147"/>
      <c r="I3904" s="147"/>
      <c r="J3904" s="147"/>
      <c r="K3904" s="147"/>
      <c r="L3904" s="147"/>
      <c r="M3904" s="147"/>
      <c r="N3904" s="147"/>
      <c r="O3904" s="147"/>
      <c r="P3904" s="147"/>
      <c r="Q3904" s="147"/>
      <c r="R3904" s="147"/>
      <c r="S3904" s="147"/>
      <c r="T3904" s="147"/>
      <c r="U3904" s="147"/>
      <c r="V3904" s="147"/>
      <c r="W3904" s="147"/>
      <c r="X3904" s="147"/>
      <c r="Y3904" s="147"/>
      <c r="Z3904" s="147"/>
      <c r="AA3904" s="147"/>
      <c r="AB3904" s="147"/>
      <c r="AC3904" s="147"/>
      <c r="AD3904" s="147"/>
      <c r="AE3904" s="147"/>
      <c r="AF3904" s="147"/>
      <c r="AG3904" s="147"/>
      <c r="AH3904" s="147"/>
      <c r="AI3904" s="147"/>
      <c r="AJ3904" s="147"/>
      <c r="AK3904" s="147"/>
      <c r="AL3904" s="147"/>
      <c r="AM3904" s="147"/>
      <c r="AN3904" s="147"/>
      <c r="AO3904" s="147"/>
      <c r="AP3904" s="147"/>
      <c r="AQ3904" s="147"/>
      <c r="AR3904" s="147"/>
      <c r="AS3904" s="147"/>
      <c r="AT3904" s="147"/>
      <c r="AU3904" s="147"/>
      <c r="AV3904" s="147"/>
      <c r="AW3904" s="147"/>
      <c r="AX3904" s="147"/>
      <c r="AY3904" s="147"/>
      <c r="AZ3904" s="147"/>
      <c r="BA3904" s="147"/>
    </row>
    <row r="3905" spans="1:53" ht="15.75" customHeight="1">
      <c r="A3905" s="99"/>
      <c r="B3905" s="99"/>
      <c r="C3905" s="147"/>
      <c r="D3905" s="147"/>
      <c r="E3905" s="147"/>
      <c r="F3905" s="147"/>
      <c r="G3905" s="147"/>
      <c r="H3905" s="147"/>
      <c r="I3905" s="147"/>
      <c r="J3905" s="147"/>
      <c r="K3905" s="147"/>
      <c r="L3905" s="147"/>
      <c r="M3905" s="147"/>
      <c r="N3905" s="147"/>
      <c r="O3905" s="147"/>
      <c r="P3905" s="147"/>
      <c r="Q3905" s="147"/>
      <c r="R3905" s="147"/>
      <c r="S3905" s="147"/>
      <c r="T3905" s="147"/>
      <c r="U3905" s="147"/>
      <c r="V3905" s="147"/>
      <c r="W3905" s="147"/>
      <c r="X3905" s="147"/>
      <c r="Y3905" s="147"/>
      <c r="Z3905" s="147"/>
      <c r="AA3905" s="147"/>
      <c r="AB3905" s="147"/>
      <c r="AC3905" s="147"/>
      <c r="AD3905" s="147"/>
      <c r="AE3905" s="147"/>
      <c r="AF3905" s="147"/>
      <c r="AG3905" s="147"/>
      <c r="AH3905" s="147"/>
      <c r="AI3905" s="147"/>
      <c r="AJ3905" s="147"/>
      <c r="AK3905" s="147"/>
      <c r="AL3905" s="147"/>
      <c r="AM3905" s="147"/>
      <c r="AN3905" s="147"/>
      <c r="AO3905" s="147"/>
      <c r="AP3905" s="147"/>
      <c r="AQ3905" s="147"/>
      <c r="AR3905" s="147"/>
      <c r="AS3905" s="147"/>
      <c r="AT3905" s="147"/>
      <c r="AU3905" s="147"/>
      <c r="AV3905" s="147"/>
      <c r="AW3905" s="147"/>
      <c r="AX3905" s="147"/>
      <c r="AY3905" s="147"/>
      <c r="AZ3905" s="147"/>
      <c r="BA3905" s="147"/>
    </row>
    <row r="3906" spans="1:53" ht="15.75" customHeight="1">
      <c r="A3906" s="99"/>
      <c r="B3906" s="99"/>
      <c r="C3906" s="147"/>
      <c r="D3906" s="147"/>
      <c r="E3906" s="147"/>
      <c r="F3906" s="147"/>
      <c r="G3906" s="147"/>
      <c r="H3906" s="147"/>
      <c r="I3906" s="147"/>
      <c r="J3906" s="147"/>
      <c r="K3906" s="147"/>
      <c r="L3906" s="147"/>
      <c r="M3906" s="147"/>
      <c r="N3906" s="147"/>
      <c r="O3906" s="147"/>
      <c r="P3906" s="147"/>
      <c r="Q3906" s="147"/>
      <c r="R3906" s="147"/>
      <c r="S3906" s="147"/>
      <c r="T3906" s="147"/>
      <c r="U3906" s="147"/>
      <c r="V3906" s="147"/>
      <c r="W3906" s="147"/>
      <c r="X3906" s="147"/>
      <c r="Y3906" s="147"/>
      <c r="Z3906" s="147"/>
      <c r="AA3906" s="147"/>
      <c r="AB3906" s="147"/>
      <c r="AC3906" s="147"/>
      <c r="AD3906" s="147"/>
      <c r="AE3906" s="147"/>
      <c r="AF3906" s="147"/>
      <c r="AG3906" s="147"/>
      <c r="AH3906" s="147"/>
      <c r="AI3906" s="147"/>
      <c r="AJ3906" s="147"/>
      <c r="AK3906" s="147"/>
      <c r="AL3906" s="147"/>
      <c r="AM3906" s="147"/>
      <c r="AN3906" s="147"/>
      <c r="AO3906" s="147"/>
      <c r="AP3906" s="147"/>
      <c r="AQ3906" s="147"/>
      <c r="AR3906" s="147"/>
      <c r="AS3906" s="147"/>
      <c r="AT3906" s="147"/>
      <c r="AU3906" s="147"/>
      <c r="AV3906" s="147"/>
      <c r="AW3906" s="147"/>
      <c r="AX3906" s="147"/>
      <c r="AY3906" s="147"/>
      <c r="AZ3906" s="147"/>
      <c r="BA3906" s="147"/>
    </row>
    <row r="3907" spans="1:53" ht="15.75" customHeight="1">
      <c r="A3907" s="99"/>
      <c r="B3907" s="99"/>
      <c r="C3907" s="147"/>
      <c r="D3907" s="147"/>
      <c r="E3907" s="147"/>
      <c r="F3907" s="147"/>
      <c r="G3907" s="147"/>
      <c r="H3907" s="147"/>
      <c r="I3907" s="147"/>
      <c r="J3907" s="147"/>
      <c r="K3907" s="147"/>
      <c r="L3907" s="147"/>
      <c r="M3907" s="147"/>
      <c r="N3907" s="147"/>
      <c r="O3907" s="147"/>
      <c r="P3907" s="147"/>
      <c r="Q3907" s="147"/>
      <c r="R3907" s="147"/>
      <c r="S3907" s="147"/>
      <c r="T3907" s="147"/>
      <c r="U3907" s="147"/>
      <c r="V3907" s="147"/>
      <c r="W3907" s="147"/>
      <c r="X3907" s="147"/>
      <c r="Y3907" s="147"/>
      <c r="Z3907" s="147"/>
      <c r="AA3907" s="147"/>
      <c r="AB3907" s="147"/>
      <c r="AC3907" s="147"/>
      <c r="AD3907" s="147"/>
      <c r="AE3907" s="147"/>
      <c r="AF3907" s="147"/>
      <c r="AG3907" s="147"/>
      <c r="AH3907" s="147"/>
      <c r="AI3907" s="147"/>
      <c r="AJ3907" s="147"/>
      <c r="AK3907" s="147"/>
      <c r="AL3907" s="147"/>
      <c r="AM3907" s="147"/>
      <c r="AN3907" s="147"/>
      <c r="AO3907" s="147"/>
      <c r="AP3907" s="147"/>
      <c r="AQ3907" s="147"/>
      <c r="AR3907" s="147"/>
      <c r="AS3907" s="147"/>
      <c r="AT3907" s="147"/>
      <c r="AU3907" s="147"/>
      <c r="AV3907" s="147"/>
      <c r="AW3907" s="147"/>
      <c r="AX3907" s="147"/>
      <c r="AY3907" s="147"/>
      <c r="AZ3907" s="147"/>
      <c r="BA3907" s="147"/>
    </row>
    <row r="3908" spans="1:53" ht="15.75" customHeight="1">
      <c r="A3908" s="99"/>
      <c r="B3908" s="99"/>
      <c r="C3908" s="147"/>
      <c r="D3908" s="147"/>
      <c r="E3908" s="147"/>
      <c r="F3908" s="147"/>
      <c r="G3908" s="147"/>
      <c r="H3908" s="147"/>
      <c r="I3908" s="147"/>
      <c r="J3908" s="147"/>
      <c r="K3908" s="147"/>
      <c r="L3908" s="147"/>
      <c r="M3908" s="147"/>
      <c r="N3908" s="147"/>
      <c r="O3908" s="147"/>
      <c r="P3908" s="147"/>
      <c r="Q3908" s="147"/>
      <c r="R3908" s="147"/>
      <c r="S3908" s="147"/>
      <c r="T3908" s="147"/>
      <c r="U3908" s="147"/>
      <c r="V3908" s="147"/>
      <c r="W3908" s="147"/>
      <c r="X3908" s="147"/>
      <c r="Y3908" s="147"/>
      <c r="Z3908" s="147"/>
      <c r="AA3908" s="147"/>
      <c r="AB3908" s="147"/>
      <c r="AC3908" s="147"/>
      <c r="AD3908" s="147"/>
      <c r="AE3908" s="147"/>
      <c r="AF3908" s="147"/>
      <c r="AG3908" s="147"/>
      <c r="AH3908" s="147"/>
      <c r="AI3908" s="147"/>
      <c r="AJ3908" s="147"/>
      <c r="AK3908" s="147"/>
      <c r="AL3908" s="147"/>
      <c r="AM3908" s="147"/>
      <c r="AN3908" s="147"/>
      <c r="AO3908" s="147"/>
      <c r="AP3908" s="147"/>
      <c r="AQ3908" s="147"/>
      <c r="AR3908" s="147"/>
      <c r="AS3908" s="147"/>
      <c r="AT3908" s="147"/>
      <c r="AU3908" s="147"/>
      <c r="AV3908" s="147"/>
      <c r="AW3908" s="147"/>
      <c r="AX3908" s="147"/>
      <c r="AY3908" s="147"/>
      <c r="AZ3908" s="147"/>
      <c r="BA3908" s="147"/>
    </row>
    <row r="3909" spans="1:53" ht="15.75" customHeight="1">
      <c r="A3909" s="99"/>
      <c r="B3909" s="99"/>
      <c r="C3909" s="147"/>
      <c r="D3909" s="147"/>
      <c r="E3909" s="147"/>
      <c r="F3909" s="147"/>
      <c r="G3909" s="147"/>
      <c r="H3909" s="147"/>
      <c r="I3909" s="147"/>
      <c r="J3909" s="147"/>
      <c r="K3909" s="147"/>
      <c r="L3909" s="147"/>
      <c r="M3909" s="147"/>
      <c r="N3909" s="147"/>
      <c r="O3909" s="147"/>
      <c r="P3909" s="147"/>
      <c r="Q3909" s="147"/>
      <c r="R3909" s="147"/>
      <c r="S3909" s="147"/>
      <c r="T3909" s="147"/>
      <c r="U3909" s="147"/>
      <c r="V3909" s="147"/>
      <c r="W3909" s="147"/>
      <c r="X3909" s="147"/>
      <c r="Y3909" s="147"/>
      <c r="Z3909" s="147"/>
      <c r="AA3909" s="147"/>
      <c r="AB3909" s="147"/>
      <c r="AC3909" s="147"/>
      <c r="AD3909" s="147"/>
      <c r="AE3909" s="147"/>
      <c r="AF3909" s="147"/>
      <c r="AG3909" s="147"/>
      <c r="AH3909" s="147"/>
      <c r="AI3909" s="147"/>
      <c r="AJ3909" s="147"/>
      <c r="AK3909" s="147"/>
      <c r="AL3909" s="147"/>
      <c r="AM3909" s="147"/>
      <c r="AN3909" s="147"/>
      <c r="AO3909" s="147"/>
      <c r="AP3909" s="147"/>
      <c r="AQ3909" s="147"/>
      <c r="AR3909" s="147"/>
      <c r="AS3909" s="147"/>
      <c r="AT3909" s="147"/>
      <c r="AU3909" s="147"/>
      <c r="AV3909" s="147"/>
      <c r="AW3909" s="147"/>
      <c r="AX3909" s="147"/>
      <c r="AY3909" s="147"/>
      <c r="AZ3909" s="147"/>
      <c r="BA3909" s="147"/>
    </row>
    <row r="3910" spans="1:53" ht="15.75" customHeight="1">
      <c r="A3910" s="99"/>
      <c r="B3910" s="99"/>
      <c r="C3910" s="147"/>
      <c r="D3910" s="147"/>
      <c r="E3910" s="147"/>
      <c r="F3910" s="147"/>
      <c r="G3910" s="147"/>
      <c r="H3910" s="147"/>
      <c r="I3910" s="147"/>
      <c r="J3910" s="147"/>
      <c r="K3910" s="147"/>
      <c r="L3910" s="147"/>
      <c r="M3910" s="147"/>
      <c r="N3910" s="147"/>
      <c r="O3910" s="147"/>
      <c r="P3910" s="147"/>
      <c r="Q3910" s="147"/>
      <c r="R3910" s="147"/>
      <c r="S3910" s="147"/>
      <c r="T3910" s="147"/>
      <c r="U3910" s="147"/>
      <c r="V3910" s="147"/>
      <c r="W3910" s="147"/>
      <c r="X3910" s="147"/>
      <c r="Y3910" s="147"/>
      <c r="Z3910" s="147"/>
      <c r="AA3910" s="147"/>
      <c r="AB3910" s="147"/>
      <c r="AC3910" s="147"/>
      <c r="AD3910" s="147"/>
      <c r="AE3910" s="147"/>
      <c r="AF3910" s="147"/>
      <c r="AG3910" s="147"/>
      <c r="AH3910" s="147"/>
      <c r="AI3910" s="147"/>
      <c r="AJ3910" s="147"/>
      <c r="AK3910" s="147"/>
      <c r="AL3910" s="147"/>
      <c r="AM3910" s="147"/>
      <c r="AN3910" s="147"/>
      <c r="AO3910" s="147"/>
      <c r="AP3910" s="147"/>
      <c r="AQ3910" s="147"/>
      <c r="AR3910" s="147"/>
      <c r="AS3910" s="147"/>
      <c r="AT3910" s="147"/>
      <c r="AU3910" s="147"/>
      <c r="AV3910" s="147"/>
      <c r="AW3910" s="147"/>
      <c r="AX3910" s="147"/>
      <c r="AY3910" s="147"/>
      <c r="AZ3910" s="147"/>
      <c r="BA3910" s="147"/>
    </row>
    <row r="3911" spans="1:53" ht="15.75" customHeight="1">
      <c r="A3911" s="99"/>
      <c r="B3911" s="99"/>
      <c r="C3911" s="147"/>
      <c r="D3911" s="147"/>
      <c r="E3911" s="147"/>
      <c r="F3911" s="147"/>
      <c r="G3911" s="147"/>
      <c r="H3911" s="147"/>
      <c r="I3911" s="147"/>
      <c r="J3911" s="147"/>
      <c r="K3911" s="147"/>
      <c r="L3911" s="147"/>
      <c r="M3911" s="147"/>
      <c r="N3911" s="147"/>
      <c r="O3911" s="147"/>
      <c r="P3911" s="147"/>
      <c r="Q3911" s="147"/>
      <c r="R3911" s="147"/>
      <c r="S3911" s="147"/>
      <c r="T3911" s="147"/>
      <c r="U3911" s="147"/>
      <c r="V3911" s="147"/>
      <c r="W3911" s="147"/>
      <c r="X3911" s="147"/>
      <c r="Y3911" s="147"/>
      <c r="Z3911" s="147"/>
      <c r="AA3911" s="147"/>
      <c r="AB3911" s="147"/>
      <c r="AC3911" s="147"/>
      <c r="AD3911" s="147"/>
      <c r="AE3911" s="147"/>
      <c r="AF3911" s="147"/>
      <c r="AG3911" s="147"/>
      <c r="AH3911" s="147"/>
      <c r="AI3911" s="147"/>
      <c r="AJ3911" s="147"/>
      <c r="AK3911" s="147"/>
      <c r="AL3911" s="147"/>
      <c r="AM3911" s="147"/>
      <c r="AN3911" s="147"/>
      <c r="AO3911" s="147"/>
      <c r="AP3911" s="147"/>
      <c r="AQ3911" s="147"/>
      <c r="AR3911" s="147"/>
      <c r="AS3911" s="147"/>
      <c r="AT3911" s="147"/>
      <c r="AU3911" s="147"/>
      <c r="AV3911" s="147"/>
      <c r="AW3911" s="147"/>
      <c r="AX3911" s="147"/>
      <c r="AY3911" s="147"/>
      <c r="AZ3911" s="147"/>
      <c r="BA3911" s="147"/>
    </row>
    <row r="3912" spans="1:53" ht="15.75" customHeight="1">
      <c r="A3912" s="99"/>
      <c r="B3912" s="99"/>
      <c r="C3912" s="147"/>
      <c r="D3912" s="147"/>
      <c r="E3912" s="147"/>
      <c r="F3912" s="147"/>
      <c r="G3912" s="147"/>
      <c r="H3912" s="147"/>
      <c r="I3912" s="147"/>
      <c r="J3912" s="147"/>
      <c r="K3912" s="147"/>
      <c r="L3912" s="147"/>
      <c r="M3912" s="147"/>
      <c r="N3912" s="147"/>
      <c r="O3912" s="147"/>
      <c r="P3912" s="147"/>
      <c r="Q3912" s="147"/>
      <c r="R3912" s="147"/>
      <c r="S3912" s="147"/>
      <c r="T3912" s="147"/>
      <c r="U3912" s="147"/>
      <c r="V3912" s="147"/>
      <c r="W3912" s="147"/>
      <c r="X3912" s="147"/>
      <c r="Y3912" s="147"/>
      <c r="Z3912" s="147"/>
      <c r="AA3912" s="147"/>
      <c r="AB3912" s="147"/>
      <c r="AC3912" s="147"/>
      <c r="AD3912" s="147"/>
      <c r="AE3912" s="147"/>
      <c r="AF3912" s="147"/>
      <c r="AG3912" s="147"/>
      <c r="AH3912" s="147"/>
      <c r="AI3912" s="147"/>
      <c r="AJ3912" s="147"/>
      <c r="AK3912" s="147"/>
      <c r="AL3912" s="147"/>
      <c r="AM3912" s="147"/>
      <c r="AN3912" s="147"/>
      <c r="AO3912" s="147"/>
      <c r="AP3912" s="147"/>
      <c r="AQ3912" s="147"/>
      <c r="AR3912" s="147"/>
      <c r="AS3912" s="147"/>
      <c r="AT3912" s="147"/>
      <c r="AU3912" s="147"/>
      <c r="AV3912" s="147"/>
      <c r="AW3912" s="147"/>
      <c r="AX3912" s="147"/>
      <c r="AY3912" s="147"/>
      <c r="AZ3912" s="147"/>
      <c r="BA3912" s="147"/>
    </row>
    <row r="3913" spans="1:53" ht="15.75" customHeight="1">
      <c r="A3913" s="99"/>
      <c r="B3913" s="99"/>
      <c r="C3913" s="147"/>
      <c r="D3913" s="147"/>
      <c r="E3913" s="147"/>
      <c r="F3913" s="147"/>
      <c r="G3913" s="147"/>
      <c r="H3913" s="147"/>
      <c r="I3913" s="147"/>
      <c r="J3913" s="147"/>
      <c r="K3913" s="147"/>
      <c r="L3913" s="147"/>
      <c r="M3913" s="147"/>
      <c r="N3913" s="147"/>
      <c r="O3913" s="147"/>
      <c r="P3913" s="147"/>
      <c r="Q3913" s="147"/>
      <c r="R3913" s="147"/>
      <c r="S3913" s="147"/>
      <c r="T3913" s="147"/>
      <c r="U3913" s="147"/>
      <c r="V3913" s="147"/>
      <c r="W3913" s="147"/>
      <c r="X3913" s="147"/>
      <c r="Y3913" s="147"/>
      <c r="Z3913" s="147"/>
      <c r="AA3913" s="147"/>
      <c r="AB3913" s="147"/>
      <c r="AC3913" s="147"/>
      <c r="AD3913" s="147"/>
      <c r="AE3913" s="147"/>
      <c r="AF3913" s="147"/>
      <c r="AG3913" s="147"/>
      <c r="AH3913" s="147"/>
      <c r="AI3913" s="147"/>
      <c r="AJ3913" s="147"/>
      <c r="AK3913" s="147"/>
      <c r="AL3913" s="147"/>
      <c r="AM3913" s="147"/>
      <c r="AN3913" s="147"/>
      <c r="AO3913" s="147"/>
      <c r="AP3913" s="147"/>
      <c r="AQ3913" s="147"/>
      <c r="AR3913" s="147"/>
      <c r="AS3913" s="147"/>
      <c r="AT3913" s="147"/>
      <c r="AU3913" s="147"/>
      <c r="AV3913" s="147"/>
      <c r="AW3913" s="147"/>
      <c r="AX3913" s="147"/>
      <c r="AY3913" s="147"/>
      <c r="AZ3913" s="147"/>
      <c r="BA3913" s="147"/>
    </row>
    <row r="3914" spans="1:53" ht="15.75" customHeight="1">
      <c r="A3914" s="99"/>
      <c r="B3914" s="99"/>
      <c r="C3914" s="147"/>
      <c r="D3914" s="147"/>
      <c r="E3914" s="147"/>
      <c r="F3914" s="147"/>
      <c r="G3914" s="147"/>
      <c r="H3914" s="147"/>
      <c r="I3914" s="147"/>
      <c r="J3914" s="147"/>
      <c r="K3914" s="147"/>
      <c r="L3914" s="147"/>
      <c r="M3914" s="147"/>
      <c r="N3914" s="147"/>
      <c r="O3914" s="147"/>
      <c r="P3914" s="147"/>
      <c r="Q3914" s="147"/>
      <c r="R3914" s="147"/>
      <c r="S3914" s="147"/>
      <c r="T3914" s="147"/>
      <c r="U3914" s="147"/>
      <c r="V3914" s="147"/>
      <c r="W3914" s="147"/>
      <c r="X3914" s="147"/>
      <c r="Y3914" s="147"/>
      <c r="Z3914" s="147"/>
      <c r="AA3914" s="147"/>
      <c r="AB3914" s="147"/>
      <c r="AC3914" s="147"/>
      <c r="AD3914" s="147"/>
      <c r="AE3914" s="147"/>
      <c r="AF3914" s="147"/>
      <c r="AG3914" s="147"/>
      <c r="AH3914" s="147"/>
      <c r="AI3914" s="147"/>
      <c r="AJ3914" s="147"/>
      <c r="AK3914" s="147"/>
      <c r="AL3914" s="147"/>
      <c r="AM3914" s="147"/>
      <c r="AN3914" s="147"/>
      <c r="AO3914" s="147"/>
      <c r="AP3914" s="147"/>
      <c r="AQ3914" s="147"/>
      <c r="AR3914" s="147"/>
      <c r="AS3914" s="147"/>
      <c r="AT3914" s="147"/>
      <c r="AU3914" s="147"/>
      <c r="AV3914" s="147"/>
      <c r="AW3914" s="147"/>
      <c r="AX3914" s="147"/>
      <c r="AY3914" s="147"/>
      <c r="AZ3914" s="147"/>
      <c r="BA3914" s="147"/>
    </row>
    <row r="3915" spans="1:53" ht="15.75" customHeight="1">
      <c r="A3915" s="99"/>
      <c r="B3915" s="99"/>
      <c r="C3915" s="147"/>
      <c r="D3915" s="147"/>
      <c r="E3915" s="147"/>
      <c r="F3915" s="147"/>
      <c r="G3915" s="147"/>
      <c r="H3915" s="147"/>
      <c r="I3915" s="147"/>
      <c r="J3915" s="147"/>
      <c r="K3915" s="147"/>
      <c r="L3915" s="147"/>
      <c r="M3915" s="147"/>
      <c r="N3915" s="147"/>
      <c r="O3915" s="147"/>
      <c r="P3915" s="147"/>
      <c r="Q3915" s="147"/>
      <c r="R3915" s="147"/>
      <c r="S3915" s="147"/>
      <c r="T3915" s="147"/>
      <c r="U3915" s="147"/>
      <c r="V3915" s="147"/>
      <c r="W3915" s="147"/>
      <c r="X3915" s="147"/>
      <c r="Y3915" s="147"/>
      <c r="Z3915" s="147"/>
      <c r="AA3915" s="147"/>
      <c r="AB3915" s="147"/>
      <c r="AC3915" s="147"/>
      <c r="AD3915" s="147"/>
      <c r="AE3915" s="147"/>
      <c r="AF3915" s="147"/>
      <c r="AG3915" s="147"/>
      <c r="AH3915" s="147"/>
      <c r="AI3915" s="147"/>
      <c r="AJ3915" s="147"/>
      <c r="AK3915" s="147"/>
      <c r="AL3915" s="147"/>
      <c r="AM3915" s="147"/>
      <c r="AN3915" s="147"/>
      <c r="AO3915" s="147"/>
      <c r="AP3915" s="147"/>
      <c r="AQ3915" s="147"/>
      <c r="AR3915" s="147"/>
      <c r="AS3915" s="147"/>
      <c r="AT3915" s="147"/>
      <c r="AU3915" s="147"/>
      <c r="AV3915" s="147"/>
      <c r="AW3915" s="147"/>
      <c r="AX3915" s="147"/>
      <c r="AY3915" s="147"/>
      <c r="AZ3915" s="147"/>
      <c r="BA3915" s="147"/>
    </row>
    <row r="3916" spans="1:53" ht="15.75" customHeight="1">
      <c r="A3916" s="99"/>
      <c r="B3916" s="99"/>
      <c r="C3916" s="147"/>
      <c r="D3916" s="147"/>
      <c r="E3916" s="147"/>
      <c r="F3916" s="147"/>
      <c r="G3916" s="147"/>
      <c r="H3916" s="147"/>
      <c r="I3916" s="147"/>
      <c r="J3916" s="147"/>
      <c r="K3916" s="147"/>
      <c r="L3916" s="147"/>
      <c r="M3916" s="147"/>
      <c r="N3916" s="147"/>
      <c r="O3916" s="147"/>
      <c r="P3916" s="147"/>
      <c r="Q3916" s="147"/>
      <c r="R3916" s="147"/>
      <c r="S3916" s="147"/>
      <c r="T3916" s="147"/>
      <c r="U3916" s="147"/>
      <c r="V3916" s="147"/>
      <c r="W3916" s="147"/>
      <c r="X3916" s="147"/>
      <c r="Y3916" s="147"/>
      <c r="Z3916" s="147"/>
      <c r="AA3916" s="147"/>
      <c r="AB3916" s="147"/>
      <c r="AC3916" s="147"/>
      <c r="AD3916" s="147"/>
      <c r="AE3916" s="147"/>
      <c r="AF3916" s="147"/>
      <c r="AG3916" s="147"/>
      <c r="AH3916" s="147"/>
      <c r="AI3916" s="147"/>
      <c r="AJ3916" s="147"/>
      <c r="AK3916" s="147"/>
      <c r="AL3916" s="147"/>
      <c r="AM3916" s="147"/>
      <c r="AN3916" s="147"/>
      <c r="AO3916" s="147"/>
      <c r="AP3916" s="147"/>
      <c r="AQ3916" s="147"/>
      <c r="AR3916" s="147"/>
      <c r="AS3916" s="147"/>
      <c r="AT3916" s="147"/>
      <c r="AU3916" s="147"/>
      <c r="AV3916" s="147"/>
      <c r="AW3916" s="147"/>
      <c r="AX3916" s="147"/>
      <c r="AY3916" s="147"/>
      <c r="AZ3916" s="147"/>
      <c r="BA3916" s="147"/>
    </row>
    <row r="3917" spans="1:53" ht="15.75" customHeight="1">
      <c r="A3917" s="99"/>
      <c r="B3917" s="99"/>
      <c r="C3917" s="147"/>
      <c r="D3917" s="147"/>
      <c r="E3917" s="147"/>
      <c r="F3917" s="147"/>
      <c r="G3917" s="147"/>
      <c r="H3917" s="147"/>
      <c r="I3917" s="147"/>
      <c r="J3917" s="147"/>
      <c r="K3917" s="147"/>
      <c r="L3917" s="147"/>
      <c r="M3917" s="147"/>
      <c r="N3917" s="147"/>
      <c r="O3917" s="147"/>
      <c r="P3917" s="147"/>
      <c r="Q3917" s="147"/>
      <c r="R3917" s="147"/>
      <c r="S3917" s="147"/>
      <c r="T3917" s="147"/>
      <c r="U3917" s="147"/>
      <c r="V3917" s="147"/>
      <c r="W3917" s="147"/>
      <c r="X3917" s="147"/>
      <c r="Y3917" s="147"/>
      <c r="Z3917" s="147"/>
      <c r="AA3917" s="147"/>
      <c r="AB3917" s="147"/>
      <c r="AC3917" s="147"/>
      <c r="AD3917" s="147"/>
      <c r="AE3917" s="147"/>
      <c r="AF3917" s="147"/>
      <c r="AG3917" s="147"/>
      <c r="AH3917" s="147"/>
      <c r="AI3917" s="147"/>
      <c r="AJ3917" s="147"/>
      <c r="AK3917" s="147"/>
      <c r="AL3917" s="147"/>
      <c r="AM3917" s="147"/>
      <c r="AN3917" s="147"/>
      <c r="AO3917" s="147"/>
      <c r="AP3917" s="147"/>
      <c r="AQ3917" s="147"/>
      <c r="AR3917" s="147"/>
      <c r="AS3917" s="147"/>
      <c r="AT3917" s="147"/>
      <c r="AU3917" s="147"/>
      <c r="AV3917" s="147"/>
      <c r="AW3917" s="147"/>
      <c r="AX3917" s="147"/>
      <c r="AY3917" s="147"/>
      <c r="AZ3917" s="147"/>
      <c r="BA3917" s="147"/>
    </row>
    <row r="3918" spans="1:53" ht="15.75" customHeight="1">
      <c r="A3918" s="99"/>
      <c r="B3918" s="99"/>
      <c r="C3918" s="147"/>
      <c r="D3918" s="147"/>
      <c r="E3918" s="147"/>
      <c r="F3918" s="147"/>
      <c r="G3918" s="147"/>
      <c r="H3918" s="147"/>
      <c r="I3918" s="147"/>
      <c r="J3918" s="147"/>
      <c r="K3918" s="147"/>
      <c r="L3918" s="147"/>
      <c r="M3918" s="147"/>
      <c r="N3918" s="147"/>
      <c r="O3918" s="147"/>
      <c r="P3918" s="147"/>
      <c r="Q3918" s="147"/>
      <c r="R3918" s="147"/>
      <c r="S3918" s="147"/>
      <c r="T3918" s="147"/>
      <c r="U3918" s="147"/>
      <c r="V3918" s="147"/>
      <c r="W3918" s="147"/>
      <c r="X3918" s="147"/>
      <c r="Y3918" s="147"/>
      <c r="Z3918" s="147"/>
      <c r="AA3918" s="147"/>
      <c r="AB3918" s="147"/>
      <c r="AC3918" s="147"/>
      <c r="AD3918" s="147"/>
      <c r="AE3918" s="147"/>
      <c r="AF3918" s="147"/>
      <c r="AG3918" s="147"/>
      <c r="AH3918" s="147"/>
      <c r="AI3918" s="147"/>
      <c r="AJ3918" s="147"/>
      <c r="AK3918" s="147"/>
      <c r="AL3918" s="147"/>
      <c r="AM3918" s="147"/>
      <c r="AN3918" s="147"/>
      <c r="AO3918" s="147"/>
      <c r="AP3918" s="147"/>
      <c r="AQ3918" s="147"/>
      <c r="AR3918" s="147"/>
      <c r="AS3918" s="147"/>
      <c r="AT3918" s="147"/>
      <c r="AU3918" s="147"/>
      <c r="AV3918" s="147"/>
      <c r="AW3918" s="147"/>
      <c r="AX3918" s="147"/>
      <c r="AY3918" s="147"/>
      <c r="AZ3918" s="147"/>
      <c r="BA3918" s="147"/>
    </row>
    <row r="3919" spans="1:53" ht="15.75" customHeight="1">
      <c r="A3919" s="99"/>
      <c r="B3919" s="99"/>
      <c r="C3919" s="147"/>
      <c r="D3919" s="147"/>
      <c r="E3919" s="147"/>
      <c r="F3919" s="147"/>
      <c r="G3919" s="147"/>
      <c r="H3919" s="147"/>
      <c r="I3919" s="147"/>
      <c r="J3919" s="147"/>
      <c r="K3919" s="147"/>
      <c r="L3919" s="147"/>
      <c r="M3919" s="147"/>
      <c r="N3919" s="147"/>
      <c r="O3919" s="147"/>
      <c r="P3919" s="147"/>
      <c r="Q3919" s="147"/>
      <c r="R3919" s="147"/>
      <c r="S3919" s="147"/>
      <c r="T3919" s="147"/>
      <c r="U3919" s="147"/>
      <c r="V3919" s="147"/>
      <c r="W3919" s="147"/>
      <c r="X3919" s="147"/>
      <c r="Y3919" s="147"/>
      <c r="Z3919" s="147"/>
      <c r="AA3919" s="147"/>
      <c r="AB3919" s="147"/>
      <c r="AC3919" s="147"/>
      <c r="AD3919" s="147"/>
      <c r="AE3919" s="147"/>
      <c r="AF3919" s="147"/>
      <c r="AG3919" s="147"/>
      <c r="AH3919" s="147"/>
      <c r="AI3919" s="147"/>
      <c r="AJ3919" s="147"/>
      <c r="AK3919" s="147"/>
      <c r="AL3919" s="147"/>
      <c r="AM3919" s="147"/>
      <c r="AN3919" s="147"/>
      <c r="AO3919" s="147"/>
      <c r="AP3919" s="147"/>
      <c r="AQ3919" s="147"/>
      <c r="AR3919" s="147"/>
      <c r="AS3919" s="147"/>
      <c r="AT3919" s="147"/>
      <c r="AU3919" s="147"/>
      <c r="AV3919" s="147"/>
      <c r="AW3919" s="147"/>
      <c r="AX3919" s="147"/>
      <c r="AY3919" s="147"/>
      <c r="AZ3919" s="147"/>
      <c r="BA3919" s="147"/>
    </row>
    <row r="3920" spans="1:53" ht="15.75" customHeight="1">
      <c r="A3920" s="99"/>
      <c r="B3920" s="99"/>
      <c r="C3920" s="147"/>
      <c r="D3920" s="147"/>
      <c r="E3920" s="147"/>
      <c r="F3920" s="147"/>
      <c r="G3920" s="147"/>
      <c r="H3920" s="147"/>
      <c r="I3920" s="147"/>
      <c r="J3920" s="147"/>
      <c r="K3920" s="147"/>
      <c r="L3920" s="147"/>
      <c r="M3920" s="147"/>
      <c r="N3920" s="147"/>
      <c r="O3920" s="147"/>
      <c r="P3920" s="147"/>
      <c r="Q3920" s="147"/>
      <c r="R3920" s="147"/>
      <c r="S3920" s="147"/>
      <c r="T3920" s="147"/>
      <c r="U3920" s="147"/>
      <c r="V3920" s="147"/>
      <c r="W3920" s="147"/>
      <c r="X3920" s="147"/>
      <c r="Y3920" s="147"/>
      <c r="Z3920" s="147"/>
      <c r="AA3920" s="147"/>
      <c r="AB3920" s="147"/>
      <c r="AC3920" s="147"/>
      <c r="AD3920" s="147"/>
      <c r="AE3920" s="147"/>
      <c r="AF3920" s="147"/>
      <c r="AG3920" s="147"/>
      <c r="AH3920" s="147"/>
      <c r="AI3920" s="147"/>
      <c r="AJ3920" s="147"/>
      <c r="AK3920" s="147"/>
      <c r="AL3920" s="147"/>
      <c r="AM3920" s="147"/>
      <c r="AN3920" s="147"/>
      <c r="AO3920" s="147"/>
      <c r="AP3920" s="147"/>
      <c r="AQ3920" s="147"/>
      <c r="AR3920" s="147"/>
      <c r="AS3920" s="147"/>
      <c r="AT3920" s="147"/>
      <c r="AU3920" s="147"/>
      <c r="AV3920" s="147"/>
      <c r="AW3920" s="147"/>
      <c r="AX3920" s="147"/>
      <c r="AY3920" s="147"/>
      <c r="AZ3920" s="147"/>
      <c r="BA3920" s="147"/>
    </row>
    <row r="3921" spans="1:53" ht="15.75" customHeight="1">
      <c r="A3921" s="99"/>
      <c r="B3921" s="99"/>
      <c r="C3921" s="147"/>
      <c r="D3921" s="147"/>
      <c r="E3921" s="147"/>
      <c r="F3921" s="147"/>
      <c r="G3921" s="147"/>
      <c r="H3921" s="147"/>
      <c r="I3921" s="147"/>
      <c r="J3921" s="147"/>
      <c r="K3921" s="147"/>
      <c r="L3921" s="147"/>
      <c r="M3921" s="147"/>
      <c r="N3921" s="147"/>
      <c r="O3921" s="147"/>
      <c r="P3921" s="147"/>
      <c r="Q3921" s="147"/>
      <c r="R3921" s="147"/>
      <c r="S3921" s="147"/>
      <c r="T3921" s="147"/>
      <c r="U3921" s="147"/>
      <c r="V3921" s="147"/>
      <c r="W3921" s="147"/>
      <c r="X3921" s="147"/>
      <c r="Y3921" s="147"/>
      <c r="Z3921" s="147"/>
      <c r="AA3921" s="147"/>
      <c r="AB3921" s="147"/>
      <c r="AC3921" s="147"/>
      <c r="AD3921" s="147"/>
      <c r="AE3921" s="147"/>
      <c r="AF3921" s="147"/>
      <c r="AG3921" s="147"/>
      <c r="AH3921" s="147"/>
      <c r="AI3921" s="147"/>
      <c r="AJ3921" s="147"/>
      <c r="AK3921" s="147"/>
      <c r="AL3921" s="147"/>
      <c r="AM3921" s="147"/>
      <c r="AN3921" s="147"/>
      <c r="AO3921" s="147"/>
      <c r="AP3921" s="147"/>
      <c r="AQ3921" s="147"/>
      <c r="AR3921" s="147"/>
      <c r="AS3921" s="147"/>
      <c r="AT3921" s="147"/>
      <c r="AU3921" s="147"/>
      <c r="AV3921" s="147"/>
      <c r="AW3921" s="147"/>
      <c r="AX3921" s="147"/>
      <c r="AY3921" s="147"/>
      <c r="AZ3921" s="147"/>
      <c r="BA3921" s="147"/>
    </row>
    <row r="3922" spans="1:53" ht="15.75" customHeight="1">
      <c r="A3922" s="99"/>
      <c r="B3922" s="99"/>
      <c r="C3922" s="147"/>
      <c r="D3922" s="147"/>
      <c r="E3922" s="147"/>
      <c r="F3922" s="147"/>
      <c r="G3922" s="147"/>
      <c r="H3922" s="147"/>
      <c r="I3922" s="147"/>
      <c r="J3922" s="147"/>
      <c r="K3922" s="147"/>
      <c r="L3922" s="147"/>
      <c r="M3922" s="147"/>
      <c r="N3922" s="147"/>
      <c r="O3922" s="147"/>
      <c r="P3922" s="147"/>
      <c r="Q3922" s="147"/>
      <c r="R3922" s="147"/>
      <c r="S3922" s="147"/>
      <c r="T3922" s="147"/>
      <c r="U3922" s="147"/>
      <c r="V3922" s="147"/>
      <c r="W3922" s="147"/>
      <c r="X3922" s="147"/>
      <c r="Y3922" s="147"/>
      <c r="Z3922" s="147"/>
      <c r="AA3922" s="147"/>
      <c r="AB3922" s="147"/>
      <c r="AC3922" s="147"/>
      <c r="AD3922" s="147"/>
      <c r="AE3922" s="147"/>
      <c r="AF3922" s="147"/>
      <c r="AG3922" s="147"/>
      <c r="AH3922" s="147"/>
      <c r="AI3922" s="147"/>
      <c r="AJ3922" s="147"/>
      <c r="AK3922" s="147"/>
      <c r="AL3922" s="147"/>
      <c r="AM3922" s="147"/>
      <c r="AN3922" s="147"/>
      <c r="AO3922" s="147"/>
      <c r="AP3922" s="147"/>
      <c r="AQ3922" s="147"/>
      <c r="AR3922" s="147"/>
      <c r="AS3922" s="147"/>
      <c r="AT3922" s="147"/>
      <c r="AU3922" s="147"/>
      <c r="AV3922" s="147"/>
      <c r="AW3922" s="147"/>
      <c r="AX3922" s="147"/>
      <c r="AY3922" s="147"/>
      <c r="AZ3922" s="147"/>
      <c r="BA3922" s="147"/>
    </row>
    <row r="3923" spans="1:53" ht="15.75" customHeight="1">
      <c r="A3923" s="99"/>
      <c r="B3923" s="99"/>
      <c r="C3923" s="147"/>
      <c r="D3923" s="147"/>
      <c r="E3923" s="147"/>
      <c r="F3923" s="147"/>
      <c r="G3923" s="147"/>
      <c r="H3923" s="147"/>
      <c r="I3923" s="147"/>
      <c r="J3923" s="147"/>
      <c r="K3923" s="147"/>
      <c r="L3923" s="147"/>
      <c r="M3923" s="147"/>
      <c r="N3923" s="147"/>
      <c r="O3923" s="147"/>
      <c r="P3923" s="147"/>
      <c r="Q3923" s="147"/>
      <c r="R3923" s="147"/>
      <c r="S3923" s="147"/>
      <c r="T3923" s="147"/>
      <c r="U3923" s="147"/>
      <c r="V3923" s="147"/>
      <c r="W3923" s="147"/>
      <c r="X3923" s="147"/>
      <c r="Y3923" s="147"/>
      <c r="Z3923" s="147"/>
      <c r="AA3923" s="147"/>
      <c r="AB3923" s="147"/>
      <c r="AC3923" s="147"/>
      <c r="AD3923" s="147"/>
      <c r="AE3923" s="147"/>
      <c r="AF3923" s="147"/>
      <c r="AG3923" s="147"/>
      <c r="AH3923" s="147"/>
      <c r="AI3923" s="147"/>
      <c r="AJ3923" s="147"/>
      <c r="AK3923" s="147"/>
      <c r="AL3923" s="147"/>
      <c r="AM3923" s="147"/>
      <c r="AN3923" s="147"/>
      <c r="AO3923" s="147"/>
      <c r="AP3923" s="147"/>
      <c r="AQ3923" s="147"/>
      <c r="AR3923" s="147"/>
      <c r="AS3923" s="147"/>
      <c r="AT3923" s="147"/>
      <c r="AU3923" s="147"/>
      <c r="AV3923" s="147"/>
      <c r="AW3923" s="147"/>
      <c r="AX3923" s="147"/>
      <c r="AY3923" s="147"/>
      <c r="AZ3923" s="147"/>
      <c r="BA3923" s="147"/>
    </row>
    <row r="3924" spans="1:53" ht="15.75" customHeight="1">
      <c r="A3924" s="99"/>
      <c r="B3924" s="99"/>
      <c r="C3924" s="147"/>
      <c r="D3924" s="147"/>
      <c r="E3924" s="147"/>
      <c r="F3924" s="147"/>
      <c r="G3924" s="147"/>
      <c r="H3924" s="147"/>
      <c r="I3924" s="147"/>
      <c r="J3924" s="147"/>
      <c r="K3924" s="147"/>
      <c r="L3924" s="147"/>
      <c r="M3924" s="147"/>
      <c r="N3924" s="147"/>
      <c r="O3924" s="147"/>
      <c r="P3924" s="147"/>
      <c r="Q3924" s="147"/>
      <c r="R3924" s="147"/>
      <c r="S3924" s="147"/>
      <c r="T3924" s="147"/>
      <c r="U3924" s="147"/>
      <c r="V3924" s="147"/>
      <c r="W3924" s="147"/>
      <c r="X3924" s="147"/>
      <c r="Y3924" s="147"/>
      <c r="Z3924" s="147"/>
      <c r="AA3924" s="147"/>
      <c r="AB3924" s="147"/>
      <c r="AC3924" s="147"/>
      <c r="AD3924" s="147"/>
      <c r="AE3924" s="147"/>
      <c r="AF3924" s="147"/>
      <c r="AG3924" s="147"/>
      <c r="AH3924" s="147"/>
      <c r="AI3924" s="147"/>
      <c r="AJ3924" s="147"/>
      <c r="AK3924" s="147"/>
      <c r="AL3924" s="147"/>
      <c r="AM3924" s="147"/>
      <c r="AN3924" s="147"/>
      <c r="AO3924" s="147"/>
      <c r="AP3924" s="147"/>
      <c r="AQ3924" s="147"/>
      <c r="AR3924" s="147"/>
      <c r="AS3924" s="147"/>
      <c r="AT3924" s="147"/>
      <c r="AU3924" s="147"/>
      <c r="AV3924" s="147"/>
      <c r="AW3924" s="147"/>
      <c r="AX3924" s="147"/>
      <c r="AY3924" s="147"/>
      <c r="AZ3924" s="147"/>
      <c r="BA3924" s="147"/>
    </row>
    <row r="3925" spans="1:53" ht="15.75" customHeight="1">
      <c r="A3925" s="99"/>
      <c r="B3925" s="99"/>
      <c r="C3925" s="147"/>
      <c r="D3925" s="147"/>
      <c r="E3925" s="147"/>
      <c r="F3925" s="147"/>
      <c r="G3925" s="147"/>
      <c r="H3925" s="147"/>
      <c r="I3925" s="147"/>
      <c r="J3925" s="147"/>
      <c r="K3925" s="147"/>
      <c r="L3925" s="147"/>
      <c r="M3925" s="147"/>
      <c r="N3925" s="147"/>
      <c r="O3925" s="147"/>
      <c r="P3925" s="147"/>
      <c r="Q3925" s="147"/>
      <c r="R3925" s="147"/>
      <c r="S3925" s="147"/>
      <c r="T3925" s="147"/>
      <c r="U3925" s="147"/>
      <c r="V3925" s="147"/>
      <c r="W3925" s="147"/>
      <c r="X3925" s="147"/>
      <c r="Y3925" s="147"/>
      <c r="Z3925" s="147"/>
      <c r="AA3925" s="147"/>
      <c r="AB3925" s="147"/>
      <c r="AC3925" s="147"/>
      <c r="AD3925" s="147"/>
      <c r="AE3925" s="147"/>
      <c r="AF3925" s="147"/>
      <c r="AG3925" s="147"/>
      <c r="AH3925" s="147"/>
      <c r="AI3925" s="147"/>
      <c r="AJ3925" s="147"/>
      <c r="AK3925" s="147"/>
      <c r="AL3925" s="147"/>
      <c r="AM3925" s="147"/>
      <c r="AN3925" s="147"/>
      <c r="AO3925" s="147"/>
      <c r="AP3925" s="147"/>
      <c r="AQ3925" s="147"/>
      <c r="AR3925" s="147"/>
      <c r="AS3925" s="147"/>
      <c r="AT3925" s="147"/>
      <c r="AU3925" s="147"/>
      <c r="AV3925" s="147"/>
      <c r="AW3925" s="147"/>
      <c r="AX3925" s="147"/>
      <c r="AY3925" s="147"/>
      <c r="AZ3925" s="147"/>
      <c r="BA3925" s="147"/>
    </row>
    <row r="3926" spans="1:53" ht="15.75" customHeight="1">
      <c r="A3926" s="99"/>
      <c r="B3926" s="99"/>
      <c r="C3926" s="147"/>
      <c r="D3926" s="147"/>
      <c r="E3926" s="147"/>
      <c r="F3926" s="147"/>
      <c r="G3926" s="147"/>
      <c r="H3926" s="147"/>
      <c r="I3926" s="147"/>
      <c r="J3926" s="147"/>
      <c r="K3926" s="147"/>
      <c r="L3926" s="147"/>
      <c r="M3926" s="147"/>
      <c r="N3926" s="147"/>
      <c r="O3926" s="147"/>
      <c r="P3926" s="147"/>
      <c r="Q3926" s="147"/>
      <c r="R3926" s="147"/>
      <c r="S3926" s="147"/>
      <c r="T3926" s="147"/>
      <c r="U3926" s="147"/>
      <c r="V3926" s="147"/>
      <c r="W3926" s="147"/>
      <c r="X3926" s="147"/>
      <c r="Y3926" s="147"/>
      <c r="Z3926" s="147"/>
      <c r="AA3926" s="147"/>
      <c r="AB3926" s="147"/>
      <c r="AC3926" s="147"/>
      <c r="AD3926" s="147"/>
      <c r="AE3926" s="147"/>
      <c r="AF3926" s="147"/>
      <c r="AG3926" s="147"/>
      <c r="AH3926" s="147"/>
      <c r="AI3926" s="147"/>
      <c r="AJ3926" s="147"/>
      <c r="AK3926" s="147"/>
      <c r="AL3926" s="147"/>
      <c r="AM3926" s="147"/>
      <c r="AN3926" s="147"/>
      <c r="AO3926" s="147"/>
      <c r="AP3926" s="147"/>
      <c r="AQ3926" s="147"/>
      <c r="AR3926" s="147"/>
      <c r="AS3926" s="147"/>
      <c r="AT3926" s="147"/>
      <c r="AU3926" s="147"/>
      <c r="AV3926" s="147"/>
      <c r="AW3926" s="147"/>
      <c r="AX3926" s="147"/>
      <c r="AY3926" s="147"/>
      <c r="AZ3926" s="147"/>
      <c r="BA3926" s="147"/>
    </row>
    <row r="3927" spans="1:53" ht="15.75" customHeight="1">
      <c r="A3927" s="99"/>
      <c r="B3927" s="99"/>
      <c r="C3927" s="147"/>
      <c r="D3927" s="147"/>
      <c r="E3927" s="147"/>
      <c r="F3927" s="147"/>
      <c r="G3927" s="147"/>
      <c r="H3927" s="147"/>
      <c r="I3927" s="147"/>
      <c r="J3927" s="147"/>
      <c r="K3927" s="147"/>
      <c r="L3927" s="147"/>
      <c r="M3927" s="147"/>
      <c r="N3927" s="147"/>
      <c r="O3927" s="147"/>
      <c r="P3927" s="147"/>
      <c r="Q3927" s="147"/>
      <c r="R3927" s="147"/>
      <c r="S3927" s="147"/>
      <c r="T3927" s="147"/>
      <c r="U3927" s="147"/>
      <c r="V3927" s="147"/>
      <c r="W3927" s="147"/>
      <c r="X3927" s="147"/>
      <c r="Y3927" s="147"/>
      <c r="Z3927" s="147"/>
      <c r="AA3927" s="147"/>
      <c r="AB3927" s="147"/>
      <c r="AC3927" s="147"/>
      <c r="AD3927" s="147"/>
      <c r="AE3927" s="147"/>
      <c r="AF3927" s="147"/>
      <c r="AG3927" s="147"/>
      <c r="AH3927" s="147"/>
      <c r="AI3927" s="147"/>
      <c r="AJ3927" s="147"/>
      <c r="AK3927" s="147"/>
      <c r="AL3927" s="147"/>
      <c r="AM3927" s="147"/>
      <c r="AN3927" s="147"/>
      <c r="AO3927" s="147"/>
      <c r="AP3927" s="147"/>
      <c r="AQ3927" s="147"/>
      <c r="AR3927" s="147"/>
      <c r="AS3927" s="147"/>
      <c r="AT3927" s="147"/>
      <c r="AU3927" s="147"/>
      <c r="AV3927" s="147"/>
      <c r="AW3927" s="147"/>
      <c r="AX3927" s="147"/>
      <c r="AY3927" s="147"/>
      <c r="AZ3927" s="147"/>
      <c r="BA3927" s="147"/>
    </row>
    <row r="3928" spans="1:53" ht="15.75" customHeight="1">
      <c r="A3928" s="99"/>
      <c r="B3928" s="99"/>
      <c r="C3928" s="147"/>
      <c r="D3928" s="147"/>
      <c r="E3928" s="147"/>
      <c r="F3928" s="147"/>
      <c r="G3928" s="147"/>
      <c r="H3928" s="147"/>
      <c r="I3928" s="147"/>
      <c r="J3928" s="147"/>
      <c r="K3928" s="147"/>
      <c r="L3928" s="147"/>
      <c r="M3928" s="147"/>
      <c r="N3928" s="147"/>
      <c r="O3928" s="147"/>
      <c r="P3928" s="147"/>
      <c r="Q3928" s="147"/>
      <c r="R3928" s="147"/>
      <c r="S3928" s="147"/>
      <c r="T3928" s="147"/>
      <c r="U3928" s="147"/>
      <c r="V3928" s="147"/>
      <c r="W3928" s="147"/>
      <c r="X3928" s="147"/>
      <c r="Y3928" s="147"/>
      <c r="Z3928" s="147"/>
      <c r="AA3928" s="147"/>
      <c r="AB3928" s="147"/>
      <c r="AC3928" s="147"/>
      <c r="AD3928" s="147"/>
      <c r="AE3928" s="147"/>
      <c r="AF3928" s="147"/>
      <c r="AG3928" s="147"/>
      <c r="AH3928" s="147"/>
      <c r="AI3928" s="147"/>
      <c r="AJ3928" s="147"/>
      <c r="AK3928" s="147"/>
      <c r="AL3928" s="147"/>
      <c r="AM3928" s="147"/>
      <c r="AN3928" s="147"/>
      <c r="AO3928" s="147"/>
      <c r="AP3928" s="147"/>
      <c r="AQ3928" s="147"/>
      <c r="AR3928" s="147"/>
      <c r="AS3928" s="147"/>
      <c r="AT3928" s="147"/>
      <c r="AU3928" s="147"/>
      <c r="AV3928" s="147"/>
      <c r="AW3928" s="147"/>
      <c r="AX3928" s="147"/>
      <c r="AY3928" s="147"/>
      <c r="AZ3928" s="147"/>
      <c r="BA3928" s="147"/>
    </row>
    <row r="3929" spans="1:53" ht="15.75" customHeight="1">
      <c r="A3929" s="99"/>
      <c r="B3929" s="99"/>
      <c r="C3929" s="147"/>
      <c r="D3929" s="147"/>
      <c r="E3929" s="147"/>
      <c r="F3929" s="147"/>
      <c r="G3929" s="147"/>
      <c r="H3929" s="147"/>
      <c r="I3929" s="147"/>
      <c r="J3929" s="147"/>
      <c r="K3929" s="147"/>
      <c r="L3929" s="147"/>
      <c r="M3929" s="147"/>
      <c r="N3929" s="147"/>
      <c r="O3929" s="147"/>
      <c r="P3929" s="147"/>
      <c r="Q3929" s="147"/>
      <c r="R3929" s="147"/>
      <c r="S3929" s="147"/>
      <c r="T3929" s="147"/>
      <c r="U3929" s="147"/>
      <c r="V3929" s="147"/>
      <c r="W3929" s="147"/>
      <c r="X3929" s="147"/>
      <c r="Y3929" s="147"/>
      <c r="Z3929" s="147"/>
      <c r="AA3929" s="147"/>
      <c r="AB3929" s="147"/>
      <c r="AC3929" s="147"/>
      <c r="AD3929" s="147"/>
      <c r="AE3929" s="147"/>
      <c r="AF3929" s="147"/>
      <c r="AG3929" s="147"/>
      <c r="AH3929" s="147"/>
      <c r="AI3929" s="147"/>
      <c r="AJ3929" s="147"/>
      <c r="AK3929" s="147"/>
      <c r="AL3929" s="147"/>
      <c r="AM3929" s="147"/>
      <c r="AN3929" s="147"/>
      <c r="AO3929" s="147"/>
      <c r="AP3929" s="147"/>
      <c r="AQ3929" s="147"/>
      <c r="AR3929" s="147"/>
      <c r="AS3929" s="147"/>
      <c r="AT3929" s="147"/>
      <c r="AU3929" s="147"/>
      <c r="AV3929" s="147"/>
      <c r="AW3929" s="147"/>
      <c r="AX3929" s="147"/>
      <c r="AY3929" s="147"/>
      <c r="AZ3929" s="147"/>
      <c r="BA3929" s="147"/>
    </row>
    <row r="3930" spans="1:53" ht="15.75" customHeight="1">
      <c r="A3930" s="99"/>
      <c r="B3930" s="99"/>
      <c r="C3930" s="147"/>
      <c r="D3930" s="147"/>
      <c r="E3930" s="147"/>
      <c r="F3930" s="147"/>
      <c r="G3930" s="147"/>
      <c r="H3930" s="147"/>
      <c r="I3930" s="147"/>
      <c r="J3930" s="147"/>
      <c r="K3930" s="147"/>
      <c r="L3930" s="147"/>
      <c r="M3930" s="147"/>
      <c r="N3930" s="147"/>
      <c r="O3930" s="147"/>
      <c r="P3930" s="147"/>
      <c r="Q3930" s="147"/>
      <c r="R3930" s="147"/>
      <c r="S3930" s="147"/>
      <c r="T3930" s="147"/>
      <c r="U3930" s="147"/>
      <c r="V3930" s="147"/>
      <c r="W3930" s="147"/>
      <c r="X3930" s="147"/>
      <c r="Y3930" s="147"/>
      <c r="Z3930" s="147"/>
      <c r="AA3930" s="147"/>
      <c r="AB3930" s="147"/>
      <c r="AC3930" s="147"/>
      <c r="AD3930" s="147"/>
      <c r="AE3930" s="147"/>
      <c r="AF3930" s="147"/>
      <c r="AG3930" s="147"/>
      <c r="AH3930" s="147"/>
      <c r="AI3930" s="147"/>
      <c r="AJ3930" s="147"/>
      <c r="AK3930" s="147"/>
      <c r="AL3930" s="147"/>
      <c r="AM3930" s="147"/>
      <c r="AN3930" s="147"/>
      <c r="AO3930" s="147"/>
      <c r="AP3930" s="147"/>
      <c r="AQ3930" s="147"/>
      <c r="AR3930" s="147"/>
      <c r="AS3930" s="147"/>
      <c r="AT3930" s="147"/>
      <c r="AU3930" s="147"/>
      <c r="AV3930" s="147"/>
      <c r="AW3930" s="147"/>
      <c r="AX3930" s="147"/>
      <c r="AY3930" s="147"/>
      <c r="AZ3930" s="147"/>
      <c r="BA3930" s="147"/>
    </row>
    <row r="3931" spans="1:53" ht="15.75" customHeight="1">
      <c r="A3931" s="99"/>
      <c r="B3931" s="99"/>
      <c r="C3931" s="147"/>
      <c r="D3931" s="147"/>
      <c r="E3931" s="147"/>
      <c r="F3931" s="147"/>
      <c r="G3931" s="147"/>
      <c r="H3931" s="147"/>
      <c r="I3931" s="147"/>
      <c r="J3931" s="147"/>
      <c r="K3931" s="147"/>
      <c r="L3931" s="147"/>
      <c r="M3931" s="147"/>
      <c r="N3931" s="147"/>
      <c r="O3931" s="147"/>
      <c r="P3931" s="147"/>
      <c r="Q3931" s="147"/>
      <c r="R3931" s="147"/>
      <c r="S3931" s="147"/>
      <c r="T3931" s="147"/>
      <c r="U3931" s="147"/>
      <c r="V3931" s="147"/>
      <c r="W3931" s="147"/>
      <c r="X3931" s="147"/>
      <c r="Y3931" s="147"/>
      <c r="Z3931" s="147"/>
      <c r="AA3931" s="147"/>
      <c r="AB3931" s="147"/>
      <c r="AC3931" s="147"/>
      <c r="AD3931" s="147"/>
      <c r="AE3931" s="147"/>
      <c r="AF3931" s="147"/>
      <c r="AG3931" s="147"/>
      <c r="AH3931" s="147"/>
      <c r="AI3931" s="147"/>
      <c r="AJ3931" s="147"/>
      <c r="AK3931" s="147"/>
      <c r="AL3931" s="147"/>
      <c r="AM3931" s="147"/>
      <c r="AN3931" s="147"/>
      <c r="AO3931" s="147"/>
      <c r="AP3931" s="147"/>
      <c r="AQ3931" s="147"/>
      <c r="AR3931" s="147"/>
      <c r="AS3931" s="147"/>
      <c r="AT3931" s="147"/>
      <c r="AU3931" s="147"/>
      <c r="AV3931" s="147"/>
      <c r="AW3931" s="147"/>
      <c r="AX3931" s="147"/>
      <c r="AY3931" s="147"/>
      <c r="AZ3931" s="147"/>
      <c r="BA3931" s="147"/>
    </row>
    <row r="3932" spans="1:53" ht="15.75" customHeight="1">
      <c r="A3932" s="99"/>
      <c r="B3932" s="99"/>
      <c r="C3932" s="147"/>
      <c r="D3932" s="147"/>
      <c r="E3932" s="147"/>
      <c r="F3932" s="147"/>
      <c r="G3932" s="147"/>
      <c r="H3932" s="147"/>
      <c r="I3932" s="147"/>
      <c r="J3932" s="147"/>
      <c r="K3932" s="147"/>
      <c r="L3932" s="147"/>
      <c r="M3932" s="147"/>
      <c r="N3932" s="147"/>
      <c r="O3932" s="147"/>
      <c r="P3932" s="147"/>
      <c r="Q3932" s="147"/>
      <c r="R3932" s="147"/>
      <c r="S3932" s="147"/>
      <c r="T3932" s="147"/>
      <c r="U3932" s="147"/>
      <c r="V3932" s="147"/>
      <c r="W3932" s="147"/>
      <c r="X3932" s="147"/>
      <c r="Y3932" s="147"/>
      <c r="Z3932" s="147"/>
      <c r="AA3932" s="147"/>
      <c r="AB3932" s="147"/>
      <c r="AC3932" s="147"/>
      <c r="AD3932" s="147"/>
      <c r="AE3932" s="147"/>
      <c r="AF3932" s="147"/>
      <c r="AG3932" s="147"/>
      <c r="AH3932" s="147"/>
      <c r="AI3932" s="147"/>
      <c r="AJ3932" s="147"/>
      <c r="AK3932" s="147"/>
      <c r="AL3932" s="147"/>
      <c r="AM3932" s="147"/>
      <c r="AN3932" s="147"/>
      <c r="AO3932" s="147"/>
      <c r="AP3932" s="147"/>
      <c r="AQ3932" s="147"/>
      <c r="AR3932" s="147"/>
      <c r="AS3932" s="147"/>
      <c r="AT3932" s="147"/>
      <c r="AU3932" s="147"/>
      <c r="AV3932" s="147"/>
      <c r="AW3932" s="147"/>
      <c r="AX3932" s="147"/>
      <c r="AY3932" s="147"/>
      <c r="AZ3932" s="147"/>
      <c r="BA3932" s="147"/>
    </row>
    <row r="3933" spans="1:53" ht="15.75" customHeight="1">
      <c r="A3933" s="99"/>
      <c r="B3933" s="99"/>
      <c r="C3933" s="147"/>
      <c r="D3933" s="147"/>
      <c r="E3933" s="147"/>
      <c r="F3933" s="147"/>
      <c r="G3933" s="147"/>
      <c r="H3933" s="147"/>
      <c r="I3933" s="147"/>
      <c r="J3933" s="147"/>
      <c r="K3933" s="147"/>
      <c r="L3933" s="147"/>
      <c r="M3933" s="147"/>
      <c r="N3933" s="147"/>
      <c r="O3933" s="147"/>
      <c r="P3933" s="147"/>
      <c r="Q3933" s="147"/>
      <c r="R3933" s="147"/>
      <c r="S3933" s="147"/>
      <c r="T3933" s="147"/>
      <c r="U3933" s="147"/>
      <c r="V3933" s="147"/>
      <c r="W3933" s="147"/>
      <c r="X3933" s="147"/>
      <c r="Y3933" s="147"/>
      <c r="Z3933" s="147"/>
      <c r="AA3933" s="147"/>
      <c r="AB3933" s="147"/>
      <c r="AC3933" s="147"/>
      <c r="AD3933" s="147"/>
      <c r="AE3933" s="147"/>
      <c r="AF3933" s="147"/>
      <c r="AG3933" s="147"/>
      <c r="AH3933" s="147"/>
      <c r="AI3933" s="147"/>
      <c r="AJ3933" s="147"/>
      <c r="AK3933" s="147"/>
      <c r="AL3933" s="147"/>
      <c r="AM3933" s="147"/>
      <c r="AN3933" s="147"/>
      <c r="AO3933" s="147"/>
      <c r="AP3933" s="147"/>
      <c r="AQ3933" s="147"/>
      <c r="AR3933" s="147"/>
      <c r="AS3933" s="147"/>
      <c r="AT3933" s="147"/>
      <c r="AU3933" s="147"/>
      <c r="AV3933" s="147"/>
      <c r="AW3933" s="147"/>
      <c r="AX3933" s="147"/>
      <c r="AY3933" s="147"/>
      <c r="AZ3933" s="147"/>
      <c r="BA3933" s="147"/>
    </row>
    <row r="3934" spans="1:53" ht="15.75" customHeight="1">
      <c r="A3934" s="99"/>
      <c r="B3934" s="99"/>
      <c r="C3934" s="147"/>
      <c r="D3934" s="147"/>
      <c r="E3934" s="147"/>
      <c r="F3934" s="147"/>
      <c r="G3934" s="147"/>
      <c r="H3934" s="147"/>
      <c r="I3934" s="147"/>
      <c r="J3934" s="147"/>
      <c r="K3934" s="147"/>
      <c r="L3934" s="147"/>
      <c r="M3934" s="147"/>
      <c r="N3934" s="147"/>
      <c r="O3934" s="147"/>
      <c r="P3934" s="147"/>
      <c r="Q3934" s="147"/>
      <c r="R3934" s="147"/>
      <c r="S3934" s="147"/>
      <c r="T3934" s="147"/>
      <c r="U3934" s="147"/>
      <c r="V3934" s="147"/>
      <c r="W3934" s="147"/>
      <c r="X3934" s="147"/>
      <c r="Y3934" s="147"/>
      <c r="Z3934" s="147"/>
      <c r="AA3934" s="147"/>
      <c r="AB3934" s="147"/>
      <c r="AC3934" s="147"/>
      <c r="AD3934" s="147"/>
      <c r="AE3934" s="147"/>
      <c r="AF3934" s="147"/>
      <c r="AG3934" s="147"/>
      <c r="AH3934" s="147"/>
      <c r="AI3934" s="147"/>
      <c r="AJ3934" s="147"/>
      <c r="AK3934" s="147"/>
      <c r="AL3934" s="147"/>
      <c r="AM3934" s="147"/>
      <c r="AN3934" s="147"/>
      <c r="AO3934" s="147"/>
      <c r="AP3934" s="147"/>
      <c r="AQ3934" s="147"/>
      <c r="AR3934" s="147"/>
      <c r="AS3934" s="147"/>
      <c r="AT3934" s="147"/>
      <c r="AU3934" s="147"/>
      <c r="AV3934" s="147"/>
      <c r="AW3934" s="147"/>
      <c r="AX3934" s="147"/>
      <c r="AY3934" s="147"/>
      <c r="AZ3934" s="147"/>
      <c r="BA3934" s="147"/>
    </row>
    <row r="3935" spans="1:53" ht="15.75" customHeight="1">
      <c r="A3935" s="99"/>
      <c r="B3935" s="99"/>
      <c r="C3935" s="147"/>
      <c r="D3935" s="147"/>
      <c r="E3935" s="147"/>
      <c r="F3935" s="147"/>
      <c r="G3935" s="147"/>
      <c r="H3935" s="147"/>
      <c r="I3935" s="147"/>
      <c r="J3935" s="147"/>
      <c r="K3935" s="147"/>
      <c r="L3935" s="147"/>
      <c r="M3935" s="147"/>
      <c r="N3935" s="147"/>
      <c r="O3935" s="147"/>
      <c r="P3935" s="147"/>
      <c r="Q3935" s="147"/>
      <c r="R3935" s="147"/>
      <c r="S3935" s="147"/>
      <c r="T3935" s="147"/>
      <c r="U3935" s="147"/>
      <c r="V3935" s="147"/>
      <c r="W3935" s="147"/>
      <c r="X3935" s="147"/>
      <c r="Y3935" s="147"/>
      <c r="Z3935" s="147"/>
      <c r="AA3935" s="147"/>
      <c r="AB3935" s="147"/>
      <c r="AC3935" s="147"/>
      <c r="AD3935" s="147"/>
      <c r="AE3935" s="147"/>
      <c r="AF3935" s="147"/>
      <c r="AG3935" s="147"/>
      <c r="AH3935" s="147"/>
      <c r="AI3935" s="147"/>
      <c r="AJ3935" s="147"/>
      <c r="AK3935" s="147"/>
      <c r="AL3935" s="147"/>
      <c r="AM3935" s="147"/>
      <c r="AN3935" s="147"/>
      <c r="AO3935" s="147"/>
      <c r="AP3935" s="147"/>
      <c r="AQ3935" s="147"/>
      <c r="AR3935" s="147"/>
      <c r="AS3935" s="147"/>
      <c r="AT3935" s="147"/>
      <c r="AU3935" s="147"/>
      <c r="AV3935" s="147"/>
      <c r="AW3935" s="147"/>
      <c r="AX3935" s="147"/>
      <c r="AY3935" s="147"/>
      <c r="AZ3935" s="147"/>
      <c r="BA3935" s="147"/>
    </row>
    <row r="3936" spans="1:53" ht="15.75" customHeight="1">
      <c r="A3936" s="99"/>
      <c r="B3936" s="99"/>
      <c r="C3936" s="147"/>
      <c r="D3936" s="147"/>
      <c r="E3936" s="147"/>
      <c r="F3936" s="147"/>
      <c r="G3936" s="147"/>
      <c r="H3936" s="147"/>
      <c r="I3936" s="147"/>
      <c r="J3936" s="147"/>
      <c r="K3936" s="147"/>
      <c r="L3936" s="147"/>
      <c r="M3936" s="147"/>
      <c r="N3936" s="147"/>
      <c r="O3936" s="147"/>
      <c r="P3936" s="147"/>
      <c r="Q3936" s="147"/>
      <c r="R3936" s="147"/>
      <c r="S3936" s="147"/>
      <c r="T3936" s="147"/>
      <c r="U3936" s="147"/>
      <c r="V3936" s="147"/>
      <c r="W3936" s="147"/>
      <c r="X3936" s="147"/>
      <c r="Y3936" s="147"/>
      <c r="Z3936" s="147"/>
      <c r="AA3936" s="147"/>
      <c r="AB3936" s="147"/>
      <c r="AC3936" s="147"/>
      <c r="AD3936" s="147"/>
      <c r="AE3936" s="147"/>
      <c r="AF3936" s="147"/>
      <c r="AG3936" s="147"/>
      <c r="AH3936" s="147"/>
      <c r="AI3936" s="147"/>
      <c r="AJ3936" s="147"/>
      <c r="AK3936" s="147"/>
      <c r="AL3936" s="147"/>
      <c r="AM3936" s="147"/>
      <c r="AN3936" s="147"/>
      <c r="AO3936" s="147"/>
      <c r="AP3936" s="147"/>
      <c r="AQ3936" s="147"/>
      <c r="AR3936" s="147"/>
      <c r="AS3936" s="147"/>
      <c r="AT3936" s="147"/>
      <c r="AU3936" s="147"/>
      <c r="AV3936" s="147"/>
      <c r="AW3936" s="147"/>
      <c r="AX3936" s="147"/>
      <c r="AY3936" s="147"/>
      <c r="AZ3936" s="147"/>
      <c r="BA3936" s="147"/>
    </row>
    <row r="3937" spans="1:53" ht="15.75" customHeight="1">
      <c r="A3937" s="99"/>
      <c r="B3937" s="99"/>
      <c r="C3937" s="147"/>
      <c r="D3937" s="147"/>
      <c r="E3937" s="147"/>
      <c r="F3937" s="147"/>
      <c r="G3937" s="147"/>
      <c r="H3937" s="147"/>
      <c r="I3937" s="147"/>
      <c r="J3937" s="147"/>
      <c r="K3937" s="147"/>
      <c r="L3937" s="147"/>
      <c r="M3937" s="147"/>
      <c r="N3937" s="147"/>
      <c r="O3937" s="147"/>
      <c r="P3937" s="147"/>
      <c r="Q3937" s="147"/>
      <c r="R3937" s="147"/>
      <c r="S3937" s="147"/>
      <c r="T3937" s="147"/>
      <c r="U3937" s="147"/>
      <c r="V3937" s="147"/>
      <c r="W3937" s="147"/>
      <c r="X3937" s="147"/>
      <c r="Y3937" s="147"/>
      <c r="Z3937" s="147"/>
      <c r="AA3937" s="147"/>
      <c r="AB3937" s="147"/>
      <c r="AC3937" s="147"/>
      <c r="AD3937" s="147"/>
      <c r="AE3937" s="147"/>
      <c r="AF3937" s="147"/>
      <c r="AG3937" s="147"/>
      <c r="AH3937" s="147"/>
      <c r="AI3937" s="147"/>
      <c r="AJ3937" s="147"/>
      <c r="AK3937" s="147"/>
      <c r="AL3937" s="147"/>
      <c r="AM3937" s="147"/>
      <c r="AN3937" s="147"/>
      <c r="AO3937" s="147"/>
      <c r="AP3937" s="147"/>
      <c r="AQ3937" s="147"/>
      <c r="AR3937" s="147"/>
      <c r="AS3937" s="147"/>
      <c r="AT3937" s="147"/>
      <c r="AU3937" s="147"/>
      <c r="AV3937" s="147"/>
      <c r="AW3937" s="147"/>
      <c r="AX3937" s="147"/>
      <c r="AY3937" s="147"/>
      <c r="AZ3937" s="147"/>
      <c r="BA3937" s="147"/>
    </row>
    <row r="3938" spans="1:53" ht="15.75" customHeight="1">
      <c r="A3938" s="99"/>
      <c r="B3938" s="99"/>
      <c r="C3938" s="147"/>
      <c r="D3938" s="147"/>
      <c r="E3938" s="147"/>
      <c r="F3938" s="147"/>
      <c r="G3938" s="147"/>
      <c r="H3938" s="147"/>
      <c r="I3938" s="147"/>
      <c r="J3938" s="147"/>
      <c r="K3938" s="147"/>
      <c r="L3938" s="147"/>
      <c r="M3938" s="147"/>
      <c r="N3938" s="147"/>
      <c r="O3938" s="147"/>
      <c r="P3938" s="147"/>
      <c r="Q3938" s="147"/>
      <c r="R3938" s="147"/>
      <c r="S3938" s="147"/>
      <c r="T3938" s="147"/>
      <c r="U3938" s="147"/>
      <c r="V3938" s="147"/>
      <c r="W3938" s="147"/>
      <c r="X3938" s="147"/>
      <c r="Y3938" s="147"/>
      <c r="Z3938" s="147"/>
      <c r="AA3938" s="147"/>
      <c r="AB3938" s="147"/>
      <c r="AC3938" s="147"/>
      <c r="AD3938" s="147"/>
      <c r="AE3938" s="147"/>
      <c r="AF3938" s="147"/>
      <c r="AG3938" s="147"/>
      <c r="AH3938" s="147"/>
      <c r="AI3938" s="147"/>
      <c r="AJ3938" s="147"/>
      <c r="AK3938" s="147"/>
      <c r="AL3938" s="147"/>
      <c r="AM3938" s="147"/>
      <c r="AN3938" s="147"/>
      <c r="AO3938" s="147"/>
      <c r="AP3938" s="147"/>
      <c r="AQ3938" s="147"/>
      <c r="AR3938" s="147"/>
      <c r="AS3938" s="147"/>
      <c r="AT3938" s="147"/>
      <c r="AU3938" s="147"/>
      <c r="AV3938" s="147"/>
      <c r="AW3938" s="147"/>
      <c r="AX3938" s="147"/>
      <c r="AY3938" s="147"/>
      <c r="AZ3938" s="147"/>
      <c r="BA3938" s="147"/>
    </row>
    <row r="3939" spans="1:53" ht="15.75" customHeight="1">
      <c r="A3939" s="99"/>
      <c r="B3939" s="99"/>
      <c r="C3939" s="147"/>
      <c r="D3939" s="147"/>
      <c r="E3939" s="147"/>
      <c r="F3939" s="147"/>
      <c r="G3939" s="147"/>
      <c r="H3939" s="147"/>
      <c r="I3939" s="147"/>
      <c r="J3939" s="147"/>
      <c r="K3939" s="147"/>
      <c r="L3939" s="147"/>
      <c r="M3939" s="147"/>
      <c r="N3939" s="147"/>
      <c r="O3939" s="147"/>
      <c r="P3939" s="147"/>
      <c r="Q3939" s="147"/>
      <c r="R3939" s="147"/>
      <c r="S3939" s="147"/>
      <c r="T3939" s="147"/>
      <c r="U3939" s="147"/>
      <c r="V3939" s="147"/>
      <c r="W3939" s="147"/>
      <c r="X3939" s="147"/>
      <c r="Y3939" s="147"/>
      <c r="Z3939" s="147"/>
      <c r="AA3939" s="147"/>
      <c r="AB3939" s="147"/>
      <c r="AC3939" s="147"/>
      <c r="AD3939" s="147"/>
      <c r="AE3939" s="147"/>
      <c r="AF3939" s="147"/>
      <c r="AG3939" s="147"/>
      <c r="AH3939" s="147"/>
      <c r="AI3939" s="147"/>
      <c r="AJ3939" s="147"/>
      <c r="AK3939" s="147"/>
      <c r="AL3939" s="147"/>
      <c r="AM3939" s="147"/>
      <c r="AN3939" s="147"/>
      <c r="AO3939" s="147"/>
      <c r="AP3939" s="147"/>
      <c r="AQ3939" s="147"/>
      <c r="AR3939" s="147"/>
      <c r="AS3939" s="147"/>
      <c r="AT3939" s="147"/>
      <c r="AU3939" s="147"/>
      <c r="AV3939" s="147"/>
      <c r="AW3939" s="147"/>
      <c r="AX3939" s="147"/>
      <c r="AY3939" s="147"/>
      <c r="AZ3939" s="147"/>
      <c r="BA3939" s="147"/>
    </row>
    <row r="3940" spans="1:53" ht="15.75" customHeight="1">
      <c r="A3940" s="99"/>
      <c r="B3940" s="99"/>
      <c r="C3940" s="147"/>
      <c r="D3940" s="147"/>
      <c r="E3940" s="147"/>
      <c r="F3940" s="147"/>
      <c r="G3940" s="147"/>
      <c r="H3940" s="147"/>
      <c r="I3940" s="147"/>
      <c r="J3940" s="147"/>
      <c r="K3940" s="147"/>
      <c r="L3940" s="147"/>
      <c r="M3940" s="147"/>
      <c r="N3940" s="147"/>
      <c r="O3940" s="147"/>
      <c r="P3940" s="147"/>
      <c r="Q3940" s="147"/>
      <c r="R3940" s="147"/>
      <c r="S3940" s="147"/>
      <c r="T3940" s="147"/>
      <c r="U3940" s="147"/>
      <c r="V3940" s="147"/>
      <c r="W3940" s="147"/>
      <c r="X3940" s="147"/>
      <c r="Y3940" s="147"/>
      <c r="Z3940" s="147"/>
      <c r="AA3940" s="147"/>
      <c r="AB3940" s="147"/>
      <c r="AC3940" s="147"/>
      <c r="AD3940" s="147"/>
      <c r="AE3940" s="147"/>
      <c r="AF3940" s="147"/>
      <c r="AG3940" s="147"/>
      <c r="AH3940" s="147"/>
      <c r="AI3940" s="147"/>
      <c r="AJ3940" s="147"/>
      <c r="AK3940" s="147"/>
      <c r="AL3940" s="147"/>
      <c r="AM3940" s="147"/>
      <c r="AN3940" s="147"/>
      <c r="AO3940" s="147"/>
      <c r="AP3940" s="147"/>
      <c r="AQ3940" s="147"/>
      <c r="AR3940" s="147"/>
      <c r="AS3940" s="147"/>
      <c r="AT3940" s="147"/>
      <c r="AU3940" s="147"/>
      <c r="AV3940" s="147"/>
      <c r="AW3940" s="147"/>
      <c r="AX3940" s="147"/>
      <c r="AY3940" s="147"/>
      <c r="AZ3940" s="147"/>
      <c r="BA3940" s="147"/>
    </row>
    <row r="3941" spans="1:53" ht="15.75" customHeight="1">
      <c r="A3941" s="99"/>
      <c r="B3941" s="99"/>
      <c r="C3941" s="147"/>
      <c r="D3941" s="147"/>
      <c r="E3941" s="147"/>
      <c r="F3941" s="147"/>
      <c r="G3941" s="147"/>
      <c r="H3941" s="147"/>
      <c r="I3941" s="147"/>
      <c r="J3941" s="147"/>
      <c r="K3941" s="147"/>
      <c r="L3941" s="147"/>
      <c r="M3941" s="147"/>
      <c r="N3941" s="147"/>
      <c r="O3941" s="147"/>
      <c r="P3941" s="147"/>
      <c r="Q3941" s="147"/>
      <c r="R3941" s="147"/>
      <c r="S3941" s="147"/>
      <c r="T3941" s="147"/>
      <c r="U3941" s="147"/>
      <c r="V3941" s="147"/>
      <c r="W3941" s="147"/>
      <c r="X3941" s="147"/>
      <c r="Y3941" s="147"/>
      <c r="Z3941" s="147"/>
      <c r="AA3941" s="147"/>
      <c r="AB3941" s="147"/>
      <c r="AC3941" s="147"/>
      <c r="AD3941" s="147"/>
      <c r="AE3941" s="147"/>
      <c r="AF3941" s="147"/>
      <c r="AG3941" s="147"/>
      <c r="AH3941" s="147"/>
      <c r="AI3941" s="147"/>
      <c r="AJ3941" s="147"/>
      <c r="AK3941" s="147"/>
      <c r="AL3941" s="147"/>
      <c r="AM3941" s="147"/>
      <c r="AN3941" s="147"/>
      <c r="AO3941" s="147"/>
      <c r="AP3941" s="147"/>
      <c r="AQ3941" s="147"/>
      <c r="AR3941" s="147"/>
      <c r="AS3941" s="147"/>
      <c r="AT3941" s="147"/>
      <c r="AU3941" s="147"/>
      <c r="AV3941" s="147"/>
      <c r="AW3941" s="147"/>
      <c r="AX3941" s="147"/>
      <c r="AY3941" s="147"/>
      <c r="AZ3941" s="147"/>
      <c r="BA3941" s="147"/>
    </row>
    <row r="3942" spans="1:53" ht="15.75" customHeight="1">
      <c r="A3942" s="99"/>
      <c r="B3942" s="99"/>
      <c r="C3942" s="147"/>
      <c r="D3942" s="147"/>
      <c r="E3942" s="147"/>
      <c r="F3942" s="147"/>
      <c r="G3942" s="147"/>
      <c r="H3942" s="147"/>
      <c r="I3942" s="147"/>
      <c r="J3942" s="147"/>
      <c r="K3942" s="147"/>
      <c r="L3942" s="147"/>
      <c r="M3942" s="147"/>
      <c r="N3942" s="147"/>
      <c r="O3942" s="147"/>
      <c r="P3942" s="147"/>
      <c r="Q3942" s="147"/>
      <c r="R3942" s="147"/>
      <c r="S3942" s="147"/>
      <c r="T3942" s="147"/>
      <c r="U3942" s="147"/>
      <c r="V3942" s="147"/>
      <c r="W3942" s="147"/>
      <c r="X3942" s="147"/>
      <c r="Y3942" s="147"/>
      <c r="Z3942" s="147"/>
      <c r="AA3942" s="147"/>
      <c r="AB3942" s="147"/>
      <c r="AC3942" s="147"/>
      <c r="AD3942" s="147"/>
      <c r="AE3942" s="147"/>
      <c r="AF3942" s="147"/>
      <c r="AG3942" s="147"/>
      <c r="AH3942" s="147"/>
      <c r="AI3942" s="147"/>
      <c r="AJ3942" s="147"/>
      <c r="AK3942" s="147"/>
      <c r="AL3942" s="147"/>
      <c r="AM3942" s="147"/>
      <c r="AN3942" s="147"/>
      <c r="AO3942" s="147"/>
      <c r="AP3942" s="147"/>
      <c r="AQ3942" s="147"/>
      <c r="AR3942" s="147"/>
      <c r="AS3942" s="147"/>
      <c r="AT3942" s="147"/>
      <c r="AU3942" s="147"/>
      <c r="AV3942" s="147"/>
      <c r="AW3942" s="147"/>
      <c r="AX3942" s="147"/>
      <c r="AY3942" s="147"/>
      <c r="AZ3942" s="147"/>
      <c r="BA3942" s="147"/>
    </row>
    <row r="3943" spans="1:53" ht="15.75" customHeight="1">
      <c r="A3943" s="99"/>
      <c r="B3943" s="99"/>
      <c r="C3943" s="147"/>
      <c r="D3943" s="147"/>
      <c r="E3943" s="147"/>
      <c r="F3943" s="147"/>
      <c r="G3943" s="147"/>
      <c r="H3943" s="147"/>
      <c r="I3943" s="147"/>
      <c r="J3943" s="147"/>
      <c r="K3943" s="147"/>
      <c r="L3943" s="147"/>
      <c r="M3943" s="147"/>
      <c r="N3943" s="147"/>
      <c r="O3943" s="147"/>
      <c r="P3943" s="147"/>
      <c r="Q3943" s="147"/>
      <c r="R3943" s="147"/>
      <c r="S3943" s="147"/>
      <c r="T3943" s="147"/>
      <c r="U3943" s="147"/>
      <c r="V3943" s="147"/>
      <c r="W3943" s="147"/>
      <c r="X3943" s="147"/>
      <c r="Y3943" s="147"/>
      <c r="Z3943" s="147"/>
      <c r="AA3943" s="147"/>
      <c r="AB3943" s="147"/>
      <c r="AC3943" s="147"/>
      <c r="AD3943" s="147"/>
      <c r="AE3943" s="147"/>
      <c r="AF3943" s="147"/>
      <c r="AG3943" s="147"/>
      <c r="AH3943" s="147"/>
      <c r="AI3943" s="147"/>
      <c r="AJ3943" s="147"/>
      <c r="AK3943" s="147"/>
      <c r="AL3943" s="147"/>
      <c r="AM3943" s="147"/>
      <c r="AN3943" s="147"/>
      <c r="AO3943" s="147"/>
      <c r="AP3943" s="147"/>
      <c r="AQ3943" s="147"/>
      <c r="AR3943" s="147"/>
      <c r="AS3943" s="147"/>
      <c r="AT3943" s="147"/>
      <c r="AU3943" s="147"/>
      <c r="AV3943" s="147"/>
      <c r="AW3943" s="147"/>
      <c r="AX3943" s="147"/>
      <c r="AY3943" s="147"/>
      <c r="AZ3943" s="147"/>
      <c r="BA3943" s="147"/>
    </row>
    <row r="3944" spans="1:53" ht="15.75" customHeight="1">
      <c r="A3944" s="99"/>
      <c r="B3944" s="99"/>
      <c r="C3944" s="147"/>
      <c r="D3944" s="147"/>
      <c r="E3944" s="147"/>
      <c r="F3944" s="147"/>
      <c r="G3944" s="147"/>
      <c r="H3944" s="147"/>
      <c r="I3944" s="147"/>
      <c r="J3944" s="147"/>
      <c r="K3944" s="147"/>
      <c r="L3944" s="147"/>
      <c r="M3944" s="147"/>
      <c r="N3944" s="147"/>
      <c r="O3944" s="147"/>
      <c r="P3944" s="147"/>
      <c r="Q3944" s="147"/>
      <c r="R3944" s="147"/>
      <c r="S3944" s="147"/>
      <c r="T3944" s="147"/>
      <c r="U3944" s="147"/>
      <c r="V3944" s="147"/>
      <c r="W3944" s="147"/>
      <c r="X3944" s="147"/>
      <c r="Y3944" s="147"/>
      <c r="Z3944" s="147"/>
      <c r="AA3944" s="147"/>
      <c r="AB3944" s="147"/>
      <c r="AC3944" s="147"/>
      <c r="AD3944" s="147"/>
      <c r="AE3944" s="147"/>
      <c r="AF3944" s="147"/>
      <c r="AG3944" s="147"/>
      <c r="AH3944" s="147"/>
      <c r="AI3944" s="147"/>
      <c r="AJ3944" s="147"/>
      <c r="AK3944" s="147"/>
      <c r="AL3944" s="147"/>
      <c r="AM3944" s="147"/>
      <c r="AN3944" s="147"/>
      <c r="AO3944" s="147"/>
      <c r="AP3944" s="147"/>
      <c r="AQ3944" s="147"/>
      <c r="AR3944" s="147"/>
      <c r="AS3944" s="147"/>
      <c r="AT3944" s="147"/>
      <c r="AU3944" s="147"/>
      <c r="AV3944" s="147"/>
      <c r="AW3944" s="147"/>
      <c r="AX3944" s="147"/>
      <c r="AY3944" s="147"/>
      <c r="AZ3944" s="147"/>
      <c r="BA3944" s="147"/>
    </row>
    <row r="3945" spans="1:53" ht="15.75" customHeight="1">
      <c r="A3945" s="99"/>
      <c r="B3945" s="99"/>
      <c r="C3945" s="147"/>
      <c r="D3945" s="147"/>
      <c r="E3945" s="147"/>
      <c r="F3945" s="147"/>
      <c r="G3945" s="147"/>
      <c r="H3945" s="147"/>
      <c r="I3945" s="147"/>
      <c r="J3945" s="147"/>
      <c r="K3945" s="147"/>
      <c r="L3945" s="147"/>
      <c r="M3945" s="147"/>
      <c r="N3945" s="147"/>
      <c r="O3945" s="147"/>
      <c r="P3945" s="147"/>
      <c r="Q3945" s="147"/>
      <c r="R3945" s="147"/>
      <c r="S3945" s="147"/>
      <c r="T3945" s="147"/>
      <c r="U3945" s="147"/>
      <c r="V3945" s="147"/>
      <c r="W3945" s="147"/>
      <c r="X3945" s="147"/>
      <c r="Y3945" s="147"/>
      <c r="Z3945" s="147"/>
      <c r="AA3945" s="147"/>
      <c r="AB3945" s="147"/>
      <c r="AC3945" s="147"/>
      <c r="AD3945" s="147"/>
      <c r="AE3945" s="147"/>
      <c r="AF3945" s="147"/>
      <c r="AG3945" s="147"/>
      <c r="AH3945" s="147"/>
      <c r="AI3945" s="147"/>
      <c r="AJ3945" s="147"/>
      <c r="AK3945" s="147"/>
      <c r="AL3945" s="147"/>
      <c r="AM3945" s="147"/>
      <c r="AN3945" s="147"/>
      <c r="AO3945" s="147"/>
      <c r="AP3945" s="147"/>
      <c r="AQ3945" s="147"/>
      <c r="AR3945" s="147"/>
      <c r="AS3945" s="147"/>
      <c r="AT3945" s="147"/>
      <c r="AU3945" s="147"/>
      <c r="AV3945" s="147"/>
      <c r="AW3945" s="147"/>
      <c r="AX3945" s="147"/>
      <c r="AY3945" s="147"/>
      <c r="AZ3945" s="147"/>
      <c r="BA3945" s="147"/>
    </row>
    <row r="3946" spans="1:53" ht="15.75" customHeight="1">
      <c r="A3946" s="99"/>
      <c r="B3946" s="99"/>
      <c r="C3946" s="147"/>
      <c r="D3946" s="147"/>
      <c r="E3946" s="147"/>
      <c r="F3946" s="147"/>
      <c r="G3946" s="147"/>
      <c r="H3946" s="147"/>
      <c r="I3946" s="147"/>
      <c r="J3946" s="147"/>
      <c r="K3946" s="147"/>
      <c r="L3946" s="147"/>
      <c r="M3946" s="147"/>
      <c r="N3946" s="147"/>
      <c r="O3946" s="147"/>
      <c r="P3946" s="147"/>
      <c r="Q3946" s="147"/>
      <c r="R3946" s="147"/>
      <c r="S3946" s="147"/>
      <c r="T3946" s="147"/>
      <c r="U3946" s="147"/>
      <c r="V3946" s="147"/>
      <c r="W3946" s="147"/>
      <c r="X3946" s="147"/>
      <c r="Y3946" s="147"/>
      <c r="Z3946" s="147"/>
      <c r="AA3946" s="147"/>
      <c r="AB3946" s="147"/>
      <c r="AC3946" s="147"/>
      <c r="AD3946" s="147"/>
      <c r="AE3946" s="147"/>
      <c r="AF3946" s="147"/>
      <c r="AG3946" s="147"/>
      <c r="AH3946" s="147"/>
      <c r="AI3946" s="147"/>
      <c r="AJ3946" s="147"/>
      <c r="AK3946" s="147"/>
      <c r="AL3946" s="147"/>
      <c r="AM3946" s="147"/>
      <c r="AN3946" s="147"/>
      <c r="AO3946" s="147"/>
      <c r="AP3946" s="147"/>
      <c r="AQ3946" s="147"/>
      <c r="AR3946" s="147"/>
      <c r="AS3946" s="147"/>
      <c r="AT3946" s="147"/>
      <c r="AU3946" s="147"/>
      <c r="AV3946" s="147"/>
      <c r="AW3946" s="147"/>
      <c r="AX3946" s="147"/>
      <c r="AY3946" s="147"/>
      <c r="AZ3946" s="147"/>
      <c r="BA3946" s="147"/>
    </row>
    <row r="3947" spans="1:53" ht="15.75" customHeight="1">
      <c r="A3947" s="99"/>
      <c r="B3947" s="99"/>
      <c r="C3947" s="147"/>
      <c r="D3947" s="147"/>
      <c r="E3947" s="147"/>
      <c r="F3947" s="147"/>
      <c r="G3947" s="147"/>
      <c r="H3947" s="147"/>
      <c r="I3947" s="147"/>
      <c r="J3947" s="147"/>
      <c r="K3947" s="147"/>
      <c r="L3947" s="147"/>
      <c r="M3947" s="147"/>
      <c r="N3947" s="147"/>
      <c r="O3947" s="147"/>
      <c r="P3947" s="147"/>
      <c r="Q3947" s="147"/>
      <c r="R3947" s="147"/>
      <c r="S3947" s="147"/>
      <c r="T3947" s="147"/>
      <c r="U3947" s="147"/>
      <c r="V3947" s="147"/>
      <c r="W3947" s="147"/>
      <c r="X3947" s="147"/>
      <c r="Y3947" s="147"/>
      <c r="Z3947" s="147"/>
      <c r="AA3947" s="147"/>
      <c r="AB3947" s="147"/>
      <c r="AC3947" s="147"/>
      <c r="AD3947" s="147"/>
      <c r="AE3947" s="147"/>
      <c r="AF3947" s="147"/>
      <c r="AG3947" s="147"/>
      <c r="AH3947" s="147"/>
      <c r="AI3947" s="147"/>
      <c r="AJ3947" s="147"/>
      <c r="AK3947" s="147"/>
      <c r="AL3947" s="147"/>
      <c r="AM3947" s="147"/>
      <c r="AN3947" s="147"/>
      <c r="AO3947" s="147"/>
      <c r="AP3947" s="147"/>
      <c r="AQ3947" s="147"/>
      <c r="AR3947" s="147"/>
      <c r="AS3947" s="147"/>
      <c r="AT3947" s="147"/>
      <c r="AU3947" s="147"/>
      <c r="AV3947" s="147"/>
      <c r="AW3947" s="147"/>
      <c r="AX3947" s="147"/>
      <c r="AY3947" s="147"/>
      <c r="AZ3947" s="147"/>
      <c r="BA3947" s="147"/>
    </row>
    <row r="3948" spans="1:53" ht="15.75" customHeight="1">
      <c r="A3948" s="99"/>
      <c r="B3948" s="99"/>
      <c r="C3948" s="147"/>
      <c r="D3948" s="147"/>
      <c r="E3948" s="147"/>
      <c r="F3948" s="147"/>
      <c r="G3948" s="147"/>
      <c r="H3948" s="147"/>
      <c r="I3948" s="147"/>
      <c r="J3948" s="147"/>
      <c r="K3948" s="147"/>
      <c r="L3948" s="147"/>
      <c r="M3948" s="147"/>
      <c r="N3948" s="147"/>
      <c r="O3948" s="147"/>
      <c r="P3948" s="147"/>
      <c r="Q3948" s="147"/>
      <c r="R3948" s="147"/>
      <c r="S3948" s="147"/>
      <c r="T3948" s="147"/>
      <c r="U3948" s="147"/>
      <c r="V3948" s="147"/>
      <c r="W3948" s="147"/>
      <c r="X3948" s="147"/>
      <c r="Y3948" s="147"/>
      <c r="Z3948" s="147"/>
      <c r="AA3948" s="147"/>
      <c r="AB3948" s="147"/>
      <c r="AC3948" s="147"/>
      <c r="AD3948" s="147"/>
      <c r="AE3948" s="147"/>
      <c r="AF3948" s="147"/>
      <c r="AG3948" s="147"/>
      <c r="AH3948" s="147"/>
      <c r="AI3948" s="147"/>
      <c r="AJ3948" s="147"/>
      <c r="AK3948" s="147"/>
      <c r="AL3948" s="147"/>
      <c r="AM3948" s="147"/>
      <c r="AN3948" s="147"/>
      <c r="AO3948" s="147"/>
      <c r="AP3948" s="147"/>
      <c r="AQ3948" s="147"/>
      <c r="AR3948" s="147"/>
      <c r="AS3948" s="147"/>
      <c r="AT3948" s="147"/>
      <c r="AU3948" s="147"/>
      <c r="AV3948" s="147"/>
      <c r="AW3948" s="147"/>
      <c r="AX3948" s="147"/>
      <c r="AY3948" s="147"/>
      <c r="AZ3948" s="147"/>
      <c r="BA3948" s="147"/>
    </row>
    <row r="3949" spans="1:53" ht="15.75" customHeight="1">
      <c r="A3949" s="99"/>
      <c r="B3949" s="99"/>
      <c r="C3949" s="147"/>
      <c r="D3949" s="147"/>
      <c r="E3949" s="147"/>
      <c r="F3949" s="147"/>
      <c r="G3949" s="147"/>
      <c r="H3949" s="147"/>
      <c r="I3949" s="147"/>
      <c r="J3949" s="147"/>
      <c r="K3949" s="147"/>
      <c r="L3949" s="147"/>
      <c r="M3949" s="147"/>
      <c r="N3949" s="147"/>
      <c r="O3949" s="147"/>
      <c r="P3949" s="147"/>
      <c r="Q3949" s="147"/>
      <c r="R3949" s="147"/>
      <c r="S3949" s="147"/>
      <c r="T3949" s="147"/>
      <c r="U3949" s="147"/>
      <c r="V3949" s="147"/>
      <c r="W3949" s="147"/>
      <c r="X3949" s="147"/>
      <c r="Y3949" s="147"/>
      <c r="Z3949" s="147"/>
      <c r="AA3949" s="147"/>
      <c r="AB3949" s="147"/>
      <c r="AC3949" s="147"/>
      <c r="AD3949" s="147"/>
      <c r="AE3949" s="147"/>
      <c r="AF3949" s="147"/>
      <c r="AG3949" s="147"/>
      <c r="AH3949" s="147"/>
      <c r="AI3949" s="147"/>
      <c r="AJ3949" s="147"/>
      <c r="AK3949" s="147"/>
      <c r="AL3949" s="147"/>
      <c r="AM3949" s="147"/>
      <c r="AN3949" s="147"/>
      <c r="AO3949" s="147"/>
      <c r="AP3949" s="147"/>
      <c r="AQ3949" s="147"/>
      <c r="AR3949" s="147"/>
      <c r="AS3949" s="147"/>
      <c r="AT3949" s="147"/>
      <c r="AU3949" s="147"/>
      <c r="AV3949" s="147"/>
      <c r="AW3949" s="147"/>
      <c r="AX3949" s="147"/>
      <c r="AY3949" s="147"/>
      <c r="AZ3949" s="147"/>
      <c r="BA3949" s="147"/>
    </row>
    <row r="3950" spans="1:53" ht="15.75" customHeight="1">
      <c r="A3950" s="99"/>
      <c r="B3950" s="99"/>
      <c r="C3950" s="147"/>
      <c r="D3950" s="147"/>
      <c r="E3950" s="147"/>
      <c r="F3950" s="147"/>
      <c r="G3950" s="147"/>
      <c r="H3950" s="147"/>
      <c r="I3950" s="147"/>
      <c r="J3950" s="147"/>
      <c r="K3950" s="147"/>
      <c r="L3950" s="147"/>
      <c r="M3950" s="147"/>
      <c r="N3950" s="147"/>
      <c r="O3950" s="147"/>
      <c r="P3950" s="147"/>
      <c r="Q3950" s="147"/>
      <c r="R3950" s="147"/>
      <c r="S3950" s="147"/>
      <c r="T3950" s="147"/>
      <c r="U3950" s="147"/>
      <c r="V3950" s="147"/>
      <c r="W3950" s="147"/>
      <c r="X3950" s="147"/>
      <c r="Y3950" s="147"/>
      <c r="Z3950" s="147"/>
      <c r="AA3950" s="147"/>
      <c r="AB3950" s="147"/>
      <c r="AC3950" s="147"/>
      <c r="AD3950" s="147"/>
      <c r="AE3950" s="147"/>
      <c r="AF3950" s="147"/>
      <c r="AG3950" s="147"/>
      <c r="AH3950" s="147"/>
      <c r="AI3950" s="147"/>
      <c r="AJ3950" s="147"/>
      <c r="AK3950" s="147"/>
      <c r="AL3950" s="147"/>
      <c r="AM3950" s="147"/>
      <c r="AN3950" s="147"/>
      <c r="AO3950" s="147"/>
      <c r="AP3950" s="147"/>
      <c r="AQ3950" s="147"/>
      <c r="AR3950" s="147"/>
      <c r="AS3950" s="147"/>
      <c r="AT3950" s="147"/>
      <c r="AU3950" s="147"/>
      <c r="AV3950" s="147"/>
      <c r="AW3950" s="147"/>
      <c r="AX3950" s="147"/>
      <c r="AY3950" s="147"/>
      <c r="AZ3950" s="147"/>
      <c r="BA3950" s="147"/>
    </row>
    <row r="3951" spans="1:53" ht="15.75" customHeight="1">
      <c r="A3951" s="99"/>
      <c r="B3951" s="99"/>
      <c r="C3951" s="147"/>
      <c r="D3951" s="147"/>
      <c r="E3951" s="147"/>
      <c r="F3951" s="147"/>
      <c r="G3951" s="147"/>
      <c r="H3951" s="147"/>
      <c r="I3951" s="147"/>
      <c r="J3951" s="147"/>
      <c r="K3951" s="147"/>
      <c r="L3951" s="147"/>
      <c r="M3951" s="147"/>
      <c r="N3951" s="147"/>
      <c r="O3951" s="147"/>
      <c r="P3951" s="147"/>
      <c r="Q3951" s="147"/>
      <c r="R3951" s="147"/>
      <c r="S3951" s="147"/>
      <c r="T3951" s="147"/>
      <c r="U3951" s="147"/>
      <c r="V3951" s="147"/>
      <c r="W3951" s="147"/>
      <c r="X3951" s="147"/>
      <c r="Y3951" s="147"/>
      <c r="Z3951" s="147"/>
      <c r="AA3951" s="147"/>
      <c r="AB3951" s="147"/>
      <c r="AC3951" s="147"/>
      <c r="AD3951" s="147"/>
      <c r="AE3951" s="147"/>
      <c r="AF3951" s="147"/>
      <c r="AG3951" s="147"/>
      <c r="AH3951" s="147"/>
      <c r="AI3951" s="147"/>
      <c r="AJ3951" s="147"/>
      <c r="AK3951" s="147"/>
      <c r="AL3951" s="147"/>
      <c r="AM3951" s="147"/>
      <c r="AN3951" s="147"/>
      <c r="AO3951" s="147"/>
      <c r="AP3951" s="147"/>
      <c r="AQ3951" s="147"/>
      <c r="AR3951" s="147"/>
      <c r="AS3951" s="147"/>
      <c r="AT3951" s="147"/>
      <c r="AU3951" s="147"/>
      <c r="AV3951" s="147"/>
      <c r="AW3951" s="147"/>
      <c r="AX3951" s="147"/>
      <c r="AY3951" s="147"/>
      <c r="AZ3951" s="147"/>
      <c r="BA3951" s="147"/>
    </row>
    <row r="3952" spans="1:53" ht="15.75" customHeight="1">
      <c r="A3952" s="99"/>
      <c r="B3952" s="99"/>
      <c r="C3952" s="147"/>
      <c r="D3952" s="147"/>
      <c r="E3952" s="147"/>
      <c r="F3952" s="147"/>
      <c r="G3952" s="147"/>
      <c r="H3952" s="147"/>
      <c r="I3952" s="147"/>
      <c r="J3952" s="147"/>
      <c r="K3952" s="147"/>
      <c r="L3952" s="147"/>
      <c r="M3952" s="147"/>
      <c r="N3952" s="147"/>
      <c r="O3952" s="147"/>
      <c r="P3952" s="147"/>
      <c r="Q3952" s="147"/>
      <c r="R3952" s="147"/>
      <c r="S3952" s="147"/>
      <c r="T3952" s="147"/>
      <c r="U3952" s="147"/>
      <c r="V3952" s="147"/>
      <c r="W3952" s="147"/>
      <c r="X3952" s="147"/>
      <c r="Y3952" s="147"/>
      <c r="Z3952" s="147"/>
      <c r="AA3952" s="147"/>
      <c r="AB3952" s="147"/>
      <c r="AC3952" s="147"/>
      <c r="AD3952" s="147"/>
      <c r="AE3952" s="147"/>
      <c r="AF3952" s="147"/>
      <c r="AG3952" s="147"/>
      <c r="AH3952" s="147"/>
      <c r="AI3952" s="147"/>
      <c r="AJ3952" s="147"/>
      <c r="AK3952" s="147"/>
      <c r="AL3952" s="147"/>
      <c r="AM3952" s="147"/>
      <c r="AN3952" s="147"/>
      <c r="AO3952" s="147"/>
      <c r="AP3952" s="147"/>
      <c r="AQ3952" s="147"/>
      <c r="AR3952" s="147"/>
      <c r="AS3952" s="147"/>
      <c r="AT3952" s="147"/>
      <c r="AU3952" s="147"/>
      <c r="AV3952" s="147"/>
      <c r="AW3952" s="147"/>
      <c r="AX3952" s="147"/>
      <c r="AY3952" s="147"/>
      <c r="AZ3952" s="147"/>
      <c r="BA3952" s="147"/>
    </row>
    <row r="3953" spans="1:53" ht="15.75" customHeight="1">
      <c r="A3953" s="99"/>
      <c r="B3953" s="99"/>
      <c r="C3953" s="147"/>
      <c r="D3953" s="147"/>
      <c r="E3953" s="147"/>
      <c r="F3953" s="147"/>
      <c r="G3953" s="147"/>
      <c r="H3953" s="147"/>
      <c r="I3953" s="147"/>
      <c r="J3953" s="147"/>
      <c r="K3953" s="147"/>
      <c r="L3953" s="147"/>
      <c r="M3953" s="147"/>
      <c r="N3953" s="147"/>
      <c r="O3953" s="147"/>
      <c r="P3953" s="147"/>
      <c r="Q3953" s="147"/>
      <c r="R3953" s="147"/>
      <c r="S3953" s="147"/>
      <c r="T3953" s="147"/>
      <c r="U3953" s="147"/>
      <c r="V3953" s="147"/>
      <c r="W3953" s="147"/>
      <c r="X3953" s="147"/>
      <c r="Y3953" s="147"/>
      <c r="Z3953" s="147"/>
      <c r="AA3953" s="147"/>
      <c r="AB3953" s="147"/>
      <c r="AC3953" s="147"/>
      <c r="AD3953" s="147"/>
      <c r="AE3953" s="147"/>
      <c r="AF3953" s="147"/>
      <c r="AG3953" s="147"/>
      <c r="AH3953" s="147"/>
      <c r="AI3953" s="147"/>
      <c r="AJ3953" s="147"/>
      <c r="AK3953" s="147"/>
      <c r="AL3953" s="147"/>
      <c r="AM3953" s="147"/>
      <c r="AN3953" s="147"/>
      <c r="AO3953" s="147"/>
      <c r="AP3953" s="147"/>
      <c r="AQ3953" s="147"/>
      <c r="AR3953" s="147"/>
      <c r="AS3953" s="147"/>
      <c r="AT3953" s="147"/>
      <c r="AU3953" s="147"/>
      <c r="AV3953" s="147"/>
      <c r="AW3953" s="147"/>
      <c r="AX3953" s="147"/>
      <c r="AY3953" s="147"/>
      <c r="AZ3953" s="147"/>
      <c r="BA3953" s="147"/>
    </row>
    <row r="3954" spans="1:53" ht="15.75" customHeight="1">
      <c r="A3954" s="99"/>
      <c r="B3954" s="99"/>
      <c r="C3954" s="147"/>
      <c r="D3954" s="147"/>
      <c r="E3954" s="147"/>
      <c r="F3954" s="147"/>
      <c r="G3954" s="147"/>
      <c r="H3954" s="147"/>
      <c r="I3954" s="147"/>
      <c r="J3954" s="147"/>
      <c r="K3954" s="147"/>
      <c r="L3954" s="147"/>
      <c r="M3954" s="147"/>
      <c r="N3954" s="147"/>
      <c r="O3954" s="147"/>
      <c r="P3954" s="147"/>
      <c r="Q3954" s="147"/>
      <c r="R3954" s="147"/>
      <c r="S3954" s="147"/>
      <c r="T3954" s="147"/>
      <c r="U3954" s="147"/>
      <c r="V3954" s="147"/>
      <c r="W3954" s="147"/>
      <c r="X3954" s="147"/>
      <c r="Y3954" s="147"/>
      <c r="Z3954" s="147"/>
      <c r="AA3954" s="147"/>
      <c r="AB3954" s="147"/>
      <c r="AC3954" s="147"/>
      <c r="AD3954" s="147"/>
      <c r="AE3954" s="147"/>
      <c r="AF3954" s="147"/>
      <c r="AG3954" s="147"/>
      <c r="AH3954" s="147"/>
      <c r="AI3954" s="147"/>
      <c r="AJ3954" s="147"/>
      <c r="AK3954" s="147"/>
      <c r="AL3954" s="147"/>
      <c r="AM3954" s="147"/>
      <c r="AN3954" s="147"/>
      <c r="AO3954" s="147"/>
      <c r="AP3954" s="147"/>
      <c r="AQ3954" s="147"/>
      <c r="AR3954" s="147"/>
      <c r="AS3954" s="147"/>
      <c r="AT3954" s="147"/>
      <c r="AU3954" s="147"/>
      <c r="AV3954" s="147"/>
      <c r="AW3954" s="147"/>
      <c r="AX3954" s="147"/>
      <c r="AY3954" s="147"/>
      <c r="AZ3954" s="147"/>
      <c r="BA3954" s="147"/>
    </row>
    <row r="3955" spans="1:53" ht="15.75" customHeight="1">
      <c r="A3955" s="99"/>
      <c r="B3955" s="99"/>
      <c r="C3955" s="147"/>
      <c r="D3955" s="147"/>
      <c r="E3955" s="147"/>
      <c r="F3955" s="147"/>
      <c r="G3955" s="147"/>
      <c r="H3955" s="147"/>
      <c r="I3955" s="147"/>
      <c r="J3955" s="147"/>
      <c r="K3955" s="147"/>
      <c r="L3955" s="147"/>
      <c r="M3955" s="147"/>
      <c r="N3955" s="147"/>
      <c r="O3955" s="147"/>
      <c r="P3955" s="147"/>
      <c r="Q3955" s="147"/>
      <c r="R3955" s="147"/>
      <c r="S3955" s="147"/>
      <c r="T3955" s="147"/>
      <c r="U3955" s="147"/>
      <c r="V3955" s="147"/>
      <c r="W3955" s="147"/>
      <c r="X3955" s="147"/>
      <c r="Y3955" s="147"/>
      <c r="Z3955" s="147"/>
      <c r="AA3955" s="147"/>
      <c r="AB3955" s="147"/>
      <c r="AC3955" s="147"/>
      <c r="AD3955" s="147"/>
      <c r="AE3955" s="147"/>
      <c r="AF3955" s="147"/>
      <c r="AG3955" s="147"/>
      <c r="AH3955" s="147"/>
      <c r="AI3955" s="147"/>
      <c r="AJ3955" s="147"/>
      <c r="AK3955" s="147"/>
      <c r="AL3955" s="147"/>
      <c r="AM3955" s="147"/>
      <c r="AN3955" s="147"/>
      <c r="AO3955" s="147"/>
      <c r="AP3955" s="147"/>
      <c r="AQ3955" s="147"/>
      <c r="AR3955" s="147"/>
      <c r="AS3955" s="147"/>
      <c r="AT3955" s="147"/>
      <c r="AU3955" s="147"/>
      <c r="AV3955" s="147"/>
      <c r="AW3955" s="147"/>
      <c r="AX3955" s="147"/>
      <c r="AY3955" s="147"/>
      <c r="AZ3955" s="147"/>
      <c r="BA3955" s="147"/>
    </row>
    <row r="3956" spans="1:53" ht="15.75" customHeight="1">
      <c r="A3956" s="99"/>
      <c r="B3956" s="99"/>
      <c r="C3956" s="147"/>
      <c r="D3956" s="147"/>
      <c r="E3956" s="147"/>
      <c r="F3956" s="147"/>
      <c r="G3956" s="147"/>
      <c r="H3956" s="147"/>
      <c r="I3956" s="147"/>
      <c r="J3956" s="147"/>
      <c r="K3956" s="147"/>
      <c r="L3956" s="147"/>
      <c r="M3956" s="147"/>
      <c r="N3956" s="147"/>
      <c r="O3956" s="147"/>
      <c r="P3956" s="147"/>
      <c r="Q3956" s="147"/>
      <c r="R3956" s="147"/>
      <c r="S3956" s="147"/>
      <c r="T3956" s="147"/>
      <c r="U3956" s="147"/>
      <c r="V3956" s="147"/>
      <c r="W3956" s="147"/>
      <c r="X3956" s="147"/>
      <c r="Y3956" s="147"/>
      <c r="Z3956" s="147"/>
      <c r="AA3956" s="147"/>
      <c r="AB3956" s="147"/>
      <c r="AC3956" s="147"/>
      <c r="AD3956" s="147"/>
      <c r="AE3956" s="147"/>
      <c r="AF3956" s="147"/>
      <c r="AG3956" s="147"/>
      <c r="AH3956" s="147"/>
      <c r="AI3956" s="147"/>
      <c r="AJ3956" s="147"/>
      <c r="AK3956" s="147"/>
      <c r="AL3956" s="147"/>
      <c r="AM3956" s="147"/>
      <c r="AN3956" s="147"/>
      <c r="AO3956" s="147"/>
      <c r="AP3956" s="147"/>
      <c r="AQ3956" s="147"/>
      <c r="AR3956" s="147"/>
      <c r="AS3956" s="147"/>
      <c r="AT3956" s="147"/>
      <c r="AU3956" s="147"/>
      <c r="AV3956" s="147"/>
      <c r="AW3956" s="147"/>
      <c r="AX3956" s="147"/>
      <c r="AY3956" s="147"/>
      <c r="AZ3956" s="147"/>
      <c r="BA3956" s="147"/>
    </row>
    <row r="3957" spans="1:53" ht="15.75" customHeight="1">
      <c r="A3957" s="99"/>
      <c r="B3957" s="99"/>
      <c r="C3957" s="147"/>
      <c r="D3957" s="147"/>
      <c r="E3957" s="147"/>
      <c r="F3957" s="147"/>
      <c r="G3957" s="147"/>
      <c r="H3957" s="147"/>
      <c r="I3957" s="147"/>
      <c r="J3957" s="147"/>
      <c r="K3957" s="147"/>
      <c r="L3957" s="147"/>
      <c r="M3957" s="147"/>
      <c r="N3957" s="147"/>
      <c r="O3957" s="147"/>
      <c r="P3957" s="147"/>
      <c r="Q3957" s="147"/>
      <c r="R3957" s="147"/>
      <c r="S3957" s="147"/>
      <c r="T3957" s="147"/>
      <c r="U3957" s="147"/>
      <c r="V3957" s="147"/>
      <c r="W3957" s="147"/>
      <c r="X3957" s="147"/>
      <c r="Y3957" s="147"/>
      <c r="Z3957" s="147"/>
      <c r="AA3957" s="147"/>
      <c r="AB3957" s="147"/>
      <c r="AC3957" s="147"/>
      <c r="AD3957" s="147"/>
      <c r="AE3957" s="147"/>
      <c r="AF3957" s="147"/>
      <c r="AG3957" s="147"/>
      <c r="AH3957" s="147"/>
      <c r="AI3957" s="147"/>
      <c r="AJ3957" s="147"/>
      <c r="AK3957" s="147"/>
      <c r="AL3957" s="147"/>
      <c r="AM3957" s="147"/>
      <c r="AN3957" s="147"/>
      <c r="AO3957" s="147"/>
      <c r="AP3957" s="147"/>
      <c r="AQ3957" s="147"/>
      <c r="AR3957" s="147"/>
      <c r="AS3957" s="147"/>
      <c r="AT3957" s="147"/>
      <c r="AU3957" s="147"/>
      <c r="AV3957" s="147"/>
      <c r="AW3957" s="147"/>
      <c r="AX3957" s="147"/>
      <c r="AY3957" s="147"/>
      <c r="AZ3957" s="147"/>
      <c r="BA3957" s="147"/>
    </row>
    <row r="3958" spans="1:53" ht="15.75" customHeight="1">
      <c r="A3958" s="99"/>
      <c r="B3958" s="99"/>
      <c r="C3958" s="147"/>
      <c r="D3958" s="147"/>
      <c r="E3958" s="147"/>
      <c r="F3958" s="147"/>
      <c r="G3958" s="147"/>
      <c r="H3958" s="147"/>
      <c r="I3958" s="147"/>
      <c r="J3958" s="147"/>
      <c r="K3958" s="147"/>
      <c r="L3958" s="147"/>
      <c r="M3958" s="147"/>
      <c r="N3958" s="147"/>
      <c r="O3958" s="147"/>
      <c r="P3958" s="147"/>
      <c r="Q3958" s="147"/>
      <c r="R3958" s="147"/>
      <c r="S3958" s="147"/>
      <c r="T3958" s="147"/>
      <c r="U3958" s="147"/>
      <c r="V3958" s="147"/>
      <c r="W3958" s="147"/>
      <c r="X3958" s="147"/>
      <c r="Y3958" s="147"/>
      <c r="Z3958" s="147"/>
      <c r="AA3958" s="147"/>
      <c r="AB3958" s="147"/>
      <c r="AC3958" s="147"/>
      <c r="AD3958" s="147"/>
      <c r="AE3958" s="147"/>
      <c r="AF3958" s="147"/>
      <c r="AG3958" s="147"/>
      <c r="AH3958" s="147"/>
      <c r="AI3958" s="147"/>
      <c r="AJ3958" s="147"/>
      <c r="AK3958" s="147"/>
      <c r="AL3958" s="147"/>
      <c r="AM3958" s="147"/>
      <c r="AN3958" s="147"/>
      <c r="AO3958" s="147"/>
      <c r="AP3958" s="147"/>
      <c r="AQ3958" s="147"/>
      <c r="AR3958" s="147"/>
      <c r="AS3958" s="147"/>
      <c r="AT3958" s="147"/>
      <c r="AU3958" s="147"/>
      <c r="AV3958" s="147"/>
      <c r="AW3958" s="147"/>
      <c r="AX3958" s="147"/>
      <c r="AY3958" s="147"/>
      <c r="AZ3958" s="147"/>
      <c r="BA3958" s="147"/>
    </row>
    <row r="3959" spans="1:53" ht="15.75" customHeight="1">
      <c r="A3959" s="99"/>
      <c r="B3959" s="99"/>
      <c r="C3959" s="147"/>
      <c r="D3959" s="147"/>
      <c r="E3959" s="147"/>
      <c r="F3959" s="147"/>
      <c r="G3959" s="147"/>
      <c r="H3959" s="147"/>
      <c r="I3959" s="147"/>
      <c r="J3959" s="147"/>
      <c r="K3959" s="147"/>
      <c r="L3959" s="147"/>
      <c r="M3959" s="147"/>
      <c r="N3959" s="147"/>
      <c r="O3959" s="147"/>
      <c r="P3959" s="147"/>
      <c r="Q3959" s="147"/>
      <c r="R3959" s="147"/>
      <c r="S3959" s="147"/>
      <c r="T3959" s="147"/>
      <c r="U3959" s="147"/>
      <c r="V3959" s="147"/>
      <c r="W3959" s="147"/>
      <c r="X3959" s="147"/>
      <c r="Y3959" s="147"/>
      <c r="Z3959" s="147"/>
      <c r="AA3959" s="147"/>
      <c r="AB3959" s="147"/>
      <c r="AC3959" s="147"/>
      <c r="AD3959" s="147"/>
      <c r="AE3959" s="147"/>
      <c r="AF3959" s="147"/>
      <c r="AG3959" s="147"/>
      <c r="AH3959" s="147"/>
      <c r="AI3959" s="147"/>
      <c r="AJ3959" s="147"/>
      <c r="AK3959" s="147"/>
      <c r="AL3959" s="147"/>
      <c r="AM3959" s="147"/>
      <c r="AN3959" s="147"/>
      <c r="AO3959" s="147"/>
      <c r="AP3959" s="147"/>
      <c r="AQ3959" s="147"/>
      <c r="AR3959" s="147"/>
      <c r="AS3959" s="147"/>
      <c r="AT3959" s="147"/>
      <c r="AU3959" s="147"/>
      <c r="AV3959" s="147"/>
      <c r="AW3959" s="147"/>
      <c r="AX3959" s="147"/>
      <c r="AY3959" s="147"/>
      <c r="AZ3959" s="147"/>
      <c r="BA3959" s="147"/>
    </row>
    <row r="3960" spans="1:53" ht="15.75" customHeight="1">
      <c r="A3960" s="99"/>
      <c r="B3960" s="99"/>
      <c r="C3960" s="147"/>
      <c r="D3960" s="147"/>
      <c r="E3960" s="147"/>
      <c r="F3960" s="147"/>
      <c r="G3960" s="147"/>
      <c r="H3960" s="147"/>
      <c r="I3960" s="147"/>
      <c r="J3960" s="147"/>
      <c r="K3960" s="147"/>
      <c r="L3960" s="147"/>
      <c r="M3960" s="147"/>
      <c r="N3960" s="147"/>
      <c r="O3960" s="147"/>
      <c r="P3960" s="147"/>
      <c r="Q3960" s="147"/>
      <c r="R3960" s="147"/>
      <c r="S3960" s="147"/>
      <c r="T3960" s="147"/>
      <c r="U3960" s="147"/>
      <c r="V3960" s="147"/>
      <c r="W3960" s="147"/>
      <c r="X3960" s="147"/>
      <c r="Y3960" s="147"/>
      <c r="Z3960" s="147"/>
      <c r="AA3960" s="147"/>
      <c r="AB3960" s="147"/>
      <c r="AC3960" s="147"/>
      <c r="AD3960" s="147"/>
      <c r="AE3960" s="147"/>
      <c r="AF3960" s="147"/>
      <c r="AG3960" s="147"/>
      <c r="AH3960" s="147"/>
      <c r="AI3960" s="147"/>
      <c r="AJ3960" s="147"/>
      <c r="AK3960" s="147"/>
      <c r="AL3960" s="147"/>
      <c r="AM3960" s="147"/>
      <c r="AN3960" s="147"/>
      <c r="AO3960" s="147"/>
      <c r="AP3960" s="147"/>
      <c r="AQ3960" s="147"/>
      <c r="AR3960" s="147"/>
      <c r="AS3960" s="147"/>
      <c r="AT3960" s="147"/>
      <c r="AU3960" s="147"/>
      <c r="AV3960" s="147"/>
      <c r="AW3960" s="147"/>
      <c r="AX3960" s="147"/>
      <c r="AY3960" s="147"/>
      <c r="AZ3960" s="147"/>
      <c r="BA3960" s="147"/>
    </row>
    <row r="3961" spans="1:53" ht="15.75" customHeight="1">
      <c r="A3961" s="99"/>
      <c r="B3961" s="99"/>
      <c r="C3961" s="147"/>
      <c r="D3961" s="147"/>
      <c r="E3961" s="147"/>
      <c r="F3961" s="147"/>
      <c r="G3961" s="147"/>
      <c r="H3961" s="147"/>
      <c r="I3961" s="147"/>
      <c r="J3961" s="147"/>
      <c r="K3961" s="147"/>
      <c r="L3961" s="147"/>
      <c r="M3961" s="147"/>
      <c r="N3961" s="147"/>
      <c r="O3961" s="147"/>
      <c r="P3961" s="147"/>
      <c r="Q3961" s="147"/>
      <c r="R3961" s="147"/>
      <c r="S3961" s="147"/>
      <c r="T3961" s="147"/>
      <c r="U3961" s="147"/>
      <c r="V3961" s="147"/>
      <c r="W3961" s="147"/>
      <c r="X3961" s="147"/>
      <c r="Y3961" s="147"/>
      <c r="Z3961" s="147"/>
      <c r="AA3961" s="147"/>
      <c r="AB3961" s="147"/>
      <c r="AC3961" s="147"/>
      <c r="AD3961" s="147"/>
      <c r="AE3961" s="147"/>
      <c r="AF3961" s="147"/>
      <c r="AG3961" s="147"/>
      <c r="AH3961" s="147"/>
      <c r="AI3961" s="147"/>
      <c r="AJ3961" s="147"/>
      <c r="AK3961" s="147"/>
      <c r="AL3961" s="147"/>
      <c r="AM3961" s="147"/>
      <c r="AN3961" s="147"/>
      <c r="AO3961" s="147"/>
      <c r="AP3961" s="147"/>
      <c r="AQ3961" s="147"/>
      <c r="AR3961" s="147"/>
      <c r="AS3961" s="147"/>
      <c r="AT3961" s="147"/>
      <c r="AU3961" s="147"/>
      <c r="AV3961" s="147"/>
      <c r="AW3961" s="147"/>
      <c r="AX3961" s="147"/>
      <c r="AY3961" s="147"/>
      <c r="AZ3961" s="147"/>
      <c r="BA3961" s="147"/>
    </row>
    <row r="3962" spans="1:53" ht="15.75" customHeight="1">
      <c r="A3962" s="99"/>
      <c r="B3962" s="99"/>
      <c r="C3962" s="147"/>
      <c r="D3962" s="147"/>
      <c r="E3962" s="147"/>
      <c r="F3962" s="147"/>
      <c r="G3962" s="147"/>
      <c r="H3962" s="147"/>
      <c r="I3962" s="147"/>
      <c r="J3962" s="147"/>
      <c r="K3962" s="147"/>
      <c r="L3962" s="147"/>
      <c r="M3962" s="147"/>
      <c r="N3962" s="147"/>
      <c r="O3962" s="147"/>
      <c r="P3962" s="147"/>
      <c r="Q3962" s="147"/>
      <c r="R3962" s="147"/>
      <c r="S3962" s="147"/>
      <c r="T3962" s="147"/>
      <c r="U3962" s="147"/>
      <c r="V3962" s="147"/>
      <c r="W3962" s="147"/>
      <c r="X3962" s="147"/>
      <c r="Y3962" s="147"/>
      <c r="Z3962" s="147"/>
      <c r="AA3962" s="147"/>
      <c r="AB3962" s="147"/>
      <c r="AC3962" s="147"/>
      <c r="AD3962" s="147"/>
      <c r="AE3962" s="147"/>
      <c r="AF3962" s="147"/>
      <c r="AG3962" s="147"/>
      <c r="AH3962" s="147"/>
      <c r="AI3962" s="147"/>
      <c r="AJ3962" s="147"/>
      <c r="AK3962" s="147"/>
      <c r="AL3962" s="147"/>
      <c r="AM3962" s="147"/>
      <c r="AN3962" s="147"/>
      <c r="AO3962" s="147"/>
      <c r="AP3962" s="147"/>
      <c r="AQ3962" s="147"/>
      <c r="AR3962" s="147"/>
      <c r="AS3962" s="147"/>
      <c r="AT3962" s="147"/>
      <c r="AU3962" s="147"/>
      <c r="AV3962" s="147"/>
      <c r="AW3962" s="147"/>
      <c r="AX3962" s="147"/>
      <c r="AY3962" s="147"/>
      <c r="AZ3962" s="147"/>
      <c r="BA3962" s="147"/>
    </row>
    <row r="3963" spans="1:53" ht="15.75" customHeight="1">
      <c r="A3963" s="99"/>
      <c r="B3963" s="99"/>
      <c r="C3963" s="147"/>
      <c r="D3963" s="147"/>
      <c r="E3963" s="147"/>
      <c r="F3963" s="147"/>
      <c r="G3963" s="147"/>
      <c r="H3963" s="147"/>
      <c r="I3963" s="147"/>
      <c r="J3963" s="147"/>
      <c r="K3963" s="147"/>
      <c r="L3963" s="147"/>
      <c r="M3963" s="147"/>
      <c r="N3963" s="147"/>
      <c r="O3963" s="147"/>
      <c r="P3963" s="147"/>
      <c r="Q3963" s="147"/>
      <c r="R3963" s="147"/>
      <c r="S3963" s="147"/>
      <c r="T3963" s="147"/>
      <c r="U3963" s="147"/>
      <c r="V3963" s="147"/>
      <c r="W3963" s="147"/>
      <c r="X3963" s="147"/>
      <c r="Y3963" s="147"/>
      <c r="Z3963" s="147"/>
      <c r="AA3963" s="147"/>
      <c r="AB3963" s="147"/>
      <c r="AC3963" s="147"/>
      <c r="AD3963" s="147"/>
      <c r="AE3963" s="147"/>
      <c r="AF3963" s="147"/>
      <c r="AG3963" s="147"/>
      <c r="AH3963" s="147"/>
      <c r="AI3963" s="147"/>
      <c r="AJ3963" s="147"/>
      <c r="AK3963" s="147"/>
      <c r="AL3963" s="147"/>
      <c r="AM3963" s="147"/>
      <c r="AN3963" s="147"/>
      <c r="AO3963" s="147"/>
      <c r="AP3963" s="147"/>
      <c r="AQ3963" s="147"/>
      <c r="AR3963" s="147"/>
      <c r="AS3963" s="147"/>
      <c r="AT3963" s="147"/>
      <c r="AU3963" s="147"/>
      <c r="AV3963" s="147"/>
      <c r="AW3963" s="147"/>
      <c r="AX3963" s="147"/>
      <c r="AY3963" s="147"/>
      <c r="AZ3963" s="147"/>
      <c r="BA3963" s="147"/>
    </row>
    <row r="3964" spans="1:53" ht="15.75" customHeight="1">
      <c r="A3964" s="99"/>
      <c r="B3964" s="99"/>
      <c r="C3964" s="147"/>
      <c r="D3964" s="147"/>
      <c r="E3964" s="147"/>
      <c r="F3964" s="147"/>
      <c r="G3964" s="147"/>
      <c r="H3964" s="147"/>
      <c r="I3964" s="147"/>
      <c r="J3964" s="147"/>
      <c r="K3964" s="147"/>
      <c r="L3964" s="147"/>
      <c r="M3964" s="147"/>
      <c r="N3964" s="147"/>
      <c r="O3964" s="147"/>
      <c r="P3964" s="147"/>
      <c r="Q3964" s="147"/>
      <c r="R3964" s="147"/>
      <c r="S3964" s="147"/>
      <c r="T3964" s="147"/>
      <c r="U3964" s="147"/>
      <c r="V3964" s="147"/>
      <c r="W3964" s="147"/>
      <c r="X3964" s="147"/>
      <c r="Y3964" s="147"/>
      <c r="Z3964" s="147"/>
      <c r="AA3964" s="147"/>
      <c r="AB3964" s="147"/>
      <c r="AC3964" s="147"/>
      <c r="AD3964" s="147"/>
      <c r="AE3964" s="147"/>
      <c r="AF3964" s="147"/>
      <c r="AG3964" s="147"/>
      <c r="AH3964" s="147"/>
      <c r="AI3964" s="147"/>
      <c r="AJ3964" s="147"/>
      <c r="AK3964" s="147"/>
      <c r="AL3964" s="147"/>
      <c r="AM3964" s="147"/>
      <c r="AN3964" s="147"/>
      <c r="AO3964" s="147"/>
      <c r="AP3964" s="147"/>
      <c r="AQ3964" s="147"/>
      <c r="AR3964" s="147"/>
      <c r="AS3964" s="147"/>
      <c r="AT3964" s="147"/>
      <c r="AU3964" s="147"/>
      <c r="AV3964" s="147"/>
      <c r="AW3964" s="147"/>
      <c r="AX3964" s="147"/>
      <c r="AY3964" s="147"/>
      <c r="AZ3964" s="147"/>
      <c r="BA3964" s="147"/>
    </row>
    <row r="3965" spans="1:53" ht="15.75" customHeight="1">
      <c r="A3965" s="99"/>
      <c r="B3965" s="99"/>
      <c r="C3965" s="147"/>
      <c r="D3965" s="147"/>
      <c r="E3965" s="147"/>
      <c r="F3965" s="147"/>
      <c r="G3965" s="147"/>
      <c r="H3965" s="147"/>
      <c r="I3965" s="147"/>
      <c r="J3965" s="147"/>
      <c r="K3965" s="147"/>
      <c r="L3965" s="147"/>
      <c r="M3965" s="147"/>
      <c r="N3965" s="147"/>
      <c r="O3965" s="147"/>
      <c r="P3965" s="147"/>
      <c r="Q3965" s="147"/>
      <c r="R3965" s="147"/>
      <c r="S3965" s="147"/>
      <c r="T3965" s="147"/>
      <c r="U3965" s="147"/>
      <c r="V3965" s="147"/>
      <c r="W3965" s="147"/>
      <c r="X3965" s="147"/>
      <c r="Y3965" s="147"/>
      <c r="Z3965" s="147"/>
      <c r="AA3965" s="147"/>
      <c r="AB3965" s="147"/>
      <c r="AC3965" s="147"/>
      <c r="AD3965" s="147"/>
      <c r="AE3965" s="147"/>
      <c r="AF3965" s="147"/>
      <c r="AG3965" s="147"/>
      <c r="AH3965" s="147"/>
      <c r="AI3965" s="147"/>
      <c r="AJ3965" s="147"/>
      <c r="AK3965" s="147"/>
      <c r="AL3965" s="147"/>
      <c r="AM3965" s="147"/>
      <c r="AN3965" s="147"/>
      <c r="AO3965" s="147"/>
      <c r="AP3965" s="147"/>
      <c r="AQ3965" s="147"/>
      <c r="AR3965" s="147"/>
      <c r="AS3965" s="147"/>
      <c r="AT3965" s="147"/>
      <c r="AU3965" s="147"/>
      <c r="AV3965" s="147"/>
      <c r="AW3965" s="147"/>
      <c r="AX3965" s="147"/>
      <c r="AY3965" s="147"/>
      <c r="AZ3965" s="147"/>
      <c r="BA3965" s="147"/>
    </row>
    <row r="3966" spans="1:53" ht="15.75" customHeight="1">
      <c r="A3966" s="99"/>
      <c r="B3966" s="99"/>
      <c r="C3966" s="147"/>
      <c r="D3966" s="147"/>
      <c r="E3966" s="147"/>
      <c r="F3966" s="147"/>
      <c r="G3966" s="147"/>
      <c r="H3966" s="147"/>
      <c r="I3966" s="147"/>
      <c r="J3966" s="147"/>
      <c r="K3966" s="147"/>
      <c r="L3966" s="147"/>
      <c r="M3966" s="147"/>
      <c r="N3966" s="147"/>
      <c r="O3966" s="147"/>
      <c r="P3966" s="147"/>
      <c r="Q3966" s="147"/>
      <c r="R3966" s="147"/>
      <c r="S3966" s="147"/>
      <c r="T3966" s="147"/>
      <c r="U3966" s="147"/>
      <c r="V3966" s="147"/>
      <c r="W3966" s="147"/>
      <c r="X3966" s="147"/>
      <c r="Y3966" s="147"/>
      <c r="Z3966" s="147"/>
      <c r="AA3966" s="147"/>
      <c r="AB3966" s="147"/>
      <c r="AC3966" s="147"/>
      <c r="AD3966" s="147"/>
      <c r="AE3966" s="147"/>
      <c r="AF3966" s="147"/>
      <c r="AG3966" s="147"/>
      <c r="AH3966" s="147"/>
      <c r="AI3966" s="147"/>
      <c r="AJ3966" s="147"/>
      <c r="AK3966" s="147"/>
      <c r="AL3966" s="147"/>
      <c r="AM3966" s="147"/>
      <c r="AN3966" s="147"/>
      <c r="AO3966" s="147"/>
      <c r="AP3966" s="147"/>
      <c r="AQ3966" s="147"/>
      <c r="AR3966" s="147"/>
      <c r="AS3966" s="147"/>
      <c r="AT3966" s="147"/>
      <c r="AU3966" s="147"/>
      <c r="AV3966" s="147"/>
      <c r="AW3966" s="147"/>
      <c r="AX3966" s="147"/>
      <c r="AY3966" s="147"/>
      <c r="AZ3966" s="147"/>
      <c r="BA3966" s="147"/>
    </row>
    <row r="3967" spans="1:53" ht="15.75" customHeight="1">
      <c r="A3967" s="99"/>
      <c r="B3967" s="99"/>
      <c r="C3967" s="147"/>
      <c r="D3967" s="147"/>
      <c r="E3967" s="147"/>
      <c r="F3967" s="147"/>
      <c r="G3967" s="147"/>
      <c r="H3967" s="147"/>
      <c r="I3967" s="147"/>
      <c r="J3967" s="147"/>
      <c r="K3967" s="147"/>
      <c r="L3967" s="147"/>
      <c r="M3967" s="147"/>
      <c r="N3967" s="147"/>
      <c r="O3967" s="147"/>
      <c r="P3967" s="147"/>
      <c r="Q3967" s="147"/>
      <c r="R3967" s="147"/>
      <c r="S3967" s="147"/>
      <c r="T3967" s="147"/>
      <c r="U3967" s="147"/>
      <c r="V3967" s="147"/>
      <c r="W3967" s="147"/>
      <c r="X3967" s="147"/>
      <c r="Y3967" s="147"/>
      <c r="Z3967" s="147"/>
      <c r="AA3967" s="147"/>
      <c r="AB3967" s="147"/>
      <c r="AC3967" s="147"/>
      <c r="AD3967" s="147"/>
      <c r="AE3967" s="147"/>
      <c r="AF3967" s="147"/>
      <c r="AG3967" s="147"/>
      <c r="AH3967" s="147"/>
      <c r="AI3967" s="147"/>
      <c r="AJ3967" s="147"/>
      <c r="AK3967" s="147"/>
      <c r="AL3967" s="147"/>
      <c r="AM3967" s="147"/>
      <c r="AN3967" s="147"/>
      <c r="AO3967" s="147"/>
      <c r="AP3967" s="147"/>
      <c r="AQ3967" s="147"/>
      <c r="AR3967" s="147"/>
      <c r="AS3967" s="147"/>
      <c r="AT3967" s="147"/>
      <c r="AU3967" s="147"/>
      <c r="AV3967" s="147"/>
      <c r="AW3967" s="147"/>
      <c r="AX3967" s="147"/>
      <c r="AY3967" s="147"/>
      <c r="AZ3967" s="147"/>
      <c r="BA3967" s="147"/>
    </row>
    <row r="3968" spans="1:53" ht="15.75" customHeight="1">
      <c r="A3968" s="99"/>
      <c r="B3968" s="99"/>
      <c r="C3968" s="147"/>
      <c r="D3968" s="147"/>
      <c r="E3968" s="147"/>
      <c r="F3968" s="147"/>
      <c r="G3968" s="147"/>
      <c r="H3968" s="147"/>
      <c r="I3968" s="147"/>
      <c r="J3968" s="147"/>
      <c r="K3968" s="147"/>
      <c r="L3968" s="147"/>
      <c r="M3968" s="147"/>
      <c r="N3968" s="147"/>
      <c r="O3968" s="147"/>
      <c r="P3968" s="147"/>
      <c r="Q3968" s="147"/>
      <c r="R3968" s="147"/>
      <c r="S3968" s="147"/>
      <c r="T3968" s="147"/>
      <c r="U3968" s="147"/>
      <c r="V3968" s="147"/>
      <c r="W3968" s="147"/>
      <c r="X3968" s="147"/>
      <c r="Y3968" s="147"/>
      <c r="Z3968" s="147"/>
      <c r="AA3968" s="147"/>
      <c r="AB3968" s="147"/>
      <c r="AC3968" s="147"/>
      <c r="AD3968" s="147"/>
      <c r="AE3968" s="147"/>
      <c r="AF3968" s="147"/>
      <c r="AG3968" s="147"/>
      <c r="AH3968" s="147"/>
      <c r="AI3968" s="147"/>
      <c r="AJ3968" s="147"/>
      <c r="AK3968" s="147"/>
      <c r="AL3968" s="147"/>
      <c r="AM3968" s="147"/>
      <c r="AN3968" s="147"/>
      <c r="AO3968" s="147"/>
      <c r="AP3968" s="147"/>
      <c r="AQ3968" s="147"/>
      <c r="AR3968" s="147"/>
      <c r="AS3968" s="147"/>
      <c r="AT3968" s="147"/>
      <c r="AU3968" s="147"/>
      <c r="AV3968" s="147"/>
      <c r="AW3968" s="147"/>
      <c r="AX3968" s="147"/>
      <c r="AY3968" s="147"/>
      <c r="AZ3968" s="147"/>
      <c r="BA3968" s="147"/>
    </row>
    <row r="3969" spans="1:53" ht="15.75" customHeight="1">
      <c r="A3969" s="99"/>
      <c r="B3969" s="99"/>
      <c r="C3969" s="147"/>
      <c r="D3969" s="147"/>
      <c r="E3969" s="147"/>
      <c r="F3969" s="147"/>
      <c r="G3969" s="147"/>
      <c r="H3969" s="147"/>
      <c r="I3969" s="147"/>
      <c r="J3969" s="147"/>
      <c r="K3969" s="147"/>
      <c r="L3969" s="147"/>
      <c r="M3969" s="147"/>
      <c r="N3969" s="147"/>
      <c r="O3969" s="147"/>
      <c r="P3969" s="147"/>
      <c r="Q3969" s="147"/>
      <c r="R3969" s="147"/>
      <c r="S3969" s="147"/>
      <c r="T3969" s="147"/>
      <c r="U3969" s="147"/>
      <c r="V3969" s="147"/>
      <c r="W3969" s="147"/>
      <c r="X3969" s="147"/>
      <c r="Y3969" s="147"/>
      <c r="Z3969" s="147"/>
      <c r="AA3969" s="147"/>
      <c r="AB3969" s="147"/>
      <c r="AC3969" s="147"/>
      <c r="AD3969" s="147"/>
      <c r="AE3969" s="147"/>
      <c r="AF3969" s="147"/>
      <c r="AG3969" s="147"/>
      <c r="AH3969" s="147"/>
      <c r="AI3969" s="147"/>
      <c r="AJ3969" s="147"/>
      <c r="AK3969" s="147"/>
      <c r="AL3969" s="147"/>
      <c r="AM3969" s="147"/>
      <c r="AN3969" s="147"/>
      <c r="AO3969" s="147"/>
      <c r="AP3969" s="147"/>
      <c r="AQ3969" s="147"/>
      <c r="AR3969" s="147"/>
      <c r="AS3969" s="147"/>
      <c r="AT3969" s="147"/>
      <c r="AU3969" s="147"/>
      <c r="AV3969" s="147"/>
      <c r="AW3969" s="147"/>
      <c r="AX3969" s="147"/>
      <c r="AY3969" s="147"/>
      <c r="AZ3969" s="147"/>
      <c r="BA3969" s="147"/>
    </row>
    <row r="3970" spans="1:53" ht="15.75" customHeight="1">
      <c r="A3970" s="99"/>
      <c r="B3970" s="99"/>
      <c r="C3970" s="147"/>
      <c r="D3970" s="147"/>
      <c r="E3970" s="147"/>
      <c r="F3970" s="147"/>
      <c r="G3970" s="147"/>
      <c r="H3970" s="147"/>
      <c r="I3970" s="147"/>
      <c r="J3970" s="147"/>
      <c r="K3970" s="147"/>
      <c r="L3970" s="147"/>
      <c r="M3970" s="147"/>
      <c r="N3970" s="147"/>
      <c r="O3970" s="147"/>
      <c r="P3970" s="147"/>
      <c r="Q3970" s="147"/>
      <c r="R3970" s="147"/>
      <c r="S3970" s="147"/>
      <c r="T3970" s="147"/>
      <c r="U3970" s="147"/>
      <c r="V3970" s="147"/>
      <c r="W3970" s="147"/>
      <c r="X3970" s="147"/>
      <c r="Y3970" s="147"/>
      <c r="Z3970" s="147"/>
      <c r="AA3970" s="147"/>
      <c r="AB3970" s="147"/>
      <c r="AC3970" s="147"/>
      <c r="AD3970" s="147"/>
      <c r="AE3970" s="147"/>
      <c r="AF3970" s="147"/>
      <c r="AG3970" s="147"/>
      <c r="AH3970" s="147"/>
      <c r="AI3970" s="147"/>
      <c r="AJ3970" s="147"/>
      <c r="AK3970" s="147"/>
      <c r="AL3970" s="147"/>
      <c r="AM3970" s="147"/>
      <c r="AN3970" s="147"/>
      <c r="AO3970" s="147"/>
      <c r="AP3970" s="147"/>
      <c r="AQ3970" s="147"/>
      <c r="AR3970" s="147"/>
      <c r="AS3970" s="147"/>
      <c r="AT3970" s="147"/>
      <c r="AU3970" s="147"/>
      <c r="AV3970" s="147"/>
      <c r="AW3970" s="147"/>
      <c r="AX3970" s="147"/>
      <c r="AY3970" s="147"/>
      <c r="AZ3970" s="147"/>
      <c r="BA3970" s="147"/>
    </row>
    <row r="3971" spans="1:53" ht="15.75" customHeight="1">
      <c r="A3971" s="99"/>
      <c r="B3971" s="99"/>
      <c r="C3971" s="147"/>
      <c r="D3971" s="147"/>
      <c r="E3971" s="147"/>
      <c r="F3971" s="147"/>
      <c r="G3971" s="147"/>
      <c r="H3971" s="147"/>
      <c r="I3971" s="147"/>
      <c r="J3971" s="147"/>
      <c r="K3971" s="147"/>
      <c r="L3971" s="147"/>
      <c r="M3971" s="147"/>
      <c r="N3971" s="147"/>
      <c r="O3971" s="147"/>
      <c r="P3971" s="147"/>
      <c r="Q3971" s="147"/>
      <c r="R3971" s="147"/>
      <c r="S3971" s="147"/>
      <c r="T3971" s="147"/>
      <c r="U3971" s="147"/>
      <c r="V3971" s="147"/>
      <c r="W3971" s="147"/>
      <c r="X3971" s="147"/>
      <c r="Y3971" s="147"/>
      <c r="Z3971" s="147"/>
      <c r="AA3971" s="147"/>
      <c r="AB3971" s="147"/>
      <c r="AC3971" s="147"/>
      <c r="AD3971" s="147"/>
      <c r="AE3971" s="147"/>
      <c r="AF3971" s="147"/>
      <c r="AG3971" s="147"/>
      <c r="AH3971" s="147"/>
      <c r="AI3971" s="147"/>
      <c r="AJ3971" s="147"/>
      <c r="AK3971" s="147"/>
      <c r="AL3971" s="147"/>
      <c r="AM3971" s="147"/>
      <c r="AN3971" s="147"/>
      <c r="AO3971" s="147"/>
      <c r="AP3971" s="147"/>
      <c r="AQ3971" s="147"/>
      <c r="AR3971" s="147"/>
      <c r="AS3971" s="147"/>
      <c r="AT3971" s="147"/>
      <c r="AU3971" s="147"/>
      <c r="AV3971" s="147"/>
      <c r="AW3971" s="147"/>
      <c r="AX3971" s="147"/>
      <c r="AY3971" s="147"/>
      <c r="AZ3971" s="147"/>
      <c r="BA3971" s="147"/>
    </row>
    <row r="3972" spans="1:53" ht="15.75" customHeight="1">
      <c r="A3972" s="99"/>
      <c r="B3972" s="99"/>
      <c r="C3972" s="147"/>
      <c r="D3972" s="147"/>
      <c r="E3972" s="147"/>
      <c r="F3972" s="147"/>
      <c r="G3972" s="147"/>
      <c r="H3972" s="147"/>
      <c r="I3972" s="147"/>
      <c r="J3972" s="147"/>
      <c r="K3972" s="147"/>
      <c r="L3972" s="147"/>
      <c r="M3972" s="147"/>
      <c r="N3972" s="147"/>
      <c r="O3972" s="147"/>
      <c r="P3972" s="147"/>
      <c r="Q3972" s="147"/>
      <c r="R3972" s="147"/>
      <c r="S3972" s="147"/>
      <c r="T3972" s="147"/>
      <c r="U3972" s="147"/>
      <c r="V3972" s="147"/>
      <c r="W3972" s="147"/>
      <c r="X3972" s="147"/>
      <c r="Y3972" s="147"/>
      <c r="Z3972" s="147"/>
      <c r="AA3972" s="147"/>
      <c r="AB3972" s="147"/>
      <c r="AC3972" s="147"/>
      <c r="AD3972" s="147"/>
      <c r="AE3972" s="147"/>
      <c r="AF3972" s="147"/>
      <c r="AG3972" s="147"/>
      <c r="AH3972" s="147"/>
      <c r="AI3972" s="147"/>
      <c r="AJ3972" s="147"/>
      <c r="AK3972" s="147"/>
      <c r="AL3972" s="147"/>
      <c r="AM3972" s="147"/>
      <c r="AN3972" s="147"/>
      <c r="AO3972" s="147"/>
      <c r="AP3972" s="147"/>
      <c r="AQ3972" s="147"/>
      <c r="AR3972" s="147"/>
      <c r="AS3972" s="147"/>
      <c r="AT3972" s="147"/>
      <c r="AU3972" s="147"/>
      <c r="AV3972" s="147"/>
      <c r="AW3972" s="147"/>
      <c r="AX3972" s="147"/>
      <c r="AY3972" s="147"/>
      <c r="AZ3972" s="147"/>
      <c r="BA3972" s="147"/>
    </row>
    <row r="3973" spans="1:53" ht="15.75" customHeight="1">
      <c r="A3973" s="99"/>
      <c r="B3973" s="99"/>
      <c r="C3973" s="147"/>
      <c r="D3973" s="147"/>
      <c r="E3973" s="147"/>
      <c r="F3973" s="147"/>
      <c r="G3973" s="147"/>
      <c r="H3973" s="147"/>
      <c r="I3973" s="147"/>
      <c r="J3973" s="147"/>
      <c r="K3973" s="147"/>
      <c r="L3973" s="147"/>
      <c r="M3973" s="147"/>
      <c r="N3973" s="147"/>
      <c r="O3973" s="147"/>
      <c r="P3973" s="147"/>
      <c r="Q3973" s="147"/>
      <c r="R3973" s="147"/>
      <c r="S3973" s="147"/>
      <c r="T3973" s="147"/>
      <c r="U3973" s="147"/>
      <c r="V3973" s="147"/>
      <c r="W3973" s="147"/>
      <c r="X3973" s="147"/>
      <c r="Y3973" s="147"/>
      <c r="Z3973" s="147"/>
      <c r="AA3973" s="147"/>
      <c r="AB3973" s="147"/>
      <c r="AC3973" s="147"/>
      <c r="AD3973" s="147"/>
      <c r="AE3973" s="147"/>
      <c r="AF3973" s="147"/>
      <c r="AG3973" s="147"/>
      <c r="AH3973" s="147"/>
      <c r="AI3973" s="147"/>
      <c r="AJ3973" s="147"/>
      <c r="AK3973" s="147"/>
      <c r="AL3973" s="147"/>
      <c r="AM3973" s="147"/>
      <c r="AN3973" s="147"/>
      <c r="AO3973" s="147"/>
      <c r="AP3973" s="147"/>
      <c r="AQ3973" s="147"/>
      <c r="AR3973" s="147"/>
      <c r="AS3973" s="147"/>
      <c r="AT3973" s="147"/>
      <c r="AU3973" s="147"/>
      <c r="AV3973" s="147"/>
      <c r="AW3973" s="147"/>
      <c r="AX3973" s="147"/>
      <c r="AY3973" s="147"/>
      <c r="AZ3973" s="147"/>
      <c r="BA3973" s="147"/>
    </row>
    <row r="3974" spans="1:53" ht="15.75" customHeight="1">
      <c r="A3974" s="99"/>
      <c r="B3974" s="99"/>
      <c r="C3974" s="147"/>
      <c r="D3974" s="147"/>
      <c r="E3974" s="147"/>
      <c r="F3974" s="147"/>
      <c r="G3974" s="147"/>
      <c r="H3974" s="147"/>
      <c r="I3974" s="147"/>
      <c r="J3974" s="147"/>
      <c r="K3974" s="147"/>
      <c r="L3974" s="147"/>
      <c r="M3974" s="147"/>
      <c r="N3974" s="147"/>
      <c r="O3974" s="147"/>
      <c r="P3974" s="147"/>
      <c r="Q3974" s="147"/>
      <c r="R3974" s="147"/>
      <c r="S3974" s="147"/>
      <c r="T3974" s="147"/>
      <c r="U3974" s="147"/>
      <c r="V3974" s="147"/>
      <c r="W3974" s="147"/>
      <c r="X3974" s="147"/>
      <c r="Y3974" s="147"/>
      <c r="Z3974" s="147"/>
      <c r="AA3974" s="147"/>
      <c r="AB3974" s="147"/>
      <c r="AC3974" s="147"/>
      <c r="AD3974" s="147"/>
      <c r="AE3974" s="147"/>
      <c r="AF3974" s="147"/>
      <c r="AG3974" s="147"/>
      <c r="AH3974" s="147"/>
      <c r="AI3974" s="147"/>
      <c r="AJ3974" s="147"/>
      <c r="AK3974" s="147"/>
      <c r="AL3974" s="147"/>
      <c r="AM3974" s="147"/>
      <c r="AN3974" s="147"/>
      <c r="AO3974" s="147"/>
      <c r="AP3974" s="147"/>
      <c r="AQ3974" s="147"/>
      <c r="AR3974" s="147"/>
      <c r="AS3974" s="147"/>
      <c r="AT3974" s="147"/>
      <c r="AU3974" s="147"/>
      <c r="AV3974" s="147"/>
      <c r="AW3974" s="147"/>
      <c r="AX3974" s="147"/>
      <c r="AY3974" s="147"/>
      <c r="AZ3974" s="147"/>
      <c r="BA3974" s="147"/>
    </row>
    <row r="3975" spans="1:53" ht="15.75" customHeight="1">
      <c r="A3975" s="99"/>
      <c r="B3975" s="99"/>
      <c r="C3975" s="147"/>
      <c r="D3975" s="147"/>
      <c r="E3975" s="147"/>
      <c r="F3975" s="147"/>
      <c r="G3975" s="147"/>
      <c r="H3975" s="147"/>
      <c r="I3975" s="147"/>
      <c r="J3975" s="147"/>
      <c r="K3975" s="147"/>
      <c r="L3975" s="147"/>
      <c r="M3975" s="147"/>
      <c r="N3975" s="147"/>
      <c r="O3975" s="147"/>
      <c r="P3975" s="147"/>
      <c r="Q3975" s="147"/>
      <c r="R3975" s="147"/>
      <c r="S3975" s="147"/>
      <c r="T3975" s="147"/>
      <c r="U3975" s="147"/>
      <c r="V3975" s="147"/>
      <c r="W3975" s="147"/>
      <c r="X3975" s="147"/>
      <c r="Y3975" s="147"/>
      <c r="Z3975" s="147"/>
      <c r="AA3975" s="147"/>
      <c r="AB3975" s="147"/>
      <c r="AC3975" s="147"/>
      <c r="AD3975" s="147"/>
      <c r="AE3975" s="147"/>
      <c r="AF3975" s="147"/>
      <c r="AG3975" s="147"/>
      <c r="AH3975" s="147"/>
      <c r="AI3975" s="147"/>
      <c r="AJ3975" s="147"/>
      <c r="AK3975" s="147"/>
      <c r="AL3975" s="147"/>
      <c r="AM3975" s="147"/>
      <c r="AN3975" s="147"/>
      <c r="AO3975" s="147"/>
      <c r="AP3975" s="147"/>
      <c r="AQ3975" s="147"/>
      <c r="AR3975" s="147"/>
      <c r="AS3975" s="147"/>
      <c r="AT3975" s="147"/>
      <c r="AU3975" s="147"/>
      <c r="AV3975" s="147"/>
      <c r="AW3975" s="147"/>
      <c r="AX3975" s="147"/>
      <c r="AY3975" s="147"/>
      <c r="AZ3975" s="147"/>
      <c r="BA3975" s="147"/>
    </row>
    <row r="3976" spans="1:53" ht="15.75" customHeight="1">
      <c r="A3976" s="99"/>
      <c r="B3976" s="99"/>
      <c r="C3976" s="147"/>
      <c r="D3976" s="147"/>
      <c r="E3976" s="147"/>
      <c r="F3976" s="147"/>
      <c r="G3976" s="147"/>
      <c r="H3976" s="147"/>
      <c r="I3976" s="147"/>
      <c r="J3976" s="147"/>
      <c r="K3976" s="147"/>
      <c r="L3976" s="147"/>
      <c r="M3976" s="147"/>
      <c r="N3976" s="147"/>
      <c r="O3976" s="147"/>
      <c r="P3976" s="147"/>
      <c r="Q3976" s="147"/>
      <c r="R3976" s="147"/>
      <c r="S3976" s="147"/>
      <c r="T3976" s="147"/>
      <c r="U3976" s="147"/>
      <c r="V3976" s="147"/>
      <c r="W3976" s="147"/>
      <c r="X3976" s="147"/>
      <c r="Y3976" s="147"/>
      <c r="Z3976" s="147"/>
      <c r="AA3976" s="147"/>
      <c r="AB3976" s="147"/>
      <c r="AC3976" s="147"/>
      <c r="AD3976" s="147"/>
      <c r="AE3976" s="147"/>
      <c r="AF3976" s="147"/>
      <c r="AG3976" s="147"/>
      <c r="AH3976" s="147"/>
      <c r="AI3976" s="147"/>
      <c r="AJ3976" s="147"/>
      <c r="AK3976" s="147"/>
      <c r="AL3976" s="147"/>
      <c r="AM3976" s="147"/>
      <c r="AN3976" s="147"/>
      <c r="AO3976" s="147"/>
      <c r="AP3976" s="147"/>
      <c r="AQ3976" s="147"/>
      <c r="AR3976" s="147"/>
      <c r="AS3976" s="147"/>
      <c r="AT3976" s="147"/>
      <c r="AU3976" s="147"/>
      <c r="AV3976" s="147"/>
      <c r="AW3976" s="147"/>
      <c r="AX3976" s="147"/>
      <c r="AY3976" s="147"/>
      <c r="AZ3976" s="147"/>
      <c r="BA3976" s="147"/>
    </row>
    <row r="3977" spans="1:53" ht="15.75" customHeight="1">
      <c r="A3977" s="99"/>
      <c r="B3977" s="99"/>
      <c r="C3977" s="147"/>
      <c r="D3977" s="147"/>
      <c r="E3977" s="147"/>
      <c r="F3977" s="147"/>
      <c r="G3977" s="147"/>
      <c r="H3977" s="147"/>
      <c r="I3977" s="147"/>
      <c r="J3977" s="147"/>
      <c r="K3977" s="147"/>
      <c r="L3977" s="147"/>
      <c r="M3977" s="147"/>
      <c r="N3977" s="147"/>
      <c r="O3977" s="147"/>
      <c r="P3977" s="147"/>
      <c r="Q3977" s="147"/>
      <c r="R3977" s="147"/>
      <c r="S3977" s="147"/>
      <c r="T3977" s="147"/>
      <c r="U3977" s="147"/>
      <c r="V3977" s="147"/>
      <c r="W3977" s="147"/>
      <c r="X3977" s="147"/>
      <c r="Y3977" s="147"/>
      <c r="Z3977" s="147"/>
      <c r="AA3977" s="147"/>
      <c r="AB3977" s="147"/>
      <c r="AC3977" s="147"/>
      <c r="AD3977" s="147"/>
      <c r="AE3977" s="147"/>
      <c r="AF3977" s="147"/>
      <c r="AG3977" s="147"/>
      <c r="AH3977" s="147"/>
      <c r="AI3977" s="147"/>
      <c r="AJ3977" s="147"/>
      <c r="AK3977" s="147"/>
      <c r="AL3977" s="147"/>
      <c r="AM3977" s="147"/>
      <c r="AN3977" s="147"/>
      <c r="AO3977" s="147"/>
      <c r="AP3977" s="147"/>
      <c r="AQ3977" s="147"/>
      <c r="AR3977" s="147"/>
      <c r="AS3977" s="147"/>
      <c r="AT3977" s="147"/>
      <c r="AU3977" s="147"/>
      <c r="AV3977" s="147"/>
      <c r="AW3977" s="147"/>
      <c r="AX3977" s="147"/>
      <c r="AY3977" s="147"/>
      <c r="AZ3977" s="147"/>
      <c r="BA3977" s="147"/>
    </row>
    <row r="3978" spans="1:53" ht="15.75" customHeight="1">
      <c r="A3978" s="99"/>
      <c r="B3978" s="99"/>
      <c r="C3978" s="147"/>
      <c r="D3978" s="147"/>
      <c r="E3978" s="147"/>
      <c r="F3978" s="147"/>
      <c r="G3978" s="147"/>
      <c r="H3978" s="147"/>
      <c r="I3978" s="147"/>
      <c r="J3978" s="147"/>
      <c r="K3978" s="147"/>
      <c r="L3978" s="147"/>
      <c r="M3978" s="147"/>
      <c r="N3978" s="147"/>
      <c r="O3978" s="147"/>
      <c r="P3978" s="147"/>
      <c r="Q3978" s="147"/>
      <c r="R3978" s="147"/>
      <c r="S3978" s="147"/>
      <c r="T3978" s="147"/>
      <c r="U3978" s="147"/>
      <c r="V3978" s="147"/>
      <c r="W3978" s="147"/>
      <c r="X3978" s="147"/>
      <c r="Y3978" s="147"/>
      <c r="Z3978" s="147"/>
      <c r="AA3978" s="147"/>
      <c r="AB3978" s="147"/>
      <c r="AC3978" s="147"/>
      <c r="AD3978" s="147"/>
      <c r="AE3978" s="147"/>
      <c r="AF3978" s="147"/>
      <c r="AG3978" s="147"/>
      <c r="AH3978" s="147"/>
      <c r="AI3978" s="147"/>
      <c r="AJ3978" s="147"/>
      <c r="AK3978" s="147"/>
      <c r="AL3978" s="147"/>
      <c r="AM3978" s="147"/>
      <c r="AN3978" s="147"/>
      <c r="AO3978" s="147"/>
      <c r="AP3978" s="147"/>
      <c r="AQ3978" s="147"/>
      <c r="AR3978" s="147"/>
      <c r="AS3978" s="147"/>
      <c r="AT3978" s="147"/>
      <c r="AU3978" s="147"/>
      <c r="AV3978" s="147"/>
      <c r="AW3978" s="147"/>
      <c r="AX3978" s="147"/>
      <c r="AY3978" s="147"/>
      <c r="AZ3978" s="147"/>
      <c r="BA3978" s="147"/>
    </row>
    <row r="3979" spans="1:53" ht="15.75" customHeight="1">
      <c r="A3979" s="99"/>
      <c r="B3979" s="99"/>
      <c r="C3979" s="147"/>
      <c r="D3979" s="147"/>
      <c r="E3979" s="147"/>
      <c r="F3979" s="147"/>
      <c r="G3979" s="147"/>
      <c r="H3979" s="147"/>
      <c r="I3979" s="147"/>
      <c r="J3979" s="147"/>
      <c r="K3979" s="147"/>
      <c r="L3979" s="147"/>
      <c r="M3979" s="147"/>
      <c r="N3979" s="147"/>
      <c r="O3979" s="147"/>
      <c r="P3979" s="147"/>
      <c r="Q3979" s="147"/>
      <c r="R3979" s="147"/>
      <c r="S3979" s="147"/>
      <c r="T3979" s="147"/>
      <c r="U3979" s="147"/>
      <c r="V3979" s="147"/>
      <c r="W3979" s="147"/>
      <c r="X3979" s="147"/>
      <c r="Y3979" s="147"/>
      <c r="Z3979" s="147"/>
      <c r="AA3979" s="147"/>
      <c r="AB3979" s="147"/>
      <c r="AC3979" s="147"/>
      <c r="AD3979" s="147"/>
      <c r="AE3979" s="147"/>
      <c r="AF3979" s="147"/>
      <c r="AG3979" s="147"/>
      <c r="AH3979" s="147"/>
      <c r="AI3979" s="147"/>
      <c r="AJ3979" s="147"/>
      <c r="AK3979" s="147"/>
      <c r="AL3979" s="147"/>
      <c r="AM3979" s="147"/>
      <c r="AN3979" s="147"/>
      <c r="AO3979" s="147"/>
      <c r="AP3979" s="147"/>
      <c r="AQ3979" s="147"/>
      <c r="AR3979" s="147"/>
      <c r="AS3979" s="147"/>
      <c r="AT3979" s="147"/>
      <c r="AU3979" s="147"/>
      <c r="AV3979" s="147"/>
      <c r="AW3979" s="147"/>
      <c r="AX3979" s="147"/>
      <c r="AY3979" s="147"/>
      <c r="AZ3979" s="147"/>
      <c r="BA3979" s="147"/>
    </row>
    <row r="3980" spans="1:53" ht="15.75" customHeight="1">
      <c r="A3980" s="99"/>
      <c r="B3980" s="99"/>
      <c r="C3980" s="147"/>
      <c r="D3980" s="147"/>
      <c r="E3980" s="147"/>
      <c r="F3980" s="147"/>
      <c r="G3980" s="147"/>
      <c r="H3980" s="147"/>
      <c r="I3980" s="147"/>
      <c r="J3980" s="147"/>
      <c r="K3980" s="147"/>
      <c r="L3980" s="147"/>
      <c r="M3980" s="147"/>
      <c r="N3980" s="147"/>
      <c r="O3980" s="147"/>
      <c r="P3980" s="147"/>
      <c r="Q3980" s="147"/>
      <c r="R3980" s="147"/>
      <c r="S3980" s="147"/>
      <c r="T3980" s="147"/>
      <c r="U3980" s="147"/>
      <c r="V3980" s="147"/>
      <c r="W3980" s="147"/>
      <c r="X3980" s="147"/>
      <c r="Y3980" s="147"/>
      <c r="Z3980" s="147"/>
      <c r="AA3980" s="147"/>
      <c r="AB3980" s="147"/>
      <c r="AC3980" s="147"/>
      <c r="AD3980" s="147"/>
      <c r="AE3980" s="147"/>
      <c r="AF3980" s="147"/>
      <c r="AG3980" s="147"/>
      <c r="AH3980" s="147"/>
      <c r="AI3980" s="147"/>
      <c r="AJ3980" s="147"/>
      <c r="AK3980" s="147"/>
      <c r="AL3980" s="147"/>
      <c r="AM3980" s="147"/>
      <c r="AN3980" s="147"/>
      <c r="AO3980" s="147"/>
      <c r="AP3980" s="147"/>
      <c r="AQ3980" s="147"/>
      <c r="AR3980" s="147"/>
      <c r="AS3980" s="147"/>
      <c r="AT3980" s="147"/>
      <c r="AU3980" s="147"/>
      <c r="AV3980" s="147"/>
      <c r="AW3980" s="147"/>
      <c r="AX3980" s="147"/>
      <c r="AY3980" s="147"/>
      <c r="AZ3980" s="147"/>
      <c r="BA3980" s="147"/>
    </row>
    <row r="3981" spans="1:53" ht="15.75" customHeight="1">
      <c r="A3981" s="99"/>
      <c r="B3981" s="99"/>
      <c r="C3981" s="147"/>
      <c r="D3981" s="147"/>
      <c r="E3981" s="147"/>
      <c r="F3981" s="147"/>
      <c r="G3981" s="147"/>
      <c r="H3981" s="147"/>
      <c r="I3981" s="147"/>
      <c r="J3981" s="147"/>
      <c r="K3981" s="147"/>
      <c r="L3981" s="147"/>
      <c r="M3981" s="147"/>
      <c r="N3981" s="147"/>
      <c r="O3981" s="147"/>
      <c r="P3981" s="147"/>
      <c r="Q3981" s="147"/>
      <c r="R3981" s="147"/>
      <c r="S3981" s="147"/>
      <c r="T3981" s="147"/>
      <c r="U3981" s="147"/>
      <c r="V3981" s="147"/>
      <c r="W3981" s="147"/>
      <c r="X3981" s="147"/>
      <c r="Y3981" s="147"/>
      <c r="Z3981" s="147"/>
      <c r="AA3981" s="147"/>
      <c r="AB3981" s="147"/>
      <c r="AC3981" s="147"/>
      <c r="AD3981" s="147"/>
      <c r="AE3981" s="147"/>
      <c r="AF3981" s="147"/>
      <c r="AG3981" s="147"/>
      <c r="AH3981" s="147"/>
      <c r="AI3981" s="147"/>
      <c r="AJ3981" s="147"/>
      <c r="AK3981" s="147"/>
      <c r="AL3981" s="147"/>
      <c r="AM3981" s="147"/>
      <c r="AN3981" s="147"/>
      <c r="AO3981" s="147"/>
      <c r="AP3981" s="147"/>
      <c r="AQ3981" s="147"/>
      <c r="AR3981" s="147"/>
      <c r="AS3981" s="147"/>
      <c r="AT3981" s="147"/>
      <c r="AU3981" s="147"/>
      <c r="AV3981" s="147"/>
      <c r="AW3981" s="147"/>
      <c r="AX3981" s="147"/>
      <c r="AY3981" s="147"/>
      <c r="AZ3981" s="147"/>
      <c r="BA3981" s="147"/>
    </row>
    <row r="3982" spans="1:53" ht="15.75" customHeight="1">
      <c r="A3982" s="99"/>
      <c r="B3982" s="99"/>
      <c r="C3982" s="147"/>
      <c r="D3982" s="147"/>
      <c r="E3982" s="147"/>
      <c r="F3982" s="147"/>
      <c r="G3982" s="147"/>
      <c r="H3982" s="147"/>
      <c r="I3982" s="147"/>
      <c r="J3982" s="147"/>
      <c r="K3982" s="147"/>
      <c r="L3982" s="147"/>
      <c r="M3982" s="147"/>
      <c r="N3982" s="147"/>
      <c r="O3982" s="147"/>
      <c r="P3982" s="147"/>
      <c r="Q3982" s="147"/>
      <c r="R3982" s="147"/>
      <c r="S3982" s="147"/>
      <c r="T3982" s="147"/>
      <c r="U3982" s="147"/>
      <c r="V3982" s="147"/>
      <c r="W3982" s="147"/>
      <c r="X3982" s="147"/>
      <c r="Y3982" s="147"/>
      <c r="Z3982" s="147"/>
      <c r="AA3982" s="147"/>
      <c r="AB3982" s="147"/>
      <c r="AC3982" s="147"/>
      <c r="AD3982" s="147"/>
      <c r="AE3982" s="147"/>
      <c r="AF3982" s="147"/>
      <c r="AG3982" s="147"/>
      <c r="AH3982" s="147"/>
      <c r="AI3982" s="147"/>
      <c r="AJ3982" s="147"/>
      <c r="AK3982" s="147"/>
      <c r="AL3982" s="147"/>
      <c r="AM3982" s="147"/>
      <c r="AN3982" s="147"/>
      <c r="AO3982" s="147"/>
      <c r="AP3982" s="147"/>
      <c r="AQ3982" s="147"/>
      <c r="AR3982" s="147"/>
      <c r="AS3982" s="147"/>
      <c r="AT3982" s="147"/>
      <c r="AU3982" s="147"/>
      <c r="AV3982" s="147"/>
      <c r="AW3982" s="147"/>
      <c r="AX3982" s="147"/>
      <c r="AY3982" s="147"/>
      <c r="AZ3982" s="147"/>
      <c r="BA3982" s="147"/>
    </row>
    <row r="3983" spans="1:53" ht="15.75" customHeight="1">
      <c r="A3983" s="99"/>
      <c r="B3983" s="99"/>
      <c r="C3983" s="147"/>
      <c r="D3983" s="147"/>
      <c r="E3983" s="147"/>
      <c r="F3983" s="147"/>
      <c r="G3983" s="147"/>
      <c r="H3983" s="147"/>
      <c r="I3983" s="147"/>
      <c r="J3983" s="147"/>
      <c r="K3983" s="147"/>
      <c r="L3983" s="147"/>
      <c r="M3983" s="147"/>
      <c r="N3983" s="147"/>
      <c r="O3983" s="147"/>
      <c r="P3983" s="147"/>
      <c r="Q3983" s="147"/>
      <c r="R3983" s="147"/>
      <c r="S3983" s="147"/>
      <c r="T3983" s="147"/>
      <c r="U3983" s="147"/>
      <c r="V3983" s="147"/>
      <c r="W3983" s="147"/>
      <c r="X3983" s="147"/>
      <c r="Y3983" s="147"/>
      <c r="Z3983" s="147"/>
      <c r="AA3983" s="147"/>
      <c r="AB3983" s="147"/>
      <c r="AC3983" s="147"/>
      <c r="AD3983" s="147"/>
      <c r="AE3983" s="147"/>
      <c r="AF3983" s="147"/>
      <c r="AG3983" s="147"/>
      <c r="AH3983" s="147"/>
      <c r="AI3983" s="147"/>
      <c r="AJ3983" s="147"/>
      <c r="AK3983" s="147"/>
      <c r="AL3983" s="147"/>
      <c r="AM3983" s="147"/>
      <c r="AN3983" s="147"/>
      <c r="AO3983" s="147"/>
      <c r="AP3983" s="147"/>
      <c r="AQ3983" s="147"/>
      <c r="AR3983" s="147"/>
      <c r="AS3983" s="147"/>
      <c r="AT3983" s="147"/>
      <c r="AU3983" s="147"/>
      <c r="AV3983" s="147"/>
      <c r="AW3983" s="147"/>
      <c r="AX3983" s="147"/>
      <c r="AY3983" s="147"/>
      <c r="AZ3983" s="147"/>
      <c r="BA3983" s="147"/>
    </row>
    <row r="3984" spans="1:53" ht="15.75" customHeight="1">
      <c r="A3984" s="99"/>
      <c r="B3984" s="99"/>
      <c r="C3984" s="147"/>
      <c r="D3984" s="147"/>
      <c r="E3984" s="147"/>
      <c r="F3984" s="147"/>
      <c r="G3984" s="147"/>
      <c r="H3984" s="147"/>
      <c r="I3984" s="147"/>
      <c r="J3984" s="147"/>
      <c r="K3984" s="147"/>
      <c r="L3984" s="147"/>
      <c r="M3984" s="147"/>
      <c r="N3984" s="147"/>
      <c r="O3984" s="147"/>
      <c r="P3984" s="147"/>
      <c r="Q3984" s="147"/>
      <c r="R3984" s="147"/>
      <c r="S3984" s="147"/>
      <c r="T3984" s="147"/>
      <c r="U3984" s="147"/>
      <c r="V3984" s="147"/>
      <c r="W3984" s="147"/>
      <c r="X3984" s="147"/>
      <c r="Y3984" s="147"/>
      <c r="Z3984" s="147"/>
      <c r="AA3984" s="147"/>
      <c r="AB3984" s="147"/>
      <c r="AC3984" s="147"/>
      <c r="AD3984" s="147"/>
      <c r="AE3984" s="147"/>
      <c r="AF3984" s="147"/>
      <c r="AG3984" s="147"/>
      <c r="AH3984" s="147"/>
      <c r="AI3984" s="147"/>
      <c r="AJ3984" s="147"/>
      <c r="AK3984" s="147"/>
      <c r="AL3984" s="147"/>
      <c r="AM3984" s="147"/>
      <c r="AN3984" s="147"/>
      <c r="AO3984" s="147"/>
      <c r="AP3984" s="147"/>
      <c r="AQ3984" s="147"/>
      <c r="AR3984" s="147"/>
      <c r="AS3984" s="147"/>
      <c r="AT3984" s="147"/>
      <c r="AU3984" s="147"/>
      <c r="AV3984" s="147"/>
      <c r="AW3984" s="147"/>
      <c r="AX3984" s="147"/>
      <c r="AY3984" s="147"/>
      <c r="AZ3984" s="147"/>
      <c r="BA3984" s="147"/>
    </row>
    <row r="3985" spans="1:53" ht="15.75" customHeight="1">
      <c r="A3985" s="99"/>
      <c r="B3985" s="99"/>
      <c r="C3985" s="147"/>
      <c r="D3985" s="147"/>
      <c r="E3985" s="147"/>
      <c r="F3985" s="147"/>
      <c r="G3985" s="147"/>
      <c r="H3985" s="147"/>
      <c r="I3985" s="147"/>
      <c r="J3985" s="147"/>
      <c r="K3985" s="147"/>
      <c r="L3985" s="147"/>
      <c r="M3985" s="147"/>
      <c r="N3985" s="147"/>
      <c r="O3985" s="147"/>
      <c r="P3985" s="147"/>
      <c r="Q3985" s="147"/>
      <c r="R3985" s="147"/>
      <c r="S3985" s="147"/>
      <c r="T3985" s="147"/>
      <c r="U3985" s="147"/>
      <c r="V3985" s="147"/>
      <c r="W3985" s="147"/>
      <c r="X3985" s="147"/>
      <c r="Y3985" s="147"/>
      <c r="Z3985" s="147"/>
      <c r="AA3985" s="147"/>
      <c r="AB3985" s="147"/>
      <c r="AC3985" s="147"/>
      <c r="AD3985" s="147"/>
      <c r="AE3985" s="147"/>
      <c r="AF3985" s="147"/>
      <c r="AG3985" s="147"/>
      <c r="AH3985" s="147"/>
      <c r="AI3985" s="147"/>
      <c r="AJ3985" s="147"/>
      <c r="AK3985" s="147"/>
      <c r="AL3985" s="147"/>
      <c r="AM3985" s="147"/>
      <c r="AN3985" s="147"/>
      <c r="AO3985" s="147"/>
      <c r="AP3985" s="147"/>
      <c r="AQ3985" s="147"/>
      <c r="AR3985" s="147"/>
      <c r="AS3985" s="147"/>
      <c r="AT3985" s="147"/>
      <c r="AU3985" s="147"/>
      <c r="AV3985" s="147"/>
      <c r="AW3985" s="147"/>
      <c r="AX3985" s="147"/>
      <c r="AY3985" s="147"/>
      <c r="AZ3985" s="147"/>
      <c r="BA3985" s="147"/>
    </row>
    <row r="3986" spans="1:53" ht="15.75" customHeight="1">
      <c r="A3986" s="99"/>
      <c r="B3986" s="99"/>
      <c r="C3986" s="147"/>
      <c r="D3986" s="147"/>
      <c r="E3986" s="147"/>
      <c r="F3986" s="147"/>
      <c r="G3986" s="147"/>
      <c r="H3986" s="147"/>
      <c r="I3986" s="147"/>
      <c r="J3986" s="147"/>
      <c r="K3986" s="147"/>
      <c r="L3986" s="147"/>
      <c r="M3986" s="147"/>
      <c r="N3986" s="147"/>
      <c r="O3986" s="147"/>
      <c r="P3986" s="147"/>
      <c r="Q3986" s="147"/>
      <c r="R3986" s="147"/>
      <c r="S3986" s="147"/>
      <c r="T3986" s="147"/>
      <c r="U3986" s="147"/>
      <c r="V3986" s="147"/>
      <c r="W3986" s="147"/>
      <c r="X3986" s="147"/>
      <c r="Y3986" s="147"/>
      <c r="Z3986" s="147"/>
      <c r="AA3986" s="147"/>
      <c r="AB3986" s="147"/>
      <c r="AC3986" s="147"/>
      <c r="AD3986" s="147"/>
      <c r="AE3986" s="147"/>
      <c r="AF3986" s="147"/>
      <c r="AG3986" s="147"/>
      <c r="AH3986" s="147"/>
      <c r="AI3986" s="147"/>
      <c r="AJ3986" s="147"/>
      <c r="AK3986" s="147"/>
      <c r="AL3986" s="147"/>
      <c r="AM3986" s="147"/>
      <c r="AN3986" s="147"/>
      <c r="AO3986" s="147"/>
      <c r="AP3986" s="147"/>
      <c r="AQ3986" s="147"/>
      <c r="AR3986" s="147"/>
      <c r="AS3986" s="147"/>
      <c r="AT3986" s="147"/>
      <c r="AU3986" s="147"/>
      <c r="AV3986" s="147"/>
      <c r="AW3986" s="147"/>
      <c r="AX3986" s="147"/>
      <c r="AY3986" s="147"/>
      <c r="AZ3986" s="147"/>
      <c r="BA3986" s="147"/>
    </row>
    <row r="3987" spans="1:53" ht="15.75" customHeight="1">
      <c r="A3987" s="99"/>
      <c r="B3987" s="99"/>
      <c r="C3987" s="147"/>
      <c r="D3987" s="147"/>
      <c r="E3987" s="147"/>
      <c r="F3987" s="147"/>
      <c r="G3987" s="147"/>
      <c r="H3987" s="147"/>
      <c r="I3987" s="147"/>
      <c r="J3987" s="147"/>
      <c r="K3987" s="147"/>
      <c r="L3987" s="147"/>
      <c r="M3987" s="147"/>
      <c r="N3987" s="147"/>
      <c r="O3987" s="147"/>
      <c r="P3987" s="147"/>
      <c r="Q3987" s="147"/>
      <c r="R3987" s="147"/>
      <c r="S3987" s="147"/>
      <c r="T3987" s="147"/>
      <c r="U3987" s="147"/>
      <c r="V3987" s="147"/>
      <c r="W3987" s="147"/>
      <c r="X3987" s="147"/>
      <c r="Y3987" s="147"/>
      <c r="Z3987" s="147"/>
      <c r="AA3987" s="147"/>
      <c r="AB3987" s="147"/>
      <c r="AC3987" s="147"/>
      <c r="AD3987" s="147"/>
      <c r="AE3987" s="147"/>
      <c r="AF3987" s="147"/>
      <c r="AG3987" s="147"/>
      <c r="AH3987" s="147"/>
      <c r="AI3987" s="147"/>
      <c r="AJ3987" s="147"/>
      <c r="AK3987" s="147"/>
      <c r="AL3987" s="147"/>
      <c r="AM3987" s="147"/>
      <c r="AN3987" s="147"/>
      <c r="AO3987" s="147"/>
      <c r="AP3987" s="147"/>
      <c r="AQ3987" s="147"/>
      <c r="AR3987" s="147"/>
      <c r="AS3987" s="147"/>
      <c r="AT3987" s="147"/>
      <c r="AU3987" s="147"/>
      <c r="AV3987" s="147"/>
      <c r="AW3987" s="147"/>
      <c r="AX3987" s="147"/>
      <c r="AY3987" s="147"/>
      <c r="AZ3987" s="147"/>
      <c r="BA3987" s="147"/>
    </row>
    <row r="3988" spans="1:53" ht="15.75" customHeight="1">
      <c r="A3988" s="99"/>
      <c r="B3988" s="99"/>
      <c r="C3988" s="147"/>
      <c r="D3988" s="147"/>
      <c r="E3988" s="147"/>
      <c r="F3988" s="147"/>
      <c r="G3988" s="147"/>
      <c r="H3988" s="147"/>
      <c r="I3988" s="147"/>
      <c r="J3988" s="147"/>
      <c r="K3988" s="147"/>
      <c r="L3988" s="147"/>
      <c r="M3988" s="147"/>
      <c r="N3988" s="147"/>
      <c r="O3988" s="147"/>
      <c r="P3988" s="147"/>
      <c r="Q3988" s="147"/>
      <c r="R3988" s="147"/>
      <c r="S3988" s="147"/>
      <c r="T3988" s="147"/>
      <c r="U3988" s="147"/>
      <c r="V3988" s="147"/>
      <c r="W3988" s="147"/>
      <c r="X3988" s="147"/>
      <c r="Y3988" s="147"/>
      <c r="Z3988" s="147"/>
      <c r="AA3988" s="147"/>
      <c r="AB3988" s="147"/>
      <c r="AC3988" s="147"/>
      <c r="AD3988" s="147"/>
      <c r="AE3988" s="147"/>
      <c r="AF3988" s="147"/>
      <c r="AG3988" s="147"/>
      <c r="AH3988" s="147"/>
      <c r="AI3988" s="147"/>
      <c r="AJ3988" s="147"/>
      <c r="AK3988" s="147"/>
      <c r="AL3988" s="147"/>
      <c r="AM3988" s="147"/>
      <c r="AN3988" s="147"/>
      <c r="AO3988" s="147"/>
      <c r="AP3988" s="147"/>
      <c r="AQ3988" s="147"/>
      <c r="AR3988" s="147"/>
      <c r="AS3988" s="147"/>
      <c r="AT3988" s="147"/>
      <c r="AU3988" s="147"/>
      <c r="AV3988" s="147"/>
      <c r="AW3988" s="147"/>
      <c r="AX3988" s="147"/>
      <c r="AY3988" s="147"/>
      <c r="AZ3988" s="147"/>
      <c r="BA3988" s="147"/>
    </row>
    <row r="3989" spans="1:53" ht="15.75" customHeight="1">
      <c r="A3989" s="99"/>
      <c r="B3989" s="99"/>
      <c r="C3989" s="147"/>
      <c r="D3989" s="147"/>
      <c r="E3989" s="147"/>
      <c r="F3989" s="147"/>
      <c r="G3989" s="147"/>
      <c r="H3989" s="147"/>
      <c r="I3989" s="147"/>
      <c r="J3989" s="147"/>
      <c r="K3989" s="147"/>
      <c r="L3989" s="147"/>
      <c r="M3989" s="147"/>
      <c r="N3989" s="147"/>
      <c r="O3989" s="147"/>
      <c r="P3989" s="147"/>
      <c r="Q3989" s="147"/>
      <c r="R3989" s="147"/>
      <c r="S3989" s="147"/>
      <c r="T3989" s="147"/>
      <c r="U3989" s="147"/>
      <c r="V3989" s="147"/>
      <c r="W3989" s="147"/>
      <c r="X3989" s="147"/>
      <c r="Y3989" s="147"/>
      <c r="Z3989" s="147"/>
      <c r="AA3989" s="147"/>
      <c r="AB3989" s="147"/>
      <c r="AC3989" s="147"/>
      <c r="AD3989" s="147"/>
      <c r="AE3989" s="147"/>
      <c r="AF3989" s="147"/>
      <c r="AG3989" s="147"/>
      <c r="AH3989" s="147"/>
      <c r="AI3989" s="147"/>
      <c r="AJ3989" s="147"/>
      <c r="AK3989" s="147"/>
      <c r="AL3989" s="147"/>
      <c r="AM3989" s="147"/>
      <c r="AN3989" s="147"/>
      <c r="AO3989" s="147"/>
      <c r="AP3989" s="147"/>
      <c r="AQ3989" s="147"/>
      <c r="AR3989" s="147"/>
      <c r="AS3989" s="147"/>
      <c r="AT3989" s="147"/>
      <c r="AU3989" s="147"/>
      <c r="AV3989" s="147"/>
      <c r="AW3989" s="147"/>
      <c r="AX3989" s="147"/>
      <c r="AY3989" s="147"/>
      <c r="AZ3989" s="147"/>
      <c r="BA3989" s="147"/>
    </row>
    <row r="3990" spans="1:53" ht="15.75" customHeight="1">
      <c r="A3990" s="99"/>
      <c r="B3990" s="99"/>
      <c r="C3990" s="147"/>
      <c r="D3990" s="147"/>
      <c r="E3990" s="147"/>
      <c r="F3990" s="147"/>
      <c r="G3990" s="147"/>
      <c r="H3990" s="147"/>
      <c r="I3990" s="147"/>
      <c r="J3990" s="147"/>
      <c r="K3990" s="147"/>
      <c r="L3990" s="147"/>
      <c r="M3990" s="147"/>
      <c r="N3990" s="147"/>
      <c r="O3990" s="147"/>
      <c r="P3990" s="147"/>
      <c r="Q3990" s="147"/>
      <c r="R3990" s="147"/>
      <c r="S3990" s="147"/>
      <c r="T3990" s="147"/>
      <c r="U3990" s="147"/>
      <c r="V3990" s="147"/>
      <c r="W3990" s="147"/>
      <c r="X3990" s="147"/>
      <c r="Y3990" s="147"/>
      <c r="Z3990" s="147"/>
      <c r="AA3990" s="147"/>
      <c r="AB3990" s="147"/>
      <c r="AC3990" s="147"/>
      <c r="AD3990" s="147"/>
      <c r="AE3990" s="147"/>
      <c r="AF3990" s="147"/>
      <c r="AG3990" s="147"/>
      <c r="AH3990" s="147"/>
      <c r="AI3990" s="147"/>
      <c r="AJ3990" s="147"/>
      <c r="AK3990" s="147"/>
      <c r="AL3990" s="147"/>
      <c r="AM3990" s="147"/>
      <c r="AN3990" s="147"/>
      <c r="AO3990" s="147"/>
      <c r="AP3990" s="147"/>
      <c r="AQ3990" s="147"/>
      <c r="AR3990" s="147"/>
      <c r="AS3990" s="147"/>
      <c r="AT3990" s="147"/>
      <c r="AU3990" s="147"/>
      <c r="AV3990" s="147"/>
      <c r="AW3990" s="147"/>
      <c r="AX3990" s="147"/>
      <c r="AY3990" s="147"/>
      <c r="AZ3990" s="147"/>
      <c r="BA3990" s="147"/>
    </row>
    <row r="3991" spans="1:53" ht="15.75" customHeight="1">
      <c r="A3991" s="99"/>
      <c r="B3991" s="99"/>
      <c r="C3991" s="147"/>
      <c r="D3991" s="147"/>
      <c r="E3991" s="147"/>
      <c r="F3991" s="147"/>
      <c r="G3991" s="147"/>
      <c r="H3991" s="147"/>
      <c r="I3991" s="147"/>
      <c r="J3991" s="147"/>
      <c r="K3991" s="147"/>
      <c r="L3991" s="147"/>
      <c r="M3991" s="147"/>
      <c r="N3991" s="147"/>
      <c r="O3991" s="147"/>
      <c r="P3991" s="147"/>
      <c r="Q3991" s="147"/>
      <c r="R3991" s="147"/>
      <c r="S3991" s="147"/>
      <c r="T3991" s="147"/>
      <c r="U3991" s="147"/>
      <c r="V3991" s="147"/>
      <c r="W3991" s="147"/>
      <c r="X3991" s="147"/>
      <c r="Y3991" s="147"/>
      <c r="Z3991" s="147"/>
      <c r="AA3991" s="147"/>
      <c r="AB3991" s="147"/>
      <c r="AC3991" s="147"/>
      <c r="AD3991" s="147"/>
      <c r="AE3991" s="147"/>
      <c r="AF3991" s="147"/>
      <c r="AG3991" s="147"/>
      <c r="AH3991" s="147"/>
      <c r="AI3991" s="147"/>
      <c r="AJ3991" s="147"/>
      <c r="AK3991" s="147"/>
      <c r="AL3991" s="147"/>
      <c r="AM3991" s="147"/>
      <c r="AN3991" s="147"/>
      <c r="AO3991" s="147"/>
      <c r="AP3991" s="147"/>
      <c r="AQ3991" s="147"/>
      <c r="AR3991" s="147"/>
      <c r="AS3991" s="147"/>
      <c r="AT3991" s="147"/>
      <c r="AU3991" s="147"/>
      <c r="AV3991" s="147"/>
      <c r="AW3991" s="147"/>
      <c r="AX3991" s="147"/>
      <c r="AY3991" s="147"/>
      <c r="AZ3991" s="147"/>
      <c r="BA3991" s="147"/>
    </row>
    <row r="3992" spans="1:53" ht="15.75" customHeight="1">
      <c r="A3992" s="99"/>
      <c r="B3992" s="99"/>
      <c r="C3992" s="147"/>
      <c r="D3992" s="147"/>
      <c r="E3992" s="147"/>
      <c r="F3992" s="147"/>
      <c r="G3992" s="147"/>
      <c r="H3992" s="147"/>
      <c r="I3992" s="147"/>
      <c r="J3992" s="147"/>
      <c r="K3992" s="147"/>
      <c r="L3992" s="147"/>
      <c r="M3992" s="147"/>
      <c r="N3992" s="147"/>
      <c r="O3992" s="147"/>
      <c r="P3992" s="147"/>
      <c r="Q3992" s="147"/>
      <c r="R3992" s="147"/>
      <c r="S3992" s="147"/>
      <c r="T3992" s="147"/>
      <c r="U3992" s="147"/>
      <c r="V3992" s="147"/>
      <c r="W3992" s="147"/>
      <c r="X3992" s="147"/>
      <c r="Y3992" s="147"/>
      <c r="Z3992" s="147"/>
      <c r="AA3992" s="147"/>
      <c r="AB3992" s="147"/>
      <c r="AC3992" s="147"/>
      <c r="AD3992" s="147"/>
      <c r="AE3992" s="147"/>
      <c r="AF3992" s="147"/>
      <c r="AG3992" s="147"/>
      <c r="AH3992" s="147"/>
      <c r="AI3992" s="147"/>
      <c r="AJ3992" s="147"/>
      <c r="AK3992" s="147"/>
      <c r="AL3992" s="147"/>
      <c r="AM3992" s="147"/>
      <c r="AN3992" s="147"/>
      <c r="AO3992" s="147"/>
      <c r="AP3992" s="147"/>
      <c r="AQ3992" s="147"/>
      <c r="AR3992" s="147"/>
      <c r="AS3992" s="147"/>
      <c r="AT3992" s="147"/>
      <c r="AU3992" s="147"/>
      <c r="AV3992" s="147"/>
      <c r="AW3992" s="147"/>
      <c r="AX3992" s="147"/>
      <c r="AY3992" s="147"/>
      <c r="AZ3992" s="147"/>
      <c r="BA3992" s="147"/>
    </row>
    <row r="3993" spans="1:53" ht="15.75" customHeight="1">
      <c r="A3993" s="99"/>
      <c r="B3993" s="99"/>
      <c r="C3993" s="147"/>
      <c r="D3993" s="147"/>
      <c r="E3993" s="147"/>
      <c r="F3993" s="147"/>
      <c r="G3993" s="147"/>
      <c r="H3993" s="147"/>
      <c r="I3993" s="147"/>
      <c r="J3993" s="147"/>
      <c r="K3993" s="147"/>
      <c r="L3993" s="147"/>
      <c r="M3993" s="147"/>
      <c r="N3993" s="147"/>
      <c r="O3993" s="147"/>
      <c r="P3993" s="147"/>
      <c r="Q3993" s="147"/>
      <c r="R3993" s="147"/>
      <c r="S3993" s="147"/>
      <c r="T3993" s="147"/>
      <c r="U3993" s="147"/>
      <c r="V3993" s="147"/>
      <c r="W3993" s="147"/>
      <c r="X3993" s="147"/>
      <c r="Y3993" s="147"/>
      <c r="Z3993" s="147"/>
      <c r="AA3993" s="147"/>
      <c r="AB3993" s="147"/>
      <c r="AC3993" s="147"/>
      <c r="AD3993" s="147"/>
      <c r="AE3993" s="147"/>
      <c r="AF3993" s="147"/>
      <c r="AG3993" s="147"/>
      <c r="AH3993" s="147"/>
      <c r="AI3993" s="147"/>
      <c r="AJ3993" s="147"/>
      <c r="AK3993" s="147"/>
      <c r="AL3993" s="147"/>
      <c r="AM3993" s="147"/>
      <c r="AN3993" s="147"/>
      <c r="AO3993" s="147"/>
      <c r="AP3993" s="147"/>
      <c r="AQ3993" s="147"/>
      <c r="AR3993" s="147"/>
      <c r="AS3993" s="147"/>
      <c r="AT3993" s="147"/>
      <c r="AU3993" s="147"/>
      <c r="AV3993" s="147"/>
      <c r="AW3993" s="147"/>
      <c r="AX3993" s="147"/>
      <c r="AY3993" s="147"/>
      <c r="AZ3993" s="147"/>
      <c r="BA3993" s="147"/>
    </row>
    <row r="3994" spans="1:53" ht="15.75" customHeight="1">
      <c r="A3994" s="99"/>
      <c r="B3994" s="99"/>
      <c r="C3994" s="147"/>
      <c r="D3994" s="147"/>
      <c r="E3994" s="147"/>
      <c r="F3994" s="147"/>
      <c r="G3994" s="147"/>
      <c r="H3994" s="147"/>
      <c r="I3994" s="147"/>
      <c r="J3994" s="147"/>
      <c r="K3994" s="147"/>
      <c r="L3994" s="147"/>
      <c r="M3994" s="147"/>
      <c r="N3994" s="147"/>
      <c r="O3994" s="147"/>
      <c r="P3994" s="147"/>
      <c r="Q3994" s="147"/>
      <c r="R3994" s="147"/>
      <c r="S3994" s="147"/>
      <c r="T3994" s="147"/>
      <c r="U3994" s="147"/>
      <c r="V3994" s="147"/>
      <c r="W3994" s="147"/>
      <c r="X3994" s="147"/>
      <c r="Y3994" s="147"/>
      <c r="Z3994" s="147"/>
      <c r="AA3994" s="147"/>
      <c r="AB3994" s="147"/>
      <c r="AC3994" s="147"/>
      <c r="AD3994" s="147"/>
      <c r="AE3994" s="147"/>
      <c r="AF3994" s="147"/>
      <c r="AG3994" s="147"/>
      <c r="AH3994" s="147"/>
      <c r="AI3994" s="147"/>
      <c r="AJ3994" s="147"/>
      <c r="AK3994" s="147"/>
      <c r="AL3994" s="147"/>
      <c r="AM3994" s="147"/>
      <c r="AN3994" s="147"/>
      <c r="AO3994" s="147"/>
      <c r="AP3994" s="147"/>
      <c r="AQ3994" s="147"/>
      <c r="AR3994" s="147"/>
      <c r="AS3994" s="147"/>
      <c r="AT3994" s="147"/>
      <c r="AU3994" s="147"/>
      <c r="AV3994" s="147"/>
      <c r="AW3994" s="147"/>
      <c r="AX3994" s="147"/>
      <c r="AY3994" s="147"/>
      <c r="AZ3994" s="147"/>
      <c r="BA3994" s="147"/>
    </row>
    <row r="3995" spans="1:53" ht="15.75" customHeight="1">
      <c r="A3995" s="99"/>
      <c r="B3995" s="99"/>
      <c r="C3995" s="147"/>
      <c r="D3995" s="147"/>
      <c r="E3995" s="147"/>
      <c r="F3995" s="147"/>
      <c r="G3995" s="147"/>
      <c r="H3995" s="147"/>
      <c r="I3995" s="147"/>
      <c r="J3995" s="147"/>
      <c r="K3995" s="147"/>
      <c r="L3995" s="147"/>
      <c r="M3995" s="147"/>
      <c r="N3995" s="147"/>
      <c r="O3995" s="147"/>
      <c r="P3995" s="147"/>
      <c r="Q3995" s="147"/>
      <c r="R3995" s="147"/>
      <c r="S3995" s="147"/>
      <c r="T3995" s="147"/>
      <c r="U3995" s="147"/>
      <c r="V3995" s="147"/>
      <c r="W3995" s="147"/>
      <c r="X3995" s="147"/>
      <c r="Y3995" s="147"/>
      <c r="Z3995" s="147"/>
      <c r="AA3995" s="147"/>
      <c r="AB3995" s="147"/>
      <c r="AC3995" s="147"/>
      <c r="AD3995" s="147"/>
      <c r="AE3995" s="147"/>
      <c r="AF3995" s="147"/>
      <c r="AG3995" s="147"/>
      <c r="AH3995" s="147"/>
      <c r="AI3995" s="147"/>
      <c r="AJ3995" s="147"/>
      <c r="AK3995" s="147"/>
      <c r="AL3995" s="147"/>
      <c r="AM3995" s="147"/>
      <c r="AN3995" s="147"/>
      <c r="AO3995" s="147"/>
      <c r="AP3995" s="147"/>
      <c r="AQ3995" s="147"/>
      <c r="AR3995" s="147"/>
      <c r="AS3995" s="147"/>
      <c r="AT3995" s="147"/>
      <c r="AU3995" s="147"/>
      <c r="AV3995" s="147"/>
      <c r="AW3995" s="147"/>
      <c r="AX3995" s="147"/>
      <c r="AY3995" s="147"/>
      <c r="AZ3995" s="147"/>
      <c r="BA3995" s="147"/>
    </row>
    <row r="3996" spans="1:53" ht="15.75" customHeight="1">
      <c r="A3996" s="99"/>
      <c r="B3996" s="99"/>
      <c r="C3996" s="147"/>
      <c r="D3996" s="147"/>
      <c r="E3996" s="147"/>
      <c r="F3996" s="147"/>
      <c r="G3996" s="147"/>
      <c r="H3996" s="147"/>
      <c r="I3996" s="147"/>
      <c r="J3996" s="147"/>
      <c r="K3996" s="147"/>
      <c r="L3996" s="147"/>
      <c r="M3996" s="147"/>
      <c r="N3996" s="147"/>
      <c r="O3996" s="147"/>
      <c r="P3996" s="147"/>
      <c r="Q3996" s="147"/>
      <c r="R3996" s="147"/>
      <c r="S3996" s="147"/>
      <c r="T3996" s="147"/>
      <c r="U3996" s="147"/>
      <c r="V3996" s="147"/>
      <c r="W3996" s="147"/>
      <c r="X3996" s="147"/>
      <c r="Y3996" s="147"/>
      <c r="Z3996" s="147"/>
      <c r="AA3996" s="147"/>
      <c r="AB3996" s="147"/>
      <c r="AC3996" s="147"/>
      <c r="AD3996" s="147"/>
      <c r="AE3996" s="147"/>
      <c r="AF3996" s="147"/>
      <c r="AG3996" s="147"/>
      <c r="AH3996" s="147"/>
      <c r="AI3996" s="147"/>
      <c r="AJ3996" s="147"/>
      <c r="AK3996" s="147"/>
      <c r="AL3996" s="147"/>
      <c r="AM3996" s="147"/>
      <c r="AN3996" s="147"/>
      <c r="AO3996" s="147"/>
      <c r="AP3996" s="147"/>
      <c r="AQ3996" s="147"/>
      <c r="AR3996" s="147"/>
      <c r="AS3996" s="147"/>
      <c r="AT3996" s="147"/>
      <c r="AU3996" s="147"/>
      <c r="AV3996" s="147"/>
      <c r="AW3996" s="147"/>
      <c r="AX3996" s="147"/>
      <c r="AY3996" s="147"/>
      <c r="AZ3996" s="147"/>
      <c r="BA3996" s="147"/>
    </row>
    <row r="3997" spans="1:53" ht="15.75" customHeight="1">
      <c r="A3997" s="99"/>
      <c r="B3997" s="99"/>
      <c r="C3997" s="147"/>
      <c r="D3997" s="147"/>
      <c r="E3997" s="147"/>
      <c r="F3997" s="147"/>
      <c r="G3997" s="147"/>
      <c r="H3997" s="147"/>
      <c r="I3997" s="147"/>
      <c r="J3997" s="147"/>
      <c r="K3997" s="147"/>
      <c r="L3997" s="147"/>
      <c r="M3997" s="147"/>
      <c r="N3997" s="147"/>
      <c r="O3997" s="147"/>
      <c r="P3997" s="147"/>
      <c r="Q3997" s="147"/>
      <c r="R3997" s="147"/>
      <c r="S3997" s="147"/>
      <c r="T3997" s="147"/>
      <c r="U3997" s="147"/>
      <c r="V3997" s="147"/>
      <c r="W3997" s="147"/>
      <c r="X3997" s="147"/>
      <c r="Y3997" s="147"/>
      <c r="Z3997" s="147"/>
      <c r="AA3997" s="147"/>
      <c r="AB3997" s="147"/>
      <c r="AC3997" s="147"/>
      <c r="AD3997" s="147"/>
      <c r="AE3997" s="147"/>
      <c r="AF3997" s="147"/>
      <c r="AG3997" s="147"/>
      <c r="AH3997" s="147"/>
      <c r="AI3997" s="147"/>
      <c r="AJ3997" s="147"/>
      <c r="AK3997" s="147"/>
      <c r="AL3997" s="147"/>
      <c r="AM3997" s="147"/>
      <c r="AN3997" s="147"/>
      <c r="AO3997" s="147"/>
      <c r="AP3997" s="147"/>
      <c r="AQ3997" s="147"/>
      <c r="AR3997" s="147"/>
      <c r="AS3997" s="147"/>
      <c r="AT3997" s="147"/>
      <c r="AU3997" s="147"/>
      <c r="AV3997" s="147"/>
      <c r="AW3997" s="147"/>
      <c r="AX3997" s="147"/>
      <c r="AY3997" s="147"/>
      <c r="AZ3997" s="147"/>
      <c r="BA3997" s="147"/>
    </row>
    <row r="3998" spans="1:53" ht="15.75" customHeight="1">
      <c r="A3998" s="99"/>
      <c r="B3998" s="99"/>
      <c r="C3998" s="147"/>
      <c r="D3998" s="147"/>
      <c r="E3998" s="147"/>
      <c r="F3998" s="147"/>
      <c r="G3998" s="147"/>
      <c r="H3998" s="147"/>
      <c r="I3998" s="147"/>
      <c r="J3998" s="147"/>
      <c r="K3998" s="147"/>
      <c r="L3998" s="147"/>
      <c r="M3998" s="147"/>
      <c r="N3998" s="147"/>
      <c r="O3998" s="147"/>
      <c r="P3998" s="147"/>
      <c r="Q3998" s="147"/>
      <c r="R3998" s="147"/>
      <c r="S3998" s="147"/>
      <c r="T3998" s="147"/>
      <c r="U3998" s="147"/>
      <c r="V3998" s="147"/>
      <c r="W3998" s="147"/>
      <c r="X3998" s="147"/>
      <c r="Y3998" s="147"/>
      <c r="Z3998" s="147"/>
      <c r="AA3998" s="147"/>
      <c r="AB3998" s="147"/>
      <c r="AC3998" s="147"/>
      <c r="AD3998" s="147"/>
      <c r="AE3998" s="147"/>
      <c r="AF3998" s="147"/>
      <c r="AG3998" s="147"/>
      <c r="AH3998" s="147"/>
      <c r="AI3998" s="147"/>
      <c r="AJ3998" s="147"/>
      <c r="AK3998" s="147"/>
      <c r="AL3998" s="147"/>
      <c r="AM3998" s="147"/>
      <c r="AN3998" s="147"/>
      <c r="AO3998" s="147"/>
      <c r="AP3998" s="147"/>
      <c r="AQ3998" s="147"/>
      <c r="AR3998" s="147"/>
      <c r="AS3998" s="147"/>
      <c r="AT3998" s="147"/>
      <c r="AU3998" s="147"/>
      <c r="AV3998" s="147"/>
      <c r="AW3998" s="147"/>
      <c r="AX3998" s="147"/>
      <c r="AY3998" s="147"/>
      <c r="AZ3998" s="147"/>
      <c r="BA3998" s="147"/>
    </row>
    <row r="3999" spans="1:53" ht="15.75" customHeight="1">
      <c r="A3999" s="99"/>
      <c r="B3999" s="99"/>
      <c r="C3999" s="147"/>
      <c r="D3999" s="147"/>
      <c r="E3999" s="147"/>
      <c r="F3999" s="147"/>
      <c r="G3999" s="147"/>
      <c r="H3999" s="147"/>
      <c r="I3999" s="147"/>
      <c r="J3999" s="147"/>
      <c r="K3999" s="147"/>
      <c r="L3999" s="147"/>
      <c r="M3999" s="147"/>
      <c r="N3999" s="147"/>
      <c r="O3999" s="147"/>
      <c r="P3999" s="147"/>
      <c r="Q3999" s="147"/>
      <c r="R3999" s="147"/>
      <c r="S3999" s="147"/>
      <c r="T3999" s="147"/>
      <c r="U3999" s="147"/>
      <c r="V3999" s="147"/>
      <c r="W3999" s="147"/>
      <c r="X3999" s="147"/>
      <c r="Y3999" s="147"/>
      <c r="Z3999" s="147"/>
      <c r="AA3999" s="147"/>
      <c r="AB3999" s="147"/>
      <c r="AC3999" s="147"/>
      <c r="AD3999" s="147"/>
      <c r="AE3999" s="147"/>
      <c r="AF3999" s="147"/>
      <c r="AG3999" s="147"/>
      <c r="AH3999" s="147"/>
      <c r="AI3999" s="147"/>
      <c r="AJ3999" s="147"/>
      <c r="AK3999" s="147"/>
      <c r="AL3999" s="147"/>
      <c r="AM3999" s="147"/>
      <c r="AN3999" s="147"/>
      <c r="AO3999" s="147"/>
      <c r="AP3999" s="147"/>
      <c r="AQ3999" s="147"/>
      <c r="AR3999" s="147"/>
      <c r="AS3999" s="147"/>
      <c r="AT3999" s="147"/>
      <c r="AU3999" s="147"/>
      <c r="AV3999" s="147"/>
      <c r="AW3999" s="147"/>
      <c r="AX3999" s="147"/>
      <c r="AY3999" s="147"/>
      <c r="AZ3999" s="147"/>
      <c r="BA3999" s="147"/>
    </row>
    <row r="4000" spans="1:53" ht="15.75" customHeight="1">
      <c r="A4000" s="99"/>
      <c r="B4000" s="99"/>
      <c r="C4000" s="147"/>
      <c r="D4000" s="147"/>
      <c r="E4000" s="147"/>
      <c r="F4000" s="147"/>
      <c r="G4000" s="147"/>
      <c r="H4000" s="147"/>
      <c r="I4000" s="147"/>
      <c r="J4000" s="147"/>
      <c r="K4000" s="147"/>
      <c r="L4000" s="147"/>
      <c r="M4000" s="147"/>
      <c r="N4000" s="147"/>
      <c r="O4000" s="147"/>
      <c r="P4000" s="147"/>
      <c r="Q4000" s="147"/>
      <c r="R4000" s="147"/>
      <c r="S4000" s="147"/>
      <c r="T4000" s="147"/>
      <c r="U4000" s="147"/>
      <c r="V4000" s="147"/>
      <c r="W4000" s="147"/>
      <c r="X4000" s="147"/>
      <c r="Y4000" s="147"/>
      <c r="Z4000" s="147"/>
      <c r="AA4000" s="147"/>
      <c r="AB4000" s="147"/>
      <c r="AC4000" s="147"/>
      <c r="AD4000" s="147"/>
      <c r="AE4000" s="147"/>
      <c r="AF4000" s="147"/>
      <c r="AG4000" s="147"/>
      <c r="AH4000" s="147"/>
      <c r="AI4000" s="147"/>
      <c r="AJ4000" s="147"/>
      <c r="AK4000" s="147"/>
      <c r="AL4000" s="147"/>
      <c r="AM4000" s="147"/>
      <c r="AN4000" s="147"/>
      <c r="AO4000" s="147"/>
      <c r="AP4000" s="147"/>
      <c r="AQ4000" s="147"/>
      <c r="AR4000" s="147"/>
      <c r="AS4000" s="147"/>
      <c r="AT4000" s="147"/>
      <c r="AU4000" s="147"/>
      <c r="AV4000" s="147"/>
      <c r="AW4000" s="147"/>
      <c r="AX4000" s="147"/>
      <c r="AY4000" s="147"/>
      <c r="AZ4000" s="147"/>
      <c r="BA4000" s="147"/>
    </row>
    <row r="4001" spans="1:53" ht="15.75" customHeight="1">
      <c r="A4001" s="99"/>
      <c r="B4001" s="99"/>
      <c r="C4001" s="147"/>
      <c r="D4001" s="147"/>
      <c r="E4001" s="147"/>
      <c r="F4001" s="147"/>
      <c r="G4001" s="147"/>
      <c r="H4001" s="147"/>
      <c r="I4001" s="147"/>
      <c r="J4001" s="147"/>
      <c r="K4001" s="147"/>
      <c r="L4001" s="147"/>
      <c r="M4001" s="147"/>
      <c r="N4001" s="147"/>
      <c r="O4001" s="147"/>
      <c r="P4001" s="147"/>
      <c r="Q4001" s="147"/>
      <c r="R4001" s="147"/>
      <c r="S4001" s="147"/>
      <c r="T4001" s="147"/>
      <c r="U4001" s="147"/>
      <c r="V4001" s="147"/>
      <c r="W4001" s="147"/>
      <c r="X4001" s="147"/>
      <c r="Y4001" s="147"/>
      <c r="Z4001" s="147"/>
      <c r="AA4001" s="147"/>
      <c r="AB4001" s="147"/>
      <c r="AC4001" s="147"/>
      <c r="AD4001" s="147"/>
      <c r="AE4001" s="147"/>
      <c r="AF4001" s="147"/>
      <c r="AG4001" s="147"/>
      <c r="AH4001" s="147"/>
      <c r="AI4001" s="147"/>
      <c r="AJ4001" s="147"/>
      <c r="AK4001" s="147"/>
      <c r="AL4001" s="147"/>
      <c r="AM4001" s="147"/>
      <c r="AN4001" s="147"/>
      <c r="AO4001" s="147"/>
      <c r="AP4001" s="147"/>
      <c r="AQ4001" s="147"/>
      <c r="AR4001" s="147"/>
      <c r="AS4001" s="147"/>
      <c r="AT4001" s="147"/>
      <c r="AU4001" s="147"/>
      <c r="AV4001" s="147"/>
      <c r="AW4001" s="147"/>
      <c r="AX4001" s="147"/>
      <c r="AY4001" s="147"/>
      <c r="AZ4001" s="147"/>
      <c r="BA4001" s="147"/>
    </row>
    <row r="4002" spans="1:53" ht="15.75" customHeight="1">
      <c r="A4002" s="99"/>
      <c r="B4002" s="99"/>
      <c r="C4002" s="147"/>
      <c r="D4002" s="147"/>
      <c r="E4002" s="147"/>
      <c r="F4002" s="147"/>
      <c r="G4002" s="147"/>
      <c r="H4002" s="147"/>
      <c r="I4002" s="147"/>
      <c r="J4002" s="147"/>
      <c r="K4002" s="147"/>
      <c r="L4002" s="147"/>
      <c r="M4002" s="147"/>
      <c r="N4002" s="147"/>
      <c r="O4002" s="147"/>
      <c r="P4002" s="147"/>
      <c r="Q4002" s="147"/>
      <c r="R4002" s="147"/>
      <c r="S4002" s="147"/>
      <c r="T4002" s="147"/>
      <c r="U4002" s="147"/>
      <c r="V4002" s="147"/>
      <c r="W4002" s="147"/>
      <c r="X4002" s="147"/>
      <c r="Y4002" s="147"/>
      <c r="Z4002" s="147"/>
      <c r="AA4002" s="147"/>
      <c r="AB4002" s="147"/>
      <c r="AC4002" s="147"/>
      <c r="AD4002" s="147"/>
      <c r="AE4002" s="147"/>
      <c r="AF4002" s="147"/>
      <c r="AG4002" s="147"/>
      <c r="AH4002" s="147"/>
      <c r="AI4002" s="147"/>
      <c r="AJ4002" s="147"/>
      <c r="AK4002" s="147"/>
      <c r="AL4002" s="147"/>
      <c r="AM4002" s="147"/>
      <c r="AN4002" s="147"/>
      <c r="AO4002" s="147"/>
      <c r="AP4002" s="147"/>
      <c r="AQ4002" s="147"/>
      <c r="AR4002" s="147"/>
      <c r="AS4002" s="147"/>
      <c r="AT4002" s="147"/>
      <c r="AU4002" s="147"/>
      <c r="AV4002" s="147"/>
      <c r="AW4002" s="147"/>
      <c r="AX4002" s="147"/>
      <c r="AY4002" s="147"/>
      <c r="AZ4002" s="147"/>
      <c r="BA4002" s="147"/>
    </row>
    <row r="4003" spans="1:53" ht="15.75" customHeight="1">
      <c r="A4003" s="99"/>
      <c r="B4003" s="99"/>
      <c r="C4003" s="147"/>
      <c r="D4003" s="147"/>
      <c r="E4003" s="147"/>
      <c r="F4003" s="147"/>
      <c r="G4003" s="147"/>
      <c r="H4003" s="147"/>
      <c r="I4003" s="147"/>
      <c r="J4003" s="147"/>
      <c r="K4003" s="147"/>
      <c r="L4003" s="147"/>
      <c r="M4003" s="147"/>
      <c r="N4003" s="147"/>
      <c r="O4003" s="147"/>
      <c r="P4003" s="147"/>
      <c r="Q4003" s="147"/>
      <c r="R4003" s="147"/>
      <c r="S4003" s="147"/>
      <c r="T4003" s="147"/>
      <c r="U4003" s="147"/>
      <c r="V4003" s="147"/>
      <c r="W4003" s="147"/>
      <c r="X4003" s="147"/>
      <c r="Y4003" s="147"/>
      <c r="Z4003" s="147"/>
      <c r="AA4003" s="147"/>
      <c r="AB4003" s="147"/>
      <c r="AC4003" s="147"/>
      <c r="AD4003" s="147"/>
      <c r="AE4003" s="147"/>
      <c r="AF4003" s="147"/>
      <c r="AG4003" s="147"/>
      <c r="AH4003" s="147"/>
      <c r="AI4003" s="147"/>
      <c r="AJ4003" s="147"/>
      <c r="AK4003" s="147"/>
      <c r="AL4003" s="147"/>
      <c r="AM4003" s="147"/>
      <c r="AN4003" s="147"/>
      <c r="AO4003" s="147"/>
      <c r="AP4003" s="147"/>
      <c r="AQ4003" s="147"/>
      <c r="AR4003" s="147"/>
      <c r="AS4003" s="147"/>
      <c r="AT4003" s="147"/>
      <c r="AU4003" s="147"/>
      <c r="AV4003" s="147"/>
      <c r="AW4003" s="147"/>
      <c r="AX4003" s="147"/>
      <c r="AY4003" s="147"/>
      <c r="AZ4003" s="147"/>
      <c r="BA4003" s="147"/>
    </row>
    <row r="4004" spans="1:53" ht="15.75" customHeight="1">
      <c r="A4004" s="99"/>
      <c r="B4004" s="99"/>
      <c r="C4004" s="147"/>
      <c r="D4004" s="147"/>
      <c r="E4004" s="147"/>
      <c r="F4004" s="147"/>
      <c r="G4004" s="147"/>
      <c r="H4004" s="147"/>
      <c r="I4004" s="147"/>
      <c r="J4004" s="147"/>
      <c r="K4004" s="147"/>
      <c r="L4004" s="147"/>
      <c r="M4004" s="147"/>
      <c r="N4004" s="147"/>
      <c r="O4004" s="147"/>
      <c r="P4004" s="147"/>
      <c r="Q4004" s="147"/>
      <c r="R4004" s="147"/>
      <c r="S4004" s="147"/>
      <c r="T4004" s="147"/>
      <c r="U4004" s="147"/>
      <c r="V4004" s="147"/>
      <c r="W4004" s="147"/>
      <c r="X4004" s="147"/>
      <c r="Y4004" s="147"/>
      <c r="Z4004" s="147"/>
      <c r="AA4004" s="147"/>
      <c r="AB4004" s="147"/>
      <c r="AC4004" s="147"/>
      <c r="AD4004" s="147"/>
      <c r="AE4004" s="147"/>
      <c r="AF4004" s="147"/>
      <c r="AG4004" s="147"/>
      <c r="AH4004" s="147"/>
      <c r="AI4004" s="147"/>
      <c r="AJ4004" s="147"/>
      <c r="AK4004" s="147"/>
      <c r="AL4004" s="147"/>
      <c r="AM4004" s="147"/>
      <c r="AN4004" s="147"/>
      <c r="AO4004" s="147"/>
      <c r="AP4004" s="147"/>
      <c r="AQ4004" s="147"/>
      <c r="AR4004" s="147"/>
      <c r="AS4004" s="147"/>
      <c r="AT4004" s="147"/>
      <c r="AU4004" s="147"/>
      <c r="AV4004" s="147"/>
      <c r="AW4004" s="147"/>
      <c r="AX4004" s="147"/>
      <c r="AY4004" s="147"/>
      <c r="AZ4004" s="147"/>
      <c r="BA4004" s="147"/>
    </row>
    <row r="4005" spans="1:53" ht="15.75" customHeight="1">
      <c r="A4005" s="99"/>
      <c r="B4005" s="99"/>
      <c r="C4005" s="147"/>
      <c r="D4005" s="147"/>
      <c r="E4005" s="147"/>
      <c r="F4005" s="147"/>
      <c r="G4005" s="147"/>
      <c r="H4005" s="147"/>
      <c r="I4005" s="147"/>
      <c r="J4005" s="147"/>
      <c r="K4005" s="147"/>
      <c r="L4005" s="147"/>
      <c r="M4005" s="147"/>
      <c r="N4005" s="147"/>
      <c r="O4005" s="147"/>
      <c r="P4005" s="147"/>
      <c r="Q4005" s="147"/>
      <c r="R4005" s="147"/>
      <c r="S4005" s="147"/>
      <c r="T4005" s="147"/>
      <c r="U4005" s="147"/>
      <c r="V4005" s="147"/>
      <c r="W4005" s="147"/>
      <c r="X4005" s="147"/>
      <c r="Y4005" s="147"/>
      <c r="Z4005" s="147"/>
      <c r="AA4005" s="147"/>
      <c r="AB4005" s="147"/>
      <c r="AC4005" s="147"/>
      <c r="AD4005" s="147"/>
      <c r="AE4005" s="147"/>
      <c r="AF4005" s="147"/>
      <c r="AG4005" s="147"/>
      <c r="AH4005" s="147"/>
      <c r="AI4005" s="147"/>
      <c r="AJ4005" s="147"/>
      <c r="AK4005" s="147"/>
      <c r="AL4005" s="147"/>
      <c r="AM4005" s="147"/>
      <c r="AN4005" s="147"/>
      <c r="AO4005" s="147"/>
      <c r="AP4005" s="147"/>
      <c r="AQ4005" s="147"/>
      <c r="AR4005" s="147"/>
      <c r="AS4005" s="147"/>
      <c r="AT4005" s="147"/>
      <c r="AU4005" s="147"/>
      <c r="AV4005" s="147"/>
      <c r="AW4005" s="147"/>
      <c r="AX4005" s="147"/>
      <c r="AY4005" s="147"/>
      <c r="AZ4005" s="147"/>
      <c r="BA4005" s="147"/>
    </row>
    <row r="4006" spans="1:53" ht="15.75" customHeight="1">
      <c r="A4006" s="99"/>
      <c r="B4006" s="99"/>
      <c r="C4006" s="147"/>
      <c r="D4006" s="147"/>
      <c r="E4006" s="147"/>
      <c r="F4006" s="147"/>
      <c r="G4006" s="147"/>
      <c r="H4006" s="147"/>
      <c r="I4006" s="147"/>
      <c r="J4006" s="147"/>
      <c r="K4006" s="147"/>
      <c r="L4006" s="147"/>
      <c r="M4006" s="147"/>
      <c r="N4006" s="147"/>
      <c r="O4006" s="147"/>
      <c r="P4006" s="147"/>
      <c r="Q4006" s="147"/>
      <c r="R4006" s="147"/>
      <c r="S4006" s="147"/>
      <c r="T4006" s="147"/>
      <c r="U4006" s="147"/>
      <c r="V4006" s="147"/>
      <c r="W4006" s="147"/>
      <c r="X4006" s="147"/>
      <c r="Y4006" s="147"/>
      <c r="Z4006" s="147"/>
      <c r="AA4006" s="147"/>
      <c r="AB4006" s="147"/>
      <c r="AC4006" s="147"/>
      <c r="AD4006" s="147"/>
      <c r="AE4006" s="147"/>
      <c r="AF4006" s="147"/>
      <c r="AG4006" s="147"/>
      <c r="AH4006" s="147"/>
      <c r="AI4006" s="147"/>
      <c r="AJ4006" s="147"/>
      <c r="AK4006" s="147"/>
      <c r="AL4006" s="147"/>
      <c r="AM4006" s="147"/>
      <c r="AN4006" s="147"/>
      <c r="AO4006" s="147"/>
      <c r="AP4006" s="147"/>
      <c r="AQ4006" s="147"/>
      <c r="AR4006" s="147"/>
      <c r="AS4006" s="147"/>
      <c r="AT4006" s="147"/>
      <c r="AU4006" s="147"/>
      <c r="AV4006" s="147"/>
      <c r="AW4006" s="147"/>
      <c r="AX4006" s="147"/>
      <c r="AY4006" s="147"/>
      <c r="AZ4006" s="147"/>
      <c r="BA4006" s="147"/>
    </row>
    <row r="4007" spans="1:53" ht="15.75" customHeight="1">
      <c r="A4007" s="99"/>
      <c r="B4007" s="99"/>
      <c r="C4007" s="147"/>
      <c r="D4007" s="147"/>
      <c r="E4007" s="147"/>
      <c r="F4007" s="147"/>
      <c r="G4007" s="147"/>
      <c r="H4007" s="147"/>
      <c r="I4007" s="147"/>
      <c r="J4007" s="147"/>
      <c r="K4007" s="147"/>
      <c r="L4007" s="147"/>
      <c r="M4007" s="147"/>
      <c r="N4007" s="147"/>
      <c r="O4007" s="147"/>
      <c r="P4007" s="147"/>
      <c r="Q4007" s="147"/>
      <c r="R4007" s="147"/>
      <c r="S4007" s="147"/>
      <c r="T4007" s="147"/>
      <c r="U4007" s="147"/>
      <c r="V4007" s="147"/>
      <c r="W4007" s="147"/>
      <c r="X4007" s="147"/>
      <c r="Y4007" s="147"/>
      <c r="Z4007" s="147"/>
      <c r="AA4007" s="147"/>
      <c r="AB4007" s="147"/>
      <c r="AC4007" s="147"/>
      <c r="AD4007" s="147"/>
      <c r="AE4007" s="147"/>
      <c r="AF4007" s="147"/>
      <c r="AG4007" s="147"/>
      <c r="AH4007" s="147"/>
      <c r="AI4007" s="147"/>
      <c r="AJ4007" s="147"/>
      <c r="AK4007" s="147"/>
      <c r="AL4007" s="147"/>
      <c r="AM4007" s="147"/>
      <c r="AN4007" s="147"/>
      <c r="AO4007" s="147"/>
      <c r="AP4007" s="147"/>
      <c r="AQ4007" s="147"/>
      <c r="AR4007" s="147"/>
      <c r="AS4007" s="147"/>
      <c r="AT4007" s="147"/>
      <c r="AU4007" s="147"/>
      <c r="AV4007" s="147"/>
      <c r="AW4007" s="147"/>
      <c r="AX4007" s="147"/>
      <c r="AY4007" s="147"/>
      <c r="AZ4007" s="147"/>
      <c r="BA4007" s="147"/>
    </row>
    <row r="4008" spans="1:53" ht="15.75" customHeight="1">
      <c r="A4008" s="99"/>
      <c r="B4008" s="99"/>
      <c r="C4008" s="147"/>
      <c r="D4008" s="147"/>
      <c r="E4008" s="147"/>
      <c r="F4008" s="147"/>
      <c r="G4008" s="147"/>
      <c r="H4008" s="147"/>
      <c r="I4008" s="147"/>
      <c r="J4008" s="147"/>
      <c r="K4008" s="147"/>
      <c r="L4008" s="147"/>
      <c r="M4008" s="147"/>
      <c r="N4008" s="147"/>
      <c r="O4008" s="147"/>
      <c r="P4008" s="147"/>
      <c r="Q4008" s="147"/>
      <c r="R4008" s="147"/>
      <c r="S4008" s="147"/>
      <c r="T4008" s="147"/>
      <c r="U4008" s="147"/>
      <c r="V4008" s="147"/>
      <c r="W4008" s="147"/>
      <c r="X4008" s="147"/>
      <c r="Y4008" s="147"/>
      <c r="Z4008" s="147"/>
      <c r="AA4008" s="147"/>
      <c r="AB4008" s="147"/>
      <c r="AC4008" s="147"/>
      <c r="AD4008" s="147"/>
      <c r="AE4008" s="147"/>
      <c r="AF4008" s="147"/>
      <c r="AG4008" s="147"/>
      <c r="AH4008" s="147"/>
      <c r="AI4008" s="147"/>
      <c r="AJ4008" s="147"/>
      <c r="AK4008" s="147"/>
      <c r="AL4008" s="147"/>
      <c r="AM4008" s="147"/>
      <c r="AN4008" s="147"/>
      <c r="AO4008" s="147"/>
      <c r="AP4008" s="147"/>
      <c r="AQ4008" s="147"/>
      <c r="AR4008" s="147"/>
      <c r="AS4008" s="147"/>
      <c r="AT4008" s="147"/>
      <c r="AU4008" s="147"/>
      <c r="AV4008" s="147"/>
      <c r="AW4008" s="147"/>
      <c r="AX4008" s="147"/>
      <c r="AY4008" s="147"/>
      <c r="AZ4008" s="147"/>
      <c r="BA4008" s="147"/>
    </row>
    <row r="4009" spans="1:53" ht="15.75" customHeight="1">
      <c r="A4009" s="99"/>
      <c r="B4009" s="99"/>
      <c r="C4009" s="147"/>
      <c r="D4009" s="147"/>
      <c r="E4009" s="147"/>
      <c r="F4009" s="147"/>
      <c r="G4009" s="147"/>
      <c r="H4009" s="147"/>
      <c r="I4009" s="147"/>
      <c r="J4009" s="147"/>
      <c r="K4009" s="147"/>
      <c r="L4009" s="147"/>
      <c r="M4009" s="147"/>
      <c r="N4009" s="147"/>
      <c r="O4009" s="147"/>
      <c r="P4009" s="147"/>
      <c r="Q4009" s="147"/>
      <c r="R4009" s="147"/>
      <c r="S4009" s="147"/>
      <c r="T4009" s="147"/>
      <c r="U4009" s="147"/>
      <c r="V4009" s="147"/>
      <c r="W4009" s="147"/>
      <c r="X4009" s="147"/>
      <c r="Y4009" s="147"/>
      <c r="Z4009" s="147"/>
      <c r="AA4009" s="147"/>
      <c r="AB4009" s="147"/>
      <c r="AC4009" s="147"/>
      <c r="AD4009" s="147"/>
      <c r="AE4009" s="147"/>
      <c r="AF4009" s="147"/>
      <c r="AG4009" s="147"/>
      <c r="AH4009" s="147"/>
      <c r="AI4009" s="147"/>
      <c r="AJ4009" s="147"/>
      <c r="AK4009" s="147"/>
      <c r="AL4009" s="147"/>
      <c r="AM4009" s="147"/>
      <c r="AN4009" s="147"/>
      <c r="AO4009" s="147"/>
      <c r="AP4009" s="147"/>
      <c r="AQ4009" s="147"/>
      <c r="AR4009" s="147"/>
      <c r="AS4009" s="147"/>
      <c r="AT4009" s="147"/>
      <c r="AU4009" s="147"/>
      <c r="AV4009" s="147"/>
      <c r="AW4009" s="147"/>
      <c r="AX4009" s="147"/>
      <c r="AY4009" s="147"/>
      <c r="AZ4009" s="147"/>
      <c r="BA4009" s="147"/>
    </row>
    <row r="4010" spans="1:53" ht="15.75" customHeight="1">
      <c r="A4010" s="99"/>
      <c r="B4010" s="99"/>
      <c r="C4010" s="147"/>
      <c r="D4010" s="147"/>
      <c r="E4010" s="147"/>
      <c r="F4010" s="147"/>
      <c r="G4010" s="147"/>
      <c r="H4010" s="147"/>
      <c r="I4010" s="147"/>
      <c r="J4010" s="147"/>
      <c r="K4010" s="147"/>
      <c r="L4010" s="147"/>
      <c r="M4010" s="147"/>
      <c r="N4010" s="147"/>
      <c r="O4010" s="147"/>
      <c r="P4010" s="147"/>
      <c r="Q4010" s="147"/>
      <c r="R4010" s="147"/>
      <c r="S4010" s="147"/>
      <c r="T4010" s="147"/>
      <c r="U4010" s="147"/>
      <c r="V4010" s="147"/>
      <c r="W4010" s="147"/>
      <c r="X4010" s="147"/>
      <c r="Y4010" s="147"/>
      <c r="Z4010" s="147"/>
      <c r="AA4010" s="147"/>
      <c r="AB4010" s="147"/>
      <c r="AC4010" s="147"/>
      <c r="AD4010" s="147"/>
      <c r="AE4010" s="147"/>
      <c r="AF4010" s="147"/>
      <c r="AG4010" s="147"/>
      <c r="AH4010" s="147"/>
      <c r="AI4010" s="147"/>
      <c r="AJ4010" s="147"/>
      <c r="AK4010" s="147"/>
      <c r="AL4010" s="147"/>
      <c r="AM4010" s="147"/>
      <c r="AN4010" s="147"/>
      <c r="AO4010" s="147"/>
      <c r="AP4010" s="147"/>
      <c r="AQ4010" s="147"/>
      <c r="AR4010" s="147"/>
      <c r="AS4010" s="147"/>
      <c r="AT4010" s="147"/>
      <c r="AU4010" s="147"/>
      <c r="AV4010" s="147"/>
      <c r="AW4010" s="147"/>
      <c r="AX4010" s="147"/>
      <c r="AY4010" s="147"/>
      <c r="AZ4010" s="147"/>
      <c r="BA4010" s="147"/>
    </row>
    <row r="4011" spans="1:53" ht="15.75" customHeight="1">
      <c r="A4011" s="99"/>
      <c r="B4011" s="99"/>
      <c r="C4011" s="147"/>
      <c r="D4011" s="147"/>
      <c r="E4011" s="147"/>
      <c r="F4011" s="147"/>
      <c r="G4011" s="147"/>
      <c r="H4011" s="147"/>
      <c r="I4011" s="147"/>
      <c r="J4011" s="147"/>
      <c r="K4011" s="147"/>
      <c r="L4011" s="147"/>
      <c r="M4011" s="147"/>
      <c r="N4011" s="147"/>
      <c r="O4011" s="147"/>
      <c r="P4011" s="147"/>
      <c r="Q4011" s="147"/>
      <c r="R4011" s="147"/>
      <c r="S4011" s="147"/>
      <c r="T4011" s="147"/>
      <c r="U4011" s="147"/>
      <c r="V4011" s="147"/>
      <c r="W4011" s="147"/>
      <c r="X4011" s="147"/>
      <c r="Y4011" s="147"/>
      <c r="Z4011" s="147"/>
      <c r="AA4011" s="147"/>
      <c r="AB4011" s="147"/>
      <c r="AC4011" s="147"/>
      <c r="AD4011" s="147"/>
      <c r="AE4011" s="147"/>
      <c r="AF4011" s="147"/>
      <c r="AG4011" s="147"/>
      <c r="AH4011" s="147"/>
      <c r="AI4011" s="147"/>
      <c r="AJ4011" s="147"/>
      <c r="AK4011" s="147"/>
      <c r="AL4011" s="147"/>
      <c r="AM4011" s="147"/>
      <c r="AN4011" s="147"/>
      <c r="AO4011" s="147"/>
      <c r="AP4011" s="147"/>
      <c r="AQ4011" s="147"/>
      <c r="AR4011" s="147"/>
      <c r="AS4011" s="147"/>
      <c r="AT4011" s="147"/>
      <c r="AU4011" s="147"/>
      <c r="AV4011" s="147"/>
      <c r="AW4011" s="147"/>
      <c r="AX4011" s="147"/>
      <c r="AY4011" s="147"/>
      <c r="AZ4011" s="147"/>
      <c r="BA4011" s="147"/>
    </row>
    <row r="4012" spans="1:53" ht="15.75" customHeight="1">
      <c r="A4012" s="99"/>
      <c r="B4012" s="99"/>
      <c r="C4012" s="147"/>
      <c r="D4012" s="147"/>
      <c r="E4012" s="147"/>
      <c r="F4012" s="147"/>
      <c r="G4012" s="147"/>
      <c r="H4012" s="147"/>
      <c r="I4012" s="147"/>
      <c r="J4012" s="147"/>
      <c r="K4012" s="147"/>
      <c r="L4012" s="147"/>
      <c r="M4012" s="147"/>
      <c r="N4012" s="147"/>
      <c r="O4012" s="147"/>
      <c r="P4012" s="147"/>
      <c r="Q4012" s="147"/>
      <c r="R4012" s="147"/>
      <c r="S4012" s="147"/>
      <c r="T4012" s="147"/>
      <c r="U4012" s="147"/>
      <c r="V4012" s="147"/>
      <c r="W4012" s="147"/>
      <c r="X4012" s="147"/>
      <c r="Y4012" s="147"/>
      <c r="Z4012" s="147"/>
      <c r="AA4012" s="147"/>
      <c r="AB4012" s="147"/>
      <c r="AC4012" s="147"/>
      <c r="AD4012" s="147"/>
      <c r="AE4012" s="147"/>
      <c r="AF4012" s="147"/>
      <c r="AG4012" s="147"/>
      <c r="AH4012" s="147"/>
      <c r="AI4012" s="147"/>
      <c r="AJ4012" s="147"/>
      <c r="AK4012" s="147"/>
      <c r="AL4012" s="147"/>
      <c r="AM4012" s="147"/>
      <c r="AN4012" s="147"/>
      <c r="AO4012" s="147"/>
      <c r="AP4012" s="147"/>
      <c r="AQ4012" s="147"/>
      <c r="AR4012" s="147"/>
      <c r="AS4012" s="147"/>
      <c r="AT4012" s="147"/>
      <c r="AU4012" s="147"/>
      <c r="AV4012" s="147"/>
      <c r="AW4012" s="147"/>
      <c r="AX4012" s="147"/>
      <c r="AY4012" s="147"/>
      <c r="AZ4012" s="147"/>
      <c r="BA4012" s="147"/>
    </row>
    <row r="4013" spans="1:53" ht="15.75" customHeight="1">
      <c r="A4013" s="99"/>
      <c r="B4013" s="99"/>
      <c r="C4013" s="147"/>
      <c r="D4013" s="147"/>
      <c r="E4013" s="147"/>
      <c r="F4013" s="147"/>
      <c r="G4013" s="147"/>
      <c r="H4013" s="147"/>
      <c r="I4013" s="147"/>
      <c r="J4013" s="147"/>
      <c r="K4013" s="147"/>
      <c r="L4013" s="147"/>
      <c r="M4013" s="147"/>
      <c r="N4013" s="147"/>
      <c r="O4013" s="147"/>
      <c r="P4013" s="147"/>
      <c r="Q4013" s="147"/>
      <c r="R4013" s="147"/>
      <c r="S4013" s="147"/>
      <c r="T4013" s="147"/>
      <c r="U4013" s="147"/>
      <c r="V4013" s="147"/>
      <c r="W4013" s="147"/>
      <c r="X4013" s="147"/>
      <c r="Y4013" s="147"/>
      <c r="Z4013" s="147"/>
      <c r="AA4013" s="147"/>
      <c r="AB4013" s="147"/>
      <c r="AC4013" s="147"/>
      <c r="AD4013" s="147"/>
      <c r="AE4013" s="147"/>
      <c r="AF4013" s="147"/>
      <c r="AG4013" s="147"/>
      <c r="AH4013" s="147"/>
      <c r="AI4013" s="147"/>
      <c r="AJ4013" s="147"/>
      <c r="AK4013" s="147"/>
      <c r="AL4013" s="147"/>
      <c r="AM4013" s="147"/>
      <c r="AN4013" s="147"/>
      <c r="AO4013" s="147"/>
      <c r="AP4013" s="147"/>
      <c r="AQ4013" s="147"/>
      <c r="AR4013" s="147"/>
      <c r="AS4013" s="147"/>
      <c r="AT4013" s="147"/>
      <c r="AU4013" s="147"/>
      <c r="AV4013" s="147"/>
      <c r="AW4013" s="147"/>
      <c r="AX4013" s="147"/>
      <c r="AY4013" s="147"/>
      <c r="AZ4013" s="147"/>
      <c r="BA4013" s="147"/>
    </row>
    <row r="4014" spans="1:53" ht="15.75" customHeight="1">
      <c r="A4014" s="99"/>
      <c r="B4014" s="99"/>
      <c r="C4014" s="147"/>
      <c r="D4014" s="147"/>
      <c r="E4014" s="147"/>
      <c r="F4014" s="147"/>
      <c r="G4014" s="147"/>
      <c r="H4014" s="147"/>
      <c r="I4014" s="147"/>
      <c r="J4014" s="147"/>
      <c r="K4014" s="147"/>
      <c r="L4014" s="147"/>
      <c r="M4014" s="147"/>
      <c r="N4014" s="147"/>
      <c r="O4014" s="147"/>
      <c r="P4014" s="147"/>
      <c r="Q4014" s="147"/>
      <c r="R4014" s="147"/>
      <c r="S4014" s="147"/>
      <c r="T4014" s="147"/>
      <c r="U4014" s="147"/>
      <c r="V4014" s="147"/>
      <c r="W4014" s="147"/>
      <c r="X4014" s="147"/>
      <c r="Y4014" s="147"/>
      <c r="Z4014" s="147"/>
      <c r="AA4014" s="147"/>
      <c r="AB4014" s="147"/>
      <c r="AC4014" s="147"/>
      <c r="AD4014" s="147"/>
      <c r="AE4014" s="147"/>
      <c r="AF4014" s="147"/>
      <c r="AG4014" s="147"/>
      <c r="AH4014" s="147"/>
      <c r="AI4014" s="147"/>
      <c r="AJ4014" s="147"/>
      <c r="AK4014" s="147"/>
      <c r="AL4014" s="147"/>
      <c r="AM4014" s="147"/>
      <c r="AN4014" s="147"/>
      <c r="AO4014" s="147"/>
      <c r="AP4014" s="147"/>
      <c r="AQ4014" s="147"/>
      <c r="AR4014" s="147"/>
      <c r="AS4014" s="147"/>
      <c r="AT4014" s="147"/>
      <c r="AU4014" s="147"/>
      <c r="AV4014" s="147"/>
      <c r="AW4014" s="147"/>
      <c r="AX4014" s="147"/>
      <c r="AY4014" s="147"/>
      <c r="AZ4014" s="147"/>
      <c r="BA4014" s="147"/>
    </row>
    <row r="4015" spans="1:53" ht="15.75" customHeight="1">
      <c r="A4015" s="99"/>
      <c r="B4015" s="99"/>
      <c r="C4015" s="147"/>
      <c r="D4015" s="147"/>
      <c r="E4015" s="147"/>
      <c r="F4015" s="147"/>
      <c r="G4015" s="147"/>
      <c r="H4015" s="147"/>
      <c r="I4015" s="147"/>
      <c r="J4015" s="147"/>
      <c r="K4015" s="147"/>
      <c r="L4015" s="147"/>
      <c r="M4015" s="147"/>
      <c r="N4015" s="147"/>
      <c r="O4015" s="147"/>
      <c r="P4015" s="147"/>
      <c r="Q4015" s="147"/>
      <c r="R4015" s="147"/>
      <c r="S4015" s="147"/>
      <c r="T4015" s="147"/>
      <c r="U4015" s="147"/>
      <c r="V4015" s="147"/>
      <c r="W4015" s="147"/>
      <c r="X4015" s="147"/>
      <c r="Y4015" s="147"/>
      <c r="Z4015" s="147"/>
      <c r="AA4015" s="147"/>
      <c r="AB4015" s="147"/>
      <c r="AC4015" s="147"/>
      <c r="AD4015" s="147"/>
      <c r="AE4015" s="147"/>
      <c r="AF4015" s="147"/>
      <c r="AG4015" s="147"/>
      <c r="AH4015" s="147"/>
      <c r="AI4015" s="147"/>
      <c r="AJ4015" s="147"/>
      <c r="AK4015" s="147"/>
      <c r="AL4015" s="147"/>
      <c r="AM4015" s="147"/>
      <c r="AN4015" s="147"/>
      <c r="AO4015" s="147"/>
      <c r="AP4015" s="147"/>
      <c r="AQ4015" s="147"/>
      <c r="AR4015" s="147"/>
      <c r="AS4015" s="147"/>
      <c r="AT4015" s="147"/>
      <c r="AU4015" s="147"/>
      <c r="AV4015" s="147"/>
      <c r="AW4015" s="147"/>
      <c r="AX4015" s="147"/>
      <c r="AY4015" s="147"/>
      <c r="AZ4015" s="147"/>
      <c r="BA4015" s="147"/>
    </row>
    <row r="4016" spans="1:53" ht="15.75" customHeight="1">
      <c r="A4016" s="99"/>
      <c r="B4016" s="99"/>
      <c r="C4016" s="147"/>
      <c r="D4016" s="147"/>
      <c r="E4016" s="147"/>
      <c r="F4016" s="147"/>
      <c r="G4016" s="147"/>
      <c r="H4016" s="147"/>
      <c r="I4016" s="147"/>
      <c r="J4016" s="147"/>
      <c r="K4016" s="147"/>
      <c r="L4016" s="147"/>
      <c r="M4016" s="147"/>
      <c r="N4016" s="147"/>
      <c r="O4016" s="147"/>
      <c r="P4016" s="147"/>
      <c r="Q4016" s="147"/>
      <c r="R4016" s="147"/>
      <c r="S4016" s="147"/>
      <c r="T4016" s="147"/>
      <c r="U4016" s="147"/>
      <c r="V4016" s="147"/>
      <c r="W4016" s="147"/>
      <c r="X4016" s="147"/>
      <c r="Y4016" s="147"/>
      <c r="Z4016" s="147"/>
      <c r="AA4016" s="147"/>
      <c r="AB4016" s="147"/>
      <c r="AC4016" s="147"/>
      <c r="AD4016" s="147"/>
      <c r="AE4016" s="147"/>
      <c r="AF4016" s="147"/>
      <c r="AG4016" s="147"/>
      <c r="AH4016" s="147"/>
      <c r="AI4016" s="147"/>
      <c r="AJ4016" s="147"/>
      <c r="AK4016" s="147"/>
      <c r="AL4016" s="147"/>
      <c r="AM4016" s="147"/>
      <c r="AN4016" s="147"/>
      <c r="AO4016" s="147"/>
      <c r="AP4016" s="147"/>
      <c r="AQ4016" s="147"/>
      <c r="AR4016" s="147"/>
      <c r="AS4016" s="147"/>
      <c r="AT4016" s="147"/>
      <c r="AU4016" s="147"/>
      <c r="AV4016" s="147"/>
      <c r="AW4016" s="147"/>
      <c r="AX4016" s="147"/>
      <c r="AY4016" s="147"/>
      <c r="AZ4016" s="147"/>
      <c r="BA4016" s="147"/>
    </row>
    <row r="4017" spans="1:53" ht="15.75" customHeight="1">
      <c r="A4017" s="99"/>
      <c r="B4017" s="99"/>
      <c r="C4017" s="147"/>
      <c r="D4017" s="147"/>
      <c r="E4017" s="147"/>
      <c r="F4017" s="147"/>
      <c r="G4017" s="147"/>
      <c r="H4017" s="147"/>
      <c r="I4017" s="147"/>
      <c r="J4017" s="147"/>
      <c r="K4017" s="147"/>
      <c r="L4017" s="147"/>
      <c r="M4017" s="147"/>
      <c r="N4017" s="147"/>
      <c r="O4017" s="147"/>
      <c r="P4017" s="147"/>
      <c r="Q4017" s="147"/>
      <c r="R4017" s="147"/>
      <c r="S4017" s="147"/>
      <c r="T4017" s="147"/>
      <c r="U4017" s="147"/>
      <c r="V4017" s="147"/>
      <c r="W4017" s="147"/>
      <c r="X4017" s="147"/>
      <c r="Y4017" s="147"/>
      <c r="Z4017" s="147"/>
      <c r="AA4017" s="147"/>
      <c r="AB4017" s="147"/>
      <c r="AC4017" s="147"/>
      <c r="AD4017" s="147"/>
      <c r="AE4017" s="147"/>
      <c r="AF4017" s="147"/>
      <c r="AG4017" s="147"/>
      <c r="AH4017" s="147"/>
      <c r="AI4017" s="147"/>
      <c r="AJ4017" s="147"/>
      <c r="AK4017" s="147"/>
      <c r="AL4017" s="147"/>
      <c r="AM4017" s="147"/>
      <c r="AN4017" s="147"/>
      <c r="AO4017" s="147"/>
      <c r="AP4017" s="147"/>
      <c r="AQ4017" s="147"/>
      <c r="AR4017" s="147"/>
      <c r="AS4017" s="147"/>
      <c r="AT4017" s="147"/>
      <c r="AU4017" s="147"/>
      <c r="AV4017" s="147"/>
      <c r="AW4017" s="147"/>
      <c r="AX4017" s="147"/>
      <c r="AY4017" s="147"/>
      <c r="AZ4017" s="147"/>
      <c r="BA4017" s="147"/>
    </row>
    <row r="4018" spans="1:53" ht="15.75" customHeight="1">
      <c r="A4018" s="99"/>
      <c r="B4018" s="99"/>
      <c r="C4018" s="147"/>
      <c r="D4018" s="147"/>
      <c r="E4018" s="147"/>
      <c r="F4018" s="147"/>
      <c r="G4018" s="147"/>
      <c r="H4018" s="147"/>
      <c r="I4018" s="147"/>
      <c r="J4018" s="147"/>
      <c r="K4018" s="147"/>
      <c r="L4018" s="147"/>
      <c r="M4018" s="147"/>
      <c r="N4018" s="147"/>
      <c r="O4018" s="147"/>
      <c r="P4018" s="147"/>
      <c r="Q4018" s="147"/>
      <c r="R4018" s="147"/>
      <c r="S4018" s="147"/>
      <c r="T4018" s="147"/>
      <c r="U4018" s="147"/>
      <c r="V4018" s="147"/>
      <c r="W4018" s="147"/>
      <c r="X4018" s="147"/>
      <c r="Y4018" s="147"/>
      <c r="Z4018" s="147"/>
      <c r="AA4018" s="147"/>
      <c r="AB4018" s="147"/>
      <c r="AC4018" s="147"/>
      <c r="AD4018" s="147"/>
      <c r="AE4018" s="147"/>
      <c r="AF4018" s="147"/>
      <c r="AG4018" s="147"/>
      <c r="AH4018" s="147"/>
      <c r="AI4018" s="147"/>
      <c r="AJ4018" s="147"/>
      <c r="AK4018" s="147"/>
      <c r="AL4018" s="147"/>
      <c r="AM4018" s="147"/>
      <c r="AN4018" s="147"/>
      <c r="AO4018" s="147"/>
      <c r="AP4018" s="147"/>
      <c r="AQ4018" s="147"/>
      <c r="AR4018" s="147"/>
      <c r="AS4018" s="147"/>
      <c r="AT4018" s="147"/>
      <c r="AU4018" s="147"/>
      <c r="AV4018" s="147"/>
      <c r="AW4018" s="147"/>
      <c r="AX4018" s="147"/>
      <c r="AY4018" s="147"/>
      <c r="AZ4018" s="147"/>
      <c r="BA4018" s="147"/>
    </row>
    <row r="4019" spans="1:53" ht="15.75" customHeight="1">
      <c r="A4019" s="99"/>
      <c r="B4019" s="99"/>
      <c r="C4019" s="147"/>
      <c r="D4019" s="147"/>
      <c r="E4019" s="147"/>
      <c r="F4019" s="147"/>
      <c r="G4019" s="147"/>
      <c r="H4019" s="147"/>
      <c r="I4019" s="147"/>
      <c r="J4019" s="147"/>
      <c r="K4019" s="147"/>
      <c r="L4019" s="147"/>
      <c r="M4019" s="147"/>
      <c r="N4019" s="147"/>
      <c r="O4019" s="147"/>
      <c r="P4019" s="147"/>
      <c r="Q4019" s="147"/>
      <c r="R4019" s="147"/>
      <c r="S4019" s="147"/>
      <c r="T4019" s="147"/>
      <c r="U4019" s="147"/>
      <c r="V4019" s="147"/>
      <c r="W4019" s="147"/>
      <c r="X4019" s="147"/>
      <c r="Y4019" s="147"/>
      <c r="Z4019" s="147"/>
      <c r="AA4019" s="147"/>
      <c r="AB4019" s="147"/>
      <c r="AC4019" s="147"/>
      <c r="AD4019" s="147"/>
      <c r="AE4019" s="147"/>
      <c r="AF4019" s="147"/>
      <c r="AG4019" s="147"/>
      <c r="AH4019" s="147"/>
      <c r="AI4019" s="147"/>
      <c r="AJ4019" s="147"/>
      <c r="AK4019" s="147"/>
      <c r="AL4019" s="147"/>
      <c r="AM4019" s="147"/>
      <c r="AN4019" s="147"/>
      <c r="AO4019" s="147"/>
      <c r="AP4019" s="147"/>
      <c r="AQ4019" s="147"/>
      <c r="AR4019" s="147"/>
      <c r="AS4019" s="147"/>
      <c r="AT4019" s="147"/>
      <c r="AU4019" s="147"/>
      <c r="AV4019" s="147"/>
      <c r="AW4019" s="147"/>
      <c r="AX4019" s="147"/>
      <c r="AY4019" s="147"/>
      <c r="AZ4019" s="147"/>
      <c r="BA4019" s="147"/>
    </row>
    <row r="4020" spans="1:53" ht="15.75" customHeight="1">
      <c r="A4020" s="99"/>
      <c r="B4020" s="99"/>
      <c r="C4020" s="147"/>
      <c r="D4020" s="147"/>
      <c r="E4020" s="147"/>
      <c r="F4020" s="147"/>
      <c r="G4020" s="147"/>
      <c r="H4020" s="147"/>
      <c r="I4020" s="147"/>
      <c r="J4020" s="147"/>
      <c r="K4020" s="147"/>
      <c r="L4020" s="147"/>
      <c r="M4020" s="147"/>
      <c r="N4020" s="147"/>
      <c r="O4020" s="147"/>
      <c r="P4020" s="147"/>
      <c r="Q4020" s="147"/>
      <c r="R4020" s="147"/>
      <c r="S4020" s="147"/>
      <c r="T4020" s="147"/>
      <c r="U4020" s="147"/>
      <c r="V4020" s="147"/>
      <c r="W4020" s="147"/>
      <c r="X4020" s="147"/>
      <c r="Y4020" s="147"/>
      <c r="Z4020" s="147"/>
      <c r="AA4020" s="147"/>
      <c r="AB4020" s="147"/>
      <c r="AC4020" s="147"/>
      <c r="AD4020" s="147"/>
      <c r="AE4020" s="147"/>
      <c r="AF4020" s="147"/>
      <c r="AG4020" s="147"/>
      <c r="AH4020" s="147"/>
      <c r="AI4020" s="147"/>
      <c r="AJ4020" s="147"/>
      <c r="AK4020" s="147"/>
      <c r="AL4020" s="147"/>
      <c r="AM4020" s="147"/>
      <c r="AN4020" s="147"/>
      <c r="AO4020" s="147"/>
      <c r="AP4020" s="147"/>
      <c r="AQ4020" s="147"/>
      <c r="AR4020" s="147"/>
      <c r="AS4020" s="147"/>
      <c r="AT4020" s="147"/>
      <c r="AU4020" s="147"/>
      <c r="AV4020" s="147"/>
      <c r="AW4020" s="147"/>
      <c r="AX4020" s="147"/>
      <c r="AY4020" s="147"/>
      <c r="AZ4020" s="147"/>
      <c r="BA4020" s="147"/>
    </row>
    <row r="4021" spans="1:53" ht="15.75" customHeight="1">
      <c r="A4021" s="99"/>
      <c r="B4021" s="99"/>
      <c r="C4021" s="147"/>
      <c r="D4021" s="147"/>
      <c r="E4021" s="147"/>
      <c r="F4021" s="147"/>
      <c r="G4021" s="147"/>
      <c r="H4021" s="147"/>
      <c r="I4021" s="147"/>
      <c r="J4021" s="147"/>
      <c r="K4021" s="147"/>
      <c r="L4021" s="147"/>
      <c r="M4021" s="147"/>
      <c r="N4021" s="147"/>
      <c r="O4021" s="147"/>
      <c r="P4021" s="147"/>
      <c r="Q4021" s="147"/>
      <c r="R4021" s="147"/>
      <c r="S4021" s="147"/>
      <c r="T4021" s="147"/>
      <c r="U4021" s="147"/>
      <c r="V4021" s="147"/>
      <c r="W4021" s="147"/>
      <c r="X4021" s="147"/>
      <c r="Y4021" s="147"/>
      <c r="Z4021" s="147"/>
      <c r="AA4021" s="147"/>
      <c r="AB4021" s="147"/>
      <c r="AC4021" s="147"/>
      <c r="AD4021" s="147"/>
      <c r="AE4021" s="147"/>
      <c r="AF4021" s="147"/>
      <c r="AG4021" s="147"/>
      <c r="AH4021" s="147"/>
      <c r="AI4021" s="147"/>
      <c r="AJ4021" s="147"/>
      <c r="AK4021" s="147"/>
      <c r="AL4021" s="147"/>
      <c r="AM4021" s="147"/>
      <c r="AN4021" s="147"/>
      <c r="AO4021" s="147"/>
      <c r="AP4021" s="147"/>
      <c r="AQ4021" s="147"/>
      <c r="AR4021" s="147"/>
      <c r="AS4021" s="147"/>
      <c r="AT4021" s="147"/>
      <c r="AU4021" s="147"/>
      <c r="AV4021" s="147"/>
      <c r="AW4021" s="147"/>
      <c r="AX4021" s="147"/>
      <c r="AY4021" s="147"/>
      <c r="AZ4021" s="147"/>
      <c r="BA4021" s="147"/>
    </row>
    <row r="4022" spans="1:53" ht="15.75" customHeight="1">
      <c r="A4022" s="99"/>
      <c r="B4022" s="99"/>
      <c r="C4022" s="147"/>
      <c r="D4022" s="147"/>
      <c r="E4022" s="147"/>
      <c r="F4022" s="147"/>
      <c r="G4022" s="147"/>
      <c r="H4022" s="147"/>
      <c r="I4022" s="147"/>
      <c r="J4022" s="147"/>
      <c r="K4022" s="147"/>
      <c r="L4022" s="147"/>
      <c r="M4022" s="147"/>
      <c r="N4022" s="147"/>
      <c r="O4022" s="147"/>
      <c r="P4022" s="147"/>
      <c r="Q4022" s="147"/>
      <c r="R4022" s="147"/>
      <c r="S4022" s="147"/>
      <c r="T4022" s="147"/>
      <c r="U4022" s="147"/>
      <c r="V4022" s="147"/>
      <c r="W4022" s="147"/>
      <c r="X4022" s="147"/>
      <c r="Y4022" s="147"/>
      <c r="Z4022" s="147"/>
      <c r="AA4022" s="147"/>
      <c r="AB4022" s="147"/>
      <c r="AC4022" s="147"/>
      <c r="AD4022" s="147"/>
      <c r="AE4022" s="147"/>
      <c r="AF4022" s="147"/>
      <c r="AG4022" s="147"/>
      <c r="AH4022" s="147"/>
      <c r="AI4022" s="147"/>
      <c r="AJ4022" s="147"/>
      <c r="AK4022" s="147"/>
      <c r="AL4022" s="147"/>
      <c r="AM4022" s="147"/>
      <c r="AN4022" s="147"/>
      <c r="AO4022" s="147"/>
      <c r="AP4022" s="147"/>
      <c r="AQ4022" s="147"/>
      <c r="AR4022" s="147"/>
      <c r="AS4022" s="147"/>
      <c r="AT4022" s="147"/>
      <c r="AU4022" s="147"/>
      <c r="AV4022" s="147"/>
      <c r="AW4022" s="147"/>
      <c r="AX4022" s="147"/>
      <c r="AY4022" s="147"/>
      <c r="AZ4022" s="147"/>
      <c r="BA4022" s="147"/>
    </row>
    <row r="4023" spans="1:53" ht="15.75" customHeight="1">
      <c r="A4023" s="99"/>
      <c r="B4023" s="99"/>
      <c r="C4023" s="147"/>
      <c r="D4023" s="147"/>
      <c r="E4023" s="147"/>
      <c r="F4023" s="147"/>
      <c r="G4023" s="147"/>
      <c r="H4023" s="147"/>
      <c r="I4023" s="147"/>
      <c r="J4023" s="147"/>
      <c r="K4023" s="147"/>
      <c r="L4023" s="147"/>
      <c r="M4023" s="147"/>
      <c r="N4023" s="147"/>
      <c r="O4023" s="147"/>
      <c r="P4023" s="147"/>
      <c r="Q4023" s="147"/>
      <c r="R4023" s="147"/>
      <c r="S4023" s="147"/>
      <c r="T4023" s="147"/>
      <c r="U4023" s="147"/>
      <c r="V4023" s="147"/>
      <c r="W4023" s="147"/>
      <c r="X4023" s="147"/>
      <c r="Y4023" s="147"/>
      <c r="Z4023" s="147"/>
      <c r="AA4023" s="147"/>
      <c r="AB4023" s="147"/>
      <c r="AC4023" s="147"/>
      <c r="AD4023" s="147"/>
      <c r="AE4023" s="147"/>
      <c r="AF4023" s="147"/>
      <c r="AG4023" s="147"/>
      <c r="AH4023" s="147"/>
      <c r="AI4023" s="147"/>
      <c r="AJ4023" s="147"/>
      <c r="AK4023" s="147"/>
      <c r="AL4023" s="147"/>
      <c r="AM4023" s="147"/>
      <c r="AN4023" s="147"/>
      <c r="AO4023" s="147"/>
      <c r="AP4023" s="147"/>
      <c r="AQ4023" s="147"/>
      <c r="AR4023" s="147"/>
      <c r="AS4023" s="147"/>
      <c r="AT4023" s="147"/>
      <c r="AU4023" s="147"/>
      <c r="AV4023" s="147"/>
      <c r="AW4023" s="147"/>
      <c r="AX4023" s="147"/>
      <c r="AY4023" s="147"/>
      <c r="AZ4023" s="147"/>
      <c r="BA4023" s="147"/>
    </row>
    <row r="4024" spans="1:53" ht="15.75" customHeight="1">
      <c r="A4024" s="99"/>
      <c r="B4024" s="99"/>
      <c r="C4024" s="147"/>
      <c r="D4024" s="147"/>
      <c r="E4024" s="147"/>
      <c r="F4024" s="147"/>
      <c r="G4024" s="147"/>
      <c r="H4024" s="147"/>
      <c r="I4024" s="147"/>
      <c r="J4024" s="147"/>
      <c r="K4024" s="147"/>
      <c r="L4024" s="147"/>
      <c r="M4024" s="147"/>
      <c r="N4024" s="147"/>
      <c r="O4024" s="147"/>
      <c r="P4024" s="147"/>
      <c r="Q4024" s="147"/>
      <c r="R4024" s="147"/>
      <c r="S4024" s="147"/>
      <c r="T4024" s="147"/>
      <c r="U4024" s="147"/>
      <c r="V4024" s="147"/>
      <c r="W4024" s="147"/>
      <c r="X4024" s="147"/>
      <c r="Y4024" s="147"/>
      <c r="Z4024" s="147"/>
      <c r="AA4024" s="147"/>
      <c r="AB4024" s="147"/>
      <c r="AC4024" s="147"/>
      <c r="AD4024" s="147"/>
      <c r="AE4024" s="147"/>
      <c r="AF4024" s="147"/>
      <c r="AG4024" s="147"/>
      <c r="AH4024" s="147"/>
      <c r="AI4024" s="147"/>
      <c r="AJ4024" s="147"/>
      <c r="AK4024" s="147"/>
      <c r="AL4024" s="147"/>
      <c r="AM4024" s="147"/>
      <c r="AN4024" s="147"/>
      <c r="AO4024" s="147"/>
      <c r="AP4024" s="147"/>
      <c r="AQ4024" s="147"/>
      <c r="AR4024" s="147"/>
      <c r="AS4024" s="147"/>
      <c r="AT4024" s="147"/>
      <c r="AU4024" s="147"/>
      <c r="AV4024" s="147"/>
      <c r="AW4024" s="147"/>
      <c r="AX4024" s="147"/>
      <c r="AY4024" s="147"/>
      <c r="AZ4024" s="147"/>
      <c r="BA4024" s="147"/>
    </row>
    <row r="4025" spans="1:53" ht="15.75" customHeight="1">
      <c r="A4025" s="99"/>
      <c r="B4025" s="99"/>
      <c r="C4025" s="147"/>
      <c r="D4025" s="147"/>
      <c r="E4025" s="147"/>
      <c r="F4025" s="147"/>
      <c r="G4025" s="147"/>
      <c r="H4025" s="147"/>
      <c r="I4025" s="147"/>
      <c r="J4025" s="147"/>
      <c r="K4025" s="147"/>
      <c r="L4025" s="147"/>
      <c r="M4025" s="147"/>
      <c r="N4025" s="147"/>
      <c r="O4025" s="147"/>
      <c r="P4025" s="147"/>
      <c r="Q4025" s="147"/>
      <c r="R4025" s="147"/>
      <c r="S4025" s="147"/>
      <c r="T4025" s="147"/>
      <c r="U4025" s="147"/>
      <c r="V4025" s="147"/>
      <c r="W4025" s="147"/>
      <c r="X4025" s="147"/>
      <c r="Y4025" s="147"/>
      <c r="Z4025" s="147"/>
      <c r="AA4025" s="147"/>
      <c r="AB4025" s="147"/>
      <c r="AC4025" s="147"/>
      <c r="AD4025" s="147"/>
      <c r="AE4025" s="147"/>
      <c r="AF4025" s="147"/>
      <c r="AG4025" s="147"/>
      <c r="AH4025" s="147"/>
      <c r="AI4025" s="147"/>
      <c r="AJ4025" s="147"/>
      <c r="AK4025" s="147"/>
      <c r="AL4025" s="147"/>
      <c r="AM4025" s="147"/>
      <c r="AN4025" s="147"/>
      <c r="AO4025" s="147"/>
      <c r="AP4025" s="147"/>
      <c r="AQ4025" s="147"/>
      <c r="AR4025" s="147"/>
      <c r="AS4025" s="147"/>
      <c r="AT4025" s="147"/>
      <c r="AU4025" s="147"/>
      <c r="AV4025" s="147"/>
      <c r="AW4025" s="147"/>
      <c r="AX4025" s="147"/>
      <c r="AY4025" s="147"/>
      <c r="AZ4025" s="147"/>
      <c r="BA4025" s="147"/>
    </row>
    <row r="4026" spans="1:53" ht="15.75" customHeight="1">
      <c r="A4026" s="99"/>
      <c r="B4026" s="99"/>
      <c r="C4026" s="147"/>
      <c r="D4026" s="147"/>
      <c r="E4026" s="147"/>
      <c r="F4026" s="147"/>
      <c r="G4026" s="147"/>
      <c r="H4026" s="147"/>
      <c r="I4026" s="147"/>
      <c r="J4026" s="147"/>
      <c r="K4026" s="147"/>
      <c r="L4026" s="147"/>
      <c r="M4026" s="147"/>
      <c r="N4026" s="147"/>
      <c r="O4026" s="147"/>
      <c r="P4026" s="147"/>
      <c r="Q4026" s="147"/>
      <c r="R4026" s="147"/>
      <c r="S4026" s="147"/>
      <c r="T4026" s="147"/>
      <c r="U4026" s="147"/>
      <c r="V4026" s="147"/>
      <c r="W4026" s="147"/>
      <c r="X4026" s="147"/>
      <c r="Y4026" s="147"/>
      <c r="Z4026" s="147"/>
      <c r="AA4026" s="147"/>
      <c r="AB4026" s="147"/>
      <c r="AC4026" s="147"/>
      <c r="AD4026" s="147"/>
      <c r="AE4026" s="147"/>
      <c r="AF4026" s="147"/>
      <c r="AG4026" s="147"/>
      <c r="AH4026" s="147"/>
      <c r="AI4026" s="147"/>
      <c r="AJ4026" s="147"/>
      <c r="AK4026" s="147"/>
      <c r="AL4026" s="147"/>
      <c r="AM4026" s="147"/>
      <c r="AN4026" s="147"/>
      <c r="AO4026" s="147"/>
      <c r="AP4026" s="147"/>
      <c r="AQ4026" s="147"/>
      <c r="AR4026" s="147"/>
      <c r="AS4026" s="147"/>
      <c r="AT4026" s="147"/>
      <c r="AU4026" s="147"/>
      <c r="AV4026" s="147"/>
      <c r="AW4026" s="147"/>
      <c r="AX4026" s="147"/>
      <c r="AY4026" s="147"/>
      <c r="AZ4026" s="147"/>
      <c r="BA4026" s="147"/>
    </row>
    <row r="4027" spans="1:53" ht="15.75" customHeight="1">
      <c r="A4027" s="99"/>
      <c r="B4027" s="99"/>
      <c r="C4027" s="147"/>
      <c r="D4027" s="147"/>
      <c r="E4027" s="147"/>
      <c r="F4027" s="147"/>
      <c r="G4027" s="147"/>
      <c r="H4027" s="147"/>
      <c r="I4027" s="147"/>
      <c r="J4027" s="147"/>
      <c r="K4027" s="147"/>
      <c r="L4027" s="147"/>
      <c r="M4027" s="147"/>
      <c r="N4027" s="147"/>
      <c r="O4027" s="147"/>
      <c r="P4027" s="147"/>
      <c r="Q4027" s="147"/>
      <c r="R4027" s="147"/>
      <c r="S4027" s="147"/>
      <c r="T4027" s="147"/>
      <c r="U4027" s="147"/>
      <c r="V4027" s="147"/>
      <c r="W4027" s="147"/>
      <c r="X4027" s="147"/>
      <c r="Y4027" s="147"/>
      <c r="Z4027" s="147"/>
      <c r="AA4027" s="147"/>
      <c r="AB4027" s="147"/>
      <c r="AC4027" s="147"/>
      <c r="AD4027" s="147"/>
      <c r="AE4027" s="147"/>
      <c r="AF4027" s="147"/>
      <c r="AG4027" s="147"/>
      <c r="AH4027" s="147"/>
      <c r="AI4027" s="147"/>
      <c r="AJ4027" s="147"/>
      <c r="AK4027" s="147"/>
      <c r="AL4027" s="147"/>
      <c r="AM4027" s="147"/>
      <c r="AN4027" s="147"/>
      <c r="AO4027" s="147"/>
      <c r="AP4027" s="147"/>
      <c r="AQ4027" s="147"/>
      <c r="AR4027" s="147"/>
      <c r="AS4027" s="147"/>
      <c r="AT4027" s="147"/>
      <c r="AU4027" s="147"/>
      <c r="AV4027" s="147"/>
      <c r="AW4027" s="147"/>
      <c r="AX4027" s="147"/>
      <c r="AY4027" s="147"/>
      <c r="AZ4027" s="147"/>
      <c r="BA4027" s="147"/>
    </row>
    <row r="4028" spans="1:53" ht="15.75" customHeight="1">
      <c r="A4028" s="99"/>
      <c r="B4028" s="99"/>
      <c r="C4028" s="147"/>
      <c r="D4028" s="147"/>
      <c r="E4028" s="147"/>
      <c r="F4028" s="147"/>
      <c r="G4028" s="147"/>
      <c r="H4028" s="147"/>
      <c r="I4028" s="147"/>
      <c r="J4028" s="147"/>
      <c r="K4028" s="147"/>
      <c r="L4028" s="147"/>
      <c r="M4028" s="147"/>
      <c r="N4028" s="147"/>
      <c r="O4028" s="147"/>
      <c r="P4028" s="147"/>
      <c r="Q4028" s="147"/>
      <c r="R4028" s="147"/>
      <c r="S4028" s="147"/>
      <c r="T4028" s="147"/>
      <c r="U4028" s="147"/>
      <c r="V4028" s="147"/>
      <c r="W4028" s="147"/>
      <c r="X4028" s="147"/>
      <c r="Y4028" s="147"/>
      <c r="Z4028" s="147"/>
      <c r="AA4028" s="147"/>
      <c r="AB4028" s="147"/>
      <c r="AC4028" s="147"/>
      <c r="AD4028" s="147"/>
      <c r="AE4028" s="147"/>
      <c r="AF4028" s="147"/>
      <c r="AG4028" s="147"/>
      <c r="AH4028" s="147"/>
      <c r="AI4028" s="147"/>
      <c r="AJ4028" s="147"/>
      <c r="AK4028" s="147"/>
      <c r="AL4028" s="147"/>
      <c r="AM4028" s="147"/>
      <c r="AN4028" s="147"/>
      <c r="AO4028" s="147"/>
      <c r="AP4028" s="147"/>
      <c r="AQ4028" s="147"/>
      <c r="AR4028" s="147"/>
      <c r="AS4028" s="147"/>
      <c r="AT4028" s="147"/>
      <c r="AU4028" s="147"/>
      <c r="AV4028" s="147"/>
      <c r="AW4028" s="147"/>
      <c r="AX4028" s="147"/>
      <c r="AY4028" s="147"/>
      <c r="AZ4028" s="147"/>
      <c r="BA4028" s="147"/>
    </row>
    <row r="4029" spans="1:53" ht="15.75" customHeight="1">
      <c r="A4029" s="99"/>
      <c r="B4029" s="99"/>
      <c r="C4029" s="147"/>
      <c r="D4029" s="147"/>
      <c r="E4029" s="147"/>
      <c r="F4029" s="147"/>
      <c r="G4029" s="147"/>
      <c r="H4029" s="147"/>
      <c r="I4029" s="147"/>
      <c r="J4029" s="147"/>
      <c r="K4029" s="147"/>
      <c r="L4029" s="147"/>
      <c r="M4029" s="147"/>
      <c r="N4029" s="147"/>
      <c r="O4029" s="147"/>
      <c r="P4029" s="147"/>
      <c r="Q4029" s="147"/>
      <c r="R4029" s="147"/>
      <c r="S4029" s="147"/>
      <c r="T4029" s="147"/>
      <c r="U4029" s="147"/>
      <c r="V4029" s="147"/>
      <c r="W4029" s="147"/>
      <c r="X4029" s="147"/>
      <c r="Y4029" s="147"/>
      <c r="Z4029" s="147"/>
      <c r="AA4029" s="147"/>
      <c r="AB4029" s="147"/>
      <c r="AC4029" s="147"/>
      <c r="AD4029" s="147"/>
      <c r="AE4029" s="147"/>
      <c r="AF4029" s="147"/>
      <c r="AG4029" s="147"/>
      <c r="AH4029" s="147"/>
      <c r="AI4029" s="147"/>
      <c r="AJ4029" s="147"/>
      <c r="AK4029" s="147"/>
      <c r="AL4029" s="147"/>
      <c r="AM4029" s="147"/>
      <c r="AN4029" s="147"/>
      <c r="AO4029" s="147"/>
      <c r="AP4029" s="147"/>
      <c r="AQ4029" s="147"/>
      <c r="AR4029" s="147"/>
      <c r="AS4029" s="147"/>
      <c r="AT4029" s="147"/>
      <c r="AU4029" s="147"/>
      <c r="AV4029" s="147"/>
      <c r="AW4029" s="147"/>
      <c r="AX4029" s="147"/>
      <c r="AY4029" s="147"/>
      <c r="AZ4029" s="147"/>
      <c r="BA4029" s="147"/>
    </row>
    <row r="4030" spans="1:53" ht="15.75" customHeight="1">
      <c r="A4030" s="99"/>
      <c r="B4030" s="99"/>
      <c r="C4030" s="147"/>
      <c r="D4030" s="147"/>
      <c r="E4030" s="147"/>
      <c r="F4030" s="147"/>
      <c r="G4030" s="147"/>
      <c r="H4030" s="147"/>
      <c r="I4030" s="147"/>
      <c r="J4030" s="147"/>
      <c r="K4030" s="147"/>
      <c r="L4030" s="147"/>
      <c r="M4030" s="147"/>
      <c r="N4030" s="147"/>
      <c r="O4030" s="147"/>
      <c r="P4030" s="147"/>
      <c r="Q4030" s="147"/>
      <c r="R4030" s="147"/>
      <c r="S4030" s="147"/>
      <c r="T4030" s="147"/>
      <c r="U4030" s="147"/>
      <c r="V4030" s="147"/>
      <c r="W4030" s="147"/>
      <c r="X4030" s="147"/>
      <c r="Y4030" s="147"/>
      <c r="Z4030" s="147"/>
      <c r="AA4030" s="147"/>
      <c r="AB4030" s="147"/>
      <c r="AC4030" s="147"/>
      <c r="AD4030" s="147"/>
      <c r="AE4030" s="147"/>
      <c r="AF4030" s="147"/>
      <c r="AG4030" s="147"/>
      <c r="AH4030" s="147"/>
      <c r="AI4030" s="147"/>
      <c r="AJ4030" s="147"/>
      <c r="AK4030" s="147"/>
      <c r="AL4030" s="147"/>
      <c r="AM4030" s="147"/>
      <c r="AN4030" s="147"/>
      <c r="AO4030" s="147"/>
      <c r="AP4030" s="147"/>
      <c r="AQ4030" s="147"/>
      <c r="AR4030" s="147"/>
      <c r="AS4030" s="147"/>
      <c r="AT4030" s="147"/>
      <c r="AU4030" s="147"/>
      <c r="AV4030" s="147"/>
      <c r="AW4030" s="147"/>
      <c r="AX4030" s="147"/>
      <c r="AY4030" s="147"/>
      <c r="AZ4030" s="147"/>
      <c r="BA4030" s="147"/>
    </row>
    <row r="4031" spans="1:53" ht="15.75" customHeight="1">
      <c r="A4031" s="99"/>
      <c r="B4031" s="99"/>
      <c r="C4031" s="147"/>
      <c r="D4031" s="147"/>
      <c r="E4031" s="147"/>
      <c r="F4031" s="147"/>
      <c r="G4031" s="147"/>
      <c r="H4031" s="147"/>
      <c r="I4031" s="147"/>
      <c r="J4031" s="147"/>
      <c r="K4031" s="147"/>
      <c r="L4031" s="147"/>
      <c r="M4031" s="147"/>
      <c r="N4031" s="147"/>
      <c r="O4031" s="147"/>
      <c r="P4031" s="147"/>
      <c r="Q4031" s="147"/>
      <c r="R4031" s="147"/>
      <c r="S4031" s="147"/>
      <c r="T4031" s="147"/>
      <c r="U4031" s="147"/>
      <c r="V4031" s="147"/>
      <c r="W4031" s="147"/>
      <c r="X4031" s="147"/>
      <c r="Y4031" s="147"/>
      <c r="Z4031" s="147"/>
      <c r="AA4031" s="147"/>
      <c r="AB4031" s="147"/>
      <c r="AC4031" s="147"/>
      <c r="AD4031" s="147"/>
      <c r="AE4031" s="147"/>
      <c r="AF4031" s="147"/>
      <c r="AG4031" s="147"/>
      <c r="AH4031" s="147"/>
      <c r="AI4031" s="147"/>
      <c r="AJ4031" s="147"/>
      <c r="AK4031" s="147"/>
      <c r="AL4031" s="147"/>
      <c r="AM4031" s="147"/>
      <c r="AN4031" s="147"/>
      <c r="AO4031" s="147"/>
      <c r="AP4031" s="147"/>
      <c r="AQ4031" s="147"/>
      <c r="AR4031" s="147"/>
      <c r="AS4031" s="147"/>
      <c r="AT4031" s="147"/>
      <c r="AU4031" s="147"/>
      <c r="AV4031" s="147"/>
      <c r="AW4031" s="147"/>
      <c r="AX4031" s="147"/>
      <c r="AY4031" s="147"/>
      <c r="AZ4031" s="147"/>
      <c r="BA4031" s="147"/>
    </row>
    <row r="4032" spans="1:53" ht="15.75" customHeight="1">
      <c r="A4032" s="99"/>
      <c r="B4032" s="99"/>
      <c r="C4032" s="147"/>
      <c r="D4032" s="147"/>
      <c r="E4032" s="147"/>
      <c r="F4032" s="147"/>
      <c r="G4032" s="147"/>
      <c r="H4032" s="147"/>
      <c r="I4032" s="147"/>
      <c r="J4032" s="147"/>
      <c r="K4032" s="147"/>
      <c r="L4032" s="147"/>
      <c r="M4032" s="147"/>
      <c r="N4032" s="147"/>
      <c r="O4032" s="147"/>
      <c r="P4032" s="147"/>
      <c r="Q4032" s="147"/>
      <c r="R4032" s="147"/>
      <c r="S4032" s="147"/>
      <c r="T4032" s="147"/>
      <c r="U4032" s="147"/>
      <c r="V4032" s="147"/>
      <c r="W4032" s="147"/>
      <c r="X4032" s="147"/>
      <c r="Y4032" s="147"/>
      <c r="Z4032" s="147"/>
      <c r="AA4032" s="147"/>
      <c r="AB4032" s="147"/>
      <c r="AC4032" s="147"/>
      <c r="AD4032" s="147"/>
      <c r="AE4032" s="147"/>
      <c r="AF4032" s="147"/>
      <c r="AG4032" s="147"/>
      <c r="AH4032" s="147"/>
      <c r="AI4032" s="147"/>
      <c r="AJ4032" s="147"/>
      <c r="AK4032" s="147"/>
      <c r="AL4032" s="147"/>
      <c r="AM4032" s="147"/>
      <c r="AN4032" s="147"/>
      <c r="AO4032" s="147"/>
      <c r="AP4032" s="147"/>
      <c r="AQ4032" s="147"/>
      <c r="AR4032" s="147"/>
      <c r="AS4032" s="147"/>
      <c r="AT4032" s="147"/>
      <c r="AU4032" s="147"/>
      <c r="AV4032" s="147"/>
      <c r="AW4032" s="147"/>
      <c r="AX4032" s="147"/>
      <c r="AY4032" s="147"/>
      <c r="AZ4032" s="147"/>
      <c r="BA4032" s="147"/>
    </row>
    <row r="4033" spans="1:53" ht="15.75" customHeight="1">
      <c r="A4033" s="99"/>
      <c r="B4033" s="99"/>
      <c r="C4033" s="147"/>
      <c r="D4033" s="147"/>
      <c r="E4033" s="147"/>
      <c r="F4033" s="147"/>
      <c r="G4033" s="147"/>
      <c r="H4033" s="147"/>
      <c r="I4033" s="147"/>
      <c r="J4033" s="147"/>
      <c r="K4033" s="147"/>
      <c r="L4033" s="147"/>
      <c r="M4033" s="147"/>
      <c r="N4033" s="147"/>
      <c r="O4033" s="147"/>
      <c r="P4033" s="147"/>
      <c r="Q4033" s="147"/>
      <c r="R4033" s="147"/>
      <c r="S4033" s="147"/>
      <c r="T4033" s="147"/>
      <c r="U4033" s="147"/>
      <c r="V4033" s="147"/>
      <c r="W4033" s="147"/>
      <c r="X4033" s="147"/>
      <c r="Y4033" s="147"/>
      <c r="Z4033" s="147"/>
      <c r="AA4033" s="147"/>
      <c r="AB4033" s="147"/>
      <c r="AC4033" s="147"/>
      <c r="AD4033" s="147"/>
      <c r="AE4033" s="147"/>
      <c r="AF4033" s="147"/>
      <c r="AG4033" s="147"/>
      <c r="AH4033" s="147"/>
      <c r="AI4033" s="147"/>
      <c r="AJ4033" s="147"/>
      <c r="AK4033" s="147"/>
      <c r="AL4033" s="147"/>
      <c r="AM4033" s="147"/>
      <c r="AN4033" s="147"/>
      <c r="AO4033" s="147"/>
      <c r="AP4033" s="147"/>
      <c r="AQ4033" s="147"/>
      <c r="AR4033" s="147"/>
      <c r="AS4033" s="147"/>
      <c r="AT4033" s="147"/>
      <c r="AU4033" s="147"/>
      <c r="AV4033" s="147"/>
      <c r="AW4033" s="147"/>
      <c r="AX4033" s="147"/>
      <c r="AY4033" s="147"/>
      <c r="AZ4033" s="147"/>
      <c r="BA4033" s="147"/>
    </row>
    <row r="4034" spans="1:53" ht="15.75" customHeight="1">
      <c r="A4034" s="99"/>
      <c r="B4034" s="99"/>
      <c r="C4034" s="147"/>
      <c r="D4034" s="147"/>
      <c r="E4034" s="147"/>
      <c r="F4034" s="147"/>
      <c r="G4034" s="147"/>
      <c r="H4034" s="147"/>
      <c r="I4034" s="147"/>
      <c r="J4034" s="147"/>
      <c r="K4034" s="147"/>
      <c r="L4034" s="147"/>
      <c r="M4034" s="147"/>
      <c r="N4034" s="147"/>
      <c r="O4034" s="147"/>
      <c r="P4034" s="147"/>
      <c r="Q4034" s="147"/>
      <c r="R4034" s="147"/>
      <c r="S4034" s="147"/>
      <c r="T4034" s="147"/>
      <c r="U4034" s="147"/>
      <c r="V4034" s="147"/>
      <c r="W4034" s="147"/>
      <c r="X4034" s="147"/>
      <c r="Y4034" s="147"/>
      <c r="Z4034" s="147"/>
      <c r="AA4034" s="147"/>
      <c r="AB4034" s="147"/>
      <c r="AC4034" s="147"/>
      <c r="AD4034" s="147"/>
      <c r="AE4034" s="147"/>
      <c r="AF4034" s="147"/>
      <c r="AG4034" s="147"/>
      <c r="AH4034" s="147"/>
      <c r="AI4034" s="147"/>
      <c r="AJ4034" s="147"/>
      <c r="AK4034" s="147"/>
      <c r="AL4034" s="147"/>
      <c r="AM4034" s="147"/>
      <c r="AN4034" s="147"/>
      <c r="AO4034" s="147"/>
      <c r="AP4034" s="147"/>
      <c r="AQ4034" s="147"/>
      <c r="AR4034" s="147"/>
      <c r="AS4034" s="147"/>
      <c r="AT4034" s="147"/>
      <c r="AU4034" s="147"/>
      <c r="AV4034" s="147"/>
      <c r="AW4034" s="147"/>
      <c r="AX4034" s="147"/>
      <c r="AY4034" s="147"/>
      <c r="AZ4034" s="147"/>
      <c r="BA4034" s="147"/>
    </row>
    <row r="4035" spans="1:53" ht="15.75" customHeight="1">
      <c r="A4035" s="99"/>
      <c r="B4035" s="99"/>
      <c r="C4035" s="147"/>
      <c r="D4035" s="147"/>
      <c r="E4035" s="147"/>
      <c r="F4035" s="147"/>
      <c r="G4035" s="147"/>
      <c r="H4035" s="147"/>
      <c r="I4035" s="147"/>
      <c r="J4035" s="147"/>
      <c r="K4035" s="147"/>
      <c r="L4035" s="147"/>
      <c r="M4035" s="147"/>
      <c r="N4035" s="147"/>
      <c r="O4035" s="147"/>
      <c r="P4035" s="147"/>
      <c r="Q4035" s="147"/>
      <c r="R4035" s="147"/>
      <c r="S4035" s="147"/>
      <c r="T4035" s="147"/>
      <c r="U4035" s="147"/>
      <c r="V4035" s="147"/>
      <c r="W4035" s="147"/>
      <c r="X4035" s="147"/>
      <c r="Y4035" s="147"/>
      <c r="Z4035" s="147"/>
      <c r="AA4035" s="147"/>
      <c r="AB4035" s="147"/>
      <c r="AC4035" s="147"/>
      <c r="AD4035" s="147"/>
      <c r="AE4035" s="147"/>
      <c r="AF4035" s="147"/>
      <c r="AG4035" s="147"/>
      <c r="AH4035" s="147"/>
      <c r="AI4035" s="147"/>
      <c r="AJ4035" s="147"/>
      <c r="AK4035" s="147"/>
      <c r="AL4035" s="147"/>
      <c r="AM4035" s="147"/>
      <c r="AN4035" s="147"/>
      <c r="AO4035" s="147"/>
      <c r="AP4035" s="147"/>
      <c r="AQ4035" s="147"/>
      <c r="AR4035" s="147"/>
      <c r="AS4035" s="147"/>
      <c r="AT4035" s="147"/>
      <c r="AU4035" s="147"/>
      <c r="AV4035" s="147"/>
      <c r="AW4035" s="147"/>
      <c r="AX4035" s="147"/>
      <c r="AY4035" s="147"/>
      <c r="AZ4035" s="147"/>
      <c r="BA4035" s="147"/>
    </row>
    <row r="4036" spans="1:53" ht="15.75" customHeight="1">
      <c r="A4036" s="99"/>
      <c r="B4036" s="99"/>
      <c r="C4036" s="147"/>
      <c r="D4036" s="147"/>
      <c r="E4036" s="147"/>
      <c r="F4036" s="147"/>
      <c r="G4036" s="147"/>
      <c r="H4036" s="147"/>
      <c r="I4036" s="147"/>
      <c r="J4036" s="147"/>
      <c r="K4036" s="147"/>
      <c r="L4036" s="147"/>
      <c r="M4036" s="147"/>
      <c r="N4036" s="147"/>
      <c r="O4036" s="147"/>
      <c r="P4036" s="147"/>
      <c r="Q4036" s="147"/>
      <c r="R4036" s="147"/>
      <c r="S4036" s="147"/>
      <c r="T4036" s="147"/>
      <c r="U4036" s="147"/>
      <c r="V4036" s="147"/>
      <c r="W4036" s="147"/>
      <c r="X4036" s="147"/>
      <c r="Y4036" s="147"/>
      <c r="Z4036" s="147"/>
      <c r="AA4036" s="147"/>
      <c r="AB4036" s="147"/>
      <c r="AC4036" s="147"/>
      <c r="AD4036" s="147"/>
      <c r="AE4036" s="147"/>
      <c r="AF4036" s="147"/>
      <c r="AG4036" s="147"/>
      <c r="AH4036" s="147"/>
      <c r="AI4036" s="147"/>
      <c r="AJ4036" s="147"/>
      <c r="AK4036" s="147"/>
      <c r="AL4036" s="147"/>
      <c r="AM4036" s="147"/>
      <c r="AN4036" s="147"/>
      <c r="AO4036" s="147"/>
      <c r="AP4036" s="147"/>
      <c r="AQ4036" s="147"/>
      <c r="AR4036" s="147"/>
      <c r="AS4036" s="147"/>
      <c r="AT4036" s="147"/>
      <c r="AU4036" s="147"/>
      <c r="AV4036" s="147"/>
      <c r="AW4036" s="147"/>
      <c r="AX4036" s="147"/>
      <c r="AY4036" s="147"/>
      <c r="AZ4036" s="147"/>
      <c r="BA4036" s="147"/>
    </row>
    <row r="4037" spans="1:53" ht="15.75" customHeight="1">
      <c r="A4037" s="99"/>
      <c r="B4037" s="99"/>
      <c r="C4037" s="147"/>
      <c r="D4037" s="147"/>
      <c r="E4037" s="147"/>
      <c r="F4037" s="147"/>
      <c r="G4037" s="147"/>
      <c r="H4037" s="147"/>
      <c r="I4037" s="147"/>
      <c r="J4037" s="147"/>
      <c r="K4037" s="147"/>
      <c r="L4037" s="147"/>
      <c r="M4037" s="147"/>
      <c r="N4037" s="147"/>
      <c r="O4037" s="147"/>
      <c r="P4037" s="147"/>
      <c r="Q4037" s="147"/>
      <c r="R4037" s="147"/>
      <c r="S4037" s="147"/>
      <c r="T4037" s="147"/>
      <c r="U4037" s="147"/>
      <c r="V4037" s="147"/>
      <c r="W4037" s="147"/>
      <c r="X4037" s="147"/>
      <c r="Y4037" s="147"/>
      <c r="Z4037" s="147"/>
      <c r="AA4037" s="147"/>
      <c r="AB4037" s="147"/>
      <c r="AC4037" s="147"/>
      <c r="AD4037" s="147"/>
      <c r="AE4037" s="147"/>
      <c r="AF4037" s="147"/>
      <c r="AG4037" s="147"/>
      <c r="AH4037" s="147"/>
      <c r="AI4037" s="147"/>
      <c r="AJ4037" s="147"/>
      <c r="AK4037" s="147"/>
      <c r="AL4037" s="147"/>
      <c r="AM4037" s="147"/>
      <c r="AN4037" s="147"/>
      <c r="AO4037" s="147"/>
      <c r="AP4037" s="147"/>
      <c r="AQ4037" s="147"/>
      <c r="AR4037" s="147"/>
      <c r="AS4037" s="147"/>
      <c r="AT4037" s="147"/>
      <c r="AU4037" s="147"/>
      <c r="AV4037" s="147"/>
      <c r="AW4037" s="147"/>
      <c r="AX4037" s="147"/>
      <c r="AY4037" s="147"/>
      <c r="AZ4037" s="147"/>
      <c r="BA4037" s="147"/>
    </row>
    <row r="4038" spans="1:53" ht="15.75" customHeight="1">
      <c r="A4038" s="99"/>
      <c r="B4038" s="99"/>
      <c r="C4038" s="147"/>
      <c r="D4038" s="147"/>
      <c r="E4038" s="147"/>
      <c r="F4038" s="147"/>
      <c r="G4038" s="147"/>
      <c r="H4038" s="147"/>
      <c r="I4038" s="147"/>
      <c r="J4038" s="147"/>
      <c r="K4038" s="147"/>
      <c r="L4038" s="147"/>
      <c r="M4038" s="147"/>
      <c r="N4038" s="147"/>
      <c r="O4038" s="147"/>
      <c r="P4038" s="147"/>
      <c r="Q4038" s="147"/>
      <c r="R4038" s="147"/>
      <c r="S4038" s="147"/>
      <c r="T4038" s="147"/>
      <c r="U4038" s="147"/>
      <c r="V4038" s="147"/>
      <c r="W4038" s="147"/>
      <c r="X4038" s="147"/>
      <c r="Y4038" s="147"/>
      <c r="Z4038" s="147"/>
      <c r="AA4038" s="147"/>
      <c r="AB4038" s="147"/>
      <c r="AC4038" s="147"/>
      <c r="AD4038" s="147"/>
      <c r="AE4038" s="147"/>
      <c r="AF4038" s="147"/>
      <c r="AG4038" s="147"/>
      <c r="AH4038" s="147"/>
      <c r="AI4038" s="147"/>
      <c r="AJ4038" s="147"/>
      <c r="AK4038" s="147"/>
      <c r="AL4038" s="147"/>
      <c r="AM4038" s="147"/>
      <c r="AN4038" s="147"/>
      <c r="AO4038" s="147"/>
      <c r="AP4038" s="147"/>
      <c r="AQ4038" s="147"/>
      <c r="AR4038" s="147"/>
      <c r="AS4038" s="147"/>
      <c r="AT4038" s="147"/>
      <c r="AU4038" s="147"/>
      <c r="AV4038" s="147"/>
      <c r="AW4038" s="147"/>
      <c r="AX4038" s="147"/>
      <c r="AY4038" s="147"/>
      <c r="AZ4038" s="147"/>
      <c r="BA4038" s="147"/>
    </row>
    <row r="4039" spans="1:53" ht="15.75" customHeight="1">
      <c r="A4039" s="99"/>
      <c r="B4039" s="99"/>
      <c r="C4039" s="147"/>
      <c r="D4039" s="147"/>
      <c r="E4039" s="147"/>
      <c r="F4039" s="147"/>
      <c r="G4039" s="147"/>
      <c r="H4039" s="147"/>
      <c r="I4039" s="147"/>
      <c r="J4039" s="147"/>
      <c r="K4039" s="147"/>
      <c r="L4039" s="147"/>
      <c r="M4039" s="147"/>
      <c r="N4039" s="147"/>
      <c r="O4039" s="147"/>
      <c r="P4039" s="147"/>
      <c r="Q4039" s="147"/>
      <c r="R4039" s="147"/>
      <c r="S4039" s="147"/>
      <c r="T4039" s="147"/>
      <c r="U4039" s="147"/>
      <c r="V4039" s="147"/>
      <c r="W4039" s="147"/>
      <c r="X4039" s="147"/>
      <c r="Y4039" s="147"/>
      <c r="Z4039" s="147"/>
      <c r="AA4039" s="147"/>
      <c r="AB4039" s="147"/>
      <c r="AC4039" s="147"/>
      <c r="AD4039" s="147"/>
      <c r="AE4039" s="147"/>
      <c r="AF4039" s="147"/>
      <c r="AG4039" s="147"/>
      <c r="AH4039" s="147"/>
      <c r="AI4039" s="147"/>
      <c r="AJ4039" s="147"/>
      <c r="AK4039" s="147"/>
      <c r="AL4039" s="147"/>
      <c r="AM4039" s="147"/>
      <c r="AN4039" s="147"/>
      <c r="AO4039" s="147"/>
      <c r="AP4039" s="147"/>
      <c r="AQ4039" s="147"/>
      <c r="AR4039" s="147"/>
      <c r="AS4039" s="147"/>
      <c r="AT4039" s="147"/>
      <c r="AU4039" s="147"/>
      <c r="AV4039" s="147"/>
      <c r="AW4039" s="147"/>
      <c r="AX4039" s="147"/>
      <c r="AY4039" s="147"/>
      <c r="AZ4039" s="147"/>
      <c r="BA4039" s="147"/>
    </row>
    <row r="4040" spans="1:53" ht="15.75" customHeight="1">
      <c r="A4040" s="99"/>
      <c r="B4040" s="99"/>
      <c r="C4040" s="147"/>
      <c r="D4040" s="147"/>
      <c r="E4040" s="147"/>
      <c r="F4040" s="147"/>
      <c r="G4040" s="147"/>
      <c r="H4040" s="147"/>
      <c r="I4040" s="147"/>
      <c r="J4040" s="147"/>
      <c r="K4040" s="147"/>
      <c r="L4040" s="147"/>
      <c r="M4040" s="147"/>
      <c r="N4040" s="147"/>
      <c r="O4040" s="147"/>
      <c r="P4040" s="147"/>
      <c r="Q4040" s="147"/>
      <c r="R4040" s="147"/>
      <c r="S4040" s="147"/>
      <c r="T4040" s="147"/>
      <c r="U4040" s="147"/>
      <c r="V4040" s="147"/>
      <c r="W4040" s="147"/>
      <c r="X4040" s="147"/>
      <c r="Y4040" s="147"/>
      <c r="Z4040" s="147"/>
      <c r="AA4040" s="147"/>
      <c r="AB4040" s="147"/>
      <c r="AC4040" s="147"/>
      <c r="AD4040" s="147"/>
      <c r="AE4040" s="147"/>
      <c r="AF4040" s="147"/>
      <c r="AG4040" s="147"/>
      <c r="AH4040" s="147"/>
      <c r="AI4040" s="147"/>
      <c r="AJ4040" s="147"/>
      <c r="AK4040" s="147"/>
      <c r="AL4040" s="147"/>
      <c r="AM4040" s="147"/>
      <c r="AN4040" s="147"/>
      <c r="AO4040" s="147"/>
      <c r="AP4040" s="147"/>
      <c r="AQ4040" s="147"/>
      <c r="AR4040" s="147"/>
      <c r="AS4040" s="147"/>
      <c r="AT4040" s="147"/>
      <c r="AU4040" s="147"/>
      <c r="AV4040" s="147"/>
      <c r="AW4040" s="147"/>
      <c r="AX4040" s="147"/>
      <c r="AY4040" s="147"/>
      <c r="AZ4040" s="147"/>
      <c r="BA4040" s="147"/>
    </row>
    <row r="4041" spans="1:53" ht="15.75" customHeight="1">
      <c r="A4041" s="99"/>
      <c r="B4041" s="99"/>
      <c r="C4041" s="147"/>
      <c r="D4041" s="147"/>
      <c r="E4041" s="147"/>
      <c r="F4041" s="147"/>
      <c r="G4041" s="147"/>
      <c r="H4041" s="147"/>
      <c r="I4041" s="147"/>
      <c r="J4041" s="147"/>
      <c r="K4041" s="147"/>
      <c r="L4041" s="147"/>
      <c r="M4041" s="147"/>
      <c r="N4041" s="147"/>
      <c r="O4041" s="147"/>
      <c r="P4041" s="147"/>
      <c r="Q4041" s="147"/>
      <c r="R4041" s="147"/>
      <c r="S4041" s="147"/>
      <c r="T4041" s="147"/>
      <c r="U4041" s="147"/>
      <c r="V4041" s="147"/>
      <c r="W4041" s="147"/>
      <c r="X4041" s="147"/>
      <c r="Y4041" s="147"/>
      <c r="Z4041" s="147"/>
      <c r="AA4041" s="147"/>
      <c r="AB4041" s="147"/>
      <c r="AC4041" s="147"/>
      <c r="AD4041" s="147"/>
      <c r="AE4041" s="147"/>
      <c r="AF4041" s="147"/>
      <c r="AG4041" s="147"/>
      <c r="AH4041" s="147"/>
      <c r="AI4041" s="147"/>
      <c r="AJ4041" s="147"/>
      <c r="AK4041" s="147"/>
      <c r="AL4041" s="147"/>
      <c r="AM4041" s="147"/>
      <c r="AN4041" s="147"/>
      <c r="AO4041" s="147"/>
      <c r="AP4041" s="147"/>
      <c r="AQ4041" s="147"/>
      <c r="AR4041" s="147"/>
      <c r="AS4041" s="147"/>
      <c r="AT4041" s="147"/>
      <c r="AU4041" s="147"/>
      <c r="AV4041" s="147"/>
      <c r="AW4041" s="147"/>
      <c r="AX4041" s="147"/>
      <c r="AY4041" s="147"/>
      <c r="AZ4041" s="147"/>
      <c r="BA4041" s="147"/>
    </row>
    <row r="4042" spans="1:53" ht="15.75" customHeight="1">
      <c r="A4042" s="99"/>
      <c r="B4042" s="99"/>
      <c r="C4042" s="147"/>
      <c r="D4042" s="147"/>
      <c r="E4042" s="147"/>
      <c r="F4042" s="147"/>
      <c r="G4042" s="147"/>
      <c r="H4042" s="147"/>
      <c r="I4042" s="147"/>
      <c r="J4042" s="147"/>
      <c r="K4042" s="147"/>
      <c r="L4042" s="147"/>
      <c r="M4042" s="147"/>
      <c r="N4042" s="147"/>
      <c r="O4042" s="147"/>
      <c r="P4042" s="147"/>
      <c r="Q4042" s="147"/>
      <c r="R4042" s="147"/>
      <c r="S4042" s="147"/>
      <c r="T4042" s="147"/>
      <c r="U4042" s="147"/>
      <c r="V4042" s="147"/>
      <c r="W4042" s="147"/>
      <c r="X4042" s="147"/>
      <c r="Y4042" s="147"/>
      <c r="Z4042" s="147"/>
      <c r="AA4042" s="147"/>
      <c r="AB4042" s="147"/>
      <c r="AC4042" s="147"/>
      <c r="AD4042" s="147"/>
      <c r="AE4042" s="147"/>
      <c r="AF4042" s="147"/>
      <c r="AG4042" s="147"/>
      <c r="AH4042" s="147"/>
      <c r="AI4042" s="147"/>
      <c r="AJ4042" s="147"/>
      <c r="AK4042" s="147"/>
      <c r="AL4042" s="147"/>
      <c r="AM4042" s="147"/>
      <c r="AN4042" s="147"/>
      <c r="AO4042" s="147"/>
      <c r="AP4042" s="147"/>
      <c r="AQ4042" s="147"/>
      <c r="AR4042" s="147"/>
      <c r="AS4042" s="147"/>
      <c r="AT4042" s="147"/>
      <c r="AU4042" s="147"/>
      <c r="AV4042" s="147"/>
      <c r="AW4042" s="147"/>
      <c r="AX4042" s="147"/>
      <c r="AY4042" s="147"/>
      <c r="AZ4042" s="147"/>
      <c r="BA4042" s="147"/>
    </row>
    <row r="4043" spans="1:53" ht="15.75" customHeight="1">
      <c r="A4043" s="99"/>
      <c r="B4043" s="99"/>
      <c r="C4043" s="147"/>
      <c r="D4043" s="147"/>
      <c r="E4043" s="147"/>
      <c r="F4043" s="147"/>
      <c r="G4043" s="147"/>
      <c r="H4043" s="147"/>
      <c r="I4043" s="147"/>
      <c r="J4043" s="147"/>
      <c r="K4043" s="147"/>
      <c r="L4043" s="147"/>
      <c r="M4043" s="147"/>
      <c r="N4043" s="147"/>
      <c r="O4043" s="147"/>
      <c r="P4043" s="147"/>
      <c r="Q4043" s="147"/>
      <c r="R4043" s="147"/>
      <c r="S4043" s="147"/>
      <c r="T4043" s="147"/>
      <c r="U4043" s="147"/>
      <c r="V4043" s="147"/>
      <c r="W4043" s="147"/>
      <c r="X4043" s="147"/>
      <c r="Y4043" s="147"/>
      <c r="Z4043" s="147"/>
      <c r="AA4043" s="147"/>
      <c r="AB4043" s="147"/>
      <c r="AC4043" s="147"/>
      <c r="AD4043" s="147"/>
      <c r="AE4043" s="147"/>
      <c r="AF4043" s="147"/>
      <c r="AG4043" s="147"/>
      <c r="AH4043" s="147"/>
      <c r="AI4043" s="147"/>
      <c r="AJ4043" s="147"/>
      <c r="AK4043" s="147"/>
      <c r="AL4043" s="147"/>
      <c r="AM4043" s="147"/>
      <c r="AN4043" s="147"/>
      <c r="AO4043" s="147"/>
      <c r="AP4043" s="147"/>
      <c r="AQ4043" s="147"/>
      <c r="AR4043" s="147"/>
      <c r="AS4043" s="147"/>
      <c r="AT4043" s="147"/>
      <c r="AU4043" s="147"/>
      <c r="AV4043" s="147"/>
      <c r="AW4043" s="147"/>
      <c r="AX4043" s="147"/>
      <c r="AY4043" s="147"/>
      <c r="AZ4043" s="147"/>
      <c r="BA4043" s="147"/>
    </row>
    <row r="4044" spans="1:53" ht="15.75" customHeight="1">
      <c r="A4044" s="99"/>
      <c r="B4044" s="99"/>
      <c r="C4044" s="147"/>
      <c r="D4044" s="147"/>
      <c r="E4044" s="147"/>
      <c r="F4044" s="147"/>
      <c r="G4044" s="147"/>
      <c r="H4044" s="147"/>
      <c r="I4044" s="147"/>
      <c r="J4044" s="147"/>
      <c r="K4044" s="147"/>
      <c r="L4044" s="147"/>
      <c r="M4044" s="147"/>
      <c r="N4044" s="147"/>
      <c r="O4044" s="147"/>
      <c r="P4044" s="147"/>
      <c r="Q4044" s="147"/>
      <c r="R4044" s="147"/>
      <c r="S4044" s="147"/>
      <c r="T4044" s="147"/>
      <c r="U4044" s="147"/>
      <c r="V4044" s="147"/>
      <c r="W4044" s="147"/>
      <c r="X4044" s="147"/>
      <c r="Y4044" s="147"/>
      <c r="Z4044" s="147"/>
      <c r="AA4044" s="147"/>
      <c r="AB4044" s="147"/>
      <c r="AC4044" s="147"/>
      <c r="AD4044" s="147"/>
      <c r="AE4044" s="147"/>
      <c r="AF4044" s="147"/>
      <c r="AG4044" s="147"/>
      <c r="AH4044" s="147"/>
      <c r="AI4044" s="147"/>
      <c r="AJ4044" s="147"/>
      <c r="AK4044" s="147"/>
      <c r="AL4044" s="147"/>
      <c r="AM4044" s="147"/>
      <c r="AN4044" s="147"/>
      <c r="AO4044" s="147"/>
      <c r="AP4044" s="147"/>
      <c r="AQ4044" s="147"/>
      <c r="AR4044" s="147"/>
      <c r="AS4044" s="147"/>
      <c r="AT4044" s="147"/>
      <c r="AU4044" s="147"/>
      <c r="AV4044" s="147"/>
      <c r="AW4044" s="147"/>
      <c r="AX4044" s="147"/>
      <c r="AY4044" s="147"/>
      <c r="AZ4044" s="147"/>
      <c r="BA4044" s="147"/>
    </row>
    <row r="4045" spans="1:53" ht="15.75" customHeight="1">
      <c r="A4045" s="99"/>
      <c r="B4045" s="99"/>
      <c r="C4045" s="147"/>
      <c r="D4045" s="147"/>
      <c r="E4045" s="147"/>
      <c r="F4045" s="147"/>
      <c r="G4045" s="147"/>
      <c r="H4045" s="147"/>
      <c r="I4045" s="147"/>
      <c r="J4045" s="147"/>
      <c r="K4045" s="147"/>
      <c r="L4045" s="147"/>
      <c r="M4045" s="147"/>
      <c r="N4045" s="147"/>
      <c r="O4045" s="147"/>
      <c r="P4045" s="147"/>
      <c r="Q4045" s="147"/>
      <c r="R4045" s="147"/>
      <c r="S4045" s="147"/>
      <c r="T4045" s="147"/>
      <c r="U4045" s="147"/>
      <c r="V4045" s="147"/>
      <c r="W4045" s="147"/>
      <c r="X4045" s="147"/>
      <c r="Y4045" s="147"/>
      <c r="Z4045" s="147"/>
      <c r="AA4045" s="147"/>
      <c r="AB4045" s="147"/>
      <c r="AC4045" s="147"/>
      <c r="AD4045" s="147"/>
      <c r="AE4045" s="147"/>
      <c r="AF4045" s="147"/>
      <c r="AG4045" s="147"/>
      <c r="AH4045" s="147"/>
      <c r="AI4045" s="147"/>
      <c r="AJ4045" s="147"/>
      <c r="AK4045" s="147"/>
      <c r="AL4045" s="147"/>
      <c r="AM4045" s="147"/>
      <c r="AN4045" s="147"/>
      <c r="AO4045" s="147"/>
      <c r="AP4045" s="147"/>
      <c r="AQ4045" s="147"/>
      <c r="AR4045" s="147"/>
      <c r="AS4045" s="147"/>
      <c r="AT4045" s="147"/>
      <c r="AU4045" s="147"/>
      <c r="AV4045" s="147"/>
      <c r="AW4045" s="147"/>
      <c r="AX4045" s="147"/>
      <c r="AY4045" s="147"/>
      <c r="AZ4045" s="147"/>
      <c r="BA4045" s="147"/>
    </row>
    <row r="4046" spans="1:53" ht="15.75" customHeight="1">
      <c r="A4046" s="99"/>
      <c r="B4046" s="99"/>
      <c r="C4046" s="147"/>
      <c r="D4046" s="147"/>
      <c r="E4046" s="147"/>
      <c r="F4046" s="147"/>
      <c r="G4046" s="147"/>
      <c r="H4046" s="147"/>
      <c r="I4046" s="147"/>
      <c r="J4046" s="147"/>
      <c r="K4046" s="147"/>
      <c r="L4046" s="147"/>
      <c r="M4046" s="147"/>
      <c r="N4046" s="147"/>
      <c r="O4046" s="147"/>
      <c r="P4046" s="147"/>
      <c r="Q4046" s="147"/>
      <c r="R4046" s="147"/>
      <c r="S4046" s="147"/>
      <c r="T4046" s="147"/>
      <c r="U4046" s="147"/>
      <c r="V4046" s="147"/>
      <c r="W4046" s="147"/>
      <c r="X4046" s="147"/>
      <c r="Y4046" s="147"/>
      <c r="Z4046" s="147"/>
      <c r="AA4046" s="147"/>
      <c r="AB4046" s="147"/>
      <c r="AC4046" s="147"/>
      <c r="AD4046" s="147"/>
      <c r="AE4046" s="147"/>
      <c r="AF4046" s="147"/>
      <c r="AG4046" s="147"/>
      <c r="AH4046" s="147"/>
      <c r="AI4046" s="147"/>
      <c r="AJ4046" s="147"/>
      <c r="AK4046" s="147"/>
      <c r="AL4046" s="147"/>
      <c r="AM4046" s="147"/>
      <c r="AN4046" s="147"/>
      <c r="AO4046" s="147"/>
      <c r="AP4046" s="147"/>
      <c r="AQ4046" s="147"/>
      <c r="AR4046" s="147"/>
      <c r="AS4046" s="147"/>
      <c r="AT4046" s="147"/>
      <c r="AU4046" s="147"/>
      <c r="AV4046" s="147"/>
      <c r="AW4046" s="147"/>
      <c r="AX4046" s="147"/>
      <c r="AY4046" s="147"/>
      <c r="AZ4046" s="147"/>
      <c r="BA4046" s="147"/>
    </row>
    <row r="4047" spans="1:53" ht="15.75" customHeight="1">
      <c r="A4047" s="99"/>
      <c r="B4047" s="99"/>
      <c r="C4047" s="147"/>
      <c r="D4047" s="147"/>
      <c r="E4047" s="147"/>
      <c r="F4047" s="147"/>
      <c r="G4047" s="147"/>
      <c r="H4047" s="147"/>
      <c r="I4047" s="147"/>
      <c r="J4047" s="147"/>
      <c r="K4047" s="147"/>
      <c r="L4047" s="147"/>
      <c r="M4047" s="147"/>
      <c r="N4047" s="147"/>
      <c r="O4047" s="147"/>
      <c r="P4047" s="147"/>
      <c r="Q4047" s="147"/>
      <c r="R4047" s="147"/>
      <c r="S4047" s="147"/>
      <c r="T4047" s="147"/>
      <c r="U4047" s="147"/>
      <c r="V4047" s="147"/>
      <c r="W4047" s="147"/>
      <c r="X4047" s="147"/>
      <c r="Y4047" s="147"/>
      <c r="Z4047" s="147"/>
      <c r="AA4047" s="147"/>
      <c r="AB4047" s="147"/>
      <c r="AC4047" s="147"/>
      <c r="AD4047" s="147"/>
      <c r="AE4047" s="147"/>
      <c r="AF4047" s="147"/>
      <c r="AG4047" s="147"/>
      <c r="AH4047" s="147"/>
      <c r="AI4047" s="147"/>
      <c r="AJ4047" s="147"/>
      <c r="AK4047" s="147"/>
      <c r="AL4047" s="147"/>
      <c r="AM4047" s="147"/>
      <c r="AN4047" s="147"/>
      <c r="AO4047" s="147"/>
      <c r="AP4047" s="147"/>
      <c r="AQ4047" s="147"/>
      <c r="AR4047" s="147"/>
      <c r="AS4047" s="147"/>
      <c r="AT4047" s="147"/>
      <c r="AU4047" s="147"/>
      <c r="AV4047" s="147"/>
      <c r="AW4047" s="147"/>
      <c r="AX4047" s="147"/>
      <c r="AY4047" s="147"/>
      <c r="AZ4047" s="147"/>
      <c r="BA4047" s="147"/>
    </row>
    <row r="4048" spans="1:53" ht="15.75" customHeight="1">
      <c r="A4048" s="99"/>
      <c r="B4048" s="99"/>
      <c r="C4048" s="147"/>
      <c r="D4048" s="147"/>
      <c r="E4048" s="147"/>
      <c r="F4048" s="147"/>
      <c r="G4048" s="147"/>
      <c r="H4048" s="147"/>
      <c r="I4048" s="147"/>
      <c r="J4048" s="147"/>
      <c r="K4048" s="147"/>
      <c r="L4048" s="147"/>
      <c r="M4048" s="147"/>
      <c r="N4048" s="147"/>
      <c r="O4048" s="147"/>
      <c r="P4048" s="147"/>
      <c r="Q4048" s="147"/>
      <c r="R4048" s="147"/>
      <c r="S4048" s="147"/>
      <c r="T4048" s="147"/>
      <c r="U4048" s="147"/>
      <c r="V4048" s="147"/>
      <c r="W4048" s="147"/>
      <c r="X4048" s="147"/>
      <c r="Y4048" s="147"/>
      <c r="Z4048" s="147"/>
      <c r="AA4048" s="147"/>
      <c r="AB4048" s="147"/>
      <c r="AC4048" s="147"/>
      <c r="AD4048" s="147"/>
      <c r="AE4048" s="147"/>
      <c r="AF4048" s="147"/>
      <c r="AG4048" s="147"/>
      <c r="AH4048" s="147"/>
      <c r="AI4048" s="147"/>
      <c r="AJ4048" s="147"/>
      <c r="AK4048" s="147"/>
      <c r="AL4048" s="147"/>
      <c r="AM4048" s="147"/>
      <c r="AN4048" s="147"/>
      <c r="AO4048" s="147"/>
      <c r="AP4048" s="147"/>
      <c r="AQ4048" s="147"/>
      <c r="AR4048" s="147"/>
      <c r="AS4048" s="147"/>
      <c r="AT4048" s="147"/>
      <c r="AU4048" s="147"/>
      <c r="AV4048" s="147"/>
      <c r="AW4048" s="147"/>
      <c r="AX4048" s="147"/>
      <c r="AY4048" s="147"/>
      <c r="AZ4048" s="147"/>
      <c r="BA4048" s="147"/>
    </row>
    <row r="4049" spans="1:53" ht="15.75" customHeight="1">
      <c r="A4049" s="99"/>
      <c r="B4049" s="99"/>
      <c r="C4049" s="147"/>
      <c r="D4049" s="147"/>
      <c r="E4049" s="147"/>
      <c r="F4049" s="147"/>
      <c r="G4049" s="147"/>
      <c r="H4049" s="147"/>
      <c r="I4049" s="147"/>
      <c r="J4049" s="147"/>
      <c r="K4049" s="147"/>
      <c r="L4049" s="147"/>
      <c r="M4049" s="147"/>
      <c r="N4049" s="147"/>
      <c r="O4049" s="147"/>
      <c r="P4049" s="147"/>
      <c r="Q4049" s="147"/>
      <c r="R4049" s="147"/>
      <c r="S4049" s="147"/>
      <c r="T4049" s="147"/>
      <c r="U4049" s="147"/>
      <c r="V4049" s="147"/>
      <c r="W4049" s="147"/>
      <c r="X4049" s="147"/>
      <c r="Y4049" s="147"/>
      <c r="Z4049" s="147"/>
      <c r="AA4049" s="147"/>
      <c r="AB4049" s="147"/>
      <c r="AC4049" s="147"/>
      <c r="AD4049" s="147"/>
      <c r="AE4049" s="147"/>
      <c r="AF4049" s="147"/>
      <c r="AG4049" s="147"/>
      <c r="AH4049" s="147"/>
      <c r="AI4049" s="147"/>
      <c r="AJ4049" s="147"/>
      <c r="AK4049" s="147"/>
      <c r="AL4049" s="147"/>
      <c r="AM4049" s="147"/>
      <c r="AN4049" s="147"/>
      <c r="AO4049" s="147"/>
      <c r="AP4049" s="147"/>
      <c r="AQ4049" s="147"/>
      <c r="AR4049" s="147"/>
      <c r="AS4049" s="147"/>
      <c r="AT4049" s="147"/>
      <c r="AU4049" s="147"/>
      <c r="AV4049" s="147"/>
      <c r="AW4049" s="147"/>
      <c r="AX4049" s="147"/>
      <c r="AY4049" s="147"/>
      <c r="AZ4049" s="147"/>
      <c r="BA4049" s="147"/>
    </row>
    <row r="4050" spans="1:53" ht="15.75" customHeight="1">
      <c r="A4050" s="99"/>
      <c r="B4050" s="99"/>
      <c r="C4050" s="147"/>
      <c r="D4050" s="147"/>
      <c r="E4050" s="147"/>
      <c r="F4050" s="147"/>
      <c r="G4050" s="147"/>
      <c r="H4050" s="147"/>
      <c r="I4050" s="147"/>
      <c r="J4050" s="147"/>
      <c r="K4050" s="147"/>
      <c r="L4050" s="147"/>
      <c r="M4050" s="147"/>
      <c r="N4050" s="147"/>
      <c r="O4050" s="147"/>
      <c r="P4050" s="147"/>
      <c r="Q4050" s="147"/>
      <c r="R4050" s="147"/>
      <c r="S4050" s="147"/>
      <c r="T4050" s="147"/>
      <c r="U4050" s="147"/>
      <c r="V4050" s="147"/>
      <c r="W4050" s="147"/>
      <c r="X4050" s="147"/>
      <c r="Y4050" s="147"/>
      <c r="Z4050" s="147"/>
      <c r="AA4050" s="147"/>
      <c r="AB4050" s="147"/>
      <c r="AC4050" s="147"/>
      <c r="AD4050" s="147"/>
      <c r="AE4050" s="147"/>
      <c r="AF4050" s="147"/>
      <c r="AG4050" s="147"/>
      <c r="AH4050" s="147"/>
      <c r="AI4050" s="147"/>
      <c r="AJ4050" s="147"/>
      <c r="AK4050" s="147"/>
      <c r="AL4050" s="147"/>
      <c r="AM4050" s="147"/>
      <c r="AN4050" s="147"/>
      <c r="AO4050" s="147"/>
      <c r="AP4050" s="147"/>
      <c r="AQ4050" s="147"/>
      <c r="AR4050" s="147"/>
      <c r="AS4050" s="147"/>
      <c r="AT4050" s="147"/>
      <c r="AU4050" s="147"/>
      <c r="AV4050" s="147"/>
      <c r="AW4050" s="147"/>
      <c r="AX4050" s="147"/>
      <c r="AY4050" s="147"/>
      <c r="AZ4050" s="147"/>
      <c r="BA4050" s="147"/>
    </row>
    <row r="4051" spans="1:53" ht="15.75" customHeight="1">
      <c r="A4051" s="99"/>
      <c r="B4051" s="99"/>
      <c r="C4051" s="147"/>
      <c r="D4051" s="147"/>
      <c r="E4051" s="147"/>
      <c r="F4051" s="147"/>
      <c r="G4051" s="147"/>
      <c r="H4051" s="147"/>
      <c r="I4051" s="147"/>
      <c r="J4051" s="147"/>
      <c r="K4051" s="147"/>
      <c r="L4051" s="147"/>
      <c r="M4051" s="147"/>
      <c r="N4051" s="147"/>
      <c r="O4051" s="147"/>
      <c r="P4051" s="147"/>
      <c r="Q4051" s="147"/>
      <c r="R4051" s="147"/>
      <c r="S4051" s="147"/>
      <c r="T4051" s="147"/>
      <c r="U4051" s="147"/>
      <c r="V4051" s="147"/>
      <c r="W4051" s="147"/>
      <c r="X4051" s="147"/>
      <c r="Y4051" s="147"/>
      <c r="Z4051" s="147"/>
      <c r="AA4051" s="147"/>
      <c r="AB4051" s="147"/>
      <c r="AC4051" s="147"/>
      <c r="AD4051" s="147"/>
      <c r="AE4051" s="147"/>
      <c r="AF4051" s="147"/>
      <c r="AG4051" s="147"/>
      <c r="AH4051" s="147"/>
      <c r="AI4051" s="147"/>
      <c r="AJ4051" s="147"/>
      <c r="AK4051" s="147"/>
      <c r="AL4051" s="147"/>
      <c r="AM4051" s="147"/>
      <c r="AN4051" s="147"/>
      <c r="AO4051" s="147"/>
      <c r="AP4051" s="147"/>
      <c r="AQ4051" s="147"/>
      <c r="AR4051" s="147"/>
      <c r="AS4051" s="147"/>
      <c r="AT4051" s="147"/>
      <c r="AU4051" s="147"/>
      <c r="AV4051" s="147"/>
      <c r="AW4051" s="147"/>
      <c r="AX4051" s="147"/>
      <c r="AY4051" s="147"/>
      <c r="AZ4051" s="147"/>
      <c r="BA4051" s="147"/>
    </row>
    <row r="4052" spans="1:53" ht="15.75" customHeight="1">
      <c r="A4052" s="99"/>
      <c r="B4052" s="99"/>
      <c r="C4052" s="147"/>
      <c r="D4052" s="147"/>
      <c r="E4052" s="147"/>
      <c r="F4052" s="147"/>
      <c r="G4052" s="147"/>
      <c r="H4052" s="147"/>
      <c r="I4052" s="147"/>
      <c r="J4052" s="147"/>
      <c r="K4052" s="147"/>
      <c r="L4052" s="147"/>
      <c r="M4052" s="147"/>
      <c r="N4052" s="147"/>
      <c r="O4052" s="147"/>
      <c r="P4052" s="147"/>
      <c r="Q4052" s="147"/>
      <c r="R4052" s="147"/>
      <c r="S4052" s="147"/>
      <c r="T4052" s="147"/>
      <c r="U4052" s="147"/>
      <c r="V4052" s="147"/>
      <c r="W4052" s="147"/>
      <c r="X4052" s="147"/>
      <c r="Y4052" s="147"/>
      <c r="Z4052" s="147"/>
      <c r="AA4052" s="147"/>
      <c r="AB4052" s="147"/>
      <c r="AC4052" s="147"/>
      <c r="AD4052" s="147"/>
      <c r="AE4052" s="147"/>
      <c r="AF4052" s="147"/>
      <c r="AG4052" s="147"/>
      <c r="AH4052" s="147"/>
      <c r="AI4052" s="147"/>
      <c r="AJ4052" s="147"/>
      <c r="AK4052" s="147"/>
      <c r="AL4052" s="147"/>
      <c r="AM4052" s="147"/>
      <c r="AN4052" s="147"/>
      <c r="AO4052" s="147"/>
      <c r="AP4052" s="147"/>
      <c r="AQ4052" s="147"/>
      <c r="AR4052" s="147"/>
      <c r="AS4052" s="147"/>
      <c r="AT4052" s="147"/>
      <c r="AU4052" s="147"/>
      <c r="AV4052" s="147"/>
      <c r="AW4052" s="147"/>
      <c r="AX4052" s="147"/>
      <c r="AY4052" s="147"/>
      <c r="AZ4052" s="147"/>
      <c r="BA4052" s="147"/>
    </row>
    <row r="4053" spans="1:53" ht="15.75" customHeight="1">
      <c r="A4053" s="99"/>
      <c r="B4053" s="99"/>
      <c r="C4053" s="147"/>
      <c r="D4053" s="147"/>
      <c r="E4053" s="147"/>
      <c r="F4053" s="147"/>
      <c r="G4053" s="147"/>
      <c r="H4053" s="147"/>
      <c r="I4053" s="147"/>
      <c r="J4053" s="147"/>
      <c r="K4053" s="147"/>
      <c r="L4053" s="147"/>
      <c r="M4053" s="147"/>
      <c r="N4053" s="147"/>
      <c r="O4053" s="147"/>
      <c r="P4053" s="147"/>
      <c r="Q4053" s="147"/>
      <c r="R4053" s="147"/>
      <c r="S4053" s="147"/>
      <c r="T4053" s="147"/>
      <c r="U4053" s="147"/>
      <c r="V4053" s="147"/>
      <c r="W4053" s="147"/>
      <c r="X4053" s="147"/>
      <c r="Y4053" s="147"/>
      <c r="Z4053" s="147"/>
      <c r="AA4053" s="147"/>
      <c r="AB4053" s="147"/>
      <c r="AC4053" s="147"/>
      <c r="AD4053" s="147"/>
      <c r="AE4053" s="147"/>
      <c r="AF4053" s="147"/>
      <c r="AG4053" s="147"/>
      <c r="AH4053" s="147"/>
      <c r="AI4053" s="147"/>
      <c r="AJ4053" s="147"/>
      <c r="AK4053" s="147"/>
      <c r="AL4053" s="147"/>
      <c r="AM4053" s="147"/>
      <c r="AN4053" s="147"/>
      <c r="AO4053" s="147"/>
      <c r="AP4053" s="147"/>
      <c r="AQ4053" s="147"/>
      <c r="AR4053" s="147"/>
      <c r="AS4053" s="147"/>
      <c r="AT4053" s="147"/>
      <c r="AU4053" s="147"/>
      <c r="AV4053" s="147"/>
      <c r="AW4053" s="147"/>
      <c r="AX4053" s="147"/>
      <c r="AY4053" s="147"/>
      <c r="AZ4053" s="147"/>
      <c r="BA4053" s="147"/>
    </row>
    <row r="4054" spans="1:53" ht="15.75" customHeight="1">
      <c r="A4054" s="99"/>
      <c r="B4054" s="99"/>
      <c r="C4054" s="147"/>
      <c r="D4054" s="147"/>
      <c r="E4054" s="147"/>
      <c r="F4054" s="147"/>
      <c r="G4054" s="147"/>
      <c r="H4054" s="147"/>
      <c r="I4054" s="147"/>
      <c r="J4054" s="147"/>
      <c r="K4054" s="147"/>
      <c r="L4054" s="147"/>
      <c r="M4054" s="147"/>
      <c r="N4054" s="147"/>
      <c r="O4054" s="147"/>
      <c r="P4054" s="147"/>
      <c r="Q4054" s="147"/>
      <c r="R4054" s="147"/>
      <c r="S4054" s="147"/>
      <c r="T4054" s="147"/>
      <c r="U4054" s="147"/>
      <c r="V4054" s="147"/>
      <c r="W4054" s="147"/>
      <c r="X4054" s="147"/>
      <c r="Y4054" s="147"/>
      <c r="Z4054" s="147"/>
      <c r="AA4054" s="147"/>
      <c r="AB4054" s="147"/>
      <c r="AC4054" s="147"/>
      <c r="AD4054" s="147"/>
      <c r="AE4054" s="147"/>
      <c r="AF4054" s="147"/>
      <c r="AG4054" s="147"/>
      <c r="AH4054" s="147"/>
      <c r="AI4054" s="147"/>
      <c r="AJ4054" s="147"/>
      <c r="AK4054" s="147"/>
      <c r="AL4054" s="147"/>
      <c r="AM4054" s="147"/>
      <c r="AN4054" s="147"/>
      <c r="AO4054" s="147"/>
      <c r="AP4054" s="147"/>
      <c r="AQ4054" s="147"/>
      <c r="AR4054" s="147"/>
      <c r="AS4054" s="147"/>
      <c r="AT4054" s="147"/>
      <c r="AU4054" s="147"/>
      <c r="AV4054" s="147"/>
      <c r="AW4054" s="147"/>
      <c r="AX4054" s="147"/>
      <c r="AY4054" s="147"/>
      <c r="AZ4054" s="147"/>
      <c r="BA4054" s="147"/>
    </row>
    <row r="4055" spans="1:53" ht="15.75" customHeight="1">
      <c r="A4055" s="99"/>
      <c r="B4055" s="99"/>
      <c r="C4055" s="147"/>
      <c r="D4055" s="147"/>
      <c r="E4055" s="147"/>
      <c r="F4055" s="147"/>
      <c r="G4055" s="147"/>
      <c r="H4055" s="147"/>
      <c r="I4055" s="147"/>
      <c r="J4055" s="147"/>
      <c r="K4055" s="147"/>
      <c r="L4055" s="147"/>
      <c r="M4055" s="147"/>
      <c r="N4055" s="147"/>
      <c r="O4055" s="147"/>
      <c r="P4055" s="147"/>
      <c r="Q4055" s="147"/>
      <c r="R4055" s="147"/>
      <c r="S4055" s="147"/>
      <c r="T4055" s="147"/>
      <c r="U4055" s="147"/>
      <c r="V4055" s="147"/>
      <c r="W4055" s="147"/>
      <c r="X4055" s="147"/>
      <c r="Y4055" s="147"/>
      <c r="Z4055" s="147"/>
      <c r="AA4055" s="147"/>
      <c r="AB4055" s="147"/>
      <c r="AC4055" s="147"/>
      <c r="AD4055" s="147"/>
      <c r="AE4055" s="147"/>
      <c r="AF4055" s="147"/>
      <c r="AG4055" s="147"/>
      <c r="AH4055" s="147"/>
      <c r="AI4055" s="147"/>
      <c r="AJ4055" s="147"/>
      <c r="AK4055" s="147"/>
      <c r="AL4055" s="147"/>
      <c r="AM4055" s="147"/>
      <c r="AN4055" s="147"/>
      <c r="AO4055" s="147"/>
      <c r="AP4055" s="147"/>
      <c r="AQ4055" s="147"/>
      <c r="AR4055" s="147"/>
      <c r="AS4055" s="147"/>
      <c r="AT4055" s="147"/>
      <c r="AU4055" s="147"/>
      <c r="AV4055" s="147"/>
      <c r="AW4055" s="147"/>
      <c r="AX4055" s="147"/>
      <c r="AY4055" s="147"/>
      <c r="AZ4055" s="147"/>
      <c r="BA4055" s="147"/>
    </row>
    <row r="4056" spans="1:53" ht="15.75" customHeight="1">
      <c r="A4056" s="99"/>
      <c r="B4056" s="99"/>
      <c r="C4056" s="147"/>
      <c r="D4056" s="147"/>
      <c r="E4056" s="147"/>
      <c r="F4056" s="147"/>
      <c r="G4056" s="147"/>
      <c r="H4056" s="147"/>
      <c r="I4056" s="147"/>
      <c r="J4056" s="147"/>
      <c r="K4056" s="147"/>
      <c r="L4056" s="147"/>
      <c r="M4056" s="147"/>
      <c r="N4056" s="147"/>
      <c r="O4056" s="147"/>
      <c r="P4056" s="147"/>
      <c r="Q4056" s="147"/>
      <c r="R4056" s="147"/>
      <c r="S4056" s="147"/>
      <c r="T4056" s="147"/>
      <c r="U4056" s="147"/>
      <c r="V4056" s="147"/>
      <c r="W4056" s="147"/>
      <c r="X4056" s="147"/>
      <c r="Y4056" s="147"/>
      <c r="Z4056" s="147"/>
      <c r="AA4056" s="147"/>
      <c r="AB4056" s="147"/>
      <c r="AC4056" s="147"/>
      <c r="AD4056" s="147"/>
      <c r="AE4056" s="147"/>
      <c r="AF4056" s="147"/>
      <c r="AG4056" s="147"/>
      <c r="AH4056" s="147"/>
      <c r="AI4056" s="147"/>
      <c r="AJ4056" s="147"/>
      <c r="AK4056" s="147"/>
      <c r="AL4056" s="147"/>
      <c r="AM4056" s="147"/>
      <c r="AN4056" s="147"/>
      <c r="AO4056" s="147"/>
      <c r="AP4056" s="147"/>
      <c r="AQ4056" s="147"/>
      <c r="AR4056" s="147"/>
      <c r="AS4056" s="147"/>
      <c r="AT4056" s="147"/>
      <c r="AU4056" s="147"/>
      <c r="AV4056" s="147"/>
      <c r="AW4056" s="147"/>
      <c r="AX4056" s="147"/>
      <c r="AY4056" s="147"/>
      <c r="AZ4056" s="147"/>
      <c r="BA4056" s="147"/>
    </row>
    <row r="4057" spans="1:53" ht="15.75" customHeight="1">
      <c r="A4057" s="99"/>
      <c r="B4057" s="99"/>
      <c r="C4057" s="147"/>
      <c r="D4057" s="147"/>
      <c r="E4057" s="147"/>
      <c r="F4057" s="147"/>
      <c r="G4057" s="147"/>
      <c r="H4057" s="147"/>
      <c r="I4057" s="147"/>
      <c r="J4057" s="147"/>
      <c r="K4057" s="147"/>
      <c r="L4057" s="147"/>
      <c r="M4057" s="147"/>
      <c r="N4057" s="147"/>
      <c r="O4057" s="147"/>
      <c r="P4057" s="147"/>
      <c r="Q4057" s="147"/>
      <c r="R4057" s="147"/>
      <c r="S4057" s="147"/>
      <c r="T4057" s="147"/>
      <c r="U4057" s="147"/>
      <c r="V4057" s="147"/>
      <c r="W4057" s="147"/>
      <c r="X4057" s="147"/>
      <c r="Y4057" s="147"/>
      <c r="Z4057" s="147"/>
      <c r="AA4057" s="147"/>
      <c r="AB4057" s="147"/>
      <c r="AC4057" s="147"/>
      <c r="AD4057" s="147"/>
      <c r="AE4057" s="147"/>
      <c r="AF4057" s="147"/>
      <c r="AG4057" s="147"/>
      <c r="AH4057" s="147"/>
      <c r="AI4057" s="147"/>
      <c r="AJ4057" s="147"/>
      <c r="AK4057" s="147"/>
      <c r="AL4057" s="147"/>
      <c r="AM4057" s="147"/>
      <c r="AN4057" s="147"/>
      <c r="AO4057" s="147"/>
      <c r="AP4057" s="147"/>
      <c r="AQ4057" s="147"/>
      <c r="AR4057" s="147"/>
      <c r="AS4057" s="147"/>
      <c r="AT4057" s="147"/>
      <c r="AU4057" s="147"/>
      <c r="AV4057" s="147"/>
      <c r="AW4057" s="147"/>
      <c r="AX4057" s="147"/>
      <c r="AY4057" s="147"/>
      <c r="AZ4057" s="147"/>
      <c r="BA4057" s="147"/>
    </row>
    <row r="4058" spans="1:53" ht="15.75" customHeight="1">
      <c r="A4058" s="99"/>
      <c r="B4058" s="99"/>
      <c r="C4058" s="147"/>
      <c r="D4058" s="147"/>
      <c r="E4058" s="147"/>
      <c r="F4058" s="147"/>
      <c r="G4058" s="147"/>
      <c r="H4058" s="147"/>
      <c r="I4058" s="147"/>
      <c r="J4058" s="147"/>
      <c r="K4058" s="147"/>
      <c r="L4058" s="147"/>
      <c r="M4058" s="147"/>
      <c r="N4058" s="147"/>
      <c r="O4058" s="147"/>
      <c r="P4058" s="147"/>
      <c r="Q4058" s="147"/>
      <c r="R4058" s="147"/>
      <c r="S4058" s="147"/>
      <c r="T4058" s="147"/>
      <c r="U4058" s="147"/>
      <c r="V4058" s="147"/>
      <c r="W4058" s="147"/>
      <c r="X4058" s="147"/>
      <c r="Y4058" s="147"/>
      <c r="Z4058" s="147"/>
      <c r="AA4058" s="147"/>
      <c r="AB4058" s="147"/>
      <c r="AC4058" s="147"/>
      <c r="AD4058" s="147"/>
      <c r="AE4058" s="147"/>
      <c r="AF4058" s="147"/>
      <c r="AG4058" s="147"/>
      <c r="AH4058" s="147"/>
      <c r="AI4058" s="147"/>
      <c r="AJ4058" s="147"/>
      <c r="AK4058" s="147"/>
      <c r="AL4058" s="147"/>
      <c r="AM4058" s="147"/>
      <c r="AN4058" s="147"/>
      <c r="AO4058" s="147"/>
      <c r="AP4058" s="147"/>
      <c r="AQ4058" s="147"/>
      <c r="AR4058" s="147"/>
      <c r="AS4058" s="147"/>
      <c r="AT4058" s="147"/>
      <c r="AU4058" s="147"/>
      <c r="AV4058" s="147"/>
      <c r="AW4058" s="147"/>
      <c r="AX4058" s="147"/>
      <c r="AY4058" s="147"/>
      <c r="AZ4058" s="147"/>
      <c r="BA4058" s="147"/>
    </row>
    <row r="4059" spans="1:53" ht="15.75" customHeight="1">
      <c r="A4059" s="99"/>
      <c r="B4059" s="99"/>
      <c r="C4059" s="147"/>
      <c r="D4059" s="147"/>
      <c r="E4059" s="147"/>
      <c r="F4059" s="147"/>
      <c r="G4059" s="147"/>
      <c r="H4059" s="147"/>
      <c r="I4059" s="147"/>
      <c r="J4059" s="147"/>
      <c r="K4059" s="147"/>
      <c r="L4059" s="147"/>
      <c r="M4059" s="147"/>
      <c r="N4059" s="147"/>
      <c r="O4059" s="147"/>
      <c r="P4059" s="147"/>
      <c r="Q4059" s="147"/>
      <c r="R4059" s="147"/>
      <c r="S4059" s="147"/>
      <c r="T4059" s="147"/>
      <c r="U4059" s="147"/>
      <c r="V4059" s="147"/>
      <c r="W4059" s="147"/>
      <c r="X4059" s="147"/>
      <c r="Y4059" s="147"/>
      <c r="Z4059" s="147"/>
      <c r="AA4059" s="147"/>
      <c r="AB4059" s="147"/>
      <c r="AC4059" s="147"/>
      <c r="AD4059" s="147"/>
      <c r="AE4059" s="147"/>
      <c r="AF4059" s="147"/>
      <c r="AG4059" s="147"/>
      <c r="AH4059" s="147"/>
      <c r="AI4059" s="147"/>
      <c r="AJ4059" s="147"/>
      <c r="AK4059" s="147"/>
      <c r="AL4059" s="147"/>
      <c r="AM4059" s="147"/>
      <c r="AN4059" s="147"/>
      <c r="AO4059" s="147"/>
      <c r="AP4059" s="147"/>
      <c r="AQ4059" s="147"/>
      <c r="AR4059" s="147"/>
      <c r="AS4059" s="147"/>
      <c r="AT4059" s="147"/>
      <c r="AU4059" s="147"/>
      <c r="AV4059" s="147"/>
      <c r="AW4059" s="147"/>
      <c r="AX4059" s="147"/>
      <c r="AY4059" s="147"/>
      <c r="AZ4059" s="147"/>
      <c r="BA4059" s="147"/>
    </row>
    <row r="4060" spans="1:53" ht="15.75" customHeight="1">
      <c r="A4060" s="99"/>
      <c r="B4060" s="99"/>
      <c r="C4060" s="147"/>
      <c r="D4060" s="147"/>
      <c r="E4060" s="147"/>
      <c r="F4060" s="147"/>
      <c r="G4060" s="147"/>
      <c r="H4060" s="147"/>
      <c r="I4060" s="147"/>
      <c r="J4060" s="147"/>
      <c r="K4060" s="147"/>
      <c r="L4060" s="147"/>
      <c r="M4060" s="147"/>
      <c r="N4060" s="147"/>
      <c r="O4060" s="147"/>
      <c r="P4060" s="147"/>
      <c r="Q4060" s="147"/>
      <c r="R4060" s="147"/>
      <c r="S4060" s="147"/>
      <c r="T4060" s="147"/>
      <c r="U4060" s="147"/>
      <c r="V4060" s="147"/>
      <c r="W4060" s="147"/>
      <c r="X4060" s="147"/>
      <c r="Y4060" s="147"/>
      <c r="Z4060" s="147"/>
      <c r="AA4060" s="147"/>
      <c r="AB4060" s="147"/>
      <c r="AC4060" s="147"/>
      <c r="AD4060" s="147"/>
      <c r="AE4060" s="147"/>
      <c r="AF4060" s="147"/>
      <c r="AG4060" s="147"/>
      <c r="AH4060" s="147"/>
      <c r="AI4060" s="147"/>
      <c r="AJ4060" s="147"/>
      <c r="AK4060" s="147"/>
      <c r="AL4060" s="147"/>
      <c r="AM4060" s="147"/>
      <c r="AN4060" s="147"/>
      <c r="AO4060" s="147"/>
      <c r="AP4060" s="147"/>
      <c r="AQ4060" s="147"/>
      <c r="AR4060" s="147"/>
      <c r="AS4060" s="147"/>
      <c r="AT4060" s="147"/>
      <c r="AU4060" s="147"/>
      <c r="AV4060" s="147"/>
      <c r="AW4060" s="147"/>
      <c r="AX4060" s="147"/>
      <c r="AY4060" s="147"/>
      <c r="AZ4060" s="147"/>
      <c r="BA4060" s="147"/>
    </row>
    <row r="4061" spans="1:53" ht="15.75" customHeight="1">
      <c r="A4061" s="99"/>
      <c r="B4061" s="99"/>
      <c r="C4061" s="147"/>
      <c r="D4061" s="147"/>
      <c r="E4061" s="147"/>
      <c r="F4061" s="147"/>
      <c r="G4061" s="147"/>
      <c r="H4061" s="147"/>
      <c r="I4061" s="147"/>
      <c r="J4061" s="147"/>
      <c r="K4061" s="147"/>
      <c r="L4061" s="147"/>
      <c r="M4061" s="147"/>
      <c r="N4061" s="147"/>
      <c r="O4061" s="147"/>
      <c r="P4061" s="147"/>
      <c r="Q4061" s="147"/>
      <c r="R4061" s="147"/>
      <c r="S4061" s="147"/>
      <c r="T4061" s="147"/>
      <c r="U4061" s="147"/>
      <c r="V4061" s="147"/>
      <c r="W4061" s="147"/>
      <c r="X4061" s="147"/>
      <c r="Y4061" s="147"/>
      <c r="Z4061" s="147"/>
      <c r="AA4061" s="147"/>
      <c r="AB4061" s="147"/>
      <c r="AC4061" s="147"/>
      <c r="AD4061" s="147"/>
      <c r="AE4061" s="147"/>
      <c r="AF4061" s="147"/>
      <c r="AG4061" s="147"/>
      <c r="AH4061" s="147"/>
      <c r="AI4061" s="147"/>
      <c r="AJ4061" s="147"/>
      <c r="AK4061" s="147"/>
      <c r="AL4061" s="147"/>
      <c r="AM4061" s="147"/>
      <c r="AN4061" s="147"/>
      <c r="AO4061" s="147"/>
      <c r="AP4061" s="147"/>
      <c r="AQ4061" s="147"/>
      <c r="AR4061" s="147"/>
      <c r="AS4061" s="147"/>
      <c r="AT4061" s="147"/>
      <c r="AU4061" s="147"/>
      <c r="AV4061" s="147"/>
      <c r="AW4061" s="147"/>
      <c r="AX4061" s="147"/>
      <c r="AY4061" s="147"/>
      <c r="AZ4061" s="147"/>
      <c r="BA4061" s="147"/>
    </row>
    <row r="4062" spans="1:53" ht="15.75" customHeight="1">
      <c r="A4062" s="99"/>
      <c r="B4062" s="99"/>
      <c r="C4062" s="147"/>
      <c r="D4062" s="147"/>
      <c r="E4062" s="147"/>
      <c r="F4062" s="147"/>
      <c r="G4062" s="147"/>
      <c r="H4062" s="147"/>
      <c r="I4062" s="147"/>
      <c r="J4062" s="147"/>
      <c r="K4062" s="147"/>
      <c r="L4062" s="147"/>
      <c r="M4062" s="147"/>
      <c r="N4062" s="147"/>
      <c r="O4062" s="147"/>
      <c r="P4062" s="147"/>
      <c r="Q4062" s="147"/>
      <c r="R4062" s="147"/>
      <c r="S4062" s="147"/>
      <c r="T4062" s="147"/>
      <c r="U4062" s="147"/>
      <c r="V4062" s="147"/>
      <c r="W4062" s="147"/>
      <c r="X4062" s="147"/>
      <c r="Y4062" s="147"/>
      <c r="Z4062" s="147"/>
      <c r="AA4062" s="147"/>
      <c r="AB4062" s="147"/>
      <c r="AC4062" s="147"/>
      <c r="AD4062" s="147"/>
      <c r="AE4062" s="147"/>
      <c r="AF4062" s="147"/>
      <c r="AG4062" s="147"/>
      <c r="AH4062" s="147"/>
      <c r="AI4062" s="147"/>
      <c r="AJ4062" s="147"/>
      <c r="AK4062" s="147"/>
      <c r="AL4062" s="147"/>
      <c r="AM4062" s="147"/>
      <c r="AN4062" s="147"/>
      <c r="AO4062" s="147"/>
      <c r="AP4062" s="147"/>
      <c r="AQ4062" s="147"/>
      <c r="AR4062" s="147"/>
      <c r="AS4062" s="147"/>
      <c r="AT4062" s="147"/>
      <c r="AU4062" s="147"/>
      <c r="AV4062" s="147"/>
      <c r="AW4062" s="147"/>
      <c r="AX4062" s="147"/>
      <c r="AY4062" s="147"/>
      <c r="AZ4062" s="147"/>
      <c r="BA4062" s="147"/>
    </row>
    <row r="4063" spans="1:53" ht="15.75" customHeight="1">
      <c r="A4063" s="99"/>
      <c r="B4063" s="99"/>
      <c r="C4063" s="147"/>
      <c r="D4063" s="147"/>
      <c r="E4063" s="147"/>
      <c r="F4063" s="147"/>
      <c r="G4063" s="147"/>
      <c r="H4063" s="147"/>
      <c r="I4063" s="147"/>
      <c r="J4063" s="147"/>
      <c r="K4063" s="147"/>
      <c r="L4063" s="147"/>
      <c r="M4063" s="147"/>
      <c r="N4063" s="147"/>
      <c r="O4063" s="147"/>
      <c r="P4063" s="147"/>
      <c r="Q4063" s="147"/>
      <c r="R4063" s="147"/>
      <c r="S4063" s="147"/>
      <c r="T4063" s="147"/>
      <c r="U4063" s="147"/>
      <c r="V4063" s="147"/>
      <c r="W4063" s="147"/>
      <c r="X4063" s="147"/>
      <c r="Y4063" s="147"/>
      <c r="Z4063" s="147"/>
      <c r="AA4063" s="147"/>
      <c r="AB4063" s="147"/>
      <c r="AC4063" s="147"/>
      <c r="AD4063" s="147"/>
      <c r="AE4063" s="147"/>
      <c r="AF4063" s="147"/>
      <c r="AG4063" s="147"/>
      <c r="AH4063" s="147"/>
      <c r="AI4063" s="147"/>
      <c r="AJ4063" s="147"/>
      <c r="AK4063" s="147"/>
      <c r="AL4063" s="147"/>
      <c r="AM4063" s="147"/>
      <c r="AN4063" s="147"/>
      <c r="AO4063" s="147"/>
      <c r="AP4063" s="147"/>
      <c r="AQ4063" s="147"/>
      <c r="AR4063" s="147"/>
      <c r="AS4063" s="147"/>
      <c r="AT4063" s="147"/>
      <c r="AU4063" s="147"/>
      <c r="AV4063" s="147"/>
      <c r="AW4063" s="147"/>
      <c r="AX4063" s="147"/>
      <c r="AY4063" s="147"/>
      <c r="AZ4063" s="147"/>
      <c r="BA4063" s="147"/>
    </row>
    <row r="4064" spans="1:53" ht="15.75" customHeight="1">
      <c r="A4064" s="99"/>
      <c r="B4064" s="99"/>
      <c r="C4064" s="147"/>
      <c r="D4064" s="147"/>
      <c r="E4064" s="147"/>
      <c r="F4064" s="147"/>
      <c r="G4064" s="147"/>
      <c r="H4064" s="147"/>
      <c r="I4064" s="147"/>
      <c r="J4064" s="147"/>
      <c r="K4064" s="147"/>
      <c r="L4064" s="147"/>
      <c r="M4064" s="147"/>
      <c r="N4064" s="147"/>
      <c r="O4064" s="147"/>
      <c r="P4064" s="147"/>
      <c r="Q4064" s="147"/>
      <c r="R4064" s="147"/>
      <c r="S4064" s="147"/>
      <c r="T4064" s="147"/>
      <c r="U4064" s="147"/>
      <c r="V4064" s="147"/>
      <c r="W4064" s="147"/>
      <c r="X4064" s="147"/>
      <c r="Y4064" s="147"/>
      <c r="Z4064" s="147"/>
      <c r="AA4064" s="147"/>
      <c r="AB4064" s="147"/>
      <c r="AC4064" s="147"/>
      <c r="AD4064" s="147"/>
      <c r="AE4064" s="147"/>
      <c r="AF4064" s="147"/>
      <c r="AG4064" s="147"/>
      <c r="AH4064" s="147"/>
      <c r="AI4064" s="147"/>
      <c r="AJ4064" s="147"/>
      <c r="AK4064" s="147"/>
      <c r="AL4064" s="147"/>
      <c r="AM4064" s="147"/>
      <c r="AN4064" s="147"/>
      <c r="AO4064" s="147"/>
      <c r="AP4064" s="147"/>
      <c r="AQ4064" s="147"/>
      <c r="AR4064" s="147"/>
      <c r="AS4064" s="147"/>
      <c r="AT4064" s="147"/>
      <c r="AU4064" s="147"/>
      <c r="AV4064" s="147"/>
      <c r="AW4064" s="147"/>
      <c r="AX4064" s="147"/>
      <c r="AY4064" s="147"/>
      <c r="AZ4064" s="147"/>
      <c r="BA4064" s="147"/>
    </row>
    <row r="4065" spans="1:53" ht="15.75" customHeight="1">
      <c r="A4065" s="99"/>
      <c r="B4065" s="99"/>
      <c r="C4065" s="147"/>
      <c r="D4065" s="147"/>
      <c r="E4065" s="147"/>
      <c r="F4065" s="147"/>
      <c r="G4065" s="147"/>
      <c r="H4065" s="147"/>
      <c r="I4065" s="147"/>
      <c r="J4065" s="147"/>
      <c r="K4065" s="147"/>
      <c r="L4065" s="147"/>
      <c r="M4065" s="147"/>
      <c r="N4065" s="147"/>
      <c r="O4065" s="147"/>
      <c r="P4065" s="147"/>
      <c r="Q4065" s="147"/>
      <c r="R4065" s="147"/>
      <c r="S4065" s="147"/>
      <c r="T4065" s="147"/>
      <c r="U4065" s="147"/>
      <c r="V4065" s="147"/>
      <c r="W4065" s="147"/>
      <c r="X4065" s="147"/>
      <c r="Y4065" s="147"/>
      <c r="Z4065" s="147"/>
      <c r="AA4065" s="147"/>
      <c r="AB4065" s="147"/>
      <c r="AC4065" s="147"/>
      <c r="AD4065" s="147"/>
      <c r="AE4065" s="147"/>
      <c r="AF4065" s="147"/>
      <c r="AG4065" s="147"/>
      <c r="AH4065" s="147"/>
      <c r="AI4065" s="147"/>
      <c r="AJ4065" s="147"/>
      <c r="AK4065" s="147"/>
      <c r="AL4065" s="147"/>
      <c r="AM4065" s="147"/>
      <c r="AN4065" s="147"/>
      <c r="AO4065" s="147"/>
      <c r="AP4065" s="147"/>
      <c r="AQ4065" s="147"/>
      <c r="AR4065" s="147"/>
      <c r="AS4065" s="147"/>
      <c r="AT4065" s="147"/>
      <c r="AU4065" s="147"/>
      <c r="AV4065" s="147"/>
      <c r="AW4065" s="147"/>
      <c r="AX4065" s="147"/>
      <c r="AY4065" s="147"/>
      <c r="AZ4065" s="147"/>
      <c r="BA4065" s="147"/>
    </row>
    <row r="4066" spans="1:53" ht="15.75" customHeight="1">
      <c r="A4066" s="99"/>
      <c r="B4066" s="99"/>
      <c r="C4066" s="147"/>
      <c r="D4066" s="147"/>
      <c r="E4066" s="147"/>
      <c r="F4066" s="147"/>
      <c r="G4066" s="147"/>
      <c r="H4066" s="147"/>
      <c r="I4066" s="147"/>
      <c r="J4066" s="147"/>
      <c r="K4066" s="147"/>
      <c r="L4066" s="147"/>
      <c r="M4066" s="147"/>
      <c r="N4066" s="147"/>
      <c r="O4066" s="147"/>
      <c r="P4066" s="147"/>
      <c r="Q4066" s="147"/>
      <c r="R4066" s="147"/>
      <c r="S4066" s="147"/>
      <c r="T4066" s="147"/>
      <c r="U4066" s="147"/>
      <c r="V4066" s="147"/>
      <c r="W4066" s="147"/>
      <c r="X4066" s="147"/>
      <c r="Y4066" s="147"/>
      <c r="Z4066" s="147"/>
      <c r="AA4066" s="147"/>
      <c r="AB4066" s="147"/>
      <c r="AC4066" s="147"/>
      <c r="AD4066" s="147"/>
      <c r="AE4066" s="147"/>
      <c r="AF4066" s="147"/>
      <c r="AG4066" s="147"/>
      <c r="AH4066" s="147"/>
      <c r="AI4066" s="147"/>
      <c r="AJ4066" s="147"/>
      <c r="AK4066" s="147"/>
      <c r="AL4066" s="147"/>
      <c r="AM4066" s="147"/>
      <c r="AN4066" s="147"/>
      <c r="AO4066" s="147"/>
      <c r="AP4066" s="147"/>
      <c r="AQ4066" s="147"/>
      <c r="AR4066" s="147"/>
      <c r="AS4066" s="147"/>
      <c r="AT4066" s="147"/>
      <c r="AU4066" s="147"/>
      <c r="AV4066" s="147"/>
      <c r="AW4066" s="147"/>
      <c r="AX4066" s="147"/>
      <c r="AY4066" s="147"/>
      <c r="AZ4066" s="147"/>
      <c r="BA4066" s="147"/>
    </row>
    <row r="4067" spans="1:53" ht="15.75" customHeight="1">
      <c r="A4067" s="99"/>
      <c r="B4067" s="99"/>
      <c r="C4067" s="147"/>
      <c r="D4067" s="147"/>
      <c r="E4067" s="147"/>
      <c r="F4067" s="147"/>
      <c r="G4067" s="147"/>
      <c r="H4067" s="147"/>
      <c r="I4067" s="147"/>
      <c r="J4067" s="147"/>
      <c r="K4067" s="147"/>
      <c r="L4067" s="147"/>
      <c r="M4067" s="147"/>
      <c r="N4067" s="147"/>
      <c r="O4067" s="147"/>
      <c r="P4067" s="147"/>
      <c r="Q4067" s="147"/>
      <c r="R4067" s="147"/>
      <c r="S4067" s="147"/>
      <c r="T4067" s="147"/>
      <c r="U4067" s="147"/>
      <c r="V4067" s="147"/>
      <c r="W4067" s="147"/>
      <c r="X4067" s="147"/>
      <c r="Y4067" s="147"/>
      <c r="Z4067" s="147"/>
      <c r="AA4067" s="147"/>
      <c r="AB4067" s="147"/>
      <c r="AC4067" s="147"/>
      <c r="AD4067" s="147"/>
      <c r="AE4067" s="147"/>
      <c r="AF4067" s="147"/>
      <c r="AG4067" s="147"/>
      <c r="AH4067" s="147"/>
      <c r="AI4067" s="147"/>
      <c r="AJ4067" s="147"/>
      <c r="AK4067" s="147"/>
      <c r="AL4067" s="147"/>
      <c r="AM4067" s="147"/>
      <c r="AN4067" s="147"/>
      <c r="AO4067" s="147"/>
      <c r="AP4067" s="147"/>
      <c r="AQ4067" s="147"/>
      <c r="AR4067" s="147"/>
      <c r="AS4067" s="147"/>
      <c r="AT4067" s="147"/>
      <c r="AU4067" s="147"/>
      <c r="AV4067" s="147"/>
      <c r="AW4067" s="147"/>
      <c r="AX4067" s="147"/>
      <c r="AY4067" s="147"/>
      <c r="AZ4067" s="147"/>
      <c r="BA4067" s="147"/>
    </row>
    <row r="4068" spans="1:53" ht="15.75" customHeight="1">
      <c r="A4068" s="99"/>
      <c r="B4068" s="99"/>
      <c r="C4068" s="147"/>
      <c r="D4068" s="147"/>
      <c r="E4068" s="147"/>
      <c r="F4068" s="147"/>
      <c r="G4068" s="147"/>
      <c r="H4068" s="147"/>
      <c r="I4068" s="147"/>
      <c r="J4068" s="147"/>
      <c r="K4068" s="147"/>
      <c r="L4068" s="147"/>
      <c r="M4068" s="147"/>
      <c r="N4068" s="147"/>
      <c r="O4068" s="147"/>
      <c r="P4068" s="147"/>
      <c r="Q4068" s="147"/>
      <c r="R4068" s="147"/>
      <c r="S4068" s="147"/>
      <c r="T4068" s="147"/>
      <c r="U4068" s="147"/>
      <c r="V4068" s="147"/>
      <c r="W4068" s="147"/>
      <c r="X4068" s="147"/>
      <c r="Y4068" s="147"/>
      <c r="Z4068" s="147"/>
      <c r="AA4068" s="147"/>
      <c r="AB4068" s="147"/>
      <c r="AC4068" s="147"/>
      <c r="AD4068" s="147"/>
      <c r="AE4068" s="147"/>
      <c r="AF4068" s="147"/>
      <c r="AG4068" s="147"/>
      <c r="AH4068" s="147"/>
      <c r="AI4068" s="147"/>
      <c r="AJ4068" s="147"/>
      <c r="AK4068" s="147"/>
      <c r="AL4068" s="147"/>
      <c r="AM4068" s="147"/>
      <c r="AN4068" s="147"/>
      <c r="AO4068" s="147"/>
      <c r="AP4068" s="147"/>
      <c r="AQ4068" s="147"/>
      <c r="AR4068" s="147"/>
      <c r="AS4068" s="147"/>
      <c r="AT4068" s="147"/>
      <c r="AU4068" s="147"/>
      <c r="AV4068" s="147"/>
      <c r="AW4068" s="147"/>
      <c r="AX4068" s="147"/>
      <c r="AY4068" s="147"/>
      <c r="AZ4068" s="147"/>
      <c r="BA4068" s="147"/>
    </row>
    <row r="4069" spans="1:53" ht="15.75" customHeight="1">
      <c r="A4069" s="99"/>
      <c r="B4069" s="99"/>
      <c r="C4069" s="147"/>
      <c r="D4069" s="147"/>
      <c r="E4069" s="147"/>
      <c r="F4069" s="147"/>
      <c r="G4069" s="147"/>
      <c r="H4069" s="147"/>
      <c r="I4069" s="147"/>
      <c r="J4069" s="147"/>
      <c r="K4069" s="147"/>
      <c r="L4069" s="147"/>
      <c r="M4069" s="147"/>
      <c r="N4069" s="147"/>
      <c r="O4069" s="147"/>
      <c r="P4069" s="147"/>
      <c r="Q4069" s="147"/>
      <c r="R4069" s="147"/>
      <c r="S4069" s="147"/>
      <c r="T4069" s="147"/>
      <c r="U4069" s="147"/>
      <c r="V4069" s="147"/>
      <c r="W4069" s="147"/>
      <c r="X4069" s="147"/>
      <c r="Y4069" s="147"/>
      <c r="Z4069" s="147"/>
      <c r="AA4069" s="147"/>
      <c r="AB4069" s="147"/>
      <c r="AC4069" s="147"/>
      <c r="AD4069" s="147"/>
      <c r="AE4069" s="147"/>
      <c r="AF4069" s="147"/>
      <c r="AG4069" s="147"/>
      <c r="AH4069" s="147"/>
      <c r="AI4069" s="147"/>
      <c r="AJ4069" s="147"/>
      <c r="AK4069" s="147"/>
      <c r="AL4069" s="147"/>
      <c r="AM4069" s="147"/>
      <c r="AN4069" s="147"/>
      <c r="AO4069" s="147"/>
      <c r="AP4069" s="147"/>
      <c r="AQ4069" s="147"/>
      <c r="AR4069" s="147"/>
      <c r="AS4069" s="147"/>
      <c r="AT4069" s="147"/>
      <c r="AU4069" s="147"/>
      <c r="AV4069" s="147"/>
      <c r="AW4069" s="147"/>
      <c r="AX4069" s="147"/>
      <c r="AY4069" s="147"/>
      <c r="AZ4069" s="147"/>
      <c r="BA4069" s="147"/>
    </row>
    <row r="4070" spans="1:53" ht="15.75" customHeight="1">
      <c r="A4070" s="99"/>
      <c r="B4070" s="99"/>
      <c r="C4070" s="147"/>
      <c r="D4070" s="147"/>
      <c r="E4070" s="147"/>
      <c r="F4070" s="147"/>
      <c r="G4070" s="147"/>
      <c r="H4070" s="147"/>
      <c r="I4070" s="147"/>
      <c r="J4070" s="147"/>
      <c r="K4070" s="147"/>
      <c r="L4070" s="147"/>
      <c r="M4070" s="147"/>
      <c r="N4070" s="147"/>
      <c r="O4070" s="147"/>
      <c r="P4070" s="147"/>
      <c r="Q4070" s="147"/>
      <c r="R4070" s="147"/>
      <c r="S4070" s="147"/>
      <c r="T4070" s="147"/>
      <c r="U4070" s="147"/>
      <c r="V4070" s="147"/>
      <c r="W4070" s="147"/>
      <c r="X4070" s="147"/>
      <c r="Y4070" s="147"/>
      <c r="Z4070" s="147"/>
      <c r="AA4070" s="147"/>
      <c r="AB4070" s="147"/>
      <c r="AC4070" s="147"/>
      <c r="AD4070" s="147"/>
      <c r="AE4070" s="147"/>
      <c r="AF4070" s="147"/>
      <c r="AG4070" s="147"/>
      <c r="AH4070" s="147"/>
      <c r="AI4070" s="147"/>
      <c r="AJ4070" s="147"/>
      <c r="AK4070" s="147"/>
      <c r="AL4070" s="147"/>
      <c r="AM4070" s="147"/>
      <c r="AN4070" s="147"/>
      <c r="AO4070" s="147"/>
      <c r="AP4070" s="147"/>
      <c r="AQ4070" s="147"/>
      <c r="AR4070" s="147"/>
      <c r="AS4070" s="147"/>
      <c r="AT4070" s="147"/>
      <c r="AU4070" s="147"/>
      <c r="AV4070" s="147"/>
      <c r="AW4070" s="147"/>
      <c r="AX4070" s="147"/>
      <c r="AY4070" s="147"/>
      <c r="AZ4070" s="147"/>
      <c r="BA4070" s="147"/>
    </row>
    <row r="4071" spans="1:53" ht="15.75" customHeight="1">
      <c r="A4071" s="99"/>
      <c r="B4071" s="99"/>
      <c r="C4071" s="147"/>
      <c r="D4071" s="147"/>
      <c r="E4071" s="147"/>
      <c r="F4071" s="147"/>
      <c r="G4071" s="147"/>
      <c r="H4071" s="147"/>
      <c r="I4071" s="147"/>
      <c r="J4071" s="147"/>
      <c r="K4071" s="147"/>
      <c r="L4071" s="147"/>
      <c r="M4071" s="147"/>
      <c r="N4071" s="147"/>
      <c r="O4071" s="147"/>
      <c r="P4071" s="147"/>
      <c r="Q4071" s="147"/>
      <c r="R4071" s="147"/>
      <c r="S4071" s="147"/>
      <c r="T4071" s="147"/>
      <c r="U4071" s="147"/>
      <c r="V4071" s="147"/>
      <c r="W4071" s="147"/>
      <c r="X4071" s="147"/>
      <c r="Y4071" s="147"/>
      <c r="Z4071" s="147"/>
      <c r="AA4071" s="147"/>
      <c r="AB4071" s="147"/>
      <c r="AC4071" s="147"/>
      <c r="AD4071" s="147"/>
      <c r="AE4071" s="147"/>
      <c r="AF4071" s="147"/>
      <c r="AG4071" s="147"/>
      <c r="AH4071" s="147"/>
      <c r="AI4071" s="147"/>
      <c r="AJ4071" s="147"/>
      <c r="AK4071" s="147"/>
      <c r="AL4071" s="147"/>
      <c r="AM4071" s="147"/>
      <c r="AN4071" s="147"/>
      <c r="AO4071" s="147"/>
      <c r="AP4071" s="147"/>
      <c r="AQ4071" s="147"/>
      <c r="AR4071" s="147"/>
      <c r="AS4071" s="147"/>
      <c r="AT4071" s="147"/>
      <c r="AU4071" s="147"/>
      <c r="AV4071" s="147"/>
      <c r="AW4071" s="147"/>
      <c r="AX4071" s="147"/>
      <c r="AY4071" s="147"/>
      <c r="AZ4071" s="147"/>
      <c r="BA4071" s="147"/>
    </row>
    <row r="4072" spans="1:53" ht="15.75" customHeight="1">
      <c r="A4072" s="99"/>
      <c r="B4072" s="99"/>
      <c r="C4072" s="147"/>
      <c r="D4072" s="147"/>
      <c r="E4072" s="147"/>
      <c r="F4072" s="147"/>
      <c r="G4072" s="147"/>
      <c r="H4072" s="147"/>
      <c r="I4072" s="147"/>
      <c r="J4072" s="147"/>
      <c r="K4072" s="147"/>
      <c r="L4072" s="147"/>
      <c r="M4072" s="147"/>
      <c r="N4072" s="147"/>
      <c r="O4072" s="147"/>
      <c r="P4072" s="147"/>
      <c r="Q4072" s="147"/>
      <c r="R4072" s="147"/>
      <c r="S4072" s="147"/>
      <c r="T4072" s="147"/>
      <c r="U4072" s="147"/>
      <c r="V4072" s="147"/>
      <c r="W4072" s="147"/>
      <c r="X4072" s="147"/>
      <c r="Y4072" s="147"/>
      <c r="Z4072" s="147"/>
      <c r="AA4072" s="147"/>
      <c r="AB4072" s="147"/>
      <c r="AC4072" s="147"/>
      <c r="AD4072" s="147"/>
      <c r="AE4072" s="147"/>
      <c r="AF4072" s="147"/>
      <c r="AG4072" s="147"/>
      <c r="AH4072" s="147"/>
      <c r="AI4072" s="147"/>
      <c r="AJ4072" s="147"/>
      <c r="AK4072" s="147"/>
      <c r="AL4072" s="147"/>
      <c r="AM4072" s="147"/>
      <c r="AN4072" s="147"/>
      <c r="AO4072" s="147"/>
      <c r="AP4072" s="147"/>
      <c r="AQ4072" s="147"/>
      <c r="AR4072" s="147"/>
      <c r="AS4072" s="147"/>
      <c r="AT4072" s="147"/>
      <c r="AU4072" s="147"/>
      <c r="AV4072" s="147"/>
      <c r="AW4072" s="147"/>
      <c r="AX4072" s="147"/>
      <c r="AY4072" s="147"/>
      <c r="AZ4072" s="147"/>
      <c r="BA4072" s="147"/>
    </row>
    <row r="4073" spans="1:53" ht="15.75" customHeight="1">
      <c r="A4073" s="99"/>
      <c r="B4073" s="99"/>
      <c r="C4073" s="147"/>
      <c r="D4073" s="147"/>
      <c r="E4073" s="147"/>
      <c r="F4073" s="147"/>
      <c r="G4073" s="147"/>
      <c r="H4073" s="147"/>
      <c r="I4073" s="147"/>
      <c r="J4073" s="147"/>
      <c r="K4073" s="147"/>
      <c r="L4073" s="147"/>
      <c r="M4073" s="147"/>
      <c r="N4073" s="147"/>
      <c r="O4073" s="147"/>
      <c r="P4073" s="147"/>
      <c r="Q4073" s="147"/>
      <c r="R4073" s="147"/>
      <c r="S4073" s="147"/>
      <c r="T4073" s="147"/>
      <c r="U4073" s="147"/>
      <c r="V4073" s="147"/>
      <c r="W4073" s="147"/>
      <c r="X4073" s="147"/>
      <c r="Y4073" s="147"/>
      <c r="Z4073" s="147"/>
      <c r="AA4073" s="147"/>
      <c r="AB4073" s="147"/>
      <c r="AC4073" s="147"/>
      <c r="AD4073" s="147"/>
      <c r="AE4073" s="147"/>
      <c r="AF4073" s="147"/>
      <c r="AG4073" s="147"/>
      <c r="AH4073" s="147"/>
      <c r="AI4073" s="147"/>
      <c r="AJ4073" s="147"/>
      <c r="AK4073" s="147"/>
      <c r="AL4073" s="147"/>
      <c r="AM4073" s="147"/>
      <c r="AN4073" s="147"/>
      <c r="AO4073" s="147"/>
      <c r="AP4073" s="147"/>
      <c r="AQ4073" s="147"/>
      <c r="AR4073" s="147"/>
      <c r="AS4073" s="147"/>
      <c r="AT4073" s="147"/>
      <c r="AU4073" s="147"/>
      <c r="AV4073" s="147"/>
      <c r="AW4073" s="147"/>
      <c r="AX4073" s="147"/>
      <c r="AY4073" s="147"/>
      <c r="AZ4073" s="147"/>
      <c r="BA4073" s="147"/>
    </row>
    <row r="4074" spans="1:53" ht="15.75" customHeight="1">
      <c r="A4074" s="99"/>
      <c r="B4074" s="99"/>
      <c r="C4074" s="147"/>
      <c r="D4074" s="147"/>
      <c r="E4074" s="147"/>
      <c r="F4074" s="147"/>
      <c r="G4074" s="147"/>
      <c r="H4074" s="147"/>
      <c r="I4074" s="147"/>
      <c r="J4074" s="147"/>
      <c r="K4074" s="147"/>
      <c r="L4074" s="147"/>
      <c r="M4074" s="147"/>
      <c r="N4074" s="147"/>
      <c r="O4074" s="147"/>
      <c r="P4074" s="147"/>
      <c r="Q4074" s="147"/>
      <c r="R4074" s="147"/>
      <c r="S4074" s="147"/>
      <c r="T4074" s="147"/>
      <c r="U4074" s="147"/>
      <c r="V4074" s="147"/>
      <c r="W4074" s="147"/>
      <c r="X4074" s="147"/>
      <c r="Y4074" s="147"/>
      <c r="Z4074" s="147"/>
      <c r="AA4074" s="147"/>
      <c r="AB4074" s="147"/>
      <c r="AC4074" s="147"/>
      <c r="AD4074" s="147"/>
      <c r="AE4074" s="147"/>
      <c r="AF4074" s="147"/>
      <c r="AG4074" s="147"/>
      <c r="AH4074" s="147"/>
      <c r="AI4074" s="147"/>
      <c r="AJ4074" s="147"/>
      <c r="AK4074" s="147"/>
      <c r="AL4074" s="147"/>
      <c r="AM4074" s="147"/>
      <c r="AN4074" s="147"/>
      <c r="AO4074" s="147"/>
      <c r="AP4074" s="147"/>
      <c r="AQ4074" s="147"/>
      <c r="AR4074" s="147"/>
      <c r="AS4074" s="147"/>
      <c r="AT4074" s="147"/>
      <c r="AU4074" s="147"/>
      <c r="AV4074" s="147"/>
      <c r="AW4074" s="147"/>
      <c r="AX4074" s="147"/>
      <c r="AY4074" s="147"/>
      <c r="AZ4074" s="147"/>
      <c r="BA4074" s="147"/>
    </row>
    <row r="4075" spans="1:53" ht="15.75" customHeight="1">
      <c r="A4075" s="99"/>
      <c r="B4075" s="99"/>
      <c r="C4075" s="147"/>
      <c r="D4075" s="147"/>
      <c r="E4075" s="147"/>
      <c r="F4075" s="147"/>
      <c r="G4075" s="147"/>
      <c r="H4075" s="147"/>
      <c r="I4075" s="147"/>
      <c r="J4075" s="147"/>
      <c r="K4075" s="147"/>
      <c r="L4075" s="147"/>
      <c r="M4075" s="147"/>
      <c r="N4075" s="147"/>
      <c r="O4075" s="147"/>
      <c r="P4075" s="147"/>
      <c r="Q4075" s="147"/>
      <c r="R4075" s="147"/>
      <c r="S4075" s="147"/>
      <c r="T4075" s="147"/>
      <c r="U4075" s="147"/>
      <c r="V4075" s="147"/>
      <c r="W4075" s="147"/>
      <c r="X4075" s="147"/>
      <c r="Y4075" s="147"/>
      <c r="Z4075" s="147"/>
      <c r="AA4075" s="147"/>
      <c r="AB4075" s="147"/>
      <c r="AC4075" s="147"/>
      <c r="AD4075" s="147"/>
      <c r="AE4075" s="147"/>
      <c r="AF4075" s="147"/>
      <c r="AG4075" s="147"/>
      <c r="AH4075" s="147"/>
      <c r="AI4075" s="147"/>
      <c r="AJ4075" s="147"/>
      <c r="AK4075" s="147"/>
      <c r="AL4075" s="147"/>
      <c r="AM4075" s="147"/>
      <c r="AN4075" s="147"/>
      <c r="AO4075" s="147"/>
      <c r="AP4075" s="147"/>
      <c r="AQ4075" s="147"/>
      <c r="AR4075" s="147"/>
      <c r="AS4075" s="147"/>
      <c r="AT4075" s="147"/>
      <c r="AU4075" s="147"/>
      <c r="AV4075" s="147"/>
      <c r="AW4075" s="147"/>
      <c r="AX4075" s="147"/>
      <c r="AY4075" s="147"/>
      <c r="AZ4075" s="147"/>
      <c r="BA4075" s="147"/>
    </row>
    <row r="4076" spans="1:53" ht="15.75" customHeight="1">
      <c r="A4076" s="99"/>
      <c r="B4076" s="99"/>
      <c r="C4076" s="147"/>
      <c r="D4076" s="147"/>
      <c r="E4076" s="147"/>
      <c r="F4076" s="147"/>
      <c r="G4076" s="147"/>
      <c r="H4076" s="147"/>
      <c r="I4076" s="147"/>
      <c r="J4076" s="147"/>
      <c r="K4076" s="147"/>
      <c r="L4076" s="147"/>
      <c r="M4076" s="147"/>
      <c r="N4076" s="147"/>
      <c r="O4076" s="147"/>
      <c r="P4076" s="147"/>
      <c r="Q4076" s="147"/>
      <c r="R4076" s="147"/>
      <c r="S4076" s="147"/>
      <c r="T4076" s="147"/>
      <c r="U4076" s="147"/>
      <c r="V4076" s="147"/>
      <c r="W4076" s="147"/>
      <c r="X4076" s="147"/>
      <c r="Y4076" s="147"/>
      <c r="Z4076" s="147"/>
      <c r="AA4076" s="147"/>
      <c r="AB4076" s="147"/>
      <c r="AC4076" s="147"/>
      <c r="AD4076" s="147"/>
      <c r="AE4076" s="147"/>
      <c r="AF4076" s="147"/>
      <c r="AG4076" s="147"/>
      <c r="AH4076" s="147"/>
      <c r="AI4076" s="147"/>
      <c r="AJ4076" s="147"/>
      <c r="AK4076" s="147"/>
      <c r="AL4076" s="147"/>
      <c r="AM4076" s="147"/>
      <c r="AN4076" s="147"/>
      <c r="AO4076" s="147"/>
      <c r="AP4076" s="147"/>
      <c r="AQ4076" s="147"/>
      <c r="AR4076" s="147"/>
      <c r="AS4076" s="147"/>
      <c r="AT4076" s="147"/>
      <c r="AU4076" s="147"/>
      <c r="AV4076" s="147"/>
      <c r="AW4076" s="147"/>
      <c r="AX4076" s="147"/>
      <c r="AY4076" s="147"/>
      <c r="AZ4076" s="147"/>
      <c r="BA4076" s="147"/>
    </row>
    <row r="4077" spans="1:53" ht="15.75" customHeight="1">
      <c r="A4077" s="99"/>
      <c r="B4077" s="99"/>
      <c r="C4077" s="147"/>
      <c r="D4077" s="147"/>
      <c r="E4077" s="147"/>
      <c r="F4077" s="147"/>
      <c r="G4077" s="147"/>
      <c r="H4077" s="147"/>
      <c r="I4077" s="147"/>
      <c r="J4077" s="147"/>
      <c r="K4077" s="147"/>
      <c r="L4077" s="147"/>
      <c r="M4077" s="147"/>
      <c r="N4077" s="147"/>
      <c r="O4077" s="147"/>
      <c r="P4077" s="147"/>
      <c r="Q4077" s="147"/>
      <c r="R4077" s="147"/>
      <c r="S4077" s="147"/>
      <c r="T4077" s="147"/>
      <c r="U4077" s="147"/>
      <c r="V4077" s="147"/>
      <c r="W4077" s="147"/>
      <c r="X4077" s="147"/>
      <c r="Y4077" s="147"/>
      <c r="Z4077" s="147"/>
      <c r="AA4077" s="147"/>
      <c r="AB4077" s="147"/>
      <c r="AC4077" s="147"/>
      <c r="AD4077" s="147"/>
      <c r="AE4077" s="147"/>
      <c r="AF4077" s="147"/>
      <c r="AG4077" s="147"/>
      <c r="AH4077" s="147"/>
      <c r="AI4077" s="147"/>
      <c r="AJ4077" s="147"/>
      <c r="AK4077" s="147"/>
      <c r="AL4077" s="147"/>
      <c r="AM4077" s="147"/>
      <c r="AN4077" s="147"/>
      <c r="AO4077" s="147"/>
      <c r="AP4077" s="147"/>
      <c r="AQ4077" s="147"/>
      <c r="AR4077" s="147"/>
      <c r="AS4077" s="147"/>
      <c r="AT4077" s="147"/>
      <c r="AU4077" s="147"/>
      <c r="AV4077" s="147"/>
      <c r="AW4077" s="147"/>
      <c r="AX4077" s="147"/>
      <c r="AY4077" s="147"/>
      <c r="AZ4077" s="147"/>
      <c r="BA4077" s="147"/>
    </row>
    <row r="4078" spans="1:53" ht="15.75" customHeight="1">
      <c r="A4078" s="99"/>
      <c r="B4078" s="99"/>
      <c r="C4078" s="147"/>
      <c r="D4078" s="147"/>
      <c r="E4078" s="147"/>
      <c r="F4078" s="147"/>
      <c r="G4078" s="147"/>
      <c r="H4078" s="147"/>
      <c r="I4078" s="147"/>
      <c r="J4078" s="147"/>
      <c r="K4078" s="147"/>
      <c r="L4078" s="147"/>
      <c r="M4078" s="147"/>
      <c r="N4078" s="147"/>
      <c r="O4078" s="147"/>
      <c r="P4078" s="147"/>
      <c r="Q4078" s="147"/>
      <c r="R4078" s="147"/>
      <c r="S4078" s="147"/>
      <c r="T4078" s="147"/>
      <c r="U4078" s="147"/>
      <c r="V4078" s="147"/>
      <c r="W4078" s="147"/>
      <c r="X4078" s="147"/>
      <c r="Y4078" s="147"/>
      <c r="Z4078" s="147"/>
      <c r="AA4078" s="147"/>
      <c r="AB4078" s="147"/>
      <c r="AC4078" s="147"/>
      <c r="AD4078" s="147"/>
      <c r="AE4078" s="147"/>
      <c r="AF4078" s="147"/>
      <c r="AG4078" s="147"/>
      <c r="AH4078" s="147"/>
      <c r="AI4078" s="147"/>
      <c r="AJ4078" s="147"/>
      <c r="AK4078" s="147"/>
      <c r="AL4078" s="147"/>
      <c r="AM4078" s="147"/>
      <c r="AN4078" s="147"/>
      <c r="AO4078" s="147"/>
      <c r="AP4078" s="147"/>
      <c r="AQ4078" s="147"/>
      <c r="AR4078" s="147"/>
      <c r="AS4078" s="147"/>
      <c r="AT4078" s="147"/>
      <c r="AU4078" s="147"/>
      <c r="AV4078" s="147"/>
      <c r="AW4078" s="147"/>
      <c r="AX4078" s="147"/>
      <c r="AY4078" s="147"/>
      <c r="AZ4078" s="147"/>
      <c r="BA4078" s="147"/>
    </row>
    <row r="4079" spans="1:53" ht="15.75" customHeight="1">
      <c r="A4079" s="99"/>
      <c r="B4079" s="99"/>
      <c r="C4079" s="147"/>
      <c r="D4079" s="147"/>
      <c r="E4079" s="147"/>
      <c r="F4079" s="147"/>
      <c r="G4079" s="147"/>
      <c r="H4079" s="147"/>
      <c r="I4079" s="147"/>
      <c r="J4079" s="147"/>
      <c r="K4079" s="147"/>
      <c r="L4079" s="147"/>
      <c r="M4079" s="147"/>
      <c r="N4079" s="147"/>
      <c r="O4079" s="147"/>
      <c r="P4079" s="147"/>
      <c r="Q4079" s="147"/>
      <c r="R4079" s="147"/>
      <c r="S4079" s="147"/>
      <c r="T4079" s="147"/>
      <c r="U4079" s="147"/>
      <c r="V4079" s="147"/>
      <c r="W4079" s="147"/>
      <c r="X4079" s="147"/>
      <c r="Y4079" s="147"/>
      <c r="Z4079" s="147"/>
      <c r="AA4079" s="147"/>
      <c r="AB4079" s="147"/>
      <c r="AC4079" s="147"/>
      <c r="AD4079" s="147"/>
      <c r="AE4079" s="147"/>
      <c r="AF4079" s="147"/>
      <c r="AG4079" s="147"/>
      <c r="AH4079" s="147"/>
      <c r="AI4079" s="147"/>
      <c r="AJ4079" s="147"/>
      <c r="AK4079" s="147"/>
      <c r="AL4079" s="147"/>
      <c r="AM4079" s="147"/>
      <c r="AN4079" s="147"/>
      <c r="AO4079" s="147"/>
      <c r="AP4079" s="147"/>
      <c r="AQ4079" s="147"/>
      <c r="AR4079" s="147"/>
      <c r="AS4079" s="147"/>
      <c r="AT4079" s="147"/>
      <c r="AU4079" s="147"/>
      <c r="AV4079" s="147"/>
      <c r="AW4079" s="147"/>
      <c r="AX4079" s="147"/>
      <c r="AY4079" s="147"/>
      <c r="AZ4079" s="147"/>
      <c r="BA4079" s="147"/>
    </row>
    <row r="4080" spans="1:53" ht="15.75" customHeight="1">
      <c r="A4080" s="99"/>
      <c r="B4080" s="99"/>
      <c r="C4080" s="147"/>
      <c r="D4080" s="147"/>
      <c r="E4080" s="147"/>
      <c r="F4080" s="147"/>
      <c r="G4080" s="147"/>
      <c r="H4080" s="147"/>
      <c r="I4080" s="147"/>
      <c r="J4080" s="147"/>
      <c r="K4080" s="147"/>
      <c r="L4080" s="147"/>
      <c r="M4080" s="147"/>
      <c r="N4080" s="147"/>
      <c r="O4080" s="147"/>
      <c r="P4080" s="147"/>
      <c r="Q4080" s="147"/>
      <c r="R4080" s="147"/>
      <c r="S4080" s="147"/>
      <c r="T4080" s="147"/>
      <c r="U4080" s="147"/>
      <c r="V4080" s="147"/>
      <c r="W4080" s="147"/>
      <c r="X4080" s="147"/>
      <c r="Y4080" s="147"/>
      <c r="Z4080" s="147"/>
      <c r="AA4080" s="147"/>
      <c r="AB4080" s="147"/>
      <c r="AC4080" s="147"/>
      <c r="AD4080" s="147"/>
      <c r="AE4080" s="147"/>
      <c r="AF4080" s="147"/>
      <c r="AG4080" s="147"/>
      <c r="AH4080" s="147"/>
      <c r="AI4080" s="147"/>
      <c r="AJ4080" s="147"/>
      <c r="AK4080" s="147"/>
      <c r="AL4080" s="147"/>
      <c r="AM4080" s="147"/>
      <c r="AN4080" s="147"/>
      <c r="AO4080" s="147"/>
      <c r="AP4080" s="147"/>
      <c r="AQ4080" s="147"/>
      <c r="AR4080" s="147"/>
      <c r="AS4080" s="147"/>
      <c r="AT4080" s="147"/>
      <c r="AU4080" s="147"/>
      <c r="AV4080" s="147"/>
      <c r="AW4080" s="147"/>
      <c r="AX4080" s="147"/>
      <c r="AY4080" s="147"/>
      <c r="AZ4080" s="147"/>
      <c r="BA4080" s="147"/>
    </row>
    <row r="4081" spans="1:53" ht="15.75" customHeight="1">
      <c r="A4081" s="99"/>
      <c r="B4081" s="99"/>
      <c r="C4081" s="147"/>
      <c r="D4081" s="147"/>
      <c r="E4081" s="147"/>
      <c r="F4081" s="147"/>
      <c r="G4081" s="147"/>
      <c r="H4081" s="147"/>
      <c r="I4081" s="147"/>
      <c r="J4081" s="147"/>
      <c r="K4081" s="147"/>
      <c r="L4081" s="147"/>
      <c r="M4081" s="147"/>
      <c r="N4081" s="147"/>
      <c r="O4081" s="147"/>
      <c r="P4081" s="147"/>
      <c r="Q4081" s="147"/>
      <c r="R4081" s="147"/>
      <c r="S4081" s="147"/>
      <c r="T4081" s="147"/>
      <c r="U4081" s="147"/>
      <c r="V4081" s="147"/>
      <c r="W4081" s="147"/>
      <c r="X4081" s="147"/>
      <c r="Y4081" s="147"/>
      <c r="Z4081" s="147"/>
      <c r="AA4081" s="147"/>
      <c r="AB4081" s="147"/>
      <c r="AC4081" s="147"/>
      <c r="AD4081" s="147"/>
      <c r="AE4081" s="147"/>
      <c r="AF4081" s="147"/>
      <c r="AG4081" s="147"/>
      <c r="AH4081" s="147"/>
      <c r="AI4081" s="147"/>
      <c r="AJ4081" s="147"/>
      <c r="AK4081" s="147"/>
      <c r="AL4081" s="147"/>
      <c r="AM4081" s="147"/>
      <c r="AN4081" s="147"/>
      <c r="AO4081" s="147"/>
      <c r="AP4081" s="147"/>
      <c r="AQ4081" s="147"/>
      <c r="AR4081" s="147"/>
      <c r="AS4081" s="147"/>
      <c r="AT4081" s="147"/>
      <c r="AU4081" s="147"/>
      <c r="AV4081" s="147"/>
      <c r="AW4081" s="147"/>
      <c r="AX4081" s="147"/>
      <c r="AY4081" s="147"/>
      <c r="AZ4081" s="147"/>
      <c r="BA4081" s="147"/>
    </row>
    <row r="4082" spans="1:53" ht="15.75" customHeight="1">
      <c r="A4082" s="99"/>
      <c r="B4082" s="99"/>
      <c r="C4082" s="147"/>
      <c r="D4082" s="147"/>
      <c r="E4082" s="147"/>
      <c r="F4082" s="147"/>
      <c r="G4082" s="147"/>
      <c r="H4082" s="147"/>
      <c r="I4082" s="147"/>
      <c r="J4082" s="147"/>
      <c r="K4082" s="147"/>
      <c r="L4082" s="147"/>
      <c r="M4082" s="147"/>
      <c r="N4082" s="147"/>
      <c r="O4082" s="147"/>
      <c r="P4082" s="147"/>
      <c r="Q4082" s="147"/>
      <c r="R4082" s="147"/>
      <c r="S4082" s="147"/>
      <c r="T4082" s="147"/>
      <c r="U4082" s="147"/>
      <c r="V4082" s="147"/>
      <c r="W4082" s="147"/>
      <c r="X4082" s="147"/>
      <c r="Y4082" s="147"/>
      <c r="Z4082" s="147"/>
      <c r="AA4082" s="147"/>
      <c r="AB4082" s="147"/>
      <c r="AC4082" s="147"/>
      <c r="AD4082" s="147"/>
      <c r="AE4082" s="147"/>
      <c r="AF4082" s="147"/>
      <c r="AG4082" s="147"/>
      <c r="AH4082" s="147"/>
      <c r="AI4082" s="147"/>
      <c r="AJ4082" s="147"/>
      <c r="AK4082" s="147"/>
      <c r="AL4082" s="147"/>
      <c r="AM4082" s="147"/>
      <c r="AN4082" s="147"/>
      <c r="AO4082" s="147"/>
      <c r="AP4082" s="147"/>
      <c r="AQ4082" s="147"/>
      <c r="AR4082" s="147"/>
      <c r="AS4082" s="147"/>
      <c r="AT4082" s="147"/>
      <c r="AU4082" s="147"/>
      <c r="AV4082" s="147"/>
      <c r="AW4082" s="147"/>
      <c r="AX4082" s="147"/>
      <c r="AY4082" s="147"/>
      <c r="AZ4082" s="147"/>
      <c r="BA4082" s="147"/>
    </row>
    <row r="4083" spans="1:53" ht="15.75" customHeight="1">
      <c r="A4083" s="99"/>
      <c r="B4083" s="99"/>
      <c r="C4083" s="147"/>
      <c r="D4083" s="147"/>
      <c r="E4083" s="147"/>
      <c r="F4083" s="147"/>
      <c r="G4083" s="147"/>
      <c r="H4083" s="147"/>
      <c r="I4083" s="147"/>
      <c r="J4083" s="147"/>
      <c r="K4083" s="147"/>
      <c r="L4083" s="147"/>
      <c r="M4083" s="147"/>
      <c r="N4083" s="147"/>
      <c r="O4083" s="147"/>
      <c r="P4083" s="147"/>
      <c r="Q4083" s="147"/>
      <c r="R4083" s="147"/>
      <c r="S4083" s="147"/>
      <c r="T4083" s="147"/>
      <c r="U4083" s="147"/>
      <c r="V4083" s="147"/>
      <c r="W4083" s="147"/>
      <c r="X4083" s="147"/>
      <c r="Y4083" s="147"/>
      <c r="Z4083" s="147"/>
      <c r="AA4083" s="147"/>
      <c r="AB4083" s="147"/>
      <c r="AC4083" s="147"/>
      <c r="AD4083" s="147"/>
      <c r="AE4083" s="147"/>
      <c r="AF4083" s="147"/>
      <c r="AG4083" s="147"/>
      <c r="AH4083" s="147"/>
      <c r="AI4083" s="147"/>
      <c r="AJ4083" s="147"/>
      <c r="AK4083" s="147"/>
      <c r="AL4083" s="147"/>
      <c r="AM4083" s="147"/>
      <c r="AN4083" s="147"/>
      <c r="AO4083" s="147"/>
      <c r="AP4083" s="147"/>
      <c r="AQ4083" s="147"/>
      <c r="AR4083" s="147"/>
      <c r="AS4083" s="147"/>
      <c r="AT4083" s="147"/>
      <c r="AU4083" s="147"/>
      <c r="AV4083" s="147"/>
      <c r="AW4083" s="147"/>
      <c r="AX4083" s="147"/>
      <c r="AY4083" s="147"/>
      <c r="AZ4083" s="147"/>
      <c r="BA4083" s="147"/>
    </row>
    <row r="4084" spans="1:53" ht="15.75" customHeight="1">
      <c r="A4084" s="99"/>
      <c r="B4084" s="99"/>
      <c r="C4084" s="147"/>
      <c r="D4084" s="147"/>
      <c r="E4084" s="147"/>
      <c r="F4084" s="147"/>
      <c r="G4084" s="147"/>
      <c r="H4084" s="147"/>
      <c r="I4084" s="147"/>
      <c r="J4084" s="147"/>
      <c r="K4084" s="147"/>
      <c r="L4084" s="147"/>
      <c r="M4084" s="147"/>
      <c r="N4084" s="147"/>
      <c r="O4084" s="147"/>
      <c r="P4084" s="147"/>
      <c r="Q4084" s="147"/>
      <c r="R4084" s="147"/>
      <c r="S4084" s="147"/>
      <c r="T4084" s="147"/>
      <c r="U4084" s="147"/>
      <c r="V4084" s="147"/>
      <c r="W4084" s="147"/>
      <c r="X4084" s="147"/>
      <c r="Y4084" s="147"/>
      <c r="Z4084" s="147"/>
      <c r="AA4084" s="147"/>
      <c r="AB4084" s="147"/>
      <c r="AC4084" s="147"/>
      <c r="AD4084" s="147"/>
      <c r="AE4084" s="147"/>
      <c r="AF4084" s="147"/>
      <c r="AG4084" s="147"/>
      <c r="AH4084" s="147"/>
      <c r="AI4084" s="147"/>
      <c r="AJ4084" s="147"/>
      <c r="AK4084" s="147"/>
      <c r="AL4084" s="147"/>
      <c r="AM4084" s="147"/>
      <c r="AN4084" s="147"/>
      <c r="AO4084" s="147"/>
      <c r="AP4084" s="147"/>
      <c r="AQ4084" s="147"/>
      <c r="AR4084" s="147"/>
      <c r="AS4084" s="147"/>
      <c r="AT4084" s="147"/>
      <c r="AU4084" s="147"/>
      <c r="AV4084" s="147"/>
      <c r="AW4084" s="147"/>
      <c r="AX4084" s="147"/>
      <c r="AY4084" s="147"/>
      <c r="AZ4084" s="147"/>
      <c r="BA4084" s="147"/>
    </row>
    <row r="4085" spans="1:53" ht="15.75" customHeight="1">
      <c r="A4085" s="99"/>
      <c r="B4085" s="99"/>
      <c r="C4085" s="147"/>
      <c r="D4085" s="147"/>
      <c r="E4085" s="147"/>
      <c r="F4085" s="147"/>
      <c r="G4085" s="147"/>
      <c r="H4085" s="147"/>
      <c r="I4085" s="147"/>
      <c r="J4085" s="147"/>
      <c r="K4085" s="147"/>
      <c r="L4085" s="147"/>
      <c r="M4085" s="147"/>
      <c r="N4085" s="147"/>
      <c r="O4085" s="147"/>
      <c r="P4085" s="147"/>
      <c r="Q4085" s="147"/>
      <c r="R4085" s="147"/>
      <c r="S4085" s="147"/>
      <c r="T4085" s="147"/>
      <c r="U4085" s="147"/>
      <c r="V4085" s="147"/>
      <c r="W4085" s="147"/>
      <c r="X4085" s="147"/>
      <c r="Y4085" s="147"/>
      <c r="Z4085" s="147"/>
      <c r="AA4085" s="147"/>
      <c r="AB4085" s="147"/>
      <c r="AC4085" s="147"/>
      <c r="AD4085" s="147"/>
      <c r="AE4085" s="147"/>
      <c r="AF4085" s="147"/>
      <c r="AG4085" s="147"/>
      <c r="AH4085" s="147"/>
      <c r="AI4085" s="147"/>
      <c r="AJ4085" s="147"/>
      <c r="AK4085" s="147"/>
      <c r="AL4085" s="147"/>
      <c r="AM4085" s="147"/>
      <c r="AN4085" s="147"/>
      <c r="AO4085" s="147"/>
      <c r="AP4085" s="147"/>
      <c r="AQ4085" s="147"/>
      <c r="AR4085" s="147"/>
      <c r="AS4085" s="147"/>
      <c r="AT4085" s="147"/>
      <c r="AU4085" s="147"/>
      <c r="AV4085" s="147"/>
      <c r="AW4085" s="147"/>
      <c r="AX4085" s="147"/>
      <c r="AY4085" s="147"/>
      <c r="AZ4085" s="147"/>
      <c r="BA4085" s="147"/>
    </row>
    <row r="4086" spans="1:53" ht="15.75" customHeight="1">
      <c r="A4086" s="99"/>
      <c r="B4086" s="99"/>
      <c r="C4086" s="147"/>
      <c r="D4086" s="147"/>
      <c r="E4086" s="147"/>
      <c r="F4086" s="147"/>
      <c r="G4086" s="147"/>
      <c r="H4086" s="147"/>
      <c r="I4086" s="147"/>
      <c r="J4086" s="147"/>
      <c r="K4086" s="147"/>
      <c r="L4086" s="147"/>
      <c r="M4086" s="147"/>
      <c r="N4086" s="147"/>
      <c r="O4086" s="147"/>
      <c r="P4086" s="147"/>
      <c r="Q4086" s="147"/>
      <c r="R4086" s="147"/>
      <c r="S4086" s="147"/>
      <c r="T4086" s="147"/>
      <c r="U4086" s="147"/>
      <c r="V4086" s="147"/>
      <c r="W4086" s="147"/>
      <c r="X4086" s="147"/>
      <c r="Y4086" s="147"/>
      <c r="Z4086" s="147"/>
      <c r="AA4086" s="147"/>
      <c r="AB4086" s="147"/>
      <c r="AC4086" s="147"/>
      <c r="AD4086" s="147"/>
      <c r="AE4086" s="147"/>
      <c r="AF4086" s="147"/>
      <c r="AG4086" s="147"/>
      <c r="AH4086" s="147"/>
      <c r="AI4086" s="147"/>
      <c r="AJ4086" s="147"/>
      <c r="AK4086" s="147"/>
      <c r="AL4086" s="147"/>
      <c r="AM4086" s="147"/>
      <c r="AN4086" s="147"/>
      <c r="AO4086" s="147"/>
      <c r="AP4086" s="147"/>
      <c r="AQ4086" s="147"/>
      <c r="AR4086" s="147"/>
      <c r="AS4086" s="147"/>
      <c r="AT4086" s="147"/>
      <c r="AU4086" s="147"/>
      <c r="AV4086" s="147"/>
      <c r="AW4086" s="147"/>
      <c r="AX4086" s="147"/>
      <c r="AY4086" s="147"/>
      <c r="AZ4086" s="147"/>
      <c r="BA4086" s="147"/>
    </row>
    <row r="4087" spans="1:53" ht="15.75" customHeight="1">
      <c r="A4087" s="99"/>
      <c r="B4087" s="99"/>
      <c r="C4087" s="147"/>
      <c r="D4087" s="147"/>
      <c r="E4087" s="147"/>
      <c r="F4087" s="147"/>
      <c r="G4087" s="147"/>
      <c r="H4087" s="147"/>
      <c r="I4087" s="147"/>
      <c r="J4087" s="147"/>
      <c r="K4087" s="147"/>
      <c r="L4087" s="147"/>
      <c r="M4087" s="147"/>
      <c r="N4087" s="147"/>
      <c r="O4087" s="147"/>
      <c r="P4087" s="147"/>
      <c r="Q4087" s="147"/>
      <c r="R4087" s="147"/>
      <c r="S4087" s="147"/>
      <c r="T4087" s="147"/>
      <c r="U4087" s="147"/>
      <c r="V4087" s="147"/>
      <c r="W4087" s="147"/>
      <c r="X4087" s="147"/>
      <c r="Y4087" s="147"/>
      <c r="Z4087" s="147"/>
      <c r="AA4087" s="147"/>
      <c r="AB4087" s="147"/>
      <c r="AC4087" s="147"/>
      <c r="AD4087" s="147"/>
      <c r="AE4087" s="147"/>
      <c r="AF4087" s="147"/>
      <c r="AG4087" s="147"/>
      <c r="AH4087" s="147"/>
      <c r="AI4087" s="147"/>
      <c r="AJ4087" s="147"/>
      <c r="AK4087" s="147"/>
      <c r="AL4087" s="147"/>
      <c r="AM4087" s="147"/>
      <c r="AN4087" s="147"/>
      <c r="AO4087" s="147"/>
      <c r="AP4087" s="147"/>
      <c r="AQ4087" s="147"/>
      <c r="AR4087" s="147"/>
      <c r="AS4087" s="147"/>
      <c r="AT4087" s="147"/>
      <c r="AU4087" s="147"/>
      <c r="AV4087" s="147"/>
      <c r="AW4087" s="147"/>
      <c r="AX4087" s="147"/>
      <c r="AY4087" s="147"/>
      <c r="AZ4087" s="147"/>
      <c r="BA4087" s="147"/>
    </row>
    <row r="4088" spans="1:53" ht="15.75" customHeight="1">
      <c r="A4088" s="99"/>
      <c r="B4088" s="99"/>
      <c r="C4088" s="147"/>
      <c r="D4088" s="147"/>
      <c r="E4088" s="147"/>
      <c r="F4088" s="147"/>
      <c r="G4088" s="147"/>
      <c r="H4088" s="147"/>
      <c r="I4088" s="147"/>
      <c r="J4088" s="147"/>
      <c r="K4088" s="147"/>
      <c r="L4088" s="147"/>
      <c r="M4088" s="147"/>
      <c r="N4088" s="147"/>
      <c r="O4088" s="147"/>
      <c r="P4088" s="147"/>
      <c r="Q4088" s="147"/>
      <c r="R4088" s="147"/>
      <c r="S4088" s="147"/>
      <c r="T4088" s="147"/>
      <c r="U4088" s="147"/>
      <c r="V4088" s="147"/>
      <c r="W4088" s="147"/>
      <c r="X4088" s="147"/>
      <c r="Y4088" s="147"/>
      <c r="Z4088" s="147"/>
      <c r="AA4088" s="147"/>
      <c r="AB4088" s="147"/>
      <c r="AC4088" s="147"/>
      <c r="AD4088" s="147"/>
      <c r="AE4088" s="147"/>
      <c r="AF4088" s="147"/>
      <c r="AG4088" s="147"/>
      <c r="AH4088" s="147"/>
      <c r="AI4088" s="147"/>
      <c r="AJ4088" s="147"/>
      <c r="AK4088" s="147"/>
      <c r="AL4088" s="147"/>
      <c r="AM4088" s="147"/>
      <c r="AN4088" s="147"/>
      <c r="AO4088" s="147"/>
      <c r="AP4088" s="147"/>
      <c r="AQ4088" s="147"/>
      <c r="AR4088" s="147"/>
      <c r="AS4088" s="147"/>
      <c r="AT4088" s="147"/>
      <c r="AU4088" s="147"/>
      <c r="AV4088" s="147"/>
      <c r="AW4088" s="147"/>
      <c r="AX4088" s="147"/>
      <c r="AY4088" s="147"/>
      <c r="AZ4088" s="147"/>
      <c r="BA4088" s="147"/>
    </row>
    <row r="4089" spans="1:53" ht="15.75" customHeight="1">
      <c r="A4089" s="99"/>
      <c r="B4089" s="99"/>
      <c r="C4089" s="147"/>
      <c r="D4089" s="147"/>
      <c r="E4089" s="147"/>
      <c r="F4089" s="147"/>
      <c r="G4089" s="147"/>
      <c r="H4089" s="147"/>
      <c r="I4089" s="147"/>
      <c r="J4089" s="147"/>
      <c r="K4089" s="147"/>
      <c r="L4089" s="147"/>
      <c r="M4089" s="147"/>
      <c r="N4089" s="147"/>
      <c r="O4089" s="147"/>
      <c r="P4089" s="147"/>
      <c r="Q4089" s="147"/>
      <c r="R4089" s="147"/>
      <c r="S4089" s="147"/>
      <c r="T4089" s="147"/>
      <c r="U4089" s="147"/>
      <c r="V4089" s="147"/>
      <c r="W4089" s="147"/>
      <c r="X4089" s="147"/>
      <c r="Y4089" s="147"/>
      <c r="Z4089" s="147"/>
      <c r="AA4089" s="147"/>
      <c r="AB4089" s="147"/>
      <c r="AC4089" s="147"/>
      <c r="AD4089" s="147"/>
      <c r="AE4089" s="147"/>
      <c r="AF4089" s="147"/>
      <c r="AG4089" s="147"/>
      <c r="AH4089" s="147"/>
      <c r="AI4089" s="147"/>
      <c r="AJ4089" s="147"/>
      <c r="AK4089" s="147"/>
      <c r="AL4089" s="147"/>
      <c r="AM4089" s="147"/>
      <c r="AN4089" s="147"/>
      <c r="AO4089" s="147"/>
      <c r="AP4089" s="147"/>
      <c r="AQ4089" s="147"/>
      <c r="AR4089" s="147"/>
      <c r="AS4089" s="147"/>
      <c r="AT4089" s="147"/>
      <c r="AU4089" s="147"/>
      <c r="AV4089" s="147"/>
      <c r="AW4089" s="147"/>
      <c r="AX4089" s="147"/>
      <c r="AY4089" s="147"/>
      <c r="AZ4089" s="147"/>
      <c r="BA4089" s="147"/>
    </row>
    <row r="4090" spans="1:53" ht="15.75" customHeight="1">
      <c r="A4090" s="99"/>
      <c r="B4090" s="99"/>
      <c r="C4090" s="147"/>
      <c r="D4090" s="147"/>
      <c r="E4090" s="147"/>
      <c r="F4090" s="147"/>
      <c r="G4090" s="147"/>
      <c r="H4090" s="147"/>
      <c r="I4090" s="147"/>
      <c r="J4090" s="147"/>
      <c r="K4090" s="147"/>
      <c r="L4090" s="147"/>
      <c r="M4090" s="147"/>
      <c r="N4090" s="147"/>
      <c r="O4090" s="147"/>
      <c r="P4090" s="147"/>
      <c r="Q4090" s="147"/>
      <c r="R4090" s="147"/>
      <c r="S4090" s="147"/>
      <c r="T4090" s="147"/>
      <c r="U4090" s="147"/>
      <c r="V4090" s="147"/>
      <c r="W4090" s="147"/>
      <c r="X4090" s="147"/>
      <c r="Y4090" s="147"/>
      <c r="Z4090" s="147"/>
      <c r="AA4090" s="147"/>
      <c r="AB4090" s="147"/>
      <c r="AC4090" s="147"/>
      <c r="AD4090" s="147"/>
      <c r="AE4090" s="147"/>
      <c r="AF4090" s="147"/>
      <c r="AG4090" s="147"/>
      <c r="AH4090" s="147"/>
      <c r="AI4090" s="147"/>
      <c r="AJ4090" s="147"/>
      <c r="AK4090" s="147"/>
      <c r="AL4090" s="147"/>
      <c r="AM4090" s="147"/>
      <c r="AN4090" s="147"/>
      <c r="AO4090" s="147"/>
      <c r="AP4090" s="147"/>
      <c r="AQ4090" s="147"/>
      <c r="AR4090" s="147"/>
      <c r="AS4090" s="147"/>
      <c r="AT4090" s="147"/>
      <c r="AU4090" s="147"/>
      <c r="AV4090" s="147"/>
      <c r="AW4090" s="147"/>
      <c r="AX4090" s="147"/>
      <c r="AY4090" s="147"/>
      <c r="AZ4090" s="147"/>
      <c r="BA4090" s="147"/>
    </row>
    <row r="4091" spans="1:53" ht="15.75" customHeight="1">
      <c r="A4091" s="99"/>
      <c r="B4091" s="99"/>
      <c r="C4091" s="147"/>
      <c r="D4091" s="147"/>
      <c r="E4091" s="147"/>
      <c r="F4091" s="147"/>
      <c r="G4091" s="147"/>
      <c r="H4091" s="147"/>
      <c r="I4091" s="147"/>
      <c r="J4091" s="147"/>
      <c r="K4091" s="147"/>
      <c r="L4091" s="147"/>
      <c r="M4091" s="147"/>
      <c r="N4091" s="147"/>
      <c r="O4091" s="147"/>
      <c r="P4091" s="147"/>
      <c r="Q4091" s="147"/>
      <c r="R4091" s="147"/>
      <c r="S4091" s="147"/>
      <c r="T4091" s="147"/>
      <c r="U4091" s="147"/>
      <c r="V4091" s="147"/>
      <c r="W4091" s="147"/>
      <c r="X4091" s="147"/>
      <c r="Y4091" s="147"/>
      <c r="Z4091" s="147"/>
      <c r="AA4091" s="147"/>
      <c r="AB4091" s="147"/>
      <c r="AC4091" s="147"/>
      <c r="AD4091" s="147"/>
      <c r="AE4091" s="147"/>
      <c r="AF4091" s="147"/>
      <c r="AG4091" s="147"/>
      <c r="AH4091" s="147"/>
      <c r="AI4091" s="147"/>
      <c r="AJ4091" s="147"/>
      <c r="AK4091" s="147"/>
      <c r="AL4091" s="147"/>
      <c r="AM4091" s="147"/>
      <c r="AN4091" s="147"/>
      <c r="AO4091" s="147"/>
      <c r="AP4091" s="147"/>
      <c r="AQ4091" s="147"/>
      <c r="AR4091" s="147"/>
      <c r="AS4091" s="147"/>
      <c r="AT4091" s="147"/>
      <c r="AU4091" s="147"/>
      <c r="AV4091" s="147"/>
      <c r="AW4091" s="147"/>
      <c r="AX4091" s="147"/>
      <c r="AY4091" s="147"/>
      <c r="AZ4091" s="147"/>
      <c r="BA4091" s="147"/>
    </row>
    <row r="4092" spans="1:53" ht="15.75" customHeight="1">
      <c r="A4092" s="99"/>
      <c r="B4092" s="99"/>
      <c r="C4092" s="147"/>
      <c r="D4092" s="147"/>
      <c r="E4092" s="147"/>
      <c r="F4092" s="147"/>
      <c r="G4092" s="147"/>
      <c r="H4092" s="147"/>
      <c r="I4092" s="147"/>
      <c r="J4092" s="147"/>
      <c r="K4092" s="147"/>
      <c r="L4092" s="147"/>
      <c r="M4092" s="147"/>
      <c r="N4092" s="147"/>
      <c r="O4092" s="147"/>
      <c r="P4092" s="147"/>
      <c r="Q4092" s="147"/>
      <c r="R4092" s="147"/>
      <c r="S4092" s="147"/>
      <c r="T4092" s="147"/>
      <c r="U4092" s="147"/>
      <c r="V4092" s="147"/>
      <c r="W4092" s="147"/>
      <c r="X4092" s="147"/>
      <c r="Y4092" s="147"/>
      <c r="Z4092" s="147"/>
      <c r="AA4092" s="147"/>
      <c r="AB4092" s="147"/>
      <c r="AC4092" s="147"/>
      <c r="AD4092" s="147"/>
      <c r="AE4092" s="147"/>
      <c r="AF4092" s="147"/>
      <c r="AG4092" s="147"/>
      <c r="AH4092" s="147"/>
      <c r="AI4092" s="147"/>
      <c r="AJ4092" s="147"/>
      <c r="AK4092" s="147"/>
      <c r="AL4092" s="147"/>
      <c r="AM4092" s="147"/>
      <c r="AN4092" s="147"/>
      <c r="AO4092" s="147"/>
      <c r="AP4092" s="147"/>
      <c r="AQ4092" s="147"/>
      <c r="AR4092" s="147"/>
      <c r="AS4092" s="147"/>
      <c r="AT4092" s="147"/>
      <c r="AU4092" s="147"/>
      <c r="AV4092" s="147"/>
      <c r="AW4092" s="147"/>
      <c r="AX4092" s="147"/>
      <c r="AY4092" s="147"/>
      <c r="AZ4092" s="147"/>
      <c r="BA4092" s="147"/>
    </row>
    <row r="4093" spans="1:53" ht="15.75" customHeight="1">
      <c r="A4093" s="99"/>
      <c r="B4093" s="99"/>
      <c r="C4093" s="147"/>
      <c r="D4093" s="147"/>
      <c r="E4093" s="147"/>
      <c r="F4093" s="147"/>
      <c r="G4093" s="147"/>
      <c r="H4093" s="147"/>
      <c r="I4093" s="147"/>
      <c r="J4093" s="147"/>
      <c r="K4093" s="147"/>
      <c r="L4093" s="147"/>
      <c r="M4093" s="147"/>
      <c r="N4093" s="147"/>
      <c r="O4093" s="147"/>
      <c r="P4093" s="147"/>
      <c r="Q4093" s="147"/>
      <c r="R4093" s="147"/>
      <c r="S4093" s="147"/>
      <c r="T4093" s="147"/>
      <c r="U4093" s="147"/>
      <c r="V4093" s="147"/>
      <c r="W4093" s="147"/>
      <c r="X4093" s="147"/>
      <c r="Y4093" s="147"/>
      <c r="Z4093" s="147"/>
      <c r="AA4093" s="147"/>
      <c r="AB4093" s="147"/>
      <c r="AC4093" s="147"/>
      <c r="AD4093" s="147"/>
      <c r="AE4093" s="147"/>
      <c r="AF4093" s="147"/>
      <c r="AG4093" s="147"/>
      <c r="AH4093" s="147"/>
      <c r="AI4093" s="147"/>
      <c r="AJ4093" s="147"/>
      <c r="AK4093" s="147"/>
      <c r="AL4093" s="147"/>
      <c r="AM4093" s="147"/>
      <c r="AN4093" s="147"/>
      <c r="AO4093" s="147"/>
      <c r="AP4093" s="147"/>
      <c r="AQ4093" s="147"/>
      <c r="AR4093" s="147"/>
      <c r="AS4093" s="147"/>
      <c r="AT4093" s="147"/>
      <c r="AU4093" s="147"/>
      <c r="AV4093" s="147"/>
      <c r="AW4093" s="147"/>
      <c r="AX4093" s="147"/>
      <c r="AY4093" s="147"/>
      <c r="AZ4093" s="147"/>
      <c r="BA4093" s="147"/>
    </row>
    <row r="4094" spans="1:53" ht="15.75" customHeight="1">
      <c r="A4094" s="99"/>
      <c r="B4094" s="99"/>
      <c r="C4094" s="147"/>
      <c r="D4094" s="147"/>
      <c r="E4094" s="147"/>
      <c r="F4094" s="147"/>
      <c r="G4094" s="147"/>
      <c r="H4094" s="147"/>
      <c r="I4094" s="147"/>
      <c r="J4094" s="147"/>
      <c r="K4094" s="147"/>
      <c r="L4094" s="147"/>
      <c r="M4094" s="147"/>
      <c r="N4094" s="147"/>
      <c r="O4094" s="147"/>
      <c r="P4094" s="147"/>
      <c r="Q4094" s="147"/>
      <c r="R4094" s="147"/>
      <c r="S4094" s="147"/>
      <c r="T4094" s="147"/>
      <c r="U4094" s="147"/>
      <c r="V4094" s="147"/>
      <c r="W4094" s="147"/>
      <c r="X4094" s="147"/>
      <c r="Y4094" s="147"/>
      <c r="Z4094" s="147"/>
      <c r="AA4094" s="147"/>
      <c r="AB4094" s="147"/>
      <c r="AC4094" s="147"/>
      <c r="AD4094" s="147"/>
      <c r="AE4094" s="147"/>
      <c r="AF4094" s="147"/>
      <c r="AG4094" s="147"/>
      <c r="AH4094" s="147"/>
      <c r="AI4094" s="147"/>
      <c r="AJ4094" s="147"/>
      <c r="AK4094" s="147"/>
      <c r="AL4094" s="147"/>
      <c r="AM4094" s="147"/>
      <c r="AN4094" s="147"/>
      <c r="AO4094" s="147"/>
      <c r="AP4094" s="147"/>
      <c r="AQ4094" s="147"/>
      <c r="AR4094" s="147"/>
      <c r="AS4094" s="147"/>
      <c r="AT4094" s="147"/>
      <c r="AU4094" s="147"/>
      <c r="AV4094" s="147"/>
      <c r="AW4094" s="147"/>
      <c r="AX4094" s="147"/>
      <c r="AY4094" s="147"/>
      <c r="AZ4094" s="147"/>
      <c r="BA4094" s="147"/>
    </row>
    <row r="4095" spans="1:53" ht="15.75" customHeight="1">
      <c r="A4095" s="99"/>
      <c r="B4095" s="99"/>
      <c r="C4095" s="147"/>
      <c r="D4095" s="147"/>
      <c r="E4095" s="147"/>
      <c r="F4095" s="147"/>
      <c r="G4095" s="147"/>
      <c r="H4095" s="147"/>
      <c r="I4095" s="147"/>
      <c r="J4095" s="147"/>
      <c r="K4095" s="147"/>
      <c r="L4095" s="147"/>
      <c r="M4095" s="147"/>
      <c r="N4095" s="147"/>
      <c r="O4095" s="147"/>
      <c r="P4095" s="147"/>
      <c r="Q4095" s="147"/>
      <c r="R4095" s="147"/>
      <c r="S4095" s="147"/>
      <c r="T4095" s="147"/>
      <c r="U4095" s="147"/>
      <c r="V4095" s="147"/>
      <c r="W4095" s="147"/>
      <c r="X4095" s="147"/>
      <c r="Y4095" s="147"/>
      <c r="Z4095" s="147"/>
      <c r="AA4095" s="147"/>
      <c r="AB4095" s="147"/>
      <c r="AC4095" s="147"/>
      <c r="AD4095" s="147"/>
      <c r="AE4095" s="147"/>
      <c r="AF4095" s="147"/>
      <c r="AG4095" s="147"/>
      <c r="AH4095" s="147"/>
      <c r="AI4095" s="147"/>
      <c r="AJ4095" s="147"/>
      <c r="AK4095" s="147"/>
      <c r="AL4095" s="147"/>
      <c r="AM4095" s="147"/>
      <c r="AN4095" s="147"/>
      <c r="AO4095" s="147"/>
      <c r="AP4095" s="147"/>
      <c r="AQ4095" s="147"/>
      <c r="AR4095" s="147"/>
      <c r="AS4095" s="147"/>
      <c r="AT4095" s="147"/>
      <c r="AU4095" s="147"/>
      <c r="AV4095" s="147"/>
      <c r="AW4095" s="147"/>
      <c r="AX4095" s="147"/>
      <c r="AY4095" s="147"/>
      <c r="AZ4095" s="147"/>
      <c r="BA4095" s="147"/>
    </row>
    <row r="4096" spans="1:53" ht="15.75" customHeight="1">
      <c r="A4096" s="99"/>
      <c r="B4096" s="99"/>
      <c r="C4096" s="147"/>
      <c r="D4096" s="147"/>
      <c r="E4096" s="147"/>
      <c r="F4096" s="147"/>
      <c r="G4096" s="147"/>
      <c r="H4096" s="147"/>
      <c r="I4096" s="147"/>
      <c r="J4096" s="147"/>
      <c r="K4096" s="147"/>
      <c r="L4096" s="147"/>
      <c r="M4096" s="147"/>
      <c r="N4096" s="147"/>
      <c r="O4096" s="147"/>
      <c r="P4096" s="147"/>
      <c r="Q4096" s="147"/>
      <c r="R4096" s="147"/>
      <c r="S4096" s="147"/>
      <c r="T4096" s="147"/>
      <c r="U4096" s="147"/>
      <c r="V4096" s="147"/>
      <c r="W4096" s="147"/>
      <c r="X4096" s="147"/>
      <c r="Y4096" s="147"/>
      <c r="Z4096" s="147"/>
      <c r="AA4096" s="147"/>
      <c r="AB4096" s="147"/>
      <c r="AC4096" s="147"/>
      <c r="AD4096" s="147"/>
      <c r="AE4096" s="147"/>
      <c r="AF4096" s="147"/>
      <c r="AG4096" s="147"/>
      <c r="AH4096" s="147"/>
      <c r="AI4096" s="147"/>
      <c r="AJ4096" s="147"/>
      <c r="AK4096" s="147"/>
      <c r="AL4096" s="147"/>
      <c r="AM4096" s="147"/>
      <c r="AN4096" s="147"/>
      <c r="AO4096" s="147"/>
      <c r="AP4096" s="147"/>
      <c r="AQ4096" s="147"/>
      <c r="AR4096" s="147"/>
      <c r="AS4096" s="147"/>
      <c r="AT4096" s="147"/>
      <c r="AU4096" s="147"/>
      <c r="AV4096" s="147"/>
      <c r="AW4096" s="147"/>
      <c r="AX4096" s="147"/>
      <c r="AY4096" s="147"/>
      <c r="AZ4096" s="147"/>
      <c r="BA4096" s="147"/>
    </row>
    <row r="4097" spans="1:53" ht="15.75" customHeight="1">
      <c r="A4097" s="99"/>
      <c r="B4097" s="99"/>
      <c r="C4097" s="147"/>
      <c r="D4097" s="147"/>
      <c r="E4097" s="147"/>
      <c r="F4097" s="147"/>
      <c r="G4097" s="147"/>
      <c r="H4097" s="147"/>
      <c r="I4097" s="147"/>
      <c r="J4097" s="147"/>
      <c r="K4097" s="147"/>
      <c r="L4097" s="147"/>
      <c r="M4097" s="147"/>
      <c r="N4097" s="147"/>
      <c r="O4097" s="147"/>
      <c r="P4097" s="147"/>
      <c r="Q4097" s="147"/>
      <c r="R4097" s="147"/>
      <c r="S4097" s="147"/>
      <c r="T4097" s="147"/>
      <c r="U4097" s="147"/>
      <c r="V4097" s="147"/>
      <c r="W4097" s="147"/>
      <c r="X4097" s="147"/>
      <c r="Y4097" s="147"/>
      <c r="Z4097" s="147"/>
      <c r="AA4097" s="147"/>
      <c r="AB4097" s="147"/>
      <c r="AC4097" s="147"/>
      <c r="AD4097" s="147"/>
      <c r="AE4097" s="147"/>
      <c r="AF4097" s="147"/>
      <c r="AG4097" s="147"/>
      <c r="AH4097" s="147"/>
      <c r="AI4097" s="147"/>
      <c r="AJ4097" s="147"/>
      <c r="AK4097" s="147"/>
      <c r="AL4097" s="147"/>
      <c r="AM4097" s="147"/>
      <c r="AN4097" s="147"/>
      <c r="AO4097" s="147"/>
      <c r="AP4097" s="147"/>
      <c r="AQ4097" s="147"/>
      <c r="AR4097" s="147"/>
      <c r="AS4097" s="147"/>
      <c r="AT4097" s="147"/>
      <c r="AU4097" s="147"/>
      <c r="AV4097" s="147"/>
      <c r="AW4097" s="147"/>
      <c r="AX4097" s="147"/>
      <c r="AY4097" s="147"/>
      <c r="AZ4097" s="147"/>
      <c r="BA4097" s="147"/>
    </row>
    <row r="4098" spans="1:53" ht="15.75" customHeight="1">
      <c r="A4098" s="99"/>
      <c r="B4098" s="99"/>
      <c r="C4098" s="147"/>
      <c r="D4098" s="147"/>
      <c r="E4098" s="147"/>
      <c r="F4098" s="147"/>
      <c r="G4098" s="147"/>
      <c r="H4098" s="147"/>
      <c r="I4098" s="147"/>
      <c r="J4098" s="147"/>
      <c r="K4098" s="147"/>
      <c r="L4098" s="147"/>
      <c r="M4098" s="147"/>
      <c r="N4098" s="147"/>
      <c r="O4098" s="147"/>
      <c r="P4098" s="147"/>
      <c r="Q4098" s="147"/>
      <c r="R4098" s="147"/>
      <c r="S4098" s="147"/>
      <c r="T4098" s="147"/>
      <c r="U4098" s="147"/>
      <c r="V4098" s="147"/>
      <c r="W4098" s="147"/>
      <c r="X4098" s="147"/>
      <c r="Y4098" s="147"/>
      <c r="Z4098" s="147"/>
      <c r="AA4098" s="147"/>
      <c r="AB4098" s="147"/>
      <c r="AC4098" s="147"/>
      <c r="AD4098" s="147"/>
      <c r="AE4098" s="147"/>
      <c r="AF4098" s="147"/>
      <c r="AG4098" s="147"/>
      <c r="AH4098" s="147"/>
      <c r="AI4098" s="147"/>
      <c r="AJ4098" s="147"/>
      <c r="AK4098" s="147"/>
      <c r="AL4098" s="147"/>
      <c r="AM4098" s="147"/>
      <c r="AN4098" s="147"/>
      <c r="AO4098" s="147"/>
      <c r="AP4098" s="147"/>
      <c r="AQ4098" s="147"/>
      <c r="AR4098" s="147"/>
      <c r="AS4098" s="147"/>
      <c r="AT4098" s="147"/>
      <c r="AU4098" s="147"/>
      <c r="AV4098" s="147"/>
      <c r="AW4098" s="147"/>
      <c r="AX4098" s="147"/>
      <c r="AY4098" s="147"/>
      <c r="AZ4098" s="147"/>
      <c r="BA4098" s="147"/>
    </row>
    <row r="4099" spans="1:53" ht="15.75" customHeight="1">
      <c r="A4099" s="99"/>
      <c r="B4099" s="99"/>
      <c r="C4099" s="147"/>
      <c r="D4099" s="147"/>
      <c r="E4099" s="147"/>
      <c r="F4099" s="147"/>
      <c r="G4099" s="147"/>
      <c r="H4099" s="147"/>
      <c r="I4099" s="147"/>
      <c r="J4099" s="147"/>
      <c r="K4099" s="147"/>
      <c r="L4099" s="147"/>
      <c r="M4099" s="147"/>
      <c r="N4099" s="147"/>
      <c r="O4099" s="147"/>
      <c r="P4099" s="147"/>
      <c r="Q4099" s="147"/>
      <c r="R4099" s="147"/>
      <c r="S4099" s="147"/>
      <c r="T4099" s="147"/>
      <c r="U4099" s="147"/>
      <c r="V4099" s="147"/>
      <c r="W4099" s="147"/>
      <c r="X4099" s="147"/>
      <c r="Y4099" s="147"/>
      <c r="Z4099" s="147"/>
      <c r="AA4099" s="147"/>
      <c r="AB4099" s="147"/>
      <c r="AC4099" s="147"/>
      <c r="AD4099" s="147"/>
      <c r="AE4099" s="147"/>
      <c r="AF4099" s="147"/>
      <c r="AG4099" s="147"/>
      <c r="AH4099" s="147"/>
      <c r="AI4099" s="147"/>
      <c r="AJ4099" s="147"/>
      <c r="AK4099" s="147"/>
      <c r="AL4099" s="147"/>
      <c r="AM4099" s="147"/>
      <c r="AN4099" s="147"/>
      <c r="AO4099" s="147"/>
      <c r="AP4099" s="147"/>
      <c r="AQ4099" s="147"/>
      <c r="AR4099" s="147"/>
      <c r="AS4099" s="147"/>
      <c r="AT4099" s="147"/>
      <c r="AU4099" s="147"/>
      <c r="AV4099" s="147"/>
      <c r="AW4099" s="147"/>
      <c r="AX4099" s="147"/>
      <c r="AY4099" s="147"/>
      <c r="AZ4099" s="147"/>
      <c r="BA4099" s="147"/>
    </row>
    <row r="4100" spans="1:53" ht="15.75" customHeight="1">
      <c r="A4100" s="99"/>
      <c r="B4100" s="99"/>
      <c r="C4100" s="147"/>
      <c r="D4100" s="147"/>
      <c r="E4100" s="147"/>
      <c r="F4100" s="147"/>
      <c r="G4100" s="147"/>
      <c r="H4100" s="147"/>
      <c r="I4100" s="147"/>
      <c r="J4100" s="147"/>
      <c r="K4100" s="147"/>
      <c r="L4100" s="147"/>
      <c r="M4100" s="147"/>
      <c r="N4100" s="147"/>
      <c r="O4100" s="147"/>
      <c r="P4100" s="147"/>
      <c r="Q4100" s="147"/>
      <c r="R4100" s="147"/>
      <c r="S4100" s="147"/>
      <c r="T4100" s="147"/>
      <c r="U4100" s="147"/>
      <c r="V4100" s="147"/>
      <c r="W4100" s="147"/>
      <c r="X4100" s="147"/>
      <c r="Y4100" s="147"/>
      <c r="Z4100" s="147"/>
      <c r="AA4100" s="147"/>
      <c r="AB4100" s="147"/>
      <c r="AC4100" s="147"/>
      <c r="AD4100" s="147"/>
      <c r="AE4100" s="147"/>
      <c r="AF4100" s="147"/>
      <c r="AG4100" s="147"/>
      <c r="AH4100" s="147"/>
      <c r="AI4100" s="147"/>
      <c r="AJ4100" s="147"/>
      <c r="AK4100" s="147"/>
      <c r="AL4100" s="147"/>
      <c r="AM4100" s="147"/>
      <c r="AN4100" s="147"/>
      <c r="AO4100" s="147"/>
      <c r="AP4100" s="147"/>
      <c r="AQ4100" s="147"/>
      <c r="AR4100" s="147"/>
      <c r="AS4100" s="147"/>
      <c r="AT4100" s="147"/>
      <c r="AU4100" s="147"/>
      <c r="AV4100" s="147"/>
      <c r="AW4100" s="147"/>
      <c r="AX4100" s="147"/>
      <c r="AY4100" s="147"/>
      <c r="AZ4100" s="147"/>
      <c r="BA4100" s="147"/>
    </row>
    <row r="4101" spans="1:53" ht="15.75" customHeight="1">
      <c r="A4101" s="99"/>
      <c r="B4101" s="99"/>
      <c r="C4101" s="147"/>
      <c r="D4101" s="147"/>
      <c r="E4101" s="147"/>
      <c r="F4101" s="147"/>
      <c r="G4101" s="147"/>
      <c r="H4101" s="147"/>
      <c r="I4101" s="147"/>
      <c r="J4101" s="147"/>
      <c r="K4101" s="147"/>
      <c r="L4101" s="147"/>
      <c r="M4101" s="147"/>
      <c r="N4101" s="147"/>
      <c r="O4101" s="147"/>
      <c r="P4101" s="147"/>
      <c r="Q4101" s="147"/>
      <c r="R4101" s="147"/>
      <c r="S4101" s="147"/>
      <c r="T4101" s="147"/>
      <c r="U4101" s="147"/>
      <c r="V4101" s="147"/>
      <c r="W4101" s="147"/>
      <c r="X4101" s="147"/>
      <c r="Y4101" s="147"/>
      <c r="Z4101" s="147"/>
      <c r="AA4101" s="147"/>
      <c r="AB4101" s="147"/>
      <c r="AC4101" s="147"/>
      <c r="AD4101" s="147"/>
      <c r="AE4101" s="147"/>
      <c r="AF4101" s="147"/>
      <c r="AG4101" s="147"/>
      <c r="AH4101" s="147"/>
      <c r="AI4101" s="147"/>
      <c r="AJ4101" s="147"/>
      <c r="AK4101" s="147"/>
      <c r="AL4101" s="147"/>
      <c r="AM4101" s="147"/>
      <c r="AN4101" s="147"/>
      <c r="AO4101" s="147"/>
      <c r="AP4101" s="147"/>
      <c r="AQ4101" s="147"/>
      <c r="AR4101" s="147"/>
      <c r="AS4101" s="147"/>
      <c r="AT4101" s="147"/>
      <c r="AU4101" s="147"/>
      <c r="AV4101" s="147"/>
      <c r="AW4101" s="147"/>
      <c r="AX4101" s="147"/>
      <c r="AY4101" s="147"/>
      <c r="AZ4101" s="147"/>
      <c r="BA4101" s="147"/>
    </row>
    <row r="4102" spans="1:53" ht="15.75" customHeight="1">
      <c r="A4102" s="99"/>
      <c r="B4102" s="99"/>
      <c r="C4102" s="147"/>
      <c r="D4102" s="147"/>
      <c r="E4102" s="147"/>
      <c r="F4102" s="147"/>
      <c r="G4102" s="147"/>
      <c r="H4102" s="147"/>
      <c r="I4102" s="147"/>
      <c r="J4102" s="147"/>
      <c r="K4102" s="147"/>
      <c r="L4102" s="147"/>
      <c r="M4102" s="147"/>
      <c r="N4102" s="147"/>
      <c r="O4102" s="147"/>
      <c r="P4102" s="147"/>
      <c r="Q4102" s="147"/>
      <c r="R4102" s="147"/>
      <c r="S4102" s="147"/>
      <c r="T4102" s="147"/>
      <c r="U4102" s="147"/>
      <c r="V4102" s="147"/>
      <c r="W4102" s="147"/>
      <c r="X4102" s="147"/>
      <c r="Y4102" s="147"/>
      <c r="Z4102" s="147"/>
      <c r="AA4102" s="147"/>
      <c r="AB4102" s="147"/>
      <c r="AC4102" s="147"/>
      <c r="AD4102" s="147"/>
      <c r="AE4102" s="147"/>
      <c r="AF4102" s="147"/>
      <c r="AG4102" s="147"/>
      <c r="AH4102" s="147"/>
      <c r="AI4102" s="147"/>
      <c r="AJ4102" s="147"/>
      <c r="AK4102" s="147"/>
      <c r="AL4102" s="147"/>
      <c r="AM4102" s="147"/>
      <c r="AN4102" s="147"/>
      <c r="AO4102" s="147"/>
      <c r="AP4102" s="147"/>
      <c r="AQ4102" s="147"/>
      <c r="AR4102" s="147"/>
      <c r="AS4102" s="147"/>
      <c r="AT4102" s="147"/>
      <c r="AU4102" s="147"/>
      <c r="AV4102" s="147"/>
      <c r="AW4102" s="147"/>
      <c r="AX4102" s="147"/>
      <c r="AY4102" s="147"/>
      <c r="AZ4102" s="147"/>
      <c r="BA4102" s="147"/>
    </row>
    <row r="4103" spans="1:53" ht="15.75" customHeight="1">
      <c r="A4103" s="99"/>
      <c r="B4103" s="99"/>
      <c r="C4103" s="147"/>
      <c r="D4103" s="147"/>
      <c r="E4103" s="147"/>
      <c r="F4103" s="147"/>
      <c r="G4103" s="147"/>
      <c r="H4103" s="147"/>
      <c r="I4103" s="147"/>
      <c r="J4103" s="147"/>
      <c r="K4103" s="147"/>
      <c r="L4103" s="147"/>
      <c r="M4103" s="147"/>
      <c r="N4103" s="147"/>
      <c r="O4103" s="147"/>
      <c r="P4103" s="147"/>
      <c r="Q4103" s="147"/>
      <c r="R4103" s="147"/>
      <c r="S4103" s="147"/>
      <c r="T4103" s="147"/>
      <c r="U4103" s="147"/>
      <c r="V4103" s="147"/>
      <c r="W4103" s="147"/>
      <c r="X4103" s="147"/>
      <c r="Y4103" s="147"/>
      <c r="Z4103" s="147"/>
      <c r="AA4103" s="147"/>
      <c r="AB4103" s="147"/>
      <c r="AC4103" s="147"/>
      <c r="AD4103" s="147"/>
      <c r="AE4103" s="147"/>
      <c r="AF4103" s="147"/>
      <c r="AG4103" s="147"/>
      <c r="AH4103" s="147"/>
      <c r="AI4103" s="147"/>
      <c r="AJ4103" s="147"/>
      <c r="AK4103" s="147"/>
      <c r="AL4103" s="147"/>
      <c r="AM4103" s="147"/>
      <c r="AN4103" s="147"/>
      <c r="AO4103" s="147"/>
      <c r="AP4103" s="147"/>
      <c r="AQ4103" s="147"/>
      <c r="AR4103" s="147"/>
      <c r="AS4103" s="147"/>
      <c r="AT4103" s="147"/>
      <c r="AU4103" s="147"/>
      <c r="AV4103" s="147"/>
      <c r="AW4103" s="147"/>
      <c r="AX4103" s="147"/>
      <c r="AY4103" s="147"/>
      <c r="AZ4103" s="147"/>
      <c r="BA4103" s="147"/>
    </row>
    <row r="4104" spans="1:53" ht="15.75" customHeight="1">
      <c r="A4104" s="99"/>
      <c r="B4104" s="99"/>
      <c r="C4104" s="147"/>
      <c r="D4104" s="147"/>
      <c r="E4104" s="147"/>
      <c r="F4104" s="147"/>
      <c r="G4104" s="147"/>
      <c r="H4104" s="147"/>
      <c r="I4104" s="147"/>
      <c r="J4104" s="147"/>
      <c r="K4104" s="147"/>
      <c r="L4104" s="147"/>
      <c r="M4104" s="147"/>
      <c r="N4104" s="147"/>
      <c r="O4104" s="147"/>
      <c r="P4104" s="147"/>
      <c r="Q4104" s="147"/>
      <c r="R4104" s="147"/>
      <c r="S4104" s="147"/>
      <c r="T4104" s="147"/>
      <c r="U4104" s="147"/>
      <c r="V4104" s="147"/>
      <c r="W4104" s="147"/>
      <c r="X4104" s="147"/>
      <c r="Y4104" s="147"/>
      <c r="Z4104" s="147"/>
      <c r="AA4104" s="147"/>
      <c r="AB4104" s="147"/>
      <c r="AC4104" s="147"/>
      <c r="AD4104" s="147"/>
      <c r="AE4104" s="147"/>
      <c r="AF4104" s="147"/>
      <c r="AG4104" s="147"/>
      <c r="AH4104" s="147"/>
      <c r="AI4104" s="147"/>
      <c r="AJ4104" s="147"/>
      <c r="AK4104" s="147"/>
      <c r="AL4104" s="147"/>
      <c r="AM4104" s="147"/>
      <c r="AN4104" s="147"/>
      <c r="AO4104" s="147"/>
      <c r="AP4104" s="147"/>
      <c r="AQ4104" s="147"/>
      <c r="AR4104" s="147"/>
      <c r="AS4104" s="147"/>
      <c r="AT4104" s="147"/>
      <c r="AU4104" s="147"/>
      <c r="AV4104" s="147"/>
      <c r="AW4104" s="147"/>
      <c r="AX4104" s="147"/>
      <c r="AY4104" s="147"/>
      <c r="AZ4104" s="147"/>
      <c r="BA4104" s="147"/>
    </row>
    <row r="4105" spans="1:53" ht="15.75" customHeight="1">
      <c r="A4105" s="99"/>
      <c r="B4105" s="99"/>
      <c r="C4105" s="147"/>
      <c r="D4105" s="147"/>
      <c r="E4105" s="147"/>
      <c r="F4105" s="147"/>
      <c r="G4105" s="147"/>
      <c r="H4105" s="147"/>
      <c r="I4105" s="147"/>
      <c r="J4105" s="147"/>
      <c r="K4105" s="147"/>
      <c r="L4105" s="147"/>
      <c r="M4105" s="147"/>
      <c r="N4105" s="147"/>
      <c r="O4105" s="147"/>
      <c r="P4105" s="147"/>
      <c r="Q4105" s="147"/>
      <c r="R4105" s="147"/>
      <c r="S4105" s="147"/>
      <c r="T4105" s="147"/>
      <c r="U4105" s="147"/>
      <c r="V4105" s="147"/>
      <c r="W4105" s="147"/>
      <c r="X4105" s="147"/>
      <c r="Y4105" s="147"/>
      <c r="Z4105" s="147"/>
      <c r="AA4105" s="147"/>
      <c r="AB4105" s="147"/>
      <c r="AC4105" s="147"/>
      <c r="AD4105" s="147"/>
      <c r="AE4105" s="147"/>
      <c r="AF4105" s="147"/>
      <c r="AG4105" s="147"/>
      <c r="AH4105" s="147"/>
      <c r="AI4105" s="147"/>
      <c r="AJ4105" s="147"/>
      <c r="AK4105" s="147"/>
      <c r="AL4105" s="147"/>
      <c r="AM4105" s="147"/>
      <c r="AN4105" s="147"/>
      <c r="AO4105" s="147"/>
      <c r="AP4105" s="147"/>
      <c r="AQ4105" s="147"/>
      <c r="AR4105" s="147"/>
      <c r="AS4105" s="147"/>
      <c r="AT4105" s="147"/>
      <c r="AU4105" s="147"/>
      <c r="AV4105" s="147"/>
      <c r="AW4105" s="147"/>
      <c r="AX4105" s="147"/>
      <c r="AY4105" s="147"/>
      <c r="AZ4105" s="147"/>
      <c r="BA4105" s="147"/>
    </row>
    <row r="4106" spans="1:53" ht="15.75" customHeight="1">
      <c r="A4106" s="99"/>
      <c r="B4106" s="99"/>
      <c r="C4106" s="147"/>
      <c r="D4106" s="147"/>
      <c r="E4106" s="147"/>
      <c r="F4106" s="147"/>
      <c r="G4106" s="147"/>
      <c r="H4106" s="147"/>
      <c r="I4106" s="147"/>
      <c r="J4106" s="147"/>
      <c r="K4106" s="147"/>
      <c r="L4106" s="147"/>
      <c r="M4106" s="147"/>
      <c r="N4106" s="147"/>
      <c r="O4106" s="147"/>
      <c r="P4106" s="147"/>
      <c r="Q4106" s="147"/>
      <c r="R4106" s="147"/>
      <c r="S4106" s="147"/>
      <c r="T4106" s="147"/>
      <c r="U4106" s="147"/>
      <c r="V4106" s="147"/>
      <c r="W4106" s="147"/>
      <c r="X4106" s="147"/>
      <c r="Y4106" s="147"/>
      <c r="Z4106" s="147"/>
      <c r="AA4106" s="147"/>
      <c r="AB4106" s="147"/>
      <c r="AC4106" s="147"/>
      <c r="AD4106" s="147"/>
      <c r="AE4106" s="147"/>
      <c r="AF4106" s="147"/>
      <c r="AG4106" s="147"/>
      <c r="AH4106" s="147"/>
      <c r="AI4106" s="147"/>
      <c r="AJ4106" s="147"/>
      <c r="AK4106" s="147"/>
      <c r="AL4106" s="147"/>
      <c r="AM4106" s="147"/>
      <c r="AN4106" s="147"/>
      <c r="AO4106" s="147"/>
      <c r="AP4106" s="147"/>
      <c r="AQ4106" s="147"/>
      <c r="AR4106" s="147"/>
      <c r="AS4106" s="147"/>
      <c r="AT4106" s="147"/>
      <c r="AU4106" s="147"/>
      <c r="AV4106" s="147"/>
      <c r="AW4106" s="147"/>
      <c r="AX4106" s="147"/>
      <c r="AY4106" s="147"/>
      <c r="AZ4106" s="147"/>
      <c r="BA4106" s="147"/>
    </row>
    <row r="4107" spans="1:53" ht="15.75" customHeight="1">
      <c r="A4107" s="99"/>
      <c r="B4107" s="99"/>
      <c r="C4107" s="147"/>
      <c r="D4107" s="147"/>
      <c r="E4107" s="147"/>
      <c r="F4107" s="147"/>
      <c r="G4107" s="147"/>
      <c r="H4107" s="147"/>
      <c r="I4107" s="147"/>
      <c r="J4107" s="147"/>
      <c r="K4107" s="147"/>
      <c r="L4107" s="147"/>
      <c r="M4107" s="147"/>
      <c r="N4107" s="147"/>
      <c r="O4107" s="147"/>
      <c r="P4107" s="147"/>
      <c r="Q4107" s="147"/>
      <c r="R4107" s="147"/>
      <c r="S4107" s="147"/>
      <c r="T4107" s="147"/>
      <c r="U4107" s="147"/>
      <c r="V4107" s="147"/>
      <c r="W4107" s="147"/>
      <c r="X4107" s="147"/>
      <c r="Y4107" s="147"/>
      <c r="Z4107" s="147"/>
      <c r="AA4107" s="147"/>
      <c r="AB4107" s="147"/>
      <c r="AC4107" s="147"/>
      <c r="AD4107" s="147"/>
      <c r="AE4107" s="147"/>
      <c r="AF4107" s="147"/>
      <c r="AG4107" s="147"/>
      <c r="AH4107" s="147"/>
      <c r="AI4107" s="147"/>
      <c r="AJ4107" s="147"/>
      <c r="AK4107" s="147"/>
      <c r="AL4107" s="147"/>
      <c r="AM4107" s="147"/>
      <c r="AN4107" s="147"/>
      <c r="AO4107" s="147"/>
      <c r="AP4107" s="147"/>
      <c r="AQ4107" s="147"/>
      <c r="AR4107" s="147"/>
      <c r="AS4107" s="147"/>
      <c r="AT4107" s="147"/>
      <c r="AU4107" s="147"/>
      <c r="AV4107" s="147"/>
      <c r="AW4107" s="147"/>
      <c r="AX4107" s="147"/>
      <c r="AY4107" s="147"/>
      <c r="AZ4107" s="147"/>
      <c r="BA4107" s="147"/>
    </row>
    <row r="4108" spans="1:53" ht="15.75" customHeight="1">
      <c r="A4108" s="99"/>
      <c r="B4108" s="99"/>
      <c r="C4108" s="147"/>
      <c r="D4108" s="147"/>
      <c r="E4108" s="147"/>
      <c r="F4108" s="147"/>
      <c r="G4108" s="147"/>
      <c r="H4108" s="147"/>
      <c r="I4108" s="147"/>
      <c r="J4108" s="147"/>
      <c r="K4108" s="147"/>
      <c r="L4108" s="147"/>
      <c r="M4108" s="147"/>
      <c r="N4108" s="147"/>
      <c r="O4108" s="147"/>
      <c r="P4108" s="147"/>
      <c r="Q4108" s="147"/>
      <c r="R4108" s="147"/>
      <c r="S4108" s="147"/>
      <c r="T4108" s="147"/>
      <c r="U4108" s="147"/>
      <c r="V4108" s="147"/>
      <c r="W4108" s="147"/>
      <c r="X4108" s="147"/>
      <c r="Y4108" s="147"/>
      <c r="Z4108" s="147"/>
      <c r="AA4108" s="147"/>
      <c r="AB4108" s="147"/>
      <c r="AC4108" s="147"/>
      <c r="AD4108" s="147"/>
      <c r="AE4108" s="147"/>
      <c r="AF4108" s="147"/>
      <c r="AG4108" s="147"/>
      <c r="AH4108" s="147"/>
      <c r="AI4108" s="147"/>
      <c r="AJ4108" s="147"/>
      <c r="AK4108" s="147"/>
      <c r="AL4108" s="147"/>
      <c r="AM4108" s="147"/>
      <c r="AN4108" s="147"/>
      <c r="AO4108" s="147"/>
      <c r="AP4108" s="147"/>
      <c r="AQ4108" s="147"/>
      <c r="AR4108" s="147"/>
      <c r="AS4108" s="147"/>
      <c r="AT4108" s="147"/>
      <c r="AU4108" s="147"/>
      <c r="AV4108" s="147"/>
      <c r="AW4108" s="147"/>
      <c r="AX4108" s="147"/>
      <c r="AY4108" s="147"/>
      <c r="AZ4108" s="147"/>
      <c r="BA4108" s="147"/>
    </row>
    <row r="4109" spans="1:53" ht="15.75" customHeight="1">
      <c r="A4109" s="99"/>
      <c r="B4109" s="99"/>
      <c r="C4109" s="147"/>
      <c r="D4109" s="147"/>
      <c r="E4109" s="147"/>
      <c r="F4109" s="147"/>
      <c r="G4109" s="147"/>
      <c r="H4109" s="147"/>
      <c r="I4109" s="147"/>
      <c r="J4109" s="147"/>
      <c r="K4109" s="147"/>
      <c r="L4109" s="147"/>
      <c r="M4109" s="147"/>
      <c r="N4109" s="147"/>
      <c r="O4109" s="147"/>
      <c r="P4109" s="147"/>
      <c r="Q4109" s="147"/>
      <c r="R4109" s="147"/>
      <c r="S4109" s="147"/>
      <c r="T4109" s="147"/>
      <c r="U4109" s="147"/>
      <c r="V4109" s="147"/>
      <c r="W4109" s="147"/>
      <c r="X4109" s="147"/>
      <c r="Y4109" s="147"/>
      <c r="Z4109" s="147"/>
      <c r="AA4109" s="147"/>
      <c r="AB4109" s="147"/>
      <c r="AC4109" s="147"/>
      <c r="AD4109" s="147"/>
      <c r="AE4109" s="147"/>
      <c r="AF4109" s="147"/>
      <c r="AG4109" s="147"/>
      <c r="AH4109" s="147"/>
      <c r="AI4109" s="147"/>
      <c r="AJ4109" s="147"/>
      <c r="AK4109" s="147"/>
      <c r="AL4109" s="147"/>
      <c r="AM4109" s="147"/>
      <c r="AN4109" s="147"/>
      <c r="AO4109" s="147"/>
      <c r="AP4109" s="147"/>
      <c r="AQ4109" s="147"/>
      <c r="AR4109" s="147"/>
      <c r="AS4109" s="147"/>
      <c r="AT4109" s="147"/>
      <c r="AU4109" s="147"/>
      <c r="AV4109" s="147"/>
      <c r="AW4109" s="147"/>
      <c r="AX4109" s="147"/>
      <c r="AY4109" s="147"/>
      <c r="AZ4109" s="147"/>
      <c r="BA4109" s="147"/>
    </row>
    <row r="4110" spans="1:53" ht="15.75" customHeight="1">
      <c r="A4110" s="99"/>
      <c r="B4110" s="99"/>
      <c r="C4110" s="147"/>
      <c r="D4110" s="147"/>
      <c r="E4110" s="147"/>
      <c r="F4110" s="147"/>
      <c r="G4110" s="147"/>
      <c r="H4110" s="147"/>
      <c r="I4110" s="147"/>
      <c r="J4110" s="147"/>
      <c r="K4110" s="147"/>
      <c r="L4110" s="147"/>
      <c r="M4110" s="147"/>
      <c r="N4110" s="147"/>
      <c r="O4110" s="147"/>
      <c r="P4110" s="147"/>
      <c r="Q4110" s="147"/>
      <c r="R4110" s="147"/>
      <c r="S4110" s="147"/>
      <c r="T4110" s="147"/>
      <c r="U4110" s="147"/>
      <c r="V4110" s="147"/>
      <c r="W4110" s="147"/>
      <c r="X4110" s="147"/>
      <c r="Y4110" s="147"/>
      <c r="Z4110" s="147"/>
      <c r="AA4110" s="147"/>
      <c r="AB4110" s="147"/>
      <c r="AC4110" s="147"/>
      <c r="AD4110" s="147"/>
      <c r="AE4110" s="147"/>
      <c r="AF4110" s="147"/>
      <c r="AG4110" s="147"/>
      <c r="AH4110" s="147"/>
      <c r="AI4110" s="147"/>
      <c r="AJ4110" s="147"/>
      <c r="AK4110" s="147"/>
      <c r="AL4110" s="147"/>
      <c r="AM4110" s="147"/>
      <c r="AN4110" s="147"/>
      <c r="AO4110" s="147"/>
      <c r="AP4110" s="147"/>
      <c r="AQ4110" s="147"/>
      <c r="AR4110" s="147"/>
      <c r="AS4110" s="147"/>
      <c r="AT4110" s="147"/>
      <c r="AU4110" s="147"/>
      <c r="AV4110" s="147"/>
      <c r="AW4110" s="147"/>
      <c r="AX4110" s="147"/>
      <c r="AY4110" s="147"/>
      <c r="AZ4110" s="147"/>
      <c r="BA4110" s="147"/>
    </row>
    <row r="4111" spans="1:53" ht="15.75" customHeight="1">
      <c r="A4111" s="99"/>
      <c r="B4111" s="99"/>
      <c r="C4111" s="147"/>
      <c r="D4111" s="147"/>
      <c r="E4111" s="147"/>
      <c r="F4111" s="147"/>
      <c r="G4111" s="147"/>
      <c r="H4111" s="147"/>
      <c r="I4111" s="147"/>
      <c r="J4111" s="147"/>
      <c r="K4111" s="147"/>
      <c r="L4111" s="147"/>
      <c r="M4111" s="147"/>
      <c r="N4111" s="147"/>
      <c r="O4111" s="147"/>
      <c r="P4111" s="147"/>
      <c r="Q4111" s="147"/>
      <c r="R4111" s="147"/>
      <c r="S4111" s="147"/>
      <c r="T4111" s="147"/>
      <c r="U4111" s="147"/>
      <c r="V4111" s="147"/>
      <c r="W4111" s="147"/>
      <c r="X4111" s="147"/>
      <c r="Y4111" s="147"/>
      <c r="Z4111" s="147"/>
      <c r="AA4111" s="147"/>
      <c r="AB4111" s="147"/>
      <c r="AC4111" s="147"/>
      <c r="AD4111" s="147"/>
      <c r="AE4111" s="147"/>
      <c r="AF4111" s="147"/>
      <c r="AG4111" s="147"/>
      <c r="AH4111" s="147"/>
      <c r="AI4111" s="147"/>
      <c r="AJ4111" s="147"/>
      <c r="AK4111" s="147"/>
      <c r="AL4111" s="147"/>
      <c r="AM4111" s="147"/>
      <c r="AN4111" s="147"/>
      <c r="AO4111" s="147"/>
      <c r="AP4111" s="147"/>
      <c r="AQ4111" s="147"/>
      <c r="AR4111" s="147"/>
      <c r="AS4111" s="147"/>
      <c r="AT4111" s="147"/>
      <c r="AU4111" s="147"/>
      <c r="AV4111" s="147"/>
      <c r="AW4111" s="147"/>
      <c r="AX4111" s="147"/>
      <c r="AY4111" s="147"/>
      <c r="AZ4111" s="147"/>
      <c r="BA4111" s="147"/>
    </row>
    <row r="4112" spans="1:53" ht="15.75" customHeight="1">
      <c r="A4112" s="99"/>
      <c r="B4112" s="99"/>
      <c r="C4112" s="147"/>
      <c r="D4112" s="147"/>
      <c r="E4112" s="147"/>
      <c r="F4112" s="147"/>
      <c r="G4112" s="147"/>
      <c r="H4112" s="147"/>
      <c r="I4112" s="147"/>
      <c r="J4112" s="147"/>
      <c r="K4112" s="147"/>
      <c r="L4112" s="147"/>
      <c r="M4112" s="147"/>
      <c r="N4112" s="147"/>
      <c r="O4112" s="147"/>
      <c r="P4112" s="147"/>
      <c r="Q4112" s="147"/>
      <c r="R4112" s="147"/>
      <c r="S4112" s="147"/>
      <c r="T4112" s="147"/>
      <c r="U4112" s="147"/>
      <c r="V4112" s="147"/>
      <c r="W4112" s="147"/>
      <c r="X4112" s="147"/>
      <c r="Y4112" s="147"/>
      <c r="Z4112" s="147"/>
      <c r="AA4112" s="147"/>
      <c r="AB4112" s="147"/>
      <c r="AC4112" s="147"/>
      <c r="AD4112" s="147"/>
      <c r="AE4112" s="147"/>
      <c r="AF4112" s="147"/>
      <c r="AG4112" s="147"/>
      <c r="AH4112" s="147"/>
      <c r="AI4112" s="147"/>
      <c r="AJ4112" s="147"/>
      <c r="AK4112" s="147"/>
      <c r="AL4112" s="147"/>
      <c r="AM4112" s="147"/>
      <c r="AN4112" s="147"/>
      <c r="AO4112" s="147"/>
      <c r="AP4112" s="147"/>
      <c r="AQ4112" s="147"/>
      <c r="AR4112" s="147"/>
      <c r="AS4112" s="147"/>
      <c r="AT4112" s="147"/>
      <c r="AU4112" s="147"/>
      <c r="AV4112" s="147"/>
      <c r="AW4112" s="147"/>
      <c r="AX4112" s="147"/>
      <c r="AY4112" s="147"/>
      <c r="AZ4112" s="147"/>
      <c r="BA4112" s="147"/>
    </row>
    <row r="4113" spans="1:53" ht="15.75" customHeight="1">
      <c r="A4113" s="99"/>
      <c r="B4113" s="99"/>
      <c r="C4113" s="147"/>
      <c r="D4113" s="147"/>
      <c r="E4113" s="147"/>
      <c r="F4113" s="147"/>
      <c r="G4113" s="147"/>
      <c r="H4113" s="147"/>
      <c r="I4113" s="147"/>
      <c r="J4113" s="147"/>
      <c r="K4113" s="147"/>
      <c r="L4113" s="147"/>
      <c r="M4113" s="147"/>
      <c r="N4113" s="147"/>
      <c r="O4113" s="147"/>
      <c r="P4113" s="147"/>
      <c r="Q4113" s="147"/>
      <c r="R4113" s="147"/>
      <c r="S4113" s="147"/>
      <c r="T4113" s="147"/>
      <c r="U4113" s="147"/>
      <c r="V4113" s="147"/>
      <c r="W4113" s="147"/>
      <c r="X4113" s="147"/>
      <c r="Y4113" s="147"/>
      <c r="Z4113" s="147"/>
      <c r="AA4113" s="147"/>
      <c r="AB4113" s="147"/>
      <c r="AC4113" s="147"/>
      <c r="AD4113" s="147"/>
      <c r="AE4113" s="147"/>
      <c r="AF4113" s="147"/>
      <c r="AG4113" s="147"/>
      <c r="AH4113" s="147"/>
      <c r="AI4113" s="147"/>
      <c r="AJ4113" s="147"/>
      <c r="AK4113" s="147"/>
      <c r="AL4113" s="147"/>
      <c r="AM4113" s="147"/>
      <c r="AN4113" s="147"/>
      <c r="AO4113" s="147"/>
      <c r="AP4113" s="147"/>
      <c r="AQ4113" s="147"/>
      <c r="AR4113" s="147"/>
      <c r="AS4113" s="147"/>
      <c r="AT4113" s="147"/>
      <c r="AU4113" s="147"/>
      <c r="AV4113" s="147"/>
      <c r="AW4113" s="147"/>
      <c r="AX4113" s="147"/>
      <c r="AY4113" s="147"/>
      <c r="AZ4113" s="147"/>
      <c r="BA4113" s="147"/>
    </row>
    <row r="4114" spans="1:53" ht="15.75" customHeight="1">
      <c r="A4114" s="99"/>
      <c r="B4114" s="99"/>
      <c r="C4114" s="147"/>
      <c r="D4114" s="147"/>
      <c r="E4114" s="147"/>
      <c r="F4114" s="147"/>
      <c r="G4114" s="147"/>
      <c r="H4114" s="147"/>
      <c r="I4114" s="147"/>
      <c r="J4114" s="147"/>
      <c r="K4114" s="147"/>
      <c r="L4114" s="147"/>
      <c r="M4114" s="147"/>
      <c r="N4114" s="147"/>
      <c r="O4114" s="147"/>
      <c r="P4114" s="147"/>
      <c r="Q4114" s="147"/>
      <c r="R4114" s="147"/>
      <c r="S4114" s="147"/>
      <c r="T4114" s="147"/>
      <c r="U4114" s="147"/>
      <c r="V4114" s="147"/>
      <c r="W4114" s="147"/>
      <c r="X4114" s="147"/>
      <c r="Y4114" s="147"/>
      <c r="Z4114" s="147"/>
      <c r="AA4114" s="147"/>
      <c r="AB4114" s="147"/>
      <c r="AC4114" s="147"/>
      <c r="AD4114" s="147"/>
      <c r="AE4114" s="147"/>
      <c r="AF4114" s="147"/>
      <c r="AG4114" s="147"/>
      <c r="AH4114" s="147"/>
      <c r="AI4114" s="147"/>
      <c r="AJ4114" s="147"/>
      <c r="AK4114" s="147"/>
      <c r="AL4114" s="147"/>
      <c r="AM4114" s="147"/>
      <c r="AN4114" s="147"/>
      <c r="AO4114" s="147"/>
      <c r="AP4114" s="147"/>
      <c r="AQ4114" s="147"/>
      <c r="AR4114" s="147"/>
      <c r="AS4114" s="147"/>
      <c r="AT4114" s="147"/>
      <c r="AU4114" s="147"/>
      <c r="AV4114" s="147"/>
      <c r="AW4114" s="147"/>
      <c r="AX4114" s="147"/>
      <c r="AY4114" s="147"/>
      <c r="AZ4114" s="147"/>
      <c r="BA4114" s="147"/>
    </row>
    <row r="4115" spans="1:53" ht="15.75" customHeight="1">
      <c r="A4115" s="99"/>
      <c r="B4115" s="99"/>
      <c r="C4115" s="147"/>
      <c r="D4115" s="147"/>
      <c r="E4115" s="147"/>
      <c r="F4115" s="147"/>
      <c r="G4115" s="147"/>
      <c r="H4115" s="147"/>
      <c r="I4115" s="147"/>
      <c r="J4115" s="147"/>
      <c r="K4115" s="147"/>
      <c r="L4115" s="147"/>
      <c r="M4115" s="147"/>
      <c r="N4115" s="147"/>
      <c r="O4115" s="147"/>
      <c r="P4115" s="147"/>
      <c r="Q4115" s="147"/>
      <c r="R4115" s="147"/>
      <c r="S4115" s="147"/>
      <c r="T4115" s="147"/>
      <c r="U4115" s="147"/>
      <c r="V4115" s="147"/>
      <c r="W4115" s="147"/>
      <c r="X4115" s="147"/>
      <c r="Y4115" s="147"/>
      <c r="Z4115" s="147"/>
      <c r="AA4115" s="147"/>
      <c r="AB4115" s="147"/>
      <c r="AC4115" s="147"/>
      <c r="AD4115" s="147"/>
      <c r="AE4115" s="147"/>
      <c r="AF4115" s="147"/>
      <c r="AG4115" s="147"/>
      <c r="AH4115" s="147"/>
      <c r="AI4115" s="147"/>
      <c r="AJ4115" s="147"/>
      <c r="AK4115" s="147"/>
      <c r="AL4115" s="147"/>
      <c r="AM4115" s="147"/>
      <c r="AN4115" s="147"/>
      <c r="AO4115" s="147"/>
      <c r="AP4115" s="147"/>
      <c r="AQ4115" s="147"/>
      <c r="AR4115" s="147"/>
      <c r="AS4115" s="147"/>
      <c r="AT4115" s="147"/>
      <c r="AU4115" s="147"/>
      <c r="AV4115" s="147"/>
      <c r="AW4115" s="147"/>
      <c r="AX4115" s="147"/>
      <c r="AY4115" s="147"/>
      <c r="AZ4115" s="147"/>
      <c r="BA4115" s="147"/>
    </row>
    <row r="4116" spans="1:53" ht="15.75" customHeight="1">
      <c r="A4116" s="99"/>
      <c r="B4116" s="99"/>
      <c r="C4116" s="147"/>
      <c r="D4116" s="147"/>
      <c r="E4116" s="147"/>
      <c r="F4116" s="147"/>
      <c r="G4116" s="147"/>
      <c r="H4116" s="147"/>
      <c r="I4116" s="147"/>
      <c r="J4116" s="147"/>
      <c r="K4116" s="147"/>
      <c r="L4116" s="147"/>
      <c r="M4116" s="147"/>
      <c r="N4116" s="147"/>
      <c r="O4116" s="147"/>
      <c r="P4116" s="147"/>
      <c r="Q4116" s="147"/>
      <c r="R4116" s="147"/>
      <c r="S4116" s="147"/>
      <c r="T4116" s="147"/>
      <c r="U4116" s="147"/>
      <c r="V4116" s="147"/>
      <c r="W4116" s="147"/>
      <c r="X4116" s="147"/>
      <c r="Y4116" s="147"/>
      <c r="Z4116" s="147"/>
      <c r="AA4116" s="147"/>
      <c r="AB4116" s="147"/>
      <c r="AC4116" s="147"/>
      <c r="AD4116" s="147"/>
      <c r="AE4116" s="147"/>
      <c r="AF4116" s="147"/>
      <c r="AG4116" s="147"/>
      <c r="AH4116" s="147"/>
      <c r="AI4116" s="147"/>
      <c r="AJ4116" s="147"/>
      <c r="AK4116" s="147"/>
      <c r="AL4116" s="147"/>
      <c r="AM4116" s="147"/>
      <c r="AN4116" s="147"/>
      <c r="AO4116" s="147"/>
      <c r="AP4116" s="147"/>
      <c r="AQ4116" s="147"/>
      <c r="AR4116" s="147"/>
      <c r="AS4116" s="147"/>
      <c r="AT4116" s="147"/>
      <c r="AU4116" s="147"/>
      <c r="AV4116" s="147"/>
      <c r="AW4116" s="147"/>
      <c r="AX4116" s="147"/>
      <c r="AY4116" s="147"/>
      <c r="AZ4116" s="147"/>
      <c r="BA4116" s="147"/>
    </row>
    <row r="4117" spans="1:53" ht="15.75" customHeight="1">
      <c r="A4117" s="99"/>
      <c r="B4117" s="99"/>
      <c r="C4117" s="147"/>
      <c r="D4117" s="147"/>
      <c r="E4117" s="147"/>
      <c r="F4117" s="147"/>
      <c r="G4117" s="147"/>
      <c r="H4117" s="147"/>
      <c r="I4117" s="147"/>
      <c r="J4117" s="147"/>
      <c r="K4117" s="147"/>
      <c r="L4117" s="147"/>
      <c r="M4117" s="147"/>
      <c r="N4117" s="147"/>
      <c r="O4117" s="147"/>
      <c r="P4117" s="147"/>
      <c r="Q4117" s="147"/>
      <c r="R4117" s="147"/>
      <c r="S4117" s="147"/>
      <c r="T4117" s="147"/>
      <c r="U4117" s="147"/>
      <c r="V4117" s="147"/>
      <c r="W4117" s="147"/>
      <c r="X4117" s="147"/>
      <c r="Y4117" s="147"/>
      <c r="Z4117" s="147"/>
      <c r="AA4117" s="147"/>
      <c r="AB4117" s="147"/>
      <c r="AC4117" s="147"/>
      <c r="AD4117" s="147"/>
      <c r="AE4117" s="147"/>
      <c r="AF4117" s="147"/>
      <c r="AG4117" s="147"/>
      <c r="AH4117" s="147"/>
      <c r="AI4117" s="147"/>
      <c r="AJ4117" s="147"/>
      <c r="AK4117" s="147"/>
      <c r="AL4117" s="147"/>
      <c r="AM4117" s="147"/>
      <c r="AN4117" s="147"/>
      <c r="AO4117" s="147"/>
      <c r="AP4117" s="147"/>
      <c r="AQ4117" s="147"/>
      <c r="AR4117" s="147"/>
      <c r="AS4117" s="147"/>
      <c r="AT4117" s="147"/>
      <c r="AU4117" s="147"/>
      <c r="AV4117" s="147"/>
      <c r="AW4117" s="147"/>
      <c r="AX4117" s="147"/>
      <c r="AY4117" s="147"/>
      <c r="AZ4117" s="147"/>
      <c r="BA4117" s="147"/>
    </row>
    <row r="4118" spans="1:53" ht="15.75" customHeight="1">
      <c r="A4118" s="99"/>
      <c r="B4118" s="99"/>
      <c r="C4118" s="147"/>
      <c r="D4118" s="147"/>
      <c r="E4118" s="147"/>
      <c r="F4118" s="147"/>
      <c r="G4118" s="147"/>
      <c r="H4118" s="147"/>
      <c r="I4118" s="147"/>
      <c r="J4118" s="147"/>
      <c r="K4118" s="147"/>
      <c r="L4118" s="147"/>
      <c r="M4118" s="147"/>
      <c r="N4118" s="147"/>
      <c r="O4118" s="147"/>
      <c r="P4118" s="147"/>
      <c r="Q4118" s="147"/>
      <c r="R4118" s="147"/>
      <c r="S4118" s="147"/>
      <c r="T4118" s="147"/>
      <c r="U4118" s="147"/>
      <c r="V4118" s="147"/>
      <c r="W4118" s="147"/>
      <c r="X4118" s="147"/>
      <c r="Y4118" s="147"/>
      <c r="Z4118" s="147"/>
      <c r="AA4118" s="147"/>
      <c r="AB4118" s="147"/>
      <c r="AC4118" s="147"/>
      <c r="AD4118" s="147"/>
      <c r="AE4118" s="147"/>
      <c r="AF4118" s="147"/>
      <c r="AG4118" s="147"/>
      <c r="AH4118" s="147"/>
      <c r="AI4118" s="147"/>
      <c r="AJ4118" s="147"/>
      <c r="AK4118" s="147"/>
      <c r="AL4118" s="147"/>
      <c r="AM4118" s="147"/>
      <c r="AN4118" s="147"/>
      <c r="AO4118" s="147"/>
      <c r="AP4118" s="147"/>
      <c r="AQ4118" s="147"/>
      <c r="AR4118" s="147"/>
      <c r="AS4118" s="147"/>
      <c r="AT4118" s="147"/>
      <c r="AU4118" s="147"/>
      <c r="AV4118" s="147"/>
      <c r="AW4118" s="147"/>
      <c r="AX4118" s="147"/>
      <c r="AY4118" s="147"/>
      <c r="AZ4118" s="147"/>
      <c r="BA4118" s="147"/>
    </row>
    <row r="4119" spans="1:53" ht="15.75" customHeight="1">
      <c r="A4119" s="99"/>
      <c r="B4119" s="99"/>
      <c r="C4119" s="147"/>
      <c r="D4119" s="147"/>
      <c r="E4119" s="147"/>
      <c r="F4119" s="147"/>
      <c r="G4119" s="147"/>
      <c r="H4119" s="147"/>
      <c r="I4119" s="147"/>
      <c r="J4119" s="147"/>
      <c r="K4119" s="147"/>
      <c r="L4119" s="147"/>
      <c r="M4119" s="147"/>
      <c r="N4119" s="147"/>
      <c r="O4119" s="147"/>
      <c r="P4119" s="147"/>
      <c r="Q4119" s="147"/>
      <c r="R4119" s="147"/>
      <c r="S4119" s="147"/>
      <c r="T4119" s="147"/>
      <c r="U4119" s="147"/>
      <c r="V4119" s="147"/>
      <c r="W4119" s="147"/>
      <c r="X4119" s="147"/>
      <c r="Y4119" s="147"/>
      <c r="Z4119" s="147"/>
      <c r="AA4119" s="147"/>
      <c r="AB4119" s="147"/>
      <c r="AC4119" s="147"/>
      <c r="AD4119" s="147"/>
      <c r="AE4119" s="147"/>
      <c r="AF4119" s="147"/>
      <c r="AG4119" s="147"/>
      <c r="AH4119" s="147"/>
      <c r="AI4119" s="147"/>
      <c r="AJ4119" s="147"/>
      <c r="AK4119" s="147"/>
      <c r="AL4119" s="147"/>
      <c r="AM4119" s="147"/>
      <c r="AN4119" s="147"/>
      <c r="AO4119" s="147"/>
      <c r="AP4119" s="147"/>
      <c r="AQ4119" s="147"/>
      <c r="AR4119" s="147"/>
      <c r="AS4119" s="147"/>
      <c r="AT4119" s="147"/>
      <c r="AU4119" s="147"/>
      <c r="AV4119" s="147"/>
      <c r="AW4119" s="147"/>
      <c r="AX4119" s="147"/>
      <c r="AY4119" s="147"/>
      <c r="AZ4119" s="147"/>
      <c r="BA4119" s="147"/>
    </row>
    <row r="4120" spans="1:53" ht="15.75" customHeight="1">
      <c r="A4120" s="99"/>
      <c r="B4120" s="99"/>
      <c r="C4120" s="147"/>
      <c r="D4120" s="147"/>
      <c r="E4120" s="147"/>
      <c r="F4120" s="147"/>
      <c r="G4120" s="147"/>
      <c r="H4120" s="147"/>
      <c r="I4120" s="147"/>
      <c r="J4120" s="147"/>
      <c r="K4120" s="147"/>
      <c r="L4120" s="147"/>
      <c r="M4120" s="147"/>
      <c r="N4120" s="147"/>
      <c r="O4120" s="147"/>
      <c r="P4120" s="147"/>
      <c r="Q4120" s="147"/>
      <c r="R4120" s="147"/>
      <c r="S4120" s="147"/>
      <c r="T4120" s="147"/>
      <c r="U4120" s="147"/>
      <c r="V4120" s="147"/>
      <c r="W4120" s="147"/>
      <c r="X4120" s="147"/>
      <c r="Y4120" s="147"/>
      <c r="Z4120" s="147"/>
      <c r="AA4120" s="147"/>
      <c r="AB4120" s="147"/>
      <c r="AC4120" s="147"/>
      <c r="AD4120" s="147"/>
      <c r="AE4120" s="147"/>
      <c r="AF4120" s="147"/>
      <c r="AG4120" s="147"/>
      <c r="AH4120" s="147"/>
      <c r="AI4120" s="147"/>
      <c r="AJ4120" s="147"/>
      <c r="AK4120" s="147"/>
      <c r="AL4120" s="147"/>
      <c r="AM4120" s="147"/>
      <c r="AN4120" s="147"/>
      <c r="AO4120" s="147"/>
      <c r="AP4120" s="147"/>
      <c r="AQ4120" s="147"/>
      <c r="AR4120" s="147"/>
      <c r="AS4120" s="147"/>
      <c r="AT4120" s="147"/>
      <c r="AU4120" s="147"/>
      <c r="AV4120" s="147"/>
      <c r="AW4120" s="147"/>
      <c r="AX4120" s="147"/>
      <c r="AY4120" s="147"/>
      <c r="AZ4120" s="147"/>
      <c r="BA4120" s="147"/>
    </row>
    <row r="4121" spans="1:53" ht="15.75" customHeight="1">
      <c r="A4121" s="99"/>
      <c r="B4121" s="99"/>
      <c r="C4121" s="147"/>
      <c r="D4121" s="147"/>
      <c r="E4121" s="147"/>
      <c r="F4121" s="147"/>
      <c r="G4121" s="147"/>
      <c r="H4121" s="147"/>
      <c r="I4121" s="147"/>
      <c r="J4121" s="147"/>
      <c r="K4121" s="147"/>
      <c r="L4121" s="147"/>
      <c r="M4121" s="147"/>
      <c r="N4121" s="147"/>
      <c r="O4121" s="147"/>
      <c r="P4121" s="147"/>
      <c r="Q4121" s="147"/>
      <c r="R4121" s="147"/>
      <c r="S4121" s="147"/>
      <c r="T4121" s="147"/>
      <c r="U4121" s="147"/>
      <c r="V4121" s="147"/>
      <c r="W4121" s="147"/>
      <c r="X4121" s="147"/>
      <c r="Y4121" s="147"/>
      <c r="Z4121" s="147"/>
      <c r="AA4121" s="147"/>
      <c r="AB4121" s="147"/>
      <c r="AC4121" s="147"/>
      <c r="AD4121" s="147"/>
      <c r="AE4121" s="147"/>
      <c r="AF4121" s="147"/>
      <c r="AG4121" s="147"/>
      <c r="AH4121" s="147"/>
      <c r="AI4121" s="147"/>
      <c r="AJ4121" s="147"/>
      <c r="AK4121" s="147"/>
      <c r="AL4121" s="147"/>
      <c r="AM4121" s="147"/>
      <c r="AN4121" s="147"/>
      <c r="AO4121" s="147"/>
      <c r="AP4121" s="147"/>
      <c r="AQ4121" s="147"/>
      <c r="AR4121" s="147"/>
      <c r="AS4121" s="147"/>
      <c r="AT4121" s="147"/>
      <c r="AU4121" s="147"/>
      <c r="AV4121" s="147"/>
      <c r="AW4121" s="147"/>
      <c r="AX4121" s="147"/>
      <c r="AY4121" s="147"/>
      <c r="AZ4121" s="147"/>
      <c r="BA4121" s="147"/>
    </row>
    <row r="4122" spans="1:53" ht="15.75" customHeight="1">
      <c r="A4122" s="99"/>
      <c r="B4122" s="99"/>
      <c r="C4122" s="147"/>
      <c r="D4122" s="147"/>
      <c r="E4122" s="147"/>
      <c r="F4122" s="147"/>
      <c r="G4122" s="147"/>
      <c r="H4122" s="147"/>
      <c r="I4122" s="147"/>
      <c r="J4122" s="147"/>
      <c r="K4122" s="147"/>
      <c r="L4122" s="147"/>
      <c r="M4122" s="147"/>
      <c r="N4122" s="147"/>
      <c r="O4122" s="147"/>
      <c r="P4122" s="147"/>
      <c r="Q4122" s="147"/>
      <c r="R4122" s="147"/>
      <c r="S4122" s="147"/>
      <c r="T4122" s="147"/>
      <c r="U4122" s="147"/>
      <c r="V4122" s="147"/>
      <c r="W4122" s="147"/>
      <c r="X4122" s="147"/>
      <c r="Y4122" s="147"/>
      <c r="Z4122" s="147"/>
      <c r="AA4122" s="147"/>
      <c r="AB4122" s="147"/>
      <c r="AC4122" s="147"/>
      <c r="AD4122" s="147"/>
      <c r="AE4122" s="147"/>
      <c r="AF4122" s="147"/>
      <c r="AG4122" s="147"/>
      <c r="AH4122" s="147"/>
      <c r="AI4122" s="147"/>
      <c r="AJ4122" s="147"/>
      <c r="AK4122" s="147"/>
      <c r="AL4122" s="147"/>
      <c r="AM4122" s="147"/>
      <c r="AN4122" s="147"/>
      <c r="AO4122" s="147"/>
      <c r="AP4122" s="147"/>
      <c r="AQ4122" s="147"/>
      <c r="AR4122" s="147"/>
      <c r="AS4122" s="147"/>
      <c r="AT4122" s="147"/>
      <c r="AU4122" s="147"/>
      <c r="AV4122" s="147"/>
      <c r="AW4122" s="147"/>
      <c r="AX4122" s="147"/>
      <c r="AY4122" s="147"/>
      <c r="AZ4122" s="147"/>
      <c r="BA4122" s="147"/>
    </row>
    <row r="4123" spans="1:53" ht="15.75" customHeight="1">
      <c r="A4123" s="99"/>
      <c r="B4123" s="99"/>
      <c r="C4123" s="147"/>
      <c r="D4123" s="147"/>
      <c r="E4123" s="147"/>
      <c r="F4123" s="147"/>
      <c r="G4123" s="147"/>
      <c r="H4123" s="147"/>
      <c r="I4123" s="147"/>
      <c r="J4123" s="147"/>
      <c r="K4123" s="147"/>
      <c r="L4123" s="147"/>
      <c r="M4123" s="147"/>
      <c r="N4123" s="147"/>
      <c r="O4123" s="147"/>
      <c r="P4123" s="147"/>
      <c r="Q4123" s="147"/>
      <c r="R4123" s="147"/>
      <c r="S4123" s="147"/>
      <c r="T4123" s="147"/>
      <c r="U4123" s="147"/>
      <c r="V4123" s="147"/>
      <c r="W4123" s="147"/>
      <c r="X4123" s="147"/>
      <c r="Y4123" s="147"/>
      <c r="Z4123" s="147"/>
      <c r="AA4123" s="147"/>
      <c r="AB4123" s="147"/>
      <c r="AC4123" s="147"/>
      <c r="AD4123" s="147"/>
      <c r="AE4123" s="147"/>
      <c r="AF4123" s="147"/>
      <c r="AG4123" s="147"/>
      <c r="AH4123" s="147"/>
      <c r="AI4123" s="147"/>
      <c r="AJ4123" s="147"/>
      <c r="AK4123" s="147"/>
      <c r="AL4123" s="147"/>
      <c r="AM4123" s="147"/>
      <c r="AN4123" s="147"/>
      <c r="AO4123" s="147"/>
      <c r="AP4123" s="147"/>
      <c r="AQ4123" s="147"/>
      <c r="AR4123" s="147"/>
      <c r="AS4123" s="147"/>
      <c r="AT4123" s="147"/>
      <c r="AU4123" s="147"/>
      <c r="AV4123" s="147"/>
      <c r="AW4123" s="147"/>
      <c r="AX4123" s="147"/>
      <c r="AY4123" s="147"/>
      <c r="AZ4123" s="147"/>
      <c r="BA4123" s="147"/>
    </row>
    <row r="4124" spans="1:53" ht="15.75" customHeight="1">
      <c r="A4124" s="99"/>
      <c r="B4124" s="99"/>
      <c r="C4124" s="147"/>
      <c r="D4124" s="147"/>
      <c r="E4124" s="147"/>
      <c r="F4124" s="147"/>
      <c r="G4124" s="147"/>
      <c r="H4124" s="147"/>
      <c r="I4124" s="147"/>
      <c r="J4124" s="147"/>
      <c r="K4124" s="147"/>
      <c r="L4124" s="147"/>
      <c r="M4124" s="147"/>
      <c r="N4124" s="147"/>
      <c r="O4124" s="147"/>
      <c r="P4124" s="147"/>
      <c r="Q4124" s="147"/>
      <c r="R4124" s="147"/>
      <c r="S4124" s="147"/>
      <c r="T4124" s="147"/>
      <c r="U4124" s="147"/>
      <c r="V4124" s="147"/>
      <c r="W4124" s="147"/>
      <c r="X4124" s="147"/>
      <c r="Y4124" s="147"/>
      <c r="Z4124" s="147"/>
      <c r="AA4124" s="147"/>
      <c r="AB4124" s="147"/>
      <c r="AC4124" s="147"/>
      <c r="AD4124" s="147"/>
      <c r="AE4124" s="147"/>
      <c r="AF4124" s="147"/>
      <c r="AG4124" s="147"/>
      <c r="AH4124" s="147"/>
      <c r="AI4124" s="147"/>
      <c r="AJ4124" s="147"/>
      <c r="AK4124" s="147"/>
      <c r="AL4124" s="147"/>
      <c r="AM4124" s="147"/>
      <c r="AN4124" s="147"/>
      <c r="AO4124" s="147"/>
      <c r="AP4124" s="147"/>
      <c r="AQ4124" s="147"/>
      <c r="AR4124" s="147"/>
      <c r="AS4124" s="147"/>
      <c r="AT4124" s="147"/>
      <c r="AU4124" s="147"/>
      <c r="AV4124" s="147"/>
      <c r="AW4124" s="147"/>
      <c r="AX4124" s="147"/>
      <c r="AY4124" s="147"/>
      <c r="AZ4124" s="147"/>
      <c r="BA4124" s="147"/>
    </row>
    <row r="4125" spans="1:53" ht="15.75" customHeight="1">
      <c r="A4125" s="99"/>
      <c r="B4125" s="99"/>
      <c r="C4125" s="147"/>
      <c r="D4125" s="147"/>
      <c r="E4125" s="147"/>
      <c r="F4125" s="147"/>
      <c r="G4125" s="147"/>
      <c r="H4125" s="147"/>
      <c r="I4125" s="147"/>
      <c r="J4125" s="147"/>
      <c r="K4125" s="147"/>
      <c r="L4125" s="147"/>
      <c r="M4125" s="147"/>
      <c r="N4125" s="147"/>
      <c r="O4125" s="147"/>
      <c r="P4125" s="147"/>
      <c r="Q4125" s="147"/>
      <c r="R4125" s="147"/>
      <c r="S4125" s="147"/>
      <c r="T4125" s="147"/>
      <c r="U4125" s="147"/>
      <c r="V4125" s="147"/>
      <c r="W4125" s="147"/>
      <c r="X4125" s="147"/>
      <c r="Y4125" s="147"/>
      <c r="Z4125" s="147"/>
      <c r="AA4125" s="147"/>
      <c r="AB4125" s="147"/>
      <c r="AC4125" s="147"/>
      <c r="AD4125" s="147"/>
      <c r="AE4125" s="147"/>
      <c r="AF4125" s="147"/>
      <c r="AG4125" s="147"/>
      <c r="AH4125" s="147"/>
      <c r="AI4125" s="147"/>
      <c r="AJ4125" s="147"/>
      <c r="AK4125" s="147"/>
      <c r="AL4125" s="147"/>
      <c r="AM4125" s="147"/>
      <c r="AN4125" s="147"/>
      <c r="AO4125" s="147"/>
      <c r="AP4125" s="147"/>
      <c r="AQ4125" s="147"/>
      <c r="AR4125" s="147"/>
      <c r="AS4125" s="147"/>
      <c r="AT4125" s="147"/>
      <c r="AU4125" s="147"/>
      <c r="AV4125" s="147"/>
      <c r="AW4125" s="147"/>
      <c r="AX4125" s="147"/>
      <c r="AY4125" s="147"/>
      <c r="AZ4125" s="147"/>
      <c r="BA4125" s="147"/>
    </row>
    <row r="4126" spans="1:53" ht="15.75" customHeight="1">
      <c r="A4126" s="99"/>
      <c r="B4126" s="99"/>
      <c r="C4126" s="147"/>
      <c r="D4126" s="147"/>
      <c r="E4126" s="147"/>
      <c r="F4126" s="147"/>
      <c r="G4126" s="147"/>
      <c r="H4126" s="147"/>
      <c r="I4126" s="147"/>
      <c r="J4126" s="147"/>
      <c r="K4126" s="147"/>
      <c r="L4126" s="147"/>
      <c r="M4126" s="147"/>
      <c r="N4126" s="147"/>
      <c r="O4126" s="147"/>
      <c r="P4126" s="147"/>
      <c r="Q4126" s="147"/>
      <c r="R4126" s="147"/>
      <c r="S4126" s="147"/>
      <c r="T4126" s="147"/>
      <c r="U4126" s="147"/>
      <c r="V4126" s="147"/>
      <c r="W4126" s="147"/>
      <c r="X4126" s="147"/>
      <c r="Y4126" s="147"/>
      <c r="Z4126" s="147"/>
      <c r="AA4126" s="147"/>
      <c r="AB4126" s="147"/>
      <c r="AC4126" s="147"/>
      <c r="AD4126" s="147"/>
      <c r="AE4126" s="147"/>
      <c r="AF4126" s="147"/>
      <c r="AG4126" s="147"/>
      <c r="AH4126" s="147"/>
      <c r="AI4126" s="147"/>
      <c r="AJ4126" s="147"/>
      <c r="AK4126" s="147"/>
      <c r="AL4126" s="147"/>
      <c r="AM4126" s="147"/>
      <c r="AN4126" s="147"/>
      <c r="AO4126" s="147"/>
      <c r="AP4126" s="147"/>
      <c r="AQ4126" s="147"/>
      <c r="AR4126" s="147"/>
      <c r="AS4126" s="147"/>
      <c r="AT4126" s="147"/>
      <c r="AU4126" s="147"/>
      <c r="AV4126" s="147"/>
      <c r="AW4126" s="147"/>
      <c r="AX4126" s="147"/>
      <c r="AY4126" s="147"/>
      <c r="AZ4126" s="147"/>
      <c r="BA4126" s="147"/>
    </row>
    <row r="4127" spans="1:53" ht="15.75" customHeight="1">
      <c r="A4127" s="99"/>
      <c r="B4127" s="99"/>
      <c r="C4127" s="147"/>
      <c r="D4127" s="147"/>
      <c r="E4127" s="147"/>
      <c r="F4127" s="147"/>
      <c r="G4127" s="147"/>
      <c r="H4127" s="147"/>
      <c r="I4127" s="147"/>
      <c r="J4127" s="147"/>
      <c r="K4127" s="147"/>
      <c r="L4127" s="147"/>
      <c r="M4127" s="147"/>
      <c r="N4127" s="147"/>
      <c r="O4127" s="147"/>
      <c r="P4127" s="147"/>
      <c r="Q4127" s="147"/>
      <c r="R4127" s="147"/>
      <c r="S4127" s="147"/>
      <c r="T4127" s="147"/>
      <c r="U4127" s="147"/>
      <c r="V4127" s="147"/>
      <c r="W4127" s="147"/>
      <c r="X4127" s="147"/>
      <c r="Y4127" s="147"/>
      <c r="Z4127" s="147"/>
      <c r="AA4127" s="147"/>
      <c r="AB4127" s="147"/>
      <c r="AC4127" s="147"/>
      <c r="AD4127" s="147"/>
      <c r="AE4127" s="147"/>
      <c r="AF4127" s="147"/>
      <c r="AG4127" s="147"/>
      <c r="AH4127" s="147"/>
      <c r="AI4127" s="147"/>
      <c r="AJ4127" s="147"/>
      <c r="AK4127" s="147"/>
      <c r="AL4127" s="147"/>
      <c r="AM4127" s="147"/>
      <c r="AN4127" s="147"/>
      <c r="AO4127" s="147"/>
      <c r="AP4127" s="147"/>
      <c r="AQ4127" s="147"/>
      <c r="AR4127" s="147"/>
      <c r="AS4127" s="147"/>
      <c r="AT4127" s="147"/>
      <c r="AU4127" s="147"/>
      <c r="AV4127" s="147"/>
      <c r="AW4127" s="147"/>
      <c r="AX4127" s="147"/>
      <c r="AY4127" s="147"/>
      <c r="AZ4127" s="147"/>
      <c r="BA4127" s="147"/>
    </row>
    <row r="4128" spans="1:53" ht="15.75" customHeight="1">
      <c r="A4128" s="99"/>
      <c r="B4128" s="99"/>
      <c r="C4128" s="147"/>
      <c r="D4128" s="147"/>
      <c r="E4128" s="147"/>
      <c r="F4128" s="147"/>
      <c r="G4128" s="147"/>
      <c r="H4128" s="147"/>
      <c r="I4128" s="147"/>
      <c r="J4128" s="147"/>
      <c r="K4128" s="147"/>
      <c r="L4128" s="147"/>
      <c r="M4128" s="147"/>
      <c r="N4128" s="147"/>
      <c r="O4128" s="147"/>
      <c r="P4128" s="147"/>
      <c r="Q4128" s="147"/>
      <c r="R4128" s="147"/>
      <c r="S4128" s="147"/>
      <c r="T4128" s="147"/>
      <c r="U4128" s="147"/>
      <c r="V4128" s="147"/>
      <c r="W4128" s="147"/>
      <c r="X4128" s="147"/>
      <c r="Y4128" s="147"/>
      <c r="Z4128" s="147"/>
      <c r="AA4128" s="147"/>
      <c r="AB4128" s="147"/>
      <c r="AC4128" s="147"/>
      <c r="AD4128" s="147"/>
      <c r="AE4128" s="147"/>
      <c r="AF4128" s="147"/>
      <c r="AG4128" s="147"/>
      <c r="AH4128" s="147"/>
      <c r="AI4128" s="147"/>
      <c r="AJ4128" s="147"/>
      <c r="AK4128" s="147"/>
      <c r="AL4128" s="147"/>
      <c r="AM4128" s="147"/>
      <c r="AN4128" s="147"/>
      <c r="AO4128" s="147"/>
      <c r="AP4128" s="147"/>
      <c r="AQ4128" s="147"/>
      <c r="AR4128" s="147"/>
      <c r="AS4128" s="147"/>
      <c r="AT4128" s="147"/>
      <c r="AU4128" s="147"/>
      <c r="AV4128" s="147"/>
      <c r="AW4128" s="147"/>
      <c r="AX4128" s="147"/>
      <c r="AY4128" s="147"/>
      <c r="AZ4128" s="147"/>
      <c r="BA4128" s="147"/>
    </row>
    <row r="4129" spans="1:53" ht="15.75" customHeight="1">
      <c r="A4129" s="99"/>
      <c r="B4129" s="99"/>
      <c r="C4129" s="147"/>
      <c r="D4129" s="147"/>
      <c r="E4129" s="147"/>
      <c r="F4129" s="147"/>
      <c r="G4129" s="147"/>
      <c r="H4129" s="147"/>
      <c r="I4129" s="147"/>
      <c r="J4129" s="147"/>
      <c r="K4129" s="147"/>
      <c r="L4129" s="147"/>
      <c r="M4129" s="147"/>
      <c r="N4129" s="147"/>
      <c r="O4129" s="147"/>
      <c r="P4129" s="147"/>
      <c r="Q4129" s="147"/>
      <c r="R4129" s="147"/>
      <c r="S4129" s="147"/>
      <c r="T4129" s="147"/>
      <c r="U4129" s="147"/>
      <c r="V4129" s="147"/>
      <c r="W4129" s="147"/>
      <c r="X4129" s="147"/>
      <c r="Y4129" s="147"/>
      <c r="Z4129" s="147"/>
      <c r="AA4129" s="147"/>
      <c r="AB4129" s="147"/>
      <c r="AC4129" s="147"/>
      <c r="AD4129" s="147"/>
      <c r="AE4129" s="147"/>
      <c r="AF4129" s="147"/>
      <c r="AG4129" s="147"/>
      <c r="AH4129" s="147"/>
      <c r="AI4129" s="147"/>
      <c r="AJ4129" s="147"/>
      <c r="AK4129" s="147"/>
      <c r="AL4129" s="147"/>
      <c r="AM4129" s="147"/>
      <c r="AN4129" s="147"/>
      <c r="AO4129" s="147"/>
      <c r="AP4129" s="147"/>
      <c r="AQ4129" s="147"/>
      <c r="AR4129" s="147"/>
      <c r="AS4129" s="147"/>
      <c r="AT4129" s="147"/>
      <c r="AU4129" s="147"/>
      <c r="AV4129" s="147"/>
      <c r="AW4129" s="147"/>
      <c r="AX4129" s="147"/>
      <c r="AY4129" s="147"/>
      <c r="AZ4129" s="147"/>
      <c r="BA4129" s="147"/>
    </row>
    <row r="4130" spans="1:53" ht="15.75" customHeight="1">
      <c r="A4130" s="99"/>
      <c r="B4130" s="99"/>
      <c r="C4130" s="147"/>
      <c r="D4130" s="147"/>
      <c r="E4130" s="147"/>
      <c r="F4130" s="147"/>
      <c r="G4130" s="147"/>
      <c r="H4130" s="147"/>
      <c r="I4130" s="147"/>
      <c r="J4130" s="147"/>
      <c r="K4130" s="147"/>
      <c r="L4130" s="147"/>
      <c r="M4130" s="147"/>
      <c r="N4130" s="147"/>
      <c r="O4130" s="147"/>
      <c r="P4130" s="147"/>
      <c r="Q4130" s="147"/>
      <c r="R4130" s="147"/>
      <c r="S4130" s="147"/>
      <c r="T4130" s="147"/>
      <c r="U4130" s="147"/>
      <c r="V4130" s="147"/>
      <c r="W4130" s="147"/>
      <c r="X4130" s="147"/>
      <c r="Y4130" s="147"/>
      <c r="Z4130" s="147"/>
      <c r="AA4130" s="147"/>
      <c r="AB4130" s="147"/>
      <c r="AC4130" s="147"/>
      <c r="AD4130" s="147"/>
      <c r="AE4130" s="147"/>
      <c r="AF4130" s="147"/>
      <c r="AG4130" s="147"/>
      <c r="AH4130" s="147"/>
      <c r="AI4130" s="147"/>
      <c r="AJ4130" s="147"/>
      <c r="AK4130" s="147"/>
      <c r="AL4130" s="147"/>
      <c r="AM4130" s="147"/>
      <c r="AN4130" s="147"/>
      <c r="AO4130" s="147"/>
      <c r="AP4130" s="147"/>
      <c r="AQ4130" s="147"/>
      <c r="AR4130" s="147"/>
      <c r="AS4130" s="147"/>
      <c r="AT4130" s="147"/>
      <c r="AU4130" s="147"/>
      <c r="AV4130" s="147"/>
      <c r="AW4130" s="147"/>
      <c r="AX4130" s="147"/>
      <c r="AY4130" s="147"/>
      <c r="AZ4130" s="147"/>
      <c r="BA4130" s="147"/>
    </row>
    <row r="4131" spans="1:53" ht="15.75" customHeight="1">
      <c r="A4131" s="99"/>
      <c r="B4131" s="99"/>
      <c r="C4131" s="147"/>
      <c r="D4131" s="147"/>
      <c r="E4131" s="147"/>
      <c r="F4131" s="147"/>
      <c r="G4131" s="147"/>
      <c r="H4131" s="147"/>
      <c r="I4131" s="147"/>
      <c r="J4131" s="147"/>
      <c r="K4131" s="147"/>
      <c r="L4131" s="147"/>
      <c r="M4131" s="147"/>
      <c r="N4131" s="147"/>
      <c r="O4131" s="147"/>
      <c r="P4131" s="147"/>
      <c r="Q4131" s="147"/>
      <c r="R4131" s="147"/>
      <c r="S4131" s="147"/>
      <c r="T4131" s="147"/>
      <c r="U4131" s="147"/>
      <c r="V4131" s="147"/>
      <c r="W4131" s="147"/>
      <c r="X4131" s="147"/>
      <c r="Y4131" s="147"/>
      <c r="Z4131" s="147"/>
      <c r="AA4131" s="147"/>
      <c r="AB4131" s="147"/>
      <c r="AC4131" s="147"/>
      <c r="AD4131" s="147"/>
      <c r="AE4131" s="147"/>
      <c r="AF4131" s="147"/>
      <c r="AG4131" s="147"/>
      <c r="AH4131" s="147"/>
      <c r="AI4131" s="147"/>
      <c r="AJ4131" s="147"/>
      <c r="AK4131" s="147"/>
      <c r="AL4131" s="147"/>
      <c r="AM4131" s="147"/>
      <c r="AN4131" s="147"/>
      <c r="AO4131" s="147"/>
      <c r="AP4131" s="147"/>
      <c r="AQ4131" s="147"/>
      <c r="AR4131" s="147"/>
      <c r="AS4131" s="147"/>
      <c r="AT4131" s="147"/>
      <c r="AU4131" s="147"/>
      <c r="AV4131" s="147"/>
      <c r="AW4131" s="147"/>
      <c r="AX4131" s="147"/>
      <c r="AY4131" s="147"/>
      <c r="AZ4131" s="147"/>
      <c r="BA4131" s="147"/>
    </row>
    <row r="4132" spans="1:53" ht="15.75" customHeight="1">
      <c r="A4132" s="99"/>
      <c r="B4132" s="99"/>
      <c r="C4132" s="147"/>
      <c r="D4132" s="147"/>
      <c r="E4132" s="147"/>
      <c r="F4132" s="147"/>
      <c r="G4132" s="147"/>
      <c r="H4132" s="147"/>
      <c r="I4132" s="147"/>
      <c r="J4132" s="147"/>
      <c r="K4132" s="147"/>
      <c r="L4132" s="147"/>
      <c r="M4132" s="147"/>
      <c r="N4132" s="147"/>
      <c r="O4132" s="147"/>
      <c r="P4132" s="147"/>
      <c r="Q4132" s="147"/>
      <c r="R4132" s="147"/>
      <c r="S4132" s="147"/>
      <c r="T4132" s="147"/>
      <c r="U4132" s="147"/>
      <c r="V4132" s="147"/>
      <c r="W4132" s="147"/>
      <c r="X4132" s="147"/>
      <c r="Y4132" s="147"/>
      <c r="Z4132" s="147"/>
      <c r="AA4132" s="147"/>
      <c r="AB4132" s="147"/>
      <c r="AC4132" s="147"/>
      <c r="AD4132" s="147"/>
      <c r="AE4132" s="147"/>
      <c r="AF4132" s="147"/>
      <c r="AG4132" s="147"/>
      <c r="AH4132" s="147"/>
      <c r="AI4132" s="147"/>
      <c r="AJ4132" s="147"/>
      <c r="AK4132" s="147"/>
      <c r="AL4132" s="147"/>
      <c r="AM4132" s="147"/>
      <c r="AN4132" s="147"/>
      <c r="AO4132" s="147"/>
      <c r="AP4132" s="147"/>
      <c r="AQ4132" s="147"/>
      <c r="AR4132" s="147"/>
      <c r="AS4132" s="147"/>
      <c r="AT4132" s="147"/>
      <c r="AU4132" s="147"/>
      <c r="AV4132" s="147"/>
      <c r="AW4132" s="147"/>
      <c r="AX4132" s="147"/>
      <c r="AY4132" s="147"/>
      <c r="AZ4132" s="147"/>
      <c r="BA4132" s="147"/>
    </row>
    <row r="4133" spans="1:53" ht="15.75" customHeight="1">
      <c r="A4133" s="99"/>
      <c r="B4133" s="99"/>
      <c r="C4133" s="147"/>
      <c r="D4133" s="147"/>
      <c r="E4133" s="147"/>
      <c r="F4133" s="147"/>
      <c r="G4133" s="147"/>
      <c r="H4133" s="147"/>
      <c r="I4133" s="147"/>
      <c r="J4133" s="147"/>
      <c r="K4133" s="147"/>
      <c r="L4133" s="147"/>
      <c r="M4133" s="147"/>
      <c r="N4133" s="147"/>
      <c r="O4133" s="147"/>
      <c r="P4133" s="147"/>
      <c r="Q4133" s="147"/>
      <c r="R4133" s="147"/>
      <c r="S4133" s="147"/>
      <c r="T4133" s="147"/>
      <c r="U4133" s="147"/>
      <c r="V4133" s="147"/>
      <c r="W4133" s="147"/>
      <c r="X4133" s="147"/>
      <c r="Y4133" s="147"/>
      <c r="Z4133" s="147"/>
      <c r="AA4133" s="147"/>
      <c r="AB4133" s="147"/>
      <c r="AC4133" s="147"/>
      <c r="AD4133" s="147"/>
      <c r="AE4133" s="147"/>
      <c r="AF4133" s="147"/>
      <c r="AG4133" s="147"/>
      <c r="AH4133" s="147"/>
      <c r="AI4133" s="147"/>
      <c r="AJ4133" s="147"/>
      <c r="AK4133" s="147"/>
      <c r="AL4133" s="147"/>
      <c r="AM4133" s="147"/>
      <c r="AN4133" s="147"/>
      <c r="AO4133" s="147"/>
      <c r="AP4133" s="147"/>
      <c r="AQ4133" s="147"/>
      <c r="AR4133" s="147"/>
      <c r="AS4133" s="147"/>
      <c r="AT4133" s="147"/>
      <c r="AU4133" s="147"/>
      <c r="AV4133" s="147"/>
      <c r="AW4133" s="147"/>
      <c r="AX4133" s="147"/>
      <c r="AY4133" s="147"/>
      <c r="AZ4133" s="147"/>
      <c r="BA4133" s="147"/>
    </row>
    <row r="4134" spans="1:53" ht="15.75" customHeight="1">
      <c r="A4134" s="99"/>
      <c r="B4134" s="99"/>
      <c r="C4134" s="147"/>
      <c r="D4134" s="147"/>
      <c r="E4134" s="147"/>
      <c r="F4134" s="147"/>
      <c r="G4134" s="147"/>
      <c r="H4134" s="147"/>
      <c r="I4134" s="147"/>
      <c r="J4134" s="147"/>
      <c r="K4134" s="147"/>
      <c r="L4134" s="147"/>
      <c r="M4134" s="147"/>
      <c r="N4134" s="147"/>
      <c r="O4134" s="147"/>
      <c r="P4134" s="147"/>
      <c r="Q4134" s="147"/>
      <c r="R4134" s="147"/>
      <c r="S4134" s="147"/>
      <c r="T4134" s="147"/>
      <c r="U4134" s="147"/>
      <c r="V4134" s="147"/>
      <c r="W4134" s="147"/>
      <c r="X4134" s="147"/>
      <c r="Y4134" s="147"/>
      <c r="Z4134" s="147"/>
      <c r="AA4134" s="147"/>
      <c r="AB4134" s="147"/>
      <c r="AC4134" s="147"/>
      <c r="AD4134" s="147"/>
      <c r="AE4134" s="147"/>
      <c r="AF4134" s="147"/>
      <c r="AG4134" s="147"/>
      <c r="AH4134" s="147"/>
      <c r="AI4134" s="147"/>
      <c r="AJ4134" s="147"/>
      <c r="AK4134" s="147"/>
      <c r="AL4134" s="147"/>
      <c r="AM4134" s="147"/>
      <c r="AN4134" s="147"/>
      <c r="AO4134" s="147"/>
      <c r="AP4134" s="147"/>
      <c r="AQ4134" s="147"/>
      <c r="AR4134" s="147"/>
      <c r="AS4134" s="147"/>
      <c r="AT4134" s="147"/>
      <c r="AU4134" s="147"/>
      <c r="AV4134" s="147"/>
      <c r="AW4134" s="147"/>
      <c r="AX4134" s="147"/>
      <c r="AY4134" s="147"/>
      <c r="AZ4134" s="147"/>
      <c r="BA4134" s="147"/>
    </row>
    <row r="4135" spans="1:53" ht="15.75" customHeight="1">
      <c r="A4135" s="99"/>
      <c r="B4135" s="99"/>
      <c r="C4135" s="147"/>
      <c r="D4135" s="147"/>
      <c r="E4135" s="147"/>
      <c r="F4135" s="147"/>
      <c r="G4135" s="147"/>
      <c r="H4135" s="147"/>
      <c r="I4135" s="147"/>
      <c r="J4135" s="147"/>
      <c r="K4135" s="147"/>
      <c r="L4135" s="147"/>
      <c r="M4135" s="147"/>
      <c r="N4135" s="147"/>
      <c r="O4135" s="147"/>
      <c r="P4135" s="147"/>
      <c r="Q4135" s="147"/>
      <c r="R4135" s="147"/>
      <c r="S4135" s="147"/>
      <c r="T4135" s="147"/>
      <c r="U4135" s="147"/>
      <c r="V4135" s="147"/>
      <c r="W4135" s="147"/>
      <c r="X4135" s="147"/>
      <c r="Y4135" s="147"/>
      <c r="Z4135" s="147"/>
      <c r="AA4135" s="147"/>
      <c r="AB4135" s="147"/>
      <c r="AC4135" s="147"/>
      <c r="AD4135" s="147"/>
      <c r="AE4135" s="147"/>
      <c r="AF4135" s="147"/>
      <c r="AG4135" s="147"/>
      <c r="AH4135" s="147"/>
      <c r="AI4135" s="147"/>
      <c r="AJ4135" s="147"/>
      <c r="AK4135" s="147"/>
      <c r="AL4135" s="147"/>
      <c r="AM4135" s="147"/>
      <c r="AN4135" s="147"/>
      <c r="AO4135" s="147"/>
      <c r="AP4135" s="147"/>
      <c r="AQ4135" s="147"/>
      <c r="AR4135" s="147"/>
      <c r="AS4135" s="147"/>
      <c r="AT4135" s="147"/>
      <c r="AU4135" s="147"/>
      <c r="AV4135" s="147"/>
      <c r="AW4135" s="147"/>
      <c r="AX4135" s="147"/>
      <c r="AY4135" s="147"/>
      <c r="AZ4135" s="147"/>
      <c r="BA4135" s="147"/>
    </row>
    <row r="4136" spans="1:53" ht="15.75" customHeight="1">
      <c r="A4136" s="99"/>
      <c r="B4136" s="99"/>
      <c r="C4136" s="147"/>
      <c r="D4136" s="147"/>
      <c r="E4136" s="147"/>
      <c r="F4136" s="147"/>
      <c r="G4136" s="147"/>
      <c r="H4136" s="147"/>
      <c r="I4136" s="147"/>
      <c r="J4136" s="147"/>
      <c r="K4136" s="147"/>
      <c r="L4136" s="147"/>
      <c r="M4136" s="147"/>
      <c r="N4136" s="147"/>
      <c r="O4136" s="147"/>
      <c r="P4136" s="147"/>
      <c r="Q4136" s="147"/>
      <c r="R4136" s="147"/>
      <c r="S4136" s="147"/>
      <c r="T4136" s="147"/>
      <c r="U4136" s="147"/>
      <c r="V4136" s="147"/>
      <c r="W4136" s="147"/>
      <c r="X4136" s="147"/>
      <c r="Y4136" s="147"/>
      <c r="Z4136" s="147"/>
      <c r="AA4136" s="147"/>
      <c r="AB4136" s="147"/>
      <c r="AC4136" s="147"/>
      <c r="AD4136" s="147"/>
      <c r="AE4136" s="147"/>
      <c r="AF4136" s="147"/>
      <c r="AG4136" s="147"/>
      <c r="AH4136" s="147"/>
      <c r="AI4136" s="147"/>
      <c r="AJ4136" s="147"/>
      <c r="AK4136" s="147"/>
      <c r="AL4136" s="147"/>
      <c r="AM4136" s="147"/>
      <c r="AN4136" s="147"/>
      <c r="AO4136" s="147"/>
      <c r="AP4136" s="147"/>
      <c r="AQ4136" s="147"/>
      <c r="AR4136" s="147"/>
      <c r="AS4136" s="147"/>
      <c r="AT4136" s="147"/>
      <c r="AU4136" s="147"/>
      <c r="AV4136" s="147"/>
      <c r="AW4136" s="147"/>
      <c r="AX4136" s="147"/>
      <c r="AY4136" s="147"/>
      <c r="AZ4136" s="147"/>
      <c r="BA4136" s="147"/>
    </row>
    <row r="4137" spans="1:53" ht="15.75" customHeight="1">
      <c r="A4137" s="99"/>
      <c r="B4137" s="99"/>
      <c r="C4137" s="147"/>
      <c r="D4137" s="147"/>
      <c r="E4137" s="147"/>
      <c r="F4137" s="147"/>
      <c r="G4137" s="147"/>
      <c r="H4137" s="147"/>
      <c r="I4137" s="147"/>
      <c r="J4137" s="147"/>
      <c r="K4137" s="147"/>
      <c r="L4137" s="147"/>
      <c r="M4137" s="147"/>
      <c r="N4137" s="147"/>
      <c r="O4137" s="147"/>
      <c r="P4137" s="147"/>
      <c r="Q4137" s="147"/>
      <c r="R4137" s="147"/>
      <c r="S4137" s="147"/>
      <c r="T4137" s="147"/>
      <c r="U4137" s="147"/>
      <c r="V4137" s="147"/>
      <c r="W4137" s="147"/>
      <c r="X4137" s="147"/>
      <c r="Y4137" s="147"/>
      <c r="Z4137" s="147"/>
      <c r="AA4137" s="147"/>
      <c r="AB4137" s="147"/>
      <c r="AC4137" s="147"/>
      <c r="AD4137" s="147"/>
      <c r="AE4137" s="147"/>
      <c r="AF4137" s="147"/>
      <c r="AG4137" s="147"/>
      <c r="AH4137" s="147"/>
      <c r="AI4137" s="147"/>
      <c r="AJ4137" s="147"/>
      <c r="AK4137" s="147"/>
      <c r="AL4137" s="147"/>
      <c r="AM4137" s="147"/>
      <c r="AN4137" s="147"/>
      <c r="AO4137" s="147"/>
      <c r="AP4137" s="147"/>
      <c r="AQ4137" s="147"/>
      <c r="AR4137" s="147"/>
      <c r="AS4137" s="147"/>
      <c r="AT4137" s="147"/>
      <c r="AU4137" s="147"/>
      <c r="AV4137" s="147"/>
      <c r="AW4137" s="147"/>
      <c r="AX4137" s="147"/>
      <c r="AY4137" s="147"/>
      <c r="AZ4137" s="147"/>
      <c r="BA4137" s="147"/>
    </row>
    <row r="4138" spans="1:53" ht="15.75" customHeight="1">
      <c r="A4138" s="99"/>
      <c r="B4138" s="99"/>
      <c r="C4138" s="147"/>
      <c r="D4138" s="147"/>
      <c r="E4138" s="147"/>
      <c r="F4138" s="147"/>
      <c r="G4138" s="147"/>
      <c r="H4138" s="147"/>
      <c r="I4138" s="147"/>
      <c r="J4138" s="147"/>
      <c r="K4138" s="147"/>
      <c r="L4138" s="147"/>
      <c r="M4138" s="147"/>
      <c r="N4138" s="147"/>
      <c r="O4138" s="147"/>
      <c r="P4138" s="147"/>
      <c r="Q4138" s="147"/>
      <c r="R4138" s="147"/>
      <c r="S4138" s="147"/>
      <c r="T4138" s="147"/>
      <c r="U4138" s="147"/>
      <c r="V4138" s="147"/>
      <c r="W4138" s="147"/>
      <c r="X4138" s="147"/>
      <c r="Y4138" s="147"/>
      <c r="Z4138" s="147"/>
      <c r="AA4138" s="147"/>
      <c r="AB4138" s="147"/>
      <c r="AC4138" s="147"/>
      <c r="AD4138" s="147"/>
      <c r="AE4138" s="147"/>
      <c r="AF4138" s="147"/>
      <c r="AG4138" s="147"/>
      <c r="AH4138" s="147"/>
      <c r="AI4138" s="147"/>
      <c r="AJ4138" s="147"/>
      <c r="AK4138" s="147"/>
      <c r="AL4138" s="147"/>
      <c r="AM4138" s="147"/>
      <c r="AN4138" s="147"/>
      <c r="AO4138" s="147"/>
      <c r="AP4138" s="147"/>
      <c r="AQ4138" s="147"/>
      <c r="AR4138" s="147"/>
      <c r="AS4138" s="147"/>
      <c r="AT4138" s="147"/>
      <c r="AU4138" s="147"/>
      <c r="AV4138" s="147"/>
      <c r="AW4138" s="147"/>
      <c r="AX4138" s="147"/>
      <c r="AY4138" s="147"/>
      <c r="AZ4138" s="147"/>
      <c r="BA4138" s="147"/>
    </row>
    <row r="4139" spans="1:53" ht="15.75" customHeight="1">
      <c r="A4139" s="99"/>
      <c r="B4139" s="99"/>
      <c r="C4139" s="147"/>
      <c r="D4139" s="147"/>
      <c r="E4139" s="147"/>
      <c r="F4139" s="147"/>
      <c r="G4139" s="147"/>
      <c r="H4139" s="147"/>
      <c r="I4139" s="147"/>
      <c r="J4139" s="147"/>
      <c r="K4139" s="147"/>
      <c r="L4139" s="147"/>
      <c r="M4139" s="147"/>
      <c r="N4139" s="147"/>
      <c r="O4139" s="147"/>
      <c r="P4139" s="147"/>
      <c r="Q4139" s="147"/>
      <c r="R4139" s="147"/>
      <c r="S4139" s="147"/>
      <c r="T4139" s="147"/>
      <c r="U4139" s="147"/>
      <c r="V4139" s="147"/>
      <c r="W4139" s="147"/>
      <c r="X4139" s="147"/>
      <c r="Y4139" s="147"/>
      <c r="Z4139" s="147"/>
      <c r="AA4139" s="147"/>
      <c r="AB4139" s="147"/>
      <c r="AC4139" s="147"/>
      <c r="AD4139" s="147"/>
      <c r="AE4139" s="147"/>
      <c r="AF4139" s="147"/>
      <c r="AG4139" s="147"/>
      <c r="AH4139" s="147"/>
      <c r="AI4139" s="147"/>
      <c r="AJ4139" s="147"/>
      <c r="AK4139" s="147"/>
      <c r="AL4139" s="147"/>
      <c r="AM4139" s="147"/>
      <c r="AN4139" s="147"/>
      <c r="AO4139" s="147"/>
      <c r="AP4139" s="147"/>
      <c r="AQ4139" s="147"/>
      <c r="AR4139" s="147"/>
      <c r="AS4139" s="147"/>
      <c r="AT4139" s="147"/>
      <c r="AU4139" s="147"/>
      <c r="AV4139" s="147"/>
      <c r="AW4139" s="147"/>
      <c r="AX4139" s="147"/>
      <c r="AY4139" s="147"/>
      <c r="AZ4139" s="147"/>
      <c r="BA4139" s="147"/>
    </row>
    <row r="4140" spans="1:53" ht="15.75" customHeight="1">
      <c r="A4140" s="99"/>
      <c r="B4140" s="99"/>
      <c r="C4140" s="147"/>
      <c r="D4140" s="147"/>
      <c r="E4140" s="147"/>
      <c r="F4140" s="147"/>
      <c r="G4140" s="147"/>
      <c r="H4140" s="147"/>
      <c r="I4140" s="147"/>
      <c r="J4140" s="147"/>
      <c r="K4140" s="147"/>
      <c r="L4140" s="147"/>
      <c r="M4140" s="147"/>
      <c r="N4140" s="147"/>
      <c r="O4140" s="147"/>
      <c r="P4140" s="147"/>
      <c r="Q4140" s="147"/>
      <c r="R4140" s="147"/>
      <c r="S4140" s="147"/>
      <c r="T4140" s="147"/>
      <c r="U4140" s="147"/>
      <c r="V4140" s="147"/>
      <c r="W4140" s="147"/>
      <c r="X4140" s="147"/>
      <c r="Y4140" s="147"/>
      <c r="Z4140" s="147"/>
      <c r="AA4140" s="147"/>
      <c r="AB4140" s="147"/>
      <c r="AC4140" s="147"/>
      <c r="AD4140" s="147"/>
      <c r="AE4140" s="147"/>
      <c r="AF4140" s="147"/>
      <c r="AG4140" s="147"/>
      <c r="AH4140" s="147"/>
      <c r="AI4140" s="147"/>
      <c r="AJ4140" s="147"/>
      <c r="AK4140" s="147"/>
      <c r="AL4140" s="147"/>
      <c r="AM4140" s="147"/>
      <c r="AN4140" s="147"/>
      <c r="AO4140" s="147"/>
      <c r="AP4140" s="147"/>
      <c r="AQ4140" s="147"/>
      <c r="AR4140" s="147"/>
      <c r="AS4140" s="147"/>
      <c r="AT4140" s="147"/>
      <c r="AU4140" s="147"/>
      <c r="AV4140" s="147"/>
      <c r="AW4140" s="147"/>
      <c r="AX4140" s="147"/>
      <c r="AY4140" s="147"/>
      <c r="AZ4140" s="147"/>
      <c r="BA4140" s="147"/>
    </row>
    <row r="4141" spans="1:53" ht="15.75" customHeight="1">
      <c r="A4141" s="99"/>
      <c r="B4141" s="99"/>
      <c r="C4141" s="147"/>
      <c r="D4141" s="147"/>
      <c r="E4141" s="147"/>
      <c r="F4141" s="147"/>
      <c r="G4141" s="147"/>
      <c r="H4141" s="147"/>
      <c r="I4141" s="147"/>
      <c r="J4141" s="147"/>
      <c r="K4141" s="147"/>
      <c r="L4141" s="147"/>
      <c r="M4141" s="147"/>
      <c r="N4141" s="147"/>
      <c r="O4141" s="147"/>
      <c r="P4141" s="147"/>
      <c r="Q4141" s="147"/>
      <c r="R4141" s="147"/>
      <c r="S4141" s="147"/>
      <c r="T4141" s="147"/>
      <c r="U4141" s="147"/>
      <c r="V4141" s="147"/>
      <c r="W4141" s="147"/>
      <c r="X4141" s="147"/>
      <c r="Y4141" s="147"/>
      <c r="Z4141" s="147"/>
      <c r="AA4141" s="147"/>
      <c r="AB4141" s="147"/>
      <c r="AC4141" s="147"/>
      <c r="AD4141" s="147"/>
      <c r="AE4141" s="147"/>
      <c r="AF4141" s="147"/>
      <c r="AG4141" s="147"/>
      <c r="AH4141" s="147"/>
      <c r="AI4141" s="147"/>
      <c r="AJ4141" s="147"/>
      <c r="AK4141" s="147"/>
      <c r="AL4141" s="147"/>
      <c r="AM4141" s="147"/>
      <c r="AN4141" s="147"/>
      <c r="AO4141" s="147"/>
      <c r="AP4141" s="147"/>
      <c r="AQ4141" s="147"/>
      <c r="AR4141" s="147"/>
      <c r="AS4141" s="147"/>
      <c r="AT4141" s="147"/>
      <c r="AU4141" s="147"/>
      <c r="AV4141" s="147"/>
      <c r="AW4141" s="147"/>
      <c r="AX4141" s="147"/>
      <c r="AY4141" s="147"/>
      <c r="AZ4141" s="147"/>
      <c r="BA4141" s="147"/>
    </row>
    <row r="4142" spans="1:53" ht="15.75" customHeight="1">
      <c r="A4142" s="99"/>
      <c r="B4142" s="99"/>
      <c r="C4142" s="147"/>
      <c r="D4142" s="147"/>
      <c r="E4142" s="147"/>
      <c r="F4142" s="147"/>
      <c r="G4142" s="147"/>
      <c r="H4142" s="147"/>
      <c r="I4142" s="147"/>
      <c r="J4142" s="147"/>
      <c r="K4142" s="147"/>
      <c r="L4142" s="147"/>
      <c r="M4142" s="147"/>
      <c r="N4142" s="147"/>
      <c r="O4142" s="147"/>
      <c r="P4142" s="147"/>
      <c r="Q4142" s="147"/>
      <c r="R4142" s="147"/>
      <c r="S4142" s="147"/>
      <c r="T4142" s="147"/>
      <c r="U4142" s="147"/>
      <c r="V4142" s="147"/>
      <c r="W4142" s="147"/>
      <c r="X4142" s="147"/>
      <c r="Y4142" s="147"/>
      <c r="Z4142" s="147"/>
      <c r="AA4142" s="147"/>
      <c r="AB4142" s="147"/>
      <c r="AC4142" s="147"/>
      <c r="AD4142" s="147"/>
      <c r="AE4142" s="147"/>
      <c r="AF4142" s="147"/>
      <c r="AG4142" s="147"/>
      <c r="AH4142" s="147"/>
      <c r="AI4142" s="147"/>
      <c r="AJ4142" s="147"/>
      <c r="AK4142" s="147"/>
      <c r="AL4142" s="147"/>
      <c r="AM4142" s="147"/>
      <c r="AN4142" s="147"/>
      <c r="AO4142" s="147"/>
      <c r="AP4142" s="147"/>
      <c r="AQ4142" s="147"/>
      <c r="AR4142" s="147"/>
      <c r="AS4142" s="147"/>
      <c r="AT4142" s="147"/>
      <c r="AU4142" s="147"/>
      <c r="AV4142" s="147"/>
      <c r="AW4142" s="147"/>
      <c r="AX4142" s="147"/>
      <c r="AY4142" s="147"/>
      <c r="AZ4142" s="147"/>
      <c r="BA4142" s="147"/>
    </row>
    <row r="4143" spans="1:53" ht="15.75" customHeight="1">
      <c r="A4143" s="99"/>
      <c r="B4143" s="99"/>
      <c r="C4143" s="147"/>
      <c r="D4143" s="147"/>
      <c r="E4143" s="147"/>
      <c r="F4143" s="147"/>
      <c r="G4143" s="147"/>
      <c r="H4143" s="147"/>
      <c r="I4143" s="147"/>
      <c r="J4143" s="147"/>
      <c r="K4143" s="147"/>
      <c r="L4143" s="147"/>
      <c r="M4143" s="147"/>
      <c r="N4143" s="147"/>
      <c r="O4143" s="147"/>
      <c r="P4143" s="147"/>
      <c r="Q4143" s="147"/>
      <c r="R4143" s="147"/>
      <c r="S4143" s="147"/>
      <c r="T4143" s="147"/>
      <c r="U4143" s="147"/>
      <c r="V4143" s="147"/>
      <c r="W4143" s="147"/>
      <c r="X4143" s="147"/>
      <c r="Y4143" s="147"/>
      <c r="Z4143" s="147"/>
      <c r="AA4143" s="147"/>
      <c r="AB4143" s="147"/>
      <c r="AC4143" s="147"/>
      <c r="AD4143" s="147"/>
      <c r="AE4143" s="147"/>
      <c r="AF4143" s="147"/>
      <c r="AG4143" s="147"/>
      <c r="AH4143" s="147"/>
      <c r="AI4143" s="147"/>
      <c r="AJ4143" s="147"/>
      <c r="AK4143" s="147"/>
      <c r="AL4143" s="147"/>
      <c r="AM4143" s="147"/>
      <c r="AN4143" s="147"/>
      <c r="AO4143" s="147"/>
      <c r="AP4143" s="147"/>
      <c r="AQ4143" s="147"/>
      <c r="AR4143" s="147"/>
      <c r="AS4143" s="147"/>
      <c r="AT4143" s="147"/>
      <c r="AU4143" s="147"/>
      <c r="AV4143" s="147"/>
      <c r="AW4143" s="147"/>
      <c r="AX4143" s="147"/>
      <c r="AY4143" s="147"/>
      <c r="AZ4143" s="147"/>
      <c r="BA4143" s="147"/>
    </row>
    <row r="4144" spans="1:53" ht="15.75" customHeight="1">
      <c r="A4144" s="99"/>
      <c r="B4144" s="99"/>
      <c r="C4144" s="147"/>
      <c r="D4144" s="147"/>
      <c r="E4144" s="147"/>
      <c r="F4144" s="147"/>
      <c r="G4144" s="147"/>
      <c r="H4144" s="147"/>
      <c r="I4144" s="147"/>
      <c r="J4144" s="147"/>
      <c r="K4144" s="147"/>
      <c r="L4144" s="147"/>
      <c r="M4144" s="147"/>
      <c r="N4144" s="147"/>
      <c r="O4144" s="147"/>
      <c r="P4144" s="147"/>
      <c r="Q4144" s="147"/>
      <c r="R4144" s="147"/>
      <c r="S4144" s="147"/>
      <c r="T4144" s="147"/>
      <c r="U4144" s="147"/>
      <c r="V4144" s="147"/>
      <c r="W4144" s="147"/>
      <c r="X4144" s="147"/>
      <c r="Y4144" s="147"/>
      <c r="Z4144" s="147"/>
      <c r="AA4144" s="147"/>
      <c r="AB4144" s="147"/>
      <c r="AC4144" s="147"/>
      <c r="AD4144" s="147"/>
      <c r="AE4144" s="147"/>
      <c r="AF4144" s="147"/>
      <c r="AG4144" s="147"/>
      <c r="AH4144" s="147"/>
      <c r="AI4144" s="147"/>
      <c r="AJ4144" s="147"/>
      <c r="AK4144" s="147"/>
      <c r="AL4144" s="147"/>
      <c r="AM4144" s="147"/>
      <c r="AN4144" s="147"/>
      <c r="AO4144" s="147"/>
      <c r="AP4144" s="147"/>
      <c r="AQ4144" s="147"/>
      <c r="AR4144" s="147"/>
      <c r="AS4144" s="147"/>
      <c r="AT4144" s="147"/>
      <c r="AU4144" s="147"/>
      <c r="AV4144" s="147"/>
      <c r="AW4144" s="147"/>
      <c r="AX4144" s="147"/>
      <c r="AY4144" s="147"/>
      <c r="AZ4144" s="147"/>
      <c r="BA4144" s="147"/>
    </row>
    <row r="4145" spans="1:53" ht="15.75" customHeight="1">
      <c r="A4145" s="99"/>
      <c r="B4145" s="99"/>
      <c r="C4145" s="147"/>
      <c r="D4145" s="147"/>
      <c r="E4145" s="147"/>
      <c r="F4145" s="147"/>
      <c r="G4145" s="147"/>
      <c r="H4145" s="147"/>
      <c r="I4145" s="147"/>
      <c r="J4145" s="147"/>
      <c r="K4145" s="147"/>
      <c r="L4145" s="147"/>
      <c r="M4145" s="147"/>
      <c r="N4145" s="147"/>
      <c r="O4145" s="147"/>
      <c r="P4145" s="147"/>
      <c r="Q4145" s="147"/>
      <c r="R4145" s="147"/>
      <c r="S4145" s="147"/>
      <c r="T4145" s="147"/>
      <c r="U4145" s="147"/>
      <c r="V4145" s="147"/>
      <c r="W4145" s="147"/>
      <c r="X4145" s="147"/>
      <c r="Y4145" s="147"/>
      <c r="Z4145" s="147"/>
      <c r="AA4145" s="147"/>
      <c r="AB4145" s="147"/>
      <c r="AC4145" s="147"/>
      <c r="AD4145" s="147"/>
      <c r="AE4145" s="147"/>
      <c r="AF4145" s="147"/>
      <c r="AG4145" s="147"/>
      <c r="AH4145" s="147"/>
      <c r="AI4145" s="147"/>
      <c r="AJ4145" s="147"/>
      <c r="AK4145" s="147"/>
      <c r="AL4145" s="147"/>
      <c r="AM4145" s="147"/>
      <c r="AN4145" s="147"/>
      <c r="AO4145" s="147"/>
      <c r="AP4145" s="147"/>
      <c r="AQ4145" s="147"/>
      <c r="AR4145" s="147"/>
      <c r="AS4145" s="147"/>
      <c r="AT4145" s="147"/>
      <c r="AU4145" s="147"/>
      <c r="AV4145" s="147"/>
      <c r="AW4145" s="147"/>
      <c r="AX4145" s="147"/>
      <c r="AY4145" s="147"/>
      <c r="AZ4145" s="147"/>
      <c r="BA4145" s="147"/>
    </row>
    <row r="4146" spans="1:53" ht="15.75" customHeight="1">
      <c r="A4146" s="99"/>
      <c r="B4146" s="99"/>
      <c r="C4146" s="147"/>
      <c r="D4146" s="147"/>
      <c r="E4146" s="147"/>
      <c r="F4146" s="147"/>
      <c r="G4146" s="147"/>
      <c r="H4146" s="147"/>
      <c r="I4146" s="147"/>
      <c r="J4146" s="147"/>
      <c r="K4146" s="147"/>
      <c r="L4146" s="147"/>
      <c r="M4146" s="147"/>
      <c r="N4146" s="147"/>
      <c r="O4146" s="147"/>
      <c r="P4146" s="147"/>
      <c r="Q4146" s="147"/>
      <c r="R4146" s="147"/>
      <c r="S4146" s="147"/>
      <c r="T4146" s="147"/>
      <c r="U4146" s="147"/>
      <c r="V4146" s="147"/>
      <c r="W4146" s="147"/>
      <c r="X4146" s="147"/>
      <c r="Y4146" s="147"/>
      <c r="Z4146" s="147"/>
      <c r="AA4146" s="147"/>
      <c r="AB4146" s="147"/>
      <c r="AC4146" s="147"/>
      <c r="AD4146" s="147"/>
      <c r="AE4146" s="147"/>
      <c r="AF4146" s="147"/>
      <c r="AG4146" s="147"/>
      <c r="AH4146" s="147"/>
      <c r="AI4146" s="147"/>
      <c r="AJ4146" s="147"/>
      <c r="AK4146" s="147"/>
      <c r="AL4146" s="147"/>
      <c r="AM4146" s="147"/>
      <c r="AN4146" s="147"/>
      <c r="AO4146" s="147"/>
      <c r="AP4146" s="147"/>
      <c r="AQ4146" s="147"/>
      <c r="AR4146" s="147"/>
      <c r="AS4146" s="147"/>
      <c r="AT4146" s="147"/>
      <c r="AU4146" s="147"/>
      <c r="AV4146" s="147"/>
      <c r="AW4146" s="147"/>
      <c r="AX4146" s="147"/>
      <c r="AY4146" s="147"/>
      <c r="AZ4146" s="147"/>
      <c r="BA4146" s="147"/>
    </row>
    <row r="4147" spans="1:53" ht="15.75" customHeight="1">
      <c r="A4147" s="99"/>
      <c r="B4147" s="99"/>
      <c r="C4147" s="147"/>
      <c r="D4147" s="147"/>
      <c r="E4147" s="147"/>
      <c r="F4147" s="147"/>
      <c r="G4147" s="147"/>
      <c r="H4147" s="147"/>
      <c r="I4147" s="147"/>
      <c r="J4147" s="147"/>
      <c r="K4147" s="147"/>
      <c r="L4147" s="147"/>
      <c r="M4147" s="147"/>
      <c r="N4147" s="147"/>
      <c r="O4147" s="147"/>
      <c r="P4147" s="147"/>
      <c r="Q4147" s="147"/>
      <c r="R4147" s="147"/>
      <c r="S4147" s="147"/>
      <c r="T4147" s="147"/>
      <c r="U4147" s="147"/>
      <c r="V4147" s="147"/>
      <c r="W4147" s="147"/>
      <c r="X4147" s="147"/>
      <c r="Y4147" s="147"/>
      <c r="Z4147" s="147"/>
      <c r="AA4147" s="147"/>
      <c r="AB4147" s="147"/>
      <c r="AC4147" s="147"/>
      <c r="AD4147" s="147"/>
      <c r="AE4147" s="147"/>
      <c r="AF4147" s="147"/>
      <c r="AG4147" s="147"/>
      <c r="AH4147" s="147"/>
      <c r="AI4147" s="147"/>
      <c r="AJ4147" s="147"/>
      <c r="AK4147" s="147"/>
      <c r="AL4147" s="147"/>
      <c r="AM4147" s="147"/>
      <c r="AN4147" s="147"/>
      <c r="AO4147" s="147"/>
      <c r="AP4147" s="147"/>
      <c r="AQ4147" s="147"/>
      <c r="AR4147" s="147"/>
      <c r="AS4147" s="147"/>
      <c r="AT4147" s="147"/>
      <c r="AU4147" s="147"/>
      <c r="AV4147" s="147"/>
      <c r="AW4147" s="147"/>
      <c r="AX4147" s="147"/>
      <c r="AY4147" s="147"/>
      <c r="AZ4147" s="147"/>
      <c r="BA4147" s="147"/>
    </row>
    <row r="4148" spans="1:53" ht="15.75" customHeight="1">
      <c r="A4148" s="99"/>
      <c r="B4148" s="99"/>
      <c r="C4148" s="147"/>
      <c r="D4148" s="147"/>
      <c r="E4148" s="147"/>
      <c r="F4148" s="147"/>
      <c r="G4148" s="147"/>
      <c r="H4148" s="147"/>
      <c r="I4148" s="147"/>
      <c r="J4148" s="147"/>
      <c r="K4148" s="147"/>
      <c r="L4148" s="147"/>
      <c r="M4148" s="147"/>
      <c r="N4148" s="147"/>
      <c r="O4148" s="147"/>
      <c r="P4148" s="147"/>
      <c r="Q4148" s="147"/>
      <c r="R4148" s="147"/>
      <c r="S4148" s="147"/>
      <c r="T4148" s="147"/>
      <c r="U4148" s="147"/>
      <c r="V4148" s="147"/>
      <c r="W4148" s="147"/>
      <c r="X4148" s="147"/>
      <c r="Y4148" s="147"/>
      <c r="Z4148" s="147"/>
      <c r="AA4148" s="147"/>
      <c r="AB4148" s="147"/>
      <c r="AC4148" s="147"/>
      <c r="AD4148" s="147"/>
      <c r="AE4148" s="147"/>
      <c r="AF4148" s="147"/>
      <c r="AG4148" s="147"/>
      <c r="AH4148" s="147"/>
      <c r="AI4148" s="147"/>
      <c r="AJ4148" s="147"/>
      <c r="AK4148" s="147"/>
      <c r="AL4148" s="147"/>
      <c r="AM4148" s="147"/>
      <c r="AN4148" s="147"/>
      <c r="AO4148" s="147"/>
      <c r="AP4148" s="147"/>
      <c r="AQ4148" s="147"/>
      <c r="AR4148" s="147"/>
      <c r="AS4148" s="147"/>
      <c r="AT4148" s="147"/>
      <c r="AU4148" s="147"/>
      <c r="AV4148" s="147"/>
      <c r="AW4148" s="147"/>
      <c r="AX4148" s="147"/>
      <c r="AY4148" s="147"/>
      <c r="AZ4148" s="147"/>
      <c r="BA4148" s="147"/>
    </row>
    <row r="4149" spans="1:53" ht="15.75" customHeight="1">
      <c r="A4149" s="99"/>
      <c r="B4149" s="99"/>
      <c r="C4149" s="147"/>
      <c r="D4149" s="147"/>
      <c r="E4149" s="147"/>
      <c r="F4149" s="147"/>
      <c r="G4149" s="147"/>
      <c r="H4149" s="147"/>
      <c r="I4149" s="147"/>
      <c r="J4149" s="147"/>
      <c r="K4149" s="147"/>
      <c r="L4149" s="147"/>
      <c r="M4149" s="147"/>
      <c r="N4149" s="147"/>
      <c r="O4149" s="147"/>
      <c r="P4149" s="147"/>
      <c r="Q4149" s="147"/>
      <c r="R4149" s="147"/>
      <c r="S4149" s="147"/>
      <c r="T4149" s="147"/>
      <c r="U4149" s="147"/>
      <c r="V4149" s="147"/>
      <c r="W4149" s="147"/>
      <c r="X4149" s="147"/>
      <c r="Y4149" s="147"/>
      <c r="Z4149" s="147"/>
      <c r="AA4149" s="147"/>
      <c r="AB4149" s="147"/>
      <c r="AC4149" s="147"/>
      <c r="AD4149" s="147"/>
      <c r="AE4149" s="147"/>
      <c r="AF4149" s="147"/>
      <c r="AG4149" s="147"/>
      <c r="AH4149" s="147"/>
      <c r="AI4149" s="147"/>
      <c r="AJ4149" s="147"/>
      <c r="AK4149" s="147"/>
      <c r="AL4149" s="147"/>
      <c r="AM4149" s="147"/>
      <c r="AN4149" s="147"/>
      <c r="AO4149" s="147"/>
      <c r="AP4149" s="147"/>
      <c r="AQ4149" s="147"/>
      <c r="AR4149" s="147"/>
      <c r="AS4149" s="147"/>
      <c r="AT4149" s="147"/>
      <c r="AU4149" s="147"/>
      <c r="AV4149" s="147"/>
      <c r="AW4149" s="147"/>
      <c r="AX4149" s="147"/>
      <c r="AY4149" s="147"/>
      <c r="AZ4149" s="147"/>
      <c r="BA4149" s="147"/>
    </row>
    <row r="4150" spans="1:53" ht="15.75" customHeight="1">
      <c r="A4150" s="99"/>
      <c r="B4150" s="99"/>
      <c r="C4150" s="147"/>
      <c r="D4150" s="147"/>
      <c r="E4150" s="147"/>
      <c r="F4150" s="147"/>
      <c r="G4150" s="147"/>
      <c r="H4150" s="147"/>
      <c r="I4150" s="147"/>
      <c r="J4150" s="147"/>
      <c r="K4150" s="147"/>
      <c r="L4150" s="147"/>
      <c r="M4150" s="147"/>
      <c r="N4150" s="147"/>
      <c r="O4150" s="147"/>
      <c r="P4150" s="147"/>
      <c r="Q4150" s="147"/>
      <c r="R4150" s="147"/>
      <c r="S4150" s="147"/>
      <c r="T4150" s="147"/>
      <c r="U4150" s="147"/>
      <c r="V4150" s="147"/>
      <c r="W4150" s="147"/>
      <c r="X4150" s="147"/>
      <c r="Y4150" s="147"/>
      <c r="Z4150" s="147"/>
      <c r="AA4150" s="147"/>
      <c r="AB4150" s="147"/>
      <c r="AC4150" s="147"/>
      <c r="AD4150" s="147"/>
      <c r="AE4150" s="147"/>
      <c r="AF4150" s="147"/>
      <c r="AG4150" s="147"/>
      <c r="AH4150" s="147"/>
      <c r="AI4150" s="147"/>
      <c r="AJ4150" s="147"/>
      <c r="AK4150" s="147"/>
      <c r="AL4150" s="147"/>
      <c r="AM4150" s="147"/>
      <c r="AN4150" s="147"/>
      <c r="AO4150" s="147"/>
      <c r="AP4150" s="147"/>
      <c r="AQ4150" s="147"/>
      <c r="AR4150" s="147"/>
      <c r="AS4150" s="147"/>
      <c r="AT4150" s="147"/>
      <c r="AU4150" s="147"/>
      <c r="AV4150" s="147"/>
      <c r="AW4150" s="147"/>
      <c r="AX4150" s="147"/>
      <c r="AY4150" s="147"/>
      <c r="AZ4150" s="147"/>
      <c r="BA4150" s="147"/>
    </row>
    <row r="4151" spans="1:53" ht="15.75" customHeight="1">
      <c r="A4151" s="99"/>
      <c r="B4151" s="99"/>
      <c r="C4151" s="147"/>
      <c r="D4151" s="147"/>
      <c r="E4151" s="147"/>
      <c r="F4151" s="147"/>
      <c r="G4151" s="147"/>
      <c r="H4151" s="147"/>
      <c r="I4151" s="147"/>
      <c r="J4151" s="147"/>
      <c r="K4151" s="147"/>
      <c r="L4151" s="147"/>
      <c r="M4151" s="147"/>
      <c r="N4151" s="147"/>
      <c r="O4151" s="147"/>
      <c r="P4151" s="147"/>
      <c r="Q4151" s="147"/>
      <c r="R4151" s="147"/>
      <c r="S4151" s="147"/>
      <c r="T4151" s="147"/>
      <c r="U4151" s="147"/>
      <c r="V4151" s="147"/>
      <c r="W4151" s="147"/>
      <c r="X4151" s="147"/>
      <c r="Y4151" s="147"/>
      <c r="Z4151" s="147"/>
      <c r="AA4151" s="147"/>
      <c r="AB4151" s="147"/>
      <c r="AC4151" s="147"/>
      <c r="AD4151" s="147"/>
      <c r="AE4151" s="147"/>
      <c r="AF4151" s="147"/>
      <c r="AG4151" s="147"/>
      <c r="AH4151" s="147"/>
      <c r="AI4151" s="147"/>
      <c r="AJ4151" s="147"/>
      <c r="AK4151" s="147"/>
      <c r="AL4151" s="147"/>
      <c r="AM4151" s="147"/>
      <c r="AN4151" s="147"/>
      <c r="AO4151" s="147"/>
      <c r="AP4151" s="147"/>
      <c r="AQ4151" s="147"/>
      <c r="AR4151" s="147"/>
      <c r="AS4151" s="147"/>
      <c r="AT4151" s="147"/>
      <c r="AU4151" s="147"/>
      <c r="AV4151" s="147"/>
      <c r="AW4151" s="147"/>
      <c r="AX4151" s="147"/>
      <c r="AY4151" s="147"/>
      <c r="AZ4151" s="147"/>
      <c r="BA4151" s="147"/>
    </row>
    <row r="4152" spans="1:53" ht="15.75" customHeight="1">
      <c r="A4152" s="99"/>
      <c r="B4152" s="99"/>
      <c r="C4152" s="147"/>
      <c r="D4152" s="147"/>
      <c r="E4152" s="147"/>
      <c r="F4152" s="147"/>
      <c r="G4152" s="147"/>
      <c r="H4152" s="147"/>
      <c r="I4152" s="147"/>
      <c r="J4152" s="147"/>
      <c r="K4152" s="147"/>
      <c r="L4152" s="147"/>
      <c r="M4152" s="147"/>
      <c r="N4152" s="147"/>
      <c r="O4152" s="147"/>
      <c r="P4152" s="147"/>
      <c r="Q4152" s="147"/>
      <c r="R4152" s="147"/>
      <c r="S4152" s="147"/>
      <c r="T4152" s="147"/>
      <c r="U4152" s="147"/>
      <c r="V4152" s="147"/>
      <c r="W4152" s="147"/>
      <c r="X4152" s="147"/>
      <c r="Y4152" s="147"/>
      <c r="Z4152" s="147"/>
      <c r="AA4152" s="147"/>
      <c r="AB4152" s="147"/>
      <c r="AC4152" s="147"/>
      <c r="AD4152" s="147"/>
      <c r="AE4152" s="147"/>
      <c r="AF4152" s="147"/>
      <c r="AG4152" s="147"/>
      <c r="AH4152" s="147"/>
      <c r="AI4152" s="147"/>
      <c r="AJ4152" s="147"/>
      <c r="AK4152" s="147"/>
      <c r="AL4152" s="147"/>
      <c r="AM4152" s="147"/>
      <c r="AN4152" s="147"/>
      <c r="AO4152" s="147"/>
      <c r="AP4152" s="147"/>
      <c r="AQ4152" s="147"/>
      <c r="AR4152" s="147"/>
      <c r="AS4152" s="147"/>
      <c r="AT4152" s="147"/>
      <c r="AU4152" s="147"/>
      <c r="AV4152" s="147"/>
      <c r="AW4152" s="147"/>
      <c r="AX4152" s="147"/>
      <c r="AY4152" s="147"/>
      <c r="AZ4152" s="147"/>
      <c r="BA4152" s="147"/>
    </row>
    <row r="4153" spans="1:53" ht="15.75" customHeight="1">
      <c r="A4153" s="99"/>
      <c r="B4153" s="99"/>
      <c r="C4153" s="147"/>
      <c r="D4153" s="147"/>
      <c r="E4153" s="147"/>
      <c r="F4153" s="147"/>
      <c r="G4153" s="147"/>
      <c r="H4153" s="147"/>
      <c r="I4153" s="147"/>
      <c r="J4153" s="147"/>
      <c r="K4153" s="147"/>
      <c r="L4153" s="147"/>
      <c r="M4153" s="147"/>
      <c r="N4153" s="147"/>
      <c r="O4153" s="147"/>
      <c r="P4153" s="147"/>
      <c r="Q4153" s="147"/>
      <c r="R4153" s="147"/>
      <c r="S4153" s="147"/>
      <c r="T4153" s="147"/>
      <c r="U4153" s="147"/>
      <c r="V4153" s="147"/>
      <c r="W4153" s="147"/>
      <c r="X4153" s="147"/>
      <c r="Y4153" s="147"/>
      <c r="Z4153" s="147"/>
      <c r="AA4153" s="147"/>
      <c r="AB4153" s="147"/>
      <c r="AC4153" s="147"/>
      <c r="AD4153" s="147"/>
      <c r="AE4153" s="147"/>
      <c r="AF4153" s="147"/>
      <c r="AG4153" s="147"/>
      <c r="AH4153" s="147"/>
      <c r="AI4153" s="147"/>
      <c r="AJ4153" s="147"/>
      <c r="AK4153" s="147"/>
      <c r="AL4153" s="147"/>
      <c r="AM4153" s="147"/>
      <c r="AN4153" s="147"/>
      <c r="AO4153" s="147"/>
      <c r="AP4153" s="147"/>
      <c r="AQ4153" s="147"/>
      <c r="AR4153" s="147"/>
      <c r="AS4153" s="147"/>
      <c r="AT4153" s="147"/>
      <c r="AU4153" s="147"/>
      <c r="AV4153" s="147"/>
      <c r="AW4153" s="147"/>
      <c r="AX4153" s="147"/>
      <c r="AY4153" s="147"/>
      <c r="AZ4153" s="147"/>
      <c r="BA4153" s="147"/>
    </row>
    <row r="4154" spans="1:53" ht="15.75" customHeight="1">
      <c r="A4154" s="99"/>
      <c r="B4154" s="99"/>
      <c r="C4154" s="147"/>
      <c r="D4154" s="147"/>
      <c r="E4154" s="147"/>
      <c r="F4154" s="147"/>
      <c r="G4154" s="147"/>
      <c r="H4154" s="147"/>
      <c r="I4154" s="147"/>
      <c r="J4154" s="147"/>
      <c r="K4154" s="147"/>
      <c r="L4154" s="147"/>
      <c r="M4154" s="147"/>
      <c r="N4154" s="147"/>
      <c r="O4154" s="147"/>
      <c r="P4154" s="147"/>
      <c r="Q4154" s="147"/>
      <c r="R4154" s="147"/>
      <c r="S4154" s="147"/>
      <c r="T4154" s="147"/>
      <c r="U4154" s="147"/>
      <c r="V4154" s="147"/>
      <c r="W4154" s="147"/>
      <c r="X4154" s="147"/>
      <c r="Y4154" s="147"/>
      <c r="Z4154" s="147"/>
      <c r="AA4154" s="147"/>
      <c r="AB4154" s="147"/>
      <c r="AC4154" s="147"/>
      <c r="AD4154" s="147"/>
      <c r="AE4154" s="147"/>
      <c r="AF4154" s="147"/>
      <c r="AG4154" s="147"/>
      <c r="AH4154" s="147"/>
      <c r="AI4154" s="147"/>
      <c r="AJ4154" s="147"/>
      <c r="AK4154" s="147"/>
      <c r="AL4154" s="147"/>
      <c r="AM4154" s="147"/>
      <c r="AN4154" s="147"/>
      <c r="AO4154" s="147"/>
      <c r="AP4154" s="147"/>
      <c r="AQ4154" s="147"/>
      <c r="AR4154" s="147"/>
      <c r="AS4154" s="147"/>
      <c r="AT4154" s="147"/>
      <c r="AU4154" s="147"/>
      <c r="AV4154" s="147"/>
      <c r="AW4154" s="147"/>
      <c r="AX4154" s="147"/>
      <c r="AY4154" s="147"/>
      <c r="AZ4154" s="147"/>
      <c r="BA4154" s="147"/>
    </row>
    <row r="4155" spans="1:53" ht="15.75" customHeight="1">
      <c r="A4155" s="99"/>
      <c r="B4155" s="99"/>
      <c r="C4155" s="147"/>
      <c r="D4155" s="147"/>
      <c r="E4155" s="147"/>
      <c r="F4155" s="147"/>
      <c r="G4155" s="147"/>
      <c r="H4155" s="147"/>
      <c r="I4155" s="147"/>
      <c r="J4155" s="147"/>
      <c r="K4155" s="147"/>
      <c r="L4155" s="147"/>
      <c r="M4155" s="147"/>
      <c r="N4155" s="147"/>
      <c r="O4155" s="147"/>
      <c r="P4155" s="147"/>
      <c r="Q4155" s="147"/>
      <c r="R4155" s="147"/>
      <c r="S4155" s="147"/>
      <c r="T4155" s="147"/>
      <c r="U4155" s="147"/>
      <c r="V4155" s="147"/>
      <c r="W4155" s="147"/>
      <c r="X4155" s="147"/>
      <c r="Y4155" s="147"/>
      <c r="Z4155" s="147"/>
      <c r="AA4155" s="147"/>
      <c r="AB4155" s="147"/>
      <c r="AC4155" s="147"/>
      <c r="AD4155" s="147"/>
      <c r="AE4155" s="147"/>
      <c r="AF4155" s="147"/>
      <c r="AG4155" s="147"/>
      <c r="AH4155" s="147"/>
      <c r="AI4155" s="147"/>
      <c r="AJ4155" s="147"/>
      <c r="AK4155" s="147"/>
      <c r="AL4155" s="147"/>
      <c r="AM4155" s="147"/>
      <c r="AN4155" s="147"/>
      <c r="AO4155" s="147"/>
      <c r="AP4155" s="147"/>
      <c r="AQ4155" s="147"/>
      <c r="AR4155" s="147"/>
      <c r="AS4155" s="147"/>
      <c r="AT4155" s="147"/>
      <c r="AU4155" s="147"/>
      <c r="AV4155" s="147"/>
      <c r="AW4155" s="147"/>
      <c r="AX4155" s="147"/>
      <c r="AY4155" s="147"/>
      <c r="AZ4155" s="147"/>
      <c r="BA4155" s="147"/>
    </row>
    <row r="4156" spans="1:53" ht="15.75" customHeight="1">
      <c r="A4156" s="99"/>
      <c r="B4156" s="99"/>
      <c r="C4156" s="147"/>
      <c r="D4156" s="147"/>
      <c r="E4156" s="147"/>
      <c r="F4156" s="147"/>
      <c r="G4156" s="147"/>
      <c r="H4156" s="147"/>
      <c r="I4156" s="147"/>
      <c r="J4156" s="147"/>
      <c r="K4156" s="147"/>
      <c r="L4156" s="147"/>
      <c r="M4156" s="147"/>
      <c r="N4156" s="147"/>
      <c r="O4156" s="147"/>
      <c r="P4156" s="147"/>
      <c r="Q4156" s="147"/>
      <c r="R4156" s="147"/>
      <c r="S4156" s="147"/>
      <c r="T4156" s="147"/>
      <c r="U4156" s="147"/>
      <c r="V4156" s="147"/>
      <c r="W4156" s="147"/>
      <c r="X4156" s="147"/>
      <c r="Y4156" s="147"/>
      <c r="Z4156" s="147"/>
      <c r="AA4156" s="147"/>
      <c r="AB4156" s="147"/>
      <c r="AC4156" s="147"/>
      <c r="AD4156" s="147"/>
      <c r="AE4156" s="147"/>
      <c r="AF4156" s="147"/>
      <c r="AG4156" s="147"/>
      <c r="AH4156" s="147"/>
      <c r="AI4156" s="147"/>
      <c r="AJ4156" s="147"/>
      <c r="AK4156" s="147"/>
      <c r="AL4156" s="147"/>
      <c r="AM4156" s="147"/>
      <c r="AN4156" s="147"/>
      <c r="AO4156" s="147"/>
      <c r="AP4156" s="147"/>
      <c r="AQ4156" s="147"/>
      <c r="AR4156" s="147"/>
      <c r="AS4156" s="147"/>
      <c r="AT4156" s="147"/>
      <c r="AU4156" s="147"/>
      <c r="AV4156" s="147"/>
      <c r="AW4156" s="147"/>
      <c r="AX4156" s="147"/>
      <c r="AY4156" s="147"/>
      <c r="AZ4156" s="147"/>
      <c r="BA4156" s="147"/>
    </row>
    <row r="4157" spans="1:53" ht="15.75" customHeight="1">
      <c r="A4157" s="99"/>
      <c r="B4157" s="99"/>
      <c r="C4157" s="147"/>
      <c r="D4157" s="147"/>
      <c r="E4157" s="147"/>
      <c r="F4157" s="147"/>
      <c r="G4157" s="147"/>
      <c r="H4157" s="147"/>
      <c r="I4157" s="147"/>
      <c r="J4157" s="147"/>
      <c r="K4157" s="147"/>
      <c r="L4157" s="147"/>
      <c r="M4157" s="147"/>
      <c r="N4157" s="147"/>
      <c r="O4157" s="147"/>
      <c r="P4157" s="147"/>
      <c r="Q4157" s="147"/>
      <c r="R4157" s="147"/>
      <c r="S4157" s="147"/>
      <c r="T4157" s="147"/>
      <c r="U4157" s="147"/>
      <c r="V4157" s="147"/>
      <c r="W4157" s="147"/>
      <c r="X4157" s="147"/>
      <c r="Y4157" s="147"/>
      <c r="Z4157" s="147"/>
      <c r="AA4157" s="147"/>
      <c r="AB4157" s="147"/>
      <c r="AC4157" s="147"/>
      <c r="AD4157" s="147"/>
      <c r="AE4157" s="147"/>
      <c r="AF4157" s="147"/>
      <c r="AG4157" s="147"/>
      <c r="AH4157" s="147"/>
      <c r="AI4157" s="147"/>
      <c r="AJ4157" s="147"/>
      <c r="AK4157" s="147"/>
      <c r="AL4157" s="147"/>
      <c r="AM4157" s="147"/>
      <c r="AN4157" s="147"/>
      <c r="AO4157" s="147"/>
      <c r="AP4157" s="147"/>
      <c r="AQ4157" s="147"/>
      <c r="AR4157" s="147"/>
      <c r="AS4157" s="147"/>
      <c r="AT4157" s="147"/>
      <c r="AU4157" s="147"/>
      <c r="AV4157" s="147"/>
      <c r="AW4157" s="147"/>
      <c r="AX4157" s="147"/>
      <c r="AY4157" s="147"/>
      <c r="AZ4157" s="147"/>
      <c r="BA4157" s="147"/>
    </row>
    <row r="4158" spans="1:53" ht="15.75" customHeight="1">
      <c r="A4158" s="99"/>
      <c r="B4158" s="99"/>
      <c r="C4158" s="147"/>
      <c r="D4158" s="147"/>
      <c r="E4158" s="147"/>
      <c r="F4158" s="147"/>
      <c r="G4158" s="147"/>
      <c r="H4158" s="147"/>
      <c r="I4158" s="147"/>
      <c r="J4158" s="147"/>
      <c r="K4158" s="147"/>
      <c r="L4158" s="147"/>
      <c r="M4158" s="147"/>
      <c r="N4158" s="147"/>
      <c r="O4158" s="147"/>
      <c r="P4158" s="147"/>
      <c r="Q4158" s="147"/>
      <c r="R4158" s="147"/>
      <c r="S4158" s="147"/>
      <c r="T4158" s="147"/>
      <c r="U4158" s="147"/>
      <c r="V4158" s="147"/>
      <c r="W4158" s="147"/>
      <c r="X4158" s="147"/>
      <c r="Y4158" s="147"/>
      <c r="Z4158" s="147"/>
      <c r="AA4158" s="147"/>
      <c r="AB4158" s="147"/>
      <c r="AC4158" s="147"/>
      <c r="AD4158" s="147"/>
      <c r="AE4158" s="147"/>
      <c r="AF4158" s="147"/>
      <c r="AG4158" s="147"/>
      <c r="AH4158" s="147"/>
      <c r="AI4158" s="147"/>
      <c r="AJ4158" s="147"/>
      <c r="AK4158" s="147"/>
      <c r="AL4158" s="147"/>
      <c r="AM4158" s="147"/>
      <c r="AN4158" s="147"/>
      <c r="AO4158" s="147"/>
      <c r="AP4158" s="147"/>
      <c r="AQ4158" s="147"/>
      <c r="AR4158" s="147"/>
      <c r="AS4158" s="147"/>
      <c r="AT4158" s="147"/>
      <c r="AU4158" s="147"/>
      <c r="AV4158" s="147"/>
      <c r="AW4158" s="147"/>
      <c r="AX4158" s="147"/>
      <c r="AY4158" s="147"/>
      <c r="AZ4158" s="147"/>
      <c r="BA4158" s="147"/>
    </row>
    <row r="4159" spans="1:53" ht="15.75" customHeight="1">
      <c r="A4159" s="99"/>
      <c r="B4159" s="99"/>
      <c r="C4159" s="147"/>
      <c r="D4159" s="147"/>
      <c r="E4159" s="147"/>
      <c r="F4159" s="147"/>
      <c r="G4159" s="147"/>
      <c r="H4159" s="147"/>
      <c r="I4159" s="147"/>
      <c r="J4159" s="147"/>
      <c r="K4159" s="147"/>
      <c r="L4159" s="147"/>
      <c r="M4159" s="147"/>
      <c r="N4159" s="147"/>
      <c r="O4159" s="147"/>
      <c r="P4159" s="147"/>
      <c r="Q4159" s="147"/>
      <c r="R4159" s="147"/>
      <c r="S4159" s="147"/>
      <c r="T4159" s="147"/>
      <c r="U4159" s="147"/>
      <c r="V4159" s="147"/>
      <c r="W4159" s="147"/>
      <c r="X4159" s="147"/>
      <c r="Y4159" s="147"/>
      <c r="Z4159" s="147"/>
      <c r="AA4159" s="147"/>
      <c r="AB4159" s="147"/>
      <c r="AC4159" s="147"/>
      <c r="AD4159" s="147"/>
      <c r="AE4159" s="147"/>
      <c r="AF4159" s="147"/>
      <c r="AG4159" s="147"/>
      <c r="AH4159" s="147"/>
      <c r="AI4159" s="147"/>
      <c r="AJ4159" s="147"/>
      <c r="AK4159" s="147"/>
      <c r="AL4159" s="147"/>
      <c r="AM4159" s="147"/>
      <c r="AN4159" s="147"/>
      <c r="AO4159" s="147"/>
      <c r="AP4159" s="147"/>
      <c r="AQ4159" s="147"/>
      <c r="AR4159" s="147"/>
      <c r="AS4159" s="147"/>
      <c r="AT4159" s="147"/>
      <c r="AU4159" s="147"/>
      <c r="AV4159" s="147"/>
      <c r="AW4159" s="147"/>
      <c r="AX4159" s="147"/>
      <c r="AY4159" s="147"/>
      <c r="AZ4159" s="147"/>
      <c r="BA4159" s="147"/>
    </row>
    <row r="4160" spans="1:53" ht="15.75" customHeight="1">
      <c r="A4160" s="99"/>
      <c r="B4160" s="99"/>
      <c r="C4160" s="147"/>
      <c r="D4160" s="147"/>
      <c r="E4160" s="147"/>
      <c r="F4160" s="147"/>
      <c r="G4160" s="147"/>
      <c r="H4160" s="147"/>
      <c r="I4160" s="147"/>
      <c r="J4160" s="147"/>
      <c r="K4160" s="147"/>
      <c r="L4160" s="147"/>
      <c r="M4160" s="147"/>
      <c r="N4160" s="147"/>
      <c r="O4160" s="147"/>
      <c r="P4160" s="147"/>
      <c r="Q4160" s="147"/>
      <c r="R4160" s="147"/>
      <c r="S4160" s="147"/>
      <c r="T4160" s="147"/>
      <c r="U4160" s="147"/>
      <c r="V4160" s="147"/>
      <c r="W4160" s="147"/>
      <c r="X4160" s="147"/>
      <c r="Y4160" s="147"/>
      <c r="Z4160" s="147"/>
      <c r="AA4160" s="147"/>
      <c r="AB4160" s="147"/>
      <c r="AC4160" s="147"/>
      <c r="AD4160" s="147"/>
      <c r="AE4160" s="147"/>
      <c r="AF4160" s="147"/>
      <c r="AG4160" s="147"/>
      <c r="AH4160" s="147"/>
      <c r="AI4160" s="147"/>
      <c r="AJ4160" s="147"/>
      <c r="AK4160" s="147"/>
      <c r="AL4160" s="147"/>
      <c r="AM4160" s="147"/>
      <c r="AN4160" s="147"/>
      <c r="AO4160" s="147"/>
      <c r="AP4160" s="147"/>
      <c r="AQ4160" s="147"/>
      <c r="AR4160" s="147"/>
      <c r="AS4160" s="147"/>
      <c r="AT4160" s="147"/>
      <c r="AU4160" s="147"/>
      <c r="AV4160" s="147"/>
      <c r="AW4160" s="147"/>
      <c r="AX4160" s="147"/>
      <c r="AY4160" s="147"/>
      <c r="AZ4160" s="147"/>
      <c r="BA4160" s="147"/>
    </row>
    <row r="4161" spans="1:53" ht="15.75" customHeight="1">
      <c r="A4161" s="99"/>
      <c r="B4161" s="99"/>
      <c r="C4161" s="147"/>
      <c r="D4161" s="147"/>
      <c r="E4161" s="147"/>
      <c r="F4161" s="147"/>
      <c r="G4161" s="147"/>
      <c r="H4161" s="147"/>
      <c r="I4161" s="147"/>
      <c r="J4161" s="147"/>
      <c r="K4161" s="147"/>
      <c r="L4161" s="147"/>
      <c r="M4161" s="147"/>
      <c r="N4161" s="147"/>
      <c r="O4161" s="147"/>
      <c r="P4161" s="147"/>
      <c r="Q4161" s="147"/>
      <c r="R4161" s="147"/>
      <c r="S4161" s="147"/>
      <c r="T4161" s="147"/>
      <c r="U4161" s="147"/>
      <c r="V4161" s="147"/>
      <c r="W4161" s="147"/>
      <c r="X4161" s="147"/>
      <c r="Y4161" s="147"/>
      <c r="Z4161" s="147"/>
      <c r="AA4161" s="147"/>
      <c r="AB4161" s="147"/>
      <c r="AC4161" s="147"/>
      <c r="AD4161" s="147"/>
      <c r="AE4161" s="147"/>
      <c r="AF4161" s="147"/>
      <c r="AG4161" s="147"/>
      <c r="AH4161" s="147"/>
      <c r="AI4161" s="147"/>
      <c r="AJ4161" s="147"/>
      <c r="AK4161" s="147"/>
      <c r="AL4161" s="147"/>
      <c r="AM4161" s="147"/>
      <c r="AN4161" s="147"/>
      <c r="AO4161" s="147"/>
      <c r="AP4161" s="147"/>
      <c r="AQ4161" s="147"/>
      <c r="AR4161" s="147"/>
      <c r="AS4161" s="147"/>
      <c r="AT4161" s="147"/>
      <c r="AU4161" s="147"/>
      <c r="AV4161" s="147"/>
      <c r="AW4161" s="147"/>
      <c r="AX4161" s="147"/>
      <c r="AY4161" s="147"/>
      <c r="AZ4161" s="147"/>
      <c r="BA4161" s="147"/>
    </row>
    <row r="4162" spans="1:53" ht="15.75" customHeight="1">
      <c r="A4162" s="99"/>
      <c r="B4162" s="99"/>
      <c r="C4162" s="147"/>
      <c r="D4162" s="147"/>
      <c r="E4162" s="147"/>
      <c r="F4162" s="147"/>
      <c r="G4162" s="147"/>
      <c r="H4162" s="147"/>
      <c r="I4162" s="147"/>
      <c r="J4162" s="147"/>
      <c r="K4162" s="147"/>
      <c r="L4162" s="147"/>
      <c r="M4162" s="147"/>
      <c r="N4162" s="147"/>
      <c r="O4162" s="147"/>
      <c r="P4162" s="147"/>
      <c r="Q4162" s="147"/>
      <c r="R4162" s="147"/>
      <c r="S4162" s="147"/>
      <c r="T4162" s="147"/>
      <c r="U4162" s="147"/>
      <c r="V4162" s="147"/>
      <c r="W4162" s="147"/>
      <c r="X4162" s="147"/>
      <c r="Y4162" s="147"/>
      <c r="Z4162" s="147"/>
      <c r="AA4162" s="147"/>
      <c r="AB4162" s="147"/>
      <c r="AC4162" s="147"/>
      <c r="AD4162" s="147"/>
      <c r="AE4162" s="147"/>
      <c r="AF4162" s="147"/>
      <c r="AG4162" s="147"/>
      <c r="AH4162" s="147"/>
      <c r="AI4162" s="147"/>
      <c r="AJ4162" s="147"/>
      <c r="AK4162" s="147"/>
      <c r="AL4162" s="147"/>
      <c r="AM4162" s="147"/>
      <c r="AN4162" s="147"/>
      <c r="AO4162" s="147"/>
      <c r="AP4162" s="147"/>
      <c r="AQ4162" s="147"/>
      <c r="AR4162" s="147"/>
      <c r="AS4162" s="147"/>
      <c r="AT4162" s="147"/>
      <c r="AU4162" s="147"/>
      <c r="AV4162" s="147"/>
      <c r="AW4162" s="147"/>
      <c r="AX4162" s="147"/>
      <c r="AY4162" s="147"/>
      <c r="AZ4162" s="147"/>
      <c r="BA4162" s="147"/>
    </row>
    <row r="4163" spans="1:53" ht="15.75" customHeight="1">
      <c r="A4163" s="99"/>
      <c r="B4163" s="99"/>
      <c r="C4163" s="147"/>
      <c r="D4163" s="147"/>
      <c r="E4163" s="147"/>
      <c r="F4163" s="147"/>
      <c r="G4163" s="147"/>
      <c r="H4163" s="147"/>
      <c r="I4163" s="147"/>
      <c r="J4163" s="147"/>
      <c r="K4163" s="147"/>
      <c r="L4163" s="147"/>
      <c r="M4163" s="147"/>
      <c r="N4163" s="147"/>
      <c r="O4163" s="147"/>
      <c r="P4163" s="147"/>
      <c r="Q4163" s="147"/>
      <c r="R4163" s="147"/>
      <c r="S4163" s="147"/>
      <c r="T4163" s="147"/>
      <c r="U4163" s="147"/>
      <c r="V4163" s="147"/>
      <c r="W4163" s="147"/>
      <c r="X4163" s="147"/>
      <c r="Y4163" s="147"/>
      <c r="Z4163" s="147"/>
      <c r="AA4163" s="147"/>
      <c r="AB4163" s="147"/>
      <c r="AC4163" s="147"/>
      <c r="AD4163" s="147"/>
      <c r="AE4163" s="147"/>
      <c r="AF4163" s="147"/>
      <c r="AG4163" s="147"/>
      <c r="AH4163" s="147"/>
      <c r="AI4163" s="147"/>
      <c r="AJ4163" s="147"/>
      <c r="AK4163" s="147"/>
      <c r="AL4163" s="147"/>
      <c r="AM4163" s="147"/>
      <c r="AN4163" s="147"/>
      <c r="AO4163" s="147"/>
      <c r="AP4163" s="147"/>
      <c r="AQ4163" s="147"/>
      <c r="AR4163" s="147"/>
      <c r="AS4163" s="147"/>
      <c r="AT4163" s="147"/>
      <c r="AU4163" s="147"/>
      <c r="AV4163" s="147"/>
      <c r="AW4163" s="147"/>
      <c r="AX4163" s="147"/>
      <c r="AY4163" s="147"/>
      <c r="AZ4163" s="147"/>
      <c r="BA4163" s="147"/>
    </row>
    <row r="4164" spans="1:53" ht="15.75" customHeight="1">
      <c r="A4164" s="99"/>
      <c r="B4164" s="99"/>
      <c r="C4164" s="147"/>
      <c r="D4164" s="147"/>
      <c r="E4164" s="147"/>
      <c r="F4164" s="147"/>
      <c r="G4164" s="147"/>
      <c r="H4164" s="147"/>
      <c r="I4164" s="147"/>
      <c r="J4164" s="147"/>
      <c r="K4164" s="147"/>
      <c r="L4164" s="147"/>
      <c r="M4164" s="147"/>
      <c r="N4164" s="147"/>
      <c r="O4164" s="147"/>
      <c r="P4164" s="147"/>
      <c r="Q4164" s="147"/>
      <c r="R4164" s="147"/>
      <c r="S4164" s="147"/>
      <c r="T4164" s="147"/>
      <c r="U4164" s="147"/>
      <c r="V4164" s="147"/>
      <c r="W4164" s="147"/>
      <c r="X4164" s="147"/>
      <c r="Y4164" s="147"/>
      <c r="Z4164" s="147"/>
      <c r="AA4164" s="147"/>
      <c r="AB4164" s="147"/>
      <c r="AC4164" s="147"/>
      <c r="AD4164" s="147"/>
      <c r="AE4164" s="147"/>
      <c r="AF4164" s="147"/>
      <c r="AG4164" s="147"/>
      <c r="AH4164" s="147"/>
      <c r="AI4164" s="147"/>
      <c r="AJ4164" s="147"/>
      <c r="AK4164" s="147"/>
      <c r="AL4164" s="147"/>
      <c r="AM4164" s="147"/>
      <c r="AN4164" s="147"/>
      <c r="AO4164" s="147"/>
      <c r="AP4164" s="147"/>
      <c r="AQ4164" s="147"/>
      <c r="AR4164" s="147"/>
      <c r="AS4164" s="147"/>
      <c r="AT4164" s="147"/>
      <c r="AU4164" s="147"/>
      <c r="AV4164" s="147"/>
      <c r="AW4164" s="147"/>
      <c r="AX4164" s="147"/>
      <c r="AY4164" s="147"/>
      <c r="AZ4164" s="147"/>
      <c r="BA4164" s="147"/>
    </row>
    <row r="4165" spans="1:53" ht="15.75" customHeight="1">
      <c r="A4165" s="99"/>
      <c r="B4165" s="99"/>
      <c r="C4165" s="147"/>
      <c r="D4165" s="147"/>
      <c r="E4165" s="147"/>
      <c r="F4165" s="147"/>
      <c r="G4165" s="147"/>
      <c r="H4165" s="147"/>
      <c r="I4165" s="147"/>
      <c r="J4165" s="147"/>
      <c r="K4165" s="147"/>
      <c r="L4165" s="147"/>
      <c r="M4165" s="147"/>
      <c r="N4165" s="147"/>
      <c r="O4165" s="147"/>
      <c r="P4165" s="147"/>
      <c r="Q4165" s="147"/>
      <c r="R4165" s="147"/>
      <c r="S4165" s="147"/>
      <c r="T4165" s="147"/>
      <c r="U4165" s="147"/>
      <c r="V4165" s="147"/>
      <c r="W4165" s="147"/>
      <c r="X4165" s="147"/>
      <c r="Y4165" s="147"/>
      <c r="Z4165" s="147"/>
      <c r="AA4165" s="147"/>
      <c r="AB4165" s="147"/>
      <c r="AC4165" s="147"/>
      <c r="AD4165" s="147"/>
      <c r="AE4165" s="147"/>
      <c r="AF4165" s="147"/>
      <c r="AG4165" s="147"/>
      <c r="AH4165" s="147"/>
      <c r="AI4165" s="147"/>
      <c r="AJ4165" s="147"/>
      <c r="AK4165" s="147"/>
      <c r="AL4165" s="147"/>
      <c r="AM4165" s="147"/>
      <c r="AN4165" s="147"/>
      <c r="AO4165" s="147"/>
      <c r="AP4165" s="147"/>
      <c r="AQ4165" s="147"/>
      <c r="AR4165" s="147"/>
      <c r="AS4165" s="147"/>
      <c r="AT4165" s="147"/>
      <c r="AU4165" s="147"/>
      <c r="AV4165" s="147"/>
      <c r="AW4165" s="147"/>
      <c r="AX4165" s="147"/>
      <c r="AY4165" s="147"/>
      <c r="AZ4165" s="147"/>
      <c r="BA4165" s="147"/>
    </row>
    <row r="4166" spans="1:53" ht="15.75" customHeight="1">
      <c r="A4166" s="99"/>
      <c r="B4166" s="99"/>
      <c r="C4166" s="147"/>
      <c r="D4166" s="147"/>
      <c r="E4166" s="147"/>
      <c r="F4166" s="147"/>
      <c r="G4166" s="147"/>
      <c r="H4166" s="147"/>
      <c r="I4166" s="147"/>
      <c r="J4166" s="147"/>
      <c r="K4166" s="147"/>
      <c r="L4166" s="147"/>
      <c r="M4166" s="147"/>
      <c r="N4166" s="147"/>
      <c r="O4166" s="147"/>
      <c r="P4166" s="147"/>
      <c r="Q4166" s="147"/>
      <c r="R4166" s="147"/>
      <c r="S4166" s="147"/>
      <c r="T4166" s="147"/>
      <c r="U4166" s="147"/>
      <c r="V4166" s="147"/>
      <c r="W4166" s="147"/>
      <c r="X4166" s="147"/>
      <c r="Y4166" s="147"/>
      <c r="Z4166" s="147"/>
      <c r="AA4166" s="147"/>
      <c r="AB4166" s="147"/>
      <c r="AC4166" s="147"/>
      <c r="AD4166" s="147"/>
      <c r="AE4166" s="147"/>
      <c r="AF4166" s="147"/>
      <c r="AG4166" s="147"/>
      <c r="AH4166" s="147"/>
      <c r="AI4166" s="147"/>
      <c r="AJ4166" s="147"/>
      <c r="AK4166" s="147"/>
      <c r="AL4166" s="147"/>
      <c r="AM4166" s="147"/>
      <c r="AN4166" s="147"/>
      <c r="AO4166" s="147"/>
      <c r="AP4166" s="147"/>
      <c r="AQ4166" s="147"/>
      <c r="AR4166" s="147"/>
      <c r="AS4166" s="147"/>
      <c r="AT4166" s="147"/>
      <c r="AU4166" s="147"/>
      <c r="AV4166" s="147"/>
      <c r="AW4166" s="147"/>
      <c r="AX4166" s="147"/>
      <c r="AY4166" s="147"/>
      <c r="AZ4166" s="147"/>
      <c r="BA4166" s="147"/>
    </row>
    <row r="4167" spans="1:53" ht="15.75" customHeight="1">
      <c r="A4167" s="99"/>
      <c r="B4167" s="99"/>
      <c r="C4167" s="147"/>
      <c r="D4167" s="147"/>
      <c r="E4167" s="147"/>
      <c r="F4167" s="147"/>
      <c r="G4167" s="147"/>
      <c r="H4167" s="147"/>
      <c r="I4167" s="147"/>
      <c r="J4167" s="147"/>
      <c r="K4167" s="147"/>
      <c r="L4167" s="147"/>
      <c r="M4167" s="147"/>
      <c r="N4167" s="147"/>
      <c r="O4167" s="147"/>
      <c r="P4167" s="147"/>
      <c r="Q4167" s="147"/>
      <c r="R4167" s="147"/>
      <c r="S4167" s="147"/>
      <c r="T4167" s="147"/>
      <c r="U4167" s="147"/>
      <c r="V4167" s="147"/>
      <c r="W4167" s="147"/>
      <c r="X4167" s="147"/>
      <c r="Y4167" s="147"/>
      <c r="Z4167" s="147"/>
      <c r="AA4167" s="147"/>
      <c r="AB4167" s="147"/>
      <c r="AC4167" s="147"/>
      <c r="AD4167" s="147"/>
      <c r="AE4167" s="147"/>
      <c r="AF4167" s="147"/>
      <c r="AG4167" s="147"/>
      <c r="AH4167" s="147"/>
      <c r="AI4167" s="147"/>
      <c r="AJ4167" s="147"/>
      <c r="AK4167" s="147"/>
      <c r="AL4167" s="147"/>
      <c r="AM4167" s="147"/>
      <c r="AN4167" s="147"/>
      <c r="AO4167" s="147"/>
      <c r="AP4167" s="147"/>
      <c r="AQ4167" s="147"/>
      <c r="AR4167" s="147"/>
      <c r="AS4167" s="147"/>
      <c r="AT4167" s="147"/>
      <c r="AU4167" s="147"/>
      <c r="AV4167" s="147"/>
      <c r="AW4167" s="147"/>
      <c r="AX4167" s="147"/>
      <c r="AY4167" s="147"/>
      <c r="AZ4167" s="147"/>
      <c r="BA4167" s="147"/>
    </row>
    <row r="4168" spans="1:53" ht="15.75" customHeight="1">
      <c r="A4168" s="99"/>
      <c r="B4168" s="99"/>
      <c r="C4168" s="147"/>
      <c r="D4168" s="147"/>
      <c r="E4168" s="147"/>
      <c r="F4168" s="147"/>
      <c r="G4168" s="147"/>
      <c r="H4168" s="147"/>
      <c r="I4168" s="147"/>
      <c r="J4168" s="147"/>
      <c r="K4168" s="147"/>
      <c r="L4168" s="147"/>
      <c r="M4168" s="147"/>
      <c r="N4168" s="147"/>
      <c r="O4168" s="147"/>
      <c r="P4168" s="147"/>
      <c r="Q4168" s="147"/>
      <c r="R4168" s="147"/>
      <c r="S4168" s="147"/>
      <c r="T4168" s="147"/>
      <c r="U4168" s="147"/>
      <c r="V4168" s="147"/>
      <c r="W4168" s="147"/>
      <c r="X4168" s="147"/>
      <c r="Y4168" s="147"/>
      <c r="Z4168" s="147"/>
      <c r="AA4168" s="147"/>
      <c r="AB4168" s="147"/>
      <c r="AC4168" s="147"/>
      <c r="AD4168" s="147"/>
      <c r="AE4168" s="147"/>
      <c r="AF4168" s="147"/>
      <c r="AG4168" s="147"/>
      <c r="AH4168" s="147"/>
      <c r="AI4168" s="147"/>
      <c r="AJ4168" s="147"/>
      <c r="AK4168" s="147"/>
      <c r="AL4168" s="147"/>
      <c r="AM4168" s="147"/>
      <c r="AN4168" s="147"/>
      <c r="AO4168" s="147"/>
      <c r="AP4168" s="147"/>
      <c r="AQ4168" s="147"/>
      <c r="AR4168" s="147"/>
      <c r="AS4168" s="147"/>
      <c r="AT4168" s="147"/>
      <c r="AU4168" s="147"/>
      <c r="AV4168" s="147"/>
      <c r="AW4168" s="147"/>
      <c r="AX4168" s="147"/>
      <c r="AY4168" s="147"/>
      <c r="AZ4168" s="147"/>
      <c r="BA4168" s="147"/>
    </row>
    <row r="4169" spans="1:53" ht="15.75" customHeight="1">
      <c r="A4169" s="99"/>
      <c r="B4169" s="99"/>
      <c r="C4169" s="147"/>
      <c r="D4169" s="147"/>
      <c r="E4169" s="147"/>
      <c r="F4169" s="147"/>
      <c r="G4169" s="147"/>
      <c r="H4169" s="147"/>
      <c r="I4169" s="147"/>
      <c r="J4169" s="147"/>
      <c r="K4169" s="147"/>
      <c r="L4169" s="147"/>
      <c r="M4169" s="147"/>
      <c r="N4169" s="147"/>
      <c r="O4169" s="147"/>
      <c r="P4169" s="147"/>
      <c r="Q4169" s="147"/>
      <c r="R4169" s="147"/>
      <c r="S4169" s="147"/>
      <c r="T4169" s="147"/>
      <c r="U4169" s="147"/>
      <c r="V4169" s="147"/>
      <c r="W4169" s="147"/>
      <c r="X4169" s="147"/>
      <c r="Y4169" s="147"/>
      <c r="Z4169" s="147"/>
      <c r="AA4169" s="147"/>
      <c r="AB4169" s="147"/>
      <c r="AC4169" s="147"/>
      <c r="AD4169" s="147"/>
      <c r="AE4169" s="147"/>
      <c r="AF4169" s="147"/>
      <c r="AG4169" s="147"/>
      <c r="AH4169" s="147"/>
      <c r="AI4169" s="147"/>
      <c r="AJ4169" s="147"/>
      <c r="AK4169" s="147"/>
      <c r="AL4169" s="147"/>
      <c r="AM4169" s="147"/>
      <c r="AN4169" s="147"/>
      <c r="AO4169" s="147"/>
      <c r="AP4169" s="147"/>
      <c r="AQ4169" s="147"/>
      <c r="AR4169" s="147"/>
      <c r="AS4169" s="147"/>
      <c r="AT4169" s="147"/>
      <c r="AU4169" s="147"/>
      <c r="AV4169" s="147"/>
      <c r="AW4169" s="147"/>
      <c r="AX4169" s="147"/>
      <c r="AY4169" s="147"/>
      <c r="AZ4169" s="147"/>
      <c r="BA4169" s="147"/>
    </row>
    <row r="4170" spans="1:53" ht="15.75" customHeight="1">
      <c r="A4170" s="99"/>
      <c r="B4170" s="99"/>
      <c r="C4170" s="147"/>
      <c r="D4170" s="147"/>
      <c r="E4170" s="147"/>
      <c r="F4170" s="147"/>
      <c r="G4170" s="147"/>
      <c r="H4170" s="147"/>
      <c r="I4170" s="147"/>
      <c r="J4170" s="147"/>
      <c r="K4170" s="147"/>
      <c r="L4170" s="147"/>
      <c r="M4170" s="147"/>
      <c r="N4170" s="147"/>
      <c r="O4170" s="147"/>
      <c r="P4170" s="147"/>
      <c r="Q4170" s="147"/>
      <c r="R4170" s="147"/>
      <c r="S4170" s="147"/>
      <c r="T4170" s="147"/>
      <c r="U4170" s="147"/>
      <c r="V4170" s="147"/>
      <c r="W4170" s="147"/>
      <c r="X4170" s="147"/>
      <c r="Y4170" s="147"/>
      <c r="Z4170" s="147"/>
      <c r="AA4170" s="147"/>
      <c r="AB4170" s="147"/>
      <c r="AC4170" s="147"/>
      <c r="AD4170" s="147"/>
      <c r="AE4170" s="147"/>
      <c r="AF4170" s="147"/>
      <c r="AG4170" s="147"/>
      <c r="AH4170" s="147"/>
      <c r="AI4170" s="147"/>
      <c r="AJ4170" s="147"/>
      <c r="AK4170" s="147"/>
      <c r="AL4170" s="147"/>
      <c r="AM4170" s="147"/>
      <c r="AN4170" s="147"/>
      <c r="AO4170" s="147"/>
      <c r="AP4170" s="147"/>
      <c r="AQ4170" s="147"/>
      <c r="AR4170" s="147"/>
      <c r="AS4170" s="147"/>
      <c r="AT4170" s="147"/>
      <c r="AU4170" s="147"/>
      <c r="AV4170" s="147"/>
      <c r="AW4170" s="147"/>
      <c r="AX4170" s="147"/>
      <c r="AY4170" s="147"/>
      <c r="AZ4170" s="147"/>
      <c r="BA4170" s="147"/>
    </row>
    <row r="4171" spans="1:53" ht="15.75" customHeight="1">
      <c r="A4171" s="99"/>
      <c r="B4171" s="99"/>
      <c r="C4171" s="147"/>
      <c r="D4171" s="147"/>
      <c r="E4171" s="147"/>
      <c r="F4171" s="147"/>
      <c r="G4171" s="147"/>
      <c r="H4171" s="147"/>
      <c r="I4171" s="147"/>
      <c r="J4171" s="147"/>
      <c r="K4171" s="147"/>
      <c r="L4171" s="147"/>
      <c r="M4171" s="147"/>
      <c r="N4171" s="147"/>
      <c r="O4171" s="147"/>
      <c r="P4171" s="147"/>
      <c r="Q4171" s="147"/>
      <c r="R4171" s="147"/>
      <c r="S4171" s="147"/>
      <c r="T4171" s="147"/>
      <c r="U4171" s="147"/>
      <c r="V4171" s="147"/>
      <c r="W4171" s="147"/>
      <c r="X4171" s="147"/>
      <c r="Y4171" s="147"/>
      <c r="Z4171" s="147"/>
      <c r="AA4171" s="147"/>
      <c r="AB4171" s="147"/>
      <c r="AC4171" s="147"/>
      <c r="AD4171" s="147"/>
      <c r="AE4171" s="147"/>
      <c r="AF4171" s="147"/>
      <c r="AG4171" s="147"/>
      <c r="AH4171" s="147"/>
      <c r="AI4171" s="147"/>
      <c r="AJ4171" s="147"/>
      <c r="AK4171" s="147"/>
      <c r="AL4171" s="147"/>
      <c r="AM4171" s="147"/>
      <c r="AN4171" s="147"/>
      <c r="AO4171" s="147"/>
      <c r="AP4171" s="147"/>
      <c r="AQ4171" s="147"/>
      <c r="AR4171" s="147"/>
      <c r="AS4171" s="147"/>
      <c r="AT4171" s="147"/>
      <c r="AU4171" s="147"/>
      <c r="AV4171" s="147"/>
      <c r="AW4171" s="147"/>
      <c r="AX4171" s="147"/>
      <c r="AY4171" s="147"/>
      <c r="AZ4171" s="147"/>
      <c r="BA4171" s="147"/>
    </row>
    <row r="4172" spans="1:53" ht="15.75" customHeight="1">
      <c r="A4172" s="99"/>
      <c r="B4172" s="99"/>
      <c r="C4172" s="147"/>
      <c r="D4172" s="147"/>
      <c r="E4172" s="147"/>
      <c r="F4172" s="147"/>
      <c r="G4172" s="147"/>
      <c r="H4172" s="147"/>
      <c r="I4172" s="147"/>
      <c r="J4172" s="147"/>
      <c r="K4172" s="147"/>
      <c r="L4172" s="147"/>
      <c r="M4172" s="147"/>
      <c r="N4172" s="147"/>
      <c r="O4172" s="147"/>
      <c r="P4172" s="147"/>
      <c r="Q4172" s="147"/>
      <c r="R4172" s="147"/>
      <c r="S4172" s="147"/>
      <c r="T4172" s="147"/>
      <c r="U4172" s="147"/>
      <c r="V4172" s="147"/>
      <c r="W4172" s="147"/>
      <c r="X4172" s="147"/>
      <c r="Y4172" s="147"/>
      <c r="Z4172" s="147"/>
      <c r="AA4172" s="147"/>
      <c r="AB4172" s="147"/>
      <c r="AC4172" s="147"/>
      <c r="AD4172" s="147"/>
      <c r="AE4172" s="147"/>
      <c r="AF4172" s="147"/>
      <c r="AG4172" s="147"/>
      <c r="AH4172" s="147"/>
      <c r="AI4172" s="147"/>
      <c r="AJ4172" s="147"/>
      <c r="AK4172" s="147"/>
      <c r="AL4172" s="147"/>
      <c r="AM4172" s="147"/>
      <c r="AN4172" s="147"/>
      <c r="AO4172" s="147"/>
      <c r="AP4172" s="147"/>
      <c r="AQ4172" s="147"/>
      <c r="AR4172" s="147"/>
      <c r="AS4172" s="147"/>
      <c r="AT4172" s="147"/>
      <c r="AU4172" s="147"/>
      <c r="AV4172" s="147"/>
      <c r="AW4172" s="147"/>
      <c r="AX4172" s="147"/>
      <c r="AY4172" s="147"/>
      <c r="AZ4172" s="147"/>
      <c r="BA4172" s="147"/>
    </row>
    <row r="4173" spans="1:53" ht="15.75" customHeight="1">
      <c r="A4173" s="99"/>
      <c r="B4173" s="99"/>
      <c r="C4173" s="147"/>
      <c r="D4173" s="147"/>
      <c r="E4173" s="147"/>
      <c r="F4173" s="147"/>
      <c r="G4173" s="147"/>
      <c r="H4173" s="147"/>
      <c r="I4173" s="147"/>
      <c r="J4173" s="147"/>
      <c r="K4173" s="147"/>
      <c r="L4173" s="147"/>
      <c r="M4173" s="147"/>
      <c r="N4173" s="147"/>
      <c r="O4173" s="147"/>
      <c r="P4173" s="147"/>
      <c r="Q4173" s="147"/>
      <c r="R4173" s="147"/>
      <c r="S4173" s="147"/>
      <c r="T4173" s="147"/>
      <c r="U4173" s="147"/>
      <c r="V4173" s="147"/>
      <c r="W4173" s="147"/>
      <c r="X4173" s="147"/>
      <c r="Y4173" s="147"/>
      <c r="Z4173" s="147"/>
      <c r="AA4173" s="147"/>
      <c r="AB4173" s="147"/>
      <c r="AC4173" s="147"/>
      <c r="AD4173" s="147"/>
      <c r="AE4173" s="147"/>
      <c r="AF4173" s="147"/>
      <c r="AG4173" s="147"/>
      <c r="AH4173" s="147"/>
      <c r="AI4173" s="147"/>
      <c r="AJ4173" s="147"/>
      <c r="AK4173" s="147"/>
      <c r="AL4173" s="147"/>
      <c r="AM4173" s="147"/>
      <c r="AN4173" s="147"/>
      <c r="AO4173" s="147"/>
      <c r="AP4173" s="147"/>
      <c r="AQ4173" s="147"/>
      <c r="AR4173" s="147"/>
      <c r="AS4173" s="147"/>
      <c r="AT4173" s="147"/>
      <c r="AU4173" s="147"/>
      <c r="AV4173" s="147"/>
      <c r="AW4173" s="147"/>
      <c r="AX4173" s="147"/>
      <c r="AY4173" s="147"/>
      <c r="AZ4173" s="147"/>
      <c r="BA4173" s="147"/>
    </row>
    <row r="4174" spans="1:53" ht="15.75" customHeight="1">
      <c r="A4174" s="99"/>
      <c r="B4174" s="99"/>
      <c r="C4174" s="147"/>
      <c r="D4174" s="147"/>
      <c r="E4174" s="147"/>
      <c r="F4174" s="147"/>
      <c r="G4174" s="147"/>
      <c r="H4174" s="147"/>
      <c r="I4174" s="147"/>
      <c r="J4174" s="147"/>
      <c r="K4174" s="147"/>
      <c r="L4174" s="147"/>
      <c r="M4174" s="147"/>
      <c r="N4174" s="147"/>
      <c r="O4174" s="147"/>
      <c r="P4174" s="147"/>
      <c r="Q4174" s="147"/>
      <c r="R4174" s="147"/>
      <c r="S4174" s="147"/>
      <c r="T4174" s="147"/>
      <c r="U4174" s="147"/>
      <c r="V4174" s="147"/>
      <c r="W4174" s="147"/>
      <c r="X4174" s="147"/>
      <c r="Y4174" s="147"/>
      <c r="Z4174" s="147"/>
      <c r="AA4174" s="147"/>
      <c r="AB4174" s="147"/>
      <c r="AC4174" s="147"/>
      <c r="AD4174" s="147"/>
      <c r="AE4174" s="147"/>
      <c r="AF4174" s="147"/>
      <c r="AG4174" s="147"/>
      <c r="AH4174" s="147"/>
      <c r="AI4174" s="147"/>
      <c r="AJ4174" s="147"/>
      <c r="AK4174" s="147"/>
      <c r="AL4174" s="147"/>
      <c r="AM4174" s="147"/>
      <c r="AN4174" s="147"/>
      <c r="AO4174" s="147"/>
      <c r="AP4174" s="147"/>
      <c r="AQ4174" s="147"/>
      <c r="AR4174" s="147"/>
      <c r="AS4174" s="147"/>
      <c r="AT4174" s="147"/>
      <c r="AU4174" s="147"/>
      <c r="AV4174" s="147"/>
      <c r="AW4174" s="147"/>
      <c r="AX4174" s="147"/>
      <c r="AY4174" s="147"/>
      <c r="AZ4174" s="147"/>
      <c r="BA4174" s="147"/>
    </row>
    <row r="4175" spans="1:53" ht="15.75" customHeight="1">
      <c r="A4175" s="99"/>
      <c r="B4175" s="99"/>
      <c r="C4175" s="147"/>
      <c r="D4175" s="147"/>
      <c r="E4175" s="147"/>
      <c r="F4175" s="147"/>
      <c r="G4175" s="147"/>
      <c r="H4175" s="147"/>
      <c r="I4175" s="147"/>
      <c r="J4175" s="147"/>
      <c r="K4175" s="147"/>
      <c r="L4175" s="147"/>
      <c r="M4175" s="147"/>
      <c r="N4175" s="147"/>
      <c r="O4175" s="147"/>
      <c r="P4175" s="147"/>
      <c r="Q4175" s="147"/>
      <c r="R4175" s="147"/>
      <c r="S4175" s="147"/>
      <c r="T4175" s="147"/>
      <c r="U4175" s="147"/>
      <c r="V4175" s="147"/>
      <c r="W4175" s="147"/>
      <c r="X4175" s="147"/>
      <c r="Y4175" s="147"/>
      <c r="Z4175" s="147"/>
      <c r="AA4175" s="147"/>
      <c r="AB4175" s="147"/>
      <c r="AC4175" s="147"/>
      <c r="AD4175" s="147"/>
      <c r="AE4175" s="147"/>
      <c r="AF4175" s="147"/>
      <c r="AG4175" s="147"/>
      <c r="AH4175" s="147"/>
      <c r="AI4175" s="147"/>
      <c r="AJ4175" s="147"/>
      <c r="AK4175" s="147"/>
      <c r="AL4175" s="147"/>
      <c r="AM4175" s="147"/>
      <c r="AN4175" s="147"/>
      <c r="AO4175" s="147"/>
      <c r="AP4175" s="147"/>
      <c r="AQ4175" s="147"/>
      <c r="AR4175" s="147"/>
      <c r="AS4175" s="147"/>
      <c r="AT4175" s="147"/>
      <c r="AU4175" s="147"/>
      <c r="AV4175" s="147"/>
      <c r="AW4175" s="147"/>
      <c r="AX4175" s="147"/>
      <c r="AY4175" s="147"/>
      <c r="AZ4175" s="147"/>
      <c r="BA4175" s="147"/>
    </row>
    <row r="4176" spans="1:53" ht="15.75" customHeight="1">
      <c r="A4176" s="99"/>
      <c r="B4176" s="99"/>
      <c r="C4176" s="147"/>
      <c r="D4176" s="147"/>
      <c r="E4176" s="147"/>
      <c r="F4176" s="147"/>
      <c r="G4176" s="147"/>
      <c r="H4176" s="147"/>
      <c r="I4176" s="147"/>
      <c r="J4176" s="147"/>
      <c r="K4176" s="147"/>
      <c r="L4176" s="147"/>
      <c r="M4176" s="147"/>
      <c r="N4176" s="147"/>
      <c r="O4176" s="147"/>
      <c r="P4176" s="147"/>
      <c r="Q4176" s="147"/>
      <c r="R4176" s="147"/>
      <c r="S4176" s="147"/>
      <c r="T4176" s="147"/>
      <c r="U4176" s="147"/>
      <c r="V4176" s="147"/>
      <c r="W4176" s="147"/>
      <c r="X4176" s="147"/>
      <c r="Y4176" s="147"/>
      <c r="Z4176" s="147"/>
      <c r="AA4176" s="147"/>
      <c r="AB4176" s="147"/>
      <c r="AC4176" s="147"/>
      <c r="AD4176" s="147"/>
      <c r="AE4176" s="147"/>
      <c r="AF4176" s="147"/>
      <c r="AG4176" s="147"/>
      <c r="AH4176" s="147"/>
      <c r="AI4176" s="147"/>
      <c r="AJ4176" s="147"/>
      <c r="AK4176" s="147"/>
      <c r="AL4176" s="147"/>
      <c r="AM4176" s="147"/>
      <c r="AN4176" s="147"/>
      <c r="AO4176" s="147"/>
      <c r="AP4176" s="147"/>
      <c r="AQ4176" s="147"/>
      <c r="AR4176" s="147"/>
      <c r="AS4176" s="147"/>
      <c r="AT4176" s="147"/>
      <c r="AU4176" s="147"/>
      <c r="AV4176" s="147"/>
      <c r="AW4176" s="147"/>
      <c r="AX4176" s="147"/>
      <c r="AY4176" s="147"/>
      <c r="AZ4176" s="147"/>
      <c r="BA4176" s="147"/>
    </row>
    <row r="4177" spans="1:53" ht="15.75" customHeight="1">
      <c r="A4177" s="99"/>
      <c r="B4177" s="99"/>
      <c r="C4177" s="147"/>
      <c r="D4177" s="147"/>
      <c r="E4177" s="147"/>
      <c r="F4177" s="147"/>
      <c r="G4177" s="147"/>
      <c r="H4177" s="147"/>
      <c r="I4177" s="147"/>
      <c r="J4177" s="147"/>
      <c r="K4177" s="147"/>
      <c r="L4177" s="147"/>
      <c r="M4177" s="147"/>
      <c r="N4177" s="147"/>
      <c r="O4177" s="147"/>
      <c r="P4177" s="147"/>
      <c r="Q4177" s="147"/>
      <c r="R4177" s="147"/>
      <c r="S4177" s="147"/>
      <c r="T4177" s="147"/>
      <c r="U4177" s="147"/>
      <c r="V4177" s="147"/>
      <c r="W4177" s="147"/>
      <c r="X4177" s="147"/>
      <c r="Y4177" s="147"/>
      <c r="Z4177" s="147"/>
      <c r="AA4177" s="147"/>
      <c r="AB4177" s="147"/>
      <c r="AC4177" s="147"/>
      <c r="AD4177" s="147"/>
      <c r="AE4177" s="147"/>
      <c r="AF4177" s="147"/>
      <c r="AG4177" s="147"/>
      <c r="AH4177" s="147"/>
      <c r="AI4177" s="147"/>
      <c r="AJ4177" s="147"/>
      <c r="AK4177" s="147"/>
      <c r="AL4177" s="147"/>
      <c r="AM4177" s="147"/>
      <c r="AN4177" s="147"/>
      <c r="AO4177" s="147"/>
      <c r="AP4177" s="147"/>
      <c r="AQ4177" s="147"/>
      <c r="AR4177" s="147"/>
      <c r="AS4177" s="147"/>
      <c r="AT4177" s="147"/>
      <c r="AU4177" s="147"/>
      <c r="AV4177" s="147"/>
      <c r="AW4177" s="147"/>
      <c r="AX4177" s="147"/>
      <c r="AY4177" s="147"/>
      <c r="AZ4177" s="147"/>
      <c r="BA4177" s="147"/>
    </row>
    <row r="4178" spans="1:53" ht="15.75" customHeight="1">
      <c r="A4178" s="99"/>
      <c r="B4178" s="99"/>
      <c r="C4178" s="147"/>
      <c r="D4178" s="147"/>
      <c r="E4178" s="147"/>
      <c r="F4178" s="147"/>
      <c r="G4178" s="147"/>
      <c r="H4178" s="147"/>
      <c r="I4178" s="147"/>
      <c r="J4178" s="147"/>
      <c r="K4178" s="147"/>
      <c r="L4178" s="147"/>
      <c r="M4178" s="147"/>
      <c r="N4178" s="147"/>
      <c r="O4178" s="147"/>
      <c r="P4178" s="147"/>
      <c r="Q4178" s="147"/>
      <c r="R4178" s="147"/>
      <c r="S4178" s="147"/>
      <c r="T4178" s="147"/>
      <c r="U4178" s="147"/>
      <c r="V4178" s="147"/>
      <c r="W4178" s="147"/>
      <c r="X4178" s="147"/>
      <c r="Y4178" s="147"/>
      <c r="Z4178" s="147"/>
      <c r="AA4178" s="147"/>
      <c r="AB4178" s="147"/>
      <c r="AC4178" s="147"/>
      <c r="AD4178" s="147"/>
      <c r="AE4178" s="147"/>
      <c r="AF4178" s="147"/>
      <c r="AG4178" s="147"/>
      <c r="AH4178" s="147"/>
      <c r="AI4178" s="147"/>
      <c r="AJ4178" s="147"/>
      <c r="AK4178" s="147"/>
      <c r="AL4178" s="147"/>
      <c r="AM4178" s="147"/>
      <c r="AN4178" s="147"/>
      <c r="AO4178" s="147"/>
      <c r="AP4178" s="147"/>
      <c r="AQ4178" s="147"/>
      <c r="AR4178" s="147"/>
      <c r="AS4178" s="147"/>
      <c r="AT4178" s="147"/>
      <c r="AU4178" s="147"/>
      <c r="AV4178" s="147"/>
      <c r="AW4178" s="147"/>
      <c r="AX4178" s="147"/>
      <c r="AY4178" s="147"/>
      <c r="AZ4178" s="147"/>
      <c r="BA4178" s="147"/>
    </row>
    <row r="4179" spans="1:53" ht="15.75" customHeight="1">
      <c r="A4179" s="99"/>
      <c r="B4179" s="99"/>
      <c r="C4179" s="147"/>
      <c r="D4179" s="147"/>
      <c r="E4179" s="147"/>
      <c r="F4179" s="147"/>
      <c r="G4179" s="147"/>
      <c r="H4179" s="147"/>
      <c r="I4179" s="147"/>
      <c r="J4179" s="147"/>
      <c r="K4179" s="147"/>
      <c r="L4179" s="147"/>
      <c r="M4179" s="147"/>
      <c r="N4179" s="147"/>
      <c r="O4179" s="147"/>
      <c r="P4179" s="147"/>
      <c r="Q4179" s="147"/>
      <c r="R4179" s="147"/>
      <c r="S4179" s="147"/>
      <c r="T4179" s="147"/>
      <c r="U4179" s="147"/>
      <c r="V4179" s="147"/>
      <c r="W4179" s="147"/>
      <c r="X4179" s="147"/>
      <c r="Y4179" s="147"/>
      <c r="Z4179" s="147"/>
      <c r="AA4179" s="147"/>
      <c r="AB4179" s="147"/>
      <c r="AC4179" s="147"/>
      <c r="AD4179" s="147"/>
      <c r="AE4179" s="147"/>
      <c r="AF4179" s="147"/>
      <c r="AG4179" s="147"/>
      <c r="AH4179" s="147"/>
      <c r="AI4179" s="147"/>
      <c r="AJ4179" s="147"/>
      <c r="AK4179" s="147"/>
      <c r="AL4179" s="147"/>
      <c r="AM4179" s="147"/>
      <c r="AN4179" s="147"/>
      <c r="AO4179" s="147"/>
      <c r="AP4179" s="147"/>
      <c r="AQ4179" s="147"/>
      <c r="AR4179" s="147"/>
      <c r="AS4179" s="147"/>
      <c r="AT4179" s="147"/>
      <c r="AU4179" s="147"/>
      <c r="AV4179" s="147"/>
      <c r="AW4179" s="147"/>
      <c r="AX4179" s="147"/>
      <c r="AY4179" s="147"/>
      <c r="AZ4179" s="147"/>
      <c r="BA4179" s="147"/>
    </row>
    <row r="4180" spans="1:53" ht="15.75" customHeight="1">
      <c r="A4180" s="99"/>
      <c r="B4180" s="99"/>
      <c r="C4180" s="147"/>
      <c r="D4180" s="147"/>
      <c r="E4180" s="147"/>
      <c r="F4180" s="147"/>
      <c r="G4180" s="147"/>
      <c r="H4180" s="147"/>
      <c r="I4180" s="147"/>
      <c r="J4180" s="147"/>
      <c r="K4180" s="147"/>
      <c r="L4180" s="147"/>
      <c r="M4180" s="147"/>
      <c r="N4180" s="147"/>
      <c r="O4180" s="147"/>
      <c r="P4180" s="147"/>
      <c r="Q4180" s="147"/>
      <c r="R4180" s="147"/>
      <c r="S4180" s="147"/>
      <c r="T4180" s="147"/>
      <c r="U4180" s="147"/>
      <c r="V4180" s="147"/>
      <c r="W4180" s="147"/>
      <c r="X4180" s="147"/>
      <c r="Y4180" s="147"/>
      <c r="Z4180" s="147"/>
      <c r="AA4180" s="147"/>
      <c r="AB4180" s="147"/>
      <c r="AC4180" s="147"/>
      <c r="AD4180" s="147"/>
      <c r="AE4180" s="147"/>
      <c r="AF4180" s="147"/>
      <c r="AG4180" s="147"/>
      <c r="AH4180" s="147"/>
      <c r="AI4180" s="147"/>
      <c r="AJ4180" s="147"/>
      <c r="AK4180" s="147"/>
      <c r="AL4180" s="147"/>
      <c r="AM4180" s="147"/>
      <c r="AN4180" s="147"/>
      <c r="AO4180" s="147"/>
      <c r="AP4180" s="147"/>
      <c r="AQ4180" s="147"/>
      <c r="AR4180" s="147"/>
      <c r="AS4180" s="147"/>
      <c r="AT4180" s="147"/>
      <c r="AU4180" s="147"/>
      <c r="AV4180" s="147"/>
      <c r="AW4180" s="147"/>
      <c r="AX4180" s="147"/>
      <c r="AY4180" s="147"/>
      <c r="AZ4180" s="147"/>
      <c r="BA4180" s="147"/>
    </row>
    <row r="4181" spans="1:53" ht="15.75" customHeight="1">
      <c r="A4181" s="99"/>
      <c r="B4181" s="99"/>
      <c r="C4181" s="147"/>
      <c r="D4181" s="147"/>
      <c r="E4181" s="147"/>
      <c r="F4181" s="147"/>
      <c r="G4181" s="147"/>
      <c r="H4181" s="147"/>
      <c r="I4181" s="147"/>
      <c r="J4181" s="147"/>
      <c r="K4181" s="147"/>
      <c r="L4181" s="147"/>
      <c r="M4181" s="147"/>
      <c r="N4181" s="147"/>
      <c r="O4181" s="147"/>
      <c r="P4181" s="147"/>
      <c r="Q4181" s="147"/>
      <c r="R4181" s="147"/>
      <c r="S4181" s="147"/>
      <c r="T4181" s="147"/>
      <c r="U4181" s="147"/>
      <c r="V4181" s="147"/>
      <c r="W4181" s="147"/>
      <c r="X4181" s="147"/>
      <c r="Y4181" s="147"/>
      <c r="Z4181" s="147"/>
      <c r="AA4181" s="147"/>
      <c r="AB4181" s="147"/>
      <c r="AC4181" s="147"/>
      <c r="AD4181" s="147"/>
      <c r="AE4181" s="147"/>
      <c r="AF4181" s="147"/>
      <c r="AG4181" s="147"/>
      <c r="AH4181" s="147"/>
      <c r="AI4181" s="147"/>
      <c r="AJ4181" s="147"/>
      <c r="AK4181" s="147"/>
      <c r="AL4181" s="147"/>
      <c r="AM4181" s="147"/>
      <c r="AN4181" s="147"/>
      <c r="AO4181" s="147"/>
      <c r="AP4181" s="147"/>
      <c r="AQ4181" s="147"/>
      <c r="AR4181" s="147"/>
      <c r="AS4181" s="147"/>
      <c r="AT4181" s="147"/>
      <c r="AU4181" s="147"/>
      <c r="AV4181" s="147"/>
      <c r="AW4181" s="147"/>
      <c r="AX4181" s="147"/>
      <c r="AY4181" s="147"/>
      <c r="AZ4181" s="147"/>
      <c r="BA4181" s="147"/>
    </row>
    <row r="4182" spans="1:53" ht="15.75" customHeight="1">
      <c r="A4182" s="99"/>
      <c r="B4182" s="99"/>
      <c r="C4182" s="147"/>
      <c r="D4182" s="147"/>
      <c r="E4182" s="147"/>
      <c r="F4182" s="147"/>
      <c r="G4182" s="147"/>
      <c r="H4182" s="147"/>
      <c r="I4182" s="147"/>
      <c r="J4182" s="147"/>
      <c r="K4182" s="147"/>
      <c r="L4182" s="147"/>
      <c r="M4182" s="147"/>
      <c r="N4182" s="147"/>
      <c r="O4182" s="147"/>
      <c r="P4182" s="147"/>
      <c r="Q4182" s="147"/>
      <c r="R4182" s="147"/>
      <c r="S4182" s="147"/>
      <c r="T4182" s="147"/>
      <c r="U4182" s="147"/>
      <c r="V4182" s="147"/>
      <c r="W4182" s="147"/>
      <c r="X4182" s="147"/>
      <c r="Y4182" s="147"/>
      <c r="Z4182" s="147"/>
      <c r="AA4182" s="147"/>
      <c r="AB4182" s="147"/>
      <c r="AC4182" s="147"/>
      <c r="AD4182" s="147"/>
      <c r="AE4182" s="147"/>
      <c r="AF4182" s="147"/>
      <c r="AG4182" s="147"/>
      <c r="AH4182" s="147"/>
      <c r="AI4182" s="147"/>
      <c r="AJ4182" s="147"/>
      <c r="AK4182" s="147"/>
      <c r="AL4182" s="147"/>
      <c r="AM4182" s="147"/>
      <c r="AN4182" s="147"/>
      <c r="AO4182" s="147"/>
      <c r="AP4182" s="147"/>
      <c r="AQ4182" s="147"/>
      <c r="AR4182" s="147"/>
      <c r="AS4182" s="147"/>
      <c r="AT4182" s="147"/>
      <c r="AU4182" s="147"/>
      <c r="AV4182" s="147"/>
      <c r="AW4182" s="147"/>
      <c r="AX4182" s="147"/>
      <c r="AY4182" s="147"/>
      <c r="AZ4182" s="147"/>
      <c r="BA4182" s="147"/>
    </row>
    <row r="4183" spans="1:53" ht="15.75" customHeight="1">
      <c r="A4183" s="99"/>
      <c r="B4183" s="99"/>
      <c r="C4183" s="147"/>
      <c r="D4183" s="147"/>
      <c r="E4183" s="147"/>
      <c r="F4183" s="147"/>
      <c r="G4183" s="147"/>
      <c r="H4183" s="147"/>
      <c r="I4183" s="147"/>
      <c r="J4183" s="147"/>
      <c r="K4183" s="147"/>
      <c r="L4183" s="147"/>
      <c r="M4183" s="147"/>
      <c r="N4183" s="147"/>
      <c r="O4183" s="147"/>
      <c r="P4183" s="147"/>
      <c r="Q4183" s="147"/>
      <c r="R4183" s="147"/>
      <c r="S4183" s="147"/>
      <c r="T4183" s="147"/>
      <c r="U4183" s="147"/>
      <c r="V4183" s="147"/>
      <c r="W4183" s="147"/>
      <c r="X4183" s="147"/>
      <c r="Y4183" s="147"/>
      <c r="Z4183" s="147"/>
      <c r="AA4183" s="147"/>
      <c r="AB4183" s="147"/>
      <c r="AC4183" s="147"/>
      <c r="AD4183" s="147"/>
      <c r="AE4183" s="147"/>
      <c r="AF4183" s="147"/>
      <c r="AG4183" s="147"/>
      <c r="AH4183" s="147"/>
      <c r="AI4183" s="147"/>
      <c r="AJ4183" s="147"/>
      <c r="AK4183" s="147"/>
      <c r="AL4183" s="147"/>
      <c r="AM4183" s="147"/>
      <c r="AN4183" s="147"/>
      <c r="AO4183" s="147"/>
      <c r="AP4183" s="147"/>
      <c r="AQ4183" s="147"/>
      <c r="AR4183" s="147"/>
      <c r="AS4183" s="147"/>
      <c r="AT4183" s="147"/>
      <c r="AU4183" s="147"/>
      <c r="AV4183" s="147"/>
      <c r="AW4183" s="147"/>
      <c r="AX4183" s="147"/>
      <c r="AY4183" s="147"/>
      <c r="AZ4183" s="147"/>
      <c r="BA4183" s="147"/>
    </row>
    <row r="4184" spans="1:53" ht="15.75" customHeight="1">
      <c r="A4184" s="99"/>
      <c r="B4184" s="99"/>
      <c r="C4184" s="147"/>
      <c r="D4184" s="147"/>
      <c r="E4184" s="147"/>
      <c r="F4184" s="147"/>
      <c r="G4184" s="147"/>
      <c r="H4184" s="147"/>
      <c r="I4184" s="147"/>
      <c r="J4184" s="147"/>
      <c r="K4184" s="147"/>
      <c r="L4184" s="147"/>
      <c r="M4184" s="147"/>
      <c r="N4184" s="147"/>
      <c r="O4184" s="147"/>
      <c r="P4184" s="147"/>
      <c r="Q4184" s="147"/>
      <c r="R4184" s="147"/>
      <c r="S4184" s="147"/>
      <c r="T4184" s="147"/>
      <c r="U4184" s="147"/>
      <c r="V4184" s="147"/>
      <c r="W4184" s="147"/>
      <c r="X4184" s="147"/>
      <c r="Y4184" s="147"/>
      <c r="Z4184" s="147"/>
      <c r="AA4184" s="147"/>
      <c r="AB4184" s="147"/>
      <c r="AC4184" s="147"/>
      <c r="AD4184" s="147"/>
      <c r="AE4184" s="147"/>
      <c r="AF4184" s="147"/>
      <c r="AG4184" s="147"/>
      <c r="AH4184" s="147"/>
      <c r="AI4184" s="147"/>
      <c r="AJ4184" s="147"/>
      <c r="AK4184" s="147"/>
      <c r="AL4184" s="147"/>
      <c r="AM4184" s="147"/>
      <c r="AN4184" s="147"/>
      <c r="AO4184" s="147"/>
      <c r="AP4184" s="147"/>
      <c r="AQ4184" s="147"/>
      <c r="AR4184" s="147"/>
      <c r="AS4184" s="147"/>
      <c r="AT4184" s="147"/>
      <c r="AU4184" s="147"/>
      <c r="AV4184" s="147"/>
      <c r="AW4184" s="147"/>
      <c r="AX4184" s="147"/>
      <c r="AY4184" s="147"/>
      <c r="AZ4184" s="147"/>
      <c r="BA4184" s="147"/>
    </row>
    <row r="4185" spans="1:53" ht="15.75" customHeight="1">
      <c r="A4185" s="99"/>
      <c r="B4185" s="99"/>
      <c r="C4185" s="147"/>
      <c r="D4185" s="147"/>
      <c r="E4185" s="147"/>
      <c r="F4185" s="147"/>
      <c r="G4185" s="147"/>
      <c r="H4185" s="147"/>
      <c r="I4185" s="147"/>
      <c r="J4185" s="147"/>
      <c r="K4185" s="147"/>
      <c r="L4185" s="147"/>
      <c r="M4185" s="147"/>
      <c r="N4185" s="147"/>
      <c r="O4185" s="147"/>
      <c r="P4185" s="147"/>
      <c r="Q4185" s="147"/>
      <c r="R4185" s="147"/>
      <c r="S4185" s="147"/>
      <c r="T4185" s="147"/>
      <c r="U4185" s="147"/>
      <c r="V4185" s="147"/>
      <c r="W4185" s="147"/>
      <c r="X4185" s="147"/>
      <c r="Y4185" s="147"/>
      <c r="Z4185" s="147"/>
      <c r="AA4185" s="147"/>
      <c r="AB4185" s="147"/>
      <c r="AC4185" s="147"/>
      <c r="AD4185" s="147"/>
      <c r="AE4185" s="147"/>
      <c r="AF4185" s="147"/>
      <c r="AG4185" s="147"/>
      <c r="AH4185" s="147"/>
      <c r="AI4185" s="147"/>
      <c r="AJ4185" s="147"/>
      <c r="AK4185" s="147"/>
      <c r="AL4185" s="147"/>
      <c r="AM4185" s="147"/>
      <c r="AN4185" s="147"/>
      <c r="AO4185" s="147"/>
      <c r="AP4185" s="147"/>
      <c r="AQ4185" s="147"/>
      <c r="AR4185" s="147"/>
      <c r="AS4185" s="147"/>
      <c r="AT4185" s="147"/>
      <c r="AU4185" s="147"/>
      <c r="AV4185" s="147"/>
      <c r="AW4185" s="147"/>
      <c r="AX4185" s="147"/>
      <c r="AY4185" s="147"/>
      <c r="AZ4185" s="147"/>
      <c r="BA4185" s="147"/>
    </row>
    <row r="4186" spans="1:53" ht="15.75" customHeight="1">
      <c r="A4186" s="99"/>
      <c r="B4186" s="99"/>
      <c r="C4186" s="147"/>
      <c r="D4186" s="147"/>
      <c r="E4186" s="147"/>
      <c r="F4186" s="147"/>
      <c r="G4186" s="147"/>
      <c r="H4186" s="147"/>
      <c r="I4186" s="147"/>
      <c r="J4186" s="147"/>
      <c r="K4186" s="147"/>
      <c r="L4186" s="147"/>
      <c r="M4186" s="147"/>
      <c r="N4186" s="147"/>
      <c r="O4186" s="147"/>
      <c r="P4186" s="147"/>
      <c r="Q4186" s="147"/>
      <c r="R4186" s="147"/>
      <c r="S4186" s="147"/>
      <c r="T4186" s="147"/>
      <c r="U4186" s="147"/>
      <c r="V4186" s="147"/>
      <c r="W4186" s="147"/>
      <c r="X4186" s="147"/>
      <c r="Y4186" s="147"/>
      <c r="Z4186" s="147"/>
      <c r="AA4186" s="147"/>
      <c r="AB4186" s="147"/>
      <c r="AC4186" s="147"/>
      <c r="AD4186" s="147"/>
      <c r="AE4186" s="147"/>
      <c r="AF4186" s="147"/>
      <c r="AG4186" s="147"/>
      <c r="AH4186" s="147"/>
      <c r="AI4186" s="147"/>
      <c r="AJ4186" s="147"/>
      <c r="AK4186" s="147"/>
      <c r="AL4186" s="147"/>
      <c r="AM4186" s="147"/>
      <c r="AN4186" s="147"/>
      <c r="AO4186" s="147"/>
      <c r="AP4186" s="147"/>
      <c r="AQ4186" s="147"/>
      <c r="AR4186" s="147"/>
      <c r="AS4186" s="147"/>
      <c r="AT4186" s="147"/>
      <c r="AU4186" s="147"/>
      <c r="AV4186" s="147"/>
      <c r="AW4186" s="147"/>
      <c r="AX4186" s="147"/>
      <c r="AY4186" s="147"/>
      <c r="AZ4186" s="147"/>
      <c r="BA4186" s="147"/>
    </row>
    <row r="4187" spans="1:53" ht="15.75" customHeight="1">
      <c r="A4187" s="99"/>
      <c r="B4187" s="99"/>
      <c r="C4187" s="147"/>
      <c r="D4187" s="147"/>
      <c r="E4187" s="147"/>
      <c r="F4187" s="147"/>
      <c r="G4187" s="147"/>
      <c r="H4187" s="147"/>
      <c r="I4187" s="147"/>
      <c r="J4187" s="147"/>
      <c r="K4187" s="147"/>
      <c r="L4187" s="147"/>
      <c r="M4187" s="147"/>
      <c r="N4187" s="147"/>
      <c r="O4187" s="147"/>
      <c r="P4187" s="147"/>
      <c r="Q4187" s="147"/>
      <c r="R4187" s="147"/>
      <c r="S4187" s="147"/>
      <c r="T4187" s="147"/>
      <c r="U4187" s="147"/>
      <c r="V4187" s="147"/>
      <c r="W4187" s="147"/>
      <c r="X4187" s="147"/>
      <c r="Y4187" s="147"/>
      <c r="Z4187" s="147"/>
      <c r="AA4187" s="147"/>
      <c r="AB4187" s="147"/>
      <c r="AC4187" s="147"/>
      <c r="AD4187" s="147"/>
      <c r="AE4187" s="147"/>
      <c r="AF4187" s="147"/>
      <c r="AG4187" s="147"/>
      <c r="AH4187" s="147"/>
      <c r="AI4187" s="147"/>
      <c r="AJ4187" s="147"/>
      <c r="AK4187" s="147"/>
      <c r="AL4187" s="147"/>
      <c r="AM4187" s="147"/>
      <c r="AN4187" s="147"/>
      <c r="AO4187" s="147"/>
      <c r="AP4187" s="147"/>
      <c r="AQ4187" s="147"/>
      <c r="AR4187" s="147"/>
      <c r="AS4187" s="147"/>
      <c r="AT4187" s="147"/>
      <c r="AU4187" s="147"/>
      <c r="AV4187" s="147"/>
      <c r="AW4187" s="147"/>
      <c r="AX4187" s="147"/>
      <c r="AY4187" s="147"/>
      <c r="AZ4187" s="147"/>
      <c r="BA4187" s="147"/>
    </row>
    <row r="4188" spans="1:53" ht="15.75" customHeight="1">
      <c r="A4188" s="99"/>
      <c r="B4188" s="99"/>
      <c r="C4188" s="147"/>
      <c r="D4188" s="147"/>
      <c r="E4188" s="147"/>
      <c r="F4188" s="147"/>
      <c r="G4188" s="147"/>
      <c r="H4188" s="147"/>
      <c r="I4188" s="147"/>
      <c r="J4188" s="147"/>
      <c r="K4188" s="147"/>
      <c r="L4188" s="147"/>
      <c r="M4188" s="147"/>
      <c r="N4188" s="147"/>
      <c r="O4188" s="147"/>
      <c r="P4188" s="147"/>
      <c r="Q4188" s="147"/>
      <c r="R4188" s="147"/>
      <c r="S4188" s="147"/>
      <c r="T4188" s="147"/>
      <c r="U4188" s="147"/>
      <c r="V4188" s="147"/>
      <c r="W4188" s="147"/>
      <c r="X4188" s="147"/>
      <c r="Y4188" s="147"/>
      <c r="Z4188" s="147"/>
      <c r="AA4188" s="147"/>
      <c r="AB4188" s="147"/>
      <c r="AC4188" s="147"/>
      <c r="AD4188" s="147"/>
      <c r="AE4188" s="147"/>
      <c r="AF4188" s="147"/>
      <c r="AG4188" s="147"/>
      <c r="AH4188" s="147"/>
      <c r="AI4188" s="147"/>
      <c r="AJ4188" s="147"/>
      <c r="AK4188" s="147"/>
      <c r="AL4188" s="147"/>
      <c r="AM4188" s="147"/>
      <c r="AN4188" s="147"/>
      <c r="AO4188" s="147"/>
      <c r="AP4188" s="147"/>
      <c r="AQ4188" s="147"/>
      <c r="AR4188" s="147"/>
      <c r="AS4188" s="147"/>
      <c r="AT4188" s="147"/>
      <c r="AU4188" s="147"/>
      <c r="AV4188" s="147"/>
      <c r="AW4188" s="147"/>
      <c r="AX4188" s="147"/>
      <c r="AY4188" s="147"/>
      <c r="AZ4188" s="147"/>
      <c r="BA4188" s="147"/>
    </row>
    <row r="4189" spans="1:53" ht="15.75" customHeight="1">
      <c r="A4189" s="99"/>
      <c r="B4189" s="99"/>
      <c r="C4189" s="147"/>
      <c r="D4189" s="147"/>
      <c r="E4189" s="147"/>
      <c r="F4189" s="147"/>
      <c r="G4189" s="147"/>
      <c r="H4189" s="147"/>
      <c r="I4189" s="147"/>
      <c r="J4189" s="147"/>
      <c r="K4189" s="147"/>
      <c r="L4189" s="147"/>
      <c r="M4189" s="147"/>
      <c r="N4189" s="147"/>
      <c r="O4189" s="147"/>
      <c r="P4189" s="147"/>
      <c r="Q4189" s="147"/>
      <c r="R4189" s="147"/>
      <c r="S4189" s="147"/>
      <c r="T4189" s="147"/>
      <c r="U4189" s="147"/>
      <c r="V4189" s="147"/>
      <c r="W4189" s="147"/>
      <c r="X4189" s="147"/>
      <c r="Y4189" s="147"/>
      <c r="Z4189" s="147"/>
      <c r="AA4189" s="147"/>
      <c r="AB4189" s="147"/>
      <c r="AC4189" s="147"/>
      <c r="AD4189" s="147"/>
      <c r="AE4189" s="147"/>
      <c r="AF4189" s="147"/>
      <c r="AG4189" s="147"/>
      <c r="AH4189" s="147"/>
      <c r="AI4189" s="147"/>
      <c r="AJ4189" s="147"/>
      <c r="AK4189" s="147"/>
      <c r="AL4189" s="147"/>
      <c r="AM4189" s="147"/>
      <c r="AN4189" s="147"/>
      <c r="AO4189" s="147"/>
      <c r="AP4189" s="147"/>
      <c r="AQ4189" s="147"/>
      <c r="AR4189" s="147"/>
      <c r="AS4189" s="147"/>
      <c r="AT4189" s="147"/>
      <c r="AU4189" s="147"/>
      <c r="AV4189" s="147"/>
      <c r="AW4189" s="147"/>
      <c r="AX4189" s="147"/>
      <c r="AY4189" s="147"/>
      <c r="AZ4189" s="147"/>
      <c r="BA4189" s="147"/>
    </row>
    <row r="4190" spans="1:53" ht="15.75" customHeight="1">
      <c r="A4190" s="99"/>
      <c r="B4190" s="99"/>
      <c r="C4190" s="147"/>
      <c r="D4190" s="147"/>
      <c r="E4190" s="147"/>
      <c r="F4190" s="147"/>
      <c r="G4190" s="147"/>
      <c r="H4190" s="147"/>
      <c r="I4190" s="147"/>
      <c r="J4190" s="147"/>
      <c r="K4190" s="147"/>
      <c r="L4190" s="147"/>
      <c r="M4190" s="147"/>
      <c r="N4190" s="147"/>
      <c r="O4190" s="147"/>
      <c r="P4190" s="147"/>
      <c r="Q4190" s="147"/>
      <c r="R4190" s="147"/>
      <c r="S4190" s="147"/>
      <c r="T4190" s="147"/>
      <c r="U4190" s="147"/>
      <c r="V4190" s="147"/>
      <c r="W4190" s="147"/>
      <c r="X4190" s="147"/>
      <c r="Y4190" s="147"/>
      <c r="Z4190" s="147"/>
      <c r="AA4190" s="147"/>
      <c r="AB4190" s="147"/>
      <c r="AC4190" s="147"/>
      <c r="AD4190" s="147"/>
      <c r="AE4190" s="147"/>
      <c r="AF4190" s="147"/>
      <c r="AG4190" s="147"/>
      <c r="AH4190" s="147"/>
      <c r="AI4190" s="147"/>
      <c r="AJ4190" s="147"/>
      <c r="AK4190" s="147"/>
      <c r="AL4190" s="147"/>
      <c r="AM4190" s="147"/>
      <c r="AN4190" s="147"/>
      <c r="AO4190" s="147"/>
      <c r="AP4190" s="147"/>
      <c r="AQ4190" s="147"/>
      <c r="AR4190" s="147"/>
      <c r="AS4190" s="147"/>
      <c r="AT4190" s="147"/>
      <c r="AU4190" s="147"/>
      <c r="AV4190" s="147"/>
      <c r="AW4190" s="147"/>
      <c r="AX4190" s="147"/>
      <c r="AY4190" s="147"/>
      <c r="AZ4190" s="147"/>
      <c r="BA4190" s="147"/>
    </row>
    <row r="4191" spans="1:53" ht="15.75" customHeight="1">
      <c r="A4191" s="99"/>
      <c r="B4191" s="99"/>
      <c r="C4191" s="147"/>
      <c r="D4191" s="147"/>
      <c r="E4191" s="147"/>
      <c r="F4191" s="147"/>
      <c r="G4191" s="147"/>
      <c r="H4191" s="147"/>
      <c r="I4191" s="147"/>
      <c r="J4191" s="147"/>
      <c r="K4191" s="147"/>
      <c r="L4191" s="147"/>
      <c r="M4191" s="147"/>
      <c r="N4191" s="147"/>
      <c r="O4191" s="147"/>
      <c r="P4191" s="147"/>
      <c r="Q4191" s="147"/>
      <c r="R4191" s="147"/>
      <c r="S4191" s="147"/>
      <c r="T4191" s="147"/>
      <c r="U4191" s="147"/>
      <c r="V4191" s="147"/>
      <c r="W4191" s="147"/>
      <c r="X4191" s="147"/>
      <c r="Y4191" s="147"/>
      <c r="Z4191" s="147"/>
      <c r="AA4191" s="147"/>
      <c r="AB4191" s="147"/>
      <c r="AC4191" s="147"/>
      <c r="AD4191" s="147"/>
      <c r="AE4191" s="147"/>
      <c r="AF4191" s="147"/>
      <c r="AG4191" s="147"/>
      <c r="AH4191" s="147"/>
      <c r="AI4191" s="147"/>
      <c r="AJ4191" s="147"/>
      <c r="AK4191" s="147"/>
      <c r="AL4191" s="147"/>
      <c r="AM4191" s="147"/>
      <c r="AN4191" s="147"/>
      <c r="AO4191" s="147"/>
      <c r="AP4191" s="147"/>
      <c r="AQ4191" s="147"/>
      <c r="AR4191" s="147"/>
      <c r="AS4191" s="147"/>
      <c r="AT4191" s="147"/>
      <c r="AU4191" s="147"/>
      <c r="AV4191" s="147"/>
      <c r="AW4191" s="147"/>
      <c r="AX4191" s="147"/>
      <c r="AY4191" s="147"/>
      <c r="AZ4191" s="147"/>
      <c r="BA4191" s="147"/>
    </row>
    <row r="4192" spans="1:53" ht="15.75" customHeight="1">
      <c r="A4192" s="99"/>
      <c r="B4192" s="99"/>
      <c r="C4192" s="147"/>
      <c r="D4192" s="147"/>
      <c r="E4192" s="147"/>
      <c r="F4192" s="147"/>
      <c r="G4192" s="147"/>
      <c r="H4192" s="147"/>
      <c r="I4192" s="147"/>
      <c r="J4192" s="147"/>
      <c r="K4192" s="147"/>
      <c r="L4192" s="147"/>
      <c r="M4192" s="147"/>
      <c r="N4192" s="147"/>
      <c r="O4192" s="147"/>
      <c r="P4192" s="147"/>
      <c r="Q4192" s="147"/>
      <c r="R4192" s="147"/>
      <c r="S4192" s="147"/>
      <c r="T4192" s="147"/>
      <c r="U4192" s="147"/>
      <c r="V4192" s="147"/>
      <c r="W4192" s="147"/>
      <c r="X4192" s="147"/>
      <c r="Y4192" s="147"/>
      <c r="Z4192" s="147"/>
      <c r="AA4192" s="147"/>
      <c r="AB4192" s="147"/>
      <c r="AC4192" s="147"/>
      <c r="AD4192" s="147"/>
      <c r="AE4192" s="147"/>
      <c r="AF4192" s="147"/>
      <c r="AG4192" s="147"/>
      <c r="AH4192" s="147"/>
      <c r="AI4192" s="147"/>
      <c r="AJ4192" s="147"/>
      <c r="AK4192" s="147"/>
      <c r="AL4192" s="147"/>
      <c r="AM4192" s="147"/>
      <c r="AN4192" s="147"/>
      <c r="AO4192" s="147"/>
      <c r="AP4192" s="147"/>
      <c r="AQ4192" s="147"/>
      <c r="AR4192" s="147"/>
      <c r="AS4192" s="147"/>
      <c r="AT4192" s="147"/>
      <c r="AU4192" s="147"/>
      <c r="AV4192" s="147"/>
      <c r="AW4192" s="147"/>
      <c r="AX4192" s="147"/>
      <c r="AY4192" s="147"/>
      <c r="AZ4192" s="147"/>
      <c r="BA4192" s="147"/>
    </row>
    <row r="4193" spans="1:53" ht="15.75" customHeight="1">
      <c r="A4193" s="99"/>
      <c r="B4193" s="99"/>
      <c r="C4193" s="147"/>
      <c r="D4193" s="147"/>
      <c r="E4193" s="147"/>
      <c r="F4193" s="147"/>
      <c r="G4193" s="147"/>
      <c r="H4193" s="147"/>
      <c r="I4193" s="147"/>
      <c r="J4193" s="147"/>
      <c r="K4193" s="147"/>
      <c r="L4193" s="147"/>
      <c r="M4193" s="147"/>
      <c r="N4193" s="147"/>
      <c r="O4193" s="147"/>
      <c r="P4193" s="147"/>
      <c r="Q4193" s="147"/>
      <c r="R4193" s="147"/>
      <c r="S4193" s="147"/>
      <c r="T4193" s="147"/>
      <c r="U4193" s="147"/>
      <c r="V4193" s="147"/>
      <c r="W4193" s="147"/>
      <c r="X4193" s="147"/>
      <c r="Y4193" s="147"/>
      <c r="Z4193" s="147"/>
      <c r="AA4193" s="147"/>
      <c r="AB4193" s="147"/>
      <c r="AC4193" s="147"/>
      <c r="AD4193" s="147"/>
      <c r="AE4193" s="147"/>
      <c r="AF4193" s="147"/>
      <c r="AG4193" s="147"/>
      <c r="AH4193" s="147"/>
      <c r="AI4193" s="147"/>
      <c r="AJ4193" s="147"/>
      <c r="AK4193" s="147"/>
      <c r="AL4193" s="147"/>
      <c r="AM4193" s="147"/>
      <c r="AN4193" s="147"/>
      <c r="AO4193" s="147"/>
      <c r="AP4193" s="147"/>
      <c r="AQ4193" s="147"/>
      <c r="AR4193" s="147"/>
      <c r="AS4193" s="147"/>
      <c r="AT4193" s="147"/>
      <c r="AU4193" s="147"/>
      <c r="AV4193" s="147"/>
      <c r="AW4193" s="147"/>
      <c r="AX4193" s="147"/>
      <c r="AY4193" s="147"/>
      <c r="AZ4193" s="147"/>
      <c r="BA4193" s="147"/>
    </row>
    <row r="4194" spans="1:53" ht="15.75" customHeight="1">
      <c r="A4194" s="99"/>
      <c r="B4194" s="99"/>
      <c r="C4194" s="147"/>
      <c r="D4194" s="147"/>
      <c r="E4194" s="147"/>
      <c r="F4194" s="147"/>
      <c r="G4194" s="147"/>
      <c r="H4194" s="147"/>
      <c r="I4194" s="147"/>
      <c r="J4194" s="147"/>
      <c r="K4194" s="147"/>
      <c r="L4194" s="147"/>
      <c r="M4194" s="147"/>
      <c r="N4194" s="147"/>
      <c r="O4194" s="147"/>
      <c r="P4194" s="147"/>
      <c r="Q4194" s="147"/>
      <c r="R4194" s="147"/>
      <c r="S4194" s="147"/>
      <c r="T4194" s="147"/>
      <c r="U4194" s="147"/>
      <c r="V4194" s="147"/>
      <c r="W4194" s="147"/>
      <c r="X4194" s="147"/>
      <c r="Y4194" s="147"/>
      <c r="Z4194" s="147"/>
      <c r="AA4194" s="147"/>
      <c r="AB4194" s="147"/>
      <c r="AC4194" s="147"/>
      <c r="AD4194" s="147"/>
      <c r="AE4194" s="147"/>
      <c r="AF4194" s="147"/>
      <c r="AG4194" s="147"/>
      <c r="AH4194" s="147"/>
      <c r="AI4194" s="147"/>
      <c r="AJ4194" s="147"/>
      <c r="AK4194" s="147"/>
      <c r="AL4194" s="147"/>
      <c r="AM4194" s="147"/>
      <c r="AN4194" s="147"/>
      <c r="AO4194" s="147"/>
      <c r="AP4194" s="147"/>
      <c r="AQ4194" s="147"/>
      <c r="AR4194" s="147"/>
      <c r="AS4194" s="147"/>
      <c r="AT4194" s="147"/>
      <c r="AU4194" s="147"/>
      <c r="AV4194" s="147"/>
      <c r="AW4194" s="147"/>
      <c r="AX4194" s="147"/>
      <c r="AY4194" s="147"/>
      <c r="AZ4194" s="147"/>
      <c r="BA4194" s="147"/>
    </row>
    <row r="4195" spans="1:53" ht="15.75" customHeight="1">
      <c r="A4195" s="99"/>
      <c r="B4195" s="99"/>
      <c r="C4195" s="147"/>
      <c r="D4195" s="147"/>
      <c r="E4195" s="147"/>
      <c r="F4195" s="147"/>
      <c r="G4195" s="147"/>
      <c r="H4195" s="147"/>
      <c r="I4195" s="147"/>
      <c r="J4195" s="147"/>
      <c r="K4195" s="147"/>
      <c r="L4195" s="147"/>
      <c r="M4195" s="147"/>
      <c r="N4195" s="147"/>
      <c r="O4195" s="147"/>
      <c r="P4195" s="147"/>
      <c r="Q4195" s="147"/>
      <c r="R4195" s="147"/>
      <c r="S4195" s="147"/>
      <c r="T4195" s="147"/>
      <c r="U4195" s="147"/>
      <c r="V4195" s="147"/>
      <c r="W4195" s="147"/>
      <c r="X4195" s="147"/>
      <c r="Y4195" s="147"/>
      <c r="Z4195" s="147"/>
      <c r="AA4195" s="147"/>
      <c r="AB4195" s="147"/>
      <c r="AC4195" s="147"/>
      <c r="AD4195" s="147"/>
      <c r="AE4195" s="147"/>
      <c r="AF4195" s="147"/>
      <c r="AG4195" s="147"/>
      <c r="AH4195" s="147"/>
      <c r="AI4195" s="147"/>
      <c r="AJ4195" s="147"/>
      <c r="AK4195" s="147"/>
      <c r="AL4195" s="147"/>
      <c r="AM4195" s="147"/>
      <c r="AN4195" s="147"/>
      <c r="AO4195" s="147"/>
      <c r="AP4195" s="147"/>
      <c r="AQ4195" s="147"/>
      <c r="AR4195" s="147"/>
      <c r="AS4195" s="147"/>
      <c r="AT4195" s="147"/>
      <c r="AU4195" s="147"/>
      <c r="AV4195" s="147"/>
      <c r="AW4195" s="147"/>
      <c r="AX4195" s="147"/>
      <c r="AY4195" s="147"/>
      <c r="AZ4195" s="147"/>
      <c r="BA4195" s="147"/>
    </row>
    <row r="4196" spans="1:53" ht="15.75" customHeight="1">
      <c r="A4196" s="99"/>
      <c r="B4196" s="99"/>
      <c r="C4196" s="147"/>
      <c r="D4196" s="147"/>
      <c r="E4196" s="147"/>
      <c r="F4196" s="147"/>
      <c r="G4196" s="147"/>
      <c r="H4196" s="147"/>
      <c r="I4196" s="147"/>
      <c r="J4196" s="147"/>
      <c r="K4196" s="147"/>
      <c r="L4196" s="147"/>
      <c r="M4196" s="147"/>
      <c r="N4196" s="147"/>
      <c r="O4196" s="147"/>
      <c r="P4196" s="147"/>
      <c r="Q4196" s="147"/>
      <c r="R4196" s="147"/>
      <c r="S4196" s="147"/>
      <c r="T4196" s="147"/>
      <c r="U4196" s="147"/>
      <c r="V4196" s="147"/>
      <c r="W4196" s="147"/>
      <c r="X4196" s="147"/>
      <c r="Y4196" s="147"/>
      <c r="Z4196" s="147"/>
      <c r="AA4196" s="147"/>
      <c r="AB4196" s="147"/>
      <c r="AC4196" s="147"/>
      <c r="AD4196" s="147"/>
      <c r="AE4196" s="147"/>
      <c r="AF4196" s="147"/>
      <c r="AG4196" s="147"/>
      <c r="AH4196" s="147"/>
      <c r="AI4196" s="147"/>
      <c r="AJ4196" s="147"/>
      <c r="AK4196" s="147"/>
      <c r="AL4196" s="147"/>
      <c r="AM4196" s="147"/>
      <c r="AN4196" s="147"/>
      <c r="AO4196" s="147"/>
      <c r="AP4196" s="147"/>
      <c r="AQ4196" s="147"/>
      <c r="AR4196" s="147"/>
      <c r="AS4196" s="147"/>
      <c r="AT4196" s="147"/>
      <c r="AU4196" s="147"/>
      <c r="AV4196" s="147"/>
      <c r="AW4196" s="147"/>
      <c r="AX4196" s="147"/>
      <c r="AY4196" s="147"/>
      <c r="AZ4196" s="147"/>
      <c r="BA4196" s="147"/>
    </row>
    <row r="4197" spans="1:53" ht="15.75" customHeight="1">
      <c r="A4197" s="99"/>
      <c r="B4197" s="99"/>
      <c r="C4197" s="147"/>
      <c r="D4197" s="147"/>
      <c r="E4197" s="147"/>
      <c r="F4197" s="147"/>
      <c r="G4197" s="147"/>
      <c r="H4197" s="147"/>
      <c r="I4197" s="147"/>
      <c r="J4197" s="147"/>
      <c r="K4197" s="147"/>
      <c r="L4197" s="147"/>
      <c r="M4197" s="147"/>
      <c r="N4197" s="147"/>
      <c r="O4197" s="147"/>
      <c r="P4197" s="147"/>
      <c r="Q4197" s="147"/>
      <c r="R4197" s="147"/>
      <c r="S4197" s="147"/>
      <c r="T4197" s="147"/>
      <c r="U4197" s="147"/>
      <c r="V4197" s="147"/>
      <c r="W4197" s="147"/>
      <c r="X4197" s="147"/>
      <c r="Y4197" s="147"/>
      <c r="Z4197" s="147"/>
      <c r="AA4197" s="147"/>
      <c r="AB4197" s="147"/>
      <c r="AC4197" s="147"/>
      <c r="AD4197" s="147"/>
      <c r="AE4197" s="147"/>
      <c r="AF4197" s="147"/>
      <c r="AG4197" s="147"/>
      <c r="AH4197" s="147"/>
      <c r="AI4197" s="147"/>
      <c r="AJ4197" s="147"/>
      <c r="AK4197" s="147"/>
      <c r="AL4197" s="147"/>
      <c r="AM4197" s="147"/>
      <c r="AN4197" s="147"/>
      <c r="AO4197" s="147"/>
      <c r="AP4197" s="147"/>
      <c r="AQ4197" s="147"/>
      <c r="AR4197" s="147"/>
      <c r="AS4197" s="147"/>
      <c r="AT4197" s="147"/>
      <c r="AU4197" s="147"/>
      <c r="AV4197" s="147"/>
      <c r="AW4197" s="147"/>
      <c r="AX4197" s="147"/>
      <c r="AY4197" s="147"/>
      <c r="AZ4197" s="147"/>
      <c r="BA4197" s="147"/>
    </row>
    <row r="4198" spans="1:53" ht="15.75" customHeight="1">
      <c r="A4198" s="99"/>
      <c r="B4198" s="99"/>
      <c r="C4198" s="147"/>
      <c r="D4198" s="147"/>
      <c r="E4198" s="147"/>
      <c r="F4198" s="147"/>
      <c r="G4198" s="147"/>
      <c r="H4198" s="147"/>
      <c r="I4198" s="147"/>
      <c r="J4198" s="147"/>
      <c r="K4198" s="147"/>
      <c r="L4198" s="147"/>
      <c r="M4198" s="147"/>
      <c r="N4198" s="147"/>
      <c r="O4198" s="147"/>
      <c r="P4198" s="147"/>
      <c r="Q4198" s="147"/>
      <c r="R4198" s="147"/>
      <c r="S4198" s="147"/>
      <c r="T4198" s="147"/>
      <c r="U4198" s="147"/>
      <c r="V4198" s="147"/>
      <c r="W4198" s="147"/>
      <c r="X4198" s="147"/>
      <c r="Y4198" s="147"/>
      <c r="Z4198" s="147"/>
      <c r="AA4198" s="147"/>
      <c r="AB4198" s="147"/>
      <c r="AC4198" s="147"/>
      <c r="AD4198" s="147"/>
      <c r="AE4198" s="147"/>
      <c r="AF4198" s="147"/>
      <c r="AG4198" s="147"/>
      <c r="AH4198" s="147"/>
      <c r="AI4198" s="147"/>
      <c r="AJ4198" s="147"/>
      <c r="AK4198" s="147"/>
      <c r="AL4198" s="147"/>
      <c r="AM4198" s="147"/>
      <c r="AN4198" s="147"/>
      <c r="AO4198" s="147"/>
      <c r="AP4198" s="147"/>
      <c r="AQ4198" s="147"/>
      <c r="AR4198" s="147"/>
      <c r="AS4198" s="147"/>
      <c r="AT4198" s="147"/>
      <c r="AU4198" s="147"/>
      <c r="AV4198" s="147"/>
      <c r="AW4198" s="147"/>
      <c r="AX4198" s="147"/>
      <c r="AY4198" s="147"/>
      <c r="AZ4198" s="147"/>
      <c r="BA4198" s="147"/>
    </row>
    <row r="4199" spans="1:53" ht="15.75" customHeight="1">
      <c r="A4199" s="99"/>
      <c r="B4199" s="99"/>
      <c r="C4199" s="147"/>
      <c r="D4199" s="147"/>
      <c r="E4199" s="147"/>
      <c r="F4199" s="147"/>
      <c r="G4199" s="147"/>
      <c r="H4199" s="147"/>
      <c r="I4199" s="147"/>
      <c r="J4199" s="147"/>
      <c r="K4199" s="147"/>
      <c r="L4199" s="147"/>
      <c r="M4199" s="147"/>
      <c r="N4199" s="147"/>
      <c r="O4199" s="147"/>
      <c r="P4199" s="147"/>
      <c r="Q4199" s="147"/>
      <c r="R4199" s="147"/>
      <c r="S4199" s="147"/>
      <c r="T4199" s="147"/>
      <c r="U4199" s="147"/>
      <c r="V4199" s="147"/>
      <c r="W4199" s="147"/>
      <c r="X4199" s="147"/>
      <c r="Y4199" s="147"/>
      <c r="Z4199" s="147"/>
      <c r="AA4199" s="147"/>
      <c r="AB4199" s="147"/>
      <c r="AC4199" s="147"/>
      <c r="AD4199" s="147"/>
      <c r="AE4199" s="147"/>
      <c r="AF4199" s="147"/>
      <c r="AG4199" s="147"/>
      <c r="AH4199" s="147"/>
      <c r="AI4199" s="147"/>
      <c r="AJ4199" s="147"/>
      <c r="AK4199" s="147"/>
      <c r="AL4199" s="147"/>
      <c r="AM4199" s="147"/>
      <c r="AN4199" s="147"/>
      <c r="AO4199" s="147"/>
      <c r="AP4199" s="147"/>
      <c r="AQ4199" s="147"/>
      <c r="AR4199" s="147"/>
      <c r="AS4199" s="147"/>
      <c r="AT4199" s="147"/>
      <c r="AU4199" s="147"/>
      <c r="AV4199" s="147"/>
      <c r="AW4199" s="147"/>
      <c r="AX4199" s="147"/>
      <c r="AY4199" s="147"/>
      <c r="AZ4199" s="147"/>
      <c r="BA4199" s="147"/>
    </row>
    <row r="4200" spans="1:53" ht="15.75" customHeight="1">
      <c r="A4200" s="99"/>
      <c r="B4200" s="99"/>
      <c r="C4200" s="147"/>
      <c r="D4200" s="147"/>
      <c r="E4200" s="147"/>
      <c r="F4200" s="147"/>
      <c r="G4200" s="147"/>
      <c r="H4200" s="147"/>
      <c r="I4200" s="147"/>
      <c r="J4200" s="147"/>
      <c r="K4200" s="147"/>
      <c r="L4200" s="147"/>
      <c r="M4200" s="147"/>
      <c r="N4200" s="147"/>
      <c r="O4200" s="147"/>
      <c r="P4200" s="147"/>
      <c r="Q4200" s="147"/>
      <c r="R4200" s="147"/>
      <c r="S4200" s="147"/>
      <c r="T4200" s="147"/>
      <c r="U4200" s="147"/>
      <c r="V4200" s="147"/>
      <c r="W4200" s="147"/>
      <c r="X4200" s="147"/>
      <c r="Y4200" s="147"/>
      <c r="Z4200" s="147"/>
      <c r="AA4200" s="147"/>
      <c r="AB4200" s="147"/>
      <c r="AC4200" s="147"/>
      <c r="AD4200" s="147"/>
      <c r="AE4200" s="147"/>
      <c r="AF4200" s="147"/>
      <c r="AG4200" s="147"/>
      <c r="AH4200" s="147"/>
      <c r="AI4200" s="147"/>
      <c r="AJ4200" s="147"/>
      <c r="AK4200" s="147"/>
      <c r="AL4200" s="147"/>
      <c r="AM4200" s="147"/>
      <c r="AN4200" s="147"/>
      <c r="AO4200" s="147"/>
      <c r="AP4200" s="147"/>
      <c r="AQ4200" s="147"/>
      <c r="AR4200" s="147"/>
      <c r="AS4200" s="147"/>
      <c r="AT4200" s="147"/>
      <c r="AU4200" s="147"/>
      <c r="AV4200" s="147"/>
      <c r="AW4200" s="147"/>
      <c r="AX4200" s="147"/>
      <c r="AY4200" s="147"/>
      <c r="AZ4200" s="147"/>
      <c r="BA4200" s="147"/>
    </row>
    <row r="4201" spans="1:53" ht="15.75" customHeight="1">
      <c r="A4201" s="99"/>
      <c r="B4201" s="99"/>
      <c r="C4201" s="147"/>
      <c r="D4201" s="147"/>
      <c r="E4201" s="147"/>
      <c r="F4201" s="147"/>
      <c r="G4201" s="147"/>
      <c r="H4201" s="147"/>
      <c r="I4201" s="147"/>
      <c r="J4201" s="147"/>
      <c r="K4201" s="147"/>
      <c r="L4201" s="147"/>
      <c r="M4201" s="147"/>
      <c r="N4201" s="147"/>
      <c r="O4201" s="147"/>
      <c r="P4201" s="147"/>
      <c r="Q4201" s="147"/>
      <c r="R4201" s="147"/>
      <c r="S4201" s="147"/>
      <c r="T4201" s="147"/>
      <c r="U4201" s="147"/>
      <c r="V4201" s="147"/>
      <c r="W4201" s="147"/>
      <c r="X4201" s="147"/>
      <c r="Y4201" s="147"/>
      <c r="Z4201" s="147"/>
      <c r="AA4201" s="147"/>
      <c r="AB4201" s="147"/>
      <c r="AC4201" s="147"/>
      <c r="AD4201" s="147"/>
      <c r="AE4201" s="147"/>
      <c r="AF4201" s="147"/>
      <c r="AG4201" s="147"/>
      <c r="AH4201" s="147"/>
      <c r="AI4201" s="147"/>
      <c r="AJ4201" s="147"/>
      <c r="AK4201" s="147"/>
      <c r="AL4201" s="147"/>
      <c r="AM4201" s="147"/>
      <c r="AN4201" s="147"/>
      <c r="AO4201" s="147"/>
      <c r="AP4201" s="147"/>
      <c r="AQ4201" s="147"/>
      <c r="AR4201" s="147"/>
      <c r="AS4201" s="147"/>
      <c r="AT4201" s="147"/>
      <c r="AU4201" s="147"/>
      <c r="AV4201" s="147"/>
      <c r="AW4201" s="147"/>
      <c r="AX4201" s="147"/>
      <c r="AY4201" s="147"/>
      <c r="AZ4201" s="147"/>
      <c r="BA4201" s="147"/>
    </row>
    <row r="4202" spans="1:53" ht="15.75" customHeight="1">
      <c r="A4202" s="99"/>
      <c r="B4202" s="99"/>
      <c r="C4202" s="147"/>
      <c r="D4202" s="147"/>
      <c r="E4202" s="147"/>
      <c r="F4202" s="147"/>
      <c r="G4202" s="147"/>
      <c r="H4202" s="147"/>
      <c r="I4202" s="147"/>
      <c r="J4202" s="147"/>
      <c r="K4202" s="147"/>
      <c r="L4202" s="147"/>
      <c r="M4202" s="147"/>
      <c r="N4202" s="147"/>
      <c r="O4202" s="147"/>
      <c r="P4202" s="147"/>
      <c r="Q4202" s="147"/>
      <c r="R4202" s="147"/>
      <c r="S4202" s="147"/>
      <c r="T4202" s="147"/>
      <c r="U4202" s="147"/>
      <c r="V4202" s="147"/>
      <c r="W4202" s="147"/>
      <c r="X4202" s="147"/>
      <c r="Y4202" s="147"/>
      <c r="Z4202" s="147"/>
      <c r="AA4202" s="147"/>
      <c r="AB4202" s="147"/>
      <c r="AC4202" s="147"/>
      <c r="AD4202" s="147"/>
      <c r="AE4202" s="147"/>
      <c r="AF4202" s="147"/>
      <c r="AG4202" s="147"/>
      <c r="AH4202" s="147"/>
      <c r="AI4202" s="147"/>
      <c r="AJ4202" s="147"/>
      <c r="AK4202" s="147"/>
      <c r="AL4202" s="147"/>
      <c r="AM4202" s="147"/>
      <c r="AN4202" s="147"/>
      <c r="AO4202" s="147"/>
      <c r="AP4202" s="147"/>
      <c r="AQ4202" s="147"/>
      <c r="AR4202" s="147"/>
      <c r="AS4202" s="147"/>
      <c r="AT4202" s="147"/>
      <c r="AU4202" s="147"/>
      <c r="AV4202" s="147"/>
      <c r="AW4202" s="147"/>
      <c r="AX4202" s="147"/>
      <c r="AY4202" s="147"/>
      <c r="AZ4202" s="147"/>
      <c r="BA4202" s="147"/>
    </row>
    <row r="4203" spans="1:53" ht="15.75" customHeight="1">
      <c r="A4203" s="99"/>
      <c r="B4203" s="99"/>
      <c r="C4203" s="147"/>
      <c r="D4203" s="147"/>
      <c r="E4203" s="147"/>
      <c r="F4203" s="147"/>
      <c r="G4203" s="147"/>
      <c r="H4203" s="147"/>
      <c r="I4203" s="147"/>
      <c r="J4203" s="147"/>
      <c r="K4203" s="147"/>
      <c r="L4203" s="147"/>
      <c r="M4203" s="147"/>
      <c r="N4203" s="147"/>
      <c r="O4203" s="147"/>
      <c r="P4203" s="147"/>
      <c r="Q4203" s="147"/>
      <c r="R4203" s="147"/>
      <c r="S4203" s="147"/>
      <c r="T4203" s="147"/>
      <c r="U4203" s="147"/>
      <c r="V4203" s="147"/>
      <c r="W4203" s="147"/>
      <c r="X4203" s="147"/>
      <c r="Y4203" s="147"/>
      <c r="Z4203" s="147"/>
      <c r="AA4203" s="147"/>
      <c r="AB4203" s="147"/>
      <c r="AC4203" s="147"/>
      <c r="AD4203" s="147"/>
      <c r="AE4203" s="147"/>
      <c r="AF4203" s="147"/>
      <c r="AG4203" s="147"/>
      <c r="AH4203" s="147"/>
      <c r="AI4203" s="147"/>
      <c r="AJ4203" s="147"/>
      <c r="AK4203" s="147"/>
      <c r="AL4203" s="147"/>
      <c r="AM4203" s="147"/>
      <c r="AN4203" s="147"/>
      <c r="AO4203" s="147"/>
      <c r="AP4203" s="147"/>
      <c r="AQ4203" s="147"/>
      <c r="AR4203" s="147"/>
      <c r="AS4203" s="147"/>
      <c r="AT4203" s="147"/>
      <c r="AU4203" s="147"/>
      <c r="AV4203" s="147"/>
      <c r="AW4203" s="147"/>
      <c r="AX4203" s="147"/>
      <c r="AY4203" s="147"/>
      <c r="AZ4203" s="147"/>
      <c r="BA4203" s="147"/>
    </row>
    <row r="4204" spans="1:53" ht="15.75" customHeight="1">
      <c r="A4204" s="99"/>
      <c r="B4204" s="99"/>
      <c r="C4204" s="147"/>
      <c r="D4204" s="147"/>
      <c r="E4204" s="147"/>
      <c r="F4204" s="147"/>
      <c r="G4204" s="147"/>
      <c r="H4204" s="147"/>
      <c r="I4204" s="147"/>
      <c r="J4204" s="147"/>
      <c r="K4204" s="147"/>
      <c r="L4204" s="147"/>
      <c r="M4204" s="147"/>
      <c r="N4204" s="147"/>
      <c r="O4204" s="147"/>
      <c r="P4204" s="147"/>
      <c r="Q4204" s="147"/>
      <c r="R4204" s="147"/>
      <c r="S4204" s="147"/>
      <c r="T4204" s="147"/>
      <c r="U4204" s="147"/>
      <c r="V4204" s="147"/>
      <c r="W4204" s="147"/>
      <c r="X4204" s="147"/>
      <c r="Y4204" s="147"/>
      <c r="Z4204" s="147"/>
      <c r="AA4204" s="147"/>
      <c r="AB4204" s="147"/>
      <c r="AC4204" s="147"/>
      <c r="AD4204" s="147"/>
      <c r="AE4204" s="147"/>
      <c r="AF4204" s="147"/>
      <c r="AG4204" s="147"/>
      <c r="AH4204" s="147"/>
      <c r="AI4204" s="147"/>
      <c r="AJ4204" s="147"/>
      <c r="AK4204" s="147"/>
      <c r="AL4204" s="147"/>
      <c r="AM4204" s="147"/>
      <c r="AN4204" s="147"/>
      <c r="AO4204" s="147"/>
      <c r="AP4204" s="147"/>
      <c r="AQ4204" s="147"/>
      <c r="AR4204" s="147"/>
      <c r="AS4204" s="147"/>
      <c r="AT4204" s="147"/>
      <c r="AU4204" s="147"/>
      <c r="AV4204" s="147"/>
      <c r="AW4204" s="147"/>
      <c r="AX4204" s="147"/>
      <c r="AY4204" s="147"/>
      <c r="AZ4204" s="147"/>
      <c r="BA4204" s="147"/>
    </row>
    <row r="4205" spans="1:53" ht="15.75" customHeight="1">
      <c r="A4205" s="99"/>
      <c r="B4205" s="99"/>
      <c r="C4205" s="147"/>
      <c r="D4205" s="147"/>
      <c r="E4205" s="147"/>
      <c r="F4205" s="147"/>
      <c r="G4205" s="147"/>
      <c r="H4205" s="147"/>
      <c r="I4205" s="147"/>
      <c r="J4205" s="147"/>
      <c r="K4205" s="147"/>
      <c r="L4205" s="147"/>
      <c r="M4205" s="147"/>
      <c r="N4205" s="147"/>
      <c r="O4205" s="147"/>
      <c r="P4205" s="147"/>
      <c r="Q4205" s="147"/>
      <c r="R4205" s="147"/>
      <c r="S4205" s="147"/>
      <c r="T4205" s="147"/>
      <c r="U4205" s="147"/>
      <c r="V4205" s="147"/>
      <c r="W4205" s="147"/>
      <c r="X4205" s="147"/>
      <c r="Y4205" s="147"/>
      <c r="Z4205" s="147"/>
      <c r="AA4205" s="147"/>
      <c r="AB4205" s="147"/>
      <c r="AC4205" s="147"/>
      <c r="AD4205" s="147"/>
      <c r="AE4205" s="147"/>
      <c r="AF4205" s="147"/>
      <c r="AG4205" s="147"/>
      <c r="AH4205" s="147"/>
      <c r="AI4205" s="147"/>
      <c r="AJ4205" s="147"/>
      <c r="AK4205" s="147"/>
      <c r="AL4205" s="147"/>
      <c r="AM4205" s="147"/>
      <c r="AN4205" s="147"/>
      <c r="AO4205" s="147"/>
      <c r="AP4205" s="147"/>
      <c r="AQ4205" s="147"/>
      <c r="AR4205" s="147"/>
      <c r="AS4205" s="147"/>
      <c r="AT4205" s="147"/>
      <c r="AU4205" s="147"/>
      <c r="AV4205" s="147"/>
      <c r="AW4205" s="147"/>
      <c r="AX4205" s="147"/>
      <c r="AY4205" s="147"/>
      <c r="AZ4205" s="147"/>
      <c r="BA4205" s="147"/>
    </row>
    <row r="4206" spans="1:53" ht="15.75" customHeight="1">
      <c r="A4206" s="99"/>
      <c r="B4206" s="99"/>
      <c r="C4206" s="147"/>
      <c r="D4206" s="147"/>
      <c r="E4206" s="147"/>
      <c r="F4206" s="147"/>
      <c r="G4206" s="147"/>
      <c r="H4206" s="147"/>
      <c r="I4206" s="147"/>
      <c r="J4206" s="147"/>
      <c r="K4206" s="147"/>
      <c r="L4206" s="147"/>
      <c r="M4206" s="147"/>
      <c r="N4206" s="147"/>
      <c r="O4206" s="147"/>
      <c r="P4206" s="147"/>
      <c r="Q4206" s="147"/>
      <c r="R4206" s="147"/>
      <c r="S4206" s="147"/>
      <c r="T4206" s="147"/>
      <c r="U4206" s="147"/>
      <c r="V4206" s="147"/>
      <c r="W4206" s="147"/>
      <c r="X4206" s="147"/>
      <c r="Y4206" s="147"/>
      <c r="Z4206" s="147"/>
      <c r="AA4206" s="147"/>
      <c r="AB4206" s="147"/>
      <c r="AC4206" s="147"/>
      <c r="AD4206" s="147"/>
      <c r="AE4206" s="147"/>
      <c r="AF4206" s="147"/>
      <c r="AG4206" s="147"/>
      <c r="AH4206" s="147"/>
      <c r="AI4206" s="147"/>
      <c r="AJ4206" s="147"/>
      <c r="AK4206" s="147"/>
      <c r="AL4206" s="147"/>
      <c r="AM4206" s="147"/>
      <c r="AN4206" s="147"/>
      <c r="AO4206" s="147"/>
      <c r="AP4206" s="147"/>
      <c r="AQ4206" s="147"/>
      <c r="AR4206" s="147"/>
      <c r="AS4206" s="147"/>
      <c r="AT4206" s="147"/>
      <c r="AU4206" s="147"/>
      <c r="AV4206" s="147"/>
      <c r="AW4206" s="147"/>
      <c r="AX4206" s="147"/>
      <c r="AY4206" s="147"/>
      <c r="AZ4206" s="147"/>
      <c r="BA4206" s="147"/>
    </row>
    <row r="4207" spans="1:53" ht="15.75" customHeight="1">
      <c r="A4207" s="99"/>
      <c r="B4207" s="99"/>
      <c r="C4207" s="147"/>
      <c r="D4207" s="147"/>
      <c r="E4207" s="147"/>
      <c r="F4207" s="147"/>
      <c r="G4207" s="147"/>
      <c r="H4207" s="147"/>
      <c r="I4207" s="147"/>
      <c r="J4207" s="147"/>
      <c r="K4207" s="147"/>
      <c r="L4207" s="147"/>
      <c r="M4207" s="147"/>
      <c r="N4207" s="147"/>
      <c r="O4207" s="147"/>
      <c r="P4207" s="147"/>
      <c r="Q4207" s="147"/>
      <c r="R4207" s="147"/>
      <c r="S4207" s="147"/>
      <c r="T4207" s="147"/>
      <c r="U4207" s="147"/>
      <c r="V4207" s="147"/>
      <c r="W4207" s="147"/>
      <c r="X4207" s="147"/>
      <c r="Y4207" s="147"/>
      <c r="Z4207" s="147"/>
      <c r="AA4207" s="147"/>
      <c r="AB4207" s="147"/>
      <c r="AC4207" s="147"/>
      <c r="AD4207" s="147"/>
      <c r="AE4207" s="147"/>
      <c r="AF4207" s="147"/>
      <c r="AG4207" s="147"/>
      <c r="AH4207" s="147"/>
      <c r="AI4207" s="147"/>
      <c r="AJ4207" s="147"/>
      <c r="AK4207" s="147"/>
      <c r="AL4207" s="147"/>
      <c r="AM4207" s="147"/>
      <c r="AN4207" s="147"/>
      <c r="AO4207" s="147"/>
      <c r="AP4207" s="147"/>
      <c r="AQ4207" s="147"/>
      <c r="AR4207" s="147"/>
      <c r="AS4207" s="147"/>
      <c r="AT4207" s="147"/>
      <c r="AU4207" s="147"/>
      <c r="AV4207" s="147"/>
      <c r="AW4207" s="147"/>
      <c r="AX4207" s="147"/>
      <c r="AY4207" s="147"/>
      <c r="AZ4207" s="147"/>
      <c r="BA4207" s="147"/>
    </row>
    <row r="4208" spans="1:53" ht="15.75" customHeight="1">
      <c r="A4208" s="99"/>
      <c r="B4208" s="99"/>
      <c r="C4208" s="147"/>
      <c r="D4208" s="147"/>
      <c r="E4208" s="147"/>
      <c r="F4208" s="147"/>
      <c r="G4208" s="147"/>
      <c r="H4208" s="147"/>
      <c r="I4208" s="147"/>
      <c r="J4208" s="147"/>
      <c r="K4208" s="147"/>
      <c r="L4208" s="147"/>
      <c r="M4208" s="147"/>
      <c r="N4208" s="147"/>
      <c r="O4208" s="147"/>
      <c r="P4208" s="147"/>
      <c r="Q4208" s="147"/>
      <c r="R4208" s="147"/>
      <c r="S4208" s="147"/>
      <c r="T4208" s="147"/>
      <c r="U4208" s="147"/>
      <c r="V4208" s="147"/>
      <c r="W4208" s="147"/>
      <c r="X4208" s="147"/>
      <c r="Y4208" s="147"/>
      <c r="Z4208" s="147"/>
      <c r="AA4208" s="147"/>
      <c r="AB4208" s="147"/>
      <c r="AC4208" s="147"/>
      <c r="AD4208" s="147"/>
      <c r="AE4208" s="147"/>
      <c r="AF4208" s="147"/>
      <c r="AG4208" s="147"/>
      <c r="AH4208" s="147"/>
      <c r="AI4208" s="147"/>
      <c r="AJ4208" s="147"/>
      <c r="AK4208" s="147"/>
      <c r="AL4208" s="147"/>
      <c r="AM4208" s="147"/>
      <c r="AN4208" s="147"/>
      <c r="AO4208" s="147"/>
      <c r="AP4208" s="147"/>
      <c r="AQ4208" s="147"/>
      <c r="AR4208" s="147"/>
      <c r="AS4208" s="147"/>
      <c r="AT4208" s="147"/>
      <c r="AU4208" s="147"/>
      <c r="AV4208" s="147"/>
      <c r="AW4208" s="147"/>
      <c r="AX4208" s="147"/>
      <c r="AY4208" s="147"/>
      <c r="AZ4208" s="147"/>
      <c r="BA4208" s="147"/>
    </row>
    <row r="4209" spans="1:53" ht="15.75" customHeight="1">
      <c r="A4209" s="99"/>
      <c r="B4209" s="99"/>
      <c r="C4209" s="147"/>
      <c r="D4209" s="147"/>
      <c r="E4209" s="147"/>
      <c r="F4209" s="147"/>
      <c r="G4209" s="147"/>
      <c r="H4209" s="147"/>
      <c r="I4209" s="147"/>
      <c r="J4209" s="147"/>
      <c r="K4209" s="147"/>
      <c r="L4209" s="147"/>
      <c r="M4209" s="147"/>
      <c r="N4209" s="147"/>
      <c r="O4209" s="147"/>
      <c r="P4209" s="147"/>
      <c r="Q4209" s="147"/>
      <c r="R4209" s="147"/>
      <c r="S4209" s="147"/>
      <c r="T4209" s="147"/>
      <c r="U4209" s="147"/>
      <c r="V4209" s="147"/>
      <c r="W4209" s="147"/>
      <c r="X4209" s="147"/>
      <c r="Y4209" s="147"/>
      <c r="Z4209" s="147"/>
      <c r="AA4209" s="147"/>
      <c r="AB4209" s="147"/>
      <c r="AC4209" s="147"/>
      <c r="AD4209" s="147"/>
      <c r="AE4209" s="147"/>
      <c r="AF4209" s="147"/>
      <c r="AG4209" s="147"/>
      <c r="AH4209" s="147"/>
      <c r="AI4209" s="147"/>
      <c r="AJ4209" s="147"/>
      <c r="AK4209" s="147"/>
      <c r="AL4209" s="147"/>
      <c r="AM4209" s="147"/>
      <c r="AN4209" s="147"/>
      <c r="AO4209" s="147"/>
      <c r="AP4209" s="147"/>
      <c r="AQ4209" s="147"/>
      <c r="AR4209" s="147"/>
      <c r="AS4209" s="147"/>
      <c r="AT4209" s="147"/>
      <c r="AU4209" s="147"/>
      <c r="AV4209" s="147"/>
      <c r="AW4209" s="147"/>
      <c r="AX4209" s="147"/>
      <c r="AY4209" s="147"/>
      <c r="AZ4209" s="147"/>
      <c r="BA4209" s="147"/>
    </row>
    <row r="4210" spans="1:53" ht="15.75" customHeight="1">
      <c r="A4210" s="99"/>
      <c r="B4210" s="99"/>
      <c r="C4210" s="147"/>
      <c r="D4210" s="147"/>
      <c r="E4210" s="147"/>
      <c r="F4210" s="147"/>
      <c r="G4210" s="147"/>
      <c r="H4210" s="147"/>
      <c r="I4210" s="147"/>
      <c r="J4210" s="147"/>
      <c r="K4210" s="147"/>
      <c r="L4210" s="147"/>
      <c r="M4210" s="147"/>
      <c r="N4210" s="147"/>
      <c r="O4210" s="147"/>
      <c r="P4210" s="147"/>
      <c r="Q4210" s="147"/>
      <c r="R4210" s="147"/>
      <c r="S4210" s="147"/>
      <c r="T4210" s="147"/>
      <c r="U4210" s="147"/>
      <c r="V4210" s="147"/>
      <c r="W4210" s="147"/>
      <c r="X4210" s="147"/>
      <c r="Y4210" s="147"/>
      <c r="Z4210" s="147"/>
      <c r="AA4210" s="147"/>
      <c r="AB4210" s="147"/>
      <c r="AC4210" s="147"/>
      <c r="AD4210" s="147"/>
      <c r="AE4210" s="147"/>
      <c r="AF4210" s="147"/>
      <c r="AG4210" s="147"/>
      <c r="AH4210" s="147"/>
      <c r="AI4210" s="147"/>
      <c r="AJ4210" s="147"/>
      <c r="AK4210" s="147"/>
      <c r="AL4210" s="147"/>
      <c r="AM4210" s="147"/>
      <c r="AN4210" s="147"/>
      <c r="AO4210" s="147"/>
      <c r="AP4210" s="147"/>
      <c r="AQ4210" s="147"/>
      <c r="AR4210" s="147"/>
      <c r="AS4210" s="147"/>
      <c r="AT4210" s="147"/>
      <c r="AU4210" s="147"/>
      <c r="AV4210" s="147"/>
      <c r="AW4210" s="147"/>
      <c r="AX4210" s="147"/>
      <c r="AY4210" s="147"/>
      <c r="AZ4210" s="147"/>
      <c r="BA4210" s="147"/>
    </row>
    <row r="4211" spans="1:53" ht="15.75" customHeight="1">
      <c r="A4211" s="99"/>
      <c r="B4211" s="99"/>
      <c r="C4211" s="147"/>
      <c r="D4211" s="147"/>
      <c r="E4211" s="147"/>
      <c r="F4211" s="147"/>
      <c r="G4211" s="147"/>
      <c r="H4211" s="147"/>
      <c r="I4211" s="147"/>
      <c r="J4211" s="147"/>
      <c r="K4211" s="147"/>
      <c r="L4211" s="147"/>
      <c r="M4211" s="147"/>
      <c r="N4211" s="147"/>
      <c r="O4211" s="147"/>
      <c r="P4211" s="147"/>
      <c r="Q4211" s="147"/>
      <c r="R4211" s="147"/>
      <c r="S4211" s="147"/>
      <c r="T4211" s="147"/>
      <c r="U4211" s="147"/>
      <c r="V4211" s="147"/>
      <c r="W4211" s="147"/>
      <c r="X4211" s="147"/>
      <c r="Y4211" s="147"/>
      <c r="Z4211" s="147"/>
      <c r="AA4211" s="147"/>
      <c r="AB4211" s="147"/>
      <c r="AC4211" s="147"/>
      <c r="AD4211" s="147"/>
      <c r="AE4211" s="147"/>
      <c r="AF4211" s="147"/>
      <c r="AG4211" s="147"/>
      <c r="AH4211" s="147"/>
      <c r="AI4211" s="147"/>
      <c r="AJ4211" s="147"/>
      <c r="AK4211" s="147"/>
      <c r="AL4211" s="147"/>
      <c r="AM4211" s="147"/>
      <c r="AN4211" s="147"/>
      <c r="AO4211" s="147"/>
      <c r="AP4211" s="147"/>
      <c r="AQ4211" s="147"/>
      <c r="AR4211" s="147"/>
      <c r="AS4211" s="147"/>
      <c r="AT4211" s="147"/>
      <c r="AU4211" s="147"/>
      <c r="AV4211" s="147"/>
      <c r="AW4211" s="147"/>
      <c r="AX4211" s="147"/>
      <c r="AY4211" s="147"/>
      <c r="AZ4211" s="147"/>
      <c r="BA4211" s="147"/>
    </row>
    <row r="4212" spans="1:53" ht="15.75" customHeight="1">
      <c r="A4212" s="99"/>
      <c r="B4212" s="99"/>
      <c r="C4212" s="147"/>
      <c r="D4212" s="147"/>
      <c r="E4212" s="147"/>
      <c r="F4212" s="147"/>
      <c r="G4212" s="147"/>
      <c r="H4212" s="147"/>
      <c r="I4212" s="147"/>
      <c r="J4212" s="147"/>
      <c r="K4212" s="147"/>
      <c r="L4212" s="147"/>
      <c r="M4212" s="147"/>
      <c r="N4212" s="147"/>
      <c r="O4212" s="147"/>
      <c r="P4212" s="147"/>
      <c r="Q4212" s="147"/>
      <c r="R4212" s="147"/>
      <c r="S4212" s="147"/>
      <c r="T4212" s="147"/>
      <c r="U4212" s="147"/>
      <c r="V4212" s="147"/>
      <c r="W4212" s="147"/>
      <c r="X4212" s="147"/>
      <c r="Y4212" s="147"/>
      <c r="Z4212" s="147"/>
      <c r="AA4212" s="147"/>
      <c r="AB4212" s="147"/>
      <c r="AC4212" s="147"/>
      <c r="AD4212" s="147"/>
      <c r="AE4212" s="147"/>
      <c r="AF4212" s="147"/>
      <c r="AG4212" s="147"/>
      <c r="AH4212" s="147"/>
      <c r="AI4212" s="147"/>
      <c r="AJ4212" s="147"/>
      <c r="AK4212" s="147"/>
      <c r="AL4212" s="147"/>
      <c r="AM4212" s="147"/>
      <c r="AN4212" s="147"/>
      <c r="AO4212" s="147"/>
      <c r="AP4212" s="147"/>
      <c r="AQ4212" s="147"/>
      <c r="AR4212" s="147"/>
      <c r="AS4212" s="147"/>
      <c r="AT4212" s="147"/>
      <c r="AU4212" s="147"/>
      <c r="AV4212" s="147"/>
      <c r="AW4212" s="147"/>
      <c r="AX4212" s="147"/>
      <c r="AY4212" s="147"/>
      <c r="AZ4212" s="147"/>
      <c r="BA4212" s="147"/>
    </row>
    <row r="4213" spans="1:53" ht="15.75" customHeight="1">
      <c r="A4213" s="99"/>
      <c r="B4213" s="99"/>
      <c r="C4213" s="147"/>
      <c r="D4213" s="147"/>
      <c r="E4213" s="147"/>
      <c r="F4213" s="147"/>
      <c r="G4213" s="147"/>
      <c r="H4213" s="147"/>
      <c r="I4213" s="147"/>
      <c r="J4213" s="147"/>
      <c r="K4213" s="147"/>
      <c r="L4213" s="147"/>
      <c r="M4213" s="147"/>
      <c r="N4213" s="147"/>
      <c r="O4213" s="147"/>
      <c r="P4213" s="147"/>
      <c r="Q4213" s="147"/>
      <c r="R4213" s="147"/>
      <c r="S4213" s="147"/>
      <c r="T4213" s="147"/>
      <c r="U4213" s="147"/>
      <c r="V4213" s="147"/>
      <c r="W4213" s="147"/>
      <c r="X4213" s="147"/>
      <c r="Y4213" s="147"/>
      <c r="Z4213" s="147"/>
      <c r="AA4213" s="147"/>
      <c r="AB4213" s="147"/>
      <c r="AC4213" s="147"/>
      <c r="AD4213" s="147"/>
      <c r="AE4213" s="147"/>
      <c r="AF4213" s="147"/>
      <c r="AG4213" s="147"/>
      <c r="AH4213" s="147"/>
      <c r="AI4213" s="147"/>
      <c r="AJ4213" s="147"/>
      <c r="AK4213" s="147"/>
      <c r="AL4213" s="147"/>
      <c r="AM4213" s="147"/>
      <c r="AN4213" s="147"/>
      <c r="AO4213" s="147"/>
      <c r="AP4213" s="147"/>
      <c r="AQ4213" s="147"/>
      <c r="AR4213" s="147"/>
      <c r="AS4213" s="147"/>
      <c r="AT4213" s="147"/>
      <c r="AU4213" s="147"/>
      <c r="AV4213" s="147"/>
      <c r="AW4213" s="147"/>
      <c r="AX4213" s="147"/>
      <c r="AY4213" s="147"/>
      <c r="AZ4213" s="147"/>
      <c r="BA4213" s="147"/>
    </row>
    <row r="4214" spans="1:53" ht="15.75" customHeight="1">
      <c r="A4214" s="99"/>
      <c r="B4214" s="99"/>
      <c r="C4214" s="147"/>
      <c r="D4214" s="147"/>
      <c r="E4214" s="147"/>
      <c r="F4214" s="147"/>
      <c r="G4214" s="147"/>
      <c r="H4214" s="147"/>
      <c r="I4214" s="147"/>
      <c r="J4214" s="147"/>
      <c r="K4214" s="147"/>
      <c r="L4214" s="147"/>
      <c r="M4214" s="147"/>
      <c r="N4214" s="147"/>
      <c r="O4214" s="147"/>
      <c r="P4214" s="147"/>
      <c r="Q4214" s="147"/>
      <c r="R4214" s="147"/>
      <c r="S4214" s="147"/>
      <c r="T4214" s="147"/>
      <c r="U4214" s="147"/>
      <c r="V4214" s="147"/>
      <c r="W4214" s="147"/>
      <c r="X4214" s="147"/>
      <c r="Y4214" s="147"/>
      <c r="Z4214" s="147"/>
      <c r="AA4214" s="147"/>
      <c r="AB4214" s="147"/>
      <c r="AC4214" s="147"/>
      <c r="AD4214" s="147"/>
      <c r="AE4214" s="147"/>
      <c r="AF4214" s="147"/>
      <c r="AG4214" s="147"/>
      <c r="AH4214" s="147"/>
      <c r="AI4214" s="147"/>
      <c r="AJ4214" s="147"/>
      <c r="AK4214" s="147"/>
      <c r="AL4214" s="147"/>
      <c r="AM4214" s="147"/>
      <c r="AN4214" s="147"/>
      <c r="AO4214" s="147"/>
      <c r="AP4214" s="147"/>
      <c r="AQ4214" s="147"/>
      <c r="AR4214" s="147"/>
      <c r="AS4214" s="147"/>
      <c r="AT4214" s="147"/>
      <c r="AU4214" s="147"/>
      <c r="AV4214" s="147"/>
      <c r="AW4214" s="147"/>
      <c r="AX4214" s="147"/>
      <c r="AY4214" s="147"/>
      <c r="AZ4214" s="147"/>
      <c r="BA4214" s="147"/>
    </row>
    <row r="4215" spans="1:53" ht="15.75" customHeight="1">
      <c r="A4215" s="99"/>
      <c r="B4215" s="99"/>
      <c r="C4215" s="147"/>
      <c r="D4215" s="147"/>
      <c r="E4215" s="147"/>
      <c r="F4215" s="147"/>
      <c r="G4215" s="147"/>
      <c r="H4215" s="147"/>
      <c r="I4215" s="147"/>
      <c r="J4215" s="147"/>
      <c r="K4215" s="147"/>
      <c r="L4215" s="147"/>
      <c r="M4215" s="147"/>
      <c r="N4215" s="147"/>
      <c r="O4215" s="147"/>
      <c r="P4215" s="147"/>
      <c r="Q4215" s="147"/>
      <c r="R4215" s="147"/>
      <c r="S4215" s="147"/>
      <c r="T4215" s="147"/>
      <c r="U4215" s="147"/>
      <c r="V4215" s="147"/>
      <c r="W4215" s="147"/>
      <c r="X4215" s="147"/>
      <c r="Y4215" s="147"/>
      <c r="Z4215" s="147"/>
      <c r="AA4215" s="147"/>
      <c r="AB4215" s="147"/>
      <c r="AC4215" s="147"/>
      <c r="AD4215" s="147"/>
      <c r="AE4215" s="147"/>
      <c r="AF4215" s="147"/>
      <c r="AG4215" s="147"/>
      <c r="AH4215" s="147"/>
      <c r="AI4215" s="147"/>
      <c r="AJ4215" s="147"/>
      <c r="AK4215" s="147"/>
      <c r="AL4215" s="147"/>
      <c r="AM4215" s="147"/>
      <c r="AN4215" s="147"/>
      <c r="AO4215" s="147"/>
      <c r="AP4215" s="147"/>
      <c r="AQ4215" s="147"/>
      <c r="AR4215" s="147"/>
      <c r="AS4215" s="147"/>
      <c r="AT4215" s="147"/>
      <c r="AU4215" s="147"/>
      <c r="AV4215" s="147"/>
      <c r="AW4215" s="147"/>
      <c r="AX4215" s="147"/>
      <c r="AY4215" s="147"/>
      <c r="AZ4215" s="147"/>
      <c r="BA4215" s="147"/>
    </row>
    <row r="4216" spans="1:53" ht="15.75" customHeight="1">
      <c r="A4216" s="99"/>
      <c r="B4216" s="99"/>
      <c r="C4216" s="147"/>
      <c r="D4216" s="147"/>
      <c r="E4216" s="147"/>
      <c r="F4216" s="147"/>
      <c r="G4216" s="147"/>
      <c r="H4216" s="147"/>
      <c r="I4216" s="147"/>
      <c r="J4216" s="147"/>
      <c r="K4216" s="147"/>
      <c r="L4216" s="147"/>
      <c r="M4216" s="147"/>
      <c r="N4216" s="147"/>
      <c r="O4216" s="147"/>
      <c r="P4216" s="147"/>
      <c r="Q4216" s="147"/>
      <c r="R4216" s="147"/>
      <c r="S4216" s="147"/>
      <c r="T4216" s="147"/>
      <c r="U4216" s="147"/>
      <c r="V4216" s="147"/>
      <c r="W4216" s="147"/>
      <c r="X4216" s="147"/>
      <c r="Y4216" s="147"/>
      <c r="Z4216" s="147"/>
      <c r="AA4216" s="147"/>
      <c r="AB4216" s="147"/>
      <c r="AC4216" s="147"/>
      <c r="AD4216" s="147"/>
      <c r="AE4216" s="147"/>
      <c r="AF4216" s="147"/>
      <c r="AG4216" s="147"/>
      <c r="AH4216" s="147"/>
      <c r="AI4216" s="147"/>
      <c r="AJ4216" s="147"/>
      <c r="AK4216" s="147"/>
      <c r="AL4216" s="147"/>
      <c r="AM4216" s="147"/>
      <c r="AN4216" s="147"/>
      <c r="AO4216" s="147"/>
      <c r="AP4216" s="147"/>
      <c r="AQ4216" s="147"/>
      <c r="AR4216" s="147"/>
      <c r="AS4216" s="147"/>
      <c r="AT4216" s="147"/>
      <c r="AU4216" s="147"/>
      <c r="AV4216" s="147"/>
      <c r="AW4216" s="147"/>
      <c r="AX4216" s="147"/>
      <c r="AY4216" s="147"/>
      <c r="AZ4216" s="147"/>
      <c r="BA4216" s="147"/>
    </row>
    <row r="4217" spans="1:53" ht="15.75" customHeight="1">
      <c r="A4217" s="99"/>
      <c r="B4217" s="99"/>
      <c r="C4217" s="147"/>
      <c r="D4217" s="147"/>
      <c r="E4217" s="147"/>
      <c r="F4217" s="147"/>
      <c r="G4217" s="147"/>
      <c r="H4217" s="147"/>
      <c r="I4217" s="147"/>
      <c r="J4217" s="147"/>
      <c r="K4217" s="147"/>
      <c r="L4217" s="147"/>
      <c r="M4217" s="147"/>
      <c r="N4217" s="147"/>
      <c r="O4217" s="147"/>
      <c r="P4217" s="147"/>
      <c r="Q4217" s="147"/>
      <c r="R4217" s="147"/>
      <c r="S4217" s="147"/>
      <c r="T4217" s="147"/>
      <c r="U4217" s="147"/>
      <c r="V4217" s="147"/>
      <c r="W4217" s="147"/>
      <c r="X4217" s="147"/>
      <c r="Y4217" s="147"/>
      <c r="Z4217" s="147"/>
      <c r="AA4217" s="147"/>
      <c r="AB4217" s="147"/>
      <c r="AC4217" s="147"/>
      <c r="AD4217" s="147"/>
      <c r="AE4217" s="147"/>
      <c r="AF4217" s="147"/>
      <c r="AG4217" s="147"/>
      <c r="AH4217" s="147"/>
      <c r="AI4217" s="147"/>
      <c r="AJ4217" s="147"/>
      <c r="AK4217" s="147"/>
      <c r="AL4217" s="147"/>
      <c r="AM4217" s="147"/>
      <c r="AN4217" s="147"/>
      <c r="AO4217" s="147"/>
      <c r="AP4217" s="147"/>
      <c r="AQ4217" s="147"/>
      <c r="AR4217" s="147"/>
      <c r="AS4217" s="147"/>
      <c r="AT4217" s="147"/>
      <c r="AU4217" s="147"/>
      <c r="AV4217" s="147"/>
      <c r="AW4217" s="147"/>
      <c r="AX4217" s="147"/>
      <c r="AY4217" s="147"/>
      <c r="AZ4217" s="147"/>
      <c r="BA4217" s="147"/>
    </row>
    <row r="4218" spans="1:53" ht="15.75" customHeight="1">
      <c r="A4218" s="99"/>
      <c r="B4218" s="99"/>
      <c r="C4218" s="147"/>
      <c r="D4218" s="147"/>
      <c r="E4218" s="147"/>
      <c r="F4218" s="147"/>
      <c r="G4218" s="147"/>
      <c r="H4218" s="147"/>
      <c r="I4218" s="147"/>
      <c r="J4218" s="147"/>
      <c r="K4218" s="147"/>
      <c r="L4218" s="147"/>
      <c r="M4218" s="147"/>
      <c r="N4218" s="147"/>
      <c r="O4218" s="147"/>
      <c r="P4218" s="147"/>
      <c r="Q4218" s="147"/>
      <c r="R4218" s="147"/>
      <c r="S4218" s="147"/>
      <c r="T4218" s="147"/>
      <c r="U4218" s="147"/>
      <c r="V4218" s="147"/>
      <c r="W4218" s="147"/>
      <c r="X4218" s="147"/>
      <c r="Y4218" s="147"/>
      <c r="Z4218" s="147"/>
      <c r="AA4218" s="147"/>
      <c r="AB4218" s="147"/>
      <c r="AC4218" s="147"/>
      <c r="AD4218" s="147"/>
      <c r="AE4218" s="147"/>
      <c r="AF4218" s="147"/>
      <c r="AG4218" s="147"/>
      <c r="AH4218" s="147"/>
      <c r="AI4218" s="147"/>
      <c r="AJ4218" s="147"/>
      <c r="AK4218" s="147"/>
      <c r="AL4218" s="147"/>
      <c r="AM4218" s="147"/>
      <c r="AN4218" s="147"/>
      <c r="AO4218" s="147"/>
      <c r="AP4218" s="147"/>
      <c r="AQ4218" s="147"/>
      <c r="AR4218" s="147"/>
      <c r="AS4218" s="147"/>
      <c r="AT4218" s="147"/>
      <c r="AU4218" s="147"/>
      <c r="AV4218" s="147"/>
      <c r="AW4218" s="147"/>
      <c r="AX4218" s="147"/>
      <c r="AY4218" s="147"/>
      <c r="AZ4218" s="147"/>
      <c r="BA4218" s="147"/>
    </row>
    <row r="4219" spans="1:53" ht="15.75" customHeight="1">
      <c r="A4219" s="99"/>
      <c r="B4219" s="99"/>
      <c r="C4219" s="147"/>
      <c r="D4219" s="147"/>
      <c r="E4219" s="147"/>
      <c r="F4219" s="147"/>
      <c r="G4219" s="147"/>
      <c r="H4219" s="147"/>
      <c r="I4219" s="147"/>
      <c r="J4219" s="147"/>
      <c r="K4219" s="147"/>
      <c r="L4219" s="147"/>
      <c r="M4219" s="147"/>
      <c r="N4219" s="147"/>
      <c r="O4219" s="147"/>
      <c r="P4219" s="147"/>
      <c r="Q4219" s="147"/>
      <c r="R4219" s="147"/>
      <c r="S4219" s="147"/>
      <c r="T4219" s="147"/>
      <c r="U4219" s="147"/>
      <c r="V4219" s="147"/>
      <c r="W4219" s="147"/>
      <c r="X4219" s="147"/>
      <c r="Y4219" s="147"/>
      <c r="Z4219" s="147"/>
      <c r="AA4219" s="147"/>
      <c r="AB4219" s="147"/>
      <c r="AC4219" s="147"/>
      <c r="AD4219" s="147"/>
      <c r="AE4219" s="147"/>
      <c r="AF4219" s="147"/>
      <c r="AG4219" s="147"/>
      <c r="AH4219" s="147"/>
      <c r="AI4219" s="147"/>
      <c r="AJ4219" s="147"/>
      <c r="AK4219" s="147"/>
      <c r="AL4219" s="147"/>
      <c r="AM4219" s="147"/>
      <c r="AN4219" s="147"/>
      <c r="AO4219" s="147"/>
      <c r="AP4219" s="147"/>
      <c r="AQ4219" s="147"/>
      <c r="AR4219" s="147"/>
      <c r="AS4219" s="147"/>
      <c r="AT4219" s="147"/>
      <c r="AU4219" s="147"/>
      <c r="AV4219" s="147"/>
      <c r="AW4219" s="147"/>
      <c r="AX4219" s="147"/>
      <c r="AY4219" s="147"/>
      <c r="AZ4219" s="147"/>
      <c r="BA4219" s="147"/>
    </row>
    <row r="4220" spans="1:53" ht="15.75" customHeight="1">
      <c r="A4220" s="99"/>
      <c r="B4220" s="99"/>
      <c r="C4220" s="147"/>
      <c r="D4220" s="147"/>
      <c r="E4220" s="147"/>
      <c r="F4220" s="147"/>
      <c r="G4220" s="147"/>
      <c r="H4220" s="147"/>
      <c r="I4220" s="147"/>
      <c r="J4220" s="147"/>
      <c r="K4220" s="147"/>
      <c r="L4220" s="147"/>
      <c r="M4220" s="147"/>
      <c r="N4220" s="147"/>
      <c r="O4220" s="147"/>
      <c r="P4220" s="147"/>
      <c r="Q4220" s="147"/>
      <c r="R4220" s="147"/>
      <c r="S4220" s="147"/>
      <c r="T4220" s="147"/>
      <c r="U4220" s="147"/>
      <c r="V4220" s="147"/>
      <c r="W4220" s="147"/>
      <c r="X4220" s="147"/>
      <c r="Y4220" s="147"/>
      <c r="Z4220" s="147"/>
      <c r="AA4220" s="147"/>
      <c r="AB4220" s="147"/>
      <c r="AC4220" s="147"/>
      <c r="AD4220" s="147"/>
      <c r="AE4220" s="147"/>
      <c r="AF4220" s="147"/>
      <c r="AG4220" s="147"/>
      <c r="AH4220" s="147"/>
      <c r="AI4220" s="147"/>
      <c r="AJ4220" s="147"/>
      <c r="AK4220" s="147"/>
      <c r="AL4220" s="147"/>
      <c r="AM4220" s="147"/>
      <c r="AN4220" s="147"/>
      <c r="AO4220" s="147"/>
      <c r="AP4220" s="147"/>
      <c r="AQ4220" s="147"/>
      <c r="AR4220" s="147"/>
      <c r="AS4220" s="147"/>
      <c r="AT4220" s="147"/>
      <c r="AU4220" s="147"/>
      <c r="AV4220" s="147"/>
      <c r="AW4220" s="147"/>
      <c r="AX4220" s="147"/>
      <c r="AY4220" s="147"/>
      <c r="AZ4220" s="147"/>
      <c r="BA4220" s="147"/>
    </row>
    <row r="4221" spans="1:53" ht="15.75" customHeight="1">
      <c r="A4221" s="99"/>
      <c r="B4221" s="99"/>
      <c r="C4221" s="147"/>
      <c r="D4221" s="147"/>
      <c r="E4221" s="147"/>
      <c r="F4221" s="147"/>
      <c r="G4221" s="147"/>
      <c r="H4221" s="147"/>
      <c r="I4221" s="147"/>
      <c r="J4221" s="147"/>
      <c r="K4221" s="147"/>
      <c r="L4221" s="147"/>
      <c r="M4221" s="147"/>
      <c r="N4221" s="147"/>
      <c r="O4221" s="147"/>
      <c r="P4221" s="147"/>
      <c r="Q4221" s="147"/>
      <c r="R4221" s="147"/>
      <c r="S4221" s="147"/>
      <c r="T4221" s="147"/>
      <c r="U4221" s="147"/>
      <c r="V4221" s="147"/>
      <c r="W4221" s="147"/>
      <c r="X4221" s="147"/>
      <c r="Y4221" s="147"/>
      <c r="Z4221" s="147"/>
      <c r="AA4221" s="147"/>
      <c r="AB4221" s="147"/>
      <c r="AC4221" s="147"/>
      <c r="AD4221" s="147"/>
      <c r="AE4221" s="147"/>
      <c r="AF4221" s="147"/>
      <c r="AG4221" s="147"/>
      <c r="AH4221" s="147"/>
      <c r="AI4221" s="147"/>
      <c r="AJ4221" s="147"/>
      <c r="AK4221" s="147"/>
      <c r="AL4221" s="147"/>
      <c r="AM4221" s="147"/>
      <c r="AN4221" s="147"/>
      <c r="AO4221" s="147"/>
      <c r="AP4221" s="147"/>
      <c r="AQ4221" s="147"/>
      <c r="AR4221" s="147"/>
      <c r="AS4221" s="147"/>
      <c r="AT4221" s="147"/>
      <c r="AU4221" s="147"/>
      <c r="AV4221" s="147"/>
      <c r="AW4221" s="147"/>
      <c r="AX4221" s="147"/>
      <c r="AY4221" s="147"/>
      <c r="AZ4221" s="147"/>
      <c r="BA4221" s="147"/>
    </row>
    <row r="4222" spans="1:53" ht="15.75" customHeight="1">
      <c r="A4222" s="99"/>
      <c r="B4222" s="99"/>
      <c r="C4222" s="147"/>
      <c r="D4222" s="147"/>
      <c r="E4222" s="147"/>
      <c r="F4222" s="147"/>
      <c r="G4222" s="147"/>
      <c r="H4222" s="147"/>
      <c r="I4222" s="147"/>
      <c r="J4222" s="147"/>
      <c r="K4222" s="147"/>
      <c r="L4222" s="147"/>
      <c r="M4222" s="147"/>
      <c r="N4222" s="147"/>
      <c r="O4222" s="147"/>
      <c r="P4222" s="147"/>
      <c r="Q4222" s="147"/>
      <c r="R4222" s="147"/>
      <c r="S4222" s="147"/>
      <c r="T4222" s="147"/>
      <c r="U4222" s="147"/>
      <c r="V4222" s="147"/>
      <c r="W4222" s="147"/>
      <c r="X4222" s="147"/>
      <c r="Y4222" s="147"/>
      <c r="Z4222" s="147"/>
      <c r="AA4222" s="147"/>
      <c r="AB4222" s="147"/>
      <c r="AC4222" s="147"/>
      <c r="AD4222" s="147"/>
      <c r="AE4222" s="147"/>
      <c r="AF4222" s="147"/>
      <c r="AG4222" s="147"/>
      <c r="AH4222" s="147"/>
      <c r="AI4222" s="147"/>
      <c r="AJ4222" s="147"/>
      <c r="AK4222" s="147"/>
      <c r="AL4222" s="147"/>
      <c r="AM4222" s="147"/>
      <c r="AN4222" s="147"/>
      <c r="AO4222" s="147"/>
      <c r="AP4222" s="147"/>
      <c r="AQ4222" s="147"/>
      <c r="AR4222" s="147"/>
      <c r="AS4222" s="147"/>
      <c r="AT4222" s="147"/>
      <c r="AU4222" s="147"/>
      <c r="AV4222" s="147"/>
      <c r="AW4222" s="147"/>
      <c r="AX4222" s="147"/>
      <c r="AY4222" s="147"/>
      <c r="AZ4222" s="147"/>
      <c r="BA4222" s="147"/>
    </row>
    <row r="4223" spans="1:53" ht="15.75" customHeight="1">
      <c r="A4223" s="99"/>
      <c r="B4223" s="99"/>
      <c r="C4223" s="147"/>
      <c r="D4223" s="147"/>
      <c r="E4223" s="147"/>
      <c r="F4223" s="147"/>
      <c r="G4223" s="147"/>
      <c r="H4223" s="147"/>
      <c r="I4223" s="147"/>
      <c r="J4223" s="147"/>
      <c r="K4223" s="147"/>
      <c r="L4223" s="147"/>
      <c r="M4223" s="147"/>
      <c r="N4223" s="147"/>
      <c r="O4223" s="147"/>
      <c r="P4223" s="147"/>
      <c r="Q4223" s="147"/>
      <c r="R4223" s="147"/>
      <c r="S4223" s="147"/>
      <c r="T4223" s="147"/>
      <c r="U4223" s="147"/>
      <c r="V4223" s="147"/>
      <c r="W4223" s="147"/>
      <c r="X4223" s="147"/>
      <c r="Y4223" s="147"/>
      <c r="Z4223" s="147"/>
      <c r="AA4223" s="147"/>
      <c r="AB4223" s="147"/>
      <c r="AC4223" s="147"/>
      <c r="AD4223" s="147"/>
      <c r="AE4223" s="147"/>
      <c r="AF4223" s="147"/>
      <c r="AG4223" s="147"/>
      <c r="AH4223" s="147"/>
      <c r="AI4223" s="147"/>
      <c r="AJ4223" s="147"/>
      <c r="AK4223" s="147"/>
      <c r="AL4223" s="147"/>
      <c r="AM4223" s="147"/>
      <c r="AN4223" s="147"/>
      <c r="AO4223" s="147"/>
      <c r="AP4223" s="147"/>
      <c r="AQ4223" s="147"/>
      <c r="AR4223" s="147"/>
      <c r="AS4223" s="147"/>
      <c r="AT4223" s="147"/>
      <c r="AU4223" s="147"/>
      <c r="AV4223" s="147"/>
      <c r="AW4223" s="147"/>
      <c r="AX4223" s="147"/>
      <c r="AY4223" s="147"/>
      <c r="AZ4223" s="147"/>
      <c r="BA4223" s="147"/>
    </row>
    <row r="4224" spans="1:53" ht="15.75" customHeight="1">
      <c r="A4224" s="99"/>
      <c r="B4224" s="99"/>
      <c r="C4224" s="147"/>
      <c r="D4224" s="147"/>
      <c r="E4224" s="147"/>
      <c r="F4224" s="147"/>
      <c r="G4224" s="147"/>
      <c r="H4224" s="147"/>
      <c r="I4224" s="147"/>
      <c r="J4224" s="147"/>
      <c r="K4224" s="147"/>
      <c r="L4224" s="147"/>
      <c r="M4224" s="147"/>
      <c r="N4224" s="147"/>
      <c r="O4224" s="147"/>
      <c r="P4224" s="147"/>
      <c r="Q4224" s="147"/>
      <c r="R4224" s="147"/>
      <c r="S4224" s="147"/>
      <c r="T4224" s="147"/>
      <c r="U4224" s="147"/>
      <c r="V4224" s="147"/>
      <c r="W4224" s="147"/>
      <c r="X4224" s="147"/>
      <c r="Y4224" s="147"/>
      <c r="Z4224" s="147"/>
      <c r="AA4224" s="147"/>
      <c r="AB4224" s="147"/>
      <c r="AC4224" s="147"/>
      <c r="AD4224" s="147"/>
      <c r="AE4224" s="147"/>
      <c r="AF4224" s="147"/>
      <c r="AG4224" s="147"/>
      <c r="AH4224" s="147"/>
      <c r="AI4224" s="147"/>
      <c r="AJ4224" s="147"/>
      <c r="AK4224" s="147"/>
      <c r="AL4224" s="147"/>
      <c r="AM4224" s="147"/>
      <c r="AN4224" s="147"/>
      <c r="AO4224" s="147"/>
      <c r="AP4224" s="147"/>
      <c r="AQ4224" s="147"/>
      <c r="AR4224" s="147"/>
      <c r="AS4224" s="147"/>
      <c r="AT4224" s="147"/>
      <c r="AU4224" s="147"/>
      <c r="AV4224" s="147"/>
      <c r="AW4224" s="147"/>
      <c r="AX4224" s="147"/>
      <c r="AY4224" s="147"/>
      <c r="AZ4224" s="147"/>
      <c r="BA4224" s="147"/>
    </row>
    <row r="4225" spans="1:53" ht="15.75" customHeight="1">
      <c r="A4225" s="99"/>
      <c r="B4225" s="99"/>
      <c r="C4225" s="147"/>
      <c r="D4225" s="147"/>
      <c r="E4225" s="147"/>
      <c r="F4225" s="147"/>
      <c r="G4225" s="147"/>
      <c r="H4225" s="147"/>
      <c r="I4225" s="147"/>
      <c r="J4225" s="147"/>
      <c r="K4225" s="147"/>
      <c r="L4225" s="147"/>
      <c r="M4225" s="147"/>
      <c r="N4225" s="147"/>
      <c r="O4225" s="147"/>
      <c r="P4225" s="147"/>
      <c r="Q4225" s="147"/>
      <c r="R4225" s="147"/>
      <c r="S4225" s="147"/>
      <c r="T4225" s="147"/>
      <c r="U4225" s="147"/>
      <c r="V4225" s="147"/>
      <c r="W4225" s="147"/>
      <c r="X4225" s="147"/>
      <c r="Y4225" s="147"/>
      <c r="Z4225" s="147"/>
      <c r="AA4225" s="147"/>
      <c r="AB4225" s="147"/>
      <c r="AC4225" s="147"/>
      <c r="AD4225" s="147"/>
      <c r="AE4225" s="147"/>
      <c r="AF4225" s="147"/>
      <c r="AG4225" s="147"/>
      <c r="AH4225" s="147"/>
      <c r="AI4225" s="147"/>
      <c r="AJ4225" s="147"/>
      <c r="AK4225" s="147"/>
      <c r="AL4225" s="147"/>
      <c r="AM4225" s="147"/>
      <c r="AN4225" s="147"/>
      <c r="AO4225" s="147"/>
      <c r="AP4225" s="147"/>
      <c r="AQ4225" s="147"/>
      <c r="AR4225" s="147"/>
      <c r="AS4225" s="147"/>
      <c r="AT4225" s="147"/>
      <c r="AU4225" s="147"/>
      <c r="AV4225" s="147"/>
      <c r="AW4225" s="147"/>
      <c r="AX4225" s="147"/>
      <c r="AY4225" s="147"/>
      <c r="AZ4225" s="147"/>
      <c r="BA4225" s="147"/>
    </row>
    <row r="4226" spans="1:53" ht="15.75" customHeight="1">
      <c r="A4226" s="99"/>
      <c r="B4226" s="99"/>
      <c r="C4226" s="147"/>
      <c r="D4226" s="147"/>
      <c r="E4226" s="147"/>
      <c r="F4226" s="147"/>
      <c r="G4226" s="147"/>
      <c r="H4226" s="147"/>
      <c r="I4226" s="147"/>
      <c r="J4226" s="147"/>
      <c r="K4226" s="147"/>
      <c r="L4226" s="147"/>
      <c r="M4226" s="147"/>
      <c r="N4226" s="147"/>
      <c r="O4226" s="147"/>
      <c r="P4226" s="147"/>
      <c r="Q4226" s="147"/>
      <c r="R4226" s="147"/>
      <c r="S4226" s="147"/>
      <c r="T4226" s="147"/>
      <c r="U4226" s="147"/>
      <c r="V4226" s="147"/>
      <c r="W4226" s="147"/>
      <c r="X4226" s="147"/>
      <c r="Y4226" s="147"/>
      <c r="Z4226" s="147"/>
      <c r="AA4226" s="147"/>
      <c r="AB4226" s="147"/>
      <c r="AC4226" s="147"/>
      <c r="AD4226" s="147"/>
      <c r="AE4226" s="147"/>
      <c r="AF4226" s="147"/>
      <c r="AG4226" s="147"/>
      <c r="AH4226" s="147"/>
      <c r="AI4226" s="147"/>
      <c r="AJ4226" s="147"/>
      <c r="AK4226" s="147"/>
      <c r="AL4226" s="147"/>
      <c r="AM4226" s="147"/>
      <c r="AN4226" s="147"/>
      <c r="AO4226" s="147"/>
      <c r="AP4226" s="147"/>
      <c r="AQ4226" s="147"/>
      <c r="AR4226" s="147"/>
      <c r="AS4226" s="147"/>
      <c r="AT4226" s="147"/>
      <c r="AU4226" s="147"/>
      <c r="AV4226" s="147"/>
      <c r="AW4226" s="147"/>
      <c r="AX4226" s="147"/>
      <c r="AY4226" s="147"/>
      <c r="AZ4226" s="147"/>
      <c r="BA4226" s="147"/>
    </row>
    <row r="4227" spans="1:53" ht="15.75" customHeight="1">
      <c r="A4227" s="99"/>
      <c r="B4227" s="99"/>
      <c r="C4227" s="147"/>
      <c r="D4227" s="147"/>
      <c r="E4227" s="147"/>
      <c r="F4227" s="147"/>
      <c r="G4227" s="147"/>
      <c r="H4227" s="147"/>
      <c r="I4227" s="147"/>
      <c r="J4227" s="147"/>
      <c r="K4227" s="147"/>
      <c r="L4227" s="147"/>
      <c r="M4227" s="147"/>
      <c r="N4227" s="147"/>
      <c r="O4227" s="147"/>
      <c r="P4227" s="147"/>
      <c r="Q4227" s="147"/>
      <c r="R4227" s="147"/>
      <c r="S4227" s="147"/>
      <c r="T4227" s="147"/>
      <c r="U4227" s="147"/>
      <c r="V4227" s="147"/>
      <c r="W4227" s="147"/>
      <c r="X4227" s="147"/>
      <c r="Y4227" s="147"/>
      <c r="Z4227" s="147"/>
      <c r="AA4227" s="147"/>
      <c r="AB4227" s="147"/>
      <c r="AC4227" s="147"/>
      <c r="AD4227" s="147"/>
      <c r="AE4227" s="147"/>
      <c r="AF4227" s="147"/>
      <c r="AG4227" s="147"/>
      <c r="AH4227" s="147"/>
      <c r="AI4227" s="147"/>
      <c r="AJ4227" s="147"/>
      <c r="AK4227" s="147"/>
      <c r="AL4227" s="147"/>
      <c r="AM4227" s="147"/>
      <c r="AN4227" s="147"/>
      <c r="AO4227" s="147"/>
      <c r="AP4227" s="147"/>
      <c r="AQ4227" s="147"/>
      <c r="AR4227" s="147"/>
      <c r="AS4227" s="147"/>
      <c r="AT4227" s="147"/>
      <c r="AU4227" s="147"/>
      <c r="AV4227" s="147"/>
      <c r="AW4227" s="147"/>
      <c r="AX4227" s="147"/>
      <c r="AY4227" s="147"/>
      <c r="AZ4227" s="147"/>
      <c r="BA4227" s="147"/>
    </row>
    <row r="4228" spans="1:53" ht="15.75" customHeight="1">
      <c r="A4228" s="99"/>
      <c r="B4228" s="99"/>
      <c r="C4228" s="147"/>
      <c r="D4228" s="147"/>
      <c r="E4228" s="147"/>
      <c r="F4228" s="147"/>
      <c r="G4228" s="147"/>
      <c r="H4228" s="147"/>
      <c r="I4228" s="147"/>
      <c r="J4228" s="147"/>
      <c r="K4228" s="147"/>
      <c r="L4228" s="147"/>
      <c r="M4228" s="147"/>
      <c r="N4228" s="147"/>
      <c r="O4228" s="147"/>
      <c r="P4228" s="147"/>
      <c r="Q4228" s="147"/>
      <c r="R4228" s="147"/>
      <c r="S4228" s="147"/>
      <c r="T4228" s="147"/>
      <c r="U4228" s="147"/>
      <c r="V4228" s="147"/>
      <c r="W4228" s="147"/>
      <c r="X4228" s="147"/>
      <c r="Y4228" s="147"/>
      <c r="Z4228" s="147"/>
      <c r="AA4228" s="147"/>
      <c r="AB4228" s="147"/>
      <c r="AC4228" s="147"/>
      <c r="AD4228" s="147"/>
      <c r="AE4228" s="147"/>
      <c r="AF4228" s="147"/>
      <c r="AG4228" s="147"/>
      <c r="AH4228" s="147"/>
      <c r="AI4228" s="147"/>
      <c r="AJ4228" s="147"/>
      <c r="AK4228" s="147"/>
      <c r="AL4228" s="147"/>
      <c r="AM4228" s="147"/>
      <c r="AN4228" s="147"/>
      <c r="AO4228" s="147"/>
      <c r="AP4228" s="147"/>
      <c r="AQ4228" s="147"/>
      <c r="AR4228" s="147"/>
      <c r="AS4228" s="147"/>
      <c r="AT4228" s="147"/>
      <c r="AU4228" s="147"/>
      <c r="AV4228" s="147"/>
      <c r="AW4228" s="147"/>
      <c r="AX4228" s="147"/>
      <c r="AY4228" s="147"/>
      <c r="AZ4228" s="147"/>
      <c r="BA4228" s="147"/>
    </row>
    <row r="4229" spans="1:53" ht="15.75" customHeight="1">
      <c r="A4229" s="99"/>
      <c r="B4229" s="99"/>
      <c r="C4229" s="147"/>
      <c r="D4229" s="147"/>
      <c r="E4229" s="147"/>
      <c r="F4229" s="147"/>
      <c r="G4229" s="147"/>
      <c r="H4229" s="147"/>
      <c r="I4229" s="147"/>
      <c r="J4229" s="147"/>
      <c r="K4229" s="147"/>
      <c r="L4229" s="147"/>
      <c r="M4229" s="147"/>
      <c r="N4229" s="147"/>
      <c r="O4229" s="147"/>
      <c r="P4229" s="147"/>
      <c r="Q4229" s="147"/>
      <c r="R4229" s="147"/>
      <c r="S4229" s="147"/>
      <c r="T4229" s="147"/>
      <c r="U4229" s="147"/>
      <c r="V4229" s="147"/>
      <c r="W4229" s="147"/>
      <c r="X4229" s="147"/>
      <c r="Y4229" s="147"/>
      <c r="Z4229" s="147"/>
      <c r="AA4229" s="147"/>
      <c r="AB4229" s="147"/>
      <c r="AC4229" s="147"/>
      <c r="AD4229" s="147"/>
      <c r="AE4229" s="147"/>
      <c r="AF4229" s="147"/>
      <c r="AG4229" s="147"/>
      <c r="AH4229" s="147"/>
      <c r="AI4229" s="147"/>
      <c r="AJ4229" s="147"/>
      <c r="AK4229" s="147"/>
      <c r="AL4229" s="147"/>
      <c r="AM4229" s="147"/>
      <c r="AN4229" s="147"/>
      <c r="AO4229" s="147"/>
      <c r="AP4229" s="147"/>
      <c r="AQ4229" s="147"/>
      <c r="AR4229" s="147"/>
      <c r="AS4229" s="147"/>
      <c r="AT4229" s="147"/>
      <c r="AU4229" s="147"/>
      <c r="AV4229" s="147"/>
      <c r="AW4229" s="147"/>
      <c r="AX4229" s="147"/>
      <c r="AY4229" s="147"/>
      <c r="AZ4229" s="147"/>
      <c r="BA4229" s="147"/>
    </row>
    <row r="4230" spans="1:53" ht="15.75" customHeight="1">
      <c r="A4230" s="99"/>
      <c r="B4230" s="99"/>
      <c r="C4230" s="147"/>
      <c r="D4230" s="147"/>
      <c r="E4230" s="147"/>
      <c r="F4230" s="147"/>
      <c r="G4230" s="147"/>
      <c r="H4230" s="147"/>
      <c r="I4230" s="147"/>
      <c r="J4230" s="147"/>
      <c r="K4230" s="147"/>
      <c r="L4230" s="147"/>
      <c r="M4230" s="147"/>
      <c r="N4230" s="147"/>
      <c r="O4230" s="147"/>
      <c r="P4230" s="147"/>
      <c r="Q4230" s="147"/>
      <c r="R4230" s="147"/>
      <c r="S4230" s="147"/>
      <c r="T4230" s="147"/>
      <c r="U4230" s="147"/>
      <c r="V4230" s="147"/>
      <c r="W4230" s="147"/>
      <c r="X4230" s="147"/>
      <c r="Y4230" s="147"/>
      <c r="Z4230" s="147"/>
      <c r="AA4230" s="147"/>
      <c r="AB4230" s="147"/>
      <c r="AC4230" s="147"/>
      <c r="AD4230" s="147"/>
      <c r="AE4230" s="147"/>
      <c r="AF4230" s="147"/>
      <c r="AG4230" s="147"/>
      <c r="AH4230" s="147"/>
      <c r="AI4230" s="147"/>
      <c r="AJ4230" s="147"/>
      <c r="AK4230" s="147"/>
      <c r="AL4230" s="147"/>
      <c r="AM4230" s="147"/>
      <c r="AN4230" s="147"/>
      <c r="AO4230" s="147"/>
      <c r="AP4230" s="147"/>
      <c r="AQ4230" s="147"/>
      <c r="AR4230" s="147"/>
      <c r="AS4230" s="147"/>
      <c r="AT4230" s="147"/>
      <c r="AU4230" s="147"/>
      <c r="AV4230" s="147"/>
      <c r="AW4230" s="147"/>
      <c r="AX4230" s="147"/>
      <c r="AY4230" s="147"/>
      <c r="AZ4230" s="147"/>
      <c r="BA4230" s="147"/>
    </row>
    <row r="4231" spans="1:53" ht="15.75" customHeight="1">
      <c r="A4231" s="99"/>
      <c r="B4231" s="99"/>
      <c r="C4231" s="147"/>
      <c r="D4231" s="147"/>
      <c r="E4231" s="147"/>
      <c r="F4231" s="147"/>
      <c r="G4231" s="147"/>
      <c r="H4231" s="147"/>
      <c r="I4231" s="147"/>
      <c r="J4231" s="147"/>
      <c r="K4231" s="147"/>
      <c r="L4231" s="147"/>
      <c r="M4231" s="147"/>
      <c r="N4231" s="147"/>
      <c r="O4231" s="147"/>
      <c r="P4231" s="147"/>
      <c r="Q4231" s="147"/>
      <c r="R4231" s="147"/>
      <c r="S4231" s="147"/>
      <c r="T4231" s="147"/>
      <c r="U4231" s="147"/>
      <c r="V4231" s="147"/>
      <c r="W4231" s="147"/>
      <c r="X4231" s="147"/>
      <c r="Y4231" s="147"/>
      <c r="Z4231" s="147"/>
      <c r="AA4231" s="147"/>
      <c r="AB4231" s="147"/>
      <c r="AC4231" s="147"/>
      <c r="AD4231" s="147"/>
      <c r="AE4231" s="147"/>
      <c r="AF4231" s="147"/>
      <c r="AG4231" s="147"/>
      <c r="AH4231" s="147"/>
      <c r="AI4231" s="147"/>
      <c r="AJ4231" s="147"/>
      <c r="AK4231" s="147"/>
      <c r="AL4231" s="147"/>
      <c r="AM4231" s="147"/>
      <c r="AN4231" s="147"/>
      <c r="AO4231" s="147"/>
      <c r="AP4231" s="147"/>
      <c r="AQ4231" s="147"/>
      <c r="AR4231" s="147"/>
      <c r="AS4231" s="147"/>
      <c r="AT4231" s="147"/>
      <c r="AU4231" s="147"/>
      <c r="AV4231" s="147"/>
      <c r="AW4231" s="147"/>
      <c r="AX4231" s="147"/>
      <c r="AY4231" s="147"/>
      <c r="AZ4231" s="147"/>
      <c r="BA4231" s="147"/>
    </row>
    <row r="4232" spans="1:53" ht="15.75" customHeight="1">
      <c r="A4232" s="99"/>
      <c r="B4232" s="99"/>
      <c r="C4232" s="147"/>
      <c r="D4232" s="147"/>
      <c r="E4232" s="147"/>
      <c r="F4232" s="147"/>
      <c r="G4232" s="147"/>
      <c r="H4232" s="147"/>
      <c r="I4232" s="147"/>
      <c r="J4232" s="147"/>
      <c r="K4232" s="147"/>
      <c r="L4232" s="147"/>
      <c r="M4232" s="147"/>
      <c r="N4232" s="147"/>
      <c r="O4232" s="147"/>
      <c r="P4232" s="147"/>
      <c r="Q4232" s="147"/>
      <c r="R4232" s="147"/>
      <c r="S4232" s="147"/>
      <c r="T4232" s="147"/>
      <c r="U4232" s="147"/>
      <c r="V4232" s="147"/>
      <c r="W4232" s="147"/>
      <c r="X4232" s="147"/>
      <c r="Y4232" s="147"/>
      <c r="Z4232" s="147"/>
      <c r="AA4232" s="147"/>
      <c r="AB4232" s="147"/>
      <c r="AC4232" s="147"/>
      <c r="AD4232" s="147"/>
      <c r="AE4232" s="147"/>
      <c r="AF4232" s="147"/>
      <c r="AG4232" s="147"/>
      <c r="AH4232" s="147"/>
      <c r="AI4232" s="147"/>
      <c r="AJ4232" s="147"/>
      <c r="AK4232" s="147"/>
      <c r="AL4232" s="147"/>
      <c r="AM4232" s="147"/>
      <c r="AN4232" s="147"/>
      <c r="AO4232" s="147"/>
      <c r="AP4232" s="147"/>
      <c r="AQ4232" s="147"/>
      <c r="AR4232" s="147"/>
      <c r="AS4232" s="147"/>
      <c r="AT4232" s="147"/>
      <c r="AU4232" s="147"/>
      <c r="AV4232" s="147"/>
      <c r="AW4232" s="147"/>
      <c r="AX4232" s="147"/>
      <c r="AY4232" s="147"/>
      <c r="AZ4232" s="147"/>
      <c r="BA4232" s="147"/>
    </row>
    <row r="4233" spans="1:53" ht="15.75" customHeight="1">
      <c r="A4233" s="99"/>
      <c r="B4233" s="99"/>
      <c r="C4233" s="147"/>
      <c r="D4233" s="147"/>
      <c r="E4233" s="147"/>
      <c r="F4233" s="147"/>
      <c r="G4233" s="147"/>
      <c r="H4233" s="147"/>
      <c r="I4233" s="147"/>
      <c r="J4233" s="147"/>
      <c r="K4233" s="147"/>
      <c r="L4233" s="147"/>
      <c r="M4233" s="147"/>
      <c r="N4233" s="147"/>
      <c r="O4233" s="147"/>
      <c r="P4233" s="147"/>
      <c r="Q4233" s="147"/>
      <c r="R4233" s="147"/>
      <c r="S4233" s="147"/>
      <c r="T4233" s="147"/>
      <c r="U4233" s="147"/>
      <c r="V4233" s="147"/>
      <c r="W4233" s="147"/>
      <c r="X4233" s="147"/>
      <c r="Y4233" s="147"/>
      <c r="Z4233" s="147"/>
      <c r="AA4233" s="147"/>
      <c r="AB4233" s="147"/>
      <c r="AC4233" s="147"/>
      <c r="AD4233" s="147"/>
      <c r="AE4233" s="147"/>
      <c r="AF4233" s="147"/>
      <c r="AG4233" s="147"/>
      <c r="AH4233" s="147"/>
      <c r="AI4233" s="147"/>
      <c r="AJ4233" s="147"/>
      <c r="AK4233" s="147"/>
      <c r="AL4233" s="147"/>
      <c r="AM4233" s="147"/>
      <c r="AN4233" s="147"/>
      <c r="AO4233" s="147"/>
      <c r="AP4233" s="147"/>
      <c r="AQ4233" s="147"/>
      <c r="AR4233" s="147"/>
      <c r="AS4233" s="147"/>
      <c r="AT4233" s="147"/>
      <c r="AU4233" s="147"/>
      <c r="AV4233" s="147"/>
      <c r="AW4233" s="147"/>
      <c r="AX4233" s="147"/>
      <c r="AY4233" s="147"/>
      <c r="AZ4233" s="147"/>
      <c r="BA4233" s="147"/>
    </row>
    <row r="4234" spans="1:53" ht="15.75" customHeight="1">
      <c r="A4234" s="99"/>
      <c r="B4234" s="99"/>
      <c r="C4234" s="147"/>
      <c r="D4234" s="147"/>
      <c r="E4234" s="147"/>
      <c r="F4234" s="147"/>
      <c r="G4234" s="147"/>
      <c r="H4234" s="147"/>
      <c r="I4234" s="147"/>
      <c r="J4234" s="147"/>
      <c r="K4234" s="147"/>
      <c r="L4234" s="147"/>
      <c r="M4234" s="147"/>
      <c r="N4234" s="147"/>
      <c r="O4234" s="147"/>
      <c r="P4234" s="147"/>
      <c r="Q4234" s="147"/>
      <c r="R4234" s="147"/>
      <c r="S4234" s="147"/>
      <c r="T4234" s="147"/>
      <c r="U4234" s="147"/>
      <c r="V4234" s="147"/>
      <c r="W4234" s="147"/>
      <c r="X4234" s="147"/>
      <c r="Y4234" s="147"/>
      <c r="Z4234" s="147"/>
      <c r="AA4234" s="147"/>
      <c r="AB4234" s="147"/>
      <c r="AC4234" s="147"/>
      <c r="AD4234" s="147"/>
      <c r="AE4234" s="147"/>
      <c r="AF4234" s="147"/>
      <c r="AG4234" s="147"/>
      <c r="AH4234" s="147"/>
      <c r="AI4234" s="147"/>
      <c r="AJ4234" s="147"/>
      <c r="AK4234" s="147"/>
      <c r="AL4234" s="147"/>
      <c r="AM4234" s="147"/>
      <c r="AN4234" s="147"/>
      <c r="AO4234" s="147"/>
      <c r="AP4234" s="147"/>
      <c r="AQ4234" s="147"/>
      <c r="AR4234" s="147"/>
      <c r="AS4234" s="147"/>
      <c r="AT4234" s="147"/>
      <c r="AU4234" s="147"/>
      <c r="AV4234" s="147"/>
      <c r="AW4234" s="147"/>
      <c r="AX4234" s="147"/>
      <c r="AY4234" s="147"/>
      <c r="AZ4234" s="147"/>
      <c r="BA4234" s="147"/>
    </row>
    <row r="4235" spans="1:53" ht="15.75" customHeight="1">
      <c r="A4235" s="99"/>
      <c r="B4235" s="99"/>
      <c r="C4235" s="147"/>
      <c r="D4235" s="147"/>
      <c r="E4235" s="147"/>
      <c r="F4235" s="147"/>
      <c r="G4235" s="147"/>
      <c r="H4235" s="147"/>
      <c r="I4235" s="147"/>
      <c r="J4235" s="147"/>
      <c r="K4235" s="147"/>
      <c r="L4235" s="147"/>
      <c r="M4235" s="147"/>
      <c r="N4235" s="147"/>
      <c r="O4235" s="147"/>
      <c r="P4235" s="147"/>
      <c r="Q4235" s="147"/>
      <c r="R4235" s="147"/>
      <c r="S4235" s="147"/>
      <c r="T4235" s="147"/>
      <c r="U4235" s="147"/>
      <c r="V4235" s="147"/>
      <c r="W4235" s="147"/>
      <c r="X4235" s="147"/>
      <c r="Y4235" s="147"/>
      <c r="Z4235" s="147"/>
      <c r="AA4235" s="147"/>
      <c r="AB4235" s="147"/>
      <c r="AC4235" s="147"/>
      <c r="AD4235" s="147"/>
      <c r="AE4235" s="147"/>
      <c r="AF4235" s="147"/>
      <c r="AG4235" s="147"/>
      <c r="AH4235" s="147"/>
      <c r="AI4235" s="147"/>
      <c r="AJ4235" s="147"/>
      <c r="AK4235" s="147"/>
      <c r="AL4235" s="147"/>
      <c r="AM4235" s="147"/>
      <c r="AN4235" s="147"/>
      <c r="AO4235" s="147"/>
      <c r="AP4235" s="147"/>
      <c r="AQ4235" s="147"/>
      <c r="AR4235" s="147"/>
      <c r="AS4235" s="147"/>
      <c r="AT4235" s="147"/>
      <c r="AU4235" s="147"/>
      <c r="AV4235" s="147"/>
      <c r="AW4235" s="147"/>
      <c r="AX4235" s="147"/>
      <c r="AY4235" s="147"/>
      <c r="AZ4235" s="147"/>
      <c r="BA4235" s="147"/>
    </row>
    <row r="4236" spans="1:53" ht="15.75" customHeight="1">
      <c r="A4236" s="99"/>
      <c r="B4236" s="99"/>
      <c r="C4236" s="147"/>
      <c r="D4236" s="147"/>
      <c r="E4236" s="147"/>
      <c r="F4236" s="147"/>
      <c r="G4236" s="147"/>
      <c r="H4236" s="147"/>
      <c r="I4236" s="147"/>
      <c r="J4236" s="147"/>
      <c r="K4236" s="147"/>
      <c r="L4236" s="147"/>
      <c r="M4236" s="147"/>
      <c r="N4236" s="147"/>
      <c r="O4236" s="147"/>
      <c r="P4236" s="147"/>
      <c r="Q4236" s="147"/>
      <c r="R4236" s="147"/>
      <c r="S4236" s="147"/>
      <c r="T4236" s="147"/>
      <c r="U4236" s="147"/>
      <c r="V4236" s="147"/>
      <c r="W4236" s="147"/>
      <c r="X4236" s="147"/>
      <c r="Y4236" s="147"/>
      <c r="Z4236" s="147"/>
      <c r="AA4236" s="147"/>
      <c r="AB4236" s="147"/>
      <c r="AC4236" s="147"/>
      <c r="AD4236" s="147"/>
      <c r="AE4236" s="147"/>
      <c r="AF4236" s="147"/>
      <c r="AG4236" s="147"/>
      <c r="AH4236" s="147"/>
      <c r="AI4236" s="147"/>
      <c r="AJ4236" s="147"/>
      <c r="AK4236" s="147"/>
      <c r="AL4236" s="147"/>
      <c r="AM4236" s="147"/>
      <c r="AN4236" s="147"/>
      <c r="AO4236" s="147"/>
      <c r="AP4236" s="147"/>
      <c r="AQ4236" s="147"/>
      <c r="AR4236" s="147"/>
      <c r="AS4236" s="147"/>
      <c r="AT4236" s="147"/>
      <c r="AU4236" s="147"/>
      <c r="AV4236" s="147"/>
      <c r="AW4236" s="147"/>
      <c r="AX4236" s="147"/>
      <c r="AY4236" s="147"/>
      <c r="AZ4236" s="147"/>
      <c r="BA4236" s="147"/>
    </row>
    <row r="4237" spans="1:53" ht="15.75" customHeight="1">
      <c r="A4237" s="99"/>
      <c r="B4237" s="99"/>
      <c r="C4237" s="147"/>
      <c r="D4237" s="147"/>
      <c r="E4237" s="147"/>
      <c r="F4237" s="147"/>
      <c r="G4237" s="147"/>
      <c r="H4237" s="147"/>
      <c r="I4237" s="147"/>
      <c r="J4237" s="147"/>
      <c r="K4237" s="147"/>
      <c r="L4237" s="147"/>
      <c r="M4237" s="147"/>
      <c r="N4237" s="147"/>
      <c r="O4237" s="147"/>
      <c r="P4237" s="147"/>
      <c r="Q4237" s="147"/>
      <c r="R4237" s="147"/>
      <c r="S4237" s="147"/>
      <c r="T4237" s="147"/>
      <c r="U4237" s="147"/>
      <c r="V4237" s="147"/>
      <c r="W4237" s="147"/>
      <c r="X4237" s="147"/>
      <c r="Y4237" s="147"/>
      <c r="Z4237" s="147"/>
      <c r="AA4237" s="147"/>
      <c r="AB4237" s="147"/>
      <c r="AC4237" s="147"/>
      <c r="AD4237" s="147"/>
      <c r="AE4237" s="147"/>
      <c r="AF4237" s="147"/>
      <c r="AG4237" s="147"/>
      <c r="AH4237" s="147"/>
      <c r="AI4237" s="147"/>
      <c r="AJ4237" s="147"/>
      <c r="AK4237" s="147"/>
      <c r="AL4237" s="147"/>
      <c r="AM4237" s="147"/>
      <c r="AN4237" s="147"/>
      <c r="AO4237" s="147"/>
      <c r="AP4237" s="147"/>
      <c r="AQ4237" s="147"/>
      <c r="AR4237" s="147"/>
      <c r="AS4237" s="147"/>
      <c r="AT4237" s="147"/>
      <c r="AU4237" s="147"/>
      <c r="AV4237" s="147"/>
      <c r="AW4237" s="147"/>
      <c r="AX4237" s="147"/>
      <c r="AY4237" s="147"/>
      <c r="AZ4237" s="147"/>
      <c r="BA4237" s="147"/>
    </row>
    <row r="4238" spans="1:53" ht="15.75" customHeight="1">
      <c r="A4238" s="99"/>
      <c r="B4238" s="99"/>
      <c r="C4238" s="147"/>
      <c r="D4238" s="147"/>
      <c r="E4238" s="147"/>
      <c r="F4238" s="147"/>
      <c r="G4238" s="147"/>
      <c r="H4238" s="147"/>
      <c r="I4238" s="147"/>
      <c r="J4238" s="147"/>
      <c r="K4238" s="147"/>
      <c r="L4238" s="147"/>
      <c r="M4238" s="147"/>
      <c r="N4238" s="147"/>
      <c r="O4238" s="147"/>
      <c r="P4238" s="147"/>
      <c r="Q4238" s="147"/>
      <c r="R4238" s="147"/>
      <c r="S4238" s="147"/>
      <c r="T4238" s="147"/>
      <c r="U4238" s="147"/>
      <c r="V4238" s="147"/>
      <c r="W4238" s="147"/>
      <c r="X4238" s="147"/>
      <c r="Y4238" s="147"/>
      <c r="Z4238" s="147"/>
      <c r="AA4238" s="147"/>
      <c r="AB4238" s="147"/>
      <c r="AC4238" s="147"/>
      <c r="AD4238" s="147"/>
      <c r="AE4238" s="147"/>
      <c r="AF4238" s="147"/>
      <c r="AG4238" s="147"/>
      <c r="AH4238" s="147"/>
      <c r="AI4238" s="147"/>
      <c r="AJ4238" s="147"/>
      <c r="AK4238" s="147"/>
      <c r="AL4238" s="147"/>
      <c r="AM4238" s="147"/>
      <c r="AN4238" s="147"/>
      <c r="AO4238" s="147"/>
      <c r="AP4238" s="147"/>
      <c r="AQ4238" s="147"/>
      <c r="AR4238" s="147"/>
      <c r="AS4238" s="147"/>
      <c r="AT4238" s="147"/>
      <c r="AU4238" s="147"/>
      <c r="AV4238" s="147"/>
      <c r="AW4238" s="147"/>
      <c r="AX4238" s="147"/>
      <c r="AY4238" s="147"/>
      <c r="AZ4238" s="147"/>
      <c r="BA4238" s="147"/>
    </row>
    <row r="4239" spans="1:53" ht="15.75" customHeight="1">
      <c r="A4239" s="99"/>
      <c r="B4239" s="99"/>
      <c r="C4239" s="147"/>
      <c r="D4239" s="147"/>
      <c r="E4239" s="147"/>
      <c r="F4239" s="147"/>
      <c r="G4239" s="147"/>
      <c r="H4239" s="147"/>
      <c r="I4239" s="147"/>
      <c r="J4239" s="147"/>
      <c r="K4239" s="147"/>
      <c r="L4239" s="147"/>
      <c r="M4239" s="147"/>
      <c r="N4239" s="147"/>
      <c r="O4239" s="147"/>
      <c r="P4239" s="147"/>
      <c r="Q4239" s="147"/>
      <c r="R4239" s="147"/>
      <c r="S4239" s="147"/>
      <c r="T4239" s="147"/>
      <c r="U4239" s="147"/>
      <c r="V4239" s="147"/>
      <c r="W4239" s="147"/>
      <c r="X4239" s="147"/>
      <c r="Y4239" s="147"/>
      <c r="Z4239" s="147"/>
      <c r="AA4239" s="147"/>
      <c r="AB4239" s="147"/>
      <c r="AC4239" s="147"/>
      <c r="AD4239" s="147"/>
      <c r="AE4239" s="147"/>
      <c r="AF4239" s="147"/>
      <c r="AG4239" s="147"/>
      <c r="AH4239" s="147"/>
      <c r="AI4239" s="147"/>
      <c r="AJ4239" s="147"/>
      <c r="AK4239" s="147"/>
      <c r="AL4239" s="147"/>
      <c r="AM4239" s="147"/>
      <c r="AN4239" s="147"/>
      <c r="AO4239" s="147"/>
      <c r="AP4239" s="147"/>
      <c r="AQ4239" s="147"/>
      <c r="AR4239" s="147"/>
      <c r="AS4239" s="147"/>
      <c r="AT4239" s="147"/>
      <c r="AU4239" s="147"/>
      <c r="AV4239" s="147"/>
      <c r="AW4239" s="147"/>
      <c r="AX4239" s="147"/>
      <c r="AY4239" s="147"/>
      <c r="AZ4239" s="147"/>
      <c r="BA4239" s="147"/>
    </row>
    <row r="4240" spans="1:53" ht="15.75" customHeight="1">
      <c r="A4240" s="99"/>
      <c r="B4240" s="99"/>
      <c r="C4240" s="147"/>
      <c r="D4240" s="147"/>
      <c r="E4240" s="147"/>
      <c r="F4240" s="147"/>
      <c r="G4240" s="147"/>
      <c r="H4240" s="147"/>
      <c r="I4240" s="147"/>
      <c r="J4240" s="147"/>
      <c r="K4240" s="147"/>
      <c r="L4240" s="147"/>
      <c r="M4240" s="147"/>
      <c r="N4240" s="147"/>
      <c r="O4240" s="147"/>
      <c r="P4240" s="147"/>
      <c r="Q4240" s="147"/>
      <c r="R4240" s="147"/>
      <c r="S4240" s="147"/>
      <c r="T4240" s="147"/>
      <c r="U4240" s="147"/>
      <c r="V4240" s="147"/>
      <c r="W4240" s="147"/>
      <c r="X4240" s="147"/>
      <c r="Y4240" s="147"/>
      <c r="Z4240" s="147"/>
      <c r="AA4240" s="147"/>
      <c r="AB4240" s="147"/>
      <c r="AC4240" s="147"/>
      <c r="AD4240" s="147"/>
      <c r="AE4240" s="147"/>
      <c r="AF4240" s="147"/>
      <c r="AG4240" s="147"/>
      <c r="AH4240" s="147"/>
      <c r="AI4240" s="147"/>
      <c r="AJ4240" s="147"/>
      <c r="AK4240" s="147"/>
      <c r="AL4240" s="147"/>
      <c r="AM4240" s="147"/>
      <c r="AN4240" s="147"/>
      <c r="AO4240" s="147"/>
      <c r="AP4240" s="147"/>
      <c r="AQ4240" s="147"/>
      <c r="AR4240" s="147"/>
      <c r="AS4240" s="147"/>
      <c r="AT4240" s="147"/>
      <c r="AU4240" s="147"/>
      <c r="AV4240" s="147"/>
      <c r="AW4240" s="147"/>
      <c r="AX4240" s="147"/>
      <c r="AY4240" s="147"/>
      <c r="AZ4240" s="147"/>
      <c r="BA4240" s="147"/>
    </row>
    <row r="4241" spans="1:53" ht="15.75" customHeight="1">
      <c r="A4241" s="99"/>
      <c r="B4241" s="99"/>
      <c r="C4241" s="147"/>
      <c r="D4241" s="147"/>
      <c r="E4241" s="147"/>
      <c r="F4241" s="147"/>
      <c r="G4241" s="147"/>
      <c r="H4241" s="147"/>
      <c r="I4241" s="147"/>
      <c r="J4241" s="147"/>
      <c r="K4241" s="147"/>
      <c r="L4241" s="147"/>
      <c r="M4241" s="147"/>
      <c r="N4241" s="147"/>
      <c r="O4241" s="147"/>
      <c r="P4241" s="147"/>
      <c r="Q4241" s="147"/>
      <c r="R4241" s="147"/>
      <c r="S4241" s="147"/>
      <c r="T4241" s="147"/>
      <c r="U4241" s="147"/>
      <c r="V4241" s="147"/>
      <c r="W4241" s="147"/>
      <c r="X4241" s="147"/>
      <c r="Y4241" s="147"/>
      <c r="Z4241" s="147"/>
      <c r="AA4241" s="147"/>
      <c r="AB4241" s="147"/>
      <c r="AC4241" s="147"/>
      <c r="AD4241" s="147"/>
      <c r="AE4241" s="147"/>
      <c r="AF4241" s="147"/>
      <c r="AG4241" s="147"/>
      <c r="AH4241" s="147"/>
      <c r="AI4241" s="147"/>
      <c r="AJ4241" s="147"/>
      <c r="AK4241" s="147"/>
      <c r="AL4241" s="147"/>
      <c r="AM4241" s="147"/>
      <c r="AN4241" s="147"/>
      <c r="AO4241" s="147"/>
      <c r="AP4241" s="147"/>
      <c r="AQ4241" s="147"/>
      <c r="AR4241" s="147"/>
      <c r="AS4241" s="147"/>
      <c r="AT4241" s="147"/>
      <c r="AU4241" s="147"/>
      <c r="AV4241" s="147"/>
      <c r="AW4241" s="147"/>
      <c r="AX4241" s="147"/>
      <c r="AY4241" s="147"/>
      <c r="AZ4241" s="147"/>
      <c r="BA4241" s="147"/>
    </row>
    <row r="4242" spans="1:53" ht="15.75" customHeight="1">
      <c r="A4242" s="99"/>
      <c r="B4242" s="99"/>
      <c r="C4242" s="147"/>
      <c r="D4242" s="147"/>
      <c r="E4242" s="147"/>
      <c r="F4242" s="147"/>
      <c r="G4242" s="147"/>
      <c r="H4242" s="147"/>
      <c r="I4242" s="147"/>
      <c r="J4242" s="147"/>
      <c r="K4242" s="147"/>
      <c r="L4242" s="147"/>
      <c r="M4242" s="147"/>
      <c r="N4242" s="147"/>
      <c r="O4242" s="147"/>
      <c r="P4242" s="147"/>
      <c r="Q4242" s="147"/>
      <c r="R4242" s="147"/>
      <c r="S4242" s="147"/>
      <c r="T4242" s="147"/>
      <c r="U4242" s="147"/>
      <c r="V4242" s="147"/>
      <c r="W4242" s="147"/>
      <c r="X4242" s="147"/>
      <c r="Y4242" s="147"/>
      <c r="Z4242" s="147"/>
      <c r="AA4242" s="147"/>
      <c r="AB4242" s="147"/>
      <c r="AC4242" s="147"/>
      <c r="AD4242" s="147"/>
      <c r="AE4242" s="147"/>
      <c r="AF4242" s="147"/>
      <c r="AG4242" s="147"/>
      <c r="AH4242" s="147"/>
      <c r="AI4242" s="147"/>
      <c r="AJ4242" s="147"/>
      <c r="AK4242" s="147"/>
      <c r="AL4242" s="147"/>
      <c r="AM4242" s="147"/>
      <c r="AN4242" s="147"/>
      <c r="AO4242" s="147"/>
      <c r="AP4242" s="147"/>
      <c r="AQ4242" s="147"/>
      <c r="AR4242" s="147"/>
      <c r="AS4242" s="147"/>
      <c r="AT4242" s="147"/>
      <c r="AU4242" s="147"/>
      <c r="AV4242" s="147"/>
      <c r="AW4242" s="147"/>
      <c r="AX4242" s="147"/>
      <c r="AY4242" s="147"/>
      <c r="AZ4242" s="147"/>
      <c r="BA4242" s="147"/>
    </row>
    <row r="4243" spans="1:53" ht="15.75" customHeight="1">
      <c r="A4243" s="99"/>
      <c r="B4243" s="99"/>
      <c r="C4243" s="147"/>
      <c r="D4243" s="147"/>
      <c r="E4243" s="147"/>
      <c r="F4243" s="147"/>
      <c r="G4243" s="147"/>
      <c r="H4243" s="147"/>
      <c r="I4243" s="147"/>
      <c r="J4243" s="147"/>
      <c r="K4243" s="147"/>
      <c r="L4243" s="147"/>
      <c r="M4243" s="147"/>
      <c r="N4243" s="147"/>
      <c r="O4243" s="147"/>
      <c r="P4243" s="147"/>
      <c r="Q4243" s="147"/>
      <c r="R4243" s="147"/>
      <c r="S4243" s="147"/>
      <c r="T4243" s="147"/>
      <c r="U4243" s="147"/>
      <c r="V4243" s="147"/>
      <c r="W4243" s="147"/>
      <c r="X4243" s="147"/>
      <c r="Y4243" s="147"/>
      <c r="Z4243" s="147"/>
      <c r="AA4243" s="147"/>
      <c r="AB4243" s="147"/>
      <c r="AC4243" s="147"/>
      <c r="AD4243" s="147"/>
      <c r="AE4243" s="147"/>
      <c r="AF4243" s="147"/>
      <c r="AG4243" s="147"/>
      <c r="AH4243" s="147"/>
      <c r="AI4243" s="147"/>
      <c r="AJ4243" s="147"/>
      <c r="AK4243" s="147"/>
      <c r="AL4243" s="147"/>
      <c r="AM4243" s="147"/>
      <c r="AN4243" s="147"/>
      <c r="AO4243" s="147"/>
      <c r="AP4243" s="147"/>
      <c r="AQ4243" s="147"/>
      <c r="AR4243" s="147"/>
      <c r="AS4243" s="147"/>
      <c r="AT4243" s="147"/>
      <c r="AU4243" s="147"/>
      <c r="AV4243" s="147"/>
      <c r="AW4243" s="147"/>
      <c r="AX4243" s="147"/>
      <c r="AY4243" s="147"/>
      <c r="AZ4243" s="147"/>
      <c r="BA4243" s="147"/>
    </row>
    <row r="4244" spans="1:53" ht="15.75" customHeight="1">
      <c r="A4244" s="99"/>
      <c r="B4244" s="99"/>
      <c r="C4244" s="147"/>
      <c r="D4244" s="147"/>
      <c r="E4244" s="147"/>
      <c r="F4244" s="147"/>
      <c r="G4244" s="147"/>
      <c r="H4244" s="147"/>
      <c r="I4244" s="147"/>
      <c r="J4244" s="147"/>
      <c r="K4244" s="147"/>
      <c r="L4244" s="147"/>
      <c r="M4244" s="147"/>
      <c r="N4244" s="147"/>
      <c r="O4244" s="147"/>
      <c r="P4244" s="147"/>
      <c r="Q4244" s="147"/>
      <c r="R4244" s="147"/>
      <c r="S4244" s="147"/>
      <c r="T4244" s="147"/>
      <c r="U4244" s="147"/>
      <c r="V4244" s="147"/>
      <c r="W4244" s="147"/>
      <c r="X4244" s="147"/>
      <c r="Y4244" s="147"/>
      <c r="Z4244" s="147"/>
      <c r="AA4244" s="147"/>
      <c r="AB4244" s="147"/>
      <c r="AC4244" s="147"/>
      <c r="AD4244" s="147"/>
      <c r="AE4244" s="147"/>
      <c r="AF4244" s="147"/>
      <c r="AG4244" s="147"/>
      <c r="AH4244" s="147"/>
      <c r="AI4244" s="147"/>
      <c r="AJ4244" s="147"/>
      <c r="AK4244" s="147"/>
      <c r="AL4244" s="147"/>
      <c r="AM4244" s="147"/>
      <c r="AN4244" s="147"/>
      <c r="AO4244" s="147"/>
      <c r="AP4244" s="147"/>
      <c r="AQ4244" s="147"/>
      <c r="AR4244" s="147"/>
      <c r="AS4244" s="147"/>
      <c r="AT4244" s="147"/>
      <c r="AU4244" s="147"/>
      <c r="AV4244" s="147"/>
      <c r="AW4244" s="147"/>
      <c r="AX4244" s="147"/>
      <c r="AY4244" s="147"/>
      <c r="AZ4244" s="147"/>
      <c r="BA4244" s="147"/>
    </row>
    <row r="4245" spans="1:53" ht="15.75" customHeight="1">
      <c r="A4245" s="99"/>
      <c r="B4245" s="99"/>
      <c r="C4245" s="147"/>
      <c r="D4245" s="147"/>
      <c r="E4245" s="147"/>
      <c r="F4245" s="147"/>
      <c r="G4245" s="147"/>
      <c r="H4245" s="147"/>
      <c r="I4245" s="147"/>
      <c r="J4245" s="147"/>
      <c r="K4245" s="147"/>
      <c r="L4245" s="147"/>
      <c r="M4245" s="147"/>
      <c r="N4245" s="147"/>
      <c r="O4245" s="147"/>
      <c r="P4245" s="147"/>
      <c r="Q4245" s="147"/>
      <c r="R4245" s="147"/>
      <c r="S4245" s="147"/>
      <c r="T4245" s="147"/>
      <c r="U4245" s="147"/>
      <c r="V4245" s="147"/>
      <c r="W4245" s="147"/>
      <c r="X4245" s="147"/>
      <c r="Y4245" s="147"/>
      <c r="Z4245" s="147"/>
      <c r="AA4245" s="147"/>
      <c r="AB4245" s="147"/>
      <c r="AC4245" s="147"/>
      <c r="AD4245" s="147"/>
      <c r="AE4245" s="147"/>
      <c r="AF4245" s="147"/>
      <c r="AG4245" s="147"/>
      <c r="AH4245" s="147"/>
      <c r="AI4245" s="147"/>
      <c r="AJ4245" s="147"/>
      <c r="AK4245" s="147"/>
      <c r="AL4245" s="147"/>
      <c r="AM4245" s="147"/>
      <c r="AN4245" s="147"/>
      <c r="AO4245" s="147"/>
      <c r="AP4245" s="147"/>
      <c r="AQ4245" s="147"/>
      <c r="AR4245" s="147"/>
      <c r="AS4245" s="147"/>
      <c r="AT4245" s="147"/>
      <c r="AU4245" s="147"/>
      <c r="AV4245" s="147"/>
      <c r="AW4245" s="147"/>
      <c r="AX4245" s="147"/>
      <c r="AY4245" s="147"/>
      <c r="AZ4245" s="147"/>
      <c r="BA4245" s="147"/>
    </row>
    <row r="4246" spans="1:53" ht="15.75" customHeight="1">
      <c r="A4246" s="99"/>
      <c r="B4246" s="99"/>
      <c r="C4246" s="147"/>
      <c r="D4246" s="147"/>
      <c r="E4246" s="147"/>
      <c r="F4246" s="147"/>
      <c r="G4246" s="147"/>
      <c r="H4246" s="147"/>
      <c r="I4246" s="147"/>
      <c r="J4246" s="147"/>
      <c r="K4246" s="147"/>
      <c r="L4246" s="147"/>
      <c r="M4246" s="147"/>
      <c r="N4246" s="147"/>
      <c r="O4246" s="147"/>
      <c r="P4246" s="147"/>
      <c r="Q4246" s="147"/>
      <c r="R4246" s="147"/>
      <c r="S4246" s="147"/>
      <c r="T4246" s="147"/>
      <c r="U4246" s="147"/>
      <c r="V4246" s="147"/>
      <c r="W4246" s="147"/>
      <c r="X4246" s="147"/>
      <c r="Y4246" s="147"/>
      <c r="Z4246" s="147"/>
      <c r="AA4246" s="147"/>
      <c r="AB4246" s="147"/>
      <c r="AC4246" s="147"/>
      <c r="AD4246" s="147"/>
      <c r="AE4246" s="147"/>
      <c r="AF4246" s="147"/>
      <c r="AG4246" s="147"/>
      <c r="AH4246" s="147"/>
      <c r="AI4246" s="147"/>
      <c r="AJ4246" s="147"/>
      <c r="AK4246" s="147"/>
      <c r="AL4246" s="147"/>
      <c r="AM4246" s="147"/>
      <c r="AN4246" s="147"/>
      <c r="AO4246" s="147"/>
      <c r="AP4246" s="147"/>
      <c r="AQ4246" s="147"/>
      <c r="AR4246" s="147"/>
      <c r="AS4246" s="147"/>
      <c r="AT4246" s="147"/>
      <c r="AU4246" s="147"/>
      <c r="AV4246" s="147"/>
      <c r="AW4246" s="147"/>
      <c r="AX4246" s="147"/>
      <c r="AY4246" s="147"/>
      <c r="AZ4246" s="147"/>
      <c r="BA4246" s="147"/>
    </row>
    <row r="4247" spans="1:53" ht="15.75" customHeight="1">
      <c r="A4247" s="99"/>
      <c r="B4247" s="99"/>
      <c r="C4247" s="147"/>
      <c r="D4247" s="147"/>
      <c r="E4247" s="147"/>
      <c r="F4247" s="147"/>
      <c r="G4247" s="147"/>
      <c r="H4247" s="147"/>
      <c r="I4247" s="147"/>
      <c r="J4247" s="147"/>
      <c r="K4247" s="147"/>
      <c r="L4247" s="147"/>
      <c r="M4247" s="147"/>
      <c r="N4247" s="147"/>
      <c r="O4247" s="147"/>
      <c r="P4247" s="147"/>
      <c r="Q4247" s="147"/>
      <c r="R4247" s="147"/>
      <c r="S4247" s="147"/>
      <c r="T4247" s="147"/>
      <c r="U4247" s="147"/>
      <c r="V4247" s="147"/>
      <c r="W4247" s="147"/>
      <c r="X4247" s="147"/>
      <c r="Y4247" s="147"/>
      <c r="Z4247" s="147"/>
      <c r="AA4247" s="147"/>
      <c r="AB4247" s="147"/>
      <c r="AC4247" s="147"/>
      <c r="AD4247" s="147"/>
      <c r="AE4247" s="147"/>
      <c r="AF4247" s="147"/>
      <c r="AG4247" s="147"/>
      <c r="AH4247" s="147"/>
      <c r="AI4247" s="147"/>
      <c r="AJ4247" s="147"/>
      <c r="AK4247" s="147"/>
      <c r="AL4247" s="147"/>
      <c r="AM4247" s="147"/>
      <c r="AN4247" s="147"/>
      <c r="AO4247" s="147"/>
      <c r="AP4247" s="147"/>
      <c r="AQ4247" s="147"/>
      <c r="AR4247" s="147"/>
      <c r="AS4247" s="147"/>
      <c r="AT4247" s="147"/>
      <c r="AU4247" s="147"/>
      <c r="AV4247" s="147"/>
      <c r="AW4247" s="147"/>
      <c r="AX4247" s="147"/>
      <c r="AY4247" s="147"/>
      <c r="AZ4247" s="147"/>
      <c r="BA4247" s="147"/>
    </row>
    <row r="4248" spans="1:53" ht="15.75" customHeight="1">
      <c r="A4248" s="99"/>
      <c r="B4248" s="99"/>
      <c r="C4248" s="147"/>
      <c r="D4248" s="147"/>
      <c r="E4248" s="147"/>
      <c r="F4248" s="147"/>
      <c r="G4248" s="147"/>
      <c r="H4248" s="147"/>
      <c r="I4248" s="147"/>
      <c r="J4248" s="147"/>
      <c r="K4248" s="147"/>
      <c r="L4248" s="147"/>
      <c r="M4248" s="147"/>
      <c r="N4248" s="147"/>
      <c r="O4248" s="147"/>
      <c r="P4248" s="147"/>
      <c r="Q4248" s="147"/>
      <c r="R4248" s="147"/>
      <c r="S4248" s="147"/>
      <c r="T4248" s="147"/>
      <c r="U4248" s="147"/>
      <c r="V4248" s="147"/>
      <c r="W4248" s="147"/>
      <c r="X4248" s="147"/>
      <c r="Y4248" s="147"/>
      <c r="Z4248" s="147"/>
      <c r="AA4248" s="147"/>
      <c r="AB4248" s="147"/>
      <c r="AC4248" s="147"/>
      <c r="AD4248" s="147"/>
      <c r="AE4248" s="147"/>
      <c r="AF4248" s="147"/>
      <c r="AG4248" s="147"/>
      <c r="AH4248" s="147"/>
      <c r="AI4248" s="147"/>
      <c r="AJ4248" s="147"/>
      <c r="AK4248" s="147"/>
      <c r="AL4248" s="147"/>
      <c r="AM4248" s="147"/>
      <c r="AN4248" s="147"/>
      <c r="AO4248" s="147"/>
      <c r="AP4248" s="147"/>
      <c r="AQ4248" s="147"/>
      <c r="AR4248" s="147"/>
      <c r="AS4248" s="147"/>
      <c r="AT4248" s="147"/>
      <c r="AU4248" s="147"/>
      <c r="AV4248" s="147"/>
      <c r="AW4248" s="147"/>
      <c r="AX4248" s="147"/>
      <c r="AY4248" s="147"/>
      <c r="AZ4248" s="147"/>
      <c r="BA4248" s="147"/>
    </row>
    <row r="4249" spans="1:53" ht="15.75" customHeight="1">
      <c r="A4249" s="99"/>
      <c r="B4249" s="99"/>
      <c r="C4249" s="147"/>
      <c r="D4249" s="147"/>
      <c r="E4249" s="147"/>
      <c r="F4249" s="147"/>
      <c r="G4249" s="147"/>
      <c r="H4249" s="147"/>
      <c r="I4249" s="147"/>
      <c r="J4249" s="147"/>
      <c r="K4249" s="147"/>
      <c r="L4249" s="147"/>
      <c r="M4249" s="147"/>
      <c r="N4249" s="147"/>
      <c r="O4249" s="147"/>
      <c r="P4249" s="147"/>
      <c r="Q4249" s="147"/>
      <c r="R4249" s="147"/>
      <c r="S4249" s="147"/>
      <c r="T4249" s="147"/>
      <c r="U4249" s="147"/>
      <c r="V4249" s="147"/>
      <c r="W4249" s="147"/>
      <c r="X4249" s="147"/>
      <c r="Y4249" s="147"/>
      <c r="Z4249" s="147"/>
      <c r="AA4249" s="147"/>
      <c r="AB4249" s="147"/>
      <c r="AC4249" s="147"/>
      <c r="AD4249" s="147"/>
      <c r="AE4249" s="147"/>
      <c r="AF4249" s="147"/>
      <c r="AG4249" s="147"/>
      <c r="AH4249" s="147"/>
      <c r="AI4249" s="147"/>
      <c r="AJ4249" s="147"/>
      <c r="AK4249" s="147"/>
      <c r="AL4249" s="147"/>
      <c r="AM4249" s="147"/>
      <c r="AN4249" s="147"/>
      <c r="AO4249" s="147"/>
      <c r="AP4249" s="147"/>
      <c r="AQ4249" s="147"/>
      <c r="AR4249" s="147"/>
      <c r="AS4249" s="147"/>
      <c r="AT4249" s="147"/>
      <c r="AU4249" s="147"/>
      <c r="AV4249" s="147"/>
      <c r="AW4249" s="147"/>
      <c r="AX4249" s="147"/>
      <c r="AY4249" s="147"/>
      <c r="AZ4249" s="147"/>
      <c r="BA4249" s="147"/>
    </row>
    <row r="4250" spans="1:53" ht="15.75" customHeight="1">
      <c r="A4250" s="99"/>
      <c r="B4250" s="99"/>
      <c r="C4250" s="147"/>
      <c r="D4250" s="147"/>
      <c r="E4250" s="147"/>
      <c r="F4250" s="147"/>
      <c r="G4250" s="147"/>
      <c r="H4250" s="147"/>
      <c r="I4250" s="147"/>
      <c r="J4250" s="147"/>
      <c r="K4250" s="147"/>
      <c r="L4250" s="147"/>
      <c r="M4250" s="147"/>
      <c r="N4250" s="147"/>
      <c r="O4250" s="147"/>
      <c r="P4250" s="147"/>
      <c r="Q4250" s="147"/>
      <c r="R4250" s="147"/>
      <c r="S4250" s="147"/>
      <c r="T4250" s="147"/>
      <c r="U4250" s="147"/>
      <c r="V4250" s="147"/>
      <c r="W4250" s="147"/>
      <c r="X4250" s="147"/>
      <c r="Y4250" s="147"/>
      <c r="Z4250" s="147"/>
      <c r="AA4250" s="147"/>
      <c r="AB4250" s="147"/>
      <c r="AC4250" s="147"/>
      <c r="AD4250" s="147"/>
      <c r="AE4250" s="147"/>
      <c r="AF4250" s="147"/>
      <c r="AG4250" s="147"/>
      <c r="AH4250" s="147"/>
      <c r="AI4250" s="147"/>
      <c r="AJ4250" s="147"/>
      <c r="AK4250" s="147"/>
      <c r="AL4250" s="147"/>
      <c r="AM4250" s="147"/>
      <c r="AN4250" s="147"/>
      <c r="AO4250" s="147"/>
      <c r="AP4250" s="147"/>
      <c r="AQ4250" s="147"/>
      <c r="AR4250" s="147"/>
      <c r="AS4250" s="147"/>
      <c r="AT4250" s="147"/>
      <c r="AU4250" s="147"/>
      <c r="AV4250" s="147"/>
      <c r="AW4250" s="147"/>
      <c r="AX4250" s="147"/>
      <c r="AY4250" s="147"/>
      <c r="AZ4250" s="147"/>
      <c r="BA4250" s="147"/>
    </row>
    <row r="4251" spans="1:53" ht="15.75" customHeight="1">
      <c r="A4251" s="99"/>
      <c r="B4251" s="99"/>
      <c r="C4251" s="147"/>
      <c r="D4251" s="147"/>
      <c r="E4251" s="147"/>
      <c r="F4251" s="147"/>
      <c r="G4251" s="147"/>
      <c r="H4251" s="147"/>
      <c r="I4251" s="147"/>
      <c r="J4251" s="147"/>
      <c r="K4251" s="147"/>
      <c r="L4251" s="147"/>
      <c r="M4251" s="147"/>
      <c r="N4251" s="147"/>
      <c r="O4251" s="147"/>
      <c r="P4251" s="147"/>
      <c r="Q4251" s="147"/>
      <c r="R4251" s="147"/>
      <c r="S4251" s="147"/>
      <c r="T4251" s="147"/>
      <c r="U4251" s="147"/>
      <c r="V4251" s="147"/>
      <c r="W4251" s="147"/>
      <c r="X4251" s="147"/>
      <c r="Y4251" s="147"/>
      <c r="Z4251" s="147"/>
      <c r="AA4251" s="147"/>
      <c r="AB4251" s="147"/>
      <c r="AC4251" s="147"/>
      <c r="AD4251" s="147"/>
      <c r="AE4251" s="147"/>
      <c r="AF4251" s="147"/>
      <c r="AG4251" s="147"/>
      <c r="AH4251" s="147"/>
      <c r="AI4251" s="147"/>
      <c r="AJ4251" s="147"/>
      <c r="AK4251" s="147"/>
      <c r="AL4251" s="147"/>
      <c r="AM4251" s="147"/>
      <c r="AN4251" s="147"/>
      <c r="AO4251" s="147"/>
      <c r="AP4251" s="147"/>
      <c r="AQ4251" s="147"/>
      <c r="AR4251" s="147"/>
      <c r="AS4251" s="147"/>
      <c r="AT4251" s="147"/>
      <c r="AU4251" s="147"/>
      <c r="AV4251" s="147"/>
      <c r="AW4251" s="147"/>
      <c r="AX4251" s="147"/>
      <c r="AY4251" s="147"/>
      <c r="AZ4251" s="147"/>
      <c r="BA4251" s="147"/>
    </row>
    <row r="4252" spans="1:53" ht="15.75" customHeight="1">
      <c r="A4252" s="99"/>
      <c r="B4252" s="99"/>
      <c r="C4252" s="147"/>
      <c r="D4252" s="147"/>
      <c r="E4252" s="147"/>
      <c r="F4252" s="147"/>
      <c r="G4252" s="147"/>
      <c r="H4252" s="147"/>
      <c r="I4252" s="147"/>
      <c r="J4252" s="147"/>
      <c r="K4252" s="147"/>
      <c r="L4252" s="147"/>
      <c r="M4252" s="147"/>
      <c r="N4252" s="147"/>
      <c r="O4252" s="147"/>
      <c r="P4252" s="147"/>
      <c r="Q4252" s="147"/>
      <c r="R4252" s="147"/>
      <c r="S4252" s="147"/>
      <c r="T4252" s="147"/>
      <c r="U4252" s="147"/>
      <c r="V4252" s="147"/>
      <c r="W4252" s="147"/>
      <c r="X4252" s="147"/>
      <c r="Y4252" s="147"/>
      <c r="Z4252" s="147"/>
      <c r="AA4252" s="147"/>
      <c r="AB4252" s="147"/>
      <c r="AC4252" s="147"/>
      <c r="AD4252" s="147"/>
      <c r="AE4252" s="147"/>
      <c r="AF4252" s="147"/>
      <c r="AG4252" s="147"/>
      <c r="AH4252" s="147"/>
      <c r="AI4252" s="147"/>
      <c r="AJ4252" s="147"/>
      <c r="AK4252" s="147"/>
      <c r="AL4252" s="147"/>
      <c r="AM4252" s="147"/>
      <c r="AN4252" s="147"/>
      <c r="AO4252" s="147"/>
      <c r="AP4252" s="147"/>
      <c r="AQ4252" s="147"/>
      <c r="AR4252" s="147"/>
      <c r="AS4252" s="147"/>
      <c r="AT4252" s="147"/>
      <c r="AU4252" s="147"/>
      <c r="AV4252" s="147"/>
      <c r="AW4252" s="147"/>
      <c r="AX4252" s="147"/>
      <c r="AY4252" s="147"/>
      <c r="AZ4252" s="147"/>
      <c r="BA4252" s="147"/>
    </row>
    <row r="4253" spans="1:53" ht="15.75" customHeight="1">
      <c r="A4253" s="99"/>
      <c r="B4253" s="99"/>
      <c r="C4253" s="147"/>
      <c r="D4253" s="147"/>
      <c r="E4253" s="147"/>
      <c r="F4253" s="147"/>
      <c r="G4253" s="147"/>
      <c r="H4253" s="147"/>
      <c r="I4253" s="147"/>
      <c r="J4253" s="147"/>
      <c r="K4253" s="147"/>
      <c r="L4253" s="147"/>
      <c r="M4253" s="147"/>
      <c r="N4253" s="147"/>
      <c r="O4253" s="147"/>
      <c r="P4253" s="147"/>
      <c r="Q4253" s="147"/>
      <c r="R4253" s="147"/>
      <c r="S4253" s="147"/>
      <c r="T4253" s="147"/>
      <c r="U4253" s="147"/>
      <c r="V4253" s="147"/>
      <c r="W4253" s="147"/>
      <c r="X4253" s="147"/>
      <c r="Y4253" s="147"/>
      <c r="Z4253" s="147"/>
      <c r="AA4253" s="147"/>
      <c r="AB4253" s="147"/>
      <c r="AC4253" s="147"/>
      <c r="AD4253" s="147"/>
      <c r="AE4253" s="147"/>
      <c r="AF4253" s="147"/>
      <c r="AG4253" s="147"/>
      <c r="AH4253" s="147"/>
      <c r="AI4253" s="147"/>
      <c r="AJ4253" s="147"/>
      <c r="AK4253" s="147"/>
      <c r="AL4253" s="147"/>
      <c r="AM4253" s="147"/>
      <c r="AN4253" s="147"/>
      <c r="AO4253" s="147"/>
      <c r="AP4253" s="147"/>
      <c r="AQ4253" s="147"/>
      <c r="AR4253" s="147"/>
      <c r="AS4253" s="147"/>
      <c r="AT4253" s="147"/>
      <c r="AU4253" s="147"/>
      <c r="AV4253" s="147"/>
      <c r="AW4253" s="147"/>
      <c r="AX4253" s="147"/>
      <c r="AY4253" s="147"/>
      <c r="AZ4253" s="147"/>
      <c r="BA4253" s="147"/>
    </row>
    <row r="4254" spans="1:53" ht="15.75" customHeight="1">
      <c r="A4254" s="99"/>
      <c r="B4254" s="99"/>
      <c r="C4254" s="147"/>
      <c r="D4254" s="147"/>
      <c r="E4254" s="147"/>
      <c r="F4254" s="147"/>
      <c r="G4254" s="147"/>
      <c r="H4254" s="147"/>
      <c r="I4254" s="147"/>
      <c r="J4254" s="147"/>
      <c r="K4254" s="147"/>
      <c r="L4254" s="147"/>
      <c r="M4254" s="147"/>
      <c r="N4254" s="147"/>
      <c r="O4254" s="147"/>
      <c r="P4254" s="147"/>
      <c r="Q4254" s="147"/>
      <c r="R4254" s="147"/>
      <c r="S4254" s="147"/>
      <c r="T4254" s="147"/>
      <c r="U4254" s="147"/>
      <c r="V4254" s="147"/>
      <c r="W4254" s="147"/>
      <c r="X4254" s="147"/>
      <c r="Y4254" s="147"/>
      <c r="Z4254" s="147"/>
      <c r="AA4254" s="147"/>
      <c r="AB4254" s="147"/>
      <c r="AC4254" s="147"/>
      <c r="AD4254" s="147"/>
      <c r="AE4254" s="147"/>
      <c r="AF4254" s="147"/>
      <c r="AG4254" s="147"/>
      <c r="AH4254" s="147"/>
      <c r="AI4254" s="147"/>
      <c r="AJ4254" s="147"/>
      <c r="AK4254" s="147"/>
      <c r="AL4254" s="147"/>
      <c r="AM4254" s="147"/>
      <c r="AN4254" s="147"/>
      <c r="AO4254" s="147"/>
      <c r="AP4254" s="147"/>
      <c r="AQ4254" s="147"/>
      <c r="AR4254" s="147"/>
      <c r="AS4254" s="147"/>
      <c r="AT4254" s="147"/>
      <c r="AU4254" s="147"/>
      <c r="AV4254" s="147"/>
      <c r="AW4254" s="147"/>
      <c r="AX4254" s="147"/>
      <c r="AY4254" s="147"/>
      <c r="AZ4254" s="147"/>
      <c r="BA4254" s="147"/>
    </row>
    <row r="4255" spans="1:53" ht="15.75" customHeight="1">
      <c r="A4255" s="99"/>
      <c r="B4255" s="99"/>
      <c r="C4255" s="147"/>
      <c r="D4255" s="147"/>
      <c r="E4255" s="147"/>
      <c r="F4255" s="147"/>
      <c r="G4255" s="147"/>
      <c r="H4255" s="147"/>
      <c r="I4255" s="147"/>
      <c r="J4255" s="147"/>
      <c r="K4255" s="147"/>
      <c r="L4255" s="147"/>
      <c r="M4255" s="147"/>
      <c r="N4255" s="147"/>
      <c r="O4255" s="147"/>
      <c r="P4255" s="147"/>
      <c r="Q4255" s="147"/>
      <c r="R4255" s="147"/>
      <c r="S4255" s="147"/>
      <c r="T4255" s="147"/>
      <c r="U4255" s="147"/>
      <c r="V4255" s="147"/>
      <c r="W4255" s="147"/>
      <c r="X4255" s="147"/>
      <c r="Y4255" s="147"/>
      <c r="Z4255" s="147"/>
      <c r="AA4255" s="147"/>
      <c r="AB4255" s="147"/>
      <c r="AC4255" s="147"/>
      <c r="AD4255" s="147"/>
      <c r="AE4255" s="147"/>
      <c r="AF4255" s="147"/>
      <c r="AG4255" s="147"/>
      <c r="AH4255" s="147"/>
      <c r="AI4255" s="147"/>
      <c r="AJ4255" s="147"/>
      <c r="AK4255" s="147"/>
      <c r="AL4255" s="147"/>
      <c r="AM4255" s="147"/>
      <c r="AN4255" s="147"/>
      <c r="AO4255" s="147"/>
      <c r="AP4255" s="147"/>
      <c r="AQ4255" s="147"/>
      <c r="AR4255" s="147"/>
      <c r="AS4255" s="147"/>
      <c r="AT4255" s="147"/>
      <c r="AU4255" s="147"/>
      <c r="AV4255" s="147"/>
      <c r="AW4255" s="147"/>
      <c r="AX4255" s="147"/>
      <c r="AY4255" s="147"/>
      <c r="AZ4255" s="147"/>
      <c r="BA4255" s="147"/>
    </row>
    <row r="4256" spans="1:53" ht="15.75" customHeight="1">
      <c r="A4256" s="99"/>
      <c r="B4256" s="99"/>
      <c r="C4256" s="147"/>
      <c r="D4256" s="147"/>
      <c r="E4256" s="147"/>
      <c r="F4256" s="147"/>
      <c r="G4256" s="147"/>
      <c r="H4256" s="147"/>
      <c r="I4256" s="147"/>
      <c r="J4256" s="147"/>
      <c r="K4256" s="147"/>
      <c r="L4256" s="147"/>
      <c r="M4256" s="147"/>
      <c r="N4256" s="147"/>
      <c r="O4256" s="147"/>
      <c r="P4256" s="147"/>
      <c r="Q4256" s="147"/>
      <c r="R4256" s="147"/>
      <c r="S4256" s="147"/>
      <c r="T4256" s="147"/>
      <c r="U4256" s="147"/>
      <c r="V4256" s="147"/>
      <c r="W4256" s="147"/>
      <c r="X4256" s="147"/>
      <c r="Y4256" s="147"/>
      <c r="Z4256" s="147"/>
      <c r="AA4256" s="147"/>
      <c r="AB4256" s="147"/>
      <c r="AC4256" s="147"/>
      <c r="AD4256" s="147"/>
      <c r="AE4256" s="147"/>
      <c r="AF4256" s="147"/>
      <c r="AG4256" s="147"/>
      <c r="AH4256" s="147"/>
      <c r="AI4256" s="147"/>
      <c r="AJ4256" s="147"/>
      <c r="AK4256" s="147"/>
      <c r="AL4256" s="147"/>
      <c r="AM4256" s="147"/>
      <c r="AN4256" s="147"/>
      <c r="AO4256" s="147"/>
      <c r="AP4256" s="147"/>
      <c r="AQ4256" s="147"/>
      <c r="AR4256" s="147"/>
      <c r="AS4256" s="147"/>
      <c r="AT4256" s="147"/>
      <c r="AU4256" s="147"/>
      <c r="AV4256" s="147"/>
      <c r="AW4256" s="147"/>
      <c r="AX4256" s="147"/>
      <c r="AY4256" s="147"/>
      <c r="AZ4256" s="147"/>
      <c r="BA4256" s="147"/>
    </row>
    <row r="4257" spans="1:53" ht="15.75" customHeight="1">
      <c r="A4257" s="99"/>
      <c r="B4257" s="99"/>
      <c r="C4257" s="147"/>
      <c r="D4257" s="147"/>
      <c r="E4257" s="147"/>
      <c r="F4257" s="147"/>
      <c r="G4257" s="147"/>
      <c r="H4257" s="147"/>
      <c r="I4257" s="147"/>
      <c r="J4257" s="147"/>
      <c r="K4257" s="147"/>
      <c r="L4257" s="147"/>
      <c r="M4257" s="147"/>
      <c r="N4257" s="147"/>
      <c r="O4257" s="147"/>
      <c r="P4257" s="147"/>
      <c r="Q4257" s="147"/>
      <c r="R4257" s="147"/>
      <c r="S4257" s="147"/>
      <c r="T4257" s="147"/>
      <c r="U4257" s="147"/>
      <c r="V4257" s="147"/>
      <c r="W4257" s="147"/>
      <c r="X4257" s="147"/>
      <c r="Y4257" s="147"/>
      <c r="Z4257" s="147"/>
      <c r="AA4257" s="147"/>
      <c r="AB4257" s="147"/>
      <c r="AC4257" s="147"/>
      <c r="AD4257" s="147"/>
      <c r="AE4257" s="147"/>
      <c r="AF4257" s="147"/>
      <c r="AG4257" s="147"/>
      <c r="AH4257" s="147"/>
      <c r="AI4257" s="147"/>
      <c r="AJ4257" s="147"/>
      <c r="AK4257" s="147"/>
      <c r="AL4257" s="147"/>
      <c r="AM4257" s="147"/>
      <c r="AN4257" s="147"/>
      <c r="AO4257" s="147"/>
      <c r="AP4257" s="147"/>
      <c r="AQ4257" s="147"/>
      <c r="AR4257" s="147"/>
      <c r="AS4257" s="147"/>
      <c r="AT4257" s="147"/>
      <c r="AU4257" s="147"/>
      <c r="AV4257" s="147"/>
      <c r="AW4257" s="147"/>
      <c r="AX4257" s="147"/>
      <c r="AY4257" s="147"/>
      <c r="AZ4257" s="147"/>
      <c r="BA4257" s="147"/>
    </row>
    <row r="4258" spans="1:53" ht="15.75" customHeight="1">
      <c r="A4258" s="99"/>
      <c r="B4258" s="99"/>
      <c r="C4258" s="147"/>
      <c r="D4258" s="147"/>
      <c r="E4258" s="147"/>
      <c r="F4258" s="147"/>
      <c r="G4258" s="147"/>
      <c r="H4258" s="147"/>
      <c r="I4258" s="147"/>
      <c r="J4258" s="147"/>
      <c r="K4258" s="147"/>
      <c r="L4258" s="147"/>
      <c r="M4258" s="147"/>
      <c r="N4258" s="147"/>
      <c r="O4258" s="147"/>
      <c r="P4258" s="147"/>
      <c r="Q4258" s="147"/>
      <c r="R4258" s="147"/>
      <c r="S4258" s="147"/>
      <c r="T4258" s="147"/>
      <c r="U4258" s="147"/>
      <c r="V4258" s="147"/>
      <c r="W4258" s="147"/>
      <c r="X4258" s="147"/>
      <c r="Y4258" s="147"/>
      <c r="Z4258" s="147"/>
      <c r="AA4258" s="147"/>
      <c r="AB4258" s="147"/>
      <c r="AC4258" s="147"/>
      <c r="AD4258" s="147"/>
      <c r="AE4258" s="147"/>
      <c r="AF4258" s="147"/>
      <c r="AG4258" s="147"/>
      <c r="AH4258" s="147"/>
      <c r="AI4258" s="147"/>
      <c r="AJ4258" s="147"/>
      <c r="AK4258" s="147"/>
      <c r="AL4258" s="147"/>
      <c r="AM4258" s="147"/>
      <c r="AN4258" s="147"/>
      <c r="AO4258" s="147"/>
      <c r="AP4258" s="147"/>
      <c r="AQ4258" s="147"/>
      <c r="AR4258" s="147"/>
      <c r="AS4258" s="147"/>
      <c r="AT4258" s="147"/>
      <c r="AU4258" s="147"/>
      <c r="AV4258" s="147"/>
      <c r="AW4258" s="147"/>
      <c r="AX4258" s="147"/>
      <c r="AY4258" s="147"/>
      <c r="AZ4258" s="147"/>
      <c r="BA4258" s="147"/>
    </row>
    <row r="4259" spans="1:53" ht="15.75" customHeight="1">
      <c r="A4259" s="99"/>
      <c r="B4259" s="99"/>
      <c r="C4259" s="147"/>
      <c r="D4259" s="147"/>
      <c r="E4259" s="147"/>
      <c r="F4259" s="147"/>
      <c r="G4259" s="147"/>
      <c r="H4259" s="147"/>
      <c r="I4259" s="147"/>
      <c r="J4259" s="147"/>
      <c r="K4259" s="147"/>
      <c r="L4259" s="147"/>
      <c r="M4259" s="147"/>
      <c r="N4259" s="147"/>
      <c r="O4259" s="147"/>
      <c r="P4259" s="147"/>
      <c r="Q4259" s="147"/>
      <c r="R4259" s="147"/>
      <c r="S4259" s="147"/>
      <c r="T4259" s="147"/>
      <c r="U4259" s="147"/>
      <c r="V4259" s="147"/>
      <c r="W4259" s="147"/>
      <c r="X4259" s="147"/>
      <c r="Y4259" s="147"/>
      <c r="Z4259" s="147"/>
      <c r="AA4259" s="147"/>
      <c r="AB4259" s="147"/>
      <c r="AC4259" s="147"/>
      <c r="AD4259" s="147"/>
      <c r="AE4259" s="147"/>
      <c r="AF4259" s="147"/>
      <c r="AG4259" s="147"/>
      <c r="AH4259" s="147"/>
      <c r="AI4259" s="147"/>
      <c r="AJ4259" s="147"/>
      <c r="AK4259" s="147"/>
      <c r="AL4259" s="147"/>
      <c r="AM4259" s="147"/>
      <c r="AN4259" s="147"/>
      <c r="AO4259" s="147"/>
      <c r="AP4259" s="147"/>
      <c r="AQ4259" s="147"/>
      <c r="AR4259" s="147"/>
      <c r="AS4259" s="147"/>
      <c r="AT4259" s="147"/>
      <c r="AU4259" s="147"/>
      <c r="AV4259" s="147"/>
      <c r="AW4259" s="147"/>
      <c r="AX4259" s="147"/>
      <c r="AY4259" s="147"/>
      <c r="AZ4259" s="147"/>
      <c r="BA4259" s="147"/>
    </row>
    <row r="4260" spans="1:53" ht="15.75" customHeight="1">
      <c r="A4260" s="99"/>
      <c r="B4260" s="99"/>
      <c r="C4260" s="147"/>
      <c r="D4260" s="147"/>
      <c r="E4260" s="147"/>
      <c r="F4260" s="147"/>
      <c r="G4260" s="147"/>
      <c r="H4260" s="147"/>
      <c r="I4260" s="147"/>
      <c r="J4260" s="147"/>
      <c r="K4260" s="147"/>
      <c r="L4260" s="147"/>
      <c r="M4260" s="147"/>
      <c r="N4260" s="147"/>
      <c r="O4260" s="147"/>
      <c r="P4260" s="147"/>
      <c r="Q4260" s="147"/>
      <c r="R4260" s="147"/>
      <c r="S4260" s="147"/>
      <c r="T4260" s="147"/>
      <c r="U4260" s="147"/>
      <c r="V4260" s="147"/>
      <c r="W4260" s="147"/>
      <c r="X4260" s="147"/>
      <c r="Y4260" s="147"/>
      <c r="Z4260" s="147"/>
      <c r="AA4260" s="147"/>
      <c r="AB4260" s="147"/>
      <c r="AC4260" s="147"/>
      <c r="AD4260" s="147"/>
      <c r="AE4260" s="147"/>
      <c r="AF4260" s="147"/>
      <c r="AG4260" s="147"/>
      <c r="AH4260" s="147"/>
      <c r="AI4260" s="147"/>
      <c r="AJ4260" s="147"/>
      <c r="AK4260" s="147"/>
      <c r="AL4260" s="147"/>
      <c r="AM4260" s="147"/>
      <c r="AN4260" s="147"/>
      <c r="AO4260" s="147"/>
      <c r="AP4260" s="147"/>
      <c r="AQ4260" s="147"/>
      <c r="AR4260" s="147"/>
      <c r="AS4260" s="147"/>
      <c r="AT4260" s="147"/>
      <c r="AU4260" s="147"/>
      <c r="AV4260" s="147"/>
      <c r="AW4260" s="147"/>
      <c r="AX4260" s="147"/>
      <c r="AY4260" s="147"/>
      <c r="AZ4260" s="147"/>
      <c r="BA4260" s="147"/>
    </row>
    <row r="4261" spans="1:53" ht="15.75" customHeight="1">
      <c r="A4261" s="99"/>
      <c r="B4261" s="99"/>
      <c r="C4261" s="147"/>
      <c r="D4261" s="147"/>
      <c r="E4261" s="147"/>
      <c r="F4261" s="147"/>
      <c r="G4261" s="147"/>
      <c r="H4261" s="147"/>
      <c r="I4261" s="147"/>
      <c r="J4261" s="147"/>
      <c r="K4261" s="147"/>
      <c r="L4261" s="147"/>
      <c r="M4261" s="147"/>
      <c r="N4261" s="147"/>
      <c r="O4261" s="147"/>
      <c r="P4261" s="147"/>
      <c r="Q4261" s="147"/>
      <c r="R4261" s="147"/>
      <c r="S4261" s="147"/>
      <c r="T4261" s="147"/>
      <c r="U4261" s="147"/>
      <c r="V4261" s="147"/>
      <c r="W4261" s="147"/>
      <c r="X4261" s="147"/>
      <c r="Y4261" s="147"/>
      <c r="Z4261" s="147"/>
      <c r="AA4261" s="147"/>
      <c r="AB4261" s="147"/>
      <c r="AC4261" s="147"/>
      <c r="AD4261" s="147"/>
      <c r="AE4261" s="147"/>
      <c r="AF4261" s="147"/>
      <c r="AG4261" s="147"/>
      <c r="AH4261" s="147"/>
      <c r="AI4261" s="147"/>
      <c r="AJ4261" s="147"/>
      <c r="AK4261" s="147"/>
      <c r="AL4261" s="147"/>
      <c r="AM4261" s="147"/>
      <c r="AN4261" s="147"/>
      <c r="AO4261" s="147"/>
      <c r="AP4261" s="147"/>
      <c r="AQ4261" s="147"/>
      <c r="AR4261" s="147"/>
      <c r="AS4261" s="147"/>
      <c r="AT4261" s="147"/>
      <c r="AU4261" s="147"/>
      <c r="AV4261" s="147"/>
      <c r="AW4261" s="147"/>
      <c r="AX4261" s="147"/>
      <c r="AY4261" s="147"/>
      <c r="AZ4261" s="147"/>
      <c r="BA4261" s="147"/>
    </row>
    <row r="4262" spans="1:53" ht="15.75" customHeight="1">
      <c r="A4262" s="99"/>
      <c r="B4262" s="99"/>
      <c r="C4262" s="147"/>
      <c r="D4262" s="147"/>
      <c r="E4262" s="147"/>
      <c r="F4262" s="147"/>
      <c r="G4262" s="147"/>
      <c r="H4262" s="147"/>
      <c r="I4262" s="147"/>
      <c r="J4262" s="147"/>
      <c r="K4262" s="147"/>
      <c r="L4262" s="147"/>
      <c r="M4262" s="147"/>
      <c r="N4262" s="147"/>
      <c r="O4262" s="147"/>
      <c r="P4262" s="147"/>
      <c r="Q4262" s="147"/>
      <c r="R4262" s="147"/>
      <c r="S4262" s="147"/>
      <c r="T4262" s="147"/>
      <c r="U4262" s="147"/>
      <c r="V4262" s="147"/>
      <c r="W4262" s="147"/>
      <c r="X4262" s="147"/>
      <c r="Y4262" s="147"/>
      <c r="Z4262" s="147"/>
      <c r="AA4262" s="147"/>
      <c r="AB4262" s="147"/>
      <c r="AC4262" s="147"/>
      <c r="AD4262" s="147"/>
      <c r="AE4262" s="147"/>
      <c r="AF4262" s="147"/>
      <c r="AG4262" s="147"/>
      <c r="AH4262" s="147"/>
      <c r="AI4262" s="147"/>
      <c r="AJ4262" s="147"/>
      <c r="AK4262" s="147"/>
      <c r="AL4262" s="147"/>
      <c r="AM4262" s="147"/>
      <c r="AN4262" s="147"/>
      <c r="AO4262" s="147"/>
      <c r="AP4262" s="147"/>
      <c r="AQ4262" s="147"/>
      <c r="AR4262" s="147"/>
      <c r="AS4262" s="147"/>
      <c r="AT4262" s="147"/>
      <c r="AU4262" s="147"/>
      <c r="AV4262" s="147"/>
      <c r="AW4262" s="147"/>
      <c r="AX4262" s="147"/>
      <c r="AY4262" s="147"/>
      <c r="AZ4262" s="147"/>
      <c r="BA4262" s="147"/>
    </row>
    <row r="4263" spans="1:53" ht="15.75" customHeight="1">
      <c r="A4263" s="99"/>
      <c r="B4263" s="99"/>
      <c r="C4263" s="147"/>
      <c r="D4263" s="147"/>
      <c r="E4263" s="147"/>
      <c r="F4263" s="147"/>
      <c r="G4263" s="147"/>
      <c r="H4263" s="147"/>
      <c r="I4263" s="147"/>
      <c r="J4263" s="147"/>
      <c r="K4263" s="147"/>
      <c r="L4263" s="147"/>
      <c r="M4263" s="147"/>
      <c r="N4263" s="147"/>
      <c r="O4263" s="147"/>
      <c r="P4263" s="147"/>
      <c r="Q4263" s="147"/>
      <c r="R4263" s="147"/>
      <c r="S4263" s="147"/>
      <c r="T4263" s="147"/>
      <c r="U4263" s="147"/>
      <c r="V4263" s="147"/>
      <c r="W4263" s="147"/>
      <c r="X4263" s="147"/>
      <c r="Y4263" s="147"/>
      <c r="Z4263" s="147"/>
      <c r="AA4263" s="147"/>
      <c r="AB4263" s="147"/>
      <c r="AC4263" s="147"/>
      <c r="AD4263" s="147"/>
      <c r="AE4263" s="147"/>
      <c r="AF4263" s="147"/>
      <c r="AG4263" s="147"/>
      <c r="AH4263" s="147"/>
      <c r="AI4263" s="147"/>
      <c r="AJ4263" s="147"/>
      <c r="AK4263" s="147"/>
      <c r="AL4263" s="147"/>
      <c r="AM4263" s="147"/>
      <c r="AN4263" s="147"/>
      <c r="AO4263" s="147"/>
      <c r="AP4263" s="147"/>
      <c r="AQ4263" s="147"/>
      <c r="AR4263" s="147"/>
      <c r="AS4263" s="147"/>
      <c r="AT4263" s="147"/>
      <c r="AU4263" s="147"/>
      <c r="AV4263" s="147"/>
      <c r="AW4263" s="147"/>
      <c r="AX4263" s="147"/>
      <c r="AY4263" s="147"/>
      <c r="AZ4263" s="147"/>
      <c r="BA4263" s="147"/>
    </row>
    <row r="4264" spans="1:53" ht="15.75" customHeight="1">
      <c r="A4264" s="99"/>
      <c r="B4264" s="99"/>
      <c r="C4264" s="147"/>
      <c r="D4264" s="147"/>
      <c r="E4264" s="147"/>
      <c r="F4264" s="147"/>
      <c r="G4264" s="147"/>
      <c r="H4264" s="147"/>
      <c r="I4264" s="147"/>
      <c r="J4264" s="147"/>
      <c r="K4264" s="147"/>
      <c r="L4264" s="147"/>
      <c r="M4264" s="147"/>
      <c r="N4264" s="147"/>
      <c r="O4264" s="147"/>
      <c r="P4264" s="147"/>
      <c r="Q4264" s="147"/>
      <c r="R4264" s="147"/>
      <c r="S4264" s="147"/>
      <c r="T4264" s="147"/>
      <c r="U4264" s="147"/>
      <c r="V4264" s="147"/>
      <c r="W4264" s="147"/>
      <c r="X4264" s="147"/>
      <c r="Y4264" s="147"/>
      <c r="Z4264" s="147"/>
      <c r="AA4264" s="147"/>
      <c r="AB4264" s="147"/>
      <c r="AC4264" s="147"/>
      <c r="AD4264" s="147"/>
      <c r="AE4264" s="147"/>
      <c r="AF4264" s="147"/>
      <c r="AG4264" s="147"/>
      <c r="AH4264" s="147"/>
      <c r="AI4264" s="147"/>
      <c r="AJ4264" s="147"/>
      <c r="AK4264" s="147"/>
      <c r="AL4264" s="147"/>
      <c r="AM4264" s="147"/>
      <c r="AN4264" s="147"/>
      <c r="AO4264" s="147"/>
      <c r="AP4264" s="147"/>
      <c r="AQ4264" s="147"/>
      <c r="AR4264" s="147"/>
      <c r="AS4264" s="147"/>
      <c r="AT4264" s="147"/>
      <c r="AU4264" s="147"/>
      <c r="AV4264" s="147"/>
      <c r="AW4264" s="147"/>
      <c r="AX4264" s="147"/>
      <c r="AY4264" s="147"/>
      <c r="AZ4264" s="147"/>
      <c r="BA4264" s="147"/>
    </row>
    <row r="4265" spans="1:53" ht="15.75" customHeight="1">
      <c r="A4265" s="99"/>
      <c r="B4265" s="99"/>
      <c r="C4265" s="147"/>
      <c r="D4265" s="147"/>
      <c r="E4265" s="147"/>
      <c r="F4265" s="147"/>
      <c r="G4265" s="147"/>
      <c r="H4265" s="147"/>
      <c r="I4265" s="147"/>
      <c r="J4265" s="147"/>
      <c r="K4265" s="147"/>
      <c r="L4265" s="147"/>
      <c r="M4265" s="147"/>
      <c r="N4265" s="147"/>
      <c r="O4265" s="147"/>
      <c r="P4265" s="147"/>
      <c r="Q4265" s="147"/>
      <c r="R4265" s="147"/>
      <c r="S4265" s="147"/>
      <c r="T4265" s="147"/>
      <c r="U4265" s="147"/>
      <c r="V4265" s="147"/>
      <c r="W4265" s="147"/>
      <c r="X4265" s="147"/>
      <c r="Y4265" s="147"/>
      <c r="Z4265" s="147"/>
      <c r="AA4265" s="147"/>
      <c r="AB4265" s="147"/>
      <c r="AC4265" s="147"/>
      <c r="AD4265" s="147"/>
      <c r="AE4265" s="147"/>
      <c r="AF4265" s="147"/>
      <c r="AG4265" s="147"/>
      <c r="AH4265" s="147"/>
      <c r="AI4265" s="147"/>
      <c r="AJ4265" s="147"/>
      <c r="AK4265" s="147"/>
      <c r="AL4265" s="147"/>
      <c r="AM4265" s="147"/>
      <c r="AN4265" s="147"/>
      <c r="AO4265" s="147"/>
      <c r="AP4265" s="147"/>
      <c r="AQ4265" s="147"/>
      <c r="AR4265" s="147"/>
      <c r="AS4265" s="147"/>
      <c r="AT4265" s="147"/>
      <c r="AU4265" s="147"/>
      <c r="AV4265" s="147"/>
      <c r="AW4265" s="147"/>
      <c r="AX4265" s="147"/>
      <c r="AY4265" s="147"/>
      <c r="AZ4265" s="147"/>
      <c r="BA4265" s="147"/>
    </row>
    <row r="4266" spans="1:53" ht="15.75" customHeight="1">
      <c r="A4266" s="99"/>
      <c r="B4266" s="99"/>
      <c r="C4266" s="147"/>
      <c r="D4266" s="147"/>
      <c r="E4266" s="147"/>
      <c r="F4266" s="147"/>
      <c r="G4266" s="147"/>
      <c r="H4266" s="147"/>
      <c r="I4266" s="147"/>
      <c r="J4266" s="147"/>
      <c r="K4266" s="147"/>
      <c r="L4266" s="147"/>
      <c r="M4266" s="147"/>
      <c r="N4266" s="147"/>
      <c r="O4266" s="147"/>
      <c r="P4266" s="147"/>
      <c r="Q4266" s="147"/>
      <c r="R4266" s="147"/>
      <c r="S4266" s="147"/>
      <c r="T4266" s="147"/>
      <c r="U4266" s="147"/>
      <c r="V4266" s="147"/>
      <c r="W4266" s="147"/>
      <c r="X4266" s="147"/>
      <c r="Y4266" s="147"/>
      <c r="Z4266" s="147"/>
      <c r="AA4266" s="147"/>
      <c r="AB4266" s="147"/>
      <c r="AC4266" s="147"/>
      <c r="AD4266" s="147"/>
      <c r="AE4266" s="147"/>
      <c r="AF4266" s="147"/>
      <c r="AG4266" s="147"/>
      <c r="AH4266" s="147"/>
      <c r="AI4266" s="147"/>
      <c r="AJ4266" s="147"/>
      <c r="AK4266" s="147"/>
      <c r="AL4266" s="147"/>
      <c r="AM4266" s="147"/>
      <c r="AN4266" s="147"/>
      <c r="AO4266" s="147"/>
      <c r="AP4266" s="147"/>
      <c r="AQ4266" s="147"/>
      <c r="AR4266" s="147"/>
      <c r="AS4266" s="147"/>
      <c r="AT4266" s="147"/>
      <c r="AU4266" s="147"/>
      <c r="AV4266" s="147"/>
      <c r="AW4266" s="147"/>
      <c r="AX4266" s="147"/>
      <c r="AY4266" s="147"/>
      <c r="AZ4266" s="147"/>
      <c r="BA4266" s="147"/>
    </row>
    <row r="4267" spans="1:53" ht="15.75" customHeight="1">
      <c r="A4267" s="99"/>
      <c r="B4267" s="99"/>
      <c r="C4267" s="147"/>
      <c r="D4267" s="147"/>
      <c r="E4267" s="147"/>
      <c r="F4267" s="147"/>
      <c r="G4267" s="147"/>
      <c r="H4267" s="147"/>
      <c r="I4267" s="147"/>
      <c r="J4267" s="147"/>
      <c r="K4267" s="147"/>
      <c r="L4267" s="147"/>
      <c r="M4267" s="147"/>
      <c r="N4267" s="147"/>
      <c r="O4267" s="147"/>
      <c r="P4267" s="147"/>
      <c r="Q4267" s="147"/>
      <c r="R4267" s="147"/>
      <c r="S4267" s="147"/>
      <c r="T4267" s="147"/>
      <c r="U4267" s="147"/>
      <c r="V4267" s="147"/>
      <c r="W4267" s="147"/>
      <c r="X4267" s="147"/>
      <c r="Y4267" s="147"/>
      <c r="Z4267" s="147"/>
      <c r="AA4267" s="147"/>
      <c r="AB4267" s="147"/>
      <c r="AC4267" s="147"/>
      <c r="AD4267" s="147"/>
      <c r="AE4267" s="147"/>
      <c r="AF4267" s="147"/>
      <c r="AG4267" s="147"/>
      <c r="AH4267" s="147"/>
      <c r="AI4267" s="147"/>
      <c r="AJ4267" s="147"/>
      <c r="AK4267" s="147"/>
      <c r="AL4267" s="147"/>
      <c r="AM4267" s="147"/>
      <c r="AN4267" s="147"/>
      <c r="AO4267" s="147"/>
      <c r="AP4267" s="147"/>
      <c r="AQ4267" s="147"/>
      <c r="AR4267" s="147"/>
      <c r="AS4267" s="147"/>
      <c r="AT4267" s="147"/>
      <c r="AU4267" s="147"/>
      <c r="AV4267" s="147"/>
      <c r="AW4267" s="147"/>
      <c r="AX4267" s="147"/>
      <c r="AY4267" s="147"/>
      <c r="AZ4267" s="147"/>
      <c r="BA4267" s="147"/>
    </row>
    <row r="4268" spans="1:53" ht="15.75" customHeight="1">
      <c r="A4268" s="99"/>
      <c r="B4268" s="99"/>
      <c r="C4268" s="147"/>
      <c r="D4268" s="147"/>
      <c r="E4268" s="147"/>
      <c r="F4268" s="147"/>
      <c r="G4268" s="147"/>
      <c r="H4268" s="147"/>
      <c r="I4268" s="147"/>
      <c r="J4268" s="147"/>
      <c r="K4268" s="147"/>
      <c r="L4268" s="147"/>
      <c r="M4268" s="147"/>
      <c r="N4268" s="147"/>
      <c r="O4268" s="147"/>
      <c r="P4268" s="147"/>
      <c r="Q4268" s="147"/>
      <c r="R4268" s="147"/>
      <c r="S4268" s="147"/>
      <c r="T4268" s="147"/>
      <c r="U4268" s="147"/>
      <c r="V4268" s="147"/>
      <c r="W4268" s="147"/>
      <c r="X4268" s="147"/>
      <c r="Y4268" s="147"/>
      <c r="Z4268" s="147"/>
      <c r="AA4268" s="147"/>
      <c r="AB4268" s="147"/>
      <c r="AC4268" s="147"/>
      <c r="AD4268" s="147"/>
      <c r="AE4268" s="147"/>
      <c r="AF4268" s="147"/>
      <c r="AG4268" s="147"/>
      <c r="AH4268" s="147"/>
      <c r="AI4268" s="147"/>
      <c r="AJ4268" s="147"/>
      <c r="AK4268" s="147"/>
      <c r="AL4268" s="147"/>
      <c r="AM4268" s="147"/>
      <c r="AN4268" s="147"/>
      <c r="AO4268" s="147"/>
      <c r="AP4268" s="147"/>
      <c r="AQ4268" s="147"/>
      <c r="AR4268" s="147"/>
      <c r="AS4268" s="147"/>
      <c r="AT4268" s="147"/>
      <c r="AU4268" s="147"/>
      <c r="AV4268" s="147"/>
      <c r="AW4268" s="147"/>
      <c r="AX4268" s="147"/>
      <c r="AY4268" s="147"/>
      <c r="AZ4268" s="147"/>
      <c r="BA4268" s="147"/>
    </row>
    <row r="4269" spans="1:53" ht="15.75" customHeight="1">
      <c r="A4269" s="99"/>
      <c r="B4269" s="99"/>
      <c r="C4269" s="147"/>
      <c r="D4269" s="147"/>
      <c r="E4269" s="147"/>
      <c r="F4269" s="147"/>
      <c r="G4269" s="147"/>
      <c r="H4269" s="147"/>
      <c r="I4269" s="147"/>
      <c r="J4269" s="147"/>
      <c r="K4269" s="147"/>
      <c r="L4269" s="147"/>
      <c r="M4269" s="147"/>
      <c r="N4269" s="147"/>
      <c r="O4269" s="147"/>
      <c r="P4269" s="147"/>
      <c r="Q4269" s="147"/>
      <c r="R4269" s="147"/>
      <c r="S4269" s="147"/>
      <c r="T4269" s="147"/>
      <c r="U4269" s="147"/>
      <c r="V4269" s="147"/>
      <c r="W4269" s="147"/>
      <c r="X4269" s="147"/>
      <c r="Y4269" s="147"/>
      <c r="Z4269" s="147"/>
      <c r="AA4269" s="147"/>
      <c r="AB4269" s="147"/>
      <c r="AC4269" s="147"/>
      <c r="AD4269" s="147"/>
      <c r="AE4269" s="147"/>
      <c r="AF4269" s="147"/>
      <c r="AG4269" s="147"/>
      <c r="AH4269" s="147"/>
      <c r="AI4269" s="147"/>
      <c r="AJ4269" s="147"/>
      <c r="AK4269" s="147"/>
      <c r="AL4269" s="147"/>
      <c r="AM4269" s="147"/>
      <c r="AN4269" s="147"/>
      <c r="AO4269" s="147"/>
      <c r="AP4269" s="147"/>
      <c r="AQ4269" s="147"/>
      <c r="AR4269" s="147"/>
      <c r="AS4269" s="147"/>
      <c r="AT4269" s="147"/>
      <c r="AU4269" s="147"/>
      <c r="AV4269" s="147"/>
      <c r="AW4269" s="147"/>
      <c r="AX4269" s="147"/>
      <c r="AY4269" s="147"/>
      <c r="AZ4269" s="147"/>
      <c r="BA4269" s="147"/>
    </row>
    <row r="4270" spans="1:53" ht="15.75" customHeight="1">
      <c r="A4270" s="99"/>
      <c r="B4270" s="99"/>
      <c r="C4270" s="147"/>
      <c r="D4270" s="147"/>
      <c r="E4270" s="147"/>
      <c r="F4270" s="147"/>
      <c r="G4270" s="147"/>
      <c r="H4270" s="147"/>
      <c r="I4270" s="147"/>
      <c r="J4270" s="147"/>
      <c r="K4270" s="147"/>
      <c r="L4270" s="147"/>
      <c r="M4270" s="147"/>
      <c r="N4270" s="147"/>
      <c r="O4270" s="147"/>
      <c r="P4270" s="147"/>
      <c r="Q4270" s="147"/>
      <c r="R4270" s="147"/>
      <c r="S4270" s="147"/>
      <c r="T4270" s="147"/>
      <c r="U4270" s="147"/>
      <c r="V4270" s="147"/>
      <c r="W4270" s="147"/>
      <c r="X4270" s="147"/>
      <c r="Y4270" s="147"/>
      <c r="Z4270" s="147"/>
      <c r="AA4270" s="147"/>
      <c r="AB4270" s="147"/>
      <c r="AC4270" s="147"/>
      <c r="AD4270" s="147"/>
      <c r="AE4270" s="147"/>
      <c r="AF4270" s="147"/>
      <c r="AG4270" s="147"/>
      <c r="AH4270" s="147"/>
      <c r="AI4270" s="147"/>
      <c r="AJ4270" s="147"/>
      <c r="AK4270" s="147"/>
      <c r="AL4270" s="147"/>
      <c r="AM4270" s="147"/>
      <c r="AN4270" s="147"/>
      <c r="AO4270" s="147"/>
      <c r="AP4270" s="147"/>
      <c r="AQ4270" s="147"/>
      <c r="AR4270" s="147"/>
      <c r="AS4270" s="147"/>
      <c r="AT4270" s="147"/>
      <c r="AU4270" s="147"/>
      <c r="AV4270" s="147"/>
      <c r="AW4270" s="147"/>
      <c r="AX4270" s="147"/>
      <c r="AY4270" s="147"/>
      <c r="AZ4270" s="147"/>
      <c r="BA4270" s="147"/>
    </row>
    <row r="4271" spans="1:53" ht="15.75" customHeight="1">
      <c r="A4271" s="99"/>
      <c r="B4271" s="99"/>
      <c r="C4271" s="147"/>
      <c r="D4271" s="147"/>
      <c r="E4271" s="147"/>
      <c r="F4271" s="147"/>
      <c r="G4271" s="147"/>
      <c r="H4271" s="147"/>
      <c r="I4271" s="147"/>
      <c r="J4271" s="147"/>
      <c r="K4271" s="147"/>
      <c r="L4271" s="147"/>
      <c r="M4271" s="147"/>
      <c r="N4271" s="147"/>
      <c r="O4271" s="147"/>
      <c r="P4271" s="147"/>
      <c r="Q4271" s="147"/>
      <c r="R4271" s="147"/>
      <c r="S4271" s="147"/>
      <c r="T4271" s="147"/>
      <c r="U4271" s="147"/>
      <c r="V4271" s="147"/>
      <c r="W4271" s="147"/>
      <c r="X4271" s="147"/>
      <c r="Y4271" s="147"/>
      <c r="Z4271" s="147"/>
      <c r="AA4271" s="147"/>
      <c r="AB4271" s="147"/>
      <c r="AC4271" s="147"/>
      <c r="AD4271" s="147"/>
      <c r="AE4271" s="147"/>
      <c r="AF4271" s="147"/>
      <c r="AG4271" s="147"/>
      <c r="AH4271" s="147"/>
      <c r="AI4271" s="147"/>
      <c r="AJ4271" s="147"/>
      <c r="AK4271" s="147"/>
      <c r="AL4271" s="147"/>
      <c r="AM4271" s="147"/>
      <c r="AN4271" s="147"/>
      <c r="AO4271" s="147"/>
      <c r="AP4271" s="147"/>
      <c r="AQ4271" s="147"/>
      <c r="AR4271" s="147"/>
      <c r="AS4271" s="147"/>
      <c r="AT4271" s="147"/>
      <c r="AU4271" s="147"/>
      <c r="AV4271" s="147"/>
      <c r="AW4271" s="147"/>
      <c r="AX4271" s="147"/>
      <c r="AY4271" s="147"/>
      <c r="AZ4271" s="147"/>
      <c r="BA4271" s="147"/>
    </row>
    <row r="4272" spans="1:53" ht="15.75" customHeight="1">
      <c r="A4272" s="99"/>
      <c r="B4272" s="99"/>
      <c r="C4272" s="147"/>
      <c r="D4272" s="147"/>
      <c r="E4272" s="147"/>
      <c r="F4272" s="147"/>
      <c r="G4272" s="147"/>
      <c r="H4272" s="147"/>
      <c r="I4272" s="147"/>
      <c r="J4272" s="147"/>
      <c r="K4272" s="147"/>
      <c r="L4272" s="147"/>
      <c r="M4272" s="147"/>
      <c r="N4272" s="147"/>
      <c r="O4272" s="147"/>
      <c r="P4272" s="147"/>
      <c r="Q4272" s="147"/>
      <c r="R4272" s="147"/>
      <c r="S4272" s="147"/>
      <c r="T4272" s="147"/>
      <c r="U4272" s="147"/>
      <c r="V4272" s="147"/>
      <c r="W4272" s="147"/>
      <c r="X4272" s="147"/>
      <c r="Y4272" s="147"/>
      <c r="Z4272" s="147"/>
      <c r="AA4272" s="147"/>
      <c r="AB4272" s="147"/>
      <c r="AC4272" s="147"/>
      <c r="AD4272" s="147"/>
      <c r="AE4272" s="147"/>
      <c r="AF4272" s="147"/>
      <c r="AG4272" s="147"/>
      <c r="AH4272" s="147"/>
      <c r="AI4272" s="147"/>
      <c r="AJ4272" s="147"/>
      <c r="AK4272" s="147"/>
      <c r="AL4272" s="147"/>
      <c r="AM4272" s="147"/>
      <c r="AN4272" s="147"/>
      <c r="AO4272" s="147"/>
      <c r="AP4272" s="147"/>
      <c r="AQ4272" s="147"/>
      <c r="AR4272" s="147"/>
      <c r="AS4272" s="147"/>
      <c r="AT4272" s="147"/>
      <c r="AU4272" s="147"/>
      <c r="AV4272" s="147"/>
      <c r="AW4272" s="147"/>
      <c r="AX4272" s="147"/>
      <c r="AY4272" s="147"/>
      <c r="AZ4272" s="147"/>
      <c r="BA4272" s="147"/>
    </row>
    <row r="4273" spans="1:53" ht="15.75" customHeight="1">
      <c r="A4273" s="99"/>
      <c r="B4273" s="99"/>
      <c r="C4273" s="147"/>
      <c r="D4273" s="147"/>
      <c r="E4273" s="147"/>
      <c r="F4273" s="147"/>
      <c r="G4273" s="147"/>
      <c r="H4273" s="147"/>
      <c r="I4273" s="147"/>
      <c r="J4273" s="147"/>
      <c r="K4273" s="147"/>
      <c r="L4273" s="147"/>
      <c r="M4273" s="147"/>
      <c r="N4273" s="147"/>
      <c r="O4273" s="147"/>
      <c r="P4273" s="147"/>
      <c r="Q4273" s="147"/>
      <c r="R4273" s="147"/>
      <c r="S4273" s="147"/>
      <c r="T4273" s="147"/>
      <c r="U4273" s="147"/>
      <c r="V4273" s="147"/>
      <c r="W4273" s="147"/>
      <c r="X4273" s="147"/>
      <c r="Y4273" s="147"/>
      <c r="Z4273" s="147"/>
      <c r="AA4273" s="147"/>
      <c r="AB4273" s="147"/>
      <c r="AC4273" s="147"/>
      <c r="AD4273" s="147"/>
      <c r="AE4273" s="147"/>
      <c r="AF4273" s="147"/>
      <c r="AG4273" s="147"/>
      <c r="AH4273" s="147"/>
      <c r="AI4273" s="147"/>
      <c r="AJ4273" s="147"/>
      <c r="AK4273" s="147"/>
      <c r="AL4273" s="147"/>
      <c r="AM4273" s="147"/>
      <c r="AN4273" s="147"/>
      <c r="AO4273" s="147"/>
      <c r="AP4273" s="147"/>
      <c r="AQ4273" s="147"/>
      <c r="AR4273" s="147"/>
      <c r="AS4273" s="147"/>
      <c r="AT4273" s="147"/>
      <c r="AU4273" s="147"/>
      <c r="AV4273" s="147"/>
      <c r="AW4273" s="147"/>
      <c r="AX4273" s="147"/>
      <c r="AY4273" s="147"/>
      <c r="AZ4273" s="147"/>
      <c r="BA4273" s="147"/>
    </row>
    <row r="4274" spans="1:53" ht="15.75" customHeight="1">
      <c r="A4274" s="99"/>
      <c r="B4274" s="99"/>
      <c r="C4274" s="147"/>
      <c r="D4274" s="147"/>
      <c r="E4274" s="147"/>
      <c r="F4274" s="147"/>
      <c r="G4274" s="147"/>
      <c r="H4274" s="147"/>
      <c r="I4274" s="147"/>
      <c r="J4274" s="147"/>
      <c r="K4274" s="147"/>
      <c r="L4274" s="147"/>
      <c r="M4274" s="147"/>
      <c r="N4274" s="147"/>
      <c r="O4274" s="147"/>
      <c r="P4274" s="147"/>
      <c r="Q4274" s="147"/>
      <c r="R4274" s="147"/>
      <c r="S4274" s="147"/>
      <c r="T4274" s="147"/>
      <c r="U4274" s="147"/>
      <c r="V4274" s="147"/>
      <c r="W4274" s="147"/>
      <c r="X4274" s="147"/>
      <c r="Y4274" s="147"/>
      <c r="Z4274" s="147"/>
      <c r="AA4274" s="147"/>
      <c r="AB4274" s="147"/>
      <c r="AC4274" s="147"/>
      <c r="AD4274" s="147"/>
      <c r="AE4274" s="147"/>
      <c r="AF4274" s="147"/>
      <c r="AG4274" s="147"/>
      <c r="AH4274" s="147"/>
      <c r="AI4274" s="147"/>
      <c r="AJ4274" s="147"/>
      <c r="AK4274" s="147"/>
      <c r="AL4274" s="147"/>
      <c r="AM4274" s="147"/>
      <c r="AN4274" s="147"/>
      <c r="AO4274" s="147"/>
      <c r="AP4274" s="147"/>
      <c r="AQ4274" s="147"/>
      <c r="AR4274" s="147"/>
      <c r="AS4274" s="147"/>
      <c r="AT4274" s="147"/>
      <c r="AU4274" s="147"/>
      <c r="AV4274" s="147"/>
      <c r="AW4274" s="147"/>
      <c r="AX4274" s="147"/>
      <c r="AY4274" s="147"/>
      <c r="AZ4274" s="147"/>
      <c r="BA4274" s="147"/>
    </row>
    <row r="4275" spans="1:53" ht="15.75" customHeight="1">
      <c r="A4275" s="99"/>
      <c r="B4275" s="99"/>
      <c r="C4275" s="147"/>
      <c r="D4275" s="147"/>
      <c r="E4275" s="147"/>
      <c r="F4275" s="147"/>
      <c r="G4275" s="147"/>
      <c r="H4275" s="147"/>
      <c r="I4275" s="147"/>
      <c r="J4275" s="147"/>
      <c r="K4275" s="147"/>
      <c r="L4275" s="147"/>
      <c r="M4275" s="147"/>
      <c r="N4275" s="147"/>
      <c r="O4275" s="147"/>
      <c r="P4275" s="147"/>
      <c r="Q4275" s="147"/>
      <c r="R4275" s="147"/>
      <c r="S4275" s="147"/>
      <c r="T4275" s="147"/>
      <c r="U4275" s="147"/>
      <c r="V4275" s="147"/>
      <c r="W4275" s="147"/>
      <c r="X4275" s="147"/>
      <c r="Y4275" s="147"/>
      <c r="Z4275" s="147"/>
      <c r="AA4275" s="147"/>
      <c r="AB4275" s="147"/>
      <c r="AC4275" s="147"/>
      <c r="AD4275" s="147"/>
      <c r="AE4275" s="147"/>
      <c r="AF4275" s="147"/>
      <c r="AG4275" s="147"/>
      <c r="AH4275" s="147"/>
      <c r="AI4275" s="147"/>
      <c r="AJ4275" s="147"/>
      <c r="AK4275" s="147"/>
      <c r="AL4275" s="147"/>
      <c r="AM4275" s="147"/>
      <c r="AN4275" s="147"/>
      <c r="AO4275" s="147"/>
      <c r="AP4275" s="147"/>
      <c r="AQ4275" s="147"/>
      <c r="AR4275" s="147"/>
      <c r="AS4275" s="147"/>
      <c r="AT4275" s="147"/>
      <c r="AU4275" s="147"/>
      <c r="AV4275" s="147"/>
      <c r="AW4275" s="147"/>
      <c r="AX4275" s="147"/>
      <c r="AY4275" s="147"/>
      <c r="AZ4275" s="147"/>
      <c r="BA4275" s="147"/>
    </row>
    <row r="4276" spans="1:53" ht="15.75" customHeight="1">
      <c r="A4276" s="99"/>
      <c r="B4276" s="99"/>
      <c r="C4276" s="147"/>
      <c r="D4276" s="147"/>
      <c r="E4276" s="147"/>
      <c r="F4276" s="147"/>
      <c r="G4276" s="147"/>
      <c r="H4276" s="147"/>
      <c r="I4276" s="147"/>
      <c r="J4276" s="147"/>
      <c r="K4276" s="147"/>
      <c r="L4276" s="147"/>
      <c r="M4276" s="147"/>
      <c r="N4276" s="147"/>
      <c r="O4276" s="147"/>
      <c r="P4276" s="147"/>
      <c r="Q4276" s="147"/>
      <c r="R4276" s="147"/>
      <c r="S4276" s="147"/>
      <c r="T4276" s="147"/>
      <c r="U4276" s="147"/>
      <c r="V4276" s="147"/>
      <c r="W4276" s="147"/>
      <c r="X4276" s="147"/>
      <c r="Y4276" s="147"/>
      <c r="Z4276" s="147"/>
      <c r="AA4276" s="147"/>
      <c r="AB4276" s="147"/>
      <c r="AC4276" s="147"/>
      <c r="AD4276" s="147"/>
      <c r="AE4276" s="147"/>
      <c r="AF4276" s="147"/>
      <c r="AG4276" s="147"/>
      <c r="AH4276" s="147"/>
      <c r="AI4276" s="147"/>
      <c r="AJ4276" s="147"/>
      <c r="AK4276" s="147"/>
      <c r="AL4276" s="147"/>
      <c r="AM4276" s="147"/>
      <c r="AN4276" s="147"/>
      <c r="AO4276" s="147"/>
      <c r="AP4276" s="147"/>
      <c r="AQ4276" s="147"/>
      <c r="AR4276" s="147"/>
      <c r="AS4276" s="147"/>
      <c r="AT4276" s="147"/>
      <c r="AU4276" s="147"/>
      <c r="AV4276" s="147"/>
      <c r="AW4276" s="147"/>
      <c r="AX4276" s="147"/>
      <c r="AY4276" s="147"/>
      <c r="AZ4276" s="147"/>
      <c r="BA4276" s="147"/>
    </row>
    <row r="4277" spans="1:53" ht="15.75" customHeight="1">
      <c r="A4277" s="99"/>
      <c r="B4277" s="99"/>
      <c r="C4277" s="147"/>
      <c r="D4277" s="147"/>
      <c r="E4277" s="147"/>
      <c r="F4277" s="147"/>
      <c r="G4277" s="147"/>
      <c r="H4277" s="147"/>
      <c r="I4277" s="147"/>
      <c r="J4277" s="147"/>
      <c r="K4277" s="147"/>
      <c r="L4277" s="147"/>
      <c r="M4277" s="147"/>
      <c r="N4277" s="147"/>
      <c r="O4277" s="147"/>
      <c r="P4277" s="147"/>
      <c r="Q4277" s="147"/>
      <c r="R4277" s="147"/>
      <c r="S4277" s="147"/>
      <c r="T4277" s="147"/>
      <c r="U4277" s="147"/>
      <c r="V4277" s="147"/>
      <c r="W4277" s="147"/>
      <c r="X4277" s="147"/>
      <c r="Y4277" s="147"/>
      <c r="Z4277" s="147"/>
      <c r="AA4277" s="147"/>
      <c r="AB4277" s="147"/>
      <c r="AC4277" s="147"/>
      <c r="AD4277" s="147"/>
      <c r="AE4277" s="147"/>
      <c r="AF4277" s="147"/>
      <c r="AG4277" s="147"/>
      <c r="AH4277" s="147"/>
      <c r="AI4277" s="147"/>
      <c r="AJ4277" s="147"/>
      <c r="AK4277" s="147"/>
      <c r="AL4277" s="147"/>
      <c r="AM4277" s="147"/>
      <c r="AN4277" s="147"/>
      <c r="AO4277" s="147"/>
      <c r="AP4277" s="147"/>
      <c r="AQ4277" s="147"/>
      <c r="AR4277" s="147"/>
      <c r="AS4277" s="147"/>
      <c r="AT4277" s="147"/>
      <c r="AU4277" s="147"/>
      <c r="AV4277" s="147"/>
      <c r="AW4277" s="147"/>
      <c r="AX4277" s="147"/>
      <c r="AY4277" s="147"/>
      <c r="AZ4277" s="147"/>
      <c r="BA4277" s="147"/>
    </row>
    <row r="4278" spans="1:53" ht="15.75" customHeight="1">
      <c r="A4278" s="99"/>
      <c r="B4278" s="99"/>
      <c r="C4278" s="147"/>
      <c r="D4278" s="147"/>
      <c r="E4278" s="147"/>
      <c r="F4278" s="147"/>
      <c r="G4278" s="147"/>
      <c r="H4278" s="147"/>
      <c r="I4278" s="147"/>
      <c r="J4278" s="147"/>
      <c r="K4278" s="147"/>
      <c r="L4278" s="147"/>
      <c r="M4278" s="147"/>
      <c r="N4278" s="147"/>
      <c r="O4278" s="147"/>
      <c r="P4278" s="147"/>
      <c r="Q4278" s="147"/>
      <c r="R4278" s="147"/>
      <c r="S4278" s="147"/>
      <c r="T4278" s="147"/>
      <c r="U4278" s="147"/>
      <c r="V4278" s="147"/>
      <c r="W4278" s="147"/>
      <c r="X4278" s="147"/>
      <c r="Y4278" s="147"/>
      <c r="Z4278" s="147"/>
      <c r="AA4278" s="147"/>
      <c r="AB4278" s="147"/>
      <c r="AC4278" s="147"/>
      <c r="AD4278" s="147"/>
      <c r="AE4278" s="147"/>
      <c r="AF4278" s="147"/>
      <c r="AG4278" s="147"/>
      <c r="AH4278" s="147"/>
      <c r="AI4278" s="147"/>
      <c r="AJ4278" s="147"/>
      <c r="AK4278" s="147"/>
      <c r="AL4278" s="147"/>
      <c r="AM4278" s="147"/>
      <c r="AN4278" s="147"/>
      <c r="AO4278" s="147"/>
      <c r="AP4278" s="147"/>
      <c r="AQ4278" s="147"/>
      <c r="AR4278" s="147"/>
      <c r="AS4278" s="147"/>
      <c r="AT4278" s="147"/>
      <c r="AU4278" s="147"/>
      <c r="AV4278" s="147"/>
      <c r="AW4278" s="147"/>
      <c r="AX4278" s="147"/>
      <c r="AY4278" s="147"/>
      <c r="AZ4278" s="147"/>
      <c r="BA4278" s="147"/>
    </row>
    <row r="4279" spans="1:53" ht="15.75" customHeight="1">
      <c r="A4279" s="99"/>
      <c r="B4279" s="99"/>
      <c r="C4279" s="147"/>
      <c r="D4279" s="147"/>
      <c r="E4279" s="147"/>
      <c r="F4279" s="147"/>
      <c r="G4279" s="147"/>
      <c r="H4279" s="147"/>
      <c r="I4279" s="147"/>
      <c r="J4279" s="147"/>
      <c r="K4279" s="147"/>
      <c r="L4279" s="147"/>
      <c r="M4279" s="147"/>
      <c r="N4279" s="147"/>
      <c r="O4279" s="147"/>
      <c r="P4279" s="147"/>
      <c r="Q4279" s="147"/>
      <c r="R4279" s="147"/>
      <c r="S4279" s="147"/>
      <c r="T4279" s="147"/>
      <c r="U4279" s="147"/>
      <c r="V4279" s="147"/>
      <c r="W4279" s="147"/>
      <c r="X4279" s="147"/>
      <c r="Y4279" s="147"/>
      <c r="Z4279" s="147"/>
      <c r="AA4279" s="147"/>
      <c r="AB4279" s="147"/>
      <c r="AC4279" s="147"/>
      <c r="AD4279" s="147"/>
      <c r="AE4279" s="147"/>
      <c r="AF4279" s="147"/>
      <c r="AG4279" s="147"/>
      <c r="AH4279" s="147"/>
      <c r="AI4279" s="147"/>
      <c r="AJ4279" s="147"/>
      <c r="AK4279" s="147"/>
      <c r="AL4279" s="147"/>
      <c r="AM4279" s="147"/>
      <c r="AN4279" s="147"/>
      <c r="AO4279" s="147"/>
      <c r="AP4279" s="147"/>
      <c r="AQ4279" s="147"/>
      <c r="AR4279" s="147"/>
      <c r="AS4279" s="147"/>
      <c r="AT4279" s="147"/>
      <c r="AU4279" s="147"/>
      <c r="AV4279" s="147"/>
      <c r="AW4279" s="147"/>
      <c r="AX4279" s="147"/>
      <c r="AY4279" s="147"/>
      <c r="AZ4279" s="147"/>
      <c r="BA4279" s="147"/>
    </row>
    <row r="4280" spans="1:53" ht="15.75" customHeight="1">
      <c r="A4280" s="99"/>
      <c r="B4280" s="99"/>
      <c r="C4280" s="147"/>
      <c r="D4280" s="147"/>
      <c r="E4280" s="147"/>
      <c r="F4280" s="147"/>
      <c r="G4280" s="147"/>
      <c r="H4280" s="147"/>
      <c r="I4280" s="147"/>
      <c r="J4280" s="147"/>
      <c r="K4280" s="147"/>
      <c r="L4280" s="147"/>
      <c r="M4280" s="147"/>
      <c r="N4280" s="147"/>
      <c r="O4280" s="147"/>
      <c r="P4280" s="147"/>
      <c r="Q4280" s="147"/>
      <c r="R4280" s="147"/>
      <c r="S4280" s="147"/>
      <c r="T4280" s="147"/>
      <c r="U4280" s="147"/>
      <c r="V4280" s="147"/>
      <c r="W4280" s="147"/>
      <c r="X4280" s="147"/>
      <c r="Y4280" s="147"/>
      <c r="Z4280" s="147"/>
      <c r="AA4280" s="147"/>
      <c r="AB4280" s="147"/>
      <c r="AC4280" s="147"/>
      <c r="AD4280" s="147"/>
      <c r="AE4280" s="147"/>
      <c r="AF4280" s="147"/>
      <c r="AG4280" s="147"/>
      <c r="AH4280" s="147"/>
      <c r="AI4280" s="147"/>
      <c r="AJ4280" s="147"/>
      <c r="AK4280" s="147"/>
      <c r="AL4280" s="147"/>
      <c r="AM4280" s="147"/>
      <c r="AN4280" s="147"/>
      <c r="AO4280" s="147"/>
      <c r="AP4280" s="147"/>
      <c r="AQ4280" s="147"/>
      <c r="AR4280" s="147"/>
      <c r="AS4280" s="147"/>
      <c r="AT4280" s="147"/>
      <c r="AU4280" s="147"/>
      <c r="AV4280" s="147"/>
      <c r="AW4280" s="147"/>
      <c r="AX4280" s="147"/>
      <c r="AY4280" s="147"/>
      <c r="AZ4280" s="147"/>
      <c r="BA4280" s="147"/>
    </row>
    <row r="4281" spans="1:53" ht="15.75" customHeight="1">
      <c r="A4281" s="99"/>
      <c r="B4281" s="99"/>
      <c r="C4281" s="147"/>
      <c r="D4281" s="147"/>
      <c r="E4281" s="147"/>
      <c r="F4281" s="147"/>
      <c r="G4281" s="147"/>
      <c r="H4281" s="147"/>
      <c r="I4281" s="147"/>
      <c r="J4281" s="147"/>
      <c r="K4281" s="147"/>
      <c r="L4281" s="147"/>
      <c r="M4281" s="147"/>
      <c r="N4281" s="147"/>
      <c r="O4281" s="147"/>
      <c r="P4281" s="147"/>
      <c r="Q4281" s="147"/>
      <c r="R4281" s="147"/>
      <c r="S4281" s="147"/>
      <c r="T4281" s="147"/>
      <c r="U4281" s="147"/>
      <c r="V4281" s="147"/>
      <c r="W4281" s="147"/>
      <c r="X4281" s="147"/>
      <c r="Y4281" s="147"/>
      <c r="Z4281" s="147"/>
      <c r="AA4281" s="147"/>
      <c r="AB4281" s="147"/>
      <c r="AC4281" s="147"/>
      <c r="AD4281" s="147"/>
      <c r="AE4281" s="147"/>
      <c r="AF4281" s="147"/>
      <c r="AG4281" s="147"/>
      <c r="AH4281" s="147"/>
      <c r="AI4281" s="147"/>
      <c r="AJ4281" s="147"/>
      <c r="AK4281" s="147"/>
      <c r="AL4281" s="147"/>
      <c r="AM4281" s="147"/>
      <c r="AN4281" s="147"/>
      <c r="AO4281" s="147"/>
      <c r="AP4281" s="147"/>
      <c r="AQ4281" s="147"/>
      <c r="AR4281" s="147"/>
      <c r="AS4281" s="147"/>
      <c r="AT4281" s="147"/>
      <c r="AU4281" s="147"/>
      <c r="AV4281" s="147"/>
      <c r="AW4281" s="147"/>
      <c r="AX4281" s="147"/>
      <c r="AY4281" s="147"/>
      <c r="AZ4281" s="147"/>
      <c r="BA4281" s="147"/>
    </row>
    <row r="4282" spans="1:53" ht="15.75" customHeight="1">
      <c r="A4282" s="99"/>
      <c r="B4282" s="99"/>
      <c r="C4282" s="147"/>
      <c r="D4282" s="147"/>
      <c r="E4282" s="147"/>
      <c r="F4282" s="147"/>
      <c r="G4282" s="147"/>
      <c r="H4282" s="147"/>
      <c r="I4282" s="147"/>
      <c r="J4282" s="147"/>
      <c r="K4282" s="147"/>
      <c r="L4282" s="147"/>
      <c r="M4282" s="147"/>
      <c r="N4282" s="147"/>
      <c r="O4282" s="147"/>
      <c r="P4282" s="147"/>
      <c r="Q4282" s="147"/>
      <c r="R4282" s="147"/>
      <c r="S4282" s="147"/>
      <c r="T4282" s="147"/>
      <c r="U4282" s="147"/>
      <c r="V4282" s="147"/>
      <c r="W4282" s="147"/>
      <c r="X4282" s="147"/>
      <c r="Y4282" s="147"/>
      <c r="Z4282" s="147"/>
      <c r="AA4282" s="147"/>
      <c r="AB4282" s="147"/>
      <c r="AC4282" s="147"/>
      <c r="AD4282" s="147"/>
      <c r="AE4282" s="147"/>
      <c r="AF4282" s="147"/>
      <c r="AG4282" s="147"/>
      <c r="AH4282" s="147"/>
      <c r="AI4282" s="147"/>
      <c r="AJ4282" s="147"/>
      <c r="AK4282" s="147"/>
      <c r="AL4282" s="147"/>
      <c r="AM4282" s="147"/>
      <c r="AN4282" s="147"/>
      <c r="AO4282" s="147"/>
      <c r="AP4282" s="147"/>
      <c r="AQ4282" s="147"/>
      <c r="AR4282" s="147"/>
      <c r="AS4282" s="147"/>
      <c r="AT4282" s="147"/>
      <c r="AU4282" s="147"/>
      <c r="AV4282" s="147"/>
      <c r="AW4282" s="147"/>
      <c r="AX4282" s="147"/>
      <c r="AY4282" s="147"/>
      <c r="AZ4282" s="147"/>
      <c r="BA4282" s="147"/>
    </row>
    <row r="4283" spans="1:53" ht="15.75" customHeight="1">
      <c r="A4283" s="99"/>
      <c r="B4283" s="99"/>
      <c r="C4283" s="147"/>
      <c r="D4283" s="147"/>
      <c r="E4283" s="147"/>
      <c r="F4283" s="147"/>
      <c r="G4283" s="147"/>
      <c r="H4283" s="147"/>
      <c r="I4283" s="147"/>
      <c r="J4283" s="147"/>
      <c r="K4283" s="147"/>
      <c r="L4283" s="147"/>
      <c r="M4283" s="147"/>
      <c r="N4283" s="147"/>
      <c r="O4283" s="147"/>
      <c r="P4283" s="147"/>
      <c r="Q4283" s="147"/>
      <c r="R4283" s="147"/>
      <c r="S4283" s="147"/>
      <c r="T4283" s="147"/>
      <c r="U4283" s="147"/>
      <c r="V4283" s="147"/>
      <c r="W4283" s="147"/>
      <c r="X4283" s="147"/>
      <c r="Y4283" s="147"/>
      <c r="Z4283" s="147"/>
      <c r="AA4283" s="147"/>
      <c r="AB4283" s="147"/>
      <c r="AC4283" s="147"/>
      <c r="AD4283" s="147"/>
      <c r="AE4283" s="147"/>
      <c r="AF4283" s="147"/>
      <c r="AG4283" s="147"/>
      <c r="AH4283" s="147"/>
      <c r="AI4283" s="147"/>
      <c r="AJ4283" s="147"/>
      <c r="AK4283" s="147"/>
      <c r="AL4283" s="147"/>
      <c r="AM4283" s="147"/>
      <c r="AN4283" s="147"/>
      <c r="AO4283" s="147"/>
      <c r="AP4283" s="147"/>
      <c r="AQ4283" s="147"/>
      <c r="AR4283" s="147"/>
      <c r="AS4283" s="147"/>
      <c r="AT4283" s="147"/>
      <c r="AU4283" s="147"/>
      <c r="AV4283" s="147"/>
      <c r="AW4283" s="147"/>
      <c r="AX4283" s="147"/>
      <c r="AY4283" s="147"/>
      <c r="AZ4283" s="147"/>
      <c r="BA4283" s="147"/>
    </row>
    <row r="4284" spans="1:53" ht="15.75" customHeight="1">
      <c r="A4284" s="99"/>
      <c r="B4284" s="99"/>
      <c r="C4284" s="147"/>
      <c r="D4284" s="147"/>
      <c r="E4284" s="147"/>
      <c r="F4284" s="147"/>
      <c r="G4284" s="147"/>
      <c r="H4284" s="147"/>
      <c r="I4284" s="147"/>
      <c r="J4284" s="147"/>
      <c r="K4284" s="147"/>
      <c r="L4284" s="147"/>
      <c r="M4284" s="147"/>
      <c r="N4284" s="147"/>
      <c r="O4284" s="147"/>
      <c r="P4284" s="147"/>
      <c r="Q4284" s="147"/>
      <c r="R4284" s="147"/>
      <c r="S4284" s="147"/>
      <c r="T4284" s="147"/>
      <c r="U4284" s="147"/>
      <c r="V4284" s="147"/>
      <c r="W4284" s="147"/>
      <c r="X4284" s="147"/>
      <c r="Y4284" s="147"/>
      <c r="Z4284" s="147"/>
      <c r="AA4284" s="147"/>
      <c r="AB4284" s="147"/>
      <c r="AC4284" s="147"/>
      <c r="AD4284" s="147"/>
      <c r="AE4284" s="147"/>
      <c r="AF4284" s="147"/>
      <c r="AG4284" s="147"/>
      <c r="AH4284" s="147"/>
      <c r="AI4284" s="147"/>
      <c r="AJ4284" s="147"/>
      <c r="AK4284" s="147"/>
      <c r="AL4284" s="147"/>
      <c r="AM4284" s="147"/>
      <c r="AN4284" s="147"/>
      <c r="AO4284" s="147"/>
      <c r="AP4284" s="147"/>
      <c r="AQ4284" s="147"/>
      <c r="AR4284" s="147"/>
      <c r="AS4284" s="147"/>
      <c r="AT4284" s="147"/>
      <c r="AU4284" s="147"/>
      <c r="AV4284" s="147"/>
      <c r="AW4284" s="147"/>
      <c r="AX4284" s="147"/>
      <c r="AY4284" s="147"/>
      <c r="AZ4284" s="147"/>
      <c r="BA4284" s="147"/>
    </row>
    <row r="4285" spans="1:53" ht="15.75" customHeight="1">
      <c r="A4285" s="99"/>
      <c r="B4285" s="99"/>
      <c r="C4285" s="147"/>
      <c r="D4285" s="147"/>
      <c r="E4285" s="147"/>
      <c r="F4285" s="147"/>
      <c r="G4285" s="147"/>
      <c r="H4285" s="147"/>
      <c r="I4285" s="147"/>
      <c r="J4285" s="147"/>
      <c r="K4285" s="147"/>
      <c r="L4285" s="147"/>
      <c r="M4285" s="147"/>
      <c r="N4285" s="147"/>
      <c r="O4285" s="147"/>
      <c r="P4285" s="147"/>
      <c r="Q4285" s="147"/>
      <c r="R4285" s="147"/>
      <c r="S4285" s="147"/>
      <c r="T4285" s="147"/>
      <c r="U4285" s="147"/>
      <c r="V4285" s="147"/>
      <c r="W4285" s="147"/>
      <c r="X4285" s="147"/>
      <c r="Y4285" s="147"/>
      <c r="Z4285" s="147"/>
      <c r="AA4285" s="147"/>
      <c r="AB4285" s="147"/>
      <c r="AC4285" s="147"/>
      <c r="AD4285" s="147"/>
      <c r="AE4285" s="147"/>
      <c r="AF4285" s="147"/>
      <c r="AG4285" s="147"/>
      <c r="AH4285" s="147"/>
      <c r="AI4285" s="147"/>
      <c r="AJ4285" s="147"/>
      <c r="AK4285" s="147"/>
      <c r="AL4285" s="147"/>
      <c r="AM4285" s="147"/>
      <c r="AN4285" s="147"/>
      <c r="AO4285" s="147"/>
      <c r="AP4285" s="147"/>
      <c r="AQ4285" s="147"/>
      <c r="AR4285" s="147"/>
      <c r="AS4285" s="147"/>
      <c r="AT4285" s="147"/>
      <c r="AU4285" s="147"/>
      <c r="AV4285" s="147"/>
      <c r="AW4285" s="147"/>
      <c r="AX4285" s="147"/>
      <c r="AY4285" s="147"/>
      <c r="AZ4285" s="147"/>
      <c r="BA4285" s="147"/>
    </row>
    <row r="4286" spans="1:53" ht="15.75" customHeight="1">
      <c r="A4286" s="99"/>
      <c r="B4286" s="99"/>
      <c r="C4286" s="147"/>
      <c r="D4286" s="147"/>
      <c r="E4286" s="147"/>
      <c r="F4286" s="147"/>
      <c r="G4286" s="147"/>
      <c r="H4286" s="147"/>
      <c r="I4286" s="147"/>
      <c r="J4286" s="147"/>
      <c r="K4286" s="147"/>
      <c r="L4286" s="147"/>
      <c r="M4286" s="147"/>
      <c r="N4286" s="147"/>
      <c r="O4286" s="147"/>
      <c r="P4286" s="147"/>
      <c r="Q4286" s="147"/>
      <c r="R4286" s="147"/>
      <c r="S4286" s="147"/>
      <c r="T4286" s="147"/>
      <c r="U4286" s="147"/>
      <c r="V4286" s="147"/>
      <c r="W4286" s="147"/>
      <c r="X4286" s="147"/>
      <c r="Y4286" s="147"/>
      <c r="Z4286" s="147"/>
      <c r="AA4286" s="147"/>
      <c r="AB4286" s="147"/>
      <c r="AC4286" s="147"/>
      <c r="AD4286" s="147"/>
      <c r="AE4286" s="147"/>
      <c r="AF4286" s="147"/>
      <c r="AG4286" s="147"/>
      <c r="AH4286" s="147"/>
      <c r="AI4286" s="147"/>
      <c r="AJ4286" s="147"/>
      <c r="AK4286" s="147"/>
      <c r="AL4286" s="147"/>
      <c r="AM4286" s="147"/>
      <c r="AN4286" s="147"/>
      <c r="AO4286" s="147"/>
      <c r="AP4286" s="147"/>
      <c r="AQ4286" s="147"/>
      <c r="AR4286" s="147"/>
      <c r="AS4286" s="147"/>
      <c r="AT4286" s="147"/>
      <c r="AU4286" s="147"/>
      <c r="AV4286" s="147"/>
      <c r="AW4286" s="147"/>
      <c r="AX4286" s="147"/>
      <c r="AY4286" s="147"/>
      <c r="AZ4286" s="147"/>
      <c r="BA4286" s="147"/>
    </row>
    <row r="4287" spans="1:53" ht="15.75" customHeight="1">
      <c r="A4287" s="99"/>
      <c r="B4287" s="99"/>
      <c r="C4287" s="147"/>
      <c r="D4287" s="147"/>
      <c r="E4287" s="147"/>
      <c r="F4287" s="147"/>
      <c r="G4287" s="147"/>
      <c r="H4287" s="147"/>
      <c r="I4287" s="147"/>
      <c r="J4287" s="147"/>
      <c r="K4287" s="147"/>
      <c r="L4287" s="147"/>
      <c r="M4287" s="147"/>
      <c r="N4287" s="147"/>
      <c r="O4287" s="147"/>
      <c r="P4287" s="147"/>
      <c r="Q4287" s="147"/>
      <c r="R4287" s="147"/>
      <c r="S4287" s="147"/>
      <c r="T4287" s="147"/>
      <c r="U4287" s="147"/>
      <c r="V4287" s="147"/>
      <c r="W4287" s="147"/>
      <c r="X4287" s="147"/>
      <c r="Y4287" s="147"/>
      <c r="Z4287" s="147"/>
      <c r="AA4287" s="147"/>
      <c r="AB4287" s="147"/>
      <c r="AC4287" s="147"/>
      <c r="AD4287" s="147"/>
      <c r="AE4287" s="147"/>
      <c r="AF4287" s="147"/>
      <c r="AG4287" s="147"/>
      <c r="AH4287" s="147"/>
      <c r="AI4287" s="147"/>
      <c r="AJ4287" s="147"/>
      <c r="AK4287" s="147"/>
      <c r="AL4287" s="147"/>
      <c r="AM4287" s="147"/>
      <c r="AN4287" s="147"/>
      <c r="AO4287" s="147"/>
      <c r="AP4287" s="147"/>
      <c r="AQ4287" s="147"/>
      <c r="AR4287" s="147"/>
      <c r="AS4287" s="147"/>
      <c r="AT4287" s="147"/>
      <c r="AU4287" s="147"/>
      <c r="AV4287" s="147"/>
      <c r="AW4287" s="147"/>
      <c r="AX4287" s="147"/>
      <c r="AY4287" s="147"/>
      <c r="AZ4287" s="147"/>
      <c r="BA4287" s="147"/>
    </row>
    <row r="4288" spans="1:53" ht="15.75" customHeight="1">
      <c r="A4288" s="99"/>
      <c r="B4288" s="99"/>
      <c r="C4288" s="147"/>
      <c r="D4288" s="147"/>
      <c r="E4288" s="147"/>
      <c r="F4288" s="147"/>
      <c r="G4288" s="147"/>
      <c r="H4288" s="147"/>
      <c r="I4288" s="147"/>
      <c r="J4288" s="147"/>
      <c r="K4288" s="147"/>
      <c r="L4288" s="147"/>
      <c r="M4288" s="147"/>
      <c r="N4288" s="147"/>
      <c r="O4288" s="147"/>
      <c r="P4288" s="147"/>
      <c r="Q4288" s="147"/>
      <c r="R4288" s="147"/>
      <c r="S4288" s="147"/>
      <c r="T4288" s="147"/>
      <c r="U4288" s="147"/>
      <c r="V4288" s="147"/>
      <c r="W4288" s="147"/>
      <c r="X4288" s="147"/>
      <c r="Y4288" s="147"/>
      <c r="Z4288" s="147"/>
      <c r="AA4288" s="147"/>
      <c r="AB4288" s="147"/>
      <c r="AC4288" s="147"/>
      <c r="AD4288" s="147"/>
      <c r="AE4288" s="147"/>
      <c r="AF4288" s="147"/>
      <c r="AG4288" s="147"/>
      <c r="AH4288" s="147"/>
      <c r="AI4288" s="147"/>
      <c r="AJ4288" s="147"/>
      <c r="AK4288" s="147"/>
      <c r="AL4288" s="147"/>
      <c r="AM4288" s="147"/>
      <c r="AN4288" s="147"/>
      <c r="AO4288" s="147"/>
      <c r="AP4288" s="147"/>
      <c r="AQ4288" s="147"/>
      <c r="AR4288" s="147"/>
      <c r="AS4288" s="147"/>
      <c r="AT4288" s="147"/>
      <c r="AU4288" s="147"/>
      <c r="AV4288" s="147"/>
      <c r="AW4288" s="147"/>
      <c r="AX4288" s="147"/>
      <c r="AY4288" s="147"/>
      <c r="AZ4288" s="147"/>
      <c r="BA4288" s="147"/>
    </row>
    <row r="4289" spans="1:53" ht="15.75" customHeight="1">
      <c r="A4289" s="99"/>
      <c r="B4289" s="99"/>
      <c r="C4289" s="147"/>
      <c r="D4289" s="147"/>
      <c r="E4289" s="147"/>
      <c r="F4289" s="147"/>
      <c r="G4289" s="147"/>
      <c r="H4289" s="147"/>
      <c r="I4289" s="147"/>
      <c r="J4289" s="147"/>
      <c r="K4289" s="147"/>
      <c r="L4289" s="147"/>
      <c r="M4289" s="147"/>
      <c r="N4289" s="147"/>
      <c r="O4289" s="147"/>
      <c r="P4289" s="147"/>
      <c r="Q4289" s="147"/>
      <c r="R4289" s="147"/>
      <c r="S4289" s="147"/>
      <c r="T4289" s="147"/>
      <c r="U4289" s="147"/>
      <c r="V4289" s="147"/>
      <c r="W4289" s="147"/>
      <c r="X4289" s="147"/>
      <c r="Y4289" s="147"/>
      <c r="Z4289" s="147"/>
      <c r="AA4289" s="147"/>
      <c r="AB4289" s="147"/>
      <c r="AC4289" s="147"/>
      <c r="AD4289" s="147"/>
      <c r="AE4289" s="147"/>
      <c r="AF4289" s="147"/>
      <c r="AG4289" s="147"/>
      <c r="AH4289" s="147"/>
      <c r="AI4289" s="147"/>
      <c r="AJ4289" s="147"/>
      <c r="AK4289" s="147"/>
      <c r="AL4289" s="147"/>
      <c r="AM4289" s="147"/>
      <c r="AN4289" s="147"/>
      <c r="AO4289" s="147"/>
      <c r="AP4289" s="147"/>
      <c r="AQ4289" s="147"/>
      <c r="AR4289" s="147"/>
      <c r="AS4289" s="147"/>
      <c r="AT4289" s="147"/>
      <c r="AU4289" s="147"/>
      <c r="AV4289" s="147"/>
      <c r="AW4289" s="147"/>
      <c r="AX4289" s="147"/>
      <c r="AY4289" s="147"/>
      <c r="AZ4289" s="147"/>
      <c r="BA4289" s="147"/>
    </row>
    <row r="4290" spans="1:53" ht="15.75" customHeight="1">
      <c r="A4290" s="99"/>
      <c r="B4290" s="99"/>
      <c r="C4290" s="147"/>
      <c r="D4290" s="147"/>
      <c r="E4290" s="147"/>
      <c r="F4290" s="147"/>
      <c r="G4290" s="147"/>
      <c r="H4290" s="147"/>
      <c r="I4290" s="147"/>
      <c r="J4290" s="147"/>
      <c r="K4290" s="147"/>
      <c r="L4290" s="147"/>
      <c r="M4290" s="147"/>
      <c r="N4290" s="147"/>
      <c r="O4290" s="147"/>
      <c r="P4290" s="147"/>
      <c r="Q4290" s="147"/>
      <c r="R4290" s="147"/>
      <c r="S4290" s="147"/>
      <c r="T4290" s="147"/>
      <c r="U4290" s="147"/>
      <c r="V4290" s="147"/>
      <c r="W4290" s="147"/>
      <c r="X4290" s="147"/>
      <c r="Y4290" s="147"/>
      <c r="Z4290" s="147"/>
      <c r="AA4290" s="147"/>
      <c r="AB4290" s="147"/>
      <c r="AC4290" s="147"/>
      <c r="AD4290" s="147"/>
      <c r="AE4290" s="147"/>
      <c r="AF4290" s="147"/>
      <c r="AG4290" s="147"/>
      <c r="AH4290" s="147"/>
      <c r="AI4290" s="147"/>
      <c r="AJ4290" s="147"/>
      <c r="AK4290" s="147"/>
      <c r="AL4290" s="147"/>
      <c r="AM4290" s="147"/>
      <c r="AN4290" s="147"/>
      <c r="AO4290" s="147"/>
      <c r="AP4290" s="147"/>
      <c r="AQ4290" s="147"/>
      <c r="AR4290" s="147"/>
      <c r="AS4290" s="147"/>
      <c r="AT4290" s="147"/>
      <c r="AU4290" s="147"/>
      <c r="AV4290" s="147"/>
      <c r="AW4290" s="147"/>
      <c r="AX4290" s="147"/>
      <c r="AY4290" s="147"/>
      <c r="AZ4290" s="147"/>
      <c r="BA4290" s="147"/>
    </row>
    <row r="4291" spans="1:53" ht="15.75" customHeight="1">
      <c r="A4291" s="99"/>
      <c r="B4291" s="99"/>
      <c r="C4291" s="147"/>
      <c r="D4291" s="147"/>
      <c r="E4291" s="147"/>
      <c r="F4291" s="147"/>
      <c r="G4291" s="147"/>
      <c r="H4291" s="147"/>
      <c r="I4291" s="147"/>
      <c r="J4291" s="147"/>
      <c r="K4291" s="147"/>
      <c r="L4291" s="147"/>
      <c r="M4291" s="147"/>
      <c r="N4291" s="147"/>
      <c r="O4291" s="147"/>
      <c r="P4291" s="147"/>
      <c r="Q4291" s="147"/>
      <c r="R4291" s="147"/>
      <c r="S4291" s="147"/>
      <c r="T4291" s="147"/>
      <c r="U4291" s="147"/>
      <c r="V4291" s="147"/>
      <c r="W4291" s="147"/>
      <c r="X4291" s="147"/>
      <c r="Y4291" s="147"/>
      <c r="Z4291" s="147"/>
      <c r="AA4291" s="147"/>
      <c r="AB4291" s="147"/>
      <c r="AC4291" s="147"/>
      <c r="AD4291" s="147"/>
      <c r="AE4291" s="147"/>
      <c r="AF4291" s="147"/>
      <c r="AG4291" s="147"/>
      <c r="AH4291" s="147"/>
      <c r="AI4291" s="147"/>
      <c r="AJ4291" s="147"/>
      <c r="AK4291" s="147"/>
      <c r="AL4291" s="147"/>
      <c r="AM4291" s="147"/>
      <c r="AN4291" s="147"/>
      <c r="AO4291" s="147"/>
      <c r="AP4291" s="147"/>
      <c r="AQ4291" s="147"/>
      <c r="AR4291" s="147"/>
      <c r="AS4291" s="147"/>
      <c r="AT4291" s="147"/>
      <c r="AU4291" s="147"/>
      <c r="AV4291" s="147"/>
      <c r="AW4291" s="147"/>
      <c r="AX4291" s="147"/>
      <c r="AY4291" s="147"/>
      <c r="AZ4291" s="147"/>
      <c r="BA4291" s="147"/>
    </row>
    <row r="4292" spans="1:53" ht="15.75" customHeight="1">
      <c r="A4292" s="99"/>
      <c r="B4292" s="99"/>
      <c r="C4292" s="147"/>
      <c r="D4292" s="147"/>
      <c r="E4292" s="147"/>
      <c r="F4292" s="147"/>
      <c r="G4292" s="147"/>
      <c r="H4292" s="147"/>
      <c r="I4292" s="147"/>
      <c r="J4292" s="147"/>
      <c r="K4292" s="147"/>
      <c r="L4292" s="147"/>
      <c r="M4292" s="147"/>
      <c r="N4292" s="147"/>
      <c r="O4292" s="147"/>
      <c r="P4292" s="147"/>
      <c r="Q4292" s="147"/>
      <c r="R4292" s="147"/>
      <c r="S4292" s="147"/>
      <c r="T4292" s="147"/>
      <c r="U4292" s="147"/>
      <c r="V4292" s="147"/>
      <c r="W4292" s="147"/>
      <c r="X4292" s="147"/>
      <c r="Y4292" s="147"/>
      <c r="Z4292" s="147"/>
      <c r="AA4292" s="147"/>
      <c r="AB4292" s="147"/>
      <c r="AC4292" s="147"/>
      <c r="AD4292" s="147"/>
      <c r="AE4292" s="147"/>
      <c r="AF4292" s="147"/>
      <c r="AG4292" s="147"/>
      <c r="AH4292" s="147"/>
      <c r="AI4292" s="147"/>
      <c r="AJ4292" s="147"/>
      <c r="AK4292" s="147"/>
      <c r="AL4292" s="147"/>
      <c r="AM4292" s="147"/>
      <c r="AN4292" s="147"/>
      <c r="AO4292" s="147"/>
      <c r="AP4292" s="147"/>
      <c r="AQ4292" s="147"/>
      <c r="AR4292" s="147"/>
      <c r="AS4292" s="147"/>
      <c r="AT4292" s="147"/>
      <c r="AU4292" s="147"/>
      <c r="AV4292" s="147"/>
      <c r="AW4292" s="147"/>
      <c r="AX4292" s="147"/>
      <c r="AY4292" s="147"/>
      <c r="AZ4292" s="147"/>
      <c r="BA4292" s="147"/>
    </row>
    <row r="4293" spans="1:53" ht="15.75" customHeight="1">
      <c r="A4293" s="99"/>
      <c r="B4293" s="99"/>
      <c r="C4293" s="147"/>
      <c r="D4293" s="147"/>
      <c r="E4293" s="147"/>
      <c r="F4293" s="147"/>
      <c r="G4293" s="147"/>
      <c r="H4293" s="147"/>
      <c r="I4293" s="147"/>
      <c r="J4293" s="147"/>
      <c r="K4293" s="147"/>
      <c r="L4293" s="147"/>
      <c r="M4293" s="147"/>
      <c r="N4293" s="147"/>
      <c r="O4293" s="147"/>
      <c r="P4293" s="147"/>
      <c r="Q4293" s="147"/>
      <c r="R4293" s="147"/>
      <c r="S4293" s="147"/>
      <c r="T4293" s="147"/>
      <c r="U4293" s="147"/>
      <c r="V4293" s="147"/>
      <c r="W4293" s="147"/>
      <c r="X4293" s="147"/>
      <c r="Y4293" s="147"/>
      <c r="Z4293" s="147"/>
      <c r="AA4293" s="147"/>
      <c r="AB4293" s="147"/>
      <c r="AC4293" s="147"/>
      <c r="AD4293" s="147"/>
      <c r="AE4293" s="147"/>
      <c r="AF4293" s="147"/>
      <c r="AG4293" s="147"/>
      <c r="AH4293" s="147"/>
      <c r="AI4293" s="147"/>
      <c r="AJ4293" s="147"/>
      <c r="AK4293" s="147"/>
      <c r="AL4293" s="147"/>
      <c r="AM4293" s="147"/>
      <c r="AN4293" s="147"/>
      <c r="AO4293" s="147"/>
      <c r="AP4293" s="147"/>
      <c r="AQ4293" s="147"/>
      <c r="AR4293" s="147"/>
      <c r="AS4293" s="147"/>
      <c r="AT4293" s="147"/>
      <c r="AU4293" s="147"/>
      <c r="AV4293" s="147"/>
      <c r="AW4293" s="147"/>
      <c r="AX4293" s="147"/>
      <c r="AY4293" s="147"/>
      <c r="AZ4293" s="147"/>
      <c r="BA4293" s="147"/>
    </row>
    <row r="4294" spans="1:53" ht="15.75" customHeight="1">
      <c r="A4294" s="99"/>
      <c r="B4294" s="99"/>
      <c r="C4294" s="147"/>
      <c r="D4294" s="147"/>
      <c r="E4294" s="147"/>
      <c r="F4294" s="147"/>
      <c r="G4294" s="147"/>
      <c r="H4294" s="147"/>
      <c r="I4294" s="147"/>
      <c r="J4294" s="147"/>
      <c r="K4294" s="147"/>
      <c r="L4294" s="147"/>
      <c r="M4294" s="147"/>
      <c r="N4294" s="147"/>
      <c r="O4294" s="147"/>
      <c r="P4294" s="147"/>
      <c r="Q4294" s="147"/>
      <c r="R4294" s="147"/>
      <c r="S4294" s="147"/>
      <c r="T4294" s="147"/>
      <c r="U4294" s="147"/>
      <c r="V4294" s="147"/>
      <c r="W4294" s="147"/>
      <c r="X4294" s="147"/>
      <c r="Y4294" s="147"/>
      <c r="Z4294" s="147"/>
      <c r="AA4294" s="147"/>
      <c r="AB4294" s="147"/>
      <c r="AC4294" s="147"/>
      <c r="AD4294" s="147"/>
      <c r="AE4294" s="147"/>
      <c r="AF4294" s="147"/>
      <c r="AG4294" s="147"/>
      <c r="AH4294" s="147"/>
      <c r="AI4294" s="147"/>
      <c r="AJ4294" s="147"/>
      <c r="AK4294" s="147"/>
      <c r="AL4294" s="147"/>
      <c r="AM4294" s="147"/>
      <c r="AN4294" s="147"/>
      <c r="AO4294" s="147"/>
      <c r="AP4294" s="147"/>
      <c r="AQ4294" s="147"/>
      <c r="AR4294" s="147"/>
      <c r="AS4294" s="147"/>
      <c r="AT4294" s="147"/>
      <c r="AU4294" s="147"/>
      <c r="AV4294" s="147"/>
      <c r="AW4294" s="147"/>
      <c r="AX4294" s="147"/>
      <c r="AY4294" s="147"/>
      <c r="AZ4294" s="147"/>
      <c r="BA4294" s="147"/>
    </row>
    <row r="4295" spans="1:53" ht="15.75" customHeight="1">
      <c r="A4295" s="99"/>
      <c r="B4295" s="99"/>
      <c r="C4295" s="147"/>
      <c r="D4295" s="147"/>
      <c r="E4295" s="147"/>
      <c r="F4295" s="147"/>
      <c r="G4295" s="147"/>
      <c r="H4295" s="147"/>
      <c r="I4295" s="147"/>
      <c r="J4295" s="147"/>
      <c r="K4295" s="147"/>
      <c r="L4295" s="147"/>
      <c r="M4295" s="147"/>
      <c r="N4295" s="147"/>
      <c r="O4295" s="147"/>
      <c r="P4295" s="147"/>
      <c r="Q4295" s="147"/>
      <c r="R4295" s="147"/>
      <c r="S4295" s="147"/>
      <c r="T4295" s="147"/>
      <c r="U4295" s="147"/>
      <c r="V4295" s="147"/>
      <c r="W4295" s="147"/>
      <c r="X4295" s="147"/>
      <c r="Y4295" s="147"/>
      <c r="Z4295" s="147"/>
      <c r="AA4295" s="147"/>
      <c r="AB4295" s="147"/>
      <c r="AC4295" s="147"/>
      <c r="AD4295" s="147"/>
      <c r="AE4295" s="147"/>
      <c r="AF4295" s="147"/>
      <c r="AG4295" s="147"/>
      <c r="AH4295" s="147"/>
      <c r="AI4295" s="147"/>
      <c r="AJ4295" s="147"/>
      <c r="AK4295" s="147"/>
      <c r="AL4295" s="147"/>
      <c r="AM4295" s="147"/>
      <c r="AN4295" s="147"/>
      <c r="AO4295" s="147"/>
      <c r="AP4295" s="147"/>
      <c r="AQ4295" s="147"/>
      <c r="AR4295" s="147"/>
      <c r="AS4295" s="147"/>
      <c r="AT4295" s="147"/>
      <c r="AU4295" s="147"/>
      <c r="AV4295" s="147"/>
      <c r="AW4295" s="147"/>
      <c r="AX4295" s="147"/>
      <c r="AY4295" s="147"/>
      <c r="AZ4295" s="147"/>
      <c r="BA4295" s="147"/>
    </row>
    <row r="4296" spans="1:53" ht="15.75" customHeight="1">
      <c r="A4296" s="99"/>
      <c r="B4296" s="99"/>
      <c r="C4296" s="147"/>
      <c r="D4296" s="147"/>
      <c r="E4296" s="147"/>
      <c r="F4296" s="147"/>
      <c r="G4296" s="147"/>
      <c r="H4296" s="147"/>
      <c r="I4296" s="147"/>
      <c r="J4296" s="147"/>
      <c r="K4296" s="147"/>
      <c r="L4296" s="147"/>
      <c r="M4296" s="147"/>
      <c r="N4296" s="147"/>
      <c r="O4296" s="147"/>
      <c r="P4296" s="147"/>
      <c r="Q4296" s="147"/>
      <c r="R4296" s="147"/>
      <c r="S4296" s="147"/>
      <c r="T4296" s="147"/>
      <c r="U4296" s="147"/>
      <c r="V4296" s="147"/>
      <c r="W4296" s="147"/>
      <c r="X4296" s="147"/>
      <c r="Y4296" s="147"/>
      <c r="Z4296" s="147"/>
      <c r="AA4296" s="147"/>
      <c r="AB4296" s="147"/>
      <c r="AC4296" s="147"/>
      <c r="AD4296" s="147"/>
      <c r="AE4296" s="147"/>
      <c r="AF4296" s="147"/>
      <c r="AG4296" s="147"/>
      <c r="AH4296" s="147"/>
      <c r="AI4296" s="147"/>
      <c r="AJ4296" s="147"/>
      <c r="AK4296" s="147"/>
      <c r="AL4296" s="147"/>
      <c r="AM4296" s="147"/>
      <c r="AN4296" s="147"/>
      <c r="AO4296" s="147"/>
      <c r="AP4296" s="147"/>
      <c r="AQ4296" s="147"/>
      <c r="AR4296" s="147"/>
      <c r="AS4296" s="147"/>
      <c r="AT4296" s="147"/>
      <c r="AU4296" s="147"/>
      <c r="AV4296" s="147"/>
      <c r="AW4296" s="147"/>
      <c r="AX4296" s="147"/>
      <c r="AY4296" s="147"/>
      <c r="AZ4296" s="147"/>
      <c r="BA4296" s="147"/>
    </row>
    <row r="4297" spans="1:53" ht="15.75" customHeight="1">
      <c r="A4297" s="99"/>
      <c r="B4297" s="99"/>
      <c r="C4297" s="147"/>
      <c r="D4297" s="147"/>
      <c r="E4297" s="147"/>
      <c r="F4297" s="147"/>
      <c r="G4297" s="147"/>
      <c r="H4297" s="147"/>
      <c r="I4297" s="147"/>
      <c r="J4297" s="147"/>
      <c r="K4297" s="147"/>
      <c r="L4297" s="147"/>
      <c r="M4297" s="147"/>
      <c r="N4297" s="147"/>
      <c r="O4297" s="147"/>
      <c r="P4297" s="147"/>
      <c r="Q4297" s="147"/>
      <c r="R4297" s="147"/>
      <c r="S4297" s="147"/>
      <c r="T4297" s="147"/>
      <c r="U4297" s="147"/>
      <c r="V4297" s="147"/>
      <c r="W4297" s="147"/>
      <c r="X4297" s="147"/>
      <c r="Y4297" s="147"/>
      <c r="Z4297" s="147"/>
      <c r="AA4297" s="147"/>
      <c r="AB4297" s="147"/>
      <c r="AC4297" s="147"/>
      <c r="AD4297" s="147"/>
      <c r="AE4297" s="147"/>
      <c r="AF4297" s="147"/>
      <c r="AG4297" s="147"/>
      <c r="AH4297" s="147"/>
      <c r="AI4297" s="147"/>
      <c r="AJ4297" s="147"/>
      <c r="AK4297" s="147"/>
      <c r="AL4297" s="147"/>
      <c r="AM4297" s="147"/>
      <c r="AN4297" s="147"/>
      <c r="AO4297" s="147"/>
      <c r="AP4297" s="147"/>
      <c r="AQ4297" s="147"/>
      <c r="AR4297" s="147"/>
      <c r="AS4297" s="147"/>
      <c r="AT4297" s="147"/>
      <c r="AU4297" s="147"/>
      <c r="AV4297" s="147"/>
      <c r="AW4297" s="147"/>
      <c r="AX4297" s="147"/>
      <c r="AY4297" s="147"/>
      <c r="AZ4297" s="147"/>
      <c r="BA4297" s="147"/>
    </row>
    <row r="4298" spans="1:53" ht="15.75" customHeight="1">
      <c r="A4298" s="99"/>
      <c r="B4298" s="99"/>
      <c r="C4298" s="147"/>
      <c r="D4298" s="147"/>
      <c r="E4298" s="147"/>
      <c r="F4298" s="147"/>
      <c r="G4298" s="147"/>
      <c r="H4298" s="147"/>
      <c r="I4298" s="147"/>
      <c r="J4298" s="147"/>
      <c r="K4298" s="147"/>
      <c r="L4298" s="147"/>
      <c r="M4298" s="147"/>
      <c r="N4298" s="147"/>
      <c r="O4298" s="147"/>
      <c r="P4298" s="147"/>
      <c r="Q4298" s="147"/>
      <c r="R4298" s="147"/>
      <c r="S4298" s="147"/>
      <c r="T4298" s="147"/>
      <c r="U4298" s="147"/>
      <c r="V4298" s="147"/>
      <c r="W4298" s="147"/>
      <c r="X4298" s="147"/>
      <c r="Y4298" s="147"/>
      <c r="Z4298" s="147"/>
      <c r="AA4298" s="147"/>
      <c r="AB4298" s="147"/>
      <c r="AC4298" s="147"/>
      <c r="AD4298" s="147"/>
      <c r="AE4298" s="147"/>
      <c r="AF4298" s="147"/>
      <c r="AG4298" s="147"/>
      <c r="AH4298" s="147"/>
      <c r="AI4298" s="147"/>
      <c r="AJ4298" s="147"/>
      <c r="AK4298" s="147"/>
      <c r="AL4298" s="147"/>
      <c r="AM4298" s="147"/>
      <c r="AN4298" s="147"/>
      <c r="AO4298" s="147"/>
      <c r="AP4298" s="147"/>
      <c r="AQ4298" s="147"/>
      <c r="AR4298" s="147"/>
      <c r="AS4298" s="147"/>
      <c r="AT4298" s="147"/>
      <c r="AU4298" s="147"/>
      <c r="AV4298" s="147"/>
      <c r="AW4298" s="147"/>
      <c r="AX4298" s="147"/>
      <c r="AY4298" s="147"/>
      <c r="AZ4298" s="147"/>
      <c r="BA4298" s="147"/>
    </row>
    <row r="4299" spans="1:53" ht="15.75" customHeight="1">
      <c r="A4299" s="99"/>
      <c r="B4299" s="99"/>
      <c r="C4299" s="147"/>
      <c r="D4299" s="147"/>
      <c r="E4299" s="147"/>
      <c r="F4299" s="147"/>
      <c r="G4299" s="147"/>
      <c r="H4299" s="147"/>
      <c r="I4299" s="147"/>
      <c r="J4299" s="147"/>
      <c r="K4299" s="147"/>
      <c r="L4299" s="147"/>
      <c r="M4299" s="147"/>
      <c r="N4299" s="147"/>
      <c r="O4299" s="147"/>
      <c r="P4299" s="147"/>
      <c r="Q4299" s="147"/>
      <c r="R4299" s="147"/>
      <c r="S4299" s="147"/>
      <c r="T4299" s="147"/>
      <c r="U4299" s="147"/>
      <c r="V4299" s="147"/>
      <c r="W4299" s="147"/>
      <c r="X4299" s="147"/>
      <c r="Y4299" s="147"/>
      <c r="Z4299" s="147"/>
      <c r="AA4299" s="147"/>
      <c r="AB4299" s="147"/>
      <c r="AC4299" s="147"/>
      <c r="AD4299" s="147"/>
      <c r="AE4299" s="147"/>
      <c r="AF4299" s="147"/>
      <c r="AG4299" s="147"/>
      <c r="AH4299" s="147"/>
      <c r="AI4299" s="147"/>
      <c r="AJ4299" s="147"/>
      <c r="AK4299" s="147"/>
      <c r="AL4299" s="147"/>
      <c r="AM4299" s="147"/>
      <c r="AN4299" s="147"/>
      <c r="AO4299" s="147"/>
      <c r="AP4299" s="147"/>
      <c r="AQ4299" s="147"/>
      <c r="AR4299" s="147"/>
      <c r="AS4299" s="147"/>
      <c r="AT4299" s="147"/>
      <c r="AU4299" s="147"/>
      <c r="AV4299" s="147"/>
      <c r="AW4299" s="147"/>
      <c r="AX4299" s="147"/>
      <c r="AY4299" s="147"/>
      <c r="AZ4299" s="147"/>
      <c r="BA4299" s="147"/>
    </row>
    <row r="4300" spans="1:53" ht="15.75" customHeight="1">
      <c r="A4300" s="99"/>
      <c r="B4300" s="99"/>
      <c r="C4300" s="147"/>
      <c r="D4300" s="147"/>
      <c r="E4300" s="147"/>
      <c r="F4300" s="147"/>
      <c r="G4300" s="147"/>
      <c r="H4300" s="147"/>
      <c r="I4300" s="147"/>
      <c r="J4300" s="147"/>
      <c r="K4300" s="147"/>
      <c r="L4300" s="147"/>
      <c r="M4300" s="147"/>
      <c r="N4300" s="147"/>
      <c r="O4300" s="147"/>
      <c r="P4300" s="147"/>
      <c r="Q4300" s="147"/>
      <c r="R4300" s="147"/>
      <c r="S4300" s="147"/>
      <c r="T4300" s="147"/>
      <c r="U4300" s="147"/>
      <c r="V4300" s="147"/>
      <c r="W4300" s="147"/>
      <c r="X4300" s="147"/>
      <c r="Y4300" s="147"/>
      <c r="Z4300" s="147"/>
      <c r="AA4300" s="147"/>
      <c r="AB4300" s="147"/>
      <c r="AC4300" s="147"/>
      <c r="AD4300" s="147"/>
      <c r="AE4300" s="147"/>
      <c r="AF4300" s="147"/>
      <c r="AG4300" s="147"/>
      <c r="AH4300" s="147"/>
      <c r="AI4300" s="147"/>
      <c r="AJ4300" s="147"/>
      <c r="AK4300" s="147"/>
      <c r="AL4300" s="147"/>
      <c r="AM4300" s="147"/>
      <c r="AN4300" s="147"/>
      <c r="AO4300" s="147"/>
      <c r="AP4300" s="147"/>
      <c r="AQ4300" s="147"/>
      <c r="AR4300" s="147"/>
      <c r="AS4300" s="147"/>
      <c r="AT4300" s="147"/>
      <c r="AU4300" s="147"/>
      <c r="AV4300" s="147"/>
      <c r="AW4300" s="147"/>
      <c r="AX4300" s="147"/>
      <c r="AY4300" s="147"/>
      <c r="AZ4300" s="147"/>
      <c r="BA4300" s="147"/>
    </row>
    <row r="4301" spans="1:53" ht="15.75" customHeight="1">
      <c r="A4301" s="99"/>
      <c r="B4301" s="99"/>
      <c r="C4301" s="147"/>
      <c r="D4301" s="147"/>
      <c r="E4301" s="147"/>
      <c r="F4301" s="147"/>
      <c r="G4301" s="147"/>
      <c r="H4301" s="147"/>
      <c r="I4301" s="147"/>
      <c r="J4301" s="147"/>
      <c r="K4301" s="147"/>
      <c r="L4301" s="147"/>
      <c r="M4301" s="147"/>
      <c r="N4301" s="147"/>
      <c r="O4301" s="147"/>
      <c r="P4301" s="147"/>
      <c r="Q4301" s="147"/>
      <c r="R4301" s="147"/>
      <c r="S4301" s="147"/>
      <c r="T4301" s="147"/>
      <c r="U4301" s="147"/>
      <c r="V4301" s="147"/>
      <c r="W4301" s="147"/>
      <c r="X4301" s="147"/>
      <c r="Y4301" s="147"/>
      <c r="Z4301" s="147"/>
      <c r="AA4301" s="147"/>
      <c r="AB4301" s="147"/>
      <c r="AC4301" s="147"/>
      <c r="AD4301" s="147"/>
      <c r="AE4301" s="147"/>
      <c r="AF4301" s="147"/>
      <c r="AG4301" s="147"/>
      <c r="AH4301" s="147"/>
      <c r="AI4301" s="147"/>
      <c r="AJ4301" s="147"/>
      <c r="AK4301" s="147"/>
      <c r="AL4301" s="147"/>
      <c r="AM4301" s="147"/>
      <c r="AN4301" s="147"/>
      <c r="AO4301" s="147"/>
      <c r="AP4301" s="147"/>
      <c r="AQ4301" s="147"/>
      <c r="AR4301" s="147"/>
      <c r="AS4301" s="147"/>
      <c r="AT4301" s="147"/>
      <c r="AU4301" s="147"/>
      <c r="AV4301" s="147"/>
      <c r="AW4301" s="147"/>
      <c r="AX4301" s="147"/>
      <c r="AY4301" s="147"/>
      <c r="AZ4301" s="147"/>
      <c r="BA4301" s="147"/>
    </row>
    <row r="4302" spans="1:53" ht="15.75" customHeight="1">
      <c r="A4302" s="99"/>
      <c r="B4302" s="99"/>
      <c r="C4302" s="147"/>
      <c r="D4302" s="147"/>
      <c r="E4302" s="147"/>
      <c r="F4302" s="147"/>
      <c r="G4302" s="147"/>
      <c r="H4302" s="147"/>
      <c r="I4302" s="147"/>
      <c r="J4302" s="147"/>
      <c r="K4302" s="147"/>
      <c r="L4302" s="147"/>
      <c r="M4302" s="147"/>
      <c r="N4302" s="147"/>
      <c r="O4302" s="147"/>
      <c r="P4302" s="147"/>
      <c r="Q4302" s="147"/>
      <c r="R4302" s="147"/>
      <c r="S4302" s="147"/>
      <c r="T4302" s="147"/>
      <c r="U4302" s="147"/>
      <c r="V4302" s="147"/>
      <c r="W4302" s="147"/>
      <c r="X4302" s="147"/>
      <c r="Y4302" s="147"/>
      <c r="Z4302" s="147"/>
      <c r="AA4302" s="147"/>
      <c r="AB4302" s="147"/>
      <c r="AC4302" s="147"/>
      <c r="AD4302" s="147"/>
      <c r="AE4302" s="147"/>
      <c r="AF4302" s="147"/>
      <c r="AG4302" s="147"/>
      <c r="AH4302" s="147"/>
      <c r="AI4302" s="147"/>
      <c r="AJ4302" s="147"/>
      <c r="AK4302" s="147"/>
      <c r="AL4302" s="147"/>
      <c r="AM4302" s="147"/>
      <c r="AN4302" s="147"/>
      <c r="AO4302" s="147"/>
      <c r="AP4302" s="147"/>
      <c r="AQ4302" s="147"/>
      <c r="AR4302" s="147"/>
      <c r="AS4302" s="147"/>
      <c r="AT4302" s="147"/>
      <c r="AU4302" s="147"/>
      <c r="AV4302" s="147"/>
      <c r="AW4302" s="147"/>
      <c r="AX4302" s="147"/>
      <c r="AY4302" s="147"/>
      <c r="AZ4302" s="147"/>
      <c r="BA4302" s="147"/>
    </row>
    <row r="4303" spans="1:53" ht="15.75" customHeight="1">
      <c r="A4303" s="99"/>
      <c r="B4303" s="99"/>
      <c r="C4303" s="147"/>
      <c r="D4303" s="147"/>
      <c r="E4303" s="147"/>
      <c r="F4303" s="147"/>
      <c r="G4303" s="147"/>
      <c r="H4303" s="147"/>
      <c r="I4303" s="147"/>
      <c r="J4303" s="147"/>
      <c r="K4303" s="147"/>
      <c r="L4303" s="147"/>
      <c r="M4303" s="147"/>
      <c r="N4303" s="147"/>
      <c r="O4303" s="147"/>
      <c r="P4303" s="147"/>
      <c r="Q4303" s="147"/>
      <c r="R4303" s="147"/>
      <c r="S4303" s="147"/>
      <c r="T4303" s="147"/>
      <c r="U4303" s="147"/>
      <c r="V4303" s="147"/>
      <c r="W4303" s="147"/>
      <c r="X4303" s="147"/>
      <c r="Y4303" s="147"/>
      <c r="Z4303" s="147"/>
      <c r="AA4303" s="147"/>
      <c r="AB4303" s="147"/>
      <c r="AC4303" s="147"/>
      <c r="AD4303" s="147"/>
      <c r="AE4303" s="147"/>
      <c r="AF4303" s="147"/>
      <c r="AG4303" s="147"/>
      <c r="AH4303" s="147"/>
      <c r="AI4303" s="147"/>
      <c r="AJ4303" s="147"/>
      <c r="AK4303" s="147"/>
      <c r="AL4303" s="147"/>
      <c r="AM4303" s="147"/>
      <c r="AN4303" s="147"/>
      <c r="AO4303" s="147"/>
      <c r="AP4303" s="147"/>
      <c r="AQ4303" s="147"/>
      <c r="AR4303" s="147"/>
      <c r="AS4303" s="147"/>
      <c r="AT4303" s="147"/>
      <c r="AU4303" s="147"/>
      <c r="AV4303" s="147"/>
      <c r="AW4303" s="147"/>
      <c r="AX4303" s="147"/>
      <c r="AY4303" s="147"/>
      <c r="AZ4303" s="147"/>
      <c r="BA4303" s="147"/>
    </row>
    <row r="4304" spans="1:53" ht="15.75" customHeight="1">
      <c r="A4304" s="99"/>
      <c r="B4304" s="99"/>
      <c r="C4304" s="147"/>
      <c r="D4304" s="147"/>
      <c r="E4304" s="147"/>
      <c r="F4304" s="147"/>
      <c r="G4304" s="147"/>
      <c r="H4304" s="147"/>
      <c r="I4304" s="147"/>
      <c r="J4304" s="147"/>
      <c r="K4304" s="147"/>
      <c r="L4304" s="147"/>
      <c r="M4304" s="147"/>
      <c r="N4304" s="147"/>
      <c r="O4304" s="147"/>
      <c r="P4304" s="147"/>
      <c r="Q4304" s="147"/>
      <c r="R4304" s="147"/>
      <c r="S4304" s="147"/>
      <c r="T4304" s="147"/>
      <c r="U4304" s="147"/>
      <c r="V4304" s="147"/>
      <c r="W4304" s="147"/>
      <c r="X4304" s="147"/>
      <c r="Y4304" s="147"/>
      <c r="Z4304" s="147"/>
      <c r="AA4304" s="147"/>
      <c r="AB4304" s="147"/>
      <c r="AC4304" s="147"/>
      <c r="AD4304" s="147"/>
      <c r="AE4304" s="147"/>
      <c r="AF4304" s="147"/>
      <c r="AG4304" s="147"/>
      <c r="AH4304" s="147"/>
      <c r="AI4304" s="147"/>
      <c r="AJ4304" s="147"/>
      <c r="AK4304" s="147"/>
      <c r="AL4304" s="147"/>
      <c r="AM4304" s="147"/>
      <c r="AN4304" s="147"/>
      <c r="AO4304" s="147"/>
      <c r="AP4304" s="147"/>
      <c r="AQ4304" s="147"/>
      <c r="AR4304" s="147"/>
      <c r="AS4304" s="147"/>
      <c r="AT4304" s="147"/>
      <c r="AU4304" s="147"/>
      <c r="AV4304" s="147"/>
      <c r="AW4304" s="147"/>
      <c r="AX4304" s="147"/>
      <c r="AY4304" s="147"/>
      <c r="AZ4304" s="147"/>
      <c r="BA4304" s="147"/>
    </row>
    <row r="4305" spans="1:53" ht="15.75" customHeight="1">
      <c r="A4305" s="99"/>
      <c r="B4305" s="99"/>
      <c r="C4305" s="147"/>
      <c r="D4305" s="147"/>
      <c r="E4305" s="147"/>
      <c r="F4305" s="147"/>
      <c r="G4305" s="147"/>
      <c r="H4305" s="147"/>
      <c r="I4305" s="147"/>
      <c r="J4305" s="147"/>
      <c r="K4305" s="147"/>
      <c r="L4305" s="147"/>
      <c r="M4305" s="147"/>
      <c r="N4305" s="147"/>
      <c r="O4305" s="147"/>
      <c r="P4305" s="147"/>
      <c r="Q4305" s="147"/>
      <c r="R4305" s="147"/>
      <c r="S4305" s="147"/>
      <c r="T4305" s="147"/>
      <c r="U4305" s="147"/>
      <c r="V4305" s="147"/>
      <c r="W4305" s="147"/>
      <c r="X4305" s="147"/>
      <c r="Y4305" s="147"/>
      <c r="Z4305" s="147"/>
      <c r="AA4305" s="147"/>
      <c r="AB4305" s="147"/>
      <c r="AC4305" s="147"/>
      <c r="AD4305" s="147"/>
      <c r="AE4305" s="147"/>
      <c r="AF4305" s="147"/>
      <c r="AG4305" s="147"/>
      <c r="AH4305" s="147"/>
      <c r="AI4305" s="147"/>
      <c r="AJ4305" s="147"/>
      <c r="AK4305" s="147"/>
      <c r="AL4305" s="147"/>
      <c r="AM4305" s="147"/>
      <c r="AN4305" s="147"/>
      <c r="AO4305" s="147"/>
      <c r="AP4305" s="147"/>
      <c r="AQ4305" s="147"/>
      <c r="AR4305" s="147"/>
      <c r="AS4305" s="147"/>
      <c r="AT4305" s="147"/>
      <c r="AU4305" s="147"/>
      <c r="AV4305" s="147"/>
      <c r="AW4305" s="147"/>
      <c r="AX4305" s="147"/>
      <c r="AY4305" s="147"/>
      <c r="AZ4305" s="147"/>
      <c r="BA4305" s="147"/>
    </row>
    <row r="4306" spans="1:53" ht="15.75" customHeight="1">
      <c r="A4306" s="99"/>
      <c r="B4306" s="99"/>
      <c r="C4306" s="147"/>
      <c r="D4306" s="147"/>
      <c r="E4306" s="147"/>
      <c r="F4306" s="147"/>
      <c r="G4306" s="147"/>
      <c r="H4306" s="147"/>
      <c r="I4306" s="147"/>
      <c r="J4306" s="147"/>
      <c r="K4306" s="147"/>
      <c r="L4306" s="147"/>
      <c r="M4306" s="147"/>
      <c r="N4306" s="147"/>
      <c r="O4306" s="147"/>
      <c r="P4306" s="147"/>
      <c r="Q4306" s="147"/>
      <c r="R4306" s="147"/>
      <c r="S4306" s="147"/>
      <c r="T4306" s="147"/>
      <c r="U4306" s="147"/>
      <c r="V4306" s="147"/>
      <c r="W4306" s="147"/>
      <c r="X4306" s="147"/>
      <c r="Y4306" s="147"/>
      <c r="Z4306" s="147"/>
      <c r="AA4306" s="147"/>
      <c r="AB4306" s="147"/>
      <c r="AC4306" s="147"/>
      <c r="AD4306" s="147"/>
      <c r="AE4306" s="147"/>
      <c r="AF4306" s="147"/>
      <c r="AG4306" s="147"/>
      <c r="AH4306" s="147"/>
      <c r="AI4306" s="147"/>
      <c r="AJ4306" s="147"/>
      <c r="AK4306" s="147"/>
      <c r="AL4306" s="147"/>
      <c r="AM4306" s="147"/>
      <c r="AN4306" s="147"/>
      <c r="AO4306" s="147"/>
      <c r="AP4306" s="147"/>
      <c r="AQ4306" s="147"/>
      <c r="AR4306" s="147"/>
      <c r="AS4306" s="147"/>
      <c r="AT4306" s="147"/>
      <c r="AU4306" s="147"/>
      <c r="AV4306" s="147"/>
      <c r="AW4306" s="147"/>
      <c r="AX4306" s="147"/>
      <c r="AY4306" s="147"/>
      <c r="AZ4306" s="147"/>
      <c r="BA4306" s="147"/>
    </row>
    <row r="4307" spans="1:53" ht="15.75" customHeight="1">
      <c r="A4307" s="99"/>
      <c r="B4307" s="99"/>
      <c r="C4307" s="147"/>
      <c r="D4307" s="147"/>
      <c r="E4307" s="147"/>
      <c r="F4307" s="147"/>
      <c r="G4307" s="147"/>
      <c r="H4307" s="147"/>
      <c r="I4307" s="147"/>
      <c r="J4307" s="147"/>
      <c r="K4307" s="147"/>
      <c r="L4307" s="147"/>
      <c r="M4307" s="147"/>
      <c r="N4307" s="147"/>
      <c r="O4307" s="147"/>
      <c r="P4307" s="147"/>
      <c r="Q4307" s="147"/>
      <c r="R4307" s="147"/>
      <c r="S4307" s="147"/>
      <c r="T4307" s="147"/>
      <c r="U4307" s="147"/>
      <c r="V4307" s="147"/>
      <c r="W4307" s="147"/>
      <c r="X4307" s="147"/>
      <c r="Y4307" s="147"/>
      <c r="Z4307" s="147"/>
      <c r="AA4307" s="147"/>
      <c r="AB4307" s="147"/>
      <c r="AC4307" s="147"/>
      <c r="AD4307" s="147"/>
      <c r="AE4307" s="147"/>
      <c r="AF4307" s="147"/>
      <c r="AG4307" s="147"/>
      <c r="AH4307" s="147"/>
      <c r="AI4307" s="147"/>
      <c r="AJ4307" s="147"/>
      <c r="AK4307" s="147"/>
      <c r="AL4307" s="147"/>
      <c r="AM4307" s="147"/>
      <c r="AN4307" s="147"/>
      <c r="AO4307" s="147"/>
      <c r="AP4307" s="147"/>
      <c r="AQ4307" s="147"/>
      <c r="AR4307" s="147"/>
      <c r="AS4307" s="147"/>
      <c r="AT4307" s="147"/>
      <c r="AU4307" s="147"/>
      <c r="AV4307" s="147"/>
      <c r="AW4307" s="147"/>
      <c r="AX4307" s="147"/>
      <c r="AY4307" s="147"/>
      <c r="AZ4307" s="147"/>
      <c r="BA4307" s="147"/>
    </row>
    <row r="4308" spans="1:53" ht="15.75" customHeight="1">
      <c r="A4308" s="99"/>
      <c r="B4308" s="99"/>
      <c r="C4308" s="147"/>
      <c r="D4308" s="147"/>
      <c r="E4308" s="147"/>
      <c r="F4308" s="147"/>
      <c r="G4308" s="147"/>
      <c r="H4308" s="147"/>
      <c r="I4308" s="147"/>
      <c r="J4308" s="147"/>
      <c r="K4308" s="147"/>
      <c r="L4308" s="147"/>
      <c r="M4308" s="147"/>
      <c r="N4308" s="147"/>
      <c r="O4308" s="147"/>
      <c r="P4308" s="147"/>
      <c r="Q4308" s="147"/>
      <c r="R4308" s="147"/>
      <c r="S4308" s="147"/>
      <c r="T4308" s="147"/>
      <c r="U4308" s="147"/>
      <c r="V4308" s="147"/>
      <c r="W4308" s="147"/>
      <c r="X4308" s="147"/>
      <c r="Y4308" s="147"/>
      <c r="Z4308" s="147"/>
      <c r="AA4308" s="147"/>
      <c r="AB4308" s="147"/>
      <c r="AC4308" s="147"/>
      <c r="AD4308" s="147"/>
      <c r="AE4308" s="147"/>
      <c r="AF4308" s="147"/>
      <c r="AG4308" s="147"/>
      <c r="AH4308" s="147"/>
      <c r="AI4308" s="147"/>
      <c r="AJ4308" s="147"/>
      <c r="AK4308" s="147"/>
      <c r="AL4308" s="147"/>
      <c r="AM4308" s="147"/>
      <c r="AN4308" s="147"/>
      <c r="AO4308" s="147"/>
      <c r="AP4308" s="147"/>
      <c r="AQ4308" s="147"/>
      <c r="AR4308" s="147"/>
      <c r="AS4308" s="147"/>
      <c r="AT4308" s="147"/>
      <c r="AU4308" s="147"/>
      <c r="AV4308" s="147"/>
      <c r="AW4308" s="147"/>
      <c r="AX4308" s="147"/>
      <c r="AY4308" s="147"/>
      <c r="AZ4308" s="147"/>
      <c r="BA4308" s="147"/>
    </row>
    <row r="4309" spans="1:53" ht="15.75" customHeight="1">
      <c r="A4309" s="99"/>
      <c r="B4309" s="99"/>
      <c r="C4309" s="147"/>
      <c r="D4309" s="147"/>
      <c r="E4309" s="147"/>
      <c r="F4309" s="147"/>
      <c r="G4309" s="147"/>
      <c r="H4309" s="147"/>
      <c r="I4309" s="147"/>
      <c r="J4309" s="147"/>
      <c r="K4309" s="147"/>
      <c r="L4309" s="147"/>
      <c r="M4309" s="147"/>
      <c r="N4309" s="147"/>
      <c r="O4309" s="147"/>
      <c r="P4309" s="147"/>
      <c r="Q4309" s="147"/>
      <c r="R4309" s="147"/>
      <c r="S4309" s="147"/>
      <c r="T4309" s="147"/>
      <c r="U4309" s="147"/>
      <c r="V4309" s="147"/>
      <c r="W4309" s="147"/>
      <c r="X4309" s="147"/>
      <c r="Y4309" s="147"/>
      <c r="Z4309" s="147"/>
      <c r="AA4309" s="147"/>
      <c r="AB4309" s="147"/>
      <c r="AC4309" s="147"/>
      <c r="AD4309" s="147"/>
      <c r="AE4309" s="147"/>
      <c r="AF4309" s="147"/>
      <c r="AG4309" s="147"/>
      <c r="AH4309" s="147"/>
      <c r="AI4309" s="147"/>
      <c r="AJ4309" s="147"/>
      <c r="AK4309" s="147"/>
      <c r="AL4309" s="147"/>
      <c r="AM4309" s="147"/>
      <c r="AN4309" s="147"/>
      <c r="AO4309" s="147"/>
      <c r="AP4309" s="147"/>
      <c r="AQ4309" s="147"/>
      <c r="AR4309" s="147"/>
      <c r="AS4309" s="147"/>
      <c r="AT4309" s="147"/>
      <c r="AU4309" s="147"/>
      <c r="AV4309" s="147"/>
      <c r="AW4309" s="147"/>
      <c r="AX4309" s="147"/>
      <c r="AY4309" s="147"/>
      <c r="AZ4309" s="147"/>
      <c r="BA4309" s="147"/>
    </row>
    <row r="4310" spans="1:53" ht="15.75" customHeight="1">
      <c r="A4310" s="99"/>
      <c r="B4310" s="99"/>
      <c r="C4310" s="147"/>
      <c r="D4310" s="147"/>
      <c r="E4310" s="147"/>
      <c r="F4310" s="147"/>
      <c r="G4310" s="147"/>
      <c r="H4310" s="147"/>
      <c r="I4310" s="147"/>
      <c r="J4310" s="147"/>
      <c r="K4310" s="147"/>
      <c r="L4310" s="147"/>
      <c r="M4310" s="147"/>
      <c r="N4310" s="147"/>
      <c r="O4310" s="147"/>
      <c r="P4310" s="147"/>
      <c r="Q4310" s="147"/>
      <c r="R4310" s="147"/>
      <c r="S4310" s="147"/>
      <c r="T4310" s="147"/>
      <c r="U4310" s="147"/>
      <c r="V4310" s="147"/>
      <c r="W4310" s="147"/>
      <c r="X4310" s="147"/>
      <c r="Y4310" s="147"/>
      <c r="Z4310" s="147"/>
      <c r="AA4310" s="147"/>
      <c r="AB4310" s="147"/>
      <c r="AC4310" s="147"/>
      <c r="AD4310" s="147"/>
      <c r="AE4310" s="147"/>
      <c r="AF4310" s="147"/>
      <c r="AG4310" s="147"/>
      <c r="AH4310" s="147"/>
      <c r="AI4310" s="147"/>
      <c r="AJ4310" s="147"/>
      <c r="AK4310" s="147"/>
      <c r="AL4310" s="147"/>
      <c r="AM4310" s="147"/>
      <c r="AN4310" s="147"/>
      <c r="AO4310" s="147"/>
      <c r="AP4310" s="147"/>
      <c r="AQ4310" s="147"/>
      <c r="AR4310" s="147"/>
      <c r="AS4310" s="147"/>
      <c r="AT4310" s="147"/>
      <c r="AU4310" s="147"/>
      <c r="AV4310" s="147"/>
      <c r="AW4310" s="147"/>
      <c r="AX4310" s="147"/>
      <c r="AY4310" s="147"/>
      <c r="AZ4310" s="147"/>
      <c r="BA4310" s="147"/>
    </row>
    <row r="4311" spans="1:53" ht="15.75" customHeight="1">
      <c r="A4311" s="99"/>
      <c r="B4311" s="99"/>
      <c r="C4311" s="147"/>
      <c r="D4311" s="147"/>
      <c r="E4311" s="147"/>
      <c r="F4311" s="147"/>
      <c r="G4311" s="147"/>
      <c r="H4311" s="147"/>
      <c r="I4311" s="147"/>
      <c r="J4311" s="147"/>
      <c r="K4311" s="147"/>
      <c r="L4311" s="147"/>
      <c r="M4311" s="147"/>
      <c r="N4311" s="147"/>
      <c r="O4311" s="147"/>
      <c r="P4311" s="147"/>
      <c r="Q4311" s="147"/>
      <c r="R4311" s="147"/>
      <c r="S4311" s="147"/>
      <c r="T4311" s="147"/>
      <c r="U4311" s="147"/>
      <c r="V4311" s="147"/>
      <c r="W4311" s="147"/>
      <c r="X4311" s="147"/>
      <c r="Y4311" s="147"/>
      <c r="Z4311" s="147"/>
      <c r="AA4311" s="147"/>
      <c r="AB4311" s="147"/>
      <c r="AC4311" s="147"/>
      <c r="AD4311" s="147"/>
      <c r="AE4311" s="147"/>
      <c r="AF4311" s="147"/>
      <c r="AG4311" s="147"/>
      <c r="AH4311" s="147"/>
      <c r="AI4311" s="147"/>
      <c r="AJ4311" s="147"/>
      <c r="AK4311" s="147"/>
      <c r="AL4311" s="147"/>
      <c r="AM4311" s="147"/>
      <c r="AN4311" s="147"/>
      <c r="AO4311" s="147"/>
      <c r="AP4311" s="147"/>
      <c r="AQ4311" s="147"/>
      <c r="AR4311" s="147"/>
      <c r="AS4311" s="147"/>
      <c r="AT4311" s="147"/>
      <c r="AU4311" s="147"/>
      <c r="AV4311" s="147"/>
      <c r="AW4311" s="147"/>
      <c r="AX4311" s="147"/>
      <c r="AY4311" s="147"/>
      <c r="AZ4311" s="147"/>
      <c r="BA4311" s="147"/>
    </row>
    <row r="4312" spans="1:53" ht="15.75" customHeight="1">
      <c r="A4312" s="99"/>
      <c r="B4312" s="99"/>
      <c r="C4312" s="147"/>
      <c r="D4312" s="147"/>
      <c r="E4312" s="147"/>
      <c r="F4312" s="147"/>
      <c r="G4312" s="147"/>
      <c r="H4312" s="147"/>
      <c r="I4312" s="147"/>
      <c r="J4312" s="147"/>
      <c r="K4312" s="147"/>
      <c r="L4312" s="147"/>
      <c r="M4312" s="147"/>
      <c r="N4312" s="147"/>
      <c r="O4312" s="147"/>
      <c r="P4312" s="147"/>
      <c r="Q4312" s="147"/>
      <c r="R4312" s="147"/>
      <c r="S4312" s="147"/>
      <c r="T4312" s="147"/>
      <c r="U4312" s="147"/>
      <c r="V4312" s="147"/>
      <c r="W4312" s="147"/>
      <c r="X4312" s="147"/>
      <c r="Y4312" s="147"/>
      <c r="Z4312" s="147"/>
      <c r="AA4312" s="147"/>
      <c r="AB4312" s="147"/>
      <c r="AC4312" s="147"/>
      <c r="AD4312" s="147"/>
      <c r="AE4312" s="147"/>
      <c r="AF4312" s="147"/>
      <c r="AG4312" s="147"/>
      <c r="AH4312" s="147"/>
      <c r="AI4312" s="147"/>
      <c r="AJ4312" s="147"/>
      <c r="AK4312" s="147"/>
      <c r="AL4312" s="147"/>
      <c r="AM4312" s="147"/>
      <c r="AN4312" s="147"/>
      <c r="AO4312" s="147"/>
      <c r="AP4312" s="147"/>
      <c r="AQ4312" s="147"/>
      <c r="AR4312" s="147"/>
      <c r="AS4312" s="147"/>
      <c r="AT4312" s="147"/>
      <c r="AU4312" s="147"/>
      <c r="AV4312" s="147"/>
      <c r="AW4312" s="147"/>
      <c r="AX4312" s="147"/>
      <c r="AY4312" s="147"/>
      <c r="AZ4312" s="147"/>
      <c r="BA4312" s="147"/>
    </row>
    <row r="4313" spans="1:53" ht="15.75" customHeight="1">
      <c r="A4313" s="99"/>
      <c r="B4313" s="99"/>
      <c r="C4313" s="147"/>
      <c r="D4313" s="147"/>
      <c r="E4313" s="147"/>
      <c r="F4313" s="147"/>
      <c r="G4313" s="147"/>
      <c r="H4313" s="147"/>
      <c r="I4313" s="147"/>
      <c r="J4313" s="147"/>
      <c r="K4313" s="147"/>
      <c r="L4313" s="147"/>
      <c r="M4313" s="147"/>
      <c r="N4313" s="147"/>
      <c r="O4313" s="147"/>
      <c r="P4313" s="147"/>
      <c r="Q4313" s="147"/>
      <c r="R4313" s="147"/>
      <c r="S4313" s="147"/>
      <c r="T4313" s="147"/>
      <c r="U4313" s="147"/>
      <c r="V4313" s="147"/>
      <c r="W4313" s="147"/>
      <c r="X4313" s="147"/>
      <c r="Y4313" s="147"/>
      <c r="Z4313" s="147"/>
      <c r="AA4313" s="147"/>
      <c r="AB4313" s="147"/>
      <c r="AC4313" s="147"/>
      <c r="AD4313" s="147"/>
      <c r="AE4313" s="147"/>
      <c r="AF4313" s="147"/>
      <c r="AG4313" s="147"/>
      <c r="AH4313" s="147"/>
      <c r="AI4313" s="147"/>
      <c r="AJ4313" s="147"/>
      <c r="AK4313" s="147"/>
      <c r="AL4313" s="147"/>
      <c r="AM4313" s="147"/>
      <c r="AN4313" s="147"/>
      <c r="AO4313" s="147"/>
      <c r="AP4313" s="147"/>
      <c r="AQ4313" s="147"/>
      <c r="AR4313" s="147"/>
      <c r="AS4313" s="147"/>
      <c r="AT4313" s="147"/>
      <c r="AU4313" s="147"/>
      <c r="AV4313" s="147"/>
      <c r="AW4313" s="147"/>
      <c r="AX4313" s="147"/>
      <c r="AY4313" s="147"/>
      <c r="AZ4313" s="147"/>
      <c r="BA4313" s="147"/>
    </row>
    <row r="4314" spans="1:53" ht="15.75" customHeight="1">
      <c r="A4314" s="99"/>
      <c r="B4314" s="99"/>
      <c r="C4314" s="147"/>
      <c r="D4314" s="147"/>
      <c r="E4314" s="147"/>
      <c r="F4314" s="147"/>
      <c r="G4314" s="147"/>
      <c r="H4314" s="147"/>
      <c r="I4314" s="147"/>
      <c r="J4314" s="147"/>
      <c r="K4314" s="147"/>
      <c r="L4314" s="147"/>
      <c r="M4314" s="147"/>
      <c r="N4314" s="147"/>
      <c r="O4314" s="147"/>
      <c r="P4314" s="147"/>
      <c r="Q4314" s="147"/>
      <c r="R4314" s="147"/>
      <c r="S4314" s="147"/>
      <c r="T4314" s="147"/>
      <c r="U4314" s="147"/>
      <c r="V4314" s="147"/>
      <c r="W4314" s="147"/>
      <c r="X4314" s="147"/>
      <c r="Y4314" s="147"/>
      <c r="Z4314" s="147"/>
      <c r="AA4314" s="147"/>
      <c r="AB4314" s="147"/>
      <c r="AC4314" s="147"/>
      <c r="AD4314" s="147"/>
      <c r="AE4314" s="147"/>
      <c r="AF4314" s="147"/>
      <c r="AG4314" s="147"/>
      <c r="AH4314" s="147"/>
      <c r="AI4314" s="147"/>
      <c r="AJ4314" s="147"/>
      <c r="AK4314" s="147"/>
      <c r="AL4314" s="147"/>
      <c r="AM4314" s="147"/>
      <c r="AN4314" s="147"/>
      <c r="AO4314" s="147"/>
      <c r="AP4314" s="147"/>
      <c r="AQ4314" s="147"/>
      <c r="AR4314" s="147"/>
      <c r="AS4314" s="147"/>
      <c r="AT4314" s="147"/>
      <c r="AU4314" s="147"/>
      <c r="AV4314" s="147"/>
      <c r="AW4314" s="147"/>
      <c r="AX4314" s="147"/>
      <c r="AY4314" s="147"/>
      <c r="AZ4314" s="147"/>
      <c r="BA4314" s="147"/>
    </row>
    <row r="4315" spans="1:53" ht="15.75" customHeight="1">
      <c r="A4315" s="99"/>
      <c r="B4315" s="99"/>
      <c r="C4315" s="147"/>
      <c r="D4315" s="147"/>
      <c r="E4315" s="147"/>
      <c r="F4315" s="147"/>
      <c r="G4315" s="147"/>
      <c r="H4315" s="147"/>
      <c r="I4315" s="147"/>
      <c r="J4315" s="147"/>
      <c r="K4315" s="147"/>
      <c r="L4315" s="147"/>
      <c r="M4315" s="147"/>
      <c r="N4315" s="147"/>
      <c r="O4315" s="147"/>
      <c r="P4315" s="147"/>
      <c r="Q4315" s="147"/>
      <c r="R4315" s="147"/>
      <c r="S4315" s="147"/>
      <c r="T4315" s="147"/>
      <c r="U4315" s="147"/>
      <c r="V4315" s="147"/>
      <c r="W4315" s="147"/>
      <c r="X4315" s="147"/>
      <c r="Y4315" s="147"/>
      <c r="Z4315" s="147"/>
      <c r="AA4315" s="147"/>
      <c r="AB4315" s="147"/>
      <c r="AC4315" s="147"/>
      <c r="AD4315" s="147"/>
      <c r="AE4315" s="147"/>
      <c r="AF4315" s="147"/>
      <c r="AG4315" s="147"/>
      <c r="AH4315" s="147"/>
      <c r="AI4315" s="147"/>
      <c r="AJ4315" s="147"/>
      <c r="AK4315" s="147"/>
      <c r="AL4315" s="147"/>
      <c r="AM4315" s="147"/>
      <c r="AN4315" s="147"/>
      <c r="AO4315" s="147"/>
      <c r="AP4315" s="147"/>
      <c r="AQ4315" s="147"/>
      <c r="AR4315" s="147"/>
      <c r="AS4315" s="147"/>
      <c r="AT4315" s="147"/>
      <c r="AU4315" s="147"/>
      <c r="AV4315" s="147"/>
      <c r="AW4315" s="147"/>
      <c r="AX4315" s="147"/>
      <c r="AY4315" s="147"/>
      <c r="AZ4315" s="147"/>
      <c r="BA4315" s="147"/>
    </row>
    <row r="4316" spans="1:53" ht="15.75" customHeight="1">
      <c r="A4316" s="99"/>
      <c r="B4316" s="99"/>
      <c r="C4316" s="147"/>
      <c r="D4316" s="147"/>
      <c r="E4316" s="147"/>
      <c r="F4316" s="147"/>
      <c r="G4316" s="147"/>
      <c r="H4316" s="147"/>
      <c r="I4316" s="147"/>
      <c r="J4316" s="147"/>
      <c r="K4316" s="147"/>
      <c r="L4316" s="147"/>
      <c r="M4316" s="147"/>
      <c r="N4316" s="147"/>
      <c r="O4316" s="147"/>
      <c r="P4316" s="147"/>
      <c r="Q4316" s="147"/>
      <c r="R4316" s="147"/>
      <c r="S4316" s="147"/>
      <c r="T4316" s="147"/>
      <c r="U4316" s="147"/>
      <c r="V4316" s="147"/>
      <c r="W4316" s="147"/>
      <c r="X4316" s="147"/>
      <c r="Y4316" s="147"/>
      <c r="Z4316" s="147"/>
      <c r="AA4316" s="147"/>
      <c r="AB4316" s="147"/>
      <c r="AC4316" s="147"/>
      <c r="AD4316" s="147"/>
      <c r="AE4316" s="147"/>
      <c r="AF4316" s="147"/>
      <c r="AG4316" s="147"/>
      <c r="AH4316" s="147"/>
      <c r="AI4316" s="147"/>
      <c r="AJ4316" s="147"/>
      <c r="AK4316" s="147"/>
      <c r="AL4316" s="147"/>
      <c r="AM4316" s="147"/>
      <c r="AN4316" s="147"/>
      <c r="AO4316" s="147"/>
      <c r="AP4316" s="147"/>
      <c r="AQ4316" s="147"/>
      <c r="AR4316" s="147"/>
      <c r="AS4316" s="147"/>
      <c r="AT4316" s="147"/>
      <c r="AU4316" s="147"/>
      <c r="AV4316" s="147"/>
      <c r="AW4316" s="147"/>
      <c r="AX4316" s="147"/>
      <c r="AY4316" s="147"/>
      <c r="AZ4316" s="147"/>
      <c r="BA4316" s="147"/>
    </row>
    <row r="4317" spans="1:53" ht="15.75" customHeight="1">
      <c r="A4317" s="99"/>
      <c r="B4317" s="99"/>
      <c r="C4317" s="147"/>
      <c r="D4317" s="147"/>
      <c r="E4317" s="147"/>
      <c r="F4317" s="147"/>
      <c r="G4317" s="147"/>
      <c r="H4317" s="147"/>
      <c r="I4317" s="147"/>
      <c r="J4317" s="147"/>
      <c r="K4317" s="147"/>
      <c r="L4317" s="147"/>
      <c r="M4317" s="147"/>
      <c r="N4317" s="147"/>
      <c r="O4317" s="147"/>
      <c r="P4317" s="147"/>
      <c r="Q4317" s="147"/>
      <c r="R4317" s="147"/>
      <c r="S4317" s="147"/>
      <c r="T4317" s="147"/>
      <c r="U4317" s="147"/>
      <c r="V4317" s="147"/>
      <c r="W4317" s="147"/>
      <c r="X4317" s="147"/>
      <c r="Y4317" s="147"/>
      <c r="Z4317" s="147"/>
      <c r="AA4317" s="147"/>
      <c r="AB4317" s="147"/>
      <c r="AC4317" s="147"/>
      <c r="AD4317" s="147"/>
      <c r="AE4317" s="147"/>
      <c r="AF4317" s="147"/>
      <c r="AG4317" s="147"/>
      <c r="AH4317" s="147"/>
      <c r="AI4317" s="147"/>
      <c r="AJ4317" s="147"/>
      <c r="AK4317" s="147"/>
      <c r="AL4317" s="147"/>
      <c r="AM4317" s="147"/>
      <c r="AN4317" s="147"/>
      <c r="AO4317" s="147"/>
      <c r="AP4317" s="147"/>
      <c r="AQ4317" s="147"/>
      <c r="AR4317" s="147"/>
      <c r="AS4317" s="147"/>
      <c r="AT4317" s="147"/>
      <c r="AU4317" s="147"/>
      <c r="AV4317" s="147"/>
      <c r="AW4317" s="147"/>
      <c r="AX4317" s="147"/>
      <c r="AY4317" s="147"/>
      <c r="AZ4317" s="147"/>
      <c r="BA4317" s="147"/>
    </row>
    <row r="4318" spans="1:53" ht="15.75" customHeight="1">
      <c r="A4318" s="99"/>
      <c r="B4318" s="99"/>
      <c r="C4318" s="147"/>
      <c r="D4318" s="147"/>
      <c r="E4318" s="147"/>
      <c r="F4318" s="147"/>
      <c r="G4318" s="147"/>
      <c r="H4318" s="147"/>
      <c r="I4318" s="147"/>
      <c r="J4318" s="147"/>
      <c r="K4318" s="147"/>
      <c r="L4318" s="147"/>
      <c r="M4318" s="147"/>
      <c r="N4318" s="147"/>
      <c r="O4318" s="147"/>
      <c r="P4318" s="147"/>
      <c r="Q4318" s="147"/>
      <c r="R4318" s="147"/>
      <c r="S4318" s="147"/>
      <c r="T4318" s="147"/>
      <c r="U4318" s="147"/>
      <c r="V4318" s="147"/>
      <c r="W4318" s="147"/>
      <c r="X4318" s="147"/>
      <c r="Y4318" s="147"/>
      <c r="Z4318" s="147"/>
      <c r="AA4318" s="147"/>
      <c r="AB4318" s="147"/>
      <c r="AC4318" s="147"/>
      <c r="AD4318" s="147"/>
      <c r="AE4318" s="147"/>
      <c r="AF4318" s="147"/>
      <c r="AG4318" s="147"/>
      <c r="AH4318" s="147"/>
      <c r="AI4318" s="147"/>
      <c r="AJ4318" s="147"/>
      <c r="AK4318" s="147"/>
      <c r="AL4318" s="147"/>
      <c r="AM4318" s="147"/>
      <c r="AN4318" s="147"/>
      <c r="AO4318" s="147"/>
      <c r="AP4318" s="147"/>
      <c r="AQ4318" s="147"/>
      <c r="AR4318" s="147"/>
      <c r="AS4318" s="147"/>
      <c r="AT4318" s="147"/>
      <c r="AU4318" s="147"/>
      <c r="AV4318" s="147"/>
      <c r="AW4318" s="147"/>
      <c r="AX4318" s="147"/>
      <c r="AY4318" s="147"/>
      <c r="AZ4318" s="147"/>
      <c r="BA4318" s="147"/>
    </row>
    <row r="4319" spans="1:53" ht="15.75" customHeight="1">
      <c r="A4319" s="99"/>
      <c r="B4319" s="99"/>
      <c r="C4319" s="147">
        <f>SUM('Assumptions (NG Heating)'!B12:B13)</f>
        <v>8.3575999999999997</v>
      </c>
      <c r="D4319" s="147"/>
      <c r="E4319" s="147"/>
      <c r="F4319" s="147"/>
      <c r="G4319" s="147"/>
      <c r="H4319" s="147"/>
      <c r="I4319" s="147"/>
      <c r="J4319" s="147"/>
      <c r="K4319" s="147"/>
      <c r="L4319" s="147"/>
      <c r="M4319" s="147"/>
      <c r="N4319" s="147"/>
      <c r="O4319" s="147"/>
      <c r="P4319" s="147"/>
      <c r="Q4319" s="147"/>
      <c r="R4319" s="147"/>
      <c r="S4319" s="147"/>
      <c r="T4319" s="147"/>
      <c r="U4319" s="147"/>
      <c r="V4319" s="147"/>
      <c r="W4319" s="147"/>
      <c r="X4319" s="147"/>
      <c r="Y4319" s="147"/>
      <c r="Z4319" s="147"/>
      <c r="AA4319" s="147"/>
      <c r="AB4319" s="147"/>
      <c r="AC4319" s="147"/>
      <c r="AD4319" s="147"/>
      <c r="AE4319" s="147"/>
      <c r="AF4319" s="147"/>
      <c r="AG4319" s="147"/>
      <c r="AH4319" s="147"/>
      <c r="AI4319" s="147"/>
      <c r="AJ4319" s="147"/>
      <c r="AK4319" s="147"/>
      <c r="AL4319" s="147"/>
      <c r="AM4319" s="147"/>
      <c r="AN4319" s="147"/>
      <c r="AO4319" s="147"/>
      <c r="AP4319" s="147"/>
      <c r="AQ4319" s="147"/>
      <c r="AR4319" s="147"/>
      <c r="AS4319" s="147"/>
      <c r="AT4319" s="147"/>
      <c r="AU4319" s="147"/>
      <c r="AV4319" s="147"/>
      <c r="AW4319" s="147"/>
      <c r="AX4319" s="147"/>
      <c r="AY4319" s="147"/>
      <c r="AZ4319" s="147"/>
      <c r="BA4319" s="147"/>
    </row>
    <row r="4320" spans="1:53" ht="15.75" customHeight="1">
      <c r="A4320" s="99"/>
      <c r="B4320" s="99"/>
      <c r="C4320" s="147"/>
      <c r="D4320" s="147"/>
      <c r="E4320" s="147"/>
      <c r="F4320" s="147"/>
      <c r="G4320" s="147"/>
      <c r="H4320" s="147"/>
      <c r="I4320" s="147"/>
      <c r="J4320" s="147"/>
      <c r="K4320" s="147"/>
      <c r="L4320" s="147"/>
      <c r="M4320" s="147"/>
      <c r="N4320" s="147"/>
      <c r="O4320" s="147"/>
      <c r="P4320" s="147"/>
      <c r="Q4320" s="147"/>
      <c r="R4320" s="147"/>
      <c r="S4320" s="147"/>
      <c r="T4320" s="147"/>
      <c r="U4320" s="147"/>
      <c r="V4320" s="147"/>
      <c r="W4320" s="147"/>
      <c r="X4320" s="147"/>
      <c r="Y4320" s="147"/>
      <c r="Z4320" s="147"/>
      <c r="AA4320" s="147"/>
      <c r="AB4320" s="147"/>
      <c r="AC4320" s="147"/>
      <c r="AD4320" s="147"/>
      <c r="AE4320" s="147"/>
      <c r="AF4320" s="147"/>
      <c r="AG4320" s="147"/>
      <c r="AH4320" s="147"/>
      <c r="AI4320" s="147"/>
      <c r="AJ4320" s="147"/>
      <c r="AK4320" s="147"/>
      <c r="AL4320" s="147"/>
      <c r="AM4320" s="147"/>
      <c r="AN4320" s="147"/>
      <c r="AO4320" s="147"/>
      <c r="AP4320" s="147"/>
      <c r="AQ4320" s="147"/>
      <c r="AR4320" s="147"/>
      <c r="AS4320" s="147"/>
      <c r="AT4320" s="147"/>
      <c r="AU4320" s="147"/>
      <c r="AV4320" s="147"/>
      <c r="AW4320" s="147"/>
      <c r="AX4320" s="147"/>
      <c r="AY4320" s="147"/>
      <c r="AZ4320" s="147"/>
      <c r="BA4320" s="147"/>
    </row>
  </sheetData>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0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55.3046875" customWidth="1"/>
    <col min="2" max="17" width="8.69140625" customWidth="1"/>
    <col min="18" max="18" width="10.15234375" customWidth="1"/>
    <col min="19" max="19" width="8.69140625" customWidth="1"/>
    <col min="20" max="20" width="10.15234375" customWidth="1"/>
    <col min="21" max="52" width="8.69140625" customWidth="1"/>
  </cols>
  <sheetData>
    <row r="1" spans="1:52" ht="14.6">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126</v>
      </c>
      <c r="B2" s="95">
        <f t="shared" ref="B2:Q2" si="0">B3/B10</f>
        <v>96.994687004035995</v>
      </c>
      <c r="C2" s="95">
        <f t="shared" si="0"/>
        <v>82.561802368421056</v>
      </c>
      <c r="D2" s="95">
        <f t="shared" si="0"/>
        <v>92.422988832098127</v>
      </c>
      <c r="E2" s="95">
        <f t="shared" si="0"/>
        <v>85.643902995324368</v>
      </c>
      <c r="F2" s="95">
        <f t="shared" si="0"/>
        <v>81.324791570560762</v>
      </c>
      <c r="G2" s="95">
        <f t="shared" si="0"/>
        <v>82.285051583593884</v>
      </c>
      <c r="H2" s="95">
        <f t="shared" si="0"/>
        <v>73.132352371089056</v>
      </c>
      <c r="I2" s="95">
        <f t="shared" si="0"/>
        <v>75.178349917306775</v>
      </c>
      <c r="J2" s="95">
        <f t="shared" si="0"/>
        <v>77.566868947213194</v>
      </c>
      <c r="K2" s="95">
        <f t="shared" si="0"/>
        <v>67.397054261131927</v>
      </c>
      <c r="L2" s="95">
        <f t="shared" si="0"/>
        <v>69.359261305247756</v>
      </c>
      <c r="M2" s="95">
        <f t="shared" si="0"/>
        <v>69.149647376821946</v>
      </c>
      <c r="N2" s="95">
        <f t="shared" si="0"/>
        <v>66.077410694889281</v>
      </c>
      <c r="O2" s="95">
        <f t="shared" si="0"/>
        <v>68.667649550254211</v>
      </c>
      <c r="P2" s="95">
        <f t="shared" si="0"/>
        <v>67.613374485645934</v>
      </c>
      <c r="Q2" s="95">
        <f t="shared" si="0"/>
        <v>63.519292757444873</v>
      </c>
      <c r="R2" s="91">
        <v>65.2</v>
      </c>
      <c r="S2" s="96">
        <v>62.54</v>
      </c>
      <c r="T2" s="91">
        <v>62.8</v>
      </c>
      <c r="U2" s="91">
        <v>62.22</v>
      </c>
      <c r="V2" s="97">
        <v>63.245459999999994</v>
      </c>
      <c r="W2" s="91">
        <v>62.18788</v>
      </c>
      <c r="X2" s="91">
        <v>61.283909999999999</v>
      </c>
      <c r="Y2" s="91">
        <v>60.782710000000002</v>
      </c>
      <c r="Z2" s="91">
        <v>60.470050000000001</v>
      </c>
      <c r="AA2" s="91">
        <v>60.726050000000001</v>
      </c>
      <c r="AB2" s="91">
        <v>60.323509999999999</v>
      </c>
      <c r="AC2" s="91">
        <v>60.154750000000007</v>
      </c>
      <c r="AD2" s="91">
        <v>59.918579999999999</v>
      </c>
      <c r="AE2" s="91">
        <v>59.74736</v>
      </c>
      <c r="AF2" s="91">
        <v>59.571719999999999</v>
      </c>
      <c r="AG2" s="91">
        <v>59.462200000000003</v>
      </c>
      <c r="AH2" s="91">
        <v>59.098179999999999</v>
      </c>
      <c r="AI2" s="91">
        <v>58.690709999999996</v>
      </c>
      <c r="AJ2" s="91">
        <v>58.279679999999999</v>
      </c>
      <c r="AK2" s="91">
        <v>57.945390000000003</v>
      </c>
      <c r="AL2" s="91">
        <v>57.822279999999999</v>
      </c>
      <c r="AM2" s="91">
        <v>57.639300000000006</v>
      </c>
      <c r="AN2" s="91">
        <v>57.618220000000008</v>
      </c>
      <c r="AO2" s="91">
        <v>57.583159999999999</v>
      </c>
      <c r="AP2" s="91">
        <v>57.428650000000005</v>
      </c>
      <c r="AQ2" s="91">
        <v>57.212560000000003</v>
      </c>
      <c r="AR2" s="91">
        <v>56.957370000000004</v>
      </c>
      <c r="AS2" s="91">
        <v>56.726020000000005</v>
      </c>
      <c r="AT2" s="91">
        <v>56.532699999999998</v>
      </c>
      <c r="AU2" s="91">
        <v>56.329940000000001</v>
      </c>
      <c r="AV2" s="91">
        <v>56.008069999999996</v>
      </c>
      <c r="AW2" s="91">
        <v>55.853279999999998</v>
      </c>
      <c r="AX2" s="91">
        <v>56.44464</v>
      </c>
      <c r="AY2" s="91">
        <v>56.523910000000001</v>
      </c>
      <c r="AZ2" s="91">
        <v>56.24409</v>
      </c>
    </row>
    <row r="3" spans="1:52" ht="15" customHeight="1">
      <c r="A3" s="93" t="s">
        <v>128</v>
      </c>
      <c r="B3" s="96">
        <f t="shared" ref="B3:Q3" si="1">35.97+7.07*B9</f>
        <v>66.936599999999999</v>
      </c>
      <c r="C3" s="96">
        <f t="shared" si="1"/>
        <v>68.562700000000007</v>
      </c>
      <c r="D3" s="96">
        <f t="shared" si="1"/>
        <v>61.9876</v>
      </c>
      <c r="E3" s="96">
        <f t="shared" si="1"/>
        <v>75.349900000000005</v>
      </c>
      <c r="F3" s="96">
        <f t="shared" si="1"/>
        <v>79.167699999999996</v>
      </c>
      <c r="G3" s="96">
        <f t="shared" si="1"/>
        <v>95.852900000000005</v>
      </c>
      <c r="H3" s="96">
        <f t="shared" si="1"/>
        <v>86.237700000000004</v>
      </c>
      <c r="I3" s="96">
        <f t="shared" si="1"/>
        <v>87.651700000000005</v>
      </c>
      <c r="J3" s="96">
        <f t="shared" si="1"/>
        <v>101.43819999999999</v>
      </c>
      <c r="K3" s="96">
        <f t="shared" si="1"/>
        <v>70.825099999999992</v>
      </c>
      <c r="L3" s="96">
        <f t="shared" si="1"/>
        <v>73.228899999999996</v>
      </c>
      <c r="M3" s="96">
        <f t="shared" si="1"/>
        <v>70.542299999999997</v>
      </c>
      <c r="N3" s="96">
        <f t="shared" si="1"/>
        <v>60.997799999999998</v>
      </c>
      <c r="O3" s="96">
        <f t="shared" si="1"/>
        <v>67.714300000000009</v>
      </c>
      <c r="P3" s="96">
        <f t="shared" si="1"/>
        <v>72.663299999999992</v>
      </c>
      <c r="Q3" s="96">
        <f t="shared" si="1"/>
        <v>59.866599999999998</v>
      </c>
      <c r="R3" s="91">
        <v>64.069999999999993</v>
      </c>
      <c r="S3" s="96">
        <v>62.54</v>
      </c>
      <c r="T3" s="91">
        <v>64.2</v>
      </c>
      <c r="U3" s="91">
        <v>65.09</v>
      </c>
      <c r="V3" s="97">
        <v>67.893280000000004</v>
      </c>
      <c r="W3" s="91">
        <v>68.408230000000003</v>
      </c>
      <c r="X3" s="91">
        <v>69.039839999999998</v>
      </c>
      <c r="Y3" s="91">
        <v>70.165930000000003</v>
      </c>
      <c r="Z3" s="91">
        <v>71.499539999999996</v>
      </c>
      <c r="AA3" s="91">
        <v>73.516589999999994</v>
      </c>
      <c r="AB3" s="91">
        <v>74.703620000000001</v>
      </c>
      <c r="AC3" s="91">
        <v>76.171610000000001</v>
      </c>
      <c r="AD3" s="91">
        <v>77.509479999999996</v>
      </c>
      <c r="AE3" s="91">
        <v>78.937030000000007</v>
      </c>
      <c r="AF3" s="91">
        <v>80.394760000000005</v>
      </c>
      <c r="AG3" s="91">
        <v>81.999220000000008</v>
      </c>
      <c r="AH3" s="91">
        <v>83.288150000000002</v>
      </c>
      <c r="AI3" s="91">
        <v>84.552180000000007</v>
      </c>
      <c r="AJ3" s="91">
        <v>85.842559999999992</v>
      </c>
      <c r="AK3" s="91">
        <v>87.282499999999999</v>
      </c>
      <c r="AL3" s="91">
        <v>89.091559999999987</v>
      </c>
      <c r="AM3" s="91">
        <v>90.845109999999991</v>
      </c>
      <c r="AN3" s="91">
        <v>92.884870000000006</v>
      </c>
      <c r="AO3" s="91">
        <v>94.960380000000001</v>
      </c>
      <c r="AP3" s="91">
        <v>96.898049999999998</v>
      </c>
      <c r="AQ3" s="91">
        <v>98.792919999999995</v>
      </c>
      <c r="AR3" s="91">
        <v>100.67492</v>
      </c>
      <c r="AS3" s="91">
        <v>102.66981</v>
      </c>
      <c r="AT3" s="91">
        <v>104.79813999999999</v>
      </c>
      <c r="AU3" s="91">
        <v>106.98112999999999</v>
      </c>
      <c r="AV3" s="91">
        <v>108.97937999999999</v>
      </c>
      <c r="AW3" s="91">
        <v>111.37461999999999</v>
      </c>
      <c r="AX3" s="91">
        <v>115.38930999999999</v>
      </c>
      <c r="AY3" s="91">
        <v>118.46299999999999</v>
      </c>
      <c r="AZ3" s="91">
        <v>120.87941000000001</v>
      </c>
    </row>
    <row r="4" spans="1:52" ht="15" customHeight="1">
      <c r="A4" s="100" t="s">
        <v>198</v>
      </c>
      <c r="B4" s="102"/>
      <c r="C4" s="102">
        <f t="shared" ref="C4:U4" si="2">C2/B2-1</f>
        <v>-0.14880077539725844</v>
      </c>
      <c r="D4" s="102">
        <f t="shared" si="2"/>
        <v>0.11944005800252322</v>
      </c>
      <c r="E4" s="102">
        <f t="shared" si="2"/>
        <v>-7.3348480961691331E-2</v>
      </c>
      <c r="F4" s="102">
        <f t="shared" si="2"/>
        <v>-5.0431043818722321E-2</v>
      </c>
      <c r="G4" s="102">
        <f t="shared" si="2"/>
        <v>1.1807715636134919E-2</v>
      </c>
      <c r="H4" s="102">
        <f t="shared" si="2"/>
        <v>-0.11123161541931526</v>
      </c>
      <c r="I4" s="102">
        <f t="shared" si="2"/>
        <v>2.7976640705277722E-2</v>
      </c>
      <c r="J4" s="102">
        <f t="shared" si="2"/>
        <v>3.1771368120392385E-2</v>
      </c>
      <c r="K4" s="102">
        <f t="shared" si="2"/>
        <v>-0.13111029005182817</v>
      </c>
      <c r="L4" s="102">
        <f t="shared" si="2"/>
        <v>2.9114136598807461E-2</v>
      </c>
      <c r="M4" s="102">
        <f t="shared" si="2"/>
        <v>-3.0221476480740694E-3</v>
      </c>
      <c r="N4" s="102">
        <f t="shared" si="2"/>
        <v>-4.4428811982090255E-2</v>
      </c>
      <c r="O4" s="102">
        <f t="shared" si="2"/>
        <v>3.92000659245757E-2</v>
      </c>
      <c r="P4" s="102">
        <f t="shared" si="2"/>
        <v>-1.5353300593705432E-2</v>
      </c>
      <c r="Q4" s="102">
        <f t="shared" si="2"/>
        <v>-6.0551359244319647E-2</v>
      </c>
      <c r="R4" s="102">
        <f t="shared" si="2"/>
        <v>2.6459791499459762E-2</v>
      </c>
      <c r="S4" s="102">
        <f t="shared" si="2"/>
        <v>-4.0797546012270036E-2</v>
      </c>
      <c r="T4" s="102">
        <f t="shared" si="2"/>
        <v>4.1573393028462302E-3</v>
      </c>
      <c r="U4" s="102">
        <f t="shared" si="2"/>
        <v>-9.2356687898088596E-3</v>
      </c>
      <c r="V4" s="97"/>
      <c r="W4" s="102">
        <f t="shared" ref="W4:AZ4" si="3">W2/V2-1</f>
        <v>-1.6721832681744986E-2</v>
      </c>
      <c r="X4" s="102">
        <f t="shared" si="3"/>
        <v>-1.4536112181344651E-2</v>
      </c>
      <c r="Y4" s="102">
        <f t="shared" si="3"/>
        <v>-8.178329352679925E-3</v>
      </c>
      <c r="Z4" s="102">
        <f t="shared" si="3"/>
        <v>-5.1438970062375189E-3</v>
      </c>
      <c r="AA4" s="102">
        <f t="shared" si="3"/>
        <v>4.2335007164704397E-3</v>
      </c>
      <c r="AB4" s="102">
        <f t="shared" si="3"/>
        <v>-6.6287861634339862E-3</v>
      </c>
      <c r="AC4" s="102">
        <f t="shared" si="3"/>
        <v>-2.7975825677251098E-3</v>
      </c>
      <c r="AD4" s="102">
        <f t="shared" si="3"/>
        <v>-3.9260407532241137E-3</v>
      </c>
      <c r="AE4" s="102">
        <f t="shared" si="3"/>
        <v>-2.857544354355479E-3</v>
      </c>
      <c r="AF4" s="102">
        <f t="shared" si="3"/>
        <v>-2.9397114784653899E-3</v>
      </c>
      <c r="AG4" s="102">
        <f t="shared" si="3"/>
        <v>-1.838456233931085E-3</v>
      </c>
      <c r="AH4" s="102">
        <f t="shared" si="3"/>
        <v>-6.1218723827911603E-3</v>
      </c>
      <c r="AI4" s="102">
        <f t="shared" si="3"/>
        <v>-6.8947977754983958E-3</v>
      </c>
      <c r="AJ4" s="102">
        <f t="shared" si="3"/>
        <v>-7.003323013131002E-3</v>
      </c>
      <c r="AK4" s="102">
        <f t="shared" si="3"/>
        <v>-5.7359614877774412E-3</v>
      </c>
      <c r="AL4" s="102">
        <f t="shared" si="3"/>
        <v>-2.1245866150871873E-3</v>
      </c>
      <c r="AM4" s="102">
        <f t="shared" si="3"/>
        <v>-3.164524124610657E-3</v>
      </c>
      <c r="AN4" s="102">
        <f t="shared" si="3"/>
        <v>-3.6572269267665103E-4</v>
      </c>
      <c r="AO4" s="102">
        <f t="shared" si="3"/>
        <v>-6.0848807894464674E-4</v>
      </c>
      <c r="AP4" s="102">
        <f t="shared" si="3"/>
        <v>-2.6832497556575907E-3</v>
      </c>
      <c r="AQ4" s="102">
        <f t="shared" si="3"/>
        <v>-3.7627560459805309E-3</v>
      </c>
      <c r="AR4" s="102">
        <f t="shared" si="3"/>
        <v>-4.4603842233243984E-3</v>
      </c>
      <c r="AS4" s="102">
        <f t="shared" si="3"/>
        <v>-4.0618097359481631E-3</v>
      </c>
      <c r="AT4" s="102">
        <f t="shared" si="3"/>
        <v>-3.4079598744986006E-3</v>
      </c>
      <c r="AU4" s="102">
        <f t="shared" si="3"/>
        <v>-3.586596783808238E-3</v>
      </c>
      <c r="AV4" s="102">
        <f t="shared" si="3"/>
        <v>-5.7140128322523687E-3</v>
      </c>
      <c r="AW4" s="102">
        <f t="shared" si="3"/>
        <v>-2.7637088726677472E-3</v>
      </c>
      <c r="AX4" s="102">
        <f t="shared" si="3"/>
        <v>1.0587739878481717E-2</v>
      </c>
      <c r="AY4" s="102">
        <f t="shared" si="3"/>
        <v>1.4043848981941665E-3</v>
      </c>
      <c r="AZ4" s="102">
        <f t="shared" si="3"/>
        <v>-4.9504714022791108E-3</v>
      </c>
    </row>
    <row r="5" spans="1:52" ht="15" customHeight="1">
      <c r="A5" s="100" t="s">
        <v>199</v>
      </c>
      <c r="B5" s="102"/>
      <c r="C5" s="102">
        <f t="shared" ref="C5:U5" si="4">C3/B3-1</f>
        <v>2.4293137087931127E-2</v>
      </c>
      <c r="D5" s="102">
        <f t="shared" si="4"/>
        <v>-9.5899082153999227E-2</v>
      </c>
      <c r="E5" s="102">
        <f t="shared" si="4"/>
        <v>0.21556408055804721</v>
      </c>
      <c r="F5" s="102">
        <f t="shared" si="4"/>
        <v>5.0667618669699488E-2</v>
      </c>
      <c r="G5" s="102">
        <f t="shared" si="4"/>
        <v>0.21075767011041124</v>
      </c>
      <c r="H5" s="102">
        <f t="shared" si="4"/>
        <v>-0.10031204063726817</v>
      </c>
      <c r="I5" s="102">
        <f t="shared" si="4"/>
        <v>1.6396541187902791E-2</v>
      </c>
      <c r="J5" s="102">
        <f t="shared" si="4"/>
        <v>0.15728730874586572</v>
      </c>
      <c r="K5" s="102">
        <f t="shared" si="4"/>
        <v>-0.3017906469160534</v>
      </c>
      <c r="L5" s="102">
        <f t="shared" si="4"/>
        <v>3.3939945019491713E-2</v>
      </c>
      <c r="M5" s="102">
        <f t="shared" si="4"/>
        <v>-3.6687701167162134E-2</v>
      </c>
      <c r="N5" s="102">
        <f t="shared" si="4"/>
        <v>-0.13530179764481731</v>
      </c>
      <c r="O5" s="102">
        <f t="shared" si="4"/>
        <v>0.11011052857644055</v>
      </c>
      <c r="P5" s="102">
        <f t="shared" si="4"/>
        <v>7.3086482471206082E-2</v>
      </c>
      <c r="Q5" s="102">
        <f t="shared" si="4"/>
        <v>-0.17610953535003226</v>
      </c>
      <c r="R5" s="102">
        <f t="shared" si="4"/>
        <v>7.0212773065448708E-2</v>
      </c>
      <c r="S5" s="102">
        <f t="shared" si="4"/>
        <v>-2.3880131106602032E-2</v>
      </c>
      <c r="T5" s="102">
        <f t="shared" si="4"/>
        <v>2.6543012472018068E-2</v>
      </c>
      <c r="U5" s="102">
        <f t="shared" si="4"/>
        <v>1.3862928348909564E-2</v>
      </c>
      <c r="V5" s="97"/>
      <c r="W5" s="102">
        <f t="shared" ref="W5:AZ5" si="5">W3/V3-1</f>
        <v>7.5846976313413972E-3</v>
      </c>
      <c r="X5" s="102">
        <f t="shared" si="5"/>
        <v>9.2329534034134575E-3</v>
      </c>
      <c r="Y5" s="102">
        <f t="shared" si="5"/>
        <v>1.6310727255451463E-2</v>
      </c>
      <c r="Z5" s="102">
        <f t="shared" si="5"/>
        <v>1.9006517835650438E-2</v>
      </c>
      <c r="AA5" s="102">
        <f t="shared" si="5"/>
        <v>2.8210671005715504E-2</v>
      </c>
      <c r="AB5" s="102">
        <f t="shared" si="5"/>
        <v>1.6146423548752731E-2</v>
      </c>
      <c r="AC5" s="102">
        <f t="shared" si="5"/>
        <v>1.9650854938488838E-2</v>
      </c>
      <c r="AD5" s="102">
        <f t="shared" si="5"/>
        <v>1.7563892899204792E-2</v>
      </c>
      <c r="AE5" s="102">
        <f t="shared" si="5"/>
        <v>1.8417747093645964E-2</v>
      </c>
      <c r="AF5" s="102">
        <f t="shared" si="5"/>
        <v>1.8466998314985883E-2</v>
      </c>
      <c r="AG5" s="102">
        <f t="shared" si="5"/>
        <v>1.9957270847005493E-2</v>
      </c>
      <c r="AH5" s="102">
        <f t="shared" si="5"/>
        <v>1.5718808056954581E-2</v>
      </c>
      <c r="AI5" s="102">
        <f t="shared" si="5"/>
        <v>1.5176588746418362E-2</v>
      </c>
      <c r="AJ5" s="102">
        <f t="shared" si="5"/>
        <v>1.5261345124395254E-2</v>
      </c>
      <c r="AK5" s="102">
        <f t="shared" si="5"/>
        <v>1.6774196855266377E-2</v>
      </c>
      <c r="AL5" s="102">
        <f t="shared" si="5"/>
        <v>2.0726491564746485E-2</v>
      </c>
      <c r="AM5" s="102">
        <f t="shared" si="5"/>
        <v>1.9682560278437178E-2</v>
      </c>
      <c r="AN5" s="102">
        <f t="shared" si="5"/>
        <v>2.2453162311103059E-2</v>
      </c>
      <c r="AO5" s="102">
        <f t="shared" si="5"/>
        <v>2.2344973944626201E-2</v>
      </c>
      <c r="AP5" s="102">
        <f t="shared" si="5"/>
        <v>2.0405036289871559E-2</v>
      </c>
      <c r="AQ5" s="102">
        <f t="shared" si="5"/>
        <v>1.9555295488402402E-2</v>
      </c>
      <c r="AR5" s="102">
        <f t="shared" si="5"/>
        <v>1.9049948113690762E-2</v>
      </c>
      <c r="AS5" s="102">
        <f t="shared" si="5"/>
        <v>1.9815163498515753E-2</v>
      </c>
      <c r="AT5" s="102">
        <f t="shared" si="5"/>
        <v>2.0729852329521181E-2</v>
      </c>
      <c r="AU5" s="102">
        <f t="shared" si="5"/>
        <v>2.0830426952234138E-2</v>
      </c>
      <c r="AV5" s="102">
        <f t="shared" si="5"/>
        <v>1.8678527699230729E-2</v>
      </c>
      <c r="AW5" s="102">
        <f t="shared" si="5"/>
        <v>2.197883673039791E-2</v>
      </c>
      <c r="AX5" s="102">
        <f t="shared" si="5"/>
        <v>3.6046722314293955E-2</v>
      </c>
      <c r="AY5" s="102">
        <f t="shared" si="5"/>
        <v>2.6637562873025322E-2</v>
      </c>
      <c r="AZ5" s="102">
        <f t="shared" si="5"/>
        <v>2.0398014569950274E-2</v>
      </c>
    </row>
    <row r="6" spans="1:52" ht="15" customHeight="1">
      <c r="A6" s="93" t="s">
        <v>200</v>
      </c>
      <c r="B6" s="91">
        <f t="shared" ref="B6:U6" si="6">C6/(1+B4)</f>
        <v>249.42381743242936</v>
      </c>
      <c r="C6" s="91">
        <f t="shared" si="6"/>
        <v>249.42381743242936</v>
      </c>
      <c r="D6" s="91">
        <f t="shared" si="6"/>
        <v>212.30935999593964</v>
      </c>
      <c r="E6" s="91">
        <f t="shared" si="6"/>
        <v>237.66760226833327</v>
      </c>
      <c r="F6" s="91">
        <f t="shared" si="6"/>
        <v>220.23504466814359</v>
      </c>
      <c r="G6" s="91">
        <f t="shared" si="6"/>
        <v>209.12836148006616</v>
      </c>
      <c r="H6" s="91">
        <f t="shared" si="6"/>
        <v>211.59768970387361</v>
      </c>
      <c r="I6" s="91">
        <f t="shared" si="6"/>
        <v>188.06133685911675</v>
      </c>
      <c r="J6" s="91">
        <f t="shared" si="6"/>
        <v>193.32266131097848</v>
      </c>
      <c r="K6" s="91">
        <f t="shared" si="6"/>
        <v>199.4647867495035</v>
      </c>
      <c r="L6" s="91">
        <f t="shared" si="6"/>
        <v>173.31290070365006</v>
      </c>
      <c r="M6" s="91">
        <f t="shared" si="6"/>
        <v>178.35875616907168</v>
      </c>
      <c r="N6" s="91">
        <f t="shared" si="6"/>
        <v>177.8197296736019</v>
      </c>
      <c r="O6" s="91">
        <f t="shared" si="6"/>
        <v>169.91941033722733</v>
      </c>
      <c r="P6" s="91">
        <f t="shared" si="6"/>
        <v>176.58026242431168</v>
      </c>
      <c r="Q6" s="91">
        <f t="shared" si="6"/>
        <v>173.86917257639584</v>
      </c>
      <c r="R6" s="91">
        <f t="shared" si="6"/>
        <v>163.34115784620988</v>
      </c>
      <c r="S6" s="91">
        <f t="shared" si="6"/>
        <v>167.66313082610094</v>
      </c>
      <c r="T6" s="91">
        <f t="shared" si="6"/>
        <v>160.82288653166182</v>
      </c>
      <c r="U6" s="91">
        <f t="shared" si="6"/>
        <v>161.49148183863707</v>
      </c>
      <c r="V6" s="97">
        <v>160</v>
      </c>
      <c r="W6" s="91">
        <f t="shared" ref="W6:AZ6" si="7">V6*(1+W4)</f>
        <v>157.32450677092081</v>
      </c>
      <c r="X6" s="91">
        <f t="shared" si="7"/>
        <v>155.03762009162398</v>
      </c>
      <c r="Y6" s="91">
        <f t="shared" si="7"/>
        <v>153.76967137245902</v>
      </c>
      <c r="Z6" s="91">
        <f t="shared" si="7"/>
        <v>152.9786960202361</v>
      </c>
      <c r="AA6" s="91">
        <f t="shared" si="7"/>
        <v>153.62633143944248</v>
      </c>
      <c r="AB6" s="91">
        <f t="shared" si="7"/>
        <v>152.60797533925759</v>
      </c>
      <c r="AC6" s="91">
        <f t="shared" si="7"/>
        <v>152.18104192775266</v>
      </c>
      <c r="AD6" s="91">
        <f t="shared" si="7"/>
        <v>151.5835729552762</v>
      </c>
      <c r="AE6" s="91">
        <f t="shared" si="7"/>
        <v>151.15041617216482</v>
      </c>
      <c r="AF6" s="91">
        <f t="shared" si="7"/>
        <v>150.7060775587687</v>
      </c>
      <c r="AG6" s="91">
        <f t="shared" si="7"/>
        <v>150.42901103098947</v>
      </c>
      <c r="AH6" s="91">
        <f t="shared" si="7"/>
        <v>149.50810382278826</v>
      </c>
      <c r="AI6" s="91">
        <f t="shared" si="7"/>
        <v>148.47727568113191</v>
      </c>
      <c r="AJ6" s="91">
        <f t="shared" si="7"/>
        <v>147.43744135942725</v>
      </c>
      <c r="AK6" s="91">
        <f t="shared" si="7"/>
        <v>146.59174587393312</v>
      </c>
      <c r="AL6" s="91">
        <f t="shared" si="7"/>
        <v>146.2802990127671</v>
      </c>
      <c r="AM6" s="91">
        <f t="shared" si="7"/>
        <v>145.81739147758594</v>
      </c>
      <c r="AN6" s="91">
        <f t="shared" si="7"/>
        <v>145.76406274853568</v>
      </c>
      <c r="AO6" s="91">
        <f t="shared" si="7"/>
        <v>145.67536705401466</v>
      </c>
      <c r="AP6" s="91">
        <f t="shared" si="7"/>
        <v>145.28448366096166</v>
      </c>
      <c r="AQ6" s="91">
        <f t="shared" si="7"/>
        <v>144.73781359167921</v>
      </c>
      <c r="AR6" s="91">
        <f t="shared" si="7"/>
        <v>144.09222733141641</v>
      </c>
      <c r="AS6" s="91">
        <f t="shared" si="7"/>
        <v>143.50695211956722</v>
      </c>
      <c r="AT6" s="91">
        <f t="shared" si="7"/>
        <v>143.01788618503213</v>
      </c>
      <c r="AU6" s="91">
        <f t="shared" si="7"/>
        <v>142.50493869441382</v>
      </c>
      <c r="AV6" s="91">
        <f t="shared" si="7"/>
        <v>141.69066364605462</v>
      </c>
      <c r="AW6" s="91">
        <f t="shared" si="7"/>
        <v>141.29907190176183</v>
      </c>
      <c r="AX6" s="91">
        <f t="shared" si="7"/>
        <v>142.79510972012858</v>
      </c>
      <c r="AY6" s="91">
        <f t="shared" si="7"/>
        <v>142.9956490157555</v>
      </c>
      <c r="AZ6" s="91">
        <f t="shared" si="7"/>
        <v>142.28775314465267</v>
      </c>
    </row>
    <row r="7" spans="1:52" ht="15" customHeight="1">
      <c r="A7" s="93" t="s">
        <v>130</v>
      </c>
      <c r="B7" s="91">
        <f t="shared" ref="B7:U7" si="8">C7/(1+B5)</f>
        <v>164.53919188815482</v>
      </c>
      <c r="C7" s="91">
        <f t="shared" si="8"/>
        <v>164.53919188815482</v>
      </c>
      <c r="D7" s="91">
        <f t="shared" si="8"/>
        <v>168.53636503303116</v>
      </c>
      <c r="E7" s="91">
        <f t="shared" si="8"/>
        <v>152.37388231679211</v>
      </c>
      <c r="F7" s="91">
        <f t="shared" si="8"/>
        <v>185.2202181594715</v>
      </c>
      <c r="G7" s="91">
        <f t="shared" si="8"/>
        <v>194.60488554309416</v>
      </c>
      <c r="H7" s="91">
        <f t="shared" si="8"/>
        <v>235.61935781225995</v>
      </c>
      <c r="I7" s="91">
        <f t="shared" si="8"/>
        <v>211.9838992164695</v>
      </c>
      <c r="J7" s="91">
        <f t="shared" si="8"/>
        <v>215.45970195114458</v>
      </c>
      <c r="K7" s="91">
        <f t="shared" si="8"/>
        <v>249.34877861422646</v>
      </c>
      <c r="L7" s="91">
        <f t="shared" si="8"/>
        <v>174.09764940851127</v>
      </c>
      <c r="M7" s="91">
        <f t="shared" si="8"/>
        <v>180.0065140574589</v>
      </c>
      <c r="N7" s="91">
        <f t="shared" si="8"/>
        <v>173.40248886157627</v>
      </c>
      <c r="O7" s="91">
        <f t="shared" si="8"/>
        <v>149.94082040251959</v>
      </c>
      <c r="P7" s="91">
        <f t="shared" si="8"/>
        <v>166.45088339222616</v>
      </c>
      <c r="Q7" s="91">
        <f t="shared" si="8"/>
        <v>178.61619296358887</v>
      </c>
      <c r="R7" s="91">
        <f t="shared" si="8"/>
        <v>147.16017821477953</v>
      </c>
      <c r="S7" s="91">
        <f t="shared" si="8"/>
        <v>157.49270241204485</v>
      </c>
      <c r="T7" s="91">
        <f t="shared" si="8"/>
        <v>153.73175603011217</v>
      </c>
      <c r="U7" s="91">
        <f t="shared" si="8"/>
        <v>157.81225994776466</v>
      </c>
      <c r="V7" s="97">
        <v>160</v>
      </c>
      <c r="W7" s="91">
        <f t="shared" ref="W7:AZ7" si="9">V7*(1+W5)</f>
        <v>161.21355162101463</v>
      </c>
      <c r="X7" s="91">
        <f t="shared" si="9"/>
        <v>162.70202883113024</v>
      </c>
      <c r="Y7" s="91">
        <f t="shared" si="9"/>
        <v>165.35581724730341</v>
      </c>
      <c r="Z7" s="91">
        <f t="shared" si="9"/>
        <v>168.49865553704282</v>
      </c>
      <c r="AA7" s="91">
        <f t="shared" si="9"/>
        <v>173.25211567330371</v>
      </c>
      <c r="AB7" s="91">
        <f t="shared" si="9"/>
        <v>176.04951771368238</v>
      </c>
      <c r="AC7" s="91">
        <f t="shared" si="9"/>
        <v>179.50904124826488</v>
      </c>
      <c r="AD7" s="91">
        <f t="shared" si="9"/>
        <v>182.66191882318833</v>
      </c>
      <c r="AE7" s="91">
        <f t="shared" si="9"/>
        <v>186.02613984771389</v>
      </c>
      <c r="AF7" s="91">
        <f t="shared" si="9"/>
        <v>189.46148425882495</v>
      </c>
      <c r="AG7" s="91">
        <f t="shared" si="9"/>
        <v>193.24261841525399</v>
      </c>
      <c r="AH7" s="91">
        <f t="shared" si="9"/>
        <v>196.28016204254669</v>
      </c>
      <c r="AI7" s="91">
        <f t="shared" si="9"/>
        <v>199.25902534094678</v>
      </c>
      <c r="AJ7" s="91">
        <f t="shared" si="9"/>
        <v>202.29998609582557</v>
      </c>
      <c r="AK7" s="91">
        <f t="shared" si="9"/>
        <v>205.69340588641461</v>
      </c>
      <c r="AL7" s="91">
        <f t="shared" si="9"/>
        <v>209.95670852844336</v>
      </c>
      <c r="AM7" s="91">
        <f t="shared" si="9"/>
        <v>214.08919409991671</v>
      </c>
      <c r="AN7" s="91">
        <f t="shared" si="9"/>
        <v>218.89617352409539</v>
      </c>
      <c r="AO7" s="91">
        <f t="shared" si="9"/>
        <v>223.78740281806967</v>
      </c>
      <c r="AP7" s="91">
        <f t="shared" si="9"/>
        <v>228.35379289378849</v>
      </c>
      <c r="AQ7" s="91">
        <f t="shared" si="9"/>
        <v>232.81931878972398</v>
      </c>
      <c r="AR7" s="91">
        <f t="shared" si="9"/>
        <v>237.25451473253304</v>
      </c>
      <c r="AS7" s="91">
        <f t="shared" si="9"/>
        <v>241.95575173271919</v>
      </c>
      <c r="AT7" s="91">
        <f t="shared" si="9"/>
        <v>246.97145873641676</v>
      </c>
      <c r="AU7" s="91">
        <f t="shared" si="9"/>
        <v>252.11597966691241</v>
      </c>
      <c r="AV7" s="91">
        <f t="shared" si="9"/>
        <v>256.82513497653952</v>
      </c>
      <c r="AW7" s="91">
        <f t="shared" si="9"/>
        <v>262.4698526864513</v>
      </c>
      <c r="AX7" s="91">
        <f t="shared" si="9"/>
        <v>271.93103058211346</v>
      </c>
      <c r="AY7" s="91">
        <f t="shared" si="9"/>
        <v>279.1746105063711</v>
      </c>
      <c r="AZ7" s="91">
        <f t="shared" si="9"/>
        <v>284.86921827904024</v>
      </c>
    </row>
    <row r="8" spans="1:52" ht="15" customHeight="1">
      <c r="A8" s="93" t="s">
        <v>204</v>
      </c>
      <c r="B8" s="95">
        <f t="shared" ref="B8:T8" si="10">B9/B10</f>
        <v>6.3468525302701018</v>
      </c>
      <c r="C8" s="95">
        <f t="shared" si="10"/>
        <v>5.5512678018575849</v>
      </c>
      <c r="D8" s="95">
        <f t="shared" si="10"/>
        <v>5.4868489649884991</v>
      </c>
      <c r="E8" s="95">
        <f t="shared" si="10"/>
        <v>6.3309511981297479</v>
      </c>
      <c r="F8" s="95">
        <f t="shared" si="10"/>
        <v>6.2764798837925859</v>
      </c>
      <c r="G8" s="95">
        <f t="shared" si="10"/>
        <v>7.2710829501563357</v>
      </c>
      <c r="H8" s="95">
        <f t="shared" si="10"/>
        <v>6.0295094298484679</v>
      </c>
      <c r="I8" s="95">
        <f t="shared" si="10"/>
        <v>6.2697442022860077</v>
      </c>
      <c r="J8" s="95">
        <f t="shared" si="10"/>
        <v>7.0808552049542897</v>
      </c>
      <c r="K8" s="95">
        <f t="shared" si="10"/>
        <v>4.6913802805415097</v>
      </c>
      <c r="L8" s="95">
        <f t="shared" si="10"/>
        <v>4.9915171070254463</v>
      </c>
      <c r="M8" s="95">
        <f t="shared" si="10"/>
        <v>4.7934611668836897</v>
      </c>
      <c r="N8" s="95">
        <f t="shared" si="10"/>
        <v>3.8347945968528059</v>
      </c>
      <c r="O8" s="95">
        <f t="shared" si="10"/>
        <v>4.5532147047321079</v>
      </c>
      <c r="P8" s="95">
        <f t="shared" si="10"/>
        <v>4.8293074162679428</v>
      </c>
      <c r="Q8" s="95">
        <f t="shared" si="10"/>
        <v>3.5862268697431237</v>
      </c>
      <c r="R8" s="95">
        <f t="shared" si="10"/>
        <v>3.2313434287302027</v>
      </c>
      <c r="S8" s="95">
        <f t="shared" si="10"/>
        <v>3.52</v>
      </c>
      <c r="T8" s="95">
        <f t="shared" si="10"/>
        <v>3.7020760931583587</v>
      </c>
      <c r="U8" s="93">
        <v>4.1500000000000004</v>
      </c>
      <c r="V8" s="97">
        <v>4.2985610000000003</v>
      </c>
      <c r="W8" s="91">
        <v>4.2361449999999996</v>
      </c>
      <c r="X8" s="91">
        <v>4.2766760000000001</v>
      </c>
      <c r="Y8" s="91">
        <v>4.3976439999999997</v>
      </c>
      <c r="Z8" s="91">
        <v>4.5025930000000001</v>
      </c>
      <c r="AA8" s="91">
        <v>4.629785</v>
      </c>
      <c r="AB8" s="91">
        <v>4.6663119999999996</v>
      </c>
      <c r="AC8" s="91">
        <v>4.7123790000000003</v>
      </c>
      <c r="AD8" s="91">
        <v>4.7187349999999997</v>
      </c>
      <c r="AE8" s="91">
        <v>4.7830570000000003</v>
      </c>
      <c r="AF8" s="91">
        <v>4.7796240000000001</v>
      </c>
      <c r="AG8" s="91">
        <v>4.7721999999999998</v>
      </c>
      <c r="AH8" s="91">
        <v>4.78775</v>
      </c>
      <c r="AI8" s="91">
        <v>4.7727040000000001</v>
      </c>
      <c r="AJ8" s="91">
        <v>4.7803089999999999</v>
      </c>
      <c r="AK8" s="91">
        <v>4.7717489999999998</v>
      </c>
      <c r="AL8" s="91">
        <v>4.8809269999999998</v>
      </c>
      <c r="AM8" s="91">
        <v>4.8832019999999998</v>
      </c>
      <c r="AN8" s="91">
        <v>4.9507750000000001</v>
      </c>
      <c r="AO8" s="91">
        <v>5.0003739999999999</v>
      </c>
      <c r="AP8" s="91">
        <v>5.0288539999999999</v>
      </c>
      <c r="AQ8" s="91">
        <v>5.0585420000000001</v>
      </c>
      <c r="AR8" s="91">
        <v>5.1167959999999999</v>
      </c>
      <c r="AS8" s="91">
        <v>5.1581760000000001</v>
      </c>
      <c r="AT8" s="91">
        <v>5.2137270000000004</v>
      </c>
      <c r="AU8" s="91">
        <v>5.2504759999999999</v>
      </c>
      <c r="AV8" s="91">
        <v>5.2969249999999999</v>
      </c>
      <c r="AW8" s="91">
        <v>5.3486310000000001</v>
      </c>
      <c r="AX8" s="91">
        <v>5.4427149999999997</v>
      </c>
      <c r="AY8" s="91">
        <v>5.5061720000000003</v>
      </c>
      <c r="AZ8" s="91">
        <v>5.6015759999999997</v>
      </c>
    </row>
    <row r="9" spans="1:52" ht="15" customHeight="1">
      <c r="A9" s="93" t="s">
        <v>207</v>
      </c>
      <c r="B9" s="91">
        <v>4.38</v>
      </c>
      <c r="C9" s="91">
        <v>4.6100000000000003</v>
      </c>
      <c r="D9" s="91">
        <v>3.68</v>
      </c>
      <c r="E9" s="91">
        <v>5.57</v>
      </c>
      <c r="F9" s="91">
        <v>6.11</v>
      </c>
      <c r="G9" s="91">
        <v>8.4700000000000006</v>
      </c>
      <c r="H9" s="91">
        <v>7.11</v>
      </c>
      <c r="I9" s="91">
        <v>7.31</v>
      </c>
      <c r="J9" s="91">
        <v>9.26</v>
      </c>
      <c r="K9" s="91">
        <v>4.93</v>
      </c>
      <c r="L9" s="91">
        <v>5.27</v>
      </c>
      <c r="M9" s="91">
        <v>4.8899999999999997</v>
      </c>
      <c r="N9" s="91">
        <v>3.54</v>
      </c>
      <c r="O9" s="91">
        <v>4.49</v>
      </c>
      <c r="P9" s="91">
        <v>5.19</v>
      </c>
      <c r="Q9" s="91">
        <v>3.38</v>
      </c>
      <c r="R9" s="91">
        <v>2.99</v>
      </c>
      <c r="S9" s="106">
        <v>3.52</v>
      </c>
      <c r="T9" s="106">
        <v>3.67</v>
      </c>
      <c r="U9" s="106">
        <v>3.3895059999999999</v>
      </c>
      <c r="V9" s="107">
        <v>3.5205359999999999</v>
      </c>
      <c r="W9" s="106">
        <v>3.4643860000000002</v>
      </c>
      <c r="X9" s="106">
        <v>3.522084</v>
      </c>
      <c r="Y9" s="106">
        <v>3.6960329999999999</v>
      </c>
      <c r="Z9" s="106">
        <v>3.9273989999999999</v>
      </c>
      <c r="AA9" s="106">
        <v>4.1603110000000001</v>
      </c>
      <c r="AB9" s="106">
        <v>4.2294790000000004</v>
      </c>
      <c r="AC9" s="106">
        <v>4.2377339999999997</v>
      </c>
      <c r="AD9" s="106">
        <v>4.3179169999999996</v>
      </c>
      <c r="AE9" s="106">
        <v>4.3116459999999996</v>
      </c>
      <c r="AF9" s="106">
        <v>4.3508570000000004</v>
      </c>
      <c r="AG9" s="106">
        <v>4.3408930000000003</v>
      </c>
      <c r="AH9" s="106">
        <v>4.4974610000000004</v>
      </c>
      <c r="AI9" s="106">
        <v>4.554608</v>
      </c>
      <c r="AJ9" s="106">
        <v>4.5969170000000004</v>
      </c>
      <c r="AK9" s="106">
        <v>4.6352840000000004</v>
      </c>
      <c r="AL9" s="106">
        <v>4.7120050000000004</v>
      </c>
      <c r="AM9" s="106">
        <v>4.72262</v>
      </c>
      <c r="AN9" s="106">
        <v>4.7219879999999996</v>
      </c>
      <c r="AO9" s="106">
        <v>4.7411029999999998</v>
      </c>
      <c r="AP9" s="106">
        <v>4.8132469999999996</v>
      </c>
      <c r="AQ9" s="106">
        <v>4.7929599999999999</v>
      </c>
      <c r="AR9" s="106">
        <v>4.8376070000000002</v>
      </c>
      <c r="AS9" s="106">
        <v>4.9017369999999998</v>
      </c>
      <c r="AT9" s="106">
        <v>4.9949539999999999</v>
      </c>
      <c r="AU9" s="106">
        <v>5.0694549999999996</v>
      </c>
      <c r="AV9" s="106">
        <v>5.1259620000000004</v>
      </c>
      <c r="AW9" s="106">
        <v>5.2034599999999998</v>
      </c>
      <c r="AX9" s="106">
        <v>5.3523440000000004</v>
      </c>
      <c r="AY9" s="106">
        <v>5.4477909999999996</v>
      </c>
      <c r="AZ9" s="106">
        <v>5.5391450000000004</v>
      </c>
    </row>
    <row r="10" spans="1:52" ht="14.6">
      <c r="A10" s="93" t="s">
        <v>208</v>
      </c>
      <c r="B10" s="94">
        <v>0.69010584051077695</v>
      </c>
      <c r="C10" s="94">
        <v>0.83044093071088831</v>
      </c>
      <c r="D10" s="94">
        <v>0.67069460513347912</v>
      </c>
      <c r="E10" s="94">
        <v>0.87980460213395051</v>
      </c>
      <c r="F10" s="94">
        <v>0.97347559669194872</v>
      </c>
      <c r="G10" s="94">
        <v>1.1648883746839784</v>
      </c>
      <c r="H10" s="94">
        <v>1.1792004113639287</v>
      </c>
      <c r="I10" s="94">
        <v>1.165916784505292</v>
      </c>
      <c r="J10" s="94">
        <v>1.3077516390281529</v>
      </c>
      <c r="K10" s="94">
        <v>1.0508634357458115</v>
      </c>
      <c r="L10" s="94">
        <v>1.0557912328062735</v>
      </c>
      <c r="M10" s="94">
        <v>1.0201396923340618</v>
      </c>
      <c r="N10" s="94">
        <v>0.92312636585679397</v>
      </c>
      <c r="O10" s="94">
        <v>0.98611646741226389</v>
      </c>
      <c r="P10" s="94">
        <v>1.0746882632729142</v>
      </c>
      <c r="Q10" s="94">
        <v>0.94249475082487033</v>
      </c>
      <c r="R10" s="94">
        <v>0.92531173672708589</v>
      </c>
      <c r="S10" s="94">
        <v>1</v>
      </c>
      <c r="T10" s="94">
        <v>0.99133564725543133</v>
      </c>
      <c r="U10" s="94"/>
      <c r="V10" s="94"/>
      <c r="W10" s="94"/>
      <c r="X10" s="94"/>
      <c r="Y10" s="94"/>
      <c r="Z10" s="94"/>
      <c r="AA10" s="94"/>
      <c r="AB10" s="94"/>
      <c r="AC10" s="94"/>
      <c r="AD10" s="94"/>
      <c r="AE10" s="94"/>
      <c r="AF10" s="94"/>
      <c r="AG10" s="94"/>
      <c r="AH10" s="94"/>
      <c r="AI10" s="94"/>
      <c r="AJ10" s="94"/>
      <c r="AK10" s="94"/>
      <c r="AL10" s="94"/>
      <c r="AM10" s="94"/>
      <c r="AN10" s="94"/>
      <c r="AO10" s="94"/>
      <c r="AP10" s="94"/>
      <c r="AQ10" s="94"/>
      <c r="AR10" s="94"/>
      <c r="AS10" s="94"/>
      <c r="AT10" s="94"/>
      <c r="AU10" s="94"/>
      <c r="AV10" s="94"/>
      <c r="AW10" s="94"/>
      <c r="AX10" s="94"/>
      <c r="AY10" s="94"/>
      <c r="AZ10" s="94"/>
    </row>
    <row r="11" spans="1:52" ht="14.6">
      <c r="A11" s="93" t="s">
        <v>209</v>
      </c>
      <c r="E11" s="94">
        <v>0.67069081153588195</v>
      </c>
      <c r="F11" s="94">
        <v>0.68768164542812438</v>
      </c>
      <c r="G11" s="94">
        <v>0.71830985915492951</v>
      </c>
      <c r="H11" s="94">
        <v>0.77202101497876163</v>
      </c>
      <c r="I11" s="94">
        <v>0.79722781131231835</v>
      </c>
      <c r="J11" s="94">
        <v>0.83718980549966471</v>
      </c>
      <c r="K11" s="94">
        <v>0.85658394813324401</v>
      </c>
      <c r="L11" s="94">
        <v>0.87586630896490059</v>
      </c>
      <c r="M11" s="94">
        <v>0.89827856025039132</v>
      </c>
      <c r="N11" s="94">
        <v>0.90772412251285495</v>
      </c>
      <c r="O11" s="94">
        <v>0.92035546613011399</v>
      </c>
      <c r="P11" s="94">
        <v>0.95517549742901853</v>
      </c>
      <c r="Q11" s="94">
        <v>0.97138385870780242</v>
      </c>
      <c r="R11" s="94">
        <v>0.9607645875251507</v>
      </c>
      <c r="S11" s="94">
        <v>1</v>
      </c>
      <c r="T11" s="94">
        <v>1.0126313436172591</v>
      </c>
    </row>
    <row r="12" spans="1:52" ht="14.6">
      <c r="T12" s="108"/>
    </row>
    <row r="13" spans="1:52" ht="14.6">
      <c r="A13" s="40" t="s">
        <v>210</v>
      </c>
      <c r="B13" s="109">
        <v>100</v>
      </c>
      <c r="C13" s="109">
        <f>B13*(1+Inputs!$B19)</f>
        <v>102</v>
      </c>
      <c r="D13" s="109">
        <f>C13*(1+Inputs!$B19)</f>
        <v>104.04</v>
      </c>
      <c r="E13" s="109">
        <f>D13*(1+Inputs!$B19)</f>
        <v>106.1208</v>
      </c>
      <c r="F13" s="109">
        <f>E13*(1+Inputs!$B19)</f>
        <v>108.243216</v>
      </c>
      <c r="G13" s="109">
        <f>F13*(1+Inputs!$B19)</f>
        <v>110.40808032000001</v>
      </c>
      <c r="H13" s="109">
        <f>G13*(1+Inputs!$B19)</f>
        <v>112.61624192640001</v>
      </c>
      <c r="I13" s="109">
        <f>H13*(1+Inputs!$B19)</f>
        <v>114.868566764928</v>
      </c>
      <c r="J13" s="109">
        <f>I13*(1+Inputs!$B19)</f>
        <v>117.16593810022657</v>
      </c>
      <c r="K13" s="109">
        <f>J13*(1+Inputs!$B19)</f>
        <v>119.5092568622311</v>
      </c>
      <c r="L13" s="109">
        <f>K13*(1+Inputs!$B19)</f>
        <v>121.89944199947573</v>
      </c>
      <c r="M13" s="109">
        <f>L13*(1+Inputs!$B19)</f>
        <v>124.33743083946524</v>
      </c>
      <c r="N13" s="109">
        <f>M13*(1+Inputs!$B19)</f>
        <v>126.82417945625456</v>
      </c>
      <c r="O13" s="109">
        <f>N13*(1+Inputs!$B19)</f>
        <v>129.36066304537965</v>
      </c>
      <c r="P13" s="109">
        <f>O13*(1+Inputs!$B19)</f>
        <v>131.94787630628724</v>
      </c>
      <c r="Q13" s="109">
        <f>P13*(1+Inputs!$B19)</f>
        <v>134.58683383241299</v>
      </c>
      <c r="R13" s="109">
        <f>Q13*(1+Inputs!$B19)</f>
        <v>137.27857050906127</v>
      </c>
      <c r="S13" s="109">
        <f>R13*(1+Inputs!$B19)</f>
        <v>140.02414191924251</v>
      </c>
      <c r="T13" s="109">
        <f>S13*(1+Inputs!$B19)</f>
        <v>142.82462475762736</v>
      </c>
      <c r="U13" s="109">
        <f>T13*(1+Inputs!$B19)</f>
        <v>145.6811172527799</v>
      </c>
      <c r="V13" s="109">
        <f>U13*(1+Inputs!$B19)</f>
        <v>148.59473959783551</v>
      </c>
      <c r="W13" s="109">
        <f>V13*(1+Inputs!$B19)</f>
        <v>151.56663438979223</v>
      </c>
      <c r="X13" s="109">
        <f>W13*(1+Inputs!$B19)</f>
        <v>154.59796707758807</v>
      </c>
      <c r="Y13" s="109">
        <f>X13*(1+Inputs!$B19)</f>
        <v>157.68992641913982</v>
      </c>
      <c r="Z13" s="109">
        <f>Y13*(1+Inputs!$B19)</f>
        <v>160.84372494752262</v>
      </c>
      <c r="AA13" s="109">
        <f>Z13*(1+Inputs!$B19)</f>
        <v>164.06059944647308</v>
      </c>
      <c r="AB13" s="109">
        <f>AA13*(1+Inputs!$B19)</f>
        <v>167.34181143540255</v>
      </c>
      <c r="AC13" s="109">
        <f>AB13*(1+Inputs!$B19)</f>
        <v>170.68864766411059</v>
      </c>
      <c r="AD13" s="109">
        <f>AC13*(1+Inputs!$B19)</f>
        <v>174.1024206173928</v>
      </c>
      <c r="AE13" s="109">
        <f>AD13*(1+Inputs!$B19)</f>
        <v>177.58446902974066</v>
      </c>
      <c r="AF13" s="109">
        <f>AE13*(1+Inputs!$B19)</f>
        <v>181.13615841033547</v>
      </c>
      <c r="AG13" s="109">
        <f>AF13*(1+Inputs!$B19)</f>
        <v>184.75888157854217</v>
      </c>
      <c r="AH13" s="109">
        <f>AG13*(1+Inputs!$B19)</f>
        <v>188.45405921011303</v>
      </c>
      <c r="AI13" s="109">
        <f>AH13*(1+Inputs!$B19)</f>
        <v>192.22314039431529</v>
      </c>
      <c r="AJ13" s="109">
        <f>AI13*(1+Inputs!$B19)</f>
        <v>196.06760320220161</v>
      </c>
      <c r="AK13" s="109">
        <f>AJ13*(1+Inputs!$B19)</f>
        <v>199.98895526624565</v>
      </c>
      <c r="AL13" s="109">
        <f>AK13*(1+Inputs!$B19)</f>
        <v>203.98873437157056</v>
      </c>
      <c r="AM13" s="109">
        <f>AL13*(1+Inputs!$B19)</f>
        <v>208.06850905900197</v>
      </c>
      <c r="AN13" s="109">
        <f>AM13*(1+Inputs!$B19)</f>
        <v>212.22987924018202</v>
      </c>
      <c r="AO13" s="109">
        <f>AN13*(1+Inputs!$B19)</f>
        <v>216.47447682498566</v>
      </c>
      <c r="AP13" s="109">
        <f>AO13*(1+Inputs!$B19)</f>
        <v>220.80396636148538</v>
      </c>
      <c r="AQ13" s="109">
        <f>AP13*(1+Inputs!$B19)</f>
        <v>225.22004568871509</v>
      </c>
      <c r="AR13" s="109">
        <f>AQ13*(1+Inputs!$B19)</f>
        <v>229.72444660248939</v>
      </c>
      <c r="AS13" s="109">
        <f>AR13*(1+Inputs!$B19)</f>
        <v>234.31893553453918</v>
      </c>
      <c r="AT13" s="109">
        <f>AS13*(1+Inputs!$B19)</f>
        <v>239.00531424522995</v>
      </c>
      <c r="AU13" s="109">
        <f>AT13*(1+Inputs!$B19)</f>
        <v>243.78542053013456</v>
      </c>
      <c r="AV13" s="109">
        <f>AU13*(1+Inputs!$B19)</f>
        <v>248.66112894073726</v>
      </c>
      <c r="AW13" s="109">
        <f>AV13*(1+Inputs!$B19)</f>
        <v>253.63435151955201</v>
      </c>
      <c r="AX13" s="109">
        <f>AW13*(1+Inputs!$B19)</f>
        <v>258.70703854994304</v>
      </c>
      <c r="AY13" s="109">
        <f>AX13*(1+Inputs!$B19)</f>
        <v>263.8811793209419</v>
      </c>
      <c r="AZ13" s="109">
        <f>AY13*(1+Inputs!$B19)</f>
        <v>269.15880290736072</v>
      </c>
    </row>
    <row r="14" spans="1:52" ht="14.6">
      <c r="A14" s="40" t="s">
        <v>217</v>
      </c>
      <c r="C14" s="111">
        <f t="shared" ref="C14:T14" si="11">(C17-B17)/B17</f>
        <v>3.2136543954277008E-2</v>
      </c>
      <c r="D14" s="111">
        <f t="shared" si="11"/>
        <v>3.3509919180269715E-2</v>
      </c>
      <c r="E14" s="111">
        <f t="shared" si="11"/>
        <v>4.7714708783076869E-2</v>
      </c>
      <c r="F14" s="111">
        <f t="shared" si="11"/>
        <v>6.5933651625213835E-2</v>
      </c>
      <c r="G14" s="111">
        <f t="shared" si="11"/>
        <v>6.737556831533037E-2</v>
      </c>
      <c r="H14" s="111">
        <f t="shared" si="11"/>
        <v>5.9675819768549201E-2</v>
      </c>
      <c r="I14" s="111">
        <f t="shared" si="11"/>
        <v>4.6128775704039109E-2</v>
      </c>
      <c r="J14" s="111">
        <f t="shared" si="11"/>
        <v>1.8058921135410945E-2</v>
      </c>
      <c r="K14" s="111">
        <f t="shared" si="11"/>
        <v>-1.7937591268038233E-2</v>
      </c>
      <c r="L14" s="111">
        <f t="shared" si="11"/>
        <v>3.7588937369211789E-2</v>
      </c>
      <c r="M14" s="111">
        <f t="shared" si="11"/>
        <v>3.6721457476268093E-2</v>
      </c>
      <c r="N14" s="111">
        <f t="shared" si="11"/>
        <v>4.2105294988953573E-2</v>
      </c>
      <c r="O14" s="111">
        <f t="shared" si="11"/>
        <v>3.6293371979156393E-2</v>
      </c>
      <c r="P14" s="111">
        <f t="shared" si="11"/>
        <v>4.4230776907105106E-2</v>
      </c>
      <c r="Q14" s="111">
        <f t="shared" si="11"/>
        <v>3.9796413106944623E-2</v>
      </c>
      <c r="R14" s="111">
        <f t="shared" si="11"/>
        <v>2.6900736250314132E-2</v>
      </c>
      <c r="S14" s="111">
        <f t="shared" si="11"/>
        <v>4.2980618796433244E-2</v>
      </c>
      <c r="T14" s="111">
        <f t="shared" si="11"/>
        <v>5.4345814712565291E-2</v>
      </c>
      <c r="U14" s="112">
        <f t="shared" ref="U14:U15" si="12">AVERAGE(C14:T14)</f>
        <v>3.9642207710282276E-2</v>
      </c>
      <c r="V14" s="81">
        <f t="shared" ref="V14:AZ14" si="13">U14</f>
        <v>3.9642207710282276E-2</v>
      </c>
      <c r="W14" s="81">
        <f t="shared" si="13"/>
        <v>3.9642207710282276E-2</v>
      </c>
      <c r="X14" s="81">
        <f t="shared" si="13"/>
        <v>3.9642207710282276E-2</v>
      </c>
      <c r="Y14" s="81">
        <f t="shared" si="13"/>
        <v>3.9642207710282276E-2</v>
      </c>
      <c r="Z14" s="81">
        <f t="shared" si="13"/>
        <v>3.9642207710282276E-2</v>
      </c>
      <c r="AA14" s="81">
        <f t="shared" si="13"/>
        <v>3.9642207710282276E-2</v>
      </c>
      <c r="AB14" s="81">
        <f t="shared" si="13"/>
        <v>3.9642207710282276E-2</v>
      </c>
      <c r="AC14" s="81">
        <f t="shared" si="13"/>
        <v>3.9642207710282276E-2</v>
      </c>
      <c r="AD14" s="81">
        <f t="shared" si="13"/>
        <v>3.9642207710282276E-2</v>
      </c>
      <c r="AE14" s="81">
        <f t="shared" si="13"/>
        <v>3.9642207710282276E-2</v>
      </c>
      <c r="AF14" s="81">
        <f t="shared" si="13"/>
        <v>3.9642207710282276E-2</v>
      </c>
      <c r="AG14" s="81">
        <f t="shared" si="13"/>
        <v>3.9642207710282276E-2</v>
      </c>
      <c r="AH14" s="81">
        <f t="shared" si="13"/>
        <v>3.9642207710282276E-2</v>
      </c>
      <c r="AI14" s="81">
        <f t="shared" si="13"/>
        <v>3.9642207710282276E-2</v>
      </c>
      <c r="AJ14" s="81">
        <f t="shared" si="13"/>
        <v>3.9642207710282276E-2</v>
      </c>
      <c r="AK14" s="81">
        <f t="shared" si="13"/>
        <v>3.9642207710282276E-2</v>
      </c>
      <c r="AL14" s="81">
        <f t="shared" si="13"/>
        <v>3.9642207710282276E-2</v>
      </c>
      <c r="AM14" s="81">
        <f t="shared" si="13"/>
        <v>3.9642207710282276E-2</v>
      </c>
      <c r="AN14" s="81">
        <f t="shared" si="13"/>
        <v>3.9642207710282276E-2</v>
      </c>
      <c r="AO14" s="81">
        <f t="shared" si="13"/>
        <v>3.9642207710282276E-2</v>
      </c>
      <c r="AP14" s="81">
        <f t="shared" si="13"/>
        <v>3.9642207710282276E-2</v>
      </c>
      <c r="AQ14" s="81">
        <f t="shared" si="13"/>
        <v>3.9642207710282276E-2</v>
      </c>
      <c r="AR14" s="81">
        <f t="shared" si="13"/>
        <v>3.9642207710282276E-2</v>
      </c>
      <c r="AS14" s="81">
        <f t="shared" si="13"/>
        <v>3.9642207710282276E-2</v>
      </c>
      <c r="AT14" s="81">
        <f t="shared" si="13"/>
        <v>3.9642207710282276E-2</v>
      </c>
      <c r="AU14" s="81">
        <f t="shared" si="13"/>
        <v>3.9642207710282276E-2</v>
      </c>
      <c r="AV14" s="81">
        <f t="shared" si="13"/>
        <v>3.9642207710282276E-2</v>
      </c>
      <c r="AW14" s="81">
        <f t="shared" si="13"/>
        <v>3.9642207710282276E-2</v>
      </c>
      <c r="AX14" s="81">
        <f t="shared" si="13"/>
        <v>3.9642207710282276E-2</v>
      </c>
      <c r="AY14" s="81">
        <f t="shared" si="13"/>
        <v>3.9642207710282276E-2</v>
      </c>
      <c r="AZ14" s="81">
        <f t="shared" si="13"/>
        <v>3.9642207710282276E-2</v>
      </c>
    </row>
    <row r="15" spans="1:52" ht="14.6">
      <c r="A15" s="40" t="s">
        <v>218</v>
      </c>
      <c r="C15" s="111">
        <f t="shared" ref="C15:T15" si="14">(C16-B16)/B16</f>
        <v>9.9834079494557412E-3</v>
      </c>
      <c r="D15" s="111">
        <f t="shared" si="14"/>
        <v>1.7416952500433756E-2</v>
      </c>
      <c r="E15" s="111">
        <f t="shared" si="14"/>
        <v>2.8612107672504924E-2</v>
      </c>
      <c r="F15" s="111">
        <f t="shared" si="14"/>
        <v>3.7988911263812014E-2</v>
      </c>
      <c r="G15" s="111">
        <f t="shared" si="14"/>
        <v>3.5132137964965802E-2</v>
      </c>
      <c r="H15" s="111">
        <f t="shared" si="14"/>
        <v>2.8549722920536043E-2</v>
      </c>
      <c r="I15" s="111">
        <f t="shared" si="14"/>
        <v>1.8761714580737564E-2</v>
      </c>
      <c r="J15" s="111">
        <f t="shared" si="14"/>
        <v>-1.3657980540033555E-3</v>
      </c>
      <c r="K15" s="111">
        <f t="shared" si="14"/>
        <v>-2.5367570653611955E-2</v>
      </c>
      <c r="L15" s="111">
        <f t="shared" si="14"/>
        <v>2.5637665583042066E-2</v>
      </c>
      <c r="M15" s="111">
        <f t="shared" si="14"/>
        <v>1.5508355058894772E-2</v>
      </c>
      <c r="N15" s="111">
        <f t="shared" si="14"/>
        <v>2.249545852370835E-2</v>
      </c>
      <c r="O15" s="111">
        <f t="shared" si="14"/>
        <v>1.8420810709040256E-2</v>
      </c>
      <c r="P15" s="111">
        <f t="shared" si="14"/>
        <v>2.5259756238250868E-2</v>
      </c>
      <c r="Q15" s="111">
        <f t="shared" si="14"/>
        <v>2.9080173542656421E-2</v>
      </c>
      <c r="R15" s="111">
        <f t="shared" si="14"/>
        <v>1.6378394128239378E-2</v>
      </c>
      <c r="S15" s="111">
        <f t="shared" si="14"/>
        <v>2.3698038712434755E-2</v>
      </c>
      <c r="T15" s="111">
        <f t="shared" si="14"/>
        <v>2.927322728050381E-2</v>
      </c>
      <c r="U15" s="112">
        <f t="shared" si="12"/>
        <v>1.9747970328977842E-2</v>
      </c>
      <c r="V15" s="81">
        <f t="shared" ref="V15:AZ15" si="15">U15</f>
        <v>1.9747970328977842E-2</v>
      </c>
      <c r="W15" s="81">
        <f t="shared" si="15"/>
        <v>1.9747970328977842E-2</v>
      </c>
      <c r="X15" s="81">
        <f t="shared" si="15"/>
        <v>1.9747970328977842E-2</v>
      </c>
      <c r="Y15" s="81">
        <f t="shared" si="15"/>
        <v>1.9747970328977842E-2</v>
      </c>
      <c r="Z15" s="81">
        <f t="shared" si="15"/>
        <v>1.9747970328977842E-2</v>
      </c>
      <c r="AA15" s="81">
        <f t="shared" si="15"/>
        <v>1.9747970328977842E-2</v>
      </c>
      <c r="AB15" s="81">
        <f t="shared" si="15"/>
        <v>1.9747970328977842E-2</v>
      </c>
      <c r="AC15" s="81">
        <f t="shared" si="15"/>
        <v>1.9747970328977842E-2</v>
      </c>
      <c r="AD15" s="81">
        <f t="shared" si="15"/>
        <v>1.9747970328977842E-2</v>
      </c>
      <c r="AE15" s="81">
        <f t="shared" si="15"/>
        <v>1.9747970328977842E-2</v>
      </c>
      <c r="AF15" s="81">
        <f t="shared" si="15"/>
        <v>1.9747970328977842E-2</v>
      </c>
      <c r="AG15" s="81">
        <f t="shared" si="15"/>
        <v>1.9747970328977842E-2</v>
      </c>
      <c r="AH15" s="81">
        <f t="shared" si="15"/>
        <v>1.9747970328977842E-2</v>
      </c>
      <c r="AI15" s="81">
        <f t="shared" si="15"/>
        <v>1.9747970328977842E-2</v>
      </c>
      <c r="AJ15" s="81">
        <f t="shared" si="15"/>
        <v>1.9747970328977842E-2</v>
      </c>
      <c r="AK15" s="81">
        <f t="shared" si="15"/>
        <v>1.9747970328977842E-2</v>
      </c>
      <c r="AL15" s="81">
        <f t="shared" si="15"/>
        <v>1.9747970328977842E-2</v>
      </c>
      <c r="AM15" s="81">
        <f t="shared" si="15"/>
        <v>1.9747970328977842E-2</v>
      </c>
      <c r="AN15" s="81">
        <f t="shared" si="15"/>
        <v>1.9747970328977842E-2</v>
      </c>
      <c r="AO15" s="81">
        <f t="shared" si="15"/>
        <v>1.9747970328977842E-2</v>
      </c>
      <c r="AP15" s="81">
        <f t="shared" si="15"/>
        <v>1.9747970328977842E-2</v>
      </c>
      <c r="AQ15" s="81">
        <f t="shared" si="15"/>
        <v>1.9747970328977842E-2</v>
      </c>
      <c r="AR15" s="81">
        <f t="shared" si="15"/>
        <v>1.9747970328977842E-2</v>
      </c>
      <c r="AS15" s="81">
        <f t="shared" si="15"/>
        <v>1.9747970328977842E-2</v>
      </c>
      <c r="AT15" s="81">
        <f t="shared" si="15"/>
        <v>1.9747970328977842E-2</v>
      </c>
      <c r="AU15" s="81">
        <f t="shared" si="15"/>
        <v>1.9747970328977842E-2</v>
      </c>
      <c r="AV15" s="81">
        <f t="shared" si="15"/>
        <v>1.9747970328977842E-2</v>
      </c>
      <c r="AW15" s="81">
        <f t="shared" si="15"/>
        <v>1.9747970328977842E-2</v>
      </c>
      <c r="AX15" s="81">
        <f t="shared" si="15"/>
        <v>1.9747970328977842E-2</v>
      </c>
      <c r="AY15" s="81">
        <f t="shared" si="15"/>
        <v>1.9747970328977842E-2</v>
      </c>
      <c r="AZ15" s="81">
        <f t="shared" si="15"/>
        <v>1.9747970328977842E-2</v>
      </c>
    </row>
    <row r="16" spans="1:52" ht="14.6">
      <c r="A16" s="40" t="s">
        <v>221</v>
      </c>
      <c r="B16" s="113">
        <v>13130987</v>
      </c>
      <c r="C16" s="113">
        <v>13262079</v>
      </c>
      <c r="D16" s="113">
        <v>13493064</v>
      </c>
      <c r="E16" s="113">
        <v>13879129</v>
      </c>
      <c r="F16" s="113">
        <v>14406382</v>
      </c>
      <c r="G16" s="113">
        <v>14912509</v>
      </c>
      <c r="H16" s="113">
        <v>15338257</v>
      </c>
      <c r="I16" s="113">
        <v>15626029</v>
      </c>
      <c r="J16" s="113">
        <v>15604687</v>
      </c>
      <c r="K16" s="113">
        <v>15208834</v>
      </c>
      <c r="L16" s="113">
        <v>15598753</v>
      </c>
      <c r="M16" s="113">
        <v>15840664</v>
      </c>
      <c r="N16" s="113">
        <v>16197007</v>
      </c>
      <c r="O16" s="113">
        <v>16495369</v>
      </c>
      <c r="P16" s="113">
        <v>16912038</v>
      </c>
      <c r="Q16" s="113">
        <v>17403843</v>
      </c>
      <c r="R16" s="113">
        <v>17688890</v>
      </c>
      <c r="S16" s="113">
        <v>18108082</v>
      </c>
      <c r="T16" s="113">
        <v>18638164</v>
      </c>
      <c r="U16">
        <f t="shared" ref="U16:AZ16" si="16">T16*(1+U15)</f>
        <v>19006229.909658622</v>
      </c>
      <c r="V16">
        <f t="shared" si="16"/>
        <v>19381564.373980291</v>
      </c>
      <c r="W16">
        <f t="shared" si="16"/>
        <v>19764310.932166826</v>
      </c>
      <c r="X16">
        <f t="shared" si="16"/>
        <v>20154615.958027948</v>
      </c>
      <c r="Y16">
        <f t="shared" si="16"/>
        <v>20552628.715959027</v>
      </c>
      <c r="Z16">
        <f t="shared" si="16"/>
        <v>20958501.418024283</v>
      </c>
      <c r="AA16">
        <f t="shared" si="16"/>
        <v>21372389.282167267</v>
      </c>
      <c r="AB16">
        <f t="shared" si="16"/>
        <v>21794450.591570869</v>
      </c>
      <c r="AC16">
        <f t="shared" si="16"/>
        <v>22224846.755189583</v>
      </c>
      <c r="AD16">
        <f t="shared" si="16"/>
        <v>22663742.369477145</v>
      </c>
      <c r="AE16">
        <f t="shared" si="16"/>
        <v>23111305.281333178</v>
      </c>
      <c r="AF16">
        <f t="shared" si="16"/>
        <v>23567706.652292892</v>
      </c>
      <c r="AG16">
        <f t="shared" si="16"/>
        <v>24033121.023984425</v>
      </c>
      <c r="AH16">
        <f t="shared" si="16"/>
        <v>24507726.384878803</v>
      </c>
      <c r="AI16">
        <f t="shared" si="16"/>
        <v>24991704.238358095</v>
      </c>
      <c r="AJ16">
        <f t="shared" si="16"/>
        <v>25485239.67212778</v>
      </c>
      <c r="AK16">
        <f t="shared" si="16"/>
        <v>25988521.428999845</v>
      </c>
      <c r="AL16">
        <f t="shared" si="16"/>
        <v>26501741.979073737</v>
      </c>
      <c r="AM16">
        <f t="shared" si="16"/>
        <v>27025097.59334271</v>
      </c>
      <c r="AN16">
        <f t="shared" si="16"/>
        <v>27558788.418753773</v>
      </c>
      <c r="AO16">
        <f t="shared" si="16"/>
        <v>28103018.554749899</v>
      </c>
      <c r="AP16">
        <f t="shared" si="16"/>
        <v>28657996.131323811</v>
      </c>
      <c r="AQ16">
        <f t="shared" si="16"/>
        <v>29223933.388613153</v>
      </c>
      <c r="AR16">
        <f t="shared" si="16"/>
        <v>29801046.758067511</v>
      </c>
      <c r="AS16">
        <f t="shared" si="16"/>
        <v>30389556.94521831</v>
      </c>
      <c r="AT16">
        <f t="shared" si="16"/>
        <v>30989689.014083263</v>
      </c>
      <c r="AU16">
        <f t="shared" si="16"/>
        <v>31601672.473237626</v>
      </c>
      <c r="AV16">
        <f t="shared" si="16"/>
        <v>32225741.363585196</v>
      </c>
      <c r="AW16">
        <f t="shared" si="16"/>
        <v>32862134.34786259</v>
      </c>
      <c r="AX16">
        <f t="shared" si="16"/>
        <v>33511094.801911063</v>
      </c>
      <c r="AY16">
        <f t="shared" si="16"/>
        <v>34172870.907750763</v>
      </c>
      <c r="AZ16">
        <f t="shared" si="16"/>
        <v>34847715.748493016</v>
      </c>
    </row>
    <row r="17" spans="1:52" ht="14.6">
      <c r="A17" s="40" t="s">
        <v>222</v>
      </c>
      <c r="B17" s="113">
        <v>10252347</v>
      </c>
      <c r="C17" s="113">
        <v>10581822</v>
      </c>
      <c r="D17" s="113">
        <v>10936418</v>
      </c>
      <c r="E17" s="113">
        <v>11458246</v>
      </c>
      <c r="F17" s="113">
        <v>12213730</v>
      </c>
      <c r="G17" s="113">
        <v>13036637</v>
      </c>
      <c r="H17" s="113">
        <v>13814609</v>
      </c>
      <c r="I17" s="113">
        <v>14451860</v>
      </c>
      <c r="J17" s="113">
        <v>14712845</v>
      </c>
      <c r="K17" s="113">
        <v>14448932</v>
      </c>
      <c r="L17" s="113">
        <v>14992052</v>
      </c>
      <c r="M17" s="113">
        <v>15542582</v>
      </c>
      <c r="N17" s="113">
        <v>16197007</v>
      </c>
      <c r="O17" s="113">
        <v>16784851</v>
      </c>
      <c r="P17" s="113">
        <v>17527258</v>
      </c>
      <c r="Q17" s="113">
        <v>18224780</v>
      </c>
      <c r="R17" s="113">
        <v>18715040</v>
      </c>
      <c r="S17" s="113">
        <v>19519424</v>
      </c>
      <c r="T17" s="113">
        <v>20580223</v>
      </c>
      <c r="U17">
        <f t="shared" ref="U17:AZ17" si="17">T17*(1+U14)</f>
        <v>21396068.474889927</v>
      </c>
      <c r="V17">
        <f t="shared" si="17"/>
        <v>22244255.865554936</v>
      </c>
      <c r="W17">
        <f t="shared" si="17"/>
        <v>23126067.276937928</v>
      </c>
      <c r="X17">
        <f t="shared" si="17"/>
        <v>24042835.639452264</v>
      </c>
      <c r="Y17">
        <f t="shared" si="17"/>
        <v>24995946.723815609</v>
      </c>
      <c r="Z17">
        <f t="shared" si="17"/>
        <v>25986841.235756256</v>
      </c>
      <c r="AA17">
        <f t="shared" si="17"/>
        <v>27017016.993758235</v>
      </c>
      <c r="AB17">
        <f t="shared" si="17"/>
        <v>28088031.193137024</v>
      </c>
      <c r="AC17">
        <f t="shared" si="17"/>
        <v>29201502.759868249</v>
      </c>
      <c r="AD17">
        <f t="shared" si="17"/>
        <v>30359114.797727328</v>
      </c>
      <c r="AE17">
        <f t="shared" si="17"/>
        <v>31562617.13243914</v>
      </c>
      <c r="AF17">
        <f t="shared" si="17"/>
        <v>32813828.956683405</v>
      </c>
      <c r="AG17">
        <f t="shared" si="17"/>
        <v>34114641.579953924</v>
      </c>
      <c r="AH17">
        <f t="shared" si="17"/>
        <v>35467021.28742829</v>
      </c>
      <c r="AI17">
        <f t="shared" si="17"/>
        <v>36873012.312169522</v>
      </c>
      <c r="AJ17">
        <f t="shared" si="17"/>
        <v>38334739.925152339</v>
      </c>
      <c r="AK17">
        <f t="shared" si="17"/>
        <v>39854413.647784881</v>
      </c>
      <c r="AL17">
        <f t="shared" si="17"/>
        <v>41434330.591781877</v>
      </c>
      <c r="AM17">
        <f t="shared" si="17"/>
        <v>43076878.931437798</v>
      </c>
      <c r="AN17">
        <f t="shared" si="17"/>
        <v>44784541.513548538</v>
      </c>
      <c r="AO17">
        <f t="shared" si="17"/>
        <v>46559899.610438392</v>
      </c>
      <c r="AP17">
        <f t="shared" si="17"/>
        <v>48405636.821765281</v>
      </c>
      <c r="AQ17">
        <f t="shared" si="17"/>
        <v>50324543.131002188</v>
      </c>
      <c r="AR17">
        <f t="shared" si="17"/>
        <v>52319519.122726433</v>
      </c>
      <c r="AS17">
        <f t="shared" si="17"/>
        <v>54393580.367091641</v>
      </c>
      <c r="AT17">
        <f t="shared" si="17"/>
        <v>56549861.978109822</v>
      </c>
      <c r="AU17">
        <f t="shared" si="17"/>
        <v>58791623.352633841</v>
      </c>
      <c r="AV17">
        <f t="shared" si="17"/>
        <v>61122253.097203635</v>
      </c>
      <c r="AW17">
        <f t="shared" si="17"/>
        <v>63545274.150203422</v>
      </c>
      <c r="AX17">
        <f t="shared" si="17"/>
        <v>66064349.107072614</v>
      </c>
      <c r="AY17">
        <f t="shared" si="17"/>
        <v>68683285.756619781</v>
      </c>
      <c r="AZ17">
        <f t="shared" si="17"/>
        <v>71406042.836808369</v>
      </c>
    </row>
    <row r="18" spans="1:52" ht="14.6">
      <c r="A18" s="40" t="s">
        <v>223</v>
      </c>
      <c r="B18" s="114">
        <v>26778.3</v>
      </c>
      <c r="C18" s="114">
        <v>28420.400000000001</v>
      </c>
      <c r="D18" s="114">
        <v>29605.3</v>
      </c>
      <c r="E18" s="114">
        <v>31799.7</v>
      </c>
      <c r="F18" s="114">
        <v>34970.699999999997</v>
      </c>
      <c r="G18" s="114">
        <v>39774.800000000003</v>
      </c>
      <c r="H18" s="114">
        <v>44435.3</v>
      </c>
      <c r="I18" s="114">
        <v>48972.6</v>
      </c>
      <c r="J18" s="114">
        <v>54752.4</v>
      </c>
      <c r="K18" s="114">
        <v>49585.9</v>
      </c>
      <c r="L18" s="114">
        <v>52882.5</v>
      </c>
      <c r="M18" s="114">
        <v>56259.9</v>
      </c>
      <c r="N18" s="114">
        <v>57670.1</v>
      </c>
      <c r="O18" s="114">
        <v>56622.8</v>
      </c>
      <c r="P18" s="114">
        <v>55523.4</v>
      </c>
      <c r="Q18" s="114">
        <v>50641.599999999999</v>
      </c>
      <c r="R18" s="114">
        <v>49363.4</v>
      </c>
      <c r="S18" s="114">
        <v>51803.1</v>
      </c>
      <c r="T18" s="114">
        <v>54734.1</v>
      </c>
      <c r="U18" s="115"/>
      <c r="V18" s="115"/>
      <c r="W18" s="115"/>
    </row>
    <row r="19" spans="1:52" ht="14.6">
      <c r="A19" s="40" t="s">
        <v>224</v>
      </c>
      <c r="B19" s="114">
        <v>41500.199999999997</v>
      </c>
      <c r="C19" s="114">
        <v>42894.3</v>
      </c>
      <c r="D19" s="114">
        <v>45447.1</v>
      </c>
      <c r="E19" s="114">
        <v>48929.1</v>
      </c>
      <c r="F19" s="114">
        <v>53761.8</v>
      </c>
      <c r="G19" s="114">
        <v>58667.9</v>
      </c>
      <c r="H19" s="114">
        <v>62365</v>
      </c>
      <c r="I19" s="114">
        <v>65233.5</v>
      </c>
      <c r="J19" s="114">
        <v>66864.7</v>
      </c>
      <c r="K19" s="114">
        <v>65692</v>
      </c>
      <c r="L19" s="114">
        <v>68196.899999999994</v>
      </c>
      <c r="M19" s="114">
        <v>70482.600000000006</v>
      </c>
      <c r="N19" s="114">
        <v>73582.7</v>
      </c>
      <c r="O19" s="114">
        <v>75788.3</v>
      </c>
      <c r="P19" s="114">
        <v>77854.3</v>
      </c>
      <c r="Q19" s="114">
        <v>82710</v>
      </c>
      <c r="R19" s="114">
        <v>85843.8</v>
      </c>
      <c r="S19" s="114">
        <v>89428.9</v>
      </c>
      <c r="T19" s="114">
        <v>93797.9</v>
      </c>
    </row>
    <row r="20" spans="1:52" ht="14.6">
      <c r="A20" s="40" t="s">
        <v>227</v>
      </c>
      <c r="B20" s="116">
        <f t="shared" ref="B20:T20" si="18">(B17-B18-B19)/1000</f>
        <v>10184.068499999999</v>
      </c>
      <c r="C20" s="116">
        <f t="shared" si="18"/>
        <v>10510.507299999999</v>
      </c>
      <c r="D20" s="116">
        <f t="shared" si="18"/>
        <v>10861.365599999999</v>
      </c>
      <c r="E20" s="116">
        <f t="shared" si="18"/>
        <v>11377.5172</v>
      </c>
      <c r="F20" s="116">
        <f t="shared" si="18"/>
        <v>12124.997499999999</v>
      </c>
      <c r="G20" s="116">
        <f t="shared" si="18"/>
        <v>12938.194299999999</v>
      </c>
      <c r="H20" s="116">
        <f t="shared" si="18"/>
        <v>13707.8087</v>
      </c>
      <c r="I20" s="116">
        <f t="shared" si="18"/>
        <v>14337.653900000001</v>
      </c>
      <c r="J20" s="116">
        <f t="shared" si="18"/>
        <v>14591.2279</v>
      </c>
      <c r="K20" s="116">
        <f t="shared" si="18"/>
        <v>14333.6541</v>
      </c>
      <c r="L20" s="116">
        <f t="shared" si="18"/>
        <v>14870.972599999999</v>
      </c>
      <c r="M20" s="116">
        <f t="shared" si="18"/>
        <v>15415.8395</v>
      </c>
      <c r="N20" s="116">
        <f t="shared" si="18"/>
        <v>16065.754200000001</v>
      </c>
      <c r="O20" s="116">
        <f t="shared" si="18"/>
        <v>16652.439899999998</v>
      </c>
      <c r="P20" s="116">
        <f t="shared" si="18"/>
        <v>17393.880300000001</v>
      </c>
      <c r="Q20" s="116">
        <f t="shared" si="18"/>
        <v>18091.428399999997</v>
      </c>
      <c r="R20" s="116">
        <f t="shared" si="18"/>
        <v>18579.8328</v>
      </c>
      <c r="S20" s="116">
        <f t="shared" si="18"/>
        <v>19378.191999999999</v>
      </c>
      <c r="T20" s="116">
        <f t="shared" si="18"/>
        <v>20431.690999999999</v>
      </c>
    </row>
    <row r="21" spans="1:52" ht="14.6">
      <c r="A21" s="40" t="s">
        <v>228</v>
      </c>
      <c r="B21" s="117" t="s">
        <v>229</v>
      </c>
      <c r="C21" s="117" t="s">
        <v>229</v>
      </c>
      <c r="D21" s="117" t="s">
        <v>229</v>
      </c>
      <c r="E21" s="117" t="s">
        <v>229</v>
      </c>
      <c r="F21" s="117" t="s">
        <v>229</v>
      </c>
      <c r="G21" s="117" t="s">
        <v>229</v>
      </c>
      <c r="H21" s="117" t="s">
        <v>229</v>
      </c>
      <c r="I21" s="117" t="s">
        <v>229</v>
      </c>
      <c r="J21" s="117" t="s">
        <v>229</v>
      </c>
      <c r="K21" s="117" t="s">
        <v>229</v>
      </c>
      <c r="L21" s="117" t="s">
        <v>229</v>
      </c>
      <c r="M21" s="117" t="s">
        <v>229</v>
      </c>
      <c r="N21" s="117" t="s">
        <v>229</v>
      </c>
      <c r="O21" s="117" t="s">
        <v>229</v>
      </c>
      <c r="P21" s="117" t="s">
        <v>229</v>
      </c>
      <c r="Q21" s="117" t="s">
        <v>229</v>
      </c>
      <c r="R21" s="117" t="s">
        <v>229</v>
      </c>
      <c r="S21" s="117" t="s">
        <v>229</v>
      </c>
      <c r="T21" s="117" t="s">
        <v>229</v>
      </c>
    </row>
    <row r="22" spans="1:52" ht="15.75" customHeight="1">
      <c r="A22" s="40"/>
    </row>
    <row r="23" spans="1:52" ht="15.75" customHeight="1">
      <c r="A23" s="40" t="s">
        <v>230</v>
      </c>
      <c r="B23" s="118">
        <v>282</v>
      </c>
      <c r="C23" s="118">
        <v>285</v>
      </c>
      <c r="D23" s="118">
        <v>288</v>
      </c>
      <c r="E23" s="118">
        <v>290</v>
      </c>
      <c r="F23" s="118">
        <v>293</v>
      </c>
      <c r="G23" s="118">
        <v>296</v>
      </c>
      <c r="H23" s="118">
        <v>298</v>
      </c>
      <c r="I23" s="118">
        <v>301</v>
      </c>
      <c r="J23" s="118">
        <v>304</v>
      </c>
      <c r="K23" s="118">
        <v>307</v>
      </c>
      <c r="L23" s="118">
        <v>309</v>
      </c>
      <c r="M23" s="118">
        <v>312</v>
      </c>
      <c r="N23" s="118">
        <v>314</v>
      </c>
      <c r="O23" s="118">
        <v>316</v>
      </c>
      <c r="P23" s="118">
        <v>318</v>
      </c>
      <c r="Q23" s="118">
        <v>321</v>
      </c>
      <c r="R23" s="118">
        <v>323</v>
      </c>
      <c r="S23" s="118">
        <v>325</v>
      </c>
      <c r="T23" s="118">
        <v>327</v>
      </c>
      <c r="U23" s="119">
        <f t="shared" ref="U23:U25" si="19">(V23+T23)/2</f>
        <v>329.76377400000001</v>
      </c>
      <c r="V23" s="120">
        <f>332527548/1000000</f>
        <v>332.52754800000002</v>
      </c>
      <c r="W23" s="119">
        <f t="shared" ref="W23:AE23" si="20">($AF23-$V23)*0.1+V23</f>
        <v>335.07236508000005</v>
      </c>
      <c r="X23" s="119">
        <f t="shared" si="20"/>
        <v>337.61718216000008</v>
      </c>
      <c r="Y23" s="119">
        <f t="shared" si="20"/>
        <v>340.16199924000011</v>
      </c>
      <c r="Z23" s="119">
        <f t="shared" si="20"/>
        <v>342.70681632000014</v>
      </c>
      <c r="AA23" s="119">
        <f t="shared" si="20"/>
        <v>345.25163340000017</v>
      </c>
      <c r="AB23" s="119">
        <f t="shared" si="20"/>
        <v>347.7964504800002</v>
      </c>
      <c r="AC23" s="119">
        <f t="shared" si="20"/>
        <v>350.34126756000023</v>
      </c>
      <c r="AD23" s="119">
        <f t="shared" si="20"/>
        <v>352.88608464000026</v>
      </c>
      <c r="AE23" s="119">
        <f t="shared" si="20"/>
        <v>355.43090172000029</v>
      </c>
      <c r="AF23" s="118">
        <f>357975718.8/1000000</f>
        <v>357.97571880000004</v>
      </c>
      <c r="AG23" s="119">
        <f t="shared" ref="AG23:AO23" si="21">($AP23-$AF23)*0.1+AF23</f>
        <v>360.11742477000001</v>
      </c>
      <c r="AH23" s="119">
        <f t="shared" si="21"/>
        <v>362.25913073999999</v>
      </c>
      <c r="AI23" s="119">
        <f t="shared" si="21"/>
        <v>364.40083670999996</v>
      </c>
      <c r="AJ23" s="119">
        <f t="shared" si="21"/>
        <v>366.54254267999994</v>
      </c>
      <c r="AK23" s="119">
        <f t="shared" si="21"/>
        <v>368.68424864999992</v>
      </c>
      <c r="AL23" s="119">
        <f t="shared" si="21"/>
        <v>370.82595461999989</v>
      </c>
      <c r="AM23" s="119">
        <f t="shared" si="21"/>
        <v>372.96766058999987</v>
      </c>
      <c r="AN23" s="119">
        <f t="shared" si="21"/>
        <v>375.10936655999984</v>
      </c>
      <c r="AO23" s="119">
        <f t="shared" si="21"/>
        <v>377.25107252999982</v>
      </c>
      <c r="AP23" s="118">
        <f>379392778.5/1000000</f>
        <v>379.39277850000002</v>
      </c>
      <c r="AQ23" s="119">
        <f t="shared" ref="AQ23:AY23" si="22">($AZ23-$AP23)*0.1+AP23</f>
        <v>381.77930709000003</v>
      </c>
      <c r="AR23" s="119">
        <f t="shared" si="22"/>
        <v>384.16583568000004</v>
      </c>
      <c r="AS23" s="119">
        <f t="shared" si="22"/>
        <v>386.55236427000006</v>
      </c>
      <c r="AT23" s="119">
        <f t="shared" si="22"/>
        <v>388.93889286000007</v>
      </c>
      <c r="AU23" s="119">
        <f t="shared" si="22"/>
        <v>391.32542145000008</v>
      </c>
      <c r="AV23" s="119">
        <f t="shared" si="22"/>
        <v>393.71195004000009</v>
      </c>
      <c r="AW23" s="119">
        <f t="shared" si="22"/>
        <v>396.0984786300001</v>
      </c>
      <c r="AX23" s="119">
        <f t="shared" si="22"/>
        <v>398.48500722000011</v>
      </c>
      <c r="AY23" s="119">
        <f t="shared" si="22"/>
        <v>400.87153581000013</v>
      </c>
      <c r="AZ23" s="118">
        <f>403258064.4
/1000000</f>
        <v>403.25806439999997</v>
      </c>
    </row>
    <row r="24" spans="1:52" ht="15.75" customHeight="1">
      <c r="A24" s="40" t="s">
        <v>231</v>
      </c>
      <c r="B24" s="121">
        <v>0.62749900000000003</v>
      </c>
      <c r="C24" s="121">
        <v>0.63331599999999999</v>
      </c>
      <c r="D24" s="121">
        <v>0.64269100000000001</v>
      </c>
      <c r="E24" s="121">
        <v>0.65088400000000002</v>
      </c>
      <c r="F24" s="121">
        <v>0.66156899999999996</v>
      </c>
      <c r="G24" s="121">
        <v>0.66948799999999997</v>
      </c>
      <c r="H24" s="121">
        <v>0.67732499999999995</v>
      </c>
      <c r="I24" s="121">
        <v>0.68229700000000004</v>
      </c>
      <c r="J24" s="121">
        <v>0.68812499999999999</v>
      </c>
      <c r="K24" s="121">
        <v>0.69847300000000001</v>
      </c>
      <c r="L24" s="121">
        <v>0.71390600000000004</v>
      </c>
      <c r="M24" s="121">
        <v>0.72203799999999996</v>
      </c>
      <c r="N24" s="121">
        <v>0.73039900000000002</v>
      </c>
      <c r="O24" s="121">
        <v>0.73704499999999995</v>
      </c>
      <c r="P24" s="121">
        <v>0.73630700000000004</v>
      </c>
      <c r="Q24" s="121">
        <v>0.73754699999999995</v>
      </c>
      <c r="R24" s="121">
        <v>0.74150400000000005</v>
      </c>
      <c r="S24" s="121">
        <v>0.73978600000000005</v>
      </c>
      <c r="T24" s="121">
        <v>0.73743800000000004</v>
      </c>
      <c r="U24" s="119">
        <f t="shared" si="19"/>
        <v>0.7443830642</v>
      </c>
      <c r="V24" s="120">
        <f>751328.1284/1000000</f>
        <v>0.75132812840000007</v>
      </c>
      <c r="W24" s="119">
        <f t="shared" ref="W24:AE24" si="23">($AF24-$V24)*0.1+V24</f>
        <v>0.75541409114000002</v>
      </c>
      <c r="X24" s="119">
        <f t="shared" si="23"/>
        <v>0.75950005387999997</v>
      </c>
      <c r="Y24" s="119">
        <f t="shared" si="23"/>
        <v>0.76358601661999992</v>
      </c>
      <c r="Z24" s="119">
        <f t="shared" si="23"/>
        <v>0.76767197935999987</v>
      </c>
      <c r="AA24" s="119">
        <f t="shared" si="23"/>
        <v>0.77175794209999982</v>
      </c>
      <c r="AB24" s="119">
        <f t="shared" si="23"/>
        <v>0.77584390483999977</v>
      </c>
      <c r="AC24" s="119">
        <f t="shared" si="23"/>
        <v>0.77992986757999971</v>
      </c>
      <c r="AD24" s="119">
        <f t="shared" si="23"/>
        <v>0.78401583031999966</v>
      </c>
      <c r="AE24" s="119">
        <f t="shared" si="23"/>
        <v>0.78810179305999961</v>
      </c>
      <c r="AF24" s="118">
        <f>792187.7558/1000000</f>
        <v>0.7921877558</v>
      </c>
      <c r="AG24" s="119">
        <f t="shared" ref="AG24:AO24" si="24">($AP24-$AF24)*0.1+AF24</f>
        <v>0.79496438572999994</v>
      </c>
      <c r="AH24" s="119">
        <f t="shared" si="24"/>
        <v>0.79774101566</v>
      </c>
      <c r="AI24" s="119">
        <f t="shared" si="24"/>
        <v>0.80051764559000005</v>
      </c>
      <c r="AJ24" s="119">
        <f t="shared" si="24"/>
        <v>0.8032942755200001</v>
      </c>
      <c r="AK24" s="119">
        <f t="shared" si="24"/>
        <v>0.80607090545000015</v>
      </c>
      <c r="AL24" s="119">
        <f t="shared" si="24"/>
        <v>0.8088475353800002</v>
      </c>
      <c r="AM24" s="119">
        <f t="shared" si="24"/>
        <v>0.81162416531000026</v>
      </c>
      <c r="AN24" s="119">
        <f t="shared" si="24"/>
        <v>0.81440079524000031</v>
      </c>
      <c r="AO24" s="119">
        <f t="shared" si="24"/>
        <v>0.81717742517000036</v>
      </c>
      <c r="AP24" s="118">
        <f>819954.0551/1000000</f>
        <v>0.81995405509999997</v>
      </c>
      <c r="AQ24" s="119">
        <f t="shared" ref="AQ24:AY24" si="25">($AZ24-$AP24)*0.1+AP24</f>
        <v>0.82282800632999997</v>
      </c>
      <c r="AR24" s="119">
        <f t="shared" si="25"/>
        <v>0.82570195755999998</v>
      </c>
      <c r="AS24" s="119">
        <f t="shared" si="25"/>
        <v>0.82857590878999998</v>
      </c>
      <c r="AT24" s="119">
        <f t="shared" si="25"/>
        <v>0.83144986001999999</v>
      </c>
      <c r="AU24" s="119">
        <f t="shared" si="25"/>
        <v>0.83432381124999999</v>
      </c>
      <c r="AV24" s="119">
        <f t="shared" si="25"/>
        <v>0.83719776248</v>
      </c>
      <c r="AW24" s="119">
        <f t="shared" si="25"/>
        <v>0.84007171371</v>
      </c>
      <c r="AX24" s="119">
        <f t="shared" si="25"/>
        <v>0.84294566494000001</v>
      </c>
      <c r="AY24" s="119">
        <f t="shared" si="25"/>
        <v>0.84581961617000001</v>
      </c>
      <c r="AZ24" s="118">
        <f>848693.5674/1000000</f>
        <v>0.84869356740000002</v>
      </c>
    </row>
    <row r="25" spans="1:52" ht="15.75" customHeight="1">
      <c r="A25" s="40" t="s">
        <v>232</v>
      </c>
      <c r="B25" s="121">
        <v>1.2115659999999999</v>
      </c>
      <c r="C25" s="121">
        <v>1.218305</v>
      </c>
      <c r="D25" s="121">
        <v>1.2280690000000001</v>
      </c>
      <c r="E25" s="121">
        <v>1.239298</v>
      </c>
      <c r="F25" s="121">
        <v>1.2527820000000001</v>
      </c>
      <c r="G25" s="121">
        <v>1.2661169999999999</v>
      </c>
      <c r="H25" s="121">
        <v>1.2755989999999999</v>
      </c>
      <c r="I25" s="121">
        <v>1.276832</v>
      </c>
      <c r="J25" s="121">
        <v>1.2874810000000001</v>
      </c>
      <c r="K25" s="121">
        <v>1.2951779999999999</v>
      </c>
      <c r="L25" s="121">
        <v>1.363963</v>
      </c>
      <c r="M25" s="121">
        <v>1.3792519999999999</v>
      </c>
      <c r="N25" s="121">
        <v>1.3949050000000001</v>
      </c>
      <c r="O25" s="121">
        <v>1.408453</v>
      </c>
      <c r="P25" s="121">
        <v>1.4148620000000001</v>
      </c>
      <c r="Q25" s="121">
        <v>1.4224840000000001</v>
      </c>
      <c r="R25" s="121">
        <v>1.428105</v>
      </c>
      <c r="S25" s="121">
        <v>1.4242030000000001</v>
      </c>
      <c r="T25" s="121">
        <v>1.4204909999999999</v>
      </c>
      <c r="U25" s="119">
        <f t="shared" si="19"/>
        <v>1.437196675</v>
      </c>
      <c r="V25" s="120">
        <f>1453902.35/1000000</f>
        <v>1.4539023500000001</v>
      </c>
      <c r="W25" s="119">
        <f t="shared" ref="W25:AE25" si="26">($AF25-$V25)*0.1+V25</f>
        <v>1.4633951724000001</v>
      </c>
      <c r="X25" s="119">
        <f t="shared" si="26"/>
        <v>1.4728879948</v>
      </c>
      <c r="Y25" s="119">
        <f t="shared" si="26"/>
        <v>1.4823808171999999</v>
      </c>
      <c r="Z25" s="119">
        <f t="shared" si="26"/>
        <v>1.4918736395999999</v>
      </c>
      <c r="AA25" s="119">
        <f t="shared" si="26"/>
        <v>1.5013664619999998</v>
      </c>
      <c r="AB25" s="119">
        <f t="shared" si="26"/>
        <v>1.5108592843999997</v>
      </c>
      <c r="AC25" s="119">
        <f t="shared" si="26"/>
        <v>1.5203521067999997</v>
      </c>
      <c r="AD25" s="119">
        <f t="shared" si="26"/>
        <v>1.5298449291999996</v>
      </c>
      <c r="AE25" s="119">
        <f t="shared" si="26"/>
        <v>1.5393377515999995</v>
      </c>
      <c r="AF25" s="118">
        <f>1548830.574/1000000</f>
        <v>1.5488305740000001</v>
      </c>
      <c r="AG25" s="119">
        <f t="shared" ref="AG25:AO25" si="27">($AP25-$AF25)*0.1+AF25</f>
        <v>1.5559178598000001</v>
      </c>
      <c r="AH25" s="119">
        <f t="shared" si="27"/>
        <v>1.5630051456</v>
      </c>
      <c r="AI25" s="119">
        <f t="shared" si="27"/>
        <v>1.5700924314</v>
      </c>
      <c r="AJ25" s="119">
        <f t="shared" si="27"/>
        <v>1.5771797171999999</v>
      </c>
      <c r="AK25" s="119">
        <f t="shared" si="27"/>
        <v>1.5842670029999999</v>
      </c>
      <c r="AL25" s="119">
        <f t="shared" si="27"/>
        <v>1.5913542887999998</v>
      </c>
      <c r="AM25" s="119">
        <f t="shared" si="27"/>
        <v>1.5984415745999998</v>
      </c>
      <c r="AN25" s="119">
        <f t="shared" si="27"/>
        <v>1.6055288603999998</v>
      </c>
      <c r="AO25" s="119">
        <f t="shared" si="27"/>
        <v>1.6126161461999997</v>
      </c>
      <c r="AP25" s="118">
        <f>1619703.432/1000000</f>
        <v>1.6197034320000001</v>
      </c>
      <c r="AQ25" s="119">
        <f t="shared" ref="AQ25:AY25" si="28">($AZ25-$AP25)*0.1+AP25</f>
        <v>1.6271150247000001</v>
      </c>
      <c r="AR25" s="119">
        <f t="shared" si="28"/>
        <v>1.6345266174000002</v>
      </c>
      <c r="AS25" s="119">
        <f t="shared" si="28"/>
        <v>1.6419382101000002</v>
      </c>
      <c r="AT25" s="119">
        <f t="shared" si="28"/>
        <v>1.6493498028000002</v>
      </c>
      <c r="AU25" s="119">
        <f t="shared" si="28"/>
        <v>1.6567613955000002</v>
      </c>
      <c r="AV25" s="119">
        <f t="shared" si="28"/>
        <v>1.6641729882000003</v>
      </c>
      <c r="AW25" s="119">
        <f t="shared" si="28"/>
        <v>1.6715845809000003</v>
      </c>
      <c r="AX25" s="119">
        <f t="shared" si="28"/>
        <v>1.6789961736000003</v>
      </c>
      <c r="AY25" s="119">
        <f t="shared" si="28"/>
        <v>1.6864077663000003</v>
      </c>
      <c r="AZ25" s="118">
        <f>1693819.359/1000000</f>
        <v>1.6938193589999999</v>
      </c>
    </row>
    <row r="26" spans="1:52" ht="15.75" customHeight="1">
      <c r="A26" s="40" t="s">
        <v>235</v>
      </c>
      <c r="B26" s="119">
        <f t="shared" ref="B26:AZ26" si="29">B23-B24-B25</f>
        <v>280.16093499999999</v>
      </c>
      <c r="C26" s="119">
        <f t="shared" si="29"/>
        <v>283.14837900000003</v>
      </c>
      <c r="D26" s="119">
        <f t="shared" si="29"/>
        <v>286.12923999999998</v>
      </c>
      <c r="E26" s="119">
        <f t="shared" si="29"/>
        <v>288.10981799999996</v>
      </c>
      <c r="F26" s="119">
        <f t="shared" si="29"/>
        <v>291.08564899999999</v>
      </c>
      <c r="G26" s="119">
        <f t="shared" si="29"/>
        <v>294.06439499999999</v>
      </c>
      <c r="H26" s="119">
        <f t="shared" si="29"/>
        <v>296.047076</v>
      </c>
      <c r="I26" s="119">
        <f t="shared" si="29"/>
        <v>299.04087099999998</v>
      </c>
      <c r="J26" s="119">
        <f t="shared" si="29"/>
        <v>302.02439399999997</v>
      </c>
      <c r="K26" s="119">
        <f t="shared" si="29"/>
        <v>305.006349</v>
      </c>
      <c r="L26" s="119">
        <f t="shared" si="29"/>
        <v>306.92213099999998</v>
      </c>
      <c r="M26" s="119">
        <f t="shared" si="29"/>
        <v>309.89870999999999</v>
      </c>
      <c r="N26" s="119">
        <f t="shared" si="29"/>
        <v>311.87469600000003</v>
      </c>
      <c r="O26" s="119">
        <f t="shared" si="29"/>
        <v>313.85450199999997</v>
      </c>
      <c r="P26" s="119">
        <f t="shared" si="29"/>
        <v>315.84883099999996</v>
      </c>
      <c r="Q26" s="119">
        <f t="shared" si="29"/>
        <v>318.839969</v>
      </c>
      <c r="R26" s="119">
        <f t="shared" si="29"/>
        <v>320.83039099999996</v>
      </c>
      <c r="S26" s="119">
        <f t="shared" si="29"/>
        <v>322.83601100000004</v>
      </c>
      <c r="T26" s="119">
        <f t="shared" si="29"/>
        <v>324.84207099999998</v>
      </c>
      <c r="U26" s="119">
        <f t="shared" si="29"/>
        <v>327.58219426080001</v>
      </c>
      <c r="V26" s="118">
        <f t="shared" si="29"/>
        <v>330.32231752159998</v>
      </c>
      <c r="W26" s="119">
        <f t="shared" si="29"/>
        <v>332.85355581646007</v>
      </c>
      <c r="X26" s="119">
        <f t="shared" si="29"/>
        <v>335.3847941113201</v>
      </c>
      <c r="Y26" s="119">
        <f t="shared" si="29"/>
        <v>337.91603240618008</v>
      </c>
      <c r="Z26" s="119">
        <f t="shared" si="29"/>
        <v>340.44727070104017</v>
      </c>
      <c r="AA26" s="119">
        <f t="shared" si="29"/>
        <v>342.97850899590014</v>
      </c>
      <c r="AB26" s="119">
        <f t="shared" si="29"/>
        <v>345.50974729076023</v>
      </c>
      <c r="AC26" s="119">
        <f t="shared" si="29"/>
        <v>348.04098558562026</v>
      </c>
      <c r="AD26" s="119">
        <f t="shared" si="29"/>
        <v>350.57222388048024</v>
      </c>
      <c r="AE26" s="119">
        <f t="shared" si="29"/>
        <v>353.10346217534033</v>
      </c>
      <c r="AF26" s="118">
        <f t="shared" si="29"/>
        <v>355.63470047020002</v>
      </c>
      <c r="AG26" s="119">
        <f t="shared" si="29"/>
        <v>357.76654252447003</v>
      </c>
      <c r="AH26" s="119">
        <f t="shared" si="29"/>
        <v>359.89838457873998</v>
      </c>
      <c r="AI26" s="119">
        <f t="shared" si="29"/>
        <v>362.03022663300999</v>
      </c>
      <c r="AJ26" s="119">
        <f t="shared" si="29"/>
        <v>364.16206868727994</v>
      </c>
      <c r="AK26" s="119">
        <f t="shared" si="29"/>
        <v>366.29391074154995</v>
      </c>
      <c r="AL26" s="119">
        <f t="shared" si="29"/>
        <v>368.4257527958199</v>
      </c>
      <c r="AM26" s="119">
        <f t="shared" si="29"/>
        <v>370.55759485008991</v>
      </c>
      <c r="AN26" s="119">
        <f t="shared" si="29"/>
        <v>372.68943690435987</v>
      </c>
      <c r="AO26" s="119">
        <f t="shared" si="29"/>
        <v>374.82127895862982</v>
      </c>
      <c r="AP26" s="118">
        <f t="shared" si="29"/>
        <v>376.9531210129</v>
      </c>
      <c r="AQ26" s="119">
        <f t="shared" si="29"/>
        <v>379.32936405897004</v>
      </c>
      <c r="AR26" s="119">
        <f t="shared" si="29"/>
        <v>381.70560710504003</v>
      </c>
      <c r="AS26" s="119">
        <f t="shared" si="29"/>
        <v>384.08185015111002</v>
      </c>
      <c r="AT26" s="119">
        <f t="shared" si="29"/>
        <v>386.45809319718012</v>
      </c>
      <c r="AU26" s="119">
        <f t="shared" si="29"/>
        <v>388.83433624325011</v>
      </c>
      <c r="AV26" s="119">
        <f t="shared" si="29"/>
        <v>391.21057928932009</v>
      </c>
      <c r="AW26" s="119">
        <f t="shared" si="29"/>
        <v>393.58682233539008</v>
      </c>
      <c r="AX26" s="119">
        <f t="shared" si="29"/>
        <v>395.96306538146013</v>
      </c>
      <c r="AY26" s="119">
        <f t="shared" si="29"/>
        <v>398.33930842753011</v>
      </c>
      <c r="AZ26" s="118">
        <f t="shared" si="29"/>
        <v>400.71555147359999</v>
      </c>
    </row>
    <row r="27" spans="1:52" ht="15.75" customHeight="1">
      <c r="A27" s="40" t="s">
        <v>236</v>
      </c>
      <c r="B27" s="122" t="s">
        <v>229</v>
      </c>
      <c r="C27" s="122" t="s">
        <v>229</v>
      </c>
      <c r="D27" s="122" t="s">
        <v>229</v>
      </c>
      <c r="E27" s="122" t="s">
        <v>229</v>
      </c>
      <c r="F27" s="122" t="s">
        <v>229</v>
      </c>
      <c r="G27" s="122" t="s">
        <v>229</v>
      </c>
      <c r="H27" s="122" t="s">
        <v>229</v>
      </c>
      <c r="I27" s="122" t="s">
        <v>229</v>
      </c>
      <c r="J27" s="122" t="s">
        <v>229</v>
      </c>
      <c r="K27" s="122" t="s">
        <v>229</v>
      </c>
      <c r="L27" s="122" t="s">
        <v>229</v>
      </c>
      <c r="M27" s="122" t="s">
        <v>229</v>
      </c>
      <c r="N27" s="122" t="s">
        <v>229</v>
      </c>
      <c r="O27" s="122" t="s">
        <v>229</v>
      </c>
      <c r="P27" s="122" t="s">
        <v>229</v>
      </c>
      <c r="Q27" s="122" t="s">
        <v>229</v>
      </c>
      <c r="R27" s="122" t="s">
        <v>229</v>
      </c>
      <c r="S27" s="122" t="s">
        <v>229</v>
      </c>
      <c r="T27" s="122" t="s">
        <v>229</v>
      </c>
      <c r="U27" s="122" t="s">
        <v>229</v>
      </c>
      <c r="V27" s="122" t="s">
        <v>229</v>
      </c>
      <c r="W27" s="122" t="s">
        <v>229</v>
      </c>
      <c r="X27" s="122" t="s">
        <v>229</v>
      </c>
      <c r="Y27" s="122" t="s">
        <v>229</v>
      </c>
      <c r="Z27" s="122" t="s">
        <v>229</v>
      </c>
      <c r="AA27" s="122" t="s">
        <v>229</v>
      </c>
      <c r="AB27" s="122" t="s">
        <v>229</v>
      </c>
      <c r="AC27" s="122" t="s">
        <v>229</v>
      </c>
      <c r="AD27" s="122" t="s">
        <v>229</v>
      </c>
      <c r="AE27" s="122" t="s">
        <v>229</v>
      </c>
      <c r="AF27" s="122" t="s">
        <v>229</v>
      </c>
      <c r="AG27" s="122" t="s">
        <v>229</v>
      </c>
      <c r="AH27" s="122" t="s">
        <v>229</v>
      </c>
      <c r="AI27" s="122" t="s">
        <v>229</v>
      </c>
      <c r="AJ27" s="122" t="s">
        <v>229</v>
      </c>
      <c r="AK27" s="122" t="s">
        <v>229</v>
      </c>
      <c r="AL27" s="122" t="s">
        <v>229</v>
      </c>
      <c r="AM27" s="122" t="s">
        <v>229</v>
      </c>
      <c r="AN27" s="122" t="s">
        <v>229</v>
      </c>
      <c r="AO27" s="122" t="s">
        <v>229</v>
      </c>
      <c r="AP27" s="122" t="s">
        <v>229</v>
      </c>
      <c r="AQ27" s="122" t="s">
        <v>229</v>
      </c>
      <c r="AR27" s="122" t="s">
        <v>229</v>
      </c>
      <c r="AS27" s="122" t="s">
        <v>229</v>
      </c>
      <c r="AT27" s="122" t="s">
        <v>229</v>
      </c>
      <c r="AU27" s="122" t="s">
        <v>229</v>
      </c>
      <c r="AV27" s="122" t="s">
        <v>229</v>
      </c>
      <c r="AW27" s="122" t="s">
        <v>229</v>
      </c>
      <c r="AX27" s="122" t="s">
        <v>229</v>
      </c>
      <c r="AY27" s="122" t="s">
        <v>229</v>
      </c>
      <c r="AZ27" s="122" t="s">
        <v>229</v>
      </c>
    </row>
    <row r="28" spans="1:52" ht="15.75" customHeight="1"/>
    <row r="29" spans="1:52" ht="15.75" customHeight="1">
      <c r="K29" s="123"/>
      <c r="L29" s="124"/>
      <c r="M29" s="123"/>
      <c r="N29" s="123"/>
      <c r="O29" s="123"/>
      <c r="P29" s="124"/>
      <c r="Q29" s="124"/>
      <c r="R29" s="124"/>
      <c r="S29" s="124"/>
      <c r="T29" s="124"/>
      <c r="U29" s="124"/>
    </row>
    <row r="30" spans="1:52" ht="15.75" customHeight="1">
      <c r="K30" s="123"/>
      <c r="L30" s="124"/>
      <c r="M30" s="123"/>
      <c r="N30" s="126"/>
      <c r="O30" s="126"/>
      <c r="P30" s="126"/>
      <c r="Q30" s="126"/>
      <c r="R30" s="126"/>
      <c r="S30" s="126"/>
      <c r="T30" s="126"/>
      <c r="U30" s="126"/>
    </row>
    <row r="31" spans="1:52" ht="15.75" customHeight="1">
      <c r="K31" s="123"/>
      <c r="L31" s="124"/>
      <c r="M31" s="123"/>
    </row>
    <row r="32" spans="1:52" ht="15.75" customHeight="1">
      <c r="K32" s="123"/>
      <c r="L32" s="124"/>
      <c r="M32" s="123"/>
    </row>
    <row r="33" spans="2:13" ht="15.75" customHeight="1">
      <c r="K33" s="123"/>
      <c r="L33" s="124"/>
      <c r="M33" s="123"/>
    </row>
    <row r="34" spans="2:13" ht="15.75" customHeight="1">
      <c r="B34" s="124"/>
      <c r="D34" s="119"/>
      <c r="L34" s="127"/>
      <c r="M34" s="126"/>
    </row>
    <row r="35" spans="2:13" ht="15.75" customHeight="1">
      <c r="B35" s="124"/>
      <c r="D35" s="119"/>
      <c r="L35" s="127"/>
      <c r="M35" s="126"/>
    </row>
    <row r="36" spans="2:13" ht="15.75" customHeight="1">
      <c r="B36" s="124"/>
      <c r="D36" s="119"/>
      <c r="L36" s="127"/>
      <c r="M36" s="126"/>
    </row>
    <row r="37" spans="2:13" ht="15.75" customHeight="1">
      <c r="B37" s="124"/>
      <c r="D37" s="119"/>
      <c r="L37" s="127"/>
      <c r="M37" s="126"/>
    </row>
    <row r="38" spans="2:13" ht="15.75" customHeight="1">
      <c r="B38" s="124"/>
      <c r="D38" s="119"/>
    </row>
    <row r="39" spans="2:13" ht="15.75" customHeight="1">
      <c r="B39" s="124"/>
      <c r="D39" s="119"/>
    </row>
    <row r="40" spans="2:13" ht="15.75" customHeight="1">
      <c r="B40" s="124"/>
      <c r="D40" s="119"/>
    </row>
    <row r="41" spans="2:13" ht="15.75" customHeight="1"/>
    <row r="42" spans="2:13" ht="15.75" customHeight="1"/>
    <row r="43" spans="2:13" ht="15.75" customHeight="1"/>
    <row r="44" spans="2:13" ht="15.75" customHeight="1"/>
    <row r="45" spans="2:13" ht="15.75" customHeight="1"/>
    <row r="46" spans="2:13" ht="15.75" customHeight="1"/>
    <row r="47" spans="2:13" ht="15.75" customHeight="1"/>
    <row r="48" spans="2: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Z1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5.3046875" customWidth="1"/>
  </cols>
  <sheetData>
    <row r="1" spans="1:52">
      <c r="B1" s="40">
        <v>2000</v>
      </c>
      <c r="C1" s="40">
        <v>2001</v>
      </c>
      <c r="D1" s="40">
        <v>2002</v>
      </c>
      <c r="E1" s="40">
        <v>2003</v>
      </c>
      <c r="F1" s="40">
        <v>2004</v>
      </c>
      <c r="G1" s="40">
        <v>2005</v>
      </c>
      <c r="H1" s="40">
        <v>2006</v>
      </c>
      <c r="I1" s="40">
        <v>2007</v>
      </c>
      <c r="J1" s="40">
        <v>2008</v>
      </c>
      <c r="K1" s="40">
        <v>2009</v>
      </c>
      <c r="L1" s="40">
        <v>2010</v>
      </c>
      <c r="M1" s="40">
        <v>2011</v>
      </c>
      <c r="N1" s="40">
        <v>2012</v>
      </c>
      <c r="O1" s="40">
        <v>2013</v>
      </c>
      <c r="P1" s="40">
        <v>2014</v>
      </c>
      <c r="Q1" s="40">
        <v>2015</v>
      </c>
      <c r="R1" s="40">
        <v>2016</v>
      </c>
      <c r="S1" s="40">
        <v>2017</v>
      </c>
      <c r="T1" s="40">
        <v>2018</v>
      </c>
      <c r="U1" s="40">
        <v>2019</v>
      </c>
      <c r="V1" s="40">
        <v>2020</v>
      </c>
      <c r="W1" s="40">
        <v>2021</v>
      </c>
      <c r="X1" s="40">
        <v>2022</v>
      </c>
      <c r="Y1" s="40">
        <v>2023</v>
      </c>
      <c r="Z1" s="40">
        <v>2024</v>
      </c>
      <c r="AA1" s="40">
        <v>2025</v>
      </c>
      <c r="AB1" s="40">
        <v>2026</v>
      </c>
      <c r="AC1" s="40">
        <v>2027</v>
      </c>
      <c r="AD1" s="40">
        <v>2028</v>
      </c>
      <c r="AE1" s="40">
        <v>2029</v>
      </c>
      <c r="AF1" s="40">
        <v>2030</v>
      </c>
      <c r="AG1" s="40">
        <v>2031</v>
      </c>
      <c r="AH1" s="40">
        <v>2032</v>
      </c>
      <c r="AI1" s="40">
        <v>2033</v>
      </c>
      <c r="AJ1" s="40">
        <v>2034</v>
      </c>
      <c r="AK1" s="40">
        <v>2035</v>
      </c>
      <c r="AL1" s="40">
        <v>2036</v>
      </c>
      <c r="AM1" s="40">
        <v>2037</v>
      </c>
      <c r="AN1" s="40">
        <v>2038</v>
      </c>
      <c r="AO1" s="40">
        <v>2039</v>
      </c>
      <c r="AP1" s="40">
        <v>2040</v>
      </c>
      <c r="AQ1" s="40">
        <v>2041</v>
      </c>
      <c r="AR1" s="40">
        <v>2042</v>
      </c>
      <c r="AS1" s="40">
        <v>2043</v>
      </c>
      <c r="AT1" s="40">
        <v>2044</v>
      </c>
      <c r="AU1" s="40">
        <v>2045</v>
      </c>
      <c r="AV1" s="40">
        <v>2046</v>
      </c>
      <c r="AW1" s="40">
        <v>2047</v>
      </c>
      <c r="AX1" s="40">
        <v>2048</v>
      </c>
      <c r="AY1" s="40">
        <v>2049</v>
      </c>
      <c r="AZ1" s="40">
        <v>2050</v>
      </c>
    </row>
    <row r="2" spans="1:52">
      <c r="A2" s="80" t="s">
        <v>241</v>
      </c>
      <c r="B2" s="131">
        <v>4.9961789999999997</v>
      </c>
      <c r="C2" s="131">
        <v>4.7713400000000004</v>
      </c>
      <c r="D2" s="131">
        <v>4.8888179999999997</v>
      </c>
      <c r="E2" s="131">
        <v>5.0793509999999999</v>
      </c>
      <c r="F2" s="131">
        <v>4.8687969999999998</v>
      </c>
      <c r="G2" s="131">
        <v>4.8267749999999996</v>
      </c>
      <c r="H2" s="131">
        <v>4.3684659999999997</v>
      </c>
      <c r="I2" s="131">
        <v>4.7223579999999998</v>
      </c>
      <c r="J2" s="131">
        <v>4.892277</v>
      </c>
      <c r="K2" s="131">
        <v>4.7789070000000002</v>
      </c>
      <c r="L2" s="131">
        <v>4.7824119999999999</v>
      </c>
      <c r="M2" s="131">
        <v>4.7137770000000003</v>
      </c>
      <c r="N2" s="131">
        <v>4.1495189999999997</v>
      </c>
      <c r="O2" s="131">
        <v>4.8973719999999998</v>
      </c>
      <c r="P2" s="131">
        <v>5.0874709999999999</v>
      </c>
      <c r="Q2" s="131">
        <v>4.6128879999999999</v>
      </c>
      <c r="R2" s="131">
        <v>4.3465879999999997</v>
      </c>
      <c r="S2" s="131">
        <v>4.4122820000000003</v>
      </c>
      <c r="T2" s="131">
        <v>4.9739829999999996</v>
      </c>
      <c r="U2" s="7">
        <v>4.7874090000000002</v>
      </c>
      <c r="V2" s="7">
        <v>4.630986</v>
      </c>
      <c r="W2" s="7">
        <v>4.6106930000000004</v>
      </c>
      <c r="X2" s="7">
        <v>4.5918700000000001</v>
      </c>
      <c r="Y2" s="7">
        <v>4.571561</v>
      </c>
      <c r="Z2" s="7">
        <v>4.5498260000000004</v>
      </c>
      <c r="AA2" s="7">
        <v>4.5295719999999999</v>
      </c>
      <c r="AB2" s="7">
        <v>4.5131180000000004</v>
      </c>
      <c r="AC2" s="7">
        <v>4.5014120000000002</v>
      </c>
      <c r="AD2" s="7">
        <v>4.4924840000000001</v>
      </c>
      <c r="AE2" s="7">
        <v>4.4797859999999998</v>
      </c>
      <c r="AF2" s="7">
        <v>4.4714700000000001</v>
      </c>
      <c r="AG2" s="7">
        <v>4.4665410000000003</v>
      </c>
      <c r="AH2" s="7">
        <v>4.4605880000000004</v>
      </c>
      <c r="AI2" s="7">
        <v>4.4542979999999996</v>
      </c>
      <c r="AJ2" s="7">
        <v>4.4500580000000003</v>
      </c>
      <c r="AK2" s="7">
        <v>4.4471809999999996</v>
      </c>
      <c r="AL2" s="7">
        <v>4.4442139999999997</v>
      </c>
      <c r="AM2" s="7">
        <v>4.4415019999999998</v>
      </c>
      <c r="AN2" s="7">
        <v>4.4400430000000002</v>
      </c>
      <c r="AO2" s="7">
        <v>4.4388579999999997</v>
      </c>
      <c r="AP2" s="7">
        <v>4.4374500000000001</v>
      </c>
      <c r="AQ2" s="7">
        <v>4.4368420000000004</v>
      </c>
      <c r="AR2" s="7">
        <v>4.4361750000000004</v>
      </c>
      <c r="AS2" s="7">
        <v>4.4349290000000003</v>
      </c>
      <c r="AT2" s="7">
        <v>4.4340020000000004</v>
      </c>
      <c r="AU2" s="7">
        <v>4.433395</v>
      </c>
      <c r="AV2" s="7">
        <v>4.4333790000000004</v>
      </c>
      <c r="AW2" s="7">
        <v>4.4335889999999996</v>
      </c>
      <c r="AX2" s="7">
        <v>4.4329710000000002</v>
      </c>
      <c r="AY2" s="7">
        <v>4.430803</v>
      </c>
      <c r="AZ2" s="7">
        <v>4.429246</v>
      </c>
    </row>
    <row r="3" spans="1:52">
      <c r="A3" s="80" t="s">
        <v>242</v>
      </c>
      <c r="B3" s="131">
        <v>3.1824690000000002</v>
      </c>
      <c r="C3" s="131">
        <v>3.0227119999999998</v>
      </c>
      <c r="D3" s="131">
        <v>3.1441699999999999</v>
      </c>
      <c r="E3" s="131">
        <v>3.1794929999999999</v>
      </c>
      <c r="F3" s="131">
        <v>3.1289720000000001</v>
      </c>
      <c r="G3" s="131">
        <v>2.99892</v>
      </c>
      <c r="H3" s="131">
        <v>2.83203</v>
      </c>
      <c r="I3" s="131">
        <v>3.0129039999999998</v>
      </c>
      <c r="J3" s="131">
        <v>3.1525289999999999</v>
      </c>
      <c r="K3" s="131">
        <v>3.118592</v>
      </c>
      <c r="L3" s="131">
        <v>3.1025930000000002</v>
      </c>
      <c r="M3" s="131">
        <v>3.155319</v>
      </c>
      <c r="N3" s="131">
        <v>2.8949259999999999</v>
      </c>
      <c r="O3" s="131">
        <v>3.2953009999999998</v>
      </c>
      <c r="P3" s="131">
        <v>3.4663080000000002</v>
      </c>
      <c r="Q3" s="131">
        <v>3.2017340000000001</v>
      </c>
      <c r="R3" s="131">
        <v>3.1095839999999999</v>
      </c>
      <c r="S3" s="131">
        <v>3.1640779999999999</v>
      </c>
      <c r="T3" s="131">
        <v>3.4762810000000002</v>
      </c>
      <c r="U3" s="7">
        <v>3.3020320000000001</v>
      </c>
      <c r="V3" s="7">
        <v>3.265266</v>
      </c>
      <c r="W3" s="7">
        <v>3.27101</v>
      </c>
      <c r="X3" s="7">
        <v>3.272081</v>
      </c>
      <c r="Y3" s="7">
        <v>3.2667820000000001</v>
      </c>
      <c r="Z3" s="7">
        <v>3.257968</v>
      </c>
      <c r="AA3" s="7">
        <v>3.2538040000000001</v>
      </c>
      <c r="AB3" s="7">
        <v>3.259452</v>
      </c>
      <c r="AC3" s="7">
        <v>3.2737810000000001</v>
      </c>
      <c r="AD3" s="7">
        <v>3.2918400000000001</v>
      </c>
      <c r="AE3" s="7">
        <v>3.3024249999999999</v>
      </c>
      <c r="AF3" s="7">
        <v>3.3171379999999999</v>
      </c>
      <c r="AG3" s="7">
        <v>3.3364310000000001</v>
      </c>
      <c r="AH3" s="7">
        <v>3.3569589999999998</v>
      </c>
      <c r="AI3" s="7">
        <v>3.3770470000000001</v>
      </c>
      <c r="AJ3" s="7">
        <v>3.3991639999999999</v>
      </c>
      <c r="AK3" s="7">
        <v>3.423057</v>
      </c>
      <c r="AL3" s="7">
        <v>3.4479320000000002</v>
      </c>
      <c r="AM3" s="7">
        <v>3.4734210000000001</v>
      </c>
      <c r="AN3" s="7">
        <v>3.501455</v>
      </c>
      <c r="AO3" s="7">
        <v>3.5310450000000002</v>
      </c>
      <c r="AP3" s="7">
        <v>3.5605799999999999</v>
      </c>
      <c r="AQ3" s="7">
        <v>3.59198</v>
      </c>
      <c r="AR3" s="7">
        <v>3.624431</v>
      </c>
      <c r="AS3" s="7">
        <v>3.6574680000000002</v>
      </c>
      <c r="AT3" s="7">
        <v>3.6917710000000001</v>
      </c>
      <c r="AU3" s="7">
        <v>3.727481</v>
      </c>
      <c r="AV3" s="7">
        <v>3.7661180000000001</v>
      </c>
      <c r="AW3" s="7">
        <v>3.8050480000000002</v>
      </c>
      <c r="AX3" s="7">
        <v>3.8432759999999999</v>
      </c>
      <c r="AY3" s="7">
        <v>3.8795570000000001</v>
      </c>
      <c r="AZ3" s="7">
        <v>3.9160729999999999</v>
      </c>
    </row>
    <row r="4" spans="1:52">
      <c r="A4" s="80"/>
      <c r="B4" s="131">
        <f t="shared" ref="B4:AZ4" si="0">SUM(B2:B3)</f>
        <v>8.178647999999999</v>
      </c>
      <c r="C4" s="131">
        <f t="shared" si="0"/>
        <v>7.7940520000000006</v>
      </c>
      <c r="D4" s="131">
        <f t="shared" si="0"/>
        <v>8.0329879999999996</v>
      </c>
      <c r="E4" s="131">
        <f t="shared" si="0"/>
        <v>8.2588439999999999</v>
      </c>
      <c r="F4" s="131">
        <f t="shared" si="0"/>
        <v>7.9977689999999999</v>
      </c>
      <c r="G4" s="131">
        <f t="shared" si="0"/>
        <v>7.8256949999999996</v>
      </c>
      <c r="H4" s="131">
        <f t="shared" si="0"/>
        <v>7.2004959999999993</v>
      </c>
      <c r="I4" s="131">
        <f t="shared" si="0"/>
        <v>7.7352619999999996</v>
      </c>
      <c r="J4" s="131">
        <f t="shared" si="0"/>
        <v>8.0448059999999995</v>
      </c>
      <c r="K4" s="131">
        <f t="shared" si="0"/>
        <v>7.8974989999999998</v>
      </c>
      <c r="L4" s="131">
        <f t="shared" si="0"/>
        <v>7.8850049999999996</v>
      </c>
      <c r="M4" s="131">
        <f t="shared" si="0"/>
        <v>7.8690960000000008</v>
      </c>
      <c r="N4" s="131">
        <f t="shared" si="0"/>
        <v>7.0444449999999996</v>
      </c>
      <c r="O4" s="131">
        <f t="shared" si="0"/>
        <v>8.1926729999999992</v>
      </c>
      <c r="P4" s="131">
        <f t="shared" si="0"/>
        <v>8.5537790000000005</v>
      </c>
      <c r="Q4" s="131">
        <f t="shared" si="0"/>
        <v>7.814622</v>
      </c>
      <c r="R4" s="131">
        <f t="shared" si="0"/>
        <v>7.4561719999999996</v>
      </c>
      <c r="S4" s="131">
        <f t="shared" si="0"/>
        <v>7.5763600000000002</v>
      </c>
      <c r="T4" s="131">
        <f t="shared" si="0"/>
        <v>8.4502640000000007</v>
      </c>
      <c r="U4" s="131">
        <f t="shared" si="0"/>
        <v>8.0894410000000008</v>
      </c>
      <c r="V4" s="131">
        <f t="shared" si="0"/>
        <v>7.8962520000000005</v>
      </c>
      <c r="W4" s="131">
        <f t="shared" si="0"/>
        <v>7.8817029999999999</v>
      </c>
      <c r="X4" s="131">
        <f t="shared" si="0"/>
        <v>7.8639510000000001</v>
      </c>
      <c r="Y4" s="131">
        <f t="shared" si="0"/>
        <v>7.8383430000000001</v>
      </c>
      <c r="Z4" s="131">
        <f t="shared" si="0"/>
        <v>7.8077940000000003</v>
      </c>
      <c r="AA4" s="131">
        <f t="shared" si="0"/>
        <v>7.7833760000000005</v>
      </c>
      <c r="AB4" s="131">
        <f t="shared" si="0"/>
        <v>7.77257</v>
      </c>
      <c r="AC4" s="131">
        <f t="shared" si="0"/>
        <v>7.7751929999999998</v>
      </c>
      <c r="AD4" s="131">
        <f t="shared" si="0"/>
        <v>7.7843239999999998</v>
      </c>
      <c r="AE4" s="131">
        <f t="shared" si="0"/>
        <v>7.7822110000000002</v>
      </c>
      <c r="AF4" s="131">
        <f t="shared" si="0"/>
        <v>7.788608</v>
      </c>
      <c r="AG4" s="131">
        <f t="shared" si="0"/>
        <v>7.8029720000000005</v>
      </c>
      <c r="AH4" s="131">
        <f t="shared" si="0"/>
        <v>7.8175470000000002</v>
      </c>
      <c r="AI4" s="131">
        <f t="shared" si="0"/>
        <v>7.8313449999999998</v>
      </c>
      <c r="AJ4" s="131">
        <f t="shared" si="0"/>
        <v>7.8492220000000001</v>
      </c>
      <c r="AK4" s="131">
        <f t="shared" si="0"/>
        <v>7.8702379999999996</v>
      </c>
      <c r="AL4" s="131">
        <f t="shared" si="0"/>
        <v>7.8921460000000003</v>
      </c>
      <c r="AM4" s="131">
        <f t="shared" si="0"/>
        <v>7.9149229999999999</v>
      </c>
      <c r="AN4" s="131">
        <f t="shared" si="0"/>
        <v>7.9414980000000002</v>
      </c>
      <c r="AO4" s="131">
        <f t="shared" si="0"/>
        <v>7.9699030000000004</v>
      </c>
      <c r="AP4" s="131">
        <f t="shared" si="0"/>
        <v>7.99803</v>
      </c>
      <c r="AQ4" s="131">
        <f t="shared" si="0"/>
        <v>8.0288219999999999</v>
      </c>
      <c r="AR4" s="131">
        <f t="shared" si="0"/>
        <v>8.0606059999999999</v>
      </c>
      <c r="AS4" s="131">
        <f t="shared" si="0"/>
        <v>8.0923970000000001</v>
      </c>
      <c r="AT4" s="131">
        <f t="shared" si="0"/>
        <v>8.1257730000000006</v>
      </c>
      <c r="AU4" s="131">
        <f t="shared" si="0"/>
        <v>8.160876</v>
      </c>
      <c r="AV4" s="131">
        <f t="shared" si="0"/>
        <v>8.1994970000000009</v>
      </c>
      <c r="AW4" s="131">
        <f t="shared" si="0"/>
        <v>8.2386370000000007</v>
      </c>
      <c r="AX4" s="131">
        <f t="shared" si="0"/>
        <v>8.2762469999999997</v>
      </c>
      <c r="AY4" s="131">
        <f t="shared" si="0"/>
        <v>8.3103599999999993</v>
      </c>
      <c r="AZ4" s="131">
        <f t="shared" si="0"/>
        <v>8.3453189999999999</v>
      </c>
    </row>
    <row r="5" spans="1:52">
      <c r="A5" s="80" t="s">
        <v>244</v>
      </c>
      <c r="B5" s="131">
        <v>8.1422399999999993</v>
      </c>
      <c r="C5" s="131">
        <v>7.3442189999999998</v>
      </c>
      <c r="D5" s="131">
        <v>7.5271840000000001</v>
      </c>
      <c r="E5" s="131">
        <v>7.1503959999999998</v>
      </c>
      <c r="F5" s="131">
        <v>7.2564080000000004</v>
      </c>
      <c r="G5" s="131">
        <v>6.6011680000000004</v>
      </c>
      <c r="H5" s="131">
        <v>6.5265459999999997</v>
      </c>
      <c r="I5" s="131">
        <v>6.6547159999999996</v>
      </c>
      <c r="J5" s="131">
        <v>6.6701819999999996</v>
      </c>
      <c r="K5" s="131">
        <v>6.1673710000000002</v>
      </c>
      <c r="L5" s="131">
        <v>6.8261919999999998</v>
      </c>
      <c r="M5" s="131">
        <v>6.9941199999999997</v>
      </c>
      <c r="N5" s="131">
        <v>7.2262149999999998</v>
      </c>
      <c r="O5" s="131">
        <v>7.4254519999999999</v>
      </c>
      <c r="P5" s="131">
        <v>7.646039</v>
      </c>
      <c r="Q5" s="131">
        <v>7.521903</v>
      </c>
      <c r="R5" s="131">
        <v>7.728688</v>
      </c>
      <c r="S5" s="131">
        <v>7.9491990000000001</v>
      </c>
      <c r="T5" s="131">
        <v>8.2858359999999998</v>
      </c>
      <c r="U5" s="7">
        <v>8.1956779999999991</v>
      </c>
      <c r="V5" s="7">
        <v>8.4257500000000007</v>
      </c>
      <c r="W5" s="7">
        <v>8.6176849999999998</v>
      </c>
      <c r="X5" s="7">
        <v>8.7915150000000004</v>
      </c>
      <c r="Y5" s="7">
        <v>8.9275459999999995</v>
      </c>
      <c r="Z5" s="7">
        <v>9.0452709999999996</v>
      </c>
      <c r="AA5" s="7">
        <v>9.0864670000000007</v>
      </c>
      <c r="AB5" s="7">
        <v>9.1666530000000002</v>
      </c>
      <c r="AC5" s="7">
        <v>9.2105840000000008</v>
      </c>
      <c r="AD5" s="7">
        <v>9.3042350000000003</v>
      </c>
      <c r="AE5" s="7">
        <v>9.3230640000000005</v>
      </c>
      <c r="AF5" s="7">
        <v>9.3569820000000004</v>
      </c>
      <c r="AG5" s="7">
        <v>9.3843560000000004</v>
      </c>
      <c r="AH5" s="7">
        <v>9.4026589999999999</v>
      </c>
      <c r="AI5" s="7">
        <v>9.4053459999999998</v>
      </c>
      <c r="AJ5" s="7">
        <v>9.4244380000000003</v>
      </c>
      <c r="AK5" s="7">
        <v>9.4736270000000005</v>
      </c>
      <c r="AL5" s="7">
        <v>9.5263449999999992</v>
      </c>
      <c r="AM5" s="7">
        <v>9.5639140000000005</v>
      </c>
      <c r="AN5" s="7">
        <v>9.6495250000000006</v>
      </c>
      <c r="AO5" s="7">
        <v>9.6988690000000002</v>
      </c>
      <c r="AP5" s="7">
        <v>9.7457790000000006</v>
      </c>
      <c r="AQ5" s="7">
        <v>9.8043969999999998</v>
      </c>
      <c r="AR5" s="7">
        <v>9.8412749999999996</v>
      </c>
      <c r="AS5" s="7">
        <v>9.8924479999999999</v>
      </c>
      <c r="AT5" s="7">
        <v>9.9283719999999995</v>
      </c>
      <c r="AU5" s="7">
        <v>10.039173</v>
      </c>
      <c r="AV5" s="7">
        <v>10.062462</v>
      </c>
      <c r="AW5" s="7">
        <v>10.120937</v>
      </c>
      <c r="AX5" s="7">
        <v>10.185613999999999</v>
      </c>
      <c r="AY5" s="7">
        <v>10.248264000000001</v>
      </c>
      <c r="AZ5" s="7">
        <v>10.305804999999999</v>
      </c>
    </row>
    <row r="6" spans="1:52">
      <c r="A6" s="80" t="s">
        <v>245</v>
      </c>
      <c r="B6" s="80">
        <v>4.4800000000000004</v>
      </c>
      <c r="C6" s="80">
        <v>3.93</v>
      </c>
      <c r="D6" s="80">
        <v>4.7699999999999996</v>
      </c>
      <c r="E6" s="80">
        <v>4.75</v>
      </c>
      <c r="F6" s="80">
        <v>4.68</v>
      </c>
      <c r="G6" s="80">
        <v>4.32</v>
      </c>
      <c r="H6" s="80">
        <v>3.92</v>
      </c>
      <c r="I6" s="80">
        <v>4.1900000000000004</v>
      </c>
      <c r="J6" s="80">
        <v>4.4800000000000004</v>
      </c>
      <c r="K6" s="80">
        <v>4.2</v>
      </c>
      <c r="L6" s="80">
        <v>4.3899999999999997</v>
      </c>
      <c r="M6" s="80">
        <v>4.1100000000000003</v>
      </c>
      <c r="N6" s="80">
        <v>3.45</v>
      </c>
      <c r="O6" s="80">
        <v>3.85</v>
      </c>
      <c r="P6" s="80">
        <v>4.67</v>
      </c>
      <c r="Q6" s="80">
        <v>4.43</v>
      </c>
      <c r="R6" s="80">
        <v>4.22</v>
      </c>
    </row>
    <row r="7" spans="1:52">
      <c r="A7" s="80" t="s">
        <v>246</v>
      </c>
      <c r="B7" s="80">
        <v>2.78</v>
      </c>
      <c r="C7" s="80">
        <v>2.5099999999999998</v>
      </c>
      <c r="D7" s="80">
        <v>3.05</v>
      </c>
      <c r="E7" s="80">
        <v>2.92</v>
      </c>
      <c r="F7" s="80">
        <v>3</v>
      </c>
      <c r="G7" s="80">
        <v>2.68</v>
      </c>
      <c r="H7" s="80">
        <v>2.4900000000000002</v>
      </c>
      <c r="I7" s="80">
        <v>2.65</v>
      </c>
      <c r="J7" s="80">
        <v>2.83</v>
      </c>
      <c r="K7" s="80">
        <v>2.67</v>
      </c>
      <c r="L7" s="80">
        <v>2.75</v>
      </c>
      <c r="M7" s="80">
        <v>2.71</v>
      </c>
      <c r="N7" s="80">
        <v>2.2999999999999998</v>
      </c>
      <c r="O7" s="80">
        <v>2.67</v>
      </c>
      <c r="P7" s="80">
        <v>3.16</v>
      </c>
      <c r="Q7" s="80">
        <v>3.05</v>
      </c>
      <c r="R7" s="80">
        <v>2.98</v>
      </c>
    </row>
    <row r="8" spans="1:52">
      <c r="A8" s="80" t="s">
        <v>247</v>
      </c>
      <c r="B8" s="80">
        <v>4.0999999999999996</v>
      </c>
      <c r="C8" s="80">
        <v>3.37</v>
      </c>
      <c r="D8" s="80">
        <v>7.41</v>
      </c>
      <c r="E8" s="80">
        <v>3.76</v>
      </c>
      <c r="F8" s="80">
        <v>6.93</v>
      </c>
      <c r="G8" s="80">
        <v>3.6</v>
      </c>
      <c r="H8" s="80">
        <v>3.46</v>
      </c>
      <c r="I8" s="80">
        <v>3.58</v>
      </c>
      <c r="J8" s="80">
        <v>3.51</v>
      </c>
      <c r="K8" s="80">
        <v>2.98</v>
      </c>
      <c r="L8" s="80">
        <v>3.42</v>
      </c>
      <c r="M8" s="80">
        <v>3.37</v>
      </c>
      <c r="N8" s="80">
        <v>3.21</v>
      </c>
      <c r="O8" s="80">
        <v>3.34</v>
      </c>
      <c r="P8" s="80">
        <v>3.71</v>
      </c>
      <c r="Q8" s="80">
        <v>3.74</v>
      </c>
      <c r="R8" s="80">
        <v>3.86</v>
      </c>
    </row>
    <row r="9" spans="1:52">
      <c r="A9" s="135" t="s">
        <v>248</v>
      </c>
      <c r="B9" s="136">
        <f t="shared" ref="B9:R9" si="1">B6/B2</f>
        <v>0.89668524686565487</v>
      </c>
      <c r="C9" s="136">
        <f t="shared" si="1"/>
        <v>0.82366798425599519</v>
      </c>
      <c r="D9" s="136">
        <f t="shared" si="1"/>
        <v>0.97569596577332185</v>
      </c>
      <c r="E9" s="136">
        <f t="shared" si="1"/>
        <v>0.9351588421434156</v>
      </c>
      <c r="F9" s="136">
        <f t="shared" si="1"/>
        <v>0.96122307009308461</v>
      </c>
      <c r="G9" s="136">
        <f t="shared" si="1"/>
        <v>0.89500753608776062</v>
      </c>
      <c r="H9" s="136">
        <f t="shared" si="1"/>
        <v>0.89734016471685951</v>
      </c>
      <c r="I9" s="136">
        <f t="shared" si="1"/>
        <v>0.887268606065021</v>
      </c>
      <c r="J9" s="136">
        <f t="shared" si="1"/>
        <v>0.91572901534397999</v>
      </c>
      <c r="K9" s="136">
        <f t="shared" si="1"/>
        <v>0.87886204941841306</v>
      </c>
      <c r="L9" s="136">
        <f t="shared" si="1"/>
        <v>0.91794684355927503</v>
      </c>
      <c r="M9" s="136">
        <f t="shared" si="1"/>
        <v>0.87191226907849062</v>
      </c>
      <c r="N9" s="136">
        <f t="shared" si="1"/>
        <v>0.83142166598104517</v>
      </c>
      <c r="O9" s="136">
        <f t="shared" si="1"/>
        <v>0.78613591126016158</v>
      </c>
      <c r="P9" s="136">
        <f t="shared" si="1"/>
        <v>0.91794135042735381</v>
      </c>
      <c r="Q9" s="136">
        <f t="shared" si="1"/>
        <v>0.96035282018553236</v>
      </c>
      <c r="R9" s="136">
        <f t="shared" si="1"/>
        <v>0.97087646678268102</v>
      </c>
    </row>
    <row r="10" spans="1:52">
      <c r="A10" s="135" t="s">
        <v>249</v>
      </c>
      <c r="B10" s="136">
        <f t="shared" ref="B10:R10" si="2">B7/B3</f>
        <v>0.87353561024475013</v>
      </c>
      <c r="C10" s="136">
        <f t="shared" si="2"/>
        <v>0.83038013545451894</v>
      </c>
      <c r="D10" s="136">
        <f t="shared" si="2"/>
        <v>0.97004932939376687</v>
      </c>
      <c r="E10" s="136">
        <f t="shared" si="2"/>
        <v>0.91838541553637643</v>
      </c>
      <c r="F10" s="136">
        <f t="shared" si="2"/>
        <v>0.95878135055219416</v>
      </c>
      <c r="G10" s="136">
        <f t="shared" si="2"/>
        <v>0.89365504915102778</v>
      </c>
      <c r="H10" s="136">
        <f t="shared" si="2"/>
        <v>0.87922797427993349</v>
      </c>
      <c r="I10" s="136">
        <f t="shared" si="2"/>
        <v>0.87955009519055372</v>
      </c>
      <c r="J10" s="136">
        <f t="shared" si="2"/>
        <v>0.89769197999447436</v>
      </c>
      <c r="K10" s="136">
        <f t="shared" si="2"/>
        <v>0.8561555984239041</v>
      </c>
      <c r="L10" s="136">
        <f t="shared" si="2"/>
        <v>0.886355380805668</v>
      </c>
      <c r="M10" s="136">
        <f t="shared" si="2"/>
        <v>0.85886720169973307</v>
      </c>
      <c r="N10" s="136">
        <f t="shared" si="2"/>
        <v>0.79449353800408018</v>
      </c>
      <c r="O10" s="136">
        <f t="shared" si="2"/>
        <v>0.81024464836444376</v>
      </c>
      <c r="P10" s="136">
        <f t="shared" si="2"/>
        <v>0.91163278046844076</v>
      </c>
      <c r="Q10" s="136">
        <f t="shared" si="2"/>
        <v>0.95260880510373436</v>
      </c>
      <c r="R10" s="136">
        <f t="shared" si="2"/>
        <v>0.95832754477769377</v>
      </c>
    </row>
    <row r="11" spans="1:52">
      <c r="A11" s="135" t="s">
        <v>250</v>
      </c>
      <c r="B11" s="136">
        <f t="shared" ref="B11:R11" si="3">B8/B5</f>
        <v>0.50354693548704044</v>
      </c>
      <c r="C11" s="136">
        <f t="shared" si="3"/>
        <v>0.45886431218894758</v>
      </c>
      <c r="D11" s="136">
        <f t="shared" si="3"/>
        <v>0.98443189378657414</v>
      </c>
      <c r="E11" s="136">
        <f t="shared" si="3"/>
        <v>0.52584500215092977</v>
      </c>
      <c r="F11" s="136">
        <f t="shared" si="3"/>
        <v>0.95501796481123979</v>
      </c>
      <c r="G11" s="136">
        <f t="shared" si="3"/>
        <v>0.54535803360859769</v>
      </c>
      <c r="H11" s="136">
        <f t="shared" si="3"/>
        <v>0.53014258997025376</v>
      </c>
      <c r="I11" s="136">
        <f t="shared" si="3"/>
        <v>0.53796435490259842</v>
      </c>
      <c r="J11" s="136">
        <f t="shared" si="3"/>
        <v>0.52622252286369398</v>
      </c>
      <c r="K11" s="136">
        <f t="shared" si="3"/>
        <v>0.48318805533184234</v>
      </c>
      <c r="L11" s="136">
        <f t="shared" si="3"/>
        <v>0.50101139844879838</v>
      </c>
      <c r="M11" s="136">
        <f t="shared" si="3"/>
        <v>0.48183331141015601</v>
      </c>
      <c r="N11" s="136">
        <f t="shared" si="3"/>
        <v>0.44421595537913</v>
      </c>
      <c r="O11" s="136">
        <f t="shared" si="3"/>
        <v>0.44980426780753546</v>
      </c>
      <c r="P11" s="136">
        <f t="shared" si="3"/>
        <v>0.48521855564691729</v>
      </c>
      <c r="Q11" s="136">
        <f t="shared" si="3"/>
        <v>0.49721460114548144</v>
      </c>
      <c r="R11" s="136">
        <f t="shared" si="3"/>
        <v>0.49943793823738258</v>
      </c>
    </row>
    <row r="12" spans="1:52">
      <c r="A12" s="80" t="s">
        <v>251</v>
      </c>
      <c r="B12" s="137">
        <v>5.1116000000000001</v>
      </c>
      <c r="C12" s="137">
        <v>4.7965</v>
      </c>
      <c r="D12" s="137">
        <v>4.9926000000000004</v>
      </c>
      <c r="E12" s="137">
        <v>5.0830000000000002</v>
      </c>
      <c r="F12" s="137">
        <v>4.8872999999999998</v>
      </c>
      <c r="G12" s="137">
        <v>4.7984</v>
      </c>
      <c r="H12" s="137">
        <v>4.3997000000000002</v>
      </c>
      <c r="I12" s="137">
        <v>4.8593000000000002</v>
      </c>
      <c r="J12" s="137">
        <v>5.0106000000000002</v>
      </c>
      <c r="K12" s="137">
        <v>4.9116</v>
      </c>
      <c r="L12" s="137">
        <v>4.9298000000000002</v>
      </c>
      <c r="M12" s="137">
        <v>4.8438999999999997</v>
      </c>
      <c r="N12" s="137">
        <v>4.2302</v>
      </c>
      <c r="O12" s="137">
        <v>5.0351999999999997</v>
      </c>
      <c r="P12" s="137">
        <v>5.2106000000000003</v>
      </c>
      <c r="Q12" s="137">
        <v>4.7489999999999997</v>
      </c>
      <c r="R12" s="137">
        <v>4.4942000000000002</v>
      </c>
      <c r="S12" s="137">
        <v>4.5609000000000002</v>
      </c>
    </row>
    <row r="13" spans="1:52">
      <c r="A13" s="80" t="s">
        <v>252</v>
      </c>
      <c r="B13" s="137">
        <v>3.246</v>
      </c>
      <c r="C13" s="137">
        <v>3.0228000000000002</v>
      </c>
      <c r="D13" s="137">
        <v>3.1432000000000002</v>
      </c>
      <c r="E13" s="137">
        <v>3.1591999999999998</v>
      </c>
      <c r="F13" s="137">
        <v>3.0962999999999998</v>
      </c>
      <c r="G13" s="137">
        <v>3.0754999999999999</v>
      </c>
      <c r="H13" s="137">
        <v>2.8329</v>
      </c>
      <c r="I13" s="137">
        <v>3.0884</v>
      </c>
      <c r="J13" s="137">
        <v>3.2082000000000002</v>
      </c>
      <c r="K13" s="137">
        <v>3.1833</v>
      </c>
      <c r="L13" s="137">
        <v>3.1147999999999998</v>
      </c>
      <c r="M13" s="137">
        <v>3.2016</v>
      </c>
      <c r="N13" s="137">
        <v>2.9186000000000001</v>
      </c>
      <c r="O13" s="137">
        <v>3.3248000000000002</v>
      </c>
      <c r="P13" s="137">
        <v>3.5186000000000002</v>
      </c>
      <c r="Q13" s="137">
        <v>3.2622</v>
      </c>
      <c r="R13" s="137">
        <v>3.1657000000000002</v>
      </c>
      <c r="S13" s="137">
        <v>3.2277</v>
      </c>
    </row>
    <row r="14" spans="1:52">
      <c r="A14" s="80" t="s">
        <v>253</v>
      </c>
      <c r="B14" s="137">
        <v>4.7042000000000002</v>
      </c>
      <c r="C14" s="137">
        <v>4.0730000000000004</v>
      </c>
      <c r="D14" s="137">
        <v>4.2054</v>
      </c>
      <c r="E14" s="137">
        <v>3.9121999999999999</v>
      </c>
      <c r="F14" s="137">
        <v>4.0053999999999998</v>
      </c>
      <c r="G14" s="137">
        <v>3.8443999999999998</v>
      </c>
      <c r="H14" s="137">
        <v>3.7948</v>
      </c>
      <c r="I14" s="137">
        <v>3.9346999999999999</v>
      </c>
      <c r="J14" s="137">
        <v>3.9344000000000001</v>
      </c>
      <c r="K14" s="137">
        <v>3.5133000000000001</v>
      </c>
      <c r="L14" s="137">
        <v>3.7408999999999999</v>
      </c>
      <c r="M14" s="137">
        <v>3.7679</v>
      </c>
      <c r="N14" s="137">
        <v>3.8332999999999999</v>
      </c>
      <c r="O14" s="137">
        <v>4.0058999999999996</v>
      </c>
      <c r="P14" s="137">
        <v>4.1369999999999996</v>
      </c>
      <c r="Q14" s="137">
        <v>4.0570000000000004</v>
      </c>
      <c r="R14" s="137">
        <v>4.1588000000000003</v>
      </c>
      <c r="S14" s="137">
        <v>4.1105</v>
      </c>
    </row>
    <row r="15" spans="1:52">
      <c r="A15" s="135" t="s">
        <v>254</v>
      </c>
      <c r="B15" s="136">
        <f t="shared" ref="B15:R15" si="4">B6/B12</f>
        <v>0.87643790593943194</v>
      </c>
      <c r="C15" s="136">
        <f t="shared" si="4"/>
        <v>0.81934744084228084</v>
      </c>
      <c r="D15" s="136">
        <f t="shared" si="4"/>
        <v>0.9554140127388534</v>
      </c>
      <c r="E15" s="136">
        <f t="shared" si="4"/>
        <v>0.93448750737753294</v>
      </c>
      <c r="F15" s="136">
        <f t="shared" si="4"/>
        <v>0.95758394205389474</v>
      </c>
      <c r="G15" s="136">
        <f t="shared" si="4"/>
        <v>0.90030010003334449</v>
      </c>
      <c r="H15" s="136">
        <f t="shared" si="4"/>
        <v>0.89096983885264902</v>
      </c>
      <c r="I15" s="136">
        <f t="shared" si="4"/>
        <v>0.86226411211491372</v>
      </c>
      <c r="J15" s="136">
        <f t="shared" si="4"/>
        <v>0.8941044984632579</v>
      </c>
      <c r="K15" s="136">
        <f t="shared" si="4"/>
        <v>0.85511849499144887</v>
      </c>
      <c r="L15" s="136">
        <f t="shared" si="4"/>
        <v>0.89050265730861278</v>
      </c>
      <c r="M15" s="136">
        <f t="shared" si="4"/>
        <v>0.84848985321744885</v>
      </c>
      <c r="N15" s="136">
        <f t="shared" si="4"/>
        <v>0.81556427592076031</v>
      </c>
      <c r="O15" s="136">
        <f t="shared" si="4"/>
        <v>0.7646170956466477</v>
      </c>
      <c r="P15" s="136">
        <f t="shared" si="4"/>
        <v>0.89624995202088042</v>
      </c>
      <c r="Q15" s="136">
        <f t="shared" si="4"/>
        <v>0.93282796378184885</v>
      </c>
      <c r="R15" s="136">
        <f t="shared" si="4"/>
        <v>0.93898802901517497</v>
      </c>
    </row>
    <row r="16" spans="1:52">
      <c r="A16" s="135" t="s">
        <v>255</v>
      </c>
      <c r="B16" s="136">
        <f t="shared" ref="B16:R16" si="5">B7/B13</f>
        <v>0.85643869377695614</v>
      </c>
      <c r="C16" s="136">
        <f t="shared" si="5"/>
        <v>0.83035596136032808</v>
      </c>
      <c r="D16" s="136">
        <f t="shared" si="5"/>
        <v>0.97034868923390161</v>
      </c>
      <c r="E16" s="136">
        <f t="shared" si="5"/>
        <v>0.92428462902000508</v>
      </c>
      <c r="F16" s="136">
        <f t="shared" si="5"/>
        <v>0.96889836256176731</v>
      </c>
      <c r="G16" s="136">
        <f t="shared" si="5"/>
        <v>0.87140302389855318</v>
      </c>
      <c r="H16" s="136">
        <f t="shared" si="5"/>
        <v>0.87895795827597167</v>
      </c>
      <c r="I16" s="136">
        <f t="shared" si="5"/>
        <v>0.85804947545654708</v>
      </c>
      <c r="J16" s="136">
        <f t="shared" si="5"/>
        <v>0.88211458138520038</v>
      </c>
      <c r="K16" s="136">
        <f t="shared" si="5"/>
        <v>0.83875223824333234</v>
      </c>
      <c r="L16" s="136">
        <f t="shared" si="5"/>
        <v>0.88288172595351233</v>
      </c>
      <c r="M16" s="136">
        <f t="shared" si="5"/>
        <v>0.84645177411294348</v>
      </c>
      <c r="N16" s="136">
        <f t="shared" si="5"/>
        <v>0.78804906462002322</v>
      </c>
      <c r="O16" s="136">
        <f t="shared" si="5"/>
        <v>0.8030558229066409</v>
      </c>
      <c r="P16" s="136">
        <f t="shared" si="5"/>
        <v>0.89808446541237996</v>
      </c>
      <c r="Q16" s="136">
        <f t="shared" si="5"/>
        <v>0.93495187296916182</v>
      </c>
      <c r="R16" s="136">
        <f t="shared" si="5"/>
        <v>0.94133998799633567</v>
      </c>
    </row>
    <row r="17" spans="1:52">
      <c r="A17" s="135" t="s">
        <v>258</v>
      </c>
      <c r="B17" s="136">
        <f t="shared" ref="B17:R17" si="6">B8/B14</f>
        <v>0.87156158326601751</v>
      </c>
      <c r="C17" s="136">
        <f t="shared" si="6"/>
        <v>0.82739995089614526</v>
      </c>
      <c r="D17" s="136">
        <f t="shared" si="6"/>
        <v>1.7620202596661436</v>
      </c>
      <c r="E17" s="136">
        <f t="shared" si="6"/>
        <v>0.9610960584837176</v>
      </c>
      <c r="F17" s="136">
        <f t="shared" si="6"/>
        <v>1.7301642782243971</v>
      </c>
      <c r="G17" s="136">
        <f t="shared" si="6"/>
        <v>0.93642701071688694</v>
      </c>
      <c r="H17" s="136">
        <f t="shared" si="6"/>
        <v>0.91177400653525875</v>
      </c>
      <c r="I17" s="136">
        <f t="shared" si="6"/>
        <v>0.9098533560373091</v>
      </c>
      <c r="J17" s="136">
        <f t="shared" si="6"/>
        <v>0.89213094753965017</v>
      </c>
      <c r="K17" s="136">
        <f t="shared" si="6"/>
        <v>0.84820539094298808</v>
      </c>
      <c r="L17" s="136">
        <f t="shared" si="6"/>
        <v>0.91421850356865997</v>
      </c>
      <c r="M17" s="136">
        <f t="shared" si="6"/>
        <v>0.89439740969770964</v>
      </c>
      <c r="N17" s="136">
        <f t="shared" si="6"/>
        <v>0.83739858607466156</v>
      </c>
      <c r="O17" s="136">
        <f t="shared" si="6"/>
        <v>0.83377018897126742</v>
      </c>
      <c r="P17" s="136">
        <f t="shared" si="6"/>
        <v>0.89678510998307959</v>
      </c>
      <c r="Q17" s="136">
        <f t="shared" si="6"/>
        <v>0.92186344589598224</v>
      </c>
      <c r="R17" s="136">
        <f t="shared" si="6"/>
        <v>0.92815235163989607</v>
      </c>
    </row>
    <row r="18" spans="1:52">
      <c r="A18" s="135" t="s">
        <v>260</v>
      </c>
      <c r="B18" s="136">
        <f t="shared" ref="B18:S18" si="7">B12/B2</f>
        <v>1.0231018544371611</v>
      </c>
      <c r="C18" s="136">
        <f t="shared" si="7"/>
        <v>1.0052731517770688</v>
      </c>
      <c r="D18" s="136">
        <f t="shared" si="7"/>
        <v>1.0212284441760771</v>
      </c>
      <c r="E18" s="136">
        <f t="shared" si="7"/>
        <v>1.000718398866312</v>
      </c>
      <c r="F18" s="136">
        <f t="shared" si="7"/>
        <v>1.0038003227491308</v>
      </c>
      <c r="G18" s="136">
        <f t="shared" si="7"/>
        <v>0.99412133360266441</v>
      </c>
      <c r="H18" s="136">
        <f t="shared" si="7"/>
        <v>1.007149878241012</v>
      </c>
      <c r="I18" s="136">
        <f t="shared" si="7"/>
        <v>1.028998648556505</v>
      </c>
      <c r="J18" s="136">
        <f t="shared" si="7"/>
        <v>1.0241856705987826</v>
      </c>
      <c r="K18" s="136">
        <f t="shared" si="7"/>
        <v>1.0277663909341612</v>
      </c>
      <c r="L18" s="136">
        <f t="shared" si="7"/>
        <v>1.0308187584005728</v>
      </c>
      <c r="M18" s="136">
        <f t="shared" si="7"/>
        <v>1.0276048272966667</v>
      </c>
      <c r="N18" s="136">
        <f t="shared" si="7"/>
        <v>1.0194434583863816</v>
      </c>
      <c r="O18" s="136">
        <f t="shared" si="7"/>
        <v>1.0281432572408222</v>
      </c>
      <c r="P18" s="136">
        <f t="shared" si="7"/>
        <v>1.024202398401878</v>
      </c>
      <c r="Q18" s="136">
        <f t="shared" si="7"/>
        <v>1.0295068945961836</v>
      </c>
      <c r="R18" s="136">
        <f t="shared" si="7"/>
        <v>1.0339604305722099</v>
      </c>
      <c r="S18" s="136">
        <f t="shared" si="7"/>
        <v>1.0336827972464135</v>
      </c>
    </row>
    <row r="19" spans="1:52">
      <c r="A19" s="135" t="s">
        <v>261</v>
      </c>
      <c r="B19" s="136">
        <f t="shared" ref="B19:S19" si="8">B13/B3</f>
        <v>1.0199628024656326</v>
      </c>
      <c r="C19" s="136">
        <f t="shared" si="8"/>
        <v>1.0000291129290519</v>
      </c>
      <c r="D19" s="136">
        <f t="shared" si="8"/>
        <v>0.99969149250835687</v>
      </c>
      <c r="E19" s="136">
        <f t="shared" si="8"/>
        <v>0.9936175358775754</v>
      </c>
      <c r="F19" s="136">
        <f t="shared" si="8"/>
        <v>0.98955823190491954</v>
      </c>
      <c r="G19" s="136">
        <f t="shared" si="8"/>
        <v>1.0255358595761139</v>
      </c>
      <c r="H19" s="136">
        <f t="shared" si="8"/>
        <v>1.0003072001355917</v>
      </c>
      <c r="I19" s="136">
        <f t="shared" si="8"/>
        <v>1.0250575524477381</v>
      </c>
      <c r="J19" s="136">
        <f t="shared" si="8"/>
        <v>1.0176591555541599</v>
      </c>
      <c r="K19" s="136">
        <f t="shared" si="8"/>
        <v>1.0207491072894435</v>
      </c>
      <c r="L19" s="136">
        <f t="shared" si="8"/>
        <v>1.0039344509576344</v>
      </c>
      <c r="M19" s="136">
        <f t="shared" si="8"/>
        <v>1.0146676136390647</v>
      </c>
      <c r="N19" s="136">
        <f t="shared" si="8"/>
        <v>1.0081777565298733</v>
      </c>
      <c r="O19" s="136">
        <f t="shared" si="8"/>
        <v>1.0089518377835591</v>
      </c>
      <c r="P19" s="136">
        <f t="shared" si="8"/>
        <v>1.0150857915684353</v>
      </c>
      <c r="Q19" s="136">
        <f t="shared" si="8"/>
        <v>1.0188853914784926</v>
      </c>
      <c r="R19" s="136">
        <f t="shared" si="8"/>
        <v>1.0180461437928676</v>
      </c>
      <c r="S19" s="136">
        <f t="shared" si="8"/>
        <v>1.0201075953247676</v>
      </c>
    </row>
    <row r="20" spans="1:52">
      <c r="A20" s="135" t="s">
        <v>262</v>
      </c>
      <c r="B20" s="136">
        <f t="shared" ref="B20:S20" si="9">B14/B5</f>
        <v>0.57775255949222826</v>
      </c>
      <c r="C20" s="136">
        <f t="shared" si="9"/>
        <v>0.55458585861886756</v>
      </c>
      <c r="D20" s="136">
        <f t="shared" si="9"/>
        <v>0.55869499138057477</v>
      </c>
      <c r="E20" s="136">
        <f t="shared" si="9"/>
        <v>0.54713053654650734</v>
      </c>
      <c r="F20" s="136">
        <f t="shared" si="9"/>
        <v>0.55198109036867826</v>
      </c>
      <c r="G20" s="136">
        <f t="shared" si="9"/>
        <v>0.58238178455691469</v>
      </c>
      <c r="H20" s="136">
        <f t="shared" si="9"/>
        <v>0.58144078046795356</v>
      </c>
      <c r="I20" s="136">
        <f t="shared" si="9"/>
        <v>0.59126490146236144</v>
      </c>
      <c r="J20" s="136">
        <f t="shared" si="9"/>
        <v>0.58984897263672875</v>
      </c>
      <c r="K20" s="136">
        <f t="shared" si="9"/>
        <v>0.56965925999911471</v>
      </c>
      <c r="L20" s="136">
        <f t="shared" si="9"/>
        <v>0.54802150305763453</v>
      </c>
      <c r="M20" s="136">
        <f t="shared" si="9"/>
        <v>0.53872395669505246</v>
      </c>
      <c r="N20" s="136">
        <f t="shared" si="9"/>
        <v>0.53047134634106519</v>
      </c>
      <c r="O20" s="136">
        <f t="shared" si="9"/>
        <v>0.53948231030245697</v>
      </c>
      <c r="P20" s="136">
        <f t="shared" si="9"/>
        <v>0.54106446488175108</v>
      </c>
      <c r="Q20" s="136">
        <f t="shared" si="9"/>
        <v>0.53935819167037924</v>
      </c>
      <c r="R20" s="136">
        <f t="shared" si="9"/>
        <v>0.53809909262736444</v>
      </c>
      <c r="S20" s="136">
        <f t="shared" si="9"/>
        <v>0.51709612503096225</v>
      </c>
      <c r="T20" s="140">
        <v>0.5</v>
      </c>
      <c r="U20" s="140">
        <v>0.5</v>
      </c>
      <c r="V20" s="140">
        <v>0.5</v>
      </c>
      <c r="W20" s="140">
        <v>0.5</v>
      </c>
      <c r="X20" s="140">
        <v>0.5</v>
      </c>
      <c r="Y20" s="140">
        <v>0.5</v>
      </c>
      <c r="Z20" s="140">
        <v>0.5</v>
      </c>
      <c r="AA20" s="140">
        <v>0.5</v>
      </c>
      <c r="AB20" s="140">
        <v>0.5</v>
      </c>
      <c r="AC20" s="140">
        <v>0.5</v>
      </c>
      <c r="AD20" s="140">
        <v>0.5</v>
      </c>
      <c r="AE20" s="140">
        <v>0.5</v>
      </c>
      <c r="AF20" s="140">
        <v>0.5</v>
      </c>
      <c r="AG20" s="140">
        <v>0.5</v>
      </c>
      <c r="AH20" s="140">
        <v>0.5</v>
      </c>
      <c r="AI20" s="140">
        <v>0.5</v>
      </c>
      <c r="AJ20" s="140">
        <v>0.5</v>
      </c>
      <c r="AK20" s="140">
        <v>0.5</v>
      </c>
      <c r="AL20" s="140">
        <v>0.5</v>
      </c>
      <c r="AM20" s="140">
        <v>0.5</v>
      </c>
      <c r="AN20" s="140">
        <v>0.5</v>
      </c>
      <c r="AO20" s="140">
        <v>0.5</v>
      </c>
      <c r="AP20" s="140">
        <v>0.5</v>
      </c>
      <c r="AQ20" s="140">
        <v>0.5</v>
      </c>
      <c r="AR20" s="140">
        <v>0.5</v>
      </c>
      <c r="AS20" s="140">
        <v>0.5</v>
      </c>
      <c r="AT20" s="140">
        <v>0.5</v>
      </c>
      <c r="AU20" s="140">
        <v>0.5</v>
      </c>
      <c r="AV20" s="140">
        <v>0.5</v>
      </c>
      <c r="AW20" s="140">
        <v>0.5</v>
      </c>
      <c r="AX20" s="140">
        <v>0.5</v>
      </c>
      <c r="AY20" s="140">
        <v>0.5</v>
      </c>
      <c r="AZ20" s="140">
        <v>0.5</v>
      </c>
    </row>
    <row r="21" spans="1:52">
      <c r="A21" s="80" t="s">
        <v>263</v>
      </c>
      <c r="B21" s="141">
        <v>54054529</v>
      </c>
      <c r="C21" s="141">
        <v>52023811</v>
      </c>
      <c r="D21" s="141">
        <v>59637320</v>
      </c>
      <c r="E21" s="141">
        <v>58580435</v>
      </c>
      <c r="F21" s="141">
        <v>59636695</v>
      </c>
      <c r="G21" s="141">
        <v>58329932</v>
      </c>
      <c r="H21" s="141">
        <v>58615005</v>
      </c>
      <c r="I21" s="141">
        <v>59091313</v>
      </c>
      <c r="J21" s="141">
        <v>60012250</v>
      </c>
      <c r="K21" s="141">
        <v>56845127</v>
      </c>
      <c r="L21" s="141">
        <v>60923629</v>
      </c>
      <c r="M21" s="141">
        <v>59354724</v>
      </c>
      <c r="N21" s="141">
        <v>57284603</v>
      </c>
      <c r="O21" s="141">
        <v>52862874</v>
      </c>
      <c r="P21" s="141">
        <v>62328879</v>
      </c>
      <c r="Q21" s="141">
        <v>65930211</v>
      </c>
      <c r="R21" s="141">
        <v>67101124</v>
      </c>
    </row>
    <row r="22" spans="1:52">
      <c r="A22" s="80" t="s">
        <v>264</v>
      </c>
      <c r="B22" s="141">
        <v>4466000</v>
      </c>
      <c r="C22" s="141">
        <v>4279509</v>
      </c>
      <c r="D22" s="141">
        <v>4929065</v>
      </c>
      <c r="E22" s="141">
        <v>4842672</v>
      </c>
      <c r="F22" s="141">
        <v>4857917</v>
      </c>
      <c r="G22" s="141">
        <v>4778381</v>
      </c>
      <c r="H22" s="141">
        <v>4747553</v>
      </c>
      <c r="I22" s="141">
        <v>4816374</v>
      </c>
      <c r="J22" s="141">
        <v>5024697</v>
      </c>
      <c r="K22" s="141">
        <v>4703420</v>
      </c>
      <c r="L22" s="141">
        <v>4867600</v>
      </c>
      <c r="M22" s="141">
        <v>4785629</v>
      </c>
      <c r="N22" s="141">
        <v>4509012</v>
      </c>
      <c r="O22" s="141">
        <v>4495346</v>
      </c>
      <c r="P22" s="141">
        <v>5012254</v>
      </c>
      <c r="Q22" s="141">
        <v>5288365</v>
      </c>
      <c r="R22" s="141">
        <v>5367111</v>
      </c>
    </row>
    <row r="23" spans="1:52">
      <c r="A23" s="80" t="s">
        <v>265</v>
      </c>
      <c r="B23" s="141">
        <v>197187</v>
      </c>
      <c r="C23" s="141">
        <v>171575</v>
      </c>
      <c r="D23" s="141">
        <v>205155</v>
      </c>
      <c r="E23" s="141">
        <v>197940</v>
      </c>
      <c r="F23" s="141">
        <v>201334</v>
      </c>
      <c r="G23" s="141">
        <v>190056</v>
      </c>
      <c r="H23" s="141">
        <v>176064</v>
      </c>
      <c r="I23" s="141">
        <v>178526</v>
      </c>
      <c r="J23" s="141">
        <v>211642</v>
      </c>
      <c r="K23" s="141">
        <v>175815</v>
      </c>
      <c r="L23" s="141">
        <v>180505</v>
      </c>
      <c r="M23" s="141">
        <v>171524</v>
      </c>
      <c r="N23" s="141">
        <v>162814</v>
      </c>
      <c r="O23" s="141">
        <v>146373</v>
      </c>
      <c r="P23" s="141">
        <v>182438</v>
      </c>
      <c r="Q23" s="141">
        <v>182326</v>
      </c>
      <c r="R23" s="141">
        <v>185255</v>
      </c>
      <c r="S23" s="142">
        <f>(S24/I24)^(1/10)-1</f>
        <v>6.0772240482780404E-3</v>
      </c>
    </row>
    <row r="24" spans="1:52">
      <c r="A24" s="80" t="s">
        <v>266</v>
      </c>
      <c r="B24" s="141">
        <v>59253200</v>
      </c>
      <c r="C24" s="141">
        <v>59070900</v>
      </c>
      <c r="D24" s="141">
        <v>60782400</v>
      </c>
      <c r="E24" s="141">
        <v>60344000</v>
      </c>
      <c r="F24" s="141">
        <v>60805500</v>
      </c>
      <c r="G24" s="141">
        <v>61463700</v>
      </c>
      <c r="H24" s="141">
        <v>62862600</v>
      </c>
      <c r="I24" s="141">
        <v>64820800</v>
      </c>
      <c r="J24" s="141">
        <v>65000800</v>
      </c>
      <c r="K24" s="141">
        <v>65180000</v>
      </c>
      <c r="L24" s="141">
        <v>65387400</v>
      </c>
      <c r="M24" s="141">
        <v>65804300</v>
      </c>
      <c r="N24" s="141">
        <v>66487000</v>
      </c>
      <c r="O24" s="141">
        <v>66574400</v>
      </c>
      <c r="P24" s="141">
        <v>67068400</v>
      </c>
      <c r="Q24" s="141">
        <v>67712100</v>
      </c>
      <c r="R24" s="141">
        <v>68303400</v>
      </c>
      <c r="S24" s="141">
        <v>68869600</v>
      </c>
      <c r="T24" s="141">
        <f t="shared" ref="T24:AZ24" si="10">S24*(1+$S$23)</f>
        <v>69288135.989315286</v>
      </c>
      <c r="U24" s="141">
        <f t="shared" si="10"/>
        <v>69709215.515609905</v>
      </c>
      <c r="V24" s="141">
        <f t="shared" si="10"/>
        <v>70132854.036527961</v>
      </c>
      <c r="W24" s="141">
        <f t="shared" si="10"/>
        <v>70559067.103653118</v>
      </c>
      <c r="X24" s="141">
        <f t="shared" si="10"/>
        <v>70987870.363079503</v>
      </c>
      <c r="Y24" s="141">
        <f t="shared" si="10"/>
        <v>71419279.555986047</v>
      </c>
      <c r="Z24" s="141">
        <f t="shared" si="10"/>
        <v>71853310.519214377</v>
      </c>
      <c r="AA24" s="141">
        <f t="shared" si="10"/>
        <v>72289979.185850129</v>
      </c>
      <c r="AB24" s="141">
        <f t="shared" si="10"/>
        <v>72729301.58580789</v>
      </c>
      <c r="AC24" s="141">
        <f t="shared" si="10"/>
        <v>73171293.846419632</v>
      </c>
      <c r="AD24" s="141">
        <f t="shared" si="10"/>
        <v>73615972.193026707</v>
      </c>
      <c r="AE24" s="141">
        <f t="shared" si="10"/>
        <v>74063352.949575543</v>
      </c>
      <c r="AF24" s="141">
        <f t="shared" si="10"/>
        <v>74513452.539216802</v>
      </c>
      <c r="AG24" s="141">
        <f t="shared" si="10"/>
        <v>74966287.484908357</v>
      </c>
      <c r="AH24" s="141">
        <f t="shared" si="10"/>
        <v>75421874.410021767</v>
      </c>
      <c r="AI24" s="141">
        <f t="shared" si="10"/>
        <v>75880230.038952559</v>
      </c>
      <c r="AJ24" s="141">
        <f t="shared" si="10"/>
        <v>76341371.197734147</v>
      </c>
      <c r="AK24" s="141">
        <f t="shared" si="10"/>
        <v>76805314.814655542</v>
      </c>
      <c r="AL24" s="141">
        <f t="shared" si="10"/>
        <v>77272077.920882732</v>
      </c>
      <c r="AM24" s="141">
        <f t="shared" si="10"/>
        <v>77741677.651083931</v>
      </c>
      <c r="AN24" s="141">
        <f t="shared" si="10"/>
        <v>78214131.244058579</v>
      </c>
      <c r="AO24" s="141">
        <f t="shared" si="10"/>
        <v>78689456.043370143</v>
      </c>
      <c r="AP24" s="141">
        <f t="shared" si="10"/>
        <v>79167669.49798283</v>
      </c>
      <c r="AQ24" s="141">
        <f t="shared" si="10"/>
        <v>79648789.162902102</v>
      </c>
      <c r="AR24" s="141">
        <f t="shared" si="10"/>
        <v>80132832.699819118</v>
      </c>
      <c r="AS24" s="141">
        <f t="shared" si="10"/>
        <v>80619817.877759099</v>
      </c>
      <c r="AT24" s="141">
        <f t="shared" si="10"/>
        <v>81109762.573733613</v>
      </c>
      <c r="AU24" s="141">
        <f t="shared" si="10"/>
        <v>81602684.773396835</v>
      </c>
      <c r="AV24" s="141">
        <f t="shared" si="10"/>
        <v>82098602.571705773</v>
      </c>
      <c r="AW24" s="141">
        <f t="shared" si="10"/>
        <v>82597534.173584566</v>
      </c>
      <c r="AX24" s="141">
        <f t="shared" si="10"/>
        <v>83099497.894592747</v>
      </c>
      <c r="AY24" s="141">
        <f t="shared" si="10"/>
        <v>83604512.161597595</v>
      </c>
      <c r="AZ24" s="141">
        <f t="shared" si="10"/>
        <v>84112595.513450608</v>
      </c>
    </row>
    <row r="25" spans="1:52">
      <c r="A25" s="80" t="s">
        <v>267</v>
      </c>
      <c r="B25" s="141">
        <v>5059800</v>
      </c>
      <c r="C25" s="141">
        <v>4889900</v>
      </c>
      <c r="D25" s="141">
        <v>5016400</v>
      </c>
      <c r="E25" s="141">
        <v>4993000</v>
      </c>
      <c r="F25" s="141">
        <v>4964500</v>
      </c>
      <c r="G25" s="141">
        <v>4984700</v>
      </c>
      <c r="H25" s="141">
        <v>5119200</v>
      </c>
      <c r="I25" s="141">
        <v>5296500</v>
      </c>
      <c r="J25" s="141">
        <v>5285300</v>
      </c>
      <c r="K25" s="141">
        <v>5307400</v>
      </c>
      <c r="L25" s="141">
        <v>5285800</v>
      </c>
      <c r="M25" s="141">
        <v>5307000</v>
      </c>
      <c r="N25" s="141">
        <v>5342700</v>
      </c>
      <c r="O25" s="141">
        <v>5347800</v>
      </c>
      <c r="P25" s="141">
        <v>5403000</v>
      </c>
      <c r="Q25" s="141">
        <v>5433500</v>
      </c>
      <c r="R25" s="141">
        <v>5460700</v>
      </c>
      <c r="S25" s="141">
        <v>5445300</v>
      </c>
      <c r="T25" s="141">
        <f t="shared" ref="T25:AZ25" si="11">S25*(1+0.0028)</f>
        <v>5460546.8399999999</v>
      </c>
      <c r="U25" s="141">
        <f t="shared" si="11"/>
        <v>5475836.3711519996</v>
      </c>
      <c r="V25" s="141">
        <f t="shared" si="11"/>
        <v>5491168.7129912246</v>
      </c>
      <c r="W25" s="141">
        <f t="shared" si="11"/>
        <v>5506543.9853875991</v>
      </c>
      <c r="X25" s="141">
        <f t="shared" si="11"/>
        <v>5521962.3085466838</v>
      </c>
      <c r="Y25" s="141">
        <f t="shared" si="11"/>
        <v>5537423.8030106137</v>
      </c>
      <c r="Z25" s="141">
        <f t="shared" si="11"/>
        <v>5552928.5896590427</v>
      </c>
      <c r="AA25" s="141">
        <f t="shared" si="11"/>
        <v>5568476.7897100877</v>
      </c>
      <c r="AB25" s="141">
        <f t="shared" si="11"/>
        <v>5584068.5247212751</v>
      </c>
      <c r="AC25" s="141">
        <f t="shared" si="11"/>
        <v>5599703.9165904941</v>
      </c>
      <c r="AD25" s="141">
        <f t="shared" si="11"/>
        <v>5615383.087556947</v>
      </c>
      <c r="AE25" s="141">
        <f t="shared" si="11"/>
        <v>5631106.1602021055</v>
      </c>
      <c r="AF25" s="141">
        <f t="shared" si="11"/>
        <v>5646873.2574506709</v>
      </c>
      <c r="AG25" s="141">
        <f t="shared" si="11"/>
        <v>5662684.5025715325</v>
      </c>
      <c r="AH25" s="141">
        <f t="shared" si="11"/>
        <v>5678540.0191787323</v>
      </c>
      <c r="AI25" s="141">
        <f t="shared" si="11"/>
        <v>5694439.9312324319</v>
      </c>
      <c r="AJ25" s="141">
        <f t="shared" si="11"/>
        <v>5710384.3630398819</v>
      </c>
      <c r="AK25" s="141">
        <f t="shared" si="11"/>
        <v>5726373.4392563934</v>
      </c>
      <c r="AL25" s="141">
        <f t="shared" si="11"/>
        <v>5742407.2848863108</v>
      </c>
      <c r="AM25" s="141">
        <f t="shared" si="11"/>
        <v>5758486.0252839923</v>
      </c>
      <c r="AN25" s="141">
        <f t="shared" si="11"/>
        <v>5774609.7861547871</v>
      </c>
      <c r="AO25" s="141">
        <f t="shared" si="11"/>
        <v>5790778.69355602</v>
      </c>
      <c r="AP25" s="141">
        <f t="shared" si="11"/>
        <v>5806992.8738979762</v>
      </c>
      <c r="AQ25" s="141">
        <f t="shared" si="11"/>
        <v>5823252.4539448898</v>
      </c>
      <c r="AR25" s="141">
        <f t="shared" si="11"/>
        <v>5839557.560815935</v>
      </c>
      <c r="AS25" s="141">
        <f t="shared" si="11"/>
        <v>5855908.3219862189</v>
      </c>
      <c r="AT25" s="141">
        <f t="shared" si="11"/>
        <v>5872304.8652877798</v>
      </c>
      <c r="AU25" s="141">
        <f t="shared" si="11"/>
        <v>5888747.3189105848</v>
      </c>
      <c r="AV25" s="141">
        <f t="shared" si="11"/>
        <v>5905235.8114035344</v>
      </c>
      <c r="AW25" s="141">
        <f t="shared" si="11"/>
        <v>5921770.471675464</v>
      </c>
      <c r="AX25" s="141">
        <f t="shared" si="11"/>
        <v>5938351.428996155</v>
      </c>
      <c r="AY25" s="141">
        <f t="shared" si="11"/>
        <v>5954978.8129973439</v>
      </c>
      <c r="AZ25" s="141">
        <f t="shared" si="11"/>
        <v>5971652.753673736</v>
      </c>
    </row>
    <row r="26" spans="1:52">
      <c r="A26" s="80" t="s">
        <v>268</v>
      </c>
      <c r="B26" s="141">
        <v>229100</v>
      </c>
      <c r="C26" s="141">
        <v>210700</v>
      </c>
      <c r="D26" s="141">
        <v>205500</v>
      </c>
      <c r="E26" s="141">
        <v>197600</v>
      </c>
      <c r="F26" s="141">
        <v>205300</v>
      </c>
      <c r="G26" s="141">
        <v>197900</v>
      </c>
      <c r="H26" s="141">
        <v>193700</v>
      </c>
      <c r="I26" s="141">
        <v>191200</v>
      </c>
      <c r="J26" s="141">
        <v>192700</v>
      </c>
      <c r="K26" s="141">
        <v>198300</v>
      </c>
      <c r="L26" s="141">
        <v>183400</v>
      </c>
      <c r="M26" s="141">
        <v>182800</v>
      </c>
      <c r="N26" s="141">
        <v>179600</v>
      </c>
      <c r="O26" s="141">
        <v>182100</v>
      </c>
      <c r="P26" s="141">
        <v>182500</v>
      </c>
      <c r="Q26" s="141">
        <v>180600</v>
      </c>
      <c r="R26" s="141">
        <v>180600</v>
      </c>
      <c r="S26" s="141">
        <v>177700</v>
      </c>
      <c r="T26" s="141">
        <f t="shared" ref="T26:AZ26" si="12">S26*(1-0.0078)</f>
        <v>176313.94</v>
      </c>
      <c r="U26" s="141">
        <f t="shared" si="12"/>
        <v>174938.691268</v>
      </c>
      <c r="V26" s="141">
        <f t="shared" si="12"/>
        <v>173574.16947610959</v>
      </c>
      <c r="W26" s="141">
        <f t="shared" si="12"/>
        <v>172220.29095419592</v>
      </c>
      <c r="X26" s="141">
        <f t="shared" si="12"/>
        <v>170876.97268475319</v>
      </c>
      <c r="Y26" s="141">
        <f t="shared" si="12"/>
        <v>169544.13229781212</v>
      </c>
      <c r="Z26" s="141">
        <f t="shared" si="12"/>
        <v>168221.68806588918</v>
      </c>
      <c r="AA26" s="141">
        <f t="shared" si="12"/>
        <v>166909.55889897523</v>
      </c>
      <c r="AB26" s="141">
        <f t="shared" si="12"/>
        <v>165607.66433956323</v>
      </c>
      <c r="AC26" s="141">
        <f t="shared" si="12"/>
        <v>164315.92455771464</v>
      </c>
      <c r="AD26" s="141">
        <f t="shared" si="12"/>
        <v>163034.26034616446</v>
      </c>
      <c r="AE26" s="141">
        <f t="shared" si="12"/>
        <v>161762.59311546438</v>
      </c>
      <c r="AF26" s="141">
        <f t="shared" si="12"/>
        <v>160500.84488916374</v>
      </c>
      <c r="AG26" s="141">
        <f t="shared" si="12"/>
        <v>159248.93829902826</v>
      </c>
      <c r="AH26" s="141">
        <f t="shared" si="12"/>
        <v>158006.79658029584</v>
      </c>
      <c r="AI26" s="141">
        <f t="shared" si="12"/>
        <v>156774.34356696953</v>
      </c>
      <c r="AJ26" s="141">
        <f t="shared" si="12"/>
        <v>155551.50368714717</v>
      </c>
      <c r="AK26" s="141">
        <f t="shared" si="12"/>
        <v>154338.20195838742</v>
      </c>
      <c r="AL26" s="141">
        <f t="shared" si="12"/>
        <v>153134.36398311198</v>
      </c>
      <c r="AM26" s="141">
        <f t="shared" si="12"/>
        <v>151939.91594404369</v>
      </c>
      <c r="AN26" s="141">
        <f t="shared" si="12"/>
        <v>150754.78459968013</v>
      </c>
      <c r="AO26" s="141">
        <f t="shared" si="12"/>
        <v>149578.89727980262</v>
      </c>
      <c r="AP26" s="141">
        <f t="shared" si="12"/>
        <v>148412.18188102017</v>
      </c>
      <c r="AQ26" s="141">
        <f t="shared" si="12"/>
        <v>147254.56686234821</v>
      </c>
      <c r="AR26" s="141">
        <f t="shared" si="12"/>
        <v>146105.98124082189</v>
      </c>
      <c r="AS26" s="141">
        <f t="shared" si="12"/>
        <v>144966.35458714346</v>
      </c>
      <c r="AT26" s="141">
        <f t="shared" si="12"/>
        <v>143835.61702136375</v>
      </c>
      <c r="AU26" s="141">
        <f t="shared" si="12"/>
        <v>142713.6992085971</v>
      </c>
      <c r="AV26" s="141">
        <f t="shared" si="12"/>
        <v>141600.53235477002</v>
      </c>
      <c r="AW26" s="141">
        <f t="shared" si="12"/>
        <v>140496.0482024028</v>
      </c>
      <c r="AX26" s="141">
        <f t="shared" si="12"/>
        <v>139400.17902642407</v>
      </c>
      <c r="AY26" s="141">
        <f t="shared" si="12"/>
        <v>138312.85763001797</v>
      </c>
      <c r="AZ26" s="141">
        <f t="shared" si="12"/>
        <v>137234.01734050384</v>
      </c>
    </row>
    <row r="27" spans="1:52">
      <c r="A27" s="135" t="s">
        <v>269</v>
      </c>
      <c r="B27" s="136">
        <f t="shared" ref="B27:R27" si="13">B21/B24</f>
        <v>0.91226345581335688</v>
      </c>
      <c r="C27" s="136">
        <f t="shared" si="13"/>
        <v>0.88070117435149964</v>
      </c>
      <c r="D27" s="136">
        <f t="shared" si="13"/>
        <v>0.98116099397193923</v>
      </c>
      <c r="E27" s="136">
        <f t="shared" si="13"/>
        <v>0.97077480776879221</v>
      </c>
      <c r="F27" s="136">
        <f t="shared" si="13"/>
        <v>0.9807779723873663</v>
      </c>
      <c r="G27" s="136">
        <f t="shared" si="13"/>
        <v>0.94901432878267988</v>
      </c>
      <c r="H27" s="136">
        <f t="shared" si="13"/>
        <v>0.93243049126189503</v>
      </c>
      <c r="I27" s="136">
        <f t="shared" si="13"/>
        <v>0.91161036272307649</v>
      </c>
      <c r="J27" s="136">
        <f t="shared" si="13"/>
        <v>0.92325402148896629</v>
      </c>
      <c r="K27" s="136">
        <f t="shared" si="13"/>
        <v>0.87212529917152504</v>
      </c>
      <c r="L27" s="136">
        <f t="shared" si="13"/>
        <v>0.93173346852757566</v>
      </c>
      <c r="M27" s="136">
        <f t="shared" si="13"/>
        <v>0.90198853266427881</v>
      </c>
      <c r="N27" s="136">
        <f t="shared" si="13"/>
        <v>0.86159103283348626</v>
      </c>
      <c r="O27" s="136">
        <f t="shared" si="13"/>
        <v>0.79404206421687618</v>
      </c>
      <c r="P27" s="136">
        <f t="shared" si="13"/>
        <v>0.92933302419619379</v>
      </c>
      <c r="Q27" s="136">
        <f t="shared" si="13"/>
        <v>0.97368433411458222</v>
      </c>
      <c r="R27" s="136">
        <f t="shared" si="13"/>
        <v>0.98239800654140208</v>
      </c>
    </row>
    <row r="28" spans="1:52">
      <c r="A28" s="135" t="s">
        <v>270</v>
      </c>
      <c r="B28" s="136">
        <f t="shared" ref="B28:R28" si="14">B22/B25</f>
        <v>0.8826435827503063</v>
      </c>
      <c r="C28" s="136">
        <f t="shared" si="14"/>
        <v>0.87517311192457925</v>
      </c>
      <c r="D28" s="136">
        <f t="shared" si="14"/>
        <v>0.98259010445737982</v>
      </c>
      <c r="E28" s="136">
        <f t="shared" si="14"/>
        <v>0.96989224914880834</v>
      </c>
      <c r="F28" s="136">
        <f t="shared" si="14"/>
        <v>0.97853096988619193</v>
      </c>
      <c r="G28" s="136">
        <f t="shared" si="14"/>
        <v>0.95860954520833752</v>
      </c>
      <c r="H28" s="136">
        <f t="shared" si="14"/>
        <v>0.92740135177371463</v>
      </c>
      <c r="I28" s="136">
        <f t="shared" si="14"/>
        <v>0.90935032568677432</v>
      </c>
      <c r="J28" s="136">
        <f t="shared" si="14"/>
        <v>0.95069286511645512</v>
      </c>
      <c r="K28" s="136">
        <f t="shared" si="14"/>
        <v>0.88620039944228812</v>
      </c>
      <c r="L28" s="136">
        <f t="shared" si="14"/>
        <v>0.92088236406977186</v>
      </c>
      <c r="M28" s="136">
        <f t="shared" si="14"/>
        <v>0.9017578669681553</v>
      </c>
      <c r="N28" s="136">
        <f t="shared" si="14"/>
        <v>0.84395754955359648</v>
      </c>
      <c r="O28" s="136">
        <f t="shared" si="14"/>
        <v>0.84059725494595905</v>
      </c>
      <c r="P28" s="136">
        <f t="shared" si="14"/>
        <v>0.92767980751434387</v>
      </c>
      <c r="Q28" s="136">
        <f t="shared" si="14"/>
        <v>0.97328885617005612</v>
      </c>
      <c r="R28" s="136">
        <f t="shared" si="14"/>
        <v>0.98286135477136627</v>
      </c>
    </row>
    <row r="29" spans="1:52">
      <c r="A29" s="135" t="s">
        <v>271</v>
      </c>
      <c r="B29" s="136">
        <f t="shared" ref="B29:R29" si="15">B23/B26</f>
        <v>0.86070274989087736</v>
      </c>
      <c r="C29" s="136">
        <f t="shared" si="15"/>
        <v>0.81430944470811584</v>
      </c>
      <c r="D29" s="136">
        <f t="shared" si="15"/>
        <v>0.99832116788321168</v>
      </c>
      <c r="E29" s="136">
        <f t="shared" si="15"/>
        <v>1.0017206477732794</v>
      </c>
      <c r="F29" s="136">
        <f t="shared" si="15"/>
        <v>0.98068192888455918</v>
      </c>
      <c r="G29" s="136">
        <f t="shared" si="15"/>
        <v>0.96036382011116728</v>
      </c>
      <c r="H29" s="136">
        <f t="shared" si="15"/>
        <v>0.90895198760970575</v>
      </c>
      <c r="I29" s="136">
        <f t="shared" si="15"/>
        <v>0.93371338912133894</v>
      </c>
      <c r="J29" s="136">
        <f t="shared" si="15"/>
        <v>1.0982978723404255</v>
      </c>
      <c r="K29" s="136">
        <f t="shared" si="15"/>
        <v>0.88661119515885023</v>
      </c>
      <c r="L29" s="136">
        <f t="shared" si="15"/>
        <v>0.98421483097055618</v>
      </c>
      <c r="M29" s="136">
        <f t="shared" si="15"/>
        <v>0.93831509846827132</v>
      </c>
      <c r="N29" s="136">
        <f t="shared" si="15"/>
        <v>0.90653674832962139</v>
      </c>
      <c r="O29" s="136">
        <f t="shared" si="15"/>
        <v>0.8038056013179572</v>
      </c>
      <c r="P29" s="136">
        <f t="shared" si="15"/>
        <v>0.99966027397260271</v>
      </c>
      <c r="Q29" s="136">
        <f t="shared" si="15"/>
        <v>1.0095570321151717</v>
      </c>
      <c r="R29" s="136">
        <f t="shared" si="15"/>
        <v>1.0257751937984496</v>
      </c>
    </row>
    <row r="30" spans="1:52">
      <c r="A30" s="80" t="s">
        <v>272</v>
      </c>
      <c r="B30" s="144">
        <v>32.340000000000003</v>
      </c>
      <c r="C30" s="144">
        <v>36.049999999999997</v>
      </c>
      <c r="D30" s="144">
        <v>33.92</v>
      </c>
      <c r="E30" s="144">
        <v>41.67</v>
      </c>
      <c r="F30" s="144">
        <v>45.4</v>
      </c>
      <c r="G30" s="144">
        <v>49.97</v>
      </c>
      <c r="H30" s="144">
        <v>48.08</v>
      </c>
      <c r="I30" s="144">
        <v>48.23</v>
      </c>
      <c r="J30" s="144">
        <v>56.65</v>
      </c>
      <c r="K30" s="144">
        <v>45.88</v>
      </c>
      <c r="L30" s="144">
        <v>44.8</v>
      </c>
      <c r="M30" s="144">
        <v>41.54</v>
      </c>
      <c r="N30" s="144">
        <v>33.049999999999997</v>
      </c>
      <c r="O30" s="144">
        <v>35.69</v>
      </c>
      <c r="P30" s="144">
        <v>46.45</v>
      </c>
      <c r="Q30" s="144">
        <v>41.97</v>
      </c>
      <c r="R30" s="144">
        <v>39.090000000000003</v>
      </c>
    </row>
    <row r="31" spans="1:52">
      <c r="A31" s="80" t="s">
        <v>273</v>
      </c>
      <c r="B31" s="144">
        <v>11.95</v>
      </c>
      <c r="C31" s="144">
        <v>14.68</v>
      </c>
      <c r="D31" s="144">
        <v>12.96</v>
      </c>
      <c r="E31" s="144">
        <v>16.61</v>
      </c>
      <c r="F31" s="144">
        <v>17.7</v>
      </c>
      <c r="G31" s="144">
        <v>20.23</v>
      </c>
      <c r="H31" s="144">
        <v>19.3</v>
      </c>
      <c r="I31" s="144">
        <v>19</v>
      </c>
      <c r="J31" s="144">
        <v>23.32</v>
      </c>
      <c r="K31" s="144">
        <v>18.440000000000001</v>
      </c>
      <c r="L31" s="144">
        <v>17.41</v>
      </c>
      <c r="M31" s="144">
        <v>16.25</v>
      </c>
      <c r="N31" s="144">
        <v>12.6</v>
      </c>
      <c r="O31" s="144">
        <v>14.41</v>
      </c>
      <c r="P31" s="144">
        <v>18.7</v>
      </c>
      <c r="Q31" s="144">
        <v>16.64</v>
      </c>
      <c r="R31" s="144">
        <v>15.13</v>
      </c>
    </row>
    <row r="32" spans="1:52">
      <c r="A32" s="80" t="s">
        <v>274</v>
      </c>
      <c r="B32" s="144">
        <v>3.62</v>
      </c>
      <c r="C32" s="144">
        <v>4.0999999999999996</v>
      </c>
      <c r="D32" s="144">
        <v>6.64</v>
      </c>
      <c r="E32" s="144">
        <v>4.96</v>
      </c>
      <c r="F32" s="144">
        <v>10.55</v>
      </c>
      <c r="G32" s="144">
        <v>6.62</v>
      </c>
      <c r="H32" s="144">
        <v>6.06</v>
      </c>
      <c r="I32" s="144">
        <v>5.24</v>
      </c>
      <c r="J32" s="144">
        <v>6.9</v>
      </c>
      <c r="K32" s="144">
        <v>4.43</v>
      </c>
      <c r="L32" s="144">
        <v>4.58</v>
      </c>
      <c r="M32" s="144">
        <v>4.42</v>
      </c>
      <c r="N32" s="144">
        <v>3.68</v>
      </c>
      <c r="O32" s="144">
        <v>4.0999999999999996</v>
      </c>
      <c r="P32" s="144">
        <v>5.04</v>
      </c>
      <c r="Q32" s="144">
        <v>4.3499999999999996</v>
      </c>
      <c r="R32" s="144">
        <v>4.3</v>
      </c>
    </row>
    <row r="33" spans="1:52">
      <c r="A33" s="80" t="s">
        <v>275</v>
      </c>
      <c r="B33" s="144">
        <v>35.83</v>
      </c>
      <c r="C33" s="144">
        <v>42.45</v>
      </c>
      <c r="D33" s="144">
        <v>35.06</v>
      </c>
      <c r="E33" s="144">
        <v>43.66</v>
      </c>
      <c r="F33" s="144">
        <v>47.27</v>
      </c>
      <c r="G33" s="144">
        <v>55.68</v>
      </c>
      <c r="H33" s="144">
        <v>53.96</v>
      </c>
      <c r="I33" s="144">
        <v>55.03</v>
      </c>
      <c r="J33" s="144">
        <v>60.19</v>
      </c>
      <c r="K33" s="144">
        <v>50.5</v>
      </c>
      <c r="L33" s="144">
        <v>47.23</v>
      </c>
      <c r="M33" s="144">
        <v>45.05</v>
      </c>
      <c r="N33" s="144">
        <v>37.700000000000003</v>
      </c>
      <c r="O33" s="144">
        <v>42.94</v>
      </c>
      <c r="P33" s="144">
        <v>47.2</v>
      </c>
      <c r="Q33" s="144">
        <v>40.450000000000003</v>
      </c>
      <c r="R33" s="144">
        <v>37.130000000000003</v>
      </c>
      <c r="S33" s="144">
        <v>41.05</v>
      </c>
    </row>
    <row r="34" spans="1:52">
      <c r="A34" s="80" t="s">
        <v>276</v>
      </c>
      <c r="B34" s="144">
        <v>13.34</v>
      </c>
      <c r="C34" s="144">
        <v>16.850000000000001</v>
      </c>
      <c r="D34" s="144">
        <v>13.51</v>
      </c>
      <c r="E34" s="144">
        <v>14.35</v>
      </c>
      <c r="F34" s="144">
        <v>18.690000000000001</v>
      </c>
      <c r="G34" s="144">
        <v>22.65</v>
      </c>
      <c r="H34" s="144">
        <v>21.56</v>
      </c>
      <c r="I34" s="144">
        <v>21.25</v>
      </c>
      <c r="J34" s="144">
        <v>23.59</v>
      </c>
      <c r="K34" s="144">
        <v>18.45</v>
      </c>
      <c r="L34" s="144">
        <v>16.579999999999998</v>
      </c>
      <c r="M34" s="144">
        <v>15.63</v>
      </c>
      <c r="N34" s="144">
        <v>12.65</v>
      </c>
      <c r="O34" s="144">
        <v>14.68</v>
      </c>
      <c r="P34" s="144">
        <v>16.989999999999998</v>
      </c>
      <c r="Q34" s="144">
        <v>14.06</v>
      </c>
      <c r="R34" s="144">
        <v>12.44</v>
      </c>
      <c r="S34" s="144">
        <v>13.91</v>
      </c>
    </row>
    <row r="35" spans="1:52">
      <c r="A35" s="80" t="s">
        <v>277</v>
      </c>
      <c r="B35" s="144">
        <v>7.43</v>
      </c>
      <c r="C35" s="144">
        <v>7.51</v>
      </c>
      <c r="D35" s="144">
        <v>6.84</v>
      </c>
      <c r="E35" s="144">
        <v>9.48</v>
      </c>
      <c r="F35" s="144">
        <v>11.23</v>
      </c>
      <c r="G35" s="144">
        <v>13.75</v>
      </c>
      <c r="H35" s="144">
        <v>12.01</v>
      </c>
      <c r="I35" s="144">
        <v>11.32</v>
      </c>
      <c r="J35" s="144">
        <v>13.21</v>
      </c>
      <c r="K35" s="144">
        <v>6.17</v>
      </c>
      <c r="L35" s="144">
        <v>6.44</v>
      </c>
      <c r="M35" s="144">
        <v>5.87</v>
      </c>
      <c r="N35" s="144">
        <v>4.53</v>
      </c>
      <c r="O35" s="144">
        <v>5.71</v>
      </c>
      <c r="P35" s="144">
        <v>6.73</v>
      </c>
      <c r="Q35" s="144">
        <v>4.43</v>
      </c>
      <c r="R35" s="144">
        <v>4</v>
      </c>
      <c r="S35" s="144">
        <v>4.72</v>
      </c>
    </row>
    <row r="36" spans="1:52">
      <c r="A36" s="135" t="s">
        <v>278</v>
      </c>
      <c r="B36" s="136">
        <f t="shared" ref="B36:R36" si="16">B30/B33</f>
        <v>0.90259559028746872</v>
      </c>
      <c r="C36" s="136">
        <f t="shared" si="16"/>
        <v>0.84923439340400464</v>
      </c>
      <c r="D36" s="136">
        <f t="shared" si="16"/>
        <v>0.96748431260695944</v>
      </c>
      <c r="E36" s="136">
        <f t="shared" si="16"/>
        <v>0.95442052221713247</v>
      </c>
      <c r="F36" s="136">
        <f t="shared" si="16"/>
        <v>0.96044002538607987</v>
      </c>
      <c r="G36" s="136">
        <f t="shared" si="16"/>
        <v>0.89744971264367812</v>
      </c>
      <c r="H36" s="136">
        <f t="shared" si="16"/>
        <v>0.89103039288361741</v>
      </c>
      <c r="I36" s="136">
        <f t="shared" si="16"/>
        <v>0.87643103761584584</v>
      </c>
      <c r="J36" s="136">
        <f t="shared" si="16"/>
        <v>0.94118624356205349</v>
      </c>
      <c r="K36" s="136">
        <f t="shared" si="16"/>
        <v>0.90851485148514854</v>
      </c>
      <c r="L36" s="136">
        <f t="shared" si="16"/>
        <v>0.94854965064577601</v>
      </c>
      <c r="M36" s="136">
        <f t="shared" si="16"/>
        <v>0.92208657047724751</v>
      </c>
      <c r="N36" s="136">
        <f t="shared" si="16"/>
        <v>0.87665782493368682</v>
      </c>
      <c r="O36" s="136">
        <f t="shared" si="16"/>
        <v>0.83115975780158358</v>
      </c>
      <c r="P36" s="136">
        <f t="shared" si="16"/>
        <v>0.98411016949152541</v>
      </c>
      <c r="Q36" s="136">
        <f t="shared" si="16"/>
        <v>1.0375772558714462</v>
      </c>
      <c r="R36" s="136">
        <f t="shared" si="16"/>
        <v>1.0527875033665499</v>
      </c>
      <c r="S36" s="144"/>
    </row>
    <row r="37" spans="1:52">
      <c r="A37" s="135" t="s">
        <v>279</v>
      </c>
      <c r="B37" s="136">
        <f t="shared" ref="B37:R37" si="17">B31/B34</f>
        <v>0.89580209895052465</v>
      </c>
      <c r="C37" s="136">
        <f t="shared" si="17"/>
        <v>0.87121661721068244</v>
      </c>
      <c r="D37" s="136">
        <f t="shared" si="17"/>
        <v>0.95928941524796452</v>
      </c>
      <c r="E37" s="136">
        <f t="shared" si="17"/>
        <v>1.1574912891986062</v>
      </c>
      <c r="F37" s="136">
        <f t="shared" si="17"/>
        <v>0.9470304975922953</v>
      </c>
      <c r="G37" s="136">
        <f t="shared" si="17"/>
        <v>0.89315673289183228</v>
      </c>
      <c r="H37" s="136">
        <f t="shared" si="17"/>
        <v>0.89517625231910958</v>
      </c>
      <c r="I37" s="136">
        <f t="shared" si="17"/>
        <v>0.89411764705882357</v>
      </c>
      <c r="J37" s="136">
        <f t="shared" si="17"/>
        <v>0.98855447223399751</v>
      </c>
      <c r="K37" s="136">
        <f t="shared" si="17"/>
        <v>0.99945799457994589</v>
      </c>
      <c r="L37" s="136">
        <f t="shared" si="17"/>
        <v>1.0500603136308806</v>
      </c>
      <c r="M37" s="136">
        <f t="shared" si="17"/>
        <v>1.0396673064619322</v>
      </c>
      <c r="N37" s="136">
        <f t="shared" si="17"/>
        <v>0.99604743083003944</v>
      </c>
      <c r="O37" s="136">
        <f t="shared" si="17"/>
        <v>0.98160762942779289</v>
      </c>
      <c r="P37" s="136">
        <f t="shared" si="17"/>
        <v>1.1006474396703945</v>
      </c>
      <c r="Q37" s="136">
        <f t="shared" si="17"/>
        <v>1.1834992887624467</v>
      </c>
      <c r="R37" s="136">
        <f t="shared" si="17"/>
        <v>1.2162379421221865</v>
      </c>
      <c r="S37" s="144"/>
    </row>
    <row r="38" spans="1:52">
      <c r="A38" s="135" t="s">
        <v>280</v>
      </c>
      <c r="B38" s="136">
        <f t="shared" ref="B38:R38" si="18">B32/B35</f>
        <v>0.48721399730820997</v>
      </c>
      <c r="C38" s="136">
        <f t="shared" si="18"/>
        <v>0.54593874833555256</v>
      </c>
      <c r="D38" s="136">
        <f t="shared" si="18"/>
        <v>0.9707602339181286</v>
      </c>
      <c r="E38" s="136">
        <f t="shared" si="18"/>
        <v>0.52320675105485226</v>
      </c>
      <c r="F38" s="136">
        <f t="shared" si="18"/>
        <v>0.93944790739091721</v>
      </c>
      <c r="G38" s="136">
        <f t="shared" si="18"/>
        <v>0.48145454545454547</v>
      </c>
      <c r="H38" s="136">
        <f t="shared" si="18"/>
        <v>0.50457951706910908</v>
      </c>
      <c r="I38" s="136">
        <f t="shared" si="18"/>
        <v>0.4628975265017668</v>
      </c>
      <c r="J38" s="136">
        <f t="shared" si="18"/>
        <v>0.52233156699470096</v>
      </c>
      <c r="K38" s="136">
        <f t="shared" si="18"/>
        <v>0.71799027552674222</v>
      </c>
      <c r="L38" s="136">
        <f t="shared" si="18"/>
        <v>0.71118012422360244</v>
      </c>
      <c r="M38" s="136">
        <f t="shared" si="18"/>
        <v>0.75298126064735937</v>
      </c>
      <c r="N38" s="136">
        <f t="shared" si="18"/>
        <v>0.8123620309050773</v>
      </c>
      <c r="O38" s="136">
        <f t="shared" si="18"/>
        <v>0.71803852889667241</v>
      </c>
      <c r="P38" s="136">
        <f t="shared" si="18"/>
        <v>0.74888558692421991</v>
      </c>
      <c r="Q38" s="136">
        <f t="shared" si="18"/>
        <v>0.98194130925507894</v>
      </c>
      <c r="R38" s="136">
        <f t="shared" si="18"/>
        <v>1.075</v>
      </c>
      <c r="S38" s="144"/>
    </row>
    <row r="39" spans="1:52">
      <c r="A39" s="80" t="s">
        <v>281</v>
      </c>
      <c r="B39" s="144">
        <v>34.700000000000003</v>
      </c>
      <c r="C39" s="145">
        <f t="shared" ref="C39:F39" si="19">19.8+14.1*LN(C50)</f>
        <v>39.205040756256089</v>
      </c>
      <c r="D39" s="145">
        <f t="shared" si="19"/>
        <v>36.972047503878471</v>
      </c>
      <c r="E39" s="145">
        <f t="shared" si="19"/>
        <v>43.759828491717847</v>
      </c>
      <c r="F39" s="145">
        <f t="shared" si="19"/>
        <v>44.802909567055281</v>
      </c>
      <c r="G39" s="144">
        <v>51.02</v>
      </c>
      <c r="H39" s="145">
        <f t="shared" ref="H39:K39" si="20">19.8+14.1*LN(H50)</f>
        <v>46.682709525558579</v>
      </c>
      <c r="I39" s="145">
        <f t="shared" si="20"/>
        <v>47.176774669291298</v>
      </c>
      <c r="J39" s="145">
        <f t="shared" si="20"/>
        <v>50.559809381099555</v>
      </c>
      <c r="K39" s="145">
        <f t="shared" si="20"/>
        <v>39.13364819866878</v>
      </c>
      <c r="L39" s="144">
        <v>44.62</v>
      </c>
      <c r="M39" s="145">
        <f t="shared" ref="M39:P39" si="21">19.8+14.1*LN(M50)</f>
        <v>39.346750491790459</v>
      </c>
      <c r="N39" s="145">
        <f t="shared" si="21"/>
        <v>34.063572854666567</v>
      </c>
      <c r="O39" s="145">
        <f t="shared" si="21"/>
        <v>38.361356094545712</v>
      </c>
      <c r="P39" s="145">
        <f t="shared" si="21"/>
        <v>40.594158428415732</v>
      </c>
      <c r="Q39" s="144">
        <v>33.11</v>
      </c>
      <c r="R39" s="144">
        <v>33.130000000000003</v>
      </c>
      <c r="S39" s="144">
        <v>36.799999999999997</v>
      </c>
      <c r="T39" s="145">
        <f t="shared" ref="T39:AZ39" si="22">19.9+14.1*LN(T50)</f>
        <v>36.167615389237568</v>
      </c>
      <c r="U39" s="145">
        <f t="shared" si="22"/>
        <v>35.856926385095861</v>
      </c>
      <c r="V39" s="145">
        <f t="shared" si="22"/>
        <v>36.507633701274671</v>
      </c>
      <c r="W39" s="145">
        <f t="shared" si="22"/>
        <v>36.48909432731849</v>
      </c>
      <c r="X39" s="145">
        <f t="shared" si="22"/>
        <v>36.856399671166592</v>
      </c>
      <c r="Y39" s="145">
        <f t="shared" si="22"/>
        <v>37.78715350514004</v>
      </c>
      <c r="Z39" s="145">
        <f t="shared" si="22"/>
        <v>38.88354016710845</v>
      </c>
      <c r="AA39" s="145">
        <f t="shared" si="22"/>
        <v>40.145068273234244</v>
      </c>
      <c r="AB39" s="145">
        <f t="shared" si="22"/>
        <v>40.745753160278362</v>
      </c>
      <c r="AC39" s="145">
        <f t="shared" si="22"/>
        <v>41.155228194350684</v>
      </c>
      <c r="AD39" s="145">
        <f t="shared" si="22"/>
        <v>41.772238813313066</v>
      </c>
      <c r="AE39" s="145">
        <f t="shared" si="22"/>
        <v>42.147024681726144</v>
      </c>
      <c r="AF39" s="145">
        <f t="shared" si="22"/>
        <v>42.588324885429813</v>
      </c>
      <c r="AG39" s="145">
        <f t="shared" si="22"/>
        <v>42.83324140849713</v>
      </c>
      <c r="AH39" s="145">
        <f t="shared" si="22"/>
        <v>43.62875723737703</v>
      </c>
      <c r="AI39" s="145">
        <f t="shared" si="22"/>
        <v>44.145147291740059</v>
      </c>
      <c r="AJ39" s="145">
        <f t="shared" si="22"/>
        <v>44.601912730637039</v>
      </c>
      <c r="AK39" s="145">
        <f t="shared" si="22"/>
        <v>45.055595123261568</v>
      </c>
      <c r="AL39" s="145">
        <f t="shared" si="22"/>
        <v>45.632934125125615</v>
      </c>
      <c r="AM39" s="145">
        <f t="shared" si="22"/>
        <v>46.013133865309563</v>
      </c>
      <c r="AN39" s="145">
        <f t="shared" si="22"/>
        <v>46.358870895127723</v>
      </c>
      <c r="AO39" s="145">
        <f t="shared" si="22"/>
        <v>46.745132126945379</v>
      </c>
      <c r="AP39" s="145">
        <f t="shared" si="22"/>
        <v>47.259502214775836</v>
      </c>
      <c r="AQ39" s="145">
        <f t="shared" si="22"/>
        <v>47.53512794408563</v>
      </c>
      <c r="AR39" s="145">
        <f t="shared" si="22"/>
        <v>47.993278140307893</v>
      </c>
      <c r="AS39" s="145">
        <f t="shared" si="22"/>
        <v>48.516012498537513</v>
      </c>
      <c r="AT39" s="145">
        <f t="shared" si="22"/>
        <v>49.098851527014261</v>
      </c>
      <c r="AU39" s="145">
        <f t="shared" si="22"/>
        <v>49.658132975440978</v>
      </c>
      <c r="AV39" s="145">
        <f t="shared" si="22"/>
        <v>50.146840049038254</v>
      </c>
      <c r="AW39" s="145">
        <f t="shared" si="22"/>
        <v>50.690501539196859</v>
      </c>
      <c r="AX39" s="145">
        <f t="shared" si="22"/>
        <v>51.411630957294065</v>
      </c>
      <c r="AY39" s="145">
        <f t="shared" si="22"/>
        <v>52.034890863856454</v>
      </c>
      <c r="AZ39" s="145">
        <f t="shared" si="22"/>
        <v>52.612937634876729</v>
      </c>
    </row>
    <row r="40" spans="1:52">
      <c r="A40" s="146" t="s">
        <v>282</v>
      </c>
      <c r="B40" s="144">
        <v>27.09</v>
      </c>
      <c r="C40" s="145">
        <f t="shared" ref="C40:F40" si="23">4.98+17*LN(C50)</f>
        <v>28.376148429528616</v>
      </c>
      <c r="D40" s="145">
        <f t="shared" si="23"/>
        <v>25.683887061413763</v>
      </c>
      <c r="E40" s="145">
        <f t="shared" si="23"/>
        <v>33.867736479376127</v>
      </c>
      <c r="F40" s="145">
        <f t="shared" si="23"/>
        <v>35.125351960279417</v>
      </c>
      <c r="G40" s="144">
        <v>42</v>
      </c>
      <c r="H40" s="145">
        <f t="shared" ref="H40:K40" si="24">4.98+17*LN(H50)</f>
        <v>37.39177744216282</v>
      </c>
      <c r="I40" s="145">
        <f t="shared" si="24"/>
        <v>37.987458821131355</v>
      </c>
      <c r="J40" s="145">
        <f t="shared" si="24"/>
        <v>42.066294998488829</v>
      </c>
      <c r="K40" s="145">
        <f t="shared" si="24"/>
        <v>28.290072296267322</v>
      </c>
      <c r="L40" s="144">
        <v>32.22</v>
      </c>
      <c r="M40" s="145">
        <f t="shared" ref="M40:P40" si="25">4.98+17*LN(M50)</f>
        <v>28.54700413903814</v>
      </c>
      <c r="N40" s="145">
        <f t="shared" si="25"/>
        <v>22.177215498534157</v>
      </c>
      <c r="O40" s="145">
        <f t="shared" si="25"/>
        <v>27.358939972147311</v>
      </c>
      <c r="P40" s="145">
        <f t="shared" si="25"/>
        <v>30.050971154827479</v>
      </c>
      <c r="Q40" s="144">
        <v>21.83</v>
      </c>
      <c r="R40" s="144">
        <v>20.84</v>
      </c>
      <c r="S40" s="144">
        <v>23.32</v>
      </c>
      <c r="T40" s="145">
        <f t="shared" ref="T40:AZ40" si="26">4.98+17*LN(T50)</f>
        <v>24.593436994116217</v>
      </c>
      <c r="U40" s="145">
        <f t="shared" si="26"/>
        <v>24.218847414654583</v>
      </c>
      <c r="V40" s="145">
        <f t="shared" si="26"/>
        <v>25.003388150473008</v>
      </c>
      <c r="W40" s="145">
        <f t="shared" si="26"/>
        <v>24.981035713788252</v>
      </c>
      <c r="X40" s="145">
        <f t="shared" si="26"/>
        <v>25.423886128356887</v>
      </c>
      <c r="Y40" s="145">
        <f t="shared" si="26"/>
        <v>26.54607160194189</v>
      </c>
      <c r="Z40" s="145">
        <f t="shared" si="26"/>
        <v>27.867956229847074</v>
      </c>
      <c r="AA40" s="145">
        <f t="shared" si="26"/>
        <v>29.388947563473916</v>
      </c>
      <c r="AB40" s="145">
        <f t="shared" si="26"/>
        <v>30.113177569129945</v>
      </c>
      <c r="AC40" s="145">
        <f t="shared" si="26"/>
        <v>30.606870872621393</v>
      </c>
      <c r="AD40" s="145">
        <f t="shared" si="26"/>
        <v>31.350784384845543</v>
      </c>
      <c r="AE40" s="145">
        <f t="shared" si="26"/>
        <v>31.802653871584717</v>
      </c>
      <c r="AF40" s="145">
        <f t="shared" si="26"/>
        <v>32.33471794697212</v>
      </c>
      <c r="AG40" s="145">
        <f t="shared" si="26"/>
        <v>32.630007371946903</v>
      </c>
      <c r="AH40" s="145">
        <f t="shared" si="26"/>
        <v>33.58913993158933</v>
      </c>
      <c r="AI40" s="145">
        <f t="shared" si="26"/>
        <v>34.211737869473836</v>
      </c>
      <c r="AJ40" s="145">
        <f t="shared" si="26"/>
        <v>34.762447973108493</v>
      </c>
      <c r="AK40" s="145">
        <f t="shared" si="26"/>
        <v>35.309440928755087</v>
      </c>
      <c r="AL40" s="145">
        <f t="shared" si="26"/>
        <v>36.005523413272016</v>
      </c>
      <c r="AM40" s="145">
        <f t="shared" si="26"/>
        <v>36.463920263139187</v>
      </c>
      <c r="AN40" s="145">
        <f t="shared" si="26"/>
        <v>36.880766327458957</v>
      </c>
      <c r="AO40" s="145">
        <f t="shared" si="26"/>
        <v>37.346471358728479</v>
      </c>
      <c r="AP40" s="145">
        <f t="shared" si="26"/>
        <v>37.966633875970871</v>
      </c>
      <c r="AQ40" s="145">
        <f t="shared" si="26"/>
        <v>38.298948585067791</v>
      </c>
      <c r="AR40" s="145">
        <f t="shared" si="26"/>
        <v>38.851328254271934</v>
      </c>
      <c r="AS40" s="145">
        <f t="shared" si="26"/>
        <v>39.481575352846647</v>
      </c>
      <c r="AT40" s="145">
        <f t="shared" si="26"/>
        <v>40.184289075123587</v>
      </c>
      <c r="AU40" s="145">
        <f t="shared" si="26"/>
        <v>40.858600041311817</v>
      </c>
      <c r="AV40" s="145">
        <f t="shared" si="26"/>
        <v>41.44782133571988</v>
      </c>
      <c r="AW40" s="145">
        <f t="shared" si="26"/>
        <v>42.10329972810969</v>
      </c>
      <c r="AX40" s="145">
        <f t="shared" si="26"/>
        <v>42.972746544255259</v>
      </c>
      <c r="AY40" s="145">
        <f t="shared" si="26"/>
        <v>43.724194658550331</v>
      </c>
      <c r="AZ40" s="145">
        <f t="shared" si="26"/>
        <v>44.421130481766269</v>
      </c>
    </row>
    <row r="41" spans="1:52">
      <c r="A41" s="80" t="s">
        <v>283</v>
      </c>
      <c r="B41" s="144">
        <v>2.09</v>
      </c>
      <c r="C41" s="145">
        <f t="shared" ref="C41:F41" si="27">-0.842+1.76*LN(C44)</f>
        <v>1.8246239300146319</v>
      </c>
      <c r="D41" s="145">
        <f t="shared" si="27"/>
        <v>1.9514584541367337</v>
      </c>
      <c r="E41" s="145">
        <f t="shared" si="27"/>
        <v>1.5668053895508587</v>
      </c>
      <c r="F41" s="145">
        <f t="shared" si="27"/>
        <v>2.1742843528546838</v>
      </c>
      <c r="G41" s="144">
        <v>1.58</v>
      </c>
      <c r="H41" s="145">
        <f t="shared" ref="H41:K41" si="28">-0.842+1.76*LN(H44)</f>
        <v>2.0460483799085094</v>
      </c>
      <c r="I41" s="145">
        <f t="shared" si="28"/>
        <v>1.9370025207109296</v>
      </c>
      <c r="J41" s="145">
        <f t="shared" si="28"/>
        <v>2.1358128757446853</v>
      </c>
      <c r="K41" s="145">
        <f t="shared" si="28"/>
        <v>1.9729221347818542</v>
      </c>
      <c r="L41" s="144">
        <v>2.81</v>
      </c>
      <c r="M41" s="145">
        <f t="shared" ref="M41:P41" si="29">-0.842+1.76*LN(M44)</f>
        <v>2.5802857789924656</v>
      </c>
      <c r="N41" s="145">
        <f t="shared" si="29"/>
        <v>2.6710654816237813</v>
      </c>
      <c r="O41" s="145">
        <f t="shared" si="29"/>
        <v>2.8178171133565106</v>
      </c>
      <c r="P41" s="145">
        <f t="shared" si="29"/>
        <v>3.151489824658757</v>
      </c>
      <c r="Q41" s="144">
        <v>3.26</v>
      </c>
      <c r="R41" s="144">
        <v>3.75</v>
      </c>
      <c r="S41" s="144">
        <v>4.0199999999999996</v>
      </c>
      <c r="T41" s="145">
        <f t="shared" ref="T41:AZ41" si="30">-0.842+1.76*LN(T44)</f>
        <v>3.787153576809684</v>
      </c>
      <c r="U41" s="145">
        <f t="shared" si="30"/>
        <v>3.8658443768370527</v>
      </c>
      <c r="V41" s="145">
        <f t="shared" si="30"/>
        <v>3.9296697924719601</v>
      </c>
      <c r="W41" s="145">
        <f t="shared" si="30"/>
        <v>4.0007848993902408</v>
      </c>
      <c r="X41" s="145">
        <f t="shared" si="30"/>
        <v>4.0652742721874757</v>
      </c>
      <c r="Y41" s="145">
        <f t="shared" si="30"/>
        <v>4.1210400732478147</v>
      </c>
      <c r="Z41" s="145">
        <f t="shared" si="30"/>
        <v>4.1729635260750939</v>
      </c>
      <c r="AA41" s="145">
        <f t="shared" si="30"/>
        <v>4.2207449763840916</v>
      </c>
      <c r="AB41" s="145">
        <f t="shared" si="30"/>
        <v>4.2766742977786549</v>
      </c>
      <c r="AC41" s="145">
        <f t="shared" si="30"/>
        <v>4.3342496810262912</v>
      </c>
      <c r="AD41" s="145">
        <f t="shared" si="30"/>
        <v>4.3875710050205861</v>
      </c>
      <c r="AE41" s="145">
        <f t="shared" si="30"/>
        <v>4.4434245075768128</v>
      </c>
      <c r="AF41" s="145">
        <f t="shared" si="30"/>
        <v>4.4972201282868998</v>
      </c>
      <c r="AG41" s="145">
        <f t="shared" si="30"/>
        <v>4.5529297342272494</v>
      </c>
      <c r="AH41" s="145">
        <f t="shared" si="30"/>
        <v>4.5994087917042199</v>
      </c>
      <c r="AI41" s="145">
        <f t="shared" si="30"/>
        <v>4.6491116490326796</v>
      </c>
      <c r="AJ41" s="145">
        <f t="shared" si="30"/>
        <v>4.6988151335928983</v>
      </c>
      <c r="AK41" s="145">
        <f t="shared" si="30"/>
        <v>4.7476868071970495</v>
      </c>
      <c r="AL41" s="145">
        <f t="shared" si="30"/>
        <v>4.7937712830385086</v>
      </c>
      <c r="AM41" s="145">
        <f t="shared" si="30"/>
        <v>4.8421212088007266</v>
      </c>
      <c r="AN41" s="145">
        <f t="shared" si="30"/>
        <v>4.8902231267357354</v>
      </c>
      <c r="AO41" s="145">
        <f t="shared" si="30"/>
        <v>4.936925160570091</v>
      </c>
      <c r="AP41" s="145">
        <f t="shared" si="30"/>
        <v>4.980863597669809</v>
      </c>
      <c r="AQ41" s="145">
        <f t="shared" si="30"/>
        <v>5.0278622105084168</v>
      </c>
      <c r="AR41" s="145">
        <f t="shared" si="30"/>
        <v>5.0712779772425112</v>
      </c>
      <c r="AS41" s="145">
        <f t="shared" si="30"/>
        <v>5.1129717095676668</v>
      </c>
      <c r="AT41" s="145">
        <f t="shared" si="30"/>
        <v>5.152992307948657</v>
      </c>
      <c r="AU41" s="145">
        <f t="shared" si="30"/>
        <v>5.1927010141103187</v>
      </c>
      <c r="AV41" s="145">
        <f t="shared" si="30"/>
        <v>5.232927724405581</v>
      </c>
      <c r="AW41" s="145">
        <f t="shared" si="30"/>
        <v>5.2715833989045979</v>
      </c>
      <c r="AX41" s="145">
        <f t="shared" si="30"/>
        <v>5.3064726377117024</v>
      </c>
      <c r="AY41" s="145">
        <f t="shared" si="30"/>
        <v>5.3423595046287762</v>
      </c>
      <c r="AZ41" s="145">
        <f t="shared" si="30"/>
        <v>5.378402642441011</v>
      </c>
    </row>
    <row r="42" spans="1:52">
      <c r="A42" s="80" t="s">
        <v>284</v>
      </c>
      <c r="B42" s="144">
        <v>2.92</v>
      </c>
      <c r="C42" s="145">
        <f t="shared" ref="C42:F42" si="31">1.95+0.727*LN(C44)</f>
        <v>3.0514974983639984</v>
      </c>
      <c r="D42" s="145">
        <f t="shared" si="31"/>
        <v>3.1038888046348894</v>
      </c>
      <c r="E42" s="145">
        <f t="shared" si="31"/>
        <v>2.9450008626156103</v>
      </c>
      <c r="F42" s="145">
        <f t="shared" si="31"/>
        <v>3.1959310934803153</v>
      </c>
      <c r="G42" s="144">
        <v>3.23</v>
      </c>
      <c r="H42" s="145">
        <f t="shared" ref="H42:K42" si="32">1.95+0.727*LN(H44)</f>
        <v>3.1429608932917539</v>
      </c>
      <c r="I42" s="145">
        <f t="shared" si="32"/>
        <v>3.0979175184982077</v>
      </c>
      <c r="J42" s="145">
        <f t="shared" si="32"/>
        <v>3.1800397503786284</v>
      </c>
      <c r="K42" s="145">
        <f t="shared" si="32"/>
        <v>3.1127547681740952</v>
      </c>
      <c r="L42" s="144">
        <v>3.36</v>
      </c>
      <c r="M42" s="145">
        <f t="shared" ref="M42:P42" si="33">1.95+0.727*LN(M44)</f>
        <v>3.3636373643906374</v>
      </c>
      <c r="N42" s="145">
        <f t="shared" si="33"/>
        <v>3.4011355711025506</v>
      </c>
      <c r="O42" s="145">
        <f t="shared" si="33"/>
        <v>3.4617540008012404</v>
      </c>
      <c r="P42" s="145">
        <f t="shared" si="33"/>
        <v>3.5995835809812027</v>
      </c>
      <c r="Q42" s="144">
        <v>3.74</v>
      </c>
      <c r="R42" s="144">
        <v>3.75</v>
      </c>
      <c r="S42" s="144">
        <v>3.98</v>
      </c>
      <c r="T42" s="145">
        <f t="shared" ref="T42:AZ42" si="34">1.95+0.727*LN(T44)</f>
        <v>3.8621560513299089</v>
      </c>
      <c r="U42" s="145">
        <f t="shared" si="34"/>
        <v>3.8946607170230325</v>
      </c>
      <c r="V42" s="145">
        <f t="shared" si="34"/>
        <v>3.9210249654131335</v>
      </c>
      <c r="W42" s="145">
        <f t="shared" si="34"/>
        <v>3.950400353327673</v>
      </c>
      <c r="X42" s="145">
        <f t="shared" si="34"/>
        <v>3.9770388612956218</v>
      </c>
      <c r="Y42" s="145">
        <f t="shared" si="34"/>
        <v>4.0000739393472511</v>
      </c>
      <c r="Z42" s="145">
        <f t="shared" si="34"/>
        <v>4.0215218656003371</v>
      </c>
      <c r="AA42" s="145">
        <f t="shared" si="34"/>
        <v>4.0412588624041099</v>
      </c>
      <c r="AB42" s="145">
        <f t="shared" si="34"/>
        <v>4.0643614855028876</v>
      </c>
      <c r="AC42" s="145">
        <f t="shared" si="34"/>
        <v>4.0881440443784731</v>
      </c>
      <c r="AD42" s="145">
        <f t="shared" si="34"/>
        <v>4.1101693867329345</v>
      </c>
      <c r="AE42" s="145">
        <f t="shared" si="34"/>
        <v>4.1332406914820128</v>
      </c>
      <c r="AF42" s="145">
        <f t="shared" si="34"/>
        <v>4.1554619507185091</v>
      </c>
      <c r="AG42" s="145">
        <f t="shared" si="34"/>
        <v>4.1784738163540966</v>
      </c>
      <c r="AH42" s="145">
        <f t="shared" si="34"/>
        <v>4.1976728361187314</v>
      </c>
      <c r="AI42" s="145">
        <f t="shared" si="34"/>
        <v>4.2182035050265672</v>
      </c>
      <c r="AJ42" s="145">
        <f t="shared" si="34"/>
        <v>4.2387344330238843</v>
      </c>
      <c r="AK42" s="145">
        <f t="shared" si="34"/>
        <v>4.2589217663819632</v>
      </c>
      <c r="AL42" s="145">
        <f t="shared" si="34"/>
        <v>4.2779577970278382</v>
      </c>
      <c r="AM42" s="145">
        <f t="shared" si="34"/>
        <v>4.2979296129534816</v>
      </c>
      <c r="AN42" s="145">
        <f t="shared" si="34"/>
        <v>4.3177989847368634</v>
      </c>
      <c r="AO42" s="145">
        <f t="shared" si="34"/>
        <v>4.337090108940032</v>
      </c>
      <c r="AP42" s="145">
        <f t="shared" si="34"/>
        <v>4.355239679264745</v>
      </c>
      <c r="AQ42" s="145">
        <f t="shared" si="34"/>
        <v>4.3746533108179655</v>
      </c>
      <c r="AR42" s="145">
        <f t="shared" si="34"/>
        <v>4.3925869826450601</v>
      </c>
      <c r="AS42" s="145">
        <f t="shared" si="34"/>
        <v>4.4098093368498255</v>
      </c>
      <c r="AT42" s="145">
        <f t="shared" si="34"/>
        <v>4.4263405726583374</v>
      </c>
      <c r="AU42" s="145">
        <f t="shared" si="34"/>
        <v>4.4427429757148866</v>
      </c>
      <c r="AV42" s="145">
        <f t="shared" si="34"/>
        <v>4.4593593497970776</v>
      </c>
      <c r="AW42" s="145">
        <f t="shared" si="34"/>
        <v>4.4753267789793423</v>
      </c>
      <c r="AX42" s="145">
        <f t="shared" si="34"/>
        <v>4.4897384134184133</v>
      </c>
      <c r="AY42" s="145">
        <f t="shared" si="34"/>
        <v>4.5045621362870003</v>
      </c>
      <c r="AZ42" s="145">
        <f t="shared" si="34"/>
        <v>4.5194504096901218</v>
      </c>
    </row>
    <row r="43" spans="1:52">
      <c r="A43" s="80" t="s">
        <v>287</v>
      </c>
      <c r="B43" s="144">
        <v>1.38</v>
      </c>
      <c r="C43" s="145">
        <f t="shared" ref="C43:F43" si="35">B43+($G$43-$B$43)/5</f>
        <v>1.41</v>
      </c>
      <c r="D43" s="145">
        <f t="shared" si="35"/>
        <v>1.44</v>
      </c>
      <c r="E43" s="145">
        <f t="shared" si="35"/>
        <v>1.47</v>
      </c>
      <c r="F43" s="145">
        <f t="shared" si="35"/>
        <v>1.5</v>
      </c>
      <c r="G43" s="144">
        <v>1.53</v>
      </c>
      <c r="H43" s="145">
        <f t="shared" ref="H43:K43" si="36">G43+($L$43-$G$43)/5</f>
        <v>1.518</v>
      </c>
      <c r="I43" s="145">
        <f t="shared" si="36"/>
        <v>1.506</v>
      </c>
      <c r="J43" s="145">
        <f t="shared" si="36"/>
        <v>1.494</v>
      </c>
      <c r="K43" s="145">
        <f t="shared" si="36"/>
        <v>1.482</v>
      </c>
      <c r="L43" s="144">
        <v>1.47</v>
      </c>
      <c r="M43" s="145">
        <f t="shared" ref="M43:P43" si="37">L43+($Q$43-$L$43)/5</f>
        <v>1.454</v>
      </c>
      <c r="N43" s="145">
        <f t="shared" si="37"/>
        <v>1.4379999999999999</v>
      </c>
      <c r="O43" s="145">
        <f t="shared" si="37"/>
        <v>1.4219999999999999</v>
      </c>
      <c r="P43" s="145">
        <f t="shared" si="37"/>
        <v>1.4059999999999999</v>
      </c>
      <c r="Q43" s="144">
        <v>1.39</v>
      </c>
      <c r="R43" s="144">
        <v>1.52</v>
      </c>
      <c r="S43" s="144">
        <v>1.71</v>
      </c>
      <c r="T43" s="145">
        <f t="shared" ref="T43:AZ43" si="38">1.81-0.0948*T44+0.00567*(T44^2)</f>
        <v>1.586311009053055</v>
      </c>
      <c r="U43" s="145">
        <f t="shared" si="38"/>
        <v>1.6282887674578836</v>
      </c>
      <c r="V43" s="145">
        <f t="shared" si="38"/>
        <v>1.6672986385188355</v>
      </c>
      <c r="W43" s="145">
        <f t="shared" si="38"/>
        <v>1.7165310380653762</v>
      </c>
      <c r="X43" s="145">
        <f t="shared" si="38"/>
        <v>1.7669250423717195</v>
      </c>
      <c r="Y43" s="145">
        <f t="shared" si="38"/>
        <v>1.8153026799417347</v>
      </c>
      <c r="Z43" s="145">
        <f t="shared" si="38"/>
        <v>1.8646665892075134</v>
      </c>
      <c r="AA43" s="145">
        <f t="shared" si="38"/>
        <v>1.9140335819987921</v>
      </c>
      <c r="AB43" s="145">
        <f t="shared" si="38"/>
        <v>1.9769558100626117</v>
      </c>
      <c r="AC43" s="145">
        <f t="shared" si="38"/>
        <v>2.0479393781974107</v>
      </c>
      <c r="AD43" s="145">
        <f t="shared" si="38"/>
        <v>2.1197180860421048</v>
      </c>
      <c r="AE43" s="145">
        <f t="shared" si="38"/>
        <v>2.2015984624800029</v>
      </c>
      <c r="AF43" s="145">
        <f t="shared" si="38"/>
        <v>2.2874056658560109</v>
      </c>
      <c r="AG43" s="145">
        <f t="shared" si="38"/>
        <v>2.3839729519017738</v>
      </c>
      <c r="AH43" s="145">
        <f t="shared" si="38"/>
        <v>2.470952051051257</v>
      </c>
      <c r="AI43" s="145">
        <f t="shared" si="38"/>
        <v>2.5708468002518763</v>
      </c>
      <c r="AJ43" s="145">
        <f t="shared" si="38"/>
        <v>2.6783086701664263</v>
      </c>
      <c r="AK43" s="145">
        <f t="shared" si="38"/>
        <v>2.7918242118155727</v>
      </c>
      <c r="AL43" s="145">
        <f t="shared" si="38"/>
        <v>2.9064443944948013</v>
      </c>
      <c r="AM43" s="145">
        <f t="shared" si="38"/>
        <v>3.0350949067596522</v>
      </c>
      <c r="AN43" s="145">
        <f t="shared" si="38"/>
        <v>3.1721391126243046</v>
      </c>
      <c r="AO43" s="145">
        <f t="shared" si="38"/>
        <v>3.3143646241645448</v>
      </c>
      <c r="AP43" s="145">
        <f t="shared" si="38"/>
        <v>3.4569101852189505</v>
      </c>
      <c r="AQ43" s="145">
        <f t="shared" si="38"/>
        <v>3.6193079191362001</v>
      </c>
      <c r="AR43" s="145">
        <f t="shared" si="38"/>
        <v>3.7789599483184286</v>
      </c>
      <c r="AS43" s="145">
        <f t="shared" si="38"/>
        <v>3.9414751870065028</v>
      </c>
      <c r="AT43" s="145">
        <f t="shared" si="38"/>
        <v>4.106389875755827</v>
      </c>
      <c r="AU43" s="145">
        <f t="shared" si="38"/>
        <v>4.2790962295160035</v>
      </c>
      <c r="AV43" s="145">
        <f t="shared" si="38"/>
        <v>4.4637380712045225</v>
      </c>
      <c r="AW43" s="145">
        <f t="shared" si="38"/>
        <v>4.6508058517321427</v>
      </c>
      <c r="AX43" s="145">
        <f t="shared" si="38"/>
        <v>4.8281405770307622</v>
      </c>
      <c r="AY43" s="145">
        <f t="shared" si="38"/>
        <v>5.019336507310852</v>
      </c>
      <c r="AZ43" s="145">
        <f t="shared" si="38"/>
        <v>5.2207354631040053</v>
      </c>
    </row>
    <row r="44" spans="1:52">
      <c r="A44" s="146" t="s">
        <v>288</v>
      </c>
      <c r="B44" s="144">
        <v>5.44</v>
      </c>
      <c r="C44" s="144">
        <v>4.55</v>
      </c>
      <c r="D44" s="144">
        <v>4.8899999999999997</v>
      </c>
      <c r="E44" s="144">
        <v>3.93</v>
      </c>
      <c r="F44" s="144">
        <v>5.55</v>
      </c>
      <c r="G44" s="144">
        <v>5.0199999999999996</v>
      </c>
      <c r="H44" s="144">
        <v>5.16</v>
      </c>
      <c r="I44" s="144">
        <v>4.8499999999999996</v>
      </c>
      <c r="J44" s="144">
        <v>5.43</v>
      </c>
      <c r="K44" s="144">
        <v>4.95</v>
      </c>
      <c r="L44" s="144">
        <v>5.67</v>
      </c>
      <c r="M44" s="144">
        <v>6.99</v>
      </c>
      <c r="N44" s="144">
        <v>7.36</v>
      </c>
      <c r="O44" s="144">
        <v>8</v>
      </c>
      <c r="P44" s="144">
        <v>9.67</v>
      </c>
      <c r="Q44" s="144">
        <v>11.61</v>
      </c>
      <c r="R44" s="144">
        <v>13.43</v>
      </c>
      <c r="S44" s="144">
        <v>14.88</v>
      </c>
      <c r="T44" s="145">
        <f t="shared" ref="T44:AZ44" si="39">-79.47-0.5*T50+0.0000032*T24-0.00003*T25+0.00021*T26</f>
        <v>13.876557365808907</v>
      </c>
      <c r="U44" s="145">
        <f t="shared" si="39"/>
        <v>14.5110666816717</v>
      </c>
      <c r="V44" s="145">
        <f t="shared" si="39"/>
        <v>15.046960617135724</v>
      </c>
      <c r="W44" s="145">
        <f t="shared" si="39"/>
        <v>15.667403270443138</v>
      </c>
      <c r="X44" s="145">
        <f t="shared" si="39"/>
        <v>16.252130669252068</v>
      </c>
      <c r="Y44" s="145">
        <f t="shared" si="39"/>
        <v>16.77532627137748</v>
      </c>
      <c r="Z44" s="145">
        <f t="shared" si="39"/>
        <v>17.277603965551457</v>
      </c>
      <c r="AA44" s="145">
        <f t="shared" si="39"/>
        <v>17.753091072202544</v>
      </c>
      <c r="AB44" s="145">
        <f t="shared" si="39"/>
        <v>18.326308844255244</v>
      </c>
      <c r="AC44" s="145">
        <f t="shared" si="39"/>
        <v>18.935736467948054</v>
      </c>
      <c r="AD44" s="145">
        <f t="shared" si="39"/>
        <v>19.51819606367156</v>
      </c>
      <c r="AE44" s="145">
        <f t="shared" si="39"/>
        <v>20.147538186826061</v>
      </c>
      <c r="AF44" s="145">
        <f t="shared" si="39"/>
        <v>20.772869828698013</v>
      </c>
      <c r="AG44" s="145">
        <f t="shared" si="39"/>
        <v>21.440914417356694</v>
      </c>
      <c r="AH44" s="145">
        <f t="shared" si="39"/>
        <v>22.014680818569801</v>
      </c>
      <c r="AI44" s="145">
        <f t="shared" si="39"/>
        <v>22.645242836738809</v>
      </c>
      <c r="AJ44" s="145">
        <f t="shared" si="39"/>
        <v>23.293874215853691</v>
      </c>
      <c r="AK44" s="145">
        <f t="shared" si="39"/>
        <v>23.949762640467256</v>
      </c>
      <c r="AL44" s="145">
        <f t="shared" si="39"/>
        <v>24.585154236688922</v>
      </c>
      <c r="AM44" s="145">
        <f t="shared" si="39"/>
        <v>25.269909073197969</v>
      </c>
      <c r="AN44" s="145">
        <f t="shared" si="39"/>
        <v>25.970076162276651</v>
      </c>
      <c r="AO44" s="145">
        <f t="shared" si="39"/>
        <v>26.668422960862411</v>
      </c>
      <c r="AP44" s="145">
        <f t="shared" si="39"/>
        <v>27.342580871620019</v>
      </c>
      <c r="AQ44" s="145">
        <f t="shared" si="39"/>
        <v>28.082566744033144</v>
      </c>
      <c r="AR44" s="145">
        <f t="shared" si="39"/>
        <v>28.78392387551574</v>
      </c>
      <c r="AS44" s="145">
        <f t="shared" si="39"/>
        <v>29.473945012542682</v>
      </c>
      <c r="AT44" s="145">
        <f t="shared" si="39"/>
        <v>30.151830351800527</v>
      </c>
      <c r="AU44" s="145">
        <f t="shared" si="39"/>
        <v>30.839841041357694</v>
      </c>
      <c r="AV44" s="145">
        <f t="shared" si="39"/>
        <v>31.552836181854129</v>
      </c>
      <c r="AW44" s="145">
        <f t="shared" si="39"/>
        <v>32.253511827711307</v>
      </c>
      <c r="AX44" s="145">
        <f t="shared" si="39"/>
        <v>32.899266488361178</v>
      </c>
      <c r="AY44" s="145">
        <f t="shared" si="39"/>
        <v>33.576977129495781</v>
      </c>
      <c r="AZ44" s="145">
        <f t="shared" si="39"/>
        <v>34.271691174335615</v>
      </c>
    </row>
    <row r="45" spans="1:52">
      <c r="A45" s="135" t="s">
        <v>289</v>
      </c>
      <c r="B45" s="148">
        <f t="shared" ref="B45:S45" si="40">B43/B44</f>
        <v>0.25367647058823528</v>
      </c>
      <c r="C45" s="148">
        <f t="shared" si="40"/>
        <v>0.3098901098901099</v>
      </c>
      <c r="D45" s="148">
        <f t="shared" si="40"/>
        <v>0.29447852760736198</v>
      </c>
      <c r="E45" s="148">
        <f t="shared" si="40"/>
        <v>0.37404580152671751</v>
      </c>
      <c r="F45" s="148">
        <f t="shared" si="40"/>
        <v>0.27027027027027029</v>
      </c>
      <c r="G45" s="148">
        <f t="shared" si="40"/>
        <v>0.30478087649402391</v>
      </c>
      <c r="H45" s="148">
        <f t="shared" si="40"/>
        <v>0.29418604651162789</v>
      </c>
      <c r="I45" s="148">
        <f t="shared" si="40"/>
        <v>0.31051546391752582</v>
      </c>
      <c r="J45" s="148">
        <f t="shared" si="40"/>
        <v>0.27513812154696132</v>
      </c>
      <c r="K45" s="148">
        <f t="shared" si="40"/>
        <v>0.29939393939393938</v>
      </c>
      <c r="L45" s="148">
        <f t="shared" si="40"/>
        <v>0.25925925925925924</v>
      </c>
      <c r="M45" s="148">
        <f t="shared" si="40"/>
        <v>0.20801144492131615</v>
      </c>
      <c r="N45" s="148">
        <f t="shared" si="40"/>
        <v>0.19538043478260869</v>
      </c>
      <c r="O45" s="148">
        <f t="shared" si="40"/>
        <v>0.17774999999999999</v>
      </c>
      <c r="P45" s="148">
        <f t="shared" si="40"/>
        <v>0.1453981385729059</v>
      </c>
      <c r="Q45" s="148">
        <f t="shared" si="40"/>
        <v>0.11972437553832903</v>
      </c>
      <c r="R45" s="148">
        <f t="shared" si="40"/>
        <v>0.1131794489947878</v>
      </c>
      <c r="S45" s="148">
        <f t="shared" si="40"/>
        <v>0.11491935483870967</v>
      </c>
    </row>
    <row r="46" spans="1:52">
      <c r="A46" s="135" t="s">
        <v>291</v>
      </c>
      <c r="B46" s="148">
        <f t="shared" ref="B46:S46" si="41">B40/B39</f>
        <v>0.78069164265129676</v>
      </c>
      <c r="C46" s="148">
        <f t="shared" si="41"/>
        <v>0.72378826503325422</v>
      </c>
      <c r="D46" s="148">
        <f t="shared" si="41"/>
        <v>0.69468392462493322</v>
      </c>
      <c r="E46" s="148">
        <f t="shared" si="41"/>
        <v>0.77394582306889215</v>
      </c>
      <c r="F46" s="148">
        <f t="shared" si="41"/>
        <v>0.78399711759139823</v>
      </c>
      <c r="G46" s="148">
        <f t="shared" si="41"/>
        <v>0.82320658565268512</v>
      </c>
      <c r="H46" s="148">
        <f t="shared" si="41"/>
        <v>0.80097701744777661</v>
      </c>
      <c r="I46" s="148">
        <f t="shared" si="41"/>
        <v>0.8052152587247231</v>
      </c>
      <c r="J46" s="148">
        <f t="shared" si="41"/>
        <v>0.83201055370699639</v>
      </c>
      <c r="K46" s="148">
        <f t="shared" si="41"/>
        <v>0.72290914848132337</v>
      </c>
      <c r="L46" s="148">
        <f t="shared" si="41"/>
        <v>0.72209771402958312</v>
      </c>
      <c r="M46" s="148">
        <f t="shared" si="41"/>
        <v>0.72552380519947535</v>
      </c>
      <c r="N46" s="148">
        <f t="shared" si="41"/>
        <v>0.6510537104593821</v>
      </c>
      <c r="O46" s="148">
        <f t="shared" si="41"/>
        <v>0.71319011519609066</v>
      </c>
      <c r="P46" s="148">
        <f t="shared" si="41"/>
        <v>0.74027821534518945</v>
      </c>
      <c r="Q46" s="148">
        <f t="shared" si="41"/>
        <v>0.65931742675928717</v>
      </c>
      <c r="R46" s="148">
        <f t="shared" si="41"/>
        <v>0.62903712647147592</v>
      </c>
      <c r="S46" s="148">
        <f t="shared" si="41"/>
        <v>0.6336956521739131</v>
      </c>
    </row>
    <row r="47" spans="1:52">
      <c r="A47" s="135" t="s">
        <v>292</v>
      </c>
      <c r="B47" s="148">
        <f t="shared" ref="B47:S47" si="42">B39/B33</f>
        <v>0.96846218252860738</v>
      </c>
      <c r="C47" s="148">
        <f t="shared" si="42"/>
        <v>0.92355808613088541</v>
      </c>
      <c r="D47" s="148">
        <f t="shared" si="42"/>
        <v>1.0545364376462769</v>
      </c>
      <c r="E47" s="148">
        <f t="shared" si="42"/>
        <v>1.0022864977489201</v>
      </c>
      <c r="F47" s="148">
        <f t="shared" si="42"/>
        <v>0.94780853748794747</v>
      </c>
      <c r="G47" s="148">
        <f t="shared" si="42"/>
        <v>0.91630747126436785</v>
      </c>
      <c r="H47" s="148">
        <f t="shared" si="42"/>
        <v>0.86513546192658597</v>
      </c>
      <c r="I47" s="148">
        <f t="shared" si="42"/>
        <v>0.85729192566402501</v>
      </c>
      <c r="J47" s="148">
        <f t="shared" si="42"/>
        <v>0.84000347866920677</v>
      </c>
      <c r="K47" s="148">
        <f t="shared" si="42"/>
        <v>0.77492372670631249</v>
      </c>
      <c r="L47" s="148">
        <f t="shared" si="42"/>
        <v>0.94473851365657424</v>
      </c>
      <c r="M47" s="148">
        <f t="shared" si="42"/>
        <v>0.87340178672120894</v>
      </c>
      <c r="N47" s="148">
        <f t="shared" si="42"/>
        <v>0.90354304654287976</v>
      </c>
      <c r="O47" s="148">
        <f t="shared" si="42"/>
        <v>0.89337112469831659</v>
      </c>
      <c r="P47" s="148">
        <f t="shared" si="42"/>
        <v>0.86004572941558743</v>
      </c>
      <c r="Q47" s="148">
        <f t="shared" si="42"/>
        <v>0.81854140914709506</v>
      </c>
      <c r="R47" s="148">
        <f t="shared" si="42"/>
        <v>0.89227040129275514</v>
      </c>
      <c r="S47" s="148">
        <f t="shared" si="42"/>
        <v>0.89646772228989036</v>
      </c>
    </row>
    <row r="48" spans="1:52">
      <c r="A48" s="135" t="s">
        <v>293</v>
      </c>
      <c r="B48" s="148">
        <f t="shared" ref="B48:S48" si="43">B39/B34</f>
        <v>2.6011994002998504</v>
      </c>
      <c r="C48" s="148">
        <f t="shared" si="43"/>
        <v>2.3267086502229133</v>
      </c>
      <c r="D48" s="148">
        <f t="shared" si="43"/>
        <v>2.7366430424780512</v>
      </c>
      <c r="E48" s="148">
        <f t="shared" si="43"/>
        <v>3.0494654001197108</v>
      </c>
      <c r="F48" s="148">
        <f t="shared" si="43"/>
        <v>2.3971594203881903</v>
      </c>
      <c r="G48" s="148">
        <f t="shared" si="43"/>
        <v>2.2525386313465785</v>
      </c>
      <c r="H48" s="148">
        <f t="shared" si="43"/>
        <v>2.1652462674192292</v>
      </c>
      <c r="I48" s="148">
        <f t="shared" si="43"/>
        <v>2.2200835138490023</v>
      </c>
      <c r="J48" s="148">
        <f t="shared" si="43"/>
        <v>2.1432729707969291</v>
      </c>
      <c r="K48" s="148">
        <f t="shared" si="43"/>
        <v>2.1210649430172781</v>
      </c>
      <c r="L48" s="148">
        <f t="shared" si="43"/>
        <v>2.6911942098914357</v>
      </c>
      <c r="M48" s="148">
        <f t="shared" si="43"/>
        <v>2.5173864678048918</v>
      </c>
      <c r="N48" s="148">
        <f t="shared" si="43"/>
        <v>2.6927725576811516</v>
      </c>
      <c r="O48" s="148">
        <f t="shared" si="43"/>
        <v>2.6131713960862202</v>
      </c>
      <c r="P48" s="148">
        <f t="shared" si="43"/>
        <v>2.3892971411663178</v>
      </c>
      <c r="Q48" s="148">
        <f t="shared" si="43"/>
        <v>2.3549075391180652</v>
      </c>
      <c r="R48" s="148">
        <f t="shared" si="43"/>
        <v>2.6631832797427655</v>
      </c>
      <c r="S48" s="148">
        <f t="shared" si="43"/>
        <v>2.6455787203450751</v>
      </c>
    </row>
    <row r="49" spans="1:52">
      <c r="A49" s="135" t="s">
        <v>294</v>
      </c>
      <c r="B49" s="148">
        <f t="shared" ref="B49:S49" si="44">B39/B35</f>
        <v>4.6702557200538362</v>
      </c>
      <c r="C49" s="148">
        <f t="shared" si="44"/>
        <v>5.2203782631499456</v>
      </c>
      <c r="D49" s="148">
        <f t="shared" si="44"/>
        <v>5.4052701029062096</v>
      </c>
      <c r="E49" s="148">
        <f t="shared" si="44"/>
        <v>4.6160156636833172</v>
      </c>
      <c r="F49" s="148">
        <f t="shared" si="44"/>
        <v>3.989573425383373</v>
      </c>
      <c r="G49" s="148">
        <f t="shared" si="44"/>
        <v>3.7105454545454548</v>
      </c>
      <c r="H49" s="148">
        <f t="shared" si="44"/>
        <v>3.886986638264661</v>
      </c>
      <c r="I49" s="148">
        <f t="shared" si="44"/>
        <v>4.1675595997607155</v>
      </c>
      <c r="J49" s="148">
        <f t="shared" si="44"/>
        <v>3.8273890523163931</v>
      </c>
      <c r="K49" s="148">
        <f t="shared" si="44"/>
        <v>6.3425685897356212</v>
      </c>
      <c r="L49" s="148">
        <f t="shared" si="44"/>
        <v>6.9285714285714279</v>
      </c>
      <c r="M49" s="148">
        <f t="shared" si="44"/>
        <v>6.7030239338654951</v>
      </c>
      <c r="N49" s="148">
        <f t="shared" si="44"/>
        <v>7.5195525065489104</v>
      </c>
      <c r="O49" s="148">
        <f t="shared" si="44"/>
        <v>6.7182760235631722</v>
      </c>
      <c r="P49" s="148">
        <f t="shared" si="44"/>
        <v>6.0318214603886666</v>
      </c>
      <c r="Q49" s="148">
        <f t="shared" si="44"/>
        <v>7.4740406320541766</v>
      </c>
      <c r="R49" s="148">
        <f t="shared" si="44"/>
        <v>8.2825000000000006</v>
      </c>
      <c r="S49" s="148">
        <f t="shared" si="44"/>
        <v>7.7966101694915251</v>
      </c>
    </row>
    <row r="50" spans="1:52">
      <c r="A50" s="151" t="s">
        <v>295</v>
      </c>
      <c r="B50" s="152">
        <v>4.3099999999999996</v>
      </c>
      <c r="C50" s="152">
        <v>3.96</v>
      </c>
      <c r="D50" s="152">
        <v>3.38</v>
      </c>
      <c r="E50" s="152">
        <v>5.47</v>
      </c>
      <c r="F50" s="152">
        <v>5.89</v>
      </c>
      <c r="G50" s="152">
        <v>8.69</v>
      </c>
      <c r="H50" s="152">
        <v>6.73</v>
      </c>
      <c r="I50" s="152">
        <v>6.97</v>
      </c>
      <c r="J50" s="152">
        <v>8.86</v>
      </c>
      <c r="K50" s="152">
        <v>3.94</v>
      </c>
      <c r="L50" s="152">
        <v>4.37</v>
      </c>
      <c r="M50" s="152">
        <v>4</v>
      </c>
      <c r="N50" s="152">
        <v>2.75</v>
      </c>
      <c r="O50" s="152">
        <v>3.73</v>
      </c>
      <c r="P50" s="152">
        <v>4.37</v>
      </c>
      <c r="Q50" s="152">
        <v>2.62</v>
      </c>
      <c r="R50" s="152">
        <v>2.52</v>
      </c>
      <c r="S50" s="152">
        <v>2.99</v>
      </c>
      <c r="T50" s="153">
        <v>3.17</v>
      </c>
      <c r="U50" s="154">
        <v>3.1009139999999999</v>
      </c>
      <c r="V50" s="154">
        <v>3.2473730000000001</v>
      </c>
      <c r="W50" s="154">
        <v>3.243106</v>
      </c>
      <c r="X50" s="154">
        <v>3.3286989999999999</v>
      </c>
      <c r="Y50" s="154">
        <v>3.555844</v>
      </c>
      <c r="Z50" s="154">
        <v>3.8433730000000002</v>
      </c>
      <c r="AA50" s="154">
        <v>4.2030919999999998</v>
      </c>
      <c r="AB50" s="154">
        <v>4.3860200000000003</v>
      </c>
      <c r="AC50" s="154">
        <v>4.5152609999999997</v>
      </c>
      <c r="AD50" s="154">
        <v>4.7172340000000004</v>
      </c>
      <c r="AE50" s="154">
        <v>4.8443019999999999</v>
      </c>
      <c r="AF50" s="154">
        <v>4.998316</v>
      </c>
      <c r="AG50" s="154">
        <v>5.0858949999999998</v>
      </c>
      <c r="AH50" s="154">
        <v>5.3810880000000001</v>
      </c>
      <c r="AI50" s="154">
        <v>5.5818149999999997</v>
      </c>
      <c r="AJ50" s="154">
        <v>5.7655969999999996</v>
      </c>
      <c r="AK50" s="154">
        <v>5.9541279999999999</v>
      </c>
      <c r="AL50" s="154">
        <v>6.2029860000000001</v>
      </c>
      <c r="AM50" s="154">
        <v>6.372522</v>
      </c>
      <c r="AN50" s="154">
        <v>6.53071</v>
      </c>
      <c r="AO50" s="154">
        <v>6.7120879999999996</v>
      </c>
      <c r="AP50" s="154">
        <v>6.9614669999999998</v>
      </c>
      <c r="AQ50" s="154">
        <v>7.0988879999999996</v>
      </c>
      <c r="AR50" s="154">
        <v>7.3333399999999997</v>
      </c>
      <c r="AS50" s="154">
        <v>7.6103139999999998</v>
      </c>
      <c r="AT50" s="154">
        <v>7.9314869999999997</v>
      </c>
      <c r="AU50" s="154">
        <v>8.2524149999999992</v>
      </c>
      <c r="AV50" s="154">
        <v>8.5434590000000004</v>
      </c>
      <c r="AW50" s="154">
        <v>8.8793070000000007</v>
      </c>
      <c r="AX50" s="154">
        <v>9.345243</v>
      </c>
      <c r="AY50" s="154">
        <v>9.767595</v>
      </c>
      <c r="AZ50" s="154">
        <v>10.176351</v>
      </c>
    </row>
    <row r="51" spans="1:52">
      <c r="B51" s="141"/>
      <c r="C51" s="141"/>
      <c r="D51" s="141"/>
      <c r="E51" s="141"/>
      <c r="F51" s="141"/>
      <c r="G51" s="141"/>
      <c r="H51" s="141"/>
      <c r="I51" s="141"/>
      <c r="J51" s="141"/>
      <c r="K51" s="141"/>
      <c r="L51" s="141"/>
      <c r="M51" s="141"/>
      <c r="N51" s="141"/>
      <c r="O51" s="141"/>
      <c r="P51" s="141"/>
      <c r="Q51" s="141"/>
      <c r="R51" s="141"/>
      <c r="S51" s="141"/>
    </row>
    <row r="53" spans="1:52">
      <c r="O53" s="80" t="s">
        <v>288</v>
      </c>
      <c r="P53" s="151" t="s">
        <v>295</v>
      </c>
      <c r="Q53" s="80" t="s">
        <v>266</v>
      </c>
      <c r="R53" s="80" t="s">
        <v>267</v>
      </c>
      <c r="S53" s="80" t="s">
        <v>268</v>
      </c>
      <c r="U53" s="80" t="s">
        <v>296</v>
      </c>
    </row>
    <row r="54" spans="1:52">
      <c r="K54" s="151"/>
      <c r="O54" s="144">
        <v>5.44</v>
      </c>
      <c r="P54" s="152">
        <v>4.3099999999999996</v>
      </c>
      <c r="Q54" s="141">
        <v>59253200</v>
      </c>
      <c r="R54" s="141">
        <v>5059800</v>
      </c>
      <c r="S54" s="141">
        <v>229100</v>
      </c>
    </row>
    <row r="55" spans="1:52">
      <c r="J55" s="144"/>
      <c r="K55" s="152"/>
      <c r="L55" s="141"/>
      <c r="O55" s="144">
        <v>4.55</v>
      </c>
      <c r="P55" s="152">
        <v>3.96</v>
      </c>
      <c r="Q55" s="141">
        <v>59070900</v>
      </c>
      <c r="R55" s="141">
        <v>4889900</v>
      </c>
      <c r="S55" s="141">
        <v>210700</v>
      </c>
      <c r="U55" s="155" t="s">
        <v>297</v>
      </c>
      <c r="V55" s="156"/>
    </row>
    <row r="56" spans="1:52">
      <c r="J56" s="144"/>
      <c r="K56" s="152"/>
      <c r="L56" s="141"/>
      <c r="N56" s="157"/>
      <c r="O56" s="144">
        <v>4.8899999999999997</v>
      </c>
      <c r="P56" s="152">
        <v>3.38</v>
      </c>
      <c r="Q56" s="141">
        <v>60782400</v>
      </c>
      <c r="R56" s="141">
        <v>5016400</v>
      </c>
      <c r="S56" s="141">
        <v>205500</v>
      </c>
      <c r="U56" s="80" t="s">
        <v>298</v>
      </c>
      <c r="V56" s="158">
        <v>0.87959830296704078</v>
      </c>
    </row>
    <row r="57" spans="1:52">
      <c r="J57" s="144"/>
      <c r="K57" s="152"/>
      <c r="L57" s="141"/>
      <c r="O57" s="144">
        <v>3.93</v>
      </c>
      <c r="P57" s="152">
        <v>5.47</v>
      </c>
      <c r="Q57" s="141">
        <v>60344000</v>
      </c>
      <c r="R57" s="141">
        <v>4993000</v>
      </c>
      <c r="S57" s="141">
        <v>197600</v>
      </c>
      <c r="U57" s="80" t="s">
        <v>299</v>
      </c>
      <c r="V57" s="158">
        <v>0.77369317458249798</v>
      </c>
    </row>
    <row r="58" spans="1:52">
      <c r="J58" s="144"/>
      <c r="K58" s="152"/>
      <c r="L58" s="141"/>
      <c r="O58" s="144">
        <v>5.55</v>
      </c>
      <c r="P58" s="152">
        <v>5.89</v>
      </c>
      <c r="Q58" s="141">
        <v>60805500</v>
      </c>
      <c r="R58" s="141">
        <v>4964500</v>
      </c>
      <c r="S58" s="141">
        <v>205300</v>
      </c>
      <c r="U58" s="80" t="s">
        <v>300</v>
      </c>
      <c r="V58" s="158">
        <v>0.70406030522326668</v>
      </c>
    </row>
    <row r="59" spans="1:52">
      <c r="J59" s="144"/>
      <c r="K59" s="152"/>
      <c r="L59" s="141"/>
      <c r="O59" s="144">
        <v>5.0199999999999996</v>
      </c>
      <c r="P59" s="152">
        <v>8.69</v>
      </c>
      <c r="Q59" s="141">
        <v>61463700</v>
      </c>
      <c r="R59" s="141">
        <v>4984700</v>
      </c>
      <c r="S59" s="141">
        <v>197900</v>
      </c>
      <c r="U59" s="80" t="s">
        <v>301</v>
      </c>
      <c r="V59" s="158">
        <v>1.7584446655201955</v>
      </c>
    </row>
    <row r="60" spans="1:52">
      <c r="J60" s="144"/>
      <c r="K60" s="152"/>
      <c r="L60" s="141"/>
      <c r="O60" s="144">
        <v>5.16</v>
      </c>
      <c r="P60" s="152">
        <v>6.73</v>
      </c>
      <c r="Q60" s="141">
        <v>62862600</v>
      </c>
      <c r="R60" s="141">
        <v>5119200</v>
      </c>
      <c r="S60" s="141">
        <v>193700</v>
      </c>
      <c r="U60" s="159" t="s">
        <v>302</v>
      </c>
      <c r="V60" s="160">
        <v>18</v>
      </c>
    </row>
    <row r="61" spans="1:52">
      <c r="J61" s="144"/>
      <c r="K61" s="152"/>
      <c r="L61" s="141"/>
      <c r="N61" s="80"/>
      <c r="O61" s="144">
        <v>4.8499999999999996</v>
      </c>
      <c r="P61" s="152">
        <v>6.97</v>
      </c>
      <c r="Q61" s="141">
        <v>64820800</v>
      </c>
      <c r="R61" s="141">
        <v>5296500</v>
      </c>
      <c r="S61" s="141">
        <v>191200</v>
      </c>
    </row>
    <row r="62" spans="1:52">
      <c r="J62" s="144"/>
      <c r="K62" s="152"/>
      <c r="L62" s="141"/>
      <c r="O62" s="144">
        <v>5.43</v>
      </c>
      <c r="P62" s="152">
        <v>8.86</v>
      </c>
      <c r="Q62" s="141">
        <v>65000800</v>
      </c>
      <c r="R62" s="141">
        <v>5285300</v>
      </c>
      <c r="S62" s="141">
        <v>192700</v>
      </c>
      <c r="U62" s="80" t="s">
        <v>303</v>
      </c>
    </row>
    <row r="63" spans="1:52">
      <c r="J63" s="144"/>
      <c r="K63" s="152"/>
      <c r="L63" s="141"/>
      <c r="O63" s="144">
        <v>4.95</v>
      </c>
      <c r="P63" s="152">
        <v>3.94</v>
      </c>
      <c r="Q63" s="141">
        <v>65180000</v>
      </c>
      <c r="R63" s="141">
        <v>5307400</v>
      </c>
      <c r="S63" s="141">
        <v>198300</v>
      </c>
      <c r="U63" s="156"/>
      <c r="V63" s="155" t="s">
        <v>304</v>
      </c>
      <c r="W63" s="155" t="s">
        <v>305</v>
      </c>
      <c r="X63" s="155" t="s">
        <v>306</v>
      </c>
      <c r="Y63" s="155" t="s">
        <v>307</v>
      </c>
      <c r="Z63" s="155" t="s">
        <v>308</v>
      </c>
    </row>
    <row r="64" spans="1:52">
      <c r="J64" s="144"/>
      <c r="K64" s="152"/>
      <c r="L64" s="141"/>
      <c r="N64" s="161"/>
      <c r="O64" s="144">
        <v>5.67</v>
      </c>
      <c r="P64" s="152">
        <v>4.37</v>
      </c>
      <c r="Q64" s="141">
        <v>65387400</v>
      </c>
      <c r="R64" s="141">
        <v>5285800</v>
      </c>
      <c r="S64" s="141">
        <v>183400</v>
      </c>
      <c r="U64" s="80" t="s">
        <v>309</v>
      </c>
      <c r="V64" s="158">
        <v>4</v>
      </c>
      <c r="W64" s="158">
        <v>137.42694065794637</v>
      </c>
      <c r="X64" s="158">
        <v>34.356735164486594</v>
      </c>
      <c r="Y64" s="158">
        <v>11.111033937019974</v>
      </c>
      <c r="Z64" s="158">
        <v>3.8528351809963279E-4</v>
      </c>
    </row>
    <row r="65" spans="2:29">
      <c r="J65" s="144"/>
      <c r="K65" s="152"/>
      <c r="L65" s="141"/>
      <c r="O65" s="144">
        <v>6.99</v>
      </c>
      <c r="P65" s="152">
        <v>4</v>
      </c>
      <c r="Q65" s="141">
        <v>65804300</v>
      </c>
      <c r="R65" s="141">
        <v>5307000</v>
      </c>
      <c r="S65" s="141">
        <v>182800</v>
      </c>
      <c r="U65" s="80" t="s">
        <v>310</v>
      </c>
      <c r="V65" s="158">
        <v>13</v>
      </c>
      <c r="W65" s="158">
        <v>40.197659342053619</v>
      </c>
      <c r="X65" s="158">
        <v>3.0921276416964321</v>
      </c>
    </row>
    <row r="66" spans="2:29">
      <c r="J66" s="144"/>
      <c r="K66" s="152"/>
      <c r="L66" s="141"/>
      <c r="O66" s="144">
        <v>7.36</v>
      </c>
      <c r="P66" s="152">
        <v>2.75</v>
      </c>
      <c r="Q66" s="141">
        <v>66487000</v>
      </c>
      <c r="R66" s="141">
        <v>5342700</v>
      </c>
      <c r="S66" s="141">
        <v>179600</v>
      </c>
      <c r="U66" s="159" t="s">
        <v>311</v>
      </c>
      <c r="V66" s="160">
        <v>17</v>
      </c>
      <c r="W66" s="160">
        <v>177.62459999999999</v>
      </c>
      <c r="X66" s="162"/>
      <c r="Y66" s="162"/>
      <c r="Z66" s="162"/>
    </row>
    <row r="67" spans="2:29">
      <c r="J67" s="144"/>
      <c r="K67" s="152"/>
      <c r="L67" s="141"/>
      <c r="N67" s="80"/>
      <c r="O67" s="144">
        <v>8</v>
      </c>
      <c r="P67" s="152">
        <v>3.73</v>
      </c>
      <c r="Q67" s="141">
        <v>66574400</v>
      </c>
      <c r="R67" s="141">
        <v>5347800</v>
      </c>
      <c r="S67" s="141">
        <v>182100</v>
      </c>
    </row>
    <row r="68" spans="2:29">
      <c r="J68" s="144"/>
      <c r="K68" s="152"/>
      <c r="L68" s="141"/>
      <c r="O68" s="144">
        <v>9.67</v>
      </c>
      <c r="P68" s="152">
        <v>4.37</v>
      </c>
      <c r="Q68" s="141">
        <v>67068400</v>
      </c>
      <c r="R68" s="141">
        <v>5403000</v>
      </c>
      <c r="S68" s="141">
        <v>182500</v>
      </c>
      <c r="U68" s="156"/>
      <c r="V68" s="155" t="s">
        <v>312</v>
      </c>
      <c r="W68" s="155" t="s">
        <v>301</v>
      </c>
      <c r="X68" s="155" t="s">
        <v>313</v>
      </c>
      <c r="Y68" s="155" t="s">
        <v>314</v>
      </c>
      <c r="Z68" s="155" t="s">
        <v>315</v>
      </c>
      <c r="AA68" s="155" t="s">
        <v>316</v>
      </c>
      <c r="AB68" s="156"/>
      <c r="AC68" s="156"/>
    </row>
    <row r="69" spans="2:29">
      <c r="J69" s="144"/>
      <c r="K69" s="152"/>
      <c r="L69" s="141"/>
      <c r="N69" s="161"/>
      <c r="O69" s="144">
        <v>11.61</v>
      </c>
      <c r="P69" s="152">
        <v>2.62</v>
      </c>
      <c r="Q69" s="141">
        <v>67712100</v>
      </c>
      <c r="R69" s="141">
        <v>5433500</v>
      </c>
      <c r="S69" s="141">
        <v>180600</v>
      </c>
      <c r="T69" s="157"/>
      <c r="U69" s="157" t="s">
        <v>317</v>
      </c>
      <c r="V69" s="163">
        <v>-79.466086684642505</v>
      </c>
      <c r="W69" s="158">
        <v>34.79212850193192</v>
      </c>
      <c r="X69" s="158">
        <v>-2.2840248672980716</v>
      </c>
      <c r="Y69" s="158">
        <v>3.9820991705136054E-2</v>
      </c>
      <c r="Z69" s="158">
        <v>-154.62991044654811</v>
      </c>
      <c r="AA69" s="158">
        <v>-4.3022629227369009</v>
      </c>
    </row>
    <row r="70" spans="2:29">
      <c r="J70" s="144"/>
      <c r="K70" s="152"/>
      <c r="L70" s="141"/>
      <c r="O70" s="144">
        <v>13.43</v>
      </c>
      <c r="P70" s="152">
        <v>2.52</v>
      </c>
      <c r="Q70" s="141">
        <v>68303400</v>
      </c>
      <c r="R70" s="141">
        <v>5460700</v>
      </c>
      <c r="S70" s="141">
        <v>180600</v>
      </c>
      <c r="U70" s="80" t="s">
        <v>295</v>
      </c>
      <c r="V70" s="158">
        <v>-0.50136985007336676</v>
      </c>
      <c r="W70" s="158">
        <v>0.2402482872253115</v>
      </c>
      <c r="X70" s="158">
        <v>-2.086882099613756</v>
      </c>
      <c r="Y70" s="158">
        <v>5.7156256759555948E-2</v>
      </c>
      <c r="Z70" s="158">
        <v>-1.0203947185605098</v>
      </c>
      <c r="AA70" s="158">
        <v>1.7655018413776147E-2</v>
      </c>
    </row>
    <row r="71" spans="2:29">
      <c r="J71" s="144"/>
      <c r="K71" s="152"/>
      <c r="L71" s="141"/>
      <c r="O71" s="144">
        <v>14.88</v>
      </c>
      <c r="P71" s="152">
        <v>2.99</v>
      </c>
      <c r="Q71" s="141">
        <v>68869600</v>
      </c>
      <c r="R71" s="141">
        <v>5445300</v>
      </c>
      <c r="S71" s="141">
        <v>177700</v>
      </c>
      <c r="U71" s="80" t="s">
        <v>266</v>
      </c>
      <c r="V71" s="158">
        <v>3.1840439138078542E-6</v>
      </c>
      <c r="W71" s="158">
        <v>1.1066510762499841E-6</v>
      </c>
      <c r="X71" s="158">
        <v>2.8771886479317015</v>
      </c>
      <c r="Y71" s="158">
        <v>1.2963125557809551E-2</v>
      </c>
      <c r="Z71" s="158">
        <v>7.9326961965800961E-7</v>
      </c>
      <c r="AA71" s="158">
        <v>5.5748182079576987E-6</v>
      </c>
    </row>
    <row r="72" spans="2:29">
      <c r="B72" s="158" t="s">
        <v>281</v>
      </c>
      <c r="C72" s="151" t="s">
        <v>295</v>
      </c>
      <c r="D72" s="80" t="s">
        <v>266</v>
      </c>
      <c r="E72" s="80" t="s">
        <v>267</v>
      </c>
      <c r="F72" s="80" t="s">
        <v>268</v>
      </c>
      <c r="H72" s="80" t="s">
        <v>296</v>
      </c>
      <c r="J72" s="144"/>
      <c r="K72" s="152"/>
      <c r="L72" s="141"/>
      <c r="N72" s="80"/>
      <c r="O72" s="158"/>
      <c r="P72" s="158"/>
      <c r="Q72" s="158"/>
      <c r="R72" s="158"/>
      <c r="S72" s="158"/>
      <c r="T72" s="158"/>
      <c r="U72" s="80" t="s">
        <v>267</v>
      </c>
      <c r="V72" s="158">
        <v>-2.990299908017368E-5</v>
      </c>
      <c r="W72" s="158">
        <v>1.3872105382643547E-5</v>
      </c>
      <c r="X72" s="158">
        <v>-2.1556208127994481</v>
      </c>
      <c r="Y72" s="158">
        <v>5.043580181435537E-2</v>
      </c>
      <c r="Z72" s="158">
        <v>-5.9871860690054895E-5</v>
      </c>
      <c r="AA72" s="158">
        <v>6.58625297075389E-8</v>
      </c>
    </row>
    <row r="73" spans="2:29">
      <c r="B73" s="144">
        <v>35.83</v>
      </c>
      <c r="C73" s="152">
        <v>4.3099999999999996</v>
      </c>
      <c r="D73" s="141">
        <v>59253200</v>
      </c>
      <c r="E73" s="141">
        <v>5059800</v>
      </c>
      <c r="F73" s="141">
        <v>229100</v>
      </c>
      <c r="U73" s="159" t="s">
        <v>268</v>
      </c>
      <c r="V73" s="160">
        <v>2.1021995673653482E-4</v>
      </c>
      <c r="W73" s="160">
        <v>1.0012105430984376E-4</v>
      </c>
      <c r="X73" s="160">
        <v>2.0996578410567768</v>
      </c>
      <c r="Y73" s="160">
        <v>5.5847274912516204E-2</v>
      </c>
      <c r="Z73" s="160">
        <v>-6.0784304283494756E-6</v>
      </c>
      <c r="AA73" s="160">
        <v>4.2651834390141914E-4</v>
      </c>
      <c r="AB73" s="162"/>
      <c r="AC73" s="162"/>
    </row>
    <row r="74" spans="2:29">
      <c r="B74" s="144">
        <v>42.45</v>
      </c>
      <c r="C74" s="152">
        <v>3.96</v>
      </c>
      <c r="D74" s="141">
        <v>59070900</v>
      </c>
      <c r="E74" s="141">
        <v>4889900</v>
      </c>
      <c r="F74" s="141">
        <v>210700</v>
      </c>
      <c r="H74" s="155" t="s">
        <v>297</v>
      </c>
      <c r="I74" s="156"/>
    </row>
    <row r="75" spans="2:29">
      <c r="B75" s="144">
        <v>35.06</v>
      </c>
      <c r="C75" s="152">
        <v>3.38</v>
      </c>
      <c r="D75" s="141">
        <v>60782400</v>
      </c>
      <c r="E75" s="141">
        <v>5016400</v>
      </c>
      <c r="F75" s="141">
        <v>205500</v>
      </c>
      <c r="H75" s="80" t="s">
        <v>298</v>
      </c>
      <c r="I75" s="158">
        <v>0.9259739250154152</v>
      </c>
      <c r="J75" s="151"/>
      <c r="T75" s="80" t="s">
        <v>296</v>
      </c>
    </row>
    <row r="76" spans="2:29">
      <c r="B76" s="144">
        <v>43.66</v>
      </c>
      <c r="C76" s="152">
        <v>5.47</v>
      </c>
      <c r="D76" s="141">
        <v>60344000</v>
      </c>
      <c r="E76" s="141">
        <v>4993000</v>
      </c>
      <c r="F76" s="141">
        <v>197600</v>
      </c>
      <c r="H76" s="80" t="s">
        <v>299</v>
      </c>
      <c r="I76" s="158">
        <v>0.85742770980845384</v>
      </c>
    </row>
    <row r="77" spans="2:29">
      <c r="B77" s="144">
        <v>47.27</v>
      </c>
      <c r="C77" s="152">
        <v>5.89</v>
      </c>
      <c r="D77" s="141">
        <v>60805500</v>
      </c>
      <c r="E77" s="141">
        <v>4964500</v>
      </c>
      <c r="F77" s="141">
        <v>205300</v>
      </c>
      <c r="H77" s="80" t="s">
        <v>300</v>
      </c>
      <c r="I77" s="158">
        <v>0.81355931282643956</v>
      </c>
      <c r="M77" s="157"/>
      <c r="N77" s="161"/>
      <c r="T77" s="155" t="s">
        <v>297</v>
      </c>
      <c r="U77" s="156"/>
    </row>
    <row r="78" spans="2:29">
      <c r="B78" s="144">
        <v>55.68</v>
      </c>
      <c r="C78" s="152">
        <v>8.69</v>
      </c>
      <c r="D78" s="141">
        <v>61463700</v>
      </c>
      <c r="E78" s="141">
        <v>4984700</v>
      </c>
      <c r="F78" s="141">
        <v>197900</v>
      </c>
      <c r="H78" s="80" t="s">
        <v>301</v>
      </c>
      <c r="I78" s="158">
        <v>3.1659965859495234</v>
      </c>
      <c r="T78" s="80" t="s">
        <v>298</v>
      </c>
      <c r="U78" s="158">
        <v>0.83483414646998566</v>
      </c>
    </row>
    <row r="79" spans="2:29">
      <c r="B79" s="144">
        <v>53.96</v>
      </c>
      <c r="C79" s="152">
        <v>6.73</v>
      </c>
      <c r="D79" s="141">
        <v>62862600</v>
      </c>
      <c r="E79" s="141">
        <v>5119200</v>
      </c>
      <c r="F79" s="141">
        <v>193700</v>
      </c>
      <c r="H79" s="159" t="s">
        <v>302</v>
      </c>
      <c r="I79" s="160">
        <v>18</v>
      </c>
      <c r="T79" s="80" t="s">
        <v>299</v>
      </c>
      <c r="U79" s="158">
        <v>0.6969480521122694</v>
      </c>
    </row>
    <row r="80" spans="2:29">
      <c r="B80" s="144">
        <v>55.03</v>
      </c>
      <c r="C80" s="152">
        <v>6.97</v>
      </c>
      <c r="D80" s="141">
        <v>64820800</v>
      </c>
      <c r="E80" s="141">
        <v>5296500</v>
      </c>
      <c r="F80" s="141">
        <v>191200</v>
      </c>
      <c r="T80" s="80" t="s">
        <v>300</v>
      </c>
      <c r="U80" s="158">
        <v>0.63200834899347003</v>
      </c>
    </row>
    <row r="81" spans="2:29">
      <c r="B81" s="144">
        <v>60.19</v>
      </c>
      <c r="C81" s="152">
        <v>8.86</v>
      </c>
      <c r="D81" s="141">
        <v>65000800</v>
      </c>
      <c r="E81" s="141">
        <v>5285300</v>
      </c>
      <c r="F81" s="141">
        <v>192700</v>
      </c>
      <c r="H81" s="80" t="s">
        <v>303</v>
      </c>
      <c r="T81" s="80" t="s">
        <v>301</v>
      </c>
      <c r="U81" s="158">
        <v>1.9608577026899476</v>
      </c>
    </row>
    <row r="82" spans="2:29">
      <c r="B82" s="144">
        <v>50.5</v>
      </c>
      <c r="C82" s="152">
        <v>3.94</v>
      </c>
      <c r="D82" s="141">
        <v>65180000</v>
      </c>
      <c r="E82" s="141">
        <v>5307400</v>
      </c>
      <c r="F82" s="141">
        <v>198300</v>
      </c>
      <c r="H82" s="156"/>
      <c r="I82" s="155" t="s">
        <v>304</v>
      </c>
      <c r="J82" s="155" t="s">
        <v>305</v>
      </c>
      <c r="K82" s="155" t="s">
        <v>306</v>
      </c>
      <c r="L82" s="155" t="s">
        <v>307</v>
      </c>
      <c r="M82" s="155" t="s">
        <v>308</v>
      </c>
      <c r="N82" s="158"/>
      <c r="T82" s="159" t="s">
        <v>302</v>
      </c>
      <c r="U82" s="160">
        <v>18</v>
      </c>
    </row>
    <row r="83" spans="2:29">
      <c r="B83" s="144">
        <v>47.23</v>
      </c>
      <c r="C83" s="152">
        <v>4.37</v>
      </c>
      <c r="D83" s="141">
        <v>65387400</v>
      </c>
      <c r="E83" s="141">
        <v>5285800</v>
      </c>
      <c r="F83" s="141">
        <v>183400</v>
      </c>
      <c r="H83" s="80" t="s">
        <v>309</v>
      </c>
      <c r="I83" s="158">
        <v>4</v>
      </c>
      <c r="J83" s="158">
        <v>783.65809747527169</v>
      </c>
      <c r="K83" s="158">
        <v>195.91452436881792</v>
      </c>
      <c r="L83" s="158">
        <v>19.545453419690588</v>
      </c>
      <c r="M83" s="158">
        <v>2.0845410791503483E-5</v>
      </c>
    </row>
    <row r="84" spans="2:29">
      <c r="B84" s="144">
        <v>45.05</v>
      </c>
      <c r="C84" s="152">
        <v>4</v>
      </c>
      <c r="D84" s="141">
        <v>65804300</v>
      </c>
      <c r="E84" s="141">
        <v>5307000</v>
      </c>
      <c r="F84" s="141">
        <v>182800</v>
      </c>
      <c r="H84" s="80" t="s">
        <v>310</v>
      </c>
      <c r="I84" s="158">
        <v>13</v>
      </c>
      <c r="J84" s="158">
        <v>130.30594696917251</v>
      </c>
      <c r="K84" s="158">
        <v>10.023534382244039</v>
      </c>
      <c r="T84" s="80" t="s">
        <v>303</v>
      </c>
    </row>
    <row r="85" spans="2:29">
      <c r="B85" s="144">
        <v>37.700000000000003</v>
      </c>
      <c r="C85" s="152">
        <v>2.75</v>
      </c>
      <c r="D85" s="141">
        <v>66487000</v>
      </c>
      <c r="E85" s="141">
        <v>5342700</v>
      </c>
      <c r="F85" s="141">
        <v>179600</v>
      </c>
      <c r="H85" s="159" t="s">
        <v>311</v>
      </c>
      <c r="I85" s="160">
        <v>17</v>
      </c>
      <c r="J85" s="160">
        <v>913.9640444444442</v>
      </c>
      <c r="K85" s="162"/>
      <c r="L85" s="162"/>
      <c r="M85" s="164"/>
      <c r="N85" s="157"/>
      <c r="O85" s="157"/>
      <c r="P85" s="157"/>
      <c r="Q85" s="157"/>
      <c r="R85" s="157"/>
      <c r="T85" s="156"/>
      <c r="U85" s="155" t="s">
        <v>304</v>
      </c>
      <c r="V85" s="155" t="s">
        <v>305</v>
      </c>
      <c r="W85" s="155" t="s">
        <v>306</v>
      </c>
      <c r="X85" s="155" t="s">
        <v>307</v>
      </c>
      <c r="Y85" s="155" t="s">
        <v>308</v>
      </c>
    </row>
    <row r="86" spans="2:29">
      <c r="B86" s="144">
        <v>42.94</v>
      </c>
      <c r="C86" s="152">
        <v>3.73</v>
      </c>
      <c r="D86" s="141">
        <v>66574400</v>
      </c>
      <c r="E86" s="141">
        <v>5347800</v>
      </c>
      <c r="F86" s="141">
        <v>182100</v>
      </c>
      <c r="T86" s="80" t="s">
        <v>309</v>
      </c>
      <c r="U86" s="158">
        <v>3</v>
      </c>
      <c r="V86" s="158">
        <v>123.79511897722099</v>
      </c>
      <c r="W86" s="158">
        <v>41.265039659073665</v>
      </c>
      <c r="X86" s="158">
        <v>10.732233420243489</v>
      </c>
      <c r="Y86" s="158">
        <v>6.3215325777798981E-4</v>
      </c>
    </row>
    <row r="87" spans="2:29">
      <c r="B87" s="144">
        <v>47.2</v>
      </c>
      <c r="C87" s="152">
        <v>4.37</v>
      </c>
      <c r="D87" s="141">
        <v>67068400</v>
      </c>
      <c r="E87" s="141">
        <v>5403000</v>
      </c>
      <c r="F87" s="141">
        <v>182500</v>
      </c>
      <c r="H87" s="156"/>
      <c r="I87" s="155" t="s">
        <v>312</v>
      </c>
      <c r="J87" s="155" t="s">
        <v>301</v>
      </c>
      <c r="K87" s="155" t="s">
        <v>313</v>
      </c>
      <c r="L87" s="155" t="s">
        <v>314</v>
      </c>
      <c r="M87" s="155" t="s">
        <v>315</v>
      </c>
      <c r="N87" s="155" t="s">
        <v>316</v>
      </c>
      <c r="O87" s="156"/>
      <c r="P87" s="156"/>
      <c r="T87" s="80" t="s">
        <v>310</v>
      </c>
      <c r="U87" s="158">
        <v>14</v>
      </c>
      <c r="V87" s="158">
        <v>53.829481022778992</v>
      </c>
      <c r="W87" s="158">
        <v>3.8449629301984993</v>
      </c>
    </row>
    <row r="88" spans="2:29">
      <c r="B88" s="144">
        <v>40.450000000000003</v>
      </c>
      <c r="C88" s="152">
        <v>2.62</v>
      </c>
      <c r="D88" s="141">
        <v>67712100</v>
      </c>
      <c r="E88" s="141">
        <v>5433500</v>
      </c>
      <c r="F88" s="141">
        <v>180600</v>
      </c>
      <c r="H88" s="80" t="s">
        <v>317</v>
      </c>
      <c r="I88" s="158">
        <v>-18.969476892496459</v>
      </c>
      <c r="J88" s="158">
        <v>62.641584472291427</v>
      </c>
      <c r="K88" s="158">
        <v>-0.30282562378171207</v>
      </c>
      <c r="L88" s="158">
        <v>0.76681401107267488</v>
      </c>
      <c r="M88" s="80">
        <v>-154.29839231600644</v>
      </c>
      <c r="N88" s="158">
        <v>116.35943853101352</v>
      </c>
      <c r="O88" s="158"/>
      <c r="T88" s="159" t="s">
        <v>311</v>
      </c>
      <c r="U88" s="160">
        <v>17</v>
      </c>
      <c r="V88" s="160">
        <v>177.62459999999999</v>
      </c>
      <c r="W88" s="162"/>
      <c r="X88" s="162"/>
      <c r="Y88" s="162"/>
    </row>
    <row r="89" spans="2:29">
      <c r="B89" s="144">
        <v>37.130000000000003</v>
      </c>
      <c r="C89" s="152">
        <v>2.52</v>
      </c>
      <c r="D89" s="141">
        <v>68303400</v>
      </c>
      <c r="E89" s="141">
        <v>5460700</v>
      </c>
      <c r="F89" s="141">
        <v>180600</v>
      </c>
      <c r="H89" s="80" t="s">
        <v>295</v>
      </c>
      <c r="I89" s="158">
        <v>3.7217689177472408</v>
      </c>
      <c r="J89" s="158">
        <v>0.43255569654820114</v>
      </c>
      <c r="K89" s="158">
        <v>8.6041380276505315</v>
      </c>
      <c r="L89" s="158">
        <v>9.9893641973153487E-7</v>
      </c>
      <c r="M89" s="158">
        <v>2.787289150556453</v>
      </c>
      <c r="N89" s="158">
        <v>4.6562486849380287</v>
      </c>
    </row>
    <row r="90" spans="2:29">
      <c r="B90" s="144">
        <v>41.05</v>
      </c>
      <c r="C90" s="152">
        <v>2.99</v>
      </c>
      <c r="D90" s="141">
        <v>68869600</v>
      </c>
      <c r="E90" s="141">
        <v>5445300</v>
      </c>
      <c r="F90" s="141">
        <v>177700</v>
      </c>
      <c r="H90" s="159" t="s">
        <v>266</v>
      </c>
      <c r="I90" s="160">
        <v>1.2749869799022137E-6</v>
      </c>
      <c r="J90" s="160">
        <v>1.9924730063702856E-6</v>
      </c>
      <c r="K90" s="160">
        <v>0.63990175817983819</v>
      </c>
      <c r="L90" s="160">
        <v>0.53335222084937617</v>
      </c>
      <c r="M90" s="165">
        <v>-3.0294892435876617E-6</v>
      </c>
      <c r="N90" s="166">
        <v>5.5794632033920892E-6</v>
      </c>
      <c r="O90" s="166"/>
      <c r="P90" s="166"/>
      <c r="Q90" s="157"/>
      <c r="R90" s="157"/>
      <c r="S90" s="157"/>
      <c r="T90" s="156"/>
      <c r="U90" s="155" t="s">
        <v>312</v>
      </c>
      <c r="V90" s="155" t="s">
        <v>301</v>
      </c>
      <c r="W90" s="155" t="s">
        <v>313</v>
      </c>
      <c r="X90" s="155" t="s">
        <v>314</v>
      </c>
      <c r="Y90" s="155" t="s">
        <v>315</v>
      </c>
      <c r="Z90" s="155" t="s">
        <v>316</v>
      </c>
      <c r="AA90" s="156"/>
      <c r="AB90" s="156"/>
    </row>
    <row r="91" spans="2:29">
      <c r="H91" s="80" t="s">
        <v>267</v>
      </c>
      <c r="I91" s="158">
        <v>-7.2029299975073791E-6</v>
      </c>
      <c r="J91" s="158">
        <v>2.4976070696196197E-5</v>
      </c>
      <c r="K91" s="158">
        <v>-0.28839324188029186</v>
      </c>
      <c r="L91" s="158">
        <v>0.77759265595533844</v>
      </c>
      <c r="M91" s="158">
        <v>-6.1160450186866996E-5</v>
      </c>
      <c r="N91" s="158">
        <v>4.6754590191852245E-5</v>
      </c>
      <c r="T91" s="80" t="s">
        <v>317</v>
      </c>
      <c r="U91" s="158">
        <v>-17.858860149659449</v>
      </c>
      <c r="V91" s="158">
        <v>20.848784674089455</v>
      </c>
      <c r="W91" s="158">
        <v>-0.85658998492387728</v>
      </c>
      <c r="X91" s="158">
        <v>0.40609524417827753</v>
      </c>
      <c r="Y91" s="158">
        <v>-62.57505584033953</v>
      </c>
      <c r="Z91" s="158">
        <v>26.857335541020632</v>
      </c>
    </row>
    <row r="92" spans="2:29">
      <c r="H92" s="80" t="s">
        <v>268</v>
      </c>
      <c r="I92" s="158">
        <v>1.2812684339058578E-5</v>
      </c>
      <c r="J92" s="158">
        <v>1.8026323053666295E-4</v>
      </c>
      <c r="K92" s="158">
        <v>7.1077636303941982E-2</v>
      </c>
      <c r="L92" s="158">
        <v>0.94441779115243107</v>
      </c>
      <c r="M92" s="158">
        <v>-3.766223480722852E-4</v>
      </c>
      <c r="N92" s="158">
        <v>4.0224771675040236E-4</v>
      </c>
      <c r="T92" s="80" t="s">
        <v>295</v>
      </c>
      <c r="U92" s="158">
        <v>-0.5503033164469997</v>
      </c>
      <c r="V92" s="158">
        <v>0.26663956980840481</v>
      </c>
      <c r="W92" s="158">
        <v>-2.0638471508276992</v>
      </c>
      <c r="X92" s="158">
        <v>5.808159212369169E-2</v>
      </c>
      <c r="Y92" s="158">
        <v>-1.1221883144847622</v>
      </c>
      <c r="Z92" s="158">
        <v>2.1581681590762791E-2</v>
      </c>
    </row>
    <row r="93" spans="2:29">
      <c r="R93" s="158"/>
      <c r="S93" s="158"/>
      <c r="T93" s="158"/>
      <c r="U93" s="80" t="s">
        <v>266</v>
      </c>
      <c r="V93" s="158">
        <v>1.2018543642882372E-6</v>
      </c>
      <c r="W93" s="158">
        <v>6.4390967296036672E-7</v>
      </c>
      <c r="X93" s="158">
        <v>1.8664952783869928</v>
      </c>
      <c r="Y93" s="158">
        <v>8.3057179292932062E-2</v>
      </c>
      <c r="Z93" s="158">
        <v>-1.7919452624979485E-7</v>
      </c>
      <c r="AA93" s="158">
        <v>2.5829032548262692E-6</v>
      </c>
    </row>
    <row r="94" spans="2:29">
      <c r="H94" s="157"/>
      <c r="I94" s="161"/>
      <c r="U94" s="159" t="s">
        <v>267</v>
      </c>
      <c r="V94" s="160">
        <v>-9.5076661288141795E-6</v>
      </c>
      <c r="W94" s="160">
        <v>1.1043538852084415E-5</v>
      </c>
      <c r="X94" s="160">
        <v>-0.86092567393102015</v>
      </c>
      <c r="Y94" s="160">
        <v>0.40378297284847975</v>
      </c>
      <c r="Z94" s="160">
        <v>-3.3193701173396572E-5</v>
      </c>
      <c r="AA94" s="160">
        <v>1.4178368915768216E-5</v>
      </c>
      <c r="AB94" s="162"/>
      <c r="AC94" s="162"/>
    </row>
    <row r="96" spans="2:29">
      <c r="U96" s="80" t="s">
        <v>296</v>
      </c>
    </row>
    <row r="98" spans="8:29">
      <c r="U98" s="155" t="s">
        <v>297</v>
      </c>
      <c r="V98" s="156"/>
    </row>
    <row r="99" spans="8:29">
      <c r="H99" s="80"/>
      <c r="I99" s="158"/>
      <c r="U99" s="80" t="s">
        <v>298</v>
      </c>
      <c r="V99" s="158">
        <v>0.82516893254748236</v>
      </c>
    </row>
    <row r="100" spans="8:29">
      <c r="U100" s="80" t="s">
        <v>299</v>
      </c>
      <c r="V100" s="158">
        <v>0.68090376724155144</v>
      </c>
    </row>
    <row r="101" spans="8:29">
      <c r="U101" s="80" t="s">
        <v>300</v>
      </c>
      <c r="V101" s="158">
        <v>0.63835760287375831</v>
      </c>
    </row>
    <row r="102" spans="8:29">
      <c r="H102" s="161"/>
      <c r="I102" s="157"/>
      <c r="J102" s="157"/>
      <c r="K102" s="157"/>
      <c r="L102" s="157"/>
      <c r="M102" s="157"/>
      <c r="U102" s="80" t="s">
        <v>301</v>
      </c>
      <c r="V102" s="158">
        <v>1.9438679774310177</v>
      </c>
    </row>
    <row r="103" spans="8:29">
      <c r="U103" s="159" t="s">
        <v>302</v>
      </c>
      <c r="V103" s="160">
        <v>18</v>
      </c>
    </row>
    <row r="105" spans="8:29">
      <c r="H105" s="80"/>
      <c r="I105" s="158"/>
      <c r="J105" s="158"/>
      <c r="U105" s="80" t="s">
        <v>303</v>
      </c>
    </row>
    <row r="106" spans="8:29">
      <c r="U106" s="156"/>
      <c r="V106" s="155" t="s">
        <v>304</v>
      </c>
      <c r="W106" s="155" t="s">
        <v>305</v>
      </c>
      <c r="X106" s="155" t="s">
        <v>306</v>
      </c>
      <c r="Y106" s="155" t="s">
        <v>307</v>
      </c>
      <c r="Z106" s="155" t="s">
        <v>308</v>
      </c>
    </row>
    <row r="107" spans="8:29">
      <c r="H107" s="161"/>
      <c r="I107" s="157"/>
      <c r="J107" s="157"/>
      <c r="K107" s="157"/>
      <c r="L107" s="157"/>
      <c r="M107" s="157"/>
      <c r="N107" s="157"/>
      <c r="O107" s="161"/>
      <c r="P107" s="161"/>
      <c r="U107" s="80" t="s">
        <v>309</v>
      </c>
      <c r="V107" s="158">
        <v>2</v>
      </c>
      <c r="W107" s="158">
        <v>120.94525929477365</v>
      </c>
      <c r="X107" s="158">
        <v>60.472629647386825</v>
      </c>
      <c r="Y107" s="158">
        <v>16.003881368845224</v>
      </c>
      <c r="Z107" s="158">
        <v>1.9028851510438649E-4</v>
      </c>
    </row>
    <row r="108" spans="8:29">
      <c r="U108" s="80" t="s">
        <v>310</v>
      </c>
      <c r="V108" s="158">
        <v>15</v>
      </c>
      <c r="W108" s="158">
        <v>56.67934070522633</v>
      </c>
      <c r="X108" s="158">
        <v>3.7786227136817554</v>
      </c>
    </row>
    <row r="109" spans="8:29">
      <c r="U109" s="159" t="s">
        <v>311</v>
      </c>
      <c r="V109" s="160">
        <v>17</v>
      </c>
      <c r="W109" s="160">
        <v>177.62459999999999</v>
      </c>
      <c r="X109" s="162"/>
      <c r="Y109" s="162"/>
      <c r="Z109" s="162"/>
    </row>
    <row r="111" spans="8:29">
      <c r="U111" s="156"/>
      <c r="V111" s="155" t="s">
        <v>312</v>
      </c>
      <c r="W111" s="155" t="s">
        <v>301</v>
      </c>
      <c r="X111" s="155" t="s">
        <v>313</v>
      </c>
      <c r="Y111" s="155" t="s">
        <v>314</v>
      </c>
      <c r="Z111" s="155" t="s">
        <v>315</v>
      </c>
      <c r="AA111" s="155" t="s">
        <v>316</v>
      </c>
      <c r="AB111" s="156"/>
      <c r="AC111" s="156"/>
    </row>
    <row r="112" spans="8:29">
      <c r="H112" s="80"/>
      <c r="I112" s="158"/>
      <c r="J112" s="158"/>
      <c r="K112" s="158"/>
      <c r="L112" s="158"/>
      <c r="M112" s="158"/>
      <c r="N112" s="158"/>
      <c r="U112" s="80" t="s">
        <v>317</v>
      </c>
      <c r="V112" s="158">
        <v>-33.195851278665486</v>
      </c>
      <c r="W112" s="158">
        <v>10.737319325100648</v>
      </c>
      <c r="X112" s="158">
        <v>-3.0916330485825725</v>
      </c>
      <c r="Y112" s="158">
        <v>7.4433487657566966E-3</v>
      </c>
      <c r="Z112" s="158">
        <v>-56.081905568945494</v>
      </c>
      <c r="AA112" s="158">
        <v>-10.309796988385479</v>
      </c>
    </row>
    <row r="113" spans="21:29">
      <c r="U113" s="80" t="s">
        <v>295</v>
      </c>
      <c r="V113" s="158">
        <v>-0.50999890123284786</v>
      </c>
      <c r="W113" s="158">
        <v>0.26022322308620505</v>
      </c>
      <c r="X113" s="158">
        <v>-1.9598516042663063</v>
      </c>
      <c r="Y113" s="158">
        <v>6.8862958180892705E-2</v>
      </c>
      <c r="Z113" s="158">
        <v>-1.0646515692614864</v>
      </c>
      <c r="AA113" s="158">
        <v>4.4653766795790695E-2</v>
      </c>
    </row>
    <row r="114" spans="21:29">
      <c r="U114" s="159" t="s">
        <v>266</v>
      </c>
      <c r="V114" s="160">
        <v>6.6494380168072157E-7</v>
      </c>
      <c r="W114" s="160">
        <v>1.5888809679733664E-7</v>
      </c>
      <c r="X114" s="160">
        <v>4.1849818525352722</v>
      </c>
      <c r="Y114" s="160">
        <v>7.9671472443361717E-4</v>
      </c>
      <c r="Z114" s="160">
        <v>3.262818415318344E-7</v>
      </c>
      <c r="AA114" s="160">
        <v>1.0036057618296087E-6</v>
      </c>
      <c r="AB114" s="162"/>
      <c r="AC114" s="162"/>
    </row>
  </sheetData>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H99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609375" defaultRowHeight="15" customHeight="1"/>
  <cols>
    <col min="1" max="1" width="54.15234375" customWidth="1"/>
    <col min="2" max="3" width="8.84375" customWidth="1"/>
    <col min="4" max="4" width="9.3046875" customWidth="1"/>
    <col min="5" max="6" width="8.69140625" customWidth="1"/>
    <col min="7" max="12" width="8.84375" customWidth="1"/>
    <col min="13" max="60" width="8.69140625" customWidth="1"/>
  </cols>
  <sheetData>
    <row r="1" spans="1:52" ht="14.6">
      <c r="A1" s="191" t="s">
        <v>370</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row>
    <row r="2" spans="1:52" ht="14.6">
      <c r="A2" s="191">
        <v>0</v>
      </c>
      <c r="B2" s="42">
        <v>2000</v>
      </c>
      <c r="C2" s="42">
        <v>2001</v>
      </c>
      <c r="D2" s="42">
        <v>2002</v>
      </c>
      <c r="E2" s="42">
        <v>2003</v>
      </c>
      <c r="F2" s="42">
        <v>2004</v>
      </c>
      <c r="G2" s="42">
        <v>2005</v>
      </c>
      <c r="H2" s="42">
        <v>2006</v>
      </c>
      <c r="I2" s="42">
        <v>2007</v>
      </c>
      <c r="J2" s="42">
        <v>2008</v>
      </c>
      <c r="K2" s="42">
        <v>2009</v>
      </c>
      <c r="L2" s="42">
        <v>2010</v>
      </c>
      <c r="M2" s="42">
        <v>2011</v>
      </c>
      <c r="N2" s="42">
        <v>2012</v>
      </c>
      <c r="O2" s="42">
        <v>2013</v>
      </c>
      <c r="P2" s="42">
        <v>2014</v>
      </c>
      <c r="Q2" s="42">
        <v>2015</v>
      </c>
      <c r="R2" s="42">
        <v>2016</v>
      </c>
      <c r="S2" s="42">
        <v>2017</v>
      </c>
      <c r="T2" s="42">
        <v>2018</v>
      </c>
      <c r="U2" s="42">
        <v>2019</v>
      </c>
      <c r="V2" s="42">
        <v>2020</v>
      </c>
      <c r="W2" s="42">
        <v>2021</v>
      </c>
      <c r="X2" s="42">
        <v>2022</v>
      </c>
      <c r="Y2" s="42">
        <v>2023</v>
      </c>
      <c r="Z2" s="42">
        <v>2024</v>
      </c>
      <c r="AA2" s="42">
        <v>2025</v>
      </c>
      <c r="AB2" s="42">
        <v>2026</v>
      </c>
      <c r="AC2" s="42">
        <v>2027</v>
      </c>
      <c r="AD2" s="42">
        <v>2028</v>
      </c>
      <c r="AE2" s="42">
        <v>2029</v>
      </c>
      <c r="AF2" s="42">
        <v>2030</v>
      </c>
      <c r="AG2" s="42">
        <v>2031</v>
      </c>
      <c r="AH2" s="42">
        <v>2032</v>
      </c>
      <c r="AI2" s="42">
        <v>2033</v>
      </c>
      <c r="AJ2" s="42">
        <v>2034</v>
      </c>
      <c r="AK2" s="42">
        <v>2035</v>
      </c>
      <c r="AL2" s="42">
        <v>2036</v>
      </c>
      <c r="AM2" s="42">
        <v>2037</v>
      </c>
      <c r="AN2" s="42">
        <v>2038</v>
      </c>
      <c r="AO2" s="42">
        <v>2039</v>
      </c>
      <c r="AP2" s="42">
        <v>2040</v>
      </c>
      <c r="AQ2" s="42">
        <v>2041</v>
      </c>
      <c r="AR2" s="42">
        <v>2042</v>
      </c>
      <c r="AS2" s="42">
        <v>2043</v>
      </c>
      <c r="AT2" s="42">
        <v>2044</v>
      </c>
      <c r="AU2" s="42">
        <v>2045</v>
      </c>
      <c r="AV2" s="42">
        <v>2046</v>
      </c>
      <c r="AW2" s="42">
        <v>2047</v>
      </c>
      <c r="AX2" s="42">
        <v>2048</v>
      </c>
      <c r="AY2" s="42">
        <v>2049</v>
      </c>
      <c r="AZ2" s="42">
        <v>2050</v>
      </c>
    </row>
    <row r="3" spans="1:52" ht="14.6">
      <c r="A3" s="192" t="s">
        <v>371</v>
      </c>
      <c r="B3" s="147">
        <v>0.83291213900000005</v>
      </c>
      <c r="C3" s="147">
        <v>0.80614683899999995</v>
      </c>
      <c r="D3" s="147">
        <v>0.75008468299999997</v>
      </c>
      <c r="E3" s="147">
        <v>0.78258724999999996</v>
      </c>
      <c r="F3" s="147">
        <v>0.86945081499999999</v>
      </c>
      <c r="G3" s="147">
        <v>0.93978501199999998</v>
      </c>
      <c r="H3" s="147">
        <v>1.076807796</v>
      </c>
      <c r="I3" s="147">
        <v>1.137262158</v>
      </c>
      <c r="J3" s="147">
        <v>1.26793461</v>
      </c>
      <c r="K3" s="147">
        <v>1.3101326179999999</v>
      </c>
      <c r="L3" s="147">
        <v>1.3877201130000001</v>
      </c>
      <c r="M3" s="147">
        <v>1.4143564870000001</v>
      </c>
      <c r="N3" s="147">
        <v>1.48579806</v>
      </c>
      <c r="O3" s="147">
        <v>1.523672487</v>
      </c>
      <c r="P3" s="147">
        <v>1.6469547099999999</v>
      </c>
      <c r="Q3" s="147">
        <v>1.643100142</v>
      </c>
      <c r="R3" s="147">
        <v>1.7447089179999999</v>
      </c>
      <c r="S3" s="193">
        <f t="shared" ref="S3:AZ3" si="0">-129+6.97*LN(S93)</f>
        <v>1.319899681238951</v>
      </c>
      <c r="T3" s="193">
        <f t="shared" si="0"/>
        <v>1.319899681238951</v>
      </c>
      <c r="U3" s="193">
        <f t="shared" si="0"/>
        <v>1.319899681238951</v>
      </c>
      <c r="V3" s="193">
        <f t="shared" si="0"/>
        <v>1.319899681238951</v>
      </c>
      <c r="W3" s="193">
        <f t="shared" si="0"/>
        <v>1.319899681238951</v>
      </c>
      <c r="X3" s="193">
        <f t="shared" si="0"/>
        <v>1.319899681238951</v>
      </c>
      <c r="Y3" s="193">
        <f t="shared" si="0"/>
        <v>1.319899681238951</v>
      </c>
      <c r="Z3" s="193">
        <f t="shared" si="0"/>
        <v>1.319899681238951</v>
      </c>
      <c r="AA3" s="193">
        <f t="shared" si="0"/>
        <v>1.319899681238951</v>
      </c>
      <c r="AB3" s="193">
        <f t="shared" si="0"/>
        <v>1.319899681238951</v>
      </c>
      <c r="AC3" s="193">
        <f t="shared" si="0"/>
        <v>1.319899681238951</v>
      </c>
      <c r="AD3" s="193">
        <f t="shared" si="0"/>
        <v>1.319899681238951</v>
      </c>
      <c r="AE3" s="193">
        <f t="shared" si="0"/>
        <v>1.319899681238951</v>
      </c>
      <c r="AF3" s="193">
        <f t="shared" si="0"/>
        <v>1.319899681238951</v>
      </c>
      <c r="AG3" s="193">
        <f t="shared" si="0"/>
        <v>1.319899681238951</v>
      </c>
      <c r="AH3" s="193">
        <f t="shared" si="0"/>
        <v>1.319899681238951</v>
      </c>
      <c r="AI3" s="193">
        <f t="shared" si="0"/>
        <v>1.319899681238951</v>
      </c>
      <c r="AJ3" s="193">
        <f t="shared" si="0"/>
        <v>1.319899681238951</v>
      </c>
      <c r="AK3" s="193">
        <f t="shared" si="0"/>
        <v>1.319899681238951</v>
      </c>
      <c r="AL3" s="193">
        <f t="shared" si="0"/>
        <v>1.319899681238951</v>
      </c>
      <c r="AM3" s="193">
        <f t="shared" si="0"/>
        <v>1.319899681238951</v>
      </c>
      <c r="AN3" s="193">
        <f t="shared" si="0"/>
        <v>1.319899681238951</v>
      </c>
      <c r="AO3" s="193">
        <f t="shared" si="0"/>
        <v>1.319899681238951</v>
      </c>
      <c r="AP3" s="193">
        <f t="shared" si="0"/>
        <v>1.319899681238951</v>
      </c>
      <c r="AQ3" s="193">
        <f t="shared" si="0"/>
        <v>1.319899681238951</v>
      </c>
      <c r="AR3" s="193">
        <f t="shared" si="0"/>
        <v>1.319899681238951</v>
      </c>
      <c r="AS3" s="193">
        <f t="shared" si="0"/>
        <v>1.319899681238951</v>
      </c>
      <c r="AT3" s="193">
        <f t="shared" si="0"/>
        <v>1.319899681238951</v>
      </c>
      <c r="AU3" s="193">
        <f t="shared" si="0"/>
        <v>1.319899681238951</v>
      </c>
      <c r="AV3" s="193">
        <f t="shared" si="0"/>
        <v>1.319899681238951</v>
      </c>
      <c r="AW3" s="193">
        <f t="shared" si="0"/>
        <v>1.319899681238951</v>
      </c>
      <c r="AX3" s="193">
        <f t="shared" si="0"/>
        <v>1.319899681238951</v>
      </c>
      <c r="AY3" s="193">
        <f t="shared" si="0"/>
        <v>1.319899681238951</v>
      </c>
      <c r="AZ3" s="193">
        <f t="shared" si="0"/>
        <v>1.319899681238951</v>
      </c>
    </row>
    <row r="4" spans="1:52" ht="14.6">
      <c r="A4" s="192" t="s">
        <v>373</v>
      </c>
      <c r="B4" s="147">
        <v>2.8809497789999998</v>
      </c>
      <c r="C4" s="147">
        <v>3.5546116959999998</v>
      </c>
      <c r="D4" s="147">
        <v>3.7083026870000002</v>
      </c>
      <c r="E4" s="147">
        <v>3.9827134000000002</v>
      </c>
      <c r="F4" s="147">
        <v>4.7130735509999999</v>
      </c>
      <c r="G4" s="147">
        <v>6.0143136930000001</v>
      </c>
      <c r="H4" s="147">
        <v>6.48302537</v>
      </c>
      <c r="I4" s="147">
        <v>6.4270538129999997</v>
      </c>
      <c r="J4" s="147">
        <v>7.2793505329999997</v>
      </c>
      <c r="K4" s="147">
        <v>7.0594807189999997</v>
      </c>
      <c r="L4" s="147">
        <v>7.5824506329999997</v>
      </c>
      <c r="M4" s="147">
        <v>7.5518030180000002</v>
      </c>
      <c r="N4" s="147">
        <v>7.8989567620000001</v>
      </c>
      <c r="O4" s="147">
        <v>8.7222640069999997</v>
      </c>
      <c r="P4" s="147">
        <v>9.868470211</v>
      </c>
      <c r="Q4" s="147">
        <v>10.723777162999999</v>
      </c>
      <c r="R4" s="147">
        <v>11.556976395</v>
      </c>
      <c r="S4" s="193">
        <f t="shared" ref="S4:AZ4" si="1">-983+53.2*LN(S93)</f>
        <v>11.694212775023288</v>
      </c>
      <c r="T4" s="193">
        <f t="shared" si="1"/>
        <v>11.694212775023288</v>
      </c>
      <c r="U4" s="193">
        <f t="shared" si="1"/>
        <v>11.694212775023288</v>
      </c>
      <c r="V4" s="193">
        <f t="shared" si="1"/>
        <v>11.694212775023288</v>
      </c>
      <c r="W4" s="193">
        <f t="shared" si="1"/>
        <v>11.694212775023288</v>
      </c>
      <c r="X4" s="193">
        <f t="shared" si="1"/>
        <v>11.694212775023288</v>
      </c>
      <c r="Y4" s="193">
        <f t="shared" si="1"/>
        <v>11.694212775023288</v>
      </c>
      <c r="Z4" s="193">
        <f t="shared" si="1"/>
        <v>11.694212775023288</v>
      </c>
      <c r="AA4" s="193">
        <f t="shared" si="1"/>
        <v>11.694212775023288</v>
      </c>
      <c r="AB4" s="193">
        <f t="shared" si="1"/>
        <v>11.694212775023288</v>
      </c>
      <c r="AC4" s="193">
        <f t="shared" si="1"/>
        <v>11.694212775023288</v>
      </c>
      <c r="AD4" s="193">
        <f t="shared" si="1"/>
        <v>11.694212775023288</v>
      </c>
      <c r="AE4" s="193">
        <f t="shared" si="1"/>
        <v>11.694212775023288</v>
      </c>
      <c r="AF4" s="193">
        <f t="shared" si="1"/>
        <v>11.694212775023288</v>
      </c>
      <c r="AG4" s="193">
        <f t="shared" si="1"/>
        <v>11.694212775023288</v>
      </c>
      <c r="AH4" s="193">
        <f t="shared" si="1"/>
        <v>11.694212775023288</v>
      </c>
      <c r="AI4" s="193">
        <f t="shared" si="1"/>
        <v>11.694212775023288</v>
      </c>
      <c r="AJ4" s="193">
        <f t="shared" si="1"/>
        <v>11.694212775023288</v>
      </c>
      <c r="AK4" s="193">
        <f t="shared" si="1"/>
        <v>11.694212775023288</v>
      </c>
      <c r="AL4" s="193">
        <f t="shared" si="1"/>
        <v>11.694212775023288</v>
      </c>
      <c r="AM4" s="193">
        <f t="shared" si="1"/>
        <v>11.694212775023288</v>
      </c>
      <c r="AN4" s="193">
        <f t="shared" si="1"/>
        <v>11.694212775023288</v>
      </c>
      <c r="AO4" s="193">
        <f t="shared" si="1"/>
        <v>11.694212775023288</v>
      </c>
      <c r="AP4" s="193">
        <f t="shared" si="1"/>
        <v>11.694212775023288</v>
      </c>
      <c r="AQ4" s="193">
        <f t="shared" si="1"/>
        <v>11.694212775023288</v>
      </c>
      <c r="AR4" s="193">
        <f t="shared" si="1"/>
        <v>11.694212775023288</v>
      </c>
      <c r="AS4" s="193">
        <f t="shared" si="1"/>
        <v>11.694212775023288</v>
      </c>
      <c r="AT4" s="193">
        <f t="shared" si="1"/>
        <v>11.694212775023288</v>
      </c>
      <c r="AU4" s="193">
        <f t="shared" si="1"/>
        <v>11.694212775023288</v>
      </c>
      <c r="AV4" s="193">
        <f t="shared" si="1"/>
        <v>11.694212775023288</v>
      </c>
      <c r="AW4" s="193">
        <f t="shared" si="1"/>
        <v>11.694212775023288</v>
      </c>
      <c r="AX4" s="193">
        <f t="shared" si="1"/>
        <v>11.694212775023288</v>
      </c>
      <c r="AY4" s="193">
        <f t="shared" si="1"/>
        <v>11.694212775023288</v>
      </c>
      <c r="AZ4" s="193">
        <f t="shared" si="1"/>
        <v>11.694212775023288</v>
      </c>
    </row>
    <row r="5" spans="1:52" ht="14.6">
      <c r="A5" s="198" t="s">
        <v>380</v>
      </c>
      <c r="B5" s="199">
        <v>0</v>
      </c>
      <c r="C5" s="199">
        <v>0</v>
      </c>
      <c r="D5" s="199">
        <v>0</v>
      </c>
      <c r="E5" s="199">
        <v>0</v>
      </c>
      <c r="F5" s="199">
        <v>0</v>
      </c>
      <c r="G5" s="199">
        <v>0</v>
      </c>
      <c r="H5" s="199">
        <v>3.7438535000000002E-2</v>
      </c>
      <c r="I5" s="199">
        <v>3.2470958000000001E-2</v>
      </c>
      <c r="J5" s="199">
        <v>2.9167768E-2</v>
      </c>
      <c r="K5" s="199">
        <v>3.7279024000000001E-2</v>
      </c>
      <c r="L5" s="199">
        <v>4.5085243999999997E-2</v>
      </c>
      <c r="M5" s="199">
        <v>5.0421138999999997E-2</v>
      </c>
      <c r="N5" s="199">
        <v>5.1821512E-2</v>
      </c>
      <c r="O5" s="199">
        <v>5.2835648999999998E-2</v>
      </c>
      <c r="P5" s="199">
        <v>5.8900215999999998E-2</v>
      </c>
      <c r="Q5" s="199">
        <v>5.6491276E-2</v>
      </c>
      <c r="R5" s="199">
        <v>5.9686318000000002E-2</v>
      </c>
      <c r="S5" s="193">
        <f t="shared" ref="S5:AZ5" si="2">AVERAGE(N5:R5)</f>
        <v>5.5946994200000003E-2</v>
      </c>
      <c r="T5" s="193">
        <f t="shared" si="2"/>
        <v>5.6772090639999995E-2</v>
      </c>
      <c r="U5" s="193">
        <f t="shared" si="2"/>
        <v>5.7559378967999994E-2</v>
      </c>
      <c r="V5" s="193">
        <f t="shared" si="2"/>
        <v>5.7291211561599997E-2</v>
      </c>
      <c r="W5" s="193">
        <f t="shared" si="2"/>
        <v>5.7451198673919998E-2</v>
      </c>
      <c r="X5" s="193">
        <f t="shared" si="2"/>
        <v>5.7004174808703997E-2</v>
      </c>
      <c r="Y5" s="193">
        <f t="shared" si="2"/>
        <v>5.7215610930444805E-2</v>
      </c>
      <c r="Z5" s="193">
        <f t="shared" si="2"/>
        <v>5.7304314988533757E-2</v>
      </c>
      <c r="AA5" s="193">
        <f t="shared" si="2"/>
        <v>5.7253302192640507E-2</v>
      </c>
      <c r="AB5" s="193">
        <f t="shared" si="2"/>
        <v>5.7245720318848614E-2</v>
      </c>
      <c r="AC5" s="193">
        <f t="shared" si="2"/>
        <v>5.7204624647834337E-2</v>
      </c>
      <c r="AD5" s="193">
        <f t="shared" si="2"/>
        <v>5.72447146156604E-2</v>
      </c>
      <c r="AE5" s="193">
        <f t="shared" si="2"/>
        <v>5.7250535352703524E-2</v>
      </c>
      <c r="AF5" s="193">
        <f t="shared" si="2"/>
        <v>5.7239779425537471E-2</v>
      </c>
      <c r="AG5" s="193">
        <f t="shared" si="2"/>
        <v>5.7237074872116864E-2</v>
      </c>
      <c r="AH5" s="193">
        <f t="shared" si="2"/>
        <v>5.7235345782770522E-2</v>
      </c>
      <c r="AI5" s="193">
        <f t="shared" si="2"/>
        <v>5.7241490009757756E-2</v>
      </c>
      <c r="AJ5" s="193">
        <f t="shared" si="2"/>
        <v>5.7240845088577227E-2</v>
      </c>
      <c r="AK5" s="193">
        <f t="shared" si="2"/>
        <v>5.7238907035751976E-2</v>
      </c>
      <c r="AL5" s="193">
        <f t="shared" si="2"/>
        <v>5.7238732557794866E-2</v>
      </c>
      <c r="AM5" s="193">
        <f t="shared" si="2"/>
        <v>5.7239064094930472E-2</v>
      </c>
      <c r="AN5" s="193">
        <f t="shared" si="2"/>
        <v>5.7239807757362461E-2</v>
      </c>
      <c r="AO5" s="193">
        <f t="shared" si="2"/>
        <v>5.7239471306883408E-2</v>
      </c>
      <c r="AP5" s="193">
        <f t="shared" si="2"/>
        <v>5.7239196550544637E-2</v>
      </c>
      <c r="AQ5" s="193">
        <f t="shared" si="2"/>
        <v>5.7239254453503176E-2</v>
      </c>
      <c r="AR5" s="193">
        <f t="shared" si="2"/>
        <v>5.7239358832644825E-2</v>
      </c>
      <c r="AS5" s="193">
        <f t="shared" si="2"/>
        <v>5.7239417780187693E-2</v>
      </c>
      <c r="AT5" s="193">
        <f t="shared" si="2"/>
        <v>5.7239339784752749E-2</v>
      </c>
      <c r="AU5" s="193">
        <f t="shared" si="2"/>
        <v>5.7239313480326612E-2</v>
      </c>
      <c r="AV5" s="193">
        <f t="shared" si="2"/>
        <v>5.7239336866283019E-2</v>
      </c>
      <c r="AW5" s="193">
        <f t="shared" si="2"/>
        <v>5.7239353348838985E-2</v>
      </c>
      <c r="AX5" s="193">
        <f t="shared" si="2"/>
        <v>5.723935225207781E-2</v>
      </c>
      <c r="AY5" s="193">
        <f t="shared" si="2"/>
        <v>5.7239339146455834E-2</v>
      </c>
      <c r="AZ5" s="193">
        <f t="shared" si="2"/>
        <v>5.7239339018796451E-2</v>
      </c>
    </row>
    <row r="6" spans="1:52" ht="14.6">
      <c r="A6" s="192" t="s">
        <v>381</v>
      </c>
      <c r="B6" s="147">
        <v>0</v>
      </c>
      <c r="C6" s="147">
        <v>0</v>
      </c>
      <c r="D6" s="147">
        <v>0</v>
      </c>
      <c r="E6" s="147">
        <v>0</v>
      </c>
      <c r="F6" s="147">
        <v>0</v>
      </c>
      <c r="G6" s="147">
        <v>0</v>
      </c>
      <c r="H6" s="147">
        <v>0.211859135</v>
      </c>
      <c r="I6" s="147">
        <v>0.25544428899999999</v>
      </c>
      <c r="J6" s="147">
        <v>0.25824147800000002</v>
      </c>
      <c r="K6" s="147">
        <v>0.302299861</v>
      </c>
      <c r="L6" s="147">
        <v>0.30296071400000002</v>
      </c>
      <c r="M6" s="147">
        <v>0.29827334300000002</v>
      </c>
      <c r="N6" s="147">
        <v>0.31894171300000002</v>
      </c>
      <c r="O6" s="147">
        <v>0.320806494</v>
      </c>
      <c r="P6" s="147">
        <v>0.347197743</v>
      </c>
      <c r="Q6" s="147">
        <v>0.35631346899999999</v>
      </c>
      <c r="R6" s="147">
        <v>0.35152729799999999</v>
      </c>
      <c r="S6" s="193">
        <f t="shared" ref="S6:AZ6" si="3">AVERAGE(N6:R6)</f>
        <v>0.3389573434</v>
      </c>
      <c r="T6" s="193">
        <f t="shared" si="3"/>
        <v>0.34296046947999997</v>
      </c>
      <c r="U6" s="193">
        <f t="shared" si="3"/>
        <v>0.34739126457599995</v>
      </c>
      <c r="V6" s="193">
        <f t="shared" si="3"/>
        <v>0.34742996889119998</v>
      </c>
      <c r="W6" s="193">
        <f t="shared" si="3"/>
        <v>0.34565326886943998</v>
      </c>
      <c r="X6" s="193">
        <f t="shared" si="3"/>
        <v>0.34447846304332796</v>
      </c>
      <c r="Y6" s="193">
        <f t="shared" si="3"/>
        <v>0.34558268697199357</v>
      </c>
      <c r="Z6" s="193">
        <f t="shared" si="3"/>
        <v>0.34610713047039232</v>
      </c>
      <c r="AA6" s="193">
        <f t="shared" si="3"/>
        <v>0.34585030364927077</v>
      </c>
      <c r="AB6" s="193">
        <f t="shared" si="3"/>
        <v>0.34553437060088493</v>
      </c>
      <c r="AC6" s="193">
        <f t="shared" si="3"/>
        <v>0.3455105909471739</v>
      </c>
      <c r="AD6" s="193">
        <f t="shared" si="3"/>
        <v>0.34571701652794307</v>
      </c>
      <c r="AE6" s="193">
        <f t="shared" si="3"/>
        <v>0.34574388243913295</v>
      </c>
      <c r="AF6" s="193">
        <f t="shared" si="3"/>
        <v>0.34567123283288115</v>
      </c>
      <c r="AG6" s="193">
        <f t="shared" si="3"/>
        <v>0.34563541866960323</v>
      </c>
      <c r="AH6" s="193">
        <f t="shared" si="3"/>
        <v>0.34565562828334684</v>
      </c>
      <c r="AI6" s="193">
        <f t="shared" si="3"/>
        <v>0.3456846357505815</v>
      </c>
      <c r="AJ6" s="193">
        <f t="shared" si="3"/>
        <v>0.34567815959510917</v>
      </c>
      <c r="AK6" s="193">
        <f t="shared" si="3"/>
        <v>0.34566501502630437</v>
      </c>
      <c r="AL6" s="193">
        <f t="shared" si="3"/>
        <v>0.34566377146498894</v>
      </c>
      <c r="AM6" s="193">
        <f t="shared" si="3"/>
        <v>0.34566944202406613</v>
      </c>
      <c r="AN6" s="193">
        <f t="shared" si="3"/>
        <v>0.34567220477221</v>
      </c>
      <c r="AO6" s="193">
        <f t="shared" si="3"/>
        <v>0.34566971857653572</v>
      </c>
      <c r="AP6" s="193">
        <f t="shared" si="3"/>
        <v>0.34566803037282112</v>
      </c>
      <c r="AQ6" s="193">
        <f t="shared" si="3"/>
        <v>0.3456686334421244</v>
      </c>
      <c r="AR6" s="193">
        <f t="shared" si="3"/>
        <v>0.34566960583755141</v>
      </c>
      <c r="AS6" s="193">
        <f t="shared" si="3"/>
        <v>0.34566963860024857</v>
      </c>
      <c r="AT6" s="193">
        <f t="shared" si="3"/>
        <v>0.34566912536585626</v>
      </c>
      <c r="AU6" s="193">
        <f t="shared" si="3"/>
        <v>0.34566900672372036</v>
      </c>
      <c r="AV6" s="193">
        <f t="shared" si="3"/>
        <v>0.34566920199390017</v>
      </c>
      <c r="AW6" s="193">
        <f t="shared" si="3"/>
        <v>0.34566931570425535</v>
      </c>
      <c r="AX6" s="193">
        <f t="shared" si="3"/>
        <v>0.34566925767759621</v>
      </c>
      <c r="AY6" s="193">
        <f t="shared" si="3"/>
        <v>0.34566918149306569</v>
      </c>
      <c r="AZ6" s="193">
        <f t="shared" si="3"/>
        <v>0.34566919271850755</v>
      </c>
    </row>
    <row r="7" spans="1:52" ht="14.6">
      <c r="A7" s="192" t="s">
        <v>382</v>
      </c>
      <c r="B7" s="147">
        <v>67.655037156000006</v>
      </c>
      <c r="C7" s="147">
        <v>69.599532662000001</v>
      </c>
      <c r="D7" s="147">
        <v>69.324943227000006</v>
      </c>
      <c r="E7" s="147">
        <v>73.097058864999994</v>
      </c>
      <c r="F7" s="147">
        <v>76.089198874999994</v>
      </c>
      <c r="G7" s="147">
        <v>78.834038109000005</v>
      </c>
      <c r="H7" s="147">
        <v>82.476106654000006</v>
      </c>
      <c r="I7" s="147">
        <v>88.238335164999995</v>
      </c>
      <c r="J7" s="147">
        <v>93.978566133000001</v>
      </c>
      <c r="K7" s="147">
        <v>101.620949419</v>
      </c>
      <c r="L7" s="147">
        <v>109.47612377900001</v>
      </c>
      <c r="M7" s="147">
        <v>118.427321542</v>
      </c>
      <c r="N7" s="147">
        <v>127.898037038</v>
      </c>
      <c r="O7" s="147">
        <v>141.34418996299999</v>
      </c>
      <c r="P7" s="147">
        <v>156.837432619</v>
      </c>
      <c r="Q7" s="147">
        <v>174.798276816</v>
      </c>
      <c r="R7" s="147">
        <v>193.45349064600001</v>
      </c>
    </row>
    <row r="8" spans="1:52" ht="14.6">
      <c r="A8" s="192" t="s">
        <v>383</v>
      </c>
      <c r="B8" s="147">
        <v>0.35191592799999999</v>
      </c>
      <c r="C8" s="147">
        <v>1.1044336960000001</v>
      </c>
      <c r="D8" s="147">
        <v>0.41666757599999998</v>
      </c>
      <c r="E8" s="147">
        <v>0.42967901600000002</v>
      </c>
      <c r="F8" s="147">
        <v>0.40771015799999999</v>
      </c>
      <c r="G8" s="147">
        <v>0.58205845599999995</v>
      </c>
      <c r="H8" s="147">
        <v>0.423153903</v>
      </c>
      <c r="I8" s="147">
        <v>1.369797154</v>
      </c>
      <c r="J8" s="147">
        <v>0.59339821500000001</v>
      </c>
      <c r="K8" s="147">
        <v>0.65728375400000005</v>
      </c>
      <c r="L8" s="147">
        <v>0.71078154999999998</v>
      </c>
      <c r="M8" s="147">
        <v>0.78658517299999997</v>
      </c>
      <c r="N8" s="147">
        <v>0.85292394999999999</v>
      </c>
      <c r="O8" s="147">
        <v>0.97776291299999996</v>
      </c>
      <c r="P8" s="147">
        <v>0.92403593100000003</v>
      </c>
      <c r="Q8" s="147">
        <v>1.1263235819999999</v>
      </c>
      <c r="R8" s="147">
        <v>1.2041808119999999</v>
      </c>
      <c r="S8" s="193">
        <f t="shared" ref="S8:AZ8" si="4">-72.8+3.95*LN(S93)</f>
        <v>1.0541755725816273</v>
      </c>
      <c r="T8" s="193">
        <f t="shared" si="4"/>
        <v>1.0541755725816273</v>
      </c>
      <c r="U8" s="193">
        <f t="shared" si="4"/>
        <v>1.0541755725816273</v>
      </c>
      <c r="V8" s="193">
        <f t="shared" si="4"/>
        <v>1.0541755725816273</v>
      </c>
      <c r="W8" s="193">
        <f t="shared" si="4"/>
        <v>1.0541755725816273</v>
      </c>
      <c r="X8" s="193">
        <f t="shared" si="4"/>
        <v>1.0541755725816273</v>
      </c>
      <c r="Y8" s="193">
        <f t="shared" si="4"/>
        <v>1.0541755725816273</v>
      </c>
      <c r="Z8" s="193">
        <f t="shared" si="4"/>
        <v>1.0541755725816273</v>
      </c>
      <c r="AA8" s="193">
        <f t="shared" si="4"/>
        <v>1.0541755725816273</v>
      </c>
      <c r="AB8" s="193">
        <f t="shared" si="4"/>
        <v>1.0541755725816273</v>
      </c>
      <c r="AC8" s="193">
        <f t="shared" si="4"/>
        <v>1.0541755725816273</v>
      </c>
      <c r="AD8" s="193">
        <f t="shared" si="4"/>
        <v>1.0541755725816273</v>
      </c>
      <c r="AE8" s="193">
        <f t="shared" si="4"/>
        <v>1.0541755725816273</v>
      </c>
      <c r="AF8" s="193">
        <f t="shared" si="4"/>
        <v>1.0541755725816273</v>
      </c>
      <c r="AG8" s="193">
        <f t="shared" si="4"/>
        <v>1.0541755725816273</v>
      </c>
      <c r="AH8" s="193">
        <f t="shared" si="4"/>
        <v>1.0541755725816273</v>
      </c>
      <c r="AI8" s="193">
        <f t="shared" si="4"/>
        <v>1.0541755725816273</v>
      </c>
      <c r="AJ8" s="193">
        <f t="shared" si="4"/>
        <v>1.0541755725816273</v>
      </c>
      <c r="AK8" s="193">
        <f t="shared" si="4"/>
        <v>1.0541755725816273</v>
      </c>
      <c r="AL8" s="193">
        <f t="shared" si="4"/>
        <v>1.0541755725816273</v>
      </c>
      <c r="AM8" s="193">
        <f t="shared" si="4"/>
        <v>1.0541755725816273</v>
      </c>
      <c r="AN8" s="193">
        <f t="shared" si="4"/>
        <v>1.0541755725816273</v>
      </c>
      <c r="AO8" s="193">
        <f t="shared" si="4"/>
        <v>1.0541755725816273</v>
      </c>
      <c r="AP8" s="193">
        <f t="shared" si="4"/>
        <v>1.0541755725816273</v>
      </c>
      <c r="AQ8" s="193">
        <f t="shared" si="4"/>
        <v>1.0541755725816273</v>
      </c>
      <c r="AR8" s="193">
        <f t="shared" si="4"/>
        <v>1.0541755725816273</v>
      </c>
      <c r="AS8" s="193">
        <f t="shared" si="4"/>
        <v>1.0541755725816273</v>
      </c>
      <c r="AT8" s="193">
        <f t="shared" si="4"/>
        <v>1.0541755725816273</v>
      </c>
      <c r="AU8" s="193">
        <f t="shared" si="4"/>
        <v>1.0541755725816273</v>
      </c>
      <c r="AV8" s="193">
        <f t="shared" si="4"/>
        <v>1.0541755725816273</v>
      </c>
      <c r="AW8" s="193">
        <f t="shared" si="4"/>
        <v>1.0541755725816273</v>
      </c>
      <c r="AX8" s="193">
        <f t="shared" si="4"/>
        <v>1.0541755725816273</v>
      </c>
      <c r="AY8" s="193">
        <f t="shared" si="4"/>
        <v>1.0541755725816273</v>
      </c>
      <c r="AZ8" s="193">
        <f t="shared" si="4"/>
        <v>1.0541755725816273</v>
      </c>
    </row>
    <row r="9" spans="1:52" ht="14.6">
      <c r="A9" s="192" t="s">
        <v>384</v>
      </c>
      <c r="B9" s="147">
        <v>2.5901499129999999</v>
      </c>
      <c r="C9" s="147">
        <v>3.3227872669999998</v>
      </c>
      <c r="D9" s="147">
        <v>3.1745393769999999</v>
      </c>
      <c r="E9" s="147">
        <v>3.7843429689999999</v>
      </c>
      <c r="F9" s="147">
        <v>3.8651713999999999</v>
      </c>
      <c r="G9" s="147">
        <v>4.165938712</v>
      </c>
      <c r="H9" s="147">
        <v>6.3164773429999999</v>
      </c>
      <c r="I9" s="147">
        <v>6.262582074</v>
      </c>
      <c r="J9" s="147">
        <v>8.2570263780000008</v>
      </c>
      <c r="K9" s="147">
        <v>8.0832172890000002</v>
      </c>
      <c r="L9" s="147">
        <v>10.053971453999999</v>
      </c>
      <c r="M9" s="147">
        <v>10.27049879</v>
      </c>
      <c r="N9" s="147">
        <v>13.527422619999999</v>
      </c>
      <c r="O9" s="147">
        <v>16.565338741000001</v>
      </c>
      <c r="P9" s="147">
        <v>18.945019073000001</v>
      </c>
      <c r="Q9" s="147">
        <v>19.253702789999998</v>
      </c>
      <c r="R9" s="147">
        <v>20.039676218</v>
      </c>
    </row>
    <row r="10" spans="1:52" ht="14.6">
      <c r="A10" s="99" t="s">
        <v>385</v>
      </c>
      <c r="B10" s="147">
        <v>0.175676163</v>
      </c>
      <c r="C10" s="147">
        <v>0.52485740000000003</v>
      </c>
      <c r="D10" s="147">
        <v>0.43537743499999998</v>
      </c>
      <c r="E10" s="147">
        <v>0.35721254699999999</v>
      </c>
      <c r="F10" s="147">
        <v>0.37693005899999998</v>
      </c>
      <c r="G10" s="147">
        <v>0.37716122099999999</v>
      </c>
      <c r="H10" s="147">
        <v>0.55820265300000005</v>
      </c>
      <c r="I10" s="147">
        <v>0.54940055700000001</v>
      </c>
      <c r="J10" s="147">
        <v>0.64376982999999999</v>
      </c>
      <c r="K10" s="147">
        <v>0.60196989999999995</v>
      </c>
      <c r="L10" s="147">
        <v>0.64632632400000001</v>
      </c>
      <c r="M10" s="147">
        <v>0.96871703799999997</v>
      </c>
      <c r="N10" s="147">
        <v>0.99303568099999995</v>
      </c>
      <c r="O10" s="147">
        <v>1.939750504</v>
      </c>
      <c r="P10" s="147">
        <v>1.810340294</v>
      </c>
      <c r="Q10" s="147">
        <v>1.3367391909999999</v>
      </c>
      <c r="R10" s="147">
        <v>1.7921143150000001</v>
      </c>
    </row>
    <row r="11" spans="1:52" ht="14.6">
      <c r="A11" s="42" t="s">
        <v>386</v>
      </c>
      <c r="B11" s="193">
        <f t="shared" ref="B11:R11" si="5">B9-B10+B12</f>
        <v>2.8103527499999998</v>
      </c>
      <c r="C11" s="193">
        <f t="shared" si="5"/>
        <v>3.3752698669999996</v>
      </c>
      <c r="D11" s="193">
        <f t="shared" si="5"/>
        <v>3.4391689419999998</v>
      </c>
      <c r="E11" s="193">
        <f t="shared" si="5"/>
        <v>4.4961394219999997</v>
      </c>
      <c r="F11" s="193">
        <f t="shared" si="5"/>
        <v>4.4057607409999999</v>
      </c>
      <c r="G11" s="193">
        <f t="shared" si="5"/>
        <v>4.9576282788069239</v>
      </c>
      <c r="H11" s="193">
        <f t="shared" si="5"/>
        <v>6.5471679062506034</v>
      </c>
      <c r="I11" s="193">
        <f t="shared" si="5"/>
        <v>6.8649771078808843</v>
      </c>
      <c r="J11" s="193">
        <f t="shared" si="5"/>
        <v>8.1589623320000015</v>
      </c>
      <c r="K11" s="193">
        <f t="shared" si="5"/>
        <v>8.2045251330000006</v>
      </c>
      <c r="L11" s="193">
        <f t="shared" si="5"/>
        <v>10.247819991999998</v>
      </c>
      <c r="M11" s="193">
        <f t="shared" si="5"/>
        <v>10.480856359000001</v>
      </c>
      <c r="N11" s="193">
        <f t="shared" si="5"/>
        <v>13.551147397999999</v>
      </c>
      <c r="O11" s="193">
        <f t="shared" si="5"/>
        <v>19.908597977000003</v>
      </c>
      <c r="P11" s="193">
        <f t="shared" si="5"/>
        <v>17.999500844</v>
      </c>
      <c r="Q11" s="193">
        <f t="shared" si="5"/>
        <v>18.839701951999999</v>
      </c>
      <c r="R11" s="193">
        <f t="shared" si="5"/>
        <v>20.247543708000002</v>
      </c>
    </row>
    <row r="12" spans="1:52" ht="14.6">
      <c r="A12" s="42" t="s">
        <v>387</v>
      </c>
      <c r="B12" s="193">
        <f t="shared" ref="B12:Y12" si="6">SUM(B45:B47)</f>
        <v>0.39587899999999998</v>
      </c>
      <c r="C12" s="193">
        <f t="shared" si="6"/>
        <v>0.57734000000000008</v>
      </c>
      <c r="D12" s="193">
        <f t="shared" si="6"/>
        <v>0.70000699999999993</v>
      </c>
      <c r="E12" s="193">
        <f t="shared" si="6"/>
        <v>1.0690090000000001</v>
      </c>
      <c r="F12" s="193">
        <f t="shared" si="6"/>
        <v>0.91751939999999998</v>
      </c>
      <c r="G12" s="193">
        <f t="shared" si="6"/>
        <v>1.1688507878069236</v>
      </c>
      <c r="H12" s="193">
        <f t="shared" si="6"/>
        <v>0.78889321625060371</v>
      </c>
      <c r="I12" s="193">
        <f t="shared" si="6"/>
        <v>1.1517955908808848</v>
      </c>
      <c r="J12" s="193">
        <f t="shared" si="6"/>
        <v>0.54570578400000003</v>
      </c>
      <c r="K12" s="193">
        <f t="shared" si="6"/>
        <v>0.723277744</v>
      </c>
      <c r="L12" s="193">
        <f t="shared" si="6"/>
        <v>0.84017486200000002</v>
      </c>
      <c r="M12" s="193">
        <f t="shared" si="6"/>
        <v>1.179074607</v>
      </c>
      <c r="N12" s="193">
        <f t="shared" si="6"/>
        <v>1.0167604589999999</v>
      </c>
      <c r="O12" s="193">
        <f t="shared" si="6"/>
        <v>5.2830097399999998</v>
      </c>
      <c r="P12" s="193">
        <f t="shared" si="6"/>
        <v>0.86482206500000003</v>
      </c>
      <c r="Q12" s="193">
        <f t="shared" si="6"/>
        <v>0.92273835299999996</v>
      </c>
      <c r="R12" s="193">
        <f t="shared" si="6"/>
        <v>1.999981805</v>
      </c>
      <c r="S12" s="193">
        <f t="shared" si="6"/>
        <v>1.0928929090000001</v>
      </c>
      <c r="T12" s="193">
        <f t="shared" si="6"/>
        <v>2.3140193680000003</v>
      </c>
      <c r="U12" s="193">
        <f t="shared" si="6"/>
        <v>2.1241448160000003</v>
      </c>
      <c r="V12" s="193">
        <f t="shared" si="6"/>
        <v>1.7720029589999999</v>
      </c>
      <c r="W12" s="193">
        <f t="shared" si="6"/>
        <v>0.81720400000000004</v>
      </c>
      <c r="X12" s="193">
        <f t="shared" si="6"/>
        <v>0.130359</v>
      </c>
      <c r="Y12" s="193">
        <f t="shared" si="6"/>
        <v>0.15744999999999998</v>
      </c>
    </row>
    <row r="13" spans="1:52" ht="14.6">
      <c r="A13" s="99" t="s">
        <v>388</v>
      </c>
      <c r="B13" s="39">
        <v>0.3</v>
      </c>
      <c r="C13" s="39">
        <v>0.25</v>
      </c>
      <c r="D13" s="39">
        <v>0.31</v>
      </c>
      <c r="E13" s="39">
        <v>0.3</v>
      </c>
      <c r="F13" s="39">
        <v>0.32</v>
      </c>
      <c r="G13" s="39">
        <v>0.32</v>
      </c>
      <c r="H13" s="39">
        <v>0.32</v>
      </c>
      <c r="I13" s="39">
        <v>0.32</v>
      </c>
      <c r="J13" s="39">
        <v>0.32</v>
      </c>
      <c r="K13" s="39">
        <v>0.32</v>
      </c>
      <c r="L13" s="200">
        <v>0.32</v>
      </c>
      <c r="M13" s="200">
        <v>0.32</v>
      </c>
      <c r="N13" s="200">
        <v>0.32</v>
      </c>
      <c r="O13" s="200">
        <v>0.32</v>
      </c>
      <c r="P13" s="200">
        <v>0.32</v>
      </c>
      <c r="Q13" s="200">
        <v>0.32</v>
      </c>
      <c r="R13" s="200">
        <v>0.32</v>
      </c>
      <c r="S13" s="200">
        <v>0.32</v>
      </c>
      <c r="T13" s="200">
        <v>0.32</v>
      </c>
      <c r="U13" s="200">
        <v>0.32</v>
      </c>
      <c r="V13" s="200">
        <v>0.32</v>
      </c>
      <c r="W13" s="200">
        <v>0.32</v>
      </c>
      <c r="X13" s="200">
        <v>0.32</v>
      </c>
      <c r="Y13" s="200">
        <v>0.32</v>
      </c>
      <c r="Z13" s="200">
        <v>0.32</v>
      </c>
      <c r="AA13" s="200">
        <v>0.32</v>
      </c>
      <c r="AB13" s="200">
        <v>0.32</v>
      </c>
      <c r="AC13" s="200">
        <v>0.32</v>
      </c>
      <c r="AD13" s="200">
        <v>0.32</v>
      </c>
      <c r="AE13" s="200">
        <v>0.32</v>
      </c>
      <c r="AF13" s="200">
        <v>0.32</v>
      </c>
      <c r="AG13" s="200">
        <v>0.32</v>
      </c>
      <c r="AH13" s="200">
        <v>0.32</v>
      </c>
      <c r="AI13" s="200">
        <v>0.32</v>
      </c>
      <c r="AJ13" s="200">
        <v>0.32</v>
      </c>
      <c r="AK13" s="200">
        <v>0.32</v>
      </c>
      <c r="AL13" s="200">
        <v>0.32</v>
      </c>
      <c r="AM13" s="200">
        <v>0.32</v>
      </c>
      <c r="AN13" s="200">
        <v>0.32</v>
      </c>
      <c r="AO13" s="200">
        <v>0.32</v>
      </c>
      <c r="AP13" s="200">
        <v>0.32</v>
      </c>
      <c r="AQ13" s="200">
        <v>0.32</v>
      </c>
      <c r="AR13" s="200">
        <v>0.32</v>
      </c>
      <c r="AS13" s="200">
        <v>0.32</v>
      </c>
      <c r="AT13" s="200">
        <v>0.32</v>
      </c>
      <c r="AU13" s="200">
        <v>0.32</v>
      </c>
      <c r="AV13" s="200">
        <v>0.32</v>
      </c>
      <c r="AW13" s="200">
        <v>0.32</v>
      </c>
      <c r="AX13" s="200">
        <v>0.32</v>
      </c>
      <c r="AY13" s="200">
        <v>0.32</v>
      </c>
      <c r="AZ13" s="200">
        <v>0.32</v>
      </c>
    </row>
    <row r="14" spans="1:52" ht="14.6">
      <c r="A14" s="42" t="s">
        <v>389</v>
      </c>
      <c r="B14" s="193">
        <f t="shared" ref="B14:R14" si="7">IF($A$2=1,B13*B9,B13*B11)</f>
        <v>0.84310582499999998</v>
      </c>
      <c r="C14" s="193">
        <f t="shared" si="7"/>
        <v>0.84381746674999991</v>
      </c>
      <c r="D14" s="193">
        <f t="shared" si="7"/>
        <v>1.0661423720199998</v>
      </c>
      <c r="E14" s="193">
        <f t="shared" si="7"/>
        <v>1.3488418266</v>
      </c>
      <c r="F14" s="193">
        <f t="shared" si="7"/>
        <v>1.4098434371199999</v>
      </c>
      <c r="G14" s="193">
        <f t="shared" si="7"/>
        <v>1.5864410492182157</v>
      </c>
      <c r="H14" s="193">
        <f t="shared" si="7"/>
        <v>2.0950937300001931</v>
      </c>
      <c r="I14" s="193">
        <f t="shared" si="7"/>
        <v>2.1967926745218831</v>
      </c>
      <c r="J14" s="193">
        <f t="shared" si="7"/>
        <v>2.6108679462400004</v>
      </c>
      <c r="K14" s="193">
        <f t="shared" si="7"/>
        <v>2.6254480425600004</v>
      </c>
      <c r="L14" s="193">
        <f t="shared" si="7"/>
        <v>3.2793023974399995</v>
      </c>
      <c r="M14" s="193">
        <f t="shared" si="7"/>
        <v>3.3538740348800005</v>
      </c>
      <c r="N14" s="193">
        <f t="shared" si="7"/>
        <v>4.3363671673599997</v>
      </c>
      <c r="O14" s="193">
        <f t="shared" si="7"/>
        <v>6.370751352640001</v>
      </c>
      <c r="P14" s="193">
        <f t="shared" si="7"/>
        <v>5.7598402700799998</v>
      </c>
      <c r="Q14" s="193">
        <f t="shared" si="7"/>
        <v>6.0287046246399996</v>
      </c>
      <c r="R14" s="193">
        <f t="shared" si="7"/>
        <v>6.4792139865600005</v>
      </c>
    </row>
    <row r="15" spans="1:52" ht="14.6">
      <c r="A15" s="192" t="s">
        <v>390</v>
      </c>
      <c r="B15" s="193">
        <f t="shared" ref="B15:R15" si="8">IF($A$2=1,SUM(B9,B14),SUM(B11,B14))</f>
        <v>3.6534585749999997</v>
      </c>
      <c r="C15" s="193">
        <f t="shared" si="8"/>
        <v>4.2190873337499992</v>
      </c>
      <c r="D15" s="193">
        <f t="shared" si="8"/>
        <v>4.5053113140200001</v>
      </c>
      <c r="E15" s="193">
        <f t="shared" si="8"/>
        <v>5.8449812485999999</v>
      </c>
      <c r="F15" s="193">
        <f t="shared" si="8"/>
        <v>5.8156041781200001</v>
      </c>
      <c r="G15" s="193">
        <f t="shared" si="8"/>
        <v>6.5440693280251399</v>
      </c>
      <c r="H15" s="193">
        <f t="shared" si="8"/>
        <v>8.6422616362507974</v>
      </c>
      <c r="I15" s="193">
        <f t="shared" si="8"/>
        <v>9.0617697824027665</v>
      </c>
      <c r="J15" s="193">
        <f t="shared" si="8"/>
        <v>10.769830278240002</v>
      </c>
      <c r="K15" s="193">
        <f t="shared" si="8"/>
        <v>10.829973175560001</v>
      </c>
      <c r="L15" s="193">
        <f t="shared" si="8"/>
        <v>13.527122389439999</v>
      </c>
      <c r="M15" s="193">
        <f t="shared" si="8"/>
        <v>13.834730393880001</v>
      </c>
      <c r="N15" s="193">
        <f t="shared" si="8"/>
        <v>17.88751456536</v>
      </c>
      <c r="O15" s="193">
        <f t="shared" si="8"/>
        <v>26.279349329640006</v>
      </c>
      <c r="P15" s="193">
        <f t="shared" si="8"/>
        <v>23.759341114080001</v>
      </c>
      <c r="Q15" s="193">
        <f t="shared" si="8"/>
        <v>24.868406576639998</v>
      </c>
      <c r="R15" s="193">
        <f t="shared" si="8"/>
        <v>26.726757694560003</v>
      </c>
      <c r="S15" s="193">
        <f t="shared" ref="S15:AZ15" si="9">IF($A$2=1,S17+S21+S23,S17+S20+S24)</f>
        <v>23.453218324243892</v>
      </c>
      <c r="T15" s="193">
        <f t="shared" si="9"/>
        <v>24.159539645971208</v>
      </c>
      <c r="U15" s="193">
        <f t="shared" si="9"/>
        <v>24.426557159406407</v>
      </c>
      <c r="V15" s="193">
        <f t="shared" si="9"/>
        <v>25.137188464367476</v>
      </c>
      <c r="W15" s="193">
        <f t="shared" si="9"/>
        <v>24.34739968941539</v>
      </c>
      <c r="X15" s="193">
        <f t="shared" si="9"/>
        <v>23.944646555207949</v>
      </c>
      <c r="Y15" s="193">
        <f t="shared" si="9"/>
        <v>25.649118306435383</v>
      </c>
      <c r="Z15" s="193">
        <f t="shared" si="9"/>
        <v>25.562491636800637</v>
      </c>
      <c r="AA15" s="193">
        <f t="shared" si="9"/>
        <v>23.347146968605543</v>
      </c>
      <c r="AB15" s="193">
        <f t="shared" si="9"/>
        <v>24.880395270138727</v>
      </c>
      <c r="AC15" s="193">
        <f t="shared" si="9"/>
        <v>26.817236404433935</v>
      </c>
      <c r="AD15" s="193">
        <f t="shared" si="9"/>
        <v>27.080825856937029</v>
      </c>
      <c r="AE15" s="193">
        <f t="shared" si="9"/>
        <v>26.241462407225207</v>
      </c>
      <c r="AF15" s="193">
        <f t="shared" si="9"/>
        <v>29.081226424023512</v>
      </c>
      <c r="AG15" s="193">
        <f t="shared" si="9"/>
        <v>27.489232221893992</v>
      </c>
      <c r="AH15" s="193">
        <f t="shared" si="9"/>
        <v>25.446999764108732</v>
      </c>
      <c r="AI15" s="193">
        <f t="shared" si="9"/>
        <v>26.924643846437068</v>
      </c>
      <c r="AJ15" s="193">
        <f t="shared" si="9"/>
        <v>27.543205086770925</v>
      </c>
      <c r="AK15" s="193">
        <f t="shared" si="9"/>
        <v>24.193968291743239</v>
      </c>
      <c r="AL15" s="193">
        <f t="shared" si="9"/>
        <v>24.470299272496248</v>
      </c>
      <c r="AM15" s="193">
        <f t="shared" si="9"/>
        <v>27.487661413908366</v>
      </c>
      <c r="AN15" s="193">
        <f t="shared" si="9"/>
        <v>27.512779612577429</v>
      </c>
      <c r="AO15" s="193">
        <f t="shared" si="9"/>
        <v>26.448486253988879</v>
      </c>
      <c r="AP15" s="193">
        <f t="shared" si="9"/>
        <v>28.708316655247515</v>
      </c>
      <c r="AQ15" s="193">
        <f t="shared" si="9"/>
        <v>26.905941916660282</v>
      </c>
      <c r="AR15" s="193">
        <f t="shared" si="9"/>
        <v>25.940887520813121</v>
      </c>
      <c r="AS15" s="193">
        <f t="shared" si="9"/>
        <v>21.667205143466674</v>
      </c>
      <c r="AT15" s="193">
        <f t="shared" si="9"/>
        <v>21.667399168181824</v>
      </c>
      <c r="AU15" s="193">
        <f t="shared" si="9"/>
        <v>21.667669163904655</v>
      </c>
      <c r="AV15" s="193">
        <f t="shared" si="9"/>
        <v>21.667706385346051</v>
      </c>
      <c r="AW15" s="193">
        <f t="shared" si="9"/>
        <v>21.667581410151236</v>
      </c>
      <c r="AX15" s="193">
        <f t="shared" si="9"/>
        <v>21.667501395521828</v>
      </c>
      <c r="AY15" s="193">
        <f t="shared" si="9"/>
        <v>21.667510444428711</v>
      </c>
      <c r="AZ15" s="193">
        <f t="shared" si="9"/>
        <v>21.667561327922385</v>
      </c>
    </row>
    <row r="16" spans="1:52" ht="14.6">
      <c r="A16" s="198" t="s">
        <v>391</v>
      </c>
      <c r="B16" s="201">
        <f t="shared" ref="B16:R16" si="10">B15</f>
        <v>3.6534585749999997</v>
      </c>
      <c r="C16" s="201">
        <f t="shared" si="10"/>
        <v>4.2190873337499992</v>
      </c>
      <c r="D16" s="201">
        <f t="shared" si="10"/>
        <v>4.5053113140200001</v>
      </c>
      <c r="E16" s="201">
        <f t="shared" si="10"/>
        <v>5.8449812485999999</v>
      </c>
      <c r="F16" s="201">
        <f t="shared" si="10"/>
        <v>5.8156041781200001</v>
      </c>
      <c r="G16" s="201">
        <f t="shared" si="10"/>
        <v>6.5440693280251399</v>
      </c>
      <c r="H16" s="201">
        <f t="shared" si="10"/>
        <v>8.6422616362507974</v>
      </c>
      <c r="I16" s="201">
        <f t="shared" si="10"/>
        <v>9.0617697824027665</v>
      </c>
      <c r="J16" s="201">
        <f t="shared" si="10"/>
        <v>10.769830278240002</v>
      </c>
      <c r="K16" s="201">
        <f t="shared" si="10"/>
        <v>10.829973175560001</v>
      </c>
      <c r="L16" s="201">
        <f t="shared" si="10"/>
        <v>13.527122389439999</v>
      </c>
      <c r="M16" s="201">
        <f t="shared" si="10"/>
        <v>13.834730393880001</v>
      </c>
      <c r="N16" s="201">
        <f t="shared" si="10"/>
        <v>17.88751456536</v>
      </c>
      <c r="O16" s="201">
        <f t="shared" si="10"/>
        <v>26.279349329640006</v>
      </c>
      <c r="P16" s="201">
        <f t="shared" si="10"/>
        <v>23.759341114080001</v>
      </c>
      <c r="Q16" s="201">
        <f t="shared" si="10"/>
        <v>24.868406576639998</v>
      </c>
      <c r="R16" s="201">
        <f t="shared" si="10"/>
        <v>26.726757694560003</v>
      </c>
      <c r="S16" s="201">
        <f t="shared" ref="S16:AZ16" si="11">-2895+156*LN(S93)</f>
        <v>21.772503626008074</v>
      </c>
      <c r="T16" s="201">
        <f t="shared" si="11"/>
        <v>21.772503626008074</v>
      </c>
      <c r="U16" s="201">
        <f t="shared" si="11"/>
        <v>21.772503626008074</v>
      </c>
      <c r="V16" s="201">
        <f t="shared" si="11"/>
        <v>21.772503626008074</v>
      </c>
      <c r="W16" s="201">
        <f t="shared" si="11"/>
        <v>21.772503626008074</v>
      </c>
      <c r="X16" s="201">
        <f t="shared" si="11"/>
        <v>21.772503626008074</v>
      </c>
      <c r="Y16" s="201">
        <f t="shared" si="11"/>
        <v>21.772503626008074</v>
      </c>
      <c r="Z16" s="201">
        <f t="shared" si="11"/>
        <v>21.772503626008074</v>
      </c>
      <c r="AA16" s="201">
        <f t="shared" si="11"/>
        <v>21.772503626008074</v>
      </c>
      <c r="AB16" s="201">
        <f t="shared" si="11"/>
        <v>21.772503626008074</v>
      </c>
      <c r="AC16" s="201">
        <f t="shared" si="11"/>
        <v>21.772503626008074</v>
      </c>
      <c r="AD16" s="201">
        <f t="shared" si="11"/>
        <v>21.772503626008074</v>
      </c>
      <c r="AE16" s="201">
        <f t="shared" si="11"/>
        <v>21.772503626008074</v>
      </c>
      <c r="AF16" s="201">
        <f t="shared" si="11"/>
        <v>21.772503626008074</v>
      </c>
      <c r="AG16" s="201">
        <f t="shared" si="11"/>
        <v>21.772503626008074</v>
      </c>
      <c r="AH16" s="201">
        <f t="shared" si="11"/>
        <v>21.772503626008074</v>
      </c>
      <c r="AI16" s="201">
        <f t="shared" si="11"/>
        <v>21.772503626008074</v>
      </c>
      <c r="AJ16" s="201">
        <f t="shared" si="11"/>
        <v>21.772503626008074</v>
      </c>
      <c r="AK16" s="201">
        <f t="shared" si="11"/>
        <v>21.772503626008074</v>
      </c>
      <c r="AL16" s="201">
        <f t="shared" si="11"/>
        <v>21.772503626008074</v>
      </c>
      <c r="AM16" s="201">
        <f t="shared" si="11"/>
        <v>21.772503626008074</v>
      </c>
      <c r="AN16" s="201">
        <f t="shared" si="11"/>
        <v>21.772503626008074</v>
      </c>
      <c r="AO16" s="201">
        <f t="shared" si="11"/>
        <v>21.772503626008074</v>
      </c>
      <c r="AP16" s="201">
        <f t="shared" si="11"/>
        <v>21.772503626008074</v>
      </c>
      <c r="AQ16" s="201">
        <f t="shared" si="11"/>
        <v>21.772503626008074</v>
      </c>
      <c r="AR16" s="201">
        <f t="shared" si="11"/>
        <v>21.772503626008074</v>
      </c>
      <c r="AS16" s="201">
        <f t="shared" si="11"/>
        <v>21.772503626008074</v>
      </c>
      <c r="AT16" s="201">
        <f t="shared" si="11"/>
        <v>21.772503626008074</v>
      </c>
      <c r="AU16" s="201">
        <f t="shared" si="11"/>
        <v>21.772503626008074</v>
      </c>
      <c r="AV16" s="201">
        <f t="shared" si="11"/>
        <v>21.772503626008074</v>
      </c>
      <c r="AW16" s="201">
        <f t="shared" si="11"/>
        <v>21.772503626008074</v>
      </c>
      <c r="AX16" s="201">
        <f t="shared" si="11"/>
        <v>21.772503626008074</v>
      </c>
      <c r="AY16" s="201">
        <f t="shared" si="11"/>
        <v>21.772503626008074</v>
      </c>
      <c r="AZ16" s="201">
        <f t="shared" si="11"/>
        <v>21.772503626008074</v>
      </c>
    </row>
    <row r="17" spans="1:52" ht="14.6">
      <c r="A17" s="192" t="s">
        <v>392</v>
      </c>
      <c r="B17" s="147">
        <v>1.9034999999999997</v>
      </c>
      <c r="C17" s="147">
        <v>2.0811600000000001</v>
      </c>
      <c r="D17" s="147">
        <v>2.2841999999999998</v>
      </c>
      <c r="E17" s="147">
        <v>2.4618600000000002</v>
      </c>
      <c r="F17" s="147">
        <v>2.6648999999999998</v>
      </c>
      <c r="G17" s="147">
        <v>2.8679399999999999</v>
      </c>
      <c r="H17" s="147">
        <v>3.0455999999999999</v>
      </c>
      <c r="I17" s="147">
        <v>3.24864</v>
      </c>
      <c r="J17" s="147">
        <v>3.4262999999999999</v>
      </c>
      <c r="K17" s="147">
        <v>3.6293400000000005</v>
      </c>
      <c r="L17" s="147">
        <v>4.4668799999999997</v>
      </c>
      <c r="M17" s="147">
        <v>5.6089799999999999</v>
      </c>
      <c r="N17" s="147">
        <v>4.5176399999999992</v>
      </c>
      <c r="O17" s="147">
        <v>6.5987999999999998</v>
      </c>
      <c r="P17" s="147">
        <v>6.1419599999999992</v>
      </c>
      <c r="Q17" s="147">
        <v>5.6597400000000002</v>
      </c>
      <c r="R17" s="147">
        <v>7.5124799999999992</v>
      </c>
      <c r="S17" s="147">
        <v>9.3144599999999986</v>
      </c>
      <c r="T17" s="147">
        <v>9.0352799999999984</v>
      </c>
      <c r="U17" s="147">
        <v>9.0099</v>
      </c>
      <c r="V17" s="147">
        <v>10.431180000000001</v>
      </c>
      <c r="W17" s="147">
        <v>10.126620000000001</v>
      </c>
      <c r="X17" s="147">
        <v>9.4413599999999995</v>
      </c>
      <c r="Y17" s="147">
        <v>10.96416</v>
      </c>
      <c r="Z17" s="147">
        <v>10.786499999999998</v>
      </c>
      <c r="AA17" s="147">
        <v>8.6292000000000009</v>
      </c>
      <c r="AB17" s="147">
        <v>10.2789</v>
      </c>
      <c r="AC17" s="147">
        <v>12.23316</v>
      </c>
      <c r="AD17" s="147">
        <v>12.436199999999999</v>
      </c>
      <c r="AE17" s="147">
        <v>11.57328</v>
      </c>
      <c r="AF17" s="147">
        <v>14.415840000000001</v>
      </c>
      <c r="AG17" s="147">
        <v>12.842279999999999</v>
      </c>
      <c r="AH17" s="147">
        <v>10.811879999999999</v>
      </c>
      <c r="AI17" s="147">
        <v>12.283919999999998</v>
      </c>
      <c r="AJ17" s="147">
        <v>12.893039999999999</v>
      </c>
      <c r="AK17" s="147">
        <v>9.5428800000000003</v>
      </c>
      <c r="AL17" s="147">
        <v>9.8220600000000005</v>
      </c>
      <c r="AM17" s="147">
        <v>12.842279999999999</v>
      </c>
      <c r="AN17" s="147">
        <v>12.867659999999999</v>
      </c>
      <c r="AO17" s="147">
        <v>11.8017</v>
      </c>
      <c r="AP17" s="147">
        <v>14.06052</v>
      </c>
      <c r="AQ17" s="147">
        <v>12.25854</v>
      </c>
      <c r="AR17" s="147">
        <v>11.2941</v>
      </c>
      <c r="AS17" s="193">
        <f t="shared" ref="AS17:AZ17" si="12">-739+39.9*LN(AS93)</f>
        <v>7.0206595812674095</v>
      </c>
      <c r="AT17" s="193">
        <f t="shared" si="12"/>
        <v>7.0206595812674095</v>
      </c>
      <c r="AU17" s="193">
        <f t="shared" si="12"/>
        <v>7.0206595812674095</v>
      </c>
      <c r="AV17" s="193">
        <f t="shared" si="12"/>
        <v>7.0206595812674095</v>
      </c>
      <c r="AW17" s="193">
        <f t="shared" si="12"/>
        <v>7.0206595812674095</v>
      </c>
      <c r="AX17" s="193">
        <f t="shared" si="12"/>
        <v>7.0206595812674095</v>
      </c>
      <c r="AY17" s="193">
        <f t="shared" si="12"/>
        <v>7.0206595812674095</v>
      </c>
      <c r="AZ17" s="193">
        <f t="shared" si="12"/>
        <v>7.0206595812674095</v>
      </c>
    </row>
    <row r="18" spans="1:52" ht="14.6">
      <c r="A18" s="42" t="s">
        <v>393</v>
      </c>
      <c r="B18" s="202">
        <f t="shared" ref="B18:R18" si="13">B17/B15</f>
        <v>0.52101316079654736</v>
      </c>
      <c r="C18" s="202">
        <f t="shared" si="13"/>
        <v>0.49327255763398203</v>
      </c>
      <c r="D18" s="202">
        <f t="shared" si="13"/>
        <v>0.50700159007699142</v>
      </c>
      <c r="E18" s="202">
        <f t="shared" si="13"/>
        <v>0.42119211256488959</v>
      </c>
      <c r="F18" s="202">
        <f t="shared" si="13"/>
        <v>0.45823269919678017</v>
      </c>
      <c r="G18" s="202">
        <f t="shared" si="13"/>
        <v>0.4382502470928869</v>
      </c>
      <c r="H18" s="202">
        <f t="shared" si="13"/>
        <v>0.35240775252914558</v>
      </c>
      <c r="I18" s="202">
        <f t="shared" si="13"/>
        <v>0.35849950705088529</v>
      </c>
      <c r="J18" s="202">
        <f t="shared" si="13"/>
        <v>0.31813871820456613</v>
      </c>
      <c r="K18" s="202">
        <f t="shared" si="13"/>
        <v>0.33511994362002034</v>
      </c>
      <c r="L18" s="202">
        <f t="shared" si="13"/>
        <v>0.33021657314840941</v>
      </c>
      <c r="M18" s="202">
        <f t="shared" si="13"/>
        <v>0.40542748866875034</v>
      </c>
      <c r="N18" s="202">
        <f t="shared" si="13"/>
        <v>0.25255828491391524</v>
      </c>
      <c r="O18" s="202">
        <f t="shared" si="13"/>
        <v>0.25110210748472878</v>
      </c>
      <c r="P18" s="202">
        <f t="shared" si="13"/>
        <v>0.25850716863357032</v>
      </c>
      <c r="Q18" s="202">
        <f t="shared" si="13"/>
        <v>0.22758756105091374</v>
      </c>
      <c r="R18" s="202">
        <f t="shared" si="13"/>
        <v>0.28108460015443992</v>
      </c>
      <c r="S18" s="202">
        <f t="shared" ref="S18:AZ18" si="14">0.4984*EXP(-0.045*(S2-$B$2))</f>
        <v>0.23192243119759781</v>
      </c>
      <c r="T18" s="202">
        <f t="shared" si="14"/>
        <v>0.22171726020551388</v>
      </c>
      <c r="U18" s="202">
        <f t="shared" si="14"/>
        <v>0.21196114243540543</v>
      </c>
      <c r="V18" s="202">
        <f t="shared" si="14"/>
        <v>0.20263431841471463</v>
      </c>
      <c r="W18" s="202">
        <f t="shared" si="14"/>
        <v>0.1937178981374337</v>
      </c>
      <c r="X18" s="202">
        <f t="shared" si="14"/>
        <v>0.1851938228053876</v>
      </c>
      <c r="Y18" s="202">
        <f t="shared" si="14"/>
        <v>0.17704482825299583</v>
      </c>
      <c r="Z18" s="202">
        <f t="shared" si="14"/>
        <v>0.16925440998143765</v>
      </c>
      <c r="AA18" s="202">
        <f t="shared" si="14"/>
        <v>0.1618067897314015</v>
      </c>
      <c r="AB18" s="202">
        <f t="shared" si="14"/>
        <v>0.15468688352671775</v>
      </c>
      <c r="AC18" s="202">
        <f t="shared" si="14"/>
        <v>0.1478802711241522</v>
      </c>
      <c r="AD18" s="202">
        <f t="shared" si="14"/>
        <v>0.14137316680748557</v>
      </c>
      <c r="AE18" s="202">
        <f t="shared" si="14"/>
        <v>0.135152391466727</v>
      </c>
      <c r="AF18" s="202">
        <f t="shared" si="14"/>
        <v>0.12920534590591234</v>
      </c>
      <c r="AG18" s="202">
        <f t="shared" si="14"/>
        <v>0.12351998532542681</v>
      </c>
      <c r="AH18" s="202">
        <f t="shared" si="14"/>
        <v>0.11808479492716949</v>
      </c>
      <c r="AI18" s="202">
        <f t="shared" si="14"/>
        <v>0.11288876659315204</v>
      </c>
      <c r="AJ18" s="202">
        <f t="shared" si="14"/>
        <v>0.10792137659029792</v>
      </c>
      <c r="AK18" s="202">
        <f t="shared" si="14"/>
        <v>0.10317256425628649</v>
      </c>
      <c r="AL18" s="202">
        <f t="shared" si="14"/>
        <v>9.863271162327357E-2</v>
      </c>
      <c r="AM18" s="202">
        <f t="shared" si="14"/>
        <v>9.4292623938219855E-2</v>
      </c>
      <c r="AN18" s="202">
        <f t="shared" si="14"/>
        <v>9.0143511040373658E-2</v>
      </c>
      <c r="AO18" s="202">
        <f t="shared" si="14"/>
        <v>8.6176969558191444E-2</v>
      </c>
      <c r="AP18" s="202">
        <f t="shared" si="14"/>
        <v>8.2384965889638742E-2</v>
      </c>
      <c r="AQ18" s="202">
        <f t="shared" si="14"/>
        <v>7.8759819931400465E-2</v>
      </c>
      <c r="AR18" s="202">
        <f t="shared" si="14"/>
        <v>7.5294189524047234E-2</v>
      </c>
      <c r="AS18" s="202">
        <f t="shared" si="14"/>
        <v>7.1981055581653339E-2</v>
      </c>
      <c r="AT18" s="202">
        <f t="shared" si="14"/>
        <v>6.8813707875748989E-2</v>
      </c>
      <c r="AU18" s="202">
        <f t="shared" si="14"/>
        <v>6.5785731444814588E-2</v>
      </c>
      <c r="AV18" s="202">
        <f t="shared" si="14"/>
        <v>6.2890993601791331E-2</v>
      </c>
      <c r="AW18" s="202">
        <f t="shared" si="14"/>
        <v>6.0123631513294105E-2</v>
      </c>
      <c r="AX18" s="202">
        <f t="shared" si="14"/>
        <v>5.7478040325370357E-2</v>
      </c>
      <c r="AY18" s="202">
        <f t="shared" si="14"/>
        <v>5.4948861811755435E-2</v>
      </c>
      <c r="AZ18" s="202">
        <f t="shared" si="14"/>
        <v>5.2530973521633183E-2</v>
      </c>
    </row>
    <row r="19" spans="1:52" ht="14.6">
      <c r="A19" s="42" t="s">
        <v>394</v>
      </c>
      <c r="K19" s="203">
        <v>0.35</v>
      </c>
      <c r="L19" s="203">
        <v>0.27</v>
      </c>
      <c r="M19" s="203">
        <v>0.06</v>
      </c>
      <c r="N19" s="203">
        <v>0.24</v>
      </c>
      <c r="O19" s="203">
        <v>0.18</v>
      </c>
      <c r="P19" s="203">
        <v>0.16</v>
      </c>
      <c r="S19" s="147"/>
      <c r="T19" s="147"/>
      <c r="U19" s="147"/>
      <c r="V19" s="147"/>
      <c r="W19" s="147"/>
      <c r="X19" s="147"/>
      <c r="Y19" s="147"/>
      <c r="Z19" s="147"/>
      <c r="AA19" s="147"/>
      <c r="AB19" s="147"/>
      <c r="AC19" s="147"/>
      <c r="AD19" s="147"/>
      <c r="AE19" s="147"/>
      <c r="AF19" s="147"/>
      <c r="AG19" s="147"/>
      <c r="AH19" s="147"/>
      <c r="AI19" s="147"/>
      <c r="AJ19" s="147"/>
      <c r="AK19" s="147"/>
      <c r="AL19" s="147"/>
      <c r="AM19" s="147"/>
      <c r="AN19" s="147"/>
      <c r="AO19" s="147"/>
      <c r="AP19" s="147"/>
      <c r="AQ19" s="147"/>
      <c r="AR19" s="147"/>
    </row>
    <row r="20" spans="1:52" ht="14.6">
      <c r="A20" s="41" t="s">
        <v>395</v>
      </c>
      <c r="K20" s="193">
        <f t="shared" ref="K20:P20" si="15">K15*K19</f>
        <v>3.7904906114460002</v>
      </c>
      <c r="L20" s="193">
        <f t="shared" si="15"/>
        <v>3.6523230451487998</v>
      </c>
      <c r="M20" s="193">
        <f t="shared" si="15"/>
        <v>0.83008382363279998</v>
      </c>
      <c r="N20" s="193">
        <f t="shared" si="15"/>
        <v>4.2930034956864001</v>
      </c>
      <c r="O20" s="193">
        <f t="shared" si="15"/>
        <v>4.730282879335201</v>
      </c>
      <c r="P20" s="193">
        <f t="shared" si="15"/>
        <v>3.8014945782528002</v>
      </c>
      <c r="Q20" s="193">
        <f t="shared" ref="Q20:AZ20" si="16">AVERAGE(K20:P20)</f>
        <v>3.5162797389170009</v>
      </c>
      <c r="R20" s="193">
        <f t="shared" si="16"/>
        <v>3.4705779268288333</v>
      </c>
      <c r="S20" s="193">
        <f t="shared" si="16"/>
        <v>3.4402870737755062</v>
      </c>
      <c r="T20" s="193">
        <f t="shared" si="16"/>
        <v>3.8753209487992906</v>
      </c>
      <c r="U20" s="193">
        <f t="shared" si="16"/>
        <v>3.8057071909847724</v>
      </c>
      <c r="V20" s="193">
        <f t="shared" si="16"/>
        <v>3.6516112429263674</v>
      </c>
      <c r="W20" s="193">
        <f t="shared" si="16"/>
        <v>3.6266306870386287</v>
      </c>
      <c r="X20" s="193">
        <f t="shared" si="16"/>
        <v>3.6450225117255659</v>
      </c>
      <c r="Y20" s="193">
        <f t="shared" si="16"/>
        <v>3.6740966092083553</v>
      </c>
      <c r="Z20" s="193">
        <f t="shared" si="16"/>
        <v>3.71306486511383</v>
      </c>
      <c r="AA20" s="193">
        <f t="shared" si="16"/>
        <v>3.6860221844995862</v>
      </c>
      <c r="AB20" s="193">
        <f t="shared" si="16"/>
        <v>3.6660746834187221</v>
      </c>
      <c r="AC20" s="193">
        <f t="shared" si="16"/>
        <v>3.6684852568341149</v>
      </c>
      <c r="AD20" s="193">
        <f t="shared" si="16"/>
        <v>3.6754610184666956</v>
      </c>
      <c r="AE20" s="193">
        <f t="shared" si="16"/>
        <v>3.6805341029235508</v>
      </c>
      <c r="AF20" s="193">
        <f t="shared" si="16"/>
        <v>3.6816070185427505</v>
      </c>
      <c r="AG20" s="193">
        <f t="shared" si="16"/>
        <v>3.6763640441142367</v>
      </c>
      <c r="AH20" s="193">
        <f t="shared" si="16"/>
        <v>3.6747543540500121</v>
      </c>
      <c r="AI20" s="193">
        <f t="shared" si="16"/>
        <v>3.6762009658218933</v>
      </c>
      <c r="AJ20" s="193">
        <f t="shared" si="16"/>
        <v>3.6774869173198561</v>
      </c>
      <c r="AK20" s="193">
        <f t="shared" si="16"/>
        <v>3.6778245671287171</v>
      </c>
      <c r="AL20" s="193">
        <f t="shared" si="16"/>
        <v>3.6773729778295774</v>
      </c>
      <c r="AM20" s="193">
        <f t="shared" si="16"/>
        <v>3.6766673043773821</v>
      </c>
      <c r="AN20" s="193">
        <f t="shared" si="16"/>
        <v>3.6767178477545728</v>
      </c>
      <c r="AO20" s="193">
        <f t="shared" si="16"/>
        <v>3.6770450967053332</v>
      </c>
      <c r="AP20" s="193">
        <f t="shared" si="16"/>
        <v>3.6771857851859067</v>
      </c>
      <c r="AQ20" s="193">
        <f t="shared" si="16"/>
        <v>3.6771355964969143</v>
      </c>
      <c r="AR20" s="193">
        <f t="shared" si="16"/>
        <v>3.6770207680582807</v>
      </c>
      <c r="AS20" s="193">
        <f t="shared" si="16"/>
        <v>3.676962066429732</v>
      </c>
      <c r="AT20" s="193">
        <f t="shared" si="16"/>
        <v>3.6770111934384566</v>
      </c>
      <c r="AU20" s="193">
        <f t="shared" si="16"/>
        <v>3.6770600843857704</v>
      </c>
      <c r="AV20" s="193">
        <f t="shared" si="16"/>
        <v>3.6770625823325105</v>
      </c>
      <c r="AW20" s="193">
        <f t="shared" si="16"/>
        <v>3.6770420485236106</v>
      </c>
      <c r="AX20" s="193">
        <f t="shared" si="16"/>
        <v>3.6770264571947266</v>
      </c>
      <c r="AY20" s="193">
        <f t="shared" si="16"/>
        <v>3.6770274053841345</v>
      </c>
      <c r="AZ20" s="193">
        <f t="shared" si="16"/>
        <v>3.6770382952098681</v>
      </c>
    </row>
    <row r="21" spans="1:52" ht="14.6">
      <c r="A21" s="192" t="s">
        <v>396</v>
      </c>
      <c r="B21" s="193"/>
      <c r="C21" s="193"/>
      <c r="D21" s="193"/>
      <c r="E21" s="193"/>
      <c r="F21" s="193"/>
      <c r="G21" s="193"/>
      <c r="H21" s="193"/>
      <c r="I21" s="193"/>
      <c r="J21" s="193">
        <f>LOOKUP($AZ$22,'Assumptions (T&amp;D)'!$B$26:$B$33,'Assumptions (T&amp;D)'!$C$26:$C$33)</f>
        <v>8.3000000000000007</v>
      </c>
      <c r="K21" s="193">
        <f>LOOKUP($AZ$22,'Assumptions (T&amp;D)'!$B$26:$B$33,'Assumptions (T&amp;D)'!$C$26:$C$33)</f>
        <v>8.3000000000000007</v>
      </c>
      <c r="L21" s="193">
        <f>LOOKUP($AZ$22,'Assumptions (T&amp;D)'!$B$26:$B$33,'Assumptions (T&amp;D)'!$C$26:$C$33)</f>
        <v>8.3000000000000007</v>
      </c>
      <c r="M21" s="193">
        <f>LOOKUP($AZ$22,'Assumptions (T&amp;D)'!$B$26:$B$33,'Assumptions (T&amp;D)'!$C$26:$C$33)</f>
        <v>8.3000000000000007</v>
      </c>
      <c r="N21" s="193">
        <f>LOOKUP($AZ$22,'Assumptions (T&amp;D)'!$B$26:$B$33,'Assumptions (T&amp;D)'!$C$26:$C$33)</f>
        <v>8.3000000000000007</v>
      </c>
      <c r="O21" s="193">
        <f>LOOKUP($AZ$22,'Assumptions (T&amp;D)'!$B$26:$B$33,'Assumptions (T&amp;D)'!$C$26:$C$33)</f>
        <v>8.3000000000000007</v>
      </c>
      <c r="P21" s="193">
        <f>LOOKUP($AZ$22,'Assumptions (T&amp;D)'!$B$26:$B$33,'Assumptions (T&amp;D)'!$C$26:$C$33)</f>
        <v>8.3000000000000007</v>
      </c>
      <c r="Q21" s="193">
        <f>LOOKUP($AZ$22,'Assumptions (T&amp;D)'!$B$26:$B$33,'Assumptions (T&amp;D)'!$C$26:$C$33)</f>
        <v>8.3000000000000007</v>
      </c>
      <c r="R21" s="193">
        <f>LOOKUP($AZ$22,'Assumptions (T&amp;D)'!$B$26:$B$33,'Assumptions (T&amp;D)'!$C$26:$C$33)</f>
        <v>8.3000000000000007</v>
      </c>
      <c r="S21" s="193">
        <f>LOOKUP($AZ$22,'Assumptions (T&amp;D)'!$B$26:$B$33,'Assumptions (T&amp;D)'!$C$26:$C$33)</f>
        <v>8.3000000000000007</v>
      </c>
      <c r="T21" s="193">
        <f>LOOKUP($AZ$22,'Assumptions (T&amp;D)'!$B$26:$B$33,'Assumptions (T&amp;D)'!$C$26:$C$33)</f>
        <v>8.3000000000000007</v>
      </c>
      <c r="U21" s="193">
        <f>LOOKUP($AZ$22,'Assumptions (T&amp;D)'!$B$26:$B$33,'Assumptions (T&amp;D)'!$C$26:$C$33)</f>
        <v>8.3000000000000007</v>
      </c>
      <c r="V21" s="193">
        <f>LOOKUP($AZ$22,'Assumptions (T&amp;D)'!$B$26:$B$33,'Assumptions (T&amp;D)'!$C$26:$C$33)</f>
        <v>8.3000000000000007</v>
      </c>
      <c r="W21" s="193">
        <f>LOOKUP($AZ$22,'Assumptions (T&amp;D)'!$B$26:$B$33,'Assumptions (T&amp;D)'!$C$26:$C$33)</f>
        <v>8.3000000000000007</v>
      </c>
      <c r="X21" s="193">
        <f>LOOKUP($AZ$22,'Assumptions (T&amp;D)'!$B$26:$B$33,'Assumptions (T&amp;D)'!$C$26:$C$33)</f>
        <v>8.3000000000000007</v>
      </c>
      <c r="Y21" s="193">
        <f>LOOKUP($AZ$22,'Assumptions (T&amp;D)'!$B$26:$B$33,'Assumptions (T&amp;D)'!$C$26:$C$33)</f>
        <v>8.3000000000000007</v>
      </c>
      <c r="Z21" s="193">
        <f>LOOKUP($AZ$22,'Assumptions (T&amp;D)'!$B$26:$B$33,'Assumptions (T&amp;D)'!$C$26:$C$33)</f>
        <v>8.3000000000000007</v>
      </c>
      <c r="AA21" s="193">
        <f>LOOKUP($AZ$22,'Assumptions (T&amp;D)'!$B$26:$B$33,'Assumptions (T&amp;D)'!$C$26:$C$33)</f>
        <v>8.3000000000000007</v>
      </c>
      <c r="AB21" s="193">
        <f>LOOKUP($AZ$22,'Assumptions (T&amp;D)'!$B$26:$B$33,'Assumptions (T&amp;D)'!$C$26:$C$33)</f>
        <v>8.3000000000000007</v>
      </c>
      <c r="AC21" s="193">
        <f>LOOKUP($AZ$22,'Assumptions (T&amp;D)'!$B$26:$B$33,'Assumptions (T&amp;D)'!$C$26:$C$33)</f>
        <v>8.3000000000000007</v>
      </c>
      <c r="AD21" s="193">
        <f>LOOKUP($AZ$22,'Assumptions (T&amp;D)'!$B$26:$B$33,'Assumptions (T&amp;D)'!$C$26:$C$33)</f>
        <v>8.3000000000000007</v>
      </c>
      <c r="AE21" s="193">
        <f>LOOKUP($AZ$22,'Assumptions (T&amp;D)'!$B$26:$B$33,'Assumptions (T&amp;D)'!$C$26:$C$33)</f>
        <v>8.3000000000000007</v>
      </c>
      <c r="AF21" s="193">
        <f>LOOKUP($AZ$22,'Assumptions (T&amp;D)'!$B$26:$B$33,'Assumptions (T&amp;D)'!$C$26:$C$33)</f>
        <v>8.3000000000000007</v>
      </c>
      <c r="AG21" s="193">
        <f>LOOKUP($AZ$22,'Assumptions (T&amp;D)'!$B$26:$B$33,'Assumptions (T&amp;D)'!$C$26:$C$33)</f>
        <v>8.3000000000000007</v>
      </c>
      <c r="AH21" s="193">
        <f>LOOKUP($AZ$22,'Assumptions (T&amp;D)'!$B$26:$B$33,'Assumptions (T&amp;D)'!$C$26:$C$33)</f>
        <v>8.3000000000000007</v>
      </c>
      <c r="AI21" s="193">
        <f>LOOKUP($AZ$22,'Assumptions (T&amp;D)'!$B$26:$B$33,'Assumptions (T&amp;D)'!$C$26:$C$33)</f>
        <v>8.3000000000000007</v>
      </c>
      <c r="AJ21" s="193">
        <f>LOOKUP($AZ$22,'Assumptions (T&amp;D)'!$B$26:$B$33,'Assumptions (T&amp;D)'!$C$26:$C$33)</f>
        <v>8.3000000000000007</v>
      </c>
      <c r="AK21" s="193">
        <f>LOOKUP($AZ$22,'Assumptions (T&amp;D)'!$B$26:$B$33,'Assumptions (T&amp;D)'!$C$26:$C$33)</f>
        <v>8.3000000000000007</v>
      </c>
      <c r="AL21" s="193">
        <f>LOOKUP($AZ$22,'Assumptions (T&amp;D)'!$B$26:$B$33,'Assumptions (T&amp;D)'!$C$26:$C$33)</f>
        <v>8.3000000000000007</v>
      </c>
      <c r="AM21" s="193">
        <f>LOOKUP($AZ$22,'Assumptions (T&amp;D)'!$B$26:$B$33,'Assumptions (T&amp;D)'!$C$26:$C$33)</f>
        <v>8.3000000000000007</v>
      </c>
      <c r="AN21" s="193">
        <f>LOOKUP($AZ$22,'Assumptions (T&amp;D)'!$B$26:$B$33,'Assumptions (T&amp;D)'!$C$26:$C$33)</f>
        <v>8.3000000000000007</v>
      </c>
      <c r="AO21" s="193">
        <f>LOOKUP($AZ$22,'Assumptions (T&amp;D)'!$B$26:$B$33,'Assumptions (T&amp;D)'!$C$26:$C$33)</f>
        <v>8.3000000000000007</v>
      </c>
      <c r="AP21" s="193">
        <f>LOOKUP($AZ$22,'Assumptions (T&amp;D)'!$B$26:$B$33,'Assumptions (T&amp;D)'!$C$26:$C$33)</f>
        <v>8.3000000000000007</v>
      </c>
      <c r="AQ21" s="193">
        <f>LOOKUP($AZ$22,'Assumptions (T&amp;D)'!$B$26:$B$33,'Assumptions (T&amp;D)'!$C$26:$C$33)</f>
        <v>8.3000000000000007</v>
      </c>
      <c r="AR21" s="193">
        <f>LOOKUP($AZ$22,'Assumptions (T&amp;D)'!$B$26:$B$33,'Assumptions (T&amp;D)'!$C$26:$C$33)</f>
        <v>8.3000000000000007</v>
      </c>
      <c r="AS21" s="193">
        <f>LOOKUP($AZ$22,'Assumptions (T&amp;D)'!$B$26:$B$33,'Assumptions (T&amp;D)'!$C$26:$C$33)</f>
        <v>8.3000000000000007</v>
      </c>
      <c r="AT21" s="193">
        <f>LOOKUP($AZ$22,'Assumptions (T&amp;D)'!$B$26:$B$33,'Assumptions (T&amp;D)'!$C$26:$C$33)</f>
        <v>8.3000000000000007</v>
      </c>
      <c r="AU21" s="193">
        <f>LOOKUP($AZ$22,'Assumptions (T&amp;D)'!$B$26:$B$33,'Assumptions (T&amp;D)'!$C$26:$C$33)</f>
        <v>8.3000000000000007</v>
      </c>
      <c r="AV21" s="193">
        <f>LOOKUP($AZ$22,'Assumptions (T&amp;D)'!$B$26:$B$33,'Assumptions (T&amp;D)'!$C$26:$C$33)</f>
        <v>8.3000000000000007</v>
      </c>
      <c r="AW21" s="193">
        <f>LOOKUP($AZ$22,'Assumptions (T&amp;D)'!$B$26:$B$33,'Assumptions (T&amp;D)'!$C$26:$C$33)</f>
        <v>8.3000000000000007</v>
      </c>
      <c r="AX21" s="193">
        <f>LOOKUP($AZ$22,'Assumptions (T&amp;D)'!$B$26:$B$33,'Assumptions (T&amp;D)'!$C$26:$C$33)</f>
        <v>8.3000000000000007</v>
      </c>
      <c r="AY21" s="193">
        <f>LOOKUP($AZ$22,'Assumptions (T&amp;D)'!$B$26:$B$33,'Assumptions (T&amp;D)'!$C$26:$C$33)</f>
        <v>8.3000000000000007</v>
      </c>
      <c r="AZ21" s="193">
        <f>LOOKUP($AZ$22,'Assumptions (T&amp;D)'!$B$26:$B$33,'Assumptions (T&amp;D)'!$C$26:$C$33)</f>
        <v>8.3000000000000007</v>
      </c>
    </row>
    <row r="22" spans="1:52" ht="14.6">
      <c r="A22" s="42" t="s">
        <v>397</v>
      </c>
      <c r="B22" s="202">
        <f>(Model!C654+Model!C879)/SUM(Model!C9,Model!C413,Model!C654,Model!C879,Model!C1104,Model!C1331)</f>
        <v>1.6880537946289886E-3</v>
      </c>
      <c r="C22" s="202">
        <f>(Model!D654+Model!D879)/SUM(Model!D9,Model!D413,Model!D654,Model!D879,Model!D1104,Model!D1331)</f>
        <v>2.0622729836434635E-3</v>
      </c>
      <c r="D22" s="202">
        <f>(Model!E654+Model!E879)/SUM(Model!E9,Model!E413,Model!E654,Model!E879,Model!E1104,Model!E1331)</f>
        <v>2.9704486757058074E-3</v>
      </c>
      <c r="E22" s="202">
        <f>(Model!F654+Model!F879)/SUM(Model!F9,Model!F413,Model!F654,Model!F879,Model!F1104,Model!F1331)</f>
        <v>3.1954502527393805E-3</v>
      </c>
      <c r="F22" s="202">
        <f>(Model!G654+Model!G879)/SUM(Model!G9,Model!G413,Model!G654,Model!G879,Model!G1104,Model!G1331)</f>
        <v>3.920333071777863E-3</v>
      </c>
      <c r="G22" s="204">
        <f>(Model!H654+Model!H879)/SUM(Model!H9,Model!H413,Model!H654,Model!H879,Model!H1104,Model!H1331)</f>
        <v>4.7833814481422965E-3</v>
      </c>
      <c r="H22" s="204">
        <f>(Model!I654+Model!I879)/SUM(Model!I9,Model!I413,Model!I654,Model!I879,Model!I1104,Model!I1331)</f>
        <v>6.9221904344702158E-3</v>
      </c>
      <c r="I22" s="204">
        <f>(Model!J654+Model!J879)/SUM(Model!J9,Model!J413,Model!J654,Model!J879,Model!J1104,Model!J1331)</f>
        <v>8.7179861714125617E-3</v>
      </c>
      <c r="J22" s="204">
        <f>(Model!K654+Model!K879)/SUM(Model!K9,Model!K413,Model!K654,Model!K879,Model!K1104,Model!K1331)</f>
        <v>1.4073227250370255E-2</v>
      </c>
      <c r="K22" s="202">
        <f>(Model!L654+Model!L879)/SUM(Model!L9,Model!L413,Model!L654,Model!L879,Model!L1104,Model!L1331)</f>
        <v>1.9524796496030443E-2</v>
      </c>
      <c r="L22" s="202">
        <f>(Model!M654+Model!M879)/SUM(Model!M9,Model!M413,Model!M654,Model!M879,Model!M1104,Model!M1331)</f>
        <v>2.3955155442899154E-2</v>
      </c>
      <c r="M22" s="202">
        <f>(Model!N654+Model!N879)/SUM(Model!N9,Model!N413,Model!N654,Model!N879,Model!N1104,Model!N1331)</f>
        <v>3.0632280286845365E-2</v>
      </c>
      <c r="N22" s="202">
        <f>(Model!O654+Model!O879)/SUM(Model!O9,Model!O413,Model!O654,Model!O879,Model!O1104,Model!O1331)</f>
        <v>3.6894858908598657E-2</v>
      </c>
      <c r="O22" s="202">
        <f>(Model!P654+Model!P879)/SUM(Model!P9,Model!P413,Model!P654,Model!P879,Model!P1104,Model!P1331)</f>
        <v>4.48048117678966E-2</v>
      </c>
      <c r="P22" s="202">
        <f>(Model!Q654+Model!Q879)/SUM(Model!Q9,Model!Q413,Model!Q654,Model!Q879,Model!Q1104,Model!Q1331)</f>
        <v>5.0190720475256773E-2</v>
      </c>
      <c r="Q22" s="202">
        <f>(Model!R654+Model!R879)/SUM(Model!R9,Model!R413,Model!R654,Model!R879,Model!R1104,Model!R1331)</f>
        <v>5.4511944303206848E-2</v>
      </c>
      <c r="R22" s="202">
        <f>(Model!S654+Model!S879)/SUM(Model!S9,Model!S413,Model!S654,Model!S879,Model!S1104,Model!S1331)</f>
        <v>7.2444426173828916E-2</v>
      </c>
      <c r="S22" s="202">
        <f>(Model!T654+Model!T879)/SUM(Model!T9,Model!T413,Model!T654,Model!T879,Model!T1104,Model!T1331)</f>
        <v>8.1737941961747856E-2</v>
      </c>
      <c r="T22" s="202">
        <f>(Model!U654+Model!U879)/SUM(Model!U9,Model!U413,Model!U654,Model!U879,Model!U1104,Model!U1331)</f>
        <v>8.4664398134281532E-2</v>
      </c>
      <c r="U22" s="202">
        <f>(Model!V654+Model!V879)/SUM(Model!V9,Model!V413,Model!V654,Model!V879,Model!V1104,Model!V1331)</f>
        <v>9.5388421560885298E-2</v>
      </c>
      <c r="V22" s="202">
        <f>(Model!W654+Model!W879)/SUM(Model!W9,Model!W413,Model!W654,Model!W879,Model!W1104,Model!W1331)</f>
        <v>0.11818212848266509</v>
      </c>
      <c r="W22" s="202">
        <f>(Model!X654+Model!X879)/SUM(Model!X9,Model!X413,Model!X654,Model!X879,Model!X1104,Model!X1331)</f>
        <v>0.12277363956039987</v>
      </c>
      <c r="X22" s="202">
        <f>(Model!Y654+Model!Y879)/SUM(Model!Y9,Model!Y413,Model!Y654,Model!Y879,Model!Y1104,Model!Y1331)</f>
        <v>0.12764035021214465</v>
      </c>
      <c r="Y22" s="202">
        <f>(Model!Z654+Model!Z879)/SUM(Model!Z9,Model!Z413,Model!Z654,Model!Z879,Model!Z1104,Model!Z1331)</f>
        <v>0.13280776660559968</v>
      </c>
      <c r="Z22" s="202">
        <f>(Model!AA654+Model!AA879)/SUM(Model!AA9,Model!AA413,Model!AA654,Model!AA879,Model!AA1104,Model!AA1331)</f>
        <v>0.13830464735513373</v>
      </c>
      <c r="AA22" s="202">
        <f>(Model!AB654+Model!AB879)/SUM(Model!AB9,Model!AB413,Model!AB654,Model!AB879,Model!AB1104,Model!AB1331)</f>
        <v>0.14416353901693127</v>
      </c>
      <c r="AB22" s="202">
        <f>(Model!AC654+Model!AC879)/SUM(Model!AC9,Model!AC413,Model!AC654,Model!AC879,Model!AC1104,Model!AC1331)</f>
        <v>0.1504214209857386</v>
      </c>
      <c r="AC22" s="202">
        <f>(Model!AD654+Model!AD879)/SUM(Model!AD9,Model!AD413,Model!AD654,Model!AD879,Model!AD1104,Model!AD1331)</f>
        <v>0.15712048678824739</v>
      </c>
      <c r="AD22" s="202">
        <f>(Model!AE654+Model!AE879)/SUM(Model!AE9,Model!AE413,Model!AE654,Model!AE879,Model!AE1104,Model!AE1331)</f>
        <v>0.16430909665896132</v>
      </c>
      <c r="AE22" s="202">
        <f>(Model!AF654+Model!AF879)/SUM(Model!AF9,Model!AF413,Model!AF654,Model!AF879,Model!AF1104,Model!AF1331)</f>
        <v>0.17204294686845178</v>
      </c>
      <c r="AF22" s="202">
        <f>(Model!AG654+Model!AG879)/SUM(Model!AG9,Model!AG413,Model!AG654,Model!AG879,Model!AG1104,Model!AG1331)</f>
        <v>0.1803865156128702</v>
      </c>
      <c r="AG22" s="202">
        <f>(Model!AH654+Model!AH879)/SUM(Model!AH9,Model!AH413,Model!AH654,Model!AH879,Model!AH1104,Model!AH1331)</f>
        <v>0.18941486490832407</v>
      </c>
      <c r="AH22" s="202">
        <f>(Model!AI654+Model!AI879)/SUM(Model!AI9,Model!AI413,Model!AI654,Model!AI879,Model!AI1104,Model!AI1331)</f>
        <v>0.19921590513043466</v>
      </c>
      <c r="AI22" s="202">
        <f>(Model!AJ654+Model!AJ879)/SUM(Model!AJ9,Model!AJ413,Model!AJ654,Model!AJ879,Model!AJ1104,Model!AJ1331)</f>
        <v>0.20989326697870217</v>
      </c>
      <c r="AJ22" s="202">
        <f>(Model!AK654+Model!AK879)/SUM(Model!AK9,Model!AK413,Model!AK654,Model!AK879,Model!AK1104,Model!AK1331)</f>
        <v>0.22156997984807905</v>
      </c>
      <c r="AK22" s="202">
        <f>(Model!AL654+Model!AL879)/SUM(Model!AL9,Model!AL413,Model!AL654,Model!AL879,Model!AL1104,Model!AL1331)</f>
        <v>0.23439323374279419</v>
      </c>
      <c r="AL22" s="202">
        <f>(Model!AM654+Model!AM879)/SUM(Model!AM9,Model!AM413,Model!AM654,Model!AM879,Model!AM1104,Model!AM1331)</f>
        <v>0.2485406163352854</v>
      </c>
      <c r="AM22" s="202">
        <f>(Model!AN654+Model!AN879)/SUM(Model!AN9,Model!AN413,Model!AN654,Model!AN879,Model!AN1104,Model!AN1331)</f>
        <v>0.26422838732634107</v>
      </c>
      <c r="AN22" s="202">
        <f>(Model!AO654+Model!AO879)/SUM(Model!AO9,Model!AO413,Model!AO654,Model!AO879,Model!AO1104,Model!AO1331)</f>
        <v>0.28172261119251857</v>
      </c>
      <c r="AO22" s="202">
        <f>(Model!AP654+Model!AP879)/SUM(Model!AP9,Model!AP413,Model!AP654,Model!AP879,Model!AP1104,Model!AP1331)</f>
        <v>0.30135437070524462</v>
      </c>
      <c r="AP22" s="202">
        <f>(Model!AQ654+Model!AQ879)/SUM(Model!AQ9,Model!AQ413,Model!AQ654,Model!AQ879,Model!AQ1104,Model!AQ1331)</f>
        <v>0.32354091990863809</v>
      </c>
      <c r="AQ22" s="202">
        <f>(Model!AR654+Model!AR879)/SUM(Model!AR9,Model!AR413,Model!AR654,Model!AR879,Model!AR1104,Model!AR1331)</f>
        <v>0.34881567010419218</v>
      </c>
      <c r="AR22" s="202">
        <f>(Model!AS654+Model!AS879)/SUM(Model!AS9,Model!AS413,Model!AS654,Model!AS879,Model!AS1104,Model!AS1331)</f>
        <v>0.37787163394049356</v>
      </c>
      <c r="AS22" s="202">
        <f>(Model!AT654+Model!AT879)/SUM(Model!AT9,Model!AT413,Model!AT654,Model!AT879,Model!AT1104,Model!AT1331)</f>
        <v>0.41162594421780641</v>
      </c>
      <c r="AT22" s="202">
        <f>(Model!AU654+Model!AU879)/SUM(Model!AU9,Model!AU413,Model!AU654,Model!AU879,Model!AU1104,Model!AU1331)</f>
        <v>0.45131842377355053</v>
      </c>
      <c r="AU22" s="202">
        <f>(Model!AV654+Model!AV879)/SUM(Model!AV9,Model!AV413,Model!AV654,Model!AV879,Model!AV1104,Model!AV1331)</f>
        <v>0.49866719487165678</v>
      </c>
      <c r="AV22" s="202">
        <f>(Model!AW654+Model!AW879)/SUM(Model!AW9,Model!AW413,Model!AW654,Model!AW879,Model!AW1104,Model!AW1331)</f>
        <v>0.5561239467251653</v>
      </c>
      <c r="AW22" s="202">
        <f>(Model!AX654+Model!AX879)/SUM(Model!AX9,Model!AX413,Model!AX654,Model!AX879,Model!AX1104,Model!AX1331)</f>
        <v>0.62731222128929942</v>
      </c>
      <c r="AX22" s="202">
        <f>(Model!AY654+Model!AY879)/SUM(Model!AY9,Model!AY413,Model!AY654,Model!AY879,Model!AY1104,Model!AY1331)</f>
        <v>0.71782258066105387</v>
      </c>
      <c r="AY22" s="202">
        <f>(Model!AZ654+Model!AZ879)/SUM(Model!AZ9,Model!AZ413,Model!AZ654,Model!AZ879,Model!AZ1104,Model!AZ1331)</f>
        <v>0.83675692041262173</v>
      </c>
      <c r="AZ22" s="202">
        <f>(Model!BA654+Model!BA879)/SUM(Model!BA9,Model!BA413,Model!BA654,Model!BA879,Model!BA1104,Model!BA1331)</f>
        <v>0.99999872539358847</v>
      </c>
    </row>
    <row r="23" spans="1:52" ht="14.6">
      <c r="A23" s="41" t="s">
        <v>398</v>
      </c>
      <c r="B23" s="193">
        <f t="shared" ref="B23:R23" si="17">B15-B17-B21</f>
        <v>1.749958575</v>
      </c>
      <c r="C23" s="193">
        <f t="shared" si="17"/>
        <v>2.1379273337499991</v>
      </c>
      <c r="D23" s="193">
        <f t="shared" si="17"/>
        <v>2.2211113140200003</v>
      </c>
      <c r="E23" s="193">
        <f t="shared" si="17"/>
        <v>3.3831212485999997</v>
      </c>
      <c r="F23" s="193">
        <f t="shared" si="17"/>
        <v>3.1507041781200003</v>
      </c>
      <c r="G23" s="193">
        <f t="shared" si="17"/>
        <v>3.6761293280251399</v>
      </c>
      <c r="H23" s="193">
        <f t="shared" si="17"/>
        <v>5.596661636250797</v>
      </c>
      <c r="I23" s="193">
        <f t="shared" si="17"/>
        <v>5.8131297824027666</v>
      </c>
      <c r="J23" s="193">
        <f t="shared" si="17"/>
        <v>-0.95646972175999778</v>
      </c>
      <c r="K23" s="193">
        <f t="shared" si="17"/>
        <v>-1.0993668244400006</v>
      </c>
      <c r="L23" s="193">
        <f t="shared" si="17"/>
        <v>0.76024238943999833</v>
      </c>
      <c r="M23" s="193">
        <f t="shared" si="17"/>
        <v>-7.4249606119998646E-2</v>
      </c>
      <c r="N23" s="193">
        <f t="shared" si="17"/>
        <v>5.0698745653599993</v>
      </c>
      <c r="O23" s="193">
        <f t="shared" si="17"/>
        <v>11.380549329640004</v>
      </c>
      <c r="P23" s="193">
        <f t="shared" si="17"/>
        <v>9.3173811140800034</v>
      </c>
      <c r="Q23" s="193">
        <f t="shared" si="17"/>
        <v>10.908666576639998</v>
      </c>
      <c r="R23" s="193">
        <f t="shared" si="17"/>
        <v>10.914277694560003</v>
      </c>
      <c r="S23" s="193">
        <f t="shared" ref="S23:AZ23" si="18">AVERAGE(M23:R23)</f>
        <v>7.9194166123600001</v>
      </c>
      <c r="T23" s="193">
        <f t="shared" si="18"/>
        <v>9.2516943154400018</v>
      </c>
      <c r="U23" s="193">
        <f t="shared" si="18"/>
        <v>9.9486642737866688</v>
      </c>
      <c r="V23" s="193">
        <f t="shared" si="18"/>
        <v>9.7100167644777802</v>
      </c>
      <c r="W23" s="193">
        <f t="shared" si="18"/>
        <v>9.7754560395440748</v>
      </c>
      <c r="X23" s="193">
        <f t="shared" si="18"/>
        <v>9.5865876166947555</v>
      </c>
      <c r="Y23" s="193">
        <f t="shared" si="18"/>
        <v>9.3653059370505467</v>
      </c>
      <c r="Z23" s="193">
        <f t="shared" si="18"/>
        <v>9.606287491165638</v>
      </c>
      <c r="AA23" s="193">
        <f t="shared" si="18"/>
        <v>9.6653863537865767</v>
      </c>
      <c r="AB23" s="193">
        <f t="shared" si="18"/>
        <v>9.6181733671198959</v>
      </c>
      <c r="AC23" s="193">
        <f t="shared" si="18"/>
        <v>9.6028661342269146</v>
      </c>
      <c r="AD23" s="193">
        <f t="shared" si="18"/>
        <v>9.5741011500073867</v>
      </c>
      <c r="AE23" s="193">
        <f t="shared" si="18"/>
        <v>9.5720200722261595</v>
      </c>
      <c r="AF23" s="193">
        <f t="shared" si="18"/>
        <v>9.6064724280887628</v>
      </c>
      <c r="AG23" s="193">
        <f t="shared" si="18"/>
        <v>9.6065032509092827</v>
      </c>
      <c r="AH23" s="193">
        <f t="shared" si="18"/>
        <v>9.5966894004297334</v>
      </c>
      <c r="AI23" s="193">
        <f t="shared" si="18"/>
        <v>9.5931087393147063</v>
      </c>
      <c r="AJ23" s="193">
        <f t="shared" si="18"/>
        <v>9.5914825068293386</v>
      </c>
      <c r="AK23" s="193">
        <f t="shared" si="18"/>
        <v>9.5943793996329969</v>
      </c>
      <c r="AL23" s="193">
        <f t="shared" si="18"/>
        <v>9.598105954200804</v>
      </c>
      <c r="AM23" s="193">
        <f t="shared" si="18"/>
        <v>9.5967115418861439</v>
      </c>
      <c r="AN23" s="193">
        <f t="shared" si="18"/>
        <v>9.5950795903822872</v>
      </c>
      <c r="AO23" s="193">
        <f t="shared" si="18"/>
        <v>9.5948112887077119</v>
      </c>
      <c r="AP23" s="193">
        <f t="shared" si="18"/>
        <v>9.5950950469398801</v>
      </c>
      <c r="AQ23" s="193">
        <f t="shared" si="18"/>
        <v>9.5956971369583055</v>
      </c>
      <c r="AR23" s="193">
        <f t="shared" si="18"/>
        <v>9.5959167598458563</v>
      </c>
      <c r="AS23" s="193">
        <f t="shared" si="18"/>
        <v>9.5955518941200317</v>
      </c>
      <c r="AT23" s="193">
        <f t="shared" si="18"/>
        <v>9.5953586194923464</v>
      </c>
      <c r="AU23" s="193">
        <f t="shared" si="18"/>
        <v>9.5954051243440208</v>
      </c>
      <c r="AV23" s="193">
        <f t="shared" si="18"/>
        <v>9.5955040969500729</v>
      </c>
      <c r="AW23" s="193">
        <f t="shared" si="18"/>
        <v>9.595572271951772</v>
      </c>
      <c r="AX23" s="193">
        <f t="shared" si="18"/>
        <v>9.5955514611173509</v>
      </c>
      <c r="AY23" s="193">
        <f t="shared" si="18"/>
        <v>9.5954905779959336</v>
      </c>
      <c r="AZ23" s="193">
        <f t="shared" si="18"/>
        <v>9.5954803586419164</v>
      </c>
    </row>
    <row r="24" spans="1:52" ht="15.75" customHeight="1">
      <c r="A24" s="41" t="s">
        <v>399</v>
      </c>
      <c r="K24" s="193">
        <f t="shared" ref="K24:P24" si="19">K15-K20-K17</f>
        <v>3.4101425641140009</v>
      </c>
      <c r="L24" s="193">
        <f t="shared" si="19"/>
        <v>5.4079193442911997</v>
      </c>
      <c r="M24" s="193">
        <f t="shared" si="19"/>
        <v>7.3956665702472018</v>
      </c>
      <c r="N24" s="193">
        <f t="shared" si="19"/>
        <v>9.0768710696736008</v>
      </c>
      <c r="O24" s="193">
        <f t="shared" si="19"/>
        <v>14.950266450304806</v>
      </c>
      <c r="P24" s="193">
        <f t="shared" si="19"/>
        <v>13.815886535827202</v>
      </c>
      <c r="Q24" s="193">
        <f t="shared" ref="Q24:AZ24" si="20">AVERAGE(K24:P24)</f>
        <v>9.0094587557430028</v>
      </c>
      <c r="R24" s="193">
        <f t="shared" si="20"/>
        <v>9.9426781210145041</v>
      </c>
      <c r="S24" s="193">
        <f t="shared" si="20"/>
        <v>10.698471250468387</v>
      </c>
      <c r="T24" s="193">
        <f t="shared" si="20"/>
        <v>11.248938697171917</v>
      </c>
      <c r="U24" s="193">
        <f t="shared" si="20"/>
        <v>11.610949968421636</v>
      </c>
      <c r="V24" s="193">
        <f t="shared" si="20"/>
        <v>11.054397221441107</v>
      </c>
      <c r="W24" s="193">
        <f t="shared" si="20"/>
        <v>10.594149002376758</v>
      </c>
      <c r="X24" s="193">
        <f t="shared" si="20"/>
        <v>10.858264043482384</v>
      </c>
      <c r="Y24" s="193">
        <f t="shared" si="20"/>
        <v>11.01086169722703</v>
      </c>
      <c r="Z24" s="193">
        <f t="shared" si="20"/>
        <v>11.062926771686806</v>
      </c>
      <c r="AA24" s="193">
        <f t="shared" si="20"/>
        <v>11.031924784105954</v>
      </c>
      <c r="AB24" s="193">
        <f t="shared" si="20"/>
        <v>10.935420586720006</v>
      </c>
      <c r="AC24" s="193">
        <f t="shared" si="20"/>
        <v>10.915591147599821</v>
      </c>
      <c r="AD24" s="193">
        <f t="shared" si="20"/>
        <v>10.969164838470334</v>
      </c>
      <c r="AE24" s="193">
        <f t="shared" si="20"/>
        <v>10.987648304301658</v>
      </c>
      <c r="AF24" s="193">
        <f t="shared" si="20"/>
        <v>10.983779405480762</v>
      </c>
      <c r="AG24" s="193">
        <f t="shared" si="20"/>
        <v>10.970588177779755</v>
      </c>
      <c r="AH24" s="193">
        <f t="shared" si="20"/>
        <v>10.960365410058722</v>
      </c>
      <c r="AI24" s="193">
        <f t="shared" si="20"/>
        <v>10.964522880615176</v>
      </c>
      <c r="AJ24" s="193">
        <f t="shared" si="20"/>
        <v>10.972678169451067</v>
      </c>
      <c r="AK24" s="193">
        <f t="shared" si="20"/>
        <v>10.973263724614524</v>
      </c>
      <c r="AL24" s="193">
        <f t="shared" si="20"/>
        <v>10.970866294666669</v>
      </c>
      <c r="AM24" s="193">
        <f t="shared" si="20"/>
        <v>10.968714109530985</v>
      </c>
      <c r="AN24" s="193">
        <f t="shared" si="20"/>
        <v>10.968401764822858</v>
      </c>
      <c r="AO24" s="193">
        <f t="shared" si="20"/>
        <v>10.969741157283545</v>
      </c>
      <c r="AP24" s="193">
        <f t="shared" si="20"/>
        <v>10.970610870061607</v>
      </c>
      <c r="AQ24" s="193">
        <f t="shared" si="20"/>
        <v>10.970266320163367</v>
      </c>
      <c r="AR24" s="193">
        <f t="shared" si="20"/>
        <v>10.969766752754838</v>
      </c>
      <c r="AS24" s="193">
        <f t="shared" si="20"/>
        <v>10.969583495769534</v>
      </c>
      <c r="AT24" s="193">
        <f t="shared" si="20"/>
        <v>10.969728393475956</v>
      </c>
      <c r="AU24" s="193">
        <f t="shared" si="20"/>
        <v>10.969949498251474</v>
      </c>
      <c r="AV24" s="193">
        <f t="shared" si="20"/>
        <v>10.969984221746129</v>
      </c>
      <c r="AW24" s="193">
        <f t="shared" si="20"/>
        <v>10.969879780360216</v>
      </c>
      <c r="AX24" s="193">
        <f t="shared" si="20"/>
        <v>10.969815357059693</v>
      </c>
      <c r="AY24" s="193">
        <f t="shared" si="20"/>
        <v>10.969823457777167</v>
      </c>
      <c r="AZ24" s="193">
        <f t="shared" si="20"/>
        <v>10.969863451445107</v>
      </c>
    </row>
    <row r="25" spans="1:52" ht="62.25" customHeight="1">
      <c r="B25" s="205" t="s">
        <v>400</v>
      </c>
      <c r="C25" s="205" t="s">
        <v>401</v>
      </c>
      <c r="D25" s="206" t="s">
        <v>402</v>
      </c>
    </row>
    <row r="26" spans="1:52" ht="15.75" customHeight="1">
      <c r="A26" s="42" t="s">
        <v>403</v>
      </c>
      <c r="B26" s="207">
        <v>0.06</v>
      </c>
      <c r="C26" s="208">
        <v>1.8</v>
      </c>
      <c r="D26" s="80">
        <v>5</v>
      </c>
    </row>
    <row r="27" spans="1:52" ht="15.75" customHeight="1">
      <c r="A27" s="42" t="s">
        <v>404</v>
      </c>
      <c r="B27" s="207">
        <v>0.13</v>
      </c>
      <c r="C27" s="208">
        <v>2</v>
      </c>
      <c r="D27" s="80">
        <v>11</v>
      </c>
    </row>
    <row r="28" spans="1:52" ht="15.75" customHeight="1">
      <c r="A28" s="42" t="s">
        <v>405</v>
      </c>
      <c r="B28" s="207">
        <v>0.21</v>
      </c>
      <c r="C28" s="208">
        <v>2.6</v>
      </c>
      <c r="D28" s="80">
        <v>25</v>
      </c>
    </row>
    <row r="29" spans="1:52" ht="15.75" customHeight="1">
      <c r="A29" s="42" t="s">
        <v>406</v>
      </c>
      <c r="B29" s="207">
        <v>0.3</v>
      </c>
      <c r="C29" s="208">
        <v>3.5</v>
      </c>
      <c r="D29" s="80">
        <v>35</v>
      </c>
    </row>
    <row r="30" spans="1:52" ht="15.75" customHeight="1">
      <c r="A30" s="42" t="s">
        <v>407</v>
      </c>
      <c r="B30" s="207">
        <v>0.35</v>
      </c>
      <c r="C30" s="208">
        <v>4.3</v>
      </c>
      <c r="D30" s="80">
        <v>45</v>
      </c>
    </row>
    <row r="31" spans="1:52" ht="15.75" customHeight="1">
      <c r="A31" s="42" t="s">
        <v>408</v>
      </c>
      <c r="B31" s="207">
        <v>0.42</v>
      </c>
      <c r="C31" s="208">
        <v>5.2</v>
      </c>
      <c r="D31" s="80">
        <v>70</v>
      </c>
    </row>
    <row r="32" spans="1:52" ht="15.75" customHeight="1">
      <c r="A32" s="42" t="s">
        <v>409</v>
      </c>
      <c r="B32" s="207">
        <v>0.5</v>
      </c>
      <c r="C32" s="208">
        <v>6.5</v>
      </c>
      <c r="D32" s="80">
        <v>110</v>
      </c>
    </row>
    <row r="33" spans="1:25" ht="15.75" customHeight="1">
      <c r="A33" s="42" t="s">
        <v>410</v>
      </c>
      <c r="B33" s="207">
        <v>0.6</v>
      </c>
      <c r="C33" s="208">
        <v>8.3000000000000007</v>
      </c>
      <c r="D33" s="80">
        <v>197</v>
      </c>
    </row>
    <row r="34" spans="1:25" ht="15.75" customHeight="1">
      <c r="A34" s="42"/>
      <c r="B34" s="39"/>
      <c r="C34" s="147"/>
    </row>
    <row r="35" spans="1:25" ht="15.75" customHeight="1"/>
    <row r="36" spans="1:25" ht="15.75" customHeight="1">
      <c r="A36" s="42" t="s">
        <v>411</v>
      </c>
    </row>
    <row r="37" spans="1:25" ht="15.75" customHeight="1">
      <c r="A37" s="99" t="s">
        <v>413</v>
      </c>
      <c r="B37" s="86">
        <v>24.09</v>
      </c>
      <c r="C37" s="86">
        <v>7.7</v>
      </c>
      <c r="D37" s="86">
        <v>0</v>
      </c>
      <c r="E37" s="86">
        <v>13.509999999999998</v>
      </c>
      <c r="F37" s="86">
        <v>24.82</v>
      </c>
      <c r="G37" s="86">
        <v>2.5099999999999998</v>
      </c>
      <c r="H37" s="86">
        <v>2.6</v>
      </c>
      <c r="I37" s="86">
        <v>12.2</v>
      </c>
      <c r="J37" s="86">
        <v>0.02</v>
      </c>
      <c r="K37" s="86">
        <v>1</v>
      </c>
      <c r="L37" s="86">
        <v>26.5</v>
      </c>
      <c r="M37" s="86"/>
    </row>
    <row r="38" spans="1:25" ht="15.75" customHeight="1">
      <c r="A38" s="99" t="s">
        <v>414</v>
      </c>
      <c r="B38">
        <v>95.050000000000011</v>
      </c>
      <c r="C38">
        <v>114.8</v>
      </c>
      <c r="D38">
        <v>153.63</v>
      </c>
      <c r="E38">
        <v>544.23</v>
      </c>
      <c r="F38">
        <v>656.37800000000004</v>
      </c>
      <c r="G38">
        <v>65.47999999999999</v>
      </c>
      <c r="H38">
        <v>94.36</v>
      </c>
      <c r="I38">
        <v>80.519999999999982</v>
      </c>
      <c r="J38">
        <v>52.18</v>
      </c>
      <c r="K38">
        <v>52.760000000000012</v>
      </c>
      <c r="L38">
        <v>106.07000000000001</v>
      </c>
    </row>
    <row r="39" spans="1:25" ht="15.75" customHeight="1">
      <c r="A39" s="99" t="s">
        <v>415</v>
      </c>
      <c r="B39">
        <v>155.13999999999999</v>
      </c>
      <c r="C39">
        <v>262.75000000000006</v>
      </c>
      <c r="D39">
        <v>312.67999999999995</v>
      </c>
      <c r="E39">
        <v>217.5</v>
      </c>
      <c r="F39">
        <v>24.63</v>
      </c>
      <c r="G39">
        <v>27.5</v>
      </c>
      <c r="H39">
        <v>204.1</v>
      </c>
      <c r="I39">
        <v>173.82</v>
      </c>
      <c r="J39">
        <v>21.6</v>
      </c>
      <c r="K39">
        <v>107.13999999999999</v>
      </c>
      <c r="L39">
        <v>308.45</v>
      </c>
    </row>
    <row r="40" spans="1:25" ht="15.75" customHeight="1">
      <c r="A40" s="211" t="s">
        <v>416</v>
      </c>
    </row>
    <row r="41" spans="1:25" ht="15.75" customHeight="1">
      <c r="A41" s="99" t="s">
        <v>413</v>
      </c>
      <c r="G41">
        <v>16.29</v>
      </c>
      <c r="H41">
        <v>68.010000000000005</v>
      </c>
      <c r="I41">
        <v>189.46999999999997</v>
      </c>
      <c r="J41">
        <v>146.52000000000001</v>
      </c>
      <c r="K41">
        <v>119.30000000000001</v>
      </c>
      <c r="L41">
        <v>52.55</v>
      </c>
    </row>
    <row r="42" spans="1:25" ht="15.75" customHeight="1">
      <c r="A42" s="99" t="s">
        <v>414</v>
      </c>
      <c r="G42">
        <v>562.45999999999992</v>
      </c>
      <c r="H42">
        <v>404.07</v>
      </c>
      <c r="I42">
        <v>437.9899999999999</v>
      </c>
      <c r="J42">
        <v>295.21999999999986</v>
      </c>
      <c r="K42">
        <v>350.15000000000003</v>
      </c>
      <c r="L42">
        <v>258.08000000000004</v>
      </c>
    </row>
    <row r="43" spans="1:25" ht="15.75" customHeight="1">
      <c r="A43" s="99" t="s">
        <v>415</v>
      </c>
      <c r="G43">
        <v>39.92</v>
      </c>
      <c r="H43">
        <v>32.24</v>
      </c>
      <c r="I43">
        <v>52.6</v>
      </c>
      <c r="J43">
        <v>13.42</v>
      </c>
      <c r="K43">
        <v>0.5</v>
      </c>
      <c r="L43">
        <v>115.50000000000001</v>
      </c>
    </row>
    <row r="44" spans="1:25" ht="15.75" customHeight="1">
      <c r="A44" s="23" t="s">
        <v>419</v>
      </c>
    </row>
    <row r="45" spans="1:25" ht="15.75" customHeight="1">
      <c r="A45" s="99" t="s">
        <v>413</v>
      </c>
      <c r="B45" s="193">
        <f t="shared" ref="B45:F45" si="21">0.001*B37</f>
        <v>2.409E-2</v>
      </c>
      <c r="C45" s="193">
        <f t="shared" si="21"/>
        <v>7.7000000000000002E-3</v>
      </c>
      <c r="D45" s="193">
        <f t="shared" si="21"/>
        <v>0</v>
      </c>
      <c r="E45" s="193">
        <f t="shared" si="21"/>
        <v>1.3509999999999998E-2</v>
      </c>
      <c r="F45" s="193">
        <f t="shared" si="21"/>
        <v>2.4820000000000002E-2</v>
      </c>
      <c r="G45" s="193">
        <f t="shared" ref="G45:I45" si="22">((H45-(H37*I45/I37))/(H41-(H37*I41/I37))*(G41-(I41*G37)/I37)+(I45*G37/I37))</f>
        <v>1.0871130426492973E-2</v>
      </c>
      <c r="H45" s="193">
        <f t="shared" si="22"/>
        <v>5.3813962300864659E-2</v>
      </c>
      <c r="I45" s="193">
        <f t="shared" si="22"/>
        <v>0.14461947528501939</v>
      </c>
      <c r="J45" s="147">
        <v>0.12190606900000001</v>
      </c>
      <c r="K45" s="147">
        <v>9.8206584999999999E-2</v>
      </c>
      <c r="L45" s="147">
        <v>4.8051049999999998E-2</v>
      </c>
      <c r="M45" s="147">
        <v>0.204249547</v>
      </c>
      <c r="N45" s="147">
        <v>4.4545996999999997E-2</v>
      </c>
      <c r="O45" s="147">
        <v>0.129414317</v>
      </c>
      <c r="P45" s="147">
        <v>0.15271433500000001</v>
      </c>
      <c r="Q45" s="147">
        <v>0.18217345400000001</v>
      </c>
      <c r="R45" s="147">
        <v>0.16664799999999999</v>
      </c>
      <c r="S45" s="147">
        <v>0.19688911200000001</v>
      </c>
      <c r="T45" s="147">
        <v>0.41613078100000001</v>
      </c>
      <c r="U45" s="212">
        <v>0.773918094</v>
      </c>
      <c r="V45" s="212">
        <v>0.25046971699999998</v>
      </c>
      <c r="W45" s="212">
        <v>7.4200000000000002E-2</v>
      </c>
      <c r="X45" s="212">
        <v>6.6E-3</v>
      </c>
      <c r="Y45" s="212">
        <v>1.9499999999999999E-3</v>
      </c>
    </row>
    <row r="46" spans="1:25" ht="15.75" customHeight="1">
      <c r="A46" s="99" t="s">
        <v>414</v>
      </c>
      <c r="B46" s="193">
        <f t="shared" ref="B46:F46" si="23">0.0013*B38</f>
        <v>0.12356500000000001</v>
      </c>
      <c r="C46" s="193">
        <f t="shared" si="23"/>
        <v>0.14923999999999998</v>
      </c>
      <c r="D46" s="193">
        <f t="shared" si="23"/>
        <v>0.19971899999999998</v>
      </c>
      <c r="E46" s="193">
        <f t="shared" si="23"/>
        <v>0.70749899999999999</v>
      </c>
      <c r="F46" s="193">
        <f t="shared" si="23"/>
        <v>0.85329140000000003</v>
      </c>
      <c r="G46" s="193">
        <f t="shared" ref="G46:I46" si="24">((H46-(H38*I46/I38))/(H42-(H38*I42/I38))*(G42-(I42*G38)/I38)+(I46*G38/I38))</f>
        <v>0.89356260146443645</v>
      </c>
      <c r="H46" s="193">
        <f t="shared" si="24"/>
        <v>0.23374415866868264</v>
      </c>
      <c r="I46" s="193">
        <f t="shared" si="24"/>
        <v>0.44108340616896169</v>
      </c>
      <c r="J46" s="147">
        <v>0.315361481</v>
      </c>
      <c r="K46" s="147">
        <v>0.452787047</v>
      </c>
      <c r="L46" s="147">
        <v>0.358346887</v>
      </c>
      <c r="M46" s="147">
        <v>0.32589551500000002</v>
      </c>
      <c r="N46" s="147">
        <v>0.16791002799999999</v>
      </c>
      <c r="O46" s="147">
        <v>0.34125112000000002</v>
      </c>
      <c r="P46" s="147">
        <v>0.49131875899999999</v>
      </c>
      <c r="Q46" s="147">
        <v>0.58620489899999995</v>
      </c>
      <c r="R46" s="147">
        <v>0.72755895500000001</v>
      </c>
      <c r="S46" s="147">
        <v>0.63470692200000001</v>
      </c>
      <c r="T46" s="147">
        <v>1.3440465779999999</v>
      </c>
      <c r="U46" s="212">
        <v>1.0811802530000001</v>
      </c>
      <c r="V46" s="212">
        <v>0.85747744199999998</v>
      </c>
      <c r="W46" s="212">
        <v>0.28135399999999999</v>
      </c>
      <c r="X46" s="212">
        <v>6.0958999999999999E-2</v>
      </c>
      <c r="Y46" s="212">
        <v>8.43E-2</v>
      </c>
    </row>
    <row r="47" spans="1:25" ht="15.75" customHeight="1">
      <c r="A47" s="99" t="s">
        <v>415</v>
      </c>
      <c r="B47" s="193">
        <f t="shared" ref="B47:F47" si="25">0.0016*B39</f>
        <v>0.248224</v>
      </c>
      <c r="C47" s="193">
        <f t="shared" si="25"/>
        <v>0.42040000000000011</v>
      </c>
      <c r="D47" s="193">
        <f t="shared" si="25"/>
        <v>0.50028799999999995</v>
      </c>
      <c r="E47" s="193">
        <f t="shared" si="25"/>
        <v>0.34800000000000003</v>
      </c>
      <c r="F47" s="193">
        <f t="shared" si="25"/>
        <v>3.9407999999999999E-2</v>
      </c>
      <c r="G47" s="193">
        <f t="shared" ref="G47:I47" si="26">((H47-(H39*I47/I39))/(H43-(H39*I43/I39))*(G43-(I43*G39)/I39)+(I47*G39/I39))</f>
        <v>0.26441705591599407</v>
      </c>
      <c r="H47" s="193">
        <f t="shared" si="26"/>
        <v>0.50133509528105646</v>
      </c>
      <c r="I47" s="193">
        <f t="shared" si="26"/>
        <v>0.56609270942690371</v>
      </c>
      <c r="J47" s="147">
        <v>0.10843823399999999</v>
      </c>
      <c r="K47" s="147">
        <v>0.17228411199999999</v>
      </c>
      <c r="L47" s="147">
        <v>0.43377692499999998</v>
      </c>
      <c r="M47" s="147">
        <v>0.648929545</v>
      </c>
      <c r="N47" s="147">
        <v>0.80430443399999996</v>
      </c>
      <c r="O47" s="147">
        <v>4.8123443029999997</v>
      </c>
      <c r="P47" s="147">
        <v>0.220788971</v>
      </c>
      <c r="Q47" s="147">
        <v>0.15436</v>
      </c>
      <c r="R47" s="147">
        <v>1.10577485</v>
      </c>
      <c r="S47" s="147">
        <v>0.26129687499999998</v>
      </c>
      <c r="T47" s="147">
        <v>0.55384200900000002</v>
      </c>
      <c r="U47" s="212">
        <v>0.26904646900000001</v>
      </c>
      <c r="V47" s="212">
        <v>0.66405579999999997</v>
      </c>
      <c r="W47" s="212">
        <v>0.46165</v>
      </c>
      <c r="X47" s="212">
        <v>6.2799999999999995E-2</v>
      </c>
      <c r="Y47" s="212">
        <v>7.1199999999999999E-2</v>
      </c>
    </row>
    <row r="48" spans="1:25" ht="15.75" customHeight="1"/>
    <row r="49" spans="1:60" ht="15.75" customHeight="1">
      <c r="G49" s="147"/>
      <c r="H49" s="147"/>
      <c r="I49" s="147"/>
      <c r="J49" s="213"/>
      <c r="K49" s="214"/>
      <c r="L49" s="147"/>
    </row>
    <row r="50" spans="1:60" ht="15.75" customHeight="1">
      <c r="G50" s="147"/>
      <c r="H50" s="147"/>
      <c r="I50" s="147"/>
      <c r="J50" s="147"/>
      <c r="K50" s="214"/>
      <c r="L50" s="147"/>
    </row>
    <row r="51" spans="1:60" ht="15.75" customHeight="1">
      <c r="G51" s="108"/>
      <c r="H51" s="108"/>
      <c r="I51" s="108"/>
      <c r="J51" s="108"/>
      <c r="K51" s="214"/>
    </row>
    <row r="52" spans="1:60" ht="15.75" customHeight="1">
      <c r="H52" s="213"/>
    </row>
    <row r="53" spans="1:60" ht="15.75" customHeight="1">
      <c r="H53" s="213"/>
    </row>
    <row r="54" spans="1:60" ht="15.75" customHeight="1">
      <c r="H54" s="213"/>
    </row>
    <row r="55" spans="1:60" ht="15.75" customHeight="1"/>
    <row r="56" spans="1:60" ht="15.75" customHeight="1">
      <c r="H56" s="215"/>
    </row>
    <row r="57" spans="1:60" ht="15.75" customHeight="1">
      <c r="A57" s="192" t="s">
        <v>444</v>
      </c>
      <c r="B57" s="215">
        <v>0.43</v>
      </c>
      <c r="C57" s="215">
        <v>0.38</v>
      </c>
      <c r="D57" s="215">
        <v>0.39</v>
      </c>
      <c r="E57" s="215">
        <v>0.4</v>
      </c>
      <c r="F57" s="215">
        <v>0.37</v>
      </c>
      <c r="G57" s="215">
        <v>0.37</v>
      </c>
      <c r="H57" s="215">
        <v>5.93</v>
      </c>
      <c r="I57" s="215">
        <v>0.45</v>
      </c>
      <c r="J57" s="215">
        <v>0.46</v>
      </c>
      <c r="K57" s="215">
        <v>0.46</v>
      </c>
      <c r="L57" s="215">
        <v>0.48</v>
      </c>
      <c r="M57" s="215">
        <v>0.49</v>
      </c>
      <c r="N57" s="215">
        <v>0.49</v>
      </c>
      <c r="O57" s="215">
        <v>0.49</v>
      </c>
      <c r="P57" s="215">
        <v>0.52</v>
      </c>
      <c r="Q57" s="215">
        <v>0.54</v>
      </c>
      <c r="R57" s="215">
        <v>0.55000000000000004</v>
      </c>
      <c r="S57" s="193">
        <f t="shared" ref="S57:AZ57" si="27">-19.4+1.07*LN(S93)</f>
        <v>0.60606781333223836</v>
      </c>
      <c r="T57" s="193">
        <f t="shared" si="27"/>
        <v>0.60606781333223836</v>
      </c>
      <c r="U57" s="193">
        <f t="shared" si="27"/>
        <v>0.60606781333223836</v>
      </c>
      <c r="V57" s="193">
        <f t="shared" si="27"/>
        <v>0.60606781333223836</v>
      </c>
      <c r="W57" s="193">
        <f t="shared" si="27"/>
        <v>0.60606781333223836</v>
      </c>
      <c r="X57" s="193">
        <f t="shared" si="27"/>
        <v>0.60606781333223836</v>
      </c>
      <c r="Y57" s="193">
        <f t="shared" si="27"/>
        <v>0.60606781333223836</v>
      </c>
      <c r="Z57" s="193">
        <f t="shared" si="27"/>
        <v>0.60606781333223836</v>
      </c>
      <c r="AA57" s="193">
        <f t="shared" si="27"/>
        <v>0.60606781333223836</v>
      </c>
      <c r="AB57" s="193">
        <f t="shared" si="27"/>
        <v>0.60606781333223836</v>
      </c>
      <c r="AC57" s="193">
        <f t="shared" si="27"/>
        <v>0.60606781333223836</v>
      </c>
      <c r="AD57" s="193">
        <f t="shared" si="27"/>
        <v>0.60606781333223836</v>
      </c>
      <c r="AE57" s="193">
        <f t="shared" si="27"/>
        <v>0.60606781333223836</v>
      </c>
      <c r="AF57" s="193">
        <f t="shared" si="27"/>
        <v>0.60606781333223836</v>
      </c>
      <c r="AG57" s="193">
        <f t="shared" si="27"/>
        <v>0.60606781333223836</v>
      </c>
      <c r="AH57" s="193">
        <f t="shared" si="27"/>
        <v>0.60606781333223836</v>
      </c>
      <c r="AI57" s="193">
        <f t="shared" si="27"/>
        <v>0.60606781333223836</v>
      </c>
      <c r="AJ57" s="193">
        <f t="shared" si="27"/>
        <v>0.60606781333223836</v>
      </c>
      <c r="AK57" s="193">
        <f t="shared" si="27"/>
        <v>0.60606781333223836</v>
      </c>
      <c r="AL57" s="193">
        <f t="shared" si="27"/>
        <v>0.60606781333223836</v>
      </c>
      <c r="AM57" s="193">
        <f t="shared" si="27"/>
        <v>0.60606781333223836</v>
      </c>
      <c r="AN57" s="193">
        <f t="shared" si="27"/>
        <v>0.60606781333223836</v>
      </c>
      <c r="AO57" s="193">
        <f t="shared" si="27"/>
        <v>0.60606781333223836</v>
      </c>
      <c r="AP57" s="193">
        <f t="shared" si="27"/>
        <v>0.60606781333223836</v>
      </c>
      <c r="AQ57" s="193">
        <f t="shared" si="27"/>
        <v>0.60606781333223836</v>
      </c>
      <c r="AR57" s="193">
        <f t="shared" si="27"/>
        <v>0.60606781333223836</v>
      </c>
      <c r="AS57" s="193">
        <f t="shared" si="27"/>
        <v>0.60606781333223836</v>
      </c>
      <c r="AT57" s="193">
        <f t="shared" si="27"/>
        <v>0.60606781333223836</v>
      </c>
      <c r="AU57" s="193">
        <f t="shared" si="27"/>
        <v>0.60606781333223836</v>
      </c>
      <c r="AV57" s="193">
        <f t="shared" si="27"/>
        <v>0.60606781333223836</v>
      </c>
      <c r="AW57" s="193">
        <f t="shared" si="27"/>
        <v>0.60606781333223836</v>
      </c>
      <c r="AX57" s="193">
        <f t="shared" si="27"/>
        <v>0.60606781333223836</v>
      </c>
      <c r="AY57" s="193">
        <f t="shared" si="27"/>
        <v>0.60606781333223836</v>
      </c>
      <c r="AZ57" s="193">
        <f t="shared" si="27"/>
        <v>0.60606781333223836</v>
      </c>
    </row>
    <row r="58" spans="1:60" ht="15.75" customHeight="1">
      <c r="A58" s="192" t="s">
        <v>446</v>
      </c>
      <c r="B58" s="215">
        <v>13.2</v>
      </c>
      <c r="C58" s="215">
        <v>12.83</v>
      </c>
      <c r="D58" s="215">
        <v>13.46</v>
      </c>
      <c r="E58" s="215">
        <v>14.49</v>
      </c>
      <c r="F58" s="215">
        <v>13.91</v>
      </c>
      <c r="G58" s="215">
        <v>14.86</v>
      </c>
      <c r="H58" s="215">
        <v>15.02</v>
      </c>
      <c r="I58" s="215">
        <v>15.36</v>
      </c>
      <c r="J58" s="215">
        <v>15.17</v>
      </c>
      <c r="K58" s="215">
        <v>16.61</v>
      </c>
      <c r="L58" s="215">
        <v>18.010000000000002</v>
      </c>
      <c r="M58" s="215">
        <v>18.059999999999999</v>
      </c>
      <c r="N58" s="215">
        <v>19.170000000000002</v>
      </c>
      <c r="O58" s="215">
        <v>18.489999999999998</v>
      </c>
      <c r="P58" s="215">
        <v>18.23</v>
      </c>
      <c r="Q58" s="215">
        <v>17.89</v>
      </c>
      <c r="R58" s="215">
        <v>18.41</v>
      </c>
      <c r="S58" s="216">
        <f t="shared" ref="S58:AZ58" si="28">-773+42.4*LN(S93)</f>
        <v>19.763808677838028</v>
      </c>
      <c r="T58" s="216">
        <f t="shared" si="28"/>
        <v>19.763808677838028</v>
      </c>
      <c r="U58" s="216">
        <f t="shared" si="28"/>
        <v>19.763808677838028</v>
      </c>
      <c r="V58" s="216">
        <f t="shared" si="28"/>
        <v>19.763808677838028</v>
      </c>
      <c r="W58" s="216">
        <f t="shared" si="28"/>
        <v>19.763808677838028</v>
      </c>
      <c r="X58" s="216">
        <f t="shared" si="28"/>
        <v>19.763808677838028</v>
      </c>
      <c r="Y58" s="216">
        <f t="shared" si="28"/>
        <v>19.763808677838028</v>
      </c>
      <c r="Z58" s="216">
        <f t="shared" si="28"/>
        <v>19.763808677838028</v>
      </c>
      <c r="AA58" s="216">
        <f t="shared" si="28"/>
        <v>19.763808677838028</v>
      </c>
      <c r="AB58" s="216">
        <f t="shared" si="28"/>
        <v>19.763808677838028</v>
      </c>
      <c r="AC58" s="216">
        <f t="shared" si="28"/>
        <v>19.763808677838028</v>
      </c>
      <c r="AD58" s="216">
        <f t="shared" si="28"/>
        <v>19.763808677838028</v>
      </c>
      <c r="AE58" s="216">
        <f t="shared" si="28"/>
        <v>19.763808677838028</v>
      </c>
      <c r="AF58" s="216">
        <f t="shared" si="28"/>
        <v>19.763808677838028</v>
      </c>
      <c r="AG58" s="216">
        <f t="shared" si="28"/>
        <v>19.763808677838028</v>
      </c>
      <c r="AH58" s="216">
        <f t="shared" si="28"/>
        <v>19.763808677838028</v>
      </c>
      <c r="AI58" s="216">
        <f t="shared" si="28"/>
        <v>19.763808677838028</v>
      </c>
      <c r="AJ58" s="216">
        <f t="shared" si="28"/>
        <v>19.763808677838028</v>
      </c>
      <c r="AK58" s="216">
        <f t="shared" si="28"/>
        <v>19.763808677838028</v>
      </c>
      <c r="AL58" s="216">
        <f t="shared" si="28"/>
        <v>19.763808677838028</v>
      </c>
      <c r="AM58" s="216">
        <f t="shared" si="28"/>
        <v>19.763808677838028</v>
      </c>
      <c r="AN58" s="216">
        <f t="shared" si="28"/>
        <v>19.763808677838028</v>
      </c>
      <c r="AO58" s="216">
        <f t="shared" si="28"/>
        <v>19.763808677838028</v>
      </c>
      <c r="AP58" s="216">
        <f t="shared" si="28"/>
        <v>19.763808677838028</v>
      </c>
      <c r="AQ58" s="216">
        <f t="shared" si="28"/>
        <v>19.763808677838028</v>
      </c>
      <c r="AR58" s="216">
        <f t="shared" si="28"/>
        <v>19.763808677838028</v>
      </c>
      <c r="AS58" s="216">
        <f t="shared" si="28"/>
        <v>19.763808677838028</v>
      </c>
      <c r="AT58" s="216">
        <f t="shared" si="28"/>
        <v>19.763808677838028</v>
      </c>
      <c r="AU58" s="216">
        <f t="shared" si="28"/>
        <v>19.763808677838028</v>
      </c>
      <c r="AV58" s="216">
        <f t="shared" si="28"/>
        <v>19.763808677838028</v>
      </c>
      <c r="AW58" s="216">
        <f t="shared" si="28"/>
        <v>19.763808677838028</v>
      </c>
      <c r="AX58" s="216">
        <f t="shared" si="28"/>
        <v>19.763808677838028</v>
      </c>
      <c r="AY58" s="216">
        <f t="shared" si="28"/>
        <v>19.763808677838028</v>
      </c>
      <c r="AZ58" s="216">
        <f t="shared" si="28"/>
        <v>19.763808677838028</v>
      </c>
    </row>
    <row r="59" spans="1:60" ht="15.75" customHeight="1">
      <c r="A59" s="198" t="s">
        <v>448</v>
      </c>
      <c r="B59" s="215">
        <v>24.33</v>
      </c>
      <c r="C59" s="215">
        <v>24.19</v>
      </c>
      <c r="D59" s="215">
        <v>23.66</v>
      </c>
      <c r="E59" s="215">
        <v>23.41</v>
      </c>
      <c r="F59" s="215">
        <v>23.8</v>
      </c>
      <c r="G59" s="215">
        <v>23.92</v>
      </c>
      <c r="H59" s="215">
        <v>23.97</v>
      </c>
      <c r="I59" s="215">
        <v>24</v>
      </c>
      <c r="J59" s="215">
        <v>24.19</v>
      </c>
      <c r="K59" s="215">
        <v>25.25</v>
      </c>
      <c r="L59" s="215">
        <v>26.59</v>
      </c>
      <c r="M59" s="215">
        <v>27.27</v>
      </c>
      <c r="N59" s="215">
        <v>28.62</v>
      </c>
      <c r="O59" s="215">
        <v>30.57</v>
      </c>
      <c r="P59" s="215">
        <v>32.28</v>
      </c>
      <c r="Q59" s="215">
        <v>34.07</v>
      </c>
      <c r="R59" s="215">
        <v>35.57</v>
      </c>
      <c r="S59" s="219"/>
      <c r="T59" s="219"/>
      <c r="U59" s="219"/>
      <c r="V59" s="219"/>
      <c r="W59" s="219"/>
      <c r="X59" s="219"/>
      <c r="Y59" s="219"/>
      <c r="Z59" s="219"/>
      <c r="AA59" s="219"/>
      <c r="AB59" s="219"/>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85"/>
      <c r="BB59" s="85"/>
      <c r="BC59" s="85"/>
      <c r="BD59" s="85"/>
      <c r="BE59" s="85"/>
      <c r="BF59" s="85"/>
      <c r="BG59" s="85"/>
      <c r="BH59" s="85"/>
    </row>
    <row r="60" spans="1:60" ht="15.75" customHeight="1">
      <c r="A60" s="198" t="s">
        <v>450</v>
      </c>
      <c r="B60" s="215">
        <v>1.41</v>
      </c>
      <c r="C60" s="215">
        <v>1.33</v>
      </c>
      <c r="D60" s="215">
        <v>1.27</v>
      </c>
      <c r="E60" s="215">
        <v>1.1299999999999999</v>
      </c>
      <c r="F60" s="215">
        <v>1.19</v>
      </c>
      <c r="G60" s="215">
        <v>1.44</v>
      </c>
      <c r="H60" s="215">
        <v>1.34</v>
      </c>
      <c r="I60" s="215">
        <v>1.02</v>
      </c>
      <c r="J60" s="215">
        <v>1.1599999999999999</v>
      </c>
      <c r="K60" s="215">
        <v>1.1399999999999999</v>
      </c>
      <c r="L60" s="215">
        <v>1.1200000000000001</v>
      </c>
      <c r="M60" s="215">
        <v>1.17</v>
      </c>
      <c r="N60" s="215">
        <v>1.22</v>
      </c>
      <c r="O60" s="215">
        <v>1.1200000000000001</v>
      </c>
      <c r="P60" s="215">
        <v>1.1200000000000001</v>
      </c>
      <c r="Q60" s="215">
        <v>1.63</v>
      </c>
      <c r="R60" s="215">
        <v>1.61</v>
      </c>
      <c r="S60" s="221">
        <f t="shared" ref="S60:AZ60" si="29">AVERAGE(B60:R60)</f>
        <v>1.26</v>
      </c>
      <c r="T60" s="221">
        <f t="shared" si="29"/>
        <v>1.2511764705882356</v>
      </c>
      <c r="U60" s="221">
        <f t="shared" si="29"/>
        <v>1.2465397923875432</v>
      </c>
      <c r="V60" s="221">
        <f t="shared" si="29"/>
        <v>1.2451597801750458</v>
      </c>
      <c r="W60" s="221">
        <f t="shared" si="29"/>
        <v>1.2519338848912251</v>
      </c>
      <c r="X60" s="221">
        <f t="shared" si="29"/>
        <v>1.255577054590709</v>
      </c>
      <c r="Y60" s="221">
        <f t="shared" si="29"/>
        <v>1.2447286460372213</v>
      </c>
      <c r="Z60" s="221">
        <f t="shared" si="29"/>
        <v>1.239124448745293</v>
      </c>
      <c r="AA60" s="221">
        <f t="shared" si="29"/>
        <v>1.2520141222008985</v>
      </c>
      <c r="AB60" s="221">
        <f t="shared" si="29"/>
        <v>1.2574267176244807</v>
      </c>
      <c r="AC60" s="221">
        <f t="shared" si="29"/>
        <v>1.264334171602391</v>
      </c>
      <c r="AD60" s="221">
        <f t="shared" si="29"/>
        <v>1.2728244169907672</v>
      </c>
      <c r="AE60" s="221">
        <f t="shared" si="29"/>
        <v>1.2788729121078712</v>
      </c>
      <c r="AF60" s="221">
        <f t="shared" si="29"/>
        <v>1.282336024584805</v>
      </c>
      <c r="AG60" s="221">
        <f t="shared" si="29"/>
        <v>1.2918852025015584</v>
      </c>
      <c r="AH60" s="221">
        <f t="shared" si="29"/>
        <v>1.301996096766356</v>
      </c>
      <c r="AI60" s="221">
        <f t="shared" si="29"/>
        <v>1.2827017495173176</v>
      </c>
      <c r="AJ60" s="221">
        <f t="shared" si="29"/>
        <v>1.2634489112536307</v>
      </c>
      <c r="AK60" s="221">
        <f t="shared" si="29"/>
        <v>1.2636517883861969</v>
      </c>
      <c r="AL60" s="221">
        <f t="shared" si="29"/>
        <v>1.2643856306096066</v>
      </c>
      <c r="AM60" s="221">
        <f t="shared" si="29"/>
        <v>1.2654353857991396</v>
      </c>
      <c r="AN60" s="221">
        <f t="shared" si="29"/>
        <v>1.2666280684829099</v>
      </c>
      <c r="AO60" s="221">
        <f t="shared" si="29"/>
        <v>1.2674924322235972</v>
      </c>
      <c r="AP60" s="221">
        <f t="shared" si="29"/>
        <v>1.2681933367902378</v>
      </c>
      <c r="AQ60" s="221">
        <f t="shared" si="29"/>
        <v>1.2695736127168857</v>
      </c>
      <c r="AR60" s="221">
        <f t="shared" si="29"/>
        <v>1.2713647400093322</v>
      </c>
      <c r="AS60" s="221">
        <f t="shared" si="29"/>
        <v>1.2725030116451226</v>
      </c>
      <c r="AT60" s="221">
        <f t="shared" si="29"/>
        <v>1.2733898524698664</v>
      </c>
      <c r="AU60" s="221">
        <f t="shared" si="29"/>
        <v>1.2739225395797176</v>
      </c>
      <c r="AV60" s="221">
        <f t="shared" si="29"/>
        <v>1.2739871350261267</v>
      </c>
      <c r="AW60" s="221">
        <f t="shared" si="29"/>
        <v>1.2736997363742593</v>
      </c>
      <c r="AX60" s="221">
        <f t="shared" si="29"/>
        <v>1.2731917194206976</v>
      </c>
      <c r="AY60" s="221">
        <f t="shared" si="29"/>
        <v>1.2720921027688823</v>
      </c>
      <c r="AZ60" s="221">
        <f t="shared" si="29"/>
        <v>1.2703330442984426</v>
      </c>
    </row>
    <row r="61" spans="1:60" ht="15.75" customHeight="1">
      <c r="A61" s="223" t="s">
        <v>453</v>
      </c>
      <c r="B61" s="215">
        <v>1.66</v>
      </c>
      <c r="C61" s="215">
        <v>1.29</v>
      </c>
      <c r="D61" s="215">
        <v>1.4</v>
      </c>
      <c r="E61" s="215">
        <v>1.54</v>
      </c>
      <c r="F61" s="215">
        <v>1.38</v>
      </c>
      <c r="G61" s="215">
        <v>1.88</v>
      </c>
      <c r="H61" s="215">
        <v>1.52</v>
      </c>
      <c r="I61" s="215">
        <v>1.72</v>
      </c>
      <c r="J61" s="215">
        <v>2.11</v>
      </c>
      <c r="K61" s="215">
        <v>2.19</v>
      </c>
      <c r="L61" s="215">
        <v>2.12</v>
      </c>
      <c r="M61" s="215">
        <v>2.71</v>
      </c>
      <c r="N61" s="215">
        <v>3.18</v>
      </c>
      <c r="O61" s="215">
        <v>2.9</v>
      </c>
      <c r="P61" s="215">
        <v>3</v>
      </c>
      <c r="Q61" s="215">
        <v>3.27</v>
      </c>
      <c r="R61" s="215">
        <v>3.67</v>
      </c>
      <c r="S61" s="216">
        <f t="shared" ref="S61:AZ61" si="30">-261+14.1*LN(S93)</f>
        <v>2.6313609046584361</v>
      </c>
      <c r="T61" s="216">
        <f t="shared" si="30"/>
        <v>2.6313609046584361</v>
      </c>
      <c r="U61" s="216">
        <f t="shared" si="30"/>
        <v>2.6313609046584361</v>
      </c>
      <c r="V61" s="216">
        <f t="shared" si="30"/>
        <v>2.6313609046584361</v>
      </c>
      <c r="W61" s="216">
        <f t="shared" si="30"/>
        <v>2.6313609046584361</v>
      </c>
      <c r="X61" s="216">
        <f t="shared" si="30"/>
        <v>2.6313609046584361</v>
      </c>
      <c r="Y61" s="216">
        <f t="shared" si="30"/>
        <v>2.6313609046584361</v>
      </c>
      <c r="Z61" s="216">
        <f t="shared" si="30"/>
        <v>2.6313609046584361</v>
      </c>
      <c r="AA61" s="216">
        <f t="shared" si="30"/>
        <v>2.6313609046584361</v>
      </c>
      <c r="AB61" s="216">
        <f t="shared" si="30"/>
        <v>2.6313609046584361</v>
      </c>
      <c r="AC61" s="216">
        <f t="shared" si="30"/>
        <v>2.6313609046584361</v>
      </c>
      <c r="AD61" s="216">
        <f t="shared" si="30"/>
        <v>2.6313609046584361</v>
      </c>
      <c r="AE61" s="216">
        <f t="shared" si="30"/>
        <v>2.6313609046584361</v>
      </c>
      <c r="AF61" s="216">
        <f t="shared" si="30"/>
        <v>2.6313609046584361</v>
      </c>
      <c r="AG61" s="216">
        <f t="shared" si="30"/>
        <v>2.6313609046584361</v>
      </c>
      <c r="AH61" s="216">
        <f t="shared" si="30"/>
        <v>2.6313609046584361</v>
      </c>
      <c r="AI61" s="216">
        <f t="shared" si="30"/>
        <v>2.6313609046584361</v>
      </c>
      <c r="AJ61" s="216">
        <f t="shared" si="30"/>
        <v>2.6313609046584361</v>
      </c>
      <c r="AK61" s="216">
        <f t="shared" si="30"/>
        <v>2.6313609046584361</v>
      </c>
      <c r="AL61" s="216">
        <f t="shared" si="30"/>
        <v>2.6313609046584361</v>
      </c>
      <c r="AM61" s="216">
        <f t="shared" si="30"/>
        <v>2.6313609046584361</v>
      </c>
      <c r="AN61" s="216">
        <f t="shared" si="30"/>
        <v>2.6313609046584361</v>
      </c>
      <c r="AO61" s="216">
        <f t="shared" si="30"/>
        <v>2.6313609046584361</v>
      </c>
      <c r="AP61" s="216">
        <f t="shared" si="30"/>
        <v>2.6313609046584361</v>
      </c>
      <c r="AQ61" s="216">
        <f t="shared" si="30"/>
        <v>2.6313609046584361</v>
      </c>
      <c r="AR61" s="216">
        <f t="shared" si="30"/>
        <v>2.6313609046584361</v>
      </c>
      <c r="AS61" s="216">
        <f t="shared" si="30"/>
        <v>2.6313609046584361</v>
      </c>
      <c r="AT61" s="216">
        <f t="shared" si="30"/>
        <v>2.6313609046584361</v>
      </c>
      <c r="AU61" s="216">
        <f t="shared" si="30"/>
        <v>2.6313609046584361</v>
      </c>
      <c r="AV61" s="216">
        <f t="shared" si="30"/>
        <v>2.6313609046584361</v>
      </c>
      <c r="AW61" s="216">
        <f t="shared" si="30"/>
        <v>2.6313609046584361</v>
      </c>
      <c r="AX61" s="216">
        <f t="shared" si="30"/>
        <v>2.6313609046584361</v>
      </c>
      <c r="AY61" s="216">
        <f t="shared" si="30"/>
        <v>2.6313609046584361</v>
      </c>
      <c r="AZ61" s="216">
        <f t="shared" si="30"/>
        <v>2.6313609046584361</v>
      </c>
    </row>
    <row r="62" spans="1:60" ht="15.75" customHeight="1">
      <c r="A62" s="228"/>
      <c r="B62" s="229"/>
      <c r="C62" s="229"/>
      <c r="D62" s="229"/>
      <c r="E62" s="229"/>
      <c r="F62" s="229"/>
      <c r="G62" s="229"/>
      <c r="H62" s="229"/>
      <c r="I62" s="229"/>
      <c r="J62" s="229"/>
      <c r="K62" s="229"/>
      <c r="L62" s="229"/>
      <c r="M62" s="229"/>
      <c r="N62" s="229"/>
      <c r="O62" s="229"/>
      <c r="P62" s="229"/>
      <c r="Q62" s="229"/>
      <c r="R62" s="22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85"/>
      <c r="BB62" s="85"/>
      <c r="BC62" s="85"/>
      <c r="BD62" s="85"/>
      <c r="BE62" s="85"/>
      <c r="BF62" s="85"/>
      <c r="BG62" s="85"/>
      <c r="BH62" s="85"/>
    </row>
    <row r="63" spans="1:60" ht="15.75" customHeight="1">
      <c r="A63" s="230" t="s">
        <v>461</v>
      </c>
      <c r="B63" s="147">
        <v>4.0573033199999999</v>
      </c>
      <c r="C63" s="147">
        <v>4.0683056390000001</v>
      </c>
      <c r="D63" s="147">
        <v>4.1875027290000002</v>
      </c>
      <c r="E63" s="147">
        <v>4.6327695029999996</v>
      </c>
      <c r="F63" s="147">
        <v>4.5916248670000002</v>
      </c>
      <c r="G63" s="147">
        <v>4.7800749900000001</v>
      </c>
      <c r="H63" s="147">
        <v>5.2542724539999996</v>
      </c>
      <c r="I63" s="147">
        <v>5.5274996300000003</v>
      </c>
      <c r="J63" s="147">
        <v>5.6112913229999997</v>
      </c>
      <c r="K63" s="147">
        <v>5.4971381990000001</v>
      </c>
      <c r="L63" s="147">
        <v>5.9134159110000004</v>
      </c>
      <c r="M63" s="147">
        <v>6.4886326890000001</v>
      </c>
      <c r="N63" s="147">
        <v>6.283499419</v>
      </c>
      <c r="O63" s="147">
        <v>6.3943170179999997</v>
      </c>
      <c r="P63" s="147">
        <v>6.8309055330000001</v>
      </c>
      <c r="Q63" s="147">
        <v>6.8359729790000001</v>
      </c>
      <c r="R63" s="147">
        <v>7.1095752560000003</v>
      </c>
      <c r="S63" s="231">
        <f t="shared" ref="S63:AZ63" si="31">-394+21.4*LN(S93)</f>
        <v>6.1213562666446819</v>
      </c>
      <c r="T63" s="231">
        <f t="shared" si="31"/>
        <v>6.1213562666446819</v>
      </c>
      <c r="U63" s="231">
        <f t="shared" si="31"/>
        <v>6.1213562666446819</v>
      </c>
      <c r="V63" s="231">
        <f t="shared" si="31"/>
        <v>6.1213562666446819</v>
      </c>
      <c r="W63" s="231">
        <f t="shared" si="31"/>
        <v>6.1213562666446819</v>
      </c>
      <c r="X63" s="231">
        <f t="shared" si="31"/>
        <v>6.1213562666446819</v>
      </c>
      <c r="Y63" s="231">
        <f t="shared" si="31"/>
        <v>6.1213562666446819</v>
      </c>
      <c r="Z63" s="231">
        <f t="shared" si="31"/>
        <v>6.1213562666446819</v>
      </c>
      <c r="AA63" s="231">
        <f t="shared" si="31"/>
        <v>6.1213562666446819</v>
      </c>
      <c r="AB63" s="231">
        <f t="shared" si="31"/>
        <v>6.1213562666446819</v>
      </c>
      <c r="AC63" s="231">
        <f t="shared" si="31"/>
        <v>6.1213562666446819</v>
      </c>
      <c r="AD63" s="231">
        <f t="shared" si="31"/>
        <v>6.1213562666446819</v>
      </c>
      <c r="AE63" s="231">
        <f t="shared" si="31"/>
        <v>6.1213562666446819</v>
      </c>
      <c r="AF63" s="231">
        <f t="shared" si="31"/>
        <v>6.1213562666446819</v>
      </c>
      <c r="AG63" s="231">
        <f t="shared" si="31"/>
        <v>6.1213562666446819</v>
      </c>
      <c r="AH63" s="231">
        <f t="shared" si="31"/>
        <v>6.1213562666446819</v>
      </c>
      <c r="AI63" s="231">
        <f t="shared" si="31"/>
        <v>6.1213562666446819</v>
      </c>
      <c r="AJ63" s="231">
        <f t="shared" si="31"/>
        <v>6.1213562666446819</v>
      </c>
      <c r="AK63" s="231">
        <f t="shared" si="31"/>
        <v>6.1213562666446819</v>
      </c>
      <c r="AL63" s="231">
        <f t="shared" si="31"/>
        <v>6.1213562666446819</v>
      </c>
      <c r="AM63" s="231">
        <f t="shared" si="31"/>
        <v>6.1213562666446819</v>
      </c>
      <c r="AN63" s="231">
        <f t="shared" si="31"/>
        <v>6.1213562666446819</v>
      </c>
      <c r="AO63" s="231">
        <f t="shared" si="31"/>
        <v>6.1213562666446819</v>
      </c>
      <c r="AP63" s="231">
        <f t="shared" si="31"/>
        <v>6.1213562666446819</v>
      </c>
      <c r="AQ63" s="231">
        <f t="shared" si="31"/>
        <v>6.1213562666446819</v>
      </c>
      <c r="AR63" s="231">
        <f t="shared" si="31"/>
        <v>6.1213562666446819</v>
      </c>
      <c r="AS63" s="231">
        <f t="shared" si="31"/>
        <v>6.1213562666446819</v>
      </c>
      <c r="AT63" s="231">
        <f t="shared" si="31"/>
        <v>6.1213562666446819</v>
      </c>
      <c r="AU63" s="231">
        <f t="shared" si="31"/>
        <v>6.1213562666446819</v>
      </c>
      <c r="AV63" s="231">
        <f t="shared" si="31"/>
        <v>6.1213562666446819</v>
      </c>
      <c r="AW63" s="231">
        <f t="shared" si="31"/>
        <v>6.1213562666446819</v>
      </c>
      <c r="AX63" s="231">
        <f t="shared" si="31"/>
        <v>6.1213562666446819</v>
      </c>
      <c r="AY63" s="231">
        <f t="shared" si="31"/>
        <v>6.1213562666446819</v>
      </c>
      <c r="AZ63" s="231">
        <f t="shared" si="31"/>
        <v>6.1213562666446819</v>
      </c>
    </row>
    <row r="64" spans="1:60" ht="15.75" customHeight="1">
      <c r="A64" s="192" t="s">
        <v>463</v>
      </c>
      <c r="B64" s="147">
        <v>3.1293073979999999</v>
      </c>
      <c r="C64" s="147">
        <v>3.2506830959999999</v>
      </c>
      <c r="D64" s="147">
        <v>3.1221290019999999</v>
      </c>
      <c r="E64" s="147">
        <v>3.1964097329999999</v>
      </c>
      <c r="F64" s="147">
        <v>3.2832544609999998</v>
      </c>
      <c r="G64" s="147">
        <v>3.520457843</v>
      </c>
      <c r="H64" s="147">
        <v>3.6596288069999998</v>
      </c>
      <c r="I64" s="147">
        <v>3.8564903230000001</v>
      </c>
      <c r="J64" s="147">
        <v>4.0137489459999998</v>
      </c>
      <c r="K64" s="147">
        <v>3.9800414380000002</v>
      </c>
      <c r="L64" s="147">
        <v>4.161037737</v>
      </c>
      <c r="M64" s="147">
        <v>4.1679391069999996</v>
      </c>
      <c r="N64" s="147">
        <v>4.3145093049999996</v>
      </c>
      <c r="O64" s="147">
        <v>4.3019940500000002</v>
      </c>
      <c r="P64" s="147">
        <v>4.4372841479999998</v>
      </c>
      <c r="Q64" s="147">
        <v>4.5476520750000002</v>
      </c>
      <c r="R64" s="147">
        <v>4.846899735</v>
      </c>
      <c r="S64" s="193">
        <f t="shared" ref="S64:AZ64" si="32">-209+11.4*LN(S93)</f>
        <v>4.1487598803621211</v>
      </c>
      <c r="T64" s="193">
        <f t="shared" si="32"/>
        <v>4.1487598803621211</v>
      </c>
      <c r="U64" s="193">
        <f t="shared" si="32"/>
        <v>4.1487598803621211</v>
      </c>
      <c r="V64" s="193">
        <f t="shared" si="32"/>
        <v>4.1487598803621211</v>
      </c>
      <c r="W64" s="193">
        <f t="shared" si="32"/>
        <v>4.1487598803621211</v>
      </c>
      <c r="X64" s="193">
        <f t="shared" si="32"/>
        <v>4.1487598803621211</v>
      </c>
      <c r="Y64" s="193">
        <f t="shared" si="32"/>
        <v>4.1487598803621211</v>
      </c>
      <c r="Z64" s="193">
        <f t="shared" si="32"/>
        <v>4.1487598803621211</v>
      </c>
      <c r="AA64" s="193">
        <f t="shared" si="32"/>
        <v>4.1487598803621211</v>
      </c>
      <c r="AB64" s="193">
        <f t="shared" si="32"/>
        <v>4.1487598803621211</v>
      </c>
      <c r="AC64" s="193">
        <f t="shared" si="32"/>
        <v>4.1487598803621211</v>
      </c>
      <c r="AD64" s="193">
        <f t="shared" si="32"/>
        <v>4.1487598803621211</v>
      </c>
      <c r="AE64" s="193">
        <f t="shared" si="32"/>
        <v>4.1487598803621211</v>
      </c>
      <c r="AF64" s="193">
        <f t="shared" si="32"/>
        <v>4.1487598803621211</v>
      </c>
      <c r="AG64" s="193">
        <f t="shared" si="32"/>
        <v>4.1487598803621211</v>
      </c>
      <c r="AH64" s="193">
        <f t="shared" si="32"/>
        <v>4.1487598803621211</v>
      </c>
      <c r="AI64" s="193">
        <f t="shared" si="32"/>
        <v>4.1487598803621211</v>
      </c>
      <c r="AJ64" s="193">
        <f t="shared" si="32"/>
        <v>4.1487598803621211</v>
      </c>
      <c r="AK64" s="193">
        <f t="shared" si="32"/>
        <v>4.1487598803621211</v>
      </c>
      <c r="AL64" s="193">
        <f t="shared" si="32"/>
        <v>4.1487598803621211</v>
      </c>
      <c r="AM64" s="193">
        <f t="shared" si="32"/>
        <v>4.1487598803621211</v>
      </c>
      <c r="AN64" s="193">
        <f t="shared" si="32"/>
        <v>4.1487598803621211</v>
      </c>
      <c r="AO64" s="193">
        <f t="shared" si="32"/>
        <v>4.1487598803621211</v>
      </c>
      <c r="AP64" s="193">
        <f t="shared" si="32"/>
        <v>4.1487598803621211</v>
      </c>
      <c r="AQ64" s="193">
        <f t="shared" si="32"/>
        <v>4.1487598803621211</v>
      </c>
      <c r="AR64" s="193">
        <f t="shared" si="32"/>
        <v>4.1487598803621211</v>
      </c>
      <c r="AS64" s="193">
        <f t="shared" si="32"/>
        <v>4.1487598803621211</v>
      </c>
      <c r="AT64" s="193">
        <f t="shared" si="32"/>
        <v>4.1487598803621211</v>
      </c>
      <c r="AU64" s="193">
        <f t="shared" si="32"/>
        <v>4.1487598803621211</v>
      </c>
      <c r="AV64" s="193">
        <f t="shared" si="32"/>
        <v>4.1487598803621211</v>
      </c>
      <c r="AW64" s="193">
        <f t="shared" si="32"/>
        <v>4.1487598803621211</v>
      </c>
      <c r="AX64" s="193">
        <f t="shared" si="32"/>
        <v>4.1487598803621211</v>
      </c>
      <c r="AY64" s="193">
        <f t="shared" si="32"/>
        <v>4.1487598803621211</v>
      </c>
      <c r="AZ64" s="193">
        <f t="shared" si="32"/>
        <v>4.1487598803621211</v>
      </c>
    </row>
    <row r="65" spans="1:52" ht="15.75" customHeight="1">
      <c r="A65" s="192" t="s">
        <v>465</v>
      </c>
      <c r="B65" s="147">
        <v>4.2849174860000003</v>
      </c>
      <c r="C65" s="147">
        <v>4.481298453</v>
      </c>
      <c r="D65" s="147">
        <v>4.1572668830000001</v>
      </c>
      <c r="E65" s="147">
        <v>4.257109034</v>
      </c>
      <c r="F65" s="147">
        <v>4.0838016010000002</v>
      </c>
      <c r="G65" s="147">
        <v>4.2581468170000001</v>
      </c>
      <c r="H65" s="147">
        <v>4.4423511439999999</v>
      </c>
      <c r="I65" s="147">
        <v>4.8663790699999998</v>
      </c>
      <c r="J65" s="147">
        <v>5.3188207240000001</v>
      </c>
      <c r="K65" s="147">
        <v>5.2438397510000003</v>
      </c>
      <c r="L65" s="147">
        <v>5.1609515449999996</v>
      </c>
      <c r="M65" s="147">
        <v>5.2240085379999996</v>
      </c>
      <c r="N65" s="147">
        <v>5.1381906649999998</v>
      </c>
      <c r="O65" s="147">
        <v>5.1458654069999996</v>
      </c>
      <c r="P65" s="147">
        <v>5.3361185579999999</v>
      </c>
      <c r="Q65" s="147">
        <v>5.2770332030000002</v>
      </c>
      <c r="R65" s="147">
        <v>5.1261702749999998</v>
      </c>
      <c r="S65" s="193">
        <f t="shared" ref="S65:AZ65" si="33">-160+8.84*LN(S93)</f>
        <v>5.2837752054737734</v>
      </c>
      <c r="T65" s="193">
        <f t="shared" si="33"/>
        <v>5.2837752054737734</v>
      </c>
      <c r="U65" s="193">
        <f t="shared" si="33"/>
        <v>5.2837752054737734</v>
      </c>
      <c r="V65" s="193">
        <f t="shared" si="33"/>
        <v>5.2837752054737734</v>
      </c>
      <c r="W65" s="193">
        <f t="shared" si="33"/>
        <v>5.2837752054737734</v>
      </c>
      <c r="X65" s="193">
        <f t="shared" si="33"/>
        <v>5.2837752054737734</v>
      </c>
      <c r="Y65" s="193">
        <f t="shared" si="33"/>
        <v>5.2837752054737734</v>
      </c>
      <c r="Z65" s="193">
        <f t="shared" si="33"/>
        <v>5.2837752054737734</v>
      </c>
      <c r="AA65" s="193">
        <f t="shared" si="33"/>
        <v>5.2837752054737734</v>
      </c>
      <c r="AB65" s="193">
        <f t="shared" si="33"/>
        <v>5.2837752054737734</v>
      </c>
      <c r="AC65" s="193">
        <f t="shared" si="33"/>
        <v>5.2837752054737734</v>
      </c>
      <c r="AD65" s="193">
        <f t="shared" si="33"/>
        <v>5.2837752054737734</v>
      </c>
      <c r="AE65" s="193">
        <f t="shared" si="33"/>
        <v>5.2837752054737734</v>
      </c>
      <c r="AF65" s="193">
        <f t="shared" si="33"/>
        <v>5.2837752054737734</v>
      </c>
      <c r="AG65" s="193">
        <f t="shared" si="33"/>
        <v>5.2837752054737734</v>
      </c>
      <c r="AH65" s="193">
        <f t="shared" si="33"/>
        <v>5.2837752054737734</v>
      </c>
      <c r="AI65" s="193">
        <f t="shared" si="33"/>
        <v>5.2837752054737734</v>
      </c>
      <c r="AJ65" s="193">
        <f t="shared" si="33"/>
        <v>5.2837752054737734</v>
      </c>
      <c r="AK65" s="193">
        <f t="shared" si="33"/>
        <v>5.2837752054737734</v>
      </c>
      <c r="AL65" s="193">
        <f t="shared" si="33"/>
        <v>5.2837752054737734</v>
      </c>
      <c r="AM65" s="193">
        <f t="shared" si="33"/>
        <v>5.2837752054737734</v>
      </c>
      <c r="AN65" s="193">
        <f t="shared" si="33"/>
        <v>5.2837752054737734</v>
      </c>
      <c r="AO65" s="193">
        <f t="shared" si="33"/>
        <v>5.2837752054737734</v>
      </c>
      <c r="AP65" s="193">
        <f t="shared" si="33"/>
        <v>5.2837752054737734</v>
      </c>
      <c r="AQ65" s="193">
        <f t="shared" si="33"/>
        <v>5.2837752054737734</v>
      </c>
      <c r="AR65" s="193">
        <f t="shared" si="33"/>
        <v>5.2837752054737734</v>
      </c>
      <c r="AS65" s="193">
        <f t="shared" si="33"/>
        <v>5.2837752054737734</v>
      </c>
      <c r="AT65" s="193">
        <f t="shared" si="33"/>
        <v>5.2837752054737734</v>
      </c>
      <c r="AU65" s="193">
        <f t="shared" si="33"/>
        <v>5.2837752054737734</v>
      </c>
      <c r="AV65" s="193">
        <f t="shared" si="33"/>
        <v>5.2837752054737734</v>
      </c>
      <c r="AW65" s="193">
        <f t="shared" si="33"/>
        <v>5.2837752054737734</v>
      </c>
      <c r="AX65" s="193">
        <f t="shared" si="33"/>
        <v>5.2837752054737734</v>
      </c>
      <c r="AY65" s="193">
        <f t="shared" si="33"/>
        <v>5.2837752054737734</v>
      </c>
      <c r="AZ65" s="193">
        <f t="shared" si="33"/>
        <v>5.2837752054737734</v>
      </c>
    </row>
    <row r="66" spans="1:52" ht="15.75" customHeight="1">
      <c r="A66" s="192" t="s">
        <v>467</v>
      </c>
      <c r="B66" s="147">
        <v>1.843032161</v>
      </c>
      <c r="C66" s="147">
        <v>1.8688277900000001</v>
      </c>
      <c r="D66" s="147">
        <v>1.825273809</v>
      </c>
      <c r="E66" s="147">
        <v>1.91786626</v>
      </c>
      <c r="F66" s="147">
        <v>2.0358023840000001</v>
      </c>
      <c r="G66" s="147">
        <v>2.310670182</v>
      </c>
      <c r="H66" s="147">
        <v>2.5392771029999999</v>
      </c>
      <c r="I66" s="147">
        <v>2.9568922999999998</v>
      </c>
      <c r="J66" s="147">
        <v>3.5552943529999999</v>
      </c>
      <c r="K66" s="147">
        <v>3.8841916649999999</v>
      </c>
      <c r="L66" s="147">
        <v>4.8113664509999996</v>
      </c>
      <c r="M66" s="147">
        <v>5.3699252189999997</v>
      </c>
      <c r="N66" s="147">
        <v>5.6984518169999996</v>
      </c>
      <c r="O66" s="147">
        <v>5.9794636240000001</v>
      </c>
      <c r="P66" s="147">
        <v>6.4579222999999999</v>
      </c>
      <c r="Q66" s="147">
        <v>6.5261333810000002</v>
      </c>
      <c r="R66" s="147">
        <v>6.2477544639999998</v>
      </c>
      <c r="S66" s="193">
        <f t="shared" ref="S66:AZ66" si="34">-674+36.4*LN(S93)</f>
        <v>6.5802508460685658</v>
      </c>
      <c r="T66" s="193">
        <f t="shared" si="34"/>
        <v>6.5802508460685658</v>
      </c>
      <c r="U66" s="193">
        <f t="shared" si="34"/>
        <v>6.5802508460685658</v>
      </c>
      <c r="V66" s="193">
        <f t="shared" si="34"/>
        <v>6.5802508460685658</v>
      </c>
      <c r="W66" s="193">
        <f t="shared" si="34"/>
        <v>6.5802508460685658</v>
      </c>
      <c r="X66" s="193">
        <f t="shared" si="34"/>
        <v>6.5802508460685658</v>
      </c>
      <c r="Y66" s="193">
        <f t="shared" si="34"/>
        <v>6.5802508460685658</v>
      </c>
      <c r="Z66" s="193">
        <f t="shared" si="34"/>
        <v>6.5802508460685658</v>
      </c>
      <c r="AA66" s="193">
        <f t="shared" si="34"/>
        <v>6.5802508460685658</v>
      </c>
      <c r="AB66" s="193">
        <f t="shared" si="34"/>
        <v>6.5802508460685658</v>
      </c>
      <c r="AC66" s="193">
        <f t="shared" si="34"/>
        <v>6.5802508460685658</v>
      </c>
      <c r="AD66" s="193">
        <f t="shared" si="34"/>
        <v>6.5802508460685658</v>
      </c>
      <c r="AE66" s="193">
        <f t="shared" si="34"/>
        <v>6.5802508460685658</v>
      </c>
      <c r="AF66" s="193">
        <f t="shared" si="34"/>
        <v>6.5802508460685658</v>
      </c>
      <c r="AG66" s="193">
        <f t="shared" si="34"/>
        <v>6.5802508460685658</v>
      </c>
      <c r="AH66" s="193">
        <f t="shared" si="34"/>
        <v>6.5802508460685658</v>
      </c>
      <c r="AI66" s="193">
        <f t="shared" si="34"/>
        <v>6.5802508460685658</v>
      </c>
      <c r="AJ66" s="193">
        <f t="shared" si="34"/>
        <v>6.5802508460685658</v>
      </c>
      <c r="AK66" s="193">
        <f t="shared" si="34"/>
        <v>6.5802508460685658</v>
      </c>
      <c r="AL66" s="193">
        <f t="shared" si="34"/>
        <v>6.5802508460685658</v>
      </c>
      <c r="AM66" s="193">
        <f t="shared" si="34"/>
        <v>6.5802508460685658</v>
      </c>
      <c r="AN66" s="193">
        <f t="shared" si="34"/>
        <v>6.5802508460685658</v>
      </c>
      <c r="AO66" s="193">
        <f t="shared" si="34"/>
        <v>6.5802508460685658</v>
      </c>
      <c r="AP66" s="193">
        <f t="shared" si="34"/>
        <v>6.5802508460685658</v>
      </c>
      <c r="AQ66" s="193">
        <f t="shared" si="34"/>
        <v>6.5802508460685658</v>
      </c>
      <c r="AR66" s="193">
        <f t="shared" si="34"/>
        <v>6.5802508460685658</v>
      </c>
      <c r="AS66" s="193">
        <f t="shared" si="34"/>
        <v>6.5802508460685658</v>
      </c>
      <c r="AT66" s="193">
        <f t="shared" si="34"/>
        <v>6.5802508460685658</v>
      </c>
      <c r="AU66" s="193">
        <f t="shared" si="34"/>
        <v>6.5802508460685658</v>
      </c>
      <c r="AV66" s="193">
        <f t="shared" si="34"/>
        <v>6.5802508460685658</v>
      </c>
      <c r="AW66" s="193">
        <f t="shared" si="34"/>
        <v>6.5802508460685658</v>
      </c>
      <c r="AX66" s="193">
        <f t="shared" si="34"/>
        <v>6.5802508460685658</v>
      </c>
      <c r="AY66" s="193">
        <f t="shared" si="34"/>
        <v>6.5802508460685658</v>
      </c>
      <c r="AZ66" s="193">
        <f t="shared" si="34"/>
        <v>6.5802508460685658</v>
      </c>
    </row>
    <row r="67" spans="1:52" ht="15.75" customHeight="1">
      <c r="A67" s="192" t="s">
        <v>468</v>
      </c>
      <c r="B67" s="147">
        <v>189.170918411</v>
      </c>
      <c r="C67" s="147">
        <v>199.027140022</v>
      </c>
      <c r="D67" s="147">
        <v>204.825773102</v>
      </c>
      <c r="E67" s="147">
        <v>214.88902866800001</v>
      </c>
      <c r="F67" s="147">
        <v>225.07565949799999</v>
      </c>
      <c r="G67" s="147">
        <v>238.314719948</v>
      </c>
      <c r="H67" s="147">
        <v>249.588379532</v>
      </c>
      <c r="I67" s="147">
        <v>262.11899295900002</v>
      </c>
      <c r="J67" s="147">
        <v>275.229899413</v>
      </c>
      <c r="K67" s="147">
        <v>289.89199117499999</v>
      </c>
      <c r="L67" s="147">
        <v>307.41882093100003</v>
      </c>
      <c r="M67" s="147">
        <v>317.97791599099997</v>
      </c>
      <c r="N67" s="147">
        <v>332.20222008000002</v>
      </c>
      <c r="O67" s="147">
        <v>347.30236418700002</v>
      </c>
      <c r="P67" s="147">
        <v>362.64358862300003</v>
      </c>
      <c r="Q67" s="147">
        <v>380.27030821900001</v>
      </c>
      <c r="R67" s="147">
        <v>398.96252115200002</v>
      </c>
    </row>
    <row r="68" spans="1:52" ht="15.75" customHeight="1">
      <c r="A68" s="192" t="s">
        <v>469</v>
      </c>
      <c r="B68" s="147">
        <v>1.7423504080000001</v>
      </c>
      <c r="C68" s="147">
        <v>1.917088243</v>
      </c>
      <c r="D68" s="147">
        <v>1.86359564</v>
      </c>
      <c r="E68" s="147">
        <v>2.2182878399999999</v>
      </c>
      <c r="F68" s="147">
        <v>2.2348627030000001</v>
      </c>
      <c r="G68" s="147">
        <v>2.4853486459999998</v>
      </c>
      <c r="H68" s="147">
        <v>2.7071095519999999</v>
      </c>
      <c r="I68" s="147">
        <v>2.9135297050000002</v>
      </c>
      <c r="J68" s="147">
        <v>2.860235029</v>
      </c>
      <c r="K68" s="147">
        <v>2.8321976520000001</v>
      </c>
      <c r="L68" s="147">
        <v>3.7787316400000002</v>
      </c>
      <c r="M68" s="147">
        <v>3.4516980770000001</v>
      </c>
      <c r="N68" s="147">
        <v>3.701423133</v>
      </c>
      <c r="O68" s="147">
        <v>3.1999764659999999</v>
      </c>
      <c r="P68" s="147">
        <v>3.47761253</v>
      </c>
      <c r="Q68" s="147">
        <v>3.939657135</v>
      </c>
      <c r="R68" s="147">
        <v>4.0562736810000004</v>
      </c>
      <c r="S68" s="193">
        <f t="shared" ref="S68:AZ68" si="35">-285+15.5*LN(S93)</f>
        <v>4.8075243987379963</v>
      </c>
      <c r="T68" s="193">
        <f t="shared" si="35"/>
        <v>4.8075243987379963</v>
      </c>
      <c r="U68" s="193">
        <f t="shared" si="35"/>
        <v>4.8075243987379963</v>
      </c>
      <c r="V68" s="193">
        <f t="shared" si="35"/>
        <v>4.8075243987379963</v>
      </c>
      <c r="W68" s="193">
        <f t="shared" si="35"/>
        <v>4.8075243987379963</v>
      </c>
      <c r="X68" s="193">
        <f t="shared" si="35"/>
        <v>4.8075243987379963</v>
      </c>
      <c r="Y68" s="193">
        <f t="shared" si="35"/>
        <v>4.8075243987379963</v>
      </c>
      <c r="Z68" s="193">
        <f t="shared" si="35"/>
        <v>4.8075243987379963</v>
      </c>
      <c r="AA68" s="193">
        <f t="shared" si="35"/>
        <v>4.8075243987379963</v>
      </c>
      <c r="AB68" s="193">
        <f t="shared" si="35"/>
        <v>4.8075243987379963</v>
      </c>
      <c r="AC68" s="193">
        <f t="shared" si="35"/>
        <v>4.8075243987379963</v>
      </c>
      <c r="AD68" s="193">
        <f t="shared" si="35"/>
        <v>4.8075243987379963</v>
      </c>
      <c r="AE68" s="193">
        <f t="shared" si="35"/>
        <v>4.8075243987379963</v>
      </c>
      <c r="AF68" s="193">
        <f t="shared" si="35"/>
        <v>4.8075243987379963</v>
      </c>
      <c r="AG68" s="193">
        <f t="shared" si="35"/>
        <v>4.8075243987379963</v>
      </c>
      <c r="AH68" s="193">
        <f t="shared" si="35"/>
        <v>4.8075243987379963</v>
      </c>
      <c r="AI68" s="193">
        <f t="shared" si="35"/>
        <v>4.8075243987379963</v>
      </c>
      <c r="AJ68" s="193">
        <f t="shared" si="35"/>
        <v>4.8075243987379963</v>
      </c>
      <c r="AK68" s="193">
        <f t="shared" si="35"/>
        <v>4.8075243987379963</v>
      </c>
      <c r="AL68" s="193">
        <f t="shared" si="35"/>
        <v>4.8075243987379963</v>
      </c>
      <c r="AM68" s="193">
        <f t="shared" si="35"/>
        <v>4.8075243987379963</v>
      </c>
      <c r="AN68" s="193">
        <f t="shared" si="35"/>
        <v>4.8075243987379963</v>
      </c>
      <c r="AO68" s="193">
        <f t="shared" si="35"/>
        <v>4.8075243987379963</v>
      </c>
      <c r="AP68" s="193">
        <f t="shared" si="35"/>
        <v>4.8075243987379963</v>
      </c>
      <c r="AQ68" s="193">
        <f t="shared" si="35"/>
        <v>4.8075243987379963</v>
      </c>
      <c r="AR68" s="193">
        <f t="shared" si="35"/>
        <v>4.8075243987379963</v>
      </c>
      <c r="AS68" s="193">
        <f t="shared" si="35"/>
        <v>4.8075243987379963</v>
      </c>
      <c r="AT68" s="193">
        <f t="shared" si="35"/>
        <v>4.8075243987379963</v>
      </c>
      <c r="AU68" s="193">
        <f t="shared" si="35"/>
        <v>4.8075243987379963</v>
      </c>
      <c r="AV68" s="193">
        <f t="shared" si="35"/>
        <v>4.8075243987379963</v>
      </c>
      <c r="AW68" s="193">
        <f t="shared" si="35"/>
        <v>4.8075243987379963</v>
      </c>
      <c r="AX68" s="193">
        <f t="shared" si="35"/>
        <v>4.8075243987379963</v>
      </c>
      <c r="AY68" s="193">
        <f t="shared" si="35"/>
        <v>4.8075243987379963</v>
      </c>
      <c r="AZ68" s="193">
        <f t="shared" si="35"/>
        <v>4.8075243987379963</v>
      </c>
    </row>
    <row r="69" spans="1:52" ht="15.75" customHeight="1">
      <c r="A69" s="192" t="s">
        <v>472</v>
      </c>
      <c r="B69" s="147">
        <v>10.849925809</v>
      </c>
      <c r="C69" s="147">
        <v>11.459881746000001</v>
      </c>
      <c r="D69" s="147">
        <v>11.347540263000001</v>
      </c>
      <c r="E69" s="147">
        <v>12.046496358000001</v>
      </c>
      <c r="F69" s="147">
        <v>13.070995622</v>
      </c>
      <c r="G69" s="147">
        <v>13.798600292</v>
      </c>
      <c r="H69" s="147">
        <v>16.612982120000002</v>
      </c>
      <c r="I69" s="147">
        <v>15.904346755000001</v>
      </c>
      <c r="J69" s="147">
        <v>17.630513962999999</v>
      </c>
      <c r="K69" s="147">
        <v>17.364613284000001</v>
      </c>
      <c r="L69" s="147">
        <v>16.933612929999999</v>
      </c>
      <c r="M69" s="147">
        <v>17.386188229999998</v>
      </c>
      <c r="N69" s="147">
        <v>19.758207098</v>
      </c>
      <c r="O69" s="147">
        <v>18.647228101</v>
      </c>
      <c r="P69" s="147">
        <v>20.989356667999999</v>
      </c>
      <c r="Q69" s="147">
        <v>23.159256636999999</v>
      </c>
      <c r="R69" s="147">
        <v>24.635637033999998</v>
      </c>
      <c r="S69" s="147">
        <v>26</v>
      </c>
      <c r="T69" s="193">
        <f t="shared" ref="T69:AZ69" si="36">-1670+90.6*LN(T93)</f>
        <v>23.971723259719965</v>
      </c>
      <c r="U69" s="193">
        <f t="shared" si="36"/>
        <v>23.971723259719965</v>
      </c>
      <c r="V69" s="193">
        <f t="shared" si="36"/>
        <v>23.971723259719965</v>
      </c>
      <c r="W69" s="193">
        <f t="shared" si="36"/>
        <v>23.971723259719965</v>
      </c>
      <c r="X69" s="193">
        <f t="shared" si="36"/>
        <v>23.971723259719965</v>
      </c>
      <c r="Y69" s="193">
        <f t="shared" si="36"/>
        <v>23.971723259719965</v>
      </c>
      <c r="Z69" s="193">
        <f t="shared" si="36"/>
        <v>23.971723259719965</v>
      </c>
      <c r="AA69" s="193">
        <f t="shared" si="36"/>
        <v>23.971723259719965</v>
      </c>
      <c r="AB69" s="193">
        <f t="shared" si="36"/>
        <v>23.971723259719965</v>
      </c>
      <c r="AC69" s="193">
        <f t="shared" si="36"/>
        <v>23.971723259719965</v>
      </c>
      <c r="AD69" s="193">
        <f t="shared" si="36"/>
        <v>23.971723259719965</v>
      </c>
      <c r="AE69" s="193">
        <f t="shared" si="36"/>
        <v>23.971723259719965</v>
      </c>
      <c r="AF69" s="193">
        <f t="shared" si="36"/>
        <v>23.971723259719965</v>
      </c>
      <c r="AG69" s="193">
        <f t="shared" si="36"/>
        <v>23.971723259719965</v>
      </c>
      <c r="AH69" s="193">
        <f t="shared" si="36"/>
        <v>23.971723259719965</v>
      </c>
      <c r="AI69" s="193">
        <f t="shared" si="36"/>
        <v>23.971723259719965</v>
      </c>
      <c r="AJ69" s="193">
        <f t="shared" si="36"/>
        <v>23.971723259719965</v>
      </c>
      <c r="AK69" s="193">
        <f t="shared" si="36"/>
        <v>23.971723259719965</v>
      </c>
      <c r="AL69" s="193">
        <f t="shared" si="36"/>
        <v>23.971723259719965</v>
      </c>
      <c r="AM69" s="193">
        <f t="shared" si="36"/>
        <v>23.971723259719965</v>
      </c>
      <c r="AN69" s="193">
        <f t="shared" si="36"/>
        <v>23.971723259719965</v>
      </c>
      <c r="AO69" s="193">
        <f t="shared" si="36"/>
        <v>23.971723259719965</v>
      </c>
      <c r="AP69" s="193">
        <f t="shared" si="36"/>
        <v>23.971723259719965</v>
      </c>
      <c r="AQ69" s="193">
        <f t="shared" si="36"/>
        <v>23.971723259719965</v>
      </c>
      <c r="AR69" s="193">
        <f t="shared" si="36"/>
        <v>23.971723259719965</v>
      </c>
      <c r="AS69" s="193">
        <f t="shared" si="36"/>
        <v>23.971723259719965</v>
      </c>
      <c r="AT69" s="193">
        <f t="shared" si="36"/>
        <v>23.971723259719965</v>
      </c>
      <c r="AU69" s="193">
        <f t="shared" si="36"/>
        <v>23.971723259719965</v>
      </c>
      <c r="AV69" s="193">
        <f t="shared" si="36"/>
        <v>23.971723259719965</v>
      </c>
      <c r="AW69" s="193">
        <f t="shared" si="36"/>
        <v>23.971723259719965</v>
      </c>
      <c r="AX69" s="193">
        <f t="shared" si="36"/>
        <v>23.971723259719965</v>
      </c>
      <c r="AY69" s="193">
        <f t="shared" si="36"/>
        <v>23.971723259719965</v>
      </c>
      <c r="AZ69" s="193">
        <f t="shared" si="36"/>
        <v>23.971723259719965</v>
      </c>
    </row>
    <row r="70" spans="1:52" ht="15.75" customHeight="1">
      <c r="A70" s="43" t="s">
        <v>475</v>
      </c>
      <c r="B70" s="233">
        <v>0.3</v>
      </c>
      <c r="C70" s="233">
        <v>0.3</v>
      </c>
      <c r="D70" s="233">
        <v>0.3</v>
      </c>
      <c r="E70" s="233">
        <v>0.3</v>
      </c>
      <c r="F70" s="233">
        <v>0.3</v>
      </c>
      <c r="G70" s="233">
        <v>0.3</v>
      </c>
      <c r="H70" s="233">
        <v>0.3</v>
      </c>
      <c r="I70" s="233">
        <v>0.3</v>
      </c>
      <c r="J70" s="233">
        <v>0.3</v>
      </c>
      <c r="K70" s="233">
        <v>0.3</v>
      </c>
      <c r="L70" s="233">
        <v>0.3</v>
      </c>
      <c r="M70" s="233">
        <v>0.3</v>
      </c>
      <c r="N70" s="233">
        <v>0.3</v>
      </c>
      <c r="O70" s="233">
        <v>0.3</v>
      </c>
      <c r="P70" s="233">
        <v>0.3</v>
      </c>
      <c r="Q70" s="233">
        <v>0.3</v>
      </c>
      <c r="R70" s="233">
        <v>0.3</v>
      </c>
      <c r="S70" s="233">
        <v>0.3</v>
      </c>
      <c r="T70" s="233">
        <v>0.3</v>
      </c>
      <c r="U70" s="233">
        <v>0.3</v>
      </c>
      <c r="V70" s="233">
        <v>0.3</v>
      </c>
      <c r="W70" s="233">
        <v>0.3</v>
      </c>
      <c r="X70" s="233">
        <v>0.3</v>
      </c>
      <c r="Y70" s="233">
        <v>0.3</v>
      </c>
      <c r="Z70" s="233">
        <v>0.3</v>
      </c>
      <c r="AA70" s="233">
        <v>0.3</v>
      </c>
      <c r="AB70" s="233">
        <v>0.3</v>
      </c>
      <c r="AC70" s="233">
        <v>0.3</v>
      </c>
      <c r="AD70" s="233">
        <v>0.3</v>
      </c>
      <c r="AE70" s="233">
        <v>0.3</v>
      </c>
      <c r="AF70" s="233">
        <v>0.3</v>
      </c>
      <c r="AG70" s="233">
        <v>0.3</v>
      </c>
      <c r="AH70" s="233">
        <v>0.3</v>
      </c>
      <c r="AI70" s="233">
        <v>0.3</v>
      </c>
      <c r="AJ70" s="233">
        <v>0.3</v>
      </c>
      <c r="AK70" s="233">
        <v>0.3</v>
      </c>
      <c r="AL70" s="233">
        <v>0.3</v>
      </c>
      <c r="AM70" s="233">
        <v>0.3</v>
      </c>
      <c r="AN70" s="233">
        <v>0.3</v>
      </c>
      <c r="AO70" s="233">
        <v>0.3</v>
      </c>
      <c r="AP70" s="233">
        <v>0.3</v>
      </c>
      <c r="AQ70" s="233">
        <v>0.3</v>
      </c>
      <c r="AR70" s="233">
        <v>0.3</v>
      </c>
      <c r="AS70" s="233">
        <v>0.3</v>
      </c>
      <c r="AT70" s="233">
        <v>0.3</v>
      </c>
      <c r="AU70" s="233">
        <v>0.3</v>
      </c>
      <c r="AV70" s="233">
        <v>0.3</v>
      </c>
      <c r="AW70" s="233">
        <v>0.3</v>
      </c>
      <c r="AX70" s="233">
        <v>0.3</v>
      </c>
      <c r="AY70" s="233">
        <v>0.3</v>
      </c>
      <c r="AZ70" s="233">
        <v>0.3</v>
      </c>
    </row>
    <row r="71" spans="1:52" ht="15.75" customHeight="1">
      <c r="A71" s="42" t="s">
        <v>477</v>
      </c>
      <c r="B71" s="147">
        <f t="shared" ref="B71:F71" si="37">B72-B69</f>
        <v>4.6499682038571439</v>
      </c>
      <c r="C71" s="147">
        <f t="shared" si="37"/>
        <v>4.9113778911428589</v>
      </c>
      <c r="D71" s="147">
        <f t="shared" si="37"/>
        <v>4.8632315412857157</v>
      </c>
      <c r="E71" s="147">
        <f t="shared" si="37"/>
        <v>5.1627841534285732</v>
      </c>
      <c r="F71" s="147">
        <f t="shared" si="37"/>
        <v>5.6018552665714285</v>
      </c>
      <c r="G71" s="147">
        <f t="shared" ref="G71:AZ71" si="38">G69*G70</f>
        <v>4.1395800875999997</v>
      </c>
      <c r="H71" s="147">
        <f t="shared" si="38"/>
        <v>4.9838946360000005</v>
      </c>
      <c r="I71" s="147">
        <f t="shared" si="38"/>
        <v>4.7713040265000002</v>
      </c>
      <c r="J71" s="147">
        <f t="shared" si="38"/>
        <v>5.2891541888999996</v>
      </c>
      <c r="K71" s="147">
        <f t="shared" si="38"/>
        <v>5.2093839851999997</v>
      </c>
      <c r="L71" s="147">
        <f t="shared" si="38"/>
        <v>5.0800838789999991</v>
      </c>
      <c r="M71" s="147">
        <f t="shared" si="38"/>
        <v>5.2158564689999993</v>
      </c>
      <c r="N71" s="147">
        <f t="shared" si="38"/>
        <v>5.9274621293999994</v>
      </c>
      <c r="O71" s="147">
        <f t="shared" si="38"/>
        <v>5.5941684302999999</v>
      </c>
      <c r="P71" s="147">
        <f t="shared" si="38"/>
        <v>6.2968070003999994</v>
      </c>
      <c r="Q71" s="147">
        <f t="shared" si="38"/>
        <v>6.9477769910999996</v>
      </c>
      <c r="R71" s="147">
        <f t="shared" si="38"/>
        <v>7.3906911101999988</v>
      </c>
      <c r="S71" s="147">
        <f t="shared" si="38"/>
        <v>7.8</v>
      </c>
      <c r="T71" s="147">
        <f t="shared" si="38"/>
        <v>7.1915169779159891</v>
      </c>
      <c r="U71" s="147">
        <f t="shared" si="38"/>
        <v>7.1915169779159891</v>
      </c>
      <c r="V71" s="147">
        <f t="shared" si="38"/>
        <v>7.1915169779159891</v>
      </c>
      <c r="W71" s="147">
        <f t="shared" si="38"/>
        <v>7.1915169779159891</v>
      </c>
      <c r="X71" s="147">
        <f t="shared" si="38"/>
        <v>7.1915169779159891</v>
      </c>
      <c r="Y71" s="147">
        <f t="shared" si="38"/>
        <v>7.1915169779159891</v>
      </c>
      <c r="Z71" s="147">
        <f t="shared" si="38"/>
        <v>7.1915169779159891</v>
      </c>
      <c r="AA71" s="147">
        <f t="shared" si="38"/>
        <v>7.1915169779159891</v>
      </c>
      <c r="AB71" s="147">
        <f t="shared" si="38"/>
        <v>7.1915169779159891</v>
      </c>
      <c r="AC71" s="147">
        <f t="shared" si="38"/>
        <v>7.1915169779159891</v>
      </c>
      <c r="AD71" s="147">
        <f t="shared" si="38"/>
        <v>7.1915169779159891</v>
      </c>
      <c r="AE71" s="147">
        <f t="shared" si="38"/>
        <v>7.1915169779159891</v>
      </c>
      <c r="AF71" s="147">
        <f t="shared" si="38"/>
        <v>7.1915169779159891</v>
      </c>
      <c r="AG71" s="147">
        <f t="shared" si="38"/>
        <v>7.1915169779159891</v>
      </c>
      <c r="AH71" s="147">
        <f t="shared" si="38"/>
        <v>7.1915169779159891</v>
      </c>
      <c r="AI71" s="147">
        <f t="shared" si="38"/>
        <v>7.1915169779159891</v>
      </c>
      <c r="AJ71" s="147">
        <f t="shared" si="38"/>
        <v>7.1915169779159891</v>
      </c>
      <c r="AK71" s="147">
        <f t="shared" si="38"/>
        <v>7.1915169779159891</v>
      </c>
      <c r="AL71" s="147">
        <f t="shared" si="38"/>
        <v>7.1915169779159891</v>
      </c>
      <c r="AM71" s="147">
        <f t="shared" si="38"/>
        <v>7.1915169779159891</v>
      </c>
      <c r="AN71" s="147">
        <f t="shared" si="38"/>
        <v>7.1915169779159891</v>
      </c>
      <c r="AO71" s="147">
        <f t="shared" si="38"/>
        <v>7.1915169779159891</v>
      </c>
      <c r="AP71" s="147">
        <f t="shared" si="38"/>
        <v>7.1915169779159891</v>
      </c>
      <c r="AQ71" s="147">
        <f t="shared" si="38"/>
        <v>7.1915169779159891</v>
      </c>
      <c r="AR71" s="147">
        <f t="shared" si="38"/>
        <v>7.1915169779159891</v>
      </c>
      <c r="AS71" s="147">
        <f t="shared" si="38"/>
        <v>7.1915169779159891</v>
      </c>
      <c r="AT71" s="147">
        <f t="shared" si="38"/>
        <v>7.1915169779159891</v>
      </c>
      <c r="AU71" s="147">
        <f t="shared" si="38"/>
        <v>7.1915169779159891</v>
      </c>
      <c r="AV71" s="147">
        <f t="shared" si="38"/>
        <v>7.1915169779159891</v>
      </c>
      <c r="AW71" s="147">
        <f t="shared" si="38"/>
        <v>7.1915169779159891</v>
      </c>
      <c r="AX71" s="147">
        <f t="shared" si="38"/>
        <v>7.1915169779159891</v>
      </c>
      <c r="AY71" s="147">
        <f t="shared" si="38"/>
        <v>7.1915169779159891</v>
      </c>
      <c r="AZ71" s="147">
        <f t="shared" si="38"/>
        <v>7.1915169779159891</v>
      </c>
    </row>
    <row r="72" spans="1:52" ht="15.75" customHeight="1">
      <c r="A72" s="42" t="s">
        <v>485</v>
      </c>
      <c r="B72" s="193">
        <f t="shared" ref="B72:AZ72" si="39">B69/(1-B70)</f>
        <v>15.499894012857144</v>
      </c>
      <c r="C72" s="193">
        <f t="shared" si="39"/>
        <v>16.37125963714286</v>
      </c>
      <c r="D72" s="193">
        <f t="shared" si="39"/>
        <v>16.210771804285717</v>
      </c>
      <c r="E72" s="193">
        <f t="shared" si="39"/>
        <v>17.209280511428574</v>
      </c>
      <c r="F72" s="193">
        <f t="shared" si="39"/>
        <v>18.672850888571428</v>
      </c>
      <c r="G72" s="193">
        <f t="shared" si="39"/>
        <v>19.712286131428574</v>
      </c>
      <c r="H72" s="193">
        <f t="shared" si="39"/>
        <v>23.732831600000004</v>
      </c>
      <c r="I72" s="193">
        <f t="shared" si="39"/>
        <v>22.720495364285718</v>
      </c>
      <c r="J72" s="193">
        <f t="shared" si="39"/>
        <v>25.186448518571428</v>
      </c>
      <c r="K72" s="193">
        <f t="shared" si="39"/>
        <v>24.806590405714289</v>
      </c>
      <c r="L72" s="193">
        <f t="shared" si="39"/>
        <v>24.190875614285716</v>
      </c>
      <c r="M72" s="193">
        <f t="shared" si="39"/>
        <v>24.837411757142856</v>
      </c>
      <c r="N72" s="193">
        <f t="shared" si="39"/>
        <v>28.226010140000003</v>
      </c>
      <c r="O72" s="193">
        <f t="shared" si="39"/>
        <v>26.638897287142857</v>
      </c>
      <c r="P72" s="193">
        <f t="shared" si="39"/>
        <v>29.98479524</v>
      </c>
      <c r="Q72" s="193">
        <f t="shared" si="39"/>
        <v>33.084652338571431</v>
      </c>
      <c r="R72" s="193">
        <f t="shared" si="39"/>
        <v>35.19376719142857</v>
      </c>
      <c r="S72" s="193">
        <f t="shared" si="39"/>
        <v>37.142857142857146</v>
      </c>
      <c r="T72" s="193">
        <f t="shared" si="39"/>
        <v>34.245318942457097</v>
      </c>
      <c r="U72" s="193">
        <f t="shared" si="39"/>
        <v>34.245318942457097</v>
      </c>
      <c r="V72" s="193">
        <f t="shared" si="39"/>
        <v>34.245318942457097</v>
      </c>
      <c r="W72" s="193">
        <f t="shared" si="39"/>
        <v>34.245318942457097</v>
      </c>
      <c r="X72" s="193">
        <f t="shared" si="39"/>
        <v>34.245318942457097</v>
      </c>
      <c r="Y72" s="193">
        <f t="shared" si="39"/>
        <v>34.245318942457097</v>
      </c>
      <c r="Z72" s="193">
        <f t="shared" si="39"/>
        <v>34.245318942457097</v>
      </c>
      <c r="AA72" s="193">
        <f t="shared" si="39"/>
        <v>34.245318942457097</v>
      </c>
      <c r="AB72" s="193">
        <f t="shared" si="39"/>
        <v>34.245318942457097</v>
      </c>
      <c r="AC72" s="193">
        <f t="shared" si="39"/>
        <v>34.245318942457097</v>
      </c>
      <c r="AD72" s="193">
        <f t="shared" si="39"/>
        <v>34.245318942457097</v>
      </c>
      <c r="AE72" s="193">
        <f t="shared" si="39"/>
        <v>34.245318942457097</v>
      </c>
      <c r="AF72" s="193">
        <f t="shared" si="39"/>
        <v>34.245318942457097</v>
      </c>
      <c r="AG72" s="193">
        <f t="shared" si="39"/>
        <v>34.245318942457097</v>
      </c>
      <c r="AH72" s="193">
        <f t="shared" si="39"/>
        <v>34.245318942457097</v>
      </c>
      <c r="AI72" s="193">
        <f t="shared" si="39"/>
        <v>34.245318942457097</v>
      </c>
      <c r="AJ72" s="193">
        <f t="shared" si="39"/>
        <v>34.245318942457097</v>
      </c>
      <c r="AK72" s="193">
        <f t="shared" si="39"/>
        <v>34.245318942457097</v>
      </c>
      <c r="AL72" s="193">
        <f t="shared" si="39"/>
        <v>34.245318942457097</v>
      </c>
      <c r="AM72" s="193">
        <f t="shared" si="39"/>
        <v>34.245318942457097</v>
      </c>
      <c r="AN72" s="193">
        <f t="shared" si="39"/>
        <v>34.245318942457097</v>
      </c>
      <c r="AO72" s="193">
        <f t="shared" si="39"/>
        <v>34.245318942457097</v>
      </c>
      <c r="AP72" s="193">
        <f t="shared" si="39"/>
        <v>34.245318942457097</v>
      </c>
      <c r="AQ72" s="193">
        <f t="shared" si="39"/>
        <v>34.245318942457097</v>
      </c>
      <c r="AR72" s="193">
        <f t="shared" si="39"/>
        <v>34.245318942457097</v>
      </c>
      <c r="AS72" s="193">
        <f t="shared" si="39"/>
        <v>34.245318942457097</v>
      </c>
      <c r="AT72" s="193">
        <f t="shared" si="39"/>
        <v>34.245318942457097</v>
      </c>
      <c r="AU72" s="193">
        <f t="shared" si="39"/>
        <v>34.245318942457097</v>
      </c>
      <c r="AV72" s="193">
        <f t="shared" si="39"/>
        <v>34.245318942457097</v>
      </c>
      <c r="AW72" s="193">
        <f t="shared" si="39"/>
        <v>34.245318942457097</v>
      </c>
      <c r="AX72" s="193">
        <f t="shared" si="39"/>
        <v>34.245318942457097</v>
      </c>
      <c r="AY72" s="193">
        <f t="shared" si="39"/>
        <v>34.245318942457097</v>
      </c>
      <c r="AZ72" s="193">
        <f t="shared" si="39"/>
        <v>34.245318942457097</v>
      </c>
    </row>
    <row r="73" spans="1:52" ht="15.75" customHeight="1">
      <c r="A73" s="80" t="s">
        <v>488</v>
      </c>
      <c r="B73" s="147"/>
      <c r="C73" s="147">
        <f t="shared" ref="C73:R73" si="40">C72-B72</f>
        <v>0.87136562428571551</v>
      </c>
      <c r="D73" s="147">
        <f t="shared" si="40"/>
        <v>-0.16048783285714308</v>
      </c>
      <c r="E73" s="147">
        <f t="shared" si="40"/>
        <v>0.99850870714285733</v>
      </c>
      <c r="F73" s="147">
        <f t="shared" si="40"/>
        <v>1.4635703771428545</v>
      </c>
      <c r="G73" s="147">
        <f t="shared" si="40"/>
        <v>1.0394352428571452</v>
      </c>
      <c r="H73" s="147">
        <f t="shared" si="40"/>
        <v>4.0205454685714308</v>
      </c>
      <c r="I73" s="147">
        <f t="shared" si="40"/>
        <v>-1.0123362357142867</v>
      </c>
      <c r="J73" s="147">
        <f t="shared" si="40"/>
        <v>2.4659531542857103</v>
      </c>
      <c r="K73" s="147">
        <f t="shared" si="40"/>
        <v>-0.37985811285713922</v>
      </c>
      <c r="L73" s="147">
        <f t="shared" si="40"/>
        <v>-0.61571479142857299</v>
      </c>
      <c r="M73" s="147">
        <f t="shared" si="40"/>
        <v>0.64653614285714056</v>
      </c>
      <c r="N73" s="147">
        <f t="shared" si="40"/>
        <v>3.3885983828571469</v>
      </c>
      <c r="O73" s="147">
        <f t="shared" si="40"/>
        <v>-1.5871128528571461</v>
      </c>
      <c r="P73" s="147">
        <f t="shared" si="40"/>
        <v>3.3458979528571433</v>
      </c>
      <c r="Q73" s="147">
        <f t="shared" si="40"/>
        <v>3.0998570985714302</v>
      </c>
      <c r="R73" s="147">
        <f t="shared" si="40"/>
        <v>2.1091148528571395</v>
      </c>
    </row>
    <row r="74" spans="1:52" ht="15.75" customHeight="1">
      <c r="B74" s="147"/>
      <c r="C74" s="147"/>
      <c r="D74" s="147"/>
      <c r="E74" s="147"/>
      <c r="F74" s="147"/>
      <c r="G74" s="147"/>
      <c r="H74" s="147"/>
      <c r="I74" s="147"/>
      <c r="J74" s="147"/>
      <c r="K74" s="147"/>
      <c r="L74" s="147"/>
      <c r="M74" s="147"/>
      <c r="N74" s="147"/>
      <c r="O74" s="147"/>
      <c r="P74" s="147"/>
      <c r="Q74" s="147"/>
      <c r="R74" s="147"/>
      <c r="S74" s="147"/>
      <c r="T74">
        <f t="shared" ref="T74:AZ74" si="41">455-0.00000799*T93+0.0000000000000359*(T93^2)</f>
        <v>25.635662030985259</v>
      </c>
      <c r="U74">
        <f t="shared" si="41"/>
        <v>25.635662030985259</v>
      </c>
      <c r="V74">
        <f t="shared" si="41"/>
        <v>25.635662030985259</v>
      </c>
      <c r="W74">
        <f t="shared" si="41"/>
        <v>25.635662030985259</v>
      </c>
      <c r="X74">
        <f t="shared" si="41"/>
        <v>25.635662030985259</v>
      </c>
      <c r="Y74">
        <f t="shared" si="41"/>
        <v>25.635662030985259</v>
      </c>
      <c r="Z74">
        <f t="shared" si="41"/>
        <v>25.635662030985259</v>
      </c>
      <c r="AA74">
        <f t="shared" si="41"/>
        <v>25.635662030985259</v>
      </c>
      <c r="AB74">
        <f t="shared" si="41"/>
        <v>25.635662030985259</v>
      </c>
      <c r="AC74">
        <f t="shared" si="41"/>
        <v>25.635662030985259</v>
      </c>
      <c r="AD74">
        <f t="shared" si="41"/>
        <v>25.635662030985259</v>
      </c>
      <c r="AE74">
        <f t="shared" si="41"/>
        <v>25.635662030985259</v>
      </c>
      <c r="AF74">
        <f t="shared" si="41"/>
        <v>25.635662030985259</v>
      </c>
      <c r="AG74">
        <f t="shared" si="41"/>
        <v>25.635662030985259</v>
      </c>
      <c r="AH74">
        <f t="shared" si="41"/>
        <v>25.635662030985259</v>
      </c>
      <c r="AI74">
        <f t="shared" si="41"/>
        <v>25.635662030985259</v>
      </c>
      <c r="AJ74">
        <f t="shared" si="41"/>
        <v>25.635662030985259</v>
      </c>
      <c r="AK74">
        <f t="shared" si="41"/>
        <v>25.635662030985259</v>
      </c>
      <c r="AL74">
        <f t="shared" si="41"/>
        <v>25.635662030985259</v>
      </c>
      <c r="AM74">
        <f t="shared" si="41"/>
        <v>25.635662030985259</v>
      </c>
      <c r="AN74">
        <f t="shared" si="41"/>
        <v>25.635662030985259</v>
      </c>
      <c r="AO74">
        <f t="shared" si="41"/>
        <v>25.635662030985259</v>
      </c>
      <c r="AP74">
        <f t="shared" si="41"/>
        <v>25.635662030985259</v>
      </c>
      <c r="AQ74">
        <f t="shared" si="41"/>
        <v>25.635662030985259</v>
      </c>
      <c r="AR74">
        <f t="shared" si="41"/>
        <v>25.635662030985259</v>
      </c>
      <c r="AS74">
        <f t="shared" si="41"/>
        <v>25.635662030985259</v>
      </c>
      <c r="AT74">
        <f t="shared" si="41"/>
        <v>25.635662030985259</v>
      </c>
      <c r="AU74">
        <f t="shared" si="41"/>
        <v>25.635662030985259</v>
      </c>
      <c r="AV74">
        <f t="shared" si="41"/>
        <v>25.635662030985259</v>
      </c>
      <c r="AW74">
        <f t="shared" si="41"/>
        <v>25.635662030985259</v>
      </c>
      <c r="AX74">
        <f t="shared" si="41"/>
        <v>25.635662030985259</v>
      </c>
      <c r="AY74">
        <f t="shared" si="41"/>
        <v>25.635662030985259</v>
      </c>
      <c r="AZ74">
        <f t="shared" si="41"/>
        <v>25.635662030985259</v>
      </c>
    </row>
    <row r="75" spans="1:52" ht="15.75" customHeight="1"/>
    <row r="76" spans="1:52" ht="15.75" customHeight="1"/>
    <row r="77" spans="1:52" ht="15.75" customHeight="1"/>
    <row r="78" spans="1:52" ht="15.75" customHeight="1"/>
    <row r="79" spans="1:52" ht="15.75" customHeight="1"/>
    <row r="80" spans="1:52" ht="15.75" customHeight="1"/>
    <row r="81" spans="1:52" ht="15.75" customHeight="1"/>
    <row r="82" spans="1:52" ht="15.75" customHeight="1"/>
    <row r="83" spans="1:52" ht="15.75" customHeight="1"/>
    <row r="84" spans="1:52" ht="15.75" customHeight="1"/>
    <row r="85" spans="1:52" ht="15.75" customHeight="1"/>
    <row r="86" spans="1:52" ht="15.75" customHeight="1"/>
    <row r="87" spans="1:52" ht="15.75" customHeight="1"/>
    <row r="88" spans="1:52" ht="15.75" customHeight="1"/>
    <row r="89" spans="1:52" ht="15.75" customHeight="1"/>
    <row r="90" spans="1:52" ht="15.75" customHeight="1"/>
    <row r="91" spans="1:52" ht="15.75" customHeight="1"/>
    <row r="92" spans="1:52" ht="15.75" customHeight="1">
      <c r="A92" s="151" t="s">
        <v>495</v>
      </c>
      <c r="C92" s="176">
        <f t="shared" ref="C92:AZ92" si="42">C93-B93</f>
        <v>3161757</v>
      </c>
      <c r="D92" s="176">
        <f t="shared" si="42"/>
        <v>1725974</v>
      </c>
      <c r="E92" s="176">
        <f t="shared" si="42"/>
        <v>641186</v>
      </c>
      <c r="F92" s="176">
        <f t="shared" si="42"/>
        <v>1475426</v>
      </c>
      <c r="G92" s="176">
        <f t="shared" si="42"/>
        <v>1985884</v>
      </c>
      <c r="H92" s="176">
        <f t="shared" si="42"/>
        <v>1698934</v>
      </c>
      <c r="I92" s="176">
        <f t="shared" si="42"/>
        <v>1469344</v>
      </c>
      <c r="J92" s="176">
        <f t="shared" si="42"/>
        <v>1082024</v>
      </c>
      <c r="K92" s="176">
        <f t="shared" si="42"/>
        <v>166896</v>
      </c>
      <c r="L92" s="176">
        <f t="shared" si="42"/>
        <v>505170</v>
      </c>
      <c r="M92" s="176">
        <f t="shared" si="42"/>
        <v>420275</v>
      </c>
      <c r="N92" s="176">
        <f t="shared" si="42"/>
        <v>685640</v>
      </c>
      <c r="O92" s="176">
        <f t="shared" si="42"/>
        <v>940166</v>
      </c>
      <c r="P92" s="176">
        <f t="shared" si="42"/>
        <v>896318</v>
      </c>
      <c r="Q92" s="176">
        <f t="shared" si="42"/>
        <v>1127287</v>
      </c>
      <c r="R92" s="176">
        <f t="shared" si="42"/>
        <v>1253462</v>
      </c>
      <c r="S92" s="176">
        <f t="shared" si="42"/>
        <v>1506539</v>
      </c>
      <c r="T92" s="176">
        <f t="shared" si="42"/>
        <v>0</v>
      </c>
      <c r="U92" s="176">
        <f t="shared" si="42"/>
        <v>0</v>
      </c>
      <c r="V92" s="176">
        <f t="shared" si="42"/>
        <v>0</v>
      </c>
      <c r="W92" s="176">
        <f t="shared" si="42"/>
        <v>0</v>
      </c>
      <c r="X92" s="176">
        <f t="shared" si="42"/>
        <v>0</v>
      </c>
      <c r="Y92" s="176">
        <f t="shared" si="42"/>
        <v>0</v>
      </c>
      <c r="Z92" s="176">
        <f t="shared" si="42"/>
        <v>0</v>
      </c>
      <c r="AA92" s="176">
        <f t="shared" si="42"/>
        <v>0</v>
      </c>
      <c r="AB92" s="176">
        <f t="shared" si="42"/>
        <v>0</v>
      </c>
      <c r="AC92" s="176">
        <f t="shared" si="42"/>
        <v>0</v>
      </c>
      <c r="AD92" s="176">
        <f t="shared" si="42"/>
        <v>0</v>
      </c>
      <c r="AE92" s="176">
        <f t="shared" si="42"/>
        <v>0</v>
      </c>
      <c r="AF92" s="176">
        <f t="shared" si="42"/>
        <v>0</v>
      </c>
      <c r="AG92" s="176">
        <f t="shared" si="42"/>
        <v>0</v>
      </c>
      <c r="AH92" s="176">
        <f t="shared" si="42"/>
        <v>0</v>
      </c>
      <c r="AI92" s="176">
        <f t="shared" si="42"/>
        <v>0</v>
      </c>
      <c r="AJ92" s="176">
        <f t="shared" si="42"/>
        <v>0</v>
      </c>
      <c r="AK92" s="176">
        <f t="shared" si="42"/>
        <v>0</v>
      </c>
      <c r="AL92" s="176">
        <f t="shared" si="42"/>
        <v>0</v>
      </c>
      <c r="AM92" s="176">
        <f t="shared" si="42"/>
        <v>0</v>
      </c>
      <c r="AN92" s="176">
        <f t="shared" si="42"/>
        <v>0</v>
      </c>
      <c r="AO92" s="176">
        <f t="shared" si="42"/>
        <v>0</v>
      </c>
      <c r="AP92" s="176">
        <f t="shared" si="42"/>
        <v>0</v>
      </c>
      <c r="AQ92" s="176">
        <f t="shared" si="42"/>
        <v>0</v>
      </c>
      <c r="AR92" s="176">
        <f t="shared" si="42"/>
        <v>0</v>
      </c>
      <c r="AS92" s="176">
        <f t="shared" si="42"/>
        <v>0</v>
      </c>
      <c r="AT92" s="176">
        <f t="shared" si="42"/>
        <v>0</v>
      </c>
      <c r="AU92" s="176">
        <f t="shared" si="42"/>
        <v>0</v>
      </c>
      <c r="AV92" s="176">
        <f t="shared" si="42"/>
        <v>0</v>
      </c>
      <c r="AW92" s="176">
        <f t="shared" si="42"/>
        <v>0</v>
      </c>
      <c r="AX92" s="176">
        <f t="shared" si="42"/>
        <v>0</v>
      </c>
      <c r="AY92" s="176">
        <f t="shared" si="42"/>
        <v>0</v>
      </c>
      <c r="AZ92" s="176">
        <f t="shared" si="42"/>
        <v>0</v>
      </c>
    </row>
    <row r="93" spans="1:52" ht="15.75" customHeight="1">
      <c r="A93" s="242" t="s">
        <v>500</v>
      </c>
      <c r="B93" s="141">
        <v>111118816</v>
      </c>
      <c r="C93" s="141">
        <v>114280573</v>
      </c>
      <c r="D93" s="141">
        <v>116006547</v>
      </c>
      <c r="E93" s="141">
        <v>116647733</v>
      </c>
      <c r="F93" s="141">
        <v>118123159</v>
      </c>
      <c r="G93" s="141">
        <v>120109043</v>
      </c>
      <c r="H93" s="141">
        <v>121807977</v>
      </c>
      <c r="I93" s="141">
        <v>123277321</v>
      </c>
      <c r="J93" s="141">
        <v>124359345</v>
      </c>
      <c r="K93" s="141">
        <v>124526241</v>
      </c>
      <c r="L93" s="141">
        <v>125031411</v>
      </c>
      <c r="M93" s="141">
        <v>125451686</v>
      </c>
      <c r="N93" s="141">
        <v>126137326</v>
      </c>
      <c r="O93" s="141">
        <v>127077492</v>
      </c>
      <c r="P93" s="141">
        <v>127973810</v>
      </c>
      <c r="Q93" s="141">
        <v>129101097</v>
      </c>
      <c r="R93" s="141">
        <v>130354559</v>
      </c>
      <c r="S93" s="141">
        <v>131861098</v>
      </c>
      <c r="T93" s="243">
        <f t="shared" ref="T93:AZ93" si="43">S93*(1+$S$94)</f>
        <v>131861098</v>
      </c>
      <c r="U93" s="243">
        <f t="shared" si="43"/>
        <v>131861098</v>
      </c>
      <c r="V93" s="243">
        <f t="shared" si="43"/>
        <v>131861098</v>
      </c>
      <c r="W93" s="243">
        <f t="shared" si="43"/>
        <v>131861098</v>
      </c>
      <c r="X93" s="243">
        <f t="shared" si="43"/>
        <v>131861098</v>
      </c>
      <c r="Y93" s="243">
        <f t="shared" si="43"/>
        <v>131861098</v>
      </c>
      <c r="Z93" s="243">
        <f t="shared" si="43"/>
        <v>131861098</v>
      </c>
      <c r="AA93" s="243">
        <f t="shared" si="43"/>
        <v>131861098</v>
      </c>
      <c r="AB93" s="243">
        <f t="shared" si="43"/>
        <v>131861098</v>
      </c>
      <c r="AC93" s="243">
        <f t="shared" si="43"/>
        <v>131861098</v>
      </c>
      <c r="AD93" s="243">
        <f t="shared" si="43"/>
        <v>131861098</v>
      </c>
      <c r="AE93" s="243">
        <f t="shared" si="43"/>
        <v>131861098</v>
      </c>
      <c r="AF93" s="243">
        <f t="shared" si="43"/>
        <v>131861098</v>
      </c>
      <c r="AG93" s="243">
        <f t="shared" si="43"/>
        <v>131861098</v>
      </c>
      <c r="AH93" s="243">
        <f t="shared" si="43"/>
        <v>131861098</v>
      </c>
      <c r="AI93" s="243">
        <f t="shared" si="43"/>
        <v>131861098</v>
      </c>
      <c r="AJ93" s="243">
        <f t="shared" si="43"/>
        <v>131861098</v>
      </c>
      <c r="AK93" s="243">
        <f t="shared" si="43"/>
        <v>131861098</v>
      </c>
      <c r="AL93" s="243">
        <f t="shared" si="43"/>
        <v>131861098</v>
      </c>
      <c r="AM93" s="243">
        <f t="shared" si="43"/>
        <v>131861098</v>
      </c>
      <c r="AN93" s="243">
        <f t="shared" si="43"/>
        <v>131861098</v>
      </c>
      <c r="AO93" s="243">
        <f t="shared" si="43"/>
        <v>131861098</v>
      </c>
      <c r="AP93" s="243">
        <f t="shared" si="43"/>
        <v>131861098</v>
      </c>
      <c r="AQ93" s="243">
        <f t="shared" si="43"/>
        <v>131861098</v>
      </c>
      <c r="AR93" s="243">
        <f t="shared" si="43"/>
        <v>131861098</v>
      </c>
      <c r="AS93" s="243">
        <f t="shared" si="43"/>
        <v>131861098</v>
      </c>
      <c r="AT93" s="243">
        <f t="shared" si="43"/>
        <v>131861098</v>
      </c>
      <c r="AU93" s="243">
        <f t="shared" si="43"/>
        <v>131861098</v>
      </c>
      <c r="AV93" s="243">
        <f t="shared" si="43"/>
        <v>131861098</v>
      </c>
      <c r="AW93" s="243">
        <f t="shared" si="43"/>
        <v>131861098</v>
      </c>
      <c r="AX93" s="243">
        <f t="shared" si="43"/>
        <v>131861098</v>
      </c>
      <c r="AY93" s="243">
        <f t="shared" si="43"/>
        <v>131861098</v>
      </c>
      <c r="AZ93" s="243">
        <f t="shared" si="43"/>
        <v>131861098</v>
      </c>
    </row>
    <row r="94" spans="1:52" ht="15.75" customHeight="1"/>
    <row r="95" spans="1:52" ht="15.75" customHeight="1">
      <c r="A95" s="93" t="s">
        <v>74</v>
      </c>
      <c r="B95" s="245">
        <v>0.4</v>
      </c>
      <c r="C95" s="247"/>
      <c r="D95" s="247"/>
      <c r="E95" s="247"/>
      <c r="F95" s="247"/>
      <c r="G95" s="247"/>
      <c r="H95" s="247"/>
      <c r="I95" s="247"/>
      <c r="J95" s="247"/>
      <c r="K95" s="249"/>
      <c r="L95" s="247"/>
      <c r="M95" s="247"/>
      <c r="N95" s="247"/>
      <c r="O95" s="247"/>
      <c r="P95" s="247"/>
      <c r="Q95" s="247"/>
      <c r="R95" s="247"/>
      <c r="S95" s="247"/>
      <c r="T95" s="247"/>
      <c r="U95" s="247"/>
      <c r="V95" s="247"/>
    </row>
    <row r="96" spans="1:52" ht="15.75" customHeight="1">
      <c r="A96" s="93" t="s">
        <v>76</v>
      </c>
      <c r="B96" s="245">
        <f>1-B95</f>
        <v>0.6</v>
      </c>
      <c r="C96" s="247"/>
      <c r="D96" s="247"/>
      <c r="E96" s="247"/>
      <c r="F96" s="247"/>
      <c r="G96" s="247"/>
      <c r="H96" s="247"/>
      <c r="I96" s="247"/>
      <c r="J96" s="247"/>
      <c r="K96" s="247"/>
      <c r="L96" s="247"/>
      <c r="M96" s="247"/>
      <c r="N96" s="247"/>
      <c r="O96" s="247"/>
      <c r="P96" s="247"/>
      <c r="Q96" s="247"/>
      <c r="R96" s="247"/>
      <c r="S96" s="247"/>
      <c r="T96" s="247"/>
      <c r="U96" s="247"/>
      <c r="V96" s="247"/>
    </row>
    <row r="97" spans="1:52" ht="15.75" customHeight="1">
      <c r="A97" s="93" t="s">
        <v>78</v>
      </c>
      <c r="B97" s="245">
        <v>4.7500000000000001E-2</v>
      </c>
      <c r="C97" s="247"/>
      <c r="D97" s="247"/>
      <c r="E97" s="247"/>
      <c r="F97" s="247"/>
      <c r="G97" s="247"/>
      <c r="H97" s="247"/>
      <c r="I97" s="247"/>
      <c r="J97" s="247"/>
      <c r="K97" s="247"/>
      <c r="L97" s="247"/>
      <c r="M97" s="247"/>
      <c r="N97" s="247"/>
      <c r="O97" s="247"/>
      <c r="P97" s="247"/>
      <c r="Q97" s="247"/>
      <c r="R97" s="247"/>
      <c r="S97" s="247"/>
      <c r="T97" s="247"/>
      <c r="U97" s="247"/>
      <c r="V97" s="247"/>
    </row>
    <row r="98" spans="1:52" ht="15.75" customHeight="1">
      <c r="A98" s="93" t="s">
        <v>80</v>
      </c>
      <c r="B98" s="245">
        <v>0.08</v>
      </c>
      <c r="C98" s="247"/>
      <c r="D98" s="247"/>
      <c r="E98" s="247"/>
      <c r="F98" s="247"/>
      <c r="G98" s="247"/>
      <c r="H98" s="247"/>
      <c r="I98" s="247"/>
      <c r="J98" s="247"/>
      <c r="K98" s="247"/>
      <c r="L98" s="247"/>
      <c r="M98" s="247"/>
      <c r="N98" s="247"/>
      <c r="O98" s="247"/>
      <c r="P98" s="247"/>
      <c r="Q98" s="247"/>
      <c r="R98" s="247"/>
      <c r="S98" s="247"/>
      <c r="T98" s="247"/>
      <c r="U98" s="247"/>
      <c r="V98" s="247"/>
    </row>
    <row r="99" spans="1:52" ht="15.75" customHeight="1">
      <c r="A99" s="93" t="s">
        <v>82</v>
      </c>
      <c r="B99" s="245">
        <f>B95*B97+B96*B98</f>
        <v>6.7000000000000004E-2</v>
      </c>
      <c r="C99" s="250"/>
      <c r="D99" s="250"/>
      <c r="E99" s="250"/>
      <c r="F99" s="250"/>
      <c r="G99" s="250"/>
      <c r="H99" s="250"/>
      <c r="I99" s="250"/>
      <c r="J99" s="250"/>
      <c r="K99" s="250"/>
      <c r="L99" s="250"/>
      <c r="M99" s="250"/>
      <c r="N99" s="250"/>
      <c r="O99" s="250"/>
      <c r="P99" s="250"/>
      <c r="Q99" s="250"/>
      <c r="R99" s="250"/>
      <c r="S99" s="250"/>
      <c r="T99" s="250"/>
      <c r="U99" s="250"/>
      <c r="V99" s="250"/>
    </row>
    <row r="100" spans="1:52" ht="15.75" customHeight="1">
      <c r="A100" s="93" t="s">
        <v>84</v>
      </c>
      <c r="B100" s="251">
        <v>15</v>
      </c>
      <c r="C100" s="88"/>
      <c r="D100" s="88"/>
      <c r="E100" s="88"/>
      <c r="F100" s="88"/>
      <c r="G100" s="88"/>
      <c r="H100" s="88"/>
      <c r="I100" s="88"/>
      <c r="J100" s="88"/>
      <c r="K100" s="88"/>
      <c r="L100" s="88"/>
      <c r="M100" s="88"/>
      <c r="N100" s="88"/>
      <c r="O100" s="88"/>
      <c r="P100" s="88"/>
      <c r="Q100" s="88"/>
      <c r="R100" s="88"/>
      <c r="S100" s="88"/>
      <c r="T100" s="88"/>
      <c r="U100" s="88"/>
      <c r="V100" s="88"/>
    </row>
    <row r="101" spans="1:52" ht="15.75" customHeight="1">
      <c r="A101" s="93" t="s">
        <v>503</v>
      </c>
      <c r="B101" s="245">
        <v>3.7499999999999999E-2</v>
      </c>
      <c r="C101" s="252">
        <v>7.2190000000000004E-2</v>
      </c>
      <c r="D101" s="252">
        <v>6.6769999999999996E-2</v>
      </c>
      <c r="E101" s="252">
        <v>6.1769999999999999E-2</v>
      </c>
      <c r="F101" s="252">
        <v>5.713E-2</v>
      </c>
      <c r="G101" s="252">
        <v>5.2850000000000001E-2</v>
      </c>
      <c r="H101" s="252">
        <v>4.888E-2</v>
      </c>
      <c r="I101" s="252">
        <v>4.5220000000000003E-2</v>
      </c>
      <c r="J101" s="252">
        <v>4.462E-2</v>
      </c>
      <c r="K101" s="252">
        <v>4.4609999999999997E-2</v>
      </c>
      <c r="L101" s="252">
        <v>4.462E-2</v>
      </c>
      <c r="M101" s="252">
        <v>4.4609999999999997E-2</v>
      </c>
      <c r="N101" s="252">
        <v>4.462E-2</v>
      </c>
      <c r="O101" s="252">
        <v>4.4609999999999997E-2</v>
      </c>
      <c r="P101" s="252">
        <v>4.462E-2</v>
      </c>
      <c r="Q101" s="252">
        <v>4.4609999999999997E-2</v>
      </c>
      <c r="R101" s="252">
        <v>4.462E-2</v>
      </c>
      <c r="S101" s="252">
        <v>4.4609999999999997E-2</v>
      </c>
      <c r="T101" s="252">
        <v>4.462E-2</v>
      </c>
      <c r="U101" s="252">
        <v>4.4609999999999997E-2</v>
      </c>
      <c r="V101" s="252">
        <v>2.231E-2</v>
      </c>
    </row>
    <row r="102" spans="1:52" ht="15.75" customHeight="1">
      <c r="A102" s="93" t="s">
        <v>504</v>
      </c>
      <c r="B102" s="245">
        <f>1/30</f>
        <v>3.3333333333333333E-2</v>
      </c>
    </row>
    <row r="103" spans="1:52" ht="15" customHeight="1">
      <c r="A103" s="93" t="s">
        <v>112</v>
      </c>
      <c r="B103" s="253">
        <v>0.35</v>
      </c>
      <c r="C103" s="253">
        <v>0.35</v>
      </c>
      <c r="D103" s="253">
        <v>0.35</v>
      </c>
      <c r="E103" s="253">
        <v>0.35</v>
      </c>
      <c r="F103" s="253">
        <v>0.35</v>
      </c>
      <c r="G103" s="253">
        <v>0.35</v>
      </c>
      <c r="H103" s="253">
        <v>0.35</v>
      </c>
      <c r="I103" s="253">
        <v>0.35</v>
      </c>
      <c r="J103" s="253">
        <v>0.35</v>
      </c>
      <c r="K103" s="253">
        <v>0.35</v>
      </c>
      <c r="L103" s="253">
        <v>0.35</v>
      </c>
      <c r="M103" s="253">
        <v>0.35</v>
      </c>
      <c r="N103" s="253">
        <v>0.35</v>
      </c>
      <c r="O103" s="253">
        <v>0.35</v>
      </c>
      <c r="P103" s="253">
        <v>0.35</v>
      </c>
      <c r="Q103" s="253">
        <v>0.35</v>
      </c>
      <c r="R103" s="253">
        <v>0.35</v>
      </c>
      <c r="S103" s="253">
        <v>0.35</v>
      </c>
      <c r="T103" s="253">
        <v>0.21</v>
      </c>
      <c r="U103" s="253">
        <v>0.21</v>
      </c>
      <c r="V103" s="254">
        <v>0.21</v>
      </c>
      <c r="W103" s="102">
        <f t="shared" ref="W103:AZ103" si="44">V103</f>
        <v>0.21</v>
      </c>
      <c r="X103" s="102">
        <f t="shared" si="44"/>
        <v>0.21</v>
      </c>
      <c r="Y103" s="102">
        <f t="shared" si="44"/>
        <v>0.21</v>
      </c>
      <c r="Z103" s="102">
        <f t="shared" si="44"/>
        <v>0.21</v>
      </c>
      <c r="AA103" s="102">
        <f t="shared" si="44"/>
        <v>0.21</v>
      </c>
      <c r="AB103" s="102">
        <f t="shared" si="44"/>
        <v>0.21</v>
      </c>
      <c r="AC103" s="102">
        <f t="shared" si="44"/>
        <v>0.21</v>
      </c>
      <c r="AD103" s="102">
        <f t="shared" si="44"/>
        <v>0.21</v>
      </c>
      <c r="AE103" s="102">
        <f t="shared" si="44"/>
        <v>0.21</v>
      </c>
      <c r="AF103" s="102">
        <f t="shared" si="44"/>
        <v>0.21</v>
      </c>
      <c r="AG103" s="102">
        <f t="shared" si="44"/>
        <v>0.21</v>
      </c>
      <c r="AH103" s="102">
        <f t="shared" si="44"/>
        <v>0.21</v>
      </c>
      <c r="AI103" s="102">
        <f t="shared" si="44"/>
        <v>0.21</v>
      </c>
      <c r="AJ103" s="102">
        <f t="shared" si="44"/>
        <v>0.21</v>
      </c>
      <c r="AK103" s="102">
        <f t="shared" si="44"/>
        <v>0.21</v>
      </c>
      <c r="AL103" s="102">
        <f t="shared" si="44"/>
        <v>0.21</v>
      </c>
      <c r="AM103" s="102">
        <f t="shared" si="44"/>
        <v>0.21</v>
      </c>
      <c r="AN103" s="102">
        <f t="shared" si="44"/>
        <v>0.21</v>
      </c>
      <c r="AO103" s="102">
        <f t="shared" si="44"/>
        <v>0.21</v>
      </c>
      <c r="AP103" s="102">
        <f t="shared" si="44"/>
        <v>0.21</v>
      </c>
      <c r="AQ103" s="102">
        <f t="shared" si="44"/>
        <v>0.21</v>
      </c>
      <c r="AR103" s="102">
        <f t="shared" si="44"/>
        <v>0.21</v>
      </c>
      <c r="AS103" s="102">
        <f t="shared" si="44"/>
        <v>0.21</v>
      </c>
      <c r="AT103" s="102">
        <f t="shared" si="44"/>
        <v>0.21</v>
      </c>
      <c r="AU103" s="102">
        <f t="shared" si="44"/>
        <v>0.21</v>
      </c>
      <c r="AV103" s="102">
        <f t="shared" si="44"/>
        <v>0.21</v>
      </c>
      <c r="AW103" s="102">
        <f t="shared" si="44"/>
        <v>0.21</v>
      </c>
      <c r="AX103" s="102">
        <f t="shared" si="44"/>
        <v>0.21</v>
      </c>
      <c r="AY103" s="102">
        <f t="shared" si="44"/>
        <v>0.21</v>
      </c>
      <c r="AZ103" s="102">
        <f t="shared" si="44"/>
        <v>0.21</v>
      </c>
    </row>
    <row r="104" spans="1:52" ht="15.75" customHeight="1"/>
    <row r="105" spans="1:52" ht="15.75" customHeight="1"/>
    <row r="106" spans="1:52" ht="15.75" customHeight="1"/>
    <row r="107" spans="1:52" ht="15.75" customHeight="1"/>
    <row r="108" spans="1:52" ht="15.75" customHeight="1"/>
    <row r="109" spans="1:52" ht="15.75" customHeight="1"/>
    <row r="110" spans="1:52" ht="15.75" customHeight="1"/>
    <row r="111" spans="1:52" ht="15.75" customHeight="1"/>
    <row r="112" spans="1:52" ht="15.75" customHeight="1"/>
    <row r="113" spans="2:19" ht="15.75" customHeight="1"/>
    <row r="114" spans="2:19" ht="15.75" customHeight="1"/>
    <row r="115" spans="2:19" ht="15.75" customHeight="1">
      <c r="B115" s="126">
        <f t="shared" ref="B115:S115" si="45">89*B93/1000000000</f>
        <v>9.8895746239999998</v>
      </c>
      <c r="C115" s="126">
        <f t="shared" si="45"/>
        <v>10.170970997</v>
      </c>
      <c r="D115" s="126">
        <f t="shared" si="45"/>
        <v>10.324582682999999</v>
      </c>
      <c r="E115" s="126">
        <f t="shared" si="45"/>
        <v>10.381648237</v>
      </c>
      <c r="F115" s="126">
        <f t="shared" si="45"/>
        <v>10.512961151000001</v>
      </c>
      <c r="G115" s="126">
        <f t="shared" si="45"/>
        <v>10.689704827</v>
      </c>
      <c r="H115" s="126">
        <f t="shared" si="45"/>
        <v>10.840909953000001</v>
      </c>
      <c r="I115" s="126">
        <f t="shared" si="45"/>
        <v>10.971681568999999</v>
      </c>
      <c r="J115" s="126">
        <f t="shared" si="45"/>
        <v>11.067981704999999</v>
      </c>
      <c r="K115" s="126">
        <f t="shared" si="45"/>
        <v>11.082835448999999</v>
      </c>
      <c r="L115" s="126">
        <f t="shared" si="45"/>
        <v>11.127795579000001</v>
      </c>
      <c r="M115" s="126">
        <f t="shared" si="45"/>
        <v>11.165200054</v>
      </c>
      <c r="N115" s="126">
        <f t="shared" si="45"/>
        <v>11.226222013999999</v>
      </c>
      <c r="O115" s="126">
        <f t="shared" si="45"/>
        <v>11.309896788</v>
      </c>
      <c r="P115" s="126">
        <f t="shared" si="45"/>
        <v>11.38966909</v>
      </c>
      <c r="Q115" s="126">
        <f t="shared" si="45"/>
        <v>11.489997633</v>
      </c>
      <c r="R115" s="126">
        <f t="shared" si="45"/>
        <v>11.601555750999999</v>
      </c>
      <c r="S115" s="126">
        <f t="shared" si="45"/>
        <v>11.735637722</v>
      </c>
    </row>
    <row r="116" spans="2:19" ht="15.75" customHeight="1"/>
    <row r="117" spans="2:19" ht="15.75" customHeight="1"/>
    <row r="118" spans="2:19" ht="15.75" customHeight="1"/>
    <row r="119" spans="2:19" ht="15.75" customHeight="1"/>
    <row r="120" spans="2:19" ht="15.75" customHeight="1"/>
    <row r="121" spans="2:19" ht="15.75" customHeight="1"/>
    <row r="122" spans="2:19" ht="15.75" customHeight="1"/>
    <row r="123" spans="2:19" ht="15.75" customHeight="1"/>
    <row r="124" spans="2:19" ht="15.75" customHeight="1"/>
    <row r="125" spans="2:19" ht="15.75" customHeight="1"/>
    <row r="126" spans="2:19" ht="15.75" customHeight="1"/>
    <row r="127" spans="2:19" ht="15.75" customHeight="1"/>
    <row r="128" spans="2:19"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orientation="landscape"/>
  <drawing r:id="rId1"/>
  <legacyDrawing r:id="rId2"/>
  <tableParts count="1">
    <tablePart r:id="rId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H432"/>
  <sheetViews>
    <sheetView workbookViewId="0"/>
  </sheetViews>
  <sheetFormatPr defaultColWidth="14.4609375" defaultRowHeight="15" customHeight="1" outlineLevelRow="1"/>
  <cols>
    <col min="1" max="1" width="22.15234375" customWidth="1"/>
    <col min="2" max="2" width="20.84375" customWidth="1"/>
    <col min="3" max="53" width="8.84375" customWidth="1"/>
  </cols>
  <sheetData>
    <row r="1" spans="1:60" ht="14.6">
      <c r="A1" s="209" t="s">
        <v>412</v>
      </c>
      <c r="B1" s="40"/>
      <c r="C1" s="40"/>
      <c r="D1" s="40"/>
      <c r="E1" s="40"/>
      <c r="F1" s="40"/>
      <c r="G1" s="40"/>
      <c r="H1" s="40"/>
      <c r="I1" s="40"/>
      <c r="J1" s="40"/>
      <c r="K1" s="40"/>
      <c r="L1" s="40"/>
      <c r="M1" s="40"/>
      <c r="N1" s="40"/>
      <c r="O1" s="40"/>
      <c r="P1" s="40"/>
      <c r="Q1" s="40"/>
      <c r="R1" s="40"/>
      <c r="S1" s="40"/>
      <c r="T1" s="40"/>
      <c r="U1" s="210"/>
      <c r="V1" s="210"/>
      <c r="W1" s="210"/>
      <c r="X1" s="210"/>
      <c r="Y1" s="210"/>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210"/>
      <c r="BF1" s="210"/>
      <c r="BG1" s="210"/>
      <c r="BH1" s="210"/>
    </row>
    <row r="2" spans="1:60" ht="14.6" collapsed="1">
      <c r="A2" s="40" t="s">
        <v>417</v>
      </c>
      <c r="B2" s="40" t="s">
        <v>418</v>
      </c>
      <c r="C2" s="40">
        <v>2000</v>
      </c>
      <c r="D2" s="40">
        <v>2001</v>
      </c>
      <c r="E2" s="40">
        <v>2002</v>
      </c>
      <c r="F2" s="40">
        <v>2003</v>
      </c>
      <c r="G2" s="40">
        <v>2004</v>
      </c>
      <c r="H2" s="40">
        <v>2005</v>
      </c>
      <c r="I2" s="40">
        <v>2006</v>
      </c>
      <c r="J2" s="40">
        <v>2007</v>
      </c>
      <c r="K2" s="40">
        <v>2008</v>
      </c>
      <c r="L2" s="40">
        <v>2009</v>
      </c>
      <c r="M2" s="40">
        <v>2010</v>
      </c>
      <c r="N2" s="40">
        <v>2011</v>
      </c>
      <c r="O2" s="40">
        <v>2012</v>
      </c>
      <c r="P2" s="40">
        <v>2013</v>
      </c>
      <c r="Q2" s="40">
        <v>2014</v>
      </c>
      <c r="R2" s="40">
        <v>2015</v>
      </c>
      <c r="S2" s="40">
        <v>2016</v>
      </c>
      <c r="T2" s="40">
        <v>2017</v>
      </c>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row>
    <row r="3" spans="1:60" ht="14.6" hidden="1" outlineLevel="1">
      <c r="A3" s="80" t="s">
        <v>420</v>
      </c>
      <c r="B3" s="80" t="s">
        <v>421</v>
      </c>
      <c r="C3" s="80">
        <v>149019</v>
      </c>
      <c r="D3" s="80">
        <v>149279</v>
      </c>
      <c r="E3" s="80">
        <v>146564</v>
      </c>
      <c r="F3" s="80">
        <v>144828</v>
      </c>
      <c r="G3" s="80">
        <v>147599</v>
      </c>
      <c r="H3" s="80">
        <v>149293</v>
      </c>
      <c r="I3" s="80">
        <v>150587</v>
      </c>
      <c r="J3" s="80">
        <v>147876</v>
      </c>
      <c r="K3" s="80">
        <v>155198</v>
      </c>
      <c r="L3" s="80">
        <v>157446</v>
      </c>
      <c r="M3" s="80">
        <v>160934</v>
      </c>
      <c r="N3" s="80">
        <v>165247</v>
      </c>
      <c r="O3" s="80">
        <v>168314</v>
      </c>
      <c r="P3" s="80">
        <v>174810</v>
      </c>
      <c r="Q3" s="80">
        <v>178912</v>
      </c>
      <c r="R3" s="80">
        <v>180413</v>
      </c>
      <c r="S3" s="80">
        <v>178761</v>
      </c>
      <c r="T3" s="80">
        <v>169327</v>
      </c>
    </row>
    <row r="4" spans="1:60" ht="14.6" hidden="1" outlineLevel="1">
      <c r="A4" s="80" t="s">
        <v>422</v>
      </c>
      <c r="B4" s="80" t="s">
        <v>421</v>
      </c>
      <c r="C4" s="80">
        <v>45210</v>
      </c>
      <c r="D4" s="80">
        <v>44749</v>
      </c>
      <c r="E4" s="80">
        <v>44844</v>
      </c>
      <c r="F4" s="80">
        <v>44556</v>
      </c>
      <c r="G4" s="80">
        <v>44747</v>
      </c>
      <c r="H4" s="80">
        <v>45473</v>
      </c>
      <c r="I4" s="80">
        <v>46682</v>
      </c>
      <c r="J4" s="80">
        <v>46499</v>
      </c>
      <c r="K4" s="80">
        <v>49656</v>
      </c>
      <c r="L4" s="80">
        <v>48817</v>
      </c>
      <c r="M4" s="80">
        <v>50287</v>
      </c>
      <c r="N4" s="80">
        <v>51593</v>
      </c>
      <c r="O4" s="80">
        <v>52782</v>
      </c>
      <c r="P4" s="80">
        <v>53735</v>
      </c>
      <c r="Q4" s="80">
        <v>54608</v>
      </c>
      <c r="R4" s="80">
        <v>53244</v>
      </c>
      <c r="S4" s="80">
        <v>49988</v>
      </c>
      <c r="T4" s="80">
        <v>50671</v>
      </c>
    </row>
    <row r="5" spans="1:60" ht="14.6" hidden="1" outlineLevel="1">
      <c r="A5" s="80" t="s">
        <v>423</v>
      </c>
      <c r="B5" s="80" t="s">
        <v>421</v>
      </c>
      <c r="C5" s="80">
        <v>47546</v>
      </c>
      <c r="D5" s="80">
        <v>47631</v>
      </c>
      <c r="E5" s="80">
        <v>47505</v>
      </c>
      <c r="F5" s="80">
        <v>48071</v>
      </c>
      <c r="G5" s="80">
        <v>47682</v>
      </c>
      <c r="H5" s="80">
        <v>48374</v>
      </c>
      <c r="I5" s="80">
        <v>49165</v>
      </c>
      <c r="J5" s="80">
        <v>49427</v>
      </c>
      <c r="K5" s="80">
        <v>51036</v>
      </c>
      <c r="L5" s="80">
        <v>50855</v>
      </c>
      <c r="M5" s="80">
        <v>50806</v>
      </c>
      <c r="N5" s="80">
        <v>53019</v>
      </c>
      <c r="O5" s="80">
        <v>54366</v>
      </c>
      <c r="P5" s="80">
        <v>54136</v>
      </c>
      <c r="Q5" s="80">
        <v>54656</v>
      </c>
      <c r="R5" s="80">
        <v>52867</v>
      </c>
      <c r="S5" s="80">
        <v>50098</v>
      </c>
      <c r="T5" s="80">
        <v>50597</v>
      </c>
    </row>
    <row r="6" spans="1:60" ht="14.6" hidden="1" outlineLevel="1">
      <c r="A6" s="80" t="s">
        <v>424</v>
      </c>
      <c r="B6" s="80" t="s">
        <v>421</v>
      </c>
      <c r="C6" s="80">
        <v>26739</v>
      </c>
      <c r="D6" s="80">
        <v>26935</v>
      </c>
      <c r="E6" s="80">
        <v>26731</v>
      </c>
      <c r="F6" s="80">
        <v>25943</v>
      </c>
      <c r="G6" s="80">
        <v>26315</v>
      </c>
      <c r="H6" s="80">
        <v>26571</v>
      </c>
      <c r="I6" s="80">
        <v>27592</v>
      </c>
      <c r="J6" s="80">
        <v>27263</v>
      </c>
      <c r="K6" s="80">
        <v>28385</v>
      </c>
      <c r="L6" s="80">
        <v>28007</v>
      </c>
      <c r="M6" s="80">
        <v>28229</v>
      </c>
      <c r="N6" s="80">
        <v>28846</v>
      </c>
      <c r="O6" s="80">
        <v>29233</v>
      </c>
      <c r="P6" s="80">
        <v>29774</v>
      </c>
      <c r="Q6" s="80">
        <v>30638</v>
      </c>
      <c r="R6" s="80">
        <v>29844</v>
      </c>
      <c r="S6" s="80">
        <v>28397</v>
      </c>
      <c r="T6" s="80">
        <v>28370</v>
      </c>
    </row>
    <row r="7" spans="1:60" ht="14.6" hidden="1" outlineLevel="1">
      <c r="A7" s="80" t="s">
        <v>425</v>
      </c>
      <c r="B7" s="80" t="s">
        <v>421</v>
      </c>
      <c r="C7" s="80">
        <v>17442</v>
      </c>
      <c r="D7" s="80">
        <v>17546</v>
      </c>
      <c r="E7" s="80">
        <v>17157</v>
      </c>
      <c r="F7" s="80">
        <v>17366</v>
      </c>
      <c r="G7" s="80">
        <v>16987</v>
      </c>
      <c r="H7" s="80">
        <v>17248</v>
      </c>
      <c r="I7" s="80">
        <v>17936</v>
      </c>
      <c r="J7" s="80">
        <v>17981</v>
      </c>
      <c r="K7" s="80">
        <v>18566</v>
      </c>
      <c r="L7" s="80">
        <v>18291</v>
      </c>
      <c r="M7" s="80">
        <v>18414</v>
      </c>
      <c r="N7" s="80">
        <v>18646</v>
      </c>
      <c r="O7" s="80">
        <v>18979</v>
      </c>
      <c r="P7" s="80">
        <v>19247</v>
      </c>
      <c r="Q7" s="80">
        <v>19831</v>
      </c>
      <c r="R7" s="80">
        <v>19601</v>
      </c>
      <c r="S7" s="80">
        <v>18505</v>
      </c>
      <c r="T7" s="80">
        <v>18187</v>
      </c>
    </row>
    <row r="8" spans="1:60" ht="14.6" hidden="1" outlineLevel="1">
      <c r="A8" s="80" t="s">
        <v>426</v>
      </c>
      <c r="B8" s="80" t="s">
        <v>421</v>
      </c>
      <c r="C8" s="80">
        <v>12854</v>
      </c>
      <c r="D8" s="80">
        <v>13019</v>
      </c>
      <c r="E8" s="80">
        <v>12790</v>
      </c>
      <c r="F8" s="80">
        <v>12621</v>
      </c>
      <c r="G8" s="80">
        <v>12695</v>
      </c>
      <c r="H8" s="80">
        <v>12696</v>
      </c>
      <c r="I8" s="80">
        <v>12696</v>
      </c>
      <c r="J8" s="80">
        <v>13065</v>
      </c>
      <c r="K8" s="80">
        <v>12994</v>
      </c>
      <c r="L8" s="80">
        <v>12786</v>
      </c>
      <c r="M8" s="80">
        <v>12928</v>
      </c>
      <c r="N8" s="80">
        <v>13288</v>
      </c>
      <c r="O8" s="80">
        <v>13541</v>
      </c>
      <c r="P8" s="80">
        <v>13823</v>
      </c>
      <c r="Q8" s="80">
        <v>14365</v>
      </c>
      <c r="R8" s="80">
        <v>13827</v>
      </c>
      <c r="S8" s="80">
        <v>13323</v>
      </c>
      <c r="T8" s="80">
        <v>13023</v>
      </c>
    </row>
    <row r="9" spans="1:60" ht="14.6" hidden="1" outlineLevel="1">
      <c r="A9" s="80" t="s">
        <v>427</v>
      </c>
      <c r="B9" s="80" t="s">
        <v>421</v>
      </c>
      <c r="C9" s="80">
        <v>9988</v>
      </c>
      <c r="D9" s="80">
        <v>9469</v>
      </c>
      <c r="E9" s="80">
        <v>9456</v>
      </c>
      <c r="F9" s="80">
        <v>9357</v>
      </c>
      <c r="G9" s="80">
        <v>9089</v>
      </c>
      <c r="H9" s="80">
        <v>9467</v>
      </c>
      <c r="I9" s="80">
        <v>9538</v>
      </c>
      <c r="J9" s="80">
        <v>9409</v>
      </c>
      <c r="K9" s="80">
        <v>10107</v>
      </c>
      <c r="L9" s="80">
        <v>9611</v>
      </c>
      <c r="M9" s="80">
        <v>9834</v>
      </c>
      <c r="N9" s="80">
        <v>9993</v>
      </c>
      <c r="O9" s="80">
        <v>10589</v>
      </c>
      <c r="P9" s="80">
        <v>10605</v>
      </c>
      <c r="Q9" s="80">
        <v>10781</v>
      </c>
      <c r="R9" s="80">
        <v>10588</v>
      </c>
      <c r="S9" s="80">
        <v>9987</v>
      </c>
      <c r="T9" s="80">
        <v>10114</v>
      </c>
    </row>
    <row r="10" spans="1:60" ht="14.6" hidden="1" outlineLevel="1">
      <c r="A10" s="80" t="s">
        <v>428</v>
      </c>
      <c r="B10" s="80" t="s">
        <v>421</v>
      </c>
      <c r="C10" s="80">
        <v>10641</v>
      </c>
      <c r="D10" s="80">
        <v>10771</v>
      </c>
      <c r="E10" s="80">
        <v>10404</v>
      </c>
      <c r="F10" s="80">
        <v>10260</v>
      </c>
      <c r="G10" s="80">
        <v>10362</v>
      </c>
      <c r="H10" s="80">
        <v>10635</v>
      </c>
      <c r="I10" s="80">
        <v>10717</v>
      </c>
      <c r="J10" s="80">
        <v>10874</v>
      </c>
      <c r="K10" s="80">
        <v>11062</v>
      </c>
      <c r="L10" s="80">
        <v>10884</v>
      </c>
      <c r="M10" s="80">
        <v>10908</v>
      </c>
      <c r="N10" s="80">
        <v>11209</v>
      </c>
      <c r="O10" s="80">
        <v>11593</v>
      </c>
      <c r="P10" s="80">
        <v>11769</v>
      </c>
      <c r="Q10" s="80">
        <v>12058</v>
      </c>
      <c r="R10" s="80">
        <v>11985</v>
      </c>
      <c r="S10" s="80">
        <v>11600</v>
      </c>
      <c r="T10" s="80">
        <v>11177</v>
      </c>
    </row>
    <row r="11" spans="1:60" ht="14.6" hidden="1" outlineLevel="1">
      <c r="A11" s="80" t="s">
        <v>429</v>
      </c>
      <c r="B11" s="80" t="s">
        <v>421</v>
      </c>
      <c r="C11" s="80">
        <v>12896</v>
      </c>
      <c r="D11" s="80">
        <v>12440</v>
      </c>
      <c r="E11" s="80">
        <v>11982</v>
      </c>
      <c r="F11" s="80">
        <v>11740</v>
      </c>
      <c r="G11" s="80">
        <v>11901</v>
      </c>
      <c r="H11" s="80">
        <v>11995</v>
      </c>
      <c r="I11" s="80">
        <v>12070</v>
      </c>
      <c r="J11" s="80">
        <v>12094</v>
      </c>
      <c r="K11" s="80">
        <v>12387</v>
      </c>
      <c r="L11" s="80">
        <v>12112</v>
      </c>
      <c r="M11" s="80">
        <v>12239</v>
      </c>
      <c r="N11" s="80">
        <v>12797</v>
      </c>
      <c r="O11" s="80">
        <v>13215</v>
      </c>
      <c r="P11" s="80">
        <v>13545</v>
      </c>
      <c r="Q11" s="80">
        <v>13887</v>
      </c>
      <c r="R11" s="80">
        <v>13823</v>
      </c>
      <c r="S11" s="80">
        <v>13198</v>
      </c>
      <c r="T11" s="80">
        <v>13157</v>
      </c>
    </row>
    <row r="12" spans="1:60" ht="14.6" hidden="1" outlineLevel="1">
      <c r="A12" s="80" t="s">
        <v>430</v>
      </c>
      <c r="B12" s="80" t="s">
        <v>421</v>
      </c>
      <c r="C12" s="80">
        <v>8518</v>
      </c>
      <c r="D12" s="80">
        <v>8385</v>
      </c>
      <c r="E12" s="80">
        <v>8033</v>
      </c>
      <c r="F12" s="80">
        <v>8140</v>
      </c>
      <c r="G12" s="80">
        <v>8063</v>
      </c>
      <c r="H12" s="80">
        <v>7940</v>
      </c>
      <c r="I12" s="80">
        <v>8054</v>
      </c>
      <c r="J12" s="80">
        <v>8024</v>
      </c>
      <c r="K12" s="80">
        <v>8415</v>
      </c>
      <c r="L12" s="80">
        <v>8116</v>
      </c>
      <c r="M12" s="80">
        <v>8281</v>
      </c>
      <c r="N12" s="80">
        <v>8512</v>
      </c>
      <c r="O12" s="80">
        <v>9131</v>
      </c>
      <c r="P12" s="80">
        <v>8989</v>
      </c>
      <c r="Q12" s="80">
        <v>9531</v>
      </c>
      <c r="R12" s="80">
        <v>9364</v>
      </c>
      <c r="S12" s="80">
        <v>8957</v>
      </c>
      <c r="T12" s="80">
        <v>8884</v>
      </c>
    </row>
    <row r="13" spans="1:60" ht="14.6" hidden="1" outlineLevel="1">
      <c r="A13" s="80" t="s">
        <v>431</v>
      </c>
      <c r="B13" s="80" t="s">
        <v>421</v>
      </c>
      <c r="C13" s="80">
        <v>6110</v>
      </c>
      <c r="D13" s="80">
        <v>5890</v>
      </c>
      <c r="E13" s="80">
        <v>5844</v>
      </c>
      <c r="F13" s="80">
        <v>5523</v>
      </c>
      <c r="G13" s="80">
        <v>5796</v>
      </c>
      <c r="H13" s="80">
        <v>5697</v>
      </c>
      <c r="I13" s="80">
        <v>5647</v>
      </c>
      <c r="J13" s="80">
        <v>5616</v>
      </c>
      <c r="K13" s="80">
        <v>5877</v>
      </c>
      <c r="L13" s="80">
        <v>5603</v>
      </c>
      <c r="M13" s="80">
        <v>5693</v>
      </c>
      <c r="N13" s="80">
        <v>6092</v>
      </c>
      <c r="O13" s="80">
        <v>6294</v>
      </c>
      <c r="P13" s="80">
        <v>6558</v>
      </c>
      <c r="Q13" s="80">
        <v>6987</v>
      </c>
      <c r="R13" s="80">
        <v>6722</v>
      </c>
      <c r="S13" s="80">
        <v>6451</v>
      </c>
      <c r="T13" s="80">
        <v>6625</v>
      </c>
    </row>
    <row r="14" spans="1:60" ht="14.6" hidden="1" outlineLevel="1">
      <c r="A14" s="80" t="s">
        <v>432</v>
      </c>
      <c r="B14" s="80" t="s">
        <v>421</v>
      </c>
      <c r="C14" s="80">
        <v>7809</v>
      </c>
      <c r="D14" s="80">
        <v>7878</v>
      </c>
      <c r="E14" s="80">
        <v>7611</v>
      </c>
      <c r="F14" s="80">
        <v>7620</v>
      </c>
      <c r="G14" s="80">
        <v>7370</v>
      </c>
      <c r="H14" s="80">
        <v>7476</v>
      </c>
      <c r="I14" s="80">
        <v>7423</v>
      </c>
      <c r="J14" s="80">
        <v>7373</v>
      </c>
      <c r="K14" s="80">
        <v>7569</v>
      </c>
      <c r="L14" s="80">
        <v>7260</v>
      </c>
      <c r="M14" s="80">
        <v>7477</v>
      </c>
      <c r="N14" s="80">
        <v>7940</v>
      </c>
      <c r="O14" s="80">
        <v>8583</v>
      </c>
      <c r="P14" s="80">
        <v>8962</v>
      </c>
      <c r="Q14" s="80">
        <v>9324</v>
      </c>
      <c r="R14" s="80">
        <v>9103</v>
      </c>
      <c r="S14" s="80">
        <v>9213</v>
      </c>
      <c r="T14" s="80">
        <v>9573</v>
      </c>
    </row>
    <row r="15" spans="1:60" ht="14.6" hidden="1" outlineLevel="1">
      <c r="A15" s="80" t="s">
        <v>433</v>
      </c>
      <c r="B15" s="80" t="s">
        <v>421</v>
      </c>
      <c r="C15" s="80">
        <v>4763</v>
      </c>
      <c r="D15" s="80">
        <v>4719</v>
      </c>
      <c r="E15" s="80">
        <v>4681</v>
      </c>
      <c r="F15" s="80">
        <v>4579</v>
      </c>
      <c r="G15" s="80">
        <v>4466</v>
      </c>
      <c r="H15" s="80">
        <v>4302</v>
      </c>
      <c r="I15" s="80">
        <v>4175</v>
      </c>
      <c r="J15" s="80">
        <v>4264</v>
      </c>
      <c r="K15" s="80">
        <v>4412</v>
      </c>
      <c r="L15" s="80">
        <v>4250</v>
      </c>
      <c r="M15" s="80">
        <v>4597</v>
      </c>
      <c r="N15" s="80">
        <v>4867</v>
      </c>
      <c r="O15" s="80">
        <v>5326</v>
      </c>
      <c r="P15" s="80">
        <v>5840</v>
      </c>
      <c r="Q15" s="80">
        <v>6337</v>
      </c>
      <c r="R15" s="80">
        <v>6433</v>
      </c>
      <c r="S15" s="80">
        <v>6431</v>
      </c>
      <c r="T15" s="80">
        <v>6635</v>
      </c>
    </row>
    <row r="16" spans="1:60" ht="14.6" hidden="1" outlineLevel="1">
      <c r="A16" s="80" t="s">
        <v>434</v>
      </c>
      <c r="B16" s="80" t="s">
        <v>421</v>
      </c>
      <c r="C16" s="80">
        <v>9359</v>
      </c>
      <c r="D16" s="80">
        <v>9282</v>
      </c>
      <c r="E16" s="80">
        <v>8524</v>
      </c>
      <c r="F16" s="80">
        <v>8427</v>
      </c>
      <c r="G16" s="80">
        <v>8019</v>
      </c>
      <c r="H16" s="80">
        <v>7815</v>
      </c>
      <c r="I16" s="80">
        <v>7530</v>
      </c>
      <c r="J16" s="80">
        <v>7691</v>
      </c>
      <c r="K16" s="80">
        <v>8119</v>
      </c>
      <c r="L16" s="80">
        <v>7754</v>
      </c>
      <c r="M16" s="80">
        <v>8782</v>
      </c>
      <c r="N16" s="80">
        <v>10048</v>
      </c>
      <c r="O16" s="80">
        <v>11659</v>
      </c>
      <c r="P16" s="80">
        <v>13462</v>
      </c>
      <c r="Q16" s="80">
        <v>15528</v>
      </c>
      <c r="R16" s="80">
        <v>16162</v>
      </c>
      <c r="S16" s="80">
        <v>16308</v>
      </c>
      <c r="T16" s="80">
        <v>16463</v>
      </c>
    </row>
    <row r="17" spans="1:20" ht="14.6" hidden="1" outlineLevel="1">
      <c r="A17" s="80" t="s">
        <v>435</v>
      </c>
      <c r="B17" s="80" t="s">
        <v>421</v>
      </c>
      <c r="C17" s="80">
        <v>3672</v>
      </c>
      <c r="D17" s="80">
        <v>3491</v>
      </c>
      <c r="E17" s="80">
        <v>3269</v>
      </c>
      <c r="F17" s="80">
        <v>3106</v>
      </c>
      <c r="G17" s="80">
        <v>2969</v>
      </c>
      <c r="H17" s="80">
        <v>2848</v>
      </c>
      <c r="I17" s="80">
        <v>2763</v>
      </c>
      <c r="J17" s="80">
        <v>3075</v>
      </c>
      <c r="K17" s="80">
        <v>3280</v>
      </c>
      <c r="L17" s="80">
        <v>3258</v>
      </c>
      <c r="M17" s="80">
        <v>3891</v>
      </c>
      <c r="N17" s="80">
        <v>5003</v>
      </c>
      <c r="O17" s="80">
        <v>6918</v>
      </c>
      <c r="P17" s="80">
        <v>9062</v>
      </c>
      <c r="Q17" s="80">
        <v>10912</v>
      </c>
      <c r="R17" s="80">
        <v>11254</v>
      </c>
      <c r="S17" s="80">
        <v>9600</v>
      </c>
      <c r="T17" s="80">
        <v>8554</v>
      </c>
    </row>
    <row r="18" spans="1:20" ht="14.6" hidden="1" outlineLevel="1">
      <c r="A18" s="80" t="s">
        <v>436</v>
      </c>
      <c r="B18" s="80" t="s">
        <v>421</v>
      </c>
      <c r="C18" s="80">
        <v>1399</v>
      </c>
      <c r="D18" s="80">
        <v>1357</v>
      </c>
      <c r="E18" s="80">
        <v>1268</v>
      </c>
      <c r="F18" s="80">
        <v>1265</v>
      </c>
      <c r="G18" s="80">
        <v>1211</v>
      </c>
      <c r="H18" s="80">
        <v>1138</v>
      </c>
      <c r="I18" s="80">
        <v>1142</v>
      </c>
      <c r="J18" s="80">
        <v>1255</v>
      </c>
      <c r="K18" s="80">
        <v>1273</v>
      </c>
      <c r="L18" s="80">
        <v>1318</v>
      </c>
      <c r="M18" s="80">
        <v>1892</v>
      </c>
      <c r="N18" s="80">
        <v>2776</v>
      </c>
      <c r="O18" s="80">
        <v>4584</v>
      </c>
      <c r="P18" s="80">
        <v>6193</v>
      </c>
      <c r="Q18" s="80">
        <v>7788</v>
      </c>
      <c r="R18" s="80">
        <v>7317</v>
      </c>
      <c r="S18" s="80">
        <v>5213</v>
      </c>
      <c r="T18" s="80">
        <v>5367</v>
      </c>
    </row>
    <row r="19" spans="1:20" ht="14.6" hidden="1" outlineLevel="1">
      <c r="A19" s="80" t="s">
        <v>437</v>
      </c>
      <c r="B19" s="80" t="s">
        <v>421</v>
      </c>
      <c r="C19" s="80">
        <v>600</v>
      </c>
      <c r="D19" s="80">
        <v>568</v>
      </c>
      <c r="E19" s="80">
        <v>494</v>
      </c>
      <c r="F19" s="80">
        <v>508</v>
      </c>
      <c r="G19" s="80">
        <v>504</v>
      </c>
      <c r="H19" s="80">
        <v>455</v>
      </c>
      <c r="I19" s="80">
        <v>488</v>
      </c>
      <c r="J19" s="80">
        <v>541</v>
      </c>
      <c r="K19" s="80">
        <v>540</v>
      </c>
      <c r="L19" s="80">
        <v>493</v>
      </c>
      <c r="M19" s="80">
        <v>755</v>
      </c>
      <c r="N19" s="80">
        <v>1187</v>
      </c>
      <c r="O19" s="80">
        <v>1923</v>
      </c>
      <c r="P19" s="80">
        <v>2742</v>
      </c>
      <c r="Q19" s="80">
        <v>3936</v>
      </c>
      <c r="R19" s="80">
        <v>3816</v>
      </c>
      <c r="S19" s="80">
        <v>3283</v>
      </c>
      <c r="T19" s="80">
        <v>4387</v>
      </c>
    </row>
    <row r="20" spans="1:20" ht="14.6" hidden="1" outlineLevel="1">
      <c r="A20" s="80" t="s">
        <v>438</v>
      </c>
      <c r="B20" s="80" t="s">
        <v>421</v>
      </c>
      <c r="C20" s="80">
        <v>289</v>
      </c>
      <c r="D20" s="80">
        <v>257</v>
      </c>
      <c r="E20" s="80">
        <v>235</v>
      </c>
      <c r="F20" s="80">
        <v>222</v>
      </c>
      <c r="G20" s="80">
        <v>210</v>
      </c>
      <c r="H20" s="80">
        <v>205</v>
      </c>
      <c r="I20" s="80">
        <v>192</v>
      </c>
      <c r="J20" s="80">
        <v>186</v>
      </c>
      <c r="K20" s="80">
        <v>212</v>
      </c>
      <c r="L20" s="80">
        <v>204</v>
      </c>
      <c r="M20" s="80">
        <v>213</v>
      </c>
      <c r="N20" s="80">
        <v>319</v>
      </c>
      <c r="O20" s="80">
        <v>472</v>
      </c>
      <c r="P20" s="80">
        <v>558</v>
      </c>
      <c r="Q20" s="80">
        <v>816</v>
      </c>
      <c r="R20" s="80">
        <v>962</v>
      </c>
      <c r="S20" s="80">
        <v>996</v>
      </c>
      <c r="T20" s="80">
        <v>1768</v>
      </c>
    </row>
    <row r="21" spans="1:20" ht="14.6" hidden="1" outlineLevel="1">
      <c r="A21" s="80" t="s">
        <v>439</v>
      </c>
      <c r="B21" s="80" t="s">
        <v>421</v>
      </c>
      <c r="C21" s="80">
        <v>99</v>
      </c>
      <c r="D21" s="80">
        <v>75</v>
      </c>
      <c r="E21" s="80">
        <v>84</v>
      </c>
      <c r="F21" s="80">
        <v>81</v>
      </c>
      <c r="G21" s="80">
        <v>88</v>
      </c>
      <c r="H21" s="80">
        <v>94</v>
      </c>
      <c r="I21" s="80">
        <v>110</v>
      </c>
      <c r="J21" s="80">
        <v>99</v>
      </c>
      <c r="K21" s="80">
        <v>85</v>
      </c>
      <c r="L21" s="80">
        <v>93</v>
      </c>
      <c r="M21" s="80">
        <v>92</v>
      </c>
      <c r="N21" s="80">
        <v>94</v>
      </c>
      <c r="O21" s="80">
        <v>107</v>
      </c>
      <c r="P21" s="80">
        <v>103</v>
      </c>
      <c r="Q21" s="80">
        <v>145</v>
      </c>
      <c r="R21" s="80">
        <v>132</v>
      </c>
      <c r="S21" s="80">
        <v>177</v>
      </c>
      <c r="T21" s="80">
        <v>273</v>
      </c>
    </row>
    <row r="22" spans="1:20" ht="14.6" hidden="1" outlineLevel="1">
      <c r="A22" s="80" t="s">
        <v>440</v>
      </c>
      <c r="B22" s="80" t="s">
        <v>421</v>
      </c>
      <c r="C22" s="80">
        <v>48</v>
      </c>
      <c r="D22" s="80">
        <v>56</v>
      </c>
      <c r="E22" s="80">
        <v>57</v>
      </c>
      <c r="F22" s="80">
        <v>64</v>
      </c>
      <c r="G22" s="80">
        <v>71</v>
      </c>
      <c r="H22" s="80">
        <v>66</v>
      </c>
      <c r="I22" s="80">
        <v>72</v>
      </c>
      <c r="J22" s="80">
        <v>71</v>
      </c>
      <c r="K22" s="80">
        <v>56</v>
      </c>
      <c r="L22" s="80">
        <v>60</v>
      </c>
      <c r="M22" s="80">
        <v>59</v>
      </c>
      <c r="N22" s="80">
        <v>73</v>
      </c>
      <c r="O22" s="80">
        <v>72</v>
      </c>
      <c r="P22" s="80">
        <v>68</v>
      </c>
      <c r="Q22" s="80">
        <v>69</v>
      </c>
      <c r="R22" s="80">
        <v>67</v>
      </c>
      <c r="S22" s="80">
        <v>79</v>
      </c>
      <c r="T22" s="80">
        <v>93</v>
      </c>
    </row>
    <row r="23" spans="1:20" ht="14.6" hidden="1" outlineLevel="1">
      <c r="A23" s="80" t="s">
        <v>441</v>
      </c>
      <c r="B23" s="80" t="s">
        <v>421</v>
      </c>
      <c r="C23" s="80">
        <v>31</v>
      </c>
      <c r="D23" s="80">
        <v>43</v>
      </c>
      <c r="E23" s="80">
        <v>51</v>
      </c>
      <c r="F23" s="80">
        <v>56</v>
      </c>
      <c r="G23" s="80">
        <v>56</v>
      </c>
      <c r="H23" s="80">
        <v>40</v>
      </c>
      <c r="I23" s="80">
        <v>43</v>
      </c>
      <c r="J23" s="80">
        <v>45</v>
      </c>
      <c r="K23" s="80">
        <v>39</v>
      </c>
      <c r="L23" s="80">
        <v>45</v>
      </c>
      <c r="M23" s="80">
        <v>41</v>
      </c>
      <c r="N23" s="80">
        <v>34</v>
      </c>
      <c r="O23" s="80">
        <v>39</v>
      </c>
      <c r="P23" s="80">
        <v>42</v>
      </c>
      <c r="Q23" s="80">
        <v>54</v>
      </c>
      <c r="R23" s="80">
        <v>70</v>
      </c>
      <c r="S23" s="80">
        <v>71</v>
      </c>
      <c r="T23" s="80">
        <v>80</v>
      </c>
    </row>
    <row r="24" spans="1:20" ht="14.6" hidden="1" outlineLevel="1">
      <c r="A24" s="80" t="s">
        <v>442</v>
      </c>
      <c r="B24" s="80" t="s">
        <v>421</v>
      </c>
      <c r="C24" s="80">
        <v>21</v>
      </c>
      <c r="D24" s="80">
        <v>23</v>
      </c>
      <c r="E24" s="80">
        <v>24</v>
      </c>
      <c r="F24" s="80">
        <v>22</v>
      </c>
      <c r="G24" s="80">
        <v>18</v>
      </c>
      <c r="H24" s="80">
        <v>18</v>
      </c>
      <c r="I24" s="80">
        <v>13</v>
      </c>
      <c r="J24" s="80">
        <v>9</v>
      </c>
      <c r="K24" s="80">
        <v>13</v>
      </c>
      <c r="L24" s="80">
        <v>30</v>
      </c>
      <c r="M24" s="80">
        <v>34</v>
      </c>
      <c r="N24" s="80">
        <v>16</v>
      </c>
      <c r="O24" s="80">
        <v>15</v>
      </c>
      <c r="P24" s="80">
        <v>14</v>
      </c>
      <c r="Q24" s="80">
        <v>21</v>
      </c>
      <c r="R24" s="80">
        <v>27</v>
      </c>
      <c r="S24" s="80">
        <v>26</v>
      </c>
      <c r="T24" s="80">
        <v>27</v>
      </c>
    </row>
    <row r="25" spans="1:20" ht="14.6" hidden="1" outlineLevel="1">
      <c r="A25" s="80" t="s">
        <v>420</v>
      </c>
      <c r="B25" s="80" t="s">
        <v>443</v>
      </c>
      <c r="C25" s="80">
        <v>83288</v>
      </c>
      <c r="D25" s="80">
        <v>93199</v>
      </c>
      <c r="E25" s="80">
        <v>95638</v>
      </c>
      <c r="F25" s="80">
        <v>99980</v>
      </c>
      <c r="G25" s="80">
        <v>103703</v>
      </c>
      <c r="H25" s="80">
        <v>108136</v>
      </c>
      <c r="I25" s="80">
        <v>115250</v>
      </c>
      <c r="J25" s="80">
        <v>116423</v>
      </c>
      <c r="K25" s="80">
        <v>130632</v>
      </c>
      <c r="L25" s="80">
        <v>133505</v>
      </c>
      <c r="M25" s="80">
        <v>140246</v>
      </c>
      <c r="N25" s="80">
        <v>146028</v>
      </c>
      <c r="O25" s="80">
        <v>152187</v>
      </c>
      <c r="P25" s="80">
        <v>153825</v>
      </c>
      <c r="Q25" s="80">
        <v>162384</v>
      </c>
      <c r="R25" s="80">
        <v>166434</v>
      </c>
      <c r="S25" s="80">
        <v>175202</v>
      </c>
      <c r="T25" s="80">
        <v>167563</v>
      </c>
    </row>
    <row r="26" spans="1:20" ht="14.6" hidden="1" outlineLevel="1">
      <c r="A26" s="80" t="s">
        <v>422</v>
      </c>
      <c r="B26" s="80" t="s">
        <v>443</v>
      </c>
      <c r="C26" s="80">
        <v>42587</v>
      </c>
      <c r="D26" s="80">
        <v>46102</v>
      </c>
      <c r="E26" s="80">
        <v>46827</v>
      </c>
      <c r="F26" s="80">
        <v>48164</v>
      </c>
      <c r="G26" s="80">
        <v>50166</v>
      </c>
      <c r="H26" s="80">
        <v>52265</v>
      </c>
      <c r="I26" s="80">
        <v>55552</v>
      </c>
      <c r="J26" s="80">
        <v>56805</v>
      </c>
      <c r="K26" s="80">
        <v>62633</v>
      </c>
      <c r="L26" s="80">
        <v>64089</v>
      </c>
      <c r="M26" s="80">
        <v>66459</v>
      </c>
      <c r="N26" s="80">
        <v>68246</v>
      </c>
      <c r="O26" s="80">
        <v>69570</v>
      </c>
      <c r="P26" s="80">
        <v>69545</v>
      </c>
      <c r="Q26" s="80">
        <v>69867</v>
      </c>
      <c r="R26" s="80">
        <v>68362</v>
      </c>
      <c r="S26" s="80">
        <v>66296</v>
      </c>
      <c r="T26" s="80">
        <v>63686</v>
      </c>
    </row>
    <row r="27" spans="1:20" ht="14.6" hidden="1" outlineLevel="1">
      <c r="A27" s="80" t="s">
        <v>423</v>
      </c>
      <c r="B27" s="80" t="s">
        <v>443</v>
      </c>
      <c r="C27" s="80">
        <v>47661</v>
      </c>
      <c r="D27" s="80">
        <v>51515</v>
      </c>
      <c r="E27" s="80">
        <v>52451</v>
      </c>
      <c r="F27" s="80">
        <v>54071</v>
      </c>
      <c r="G27" s="80">
        <v>56703</v>
      </c>
      <c r="H27" s="80">
        <v>59863</v>
      </c>
      <c r="I27" s="80">
        <v>63924</v>
      </c>
      <c r="J27" s="80">
        <v>66925</v>
      </c>
      <c r="K27" s="80">
        <v>73380</v>
      </c>
      <c r="L27" s="80">
        <v>75085</v>
      </c>
      <c r="M27" s="80">
        <v>76583</v>
      </c>
      <c r="N27" s="80">
        <v>78075</v>
      </c>
      <c r="O27" s="80">
        <v>77695</v>
      </c>
      <c r="P27" s="80">
        <v>77981</v>
      </c>
      <c r="Q27" s="80">
        <v>77312</v>
      </c>
      <c r="R27" s="80">
        <v>75822</v>
      </c>
      <c r="S27" s="80">
        <v>73125</v>
      </c>
      <c r="T27" s="80">
        <v>70961</v>
      </c>
    </row>
    <row r="28" spans="1:20" ht="14.6" hidden="1" outlineLevel="1">
      <c r="A28" s="80" t="s">
        <v>424</v>
      </c>
      <c r="B28" s="80" t="s">
        <v>443</v>
      </c>
      <c r="C28" s="80">
        <v>28796</v>
      </c>
      <c r="D28" s="80">
        <v>30549</v>
      </c>
      <c r="E28" s="80">
        <v>32134</v>
      </c>
      <c r="F28" s="80">
        <v>33795</v>
      </c>
      <c r="G28" s="80">
        <v>36105</v>
      </c>
      <c r="H28" s="80">
        <v>38833</v>
      </c>
      <c r="I28" s="80">
        <v>41494</v>
      </c>
      <c r="J28" s="80">
        <v>44154</v>
      </c>
      <c r="K28" s="80">
        <v>47449</v>
      </c>
      <c r="L28" s="80">
        <v>47872</v>
      </c>
      <c r="M28" s="80">
        <v>49030</v>
      </c>
      <c r="N28" s="80">
        <v>49573</v>
      </c>
      <c r="O28" s="80">
        <v>49201</v>
      </c>
      <c r="P28" s="80">
        <v>48442</v>
      </c>
      <c r="Q28" s="80">
        <v>48392</v>
      </c>
      <c r="R28" s="80">
        <v>46702</v>
      </c>
      <c r="S28" s="80">
        <v>45636</v>
      </c>
      <c r="T28" s="80">
        <v>44486</v>
      </c>
    </row>
    <row r="29" spans="1:20" ht="14.6" hidden="1" outlineLevel="1">
      <c r="A29" s="80" t="s">
        <v>425</v>
      </c>
      <c r="B29" s="80" t="s">
        <v>443</v>
      </c>
      <c r="C29" s="80">
        <v>20736</v>
      </c>
      <c r="D29" s="80">
        <v>22115</v>
      </c>
      <c r="E29" s="80">
        <v>23269</v>
      </c>
      <c r="F29" s="80">
        <v>24739</v>
      </c>
      <c r="G29" s="80">
        <v>26399</v>
      </c>
      <c r="H29" s="80">
        <v>27903</v>
      </c>
      <c r="I29" s="80">
        <v>30235</v>
      </c>
      <c r="J29" s="80">
        <v>32213</v>
      </c>
      <c r="K29" s="80">
        <v>34400</v>
      </c>
      <c r="L29" s="80">
        <v>35044</v>
      </c>
      <c r="M29" s="80">
        <v>35136</v>
      </c>
      <c r="N29" s="80">
        <v>34786</v>
      </c>
      <c r="O29" s="80">
        <v>34085</v>
      </c>
      <c r="P29" s="80">
        <v>33587</v>
      </c>
      <c r="Q29" s="80">
        <v>33212</v>
      </c>
      <c r="R29" s="80">
        <v>32135</v>
      </c>
      <c r="S29" s="80">
        <v>31063</v>
      </c>
      <c r="T29" s="80">
        <v>29772</v>
      </c>
    </row>
    <row r="30" spans="1:20" ht="14.6" hidden="1" outlineLevel="1">
      <c r="A30" s="80" t="s">
        <v>426</v>
      </c>
      <c r="B30" s="80" t="s">
        <v>443</v>
      </c>
      <c r="C30" s="80">
        <v>16215</v>
      </c>
      <c r="D30" s="80">
        <v>16763</v>
      </c>
      <c r="E30" s="80">
        <v>18004</v>
      </c>
      <c r="F30" s="80">
        <v>19567</v>
      </c>
      <c r="G30" s="80">
        <v>20417</v>
      </c>
      <c r="H30" s="80">
        <v>21991</v>
      </c>
      <c r="I30" s="80">
        <v>23443</v>
      </c>
      <c r="J30" s="80">
        <v>24904</v>
      </c>
      <c r="K30" s="80">
        <v>25504</v>
      </c>
      <c r="L30" s="80">
        <v>25705</v>
      </c>
      <c r="M30" s="80">
        <v>25699</v>
      </c>
      <c r="N30" s="80">
        <v>25788</v>
      </c>
      <c r="O30" s="80">
        <v>24630</v>
      </c>
      <c r="P30" s="80">
        <v>24164</v>
      </c>
      <c r="Q30" s="80">
        <v>23955</v>
      </c>
      <c r="R30" s="80">
        <v>23276</v>
      </c>
      <c r="S30" s="80">
        <v>22414</v>
      </c>
      <c r="T30" s="80">
        <v>21379</v>
      </c>
    </row>
    <row r="31" spans="1:20" ht="14.6" hidden="1" outlineLevel="1">
      <c r="A31" s="80" t="s">
        <v>427</v>
      </c>
      <c r="B31" s="80" t="s">
        <v>443</v>
      </c>
      <c r="C31" s="80">
        <v>12448</v>
      </c>
      <c r="D31" s="80">
        <v>13312</v>
      </c>
      <c r="E31" s="80">
        <v>14574</v>
      </c>
      <c r="F31" s="80">
        <v>15382</v>
      </c>
      <c r="G31" s="80">
        <v>16352</v>
      </c>
      <c r="H31" s="80">
        <v>17573</v>
      </c>
      <c r="I31" s="80">
        <v>18403</v>
      </c>
      <c r="J31" s="80">
        <v>19198</v>
      </c>
      <c r="K31" s="80">
        <v>19524</v>
      </c>
      <c r="L31" s="80">
        <v>19383</v>
      </c>
      <c r="M31" s="80">
        <v>19363</v>
      </c>
      <c r="N31" s="80">
        <v>19236</v>
      </c>
      <c r="O31" s="80">
        <v>19066</v>
      </c>
      <c r="P31" s="80">
        <v>18569</v>
      </c>
      <c r="Q31" s="80">
        <v>17989</v>
      </c>
      <c r="R31" s="80">
        <v>17757</v>
      </c>
      <c r="S31" s="80">
        <v>17009</v>
      </c>
      <c r="T31" s="80">
        <v>17172</v>
      </c>
    </row>
    <row r="32" spans="1:20" ht="14.6" hidden="1" outlineLevel="1">
      <c r="A32" s="80" t="s">
        <v>428</v>
      </c>
      <c r="B32" s="80" t="s">
        <v>443</v>
      </c>
      <c r="C32" s="80">
        <v>15183</v>
      </c>
      <c r="D32" s="80">
        <v>16865</v>
      </c>
      <c r="E32" s="80">
        <v>17161</v>
      </c>
      <c r="F32" s="80">
        <v>18366</v>
      </c>
      <c r="G32" s="80">
        <v>19486</v>
      </c>
      <c r="H32" s="80">
        <v>19901</v>
      </c>
      <c r="I32" s="80">
        <v>21085</v>
      </c>
      <c r="J32" s="80">
        <v>21224</v>
      </c>
      <c r="K32" s="80">
        <v>21674</v>
      </c>
      <c r="L32" s="80">
        <v>21765</v>
      </c>
      <c r="M32" s="80">
        <v>21691</v>
      </c>
      <c r="N32" s="80">
        <v>21356</v>
      </c>
      <c r="O32" s="80">
        <v>21045</v>
      </c>
      <c r="P32" s="80">
        <v>20551</v>
      </c>
      <c r="Q32" s="80">
        <v>20057</v>
      </c>
      <c r="R32" s="80">
        <v>20279</v>
      </c>
      <c r="S32" s="80">
        <v>19364</v>
      </c>
      <c r="T32" s="80">
        <v>18969</v>
      </c>
    </row>
    <row r="33" spans="1:20" ht="14.6" hidden="1" outlineLevel="1">
      <c r="A33" s="80" t="s">
        <v>429</v>
      </c>
      <c r="B33" s="80" t="s">
        <v>443</v>
      </c>
      <c r="C33" s="80">
        <v>18681</v>
      </c>
      <c r="D33" s="80">
        <v>19811</v>
      </c>
      <c r="E33" s="80">
        <v>20659</v>
      </c>
      <c r="F33" s="80">
        <v>21575</v>
      </c>
      <c r="G33" s="80">
        <v>22014</v>
      </c>
      <c r="H33" s="80">
        <v>22453</v>
      </c>
      <c r="I33" s="80">
        <v>23016</v>
      </c>
      <c r="J33" s="80">
        <v>23325</v>
      </c>
      <c r="K33" s="80">
        <v>24247</v>
      </c>
      <c r="L33" s="80">
        <v>24101</v>
      </c>
      <c r="M33" s="80">
        <v>24321</v>
      </c>
      <c r="N33" s="80">
        <v>24251</v>
      </c>
      <c r="O33" s="80">
        <v>23944</v>
      </c>
      <c r="P33" s="80">
        <v>23434</v>
      </c>
      <c r="Q33" s="80">
        <v>23171</v>
      </c>
      <c r="R33" s="80">
        <v>22760</v>
      </c>
      <c r="S33" s="80">
        <v>21818</v>
      </c>
      <c r="T33" s="80">
        <v>21935</v>
      </c>
    </row>
    <row r="34" spans="1:20" ht="14.6" hidden="1" outlineLevel="1">
      <c r="A34" s="80" t="s">
        <v>430</v>
      </c>
      <c r="B34" s="80" t="s">
        <v>443</v>
      </c>
      <c r="C34" s="80">
        <v>13005</v>
      </c>
      <c r="D34" s="80">
        <v>13590</v>
      </c>
      <c r="E34" s="80">
        <v>13901</v>
      </c>
      <c r="F34" s="80">
        <v>13989</v>
      </c>
      <c r="G34" s="80">
        <v>14204</v>
      </c>
      <c r="H34" s="80">
        <v>14539</v>
      </c>
      <c r="I34" s="80">
        <v>15005</v>
      </c>
      <c r="J34" s="80">
        <v>15076</v>
      </c>
      <c r="K34" s="80">
        <v>15972</v>
      </c>
      <c r="L34" s="80">
        <v>16092</v>
      </c>
      <c r="M34" s="80">
        <v>16283</v>
      </c>
      <c r="N34" s="80">
        <v>16530</v>
      </c>
      <c r="O34" s="80">
        <v>16022</v>
      </c>
      <c r="P34" s="80">
        <v>15475</v>
      </c>
      <c r="Q34" s="80">
        <v>15495</v>
      </c>
      <c r="R34" s="80">
        <v>15151</v>
      </c>
      <c r="S34" s="80">
        <v>14471</v>
      </c>
      <c r="T34" s="80">
        <v>14741</v>
      </c>
    </row>
    <row r="35" spans="1:20" ht="14.6" hidden="1" outlineLevel="1">
      <c r="A35" s="80" t="s">
        <v>431</v>
      </c>
      <c r="B35" s="80" t="s">
        <v>443</v>
      </c>
      <c r="C35" s="80">
        <v>9142</v>
      </c>
      <c r="D35" s="80">
        <v>9291</v>
      </c>
      <c r="E35" s="80">
        <v>9639</v>
      </c>
      <c r="F35" s="80">
        <v>9759</v>
      </c>
      <c r="G35" s="80">
        <v>9829</v>
      </c>
      <c r="H35" s="80">
        <v>10038</v>
      </c>
      <c r="I35" s="80">
        <v>10556</v>
      </c>
      <c r="J35" s="80">
        <v>10756</v>
      </c>
      <c r="K35" s="80">
        <v>11429</v>
      </c>
      <c r="L35" s="80">
        <v>11514</v>
      </c>
      <c r="M35" s="80">
        <v>11808</v>
      </c>
      <c r="N35" s="80">
        <v>11573</v>
      </c>
      <c r="O35" s="80">
        <v>11422</v>
      </c>
      <c r="P35" s="80">
        <v>10939</v>
      </c>
      <c r="Q35" s="80">
        <v>10840</v>
      </c>
      <c r="R35" s="80">
        <v>10632</v>
      </c>
      <c r="S35" s="80">
        <v>10209</v>
      </c>
      <c r="T35" s="80">
        <v>10513</v>
      </c>
    </row>
    <row r="36" spans="1:20" ht="14.6" hidden="1" outlineLevel="1">
      <c r="A36" s="80" t="s">
        <v>432</v>
      </c>
      <c r="B36" s="80" t="s">
        <v>443</v>
      </c>
      <c r="C36" s="80">
        <v>12027</v>
      </c>
      <c r="D36" s="80">
        <v>12299</v>
      </c>
      <c r="E36" s="80">
        <v>12272</v>
      </c>
      <c r="F36" s="80">
        <v>12658</v>
      </c>
      <c r="G36" s="80">
        <v>13056</v>
      </c>
      <c r="H36" s="80">
        <v>13378</v>
      </c>
      <c r="I36" s="80">
        <v>13863</v>
      </c>
      <c r="J36" s="80">
        <v>14506</v>
      </c>
      <c r="K36" s="80">
        <v>15237</v>
      </c>
      <c r="L36" s="80">
        <v>15778</v>
      </c>
      <c r="M36" s="80">
        <v>15611</v>
      </c>
      <c r="N36" s="80">
        <v>15232</v>
      </c>
      <c r="O36" s="80">
        <v>14890</v>
      </c>
      <c r="P36" s="80">
        <v>14493</v>
      </c>
      <c r="Q36" s="80">
        <v>14467</v>
      </c>
      <c r="R36" s="80">
        <v>13997</v>
      </c>
      <c r="S36" s="80">
        <v>13601</v>
      </c>
      <c r="T36" s="80">
        <v>14632</v>
      </c>
    </row>
    <row r="37" spans="1:20" ht="14.6" hidden="1" outlineLevel="1">
      <c r="A37" s="80" t="s">
        <v>433</v>
      </c>
      <c r="B37" s="80" t="s">
        <v>443</v>
      </c>
      <c r="C37" s="80">
        <v>7218</v>
      </c>
      <c r="D37" s="80">
        <v>7441</v>
      </c>
      <c r="E37" s="80">
        <v>7404</v>
      </c>
      <c r="F37" s="80">
        <v>7688</v>
      </c>
      <c r="G37" s="80">
        <v>7969</v>
      </c>
      <c r="H37" s="80">
        <v>8263</v>
      </c>
      <c r="I37" s="80">
        <v>8740</v>
      </c>
      <c r="J37" s="80">
        <v>9178</v>
      </c>
      <c r="K37" s="80">
        <v>9973</v>
      </c>
      <c r="L37" s="80">
        <v>9865</v>
      </c>
      <c r="M37" s="80">
        <v>9878</v>
      </c>
      <c r="N37" s="80">
        <v>9549</v>
      </c>
      <c r="O37" s="80">
        <v>9276</v>
      </c>
      <c r="P37" s="80">
        <v>9051</v>
      </c>
      <c r="Q37" s="80">
        <v>9329</v>
      </c>
      <c r="R37" s="80">
        <v>9188</v>
      </c>
      <c r="S37" s="80">
        <v>9276</v>
      </c>
      <c r="T37" s="80">
        <v>10048</v>
      </c>
    </row>
    <row r="38" spans="1:20" ht="14.6" hidden="1" outlineLevel="1">
      <c r="A38" s="80" t="s">
        <v>434</v>
      </c>
      <c r="B38" s="80" t="s">
        <v>443</v>
      </c>
      <c r="C38" s="80">
        <v>14320</v>
      </c>
      <c r="D38" s="80">
        <v>15121</v>
      </c>
      <c r="E38" s="80">
        <v>15404</v>
      </c>
      <c r="F38" s="80">
        <v>15974</v>
      </c>
      <c r="G38" s="80">
        <v>16738</v>
      </c>
      <c r="H38" s="80">
        <v>17547</v>
      </c>
      <c r="I38" s="80">
        <v>19166</v>
      </c>
      <c r="J38" s="80">
        <v>20839</v>
      </c>
      <c r="K38" s="80">
        <v>22636</v>
      </c>
      <c r="L38" s="80">
        <v>22311</v>
      </c>
      <c r="M38" s="80">
        <v>21440</v>
      </c>
      <c r="N38" s="80">
        <v>20709</v>
      </c>
      <c r="O38" s="80">
        <v>20503</v>
      </c>
      <c r="P38" s="80">
        <v>20764</v>
      </c>
      <c r="Q38" s="80">
        <v>21798</v>
      </c>
      <c r="R38" s="80">
        <v>22612</v>
      </c>
      <c r="S38" s="80">
        <v>22510</v>
      </c>
      <c r="T38" s="80">
        <v>23205</v>
      </c>
    </row>
    <row r="39" spans="1:20" ht="14.6" hidden="1" outlineLevel="1">
      <c r="A39" s="80" t="s">
        <v>435</v>
      </c>
      <c r="B39" s="80" t="s">
        <v>443</v>
      </c>
      <c r="C39" s="80">
        <v>7686</v>
      </c>
      <c r="D39" s="80">
        <v>8207</v>
      </c>
      <c r="E39" s="80">
        <v>8092</v>
      </c>
      <c r="F39" s="80">
        <v>8648</v>
      </c>
      <c r="G39" s="80">
        <v>9556</v>
      </c>
      <c r="H39" s="80">
        <v>10400</v>
      </c>
      <c r="I39" s="80">
        <v>11500</v>
      </c>
      <c r="J39" s="80">
        <v>12683</v>
      </c>
      <c r="K39" s="80">
        <v>14183</v>
      </c>
      <c r="L39" s="80">
        <v>12972</v>
      </c>
      <c r="M39" s="80">
        <v>12393</v>
      </c>
      <c r="N39" s="80">
        <v>12123</v>
      </c>
      <c r="O39" s="80">
        <v>12552</v>
      </c>
      <c r="P39" s="80">
        <v>13104</v>
      </c>
      <c r="Q39" s="80">
        <v>13643</v>
      </c>
      <c r="R39" s="80">
        <v>13072</v>
      </c>
      <c r="S39" s="80">
        <v>12084</v>
      </c>
      <c r="T39" s="80">
        <v>12119</v>
      </c>
    </row>
    <row r="40" spans="1:20" ht="14.6" hidden="1" outlineLevel="1">
      <c r="A40" s="80" t="s">
        <v>436</v>
      </c>
      <c r="B40" s="80" t="s">
        <v>443</v>
      </c>
      <c r="C40" s="80">
        <v>4163</v>
      </c>
      <c r="D40" s="80">
        <v>4447</v>
      </c>
      <c r="E40" s="80">
        <v>4465</v>
      </c>
      <c r="F40" s="80">
        <v>4663</v>
      </c>
      <c r="G40" s="80">
        <v>4819</v>
      </c>
      <c r="H40" s="80">
        <v>4985</v>
      </c>
      <c r="I40" s="80">
        <v>5174</v>
      </c>
      <c r="J40" s="80">
        <v>5557</v>
      </c>
      <c r="K40" s="80">
        <v>6338</v>
      </c>
      <c r="L40" s="80">
        <v>5535</v>
      </c>
      <c r="M40" s="80">
        <v>5728</v>
      </c>
      <c r="N40" s="80">
        <v>6510</v>
      </c>
      <c r="O40" s="80">
        <v>7338</v>
      </c>
      <c r="P40" s="80">
        <v>7707</v>
      </c>
      <c r="Q40" s="80">
        <v>7218</v>
      </c>
      <c r="R40" s="80">
        <v>6695</v>
      </c>
      <c r="S40" s="80">
        <v>6589</v>
      </c>
      <c r="T40" s="80">
        <v>6999</v>
      </c>
    </row>
    <row r="41" spans="1:20" ht="14.6" hidden="1" outlineLevel="1">
      <c r="A41" s="80" t="s">
        <v>437</v>
      </c>
      <c r="B41" s="80" t="s">
        <v>443</v>
      </c>
      <c r="C41" s="80">
        <v>2593</v>
      </c>
      <c r="D41" s="80">
        <v>2563</v>
      </c>
      <c r="E41" s="80">
        <v>2214</v>
      </c>
      <c r="F41" s="80">
        <v>2148</v>
      </c>
      <c r="G41" s="80">
        <v>2092</v>
      </c>
      <c r="H41" s="80">
        <v>1900</v>
      </c>
      <c r="I41" s="80">
        <v>1746</v>
      </c>
      <c r="J41" s="80">
        <v>1960</v>
      </c>
      <c r="K41" s="80">
        <v>2031</v>
      </c>
      <c r="L41" s="80">
        <v>1944</v>
      </c>
      <c r="M41" s="80">
        <v>2509</v>
      </c>
      <c r="N41" s="80">
        <v>3422</v>
      </c>
      <c r="O41" s="80">
        <v>3660</v>
      </c>
      <c r="P41" s="80">
        <v>3561</v>
      </c>
      <c r="Q41" s="80">
        <v>4038</v>
      </c>
      <c r="R41" s="80">
        <v>3971</v>
      </c>
      <c r="S41" s="80">
        <v>3819</v>
      </c>
      <c r="T41" s="80">
        <v>3705</v>
      </c>
    </row>
    <row r="42" spans="1:20" ht="14.6" hidden="1" outlineLevel="1">
      <c r="A42" s="80" t="s">
        <v>438</v>
      </c>
      <c r="B42" s="80" t="s">
        <v>443</v>
      </c>
      <c r="C42" s="80">
        <v>1232</v>
      </c>
      <c r="D42" s="80">
        <v>1115</v>
      </c>
      <c r="E42" s="80">
        <v>932</v>
      </c>
      <c r="F42" s="80">
        <v>919</v>
      </c>
      <c r="G42" s="80">
        <v>811</v>
      </c>
      <c r="H42" s="80">
        <v>669</v>
      </c>
      <c r="I42" s="80">
        <v>654</v>
      </c>
      <c r="J42" s="80">
        <v>671</v>
      </c>
      <c r="K42" s="80">
        <v>611</v>
      </c>
      <c r="L42" s="80">
        <v>681</v>
      </c>
      <c r="M42" s="80">
        <v>1227</v>
      </c>
      <c r="N42" s="80">
        <v>1562</v>
      </c>
      <c r="O42" s="80">
        <v>1294</v>
      </c>
      <c r="P42" s="80">
        <v>1295</v>
      </c>
      <c r="Q42" s="80">
        <v>1558</v>
      </c>
      <c r="R42" s="80">
        <v>1858</v>
      </c>
      <c r="S42" s="80">
        <v>1597</v>
      </c>
      <c r="T42" s="80">
        <v>1869</v>
      </c>
    </row>
    <row r="43" spans="1:20" ht="14.6" hidden="1" outlineLevel="1">
      <c r="A43" s="80" t="s">
        <v>439</v>
      </c>
      <c r="B43" s="80" t="s">
        <v>443</v>
      </c>
      <c r="C43" s="80">
        <v>463</v>
      </c>
      <c r="D43" s="80">
        <v>426</v>
      </c>
      <c r="E43" s="80">
        <v>376</v>
      </c>
      <c r="F43" s="80">
        <v>364</v>
      </c>
      <c r="G43" s="80">
        <v>274</v>
      </c>
      <c r="H43" s="80">
        <v>227</v>
      </c>
      <c r="I43" s="80">
        <v>238</v>
      </c>
      <c r="J43" s="80">
        <v>218</v>
      </c>
      <c r="K43" s="80">
        <v>228</v>
      </c>
      <c r="L43" s="80">
        <v>251</v>
      </c>
      <c r="M43" s="80">
        <v>251</v>
      </c>
      <c r="N43" s="80">
        <v>252</v>
      </c>
      <c r="O43" s="80">
        <v>209</v>
      </c>
      <c r="P43" s="80">
        <v>272</v>
      </c>
      <c r="Q43" s="80">
        <v>327</v>
      </c>
      <c r="R43" s="80">
        <v>362</v>
      </c>
      <c r="S43" s="80">
        <v>481</v>
      </c>
      <c r="T43" s="80">
        <v>951</v>
      </c>
    </row>
    <row r="44" spans="1:20" ht="14.6" hidden="1" outlineLevel="1">
      <c r="A44" s="80" t="s">
        <v>440</v>
      </c>
      <c r="B44" s="80" t="s">
        <v>443</v>
      </c>
      <c r="C44" s="80">
        <v>165</v>
      </c>
      <c r="D44" s="80">
        <v>151</v>
      </c>
      <c r="E44" s="80">
        <v>133</v>
      </c>
      <c r="F44" s="80">
        <v>111</v>
      </c>
      <c r="G44" s="80">
        <v>111</v>
      </c>
      <c r="H44" s="80">
        <v>82</v>
      </c>
      <c r="I44" s="80">
        <v>83</v>
      </c>
      <c r="J44" s="80">
        <v>81</v>
      </c>
      <c r="K44" s="80">
        <v>75</v>
      </c>
      <c r="L44" s="80">
        <v>61</v>
      </c>
      <c r="M44" s="80">
        <v>77</v>
      </c>
      <c r="N44" s="80">
        <v>45</v>
      </c>
      <c r="O44" s="80">
        <v>47</v>
      </c>
      <c r="P44" s="80">
        <v>50</v>
      </c>
      <c r="Q44" s="80">
        <v>73</v>
      </c>
      <c r="R44" s="80">
        <v>58</v>
      </c>
      <c r="S44" s="80">
        <v>52</v>
      </c>
      <c r="T44" s="80">
        <v>154</v>
      </c>
    </row>
    <row r="45" spans="1:20" ht="14.6" hidden="1" outlineLevel="1">
      <c r="A45" s="80" t="s">
        <v>441</v>
      </c>
      <c r="B45" s="80" t="s">
        <v>443</v>
      </c>
      <c r="C45" s="80">
        <v>39</v>
      </c>
      <c r="D45" s="80">
        <v>40</v>
      </c>
      <c r="E45" s="80">
        <v>46</v>
      </c>
      <c r="F45" s="80">
        <v>45</v>
      </c>
      <c r="G45" s="80">
        <v>47</v>
      </c>
      <c r="H45" s="80">
        <v>39</v>
      </c>
      <c r="I45" s="80">
        <v>36</v>
      </c>
      <c r="J45" s="80">
        <v>47</v>
      </c>
      <c r="K45" s="80">
        <v>28</v>
      </c>
      <c r="L45" s="80">
        <v>33</v>
      </c>
      <c r="M45" s="80">
        <v>22</v>
      </c>
      <c r="N45" s="80">
        <v>20</v>
      </c>
      <c r="O45" s="80">
        <v>19</v>
      </c>
      <c r="P45" s="80">
        <v>22</v>
      </c>
      <c r="Q45" s="80">
        <v>19</v>
      </c>
      <c r="R45" s="80">
        <v>16</v>
      </c>
      <c r="S45" s="80">
        <v>12</v>
      </c>
      <c r="T45" s="80">
        <v>40</v>
      </c>
    </row>
    <row r="46" spans="1:20" ht="14.6" hidden="1" outlineLevel="1">
      <c r="A46" s="80" t="s">
        <v>442</v>
      </c>
      <c r="B46" s="80" t="s">
        <v>443</v>
      </c>
      <c r="C46" s="80">
        <v>13</v>
      </c>
      <c r="D46" s="80">
        <v>20</v>
      </c>
      <c r="E46" s="80">
        <v>11</v>
      </c>
      <c r="F46" s="80">
        <v>10</v>
      </c>
      <c r="G46" s="80">
        <v>6</v>
      </c>
      <c r="H46" s="80">
        <v>5</v>
      </c>
      <c r="I46" s="80">
        <v>4</v>
      </c>
      <c r="J46" s="80">
        <v>1</v>
      </c>
      <c r="K46" s="80">
        <v>4</v>
      </c>
      <c r="L46" s="80">
        <v>8</v>
      </c>
      <c r="M46" s="80">
        <v>7</v>
      </c>
      <c r="N46" s="80">
        <v>5</v>
      </c>
      <c r="O46" s="80">
        <v>3</v>
      </c>
      <c r="P46" s="80">
        <v>1</v>
      </c>
      <c r="Q46" s="80">
        <v>2</v>
      </c>
      <c r="R46" s="80">
        <v>2</v>
      </c>
      <c r="S46" s="80">
        <v>2</v>
      </c>
      <c r="T46" s="80">
        <v>5</v>
      </c>
    </row>
    <row r="47" spans="1:20" ht="14.6" hidden="1" outlineLevel="1">
      <c r="A47" s="80" t="s">
        <v>420</v>
      </c>
      <c r="B47" s="80" t="s">
        <v>445</v>
      </c>
      <c r="C47" s="80">
        <v>566</v>
      </c>
      <c r="D47" s="80">
        <v>583</v>
      </c>
      <c r="E47" s="80">
        <v>591</v>
      </c>
      <c r="F47" s="80">
        <v>624</v>
      </c>
      <c r="G47" s="80">
        <v>689</v>
      </c>
      <c r="H47" s="80">
        <v>745</v>
      </c>
      <c r="I47" s="80">
        <v>835</v>
      </c>
      <c r="J47" s="80">
        <v>954</v>
      </c>
      <c r="K47" s="80">
        <v>1069</v>
      </c>
      <c r="L47" s="80">
        <v>1272</v>
      </c>
      <c r="M47" s="80">
        <v>1387</v>
      </c>
      <c r="N47" s="80">
        <v>1510</v>
      </c>
      <c r="O47" s="80">
        <v>1730</v>
      </c>
      <c r="P47" s="80">
        <v>2021</v>
      </c>
      <c r="Q47" s="80">
        <v>2325</v>
      </c>
      <c r="R47" s="80">
        <v>2635</v>
      </c>
      <c r="S47" s="80">
        <v>3106</v>
      </c>
      <c r="T47" s="80">
        <v>3083</v>
      </c>
    </row>
    <row r="48" spans="1:20" ht="14.6" hidden="1" outlineLevel="1">
      <c r="A48" s="80" t="s">
        <v>422</v>
      </c>
      <c r="B48" s="80" t="s">
        <v>445</v>
      </c>
      <c r="C48" s="80">
        <v>356</v>
      </c>
      <c r="D48" s="80">
        <v>403</v>
      </c>
      <c r="E48" s="80">
        <v>407</v>
      </c>
      <c r="F48" s="80">
        <v>427</v>
      </c>
      <c r="G48" s="80">
        <v>475</v>
      </c>
      <c r="H48" s="80">
        <v>541</v>
      </c>
      <c r="I48" s="80">
        <v>566</v>
      </c>
      <c r="J48" s="80">
        <v>663</v>
      </c>
      <c r="K48" s="80">
        <v>741</v>
      </c>
      <c r="L48" s="80">
        <v>816</v>
      </c>
      <c r="M48" s="80">
        <v>918</v>
      </c>
      <c r="N48" s="80">
        <v>1017</v>
      </c>
      <c r="O48" s="80">
        <v>1153</v>
      </c>
      <c r="P48" s="80">
        <v>1243</v>
      </c>
      <c r="Q48" s="80">
        <v>1415</v>
      </c>
      <c r="R48" s="80">
        <v>1633</v>
      </c>
      <c r="S48" s="80">
        <v>1804</v>
      </c>
      <c r="T48" s="80">
        <v>1686</v>
      </c>
    </row>
    <row r="49" spans="1:20" ht="14.6" hidden="1" outlineLevel="1">
      <c r="A49" s="80" t="s">
        <v>423</v>
      </c>
      <c r="B49" s="80" t="s">
        <v>445</v>
      </c>
      <c r="C49" s="80">
        <v>547</v>
      </c>
      <c r="D49" s="80">
        <v>600</v>
      </c>
      <c r="E49" s="80">
        <v>645</v>
      </c>
      <c r="F49" s="80">
        <v>647</v>
      </c>
      <c r="G49" s="80">
        <v>783</v>
      </c>
      <c r="H49" s="80">
        <v>897</v>
      </c>
      <c r="I49" s="80">
        <v>952</v>
      </c>
      <c r="J49" s="80">
        <v>1115</v>
      </c>
      <c r="K49" s="80">
        <v>1162</v>
      </c>
      <c r="L49" s="80">
        <v>1347</v>
      </c>
      <c r="M49" s="80">
        <v>1520</v>
      </c>
      <c r="N49" s="80">
        <v>1835</v>
      </c>
      <c r="O49" s="80">
        <v>2118</v>
      </c>
      <c r="P49" s="80">
        <v>2413</v>
      </c>
      <c r="Q49" s="80">
        <v>2668</v>
      </c>
      <c r="R49" s="80">
        <v>2964</v>
      </c>
      <c r="S49" s="80">
        <v>3112</v>
      </c>
      <c r="T49" s="80">
        <v>3138</v>
      </c>
    </row>
    <row r="50" spans="1:20" ht="14.6" hidden="1" outlineLevel="1">
      <c r="A50" s="80" t="s">
        <v>424</v>
      </c>
      <c r="B50" s="80" t="s">
        <v>445</v>
      </c>
      <c r="C50" s="80">
        <v>562</v>
      </c>
      <c r="D50" s="80">
        <v>571</v>
      </c>
      <c r="E50" s="80">
        <v>581</v>
      </c>
      <c r="F50" s="80">
        <v>635</v>
      </c>
      <c r="G50" s="80">
        <v>681</v>
      </c>
      <c r="H50" s="80">
        <v>741</v>
      </c>
      <c r="I50" s="80">
        <v>842</v>
      </c>
      <c r="J50" s="80">
        <v>964</v>
      </c>
      <c r="K50" s="80">
        <v>1095</v>
      </c>
      <c r="L50" s="80">
        <v>1281</v>
      </c>
      <c r="M50" s="80">
        <v>1445</v>
      </c>
      <c r="N50" s="80">
        <v>1677</v>
      </c>
      <c r="O50" s="80">
        <v>1896</v>
      </c>
      <c r="P50" s="80">
        <v>2119</v>
      </c>
      <c r="Q50" s="80">
        <v>2406</v>
      </c>
      <c r="R50" s="80">
        <v>2661</v>
      </c>
      <c r="S50" s="80">
        <v>2845</v>
      </c>
      <c r="T50" s="80">
        <v>2997</v>
      </c>
    </row>
    <row r="51" spans="1:20" ht="14.6" hidden="1" outlineLevel="1">
      <c r="A51" s="80" t="s">
        <v>425</v>
      </c>
      <c r="B51" s="80" t="s">
        <v>445</v>
      </c>
      <c r="C51" s="80">
        <v>471</v>
      </c>
      <c r="D51" s="80">
        <v>479</v>
      </c>
      <c r="E51" s="80">
        <v>546</v>
      </c>
      <c r="F51" s="80">
        <v>561</v>
      </c>
      <c r="G51" s="80">
        <v>618</v>
      </c>
      <c r="H51" s="80">
        <v>685</v>
      </c>
      <c r="I51" s="80">
        <v>752</v>
      </c>
      <c r="J51" s="80">
        <v>866</v>
      </c>
      <c r="K51" s="80">
        <v>1085</v>
      </c>
      <c r="L51" s="80">
        <v>1156</v>
      </c>
      <c r="M51" s="80">
        <v>1315</v>
      </c>
      <c r="N51" s="80">
        <v>1562</v>
      </c>
      <c r="O51" s="80">
        <v>1829</v>
      </c>
      <c r="P51" s="80">
        <v>2096</v>
      </c>
      <c r="Q51" s="80">
        <v>2337</v>
      </c>
      <c r="R51" s="80">
        <v>2522</v>
      </c>
      <c r="S51" s="80">
        <v>2732</v>
      </c>
      <c r="T51" s="80">
        <v>2826</v>
      </c>
    </row>
    <row r="52" spans="1:20" ht="14.6" hidden="1" outlineLevel="1">
      <c r="A52" s="80" t="s">
        <v>426</v>
      </c>
      <c r="B52" s="80" t="s">
        <v>445</v>
      </c>
      <c r="C52" s="80">
        <v>392</v>
      </c>
      <c r="D52" s="80">
        <v>467</v>
      </c>
      <c r="E52" s="80">
        <v>495</v>
      </c>
      <c r="F52" s="80">
        <v>544</v>
      </c>
      <c r="G52" s="80">
        <v>555</v>
      </c>
      <c r="H52" s="80">
        <v>582</v>
      </c>
      <c r="I52" s="80">
        <v>665</v>
      </c>
      <c r="J52" s="80">
        <v>793</v>
      </c>
      <c r="K52" s="80">
        <v>948</v>
      </c>
      <c r="L52" s="80">
        <v>1009</v>
      </c>
      <c r="M52" s="80">
        <v>1183</v>
      </c>
      <c r="N52" s="80">
        <v>1460</v>
      </c>
      <c r="O52" s="80">
        <v>1635</v>
      </c>
      <c r="P52" s="80">
        <v>1870</v>
      </c>
      <c r="Q52" s="80">
        <v>2072</v>
      </c>
      <c r="R52" s="80">
        <v>2375</v>
      </c>
      <c r="S52" s="80">
        <v>2512</v>
      </c>
      <c r="T52" s="80">
        <v>2624</v>
      </c>
    </row>
    <row r="53" spans="1:20" ht="14.6" hidden="1" outlineLevel="1">
      <c r="A53" s="80" t="s">
        <v>427</v>
      </c>
      <c r="B53" s="80" t="s">
        <v>445</v>
      </c>
      <c r="C53" s="80">
        <v>408</v>
      </c>
      <c r="D53" s="80">
        <v>393</v>
      </c>
      <c r="E53" s="80">
        <v>425</v>
      </c>
      <c r="F53" s="80">
        <v>484</v>
      </c>
      <c r="G53" s="80">
        <v>468</v>
      </c>
      <c r="H53" s="80">
        <v>551</v>
      </c>
      <c r="I53" s="80">
        <v>586</v>
      </c>
      <c r="J53" s="80">
        <v>714</v>
      </c>
      <c r="K53" s="80">
        <v>805</v>
      </c>
      <c r="L53" s="80">
        <v>955</v>
      </c>
      <c r="M53" s="80">
        <v>1164</v>
      </c>
      <c r="N53" s="80">
        <v>1356</v>
      </c>
      <c r="O53" s="80">
        <v>1509</v>
      </c>
      <c r="P53" s="80">
        <v>1768</v>
      </c>
      <c r="Q53" s="80">
        <v>2076</v>
      </c>
      <c r="R53" s="80">
        <v>2190</v>
      </c>
      <c r="S53" s="80">
        <v>2395</v>
      </c>
      <c r="T53" s="80">
        <v>2667</v>
      </c>
    </row>
    <row r="54" spans="1:20" ht="14.6" hidden="1" outlineLevel="1">
      <c r="A54" s="80" t="s">
        <v>428</v>
      </c>
      <c r="B54" s="80" t="s">
        <v>445</v>
      </c>
      <c r="C54" s="80">
        <v>493</v>
      </c>
      <c r="D54" s="80">
        <v>525</v>
      </c>
      <c r="E54" s="80">
        <v>545</v>
      </c>
      <c r="F54" s="80">
        <v>556</v>
      </c>
      <c r="G54" s="80">
        <v>617</v>
      </c>
      <c r="H54" s="80">
        <v>676</v>
      </c>
      <c r="I54" s="80">
        <v>844</v>
      </c>
      <c r="J54" s="80">
        <v>940</v>
      </c>
      <c r="K54" s="80">
        <v>1158</v>
      </c>
      <c r="L54" s="80">
        <v>1296</v>
      </c>
      <c r="M54" s="80">
        <v>1576</v>
      </c>
      <c r="N54" s="80">
        <v>1862</v>
      </c>
      <c r="O54" s="80">
        <v>2151</v>
      </c>
      <c r="P54" s="80">
        <v>2436</v>
      </c>
      <c r="Q54" s="80">
        <v>2714</v>
      </c>
      <c r="R54" s="80">
        <v>3065</v>
      </c>
      <c r="S54" s="80">
        <v>3464</v>
      </c>
      <c r="T54" s="80">
        <v>3827</v>
      </c>
    </row>
    <row r="55" spans="1:20" ht="14.6" hidden="1" outlineLevel="1">
      <c r="A55" s="80" t="s">
        <v>429</v>
      </c>
      <c r="B55" s="80" t="s">
        <v>445</v>
      </c>
      <c r="C55" s="80">
        <v>687</v>
      </c>
      <c r="D55" s="80">
        <v>732</v>
      </c>
      <c r="E55" s="80">
        <v>723</v>
      </c>
      <c r="F55" s="80">
        <v>766</v>
      </c>
      <c r="G55" s="80">
        <v>820</v>
      </c>
      <c r="H55" s="80">
        <v>990</v>
      </c>
      <c r="I55" s="80">
        <v>1139</v>
      </c>
      <c r="J55" s="80">
        <v>1309</v>
      </c>
      <c r="K55" s="80">
        <v>1616</v>
      </c>
      <c r="L55" s="80">
        <v>2000</v>
      </c>
      <c r="M55" s="80">
        <v>2341</v>
      </c>
      <c r="N55" s="80">
        <v>2738</v>
      </c>
      <c r="O55" s="80">
        <v>3043</v>
      </c>
      <c r="P55" s="80">
        <v>3390</v>
      </c>
      <c r="Q55" s="80">
        <v>4114</v>
      </c>
      <c r="R55" s="80">
        <v>4893</v>
      </c>
      <c r="S55" s="80">
        <v>5602</v>
      </c>
      <c r="T55" s="80">
        <v>6427</v>
      </c>
    </row>
    <row r="56" spans="1:20" ht="14.6" hidden="1" outlineLevel="1">
      <c r="A56" s="80" t="s">
        <v>430</v>
      </c>
      <c r="B56" s="80" t="s">
        <v>445</v>
      </c>
      <c r="C56" s="80">
        <v>583</v>
      </c>
      <c r="D56" s="80">
        <v>559</v>
      </c>
      <c r="E56" s="80">
        <v>602</v>
      </c>
      <c r="F56" s="80">
        <v>701</v>
      </c>
      <c r="G56" s="80">
        <v>738</v>
      </c>
      <c r="H56" s="80">
        <v>819</v>
      </c>
      <c r="I56" s="80">
        <v>929</v>
      </c>
      <c r="J56" s="80">
        <v>1090</v>
      </c>
      <c r="K56" s="80">
        <v>1504</v>
      </c>
      <c r="L56" s="80">
        <v>1675</v>
      </c>
      <c r="M56" s="80">
        <v>1968</v>
      </c>
      <c r="N56" s="80">
        <v>2272</v>
      </c>
      <c r="O56" s="80">
        <v>2692</v>
      </c>
      <c r="P56" s="80">
        <v>3080</v>
      </c>
      <c r="Q56" s="80">
        <v>3843</v>
      </c>
      <c r="R56" s="80">
        <v>4626</v>
      </c>
      <c r="S56" s="80">
        <v>5253</v>
      </c>
      <c r="T56" s="80">
        <v>6256</v>
      </c>
    </row>
    <row r="57" spans="1:20" ht="14.6" hidden="1" outlineLevel="1">
      <c r="A57" s="80" t="s">
        <v>431</v>
      </c>
      <c r="B57" s="80" t="s">
        <v>445</v>
      </c>
      <c r="C57" s="80">
        <v>467</v>
      </c>
      <c r="D57" s="80">
        <v>455</v>
      </c>
      <c r="E57" s="80">
        <v>506</v>
      </c>
      <c r="F57" s="80">
        <v>526</v>
      </c>
      <c r="G57" s="80">
        <v>608</v>
      </c>
      <c r="H57" s="80">
        <v>697</v>
      </c>
      <c r="I57" s="80">
        <v>785</v>
      </c>
      <c r="J57" s="80">
        <v>927</v>
      </c>
      <c r="K57" s="80">
        <v>1134</v>
      </c>
      <c r="L57" s="80">
        <v>1395</v>
      </c>
      <c r="M57" s="80">
        <v>1727</v>
      </c>
      <c r="N57" s="80">
        <v>2020</v>
      </c>
      <c r="O57" s="80">
        <v>2345</v>
      </c>
      <c r="P57" s="80">
        <v>2805</v>
      </c>
      <c r="Q57" s="80">
        <v>3484</v>
      </c>
      <c r="R57" s="80">
        <v>4218</v>
      </c>
      <c r="S57" s="80">
        <v>4905</v>
      </c>
      <c r="T57" s="80">
        <v>5838</v>
      </c>
    </row>
    <row r="58" spans="1:20" ht="14.6" hidden="1" outlineLevel="1">
      <c r="A58" s="80" t="s">
        <v>432</v>
      </c>
      <c r="B58" s="80" t="s">
        <v>445</v>
      </c>
      <c r="C58" s="80">
        <v>675</v>
      </c>
      <c r="D58" s="80">
        <v>713</v>
      </c>
      <c r="E58" s="80">
        <v>798</v>
      </c>
      <c r="F58" s="80">
        <v>814</v>
      </c>
      <c r="G58" s="80">
        <v>886</v>
      </c>
      <c r="H58" s="80">
        <v>1006</v>
      </c>
      <c r="I58" s="80">
        <v>1169</v>
      </c>
      <c r="J58" s="80">
        <v>1428</v>
      </c>
      <c r="K58" s="80">
        <v>1956</v>
      </c>
      <c r="L58" s="80">
        <v>2443</v>
      </c>
      <c r="M58" s="80">
        <v>2831</v>
      </c>
      <c r="N58" s="80">
        <v>3294</v>
      </c>
      <c r="O58" s="80">
        <v>4071</v>
      </c>
      <c r="P58" s="80">
        <v>4866</v>
      </c>
      <c r="Q58" s="80">
        <v>6195</v>
      </c>
      <c r="R58" s="80">
        <v>7343</v>
      </c>
      <c r="S58" s="80">
        <v>9071</v>
      </c>
      <c r="T58" s="80">
        <v>10860</v>
      </c>
    </row>
    <row r="59" spans="1:20" ht="14.6" hidden="1" outlineLevel="1">
      <c r="A59" s="80" t="s">
        <v>433</v>
      </c>
      <c r="B59" s="80" t="s">
        <v>445</v>
      </c>
      <c r="C59" s="80">
        <v>486</v>
      </c>
      <c r="D59" s="80">
        <v>552</v>
      </c>
      <c r="E59" s="80">
        <v>512</v>
      </c>
      <c r="F59" s="80">
        <v>569</v>
      </c>
      <c r="G59" s="80">
        <v>649</v>
      </c>
      <c r="H59" s="80">
        <v>693</v>
      </c>
      <c r="I59" s="80">
        <v>864</v>
      </c>
      <c r="J59" s="80">
        <v>1099</v>
      </c>
      <c r="K59" s="80">
        <v>1474</v>
      </c>
      <c r="L59" s="80">
        <v>1916</v>
      </c>
      <c r="M59" s="80">
        <v>2233</v>
      </c>
      <c r="N59" s="80">
        <v>2747</v>
      </c>
      <c r="O59" s="80">
        <v>3270</v>
      </c>
      <c r="P59" s="80">
        <v>4087</v>
      </c>
      <c r="Q59" s="80">
        <v>5321</v>
      </c>
      <c r="R59" s="80">
        <v>6632</v>
      </c>
      <c r="S59" s="80">
        <v>8017</v>
      </c>
      <c r="T59" s="80">
        <v>9233</v>
      </c>
    </row>
    <row r="60" spans="1:20" ht="14.6" hidden="1" outlineLevel="1">
      <c r="A60" s="80" t="s">
        <v>434</v>
      </c>
      <c r="B60" s="80" t="s">
        <v>445</v>
      </c>
      <c r="C60" s="80">
        <v>1063</v>
      </c>
      <c r="D60" s="80">
        <v>1116</v>
      </c>
      <c r="E60" s="80">
        <v>1184</v>
      </c>
      <c r="F60" s="80">
        <v>1339</v>
      </c>
      <c r="G60" s="80">
        <v>1455</v>
      </c>
      <c r="H60" s="80">
        <v>1756</v>
      </c>
      <c r="I60" s="80">
        <v>2423</v>
      </c>
      <c r="J60" s="80">
        <v>3389</v>
      </c>
      <c r="K60" s="80">
        <v>4701</v>
      </c>
      <c r="L60" s="80">
        <v>5778</v>
      </c>
      <c r="M60" s="80">
        <v>6717</v>
      </c>
      <c r="N60" s="80">
        <v>8377</v>
      </c>
      <c r="O60" s="80">
        <v>10639</v>
      </c>
      <c r="P60" s="80">
        <v>14329</v>
      </c>
      <c r="Q60" s="80">
        <v>18498</v>
      </c>
      <c r="R60" s="80">
        <v>22701</v>
      </c>
      <c r="S60" s="80">
        <v>25763</v>
      </c>
      <c r="T60" s="80">
        <v>27003</v>
      </c>
    </row>
    <row r="61" spans="1:20" ht="14.6" hidden="1" outlineLevel="1">
      <c r="A61" s="80" t="s">
        <v>435</v>
      </c>
      <c r="B61" s="80" t="s">
        <v>445</v>
      </c>
      <c r="C61" s="80">
        <v>493</v>
      </c>
      <c r="D61" s="80">
        <v>565</v>
      </c>
      <c r="E61" s="80">
        <v>627</v>
      </c>
      <c r="F61" s="80">
        <v>642</v>
      </c>
      <c r="G61" s="80">
        <v>821</v>
      </c>
      <c r="H61" s="80">
        <v>1263</v>
      </c>
      <c r="I61" s="80">
        <v>1910</v>
      </c>
      <c r="J61" s="80">
        <v>2926</v>
      </c>
      <c r="K61" s="80">
        <v>4097</v>
      </c>
      <c r="L61" s="80">
        <v>4730</v>
      </c>
      <c r="M61" s="80">
        <v>5560</v>
      </c>
      <c r="N61" s="80">
        <v>7303</v>
      </c>
      <c r="O61" s="80">
        <v>10536</v>
      </c>
      <c r="P61" s="80">
        <v>14342</v>
      </c>
      <c r="Q61" s="80">
        <v>17431</v>
      </c>
      <c r="R61" s="80">
        <v>18717</v>
      </c>
      <c r="S61" s="80">
        <v>17158</v>
      </c>
      <c r="T61" s="80">
        <v>15795</v>
      </c>
    </row>
    <row r="62" spans="1:20" ht="14.6" hidden="1" outlineLevel="1">
      <c r="A62" s="80" t="s">
        <v>436</v>
      </c>
      <c r="B62" s="80" t="s">
        <v>445</v>
      </c>
      <c r="C62" s="80">
        <v>227</v>
      </c>
      <c r="D62" s="80">
        <v>275</v>
      </c>
      <c r="E62" s="80">
        <v>260</v>
      </c>
      <c r="F62" s="80">
        <v>326</v>
      </c>
      <c r="G62" s="80">
        <v>527</v>
      </c>
      <c r="H62" s="80">
        <v>738</v>
      </c>
      <c r="I62" s="80">
        <v>988</v>
      </c>
      <c r="J62" s="80">
        <v>1593</v>
      </c>
      <c r="K62" s="80">
        <v>2501</v>
      </c>
      <c r="L62" s="80">
        <v>2703</v>
      </c>
      <c r="M62" s="80">
        <v>3858</v>
      </c>
      <c r="N62" s="80">
        <v>5892</v>
      </c>
      <c r="O62" s="80">
        <v>8984</v>
      </c>
      <c r="P62" s="80">
        <v>11347</v>
      </c>
      <c r="Q62" s="80">
        <v>12605</v>
      </c>
      <c r="R62" s="80">
        <v>11928</v>
      </c>
      <c r="S62" s="80">
        <v>10017</v>
      </c>
      <c r="T62" s="80">
        <v>10439</v>
      </c>
    </row>
    <row r="63" spans="1:20" ht="14.6" hidden="1" outlineLevel="1">
      <c r="A63" s="80" t="s">
        <v>437</v>
      </c>
      <c r="B63" s="80" t="s">
        <v>445</v>
      </c>
      <c r="C63" s="80">
        <v>111</v>
      </c>
      <c r="D63" s="80">
        <v>122</v>
      </c>
      <c r="E63" s="80">
        <v>107</v>
      </c>
      <c r="F63" s="80">
        <v>139</v>
      </c>
      <c r="G63" s="80">
        <v>157</v>
      </c>
      <c r="H63" s="80">
        <v>198</v>
      </c>
      <c r="I63" s="80">
        <v>251</v>
      </c>
      <c r="J63" s="80">
        <v>406</v>
      </c>
      <c r="K63" s="80">
        <v>694</v>
      </c>
      <c r="L63" s="80">
        <v>911</v>
      </c>
      <c r="M63" s="80">
        <v>1875</v>
      </c>
      <c r="N63" s="80">
        <v>3341</v>
      </c>
      <c r="O63" s="80">
        <v>4570</v>
      </c>
      <c r="P63" s="80">
        <v>5281</v>
      </c>
      <c r="Q63" s="80">
        <v>6947</v>
      </c>
      <c r="R63" s="80">
        <v>6876</v>
      </c>
      <c r="S63" s="80">
        <v>6390</v>
      </c>
      <c r="T63" s="80">
        <v>7321</v>
      </c>
    </row>
    <row r="64" spans="1:20" ht="14.6" hidden="1" outlineLevel="1">
      <c r="A64" s="80" t="s">
        <v>438</v>
      </c>
      <c r="B64" s="80" t="s">
        <v>445</v>
      </c>
      <c r="C64" s="80">
        <v>54</v>
      </c>
      <c r="D64" s="80">
        <v>51</v>
      </c>
      <c r="E64" s="80">
        <v>44</v>
      </c>
      <c r="F64" s="80">
        <v>39</v>
      </c>
      <c r="G64" s="80">
        <v>36</v>
      </c>
      <c r="H64" s="80">
        <v>42</v>
      </c>
      <c r="I64" s="80">
        <v>51</v>
      </c>
      <c r="J64" s="80">
        <v>58</v>
      </c>
      <c r="K64" s="80">
        <v>125</v>
      </c>
      <c r="L64" s="80">
        <v>284</v>
      </c>
      <c r="M64" s="80">
        <v>884</v>
      </c>
      <c r="N64" s="80">
        <v>1404</v>
      </c>
      <c r="O64" s="80">
        <v>1354</v>
      </c>
      <c r="P64" s="80">
        <v>1466</v>
      </c>
      <c r="Q64" s="80">
        <v>1995</v>
      </c>
      <c r="R64" s="80">
        <v>2460</v>
      </c>
      <c r="S64" s="80">
        <v>2312</v>
      </c>
      <c r="T64" s="80">
        <v>3352</v>
      </c>
    </row>
    <row r="65" spans="1:21" ht="14.6" hidden="1" outlineLevel="1">
      <c r="A65" s="80" t="s">
        <v>439</v>
      </c>
      <c r="B65" s="80" t="s">
        <v>445</v>
      </c>
      <c r="C65" s="80">
        <v>12</v>
      </c>
      <c r="D65" s="80">
        <v>13</v>
      </c>
      <c r="E65" s="80">
        <v>6</v>
      </c>
      <c r="F65" s="80">
        <v>7</v>
      </c>
      <c r="G65" s="80">
        <v>6</v>
      </c>
      <c r="H65" s="80">
        <v>11</v>
      </c>
      <c r="I65" s="80">
        <v>13</v>
      </c>
      <c r="J65" s="80">
        <v>9</v>
      </c>
      <c r="K65" s="80">
        <v>19</v>
      </c>
      <c r="L65" s="80">
        <v>83</v>
      </c>
      <c r="M65" s="80">
        <v>140</v>
      </c>
      <c r="N65" s="80">
        <v>145</v>
      </c>
      <c r="O65" s="80">
        <v>130</v>
      </c>
      <c r="P65" s="80">
        <v>207</v>
      </c>
      <c r="Q65" s="80">
        <v>298</v>
      </c>
      <c r="R65" s="80">
        <v>347</v>
      </c>
      <c r="S65" s="80">
        <v>523</v>
      </c>
      <c r="T65" s="80">
        <v>1096</v>
      </c>
    </row>
    <row r="66" spans="1:21" ht="14.6" hidden="1" outlineLevel="1">
      <c r="A66" s="80" t="s">
        <v>440</v>
      </c>
      <c r="B66" s="80" t="s">
        <v>445</v>
      </c>
      <c r="C66" s="80">
        <v>12</v>
      </c>
      <c r="D66" s="80">
        <v>7</v>
      </c>
      <c r="E66" s="80">
        <v>4</v>
      </c>
      <c r="F66" s="80">
        <v>5</v>
      </c>
      <c r="G66" s="80">
        <v>6</v>
      </c>
      <c r="H66" s="80">
        <v>4</v>
      </c>
      <c r="I66" s="80">
        <v>5</v>
      </c>
      <c r="J66" s="80">
        <v>9</v>
      </c>
      <c r="K66" s="80">
        <v>8</v>
      </c>
      <c r="L66" s="80">
        <v>2</v>
      </c>
      <c r="M66" s="80">
        <v>6</v>
      </c>
      <c r="N66" s="80">
        <v>5</v>
      </c>
      <c r="O66" s="80">
        <v>9</v>
      </c>
      <c r="P66" s="80">
        <v>19</v>
      </c>
      <c r="Q66" s="80">
        <v>38</v>
      </c>
      <c r="R66" s="80">
        <v>23</v>
      </c>
      <c r="S66" s="80">
        <v>25</v>
      </c>
      <c r="T66" s="80">
        <v>144</v>
      </c>
    </row>
    <row r="67" spans="1:21" ht="14.6" hidden="1" outlineLevel="1">
      <c r="A67" s="80" t="s">
        <v>441</v>
      </c>
      <c r="B67" s="80" t="s">
        <v>445</v>
      </c>
      <c r="C67" s="80">
        <v>0</v>
      </c>
      <c r="D67" s="80">
        <v>0</v>
      </c>
      <c r="E67" s="80">
        <v>0</v>
      </c>
      <c r="F67" s="80">
        <v>0</v>
      </c>
      <c r="G67" s="80">
        <v>0</v>
      </c>
      <c r="H67" s="80">
        <v>0</v>
      </c>
      <c r="I67" s="80">
        <v>0</v>
      </c>
      <c r="J67" s="80">
        <v>0</v>
      </c>
      <c r="K67" s="80">
        <v>0</v>
      </c>
      <c r="L67" s="80">
        <v>1</v>
      </c>
      <c r="M67" s="80">
        <v>1</v>
      </c>
      <c r="N67" s="80">
        <v>0</v>
      </c>
      <c r="O67" s="80">
        <v>1</v>
      </c>
      <c r="P67" s="80">
        <v>2</v>
      </c>
      <c r="Q67" s="80">
        <v>5</v>
      </c>
      <c r="R67" s="80">
        <v>1</v>
      </c>
      <c r="S67" s="80">
        <v>0</v>
      </c>
      <c r="T67" s="80">
        <v>26</v>
      </c>
    </row>
    <row r="68" spans="1:21" ht="14.6" hidden="1" outlineLevel="1">
      <c r="A68" s="80" t="s">
        <v>442</v>
      </c>
      <c r="B68" s="80" t="s">
        <v>445</v>
      </c>
      <c r="C68" s="80">
        <v>0</v>
      </c>
      <c r="D68" s="80">
        <v>0</v>
      </c>
      <c r="E68" s="80">
        <v>0</v>
      </c>
      <c r="F68" s="80">
        <v>0</v>
      </c>
      <c r="G68" s="80">
        <v>0</v>
      </c>
      <c r="H68" s="80">
        <v>0</v>
      </c>
      <c r="I68" s="80">
        <v>0</v>
      </c>
      <c r="J68" s="80">
        <v>0</v>
      </c>
      <c r="K68" s="80">
        <v>0</v>
      </c>
      <c r="L68" s="80">
        <v>0</v>
      </c>
      <c r="M68" s="80">
        <v>0</v>
      </c>
      <c r="N68" s="80">
        <v>0</v>
      </c>
      <c r="O68" s="80">
        <v>1</v>
      </c>
      <c r="P68" s="80">
        <v>0</v>
      </c>
      <c r="Q68" s="80">
        <v>0</v>
      </c>
      <c r="R68" s="80">
        <v>0</v>
      </c>
      <c r="S68" s="80">
        <v>0</v>
      </c>
      <c r="T68" s="80">
        <v>1</v>
      </c>
    </row>
    <row r="70" spans="1:21" ht="14.6">
      <c r="A70" s="217" t="s">
        <v>447</v>
      </c>
      <c r="B70" s="218"/>
      <c r="C70" s="218"/>
      <c r="D70" s="218"/>
      <c r="E70" s="218"/>
      <c r="F70" s="218"/>
      <c r="G70" s="218"/>
      <c r="H70" s="218"/>
      <c r="I70" s="218"/>
      <c r="J70" s="218"/>
      <c r="K70" s="218"/>
      <c r="L70" s="218"/>
      <c r="M70" s="218"/>
      <c r="N70" s="218"/>
      <c r="O70" s="218"/>
      <c r="P70" s="218"/>
      <c r="Q70" s="218"/>
      <c r="R70" s="218"/>
      <c r="S70" s="218"/>
      <c r="T70" s="218"/>
    </row>
    <row r="71" spans="1:21" ht="14.6">
      <c r="A71" s="218" t="s">
        <v>417</v>
      </c>
      <c r="B71" s="218" t="s">
        <v>418</v>
      </c>
      <c r="C71" s="218">
        <v>2000</v>
      </c>
      <c r="D71" s="218">
        <v>2001</v>
      </c>
      <c r="E71" s="218">
        <v>2002</v>
      </c>
      <c r="F71" s="218">
        <v>2003</v>
      </c>
      <c r="G71" s="218">
        <v>2004</v>
      </c>
      <c r="H71" s="218">
        <v>2005</v>
      </c>
      <c r="I71" s="218">
        <v>2006</v>
      </c>
      <c r="J71" s="218">
        <v>2007</v>
      </c>
      <c r="K71" s="218">
        <v>2008</v>
      </c>
      <c r="L71" s="218">
        <v>2009</v>
      </c>
      <c r="M71" s="218">
        <v>2010</v>
      </c>
      <c r="N71" s="218">
        <v>2011</v>
      </c>
      <c r="O71" s="218">
        <v>2012</v>
      </c>
      <c r="P71" s="218">
        <v>2013</v>
      </c>
      <c r="Q71" s="218">
        <v>2014</v>
      </c>
      <c r="R71" s="218">
        <v>2015</v>
      </c>
      <c r="S71" s="218">
        <v>2016</v>
      </c>
      <c r="T71" s="218">
        <v>2017</v>
      </c>
    </row>
    <row r="72" spans="1:21" ht="14.6">
      <c r="A72" s="146" t="s">
        <v>449</v>
      </c>
      <c r="B72" s="146" t="s">
        <v>421</v>
      </c>
      <c r="C72" s="220"/>
      <c r="D72" s="220">
        <f t="shared" ref="D72:T72" si="0">SUM(D3:D24)-SUM(C3:C24)</f>
        <v>-1190</v>
      </c>
      <c r="E72" s="220">
        <f t="shared" si="0"/>
        <v>-6255</v>
      </c>
      <c r="F72" s="220">
        <f t="shared" si="0"/>
        <v>-3253</v>
      </c>
      <c r="G72" s="220">
        <f t="shared" si="0"/>
        <v>1863</v>
      </c>
      <c r="H72" s="220">
        <f t="shared" si="0"/>
        <v>3628</v>
      </c>
      <c r="I72" s="220">
        <f t="shared" si="0"/>
        <v>4789</v>
      </c>
      <c r="J72" s="220">
        <f t="shared" si="0"/>
        <v>-1898</v>
      </c>
      <c r="K72" s="220">
        <f t="shared" si="0"/>
        <v>16544</v>
      </c>
      <c r="L72" s="220">
        <f t="shared" si="0"/>
        <v>-1988</v>
      </c>
      <c r="M72" s="220">
        <f t="shared" si="0"/>
        <v>9093</v>
      </c>
      <c r="N72" s="220">
        <f t="shared" si="0"/>
        <v>15213</v>
      </c>
      <c r="O72" s="220">
        <f t="shared" si="0"/>
        <v>16136</v>
      </c>
      <c r="P72" s="220">
        <f t="shared" si="0"/>
        <v>16302</v>
      </c>
      <c r="Q72" s="220">
        <f t="shared" si="0"/>
        <v>17147</v>
      </c>
      <c r="R72" s="220">
        <f t="shared" si="0"/>
        <v>-3563</v>
      </c>
      <c r="S72" s="220">
        <f t="shared" si="0"/>
        <v>-16959</v>
      </c>
      <c r="T72" s="220">
        <f t="shared" si="0"/>
        <v>-7310</v>
      </c>
    </row>
    <row r="73" spans="1:21" ht="14.6">
      <c r="A73" s="146" t="s">
        <v>449</v>
      </c>
      <c r="B73" s="146" t="s">
        <v>443</v>
      </c>
      <c r="C73" s="220"/>
      <c r="D73" s="220">
        <f t="shared" ref="D73:T73" si="1">SUM(D25:D46)-SUM(C25:C46)</f>
        <v>27281</v>
      </c>
      <c r="E73" s="220">
        <f t="shared" si="1"/>
        <v>10664</v>
      </c>
      <c r="F73" s="220">
        <f t="shared" si="1"/>
        <v>17009</v>
      </c>
      <c r="G73" s="220">
        <f t="shared" si="1"/>
        <v>18242</v>
      </c>
      <c r="H73" s="220">
        <f t="shared" si="1"/>
        <v>20133</v>
      </c>
      <c r="I73" s="220">
        <f t="shared" si="1"/>
        <v>28177</v>
      </c>
      <c r="J73" s="220">
        <f t="shared" si="1"/>
        <v>17577</v>
      </c>
      <c r="K73" s="220">
        <f t="shared" si="1"/>
        <v>41444</v>
      </c>
      <c r="L73" s="220">
        <f t="shared" si="1"/>
        <v>5406</v>
      </c>
      <c r="M73" s="220">
        <f t="shared" si="1"/>
        <v>12168</v>
      </c>
      <c r="N73" s="220">
        <f t="shared" si="1"/>
        <v>9109</v>
      </c>
      <c r="O73" s="220">
        <f t="shared" si="1"/>
        <v>3787</v>
      </c>
      <c r="P73" s="220">
        <f t="shared" si="1"/>
        <v>-1826</v>
      </c>
      <c r="Q73" s="220">
        <f t="shared" si="1"/>
        <v>8314</v>
      </c>
      <c r="R73" s="220">
        <f t="shared" si="1"/>
        <v>-4005</v>
      </c>
      <c r="S73" s="220">
        <f t="shared" si="1"/>
        <v>-4511</v>
      </c>
      <c r="T73" s="220">
        <f t="shared" si="1"/>
        <v>-11726</v>
      </c>
    </row>
    <row r="74" spans="1:21" ht="14.6">
      <c r="A74" s="146" t="s">
        <v>449</v>
      </c>
      <c r="B74" s="146" t="s">
        <v>451</v>
      </c>
      <c r="C74" s="146"/>
      <c r="D74" s="220">
        <f t="shared" ref="D74:T74" si="2">SUM(D47:D68)-SUM(C47:C68)</f>
        <v>516</v>
      </c>
      <c r="E74" s="220">
        <f t="shared" si="2"/>
        <v>427</v>
      </c>
      <c r="F74" s="220">
        <f t="shared" si="2"/>
        <v>743</v>
      </c>
      <c r="G74" s="220">
        <f t="shared" si="2"/>
        <v>1244</v>
      </c>
      <c r="H74" s="220">
        <f t="shared" si="2"/>
        <v>2040</v>
      </c>
      <c r="I74" s="220">
        <f t="shared" si="2"/>
        <v>2934</v>
      </c>
      <c r="J74" s="220">
        <f t="shared" si="2"/>
        <v>4683</v>
      </c>
      <c r="K74" s="220">
        <f t="shared" si="2"/>
        <v>6640</v>
      </c>
      <c r="L74" s="220">
        <f t="shared" si="2"/>
        <v>5161</v>
      </c>
      <c r="M74" s="220">
        <f t="shared" si="2"/>
        <v>7596</v>
      </c>
      <c r="N74" s="220">
        <f t="shared" si="2"/>
        <v>11168</v>
      </c>
      <c r="O74" s="220">
        <f t="shared" si="2"/>
        <v>13849</v>
      </c>
      <c r="P74" s="220">
        <f t="shared" si="2"/>
        <v>15521</v>
      </c>
      <c r="Q74" s="220">
        <f t="shared" si="2"/>
        <v>17600</v>
      </c>
      <c r="R74" s="220">
        <f t="shared" si="2"/>
        <v>12023</v>
      </c>
      <c r="S74" s="220">
        <f t="shared" si="2"/>
        <v>6196</v>
      </c>
      <c r="T74" s="220">
        <f t="shared" si="2"/>
        <v>9633</v>
      </c>
    </row>
    <row r="76" spans="1:21" ht="14.6">
      <c r="A76" s="209" t="s">
        <v>452</v>
      </c>
    </row>
    <row r="77" spans="1:21" ht="14.6">
      <c r="B77" s="80"/>
      <c r="C77" s="222">
        <v>2000</v>
      </c>
      <c r="D77" s="222">
        <v>2001</v>
      </c>
      <c r="E77" s="222">
        <v>2002</v>
      </c>
      <c r="F77" s="222">
        <v>2003</v>
      </c>
      <c r="G77" s="222">
        <v>2004</v>
      </c>
      <c r="H77" s="222">
        <v>2005</v>
      </c>
      <c r="I77" s="222">
        <v>2006</v>
      </c>
      <c r="J77" s="222">
        <v>2007</v>
      </c>
      <c r="K77" s="222">
        <v>2008</v>
      </c>
      <c r="L77" s="222">
        <v>2009</v>
      </c>
      <c r="M77" s="222">
        <v>2010</v>
      </c>
      <c r="N77" s="222">
        <v>2011</v>
      </c>
      <c r="O77" s="222">
        <v>2012</v>
      </c>
      <c r="P77" s="222">
        <v>2013</v>
      </c>
      <c r="Q77" s="222">
        <v>2014</v>
      </c>
      <c r="R77" s="222">
        <v>2015</v>
      </c>
      <c r="S77" s="222">
        <v>2016</v>
      </c>
      <c r="T77" s="222">
        <v>2017</v>
      </c>
      <c r="U77" s="222">
        <v>2018</v>
      </c>
    </row>
    <row r="78" spans="1:21" ht="14.6">
      <c r="B78" s="80" t="s">
        <v>443</v>
      </c>
      <c r="C78" s="80">
        <v>218</v>
      </c>
      <c r="D78" s="80">
        <v>257</v>
      </c>
      <c r="E78" s="80">
        <v>269</v>
      </c>
      <c r="F78" s="80">
        <v>463</v>
      </c>
      <c r="G78" s="80">
        <v>837</v>
      </c>
      <c r="H78" s="80">
        <v>1448</v>
      </c>
      <c r="I78" s="80">
        <v>2320</v>
      </c>
      <c r="J78" s="80">
        <v>3910</v>
      </c>
      <c r="K78" s="80">
        <v>5578</v>
      </c>
      <c r="L78" s="80">
        <v>4569</v>
      </c>
      <c r="M78" s="80">
        <v>6407</v>
      </c>
      <c r="N78" s="80">
        <v>7253</v>
      </c>
      <c r="O78" s="80">
        <v>6359</v>
      </c>
      <c r="P78" s="80">
        <v>5916</v>
      </c>
      <c r="Q78" s="80">
        <v>6103</v>
      </c>
      <c r="R78" s="80">
        <v>3735</v>
      </c>
      <c r="S78" s="80">
        <v>1663</v>
      </c>
      <c r="T78" s="80">
        <v>1972</v>
      </c>
      <c r="U78" s="80">
        <v>1194</v>
      </c>
    </row>
    <row r="79" spans="1:21" ht="14.6">
      <c r="B79" s="80" t="s">
        <v>421</v>
      </c>
      <c r="C79" s="80">
        <v>260</v>
      </c>
      <c r="D79" s="80">
        <v>308</v>
      </c>
      <c r="E79" s="80">
        <v>185</v>
      </c>
      <c r="F79" s="80">
        <v>313</v>
      </c>
      <c r="G79" s="80">
        <v>434</v>
      </c>
      <c r="H79" s="80">
        <v>543</v>
      </c>
      <c r="I79" s="80">
        <v>611</v>
      </c>
      <c r="J79" s="80">
        <v>663</v>
      </c>
      <c r="K79" s="80">
        <v>942</v>
      </c>
      <c r="L79" s="80">
        <v>667</v>
      </c>
      <c r="M79" s="80">
        <v>1674</v>
      </c>
      <c r="N79" s="80">
        <v>3849</v>
      </c>
      <c r="O79" s="80">
        <v>6296</v>
      </c>
      <c r="P79" s="80">
        <v>8140</v>
      </c>
      <c r="Q79" s="80">
        <v>10067</v>
      </c>
      <c r="R79" s="80">
        <v>6983</v>
      </c>
      <c r="S79" s="80">
        <v>3688</v>
      </c>
      <c r="T79" s="80">
        <v>5191</v>
      </c>
      <c r="U79" s="80">
        <v>2528</v>
      </c>
    </row>
    <row r="80" spans="1:21" ht="14.6">
      <c r="B80" s="80" t="s">
        <v>454</v>
      </c>
      <c r="G80" s="80">
        <v>101</v>
      </c>
      <c r="H80" s="80">
        <v>153</v>
      </c>
      <c r="J80" s="80">
        <v>307</v>
      </c>
      <c r="K80" s="80">
        <v>569</v>
      </c>
      <c r="L80" s="80">
        <v>540</v>
      </c>
      <c r="M80" s="80">
        <v>893</v>
      </c>
      <c r="N80" s="80">
        <v>1436</v>
      </c>
      <c r="O80" s="80">
        <v>2277</v>
      </c>
      <c r="P80" s="80">
        <v>2463</v>
      </c>
      <c r="Q80" s="80">
        <v>2836</v>
      </c>
      <c r="R80" s="80">
        <v>2071</v>
      </c>
      <c r="S80" s="80">
        <v>1684</v>
      </c>
      <c r="T80" s="80">
        <v>2754</v>
      </c>
      <c r="U80" s="80">
        <v>4083</v>
      </c>
    </row>
    <row r="81" spans="1:22" ht="14.6">
      <c r="B81" s="80" t="s">
        <v>455</v>
      </c>
      <c r="P81" s="80">
        <v>156</v>
      </c>
      <c r="Q81" s="80">
        <v>309</v>
      </c>
      <c r="R81" s="80">
        <v>801</v>
      </c>
      <c r="S81" s="80">
        <v>577</v>
      </c>
      <c r="T81" s="80">
        <v>1477</v>
      </c>
      <c r="U81" s="80">
        <v>1103</v>
      </c>
    </row>
    <row r="82" spans="1:22" ht="14.6">
      <c r="B82" s="224" t="s">
        <v>456</v>
      </c>
      <c r="C82" s="225">
        <f t="shared" ref="C82:U82" si="3">SUM(C78:C81)</f>
        <v>478</v>
      </c>
      <c r="D82" s="225">
        <f t="shared" si="3"/>
        <v>565</v>
      </c>
      <c r="E82" s="225">
        <f t="shared" si="3"/>
        <v>454</v>
      </c>
      <c r="F82" s="225">
        <f t="shared" si="3"/>
        <v>776</v>
      </c>
      <c r="G82" s="225">
        <f t="shared" si="3"/>
        <v>1372</v>
      </c>
      <c r="H82" s="225">
        <f t="shared" si="3"/>
        <v>2144</v>
      </c>
      <c r="I82" s="225">
        <f t="shared" si="3"/>
        <v>2931</v>
      </c>
      <c r="J82" s="225">
        <f t="shared" si="3"/>
        <v>4880</v>
      </c>
      <c r="K82" s="225">
        <f t="shared" si="3"/>
        <v>7089</v>
      </c>
      <c r="L82" s="225">
        <f t="shared" si="3"/>
        <v>5776</v>
      </c>
      <c r="M82" s="225">
        <f t="shared" si="3"/>
        <v>8974</v>
      </c>
      <c r="N82" s="225">
        <f t="shared" si="3"/>
        <v>12538</v>
      </c>
      <c r="O82" s="225">
        <f t="shared" si="3"/>
        <v>14932</v>
      </c>
      <c r="P82" s="225">
        <f t="shared" si="3"/>
        <v>16675</v>
      </c>
      <c r="Q82" s="225">
        <f t="shared" si="3"/>
        <v>19315</v>
      </c>
      <c r="R82" s="225">
        <f t="shared" si="3"/>
        <v>13590</v>
      </c>
      <c r="S82" s="225">
        <f t="shared" si="3"/>
        <v>7612</v>
      </c>
      <c r="T82" s="225">
        <f t="shared" si="3"/>
        <v>11394</v>
      </c>
      <c r="U82" s="225">
        <f t="shared" si="3"/>
        <v>8908</v>
      </c>
      <c r="V82" s="80" t="s">
        <v>457</v>
      </c>
    </row>
    <row r="83" spans="1:22" ht="14.6">
      <c r="V83" s="224" t="s">
        <v>458</v>
      </c>
    </row>
    <row r="84" spans="1:22" ht="14.6">
      <c r="A84" s="209" t="s">
        <v>459</v>
      </c>
    </row>
    <row r="85" spans="1:22" ht="14.6" collapsed="1">
      <c r="A85" s="40" t="s">
        <v>417</v>
      </c>
      <c r="B85" s="40" t="s">
        <v>418</v>
      </c>
      <c r="C85" s="40">
        <v>2000</v>
      </c>
      <c r="D85" s="40">
        <v>2001</v>
      </c>
      <c r="E85" s="40">
        <v>2002</v>
      </c>
      <c r="F85" s="40">
        <v>2003</v>
      </c>
      <c r="G85" s="40">
        <v>2004</v>
      </c>
      <c r="H85" s="40">
        <v>2005</v>
      </c>
      <c r="I85" s="40">
        <v>2006</v>
      </c>
      <c r="J85" s="40">
        <v>2007</v>
      </c>
      <c r="K85" s="40">
        <v>2008</v>
      </c>
      <c r="L85" s="40">
        <v>2009</v>
      </c>
      <c r="M85" s="40">
        <v>2010</v>
      </c>
      <c r="N85" s="40">
        <v>2011</v>
      </c>
      <c r="O85" s="40">
        <v>2012</v>
      </c>
      <c r="P85" s="40">
        <v>2013</v>
      </c>
      <c r="Q85" s="40">
        <v>2014</v>
      </c>
      <c r="R85" s="40">
        <v>2015</v>
      </c>
      <c r="S85" s="40">
        <v>2016</v>
      </c>
      <c r="T85" s="40">
        <v>2017</v>
      </c>
    </row>
    <row r="86" spans="1:22" ht="14.6" hidden="1" outlineLevel="1">
      <c r="A86" s="226" t="s">
        <v>420</v>
      </c>
      <c r="B86" s="80" t="s">
        <v>460</v>
      </c>
      <c r="C86" s="227">
        <v>17.062999999999999</v>
      </c>
      <c r="D86" s="227">
        <v>16.831</v>
      </c>
      <c r="E86" s="227">
        <v>16.635000000000002</v>
      </c>
      <c r="F86" s="227">
        <v>16.457999999999998</v>
      </c>
      <c r="G86" s="227">
        <v>16.884</v>
      </c>
      <c r="H86" s="227">
        <v>16.928000000000001</v>
      </c>
      <c r="I86" s="227">
        <v>17.306999999999999</v>
      </c>
      <c r="J86" s="227">
        <v>17.242000000000001</v>
      </c>
      <c r="K86" s="227">
        <v>17.954999999999998</v>
      </c>
      <c r="L86" s="227">
        <v>18.071000000000002</v>
      </c>
      <c r="M86" s="227">
        <v>18.451000000000001</v>
      </c>
      <c r="N86" s="227">
        <v>19.157</v>
      </c>
      <c r="O86" s="227">
        <v>19.692</v>
      </c>
      <c r="P86" s="227">
        <v>20.198</v>
      </c>
      <c r="Q86" s="227">
        <v>20.442</v>
      </c>
      <c r="R86" s="227">
        <v>20.067</v>
      </c>
      <c r="S86" s="227">
        <v>19.561</v>
      </c>
      <c r="T86" s="227">
        <v>17.87</v>
      </c>
    </row>
    <row r="87" spans="1:22" ht="14.6" hidden="1" outlineLevel="1">
      <c r="A87" s="226" t="s">
        <v>422</v>
      </c>
      <c r="B87" s="80" t="s">
        <v>460</v>
      </c>
      <c r="C87" s="227">
        <v>22.058</v>
      </c>
      <c r="D87" s="227">
        <v>21.832000000000001</v>
      </c>
      <c r="E87" s="227">
        <v>21.713999999999999</v>
      </c>
      <c r="F87" s="227">
        <v>21.687000000000001</v>
      </c>
      <c r="G87" s="227">
        <v>21.962</v>
      </c>
      <c r="H87" s="227">
        <v>22.173999999999999</v>
      </c>
      <c r="I87" s="227">
        <v>22.702000000000002</v>
      </c>
      <c r="J87" s="227">
        <v>22.687999999999999</v>
      </c>
      <c r="K87" s="227">
        <v>23.997</v>
      </c>
      <c r="L87" s="227">
        <v>23.588000000000001</v>
      </c>
      <c r="M87" s="227">
        <v>24.318999999999999</v>
      </c>
      <c r="N87" s="227">
        <v>24.823</v>
      </c>
      <c r="O87" s="227">
        <v>25.675999999999998</v>
      </c>
      <c r="P87" s="227">
        <v>25.936</v>
      </c>
      <c r="Q87" s="227">
        <v>26.356999999999999</v>
      </c>
      <c r="R87" s="227">
        <v>25.533000000000001</v>
      </c>
      <c r="S87" s="227">
        <v>24.048999999999999</v>
      </c>
      <c r="T87" s="227">
        <v>23.34</v>
      </c>
    </row>
    <row r="88" spans="1:22" ht="14.6" hidden="1" outlineLevel="1">
      <c r="A88" s="226" t="s">
        <v>423</v>
      </c>
      <c r="B88" s="80" t="s">
        <v>460</v>
      </c>
      <c r="C88" s="227">
        <v>45.738999999999997</v>
      </c>
      <c r="D88" s="227">
        <v>45.795000000000002</v>
      </c>
      <c r="E88" s="227">
        <v>45.581000000000003</v>
      </c>
      <c r="F88" s="227">
        <v>46.253</v>
      </c>
      <c r="G88" s="227">
        <v>46.030999999999999</v>
      </c>
      <c r="H88" s="227">
        <v>46.414000000000001</v>
      </c>
      <c r="I88" s="227">
        <v>46.960999999999999</v>
      </c>
      <c r="J88" s="227">
        <v>47.234999999999999</v>
      </c>
      <c r="K88" s="227">
        <v>48.661999999999999</v>
      </c>
      <c r="L88" s="227">
        <v>48.265999999999998</v>
      </c>
      <c r="M88" s="227">
        <v>48.054000000000002</v>
      </c>
      <c r="N88" s="227">
        <v>49.311</v>
      </c>
      <c r="O88" s="227">
        <v>51.152999999999999</v>
      </c>
      <c r="P88" s="227">
        <v>50.902999999999999</v>
      </c>
      <c r="Q88" s="227">
        <v>51.151000000000003</v>
      </c>
      <c r="R88" s="227">
        <v>49.42</v>
      </c>
      <c r="S88" s="227">
        <v>47.122999999999998</v>
      </c>
      <c r="T88" s="227">
        <v>46.201999999999998</v>
      </c>
    </row>
    <row r="89" spans="1:22" ht="14.6" hidden="1" outlineLevel="1">
      <c r="A89" s="226" t="s">
        <v>424</v>
      </c>
      <c r="B89" s="80" t="s">
        <v>460</v>
      </c>
      <c r="C89" s="227">
        <v>43.171999999999997</v>
      </c>
      <c r="D89" s="227">
        <v>43.378</v>
      </c>
      <c r="E89" s="227">
        <v>42.816000000000003</v>
      </c>
      <c r="F89" s="227">
        <v>41.682000000000002</v>
      </c>
      <c r="G89" s="227">
        <v>42.451999999999998</v>
      </c>
      <c r="H89" s="227">
        <v>42.448999999999998</v>
      </c>
      <c r="I89" s="227">
        <v>43.558</v>
      </c>
      <c r="J89" s="227">
        <v>43.265000000000001</v>
      </c>
      <c r="K89" s="227">
        <v>44.834000000000003</v>
      </c>
      <c r="L89" s="227">
        <v>44.347999999999999</v>
      </c>
      <c r="M89" s="227">
        <v>44.436</v>
      </c>
      <c r="N89" s="227">
        <v>45.167999999999999</v>
      </c>
      <c r="O89" s="227">
        <v>46.158999999999999</v>
      </c>
      <c r="P89" s="227">
        <v>46.981000000000002</v>
      </c>
      <c r="Q89" s="227">
        <v>48.058</v>
      </c>
      <c r="R89" s="227">
        <v>46.820999999999998</v>
      </c>
      <c r="S89" s="227">
        <v>44.472000000000001</v>
      </c>
      <c r="T89" s="227">
        <v>43.508000000000003</v>
      </c>
    </row>
    <row r="90" spans="1:22" ht="14.6" hidden="1" outlineLevel="1">
      <c r="A90" s="226" t="s">
        <v>425</v>
      </c>
      <c r="B90" s="80" t="s">
        <v>460</v>
      </c>
      <c r="C90" s="227">
        <v>39.241</v>
      </c>
      <c r="D90" s="227">
        <v>39.311</v>
      </c>
      <c r="E90" s="227">
        <v>38.536999999999999</v>
      </c>
      <c r="F90" s="227">
        <v>38.878999999999998</v>
      </c>
      <c r="G90" s="227">
        <v>38.012999999999998</v>
      </c>
      <c r="H90" s="227">
        <v>38.432000000000002</v>
      </c>
      <c r="I90" s="227">
        <v>39.694000000000003</v>
      </c>
      <c r="J90" s="227">
        <v>39.783000000000001</v>
      </c>
      <c r="K90" s="227">
        <v>41.209000000000003</v>
      </c>
      <c r="L90" s="227">
        <v>40.558999999999997</v>
      </c>
      <c r="M90" s="227">
        <v>40.566000000000003</v>
      </c>
      <c r="N90" s="227">
        <v>40.584000000000003</v>
      </c>
      <c r="O90" s="227">
        <v>41.838999999999999</v>
      </c>
      <c r="P90" s="227">
        <v>42.155999999999999</v>
      </c>
      <c r="Q90" s="227">
        <v>43.350999999999999</v>
      </c>
      <c r="R90" s="227">
        <v>42.874000000000002</v>
      </c>
      <c r="S90" s="227">
        <v>40.563000000000002</v>
      </c>
      <c r="T90" s="227">
        <v>38.965000000000003</v>
      </c>
    </row>
    <row r="91" spans="1:22" ht="14.6" hidden="1" outlineLevel="1">
      <c r="A91" s="226" t="s">
        <v>426</v>
      </c>
      <c r="B91" s="80" t="s">
        <v>460</v>
      </c>
      <c r="C91" s="227">
        <v>36.905999999999999</v>
      </c>
      <c r="D91" s="227">
        <v>37.392000000000003</v>
      </c>
      <c r="E91" s="227">
        <v>36.915999999999997</v>
      </c>
      <c r="F91" s="227">
        <v>36.344000000000001</v>
      </c>
      <c r="G91" s="227">
        <v>36.567999999999998</v>
      </c>
      <c r="H91" s="227">
        <v>36.335000000000001</v>
      </c>
      <c r="I91" s="227">
        <v>35.941000000000003</v>
      </c>
      <c r="J91" s="227">
        <v>37.314999999999998</v>
      </c>
      <c r="K91" s="227">
        <v>36.895000000000003</v>
      </c>
      <c r="L91" s="227">
        <v>36.296999999999997</v>
      </c>
      <c r="M91" s="227">
        <v>36.338999999999999</v>
      </c>
      <c r="N91" s="227">
        <v>37.206000000000003</v>
      </c>
      <c r="O91" s="227">
        <v>38.08</v>
      </c>
      <c r="P91" s="227">
        <v>38.811999999999998</v>
      </c>
      <c r="Q91" s="227">
        <v>40.305999999999997</v>
      </c>
      <c r="R91" s="227">
        <v>39.030999999999999</v>
      </c>
      <c r="S91" s="227">
        <v>37.515999999999998</v>
      </c>
      <c r="T91" s="227">
        <v>35.93</v>
      </c>
    </row>
    <row r="92" spans="1:22" ht="14.6" hidden="1" outlineLevel="1">
      <c r="A92" s="226" t="s">
        <v>427</v>
      </c>
      <c r="B92" s="80" t="s">
        <v>460</v>
      </c>
      <c r="C92" s="227">
        <v>35.162999999999997</v>
      </c>
      <c r="D92" s="227">
        <v>33.162999999999997</v>
      </c>
      <c r="E92" s="227">
        <v>33.265999999999998</v>
      </c>
      <c r="F92" s="227">
        <v>32.826000000000001</v>
      </c>
      <c r="G92" s="227">
        <v>31.847000000000001</v>
      </c>
      <c r="H92" s="227">
        <v>32.948</v>
      </c>
      <c r="I92" s="227">
        <v>33.006</v>
      </c>
      <c r="J92" s="227">
        <v>32.603999999999999</v>
      </c>
      <c r="K92" s="227">
        <v>34.994</v>
      </c>
      <c r="L92" s="227">
        <v>33.603999999999999</v>
      </c>
      <c r="M92" s="227">
        <v>33.908000000000001</v>
      </c>
      <c r="N92" s="227">
        <v>33.764000000000003</v>
      </c>
      <c r="O92" s="227">
        <v>36.234000000000002</v>
      </c>
      <c r="P92" s="227">
        <v>36.103000000000002</v>
      </c>
      <c r="Q92" s="227">
        <v>36.668999999999997</v>
      </c>
      <c r="R92" s="227">
        <v>36.350999999999999</v>
      </c>
      <c r="S92" s="227">
        <v>34.32</v>
      </c>
      <c r="T92" s="227">
        <v>34.051000000000002</v>
      </c>
    </row>
    <row r="93" spans="1:22" ht="14.6" hidden="1" outlineLevel="1">
      <c r="A93" s="226" t="s">
        <v>428</v>
      </c>
      <c r="B93" s="80" t="s">
        <v>460</v>
      </c>
      <c r="C93" s="227">
        <v>45.890999999999998</v>
      </c>
      <c r="D93" s="227">
        <v>46.603999999999999</v>
      </c>
      <c r="E93" s="227">
        <v>44.722000000000001</v>
      </c>
      <c r="F93" s="227">
        <v>44.4</v>
      </c>
      <c r="G93" s="227">
        <v>44.610999999999997</v>
      </c>
      <c r="H93" s="227">
        <v>44.99</v>
      </c>
      <c r="I93" s="227">
        <v>45.575000000000003</v>
      </c>
      <c r="J93" s="227">
        <v>46.408000000000001</v>
      </c>
      <c r="K93" s="227">
        <v>47.054000000000002</v>
      </c>
      <c r="L93" s="227">
        <v>46.601999999999997</v>
      </c>
      <c r="M93" s="227">
        <v>45.707000000000001</v>
      </c>
      <c r="N93" s="227">
        <v>46.56</v>
      </c>
      <c r="O93" s="227">
        <v>48.268999999999998</v>
      </c>
      <c r="P93" s="227">
        <v>49.036999999999999</v>
      </c>
      <c r="Q93" s="227">
        <v>50.026000000000003</v>
      </c>
      <c r="R93" s="227">
        <v>50.19</v>
      </c>
      <c r="S93" s="227">
        <v>48.692999999999998</v>
      </c>
      <c r="T93" s="227">
        <v>45.746000000000002</v>
      </c>
    </row>
    <row r="94" spans="1:22" ht="14.6" hidden="1" outlineLevel="1">
      <c r="A94" s="226" t="s">
        <v>429</v>
      </c>
      <c r="B94" s="80" t="s">
        <v>460</v>
      </c>
      <c r="C94" s="227">
        <v>71.608999999999995</v>
      </c>
      <c r="D94" s="227">
        <v>68.888999999999996</v>
      </c>
      <c r="E94" s="227">
        <v>66.531000000000006</v>
      </c>
      <c r="F94" s="227">
        <v>65.001999999999995</v>
      </c>
      <c r="G94" s="227">
        <v>65.861000000000004</v>
      </c>
      <c r="H94" s="227">
        <v>65.884</v>
      </c>
      <c r="I94" s="227">
        <v>66.05</v>
      </c>
      <c r="J94" s="227">
        <v>66.334000000000003</v>
      </c>
      <c r="K94" s="227">
        <v>67.084000000000003</v>
      </c>
      <c r="L94" s="227">
        <v>66.236999999999995</v>
      </c>
      <c r="M94" s="227">
        <v>65.808000000000007</v>
      </c>
      <c r="N94" s="227">
        <v>67.337999999999994</v>
      </c>
      <c r="O94" s="227">
        <v>69.899000000000001</v>
      </c>
      <c r="P94" s="227">
        <v>71.662000000000006</v>
      </c>
      <c r="Q94" s="227">
        <v>73.790000000000006</v>
      </c>
      <c r="R94" s="227">
        <v>74.099000000000004</v>
      </c>
      <c r="S94" s="227">
        <v>71.010999999999996</v>
      </c>
      <c r="T94" s="227">
        <v>68.960999999999999</v>
      </c>
    </row>
    <row r="95" spans="1:22" ht="14.6" hidden="1" outlineLevel="1">
      <c r="A95" s="226" t="s">
        <v>430</v>
      </c>
      <c r="B95" s="80" t="s">
        <v>460</v>
      </c>
      <c r="C95" s="227">
        <v>60.972000000000001</v>
      </c>
      <c r="D95" s="227">
        <v>59.73</v>
      </c>
      <c r="E95" s="227">
        <v>57.502000000000002</v>
      </c>
      <c r="F95" s="227">
        <v>57.868000000000002</v>
      </c>
      <c r="G95" s="227">
        <v>57.030999999999999</v>
      </c>
      <c r="H95" s="227">
        <v>55.598999999999997</v>
      </c>
      <c r="I95" s="227">
        <v>56.02</v>
      </c>
      <c r="J95" s="227">
        <v>55.77</v>
      </c>
      <c r="K95" s="227">
        <v>58.290999999999997</v>
      </c>
      <c r="L95" s="227">
        <v>56.649000000000001</v>
      </c>
      <c r="M95" s="227">
        <v>56.545999999999999</v>
      </c>
      <c r="N95" s="227">
        <v>57.015999999999998</v>
      </c>
      <c r="O95" s="227">
        <v>61.323</v>
      </c>
      <c r="P95" s="227">
        <v>60.838999999999999</v>
      </c>
      <c r="Q95" s="227">
        <v>64.352999999999994</v>
      </c>
      <c r="R95" s="227">
        <v>63.722000000000001</v>
      </c>
      <c r="S95" s="227">
        <v>61.662999999999997</v>
      </c>
      <c r="T95" s="227">
        <v>58.953000000000003</v>
      </c>
    </row>
    <row r="96" spans="1:22" ht="14.6" hidden="1" outlineLevel="1">
      <c r="A96" s="226" t="s">
        <v>431</v>
      </c>
      <c r="B96" s="80" t="s">
        <v>460</v>
      </c>
      <c r="C96" s="227">
        <v>53.39</v>
      </c>
      <c r="D96" s="227">
        <v>50.962000000000003</v>
      </c>
      <c r="E96" s="227">
        <v>50.959000000000003</v>
      </c>
      <c r="F96" s="227">
        <v>47.68</v>
      </c>
      <c r="G96" s="227">
        <v>49.192999999999998</v>
      </c>
      <c r="H96" s="227">
        <v>48.701000000000001</v>
      </c>
      <c r="I96" s="227">
        <v>47.594999999999999</v>
      </c>
      <c r="J96" s="227">
        <v>47.22</v>
      </c>
      <c r="K96" s="227">
        <v>48.905000000000001</v>
      </c>
      <c r="L96" s="227">
        <v>47.423000000000002</v>
      </c>
      <c r="M96" s="227">
        <v>46.677999999999997</v>
      </c>
      <c r="N96" s="227">
        <v>48.938000000000002</v>
      </c>
      <c r="O96" s="227">
        <v>50.783999999999999</v>
      </c>
      <c r="P96" s="227">
        <v>53.09</v>
      </c>
      <c r="Q96" s="227">
        <v>57.024999999999999</v>
      </c>
      <c r="R96" s="227">
        <v>55.936999999999998</v>
      </c>
      <c r="S96" s="227">
        <v>53.692</v>
      </c>
      <c r="T96" s="227">
        <v>53.741</v>
      </c>
    </row>
    <row r="97" spans="1:20" ht="14.6" hidden="1" outlineLevel="1">
      <c r="A97" s="226" t="s">
        <v>432</v>
      </c>
      <c r="B97" s="80" t="s">
        <v>460</v>
      </c>
      <c r="C97" s="227">
        <v>85.54</v>
      </c>
      <c r="D97" s="227">
        <v>85.272999999999996</v>
      </c>
      <c r="E97" s="227">
        <v>83.192999999999998</v>
      </c>
      <c r="F97" s="227">
        <v>82.174000000000007</v>
      </c>
      <c r="G97" s="227">
        <v>79.576999999999998</v>
      </c>
      <c r="H97" s="227">
        <v>79.042000000000002</v>
      </c>
      <c r="I97" s="227">
        <v>77.593999999999994</v>
      </c>
      <c r="J97" s="227">
        <v>76.866</v>
      </c>
      <c r="K97" s="227">
        <v>78.081000000000003</v>
      </c>
      <c r="L97" s="227">
        <v>76.028000000000006</v>
      </c>
      <c r="M97" s="227">
        <v>75.587999999999994</v>
      </c>
      <c r="N97" s="227">
        <v>78.254000000000005</v>
      </c>
      <c r="O97" s="227">
        <v>85.674000000000007</v>
      </c>
      <c r="P97" s="227">
        <v>89.427999999999997</v>
      </c>
      <c r="Q97" s="227">
        <v>93.254000000000005</v>
      </c>
      <c r="R97" s="227">
        <v>94.025000000000006</v>
      </c>
      <c r="S97" s="227">
        <v>95.186000000000007</v>
      </c>
      <c r="T97" s="227">
        <v>95.805999999999997</v>
      </c>
    </row>
    <row r="98" spans="1:20" ht="14.6" hidden="1" outlineLevel="1">
      <c r="A98" s="226" t="s">
        <v>433</v>
      </c>
      <c r="B98" s="80" t="s">
        <v>460</v>
      </c>
      <c r="C98" s="227">
        <v>66.524000000000001</v>
      </c>
      <c r="D98" s="227">
        <v>65.3</v>
      </c>
      <c r="E98" s="227">
        <v>64.716999999999999</v>
      </c>
      <c r="F98" s="227">
        <v>62.27</v>
      </c>
      <c r="G98" s="227">
        <v>60.883000000000003</v>
      </c>
      <c r="H98" s="227">
        <v>57.487000000000002</v>
      </c>
      <c r="I98" s="227">
        <v>55.027999999999999</v>
      </c>
      <c r="J98" s="227">
        <v>56.058999999999997</v>
      </c>
      <c r="K98" s="227">
        <v>57.362000000000002</v>
      </c>
      <c r="L98" s="227">
        <v>56.256</v>
      </c>
      <c r="M98" s="227">
        <v>58.65</v>
      </c>
      <c r="N98" s="227">
        <v>60.143000000000001</v>
      </c>
      <c r="O98" s="227">
        <v>66.119</v>
      </c>
      <c r="P98" s="227">
        <v>74.042000000000002</v>
      </c>
      <c r="Q98" s="227">
        <v>80.825000000000003</v>
      </c>
      <c r="R98" s="227">
        <v>84.379000000000005</v>
      </c>
      <c r="S98" s="227">
        <v>84.745999999999995</v>
      </c>
      <c r="T98" s="227">
        <v>84.141000000000005</v>
      </c>
    </row>
    <row r="99" spans="1:20" ht="14.6" hidden="1" outlineLevel="1">
      <c r="A99" s="226" t="s">
        <v>434</v>
      </c>
      <c r="B99" s="80" t="s">
        <v>460</v>
      </c>
      <c r="C99" s="227">
        <v>193.43100000000001</v>
      </c>
      <c r="D99" s="227">
        <v>190.62100000000001</v>
      </c>
      <c r="E99" s="227">
        <v>176.125</v>
      </c>
      <c r="F99" s="227">
        <v>172.73099999999999</v>
      </c>
      <c r="G99" s="227">
        <v>162.69300000000001</v>
      </c>
      <c r="H99" s="227">
        <v>156.429</v>
      </c>
      <c r="I99" s="227">
        <v>150.02000000000001</v>
      </c>
      <c r="J99" s="227">
        <v>151.815</v>
      </c>
      <c r="K99" s="227">
        <v>155.58699999999999</v>
      </c>
      <c r="L99" s="227">
        <v>153.363</v>
      </c>
      <c r="M99" s="227">
        <v>163.75700000000001</v>
      </c>
      <c r="N99" s="227">
        <v>183.89099999999999</v>
      </c>
      <c r="O99" s="227">
        <v>213.82599999999999</v>
      </c>
      <c r="P99" s="227">
        <v>254.71199999999999</v>
      </c>
      <c r="Q99" s="227">
        <v>297.73</v>
      </c>
      <c r="R99" s="227">
        <v>325.08</v>
      </c>
      <c r="S99" s="227">
        <v>330.82799999999997</v>
      </c>
      <c r="T99" s="227">
        <v>318.90300000000002</v>
      </c>
    </row>
    <row r="100" spans="1:20" ht="14.6" hidden="1" outlineLevel="1">
      <c r="A100" s="226" t="s">
        <v>435</v>
      </c>
      <c r="B100" s="80" t="s">
        <v>460</v>
      </c>
      <c r="C100" s="227">
        <v>143.721</v>
      </c>
      <c r="D100" s="227">
        <v>135.34700000000001</v>
      </c>
      <c r="E100" s="227">
        <v>130.017</v>
      </c>
      <c r="F100" s="227">
        <v>121.483</v>
      </c>
      <c r="G100" s="227">
        <v>116.11199999999999</v>
      </c>
      <c r="H100" s="227">
        <v>111.202</v>
      </c>
      <c r="I100" s="227">
        <v>107.084</v>
      </c>
      <c r="J100" s="227">
        <v>115.748</v>
      </c>
      <c r="K100" s="227">
        <v>119.506</v>
      </c>
      <c r="L100" s="227">
        <v>124.559</v>
      </c>
      <c r="M100" s="227">
        <v>139.19499999999999</v>
      </c>
      <c r="N100" s="227">
        <v>172.78</v>
      </c>
      <c r="O100" s="227">
        <v>236.613</v>
      </c>
      <c r="P100" s="227">
        <v>318.512</v>
      </c>
      <c r="Q100" s="227">
        <v>387.44600000000003</v>
      </c>
      <c r="R100" s="227">
        <v>428.48599999999999</v>
      </c>
      <c r="S100" s="227">
        <v>361.38900000000001</v>
      </c>
      <c r="T100" s="227">
        <v>304.19200000000001</v>
      </c>
    </row>
    <row r="101" spans="1:20" ht="14.6" hidden="1" outlineLevel="1">
      <c r="A101" s="226" t="s">
        <v>436</v>
      </c>
      <c r="B101" s="80" t="s">
        <v>460</v>
      </c>
      <c r="C101" s="227">
        <v>103.34699999999999</v>
      </c>
      <c r="D101" s="227">
        <v>100.30200000000001</v>
      </c>
      <c r="E101" s="227">
        <v>95.605999999999995</v>
      </c>
      <c r="F101" s="227">
        <v>95.557000000000002</v>
      </c>
      <c r="G101" s="227">
        <v>91.103999999999999</v>
      </c>
      <c r="H101" s="227">
        <v>84.465999999999994</v>
      </c>
      <c r="I101" s="227">
        <v>85.287999999999997</v>
      </c>
      <c r="J101" s="227">
        <v>95.86</v>
      </c>
      <c r="K101" s="227">
        <v>89.721999999999994</v>
      </c>
      <c r="L101" s="227">
        <v>96.870999999999995</v>
      </c>
      <c r="M101" s="227">
        <v>118.404</v>
      </c>
      <c r="N101" s="227">
        <v>163.06399999999999</v>
      </c>
      <c r="O101" s="227">
        <v>263.024</v>
      </c>
      <c r="P101" s="227">
        <v>351.88900000000001</v>
      </c>
      <c r="Q101" s="227">
        <v>450.423</v>
      </c>
      <c r="R101" s="227">
        <v>476.71699999999998</v>
      </c>
      <c r="S101" s="227">
        <v>344.62200000000001</v>
      </c>
      <c r="T101" s="227">
        <v>325</v>
      </c>
    </row>
    <row r="102" spans="1:20" ht="14.6" hidden="1" outlineLevel="1">
      <c r="A102" s="226" t="s">
        <v>437</v>
      </c>
      <c r="B102" s="80" t="s">
        <v>460</v>
      </c>
      <c r="C102" s="227">
        <v>86.649000000000001</v>
      </c>
      <c r="D102" s="227">
        <v>83.004000000000005</v>
      </c>
      <c r="E102" s="227">
        <v>72.513999999999996</v>
      </c>
      <c r="F102" s="227">
        <v>72.385000000000005</v>
      </c>
      <c r="G102" s="227">
        <v>73.343999999999994</v>
      </c>
      <c r="H102" s="227">
        <v>65.891999999999996</v>
      </c>
      <c r="I102" s="227">
        <v>69.930999999999997</v>
      </c>
      <c r="J102" s="227">
        <v>79.686000000000007</v>
      </c>
      <c r="K102" s="227">
        <v>76.552999999999997</v>
      </c>
      <c r="L102" s="227">
        <v>67.018000000000001</v>
      </c>
      <c r="M102" s="227">
        <v>86.674999999999997</v>
      </c>
      <c r="N102" s="227">
        <v>108.226</v>
      </c>
      <c r="O102" s="227">
        <v>172.18299999999999</v>
      </c>
      <c r="P102" s="227">
        <v>246.42099999999999</v>
      </c>
      <c r="Q102" s="227">
        <v>342.34300000000002</v>
      </c>
      <c r="R102" s="227">
        <v>387.63900000000001</v>
      </c>
      <c r="S102" s="227">
        <v>347.036</v>
      </c>
      <c r="T102" s="227">
        <v>439.90300000000002</v>
      </c>
    </row>
    <row r="103" spans="1:20" ht="14.6" hidden="1" outlineLevel="1">
      <c r="A103" s="226" t="s">
        <v>438</v>
      </c>
      <c r="B103" s="80" t="s">
        <v>460</v>
      </c>
      <c r="C103" s="227">
        <v>82.238</v>
      </c>
      <c r="D103" s="227">
        <v>70.620999999999995</v>
      </c>
      <c r="E103" s="227">
        <v>67.272000000000006</v>
      </c>
      <c r="F103" s="227">
        <v>64.501000000000005</v>
      </c>
      <c r="G103" s="227">
        <v>57.786000000000001</v>
      </c>
      <c r="H103" s="227">
        <v>61.692999999999998</v>
      </c>
      <c r="I103" s="227">
        <v>56.898000000000003</v>
      </c>
      <c r="J103" s="227">
        <v>55.37</v>
      </c>
      <c r="K103" s="227">
        <v>59.741</v>
      </c>
      <c r="L103" s="227">
        <v>59.15</v>
      </c>
      <c r="M103" s="227">
        <v>55.918999999999997</v>
      </c>
      <c r="N103" s="227">
        <v>69.210999999999999</v>
      </c>
      <c r="O103" s="227">
        <v>87.972999999999999</v>
      </c>
      <c r="P103" s="227">
        <v>99.736000000000004</v>
      </c>
      <c r="Q103" s="227">
        <v>129.52799999999999</v>
      </c>
      <c r="R103" s="227">
        <v>159.041</v>
      </c>
      <c r="S103" s="227">
        <v>162.524</v>
      </c>
      <c r="T103" s="227">
        <v>267.51100000000002</v>
      </c>
    </row>
    <row r="104" spans="1:20" ht="14.6" hidden="1" outlineLevel="1">
      <c r="A104" s="226" t="s">
        <v>439</v>
      </c>
      <c r="B104" s="80" t="s">
        <v>460</v>
      </c>
      <c r="C104" s="227">
        <v>56.526000000000003</v>
      </c>
      <c r="D104" s="227">
        <v>43.631999999999998</v>
      </c>
      <c r="E104" s="227">
        <v>47.572000000000003</v>
      </c>
      <c r="F104" s="227">
        <v>46.405000000000001</v>
      </c>
      <c r="G104" s="227">
        <v>52.588000000000001</v>
      </c>
      <c r="H104" s="227">
        <v>56.006</v>
      </c>
      <c r="I104" s="227">
        <v>69.147999999999996</v>
      </c>
      <c r="J104" s="227">
        <v>60.28</v>
      </c>
      <c r="K104" s="227">
        <v>50.838999999999999</v>
      </c>
      <c r="L104" s="227">
        <v>58.523000000000003</v>
      </c>
      <c r="M104" s="227">
        <v>54.131999999999998</v>
      </c>
      <c r="N104" s="227">
        <v>59.853999999999999</v>
      </c>
      <c r="O104" s="227">
        <v>60.015000000000001</v>
      </c>
      <c r="P104" s="227">
        <v>61.795999999999999</v>
      </c>
      <c r="Q104" s="227">
        <v>68.816999999999993</v>
      </c>
      <c r="R104" s="227">
        <v>64.94</v>
      </c>
      <c r="S104" s="227">
        <v>70.795000000000002</v>
      </c>
      <c r="T104" s="227">
        <v>85.149000000000001</v>
      </c>
    </row>
    <row r="105" spans="1:20" ht="14.6" hidden="1" outlineLevel="1">
      <c r="A105" s="226" t="s">
        <v>440</v>
      </c>
      <c r="B105" s="80" t="s">
        <v>460</v>
      </c>
      <c r="C105" s="227">
        <v>53.648000000000003</v>
      </c>
      <c r="D105" s="227">
        <v>50.585999999999999</v>
      </c>
      <c r="E105" s="227">
        <v>63.613999999999997</v>
      </c>
      <c r="F105" s="227">
        <v>73.7</v>
      </c>
      <c r="G105" s="227">
        <v>86.796999999999997</v>
      </c>
      <c r="H105" s="227">
        <v>76.441000000000003</v>
      </c>
      <c r="I105" s="227">
        <v>87.858000000000004</v>
      </c>
      <c r="J105" s="227">
        <v>82.22</v>
      </c>
      <c r="K105" s="227">
        <v>72.480999999999995</v>
      </c>
      <c r="L105" s="227">
        <v>80.582999999999998</v>
      </c>
      <c r="M105" s="227">
        <v>80.313000000000002</v>
      </c>
      <c r="N105" s="227">
        <v>96.27</v>
      </c>
      <c r="O105" s="227">
        <v>93.236000000000004</v>
      </c>
      <c r="P105" s="227">
        <v>85.706999999999994</v>
      </c>
      <c r="Q105" s="227">
        <v>86.016000000000005</v>
      </c>
      <c r="R105" s="227">
        <v>75.789000000000001</v>
      </c>
      <c r="S105" s="227">
        <v>103.18300000000001</v>
      </c>
      <c r="T105" s="227">
        <v>109.765</v>
      </c>
    </row>
    <row r="106" spans="1:20" ht="14.6" hidden="1" outlineLevel="1">
      <c r="A106" s="226" t="s">
        <v>441</v>
      </c>
      <c r="B106" s="80" t="s">
        <v>460</v>
      </c>
      <c r="C106" s="227">
        <v>71.69</v>
      </c>
      <c r="D106" s="227">
        <v>110.828</v>
      </c>
      <c r="E106" s="227">
        <v>117.02500000000001</v>
      </c>
      <c r="F106" s="227">
        <v>133.57499999999999</v>
      </c>
      <c r="G106" s="227">
        <v>131.137</v>
      </c>
      <c r="H106" s="227">
        <v>99.06</v>
      </c>
      <c r="I106" s="227">
        <v>102.68899999999999</v>
      </c>
      <c r="J106" s="227">
        <v>110.389</v>
      </c>
      <c r="K106" s="227">
        <v>86.757999999999996</v>
      </c>
      <c r="L106" s="227">
        <v>107.727</v>
      </c>
      <c r="M106" s="227">
        <v>101.31399999999999</v>
      </c>
      <c r="N106" s="227">
        <v>89.129000000000005</v>
      </c>
      <c r="O106" s="227">
        <v>104.536</v>
      </c>
      <c r="P106" s="227">
        <v>106.239</v>
      </c>
      <c r="Q106" s="227">
        <v>131.066</v>
      </c>
      <c r="R106" s="227">
        <v>163.19999999999999</v>
      </c>
      <c r="S106" s="227">
        <v>180.48599999999999</v>
      </c>
      <c r="T106" s="227">
        <v>199.39699999999999</v>
      </c>
    </row>
    <row r="107" spans="1:20" ht="14.6" hidden="1" outlineLevel="1">
      <c r="A107" s="226" t="s">
        <v>442</v>
      </c>
      <c r="B107" s="80" t="s">
        <v>460</v>
      </c>
      <c r="C107" s="227">
        <v>112.32599999999999</v>
      </c>
      <c r="D107" s="227">
        <v>109.38200000000001</v>
      </c>
      <c r="E107" s="227">
        <v>118.511</v>
      </c>
      <c r="F107" s="227">
        <v>103.298</v>
      </c>
      <c r="G107" s="227">
        <v>75.572000000000003</v>
      </c>
      <c r="H107" s="227">
        <v>81.236000000000004</v>
      </c>
      <c r="I107" s="227">
        <v>66.251000000000005</v>
      </c>
      <c r="J107" s="227">
        <v>44.48</v>
      </c>
      <c r="K107" s="227">
        <v>60.863999999999997</v>
      </c>
      <c r="L107" s="227">
        <v>176.48699999999999</v>
      </c>
      <c r="M107" s="227">
        <v>183.92699999999999</v>
      </c>
      <c r="N107" s="227">
        <v>93.727000000000004</v>
      </c>
      <c r="O107" s="227">
        <v>71.911000000000001</v>
      </c>
      <c r="P107" s="227">
        <v>69.168000000000006</v>
      </c>
      <c r="Q107" s="227">
        <v>96.733999999999995</v>
      </c>
      <c r="R107" s="227">
        <v>124.645</v>
      </c>
      <c r="S107" s="227">
        <v>119.03400000000001</v>
      </c>
      <c r="T107" s="227">
        <v>141.542</v>
      </c>
    </row>
    <row r="108" spans="1:20" ht="14.6" hidden="1" outlineLevel="1">
      <c r="A108" s="226" t="s">
        <v>420</v>
      </c>
      <c r="B108" s="80" t="s">
        <v>462</v>
      </c>
      <c r="C108" s="227">
        <v>5.1079999999999997</v>
      </c>
      <c r="D108" s="227">
        <v>5.52</v>
      </c>
      <c r="E108" s="227">
        <v>5.3780000000000001</v>
      </c>
      <c r="F108" s="227">
        <v>5.4119999999999999</v>
      </c>
      <c r="G108" s="227">
        <v>5.516</v>
      </c>
      <c r="H108" s="227">
        <v>5.8010000000000002</v>
      </c>
      <c r="I108" s="227">
        <v>5.9320000000000004</v>
      </c>
      <c r="J108" s="227">
        <v>5.4909999999999997</v>
      </c>
      <c r="K108" s="227">
        <v>6.4169999999999998</v>
      </c>
      <c r="L108" s="227">
        <v>6.46</v>
      </c>
      <c r="M108" s="227">
        <v>7.4130000000000003</v>
      </c>
      <c r="N108" s="227">
        <v>7.431</v>
      </c>
      <c r="O108" s="227">
        <v>7.5380000000000003</v>
      </c>
      <c r="P108" s="227">
        <v>7.5819999999999999</v>
      </c>
      <c r="Q108" s="227">
        <v>7.9909999999999997</v>
      </c>
      <c r="R108" s="227">
        <v>7.5430000000000001</v>
      </c>
      <c r="S108" s="227">
        <v>7.2290000000000001</v>
      </c>
      <c r="T108" s="227">
        <v>6.2850000000000001</v>
      </c>
    </row>
    <row r="109" spans="1:20" ht="14.6" hidden="1" outlineLevel="1">
      <c r="A109" s="226" t="s">
        <v>422</v>
      </c>
      <c r="B109" s="80" t="s">
        <v>462</v>
      </c>
      <c r="C109" s="227">
        <v>8.8330000000000002</v>
      </c>
      <c r="D109" s="227">
        <v>9.0039999999999996</v>
      </c>
      <c r="E109" s="227">
        <v>9.3800000000000008</v>
      </c>
      <c r="F109" s="227">
        <v>9.0410000000000004</v>
      </c>
      <c r="G109" s="227">
        <v>9.141</v>
      </c>
      <c r="H109" s="227">
        <v>9.2509999999999994</v>
      </c>
      <c r="I109" s="227">
        <v>9.4499999999999993</v>
      </c>
      <c r="J109" s="227">
        <v>9.25</v>
      </c>
      <c r="K109" s="227">
        <v>10.891</v>
      </c>
      <c r="L109" s="227">
        <v>10.257</v>
      </c>
      <c r="M109" s="227">
        <v>10.616</v>
      </c>
      <c r="N109" s="227">
        <v>11.031000000000001</v>
      </c>
      <c r="O109" s="227">
        <v>11.308999999999999</v>
      </c>
      <c r="P109" s="227">
        <v>11.253</v>
      </c>
      <c r="Q109" s="227">
        <v>11.467000000000001</v>
      </c>
      <c r="R109" s="227">
        <v>10.877000000000001</v>
      </c>
      <c r="S109" s="227">
        <v>10.253</v>
      </c>
      <c r="T109" s="227">
        <v>9.5340000000000007</v>
      </c>
    </row>
    <row r="110" spans="1:20" ht="14.6" hidden="1" outlineLevel="1">
      <c r="A110" s="226" t="s">
        <v>423</v>
      </c>
      <c r="B110" s="80" t="s">
        <v>462</v>
      </c>
      <c r="C110" s="227">
        <v>20.67</v>
      </c>
      <c r="D110" s="227">
        <v>20.628</v>
      </c>
      <c r="E110" s="227">
        <v>20.786000000000001</v>
      </c>
      <c r="F110" s="227">
        <v>21.332999999999998</v>
      </c>
      <c r="G110" s="227">
        <v>21.28</v>
      </c>
      <c r="H110" s="227">
        <v>22.064</v>
      </c>
      <c r="I110" s="227">
        <v>22.138000000000002</v>
      </c>
      <c r="J110" s="227">
        <v>22.591000000000001</v>
      </c>
      <c r="K110" s="227">
        <v>24.635999999999999</v>
      </c>
      <c r="L110" s="227">
        <v>24.696999999999999</v>
      </c>
      <c r="M110" s="227">
        <v>24.658999999999999</v>
      </c>
      <c r="N110" s="227">
        <v>25.864999999999998</v>
      </c>
      <c r="O110" s="227">
        <v>26.635000000000002</v>
      </c>
      <c r="P110" s="227">
        <v>26.443999999999999</v>
      </c>
      <c r="Q110" s="227">
        <v>27.064</v>
      </c>
      <c r="R110" s="227">
        <v>26.606999999999999</v>
      </c>
      <c r="S110" s="227">
        <v>25.64</v>
      </c>
      <c r="T110" s="227">
        <v>24.849</v>
      </c>
    </row>
    <row r="111" spans="1:20" ht="14.6" hidden="1" outlineLevel="1">
      <c r="A111" s="226" t="s">
        <v>424</v>
      </c>
      <c r="B111" s="80" t="s">
        <v>462</v>
      </c>
      <c r="C111" s="227">
        <v>23.052</v>
      </c>
      <c r="D111" s="227">
        <v>23.440999999999999</v>
      </c>
      <c r="E111" s="227">
        <v>24.402000000000001</v>
      </c>
      <c r="F111" s="227">
        <v>23.716000000000001</v>
      </c>
      <c r="G111" s="227">
        <v>24.234999999999999</v>
      </c>
      <c r="H111" s="227">
        <v>25.192</v>
      </c>
      <c r="I111" s="227">
        <v>26.895</v>
      </c>
      <c r="J111" s="227">
        <v>27.253</v>
      </c>
      <c r="K111" s="227">
        <v>29.003</v>
      </c>
      <c r="L111" s="227">
        <v>28.811</v>
      </c>
      <c r="M111" s="227">
        <v>29.702999999999999</v>
      </c>
      <c r="N111" s="227">
        <v>29.658000000000001</v>
      </c>
      <c r="O111" s="227">
        <v>30.32</v>
      </c>
      <c r="P111" s="227">
        <v>30.628</v>
      </c>
      <c r="Q111" s="227">
        <v>31.629000000000001</v>
      </c>
      <c r="R111" s="227">
        <v>31.774999999999999</v>
      </c>
      <c r="S111" s="227">
        <v>31.145</v>
      </c>
      <c r="T111" s="227">
        <v>29.995000000000001</v>
      </c>
    </row>
    <row r="112" spans="1:20" ht="14.6" hidden="1" outlineLevel="1">
      <c r="A112" s="226" t="s">
        <v>425</v>
      </c>
      <c r="B112" s="80" t="s">
        <v>462</v>
      </c>
      <c r="C112" s="227">
        <v>24.818000000000001</v>
      </c>
      <c r="D112" s="227">
        <v>25.788</v>
      </c>
      <c r="E112" s="227">
        <v>24.846</v>
      </c>
      <c r="F112" s="227">
        <v>25.666</v>
      </c>
      <c r="G112" s="227">
        <v>25.645</v>
      </c>
      <c r="H112" s="227">
        <v>26.108000000000001</v>
      </c>
      <c r="I112" s="227">
        <v>27.585999999999999</v>
      </c>
      <c r="J112" s="227">
        <v>27.498000000000001</v>
      </c>
      <c r="K112" s="227">
        <v>27.888000000000002</v>
      </c>
      <c r="L112" s="227">
        <v>27.635999999999999</v>
      </c>
      <c r="M112" s="227">
        <v>29.146999999999998</v>
      </c>
      <c r="N112" s="227">
        <v>29.492000000000001</v>
      </c>
      <c r="O112" s="227">
        <v>29.771000000000001</v>
      </c>
      <c r="P112" s="227">
        <v>30.654</v>
      </c>
      <c r="Q112" s="227">
        <v>31.792999999999999</v>
      </c>
      <c r="R112" s="227">
        <v>32.073</v>
      </c>
      <c r="S112" s="227">
        <v>31.303999999999998</v>
      </c>
      <c r="T112" s="227">
        <v>30.603000000000002</v>
      </c>
    </row>
    <row r="113" spans="1:20" ht="14.6" hidden="1" outlineLevel="1">
      <c r="A113" s="226" t="s">
        <v>426</v>
      </c>
      <c r="B113" s="80" t="s">
        <v>462</v>
      </c>
      <c r="C113" s="227">
        <v>24.838000000000001</v>
      </c>
      <c r="D113" s="227">
        <v>25.094000000000001</v>
      </c>
      <c r="E113" s="227">
        <v>24.856999999999999</v>
      </c>
      <c r="F113" s="227">
        <v>24.15</v>
      </c>
      <c r="G113" s="227">
        <v>24.370999999999999</v>
      </c>
      <c r="H113" s="227">
        <v>24.768999999999998</v>
      </c>
      <c r="I113" s="227">
        <v>24.568999999999999</v>
      </c>
      <c r="J113" s="227">
        <v>25.385000000000002</v>
      </c>
      <c r="K113" s="227">
        <v>25.875</v>
      </c>
      <c r="L113" s="227">
        <v>26.663</v>
      </c>
      <c r="M113" s="227">
        <v>26.268999999999998</v>
      </c>
      <c r="N113" s="227">
        <v>27.526</v>
      </c>
      <c r="O113" s="227">
        <v>28.594999999999999</v>
      </c>
      <c r="P113" s="227">
        <v>29.026</v>
      </c>
      <c r="Q113" s="227">
        <v>30.260999999999999</v>
      </c>
      <c r="R113" s="227">
        <v>30.440999999999999</v>
      </c>
      <c r="S113" s="227">
        <v>31.2</v>
      </c>
      <c r="T113" s="227">
        <v>29.061</v>
      </c>
    </row>
    <row r="114" spans="1:20" ht="14.6" hidden="1" outlineLevel="1">
      <c r="A114" s="226" t="s">
        <v>427</v>
      </c>
      <c r="B114" s="80" t="s">
        <v>462</v>
      </c>
      <c r="C114" s="227">
        <v>22.634</v>
      </c>
      <c r="D114" s="227">
        <v>22.527999999999999</v>
      </c>
      <c r="E114" s="227">
        <v>22.286999999999999</v>
      </c>
      <c r="F114" s="227">
        <v>22.138999999999999</v>
      </c>
      <c r="G114" s="227">
        <v>21.934999999999999</v>
      </c>
      <c r="H114" s="227">
        <v>22.75</v>
      </c>
      <c r="I114" s="227">
        <v>23.436</v>
      </c>
      <c r="J114" s="227">
        <v>23.062000000000001</v>
      </c>
      <c r="K114" s="227">
        <v>24.126999999999999</v>
      </c>
      <c r="L114" s="227">
        <v>23.058</v>
      </c>
      <c r="M114" s="227">
        <v>24.940999999999999</v>
      </c>
      <c r="N114" s="227">
        <v>25.731000000000002</v>
      </c>
      <c r="O114" s="227">
        <v>27.486000000000001</v>
      </c>
      <c r="P114" s="227">
        <v>27.984000000000002</v>
      </c>
      <c r="Q114" s="227">
        <v>28.666</v>
      </c>
      <c r="R114" s="227">
        <v>28.884</v>
      </c>
      <c r="S114" s="227">
        <v>29.393000000000001</v>
      </c>
      <c r="T114" s="227">
        <v>28.48</v>
      </c>
    </row>
    <row r="115" spans="1:20" ht="14.6" hidden="1" outlineLevel="1">
      <c r="A115" s="226" t="s">
        <v>428</v>
      </c>
      <c r="B115" s="80" t="s">
        <v>462</v>
      </c>
      <c r="C115" s="227">
        <v>28.791</v>
      </c>
      <c r="D115" s="227">
        <v>28.812000000000001</v>
      </c>
      <c r="E115" s="227">
        <v>29.067</v>
      </c>
      <c r="F115" s="227">
        <v>27.738</v>
      </c>
      <c r="G115" s="227">
        <v>28.712</v>
      </c>
      <c r="H115" s="227">
        <v>29.812999999999999</v>
      </c>
      <c r="I115" s="227">
        <v>30.652999999999999</v>
      </c>
      <c r="J115" s="227">
        <v>30.916</v>
      </c>
      <c r="K115" s="227">
        <v>31.465</v>
      </c>
      <c r="L115" s="227">
        <v>31.975999999999999</v>
      </c>
      <c r="M115" s="227">
        <v>33.908000000000001</v>
      </c>
      <c r="N115" s="227">
        <v>35.073</v>
      </c>
      <c r="O115" s="227">
        <v>37.96</v>
      </c>
      <c r="P115" s="227">
        <v>38.558</v>
      </c>
      <c r="Q115" s="227">
        <v>40.442</v>
      </c>
      <c r="R115" s="227">
        <v>41.9</v>
      </c>
      <c r="S115" s="227">
        <v>42.603000000000002</v>
      </c>
      <c r="T115" s="227">
        <v>40.814</v>
      </c>
    </row>
    <row r="116" spans="1:20" ht="14.6" hidden="1" outlineLevel="1">
      <c r="A116" s="226" t="s">
        <v>429</v>
      </c>
      <c r="B116" s="80" t="s">
        <v>462</v>
      </c>
      <c r="C116" s="227">
        <v>43.902999999999999</v>
      </c>
      <c r="D116" s="227">
        <v>43.713999999999999</v>
      </c>
      <c r="E116" s="227">
        <v>42.3</v>
      </c>
      <c r="F116" s="227">
        <v>41.255000000000003</v>
      </c>
      <c r="G116" s="227">
        <v>42.738999999999997</v>
      </c>
      <c r="H116" s="227">
        <v>43.185000000000002</v>
      </c>
      <c r="I116" s="227">
        <v>42.604999999999997</v>
      </c>
      <c r="J116" s="227">
        <v>43.78</v>
      </c>
      <c r="K116" s="227">
        <v>45.85</v>
      </c>
      <c r="L116" s="227">
        <v>46.756</v>
      </c>
      <c r="M116" s="227">
        <v>47.737000000000002</v>
      </c>
      <c r="N116" s="227">
        <v>52.578000000000003</v>
      </c>
      <c r="O116" s="227">
        <v>56.966999999999999</v>
      </c>
      <c r="P116" s="227">
        <v>60.43</v>
      </c>
      <c r="Q116" s="227">
        <v>62.920999999999999</v>
      </c>
      <c r="R116" s="227">
        <v>65.275000000000006</v>
      </c>
      <c r="S116" s="227">
        <v>64.769000000000005</v>
      </c>
      <c r="T116" s="227">
        <v>64.650999999999996</v>
      </c>
    </row>
    <row r="117" spans="1:20" ht="14.6" hidden="1" outlineLevel="1">
      <c r="A117" s="226" t="s">
        <v>430</v>
      </c>
      <c r="B117" s="80" t="s">
        <v>462</v>
      </c>
      <c r="C117" s="227">
        <v>37.046999999999997</v>
      </c>
      <c r="D117" s="227">
        <v>36.945999999999998</v>
      </c>
      <c r="E117" s="227">
        <v>37.259</v>
      </c>
      <c r="F117" s="227">
        <v>37.125</v>
      </c>
      <c r="G117" s="227">
        <v>37.103000000000002</v>
      </c>
      <c r="H117" s="227">
        <v>36.96</v>
      </c>
      <c r="I117" s="227">
        <v>38.048999999999999</v>
      </c>
      <c r="J117" s="227">
        <v>38.4</v>
      </c>
      <c r="K117" s="227">
        <v>40.47</v>
      </c>
      <c r="L117" s="227">
        <v>41.652999999999999</v>
      </c>
      <c r="M117" s="227">
        <v>42.276000000000003</v>
      </c>
      <c r="N117" s="227">
        <v>45.48</v>
      </c>
      <c r="O117" s="227">
        <v>51.332999999999998</v>
      </c>
      <c r="P117" s="227">
        <v>51.188000000000002</v>
      </c>
      <c r="Q117" s="227">
        <v>56.890999999999998</v>
      </c>
      <c r="R117" s="227">
        <v>62.18</v>
      </c>
      <c r="S117" s="227">
        <v>60.683999999999997</v>
      </c>
      <c r="T117" s="227">
        <v>62.161000000000001</v>
      </c>
    </row>
    <row r="118" spans="1:20" ht="14.6" hidden="1" outlineLevel="1">
      <c r="A118" s="226" t="s">
        <v>431</v>
      </c>
      <c r="B118" s="80" t="s">
        <v>462</v>
      </c>
      <c r="C118" s="227">
        <v>30.942</v>
      </c>
      <c r="D118" s="227">
        <v>31.395</v>
      </c>
      <c r="E118" s="227">
        <v>32.072000000000003</v>
      </c>
      <c r="F118" s="227">
        <v>30.384</v>
      </c>
      <c r="G118" s="227">
        <v>33.295000000000002</v>
      </c>
      <c r="H118" s="227">
        <v>32.466999999999999</v>
      </c>
      <c r="I118" s="227">
        <v>32.966000000000001</v>
      </c>
      <c r="J118" s="227">
        <v>33.777999999999999</v>
      </c>
      <c r="K118" s="227">
        <v>35.253</v>
      </c>
      <c r="L118" s="227">
        <v>34.892000000000003</v>
      </c>
      <c r="M118" s="227">
        <v>36.637</v>
      </c>
      <c r="N118" s="227">
        <v>41.192</v>
      </c>
      <c r="O118" s="227">
        <v>45.279000000000003</v>
      </c>
      <c r="P118" s="227">
        <v>48.338999999999999</v>
      </c>
      <c r="Q118" s="227">
        <v>52.38</v>
      </c>
      <c r="R118" s="227">
        <v>55.185000000000002</v>
      </c>
      <c r="S118" s="227">
        <v>57.226999999999997</v>
      </c>
      <c r="T118" s="227">
        <v>57.616999999999997</v>
      </c>
    </row>
    <row r="119" spans="1:20" ht="14.6" hidden="1" outlineLevel="1">
      <c r="A119" s="226" t="s">
        <v>432</v>
      </c>
      <c r="B119" s="80" t="s">
        <v>462</v>
      </c>
      <c r="C119" s="227">
        <v>51.460999999999999</v>
      </c>
      <c r="D119" s="227">
        <v>53.658000000000001</v>
      </c>
      <c r="E119" s="227">
        <v>51.731999999999999</v>
      </c>
      <c r="F119" s="227">
        <v>51.445999999999998</v>
      </c>
      <c r="G119" s="227">
        <v>51.119</v>
      </c>
      <c r="H119" s="227">
        <v>54.241999999999997</v>
      </c>
      <c r="I119" s="227">
        <v>55.018999999999998</v>
      </c>
      <c r="J119" s="227">
        <v>54.985999999999997</v>
      </c>
      <c r="K119" s="227">
        <v>58.917999999999999</v>
      </c>
      <c r="L119" s="227">
        <v>59.762</v>
      </c>
      <c r="M119" s="227">
        <v>60.869</v>
      </c>
      <c r="N119" s="227">
        <v>68.23</v>
      </c>
      <c r="O119" s="227">
        <v>78.343000000000004</v>
      </c>
      <c r="P119" s="227">
        <v>86.688000000000002</v>
      </c>
      <c r="Q119" s="227">
        <v>97.147000000000006</v>
      </c>
      <c r="R119" s="227">
        <v>103.09399999999999</v>
      </c>
      <c r="S119" s="227">
        <v>112.705</v>
      </c>
      <c r="T119" s="227">
        <v>118.184</v>
      </c>
    </row>
    <row r="120" spans="1:20" ht="14.6" hidden="1" outlineLevel="1">
      <c r="A120" s="226" t="s">
        <v>433</v>
      </c>
      <c r="B120" s="80" t="s">
        <v>462</v>
      </c>
      <c r="C120" s="227">
        <v>42.276000000000003</v>
      </c>
      <c r="D120" s="227">
        <v>44.771999999999998</v>
      </c>
      <c r="E120" s="227">
        <v>44.003</v>
      </c>
      <c r="F120" s="227">
        <v>42.956000000000003</v>
      </c>
      <c r="G120" s="227">
        <v>41.753</v>
      </c>
      <c r="H120" s="227">
        <v>41.468000000000004</v>
      </c>
      <c r="I120" s="227">
        <v>41.722000000000001</v>
      </c>
      <c r="J120" s="227">
        <v>44.3</v>
      </c>
      <c r="K120" s="227">
        <v>44.521999999999998</v>
      </c>
      <c r="L120" s="227">
        <v>44.765999999999998</v>
      </c>
      <c r="M120" s="227">
        <v>50.338000000000001</v>
      </c>
      <c r="N120" s="227">
        <v>54.819000000000003</v>
      </c>
      <c r="O120" s="227">
        <v>64.153999999999996</v>
      </c>
      <c r="P120" s="227">
        <v>74.897000000000006</v>
      </c>
      <c r="Q120" s="227">
        <v>86.123999999999995</v>
      </c>
      <c r="R120" s="227">
        <v>101.596</v>
      </c>
      <c r="S120" s="227">
        <v>109.527</v>
      </c>
      <c r="T120" s="227">
        <v>114.241</v>
      </c>
    </row>
    <row r="121" spans="1:20" ht="14.6" hidden="1" outlineLevel="1">
      <c r="A121" s="226" t="s">
        <v>434</v>
      </c>
      <c r="B121" s="80" t="s">
        <v>462</v>
      </c>
      <c r="C121" s="227">
        <v>141.203</v>
      </c>
      <c r="D121" s="227">
        <v>143.62</v>
      </c>
      <c r="E121" s="227">
        <v>133.34100000000001</v>
      </c>
      <c r="F121" s="227">
        <v>127.727</v>
      </c>
      <c r="G121" s="227">
        <v>122.7</v>
      </c>
      <c r="H121" s="227">
        <v>120.209</v>
      </c>
      <c r="I121" s="227">
        <v>116.122</v>
      </c>
      <c r="J121" s="227">
        <v>121.42400000000001</v>
      </c>
      <c r="K121" s="227">
        <v>132.21700000000001</v>
      </c>
      <c r="L121" s="227">
        <v>132.625</v>
      </c>
      <c r="M121" s="227">
        <v>153.714</v>
      </c>
      <c r="N121" s="227">
        <v>183.732</v>
      </c>
      <c r="O121" s="227">
        <v>232.16300000000001</v>
      </c>
      <c r="P121" s="227">
        <v>305.17599999999999</v>
      </c>
      <c r="Q121" s="227">
        <v>384.34</v>
      </c>
      <c r="R121" s="227">
        <v>445.89800000000002</v>
      </c>
      <c r="S121" s="227">
        <v>491.24</v>
      </c>
      <c r="T121" s="227">
        <v>491.86900000000003</v>
      </c>
    </row>
    <row r="122" spans="1:20" ht="14.6" hidden="1" outlineLevel="1">
      <c r="A122" s="226" t="s">
        <v>435</v>
      </c>
      <c r="B122" s="80" t="s">
        <v>462</v>
      </c>
      <c r="C122" s="227">
        <v>128.89500000000001</v>
      </c>
      <c r="D122" s="227">
        <v>124.84099999999999</v>
      </c>
      <c r="E122" s="227">
        <v>112.79300000000001</v>
      </c>
      <c r="F122" s="227">
        <v>106.226</v>
      </c>
      <c r="G122" s="227">
        <v>101.875</v>
      </c>
      <c r="H122" s="227">
        <v>95.463999999999999</v>
      </c>
      <c r="I122" s="227">
        <v>95.465999999999994</v>
      </c>
      <c r="J122" s="227">
        <v>108.852</v>
      </c>
      <c r="K122" s="227">
        <v>110.96899999999999</v>
      </c>
      <c r="L122" s="227">
        <v>116.57299999999999</v>
      </c>
      <c r="M122" s="227">
        <v>128.46799999999999</v>
      </c>
      <c r="N122" s="227">
        <v>181.048</v>
      </c>
      <c r="O122" s="227">
        <v>282.23700000000002</v>
      </c>
      <c r="P122" s="227">
        <v>420.32900000000001</v>
      </c>
      <c r="Q122" s="227">
        <v>554.74099999999999</v>
      </c>
      <c r="R122" s="227">
        <v>658.03200000000004</v>
      </c>
      <c r="S122" s="227">
        <v>615.19799999999998</v>
      </c>
      <c r="T122" s="227">
        <v>532.44799999999998</v>
      </c>
    </row>
    <row r="123" spans="1:20" ht="14.6" hidden="1" outlineLevel="1">
      <c r="A123" s="226" t="s">
        <v>436</v>
      </c>
      <c r="B123" s="80" t="s">
        <v>462</v>
      </c>
      <c r="C123" s="227">
        <v>117.35599999999999</v>
      </c>
      <c r="D123" s="227">
        <v>116.051</v>
      </c>
      <c r="E123" s="227">
        <v>97.641000000000005</v>
      </c>
      <c r="F123" s="227">
        <v>98.457999999999998</v>
      </c>
      <c r="G123" s="227">
        <v>94.933000000000007</v>
      </c>
      <c r="H123" s="227">
        <v>84.29</v>
      </c>
      <c r="I123" s="227">
        <v>86.334000000000003</v>
      </c>
      <c r="J123" s="227">
        <v>97.337999999999994</v>
      </c>
      <c r="K123" s="227">
        <v>94.537999999999997</v>
      </c>
      <c r="L123" s="227">
        <v>93.209000000000003</v>
      </c>
      <c r="M123" s="227">
        <v>122.224</v>
      </c>
      <c r="N123" s="227">
        <v>195.23400000000001</v>
      </c>
      <c r="O123" s="227">
        <v>354.16199999999998</v>
      </c>
      <c r="P123" s="227">
        <v>529.03899999999999</v>
      </c>
      <c r="Q123" s="227">
        <v>719.95500000000004</v>
      </c>
      <c r="R123" s="227">
        <v>836.79200000000003</v>
      </c>
      <c r="S123" s="227">
        <v>663.50199999999995</v>
      </c>
      <c r="T123" s="227">
        <v>615.56899999999996</v>
      </c>
    </row>
    <row r="124" spans="1:20" ht="14.6" hidden="1" outlineLevel="1">
      <c r="A124" s="226" t="s">
        <v>437</v>
      </c>
      <c r="B124" s="80" t="s">
        <v>462</v>
      </c>
      <c r="C124" s="227">
        <v>108.461</v>
      </c>
      <c r="D124" s="227">
        <v>107.51600000000001</v>
      </c>
      <c r="E124" s="227">
        <v>96.698999999999998</v>
      </c>
      <c r="F124" s="227">
        <v>94.738</v>
      </c>
      <c r="G124" s="227">
        <v>83.198999999999998</v>
      </c>
      <c r="H124" s="227">
        <v>73.358999999999995</v>
      </c>
      <c r="I124" s="227">
        <v>71.804000000000002</v>
      </c>
      <c r="J124" s="227">
        <v>90.361999999999995</v>
      </c>
      <c r="K124" s="227">
        <v>83.058000000000007</v>
      </c>
      <c r="L124" s="227">
        <v>71.840999999999994</v>
      </c>
      <c r="M124" s="227">
        <v>98.093999999999994</v>
      </c>
      <c r="N124" s="227">
        <v>152.863</v>
      </c>
      <c r="O124" s="227">
        <v>269.82600000000002</v>
      </c>
      <c r="P124" s="227">
        <v>408.37099999999998</v>
      </c>
      <c r="Q124" s="227">
        <v>574.46799999999996</v>
      </c>
      <c r="R124" s="227">
        <v>740.846</v>
      </c>
      <c r="S124" s="227">
        <v>681.50800000000004</v>
      </c>
      <c r="T124" s="227">
        <v>822.57899999999995</v>
      </c>
    </row>
    <row r="125" spans="1:20" ht="14.6" hidden="1" outlineLevel="1">
      <c r="A125" s="226" t="s">
        <v>438</v>
      </c>
      <c r="B125" s="80" t="s">
        <v>462</v>
      </c>
      <c r="C125" s="227">
        <v>110.413</v>
      </c>
      <c r="D125" s="227">
        <v>101.679</v>
      </c>
      <c r="E125" s="227">
        <v>87.551000000000002</v>
      </c>
      <c r="F125" s="227">
        <v>79.23</v>
      </c>
      <c r="G125" s="227">
        <v>71.412000000000006</v>
      </c>
      <c r="H125" s="227">
        <v>78.218999999999994</v>
      </c>
      <c r="I125" s="227">
        <v>75.442999999999998</v>
      </c>
      <c r="J125" s="227">
        <v>67.27</v>
      </c>
      <c r="K125" s="227">
        <v>77.147000000000006</v>
      </c>
      <c r="L125" s="227">
        <v>78.146000000000001</v>
      </c>
      <c r="M125" s="227">
        <v>72.983999999999995</v>
      </c>
      <c r="N125" s="227">
        <v>107.875</v>
      </c>
      <c r="O125" s="227">
        <v>149.66200000000001</v>
      </c>
      <c r="P125" s="227">
        <v>157.58799999999999</v>
      </c>
      <c r="Q125" s="227">
        <v>218.649</v>
      </c>
      <c r="R125" s="227">
        <v>306.01600000000002</v>
      </c>
      <c r="S125" s="227">
        <v>295.50700000000001</v>
      </c>
      <c r="T125" s="227">
        <v>523.58900000000006</v>
      </c>
    </row>
    <row r="126" spans="1:20" ht="14.6" hidden="1" outlineLevel="1">
      <c r="A126" s="226" t="s">
        <v>439</v>
      </c>
      <c r="B126" s="80" t="s">
        <v>462</v>
      </c>
      <c r="C126" s="227">
        <v>70.076999999999998</v>
      </c>
      <c r="D126" s="227">
        <v>52.831000000000003</v>
      </c>
      <c r="E126" s="227">
        <v>61.53</v>
      </c>
      <c r="F126" s="227">
        <v>68.268000000000001</v>
      </c>
      <c r="G126" s="227">
        <v>76.762</v>
      </c>
      <c r="H126" s="227">
        <v>81.703000000000003</v>
      </c>
      <c r="I126" s="227">
        <v>94.893000000000001</v>
      </c>
      <c r="J126" s="227">
        <v>81.798000000000002</v>
      </c>
      <c r="K126" s="227">
        <v>65.912000000000006</v>
      </c>
      <c r="L126" s="227">
        <v>75.984999999999999</v>
      </c>
      <c r="M126" s="227">
        <v>60.569000000000003</v>
      </c>
      <c r="N126" s="227">
        <v>69.084999999999994</v>
      </c>
      <c r="O126" s="227">
        <v>66.873999999999995</v>
      </c>
      <c r="P126" s="227">
        <v>67.888000000000005</v>
      </c>
      <c r="Q126" s="227">
        <v>73.975999999999999</v>
      </c>
      <c r="R126" s="227">
        <v>69.623999999999995</v>
      </c>
      <c r="S126" s="227">
        <v>88.78</v>
      </c>
      <c r="T126" s="227">
        <v>127.246</v>
      </c>
    </row>
    <row r="127" spans="1:20" ht="14.6" hidden="1" outlineLevel="1">
      <c r="A127" s="226" t="s">
        <v>440</v>
      </c>
      <c r="B127" s="80" t="s">
        <v>462</v>
      </c>
      <c r="C127" s="227">
        <v>78.894999999999996</v>
      </c>
      <c r="D127" s="227">
        <v>81.320999999999998</v>
      </c>
      <c r="E127" s="227">
        <v>91.924999999999997</v>
      </c>
      <c r="F127" s="227">
        <v>100.596</v>
      </c>
      <c r="G127" s="227">
        <v>134.00299999999999</v>
      </c>
      <c r="H127" s="227">
        <v>104</v>
      </c>
      <c r="I127" s="227">
        <v>114.875</v>
      </c>
      <c r="J127" s="227">
        <v>105.751</v>
      </c>
      <c r="K127" s="227">
        <v>89.941000000000003</v>
      </c>
      <c r="L127" s="227">
        <v>83.072000000000003</v>
      </c>
      <c r="M127" s="227">
        <v>85.484999999999999</v>
      </c>
      <c r="N127" s="227">
        <v>106.718</v>
      </c>
      <c r="O127" s="227">
        <v>101.919</v>
      </c>
      <c r="P127" s="227">
        <v>94.308999999999997</v>
      </c>
      <c r="Q127" s="227">
        <v>98.201999999999998</v>
      </c>
      <c r="R127" s="227">
        <v>96.061000000000007</v>
      </c>
      <c r="S127" s="227">
        <v>123.68</v>
      </c>
      <c r="T127" s="227">
        <v>124.346</v>
      </c>
    </row>
    <row r="128" spans="1:20" ht="14.6" hidden="1" outlineLevel="1">
      <c r="A128" s="226" t="s">
        <v>441</v>
      </c>
      <c r="B128" s="80" t="s">
        <v>462</v>
      </c>
      <c r="C128" s="227">
        <v>116.42100000000001</v>
      </c>
      <c r="D128" s="227">
        <v>164.797</v>
      </c>
      <c r="E128" s="227">
        <v>178.363</v>
      </c>
      <c r="F128" s="227">
        <v>197.25</v>
      </c>
      <c r="G128" s="227">
        <v>171.31100000000001</v>
      </c>
      <c r="H128" s="227">
        <v>132.16</v>
      </c>
      <c r="I128" s="227">
        <v>130.62899999999999</v>
      </c>
      <c r="J128" s="227">
        <v>143.80199999999999</v>
      </c>
      <c r="K128" s="227">
        <v>97.924999999999997</v>
      </c>
      <c r="L128" s="227">
        <v>126.56</v>
      </c>
      <c r="M128" s="227">
        <v>134.67599999999999</v>
      </c>
      <c r="N128" s="227">
        <v>128.72800000000001</v>
      </c>
      <c r="O128" s="227">
        <v>151.63399999999999</v>
      </c>
      <c r="P128" s="227">
        <v>131.35900000000001</v>
      </c>
      <c r="Q128" s="227">
        <v>154.22900000000001</v>
      </c>
      <c r="R128" s="227">
        <v>192.09100000000001</v>
      </c>
      <c r="S128" s="227">
        <v>207.54599999999999</v>
      </c>
      <c r="T128" s="227">
        <v>214.32</v>
      </c>
    </row>
    <row r="129" spans="1:20" ht="14.6" hidden="1" outlineLevel="1">
      <c r="A129" s="226" t="s">
        <v>442</v>
      </c>
      <c r="B129" s="80" t="s">
        <v>462</v>
      </c>
      <c r="C129" s="227">
        <v>228.56200000000001</v>
      </c>
      <c r="D129" s="227">
        <v>230.16499999999999</v>
      </c>
      <c r="E129" s="227">
        <v>201.83199999999999</v>
      </c>
      <c r="F129" s="227">
        <v>162.22399999999999</v>
      </c>
      <c r="G129" s="227">
        <v>130.578</v>
      </c>
      <c r="H129" s="227">
        <v>124.04</v>
      </c>
      <c r="I129" s="227">
        <v>94.481999999999999</v>
      </c>
      <c r="J129" s="227">
        <v>53.921999999999997</v>
      </c>
      <c r="K129" s="227">
        <v>50.886000000000003</v>
      </c>
      <c r="L129" s="227">
        <v>136.845</v>
      </c>
      <c r="M129" s="227">
        <v>141.261</v>
      </c>
      <c r="N129" s="227">
        <v>64.525999999999996</v>
      </c>
      <c r="O129" s="227">
        <v>58.631</v>
      </c>
      <c r="P129" s="227">
        <v>69.704999999999998</v>
      </c>
      <c r="Q129" s="227">
        <v>111.154</v>
      </c>
      <c r="R129" s="227">
        <v>155.62100000000001</v>
      </c>
      <c r="S129" s="227">
        <v>129.32499999999999</v>
      </c>
      <c r="T129" s="227">
        <v>122.105</v>
      </c>
    </row>
    <row r="130" spans="1:20" ht="14.6" hidden="1" outlineLevel="1">
      <c r="A130" s="226" t="s">
        <v>420</v>
      </c>
      <c r="B130" s="80" t="s">
        <v>464</v>
      </c>
      <c r="C130" s="227">
        <v>71.792000000000002</v>
      </c>
      <c r="D130" s="227">
        <v>80.177999999999997</v>
      </c>
      <c r="E130" s="227">
        <v>81.83</v>
      </c>
      <c r="F130" s="227">
        <v>85.391999999999996</v>
      </c>
      <c r="G130" s="227">
        <v>86.903999999999996</v>
      </c>
      <c r="H130" s="227">
        <v>89.549000000000007</v>
      </c>
      <c r="I130" s="227">
        <v>95.924999999999997</v>
      </c>
      <c r="J130" s="227">
        <v>97.950999999999993</v>
      </c>
      <c r="K130" s="227">
        <v>107.73399999999999</v>
      </c>
      <c r="L130" s="227">
        <v>110.499</v>
      </c>
      <c r="M130" s="227">
        <v>115.724</v>
      </c>
      <c r="N130" s="227">
        <v>120.45099999999999</v>
      </c>
      <c r="O130" s="227">
        <v>125.473</v>
      </c>
      <c r="P130" s="227">
        <v>126.08199999999999</v>
      </c>
      <c r="Q130" s="227">
        <v>130.46299999999999</v>
      </c>
      <c r="R130" s="227">
        <v>130.024</v>
      </c>
      <c r="S130" s="227">
        <v>131.631</v>
      </c>
      <c r="T130" s="227">
        <v>125.51</v>
      </c>
    </row>
    <row r="131" spans="1:20" ht="14.6" hidden="1" outlineLevel="1">
      <c r="A131" s="226" t="s">
        <v>422</v>
      </c>
      <c r="B131" s="80" t="s">
        <v>464</v>
      </c>
      <c r="C131" s="227">
        <v>125.664</v>
      </c>
      <c r="D131" s="227">
        <v>135.90100000000001</v>
      </c>
      <c r="E131" s="227">
        <v>138.75899999999999</v>
      </c>
      <c r="F131" s="227">
        <v>143.00200000000001</v>
      </c>
      <c r="G131" s="227">
        <v>148.64500000000001</v>
      </c>
      <c r="H131" s="227">
        <v>154.97200000000001</v>
      </c>
      <c r="I131" s="227">
        <v>164.33</v>
      </c>
      <c r="J131" s="227">
        <v>168.881</v>
      </c>
      <c r="K131" s="227">
        <v>186.36199999999999</v>
      </c>
      <c r="L131" s="227">
        <v>190.84</v>
      </c>
      <c r="M131" s="227">
        <v>198.83</v>
      </c>
      <c r="N131" s="227">
        <v>204.333</v>
      </c>
      <c r="O131" s="227">
        <v>208.029</v>
      </c>
      <c r="P131" s="227">
        <v>208.13900000000001</v>
      </c>
      <c r="Q131" s="227">
        <v>208.71299999999999</v>
      </c>
      <c r="R131" s="227">
        <v>202.923</v>
      </c>
      <c r="S131" s="227">
        <v>197.23400000000001</v>
      </c>
      <c r="T131" s="227">
        <v>183.816</v>
      </c>
    </row>
    <row r="132" spans="1:20" ht="14.6" hidden="1" outlineLevel="1">
      <c r="A132" s="226" t="s">
        <v>423</v>
      </c>
      <c r="B132" s="80" t="s">
        <v>464</v>
      </c>
      <c r="C132" s="227">
        <v>275.58800000000002</v>
      </c>
      <c r="D132" s="227">
        <v>297.47199999999998</v>
      </c>
      <c r="E132" s="227">
        <v>304.93299999999999</v>
      </c>
      <c r="F132" s="227">
        <v>315.98899999999998</v>
      </c>
      <c r="G132" s="227">
        <v>332.31099999999998</v>
      </c>
      <c r="H132" s="227">
        <v>349.77</v>
      </c>
      <c r="I132" s="227">
        <v>373.64100000000002</v>
      </c>
      <c r="J132" s="227">
        <v>393.67899999999997</v>
      </c>
      <c r="K132" s="227">
        <v>432.89800000000002</v>
      </c>
      <c r="L132" s="227">
        <v>446.17399999999998</v>
      </c>
      <c r="M132" s="227">
        <v>456.88</v>
      </c>
      <c r="N132" s="227">
        <v>464.77800000000002</v>
      </c>
      <c r="O132" s="227">
        <v>461.85399999999998</v>
      </c>
      <c r="P132" s="227">
        <v>463.57</v>
      </c>
      <c r="Q132" s="227">
        <v>458.262</v>
      </c>
      <c r="R132" s="227">
        <v>447.73899999999998</v>
      </c>
      <c r="S132" s="227">
        <v>431.322</v>
      </c>
      <c r="T132" s="227">
        <v>403.47500000000002</v>
      </c>
    </row>
    <row r="133" spans="1:20" ht="14.6" hidden="1" outlineLevel="1">
      <c r="A133" s="226" t="s">
        <v>424</v>
      </c>
      <c r="B133" s="80" t="s">
        <v>464</v>
      </c>
      <c r="C133" s="227">
        <v>281.87700000000001</v>
      </c>
      <c r="D133" s="227">
        <v>297.67</v>
      </c>
      <c r="E133" s="227">
        <v>315.38</v>
      </c>
      <c r="F133" s="227">
        <v>334.476</v>
      </c>
      <c r="G133" s="227">
        <v>357.858</v>
      </c>
      <c r="H133" s="227">
        <v>384.733</v>
      </c>
      <c r="I133" s="227">
        <v>409.96899999999999</v>
      </c>
      <c r="J133" s="227">
        <v>438.92500000000001</v>
      </c>
      <c r="K133" s="227">
        <v>473.59</v>
      </c>
      <c r="L133" s="227">
        <v>481.12299999999999</v>
      </c>
      <c r="M133" s="227">
        <v>493.81400000000002</v>
      </c>
      <c r="N133" s="227">
        <v>500.46300000000002</v>
      </c>
      <c r="O133" s="227">
        <v>496.11</v>
      </c>
      <c r="P133" s="227">
        <v>487.24200000000002</v>
      </c>
      <c r="Q133" s="227">
        <v>485.93200000000002</v>
      </c>
      <c r="R133" s="227">
        <v>467.32600000000002</v>
      </c>
      <c r="S133" s="227">
        <v>456.46800000000002</v>
      </c>
      <c r="T133" s="227">
        <v>426.83499999999998</v>
      </c>
    </row>
    <row r="134" spans="1:20" ht="14.6" hidden="1" outlineLevel="1">
      <c r="A134" s="226" t="s">
        <v>425</v>
      </c>
      <c r="B134" s="80" t="s">
        <v>464</v>
      </c>
      <c r="C134" s="227">
        <v>284.32600000000002</v>
      </c>
      <c r="D134" s="227">
        <v>303.79399999999998</v>
      </c>
      <c r="E134" s="227">
        <v>322.50799999999998</v>
      </c>
      <c r="F134" s="227">
        <v>344.041</v>
      </c>
      <c r="G134" s="227">
        <v>367.61399999999998</v>
      </c>
      <c r="H134" s="227">
        <v>388.30700000000002</v>
      </c>
      <c r="I134" s="227">
        <v>420.35500000000002</v>
      </c>
      <c r="J134" s="227">
        <v>450.35599999999999</v>
      </c>
      <c r="K134" s="227">
        <v>484.83499999999998</v>
      </c>
      <c r="L134" s="227">
        <v>496.51400000000001</v>
      </c>
      <c r="M134" s="227">
        <v>497.74900000000002</v>
      </c>
      <c r="N134" s="227">
        <v>493.14800000000002</v>
      </c>
      <c r="O134" s="227">
        <v>484.048</v>
      </c>
      <c r="P134" s="227">
        <v>476.00400000000002</v>
      </c>
      <c r="Q134" s="227">
        <v>469.55</v>
      </c>
      <c r="R134" s="227">
        <v>454.38099999999997</v>
      </c>
      <c r="S134" s="227">
        <v>438.649</v>
      </c>
      <c r="T134" s="227">
        <v>398.92099999999999</v>
      </c>
    </row>
    <row r="135" spans="1:20" ht="14.6" hidden="1" outlineLevel="1">
      <c r="A135" s="226" t="s">
        <v>426</v>
      </c>
      <c r="B135" s="80" t="s">
        <v>464</v>
      </c>
      <c r="C135" s="227">
        <v>288.84399999999999</v>
      </c>
      <c r="D135" s="227">
        <v>298.82900000000001</v>
      </c>
      <c r="E135" s="227">
        <v>321.75900000000001</v>
      </c>
      <c r="F135" s="227">
        <v>351.86599999999999</v>
      </c>
      <c r="G135" s="227">
        <v>368.23700000000002</v>
      </c>
      <c r="H135" s="227">
        <v>395.61700000000002</v>
      </c>
      <c r="I135" s="227">
        <v>420.149</v>
      </c>
      <c r="J135" s="227">
        <v>448.63099999999997</v>
      </c>
      <c r="K135" s="227">
        <v>462.73099999999999</v>
      </c>
      <c r="L135" s="227">
        <v>470.07400000000001</v>
      </c>
      <c r="M135" s="227">
        <v>468.49099999999999</v>
      </c>
      <c r="N135" s="227">
        <v>471.517</v>
      </c>
      <c r="O135" s="227">
        <v>450.02199999999999</v>
      </c>
      <c r="P135" s="227">
        <v>440.476</v>
      </c>
      <c r="Q135" s="227">
        <v>436.774</v>
      </c>
      <c r="R135" s="227">
        <v>424.78500000000003</v>
      </c>
      <c r="S135" s="227">
        <v>408.22800000000001</v>
      </c>
      <c r="T135" s="227">
        <v>368.286</v>
      </c>
    </row>
    <row r="136" spans="1:20" ht="14.6" hidden="1" outlineLevel="1">
      <c r="A136" s="226" t="s">
        <v>427</v>
      </c>
      <c r="B136" s="80" t="s">
        <v>464</v>
      </c>
      <c r="C136" s="227">
        <v>272.46600000000001</v>
      </c>
      <c r="D136" s="227">
        <v>290.767</v>
      </c>
      <c r="E136" s="227">
        <v>320.68900000000002</v>
      </c>
      <c r="F136" s="227">
        <v>337.66899999999998</v>
      </c>
      <c r="G136" s="227">
        <v>360.99099999999999</v>
      </c>
      <c r="H136" s="227">
        <v>386.315</v>
      </c>
      <c r="I136" s="227">
        <v>405.76</v>
      </c>
      <c r="J136" s="227">
        <v>423.87</v>
      </c>
      <c r="K136" s="227">
        <v>433.97199999999998</v>
      </c>
      <c r="L136" s="227">
        <v>432.60700000000003</v>
      </c>
      <c r="M136" s="227">
        <v>431.68400000000003</v>
      </c>
      <c r="N136" s="227">
        <v>429.20299999999997</v>
      </c>
      <c r="O136" s="227">
        <v>426.93900000000002</v>
      </c>
      <c r="P136" s="227">
        <v>414.28199999999998</v>
      </c>
      <c r="Q136" s="227">
        <v>401.91199999999998</v>
      </c>
      <c r="R136" s="227">
        <v>395.57</v>
      </c>
      <c r="S136" s="227">
        <v>378.87099999999998</v>
      </c>
      <c r="T136" s="227">
        <v>362.01400000000001</v>
      </c>
    </row>
    <row r="137" spans="1:20" ht="14.6" hidden="1" outlineLevel="1">
      <c r="A137" s="226" t="s">
        <v>428</v>
      </c>
      <c r="B137" s="80" t="s">
        <v>464</v>
      </c>
      <c r="C137" s="227">
        <v>408.32100000000003</v>
      </c>
      <c r="D137" s="227">
        <v>452.29899999999998</v>
      </c>
      <c r="E137" s="227">
        <v>464.15600000000001</v>
      </c>
      <c r="F137" s="227">
        <v>496.83800000000002</v>
      </c>
      <c r="G137" s="227">
        <v>527.50300000000004</v>
      </c>
      <c r="H137" s="227">
        <v>537.029</v>
      </c>
      <c r="I137" s="227">
        <v>567.71900000000005</v>
      </c>
      <c r="J137" s="227">
        <v>572.08900000000006</v>
      </c>
      <c r="K137" s="227">
        <v>586.22</v>
      </c>
      <c r="L137" s="227">
        <v>595.53800000000001</v>
      </c>
      <c r="M137" s="227">
        <v>593.40899999999999</v>
      </c>
      <c r="N137" s="227">
        <v>584.44000000000005</v>
      </c>
      <c r="O137" s="227">
        <v>576.13800000000003</v>
      </c>
      <c r="P137" s="227">
        <v>562.35900000000004</v>
      </c>
      <c r="Q137" s="227">
        <v>548.81899999999996</v>
      </c>
      <c r="R137" s="227">
        <v>553.41099999999994</v>
      </c>
      <c r="S137" s="227">
        <v>530.47400000000005</v>
      </c>
      <c r="T137" s="227">
        <v>488.83300000000003</v>
      </c>
    </row>
    <row r="138" spans="1:20" ht="14.6" hidden="1" outlineLevel="1">
      <c r="A138" s="226" t="s">
        <v>429</v>
      </c>
      <c r="B138" s="80" t="s">
        <v>464</v>
      </c>
      <c r="C138" s="227">
        <v>652.62400000000002</v>
      </c>
      <c r="D138" s="227">
        <v>687.48199999999997</v>
      </c>
      <c r="E138" s="227">
        <v>721.68899999999996</v>
      </c>
      <c r="F138" s="227">
        <v>753.00300000000004</v>
      </c>
      <c r="G138" s="227">
        <v>766.18899999999996</v>
      </c>
      <c r="H138" s="227">
        <v>776.053</v>
      </c>
      <c r="I138" s="227">
        <v>795.49</v>
      </c>
      <c r="J138" s="227">
        <v>807.48199999999997</v>
      </c>
      <c r="K138" s="227">
        <v>841.84199999999998</v>
      </c>
      <c r="L138" s="227">
        <v>848.64700000000005</v>
      </c>
      <c r="M138" s="227">
        <v>854.91899999999998</v>
      </c>
      <c r="N138" s="227">
        <v>855.19799999999998</v>
      </c>
      <c r="O138" s="227">
        <v>845.65200000000004</v>
      </c>
      <c r="P138" s="227">
        <v>829.822</v>
      </c>
      <c r="Q138" s="227">
        <v>817.85599999999999</v>
      </c>
      <c r="R138" s="227">
        <v>802.24099999999999</v>
      </c>
      <c r="S138" s="227">
        <v>767.92700000000002</v>
      </c>
      <c r="T138" s="227">
        <v>723.59100000000001</v>
      </c>
    </row>
    <row r="139" spans="1:20" ht="14.6" hidden="1" outlineLevel="1">
      <c r="A139" s="226" t="s">
        <v>430</v>
      </c>
      <c r="B139" s="80" t="s">
        <v>464</v>
      </c>
      <c r="C139" s="227">
        <v>583.19500000000005</v>
      </c>
      <c r="D139" s="227">
        <v>609.27800000000002</v>
      </c>
      <c r="E139" s="227">
        <v>625.83500000000004</v>
      </c>
      <c r="F139" s="227">
        <v>626.83000000000004</v>
      </c>
      <c r="G139" s="227">
        <v>634.01700000000005</v>
      </c>
      <c r="H139" s="227">
        <v>645.16099999999994</v>
      </c>
      <c r="I139" s="227">
        <v>665.67499999999995</v>
      </c>
      <c r="J139" s="227">
        <v>671.93200000000002</v>
      </c>
      <c r="K139" s="227">
        <v>715.10400000000004</v>
      </c>
      <c r="L139" s="227">
        <v>731.19600000000003</v>
      </c>
      <c r="M139" s="227">
        <v>740.34500000000003</v>
      </c>
      <c r="N139" s="227">
        <v>752.99599999999998</v>
      </c>
      <c r="O139" s="227">
        <v>731.221</v>
      </c>
      <c r="P139" s="227">
        <v>706.30799999999999</v>
      </c>
      <c r="Q139" s="227">
        <v>703.06299999999999</v>
      </c>
      <c r="R139" s="227">
        <v>687.63499999999999</v>
      </c>
      <c r="S139" s="227">
        <v>656.11699999999996</v>
      </c>
      <c r="T139" s="227">
        <v>623.14099999999996</v>
      </c>
    </row>
    <row r="140" spans="1:20" ht="14.6" hidden="1" outlineLevel="1">
      <c r="A140" s="226" t="s">
        <v>431</v>
      </c>
      <c r="B140" s="80" t="s">
        <v>464</v>
      </c>
      <c r="C140" s="227">
        <v>499.02699999999999</v>
      </c>
      <c r="D140" s="227">
        <v>504.262</v>
      </c>
      <c r="E140" s="227">
        <v>528.71900000000005</v>
      </c>
      <c r="F140" s="227">
        <v>531.02800000000002</v>
      </c>
      <c r="G140" s="227">
        <v>534.70799999999997</v>
      </c>
      <c r="H140" s="227">
        <v>544.10599999999999</v>
      </c>
      <c r="I140" s="227">
        <v>570.17499999999995</v>
      </c>
      <c r="J140" s="227">
        <v>583.18600000000004</v>
      </c>
      <c r="K140" s="227">
        <v>621.10599999999999</v>
      </c>
      <c r="L140" s="227">
        <v>638.65099999999995</v>
      </c>
      <c r="M140" s="227">
        <v>655.84400000000005</v>
      </c>
      <c r="N140" s="227">
        <v>644.43600000000004</v>
      </c>
      <c r="O140" s="227">
        <v>639.62900000000002</v>
      </c>
      <c r="P140" s="227">
        <v>611.24400000000003</v>
      </c>
      <c r="Q140" s="227">
        <v>602.34799999999996</v>
      </c>
      <c r="R140" s="227">
        <v>589.41700000000003</v>
      </c>
      <c r="S140" s="227">
        <v>564.19600000000003</v>
      </c>
      <c r="T140" s="227">
        <v>543.803</v>
      </c>
    </row>
    <row r="141" spans="1:20" ht="14.6" hidden="1" outlineLevel="1">
      <c r="A141" s="226" t="s">
        <v>432</v>
      </c>
      <c r="B141" s="80" t="s">
        <v>464</v>
      </c>
      <c r="C141" s="227">
        <v>825.09400000000005</v>
      </c>
      <c r="D141" s="227">
        <v>835.27499999999998</v>
      </c>
      <c r="E141" s="227">
        <v>841.17100000000005</v>
      </c>
      <c r="F141" s="227">
        <v>859.92399999999998</v>
      </c>
      <c r="G141" s="227">
        <v>886.69399999999996</v>
      </c>
      <c r="H141" s="227">
        <v>905.596</v>
      </c>
      <c r="I141" s="227">
        <v>938.08100000000002</v>
      </c>
      <c r="J141" s="227">
        <v>984.55200000000002</v>
      </c>
      <c r="K141" s="227">
        <v>1038.809</v>
      </c>
      <c r="L141" s="227">
        <v>1103.58</v>
      </c>
      <c r="M141" s="227">
        <v>1093.7139999999999</v>
      </c>
      <c r="N141" s="227">
        <v>1070.5250000000001</v>
      </c>
      <c r="O141" s="227">
        <v>1051.0909999999999</v>
      </c>
      <c r="P141" s="227">
        <v>1018.609</v>
      </c>
      <c r="Q141" s="227">
        <v>1010.341</v>
      </c>
      <c r="R141" s="227">
        <v>976.57600000000002</v>
      </c>
      <c r="S141" s="227">
        <v>947.12400000000002</v>
      </c>
      <c r="T141" s="227">
        <v>952.27499999999998</v>
      </c>
    </row>
    <row r="142" spans="1:20" ht="14.6" hidden="1" outlineLevel="1">
      <c r="A142" s="226" t="s">
        <v>433</v>
      </c>
      <c r="B142" s="80" t="s">
        <v>464</v>
      </c>
      <c r="C142" s="227">
        <v>628.548</v>
      </c>
      <c r="D142" s="227">
        <v>644.43600000000004</v>
      </c>
      <c r="E142" s="227">
        <v>649.98</v>
      </c>
      <c r="F142" s="227">
        <v>666.39</v>
      </c>
      <c r="G142" s="227">
        <v>690.81899999999996</v>
      </c>
      <c r="H142" s="227">
        <v>713.73400000000004</v>
      </c>
      <c r="I142" s="227">
        <v>752.76300000000003</v>
      </c>
      <c r="J142" s="227">
        <v>793.06200000000001</v>
      </c>
      <c r="K142" s="227">
        <v>868.89300000000003</v>
      </c>
      <c r="L142" s="227">
        <v>885.95799999999997</v>
      </c>
      <c r="M142" s="227">
        <v>893.33699999999999</v>
      </c>
      <c r="N142" s="227">
        <v>860.86699999999996</v>
      </c>
      <c r="O142" s="227">
        <v>845.66499999999996</v>
      </c>
      <c r="P142" s="227">
        <v>819.20299999999997</v>
      </c>
      <c r="Q142" s="227">
        <v>837.45500000000004</v>
      </c>
      <c r="R142" s="227">
        <v>825.85799999999995</v>
      </c>
      <c r="S142" s="227">
        <v>827.298</v>
      </c>
      <c r="T142" s="227">
        <v>837.78399999999999</v>
      </c>
    </row>
    <row r="143" spans="1:20" ht="14.6" hidden="1" outlineLevel="1">
      <c r="A143" s="226" t="s">
        <v>434</v>
      </c>
      <c r="B143" s="80" t="s">
        <v>464</v>
      </c>
      <c r="C143" s="227">
        <v>1864.9169999999999</v>
      </c>
      <c r="D143" s="227">
        <v>1963.577</v>
      </c>
      <c r="E143" s="227">
        <v>2028.2750000000001</v>
      </c>
      <c r="F143" s="227">
        <v>2072.8290000000002</v>
      </c>
      <c r="G143" s="227">
        <v>2181.6759999999999</v>
      </c>
      <c r="H143" s="227">
        <v>2290.1930000000002</v>
      </c>
      <c r="I143" s="227">
        <v>2491.5709999999999</v>
      </c>
      <c r="J143" s="227">
        <v>2724.4630000000002</v>
      </c>
      <c r="K143" s="227">
        <v>3005.7469999999998</v>
      </c>
      <c r="L143" s="227">
        <v>3119.1320000000001</v>
      </c>
      <c r="M143" s="227">
        <v>3004.3980000000001</v>
      </c>
      <c r="N143" s="227">
        <v>2899.9319999999998</v>
      </c>
      <c r="O143" s="227">
        <v>2891.5650000000001</v>
      </c>
      <c r="P143" s="227">
        <v>2907.91</v>
      </c>
      <c r="Q143" s="227">
        <v>3050.098</v>
      </c>
      <c r="R143" s="227">
        <v>3171.1039999999998</v>
      </c>
      <c r="S143" s="227">
        <v>3110.7530000000002</v>
      </c>
      <c r="T143" s="227">
        <v>2979.944</v>
      </c>
    </row>
    <row r="144" spans="1:20" ht="14.6" hidden="1" outlineLevel="1">
      <c r="A144" s="226" t="s">
        <v>435</v>
      </c>
      <c r="B144" s="80" t="s">
        <v>464</v>
      </c>
      <c r="C144" s="227">
        <v>1900.3409999999999</v>
      </c>
      <c r="D144" s="227">
        <v>2014.808</v>
      </c>
      <c r="E144" s="227">
        <v>2045.3630000000001</v>
      </c>
      <c r="F144" s="227">
        <v>2135.5340000000001</v>
      </c>
      <c r="G144" s="227">
        <v>2330.5189999999998</v>
      </c>
      <c r="H144" s="227">
        <v>2504.9270000000001</v>
      </c>
      <c r="I144" s="227">
        <v>2758.893</v>
      </c>
      <c r="J144" s="227">
        <v>3040.87</v>
      </c>
      <c r="K144" s="227">
        <v>3423.4560000000001</v>
      </c>
      <c r="L144" s="227">
        <v>3446.1770000000001</v>
      </c>
      <c r="M144" s="227">
        <v>3218.0720000000001</v>
      </c>
      <c r="N144" s="227">
        <v>3153.6840000000002</v>
      </c>
      <c r="O144" s="227">
        <v>3361.558</v>
      </c>
      <c r="P144" s="227">
        <v>3498.9989999999998</v>
      </c>
      <c r="Q144" s="227">
        <v>3583.8220000000001</v>
      </c>
      <c r="R144" s="227">
        <v>3448.3850000000002</v>
      </c>
      <c r="S144" s="227">
        <v>3148.2080000000001</v>
      </c>
      <c r="T144" s="227">
        <v>2923.0439999999999</v>
      </c>
    </row>
    <row r="145" spans="1:20" ht="14.6" hidden="1" outlineLevel="1">
      <c r="A145" s="226" t="s">
        <v>436</v>
      </c>
      <c r="B145" s="80" t="s">
        <v>464</v>
      </c>
      <c r="C145" s="227">
        <v>2009.875</v>
      </c>
      <c r="D145" s="227">
        <v>2145.9780000000001</v>
      </c>
      <c r="E145" s="227">
        <v>2213.7640000000001</v>
      </c>
      <c r="F145" s="227">
        <v>2230.4009999999998</v>
      </c>
      <c r="G145" s="227">
        <v>2287.6439999999998</v>
      </c>
      <c r="H145" s="227">
        <v>2308.654</v>
      </c>
      <c r="I145" s="227">
        <v>2332.0340000000001</v>
      </c>
      <c r="J145" s="227">
        <v>2366.3049999999998</v>
      </c>
      <c r="K145" s="227">
        <v>2710.7020000000002</v>
      </c>
      <c r="L145" s="227">
        <v>2567.11</v>
      </c>
      <c r="M145" s="227">
        <v>2590.1669999999999</v>
      </c>
      <c r="N145" s="227">
        <v>2972.3049999999998</v>
      </c>
      <c r="O145" s="227">
        <v>3497.5189999999998</v>
      </c>
      <c r="P145" s="227">
        <v>3666.43</v>
      </c>
      <c r="Q145" s="227">
        <v>3429.7240000000002</v>
      </c>
      <c r="R145" s="227">
        <v>3332.788</v>
      </c>
      <c r="S145" s="227">
        <v>3380.451</v>
      </c>
      <c r="T145" s="227">
        <v>3444.2890000000002</v>
      </c>
    </row>
    <row r="146" spans="1:20" ht="14.6" hidden="1" outlineLevel="1">
      <c r="A146" s="226" t="s">
        <v>437</v>
      </c>
      <c r="B146" s="80" t="s">
        <v>464</v>
      </c>
      <c r="C146" s="227">
        <v>2458.0259999999998</v>
      </c>
      <c r="D146" s="227">
        <v>2411.5929999999998</v>
      </c>
      <c r="E146" s="227">
        <v>2102.902</v>
      </c>
      <c r="F146" s="227">
        <v>1952.3510000000001</v>
      </c>
      <c r="G146" s="227">
        <v>1855.405</v>
      </c>
      <c r="H146" s="227">
        <v>1648.482</v>
      </c>
      <c r="I146" s="227">
        <v>1469.164</v>
      </c>
      <c r="J146" s="227">
        <v>1575.26</v>
      </c>
      <c r="K146" s="227">
        <v>1579.4259999999999</v>
      </c>
      <c r="L146" s="227">
        <v>1611.1420000000001</v>
      </c>
      <c r="M146" s="227">
        <v>1982.953</v>
      </c>
      <c r="N146" s="227">
        <v>2782.192</v>
      </c>
      <c r="O146" s="227">
        <v>3239.3110000000001</v>
      </c>
      <c r="P146" s="227">
        <v>3002.9569999999999</v>
      </c>
      <c r="Q146" s="227">
        <v>3414.1309999999999</v>
      </c>
      <c r="R146" s="227">
        <v>3616.3440000000001</v>
      </c>
      <c r="S146" s="227">
        <v>3840.587</v>
      </c>
      <c r="T146" s="227">
        <v>3452.0909999999999</v>
      </c>
    </row>
    <row r="147" spans="1:20" ht="14.6" hidden="1" outlineLevel="1">
      <c r="A147" s="226" t="s">
        <v>438</v>
      </c>
      <c r="B147" s="80" t="s">
        <v>464</v>
      </c>
      <c r="C147" s="227">
        <v>2136.0909999999999</v>
      </c>
      <c r="D147" s="227">
        <v>1976.68</v>
      </c>
      <c r="E147" s="227">
        <v>1657.86</v>
      </c>
      <c r="F147" s="227">
        <v>1576.1420000000001</v>
      </c>
      <c r="G147" s="227">
        <v>1396.76</v>
      </c>
      <c r="H147" s="227">
        <v>1145.8810000000001</v>
      </c>
      <c r="I147" s="227">
        <v>1121.9000000000001</v>
      </c>
      <c r="J147" s="227">
        <v>1113.722</v>
      </c>
      <c r="K147" s="227">
        <v>950.46100000000001</v>
      </c>
      <c r="L147" s="227">
        <v>1057.0640000000001</v>
      </c>
      <c r="M147" s="227">
        <v>1799.6469999999999</v>
      </c>
      <c r="N147" s="227">
        <v>2416.2359999999999</v>
      </c>
      <c r="O147" s="227">
        <v>2146.3739999999998</v>
      </c>
      <c r="P147" s="227">
        <v>2033.3589999999999</v>
      </c>
      <c r="Q147" s="227">
        <v>2439.2710000000002</v>
      </c>
      <c r="R147" s="227">
        <v>3096.3049999999998</v>
      </c>
      <c r="S147" s="227">
        <v>3033.165</v>
      </c>
      <c r="T147" s="227">
        <v>2963.3449999999998</v>
      </c>
    </row>
    <row r="148" spans="1:20" ht="14.6" hidden="1" outlineLevel="1">
      <c r="A148" s="226" t="s">
        <v>439</v>
      </c>
      <c r="B148" s="80" t="s">
        <v>464</v>
      </c>
      <c r="C148" s="227">
        <v>1610.9269999999999</v>
      </c>
      <c r="D148" s="227">
        <v>1489.2729999999999</v>
      </c>
      <c r="E148" s="227">
        <v>1328.549</v>
      </c>
      <c r="F148" s="227">
        <v>1292.4100000000001</v>
      </c>
      <c r="G148" s="227">
        <v>1008.551</v>
      </c>
      <c r="H148" s="227">
        <v>802.82799999999997</v>
      </c>
      <c r="I148" s="227">
        <v>873.09900000000005</v>
      </c>
      <c r="J148" s="227">
        <v>797.87800000000004</v>
      </c>
      <c r="K148" s="227">
        <v>743.21600000000001</v>
      </c>
      <c r="L148" s="227">
        <v>789.06200000000001</v>
      </c>
      <c r="M148" s="227">
        <v>683.20600000000002</v>
      </c>
      <c r="N148" s="227">
        <v>689.34299999999996</v>
      </c>
      <c r="O148" s="227">
        <v>591.50300000000004</v>
      </c>
      <c r="P148" s="227">
        <v>719.846</v>
      </c>
      <c r="Q148" s="227">
        <v>884.84799999999996</v>
      </c>
      <c r="R148" s="227">
        <v>1078.614</v>
      </c>
      <c r="S148" s="227">
        <v>1356.078</v>
      </c>
      <c r="T148" s="227">
        <v>2509.277</v>
      </c>
    </row>
    <row r="149" spans="1:20" ht="14.6" hidden="1" outlineLevel="1">
      <c r="A149" s="226" t="s">
        <v>440</v>
      </c>
      <c r="B149" s="80" t="s">
        <v>464</v>
      </c>
      <c r="C149" s="227">
        <v>1193.011</v>
      </c>
      <c r="D149" s="227">
        <v>1119.182</v>
      </c>
      <c r="E149" s="227">
        <v>952.77499999999998</v>
      </c>
      <c r="F149" s="227">
        <v>871.24800000000005</v>
      </c>
      <c r="G149" s="227">
        <v>793.43499999999995</v>
      </c>
      <c r="H149" s="227">
        <v>639.37699999999995</v>
      </c>
      <c r="I149" s="227">
        <v>633.59500000000003</v>
      </c>
      <c r="J149" s="227">
        <v>607.59500000000003</v>
      </c>
      <c r="K149" s="227">
        <v>605.84699999999998</v>
      </c>
      <c r="L149" s="227">
        <v>505.43700000000001</v>
      </c>
      <c r="M149" s="227">
        <v>617.5</v>
      </c>
      <c r="N149" s="227">
        <v>365.09899999999999</v>
      </c>
      <c r="O149" s="227">
        <v>367.142</v>
      </c>
      <c r="P149" s="227">
        <v>368.34899999999999</v>
      </c>
      <c r="Q149" s="227">
        <v>523.15300000000002</v>
      </c>
      <c r="R149" s="227">
        <v>423.73500000000001</v>
      </c>
      <c r="S149" s="227">
        <v>348.55399999999997</v>
      </c>
      <c r="T149" s="227">
        <v>564.553</v>
      </c>
    </row>
    <row r="150" spans="1:20" ht="14.6" hidden="1" outlineLevel="1">
      <c r="A150" s="226" t="s">
        <v>441</v>
      </c>
      <c r="B150" s="80" t="s">
        <v>464</v>
      </c>
      <c r="C150" s="227">
        <v>568.92399999999998</v>
      </c>
      <c r="D150" s="227">
        <v>566.84400000000005</v>
      </c>
      <c r="E150" s="227">
        <v>626.58299999999997</v>
      </c>
      <c r="F150" s="227">
        <v>690.56600000000003</v>
      </c>
      <c r="G150" s="227">
        <v>758.851</v>
      </c>
      <c r="H150" s="227">
        <v>648.50099999999998</v>
      </c>
      <c r="I150" s="227">
        <v>550.92200000000003</v>
      </c>
      <c r="J150" s="227">
        <v>583.79300000000001</v>
      </c>
      <c r="K150" s="227">
        <v>471.113</v>
      </c>
      <c r="L150" s="227">
        <v>476.411</v>
      </c>
      <c r="M150" s="227">
        <v>398.30099999999999</v>
      </c>
      <c r="N150" s="227">
        <v>355.96</v>
      </c>
      <c r="O150" s="227">
        <v>296.36700000000002</v>
      </c>
      <c r="P150" s="227">
        <v>340.54700000000003</v>
      </c>
      <c r="Q150" s="227">
        <v>246.18100000000001</v>
      </c>
      <c r="R150" s="227">
        <v>279.61700000000002</v>
      </c>
      <c r="S150" s="227">
        <v>218.196</v>
      </c>
      <c r="T150" s="227">
        <v>322.31799999999998</v>
      </c>
    </row>
    <row r="151" spans="1:20" ht="14.6" hidden="1" outlineLevel="1">
      <c r="A151" s="226" t="s">
        <v>442</v>
      </c>
      <c r="B151" s="80" t="s">
        <v>464</v>
      </c>
      <c r="C151" s="227">
        <v>240.02199999999999</v>
      </c>
      <c r="D151" s="227">
        <v>388.83600000000001</v>
      </c>
      <c r="E151" s="227">
        <v>288.363</v>
      </c>
      <c r="F151" s="227">
        <v>302.678</v>
      </c>
      <c r="G151" s="227">
        <v>205.74700000000001</v>
      </c>
      <c r="H151" s="227">
        <v>148.648</v>
      </c>
      <c r="I151" s="227">
        <v>131.30099999999999</v>
      </c>
      <c r="J151" s="227">
        <v>45.14</v>
      </c>
      <c r="K151" s="227">
        <v>101.755</v>
      </c>
      <c r="L151" s="227">
        <v>200.60499999999999</v>
      </c>
      <c r="M151" s="227">
        <v>183.726</v>
      </c>
      <c r="N151" s="227">
        <v>134.43600000000001</v>
      </c>
      <c r="O151" s="227">
        <v>63.22</v>
      </c>
      <c r="P151" s="227">
        <v>34.049999999999997</v>
      </c>
      <c r="Q151" s="227">
        <v>59.844999999999999</v>
      </c>
      <c r="R151" s="227">
        <v>79.403000000000006</v>
      </c>
      <c r="S151" s="227">
        <v>105.52</v>
      </c>
      <c r="T151" s="227">
        <v>92.677999999999997</v>
      </c>
    </row>
    <row r="152" spans="1:20" ht="14.6" hidden="1" outlineLevel="1">
      <c r="A152" s="226" t="s">
        <v>420</v>
      </c>
      <c r="B152" s="80" t="s">
        <v>466</v>
      </c>
      <c r="C152" s="227">
        <v>0.748</v>
      </c>
      <c r="D152" s="227">
        <v>0.79700000000000004</v>
      </c>
      <c r="E152" s="227">
        <v>0.84399999999999997</v>
      </c>
      <c r="F152" s="227">
        <v>0.82099999999999995</v>
      </c>
      <c r="G152" s="227">
        <v>0.872</v>
      </c>
      <c r="H152" s="227">
        <v>0.88</v>
      </c>
      <c r="I152" s="227">
        <v>0.89700000000000002</v>
      </c>
      <c r="J152" s="227">
        <v>0.85899999999999999</v>
      </c>
      <c r="K152" s="227">
        <v>1.044</v>
      </c>
      <c r="L152" s="227">
        <v>0.99099999999999999</v>
      </c>
      <c r="M152" s="227">
        <v>1.089</v>
      </c>
      <c r="N152" s="227">
        <v>1.145</v>
      </c>
      <c r="O152" s="227">
        <v>1.2689999999999999</v>
      </c>
      <c r="P152" s="227">
        <v>1.22</v>
      </c>
      <c r="Q152" s="227">
        <v>1.284</v>
      </c>
      <c r="R152" s="227">
        <v>1.2749999999999999</v>
      </c>
      <c r="S152" s="227">
        <v>1.236</v>
      </c>
      <c r="T152" s="227">
        <v>1.0349999999999999</v>
      </c>
    </row>
    <row r="153" spans="1:20" ht="14.6" hidden="1" outlineLevel="1">
      <c r="A153" s="226" t="s">
        <v>422</v>
      </c>
      <c r="B153" s="80" t="s">
        <v>466</v>
      </c>
      <c r="C153" s="227">
        <v>1.3540000000000001</v>
      </c>
      <c r="D153" s="227">
        <v>1.369</v>
      </c>
      <c r="E153" s="227">
        <v>1.36</v>
      </c>
      <c r="F153" s="227">
        <v>1.353</v>
      </c>
      <c r="G153" s="227">
        <v>1.425</v>
      </c>
      <c r="H153" s="227">
        <v>1.44</v>
      </c>
      <c r="I153" s="227">
        <v>1.4550000000000001</v>
      </c>
      <c r="J153" s="227">
        <v>1.5009999999999999</v>
      </c>
      <c r="K153" s="227">
        <v>1.62</v>
      </c>
      <c r="L153" s="227">
        <v>1.649</v>
      </c>
      <c r="M153" s="227">
        <v>1.661</v>
      </c>
      <c r="N153" s="227">
        <v>1.6890000000000001</v>
      </c>
      <c r="O153" s="227">
        <v>1.7609999999999999</v>
      </c>
      <c r="P153" s="227">
        <v>1.798</v>
      </c>
      <c r="Q153" s="227">
        <v>1.7909999999999999</v>
      </c>
      <c r="R153" s="227">
        <v>1.7050000000000001</v>
      </c>
      <c r="S153" s="227">
        <v>1.6160000000000001</v>
      </c>
      <c r="T153" s="227">
        <v>1.3440000000000001</v>
      </c>
    </row>
    <row r="154" spans="1:20" ht="14.6" hidden="1" outlineLevel="1">
      <c r="A154" s="226" t="s">
        <v>423</v>
      </c>
      <c r="B154" s="80" t="s">
        <v>466</v>
      </c>
      <c r="C154" s="227">
        <v>3.4049999999999998</v>
      </c>
      <c r="D154" s="227">
        <v>3.4510000000000001</v>
      </c>
      <c r="E154" s="227">
        <v>3.3570000000000002</v>
      </c>
      <c r="F154" s="227">
        <v>3.2509999999999999</v>
      </c>
      <c r="G154" s="227">
        <v>3.355</v>
      </c>
      <c r="H154" s="227">
        <v>3.4569999999999999</v>
      </c>
      <c r="I154" s="227">
        <v>3.5859999999999999</v>
      </c>
      <c r="J154" s="227">
        <v>3.6589999999999998</v>
      </c>
      <c r="K154" s="227">
        <v>4.0430000000000001</v>
      </c>
      <c r="L154" s="227">
        <v>4.016</v>
      </c>
      <c r="M154" s="227">
        <v>4.0819999999999999</v>
      </c>
      <c r="N154" s="227">
        <v>4.2489999999999997</v>
      </c>
      <c r="O154" s="227">
        <v>4.3650000000000002</v>
      </c>
      <c r="P154" s="227">
        <v>4.4960000000000004</v>
      </c>
      <c r="Q154" s="227">
        <v>4.5330000000000004</v>
      </c>
      <c r="R154" s="227">
        <v>4.49</v>
      </c>
      <c r="S154" s="227">
        <v>4.1970000000000001</v>
      </c>
      <c r="T154" s="227">
        <v>3.6230000000000002</v>
      </c>
    </row>
    <row r="155" spans="1:20" ht="14.6" hidden="1" outlineLevel="1">
      <c r="A155" s="226" t="s">
        <v>424</v>
      </c>
      <c r="B155" s="80" t="s">
        <v>466</v>
      </c>
      <c r="C155" s="227">
        <v>3.6579999999999999</v>
      </c>
      <c r="D155" s="227">
        <v>3.6549999999999998</v>
      </c>
      <c r="E155" s="227">
        <v>3.56</v>
      </c>
      <c r="F155" s="227">
        <v>3.6259999999999999</v>
      </c>
      <c r="G155" s="227">
        <v>3.8540000000000001</v>
      </c>
      <c r="H155" s="227">
        <v>3.9510000000000001</v>
      </c>
      <c r="I155" s="227">
        <v>4.1639999999999997</v>
      </c>
      <c r="J155" s="227">
        <v>4.28</v>
      </c>
      <c r="K155" s="227">
        <v>4.6150000000000002</v>
      </c>
      <c r="L155" s="227">
        <v>4.6379999999999999</v>
      </c>
      <c r="M155" s="227">
        <v>4.7350000000000003</v>
      </c>
      <c r="N155" s="227">
        <v>4.8010000000000002</v>
      </c>
      <c r="O155" s="227">
        <v>5.0910000000000002</v>
      </c>
      <c r="P155" s="227">
        <v>5.1059999999999999</v>
      </c>
      <c r="Q155" s="227">
        <v>5.1390000000000002</v>
      </c>
      <c r="R155" s="227">
        <v>5.0830000000000002</v>
      </c>
      <c r="S155" s="227">
        <v>4.9180000000000001</v>
      </c>
      <c r="T155" s="227">
        <v>4.2450000000000001</v>
      </c>
    </row>
    <row r="156" spans="1:20" ht="14.6" hidden="1" outlineLevel="1">
      <c r="A156" s="226" t="s">
        <v>425</v>
      </c>
      <c r="B156" s="80" t="s">
        <v>466</v>
      </c>
      <c r="C156" s="227">
        <v>3.7890000000000001</v>
      </c>
      <c r="D156" s="227">
        <v>3.5760000000000001</v>
      </c>
      <c r="E156" s="227">
        <v>3.5409999999999999</v>
      </c>
      <c r="F156" s="227">
        <v>3.7440000000000002</v>
      </c>
      <c r="G156" s="227">
        <v>3.9710000000000001</v>
      </c>
      <c r="H156" s="227">
        <v>3.9489999999999998</v>
      </c>
      <c r="I156" s="227">
        <v>4.1740000000000004</v>
      </c>
      <c r="J156" s="227">
        <v>4.3150000000000004</v>
      </c>
      <c r="K156" s="227">
        <v>4.4020000000000001</v>
      </c>
      <c r="L156" s="227">
        <v>4.6230000000000002</v>
      </c>
      <c r="M156" s="227">
        <v>4.7789999999999999</v>
      </c>
      <c r="N156" s="227">
        <v>4.8689999999999998</v>
      </c>
      <c r="O156" s="227">
        <v>4.9530000000000003</v>
      </c>
      <c r="P156" s="227">
        <v>5.0759999999999996</v>
      </c>
      <c r="Q156" s="227">
        <v>5.0209999999999999</v>
      </c>
      <c r="R156" s="227">
        <v>4.9219999999999997</v>
      </c>
      <c r="S156" s="227">
        <v>4.7030000000000003</v>
      </c>
      <c r="T156" s="227">
        <v>4.3109999999999999</v>
      </c>
    </row>
    <row r="157" spans="1:20" ht="14.6" hidden="1" outlineLevel="1">
      <c r="A157" s="226" t="s">
        <v>426</v>
      </c>
      <c r="B157" s="80" t="s">
        <v>466</v>
      </c>
      <c r="C157" s="227">
        <v>3.3460000000000001</v>
      </c>
      <c r="D157" s="227">
        <v>3.2290000000000001</v>
      </c>
      <c r="E157" s="227">
        <v>3.4319999999999999</v>
      </c>
      <c r="F157" s="227">
        <v>3.6179999999999999</v>
      </c>
      <c r="G157" s="227">
        <v>3.6070000000000002</v>
      </c>
      <c r="H157" s="227">
        <v>3.7810000000000001</v>
      </c>
      <c r="I157" s="227">
        <v>3.9159999999999999</v>
      </c>
      <c r="J157" s="227">
        <v>4.056</v>
      </c>
      <c r="K157" s="227">
        <v>4.24</v>
      </c>
      <c r="L157" s="227">
        <v>4.2569999999999997</v>
      </c>
      <c r="M157" s="227">
        <v>4.5620000000000003</v>
      </c>
      <c r="N157" s="227">
        <v>4.5709999999999997</v>
      </c>
      <c r="O157" s="227">
        <v>4.6989999999999998</v>
      </c>
      <c r="P157" s="227">
        <v>4.6970000000000001</v>
      </c>
      <c r="Q157" s="227">
        <v>4.681</v>
      </c>
      <c r="R157" s="227">
        <v>4.4909999999999997</v>
      </c>
      <c r="S157" s="227">
        <v>4.4530000000000003</v>
      </c>
      <c r="T157" s="227">
        <v>4.22</v>
      </c>
    </row>
    <row r="158" spans="1:20" ht="14.6" hidden="1" outlineLevel="1">
      <c r="A158" s="226" t="s">
        <v>427</v>
      </c>
      <c r="B158" s="80" t="s">
        <v>466</v>
      </c>
      <c r="C158" s="227">
        <v>2.895</v>
      </c>
      <c r="D158" s="227">
        <v>2.9790000000000001</v>
      </c>
      <c r="E158" s="227">
        <v>3.2069999999999999</v>
      </c>
      <c r="F158" s="227">
        <v>3.391</v>
      </c>
      <c r="G158" s="227">
        <v>3.35</v>
      </c>
      <c r="H158" s="227">
        <v>3.5720000000000001</v>
      </c>
      <c r="I158" s="227">
        <v>3.6139999999999999</v>
      </c>
      <c r="J158" s="227">
        <v>3.7679999999999998</v>
      </c>
      <c r="K158" s="227">
        <v>3.887</v>
      </c>
      <c r="L158" s="227">
        <v>4.0679999999999996</v>
      </c>
      <c r="M158" s="227">
        <v>4.2370000000000001</v>
      </c>
      <c r="N158" s="227">
        <v>4.4569999999999999</v>
      </c>
      <c r="O158" s="227">
        <v>4.3890000000000002</v>
      </c>
      <c r="P158" s="227">
        <v>4.4790000000000001</v>
      </c>
      <c r="Q158" s="227">
        <v>4.2640000000000002</v>
      </c>
      <c r="R158" s="227">
        <v>4.3369999999999997</v>
      </c>
      <c r="S158" s="227">
        <v>4.2619999999999996</v>
      </c>
      <c r="T158" s="227">
        <v>4.0949999999999998</v>
      </c>
    </row>
    <row r="159" spans="1:20" ht="14.6" hidden="1" outlineLevel="1">
      <c r="A159" s="226" t="s">
        <v>428</v>
      </c>
      <c r="B159" s="80" t="s">
        <v>466</v>
      </c>
      <c r="C159" s="227">
        <v>4.0220000000000002</v>
      </c>
      <c r="D159" s="227">
        <v>4.2759999999999998</v>
      </c>
      <c r="E159" s="227">
        <v>4.28</v>
      </c>
      <c r="F159" s="227">
        <v>4.452</v>
      </c>
      <c r="G159" s="227">
        <v>4.7060000000000004</v>
      </c>
      <c r="H159" s="227">
        <v>4.8019999999999996</v>
      </c>
      <c r="I159" s="227">
        <v>5.1040000000000001</v>
      </c>
      <c r="J159" s="227">
        <v>5.1349999999999998</v>
      </c>
      <c r="K159" s="227">
        <v>5.4660000000000002</v>
      </c>
      <c r="L159" s="227">
        <v>5.5860000000000003</v>
      </c>
      <c r="M159" s="227">
        <v>5.6070000000000002</v>
      </c>
      <c r="N159" s="227">
        <v>5.6920000000000002</v>
      </c>
      <c r="O159" s="227">
        <v>5.8929999999999998</v>
      </c>
      <c r="P159" s="227">
        <v>6.0090000000000003</v>
      </c>
      <c r="Q159" s="227">
        <v>5.7889999999999997</v>
      </c>
      <c r="R159" s="227">
        <v>5.8760000000000003</v>
      </c>
      <c r="S159" s="227">
        <v>5.7510000000000003</v>
      </c>
      <c r="T159" s="227">
        <v>5.4859999999999998</v>
      </c>
    </row>
    <row r="160" spans="1:20" ht="14.6" hidden="1" outlineLevel="1">
      <c r="A160" s="226" t="s">
        <v>429</v>
      </c>
      <c r="B160" s="80" t="s">
        <v>466</v>
      </c>
      <c r="C160" s="227">
        <v>5.5940000000000003</v>
      </c>
      <c r="D160" s="227">
        <v>5.7480000000000002</v>
      </c>
      <c r="E160" s="227">
        <v>5.9329999999999998</v>
      </c>
      <c r="F160" s="227">
        <v>6.2869999999999999</v>
      </c>
      <c r="G160" s="227">
        <v>6.5010000000000003</v>
      </c>
      <c r="H160" s="227">
        <v>6.7789999999999999</v>
      </c>
      <c r="I160" s="227">
        <v>7.0469999999999997</v>
      </c>
      <c r="J160" s="227">
        <v>7.08</v>
      </c>
      <c r="K160" s="227">
        <v>7.5339999999999998</v>
      </c>
      <c r="L160" s="227">
        <v>7.8940000000000001</v>
      </c>
      <c r="M160" s="227">
        <v>8.1869999999999994</v>
      </c>
      <c r="N160" s="227">
        <v>8.1809999999999992</v>
      </c>
      <c r="O160" s="227">
        <v>8.4979999999999993</v>
      </c>
      <c r="P160" s="227">
        <v>8.1379999999999999</v>
      </c>
      <c r="Q160" s="227">
        <v>8.3339999999999996</v>
      </c>
      <c r="R160" s="227">
        <v>8.5370000000000008</v>
      </c>
      <c r="S160" s="227">
        <v>8.7289999999999992</v>
      </c>
      <c r="T160" s="227">
        <v>8.5459999999999994</v>
      </c>
    </row>
    <row r="161" spans="1:20" ht="14.6" hidden="1" outlineLevel="1">
      <c r="A161" s="226" t="s">
        <v>430</v>
      </c>
      <c r="B161" s="80" t="s">
        <v>466</v>
      </c>
      <c r="C161" s="227">
        <v>5.0090000000000003</v>
      </c>
      <c r="D161" s="227">
        <v>4.93</v>
      </c>
      <c r="E161" s="227">
        <v>5.0679999999999996</v>
      </c>
      <c r="F161" s="227">
        <v>5.1929999999999996</v>
      </c>
      <c r="G161" s="227">
        <v>5.28</v>
      </c>
      <c r="H161" s="227">
        <v>5.4550000000000001</v>
      </c>
      <c r="I161" s="227">
        <v>5.726</v>
      </c>
      <c r="J161" s="227">
        <v>5.9050000000000002</v>
      </c>
      <c r="K161" s="227">
        <v>6.3959999999999999</v>
      </c>
      <c r="L161" s="227">
        <v>6.625</v>
      </c>
      <c r="M161" s="227">
        <v>6.4509999999999996</v>
      </c>
      <c r="N161" s="227">
        <v>6.8789999999999996</v>
      </c>
      <c r="O161" s="227">
        <v>6.9109999999999996</v>
      </c>
      <c r="P161" s="227">
        <v>6.9420000000000002</v>
      </c>
      <c r="Q161" s="227">
        <v>7.3239999999999998</v>
      </c>
      <c r="R161" s="227">
        <v>7.6980000000000004</v>
      </c>
      <c r="S161" s="227">
        <v>7.726</v>
      </c>
      <c r="T161" s="227">
        <v>8.0980000000000008</v>
      </c>
    </row>
    <row r="162" spans="1:20" ht="14.6" hidden="1" outlineLevel="1">
      <c r="A162" s="226" t="s">
        <v>431</v>
      </c>
      <c r="B162" s="80" t="s">
        <v>466</v>
      </c>
      <c r="C162" s="227">
        <v>4.1749999999999998</v>
      </c>
      <c r="D162" s="227">
        <v>4.2240000000000002</v>
      </c>
      <c r="E162" s="227">
        <v>4.3170000000000002</v>
      </c>
      <c r="F162" s="227">
        <v>4.4530000000000003</v>
      </c>
      <c r="G162" s="227">
        <v>4.5350000000000001</v>
      </c>
      <c r="H162" s="227">
        <v>4.508</v>
      </c>
      <c r="I162" s="227">
        <v>4.6440000000000001</v>
      </c>
      <c r="J162" s="227">
        <v>5.0019999999999998</v>
      </c>
      <c r="K162" s="227">
        <v>5.4640000000000004</v>
      </c>
      <c r="L162" s="227">
        <v>5.5919999999999996</v>
      </c>
      <c r="M162" s="227">
        <v>5.6970000000000001</v>
      </c>
      <c r="N162" s="227">
        <v>5.8120000000000003</v>
      </c>
      <c r="O162" s="227">
        <v>5.7380000000000004</v>
      </c>
      <c r="P162" s="227">
        <v>5.8650000000000002</v>
      </c>
      <c r="Q162" s="227">
        <v>6.202</v>
      </c>
      <c r="R162" s="227">
        <v>6.7320000000000002</v>
      </c>
      <c r="S162" s="227">
        <v>7.1840000000000002</v>
      </c>
      <c r="T162" s="227">
        <v>7.2640000000000002</v>
      </c>
    </row>
    <row r="163" spans="1:20" ht="14.6" hidden="1" outlineLevel="1">
      <c r="A163" s="226" t="s">
        <v>432</v>
      </c>
      <c r="B163" s="80" t="s">
        <v>466</v>
      </c>
      <c r="C163" s="227">
        <v>6.7350000000000003</v>
      </c>
      <c r="D163" s="227">
        <v>6.8159999999999998</v>
      </c>
      <c r="E163" s="227">
        <v>6.9450000000000003</v>
      </c>
      <c r="F163" s="227">
        <v>7.2329999999999997</v>
      </c>
      <c r="G163" s="227">
        <v>7.5650000000000004</v>
      </c>
      <c r="H163" s="227">
        <v>7.4550000000000001</v>
      </c>
      <c r="I163" s="227">
        <v>7.94</v>
      </c>
      <c r="J163" s="227">
        <v>8.5640000000000001</v>
      </c>
      <c r="K163" s="227">
        <v>8.7690000000000001</v>
      </c>
      <c r="L163" s="227">
        <v>9.2490000000000006</v>
      </c>
      <c r="M163" s="227">
        <v>9.2460000000000004</v>
      </c>
      <c r="N163" s="227">
        <v>8.7799999999999994</v>
      </c>
      <c r="O163" s="227">
        <v>9.3320000000000007</v>
      </c>
      <c r="P163" s="227">
        <v>9.8409999999999993</v>
      </c>
      <c r="Q163" s="227">
        <v>11.21</v>
      </c>
      <c r="R163" s="227">
        <v>12.042999999999999</v>
      </c>
      <c r="S163" s="227">
        <v>12.46</v>
      </c>
      <c r="T163" s="227">
        <v>13.387</v>
      </c>
    </row>
    <row r="164" spans="1:20" ht="14.6" hidden="1" outlineLevel="1">
      <c r="A164" s="226" t="s">
        <v>433</v>
      </c>
      <c r="B164" s="80" t="s">
        <v>466</v>
      </c>
      <c r="C164" s="227">
        <v>5.0110000000000001</v>
      </c>
      <c r="D164" s="227">
        <v>5.8559999999999999</v>
      </c>
      <c r="E164" s="227">
        <v>5.5250000000000004</v>
      </c>
      <c r="F164" s="227">
        <v>5.51</v>
      </c>
      <c r="G164" s="227">
        <v>5.74</v>
      </c>
      <c r="H164" s="227">
        <v>5.7210000000000001</v>
      </c>
      <c r="I164" s="227">
        <v>6.5670000000000002</v>
      </c>
      <c r="J164" s="227">
        <v>6.7930000000000001</v>
      </c>
      <c r="K164" s="227">
        <v>7.4219999999999997</v>
      </c>
      <c r="L164" s="227">
        <v>7.3789999999999996</v>
      </c>
      <c r="M164" s="227">
        <v>7.0170000000000003</v>
      </c>
      <c r="N164" s="227">
        <v>6.9720000000000004</v>
      </c>
      <c r="O164" s="227">
        <v>7.1349999999999998</v>
      </c>
      <c r="P164" s="227">
        <v>8.31</v>
      </c>
      <c r="Q164" s="227">
        <v>9.7750000000000004</v>
      </c>
      <c r="R164" s="227">
        <v>10.965999999999999</v>
      </c>
      <c r="S164" s="227">
        <v>12.215999999999999</v>
      </c>
      <c r="T164" s="227">
        <v>13.439</v>
      </c>
    </row>
    <row r="165" spans="1:20" ht="14.6" hidden="1" outlineLevel="1">
      <c r="A165" s="226" t="s">
        <v>434</v>
      </c>
      <c r="B165" s="80" t="s">
        <v>466</v>
      </c>
      <c r="C165" s="227">
        <v>18.016999999999999</v>
      </c>
      <c r="D165" s="227">
        <v>18.777000000000001</v>
      </c>
      <c r="E165" s="227">
        <v>19.085000000000001</v>
      </c>
      <c r="F165" s="227">
        <v>19.315000000000001</v>
      </c>
      <c r="G165" s="227">
        <v>19.536999999999999</v>
      </c>
      <c r="H165" s="227">
        <v>18.488</v>
      </c>
      <c r="I165" s="227">
        <v>20.303000000000001</v>
      </c>
      <c r="J165" s="227">
        <v>21.943000000000001</v>
      </c>
      <c r="K165" s="227">
        <v>23.033999999999999</v>
      </c>
      <c r="L165" s="227">
        <v>22.227</v>
      </c>
      <c r="M165" s="227">
        <v>20.236000000000001</v>
      </c>
      <c r="N165" s="227">
        <v>21.244</v>
      </c>
      <c r="O165" s="227">
        <v>25.983000000000001</v>
      </c>
      <c r="P165" s="227">
        <v>31.92</v>
      </c>
      <c r="Q165" s="227">
        <v>40.893999999999998</v>
      </c>
      <c r="R165" s="227">
        <v>47.52</v>
      </c>
      <c r="S165" s="227">
        <v>52.988999999999997</v>
      </c>
      <c r="T165" s="227">
        <v>53.758000000000003</v>
      </c>
    </row>
    <row r="166" spans="1:20" ht="14.6" hidden="1" outlineLevel="1">
      <c r="A166" s="226" t="s">
        <v>435</v>
      </c>
      <c r="B166" s="80" t="s">
        <v>466</v>
      </c>
      <c r="C166" s="227">
        <v>18.949000000000002</v>
      </c>
      <c r="D166" s="227">
        <v>19.469000000000001</v>
      </c>
      <c r="E166" s="227">
        <v>18.771000000000001</v>
      </c>
      <c r="F166" s="227">
        <v>17.948</v>
      </c>
      <c r="G166" s="227">
        <v>19.513999999999999</v>
      </c>
      <c r="H166" s="227">
        <v>20.533000000000001</v>
      </c>
      <c r="I166" s="227">
        <v>21.268999999999998</v>
      </c>
      <c r="J166" s="227">
        <v>22.207000000000001</v>
      </c>
      <c r="K166" s="227">
        <v>23.181000000000001</v>
      </c>
      <c r="L166" s="227">
        <v>21.94</v>
      </c>
      <c r="M166" s="227">
        <v>21.710999999999999</v>
      </c>
      <c r="N166" s="227">
        <v>24.940999999999999</v>
      </c>
      <c r="O166" s="227">
        <v>33.444000000000003</v>
      </c>
      <c r="P166" s="227">
        <v>45.078000000000003</v>
      </c>
      <c r="Q166" s="227">
        <v>57.295999999999999</v>
      </c>
      <c r="R166" s="227">
        <v>65.08</v>
      </c>
      <c r="S166" s="227">
        <v>70.274000000000001</v>
      </c>
      <c r="T166" s="227">
        <v>64.320999999999998</v>
      </c>
    </row>
    <row r="167" spans="1:20" ht="14.6" hidden="1" outlineLevel="1">
      <c r="A167" s="226" t="s">
        <v>436</v>
      </c>
      <c r="B167" s="80" t="s">
        <v>466</v>
      </c>
      <c r="C167" s="227">
        <v>20.207000000000001</v>
      </c>
      <c r="D167" s="227">
        <v>22.725999999999999</v>
      </c>
      <c r="E167" s="227">
        <v>21.222000000000001</v>
      </c>
      <c r="F167" s="227">
        <v>20.37</v>
      </c>
      <c r="G167" s="227">
        <v>22.594999999999999</v>
      </c>
      <c r="H167" s="227">
        <v>20.748000000000001</v>
      </c>
      <c r="I167" s="227">
        <v>21.077999999999999</v>
      </c>
      <c r="J167" s="227">
        <v>22.596</v>
      </c>
      <c r="K167" s="227">
        <v>22.585999999999999</v>
      </c>
      <c r="L167" s="227">
        <v>21.489000000000001</v>
      </c>
      <c r="M167" s="227">
        <v>20.542000000000002</v>
      </c>
      <c r="N167" s="227">
        <v>27.678999999999998</v>
      </c>
      <c r="O167" s="227">
        <v>40.854999999999997</v>
      </c>
      <c r="P167" s="227">
        <v>55.363999999999997</v>
      </c>
      <c r="Q167" s="227">
        <v>63.738</v>
      </c>
      <c r="R167" s="227">
        <v>70.016000000000005</v>
      </c>
      <c r="S167" s="227">
        <v>71.052999999999997</v>
      </c>
      <c r="T167" s="227">
        <v>63.816000000000003</v>
      </c>
    </row>
    <row r="168" spans="1:20" ht="14.6" hidden="1" outlineLevel="1">
      <c r="A168" s="226" t="s">
        <v>437</v>
      </c>
      <c r="B168" s="80" t="s">
        <v>466</v>
      </c>
      <c r="C168" s="227">
        <v>27.134</v>
      </c>
      <c r="D168" s="227">
        <v>26.835000000000001</v>
      </c>
      <c r="E168" s="227">
        <v>24.553000000000001</v>
      </c>
      <c r="F168" s="227">
        <v>26.096</v>
      </c>
      <c r="G168" s="227">
        <v>25.259</v>
      </c>
      <c r="H168" s="227">
        <v>21.218</v>
      </c>
      <c r="I168" s="227">
        <v>18.567</v>
      </c>
      <c r="J168" s="227">
        <v>19.541</v>
      </c>
      <c r="K168" s="227">
        <v>19.056000000000001</v>
      </c>
      <c r="L168" s="227">
        <v>17.478000000000002</v>
      </c>
      <c r="M168" s="227">
        <v>19.356999999999999</v>
      </c>
      <c r="N168" s="227">
        <v>28.847000000000001</v>
      </c>
      <c r="O168" s="227">
        <v>34.064999999999998</v>
      </c>
      <c r="P168" s="227">
        <v>42.021999999999998</v>
      </c>
      <c r="Q168" s="227">
        <v>56.595999999999997</v>
      </c>
      <c r="R168" s="227">
        <v>68.209999999999994</v>
      </c>
      <c r="S168" s="227">
        <v>55.369</v>
      </c>
      <c r="T168" s="227">
        <v>51.454000000000001</v>
      </c>
    </row>
    <row r="169" spans="1:20" ht="14.6" hidden="1" outlineLevel="1">
      <c r="A169" s="226" t="s">
        <v>438</v>
      </c>
      <c r="B169" s="80" t="s">
        <v>466</v>
      </c>
      <c r="C169" s="227">
        <v>30.372</v>
      </c>
      <c r="D169" s="227">
        <v>28.434000000000001</v>
      </c>
      <c r="E169" s="227">
        <v>27.298999999999999</v>
      </c>
      <c r="F169" s="227">
        <v>25.655000000000001</v>
      </c>
      <c r="G169" s="227">
        <v>20.303999999999998</v>
      </c>
      <c r="H169" s="227">
        <v>17.245999999999999</v>
      </c>
      <c r="I169" s="227">
        <v>16.66</v>
      </c>
      <c r="J169" s="227">
        <v>16.042999999999999</v>
      </c>
      <c r="K169" s="227">
        <v>14.831</v>
      </c>
      <c r="L169" s="227">
        <v>14.87</v>
      </c>
      <c r="M169" s="227">
        <v>17.286000000000001</v>
      </c>
      <c r="N169" s="227">
        <v>19.462</v>
      </c>
      <c r="O169" s="227">
        <v>15.686</v>
      </c>
      <c r="P169" s="227">
        <v>17.675000000000001</v>
      </c>
      <c r="Q169" s="227">
        <v>23.707999999999998</v>
      </c>
      <c r="R169" s="227">
        <v>27.375</v>
      </c>
      <c r="S169" s="227">
        <v>23.824000000000002</v>
      </c>
      <c r="T169" s="227">
        <v>39.213999999999999</v>
      </c>
    </row>
    <row r="170" spans="1:20" ht="14.6" hidden="1" outlineLevel="1">
      <c r="A170" s="226" t="s">
        <v>439</v>
      </c>
      <c r="B170" s="80" t="s">
        <v>466</v>
      </c>
      <c r="C170" s="227">
        <v>26.062000000000001</v>
      </c>
      <c r="D170" s="227">
        <v>25.158000000000001</v>
      </c>
      <c r="E170" s="227">
        <v>22.533000000000001</v>
      </c>
      <c r="F170" s="227">
        <v>22.681999999999999</v>
      </c>
      <c r="G170" s="227">
        <v>17.155999999999999</v>
      </c>
      <c r="H170" s="227">
        <v>11.795999999999999</v>
      </c>
      <c r="I170" s="227">
        <v>13.923999999999999</v>
      </c>
      <c r="J170" s="227">
        <v>12.077999999999999</v>
      </c>
      <c r="K170" s="227">
        <v>10.186999999999999</v>
      </c>
      <c r="L170" s="227">
        <v>12.207000000000001</v>
      </c>
      <c r="M170" s="227">
        <v>9.6460000000000008</v>
      </c>
      <c r="N170" s="227">
        <v>8.8450000000000006</v>
      </c>
      <c r="O170" s="227">
        <v>6.7510000000000003</v>
      </c>
      <c r="P170" s="227">
        <v>5.6890000000000001</v>
      </c>
      <c r="Q170" s="227">
        <v>5.5659999999999998</v>
      </c>
      <c r="R170" s="227">
        <v>6.3410000000000002</v>
      </c>
      <c r="S170" s="227">
        <v>5.4420000000000002</v>
      </c>
      <c r="T170" s="227">
        <v>14.345000000000001</v>
      </c>
    </row>
    <row r="171" spans="1:20" ht="14.6" hidden="1" outlineLevel="1">
      <c r="A171" s="226" t="s">
        <v>440</v>
      </c>
      <c r="B171" s="80" t="s">
        <v>466</v>
      </c>
      <c r="C171" s="227">
        <v>19.292999999999999</v>
      </c>
      <c r="D171" s="227">
        <v>18.091000000000001</v>
      </c>
      <c r="E171" s="227">
        <v>16.710999999999999</v>
      </c>
      <c r="F171" s="227">
        <v>12.821999999999999</v>
      </c>
      <c r="G171" s="227">
        <v>12.532</v>
      </c>
      <c r="H171" s="227">
        <v>8.7750000000000004</v>
      </c>
      <c r="I171" s="227">
        <v>8.6020000000000003</v>
      </c>
      <c r="J171" s="227">
        <v>7.4370000000000003</v>
      </c>
      <c r="K171" s="227">
        <v>7.5190000000000001</v>
      </c>
      <c r="L171" s="227">
        <v>6.0179999999999998</v>
      </c>
      <c r="M171" s="227">
        <v>9.0980000000000008</v>
      </c>
      <c r="N171" s="227">
        <v>2.9129999999999998</v>
      </c>
      <c r="O171" s="227">
        <v>3.76</v>
      </c>
      <c r="P171" s="227">
        <v>3.0059999999999998</v>
      </c>
      <c r="Q171" s="227">
        <v>4.149</v>
      </c>
      <c r="R171" s="227">
        <v>3.6459999999999999</v>
      </c>
      <c r="S171" s="227">
        <v>3.2890000000000001</v>
      </c>
      <c r="T171" s="227">
        <v>2.1749999999999998</v>
      </c>
    </row>
    <row r="172" spans="1:20" ht="14.6" hidden="1" outlineLevel="1">
      <c r="A172" s="226" t="s">
        <v>441</v>
      </c>
      <c r="B172" s="80" t="s">
        <v>466</v>
      </c>
      <c r="C172" s="227">
        <v>7.234</v>
      </c>
      <c r="D172" s="227">
        <v>11.692</v>
      </c>
      <c r="E172" s="227">
        <v>16.879000000000001</v>
      </c>
      <c r="F172" s="227">
        <v>9.8789999999999996</v>
      </c>
      <c r="G172" s="227">
        <v>10.785</v>
      </c>
      <c r="H172" s="227">
        <v>7.9589999999999996</v>
      </c>
      <c r="I172" s="227">
        <v>7.9770000000000003</v>
      </c>
      <c r="J172" s="227">
        <v>8.8529999999999998</v>
      </c>
      <c r="K172" s="227">
        <v>4.3390000000000004</v>
      </c>
      <c r="L172" s="227">
        <v>1.964</v>
      </c>
      <c r="M172" s="227">
        <v>3.2839999999999998</v>
      </c>
      <c r="N172" s="227">
        <v>2.161</v>
      </c>
      <c r="O172" s="227">
        <v>1.1679999999999999</v>
      </c>
      <c r="P172" s="227">
        <v>1.2509999999999999</v>
      </c>
      <c r="Q172" s="227">
        <v>2.5529999999999999</v>
      </c>
      <c r="R172" s="227">
        <v>0.95599999999999996</v>
      </c>
      <c r="S172" s="227">
        <v>1.113</v>
      </c>
      <c r="T172" s="227">
        <v>1.742</v>
      </c>
    </row>
    <row r="173" spans="1:20" ht="14.6" hidden="1" outlineLevel="1">
      <c r="A173" s="226" t="s">
        <v>442</v>
      </c>
      <c r="B173" s="80" t="s">
        <v>466</v>
      </c>
      <c r="C173" s="227">
        <v>16.143999999999998</v>
      </c>
      <c r="D173" s="227">
        <v>27.556000000000001</v>
      </c>
      <c r="E173" s="227">
        <v>12.041</v>
      </c>
      <c r="F173" s="227">
        <v>5.7859999999999996</v>
      </c>
      <c r="G173" s="227">
        <v>2.7770000000000001</v>
      </c>
      <c r="H173" s="227">
        <v>2.9769999999999999</v>
      </c>
      <c r="I173" s="227">
        <v>1.883</v>
      </c>
      <c r="J173" s="227">
        <v>7.0000000000000007E-2</v>
      </c>
      <c r="K173" s="227">
        <v>1.8320000000000001</v>
      </c>
      <c r="L173" s="227">
        <v>2.3239999999999998</v>
      </c>
      <c r="M173" s="227">
        <v>2.0830000000000002</v>
      </c>
      <c r="N173" s="227">
        <v>0.38800000000000001</v>
      </c>
      <c r="O173" s="227">
        <v>5.0000000000000001E-3</v>
      </c>
      <c r="P173" s="227">
        <v>3.0000000000000001E-3</v>
      </c>
      <c r="Q173" s="227">
        <v>4.0000000000000001E-3</v>
      </c>
      <c r="R173" s="227">
        <v>0.56499999999999995</v>
      </c>
      <c r="S173" s="227">
        <v>0.65800000000000003</v>
      </c>
      <c r="T173" s="227">
        <v>0.41</v>
      </c>
    </row>
    <row r="174" spans="1:20" ht="14.6">
      <c r="A174" s="209"/>
      <c r="C174" s="40">
        <v>2000</v>
      </c>
      <c r="D174" s="40">
        <v>2001</v>
      </c>
      <c r="E174" s="40">
        <v>2002</v>
      </c>
      <c r="F174" s="40">
        <v>2003</v>
      </c>
      <c r="G174" s="40">
        <v>2004</v>
      </c>
      <c r="H174" s="40">
        <v>2005</v>
      </c>
      <c r="I174" s="40">
        <v>2006</v>
      </c>
      <c r="J174" s="40">
        <v>2007</v>
      </c>
      <c r="K174" s="40">
        <v>2008</v>
      </c>
      <c r="L174" s="40">
        <v>2009</v>
      </c>
      <c r="M174" s="40">
        <v>2010</v>
      </c>
      <c r="N174" s="40">
        <v>2011</v>
      </c>
      <c r="O174" s="40">
        <v>2012</v>
      </c>
      <c r="P174" s="40">
        <v>2013</v>
      </c>
      <c r="Q174" s="40">
        <v>2014</v>
      </c>
      <c r="R174" s="40">
        <v>2015</v>
      </c>
      <c r="S174" s="40">
        <v>2016</v>
      </c>
      <c r="T174" s="40">
        <v>2017</v>
      </c>
    </row>
    <row r="175" spans="1:20" ht="14.6">
      <c r="A175" s="209"/>
      <c r="B175" s="151" t="s">
        <v>470</v>
      </c>
      <c r="C175" s="232">
        <f t="shared" ref="C175:T175" si="4">SUM(C86:C107)</f>
        <v>1526.8440000000003</v>
      </c>
      <c r="D175" s="232">
        <f t="shared" si="4"/>
        <v>1508.7829999999999</v>
      </c>
      <c r="E175" s="232">
        <f t="shared" si="4"/>
        <v>1491.3449999999998</v>
      </c>
      <c r="F175" s="232">
        <f t="shared" si="4"/>
        <v>1477.1580000000001</v>
      </c>
      <c r="G175" s="232">
        <f t="shared" si="4"/>
        <v>1438.0459999999998</v>
      </c>
      <c r="H175" s="232">
        <f t="shared" si="4"/>
        <v>1379.8080000000002</v>
      </c>
      <c r="I175" s="232">
        <f t="shared" si="4"/>
        <v>1382.1979999999999</v>
      </c>
      <c r="J175" s="232">
        <f t="shared" si="4"/>
        <v>1384.6369999999999</v>
      </c>
      <c r="K175" s="232">
        <f t="shared" si="4"/>
        <v>1377.3739999999998</v>
      </c>
      <c r="L175" s="232">
        <f t="shared" si="4"/>
        <v>1518.2090000000001</v>
      </c>
      <c r="M175" s="232">
        <f t="shared" si="4"/>
        <v>1578.6860000000001</v>
      </c>
      <c r="N175" s="232">
        <f t="shared" si="4"/>
        <v>1644.414</v>
      </c>
      <c r="O175" s="232">
        <f t="shared" si="4"/>
        <v>1944.2180000000003</v>
      </c>
      <c r="P175" s="232">
        <f t="shared" si="4"/>
        <v>2253.3670000000006</v>
      </c>
      <c r="Q175" s="232">
        <f t="shared" si="4"/>
        <v>2675.7099999999996</v>
      </c>
      <c r="R175" s="232">
        <f t="shared" si="4"/>
        <v>2887.9860000000003</v>
      </c>
      <c r="S175" s="232">
        <f t="shared" si="4"/>
        <v>2682.4920000000002</v>
      </c>
      <c r="T175" s="232">
        <f t="shared" si="4"/>
        <v>2838.576</v>
      </c>
    </row>
    <row r="176" spans="1:20" ht="14.6">
      <c r="A176" s="209"/>
      <c r="B176" s="151" t="s">
        <v>471</v>
      </c>
      <c r="C176" s="232">
        <f t="shared" ref="C176:T176" si="5">SUM(C108:C129)</f>
        <v>1464.6559999999999</v>
      </c>
      <c r="D176" s="232">
        <f t="shared" si="5"/>
        <v>1494.1210000000001</v>
      </c>
      <c r="E176" s="232">
        <f t="shared" si="5"/>
        <v>1430.0439999999999</v>
      </c>
      <c r="F176" s="232">
        <f t="shared" si="5"/>
        <v>1397.078</v>
      </c>
      <c r="G176" s="232">
        <f t="shared" si="5"/>
        <v>1353.6169999999997</v>
      </c>
      <c r="H176" s="232">
        <f t="shared" si="5"/>
        <v>1267.5140000000001</v>
      </c>
      <c r="I176" s="232">
        <f t="shared" si="5"/>
        <v>1261.0679999999998</v>
      </c>
      <c r="J176" s="232">
        <f t="shared" si="5"/>
        <v>1257.2089999999998</v>
      </c>
      <c r="K176" s="232">
        <f t="shared" si="5"/>
        <v>1207.9079999999999</v>
      </c>
      <c r="L176" s="232">
        <f t="shared" si="5"/>
        <v>1322.2429999999997</v>
      </c>
      <c r="M176" s="232">
        <f t="shared" si="5"/>
        <v>1421.9879999999998</v>
      </c>
      <c r="N176" s="232">
        <f t="shared" si="5"/>
        <v>1643.9150000000004</v>
      </c>
      <c r="O176" s="232">
        <f t="shared" si="5"/>
        <v>2162.7980000000002</v>
      </c>
      <c r="P176" s="232">
        <f t="shared" si="5"/>
        <v>2707.4349999999999</v>
      </c>
      <c r="Q176" s="232">
        <f t="shared" si="5"/>
        <v>3454.49</v>
      </c>
      <c r="R176" s="232">
        <f t="shared" si="5"/>
        <v>4098.4110000000001</v>
      </c>
      <c r="S176" s="232">
        <f t="shared" si="5"/>
        <v>3909.9649999999992</v>
      </c>
      <c r="T176" s="232">
        <f t="shared" si="5"/>
        <v>4190.5459999999994</v>
      </c>
    </row>
    <row r="177" spans="1:53" ht="14.6">
      <c r="A177" s="209"/>
      <c r="B177" s="151" t="s">
        <v>473</v>
      </c>
      <c r="C177" s="232">
        <f t="shared" ref="C177:T177" si="6">SUM(C130:C151)</f>
        <v>19179.5</v>
      </c>
      <c r="D177" s="232">
        <f t="shared" si="6"/>
        <v>19514.414000000004</v>
      </c>
      <c r="E177" s="232">
        <f t="shared" si="6"/>
        <v>18881.842000000001</v>
      </c>
      <c r="F177" s="232">
        <f t="shared" si="6"/>
        <v>18970.607</v>
      </c>
      <c r="G177" s="232">
        <f t="shared" si="6"/>
        <v>18881.078000000001</v>
      </c>
      <c r="H177" s="232">
        <f t="shared" si="6"/>
        <v>18408.433000000001</v>
      </c>
      <c r="I177" s="232">
        <f t="shared" si="6"/>
        <v>18942.510999999999</v>
      </c>
      <c r="J177" s="232">
        <f t="shared" si="6"/>
        <v>19689.622000000003</v>
      </c>
      <c r="K177" s="232">
        <f t="shared" si="6"/>
        <v>20845.819000000003</v>
      </c>
      <c r="L177" s="232">
        <f t="shared" si="6"/>
        <v>21203.541000000001</v>
      </c>
      <c r="M177" s="232">
        <f t="shared" si="6"/>
        <v>21972.71</v>
      </c>
      <c r="N177" s="232">
        <f t="shared" si="6"/>
        <v>23221.542000000001</v>
      </c>
      <c r="O177" s="232">
        <f t="shared" si="6"/>
        <v>23796.43</v>
      </c>
      <c r="P177" s="232">
        <f t="shared" si="6"/>
        <v>23735.786999999997</v>
      </c>
      <c r="Q177" s="232">
        <f t="shared" si="6"/>
        <v>24742.560999999998</v>
      </c>
      <c r="R177" s="232">
        <f t="shared" si="6"/>
        <v>25484.181</v>
      </c>
      <c r="S177" s="232">
        <f t="shared" si="6"/>
        <v>25277.051000000003</v>
      </c>
      <c r="T177" s="232">
        <f t="shared" si="6"/>
        <v>25689.822999999997</v>
      </c>
    </row>
    <row r="178" spans="1:53" ht="14.6">
      <c r="A178" s="209"/>
      <c r="B178" s="151" t="s">
        <v>474</v>
      </c>
      <c r="C178" s="232">
        <f t="shared" ref="C178:T178" si="7">SUM(C152:C173)</f>
        <v>233.15300000000005</v>
      </c>
      <c r="D178" s="232">
        <f t="shared" si="7"/>
        <v>249.64400000000003</v>
      </c>
      <c r="E178" s="232">
        <f t="shared" si="7"/>
        <v>230.46299999999999</v>
      </c>
      <c r="F178" s="232">
        <f t="shared" si="7"/>
        <v>213.48499999999999</v>
      </c>
      <c r="G178" s="232">
        <f t="shared" si="7"/>
        <v>205.22</v>
      </c>
      <c r="H178" s="232">
        <f t="shared" si="7"/>
        <v>185.49</v>
      </c>
      <c r="I178" s="232">
        <f t="shared" si="7"/>
        <v>189.09700000000004</v>
      </c>
      <c r="J178" s="232">
        <f t="shared" si="7"/>
        <v>191.68500000000003</v>
      </c>
      <c r="K178" s="232">
        <f t="shared" si="7"/>
        <v>191.46700000000001</v>
      </c>
      <c r="L178" s="232">
        <f t="shared" si="7"/>
        <v>187.084</v>
      </c>
      <c r="M178" s="232">
        <f t="shared" si="7"/>
        <v>190.59299999999999</v>
      </c>
      <c r="N178" s="232">
        <f t="shared" si="7"/>
        <v>204.577</v>
      </c>
      <c r="O178" s="232">
        <f t="shared" si="7"/>
        <v>231.751</v>
      </c>
      <c r="P178" s="232">
        <f t="shared" si="7"/>
        <v>273.98499999999996</v>
      </c>
      <c r="Q178" s="232">
        <f t="shared" si="7"/>
        <v>329.85099999999994</v>
      </c>
      <c r="R178" s="232">
        <f t="shared" si="7"/>
        <v>367.86400000000003</v>
      </c>
      <c r="S178" s="232">
        <f t="shared" si="7"/>
        <v>363.46199999999999</v>
      </c>
      <c r="T178" s="232">
        <f t="shared" si="7"/>
        <v>370.32800000000009</v>
      </c>
    </row>
    <row r="179" spans="1:53" ht="14.6">
      <c r="A179" s="209"/>
    </row>
    <row r="180" spans="1:53" ht="14.6">
      <c r="A180" s="209" t="s">
        <v>476</v>
      </c>
      <c r="M180" s="234">
        <f t="shared" ref="M180:U180" si="8">L182*(M253/L253)</f>
        <v>12.450163929440219</v>
      </c>
      <c r="N180" s="234">
        <f t="shared" si="8"/>
        <v>11.400078744433245</v>
      </c>
      <c r="O180" s="234">
        <f t="shared" si="8"/>
        <v>12.899536674670957</v>
      </c>
      <c r="P180" s="234">
        <f t="shared" si="8"/>
        <v>12.20754647051505</v>
      </c>
      <c r="Q180" s="234">
        <f t="shared" si="8"/>
        <v>13.235268817062956</v>
      </c>
      <c r="R180" s="234">
        <f t="shared" si="8"/>
        <v>12.143605444509838</v>
      </c>
      <c r="S180" s="234">
        <f t="shared" si="8"/>
        <v>10.432262770071032</v>
      </c>
      <c r="T180" s="234">
        <f t="shared" si="8"/>
        <v>11.219916322457973</v>
      </c>
      <c r="U180" s="234">
        <f t="shared" si="8"/>
        <v>11.711065569080473</v>
      </c>
    </row>
    <row r="181" spans="1:53" ht="14.6">
      <c r="A181" s="226" t="s">
        <v>478</v>
      </c>
      <c r="B181" s="80" t="s">
        <v>479</v>
      </c>
      <c r="L181" s="144">
        <v>16.05</v>
      </c>
      <c r="M181" s="144">
        <v>14.9</v>
      </c>
      <c r="N181" s="144">
        <v>17.09</v>
      </c>
      <c r="O181" s="144">
        <v>15.86</v>
      </c>
      <c r="P181" s="144">
        <v>16.149999999999999</v>
      </c>
      <c r="Q181" s="144">
        <v>16.91</v>
      </c>
      <c r="R181" s="144">
        <v>14.81</v>
      </c>
      <c r="S181" s="144">
        <v>13.62</v>
      </c>
      <c r="T181" s="144">
        <v>13.3</v>
      </c>
    </row>
    <row r="182" spans="1:53" ht="14.6">
      <c r="A182" s="226" t="s">
        <v>480</v>
      </c>
      <c r="B182" s="80" t="s">
        <v>479</v>
      </c>
      <c r="C182" s="235">
        <f t="shared" ref="C182:K182" si="9">D182*(C253/D253)</f>
        <v>7.1563934413911152</v>
      </c>
      <c r="D182" s="235">
        <f t="shared" si="9"/>
        <v>7.1563934413911152</v>
      </c>
      <c r="E182" s="235">
        <f t="shared" si="9"/>
        <v>7.1563934413911152</v>
      </c>
      <c r="F182" s="235">
        <f t="shared" si="9"/>
        <v>7.4995081919992685</v>
      </c>
      <c r="G182" s="235">
        <f t="shared" si="9"/>
        <v>7.9896721285958803</v>
      </c>
      <c r="H182" s="235">
        <f t="shared" si="9"/>
        <v>9.264098359453234</v>
      </c>
      <c r="I182" s="235">
        <f t="shared" si="9"/>
        <v>9.5091803241733412</v>
      </c>
      <c r="J182" s="235">
        <f t="shared" si="9"/>
        <v>10.734590162086672</v>
      </c>
      <c r="K182" s="235">
        <f t="shared" si="9"/>
        <v>12.940327866036831</v>
      </c>
      <c r="L182" s="144">
        <v>11.96</v>
      </c>
      <c r="M182" s="144">
        <v>11.18</v>
      </c>
      <c r="N182" s="144">
        <v>12.42</v>
      </c>
      <c r="O182" s="144">
        <v>11.77</v>
      </c>
      <c r="P182" s="144">
        <v>12.56</v>
      </c>
      <c r="Q182" s="144">
        <v>13.03</v>
      </c>
      <c r="R182" s="144">
        <v>11.96</v>
      </c>
      <c r="S182" s="144">
        <v>10.99</v>
      </c>
      <c r="T182" s="144">
        <v>11.25</v>
      </c>
      <c r="U182" s="144">
        <v>10.210000000000001</v>
      </c>
    </row>
    <row r="183" spans="1:53" ht="14.6">
      <c r="A183" s="226" t="s">
        <v>481</v>
      </c>
      <c r="B183" s="80" t="s">
        <v>482</v>
      </c>
      <c r="L183" s="144">
        <v>1.67</v>
      </c>
      <c r="M183" s="144">
        <v>1.62</v>
      </c>
      <c r="N183" s="144">
        <v>1.73</v>
      </c>
      <c r="O183" s="144">
        <v>1.74</v>
      </c>
      <c r="P183" s="144">
        <v>1.89</v>
      </c>
      <c r="Q183" s="144">
        <v>1.9</v>
      </c>
      <c r="R183" s="144">
        <v>1.86</v>
      </c>
      <c r="S183" s="144">
        <v>1.71</v>
      </c>
      <c r="T183" s="144">
        <v>1.82</v>
      </c>
    </row>
    <row r="184" spans="1:53" ht="14.6">
      <c r="A184" s="226" t="s">
        <v>480</v>
      </c>
      <c r="B184" s="80" t="s">
        <v>482</v>
      </c>
      <c r="L184" s="144">
        <v>2.06</v>
      </c>
      <c r="M184" s="144">
        <v>1.93</v>
      </c>
      <c r="N184" s="144">
        <v>2.14</v>
      </c>
      <c r="O184" s="144">
        <v>2.02</v>
      </c>
      <c r="P184" s="144">
        <v>2.15</v>
      </c>
      <c r="Q184" s="144">
        <v>2.23</v>
      </c>
      <c r="R184" s="144">
        <v>2.04</v>
      </c>
      <c r="S184" s="144">
        <v>1.88</v>
      </c>
      <c r="T184" s="144">
        <v>1.92</v>
      </c>
    </row>
    <row r="185" spans="1:53" ht="14.6">
      <c r="A185" s="209"/>
      <c r="B185" s="127" t="s">
        <v>483</v>
      </c>
      <c r="C185" s="127">
        <v>5.84</v>
      </c>
      <c r="D185" s="127">
        <v>5.8</v>
      </c>
      <c r="E185" s="127">
        <v>5.74</v>
      </c>
      <c r="F185" s="127">
        <v>5.65</v>
      </c>
      <c r="G185" s="127">
        <v>5.46</v>
      </c>
      <c r="H185" s="127">
        <v>5.18</v>
      </c>
      <c r="I185" s="127">
        <v>5.09</v>
      </c>
      <c r="J185" s="127">
        <v>5.07</v>
      </c>
      <c r="K185" s="127">
        <v>5.01</v>
      </c>
      <c r="L185" s="127">
        <v>5.35</v>
      </c>
      <c r="M185" s="127">
        <v>5.48</v>
      </c>
      <c r="N185" s="127">
        <v>5.65</v>
      </c>
      <c r="O185" s="127">
        <v>6.52</v>
      </c>
      <c r="P185" s="127">
        <v>7.47</v>
      </c>
      <c r="Q185" s="127">
        <v>8.76</v>
      </c>
      <c r="R185" s="127">
        <v>9.43</v>
      </c>
      <c r="S185" s="127">
        <v>8.85</v>
      </c>
      <c r="T185" s="127">
        <v>9.35</v>
      </c>
      <c r="U185" s="80">
        <v>10.96</v>
      </c>
    </row>
    <row r="186" spans="1:53" ht="14.6">
      <c r="A186" s="209">
        <v>5.7</v>
      </c>
      <c r="B186" s="127" t="s">
        <v>484</v>
      </c>
      <c r="C186" s="236">
        <v>66.229789999999994</v>
      </c>
      <c r="D186" s="236">
        <v>67.125420000000005</v>
      </c>
      <c r="E186" s="236">
        <v>65.592550000000003</v>
      </c>
      <c r="F186" s="236">
        <v>66.079390000000004</v>
      </c>
      <c r="G186" s="236">
        <v>65.670349999999999</v>
      </c>
      <c r="H186" s="236">
        <v>64.265270000000001</v>
      </c>
      <c r="I186" s="236">
        <v>64.479500000000002</v>
      </c>
      <c r="J186" s="236">
        <v>67.571659999999994</v>
      </c>
      <c r="K186" s="236">
        <v>70.236320500000005</v>
      </c>
      <c r="L186" s="236">
        <v>71.388750000000002</v>
      </c>
      <c r="M186" s="236">
        <v>73.468729999999994</v>
      </c>
      <c r="N186" s="236">
        <v>78.024730000000005</v>
      </c>
      <c r="O186" s="236">
        <v>80.937839999999994</v>
      </c>
      <c r="P186" s="236">
        <v>80.883700000000005</v>
      </c>
      <c r="Q186" s="236">
        <v>86.042140000000003</v>
      </c>
      <c r="R186" s="236">
        <v>90.177120000000002</v>
      </c>
      <c r="S186" s="236">
        <v>89.291989999999998</v>
      </c>
      <c r="T186" s="236">
        <v>91.390069999999994</v>
      </c>
      <c r="U186" s="80">
        <v>101.37</v>
      </c>
    </row>
    <row r="187" spans="1:53" ht="14.25" customHeight="1">
      <c r="A187" s="209"/>
      <c r="B187" s="127" t="s">
        <v>486</v>
      </c>
      <c r="C187" s="123">
        <f t="shared" ref="C187:U187" si="10">0.365*(C185+C186/$A$186)</f>
        <v>6.3726304122807003</v>
      </c>
      <c r="D187" s="123">
        <f t="shared" si="10"/>
        <v>6.4153821578947374</v>
      </c>
      <c r="E187" s="123">
        <f t="shared" si="10"/>
        <v>6.2953246929824562</v>
      </c>
      <c r="F187" s="123">
        <f t="shared" si="10"/>
        <v>6.2936495350877193</v>
      </c>
      <c r="G187" s="123">
        <f t="shared" si="10"/>
        <v>6.1981066228070167</v>
      </c>
      <c r="H187" s="123">
        <f t="shared" si="10"/>
        <v>6.0059322017543852</v>
      </c>
      <c r="I187" s="123">
        <f t="shared" si="10"/>
        <v>5.9868004385964921</v>
      </c>
      <c r="J187" s="123">
        <f t="shared" si="10"/>
        <v>6.1775071754385973</v>
      </c>
      <c r="K187" s="123">
        <f t="shared" si="10"/>
        <v>6.3262389442982458</v>
      </c>
      <c r="L187" s="123">
        <f t="shared" si="10"/>
        <v>6.5241348684210525</v>
      </c>
      <c r="M187" s="123">
        <f t="shared" si="10"/>
        <v>6.7047765701754383</v>
      </c>
      <c r="N187" s="123">
        <f t="shared" si="10"/>
        <v>7.0585704298245613</v>
      </c>
      <c r="O187" s="123">
        <f t="shared" si="10"/>
        <v>7.5626616842105259</v>
      </c>
      <c r="P187" s="123">
        <f t="shared" si="10"/>
        <v>7.905944824561403</v>
      </c>
      <c r="Q187" s="123">
        <f t="shared" si="10"/>
        <v>8.7071159824561395</v>
      </c>
      <c r="R187" s="123">
        <f t="shared" si="10"/>
        <v>9.2164497894736837</v>
      </c>
      <c r="S187" s="123">
        <f t="shared" si="10"/>
        <v>8.9480704122807015</v>
      </c>
      <c r="T187" s="123">
        <f t="shared" si="10"/>
        <v>9.2649211491228058</v>
      </c>
      <c r="U187" s="123">
        <f t="shared" si="10"/>
        <v>10.491636842105263</v>
      </c>
    </row>
    <row r="188" spans="1:53" ht="14.6">
      <c r="A188" s="209"/>
      <c r="B188" s="237" t="s">
        <v>487</v>
      </c>
      <c r="C188" s="238">
        <f t="shared" ref="C188:U188" si="11">C187*C182</f>
        <v>45.605050486855163</v>
      </c>
      <c r="D188" s="238">
        <f t="shared" si="11"/>
        <v>45.910998798775481</v>
      </c>
      <c r="E188" s="238">
        <f t="shared" si="11"/>
        <v>45.051820344287187</v>
      </c>
      <c r="F188" s="238">
        <f t="shared" si="11"/>
        <v>47.199276245962736</v>
      </c>
      <c r="G188" s="238">
        <f t="shared" si="11"/>
        <v>49.520839734306762</v>
      </c>
      <c r="H188" s="238">
        <f t="shared" si="11"/>
        <v>55.639546657260148</v>
      </c>
      <c r="I188" s="238">
        <f t="shared" si="11"/>
        <v>56.929564935454096</v>
      </c>
      <c r="J188" s="238">
        <f t="shared" si="11"/>
        <v>66.313007751682989</v>
      </c>
      <c r="K188" s="238">
        <f t="shared" si="11"/>
        <v>81.863606098110012</v>
      </c>
      <c r="L188" s="238">
        <f t="shared" si="11"/>
        <v>78.028653026315794</v>
      </c>
      <c r="M188" s="238">
        <f t="shared" si="11"/>
        <v>74.959402054561394</v>
      </c>
      <c r="N188" s="238">
        <f t="shared" si="11"/>
        <v>87.667444738421054</v>
      </c>
      <c r="O188" s="238">
        <f t="shared" si="11"/>
        <v>89.012528023157884</v>
      </c>
      <c r="P188" s="238">
        <f t="shared" si="11"/>
        <v>99.298666996491221</v>
      </c>
      <c r="Q188" s="238">
        <f t="shared" si="11"/>
        <v>113.45372125140349</v>
      </c>
      <c r="R188" s="238">
        <f t="shared" si="11"/>
        <v>110.22873948210527</v>
      </c>
      <c r="S188" s="238">
        <f t="shared" si="11"/>
        <v>98.339293830964905</v>
      </c>
      <c r="T188" s="238">
        <f t="shared" si="11"/>
        <v>104.23036292763156</v>
      </c>
      <c r="U188" s="238">
        <f t="shared" si="11"/>
        <v>107.11961215789475</v>
      </c>
      <c r="V188" s="238">
        <f t="shared" ref="V188:BA188" si="12">77.1+21.2*LN(V308)</f>
        <v>120.17735024610708</v>
      </c>
      <c r="W188" s="238">
        <f t="shared" si="12"/>
        <v>122.57725781979678</v>
      </c>
      <c r="X188" s="238">
        <f t="shared" si="12"/>
        <v>123.71029336957548</v>
      </c>
      <c r="Y188" s="238">
        <f t="shared" si="12"/>
        <v>123.93621597651745</v>
      </c>
      <c r="Z188" s="238">
        <f t="shared" si="12"/>
        <v>123.92647828521174</v>
      </c>
      <c r="AA188" s="238">
        <f t="shared" si="12"/>
        <v>124.46262076940582</v>
      </c>
      <c r="AB188" s="238">
        <f t="shared" si="12"/>
        <v>124.71444239767362</v>
      </c>
      <c r="AC188" s="238">
        <f t="shared" si="12"/>
        <v>125.23306816116096</v>
      </c>
      <c r="AD188" s="238">
        <f t="shared" si="12"/>
        <v>125.84260753871212</v>
      </c>
      <c r="AE188" s="238">
        <f t="shared" si="12"/>
        <v>125.92966420208558</v>
      </c>
      <c r="AF188" s="238">
        <f t="shared" si="12"/>
        <v>126.18487314276533</v>
      </c>
      <c r="AG188" s="238">
        <f t="shared" si="12"/>
        <v>126.37150881188458</v>
      </c>
      <c r="AH188" s="238">
        <f t="shared" si="12"/>
        <v>126.50696946560529</v>
      </c>
      <c r="AI188" s="238">
        <f t="shared" si="12"/>
        <v>126.42002060316656</v>
      </c>
      <c r="AJ188" s="238">
        <f t="shared" si="12"/>
        <v>126.2653176185395</v>
      </c>
      <c r="AK188" s="238">
        <f t="shared" si="12"/>
        <v>126.19794720157083</v>
      </c>
      <c r="AL188" s="238">
        <f t="shared" si="12"/>
        <v>125.97829185256657</v>
      </c>
      <c r="AM188" s="238">
        <f t="shared" si="12"/>
        <v>125.68817522169107</v>
      </c>
      <c r="AN188" s="238">
        <f t="shared" si="12"/>
        <v>125.35111335679282</v>
      </c>
      <c r="AO188" s="238">
        <f t="shared" si="12"/>
        <v>125.13231262909414</v>
      </c>
      <c r="AP188" s="238">
        <f t="shared" si="12"/>
        <v>124.93919414421819</v>
      </c>
      <c r="AQ188" s="238">
        <f t="shared" si="12"/>
        <v>124.73642402316753</v>
      </c>
      <c r="AR188" s="238">
        <f t="shared" si="12"/>
        <v>124.67778784265644</v>
      </c>
      <c r="AS188" s="238">
        <f t="shared" si="12"/>
        <v>124.53084712421816</v>
      </c>
      <c r="AT188" s="238">
        <f t="shared" si="12"/>
        <v>124.30424885861117</v>
      </c>
      <c r="AU188" s="238">
        <f t="shared" si="12"/>
        <v>124.08827602821361</v>
      </c>
      <c r="AV188" s="238">
        <f t="shared" si="12"/>
        <v>123.69608294236087</v>
      </c>
      <c r="AW188" s="238">
        <f t="shared" si="12"/>
        <v>123.38642746354371</v>
      </c>
      <c r="AX188" s="238">
        <f t="shared" si="12"/>
        <v>123.13886608674906</v>
      </c>
      <c r="AY188" s="238">
        <f t="shared" si="12"/>
        <v>122.89070255736658</v>
      </c>
      <c r="AZ188" s="238">
        <f t="shared" si="12"/>
        <v>122.43035873467826</v>
      </c>
      <c r="BA188" s="238">
        <f t="shared" si="12"/>
        <v>122.16100242094498</v>
      </c>
    </row>
    <row r="189" spans="1:53" ht="14.6">
      <c r="A189" s="209" t="s">
        <v>489</v>
      </c>
      <c r="C189" s="40">
        <v>2000</v>
      </c>
      <c r="D189" s="40">
        <v>2001</v>
      </c>
      <c r="E189" s="40">
        <v>2002</v>
      </c>
      <c r="F189" s="40">
        <v>2003</v>
      </c>
      <c r="G189" s="40">
        <v>2004</v>
      </c>
      <c r="H189" s="40">
        <v>2005</v>
      </c>
      <c r="I189" s="40">
        <v>2006</v>
      </c>
      <c r="J189" s="40">
        <v>2007</v>
      </c>
      <c r="K189" s="40">
        <v>2008</v>
      </c>
      <c r="L189" s="40">
        <v>2009</v>
      </c>
      <c r="M189" s="40">
        <v>2010</v>
      </c>
      <c r="N189" s="40">
        <v>2011</v>
      </c>
      <c r="O189" s="40">
        <v>2012</v>
      </c>
      <c r="P189" s="40">
        <v>2013</v>
      </c>
      <c r="Q189" s="40">
        <v>2014</v>
      </c>
      <c r="R189" s="40">
        <v>2015</v>
      </c>
      <c r="S189" s="40">
        <v>2016</v>
      </c>
      <c r="T189" s="40">
        <v>2017</v>
      </c>
      <c r="U189" s="40">
        <v>2018</v>
      </c>
    </row>
    <row r="190" spans="1:53" ht="14.6">
      <c r="A190" s="209"/>
      <c r="B190" s="80" t="s">
        <v>490</v>
      </c>
    </row>
    <row r="191" spans="1:53" ht="14.6">
      <c r="A191" s="209"/>
      <c r="B191" s="151" t="s">
        <v>491</v>
      </c>
      <c r="K191" s="239"/>
      <c r="L191" s="240">
        <v>2.2000000000000002</v>
      </c>
      <c r="M191" s="240">
        <v>2.4</v>
      </c>
      <c r="N191" s="240">
        <v>2.5</v>
      </c>
      <c r="O191" s="240">
        <v>2.5</v>
      </c>
      <c r="P191" s="240">
        <v>2.5</v>
      </c>
      <c r="Q191" s="240">
        <v>2.6</v>
      </c>
      <c r="R191" s="241"/>
      <c r="S191" s="234"/>
      <c r="T191" s="144"/>
      <c r="U191" s="144">
        <v>2.7</v>
      </c>
    </row>
    <row r="192" spans="1:53" ht="14.6">
      <c r="A192" s="209"/>
      <c r="B192" s="151" t="s">
        <v>492</v>
      </c>
      <c r="K192" s="240"/>
      <c r="L192" s="240">
        <v>2.5</v>
      </c>
      <c r="M192" s="240">
        <v>2.7</v>
      </c>
      <c r="N192" s="240">
        <v>2.8</v>
      </c>
      <c r="O192" s="240">
        <v>2.7</v>
      </c>
      <c r="P192" s="240">
        <v>2.6</v>
      </c>
      <c r="Q192" s="240">
        <v>2.9</v>
      </c>
      <c r="R192" s="241"/>
      <c r="S192" s="234"/>
      <c r="T192" s="234"/>
      <c r="U192" s="144">
        <v>2.8</v>
      </c>
    </row>
    <row r="193" spans="1:21" ht="14.6">
      <c r="A193" s="209"/>
      <c r="B193" s="151" t="s">
        <v>493</v>
      </c>
      <c r="K193" s="240">
        <v>4</v>
      </c>
      <c r="L193" s="240">
        <v>3.2</v>
      </c>
      <c r="M193" s="240">
        <v>3.5</v>
      </c>
      <c r="N193" s="240">
        <v>3.75</v>
      </c>
      <c r="O193" s="240">
        <v>3.7</v>
      </c>
      <c r="P193" s="240">
        <v>3.6</v>
      </c>
      <c r="Q193" s="240">
        <v>3.6</v>
      </c>
      <c r="R193" s="241"/>
      <c r="S193" s="234"/>
      <c r="T193" s="234"/>
      <c r="U193" s="144">
        <v>3.3</v>
      </c>
    </row>
    <row r="194" spans="1:21" ht="14.6">
      <c r="A194" s="209"/>
      <c r="B194" s="151" t="s">
        <v>494</v>
      </c>
      <c r="K194" s="240">
        <v>3.3</v>
      </c>
      <c r="L194" s="240">
        <v>2.9</v>
      </c>
      <c r="M194" s="240">
        <v>3</v>
      </c>
      <c r="N194" s="240">
        <v>3.3</v>
      </c>
      <c r="O194" s="240">
        <v>3.15</v>
      </c>
      <c r="P194" s="240">
        <v>2.9</v>
      </c>
      <c r="Q194" s="240">
        <v>2.9</v>
      </c>
      <c r="R194" s="240">
        <v>2.5</v>
      </c>
      <c r="S194" s="234"/>
      <c r="T194" s="234"/>
      <c r="U194" s="144">
        <v>1.65</v>
      </c>
    </row>
    <row r="195" spans="1:21" ht="14.6">
      <c r="A195" s="209"/>
      <c r="B195" s="151" t="s">
        <v>496</v>
      </c>
      <c r="I195" s="144"/>
      <c r="J195" s="144"/>
      <c r="K195" s="240">
        <v>2.7</v>
      </c>
      <c r="L195" s="240">
        <v>2.5</v>
      </c>
      <c r="M195" s="240">
        <v>2.5</v>
      </c>
      <c r="N195" s="240">
        <v>2.7</v>
      </c>
      <c r="O195" s="240">
        <v>2.6</v>
      </c>
      <c r="P195" s="240">
        <v>2.6</v>
      </c>
      <c r="Q195" s="240">
        <v>2.6</v>
      </c>
      <c r="R195" s="240">
        <v>2.1</v>
      </c>
      <c r="S195" s="234"/>
      <c r="T195" s="234"/>
      <c r="U195" s="144">
        <v>3.5</v>
      </c>
    </row>
    <row r="196" spans="1:21" ht="14.6">
      <c r="A196" s="209"/>
      <c r="B196" s="151" t="s">
        <v>497</v>
      </c>
      <c r="K196" s="234"/>
      <c r="L196" s="144">
        <v>4.5</v>
      </c>
      <c r="M196" s="144">
        <v>4.3</v>
      </c>
      <c r="N196" s="144">
        <v>4</v>
      </c>
      <c r="O196" s="144">
        <v>3.8</v>
      </c>
      <c r="P196" s="144">
        <v>3.6</v>
      </c>
      <c r="Q196" s="144">
        <v>3.4</v>
      </c>
      <c r="R196" s="144">
        <v>3.3</v>
      </c>
      <c r="S196" s="144">
        <v>3</v>
      </c>
      <c r="T196" s="144"/>
      <c r="U196" s="144">
        <v>3</v>
      </c>
    </row>
    <row r="197" spans="1:21" ht="14.6">
      <c r="A197" s="209"/>
      <c r="B197" s="80" t="s">
        <v>498</v>
      </c>
      <c r="K197" s="234"/>
      <c r="L197" s="234"/>
      <c r="M197" s="234"/>
      <c r="N197" s="234"/>
      <c r="O197" s="234"/>
      <c r="P197" s="234"/>
      <c r="Q197" s="234"/>
      <c r="R197" s="234"/>
      <c r="S197" s="234"/>
      <c r="T197" s="234"/>
      <c r="U197" s="234"/>
    </row>
    <row r="198" spans="1:21" ht="14.6">
      <c r="A198" s="209"/>
      <c r="B198" s="151" t="s">
        <v>491</v>
      </c>
      <c r="K198" s="241"/>
      <c r="L198" s="240">
        <v>1.5</v>
      </c>
      <c r="M198" s="240">
        <v>2.4</v>
      </c>
      <c r="N198" s="240">
        <v>4.9000000000000004</v>
      </c>
      <c r="O198" s="240">
        <v>6.7</v>
      </c>
      <c r="P198" s="240">
        <v>6</v>
      </c>
      <c r="Q198" s="240">
        <v>4.5</v>
      </c>
      <c r="R198" s="241"/>
      <c r="S198" s="234"/>
      <c r="T198" s="234"/>
      <c r="U198" s="144">
        <v>4.0999999999999996</v>
      </c>
    </row>
    <row r="199" spans="1:21" ht="14.6">
      <c r="A199" s="209"/>
      <c r="B199" s="151" t="s">
        <v>492</v>
      </c>
      <c r="K199" s="240"/>
      <c r="L199" s="240">
        <v>1.1499999999999999</v>
      </c>
      <c r="M199" s="240">
        <v>1.3</v>
      </c>
      <c r="N199" s="240">
        <v>1.9</v>
      </c>
      <c r="O199" s="240">
        <v>2.7</v>
      </c>
      <c r="P199" s="240">
        <v>2.5</v>
      </c>
      <c r="Q199" s="240">
        <v>3.3</v>
      </c>
      <c r="R199" s="241"/>
      <c r="S199" s="234"/>
      <c r="T199" s="234"/>
      <c r="U199" s="144">
        <v>4.4000000000000004</v>
      </c>
    </row>
    <row r="200" spans="1:21" ht="14.6">
      <c r="A200" s="209"/>
      <c r="B200" s="151" t="s">
        <v>493</v>
      </c>
      <c r="K200" s="240">
        <v>0.4</v>
      </c>
      <c r="L200" s="240">
        <v>0.75</v>
      </c>
      <c r="M200" s="240">
        <v>1.25</v>
      </c>
      <c r="N200" s="240">
        <v>2.7</v>
      </c>
      <c r="O200" s="240">
        <v>4.0999999999999996</v>
      </c>
      <c r="P200" s="240">
        <v>3</v>
      </c>
      <c r="Q200" s="240">
        <v>3.15</v>
      </c>
      <c r="R200" s="241"/>
      <c r="S200" s="234"/>
      <c r="T200" s="234"/>
      <c r="U200" s="144">
        <v>4.2</v>
      </c>
    </row>
    <row r="201" spans="1:21" ht="14.6">
      <c r="A201" s="209"/>
      <c r="B201" s="151" t="s">
        <v>494</v>
      </c>
      <c r="K201" s="240">
        <v>0.75</v>
      </c>
      <c r="L201" s="240">
        <v>2.1</v>
      </c>
      <c r="M201" s="240">
        <v>2.5</v>
      </c>
      <c r="N201" s="240">
        <v>3.6</v>
      </c>
      <c r="O201" s="240">
        <v>4.5</v>
      </c>
      <c r="P201" s="240">
        <v>4</v>
      </c>
      <c r="Q201" s="240">
        <v>4.3</v>
      </c>
      <c r="R201" s="240">
        <v>4</v>
      </c>
      <c r="S201" s="234"/>
      <c r="T201" s="234"/>
      <c r="U201" s="144">
        <v>4.8499999999999996</v>
      </c>
    </row>
    <row r="202" spans="1:21" ht="14.6">
      <c r="A202" s="209"/>
      <c r="B202" s="151" t="s">
        <v>496</v>
      </c>
      <c r="K202" s="240">
        <v>0.8</v>
      </c>
      <c r="L202" s="240">
        <v>1.45</v>
      </c>
      <c r="M202" s="240">
        <v>2.4</v>
      </c>
      <c r="N202" s="240">
        <v>3.4</v>
      </c>
      <c r="O202" s="240">
        <v>4.75</v>
      </c>
      <c r="P202" s="240">
        <v>4.5</v>
      </c>
      <c r="Q202" s="240">
        <v>3.5</v>
      </c>
      <c r="R202" s="240">
        <v>4.5</v>
      </c>
      <c r="S202" s="234"/>
      <c r="T202" s="234"/>
      <c r="U202" s="144">
        <v>3.25</v>
      </c>
    </row>
    <row r="203" spans="1:21" ht="14.6">
      <c r="A203" s="209"/>
      <c r="B203" s="151" t="s">
        <v>497</v>
      </c>
      <c r="K203" s="234"/>
      <c r="L203" s="144">
        <v>6.8</v>
      </c>
      <c r="M203" s="144">
        <v>6.4</v>
      </c>
      <c r="N203" s="144">
        <v>6</v>
      </c>
      <c r="O203" s="144">
        <v>5.7</v>
      </c>
      <c r="P203" s="144">
        <v>5.4</v>
      </c>
      <c r="Q203" s="144">
        <v>5.0999999999999996</v>
      </c>
      <c r="R203" s="144">
        <v>4.9000000000000004</v>
      </c>
      <c r="S203" s="144">
        <v>4.5</v>
      </c>
      <c r="T203" s="144"/>
      <c r="U203" s="144">
        <v>4.5</v>
      </c>
    </row>
    <row r="204" spans="1:21" ht="14.6">
      <c r="A204" s="209"/>
      <c r="B204" s="40" t="s">
        <v>499</v>
      </c>
      <c r="K204" s="234"/>
      <c r="L204" s="234"/>
      <c r="M204" s="234"/>
      <c r="N204" s="234"/>
      <c r="O204" s="234"/>
      <c r="P204" s="234"/>
      <c r="Q204" s="234"/>
      <c r="R204" s="234"/>
      <c r="S204" s="234"/>
      <c r="T204" s="234"/>
      <c r="U204" s="234"/>
    </row>
    <row r="205" spans="1:21" ht="14.6">
      <c r="A205" s="209"/>
      <c r="B205" s="151" t="s">
        <v>491</v>
      </c>
      <c r="K205" s="241"/>
      <c r="L205" s="241">
        <f t="shared" ref="L205:Q205" si="13">SUM(L191,L198)</f>
        <v>3.7</v>
      </c>
      <c r="M205" s="241">
        <f t="shared" si="13"/>
        <v>4.8</v>
      </c>
      <c r="N205" s="241">
        <f t="shared" si="13"/>
        <v>7.4</v>
      </c>
      <c r="O205" s="241">
        <f t="shared" si="13"/>
        <v>9.1999999999999993</v>
      </c>
      <c r="P205" s="241">
        <f t="shared" si="13"/>
        <v>8.5</v>
      </c>
      <c r="Q205" s="241">
        <f t="shared" si="13"/>
        <v>7.1</v>
      </c>
      <c r="R205" s="241"/>
      <c r="S205" s="234"/>
      <c r="T205" s="234"/>
      <c r="U205" s="234">
        <f t="shared" ref="U205:U210" si="14">SUM(U191,U198)</f>
        <v>6.8</v>
      </c>
    </row>
    <row r="206" spans="1:21" ht="14.6">
      <c r="A206" s="209"/>
      <c r="B206" s="151" t="s">
        <v>492</v>
      </c>
      <c r="K206" s="241"/>
      <c r="L206" s="241">
        <f t="shared" ref="L206:Q206" si="15">SUM(L192,L199)</f>
        <v>3.65</v>
      </c>
      <c r="M206" s="241">
        <f t="shared" si="15"/>
        <v>4</v>
      </c>
      <c r="N206" s="241">
        <f t="shared" si="15"/>
        <v>4.6999999999999993</v>
      </c>
      <c r="O206" s="241">
        <f t="shared" si="15"/>
        <v>5.4</v>
      </c>
      <c r="P206" s="241">
        <f t="shared" si="15"/>
        <v>5.0999999999999996</v>
      </c>
      <c r="Q206" s="241">
        <f t="shared" si="15"/>
        <v>6.1999999999999993</v>
      </c>
      <c r="R206" s="241"/>
      <c r="S206" s="234"/>
      <c r="T206" s="234"/>
      <c r="U206" s="234">
        <f t="shared" si="14"/>
        <v>7.2</v>
      </c>
    </row>
    <row r="207" spans="1:21" ht="14.6">
      <c r="A207" s="209"/>
      <c r="B207" s="151" t="s">
        <v>493</v>
      </c>
      <c r="K207" s="241">
        <f t="shared" ref="K207:Q207" si="16">SUM(K193,K200)</f>
        <v>4.4000000000000004</v>
      </c>
      <c r="L207" s="241">
        <f t="shared" si="16"/>
        <v>3.95</v>
      </c>
      <c r="M207" s="241">
        <f t="shared" si="16"/>
        <v>4.75</v>
      </c>
      <c r="N207" s="241">
        <f t="shared" si="16"/>
        <v>6.45</v>
      </c>
      <c r="O207" s="241">
        <f t="shared" si="16"/>
        <v>7.8</v>
      </c>
      <c r="P207" s="241">
        <f t="shared" si="16"/>
        <v>6.6</v>
      </c>
      <c r="Q207" s="241">
        <f t="shared" si="16"/>
        <v>6.75</v>
      </c>
      <c r="R207" s="241"/>
      <c r="S207" s="234"/>
      <c r="T207" s="234"/>
      <c r="U207" s="234">
        <f t="shared" si="14"/>
        <v>7.5</v>
      </c>
    </row>
    <row r="208" spans="1:21" ht="14.6">
      <c r="A208" s="209"/>
      <c r="B208" s="151" t="s">
        <v>494</v>
      </c>
      <c r="K208" s="241">
        <f t="shared" ref="K208:R208" si="17">SUM(K194,K201)</f>
        <v>4.05</v>
      </c>
      <c r="L208" s="241">
        <f t="shared" si="17"/>
        <v>5</v>
      </c>
      <c r="M208" s="241">
        <f t="shared" si="17"/>
        <v>5.5</v>
      </c>
      <c r="N208" s="241">
        <f t="shared" si="17"/>
        <v>6.9</v>
      </c>
      <c r="O208" s="241">
        <f t="shared" si="17"/>
        <v>7.65</v>
      </c>
      <c r="P208" s="241">
        <f t="shared" si="17"/>
        <v>6.9</v>
      </c>
      <c r="Q208" s="241">
        <f t="shared" si="17"/>
        <v>7.1999999999999993</v>
      </c>
      <c r="R208" s="241">
        <f t="shared" si="17"/>
        <v>6.5</v>
      </c>
      <c r="S208" s="234"/>
      <c r="T208" s="234"/>
      <c r="U208" s="234">
        <f t="shared" si="14"/>
        <v>6.5</v>
      </c>
    </row>
    <row r="209" spans="1:22" ht="14.6">
      <c r="A209" s="209"/>
      <c r="B209" s="151" t="s">
        <v>496</v>
      </c>
      <c r="K209" s="241">
        <f t="shared" ref="K209:R209" si="18">SUM(K195,K202)</f>
        <v>3.5</v>
      </c>
      <c r="L209" s="241">
        <f t="shared" si="18"/>
        <v>3.95</v>
      </c>
      <c r="M209" s="241">
        <f t="shared" si="18"/>
        <v>4.9000000000000004</v>
      </c>
      <c r="N209" s="241">
        <f t="shared" si="18"/>
        <v>6.1</v>
      </c>
      <c r="O209" s="241">
        <f t="shared" si="18"/>
        <v>7.35</v>
      </c>
      <c r="P209" s="241">
        <f t="shared" si="18"/>
        <v>7.1</v>
      </c>
      <c r="Q209" s="241">
        <f t="shared" si="18"/>
        <v>6.1</v>
      </c>
      <c r="R209" s="241">
        <f t="shared" si="18"/>
        <v>6.6</v>
      </c>
      <c r="S209" s="234"/>
      <c r="T209" s="234"/>
      <c r="U209" s="234">
        <f t="shared" si="14"/>
        <v>6.75</v>
      </c>
    </row>
    <row r="210" spans="1:22" ht="14.6">
      <c r="A210" s="209"/>
      <c r="B210" s="151" t="s">
        <v>497</v>
      </c>
      <c r="K210" s="234"/>
      <c r="L210" s="234">
        <f t="shared" ref="L210:S210" si="19">SUM(L196,L203)</f>
        <v>11.3</v>
      </c>
      <c r="M210" s="234">
        <f t="shared" si="19"/>
        <v>10.7</v>
      </c>
      <c r="N210" s="234">
        <f t="shared" si="19"/>
        <v>10</v>
      </c>
      <c r="O210" s="234">
        <f t="shared" si="19"/>
        <v>9.5</v>
      </c>
      <c r="P210" s="234">
        <f t="shared" si="19"/>
        <v>9</v>
      </c>
      <c r="Q210" s="234">
        <f t="shared" si="19"/>
        <v>8.5</v>
      </c>
      <c r="R210" s="234">
        <f t="shared" si="19"/>
        <v>8.1999999999999993</v>
      </c>
      <c r="S210" s="234">
        <f t="shared" si="19"/>
        <v>7.5</v>
      </c>
      <c r="T210" s="234"/>
      <c r="U210" s="234">
        <f t="shared" si="14"/>
        <v>7.5</v>
      </c>
    </row>
    <row r="211" spans="1:22" ht="14.6">
      <c r="A211" s="209"/>
      <c r="B211" s="40" t="s">
        <v>501</v>
      </c>
      <c r="K211" s="244"/>
      <c r="L211" s="246">
        <f t="shared" ref="L211:Q211" si="20">AVERAGE(L205:L210)</f>
        <v>5.2583333333333337</v>
      </c>
      <c r="M211" s="248">
        <f t="shared" si="20"/>
        <v>5.7750000000000012</v>
      </c>
      <c r="N211" s="248">
        <f t="shared" si="20"/>
        <v>6.9250000000000007</v>
      </c>
      <c r="O211" s="248">
        <f t="shared" si="20"/>
        <v>7.8166666666666664</v>
      </c>
      <c r="P211" s="248">
        <f t="shared" si="20"/>
        <v>7.2</v>
      </c>
      <c r="Q211" s="248">
        <f t="shared" si="20"/>
        <v>6.9749999999999988</v>
      </c>
      <c r="R211" s="248"/>
      <c r="S211" s="234"/>
      <c r="T211" s="234"/>
      <c r="U211" s="248">
        <f>AVERAGE(U205:U210)</f>
        <v>7.041666666666667</v>
      </c>
    </row>
    <row r="212" spans="1:22" ht="14.6">
      <c r="A212" s="209"/>
      <c r="B212" s="80" t="s">
        <v>502</v>
      </c>
      <c r="K212" s="234"/>
      <c r="L212" s="234"/>
      <c r="M212" s="234"/>
      <c r="N212" s="234"/>
      <c r="O212" s="234"/>
      <c r="P212" s="234"/>
      <c r="Q212" s="234"/>
      <c r="R212" s="234"/>
      <c r="S212" s="234"/>
      <c r="T212" s="234"/>
      <c r="U212" s="234"/>
    </row>
    <row r="213" spans="1:22" ht="14.6">
      <c r="A213" s="209"/>
      <c r="B213" s="151" t="s">
        <v>491</v>
      </c>
      <c r="K213" s="241"/>
      <c r="L213" s="241">
        <f t="shared" ref="L213:Q213" si="21">$V$213*L205</f>
        <v>0.46250000000000002</v>
      </c>
      <c r="M213" s="241">
        <f t="shared" si="21"/>
        <v>0.6</v>
      </c>
      <c r="N213" s="241">
        <f t="shared" si="21"/>
        <v>0.92500000000000004</v>
      </c>
      <c r="O213" s="241">
        <f t="shared" si="21"/>
        <v>1.1499999999999999</v>
      </c>
      <c r="P213" s="241">
        <f t="shared" si="21"/>
        <v>1.0625</v>
      </c>
      <c r="Q213" s="241">
        <f t="shared" si="21"/>
        <v>0.88749999999999996</v>
      </c>
      <c r="R213" s="241"/>
      <c r="S213" s="234"/>
      <c r="T213" s="234"/>
      <c r="U213" s="144">
        <v>0.85</v>
      </c>
      <c r="V213" s="111">
        <f t="shared" ref="V213:V218" si="22">U213/U205</f>
        <v>0.125</v>
      </c>
    </row>
    <row r="214" spans="1:22" ht="14.6">
      <c r="A214" s="209"/>
      <c r="B214" s="151" t="s">
        <v>492</v>
      </c>
      <c r="K214" s="241"/>
      <c r="L214" s="241">
        <f t="shared" ref="L214:Q214" si="23">$V$214*L206</f>
        <v>0.55763888888888891</v>
      </c>
      <c r="M214" s="241">
        <f t="shared" si="23"/>
        <v>0.61111111111111116</v>
      </c>
      <c r="N214" s="241">
        <f t="shared" si="23"/>
        <v>0.71805555555555556</v>
      </c>
      <c r="O214" s="241">
        <f t="shared" si="23"/>
        <v>0.82500000000000007</v>
      </c>
      <c r="P214" s="241">
        <f t="shared" si="23"/>
        <v>0.77916666666666667</v>
      </c>
      <c r="Q214" s="241">
        <f t="shared" si="23"/>
        <v>0.94722222222222219</v>
      </c>
      <c r="R214" s="241"/>
      <c r="S214" s="234"/>
      <c r="T214" s="234"/>
      <c r="U214" s="144">
        <v>1.1000000000000001</v>
      </c>
      <c r="V214" s="111">
        <f t="shared" si="22"/>
        <v>0.15277777777777779</v>
      </c>
    </row>
    <row r="215" spans="1:22" ht="14.6">
      <c r="A215" s="209"/>
      <c r="B215" s="151" t="s">
        <v>493</v>
      </c>
      <c r="K215" s="241">
        <f t="shared" ref="K215:Q215" si="24">$V$215*K207</f>
        <v>0.58666666666666667</v>
      </c>
      <c r="L215" s="241">
        <f t="shared" si="24"/>
        <v>0.52666666666666673</v>
      </c>
      <c r="M215" s="241">
        <f t="shared" si="24"/>
        <v>0.6333333333333333</v>
      </c>
      <c r="N215" s="241">
        <f t="shared" si="24"/>
        <v>0.86</v>
      </c>
      <c r="O215" s="241">
        <f t="shared" si="24"/>
        <v>1.04</v>
      </c>
      <c r="P215" s="241">
        <f t="shared" si="24"/>
        <v>0.87999999999999989</v>
      </c>
      <c r="Q215" s="241">
        <f t="shared" si="24"/>
        <v>0.9</v>
      </c>
      <c r="R215" s="241"/>
      <c r="S215" s="234"/>
      <c r="T215" s="234"/>
      <c r="U215" s="144">
        <v>1</v>
      </c>
      <c r="V215" s="111">
        <f t="shared" si="22"/>
        <v>0.13333333333333333</v>
      </c>
    </row>
    <row r="216" spans="1:22" ht="14.6">
      <c r="A216" s="209"/>
      <c r="B216" s="151" t="s">
        <v>494</v>
      </c>
      <c r="K216" s="241">
        <f t="shared" ref="K216:R216" si="25">$V$216*K208</f>
        <v>0.31153846153846154</v>
      </c>
      <c r="L216" s="241">
        <f t="shared" si="25"/>
        <v>0.38461538461538464</v>
      </c>
      <c r="M216" s="241">
        <f t="shared" si="25"/>
        <v>0.42307692307692313</v>
      </c>
      <c r="N216" s="241">
        <f t="shared" si="25"/>
        <v>0.53076923076923077</v>
      </c>
      <c r="O216" s="241">
        <f t="shared" si="25"/>
        <v>0.58846153846153848</v>
      </c>
      <c r="P216" s="241">
        <f t="shared" si="25"/>
        <v>0.53076923076923077</v>
      </c>
      <c r="Q216" s="241">
        <f t="shared" si="25"/>
        <v>0.55384615384615388</v>
      </c>
      <c r="R216" s="241">
        <f t="shared" si="25"/>
        <v>0.5</v>
      </c>
      <c r="S216" s="234"/>
      <c r="T216" s="234"/>
      <c r="U216" s="144">
        <v>0.5</v>
      </c>
      <c r="V216" s="111">
        <f t="shared" si="22"/>
        <v>7.6923076923076927E-2</v>
      </c>
    </row>
    <row r="217" spans="1:22" ht="14.6">
      <c r="A217" s="209"/>
      <c r="B217" s="151" t="s">
        <v>496</v>
      </c>
      <c r="K217" s="241">
        <f t="shared" ref="K217:R217" si="26">$V$217*K209</f>
        <v>0.46666666666666667</v>
      </c>
      <c r="L217" s="241">
        <f t="shared" si="26"/>
        <v>0.52666666666666673</v>
      </c>
      <c r="M217" s="241">
        <f t="shared" si="26"/>
        <v>0.65333333333333332</v>
      </c>
      <c r="N217" s="241">
        <f t="shared" si="26"/>
        <v>0.81333333333333324</v>
      </c>
      <c r="O217" s="241">
        <f t="shared" si="26"/>
        <v>0.98</v>
      </c>
      <c r="P217" s="241">
        <f t="shared" si="26"/>
        <v>0.94666666666666666</v>
      </c>
      <c r="Q217" s="241">
        <f t="shared" si="26"/>
        <v>0.81333333333333324</v>
      </c>
      <c r="R217" s="241">
        <f t="shared" si="26"/>
        <v>0.87999999999999989</v>
      </c>
      <c r="S217" s="234"/>
      <c r="T217" s="234"/>
      <c r="U217" s="144">
        <v>0.9</v>
      </c>
      <c r="V217" s="111">
        <f t="shared" si="22"/>
        <v>0.13333333333333333</v>
      </c>
    </row>
    <row r="218" spans="1:22" ht="14.6">
      <c r="A218" s="209"/>
      <c r="B218" s="151" t="s">
        <v>497</v>
      </c>
      <c r="K218" s="234"/>
      <c r="L218" s="241">
        <f t="shared" ref="L218:S218" si="27">$V$218*L210</f>
        <v>1.3560000000000001</v>
      </c>
      <c r="M218" s="241">
        <f t="shared" si="27"/>
        <v>1.284</v>
      </c>
      <c r="N218" s="241">
        <f t="shared" si="27"/>
        <v>1.2000000000000002</v>
      </c>
      <c r="O218" s="241">
        <f t="shared" si="27"/>
        <v>1.1400000000000001</v>
      </c>
      <c r="P218" s="241">
        <f t="shared" si="27"/>
        <v>1.08</v>
      </c>
      <c r="Q218" s="241">
        <f t="shared" si="27"/>
        <v>1.02</v>
      </c>
      <c r="R218" s="241">
        <f t="shared" si="27"/>
        <v>0.98399999999999999</v>
      </c>
      <c r="S218" s="241">
        <f t="shared" si="27"/>
        <v>0.9</v>
      </c>
      <c r="T218" s="144"/>
      <c r="U218" s="144">
        <v>0.9</v>
      </c>
      <c r="V218" s="111">
        <f t="shared" si="22"/>
        <v>0.12000000000000001</v>
      </c>
    </row>
    <row r="219" spans="1:22" ht="14.6">
      <c r="A219" s="209"/>
      <c r="B219" s="40" t="s">
        <v>505</v>
      </c>
      <c r="K219" s="234"/>
      <c r="L219" s="234"/>
      <c r="M219" s="234"/>
      <c r="N219" s="234"/>
      <c r="O219" s="234"/>
      <c r="P219" s="234"/>
      <c r="Q219" s="234"/>
      <c r="R219" s="234"/>
      <c r="S219" s="234"/>
      <c r="T219" s="234"/>
      <c r="U219" s="234"/>
    </row>
    <row r="220" spans="1:22" ht="14.6">
      <c r="A220" s="209"/>
      <c r="B220" s="151" t="s">
        <v>491</v>
      </c>
      <c r="K220" s="241"/>
      <c r="L220" s="241">
        <f t="shared" ref="L220:Q220" si="28">SUM(L191,L198,L213)</f>
        <v>4.1625000000000005</v>
      </c>
      <c r="M220" s="241">
        <f t="shared" si="28"/>
        <v>5.3999999999999995</v>
      </c>
      <c r="N220" s="241">
        <f t="shared" si="28"/>
        <v>8.3250000000000011</v>
      </c>
      <c r="O220" s="241">
        <f t="shared" si="28"/>
        <v>10.35</v>
      </c>
      <c r="P220" s="241">
        <f t="shared" si="28"/>
        <v>9.5625</v>
      </c>
      <c r="Q220" s="241">
        <f t="shared" si="28"/>
        <v>7.9874999999999998</v>
      </c>
      <c r="R220" s="241"/>
      <c r="S220" s="234"/>
      <c r="T220" s="234"/>
      <c r="U220" s="234">
        <f t="shared" ref="U220:U225" si="29">SUM(U191,U198,U213)</f>
        <v>7.6499999999999995</v>
      </c>
    </row>
    <row r="221" spans="1:22" ht="14.6">
      <c r="A221" s="209"/>
      <c r="B221" s="151" t="s">
        <v>492</v>
      </c>
      <c r="K221" s="241"/>
      <c r="L221" s="241">
        <f t="shared" ref="L221:Q221" si="30">SUM(L192,L199,L214)</f>
        <v>4.2076388888888889</v>
      </c>
      <c r="M221" s="241">
        <f t="shared" si="30"/>
        <v>4.6111111111111107</v>
      </c>
      <c r="N221" s="241">
        <f t="shared" si="30"/>
        <v>5.4180555555555552</v>
      </c>
      <c r="O221" s="241">
        <f t="shared" si="30"/>
        <v>6.2250000000000005</v>
      </c>
      <c r="P221" s="241">
        <f t="shared" si="30"/>
        <v>5.8791666666666664</v>
      </c>
      <c r="Q221" s="241">
        <f t="shared" si="30"/>
        <v>7.1472222222222213</v>
      </c>
      <c r="R221" s="241"/>
      <c r="S221" s="234"/>
      <c r="T221" s="234"/>
      <c r="U221" s="234">
        <f t="shared" si="29"/>
        <v>8.3000000000000007</v>
      </c>
    </row>
    <row r="222" spans="1:22" ht="14.6">
      <c r="A222" s="209"/>
      <c r="B222" s="151" t="s">
        <v>493</v>
      </c>
      <c r="K222" s="241">
        <f t="shared" ref="K222:Q222" si="31">SUM(K193,K200,K215)</f>
        <v>4.9866666666666672</v>
      </c>
      <c r="L222" s="241">
        <f t="shared" si="31"/>
        <v>4.4766666666666666</v>
      </c>
      <c r="M222" s="241">
        <f t="shared" si="31"/>
        <v>5.3833333333333329</v>
      </c>
      <c r="N222" s="241">
        <f t="shared" si="31"/>
        <v>7.3100000000000005</v>
      </c>
      <c r="O222" s="241">
        <f t="shared" si="31"/>
        <v>8.84</v>
      </c>
      <c r="P222" s="241">
        <f t="shared" si="31"/>
        <v>7.4799999999999995</v>
      </c>
      <c r="Q222" s="241">
        <f t="shared" si="31"/>
        <v>7.65</v>
      </c>
      <c r="R222" s="241"/>
      <c r="S222" s="234"/>
      <c r="T222" s="234"/>
      <c r="U222" s="234">
        <f t="shared" si="29"/>
        <v>8.5</v>
      </c>
    </row>
    <row r="223" spans="1:22" ht="14.6">
      <c r="A223" s="209"/>
      <c r="B223" s="151" t="s">
        <v>494</v>
      </c>
      <c r="K223" s="241">
        <f t="shared" ref="K223:R223" si="32">SUM(K194,K201,K216)</f>
        <v>4.3615384615384611</v>
      </c>
      <c r="L223" s="241">
        <f t="shared" si="32"/>
        <v>5.384615384615385</v>
      </c>
      <c r="M223" s="241">
        <f t="shared" si="32"/>
        <v>5.9230769230769234</v>
      </c>
      <c r="N223" s="241">
        <f t="shared" si="32"/>
        <v>7.430769230769231</v>
      </c>
      <c r="O223" s="241">
        <f t="shared" si="32"/>
        <v>8.2384615384615394</v>
      </c>
      <c r="P223" s="241">
        <f t="shared" si="32"/>
        <v>7.430769230769231</v>
      </c>
      <c r="Q223" s="241">
        <f t="shared" si="32"/>
        <v>7.7538461538461529</v>
      </c>
      <c r="R223" s="241">
        <f t="shared" si="32"/>
        <v>7</v>
      </c>
      <c r="S223" s="234"/>
      <c r="T223" s="234"/>
      <c r="U223" s="234">
        <f t="shared" si="29"/>
        <v>7</v>
      </c>
    </row>
    <row r="224" spans="1:22" ht="14.6">
      <c r="A224" s="209"/>
      <c r="B224" s="151" t="s">
        <v>496</v>
      </c>
      <c r="K224" s="241">
        <f t="shared" ref="K224:R224" si="33">SUM(K195,K202,K217)</f>
        <v>3.9666666666666668</v>
      </c>
      <c r="L224" s="241">
        <f t="shared" si="33"/>
        <v>4.4766666666666666</v>
      </c>
      <c r="M224" s="241">
        <f t="shared" si="33"/>
        <v>5.5533333333333337</v>
      </c>
      <c r="N224" s="241">
        <f t="shared" si="33"/>
        <v>6.9133333333333331</v>
      </c>
      <c r="O224" s="241">
        <f t="shared" si="33"/>
        <v>8.33</v>
      </c>
      <c r="P224" s="241">
        <f t="shared" si="33"/>
        <v>8.0466666666666669</v>
      </c>
      <c r="Q224" s="241">
        <f t="shared" si="33"/>
        <v>6.9133333333333331</v>
      </c>
      <c r="R224" s="241">
        <f t="shared" si="33"/>
        <v>7.4799999999999995</v>
      </c>
      <c r="S224" s="234"/>
      <c r="T224" s="234"/>
      <c r="U224" s="234">
        <f t="shared" si="29"/>
        <v>7.65</v>
      </c>
    </row>
    <row r="225" spans="1:23" ht="14.6">
      <c r="A225" s="209"/>
      <c r="B225" s="151" t="s">
        <v>497</v>
      </c>
      <c r="K225" s="234"/>
      <c r="L225" s="234">
        <f t="shared" ref="L225:S225" si="34">SUM(L196,L203,L218)</f>
        <v>12.656000000000001</v>
      </c>
      <c r="M225" s="234">
        <f t="shared" si="34"/>
        <v>11.984</v>
      </c>
      <c r="N225" s="234">
        <f t="shared" si="34"/>
        <v>11.2</v>
      </c>
      <c r="O225" s="234">
        <f t="shared" si="34"/>
        <v>10.64</v>
      </c>
      <c r="P225" s="234">
        <f t="shared" si="34"/>
        <v>10.08</v>
      </c>
      <c r="Q225" s="234">
        <f t="shared" si="34"/>
        <v>9.52</v>
      </c>
      <c r="R225" s="234">
        <f t="shared" si="34"/>
        <v>9.1839999999999993</v>
      </c>
      <c r="S225" s="234">
        <f t="shared" si="34"/>
        <v>8.4</v>
      </c>
      <c r="T225" s="234"/>
      <c r="U225" s="234">
        <f t="shared" si="29"/>
        <v>8.4</v>
      </c>
      <c r="V225" s="80" t="s">
        <v>506</v>
      </c>
      <c r="W225" s="80"/>
    </row>
    <row r="226" spans="1:23" ht="14.6">
      <c r="A226" s="209"/>
      <c r="B226" s="40" t="s">
        <v>507</v>
      </c>
      <c r="C226" s="235">
        <f t="shared" ref="C226:K226" si="35">D226*(C255/D255)</f>
        <v>2.4686926040999913</v>
      </c>
      <c r="D226" s="235">
        <f t="shared" si="35"/>
        <v>3.1380057272526316</v>
      </c>
      <c r="E226" s="235">
        <f t="shared" si="35"/>
        <v>2.7365064600958684</v>
      </c>
      <c r="F226" s="235">
        <f t="shared" si="35"/>
        <v>2.7333802144116666</v>
      </c>
      <c r="G226" s="235">
        <f t="shared" si="35"/>
        <v>3.0046204356774289</v>
      </c>
      <c r="H226" s="235">
        <f t="shared" si="35"/>
        <v>4.6907083458815197</v>
      </c>
      <c r="I226" s="235">
        <f t="shared" si="35"/>
        <v>6.8513907201912216</v>
      </c>
      <c r="J226" s="235">
        <f t="shared" si="35"/>
        <v>6.5092901210342902</v>
      </c>
      <c r="K226" s="235">
        <f t="shared" si="35"/>
        <v>6.6310654293514206</v>
      </c>
      <c r="L226" s="246">
        <f t="shared" ref="L226:Q226" si="36">AVERAGE(L220:L225)</f>
        <v>5.8940146011396015</v>
      </c>
      <c r="M226" s="248">
        <f t="shared" si="36"/>
        <v>6.475809116809117</v>
      </c>
      <c r="N226" s="248">
        <f t="shared" si="36"/>
        <v>7.76619301994302</v>
      </c>
      <c r="O226" s="248">
        <f t="shared" si="36"/>
        <v>8.7705769230769235</v>
      </c>
      <c r="P226" s="248">
        <f t="shared" si="36"/>
        <v>8.0798504273504275</v>
      </c>
      <c r="Q226" s="248">
        <f t="shared" si="36"/>
        <v>7.8286502849002844</v>
      </c>
      <c r="R226" s="235">
        <f t="shared" ref="R226:T226" si="37">Q226*(R255/Q255)</f>
        <v>6.4289656009290095</v>
      </c>
      <c r="S226" s="235">
        <f t="shared" si="37"/>
        <v>5.3557065541550264</v>
      </c>
      <c r="T226" s="235">
        <f t="shared" si="37"/>
        <v>5.518491099279772</v>
      </c>
      <c r="U226" s="248">
        <f>AVERAGE(U220:U225)</f>
        <v>7.916666666666667</v>
      </c>
    </row>
    <row r="227" spans="1:23" ht="14.6">
      <c r="A227" s="209" t="s">
        <v>508</v>
      </c>
    </row>
    <row r="228" spans="1:23" ht="14.6">
      <c r="A228" s="209"/>
      <c r="B228" s="151" t="s">
        <v>491</v>
      </c>
      <c r="I228" s="255">
        <v>6.53</v>
      </c>
      <c r="J228" s="255">
        <v>6.67</v>
      </c>
      <c r="K228" s="255">
        <v>7.39</v>
      </c>
      <c r="L228" s="255">
        <v>7.01</v>
      </c>
      <c r="M228" s="255">
        <v>7.6</v>
      </c>
      <c r="N228" s="255">
        <v>9.1999999999999993</v>
      </c>
      <c r="O228" s="255">
        <v>9.8699999999999992</v>
      </c>
      <c r="P228" s="255">
        <v>8.32</v>
      </c>
      <c r="Q228" s="255">
        <v>7.33</v>
      </c>
      <c r="R228" s="255">
        <v>6.8</v>
      </c>
    </row>
    <row r="229" spans="1:23" ht="14.6">
      <c r="A229" s="209"/>
      <c r="B229" s="151" t="s">
        <v>492</v>
      </c>
      <c r="I229" s="255">
        <v>5.52</v>
      </c>
      <c r="J229" s="255">
        <v>5.52</v>
      </c>
      <c r="K229" s="255">
        <v>6.53</v>
      </c>
      <c r="L229" s="255">
        <v>5.73</v>
      </c>
      <c r="M229" s="255">
        <v>6.24</v>
      </c>
      <c r="N229" s="255">
        <v>7.52</v>
      </c>
      <c r="O229" s="255">
        <v>8.32</v>
      </c>
      <c r="P229" s="255">
        <v>6.99</v>
      </c>
      <c r="Q229" s="255">
        <v>6.27</v>
      </c>
      <c r="R229" s="255">
        <v>5.71</v>
      </c>
    </row>
    <row r="230" spans="1:23" ht="14.6">
      <c r="A230" s="209"/>
      <c r="B230" s="151" t="s">
        <v>509</v>
      </c>
      <c r="I230" s="255">
        <v>6.32</v>
      </c>
      <c r="J230" s="255">
        <v>6.48</v>
      </c>
      <c r="K230" s="255">
        <v>7.33</v>
      </c>
      <c r="L230" s="255">
        <v>6.75</v>
      </c>
      <c r="M230" s="255">
        <v>7.28</v>
      </c>
      <c r="N230" s="255">
        <v>8.67</v>
      </c>
      <c r="O230" s="255">
        <v>9.15</v>
      </c>
      <c r="P230" s="255">
        <v>7.87</v>
      </c>
      <c r="Q230" s="255">
        <v>7.31</v>
      </c>
      <c r="R230" s="255">
        <v>6.8</v>
      </c>
    </row>
    <row r="231" spans="1:23" ht="14.6">
      <c r="A231" s="209"/>
      <c r="B231" s="151" t="s">
        <v>493</v>
      </c>
      <c r="I231" s="255">
        <v>5.79</v>
      </c>
      <c r="J231" s="255">
        <v>5.97</v>
      </c>
      <c r="K231" s="255">
        <v>6.85</v>
      </c>
      <c r="L231" s="255">
        <v>6.24</v>
      </c>
      <c r="M231" s="255">
        <v>6.77</v>
      </c>
      <c r="N231" s="255">
        <v>8.0500000000000007</v>
      </c>
      <c r="O231" s="255">
        <v>8.4</v>
      </c>
      <c r="P231" s="255">
        <v>7.36</v>
      </c>
      <c r="Q231" s="255">
        <v>7.07</v>
      </c>
      <c r="R231" s="255">
        <v>6.27</v>
      </c>
    </row>
    <row r="232" spans="1:23" ht="14.6">
      <c r="A232" s="209"/>
      <c r="B232" s="151" t="s">
        <v>496</v>
      </c>
      <c r="I232" s="255">
        <v>5.73</v>
      </c>
      <c r="J232" s="255">
        <v>5.73</v>
      </c>
      <c r="K232" s="255">
        <v>6.56</v>
      </c>
      <c r="L232" s="255">
        <v>6</v>
      </c>
      <c r="M232" s="255">
        <v>6.53</v>
      </c>
      <c r="N232" s="255">
        <v>7.81</v>
      </c>
      <c r="O232" s="255">
        <v>7.92</v>
      </c>
      <c r="P232" s="255">
        <v>6.99</v>
      </c>
      <c r="Q232" s="255">
        <v>6.4</v>
      </c>
      <c r="R232" s="255">
        <v>5.97</v>
      </c>
    </row>
    <row r="233" spans="1:23" ht="14.6">
      <c r="A233" s="209"/>
      <c r="B233" s="40" t="s">
        <v>510</v>
      </c>
      <c r="C233" s="235">
        <f t="shared" ref="C233:H233" si="38">D233*(C255/D255)</f>
        <v>2.1539925235643045</v>
      </c>
      <c r="D233" s="235">
        <f t="shared" si="38"/>
        <v>2.737984009908089</v>
      </c>
      <c r="E233" s="235">
        <f t="shared" si="38"/>
        <v>2.3876664295678247</v>
      </c>
      <c r="F233" s="235">
        <f t="shared" si="38"/>
        <v>2.3849387064728504</v>
      </c>
      <c r="G233" s="235">
        <f t="shared" si="38"/>
        <v>2.6216021969884622</v>
      </c>
      <c r="H233" s="235">
        <f t="shared" si="38"/>
        <v>4.0927536666449384</v>
      </c>
      <c r="I233" s="248">
        <f t="shared" ref="I233:R233" si="39">AVERAGE(I228:I232)</f>
        <v>5.9779999999999998</v>
      </c>
      <c r="J233" s="248">
        <f t="shared" si="39"/>
        <v>6.0739999999999998</v>
      </c>
      <c r="K233" s="248">
        <f t="shared" si="39"/>
        <v>6.9320000000000004</v>
      </c>
      <c r="L233" s="248">
        <f t="shared" si="39"/>
        <v>6.346000000000001</v>
      </c>
      <c r="M233" s="248">
        <f t="shared" si="39"/>
        <v>6.8840000000000003</v>
      </c>
      <c r="N233" s="248">
        <f t="shared" si="39"/>
        <v>8.25</v>
      </c>
      <c r="O233" s="248">
        <f t="shared" si="39"/>
        <v>8.7319999999999993</v>
      </c>
      <c r="P233" s="248">
        <f t="shared" si="39"/>
        <v>7.5060000000000002</v>
      </c>
      <c r="Q233" s="248">
        <f t="shared" si="39"/>
        <v>6.8760000000000003</v>
      </c>
      <c r="R233" s="248">
        <f t="shared" si="39"/>
        <v>6.31</v>
      </c>
      <c r="S233" s="235">
        <f t="shared" ref="S233:U233" si="40">R233*(S255/R255)</f>
        <v>5.256601209972998</v>
      </c>
      <c r="T233" s="235">
        <f t="shared" si="40"/>
        <v>5.416373488049695</v>
      </c>
      <c r="U233" s="235">
        <f t="shared" si="40"/>
        <v>5.5664578146641555</v>
      </c>
    </row>
    <row r="234" spans="1:23" ht="14.6">
      <c r="A234" s="209"/>
    </row>
    <row r="235" spans="1:23" ht="14.6">
      <c r="A235" s="209"/>
      <c r="B235" s="80"/>
      <c r="C235" s="40"/>
      <c r="D235" s="40"/>
      <c r="E235" s="40"/>
      <c r="F235" s="40"/>
      <c r="G235" s="40"/>
      <c r="H235" s="40"/>
      <c r="I235" s="40"/>
      <c r="J235" s="40"/>
      <c r="K235" s="40"/>
      <c r="L235" s="40"/>
      <c r="M235" s="40"/>
      <c r="N235" s="40"/>
      <c r="O235" s="40"/>
      <c r="P235" s="40"/>
      <c r="Q235" s="40"/>
      <c r="R235" s="40"/>
      <c r="S235" s="40"/>
      <c r="T235" s="40"/>
      <c r="U235" s="40"/>
    </row>
    <row r="236" spans="1:23" ht="14.6">
      <c r="A236" s="209" t="s">
        <v>511</v>
      </c>
    </row>
    <row r="237" spans="1:23" ht="14.6">
      <c r="A237" s="209"/>
      <c r="B237" s="80"/>
      <c r="C237" s="40">
        <v>2000</v>
      </c>
      <c r="D237" s="40">
        <v>2001</v>
      </c>
      <c r="E237" s="40">
        <v>2002</v>
      </c>
      <c r="F237" s="40">
        <v>2003</v>
      </c>
      <c r="G237" s="40">
        <v>2004</v>
      </c>
      <c r="H237" s="40">
        <v>2005</v>
      </c>
      <c r="I237" s="40">
        <v>2006</v>
      </c>
      <c r="J237" s="40">
        <v>2007</v>
      </c>
      <c r="K237" s="40">
        <v>2008</v>
      </c>
      <c r="L237" s="40">
        <v>2009</v>
      </c>
      <c r="M237" s="40">
        <v>2010</v>
      </c>
      <c r="N237" s="40">
        <v>2011</v>
      </c>
      <c r="O237" s="40">
        <v>2012</v>
      </c>
      <c r="P237" s="40">
        <v>2013</v>
      </c>
      <c r="Q237" s="40">
        <v>2014</v>
      </c>
      <c r="R237" s="40">
        <v>2015</v>
      </c>
      <c r="S237" s="40">
        <v>2016</v>
      </c>
      <c r="T237" s="40">
        <v>2017</v>
      </c>
      <c r="U237" s="40">
        <v>2018</v>
      </c>
    </row>
    <row r="238" spans="1:23" ht="14.6">
      <c r="A238" s="209"/>
      <c r="B238" s="80" t="s">
        <v>512</v>
      </c>
      <c r="C238" s="144">
        <v>0.75460000000000005</v>
      </c>
      <c r="D238" s="256">
        <v>0.94320000000000004</v>
      </c>
      <c r="E238" s="256">
        <v>1.0542</v>
      </c>
      <c r="F238" s="256">
        <v>1.1995</v>
      </c>
      <c r="G238" s="256">
        <v>1.6731</v>
      </c>
      <c r="H238" s="256">
        <v>1.7206999999999999</v>
      </c>
      <c r="I238" s="256">
        <v>2.1017000000000001</v>
      </c>
      <c r="J238" s="256">
        <v>4.1717000000000004</v>
      </c>
      <c r="N238" s="248">
        <f t="shared" ref="N238:S238" si="41">1000*N245/N246</f>
        <v>2.8260869565217392</v>
      </c>
      <c r="O238" s="248">
        <f t="shared" si="41"/>
        <v>3.2886853817185897</v>
      </c>
      <c r="P238" s="248">
        <f t="shared" si="41"/>
        <v>3.2793800928084549</v>
      </c>
      <c r="Q238" s="248">
        <f t="shared" si="41"/>
        <v>3.6288934778867663</v>
      </c>
      <c r="R238" s="248">
        <f t="shared" si="41"/>
        <v>4.2625568398764271</v>
      </c>
      <c r="S238" s="248">
        <f t="shared" si="41"/>
        <v>4.2508857688896535</v>
      </c>
      <c r="T238" s="80" t="s">
        <v>513</v>
      </c>
    </row>
    <row r="239" spans="1:23" ht="14.6">
      <c r="A239" s="209"/>
      <c r="B239" s="80" t="s">
        <v>514</v>
      </c>
      <c r="C239" s="144">
        <v>0.59340000000000004</v>
      </c>
      <c r="D239" s="144">
        <v>0.72909999999999997</v>
      </c>
      <c r="E239" s="144">
        <v>0.88280000000000003</v>
      </c>
      <c r="F239" s="144">
        <v>1.0373000000000001</v>
      </c>
      <c r="G239" s="144">
        <v>1.4418</v>
      </c>
      <c r="H239" s="144">
        <v>1.9204000000000001</v>
      </c>
      <c r="I239" s="144">
        <v>2.2385999999999999</v>
      </c>
      <c r="J239" s="144">
        <v>4.0004</v>
      </c>
    </row>
    <row r="240" spans="1:23" ht="14.6">
      <c r="A240" s="209"/>
      <c r="B240" s="80" t="s">
        <v>515</v>
      </c>
      <c r="C240" s="144">
        <v>0.75690000000000002</v>
      </c>
      <c r="D240" s="144">
        <v>0.89649999999999996</v>
      </c>
      <c r="E240" s="144">
        <v>0.9919</v>
      </c>
      <c r="F240" s="144">
        <v>1.1060000000000001</v>
      </c>
      <c r="G240" s="144">
        <v>1.7163999999999999</v>
      </c>
      <c r="H240" s="144">
        <v>1.4976</v>
      </c>
      <c r="I240" s="144">
        <v>1.9361999999999999</v>
      </c>
      <c r="J240" s="144">
        <v>3.9068999999999998</v>
      </c>
    </row>
    <row r="241" spans="1:22" ht="14.6">
      <c r="A241" s="209"/>
      <c r="B241" s="80" t="s">
        <v>516</v>
      </c>
      <c r="C241" s="144">
        <v>1.0753999999999999</v>
      </c>
      <c r="D241" s="144">
        <v>1.6204000000000001</v>
      </c>
      <c r="E241" s="144">
        <v>1.6734</v>
      </c>
      <c r="F241" s="144">
        <v>2.0651000000000002</v>
      </c>
      <c r="G241" s="144">
        <v>1.9773000000000001</v>
      </c>
      <c r="H241" s="144">
        <v>2.3929</v>
      </c>
      <c r="I241" s="144">
        <v>2.6646000000000001</v>
      </c>
      <c r="J241" s="144">
        <v>6.1311999999999998</v>
      </c>
    </row>
    <row r="242" spans="1:22" ht="14.6">
      <c r="A242" s="209"/>
      <c r="B242" s="227" t="s">
        <v>517</v>
      </c>
      <c r="C242" s="257">
        <v>30.30083333</v>
      </c>
      <c r="D242" s="257">
        <v>25.947500000000002</v>
      </c>
      <c r="E242" s="257">
        <v>26.114999999999998</v>
      </c>
      <c r="F242" s="257">
        <v>31.12083333</v>
      </c>
      <c r="G242" s="257">
        <v>41.443333330000002</v>
      </c>
      <c r="H242" s="257">
        <v>56.4925</v>
      </c>
      <c r="I242" s="257">
        <v>66.018333330000004</v>
      </c>
      <c r="J242" s="257">
        <v>72.318333330000002</v>
      </c>
      <c r="K242" s="257">
        <v>99.571666669999999</v>
      </c>
      <c r="L242" s="257">
        <v>61.654166670000002</v>
      </c>
      <c r="M242" s="257">
        <v>79.394999999999996</v>
      </c>
      <c r="N242" s="257">
        <v>94.874166669999994</v>
      </c>
      <c r="O242" s="257">
        <v>94.110833330000006</v>
      </c>
      <c r="P242" s="257">
        <v>97.905833329999993</v>
      </c>
      <c r="Q242" s="257">
        <v>93.258333329999999</v>
      </c>
      <c r="R242" s="257">
        <v>48.688333329999999</v>
      </c>
      <c r="S242" s="257">
        <v>43.144166669999997</v>
      </c>
      <c r="T242" s="257">
        <v>50.884166669999999</v>
      </c>
      <c r="V242" s="80"/>
    </row>
    <row r="243" spans="1:22" ht="14.6">
      <c r="A243" s="209"/>
      <c r="N243" s="244"/>
      <c r="V243" s="80"/>
    </row>
    <row r="244" spans="1:22" ht="14.6">
      <c r="A244" s="209" t="s">
        <v>518</v>
      </c>
      <c r="N244" s="248">
        <f>1000*(N245-N247)/(N246-N248)</f>
        <v>1.7447847706476005</v>
      </c>
      <c r="O244" s="80" t="s">
        <v>519</v>
      </c>
    </row>
    <row r="245" spans="1:22" ht="14.6">
      <c r="A245" s="209"/>
      <c r="B245" s="80" t="s">
        <v>520</v>
      </c>
      <c r="N245" s="144">
        <v>124.8</v>
      </c>
      <c r="O245" s="144">
        <v>153.69999999999999</v>
      </c>
      <c r="P245" s="144">
        <v>147.69999999999999</v>
      </c>
      <c r="Q245" s="144">
        <v>168.7</v>
      </c>
      <c r="R245" s="144">
        <v>122.8</v>
      </c>
      <c r="S245" s="144">
        <v>67.599999999999994</v>
      </c>
    </row>
    <row r="246" spans="1:22" ht="14.6">
      <c r="A246" s="209"/>
      <c r="B246" s="80" t="s">
        <v>521</v>
      </c>
      <c r="N246" s="80">
        <v>44160</v>
      </c>
      <c r="O246" s="80">
        <v>46736</v>
      </c>
      <c r="P246" s="80">
        <v>45039</v>
      </c>
      <c r="Q246" s="80">
        <v>46488</v>
      </c>
      <c r="R246" s="80">
        <v>28809</v>
      </c>
      <c r="S246" s="232">
        <f>R246*(1-0.448)</f>
        <v>15902.568000000001</v>
      </c>
    </row>
    <row r="247" spans="1:22" ht="14.6">
      <c r="A247" s="209"/>
      <c r="B247" s="80" t="s">
        <v>522</v>
      </c>
      <c r="N247" s="144">
        <v>65.5</v>
      </c>
      <c r="O247" s="234">
        <f>O245*0.346</f>
        <v>53.180199999999992</v>
      </c>
      <c r="P247" s="234">
        <f>P245*0.635</f>
        <v>93.78949999999999</v>
      </c>
      <c r="Q247" s="234">
        <f>Q245*0.486</f>
        <v>81.988199999999992</v>
      </c>
      <c r="R247" s="234">
        <f>R245*0.477</f>
        <v>58.575599999999994</v>
      </c>
    </row>
    <row r="248" spans="1:22" ht="14.6">
      <c r="A248" s="209"/>
      <c r="B248" s="80" t="s">
        <v>523</v>
      </c>
      <c r="L248" s="80">
        <v>5531</v>
      </c>
      <c r="M248" s="80">
        <v>7077</v>
      </c>
      <c r="N248" s="80">
        <v>10173</v>
      </c>
    </row>
    <row r="249" spans="1:22" ht="14.6">
      <c r="A249" s="209"/>
      <c r="N249" s="248">
        <f>1000*N247/N248</f>
        <v>6.4386120121891279</v>
      </c>
      <c r="O249" s="80" t="s">
        <v>524</v>
      </c>
    </row>
    <row r="250" spans="1:22" ht="14.6">
      <c r="A250" s="209"/>
      <c r="O250" s="80" t="s">
        <v>525</v>
      </c>
    </row>
    <row r="251" spans="1:22" ht="14.6">
      <c r="A251" s="209" t="s">
        <v>526</v>
      </c>
      <c r="C251" s="40">
        <v>2000</v>
      </c>
      <c r="D251" s="40">
        <v>2001</v>
      </c>
      <c r="E251" s="40">
        <v>2002</v>
      </c>
      <c r="F251" s="40">
        <v>2003</v>
      </c>
      <c r="G251" s="40">
        <v>2004</v>
      </c>
      <c r="H251" s="40">
        <v>2005</v>
      </c>
      <c r="I251" s="40">
        <v>2006</v>
      </c>
      <c r="J251" s="40">
        <v>2007</v>
      </c>
      <c r="K251" s="40">
        <v>2008</v>
      </c>
      <c r="L251" s="40">
        <v>2009</v>
      </c>
      <c r="M251" s="40">
        <v>2010</v>
      </c>
      <c r="N251" s="40">
        <v>2011</v>
      </c>
      <c r="O251" s="40">
        <v>2012</v>
      </c>
      <c r="P251" s="40">
        <v>2013</v>
      </c>
      <c r="Q251" s="40">
        <v>2014</v>
      </c>
      <c r="R251" s="40">
        <v>2015</v>
      </c>
      <c r="S251" s="40">
        <v>2016</v>
      </c>
      <c r="T251" s="40">
        <v>2017</v>
      </c>
      <c r="U251" s="40">
        <v>2018</v>
      </c>
    </row>
    <row r="252" spans="1:22" ht="14.6">
      <c r="A252" s="209"/>
      <c r="B252" s="80" t="s">
        <v>527</v>
      </c>
      <c r="C252" s="122">
        <v>100</v>
      </c>
      <c r="D252" s="122">
        <v>103.125</v>
      </c>
      <c r="E252" s="122">
        <v>100</v>
      </c>
      <c r="F252" s="122">
        <v>106.25</v>
      </c>
      <c r="G252" s="122">
        <v>123.75</v>
      </c>
      <c r="H252" s="122">
        <v>132.5</v>
      </c>
      <c r="I252" s="122">
        <v>168.75</v>
      </c>
      <c r="J252" s="122">
        <v>181.25</v>
      </c>
      <c r="K252" s="122">
        <v>192.5</v>
      </c>
      <c r="L252" s="122">
        <v>168.75</v>
      </c>
      <c r="M252" s="122">
        <v>175</v>
      </c>
      <c r="N252" s="122">
        <v>187.5</v>
      </c>
      <c r="O252" s="122">
        <v>190.625</v>
      </c>
      <c r="P252" s="122">
        <v>193.75</v>
      </c>
      <c r="Q252" s="122">
        <v>181.25</v>
      </c>
      <c r="R252" s="122">
        <v>168.75</v>
      </c>
      <c r="S252" s="122">
        <v>156.25</v>
      </c>
      <c r="T252" s="122">
        <v>159.375</v>
      </c>
      <c r="U252" s="122">
        <v>165</v>
      </c>
    </row>
    <row r="253" spans="1:22" ht="14.6">
      <c r="A253" s="209"/>
      <c r="B253" s="80" t="s">
        <v>528</v>
      </c>
      <c r="C253" s="122">
        <v>100</v>
      </c>
      <c r="D253" s="122">
        <v>100</v>
      </c>
      <c r="E253" s="122">
        <v>100</v>
      </c>
      <c r="F253" s="122">
        <v>104.7945205</v>
      </c>
      <c r="G253" s="122">
        <v>111.6438356</v>
      </c>
      <c r="H253" s="122">
        <v>129.45205480000001</v>
      </c>
      <c r="I253" s="122">
        <v>132.87671230000001</v>
      </c>
      <c r="J253" s="122">
        <v>150</v>
      </c>
      <c r="K253" s="122">
        <v>180.82191779999999</v>
      </c>
      <c r="L253" s="122">
        <v>167.12328769999999</v>
      </c>
      <c r="M253" s="122">
        <v>173.97260270000001</v>
      </c>
      <c r="N253" s="122">
        <v>177.3972603</v>
      </c>
      <c r="O253" s="122">
        <v>184.24657529999999</v>
      </c>
      <c r="P253" s="122">
        <v>191.0958904</v>
      </c>
      <c r="Q253" s="122">
        <v>201.36986300000001</v>
      </c>
      <c r="R253" s="122">
        <v>187.67123290000001</v>
      </c>
      <c r="S253" s="122">
        <v>163.6986301</v>
      </c>
      <c r="T253" s="122">
        <v>167.12328769999999</v>
      </c>
      <c r="U253" s="122">
        <v>173.97260270000001</v>
      </c>
    </row>
    <row r="254" spans="1:22" ht="14.6">
      <c r="A254" s="209"/>
      <c r="B254" s="80" t="s">
        <v>529</v>
      </c>
      <c r="D254" s="258">
        <f t="shared" ref="D254:U254" si="42">$C$238*(D252/$C$252)</f>
        <v>0.77818125000000005</v>
      </c>
      <c r="E254" s="258">
        <f t="shared" si="42"/>
        <v>0.75460000000000005</v>
      </c>
      <c r="F254" s="258">
        <f t="shared" si="42"/>
        <v>0.80176250000000004</v>
      </c>
      <c r="G254" s="258">
        <f t="shared" si="42"/>
        <v>0.93381750000000008</v>
      </c>
      <c r="H254" s="258">
        <f t="shared" si="42"/>
        <v>0.99984499999999998</v>
      </c>
      <c r="I254" s="258">
        <f t="shared" si="42"/>
        <v>1.2733875000000001</v>
      </c>
      <c r="J254" s="258">
        <f t="shared" si="42"/>
        <v>1.3677125000000001</v>
      </c>
      <c r="K254" s="258">
        <f t="shared" si="42"/>
        <v>1.4526050000000001</v>
      </c>
      <c r="L254" s="258">
        <f t="shared" si="42"/>
        <v>1.2733875000000001</v>
      </c>
      <c r="M254" s="258">
        <f t="shared" si="42"/>
        <v>1.3205500000000001</v>
      </c>
      <c r="N254" s="258">
        <f t="shared" si="42"/>
        <v>1.4148750000000001</v>
      </c>
      <c r="O254" s="258">
        <f t="shared" si="42"/>
        <v>1.43845625</v>
      </c>
      <c r="P254" s="258">
        <f t="shared" si="42"/>
        <v>1.4620375000000001</v>
      </c>
      <c r="Q254" s="258">
        <f t="shared" si="42"/>
        <v>1.3677125000000001</v>
      </c>
      <c r="R254" s="258">
        <f t="shared" si="42"/>
        <v>1.2733875000000001</v>
      </c>
      <c r="S254" s="258">
        <f t="shared" si="42"/>
        <v>1.1790625000000001</v>
      </c>
      <c r="T254" s="258">
        <f t="shared" si="42"/>
        <v>1.20264375</v>
      </c>
      <c r="U254" s="258">
        <f t="shared" si="42"/>
        <v>1.24509</v>
      </c>
      <c r="V254" s="80" t="s">
        <v>530</v>
      </c>
    </row>
    <row r="255" spans="1:22" ht="14.6">
      <c r="A255" s="209" t="s">
        <v>531</v>
      </c>
      <c r="C255" s="236">
        <v>138.1917</v>
      </c>
      <c r="D255" s="236">
        <v>175.6583</v>
      </c>
      <c r="E255" s="236">
        <v>153.1833</v>
      </c>
      <c r="F255" s="236">
        <v>153.00829999999999</v>
      </c>
      <c r="G255" s="236">
        <v>168.1917</v>
      </c>
      <c r="H255" s="236">
        <v>262.57499999999999</v>
      </c>
      <c r="I255" s="236">
        <v>383.52499999999998</v>
      </c>
      <c r="J255" s="236">
        <v>364.375</v>
      </c>
      <c r="K255" s="236">
        <v>371.19170000000003</v>
      </c>
      <c r="L255" s="236">
        <v>329.93329999999997</v>
      </c>
      <c r="M255" s="236">
        <v>325.125</v>
      </c>
      <c r="N255" s="236">
        <v>361.91669999999999</v>
      </c>
      <c r="O255" s="236">
        <v>392.47500000000002</v>
      </c>
      <c r="P255" s="236">
        <v>436.79166670000001</v>
      </c>
      <c r="Q255" s="236">
        <v>456.07499999999999</v>
      </c>
      <c r="R255" s="236">
        <v>374.53333329999998</v>
      </c>
      <c r="S255" s="236">
        <v>312.00830000000002</v>
      </c>
      <c r="T255" s="236">
        <v>321.4916667</v>
      </c>
      <c r="U255" s="236">
        <v>330.4</v>
      </c>
    </row>
    <row r="256" spans="1:22" ht="14.6">
      <c r="A256" s="209"/>
      <c r="B256" s="80" t="s">
        <v>532</v>
      </c>
      <c r="D256" s="259">
        <f t="shared" ref="D256:U256" si="43">$C$238*(D255/$C$255)</f>
        <v>0.95918751401133351</v>
      </c>
      <c r="E256" s="259">
        <f t="shared" si="43"/>
        <v>0.83646208983607562</v>
      </c>
      <c r="F256" s="259">
        <f t="shared" si="43"/>
        <v>0.83550649698932711</v>
      </c>
      <c r="G256" s="259">
        <f t="shared" si="43"/>
        <v>0.91841591658543897</v>
      </c>
      <c r="H256" s="259">
        <f t="shared" si="43"/>
        <v>1.4337988099140542</v>
      </c>
      <c r="I256" s="259">
        <f t="shared" si="43"/>
        <v>2.0942499802810155</v>
      </c>
      <c r="J256" s="259">
        <f t="shared" si="43"/>
        <v>1.9896808201939771</v>
      </c>
      <c r="K256" s="259">
        <f t="shared" si="43"/>
        <v>2.0269036188135758</v>
      </c>
      <c r="L256" s="259">
        <f t="shared" si="43"/>
        <v>1.8016108650519533</v>
      </c>
      <c r="M256" s="259">
        <f t="shared" si="43"/>
        <v>1.7753549959946946</v>
      </c>
      <c r="N256" s="259">
        <f t="shared" si="43"/>
        <v>1.9762571979359107</v>
      </c>
      <c r="O256" s="259">
        <f t="shared" si="43"/>
        <v>2.143121728729005</v>
      </c>
      <c r="P256" s="259">
        <f t="shared" si="43"/>
        <v>2.3851142412447346</v>
      </c>
      <c r="Q256" s="259">
        <f t="shared" si="43"/>
        <v>2.4904114718901353</v>
      </c>
      <c r="R256" s="259">
        <f t="shared" si="43"/>
        <v>2.04515070954464</v>
      </c>
      <c r="S256" s="259">
        <f t="shared" si="43"/>
        <v>1.7037308548921535</v>
      </c>
      <c r="T256" s="259">
        <f t="shared" si="43"/>
        <v>1.7555150685013645</v>
      </c>
      <c r="U256" s="259">
        <f t="shared" si="43"/>
        <v>1.8041592946609672</v>
      </c>
      <c r="V256" s="80" t="s">
        <v>533</v>
      </c>
    </row>
    <row r="257" spans="1:21" ht="14.6">
      <c r="A257" s="209"/>
    </row>
    <row r="258" spans="1:21" ht="14.6">
      <c r="A258" s="209" t="s">
        <v>534</v>
      </c>
    </row>
    <row r="259" spans="1:21" ht="14.6">
      <c r="A259" s="209"/>
      <c r="C259" s="40">
        <v>2000</v>
      </c>
      <c r="D259" s="40">
        <v>2001</v>
      </c>
      <c r="E259" s="40">
        <v>2002</v>
      </c>
      <c r="F259" s="40">
        <v>2003</v>
      </c>
      <c r="G259" s="40">
        <v>2004</v>
      </c>
      <c r="H259" s="40">
        <v>2005</v>
      </c>
      <c r="I259" s="40">
        <v>2006</v>
      </c>
      <c r="J259" s="40">
        <v>2007</v>
      </c>
      <c r="K259" s="40">
        <v>2008</v>
      </c>
      <c r="L259" s="40">
        <v>2009</v>
      </c>
      <c r="M259" s="40">
        <v>2010</v>
      </c>
    </row>
    <row r="260" spans="1:21" ht="14.6">
      <c r="A260" s="209"/>
      <c r="B260" s="80" t="s">
        <v>535</v>
      </c>
      <c r="C260" s="80">
        <v>29287</v>
      </c>
      <c r="D260" s="80">
        <v>35558</v>
      </c>
      <c r="E260" s="80">
        <v>27871</v>
      </c>
      <c r="F260" s="80">
        <v>32833</v>
      </c>
      <c r="G260" s="80">
        <v>37057</v>
      </c>
      <c r="H260" s="80">
        <v>44022</v>
      </c>
      <c r="I260" s="80">
        <v>51429</v>
      </c>
      <c r="J260" s="80">
        <v>51071</v>
      </c>
      <c r="K260" s="80">
        <v>54302</v>
      </c>
      <c r="L260" s="80">
        <v>32803</v>
      </c>
      <c r="M260" s="80">
        <v>36611</v>
      </c>
    </row>
    <row r="261" spans="1:21" ht="14.6">
      <c r="A261" s="209"/>
      <c r="B261" s="80" t="s">
        <v>421</v>
      </c>
      <c r="C261" s="80">
        <v>8090</v>
      </c>
      <c r="D261" s="80">
        <v>8888</v>
      </c>
      <c r="E261" s="80">
        <v>6775</v>
      </c>
      <c r="F261" s="80">
        <v>8129</v>
      </c>
      <c r="G261" s="80">
        <v>8789</v>
      </c>
      <c r="H261" s="80">
        <v>10779</v>
      </c>
      <c r="I261" s="80">
        <v>13385</v>
      </c>
      <c r="J261" s="80">
        <v>13371</v>
      </c>
      <c r="K261" s="80">
        <v>16633</v>
      </c>
      <c r="L261" s="80">
        <v>11190</v>
      </c>
      <c r="M261" s="80">
        <v>15753</v>
      </c>
    </row>
    <row r="262" spans="1:21" ht="14.6">
      <c r="A262" s="209"/>
      <c r="B262" s="80" t="s">
        <v>443</v>
      </c>
      <c r="C262" s="80">
        <v>17051</v>
      </c>
      <c r="D262" s="80">
        <v>22072</v>
      </c>
      <c r="E262" s="80">
        <v>17342</v>
      </c>
      <c r="F262" s="80">
        <v>20722</v>
      </c>
      <c r="G262" s="80">
        <v>24186</v>
      </c>
      <c r="H262" s="80">
        <v>28590</v>
      </c>
      <c r="I262" s="80">
        <v>32838</v>
      </c>
      <c r="J262" s="80">
        <v>32719</v>
      </c>
      <c r="K262" s="80">
        <v>32246</v>
      </c>
      <c r="L262" s="80">
        <v>18088</v>
      </c>
      <c r="M262" s="80">
        <v>16696</v>
      </c>
    </row>
    <row r="263" spans="1:21" ht="14.6">
      <c r="A263" s="209"/>
      <c r="B263" s="80" t="s">
        <v>536</v>
      </c>
      <c r="C263" s="80">
        <v>4146</v>
      </c>
      <c r="D263" s="80">
        <v>4598</v>
      </c>
      <c r="E263" s="80">
        <v>3754</v>
      </c>
      <c r="F263" s="80">
        <v>3982</v>
      </c>
      <c r="G263" s="80">
        <v>4082</v>
      </c>
      <c r="H263" s="80">
        <v>4653</v>
      </c>
      <c r="I263" s="80">
        <v>5206</v>
      </c>
      <c r="J263" s="80">
        <v>4981</v>
      </c>
      <c r="K263" s="80">
        <v>5423</v>
      </c>
      <c r="L263" s="80">
        <v>3525</v>
      </c>
      <c r="M263" s="80">
        <v>4162</v>
      </c>
    </row>
    <row r="264" spans="1:21" ht="14.6">
      <c r="A264" s="209"/>
      <c r="B264" s="260" t="s">
        <v>456</v>
      </c>
      <c r="C264" s="225">
        <v>478</v>
      </c>
      <c r="D264" s="225">
        <v>565</v>
      </c>
      <c r="E264" s="225">
        <v>454</v>
      </c>
      <c r="F264" s="225">
        <v>776</v>
      </c>
      <c r="G264" s="225">
        <v>1372</v>
      </c>
      <c r="H264" s="225">
        <v>2144</v>
      </c>
      <c r="I264" s="225">
        <v>2931</v>
      </c>
      <c r="J264" s="225">
        <v>4880</v>
      </c>
      <c r="K264" s="225">
        <v>7089</v>
      </c>
      <c r="L264" s="225">
        <v>5776</v>
      </c>
      <c r="M264" s="225">
        <v>8974</v>
      </c>
      <c r="N264" s="225">
        <v>12538</v>
      </c>
      <c r="O264" s="225">
        <v>14932</v>
      </c>
      <c r="P264" s="225">
        <v>16675</v>
      </c>
      <c r="Q264" s="225">
        <v>19315</v>
      </c>
      <c r="R264" s="225">
        <v>13590</v>
      </c>
      <c r="S264" s="225">
        <v>7612</v>
      </c>
      <c r="T264" s="225">
        <v>11394</v>
      </c>
      <c r="U264" s="225">
        <v>8908</v>
      </c>
    </row>
    <row r="265" spans="1:21" ht="14.6">
      <c r="A265" s="209"/>
    </row>
    <row r="266" spans="1:21" ht="14.6">
      <c r="A266" s="209"/>
    </row>
    <row r="267" spans="1:21" ht="14.6">
      <c r="A267" s="209"/>
    </row>
    <row r="268" spans="1:21" ht="14.6">
      <c r="A268" s="209"/>
    </row>
    <row r="269" spans="1:21" ht="14.6">
      <c r="A269" s="209" t="s">
        <v>537</v>
      </c>
    </row>
    <row r="270" spans="1:21" ht="14.6">
      <c r="A270" s="40" t="s">
        <v>538</v>
      </c>
      <c r="C270" s="40">
        <v>2000</v>
      </c>
      <c r="D270" s="40">
        <v>2001</v>
      </c>
      <c r="E270" s="40">
        <v>2002</v>
      </c>
      <c r="F270" s="40">
        <v>2003</v>
      </c>
      <c r="G270" s="40">
        <v>2004</v>
      </c>
      <c r="H270" s="40">
        <v>2005</v>
      </c>
      <c r="I270" s="40">
        <v>2006</v>
      </c>
      <c r="J270" s="40">
        <v>2007</v>
      </c>
      <c r="K270" s="40">
        <v>2008</v>
      </c>
      <c r="L270" s="40">
        <v>2009</v>
      </c>
      <c r="M270" s="40">
        <v>2010</v>
      </c>
      <c r="N270" s="40">
        <v>2011</v>
      </c>
      <c r="O270" s="40">
        <v>2012</v>
      </c>
      <c r="P270" s="40">
        <v>2013</v>
      </c>
      <c r="Q270" s="40">
        <v>2014</v>
      </c>
      <c r="R270" s="40">
        <v>2015</v>
      </c>
      <c r="S270" s="40">
        <v>2016</v>
      </c>
      <c r="T270" s="40">
        <v>2017</v>
      </c>
      <c r="U270" s="40">
        <v>2018</v>
      </c>
    </row>
    <row r="271" spans="1:21" ht="14.6">
      <c r="B271" s="80" t="s">
        <v>539</v>
      </c>
      <c r="C271" s="227">
        <v>770.40384619999998</v>
      </c>
      <c r="D271" s="227">
        <v>991.5</v>
      </c>
      <c r="E271" s="227">
        <v>707.30769229999999</v>
      </c>
      <c r="F271" s="227">
        <v>915.24528299999997</v>
      </c>
      <c r="G271" s="227">
        <v>1085.1730769999999</v>
      </c>
      <c r="H271" s="227">
        <v>1279.9230769999999</v>
      </c>
      <c r="I271" s="227">
        <v>1550.788462</v>
      </c>
      <c r="J271" s="227">
        <v>1686.75</v>
      </c>
      <c r="K271" s="227">
        <v>1806.8461540000001</v>
      </c>
      <c r="L271" s="227">
        <v>1037.754717</v>
      </c>
      <c r="M271" s="227">
        <v>1506.3846149999999</v>
      </c>
      <c r="N271" s="227">
        <v>1840.3653850000001</v>
      </c>
      <c r="O271" s="227">
        <v>1864.711538</v>
      </c>
      <c r="P271" s="227">
        <v>1696.730769</v>
      </c>
      <c r="Q271" s="227">
        <v>1794.961538</v>
      </c>
      <c r="R271" s="227">
        <v>931.43396229999996</v>
      </c>
      <c r="S271" s="227">
        <v>478.5</v>
      </c>
      <c r="T271" s="227">
        <v>850.53846150000004</v>
      </c>
      <c r="U271" s="227">
        <v>1007.442308</v>
      </c>
    </row>
    <row r="272" spans="1:21" ht="14.6">
      <c r="B272" s="80" t="s">
        <v>540</v>
      </c>
      <c r="C272" s="227">
        <v>139.53846150000001</v>
      </c>
      <c r="D272" s="227">
        <v>151.5192308</v>
      </c>
      <c r="E272" s="227">
        <v>111.1538462</v>
      </c>
      <c r="F272" s="227">
        <v>107</v>
      </c>
      <c r="G272" s="227">
        <v>96.692307690000007</v>
      </c>
      <c r="H272" s="227">
        <v>93.32692308</v>
      </c>
      <c r="I272" s="227">
        <v>89.903846150000007</v>
      </c>
      <c r="J272" s="227">
        <v>72.5</v>
      </c>
      <c r="K272" s="227">
        <v>63.94230769</v>
      </c>
      <c r="L272" s="227">
        <v>43.358490570000001</v>
      </c>
      <c r="M272" s="227">
        <v>31.15384615</v>
      </c>
      <c r="N272" s="227">
        <v>31.73076923</v>
      </c>
      <c r="O272" s="227">
        <v>46.5</v>
      </c>
      <c r="P272" s="227">
        <v>55.53846154</v>
      </c>
      <c r="Q272" s="227">
        <v>56.88461538</v>
      </c>
      <c r="R272" s="227">
        <v>35.18867925</v>
      </c>
      <c r="S272" s="227">
        <v>22.19230769</v>
      </c>
      <c r="T272" s="227">
        <v>19.88461538</v>
      </c>
      <c r="U272" s="227">
        <v>18.15384615</v>
      </c>
    </row>
    <row r="273" spans="2:22" ht="14.6">
      <c r="B273" s="80" t="s">
        <v>541</v>
      </c>
      <c r="C273" s="227">
        <f t="shared" ref="C273:U273" si="44">SUM(C271:C272)</f>
        <v>909.94230770000001</v>
      </c>
      <c r="D273" s="227">
        <f t="shared" si="44"/>
        <v>1143.0192308000001</v>
      </c>
      <c r="E273" s="227">
        <f t="shared" si="44"/>
        <v>818.46153849999996</v>
      </c>
      <c r="F273" s="227">
        <f t="shared" si="44"/>
        <v>1022.245283</v>
      </c>
      <c r="G273" s="227">
        <f t="shared" si="44"/>
        <v>1181.8653846899999</v>
      </c>
      <c r="H273" s="227">
        <f t="shared" si="44"/>
        <v>1373.2500000799998</v>
      </c>
      <c r="I273" s="227">
        <f t="shared" si="44"/>
        <v>1640.6923081499999</v>
      </c>
      <c r="J273" s="227">
        <f t="shared" si="44"/>
        <v>1759.25</v>
      </c>
      <c r="K273" s="227">
        <f t="shared" si="44"/>
        <v>1870.7884616900001</v>
      </c>
      <c r="L273" s="227">
        <f t="shared" si="44"/>
        <v>1081.11320757</v>
      </c>
      <c r="M273" s="227">
        <f t="shared" si="44"/>
        <v>1537.5384611499999</v>
      </c>
      <c r="N273" s="227">
        <f t="shared" si="44"/>
        <v>1872.0961542300001</v>
      </c>
      <c r="O273" s="227">
        <f t="shared" si="44"/>
        <v>1911.211538</v>
      </c>
      <c r="P273" s="227">
        <f t="shared" si="44"/>
        <v>1752.2692305400001</v>
      </c>
      <c r="Q273" s="227">
        <f t="shared" si="44"/>
        <v>1851.84615338</v>
      </c>
      <c r="R273" s="227">
        <f t="shared" si="44"/>
        <v>966.62264154999991</v>
      </c>
      <c r="S273" s="227">
        <f t="shared" si="44"/>
        <v>500.69230769000001</v>
      </c>
      <c r="T273" s="227">
        <f t="shared" si="44"/>
        <v>870.42307688000005</v>
      </c>
      <c r="U273" s="227">
        <f t="shared" si="44"/>
        <v>1025.5961541500001</v>
      </c>
    </row>
    <row r="274" spans="2:22" ht="14.6">
      <c r="B274" s="151" t="s">
        <v>542</v>
      </c>
      <c r="C274" s="140">
        <v>0.20763527900000001</v>
      </c>
      <c r="D274" s="140">
        <v>0.177406645</v>
      </c>
      <c r="E274" s="140">
        <v>0.15320426400000001</v>
      </c>
      <c r="F274" s="140">
        <v>0.14474611400000001</v>
      </c>
      <c r="G274" s="140">
        <v>0.13099544799999999</v>
      </c>
      <c r="H274" s="140">
        <v>0.13374898099999999</v>
      </c>
      <c r="I274" s="140">
        <v>0.16116153599999999</v>
      </c>
      <c r="J274" s="140">
        <v>0.16394983099999999</v>
      </c>
      <c r="K274" s="140">
        <v>0.197853006</v>
      </c>
      <c r="L274" s="140">
        <v>0.25021692299999998</v>
      </c>
      <c r="M274" s="140">
        <v>0.375861585</v>
      </c>
      <c r="N274" s="140">
        <v>0.52031386899999998</v>
      </c>
      <c r="O274" s="140">
        <v>0.70889133800000004</v>
      </c>
      <c r="P274" s="140">
        <v>0.77814955600000002</v>
      </c>
      <c r="Q274" s="140">
        <v>0.81876602799999998</v>
      </c>
      <c r="R274" s="140">
        <v>0.75908463699999995</v>
      </c>
      <c r="S274" s="140">
        <v>0.79873313499999998</v>
      </c>
      <c r="T274" s="140">
        <v>0.80093389599999998</v>
      </c>
      <c r="U274" s="140">
        <v>0.81353541200000001</v>
      </c>
    </row>
    <row r="275" spans="2:22" ht="14.6">
      <c r="B275" s="151" t="s">
        <v>543</v>
      </c>
      <c r="C275" s="140">
        <v>0.79147020400000001</v>
      </c>
      <c r="D275" s="140">
        <v>0.82158354600000005</v>
      </c>
      <c r="E275" s="140">
        <v>0.84403794200000004</v>
      </c>
      <c r="F275" s="140">
        <v>0.85201888100000001</v>
      </c>
      <c r="G275" s="140">
        <v>0.86730939299999998</v>
      </c>
      <c r="H275" s="140">
        <v>0.86437169999999997</v>
      </c>
      <c r="I275" s="140">
        <v>0.83666578999999996</v>
      </c>
      <c r="J275" s="140">
        <v>0.83328891199999999</v>
      </c>
      <c r="K275" s="140">
        <v>0.79701845599999999</v>
      </c>
      <c r="L275" s="140">
        <v>0.73964662599999997</v>
      </c>
      <c r="M275" s="140">
        <v>0.61659880499999997</v>
      </c>
      <c r="N275" s="140">
        <v>0.47558871000000003</v>
      </c>
      <c r="O275" s="140">
        <v>0.28911236600000001</v>
      </c>
      <c r="P275" s="140">
        <v>0.21876646199999999</v>
      </c>
      <c r="Q275" s="140">
        <v>0.17986355900000001</v>
      </c>
      <c r="R275" s="140">
        <v>0.23939989</v>
      </c>
      <c r="S275" s="140">
        <v>0.199251596</v>
      </c>
      <c r="T275" s="140">
        <v>0.198227083</v>
      </c>
      <c r="U275" s="140">
        <v>0.185499835</v>
      </c>
    </row>
    <row r="276" spans="2:22" ht="14.6">
      <c r="B276" s="151" t="s">
        <v>544</v>
      </c>
      <c r="C276" s="140">
        <v>0.237116724</v>
      </c>
      <c r="D276" s="140">
        <v>0.24348795200000001</v>
      </c>
      <c r="E276" s="140">
        <v>0.27303885300000003</v>
      </c>
      <c r="F276" s="140">
        <v>0.25450720999999998</v>
      </c>
      <c r="G276" s="140">
        <v>0.26078391899999998</v>
      </c>
      <c r="H276" s="140">
        <v>0.24666206299999999</v>
      </c>
      <c r="I276" s="140">
        <v>0.23331865800000001</v>
      </c>
      <c r="J276" s="140">
        <v>0.21274716499999999</v>
      </c>
      <c r="K276" s="140">
        <v>0.19793913299999999</v>
      </c>
      <c r="L276" s="140">
        <v>0.184113945</v>
      </c>
      <c r="M276" s="140">
        <v>0.14498826400000001</v>
      </c>
      <c r="N276" s="140">
        <v>0.12302038</v>
      </c>
      <c r="O276" s="140">
        <v>0.112499139</v>
      </c>
      <c r="P276" s="140">
        <v>0.12741340900000001</v>
      </c>
      <c r="Q276" s="140">
        <v>0.113306055</v>
      </c>
      <c r="R276" s="140">
        <v>9.7211380999999999E-2</v>
      </c>
      <c r="S276" s="140">
        <v>9.6536790999999997E-2</v>
      </c>
      <c r="T276" s="140">
        <v>8.0130848000000005E-2</v>
      </c>
      <c r="U276" s="140">
        <v>6.6616830000000002E-2</v>
      </c>
    </row>
    <row r="277" spans="2:22" ht="14.6">
      <c r="B277" s="151" t="s">
        <v>545</v>
      </c>
      <c r="C277" s="140">
        <v>6.0733835999999999E-2</v>
      </c>
      <c r="D277" s="140">
        <v>6.6649499000000001E-2</v>
      </c>
      <c r="E277" s="140">
        <v>7.2593253999999996E-2</v>
      </c>
      <c r="F277" s="140">
        <v>7.7700649999999996E-2</v>
      </c>
      <c r="G277" s="140">
        <v>9.9762673999999996E-2</v>
      </c>
      <c r="H277" s="140">
        <v>0.129887955</v>
      </c>
      <c r="I277" s="140">
        <v>0.17208683699999999</v>
      </c>
      <c r="J277" s="140">
        <v>0.222027049</v>
      </c>
      <c r="K277" s="140">
        <v>0.29378585699999998</v>
      </c>
      <c r="L277" s="140">
        <v>0.42157429200000002</v>
      </c>
      <c r="M277" s="140">
        <v>0.52966814500000003</v>
      </c>
      <c r="N277" s="140">
        <v>0.571731345</v>
      </c>
      <c r="O277" s="140">
        <v>0.60012789300000002</v>
      </c>
      <c r="P277" s="140">
        <v>0.62558235299999998</v>
      </c>
      <c r="Q277" s="140">
        <v>0.68431766900000002</v>
      </c>
      <c r="R277" s="140">
        <v>0.76324548599999997</v>
      </c>
      <c r="S277" s="140">
        <v>0.78550329100000005</v>
      </c>
      <c r="T277" s="140">
        <v>0.83939279099999997</v>
      </c>
      <c r="U277" s="140">
        <v>0.87186499799999995</v>
      </c>
    </row>
    <row r="278" spans="2:22" ht="14.6">
      <c r="B278" s="151" t="s">
        <v>546</v>
      </c>
      <c r="C278" s="140">
        <v>0.70214944000000001</v>
      </c>
      <c r="D278" s="140">
        <v>0.68986254800000002</v>
      </c>
      <c r="E278" s="140">
        <v>0.65436789299999998</v>
      </c>
      <c r="F278" s="140">
        <v>0.66779213999999998</v>
      </c>
      <c r="G278" s="140">
        <v>0.63945340699999997</v>
      </c>
      <c r="H278" s="140">
        <v>0.62344998200000001</v>
      </c>
      <c r="I278" s="140">
        <v>0.594594505</v>
      </c>
      <c r="J278" s="140">
        <v>0.56522578599999995</v>
      </c>
      <c r="K278" s="140">
        <v>0.50827501100000005</v>
      </c>
      <c r="L278" s="140">
        <v>0.39431176299999998</v>
      </c>
      <c r="M278" s="140">
        <v>0.32534359200000001</v>
      </c>
      <c r="N278" s="140">
        <v>0.30524827500000001</v>
      </c>
      <c r="O278" s="140">
        <v>0.28737296800000001</v>
      </c>
      <c r="P278" s="140">
        <v>0.24700423799999999</v>
      </c>
      <c r="Q278" s="140">
        <v>0.20237627499999999</v>
      </c>
      <c r="R278" s="140">
        <v>0.13954313199999999</v>
      </c>
      <c r="S278" s="140">
        <v>0.117959917</v>
      </c>
      <c r="T278" s="140">
        <v>8.0476360999999996E-2</v>
      </c>
      <c r="U278" s="140">
        <v>6.1518172000000003E-2</v>
      </c>
    </row>
    <row r="280" spans="2:22" ht="14.6">
      <c r="B280" s="151" t="s">
        <v>547</v>
      </c>
      <c r="C280" s="119">
        <f t="shared" ref="C280:U280" si="45">C82/(C277*C271)</f>
        <v>10.215949605187404</v>
      </c>
      <c r="D280" s="119">
        <f t="shared" si="45"/>
        <v>8.5498567844485152</v>
      </c>
      <c r="E280" s="119">
        <f t="shared" si="45"/>
        <v>8.8420141883285215</v>
      </c>
      <c r="F280" s="119">
        <f t="shared" si="45"/>
        <v>10.911879717832365</v>
      </c>
      <c r="G280" s="119">
        <f t="shared" si="45"/>
        <v>12.673221330806305</v>
      </c>
      <c r="H280" s="119">
        <f t="shared" si="45"/>
        <v>12.896505045496523</v>
      </c>
      <c r="I280" s="119">
        <f t="shared" si="45"/>
        <v>10.982863981420266</v>
      </c>
      <c r="J280" s="119">
        <f t="shared" si="45"/>
        <v>13.030564086025176</v>
      </c>
      <c r="K280" s="119">
        <f t="shared" si="45"/>
        <v>13.354662467590646</v>
      </c>
      <c r="L280" s="119">
        <f t="shared" si="45"/>
        <v>13.202566058661736</v>
      </c>
      <c r="M280" s="119">
        <f t="shared" si="45"/>
        <v>11.247249753294323</v>
      </c>
      <c r="N280" s="119">
        <f t="shared" si="45"/>
        <v>11.91604697055773</v>
      </c>
      <c r="O280" s="119">
        <f t="shared" si="45"/>
        <v>13.343277269794749</v>
      </c>
      <c r="P280" s="119">
        <f t="shared" si="45"/>
        <v>15.709719033666198</v>
      </c>
      <c r="Q280" s="119">
        <f t="shared" si="45"/>
        <v>15.724679841152229</v>
      </c>
      <c r="R280" s="119">
        <f t="shared" si="45"/>
        <v>19.116269430499827</v>
      </c>
      <c r="S280" s="119">
        <f t="shared" si="45"/>
        <v>20.252042428440308</v>
      </c>
      <c r="T280" s="119">
        <f t="shared" si="45"/>
        <v>15.959417013871114</v>
      </c>
      <c r="U280" s="119">
        <f t="shared" si="45"/>
        <v>10.141700482971466</v>
      </c>
    </row>
    <row r="282" spans="2:22" ht="14.6">
      <c r="B282" s="151" t="s">
        <v>548</v>
      </c>
    </row>
    <row r="283" spans="2:22" ht="14.6">
      <c r="B283" s="151" t="s">
        <v>539</v>
      </c>
      <c r="C283" s="261"/>
      <c r="D283" s="261"/>
      <c r="E283" s="261"/>
      <c r="F283" s="262">
        <v>12200</v>
      </c>
      <c r="G283" s="262">
        <v>12400</v>
      </c>
      <c r="H283" s="261"/>
      <c r="I283" s="257">
        <v>14650</v>
      </c>
      <c r="J283" s="257">
        <v>13400</v>
      </c>
      <c r="K283" s="257">
        <v>13530</v>
      </c>
      <c r="L283" s="257">
        <v>10500</v>
      </c>
      <c r="M283" s="257">
        <v>11700</v>
      </c>
      <c r="N283" s="257">
        <v>13270</v>
      </c>
      <c r="O283" s="257">
        <v>13825</v>
      </c>
      <c r="P283" s="257">
        <v>13945</v>
      </c>
      <c r="Q283" s="257">
        <v>14410</v>
      </c>
      <c r="R283" s="257">
        <v>13840</v>
      </c>
      <c r="S283" s="262">
        <v>13500</v>
      </c>
      <c r="T283" s="263">
        <f>S283*1.05</f>
        <v>14175</v>
      </c>
      <c r="U283" s="263">
        <f>T283*1.1</f>
        <v>15592.500000000002</v>
      </c>
    </row>
    <row r="284" spans="2:22" ht="14.6">
      <c r="B284" s="151" t="s">
        <v>540</v>
      </c>
      <c r="C284" s="261"/>
      <c r="D284" s="261"/>
      <c r="E284" s="261"/>
      <c r="F284" s="262">
        <v>45000</v>
      </c>
      <c r="G284" s="262">
        <v>46000</v>
      </c>
      <c r="H284" s="261"/>
      <c r="I284" s="261"/>
      <c r="J284" s="261"/>
      <c r="K284" s="261"/>
      <c r="L284" s="261"/>
      <c r="M284" s="261"/>
      <c r="N284" s="261"/>
      <c r="O284" s="261"/>
      <c r="P284" s="261"/>
      <c r="Q284" s="261"/>
      <c r="R284" s="261"/>
      <c r="S284" s="261"/>
      <c r="T284" s="261"/>
      <c r="U284" s="261"/>
    </row>
    <row r="285" spans="2:22" ht="14.6">
      <c r="C285" s="261"/>
      <c r="D285" s="261"/>
      <c r="E285" s="261"/>
      <c r="F285" s="263"/>
      <c r="G285" s="262">
        <v>100000</v>
      </c>
      <c r="H285" s="261"/>
      <c r="I285" s="261"/>
      <c r="J285" s="261"/>
      <c r="K285" s="261"/>
      <c r="L285" s="261"/>
      <c r="M285" s="261"/>
      <c r="N285" s="261"/>
      <c r="O285" s="261"/>
      <c r="P285" s="261"/>
      <c r="Q285" s="261"/>
      <c r="R285" s="261"/>
      <c r="S285" s="261"/>
      <c r="T285" s="261"/>
      <c r="U285" s="261"/>
    </row>
    <row r="286" spans="2:22" ht="15.45">
      <c r="C286" s="261"/>
      <c r="D286" s="261"/>
      <c r="E286" s="261"/>
      <c r="F286" s="263"/>
      <c r="G286" s="262">
        <v>50000</v>
      </c>
      <c r="H286" s="261"/>
      <c r="I286" s="261"/>
      <c r="J286" s="261"/>
      <c r="K286" s="261"/>
      <c r="L286" s="261"/>
      <c r="M286" s="261"/>
      <c r="N286" s="261"/>
      <c r="O286" s="261"/>
      <c r="P286" s="261"/>
      <c r="Q286" s="261"/>
      <c r="R286" s="261"/>
      <c r="S286" s="261"/>
      <c r="T286" s="261"/>
      <c r="U286" s="261"/>
      <c r="V286" s="264"/>
    </row>
    <row r="287" spans="2:22" ht="14.6">
      <c r="C287" s="261"/>
      <c r="D287" s="261"/>
      <c r="E287" s="261"/>
      <c r="F287" s="263"/>
      <c r="G287" s="262">
        <v>55000</v>
      </c>
      <c r="H287" s="261"/>
      <c r="I287" s="261"/>
      <c r="J287" s="261"/>
      <c r="K287" s="261"/>
      <c r="L287" s="261"/>
      <c r="M287" s="261"/>
      <c r="N287" s="261"/>
      <c r="O287" s="261"/>
      <c r="P287" s="261"/>
      <c r="Q287" s="261"/>
      <c r="R287" s="261"/>
      <c r="S287" s="261"/>
      <c r="T287" s="261"/>
      <c r="U287" s="261"/>
    </row>
    <row r="288" spans="2:22" ht="14.6">
      <c r="B288" s="80" t="s">
        <v>549</v>
      </c>
      <c r="C288" s="261"/>
      <c r="D288" s="261"/>
      <c r="E288" s="261"/>
      <c r="F288" s="261"/>
      <c r="G288" s="261"/>
      <c r="H288" s="261"/>
      <c r="I288" s="261"/>
      <c r="J288" s="261"/>
      <c r="K288" s="261"/>
      <c r="L288" s="261"/>
      <c r="M288" s="261"/>
      <c r="N288" s="261"/>
      <c r="O288" s="261"/>
      <c r="P288" s="261"/>
      <c r="Q288" s="261"/>
      <c r="R288" s="257">
        <v>300000</v>
      </c>
      <c r="S288" s="261"/>
      <c r="T288" s="261"/>
      <c r="U288" s="261"/>
    </row>
    <row r="289" spans="1:21" ht="14.6">
      <c r="B289" s="80" t="s">
        <v>550</v>
      </c>
      <c r="C289" s="261"/>
      <c r="D289" s="261"/>
      <c r="E289" s="261"/>
      <c r="F289" s="261"/>
      <c r="G289" s="261"/>
      <c r="H289" s="261"/>
      <c r="I289" s="261"/>
      <c r="J289" s="261"/>
      <c r="K289" s="261"/>
      <c r="L289" s="261"/>
      <c r="M289" s="261"/>
      <c r="N289" s="261"/>
      <c r="O289" s="261"/>
      <c r="P289" s="261"/>
      <c r="Q289" s="261"/>
      <c r="R289" s="257">
        <v>600000</v>
      </c>
      <c r="S289" s="261"/>
      <c r="T289" s="261"/>
      <c r="U289" s="261"/>
    </row>
    <row r="290" spans="1:21" ht="14.6">
      <c r="C290" s="261"/>
      <c r="D290" s="261"/>
      <c r="E290" s="261"/>
      <c r="F290" s="261"/>
      <c r="G290" s="261"/>
      <c r="H290" s="261"/>
      <c r="I290" s="261"/>
      <c r="J290" s="261"/>
      <c r="K290" s="261"/>
      <c r="L290" s="261"/>
      <c r="M290" s="261"/>
      <c r="N290" s="261"/>
      <c r="O290" s="261"/>
      <c r="P290" s="261"/>
      <c r="Q290" s="261"/>
      <c r="R290" s="261"/>
      <c r="S290" s="261"/>
      <c r="T290" s="261"/>
      <c r="U290" s="261"/>
    </row>
    <row r="291" spans="1:21" ht="14.6">
      <c r="B291" s="80" t="s">
        <v>551</v>
      </c>
      <c r="C291" s="261"/>
      <c r="D291" s="261"/>
      <c r="E291" s="257">
        <v>30000</v>
      </c>
      <c r="F291" s="257">
        <v>35000</v>
      </c>
      <c r="G291" s="257">
        <v>55000</v>
      </c>
      <c r="H291" s="257">
        <v>75000</v>
      </c>
      <c r="I291" s="257">
        <v>90000</v>
      </c>
      <c r="J291" s="257">
        <v>100000</v>
      </c>
      <c r="K291" s="257">
        <v>110000</v>
      </c>
      <c r="L291" s="257">
        <v>125000</v>
      </c>
      <c r="M291" s="257">
        <v>110000</v>
      </c>
      <c r="N291" s="257">
        <v>90000</v>
      </c>
      <c r="O291" s="257">
        <v>100000</v>
      </c>
      <c r="P291" s="257">
        <v>110000</v>
      </c>
      <c r="Q291" s="257">
        <v>120000</v>
      </c>
      <c r="R291" s="257">
        <v>115000</v>
      </c>
      <c r="S291" s="262">
        <v>115000</v>
      </c>
      <c r="T291" s="263">
        <f t="shared" ref="T291:T293" si="46">S291*1.05</f>
        <v>120750</v>
      </c>
      <c r="U291" s="263">
        <f t="shared" ref="U291:U293" si="47">T291*1.1</f>
        <v>132825</v>
      </c>
    </row>
    <row r="292" spans="1:21" ht="14.6">
      <c r="B292" s="80" t="s">
        <v>552</v>
      </c>
      <c r="C292" s="261"/>
      <c r="D292" s="261"/>
      <c r="E292" s="261"/>
      <c r="F292" s="261"/>
      <c r="G292" s="261"/>
      <c r="H292" s="261"/>
      <c r="I292" s="257">
        <v>175000</v>
      </c>
      <c r="J292" s="257">
        <v>230000</v>
      </c>
      <c r="K292" s="257">
        <v>275000</v>
      </c>
      <c r="L292" s="257">
        <v>350000</v>
      </c>
      <c r="M292" s="257">
        <v>350000</v>
      </c>
      <c r="N292" s="257">
        <v>350000</v>
      </c>
      <c r="O292" s="257">
        <v>350000</v>
      </c>
      <c r="P292" s="257">
        <v>350000</v>
      </c>
      <c r="Q292" s="257">
        <v>375000</v>
      </c>
      <c r="R292" s="257">
        <v>375000</v>
      </c>
      <c r="S292" s="262">
        <v>375000</v>
      </c>
      <c r="T292" s="263">
        <f t="shared" si="46"/>
        <v>393750</v>
      </c>
      <c r="U292" s="263">
        <f t="shared" si="47"/>
        <v>433125.00000000006</v>
      </c>
    </row>
    <row r="293" spans="1:21" ht="14.6">
      <c r="B293" s="80" t="s">
        <v>553</v>
      </c>
      <c r="C293" s="257">
        <v>135000</v>
      </c>
      <c r="D293" s="257">
        <v>145000</v>
      </c>
      <c r="E293" s="257">
        <v>125000</v>
      </c>
      <c r="F293" s="257">
        <v>110000</v>
      </c>
      <c r="G293" s="257">
        <v>115000</v>
      </c>
      <c r="H293" s="257">
        <v>150000</v>
      </c>
      <c r="I293" s="257">
        <v>350000</v>
      </c>
      <c r="J293" s="257">
        <v>365000</v>
      </c>
      <c r="K293" s="257">
        <v>425000</v>
      </c>
      <c r="L293" s="257">
        <v>375000</v>
      </c>
      <c r="M293" s="257">
        <v>315000</v>
      </c>
      <c r="N293" s="257">
        <v>300000</v>
      </c>
      <c r="O293" s="257">
        <v>350000</v>
      </c>
      <c r="P293" s="262">
        <v>350000</v>
      </c>
      <c r="Q293" s="262">
        <v>375000</v>
      </c>
      <c r="R293" s="262">
        <v>375000</v>
      </c>
      <c r="S293" s="262">
        <v>375000</v>
      </c>
      <c r="T293" s="263">
        <f t="shared" si="46"/>
        <v>393750</v>
      </c>
      <c r="U293" s="263">
        <f t="shared" si="47"/>
        <v>433125.00000000006</v>
      </c>
    </row>
    <row r="294" spans="1:21" ht="14.6">
      <c r="C294" s="261"/>
      <c r="D294" s="261"/>
      <c r="E294" s="261"/>
      <c r="F294" s="261"/>
      <c r="G294" s="261"/>
      <c r="H294" s="261"/>
      <c r="I294" s="261"/>
      <c r="J294" s="261"/>
      <c r="K294" s="261"/>
      <c r="L294" s="261"/>
      <c r="M294" s="261"/>
      <c r="N294" s="261"/>
      <c r="O294" s="261"/>
      <c r="P294" s="261"/>
      <c r="Q294" s="261"/>
      <c r="R294" s="261"/>
      <c r="S294" s="261"/>
      <c r="T294" s="261"/>
      <c r="U294" s="261"/>
    </row>
    <row r="295" spans="1:21" ht="14.6">
      <c r="B295" s="80" t="s">
        <v>554</v>
      </c>
      <c r="N295" s="81">
        <v>5.33E-2</v>
      </c>
      <c r="O295" s="81">
        <v>3.4000000000000002E-2</v>
      </c>
      <c r="P295" s="81">
        <v>3.1199999999999999E-2</v>
      </c>
      <c r="Q295" s="81">
        <v>1.06E-2</v>
      </c>
      <c r="R295" s="81">
        <v>2.8E-3</v>
      </c>
      <c r="S295" s="81">
        <v>1.0200000000000001E-2</v>
      </c>
      <c r="T295" s="81">
        <v>0.02</v>
      </c>
      <c r="U295" s="81">
        <v>2.2599999999999999E-2</v>
      </c>
    </row>
    <row r="296" spans="1:21" ht="14.6">
      <c r="A296" s="80" t="s">
        <v>555</v>
      </c>
    </row>
    <row r="297" spans="1:21" ht="14.6">
      <c r="A297" s="80">
        <v>300</v>
      </c>
    </row>
    <row r="298" spans="1:21" ht="14.6">
      <c r="B298" s="242" t="s">
        <v>556</v>
      </c>
      <c r="N298" s="261">
        <f t="shared" ref="N298:U298" si="48">(N271*N283+N272*N295*N291+N272*(1-N295)*N293)*$A$297/10^9</f>
        <v>10.075715078387583</v>
      </c>
      <c r="O298" s="261">
        <f t="shared" si="48"/>
        <v>12.497816103855</v>
      </c>
      <c r="P298" s="261">
        <f t="shared" si="48"/>
        <v>12.805050033808042</v>
      </c>
      <c r="Q298" s="261">
        <f t="shared" si="48"/>
        <v>14.113010224412356</v>
      </c>
      <c r="R298" s="261">
        <f t="shared" si="48"/>
        <v>7.8183550195463996</v>
      </c>
      <c r="S298" s="261">
        <f t="shared" si="48"/>
        <v>4.4169034151268356</v>
      </c>
      <c r="T298" s="261">
        <f t="shared" si="48"/>
        <v>5.9332139992988102</v>
      </c>
      <c r="U298" s="261">
        <f t="shared" si="48"/>
        <v>7.0344667923704565</v>
      </c>
    </row>
    <row r="299" spans="1:21" ht="14.6">
      <c r="B299" s="242" t="s">
        <v>557</v>
      </c>
    </row>
    <row r="300" spans="1:21" ht="14.6">
      <c r="B300" s="242" t="s">
        <v>556</v>
      </c>
      <c r="C300" s="234">
        <f t="shared" ref="C300:J300" si="49">(C261*C239+C262*C240+C263*C241)/1000</f>
        <v>22.165116300000001</v>
      </c>
      <c r="D300" s="234">
        <f t="shared" si="49"/>
        <v>33.718387999999997</v>
      </c>
      <c r="E300" s="234">
        <f t="shared" si="49"/>
        <v>29.4644434</v>
      </c>
      <c r="F300" s="234">
        <f t="shared" si="49"/>
        <v>39.573971900000004</v>
      </c>
      <c r="G300" s="234">
        <f t="shared" si="49"/>
        <v>62.256169199999995</v>
      </c>
      <c r="H300" s="234">
        <f t="shared" si="49"/>
        <v>74.650539300000005</v>
      </c>
      <c r="I300" s="234">
        <f t="shared" si="49"/>
        <v>107.41650419999999</v>
      </c>
      <c r="J300" s="234">
        <f t="shared" si="49"/>
        <v>211.8587167</v>
      </c>
      <c r="N300" s="144">
        <v>124.8</v>
      </c>
      <c r="O300" s="144">
        <v>153.69999999999999</v>
      </c>
      <c r="P300" s="144">
        <v>147.69999999999999</v>
      </c>
      <c r="Q300" s="144">
        <v>168.7</v>
      </c>
      <c r="R300" s="144">
        <v>122.8</v>
      </c>
      <c r="S300" s="144">
        <v>67.599999999999994</v>
      </c>
    </row>
    <row r="301" spans="1:21" ht="14.6">
      <c r="B301" s="242" t="s">
        <v>558</v>
      </c>
      <c r="N301" s="265"/>
      <c r="O301" s="266"/>
      <c r="P301" s="266"/>
      <c r="Q301" s="266"/>
      <c r="R301" s="266"/>
    </row>
    <row r="302" spans="1:21" ht="14.6">
      <c r="B302" s="242" t="s">
        <v>559</v>
      </c>
      <c r="C302" s="265">
        <f t="shared" ref="C302:U302" si="50">C264*C226/1000</f>
        <v>1.1800350647597959</v>
      </c>
      <c r="D302" s="265">
        <f t="shared" si="50"/>
        <v>1.7729732358977368</v>
      </c>
      <c r="E302" s="265">
        <f t="shared" si="50"/>
        <v>1.2423739328835244</v>
      </c>
      <c r="F302" s="265">
        <f t="shared" si="50"/>
        <v>2.1211030463834533</v>
      </c>
      <c r="G302" s="265">
        <f t="shared" si="50"/>
        <v>4.1223392377494319</v>
      </c>
      <c r="H302" s="265">
        <f t="shared" si="50"/>
        <v>10.056878693569979</v>
      </c>
      <c r="I302" s="265">
        <f t="shared" si="50"/>
        <v>20.081426200880468</v>
      </c>
      <c r="J302" s="265">
        <f t="shared" si="50"/>
        <v>31.765335790647335</v>
      </c>
      <c r="K302" s="265">
        <f t="shared" si="50"/>
        <v>47.007622828672218</v>
      </c>
      <c r="L302" s="265">
        <f t="shared" si="50"/>
        <v>34.043828336182344</v>
      </c>
      <c r="M302" s="265">
        <f t="shared" si="50"/>
        <v>58.113911014245012</v>
      </c>
      <c r="N302" s="265">
        <f t="shared" si="50"/>
        <v>97.372528084045584</v>
      </c>
      <c r="O302" s="265">
        <f t="shared" si="50"/>
        <v>130.96225461538461</v>
      </c>
      <c r="P302" s="265">
        <f t="shared" si="50"/>
        <v>134.73150587606838</v>
      </c>
      <c r="Q302" s="265">
        <f t="shared" si="50"/>
        <v>151.21038025284898</v>
      </c>
      <c r="R302" s="265">
        <f t="shared" si="50"/>
        <v>87.369642516625248</v>
      </c>
      <c r="S302" s="265">
        <f t="shared" si="50"/>
        <v>40.767638290228064</v>
      </c>
      <c r="T302" s="265">
        <f t="shared" si="50"/>
        <v>62.877687585193719</v>
      </c>
      <c r="U302" s="265">
        <f t="shared" si="50"/>
        <v>70.521666666666675</v>
      </c>
    </row>
    <row r="303" spans="1:21" ht="14.6">
      <c r="B303" s="242" t="s">
        <v>560</v>
      </c>
      <c r="C303" s="40"/>
      <c r="D303" s="40"/>
      <c r="E303" s="40"/>
      <c r="F303" s="40"/>
      <c r="G303" s="40"/>
      <c r="H303" s="40"/>
      <c r="I303" s="40"/>
      <c r="J303" s="40"/>
      <c r="K303" s="40"/>
      <c r="L303" s="40"/>
      <c r="M303" s="40"/>
      <c r="N303" s="40"/>
      <c r="O303" s="40"/>
      <c r="P303" s="40"/>
      <c r="Q303" s="40"/>
      <c r="R303" s="40"/>
      <c r="S303" s="40"/>
      <c r="T303" s="40"/>
      <c r="U303" s="40"/>
    </row>
    <row r="304" spans="1:21" ht="14.6">
      <c r="C304" s="40">
        <v>2000</v>
      </c>
      <c r="D304" s="40">
        <v>2001</v>
      </c>
      <c r="E304" s="40">
        <v>2002</v>
      </c>
      <c r="F304" s="40">
        <v>2003</v>
      </c>
      <c r="G304" s="40">
        <v>2004</v>
      </c>
      <c r="H304" s="40">
        <v>2005</v>
      </c>
      <c r="I304" s="40">
        <v>2006</v>
      </c>
      <c r="J304" s="40">
        <v>2007</v>
      </c>
      <c r="K304" s="40">
        <v>2008</v>
      </c>
      <c r="L304" s="40">
        <v>2009</v>
      </c>
      <c r="M304" s="40">
        <v>2010</v>
      </c>
      <c r="N304" s="40">
        <v>2011</v>
      </c>
      <c r="O304" s="40">
        <v>2012</v>
      </c>
      <c r="P304" s="40">
        <v>2013</v>
      </c>
      <c r="Q304" s="40">
        <v>2014</v>
      </c>
      <c r="R304" s="40">
        <v>2015</v>
      </c>
      <c r="S304" s="40">
        <v>2016</v>
      </c>
      <c r="T304" s="40">
        <v>2017</v>
      </c>
      <c r="U304" s="40">
        <v>2018</v>
      </c>
    </row>
    <row r="305" spans="1:60" ht="14.6">
      <c r="A305" s="267"/>
      <c r="B305" s="268" t="s">
        <v>561</v>
      </c>
      <c r="C305" s="269">
        <v>31.1</v>
      </c>
      <c r="D305" s="269">
        <v>41.7</v>
      </c>
      <c r="E305" s="269">
        <v>33.799999999999997</v>
      </c>
      <c r="F305" s="269">
        <v>44.7</v>
      </c>
      <c r="G305" s="269">
        <v>51.7</v>
      </c>
      <c r="H305" s="269">
        <v>71.7</v>
      </c>
      <c r="I305" s="269">
        <v>98.8</v>
      </c>
      <c r="J305" s="269">
        <v>108.1</v>
      </c>
      <c r="K305" s="269">
        <v>125.3</v>
      </c>
      <c r="L305" s="269">
        <v>87.2</v>
      </c>
      <c r="M305" s="269">
        <v>103.1</v>
      </c>
      <c r="N305" s="269">
        <v>130.19999999999999</v>
      </c>
      <c r="O305" s="269">
        <v>162.69999999999999</v>
      </c>
      <c r="P305" s="269">
        <v>170.6</v>
      </c>
      <c r="Q305" s="269">
        <v>203.9</v>
      </c>
      <c r="R305" s="269">
        <v>149.6</v>
      </c>
      <c r="S305" s="269">
        <v>79.900000000000006</v>
      </c>
      <c r="T305" s="269">
        <v>112.3</v>
      </c>
      <c r="U305" s="270">
        <f t="shared" ref="U305:BA305" si="51">13.0174*U308+1.299*U309</f>
        <v>168.51053225525459</v>
      </c>
      <c r="V305" s="270">
        <f t="shared" si="51"/>
        <v>189.6636614658</v>
      </c>
      <c r="W305" s="270">
        <f t="shared" si="51"/>
        <v>206.58208897460003</v>
      </c>
      <c r="X305" s="270">
        <f t="shared" si="51"/>
        <v>217.35143697939998</v>
      </c>
      <c r="Y305" s="270">
        <f t="shared" si="51"/>
        <v>220.1246443718</v>
      </c>
      <c r="Z305" s="270">
        <f t="shared" si="51"/>
        <v>224.9103731056</v>
      </c>
      <c r="AA305" s="270">
        <f t="shared" si="51"/>
        <v>235.1595854338</v>
      </c>
      <c r="AB305" s="270">
        <f t="shared" si="51"/>
        <v>243.40610194919998</v>
      </c>
      <c r="AC305" s="270">
        <f t="shared" si="51"/>
        <v>252.54794460580001</v>
      </c>
      <c r="AD305" s="270">
        <f t="shared" si="51"/>
        <v>262.81876997820001</v>
      </c>
      <c r="AE305" s="270">
        <f t="shared" si="51"/>
        <v>269.17502899580001</v>
      </c>
      <c r="AF305" s="270">
        <f t="shared" si="51"/>
        <v>277.06953699439998</v>
      </c>
      <c r="AG305" s="270">
        <f t="shared" si="51"/>
        <v>283.76404788460002</v>
      </c>
      <c r="AH305" s="270">
        <f t="shared" si="51"/>
        <v>291.14727620539998</v>
      </c>
      <c r="AI305" s="270">
        <f t="shared" si="51"/>
        <v>296.05841487179998</v>
      </c>
      <c r="AJ305" s="270">
        <f t="shared" si="51"/>
        <v>303.59918571139997</v>
      </c>
      <c r="AK305" s="270">
        <f t="shared" si="51"/>
        <v>308.1018894046</v>
      </c>
      <c r="AL305" s="270">
        <f t="shared" si="51"/>
        <v>313.61077377679999</v>
      </c>
      <c r="AM305" s="270">
        <f t="shared" si="51"/>
        <v>319.71105381559994</v>
      </c>
      <c r="AN305" s="270">
        <f t="shared" si="51"/>
        <v>321.29826848779999</v>
      </c>
      <c r="AO305" s="270">
        <f t="shared" si="51"/>
        <v>326.7825854916</v>
      </c>
      <c r="AP305" s="270">
        <f t="shared" si="51"/>
        <v>331.75652220199999</v>
      </c>
      <c r="AQ305" s="270">
        <f t="shared" si="51"/>
        <v>338.38938304940001</v>
      </c>
      <c r="AR305" s="270">
        <f t="shared" si="51"/>
        <v>344.28561146660002</v>
      </c>
      <c r="AS305" s="270">
        <f t="shared" si="51"/>
        <v>351.57226056080003</v>
      </c>
      <c r="AT305" s="270">
        <f t="shared" si="51"/>
        <v>356.2649177596</v>
      </c>
      <c r="AU305" s="270">
        <f t="shared" si="51"/>
        <v>361.84472090679998</v>
      </c>
      <c r="AV305" s="270">
        <f t="shared" si="51"/>
        <v>366.70617757780002</v>
      </c>
      <c r="AW305" s="270">
        <f t="shared" si="51"/>
        <v>371.80518041819994</v>
      </c>
      <c r="AX305" s="270">
        <f t="shared" si="51"/>
        <v>377.372298871</v>
      </c>
      <c r="AY305" s="270">
        <f t="shared" si="51"/>
        <v>383.21368043979999</v>
      </c>
      <c r="AZ305" s="270">
        <f t="shared" si="51"/>
        <v>387.59423119499996</v>
      </c>
      <c r="BA305" s="270">
        <f t="shared" si="51"/>
        <v>392.99659759159999</v>
      </c>
      <c r="BB305" s="270"/>
      <c r="BC305" s="270"/>
      <c r="BD305" s="270"/>
      <c r="BE305" s="270"/>
      <c r="BF305" s="270"/>
      <c r="BG305" s="270"/>
      <c r="BH305" s="270"/>
    </row>
    <row r="306" spans="1:60" ht="14.6">
      <c r="B306" s="242" t="s">
        <v>562</v>
      </c>
    </row>
    <row r="307" spans="1:60" ht="14.6">
      <c r="B307" s="127" t="s">
        <v>563</v>
      </c>
      <c r="C307" s="127">
        <v>5.84</v>
      </c>
      <c r="D307" s="127">
        <v>5.8</v>
      </c>
      <c r="E307" s="127">
        <v>5.74</v>
      </c>
      <c r="F307" s="127">
        <v>5.65</v>
      </c>
      <c r="G307" s="127">
        <v>5.46</v>
      </c>
      <c r="H307" s="127">
        <v>5.18</v>
      </c>
      <c r="I307" s="127">
        <v>5.09</v>
      </c>
      <c r="J307" s="127">
        <v>5.07</v>
      </c>
      <c r="K307" s="127">
        <v>5.01</v>
      </c>
      <c r="L307" s="127">
        <v>5.35</v>
      </c>
      <c r="M307" s="127">
        <v>5.48</v>
      </c>
      <c r="N307" s="127">
        <v>5.65</v>
      </c>
      <c r="O307" s="127">
        <v>6.52</v>
      </c>
      <c r="P307" s="127">
        <v>7.47</v>
      </c>
      <c r="Q307" s="127">
        <v>8.76</v>
      </c>
      <c r="R307" s="127">
        <v>9.43</v>
      </c>
      <c r="S307" s="127">
        <v>8.85</v>
      </c>
      <c r="T307" s="127">
        <v>9.35</v>
      </c>
      <c r="U307" s="80">
        <v>10.96</v>
      </c>
      <c r="V307" s="271">
        <v>11.969468000000001</v>
      </c>
      <c r="W307" s="272">
        <v>13.085901</v>
      </c>
      <c r="X307" s="272">
        <v>13.665423000000001</v>
      </c>
      <c r="Y307" s="272">
        <v>13.977781</v>
      </c>
      <c r="Z307" s="272">
        <v>13.917915000000001</v>
      </c>
      <c r="AA307" s="272">
        <v>14.012055</v>
      </c>
      <c r="AB307" s="272">
        <v>14.094161</v>
      </c>
      <c r="AC307" s="272">
        <v>14.37495</v>
      </c>
      <c r="AD307" s="272">
        <v>14.506202</v>
      </c>
      <c r="AE307" s="272">
        <v>14.414598</v>
      </c>
      <c r="AF307" s="272">
        <v>14.413425</v>
      </c>
      <c r="AG307" s="272">
        <v>14.460274</v>
      </c>
      <c r="AH307" s="272">
        <v>14.534122999999999</v>
      </c>
      <c r="AI307" s="272">
        <v>14.510522999999999</v>
      </c>
      <c r="AJ307" s="272">
        <v>14.482531</v>
      </c>
      <c r="AK307" s="272">
        <v>14.434381</v>
      </c>
      <c r="AL307" s="272">
        <v>14.329348</v>
      </c>
      <c r="AM307" s="272">
        <v>14.269213000000001</v>
      </c>
      <c r="AN307" s="272">
        <v>14.174327</v>
      </c>
      <c r="AO307" s="272">
        <v>14.138342</v>
      </c>
      <c r="AP307" s="272">
        <v>14.101297000000001</v>
      </c>
      <c r="AQ307" s="272">
        <v>14.050146</v>
      </c>
      <c r="AR307" s="272">
        <v>13.942209</v>
      </c>
      <c r="AS307" s="272">
        <v>13.782655999999999</v>
      </c>
      <c r="AT307" s="272">
        <v>13.524229</v>
      </c>
      <c r="AU307" s="272">
        <v>13.299628</v>
      </c>
      <c r="AV307" s="272">
        <v>13.030391</v>
      </c>
      <c r="AW307" s="272">
        <v>12.814965000000001</v>
      </c>
      <c r="AX307" s="272">
        <v>12.614922</v>
      </c>
      <c r="AY307" s="272">
        <v>12.374134</v>
      </c>
      <c r="AZ307" s="272">
        <v>12.0793</v>
      </c>
      <c r="BA307" s="272">
        <v>11.860889</v>
      </c>
      <c r="BB307" s="273"/>
      <c r="BC307" s="273"/>
      <c r="BD307" s="273"/>
      <c r="BE307" s="273"/>
      <c r="BF307" s="273"/>
      <c r="BG307" s="273"/>
      <c r="BH307" s="273"/>
    </row>
    <row r="308" spans="1:60" ht="14.6">
      <c r="B308" s="274" t="s">
        <v>564</v>
      </c>
      <c r="C308" s="275">
        <v>0.39678200000000002</v>
      </c>
      <c r="D308" s="275">
        <v>0.38714999999999999</v>
      </c>
      <c r="E308" s="275">
        <v>0.37682900000000003</v>
      </c>
      <c r="F308" s="275">
        <v>0.37246691700000001</v>
      </c>
      <c r="G308" s="275">
        <v>0.38245941700000002</v>
      </c>
      <c r="H308" s="275">
        <v>0.40981541700000002</v>
      </c>
      <c r="I308" s="275">
        <v>0.42802158299999998</v>
      </c>
      <c r="J308" s="275">
        <v>0.462267333</v>
      </c>
      <c r="K308" s="275">
        <v>0.55364875000000002</v>
      </c>
      <c r="L308" s="275">
        <v>0.63217124999999996</v>
      </c>
      <c r="M308" s="275">
        <v>0.824436167</v>
      </c>
      <c r="N308" s="275">
        <v>1.292299917</v>
      </c>
      <c r="O308" s="275">
        <v>2.1434916230000001</v>
      </c>
      <c r="P308" s="275">
        <v>3.049101523</v>
      </c>
      <c r="Q308" s="275">
        <v>4.1050079510000002</v>
      </c>
      <c r="R308" s="275">
        <v>4.7744780679999996</v>
      </c>
      <c r="S308" s="275">
        <v>4.4291678130000003</v>
      </c>
      <c r="T308" s="275">
        <v>4.9594073779999999</v>
      </c>
      <c r="U308" s="123">
        <v>6.4646912790000002</v>
      </c>
      <c r="V308" s="271">
        <v>7.628952</v>
      </c>
      <c r="W308" s="272">
        <v>8.5433540000000008</v>
      </c>
      <c r="X308" s="272">
        <v>9.0123759999999997</v>
      </c>
      <c r="Y308" s="272">
        <v>9.1089319999999994</v>
      </c>
      <c r="Z308" s="272">
        <v>9.104749</v>
      </c>
      <c r="AA308" s="272">
        <v>9.337942</v>
      </c>
      <c r="AB308" s="272">
        <v>9.4495229999999992</v>
      </c>
      <c r="AC308" s="272">
        <v>9.6835419999999992</v>
      </c>
      <c r="AD308" s="272">
        <v>9.9660030000000006</v>
      </c>
      <c r="AE308" s="272">
        <v>10.007012</v>
      </c>
      <c r="AF308" s="272">
        <v>10.128206</v>
      </c>
      <c r="AG308" s="272">
        <v>10.217764000000001</v>
      </c>
      <c r="AH308" s="272">
        <v>10.283261</v>
      </c>
      <c r="AI308" s="272">
        <v>10.241172000000001</v>
      </c>
      <c r="AJ308" s="272">
        <v>10.166710999999999</v>
      </c>
      <c r="AK308" s="272">
        <v>10.134454</v>
      </c>
      <c r="AL308" s="272">
        <v>10.029992</v>
      </c>
      <c r="AM308" s="272">
        <v>9.8936689999999992</v>
      </c>
      <c r="AN308" s="272">
        <v>9.7376120000000004</v>
      </c>
      <c r="AO308" s="272">
        <v>9.6376290000000004</v>
      </c>
      <c r="AP308" s="272">
        <v>9.5502350000000007</v>
      </c>
      <c r="AQ308" s="272">
        <v>9.4593260000000008</v>
      </c>
      <c r="AR308" s="272">
        <v>9.4331990000000001</v>
      </c>
      <c r="AS308" s="272">
        <v>9.3680420000000009</v>
      </c>
      <c r="AT308" s="272">
        <v>9.2684440000000006</v>
      </c>
      <c r="AU308" s="272">
        <v>9.1745020000000004</v>
      </c>
      <c r="AV308" s="272">
        <v>9.0063370000000003</v>
      </c>
      <c r="AW308" s="272">
        <v>8.8757429999999999</v>
      </c>
      <c r="AX308" s="272">
        <v>8.7727000000000004</v>
      </c>
      <c r="AY308" s="272">
        <v>8.6706070000000004</v>
      </c>
      <c r="AZ308" s="272">
        <v>8.4843600000000006</v>
      </c>
      <c r="BA308" s="272">
        <v>8.3772439999999992</v>
      </c>
      <c r="BB308" s="273"/>
      <c r="BC308" s="273"/>
      <c r="BD308" s="273"/>
      <c r="BE308" s="273"/>
      <c r="BF308" s="273"/>
      <c r="BG308" s="273"/>
      <c r="BH308" s="273"/>
    </row>
    <row r="309" spans="1:60" ht="14.6">
      <c r="B309" s="276" t="s">
        <v>517</v>
      </c>
      <c r="C309" s="257">
        <v>30.30083333</v>
      </c>
      <c r="D309" s="257">
        <v>25.947500000000002</v>
      </c>
      <c r="E309" s="257">
        <v>26.114999999999998</v>
      </c>
      <c r="F309" s="257">
        <v>31.12083333</v>
      </c>
      <c r="G309" s="257">
        <v>41.443333330000002</v>
      </c>
      <c r="H309" s="257">
        <v>56.4925</v>
      </c>
      <c r="I309" s="257">
        <v>66.018333330000004</v>
      </c>
      <c r="J309" s="257">
        <v>72.318333330000002</v>
      </c>
      <c r="K309" s="257">
        <v>99.571666669999999</v>
      </c>
      <c r="L309" s="257">
        <v>61.654166670000002</v>
      </c>
      <c r="M309" s="257">
        <v>79.394999999999996</v>
      </c>
      <c r="N309" s="257">
        <v>94.874166669999994</v>
      </c>
      <c r="O309" s="257">
        <v>94.110833330000006</v>
      </c>
      <c r="P309" s="257">
        <v>97.905833329999993</v>
      </c>
      <c r="Q309" s="257">
        <v>93.258333329999999</v>
      </c>
      <c r="R309" s="257">
        <v>48.688333329999999</v>
      </c>
      <c r="S309" s="257">
        <v>43.144166669999997</v>
      </c>
      <c r="T309" s="257">
        <v>50.884166669999999</v>
      </c>
      <c r="U309" s="257">
        <v>64.94</v>
      </c>
      <c r="V309" s="154">
        <v>69.556999000000005</v>
      </c>
      <c r="W309" s="154">
        <v>73.417884999999998</v>
      </c>
      <c r="X309" s="154">
        <v>77.008262999999999</v>
      </c>
      <c r="Y309" s="154">
        <v>78.175545</v>
      </c>
      <c r="Z309" s="154">
        <v>81.901627000000005</v>
      </c>
      <c r="AA309" s="154">
        <v>87.454857000000004</v>
      </c>
      <c r="AB309" s="154">
        <v>92.685051000000001</v>
      </c>
      <c r="AC309" s="154">
        <v>97.377525000000006</v>
      </c>
      <c r="AD309" s="154">
        <v>102.45367400000001</v>
      </c>
      <c r="AE309" s="154">
        <v>106.935913</v>
      </c>
      <c r="AF309" s="154">
        <v>111.79879</v>
      </c>
      <c r="AG309" s="154">
        <v>116.05490899999999</v>
      </c>
      <c r="AH309" s="154">
        <v>121.082336</v>
      </c>
      <c r="AI309" s="154">
        <v>125.28482099999999</v>
      </c>
      <c r="AJ309" s="154">
        <v>131.83606</v>
      </c>
      <c r="AK309" s="154">
        <v>135.625595</v>
      </c>
      <c r="AL309" s="154">
        <v>140.913284</v>
      </c>
      <c r="AM309" s="154">
        <v>146.975525</v>
      </c>
      <c r="AN309" s="154">
        <v>149.76126099999999</v>
      </c>
      <c r="AO309" s="154">
        <v>154.985153</v>
      </c>
      <c r="AP309" s="154">
        <v>159.689987</v>
      </c>
      <c r="AQ309" s="154">
        <v>165.707123</v>
      </c>
      <c r="AR309" s="154">
        <v>170.50799599999999</v>
      </c>
      <c r="AS309" s="154">
        <v>176.77037000000001</v>
      </c>
      <c r="AT309" s="154">
        <v>181.380966</v>
      </c>
      <c r="AU309" s="154">
        <v>186.617828</v>
      </c>
      <c r="AV309" s="154">
        <v>192.04548600000001</v>
      </c>
      <c r="AW309" s="154">
        <v>197.27950999999999</v>
      </c>
      <c r="AX309" s="154">
        <v>202.59780900000001</v>
      </c>
      <c r="AY309" s="154">
        <v>208.11772199999999</v>
      </c>
      <c r="AZ309" s="154">
        <v>213.356369</v>
      </c>
      <c r="BA309" s="154">
        <v>218.58865399999999</v>
      </c>
      <c r="BB309" s="277"/>
      <c r="BC309" s="277"/>
      <c r="BD309" s="277"/>
      <c r="BE309" s="277"/>
      <c r="BF309" s="277"/>
      <c r="BG309" s="277"/>
      <c r="BH309" s="277"/>
    </row>
    <row r="310" spans="1:60" ht="14.6">
      <c r="B310" s="127" t="s">
        <v>565</v>
      </c>
      <c r="C310" s="236">
        <v>19.181979999999999</v>
      </c>
      <c r="D310" s="236">
        <v>19.616311</v>
      </c>
      <c r="E310" s="236">
        <v>18.927788</v>
      </c>
      <c r="F310" s="236">
        <v>19.098544</v>
      </c>
      <c r="G310" s="236">
        <v>18.590890999999999</v>
      </c>
      <c r="H310" s="236">
        <v>18.050598000000001</v>
      </c>
      <c r="I310" s="236">
        <v>18.503605</v>
      </c>
      <c r="J310" s="236">
        <v>19.266026</v>
      </c>
      <c r="K310" s="236">
        <v>20.158601999999998</v>
      </c>
      <c r="L310" s="236">
        <v>20.623854000000001</v>
      </c>
      <c r="M310" s="236">
        <v>21.315507</v>
      </c>
      <c r="N310" s="236">
        <v>22.901879000000001</v>
      </c>
      <c r="O310" s="236">
        <v>24.033266000000001</v>
      </c>
      <c r="P310" s="236">
        <v>24.205522999999999</v>
      </c>
      <c r="Q310" s="236">
        <v>25.889605</v>
      </c>
      <c r="R310" s="236">
        <v>27.065460000000002</v>
      </c>
      <c r="S310" s="236">
        <v>26.592115</v>
      </c>
      <c r="T310" s="236">
        <v>27.291222000000001</v>
      </c>
      <c r="U310" s="278">
        <v>30.439166</v>
      </c>
      <c r="V310" s="272">
        <v>32.255924</v>
      </c>
      <c r="W310" s="272">
        <v>33.551945000000003</v>
      </c>
      <c r="X310" s="272">
        <v>34.104362000000002</v>
      </c>
      <c r="Y310" s="272">
        <v>34.610320999999999</v>
      </c>
      <c r="Z310" s="272">
        <v>35.265839</v>
      </c>
      <c r="AA310" s="272">
        <v>35.878203999999997</v>
      </c>
      <c r="AB310" s="272">
        <v>36.620083000000001</v>
      </c>
      <c r="AC310" s="272">
        <v>37.358829</v>
      </c>
      <c r="AD310" s="272">
        <v>37.824024000000001</v>
      </c>
      <c r="AE310" s="272">
        <v>38.264235999999997</v>
      </c>
      <c r="AF310" s="272">
        <v>38.409320999999998</v>
      </c>
      <c r="AG310" s="272">
        <v>38.493876999999998</v>
      </c>
      <c r="AH310" s="272">
        <v>38.755878000000003</v>
      </c>
      <c r="AI310" s="272">
        <v>39.081786999999998</v>
      </c>
      <c r="AJ310" s="272">
        <v>39.164070000000002</v>
      </c>
      <c r="AK310" s="272">
        <v>39.398941000000001</v>
      </c>
      <c r="AL310" s="272">
        <v>39.584068000000002</v>
      </c>
      <c r="AM310" s="272">
        <v>39.824623000000003</v>
      </c>
      <c r="AN310" s="272">
        <v>40.056953</v>
      </c>
      <c r="AO310" s="272">
        <v>40.274425999999998</v>
      </c>
      <c r="AP310" s="272">
        <v>40.437691000000001</v>
      </c>
      <c r="AQ310" s="272">
        <v>40.716293</v>
      </c>
      <c r="AR310" s="272">
        <v>40.935310000000001</v>
      </c>
      <c r="AS310" s="272">
        <v>41.207214</v>
      </c>
      <c r="AT310" s="272">
        <v>41.378509999999999</v>
      </c>
      <c r="AU310" s="272">
        <v>41.772647999999997</v>
      </c>
      <c r="AV310" s="272">
        <v>42.093288000000001</v>
      </c>
      <c r="AW310" s="272">
        <v>42.335583</v>
      </c>
      <c r="AX310" s="272">
        <v>42.559421999999998</v>
      </c>
      <c r="AY310" s="272">
        <v>42.914707</v>
      </c>
      <c r="AZ310" s="272">
        <v>43.099471999999999</v>
      </c>
      <c r="BA310" s="272">
        <v>43.407387</v>
      </c>
      <c r="BB310" s="277"/>
      <c r="BC310" s="277"/>
      <c r="BD310" s="277"/>
      <c r="BE310" s="277"/>
      <c r="BF310" s="277"/>
      <c r="BG310" s="277"/>
      <c r="BH310" s="277"/>
    </row>
    <row r="311" spans="1:60" ht="14.6">
      <c r="B311" s="151" t="s">
        <v>566</v>
      </c>
      <c r="C311" s="122">
        <v>1.3172783290000001</v>
      </c>
      <c r="D311" s="122">
        <v>1.318267898</v>
      </c>
      <c r="E311" s="122">
        <v>1.3645950440000001</v>
      </c>
      <c r="F311" s="122">
        <v>1.4333097619999999</v>
      </c>
      <c r="G311" s="122">
        <v>1.503235978</v>
      </c>
      <c r="H311" s="122">
        <v>1.662950749</v>
      </c>
      <c r="I311" s="122">
        <v>1.964867693</v>
      </c>
      <c r="J311" s="122">
        <v>2.5217407110000001</v>
      </c>
      <c r="K311" s="122">
        <v>3.373959326</v>
      </c>
      <c r="L311" s="122">
        <v>4.3584588059999998</v>
      </c>
      <c r="M311" s="122">
        <v>6.1238422139999997</v>
      </c>
      <c r="N311" s="122">
        <v>8.8755331969999993</v>
      </c>
      <c r="O311" s="122">
        <v>11.05550897</v>
      </c>
      <c r="P311" s="122">
        <v>12.405446270000001</v>
      </c>
      <c r="Q311" s="122">
        <v>14.361040149999999</v>
      </c>
      <c r="R311" s="122">
        <v>15.988320849999999</v>
      </c>
      <c r="S311" s="122">
        <v>16.631585940000001</v>
      </c>
      <c r="T311" s="122">
        <v>18.03613923</v>
      </c>
      <c r="U311" s="122">
        <v>21.684692900000002</v>
      </c>
      <c r="V311" s="272">
        <v>21.545475</v>
      </c>
      <c r="W311" s="272">
        <v>22.807510000000001</v>
      </c>
      <c r="X311" s="272">
        <v>23.33503</v>
      </c>
      <c r="Y311" s="272">
        <v>23.718878</v>
      </c>
      <c r="Z311" s="272">
        <v>24.458501999999999</v>
      </c>
      <c r="AA311" s="272">
        <v>25.358826000000001</v>
      </c>
      <c r="AB311" s="272">
        <v>26.284109000000001</v>
      </c>
      <c r="AC311" s="272">
        <v>27.102277999999998</v>
      </c>
      <c r="AD311" s="272">
        <v>27.617353000000001</v>
      </c>
      <c r="AE311" s="272">
        <v>28.075932000000002</v>
      </c>
      <c r="AF311" s="272">
        <v>28.321615000000001</v>
      </c>
      <c r="AG311" s="272">
        <v>28.468502000000001</v>
      </c>
      <c r="AH311" s="272">
        <v>28.80294</v>
      </c>
      <c r="AI311" s="272">
        <v>29.198070999999999</v>
      </c>
      <c r="AJ311" s="272">
        <v>29.359566000000001</v>
      </c>
      <c r="AK311" s="272">
        <v>29.709911000000002</v>
      </c>
      <c r="AL311" s="272">
        <v>29.944873999999999</v>
      </c>
      <c r="AM311" s="272">
        <v>30.197206000000001</v>
      </c>
      <c r="AN311" s="272">
        <v>30.338760000000001</v>
      </c>
      <c r="AO311" s="272">
        <v>30.544001000000002</v>
      </c>
      <c r="AP311" s="272">
        <v>30.679682</v>
      </c>
      <c r="AQ311" s="272">
        <v>30.868690000000001</v>
      </c>
      <c r="AR311" s="272">
        <v>30.981324999999998</v>
      </c>
      <c r="AS311" s="272">
        <v>31.189502999999998</v>
      </c>
      <c r="AT311" s="272">
        <v>31.360188999999998</v>
      </c>
      <c r="AU311" s="272">
        <v>31.728632000000001</v>
      </c>
      <c r="AV311" s="272">
        <v>31.974955000000001</v>
      </c>
      <c r="AW311" s="272">
        <v>32.139091000000001</v>
      </c>
      <c r="AX311" s="272">
        <v>32.434364000000002</v>
      </c>
      <c r="AY311" s="272">
        <v>32.835383999999998</v>
      </c>
      <c r="AZ311" s="272">
        <v>33.046764000000003</v>
      </c>
      <c r="BA311" s="272">
        <v>33.345771999999997</v>
      </c>
      <c r="BB311" s="277"/>
      <c r="BC311" s="277"/>
      <c r="BD311" s="277"/>
      <c r="BE311" s="277"/>
      <c r="BF311" s="277"/>
      <c r="BG311" s="277"/>
      <c r="BH311" s="277"/>
    </row>
    <row r="312" spans="1:60" ht="14.6">
      <c r="B312" s="151" t="s">
        <v>295</v>
      </c>
      <c r="C312" s="152">
        <v>4.3099999999999996</v>
      </c>
      <c r="D312" s="152">
        <v>3.96</v>
      </c>
      <c r="E312" s="152">
        <v>3.38</v>
      </c>
      <c r="F312" s="152">
        <v>5.47</v>
      </c>
      <c r="G312" s="152">
        <v>5.89</v>
      </c>
      <c r="H312" s="152">
        <v>8.69</v>
      </c>
      <c r="I312" s="152">
        <v>6.73</v>
      </c>
      <c r="J312" s="152">
        <v>6.97</v>
      </c>
      <c r="K312" s="152">
        <v>8.86</v>
      </c>
      <c r="L312" s="152">
        <v>3.94</v>
      </c>
      <c r="M312" s="152">
        <v>4.37</v>
      </c>
      <c r="N312" s="152">
        <v>4</v>
      </c>
      <c r="O312" s="152">
        <v>2.75</v>
      </c>
      <c r="P312" s="152">
        <v>3.73</v>
      </c>
      <c r="Q312" s="152">
        <v>4.37</v>
      </c>
      <c r="R312" s="152">
        <v>2.62</v>
      </c>
      <c r="S312" s="152">
        <v>2.52</v>
      </c>
      <c r="T312" s="152">
        <v>2.99</v>
      </c>
      <c r="U312" s="153">
        <v>3.17</v>
      </c>
      <c r="V312" s="154">
        <v>3.1009139999999999</v>
      </c>
      <c r="W312" s="154">
        <v>3.2473730000000001</v>
      </c>
      <c r="X312" s="154">
        <v>3.243106</v>
      </c>
      <c r="Y312" s="154">
        <v>3.3286989999999999</v>
      </c>
      <c r="Z312" s="154">
        <v>3.555844</v>
      </c>
      <c r="AA312" s="154">
        <v>3.8433730000000002</v>
      </c>
      <c r="AB312" s="154">
        <v>4.2030919999999998</v>
      </c>
      <c r="AC312" s="154">
        <v>4.3860200000000003</v>
      </c>
      <c r="AD312" s="154">
        <v>4.5152609999999997</v>
      </c>
      <c r="AE312" s="154">
        <v>4.7172340000000004</v>
      </c>
      <c r="AF312" s="154">
        <v>4.8443019999999999</v>
      </c>
      <c r="AG312" s="154">
        <v>4.998316</v>
      </c>
      <c r="AH312" s="154">
        <v>5.0858949999999998</v>
      </c>
      <c r="AI312" s="154">
        <v>5.3810880000000001</v>
      </c>
      <c r="AJ312" s="154">
        <v>5.5818149999999997</v>
      </c>
      <c r="AK312" s="154">
        <v>5.7655969999999996</v>
      </c>
      <c r="AL312" s="154">
        <v>5.9541279999999999</v>
      </c>
      <c r="AM312" s="154">
        <v>6.2029860000000001</v>
      </c>
      <c r="AN312" s="154">
        <v>6.372522</v>
      </c>
      <c r="AO312" s="154">
        <v>6.53071</v>
      </c>
      <c r="AP312" s="154">
        <v>6.7120879999999996</v>
      </c>
      <c r="AQ312" s="154">
        <v>6.9614669999999998</v>
      </c>
      <c r="AR312" s="154">
        <v>7.0988879999999996</v>
      </c>
      <c r="AS312" s="154">
        <v>7.3333399999999997</v>
      </c>
      <c r="AT312" s="154">
        <v>7.6103139999999998</v>
      </c>
      <c r="AU312" s="154">
        <v>7.9314869999999997</v>
      </c>
      <c r="AV312" s="154">
        <v>8.2524149999999992</v>
      </c>
      <c r="AW312" s="154">
        <v>8.5434590000000004</v>
      </c>
      <c r="AX312" s="154">
        <v>8.8793070000000007</v>
      </c>
      <c r="AY312" s="154">
        <v>9.345243</v>
      </c>
      <c r="AZ312" s="154">
        <v>9.767595</v>
      </c>
      <c r="BA312" s="154">
        <v>10.176351</v>
      </c>
      <c r="BB312" s="277"/>
      <c r="BC312" s="277"/>
      <c r="BD312" s="277"/>
      <c r="BE312" s="277"/>
      <c r="BF312" s="277"/>
      <c r="BG312" s="277"/>
      <c r="BH312" s="277"/>
    </row>
    <row r="313" spans="1:60" ht="14.6">
      <c r="B313" s="151" t="s">
        <v>567</v>
      </c>
      <c r="C313" s="131">
        <v>0.72189499999999995</v>
      </c>
      <c r="D313" s="131">
        <v>0.68287299999999995</v>
      </c>
      <c r="E313" s="131">
        <v>0.68164599999999997</v>
      </c>
      <c r="F313" s="131">
        <v>0.62229100000000004</v>
      </c>
      <c r="G313" s="131">
        <v>0.65703199999999995</v>
      </c>
      <c r="H313" s="131">
        <v>0.61988399999999999</v>
      </c>
      <c r="I313" s="131">
        <v>0.63763499999999995</v>
      </c>
      <c r="J313" s="131">
        <v>0.65829099999999996</v>
      </c>
      <c r="K313" s="131">
        <v>0.67367699999999997</v>
      </c>
      <c r="L313" s="131">
        <v>0.72061200000000003</v>
      </c>
      <c r="M313" s="131">
        <v>0.74909499999999996</v>
      </c>
      <c r="N313" s="131">
        <v>0.79248099999999999</v>
      </c>
      <c r="O313" s="131">
        <v>0.87356299999999998</v>
      </c>
      <c r="P313" s="131">
        <v>0.93759099999999995</v>
      </c>
      <c r="Q313" s="131">
        <v>1.1244160000000001</v>
      </c>
      <c r="R313" s="131">
        <v>1.2102200000000001</v>
      </c>
      <c r="S313" s="131">
        <v>1.2719860000000001</v>
      </c>
      <c r="T313" s="131">
        <v>1.3399099999999999</v>
      </c>
      <c r="U313" s="272">
        <v>1.5917679199999999</v>
      </c>
      <c r="V313" s="272">
        <v>1.7793304700000001</v>
      </c>
      <c r="W313" s="272">
        <v>1.88545422</v>
      </c>
      <c r="X313" s="272">
        <v>1.9689202299999999</v>
      </c>
      <c r="Y313" s="272">
        <v>1.9954374800000001</v>
      </c>
      <c r="Z313" s="272">
        <v>2.0160694700000001</v>
      </c>
      <c r="AA313" s="272">
        <v>2.0484592049999999</v>
      </c>
      <c r="AB313" s="272">
        <v>2.07381466</v>
      </c>
      <c r="AC313" s="272">
        <v>2.1426613250000002</v>
      </c>
      <c r="AD313" s="272">
        <v>2.1739582500000001</v>
      </c>
      <c r="AE313" s="272">
        <v>2.1766738499999998</v>
      </c>
      <c r="AF313" s="272">
        <v>2.1933999750000002</v>
      </c>
      <c r="AG313" s="272">
        <v>2.1921217450000001</v>
      </c>
      <c r="AH313" s="272">
        <v>2.212283615</v>
      </c>
      <c r="AI313" s="272">
        <v>2.197409135</v>
      </c>
      <c r="AJ313" s="272">
        <v>2.2081357549999998</v>
      </c>
      <c r="AK313" s="272">
        <v>2.2102498349999999</v>
      </c>
      <c r="AL313" s="272">
        <v>2.2096329849999998</v>
      </c>
      <c r="AM313" s="272">
        <v>2.2028074850000001</v>
      </c>
      <c r="AN313" s="272">
        <v>2.2046146000000002</v>
      </c>
      <c r="AO313" s="272">
        <v>2.20928076</v>
      </c>
      <c r="AP313" s="272">
        <v>2.2045912400000001</v>
      </c>
      <c r="AQ313" s="272">
        <v>2.1993206399999998</v>
      </c>
      <c r="AR313" s="272">
        <v>2.2000802049999999</v>
      </c>
      <c r="AS313" s="272">
        <v>2.1838395300000002</v>
      </c>
      <c r="AT313" s="272">
        <v>2.1716401350000001</v>
      </c>
      <c r="AU313" s="272">
        <v>2.1647036750000002</v>
      </c>
      <c r="AV313" s="272">
        <v>2.152341855</v>
      </c>
      <c r="AW313" s="272">
        <v>2.1486699549999999</v>
      </c>
      <c r="AX313" s="272">
        <v>2.1314758999999999</v>
      </c>
      <c r="AY313" s="272">
        <v>2.1211657449999999</v>
      </c>
      <c r="AZ313" s="272">
        <v>2.1021912199999999</v>
      </c>
      <c r="BA313" s="272">
        <v>2.0970385149999999</v>
      </c>
    </row>
    <row r="314" spans="1:60" ht="14.6">
      <c r="B314" s="151" t="s">
        <v>568</v>
      </c>
      <c r="C314" s="235">
        <f t="shared" ref="C314:I314" si="52">$AE$333*C309+$AE$334*C312</f>
        <v>24.543325916125102</v>
      </c>
      <c r="D314" s="235">
        <f t="shared" si="52"/>
        <v>21.907369280043369</v>
      </c>
      <c r="E314" s="235">
        <f t="shared" si="52"/>
        <v>20.046451639957965</v>
      </c>
      <c r="F314" s="235">
        <f t="shared" si="52"/>
        <v>28.657469503094386</v>
      </c>
      <c r="G314" s="235">
        <f t="shared" si="52"/>
        <v>33.552378422047241</v>
      </c>
      <c r="H314" s="235">
        <f t="shared" si="52"/>
        <v>47.922388631101455</v>
      </c>
      <c r="I314" s="235">
        <f t="shared" si="52"/>
        <v>44.677063485682837</v>
      </c>
      <c r="J314" s="265">
        <v>51.64</v>
      </c>
      <c r="K314" s="265">
        <v>60.8</v>
      </c>
      <c r="L314" s="265">
        <v>35.96</v>
      </c>
      <c r="M314" s="265">
        <v>44.88</v>
      </c>
      <c r="N314" s="265">
        <v>56.25</v>
      </c>
      <c r="O314" s="265">
        <v>44.27</v>
      </c>
      <c r="P314" s="265">
        <v>40</v>
      </c>
      <c r="Q314" s="265">
        <v>38.6</v>
      </c>
      <c r="R314" s="265">
        <v>19.899999999999999</v>
      </c>
      <c r="S314" s="265">
        <v>19.77</v>
      </c>
      <c r="T314" s="265">
        <v>27.1</v>
      </c>
      <c r="U314" s="265">
        <v>30.45</v>
      </c>
      <c r="V314" s="234">
        <f t="shared" ref="V314:BA314" si="53">$AE$333*V309+$AE$334*V312</f>
        <v>33.879181379499542</v>
      </c>
      <c r="W314" s="234">
        <f t="shared" si="53"/>
        <v>35.674850278990782</v>
      </c>
      <c r="X314" s="234">
        <f t="shared" si="53"/>
        <v>36.880252064229673</v>
      </c>
      <c r="Y314" s="234">
        <f t="shared" si="53"/>
        <v>37.559751366705427</v>
      </c>
      <c r="Z314" s="234">
        <f t="shared" si="53"/>
        <v>39.576426561913564</v>
      </c>
      <c r="AA314" s="234">
        <f t="shared" si="53"/>
        <v>42.413376386962568</v>
      </c>
      <c r="AB314" s="234">
        <f t="shared" si="53"/>
        <v>45.379304840350727</v>
      </c>
      <c r="AC314" s="234">
        <f t="shared" si="53"/>
        <v>47.578018960981382</v>
      </c>
      <c r="AD314" s="234">
        <f t="shared" si="53"/>
        <v>49.729532621112867</v>
      </c>
      <c r="AE314" s="234">
        <f t="shared" si="53"/>
        <v>51.91981177178679</v>
      </c>
      <c r="AF314" s="234">
        <f t="shared" si="53"/>
        <v>53.991700100997313</v>
      </c>
      <c r="AG314" s="234">
        <f t="shared" si="53"/>
        <v>55.946595325213337</v>
      </c>
      <c r="AH314" s="234">
        <f t="shared" si="53"/>
        <v>57.943801692055686</v>
      </c>
      <c r="AI314" s="234">
        <f t="shared" si="53"/>
        <v>60.347297848577533</v>
      </c>
      <c r="AJ314" s="234">
        <f t="shared" si="53"/>
        <v>63.236215356044653</v>
      </c>
      <c r="AK314" s="234">
        <f t="shared" si="53"/>
        <v>65.131060239982745</v>
      </c>
      <c r="AL314" s="234">
        <f t="shared" si="53"/>
        <v>67.550472320345307</v>
      </c>
      <c r="AM314" s="234">
        <f t="shared" si="53"/>
        <v>70.432444881141279</v>
      </c>
      <c r="AN314" s="234">
        <f t="shared" si="53"/>
        <v>71.939233119721905</v>
      </c>
      <c r="AO314" s="234">
        <f t="shared" si="53"/>
        <v>74.236644589592117</v>
      </c>
      <c r="AP314" s="234">
        <f t="shared" si="53"/>
        <v>76.434431734465875</v>
      </c>
      <c r="AQ314" s="234">
        <f t="shared" si="53"/>
        <v>79.30280661482648</v>
      </c>
      <c r="AR314" s="234">
        <f t="shared" si="53"/>
        <v>81.387867534773193</v>
      </c>
      <c r="AS314" s="234">
        <f t="shared" si="53"/>
        <v>84.290182991518449</v>
      </c>
      <c r="AT314" s="234">
        <f t="shared" si="53"/>
        <v>86.772056079799171</v>
      </c>
      <c r="AU314" s="234">
        <f t="shared" si="53"/>
        <v>89.612794328969329</v>
      </c>
      <c r="AV314" s="234">
        <f t="shared" si="53"/>
        <v>92.517528404064137</v>
      </c>
      <c r="AW314" s="234">
        <f t="shared" si="53"/>
        <v>95.257679035886227</v>
      </c>
      <c r="AX314" s="234">
        <f t="shared" si="53"/>
        <v>98.174602168187533</v>
      </c>
      <c r="AY314" s="234">
        <f t="shared" si="53"/>
        <v>101.59015081858632</v>
      </c>
      <c r="AZ314" s="234">
        <f t="shared" si="53"/>
        <v>104.76605084962804</v>
      </c>
      <c r="BA314" s="234">
        <f t="shared" si="53"/>
        <v>107.89483382694975</v>
      </c>
    </row>
    <row r="315" spans="1:60" ht="14.6">
      <c r="K315" s="80"/>
    </row>
    <row r="316" spans="1:60" ht="14.6">
      <c r="K316" s="7" t="s">
        <v>569</v>
      </c>
      <c r="AD316" s="80" t="s">
        <v>296</v>
      </c>
      <c r="AG316" s="7" t="s">
        <v>570</v>
      </c>
    </row>
    <row r="317" spans="1:60" ht="14.6">
      <c r="K317" s="7" t="s">
        <v>571</v>
      </c>
      <c r="Z317" s="80" t="s">
        <v>572</v>
      </c>
      <c r="AA317" s="80" t="s">
        <v>573</v>
      </c>
      <c r="AB317" s="80" t="s">
        <v>574</v>
      </c>
      <c r="AG317" s="7" t="s">
        <v>575</v>
      </c>
    </row>
    <row r="318" spans="1:60" ht="14.6">
      <c r="K318" s="7" t="s">
        <v>576</v>
      </c>
      <c r="Z318" s="265">
        <v>51.64</v>
      </c>
      <c r="AA318" s="257">
        <v>72.318333330000002</v>
      </c>
      <c r="AB318" s="152">
        <v>6.97</v>
      </c>
      <c r="AD318" s="155" t="s">
        <v>297</v>
      </c>
      <c r="AE318" s="156"/>
    </row>
    <row r="319" spans="1:60" ht="14.6">
      <c r="K319" s="7" t="s">
        <v>577</v>
      </c>
      <c r="Z319" s="265">
        <v>60.8</v>
      </c>
      <c r="AA319" s="257">
        <v>99.571666669999999</v>
      </c>
      <c r="AB319" s="152">
        <v>8.86</v>
      </c>
      <c r="AD319" s="80" t="s">
        <v>298</v>
      </c>
      <c r="AE319" s="158">
        <v>0.99271513575590242</v>
      </c>
    </row>
    <row r="320" spans="1:60" ht="14.6">
      <c r="K320" s="7" t="s">
        <v>578</v>
      </c>
      <c r="Z320" s="265">
        <v>35.96</v>
      </c>
      <c r="AA320" s="257">
        <v>61.654166670000002</v>
      </c>
      <c r="AB320" s="152">
        <v>3.94</v>
      </c>
      <c r="AD320" s="80" t="s">
        <v>299</v>
      </c>
      <c r="AE320" s="158">
        <v>0.98548334075885968</v>
      </c>
    </row>
    <row r="321" spans="2:38" ht="14.6">
      <c r="Z321" s="265">
        <v>44.88</v>
      </c>
      <c r="AA321" s="257">
        <v>79.394999999999996</v>
      </c>
      <c r="AB321" s="152">
        <v>4.37</v>
      </c>
      <c r="AD321" s="80" t="s">
        <v>300</v>
      </c>
      <c r="AE321" s="158">
        <v>0.98258000891063157</v>
      </c>
    </row>
    <row r="322" spans="2:38" ht="14.6">
      <c r="Z322" s="265">
        <v>56.25</v>
      </c>
      <c r="AA322" s="257">
        <v>94.874166669999994</v>
      </c>
      <c r="AB322" s="152">
        <v>4</v>
      </c>
      <c r="AD322" s="80" t="s">
        <v>301</v>
      </c>
      <c r="AE322" s="158">
        <v>5.4329290450928278</v>
      </c>
    </row>
    <row r="323" spans="2:38" ht="14.6">
      <c r="Z323" s="265">
        <v>44.27</v>
      </c>
      <c r="AA323" s="257">
        <v>94.110833330000006</v>
      </c>
      <c r="AB323" s="152">
        <v>2.75</v>
      </c>
      <c r="AD323" s="159" t="s">
        <v>302</v>
      </c>
      <c r="AE323" s="160">
        <v>12</v>
      </c>
    </row>
    <row r="324" spans="2:38" ht="14.6">
      <c r="Z324" s="265">
        <v>40</v>
      </c>
      <c r="AA324" s="257">
        <v>97.905833329999993</v>
      </c>
      <c r="AB324" s="152">
        <v>3.73</v>
      </c>
    </row>
    <row r="325" spans="2:38" ht="14.6">
      <c r="Z325" s="265">
        <v>38.6</v>
      </c>
      <c r="AA325" s="257">
        <v>93.258333329999999</v>
      </c>
      <c r="AB325" s="152">
        <v>4.37</v>
      </c>
      <c r="AD325" s="80" t="s">
        <v>303</v>
      </c>
    </row>
    <row r="326" spans="2:38" ht="14.6">
      <c r="Z326" s="265">
        <v>19.899999999999999</v>
      </c>
      <c r="AA326" s="257">
        <v>48.688333329999999</v>
      </c>
      <c r="AB326" s="152">
        <v>2.62</v>
      </c>
      <c r="AD326" s="156"/>
      <c r="AE326" s="155" t="s">
        <v>304</v>
      </c>
      <c r="AF326" s="155" t="s">
        <v>305</v>
      </c>
      <c r="AG326" s="155" t="s">
        <v>306</v>
      </c>
      <c r="AH326" s="155" t="s">
        <v>307</v>
      </c>
      <c r="AI326" s="155" t="s">
        <v>308</v>
      </c>
    </row>
    <row r="327" spans="2:38" ht="14.6">
      <c r="Z327" s="265">
        <v>19.77</v>
      </c>
      <c r="AA327" s="257">
        <v>43.144166669999997</v>
      </c>
      <c r="AB327" s="152">
        <v>2.52</v>
      </c>
      <c r="AD327" s="80" t="s">
        <v>309</v>
      </c>
      <c r="AE327" s="158">
        <v>2</v>
      </c>
      <c r="AF327" s="158">
        <v>20037.829219909869</v>
      </c>
      <c r="AG327" s="158">
        <v>10018.914609954934</v>
      </c>
      <c r="AH327" s="158">
        <v>339.43186389813206</v>
      </c>
      <c r="AI327" s="158">
        <v>6.4466398885798526E-10</v>
      </c>
    </row>
    <row r="328" spans="2:38" ht="14.6">
      <c r="Z328" s="265">
        <v>27.1</v>
      </c>
      <c r="AA328" s="257">
        <v>50.884166669999999</v>
      </c>
      <c r="AB328" s="152">
        <v>2.99</v>
      </c>
      <c r="AD328" s="80" t="s">
        <v>310</v>
      </c>
      <c r="AE328" s="158">
        <v>10</v>
      </c>
      <c r="AF328" s="158">
        <v>295.16718009013266</v>
      </c>
      <c r="AG328" s="158">
        <v>29.516718009013267</v>
      </c>
    </row>
    <row r="329" spans="2:38" ht="14.6">
      <c r="Z329" s="265">
        <v>30.45</v>
      </c>
      <c r="AA329" s="257">
        <v>64.94</v>
      </c>
      <c r="AB329" s="153">
        <v>3.17</v>
      </c>
      <c r="AD329" s="159" t="s">
        <v>311</v>
      </c>
      <c r="AE329" s="160">
        <v>12</v>
      </c>
      <c r="AF329" s="160">
        <v>20332.9964</v>
      </c>
      <c r="AG329" s="162"/>
      <c r="AH329" s="162"/>
      <c r="AI329" s="162"/>
    </row>
    <row r="331" spans="2:38" ht="14.6">
      <c r="AD331" s="156"/>
      <c r="AE331" s="155" t="s">
        <v>312</v>
      </c>
      <c r="AF331" s="155" t="s">
        <v>301</v>
      </c>
      <c r="AG331" s="155" t="s">
        <v>313</v>
      </c>
      <c r="AH331" s="155" t="s">
        <v>314</v>
      </c>
      <c r="AI331" s="155" t="s">
        <v>315</v>
      </c>
      <c r="AJ331" s="155" t="s">
        <v>316</v>
      </c>
      <c r="AK331" s="155" t="s">
        <v>315</v>
      </c>
      <c r="AL331" s="155" t="s">
        <v>316</v>
      </c>
    </row>
    <row r="332" spans="2:38" ht="14.6">
      <c r="AD332" s="80" t="s">
        <v>317</v>
      </c>
      <c r="AE332" s="158">
        <v>0</v>
      </c>
      <c r="AF332" s="80" t="e">
        <v>#N/A</v>
      </c>
      <c r="AG332" s="80" t="e">
        <v>#N/A</v>
      </c>
      <c r="AH332" s="80" t="e">
        <v>#N/A</v>
      </c>
      <c r="AI332" s="80" t="e">
        <v>#N/A</v>
      </c>
      <c r="AJ332" s="80" t="e">
        <v>#N/A</v>
      </c>
      <c r="AK332" s="80" t="e">
        <v>#N/A</v>
      </c>
      <c r="AL332" s="80" t="e">
        <v>#N/A</v>
      </c>
    </row>
    <row r="333" spans="2:38" ht="14.6">
      <c r="AD333" s="80" t="s">
        <v>573</v>
      </c>
      <c r="AE333" s="158">
        <v>0.33966087168699222</v>
      </c>
      <c r="AF333" s="158">
        <v>5.6824547783006607E-2</v>
      </c>
      <c r="AG333" s="158">
        <v>5.9773616322304965</v>
      </c>
      <c r="AH333" s="158">
        <v>1.3616259165342512E-4</v>
      </c>
      <c r="AI333" s="158">
        <v>0.2130478895659591</v>
      </c>
      <c r="AJ333" s="158">
        <v>0.46627385380802533</v>
      </c>
      <c r="AK333" s="158">
        <v>0.2130478895659591</v>
      </c>
      <c r="AL333" s="158">
        <v>0.46627385380802533</v>
      </c>
    </row>
    <row r="334" spans="2:38" ht="14.6">
      <c r="AD334" s="159" t="s">
        <v>574</v>
      </c>
      <c r="AE334" s="160">
        <v>3.3065704070568529</v>
      </c>
      <c r="AF334" s="160">
        <v>0.96628670295626917</v>
      </c>
      <c r="AG334" s="160">
        <v>3.4219351222993049</v>
      </c>
      <c r="AH334" s="160">
        <v>6.5262014140693254E-3</v>
      </c>
      <c r="AI334" s="160">
        <v>1.1535494712390184</v>
      </c>
      <c r="AJ334" s="160">
        <v>5.4595913428746874</v>
      </c>
      <c r="AK334" s="160">
        <v>1.1535494712390184</v>
      </c>
      <c r="AL334" s="160">
        <v>5.4595913428746874</v>
      </c>
    </row>
    <row r="336" spans="2:38" ht="14.6">
      <c r="B336" s="85"/>
      <c r="C336" s="85"/>
      <c r="D336" s="85"/>
      <c r="E336" s="85"/>
      <c r="F336" s="85"/>
      <c r="G336" s="85"/>
      <c r="H336" s="85"/>
      <c r="I336" s="85"/>
      <c r="J336" s="85"/>
      <c r="K336" s="85"/>
      <c r="L336" s="85"/>
      <c r="M336" s="85"/>
      <c r="N336" s="85"/>
      <c r="O336" s="85"/>
      <c r="P336" s="85"/>
      <c r="Q336" s="85"/>
      <c r="R336" s="85"/>
      <c r="S336" s="85"/>
      <c r="T336" s="85"/>
    </row>
    <row r="337" spans="1:52" ht="14.6">
      <c r="A337" s="93" t="s">
        <v>74</v>
      </c>
      <c r="B337" s="279">
        <v>0.6</v>
      </c>
      <c r="C337" s="247"/>
      <c r="D337" s="247"/>
      <c r="E337" s="247"/>
      <c r="F337" s="247"/>
      <c r="G337" s="247"/>
      <c r="H337" s="247"/>
      <c r="I337" s="247"/>
      <c r="J337" s="247"/>
      <c r="K337" s="247"/>
      <c r="L337" s="247"/>
      <c r="M337" s="247"/>
      <c r="N337" s="247"/>
      <c r="O337" s="247"/>
      <c r="P337" s="247"/>
      <c r="Q337" s="247"/>
      <c r="R337" s="247"/>
      <c r="S337" s="247"/>
      <c r="T337" s="247"/>
      <c r="U337" s="247"/>
      <c r="V337" s="247"/>
    </row>
    <row r="338" spans="1:52" ht="14.6">
      <c r="A338" s="93" t="s">
        <v>76</v>
      </c>
      <c r="B338" s="245">
        <f>1-B337</f>
        <v>0.4</v>
      </c>
      <c r="C338" s="247"/>
      <c r="D338" s="247"/>
      <c r="E338" s="247"/>
      <c r="F338" s="247"/>
      <c r="G338" s="247"/>
      <c r="H338" s="247"/>
      <c r="I338" s="247"/>
      <c r="J338" s="247"/>
      <c r="K338" s="247"/>
      <c r="L338" s="247"/>
      <c r="M338" s="247"/>
      <c r="N338" s="247"/>
      <c r="O338" s="247"/>
      <c r="P338" s="247"/>
      <c r="Q338" s="247"/>
      <c r="R338" s="247"/>
      <c r="S338" s="247"/>
      <c r="T338" s="247"/>
      <c r="U338" s="247"/>
      <c r="V338" s="247"/>
    </row>
    <row r="339" spans="1:52" ht="14.6">
      <c r="A339" s="93" t="s">
        <v>78</v>
      </c>
      <c r="B339" s="279">
        <v>7.4999999999999997E-2</v>
      </c>
      <c r="C339" s="247"/>
      <c r="D339" s="247"/>
      <c r="E339" s="247"/>
      <c r="F339" s="247"/>
      <c r="G339" s="247"/>
      <c r="H339" s="247"/>
      <c r="I339" s="247"/>
      <c r="J339" s="247"/>
      <c r="K339" s="247"/>
      <c r="L339" s="247"/>
      <c r="M339" s="247"/>
      <c r="N339" s="247"/>
      <c r="O339" s="247"/>
      <c r="P339" s="247"/>
      <c r="Q339" s="247"/>
      <c r="R339" s="247"/>
      <c r="S339" s="247"/>
      <c r="T339" s="247"/>
      <c r="U339" s="247"/>
      <c r="V339" s="247"/>
    </row>
    <row r="340" spans="1:52" ht="14.6">
      <c r="A340" s="93" t="s">
        <v>80</v>
      </c>
      <c r="B340" s="279">
        <v>0.09</v>
      </c>
      <c r="C340" s="247"/>
      <c r="D340" s="247"/>
      <c r="E340" s="247"/>
      <c r="F340" s="247"/>
      <c r="G340" s="247"/>
      <c r="H340" s="247"/>
      <c r="I340" s="247"/>
      <c r="J340" s="247"/>
      <c r="K340" s="247"/>
      <c r="L340" s="247"/>
      <c r="M340" s="247"/>
      <c r="N340" s="247"/>
      <c r="O340" s="247"/>
      <c r="P340" s="247"/>
      <c r="Q340" s="247"/>
      <c r="R340" s="247"/>
      <c r="S340" s="247"/>
      <c r="T340" s="247"/>
      <c r="U340" s="247"/>
      <c r="V340" s="247"/>
    </row>
    <row r="341" spans="1:52" ht="14.6">
      <c r="A341" s="93" t="s">
        <v>82</v>
      </c>
      <c r="B341" s="245">
        <f>B337*B339+B338*B340</f>
        <v>8.0999999999999989E-2</v>
      </c>
      <c r="C341" s="250"/>
      <c r="D341" s="250"/>
      <c r="E341" s="250"/>
      <c r="F341" s="250"/>
      <c r="G341" s="250"/>
      <c r="H341" s="250"/>
      <c r="I341" s="250"/>
      <c r="J341" s="250"/>
      <c r="K341" s="250"/>
      <c r="L341" s="250"/>
      <c r="M341" s="250"/>
      <c r="N341" s="250"/>
      <c r="O341" s="250"/>
      <c r="P341" s="250"/>
      <c r="Q341" s="250"/>
      <c r="R341" s="250"/>
      <c r="S341" s="250"/>
      <c r="T341" s="250"/>
      <c r="U341" s="250"/>
      <c r="V341" s="250"/>
    </row>
    <row r="342" spans="1:52" ht="14.6">
      <c r="A342" s="93" t="s">
        <v>84</v>
      </c>
      <c r="B342" s="280">
        <v>10</v>
      </c>
      <c r="C342" s="88"/>
      <c r="D342" s="88"/>
      <c r="E342" s="88"/>
      <c r="F342" s="88"/>
      <c r="G342" s="88"/>
      <c r="H342" s="88"/>
      <c r="I342" s="88"/>
      <c r="J342" s="88"/>
      <c r="K342" s="88"/>
      <c r="L342" s="88"/>
      <c r="M342" s="88"/>
      <c r="N342" s="88"/>
      <c r="O342" s="88"/>
      <c r="P342" s="88"/>
      <c r="Q342" s="88"/>
      <c r="R342" s="88"/>
      <c r="S342" s="88"/>
      <c r="T342" s="88"/>
      <c r="U342" s="88"/>
      <c r="V342" s="88"/>
    </row>
    <row r="343" spans="1:52" ht="14.6">
      <c r="A343" s="100" t="s">
        <v>579</v>
      </c>
      <c r="B343" s="281">
        <v>0.7</v>
      </c>
      <c r="C343" s="282"/>
      <c r="D343" s="282"/>
      <c r="E343" s="282"/>
      <c r="F343" s="282"/>
      <c r="G343" s="282"/>
      <c r="H343" s="282"/>
      <c r="I343" s="282"/>
      <c r="J343" s="283"/>
      <c r="K343" s="283"/>
      <c r="L343" s="283"/>
      <c r="M343" s="283"/>
      <c r="N343" s="283"/>
      <c r="O343" s="283"/>
      <c r="P343" s="283"/>
      <c r="Q343" s="283"/>
      <c r="R343" s="283"/>
      <c r="S343" s="283"/>
      <c r="T343" s="283"/>
      <c r="U343" s="283"/>
      <c r="V343" s="283"/>
    </row>
    <row r="344" spans="1:52" ht="29.15">
      <c r="A344" s="100" t="s">
        <v>580</v>
      </c>
      <c r="B344" s="279">
        <v>0.1429</v>
      </c>
      <c r="C344" s="279">
        <v>0.24490000000000001</v>
      </c>
      <c r="D344" s="279">
        <v>0.1749</v>
      </c>
      <c r="E344" s="279">
        <v>0.1249</v>
      </c>
      <c r="F344" s="279">
        <v>8.9300000000000004E-2</v>
      </c>
      <c r="G344" s="279">
        <v>8.9200000000000002E-2</v>
      </c>
      <c r="H344" s="279">
        <v>8.9300000000000004E-2</v>
      </c>
      <c r="I344" s="279">
        <v>4.4600000000000001E-2</v>
      </c>
      <c r="J344" s="284"/>
      <c r="K344" s="284"/>
      <c r="L344" s="284"/>
      <c r="M344" s="284"/>
      <c r="N344" s="284"/>
      <c r="O344" s="284"/>
      <c r="P344" s="284"/>
      <c r="Q344" s="284"/>
      <c r="R344" s="284"/>
      <c r="S344" s="284"/>
      <c r="T344" s="284"/>
      <c r="U344" s="284"/>
      <c r="V344" s="284"/>
    </row>
    <row r="345" spans="1:52" ht="14.6">
      <c r="A345" s="93" t="s">
        <v>112</v>
      </c>
      <c r="B345" s="253">
        <v>0.35</v>
      </c>
      <c r="C345" s="253">
        <v>0.35</v>
      </c>
      <c r="D345" s="253">
        <v>0.35</v>
      </c>
      <c r="E345" s="253">
        <v>0.35</v>
      </c>
      <c r="F345" s="253">
        <v>0.35</v>
      </c>
      <c r="G345" s="253">
        <v>0.35</v>
      </c>
      <c r="H345" s="253">
        <v>0.35</v>
      </c>
      <c r="I345" s="253">
        <v>0.35</v>
      </c>
      <c r="J345" s="253">
        <v>0.35</v>
      </c>
      <c r="K345" s="253">
        <v>0.35</v>
      </c>
      <c r="L345" s="253">
        <v>0.35</v>
      </c>
      <c r="M345" s="253">
        <v>0.35</v>
      </c>
      <c r="N345" s="253">
        <v>0.35</v>
      </c>
      <c r="O345" s="253">
        <v>0.35</v>
      </c>
      <c r="P345" s="253">
        <v>0.35</v>
      </c>
      <c r="Q345" s="253">
        <v>0.35</v>
      </c>
      <c r="R345" s="253">
        <v>0.35</v>
      </c>
      <c r="S345" s="253">
        <v>0.35</v>
      </c>
      <c r="T345" s="253">
        <v>0.21</v>
      </c>
      <c r="U345" s="253">
        <v>0.21</v>
      </c>
      <c r="V345" s="254">
        <v>0.21</v>
      </c>
      <c r="W345" s="102">
        <f t="shared" ref="W345:AZ345" si="54">V345</f>
        <v>0.21</v>
      </c>
      <c r="X345" s="102">
        <f t="shared" si="54"/>
        <v>0.21</v>
      </c>
      <c r="Y345" s="102">
        <f t="shared" si="54"/>
        <v>0.21</v>
      </c>
      <c r="Z345" s="102">
        <f t="shared" si="54"/>
        <v>0.21</v>
      </c>
      <c r="AA345" s="102">
        <f t="shared" si="54"/>
        <v>0.21</v>
      </c>
      <c r="AB345" s="102">
        <f t="shared" si="54"/>
        <v>0.21</v>
      </c>
      <c r="AC345" s="102">
        <f t="shared" si="54"/>
        <v>0.21</v>
      </c>
      <c r="AD345" s="102">
        <f t="shared" si="54"/>
        <v>0.21</v>
      </c>
      <c r="AE345" s="102">
        <f t="shared" si="54"/>
        <v>0.21</v>
      </c>
      <c r="AF345" s="102">
        <f t="shared" si="54"/>
        <v>0.21</v>
      </c>
      <c r="AG345" s="102">
        <f t="shared" si="54"/>
        <v>0.21</v>
      </c>
      <c r="AH345" s="102">
        <f t="shared" si="54"/>
        <v>0.21</v>
      </c>
      <c r="AI345" s="102">
        <f t="shared" si="54"/>
        <v>0.21</v>
      </c>
      <c r="AJ345" s="102">
        <f t="shared" si="54"/>
        <v>0.21</v>
      </c>
      <c r="AK345" s="102">
        <f t="shared" si="54"/>
        <v>0.21</v>
      </c>
      <c r="AL345" s="102">
        <f t="shared" si="54"/>
        <v>0.21</v>
      </c>
      <c r="AM345" s="102">
        <f t="shared" si="54"/>
        <v>0.21</v>
      </c>
      <c r="AN345" s="102">
        <f t="shared" si="54"/>
        <v>0.21</v>
      </c>
      <c r="AO345" s="102">
        <f t="shared" si="54"/>
        <v>0.21</v>
      </c>
      <c r="AP345" s="102">
        <f t="shared" si="54"/>
        <v>0.21</v>
      </c>
      <c r="AQ345" s="102">
        <f t="shared" si="54"/>
        <v>0.21</v>
      </c>
      <c r="AR345" s="102">
        <f t="shared" si="54"/>
        <v>0.21</v>
      </c>
      <c r="AS345" s="102">
        <f t="shared" si="54"/>
        <v>0.21</v>
      </c>
      <c r="AT345" s="102">
        <f t="shared" si="54"/>
        <v>0.21</v>
      </c>
      <c r="AU345" s="102">
        <f t="shared" si="54"/>
        <v>0.21</v>
      </c>
      <c r="AV345" s="102">
        <f t="shared" si="54"/>
        <v>0.21</v>
      </c>
      <c r="AW345" s="102">
        <f t="shared" si="54"/>
        <v>0.21</v>
      </c>
      <c r="AX345" s="102">
        <f t="shared" si="54"/>
        <v>0.21</v>
      </c>
      <c r="AY345" s="102">
        <f t="shared" si="54"/>
        <v>0.21</v>
      </c>
      <c r="AZ345" s="102">
        <f t="shared" si="54"/>
        <v>0.21</v>
      </c>
    </row>
    <row r="346" spans="1:52" ht="14.6">
      <c r="A346" s="93" t="s">
        <v>581</v>
      </c>
      <c r="B346" s="285">
        <v>0.05</v>
      </c>
      <c r="C346" s="85"/>
      <c r="D346" s="85"/>
      <c r="E346" s="85"/>
      <c r="F346" s="85"/>
      <c r="G346" s="85"/>
      <c r="H346" s="85"/>
      <c r="I346" s="85"/>
      <c r="J346" s="85"/>
      <c r="K346" s="85"/>
      <c r="L346" s="85"/>
      <c r="M346" s="85"/>
      <c r="N346" s="85"/>
      <c r="O346" s="85"/>
      <c r="P346" s="85"/>
      <c r="Q346" s="85"/>
      <c r="R346" s="85"/>
      <c r="S346" s="85"/>
      <c r="T346" s="85"/>
    </row>
    <row r="347" spans="1:52" ht="14.6">
      <c r="A347" s="93" t="s">
        <v>582</v>
      </c>
      <c r="B347" s="285">
        <v>0.2</v>
      </c>
      <c r="C347" s="85"/>
      <c r="D347" s="85"/>
      <c r="E347" s="85"/>
      <c r="F347" s="85"/>
      <c r="G347" s="85"/>
      <c r="H347" s="85"/>
      <c r="I347" s="85"/>
      <c r="J347" s="85"/>
      <c r="K347" s="85"/>
      <c r="L347" s="85"/>
      <c r="M347" s="85"/>
      <c r="N347" s="85"/>
      <c r="O347" s="85"/>
      <c r="P347" s="85"/>
      <c r="Q347" s="85"/>
      <c r="R347" s="85"/>
      <c r="S347" s="85"/>
      <c r="T347" s="85"/>
    </row>
    <row r="348" spans="1:52" ht="29.15">
      <c r="A348" s="100" t="s">
        <v>583</v>
      </c>
      <c r="B348" s="285">
        <v>0.01</v>
      </c>
      <c r="C348" s="85"/>
      <c r="D348" s="85"/>
      <c r="E348" s="85"/>
      <c r="F348" s="85"/>
      <c r="G348" s="85"/>
      <c r="H348" s="85"/>
      <c r="I348" s="85"/>
      <c r="J348" s="85"/>
      <c r="K348" s="286"/>
      <c r="L348" s="287"/>
      <c r="M348" s="287"/>
      <c r="N348" s="287"/>
      <c r="O348" s="287"/>
      <c r="P348" s="287"/>
      <c r="Q348" s="85"/>
      <c r="R348" s="85"/>
      <c r="S348" s="85"/>
      <c r="T348" s="85"/>
    </row>
    <row r="349" spans="1:52" ht="14.6">
      <c r="B349" s="85"/>
      <c r="C349" s="85"/>
      <c r="D349" s="85"/>
      <c r="E349" s="85"/>
      <c r="F349" s="85"/>
      <c r="G349" s="85"/>
      <c r="H349" s="85"/>
      <c r="I349" s="85"/>
      <c r="J349" s="85"/>
      <c r="K349" s="85"/>
      <c r="L349" s="85"/>
      <c r="M349" s="85"/>
      <c r="N349" s="85"/>
      <c r="O349" s="85"/>
      <c r="P349" s="288"/>
      <c r="Q349" s="85"/>
      <c r="R349" s="85"/>
      <c r="S349" s="85"/>
      <c r="T349" s="85"/>
    </row>
    <row r="350" spans="1:52" ht="14.6">
      <c r="B350" s="85"/>
      <c r="C350" s="85"/>
      <c r="D350" s="85"/>
      <c r="E350" s="85"/>
      <c r="F350" s="85"/>
      <c r="G350" s="85"/>
      <c r="H350" s="85"/>
      <c r="I350" s="85"/>
      <c r="J350" s="85"/>
      <c r="K350" s="85"/>
      <c r="L350" s="268" t="s">
        <v>561</v>
      </c>
      <c r="M350" s="274" t="s">
        <v>564</v>
      </c>
      <c r="N350" s="276" t="s">
        <v>517</v>
      </c>
      <c r="O350" s="151" t="s">
        <v>566</v>
      </c>
      <c r="P350" s="151" t="s">
        <v>295</v>
      </c>
      <c r="Q350" s="289"/>
      <c r="R350" s="289" t="s">
        <v>296</v>
      </c>
      <c r="S350" s="85"/>
      <c r="T350" s="85"/>
    </row>
    <row r="351" spans="1:52" ht="14.6">
      <c r="B351" s="85"/>
      <c r="C351" s="85"/>
      <c r="D351" s="85"/>
      <c r="E351" s="85"/>
      <c r="F351" s="85"/>
      <c r="G351" s="85"/>
      <c r="H351" s="85"/>
      <c r="I351" s="85"/>
      <c r="J351" s="85"/>
      <c r="K351" s="289"/>
      <c r="L351" s="269">
        <v>31.1</v>
      </c>
      <c r="M351" s="275">
        <v>0.39678200000000002</v>
      </c>
      <c r="N351" s="257">
        <v>30.30083333</v>
      </c>
      <c r="O351" s="122">
        <v>1.3172783290000001</v>
      </c>
      <c r="P351" s="152">
        <v>4.3099999999999996</v>
      </c>
      <c r="Q351" s="85"/>
      <c r="R351" s="85"/>
      <c r="S351" s="85"/>
      <c r="T351" s="85"/>
    </row>
    <row r="352" spans="1:52" ht="14.6">
      <c r="B352" s="85"/>
      <c r="C352" s="85"/>
      <c r="D352" s="85"/>
      <c r="E352" s="85"/>
      <c r="F352" s="85"/>
      <c r="G352" s="85"/>
      <c r="H352" s="85"/>
      <c r="I352" s="85"/>
      <c r="J352" s="85"/>
      <c r="K352" s="85"/>
      <c r="L352" s="269">
        <v>41.7</v>
      </c>
      <c r="M352" s="275">
        <v>0.38714999999999999</v>
      </c>
      <c r="N352" s="257">
        <v>25.947500000000002</v>
      </c>
      <c r="O352" s="122">
        <v>1.318267898</v>
      </c>
      <c r="P352" s="152">
        <v>3.96</v>
      </c>
      <c r="Q352" s="287"/>
      <c r="R352" s="290" t="s">
        <v>297</v>
      </c>
      <c r="S352" s="291"/>
      <c r="T352" s="85"/>
    </row>
    <row r="353" spans="2:26" ht="14.6">
      <c r="B353" s="85"/>
      <c r="C353" s="85"/>
      <c r="D353" s="85"/>
      <c r="E353" s="85"/>
      <c r="F353" s="85"/>
      <c r="G353" s="85"/>
      <c r="H353" s="85"/>
      <c r="I353" s="85"/>
      <c r="J353" s="85"/>
      <c r="K353" s="286"/>
      <c r="L353" s="269">
        <v>33.799999999999997</v>
      </c>
      <c r="M353" s="275">
        <v>0.37682900000000003</v>
      </c>
      <c r="N353" s="257">
        <v>26.114999999999998</v>
      </c>
      <c r="O353" s="122">
        <v>1.3645950440000001</v>
      </c>
      <c r="P353" s="152">
        <v>3.38</v>
      </c>
      <c r="Q353" s="287"/>
      <c r="R353" s="287" t="s">
        <v>298</v>
      </c>
      <c r="S353" s="287">
        <v>0.98319471678218417</v>
      </c>
      <c r="T353" s="85"/>
    </row>
    <row r="354" spans="2:26" ht="14.6">
      <c r="B354" s="85"/>
      <c r="C354" s="85"/>
      <c r="D354" s="85"/>
      <c r="E354" s="85"/>
      <c r="F354" s="85"/>
      <c r="G354" s="85"/>
      <c r="H354" s="85"/>
      <c r="I354" s="85"/>
      <c r="J354" s="85"/>
      <c r="K354" s="85"/>
      <c r="L354" s="269">
        <v>44.7</v>
      </c>
      <c r="M354" s="275">
        <v>0.37246691700000001</v>
      </c>
      <c r="N354" s="257">
        <v>31.12083333</v>
      </c>
      <c r="O354" s="122">
        <v>1.4333097619999999</v>
      </c>
      <c r="P354" s="152">
        <v>5.47</v>
      </c>
      <c r="Q354" s="289"/>
      <c r="R354" s="289" t="s">
        <v>299</v>
      </c>
      <c r="S354" s="288">
        <v>0.96667185110839937</v>
      </c>
      <c r="T354" s="85"/>
    </row>
    <row r="355" spans="2:26" ht="14.6">
      <c r="B355" s="85"/>
      <c r="C355" s="85"/>
      <c r="D355" s="85"/>
      <c r="E355" s="85"/>
      <c r="F355" s="85"/>
      <c r="G355" s="85"/>
      <c r="H355" s="85"/>
      <c r="I355" s="85"/>
      <c r="J355" s="85"/>
      <c r="K355" s="85"/>
      <c r="L355" s="269">
        <v>51.7</v>
      </c>
      <c r="M355" s="275">
        <v>0.38245941700000002</v>
      </c>
      <c r="N355" s="257">
        <v>41.443333330000002</v>
      </c>
      <c r="O355" s="122">
        <v>1.503235978</v>
      </c>
      <c r="P355" s="152">
        <v>5.89</v>
      </c>
      <c r="Q355" s="289"/>
      <c r="R355" s="289" t="s">
        <v>300</v>
      </c>
      <c r="S355" s="288">
        <v>0.95641703606482997</v>
      </c>
      <c r="T355" s="85"/>
    </row>
    <row r="356" spans="2:26" ht="14.6">
      <c r="B356" s="85"/>
      <c r="C356" s="85"/>
      <c r="D356" s="85"/>
      <c r="E356" s="85"/>
      <c r="F356" s="85"/>
      <c r="G356" s="85"/>
      <c r="H356" s="85"/>
      <c r="I356" s="85"/>
      <c r="J356" s="85"/>
      <c r="K356" s="85"/>
      <c r="L356" s="269">
        <v>71.7</v>
      </c>
      <c r="M356" s="275">
        <v>0.40981541700000002</v>
      </c>
      <c r="N356" s="257">
        <v>56.4925</v>
      </c>
      <c r="O356" s="122">
        <v>1.662950749</v>
      </c>
      <c r="P356" s="152">
        <v>8.69</v>
      </c>
      <c r="Q356" s="289"/>
      <c r="R356" s="289" t="s">
        <v>301</v>
      </c>
      <c r="S356" s="288">
        <v>10.528393799637366</v>
      </c>
      <c r="T356" s="85"/>
    </row>
    <row r="357" spans="2:26" ht="14.6">
      <c r="B357" s="85"/>
      <c r="C357" s="85"/>
      <c r="D357" s="85"/>
      <c r="E357" s="85"/>
      <c r="F357" s="85"/>
      <c r="G357" s="85"/>
      <c r="H357" s="85"/>
      <c r="I357" s="85"/>
      <c r="J357" s="85"/>
      <c r="K357" s="85"/>
      <c r="L357" s="269">
        <v>98.8</v>
      </c>
      <c r="M357" s="275">
        <v>0.42802158299999998</v>
      </c>
      <c r="N357" s="257">
        <v>66.018333330000004</v>
      </c>
      <c r="O357" s="122">
        <v>1.964867693</v>
      </c>
      <c r="P357" s="152">
        <v>6.73</v>
      </c>
      <c r="Q357" s="289"/>
      <c r="R357" s="292" t="s">
        <v>302</v>
      </c>
      <c r="S357" s="293">
        <v>18</v>
      </c>
      <c r="T357" s="85"/>
    </row>
    <row r="358" spans="2:26" ht="14.6">
      <c r="B358" s="85"/>
      <c r="C358" s="85"/>
      <c r="D358" s="85"/>
      <c r="E358" s="85"/>
      <c r="F358" s="85"/>
      <c r="G358" s="85"/>
      <c r="H358" s="85"/>
      <c r="I358" s="85"/>
      <c r="J358" s="85"/>
      <c r="K358" s="289"/>
      <c r="L358" s="269">
        <v>108.1</v>
      </c>
      <c r="M358" s="275">
        <v>0.462267333</v>
      </c>
      <c r="N358" s="257">
        <v>72.318333330000002</v>
      </c>
      <c r="O358" s="122">
        <v>2.5217407110000001</v>
      </c>
      <c r="P358" s="152">
        <v>6.97</v>
      </c>
      <c r="Q358" s="288"/>
      <c r="R358" s="288"/>
      <c r="S358" s="288"/>
      <c r="T358" s="85"/>
    </row>
    <row r="359" spans="2:26" ht="14.6">
      <c r="B359" s="85"/>
      <c r="C359" s="85"/>
      <c r="D359" s="85"/>
      <c r="E359" s="85"/>
      <c r="F359" s="85"/>
      <c r="G359" s="85"/>
      <c r="H359" s="85"/>
      <c r="I359" s="85"/>
      <c r="J359" s="85"/>
      <c r="K359" s="85"/>
      <c r="L359" s="269">
        <v>125.3</v>
      </c>
      <c r="M359" s="275">
        <v>0.55364875000000002</v>
      </c>
      <c r="N359" s="257">
        <v>99.571666669999999</v>
      </c>
      <c r="O359" s="122">
        <v>3.373959326</v>
      </c>
      <c r="P359" s="152">
        <v>8.86</v>
      </c>
      <c r="Q359" s="289"/>
      <c r="R359" s="289" t="s">
        <v>303</v>
      </c>
      <c r="S359" s="85"/>
      <c r="T359" s="85"/>
    </row>
    <row r="360" spans="2:26" ht="14.6">
      <c r="B360" s="85"/>
      <c r="C360" s="85"/>
      <c r="D360" s="85"/>
      <c r="E360" s="85"/>
      <c r="F360" s="85"/>
      <c r="G360" s="85"/>
      <c r="H360" s="85"/>
      <c r="I360" s="85"/>
      <c r="J360" s="85"/>
      <c r="K360" s="85"/>
      <c r="L360" s="269">
        <v>87.2</v>
      </c>
      <c r="M360" s="275">
        <v>0.63217124999999996</v>
      </c>
      <c r="N360" s="257">
        <v>61.654166670000002</v>
      </c>
      <c r="O360" s="122">
        <v>4.3584588059999998</v>
      </c>
      <c r="P360" s="152">
        <v>3.94</v>
      </c>
      <c r="Q360" s="286"/>
      <c r="R360" s="290"/>
      <c r="S360" s="290" t="s">
        <v>304</v>
      </c>
      <c r="T360" s="290" t="s">
        <v>305</v>
      </c>
      <c r="U360" s="155" t="s">
        <v>306</v>
      </c>
      <c r="V360" s="155" t="s">
        <v>307</v>
      </c>
      <c r="W360" s="155" t="s">
        <v>308</v>
      </c>
    </row>
    <row r="361" spans="2:26" ht="14.6">
      <c r="B361" s="85"/>
      <c r="C361" s="85"/>
      <c r="D361" s="85"/>
      <c r="E361" s="85"/>
      <c r="F361" s="85"/>
      <c r="G361" s="85"/>
      <c r="H361" s="85"/>
      <c r="I361" s="85"/>
      <c r="J361" s="85"/>
      <c r="K361" s="85"/>
      <c r="L361" s="269">
        <v>103.1</v>
      </c>
      <c r="M361" s="275">
        <v>0.824436167</v>
      </c>
      <c r="N361" s="257">
        <v>79.394999999999996</v>
      </c>
      <c r="O361" s="122">
        <v>6.1238422139999997</v>
      </c>
      <c r="P361" s="152">
        <v>4.37</v>
      </c>
      <c r="Q361" s="289"/>
      <c r="R361" s="289" t="s">
        <v>309</v>
      </c>
      <c r="S361" s="288">
        <v>4</v>
      </c>
      <c r="T361" s="288">
        <v>41796.072456441281</v>
      </c>
      <c r="U361" s="158">
        <v>10449.01811411032</v>
      </c>
      <c r="V361" s="158">
        <v>94.265166851017867</v>
      </c>
      <c r="W361" s="158">
        <v>1.8222373610043974E-9</v>
      </c>
    </row>
    <row r="362" spans="2:26" ht="14.6">
      <c r="B362" s="85"/>
      <c r="C362" s="85"/>
      <c r="D362" s="85"/>
      <c r="E362" s="85"/>
      <c r="F362" s="85"/>
      <c r="G362" s="85"/>
      <c r="H362" s="85"/>
      <c r="I362" s="85"/>
      <c r="J362" s="85"/>
      <c r="K362" s="85"/>
      <c r="L362" s="269">
        <v>130.19999999999999</v>
      </c>
      <c r="M362" s="275">
        <v>1.292299917</v>
      </c>
      <c r="N362" s="257">
        <v>94.874166669999994</v>
      </c>
      <c r="O362" s="122">
        <v>8.8755331969999993</v>
      </c>
      <c r="P362" s="152">
        <v>4</v>
      </c>
      <c r="Q362" s="289"/>
      <c r="R362" s="289" t="s">
        <v>310</v>
      </c>
      <c r="S362" s="288">
        <v>13</v>
      </c>
      <c r="T362" s="288">
        <v>1441.011988003153</v>
      </c>
      <c r="U362" s="158">
        <v>110.84707600024254</v>
      </c>
    </row>
    <row r="363" spans="2:26" ht="14.6">
      <c r="B363" s="85"/>
      <c r="C363" s="85"/>
      <c r="D363" s="85"/>
      <c r="E363" s="85"/>
      <c r="F363" s="85"/>
      <c r="G363" s="85"/>
      <c r="H363" s="85"/>
      <c r="I363" s="85"/>
      <c r="J363" s="85"/>
      <c r="K363" s="85"/>
      <c r="L363" s="269">
        <v>162.69999999999999</v>
      </c>
      <c r="M363" s="275">
        <v>2.1434916230000001</v>
      </c>
      <c r="N363" s="257">
        <v>94.110833330000006</v>
      </c>
      <c r="O363" s="122">
        <v>11.05550897</v>
      </c>
      <c r="P363" s="152">
        <v>2.75</v>
      </c>
      <c r="Q363" s="289"/>
      <c r="R363" s="292" t="s">
        <v>311</v>
      </c>
      <c r="S363" s="293">
        <v>17</v>
      </c>
      <c r="T363" s="293">
        <v>43237.084444444437</v>
      </c>
      <c r="U363" s="162"/>
      <c r="V363" s="162"/>
      <c r="W363" s="162"/>
    </row>
    <row r="364" spans="2:26" ht="14.6">
      <c r="B364" s="85"/>
      <c r="C364" s="85"/>
      <c r="D364" s="85"/>
      <c r="E364" s="85"/>
      <c r="F364" s="85"/>
      <c r="G364" s="85"/>
      <c r="H364" s="85"/>
      <c r="I364" s="85"/>
      <c r="J364" s="85"/>
      <c r="K364" s="85"/>
      <c r="L364" s="269">
        <v>170.6</v>
      </c>
      <c r="M364" s="275">
        <v>3.049101523</v>
      </c>
      <c r="N364" s="257">
        <v>97.905833329999993</v>
      </c>
      <c r="O364" s="122">
        <v>12.405446270000001</v>
      </c>
      <c r="P364" s="152">
        <v>3.73</v>
      </c>
      <c r="Q364" s="85"/>
      <c r="R364" s="85"/>
      <c r="S364" s="85"/>
      <c r="T364" s="85"/>
    </row>
    <row r="365" spans="2:26" ht="14.6">
      <c r="B365" s="85"/>
      <c r="C365" s="85"/>
      <c r="D365" s="85"/>
      <c r="E365" s="85"/>
      <c r="F365" s="85"/>
      <c r="G365" s="85"/>
      <c r="H365" s="85"/>
      <c r="I365" s="85"/>
      <c r="J365" s="85"/>
      <c r="K365" s="85"/>
      <c r="L365" s="269">
        <v>203.9</v>
      </c>
      <c r="M365" s="275">
        <v>4.1050079510000002</v>
      </c>
      <c r="N365" s="257">
        <v>93.258333329999999</v>
      </c>
      <c r="O365" s="122">
        <v>14.361040149999999</v>
      </c>
      <c r="P365" s="152">
        <v>4.37</v>
      </c>
      <c r="Q365" s="286"/>
      <c r="R365" s="290"/>
      <c r="S365" s="290" t="s">
        <v>312</v>
      </c>
      <c r="T365" s="290" t="s">
        <v>301</v>
      </c>
      <c r="U365" s="155" t="s">
        <v>313</v>
      </c>
      <c r="V365" s="155" t="s">
        <v>314</v>
      </c>
      <c r="W365" s="155" t="s">
        <v>315</v>
      </c>
      <c r="X365" s="155" t="s">
        <v>316</v>
      </c>
      <c r="Y365" s="156"/>
      <c r="Z365" s="156"/>
    </row>
    <row r="366" spans="2:26" ht="14.6">
      <c r="B366" s="85"/>
      <c r="C366" s="85"/>
      <c r="D366" s="85"/>
      <c r="E366" s="85"/>
      <c r="F366" s="85"/>
      <c r="G366" s="85"/>
      <c r="H366" s="85"/>
      <c r="I366" s="85"/>
      <c r="J366" s="85"/>
      <c r="K366" s="85"/>
      <c r="L366" s="269">
        <v>149.6</v>
      </c>
      <c r="M366" s="275">
        <v>4.7744780679999996</v>
      </c>
      <c r="N366" s="257">
        <v>48.688333329999999</v>
      </c>
      <c r="O366" s="122">
        <v>15.988320849999999</v>
      </c>
      <c r="P366" s="152">
        <v>2.62</v>
      </c>
      <c r="Q366" s="289"/>
      <c r="R366" s="289" t="s">
        <v>317</v>
      </c>
      <c r="S366" s="288">
        <v>9.3652760861280058</v>
      </c>
      <c r="T366" s="288">
        <v>11.304061997877612</v>
      </c>
      <c r="U366" s="158">
        <v>0.8284876788437977</v>
      </c>
      <c r="V366" s="158">
        <v>0.42234486461714182</v>
      </c>
      <c r="W366" s="158">
        <v>-15.055665097592563</v>
      </c>
      <c r="X366" s="158">
        <v>33.786217269848578</v>
      </c>
    </row>
    <row r="367" spans="2:26" ht="14.6">
      <c r="B367" s="85"/>
      <c r="C367" s="85"/>
      <c r="D367" s="85"/>
      <c r="E367" s="85"/>
      <c r="F367" s="85"/>
      <c r="G367" s="85"/>
      <c r="H367" s="85"/>
      <c r="I367" s="85"/>
      <c r="J367" s="85"/>
      <c r="K367" s="85"/>
      <c r="L367" s="269">
        <v>79.900000000000006</v>
      </c>
      <c r="M367" s="275">
        <v>4.4291678130000003</v>
      </c>
      <c r="N367" s="257">
        <v>43.144166669999997</v>
      </c>
      <c r="O367" s="122">
        <v>16.631585940000001</v>
      </c>
      <c r="P367" s="152">
        <v>2.52</v>
      </c>
      <c r="Q367" s="289"/>
      <c r="R367" s="289" t="s">
        <v>564</v>
      </c>
      <c r="S367" s="288">
        <v>57.717622726399441</v>
      </c>
      <c r="T367" s="288">
        <v>10.442143557926496</v>
      </c>
      <c r="U367" s="158">
        <v>5.5273730346856551</v>
      </c>
      <c r="V367" s="158">
        <v>9.7511940930622936E-5</v>
      </c>
      <c r="W367" s="158">
        <v>35.158743121177153</v>
      </c>
      <c r="X367" s="158">
        <v>80.276502331621728</v>
      </c>
    </row>
    <row r="368" spans="2:26" ht="14.6">
      <c r="B368" s="85"/>
      <c r="C368" s="85"/>
      <c r="D368" s="85"/>
      <c r="E368" s="85"/>
      <c r="F368" s="85"/>
      <c r="G368" s="85"/>
      <c r="H368" s="85"/>
      <c r="I368" s="85"/>
      <c r="J368" s="85"/>
      <c r="K368" s="85"/>
      <c r="L368" s="269">
        <v>112.3</v>
      </c>
      <c r="M368" s="275">
        <v>4.9594073779999999</v>
      </c>
      <c r="N368" s="257">
        <v>50.884166669999999</v>
      </c>
      <c r="O368" s="122">
        <v>18.03613923</v>
      </c>
      <c r="P368" s="152">
        <v>2.99</v>
      </c>
      <c r="Q368" s="289"/>
      <c r="R368" s="289" t="s">
        <v>517</v>
      </c>
      <c r="S368" s="288">
        <v>2.1526072651448445</v>
      </c>
      <c r="T368" s="288">
        <v>0.19192172702259627</v>
      </c>
      <c r="U368" s="158">
        <v>11.21606864704486</v>
      </c>
      <c r="V368" s="158">
        <v>4.6787149636324679E-8</v>
      </c>
      <c r="W368" s="158">
        <v>1.7379855823924952</v>
      </c>
      <c r="X368" s="158">
        <v>2.5672289478971937</v>
      </c>
    </row>
    <row r="369" spans="2:26" ht="14.6">
      <c r="B369" s="85"/>
      <c r="C369" s="85"/>
      <c r="D369" s="85"/>
      <c r="E369" s="85"/>
      <c r="F369" s="85"/>
      <c r="G369" s="85"/>
      <c r="H369" s="85"/>
      <c r="I369" s="85"/>
      <c r="J369" s="85"/>
      <c r="K369" s="85"/>
      <c r="L369" s="85"/>
      <c r="M369" s="85"/>
      <c r="N369" s="85"/>
      <c r="O369" s="85"/>
      <c r="P369" s="85"/>
      <c r="Q369" s="289"/>
      <c r="R369" s="289" t="s">
        <v>566</v>
      </c>
      <c r="S369" s="288">
        <v>-14.793691715021737</v>
      </c>
      <c r="T369" s="288">
        <v>3.4214407506560245</v>
      </c>
      <c r="U369" s="158">
        <v>-4.3238193477952835</v>
      </c>
      <c r="V369" s="158">
        <v>8.2602655806086824E-4</v>
      </c>
      <c r="W369" s="158">
        <v>-22.185265058395412</v>
      </c>
      <c r="X369" s="158">
        <v>-7.4021183716480623</v>
      </c>
    </row>
    <row r="370" spans="2:26" ht="14.6">
      <c r="B370" s="85"/>
      <c r="C370" s="85"/>
      <c r="D370" s="85"/>
      <c r="E370" s="85"/>
      <c r="F370" s="85"/>
      <c r="G370" s="85"/>
      <c r="H370" s="85"/>
      <c r="I370" s="85"/>
      <c r="J370" s="85"/>
      <c r="K370" s="85"/>
      <c r="L370" s="85"/>
      <c r="M370" s="85"/>
      <c r="N370" s="85"/>
      <c r="O370" s="85"/>
      <c r="P370" s="85"/>
      <c r="Q370" s="85"/>
      <c r="R370" s="292" t="s">
        <v>295</v>
      </c>
      <c r="S370" s="293">
        <v>-7.5987081779438768</v>
      </c>
      <c r="T370" s="293">
        <v>2.3968995749048427</v>
      </c>
      <c r="U370" s="160">
        <v>-3.1702238414579997</v>
      </c>
      <c r="V370" s="160">
        <v>7.3786778204888159E-3</v>
      </c>
      <c r="W370" s="160">
        <v>-12.776894882247703</v>
      </c>
      <c r="X370" s="160">
        <v>-2.4205214736400507</v>
      </c>
      <c r="Y370" s="162"/>
      <c r="Z370" s="162"/>
    </row>
    <row r="371" spans="2:26" ht="14.6">
      <c r="B371" s="85"/>
      <c r="C371" s="85"/>
      <c r="D371" s="85"/>
      <c r="E371" s="85"/>
      <c r="F371" s="85"/>
      <c r="G371" s="85"/>
      <c r="H371" s="85"/>
      <c r="I371" s="85"/>
      <c r="J371" s="85"/>
      <c r="K371" s="85"/>
      <c r="L371" s="85"/>
      <c r="M371" s="85"/>
      <c r="N371" s="85"/>
      <c r="O371" s="85"/>
      <c r="P371" s="85"/>
      <c r="Q371" s="85"/>
      <c r="R371" s="85"/>
      <c r="S371" s="85"/>
      <c r="T371" s="85"/>
    </row>
    <row r="372" spans="2:26" ht="14.6">
      <c r="B372" s="85"/>
      <c r="C372" s="85"/>
      <c r="D372" s="85"/>
      <c r="E372" s="85"/>
      <c r="F372" s="85"/>
      <c r="G372" s="85"/>
      <c r="H372" s="85"/>
      <c r="I372" s="85"/>
      <c r="J372" s="85"/>
      <c r="K372" s="85"/>
      <c r="L372" s="85"/>
      <c r="M372" s="85"/>
      <c r="N372" s="85"/>
      <c r="O372" s="85"/>
      <c r="P372" s="85"/>
      <c r="Q372" s="85"/>
      <c r="R372" s="289" t="s">
        <v>296</v>
      </c>
      <c r="S372" s="85"/>
      <c r="T372" s="85"/>
    </row>
    <row r="373" spans="2:26" ht="14.6">
      <c r="B373" s="85"/>
      <c r="C373" s="85"/>
      <c r="D373" s="85"/>
      <c r="E373" s="85"/>
      <c r="F373" s="85"/>
      <c r="G373" s="85"/>
      <c r="H373" s="85"/>
      <c r="I373" s="85"/>
      <c r="J373" s="85"/>
      <c r="K373" s="85"/>
      <c r="L373" s="85"/>
      <c r="M373" s="85"/>
      <c r="N373" s="85"/>
      <c r="O373" s="85"/>
      <c r="P373" s="85"/>
      <c r="Q373" s="85"/>
      <c r="R373" s="85"/>
      <c r="S373" s="85"/>
      <c r="T373" s="85"/>
    </row>
    <row r="374" spans="2:26" ht="14.6">
      <c r="B374" s="85"/>
      <c r="C374" s="85"/>
      <c r="D374" s="85"/>
      <c r="E374" s="85"/>
      <c r="F374" s="85"/>
      <c r="G374" s="85"/>
      <c r="H374" s="85"/>
      <c r="I374" s="85"/>
      <c r="J374" s="85"/>
      <c r="K374" s="85"/>
      <c r="L374" s="85"/>
      <c r="M374" s="85"/>
      <c r="N374" s="85"/>
      <c r="O374" s="85"/>
      <c r="P374" s="85"/>
      <c r="Q374" s="85"/>
      <c r="R374" s="290" t="s">
        <v>297</v>
      </c>
      <c r="S374" s="291"/>
      <c r="T374" s="85"/>
    </row>
    <row r="375" spans="2:26" ht="14.6">
      <c r="B375" s="85"/>
      <c r="C375" s="85"/>
      <c r="D375" s="85"/>
      <c r="E375" s="85"/>
      <c r="F375" s="85"/>
      <c r="G375" s="85"/>
      <c r="H375" s="85"/>
      <c r="I375" s="85"/>
      <c r="J375" s="85"/>
      <c r="K375" s="85"/>
      <c r="L375" s="85"/>
      <c r="M375" s="85"/>
      <c r="N375" s="85"/>
      <c r="O375" s="85"/>
      <c r="P375" s="85"/>
      <c r="Q375" s="85"/>
      <c r="R375" s="289" t="s">
        <v>298</v>
      </c>
      <c r="S375" s="288">
        <v>0.99661573060171149</v>
      </c>
      <c r="T375" s="85"/>
    </row>
    <row r="376" spans="2:26" ht="14.6">
      <c r="B376" s="85"/>
      <c r="C376" s="85"/>
      <c r="D376" s="85"/>
      <c r="E376" s="85"/>
      <c r="F376" s="85"/>
      <c r="G376" s="85"/>
      <c r="H376" s="85"/>
      <c r="I376" s="85"/>
      <c r="J376" s="85"/>
      <c r="K376" s="85"/>
      <c r="L376" s="85"/>
      <c r="M376" s="85"/>
      <c r="N376" s="85"/>
      <c r="O376" s="85"/>
      <c r="P376" s="85"/>
      <c r="Q376" s="85"/>
      <c r="R376" s="289" t="s">
        <v>299</v>
      </c>
      <c r="S376" s="288">
        <v>0.99324291448278312</v>
      </c>
      <c r="T376" s="85"/>
    </row>
    <row r="377" spans="2:26" ht="14.6">
      <c r="B377" s="85"/>
      <c r="C377" s="85"/>
      <c r="D377" s="85"/>
      <c r="E377" s="85"/>
      <c r="F377" s="85"/>
      <c r="G377" s="85"/>
      <c r="H377" s="85"/>
      <c r="I377" s="85"/>
      <c r="J377" s="85"/>
      <c r="K377" s="85"/>
      <c r="L377" s="85"/>
      <c r="M377" s="85"/>
      <c r="N377" s="85"/>
      <c r="O377" s="85"/>
      <c r="P377" s="85"/>
      <c r="Q377" s="85"/>
      <c r="R377" s="289" t="s">
        <v>300</v>
      </c>
      <c r="S377" s="288">
        <v>0.99131231862072111</v>
      </c>
      <c r="T377" s="85"/>
    </row>
    <row r="378" spans="2:26" ht="14.6">
      <c r="B378" s="85"/>
      <c r="C378" s="85"/>
      <c r="D378" s="85"/>
      <c r="E378" s="85"/>
      <c r="F378" s="85"/>
      <c r="G378" s="85"/>
      <c r="H378" s="85"/>
      <c r="I378" s="85"/>
      <c r="J378" s="85"/>
      <c r="K378" s="85"/>
      <c r="L378" s="85"/>
      <c r="M378" s="85"/>
      <c r="N378" s="85"/>
      <c r="O378" s="85"/>
      <c r="P378" s="85"/>
      <c r="Q378" s="85"/>
      <c r="R378" s="289" t="s">
        <v>301</v>
      </c>
      <c r="S378" s="288">
        <v>10.40980484169617</v>
      </c>
      <c r="T378" s="85"/>
    </row>
    <row r="379" spans="2:26" ht="14.6">
      <c r="B379" s="85"/>
      <c r="C379" s="85"/>
      <c r="D379" s="85"/>
      <c r="E379" s="85"/>
      <c r="F379" s="85"/>
      <c r="G379" s="85"/>
      <c r="H379" s="85"/>
      <c r="I379" s="85"/>
      <c r="J379" s="85"/>
      <c r="K379" s="85"/>
      <c r="L379" s="85"/>
      <c r="M379" s="85"/>
      <c r="N379" s="85"/>
      <c r="O379" s="85"/>
      <c r="P379" s="85"/>
      <c r="Q379" s="85"/>
      <c r="R379" s="292" t="s">
        <v>302</v>
      </c>
      <c r="S379" s="293">
        <v>18</v>
      </c>
      <c r="T379" s="85"/>
    </row>
    <row r="380" spans="2:26" ht="14.6">
      <c r="B380" s="85"/>
      <c r="C380" s="85"/>
      <c r="D380" s="85"/>
      <c r="E380" s="85"/>
      <c r="F380" s="85"/>
      <c r="G380" s="85"/>
      <c r="H380" s="85"/>
      <c r="I380" s="85"/>
      <c r="J380" s="85"/>
      <c r="K380" s="85"/>
      <c r="L380" s="85"/>
      <c r="M380" s="85"/>
      <c r="N380" s="85"/>
      <c r="O380" s="85"/>
      <c r="P380" s="85"/>
      <c r="Q380" s="85"/>
      <c r="R380" s="85"/>
      <c r="S380" s="85"/>
      <c r="T380" s="85"/>
    </row>
    <row r="381" spans="2:26" ht="14.6">
      <c r="B381" s="85"/>
      <c r="C381" s="85"/>
      <c r="D381" s="85"/>
      <c r="E381" s="85"/>
      <c r="F381" s="85"/>
      <c r="G381" s="85"/>
      <c r="H381" s="85"/>
      <c r="I381" s="85"/>
      <c r="J381" s="85"/>
      <c r="K381" s="85"/>
      <c r="L381" s="85"/>
      <c r="M381" s="85"/>
      <c r="N381" s="85"/>
      <c r="O381" s="85"/>
      <c r="P381" s="85"/>
      <c r="Q381" s="85"/>
      <c r="R381" s="289" t="s">
        <v>303</v>
      </c>
      <c r="S381" s="85"/>
      <c r="T381" s="85"/>
    </row>
    <row r="382" spans="2:26" ht="14.6">
      <c r="B382" s="85"/>
      <c r="C382" s="85"/>
      <c r="D382" s="85"/>
      <c r="E382" s="85"/>
      <c r="F382" s="85"/>
      <c r="G382" s="85"/>
      <c r="H382" s="85"/>
      <c r="I382" s="85"/>
      <c r="J382" s="85"/>
      <c r="K382" s="85"/>
      <c r="L382" s="288"/>
      <c r="M382" s="288"/>
      <c r="N382" s="85"/>
      <c r="O382" s="85"/>
      <c r="P382" s="85"/>
      <c r="Q382" s="85"/>
      <c r="R382" s="291"/>
      <c r="S382" s="290" t="s">
        <v>304</v>
      </c>
      <c r="T382" s="290" t="s">
        <v>305</v>
      </c>
      <c r="U382" s="155" t="s">
        <v>306</v>
      </c>
      <c r="V382" s="155" t="s">
        <v>307</v>
      </c>
      <c r="W382" s="155" t="s">
        <v>308</v>
      </c>
    </row>
    <row r="383" spans="2:26" ht="14.6">
      <c r="B383" s="85"/>
      <c r="C383" s="85"/>
      <c r="D383" s="85"/>
      <c r="E383" s="85"/>
      <c r="F383" s="85"/>
      <c r="G383" s="85"/>
      <c r="H383" s="85"/>
      <c r="I383" s="85"/>
      <c r="J383" s="85"/>
      <c r="K383" s="85"/>
      <c r="L383" s="85"/>
      <c r="M383" s="85"/>
      <c r="N383" s="85"/>
      <c r="O383" s="85"/>
      <c r="P383" s="85"/>
      <c r="Q383" s="85"/>
      <c r="R383" s="289" t="s">
        <v>309</v>
      </c>
      <c r="S383" s="288">
        <v>4</v>
      </c>
      <c r="T383" s="288">
        <v>223002.26348420916</v>
      </c>
      <c r="U383" s="158">
        <v>55750.565871052291</v>
      </c>
      <c r="V383" s="158">
        <v>514.47479713436564</v>
      </c>
      <c r="W383" s="158">
        <v>5.1070259132757201E-15</v>
      </c>
    </row>
    <row r="384" spans="2:26" ht="14.6">
      <c r="R384" s="80" t="s">
        <v>310</v>
      </c>
      <c r="S384" s="158">
        <v>14</v>
      </c>
      <c r="T384" s="158">
        <v>1517.0965157908142</v>
      </c>
      <c r="U384" s="158">
        <v>108.36403684220102</v>
      </c>
    </row>
    <row r="385" spans="18:26" ht="14.6">
      <c r="R385" s="159" t="s">
        <v>311</v>
      </c>
      <c r="S385" s="160">
        <v>18</v>
      </c>
      <c r="T385" s="160">
        <v>224519.36</v>
      </c>
      <c r="U385" s="162"/>
      <c r="V385" s="162"/>
      <c r="W385" s="162"/>
    </row>
    <row r="387" spans="18:26" ht="14.6">
      <c r="R387" s="156"/>
      <c r="S387" s="155" t="s">
        <v>312</v>
      </c>
      <c r="T387" s="155" t="s">
        <v>301</v>
      </c>
      <c r="U387" s="155" t="s">
        <v>313</v>
      </c>
      <c r="V387" s="155" t="s">
        <v>314</v>
      </c>
      <c r="W387" s="155" t="s">
        <v>315</v>
      </c>
      <c r="X387" s="155" t="s">
        <v>316</v>
      </c>
      <c r="Y387" s="156"/>
      <c r="Z387" s="156"/>
    </row>
    <row r="388" spans="18:26" ht="14.6">
      <c r="R388" s="80" t="s">
        <v>317</v>
      </c>
      <c r="S388" s="158">
        <v>0</v>
      </c>
      <c r="T388" s="80" t="e">
        <v>#N/A</v>
      </c>
      <c r="U388" s="80" t="e">
        <v>#N/A</v>
      </c>
      <c r="V388" s="80" t="e">
        <v>#N/A</v>
      </c>
      <c r="W388" s="80" t="e">
        <v>#N/A</v>
      </c>
      <c r="X388" s="80" t="e">
        <v>#N/A</v>
      </c>
    </row>
    <row r="389" spans="18:26" ht="14.6">
      <c r="R389" s="80" t="s">
        <v>564</v>
      </c>
      <c r="S389" s="158">
        <v>55.190090878034198</v>
      </c>
      <c r="T389" s="158">
        <v>9.8740610435865825</v>
      </c>
      <c r="U389" s="158">
        <v>5.589401426060796</v>
      </c>
      <c r="V389" s="158">
        <v>6.6708057530239279E-5</v>
      </c>
      <c r="W389" s="158">
        <v>34.01233626121639</v>
      </c>
      <c r="X389" s="158">
        <v>76.367845494852006</v>
      </c>
    </row>
    <row r="390" spans="18:26" ht="14.6">
      <c r="R390" s="80" t="s">
        <v>517</v>
      </c>
      <c r="S390" s="158">
        <v>2.1189485441323299</v>
      </c>
      <c r="T390" s="158">
        <v>0.18545967579867662</v>
      </c>
      <c r="U390" s="158">
        <v>11.425386866482651</v>
      </c>
      <c r="V390" s="158">
        <v>1.7513420009614645E-8</v>
      </c>
      <c r="W390" s="158">
        <v>1.7211771015575412</v>
      </c>
      <c r="X390" s="158">
        <v>2.5167199867071188</v>
      </c>
    </row>
    <row r="391" spans="18:26" ht="14.6">
      <c r="R391" s="80" t="s">
        <v>566</v>
      </c>
      <c r="S391" s="158">
        <v>-13.662472339098571</v>
      </c>
      <c r="T391" s="158">
        <v>3.1018489732203922</v>
      </c>
      <c r="U391" s="158">
        <v>-4.4046220357769261</v>
      </c>
      <c r="V391" s="158">
        <v>5.9945855334274628E-4</v>
      </c>
      <c r="W391" s="158">
        <v>-20.315276704325477</v>
      </c>
      <c r="X391" s="158">
        <v>-7.0096679738716654</v>
      </c>
    </row>
    <row r="392" spans="18:26" ht="14.6">
      <c r="R392" s="159" t="s">
        <v>295</v>
      </c>
      <c r="S392" s="160">
        <v>-6.0430336696036875</v>
      </c>
      <c r="T392" s="160">
        <v>1.4729400238449102</v>
      </c>
      <c r="U392" s="160">
        <v>-4.1027017881075478</v>
      </c>
      <c r="V392" s="160">
        <v>1.0764381452583595E-3</v>
      </c>
      <c r="W392" s="160">
        <v>-9.2021758151283173</v>
      </c>
      <c r="X392" s="160">
        <v>-2.8838915240790572</v>
      </c>
      <c r="Y392" s="162"/>
      <c r="Z392" s="162"/>
    </row>
    <row r="394" spans="18:26" ht="14.6">
      <c r="R394" s="80" t="s">
        <v>296</v>
      </c>
    </row>
    <row r="396" spans="18:26" ht="14.6">
      <c r="R396" s="155" t="s">
        <v>297</v>
      </c>
      <c r="S396" s="156"/>
    </row>
    <row r="397" spans="18:26" ht="14.6">
      <c r="R397" s="80" t="s">
        <v>298</v>
      </c>
      <c r="S397" s="158">
        <v>0.95844717370540233</v>
      </c>
    </row>
    <row r="398" spans="18:26" ht="14.6">
      <c r="R398" s="80" t="s">
        <v>299</v>
      </c>
      <c r="S398" s="158">
        <v>0.91862098478387377</v>
      </c>
    </row>
    <row r="399" spans="18:26" ht="14.6">
      <c r="R399" s="80" t="s">
        <v>300</v>
      </c>
      <c r="S399" s="158">
        <v>0.90777044942172358</v>
      </c>
    </row>
    <row r="400" spans="18:26" ht="14.6">
      <c r="R400" s="80" t="s">
        <v>301</v>
      </c>
      <c r="S400" s="158">
        <v>15.315768242577926</v>
      </c>
    </row>
    <row r="401" spans="18:26" ht="14.6">
      <c r="R401" s="159" t="s">
        <v>302</v>
      </c>
      <c r="S401" s="160">
        <v>18</v>
      </c>
    </row>
    <row r="403" spans="18:26" ht="14.6">
      <c r="R403" s="80" t="s">
        <v>303</v>
      </c>
    </row>
    <row r="404" spans="18:26" ht="14.6">
      <c r="R404" s="156"/>
      <c r="S404" s="155" t="s">
        <v>304</v>
      </c>
      <c r="T404" s="155" t="s">
        <v>305</v>
      </c>
      <c r="U404" s="155" t="s">
        <v>306</v>
      </c>
      <c r="V404" s="155" t="s">
        <v>307</v>
      </c>
      <c r="W404" s="155" t="s">
        <v>308</v>
      </c>
    </row>
    <row r="405" spans="18:26" ht="14.6">
      <c r="R405" s="80" t="s">
        <v>309</v>
      </c>
      <c r="S405" s="158">
        <v>2</v>
      </c>
      <c r="T405" s="158">
        <v>39718.493091539058</v>
      </c>
      <c r="U405" s="158">
        <v>19859.246545769529</v>
      </c>
      <c r="V405" s="158">
        <v>84.661351179803731</v>
      </c>
      <c r="W405" s="158">
        <v>6.7428457262153074E-9</v>
      </c>
    </row>
    <row r="406" spans="18:26" ht="14.6">
      <c r="R406" s="80" t="s">
        <v>310</v>
      </c>
      <c r="S406" s="158">
        <v>15</v>
      </c>
      <c r="T406" s="158">
        <v>3518.5913529053782</v>
      </c>
      <c r="U406" s="158">
        <v>234.57275686035854</v>
      </c>
    </row>
    <row r="407" spans="18:26" ht="14.6">
      <c r="R407" s="159" t="s">
        <v>311</v>
      </c>
      <c r="S407" s="160">
        <v>17</v>
      </c>
      <c r="T407" s="160">
        <v>43237.084444444437</v>
      </c>
      <c r="U407" s="162"/>
      <c r="V407" s="162"/>
      <c r="W407" s="162"/>
    </row>
    <row r="409" spans="18:26" ht="14.6">
      <c r="R409" s="156"/>
      <c r="S409" s="155" t="s">
        <v>312</v>
      </c>
      <c r="T409" s="155" t="s">
        <v>301</v>
      </c>
      <c r="U409" s="155" t="s">
        <v>313</v>
      </c>
      <c r="V409" s="155" t="s">
        <v>314</v>
      </c>
      <c r="W409" s="155" t="s">
        <v>315</v>
      </c>
      <c r="X409" s="155" t="s">
        <v>316</v>
      </c>
      <c r="Y409" s="156"/>
      <c r="Z409" s="156"/>
    </row>
    <row r="410" spans="18:26" ht="14.6">
      <c r="R410" s="80" t="s">
        <v>317</v>
      </c>
      <c r="S410" s="158">
        <v>-11.873144163252391</v>
      </c>
      <c r="T410" s="158">
        <v>9.6477822383849805</v>
      </c>
      <c r="U410" s="158">
        <v>-1.2306604637088008</v>
      </c>
      <c r="V410" s="158">
        <v>0.23739980840238512</v>
      </c>
      <c r="W410" s="158">
        <v>-32.436905135911005</v>
      </c>
      <c r="X410" s="158">
        <v>8.6906168094062224</v>
      </c>
    </row>
    <row r="411" spans="18:26" ht="14.6">
      <c r="R411" s="80" t="s">
        <v>564</v>
      </c>
      <c r="S411" s="158">
        <v>13.596477996054709</v>
      </c>
      <c r="T411" s="158">
        <v>2.1504289815347293</v>
      </c>
      <c r="U411" s="158">
        <v>6.3226817127209216</v>
      </c>
      <c r="V411" s="158">
        <v>1.3679069129483492E-5</v>
      </c>
      <c r="W411" s="158">
        <v>9.0129471417803302</v>
      </c>
      <c r="X411" s="158">
        <v>18.180008850329088</v>
      </c>
    </row>
    <row r="412" spans="18:26" ht="14.6">
      <c r="R412" s="159" t="s">
        <v>517</v>
      </c>
      <c r="S412" s="160">
        <v>1.4484773491866285</v>
      </c>
      <c r="T412" s="160">
        <v>0.14257462723476055</v>
      </c>
      <c r="U412" s="160">
        <v>10.15943283373692</v>
      </c>
      <c r="V412" s="160">
        <v>4.0564544371806455E-8</v>
      </c>
      <c r="W412" s="160">
        <v>1.1445867261627503</v>
      </c>
      <c r="X412" s="160">
        <v>1.7523679722105068</v>
      </c>
      <c r="Y412" s="162"/>
      <c r="Z412" s="162"/>
    </row>
    <row r="414" spans="18:26" ht="14.6">
      <c r="R414" s="80" t="s">
        <v>296</v>
      </c>
    </row>
    <row r="416" spans="18:26" ht="14.6">
      <c r="R416" s="155" t="s">
        <v>297</v>
      </c>
      <c r="S416" s="156"/>
    </row>
    <row r="417" spans="18:26" ht="14.6">
      <c r="R417" s="80" t="s">
        <v>298</v>
      </c>
      <c r="S417" s="158">
        <v>0.99133546141226436</v>
      </c>
    </row>
    <row r="418" spans="18:26" ht="14.6">
      <c r="R418" s="80" t="s">
        <v>299</v>
      </c>
      <c r="S418" s="158">
        <v>0.9827459970534671</v>
      </c>
    </row>
    <row r="419" spans="18:26" ht="14.6">
      <c r="R419" s="80" t="s">
        <v>300</v>
      </c>
      <c r="S419" s="158">
        <v>0.98058924668515057</v>
      </c>
    </row>
    <row r="420" spans="18:26" ht="14.6">
      <c r="R420" s="80" t="s">
        <v>301</v>
      </c>
      <c r="S420" s="158">
        <v>15.560080532796238</v>
      </c>
    </row>
    <row r="421" spans="18:26" ht="14.6">
      <c r="R421" s="159" t="s">
        <v>302</v>
      </c>
      <c r="S421" s="160">
        <v>18</v>
      </c>
    </row>
    <row r="423" spans="18:26" ht="14.6">
      <c r="R423" s="80" t="s">
        <v>303</v>
      </c>
    </row>
    <row r="424" spans="18:26" ht="14.6">
      <c r="R424" s="156"/>
      <c r="S424" s="155" t="s">
        <v>304</v>
      </c>
      <c r="T424" s="155" t="s">
        <v>305</v>
      </c>
      <c r="U424" s="155" t="s">
        <v>306</v>
      </c>
      <c r="V424" s="155" t="s">
        <v>307</v>
      </c>
      <c r="W424" s="155" t="s">
        <v>308</v>
      </c>
    </row>
    <row r="425" spans="18:26" ht="14.6">
      <c r="R425" s="80" t="s">
        <v>309</v>
      </c>
      <c r="S425" s="158">
        <v>2</v>
      </c>
      <c r="T425" s="158">
        <v>220645.50230100632</v>
      </c>
      <c r="U425" s="158">
        <v>110322.75115050316</v>
      </c>
      <c r="V425" s="158">
        <v>455.66052125936238</v>
      </c>
      <c r="W425" s="158">
        <v>7.8825834748386114E-15</v>
      </c>
    </row>
    <row r="426" spans="18:26" ht="14.6">
      <c r="R426" s="80" t="s">
        <v>310</v>
      </c>
      <c r="S426" s="158">
        <v>16</v>
      </c>
      <c r="T426" s="158">
        <v>3873.8576989936714</v>
      </c>
      <c r="U426" s="158">
        <v>242.11610618710446</v>
      </c>
    </row>
    <row r="427" spans="18:26" ht="14.6">
      <c r="R427" s="159" t="s">
        <v>311</v>
      </c>
      <c r="S427" s="160">
        <v>18</v>
      </c>
      <c r="T427" s="160">
        <v>224519.36</v>
      </c>
      <c r="U427" s="162"/>
      <c r="V427" s="162"/>
      <c r="W427" s="162"/>
    </row>
    <row r="429" spans="18:26" ht="14.6">
      <c r="R429" s="156"/>
      <c r="S429" s="155" t="s">
        <v>312</v>
      </c>
      <c r="T429" s="155" t="s">
        <v>301</v>
      </c>
      <c r="U429" s="155" t="s">
        <v>313</v>
      </c>
      <c r="V429" s="155" t="s">
        <v>314</v>
      </c>
      <c r="W429" s="155" t="s">
        <v>315</v>
      </c>
      <c r="X429" s="155" t="s">
        <v>316</v>
      </c>
      <c r="Y429" s="156"/>
      <c r="Z429" s="156"/>
    </row>
    <row r="430" spans="18:26" ht="14.6">
      <c r="R430" s="80" t="s">
        <v>317</v>
      </c>
      <c r="S430" s="158">
        <v>0</v>
      </c>
      <c r="T430" s="80" t="e">
        <v>#N/A</v>
      </c>
      <c r="U430" s="80" t="e">
        <v>#N/A</v>
      </c>
      <c r="V430" s="80" t="e">
        <v>#N/A</v>
      </c>
      <c r="W430" s="80" t="e">
        <v>#N/A</v>
      </c>
      <c r="X430" s="80" t="e">
        <v>#N/A</v>
      </c>
    </row>
    <row r="431" spans="18:26" ht="14.6">
      <c r="R431" s="80" t="s">
        <v>564</v>
      </c>
      <c r="S431" s="158">
        <v>13.017394495992768</v>
      </c>
      <c r="T431" s="158">
        <v>2.1317877596820685</v>
      </c>
      <c r="U431" s="158">
        <v>6.1063276289447135</v>
      </c>
      <c r="V431" s="158">
        <v>1.5161728923838907E-5</v>
      </c>
      <c r="W431" s="158">
        <v>8.4982063573220383</v>
      </c>
      <c r="X431" s="158">
        <v>17.536582634663496</v>
      </c>
    </row>
    <row r="432" spans="18:26" ht="14.6">
      <c r="R432" s="159" t="s">
        <v>517</v>
      </c>
      <c r="S432" s="160">
        <v>1.2989732809500631</v>
      </c>
      <c r="T432" s="160">
        <v>7.5819241172640495E-2</v>
      </c>
      <c r="U432" s="160">
        <v>17.132501735176952</v>
      </c>
      <c r="V432" s="160">
        <v>1.0250339638788786E-11</v>
      </c>
      <c r="W432" s="160">
        <v>1.1382436708684698</v>
      </c>
      <c r="X432" s="160">
        <v>1.4597028910316565</v>
      </c>
      <c r="Y432" s="162"/>
      <c r="Z432" s="162"/>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H79"/>
  <sheetViews>
    <sheetView workbookViewId="0"/>
  </sheetViews>
  <sheetFormatPr defaultColWidth="14.4609375" defaultRowHeight="15" customHeight="1"/>
  <cols>
    <col min="1" max="1" width="51.4609375" customWidth="1"/>
    <col min="2" max="60" width="8.84375" customWidth="1"/>
  </cols>
  <sheetData>
    <row r="1" spans="1:60" ht="14.6">
      <c r="A1" s="294"/>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c r="BA1" s="42"/>
      <c r="BB1" s="42"/>
      <c r="BC1" s="42"/>
      <c r="BD1" s="42"/>
      <c r="BE1" s="42"/>
      <c r="BF1" s="42"/>
      <c r="BG1" s="42"/>
      <c r="BH1" s="42"/>
    </row>
    <row r="2" spans="1:60" ht="14.6">
      <c r="A2" s="295"/>
      <c r="B2" s="296"/>
      <c r="C2" s="248">
        <f t="shared" ref="C2:R2" si="0">B3+B4-B5+B6</f>
        <v>0.76693099999999992</v>
      </c>
      <c r="D2" s="248">
        <f t="shared" si="0"/>
        <v>0.82357399999999992</v>
      </c>
      <c r="E2" s="248">
        <f t="shared" si="0"/>
        <v>0.83844200000000002</v>
      </c>
      <c r="F2" s="248">
        <f t="shared" si="0"/>
        <v>0.77501299999999995</v>
      </c>
      <c r="G2" s="248">
        <f t="shared" si="0"/>
        <v>0.80299399999999999</v>
      </c>
      <c r="H2" s="248">
        <f t="shared" si="0"/>
        <v>0.82175100000000001</v>
      </c>
      <c r="I2" s="248">
        <f t="shared" si="0"/>
        <v>0.85719400000000001</v>
      </c>
      <c r="J2" s="248">
        <f t="shared" si="0"/>
        <v>0.96229799999999999</v>
      </c>
      <c r="K2" s="248">
        <f t="shared" si="0"/>
        <v>1.0380200000000002</v>
      </c>
      <c r="L2" s="248">
        <f t="shared" si="0"/>
        <v>1.1419519999999999</v>
      </c>
      <c r="M2" s="248">
        <f t="shared" si="0"/>
        <v>1.1271740000000001</v>
      </c>
      <c r="N2" s="248">
        <f t="shared" si="0"/>
        <v>1.272691</v>
      </c>
      <c r="O2" s="248">
        <f t="shared" si="0"/>
        <v>1.926722</v>
      </c>
      <c r="P2" s="248">
        <f t="shared" si="0"/>
        <v>2.2592529999999997</v>
      </c>
      <c r="Q2" s="248">
        <f t="shared" si="0"/>
        <v>2.7568619999999995</v>
      </c>
      <c r="R2" s="248">
        <f t="shared" si="0"/>
        <v>3.224666</v>
      </c>
      <c r="S2" s="297" t="s">
        <v>584</v>
      </c>
      <c r="T2" s="294"/>
      <c r="U2" s="294"/>
      <c r="V2" s="294"/>
      <c r="W2" s="294"/>
      <c r="X2" s="294"/>
      <c r="Y2" s="294"/>
      <c r="Z2" s="294"/>
      <c r="AA2" s="294"/>
      <c r="AB2" s="294"/>
      <c r="AC2" s="294"/>
      <c r="AD2" s="294"/>
      <c r="AE2" s="294"/>
      <c r="AF2" s="294"/>
      <c r="AG2" s="294"/>
      <c r="AH2" s="294"/>
      <c r="AI2" s="294"/>
      <c r="AJ2" s="294"/>
      <c r="AK2" s="294"/>
      <c r="AL2" s="294"/>
      <c r="AM2" s="294"/>
      <c r="AN2" s="294"/>
      <c r="AO2" s="294"/>
      <c r="AP2" s="294"/>
      <c r="AQ2" s="294"/>
      <c r="AR2" s="294"/>
      <c r="AS2" s="294"/>
      <c r="AT2" s="294"/>
      <c r="AU2" s="294"/>
      <c r="AV2" s="294"/>
      <c r="AW2" s="294"/>
      <c r="AX2" s="294"/>
      <c r="AY2" s="294"/>
      <c r="AZ2" s="294"/>
      <c r="BA2" s="294"/>
      <c r="BB2" s="294"/>
      <c r="BC2" s="294"/>
      <c r="BD2" s="294"/>
      <c r="BE2" s="294"/>
      <c r="BF2" s="294"/>
      <c r="BG2" s="294"/>
      <c r="BH2" s="294"/>
    </row>
    <row r="3" spans="1:60" ht="14.6">
      <c r="A3" s="298" t="s">
        <v>585</v>
      </c>
      <c r="B3" s="296">
        <v>0.78194699999999995</v>
      </c>
      <c r="C3" s="296">
        <v>0.77089200000000002</v>
      </c>
      <c r="D3" s="296">
        <v>0.87259900000000001</v>
      </c>
      <c r="E3" s="296">
        <v>0.82530599999999998</v>
      </c>
      <c r="F3" s="296">
        <v>0.68492299999999995</v>
      </c>
      <c r="G3" s="296">
        <v>0.79745500000000002</v>
      </c>
      <c r="H3" s="296">
        <v>0.83444099999999999</v>
      </c>
      <c r="I3" s="296">
        <v>0.85335099999999997</v>
      </c>
      <c r="J3" s="296">
        <v>0.96014600000000005</v>
      </c>
      <c r="K3" s="296">
        <v>1.0380579999999999</v>
      </c>
      <c r="L3" s="296">
        <v>1.1396459999999999</v>
      </c>
      <c r="M3" s="296">
        <v>1.151108</v>
      </c>
      <c r="N3" s="296">
        <v>1.380293</v>
      </c>
      <c r="O3" s="296">
        <v>1.9262459999999999</v>
      </c>
      <c r="P3" s="296">
        <v>2.2440479999999998</v>
      </c>
      <c r="Q3" s="296">
        <v>2.5830630000000001</v>
      </c>
      <c r="R3" s="296">
        <v>3.2968820000000001</v>
      </c>
      <c r="T3" s="294"/>
      <c r="U3" s="294"/>
      <c r="V3" s="294"/>
      <c r="W3" s="294"/>
      <c r="X3" s="294"/>
      <c r="Y3" s="294"/>
      <c r="Z3" s="294"/>
      <c r="AA3" s="294"/>
      <c r="AB3" s="294"/>
      <c r="AC3" s="294"/>
      <c r="AD3" s="294"/>
      <c r="AE3" s="294"/>
      <c r="AF3" s="294"/>
      <c r="AG3" s="294"/>
      <c r="AH3" s="294"/>
      <c r="AI3" s="294"/>
      <c r="AJ3" s="294"/>
      <c r="AK3" s="294"/>
      <c r="AL3" s="294"/>
      <c r="AM3" s="294"/>
      <c r="AN3" s="294"/>
      <c r="AO3" s="294"/>
      <c r="AP3" s="294"/>
      <c r="AQ3" s="294"/>
      <c r="AR3" s="294"/>
      <c r="AS3" s="294"/>
      <c r="AT3" s="294"/>
      <c r="AU3" s="294"/>
      <c r="AV3" s="294"/>
      <c r="AW3" s="294"/>
      <c r="AX3" s="294"/>
      <c r="AY3" s="294"/>
      <c r="AZ3" s="294"/>
      <c r="BA3" s="294"/>
      <c r="BB3" s="294"/>
      <c r="BC3" s="294"/>
      <c r="BD3" s="294"/>
      <c r="BE3" s="294"/>
      <c r="BF3" s="294"/>
      <c r="BG3" s="294"/>
      <c r="BH3" s="294"/>
    </row>
    <row r="4" spans="1:60" ht="14.6">
      <c r="A4" s="298" t="s">
        <v>586</v>
      </c>
      <c r="B4" s="296">
        <v>2.8816000000000001E-2</v>
      </c>
      <c r="C4" s="296">
        <v>8.7579000000000004E-2</v>
      </c>
      <c r="D4" s="296">
        <v>5.6818E-2</v>
      </c>
      <c r="E4" s="296">
        <v>2.4538999999999998E-2</v>
      </c>
      <c r="F4" s="296">
        <v>0.19838800000000001</v>
      </c>
      <c r="G4" s="296">
        <v>4.1420999999999999E-2</v>
      </c>
      <c r="H4" s="296">
        <v>4.2916000000000003E-2</v>
      </c>
      <c r="I4" s="296">
        <v>0.110514</v>
      </c>
      <c r="J4" s="296">
        <v>0.10491499999999999</v>
      </c>
      <c r="K4" s="296">
        <v>0.11064400000000001</v>
      </c>
      <c r="L4" s="296">
        <v>0.11376</v>
      </c>
      <c r="M4" s="296">
        <v>0.109114</v>
      </c>
      <c r="N4" s="296">
        <v>0.42048400000000002</v>
      </c>
      <c r="O4" s="296">
        <v>0.49969400000000003</v>
      </c>
      <c r="P4" s="296">
        <v>0.47733399999999998</v>
      </c>
      <c r="Q4" s="296">
        <v>0.82450599999999996</v>
      </c>
      <c r="R4" s="296">
        <v>0.55727899999999997</v>
      </c>
      <c r="S4" s="294"/>
      <c r="T4" s="294"/>
      <c r="U4" s="294"/>
      <c r="V4" s="294"/>
      <c r="W4" s="294"/>
      <c r="X4" s="294"/>
      <c r="Y4" s="294"/>
      <c r="Z4" s="294"/>
      <c r="AA4" s="294"/>
      <c r="AB4" s="294"/>
      <c r="AC4" s="294"/>
      <c r="AD4" s="294"/>
      <c r="AE4" s="294"/>
      <c r="AF4" s="294"/>
      <c r="AG4" s="294"/>
      <c r="AH4" s="294"/>
      <c r="AI4" s="294"/>
      <c r="AJ4" s="294"/>
      <c r="AK4" s="294"/>
      <c r="AL4" s="294"/>
      <c r="AM4" s="294"/>
      <c r="AN4" s="294"/>
      <c r="AO4" s="294"/>
      <c r="AP4" s="294"/>
      <c r="AQ4" s="294"/>
      <c r="AR4" s="294"/>
      <c r="AS4" s="294"/>
      <c r="AT4" s="294"/>
      <c r="AU4" s="294"/>
      <c r="AV4" s="294"/>
      <c r="AW4" s="294"/>
      <c r="AX4" s="294"/>
      <c r="AY4" s="294"/>
      <c r="AZ4" s="294"/>
      <c r="BA4" s="294"/>
      <c r="BB4" s="294"/>
      <c r="BC4" s="294"/>
      <c r="BD4" s="294"/>
      <c r="BE4" s="294"/>
      <c r="BF4" s="294"/>
      <c r="BG4" s="294"/>
      <c r="BH4" s="294"/>
    </row>
    <row r="5" spans="1:60" ht="14.6">
      <c r="A5" s="298" t="s">
        <v>587</v>
      </c>
      <c r="B5" s="296">
        <v>3.8592000000000001E-2</v>
      </c>
      <c r="C5" s="296">
        <v>3.8571000000000001E-2</v>
      </c>
      <c r="D5" s="296">
        <v>5.7064999999999998E-2</v>
      </c>
      <c r="E5" s="296">
        <v>7.1831999999999993E-2</v>
      </c>
      <c r="F5" s="296">
        <v>3.9987000000000002E-2</v>
      </c>
      <c r="G5" s="296">
        <v>1.6865000000000002E-2</v>
      </c>
      <c r="H5" s="296">
        <v>2.1786E-2</v>
      </c>
      <c r="I5" s="296">
        <v>5.5849999999999997E-2</v>
      </c>
      <c r="J5" s="296">
        <v>2.7151000000000002E-2</v>
      </c>
      <c r="K5" s="296">
        <v>9.5879999999999993E-3</v>
      </c>
      <c r="L5" s="296">
        <v>0.12687899999999999</v>
      </c>
      <c r="M5" s="296">
        <v>2.3699000000000001E-2</v>
      </c>
      <c r="N5" s="296">
        <v>7.7939999999999997E-3</v>
      </c>
      <c r="O5" s="296">
        <v>1.8076999999999999E-2</v>
      </c>
      <c r="P5" s="296">
        <v>6.8060000000000004E-3</v>
      </c>
      <c r="Q5" s="296">
        <v>0.15177299999999999</v>
      </c>
      <c r="R5" s="296">
        <v>5.0451000000000003E-2</v>
      </c>
      <c r="S5" s="294"/>
      <c r="T5" s="294"/>
      <c r="U5" s="294"/>
      <c r="V5" s="294"/>
      <c r="W5" s="294"/>
      <c r="X5" s="294"/>
      <c r="Y5" s="299" t="s">
        <v>588</v>
      </c>
      <c r="Z5" s="294"/>
      <c r="AA5" s="294"/>
      <c r="AB5" s="294"/>
      <c r="AC5" s="294"/>
      <c r="AD5" s="294"/>
      <c r="AE5" s="294"/>
      <c r="AF5" s="294"/>
      <c r="AG5" s="294"/>
      <c r="AH5" s="294"/>
      <c r="AI5" s="294"/>
      <c r="AJ5" s="294"/>
      <c r="AK5" s="294"/>
      <c r="AL5" s="294"/>
      <c r="AM5" s="294"/>
      <c r="AN5" s="294"/>
      <c r="AO5" s="294"/>
      <c r="AP5" s="294"/>
      <c r="AQ5" s="294"/>
      <c r="AR5" s="294"/>
      <c r="AS5" s="294"/>
      <c r="AT5" s="294"/>
      <c r="AU5" s="294"/>
      <c r="AV5" s="294"/>
      <c r="AW5" s="294"/>
      <c r="AX5" s="294"/>
      <c r="AY5" s="294"/>
      <c r="AZ5" s="294"/>
      <c r="BA5" s="294"/>
      <c r="BB5" s="294"/>
      <c r="BC5" s="294"/>
      <c r="BD5" s="294"/>
      <c r="BE5" s="294"/>
      <c r="BF5" s="294"/>
      <c r="BG5" s="294"/>
      <c r="BH5" s="294"/>
    </row>
    <row r="6" spans="1:60" ht="14.6">
      <c r="A6" s="298" t="s">
        <v>589</v>
      </c>
      <c r="B6" s="296">
        <v>-5.2399999999999999E-3</v>
      </c>
      <c r="C6" s="296">
        <v>3.6740000000000002E-3</v>
      </c>
      <c r="D6" s="296">
        <v>-3.3910000000000003E-2</v>
      </c>
      <c r="E6" s="296">
        <v>-3.0000000000000001E-3</v>
      </c>
      <c r="F6" s="296">
        <v>-4.0329999999999998E-2</v>
      </c>
      <c r="G6" s="296">
        <v>-2.5999999999999998E-4</v>
      </c>
      <c r="H6" s="296">
        <v>1.6230000000000001E-3</v>
      </c>
      <c r="I6" s="296">
        <v>5.4282999999999998E-2</v>
      </c>
      <c r="J6" s="296">
        <v>1.1E-4</v>
      </c>
      <c r="K6" s="296">
        <v>2.8379999999999998E-3</v>
      </c>
      <c r="L6" s="296">
        <v>6.4700000000000001E-4</v>
      </c>
      <c r="M6" s="296">
        <v>3.6167999999999999E-2</v>
      </c>
      <c r="N6" s="296">
        <v>0.133739</v>
      </c>
      <c r="O6" s="296">
        <v>-0.14860999999999999</v>
      </c>
      <c r="P6" s="296">
        <v>4.2285999999999997E-2</v>
      </c>
      <c r="Q6" s="296">
        <v>-3.1130000000000001E-2</v>
      </c>
      <c r="R6" s="296">
        <v>9.7420000000000007E-3</v>
      </c>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row>
    <row r="7" spans="1:60" ht="14.6">
      <c r="A7" s="300" t="s">
        <v>590</v>
      </c>
      <c r="B7" s="144">
        <v>0.17486538400000001</v>
      </c>
      <c r="C7" s="144">
        <v>0.18771660900000001</v>
      </c>
      <c r="D7" s="144">
        <v>0.17360095</v>
      </c>
      <c r="E7" s="144">
        <v>0.15570503599999999</v>
      </c>
      <c r="F7" s="144">
        <v>0.11892475600000001</v>
      </c>
      <c r="G7" s="144">
        <v>0.117861408</v>
      </c>
      <c r="H7" s="144">
        <v>0.11572948800000001</v>
      </c>
      <c r="I7" s="144">
        <v>0.13967283599999999</v>
      </c>
      <c r="J7" s="144">
        <v>0.14817113800000001</v>
      </c>
      <c r="K7" s="144">
        <v>0.18416274699999999</v>
      </c>
      <c r="L7" s="144">
        <v>0.18565095000000001</v>
      </c>
      <c r="M7" s="144">
        <v>0.22657497300000001</v>
      </c>
      <c r="N7" s="144">
        <v>0.33054128500000002</v>
      </c>
      <c r="O7" s="144">
        <v>0.388394352</v>
      </c>
      <c r="P7" s="144">
        <v>0.49040798800000002</v>
      </c>
      <c r="Q7" s="144">
        <v>0.48027144700000002</v>
      </c>
      <c r="R7" s="144">
        <v>0.54266575699999997</v>
      </c>
    </row>
    <row r="8" spans="1:60" ht="14.6">
      <c r="A8" s="300" t="s">
        <v>591</v>
      </c>
      <c r="B8" s="144">
        <v>5.1797839999999998E-3</v>
      </c>
      <c r="C8" s="144">
        <v>5.2272157999999999E-2</v>
      </c>
      <c r="D8" s="144">
        <v>1.3496766E-2</v>
      </c>
      <c r="E8" s="144">
        <v>5.6672142000000002E-2</v>
      </c>
      <c r="F8" s="144">
        <v>1.1771668000000001E-2</v>
      </c>
      <c r="G8" s="144">
        <v>0.69345371700000003</v>
      </c>
      <c r="H8" s="144">
        <v>1.1003298999999999E-2</v>
      </c>
      <c r="I8" s="144">
        <v>4.8964699999999996E-4</v>
      </c>
      <c r="J8" s="144">
        <v>1.2650949999999999E-3</v>
      </c>
      <c r="K8" s="144">
        <v>9.5693819999999995E-3</v>
      </c>
      <c r="L8" s="144">
        <v>3.5347482E-2</v>
      </c>
      <c r="M8" s="144">
        <v>8.0987300000000002E-4</v>
      </c>
      <c r="N8" s="144">
        <v>8.8714700000000002E-4</v>
      </c>
      <c r="O8" s="144">
        <v>6.8258140000000004E-3</v>
      </c>
      <c r="P8" s="144">
        <v>2.0850859999999999E-3</v>
      </c>
      <c r="Q8" s="144">
        <v>2.3268210000000002E-3</v>
      </c>
      <c r="R8" s="144">
        <v>4.8570519999999997E-3</v>
      </c>
    </row>
    <row r="9" spans="1:60" ht="14.6">
      <c r="A9" s="300" t="s">
        <v>592</v>
      </c>
      <c r="B9" s="144">
        <v>7.8427743999999994E-2</v>
      </c>
      <c r="C9" s="144">
        <v>9.8151912999999993E-2</v>
      </c>
      <c r="D9" s="144">
        <v>8.7350765999999996E-2</v>
      </c>
      <c r="E9" s="144">
        <v>8.4484964999999995E-2</v>
      </c>
      <c r="F9" s="144">
        <v>3.1270324000000002E-2</v>
      </c>
      <c r="G9" s="144">
        <v>3.4692195000000002E-2</v>
      </c>
      <c r="H9" s="144">
        <v>0.44375015600000001</v>
      </c>
      <c r="I9" s="144">
        <v>2.3470747439999999</v>
      </c>
      <c r="J9" s="144">
        <v>7.5262893269999998</v>
      </c>
      <c r="K9" s="144">
        <v>9.1641355999999993E-2</v>
      </c>
      <c r="L9" s="144">
        <v>6.3429054999999998E-2</v>
      </c>
      <c r="M9" s="144">
        <v>8.0415605000000001E-2</v>
      </c>
      <c r="N9" s="144">
        <v>9.0647265000000005E-2</v>
      </c>
      <c r="O9" s="144">
        <v>0.116362548</v>
      </c>
      <c r="P9" s="144">
        <v>0.12134009599999999</v>
      </c>
      <c r="Q9" s="144">
        <v>8.6348015E-2</v>
      </c>
      <c r="R9" s="144">
        <v>9.6358811000000003E-2</v>
      </c>
    </row>
    <row r="10" spans="1:60" ht="14.6">
      <c r="A10" s="300" t="s">
        <v>593</v>
      </c>
      <c r="B10" s="144">
        <v>1.5303070000000001E-3</v>
      </c>
      <c r="C10" s="144">
        <v>0</v>
      </c>
      <c r="D10" s="144">
        <v>0</v>
      </c>
      <c r="E10" s="144">
        <v>0</v>
      </c>
      <c r="F10" s="144">
        <v>0</v>
      </c>
      <c r="G10" s="144">
        <v>0</v>
      </c>
      <c r="H10" s="144">
        <v>0</v>
      </c>
      <c r="I10" s="144">
        <v>0</v>
      </c>
      <c r="J10" s="144">
        <v>0</v>
      </c>
      <c r="K10" s="144">
        <v>0</v>
      </c>
      <c r="L10" s="144">
        <v>0</v>
      </c>
      <c r="M10" s="144">
        <v>0</v>
      </c>
      <c r="N10" s="144">
        <v>0</v>
      </c>
      <c r="O10" s="144">
        <v>0</v>
      </c>
      <c r="P10" s="144">
        <v>0</v>
      </c>
      <c r="Q10" s="144">
        <v>0</v>
      </c>
      <c r="R10" s="144">
        <v>0</v>
      </c>
    </row>
    <row r="11" spans="1:60" ht="14.6">
      <c r="A11" s="300" t="s">
        <v>594</v>
      </c>
      <c r="B11" s="144">
        <v>7.5911079000000006E-2</v>
      </c>
      <c r="C11" s="144">
        <v>8.9139421999999996E-2</v>
      </c>
      <c r="D11" s="144">
        <v>8.4109663000000001E-2</v>
      </c>
      <c r="E11" s="144">
        <v>7.3912033000000002E-2</v>
      </c>
      <c r="F11" s="144">
        <v>4.1929342000000001E-2</v>
      </c>
      <c r="G11" s="144">
        <v>5.0943580000000002E-2</v>
      </c>
      <c r="H11" s="144">
        <v>4.3741888999999999E-2</v>
      </c>
      <c r="I11" s="144">
        <v>7.6229036999999999E-2</v>
      </c>
      <c r="J11" s="144">
        <v>6.7245164999999996E-2</v>
      </c>
      <c r="K11" s="144">
        <v>4.1569179999999997E-2</v>
      </c>
      <c r="L11" s="144">
        <v>6.5388281000000006E-2</v>
      </c>
      <c r="M11" s="144">
        <v>8.3086493999999997E-2</v>
      </c>
      <c r="N11" s="144">
        <v>7.0053351999999999E-2</v>
      </c>
      <c r="O11" s="144">
        <v>0.11650561199999999</v>
      </c>
      <c r="P11" s="144">
        <v>0.102074752</v>
      </c>
      <c r="Q11" s="144">
        <v>0.115037047</v>
      </c>
      <c r="R11" s="144">
        <v>0.66425007999999996</v>
      </c>
    </row>
    <row r="12" spans="1:60" ht="14.6">
      <c r="A12" s="300" t="s">
        <v>595</v>
      </c>
      <c r="B12" s="144">
        <v>5.7847699999999998E-3</v>
      </c>
      <c r="C12" s="144">
        <v>0</v>
      </c>
      <c r="D12" s="144">
        <v>0</v>
      </c>
      <c r="E12" s="144">
        <v>0</v>
      </c>
      <c r="F12" s="144">
        <v>0</v>
      </c>
      <c r="G12" s="144">
        <v>0</v>
      </c>
      <c r="H12" s="144">
        <v>0</v>
      </c>
      <c r="I12" s="144">
        <v>0</v>
      </c>
      <c r="J12" s="144">
        <v>0</v>
      </c>
      <c r="K12" s="144">
        <v>0</v>
      </c>
      <c r="L12" s="144">
        <v>0</v>
      </c>
      <c r="M12" s="144">
        <v>0</v>
      </c>
      <c r="N12" s="144">
        <v>0</v>
      </c>
      <c r="O12" s="144">
        <v>0</v>
      </c>
      <c r="P12" s="144">
        <v>0</v>
      </c>
      <c r="Q12" s="144">
        <v>0</v>
      </c>
      <c r="R12" s="144">
        <v>0</v>
      </c>
    </row>
    <row r="13" spans="1:60" ht="14.6">
      <c r="C13" s="248">
        <f t="shared" ref="C13:R13" si="1">B14+B15-B16+B17</f>
        <v>32.574016726000004</v>
      </c>
      <c r="D13" s="248">
        <f t="shared" si="1"/>
        <v>30.908833753000003</v>
      </c>
      <c r="E13" s="248">
        <f t="shared" si="1"/>
        <v>33.921508899999999</v>
      </c>
      <c r="F13" s="248">
        <f t="shared" si="1"/>
        <v>30.92394741</v>
      </c>
      <c r="G13" s="248">
        <f t="shared" si="1"/>
        <v>32.332317676999999</v>
      </c>
      <c r="H13" s="248">
        <f t="shared" si="1"/>
        <v>33.806705970000003</v>
      </c>
      <c r="I13" s="248">
        <f t="shared" si="1"/>
        <v>37.852953570000004</v>
      </c>
      <c r="J13" s="248">
        <f t="shared" si="1"/>
        <v>37.250642522</v>
      </c>
      <c r="K13" s="248">
        <f t="shared" si="1"/>
        <v>40.895573563000006</v>
      </c>
      <c r="L13" s="248">
        <f t="shared" si="1"/>
        <v>43.629755618000004</v>
      </c>
      <c r="M13" s="248">
        <f t="shared" si="1"/>
        <v>49.404592049000001</v>
      </c>
      <c r="N13" s="248">
        <f t="shared" si="1"/>
        <v>52.539879333000002</v>
      </c>
      <c r="O13" s="248">
        <f t="shared" si="1"/>
        <v>56.896576932999999</v>
      </c>
      <c r="P13" s="248">
        <f t="shared" si="1"/>
        <v>63.581067159</v>
      </c>
      <c r="Q13" s="248">
        <f t="shared" si="1"/>
        <v>82.908661129999999</v>
      </c>
      <c r="R13" s="248">
        <f t="shared" si="1"/>
        <v>94.455497456999993</v>
      </c>
      <c r="S13" s="297" t="s">
        <v>584</v>
      </c>
    </row>
    <row r="14" spans="1:60" ht="14.6">
      <c r="A14" s="300" t="s">
        <v>596</v>
      </c>
      <c r="B14" s="296">
        <v>31.68996508</v>
      </c>
      <c r="C14" s="296">
        <v>29.983178519999999</v>
      </c>
      <c r="D14" s="296">
        <v>33.03055561</v>
      </c>
      <c r="E14" s="296">
        <v>29.57211783</v>
      </c>
      <c r="F14" s="296">
        <v>30.636648539999999</v>
      </c>
      <c r="G14" s="296">
        <v>31.943187479999999</v>
      </c>
      <c r="H14" s="296">
        <v>36.468541760000001</v>
      </c>
      <c r="I14" s="296">
        <v>35.220251650000002</v>
      </c>
      <c r="J14" s="296">
        <v>37.374824629999999</v>
      </c>
      <c r="K14" s="296">
        <v>40.399615369999999</v>
      </c>
      <c r="L14" s="296">
        <v>44.4071365</v>
      </c>
      <c r="M14" s="296">
        <v>49.908145789999999</v>
      </c>
      <c r="N14" s="296">
        <v>54.25113528</v>
      </c>
      <c r="O14" s="296">
        <v>55.764936800000001</v>
      </c>
      <c r="P14" s="296">
        <v>65.335137680000003</v>
      </c>
      <c r="Q14" s="296">
        <v>82.893860989999993</v>
      </c>
      <c r="R14" s="296">
        <v>92.438967779999999</v>
      </c>
    </row>
    <row r="15" spans="1:60" ht="14.6">
      <c r="A15" s="300" t="s">
        <v>597</v>
      </c>
      <c r="B15" s="296">
        <v>1.5745413749999999</v>
      </c>
      <c r="C15" s="296">
        <v>1.449542345</v>
      </c>
      <c r="D15" s="296">
        <v>1.8281443799999999</v>
      </c>
      <c r="E15" s="296">
        <v>1.5831995219999999</v>
      </c>
      <c r="F15" s="296">
        <v>2.4412662869999999</v>
      </c>
      <c r="G15" s="296">
        <v>2.1050042480000002</v>
      </c>
      <c r="H15" s="296">
        <v>1.4467899689999999</v>
      </c>
      <c r="I15" s="296">
        <v>2.3896068380000002</v>
      </c>
      <c r="J15" s="296">
        <v>2.1470435659999998</v>
      </c>
      <c r="K15" s="296">
        <v>2.8888907179999999</v>
      </c>
      <c r="L15" s="296">
        <v>4.4059093039999997</v>
      </c>
      <c r="M15" s="296">
        <v>2.6033632130000002</v>
      </c>
      <c r="N15" s="296">
        <v>2.7496737069999999</v>
      </c>
      <c r="O15" s="296">
        <v>6.2521075059999998</v>
      </c>
      <c r="P15" s="296">
        <v>12.97798695</v>
      </c>
      <c r="Q15" s="296">
        <v>11.85772195</v>
      </c>
      <c r="R15" s="296">
        <v>8.1343425020000009</v>
      </c>
    </row>
    <row r="16" spans="1:60" ht="14.6">
      <c r="A16" s="300" t="s">
        <v>598</v>
      </c>
      <c r="B16" s="296">
        <v>0.91032232499999999</v>
      </c>
      <c r="C16" s="296">
        <v>0.53030225200000003</v>
      </c>
      <c r="D16" s="296">
        <v>0.51207458500000003</v>
      </c>
      <c r="E16" s="296">
        <v>0.215920258</v>
      </c>
      <c r="F16" s="296">
        <v>0.64196218000000005</v>
      </c>
      <c r="G16" s="296">
        <v>0.68231437299999997</v>
      </c>
      <c r="H16" s="296">
        <v>0.57977049899999999</v>
      </c>
      <c r="I16" s="296">
        <v>0.42640882000000002</v>
      </c>
      <c r="J16" s="296">
        <v>0.42148254699999999</v>
      </c>
      <c r="K16" s="296">
        <v>0.37691930200000001</v>
      </c>
      <c r="L16" s="296">
        <v>0.40957078099999999</v>
      </c>
      <c r="M16" s="296">
        <v>0.28728216499999998</v>
      </c>
      <c r="N16" s="296">
        <v>0.24702073299999999</v>
      </c>
      <c r="O16" s="296">
        <v>0.55790776799999997</v>
      </c>
      <c r="P16" s="296">
        <v>0.64519967099999997</v>
      </c>
      <c r="Q16" s="296">
        <v>0.628899494</v>
      </c>
      <c r="R16" s="296">
        <v>0.85889386199999995</v>
      </c>
    </row>
    <row r="17" spans="1:25" ht="14.6">
      <c r="A17" s="300" t="s">
        <v>599</v>
      </c>
      <c r="B17" s="296">
        <v>0.21983259599999999</v>
      </c>
      <c r="C17" s="296">
        <v>6.4151399999999997E-3</v>
      </c>
      <c r="D17" s="296">
        <v>-0.42511650499999998</v>
      </c>
      <c r="E17" s="296">
        <v>-1.5449684E-2</v>
      </c>
      <c r="F17" s="296">
        <v>-0.10363497000000001</v>
      </c>
      <c r="G17" s="296">
        <v>0.44082861499999998</v>
      </c>
      <c r="H17" s="296">
        <v>0.51739234000000001</v>
      </c>
      <c r="I17" s="296">
        <v>6.7192853999999996E-2</v>
      </c>
      <c r="J17" s="296">
        <v>1.795187914</v>
      </c>
      <c r="K17" s="296">
        <v>0.71816883200000003</v>
      </c>
      <c r="L17" s="296">
        <v>1.001117026</v>
      </c>
      <c r="M17" s="296">
        <v>0.31565249499999998</v>
      </c>
      <c r="N17" s="296">
        <v>0.142788679</v>
      </c>
      <c r="O17" s="296">
        <v>2.1219306210000002</v>
      </c>
      <c r="P17" s="296">
        <v>5.240736171</v>
      </c>
      <c r="Q17" s="296">
        <v>0.33281401100000002</v>
      </c>
      <c r="R17" s="296">
        <v>1.4651421490000001</v>
      </c>
    </row>
    <row r="18" spans="1:25" ht="14.6">
      <c r="A18" s="300" t="s">
        <v>600</v>
      </c>
      <c r="B18" s="144">
        <v>3.2553098989999998</v>
      </c>
      <c r="C18" s="144">
        <v>3.539797783</v>
      </c>
      <c r="D18" s="144">
        <v>3.6024918549999998</v>
      </c>
      <c r="E18" s="144">
        <v>3.3250350759999998</v>
      </c>
      <c r="F18" s="144">
        <v>3.1930603899999999</v>
      </c>
      <c r="G18" s="144">
        <v>3.3769337340000001</v>
      </c>
      <c r="H18" s="144">
        <v>3.5457668189999998</v>
      </c>
      <c r="I18" s="144">
        <v>3.9123607549999999</v>
      </c>
      <c r="J18" s="144">
        <v>3.4978119049999998</v>
      </c>
      <c r="K18" s="144">
        <v>4.0638326469999999</v>
      </c>
      <c r="L18" s="144">
        <v>4.9104737429999998</v>
      </c>
      <c r="M18" s="144">
        <v>5.7026970270000001</v>
      </c>
      <c r="N18" s="144">
        <v>6.6329561540000004</v>
      </c>
      <c r="O18" s="144">
        <v>7.8152488330000001</v>
      </c>
      <c r="P18" s="144">
        <v>9.4367081269999993</v>
      </c>
      <c r="Q18" s="144">
        <v>11.18910794</v>
      </c>
      <c r="R18" s="144">
        <v>11.377607530000001</v>
      </c>
    </row>
    <row r="19" spans="1:25" ht="14.6">
      <c r="A19" s="300" t="s">
        <v>601</v>
      </c>
      <c r="B19" s="144">
        <v>3.3305444350000002</v>
      </c>
      <c r="C19" s="144">
        <v>3.5217362209999998</v>
      </c>
      <c r="D19" s="144">
        <v>3.6387043120000002</v>
      </c>
      <c r="E19" s="144">
        <v>3.681197439</v>
      </c>
      <c r="F19" s="144">
        <v>3.7894138860000002</v>
      </c>
      <c r="G19" s="144">
        <v>3.1971977420000002</v>
      </c>
      <c r="H19" s="144">
        <v>4.1724924679999997</v>
      </c>
      <c r="I19" s="144">
        <v>4.4799598500000002</v>
      </c>
      <c r="J19" s="144">
        <v>4.632761854</v>
      </c>
      <c r="K19" s="144">
        <v>4.8602012610000003</v>
      </c>
      <c r="L19" s="144">
        <v>5.1050845249999997</v>
      </c>
      <c r="M19" s="144">
        <v>5.413288358</v>
      </c>
      <c r="N19" s="144">
        <v>5.7676531649999996</v>
      </c>
      <c r="O19" s="144">
        <v>6.3513895720000004</v>
      </c>
      <c r="P19" s="144">
        <v>7.2580836729999998</v>
      </c>
      <c r="Q19" s="144">
        <v>8.0485772359999999</v>
      </c>
      <c r="R19" s="144">
        <v>8.7709275719999997</v>
      </c>
    </row>
    <row r="20" spans="1:25" ht="14.6">
      <c r="A20" s="300" t="s">
        <v>602</v>
      </c>
      <c r="B20" s="144">
        <v>1.112751013</v>
      </c>
      <c r="C20" s="144">
        <v>1.2757630230000001</v>
      </c>
      <c r="D20" s="144">
        <v>1.1954768339999999</v>
      </c>
      <c r="E20" s="144">
        <v>1.1745010069999999</v>
      </c>
      <c r="F20" s="144">
        <v>0.719040652</v>
      </c>
      <c r="G20" s="144">
        <v>0.74046733200000003</v>
      </c>
      <c r="H20" s="144">
        <v>0.63229471599999998</v>
      </c>
      <c r="I20" s="144">
        <v>-1.371802502</v>
      </c>
      <c r="J20" s="144">
        <v>-6.3276646510000001</v>
      </c>
      <c r="K20" s="144">
        <v>1.1700201160000001</v>
      </c>
      <c r="L20" s="144">
        <v>0.88290740700000003</v>
      </c>
      <c r="M20" s="144">
        <v>1.5374001479999999</v>
      </c>
      <c r="N20" s="144">
        <v>1.2770574379999999</v>
      </c>
      <c r="O20" s="144">
        <v>1.685794853</v>
      </c>
      <c r="P20" s="144">
        <v>2.0472503990000002</v>
      </c>
      <c r="Q20" s="144">
        <v>2.125848527</v>
      </c>
      <c r="R20" s="144">
        <v>1.7823411600000001</v>
      </c>
    </row>
    <row r="21" spans="1:25" ht="14.6">
      <c r="A21" s="300" t="s">
        <v>603</v>
      </c>
      <c r="B21" s="144">
        <v>0.90484895600000004</v>
      </c>
      <c r="C21" s="144">
        <v>1.0080425580000001</v>
      </c>
      <c r="D21" s="144">
        <v>1.093020409</v>
      </c>
      <c r="E21" s="144">
        <v>1.1754761739999999</v>
      </c>
      <c r="F21" s="144">
        <v>0.78993355200000004</v>
      </c>
      <c r="G21" s="144">
        <v>0.90814579500000003</v>
      </c>
      <c r="H21" s="144">
        <v>0.99232767700000002</v>
      </c>
      <c r="I21" s="144">
        <v>1.025388762</v>
      </c>
      <c r="J21" s="144">
        <v>0.81410233700000001</v>
      </c>
      <c r="K21" s="144">
        <v>0.93570362399999996</v>
      </c>
      <c r="L21" s="144">
        <v>1.215382398</v>
      </c>
      <c r="M21" s="144">
        <v>1.355898485</v>
      </c>
      <c r="N21" s="144">
        <v>1.0718769319999999</v>
      </c>
      <c r="O21" s="144">
        <v>1.492814394</v>
      </c>
      <c r="P21" s="144">
        <v>1.425412452</v>
      </c>
      <c r="Q21" s="144">
        <v>1.40103822</v>
      </c>
      <c r="R21" s="144">
        <v>1.6751660020000001</v>
      </c>
    </row>
    <row r="22" spans="1:25" ht="14.6">
      <c r="A22" s="300" t="s">
        <v>604</v>
      </c>
      <c r="B22" s="144">
        <v>1.3240269200000001</v>
      </c>
      <c r="C22" s="144">
        <v>1.318922878</v>
      </c>
      <c r="D22" s="144">
        <v>1.385774302</v>
      </c>
      <c r="E22" s="144">
        <v>1.369522699</v>
      </c>
      <c r="F22" s="144">
        <v>0.99872498799999998</v>
      </c>
      <c r="G22" s="144">
        <v>0.787948914</v>
      </c>
      <c r="H22" s="144">
        <v>0.78397408199999996</v>
      </c>
      <c r="I22" s="144">
        <v>1.271282469</v>
      </c>
      <c r="J22" s="144">
        <v>1.218148944</v>
      </c>
      <c r="K22" s="144">
        <v>0.96222658100000003</v>
      </c>
      <c r="L22" s="144">
        <v>2.1191773779999998</v>
      </c>
      <c r="M22" s="144">
        <v>0.97646873599999995</v>
      </c>
      <c r="N22" s="144">
        <v>1.443581408</v>
      </c>
      <c r="O22" s="144">
        <v>1.5437003659999999</v>
      </c>
      <c r="P22" s="144">
        <v>1.576861085</v>
      </c>
      <c r="Q22" s="144">
        <v>2.0767366429999998</v>
      </c>
      <c r="R22" s="144">
        <v>1.707702141</v>
      </c>
    </row>
    <row r="23" spans="1:25" ht="14.6">
      <c r="A23" s="300" t="s">
        <v>605</v>
      </c>
      <c r="B23" s="144">
        <v>0.74592157999999997</v>
      </c>
      <c r="C23" s="144">
        <v>0.85392905299999999</v>
      </c>
      <c r="D23" s="144">
        <v>0.91656428499999998</v>
      </c>
      <c r="E23" s="144">
        <v>0.93115388200000004</v>
      </c>
      <c r="F23" s="144">
        <v>0.60890631299999998</v>
      </c>
      <c r="G23" s="144">
        <v>0.56715691300000004</v>
      </c>
      <c r="H23" s="144">
        <v>0.56126808399999994</v>
      </c>
      <c r="I23" s="144">
        <v>0.677267544</v>
      </c>
      <c r="J23" s="144">
        <v>0.58439127899999999</v>
      </c>
      <c r="K23" s="144">
        <v>0.81341470000000005</v>
      </c>
      <c r="L23" s="144">
        <v>0.79927581199999997</v>
      </c>
      <c r="M23" s="144">
        <v>0.696816243</v>
      </c>
      <c r="N23" s="144">
        <v>0.86251329099999996</v>
      </c>
      <c r="O23" s="144">
        <v>0.91536232200000001</v>
      </c>
      <c r="P23" s="144">
        <v>1.1362144679999999</v>
      </c>
      <c r="Q23" s="144">
        <v>1.1491887519999999</v>
      </c>
      <c r="R23" s="144">
        <v>1.1172973319999999</v>
      </c>
    </row>
    <row r="24" spans="1:25" ht="14.6">
      <c r="C24" s="248">
        <f t="shared" ref="C24:R24" si="2">B25+B26-B27+B28</f>
        <v>0.95583261399999997</v>
      </c>
      <c r="D24" s="248">
        <f t="shared" si="2"/>
        <v>0.987342834</v>
      </c>
      <c r="E24" s="248">
        <f t="shared" si="2"/>
        <v>1.0443170579999999</v>
      </c>
      <c r="F24" s="248">
        <f t="shared" si="2"/>
        <v>0.92290852900000009</v>
      </c>
      <c r="G24" s="248">
        <f t="shared" si="2"/>
        <v>1.0835849720000001</v>
      </c>
      <c r="H24" s="248">
        <f t="shared" si="2"/>
        <v>1.556278201</v>
      </c>
      <c r="I24" s="248">
        <f t="shared" si="2"/>
        <v>2.1589848050000002</v>
      </c>
      <c r="J24" s="248">
        <f t="shared" si="2"/>
        <v>3.2044228319999997</v>
      </c>
      <c r="K24" s="248">
        <f t="shared" si="2"/>
        <v>3.2167503259999997</v>
      </c>
      <c r="L24" s="248">
        <f t="shared" si="2"/>
        <v>2.9886266139999997</v>
      </c>
      <c r="M24" s="248">
        <f t="shared" si="2"/>
        <v>3.7078492189999999</v>
      </c>
      <c r="N24" s="248">
        <f t="shared" si="2"/>
        <v>4.6674231410000004</v>
      </c>
      <c r="O24" s="248">
        <f t="shared" si="2"/>
        <v>6.6513885410000011</v>
      </c>
      <c r="P24" s="248">
        <f t="shared" si="2"/>
        <v>13.208436555</v>
      </c>
      <c r="Q24" s="248">
        <f t="shared" si="2"/>
        <v>10.354879254</v>
      </c>
      <c r="R24" s="248">
        <f t="shared" si="2"/>
        <v>7.3914493089999995</v>
      </c>
      <c r="S24" s="297" t="s">
        <v>584</v>
      </c>
    </row>
    <row r="25" spans="1:25" ht="14.6">
      <c r="A25" s="300" t="s">
        <v>606</v>
      </c>
      <c r="B25" s="296">
        <v>1.0330208999999999</v>
      </c>
      <c r="C25" s="296">
        <v>0.93151259600000003</v>
      </c>
      <c r="D25" s="296">
        <v>1.2429685699999999</v>
      </c>
      <c r="E25" s="296">
        <v>1.038058052</v>
      </c>
      <c r="F25" s="296">
        <v>0.91805398599999999</v>
      </c>
      <c r="G25" s="296">
        <v>1.0888972029999999</v>
      </c>
      <c r="H25" s="296">
        <v>1.5257053860000001</v>
      </c>
      <c r="I25" s="296">
        <v>2.1656394099999998</v>
      </c>
      <c r="J25" s="296">
        <v>3.4855355499999998</v>
      </c>
      <c r="K25" s="296">
        <v>3.2066293770000001</v>
      </c>
      <c r="L25" s="296">
        <v>2.9893090469999999</v>
      </c>
      <c r="M25" s="296">
        <v>3.896301829</v>
      </c>
      <c r="N25" s="296">
        <v>4.6761653250000004</v>
      </c>
      <c r="O25" s="296">
        <v>7.387153262</v>
      </c>
      <c r="P25" s="296">
        <v>13.762346709999999</v>
      </c>
      <c r="Q25" s="296">
        <v>10.365867789999999</v>
      </c>
      <c r="R25" s="296">
        <v>7.8257547000000001</v>
      </c>
    </row>
    <row r="26" spans="1:25" ht="14.6">
      <c r="A26" s="300" t="s">
        <v>607</v>
      </c>
      <c r="B26" s="296">
        <v>9.1492486999999997E-2</v>
      </c>
      <c r="C26" s="296">
        <v>0.24734112799999999</v>
      </c>
      <c r="D26" s="296">
        <v>-7.0626297000000005E-2</v>
      </c>
      <c r="E26" s="296">
        <v>0.22844051600000001</v>
      </c>
      <c r="F26" s="296">
        <v>0.40230708900000001</v>
      </c>
      <c r="G26" s="296">
        <v>0.63908610899999996</v>
      </c>
      <c r="H26" s="296">
        <v>0.99078787499999998</v>
      </c>
      <c r="I26" s="296">
        <v>2.1949181000000002</v>
      </c>
      <c r="J26" s="296">
        <v>2.7626589680000002</v>
      </c>
      <c r="K26" s="296">
        <v>1.054211885</v>
      </c>
      <c r="L26" s="296">
        <v>2.84795401</v>
      </c>
      <c r="M26" s="296">
        <v>1.2660546340000001</v>
      </c>
      <c r="N26" s="296">
        <v>3.8663518620000001</v>
      </c>
      <c r="O26" s="296">
        <v>8.5676131519999998</v>
      </c>
      <c r="P26" s="296">
        <v>7.6427639620000001</v>
      </c>
      <c r="Q26" s="296">
        <v>3.3136837240000001</v>
      </c>
      <c r="R26" s="296">
        <v>1.2655565179999999</v>
      </c>
    </row>
    <row r="27" spans="1:25" ht="14.6">
      <c r="A27" s="300" t="s">
        <v>608</v>
      </c>
      <c r="B27" s="296">
        <v>6.1656353999999997E-2</v>
      </c>
      <c r="C27" s="296">
        <v>7.5846432000000005E-2</v>
      </c>
      <c r="D27" s="296">
        <v>6.4111174000000007E-2</v>
      </c>
      <c r="E27" s="296">
        <v>8.9603885999999994E-2</v>
      </c>
      <c r="F27" s="296">
        <v>4.4435325999999997E-2</v>
      </c>
      <c r="G27" s="296">
        <v>3.3288230000000002E-2</v>
      </c>
      <c r="H27" s="296">
        <v>3.4730663000000002E-2</v>
      </c>
      <c r="I27" s="296">
        <v>0.134370763</v>
      </c>
      <c r="J27" s="296">
        <v>9.4216988000000002E-2</v>
      </c>
      <c r="K27" s="296">
        <v>0.18447686599999999</v>
      </c>
      <c r="L27" s="296">
        <v>4.5709097999999997E-2</v>
      </c>
      <c r="M27" s="296">
        <v>6.0674494000000002E-2</v>
      </c>
      <c r="N27" s="296">
        <v>0.101577401</v>
      </c>
      <c r="O27" s="296">
        <v>0.10928251</v>
      </c>
      <c r="P27" s="296">
        <v>9.5134057999999994E-2</v>
      </c>
      <c r="Q27" s="296">
        <v>0.190329111</v>
      </c>
      <c r="R27" s="296">
        <v>0.213500986</v>
      </c>
      <c r="Y27" s="299" t="s">
        <v>609</v>
      </c>
    </row>
    <row r="28" spans="1:25" ht="14.6">
      <c r="A28" s="300" t="s">
        <v>610</v>
      </c>
      <c r="B28" s="296">
        <v>-0.107024419</v>
      </c>
      <c r="C28" s="296">
        <v>-0.115664458</v>
      </c>
      <c r="D28" s="296">
        <v>-6.3914041000000005E-2</v>
      </c>
      <c r="E28" s="296">
        <v>-0.25398615299999999</v>
      </c>
      <c r="F28" s="296">
        <v>-0.19234077699999999</v>
      </c>
      <c r="G28" s="296">
        <v>-0.13841688099999999</v>
      </c>
      <c r="H28" s="296">
        <v>-0.32277779299999998</v>
      </c>
      <c r="I28" s="296">
        <v>-1.021763915</v>
      </c>
      <c r="J28" s="296">
        <v>-2.937227204</v>
      </c>
      <c r="K28" s="296">
        <v>-1.087737782</v>
      </c>
      <c r="L28" s="296">
        <v>-2.0837047399999999</v>
      </c>
      <c r="M28" s="296">
        <v>-0.43425882799999999</v>
      </c>
      <c r="N28" s="296">
        <v>-1.789551245</v>
      </c>
      <c r="O28" s="296">
        <v>-2.6370473489999999</v>
      </c>
      <c r="P28" s="296">
        <v>-10.95509736</v>
      </c>
      <c r="Q28" s="296">
        <v>-6.0977730939999999</v>
      </c>
      <c r="R28" s="296">
        <v>-4.1514716040000001</v>
      </c>
    </row>
    <row r="29" spans="1:25" ht="14.6">
      <c r="A29" s="300" t="s">
        <v>611</v>
      </c>
      <c r="B29" s="144">
        <v>0.32245107299999998</v>
      </c>
      <c r="C29" s="144">
        <v>0.24689930500000001</v>
      </c>
      <c r="D29" s="144">
        <v>0.27141092300000003</v>
      </c>
      <c r="E29" s="144">
        <v>0.286724759</v>
      </c>
      <c r="F29" s="144">
        <v>0.31049046600000002</v>
      </c>
      <c r="G29" s="144">
        <v>0.34313214399999997</v>
      </c>
      <c r="H29" s="144">
        <v>0.41331475400000001</v>
      </c>
      <c r="I29" s="144">
        <v>0.47267240599999999</v>
      </c>
      <c r="J29" s="144">
        <v>0.61101078900000005</v>
      </c>
      <c r="K29" s="144">
        <v>0.52228715299999995</v>
      </c>
      <c r="L29" s="144">
        <v>0.61262040900000003</v>
      </c>
      <c r="M29" s="144">
        <v>0.77238362999999999</v>
      </c>
      <c r="N29" s="144">
        <v>0.799909698</v>
      </c>
      <c r="O29" s="144">
        <v>0.93238175400000001</v>
      </c>
      <c r="P29" s="144">
        <v>1.4946617369999999</v>
      </c>
      <c r="Q29" s="144">
        <v>1.666748581</v>
      </c>
      <c r="R29" s="144">
        <v>1.7152482440000001</v>
      </c>
    </row>
    <row r="30" spans="1:25" ht="14.6">
      <c r="A30" s="300" t="s">
        <v>612</v>
      </c>
      <c r="B30" s="144">
        <v>0.193914157</v>
      </c>
      <c r="C30" s="144">
        <v>0.21986655699999999</v>
      </c>
      <c r="D30" s="144">
        <v>0.24112581799999999</v>
      </c>
      <c r="E30" s="144">
        <v>0.22559779899999999</v>
      </c>
      <c r="F30" s="144">
        <v>0.23390628499999999</v>
      </c>
      <c r="G30" s="144">
        <v>0.225418014</v>
      </c>
      <c r="H30" s="144">
        <v>0.28197723800000002</v>
      </c>
      <c r="I30" s="144">
        <v>0.305200729</v>
      </c>
      <c r="J30" s="144">
        <v>0.34439434400000002</v>
      </c>
      <c r="K30" s="144">
        <v>0.33878542900000003</v>
      </c>
      <c r="L30" s="144">
        <v>0.36137902900000002</v>
      </c>
      <c r="M30" s="144">
        <v>0.44955751500000002</v>
      </c>
      <c r="N30" s="144">
        <v>0.49370352299999998</v>
      </c>
      <c r="O30" s="144">
        <v>0.52980368300000003</v>
      </c>
      <c r="P30" s="144">
        <v>0.63259352400000002</v>
      </c>
      <c r="Q30" s="144">
        <v>0.68348242299999995</v>
      </c>
      <c r="R30" s="144">
        <v>0.70766192999999999</v>
      </c>
    </row>
    <row r="31" spans="1:25" ht="14.6">
      <c r="A31" s="300" t="s">
        <v>613</v>
      </c>
      <c r="B31" s="144">
        <v>1.8944875999999999E-2</v>
      </c>
      <c r="C31" s="144">
        <v>1.8103930000000001E-2</v>
      </c>
      <c r="D31" s="144">
        <v>2.2744084000000001E-2</v>
      </c>
      <c r="E31" s="144">
        <v>2.7049719E-2</v>
      </c>
      <c r="F31" s="144">
        <v>1.7950945999999999E-2</v>
      </c>
      <c r="G31" s="144">
        <v>1.0735837E-2</v>
      </c>
      <c r="H31" s="144">
        <v>1.6138909999999999E-2</v>
      </c>
      <c r="I31" s="144">
        <v>2.3890562000000001E-2</v>
      </c>
      <c r="J31" s="144">
        <v>1.4935682E-2</v>
      </c>
      <c r="K31" s="144">
        <v>1.3176681000000001E-2</v>
      </c>
      <c r="L31" s="144">
        <v>9.3368019999999999E-3</v>
      </c>
      <c r="M31" s="144">
        <v>1.9139399000000001E-2</v>
      </c>
      <c r="N31" s="144">
        <v>1.2226798000000001E-2</v>
      </c>
      <c r="O31" s="144">
        <v>1.9016268999999999E-2</v>
      </c>
      <c r="P31" s="144">
        <v>2.9091058E-2</v>
      </c>
      <c r="Q31" s="144">
        <v>2.5457960000000002E-2</v>
      </c>
      <c r="R31" s="144">
        <v>3.5490262000000002E-2</v>
      </c>
    </row>
    <row r="32" spans="1:25" ht="14.6">
      <c r="A32" s="300" t="s">
        <v>614</v>
      </c>
      <c r="B32" s="144">
        <v>0.20111590600000001</v>
      </c>
      <c r="C32" s="144">
        <v>0.20582683299999999</v>
      </c>
      <c r="D32" s="144">
        <v>0.19096120799999999</v>
      </c>
      <c r="E32" s="144">
        <v>0.199419659</v>
      </c>
      <c r="F32" s="144">
        <v>3.983714E-2</v>
      </c>
      <c r="G32" s="144">
        <v>9.7125260000000005E-2</v>
      </c>
      <c r="H32" s="144">
        <v>0.28117856800000002</v>
      </c>
      <c r="I32" s="144">
        <v>0.20556935300000001</v>
      </c>
      <c r="J32" s="144">
        <v>0.14705525699999999</v>
      </c>
      <c r="K32" s="144">
        <v>0.16525920199999999</v>
      </c>
      <c r="L32" s="144">
        <v>0.23467792700000001</v>
      </c>
      <c r="M32" s="144">
        <v>0.103065715</v>
      </c>
      <c r="N32" s="144">
        <v>0.10336880800000001</v>
      </c>
      <c r="O32" s="144">
        <v>0.216463769</v>
      </c>
      <c r="P32" s="144">
        <v>0.23772048200000001</v>
      </c>
      <c r="Q32" s="144">
        <v>0.46406533799999999</v>
      </c>
      <c r="R32" s="144">
        <v>0.59619913499999999</v>
      </c>
    </row>
    <row r="33" spans="1:52" ht="14.6">
      <c r="A33" s="300" t="s">
        <v>615</v>
      </c>
      <c r="B33" s="144">
        <v>2.0392057000000002E-2</v>
      </c>
      <c r="C33" s="144">
        <v>1.4581238E-2</v>
      </c>
      <c r="D33" s="144">
        <v>2.2232854999999999E-2</v>
      </c>
      <c r="E33" s="144">
        <v>2.6151369000000001E-2</v>
      </c>
      <c r="F33" s="144">
        <v>1.7540607999999999E-2</v>
      </c>
      <c r="G33" s="144">
        <v>3.0641297000000001E-2</v>
      </c>
      <c r="H33" s="144">
        <v>6.8233522000000005E-2</v>
      </c>
      <c r="I33" s="144">
        <v>6.7244746999999994E-2</v>
      </c>
      <c r="J33" s="144">
        <v>2.7558184999999999E-2</v>
      </c>
      <c r="K33" s="144">
        <v>3.1022773999999999E-2</v>
      </c>
      <c r="L33" s="144">
        <v>2.6534144999999999E-2</v>
      </c>
      <c r="M33" s="144">
        <v>7.2978990000000001E-3</v>
      </c>
      <c r="N33" s="144">
        <v>1.4685943999999999E-2</v>
      </c>
      <c r="O33" s="144">
        <v>3.0634505999999999E-2</v>
      </c>
      <c r="P33" s="144">
        <v>1.6541777000000001E-2</v>
      </c>
      <c r="Q33" s="144">
        <v>3.7233662000000001E-2</v>
      </c>
      <c r="R33" s="144">
        <v>3.9253482999999999E-2</v>
      </c>
    </row>
    <row r="34" spans="1:52" ht="14.6">
      <c r="A34" s="300" t="s">
        <v>616</v>
      </c>
      <c r="B34" s="144">
        <v>0.186849762</v>
      </c>
      <c r="C34" s="144">
        <v>0.172547123</v>
      </c>
      <c r="D34" s="144">
        <v>0.15927391499999999</v>
      </c>
      <c r="E34" s="144">
        <v>0.152926798</v>
      </c>
      <c r="F34" s="144">
        <v>5.8165513000000002E-2</v>
      </c>
      <c r="G34" s="144">
        <v>6.5193528000000001E-2</v>
      </c>
      <c r="H34" s="144">
        <v>0.212375015</v>
      </c>
      <c r="I34" s="144">
        <v>0.150318909</v>
      </c>
      <c r="J34" s="144">
        <v>0.101506764</v>
      </c>
      <c r="K34" s="144">
        <v>8.8906309000000003E-2</v>
      </c>
      <c r="L34" s="144">
        <v>0.105577955</v>
      </c>
      <c r="M34" s="144">
        <v>0.12566719700000001</v>
      </c>
      <c r="N34" s="144">
        <v>0.17675875399999999</v>
      </c>
      <c r="O34" s="144">
        <v>0.26563937700000001</v>
      </c>
      <c r="P34" s="144">
        <v>0.217469421</v>
      </c>
      <c r="Q34" s="144">
        <v>0.15056435900000001</v>
      </c>
      <c r="R34" s="144">
        <v>0.258402095</v>
      </c>
    </row>
    <row r="35" spans="1:52" ht="14.6">
      <c r="Y35" s="7" t="s">
        <v>617</v>
      </c>
    </row>
    <row r="36" spans="1:52" ht="14.6">
      <c r="A36" s="300" t="s">
        <v>618</v>
      </c>
      <c r="B36" s="144">
        <f t="shared" ref="B36:R36" si="3">SUM(B3,B14,B25)</f>
        <v>33.50493298</v>
      </c>
      <c r="C36" s="144">
        <f t="shared" si="3"/>
        <v>31.685583116</v>
      </c>
      <c r="D36" s="144">
        <f t="shared" si="3"/>
        <v>35.146123180000004</v>
      </c>
      <c r="E36" s="144">
        <f t="shared" si="3"/>
        <v>31.435481882000001</v>
      </c>
      <c r="F36" s="144">
        <f t="shared" si="3"/>
        <v>32.239625525999998</v>
      </c>
      <c r="G36" s="144">
        <f t="shared" si="3"/>
        <v>33.829539683</v>
      </c>
      <c r="H36" s="144">
        <f t="shared" si="3"/>
        <v>38.828688145999998</v>
      </c>
      <c r="I36" s="144">
        <f t="shared" si="3"/>
        <v>38.239242059999995</v>
      </c>
      <c r="J36" s="144">
        <f t="shared" si="3"/>
        <v>41.820506180000002</v>
      </c>
      <c r="K36" s="144">
        <f t="shared" si="3"/>
        <v>44.644302746999998</v>
      </c>
      <c r="L36" s="144">
        <f t="shared" si="3"/>
        <v>48.536091546999998</v>
      </c>
      <c r="M36" s="144">
        <f t="shared" si="3"/>
        <v>54.955555619000002</v>
      </c>
      <c r="N36" s="144">
        <f t="shared" si="3"/>
        <v>60.307593605000001</v>
      </c>
      <c r="O36" s="144">
        <f t="shared" si="3"/>
        <v>65.078336062000005</v>
      </c>
      <c r="P36" s="144">
        <f t="shared" si="3"/>
        <v>81.341532390000012</v>
      </c>
      <c r="Q36" s="144">
        <f t="shared" si="3"/>
        <v>95.842791779999985</v>
      </c>
      <c r="R36" s="144">
        <f t="shared" si="3"/>
        <v>103.56160448</v>
      </c>
      <c r="S36" s="144">
        <f t="shared" ref="S36:AZ36" si="4">R36+R37-R38+R39</f>
        <v>109.719349197</v>
      </c>
      <c r="T36" s="144">
        <f t="shared" si="4"/>
        <v>119.80417447634505</v>
      </c>
      <c r="U36" s="144">
        <f t="shared" si="4"/>
        <v>129.76362392595837</v>
      </c>
      <c r="V36" s="144">
        <f t="shared" si="4"/>
        <v>139.41939969202866</v>
      </c>
      <c r="W36" s="144">
        <f t="shared" si="4"/>
        <v>148.74636539298984</v>
      </c>
      <c r="X36" s="144">
        <f t="shared" si="4"/>
        <v>157.85032986785856</v>
      </c>
      <c r="Y36" s="144">
        <f t="shared" si="4"/>
        <v>166.87213613099163</v>
      </c>
      <c r="Z36" s="144">
        <f t="shared" si="4"/>
        <v>175.88568918914905</v>
      </c>
      <c r="AA36" s="144">
        <f t="shared" si="4"/>
        <v>184.79542721098804</v>
      </c>
      <c r="AB36" s="144">
        <f t="shared" si="4"/>
        <v>193.6765177480527</v>
      </c>
      <c r="AC36" s="144">
        <f t="shared" si="4"/>
        <v>202.49218165211008</v>
      </c>
      <c r="AD36" s="144">
        <f t="shared" si="4"/>
        <v>211.16976953320244</v>
      </c>
      <c r="AE36" s="144">
        <f t="shared" si="4"/>
        <v>219.82100716468091</v>
      </c>
      <c r="AF36" s="144">
        <f t="shared" si="4"/>
        <v>228.40816571549936</v>
      </c>
      <c r="AG36" s="144">
        <f t="shared" si="4"/>
        <v>236.94632460982575</v>
      </c>
      <c r="AH36" s="144">
        <f t="shared" si="4"/>
        <v>245.45012647117017</v>
      </c>
      <c r="AI36" s="144">
        <f t="shared" si="4"/>
        <v>253.97599643521994</v>
      </c>
      <c r="AJ36" s="144">
        <f t="shared" si="4"/>
        <v>262.54069591587353</v>
      </c>
      <c r="AK36" s="144">
        <f t="shared" si="4"/>
        <v>271.12462430420015</v>
      </c>
      <c r="AL36" s="144">
        <f t="shared" si="4"/>
        <v>279.76016555840334</v>
      </c>
      <c r="AM36" s="144">
        <f t="shared" si="4"/>
        <v>288.45746542173606</v>
      </c>
      <c r="AN36" s="144">
        <f t="shared" si="4"/>
        <v>297.22517363303365</v>
      </c>
      <c r="AO36" s="144">
        <f t="shared" si="4"/>
        <v>306.03733893376074</v>
      </c>
      <c r="AP36" s="144">
        <f t="shared" si="4"/>
        <v>314.88840886801017</v>
      </c>
      <c r="AQ36" s="144">
        <f t="shared" si="4"/>
        <v>323.78013107851558</v>
      </c>
      <c r="AR36" s="144">
        <f t="shared" si="4"/>
        <v>332.68399412432677</v>
      </c>
      <c r="AS36" s="144">
        <f t="shared" si="4"/>
        <v>341.61689773776914</v>
      </c>
      <c r="AT36" s="144">
        <f t="shared" si="4"/>
        <v>350.59315706238255</v>
      </c>
      <c r="AU36" s="144">
        <f t="shared" si="4"/>
        <v>359.60937876658693</v>
      </c>
      <c r="AV36" s="144">
        <f t="shared" si="4"/>
        <v>368.69564959153166</v>
      </c>
      <c r="AW36" s="144">
        <f t="shared" si="4"/>
        <v>377.83518189124243</v>
      </c>
      <c r="AX36" s="144">
        <f t="shared" si="4"/>
        <v>387.0160580115375</v>
      </c>
      <c r="AY36" s="144">
        <f t="shared" si="4"/>
        <v>396.23728971239285</v>
      </c>
      <c r="AZ36" s="144">
        <f t="shared" si="4"/>
        <v>405.53025757814174</v>
      </c>
    </row>
    <row r="37" spans="1:52" ht="14.6">
      <c r="A37" s="300" t="s">
        <v>624</v>
      </c>
      <c r="B37" s="144">
        <f t="shared" ref="B37:R37" si="5">SUM(B4,B15,B26)</f>
        <v>1.6948498619999999</v>
      </c>
      <c r="C37" s="144">
        <f t="shared" si="5"/>
        <v>1.784462473</v>
      </c>
      <c r="D37" s="144">
        <f t="shared" si="5"/>
        <v>1.8143360829999999</v>
      </c>
      <c r="E37" s="144">
        <f t="shared" si="5"/>
        <v>1.836179038</v>
      </c>
      <c r="F37" s="144">
        <f t="shared" si="5"/>
        <v>3.0419613759999997</v>
      </c>
      <c r="G37" s="144">
        <f t="shared" si="5"/>
        <v>2.7855113570000003</v>
      </c>
      <c r="H37" s="144">
        <f t="shared" si="5"/>
        <v>2.4804938439999997</v>
      </c>
      <c r="I37" s="144">
        <f t="shared" si="5"/>
        <v>4.6950389379999997</v>
      </c>
      <c r="J37" s="144">
        <f t="shared" si="5"/>
        <v>5.0146175340000001</v>
      </c>
      <c r="K37" s="144">
        <f t="shared" si="5"/>
        <v>4.0537466030000004</v>
      </c>
      <c r="L37" s="144">
        <f t="shared" si="5"/>
        <v>7.3676233139999994</v>
      </c>
      <c r="M37" s="144">
        <f t="shared" si="5"/>
        <v>3.9785318470000002</v>
      </c>
      <c r="N37" s="144">
        <f t="shared" si="5"/>
        <v>7.0365095689999997</v>
      </c>
      <c r="O37" s="144">
        <f t="shared" si="5"/>
        <v>15.319414657999999</v>
      </c>
      <c r="P37" s="144">
        <f t="shared" si="5"/>
        <v>21.098084912000001</v>
      </c>
      <c r="Q37" s="144">
        <f t="shared" si="5"/>
        <v>15.995911674</v>
      </c>
      <c r="R37" s="144">
        <f t="shared" si="5"/>
        <v>9.9571780200000006</v>
      </c>
      <c r="S37" s="144">
        <f t="shared" ref="S37:AZ37" si="6">7.07+5.21*LN(S48)</f>
        <v>15.41270137998772</v>
      </c>
      <c r="T37" s="144">
        <f t="shared" si="6"/>
        <v>16.793710896344301</v>
      </c>
      <c r="U37" s="144">
        <f t="shared" si="6"/>
        <v>17.656462018029146</v>
      </c>
      <c r="V37" s="144">
        <f t="shared" si="6"/>
        <v>18.246250624582135</v>
      </c>
      <c r="W37" s="144">
        <f t="shared" si="6"/>
        <v>18.524699455447561</v>
      </c>
      <c r="X37" s="144">
        <f t="shared" si="6"/>
        <v>18.580221001776223</v>
      </c>
      <c r="Y37" s="144">
        <f t="shared" si="6"/>
        <v>18.577827918205344</v>
      </c>
      <c r="Z37" s="144">
        <f t="shared" si="6"/>
        <v>18.709587462670015</v>
      </c>
      <c r="AA37" s="144">
        <f t="shared" si="6"/>
        <v>18.771473815654701</v>
      </c>
      <c r="AB37" s="144">
        <f t="shared" si="6"/>
        <v>18.898928543379654</v>
      </c>
      <c r="AC37" s="144">
        <f t="shared" si="6"/>
        <v>19.048725720598593</v>
      </c>
      <c r="AD37" s="144">
        <f t="shared" si="6"/>
        <v>19.070120306267256</v>
      </c>
      <c r="AE37" s="144">
        <f t="shared" si="6"/>
        <v>19.132839107255066</v>
      </c>
      <c r="AF37" s="144">
        <f t="shared" si="6"/>
        <v>19.17870570329805</v>
      </c>
      <c r="AG37" s="144">
        <f t="shared" si="6"/>
        <v>19.211995797915264</v>
      </c>
      <c r="AH37" s="144">
        <f t="shared" si="6"/>
        <v>19.190627704834803</v>
      </c>
      <c r="AI37" s="144">
        <f t="shared" si="6"/>
        <v>19.152608716631644</v>
      </c>
      <c r="AJ37" s="144">
        <f t="shared" si="6"/>
        <v>19.136052118876606</v>
      </c>
      <c r="AK37" s="144">
        <f t="shared" si="6"/>
        <v>19.082070780748673</v>
      </c>
      <c r="AL37" s="144">
        <f t="shared" si="6"/>
        <v>19.010773250236348</v>
      </c>
      <c r="AM37" s="144">
        <f t="shared" si="6"/>
        <v>18.927938707023145</v>
      </c>
      <c r="AN37" s="144">
        <f t="shared" si="6"/>
        <v>18.874167396112288</v>
      </c>
      <c r="AO37" s="144">
        <f t="shared" si="6"/>
        <v>18.826707617517776</v>
      </c>
      <c r="AP37" s="144">
        <f t="shared" si="6"/>
        <v>18.776875903806737</v>
      </c>
      <c r="AQ37" s="144">
        <f t="shared" si="6"/>
        <v>18.762465785860385</v>
      </c>
      <c r="AR37" s="144">
        <f t="shared" si="6"/>
        <v>18.726354411187579</v>
      </c>
      <c r="AS37" s="144">
        <f t="shared" si="6"/>
        <v>18.670666818554913</v>
      </c>
      <c r="AT37" s="144">
        <f t="shared" si="6"/>
        <v>18.617590476744951</v>
      </c>
      <c r="AU37" s="144">
        <f t="shared" si="6"/>
        <v>18.521207175929256</v>
      </c>
      <c r="AV37" s="144">
        <f t="shared" si="6"/>
        <v>18.445107881370888</v>
      </c>
      <c r="AW37" s="144">
        <f t="shared" si="6"/>
        <v>18.384268505281259</v>
      </c>
      <c r="AX37" s="144">
        <f t="shared" si="6"/>
        <v>18.32328114735283</v>
      </c>
      <c r="AY37" s="144">
        <f t="shared" si="6"/>
        <v>18.210149481494049</v>
      </c>
      <c r="AZ37" s="144">
        <f t="shared" si="6"/>
        <v>18.143953896845446</v>
      </c>
    </row>
    <row r="38" spans="1:52" ht="14.6">
      <c r="A38" s="300" t="s">
        <v>640</v>
      </c>
      <c r="B38" s="144">
        <f t="shared" ref="B38:R38" si="7">SUM(B5,B16,B27)</f>
        <v>1.010570679</v>
      </c>
      <c r="C38" s="144">
        <f t="shared" si="7"/>
        <v>0.64471968400000002</v>
      </c>
      <c r="D38" s="144">
        <f t="shared" si="7"/>
        <v>0.63325075900000005</v>
      </c>
      <c r="E38" s="144">
        <f t="shared" si="7"/>
        <v>0.37735614399999995</v>
      </c>
      <c r="F38" s="144">
        <f t="shared" si="7"/>
        <v>0.72638450600000004</v>
      </c>
      <c r="G38" s="144">
        <f t="shared" si="7"/>
        <v>0.73246760300000002</v>
      </c>
      <c r="H38" s="144">
        <f t="shared" si="7"/>
        <v>0.63628716200000002</v>
      </c>
      <c r="I38" s="144">
        <f t="shared" si="7"/>
        <v>0.61662958300000004</v>
      </c>
      <c r="J38" s="144">
        <f t="shared" si="7"/>
        <v>0.54285053499999991</v>
      </c>
      <c r="K38" s="144">
        <f t="shared" si="7"/>
        <v>0.57098416799999996</v>
      </c>
      <c r="L38" s="144">
        <f t="shared" si="7"/>
        <v>0.58215887899999996</v>
      </c>
      <c r="M38" s="144">
        <f t="shared" si="7"/>
        <v>0.37165565900000003</v>
      </c>
      <c r="N38" s="144">
        <f t="shared" si="7"/>
        <v>0.35639213400000003</v>
      </c>
      <c r="O38" s="144">
        <f t="shared" si="7"/>
        <v>0.68526727799999998</v>
      </c>
      <c r="P38" s="144">
        <f t="shared" si="7"/>
        <v>0.74713972899999992</v>
      </c>
      <c r="Q38" s="144">
        <f t="shared" si="7"/>
        <v>0.9710016050000001</v>
      </c>
      <c r="R38" s="144">
        <f t="shared" si="7"/>
        <v>1.1228458479999999</v>
      </c>
      <c r="S38" s="144">
        <f t="shared" ref="S38:AZ38" si="8">AVERAGE(J38:R38)</f>
        <v>0.66114398166666666</v>
      </c>
      <c r="T38" s="144">
        <f t="shared" si="8"/>
        <v>0.67428769796296295</v>
      </c>
      <c r="U38" s="144">
        <f t="shared" si="8"/>
        <v>0.68576586795884775</v>
      </c>
      <c r="V38" s="144">
        <f t="shared" si="8"/>
        <v>0.69727775562094196</v>
      </c>
      <c r="W38" s="144">
        <f t="shared" si="8"/>
        <v>0.73345798857882427</v>
      </c>
      <c r="X38" s="144">
        <f t="shared" si="8"/>
        <v>0.77535419464313815</v>
      </c>
      <c r="Y38" s="144">
        <f t="shared" si="8"/>
        <v>0.78536385204793135</v>
      </c>
      <c r="Z38" s="144">
        <f t="shared" si="8"/>
        <v>0.78961097683103476</v>
      </c>
      <c r="AA38" s="144">
        <f t="shared" si="8"/>
        <v>0.76945646259003864</v>
      </c>
      <c r="AB38" s="144">
        <f t="shared" si="8"/>
        <v>0.73019097532226518</v>
      </c>
      <c r="AC38" s="144">
        <f t="shared" si="8"/>
        <v>0.73786286350622055</v>
      </c>
      <c r="AD38" s="144">
        <f t="shared" si="8"/>
        <v>0.74492677078880454</v>
      </c>
      <c r="AE38" s="144">
        <f t="shared" si="8"/>
        <v>0.75150020443657772</v>
      </c>
      <c r="AF38" s="144">
        <f t="shared" si="8"/>
        <v>0.75752492097164847</v>
      </c>
      <c r="AG38" s="144">
        <f t="shared" si="8"/>
        <v>0.76019902457085098</v>
      </c>
      <c r="AH38" s="144">
        <f t="shared" si="8"/>
        <v>0.75851511678504135</v>
      </c>
      <c r="AI38" s="144">
        <f t="shared" si="8"/>
        <v>0.75553192397805358</v>
      </c>
      <c r="AJ38" s="144">
        <f t="shared" si="8"/>
        <v>0.75174536254994462</v>
      </c>
      <c r="AK38" s="144">
        <f t="shared" si="8"/>
        <v>0.7497774625454896</v>
      </c>
      <c r="AL38" s="144">
        <f t="shared" si="8"/>
        <v>0.75195373890362571</v>
      </c>
      <c r="AM38" s="144">
        <f t="shared" si="8"/>
        <v>0.7535193917255596</v>
      </c>
      <c r="AN38" s="144">
        <f t="shared" si="8"/>
        <v>0.75447412738519903</v>
      </c>
      <c r="AO38" s="144">
        <f t="shared" si="8"/>
        <v>0.75480456326837919</v>
      </c>
      <c r="AP38" s="144">
        <f t="shared" si="8"/>
        <v>0.75450230130134932</v>
      </c>
      <c r="AQ38" s="144">
        <f t="shared" si="8"/>
        <v>0.75386933204918249</v>
      </c>
      <c r="AR38" s="144">
        <f t="shared" si="8"/>
        <v>0.75335313374519819</v>
      </c>
      <c r="AS38" s="144">
        <f t="shared" si="8"/>
        <v>0.75311104594154754</v>
      </c>
      <c r="AT38" s="144">
        <f t="shared" si="8"/>
        <v>0.75326278854061457</v>
      </c>
      <c r="AU38" s="144">
        <f t="shared" si="8"/>
        <v>0.75365004698451732</v>
      </c>
      <c r="AV38" s="144">
        <f t="shared" si="8"/>
        <v>0.75383852566017195</v>
      </c>
      <c r="AW38" s="144">
        <f t="shared" si="8"/>
        <v>0.75387398498624003</v>
      </c>
      <c r="AX38" s="144">
        <f t="shared" si="8"/>
        <v>0.75380730249746675</v>
      </c>
      <c r="AY38" s="144">
        <f t="shared" si="8"/>
        <v>0.75369649574514319</v>
      </c>
      <c r="AZ38" s="144">
        <f t="shared" si="8"/>
        <v>0.75360696179445352</v>
      </c>
    </row>
    <row r="39" spans="1:52" ht="14.6">
      <c r="A39" s="300" t="s">
        <v>654</v>
      </c>
      <c r="B39" s="144">
        <f t="shared" ref="B39:R39" si="9">SUM(B6,B17,B28)</f>
        <v>0.107568177</v>
      </c>
      <c r="C39" s="144">
        <f t="shared" si="9"/>
        <v>-0.105575318</v>
      </c>
      <c r="D39" s="144">
        <f t="shared" si="9"/>
        <v>-0.52294054599999995</v>
      </c>
      <c r="E39" s="144">
        <f t="shared" si="9"/>
        <v>-0.27243583700000001</v>
      </c>
      <c r="F39" s="144">
        <f t="shared" si="9"/>
        <v>-0.33630574699999999</v>
      </c>
      <c r="G39" s="144">
        <f t="shared" si="9"/>
        <v>0.30215173400000001</v>
      </c>
      <c r="H39" s="144">
        <f t="shared" si="9"/>
        <v>0.19623754700000007</v>
      </c>
      <c r="I39" s="144">
        <f t="shared" si="9"/>
        <v>-0.90028806099999992</v>
      </c>
      <c r="J39" s="144">
        <f t="shared" si="9"/>
        <v>-1.14192929</v>
      </c>
      <c r="K39" s="144">
        <f t="shared" si="9"/>
        <v>-0.36673095</v>
      </c>
      <c r="L39" s="144">
        <f t="shared" si="9"/>
        <v>-1.0819407139999999</v>
      </c>
      <c r="M39" s="144">
        <f t="shared" si="9"/>
        <v>-8.243833300000003E-2</v>
      </c>
      <c r="N39" s="144">
        <f t="shared" si="9"/>
        <v>-1.513023566</v>
      </c>
      <c r="O39" s="144">
        <f t="shared" si="9"/>
        <v>-0.66372672799999965</v>
      </c>
      <c r="P39" s="144">
        <f t="shared" si="9"/>
        <v>-5.6720751890000001</v>
      </c>
      <c r="Q39" s="144">
        <f t="shared" si="9"/>
        <v>-5.796089083</v>
      </c>
      <c r="R39" s="144">
        <f t="shared" si="9"/>
        <v>-2.6765874549999999</v>
      </c>
      <c r="S39" s="144">
        <f t="shared" ref="S39:AZ39" si="10">-0.992*S48+0.253</f>
        <v>-4.6667321189759994</v>
      </c>
      <c r="T39" s="144">
        <f t="shared" si="10"/>
        <v>-6.1599737487680004</v>
      </c>
      <c r="U39" s="144">
        <f t="shared" si="10"/>
        <v>-7.3149203839999997</v>
      </c>
      <c r="V39" s="144">
        <f t="shared" si="10"/>
        <v>-8.2220071680000011</v>
      </c>
      <c r="W39" s="144">
        <f t="shared" si="10"/>
        <v>-8.6872769919999993</v>
      </c>
      <c r="X39" s="144">
        <f t="shared" si="10"/>
        <v>-8.7830605439999996</v>
      </c>
      <c r="Y39" s="144">
        <f t="shared" si="10"/>
        <v>-8.7789110079999997</v>
      </c>
      <c r="Z39" s="144">
        <f t="shared" si="10"/>
        <v>-9.0102384640000004</v>
      </c>
      <c r="AA39" s="144">
        <f t="shared" si="10"/>
        <v>-9.120926815999999</v>
      </c>
      <c r="AB39" s="144">
        <f t="shared" si="10"/>
        <v>-9.3530736639999983</v>
      </c>
      <c r="AC39" s="144">
        <f t="shared" si="10"/>
        <v>-9.6332749760000009</v>
      </c>
      <c r="AD39" s="144">
        <f t="shared" si="10"/>
        <v>-9.6739559039999996</v>
      </c>
      <c r="AE39" s="144">
        <f t="shared" si="10"/>
        <v>-9.7941803519999997</v>
      </c>
      <c r="AF39" s="144">
        <f t="shared" si="10"/>
        <v>-9.883021888</v>
      </c>
      <c r="AG39" s="144">
        <f t="shared" si="10"/>
        <v>-9.9479949119999986</v>
      </c>
      <c r="AH39" s="144">
        <f t="shared" si="10"/>
        <v>-9.9062426240000008</v>
      </c>
      <c r="AI39" s="144">
        <f t="shared" si="10"/>
        <v>-9.8323773119999984</v>
      </c>
      <c r="AJ39" s="144">
        <f t="shared" si="10"/>
        <v>-9.8003783680000005</v>
      </c>
      <c r="AK39" s="144">
        <f t="shared" si="10"/>
        <v>-9.696752064</v>
      </c>
      <c r="AL39" s="144">
        <f t="shared" si="10"/>
        <v>-9.5615196479999991</v>
      </c>
      <c r="AM39" s="144">
        <f t="shared" si="10"/>
        <v>-9.4067111039999993</v>
      </c>
      <c r="AN39" s="144">
        <f t="shared" si="10"/>
        <v>-9.3075279680000005</v>
      </c>
      <c r="AO39" s="144">
        <f t="shared" si="10"/>
        <v>-9.22083312</v>
      </c>
      <c r="AP39" s="144">
        <f t="shared" si="10"/>
        <v>-9.1306513920000008</v>
      </c>
      <c r="AQ39" s="144">
        <f t="shared" si="10"/>
        <v>-9.1047334079999995</v>
      </c>
      <c r="AR39" s="144">
        <f t="shared" si="10"/>
        <v>-9.040097664000001</v>
      </c>
      <c r="AS39" s="144">
        <f t="shared" si="10"/>
        <v>-8.941296448000001</v>
      </c>
      <c r="AT39" s="144">
        <f t="shared" si="10"/>
        <v>-8.848105984</v>
      </c>
      <c r="AU39" s="144">
        <f t="shared" si="10"/>
        <v>-8.6812863040000003</v>
      </c>
      <c r="AV39" s="144">
        <f t="shared" si="10"/>
        <v>-8.5517370560000003</v>
      </c>
      <c r="AW39" s="144">
        <f t="shared" si="10"/>
        <v>-8.4495184000000005</v>
      </c>
      <c r="AX39" s="144">
        <f t="shared" si="10"/>
        <v>-8.3482421440000003</v>
      </c>
      <c r="AY39" s="144">
        <f t="shared" si="10"/>
        <v>-8.1634851200000007</v>
      </c>
      <c r="AZ39" s="144">
        <f t="shared" si="10"/>
        <v>-8.0572260479999986</v>
      </c>
    </row>
    <row r="40" spans="1:52" ht="14.6">
      <c r="A40" s="300" t="s">
        <v>666</v>
      </c>
      <c r="B40" s="144">
        <f t="shared" ref="B40:R40" si="11">SUM(B7:B8,B18:B19,B29:B30)</f>
        <v>7.2822647319999998</v>
      </c>
      <c r="C40" s="144">
        <f t="shared" si="11"/>
        <v>7.7682886330000001</v>
      </c>
      <c r="D40" s="144">
        <f t="shared" si="11"/>
        <v>7.9408306240000002</v>
      </c>
      <c r="E40" s="144">
        <f t="shared" si="11"/>
        <v>7.7309322509999996</v>
      </c>
      <c r="F40" s="144">
        <f t="shared" si="11"/>
        <v>7.6575674509999994</v>
      </c>
      <c r="G40" s="144">
        <f t="shared" si="11"/>
        <v>7.9539967589999998</v>
      </c>
      <c r="H40" s="144">
        <f t="shared" si="11"/>
        <v>8.5402840659999999</v>
      </c>
      <c r="I40" s="144">
        <f t="shared" si="11"/>
        <v>9.3103562229999977</v>
      </c>
      <c r="J40" s="144">
        <f t="shared" si="11"/>
        <v>9.2354151249999994</v>
      </c>
      <c r="K40" s="144">
        <f t="shared" si="11"/>
        <v>9.9788386189999994</v>
      </c>
      <c r="L40" s="144">
        <f t="shared" si="11"/>
        <v>11.210556137999999</v>
      </c>
      <c r="M40" s="144">
        <f t="shared" si="11"/>
        <v>12.565311376</v>
      </c>
      <c r="N40" s="144">
        <f t="shared" si="11"/>
        <v>14.025650972000001</v>
      </c>
      <c r="O40" s="144">
        <f t="shared" si="11"/>
        <v>16.024044008000001</v>
      </c>
      <c r="P40" s="144">
        <f t="shared" si="11"/>
        <v>19.314540135000001</v>
      </c>
      <c r="Q40" s="144">
        <f t="shared" si="11"/>
        <v>22.070514448000001</v>
      </c>
      <c r="R40" s="144">
        <f t="shared" si="11"/>
        <v>23.118968085000002</v>
      </c>
      <c r="S40" s="144">
        <f t="shared" ref="S40:AZ40" si="12">3.24*S48+7.1</f>
        <v>23.168479904720002</v>
      </c>
      <c r="T40" s="144">
        <f t="shared" si="12"/>
        <v>28.045599743960004</v>
      </c>
      <c r="U40" s="144">
        <f t="shared" si="12"/>
        <v>31.81780448</v>
      </c>
      <c r="V40" s="144">
        <f t="shared" si="12"/>
        <v>34.780466960000005</v>
      </c>
      <c r="W40" s="144">
        <f t="shared" si="12"/>
        <v>36.300098240000004</v>
      </c>
      <c r="X40" s="144">
        <f t="shared" si="12"/>
        <v>36.612939679999997</v>
      </c>
      <c r="Y40" s="144">
        <f t="shared" si="12"/>
        <v>36.599386760000002</v>
      </c>
      <c r="Z40" s="144">
        <f t="shared" si="12"/>
        <v>37.354932080000005</v>
      </c>
      <c r="AA40" s="144">
        <f t="shared" si="12"/>
        <v>37.716454519999999</v>
      </c>
      <c r="AB40" s="144">
        <f t="shared" si="12"/>
        <v>38.474676080000002</v>
      </c>
      <c r="AC40" s="144">
        <f t="shared" si="12"/>
        <v>39.389849720000008</v>
      </c>
      <c r="AD40" s="144">
        <f t="shared" si="12"/>
        <v>39.522718879999999</v>
      </c>
      <c r="AE40" s="144">
        <f t="shared" si="12"/>
        <v>39.915387440000003</v>
      </c>
      <c r="AF40" s="144">
        <f t="shared" si="12"/>
        <v>40.205555360000005</v>
      </c>
      <c r="AG40" s="144">
        <f t="shared" si="12"/>
        <v>40.417765639999999</v>
      </c>
      <c r="AH40" s="144">
        <f t="shared" si="12"/>
        <v>40.281397280000007</v>
      </c>
      <c r="AI40" s="144">
        <f t="shared" si="12"/>
        <v>40.040143640000004</v>
      </c>
      <c r="AJ40" s="144">
        <f t="shared" si="12"/>
        <v>39.935630960000005</v>
      </c>
      <c r="AK40" s="144">
        <f t="shared" si="12"/>
        <v>39.597174080000002</v>
      </c>
      <c r="AL40" s="144">
        <f t="shared" si="12"/>
        <v>39.155487559999997</v>
      </c>
      <c r="AM40" s="144">
        <f t="shared" si="12"/>
        <v>38.649862880000001</v>
      </c>
      <c r="AN40" s="144">
        <f t="shared" si="12"/>
        <v>38.325917960000005</v>
      </c>
      <c r="AO40" s="144">
        <f t="shared" si="12"/>
        <v>38.042761400000003</v>
      </c>
      <c r="AP40" s="144">
        <f t="shared" si="12"/>
        <v>37.748216240000005</v>
      </c>
      <c r="AQ40" s="144">
        <f t="shared" si="12"/>
        <v>37.66356476</v>
      </c>
      <c r="AR40" s="144">
        <f t="shared" si="12"/>
        <v>37.452456080000005</v>
      </c>
      <c r="AS40" s="144">
        <f t="shared" si="12"/>
        <v>37.129758560000006</v>
      </c>
      <c r="AT40" s="144">
        <f t="shared" si="12"/>
        <v>36.825386480000006</v>
      </c>
      <c r="AU40" s="144">
        <f t="shared" si="12"/>
        <v>36.280531880000005</v>
      </c>
      <c r="AV40" s="144">
        <f t="shared" si="12"/>
        <v>35.85740732</v>
      </c>
      <c r="AW40" s="144">
        <f t="shared" si="12"/>
        <v>35.523548000000005</v>
      </c>
      <c r="AX40" s="144">
        <f t="shared" si="12"/>
        <v>35.192766680000005</v>
      </c>
      <c r="AY40" s="144">
        <f t="shared" si="12"/>
        <v>34.589326400000004</v>
      </c>
      <c r="AZ40" s="144">
        <f t="shared" si="12"/>
        <v>34.242270560000001</v>
      </c>
    </row>
    <row r="41" spans="1:52" ht="14.6">
      <c r="A41" s="300" t="s">
        <v>679</v>
      </c>
      <c r="B41" s="144">
        <f t="shared" ref="B41:R41" si="13">SUM(B9:B12,B20:B23,B31:B34)</f>
        <v>4.676504969999999</v>
      </c>
      <c r="C41" s="144">
        <f t="shared" si="13"/>
        <v>5.0550079710000002</v>
      </c>
      <c r="D41" s="144">
        <f t="shared" si="13"/>
        <v>5.1575083209999999</v>
      </c>
      <c r="E41" s="144">
        <f t="shared" si="13"/>
        <v>5.214598305</v>
      </c>
      <c r="F41" s="144">
        <f t="shared" si="13"/>
        <v>3.3232993780000002</v>
      </c>
      <c r="G41" s="144">
        <f t="shared" si="13"/>
        <v>3.2930506509999997</v>
      </c>
      <c r="H41" s="144">
        <f t="shared" si="13"/>
        <v>4.0352826189999993</v>
      </c>
      <c r="I41" s="144">
        <f t="shared" si="13"/>
        <v>4.4724636250000005</v>
      </c>
      <c r="J41" s="144">
        <f t="shared" si="13"/>
        <v>4.1735682889999994</v>
      </c>
      <c r="K41" s="144">
        <f t="shared" si="13"/>
        <v>4.3129405230000009</v>
      </c>
      <c r="L41" s="144">
        <f t="shared" si="13"/>
        <v>5.5216871600000008</v>
      </c>
      <c r="M41" s="144">
        <f t="shared" si="13"/>
        <v>4.9852559210000003</v>
      </c>
      <c r="N41" s="144">
        <f t="shared" si="13"/>
        <v>5.1227699900000001</v>
      </c>
      <c r="O41" s="144">
        <f t="shared" si="13"/>
        <v>6.4022940159999999</v>
      </c>
      <c r="P41" s="144">
        <f t="shared" si="13"/>
        <v>6.9099759899999986</v>
      </c>
      <c r="Q41" s="144">
        <f t="shared" si="13"/>
        <v>7.6315185229999987</v>
      </c>
      <c r="R41" s="144">
        <f t="shared" si="13"/>
        <v>7.9724605009999996</v>
      </c>
      <c r="S41" s="144">
        <f t="shared" ref="S41:AZ41" si="14">0.759*S48+4.08</f>
        <v>7.8441901999020001</v>
      </c>
      <c r="T41" s="144">
        <f t="shared" si="14"/>
        <v>8.9867006807610004</v>
      </c>
      <c r="U41" s="144">
        <f t="shared" si="14"/>
        <v>9.870374567999999</v>
      </c>
      <c r="V41" s="144">
        <f t="shared" si="14"/>
        <v>10.564405686000001</v>
      </c>
      <c r="W41" s="144">
        <f t="shared" si="14"/>
        <v>10.920393384</v>
      </c>
      <c r="X41" s="144">
        <f t="shared" si="14"/>
        <v>10.993679388</v>
      </c>
      <c r="Y41" s="144">
        <f t="shared" si="14"/>
        <v>10.990504490999999</v>
      </c>
      <c r="Z41" s="144">
        <f t="shared" si="14"/>
        <v>11.167497978</v>
      </c>
      <c r="AA41" s="144">
        <f t="shared" si="14"/>
        <v>11.252187957</v>
      </c>
      <c r="AB41" s="144">
        <f t="shared" si="14"/>
        <v>11.429808378000001</v>
      </c>
      <c r="AC41" s="144">
        <f t="shared" si="14"/>
        <v>11.644196277000001</v>
      </c>
      <c r="AD41" s="144">
        <f t="shared" si="14"/>
        <v>11.675322108</v>
      </c>
      <c r="AE41" s="144">
        <f t="shared" si="14"/>
        <v>11.767308354000001</v>
      </c>
      <c r="AF41" s="144">
        <f t="shared" si="14"/>
        <v>11.835282876000001</v>
      </c>
      <c r="AG41" s="144">
        <f t="shared" si="14"/>
        <v>11.884995099000001</v>
      </c>
      <c r="AH41" s="144">
        <f t="shared" si="14"/>
        <v>11.853049548000001</v>
      </c>
      <c r="AI41" s="144">
        <f t="shared" si="14"/>
        <v>11.796533649000001</v>
      </c>
      <c r="AJ41" s="144">
        <f t="shared" si="14"/>
        <v>11.772050585999999</v>
      </c>
      <c r="AK41" s="144">
        <f t="shared" si="14"/>
        <v>11.692763928</v>
      </c>
      <c r="AL41" s="144">
        <f t="shared" si="14"/>
        <v>11.589294770999999</v>
      </c>
      <c r="AM41" s="144">
        <f t="shared" si="14"/>
        <v>11.470847508</v>
      </c>
      <c r="AN41" s="144">
        <f t="shared" si="14"/>
        <v>11.394960411</v>
      </c>
      <c r="AO41" s="144">
        <f t="shared" si="14"/>
        <v>11.328628365</v>
      </c>
      <c r="AP41" s="144">
        <f t="shared" si="14"/>
        <v>11.259628434</v>
      </c>
      <c r="AQ41" s="144">
        <f t="shared" si="14"/>
        <v>11.239798041</v>
      </c>
      <c r="AR41" s="144">
        <f t="shared" si="14"/>
        <v>11.190343878</v>
      </c>
      <c r="AS41" s="144">
        <f t="shared" si="14"/>
        <v>11.114748995999999</v>
      </c>
      <c r="AT41" s="144">
        <f t="shared" si="14"/>
        <v>11.043447018</v>
      </c>
      <c r="AU41" s="144">
        <f t="shared" si="14"/>
        <v>10.915809783</v>
      </c>
      <c r="AV41" s="144">
        <f t="shared" si="14"/>
        <v>10.816688937</v>
      </c>
      <c r="AW41" s="144">
        <f t="shared" si="14"/>
        <v>10.738479300000002</v>
      </c>
      <c r="AX41" s="144">
        <f t="shared" si="14"/>
        <v>10.660990713</v>
      </c>
      <c r="AY41" s="144">
        <f t="shared" si="14"/>
        <v>10.51962924</v>
      </c>
      <c r="AZ41" s="144">
        <f t="shared" si="14"/>
        <v>10.438328196000001</v>
      </c>
    </row>
    <row r="42" spans="1:52" ht="14.6">
      <c r="A42" s="80"/>
      <c r="B42" s="80"/>
      <c r="C42" s="80"/>
      <c r="D42" s="80"/>
      <c r="E42" s="80"/>
      <c r="F42" s="80"/>
      <c r="G42" s="80"/>
      <c r="H42" s="80"/>
      <c r="I42" s="80"/>
      <c r="J42" s="80"/>
      <c r="K42" s="80"/>
      <c r="L42" s="80"/>
      <c r="M42" s="80"/>
      <c r="N42" s="80"/>
      <c r="O42" s="80"/>
      <c r="P42" s="80"/>
      <c r="Q42" s="80"/>
      <c r="R42" s="80"/>
      <c r="S42" s="80"/>
    </row>
    <row r="43" spans="1:52" ht="14.6">
      <c r="A43" s="80" t="s">
        <v>681</v>
      </c>
      <c r="B43" s="140">
        <v>0.15</v>
      </c>
      <c r="C43" s="140">
        <v>0.15</v>
      </c>
      <c r="D43" s="140">
        <v>0.15</v>
      </c>
      <c r="E43" s="140">
        <v>0.15</v>
      </c>
      <c r="F43" s="140">
        <v>0.15</v>
      </c>
      <c r="G43" s="140">
        <v>0.15</v>
      </c>
      <c r="H43" s="140">
        <v>0.15</v>
      </c>
      <c r="I43" s="140">
        <v>0.15</v>
      </c>
      <c r="J43" s="140">
        <v>0.15</v>
      </c>
      <c r="K43" s="140">
        <v>0.15</v>
      </c>
      <c r="L43" s="140">
        <v>0.15</v>
      </c>
      <c r="M43" s="140">
        <v>0.15</v>
      </c>
      <c r="N43" s="140">
        <v>0.15</v>
      </c>
      <c r="O43" s="140">
        <v>0.15</v>
      </c>
      <c r="P43" s="140">
        <v>0.15</v>
      </c>
      <c r="Q43" s="140">
        <v>0.15</v>
      </c>
      <c r="R43" s="140">
        <v>0.15</v>
      </c>
      <c r="S43" s="140">
        <v>0.15</v>
      </c>
      <c r="T43" s="140">
        <v>0.15</v>
      </c>
      <c r="U43" s="140">
        <v>0.15</v>
      </c>
      <c r="V43" s="140">
        <v>0.15</v>
      </c>
      <c r="W43" s="140">
        <v>0.15</v>
      </c>
      <c r="X43" s="140">
        <v>0.15</v>
      </c>
      <c r="Y43" s="140">
        <v>0.15</v>
      </c>
      <c r="Z43" s="140">
        <v>0.15</v>
      </c>
      <c r="AA43" s="140">
        <v>0.15</v>
      </c>
      <c r="AB43" s="140">
        <v>0.15</v>
      </c>
      <c r="AC43" s="140">
        <v>0.15</v>
      </c>
      <c r="AD43" s="140">
        <v>0.15</v>
      </c>
      <c r="AE43" s="140">
        <v>0.15</v>
      </c>
      <c r="AF43" s="140">
        <v>0.15</v>
      </c>
      <c r="AG43" s="140">
        <v>0.15</v>
      </c>
      <c r="AH43" s="140">
        <v>0.15</v>
      </c>
      <c r="AI43" s="140">
        <v>0.15</v>
      </c>
      <c r="AJ43" s="140">
        <v>0.15</v>
      </c>
      <c r="AK43" s="140">
        <v>0.15</v>
      </c>
      <c r="AL43" s="140">
        <v>0.15</v>
      </c>
      <c r="AM43" s="140">
        <v>0.15</v>
      </c>
      <c r="AN43" s="140">
        <v>0.15</v>
      </c>
      <c r="AO43" s="140">
        <v>0.15</v>
      </c>
      <c r="AP43" s="140">
        <v>0.15</v>
      </c>
      <c r="AQ43" s="140">
        <v>0.15</v>
      </c>
      <c r="AR43" s="140">
        <v>0.15</v>
      </c>
      <c r="AS43" s="140">
        <v>0.15</v>
      </c>
      <c r="AT43" s="140">
        <v>0.15</v>
      </c>
      <c r="AU43" s="140">
        <v>0.15</v>
      </c>
      <c r="AV43" s="140">
        <v>0.15</v>
      </c>
      <c r="AW43" s="140">
        <v>0.15</v>
      </c>
      <c r="AX43" s="140">
        <v>0.15</v>
      </c>
      <c r="AY43" s="140">
        <v>0.15</v>
      </c>
      <c r="AZ43" s="140">
        <v>0.15</v>
      </c>
    </row>
    <row r="44" spans="1:52" ht="14.6">
      <c r="A44" s="80"/>
      <c r="B44" s="80"/>
      <c r="C44" s="80"/>
      <c r="D44" s="80"/>
      <c r="E44" s="80"/>
      <c r="F44" s="80"/>
      <c r="G44" s="80"/>
      <c r="H44" s="80"/>
      <c r="I44" s="80"/>
      <c r="J44" s="80"/>
      <c r="K44" s="80"/>
      <c r="L44" s="80"/>
      <c r="M44" s="80"/>
      <c r="N44" s="80"/>
      <c r="O44" s="80"/>
      <c r="P44" s="80"/>
      <c r="Q44" s="80"/>
      <c r="R44" s="80"/>
      <c r="S44" s="80"/>
    </row>
    <row r="45" spans="1:52" ht="14.6">
      <c r="A45" s="40" t="s">
        <v>682</v>
      </c>
      <c r="B45" s="80"/>
      <c r="C45" s="80"/>
      <c r="D45" s="80"/>
      <c r="E45" s="80"/>
      <c r="F45" s="80"/>
      <c r="G45" s="80"/>
      <c r="H45" s="80"/>
      <c r="I45" s="80"/>
      <c r="J45" s="80"/>
      <c r="K45" s="80"/>
      <c r="L45" s="80"/>
      <c r="M45" s="80"/>
      <c r="N45" s="80"/>
      <c r="O45" s="80"/>
      <c r="P45" s="80"/>
      <c r="Q45" s="80"/>
      <c r="R45" s="80"/>
      <c r="S45" s="80"/>
    </row>
    <row r="46" spans="1:52" ht="14.6">
      <c r="A46" s="80" t="s">
        <v>683</v>
      </c>
      <c r="B46" s="80">
        <v>2130707</v>
      </c>
      <c r="C46" s="80">
        <v>2117511</v>
      </c>
      <c r="D46" s="80">
        <v>2096588</v>
      </c>
      <c r="E46" s="80">
        <v>2061995</v>
      </c>
      <c r="F46" s="80">
        <v>1991394</v>
      </c>
      <c r="G46" s="80">
        <v>1892095</v>
      </c>
      <c r="H46" s="80">
        <v>1856340</v>
      </c>
      <c r="I46" s="80">
        <v>1851974</v>
      </c>
      <c r="J46" s="80">
        <v>1829880</v>
      </c>
      <c r="K46" s="80">
        <v>1952420</v>
      </c>
      <c r="L46" s="80">
        <v>1999352</v>
      </c>
      <c r="M46" s="80">
        <v>2063809</v>
      </c>
      <c r="N46" s="80">
        <v>2379555</v>
      </c>
      <c r="O46" s="80">
        <v>2725431</v>
      </c>
      <c r="P46" s="80">
        <v>3196889</v>
      </c>
      <c r="Q46" s="80">
        <v>3442188</v>
      </c>
      <c r="R46" s="80">
        <v>3232025</v>
      </c>
      <c r="S46" s="80">
        <v>3413376</v>
      </c>
    </row>
    <row r="47" spans="1:52" ht="14.6">
      <c r="A47" s="80" t="s">
        <v>684</v>
      </c>
      <c r="B47" s="317">
        <f t="shared" ref="B47:S47" si="15">0.001*B46/365</f>
        <v>5.8375534246575338</v>
      </c>
      <c r="C47" s="317">
        <f t="shared" si="15"/>
        <v>5.8014000000000001</v>
      </c>
      <c r="D47" s="317">
        <f t="shared" si="15"/>
        <v>5.7440767123287673</v>
      </c>
      <c r="E47" s="317">
        <f t="shared" si="15"/>
        <v>5.6493013698630135</v>
      </c>
      <c r="F47" s="317">
        <f t="shared" si="15"/>
        <v>5.4558739726027401</v>
      </c>
      <c r="G47" s="317">
        <f t="shared" si="15"/>
        <v>5.1838219178082197</v>
      </c>
      <c r="H47" s="317">
        <f t="shared" si="15"/>
        <v>5.0858630136986305</v>
      </c>
      <c r="I47" s="317">
        <f t="shared" si="15"/>
        <v>5.0739013698630133</v>
      </c>
      <c r="J47" s="317">
        <f t="shared" si="15"/>
        <v>5.0133698630136987</v>
      </c>
      <c r="K47" s="317">
        <f t="shared" si="15"/>
        <v>5.3490958904109593</v>
      </c>
      <c r="L47" s="317">
        <f t="shared" si="15"/>
        <v>5.4776767123287673</v>
      </c>
      <c r="M47" s="317">
        <f t="shared" si="15"/>
        <v>5.6542712328767131</v>
      </c>
      <c r="N47" s="317">
        <f t="shared" si="15"/>
        <v>6.5193287671232873</v>
      </c>
      <c r="O47" s="317">
        <f t="shared" si="15"/>
        <v>7.4669342465753425</v>
      </c>
      <c r="P47" s="317">
        <f t="shared" si="15"/>
        <v>8.7585999999999995</v>
      </c>
      <c r="Q47" s="317">
        <f t="shared" si="15"/>
        <v>9.4306520547945212</v>
      </c>
      <c r="R47" s="317">
        <f t="shared" si="15"/>
        <v>8.8548630136986297</v>
      </c>
      <c r="S47" s="317">
        <f t="shared" si="15"/>
        <v>9.3517150684931512</v>
      </c>
      <c r="T47" s="319">
        <v>10.738707</v>
      </c>
      <c r="U47" s="319">
        <v>11.969468000000001</v>
      </c>
      <c r="V47" s="273">
        <v>13.085901</v>
      </c>
      <c r="W47" s="273">
        <v>13.665423000000001</v>
      </c>
      <c r="X47" s="273">
        <v>13.977781</v>
      </c>
      <c r="Y47" s="273">
        <v>13.917915000000001</v>
      </c>
      <c r="Z47" s="273">
        <v>14.012055</v>
      </c>
      <c r="AA47" s="273">
        <v>14.094161</v>
      </c>
      <c r="AB47" s="273">
        <v>14.37495</v>
      </c>
      <c r="AC47" s="273">
        <v>14.506202</v>
      </c>
      <c r="AD47" s="273">
        <v>14.414598</v>
      </c>
      <c r="AE47" s="273">
        <v>14.413425</v>
      </c>
      <c r="AF47" s="273">
        <v>14.460274</v>
      </c>
      <c r="AG47" s="273">
        <v>14.534122999999999</v>
      </c>
      <c r="AH47" s="273">
        <v>14.510522999999999</v>
      </c>
      <c r="AI47" s="273">
        <v>14.482531</v>
      </c>
      <c r="AJ47" s="273">
        <v>14.434381</v>
      </c>
      <c r="AK47" s="273">
        <v>14.329348</v>
      </c>
      <c r="AL47" s="273">
        <v>14.269213000000001</v>
      </c>
      <c r="AM47" s="273">
        <v>14.174327</v>
      </c>
      <c r="AN47" s="273">
        <v>14.138342</v>
      </c>
      <c r="AO47" s="273">
        <v>14.101297000000001</v>
      </c>
      <c r="AP47" s="273">
        <v>14.050146</v>
      </c>
      <c r="AQ47" s="273">
        <v>13.942209</v>
      </c>
      <c r="AR47" s="273">
        <v>13.782655999999999</v>
      </c>
      <c r="AS47" s="273">
        <v>13.524229</v>
      </c>
      <c r="AT47" s="273">
        <v>13.299628</v>
      </c>
      <c r="AU47" s="273">
        <v>13.030391</v>
      </c>
      <c r="AV47" s="273">
        <v>12.814965000000001</v>
      </c>
      <c r="AW47" s="273">
        <v>12.614922</v>
      </c>
      <c r="AX47" s="273">
        <v>12.374134</v>
      </c>
      <c r="AY47" s="273">
        <v>12.0793</v>
      </c>
      <c r="AZ47" s="273">
        <v>11.860889</v>
      </c>
    </row>
    <row r="48" spans="1:52" ht="14.6">
      <c r="A48" s="320" t="s">
        <v>686</v>
      </c>
      <c r="B48" s="317">
        <v>0.39678200000000002</v>
      </c>
      <c r="C48" s="317">
        <v>0.38714999999999999</v>
      </c>
      <c r="D48" s="317">
        <v>0.37682900000000003</v>
      </c>
      <c r="E48" s="317">
        <v>0.37246691700000001</v>
      </c>
      <c r="F48" s="317">
        <v>0.38245941700000002</v>
      </c>
      <c r="G48" s="317">
        <v>0.40981541700000002</v>
      </c>
      <c r="H48" s="317">
        <v>0.42802158299999998</v>
      </c>
      <c r="I48" s="317">
        <v>0.462267333</v>
      </c>
      <c r="J48" s="317">
        <v>0.55364875000000002</v>
      </c>
      <c r="K48" s="317">
        <v>0.63217124999999996</v>
      </c>
      <c r="L48" s="317">
        <v>0.824436167</v>
      </c>
      <c r="M48" s="317">
        <v>1.292299917</v>
      </c>
      <c r="N48" s="317">
        <v>2.1434916230000001</v>
      </c>
      <c r="O48" s="317">
        <v>3.049101523</v>
      </c>
      <c r="P48" s="317">
        <v>4.1050079510000002</v>
      </c>
      <c r="Q48" s="317">
        <v>4.7744780679999996</v>
      </c>
      <c r="R48" s="317">
        <v>4.4291678130000003</v>
      </c>
      <c r="S48" s="317">
        <v>4.9594073779999999</v>
      </c>
      <c r="T48" s="321">
        <v>6.4646912790000002</v>
      </c>
      <c r="U48" s="319">
        <v>7.628952</v>
      </c>
      <c r="V48" s="273">
        <v>8.5433540000000008</v>
      </c>
      <c r="W48" s="273">
        <v>9.0123759999999997</v>
      </c>
      <c r="X48" s="273">
        <v>9.1089319999999994</v>
      </c>
      <c r="Y48" s="273">
        <v>9.104749</v>
      </c>
      <c r="Z48" s="273">
        <v>9.337942</v>
      </c>
      <c r="AA48" s="273">
        <v>9.4495229999999992</v>
      </c>
      <c r="AB48" s="273">
        <v>9.6835419999999992</v>
      </c>
      <c r="AC48" s="273">
        <v>9.9660030000000006</v>
      </c>
      <c r="AD48" s="273">
        <v>10.007012</v>
      </c>
      <c r="AE48" s="273">
        <v>10.128206</v>
      </c>
      <c r="AF48" s="273">
        <v>10.217764000000001</v>
      </c>
      <c r="AG48" s="273">
        <v>10.283261</v>
      </c>
      <c r="AH48" s="273">
        <v>10.241172000000001</v>
      </c>
      <c r="AI48" s="273">
        <v>10.166710999999999</v>
      </c>
      <c r="AJ48" s="273">
        <v>10.134454</v>
      </c>
      <c r="AK48" s="273">
        <v>10.029992</v>
      </c>
      <c r="AL48" s="273">
        <v>9.8936689999999992</v>
      </c>
      <c r="AM48" s="273">
        <v>9.7376120000000004</v>
      </c>
      <c r="AN48" s="273">
        <v>9.6376290000000004</v>
      </c>
      <c r="AO48" s="273">
        <v>9.5502350000000007</v>
      </c>
      <c r="AP48" s="273">
        <v>9.4593260000000008</v>
      </c>
      <c r="AQ48" s="273">
        <v>9.4331990000000001</v>
      </c>
      <c r="AR48" s="273">
        <v>9.3680420000000009</v>
      </c>
      <c r="AS48" s="273">
        <v>9.2684440000000006</v>
      </c>
      <c r="AT48" s="273">
        <v>9.1745020000000004</v>
      </c>
      <c r="AU48" s="273">
        <v>9.0063370000000003</v>
      </c>
      <c r="AV48" s="273">
        <v>8.8757429999999999</v>
      </c>
      <c r="AW48" s="273">
        <v>8.7727000000000004</v>
      </c>
      <c r="AX48" s="273">
        <v>8.6706070000000004</v>
      </c>
      <c r="AY48" s="273">
        <v>8.4843600000000006</v>
      </c>
      <c r="AZ48" s="273">
        <v>8.3772439999999992</v>
      </c>
    </row>
    <row r="49" spans="1:52" ht="14.6">
      <c r="A49" s="80" t="s">
        <v>687</v>
      </c>
      <c r="B49" s="31">
        <f t="shared" ref="B49:AZ49" si="16">B48/B47</f>
        <v>6.7970598491486636E-2</v>
      </c>
      <c r="C49" s="31">
        <f t="shared" si="16"/>
        <v>6.6733891819216046E-2</v>
      </c>
      <c r="D49" s="31">
        <f t="shared" si="16"/>
        <v>6.5603058397739569E-2</v>
      </c>
      <c r="E49" s="31">
        <f t="shared" si="16"/>
        <v>6.5931500660767847E-2</v>
      </c>
      <c r="F49" s="31">
        <f t="shared" si="16"/>
        <v>7.0100485993731018E-2</v>
      </c>
      <c r="G49" s="31">
        <f t="shared" si="16"/>
        <v>7.9056615658833193E-2</v>
      </c>
      <c r="H49" s="31">
        <f t="shared" si="16"/>
        <v>8.4159086048353204E-2</v>
      </c>
      <c r="I49" s="31">
        <f t="shared" si="16"/>
        <v>9.1106881924368277E-2</v>
      </c>
      <c r="J49" s="31">
        <f t="shared" si="16"/>
        <v>0.11043445130281768</v>
      </c>
      <c r="K49" s="31">
        <f t="shared" si="16"/>
        <v>0.11818282247159934</v>
      </c>
      <c r="L49" s="31">
        <f t="shared" si="16"/>
        <v>0.15050836518782085</v>
      </c>
      <c r="M49" s="31">
        <f t="shared" si="16"/>
        <v>0.22855286981741041</v>
      </c>
      <c r="N49" s="31">
        <f t="shared" si="16"/>
        <v>0.32879023279352654</v>
      </c>
      <c r="O49" s="31">
        <f t="shared" si="16"/>
        <v>0.40834717734369352</v>
      </c>
      <c r="P49" s="31">
        <f t="shared" si="16"/>
        <v>0.46868311727901724</v>
      </c>
      <c r="Q49" s="31">
        <f t="shared" si="16"/>
        <v>0.50627231714827892</v>
      </c>
      <c r="R49" s="31">
        <f t="shared" si="16"/>
        <v>0.50019608503801805</v>
      </c>
      <c r="S49" s="31">
        <f t="shared" si="16"/>
        <v>0.53032062479199471</v>
      </c>
      <c r="T49" s="31">
        <f t="shared" si="16"/>
        <v>0.60199903759363216</v>
      </c>
      <c r="U49" s="31">
        <f t="shared" si="16"/>
        <v>0.6373676758231861</v>
      </c>
      <c r="V49" s="31">
        <f t="shared" si="16"/>
        <v>0.65286708190746678</v>
      </c>
      <c r="W49" s="31">
        <f t="shared" si="16"/>
        <v>0.65950216103811787</v>
      </c>
      <c r="X49" s="31">
        <f t="shared" si="16"/>
        <v>0.65167225040941756</v>
      </c>
      <c r="Y49" s="31">
        <f t="shared" si="16"/>
        <v>0.65417478120824846</v>
      </c>
      <c r="Z49" s="31">
        <f t="shared" si="16"/>
        <v>0.66642202018190766</v>
      </c>
      <c r="AA49" s="31">
        <f t="shared" si="16"/>
        <v>0.67045658127504004</v>
      </c>
      <c r="AB49" s="31">
        <f t="shared" si="16"/>
        <v>0.67364004744364325</v>
      </c>
      <c r="AC49" s="31">
        <f t="shared" si="16"/>
        <v>0.6870166980991993</v>
      </c>
      <c r="AD49" s="31">
        <f t="shared" si="16"/>
        <v>0.69422761564353019</v>
      </c>
      <c r="AE49" s="31">
        <f t="shared" si="16"/>
        <v>0.70269252450406483</v>
      </c>
      <c r="AF49" s="31">
        <f t="shared" si="16"/>
        <v>0.70660929384878879</v>
      </c>
      <c r="AG49" s="31">
        <f t="shared" si="16"/>
        <v>0.70752538698069367</v>
      </c>
      <c r="AH49" s="31">
        <f t="shared" si="16"/>
        <v>0.70577552580289504</v>
      </c>
      <c r="AI49" s="31">
        <f t="shared" si="16"/>
        <v>0.70199822116728072</v>
      </c>
      <c r="AJ49" s="31">
        <f t="shared" si="16"/>
        <v>0.70210520284867084</v>
      </c>
      <c r="AK49" s="31">
        <f t="shared" si="16"/>
        <v>0.69996150557582948</v>
      </c>
      <c r="AL49" s="31">
        <f t="shared" si="16"/>
        <v>0.69335772056945244</v>
      </c>
      <c r="AM49" s="31">
        <f t="shared" si="16"/>
        <v>0.68698937169997565</v>
      </c>
      <c r="AN49" s="31">
        <f t="shared" si="16"/>
        <v>0.68166613878770232</v>
      </c>
      <c r="AO49" s="31">
        <f t="shared" si="16"/>
        <v>0.67725933295355745</v>
      </c>
      <c r="AP49" s="31">
        <f t="shared" si="16"/>
        <v>0.67325464091262832</v>
      </c>
      <c r="AQ49" s="31">
        <f t="shared" si="16"/>
        <v>0.67659285555108228</v>
      </c>
      <c r="AR49" s="31">
        <f t="shared" si="16"/>
        <v>0.67969787535871184</v>
      </c>
      <c r="AS49" s="31">
        <f t="shared" si="16"/>
        <v>0.68532143311090044</v>
      </c>
      <c r="AT49" s="31">
        <f t="shared" si="16"/>
        <v>0.68983147498561614</v>
      </c>
      <c r="AU49" s="31">
        <f t="shared" si="16"/>
        <v>0.69117933606136606</v>
      </c>
      <c r="AV49" s="31">
        <f t="shared" si="16"/>
        <v>0.69260766611535807</v>
      </c>
      <c r="AW49" s="31">
        <f t="shared" si="16"/>
        <v>0.69542245286970461</v>
      </c>
      <c r="AX49" s="31">
        <f t="shared" si="16"/>
        <v>0.70070414624570909</v>
      </c>
      <c r="AY49" s="31">
        <f t="shared" si="16"/>
        <v>0.70238838343281484</v>
      </c>
      <c r="AZ49" s="31">
        <f t="shared" si="16"/>
        <v>0.70629140867939988</v>
      </c>
    </row>
    <row r="50" spans="1:52" ht="14.6">
      <c r="A50" s="80" t="s">
        <v>689</v>
      </c>
      <c r="B50" s="80">
        <v>6310904</v>
      </c>
      <c r="C50" s="80">
        <v>6309000</v>
      </c>
      <c r="D50" s="80">
        <v>6304620</v>
      </c>
      <c r="E50" s="80">
        <v>6382794</v>
      </c>
      <c r="F50" s="80">
        <v>6519753</v>
      </c>
      <c r="G50" s="80">
        <v>6497015</v>
      </c>
      <c r="H50" s="80">
        <v>6560912</v>
      </c>
      <c r="I50" s="80">
        <v>6567929</v>
      </c>
      <c r="J50" s="80">
        <v>6641293</v>
      </c>
      <c r="K50" s="80">
        <v>6527069</v>
      </c>
      <c r="L50" s="80">
        <v>6735067</v>
      </c>
      <c r="M50" s="80">
        <v>6815590</v>
      </c>
      <c r="N50" s="80">
        <v>6794407</v>
      </c>
      <c r="O50" s="80">
        <v>6973710</v>
      </c>
      <c r="P50" s="80">
        <v>7173730</v>
      </c>
      <c r="Q50" s="80">
        <v>7258314</v>
      </c>
      <c r="R50" s="80">
        <v>7348911</v>
      </c>
      <c r="S50" s="80">
        <v>7408771</v>
      </c>
    </row>
    <row r="51" spans="1:52" ht="14.6">
      <c r="A51" s="80" t="s">
        <v>690</v>
      </c>
      <c r="B51" s="80">
        <v>257984</v>
      </c>
      <c r="C51" s="80">
        <v>243322</v>
      </c>
      <c r="D51" s="80">
        <v>244900</v>
      </c>
      <c r="E51" s="80">
        <v>240082</v>
      </c>
      <c r="F51" s="80">
        <v>235975</v>
      </c>
      <c r="G51" s="80">
        <v>209029</v>
      </c>
      <c r="H51" s="80">
        <v>228960</v>
      </c>
      <c r="I51" s="80">
        <v>238904</v>
      </c>
      <c r="J51" s="80">
        <v>230431</v>
      </c>
      <c r="K51" s="80">
        <v>227470</v>
      </c>
      <c r="L51" s="80">
        <v>240454</v>
      </c>
      <c r="M51" s="80">
        <v>225992</v>
      </c>
      <c r="N51" s="80">
        <v>230413</v>
      </c>
      <c r="O51" s="80">
        <v>227349</v>
      </c>
      <c r="P51" s="80">
        <v>238485</v>
      </c>
      <c r="Q51" s="80">
        <v>224329</v>
      </c>
      <c r="R51" s="80">
        <v>231136</v>
      </c>
      <c r="S51" s="80">
        <v>229391</v>
      </c>
      <c r="AH51" s="322" t="s">
        <v>691</v>
      </c>
    </row>
    <row r="52" spans="1:52" ht="14.6">
      <c r="A52" s="80" t="s">
        <v>692</v>
      </c>
      <c r="B52" s="80">
        <v>257984</v>
      </c>
      <c r="C52" s="80">
        <v>243322</v>
      </c>
      <c r="D52" s="80">
        <v>244900</v>
      </c>
      <c r="E52" s="80">
        <v>240082</v>
      </c>
      <c r="F52" s="80">
        <v>235975</v>
      </c>
      <c r="G52" s="80">
        <v>209029</v>
      </c>
      <c r="H52" s="80">
        <v>228960</v>
      </c>
      <c r="I52" s="80">
        <v>238904</v>
      </c>
      <c r="J52" s="80">
        <v>230431</v>
      </c>
      <c r="K52" s="80">
        <v>227470</v>
      </c>
      <c r="L52" s="80">
        <v>240454</v>
      </c>
      <c r="M52" s="80">
        <v>225992</v>
      </c>
      <c r="N52" s="80">
        <v>230413</v>
      </c>
      <c r="O52" s="80">
        <v>227349</v>
      </c>
      <c r="P52" s="80">
        <v>238485</v>
      </c>
      <c r="Q52" s="80">
        <v>224329</v>
      </c>
      <c r="R52" s="80">
        <v>231136</v>
      </c>
      <c r="S52" s="80">
        <v>229391</v>
      </c>
      <c r="AH52" s="323" t="s">
        <v>693</v>
      </c>
    </row>
    <row r="53" spans="1:52" ht="14.6">
      <c r="A53" s="80" t="s">
        <v>695</v>
      </c>
      <c r="B53" s="80">
        <v>2910056</v>
      </c>
      <c r="C53" s="80">
        <v>2928050</v>
      </c>
      <c r="D53" s="80">
        <v>2986747</v>
      </c>
      <c r="E53" s="80">
        <v>2990949</v>
      </c>
      <c r="F53" s="80">
        <v>3025128</v>
      </c>
      <c r="G53" s="80">
        <v>3035889</v>
      </c>
      <c r="H53" s="80">
        <v>3052754</v>
      </c>
      <c r="I53" s="80">
        <v>3050614</v>
      </c>
      <c r="J53" s="80">
        <v>3128673</v>
      </c>
      <c r="K53" s="80">
        <v>3206726</v>
      </c>
      <c r="L53" s="80">
        <v>3306400</v>
      </c>
      <c r="M53" s="80">
        <v>3306028</v>
      </c>
      <c r="N53" s="80">
        <v>3267022</v>
      </c>
      <c r="O53" s="80">
        <v>3370460</v>
      </c>
      <c r="P53" s="80">
        <v>3493224</v>
      </c>
      <c r="Q53" s="80">
        <v>3560117</v>
      </c>
      <c r="R53" s="80">
        <v>3658204</v>
      </c>
      <c r="S53" s="80">
        <v>3633123</v>
      </c>
      <c r="AH53" s="7" t="s">
        <v>696</v>
      </c>
    </row>
    <row r="54" spans="1:52" ht="14.6">
      <c r="A54" s="80" t="s">
        <v>697</v>
      </c>
      <c r="B54" s="80">
        <v>587899</v>
      </c>
      <c r="C54" s="80">
        <v>558230</v>
      </c>
      <c r="D54" s="80">
        <v>552511</v>
      </c>
      <c r="E54" s="80">
        <v>543345</v>
      </c>
      <c r="F54" s="80">
        <v>566164</v>
      </c>
      <c r="G54" s="80">
        <v>564226</v>
      </c>
      <c r="H54" s="80">
        <v>540556</v>
      </c>
      <c r="I54" s="80">
        <v>528476</v>
      </c>
      <c r="J54" s="80">
        <v>546410</v>
      </c>
      <c r="K54" s="80">
        <v>509684</v>
      </c>
      <c r="L54" s="80">
        <v>517475</v>
      </c>
      <c r="M54" s="80">
        <v>528811</v>
      </c>
      <c r="N54" s="80">
        <v>538319</v>
      </c>
      <c r="O54" s="80">
        <v>547275</v>
      </c>
      <c r="P54" s="80">
        <v>562600</v>
      </c>
      <c r="Q54" s="80">
        <v>580431</v>
      </c>
      <c r="R54" s="80">
        <v>603899</v>
      </c>
      <c r="S54" s="80">
        <v>621176</v>
      </c>
      <c r="AH54" s="7" t="s">
        <v>698</v>
      </c>
    </row>
    <row r="55" spans="1:52" ht="14.6">
      <c r="A55" s="80" t="s">
        <v>699</v>
      </c>
      <c r="B55" s="80">
        <v>1310158</v>
      </c>
      <c r="C55" s="80">
        <v>1348525</v>
      </c>
      <c r="D55" s="80">
        <v>1311151</v>
      </c>
      <c r="E55" s="80">
        <v>1353138</v>
      </c>
      <c r="F55" s="80">
        <v>1396037</v>
      </c>
      <c r="G55" s="80">
        <v>1443348</v>
      </c>
      <c r="H55" s="80">
        <v>1474741</v>
      </c>
      <c r="I55" s="80">
        <v>1508530</v>
      </c>
      <c r="J55" s="80">
        <v>1571539</v>
      </c>
      <c r="K55" s="80">
        <v>1477534</v>
      </c>
      <c r="L55" s="80">
        <v>1541503</v>
      </c>
      <c r="M55" s="80">
        <v>1639606</v>
      </c>
      <c r="N55" s="80">
        <v>1665256</v>
      </c>
      <c r="O55" s="80">
        <v>1727493</v>
      </c>
      <c r="P55" s="80">
        <v>1794433</v>
      </c>
      <c r="Q55" s="80">
        <v>1818780</v>
      </c>
      <c r="R55" s="80">
        <v>1769335</v>
      </c>
      <c r="S55" s="80">
        <v>1833879</v>
      </c>
    </row>
    <row r="56" spans="1:52" ht="14.6">
      <c r="A56" s="80" t="s">
        <v>700</v>
      </c>
      <c r="B56" s="80">
        <v>254843</v>
      </c>
      <c r="C56" s="80">
        <v>263017</v>
      </c>
      <c r="D56" s="80">
        <v>219445</v>
      </c>
      <c r="E56" s="80">
        <v>240871</v>
      </c>
      <c r="F56" s="80">
        <v>239907</v>
      </c>
      <c r="G56" s="80">
        <v>229074</v>
      </c>
      <c r="H56" s="80">
        <v>231888</v>
      </c>
      <c r="I56" s="80">
        <v>245521</v>
      </c>
      <c r="J56" s="80">
        <v>226867</v>
      </c>
      <c r="K56" s="80">
        <v>218339</v>
      </c>
      <c r="L56" s="80">
        <v>213493</v>
      </c>
      <c r="M56" s="80">
        <v>196168</v>
      </c>
      <c r="N56" s="80">
        <v>183222</v>
      </c>
      <c r="O56" s="80">
        <v>170445</v>
      </c>
      <c r="P56" s="80">
        <v>158897</v>
      </c>
      <c r="Q56" s="80">
        <v>152266</v>
      </c>
      <c r="R56" s="80">
        <v>152855</v>
      </c>
      <c r="S56" s="80">
        <v>155851</v>
      </c>
    </row>
    <row r="57" spans="1:52" ht="14.6">
      <c r="A57" s="40" t="s">
        <v>701</v>
      </c>
    </row>
    <row r="58" spans="1:52" ht="14.6">
      <c r="A58" s="227" t="s">
        <v>517</v>
      </c>
      <c r="B58" s="257">
        <v>30.30083333</v>
      </c>
      <c r="C58" s="257">
        <v>25.947500000000002</v>
      </c>
      <c r="D58" s="257">
        <v>26.114999999999998</v>
      </c>
      <c r="E58" s="257">
        <v>31.12083333</v>
      </c>
      <c r="F58" s="257">
        <v>41.443333330000002</v>
      </c>
      <c r="G58" s="257">
        <v>56.4925</v>
      </c>
      <c r="H58" s="257">
        <v>66.018333330000004</v>
      </c>
      <c r="I58" s="257">
        <v>72.318333330000002</v>
      </c>
      <c r="J58" s="257">
        <v>99.571666669999999</v>
      </c>
      <c r="K58" s="257">
        <v>61.654166670000002</v>
      </c>
      <c r="L58" s="257">
        <v>79.394999999999996</v>
      </c>
      <c r="M58" s="257">
        <v>94.874166669999994</v>
      </c>
      <c r="N58" s="257">
        <v>94.110833330000006</v>
      </c>
      <c r="O58" s="257">
        <v>97.905833329999993</v>
      </c>
      <c r="P58" s="257">
        <v>93.258333329999999</v>
      </c>
      <c r="Q58" s="257">
        <v>48.688333329999999</v>
      </c>
      <c r="R58" s="257">
        <v>43.144166669999997</v>
      </c>
      <c r="S58" s="257">
        <v>50.884166669999999</v>
      </c>
      <c r="T58" s="277">
        <v>68.463997000000006</v>
      </c>
      <c r="U58" s="277">
        <v>69.556999000000005</v>
      </c>
      <c r="V58" s="277">
        <v>73.417884999999998</v>
      </c>
      <c r="W58" s="277">
        <v>77.008262999999999</v>
      </c>
      <c r="X58" s="277">
        <v>78.175545</v>
      </c>
      <c r="Y58" s="277">
        <v>81.901627000000005</v>
      </c>
      <c r="Z58" s="277">
        <v>87.454857000000004</v>
      </c>
      <c r="AA58" s="277">
        <v>92.685051000000001</v>
      </c>
      <c r="AB58" s="277">
        <v>97.377525000000006</v>
      </c>
      <c r="AC58" s="277">
        <v>102.45367400000001</v>
      </c>
      <c r="AD58" s="277">
        <v>106.935913</v>
      </c>
      <c r="AE58" s="277">
        <v>111.79879</v>
      </c>
      <c r="AF58" s="277">
        <v>116.05490899999999</v>
      </c>
      <c r="AG58" s="277">
        <v>121.082336</v>
      </c>
      <c r="AH58" s="277">
        <v>125.28482099999999</v>
      </c>
      <c r="AI58" s="277">
        <v>131.83606</v>
      </c>
      <c r="AJ58" s="277">
        <v>135.625595</v>
      </c>
      <c r="AK58" s="277">
        <v>140.913284</v>
      </c>
      <c r="AL58" s="277">
        <v>146.975525</v>
      </c>
      <c r="AM58" s="277">
        <v>149.76126099999999</v>
      </c>
      <c r="AN58" s="277">
        <v>154.985153</v>
      </c>
      <c r="AO58" s="277">
        <v>159.689987</v>
      </c>
      <c r="AP58" s="277">
        <v>165.707123</v>
      </c>
      <c r="AQ58" s="277">
        <v>170.50799599999999</v>
      </c>
      <c r="AR58" s="277">
        <v>176.77037000000001</v>
      </c>
      <c r="AS58" s="277">
        <v>181.380966</v>
      </c>
      <c r="AT58" s="277">
        <v>186.617828</v>
      </c>
      <c r="AU58" s="277">
        <v>192.04548600000001</v>
      </c>
      <c r="AV58" s="277">
        <v>197.27950999999999</v>
      </c>
      <c r="AW58" s="277">
        <v>202.59780900000001</v>
      </c>
      <c r="AX58" s="277">
        <v>208.11772199999999</v>
      </c>
      <c r="AY58" s="277">
        <v>213.356369</v>
      </c>
      <c r="AZ58" s="277">
        <v>218.58865399999999</v>
      </c>
    </row>
    <row r="59" spans="1:52" ht="14.6">
      <c r="A59" s="227" t="s">
        <v>702</v>
      </c>
      <c r="B59" s="144">
        <f t="shared" ref="B59:AZ59" si="17">B48*B58*0.365</f>
        <v>4.3883312163755823</v>
      </c>
      <c r="C59" s="144">
        <f t="shared" si="17"/>
        <v>3.666634738125</v>
      </c>
      <c r="D59" s="144">
        <f t="shared" si="17"/>
        <v>3.5919246072749997</v>
      </c>
      <c r="E59" s="144">
        <f t="shared" si="17"/>
        <v>4.2308905083870192</v>
      </c>
      <c r="F59" s="144">
        <f t="shared" si="17"/>
        <v>5.7853934829338911</v>
      </c>
      <c r="G59" s="144">
        <f t="shared" si="17"/>
        <v>8.4502965673784622</v>
      </c>
      <c r="H59" s="144">
        <f t="shared" si="17"/>
        <v>10.313904111708815</v>
      </c>
      <c r="I59" s="144">
        <f t="shared" si="17"/>
        <v>12.202097122544401</v>
      </c>
      <c r="J59" s="144">
        <f t="shared" si="17"/>
        <v>20.12162100735069</v>
      </c>
      <c r="K59" s="144">
        <f t="shared" si="17"/>
        <v>14.226236938191017</v>
      </c>
      <c r="L59" s="144">
        <f t="shared" si="17"/>
        <v>23.89147995982222</v>
      </c>
      <c r="M59" s="144">
        <f t="shared" si="17"/>
        <v>44.751145365276081</v>
      </c>
      <c r="N59" s="144">
        <f t="shared" si="17"/>
        <v>73.629910749887543</v>
      </c>
      <c r="O59" s="144">
        <f t="shared" si="17"/>
        <v>108.96156131373681</v>
      </c>
      <c r="P59" s="144">
        <f t="shared" si="17"/>
        <v>139.73156293308028</v>
      </c>
      <c r="Q59" s="144">
        <f t="shared" si="17"/>
        <v>84.84840357281881</v>
      </c>
      <c r="R59" s="144">
        <f t="shared" si="17"/>
        <v>69.748855331717053</v>
      </c>
      <c r="S59" s="144">
        <f t="shared" si="17"/>
        <v>92.10968873640158</v>
      </c>
      <c r="T59" s="324">
        <f t="shared" si="17"/>
        <v>161.54849058095451</v>
      </c>
      <c r="U59" s="324">
        <f t="shared" si="17"/>
        <v>193.68615742179253</v>
      </c>
      <c r="V59" s="324">
        <f t="shared" si="17"/>
        <v>228.94076824249586</v>
      </c>
      <c r="W59" s="324">
        <f t="shared" si="17"/>
        <v>253.3200087609541</v>
      </c>
      <c r="X59" s="324">
        <f t="shared" si="17"/>
        <v>259.91493906579808</v>
      </c>
      <c r="Y59" s="324">
        <f t="shared" si="17"/>
        <v>272.1782211322174</v>
      </c>
      <c r="Z59" s="324">
        <f t="shared" si="17"/>
        <v>298.07665953376733</v>
      </c>
      <c r="AA59" s="324">
        <f t="shared" si="17"/>
        <v>319.6777752309456</v>
      </c>
      <c r="AB59" s="324">
        <f t="shared" si="17"/>
        <v>344.18016391564572</v>
      </c>
      <c r="AC59" s="324">
        <f t="shared" si="17"/>
        <v>372.68457219243305</v>
      </c>
      <c r="AD59" s="324">
        <f t="shared" si="17"/>
        <v>390.5897720870139</v>
      </c>
      <c r="AE59" s="324">
        <f t="shared" si="17"/>
        <v>413.29722911982014</v>
      </c>
      <c r="AF59" s="324">
        <f t="shared" si="17"/>
        <v>432.82490998926869</v>
      </c>
      <c r="AG59" s="324">
        <f t="shared" si="17"/>
        <v>454.46926120585903</v>
      </c>
      <c r="AH59" s="324">
        <f t="shared" si="17"/>
        <v>468.31814131032735</v>
      </c>
      <c r="AI59" s="324">
        <f t="shared" si="17"/>
        <v>489.22377931051085</v>
      </c>
      <c r="AJ59" s="324">
        <f t="shared" si="17"/>
        <v>501.68934411879741</v>
      </c>
      <c r="AK59" s="324">
        <f t="shared" si="17"/>
        <v>515.87607559301068</v>
      </c>
      <c r="AL59" s="324">
        <f t="shared" si="17"/>
        <v>530.7564263396971</v>
      </c>
      <c r="AM59" s="324">
        <f t="shared" si="17"/>
        <v>532.28572407078718</v>
      </c>
      <c r="AN59" s="324">
        <f t="shared" si="17"/>
        <v>545.19663286961656</v>
      </c>
      <c r="AO59" s="324">
        <f t="shared" si="17"/>
        <v>556.65306959388499</v>
      </c>
      <c r="AP59" s="324">
        <f t="shared" si="17"/>
        <v>572.12935939737076</v>
      </c>
      <c r="AQ59" s="324">
        <f t="shared" si="17"/>
        <v>587.07908793610943</v>
      </c>
      <c r="AR59" s="324">
        <f t="shared" si="17"/>
        <v>604.43717143817219</v>
      </c>
      <c r="AS59" s="324">
        <f t="shared" si="17"/>
        <v>613.60855400346998</v>
      </c>
      <c r="AT59" s="324">
        <f t="shared" si="17"/>
        <v>624.9258572209045</v>
      </c>
      <c r="AU59" s="324">
        <f t="shared" si="17"/>
        <v>631.31362367934548</v>
      </c>
      <c r="AV59" s="324">
        <f t="shared" si="17"/>
        <v>639.11581392296443</v>
      </c>
      <c r="AW59" s="324">
        <f t="shared" si="17"/>
        <v>648.72537664021957</v>
      </c>
      <c r="AX59" s="324">
        <f t="shared" si="17"/>
        <v>658.64504667699771</v>
      </c>
      <c r="AY59" s="324">
        <f t="shared" si="17"/>
        <v>660.72016865442663</v>
      </c>
      <c r="AZ59" s="324">
        <f t="shared" si="17"/>
        <v>668.37722891919509</v>
      </c>
    </row>
    <row r="60" spans="1:52" ht="14.6">
      <c r="V60" s="7" t="s">
        <v>704</v>
      </c>
    </row>
    <row r="71" spans="1:52" ht="15.75" customHeight="1">
      <c r="A71" s="93" t="s">
        <v>74</v>
      </c>
      <c r="B71" s="279">
        <v>0.6</v>
      </c>
      <c r="C71" s="247"/>
      <c r="D71" s="247"/>
      <c r="E71" s="247"/>
      <c r="F71" s="247"/>
      <c r="G71" s="247"/>
      <c r="H71" s="247"/>
      <c r="I71" s="247"/>
      <c r="J71" s="247"/>
      <c r="K71" s="247"/>
      <c r="L71" s="247"/>
      <c r="M71" s="247"/>
      <c r="N71" s="247"/>
      <c r="O71" s="247"/>
      <c r="P71" s="247"/>
      <c r="Q71" s="247"/>
      <c r="R71" s="247"/>
      <c r="S71" s="247"/>
      <c r="T71" s="247"/>
      <c r="U71" s="247"/>
      <c r="V71" s="247"/>
    </row>
    <row r="72" spans="1:52" ht="15.75" customHeight="1">
      <c r="A72" s="93" t="s">
        <v>76</v>
      </c>
      <c r="B72" s="245">
        <f>1-B71</f>
        <v>0.4</v>
      </c>
      <c r="C72" s="247"/>
      <c r="D72" s="247"/>
      <c r="E72" s="247"/>
      <c r="F72" s="247"/>
      <c r="G72" s="247"/>
      <c r="H72" s="247"/>
      <c r="I72" s="247"/>
      <c r="J72" s="247"/>
      <c r="K72" s="247"/>
      <c r="L72" s="247"/>
      <c r="M72" s="247"/>
      <c r="N72" s="247"/>
      <c r="O72" s="247"/>
      <c r="P72" s="247"/>
      <c r="Q72" s="247"/>
      <c r="R72" s="247"/>
      <c r="S72" s="247"/>
      <c r="T72" s="247"/>
      <c r="U72" s="247"/>
      <c r="V72" s="247"/>
    </row>
    <row r="73" spans="1:52" ht="15.75" customHeight="1">
      <c r="A73" s="93" t="s">
        <v>78</v>
      </c>
      <c r="B73" s="279">
        <v>7.4999999999999997E-2</v>
      </c>
      <c r="C73" s="247"/>
      <c r="D73" s="247"/>
      <c r="E73" s="247"/>
      <c r="F73" s="247"/>
      <c r="G73" s="247"/>
      <c r="H73" s="247"/>
      <c r="I73" s="247"/>
      <c r="J73" s="247"/>
      <c r="K73" s="247"/>
      <c r="L73" s="247"/>
      <c r="M73" s="247"/>
      <c r="N73" s="247"/>
      <c r="O73" s="247"/>
      <c r="P73" s="247"/>
      <c r="Q73" s="247"/>
      <c r="R73" s="247"/>
      <c r="S73" s="247"/>
      <c r="T73" s="247"/>
      <c r="U73" s="247"/>
      <c r="V73" s="247"/>
    </row>
    <row r="74" spans="1:52" ht="15.75" customHeight="1">
      <c r="A74" s="93" t="s">
        <v>80</v>
      </c>
      <c r="B74" s="279">
        <v>0.09</v>
      </c>
      <c r="C74" s="247"/>
      <c r="D74" s="247"/>
      <c r="E74" s="247"/>
      <c r="F74" s="247"/>
      <c r="G74" s="247"/>
      <c r="H74" s="247"/>
      <c r="I74" s="247"/>
      <c r="J74" s="247"/>
      <c r="K74" s="247"/>
      <c r="L74" s="247"/>
      <c r="M74" s="247"/>
      <c r="N74" s="247"/>
      <c r="O74" s="247"/>
      <c r="P74" s="247"/>
      <c r="Q74" s="247"/>
      <c r="R74" s="247"/>
      <c r="S74" s="247"/>
      <c r="T74" s="247"/>
      <c r="U74" s="247"/>
      <c r="V74" s="247"/>
    </row>
    <row r="75" spans="1:52" ht="15.75" customHeight="1">
      <c r="A75" s="93" t="s">
        <v>82</v>
      </c>
      <c r="B75" s="245">
        <f>B71*B73+B72*B74</f>
        <v>8.0999999999999989E-2</v>
      </c>
      <c r="C75" s="250"/>
      <c r="D75" s="250"/>
      <c r="E75" s="250"/>
      <c r="F75" s="250"/>
      <c r="G75" s="250"/>
      <c r="H75" s="250"/>
      <c r="I75" s="250"/>
      <c r="J75" s="250"/>
      <c r="K75" s="250"/>
      <c r="L75" s="250"/>
      <c r="M75" s="250"/>
      <c r="N75" s="250"/>
      <c r="O75" s="250"/>
      <c r="P75" s="250"/>
      <c r="Q75" s="250"/>
      <c r="R75" s="250"/>
      <c r="S75" s="250"/>
      <c r="T75" s="250"/>
      <c r="U75" s="250"/>
      <c r="V75" s="250"/>
    </row>
    <row r="76" spans="1:52" ht="15.75" customHeight="1">
      <c r="A76" s="93" t="s">
        <v>84</v>
      </c>
      <c r="B76" s="251">
        <v>15</v>
      </c>
      <c r="C76" s="88"/>
      <c r="D76" s="88"/>
      <c r="E76" s="88"/>
      <c r="F76" s="88"/>
      <c r="G76" s="88"/>
      <c r="H76" s="88"/>
      <c r="I76" s="88"/>
      <c r="J76" s="88"/>
      <c r="K76" s="88"/>
      <c r="L76" s="88"/>
      <c r="M76" s="88"/>
      <c r="N76" s="88"/>
      <c r="O76" s="88"/>
      <c r="P76" s="88"/>
      <c r="Q76" s="88"/>
      <c r="R76" s="88"/>
      <c r="S76" s="88"/>
      <c r="T76" s="88"/>
      <c r="U76" s="88"/>
      <c r="V76" s="88"/>
    </row>
    <row r="77" spans="1:52" ht="15.75" customHeight="1">
      <c r="A77" s="93" t="s">
        <v>503</v>
      </c>
      <c r="B77" s="245">
        <v>3.7499999999999999E-2</v>
      </c>
      <c r="C77" s="252">
        <v>7.2190000000000004E-2</v>
      </c>
      <c r="D77" s="252">
        <v>6.6769999999999996E-2</v>
      </c>
      <c r="E77" s="252">
        <v>6.1769999999999999E-2</v>
      </c>
      <c r="F77" s="252">
        <v>5.713E-2</v>
      </c>
      <c r="G77" s="252">
        <v>5.2850000000000001E-2</v>
      </c>
      <c r="H77" s="252">
        <v>4.888E-2</v>
      </c>
      <c r="I77" s="252">
        <v>4.5220000000000003E-2</v>
      </c>
      <c r="J77" s="252">
        <v>4.462E-2</v>
      </c>
      <c r="K77" s="252">
        <v>4.4609999999999997E-2</v>
      </c>
      <c r="L77" s="252">
        <v>4.462E-2</v>
      </c>
      <c r="M77" s="252">
        <v>4.4609999999999997E-2</v>
      </c>
      <c r="N77" s="252">
        <v>4.462E-2</v>
      </c>
      <c r="O77" s="252">
        <v>4.4609999999999997E-2</v>
      </c>
      <c r="P77" s="252">
        <v>4.462E-2</v>
      </c>
      <c r="Q77" s="252">
        <v>4.4609999999999997E-2</v>
      </c>
      <c r="R77" s="252">
        <v>4.462E-2</v>
      </c>
      <c r="S77" s="252">
        <v>4.4609999999999997E-2</v>
      </c>
      <c r="T77" s="252">
        <v>4.462E-2</v>
      </c>
      <c r="U77" s="252">
        <v>4.4609999999999997E-2</v>
      </c>
      <c r="V77" s="252">
        <v>2.231E-2</v>
      </c>
    </row>
    <row r="78" spans="1:52" ht="15.75" customHeight="1">
      <c r="A78" s="93" t="s">
        <v>504</v>
      </c>
      <c r="B78" s="245">
        <f>1/30</f>
        <v>3.3333333333333333E-2</v>
      </c>
    </row>
    <row r="79" spans="1:52" ht="15" customHeight="1">
      <c r="A79" s="93" t="s">
        <v>112</v>
      </c>
      <c r="B79" s="253">
        <v>0.35</v>
      </c>
      <c r="C79" s="253">
        <v>0.35</v>
      </c>
      <c r="D79" s="253">
        <v>0.35</v>
      </c>
      <c r="E79" s="253">
        <v>0.35</v>
      </c>
      <c r="F79" s="253">
        <v>0.35</v>
      </c>
      <c r="G79" s="253">
        <v>0.35</v>
      </c>
      <c r="H79" s="253">
        <v>0.35</v>
      </c>
      <c r="I79" s="253">
        <v>0.35</v>
      </c>
      <c r="J79" s="253">
        <v>0.35</v>
      </c>
      <c r="K79" s="253">
        <v>0.35</v>
      </c>
      <c r="L79" s="253">
        <v>0.35</v>
      </c>
      <c r="M79" s="253">
        <v>0.35</v>
      </c>
      <c r="N79" s="253">
        <v>0.35</v>
      </c>
      <c r="O79" s="253">
        <v>0.35</v>
      </c>
      <c r="P79" s="253">
        <v>0.35</v>
      </c>
      <c r="Q79" s="253">
        <v>0.35</v>
      </c>
      <c r="R79" s="253">
        <v>0.35</v>
      </c>
      <c r="S79" s="253">
        <v>0.35</v>
      </c>
      <c r="T79" s="253">
        <v>0.21</v>
      </c>
      <c r="U79" s="253">
        <v>0.21</v>
      </c>
      <c r="V79" s="254">
        <v>0.21</v>
      </c>
      <c r="W79" s="102">
        <f t="shared" ref="W79:AZ79" si="18">V79</f>
        <v>0.21</v>
      </c>
      <c r="X79" s="102">
        <f t="shared" si="18"/>
        <v>0.21</v>
      </c>
      <c r="Y79" s="102">
        <f t="shared" si="18"/>
        <v>0.21</v>
      </c>
      <c r="Z79" s="102">
        <f t="shared" si="18"/>
        <v>0.21</v>
      </c>
      <c r="AA79" s="102">
        <f t="shared" si="18"/>
        <v>0.21</v>
      </c>
      <c r="AB79" s="102">
        <f t="shared" si="18"/>
        <v>0.21</v>
      </c>
      <c r="AC79" s="102">
        <f t="shared" si="18"/>
        <v>0.21</v>
      </c>
      <c r="AD79" s="102">
        <f t="shared" si="18"/>
        <v>0.21</v>
      </c>
      <c r="AE79" s="102">
        <f t="shared" si="18"/>
        <v>0.21</v>
      </c>
      <c r="AF79" s="102">
        <f t="shared" si="18"/>
        <v>0.21</v>
      </c>
      <c r="AG79" s="102">
        <f t="shared" si="18"/>
        <v>0.21</v>
      </c>
      <c r="AH79" s="102">
        <f t="shared" si="18"/>
        <v>0.21</v>
      </c>
      <c r="AI79" s="102">
        <f t="shared" si="18"/>
        <v>0.21</v>
      </c>
      <c r="AJ79" s="102">
        <f t="shared" si="18"/>
        <v>0.21</v>
      </c>
      <c r="AK79" s="102">
        <f t="shared" si="18"/>
        <v>0.21</v>
      </c>
      <c r="AL79" s="102">
        <f t="shared" si="18"/>
        <v>0.21</v>
      </c>
      <c r="AM79" s="102">
        <f t="shared" si="18"/>
        <v>0.21</v>
      </c>
      <c r="AN79" s="102">
        <f t="shared" si="18"/>
        <v>0.21</v>
      </c>
      <c r="AO79" s="102">
        <f t="shared" si="18"/>
        <v>0.21</v>
      </c>
      <c r="AP79" s="102">
        <f t="shared" si="18"/>
        <v>0.21</v>
      </c>
      <c r="AQ79" s="102">
        <f t="shared" si="18"/>
        <v>0.21</v>
      </c>
      <c r="AR79" s="102">
        <f t="shared" si="18"/>
        <v>0.21</v>
      </c>
      <c r="AS79" s="102">
        <f t="shared" si="18"/>
        <v>0.21</v>
      </c>
      <c r="AT79" s="102">
        <f t="shared" si="18"/>
        <v>0.21</v>
      </c>
      <c r="AU79" s="102">
        <f t="shared" si="18"/>
        <v>0.21</v>
      </c>
      <c r="AV79" s="102">
        <f t="shared" si="18"/>
        <v>0.21</v>
      </c>
      <c r="AW79" s="102">
        <f t="shared" si="18"/>
        <v>0.21</v>
      </c>
      <c r="AX79" s="102">
        <f t="shared" si="18"/>
        <v>0.21</v>
      </c>
      <c r="AY79" s="102">
        <f t="shared" si="18"/>
        <v>0.21</v>
      </c>
      <c r="AZ79" s="102">
        <f t="shared" si="18"/>
        <v>0.21</v>
      </c>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H86"/>
  <sheetViews>
    <sheetView workbookViewId="0"/>
  </sheetViews>
  <sheetFormatPr defaultColWidth="14.4609375" defaultRowHeight="15" customHeight="1"/>
  <cols>
    <col min="1" max="1" width="56.53515625" customWidth="1"/>
  </cols>
  <sheetData>
    <row r="1" spans="1:60" ht="14.6">
      <c r="A1" s="294"/>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c r="BA1" s="42"/>
      <c r="BB1" s="42"/>
      <c r="BC1" s="42"/>
      <c r="BD1" s="42"/>
      <c r="BE1" s="42"/>
      <c r="BF1" s="42"/>
      <c r="BG1" s="42"/>
      <c r="BH1" s="42"/>
    </row>
    <row r="2" spans="1:60" ht="14.6">
      <c r="A2" s="301" t="s">
        <v>619</v>
      </c>
      <c r="B2" s="302" t="s">
        <v>620</v>
      </c>
      <c r="C2" s="302" t="s">
        <v>620</v>
      </c>
      <c r="D2" s="302" t="s">
        <v>620</v>
      </c>
      <c r="E2" s="302">
        <v>1.17</v>
      </c>
      <c r="F2" s="302">
        <v>1.1499999999999999</v>
      </c>
      <c r="G2" s="302">
        <v>1.1399999999999999</v>
      </c>
      <c r="H2" s="302">
        <v>1.1200000000000001</v>
      </c>
      <c r="I2" s="302">
        <v>1.17</v>
      </c>
      <c r="J2" s="302">
        <v>1.45</v>
      </c>
      <c r="K2" s="302">
        <v>1.48</v>
      </c>
      <c r="L2" s="302">
        <v>1.83</v>
      </c>
      <c r="M2" s="302">
        <v>1.58</v>
      </c>
      <c r="N2" s="302">
        <v>1.52</v>
      </c>
      <c r="O2" s="302">
        <v>1.97</v>
      </c>
      <c r="P2" s="302">
        <v>1.79</v>
      </c>
      <c r="Q2" s="302">
        <v>1.82</v>
      </c>
      <c r="R2" s="302">
        <v>1.82</v>
      </c>
    </row>
    <row r="3" spans="1:60" ht="14.6">
      <c r="A3" s="301" t="s">
        <v>621</v>
      </c>
      <c r="B3" s="302" t="s">
        <v>620</v>
      </c>
      <c r="C3" s="302" t="s">
        <v>620</v>
      </c>
      <c r="D3" s="302" t="s">
        <v>620</v>
      </c>
      <c r="E3" s="302">
        <v>0.03</v>
      </c>
      <c r="F3" s="302">
        <v>0.02</v>
      </c>
      <c r="G3" s="302">
        <v>0.03</v>
      </c>
      <c r="H3" s="302">
        <v>0.03</v>
      </c>
      <c r="I3" s="302">
        <v>7.0000000000000007E-2</v>
      </c>
      <c r="J3" s="302">
        <v>0.12</v>
      </c>
      <c r="K3" s="302">
        <v>0.23</v>
      </c>
      <c r="L3" s="302">
        <v>0.03</v>
      </c>
      <c r="M3" s="302">
        <v>7.0000000000000007E-2</v>
      </c>
      <c r="N3" s="302">
        <v>0.1</v>
      </c>
      <c r="O3" s="302">
        <v>0.06</v>
      </c>
      <c r="P3" s="302">
        <v>0.04</v>
      </c>
      <c r="Q3" s="302">
        <v>0.03</v>
      </c>
      <c r="R3" s="302">
        <v>0.02</v>
      </c>
    </row>
    <row r="4" spans="1:60" ht="14.6">
      <c r="A4" s="301" t="s">
        <v>622</v>
      </c>
      <c r="B4" s="302" t="s">
        <v>620</v>
      </c>
      <c r="C4" s="302" t="s">
        <v>620</v>
      </c>
      <c r="D4" s="302" t="s">
        <v>620</v>
      </c>
      <c r="E4" s="302">
        <v>0.09</v>
      </c>
      <c r="F4" s="302">
        <v>0.05</v>
      </c>
      <c r="G4" s="302">
        <v>7.0000000000000007E-2</v>
      </c>
      <c r="H4" s="302">
        <v>0.02</v>
      </c>
      <c r="I4" s="302">
        <v>0.05</v>
      </c>
      <c r="J4" s="302">
        <v>0.1</v>
      </c>
      <c r="K4" s="302">
        <v>0.08</v>
      </c>
      <c r="L4" s="302">
        <v>0.2</v>
      </c>
      <c r="M4" s="302">
        <v>0.17</v>
      </c>
      <c r="N4" s="302">
        <v>0.08</v>
      </c>
      <c r="O4" s="302">
        <v>0.21</v>
      </c>
      <c r="P4" s="302">
        <v>0.02</v>
      </c>
      <c r="Q4" s="302">
        <v>0.04</v>
      </c>
      <c r="R4" s="302">
        <v>0.4</v>
      </c>
    </row>
    <row r="5" spans="1:60" ht="14.6">
      <c r="A5" s="301" t="s">
        <v>623</v>
      </c>
      <c r="B5" s="302" t="s">
        <v>620</v>
      </c>
      <c r="C5" s="302" t="s">
        <v>620</v>
      </c>
      <c r="D5" s="302" t="s">
        <v>620</v>
      </c>
      <c r="E5" s="302">
        <v>0</v>
      </c>
      <c r="F5" s="302">
        <v>0</v>
      </c>
      <c r="G5" s="302">
        <v>0</v>
      </c>
      <c r="H5" s="302">
        <v>0</v>
      </c>
      <c r="I5" s="302">
        <v>0</v>
      </c>
      <c r="J5" s="302">
        <v>0</v>
      </c>
      <c r="K5" s="302">
        <v>0</v>
      </c>
      <c r="L5" s="302">
        <v>-0.09</v>
      </c>
      <c r="M5" s="302">
        <v>0.01</v>
      </c>
      <c r="N5" s="302">
        <v>-0.01</v>
      </c>
      <c r="O5" s="302">
        <v>0</v>
      </c>
      <c r="P5" s="302">
        <v>0</v>
      </c>
      <c r="Q5" s="302">
        <v>0</v>
      </c>
      <c r="R5" s="302">
        <v>0.01</v>
      </c>
    </row>
    <row r="6" spans="1:60" ht="14.6">
      <c r="A6" s="301" t="s">
        <v>625</v>
      </c>
      <c r="B6" s="302" t="s">
        <v>620</v>
      </c>
      <c r="C6" s="302" t="s">
        <v>620</v>
      </c>
      <c r="D6" s="302" t="s">
        <v>620</v>
      </c>
      <c r="E6" s="302">
        <v>0</v>
      </c>
      <c r="F6" s="302">
        <v>0.03</v>
      </c>
      <c r="G6" s="302">
        <v>0.02</v>
      </c>
      <c r="H6" s="302">
        <v>0.05</v>
      </c>
      <c r="I6" s="302">
        <v>0.25</v>
      </c>
      <c r="J6" s="302">
        <v>0.01</v>
      </c>
      <c r="K6" s="302">
        <v>0.21</v>
      </c>
      <c r="L6" s="302">
        <v>0.01</v>
      </c>
      <c r="M6" s="302">
        <v>0.03</v>
      </c>
      <c r="N6" s="302">
        <v>0.43</v>
      </c>
      <c r="O6" s="302">
        <v>-0.03</v>
      </c>
      <c r="P6" s="302">
        <v>0</v>
      </c>
      <c r="Q6" s="302">
        <v>0</v>
      </c>
      <c r="R6" s="302">
        <v>-0.23</v>
      </c>
    </row>
    <row r="7" spans="1:60" ht="14.6">
      <c r="A7" s="301" t="s">
        <v>626</v>
      </c>
      <c r="B7" s="302" t="s">
        <v>620</v>
      </c>
      <c r="C7" s="302" t="s">
        <v>620</v>
      </c>
      <c r="D7" s="302" t="s">
        <v>620</v>
      </c>
      <c r="E7" s="302">
        <v>1.1100000000000001</v>
      </c>
      <c r="F7" s="302">
        <v>1.1399999999999999</v>
      </c>
      <c r="G7" s="302">
        <v>1.1200000000000001</v>
      </c>
      <c r="H7" s="302">
        <v>1.17</v>
      </c>
      <c r="I7" s="302">
        <v>1.45</v>
      </c>
      <c r="J7" s="302">
        <v>1.48</v>
      </c>
      <c r="K7" s="302">
        <v>1.83</v>
      </c>
      <c r="L7" s="302">
        <v>1.58</v>
      </c>
      <c r="M7" s="302">
        <v>1.52</v>
      </c>
      <c r="N7" s="302">
        <v>1.97</v>
      </c>
      <c r="O7" s="302">
        <v>1.79</v>
      </c>
      <c r="P7" s="302">
        <v>1.82</v>
      </c>
      <c r="Q7" s="302">
        <v>1.8</v>
      </c>
      <c r="R7" s="302">
        <v>1.21</v>
      </c>
    </row>
    <row r="8" spans="1:60" ht="14.6">
      <c r="A8" s="303" t="s">
        <v>627</v>
      </c>
      <c r="B8" s="304">
        <v>0</v>
      </c>
      <c r="C8" s="304">
        <v>0</v>
      </c>
      <c r="D8" s="304">
        <v>0</v>
      </c>
      <c r="E8" s="304">
        <v>7.0000000000000007E-2</v>
      </c>
      <c r="F8" s="304">
        <v>0.13</v>
      </c>
      <c r="G8" s="304">
        <v>0.13</v>
      </c>
      <c r="H8" s="304">
        <v>0.15</v>
      </c>
      <c r="I8" s="304">
        <v>0.16</v>
      </c>
      <c r="J8" s="304">
        <v>0.17</v>
      </c>
      <c r="K8" s="304">
        <v>0.17</v>
      </c>
      <c r="L8" s="304">
        <v>0.16</v>
      </c>
      <c r="M8" s="304">
        <v>0.16</v>
      </c>
      <c r="N8" s="304">
        <v>0.25</v>
      </c>
      <c r="O8" s="304">
        <v>0.3</v>
      </c>
      <c r="P8" s="304">
        <v>0.3</v>
      </c>
      <c r="Q8" s="304">
        <v>0.3</v>
      </c>
      <c r="R8" s="304">
        <v>0.31</v>
      </c>
    </row>
    <row r="9" spans="1:60" ht="14.6">
      <c r="A9" s="303" t="s">
        <v>628</v>
      </c>
      <c r="B9" s="304">
        <v>0</v>
      </c>
      <c r="C9" s="304" t="s">
        <v>620</v>
      </c>
      <c r="D9" s="304">
        <v>0</v>
      </c>
      <c r="E9" s="304">
        <v>0.08</v>
      </c>
      <c r="F9" s="304">
        <v>0.01</v>
      </c>
      <c r="G9" s="304">
        <v>0.01</v>
      </c>
      <c r="H9" s="304">
        <v>0.01</v>
      </c>
      <c r="I9" s="304">
        <v>0</v>
      </c>
      <c r="J9" s="304">
        <v>0</v>
      </c>
      <c r="K9" s="304">
        <v>0.01</v>
      </c>
      <c r="L9" s="304">
        <v>0</v>
      </c>
      <c r="M9" s="304">
        <v>0.09</v>
      </c>
      <c r="N9" s="304">
        <v>0.04</v>
      </c>
      <c r="O9" s="304">
        <v>0</v>
      </c>
      <c r="P9" s="304">
        <v>0</v>
      </c>
      <c r="Q9" s="304">
        <v>0.01</v>
      </c>
      <c r="R9" s="304">
        <v>0</v>
      </c>
    </row>
    <row r="10" spans="1:60" ht="14.6">
      <c r="A10" s="303" t="s">
        <v>629</v>
      </c>
      <c r="B10" s="304">
        <v>0</v>
      </c>
      <c r="C10" s="304" t="s">
        <v>620</v>
      </c>
      <c r="D10" s="304">
        <v>0</v>
      </c>
      <c r="E10" s="304">
        <v>0.02</v>
      </c>
      <c r="F10" s="304">
        <v>0</v>
      </c>
      <c r="G10" s="304">
        <v>0</v>
      </c>
      <c r="H10" s="304">
        <v>0</v>
      </c>
      <c r="I10" s="304">
        <v>0</v>
      </c>
      <c r="J10" s="304">
        <v>0</v>
      </c>
      <c r="K10" s="304">
        <v>0.02</v>
      </c>
      <c r="L10" s="304">
        <v>0</v>
      </c>
      <c r="M10" s="304">
        <v>0</v>
      </c>
      <c r="N10" s="304">
        <v>0</v>
      </c>
      <c r="O10" s="304">
        <v>0</v>
      </c>
      <c r="P10" s="304">
        <v>0</v>
      </c>
      <c r="Q10" s="304">
        <v>0</v>
      </c>
      <c r="R10" s="304">
        <v>0.28000000000000003</v>
      </c>
    </row>
    <row r="11" spans="1:60" ht="14.6">
      <c r="A11" s="303" t="s">
        <v>630</v>
      </c>
      <c r="B11" s="304" t="s">
        <v>620</v>
      </c>
      <c r="C11" s="304" t="s">
        <v>620</v>
      </c>
      <c r="D11" s="304" t="s">
        <v>620</v>
      </c>
      <c r="E11" s="304">
        <v>0</v>
      </c>
      <c r="F11" s="304" t="s">
        <v>620</v>
      </c>
      <c r="G11" s="304">
        <v>0.01</v>
      </c>
      <c r="H11" s="304">
        <v>0</v>
      </c>
      <c r="I11" s="304" t="s">
        <v>620</v>
      </c>
      <c r="J11" s="304">
        <v>0</v>
      </c>
      <c r="K11" s="304">
        <v>0</v>
      </c>
      <c r="L11" s="304">
        <v>0</v>
      </c>
      <c r="M11" s="304" t="s">
        <v>620</v>
      </c>
      <c r="N11" s="304" t="s">
        <v>620</v>
      </c>
      <c r="O11" s="304" t="s">
        <v>620</v>
      </c>
      <c r="P11" s="304" t="s">
        <v>620</v>
      </c>
      <c r="Q11" s="304" t="s">
        <v>620</v>
      </c>
      <c r="R11" s="304" t="s">
        <v>620</v>
      </c>
    </row>
    <row r="12" spans="1:60" ht="14.6">
      <c r="A12" s="303" t="s">
        <v>631</v>
      </c>
      <c r="B12" s="304" t="s">
        <v>620</v>
      </c>
      <c r="C12" s="304" t="s">
        <v>620</v>
      </c>
      <c r="D12" s="304" t="s">
        <v>620</v>
      </c>
      <c r="E12" s="304">
        <v>0</v>
      </c>
      <c r="F12" s="304" t="s">
        <v>620</v>
      </c>
      <c r="G12" s="304">
        <v>0</v>
      </c>
      <c r="H12" s="304">
        <v>0</v>
      </c>
      <c r="I12" s="304" t="s">
        <v>620</v>
      </c>
      <c r="J12" s="304">
        <v>0</v>
      </c>
      <c r="K12" s="304">
        <v>0</v>
      </c>
      <c r="L12" s="304">
        <v>0</v>
      </c>
      <c r="M12" s="304">
        <v>0</v>
      </c>
      <c r="N12" s="304">
        <v>0</v>
      </c>
      <c r="O12" s="304">
        <v>0</v>
      </c>
      <c r="P12" s="304">
        <v>0</v>
      </c>
      <c r="Q12" s="304" t="s">
        <v>620</v>
      </c>
      <c r="R12" s="304">
        <v>0</v>
      </c>
    </row>
    <row r="13" spans="1:60" ht="14.6">
      <c r="A13" s="303" t="s">
        <v>632</v>
      </c>
      <c r="B13" s="304">
        <v>0</v>
      </c>
      <c r="C13" s="304">
        <v>0</v>
      </c>
      <c r="D13" s="304">
        <v>0</v>
      </c>
      <c r="E13" s="304">
        <v>0.13</v>
      </c>
      <c r="F13" s="304">
        <v>0.13</v>
      </c>
      <c r="G13" s="304">
        <v>0.15</v>
      </c>
      <c r="H13" s="304">
        <v>0.16</v>
      </c>
      <c r="I13" s="304">
        <v>0.17</v>
      </c>
      <c r="J13" s="304">
        <v>0.17</v>
      </c>
      <c r="K13" s="304">
        <v>0.16</v>
      </c>
      <c r="L13" s="304">
        <v>0.16</v>
      </c>
      <c r="M13" s="304">
        <v>0.25</v>
      </c>
      <c r="N13" s="304">
        <v>0.3</v>
      </c>
      <c r="O13" s="304">
        <v>0.3</v>
      </c>
      <c r="P13" s="304">
        <v>0.3</v>
      </c>
      <c r="Q13" s="304">
        <v>0.31</v>
      </c>
      <c r="R13" s="304">
        <v>0.03</v>
      </c>
    </row>
    <row r="14" spans="1:60" ht="14.6">
      <c r="A14" s="305" t="s">
        <v>633</v>
      </c>
      <c r="B14" s="306">
        <v>1.77</v>
      </c>
      <c r="C14" s="306">
        <v>1.81</v>
      </c>
      <c r="D14" s="306">
        <v>1.88</v>
      </c>
      <c r="E14" s="306">
        <v>0.81</v>
      </c>
      <c r="F14" s="306">
        <v>1.18</v>
      </c>
      <c r="G14" s="306">
        <v>1.23</v>
      </c>
      <c r="H14" s="306">
        <v>1.33</v>
      </c>
      <c r="I14" s="306">
        <v>1.66</v>
      </c>
      <c r="J14" s="306">
        <v>1.69</v>
      </c>
      <c r="K14" s="306">
        <v>1.47</v>
      </c>
      <c r="L14" s="306">
        <v>1.94</v>
      </c>
      <c r="M14" s="306">
        <v>2.76</v>
      </c>
      <c r="N14" s="306">
        <v>2.82</v>
      </c>
      <c r="O14" s="306">
        <v>2.82</v>
      </c>
      <c r="P14" s="306">
        <v>2.84</v>
      </c>
      <c r="Q14" s="306">
        <v>2.85</v>
      </c>
      <c r="R14" s="306">
        <v>2.85</v>
      </c>
    </row>
    <row r="15" spans="1:60" ht="14.6">
      <c r="A15" s="305" t="s">
        <v>634</v>
      </c>
      <c r="B15" s="306">
        <v>0.06</v>
      </c>
      <c r="C15" s="306">
        <v>0.08</v>
      </c>
      <c r="D15" s="306">
        <v>0.13</v>
      </c>
      <c r="E15" s="306">
        <v>0.19</v>
      </c>
      <c r="F15" s="306">
        <v>0.04</v>
      </c>
      <c r="G15" s="306">
        <v>0.1</v>
      </c>
      <c r="H15" s="306">
        <v>0.33</v>
      </c>
      <c r="I15" s="306">
        <v>0.03</v>
      </c>
      <c r="J15" s="306">
        <v>7.0000000000000007E-2</v>
      </c>
      <c r="K15" s="306">
        <v>0.47</v>
      </c>
      <c r="L15" s="306">
        <v>0.83</v>
      </c>
      <c r="M15" s="306">
        <v>0.06</v>
      </c>
      <c r="N15" s="306">
        <v>0.01</v>
      </c>
      <c r="O15" s="306">
        <v>0.01</v>
      </c>
      <c r="P15" s="306">
        <v>0.02</v>
      </c>
      <c r="Q15" s="306">
        <v>0.01</v>
      </c>
      <c r="R15" s="306">
        <v>0.01</v>
      </c>
    </row>
    <row r="16" spans="1:60" ht="14.6">
      <c r="A16" s="305" t="s">
        <v>635</v>
      </c>
      <c r="B16" s="306">
        <v>0.01</v>
      </c>
      <c r="C16" s="306">
        <v>0.01</v>
      </c>
      <c r="D16" s="306">
        <v>0.01</v>
      </c>
      <c r="E16" s="306">
        <v>0</v>
      </c>
      <c r="F16" s="306">
        <v>0</v>
      </c>
      <c r="G16" s="306">
        <v>0</v>
      </c>
      <c r="H16" s="306">
        <v>0.01</v>
      </c>
      <c r="I16" s="306">
        <v>0</v>
      </c>
      <c r="J16" s="306">
        <v>0</v>
      </c>
      <c r="K16" s="306">
        <v>0</v>
      </c>
      <c r="L16" s="306">
        <v>0</v>
      </c>
      <c r="M16" s="306">
        <v>0.01</v>
      </c>
      <c r="N16" s="306">
        <v>0</v>
      </c>
      <c r="O16" s="306">
        <v>0</v>
      </c>
      <c r="P16" s="306">
        <v>0</v>
      </c>
      <c r="Q16" s="306">
        <v>0.01</v>
      </c>
      <c r="R16" s="306">
        <v>0</v>
      </c>
    </row>
    <row r="17" spans="1:18" ht="14.6">
      <c r="A17" s="305" t="s">
        <v>636</v>
      </c>
      <c r="B17" s="306">
        <v>0</v>
      </c>
      <c r="C17" s="306">
        <v>0</v>
      </c>
      <c r="D17" s="306">
        <v>0</v>
      </c>
      <c r="E17" s="306" t="s">
        <v>620</v>
      </c>
      <c r="F17" s="306" t="s">
        <v>620</v>
      </c>
      <c r="G17" s="306" t="s">
        <v>620</v>
      </c>
      <c r="H17" s="306" t="s">
        <v>620</v>
      </c>
      <c r="I17" s="306">
        <v>0</v>
      </c>
      <c r="J17" s="306">
        <v>0</v>
      </c>
      <c r="K17" s="306">
        <v>0</v>
      </c>
      <c r="L17" s="306">
        <v>0</v>
      </c>
      <c r="M17" s="306" t="s">
        <v>620</v>
      </c>
      <c r="N17" s="306">
        <v>0</v>
      </c>
      <c r="O17" s="306" t="s">
        <v>620</v>
      </c>
      <c r="P17" s="306" t="s">
        <v>620</v>
      </c>
      <c r="Q17" s="306" t="s">
        <v>620</v>
      </c>
      <c r="R17" s="306" t="s">
        <v>620</v>
      </c>
    </row>
    <row r="18" spans="1:18" ht="14.6">
      <c r="A18" s="305" t="s">
        <v>637</v>
      </c>
      <c r="B18" s="306">
        <v>0</v>
      </c>
      <c r="C18" s="306">
        <v>0</v>
      </c>
      <c r="D18" s="306">
        <v>0</v>
      </c>
      <c r="E18" s="306">
        <v>0.18</v>
      </c>
      <c r="F18" s="306">
        <v>0</v>
      </c>
      <c r="G18" s="306">
        <v>0.01</v>
      </c>
      <c r="H18" s="306" t="s">
        <v>620</v>
      </c>
      <c r="I18" s="306">
        <v>0</v>
      </c>
      <c r="J18" s="306">
        <v>0</v>
      </c>
      <c r="K18" s="306" t="s">
        <v>620</v>
      </c>
      <c r="L18" s="306" t="s">
        <v>620</v>
      </c>
      <c r="M18" s="306" t="s">
        <v>620</v>
      </c>
      <c r="N18" s="306">
        <v>0</v>
      </c>
      <c r="O18" s="306">
        <v>0</v>
      </c>
      <c r="P18" s="306" t="s">
        <v>620</v>
      </c>
      <c r="Q18" s="306">
        <v>0</v>
      </c>
      <c r="R18" s="306">
        <v>0</v>
      </c>
    </row>
    <row r="19" spans="1:18" ht="14.6">
      <c r="A19" s="305" t="s">
        <v>638</v>
      </c>
      <c r="B19" s="306">
        <v>1.82</v>
      </c>
      <c r="C19" s="306">
        <v>1.89</v>
      </c>
      <c r="D19" s="306">
        <v>1.99</v>
      </c>
      <c r="E19" s="306">
        <v>1.18</v>
      </c>
      <c r="F19" s="306">
        <v>1.23</v>
      </c>
      <c r="G19" s="306">
        <v>1.33</v>
      </c>
      <c r="H19" s="306">
        <v>1.66</v>
      </c>
      <c r="I19" s="306">
        <v>1.69</v>
      </c>
      <c r="J19" s="306">
        <v>1.76</v>
      </c>
      <c r="K19" s="306">
        <v>1.94</v>
      </c>
      <c r="L19" s="306">
        <v>2.76</v>
      </c>
      <c r="M19" s="306">
        <v>2.82</v>
      </c>
      <c r="N19" s="306">
        <v>2.82</v>
      </c>
      <c r="O19" s="306">
        <v>2.84</v>
      </c>
      <c r="P19" s="306">
        <v>2.85</v>
      </c>
      <c r="Q19" s="306">
        <v>2.85</v>
      </c>
      <c r="R19" s="306">
        <v>2.85</v>
      </c>
    </row>
    <row r="20" spans="1:18" ht="14.6">
      <c r="A20" s="135" t="s">
        <v>639</v>
      </c>
      <c r="B20" s="307">
        <v>4.49</v>
      </c>
      <c r="C20" s="307">
        <v>4.7300000000000004</v>
      </c>
      <c r="D20" s="307">
        <v>4.88</v>
      </c>
      <c r="E20" s="307">
        <v>5.07</v>
      </c>
      <c r="F20" s="307">
        <v>5.28</v>
      </c>
      <c r="G20" s="307">
        <v>5.37</v>
      </c>
      <c r="H20" s="307">
        <v>5.55</v>
      </c>
      <c r="I20" s="307">
        <v>5.84</v>
      </c>
      <c r="J20" s="307">
        <v>6.31</v>
      </c>
      <c r="K20" s="307">
        <v>6.82</v>
      </c>
      <c r="L20" s="307">
        <v>7.23</v>
      </c>
      <c r="M20" s="307">
        <v>7.46</v>
      </c>
      <c r="N20" s="307">
        <v>7.81</v>
      </c>
      <c r="O20" s="307">
        <v>8.0399999999999991</v>
      </c>
      <c r="P20" s="307">
        <v>8.33</v>
      </c>
      <c r="Q20" s="307">
        <v>8.64</v>
      </c>
      <c r="R20" s="307">
        <v>8.9700000000000006</v>
      </c>
    </row>
    <row r="21" spans="1:18" ht="14.6">
      <c r="A21" s="135" t="s">
        <v>641</v>
      </c>
      <c r="B21" s="307">
        <v>0.17</v>
      </c>
      <c r="C21" s="307">
        <v>0.21</v>
      </c>
      <c r="D21" s="307">
        <v>0.27</v>
      </c>
      <c r="E21" s="307">
        <v>0.2</v>
      </c>
      <c r="F21" s="307">
        <v>0.26</v>
      </c>
      <c r="G21" s="307">
        <v>0.22</v>
      </c>
      <c r="H21" s="307">
        <v>0.32</v>
      </c>
      <c r="I21" s="307">
        <v>0.52</v>
      </c>
      <c r="J21" s="307">
        <v>0.5</v>
      </c>
      <c r="K21" s="307">
        <v>0.46</v>
      </c>
      <c r="L21" s="307">
        <v>0.27</v>
      </c>
      <c r="M21" s="307">
        <v>0.37</v>
      </c>
      <c r="N21" s="307">
        <v>0.3</v>
      </c>
      <c r="O21" s="307">
        <v>0.45</v>
      </c>
      <c r="P21" s="307">
        <v>0.38</v>
      </c>
      <c r="Q21" s="307">
        <v>0.33</v>
      </c>
      <c r="R21" s="307">
        <v>0.26</v>
      </c>
    </row>
    <row r="22" spans="1:18" ht="14.6">
      <c r="A22" s="135" t="s">
        <v>642</v>
      </c>
      <c r="B22" s="307">
        <v>0.05</v>
      </c>
      <c r="C22" s="307">
        <v>0.05</v>
      </c>
      <c r="D22" s="307">
        <v>0.04</v>
      </c>
      <c r="E22" s="307">
        <v>0.03</v>
      </c>
      <c r="F22" s="307">
        <v>0.08</v>
      </c>
      <c r="G22" s="307">
        <v>0.03</v>
      </c>
      <c r="H22" s="307">
        <v>0.03</v>
      </c>
      <c r="I22" s="307">
        <v>0.03</v>
      </c>
      <c r="J22" s="307">
        <v>0.02</v>
      </c>
      <c r="K22" s="307">
        <v>0.03</v>
      </c>
      <c r="L22" s="307">
        <v>0.04</v>
      </c>
      <c r="M22" s="307">
        <v>0.03</v>
      </c>
      <c r="N22" s="307">
        <v>0.05</v>
      </c>
      <c r="O22" s="307">
        <v>0.17</v>
      </c>
      <c r="P22" s="307">
        <v>0.04</v>
      </c>
      <c r="Q22" s="307">
        <v>0.05</v>
      </c>
      <c r="R22" s="307">
        <v>0.05</v>
      </c>
    </row>
    <row r="23" spans="1:18" ht="14.6">
      <c r="A23" s="135" t="s">
        <v>643</v>
      </c>
      <c r="B23" s="307">
        <v>0</v>
      </c>
      <c r="C23" s="307">
        <v>0</v>
      </c>
      <c r="D23" s="307">
        <v>0</v>
      </c>
      <c r="E23" s="307">
        <v>0</v>
      </c>
      <c r="F23" s="307">
        <v>-0.11</v>
      </c>
      <c r="G23" s="307">
        <v>0</v>
      </c>
      <c r="H23" s="307">
        <v>0</v>
      </c>
      <c r="I23" s="307">
        <v>-0.03</v>
      </c>
      <c r="J23" s="307">
        <v>0</v>
      </c>
      <c r="K23" s="307">
        <v>-0.01</v>
      </c>
      <c r="L23" s="307">
        <v>0</v>
      </c>
      <c r="M23" s="307">
        <v>0.01</v>
      </c>
      <c r="N23" s="307">
        <v>0</v>
      </c>
      <c r="O23" s="307">
        <v>0</v>
      </c>
      <c r="P23" s="307">
        <v>0</v>
      </c>
      <c r="Q23" s="307">
        <v>-0.01</v>
      </c>
      <c r="R23" s="307">
        <v>-0.08</v>
      </c>
    </row>
    <row r="24" spans="1:18" ht="14.6">
      <c r="A24" s="135" t="s">
        <v>644</v>
      </c>
      <c r="B24" s="307">
        <v>0</v>
      </c>
      <c r="C24" s="307">
        <v>0</v>
      </c>
      <c r="D24" s="307">
        <v>0</v>
      </c>
      <c r="E24" s="307">
        <v>0</v>
      </c>
      <c r="F24" s="307">
        <v>0.02</v>
      </c>
      <c r="G24" s="307">
        <v>-0.01</v>
      </c>
      <c r="H24" s="307">
        <v>0.01</v>
      </c>
      <c r="I24" s="307">
        <v>0</v>
      </c>
      <c r="J24" s="307">
        <v>0.03</v>
      </c>
      <c r="K24" s="307">
        <v>-0.01</v>
      </c>
      <c r="L24" s="307">
        <v>0</v>
      </c>
      <c r="M24" s="307">
        <v>0</v>
      </c>
      <c r="N24" s="307">
        <v>0.02</v>
      </c>
      <c r="O24" s="307">
        <v>0.01</v>
      </c>
      <c r="P24" s="307">
        <v>-0.03</v>
      </c>
      <c r="Q24" s="307">
        <v>0.06</v>
      </c>
      <c r="R24" s="307">
        <v>0.1</v>
      </c>
    </row>
    <row r="25" spans="1:18" ht="14.6">
      <c r="A25" s="135" t="s">
        <v>645</v>
      </c>
      <c r="B25" s="307">
        <v>4.5999999999999996</v>
      </c>
      <c r="C25" s="307">
        <v>4.8899999999999997</v>
      </c>
      <c r="D25" s="307">
        <v>5.0999999999999996</v>
      </c>
      <c r="E25" s="307">
        <v>5.24</v>
      </c>
      <c r="F25" s="307">
        <v>5.37</v>
      </c>
      <c r="G25" s="307">
        <v>5.55</v>
      </c>
      <c r="H25" s="307">
        <v>5.84</v>
      </c>
      <c r="I25" s="307">
        <v>6.31</v>
      </c>
      <c r="J25" s="307">
        <v>6.82</v>
      </c>
      <c r="K25" s="307">
        <v>7.23</v>
      </c>
      <c r="L25" s="307">
        <v>7.46</v>
      </c>
      <c r="M25" s="307">
        <v>7.81</v>
      </c>
      <c r="N25" s="307">
        <v>8.07</v>
      </c>
      <c r="O25" s="307">
        <v>8.33</v>
      </c>
      <c r="P25" s="307">
        <v>8.64</v>
      </c>
      <c r="Q25" s="307">
        <v>8.9700000000000006</v>
      </c>
      <c r="R25" s="307">
        <v>9.1999999999999993</v>
      </c>
    </row>
    <row r="26" spans="1:18" ht="14.6">
      <c r="A26" s="308" t="s">
        <v>646</v>
      </c>
      <c r="B26" s="309">
        <v>0.5</v>
      </c>
      <c r="C26" s="309">
        <v>0.5</v>
      </c>
      <c r="D26" s="309">
        <v>0.56000000000000005</v>
      </c>
      <c r="E26" s="309">
        <v>0.4</v>
      </c>
      <c r="F26" s="309">
        <v>0.39</v>
      </c>
      <c r="G26" s="309">
        <v>0.41</v>
      </c>
      <c r="H26" s="309">
        <v>0.41</v>
      </c>
      <c r="I26" s="309">
        <v>0.43</v>
      </c>
      <c r="J26" s="309">
        <v>0.43</v>
      </c>
      <c r="K26" s="309">
        <v>0.43</v>
      </c>
      <c r="L26" s="309">
        <v>0.43</v>
      </c>
      <c r="M26" s="309">
        <v>0.44</v>
      </c>
      <c r="N26" s="309">
        <v>0.45</v>
      </c>
      <c r="O26" s="309">
        <v>0.41</v>
      </c>
      <c r="P26" s="309">
        <v>0.47</v>
      </c>
      <c r="Q26" s="309">
        <v>0.49</v>
      </c>
      <c r="R26" s="309">
        <v>0.52</v>
      </c>
    </row>
    <row r="27" spans="1:18" ht="14.6">
      <c r="A27" s="308" t="s">
        <v>647</v>
      </c>
      <c r="B27" s="309">
        <v>0</v>
      </c>
      <c r="C27" s="309">
        <v>0.08</v>
      </c>
      <c r="D27" s="309">
        <v>0.01</v>
      </c>
      <c r="E27" s="309">
        <v>0</v>
      </c>
      <c r="F27" s="309">
        <v>0</v>
      </c>
      <c r="G27" s="309">
        <v>0.01</v>
      </c>
      <c r="H27" s="309">
        <v>0.02</v>
      </c>
      <c r="I27" s="309">
        <v>0</v>
      </c>
      <c r="J27" s="309">
        <v>0</v>
      </c>
      <c r="K27" s="309">
        <v>0</v>
      </c>
      <c r="L27" s="309">
        <v>0</v>
      </c>
      <c r="M27" s="309">
        <v>0.01</v>
      </c>
      <c r="N27" s="309">
        <v>0.01</v>
      </c>
      <c r="O27" s="309">
        <v>0.02</v>
      </c>
      <c r="P27" s="309">
        <v>0.02</v>
      </c>
      <c r="Q27" s="309">
        <v>0.04</v>
      </c>
      <c r="R27" s="309">
        <v>0.03</v>
      </c>
    </row>
    <row r="28" spans="1:18" ht="14.6">
      <c r="A28" s="308" t="s">
        <v>648</v>
      </c>
      <c r="B28" s="309" t="s">
        <v>620</v>
      </c>
      <c r="C28" s="309">
        <v>0.02</v>
      </c>
      <c r="D28" s="309" t="s">
        <v>620</v>
      </c>
      <c r="E28" s="309">
        <v>0</v>
      </c>
      <c r="F28" s="309">
        <v>0</v>
      </c>
      <c r="G28" s="309">
        <v>0</v>
      </c>
      <c r="H28" s="309">
        <v>0</v>
      </c>
      <c r="I28" s="309">
        <v>0</v>
      </c>
      <c r="J28" s="309">
        <v>0</v>
      </c>
      <c r="K28" s="309">
        <v>0</v>
      </c>
      <c r="L28" s="309">
        <v>0</v>
      </c>
      <c r="M28" s="309">
        <v>0</v>
      </c>
      <c r="N28" s="309">
        <v>0</v>
      </c>
      <c r="O28" s="309">
        <v>0</v>
      </c>
      <c r="P28" s="309">
        <v>0.01</v>
      </c>
      <c r="Q28" s="309">
        <v>0.01</v>
      </c>
      <c r="R28" s="309">
        <v>0</v>
      </c>
    </row>
    <row r="29" spans="1:18" ht="14.6">
      <c r="A29" s="308" t="s">
        <v>649</v>
      </c>
      <c r="B29" s="309" t="s">
        <v>620</v>
      </c>
      <c r="C29" s="309" t="s">
        <v>620</v>
      </c>
      <c r="D29" s="309" t="s">
        <v>620</v>
      </c>
      <c r="E29" s="309">
        <v>0</v>
      </c>
      <c r="F29" s="309">
        <v>0.01</v>
      </c>
      <c r="G29" s="309">
        <v>0</v>
      </c>
      <c r="H29" s="309" t="s">
        <v>620</v>
      </c>
      <c r="I29" s="309">
        <v>0</v>
      </c>
      <c r="J29" s="309" t="s">
        <v>620</v>
      </c>
      <c r="K29" s="309" t="s">
        <v>620</v>
      </c>
      <c r="L29" s="309" t="s">
        <v>620</v>
      </c>
      <c r="M29" s="309" t="s">
        <v>620</v>
      </c>
      <c r="N29" s="309" t="s">
        <v>620</v>
      </c>
      <c r="O29" s="309" t="s">
        <v>620</v>
      </c>
      <c r="P29" s="309" t="s">
        <v>620</v>
      </c>
      <c r="Q29" s="309" t="s">
        <v>620</v>
      </c>
      <c r="R29" s="309">
        <v>0</v>
      </c>
    </row>
    <row r="30" spans="1:18" ht="14.6">
      <c r="A30" s="308" t="s">
        <v>650</v>
      </c>
      <c r="B30" s="309" t="s">
        <v>620</v>
      </c>
      <c r="C30" s="309" t="s">
        <v>620</v>
      </c>
      <c r="D30" s="309">
        <v>0.01</v>
      </c>
      <c r="E30" s="309">
        <v>-0.01</v>
      </c>
      <c r="F30" s="309">
        <v>0</v>
      </c>
      <c r="G30" s="309">
        <v>0</v>
      </c>
      <c r="H30" s="309">
        <v>0</v>
      </c>
      <c r="I30" s="309">
        <v>0</v>
      </c>
      <c r="J30" s="309">
        <v>0</v>
      </c>
      <c r="K30" s="309">
        <v>0</v>
      </c>
      <c r="L30" s="309" t="s">
        <v>620</v>
      </c>
      <c r="M30" s="309">
        <v>0</v>
      </c>
      <c r="N30" s="309">
        <v>0</v>
      </c>
      <c r="O30" s="309">
        <v>0</v>
      </c>
      <c r="P30" s="309">
        <v>0</v>
      </c>
      <c r="Q30" s="309">
        <v>0</v>
      </c>
      <c r="R30" s="309">
        <v>0</v>
      </c>
    </row>
    <row r="31" spans="1:18" ht="14.6">
      <c r="A31" s="308" t="s">
        <v>651</v>
      </c>
      <c r="B31" s="309">
        <v>0.5</v>
      </c>
      <c r="C31" s="309">
        <v>0.56000000000000005</v>
      </c>
      <c r="D31" s="309">
        <v>0.57999999999999996</v>
      </c>
      <c r="E31" s="309">
        <v>0.39</v>
      </c>
      <c r="F31" s="309">
        <v>0.4</v>
      </c>
      <c r="G31" s="309">
        <v>0.41</v>
      </c>
      <c r="H31" s="309">
        <v>0.43</v>
      </c>
      <c r="I31" s="309">
        <v>0.43</v>
      </c>
      <c r="J31" s="309">
        <v>0.43</v>
      </c>
      <c r="K31" s="309">
        <v>0.43</v>
      </c>
      <c r="L31" s="309">
        <v>0.44</v>
      </c>
      <c r="M31" s="309">
        <v>0.45</v>
      </c>
      <c r="N31" s="309">
        <v>0.46</v>
      </c>
      <c r="O31" s="309">
        <v>0.42</v>
      </c>
      <c r="P31" s="309">
        <v>0.49</v>
      </c>
      <c r="Q31" s="309">
        <v>0.52</v>
      </c>
      <c r="R31" s="309">
        <v>0.54</v>
      </c>
    </row>
    <row r="32" spans="1:18" ht="14.6">
      <c r="A32" s="310" t="s">
        <v>652</v>
      </c>
      <c r="B32" s="240">
        <v>59.49</v>
      </c>
      <c r="C32" s="240">
        <v>62.62</v>
      </c>
      <c r="D32" s="240">
        <v>64.64</v>
      </c>
      <c r="E32" s="240">
        <v>65.44</v>
      </c>
      <c r="F32" s="240">
        <v>69.739999999999995</v>
      </c>
      <c r="G32" s="240">
        <v>71.75</v>
      </c>
      <c r="H32" s="240">
        <v>73.400000000000006</v>
      </c>
      <c r="I32" s="240">
        <v>76.16</v>
      </c>
      <c r="J32" s="240">
        <v>80.540000000000006</v>
      </c>
      <c r="K32" s="240">
        <v>91.79</v>
      </c>
      <c r="L32" s="240">
        <v>105.03</v>
      </c>
      <c r="M32" s="240">
        <v>109.11</v>
      </c>
      <c r="N32" s="240">
        <v>121.56</v>
      </c>
      <c r="O32" s="240">
        <v>124.21</v>
      </c>
      <c r="P32" s="240">
        <v>128.55000000000001</v>
      </c>
      <c r="Q32" s="240">
        <v>131.72999999999999</v>
      </c>
      <c r="R32" s="240">
        <v>136.99</v>
      </c>
    </row>
    <row r="33" spans="1:18" ht="14.6">
      <c r="A33" s="310" t="s">
        <v>653</v>
      </c>
      <c r="B33" s="240">
        <v>2.23</v>
      </c>
      <c r="C33" s="240">
        <v>2.8</v>
      </c>
      <c r="D33" s="240">
        <v>3.6</v>
      </c>
      <c r="E33" s="240">
        <v>4.43</v>
      </c>
      <c r="F33" s="240">
        <v>2.5299999999999998</v>
      </c>
      <c r="G33" s="240">
        <v>2.34</v>
      </c>
      <c r="H33" s="240">
        <v>2.95</v>
      </c>
      <c r="I33" s="240">
        <v>5.46</v>
      </c>
      <c r="J33" s="240">
        <v>11.24</v>
      </c>
      <c r="K33" s="240">
        <v>14.26</v>
      </c>
      <c r="L33" s="240">
        <v>3.76</v>
      </c>
      <c r="M33" s="240">
        <v>13.45</v>
      </c>
      <c r="N33" s="240">
        <v>4.34</v>
      </c>
      <c r="O33" s="240">
        <v>5.79</v>
      </c>
      <c r="P33" s="240">
        <v>3.82</v>
      </c>
      <c r="Q33" s="240">
        <v>5.8</v>
      </c>
      <c r="R33" s="240">
        <v>5.48</v>
      </c>
    </row>
    <row r="34" spans="1:18" ht="14.6">
      <c r="A34" s="310" t="s">
        <v>655</v>
      </c>
      <c r="B34" s="240">
        <v>0.68</v>
      </c>
      <c r="C34" s="240">
        <v>0.62</v>
      </c>
      <c r="D34" s="240">
        <v>0.56000000000000005</v>
      </c>
      <c r="E34" s="240">
        <v>0.39</v>
      </c>
      <c r="F34" s="240">
        <v>0.52</v>
      </c>
      <c r="G34" s="240">
        <v>0.56999999999999995</v>
      </c>
      <c r="H34" s="240">
        <v>0.56000000000000005</v>
      </c>
      <c r="I34" s="240">
        <v>0.44</v>
      </c>
      <c r="J34" s="240">
        <v>0.48</v>
      </c>
      <c r="K34" s="240">
        <v>0.5</v>
      </c>
      <c r="L34" s="240">
        <v>0.45</v>
      </c>
      <c r="M34" s="240">
        <v>0.71</v>
      </c>
      <c r="N34" s="240">
        <v>1.18</v>
      </c>
      <c r="O34" s="240">
        <v>1.3</v>
      </c>
      <c r="P34" s="240">
        <v>0.48</v>
      </c>
      <c r="Q34" s="240">
        <v>0.69</v>
      </c>
      <c r="R34" s="240">
        <v>0.55000000000000004</v>
      </c>
    </row>
    <row r="35" spans="1:18" ht="14.6">
      <c r="A35" s="310" t="s">
        <v>656</v>
      </c>
      <c r="B35" s="240">
        <v>-0.04</v>
      </c>
      <c r="C35" s="240">
        <v>0</v>
      </c>
      <c r="D35" s="240">
        <v>-0.03</v>
      </c>
      <c r="E35" s="240">
        <v>-0.01</v>
      </c>
      <c r="F35" s="240">
        <v>0.03</v>
      </c>
      <c r="G35" s="240">
        <v>-0.04</v>
      </c>
      <c r="H35" s="240">
        <v>0.03</v>
      </c>
      <c r="I35" s="240">
        <v>0</v>
      </c>
      <c r="J35" s="240">
        <v>0.04</v>
      </c>
      <c r="K35" s="240">
        <v>0.01</v>
      </c>
      <c r="L35" s="240">
        <v>-0.09</v>
      </c>
      <c r="M35" s="240">
        <v>-0.26</v>
      </c>
      <c r="N35" s="240">
        <v>-0.03</v>
      </c>
      <c r="O35" s="240">
        <v>-0.01</v>
      </c>
      <c r="P35" s="240">
        <v>0.03</v>
      </c>
      <c r="Q35" s="240">
        <v>0.05</v>
      </c>
      <c r="R35" s="240">
        <v>-0.08</v>
      </c>
    </row>
    <row r="36" spans="1:18" ht="14.6">
      <c r="A36" s="310" t="s">
        <v>657</v>
      </c>
      <c r="B36" s="240">
        <v>0.03</v>
      </c>
      <c r="C36" s="240">
        <v>0.04</v>
      </c>
      <c r="D36" s="240">
        <v>-0.02</v>
      </c>
      <c r="E36" s="240">
        <v>0</v>
      </c>
      <c r="F36" s="240">
        <v>-0.04</v>
      </c>
      <c r="G36" s="240">
        <v>-0.03</v>
      </c>
      <c r="H36" s="240">
        <v>-0.03</v>
      </c>
      <c r="I36" s="240">
        <v>-0.7</v>
      </c>
      <c r="J36" s="240">
        <v>-0.11</v>
      </c>
      <c r="K36" s="240">
        <v>-0.21</v>
      </c>
      <c r="L36" s="240">
        <v>-0.06</v>
      </c>
      <c r="M36" s="240">
        <v>0.03</v>
      </c>
      <c r="N36" s="240">
        <v>-0.49</v>
      </c>
      <c r="O36" s="240">
        <v>-0.14000000000000001</v>
      </c>
      <c r="P36" s="240">
        <v>-0.01</v>
      </c>
      <c r="Q36" s="240">
        <v>-0.01</v>
      </c>
      <c r="R36" s="240">
        <v>7.0000000000000007E-2</v>
      </c>
    </row>
    <row r="37" spans="1:18" ht="14.6">
      <c r="A37" s="310" t="s">
        <v>658</v>
      </c>
      <c r="B37" s="240">
        <v>61.02</v>
      </c>
      <c r="C37" s="240">
        <v>64.83</v>
      </c>
      <c r="D37" s="240">
        <v>67.62</v>
      </c>
      <c r="E37" s="240">
        <v>69.48</v>
      </c>
      <c r="F37" s="240">
        <v>71.75</v>
      </c>
      <c r="G37" s="240">
        <v>73.44</v>
      </c>
      <c r="H37" s="240">
        <v>75.78</v>
      </c>
      <c r="I37" s="240">
        <v>80.48</v>
      </c>
      <c r="J37" s="240">
        <v>91.23</v>
      </c>
      <c r="K37" s="240">
        <v>105.35</v>
      </c>
      <c r="L37" s="240">
        <v>108.18</v>
      </c>
      <c r="M37" s="240">
        <v>121.62</v>
      </c>
      <c r="N37" s="240">
        <v>124.21</v>
      </c>
      <c r="O37" s="240">
        <v>128.55000000000001</v>
      </c>
      <c r="P37" s="240">
        <v>131.91999999999999</v>
      </c>
      <c r="Q37" s="240">
        <v>136.87</v>
      </c>
      <c r="R37" s="240">
        <v>141.91</v>
      </c>
    </row>
    <row r="38" spans="1:18" ht="14.6">
      <c r="A38" s="311" t="s">
        <v>659</v>
      </c>
      <c r="B38" s="312">
        <v>0.28999999999999998</v>
      </c>
      <c r="C38" s="312">
        <v>0.28999999999999998</v>
      </c>
      <c r="D38" s="312">
        <v>0.25</v>
      </c>
      <c r="E38" s="312">
        <v>0.05</v>
      </c>
      <c r="F38" s="312">
        <v>7.0000000000000007E-2</v>
      </c>
      <c r="G38" s="312">
        <v>7.0000000000000007E-2</v>
      </c>
      <c r="H38" s="312">
        <v>0.08</v>
      </c>
      <c r="I38" s="312">
        <v>0.33</v>
      </c>
      <c r="J38" s="312">
        <v>0.11</v>
      </c>
      <c r="K38" s="312">
        <v>0.1</v>
      </c>
      <c r="L38" s="312">
        <v>0.11</v>
      </c>
      <c r="M38" s="312">
        <v>0.12</v>
      </c>
      <c r="N38" s="312">
        <v>0.12</v>
      </c>
      <c r="O38" s="312">
        <v>0.12</v>
      </c>
      <c r="P38" s="312">
        <v>0.56999999999999995</v>
      </c>
      <c r="Q38" s="312">
        <v>0.59</v>
      </c>
      <c r="R38" s="312" t="s">
        <v>620</v>
      </c>
    </row>
    <row r="39" spans="1:18" ht="14.6">
      <c r="A39" s="311" t="s">
        <v>660</v>
      </c>
      <c r="B39" s="312">
        <v>0.02</v>
      </c>
      <c r="C39" s="312">
        <v>0.02</v>
      </c>
      <c r="D39" s="312">
        <v>0.02</v>
      </c>
      <c r="E39" s="312">
        <v>0.01</v>
      </c>
      <c r="F39" s="312">
        <v>0.01</v>
      </c>
      <c r="G39" s="312">
        <v>0.01</v>
      </c>
      <c r="H39" s="312">
        <v>0.01</v>
      </c>
      <c r="I39" s="312">
        <v>0.02</v>
      </c>
      <c r="J39" s="312">
        <v>0.01</v>
      </c>
      <c r="K39" s="312">
        <v>0.01</v>
      </c>
      <c r="L39" s="312">
        <v>0.01</v>
      </c>
      <c r="M39" s="312">
        <v>0.01</v>
      </c>
      <c r="N39" s="312">
        <v>0.01</v>
      </c>
      <c r="O39" s="312">
        <v>0</v>
      </c>
      <c r="P39" s="312">
        <v>0.03</v>
      </c>
      <c r="Q39" s="312">
        <v>0.03</v>
      </c>
      <c r="R39" s="312" t="s">
        <v>620</v>
      </c>
    </row>
    <row r="40" spans="1:18" ht="14.6">
      <c r="A40" s="311" t="s">
        <v>661</v>
      </c>
      <c r="B40" s="312">
        <v>0</v>
      </c>
      <c r="C40" s="312">
        <v>0</v>
      </c>
      <c r="D40" s="312">
        <v>0</v>
      </c>
      <c r="E40" s="312">
        <v>0</v>
      </c>
      <c r="F40" s="312">
        <v>0</v>
      </c>
      <c r="G40" s="312">
        <v>0</v>
      </c>
      <c r="H40" s="312">
        <v>0</v>
      </c>
      <c r="I40" s="312">
        <v>0</v>
      </c>
      <c r="J40" s="312">
        <v>0</v>
      </c>
      <c r="K40" s="312">
        <v>0</v>
      </c>
      <c r="L40" s="312">
        <v>0</v>
      </c>
      <c r="M40" s="312">
        <v>0</v>
      </c>
      <c r="N40" s="312">
        <v>0</v>
      </c>
      <c r="O40" s="312">
        <v>0</v>
      </c>
      <c r="P40" s="312">
        <v>0</v>
      </c>
      <c r="Q40" s="312">
        <v>0.01</v>
      </c>
      <c r="R40" s="312" t="s">
        <v>620</v>
      </c>
    </row>
    <row r="41" spans="1:18" ht="14.6">
      <c r="A41" s="311" t="s">
        <v>662</v>
      </c>
      <c r="B41" s="312">
        <v>0</v>
      </c>
      <c r="C41" s="312">
        <v>0</v>
      </c>
      <c r="D41" s="312" t="s">
        <v>620</v>
      </c>
      <c r="E41" s="312" t="s">
        <v>620</v>
      </c>
      <c r="F41" s="312" t="s">
        <v>620</v>
      </c>
      <c r="G41" s="312" t="s">
        <v>620</v>
      </c>
      <c r="H41" s="312" t="s">
        <v>620</v>
      </c>
      <c r="I41" s="312" t="s">
        <v>620</v>
      </c>
      <c r="J41" s="312" t="s">
        <v>620</v>
      </c>
      <c r="K41" s="312" t="s">
        <v>620</v>
      </c>
      <c r="L41" s="312" t="s">
        <v>620</v>
      </c>
      <c r="M41" s="312">
        <v>0</v>
      </c>
      <c r="N41" s="312">
        <v>0</v>
      </c>
      <c r="O41" s="312" t="s">
        <v>620</v>
      </c>
      <c r="P41" s="312" t="s">
        <v>620</v>
      </c>
      <c r="Q41" s="312" t="s">
        <v>620</v>
      </c>
      <c r="R41" s="312" t="s">
        <v>620</v>
      </c>
    </row>
    <row r="42" spans="1:18" ht="14.6">
      <c r="A42" s="311" t="s">
        <v>663</v>
      </c>
      <c r="B42" s="312">
        <v>-0.01</v>
      </c>
      <c r="C42" s="312">
        <v>0</v>
      </c>
      <c r="D42" s="312">
        <v>0</v>
      </c>
      <c r="E42" s="312" t="s">
        <v>620</v>
      </c>
      <c r="F42" s="312">
        <v>0</v>
      </c>
      <c r="G42" s="312">
        <v>0</v>
      </c>
      <c r="H42" s="312">
        <v>0</v>
      </c>
      <c r="I42" s="312" t="s">
        <v>620</v>
      </c>
      <c r="J42" s="312" t="s">
        <v>620</v>
      </c>
      <c r="K42" s="312" t="s">
        <v>620</v>
      </c>
      <c r="L42" s="312" t="s">
        <v>620</v>
      </c>
      <c r="M42" s="312" t="s">
        <v>620</v>
      </c>
      <c r="N42" s="312" t="s">
        <v>620</v>
      </c>
      <c r="O42" s="312" t="s">
        <v>620</v>
      </c>
      <c r="P42" s="312" t="s">
        <v>620</v>
      </c>
      <c r="Q42" s="312" t="s">
        <v>620</v>
      </c>
      <c r="R42" s="312" t="s">
        <v>620</v>
      </c>
    </row>
    <row r="43" spans="1:18" ht="14.6">
      <c r="A43" s="311" t="s">
        <v>664</v>
      </c>
      <c r="B43" s="312">
        <v>0.28999999999999998</v>
      </c>
      <c r="C43" s="312">
        <v>0.31</v>
      </c>
      <c r="D43" s="312">
        <v>0.27</v>
      </c>
      <c r="E43" s="312">
        <v>0.06</v>
      </c>
      <c r="F43" s="312">
        <v>0.08</v>
      </c>
      <c r="G43" s="312">
        <v>7.0000000000000007E-2</v>
      </c>
      <c r="H43" s="312">
        <v>0.09</v>
      </c>
      <c r="I43" s="312">
        <v>0.35</v>
      </c>
      <c r="J43" s="312">
        <v>0.12</v>
      </c>
      <c r="K43" s="312">
        <v>0.11</v>
      </c>
      <c r="L43" s="312">
        <v>0.12</v>
      </c>
      <c r="M43" s="312">
        <v>0.12</v>
      </c>
      <c r="N43" s="312">
        <v>0.13</v>
      </c>
      <c r="O43" s="312">
        <v>0.12</v>
      </c>
      <c r="P43" s="312">
        <v>0.59</v>
      </c>
      <c r="Q43" s="312">
        <v>0.62</v>
      </c>
      <c r="R43" s="312" t="s">
        <v>620</v>
      </c>
    </row>
    <row r="44" spans="1:18" ht="14.6">
      <c r="A44" s="313" t="s">
        <v>665</v>
      </c>
      <c r="B44" s="314">
        <v>1.07</v>
      </c>
      <c r="C44" s="314">
        <v>1.06</v>
      </c>
      <c r="D44" s="314">
        <v>1.1299999999999999</v>
      </c>
      <c r="E44" s="314">
        <v>1.2</v>
      </c>
      <c r="F44" s="314">
        <v>1.24</v>
      </c>
      <c r="G44" s="314">
        <v>1.42</v>
      </c>
      <c r="H44" s="314">
        <v>1.54</v>
      </c>
      <c r="I44" s="314">
        <v>1.56</v>
      </c>
      <c r="J44" s="314">
        <v>1.57</v>
      </c>
      <c r="K44" s="314">
        <v>1.63</v>
      </c>
      <c r="L44" s="314">
        <v>1.75</v>
      </c>
      <c r="M44" s="314">
        <v>1.85</v>
      </c>
      <c r="N44" s="314">
        <v>1.78</v>
      </c>
      <c r="O44" s="314">
        <v>1.77</v>
      </c>
      <c r="P44" s="314">
        <v>1.84</v>
      </c>
      <c r="Q44" s="314">
        <v>1.82</v>
      </c>
      <c r="R44" s="314">
        <v>1.86</v>
      </c>
    </row>
    <row r="45" spans="1:18" ht="14.6">
      <c r="A45" s="313" t="s">
        <v>667</v>
      </c>
      <c r="B45" s="314">
        <v>0.12</v>
      </c>
      <c r="C45" s="314">
        <v>0.09</v>
      </c>
      <c r="D45" s="314">
        <v>7.0000000000000007E-2</v>
      </c>
      <c r="E45" s="314">
        <v>0.11</v>
      </c>
      <c r="F45" s="314">
        <v>0.19</v>
      </c>
      <c r="G45" s="314">
        <v>0.11</v>
      </c>
      <c r="H45" s="314">
        <v>0.09</v>
      </c>
      <c r="I45" s="314">
        <v>0.15</v>
      </c>
      <c r="J45" s="314">
        <v>0.17</v>
      </c>
      <c r="K45" s="314">
        <v>0.18</v>
      </c>
      <c r="L45" s="314">
        <v>0.14000000000000001</v>
      </c>
      <c r="M45" s="314">
        <v>0.18</v>
      </c>
      <c r="N45" s="314">
        <v>0.08</v>
      </c>
      <c r="O45" s="314">
        <v>0.08</v>
      </c>
      <c r="P45" s="314">
        <v>0.06</v>
      </c>
      <c r="Q45" s="314">
        <v>0.08</v>
      </c>
      <c r="R45" s="314">
        <v>0.09</v>
      </c>
    </row>
    <row r="46" spans="1:18" ht="14.6">
      <c r="A46" s="313" t="s">
        <v>668</v>
      </c>
      <c r="B46" s="314">
        <v>0.13</v>
      </c>
      <c r="C46" s="314">
        <v>0.02</v>
      </c>
      <c r="D46" s="314">
        <v>0.02</v>
      </c>
      <c r="E46" s="314">
        <v>0.08</v>
      </c>
      <c r="F46" s="314">
        <v>0.02</v>
      </c>
      <c r="G46" s="314">
        <v>0.02</v>
      </c>
      <c r="H46" s="314">
        <v>7.0000000000000007E-2</v>
      </c>
      <c r="I46" s="314">
        <v>0.14000000000000001</v>
      </c>
      <c r="J46" s="314">
        <v>0.1</v>
      </c>
      <c r="K46" s="314">
        <v>0.05</v>
      </c>
      <c r="L46" s="314">
        <v>0.05</v>
      </c>
      <c r="M46" s="314">
        <v>0.26</v>
      </c>
      <c r="N46" s="314">
        <v>0.09</v>
      </c>
      <c r="O46" s="314">
        <v>0.03</v>
      </c>
      <c r="P46" s="314">
        <v>0.08</v>
      </c>
      <c r="Q46" s="314">
        <v>0.04</v>
      </c>
      <c r="R46" s="314">
        <v>0.1</v>
      </c>
    </row>
    <row r="47" spans="1:18" ht="14.6">
      <c r="A47" s="313" t="s">
        <v>669</v>
      </c>
      <c r="B47" s="314">
        <v>0</v>
      </c>
      <c r="C47" s="314">
        <v>0</v>
      </c>
      <c r="D47" s="314">
        <v>0</v>
      </c>
      <c r="E47" s="314">
        <v>0.01</v>
      </c>
      <c r="F47" s="314">
        <v>0</v>
      </c>
      <c r="G47" s="314">
        <v>0</v>
      </c>
      <c r="H47" s="314">
        <v>0</v>
      </c>
      <c r="I47" s="314">
        <v>0</v>
      </c>
      <c r="J47" s="314">
        <v>-0.01</v>
      </c>
      <c r="K47" s="314">
        <v>0</v>
      </c>
      <c r="L47" s="314">
        <v>0</v>
      </c>
      <c r="M47" s="314">
        <v>0</v>
      </c>
      <c r="N47" s="314">
        <v>0</v>
      </c>
      <c r="O47" s="314">
        <v>0</v>
      </c>
      <c r="P47" s="314">
        <v>0</v>
      </c>
      <c r="Q47" s="314">
        <v>0</v>
      </c>
      <c r="R47" s="314">
        <v>0</v>
      </c>
    </row>
    <row r="48" spans="1:18" ht="14.6">
      <c r="A48" s="313" t="s">
        <v>670</v>
      </c>
      <c r="B48" s="314">
        <v>0.01</v>
      </c>
      <c r="C48" s="314">
        <v>-0.01</v>
      </c>
      <c r="D48" s="314">
        <v>0.02</v>
      </c>
      <c r="E48" s="314">
        <v>0</v>
      </c>
      <c r="F48" s="314">
        <v>0.01</v>
      </c>
      <c r="G48" s="314">
        <v>0</v>
      </c>
      <c r="H48" s="314">
        <v>0</v>
      </c>
      <c r="I48" s="314">
        <v>0</v>
      </c>
      <c r="J48" s="314">
        <v>0</v>
      </c>
      <c r="K48" s="314">
        <v>0</v>
      </c>
      <c r="L48" s="314">
        <v>0.02</v>
      </c>
      <c r="M48" s="314">
        <v>-0.01</v>
      </c>
      <c r="N48" s="314">
        <v>0.01</v>
      </c>
      <c r="O48" s="314">
        <v>0</v>
      </c>
      <c r="P48" s="314">
        <v>0</v>
      </c>
      <c r="Q48" s="314">
        <v>0.01</v>
      </c>
      <c r="R48" s="314">
        <v>0.03</v>
      </c>
    </row>
    <row r="49" spans="1:52" ht="14.6">
      <c r="A49" s="313" t="s">
        <v>671</v>
      </c>
      <c r="B49" s="314">
        <v>1.07</v>
      </c>
      <c r="C49" s="314">
        <v>1.1299999999999999</v>
      </c>
      <c r="D49" s="314">
        <v>1.2</v>
      </c>
      <c r="E49" s="314">
        <v>1.24</v>
      </c>
      <c r="F49" s="314">
        <v>1.42</v>
      </c>
      <c r="G49" s="314">
        <v>1.52</v>
      </c>
      <c r="H49" s="314">
        <v>1.55</v>
      </c>
      <c r="I49" s="314">
        <v>1.57</v>
      </c>
      <c r="J49" s="314">
        <v>1.63</v>
      </c>
      <c r="K49" s="314">
        <v>1.75</v>
      </c>
      <c r="L49" s="314">
        <v>1.85</v>
      </c>
      <c r="M49" s="314">
        <v>1.78</v>
      </c>
      <c r="N49" s="314">
        <v>1.77</v>
      </c>
      <c r="O49" s="314">
        <v>1.82</v>
      </c>
      <c r="P49" s="314">
        <v>1.82</v>
      </c>
      <c r="Q49" s="314">
        <v>1.88</v>
      </c>
      <c r="R49" s="314">
        <v>1.88</v>
      </c>
    </row>
    <row r="50" spans="1:52" ht="14.6">
      <c r="A50" s="315" t="s">
        <v>672</v>
      </c>
      <c r="B50" s="316">
        <v>1.66</v>
      </c>
      <c r="C50" s="316">
        <v>1.75</v>
      </c>
      <c r="D50" s="316">
        <v>1.81</v>
      </c>
      <c r="E50" s="316">
        <v>1.94</v>
      </c>
      <c r="F50" s="316">
        <v>1.95</v>
      </c>
      <c r="G50" s="316">
        <v>1.91</v>
      </c>
      <c r="H50" s="316">
        <v>1.92</v>
      </c>
      <c r="I50" s="316">
        <v>1.97</v>
      </c>
      <c r="J50" s="316">
        <v>2.0299999999999998</v>
      </c>
      <c r="K50" s="316">
        <v>2.06</v>
      </c>
      <c r="L50" s="316">
        <v>2.12</v>
      </c>
      <c r="M50" s="316">
        <v>2.02</v>
      </c>
      <c r="N50" s="316">
        <v>2.15</v>
      </c>
      <c r="O50" s="316">
        <v>2.12</v>
      </c>
      <c r="P50" s="316">
        <v>2.13</v>
      </c>
      <c r="Q50" s="316">
        <v>2.08</v>
      </c>
      <c r="R50" s="316">
        <v>2.23</v>
      </c>
    </row>
    <row r="51" spans="1:52" ht="14.6">
      <c r="A51" s="315" t="s">
        <v>673</v>
      </c>
      <c r="B51" s="316">
        <v>0.06</v>
      </c>
      <c r="C51" s="316">
        <v>0.08</v>
      </c>
      <c r="D51" s="316">
        <v>0.1</v>
      </c>
      <c r="E51" s="316">
        <v>0.25</v>
      </c>
      <c r="F51" s="316">
        <v>0.12</v>
      </c>
      <c r="G51" s="316">
        <v>0.17</v>
      </c>
      <c r="H51" s="316">
        <v>0.14000000000000001</v>
      </c>
      <c r="I51" s="316">
        <v>0.16</v>
      </c>
      <c r="J51" s="316">
        <v>0.17</v>
      </c>
      <c r="K51" s="316">
        <v>0.14000000000000001</v>
      </c>
      <c r="L51" s="316">
        <v>0.13</v>
      </c>
      <c r="M51" s="316">
        <v>0.14000000000000001</v>
      </c>
      <c r="N51" s="316">
        <v>0.12</v>
      </c>
      <c r="O51" s="316">
        <v>0.12</v>
      </c>
      <c r="P51" s="316">
        <v>0.14000000000000001</v>
      </c>
      <c r="Q51" s="316">
        <v>0.21</v>
      </c>
      <c r="R51" s="316">
        <v>0.14000000000000001</v>
      </c>
    </row>
    <row r="52" spans="1:52" ht="14.6">
      <c r="A52" s="315" t="s">
        <v>674</v>
      </c>
      <c r="B52" s="316">
        <v>0.02</v>
      </c>
      <c r="C52" s="316">
        <v>0.02</v>
      </c>
      <c r="D52" s="316">
        <v>0.02</v>
      </c>
      <c r="E52" s="316">
        <v>0.24</v>
      </c>
      <c r="F52" s="316">
        <v>0.14000000000000001</v>
      </c>
      <c r="G52" s="316">
        <v>0.17</v>
      </c>
      <c r="H52" s="316">
        <v>0.11</v>
      </c>
      <c r="I52" s="316">
        <v>0.11</v>
      </c>
      <c r="J52" s="316">
        <v>0.13</v>
      </c>
      <c r="K52" s="316">
        <v>0.1</v>
      </c>
      <c r="L52" s="316">
        <v>0.15</v>
      </c>
      <c r="M52" s="316">
        <v>0.1</v>
      </c>
      <c r="N52" s="316">
        <v>0.15</v>
      </c>
      <c r="O52" s="316">
        <v>0.13</v>
      </c>
      <c r="P52" s="316">
        <v>0.09</v>
      </c>
      <c r="Q52" s="316">
        <v>0.09</v>
      </c>
      <c r="R52" s="316">
        <v>0.15</v>
      </c>
    </row>
    <row r="53" spans="1:52" ht="14.6">
      <c r="A53" s="315" t="s">
        <v>675</v>
      </c>
      <c r="B53" s="316">
        <v>0</v>
      </c>
      <c r="C53" s="316">
        <v>0</v>
      </c>
      <c r="D53" s="316">
        <v>0</v>
      </c>
      <c r="E53" s="316">
        <v>0</v>
      </c>
      <c r="F53" s="316">
        <v>0</v>
      </c>
      <c r="G53" s="316">
        <v>0</v>
      </c>
      <c r="H53" s="316">
        <v>0</v>
      </c>
      <c r="I53" s="316">
        <v>0</v>
      </c>
      <c r="J53" s="316">
        <v>0</v>
      </c>
      <c r="K53" s="316">
        <v>0</v>
      </c>
      <c r="L53" s="316">
        <v>0.01</v>
      </c>
      <c r="M53" s="316">
        <v>0</v>
      </c>
      <c r="N53" s="316">
        <v>0</v>
      </c>
      <c r="O53" s="316">
        <v>0</v>
      </c>
      <c r="P53" s="316">
        <v>0</v>
      </c>
      <c r="Q53" s="316">
        <v>0</v>
      </c>
      <c r="R53" s="316">
        <v>0</v>
      </c>
    </row>
    <row r="54" spans="1:52" ht="14.6">
      <c r="A54" s="315" t="s">
        <v>676</v>
      </c>
      <c r="B54" s="316">
        <v>0</v>
      </c>
      <c r="C54" s="316">
        <v>0</v>
      </c>
      <c r="D54" s="316">
        <v>0</v>
      </c>
      <c r="E54" s="316">
        <v>0</v>
      </c>
      <c r="F54" s="316">
        <v>-0.02</v>
      </c>
      <c r="G54" s="316">
        <v>0.01</v>
      </c>
      <c r="H54" s="316">
        <v>0</v>
      </c>
      <c r="I54" s="316">
        <v>0.01</v>
      </c>
      <c r="J54" s="316">
        <v>0</v>
      </c>
      <c r="K54" s="316">
        <v>0.01</v>
      </c>
      <c r="L54" s="316">
        <v>0.03</v>
      </c>
      <c r="M54" s="316">
        <v>-0.01</v>
      </c>
      <c r="N54" s="316">
        <v>-0.01</v>
      </c>
      <c r="O54" s="316">
        <v>-0.04</v>
      </c>
      <c r="P54" s="316">
        <v>-0.01</v>
      </c>
      <c r="Q54" s="316">
        <v>0</v>
      </c>
      <c r="R54" s="316">
        <v>0.01</v>
      </c>
    </row>
    <row r="55" spans="1:52" ht="14.6">
      <c r="A55" s="315" t="s">
        <v>677</v>
      </c>
      <c r="B55" s="316">
        <v>1.7</v>
      </c>
      <c r="C55" s="316">
        <v>1.81</v>
      </c>
      <c r="D55" s="316">
        <v>1.89</v>
      </c>
      <c r="E55" s="316">
        <v>1.94</v>
      </c>
      <c r="F55" s="316">
        <v>1.92</v>
      </c>
      <c r="G55" s="316">
        <v>1.91</v>
      </c>
      <c r="H55" s="316">
        <v>1.95</v>
      </c>
      <c r="I55" s="316">
        <v>2.04</v>
      </c>
      <c r="J55" s="316">
        <v>2.0699999999999998</v>
      </c>
      <c r="K55" s="316">
        <v>2.12</v>
      </c>
      <c r="L55" s="316">
        <v>2.14</v>
      </c>
      <c r="M55" s="316">
        <v>2.04</v>
      </c>
      <c r="N55" s="316">
        <v>2.11</v>
      </c>
      <c r="O55" s="316">
        <v>2.0699999999999998</v>
      </c>
      <c r="P55" s="316">
        <v>2.17</v>
      </c>
      <c r="Q55" s="316">
        <v>2.2000000000000002</v>
      </c>
      <c r="R55" s="316">
        <v>2.23</v>
      </c>
    </row>
    <row r="57" spans="1:52" ht="14.6">
      <c r="A57" s="40" t="s">
        <v>311</v>
      </c>
    </row>
    <row r="58" spans="1:52" ht="14.6">
      <c r="A58" s="289" t="s">
        <v>678</v>
      </c>
      <c r="B58" s="234">
        <f t="shared" ref="B58:R58" si="0">SUM(B2,B8,B14,B20,B26,B32,B38,B44,B50)</f>
        <v>69.27</v>
      </c>
      <c r="C58" s="234">
        <f t="shared" si="0"/>
        <v>72.760000000000005</v>
      </c>
      <c r="D58" s="234">
        <f t="shared" si="0"/>
        <v>75.150000000000006</v>
      </c>
      <c r="E58" s="234">
        <f t="shared" si="0"/>
        <v>76.149999999999991</v>
      </c>
      <c r="F58" s="234">
        <f t="shared" si="0"/>
        <v>81.129999999999981</v>
      </c>
      <c r="G58" s="234">
        <f t="shared" si="0"/>
        <v>83.429999999999993</v>
      </c>
      <c r="H58" s="234">
        <f t="shared" si="0"/>
        <v>85.500000000000014</v>
      </c>
      <c r="I58" s="234">
        <f t="shared" si="0"/>
        <v>89.28</v>
      </c>
      <c r="J58" s="234">
        <f t="shared" si="0"/>
        <v>94.3</v>
      </c>
      <c r="K58" s="234">
        <f t="shared" si="0"/>
        <v>105.95</v>
      </c>
      <c r="L58" s="234">
        <f t="shared" si="0"/>
        <v>120.60000000000001</v>
      </c>
      <c r="M58" s="234">
        <f t="shared" si="0"/>
        <v>125.5</v>
      </c>
      <c r="N58" s="234">
        <f t="shared" si="0"/>
        <v>138.46</v>
      </c>
      <c r="O58" s="234">
        <f t="shared" si="0"/>
        <v>141.76000000000002</v>
      </c>
      <c r="P58" s="234">
        <f t="shared" si="0"/>
        <v>146.82</v>
      </c>
      <c r="Q58" s="234">
        <f t="shared" si="0"/>
        <v>150.32</v>
      </c>
      <c r="R58" s="234">
        <f t="shared" si="0"/>
        <v>155.55000000000001</v>
      </c>
      <c r="S58" s="234">
        <f t="shared" ref="S58:AZ58" si="1">63.8+30.8*LN(S85)</f>
        <v>152.88522638676955</v>
      </c>
      <c r="T58" s="234">
        <f t="shared" si="1"/>
        <v>158.55948375197951</v>
      </c>
      <c r="U58" s="234">
        <f t="shared" si="1"/>
        <v>158.36110718526467</v>
      </c>
      <c r="V58" s="234">
        <f t="shared" si="1"/>
        <v>160.11436792484153</v>
      </c>
      <c r="W58" s="234">
        <f t="shared" si="1"/>
        <v>160.81863448272097</v>
      </c>
      <c r="X58" s="234">
        <f t="shared" si="1"/>
        <v>161.32115515159808</v>
      </c>
      <c r="Y58" s="234">
        <f t="shared" si="1"/>
        <v>162.26691887457486</v>
      </c>
      <c r="Z58" s="234">
        <f t="shared" si="1"/>
        <v>163.38030652175945</v>
      </c>
      <c r="AA58" s="234">
        <f t="shared" si="1"/>
        <v>164.4841077099276</v>
      </c>
      <c r="AB58" s="234">
        <f t="shared" si="1"/>
        <v>165.42822772851926</v>
      </c>
      <c r="AC58" s="234">
        <f t="shared" si="1"/>
        <v>166.00808465677284</v>
      </c>
      <c r="AD58" s="234">
        <f t="shared" si="1"/>
        <v>166.51531106352843</v>
      </c>
      <c r="AE58" s="234">
        <f t="shared" si="1"/>
        <v>166.78365905629983</v>
      </c>
      <c r="AF58" s="234">
        <f t="shared" si="1"/>
        <v>166.94298711997376</v>
      </c>
      <c r="AG58" s="234">
        <f t="shared" si="1"/>
        <v>167.30270593016462</v>
      </c>
      <c r="AH58" s="234">
        <f t="shared" si="1"/>
        <v>167.72236147980561</v>
      </c>
      <c r="AI58" s="234">
        <f t="shared" si="1"/>
        <v>167.8922473859179</v>
      </c>
      <c r="AJ58" s="234">
        <f t="shared" si="1"/>
        <v>168.25760537044636</v>
      </c>
      <c r="AK58" s="234">
        <f t="shared" si="1"/>
        <v>168.50023126619766</v>
      </c>
      <c r="AL58" s="234">
        <f t="shared" si="1"/>
        <v>168.75868162917405</v>
      </c>
      <c r="AM58" s="234">
        <f t="shared" si="1"/>
        <v>168.90272397075984</v>
      </c>
      <c r="AN58" s="234">
        <f t="shared" si="1"/>
        <v>169.1103836314698</v>
      </c>
      <c r="AO58" s="234">
        <f t="shared" si="1"/>
        <v>169.24689883070937</v>
      </c>
      <c r="AP58" s="234">
        <f t="shared" si="1"/>
        <v>169.43606596902148</v>
      </c>
      <c r="AQ58" s="234">
        <f t="shared" si="1"/>
        <v>169.54824579096811</v>
      </c>
      <c r="AR58" s="234">
        <f t="shared" si="1"/>
        <v>169.75451315366865</v>
      </c>
      <c r="AS58" s="234">
        <f t="shared" si="1"/>
        <v>169.92260804529263</v>
      </c>
      <c r="AT58" s="234">
        <f t="shared" si="1"/>
        <v>170.28236031951127</v>
      </c>
      <c r="AU58" s="234">
        <f t="shared" si="1"/>
        <v>170.52055055552427</v>
      </c>
      <c r="AV58" s="234">
        <f t="shared" si="1"/>
        <v>170.67825078377854</v>
      </c>
      <c r="AW58" s="234">
        <f t="shared" si="1"/>
        <v>170.95992912317325</v>
      </c>
      <c r="AX58" s="234">
        <f t="shared" si="1"/>
        <v>171.33840680390122</v>
      </c>
      <c r="AY58" s="234">
        <f t="shared" si="1"/>
        <v>171.53604839689439</v>
      </c>
      <c r="AZ58" s="234">
        <f t="shared" si="1"/>
        <v>171.81347442156363</v>
      </c>
    </row>
    <row r="59" spans="1:52" ht="14.6">
      <c r="A59" s="289" t="s">
        <v>680</v>
      </c>
      <c r="B59" s="234">
        <f t="shared" ref="B59:R59" si="2">SUM(B3,B9,B15,B21,B27,B33,B39,B45,B51)</f>
        <v>2.66</v>
      </c>
      <c r="C59" s="234">
        <f t="shared" si="2"/>
        <v>3.36</v>
      </c>
      <c r="D59" s="234">
        <f t="shared" si="2"/>
        <v>4.1999999999999993</v>
      </c>
      <c r="E59" s="234">
        <f t="shared" si="2"/>
        <v>5.3</v>
      </c>
      <c r="F59" s="234">
        <f t="shared" si="2"/>
        <v>3.1799999999999997</v>
      </c>
      <c r="G59" s="234">
        <f t="shared" si="2"/>
        <v>2.9999999999999996</v>
      </c>
      <c r="H59" s="234">
        <f t="shared" si="2"/>
        <v>3.9</v>
      </c>
      <c r="I59" s="234">
        <f t="shared" si="2"/>
        <v>6.41</v>
      </c>
      <c r="J59" s="234">
        <f t="shared" si="2"/>
        <v>12.28</v>
      </c>
      <c r="K59" s="234">
        <f t="shared" si="2"/>
        <v>15.76</v>
      </c>
      <c r="L59" s="234">
        <f t="shared" si="2"/>
        <v>5.169999999999999</v>
      </c>
      <c r="M59" s="234">
        <f t="shared" si="2"/>
        <v>14.379999999999999</v>
      </c>
      <c r="N59" s="234">
        <f t="shared" si="2"/>
        <v>5.01</v>
      </c>
      <c r="O59" s="234">
        <f t="shared" si="2"/>
        <v>6.53</v>
      </c>
      <c r="P59" s="234">
        <f t="shared" si="2"/>
        <v>4.51</v>
      </c>
      <c r="Q59" s="234">
        <f t="shared" si="2"/>
        <v>6.54</v>
      </c>
      <c r="R59" s="234">
        <f t="shared" si="2"/>
        <v>6.03</v>
      </c>
      <c r="S59" s="234">
        <f t="shared" ref="S59:AY59" si="3">T58-S58+S60-S61-S62</f>
        <v>6.757590698543301</v>
      </c>
      <c r="T59" s="234">
        <f t="shared" si="3"/>
        <v>0.91251232217404721</v>
      </c>
      <c r="U59" s="234">
        <f t="shared" si="3"/>
        <v>2.8928755543916744</v>
      </c>
      <c r="V59" s="234">
        <f t="shared" si="3"/>
        <v>1.8611890270152383</v>
      </c>
      <c r="W59" s="234">
        <f t="shared" si="3"/>
        <v>1.6772379692886334</v>
      </c>
      <c r="X59" s="234">
        <f t="shared" si="3"/>
        <v>2.1494621767490694</v>
      </c>
      <c r="Y59" s="234">
        <f t="shared" si="3"/>
        <v>2.3146659978750388</v>
      </c>
      <c r="Z59" s="234">
        <f t="shared" si="3"/>
        <v>2.3271647622379552</v>
      </c>
      <c r="AA59" s="234">
        <f t="shared" si="3"/>
        <v>2.1970411642661216</v>
      </c>
      <c r="AB59" s="234">
        <f t="shared" si="3"/>
        <v>1.8456394836396677</v>
      </c>
      <c r="AC59" s="234">
        <f t="shared" si="3"/>
        <v>1.7587277991674224</v>
      </c>
      <c r="AD59" s="234">
        <f t="shared" si="3"/>
        <v>1.4946161446773483</v>
      </c>
      <c r="AE59" s="234">
        <f t="shared" si="3"/>
        <v>1.3306807590402889</v>
      </c>
      <c r="AF59" s="234">
        <f t="shared" si="3"/>
        <v>1.5598283519149618</v>
      </c>
      <c r="AG59" s="234">
        <f t="shared" si="3"/>
        <v>1.6437723941467057</v>
      </c>
      <c r="AH59" s="234">
        <f t="shared" si="3"/>
        <v>1.3622772069183786</v>
      </c>
      <c r="AI59" s="234">
        <f t="shared" si="3"/>
        <v>1.5650198164994027</v>
      </c>
      <c r="AJ59" s="234">
        <f t="shared" si="3"/>
        <v>1.4482059239277176</v>
      </c>
      <c r="AK59" s="234">
        <f t="shared" si="3"/>
        <v>1.4684280720435785</v>
      </c>
      <c r="AL59" s="234">
        <f t="shared" si="3"/>
        <v>1.3575570666484018</v>
      </c>
      <c r="AM59" s="234">
        <f t="shared" si="3"/>
        <v>1.4237608807493183</v>
      </c>
      <c r="AN59" s="234">
        <f t="shared" si="3"/>
        <v>1.3534432703633923</v>
      </c>
      <c r="AO59" s="234">
        <f t="shared" si="3"/>
        <v>1.4071385241314978</v>
      </c>
      <c r="AP59" s="234">
        <f t="shared" si="3"/>
        <v>1.3297917285493135</v>
      </c>
      <c r="AQ59" s="234">
        <f t="shared" si="3"/>
        <v>1.4215253200317801</v>
      </c>
      <c r="AR59" s="234">
        <f t="shared" si="3"/>
        <v>1.379984542418226</v>
      </c>
      <c r="AS59" s="234">
        <f t="shared" si="3"/>
        <v>1.5690011422383763</v>
      </c>
      <c r="AT59" s="234">
        <f t="shared" si="3"/>
        <v>1.4463044851069902</v>
      </c>
      <c r="AU59" s="234">
        <f t="shared" si="3"/>
        <v>1.3682652475967734</v>
      </c>
      <c r="AV59" s="234">
        <f t="shared" si="3"/>
        <v>1.4929403905784451</v>
      </c>
      <c r="AW59" s="234">
        <f t="shared" si="3"/>
        <v>1.5888827456902317</v>
      </c>
      <c r="AX59" s="234">
        <f t="shared" si="3"/>
        <v>1.4092475755658396</v>
      </c>
      <c r="AY59" s="234">
        <f t="shared" si="3"/>
        <v>1.4898282839486958</v>
      </c>
      <c r="AZ59" s="318">
        <f>AY59</f>
        <v>1.4898282839486958</v>
      </c>
    </row>
    <row r="60" spans="1:52" ht="14.6">
      <c r="A60" s="289" t="s">
        <v>685</v>
      </c>
      <c r="B60" s="234">
        <f t="shared" ref="B60:R60" si="4">SUM(B4,B10,B16,B22,B28,B34,B40,B46,B52)</f>
        <v>0.89000000000000012</v>
      </c>
      <c r="C60" s="234">
        <f t="shared" si="4"/>
        <v>0.74</v>
      </c>
      <c r="D60" s="234">
        <f t="shared" si="4"/>
        <v>0.65000000000000013</v>
      </c>
      <c r="E60" s="234">
        <f t="shared" si="4"/>
        <v>0.85</v>
      </c>
      <c r="F60" s="234">
        <f t="shared" si="4"/>
        <v>0.81</v>
      </c>
      <c r="G60" s="234">
        <f t="shared" si="4"/>
        <v>0.86</v>
      </c>
      <c r="H60" s="234">
        <f t="shared" si="4"/>
        <v>0.80000000000000016</v>
      </c>
      <c r="I60" s="234">
        <f t="shared" si="4"/>
        <v>0.77</v>
      </c>
      <c r="J60" s="234">
        <f t="shared" si="4"/>
        <v>0.83</v>
      </c>
      <c r="K60" s="234">
        <f t="shared" si="4"/>
        <v>0.78</v>
      </c>
      <c r="L60" s="234">
        <f t="shared" si="4"/>
        <v>0.89000000000000012</v>
      </c>
      <c r="M60" s="234">
        <f t="shared" si="4"/>
        <v>1.28</v>
      </c>
      <c r="N60" s="234">
        <f t="shared" si="4"/>
        <v>1.55</v>
      </c>
      <c r="O60" s="234">
        <f t="shared" si="4"/>
        <v>1.8400000000000003</v>
      </c>
      <c r="P60" s="234">
        <f t="shared" si="4"/>
        <v>0.71999999999999986</v>
      </c>
      <c r="Q60" s="234">
        <f t="shared" si="4"/>
        <v>0.94</v>
      </c>
      <c r="R60" s="234">
        <f t="shared" si="4"/>
        <v>1.5300000000000002</v>
      </c>
      <c r="S60" s="234">
        <f t="shared" ref="S60:AZ60" si="5">AVERAGE(D60:R60)</f>
        <v>1.0066666666666668</v>
      </c>
      <c r="T60" s="234">
        <f t="shared" si="5"/>
        <v>1.0304444444444445</v>
      </c>
      <c r="U60" s="234">
        <f t="shared" si="5"/>
        <v>1.0424740740740743</v>
      </c>
      <c r="V60" s="234">
        <f t="shared" si="5"/>
        <v>1.0579723456790124</v>
      </c>
      <c r="W60" s="234">
        <f t="shared" si="5"/>
        <v>1.0711705020576132</v>
      </c>
      <c r="X60" s="234">
        <f t="shared" si="5"/>
        <v>1.0892485355281207</v>
      </c>
      <c r="Y60" s="234">
        <f t="shared" si="5"/>
        <v>1.1105317712299956</v>
      </c>
      <c r="Z60" s="234">
        <f t="shared" si="5"/>
        <v>1.1292338893119953</v>
      </c>
      <c r="AA60" s="234">
        <f t="shared" si="5"/>
        <v>1.1525161485994615</v>
      </c>
      <c r="AB60" s="234">
        <f t="shared" si="5"/>
        <v>1.170017225172759</v>
      </c>
      <c r="AC60" s="234">
        <f t="shared" si="5"/>
        <v>1.1626850401842763</v>
      </c>
      <c r="AD60" s="234">
        <f t="shared" si="5"/>
        <v>1.136864042863228</v>
      </c>
      <c r="AE60" s="234">
        <f t="shared" si="5"/>
        <v>1.0899883123874434</v>
      </c>
      <c r="AF60" s="234">
        <f t="shared" si="5"/>
        <v>1.1146541998799395</v>
      </c>
      <c r="AG60" s="234">
        <f t="shared" si="5"/>
        <v>1.1262978132052688</v>
      </c>
      <c r="AH60" s="234">
        <f t="shared" si="5"/>
        <v>1.0993843340856202</v>
      </c>
      <c r="AI60" s="234">
        <f t="shared" si="5"/>
        <v>1.1055655119135503</v>
      </c>
      <c r="AJ60" s="234">
        <f t="shared" si="5"/>
        <v>1.1105735830781573</v>
      </c>
      <c r="AK60" s="234">
        <f t="shared" si="5"/>
        <v>1.1151135503450964</v>
      </c>
      <c r="AL60" s="234">
        <f t="shared" si="5"/>
        <v>1.1189229639895018</v>
      </c>
      <c r="AM60" s="234">
        <f t="shared" si="5"/>
        <v>1.1221064614516278</v>
      </c>
      <c r="AN60" s="234">
        <f t="shared" si="5"/>
        <v>1.124296989846528</v>
      </c>
      <c r="AO60" s="234">
        <f t="shared" si="5"/>
        <v>1.1252146710876303</v>
      </c>
      <c r="AP60" s="234">
        <f t="shared" si="5"/>
        <v>1.1249467232060057</v>
      </c>
      <c r="AQ60" s="234">
        <f t="shared" si="5"/>
        <v>1.1231087615131088</v>
      </c>
      <c r="AR60" s="234">
        <f t="shared" si="5"/>
        <v>1.1199815306024654</v>
      </c>
      <c r="AS60" s="234">
        <f t="shared" si="5"/>
        <v>1.1171346299636782</v>
      </c>
      <c r="AT60" s="234">
        <f t="shared" si="5"/>
        <v>1.1158193357703747</v>
      </c>
      <c r="AU60" s="234">
        <f t="shared" si="5"/>
        <v>1.1175414039959035</v>
      </c>
      <c r="AV60" s="234">
        <f t="shared" si="5"/>
        <v>1.1177338842703011</v>
      </c>
      <c r="AW60" s="234">
        <f t="shared" si="5"/>
        <v>1.1171629556746365</v>
      </c>
      <c r="AX60" s="234">
        <f t="shared" si="5"/>
        <v>1.1183481971139044</v>
      </c>
      <c r="AY60" s="234">
        <f t="shared" si="5"/>
        <v>1.1192003761272613</v>
      </c>
      <c r="AZ60" s="234">
        <f t="shared" si="5"/>
        <v>1.1197754956638686</v>
      </c>
    </row>
    <row r="61" spans="1:52" ht="14.6">
      <c r="A61" s="289" t="s">
        <v>688</v>
      </c>
      <c r="B61" s="234">
        <f t="shared" ref="B61:R61" si="6">SUM(B5,B11,B17,B23,B29,B35,B41,B47,B53)</f>
        <v>-0.04</v>
      </c>
      <c r="C61" s="234">
        <f t="shared" si="6"/>
        <v>0</v>
      </c>
      <c r="D61" s="234">
        <f t="shared" si="6"/>
        <v>-0.03</v>
      </c>
      <c r="E61" s="234">
        <f t="shared" si="6"/>
        <v>0</v>
      </c>
      <c r="F61" s="234">
        <f t="shared" si="6"/>
        <v>-7.0000000000000007E-2</v>
      </c>
      <c r="G61" s="234">
        <f t="shared" si="6"/>
        <v>-0.03</v>
      </c>
      <c r="H61" s="234">
        <f t="shared" si="6"/>
        <v>0.03</v>
      </c>
      <c r="I61" s="234">
        <f t="shared" si="6"/>
        <v>-0.03</v>
      </c>
      <c r="J61" s="234">
        <f t="shared" si="6"/>
        <v>0.03</v>
      </c>
      <c r="K61" s="234">
        <f t="shared" si="6"/>
        <v>0</v>
      </c>
      <c r="L61" s="234">
        <f t="shared" si="6"/>
        <v>-0.16999999999999998</v>
      </c>
      <c r="M61" s="234">
        <f t="shared" si="6"/>
        <v>-0.24000000000000002</v>
      </c>
      <c r="N61" s="234">
        <f t="shared" si="6"/>
        <v>-0.04</v>
      </c>
      <c r="O61" s="234">
        <f t="shared" si="6"/>
        <v>-0.01</v>
      </c>
      <c r="P61" s="234">
        <f t="shared" si="6"/>
        <v>0.03</v>
      </c>
      <c r="Q61" s="234">
        <f t="shared" si="6"/>
        <v>0.04</v>
      </c>
      <c r="R61" s="234">
        <f t="shared" si="6"/>
        <v>-0.15000000000000002</v>
      </c>
      <c r="S61" s="234">
        <f t="shared" ref="S61:AZ61" si="7">AVERAGE(D61:R61)</f>
        <v>-4.2666666666666672E-2</v>
      </c>
      <c r="T61" s="234">
        <f t="shared" si="7"/>
        <v>-4.3511111111111118E-2</v>
      </c>
      <c r="U61" s="234">
        <f t="shared" si="7"/>
        <v>-4.6411851851851857E-2</v>
      </c>
      <c r="V61" s="234">
        <f t="shared" si="7"/>
        <v>-4.4839308641975308E-2</v>
      </c>
      <c r="W61" s="234">
        <f t="shared" si="7"/>
        <v>-4.5828595884773657E-2</v>
      </c>
      <c r="X61" s="234">
        <f t="shared" si="7"/>
        <v>-5.0883835610425233E-2</v>
      </c>
      <c r="Y61" s="234">
        <f t="shared" si="7"/>
        <v>-5.2276091317786912E-2</v>
      </c>
      <c r="Z61" s="234">
        <f t="shared" si="7"/>
        <v>-5.776116407230604E-2</v>
      </c>
      <c r="AA61" s="234">
        <f t="shared" si="7"/>
        <v>-6.1611908343793112E-2</v>
      </c>
      <c r="AB61" s="234">
        <f t="shared" si="7"/>
        <v>-5.4386035566712648E-2</v>
      </c>
      <c r="AC61" s="234">
        <f t="shared" si="7"/>
        <v>-4.2011771271160181E-2</v>
      </c>
      <c r="AD61" s="234">
        <f t="shared" si="7"/>
        <v>-4.2145889355904194E-2</v>
      </c>
      <c r="AE61" s="234">
        <f t="shared" si="7"/>
        <v>-4.4288948646297809E-2</v>
      </c>
      <c r="AF61" s="234">
        <f t="shared" si="7"/>
        <v>-4.9241545222717654E-2</v>
      </c>
      <c r="AG61" s="234">
        <f t="shared" si="7"/>
        <v>-5.5190981570898842E-2</v>
      </c>
      <c r="AH61" s="234">
        <f t="shared" si="7"/>
        <v>-4.8870380342292088E-2</v>
      </c>
      <c r="AI61" s="234">
        <f t="shared" si="7"/>
        <v>-4.9283961254000447E-2</v>
      </c>
      <c r="AJ61" s="234">
        <f t="shared" si="7"/>
        <v>-4.9668817930193059E-2</v>
      </c>
      <c r="AK61" s="234">
        <f t="shared" si="7"/>
        <v>-4.9885949002082472E-2</v>
      </c>
      <c r="AL61" s="234">
        <f t="shared" si="7"/>
        <v>-5.0222391692756288E-2</v>
      </c>
      <c r="AM61" s="234">
        <f t="shared" si="7"/>
        <v>-5.0515311413288466E-2</v>
      </c>
      <c r="AN61" s="234">
        <f t="shared" si="7"/>
        <v>-5.049074313347935E-2</v>
      </c>
      <c r="AO61" s="234">
        <f t="shared" si="7"/>
        <v>-5.0371719921192173E-2</v>
      </c>
      <c r="AP61" s="234">
        <f t="shared" si="7"/>
        <v>-4.9879090311117917E-2</v>
      </c>
      <c r="AQ61" s="234">
        <f t="shared" si="7"/>
        <v>-4.9096902442272904E-2</v>
      </c>
      <c r="AR61" s="234">
        <f t="shared" si="7"/>
        <v>-4.8744293567310255E-2</v>
      </c>
      <c r="AS61" s="234">
        <f t="shared" si="7"/>
        <v>-4.9193128387053593E-2</v>
      </c>
      <c r="AT61" s="234">
        <f t="shared" si="7"/>
        <v>-4.9662944322463556E-2</v>
      </c>
      <c r="AU61" s="234">
        <f t="shared" si="7"/>
        <v>-5.0021210700874605E-2</v>
      </c>
      <c r="AV61" s="234">
        <f t="shared" si="7"/>
        <v>-5.0073188399418399E-2</v>
      </c>
      <c r="AW61" s="234">
        <f t="shared" si="7"/>
        <v>-4.9732002187986367E-2</v>
      </c>
      <c r="AX61" s="234">
        <f t="shared" si="7"/>
        <v>-4.9789443644365987E-2</v>
      </c>
      <c r="AY61" s="234">
        <f t="shared" si="7"/>
        <v>-4.9823142470390359E-2</v>
      </c>
      <c r="AZ61" s="234">
        <f t="shared" si="7"/>
        <v>-4.9833430773070168E-2</v>
      </c>
    </row>
    <row r="62" spans="1:52" ht="14.6">
      <c r="A62" s="289" t="s">
        <v>694</v>
      </c>
      <c r="B62" s="234">
        <f t="shared" ref="B62:R62" si="8">SUM(B6,B12,B18,B24,B30,B36,B42,B48,B54)</f>
        <v>0.03</v>
      </c>
      <c r="C62" s="234">
        <f t="shared" si="8"/>
        <v>0.03</v>
      </c>
      <c r="D62" s="234">
        <f t="shared" si="8"/>
        <v>0.01</v>
      </c>
      <c r="E62" s="234">
        <f t="shared" si="8"/>
        <v>0.16999999999999998</v>
      </c>
      <c r="F62" s="234">
        <f t="shared" si="8"/>
        <v>0</v>
      </c>
      <c r="G62" s="234">
        <f t="shared" si="8"/>
        <v>0</v>
      </c>
      <c r="H62" s="234">
        <f t="shared" si="8"/>
        <v>3.0000000000000006E-2</v>
      </c>
      <c r="I62" s="234">
        <f t="shared" si="8"/>
        <v>-0.43999999999999995</v>
      </c>
      <c r="J62" s="234">
        <f t="shared" si="8"/>
        <v>-7.0000000000000007E-2</v>
      </c>
      <c r="K62" s="234">
        <f t="shared" si="8"/>
        <v>0</v>
      </c>
      <c r="L62" s="234">
        <f t="shared" si="8"/>
        <v>0</v>
      </c>
      <c r="M62" s="234">
        <f t="shared" si="8"/>
        <v>3.9999999999999994E-2</v>
      </c>
      <c r="N62" s="234">
        <f t="shared" si="8"/>
        <v>-3.999999999999998E-2</v>
      </c>
      <c r="O62" s="234">
        <f t="shared" si="8"/>
        <v>-0.2</v>
      </c>
      <c r="P62" s="234">
        <f t="shared" si="8"/>
        <v>-0.05</v>
      </c>
      <c r="Q62" s="234">
        <f t="shared" si="8"/>
        <v>0.06</v>
      </c>
      <c r="R62" s="234">
        <f t="shared" si="8"/>
        <v>-1.9999999999999997E-2</v>
      </c>
      <c r="S62" s="234">
        <f t="shared" ref="S62:AZ62" si="9">AVERAGE(D62:R62)</f>
        <v>-3.3999999999999996E-2</v>
      </c>
      <c r="T62" s="234">
        <f t="shared" si="9"/>
        <v>-3.6933333333333339E-2</v>
      </c>
      <c r="U62" s="234">
        <f t="shared" si="9"/>
        <v>-5.0728888888888893E-2</v>
      </c>
      <c r="V62" s="234">
        <f t="shared" si="9"/>
        <v>-5.411081481481482E-2</v>
      </c>
      <c r="W62" s="234">
        <f t="shared" si="9"/>
        <v>-5.771820246913581E-2</v>
      </c>
      <c r="X62" s="234">
        <f t="shared" si="9"/>
        <v>-6.3566082633744872E-2</v>
      </c>
      <c r="Y62" s="234">
        <f t="shared" si="9"/>
        <v>-3.8470488142661179E-2</v>
      </c>
      <c r="Z62" s="234">
        <f t="shared" si="9"/>
        <v>-3.6368520685505258E-2</v>
      </c>
      <c r="AA62" s="234">
        <f t="shared" si="9"/>
        <v>-3.8793088731205606E-2</v>
      </c>
      <c r="AB62" s="234">
        <f t="shared" si="9"/>
        <v>-4.1379294646619311E-2</v>
      </c>
      <c r="AC62" s="234">
        <f t="shared" si="9"/>
        <v>-4.6804580956393928E-2</v>
      </c>
      <c r="AD62" s="234">
        <f t="shared" si="9"/>
        <v>-4.7258219686820195E-2</v>
      </c>
      <c r="AE62" s="234">
        <f t="shared" si="9"/>
        <v>-3.7075434332608216E-2</v>
      </c>
      <c r="AF62" s="234">
        <f t="shared" si="9"/>
        <v>-3.621379662144876E-2</v>
      </c>
      <c r="AG62" s="234">
        <f t="shared" si="9"/>
        <v>-4.2628049729545349E-2</v>
      </c>
      <c r="AH62" s="234">
        <f t="shared" si="9"/>
        <v>-4.4136586378181707E-2</v>
      </c>
      <c r="AI62" s="234">
        <f t="shared" si="9"/>
        <v>-4.481235880339382E-2</v>
      </c>
      <c r="AJ62" s="234">
        <f t="shared" si="9"/>
        <v>-4.5337627168064526E-2</v>
      </c>
      <c r="AK62" s="234">
        <f t="shared" si="9"/>
        <v>-4.4978209720009564E-2</v>
      </c>
      <c r="AL62" s="234">
        <f t="shared" si="9"/>
        <v>-4.4369369380355878E-2</v>
      </c>
      <c r="AM62" s="234">
        <f t="shared" si="9"/>
        <v>-4.3479447174437212E-2</v>
      </c>
      <c r="AN62" s="234">
        <f t="shared" si="9"/>
        <v>-4.2140338143816694E-2</v>
      </c>
      <c r="AO62" s="234">
        <f t="shared" si="9"/>
        <v>-4.2384994810560392E-2</v>
      </c>
      <c r="AP62" s="234">
        <f t="shared" si="9"/>
        <v>-4.2786093085564067E-2</v>
      </c>
      <c r="AQ62" s="234">
        <f t="shared" si="9"/>
        <v>-4.3052293375854631E-2</v>
      </c>
      <c r="AR62" s="234">
        <f t="shared" si="9"/>
        <v>-4.3163826624470311E-2</v>
      </c>
      <c r="AS62" s="234">
        <f t="shared" si="9"/>
        <v>-4.2921109669008743E-2</v>
      </c>
      <c r="AT62" s="234">
        <f t="shared" si="9"/>
        <v>-4.2631969001154651E-2</v>
      </c>
      <c r="AU62" s="234">
        <f t="shared" si="9"/>
        <v>-4.3002404645724419E-2</v>
      </c>
      <c r="AV62" s="234">
        <f t="shared" si="9"/>
        <v>-4.3454978514009465E-2</v>
      </c>
      <c r="AW62" s="234">
        <f t="shared" si="9"/>
        <v>-4.3510107099640413E-2</v>
      </c>
      <c r="AX62" s="234">
        <f t="shared" si="9"/>
        <v>-4.3468341814404329E-2</v>
      </c>
      <c r="AY62" s="234">
        <f t="shared" si="9"/>
        <v>-4.3378740681805028E-2</v>
      </c>
      <c r="AZ62" s="234">
        <f t="shared" si="9"/>
        <v>-4.3248148249387719E-2</v>
      </c>
    </row>
    <row r="63" spans="1:52" ht="14.6">
      <c r="A63" s="289" t="s">
        <v>703</v>
      </c>
      <c r="B63" s="234">
        <f t="shared" ref="B63:R63" si="10">SUM(B7,B13,B19,B25,B31,B37,B43,B49,B55)</f>
        <v>71</v>
      </c>
      <c r="C63" s="234">
        <f t="shared" si="10"/>
        <v>75.42</v>
      </c>
      <c r="D63" s="234">
        <f t="shared" si="10"/>
        <v>78.650000000000006</v>
      </c>
      <c r="E63" s="234">
        <f t="shared" si="10"/>
        <v>80.77</v>
      </c>
      <c r="F63" s="234">
        <f t="shared" si="10"/>
        <v>83.44</v>
      </c>
      <c r="G63" s="234">
        <f t="shared" si="10"/>
        <v>85.499999999999986</v>
      </c>
      <c r="H63" s="234">
        <f t="shared" si="10"/>
        <v>88.63000000000001</v>
      </c>
      <c r="I63" s="234">
        <f t="shared" si="10"/>
        <v>94.49</v>
      </c>
      <c r="J63" s="234">
        <f t="shared" si="10"/>
        <v>105.71</v>
      </c>
      <c r="K63" s="234">
        <f t="shared" si="10"/>
        <v>120.92</v>
      </c>
      <c r="L63" s="234">
        <f t="shared" si="10"/>
        <v>124.69000000000001</v>
      </c>
      <c r="M63" s="234">
        <f t="shared" si="10"/>
        <v>138.41</v>
      </c>
      <c r="N63" s="234">
        <f t="shared" si="10"/>
        <v>141.84</v>
      </c>
      <c r="O63" s="234">
        <f t="shared" si="10"/>
        <v>146.24</v>
      </c>
      <c r="P63" s="234">
        <f t="shared" si="10"/>
        <v>150.59999999999997</v>
      </c>
      <c r="Q63" s="234">
        <f t="shared" si="10"/>
        <v>156.01999999999998</v>
      </c>
      <c r="R63" s="234">
        <f t="shared" si="10"/>
        <v>159.85</v>
      </c>
    </row>
    <row r="64" spans="1:52" ht="14.6">
      <c r="A64" s="80" t="s">
        <v>705</v>
      </c>
      <c r="B64" s="215">
        <v>14.97</v>
      </c>
      <c r="C64" s="215">
        <v>14.32</v>
      </c>
      <c r="D64" s="215">
        <v>13.89</v>
      </c>
      <c r="E64" s="215">
        <v>14.91</v>
      </c>
      <c r="F64" s="215">
        <v>15.85</v>
      </c>
      <c r="G64" s="215">
        <v>16.73</v>
      </c>
      <c r="H64" s="215">
        <v>17.23</v>
      </c>
      <c r="I64" s="215">
        <v>21.89</v>
      </c>
      <c r="J64" s="215">
        <v>20.3</v>
      </c>
      <c r="K64" s="215">
        <v>19.010000000000002</v>
      </c>
      <c r="L64" s="215">
        <v>19.850000000000001</v>
      </c>
      <c r="M64" s="215">
        <v>20.87</v>
      </c>
      <c r="N64" s="215">
        <v>20.96</v>
      </c>
      <c r="O64" s="215">
        <v>21.27</v>
      </c>
      <c r="P64" s="215">
        <v>24.65</v>
      </c>
      <c r="Q64" s="215">
        <v>24.09</v>
      </c>
      <c r="R64" s="215">
        <v>22.4</v>
      </c>
      <c r="S64" s="126">
        <f t="shared" ref="S64:AZ64" si="11">14.7+3.13*LN(S85)</f>
        <v>23.753141512681452</v>
      </c>
      <c r="T64" s="126">
        <f t="shared" si="11"/>
        <v>24.329778705964152</v>
      </c>
      <c r="U64" s="126">
        <f t="shared" si="11"/>
        <v>24.309619009411637</v>
      </c>
      <c r="V64" s="126">
        <f t="shared" si="11"/>
        <v>24.487791285868635</v>
      </c>
      <c r="W64" s="126">
        <f t="shared" si="11"/>
        <v>24.559361231523269</v>
      </c>
      <c r="X64" s="126">
        <f t="shared" si="11"/>
        <v>24.610429078717594</v>
      </c>
      <c r="Y64" s="126">
        <f t="shared" si="11"/>
        <v>24.70654078173439</v>
      </c>
      <c r="Z64" s="126">
        <f t="shared" si="11"/>
        <v>24.819686993932045</v>
      </c>
      <c r="AA64" s="126">
        <f t="shared" si="11"/>
        <v>24.931858997794588</v>
      </c>
      <c r="AB64" s="126">
        <f t="shared" si="11"/>
        <v>25.027803662021597</v>
      </c>
      <c r="AC64" s="126">
        <f t="shared" si="11"/>
        <v>25.086730681029188</v>
      </c>
      <c r="AD64" s="126">
        <f t="shared" si="11"/>
        <v>25.138276741196236</v>
      </c>
      <c r="AE64" s="126">
        <f t="shared" si="11"/>
        <v>25.16554717033177</v>
      </c>
      <c r="AF64" s="126">
        <f t="shared" si="11"/>
        <v>25.181738626153177</v>
      </c>
      <c r="AG64" s="126">
        <f t="shared" si="11"/>
        <v>25.218294466279715</v>
      </c>
      <c r="AH64" s="126">
        <f t="shared" si="11"/>
        <v>25.260941280252972</v>
      </c>
      <c r="AI64" s="126">
        <f t="shared" si="11"/>
        <v>25.278205659672825</v>
      </c>
      <c r="AJ64" s="126">
        <f t="shared" si="11"/>
        <v>25.315334571736916</v>
      </c>
      <c r="AK64" s="126">
        <f t="shared" si="11"/>
        <v>25.339991034519436</v>
      </c>
      <c r="AL64" s="126">
        <f t="shared" si="11"/>
        <v>25.366255633094632</v>
      </c>
      <c r="AM64" s="126">
        <f t="shared" si="11"/>
        <v>25.380893702223322</v>
      </c>
      <c r="AN64" s="126">
        <f t="shared" si="11"/>
        <v>25.401996778133132</v>
      </c>
      <c r="AO64" s="126">
        <f t="shared" si="11"/>
        <v>25.415869913640268</v>
      </c>
      <c r="AP64" s="126">
        <f t="shared" si="11"/>
        <v>25.435093716981726</v>
      </c>
      <c r="AQ64" s="126">
        <f t="shared" si="11"/>
        <v>25.446493809276951</v>
      </c>
      <c r="AR64" s="126">
        <f t="shared" si="11"/>
        <v>25.467455395161785</v>
      </c>
      <c r="AS64" s="126">
        <f t="shared" si="11"/>
        <v>25.484537765641747</v>
      </c>
      <c r="AT64" s="126">
        <f t="shared" si="11"/>
        <v>25.52109700649579</v>
      </c>
      <c r="AU64" s="126">
        <f t="shared" si="11"/>
        <v>25.545302702558146</v>
      </c>
      <c r="AV64" s="126">
        <f t="shared" si="11"/>
        <v>25.561328732247624</v>
      </c>
      <c r="AW64" s="126">
        <f t="shared" si="11"/>
        <v>25.58995383621858</v>
      </c>
      <c r="AX64" s="126">
        <f t="shared" si="11"/>
        <v>25.628416016110741</v>
      </c>
      <c r="AY64" s="126">
        <f t="shared" si="11"/>
        <v>25.648501022151926</v>
      </c>
      <c r="AZ64" s="126">
        <f t="shared" si="11"/>
        <v>25.676693991542017</v>
      </c>
    </row>
    <row r="65" spans="1:52" ht="14.6">
      <c r="A65" s="80" t="s">
        <v>706</v>
      </c>
      <c r="B65" s="215">
        <v>11.47</v>
      </c>
      <c r="C65" s="215">
        <v>10.72</v>
      </c>
      <c r="D65" s="215">
        <v>10.09</v>
      </c>
      <c r="E65" s="215">
        <v>10.84</v>
      </c>
      <c r="F65" s="215">
        <v>11.16</v>
      </c>
      <c r="G65" s="215">
        <v>12.05</v>
      </c>
      <c r="H65" s="215">
        <v>12.46</v>
      </c>
      <c r="I65" s="215">
        <v>16.34</v>
      </c>
      <c r="J65" s="215">
        <v>14.59</v>
      </c>
      <c r="K65" s="215">
        <v>13.24</v>
      </c>
      <c r="L65" s="215">
        <v>13.91</v>
      </c>
      <c r="M65" s="215">
        <v>14.64</v>
      </c>
      <c r="N65" s="215">
        <v>14.6</v>
      </c>
      <c r="O65" s="215">
        <v>14.8</v>
      </c>
      <c r="P65" s="215">
        <v>17.41</v>
      </c>
      <c r="Q65" s="215">
        <v>17.3</v>
      </c>
      <c r="R65" s="215">
        <v>15.23</v>
      </c>
      <c r="S65" s="126">
        <f t="shared" ref="S65:AZ65" si="12">10.9+1.95*LN(S85)</f>
        <v>16.540136086175345</v>
      </c>
      <c r="T65" s="126">
        <f t="shared" si="12"/>
        <v>16.899382899881822</v>
      </c>
      <c r="U65" s="126">
        <f t="shared" si="12"/>
        <v>16.886823344521627</v>
      </c>
      <c r="V65" s="126">
        <f t="shared" si="12"/>
        <v>16.997825241994839</v>
      </c>
      <c r="W65" s="126">
        <f t="shared" si="12"/>
        <v>17.042413546795647</v>
      </c>
      <c r="X65" s="126">
        <f t="shared" si="12"/>
        <v>17.074228978753773</v>
      </c>
      <c r="Y65" s="126">
        <f t="shared" si="12"/>
        <v>17.134106876799382</v>
      </c>
      <c r="Z65" s="126">
        <f t="shared" si="12"/>
        <v>17.204597328488017</v>
      </c>
      <c r="AA65" s="126">
        <f t="shared" si="12"/>
        <v>17.274480845271391</v>
      </c>
      <c r="AB65" s="126">
        <f t="shared" si="12"/>
        <v>17.334254677617292</v>
      </c>
      <c r="AC65" s="126">
        <f t="shared" si="12"/>
        <v>17.370966398724253</v>
      </c>
      <c r="AD65" s="126">
        <f t="shared" si="12"/>
        <v>17.403079758892222</v>
      </c>
      <c r="AE65" s="126">
        <f t="shared" si="12"/>
        <v>17.420069323369631</v>
      </c>
      <c r="AF65" s="126">
        <f t="shared" si="12"/>
        <v>17.430156652076263</v>
      </c>
      <c r="AG65" s="126">
        <f t="shared" si="12"/>
        <v>17.452931057266916</v>
      </c>
      <c r="AH65" s="126">
        <f t="shared" si="12"/>
        <v>17.479500158624056</v>
      </c>
      <c r="AI65" s="126">
        <f t="shared" si="12"/>
        <v>17.490255922160387</v>
      </c>
      <c r="AJ65" s="126">
        <f t="shared" si="12"/>
        <v>17.51338735299904</v>
      </c>
      <c r="AK65" s="126">
        <f t="shared" si="12"/>
        <v>17.528748408087189</v>
      </c>
      <c r="AL65" s="126">
        <f t="shared" si="12"/>
        <v>17.545111336911994</v>
      </c>
      <c r="AM65" s="126">
        <f t="shared" si="12"/>
        <v>17.554230900746159</v>
      </c>
      <c r="AN65" s="126">
        <f t="shared" si="12"/>
        <v>17.56737818445994</v>
      </c>
      <c r="AO65" s="126">
        <f t="shared" si="12"/>
        <v>17.576021192204003</v>
      </c>
      <c r="AP65" s="126">
        <f t="shared" si="12"/>
        <v>17.587997683103634</v>
      </c>
      <c r="AQ65" s="126">
        <f t="shared" si="12"/>
        <v>17.595099977025576</v>
      </c>
      <c r="AR65" s="126">
        <f t="shared" si="12"/>
        <v>17.608159112001751</v>
      </c>
      <c r="AS65" s="126">
        <f t="shared" si="12"/>
        <v>17.618801483387031</v>
      </c>
      <c r="AT65" s="126">
        <f t="shared" si="12"/>
        <v>17.641578007241787</v>
      </c>
      <c r="AU65" s="126">
        <f t="shared" si="12"/>
        <v>17.656658233223126</v>
      </c>
      <c r="AV65" s="126">
        <f t="shared" si="12"/>
        <v>17.666642500921043</v>
      </c>
      <c r="AW65" s="126">
        <f t="shared" si="12"/>
        <v>17.684476032148957</v>
      </c>
      <c r="AX65" s="126">
        <f t="shared" si="12"/>
        <v>17.708438093104135</v>
      </c>
      <c r="AY65" s="126">
        <f t="shared" si="12"/>
        <v>17.720951116037142</v>
      </c>
      <c r="AZ65" s="126">
        <f t="shared" si="12"/>
        <v>17.738515426040554</v>
      </c>
    </row>
    <row r="66" spans="1:52" ht="14.6">
      <c r="B66" s="234">
        <f t="shared" ref="B66:AA66" si="13">B58+B59-B60+B61+B62</f>
        <v>71.029999999999987</v>
      </c>
      <c r="C66" s="234">
        <f t="shared" si="13"/>
        <v>75.410000000000011</v>
      </c>
      <c r="D66" s="234">
        <f t="shared" si="13"/>
        <v>78.680000000000007</v>
      </c>
      <c r="E66" s="234">
        <f t="shared" si="13"/>
        <v>80.77</v>
      </c>
      <c r="F66" s="234">
        <f t="shared" si="13"/>
        <v>83.429999999999978</v>
      </c>
      <c r="G66" s="234">
        <f t="shared" si="13"/>
        <v>85.539999999999992</v>
      </c>
      <c r="H66" s="234">
        <f t="shared" si="13"/>
        <v>88.660000000000025</v>
      </c>
      <c r="I66" s="234">
        <f t="shared" si="13"/>
        <v>94.45</v>
      </c>
      <c r="J66" s="234">
        <f t="shared" si="13"/>
        <v>105.71000000000001</v>
      </c>
      <c r="K66" s="234">
        <f t="shared" si="13"/>
        <v>120.93</v>
      </c>
      <c r="L66" s="234">
        <f t="shared" si="13"/>
        <v>124.71000000000001</v>
      </c>
      <c r="M66" s="234">
        <f t="shared" si="13"/>
        <v>138.39999999999998</v>
      </c>
      <c r="N66" s="234">
        <f t="shared" si="13"/>
        <v>141.84</v>
      </c>
      <c r="O66" s="234">
        <f t="shared" si="13"/>
        <v>146.24000000000004</v>
      </c>
      <c r="P66" s="234">
        <f t="shared" si="13"/>
        <v>150.58999999999997</v>
      </c>
      <c r="Q66" s="234">
        <f t="shared" si="13"/>
        <v>156.01999999999998</v>
      </c>
      <c r="R66" s="234">
        <f t="shared" si="13"/>
        <v>159.88</v>
      </c>
      <c r="S66" s="234">
        <f t="shared" si="13"/>
        <v>158.55948375197954</v>
      </c>
      <c r="T66" s="234">
        <f t="shared" si="13"/>
        <v>158.36110718526467</v>
      </c>
      <c r="U66" s="234">
        <f t="shared" si="13"/>
        <v>160.11436792484153</v>
      </c>
      <c r="V66" s="234">
        <f t="shared" si="13"/>
        <v>160.81863448272097</v>
      </c>
      <c r="W66" s="234">
        <f t="shared" si="13"/>
        <v>161.32115515159805</v>
      </c>
      <c r="X66" s="234">
        <f t="shared" si="13"/>
        <v>162.26691887457486</v>
      </c>
      <c r="Y66" s="234">
        <f t="shared" si="13"/>
        <v>163.38030652175945</v>
      </c>
      <c r="Z66" s="234">
        <f t="shared" si="13"/>
        <v>164.4841077099276</v>
      </c>
      <c r="AA66" s="234">
        <f t="shared" si="13"/>
        <v>165.42822772851926</v>
      </c>
    </row>
    <row r="67" spans="1:52" ht="14.6">
      <c r="A67" s="80" t="s">
        <v>707</v>
      </c>
      <c r="B67" s="325">
        <v>0.14364434600000001</v>
      </c>
      <c r="C67" s="325">
        <v>0.18021914999999999</v>
      </c>
      <c r="D67" s="325">
        <v>0.152820072</v>
      </c>
      <c r="E67" s="325">
        <v>0.149241768</v>
      </c>
      <c r="F67" s="325">
        <v>0.138573002</v>
      </c>
      <c r="G67" s="325">
        <v>0.19872150899999999</v>
      </c>
      <c r="H67" s="325">
        <v>0.16687839400000001</v>
      </c>
      <c r="I67" s="325">
        <v>0.19662944299999999</v>
      </c>
      <c r="J67" s="325">
        <v>0.14595892199999999</v>
      </c>
      <c r="K67" s="325">
        <v>0.14755457699999999</v>
      </c>
      <c r="L67" s="325">
        <v>0.15876438200000001</v>
      </c>
      <c r="M67" s="325">
        <v>0.18668838099999999</v>
      </c>
      <c r="N67" s="325">
        <v>0.23976455399999999</v>
      </c>
      <c r="O67" s="325">
        <v>0.202969234</v>
      </c>
      <c r="P67" s="325">
        <v>0.170772484</v>
      </c>
      <c r="Q67" s="325">
        <v>0.16254286000000001</v>
      </c>
      <c r="R67" s="325">
        <v>0.16358040600000001</v>
      </c>
      <c r="S67" s="326">
        <f t="shared" ref="S67:AZ67" si="14">AVERAGE(B67:R67)</f>
        <v>0.1709013814117647</v>
      </c>
      <c r="T67" s="326">
        <f t="shared" si="14"/>
        <v>0.17250473643598613</v>
      </c>
      <c r="U67" s="326">
        <f t="shared" si="14"/>
        <v>0.17205094740280882</v>
      </c>
      <c r="V67" s="326">
        <f t="shared" si="14"/>
        <v>0.17318217536767994</v>
      </c>
      <c r="W67" s="326">
        <f t="shared" si="14"/>
        <v>0.1745904346246023</v>
      </c>
      <c r="X67" s="326">
        <f t="shared" si="14"/>
        <v>0.17670910713193186</v>
      </c>
      <c r="Y67" s="326">
        <f t="shared" si="14"/>
        <v>0.17541425996322196</v>
      </c>
      <c r="Z67" s="326">
        <f t="shared" si="14"/>
        <v>0.17591636972576444</v>
      </c>
      <c r="AA67" s="326">
        <f t="shared" si="14"/>
        <v>0.17469795365080945</v>
      </c>
      <c r="AB67" s="326">
        <f t="shared" si="14"/>
        <v>0.1763884849243865</v>
      </c>
      <c r="AC67" s="326">
        <f t="shared" si="14"/>
        <v>0.17808459715523273</v>
      </c>
      <c r="AD67" s="326">
        <f t="shared" si="14"/>
        <v>0.1792210803996582</v>
      </c>
      <c r="AE67" s="326">
        <f t="shared" si="14"/>
        <v>0.17878182742316751</v>
      </c>
      <c r="AF67" s="326">
        <f t="shared" si="14"/>
        <v>0.17519460821276556</v>
      </c>
      <c r="AG67" s="326">
        <f t="shared" si="14"/>
        <v>0.17356080669586943</v>
      </c>
      <c r="AH67" s="326">
        <f t="shared" si="14"/>
        <v>0.17372482567797942</v>
      </c>
      <c r="AI67" s="326">
        <f t="shared" si="14"/>
        <v>0.17438258836491935</v>
      </c>
      <c r="AJ67" s="326">
        <f t="shared" si="14"/>
        <v>0.17501801085697344</v>
      </c>
      <c r="AK67" s="326">
        <f t="shared" si="14"/>
        <v>0.17526016553022097</v>
      </c>
      <c r="AL67" s="326">
        <f t="shared" si="14"/>
        <v>0.17542224959458771</v>
      </c>
      <c r="AM67" s="326">
        <f t="shared" si="14"/>
        <v>0.1756205614882218</v>
      </c>
      <c r="AN67" s="326">
        <f t="shared" si="14"/>
        <v>0.17576399596590075</v>
      </c>
      <c r="AO67" s="326">
        <f t="shared" si="14"/>
        <v>0.17583302898597714</v>
      </c>
      <c r="AP67" s="326">
        <f t="shared" si="14"/>
        <v>0.17578149497739151</v>
      </c>
      <c r="AQ67" s="326">
        <f t="shared" si="14"/>
        <v>0.17580309703704858</v>
      </c>
      <c r="AR67" s="326">
        <f t="shared" si="14"/>
        <v>0.17579643393771235</v>
      </c>
      <c r="AS67" s="326">
        <f t="shared" si="14"/>
        <v>0.17586105042517727</v>
      </c>
      <c r="AT67" s="326">
        <f t="shared" si="14"/>
        <v>0.1758300248664002</v>
      </c>
      <c r="AU67" s="326">
        <f t="shared" si="14"/>
        <v>0.17569740296705719</v>
      </c>
      <c r="AV67" s="326">
        <f t="shared" si="14"/>
        <v>0.17549012782396298</v>
      </c>
      <c r="AW67" s="326">
        <f t="shared" si="14"/>
        <v>0.17529649843577444</v>
      </c>
      <c r="AX67" s="326">
        <f t="shared" si="14"/>
        <v>0.17530249197830436</v>
      </c>
      <c r="AY67" s="326">
        <f t="shared" si="14"/>
        <v>0.17540494405374168</v>
      </c>
      <c r="AZ67" s="326">
        <f t="shared" si="14"/>
        <v>0.17550377454643359</v>
      </c>
    </row>
    <row r="68" spans="1:52" ht="15.75" customHeight="1">
      <c r="A68" s="80" t="s">
        <v>708</v>
      </c>
      <c r="B68" s="326">
        <f t="shared" ref="B68:K68" si="15">AVERAGE($L$68:$S$68)</f>
        <v>0.35349999999999993</v>
      </c>
      <c r="C68" s="326">
        <f t="shared" si="15"/>
        <v>0.35349999999999993</v>
      </c>
      <c r="D68" s="326">
        <f t="shared" si="15"/>
        <v>0.35349999999999993</v>
      </c>
      <c r="E68" s="326">
        <f t="shared" si="15"/>
        <v>0.35349999999999993</v>
      </c>
      <c r="F68" s="326">
        <f t="shared" si="15"/>
        <v>0.35349999999999993</v>
      </c>
      <c r="G68" s="326">
        <f t="shared" si="15"/>
        <v>0.35349999999999993</v>
      </c>
      <c r="H68" s="326">
        <f t="shared" si="15"/>
        <v>0.35349999999999993</v>
      </c>
      <c r="I68" s="326">
        <f t="shared" si="15"/>
        <v>0.35349999999999993</v>
      </c>
      <c r="J68" s="326">
        <f t="shared" si="15"/>
        <v>0.35349999999999993</v>
      </c>
      <c r="K68" s="326">
        <f t="shared" si="15"/>
        <v>0.35349999999999993</v>
      </c>
      <c r="L68" s="327">
        <v>0.35699999999999998</v>
      </c>
      <c r="M68" s="327">
        <v>0.35599999999999998</v>
      </c>
      <c r="N68" s="327">
        <v>0.35299999999999998</v>
      </c>
      <c r="O68" s="327">
        <v>0.35099999999999998</v>
      </c>
      <c r="P68" s="327">
        <v>0.35299999999999998</v>
      </c>
      <c r="Q68" s="327">
        <v>0.35399999999999998</v>
      </c>
      <c r="R68" s="327">
        <v>0.35299999999999998</v>
      </c>
      <c r="S68" s="327">
        <v>0.35099999999999998</v>
      </c>
      <c r="T68" s="326">
        <f t="shared" ref="T68:AZ68" si="16">AVERAGE(L68:S68)</f>
        <v>0.35349999999999993</v>
      </c>
      <c r="U68" s="326">
        <f t="shared" si="16"/>
        <v>0.3530625</v>
      </c>
      <c r="V68" s="326">
        <f t="shared" si="16"/>
        <v>0.35269531250000002</v>
      </c>
      <c r="W68" s="326">
        <f t="shared" si="16"/>
        <v>0.35265722656249998</v>
      </c>
      <c r="X68" s="326">
        <f t="shared" si="16"/>
        <v>0.3528643798828125</v>
      </c>
      <c r="Y68" s="326">
        <f t="shared" si="16"/>
        <v>0.35284742736816405</v>
      </c>
      <c r="Z68" s="326">
        <f t="shared" si="16"/>
        <v>0.3527033557891846</v>
      </c>
      <c r="AA68" s="326">
        <f t="shared" si="16"/>
        <v>0.35266627526283267</v>
      </c>
      <c r="AB68" s="326">
        <f t="shared" si="16"/>
        <v>0.35287455967068676</v>
      </c>
      <c r="AC68" s="326">
        <f t="shared" si="16"/>
        <v>0.35279637962952259</v>
      </c>
      <c r="AD68" s="326">
        <f t="shared" si="16"/>
        <v>0.35276311458321291</v>
      </c>
      <c r="AE68" s="326">
        <f t="shared" si="16"/>
        <v>0.35277158984361451</v>
      </c>
      <c r="AF68" s="326">
        <f t="shared" si="16"/>
        <v>0.35278588525375382</v>
      </c>
      <c r="AG68" s="326">
        <f t="shared" si="16"/>
        <v>0.35277607342512152</v>
      </c>
      <c r="AH68" s="326">
        <f t="shared" si="16"/>
        <v>0.35276715418224114</v>
      </c>
      <c r="AI68" s="326">
        <f t="shared" si="16"/>
        <v>0.35277512898137325</v>
      </c>
      <c r="AJ68" s="326">
        <f t="shared" si="16"/>
        <v>0.35278873569619085</v>
      </c>
      <c r="AK68" s="326">
        <f t="shared" si="16"/>
        <v>0.35277800769937884</v>
      </c>
      <c r="AL68" s="326">
        <f t="shared" si="16"/>
        <v>0.35277571120811085</v>
      </c>
      <c r="AM68" s="326">
        <f t="shared" si="16"/>
        <v>0.35277728578622308</v>
      </c>
      <c r="AN68" s="326">
        <f t="shared" si="16"/>
        <v>0.35277799777904917</v>
      </c>
      <c r="AO68" s="326">
        <f t="shared" si="16"/>
        <v>0.35277701184471111</v>
      </c>
      <c r="AP68" s="326">
        <f t="shared" si="16"/>
        <v>0.35277712914715981</v>
      </c>
      <c r="AQ68" s="326">
        <f t="shared" si="16"/>
        <v>0.35277837601777462</v>
      </c>
      <c r="AR68" s="326">
        <f t="shared" si="16"/>
        <v>0.35277878189732476</v>
      </c>
      <c r="AS68" s="326">
        <f t="shared" si="16"/>
        <v>0.3527775376724665</v>
      </c>
      <c r="AT68" s="326">
        <f t="shared" si="16"/>
        <v>0.35277747891910249</v>
      </c>
      <c r="AU68" s="326">
        <f t="shared" si="16"/>
        <v>0.35277769988297647</v>
      </c>
      <c r="AV68" s="326">
        <f t="shared" si="16"/>
        <v>0.35277775164507058</v>
      </c>
      <c r="AW68" s="326">
        <f t="shared" si="16"/>
        <v>0.35277772087832326</v>
      </c>
      <c r="AX68" s="326">
        <f t="shared" si="16"/>
        <v>0.35277780950752485</v>
      </c>
      <c r="AY68" s="326">
        <f t="shared" si="16"/>
        <v>0.35277789455257047</v>
      </c>
      <c r="AZ68" s="326">
        <f t="shared" si="16"/>
        <v>0.3527778343694199</v>
      </c>
    </row>
    <row r="69" spans="1:52" ht="15.75" customHeight="1"/>
    <row r="70" spans="1:52" ht="15.75" customHeight="1">
      <c r="A70" s="93" t="s">
        <v>74</v>
      </c>
      <c r="B70" s="279">
        <v>0.6</v>
      </c>
      <c r="C70" s="247"/>
      <c r="D70" s="247"/>
      <c r="E70" s="247"/>
      <c r="F70" s="247"/>
      <c r="G70" s="247"/>
      <c r="H70" s="247"/>
      <c r="I70" s="247"/>
      <c r="J70" s="247"/>
      <c r="K70" s="247"/>
      <c r="L70" s="247"/>
      <c r="M70" s="247"/>
      <c r="N70" s="247"/>
      <c r="O70" s="247"/>
      <c r="P70" s="247"/>
      <c r="Q70" s="247"/>
      <c r="R70" s="247"/>
      <c r="S70" s="247"/>
      <c r="T70" s="247"/>
      <c r="U70" s="247"/>
      <c r="V70" s="247"/>
    </row>
    <row r="71" spans="1:52" ht="15.75" customHeight="1">
      <c r="A71" s="93" t="s">
        <v>76</v>
      </c>
      <c r="B71" s="245">
        <f>1-B70</f>
        <v>0.4</v>
      </c>
      <c r="C71" s="247"/>
      <c r="D71" s="247"/>
      <c r="E71" s="247"/>
      <c r="F71" s="247"/>
      <c r="G71" s="247"/>
      <c r="H71" s="247"/>
      <c r="I71" s="247"/>
      <c r="J71" s="247"/>
      <c r="K71" s="247"/>
      <c r="L71" s="247"/>
      <c r="M71" s="247"/>
      <c r="N71" s="247"/>
      <c r="O71" s="247"/>
      <c r="P71" s="247"/>
      <c r="Q71" s="247"/>
      <c r="R71" s="247"/>
      <c r="S71" s="247"/>
      <c r="T71" s="247"/>
      <c r="U71" s="247"/>
      <c r="V71" s="247"/>
    </row>
    <row r="72" spans="1:52" ht="15.75" customHeight="1">
      <c r="A72" s="93" t="s">
        <v>78</v>
      </c>
      <c r="B72" s="279">
        <v>7.4999999999999997E-2</v>
      </c>
      <c r="C72" s="247"/>
      <c r="D72" s="247"/>
      <c r="E72" s="247"/>
      <c r="F72" s="247"/>
      <c r="G72" s="247"/>
      <c r="H72" s="247"/>
      <c r="I72" s="247"/>
      <c r="J72" s="247"/>
      <c r="K72" s="247"/>
      <c r="L72" s="247"/>
      <c r="M72" s="247"/>
      <c r="N72" s="247"/>
      <c r="O72" s="247"/>
      <c r="P72" s="247"/>
      <c r="Q72" s="247"/>
      <c r="R72" s="247"/>
      <c r="S72" s="247"/>
      <c r="T72" s="247"/>
      <c r="U72" s="247"/>
      <c r="V72" s="247"/>
    </row>
    <row r="73" spans="1:52" ht="15.75" customHeight="1">
      <c r="A73" s="93" t="s">
        <v>80</v>
      </c>
      <c r="B73" s="279">
        <v>0.09</v>
      </c>
      <c r="C73" s="247"/>
      <c r="D73" s="247"/>
      <c r="E73" s="247"/>
      <c r="F73" s="247"/>
      <c r="G73" s="247"/>
      <c r="H73" s="247"/>
      <c r="I73" s="247"/>
      <c r="J73" s="247"/>
      <c r="K73" s="247"/>
      <c r="L73" s="247"/>
      <c r="M73" s="247"/>
      <c r="N73" s="247"/>
      <c r="O73" s="247"/>
      <c r="P73" s="247"/>
      <c r="Q73" s="247"/>
      <c r="R73" s="247"/>
      <c r="S73" s="247"/>
      <c r="T73" s="247"/>
      <c r="U73" s="247"/>
      <c r="V73" s="247"/>
    </row>
    <row r="74" spans="1:52" ht="15.75" customHeight="1">
      <c r="A74" s="93" t="s">
        <v>82</v>
      </c>
      <c r="B74" s="245">
        <f>B70*B72+B71*B73</f>
        <v>8.0999999999999989E-2</v>
      </c>
      <c r="C74" s="250"/>
      <c r="D74" s="250"/>
      <c r="E74" s="250"/>
      <c r="F74" s="250"/>
      <c r="G74" s="250"/>
      <c r="H74" s="250"/>
      <c r="I74" s="250"/>
      <c r="J74" s="250"/>
      <c r="K74" s="250"/>
      <c r="L74" s="250"/>
      <c r="M74" s="250"/>
      <c r="N74" s="250"/>
      <c r="O74" s="250"/>
      <c r="P74" s="250"/>
      <c r="Q74" s="250"/>
      <c r="R74" s="250"/>
      <c r="S74" s="250"/>
      <c r="T74" s="250"/>
      <c r="U74" s="250"/>
      <c r="V74" s="250"/>
    </row>
    <row r="75" spans="1:52" ht="15.75" customHeight="1">
      <c r="A75" s="93" t="s">
        <v>84</v>
      </c>
      <c r="B75" s="251">
        <v>15</v>
      </c>
      <c r="C75" s="88"/>
      <c r="D75" s="88"/>
      <c r="E75" s="88"/>
      <c r="F75" s="88"/>
      <c r="G75" s="88"/>
      <c r="H75" s="88"/>
      <c r="I75" s="88"/>
      <c r="J75" s="88"/>
      <c r="K75" s="88"/>
      <c r="L75" s="88"/>
      <c r="M75" s="88"/>
      <c r="N75" s="88"/>
      <c r="O75" s="88"/>
      <c r="P75" s="88"/>
      <c r="Q75" s="88"/>
      <c r="R75" s="88"/>
      <c r="S75" s="88"/>
      <c r="T75" s="88"/>
      <c r="U75" s="88"/>
      <c r="V75" s="88"/>
    </row>
    <row r="76" spans="1:52" ht="15.75" customHeight="1">
      <c r="A76" s="93" t="s">
        <v>503</v>
      </c>
      <c r="B76" s="245">
        <v>3.7499999999999999E-2</v>
      </c>
      <c r="C76" s="252">
        <v>7.2190000000000004E-2</v>
      </c>
      <c r="D76" s="252">
        <v>6.6769999999999996E-2</v>
      </c>
      <c r="E76" s="252">
        <v>6.1769999999999999E-2</v>
      </c>
      <c r="F76" s="252">
        <v>5.713E-2</v>
      </c>
      <c r="G76" s="252">
        <v>5.2850000000000001E-2</v>
      </c>
      <c r="H76" s="252">
        <v>4.888E-2</v>
      </c>
      <c r="I76" s="252">
        <v>4.5220000000000003E-2</v>
      </c>
      <c r="J76" s="252">
        <v>4.462E-2</v>
      </c>
      <c r="K76" s="252">
        <v>4.4609999999999997E-2</v>
      </c>
      <c r="L76" s="252">
        <v>4.462E-2</v>
      </c>
      <c r="M76" s="252">
        <v>4.4609999999999997E-2</v>
      </c>
      <c r="N76" s="252">
        <v>4.462E-2</v>
      </c>
      <c r="O76" s="252">
        <v>4.4609999999999997E-2</v>
      </c>
      <c r="P76" s="252">
        <v>4.462E-2</v>
      </c>
      <c r="Q76" s="252">
        <v>4.4609999999999997E-2</v>
      </c>
      <c r="R76" s="252">
        <v>4.462E-2</v>
      </c>
      <c r="S76" s="252">
        <v>4.4609999999999997E-2</v>
      </c>
      <c r="T76" s="252">
        <v>4.462E-2</v>
      </c>
      <c r="U76" s="252">
        <v>4.4609999999999997E-2</v>
      </c>
      <c r="V76" s="252">
        <v>2.231E-2</v>
      </c>
    </row>
    <row r="77" spans="1:52" ht="15" customHeight="1">
      <c r="A77" s="93" t="s">
        <v>504</v>
      </c>
      <c r="B77" s="245">
        <f>1/30</f>
        <v>3.3333333333333333E-2</v>
      </c>
    </row>
    <row r="78" spans="1:52" ht="14.6">
      <c r="A78" s="93" t="s">
        <v>112</v>
      </c>
      <c r="B78" s="253">
        <v>0.35</v>
      </c>
      <c r="C78" s="253">
        <v>0.35</v>
      </c>
      <c r="D78" s="253">
        <v>0.35</v>
      </c>
      <c r="E78" s="253">
        <v>0.35</v>
      </c>
      <c r="F78" s="253">
        <v>0.35</v>
      </c>
      <c r="G78" s="253">
        <v>0.35</v>
      </c>
      <c r="H78" s="253">
        <v>0.35</v>
      </c>
      <c r="I78" s="253">
        <v>0.35</v>
      </c>
      <c r="J78" s="253">
        <v>0.35</v>
      </c>
      <c r="K78" s="253">
        <v>0.35</v>
      </c>
      <c r="L78" s="253">
        <v>0.35</v>
      </c>
      <c r="M78" s="253">
        <v>0.35</v>
      </c>
      <c r="N78" s="253">
        <v>0.35</v>
      </c>
      <c r="O78" s="253">
        <v>0.35</v>
      </c>
      <c r="P78" s="253">
        <v>0.35</v>
      </c>
      <c r="Q78" s="253">
        <v>0.35</v>
      </c>
      <c r="R78" s="253">
        <v>0.35</v>
      </c>
      <c r="S78" s="253">
        <v>0.35</v>
      </c>
      <c r="T78" s="253">
        <v>0.21</v>
      </c>
      <c r="U78" s="253">
        <v>0.21</v>
      </c>
      <c r="V78" s="254">
        <v>0.21</v>
      </c>
      <c r="W78" s="102">
        <f t="shared" ref="W78:AZ78" si="17">V78</f>
        <v>0.21</v>
      </c>
      <c r="X78" s="102">
        <f t="shared" si="17"/>
        <v>0.21</v>
      </c>
      <c r="Y78" s="102">
        <f t="shared" si="17"/>
        <v>0.21</v>
      </c>
      <c r="Z78" s="102">
        <f t="shared" si="17"/>
        <v>0.21</v>
      </c>
      <c r="AA78" s="102">
        <f t="shared" si="17"/>
        <v>0.21</v>
      </c>
      <c r="AB78" s="102">
        <f t="shared" si="17"/>
        <v>0.21</v>
      </c>
      <c r="AC78" s="102">
        <f t="shared" si="17"/>
        <v>0.21</v>
      </c>
      <c r="AD78" s="102">
        <f t="shared" si="17"/>
        <v>0.21</v>
      </c>
      <c r="AE78" s="102">
        <f t="shared" si="17"/>
        <v>0.21</v>
      </c>
      <c r="AF78" s="102">
        <f t="shared" si="17"/>
        <v>0.21</v>
      </c>
      <c r="AG78" s="102">
        <f t="shared" si="17"/>
        <v>0.21</v>
      </c>
      <c r="AH78" s="102">
        <f t="shared" si="17"/>
        <v>0.21</v>
      </c>
      <c r="AI78" s="102">
        <f t="shared" si="17"/>
        <v>0.21</v>
      </c>
      <c r="AJ78" s="102">
        <f t="shared" si="17"/>
        <v>0.21</v>
      </c>
      <c r="AK78" s="102">
        <f t="shared" si="17"/>
        <v>0.21</v>
      </c>
      <c r="AL78" s="102">
        <f t="shared" si="17"/>
        <v>0.21</v>
      </c>
      <c r="AM78" s="102">
        <f t="shared" si="17"/>
        <v>0.21</v>
      </c>
      <c r="AN78" s="102">
        <f t="shared" si="17"/>
        <v>0.21</v>
      </c>
      <c r="AO78" s="102">
        <f t="shared" si="17"/>
        <v>0.21</v>
      </c>
      <c r="AP78" s="102">
        <f t="shared" si="17"/>
        <v>0.21</v>
      </c>
      <c r="AQ78" s="102">
        <f t="shared" si="17"/>
        <v>0.21</v>
      </c>
      <c r="AR78" s="102">
        <f t="shared" si="17"/>
        <v>0.21</v>
      </c>
      <c r="AS78" s="102">
        <f t="shared" si="17"/>
        <v>0.21</v>
      </c>
      <c r="AT78" s="102">
        <f t="shared" si="17"/>
        <v>0.21</v>
      </c>
      <c r="AU78" s="102">
        <f t="shared" si="17"/>
        <v>0.21</v>
      </c>
      <c r="AV78" s="102">
        <f t="shared" si="17"/>
        <v>0.21</v>
      </c>
      <c r="AW78" s="102">
        <f t="shared" si="17"/>
        <v>0.21</v>
      </c>
      <c r="AX78" s="102">
        <f t="shared" si="17"/>
        <v>0.21</v>
      </c>
      <c r="AY78" s="102">
        <f t="shared" si="17"/>
        <v>0.21</v>
      </c>
      <c r="AZ78" s="102">
        <f t="shared" si="17"/>
        <v>0.21</v>
      </c>
    </row>
    <row r="80" spans="1:52" ht="14.6">
      <c r="B80" s="42">
        <v>2000</v>
      </c>
      <c r="C80" s="42">
        <v>2001</v>
      </c>
      <c r="D80" s="42">
        <v>2002</v>
      </c>
      <c r="E80" s="42">
        <v>2003</v>
      </c>
      <c r="F80" s="42">
        <v>2004</v>
      </c>
      <c r="G80" s="42">
        <v>2005</v>
      </c>
      <c r="H80" s="42">
        <v>2006</v>
      </c>
      <c r="I80" s="42">
        <v>2007</v>
      </c>
      <c r="J80" s="42">
        <v>2008</v>
      </c>
      <c r="K80" s="42">
        <v>2009</v>
      </c>
      <c r="L80" s="42">
        <v>2010</v>
      </c>
      <c r="M80" s="42">
        <v>2011</v>
      </c>
      <c r="N80" s="42">
        <v>2012</v>
      </c>
      <c r="O80" s="42">
        <v>2013</v>
      </c>
      <c r="P80" s="42">
        <v>2014</v>
      </c>
      <c r="Q80" s="42">
        <v>2015</v>
      </c>
      <c r="R80" s="42">
        <v>2016</v>
      </c>
      <c r="S80" s="42">
        <v>2017</v>
      </c>
      <c r="T80" s="42">
        <v>2018</v>
      </c>
      <c r="U80" s="42">
        <v>2019</v>
      </c>
      <c r="V80" s="42">
        <v>2020</v>
      </c>
      <c r="W80" s="42">
        <v>2021</v>
      </c>
      <c r="X80" s="42">
        <v>2022</v>
      </c>
      <c r="Y80" s="42">
        <v>2023</v>
      </c>
      <c r="Z80" s="42">
        <v>2024</v>
      </c>
      <c r="AA80" s="42">
        <v>2025</v>
      </c>
      <c r="AB80" s="42">
        <v>2026</v>
      </c>
      <c r="AC80" s="42">
        <v>2027</v>
      </c>
      <c r="AD80" s="42">
        <v>2028</v>
      </c>
      <c r="AE80" s="42">
        <v>2029</v>
      </c>
      <c r="AF80" s="42">
        <v>2030</v>
      </c>
      <c r="AG80" s="42">
        <v>2031</v>
      </c>
      <c r="AH80" s="42">
        <v>2032</v>
      </c>
      <c r="AI80" s="42">
        <v>2033</v>
      </c>
      <c r="AJ80" s="42">
        <v>2034</v>
      </c>
      <c r="AK80" s="42">
        <v>2035</v>
      </c>
      <c r="AL80" s="42">
        <v>2036</v>
      </c>
      <c r="AM80" s="42">
        <v>2037</v>
      </c>
      <c r="AN80" s="42">
        <v>2038</v>
      </c>
      <c r="AO80" s="42">
        <v>2039</v>
      </c>
      <c r="AP80" s="42">
        <v>2040</v>
      </c>
      <c r="AQ80" s="42">
        <v>2041</v>
      </c>
      <c r="AR80" s="42">
        <v>2042</v>
      </c>
      <c r="AS80" s="42">
        <v>2043</v>
      </c>
      <c r="AT80" s="42">
        <v>2044</v>
      </c>
      <c r="AU80" s="42">
        <v>2045</v>
      </c>
      <c r="AV80" s="42">
        <v>2046</v>
      </c>
      <c r="AW80" s="42">
        <v>2047</v>
      </c>
      <c r="AX80" s="42">
        <v>2048</v>
      </c>
      <c r="AY80" s="42">
        <v>2049</v>
      </c>
      <c r="AZ80" s="42">
        <v>2050</v>
      </c>
    </row>
    <row r="81" spans="1:52" ht="14.6">
      <c r="A81" s="127" t="s">
        <v>563</v>
      </c>
      <c r="B81" s="127">
        <v>5.84</v>
      </c>
      <c r="C81" s="127">
        <v>5.8</v>
      </c>
      <c r="D81" s="127">
        <v>5.74</v>
      </c>
      <c r="E81" s="127">
        <v>5.65</v>
      </c>
      <c r="F81" s="127">
        <v>5.46</v>
      </c>
      <c r="G81" s="127">
        <v>5.18</v>
      </c>
      <c r="H81" s="127">
        <v>5.09</v>
      </c>
      <c r="I81" s="127">
        <v>5.07</v>
      </c>
      <c r="J81" s="127">
        <v>5.01</v>
      </c>
      <c r="K81" s="127">
        <v>5.35</v>
      </c>
      <c r="L81" s="127">
        <v>5.48</v>
      </c>
      <c r="M81" s="127">
        <v>5.65</v>
      </c>
      <c r="N81" s="127">
        <v>6.52</v>
      </c>
      <c r="O81" s="127">
        <v>7.47</v>
      </c>
      <c r="P81" s="127">
        <v>8.76</v>
      </c>
      <c r="Q81" s="127">
        <v>9.43</v>
      </c>
      <c r="R81" s="127">
        <v>8.85</v>
      </c>
      <c r="S81" s="127">
        <v>9.35</v>
      </c>
      <c r="T81" s="80">
        <v>10.96</v>
      </c>
      <c r="U81" s="271">
        <v>11.969468000000001</v>
      </c>
      <c r="V81" s="272">
        <v>13.085901</v>
      </c>
      <c r="W81" s="272">
        <v>13.665423000000001</v>
      </c>
      <c r="X81" s="272">
        <v>13.977781</v>
      </c>
      <c r="Y81" s="272">
        <v>13.917915000000001</v>
      </c>
      <c r="Z81" s="272">
        <v>14.012055</v>
      </c>
      <c r="AA81" s="272">
        <v>14.094161</v>
      </c>
      <c r="AB81" s="272">
        <v>14.37495</v>
      </c>
      <c r="AC81" s="272">
        <v>14.506202</v>
      </c>
      <c r="AD81" s="272">
        <v>14.414598</v>
      </c>
      <c r="AE81" s="272">
        <v>14.413425</v>
      </c>
      <c r="AF81" s="272">
        <v>14.460274</v>
      </c>
      <c r="AG81" s="272">
        <v>14.534122999999999</v>
      </c>
      <c r="AH81" s="272">
        <v>14.510522999999999</v>
      </c>
      <c r="AI81" s="272">
        <v>14.482531</v>
      </c>
      <c r="AJ81" s="272">
        <v>14.434381</v>
      </c>
      <c r="AK81" s="272">
        <v>14.329348</v>
      </c>
      <c r="AL81" s="272">
        <v>14.269213000000001</v>
      </c>
      <c r="AM81" s="272">
        <v>14.174327</v>
      </c>
      <c r="AN81" s="272">
        <v>14.138342</v>
      </c>
      <c r="AO81" s="272">
        <v>14.101297000000001</v>
      </c>
      <c r="AP81" s="272">
        <v>14.050146</v>
      </c>
      <c r="AQ81" s="272">
        <v>13.942209</v>
      </c>
      <c r="AR81" s="272">
        <v>13.782655999999999</v>
      </c>
      <c r="AS81" s="272">
        <v>13.524229</v>
      </c>
      <c r="AT81" s="272">
        <v>13.299628</v>
      </c>
      <c r="AU81" s="272">
        <v>13.030391</v>
      </c>
      <c r="AV81" s="272">
        <v>12.814965000000001</v>
      </c>
      <c r="AW81" s="272">
        <v>12.614922</v>
      </c>
      <c r="AX81" s="272">
        <v>12.374134</v>
      </c>
      <c r="AY81" s="272">
        <v>12.0793</v>
      </c>
      <c r="AZ81" s="272">
        <v>11.860889</v>
      </c>
    </row>
    <row r="82" spans="1:52" ht="14.6">
      <c r="A82" s="274" t="s">
        <v>564</v>
      </c>
      <c r="B82" s="275">
        <v>0.39678200000000002</v>
      </c>
      <c r="C82" s="275">
        <v>0.38714999999999999</v>
      </c>
      <c r="D82" s="275">
        <v>0.37682900000000003</v>
      </c>
      <c r="E82" s="275">
        <v>0.37246691700000001</v>
      </c>
      <c r="F82" s="275">
        <v>0.38245941700000002</v>
      </c>
      <c r="G82" s="275">
        <v>0.40981541700000002</v>
      </c>
      <c r="H82" s="275">
        <v>0.42802158299999998</v>
      </c>
      <c r="I82" s="275">
        <v>0.462267333</v>
      </c>
      <c r="J82" s="275">
        <v>0.55364875000000002</v>
      </c>
      <c r="K82" s="275">
        <v>0.63217124999999996</v>
      </c>
      <c r="L82" s="275">
        <v>0.824436167</v>
      </c>
      <c r="M82" s="275">
        <v>1.292299917</v>
      </c>
      <c r="N82" s="275">
        <v>2.1434916230000001</v>
      </c>
      <c r="O82" s="275">
        <v>3.049101523</v>
      </c>
      <c r="P82" s="275">
        <v>4.1050079510000002</v>
      </c>
      <c r="Q82" s="275">
        <v>4.7744780679999996</v>
      </c>
      <c r="R82" s="275">
        <v>4.4291678130000003</v>
      </c>
      <c r="S82" s="275">
        <v>4.9594073779999999</v>
      </c>
      <c r="T82" s="123">
        <v>6.4646912790000002</v>
      </c>
      <c r="U82" s="271">
        <v>7.628952</v>
      </c>
      <c r="V82" s="272">
        <v>8.5433540000000008</v>
      </c>
      <c r="W82" s="272">
        <v>9.0123759999999997</v>
      </c>
      <c r="X82" s="272">
        <v>9.1089319999999994</v>
      </c>
      <c r="Y82" s="272">
        <v>9.104749</v>
      </c>
      <c r="Z82" s="272">
        <v>9.337942</v>
      </c>
      <c r="AA82" s="272">
        <v>9.4495229999999992</v>
      </c>
      <c r="AB82" s="272">
        <v>9.6835419999999992</v>
      </c>
      <c r="AC82" s="272">
        <v>9.9660030000000006</v>
      </c>
      <c r="AD82" s="272">
        <v>10.007012</v>
      </c>
      <c r="AE82" s="272">
        <v>10.128206</v>
      </c>
      <c r="AF82" s="272">
        <v>10.217764000000001</v>
      </c>
      <c r="AG82" s="272">
        <v>10.283261</v>
      </c>
      <c r="AH82" s="272">
        <v>10.241172000000001</v>
      </c>
      <c r="AI82" s="272">
        <v>10.166710999999999</v>
      </c>
      <c r="AJ82" s="272">
        <v>10.134454</v>
      </c>
      <c r="AK82" s="272">
        <v>10.029992</v>
      </c>
      <c r="AL82" s="272">
        <v>9.8936689999999992</v>
      </c>
      <c r="AM82" s="272">
        <v>9.7376120000000004</v>
      </c>
      <c r="AN82" s="272">
        <v>9.6376290000000004</v>
      </c>
      <c r="AO82" s="272">
        <v>9.5502350000000007</v>
      </c>
      <c r="AP82" s="272">
        <v>9.4593260000000008</v>
      </c>
      <c r="AQ82" s="272">
        <v>9.4331990000000001</v>
      </c>
      <c r="AR82" s="272">
        <v>9.3680420000000009</v>
      </c>
      <c r="AS82" s="272">
        <v>9.2684440000000006</v>
      </c>
      <c r="AT82" s="272">
        <v>9.1745020000000004</v>
      </c>
      <c r="AU82" s="272">
        <v>9.0063370000000003</v>
      </c>
      <c r="AV82" s="272">
        <v>8.8757429999999999</v>
      </c>
      <c r="AW82" s="272">
        <v>8.7727000000000004</v>
      </c>
      <c r="AX82" s="272">
        <v>8.6706070000000004</v>
      </c>
      <c r="AY82" s="272">
        <v>8.4843600000000006</v>
      </c>
      <c r="AZ82" s="272">
        <v>8.3772439999999992</v>
      </c>
    </row>
    <row r="83" spans="1:52" ht="14.6">
      <c r="A83" s="276" t="s">
        <v>517</v>
      </c>
      <c r="B83" s="257">
        <v>30.30083333</v>
      </c>
      <c r="C83" s="257">
        <v>25.947500000000002</v>
      </c>
      <c r="D83" s="257">
        <v>26.114999999999998</v>
      </c>
      <c r="E83" s="257">
        <v>31.12083333</v>
      </c>
      <c r="F83" s="257">
        <v>41.443333330000002</v>
      </c>
      <c r="G83" s="257">
        <v>56.4925</v>
      </c>
      <c r="H83" s="257">
        <v>66.018333330000004</v>
      </c>
      <c r="I83" s="257">
        <v>72.318333330000002</v>
      </c>
      <c r="J83" s="257">
        <v>99.571666669999999</v>
      </c>
      <c r="K83" s="257">
        <v>61.654166670000002</v>
      </c>
      <c r="L83" s="257">
        <v>79.394999999999996</v>
      </c>
      <c r="M83" s="257">
        <v>94.874166669999994</v>
      </c>
      <c r="N83" s="257">
        <v>94.110833330000006</v>
      </c>
      <c r="O83" s="257">
        <v>97.905833329999993</v>
      </c>
      <c r="P83" s="257">
        <v>93.258333329999999</v>
      </c>
      <c r="Q83" s="257">
        <v>48.688333329999999</v>
      </c>
      <c r="R83" s="257">
        <v>43.144166669999997</v>
      </c>
      <c r="S83" s="257">
        <v>50.884166669999999</v>
      </c>
      <c r="T83" s="257">
        <v>64.94</v>
      </c>
      <c r="U83" s="154">
        <v>69.556999000000005</v>
      </c>
      <c r="V83" s="154">
        <v>73.417884999999998</v>
      </c>
      <c r="W83" s="154">
        <v>77.008262999999999</v>
      </c>
      <c r="X83" s="154">
        <v>78.175545</v>
      </c>
      <c r="Y83" s="154">
        <v>81.901627000000005</v>
      </c>
      <c r="Z83" s="154">
        <v>87.454857000000004</v>
      </c>
      <c r="AA83" s="154">
        <v>92.685051000000001</v>
      </c>
      <c r="AB83" s="154">
        <v>97.377525000000006</v>
      </c>
      <c r="AC83" s="154">
        <v>102.45367400000001</v>
      </c>
      <c r="AD83" s="154">
        <v>106.935913</v>
      </c>
      <c r="AE83" s="154">
        <v>111.79879</v>
      </c>
      <c r="AF83" s="154">
        <v>116.05490899999999</v>
      </c>
      <c r="AG83" s="154">
        <v>121.082336</v>
      </c>
      <c r="AH83" s="154">
        <v>125.28482099999999</v>
      </c>
      <c r="AI83" s="154">
        <v>131.83606</v>
      </c>
      <c r="AJ83" s="154">
        <v>135.625595</v>
      </c>
      <c r="AK83" s="154">
        <v>140.913284</v>
      </c>
      <c r="AL83" s="154">
        <v>146.975525</v>
      </c>
      <c r="AM83" s="154">
        <v>149.76126099999999</v>
      </c>
      <c r="AN83" s="154">
        <v>154.985153</v>
      </c>
      <c r="AO83" s="154">
        <v>159.689987</v>
      </c>
      <c r="AP83" s="154">
        <v>165.707123</v>
      </c>
      <c r="AQ83" s="154">
        <v>170.50799599999999</v>
      </c>
      <c r="AR83" s="154">
        <v>176.77037000000001</v>
      </c>
      <c r="AS83" s="154">
        <v>181.380966</v>
      </c>
      <c r="AT83" s="154">
        <v>186.617828</v>
      </c>
      <c r="AU83" s="154">
        <v>192.04548600000001</v>
      </c>
      <c r="AV83" s="154">
        <v>197.27950999999999</v>
      </c>
      <c r="AW83" s="154">
        <v>202.59780900000001</v>
      </c>
      <c r="AX83" s="154">
        <v>208.11772199999999</v>
      </c>
      <c r="AY83" s="154">
        <v>213.356369</v>
      </c>
      <c r="AZ83" s="154">
        <v>218.58865399999999</v>
      </c>
    </row>
    <row r="84" spans="1:52" ht="14.6">
      <c r="A84" s="127" t="s">
        <v>565</v>
      </c>
      <c r="B84" s="236">
        <v>19.181979999999999</v>
      </c>
      <c r="C84" s="236">
        <v>19.616311</v>
      </c>
      <c r="D84" s="236">
        <v>18.927788</v>
      </c>
      <c r="E84" s="236">
        <v>19.098544</v>
      </c>
      <c r="F84" s="236">
        <v>18.590890999999999</v>
      </c>
      <c r="G84" s="236">
        <v>18.050598000000001</v>
      </c>
      <c r="H84" s="236">
        <v>18.503605</v>
      </c>
      <c r="I84" s="236">
        <v>19.266026</v>
      </c>
      <c r="J84" s="236">
        <v>20.158601999999998</v>
      </c>
      <c r="K84" s="236">
        <v>20.623854000000001</v>
      </c>
      <c r="L84" s="236">
        <v>21.315507</v>
      </c>
      <c r="M84" s="236">
        <v>22.901879000000001</v>
      </c>
      <c r="N84" s="236">
        <v>24.033266000000001</v>
      </c>
      <c r="O84" s="236">
        <v>24.205522999999999</v>
      </c>
      <c r="P84" s="236">
        <v>25.889605</v>
      </c>
      <c r="Q84" s="236">
        <v>27.065460000000002</v>
      </c>
      <c r="R84" s="236">
        <v>26.592115</v>
      </c>
      <c r="S84" s="236">
        <v>27.291222000000001</v>
      </c>
      <c r="T84" s="278">
        <v>30.439166</v>
      </c>
      <c r="U84" s="272">
        <v>32.255924</v>
      </c>
      <c r="V84" s="272">
        <v>33.551945000000003</v>
      </c>
      <c r="W84" s="272">
        <v>34.104362000000002</v>
      </c>
      <c r="X84" s="272">
        <v>34.610320999999999</v>
      </c>
      <c r="Y84" s="272">
        <v>35.265839</v>
      </c>
      <c r="Z84" s="272">
        <v>35.878203999999997</v>
      </c>
      <c r="AA84" s="272">
        <v>36.620083000000001</v>
      </c>
      <c r="AB84" s="272">
        <v>37.358829</v>
      </c>
      <c r="AC84" s="272">
        <v>37.824024000000001</v>
      </c>
      <c r="AD84" s="272">
        <v>38.264235999999997</v>
      </c>
      <c r="AE84" s="272">
        <v>38.409320999999998</v>
      </c>
      <c r="AF84" s="272">
        <v>38.493876999999998</v>
      </c>
      <c r="AG84" s="272">
        <v>38.755878000000003</v>
      </c>
      <c r="AH84" s="272">
        <v>39.081786999999998</v>
      </c>
      <c r="AI84" s="272">
        <v>39.164070000000002</v>
      </c>
      <c r="AJ84" s="272">
        <v>39.398941000000001</v>
      </c>
      <c r="AK84" s="272">
        <v>39.584068000000002</v>
      </c>
      <c r="AL84" s="272">
        <v>39.824623000000003</v>
      </c>
      <c r="AM84" s="272">
        <v>40.056953</v>
      </c>
      <c r="AN84" s="272">
        <v>40.274425999999998</v>
      </c>
      <c r="AO84" s="272">
        <v>40.437691000000001</v>
      </c>
      <c r="AP84" s="272">
        <v>40.716293</v>
      </c>
      <c r="AQ84" s="272">
        <v>40.935310000000001</v>
      </c>
      <c r="AR84" s="272">
        <v>41.207214</v>
      </c>
      <c r="AS84" s="272">
        <v>41.378509999999999</v>
      </c>
      <c r="AT84" s="272">
        <v>41.772647999999997</v>
      </c>
      <c r="AU84" s="272">
        <v>42.093288000000001</v>
      </c>
      <c r="AV84" s="272">
        <v>42.335583</v>
      </c>
      <c r="AW84" s="272">
        <v>42.559421999999998</v>
      </c>
      <c r="AX84" s="272">
        <v>42.914707</v>
      </c>
      <c r="AY84" s="272">
        <v>43.099471999999999</v>
      </c>
      <c r="AZ84" s="272">
        <v>43.407387</v>
      </c>
    </row>
    <row r="85" spans="1:52" ht="14.6">
      <c r="A85" s="151" t="s">
        <v>566</v>
      </c>
      <c r="B85" s="122">
        <v>1.3172783290000001</v>
      </c>
      <c r="C85" s="122">
        <v>1.318267898</v>
      </c>
      <c r="D85" s="122">
        <v>1.3645950440000001</v>
      </c>
      <c r="E85" s="122">
        <v>1.4333097619999999</v>
      </c>
      <c r="F85" s="122">
        <v>1.503235978</v>
      </c>
      <c r="G85" s="122">
        <v>1.662950749</v>
      </c>
      <c r="H85" s="122">
        <v>1.964867693</v>
      </c>
      <c r="I85" s="122">
        <v>2.5217407110000001</v>
      </c>
      <c r="J85" s="122">
        <v>3.373959326</v>
      </c>
      <c r="K85" s="122">
        <v>4.3584588059999998</v>
      </c>
      <c r="L85" s="122">
        <v>6.1238422139999997</v>
      </c>
      <c r="M85" s="122">
        <v>8.8755331969999993</v>
      </c>
      <c r="N85" s="122">
        <v>11.05550897</v>
      </c>
      <c r="O85" s="122">
        <v>12.405446270000001</v>
      </c>
      <c r="P85" s="122">
        <v>14.361040149999999</v>
      </c>
      <c r="Q85" s="122">
        <v>15.988320849999999</v>
      </c>
      <c r="R85" s="122">
        <v>16.631585940000001</v>
      </c>
      <c r="S85" s="122">
        <v>18.03613923</v>
      </c>
      <c r="T85" s="122">
        <v>21.684692900000002</v>
      </c>
      <c r="U85" s="272">
        <v>21.545475</v>
      </c>
      <c r="V85" s="272">
        <v>22.807510000000001</v>
      </c>
      <c r="W85" s="272">
        <v>23.33503</v>
      </c>
      <c r="X85" s="272">
        <v>23.718878</v>
      </c>
      <c r="Y85" s="272">
        <v>24.458501999999999</v>
      </c>
      <c r="Z85" s="272">
        <v>25.358826000000001</v>
      </c>
      <c r="AA85" s="272">
        <v>26.284109000000001</v>
      </c>
      <c r="AB85" s="272">
        <v>27.102277999999998</v>
      </c>
      <c r="AC85" s="272">
        <v>27.617353000000001</v>
      </c>
      <c r="AD85" s="272">
        <v>28.075932000000002</v>
      </c>
      <c r="AE85" s="272">
        <v>28.321615000000001</v>
      </c>
      <c r="AF85" s="272">
        <v>28.468502000000001</v>
      </c>
      <c r="AG85" s="272">
        <v>28.80294</v>
      </c>
      <c r="AH85" s="272">
        <v>29.198070999999999</v>
      </c>
      <c r="AI85" s="272">
        <v>29.359566000000001</v>
      </c>
      <c r="AJ85" s="272">
        <v>29.709911000000002</v>
      </c>
      <c r="AK85" s="272">
        <v>29.944873999999999</v>
      </c>
      <c r="AL85" s="272">
        <v>30.197206000000001</v>
      </c>
      <c r="AM85" s="272">
        <v>30.338760000000001</v>
      </c>
      <c r="AN85" s="272">
        <v>30.544001000000002</v>
      </c>
      <c r="AO85" s="272">
        <v>30.679682</v>
      </c>
      <c r="AP85" s="272">
        <v>30.868690000000001</v>
      </c>
      <c r="AQ85" s="272">
        <v>30.981324999999998</v>
      </c>
      <c r="AR85" s="272">
        <v>31.189502999999998</v>
      </c>
      <c r="AS85" s="272">
        <v>31.360188999999998</v>
      </c>
      <c r="AT85" s="272">
        <v>31.728632000000001</v>
      </c>
      <c r="AU85" s="272">
        <v>31.974955000000001</v>
      </c>
      <c r="AV85" s="272">
        <v>32.139091000000001</v>
      </c>
      <c r="AW85" s="272">
        <v>32.434364000000002</v>
      </c>
      <c r="AX85" s="272">
        <v>32.835383999999998</v>
      </c>
      <c r="AY85" s="272">
        <v>33.046764000000003</v>
      </c>
      <c r="AZ85" s="272">
        <v>33.345771999999997</v>
      </c>
    </row>
    <row r="86" spans="1:52" ht="14.6">
      <c r="A86" s="151" t="s">
        <v>295</v>
      </c>
      <c r="B86" s="152">
        <v>4.3099999999999996</v>
      </c>
      <c r="C86" s="152">
        <v>3.96</v>
      </c>
      <c r="D86" s="152">
        <v>3.38</v>
      </c>
      <c r="E86" s="152">
        <v>5.47</v>
      </c>
      <c r="F86" s="152">
        <v>5.89</v>
      </c>
      <c r="G86" s="152">
        <v>8.69</v>
      </c>
      <c r="H86" s="152">
        <v>6.73</v>
      </c>
      <c r="I86" s="152">
        <v>6.97</v>
      </c>
      <c r="J86" s="152">
        <v>8.86</v>
      </c>
      <c r="K86" s="152">
        <v>3.94</v>
      </c>
      <c r="L86" s="152">
        <v>4.37</v>
      </c>
      <c r="M86" s="152">
        <v>4</v>
      </c>
      <c r="N86" s="152">
        <v>2.75</v>
      </c>
      <c r="O86" s="152">
        <v>3.73</v>
      </c>
      <c r="P86" s="152">
        <v>4.37</v>
      </c>
      <c r="Q86" s="152">
        <v>2.62</v>
      </c>
      <c r="R86" s="152">
        <v>2.52</v>
      </c>
      <c r="S86" s="152">
        <v>2.99</v>
      </c>
      <c r="T86" s="153">
        <v>3.17</v>
      </c>
      <c r="U86" s="154">
        <v>3.1009139999999999</v>
      </c>
      <c r="V86" s="154">
        <v>3.2473730000000001</v>
      </c>
      <c r="W86" s="154">
        <v>3.243106</v>
      </c>
      <c r="X86" s="154">
        <v>3.3286989999999999</v>
      </c>
      <c r="Y86" s="154">
        <v>3.555844</v>
      </c>
      <c r="Z86" s="154">
        <v>3.8433730000000002</v>
      </c>
      <c r="AA86" s="154">
        <v>4.2030919999999998</v>
      </c>
      <c r="AB86" s="154">
        <v>4.3860200000000003</v>
      </c>
      <c r="AC86" s="154">
        <v>4.5152609999999997</v>
      </c>
      <c r="AD86" s="154">
        <v>4.7172340000000004</v>
      </c>
      <c r="AE86" s="154">
        <v>4.8443019999999999</v>
      </c>
      <c r="AF86" s="154">
        <v>4.998316</v>
      </c>
      <c r="AG86" s="154">
        <v>5.0858949999999998</v>
      </c>
      <c r="AH86" s="154">
        <v>5.3810880000000001</v>
      </c>
      <c r="AI86" s="154">
        <v>5.5818149999999997</v>
      </c>
      <c r="AJ86" s="154">
        <v>5.7655969999999996</v>
      </c>
      <c r="AK86" s="154">
        <v>5.9541279999999999</v>
      </c>
      <c r="AL86" s="154">
        <v>6.2029860000000001</v>
      </c>
      <c r="AM86" s="154">
        <v>6.372522</v>
      </c>
      <c r="AN86" s="154">
        <v>6.53071</v>
      </c>
      <c r="AO86" s="154">
        <v>6.7120879999999996</v>
      </c>
      <c r="AP86" s="154">
        <v>6.9614669999999998</v>
      </c>
      <c r="AQ86" s="154">
        <v>7.0988879999999996</v>
      </c>
      <c r="AR86" s="154">
        <v>7.3333399999999997</v>
      </c>
      <c r="AS86" s="154">
        <v>7.6103139999999998</v>
      </c>
      <c r="AT86" s="154">
        <v>7.9314869999999997</v>
      </c>
      <c r="AU86" s="154">
        <v>8.2524149999999992</v>
      </c>
      <c r="AV86" s="154">
        <v>8.5434590000000004</v>
      </c>
      <c r="AW86" s="154">
        <v>8.8793070000000007</v>
      </c>
      <c r="AX86" s="154">
        <v>9.345243</v>
      </c>
      <c r="AY86" s="154">
        <v>9.767595</v>
      </c>
      <c r="AZ86" s="154">
        <v>10.176351</v>
      </c>
    </row>
  </sheetData>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70</v>
      </c>
      <c r="B2" s="105">
        <f t="shared" ref="B2:Q2" si="0">C2/(1+B45-B3)</f>
        <v>2331026.6038855487</v>
      </c>
      <c r="C2" s="105">
        <f t="shared" si="0"/>
        <v>2377647.1359632597</v>
      </c>
      <c r="D2" s="105">
        <f t="shared" si="0"/>
        <v>2425200.0786825251</v>
      </c>
      <c r="E2" s="105">
        <f t="shared" si="0"/>
        <v>2473704.0802561757</v>
      </c>
      <c r="F2" s="105">
        <f t="shared" si="0"/>
        <v>2523178.1618612991</v>
      </c>
      <c r="G2" s="105">
        <f t="shared" si="0"/>
        <v>2573641.7250985252</v>
      </c>
      <c r="H2" s="105">
        <f t="shared" si="0"/>
        <v>2625114.5596004957</v>
      </c>
      <c r="I2" s="105">
        <f t="shared" si="0"/>
        <v>2677616.8507925058</v>
      </c>
      <c r="J2" s="105">
        <f t="shared" si="0"/>
        <v>2731169.1878083558</v>
      </c>
      <c r="K2" s="105">
        <f t="shared" si="0"/>
        <v>2785792.571564523</v>
      </c>
      <c r="L2" s="105">
        <f t="shared" si="0"/>
        <v>2841508.4229958137</v>
      </c>
      <c r="M2" s="105">
        <f t="shared" si="0"/>
        <v>2898338.5914557301</v>
      </c>
      <c r="N2" s="105">
        <f t="shared" si="0"/>
        <v>2956305.3632848449</v>
      </c>
      <c r="O2" s="105">
        <f t="shared" si="0"/>
        <v>3015431.4705505418</v>
      </c>
      <c r="P2" s="105">
        <f t="shared" si="0"/>
        <v>3075740.0999615528</v>
      </c>
      <c r="Q2" s="105">
        <f t="shared" si="0"/>
        <v>3137254.9019607841</v>
      </c>
      <c r="R2" s="328">
        <v>3200000</v>
      </c>
      <c r="S2" s="105">
        <f t="shared" ref="S2:U2" si="1">R2*(1+R45-R3)</f>
        <v>3264000</v>
      </c>
      <c r="T2" s="105">
        <f t="shared" si="1"/>
        <v>3329280</v>
      </c>
      <c r="U2" s="105">
        <f t="shared" si="1"/>
        <v>3395865.6</v>
      </c>
      <c r="V2" s="329">
        <v>5089000</v>
      </c>
      <c r="W2" s="105">
        <f t="shared" ref="W2:AZ2" si="2">V2*(1+V45-V3)</f>
        <v>5190780</v>
      </c>
      <c r="X2" s="105">
        <f t="shared" si="2"/>
        <v>5294595.5999999996</v>
      </c>
      <c r="Y2" s="105">
        <f t="shared" si="2"/>
        <v>5400487.5120000001</v>
      </c>
      <c r="Z2" s="105">
        <f t="shared" si="2"/>
        <v>5508497.2622400001</v>
      </c>
      <c r="AA2" s="105">
        <f t="shared" si="2"/>
        <v>5618667.2074848004</v>
      </c>
      <c r="AB2" s="105">
        <f t="shared" si="2"/>
        <v>5731040.5516344961</v>
      </c>
      <c r="AC2" s="105">
        <f t="shared" si="2"/>
        <v>5845661.3626671862</v>
      </c>
      <c r="AD2" s="105">
        <f t="shared" si="2"/>
        <v>5962574.5899205301</v>
      </c>
      <c r="AE2" s="105">
        <f t="shared" si="2"/>
        <v>6081826.0817189412</v>
      </c>
      <c r="AF2" s="105">
        <f t="shared" si="2"/>
        <v>6203462.6033533197</v>
      </c>
      <c r="AG2" s="105">
        <f t="shared" si="2"/>
        <v>6327531.8554203864</v>
      </c>
      <c r="AH2" s="105">
        <f t="shared" si="2"/>
        <v>6454082.4925287943</v>
      </c>
      <c r="AI2" s="105">
        <f t="shared" si="2"/>
        <v>6583164.1423793705</v>
      </c>
      <c r="AJ2" s="105">
        <f t="shared" si="2"/>
        <v>6714827.4252269585</v>
      </c>
      <c r="AK2" s="105">
        <f t="shared" si="2"/>
        <v>6849123.9737314973</v>
      </c>
      <c r="AL2" s="105">
        <f t="shared" si="2"/>
        <v>6986106.4532061275</v>
      </c>
      <c r="AM2" s="105">
        <f t="shared" si="2"/>
        <v>7125828.5822702497</v>
      </c>
      <c r="AN2" s="105">
        <f t="shared" si="2"/>
        <v>7268345.1539156549</v>
      </c>
      <c r="AO2" s="105">
        <f t="shared" si="2"/>
        <v>7413712.0569939679</v>
      </c>
      <c r="AP2" s="105">
        <f t="shared" si="2"/>
        <v>7561986.2981338473</v>
      </c>
      <c r="AQ2" s="105">
        <f t="shared" si="2"/>
        <v>7713226.0240965243</v>
      </c>
      <c r="AR2" s="105">
        <f t="shared" si="2"/>
        <v>7867490.5445784554</v>
      </c>
      <c r="AS2" s="105">
        <f t="shared" si="2"/>
        <v>8024840.355470025</v>
      </c>
      <c r="AT2" s="105">
        <f t="shared" si="2"/>
        <v>8185337.1625794256</v>
      </c>
      <c r="AU2" s="105">
        <f t="shared" si="2"/>
        <v>8349043.9058310138</v>
      </c>
      <c r="AV2" s="105">
        <f t="shared" si="2"/>
        <v>8516024.7839476336</v>
      </c>
      <c r="AW2" s="105">
        <f t="shared" si="2"/>
        <v>8686345.2796265855</v>
      </c>
      <c r="AX2" s="105">
        <f t="shared" si="2"/>
        <v>8860072.1852191165</v>
      </c>
      <c r="AY2" s="105">
        <f t="shared" si="2"/>
        <v>9037273.6289234981</v>
      </c>
      <c r="AZ2" s="105">
        <f t="shared" si="2"/>
        <v>9218019.1015019678</v>
      </c>
    </row>
    <row r="3" spans="1:52" ht="15" customHeight="1">
      <c r="A3" s="93" t="s">
        <v>72</v>
      </c>
      <c r="B3" s="330">
        <f t="shared" ref="B3:U3" si="3">C3</f>
        <v>0</v>
      </c>
      <c r="C3" s="330">
        <f t="shared" si="3"/>
        <v>0</v>
      </c>
      <c r="D3" s="330">
        <f t="shared" si="3"/>
        <v>0</v>
      </c>
      <c r="E3" s="330">
        <f t="shared" si="3"/>
        <v>0</v>
      </c>
      <c r="F3" s="330">
        <f t="shared" si="3"/>
        <v>0</v>
      </c>
      <c r="G3" s="330">
        <f t="shared" si="3"/>
        <v>0</v>
      </c>
      <c r="H3" s="330">
        <f t="shared" si="3"/>
        <v>0</v>
      </c>
      <c r="I3" s="330">
        <f t="shared" si="3"/>
        <v>0</v>
      </c>
      <c r="J3" s="330">
        <f t="shared" si="3"/>
        <v>0</v>
      </c>
      <c r="K3" s="330">
        <f t="shared" si="3"/>
        <v>0</v>
      </c>
      <c r="L3" s="330">
        <f t="shared" si="3"/>
        <v>0</v>
      </c>
      <c r="M3" s="330">
        <f t="shared" si="3"/>
        <v>0</v>
      </c>
      <c r="N3" s="330">
        <f t="shared" si="3"/>
        <v>0</v>
      </c>
      <c r="O3" s="330">
        <f t="shared" si="3"/>
        <v>0</v>
      </c>
      <c r="P3" s="330">
        <f t="shared" si="3"/>
        <v>0</v>
      </c>
      <c r="Q3" s="330">
        <f t="shared" si="3"/>
        <v>0</v>
      </c>
      <c r="R3" s="330">
        <f t="shared" si="3"/>
        <v>0</v>
      </c>
      <c r="S3" s="330">
        <f t="shared" si="3"/>
        <v>0</v>
      </c>
      <c r="T3" s="330">
        <f t="shared" si="3"/>
        <v>0</v>
      </c>
      <c r="U3" s="330">
        <f t="shared" si="3"/>
        <v>0</v>
      </c>
      <c r="V3" s="279">
        <v>0</v>
      </c>
      <c r="W3" s="247">
        <f t="shared" ref="W3:AZ3" si="4">V3</f>
        <v>0</v>
      </c>
      <c r="X3" s="247">
        <f t="shared" si="4"/>
        <v>0</v>
      </c>
      <c r="Y3" s="247">
        <f t="shared" si="4"/>
        <v>0</v>
      </c>
      <c r="Z3" s="247">
        <f t="shared" si="4"/>
        <v>0</v>
      </c>
      <c r="AA3" s="247">
        <f t="shared" si="4"/>
        <v>0</v>
      </c>
      <c r="AB3" s="247">
        <f t="shared" si="4"/>
        <v>0</v>
      </c>
      <c r="AC3" s="247">
        <f t="shared" si="4"/>
        <v>0</v>
      </c>
      <c r="AD3" s="247">
        <f t="shared" si="4"/>
        <v>0</v>
      </c>
      <c r="AE3" s="247">
        <f t="shared" si="4"/>
        <v>0</v>
      </c>
      <c r="AF3" s="247">
        <f t="shared" si="4"/>
        <v>0</v>
      </c>
      <c r="AG3" s="247">
        <f t="shared" si="4"/>
        <v>0</v>
      </c>
      <c r="AH3" s="247">
        <f t="shared" si="4"/>
        <v>0</v>
      </c>
      <c r="AI3" s="247">
        <f t="shared" si="4"/>
        <v>0</v>
      </c>
      <c r="AJ3" s="247">
        <f t="shared" si="4"/>
        <v>0</v>
      </c>
      <c r="AK3" s="247">
        <f t="shared" si="4"/>
        <v>0</v>
      </c>
      <c r="AL3" s="247">
        <f t="shared" si="4"/>
        <v>0</v>
      </c>
      <c r="AM3" s="247">
        <f t="shared" si="4"/>
        <v>0</v>
      </c>
      <c r="AN3" s="247">
        <f t="shared" si="4"/>
        <v>0</v>
      </c>
      <c r="AO3" s="247">
        <f t="shared" si="4"/>
        <v>0</v>
      </c>
      <c r="AP3" s="247">
        <f t="shared" si="4"/>
        <v>0</v>
      </c>
      <c r="AQ3" s="247">
        <f t="shared" si="4"/>
        <v>0</v>
      </c>
      <c r="AR3" s="247">
        <f t="shared" si="4"/>
        <v>0</v>
      </c>
      <c r="AS3" s="247">
        <f t="shared" si="4"/>
        <v>0</v>
      </c>
      <c r="AT3" s="247">
        <f t="shared" si="4"/>
        <v>0</v>
      </c>
      <c r="AU3" s="247">
        <f t="shared" si="4"/>
        <v>0</v>
      </c>
      <c r="AV3" s="247">
        <f t="shared" si="4"/>
        <v>0</v>
      </c>
      <c r="AW3" s="247">
        <f t="shared" si="4"/>
        <v>0</v>
      </c>
      <c r="AX3" s="247">
        <f t="shared" si="4"/>
        <v>0</v>
      </c>
      <c r="AY3" s="247">
        <f t="shared" si="4"/>
        <v>0</v>
      </c>
      <c r="AZ3" s="247">
        <f t="shared" si="4"/>
        <v>0</v>
      </c>
    </row>
    <row r="4" spans="1:52" ht="15" customHeight="1">
      <c r="A4" s="93" t="s">
        <v>74</v>
      </c>
      <c r="B4" s="93"/>
      <c r="C4" s="93"/>
      <c r="D4" s="93"/>
      <c r="E4" s="93"/>
      <c r="F4" s="93"/>
      <c r="G4" s="93"/>
      <c r="H4" s="93"/>
      <c r="I4" s="93"/>
      <c r="J4" s="93"/>
      <c r="K4" s="93"/>
      <c r="L4" s="93"/>
      <c r="M4" s="93"/>
      <c r="N4" s="93"/>
      <c r="O4" s="93"/>
      <c r="P4" s="93"/>
      <c r="Q4" s="93"/>
      <c r="R4" s="93"/>
      <c r="S4" s="93"/>
      <c r="T4" s="93"/>
      <c r="U4" s="93"/>
      <c r="V4" s="245">
        <v>0.4</v>
      </c>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row>
    <row r="5" spans="1:52" ht="15" customHeight="1">
      <c r="A5" s="93" t="s">
        <v>76</v>
      </c>
      <c r="B5" s="93"/>
      <c r="C5" s="93"/>
      <c r="D5" s="93"/>
      <c r="E5" s="93"/>
      <c r="F5" s="93"/>
      <c r="G5" s="93"/>
      <c r="H5" s="93"/>
      <c r="I5" s="93"/>
      <c r="J5" s="93"/>
      <c r="K5" s="93"/>
      <c r="L5" s="93"/>
      <c r="M5" s="93"/>
      <c r="N5" s="93"/>
      <c r="O5" s="93"/>
      <c r="P5" s="93"/>
      <c r="Q5" s="93"/>
      <c r="R5" s="93"/>
      <c r="S5" s="93"/>
      <c r="T5" s="93"/>
      <c r="U5" s="93"/>
      <c r="V5" s="245">
        <f>1-V4</f>
        <v>0.6</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78</v>
      </c>
      <c r="B6" s="93"/>
      <c r="C6" s="93"/>
      <c r="D6" s="93"/>
      <c r="E6" s="93"/>
      <c r="F6" s="93"/>
      <c r="G6" s="93"/>
      <c r="H6" s="93"/>
      <c r="I6" s="93"/>
      <c r="J6" s="93"/>
      <c r="K6" s="93"/>
      <c r="L6" s="93"/>
      <c r="M6" s="93"/>
      <c r="N6" s="93"/>
      <c r="O6" s="93"/>
      <c r="P6" s="93"/>
      <c r="Q6" s="93"/>
      <c r="R6" s="93"/>
      <c r="S6" s="93"/>
      <c r="T6" s="93"/>
      <c r="U6" s="93"/>
      <c r="V6" s="245">
        <v>4.7500000000000001E-2</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80</v>
      </c>
      <c r="B7" s="93"/>
      <c r="C7" s="93"/>
      <c r="D7" s="93"/>
      <c r="E7" s="93"/>
      <c r="F7" s="93"/>
      <c r="G7" s="93"/>
      <c r="H7" s="93"/>
      <c r="I7" s="93"/>
      <c r="J7" s="93"/>
      <c r="K7" s="93"/>
      <c r="L7" s="93"/>
      <c r="M7" s="93"/>
      <c r="N7" s="93"/>
      <c r="O7" s="93"/>
      <c r="P7" s="93"/>
      <c r="Q7" s="93"/>
      <c r="R7" s="93"/>
      <c r="S7" s="93"/>
      <c r="T7" s="93"/>
      <c r="U7" s="93"/>
      <c r="V7" s="245">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82</v>
      </c>
      <c r="B8" s="93"/>
      <c r="C8" s="93"/>
      <c r="D8" s="93"/>
      <c r="E8" s="93"/>
      <c r="F8" s="93"/>
      <c r="G8" s="93"/>
      <c r="H8" s="93"/>
      <c r="I8" s="93"/>
      <c r="J8" s="93"/>
      <c r="K8" s="93"/>
      <c r="L8" s="93"/>
      <c r="M8" s="93"/>
      <c r="N8" s="93"/>
      <c r="O8" s="93"/>
      <c r="P8" s="93"/>
      <c r="Q8" s="93"/>
      <c r="R8" s="93"/>
      <c r="S8" s="93"/>
      <c r="T8" s="93"/>
      <c r="U8" s="93"/>
      <c r="V8" s="245">
        <f>V4*V6+V5*V7</f>
        <v>6.7000000000000004E-2</v>
      </c>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row>
    <row r="9" spans="1:52" ht="15" customHeight="1">
      <c r="A9" s="93" t="s">
        <v>84</v>
      </c>
      <c r="B9" s="93"/>
      <c r="C9" s="93"/>
      <c r="D9" s="93"/>
      <c r="E9" s="93"/>
      <c r="F9" s="93"/>
      <c r="G9" s="93"/>
      <c r="H9" s="93"/>
      <c r="I9" s="93"/>
      <c r="J9" s="93"/>
      <c r="K9" s="93"/>
      <c r="L9" s="93"/>
      <c r="M9" s="93"/>
      <c r="N9" s="93"/>
      <c r="O9" s="93"/>
      <c r="P9" s="93"/>
      <c r="Q9" s="93"/>
      <c r="R9" s="93"/>
      <c r="S9" s="93"/>
      <c r="T9" s="93"/>
      <c r="U9" s="93"/>
      <c r="V9" s="251">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row>
    <row r="10" spans="1:52" ht="15" customHeight="1">
      <c r="A10" s="93" t="s">
        <v>503</v>
      </c>
      <c r="B10" s="93"/>
      <c r="C10" s="93"/>
      <c r="D10" s="93"/>
      <c r="E10" s="93"/>
      <c r="F10" s="93"/>
      <c r="G10" s="93"/>
      <c r="H10" s="93"/>
      <c r="I10" s="93"/>
      <c r="J10" s="93"/>
      <c r="K10" s="93"/>
      <c r="L10" s="93"/>
      <c r="M10" s="93"/>
      <c r="N10" s="93"/>
      <c r="O10" s="93"/>
      <c r="P10" s="93"/>
      <c r="Q10" s="93"/>
      <c r="R10" s="93"/>
      <c r="S10" s="93"/>
      <c r="T10" s="93"/>
      <c r="U10" s="93"/>
      <c r="V10" s="245">
        <v>3.7499999999999999E-2</v>
      </c>
      <c r="W10" s="252">
        <v>7.2190000000000004E-2</v>
      </c>
      <c r="X10" s="252">
        <v>6.6769999999999996E-2</v>
      </c>
      <c r="Y10" s="252">
        <v>6.1769999999999999E-2</v>
      </c>
      <c r="Z10" s="252">
        <v>5.713E-2</v>
      </c>
      <c r="AA10" s="252">
        <v>5.2850000000000001E-2</v>
      </c>
      <c r="AB10" s="252">
        <v>4.888E-2</v>
      </c>
      <c r="AC10" s="252">
        <v>4.5220000000000003E-2</v>
      </c>
      <c r="AD10" s="252">
        <v>4.462E-2</v>
      </c>
      <c r="AE10" s="252">
        <v>4.4609999999999997E-2</v>
      </c>
      <c r="AF10" s="252">
        <v>4.462E-2</v>
      </c>
      <c r="AG10" s="252">
        <v>4.4609999999999997E-2</v>
      </c>
      <c r="AH10" s="252">
        <v>4.462E-2</v>
      </c>
      <c r="AI10" s="252">
        <v>4.4609999999999997E-2</v>
      </c>
      <c r="AJ10" s="252">
        <v>4.462E-2</v>
      </c>
      <c r="AK10" s="252">
        <v>4.4609999999999997E-2</v>
      </c>
      <c r="AL10" s="252">
        <v>4.462E-2</v>
      </c>
      <c r="AM10" s="252">
        <v>4.4609999999999997E-2</v>
      </c>
      <c r="AN10" s="252">
        <v>4.462E-2</v>
      </c>
      <c r="AO10" s="252">
        <v>4.4609999999999997E-2</v>
      </c>
      <c r="AP10" s="252">
        <v>2.231E-2</v>
      </c>
      <c r="AQ10" s="331"/>
      <c r="AR10" s="331"/>
      <c r="AS10" s="331"/>
      <c r="AT10" s="331"/>
      <c r="AU10" s="331"/>
      <c r="AV10" s="331"/>
      <c r="AW10" s="331"/>
      <c r="AX10" s="331"/>
      <c r="AY10" s="331"/>
      <c r="AZ10" s="331"/>
    </row>
    <row r="11" spans="1:52" ht="15" customHeight="1">
      <c r="A11" s="93" t="s">
        <v>88</v>
      </c>
      <c r="B11" s="93"/>
      <c r="C11" s="93"/>
      <c r="D11" s="93"/>
      <c r="E11" s="93"/>
      <c r="F11" s="93"/>
      <c r="G11" s="93"/>
      <c r="H11" s="93"/>
      <c r="I11" s="93"/>
      <c r="J11" s="93"/>
      <c r="K11" s="93"/>
      <c r="L11" s="93"/>
      <c r="M11" s="93"/>
      <c r="N11" s="93"/>
      <c r="O11" s="93"/>
      <c r="P11" s="93"/>
      <c r="Q11" s="93"/>
      <c r="R11" s="93"/>
      <c r="S11" s="93"/>
      <c r="T11" s="93"/>
      <c r="U11" s="93"/>
      <c r="V11" s="251">
        <f>MAX(V50:V123)</f>
        <v>14231.099999999999</v>
      </c>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row>
    <row r="12" spans="1:52" ht="15" customHeight="1">
      <c r="A12" s="93" t="s">
        <v>90</v>
      </c>
      <c r="B12" s="93"/>
      <c r="C12" s="93"/>
      <c r="D12" s="93"/>
      <c r="E12" s="93"/>
      <c r="F12" s="93"/>
      <c r="G12" s="93"/>
      <c r="H12" s="93"/>
      <c r="I12" s="93"/>
      <c r="J12" s="93"/>
      <c r="K12" s="93"/>
      <c r="L12" s="93"/>
      <c r="M12" s="93"/>
      <c r="N12" s="93"/>
      <c r="O12" s="93"/>
      <c r="P12" s="93"/>
      <c r="Q12" s="93"/>
      <c r="R12" s="93"/>
      <c r="S12" s="93"/>
      <c r="T12" s="93"/>
      <c r="U12" s="93"/>
      <c r="V12" s="332">
        <v>6</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row>
    <row r="13" spans="1:52" ht="15" customHeight="1">
      <c r="A13" s="93" t="s">
        <v>92</v>
      </c>
      <c r="B13" s="93"/>
      <c r="C13" s="93"/>
      <c r="D13" s="93"/>
      <c r="E13" s="93"/>
      <c r="F13" s="93"/>
      <c r="G13" s="93"/>
      <c r="H13" s="93"/>
      <c r="I13" s="93"/>
      <c r="J13" s="93"/>
      <c r="K13" s="93"/>
      <c r="L13" s="93"/>
      <c r="M13" s="93"/>
      <c r="N13" s="93"/>
      <c r="O13" s="93"/>
      <c r="P13" s="93"/>
      <c r="Q13" s="93"/>
      <c r="R13" s="93"/>
      <c r="S13" s="93"/>
      <c r="T13" s="93"/>
      <c r="U13" s="93"/>
      <c r="V13" s="254">
        <f>1/V12</f>
        <v>0.16666666666666666</v>
      </c>
      <c r="W13" s="250"/>
      <c r="X13" s="250"/>
      <c r="Y13" s="250"/>
      <c r="Z13" s="250"/>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row>
    <row r="14" spans="1:52" ht="15" customHeight="1">
      <c r="A14" s="100" t="s">
        <v>710</v>
      </c>
      <c r="B14" s="93"/>
      <c r="C14" s="93"/>
      <c r="D14" s="93"/>
      <c r="E14" s="93"/>
      <c r="F14" s="93"/>
      <c r="G14" s="93"/>
      <c r="H14" s="93"/>
      <c r="I14" s="93"/>
      <c r="J14" s="93"/>
      <c r="K14" s="93"/>
      <c r="L14" s="93"/>
      <c r="M14" s="93"/>
      <c r="N14" s="93"/>
      <c r="O14" s="93"/>
      <c r="P14" s="93"/>
      <c r="Q14" s="93"/>
      <c r="R14" s="93"/>
      <c r="S14" s="93"/>
      <c r="T14" s="93"/>
      <c r="U14" s="93"/>
      <c r="V14" s="254">
        <v>0.59702746326331002</v>
      </c>
      <c r="W14" s="102">
        <f>Model!X9*1000000/(Model!X8*8760)</f>
        <v>0.59702745424744608</v>
      </c>
      <c r="X14" s="102">
        <f>Model!Y9*1000000/(Model!Y8*8760)</f>
        <v>0.59702744458759227</v>
      </c>
      <c r="Y14" s="102">
        <f>Model!Z9*1000000/(Model!Z8*8760)</f>
        <v>0.59702743421219406</v>
      </c>
      <c r="Z14" s="102">
        <f>Model!AA9*1000000/(Model!AA8*8760)</f>
        <v>0.59702742303868883</v>
      </c>
      <c r="AA14" s="102">
        <f>Model!AB9*1000000/(Model!AB8*8760)</f>
        <v>0.59702741097130352</v>
      </c>
      <c r="AB14" s="102">
        <f>Model!AC9*1000000/(Model!AC8*8760)</f>
        <v>0.59702739789830328</v>
      </c>
      <c r="AC14" s="102">
        <f>Model!AD9*1000000/(Model!AD8*8760)</f>
        <v>0.59702738368852115</v>
      </c>
      <c r="AD14" s="102">
        <f>Model!AE9*1000000/(Model!AE8*8760)</f>
        <v>0.59702736818694135</v>
      </c>
      <c r="AE14" s="102">
        <f>Model!AF9*1000000/(Model!AF8*8760)</f>
        <v>0.59702735120902151</v>
      </c>
      <c r="AF14" s="102">
        <f>Model!AG9*1000000/(Model!AG8*8760)</f>
        <v>0.59702733253331086</v>
      </c>
      <c r="AG14" s="102">
        <f>Model!AH9*1000000/(Model!AH8*8760)</f>
        <v>0.5970273118917373</v>
      </c>
      <c r="AH14" s="102">
        <f>Model!AI9*1000000/(Model!AI8*8760)</f>
        <v>0.59702728895665713</v>
      </c>
      <c r="AI14" s="102">
        <f>Model!AJ9*1000000/(Model!AJ8*8760)</f>
        <v>0.59702726332333456</v>
      </c>
      <c r="AJ14" s="102">
        <f>Model!AK9*1000000/(Model!AK8*8760)</f>
        <v>0.59702723448584916</v>
      </c>
      <c r="AK14" s="102">
        <f>Model!AL9*1000000/(Model!AL8*8760)</f>
        <v>0.59702720180336899</v>
      </c>
      <c r="AL14" s="102">
        <f>Model!AM9*1000000/(Model!AM8*8760)</f>
        <v>0.59702716445196757</v>
      </c>
      <c r="AM14" s="102">
        <f>Model!AN9*1000000/(Model!AN8*8760)</f>
        <v>0.59702712135420244</v>
      </c>
      <c r="AN14" s="102">
        <f>Model!AO9*1000000/(Model!AO8*8760)</f>
        <v>0.59702707107348441</v>
      </c>
      <c r="AO14" s="102">
        <f>Model!AP9*1000000/(Model!AP8*8760)</f>
        <v>0.5970270116508285</v>
      </c>
      <c r="AP14" s="102">
        <f>Model!AQ9*1000000/(Model!AQ8*8760)</f>
        <v>0.59702694034365711</v>
      </c>
      <c r="AQ14" s="102">
        <f>Model!AR9*1000000/(Model!AR8*8760)</f>
        <v>0.59702685319047066</v>
      </c>
      <c r="AR14" s="102">
        <f>Model!AS9*1000000/(Model!AS8*8760)</f>
        <v>0.59702674424902336</v>
      </c>
      <c r="AS14" s="102">
        <f>Model!AT9*1000000/(Model!AT8*8760)</f>
        <v>0.59702660418150666</v>
      </c>
      <c r="AT14" s="102">
        <f>Model!AU9*1000000/(Model!AU8*8760)</f>
        <v>0.59702641742492002</v>
      </c>
      <c r="AU14" s="102">
        <f>Model!AV9*1000000/(Model!AV8*8760)</f>
        <v>0.59702615596589514</v>
      </c>
      <c r="AV14" s="102">
        <f>Model!AW9*1000000/(Model!AW8*8760)</f>
        <v>0.59702576377778704</v>
      </c>
      <c r="AW14" s="102">
        <f>Model!AX9*1000000/(Model!AX8*8760)</f>
        <v>0.5970251101320857</v>
      </c>
      <c r="AX14" s="102">
        <f>Model!AY9*1000000/(Model!AY8*8760)</f>
        <v>0.59702380284497747</v>
      </c>
      <c r="AY14" s="102">
        <f>Model!AZ9*1000000/(Model!AZ8*8760)</f>
        <v>0.59701988101800973</v>
      </c>
      <c r="AZ14" s="102">
        <f>Model!BA9*1000000/(Model!BA8*8760)</f>
        <v>1.1415525114155251E-4</v>
      </c>
    </row>
    <row r="15" spans="1:52" ht="15" customHeight="1">
      <c r="A15" s="93" t="s">
        <v>96</v>
      </c>
      <c r="B15" s="93"/>
      <c r="C15" s="93"/>
      <c r="D15" s="93"/>
      <c r="E15" s="93"/>
      <c r="F15" s="93"/>
      <c r="G15" s="93"/>
      <c r="H15" s="93"/>
      <c r="I15" s="93"/>
      <c r="J15" s="93"/>
      <c r="K15" s="93"/>
      <c r="L15" s="93"/>
      <c r="M15" s="93"/>
      <c r="N15" s="93"/>
      <c r="O15" s="93"/>
      <c r="P15" s="93"/>
      <c r="Q15" s="93"/>
      <c r="R15" s="93"/>
      <c r="S15" s="93"/>
      <c r="T15" s="93"/>
      <c r="U15" s="93"/>
      <c r="V15" s="254">
        <v>0.7</v>
      </c>
      <c r="W15" s="102">
        <f t="shared" ref="W15:AZ15" si="5">V15</f>
        <v>0.7</v>
      </c>
      <c r="X15" s="102">
        <f t="shared" si="5"/>
        <v>0.7</v>
      </c>
      <c r="Y15" s="102">
        <f t="shared" si="5"/>
        <v>0.7</v>
      </c>
      <c r="Z15" s="102">
        <f t="shared" si="5"/>
        <v>0.7</v>
      </c>
      <c r="AA15" s="102">
        <f t="shared" si="5"/>
        <v>0.7</v>
      </c>
      <c r="AB15" s="102">
        <f t="shared" si="5"/>
        <v>0.7</v>
      </c>
      <c r="AC15" s="102">
        <f t="shared" si="5"/>
        <v>0.7</v>
      </c>
      <c r="AD15" s="102">
        <f t="shared" si="5"/>
        <v>0.7</v>
      </c>
      <c r="AE15" s="102">
        <f t="shared" si="5"/>
        <v>0.7</v>
      </c>
      <c r="AF15" s="102">
        <f t="shared" si="5"/>
        <v>0.7</v>
      </c>
      <c r="AG15" s="102">
        <f t="shared" si="5"/>
        <v>0.7</v>
      </c>
      <c r="AH15" s="102">
        <f t="shared" si="5"/>
        <v>0.7</v>
      </c>
      <c r="AI15" s="102">
        <f t="shared" si="5"/>
        <v>0.7</v>
      </c>
      <c r="AJ15" s="102">
        <f t="shared" si="5"/>
        <v>0.7</v>
      </c>
      <c r="AK15" s="102">
        <f t="shared" si="5"/>
        <v>0.7</v>
      </c>
      <c r="AL15" s="102">
        <f t="shared" si="5"/>
        <v>0.7</v>
      </c>
      <c r="AM15" s="102">
        <f t="shared" si="5"/>
        <v>0.7</v>
      </c>
      <c r="AN15" s="102">
        <f t="shared" si="5"/>
        <v>0.7</v>
      </c>
      <c r="AO15" s="102">
        <f t="shared" si="5"/>
        <v>0.7</v>
      </c>
      <c r="AP15" s="102">
        <f t="shared" si="5"/>
        <v>0.7</v>
      </c>
      <c r="AQ15" s="102">
        <f t="shared" si="5"/>
        <v>0.7</v>
      </c>
      <c r="AR15" s="102">
        <f t="shared" si="5"/>
        <v>0.7</v>
      </c>
      <c r="AS15" s="102">
        <f t="shared" si="5"/>
        <v>0.7</v>
      </c>
      <c r="AT15" s="102">
        <f t="shared" si="5"/>
        <v>0.7</v>
      </c>
      <c r="AU15" s="102">
        <f t="shared" si="5"/>
        <v>0.7</v>
      </c>
      <c r="AV15" s="102">
        <f t="shared" si="5"/>
        <v>0.7</v>
      </c>
      <c r="AW15" s="102">
        <f t="shared" si="5"/>
        <v>0.7</v>
      </c>
      <c r="AX15" s="102">
        <f t="shared" si="5"/>
        <v>0.7</v>
      </c>
      <c r="AY15" s="102">
        <f t="shared" si="5"/>
        <v>0.7</v>
      </c>
      <c r="AZ15" s="102">
        <f t="shared" si="5"/>
        <v>0.7</v>
      </c>
    </row>
    <row r="16" spans="1:52" ht="15" customHeight="1">
      <c r="A16" s="93" t="s">
        <v>98</v>
      </c>
      <c r="B16" s="93"/>
      <c r="C16" s="93"/>
      <c r="D16" s="93"/>
      <c r="E16" s="93"/>
      <c r="F16" s="93"/>
      <c r="G16" s="93"/>
      <c r="H16" s="93"/>
      <c r="I16" s="93"/>
      <c r="J16" s="93"/>
      <c r="K16" s="93"/>
      <c r="L16" s="93"/>
      <c r="M16" s="93"/>
      <c r="N16" s="93"/>
      <c r="O16" s="93"/>
      <c r="P16" s="93"/>
      <c r="Q16" s="93"/>
      <c r="R16" s="93"/>
      <c r="S16" s="93"/>
      <c r="T16" s="93"/>
      <c r="U16" s="93"/>
      <c r="V16" s="254">
        <v>0</v>
      </c>
      <c r="W16" s="102">
        <f t="shared" ref="W16:AZ16" si="6">V16</f>
        <v>0</v>
      </c>
      <c r="X16" s="102">
        <f t="shared" si="6"/>
        <v>0</v>
      </c>
      <c r="Y16" s="102">
        <f t="shared" si="6"/>
        <v>0</v>
      </c>
      <c r="Z16" s="102">
        <f t="shared" si="6"/>
        <v>0</v>
      </c>
      <c r="AA16" s="102">
        <f t="shared" si="6"/>
        <v>0</v>
      </c>
      <c r="AB16" s="102">
        <f t="shared" si="6"/>
        <v>0</v>
      </c>
      <c r="AC16" s="102">
        <f t="shared" si="6"/>
        <v>0</v>
      </c>
      <c r="AD16" s="102">
        <f t="shared" si="6"/>
        <v>0</v>
      </c>
      <c r="AE16" s="102">
        <f t="shared" si="6"/>
        <v>0</v>
      </c>
      <c r="AF16" s="102">
        <f t="shared" si="6"/>
        <v>0</v>
      </c>
      <c r="AG16" s="102">
        <f t="shared" si="6"/>
        <v>0</v>
      </c>
      <c r="AH16" s="102">
        <f t="shared" si="6"/>
        <v>0</v>
      </c>
      <c r="AI16" s="102">
        <f t="shared" si="6"/>
        <v>0</v>
      </c>
      <c r="AJ16" s="102">
        <f t="shared" si="6"/>
        <v>0</v>
      </c>
      <c r="AK16" s="102">
        <f t="shared" si="6"/>
        <v>0</v>
      </c>
      <c r="AL16" s="102">
        <f t="shared" si="6"/>
        <v>0</v>
      </c>
      <c r="AM16" s="102">
        <f t="shared" si="6"/>
        <v>0</v>
      </c>
      <c r="AN16" s="102">
        <f t="shared" si="6"/>
        <v>0</v>
      </c>
      <c r="AO16" s="102">
        <f t="shared" si="6"/>
        <v>0</v>
      </c>
      <c r="AP16" s="102">
        <f t="shared" si="6"/>
        <v>0</v>
      </c>
      <c r="AQ16" s="102">
        <f t="shared" si="6"/>
        <v>0</v>
      </c>
      <c r="AR16" s="102">
        <f t="shared" si="6"/>
        <v>0</v>
      </c>
      <c r="AS16" s="102">
        <f t="shared" si="6"/>
        <v>0</v>
      </c>
      <c r="AT16" s="102">
        <f t="shared" si="6"/>
        <v>0</v>
      </c>
      <c r="AU16" s="102">
        <f t="shared" si="6"/>
        <v>0</v>
      </c>
      <c r="AV16" s="102">
        <f t="shared" si="6"/>
        <v>0</v>
      </c>
      <c r="AW16" s="102">
        <f t="shared" si="6"/>
        <v>0</v>
      </c>
      <c r="AX16" s="102">
        <f t="shared" si="6"/>
        <v>0</v>
      </c>
      <c r="AY16" s="102">
        <f t="shared" si="6"/>
        <v>0</v>
      </c>
      <c r="AZ16" s="102">
        <f t="shared" si="6"/>
        <v>0</v>
      </c>
    </row>
    <row r="17" spans="1:52" ht="15" customHeight="1">
      <c r="A17" s="334" t="s">
        <v>713</v>
      </c>
      <c r="B17" s="93"/>
      <c r="C17" s="93"/>
      <c r="D17" s="93"/>
      <c r="E17" s="93"/>
      <c r="F17" s="93"/>
      <c r="G17" s="93"/>
      <c r="H17" s="93"/>
      <c r="I17" s="93"/>
      <c r="J17" s="93"/>
      <c r="K17" s="93"/>
      <c r="L17" s="93"/>
      <c r="M17" s="93"/>
      <c r="N17" s="93"/>
      <c r="O17" s="93"/>
      <c r="P17" s="93"/>
      <c r="Q17" s="93"/>
      <c r="R17" s="93"/>
      <c r="S17" s="93"/>
      <c r="T17" s="93"/>
      <c r="U17" s="93"/>
      <c r="V17" s="329">
        <v>70700</v>
      </c>
      <c r="W17" s="105">
        <f t="shared" ref="W17:AZ17" si="7">V17*(1+V45-V20)</f>
        <v>71901.900000000009</v>
      </c>
      <c r="X17" s="105">
        <f t="shared" si="7"/>
        <v>73124.232300000018</v>
      </c>
      <c r="Y17" s="105">
        <f t="shared" si="7"/>
        <v>74367.344249100031</v>
      </c>
      <c r="Z17" s="105">
        <f t="shared" si="7"/>
        <v>75631.589101334743</v>
      </c>
      <c r="AA17" s="105">
        <f t="shared" si="7"/>
        <v>76917.326116057448</v>
      </c>
      <c r="AB17" s="105">
        <f t="shared" si="7"/>
        <v>78224.920660030431</v>
      </c>
      <c r="AC17" s="105">
        <f t="shared" si="7"/>
        <v>79554.744311250965</v>
      </c>
      <c r="AD17" s="105">
        <f t="shared" si="7"/>
        <v>80907.174964542239</v>
      </c>
      <c r="AE17" s="105">
        <f t="shared" si="7"/>
        <v>82282.596938939474</v>
      </c>
      <c r="AF17" s="105">
        <f t="shared" si="7"/>
        <v>83681.40108690146</v>
      </c>
      <c r="AG17" s="105">
        <f t="shared" si="7"/>
        <v>85103.984905378791</v>
      </c>
      <c r="AH17" s="105">
        <f t="shared" si="7"/>
        <v>86550.752648770242</v>
      </c>
      <c r="AI17" s="105">
        <f t="shared" si="7"/>
        <v>88022.115443799354</v>
      </c>
      <c r="AJ17" s="105">
        <f t="shared" si="7"/>
        <v>89518.49140634395</v>
      </c>
      <c r="AK17" s="105">
        <f t="shared" si="7"/>
        <v>91040.305760251809</v>
      </c>
      <c r="AL17" s="105">
        <f t="shared" si="7"/>
        <v>92587.990958176102</v>
      </c>
      <c r="AM17" s="105">
        <f t="shared" si="7"/>
        <v>94161.986804465108</v>
      </c>
      <c r="AN17" s="105">
        <f t="shared" si="7"/>
        <v>95762.74058014102</v>
      </c>
      <c r="AO17" s="105">
        <f t="shared" si="7"/>
        <v>97390.707170003428</v>
      </c>
      <c r="AP17" s="105">
        <f t="shared" si="7"/>
        <v>99046.349191893503</v>
      </c>
      <c r="AQ17" s="105">
        <f t="shared" si="7"/>
        <v>100730.13712815571</v>
      </c>
      <c r="AR17" s="105">
        <f t="shared" si="7"/>
        <v>102442.54945933436</v>
      </c>
      <c r="AS17" s="105">
        <f t="shared" si="7"/>
        <v>104184.07280014305</v>
      </c>
      <c r="AT17" s="105">
        <f t="shared" si="7"/>
        <v>105955.2020377455</v>
      </c>
      <c r="AU17" s="105">
        <f t="shared" si="7"/>
        <v>107756.44047238718</v>
      </c>
      <c r="AV17" s="105">
        <f t="shared" si="7"/>
        <v>109588.29996041777</v>
      </c>
      <c r="AW17" s="105">
        <f t="shared" si="7"/>
        <v>111451.30105974489</v>
      </c>
      <c r="AX17" s="105">
        <f t="shared" si="7"/>
        <v>113345.97317776056</v>
      </c>
      <c r="AY17" s="105">
        <f t="shared" si="7"/>
        <v>115272.85472178251</v>
      </c>
      <c r="AZ17" s="105">
        <f t="shared" si="7"/>
        <v>117232.49325205282</v>
      </c>
    </row>
    <row r="18" spans="1:52" ht="15" customHeight="1">
      <c r="A18" s="334" t="s">
        <v>714</v>
      </c>
      <c r="B18" s="93"/>
      <c r="C18" s="93"/>
      <c r="D18" s="93"/>
      <c r="E18" s="93"/>
      <c r="F18" s="93"/>
      <c r="G18" s="93"/>
      <c r="H18" s="93"/>
      <c r="I18" s="93"/>
      <c r="J18" s="93"/>
      <c r="K18" s="93"/>
      <c r="L18" s="93"/>
      <c r="M18" s="93"/>
      <c r="N18" s="93"/>
      <c r="O18" s="93"/>
      <c r="P18" s="93"/>
      <c r="Q18" s="93"/>
      <c r="R18" s="93"/>
      <c r="S18" s="93"/>
      <c r="T18" s="93"/>
      <c r="U18" s="93"/>
      <c r="V18" s="97">
        <v>7.17</v>
      </c>
      <c r="W18" s="91">
        <f t="shared" ref="W18:AZ18" si="8">V18*(1+V45-V20)</f>
        <v>7.2918900000000004</v>
      </c>
      <c r="X18" s="91">
        <f t="shared" si="8"/>
        <v>7.4158521300000011</v>
      </c>
      <c r="Y18" s="91">
        <f t="shared" si="8"/>
        <v>7.5419216162100025</v>
      </c>
      <c r="Z18" s="91">
        <f t="shared" si="8"/>
        <v>7.6701342836855737</v>
      </c>
      <c r="AA18" s="91">
        <f t="shared" si="8"/>
        <v>7.8005265665082293</v>
      </c>
      <c r="AB18" s="91">
        <f t="shared" si="8"/>
        <v>7.9331355181388705</v>
      </c>
      <c r="AC18" s="91">
        <f t="shared" si="8"/>
        <v>8.0679988219472332</v>
      </c>
      <c r="AD18" s="91">
        <f t="shared" si="8"/>
        <v>8.2051548019203366</v>
      </c>
      <c r="AE18" s="91">
        <f t="shared" si="8"/>
        <v>8.3446424335529841</v>
      </c>
      <c r="AF18" s="91">
        <f t="shared" si="8"/>
        <v>8.4865013549233854</v>
      </c>
      <c r="AG18" s="91">
        <f t="shared" si="8"/>
        <v>8.6307718779570841</v>
      </c>
      <c r="AH18" s="91">
        <f t="shared" si="8"/>
        <v>8.7774949998823555</v>
      </c>
      <c r="AI18" s="91">
        <f t="shared" si="8"/>
        <v>8.9267124148803561</v>
      </c>
      <c r="AJ18" s="91">
        <f t="shared" si="8"/>
        <v>9.0784665259333224</v>
      </c>
      <c r="AK18" s="91">
        <f t="shared" si="8"/>
        <v>9.2328004568741893</v>
      </c>
      <c r="AL18" s="91">
        <f t="shared" si="8"/>
        <v>9.3897580646410521</v>
      </c>
      <c r="AM18" s="91">
        <f t="shared" si="8"/>
        <v>9.5493839517399515</v>
      </c>
      <c r="AN18" s="91">
        <f t="shared" si="8"/>
        <v>9.7117234789195326</v>
      </c>
      <c r="AO18" s="91">
        <f t="shared" si="8"/>
        <v>9.8768227780611664</v>
      </c>
      <c r="AP18" s="91">
        <f t="shared" si="8"/>
        <v>10.044728765288207</v>
      </c>
      <c r="AQ18" s="91">
        <f t="shared" si="8"/>
        <v>10.215489154298108</v>
      </c>
      <c r="AR18" s="91">
        <f t="shared" si="8"/>
        <v>10.389152469921177</v>
      </c>
      <c r="AS18" s="91">
        <f t="shared" si="8"/>
        <v>10.565768061909838</v>
      </c>
      <c r="AT18" s="91">
        <f t="shared" si="8"/>
        <v>10.745386118962307</v>
      </c>
      <c r="AU18" s="91">
        <f t="shared" si="8"/>
        <v>10.928057682984667</v>
      </c>
      <c r="AV18" s="91">
        <f t="shared" si="8"/>
        <v>11.113834663595407</v>
      </c>
      <c r="AW18" s="91">
        <f t="shared" si="8"/>
        <v>11.30276985287653</v>
      </c>
      <c r="AX18" s="91">
        <f t="shared" si="8"/>
        <v>11.494916940375433</v>
      </c>
      <c r="AY18" s="91">
        <f t="shared" si="8"/>
        <v>11.690330528361816</v>
      </c>
      <c r="AZ18" s="91">
        <f t="shared" si="8"/>
        <v>11.889066147343968</v>
      </c>
    </row>
    <row r="19" spans="1:52" ht="15" customHeight="1">
      <c r="A19" s="334" t="s">
        <v>104</v>
      </c>
      <c r="B19" s="93"/>
      <c r="C19" s="93"/>
      <c r="D19" s="93"/>
      <c r="E19" s="93"/>
      <c r="F19" s="93"/>
      <c r="G19" s="93"/>
      <c r="H19" s="93"/>
      <c r="I19" s="93"/>
      <c r="J19" s="93"/>
      <c r="K19" s="93"/>
      <c r="L19" s="93"/>
      <c r="M19" s="93"/>
      <c r="N19" s="93"/>
      <c r="O19" s="93"/>
      <c r="P19" s="93"/>
      <c r="Q19" s="93"/>
      <c r="R19" s="93"/>
      <c r="S19" s="93"/>
      <c r="T19" s="93"/>
      <c r="U19" s="93"/>
      <c r="V19" s="97">
        <f>V17*Model!W8/(V14*Model!W8*8760)+V18</f>
        <v>20.688266331658294</v>
      </c>
      <c r="W19" s="91">
        <f t="shared" ref="W19:AZ19" si="9">V19*(1+V45-V20)</f>
        <v>21.039966859296488</v>
      </c>
      <c r="X19" s="91">
        <f t="shared" si="9"/>
        <v>21.397646295904529</v>
      </c>
      <c r="Y19" s="91">
        <f t="shared" si="9"/>
        <v>21.76140628293491</v>
      </c>
      <c r="Z19" s="91">
        <f t="shared" si="9"/>
        <v>22.131350189744808</v>
      </c>
      <c r="AA19" s="91">
        <f t="shared" si="9"/>
        <v>22.507583142970471</v>
      </c>
      <c r="AB19" s="91">
        <f t="shared" si="9"/>
        <v>22.890212056400973</v>
      </c>
      <c r="AC19" s="91">
        <f t="shared" si="9"/>
        <v>23.279345661359791</v>
      </c>
      <c r="AD19" s="91">
        <f t="shared" si="9"/>
        <v>23.675094537602909</v>
      </c>
      <c r="AE19" s="91">
        <f t="shared" si="9"/>
        <v>24.077571144742162</v>
      </c>
      <c r="AF19" s="91">
        <f t="shared" si="9"/>
        <v>24.486889854202783</v>
      </c>
      <c r="AG19" s="91">
        <f t="shared" si="9"/>
        <v>24.903166981724233</v>
      </c>
      <c r="AH19" s="91">
        <f t="shared" si="9"/>
        <v>25.326520820413549</v>
      </c>
      <c r="AI19" s="91">
        <f t="shared" si="9"/>
        <v>25.757071674360581</v>
      </c>
      <c r="AJ19" s="91">
        <f t="shared" si="9"/>
        <v>26.194941892824716</v>
      </c>
      <c r="AK19" s="91">
        <f t="shared" si="9"/>
        <v>26.640255905002739</v>
      </c>
      <c r="AL19" s="91">
        <f t="shared" si="9"/>
        <v>27.093140255387787</v>
      </c>
      <c r="AM19" s="91">
        <f t="shared" si="9"/>
        <v>27.553723639729384</v>
      </c>
      <c r="AN19" s="91">
        <f t="shared" si="9"/>
        <v>28.022136941604789</v>
      </c>
      <c r="AO19" s="91">
        <f t="shared" si="9"/>
        <v>28.498513269612072</v>
      </c>
      <c r="AP19" s="91">
        <f t="shared" si="9"/>
        <v>28.982987995195479</v>
      </c>
      <c r="AQ19" s="91">
        <f t="shared" si="9"/>
        <v>29.475698791113807</v>
      </c>
      <c r="AR19" s="91">
        <f t="shared" si="9"/>
        <v>29.976785670562744</v>
      </c>
      <c r="AS19" s="91">
        <f t="shared" si="9"/>
        <v>30.486391026962316</v>
      </c>
      <c r="AT19" s="91">
        <f t="shared" si="9"/>
        <v>31.004659674420679</v>
      </c>
      <c r="AU19" s="91">
        <f t="shared" si="9"/>
        <v>31.531738888885833</v>
      </c>
      <c r="AV19" s="91">
        <f t="shared" si="9"/>
        <v>32.067778449996894</v>
      </c>
      <c r="AW19" s="91">
        <f t="shared" si="9"/>
        <v>32.612930683646844</v>
      </c>
      <c r="AX19" s="91">
        <f t="shared" si="9"/>
        <v>33.167350505268843</v>
      </c>
      <c r="AY19" s="91">
        <f t="shared" si="9"/>
        <v>33.73119546385842</v>
      </c>
      <c r="AZ19" s="91">
        <f t="shared" si="9"/>
        <v>34.304625786744019</v>
      </c>
    </row>
    <row r="20" spans="1:52" ht="15" customHeight="1">
      <c r="A20" s="334" t="s">
        <v>717</v>
      </c>
      <c r="B20" s="93"/>
      <c r="C20" s="93"/>
      <c r="D20" s="93"/>
      <c r="E20" s="93"/>
      <c r="F20" s="93"/>
      <c r="G20" s="93"/>
      <c r="H20" s="93"/>
      <c r="I20" s="93"/>
      <c r="J20" s="93"/>
      <c r="K20" s="93"/>
      <c r="L20" s="93"/>
      <c r="M20" s="93"/>
      <c r="N20" s="93"/>
      <c r="O20" s="93"/>
      <c r="P20" s="93"/>
      <c r="Q20" s="93"/>
      <c r="R20" s="93"/>
      <c r="S20" s="93"/>
      <c r="T20" s="93"/>
      <c r="U20" s="93"/>
      <c r="V20" s="245">
        <v>3.0000000000000001E-3</v>
      </c>
      <c r="W20" s="247">
        <f t="shared" ref="W20:AZ20" si="10">V20</f>
        <v>3.0000000000000001E-3</v>
      </c>
      <c r="X20" s="247">
        <f t="shared" si="10"/>
        <v>3.0000000000000001E-3</v>
      </c>
      <c r="Y20" s="247">
        <f t="shared" si="10"/>
        <v>3.0000000000000001E-3</v>
      </c>
      <c r="Z20" s="247">
        <f t="shared" si="10"/>
        <v>3.0000000000000001E-3</v>
      </c>
      <c r="AA20" s="247">
        <f t="shared" si="10"/>
        <v>3.0000000000000001E-3</v>
      </c>
      <c r="AB20" s="247">
        <f t="shared" si="10"/>
        <v>3.0000000000000001E-3</v>
      </c>
      <c r="AC20" s="247">
        <f t="shared" si="10"/>
        <v>3.0000000000000001E-3</v>
      </c>
      <c r="AD20" s="247">
        <f t="shared" si="10"/>
        <v>3.0000000000000001E-3</v>
      </c>
      <c r="AE20" s="247">
        <f t="shared" si="10"/>
        <v>3.0000000000000001E-3</v>
      </c>
      <c r="AF20" s="247">
        <f t="shared" si="10"/>
        <v>3.0000000000000001E-3</v>
      </c>
      <c r="AG20" s="247">
        <f t="shared" si="10"/>
        <v>3.0000000000000001E-3</v>
      </c>
      <c r="AH20" s="247">
        <f t="shared" si="10"/>
        <v>3.0000000000000001E-3</v>
      </c>
      <c r="AI20" s="247">
        <f t="shared" si="10"/>
        <v>3.0000000000000001E-3</v>
      </c>
      <c r="AJ20" s="247">
        <f t="shared" si="10"/>
        <v>3.0000000000000001E-3</v>
      </c>
      <c r="AK20" s="247">
        <f t="shared" si="10"/>
        <v>3.0000000000000001E-3</v>
      </c>
      <c r="AL20" s="247">
        <f t="shared" si="10"/>
        <v>3.0000000000000001E-3</v>
      </c>
      <c r="AM20" s="247">
        <f t="shared" si="10"/>
        <v>3.0000000000000001E-3</v>
      </c>
      <c r="AN20" s="247">
        <f t="shared" si="10"/>
        <v>3.0000000000000001E-3</v>
      </c>
      <c r="AO20" s="247">
        <f t="shared" si="10"/>
        <v>3.0000000000000001E-3</v>
      </c>
      <c r="AP20" s="247">
        <f t="shared" si="10"/>
        <v>3.0000000000000001E-3</v>
      </c>
      <c r="AQ20" s="247">
        <f t="shared" si="10"/>
        <v>3.0000000000000001E-3</v>
      </c>
      <c r="AR20" s="247">
        <f t="shared" si="10"/>
        <v>3.0000000000000001E-3</v>
      </c>
      <c r="AS20" s="247">
        <f t="shared" si="10"/>
        <v>3.0000000000000001E-3</v>
      </c>
      <c r="AT20" s="247">
        <f t="shared" si="10"/>
        <v>3.0000000000000001E-3</v>
      </c>
      <c r="AU20" s="247">
        <f t="shared" si="10"/>
        <v>3.0000000000000001E-3</v>
      </c>
      <c r="AV20" s="247">
        <f t="shared" si="10"/>
        <v>3.0000000000000001E-3</v>
      </c>
      <c r="AW20" s="247">
        <f t="shared" si="10"/>
        <v>3.0000000000000001E-3</v>
      </c>
      <c r="AX20" s="247">
        <f t="shared" si="10"/>
        <v>3.0000000000000001E-3</v>
      </c>
      <c r="AY20" s="247">
        <f t="shared" si="10"/>
        <v>3.0000000000000001E-3</v>
      </c>
      <c r="AZ20" s="247">
        <f t="shared" si="10"/>
        <v>3.0000000000000001E-3</v>
      </c>
    </row>
    <row r="21" spans="1:52" ht="15" customHeight="1">
      <c r="A21" s="334" t="s">
        <v>718</v>
      </c>
      <c r="B21" s="93"/>
      <c r="C21" s="93"/>
      <c r="D21" s="93"/>
      <c r="E21" s="93"/>
      <c r="F21" s="93"/>
      <c r="G21" s="93"/>
      <c r="H21" s="93"/>
      <c r="I21" s="93"/>
      <c r="J21" s="93"/>
      <c r="K21" s="93"/>
      <c r="L21" s="93"/>
      <c r="M21" s="93"/>
      <c r="N21" s="93"/>
      <c r="O21" s="93"/>
      <c r="P21" s="93"/>
      <c r="Q21" s="93"/>
      <c r="R21" s="93"/>
      <c r="S21" s="93"/>
      <c r="T21" s="93"/>
      <c r="U21" s="93"/>
      <c r="V21" s="338">
        <v>9.75</v>
      </c>
      <c r="W21" s="94">
        <f t="shared" ref="W21:AE21" si="11">V21-($V$21-$AF$21)/10</f>
        <v>9.6950000000000003</v>
      </c>
      <c r="X21" s="94">
        <f t="shared" si="11"/>
        <v>9.64</v>
      </c>
      <c r="Y21" s="94">
        <f t="shared" si="11"/>
        <v>9.5850000000000009</v>
      </c>
      <c r="Z21" s="94">
        <f t="shared" si="11"/>
        <v>9.5300000000000011</v>
      </c>
      <c r="AA21" s="94">
        <f t="shared" si="11"/>
        <v>9.4750000000000014</v>
      </c>
      <c r="AB21" s="94">
        <f t="shared" si="11"/>
        <v>9.4200000000000017</v>
      </c>
      <c r="AC21" s="94">
        <f t="shared" si="11"/>
        <v>9.365000000000002</v>
      </c>
      <c r="AD21" s="94">
        <f t="shared" si="11"/>
        <v>9.3100000000000023</v>
      </c>
      <c r="AE21" s="94">
        <f t="shared" si="11"/>
        <v>9.2550000000000026</v>
      </c>
      <c r="AF21" s="88">
        <v>9.1999999999999993</v>
      </c>
      <c r="AG21" s="88">
        <f t="shared" ref="AG21:AZ21" si="12">AF21</f>
        <v>9.1999999999999993</v>
      </c>
      <c r="AH21" s="88">
        <f t="shared" si="12"/>
        <v>9.1999999999999993</v>
      </c>
      <c r="AI21" s="88">
        <f t="shared" si="12"/>
        <v>9.1999999999999993</v>
      </c>
      <c r="AJ21" s="88">
        <f t="shared" si="12"/>
        <v>9.1999999999999993</v>
      </c>
      <c r="AK21" s="88">
        <f t="shared" si="12"/>
        <v>9.1999999999999993</v>
      </c>
      <c r="AL21" s="88">
        <f t="shared" si="12"/>
        <v>9.1999999999999993</v>
      </c>
      <c r="AM21" s="88">
        <f t="shared" si="12"/>
        <v>9.1999999999999993</v>
      </c>
      <c r="AN21" s="88">
        <f t="shared" si="12"/>
        <v>9.1999999999999993</v>
      </c>
      <c r="AO21" s="88">
        <f t="shared" si="12"/>
        <v>9.1999999999999993</v>
      </c>
      <c r="AP21" s="88">
        <f t="shared" si="12"/>
        <v>9.1999999999999993</v>
      </c>
      <c r="AQ21" s="88">
        <f t="shared" si="12"/>
        <v>9.1999999999999993</v>
      </c>
      <c r="AR21" s="88">
        <f t="shared" si="12"/>
        <v>9.1999999999999993</v>
      </c>
      <c r="AS21" s="88">
        <f t="shared" si="12"/>
        <v>9.1999999999999993</v>
      </c>
      <c r="AT21" s="88">
        <f t="shared" si="12"/>
        <v>9.1999999999999993</v>
      </c>
      <c r="AU21" s="88">
        <f t="shared" si="12"/>
        <v>9.1999999999999993</v>
      </c>
      <c r="AV21" s="88">
        <f t="shared" si="12"/>
        <v>9.1999999999999993</v>
      </c>
      <c r="AW21" s="88">
        <f t="shared" si="12"/>
        <v>9.1999999999999993</v>
      </c>
      <c r="AX21" s="88">
        <f t="shared" si="12"/>
        <v>9.1999999999999993</v>
      </c>
      <c r="AY21" s="88">
        <f t="shared" si="12"/>
        <v>9.1999999999999993</v>
      </c>
      <c r="AZ21" s="88">
        <f t="shared" si="12"/>
        <v>9.1999999999999993</v>
      </c>
    </row>
    <row r="22" spans="1:52" ht="15" customHeight="1">
      <c r="A22" s="334" t="s">
        <v>720</v>
      </c>
      <c r="B22" s="93"/>
      <c r="C22" s="93"/>
      <c r="D22" s="93"/>
      <c r="E22" s="93"/>
      <c r="F22" s="93"/>
      <c r="G22" s="93"/>
      <c r="H22" s="93"/>
      <c r="I22" s="93"/>
      <c r="J22" s="93"/>
      <c r="K22" s="93"/>
      <c r="L22" s="93"/>
      <c r="M22" s="93"/>
      <c r="N22" s="93"/>
      <c r="O22" s="93"/>
      <c r="P22" s="93"/>
      <c r="Q22" s="93"/>
      <c r="R22" s="93"/>
      <c r="S22" s="93"/>
      <c r="T22" s="93"/>
      <c r="U22" s="93"/>
      <c r="V22" s="97">
        <f t="shared" ref="V22:AZ22" si="13">V44*V21</f>
        <v>23.395602749999998</v>
      </c>
      <c r="W22" s="91">
        <f t="shared" si="13"/>
        <v>23.897350925000001</v>
      </c>
      <c r="X22" s="91">
        <f t="shared" si="13"/>
        <v>24.223083519999999</v>
      </c>
      <c r="Y22" s="91">
        <f t="shared" si="13"/>
        <v>24.772605030000005</v>
      </c>
      <c r="Z22" s="91">
        <f t="shared" si="13"/>
        <v>25.503299710000004</v>
      </c>
      <c r="AA22" s="91">
        <f t="shared" si="13"/>
        <v>26.129662300000003</v>
      </c>
      <c r="AB22" s="91">
        <f t="shared" si="13"/>
        <v>26.646052560000005</v>
      </c>
      <c r="AC22" s="91">
        <f t="shared" si="13"/>
        <v>27.142897910000009</v>
      </c>
      <c r="AD22" s="91">
        <f t="shared" si="13"/>
        <v>27.580698110000007</v>
      </c>
      <c r="AE22" s="91">
        <f t="shared" si="13"/>
        <v>28.089119355000008</v>
      </c>
      <c r="AF22" s="91">
        <f t="shared" si="13"/>
        <v>28.636536399999997</v>
      </c>
      <c r="AG22" s="91">
        <f t="shared" si="13"/>
        <v>29.303941199999997</v>
      </c>
      <c r="AH22" s="91">
        <f t="shared" si="13"/>
        <v>29.994023999999996</v>
      </c>
      <c r="AI22" s="91">
        <f t="shared" si="13"/>
        <v>30.808536799999999</v>
      </c>
      <c r="AJ22" s="91">
        <f t="shared" si="13"/>
        <v>31.620611599999997</v>
      </c>
      <c r="AK22" s="91">
        <f t="shared" si="13"/>
        <v>32.545321999999999</v>
      </c>
      <c r="AL22" s="91">
        <f t="shared" si="13"/>
        <v>33.448292799999997</v>
      </c>
      <c r="AM22" s="91">
        <f t="shared" si="13"/>
        <v>34.438810799999999</v>
      </c>
      <c r="AN22" s="91">
        <f t="shared" si="13"/>
        <v>35.396079999999998</v>
      </c>
      <c r="AO22" s="91">
        <f t="shared" si="13"/>
        <v>36.456977999999999</v>
      </c>
      <c r="AP22" s="91">
        <f t="shared" si="13"/>
        <v>37.395589600000001</v>
      </c>
      <c r="AQ22" s="91">
        <f t="shared" si="13"/>
        <v>38.4128428</v>
      </c>
      <c r="AR22" s="91">
        <f t="shared" si="13"/>
        <v>39.436655599999995</v>
      </c>
      <c r="AS22" s="91">
        <f t="shared" si="13"/>
        <v>40.460146399999992</v>
      </c>
      <c r="AT22" s="91">
        <f t="shared" si="13"/>
        <v>41.538211599999997</v>
      </c>
      <c r="AU22" s="91">
        <f t="shared" si="13"/>
        <v>42.614740400000002</v>
      </c>
      <c r="AV22" s="91">
        <f t="shared" si="13"/>
        <v>43.7539856</v>
      </c>
      <c r="AW22" s="91">
        <f t="shared" si="13"/>
        <v>44.895558399999999</v>
      </c>
      <c r="AX22" s="91">
        <f t="shared" si="13"/>
        <v>46.083535999999995</v>
      </c>
      <c r="AY22" s="91">
        <f t="shared" si="13"/>
        <v>47.409761999999994</v>
      </c>
      <c r="AZ22" s="91">
        <f t="shared" si="13"/>
        <v>48.702426399999993</v>
      </c>
    </row>
    <row r="23" spans="1:52" ht="15" customHeight="1">
      <c r="A23" s="334" t="s">
        <v>721</v>
      </c>
      <c r="B23" s="93"/>
      <c r="C23" s="93"/>
      <c r="D23" s="93"/>
      <c r="E23" s="93"/>
      <c r="F23" s="93"/>
      <c r="G23" s="93"/>
      <c r="H23" s="93"/>
      <c r="I23" s="93"/>
      <c r="J23" s="93"/>
      <c r="K23" s="93"/>
      <c r="L23" s="93"/>
      <c r="M23" s="93"/>
      <c r="N23" s="93"/>
      <c r="O23" s="93"/>
      <c r="P23" s="93"/>
      <c r="Q23" s="93"/>
      <c r="R23" s="93"/>
      <c r="S23" s="93"/>
      <c r="T23" s="93"/>
      <c r="U23" s="93"/>
      <c r="V23" s="97"/>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row>
    <row r="24" spans="1:52" ht="15" customHeight="1">
      <c r="A24" s="340" t="s">
        <v>722</v>
      </c>
      <c r="B24" s="105">
        <f t="shared" ref="B24:U24" si="14">C24/(1+C45-B27)</f>
        <v>17326.83907874758</v>
      </c>
      <c r="C24" s="105">
        <f t="shared" si="14"/>
        <v>17647.385601704409</v>
      </c>
      <c r="D24" s="105">
        <f t="shared" si="14"/>
        <v>17973.862235335939</v>
      </c>
      <c r="E24" s="105">
        <f t="shared" si="14"/>
        <v>18306.378686689652</v>
      </c>
      <c r="F24" s="105">
        <f t="shared" si="14"/>
        <v>18645.046692393411</v>
      </c>
      <c r="G24" s="105">
        <f t="shared" si="14"/>
        <v>18989.980056202687</v>
      </c>
      <c r="H24" s="105">
        <f t="shared" si="14"/>
        <v>19341.294687242436</v>
      </c>
      <c r="I24" s="105">
        <f t="shared" si="14"/>
        <v>19699.108638956419</v>
      </c>
      <c r="J24" s="105">
        <f t="shared" si="14"/>
        <v>20063.542148777113</v>
      </c>
      <c r="K24" s="105">
        <f t="shared" si="14"/>
        <v>20434.717678529487</v>
      </c>
      <c r="L24" s="105">
        <f t="shared" si="14"/>
        <v>20812.759955582282</v>
      </c>
      <c r="M24" s="105">
        <f t="shared" si="14"/>
        <v>21197.796014760552</v>
      </c>
      <c r="N24" s="105">
        <f t="shared" si="14"/>
        <v>21589.955241033622</v>
      </c>
      <c r="O24" s="105">
        <f t="shared" si="14"/>
        <v>21989.369412992743</v>
      </c>
      <c r="P24" s="105">
        <f t="shared" si="14"/>
        <v>22396.172747133107</v>
      </c>
      <c r="Q24" s="105">
        <f t="shared" si="14"/>
        <v>22810.50194295507</v>
      </c>
      <c r="R24" s="105">
        <f t="shared" si="14"/>
        <v>23232.496228899738</v>
      </c>
      <c r="S24" s="105">
        <f t="shared" si="14"/>
        <v>23662.297409134382</v>
      </c>
      <c r="T24" s="105">
        <f t="shared" si="14"/>
        <v>24100.049911203369</v>
      </c>
      <c r="U24" s="105">
        <f t="shared" si="14"/>
        <v>24545.900834560631</v>
      </c>
      <c r="V24" s="329">
        <v>25000</v>
      </c>
      <c r="W24" s="105">
        <f t="shared" ref="W24:AZ24" si="15">V24*(1+V45-V27)</f>
        <v>25462.5</v>
      </c>
      <c r="X24" s="105">
        <f t="shared" si="15"/>
        <v>25933.556249999998</v>
      </c>
      <c r="Y24" s="105">
        <f t="shared" si="15"/>
        <v>26413.327040624998</v>
      </c>
      <c r="Z24" s="105">
        <f t="shared" si="15"/>
        <v>26901.973590876558</v>
      </c>
      <c r="AA24" s="105">
        <f t="shared" si="15"/>
        <v>27399.660102307775</v>
      </c>
      <c r="AB24" s="105">
        <f t="shared" si="15"/>
        <v>27906.553814200466</v>
      </c>
      <c r="AC24" s="105">
        <f t="shared" si="15"/>
        <v>28422.825059763174</v>
      </c>
      <c r="AD24" s="105">
        <f t="shared" si="15"/>
        <v>28948.64732336879</v>
      </c>
      <c r="AE24" s="105">
        <f t="shared" si="15"/>
        <v>29484.197298851112</v>
      </c>
      <c r="AF24" s="105">
        <f t="shared" si="15"/>
        <v>30029.654948879856</v>
      </c>
      <c r="AG24" s="105">
        <f t="shared" si="15"/>
        <v>30585.203565434131</v>
      </c>
      <c r="AH24" s="105">
        <f t="shared" si="15"/>
        <v>31151.029831394662</v>
      </c>
      <c r="AI24" s="105">
        <f t="shared" si="15"/>
        <v>31727.323883275461</v>
      </c>
      <c r="AJ24" s="105">
        <f t="shared" si="15"/>
        <v>32314.279375116057</v>
      </c>
      <c r="AK24" s="105">
        <f t="shared" si="15"/>
        <v>32912.093543555704</v>
      </c>
      <c r="AL24" s="105">
        <f t="shared" si="15"/>
        <v>33520.967274111485</v>
      </c>
      <c r="AM24" s="105">
        <f t="shared" si="15"/>
        <v>34141.105168682545</v>
      </c>
      <c r="AN24" s="105">
        <f t="shared" si="15"/>
        <v>34772.715614303168</v>
      </c>
      <c r="AO24" s="105">
        <f t="shared" si="15"/>
        <v>35416.010853167776</v>
      </c>
      <c r="AP24" s="105">
        <f t="shared" si="15"/>
        <v>36071.207053951381</v>
      </c>
      <c r="AQ24" s="105">
        <f t="shared" si="15"/>
        <v>36738.524384449476</v>
      </c>
      <c r="AR24" s="105">
        <f t="shared" si="15"/>
        <v>37418.187085561789</v>
      </c>
      <c r="AS24" s="105">
        <f t="shared" si="15"/>
        <v>38110.423546644677</v>
      </c>
      <c r="AT24" s="105">
        <f t="shared" si="15"/>
        <v>38815.466382257604</v>
      </c>
      <c r="AU24" s="105">
        <f t="shared" si="15"/>
        <v>39533.552510329369</v>
      </c>
      <c r="AV24" s="105">
        <f t="shared" si="15"/>
        <v>40264.923231770459</v>
      </c>
      <c r="AW24" s="105">
        <f t="shared" si="15"/>
        <v>41009.824311558208</v>
      </c>
      <c r="AX24" s="105">
        <f t="shared" si="15"/>
        <v>41768.506061322034</v>
      </c>
      <c r="AY24" s="105">
        <f t="shared" si="15"/>
        <v>42541.223423456489</v>
      </c>
      <c r="AZ24" s="105">
        <f t="shared" si="15"/>
        <v>43328.236056790432</v>
      </c>
    </row>
    <row r="25" spans="1:52" ht="15" customHeight="1">
      <c r="A25" s="340" t="s">
        <v>726</v>
      </c>
      <c r="B25" s="91">
        <f t="shared" ref="B25:U25" si="16">C25/(1+C45-B27)</f>
        <v>3.8119045973244665</v>
      </c>
      <c r="C25" s="91">
        <f t="shared" si="16"/>
        <v>3.8824248323749688</v>
      </c>
      <c r="D25" s="91">
        <f t="shared" si="16"/>
        <v>3.9542496917739056</v>
      </c>
      <c r="E25" s="91">
        <f t="shared" si="16"/>
        <v>4.0274033110717227</v>
      </c>
      <c r="F25" s="91">
        <f t="shared" si="16"/>
        <v>4.101910272326549</v>
      </c>
      <c r="G25" s="91">
        <f t="shared" si="16"/>
        <v>4.1777956123645899</v>
      </c>
      <c r="H25" s="91">
        <f t="shared" si="16"/>
        <v>4.2550848311933347</v>
      </c>
      <c r="I25" s="91">
        <f t="shared" si="16"/>
        <v>4.3338039005704116</v>
      </c>
      <c r="J25" s="91">
        <f t="shared" si="16"/>
        <v>4.4139792727309644</v>
      </c>
      <c r="K25" s="91">
        <f t="shared" si="16"/>
        <v>4.4956378892764874</v>
      </c>
      <c r="L25" s="91">
        <f t="shared" si="16"/>
        <v>4.578807190228102</v>
      </c>
      <c r="M25" s="91">
        <f t="shared" si="16"/>
        <v>4.663515123247322</v>
      </c>
      <c r="N25" s="91">
        <f t="shared" si="16"/>
        <v>4.7497901530273969</v>
      </c>
      <c r="O25" s="91">
        <f t="shared" si="16"/>
        <v>4.8376612708584039</v>
      </c>
      <c r="P25" s="91">
        <f t="shared" si="16"/>
        <v>4.927158004369284</v>
      </c>
      <c r="Q25" s="91">
        <f t="shared" si="16"/>
        <v>5.0183104274501158</v>
      </c>
      <c r="R25" s="91">
        <f t="shared" si="16"/>
        <v>5.111149170357943</v>
      </c>
      <c r="S25" s="91">
        <f t="shared" si="16"/>
        <v>5.2057054300095649</v>
      </c>
      <c r="T25" s="91">
        <f t="shared" si="16"/>
        <v>5.3020109804647415</v>
      </c>
      <c r="U25" s="91">
        <f t="shared" si="16"/>
        <v>5.4000981836033386</v>
      </c>
      <c r="V25" s="97">
        <v>5.5</v>
      </c>
      <c r="W25" s="91">
        <f t="shared" ref="W25:AZ25" si="17">V25*(1+V45-V27)</f>
        <v>5.60175</v>
      </c>
      <c r="X25" s="91">
        <f t="shared" si="17"/>
        <v>5.7053823750000001</v>
      </c>
      <c r="Y25" s="91">
        <f t="shared" si="17"/>
        <v>5.8109319489375002</v>
      </c>
      <c r="Z25" s="91">
        <f t="shared" si="17"/>
        <v>5.9184341899928441</v>
      </c>
      <c r="AA25" s="91">
        <f t="shared" si="17"/>
        <v>6.0279252225077116</v>
      </c>
      <c r="AB25" s="91">
        <f t="shared" si="17"/>
        <v>6.1394418391241041</v>
      </c>
      <c r="AC25" s="91">
        <f t="shared" si="17"/>
        <v>6.2530215131478997</v>
      </c>
      <c r="AD25" s="91">
        <f t="shared" si="17"/>
        <v>6.3687024111411352</v>
      </c>
      <c r="AE25" s="91">
        <f t="shared" si="17"/>
        <v>6.4865234057472456</v>
      </c>
      <c r="AF25" s="91">
        <f t="shared" si="17"/>
        <v>6.6065240887535692</v>
      </c>
      <c r="AG25" s="91">
        <f t="shared" si="17"/>
        <v>6.7287447843955102</v>
      </c>
      <c r="AH25" s="91">
        <f t="shared" si="17"/>
        <v>6.8532265629068272</v>
      </c>
      <c r="AI25" s="91">
        <f t="shared" si="17"/>
        <v>6.980011254320603</v>
      </c>
      <c r="AJ25" s="91">
        <f t="shared" si="17"/>
        <v>7.1091414625255336</v>
      </c>
      <c r="AK25" s="91">
        <f t="shared" si="17"/>
        <v>7.2406605795822561</v>
      </c>
      <c r="AL25" s="91">
        <f t="shared" si="17"/>
        <v>7.3746128003045275</v>
      </c>
      <c r="AM25" s="91">
        <f t="shared" si="17"/>
        <v>7.5110431371101614</v>
      </c>
      <c r="AN25" s="91">
        <f t="shared" si="17"/>
        <v>7.6499974351466991</v>
      </c>
      <c r="AO25" s="91">
        <f t="shared" si="17"/>
        <v>7.7915223876969124</v>
      </c>
      <c r="AP25" s="91">
        <f t="shared" si="17"/>
        <v>7.9356655518693051</v>
      </c>
      <c r="AQ25" s="91">
        <f t="shared" si="17"/>
        <v>8.0824753645788867</v>
      </c>
      <c r="AR25" s="91">
        <f t="shared" si="17"/>
        <v>8.2320011588235964</v>
      </c>
      <c r="AS25" s="91">
        <f t="shared" si="17"/>
        <v>8.3842931802618335</v>
      </c>
      <c r="AT25" s="91">
        <f t="shared" si="17"/>
        <v>8.5394026040966775</v>
      </c>
      <c r="AU25" s="91">
        <f t="shared" si="17"/>
        <v>8.697381552272466</v>
      </c>
      <c r="AV25" s="91">
        <f t="shared" si="17"/>
        <v>8.8582831109895057</v>
      </c>
      <c r="AW25" s="91">
        <f t="shared" si="17"/>
        <v>9.0221613485428112</v>
      </c>
      <c r="AX25" s="91">
        <f t="shared" si="17"/>
        <v>9.1890713334908529</v>
      </c>
      <c r="AY25" s="91">
        <f t="shared" si="17"/>
        <v>9.3590691531604335</v>
      </c>
      <c r="AZ25" s="91">
        <f t="shared" si="17"/>
        <v>9.532211932493901</v>
      </c>
    </row>
    <row r="26" spans="1:52" ht="15" customHeight="1">
      <c r="A26" s="340" t="s">
        <v>728</v>
      </c>
      <c r="B26" s="93"/>
      <c r="C26" s="93"/>
      <c r="D26" s="93"/>
      <c r="E26" s="93"/>
      <c r="F26" s="93"/>
      <c r="G26" s="93"/>
      <c r="H26" s="93"/>
      <c r="I26" s="93"/>
      <c r="J26" s="93"/>
      <c r="K26" s="93"/>
      <c r="L26" s="93"/>
      <c r="M26" s="93"/>
      <c r="N26" s="93"/>
      <c r="O26" s="93"/>
      <c r="P26" s="93"/>
      <c r="Q26" s="93"/>
      <c r="R26" s="93"/>
      <c r="S26" s="93"/>
      <c r="T26" s="93"/>
      <c r="U26" s="93"/>
      <c r="V26" s="97">
        <f>V24*Model!W8/(V14*Model!W8*8760)+V25</f>
        <v>10.280150753768845</v>
      </c>
      <c r="W26" s="91">
        <f t="shared" ref="W26:AZ26" si="18">V26*(1+V45-V27)</f>
        <v>10.470333542713568</v>
      </c>
      <c r="X26" s="91">
        <f t="shared" si="18"/>
        <v>10.66403471325377</v>
      </c>
      <c r="Y26" s="91">
        <f t="shared" si="18"/>
        <v>10.861319355448964</v>
      </c>
      <c r="Z26" s="91">
        <f t="shared" si="18"/>
        <v>11.062253763524771</v>
      </c>
      <c r="AA26" s="91">
        <f t="shared" si="18"/>
        <v>11.266905458149978</v>
      </c>
      <c r="AB26" s="91">
        <f t="shared" si="18"/>
        <v>11.475343209125752</v>
      </c>
      <c r="AC26" s="91">
        <f t="shared" si="18"/>
        <v>11.687637058494579</v>
      </c>
      <c r="AD26" s="91">
        <f t="shared" si="18"/>
        <v>11.903858344076728</v>
      </c>
      <c r="AE26" s="91">
        <f t="shared" si="18"/>
        <v>12.124079723442147</v>
      </c>
      <c r="AF26" s="91">
        <f t="shared" si="18"/>
        <v>12.348375198325826</v>
      </c>
      <c r="AG26" s="91">
        <f t="shared" si="18"/>
        <v>12.576820139494853</v>
      </c>
      <c r="AH26" s="91">
        <f t="shared" si="18"/>
        <v>12.809491312075506</v>
      </c>
      <c r="AI26" s="91">
        <f t="shared" si="18"/>
        <v>13.046466901348902</v>
      </c>
      <c r="AJ26" s="91">
        <f t="shared" si="18"/>
        <v>13.287826539023856</v>
      </c>
      <c r="AK26" s="91">
        <f t="shared" si="18"/>
        <v>13.533651329995797</v>
      </c>
      <c r="AL26" s="91">
        <f t="shared" si="18"/>
        <v>13.784023879600719</v>
      </c>
      <c r="AM26" s="91">
        <f t="shared" si="18"/>
        <v>14.039028321373332</v>
      </c>
      <c r="AN26" s="91">
        <f t="shared" si="18"/>
        <v>14.298750345318737</v>
      </c>
      <c r="AO26" s="91">
        <f t="shared" si="18"/>
        <v>14.563277226707132</v>
      </c>
      <c r="AP26" s="91">
        <f t="shared" si="18"/>
        <v>14.832697855401214</v>
      </c>
      <c r="AQ26" s="91">
        <f t="shared" si="18"/>
        <v>15.107102765726136</v>
      </c>
      <c r="AR26" s="91">
        <f t="shared" si="18"/>
        <v>15.386584166892069</v>
      </c>
      <c r="AS26" s="91">
        <f t="shared" si="18"/>
        <v>15.671235973979572</v>
      </c>
      <c r="AT26" s="91">
        <f t="shared" si="18"/>
        <v>15.961153839498193</v>
      </c>
      <c r="AU26" s="91">
        <f t="shared" si="18"/>
        <v>16.256435185528908</v>
      </c>
      <c r="AV26" s="91">
        <f t="shared" si="18"/>
        <v>16.557179236461192</v>
      </c>
      <c r="AW26" s="91">
        <f t="shared" si="18"/>
        <v>16.863487052335724</v>
      </c>
      <c r="AX26" s="91">
        <f t="shared" si="18"/>
        <v>17.175461562803935</v>
      </c>
      <c r="AY26" s="91">
        <f t="shared" si="18"/>
        <v>17.493207601715806</v>
      </c>
      <c r="AZ26" s="91">
        <f t="shared" si="18"/>
        <v>17.816831942347548</v>
      </c>
    </row>
    <row r="27" spans="1:52" ht="15" customHeight="1">
      <c r="A27" s="340" t="s">
        <v>731</v>
      </c>
      <c r="B27" s="341">
        <v>1.5E-3</v>
      </c>
      <c r="C27" s="341">
        <v>1.5E-3</v>
      </c>
      <c r="D27" s="341">
        <v>1.5E-3</v>
      </c>
      <c r="E27" s="341">
        <v>1.5E-3</v>
      </c>
      <c r="F27" s="341">
        <v>1.5E-3</v>
      </c>
      <c r="G27" s="341">
        <v>1.5E-3</v>
      </c>
      <c r="H27" s="341">
        <v>1.5E-3</v>
      </c>
      <c r="I27" s="341">
        <v>1.5E-3</v>
      </c>
      <c r="J27" s="341">
        <v>1.5E-3</v>
      </c>
      <c r="K27" s="341">
        <v>1.5E-3</v>
      </c>
      <c r="L27" s="341">
        <v>1.5E-3</v>
      </c>
      <c r="M27" s="341">
        <v>1.5E-3</v>
      </c>
      <c r="N27" s="341">
        <v>1.5E-3</v>
      </c>
      <c r="O27" s="341">
        <v>1.5E-3</v>
      </c>
      <c r="P27" s="341">
        <v>1.5E-3</v>
      </c>
      <c r="Q27" s="341">
        <v>1.5E-3</v>
      </c>
      <c r="R27" s="341">
        <v>1.5E-3</v>
      </c>
      <c r="S27" s="341">
        <v>1.5E-3</v>
      </c>
      <c r="T27" s="341">
        <v>1.5E-3</v>
      </c>
      <c r="U27" s="341">
        <v>1.5E-3</v>
      </c>
      <c r="V27" s="245">
        <v>1.5E-3</v>
      </c>
      <c r="W27" s="247">
        <f t="shared" ref="W27:AZ27" si="19">V27</f>
        <v>1.5E-3</v>
      </c>
      <c r="X27" s="247">
        <f t="shared" si="19"/>
        <v>1.5E-3</v>
      </c>
      <c r="Y27" s="247">
        <f t="shared" si="19"/>
        <v>1.5E-3</v>
      </c>
      <c r="Z27" s="247">
        <f t="shared" si="19"/>
        <v>1.5E-3</v>
      </c>
      <c r="AA27" s="247">
        <f t="shared" si="19"/>
        <v>1.5E-3</v>
      </c>
      <c r="AB27" s="247">
        <f t="shared" si="19"/>
        <v>1.5E-3</v>
      </c>
      <c r="AC27" s="247">
        <f t="shared" si="19"/>
        <v>1.5E-3</v>
      </c>
      <c r="AD27" s="247">
        <f t="shared" si="19"/>
        <v>1.5E-3</v>
      </c>
      <c r="AE27" s="247">
        <f t="shared" si="19"/>
        <v>1.5E-3</v>
      </c>
      <c r="AF27" s="247">
        <f t="shared" si="19"/>
        <v>1.5E-3</v>
      </c>
      <c r="AG27" s="247">
        <f t="shared" si="19"/>
        <v>1.5E-3</v>
      </c>
      <c r="AH27" s="247">
        <f t="shared" si="19"/>
        <v>1.5E-3</v>
      </c>
      <c r="AI27" s="247">
        <f t="shared" si="19"/>
        <v>1.5E-3</v>
      </c>
      <c r="AJ27" s="247">
        <f t="shared" si="19"/>
        <v>1.5E-3</v>
      </c>
      <c r="AK27" s="247">
        <f t="shared" si="19"/>
        <v>1.5E-3</v>
      </c>
      <c r="AL27" s="247">
        <f t="shared" si="19"/>
        <v>1.5E-3</v>
      </c>
      <c r="AM27" s="247">
        <f t="shared" si="19"/>
        <v>1.5E-3</v>
      </c>
      <c r="AN27" s="247">
        <f t="shared" si="19"/>
        <v>1.5E-3</v>
      </c>
      <c r="AO27" s="247">
        <f t="shared" si="19"/>
        <v>1.5E-3</v>
      </c>
      <c r="AP27" s="247">
        <f t="shared" si="19"/>
        <v>1.5E-3</v>
      </c>
      <c r="AQ27" s="247">
        <f t="shared" si="19"/>
        <v>1.5E-3</v>
      </c>
      <c r="AR27" s="247">
        <f t="shared" si="19"/>
        <v>1.5E-3</v>
      </c>
      <c r="AS27" s="247">
        <f t="shared" si="19"/>
        <v>1.5E-3</v>
      </c>
      <c r="AT27" s="247">
        <f t="shared" si="19"/>
        <v>1.5E-3</v>
      </c>
      <c r="AU27" s="247">
        <f t="shared" si="19"/>
        <v>1.5E-3</v>
      </c>
      <c r="AV27" s="247">
        <f t="shared" si="19"/>
        <v>1.5E-3</v>
      </c>
      <c r="AW27" s="247">
        <f t="shared" si="19"/>
        <v>1.5E-3</v>
      </c>
      <c r="AX27" s="247">
        <f t="shared" si="19"/>
        <v>1.5E-3</v>
      </c>
      <c r="AY27" s="247">
        <f t="shared" si="19"/>
        <v>1.5E-3</v>
      </c>
      <c r="AZ27" s="247">
        <f t="shared" si="19"/>
        <v>1.5E-3</v>
      </c>
    </row>
    <row r="28" spans="1:52" ht="15" customHeight="1">
      <c r="A28" s="340" t="s">
        <v>732</v>
      </c>
      <c r="B28" s="93"/>
      <c r="C28" s="93"/>
      <c r="D28" s="93"/>
      <c r="E28" s="93"/>
      <c r="F28" s="93"/>
      <c r="G28" s="93"/>
      <c r="H28" s="93"/>
      <c r="I28" s="93"/>
      <c r="J28" s="93"/>
      <c r="K28" s="93"/>
      <c r="L28" s="93"/>
      <c r="M28" s="93"/>
      <c r="N28" s="93"/>
      <c r="O28" s="93"/>
      <c r="P28" s="93"/>
      <c r="Q28" s="93"/>
      <c r="R28" s="93"/>
      <c r="S28" s="93"/>
      <c r="T28" s="93"/>
      <c r="U28" s="93"/>
      <c r="V28" s="338">
        <v>10.1</v>
      </c>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row>
    <row r="29" spans="1:52" ht="15" customHeight="1">
      <c r="A29" s="340" t="s">
        <v>733</v>
      </c>
      <c r="B29" s="342">
        <f t="shared" ref="B29:AZ29" si="20">B44*$V$28</f>
        <v>17.876999999999999</v>
      </c>
      <c r="C29" s="342">
        <f t="shared" si="20"/>
        <v>17.876999999999999</v>
      </c>
      <c r="D29" s="342">
        <f t="shared" si="20"/>
        <v>17.876999999999999</v>
      </c>
      <c r="E29" s="342">
        <f t="shared" si="20"/>
        <v>17.876999999999999</v>
      </c>
      <c r="F29" s="342">
        <f t="shared" si="20"/>
        <v>17.876999999999999</v>
      </c>
      <c r="G29" s="342">
        <f t="shared" si="20"/>
        <v>17.876999999999999</v>
      </c>
      <c r="H29" s="342">
        <f t="shared" si="20"/>
        <v>17.876999999999999</v>
      </c>
      <c r="I29" s="342">
        <f t="shared" si="20"/>
        <v>17.876999999999999</v>
      </c>
      <c r="J29" s="342">
        <f t="shared" si="20"/>
        <v>20.906999999999996</v>
      </c>
      <c r="K29" s="342">
        <f t="shared" si="20"/>
        <v>22.320999999999998</v>
      </c>
      <c r="L29" s="342">
        <f t="shared" si="20"/>
        <v>22.927</v>
      </c>
      <c r="M29" s="342">
        <f t="shared" si="20"/>
        <v>24.138999999999999</v>
      </c>
      <c r="N29" s="342">
        <f t="shared" si="20"/>
        <v>24.037999999999997</v>
      </c>
      <c r="O29" s="342">
        <f t="shared" si="20"/>
        <v>23.633999999999997</v>
      </c>
      <c r="P29" s="342">
        <f t="shared" si="20"/>
        <v>23.937000000000001</v>
      </c>
      <c r="Q29" s="342">
        <f t="shared" si="20"/>
        <v>22.422000000000001</v>
      </c>
      <c r="R29" s="342">
        <f t="shared" si="20"/>
        <v>21.310999999999996</v>
      </c>
      <c r="S29" s="342">
        <f t="shared" si="20"/>
        <v>20.806000000000001</v>
      </c>
      <c r="T29" s="342">
        <f t="shared" si="20"/>
        <v>20.806000000000001</v>
      </c>
      <c r="U29" s="342">
        <f t="shared" si="20"/>
        <v>20.806000000000001</v>
      </c>
      <c r="V29" s="97">
        <f t="shared" si="20"/>
        <v>24.235444899999997</v>
      </c>
      <c r="W29" s="342">
        <f t="shared" si="20"/>
        <v>24.8956415</v>
      </c>
      <c r="X29" s="342">
        <f t="shared" si="20"/>
        <v>25.378956799999997</v>
      </c>
      <c r="Y29" s="342">
        <f t="shared" si="20"/>
        <v>26.103631799999999</v>
      </c>
      <c r="Z29" s="342">
        <f t="shared" si="20"/>
        <v>27.028680699999999</v>
      </c>
      <c r="AA29" s="342">
        <f t="shared" si="20"/>
        <v>27.853254799999998</v>
      </c>
      <c r="AB29" s="342">
        <f t="shared" si="20"/>
        <v>28.569546799999998</v>
      </c>
      <c r="AC29" s="342">
        <f t="shared" si="20"/>
        <v>29.273173400000001</v>
      </c>
      <c r="AD29" s="342">
        <f t="shared" si="20"/>
        <v>29.9210581</v>
      </c>
      <c r="AE29" s="342">
        <f t="shared" si="20"/>
        <v>30.6537121</v>
      </c>
      <c r="AF29" s="342">
        <f t="shared" si="20"/>
        <v>31.437936699999998</v>
      </c>
      <c r="AG29" s="342">
        <f t="shared" si="20"/>
        <v>32.170631099999994</v>
      </c>
      <c r="AH29" s="342">
        <f t="shared" si="20"/>
        <v>32.928221999999998</v>
      </c>
      <c r="AI29" s="342">
        <f t="shared" si="20"/>
        <v>33.822415399999997</v>
      </c>
      <c r="AJ29" s="342">
        <f t="shared" si="20"/>
        <v>34.713932299999996</v>
      </c>
      <c r="AK29" s="342">
        <f t="shared" si="20"/>
        <v>35.729103500000001</v>
      </c>
      <c r="AL29" s="342">
        <f t="shared" si="20"/>
        <v>36.720408399999997</v>
      </c>
      <c r="AM29" s="342">
        <f t="shared" si="20"/>
        <v>37.8078249</v>
      </c>
      <c r="AN29" s="342">
        <f t="shared" si="20"/>
        <v>38.858739999999997</v>
      </c>
      <c r="AO29" s="342">
        <f t="shared" si="20"/>
        <v>40.023421499999998</v>
      </c>
      <c r="AP29" s="342">
        <f t="shared" si="20"/>
        <v>41.053853799999999</v>
      </c>
      <c r="AQ29" s="342">
        <f t="shared" si="20"/>
        <v>42.170620900000003</v>
      </c>
      <c r="AR29" s="342">
        <f t="shared" si="20"/>
        <v>43.294589299999998</v>
      </c>
      <c r="AS29" s="342">
        <f t="shared" si="20"/>
        <v>44.418204199999998</v>
      </c>
      <c r="AT29" s="342">
        <f t="shared" si="20"/>
        <v>45.601732300000002</v>
      </c>
      <c r="AU29" s="342">
        <f t="shared" si="20"/>
        <v>46.783573700000005</v>
      </c>
      <c r="AV29" s="342">
        <f t="shared" si="20"/>
        <v>48.034266800000005</v>
      </c>
      <c r="AW29" s="342">
        <f t="shared" si="20"/>
        <v>49.287515200000001</v>
      </c>
      <c r="AX29" s="342">
        <f t="shared" si="20"/>
        <v>50.591707999999997</v>
      </c>
      <c r="AY29" s="342">
        <f t="shared" si="20"/>
        <v>52.047673499999995</v>
      </c>
      <c r="AZ29" s="342">
        <f t="shared" si="20"/>
        <v>53.466794199999995</v>
      </c>
    </row>
    <row r="30" spans="1:52" ht="15" customHeight="1">
      <c r="A30" s="340" t="s">
        <v>736</v>
      </c>
      <c r="B30" s="93"/>
      <c r="C30" s="93"/>
      <c r="D30" s="93"/>
      <c r="E30" s="93"/>
      <c r="F30" s="93"/>
      <c r="G30" s="93"/>
      <c r="H30" s="93"/>
      <c r="I30" s="93"/>
      <c r="J30" s="93"/>
      <c r="K30" s="93"/>
      <c r="L30" s="93"/>
      <c r="M30" s="93"/>
      <c r="N30" s="93"/>
      <c r="O30" s="93"/>
      <c r="P30" s="93"/>
      <c r="Q30" s="93"/>
      <c r="R30" s="93"/>
      <c r="S30" s="93"/>
      <c r="T30" s="93"/>
      <c r="U30" s="93"/>
      <c r="V30" s="343">
        <v>0.74199999999999999</v>
      </c>
      <c r="W30" s="344">
        <f t="shared" ref="W30:AZ30" si="21">V30</f>
        <v>0.74199999999999999</v>
      </c>
      <c r="X30" s="344">
        <f t="shared" si="21"/>
        <v>0.74199999999999999</v>
      </c>
      <c r="Y30" s="344">
        <f t="shared" si="21"/>
        <v>0.74199999999999999</v>
      </c>
      <c r="Z30" s="344">
        <f t="shared" si="21"/>
        <v>0.74199999999999999</v>
      </c>
      <c r="AA30" s="344">
        <f t="shared" si="21"/>
        <v>0.74199999999999999</v>
      </c>
      <c r="AB30" s="344">
        <f t="shared" si="21"/>
        <v>0.74199999999999999</v>
      </c>
      <c r="AC30" s="344">
        <f t="shared" si="21"/>
        <v>0.74199999999999999</v>
      </c>
      <c r="AD30" s="344">
        <f t="shared" si="21"/>
        <v>0.74199999999999999</v>
      </c>
      <c r="AE30" s="344">
        <f t="shared" si="21"/>
        <v>0.74199999999999999</v>
      </c>
      <c r="AF30" s="344">
        <f t="shared" si="21"/>
        <v>0.74199999999999999</v>
      </c>
      <c r="AG30" s="344">
        <f t="shared" si="21"/>
        <v>0.74199999999999999</v>
      </c>
      <c r="AH30" s="344">
        <f t="shared" si="21"/>
        <v>0.74199999999999999</v>
      </c>
      <c r="AI30" s="344">
        <f t="shared" si="21"/>
        <v>0.74199999999999999</v>
      </c>
      <c r="AJ30" s="344">
        <f t="shared" si="21"/>
        <v>0.74199999999999999</v>
      </c>
      <c r="AK30" s="344">
        <f t="shared" si="21"/>
        <v>0.74199999999999999</v>
      </c>
      <c r="AL30" s="344">
        <f t="shared" si="21"/>
        <v>0.74199999999999999</v>
      </c>
      <c r="AM30" s="344">
        <f t="shared" si="21"/>
        <v>0.74199999999999999</v>
      </c>
      <c r="AN30" s="344">
        <f t="shared" si="21"/>
        <v>0.74199999999999999</v>
      </c>
      <c r="AO30" s="344">
        <f t="shared" si="21"/>
        <v>0.74199999999999999</v>
      </c>
      <c r="AP30" s="344">
        <f t="shared" si="21"/>
        <v>0.74199999999999999</v>
      </c>
      <c r="AQ30" s="344">
        <f t="shared" si="21"/>
        <v>0.74199999999999999</v>
      </c>
      <c r="AR30" s="344">
        <f t="shared" si="21"/>
        <v>0.74199999999999999</v>
      </c>
      <c r="AS30" s="344">
        <f t="shared" si="21"/>
        <v>0.74199999999999999</v>
      </c>
      <c r="AT30" s="344">
        <f t="shared" si="21"/>
        <v>0.74199999999999999</v>
      </c>
      <c r="AU30" s="344">
        <f t="shared" si="21"/>
        <v>0.74199999999999999</v>
      </c>
      <c r="AV30" s="344">
        <f t="shared" si="21"/>
        <v>0.74199999999999999</v>
      </c>
      <c r="AW30" s="344">
        <f t="shared" si="21"/>
        <v>0.74199999999999999</v>
      </c>
      <c r="AX30" s="344">
        <f t="shared" si="21"/>
        <v>0.74199999999999999</v>
      </c>
      <c r="AY30" s="344">
        <f t="shared" si="21"/>
        <v>0.74199999999999999</v>
      </c>
      <c r="AZ30" s="344">
        <f t="shared" si="21"/>
        <v>0.74199999999999999</v>
      </c>
    </row>
    <row r="31" spans="1:52" ht="15" customHeight="1">
      <c r="A31" s="93" t="s">
        <v>112</v>
      </c>
      <c r="B31" s="253">
        <v>0.35</v>
      </c>
      <c r="C31" s="253">
        <v>0.35</v>
      </c>
      <c r="D31" s="253">
        <v>0.35</v>
      </c>
      <c r="E31" s="253">
        <v>0.35</v>
      </c>
      <c r="F31" s="253">
        <v>0.35</v>
      </c>
      <c r="G31" s="253">
        <v>0.35</v>
      </c>
      <c r="H31" s="253">
        <v>0.35</v>
      </c>
      <c r="I31" s="253">
        <v>0.35</v>
      </c>
      <c r="J31" s="253">
        <v>0.35</v>
      </c>
      <c r="K31" s="253">
        <v>0.35</v>
      </c>
      <c r="L31" s="253">
        <v>0.35</v>
      </c>
      <c r="M31" s="253">
        <v>0.35</v>
      </c>
      <c r="N31" s="253">
        <v>0.35</v>
      </c>
      <c r="O31" s="253">
        <v>0.35</v>
      </c>
      <c r="P31" s="253">
        <v>0.35</v>
      </c>
      <c r="Q31" s="253">
        <v>0.35</v>
      </c>
      <c r="R31" s="253">
        <v>0.35</v>
      </c>
      <c r="S31" s="253">
        <v>0.35</v>
      </c>
      <c r="T31" s="253">
        <v>0.21</v>
      </c>
      <c r="U31" s="253">
        <v>0.21</v>
      </c>
      <c r="V31" s="254">
        <v>0.21</v>
      </c>
      <c r="W31" s="102">
        <f t="shared" ref="W31:AZ31" si="22">V31</f>
        <v>0.21</v>
      </c>
      <c r="X31" s="102">
        <f t="shared" si="22"/>
        <v>0.21</v>
      </c>
      <c r="Y31" s="102">
        <f t="shared" si="22"/>
        <v>0.21</v>
      </c>
      <c r="Z31" s="102">
        <f t="shared" si="22"/>
        <v>0.21</v>
      </c>
      <c r="AA31" s="102">
        <f t="shared" si="22"/>
        <v>0.21</v>
      </c>
      <c r="AB31" s="102">
        <f t="shared" si="22"/>
        <v>0.21</v>
      </c>
      <c r="AC31" s="102">
        <f t="shared" si="22"/>
        <v>0.21</v>
      </c>
      <c r="AD31" s="102">
        <f t="shared" si="22"/>
        <v>0.21</v>
      </c>
      <c r="AE31" s="102">
        <f t="shared" si="22"/>
        <v>0.21</v>
      </c>
      <c r="AF31" s="102">
        <f t="shared" si="22"/>
        <v>0.21</v>
      </c>
      <c r="AG31" s="102">
        <f t="shared" si="22"/>
        <v>0.21</v>
      </c>
      <c r="AH31" s="102">
        <f t="shared" si="22"/>
        <v>0.21</v>
      </c>
      <c r="AI31" s="102">
        <f t="shared" si="22"/>
        <v>0.21</v>
      </c>
      <c r="AJ31" s="102">
        <f t="shared" si="22"/>
        <v>0.21</v>
      </c>
      <c r="AK31" s="102">
        <f t="shared" si="22"/>
        <v>0.21</v>
      </c>
      <c r="AL31" s="102">
        <f t="shared" si="22"/>
        <v>0.21</v>
      </c>
      <c r="AM31" s="102">
        <f t="shared" si="22"/>
        <v>0.21</v>
      </c>
      <c r="AN31" s="102">
        <f t="shared" si="22"/>
        <v>0.21</v>
      </c>
      <c r="AO31" s="102">
        <f t="shared" si="22"/>
        <v>0.21</v>
      </c>
      <c r="AP31" s="102">
        <f t="shared" si="22"/>
        <v>0.21</v>
      </c>
      <c r="AQ31" s="102">
        <f t="shared" si="22"/>
        <v>0.21</v>
      </c>
      <c r="AR31" s="102">
        <f t="shared" si="22"/>
        <v>0.21</v>
      </c>
      <c r="AS31" s="102">
        <f t="shared" si="22"/>
        <v>0.21</v>
      </c>
      <c r="AT31" s="102">
        <f t="shared" si="22"/>
        <v>0.21</v>
      </c>
      <c r="AU31" s="102">
        <f t="shared" si="22"/>
        <v>0.21</v>
      </c>
      <c r="AV31" s="102">
        <f t="shared" si="22"/>
        <v>0.21</v>
      </c>
      <c r="AW31" s="102">
        <f t="shared" si="22"/>
        <v>0.21</v>
      </c>
      <c r="AX31" s="102">
        <f t="shared" si="22"/>
        <v>0.21</v>
      </c>
      <c r="AY31" s="102">
        <f t="shared" si="22"/>
        <v>0.21</v>
      </c>
      <c r="AZ31" s="102">
        <f t="shared" si="22"/>
        <v>0.21</v>
      </c>
    </row>
    <row r="32" spans="1:52" ht="15" customHeight="1">
      <c r="A32" s="93" t="s">
        <v>114</v>
      </c>
      <c r="B32" s="91">
        <f t="shared" ref="B32:U32" si="23">C32/(1+B45)</f>
        <v>0.54510677981752653</v>
      </c>
      <c r="C32" s="91">
        <f t="shared" si="23"/>
        <v>0.55600891541387709</v>
      </c>
      <c r="D32" s="91">
        <f t="shared" si="23"/>
        <v>0.56712909372215459</v>
      </c>
      <c r="E32" s="91">
        <f t="shared" si="23"/>
        <v>0.57847167559659773</v>
      </c>
      <c r="F32" s="91">
        <f t="shared" si="23"/>
        <v>0.59004110910852969</v>
      </c>
      <c r="G32" s="91">
        <f t="shared" si="23"/>
        <v>0.60184193129070029</v>
      </c>
      <c r="H32" s="91">
        <f t="shared" si="23"/>
        <v>0.61387876991651436</v>
      </c>
      <c r="I32" s="91">
        <f t="shared" si="23"/>
        <v>0.62615634531484465</v>
      </c>
      <c r="J32" s="91">
        <f t="shared" si="23"/>
        <v>0.63867947222114152</v>
      </c>
      <c r="K32" s="91">
        <f t="shared" si="23"/>
        <v>0.65145306166556438</v>
      </c>
      <c r="L32" s="91">
        <f t="shared" si="23"/>
        <v>0.66448212289887565</v>
      </c>
      <c r="M32" s="91">
        <f t="shared" si="23"/>
        <v>0.67777176535685313</v>
      </c>
      <c r="N32" s="91">
        <f t="shared" si="23"/>
        <v>0.69132720066399023</v>
      </c>
      <c r="O32" s="91">
        <f t="shared" si="23"/>
        <v>0.70515374467726999</v>
      </c>
      <c r="P32" s="91">
        <f t="shared" si="23"/>
        <v>0.71925681957081544</v>
      </c>
      <c r="Q32" s="91">
        <f t="shared" si="23"/>
        <v>0.73364195596223181</v>
      </c>
      <c r="R32" s="91">
        <f t="shared" si="23"/>
        <v>0.74831479508147647</v>
      </c>
      <c r="S32" s="91">
        <f t="shared" si="23"/>
        <v>0.76328109098310604</v>
      </c>
      <c r="T32" s="91">
        <f t="shared" si="23"/>
        <v>0.77854671280276821</v>
      </c>
      <c r="U32" s="91">
        <f t="shared" si="23"/>
        <v>0.79411764705882359</v>
      </c>
      <c r="V32" s="97">
        <v>0.81</v>
      </c>
      <c r="W32" s="91">
        <f t="shared" ref="W32:AZ32" si="24">V32*(1+V45)</f>
        <v>0.82620000000000005</v>
      </c>
      <c r="X32" s="91">
        <f t="shared" si="24"/>
        <v>0.84272400000000003</v>
      </c>
      <c r="Y32" s="91">
        <f t="shared" si="24"/>
        <v>0.85957848000000003</v>
      </c>
      <c r="Z32" s="91">
        <f t="shared" si="24"/>
        <v>0.87677004960000005</v>
      </c>
      <c r="AA32" s="91">
        <f t="shared" si="24"/>
        <v>0.89430545059200006</v>
      </c>
      <c r="AB32" s="91">
        <f t="shared" si="24"/>
        <v>0.91219155960384013</v>
      </c>
      <c r="AC32" s="91">
        <f t="shared" si="24"/>
        <v>0.93043539079591697</v>
      </c>
      <c r="AD32" s="91">
        <f t="shared" si="24"/>
        <v>0.94904409861183536</v>
      </c>
      <c r="AE32" s="91">
        <f t="shared" si="24"/>
        <v>0.96802498058407205</v>
      </c>
      <c r="AF32" s="91">
        <f t="shared" si="24"/>
        <v>0.98738548019575345</v>
      </c>
      <c r="AG32" s="91">
        <f t="shared" si="24"/>
        <v>1.0071331897996685</v>
      </c>
      <c r="AH32" s="91">
        <f t="shared" si="24"/>
        <v>1.0272758535956619</v>
      </c>
      <c r="AI32" s="91">
        <f t="shared" si="24"/>
        <v>1.0478213706675752</v>
      </c>
      <c r="AJ32" s="91">
        <f t="shared" si="24"/>
        <v>1.0687777980809268</v>
      </c>
      <c r="AK32" s="91">
        <f t="shared" si="24"/>
        <v>1.0901533540425454</v>
      </c>
      <c r="AL32" s="91">
        <f t="shared" si="24"/>
        <v>1.1119564211233963</v>
      </c>
      <c r="AM32" s="91">
        <f t="shared" si="24"/>
        <v>1.1341955495458642</v>
      </c>
      <c r="AN32" s="91">
        <f t="shared" si="24"/>
        <v>1.1568794605367816</v>
      </c>
      <c r="AO32" s="91">
        <f t="shared" si="24"/>
        <v>1.1800170497475173</v>
      </c>
      <c r="AP32" s="91">
        <f t="shared" si="24"/>
        <v>1.2036173907424677</v>
      </c>
      <c r="AQ32" s="91">
        <f t="shared" si="24"/>
        <v>1.2276897385573171</v>
      </c>
      <c r="AR32" s="91">
        <f t="shared" si="24"/>
        <v>1.2522435333284634</v>
      </c>
      <c r="AS32" s="91">
        <f t="shared" si="24"/>
        <v>1.2772884039950327</v>
      </c>
      <c r="AT32" s="91">
        <f t="shared" si="24"/>
        <v>1.3028341720749335</v>
      </c>
      <c r="AU32" s="91">
        <f t="shared" si="24"/>
        <v>1.328890855516432</v>
      </c>
      <c r="AV32" s="91">
        <f t="shared" si="24"/>
        <v>1.3554686726267606</v>
      </c>
      <c r="AW32" s="91">
        <f t="shared" si="24"/>
        <v>1.3825780460792958</v>
      </c>
      <c r="AX32" s="91">
        <f t="shared" si="24"/>
        <v>1.4102296070008817</v>
      </c>
      <c r="AY32" s="91">
        <f t="shared" si="24"/>
        <v>1.4384341991408993</v>
      </c>
      <c r="AZ32" s="91">
        <f t="shared" si="24"/>
        <v>1.4672028831237174</v>
      </c>
    </row>
    <row r="33" spans="1:53" ht="15" customHeight="1">
      <c r="A33" s="93" t="s">
        <v>116</v>
      </c>
      <c r="B33" s="93"/>
      <c r="C33" s="93"/>
      <c r="D33" s="93"/>
      <c r="E33" s="93"/>
      <c r="F33" s="93"/>
      <c r="G33" s="93"/>
      <c r="H33" s="93"/>
      <c r="I33" s="93"/>
      <c r="J33" s="93"/>
      <c r="K33" s="93"/>
      <c r="L33" s="93"/>
      <c r="M33" s="93"/>
      <c r="N33" s="93"/>
      <c r="O33" s="93"/>
      <c r="P33" s="93"/>
      <c r="Q33" s="93"/>
      <c r="R33" s="93"/>
      <c r="S33" s="93"/>
      <c r="T33" s="93"/>
      <c r="U33" s="93"/>
      <c r="V33" s="332">
        <v>50</v>
      </c>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row>
    <row r="34" spans="1:53" ht="15" customHeight="1">
      <c r="A34" s="93" t="s">
        <v>119</v>
      </c>
      <c r="B34" s="93"/>
      <c r="C34" s="93"/>
      <c r="D34" s="93"/>
      <c r="E34" s="93"/>
      <c r="F34" s="93"/>
      <c r="G34" s="93"/>
      <c r="H34" s="93"/>
      <c r="I34" s="93"/>
      <c r="J34" s="93"/>
      <c r="K34" s="93"/>
      <c r="L34" s="93"/>
      <c r="M34" s="93"/>
      <c r="N34" s="93"/>
      <c r="O34" s="93"/>
      <c r="P34" s="93"/>
      <c r="Q34" s="93"/>
      <c r="R34" s="93"/>
      <c r="S34" s="93"/>
      <c r="T34" s="93"/>
      <c r="U34" s="93"/>
      <c r="V34" s="332">
        <v>61</v>
      </c>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row>
    <row r="35" spans="1:53" ht="15" customHeight="1">
      <c r="A35" s="93" t="s">
        <v>121</v>
      </c>
      <c r="B35" s="93"/>
      <c r="C35" s="93"/>
      <c r="D35" s="93"/>
      <c r="E35" s="93"/>
      <c r="F35" s="93"/>
      <c r="G35" s="93"/>
      <c r="H35" s="93"/>
      <c r="I35" s="93"/>
      <c r="J35" s="93"/>
      <c r="K35" s="93"/>
      <c r="L35" s="93"/>
      <c r="M35" s="93"/>
      <c r="N35" s="93"/>
      <c r="O35" s="93"/>
      <c r="P35" s="93"/>
      <c r="Q35" s="93"/>
      <c r="R35" s="93"/>
      <c r="S35" s="93"/>
      <c r="T35" s="93"/>
      <c r="U35" s="93"/>
      <c r="V35" s="332">
        <v>47</v>
      </c>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row>
    <row r="36" spans="1:53" ht="15" customHeight="1">
      <c r="A36" s="93" t="s">
        <v>122</v>
      </c>
      <c r="B36" s="93"/>
      <c r="C36" s="93"/>
      <c r="D36" s="93"/>
      <c r="E36" s="93"/>
      <c r="F36" s="93"/>
      <c r="G36" s="93"/>
      <c r="H36" s="93"/>
      <c r="I36" s="93"/>
      <c r="J36" s="93"/>
      <c r="K36" s="93"/>
      <c r="L36" s="93"/>
      <c r="M36" s="93"/>
      <c r="N36" s="93"/>
      <c r="O36" s="93"/>
      <c r="P36" s="93"/>
      <c r="Q36" s="93"/>
      <c r="R36" s="93"/>
      <c r="S36" s="93"/>
      <c r="T36" s="93"/>
      <c r="U36" s="93"/>
      <c r="V36" s="332">
        <v>40</v>
      </c>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row>
    <row r="37" spans="1:53" ht="15" customHeight="1">
      <c r="A37" s="99" t="s">
        <v>123</v>
      </c>
      <c r="B37" s="99"/>
      <c r="C37" s="99"/>
      <c r="D37" s="99"/>
      <c r="E37" s="99"/>
      <c r="F37" s="99"/>
      <c r="G37" s="99"/>
      <c r="H37" s="99"/>
      <c r="I37" s="99"/>
      <c r="J37" s="99"/>
      <c r="K37" s="99"/>
      <c r="L37" s="99"/>
      <c r="M37" s="99"/>
      <c r="N37" s="99"/>
      <c r="O37" s="99"/>
      <c r="P37" s="99"/>
      <c r="Q37" s="99"/>
      <c r="R37" s="99"/>
      <c r="S37" s="99"/>
      <c r="T37" s="99"/>
      <c r="U37" s="99"/>
      <c r="V37" s="329">
        <v>1500000</v>
      </c>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row>
    <row r="38" spans="1:53" ht="15" customHeight="1">
      <c r="A38" s="93" t="s">
        <v>126</v>
      </c>
      <c r="B38" s="95">
        <f>'Inflation GDP Population'!B2</f>
        <v>96.994687004035995</v>
      </c>
      <c r="C38" s="95">
        <f>'Inflation GDP Population'!C2</f>
        <v>82.561802368421056</v>
      </c>
      <c r="D38" s="95">
        <f>'Inflation GDP Population'!D2</f>
        <v>92.422988832098127</v>
      </c>
      <c r="E38" s="95">
        <f>'Inflation GDP Population'!E2</f>
        <v>85.643902995324368</v>
      </c>
      <c r="F38" s="95">
        <f>'Inflation GDP Population'!F2</f>
        <v>81.324791570560762</v>
      </c>
      <c r="G38" s="95">
        <f>'Inflation GDP Population'!G2</f>
        <v>82.285051583593884</v>
      </c>
      <c r="H38" s="95">
        <f>'Inflation GDP Population'!H2</f>
        <v>73.132352371089056</v>
      </c>
      <c r="I38" s="95">
        <f>'Inflation GDP Population'!I2</f>
        <v>75.178349917306775</v>
      </c>
      <c r="J38" s="95">
        <f>'Inflation GDP Population'!J2</f>
        <v>77.566868947213194</v>
      </c>
      <c r="K38" s="95">
        <f>'Inflation GDP Population'!K2</f>
        <v>67.397054261131927</v>
      </c>
      <c r="L38" s="95">
        <f>'Inflation GDP Population'!L2</f>
        <v>69.359261305247756</v>
      </c>
      <c r="M38" s="95">
        <f>'Inflation GDP Population'!M2</f>
        <v>69.149647376821946</v>
      </c>
      <c r="N38" s="95">
        <f>'Inflation GDP Population'!N2</f>
        <v>66.077410694889281</v>
      </c>
      <c r="O38" s="95">
        <f>'Inflation GDP Population'!O2</f>
        <v>68.667649550254211</v>
      </c>
      <c r="P38" s="95">
        <f>'Inflation GDP Population'!P2</f>
        <v>67.613374485645934</v>
      </c>
      <c r="Q38" s="95">
        <f>'Inflation GDP Population'!Q2</f>
        <v>63.519292757444873</v>
      </c>
      <c r="R38" s="95">
        <f>'Inflation GDP Population'!R2</f>
        <v>65.2</v>
      </c>
      <c r="S38" s="95">
        <f>'Inflation GDP Population'!S2</f>
        <v>62.54</v>
      </c>
      <c r="T38" s="95">
        <f>'Inflation GDP Population'!T2</f>
        <v>62.8</v>
      </c>
      <c r="U38" s="95">
        <f>'Inflation GDP Population'!U2</f>
        <v>62.22</v>
      </c>
      <c r="V38" s="95">
        <f>'Inflation GDP Population'!V2</f>
        <v>63.245459999999994</v>
      </c>
      <c r="W38" s="95">
        <f>'Inflation GDP Population'!W2</f>
        <v>62.18788</v>
      </c>
      <c r="X38" s="95">
        <f>'Inflation GDP Population'!X2</f>
        <v>61.283909999999999</v>
      </c>
      <c r="Y38" s="95">
        <f>'Inflation GDP Population'!Y2</f>
        <v>60.782710000000002</v>
      </c>
      <c r="Z38" s="95">
        <f>'Inflation GDP Population'!Z2</f>
        <v>60.470050000000001</v>
      </c>
      <c r="AA38" s="95">
        <f>'Inflation GDP Population'!AA2</f>
        <v>60.726050000000001</v>
      </c>
      <c r="AB38" s="95">
        <f>'Inflation GDP Population'!AB2</f>
        <v>60.323509999999999</v>
      </c>
      <c r="AC38" s="95">
        <f>'Inflation GDP Population'!AC2</f>
        <v>60.154750000000007</v>
      </c>
      <c r="AD38" s="95">
        <f>'Inflation GDP Population'!AD2</f>
        <v>59.918579999999999</v>
      </c>
      <c r="AE38" s="95">
        <f>'Inflation GDP Population'!AE2</f>
        <v>59.74736</v>
      </c>
      <c r="AF38" s="95">
        <f>'Inflation GDP Population'!AF2</f>
        <v>59.571719999999999</v>
      </c>
      <c r="AG38" s="95">
        <f>'Inflation GDP Population'!AG2</f>
        <v>59.462200000000003</v>
      </c>
      <c r="AH38" s="95">
        <f>'Inflation GDP Population'!AH2</f>
        <v>59.098179999999999</v>
      </c>
      <c r="AI38" s="95">
        <f>'Inflation GDP Population'!AI2</f>
        <v>58.690709999999996</v>
      </c>
      <c r="AJ38" s="95">
        <f>'Inflation GDP Population'!AJ2</f>
        <v>58.279679999999999</v>
      </c>
      <c r="AK38" s="95">
        <f>'Inflation GDP Population'!AK2</f>
        <v>57.945390000000003</v>
      </c>
      <c r="AL38" s="95">
        <f>'Inflation GDP Population'!AL2</f>
        <v>57.822279999999999</v>
      </c>
      <c r="AM38" s="95">
        <f>'Inflation GDP Population'!AM2</f>
        <v>57.639300000000006</v>
      </c>
      <c r="AN38" s="95">
        <f>'Inflation GDP Population'!AN2</f>
        <v>57.618220000000008</v>
      </c>
      <c r="AO38" s="95">
        <f>'Inflation GDP Population'!AO2</f>
        <v>57.583159999999999</v>
      </c>
      <c r="AP38" s="95">
        <f>'Inflation GDP Population'!AP2</f>
        <v>57.428650000000005</v>
      </c>
      <c r="AQ38" s="95">
        <f>'Inflation GDP Population'!AQ2</f>
        <v>57.212560000000003</v>
      </c>
      <c r="AR38" s="95">
        <f>'Inflation GDP Population'!AR2</f>
        <v>56.957370000000004</v>
      </c>
      <c r="AS38" s="95">
        <f>'Inflation GDP Population'!AS2</f>
        <v>56.726020000000005</v>
      </c>
      <c r="AT38" s="95">
        <f>'Inflation GDP Population'!AT2</f>
        <v>56.532699999999998</v>
      </c>
      <c r="AU38" s="95">
        <f>'Inflation GDP Population'!AU2</f>
        <v>56.329940000000001</v>
      </c>
      <c r="AV38" s="95">
        <f>'Inflation GDP Population'!AV2</f>
        <v>56.008069999999996</v>
      </c>
      <c r="AW38" s="95">
        <f>'Inflation GDP Population'!AW2</f>
        <v>55.853279999999998</v>
      </c>
      <c r="AX38" s="95">
        <f>'Inflation GDP Population'!AX2</f>
        <v>56.44464</v>
      </c>
      <c r="AY38" s="95">
        <f>'Inflation GDP Population'!AY2</f>
        <v>56.523910000000001</v>
      </c>
      <c r="AZ38" s="95">
        <f>'Inflation GDP Population'!AZ2</f>
        <v>56.24409</v>
      </c>
    </row>
    <row r="39" spans="1:53" ht="15" customHeight="1">
      <c r="A39" s="93" t="s">
        <v>128</v>
      </c>
      <c r="B39" s="95">
        <f>'Inflation GDP Population'!B3</f>
        <v>66.936599999999999</v>
      </c>
      <c r="C39" s="95">
        <f>'Inflation GDP Population'!C3</f>
        <v>68.562700000000007</v>
      </c>
      <c r="D39" s="95">
        <f>'Inflation GDP Population'!D3</f>
        <v>61.9876</v>
      </c>
      <c r="E39" s="95">
        <f>'Inflation GDP Population'!E3</f>
        <v>75.349900000000005</v>
      </c>
      <c r="F39" s="95">
        <f>'Inflation GDP Population'!F3</f>
        <v>79.167699999999996</v>
      </c>
      <c r="G39" s="95">
        <f>'Inflation GDP Population'!G3</f>
        <v>95.852900000000005</v>
      </c>
      <c r="H39" s="95">
        <f>'Inflation GDP Population'!H3</f>
        <v>86.237700000000004</v>
      </c>
      <c r="I39" s="95">
        <f>'Inflation GDP Population'!I3</f>
        <v>87.651700000000005</v>
      </c>
      <c r="J39" s="95">
        <f>'Inflation GDP Population'!J3</f>
        <v>101.43819999999999</v>
      </c>
      <c r="K39" s="95">
        <f>'Inflation GDP Population'!K3</f>
        <v>70.825099999999992</v>
      </c>
      <c r="L39" s="95">
        <f>'Inflation GDP Population'!L3</f>
        <v>73.228899999999996</v>
      </c>
      <c r="M39" s="95">
        <f>'Inflation GDP Population'!M3</f>
        <v>70.542299999999997</v>
      </c>
      <c r="N39" s="95">
        <f>'Inflation GDP Population'!N3</f>
        <v>60.997799999999998</v>
      </c>
      <c r="O39" s="95">
        <f>'Inflation GDP Population'!O3</f>
        <v>67.714300000000009</v>
      </c>
      <c r="P39" s="95">
        <f>'Inflation GDP Population'!P3</f>
        <v>72.663299999999992</v>
      </c>
      <c r="Q39" s="95">
        <f>'Inflation GDP Population'!Q3</f>
        <v>59.866599999999998</v>
      </c>
      <c r="R39" s="95">
        <f>'Inflation GDP Population'!R3</f>
        <v>64.069999999999993</v>
      </c>
      <c r="S39" s="95">
        <f>'Inflation GDP Population'!S3</f>
        <v>62.54</v>
      </c>
      <c r="T39" s="95">
        <f>'Inflation GDP Population'!T3</f>
        <v>64.2</v>
      </c>
      <c r="U39" s="95">
        <f>'Inflation GDP Population'!U3</f>
        <v>65.09</v>
      </c>
      <c r="V39" s="95">
        <f>'Inflation GDP Population'!V3</f>
        <v>67.893280000000004</v>
      </c>
      <c r="W39" s="95">
        <f>'Inflation GDP Population'!W3</f>
        <v>68.408230000000003</v>
      </c>
      <c r="X39" s="95">
        <f>'Inflation GDP Population'!X3</f>
        <v>69.039839999999998</v>
      </c>
      <c r="Y39" s="95">
        <f>'Inflation GDP Population'!Y3</f>
        <v>70.165930000000003</v>
      </c>
      <c r="Z39" s="95">
        <f>'Inflation GDP Population'!Z3</f>
        <v>71.499539999999996</v>
      </c>
      <c r="AA39" s="95">
        <f>'Inflation GDP Population'!AA3</f>
        <v>73.516589999999994</v>
      </c>
      <c r="AB39" s="95">
        <f>'Inflation GDP Population'!AB3</f>
        <v>74.703620000000001</v>
      </c>
      <c r="AC39" s="95">
        <f>'Inflation GDP Population'!AC3</f>
        <v>76.171610000000001</v>
      </c>
      <c r="AD39" s="95">
        <f>'Inflation GDP Population'!AD3</f>
        <v>77.509479999999996</v>
      </c>
      <c r="AE39" s="95">
        <f>'Inflation GDP Population'!AE3</f>
        <v>78.937030000000007</v>
      </c>
      <c r="AF39" s="95">
        <f>'Inflation GDP Population'!AF3</f>
        <v>80.394760000000005</v>
      </c>
      <c r="AG39" s="95">
        <f>'Inflation GDP Population'!AG3</f>
        <v>81.999220000000008</v>
      </c>
      <c r="AH39" s="95">
        <f>'Inflation GDP Population'!AH3</f>
        <v>83.288150000000002</v>
      </c>
      <c r="AI39" s="95">
        <f>'Inflation GDP Population'!AI3</f>
        <v>84.552180000000007</v>
      </c>
      <c r="AJ39" s="95">
        <f>'Inflation GDP Population'!AJ3</f>
        <v>85.842559999999992</v>
      </c>
      <c r="AK39" s="95">
        <f>'Inflation GDP Population'!AK3</f>
        <v>87.282499999999999</v>
      </c>
      <c r="AL39" s="95">
        <f>'Inflation GDP Population'!AL3</f>
        <v>89.091559999999987</v>
      </c>
      <c r="AM39" s="95">
        <f>'Inflation GDP Population'!AM3</f>
        <v>90.845109999999991</v>
      </c>
      <c r="AN39" s="95">
        <f>'Inflation GDP Population'!AN3</f>
        <v>92.884870000000006</v>
      </c>
      <c r="AO39" s="95">
        <f>'Inflation GDP Population'!AO3</f>
        <v>94.960380000000001</v>
      </c>
      <c r="AP39" s="95">
        <f>'Inflation GDP Population'!AP3</f>
        <v>96.898049999999998</v>
      </c>
      <c r="AQ39" s="95">
        <f>'Inflation GDP Population'!AQ3</f>
        <v>98.792919999999995</v>
      </c>
      <c r="AR39" s="95">
        <f>'Inflation GDP Population'!AR3</f>
        <v>100.67492</v>
      </c>
      <c r="AS39" s="95">
        <f>'Inflation GDP Population'!AS3</f>
        <v>102.66981</v>
      </c>
      <c r="AT39" s="95">
        <f>'Inflation GDP Population'!AT3</f>
        <v>104.79813999999999</v>
      </c>
      <c r="AU39" s="95">
        <f>'Inflation GDP Population'!AU3</f>
        <v>106.98112999999999</v>
      </c>
      <c r="AV39" s="95">
        <f>'Inflation GDP Population'!AV3</f>
        <v>108.97937999999999</v>
      </c>
      <c r="AW39" s="95">
        <f>'Inflation GDP Population'!AW3</f>
        <v>111.37461999999999</v>
      </c>
      <c r="AX39" s="95">
        <f>'Inflation GDP Population'!AX3</f>
        <v>115.38930999999999</v>
      </c>
      <c r="AY39" s="95">
        <f>'Inflation GDP Population'!AY3</f>
        <v>118.46299999999999</v>
      </c>
      <c r="AZ39" s="95">
        <f>'Inflation GDP Population'!AZ3</f>
        <v>120.87941000000001</v>
      </c>
    </row>
    <row r="40" spans="1:53" ht="15" customHeight="1">
      <c r="A40" s="93" t="s">
        <v>200</v>
      </c>
      <c r="B40" s="95">
        <f>'Inflation GDP Population'!B6</f>
        <v>249.42381743242936</v>
      </c>
      <c r="C40" s="95">
        <f>'Inflation GDP Population'!C6</f>
        <v>249.42381743242936</v>
      </c>
      <c r="D40" s="95">
        <f>'Inflation GDP Population'!D6</f>
        <v>212.30935999593964</v>
      </c>
      <c r="E40" s="95">
        <f>'Inflation GDP Population'!E6</f>
        <v>237.66760226833327</v>
      </c>
      <c r="F40" s="95">
        <f>'Inflation GDP Population'!F6</f>
        <v>220.23504466814359</v>
      </c>
      <c r="G40" s="95">
        <f>'Inflation GDP Population'!G6</f>
        <v>209.12836148006616</v>
      </c>
      <c r="H40" s="95">
        <f>'Inflation GDP Population'!H6</f>
        <v>211.59768970387361</v>
      </c>
      <c r="I40" s="95">
        <f>'Inflation GDP Population'!I6</f>
        <v>188.06133685911675</v>
      </c>
      <c r="J40" s="95">
        <f>'Inflation GDP Population'!J6</f>
        <v>193.32266131097848</v>
      </c>
      <c r="K40" s="95">
        <f>'Inflation GDP Population'!K6</f>
        <v>199.4647867495035</v>
      </c>
      <c r="L40" s="95">
        <f>'Inflation GDP Population'!L6</f>
        <v>173.31290070365006</v>
      </c>
      <c r="M40" s="95">
        <f>'Inflation GDP Population'!M6</f>
        <v>178.35875616907168</v>
      </c>
      <c r="N40" s="95">
        <f>'Inflation GDP Population'!N6</f>
        <v>177.8197296736019</v>
      </c>
      <c r="O40" s="95">
        <f>'Inflation GDP Population'!O6</f>
        <v>169.91941033722733</v>
      </c>
      <c r="P40" s="95">
        <f>'Inflation GDP Population'!P6</f>
        <v>176.58026242431168</v>
      </c>
      <c r="Q40" s="95">
        <f>'Inflation GDP Population'!Q6</f>
        <v>173.86917257639584</v>
      </c>
      <c r="R40" s="95">
        <f>'Inflation GDP Population'!R6</f>
        <v>163.34115784620988</v>
      </c>
      <c r="S40" s="95">
        <f>'Inflation GDP Population'!S6</f>
        <v>167.66313082610094</v>
      </c>
      <c r="T40" s="95">
        <f>'Inflation GDP Population'!T6</f>
        <v>160.82288653166182</v>
      </c>
      <c r="U40" s="95">
        <f>'Inflation GDP Population'!U6</f>
        <v>161.49148183863707</v>
      </c>
      <c r="V40" s="95">
        <f>'Inflation GDP Population'!V6</f>
        <v>160</v>
      </c>
      <c r="W40" s="95">
        <f>'Inflation GDP Population'!W6</f>
        <v>157.32450677092081</v>
      </c>
      <c r="X40" s="95">
        <f>'Inflation GDP Population'!X6</f>
        <v>155.03762009162398</v>
      </c>
      <c r="Y40" s="95">
        <f>'Inflation GDP Population'!Y6</f>
        <v>153.76967137245902</v>
      </c>
      <c r="Z40" s="95">
        <f>'Inflation GDP Population'!Z6</f>
        <v>152.9786960202361</v>
      </c>
      <c r="AA40" s="95">
        <f>'Inflation GDP Population'!AA6</f>
        <v>153.62633143944248</v>
      </c>
      <c r="AB40" s="95">
        <f>'Inflation GDP Population'!AB6</f>
        <v>152.60797533925759</v>
      </c>
      <c r="AC40" s="95">
        <f>'Inflation GDP Population'!AC6</f>
        <v>152.18104192775266</v>
      </c>
      <c r="AD40" s="95">
        <f>'Inflation GDP Population'!AD6</f>
        <v>151.5835729552762</v>
      </c>
      <c r="AE40" s="95">
        <f>'Inflation GDP Population'!AE6</f>
        <v>151.15041617216482</v>
      </c>
      <c r="AF40" s="95">
        <f>'Inflation GDP Population'!AF6</f>
        <v>150.7060775587687</v>
      </c>
      <c r="AG40" s="95">
        <f>'Inflation GDP Population'!AG6</f>
        <v>150.42901103098947</v>
      </c>
      <c r="AH40" s="95">
        <f>'Inflation GDP Population'!AH6</f>
        <v>149.50810382278826</v>
      </c>
      <c r="AI40" s="95">
        <f>'Inflation GDP Population'!AI6</f>
        <v>148.47727568113191</v>
      </c>
      <c r="AJ40" s="95">
        <f>'Inflation GDP Population'!AJ6</f>
        <v>147.43744135942725</v>
      </c>
      <c r="AK40" s="95">
        <f>'Inflation GDP Population'!AK6</f>
        <v>146.59174587393312</v>
      </c>
      <c r="AL40" s="95">
        <f>'Inflation GDP Population'!AL6</f>
        <v>146.2802990127671</v>
      </c>
      <c r="AM40" s="95">
        <f>'Inflation GDP Population'!AM6</f>
        <v>145.81739147758594</v>
      </c>
      <c r="AN40" s="95">
        <f>'Inflation GDP Population'!AN6</f>
        <v>145.76406274853568</v>
      </c>
      <c r="AO40" s="95">
        <f>'Inflation GDP Population'!AO6</f>
        <v>145.67536705401466</v>
      </c>
      <c r="AP40" s="95">
        <f>'Inflation GDP Population'!AP6</f>
        <v>145.28448366096166</v>
      </c>
      <c r="AQ40" s="95">
        <f>'Inflation GDP Population'!AQ6</f>
        <v>144.73781359167921</v>
      </c>
      <c r="AR40" s="95">
        <f>'Inflation GDP Population'!AR6</f>
        <v>144.09222733141641</v>
      </c>
      <c r="AS40" s="95">
        <f>'Inflation GDP Population'!AS6</f>
        <v>143.50695211956722</v>
      </c>
      <c r="AT40" s="95">
        <f>'Inflation GDP Population'!AT6</f>
        <v>143.01788618503213</v>
      </c>
      <c r="AU40" s="95">
        <f>'Inflation GDP Population'!AU6</f>
        <v>142.50493869441382</v>
      </c>
      <c r="AV40" s="95">
        <f>'Inflation GDP Population'!AV6</f>
        <v>141.69066364605462</v>
      </c>
      <c r="AW40" s="95">
        <f>'Inflation GDP Population'!AW6</f>
        <v>141.29907190176183</v>
      </c>
      <c r="AX40" s="95">
        <f>'Inflation GDP Population'!AX6</f>
        <v>142.79510972012858</v>
      </c>
      <c r="AY40" s="95">
        <f>'Inflation GDP Population'!AY6</f>
        <v>142.9956490157555</v>
      </c>
      <c r="AZ40" s="95">
        <f>'Inflation GDP Population'!AZ6</f>
        <v>142.28775314465267</v>
      </c>
    </row>
    <row r="41" spans="1:53" ht="15" customHeight="1">
      <c r="A41" s="93" t="s">
        <v>130</v>
      </c>
      <c r="B41" s="95">
        <f>'Inflation GDP Population'!B7</f>
        <v>164.53919188815482</v>
      </c>
      <c r="C41" s="95">
        <f>'Inflation GDP Population'!C7</f>
        <v>164.53919188815482</v>
      </c>
      <c r="D41" s="95">
        <f>'Inflation GDP Population'!D7</f>
        <v>168.53636503303116</v>
      </c>
      <c r="E41" s="95">
        <f>'Inflation GDP Population'!E7</f>
        <v>152.37388231679211</v>
      </c>
      <c r="F41" s="95">
        <f>'Inflation GDP Population'!F7</f>
        <v>185.2202181594715</v>
      </c>
      <c r="G41" s="95">
        <f>'Inflation GDP Population'!G7</f>
        <v>194.60488554309416</v>
      </c>
      <c r="H41" s="95">
        <f>'Inflation GDP Population'!H7</f>
        <v>235.61935781225995</v>
      </c>
      <c r="I41" s="95">
        <f>'Inflation GDP Population'!I7</f>
        <v>211.9838992164695</v>
      </c>
      <c r="J41" s="95">
        <f>'Inflation GDP Population'!J7</f>
        <v>215.45970195114458</v>
      </c>
      <c r="K41" s="95">
        <f>'Inflation GDP Population'!K7</f>
        <v>249.34877861422646</v>
      </c>
      <c r="L41" s="95">
        <f>'Inflation GDP Population'!L7</f>
        <v>174.09764940851127</v>
      </c>
      <c r="M41" s="95">
        <f>'Inflation GDP Population'!M7</f>
        <v>180.0065140574589</v>
      </c>
      <c r="N41" s="95">
        <f>'Inflation GDP Population'!N7</f>
        <v>173.40248886157627</v>
      </c>
      <c r="O41" s="95">
        <f>'Inflation GDP Population'!O7</f>
        <v>149.94082040251959</v>
      </c>
      <c r="P41" s="95">
        <f>'Inflation GDP Population'!P7</f>
        <v>166.45088339222616</v>
      </c>
      <c r="Q41" s="95">
        <f>'Inflation GDP Population'!Q7</f>
        <v>178.61619296358887</v>
      </c>
      <c r="R41" s="95">
        <f>'Inflation GDP Population'!R7</f>
        <v>147.16017821477953</v>
      </c>
      <c r="S41" s="95">
        <f>'Inflation GDP Population'!S7</f>
        <v>157.49270241204485</v>
      </c>
      <c r="T41" s="95">
        <f>'Inflation GDP Population'!T7</f>
        <v>153.73175603011217</v>
      </c>
      <c r="U41" s="95">
        <f>'Inflation GDP Population'!U7</f>
        <v>157.81225994776466</v>
      </c>
      <c r="V41" s="95">
        <f>'Inflation GDP Population'!V7</f>
        <v>160</v>
      </c>
      <c r="W41" s="95">
        <f>'Inflation GDP Population'!W7</f>
        <v>161.21355162101463</v>
      </c>
      <c r="X41" s="95">
        <f>'Inflation GDP Population'!X7</f>
        <v>162.70202883113024</v>
      </c>
      <c r="Y41" s="95">
        <f>'Inflation GDP Population'!Y7</f>
        <v>165.35581724730341</v>
      </c>
      <c r="Z41" s="95">
        <f>'Inflation GDP Population'!Z7</f>
        <v>168.49865553704282</v>
      </c>
      <c r="AA41" s="95">
        <f>'Inflation GDP Population'!AA7</f>
        <v>173.25211567330371</v>
      </c>
      <c r="AB41" s="95">
        <f>'Inflation GDP Population'!AB7</f>
        <v>176.04951771368238</v>
      </c>
      <c r="AC41" s="95">
        <f>'Inflation GDP Population'!AC7</f>
        <v>179.50904124826488</v>
      </c>
      <c r="AD41" s="95">
        <f>'Inflation GDP Population'!AD7</f>
        <v>182.66191882318833</v>
      </c>
      <c r="AE41" s="95">
        <f>'Inflation GDP Population'!AE7</f>
        <v>186.02613984771389</v>
      </c>
      <c r="AF41" s="95">
        <f>'Inflation GDP Population'!AF7</f>
        <v>189.46148425882495</v>
      </c>
      <c r="AG41" s="95">
        <f>'Inflation GDP Population'!AG7</f>
        <v>193.24261841525399</v>
      </c>
      <c r="AH41" s="95">
        <f>'Inflation GDP Population'!AH7</f>
        <v>196.28016204254669</v>
      </c>
      <c r="AI41" s="95">
        <f>'Inflation GDP Population'!AI7</f>
        <v>199.25902534094678</v>
      </c>
      <c r="AJ41" s="95">
        <f>'Inflation GDP Population'!AJ7</f>
        <v>202.29998609582557</v>
      </c>
      <c r="AK41" s="95">
        <f>'Inflation GDP Population'!AK7</f>
        <v>205.69340588641461</v>
      </c>
      <c r="AL41" s="95">
        <f>'Inflation GDP Population'!AL7</f>
        <v>209.95670852844336</v>
      </c>
      <c r="AM41" s="95">
        <f>'Inflation GDP Population'!AM7</f>
        <v>214.08919409991671</v>
      </c>
      <c r="AN41" s="95">
        <f>'Inflation GDP Population'!AN7</f>
        <v>218.89617352409539</v>
      </c>
      <c r="AO41" s="95">
        <f>'Inflation GDP Population'!AO7</f>
        <v>223.78740281806967</v>
      </c>
      <c r="AP41" s="95">
        <f>'Inflation GDP Population'!AP7</f>
        <v>228.35379289378849</v>
      </c>
      <c r="AQ41" s="95">
        <f>'Inflation GDP Population'!AQ7</f>
        <v>232.81931878972398</v>
      </c>
      <c r="AR41" s="95">
        <f>'Inflation GDP Population'!AR7</f>
        <v>237.25451473253304</v>
      </c>
      <c r="AS41" s="95">
        <f>'Inflation GDP Population'!AS7</f>
        <v>241.95575173271919</v>
      </c>
      <c r="AT41" s="95">
        <f>'Inflation GDP Population'!AT7</f>
        <v>246.97145873641676</v>
      </c>
      <c r="AU41" s="95">
        <f>'Inflation GDP Population'!AU7</f>
        <v>252.11597966691241</v>
      </c>
      <c r="AV41" s="95">
        <f>'Inflation GDP Population'!AV7</f>
        <v>256.82513497653952</v>
      </c>
      <c r="AW41" s="95">
        <f>'Inflation GDP Population'!AW7</f>
        <v>262.4698526864513</v>
      </c>
      <c r="AX41" s="95">
        <f>'Inflation GDP Population'!AX7</f>
        <v>271.93103058211346</v>
      </c>
      <c r="AY41" s="95">
        <f>'Inflation GDP Population'!AY7</f>
        <v>279.1746105063711</v>
      </c>
      <c r="AZ41" s="95">
        <f>'Inflation GDP Population'!AZ7</f>
        <v>284.86921827904024</v>
      </c>
    </row>
    <row r="42" spans="1:53" ht="15" customHeight="1">
      <c r="A42" s="93" t="s">
        <v>745</v>
      </c>
      <c r="B42" s="253">
        <v>0</v>
      </c>
      <c r="C42" s="253">
        <v>0</v>
      </c>
      <c r="D42" s="253">
        <v>0</v>
      </c>
      <c r="E42" s="253">
        <v>0</v>
      </c>
      <c r="F42" s="253">
        <v>0</v>
      </c>
      <c r="G42" s="253">
        <v>0</v>
      </c>
      <c r="H42" s="253">
        <v>0</v>
      </c>
      <c r="I42" s="339">
        <f t="shared" ref="I42:U42" si="25">J42</f>
        <v>0.47</v>
      </c>
      <c r="J42" s="339">
        <f t="shared" si="25"/>
        <v>0.47</v>
      </c>
      <c r="K42" s="339">
        <f t="shared" si="25"/>
        <v>0.47</v>
      </c>
      <c r="L42" s="339">
        <f t="shared" si="25"/>
        <v>0.47</v>
      </c>
      <c r="M42" s="339">
        <f t="shared" si="25"/>
        <v>0.47</v>
      </c>
      <c r="N42" s="339">
        <f t="shared" si="25"/>
        <v>0.47</v>
      </c>
      <c r="O42" s="339">
        <f t="shared" si="25"/>
        <v>0.47</v>
      </c>
      <c r="P42" s="339">
        <f t="shared" si="25"/>
        <v>0.47</v>
      </c>
      <c r="Q42" s="339">
        <f t="shared" si="25"/>
        <v>0.47</v>
      </c>
      <c r="R42" s="339">
        <f t="shared" si="25"/>
        <v>0.47</v>
      </c>
      <c r="S42" s="339">
        <f t="shared" si="25"/>
        <v>0.47</v>
      </c>
      <c r="T42" s="339">
        <f t="shared" si="25"/>
        <v>0.47</v>
      </c>
      <c r="U42" s="339">
        <f t="shared" si="25"/>
        <v>0.47</v>
      </c>
      <c r="V42" s="254">
        <v>0.47</v>
      </c>
      <c r="W42" s="102">
        <f t="shared" ref="W42:AZ42" si="26">V42</f>
        <v>0.47</v>
      </c>
      <c r="X42" s="102">
        <f t="shared" si="26"/>
        <v>0.47</v>
      </c>
      <c r="Y42" s="102">
        <f t="shared" si="26"/>
        <v>0.47</v>
      </c>
      <c r="Z42" s="102">
        <f t="shared" si="26"/>
        <v>0.47</v>
      </c>
      <c r="AA42" s="102">
        <f t="shared" si="26"/>
        <v>0.47</v>
      </c>
      <c r="AB42" s="102">
        <f t="shared" si="26"/>
        <v>0.47</v>
      </c>
      <c r="AC42" s="102">
        <f t="shared" si="26"/>
        <v>0.47</v>
      </c>
      <c r="AD42" s="102">
        <f t="shared" si="26"/>
        <v>0.47</v>
      </c>
      <c r="AE42" s="102">
        <f t="shared" si="26"/>
        <v>0.47</v>
      </c>
      <c r="AF42" s="102">
        <f t="shared" si="26"/>
        <v>0.47</v>
      </c>
      <c r="AG42" s="102">
        <f t="shared" si="26"/>
        <v>0.47</v>
      </c>
      <c r="AH42" s="102">
        <f t="shared" si="26"/>
        <v>0.47</v>
      </c>
      <c r="AI42" s="102">
        <f t="shared" si="26"/>
        <v>0.47</v>
      </c>
      <c r="AJ42" s="102">
        <f t="shared" si="26"/>
        <v>0.47</v>
      </c>
      <c r="AK42" s="102">
        <f t="shared" si="26"/>
        <v>0.47</v>
      </c>
      <c r="AL42" s="102">
        <f t="shared" si="26"/>
        <v>0.47</v>
      </c>
      <c r="AM42" s="102">
        <f t="shared" si="26"/>
        <v>0.47</v>
      </c>
      <c r="AN42" s="102">
        <f t="shared" si="26"/>
        <v>0.47</v>
      </c>
      <c r="AO42" s="102">
        <f t="shared" si="26"/>
        <v>0.47</v>
      </c>
      <c r="AP42" s="102">
        <f t="shared" si="26"/>
        <v>0.47</v>
      </c>
      <c r="AQ42" s="102">
        <f t="shared" si="26"/>
        <v>0.47</v>
      </c>
      <c r="AR42" s="102">
        <f t="shared" si="26"/>
        <v>0.47</v>
      </c>
      <c r="AS42" s="102">
        <f t="shared" si="26"/>
        <v>0.47</v>
      </c>
      <c r="AT42" s="102">
        <f t="shared" si="26"/>
        <v>0.47</v>
      </c>
      <c r="AU42" s="102">
        <f t="shared" si="26"/>
        <v>0.47</v>
      </c>
      <c r="AV42" s="102">
        <f t="shared" si="26"/>
        <v>0.47</v>
      </c>
      <c r="AW42" s="102">
        <f t="shared" si="26"/>
        <v>0.47</v>
      </c>
      <c r="AX42" s="102">
        <f t="shared" si="26"/>
        <v>0.47</v>
      </c>
      <c r="AY42" s="102">
        <f t="shared" si="26"/>
        <v>0.47</v>
      </c>
      <c r="AZ42" s="102">
        <f t="shared" si="26"/>
        <v>0.47</v>
      </c>
    </row>
    <row r="43" spans="1:53" ht="15" customHeight="1">
      <c r="A43" s="93" t="s">
        <v>749</v>
      </c>
      <c r="B43" s="93"/>
      <c r="C43" s="93"/>
      <c r="D43" s="93"/>
      <c r="E43" s="93"/>
      <c r="F43" s="93"/>
      <c r="G43" s="93"/>
      <c r="H43" s="93"/>
      <c r="I43" s="93"/>
      <c r="J43" s="93"/>
      <c r="K43" s="93"/>
      <c r="L43" s="93"/>
      <c r="M43" s="93"/>
      <c r="N43" s="93"/>
      <c r="O43" s="93"/>
      <c r="P43" s="93"/>
      <c r="Q43" s="93"/>
      <c r="R43" s="93"/>
      <c r="S43" s="93"/>
      <c r="T43" s="93"/>
      <c r="U43" s="93"/>
      <c r="V43" s="97">
        <v>2.2352810000000001</v>
      </c>
      <c r="W43" s="91">
        <v>2.2407810000000001</v>
      </c>
      <c r="X43" s="91">
        <v>2.2304840000000001</v>
      </c>
      <c r="Y43" s="91">
        <v>2.2388940000000002</v>
      </c>
      <c r="Z43" s="91">
        <v>2.2632919999999999</v>
      </c>
      <c r="AA43" s="91">
        <v>2.2779509999999998</v>
      </c>
      <c r="AB43" s="91">
        <v>2.2841619999999998</v>
      </c>
      <c r="AC43" s="91">
        <v>2.288891</v>
      </c>
      <c r="AD43" s="91">
        <v>2.2901410000000002</v>
      </c>
      <c r="AE43" s="91">
        <v>2.2972049999999999</v>
      </c>
      <c r="AF43" s="91">
        <v>2.3064550000000001</v>
      </c>
      <c r="AG43" s="91">
        <v>2.309774</v>
      </c>
      <c r="AH43" s="91">
        <v>2.3133309999999998</v>
      </c>
      <c r="AI43" s="91">
        <v>2.3244910000000001</v>
      </c>
      <c r="AJ43" s="91">
        <v>2.3334410000000001</v>
      </c>
      <c r="AK43" s="91">
        <v>2.3485109999999998</v>
      </c>
      <c r="AL43" s="91">
        <v>2.3596349999999999</v>
      </c>
      <c r="AM43" s="91">
        <v>2.375076</v>
      </c>
      <c r="AN43" s="91">
        <v>2.3866139999999998</v>
      </c>
      <c r="AO43" s="91">
        <v>2.4029560000000001</v>
      </c>
      <c r="AP43" s="91">
        <v>2.409052</v>
      </c>
      <c r="AQ43" s="91">
        <v>2.4179879999999998</v>
      </c>
      <c r="AR43" s="91">
        <v>2.425163</v>
      </c>
      <c r="AS43" s="91">
        <v>2.4298489999999999</v>
      </c>
      <c r="AT43" s="91">
        <v>2.4356010000000001</v>
      </c>
      <c r="AU43" s="91">
        <v>2.4389560000000001</v>
      </c>
      <c r="AV43" s="91">
        <v>2.4441959999999998</v>
      </c>
      <c r="AW43" s="91">
        <v>2.4472480000000001</v>
      </c>
      <c r="AX43" s="91">
        <v>2.4502760000000001</v>
      </c>
      <c r="AY43" s="91">
        <v>2.4588350000000001</v>
      </c>
      <c r="AZ43" s="91">
        <v>2.46313</v>
      </c>
    </row>
    <row r="44" spans="1:53" ht="15" customHeight="1">
      <c r="A44" s="93" t="s">
        <v>751</v>
      </c>
      <c r="B44" s="348">
        <v>1.77</v>
      </c>
      <c r="C44" s="348">
        <v>1.77</v>
      </c>
      <c r="D44" s="348">
        <v>1.77</v>
      </c>
      <c r="E44" s="348">
        <v>1.77</v>
      </c>
      <c r="F44" s="348">
        <v>1.77</v>
      </c>
      <c r="G44" s="348">
        <v>1.77</v>
      </c>
      <c r="H44" s="348">
        <v>1.77</v>
      </c>
      <c r="I44" s="91">
        <v>1.77</v>
      </c>
      <c r="J44" s="91">
        <v>2.0699999999999998</v>
      </c>
      <c r="K44" s="91">
        <v>2.21</v>
      </c>
      <c r="L44" s="91">
        <v>2.27</v>
      </c>
      <c r="M44" s="91">
        <v>2.39</v>
      </c>
      <c r="N44" s="91">
        <v>2.38</v>
      </c>
      <c r="O44" s="91">
        <v>2.34</v>
      </c>
      <c r="P44" s="91">
        <v>2.37</v>
      </c>
      <c r="Q44" s="91">
        <v>2.2200000000000002</v>
      </c>
      <c r="R44" s="91">
        <v>2.11</v>
      </c>
      <c r="S44" s="91">
        <v>2.06</v>
      </c>
      <c r="T44" s="91">
        <v>2.06</v>
      </c>
      <c r="U44" s="348">
        <v>2.06</v>
      </c>
      <c r="V44" s="97">
        <v>2.3995489999999999</v>
      </c>
      <c r="W44" s="91">
        <v>2.464915</v>
      </c>
      <c r="X44" s="91">
        <v>2.5127679999999999</v>
      </c>
      <c r="Y44" s="91">
        <v>2.5845180000000001</v>
      </c>
      <c r="Z44" s="91">
        <v>2.676107</v>
      </c>
      <c r="AA44" s="91">
        <v>2.7577479999999999</v>
      </c>
      <c r="AB44" s="91">
        <v>2.828668</v>
      </c>
      <c r="AC44" s="91">
        <v>2.8983340000000002</v>
      </c>
      <c r="AD44" s="91">
        <v>2.9624809999999999</v>
      </c>
      <c r="AE44" s="91">
        <v>3.035021</v>
      </c>
      <c r="AF44" s="91">
        <v>3.1126670000000001</v>
      </c>
      <c r="AG44" s="91">
        <v>3.1852109999999998</v>
      </c>
      <c r="AH44" s="91">
        <v>3.2602199999999999</v>
      </c>
      <c r="AI44" s="91">
        <v>3.348754</v>
      </c>
      <c r="AJ44" s="91">
        <v>3.4370229999999999</v>
      </c>
      <c r="AK44" s="91">
        <v>3.5375350000000001</v>
      </c>
      <c r="AL44" s="91">
        <v>3.6356839999999999</v>
      </c>
      <c r="AM44" s="91">
        <v>3.7433489999999998</v>
      </c>
      <c r="AN44" s="91">
        <v>3.8473999999999999</v>
      </c>
      <c r="AO44" s="91">
        <v>3.9627150000000002</v>
      </c>
      <c r="AP44" s="91">
        <v>4.0647380000000002</v>
      </c>
      <c r="AQ44" s="91">
        <v>4.1753090000000004</v>
      </c>
      <c r="AR44" s="91">
        <v>4.2865929999999999</v>
      </c>
      <c r="AS44" s="91">
        <v>4.3978419999999998</v>
      </c>
      <c r="AT44" s="91">
        <v>4.5150230000000002</v>
      </c>
      <c r="AU44" s="91">
        <v>4.6320370000000004</v>
      </c>
      <c r="AV44" s="91">
        <v>4.7558680000000004</v>
      </c>
      <c r="AW44" s="91">
        <v>4.8799520000000003</v>
      </c>
      <c r="AX44" s="91">
        <v>5.00908</v>
      </c>
      <c r="AY44" s="91">
        <v>5.1532349999999996</v>
      </c>
      <c r="AZ44" s="91">
        <v>5.2937419999999999</v>
      </c>
    </row>
    <row r="45" spans="1:53" ht="15.75" customHeight="1">
      <c r="A45" s="93" t="s">
        <v>137</v>
      </c>
      <c r="B45" s="341">
        <f t="shared" ref="B45:U45" si="27">$V$45</f>
        <v>0.02</v>
      </c>
      <c r="C45" s="341">
        <f t="shared" si="27"/>
        <v>0.02</v>
      </c>
      <c r="D45" s="341">
        <f t="shared" si="27"/>
        <v>0.02</v>
      </c>
      <c r="E45" s="341">
        <f t="shared" si="27"/>
        <v>0.02</v>
      </c>
      <c r="F45" s="341">
        <f t="shared" si="27"/>
        <v>0.02</v>
      </c>
      <c r="G45" s="341">
        <f t="shared" si="27"/>
        <v>0.02</v>
      </c>
      <c r="H45" s="341">
        <f t="shared" si="27"/>
        <v>0.02</v>
      </c>
      <c r="I45" s="341">
        <f t="shared" si="27"/>
        <v>0.02</v>
      </c>
      <c r="J45" s="341">
        <f t="shared" si="27"/>
        <v>0.02</v>
      </c>
      <c r="K45" s="341">
        <f t="shared" si="27"/>
        <v>0.02</v>
      </c>
      <c r="L45" s="341">
        <f t="shared" si="27"/>
        <v>0.02</v>
      </c>
      <c r="M45" s="341">
        <f t="shared" si="27"/>
        <v>0.02</v>
      </c>
      <c r="N45" s="341">
        <f t="shared" si="27"/>
        <v>0.02</v>
      </c>
      <c r="O45" s="341">
        <f t="shared" si="27"/>
        <v>0.02</v>
      </c>
      <c r="P45" s="341">
        <f t="shared" si="27"/>
        <v>0.02</v>
      </c>
      <c r="Q45" s="341">
        <f t="shared" si="27"/>
        <v>0.02</v>
      </c>
      <c r="R45" s="341">
        <f t="shared" si="27"/>
        <v>0.02</v>
      </c>
      <c r="S45" s="341">
        <f t="shared" si="27"/>
        <v>0.02</v>
      </c>
      <c r="T45" s="341">
        <f t="shared" si="27"/>
        <v>0.02</v>
      </c>
      <c r="U45" s="341">
        <f t="shared" si="27"/>
        <v>0.02</v>
      </c>
      <c r="V45" s="252">
        <f>Inputs!B19</f>
        <v>0.02</v>
      </c>
      <c r="W45" s="331">
        <f t="shared" ref="W45:AZ45" si="28">V45</f>
        <v>0.02</v>
      </c>
      <c r="X45" s="331">
        <f t="shared" si="28"/>
        <v>0.02</v>
      </c>
      <c r="Y45" s="331">
        <f t="shared" si="28"/>
        <v>0.02</v>
      </c>
      <c r="Z45" s="331">
        <f t="shared" si="28"/>
        <v>0.02</v>
      </c>
      <c r="AA45" s="331">
        <f t="shared" si="28"/>
        <v>0.02</v>
      </c>
      <c r="AB45" s="331">
        <f t="shared" si="28"/>
        <v>0.02</v>
      </c>
      <c r="AC45" s="331">
        <f t="shared" si="28"/>
        <v>0.02</v>
      </c>
      <c r="AD45" s="331">
        <f t="shared" si="28"/>
        <v>0.02</v>
      </c>
      <c r="AE45" s="331">
        <f t="shared" si="28"/>
        <v>0.02</v>
      </c>
      <c r="AF45" s="331">
        <f t="shared" si="28"/>
        <v>0.02</v>
      </c>
      <c r="AG45" s="331">
        <f t="shared" si="28"/>
        <v>0.02</v>
      </c>
      <c r="AH45" s="331">
        <f t="shared" si="28"/>
        <v>0.02</v>
      </c>
      <c r="AI45" s="331">
        <f t="shared" si="28"/>
        <v>0.02</v>
      </c>
      <c r="AJ45" s="331">
        <f t="shared" si="28"/>
        <v>0.02</v>
      </c>
      <c r="AK45" s="331">
        <f t="shared" si="28"/>
        <v>0.02</v>
      </c>
      <c r="AL45" s="331">
        <f t="shared" si="28"/>
        <v>0.02</v>
      </c>
      <c r="AM45" s="331">
        <f t="shared" si="28"/>
        <v>0.02</v>
      </c>
      <c r="AN45" s="331">
        <f t="shared" si="28"/>
        <v>0.02</v>
      </c>
      <c r="AO45" s="331">
        <f t="shared" si="28"/>
        <v>0.02</v>
      </c>
      <c r="AP45" s="331">
        <f t="shared" si="28"/>
        <v>0.02</v>
      </c>
      <c r="AQ45" s="331">
        <f t="shared" si="28"/>
        <v>0.02</v>
      </c>
      <c r="AR45" s="331">
        <f t="shared" si="28"/>
        <v>0.02</v>
      </c>
      <c r="AS45" s="331">
        <f t="shared" si="28"/>
        <v>0.02</v>
      </c>
      <c r="AT45" s="331">
        <f t="shared" si="28"/>
        <v>0.02</v>
      </c>
      <c r="AU45" s="331">
        <f t="shared" si="28"/>
        <v>0.02</v>
      </c>
      <c r="AV45" s="331">
        <f t="shared" si="28"/>
        <v>0.02</v>
      </c>
      <c r="AW45" s="331">
        <f t="shared" si="28"/>
        <v>0.02</v>
      </c>
      <c r="AX45" s="331">
        <f t="shared" si="28"/>
        <v>0.02</v>
      </c>
      <c r="AY45" s="331">
        <f t="shared" si="28"/>
        <v>0.02</v>
      </c>
      <c r="AZ45" s="331">
        <f t="shared" si="28"/>
        <v>0.02</v>
      </c>
    </row>
    <row r="46" spans="1:53" ht="15.75" customHeight="1">
      <c r="A46" s="93" t="s">
        <v>756</v>
      </c>
      <c r="B46" s="341"/>
      <c r="C46" s="341"/>
      <c r="D46" s="93"/>
      <c r="E46" s="93"/>
      <c r="F46" s="93"/>
      <c r="G46" s="93"/>
      <c r="H46" s="93"/>
      <c r="I46" s="331"/>
      <c r="J46" s="331">
        <f t="shared" ref="J46:AZ46" si="29">J44/I44-1</f>
        <v>0.16949152542372881</v>
      </c>
      <c r="K46" s="331">
        <f t="shared" si="29"/>
        <v>6.7632850241545972E-2</v>
      </c>
      <c r="L46" s="331">
        <f t="shared" si="29"/>
        <v>2.7149321266968451E-2</v>
      </c>
      <c r="M46" s="331">
        <f t="shared" si="29"/>
        <v>5.2863436123347984E-2</v>
      </c>
      <c r="N46" s="331">
        <f t="shared" si="29"/>
        <v>-4.1841004184101083E-3</v>
      </c>
      <c r="O46" s="331">
        <f t="shared" si="29"/>
        <v>-1.6806722689075682E-2</v>
      </c>
      <c r="P46" s="331">
        <f t="shared" si="29"/>
        <v>1.2820512820512997E-2</v>
      </c>
      <c r="Q46" s="331">
        <f t="shared" si="29"/>
        <v>-6.3291139240506333E-2</v>
      </c>
      <c r="R46" s="331">
        <f t="shared" si="29"/>
        <v>-4.954954954954971E-2</v>
      </c>
      <c r="S46" s="331">
        <f t="shared" si="29"/>
        <v>-2.3696682464454888E-2</v>
      </c>
      <c r="T46" s="331">
        <f t="shared" si="29"/>
        <v>0</v>
      </c>
      <c r="U46" s="331">
        <f t="shared" si="29"/>
        <v>0</v>
      </c>
      <c r="V46" s="331">
        <f t="shared" si="29"/>
        <v>0.16482961165048526</v>
      </c>
      <c r="W46" s="331">
        <f t="shared" si="29"/>
        <v>2.7240952362298065E-2</v>
      </c>
      <c r="X46" s="331">
        <f t="shared" si="29"/>
        <v>1.9413651180669511E-2</v>
      </c>
      <c r="Y46" s="331">
        <f t="shared" si="29"/>
        <v>2.8554168152412185E-2</v>
      </c>
      <c r="Z46" s="331">
        <f t="shared" si="29"/>
        <v>3.5437555474560511E-2</v>
      </c>
      <c r="AA46" s="331">
        <f t="shared" si="29"/>
        <v>3.0507375078799193E-2</v>
      </c>
      <c r="AB46" s="331">
        <f t="shared" si="29"/>
        <v>2.5716635457627035E-2</v>
      </c>
      <c r="AC46" s="331">
        <f t="shared" si="29"/>
        <v>2.4628553085763505E-2</v>
      </c>
      <c r="AD46" s="331">
        <f t="shared" si="29"/>
        <v>2.2132369837292609E-2</v>
      </c>
      <c r="AE46" s="331">
        <f t="shared" si="29"/>
        <v>2.4486232991874024E-2</v>
      </c>
      <c r="AF46" s="331">
        <f t="shared" si="29"/>
        <v>2.5583348517193238E-2</v>
      </c>
      <c r="AG46" s="331">
        <f t="shared" si="29"/>
        <v>2.3306058759256842E-2</v>
      </c>
      <c r="AH46" s="331">
        <f t="shared" si="29"/>
        <v>2.3549146351685923E-2</v>
      </c>
      <c r="AI46" s="331">
        <f t="shared" si="29"/>
        <v>2.7155836109219678E-2</v>
      </c>
      <c r="AJ46" s="331">
        <f t="shared" si="29"/>
        <v>2.6358759108611629E-2</v>
      </c>
      <c r="AK46" s="331">
        <f t="shared" si="29"/>
        <v>2.9243912537099792E-2</v>
      </c>
      <c r="AL46" s="331">
        <f t="shared" si="29"/>
        <v>2.7745025844267301E-2</v>
      </c>
      <c r="AM46" s="331">
        <f t="shared" si="29"/>
        <v>2.961340974628146E-2</v>
      </c>
      <c r="AN46" s="331">
        <f t="shared" si="29"/>
        <v>2.7796232731706283E-2</v>
      </c>
      <c r="AO46" s="331">
        <f t="shared" si="29"/>
        <v>2.9972189010760486E-2</v>
      </c>
      <c r="AP46" s="331">
        <f t="shared" si="29"/>
        <v>2.5745732408209987E-2</v>
      </c>
      <c r="AQ46" s="331">
        <f t="shared" si="29"/>
        <v>2.7202491279880725E-2</v>
      </c>
      <c r="AR46" s="331">
        <f t="shared" si="29"/>
        <v>2.6652877667257657E-2</v>
      </c>
      <c r="AS46" s="331">
        <f t="shared" si="29"/>
        <v>2.5952778815250266E-2</v>
      </c>
      <c r="AT46" s="331">
        <f t="shared" si="29"/>
        <v>2.6645113671659892E-2</v>
      </c>
      <c r="AU46" s="331">
        <f t="shared" si="29"/>
        <v>2.5916590015156116E-2</v>
      </c>
      <c r="AV46" s="331">
        <f t="shared" si="29"/>
        <v>2.6733594744601463E-2</v>
      </c>
      <c r="AW46" s="331">
        <f t="shared" si="29"/>
        <v>2.6090715722135283E-2</v>
      </c>
      <c r="AX46" s="331">
        <f t="shared" si="29"/>
        <v>2.6460916009009905E-2</v>
      </c>
      <c r="AY46" s="331">
        <f t="shared" si="29"/>
        <v>2.8778737812133137E-2</v>
      </c>
      <c r="AZ46" s="331">
        <f t="shared" si="29"/>
        <v>2.7265785472620596E-2</v>
      </c>
    </row>
    <row r="47" spans="1:53" ht="15.75" customHeight="1">
      <c r="A47" s="93"/>
      <c r="B47" s="93"/>
      <c r="C47" s="93"/>
      <c r="D47" s="93"/>
      <c r="E47" s="93"/>
      <c r="F47" s="93"/>
      <c r="G47" s="93"/>
      <c r="H47" s="93"/>
      <c r="I47" s="93"/>
      <c r="J47" s="93"/>
      <c r="K47" s="93"/>
      <c r="L47" s="93"/>
      <c r="M47" s="93"/>
      <c r="N47" s="93"/>
      <c r="O47" s="93"/>
      <c r="P47" s="93"/>
      <c r="Q47" s="93"/>
      <c r="R47" s="93"/>
      <c r="S47" s="93"/>
      <c r="T47" s="93"/>
      <c r="U47" s="93"/>
      <c r="V47" s="88"/>
      <c r="W47" s="94"/>
      <c r="X47" s="94"/>
      <c r="Y47" s="94"/>
      <c r="Z47" s="94"/>
      <c r="AA47" s="94"/>
      <c r="AB47" s="94"/>
      <c r="AC47" s="94"/>
      <c r="AD47" s="94"/>
      <c r="AE47" s="94"/>
      <c r="AF47" s="94"/>
      <c r="AG47" s="94"/>
      <c r="AH47" s="94"/>
      <c r="AI47" s="94"/>
      <c r="AJ47" s="94"/>
      <c r="AK47" s="94"/>
      <c r="AL47" s="94"/>
      <c r="AM47" s="94"/>
      <c r="AN47" s="94"/>
      <c r="AO47" s="94"/>
      <c r="AP47" s="94"/>
      <c r="AQ47" s="94"/>
      <c r="AR47" s="94"/>
      <c r="AS47" s="94"/>
      <c r="AT47" s="94"/>
      <c r="AU47" s="94"/>
      <c r="AV47" s="94"/>
      <c r="AW47" s="94"/>
      <c r="AX47" s="94"/>
      <c r="AY47" s="94"/>
      <c r="AZ47" s="94"/>
    </row>
    <row r="48" spans="1:53" ht="15.75" customHeight="1">
      <c r="A48" s="93" t="s">
        <v>140</v>
      </c>
      <c r="B48" s="93"/>
      <c r="C48" s="93"/>
      <c r="D48" s="93"/>
      <c r="E48" s="93"/>
      <c r="F48" s="93"/>
      <c r="G48" s="93"/>
      <c r="H48" s="93"/>
      <c r="I48" s="93"/>
      <c r="J48" s="93"/>
      <c r="K48" s="93"/>
      <c r="L48" s="93"/>
      <c r="M48" s="93"/>
      <c r="N48" s="93"/>
      <c r="O48" s="93"/>
      <c r="P48" s="93"/>
      <c r="Q48" s="93"/>
      <c r="R48" s="93"/>
      <c r="S48" s="93"/>
      <c r="T48" s="93"/>
      <c r="U48" s="93"/>
      <c r="W48">
        <f t="shared" ref="W48:BA48" si="30">SUM(W50:W123)</f>
        <v>10832.899999999998</v>
      </c>
      <c r="X48">
        <f t="shared" si="30"/>
        <v>3700</v>
      </c>
      <c r="Y48">
        <f t="shared" si="30"/>
        <v>1381.1999999999998</v>
      </c>
      <c r="Z48">
        <f t="shared" si="30"/>
        <v>2208</v>
      </c>
      <c r="AA48">
        <f t="shared" si="30"/>
        <v>1400.3000000000002</v>
      </c>
      <c r="AB48">
        <f t="shared" si="30"/>
        <v>1369.2</v>
      </c>
      <c r="AC48">
        <f t="shared" si="30"/>
        <v>2006.7</v>
      </c>
      <c r="AD48">
        <f t="shared" si="30"/>
        <v>3012.1</v>
      </c>
      <c r="AE48">
        <f t="shared" si="30"/>
        <v>3232.4</v>
      </c>
      <c r="AF48">
        <f t="shared" si="30"/>
        <v>5685.1</v>
      </c>
      <c r="AG48">
        <f t="shared" si="30"/>
        <v>5819.6</v>
      </c>
      <c r="AH48">
        <f t="shared" si="30"/>
        <v>7781.2000000000007</v>
      </c>
      <c r="AI48">
        <f t="shared" si="30"/>
        <v>9634.1</v>
      </c>
      <c r="AJ48">
        <f t="shared" si="30"/>
        <v>9647.5</v>
      </c>
      <c r="AK48">
        <f t="shared" si="30"/>
        <v>9028.6</v>
      </c>
      <c r="AL48">
        <f t="shared" si="30"/>
        <v>14100.1</v>
      </c>
      <c r="AM48">
        <f t="shared" si="30"/>
        <v>9729</v>
      </c>
      <c r="AN48">
        <f t="shared" si="30"/>
        <v>9482.1</v>
      </c>
      <c r="AO48">
        <f t="shared" si="30"/>
        <v>8007.5</v>
      </c>
      <c r="AP48">
        <f t="shared" si="30"/>
        <v>11379.2</v>
      </c>
      <c r="AQ48">
        <f t="shared" si="30"/>
        <v>11123.3</v>
      </c>
      <c r="AR48">
        <f t="shared" si="30"/>
        <v>9478.6</v>
      </c>
      <c r="AS48">
        <f t="shared" si="30"/>
        <v>14231.099999999999</v>
      </c>
      <c r="AT48">
        <f t="shared" si="30"/>
        <v>9029.4</v>
      </c>
      <c r="AU48">
        <f t="shared" si="30"/>
        <v>10244.200000000001</v>
      </c>
      <c r="AV48">
        <f t="shared" si="30"/>
        <v>6015.2000000000007</v>
      </c>
      <c r="AW48">
        <f t="shared" si="30"/>
        <v>11111.9</v>
      </c>
      <c r="AX48">
        <f t="shared" si="30"/>
        <v>6033.8</v>
      </c>
      <c r="AY48">
        <f t="shared" si="30"/>
        <v>5860.4</v>
      </c>
      <c r="AZ48">
        <f t="shared" si="30"/>
        <v>3283.8</v>
      </c>
      <c r="BA48">
        <f t="shared" si="30"/>
        <v>803.19999999999993</v>
      </c>
    </row>
    <row r="49" spans="1:53" ht="15.75" customHeight="1">
      <c r="A49" s="349" t="s">
        <v>757</v>
      </c>
      <c r="B49" s="349"/>
      <c r="C49" s="349"/>
      <c r="D49" s="349"/>
      <c r="E49" s="349"/>
      <c r="F49" s="349"/>
      <c r="G49" s="349"/>
      <c r="H49" s="349"/>
      <c r="I49" s="349"/>
      <c r="J49" s="349"/>
      <c r="K49" s="349"/>
      <c r="L49" s="349"/>
      <c r="M49" s="349"/>
      <c r="N49" s="349"/>
      <c r="O49" s="349"/>
      <c r="P49" s="349"/>
      <c r="Q49" s="349"/>
      <c r="R49" s="349"/>
      <c r="S49" s="349"/>
      <c r="T49" s="349"/>
      <c r="U49" s="349"/>
      <c r="V49" t="s">
        <v>758</v>
      </c>
      <c r="W49" s="42">
        <v>2020</v>
      </c>
      <c r="X49" s="42">
        <v>2021</v>
      </c>
      <c r="Y49" s="42">
        <v>2022</v>
      </c>
      <c r="Z49" s="42">
        <v>2023</v>
      </c>
      <c r="AA49" s="42">
        <v>2024</v>
      </c>
      <c r="AB49" s="42">
        <v>2025</v>
      </c>
      <c r="AC49" s="42">
        <v>2026</v>
      </c>
      <c r="AD49" s="42">
        <v>2027</v>
      </c>
      <c r="AE49" s="42">
        <v>2028</v>
      </c>
      <c r="AF49" s="42">
        <v>2029</v>
      </c>
      <c r="AG49" s="42">
        <v>2030</v>
      </c>
      <c r="AH49" s="42">
        <v>2031</v>
      </c>
      <c r="AI49" s="42">
        <v>2032</v>
      </c>
      <c r="AJ49" s="42">
        <v>2033</v>
      </c>
      <c r="AK49" s="42">
        <v>2034</v>
      </c>
      <c r="AL49" s="42">
        <v>2035</v>
      </c>
      <c r="AM49" s="42">
        <v>2036</v>
      </c>
      <c r="AN49" s="42">
        <v>2037</v>
      </c>
      <c r="AO49" s="42">
        <v>2038</v>
      </c>
      <c r="AP49" s="42">
        <v>2039</v>
      </c>
      <c r="AQ49" s="42">
        <v>2040</v>
      </c>
      <c r="AR49" s="42">
        <v>2041</v>
      </c>
      <c r="AS49" s="42">
        <v>2042</v>
      </c>
      <c r="AT49" s="42">
        <v>2043</v>
      </c>
      <c r="AU49" s="42">
        <v>2044</v>
      </c>
      <c r="AV49" s="42">
        <v>2045</v>
      </c>
      <c r="AW49" s="42">
        <v>2046</v>
      </c>
      <c r="AX49" s="42">
        <v>2047</v>
      </c>
      <c r="AY49" s="42">
        <v>2048</v>
      </c>
      <c r="AZ49" s="42">
        <v>2049</v>
      </c>
      <c r="BA49" s="42">
        <v>2050</v>
      </c>
    </row>
    <row r="50" spans="1:53" ht="15.75" customHeight="1">
      <c r="A50" s="350">
        <v>1930</v>
      </c>
      <c r="B50" s="350"/>
      <c r="C50" s="350"/>
      <c r="D50" s="350"/>
      <c r="E50" s="350"/>
      <c r="F50" s="350"/>
      <c r="G50" s="350"/>
      <c r="H50" s="350"/>
      <c r="I50" s="350"/>
      <c r="J50" s="350"/>
      <c r="K50" s="350"/>
      <c r="L50" s="350"/>
      <c r="M50" s="350"/>
      <c r="N50" s="350"/>
      <c r="O50" s="350"/>
      <c r="P50" s="350"/>
      <c r="Q50" s="350"/>
      <c r="R50" s="350"/>
      <c r="S50" s="350"/>
      <c r="T50" s="350"/>
      <c r="U50" s="350"/>
      <c r="V50">
        <v>5.8</v>
      </c>
      <c r="W50">
        <f t="shared" ref="W50:W123" si="31">IF(W$49-$A50&gt;$V$34,$V50,0)</f>
        <v>5.8</v>
      </c>
      <c r="X50">
        <f t="shared" ref="X50:BA50" si="32">IF(AND(X$49-$A50&gt;$V$34,SUM($W50:W50)&lt;&gt;$V50),$V50,0)</f>
        <v>0</v>
      </c>
      <c r="Y50">
        <f t="shared" si="32"/>
        <v>0</v>
      </c>
      <c r="Z50">
        <f t="shared" si="32"/>
        <v>0</v>
      </c>
      <c r="AA50">
        <f t="shared" si="32"/>
        <v>0</v>
      </c>
      <c r="AB50">
        <f t="shared" si="32"/>
        <v>0</v>
      </c>
      <c r="AC50">
        <f t="shared" si="32"/>
        <v>0</v>
      </c>
      <c r="AD50">
        <f t="shared" si="32"/>
        <v>0</v>
      </c>
      <c r="AE50">
        <f t="shared" si="32"/>
        <v>0</v>
      </c>
      <c r="AF50">
        <f t="shared" si="32"/>
        <v>0</v>
      </c>
      <c r="AG50">
        <f t="shared" si="32"/>
        <v>0</v>
      </c>
      <c r="AH50">
        <f t="shared" si="32"/>
        <v>0</v>
      </c>
      <c r="AI50">
        <f t="shared" si="32"/>
        <v>0</v>
      </c>
      <c r="AJ50">
        <f t="shared" si="32"/>
        <v>0</v>
      </c>
      <c r="AK50">
        <f t="shared" si="32"/>
        <v>0</v>
      </c>
      <c r="AL50">
        <f t="shared" si="32"/>
        <v>0</v>
      </c>
      <c r="AM50">
        <f t="shared" si="32"/>
        <v>0</v>
      </c>
      <c r="AN50">
        <f t="shared" si="32"/>
        <v>0</v>
      </c>
      <c r="AO50">
        <f t="shared" si="32"/>
        <v>0</v>
      </c>
      <c r="AP50">
        <f t="shared" si="32"/>
        <v>0</v>
      </c>
      <c r="AQ50">
        <f t="shared" si="32"/>
        <v>0</v>
      </c>
      <c r="AR50">
        <f t="shared" si="32"/>
        <v>0</v>
      </c>
      <c r="AS50">
        <f t="shared" si="32"/>
        <v>0</v>
      </c>
      <c r="AT50">
        <f t="shared" si="32"/>
        <v>0</v>
      </c>
      <c r="AU50">
        <f t="shared" si="32"/>
        <v>0</v>
      </c>
      <c r="AV50">
        <f t="shared" si="32"/>
        <v>0</v>
      </c>
      <c r="AW50">
        <f t="shared" si="32"/>
        <v>0</v>
      </c>
      <c r="AX50">
        <f t="shared" si="32"/>
        <v>0</v>
      </c>
      <c r="AY50">
        <f t="shared" si="32"/>
        <v>0</v>
      </c>
      <c r="AZ50">
        <f t="shared" si="32"/>
        <v>0</v>
      </c>
      <c r="BA50">
        <f t="shared" si="32"/>
        <v>0</v>
      </c>
    </row>
    <row r="51" spans="1:53" ht="15.75" customHeight="1">
      <c r="A51" s="350">
        <v>1936</v>
      </c>
      <c r="B51" s="350"/>
      <c r="C51" s="350"/>
      <c r="D51" s="350"/>
      <c r="E51" s="350"/>
      <c r="F51" s="350"/>
      <c r="G51" s="350"/>
      <c r="H51" s="350"/>
      <c r="I51" s="350"/>
      <c r="J51" s="350"/>
      <c r="K51" s="350"/>
      <c r="L51" s="350"/>
      <c r="M51" s="350"/>
      <c r="N51" s="350"/>
      <c r="O51" s="350"/>
      <c r="P51" s="350"/>
      <c r="Q51" s="350"/>
      <c r="R51" s="350"/>
      <c r="S51" s="350"/>
      <c r="T51" s="350"/>
      <c r="U51" s="350"/>
      <c r="V51">
        <v>6</v>
      </c>
      <c r="W51">
        <f t="shared" si="31"/>
        <v>6</v>
      </c>
      <c r="X51">
        <f t="shared" ref="X51:BA51" si="33">IF(AND(X$49-$A51&gt;$V$34,SUM($W51:W51)&lt;&gt;$V51),$V51,0)</f>
        <v>0</v>
      </c>
      <c r="Y51">
        <f t="shared" si="33"/>
        <v>0</v>
      </c>
      <c r="Z51">
        <f t="shared" si="33"/>
        <v>0</v>
      </c>
      <c r="AA51">
        <f t="shared" si="33"/>
        <v>0</v>
      </c>
      <c r="AB51">
        <f t="shared" si="33"/>
        <v>0</v>
      </c>
      <c r="AC51">
        <f t="shared" si="33"/>
        <v>0</v>
      </c>
      <c r="AD51">
        <f t="shared" si="33"/>
        <v>0</v>
      </c>
      <c r="AE51">
        <f t="shared" si="33"/>
        <v>0</v>
      </c>
      <c r="AF51">
        <f t="shared" si="33"/>
        <v>0</v>
      </c>
      <c r="AG51">
        <f t="shared" si="33"/>
        <v>0</v>
      </c>
      <c r="AH51">
        <f t="shared" si="33"/>
        <v>0</v>
      </c>
      <c r="AI51">
        <f t="shared" si="33"/>
        <v>0</v>
      </c>
      <c r="AJ51">
        <f t="shared" si="33"/>
        <v>0</v>
      </c>
      <c r="AK51">
        <f t="shared" si="33"/>
        <v>0</v>
      </c>
      <c r="AL51">
        <f t="shared" si="33"/>
        <v>0</v>
      </c>
      <c r="AM51">
        <f t="shared" si="33"/>
        <v>0</v>
      </c>
      <c r="AN51">
        <f t="shared" si="33"/>
        <v>0</v>
      </c>
      <c r="AO51">
        <f t="shared" si="33"/>
        <v>0</v>
      </c>
      <c r="AP51">
        <f t="shared" si="33"/>
        <v>0</v>
      </c>
      <c r="AQ51">
        <f t="shared" si="33"/>
        <v>0</v>
      </c>
      <c r="AR51">
        <f t="shared" si="33"/>
        <v>0</v>
      </c>
      <c r="AS51">
        <f t="shared" si="33"/>
        <v>0</v>
      </c>
      <c r="AT51">
        <f t="shared" si="33"/>
        <v>0</v>
      </c>
      <c r="AU51">
        <f t="shared" si="33"/>
        <v>0</v>
      </c>
      <c r="AV51">
        <f t="shared" si="33"/>
        <v>0</v>
      </c>
      <c r="AW51">
        <f t="shared" si="33"/>
        <v>0</v>
      </c>
      <c r="AX51">
        <f t="shared" si="33"/>
        <v>0</v>
      </c>
      <c r="AY51">
        <f t="shared" si="33"/>
        <v>0</v>
      </c>
      <c r="AZ51">
        <f t="shared" si="33"/>
        <v>0</v>
      </c>
      <c r="BA51">
        <f t="shared" si="33"/>
        <v>0</v>
      </c>
    </row>
    <row r="52" spans="1:53" ht="15.75" customHeight="1">
      <c r="A52" s="350">
        <v>1937</v>
      </c>
      <c r="B52" s="350"/>
      <c r="C52" s="350"/>
      <c r="D52" s="350"/>
      <c r="E52" s="350"/>
      <c r="F52" s="350"/>
      <c r="G52" s="350"/>
      <c r="H52" s="350"/>
      <c r="I52" s="350"/>
      <c r="J52" s="350"/>
      <c r="K52" s="350"/>
      <c r="L52" s="350"/>
      <c r="M52" s="350"/>
      <c r="N52" s="350"/>
      <c r="O52" s="350"/>
      <c r="P52" s="350"/>
      <c r="Q52" s="350"/>
      <c r="R52" s="350"/>
      <c r="S52" s="350"/>
      <c r="T52" s="350"/>
      <c r="U52" s="350"/>
      <c r="V52">
        <v>7.5</v>
      </c>
      <c r="W52">
        <f t="shared" si="31"/>
        <v>7.5</v>
      </c>
      <c r="X52">
        <f t="shared" ref="X52:BA52" si="34">IF(AND(X$49-$A52&gt;$V$34,SUM($W52:W52)&lt;&gt;$V52),$V52,0)</f>
        <v>0</v>
      </c>
      <c r="Y52">
        <f t="shared" si="34"/>
        <v>0</v>
      </c>
      <c r="Z52">
        <f t="shared" si="34"/>
        <v>0</v>
      </c>
      <c r="AA52">
        <f t="shared" si="34"/>
        <v>0</v>
      </c>
      <c r="AB52">
        <f t="shared" si="34"/>
        <v>0</v>
      </c>
      <c r="AC52">
        <f t="shared" si="34"/>
        <v>0</v>
      </c>
      <c r="AD52">
        <f t="shared" si="34"/>
        <v>0</v>
      </c>
      <c r="AE52">
        <f t="shared" si="34"/>
        <v>0</v>
      </c>
      <c r="AF52">
        <f t="shared" si="34"/>
        <v>0</v>
      </c>
      <c r="AG52">
        <f t="shared" si="34"/>
        <v>0</v>
      </c>
      <c r="AH52">
        <f t="shared" si="34"/>
        <v>0</v>
      </c>
      <c r="AI52">
        <f t="shared" si="34"/>
        <v>0</v>
      </c>
      <c r="AJ52">
        <f t="shared" si="34"/>
        <v>0</v>
      </c>
      <c r="AK52">
        <f t="shared" si="34"/>
        <v>0</v>
      </c>
      <c r="AL52">
        <f t="shared" si="34"/>
        <v>0</v>
      </c>
      <c r="AM52">
        <f t="shared" si="34"/>
        <v>0</v>
      </c>
      <c r="AN52">
        <f t="shared" si="34"/>
        <v>0</v>
      </c>
      <c r="AO52">
        <f t="shared" si="34"/>
        <v>0</v>
      </c>
      <c r="AP52">
        <f t="shared" si="34"/>
        <v>0</v>
      </c>
      <c r="AQ52">
        <f t="shared" si="34"/>
        <v>0</v>
      </c>
      <c r="AR52">
        <f t="shared" si="34"/>
        <v>0</v>
      </c>
      <c r="AS52">
        <f t="shared" si="34"/>
        <v>0</v>
      </c>
      <c r="AT52">
        <f t="shared" si="34"/>
        <v>0</v>
      </c>
      <c r="AU52">
        <f t="shared" si="34"/>
        <v>0</v>
      </c>
      <c r="AV52">
        <f t="shared" si="34"/>
        <v>0</v>
      </c>
      <c r="AW52">
        <f t="shared" si="34"/>
        <v>0</v>
      </c>
      <c r="AX52">
        <f t="shared" si="34"/>
        <v>0</v>
      </c>
      <c r="AY52">
        <f t="shared" si="34"/>
        <v>0</v>
      </c>
      <c r="AZ52">
        <f t="shared" si="34"/>
        <v>0</v>
      </c>
      <c r="BA52">
        <f t="shared" si="34"/>
        <v>0</v>
      </c>
    </row>
    <row r="53" spans="1:53" ht="15.75" customHeight="1">
      <c r="A53" s="350">
        <v>1939</v>
      </c>
      <c r="B53" s="350"/>
      <c r="C53" s="350"/>
      <c r="D53" s="350"/>
      <c r="E53" s="350"/>
      <c r="F53" s="350"/>
      <c r="G53" s="350"/>
      <c r="H53" s="350"/>
      <c r="I53" s="350"/>
      <c r="J53" s="350"/>
      <c r="K53" s="350"/>
      <c r="L53" s="350"/>
      <c r="M53" s="350"/>
      <c r="N53" s="350"/>
      <c r="O53" s="350"/>
      <c r="P53" s="350"/>
      <c r="Q53" s="350"/>
      <c r="R53" s="350"/>
      <c r="S53" s="350"/>
      <c r="T53" s="350"/>
      <c r="U53" s="350"/>
      <c r="V53">
        <v>6</v>
      </c>
      <c r="W53">
        <f t="shared" si="31"/>
        <v>6</v>
      </c>
      <c r="X53">
        <f t="shared" ref="X53:BA53" si="35">IF(AND(X$49-$A53&gt;$V$34,SUM($W53:W53)&lt;&gt;$V53),$V53,0)</f>
        <v>0</v>
      </c>
      <c r="Y53">
        <f t="shared" si="35"/>
        <v>0</v>
      </c>
      <c r="Z53">
        <f t="shared" si="35"/>
        <v>0</v>
      </c>
      <c r="AA53">
        <f t="shared" si="35"/>
        <v>0</v>
      </c>
      <c r="AB53">
        <f t="shared" si="35"/>
        <v>0</v>
      </c>
      <c r="AC53">
        <f t="shared" si="35"/>
        <v>0</v>
      </c>
      <c r="AD53">
        <f t="shared" si="35"/>
        <v>0</v>
      </c>
      <c r="AE53">
        <f t="shared" si="35"/>
        <v>0</v>
      </c>
      <c r="AF53">
        <f t="shared" si="35"/>
        <v>0</v>
      </c>
      <c r="AG53">
        <f t="shared" si="35"/>
        <v>0</v>
      </c>
      <c r="AH53">
        <f t="shared" si="35"/>
        <v>0</v>
      </c>
      <c r="AI53">
        <f t="shared" si="35"/>
        <v>0</v>
      </c>
      <c r="AJ53">
        <f t="shared" si="35"/>
        <v>0</v>
      </c>
      <c r="AK53">
        <f t="shared" si="35"/>
        <v>0</v>
      </c>
      <c r="AL53">
        <f t="shared" si="35"/>
        <v>0</v>
      </c>
      <c r="AM53">
        <f t="shared" si="35"/>
        <v>0</v>
      </c>
      <c r="AN53">
        <f t="shared" si="35"/>
        <v>0</v>
      </c>
      <c r="AO53">
        <f t="shared" si="35"/>
        <v>0</v>
      </c>
      <c r="AP53">
        <f t="shared" si="35"/>
        <v>0</v>
      </c>
      <c r="AQ53">
        <f t="shared" si="35"/>
        <v>0</v>
      </c>
      <c r="AR53">
        <f t="shared" si="35"/>
        <v>0</v>
      </c>
      <c r="AS53">
        <f t="shared" si="35"/>
        <v>0</v>
      </c>
      <c r="AT53">
        <f t="shared" si="35"/>
        <v>0</v>
      </c>
      <c r="AU53">
        <f t="shared" si="35"/>
        <v>0</v>
      </c>
      <c r="AV53">
        <f t="shared" si="35"/>
        <v>0</v>
      </c>
      <c r="AW53">
        <f t="shared" si="35"/>
        <v>0</v>
      </c>
      <c r="AX53">
        <f t="shared" si="35"/>
        <v>0</v>
      </c>
      <c r="AY53">
        <f t="shared" si="35"/>
        <v>0</v>
      </c>
      <c r="AZ53">
        <f t="shared" si="35"/>
        <v>0</v>
      </c>
      <c r="BA53">
        <f t="shared" si="35"/>
        <v>0</v>
      </c>
    </row>
    <row r="54" spans="1:53" ht="15.75" customHeight="1">
      <c r="A54" s="350">
        <v>1941</v>
      </c>
      <c r="B54" s="350"/>
      <c r="C54" s="350"/>
      <c r="D54" s="350"/>
      <c r="E54" s="350"/>
      <c r="F54" s="350"/>
      <c r="G54" s="350"/>
      <c r="H54" s="350"/>
      <c r="I54" s="350"/>
      <c r="J54" s="350"/>
      <c r="K54" s="350"/>
      <c r="L54" s="350"/>
      <c r="M54" s="350"/>
      <c r="N54" s="350"/>
      <c r="O54" s="350"/>
      <c r="P54" s="350"/>
      <c r="Q54" s="350"/>
      <c r="R54" s="350"/>
      <c r="S54" s="350"/>
      <c r="T54" s="350"/>
      <c r="U54" s="350"/>
      <c r="V54">
        <v>13.5</v>
      </c>
      <c r="W54">
        <f t="shared" si="31"/>
        <v>13.5</v>
      </c>
      <c r="X54">
        <f t="shared" ref="X54:BA54" si="36">IF(AND(X$49-$A54&gt;$V$34,SUM($W54:W54)&lt;&gt;$V54),$V54,0)</f>
        <v>0</v>
      </c>
      <c r="Y54">
        <f t="shared" si="36"/>
        <v>0</v>
      </c>
      <c r="Z54">
        <f t="shared" si="36"/>
        <v>0</v>
      </c>
      <c r="AA54">
        <f t="shared" si="36"/>
        <v>0</v>
      </c>
      <c r="AB54">
        <f t="shared" si="36"/>
        <v>0</v>
      </c>
      <c r="AC54">
        <f t="shared" si="36"/>
        <v>0</v>
      </c>
      <c r="AD54">
        <f t="shared" si="36"/>
        <v>0</v>
      </c>
      <c r="AE54">
        <f t="shared" si="36"/>
        <v>0</v>
      </c>
      <c r="AF54">
        <f t="shared" si="36"/>
        <v>0</v>
      </c>
      <c r="AG54">
        <f t="shared" si="36"/>
        <v>0</v>
      </c>
      <c r="AH54">
        <f t="shared" si="36"/>
        <v>0</v>
      </c>
      <c r="AI54">
        <f t="shared" si="36"/>
        <v>0</v>
      </c>
      <c r="AJ54">
        <f t="shared" si="36"/>
        <v>0</v>
      </c>
      <c r="AK54">
        <f t="shared" si="36"/>
        <v>0</v>
      </c>
      <c r="AL54">
        <f t="shared" si="36"/>
        <v>0</v>
      </c>
      <c r="AM54">
        <f t="shared" si="36"/>
        <v>0</v>
      </c>
      <c r="AN54">
        <f t="shared" si="36"/>
        <v>0</v>
      </c>
      <c r="AO54">
        <f t="shared" si="36"/>
        <v>0</v>
      </c>
      <c r="AP54">
        <f t="shared" si="36"/>
        <v>0</v>
      </c>
      <c r="AQ54">
        <f t="shared" si="36"/>
        <v>0</v>
      </c>
      <c r="AR54">
        <f t="shared" si="36"/>
        <v>0</v>
      </c>
      <c r="AS54">
        <f t="shared" si="36"/>
        <v>0</v>
      </c>
      <c r="AT54">
        <f t="shared" si="36"/>
        <v>0</v>
      </c>
      <c r="AU54">
        <f t="shared" si="36"/>
        <v>0</v>
      </c>
      <c r="AV54">
        <f t="shared" si="36"/>
        <v>0</v>
      </c>
      <c r="AW54">
        <f t="shared" si="36"/>
        <v>0</v>
      </c>
      <c r="AX54">
        <f t="shared" si="36"/>
        <v>0</v>
      </c>
      <c r="AY54">
        <f t="shared" si="36"/>
        <v>0</v>
      </c>
      <c r="AZ54">
        <f t="shared" si="36"/>
        <v>0</v>
      </c>
      <c r="BA54">
        <f t="shared" si="36"/>
        <v>0</v>
      </c>
    </row>
    <row r="55" spans="1:53" ht="15.75" customHeight="1">
      <c r="A55" s="350">
        <v>1946</v>
      </c>
      <c r="B55" s="350"/>
      <c r="C55" s="350"/>
      <c r="D55" s="350"/>
      <c r="E55" s="350"/>
      <c r="F55" s="350"/>
      <c r="G55" s="350"/>
      <c r="H55" s="350"/>
      <c r="I55" s="350"/>
      <c r="J55" s="350"/>
      <c r="K55" s="350"/>
      <c r="L55" s="350"/>
      <c r="M55" s="350"/>
      <c r="N55" s="350"/>
      <c r="O55" s="350"/>
      <c r="P55" s="350"/>
      <c r="Q55" s="350"/>
      <c r="R55" s="350"/>
      <c r="S55" s="350"/>
      <c r="T55" s="350"/>
      <c r="U55" s="350"/>
      <c r="V55">
        <v>13.5</v>
      </c>
      <c r="W55">
        <f t="shared" si="31"/>
        <v>13.5</v>
      </c>
      <c r="X55">
        <f t="shared" ref="X55:BA55" si="37">IF(AND(X$49-$A55&gt;$V$34,SUM($W55:W55)&lt;&gt;$V55),$V55,0)</f>
        <v>0</v>
      </c>
      <c r="Y55">
        <f t="shared" si="37"/>
        <v>0</v>
      </c>
      <c r="Z55">
        <f t="shared" si="37"/>
        <v>0</v>
      </c>
      <c r="AA55">
        <f t="shared" si="37"/>
        <v>0</v>
      </c>
      <c r="AB55">
        <f t="shared" si="37"/>
        <v>0</v>
      </c>
      <c r="AC55">
        <f t="shared" si="37"/>
        <v>0</v>
      </c>
      <c r="AD55">
        <f t="shared" si="37"/>
        <v>0</v>
      </c>
      <c r="AE55">
        <f t="shared" si="37"/>
        <v>0</v>
      </c>
      <c r="AF55">
        <f t="shared" si="37"/>
        <v>0</v>
      </c>
      <c r="AG55">
        <f t="shared" si="37"/>
        <v>0</v>
      </c>
      <c r="AH55">
        <f t="shared" si="37"/>
        <v>0</v>
      </c>
      <c r="AI55">
        <f t="shared" si="37"/>
        <v>0</v>
      </c>
      <c r="AJ55">
        <f t="shared" si="37"/>
        <v>0</v>
      </c>
      <c r="AK55">
        <f t="shared" si="37"/>
        <v>0</v>
      </c>
      <c r="AL55">
        <f t="shared" si="37"/>
        <v>0</v>
      </c>
      <c r="AM55">
        <f t="shared" si="37"/>
        <v>0</v>
      </c>
      <c r="AN55">
        <f t="shared" si="37"/>
        <v>0</v>
      </c>
      <c r="AO55">
        <f t="shared" si="37"/>
        <v>0</v>
      </c>
      <c r="AP55">
        <f t="shared" si="37"/>
        <v>0</v>
      </c>
      <c r="AQ55">
        <f t="shared" si="37"/>
        <v>0</v>
      </c>
      <c r="AR55">
        <f t="shared" si="37"/>
        <v>0</v>
      </c>
      <c r="AS55">
        <f t="shared" si="37"/>
        <v>0</v>
      </c>
      <c r="AT55">
        <f t="shared" si="37"/>
        <v>0</v>
      </c>
      <c r="AU55">
        <f t="shared" si="37"/>
        <v>0</v>
      </c>
      <c r="AV55">
        <f t="shared" si="37"/>
        <v>0</v>
      </c>
      <c r="AW55">
        <f t="shared" si="37"/>
        <v>0</v>
      </c>
      <c r="AX55">
        <f t="shared" si="37"/>
        <v>0</v>
      </c>
      <c r="AY55">
        <f t="shared" si="37"/>
        <v>0</v>
      </c>
      <c r="AZ55">
        <f t="shared" si="37"/>
        <v>0</v>
      </c>
      <c r="BA55">
        <f t="shared" si="37"/>
        <v>0</v>
      </c>
    </row>
    <row r="56" spans="1:53" ht="15.75" customHeight="1">
      <c r="A56" s="350">
        <v>1947</v>
      </c>
      <c r="B56" s="350"/>
      <c r="C56" s="350"/>
      <c r="D56" s="350"/>
      <c r="E56" s="350"/>
      <c r="F56" s="350"/>
      <c r="G56" s="350"/>
      <c r="H56" s="350"/>
      <c r="I56" s="350"/>
      <c r="J56" s="350"/>
      <c r="K56" s="350"/>
      <c r="L56" s="350"/>
      <c r="M56" s="350"/>
      <c r="N56" s="350"/>
      <c r="O56" s="350"/>
      <c r="P56" s="350"/>
      <c r="Q56" s="350"/>
      <c r="R56" s="350"/>
      <c r="S56" s="350"/>
      <c r="T56" s="350"/>
      <c r="U56" s="350"/>
      <c r="V56">
        <v>20.5</v>
      </c>
      <c r="W56">
        <f t="shared" si="31"/>
        <v>20.5</v>
      </c>
      <c r="X56">
        <f t="shared" ref="X56:BA56" si="38">IF(AND(X$49-$A56&gt;$V$34,SUM($W56:W56)&lt;&gt;$V56),$V56,0)</f>
        <v>0</v>
      </c>
      <c r="Y56">
        <f t="shared" si="38"/>
        <v>0</v>
      </c>
      <c r="Z56">
        <f t="shared" si="38"/>
        <v>0</v>
      </c>
      <c r="AA56">
        <f t="shared" si="38"/>
        <v>0</v>
      </c>
      <c r="AB56">
        <f t="shared" si="38"/>
        <v>0</v>
      </c>
      <c r="AC56">
        <f t="shared" si="38"/>
        <v>0</v>
      </c>
      <c r="AD56">
        <f t="shared" si="38"/>
        <v>0</v>
      </c>
      <c r="AE56">
        <f t="shared" si="38"/>
        <v>0</v>
      </c>
      <c r="AF56">
        <f t="shared" si="38"/>
        <v>0</v>
      </c>
      <c r="AG56">
        <f t="shared" si="38"/>
        <v>0</v>
      </c>
      <c r="AH56">
        <f t="shared" si="38"/>
        <v>0</v>
      </c>
      <c r="AI56">
        <f t="shared" si="38"/>
        <v>0</v>
      </c>
      <c r="AJ56">
        <f t="shared" si="38"/>
        <v>0</v>
      </c>
      <c r="AK56">
        <f t="shared" si="38"/>
        <v>0</v>
      </c>
      <c r="AL56">
        <f t="shared" si="38"/>
        <v>0</v>
      </c>
      <c r="AM56">
        <f t="shared" si="38"/>
        <v>0</v>
      </c>
      <c r="AN56">
        <f t="shared" si="38"/>
        <v>0</v>
      </c>
      <c r="AO56">
        <f t="shared" si="38"/>
        <v>0</v>
      </c>
      <c r="AP56">
        <f t="shared" si="38"/>
        <v>0</v>
      </c>
      <c r="AQ56">
        <f t="shared" si="38"/>
        <v>0</v>
      </c>
      <c r="AR56">
        <f t="shared" si="38"/>
        <v>0</v>
      </c>
      <c r="AS56">
        <f t="shared" si="38"/>
        <v>0</v>
      </c>
      <c r="AT56">
        <f t="shared" si="38"/>
        <v>0</v>
      </c>
      <c r="AU56">
        <f t="shared" si="38"/>
        <v>0</v>
      </c>
      <c r="AV56">
        <f t="shared" si="38"/>
        <v>0</v>
      </c>
      <c r="AW56">
        <f t="shared" si="38"/>
        <v>0</v>
      </c>
      <c r="AX56">
        <f t="shared" si="38"/>
        <v>0</v>
      </c>
      <c r="AY56">
        <f t="shared" si="38"/>
        <v>0</v>
      </c>
      <c r="AZ56">
        <f t="shared" si="38"/>
        <v>0</v>
      </c>
      <c r="BA56">
        <f t="shared" si="38"/>
        <v>0</v>
      </c>
    </row>
    <row r="57" spans="1:53" ht="15.75" customHeight="1">
      <c r="A57" s="350">
        <v>1948</v>
      </c>
      <c r="B57" s="350"/>
      <c r="C57" s="350"/>
      <c r="D57" s="350"/>
      <c r="E57" s="350"/>
      <c r="F57" s="350"/>
      <c r="G57" s="350"/>
      <c r="H57" s="350"/>
      <c r="I57" s="350"/>
      <c r="J57" s="350"/>
      <c r="K57" s="350"/>
      <c r="L57" s="350"/>
      <c r="M57" s="350"/>
      <c r="N57" s="350"/>
      <c r="O57" s="350"/>
      <c r="P57" s="350"/>
      <c r="Q57" s="350"/>
      <c r="R57" s="350"/>
      <c r="S57" s="350"/>
      <c r="T57" s="350"/>
      <c r="U57" s="350"/>
      <c r="V57">
        <v>15.5</v>
      </c>
      <c r="W57">
        <f t="shared" si="31"/>
        <v>15.5</v>
      </c>
      <c r="X57">
        <f t="shared" ref="X57:BA57" si="39">IF(AND(X$49-$A57&gt;$V$34,SUM($W57:W57)&lt;&gt;$V57),$V57,0)</f>
        <v>0</v>
      </c>
      <c r="Y57">
        <f t="shared" si="39"/>
        <v>0</v>
      </c>
      <c r="Z57">
        <f t="shared" si="39"/>
        <v>0</v>
      </c>
      <c r="AA57">
        <f t="shared" si="39"/>
        <v>0</v>
      </c>
      <c r="AB57">
        <f t="shared" si="39"/>
        <v>0</v>
      </c>
      <c r="AC57">
        <f t="shared" si="39"/>
        <v>0</v>
      </c>
      <c r="AD57">
        <f t="shared" si="39"/>
        <v>0</v>
      </c>
      <c r="AE57">
        <f t="shared" si="39"/>
        <v>0</v>
      </c>
      <c r="AF57">
        <f t="shared" si="39"/>
        <v>0</v>
      </c>
      <c r="AG57">
        <f t="shared" si="39"/>
        <v>0</v>
      </c>
      <c r="AH57">
        <f t="shared" si="39"/>
        <v>0</v>
      </c>
      <c r="AI57">
        <f t="shared" si="39"/>
        <v>0</v>
      </c>
      <c r="AJ57">
        <f t="shared" si="39"/>
        <v>0</v>
      </c>
      <c r="AK57">
        <f t="shared" si="39"/>
        <v>0</v>
      </c>
      <c r="AL57">
        <f t="shared" si="39"/>
        <v>0</v>
      </c>
      <c r="AM57">
        <f t="shared" si="39"/>
        <v>0</v>
      </c>
      <c r="AN57">
        <f t="shared" si="39"/>
        <v>0</v>
      </c>
      <c r="AO57">
        <f t="shared" si="39"/>
        <v>0</v>
      </c>
      <c r="AP57">
        <f t="shared" si="39"/>
        <v>0</v>
      </c>
      <c r="AQ57">
        <f t="shared" si="39"/>
        <v>0</v>
      </c>
      <c r="AR57">
        <f t="shared" si="39"/>
        <v>0</v>
      </c>
      <c r="AS57">
        <f t="shared" si="39"/>
        <v>0</v>
      </c>
      <c r="AT57">
        <f t="shared" si="39"/>
        <v>0</v>
      </c>
      <c r="AU57">
        <f t="shared" si="39"/>
        <v>0</v>
      </c>
      <c r="AV57">
        <f t="shared" si="39"/>
        <v>0</v>
      </c>
      <c r="AW57">
        <f t="shared" si="39"/>
        <v>0</v>
      </c>
      <c r="AX57">
        <f t="shared" si="39"/>
        <v>0</v>
      </c>
      <c r="AY57">
        <f t="shared" si="39"/>
        <v>0</v>
      </c>
      <c r="AZ57">
        <f t="shared" si="39"/>
        <v>0</v>
      </c>
      <c r="BA57">
        <f t="shared" si="39"/>
        <v>0</v>
      </c>
    </row>
    <row r="58" spans="1:53" ht="15.75" customHeight="1">
      <c r="A58" s="350">
        <v>1949</v>
      </c>
      <c r="B58" s="350"/>
      <c r="C58" s="350"/>
      <c r="D58" s="350"/>
      <c r="E58" s="350"/>
      <c r="F58" s="350"/>
      <c r="G58" s="350"/>
      <c r="H58" s="350"/>
      <c r="I58" s="350"/>
      <c r="J58" s="350"/>
      <c r="K58" s="350"/>
      <c r="L58" s="350"/>
      <c r="M58" s="350"/>
      <c r="N58" s="350"/>
      <c r="O58" s="350"/>
      <c r="P58" s="350"/>
      <c r="Q58" s="350"/>
      <c r="R58" s="350"/>
      <c r="S58" s="350"/>
      <c r="T58" s="350"/>
      <c r="U58" s="350"/>
      <c r="V58">
        <v>20.5</v>
      </c>
      <c r="W58">
        <f t="shared" si="31"/>
        <v>20.5</v>
      </c>
      <c r="X58">
        <f t="shared" ref="X58:BA58" si="40">IF(AND(X$49-$A58&gt;$V$34,SUM($W58:W58)&lt;&gt;$V58),$V58,0)</f>
        <v>0</v>
      </c>
      <c r="Y58">
        <f t="shared" si="40"/>
        <v>0</v>
      </c>
      <c r="Z58">
        <f t="shared" si="40"/>
        <v>0</v>
      </c>
      <c r="AA58">
        <f t="shared" si="40"/>
        <v>0</v>
      </c>
      <c r="AB58">
        <f t="shared" si="40"/>
        <v>0</v>
      </c>
      <c r="AC58">
        <f t="shared" si="40"/>
        <v>0</v>
      </c>
      <c r="AD58">
        <f t="shared" si="40"/>
        <v>0</v>
      </c>
      <c r="AE58">
        <f t="shared" si="40"/>
        <v>0</v>
      </c>
      <c r="AF58">
        <f t="shared" si="40"/>
        <v>0</v>
      </c>
      <c r="AG58">
        <f t="shared" si="40"/>
        <v>0</v>
      </c>
      <c r="AH58">
        <f t="shared" si="40"/>
        <v>0</v>
      </c>
      <c r="AI58">
        <f t="shared" si="40"/>
        <v>0</v>
      </c>
      <c r="AJ58">
        <f t="shared" si="40"/>
        <v>0</v>
      </c>
      <c r="AK58">
        <f t="shared" si="40"/>
        <v>0</v>
      </c>
      <c r="AL58">
        <f t="shared" si="40"/>
        <v>0</v>
      </c>
      <c r="AM58">
        <f t="shared" si="40"/>
        <v>0</v>
      </c>
      <c r="AN58">
        <f t="shared" si="40"/>
        <v>0</v>
      </c>
      <c r="AO58">
        <f t="shared" si="40"/>
        <v>0</v>
      </c>
      <c r="AP58">
        <f t="shared" si="40"/>
        <v>0</v>
      </c>
      <c r="AQ58">
        <f t="shared" si="40"/>
        <v>0</v>
      </c>
      <c r="AR58">
        <f t="shared" si="40"/>
        <v>0</v>
      </c>
      <c r="AS58">
        <f t="shared" si="40"/>
        <v>0</v>
      </c>
      <c r="AT58">
        <f t="shared" si="40"/>
        <v>0</v>
      </c>
      <c r="AU58">
        <f t="shared" si="40"/>
        <v>0</v>
      </c>
      <c r="AV58">
        <f t="shared" si="40"/>
        <v>0</v>
      </c>
      <c r="AW58">
        <f t="shared" si="40"/>
        <v>0</v>
      </c>
      <c r="AX58">
        <f t="shared" si="40"/>
        <v>0</v>
      </c>
      <c r="AY58">
        <f t="shared" si="40"/>
        <v>0</v>
      </c>
      <c r="AZ58">
        <f t="shared" si="40"/>
        <v>0</v>
      </c>
      <c r="BA58">
        <f t="shared" si="40"/>
        <v>0</v>
      </c>
    </row>
    <row r="59" spans="1:53" ht="15.75" customHeight="1">
      <c r="A59" s="350">
        <v>1950</v>
      </c>
      <c r="B59" s="350"/>
      <c r="C59" s="350"/>
      <c r="D59" s="350"/>
      <c r="E59" s="350"/>
      <c r="F59" s="350"/>
      <c r="G59" s="350"/>
      <c r="H59" s="350"/>
      <c r="I59" s="350"/>
      <c r="J59" s="350"/>
      <c r="K59" s="350"/>
      <c r="L59" s="350"/>
      <c r="M59" s="350"/>
      <c r="N59" s="350"/>
      <c r="O59" s="350"/>
      <c r="P59" s="350"/>
      <c r="Q59" s="350"/>
      <c r="R59" s="350"/>
      <c r="S59" s="350"/>
      <c r="T59" s="350"/>
      <c r="U59" s="350"/>
      <c r="V59">
        <v>4</v>
      </c>
      <c r="W59">
        <f t="shared" si="31"/>
        <v>4</v>
      </c>
      <c r="X59">
        <f t="shared" ref="X59:BA59" si="41">IF(AND(X$49-$A59&gt;$V$34,SUM($W59:W59)&lt;&gt;$V59),$V59,0)</f>
        <v>0</v>
      </c>
      <c r="Y59">
        <f t="shared" si="41"/>
        <v>0</v>
      </c>
      <c r="Z59">
        <f t="shared" si="41"/>
        <v>0</v>
      </c>
      <c r="AA59">
        <f t="shared" si="41"/>
        <v>0</v>
      </c>
      <c r="AB59">
        <f t="shared" si="41"/>
        <v>0</v>
      </c>
      <c r="AC59">
        <f t="shared" si="41"/>
        <v>0</v>
      </c>
      <c r="AD59">
        <f t="shared" si="41"/>
        <v>0</v>
      </c>
      <c r="AE59">
        <f t="shared" si="41"/>
        <v>0</v>
      </c>
      <c r="AF59">
        <f t="shared" si="41"/>
        <v>0</v>
      </c>
      <c r="AG59">
        <f t="shared" si="41"/>
        <v>0</v>
      </c>
      <c r="AH59">
        <f t="shared" si="41"/>
        <v>0</v>
      </c>
      <c r="AI59">
        <f t="shared" si="41"/>
        <v>0</v>
      </c>
      <c r="AJ59">
        <f t="shared" si="41"/>
        <v>0</v>
      </c>
      <c r="AK59">
        <f t="shared" si="41"/>
        <v>0</v>
      </c>
      <c r="AL59">
        <f t="shared" si="41"/>
        <v>0</v>
      </c>
      <c r="AM59">
        <f t="shared" si="41"/>
        <v>0</v>
      </c>
      <c r="AN59">
        <f t="shared" si="41"/>
        <v>0</v>
      </c>
      <c r="AO59">
        <f t="shared" si="41"/>
        <v>0</v>
      </c>
      <c r="AP59">
        <f t="shared" si="41"/>
        <v>0</v>
      </c>
      <c r="AQ59">
        <f t="shared" si="41"/>
        <v>0</v>
      </c>
      <c r="AR59">
        <f t="shared" si="41"/>
        <v>0</v>
      </c>
      <c r="AS59">
        <f t="shared" si="41"/>
        <v>0</v>
      </c>
      <c r="AT59">
        <f t="shared" si="41"/>
        <v>0</v>
      </c>
      <c r="AU59">
        <f t="shared" si="41"/>
        <v>0</v>
      </c>
      <c r="AV59">
        <f t="shared" si="41"/>
        <v>0</v>
      </c>
      <c r="AW59">
        <f t="shared" si="41"/>
        <v>0</v>
      </c>
      <c r="AX59">
        <f t="shared" si="41"/>
        <v>0</v>
      </c>
      <c r="AY59">
        <f t="shared" si="41"/>
        <v>0</v>
      </c>
      <c r="AZ59">
        <f t="shared" si="41"/>
        <v>0</v>
      </c>
      <c r="BA59">
        <f t="shared" si="41"/>
        <v>0</v>
      </c>
    </row>
    <row r="60" spans="1:53" ht="15.75" customHeight="1">
      <c r="A60" s="350">
        <v>1951</v>
      </c>
      <c r="B60" s="350"/>
      <c r="C60" s="350"/>
      <c r="D60" s="350"/>
      <c r="E60" s="350"/>
      <c r="F60" s="350"/>
      <c r="G60" s="350"/>
      <c r="H60" s="350"/>
      <c r="I60" s="350"/>
      <c r="J60" s="350"/>
      <c r="K60" s="350"/>
      <c r="L60" s="350"/>
      <c r="M60" s="350"/>
      <c r="N60" s="350"/>
      <c r="O60" s="350"/>
      <c r="P60" s="350"/>
      <c r="Q60" s="350"/>
      <c r="R60" s="350"/>
      <c r="S60" s="350"/>
      <c r="T60" s="350"/>
      <c r="U60" s="350"/>
      <c r="V60">
        <v>10.5</v>
      </c>
      <c r="W60">
        <f t="shared" si="31"/>
        <v>10.5</v>
      </c>
      <c r="X60">
        <f t="shared" ref="X60:BA60" si="42">IF(AND(X$49-$A60&gt;$V$34,SUM($W60:W60)&lt;&gt;$V60),$V60,0)</f>
        <v>0</v>
      </c>
      <c r="Y60">
        <f t="shared" si="42"/>
        <v>0</v>
      </c>
      <c r="Z60">
        <f t="shared" si="42"/>
        <v>0</v>
      </c>
      <c r="AA60">
        <f t="shared" si="42"/>
        <v>0</v>
      </c>
      <c r="AB60">
        <f t="shared" si="42"/>
        <v>0</v>
      </c>
      <c r="AC60">
        <f t="shared" si="42"/>
        <v>0</v>
      </c>
      <c r="AD60">
        <f t="shared" si="42"/>
        <v>0</v>
      </c>
      <c r="AE60">
        <f t="shared" si="42"/>
        <v>0</v>
      </c>
      <c r="AF60">
        <f t="shared" si="42"/>
        <v>0</v>
      </c>
      <c r="AG60">
        <f t="shared" si="42"/>
        <v>0</v>
      </c>
      <c r="AH60">
        <f t="shared" si="42"/>
        <v>0</v>
      </c>
      <c r="AI60">
        <f t="shared" si="42"/>
        <v>0</v>
      </c>
      <c r="AJ60">
        <f t="shared" si="42"/>
        <v>0</v>
      </c>
      <c r="AK60">
        <f t="shared" si="42"/>
        <v>0</v>
      </c>
      <c r="AL60">
        <f t="shared" si="42"/>
        <v>0</v>
      </c>
      <c r="AM60">
        <f t="shared" si="42"/>
        <v>0</v>
      </c>
      <c r="AN60">
        <f t="shared" si="42"/>
        <v>0</v>
      </c>
      <c r="AO60">
        <f t="shared" si="42"/>
        <v>0</v>
      </c>
      <c r="AP60">
        <f t="shared" si="42"/>
        <v>0</v>
      </c>
      <c r="AQ60">
        <f t="shared" si="42"/>
        <v>0</v>
      </c>
      <c r="AR60">
        <f t="shared" si="42"/>
        <v>0</v>
      </c>
      <c r="AS60">
        <f t="shared" si="42"/>
        <v>0</v>
      </c>
      <c r="AT60">
        <f t="shared" si="42"/>
        <v>0</v>
      </c>
      <c r="AU60">
        <f t="shared" si="42"/>
        <v>0</v>
      </c>
      <c r="AV60">
        <f t="shared" si="42"/>
        <v>0</v>
      </c>
      <c r="AW60">
        <f t="shared" si="42"/>
        <v>0</v>
      </c>
      <c r="AX60">
        <f t="shared" si="42"/>
        <v>0</v>
      </c>
      <c r="AY60">
        <f t="shared" si="42"/>
        <v>0</v>
      </c>
      <c r="AZ60">
        <f t="shared" si="42"/>
        <v>0</v>
      </c>
      <c r="BA60">
        <f t="shared" si="42"/>
        <v>0</v>
      </c>
    </row>
    <row r="61" spans="1:53" ht="15.75" customHeight="1">
      <c r="A61" s="350">
        <v>1952</v>
      </c>
      <c r="B61" s="350"/>
      <c r="C61" s="350"/>
      <c r="D61" s="350"/>
      <c r="E61" s="350"/>
      <c r="F61" s="350"/>
      <c r="G61" s="350"/>
      <c r="H61" s="350"/>
      <c r="I61" s="350"/>
      <c r="J61" s="350"/>
      <c r="K61" s="350"/>
      <c r="L61" s="350"/>
      <c r="M61" s="350"/>
      <c r="N61" s="350"/>
      <c r="O61" s="350"/>
      <c r="P61" s="350"/>
      <c r="Q61" s="350"/>
      <c r="R61" s="350"/>
      <c r="S61" s="350"/>
      <c r="T61" s="350"/>
      <c r="U61" s="350"/>
      <c r="V61">
        <v>155</v>
      </c>
      <c r="W61">
        <f t="shared" si="31"/>
        <v>155</v>
      </c>
      <c r="X61">
        <f t="shared" ref="X61:BA61" si="43">IF(AND(X$49-$A61&gt;$V$34,SUM($W61:W61)&lt;&gt;$V61),$V61,0)</f>
        <v>0</v>
      </c>
      <c r="Y61">
        <f t="shared" si="43"/>
        <v>0</v>
      </c>
      <c r="Z61">
        <f t="shared" si="43"/>
        <v>0</v>
      </c>
      <c r="AA61">
        <f t="shared" si="43"/>
        <v>0</v>
      </c>
      <c r="AB61">
        <f t="shared" si="43"/>
        <v>0</v>
      </c>
      <c r="AC61">
        <f t="shared" si="43"/>
        <v>0</v>
      </c>
      <c r="AD61">
        <f t="shared" si="43"/>
        <v>0</v>
      </c>
      <c r="AE61">
        <f t="shared" si="43"/>
        <v>0</v>
      </c>
      <c r="AF61">
        <f t="shared" si="43"/>
        <v>0</v>
      </c>
      <c r="AG61">
        <f t="shared" si="43"/>
        <v>0</v>
      </c>
      <c r="AH61">
        <f t="shared" si="43"/>
        <v>0</v>
      </c>
      <c r="AI61">
        <f t="shared" si="43"/>
        <v>0</v>
      </c>
      <c r="AJ61">
        <f t="shared" si="43"/>
        <v>0</v>
      </c>
      <c r="AK61">
        <f t="shared" si="43"/>
        <v>0</v>
      </c>
      <c r="AL61">
        <f t="shared" si="43"/>
        <v>0</v>
      </c>
      <c r="AM61">
        <f t="shared" si="43"/>
        <v>0</v>
      </c>
      <c r="AN61">
        <f t="shared" si="43"/>
        <v>0</v>
      </c>
      <c r="AO61">
        <f t="shared" si="43"/>
        <v>0</v>
      </c>
      <c r="AP61">
        <f t="shared" si="43"/>
        <v>0</v>
      </c>
      <c r="AQ61">
        <f t="shared" si="43"/>
        <v>0</v>
      </c>
      <c r="AR61">
        <f t="shared" si="43"/>
        <v>0</v>
      </c>
      <c r="AS61">
        <f t="shared" si="43"/>
        <v>0</v>
      </c>
      <c r="AT61">
        <f t="shared" si="43"/>
        <v>0</v>
      </c>
      <c r="AU61">
        <f t="shared" si="43"/>
        <v>0</v>
      </c>
      <c r="AV61">
        <f t="shared" si="43"/>
        <v>0</v>
      </c>
      <c r="AW61">
        <f t="shared" si="43"/>
        <v>0</v>
      </c>
      <c r="AX61">
        <f t="shared" si="43"/>
        <v>0</v>
      </c>
      <c r="AY61">
        <f t="shared" si="43"/>
        <v>0</v>
      </c>
      <c r="AZ61">
        <f t="shared" si="43"/>
        <v>0</v>
      </c>
      <c r="BA61">
        <f t="shared" si="43"/>
        <v>0</v>
      </c>
    </row>
    <row r="62" spans="1:53" ht="15.75" customHeight="1">
      <c r="A62" s="350">
        <v>1953</v>
      </c>
      <c r="B62" s="350"/>
      <c r="C62" s="350"/>
      <c r="D62" s="350"/>
      <c r="E62" s="350"/>
      <c r="F62" s="350"/>
      <c r="G62" s="350"/>
      <c r="H62" s="350"/>
      <c r="I62" s="350"/>
      <c r="J62" s="350"/>
      <c r="K62" s="350"/>
      <c r="L62" s="350"/>
      <c r="M62" s="350"/>
      <c r="N62" s="350"/>
      <c r="O62" s="350"/>
      <c r="P62" s="350"/>
      <c r="Q62" s="350"/>
      <c r="R62" s="350"/>
      <c r="S62" s="350"/>
      <c r="T62" s="350"/>
      <c r="U62" s="350"/>
      <c r="V62">
        <v>1230</v>
      </c>
      <c r="W62">
        <f t="shared" si="31"/>
        <v>1230</v>
      </c>
      <c r="X62">
        <f t="shared" ref="X62:BA62" si="44">IF(AND(X$49-$A62&gt;$V$34,SUM($W62:W62)&lt;&gt;$V62),$V62,0)</f>
        <v>0</v>
      </c>
      <c r="Y62">
        <f t="shared" si="44"/>
        <v>0</v>
      </c>
      <c r="Z62">
        <f t="shared" si="44"/>
        <v>0</v>
      </c>
      <c r="AA62">
        <f t="shared" si="44"/>
        <v>0</v>
      </c>
      <c r="AB62">
        <f t="shared" si="44"/>
        <v>0</v>
      </c>
      <c r="AC62">
        <f t="shared" si="44"/>
        <v>0</v>
      </c>
      <c r="AD62">
        <f t="shared" si="44"/>
        <v>0</v>
      </c>
      <c r="AE62">
        <f t="shared" si="44"/>
        <v>0</v>
      </c>
      <c r="AF62">
        <f t="shared" si="44"/>
        <v>0</v>
      </c>
      <c r="AG62">
        <f t="shared" si="44"/>
        <v>0</v>
      </c>
      <c r="AH62">
        <f t="shared" si="44"/>
        <v>0</v>
      </c>
      <c r="AI62">
        <f t="shared" si="44"/>
        <v>0</v>
      </c>
      <c r="AJ62">
        <f t="shared" si="44"/>
        <v>0</v>
      </c>
      <c r="AK62">
        <f t="shared" si="44"/>
        <v>0</v>
      </c>
      <c r="AL62">
        <f t="shared" si="44"/>
        <v>0</v>
      </c>
      <c r="AM62">
        <f t="shared" si="44"/>
        <v>0</v>
      </c>
      <c r="AN62">
        <f t="shared" si="44"/>
        <v>0</v>
      </c>
      <c r="AO62">
        <f t="shared" si="44"/>
        <v>0</v>
      </c>
      <c r="AP62">
        <f t="shared" si="44"/>
        <v>0</v>
      </c>
      <c r="AQ62">
        <f t="shared" si="44"/>
        <v>0</v>
      </c>
      <c r="AR62">
        <f t="shared" si="44"/>
        <v>0</v>
      </c>
      <c r="AS62">
        <f t="shared" si="44"/>
        <v>0</v>
      </c>
      <c r="AT62">
        <f t="shared" si="44"/>
        <v>0</v>
      </c>
      <c r="AU62">
        <f t="shared" si="44"/>
        <v>0</v>
      </c>
      <c r="AV62">
        <f t="shared" si="44"/>
        <v>0</v>
      </c>
      <c r="AW62">
        <f t="shared" si="44"/>
        <v>0</v>
      </c>
      <c r="AX62">
        <f t="shared" si="44"/>
        <v>0</v>
      </c>
      <c r="AY62">
        <f t="shared" si="44"/>
        <v>0</v>
      </c>
      <c r="AZ62">
        <f t="shared" si="44"/>
        <v>0</v>
      </c>
      <c r="BA62">
        <f t="shared" si="44"/>
        <v>0</v>
      </c>
    </row>
    <row r="63" spans="1:53" ht="15.75" customHeight="1">
      <c r="A63" s="350">
        <v>1954</v>
      </c>
      <c r="B63" s="350"/>
      <c r="C63" s="350"/>
      <c r="D63" s="350"/>
      <c r="E63" s="350"/>
      <c r="F63" s="350"/>
      <c r="G63" s="350"/>
      <c r="H63" s="350"/>
      <c r="I63" s="350"/>
      <c r="J63" s="350"/>
      <c r="K63" s="350"/>
      <c r="L63" s="350"/>
      <c r="M63" s="350"/>
      <c r="N63" s="350"/>
      <c r="O63" s="350"/>
      <c r="P63" s="350"/>
      <c r="Q63" s="350"/>
      <c r="R63" s="350"/>
      <c r="S63" s="350"/>
      <c r="T63" s="350"/>
      <c r="U63" s="350"/>
      <c r="V63">
        <v>1922</v>
      </c>
      <c r="W63">
        <f t="shared" si="31"/>
        <v>1922</v>
      </c>
      <c r="X63">
        <f t="shared" ref="X63:BA63" si="45">IF(AND(X$49-$A63&gt;$V$34,SUM($W63:W63)&lt;&gt;$V63),$V63,0)</f>
        <v>0</v>
      </c>
      <c r="Y63">
        <f t="shared" si="45"/>
        <v>0</v>
      </c>
      <c r="Z63">
        <f t="shared" si="45"/>
        <v>0</v>
      </c>
      <c r="AA63">
        <f t="shared" si="45"/>
        <v>0</v>
      </c>
      <c r="AB63">
        <f t="shared" si="45"/>
        <v>0</v>
      </c>
      <c r="AC63">
        <f t="shared" si="45"/>
        <v>0</v>
      </c>
      <c r="AD63">
        <f t="shared" si="45"/>
        <v>0</v>
      </c>
      <c r="AE63">
        <f t="shared" si="45"/>
        <v>0</v>
      </c>
      <c r="AF63">
        <f t="shared" si="45"/>
        <v>0</v>
      </c>
      <c r="AG63">
        <f t="shared" si="45"/>
        <v>0</v>
      </c>
      <c r="AH63">
        <f t="shared" si="45"/>
        <v>0</v>
      </c>
      <c r="AI63">
        <f t="shared" si="45"/>
        <v>0</v>
      </c>
      <c r="AJ63">
        <f t="shared" si="45"/>
        <v>0</v>
      </c>
      <c r="AK63">
        <f t="shared" si="45"/>
        <v>0</v>
      </c>
      <c r="AL63">
        <f t="shared" si="45"/>
        <v>0</v>
      </c>
      <c r="AM63">
        <f t="shared" si="45"/>
        <v>0</v>
      </c>
      <c r="AN63">
        <f t="shared" si="45"/>
        <v>0</v>
      </c>
      <c r="AO63">
        <f t="shared" si="45"/>
        <v>0</v>
      </c>
      <c r="AP63">
        <f t="shared" si="45"/>
        <v>0</v>
      </c>
      <c r="AQ63">
        <f t="shared" si="45"/>
        <v>0</v>
      </c>
      <c r="AR63">
        <f t="shared" si="45"/>
        <v>0</v>
      </c>
      <c r="AS63">
        <f t="shared" si="45"/>
        <v>0</v>
      </c>
      <c r="AT63">
        <f t="shared" si="45"/>
        <v>0</v>
      </c>
      <c r="AU63">
        <f t="shared" si="45"/>
        <v>0</v>
      </c>
      <c r="AV63">
        <f t="shared" si="45"/>
        <v>0</v>
      </c>
      <c r="AW63">
        <f t="shared" si="45"/>
        <v>0</v>
      </c>
      <c r="AX63">
        <f t="shared" si="45"/>
        <v>0</v>
      </c>
      <c r="AY63">
        <f t="shared" si="45"/>
        <v>0</v>
      </c>
      <c r="AZ63">
        <f t="shared" si="45"/>
        <v>0</v>
      </c>
      <c r="BA63">
        <f t="shared" si="45"/>
        <v>0</v>
      </c>
    </row>
    <row r="64" spans="1:53" ht="15.75" customHeight="1">
      <c r="A64" s="350">
        <v>1955</v>
      </c>
      <c r="B64" s="350"/>
      <c r="C64" s="350"/>
      <c r="D64" s="350"/>
      <c r="E64" s="350"/>
      <c r="F64" s="350"/>
      <c r="G64" s="350"/>
      <c r="H64" s="350"/>
      <c r="I64" s="350"/>
      <c r="J64" s="350"/>
      <c r="K64" s="350"/>
      <c r="L64" s="350"/>
      <c r="M64" s="350"/>
      <c r="N64" s="350"/>
      <c r="O64" s="350"/>
      <c r="P64" s="350"/>
      <c r="Q64" s="350"/>
      <c r="R64" s="350"/>
      <c r="S64" s="350"/>
      <c r="T64" s="350"/>
      <c r="U64" s="350"/>
      <c r="V64">
        <v>3734.6</v>
      </c>
      <c r="W64">
        <f t="shared" si="31"/>
        <v>3734.6</v>
      </c>
      <c r="X64">
        <f t="shared" ref="X64:BA64" si="46">IF(AND(X$49-$A64&gt;$V$34,SUM($W64:W64)&lt;&gt;$V64),$V64,0)</f>
        <v>0</v>
      </c>
      <c r="Y64">
        <f t="shared" si="46"/>
        <v>0</v>
      </c>
      <c r="Z64">
        <f t="shared" si="46"/>
        <v>0</v>
      </c>
      <c r="AA64">
        <f t="shared" si="46"/>
        <v>0</v>
      </c>
      <c r="AB64">
        <f t="shared" si="46"/>
        <v>0</v>
      </c>
      <c r="AC64">
        <f t="shared" si="46"/>
        <v>0</v>
      </c>
      <c r="AD64">
        <f t="shared" si="46"/>
        <v>0</v>
      </c>
      <c r="AE64">
        <f t="shared" si="46"/>
        <v>0</v>
      </c>
      <c r="AF64">
        <f t="shared" si="46"/>
        <v>0</v>
      </c>
      <c r="AG64">
        <f t="shared" si="46"/>
        <v>0</v>
      </c>
      <c r="AH64">
        <f t="shared" si="46"/>
        <v>0</v>
      </c>
      <c r="AI64">
        <f t="shared" si="46"/>
        <v>0</v>
      </c>
      <c r="AJ64">
        <f t="shared" si="46"/>
        <v>0</v>
      </c>
      <c r="AK64">
        <f t="shared" si="46"/>
        <v>0</v>
      </c>
      <c r="AL64">
        <f t="shared" si="46"/>
        <v>0</v>
      </c>
      <c r="AM64">
        <f t="shared" si="46"/>
        <v>0</v>
      </c>
      <c r="AN64">
        <f t="shared" si="46"/>
        <v>0</v>
      </c>
      <c r="AO64">
        <f t="shared" si="46"/>
        <v>0</v>
      </c>
      <c r="AP64">
        <f t="shared" si="46"/>
        <v>0</v>
      </c>
      <c r="AQ64">
        <f t="shared" si="46"/>
        <v>0</v>
      </c>
      <c r="AR64">
        <f t="shared" si="46"/>
        <v>0</v>
      </c>
      <c r="AS64">
        <f t="shared" si="46"/>
        <v>0</v>
      </c>
      <c r="AT64">
        <f t="shared" si="46"/>
        <v>0</v>
      </c>
      <c r="AU64">
        <f t="shared" si="46"/>
        <v>0</v>
      </c>
      <c r="AV64">
        <f t="shared" si="46"/>
        <v>0</v>
      </c>
      <c r="AW64">
        <f t="shared" si="46"/>
        <v>0</v>
      </c>
      <c r="AX64">
        <f t="shared" si="46"/>
        <v>0</v>
      </c>
      <c r="AY64">
        <f t="shared" si="46"/>
        <v>0</v>
      </c>
      <c r="AZ64">
        <f t="shared" si="46"/>
        <v>0</v>
      </c>
      <c r="BA64">
        <f t="shared" si="46"/>
        <v>0</v>
      </c>
    </row>
    <row r="65" spans="1:53" ht="15.75" customHeight="1">
      <c r="A65" s="350">
        <v>1956</v>
      </c>
      <c r="B65" s="350"/>
      <c r="C65" s="350"/>
      <c r="D65" s="350"/>
      <c r="E65" s="350"/>
      <c r="F65" s="350"/>
      <c r="G65" s="350"/>
      <c r="H65" s="350"/>
      <c r="I65" s="350"/>
      <c r="J65" s="350"/>
      <c r="K65" s="350"/>
      <c r="L65" s="350"/>
      <c r="M65" s="350"/>
      <c r="N65" s="350"/>
      <c r="O65" s="350"/>
      <c r="P65" s="350"/>
      <c r="Q65" s="350"/>
      <c r="R65" s="350"/>
      <c r="S65" s="350"/>
      <c r="T65" s="350"/>
      <c r="U65" s="350"/>
      <c r="V65">
        <v>586.5</v>
      </c>
      <c r="W65">
        <f t="shared" si="31"/>
        <v>586.5</v>
      </c>
      <c r="X65">
        <f t="shared" ref="X65:BA65" si="47">IF(AND(X$49-$A65&gt;$V$34,SUM($W65:W65)&lt;&gt;$V65),$V65,0)</f>
        <v>0</v>
      </c>
      <c r="Y65">
        <f t="shared" si="47"/>
        <v>0</v>
      </c>
      <c r="Z65">
        <f t="shared" si="47"/>
        <v>0</v>
      </c>
      <c r="AA65">
        <f t="shared" si="47"/>
        <v>0</v>
      </c>
      <c r="AB65">
        <f t="shared" si="47"/>
        <v>0</v>
      </c>
      <c r="AC65">
        <f t="shared" si="47"/>
        <v>0</v>
      </c>
      <c r="AD65">
        <f t="shared" si="47"/>
        <v>0</v>
      </c>
      <c r="AE65">
        <f t="shared" si="47"/>
        <v>0</v>
      </c>
      <c r="AF65">
        <f t="shared" si="47"/>
        <v>0</v>
      </c>
      <c r="AG65">
        <f t="shared" si="47"/>
        <v>0</v>
      </c>
      <c r="AH65">
        <f t="shared" si="47"/>
        <v>0</v>
      </c>
      <c r="AI65">
        <f t="shared" si="47"/>
        <v>0</v>
      </c>
      <c r="AJ65">
        <f t="shared" si="47"/>
        <v>0</v>
      </c>
      <c r="AK65">
        <f t="shared" si="47"/>
        <v>0</v>
      </c>
      <c r="AL65">
        <f t="shared" si="47"/>
        <v>0</v>
      </c>
      <c r="AM65">
        <f t="shared" si="47"/>
        <v>0</v>
      </c>
      <c r="AN65">
        <f t="shared" si="47"/>
        <v>0</v>
      </c>
      <c r="AO65">
        <f t="shared" si="47"/>
        <v>0</v>
      </c>
      <c r="AP65">
        <f t="shared" si="47"/>
        <v>0</v>
      </c>
      <c r="AQ65">
        <f t="shared" si="47"/>
        <v>0</v>
      </c>
      <c r="AR65">
        <f t="shared" si="47"/>
        <v>0</v>
      </c>
      <c r="AS65">
        <f t="shared" si="47"/>
        <v>0</v>
      </c>
      <c r="AT65">
        <f t="shared" si="47"/>
        <v>0</v>
      </c>
      <c r="AU65">
        <f t="shared" si="47"/>
        <v>0</v>
      </c>
      <c r="AV65">
        <f t="shared" si="47"/>
        <v>0</v>
      </c>
      <c r="AW65">
        <f t="shared" si="47"/>
        <v>0</v>
      </c>
      <c r="AX65">
        <f t="shared" si="47"/>
        <v>0</v>
      </c>
      <c r="AY65">
        <f t="shared" si="47"/>
        <v>0</v>
      </c>
      <c r="AZ65">
        <f t="shared" si="47"/>
        <v>0</v>
      </c>
      <c r="BA65">
        <f t="shared" si="47"/>
        <v>0</v>
      </c>
    </row>
    <row r="66" spans="1:53" ht="15.75" customHeight="1">
      <c r="A66" s="350">
        <v>1957</v>
      </c>
      <c r="B66" s="350"/>
      <c r="C66" s="350"/>
      <c r="D66" s="350"/>
      <c r="E66" s="350"/>
      <c r="F66" s="350"/>
      <c r="G66" s="350"/>
      <c r="H66" s="350"/>
      <c r="I66" s="350"/>
      <c r="J66" s="350"/>
      <c r="K66" s="350"/>
      <c r="L66" s="350"/>
      <c r="M66" s="350"/>
      <c r="N66" s="350"/>
      <c r="O66" s="350"/>
      <c r="P66" s="350"/>
      <c r="Q66" s="350"/>
      <c r="R66" s="350"/>
      <c r="S66" s="350"/>
      <c r="T66" s="350"/>
      <c r="U66" s="350"/>
      <c r="V66">
        <v>1143.8</v>
      </c>
      <c r="W66">
        <f t="shared" si="31"/>
        <v>1143.8</v>
      </c>
      <c r="X66">
        <f t="shared" ref="X66:BA66" si="48">IF(AND(X$49-$A66&gt;$V$34,SUM($W66:W66)&lt;&gt;$V66),$V66,0)</f>
        <v>0</v>
      </c>
      <c r="Y66">
        <f t="shared" si="48"/>
        <v>0</v>
      </c>
      <c r="Z66">
        <f t="shared" si="48"/>
        <v>0</v>
      </c>
      <c r="AA66">
        <f t="shared" si="48"/>
        <v>0</v>
      </c>
      <c r="AB66">
        <f t="shared" si="48"/>
        <v>0</v>
      </c>
      <c r="AC66">
        <f t="shared" si="48"/>
        <v>0</v>
      </c>
      <c r="AD66">
        <f t="shared" si="48"/>
        <v>0</v>
      </c>
      <c r="AE66">
        <f t="shared" si="48"/>
        <v>0</v>
      </c>
      <c r="AF66">
        <f t="shared" si="48"/>
        <v>0</v>
      </c>
      <c r="AG66">
        <f t="shared" si="48"/>
        <v>0</v>
      </c>
      <c r="AH66">
        <f t="shared" si="48"/>
        <v>0</v>
      </c>
      <c r="AI66">
        <f t="shared" si="48"/>
        <v>0</v>
      </c>
      <c r="AJ66">
        <f t="shared" si="48"/>
        <v>0</v>
      </c>
      <c r="AK66">
        <f t="shared" si="48"/>
        <v>0</v>
      </c>
      <c r="AL66">
        <f t="shared" si="48"/>
        <v>0</v>
      </c>
      <c r="AM66">
        <f t="shared" si="48"/>
        <v>0</v>
      </c>
      <c r="AN66">
        <f t="shared" si="48"/>
        <v>0</v>
      </c>
      <c r="AO66">
        <f t="shared" si="48"/>
        <v>0</v>
      </c>
      <c r="AP66">
        <f t="shared" si="48"/>
        <v>0</v>
      </c>
      <c r="AQ66">
        <f t="shared" si="48"/>
        <v>0</v>
      </c>
      <c r="AR66">
        <f t="shared" si="48"/>
        <v>0</v>
      </c>
      <c r="AS66">
        <f t="shared" si="48"/>
        <v>0</v>
      </c>
      <c r="AT66">
        <f t="shared" si="48"/>
        <v>0</v>
      </c>
      <c r="AU66">
        <f t="shared" si="48"/>
        <v>0</v>
      </c>
      <c r="AV66">
        <f t="shared" si="48"/>
        <v>0</v>
      </c>
      <c r="AW66">
        <f t="shared" si="48"/>
        <v>0</v>
      </c>
      <c r="AX66">
        <f t="shared" si="48"/>
        <v>0</v>
      </c>
      <c r="AY66">
        <f t="shared" si="48"/>
        <v>0</v>
      </c>
      <c r="AZ66">
        <f t="shared" si="48"/>
        <v>0</v>
      </c>
      <c r="BA66">
        <f t="shared" si="48"/>
        <v>0</v>
      </c>
    </row>
    <row r="67" spans="1:53" ht="15.75" customHeight="1">
      <c r="A67" s="350">
        <v>1958</v>
      </c>
      <c r="B67" s="350"/>
      <c r="C67" s="350"/>
      <c r="D67" s="350"/>
      <c r="E67" s="350"/>
      <c r="F67" s="350"/>
      <c r="G67" s="350"/>
      <c r="H67" s="350"/>
      <c r="I67" s="350"/>
      <c r="J67" s="350"/>
      <c r="K67" s="350"/>
      <c r="L67" s="350"/>
      <c r="M67" s="350"/>
      <c r="N67" s="350"/>
      <c r="O67" s="350"/>
      <c r="P67" s="350"/>
      <c r="Q67" s="350"/>
      <c r="R67" s="350"/>
      <c r="S67" s="350"/>
      <c r="T67" s="350"/>
      <c r="U67" s="350"/>
      <c r="V67">
        <v>1937.6999999999998</v>
      </c>
      <c r="W67">
        <f t="shared" si="31"/>
        <v>1937.6999999999998</v>
      </c>
      <c r="X67">
        <f t="shared" ref="X67:BA67" si="49">IF(AND(X$49-$A67&gt;$V$34,SUM($W67:W67)&lt;&gt;$V67),$V67,0)</f>
        <v>0</v>
      </c>
      <c r="Y67">
        <f t="shared" si="49"/>
        <v>0</v>
      </c>
      <c r="Z67">
        <f t="shared" si="49"/>
        <v>0</v>
      </c>
      <c r="AA67">
        <f t="shared" si="49"/>
        <v>0</v>
      </c>
      <c r="AB67">
        <f t="shared" si="49"/>
        <v>0</v>
      </c>
      <c r="AC67">
        <f t="shared" si="49"/>
        <v>0</v>
      </c>
      <c r="AD67">
        <f t="shared" si="49"/>
        <v>0</v>
      </c>
      <c r="AE67">
        <f t="shared" si="49"/>
        <v>0</v>
      </c>
      <c r="AF67">
        <f t="shared" si="49"/>
        <v>0</v>
      </c>
      <c r="AG67">
        <f t="shared" si="49"/>
        <v>0</v>
      </c>
      <c r="AH67">
        <f t="shared" si="49"/>
        <v>0</v>
      </c>
      <c r="AI67">
        <f t="shared" si="49"/>
        <v>0</v>
      </c>
      <c r="AJ67">
        <f t="shared" si="49"/>
        <v>0</v>
      </c>
      <c r="AK67">
        <f t="shared" si="49"/>
        <v>0</v>
      </c>
      <c r="AL67">
        <f t="shared" si="49"/>
        <v>0</v>
      </c>
      <c r="AM67">
        <f t="shared" si="49"/>
        <v>0</v>
      </c>
      <c r="AN67">
        <f t="shared" si="49"/>
        <v>0</v>
      </c>
      <c r="AO67">
        <f t="shared" si="49"/>
        <v>0</v>
      </c>
      <c r="AP67">
        <f t="shared" si="49"/>
        <v>0</v>
      </c>
      <c r="AQ67">
        <f t="shared" si="49"/>
        <v>0</v>
      </c>
      <c r="AR67">
        <f t="shared" si="49"/>
        <v>0</v>
      </c>
      <c r="AS67">
        <f t="shared" si="49"/>
        <v>0</v>
      </c>
      <c r="AT67">
        <f t="shared" si="49"/>
        <v>0</v>
      </c>
      <c r="AU67">
        <f t="shared" si="49"/>
        <v>0</v>
      </c>
      <c r="AV67">
        <f t="shared" si="49"/>
        <v>0</v>
      </c>
      <c r="AW67">
        <f t="shared" si="49"/>
        <v>0</v>
      </c>
      <c r="AX67">
        <f t="shared" si="49"/>
        <v>0</v>
      </c>
      <c r="AY67">
        <f t="shared" si="49"/>
        <v>0</v>
      </c>
      <c r="AZ67">
        <f t="shared" si="49"/>
        <v>0</v>
      </c>
      <c r="BA67">
        <f t="shared" si="49"/>
        <v>0</v>
      </c>
    </row>
    <row r="68" spans="1:53" ht="15.75" customHeight="1">
      <c r="A68" s="350">
        <v>1959</v>
      </c>
      <c r="B68" s="350"/>
      <c r="C68" s="350"/>
      <c r="D68" s="350"/>
      <c r="E68" s="350"/>
      <c r="F68" s="350"/>
      <c r="G68" s="350"/>
      <c r="H68" s="350"/>
      <c r="I68" s="350"/>
      <c r="J68" s="350"/>
      <c r="K68" s="350"/>
      <c r="L68" s="350"/>
      <c r="M68" s="350"/>
      <c r="N68" s="350"/>
      <c r="O68" s="350"/>
      <c r="P68" s="350"/>
      <c r="Q68" s="350"/>
      <c r="R68" s="350"/>
      <c r="S68" s="350"/>
      <c r="T68" s="350"/>
      <c r="U68" s="350"/>
      <c r="V68">
        <v>3700</v>
      </c>
      <c r="W68">
        <f t="shared" si="31"/>
        <v>0</v>
      </c>
      <c r="X68">
        <f t="shared" ref="X68:BA68" si="50">IF(AND(X$49-$A68&gt;$V$34,SUM($W68:W68)&lt;&gt;$V68),$V68,0)</f>
        <v>3700</v>
      </c>
      <c r="Y68">
        <f t="shared" si="50"/>
        <v>0</v>
      </c>
      <c r="Z68">
        <f t="shared" si="50"/>
        <v>0</v>
      </c>
      <c r="AA68">
        <f t="shared" si="50"/>
        <v>0</v>
      </c>
      <c r="AB68">
        <f t="shared" si="50"/>
        <v>0</v>
      </c>
      <c r="AC68">
        <f t="shared" si="50"/>
        <v>0</v>
      </c>
      <c r="AD68">
        <f t="shared" si="50"/>
        <v>0</v>
      </c>
      <c r="AE68">
        <f t="shared" si="50"/>
        <v>0</v>
      </c>
      <c r="AF68">
        <f t="shared" si="50"/>
        <v>0</v>
      </c>
      <c r="AG68">
        <f t="shared" si="50"/>
        <v>0</v>
      </c>
      <c r="AH68">
        <f t="shared" si="50"/>
        <v>0</v>
      </c>
      <c r="AI68">
        <f t="shared" si="50"/>
        <v>0</v>
      </c>
      <c r="AJ68">
        <f t="shared" si="50"/>
        <v>0</v>
      </c>
      <c r="AK68">
        <f t="shared" si="50"/>
        <v>0</v>
      </c>
      <c r="AL68">
        <f t="shared" si="50"/>
        <v>0</v>
      </c>
      <c r="AM68">
        <f t="shared" si="50"/>
        <v>0</v>
      </c>
      <c r="AN68">
        <f t="shared" si="50"/>
        <v>0</v>
      </c>
      <c r="AO68">
        <f t="shared" si="50"/>
        <v>0</v>
      </c>
      <c r="AP68">
        <f t="shared" si="50"/>
        <v>0</v>
      </c>
      <c r="AQ68">
        <f t="shared" si="50"/>
        <v>0</v>
      </c>
      <c r="AR68">
        <f t="shared" si="50"/>
        <v>0</v>
      </c>
      <c r="AS68">
        <f t="shared" si="50"/>
        <v>0</v>
      </c>
      <c r="AT68">
        <f t="shared" si="50"/>
        <v>0</v>
      </c>
      <c r="AU68">
        <f t="shared" si="50"/>
        <v>0</v>
      </c>
      <c r="AV68">
        <f t="shared" si="50"/>
        <v>0</v>
      </c>
      <c r="AW68">
        <f t="shared" si="50"/>
        <v>0</v>
      </c>
      <c r="AX68">
        <f t="shared" si="50"/>
        <v>0</v>
      </c>
      <c r="AY68">
        <f t="shared" si="50"/>
        <v>0</v>
      </c>
      <c r="AZ68">
        <f t="shared" si="50"/>
        <v>0</v>
      </c>
      <c r="BA68">
        <f t="shared" si="50"/>
        <v>0</v>
      </c>
    </row>
    <row r="69" spans="1:53" ht="15.75" customHeight="1">
      <c r="A69" s="350">
        <v>1960</v>
      </c>
      <c r="B69" s="350"/>
      <c r="C69" s="350"/>
      <c r="D69" s="350"/>
      <c r="E69" s="350"/>
      <c r="F69" s="350"/>
      <c r="G69" s="350"/>
      <c r="H69" s="350"/>
      <c r="I69" s="350"/>
      <c r="J69" s="350"/>
      <c r="K69" s="350"/>
      <c r="L69" s="350"/>
      <c r="M69" s="350"/>
      <c r="N69" s="350"/>
      <c r="O69" s="350"/>
      <c r="P69" s="350"/>
      <c r="Q69" s="350"/>
      <c r="R69" s="350"/>
      <c r="S69" s="350"/>
      <c r="T69" s="350"/>
      <c r="U69" s="350"/>
      <c r="V69">
        <v>1381.1999999999998</v>
      </c>
      <c r="W69">
        <f t="shared" si="31"/>
        <v>0</v>
      </c>
      <c r="X69">
        <f t="shared" ref="X69:BA69" si="51">IF(AND(X$49-$A69&gt;$V$34,SUM($W69:W69)&lt;&gt;$V69),$V69,0)</f>
        <v>0</v>
      </c>
      <c r="Y69">
        <f t="shared" si="51"/>
        <v>1381.1999999999998</v>
      </c>
      <c r="Z69">
        <f t="shared" si="51"/>
        <v>0</v>
      </c>
      <c r="AA69">
        <f t="shared" si="51"/>
        <v>0</v>
      </c>
      <c r="AB69">
        <f t="shared" si="51"/>
        <v>0</v>
      </c>
      <c r="AC69">
        <f t="shared" si="51"/>
        <v>0</v>
      </c>
      <c r="AD69">
        <f t="shared" si="51"/>
        <v>0</v>
      </c>
      <c r="AE69">
        <f t="shared" si="51"/>
        <v>0</v>
      </c>
      <c r="AF69">
        <f t="shared" si="51"/>
        <v>0</v>
      </c>
      <c r="AG69">
        <f t="shared" si="51"/>
        <v>0</v>
      </c>
      <c r="AH69">
        <f t="shared" si="51"/>
        <v>0</v>
      </c>
      <c r="AI69">
        <f t="shared" si="51"/>
        <v>0</v>
      </c>
      <c r="AJ69">
        <f t="shared" si="51"/>
        <v>0</v>
      </c>
      <c r="AK69">
        <f t="shared" si="51"/>
        <v>0</v>
      </c>
      <c r="AL69">
        <f t="shared" si="51"/>
        <v>0</v>
      </c>
      <c r="AM69">
        <f t="shared" si="51"/>
        <v>0</v>
      </c>
      <c r="AN69">
        <f t="shared" si="51"/>
        <v>0</v>
      </c>
      <c r="AO69">
        <f t="shared" si="51"/>
        <v>0</v>
      </c>
      <c r="AP69">
        <f t="shared" si="51"/>
        <v>0</v>
      </c>
      <c r="AQ69">
        <f t="shared" si="51"/>
        <v>0</v>
      </c>
      <c r="AR69">
        <f t="shared" si="51"/>
        <v>0</v>
      </c>
      <c r="AS69">
        <f t="shared" si="51"/>
        <v>0</v>
      </c>
      <c r="AT69">
        <f t="shared" si="51"/>
        <v>0</v>
      </c>
      <c r="AU69">
        <f t="shared" si="51"/>
        <v>0</v>
      </c>
      <c r="AV69">
        <f t="shared" si="51"/>
        <v>0</v>
      </c>
      <c r="AW69">
        <f t="shared" si="51"/>
        <v>0</v>
      </c>
      <c r="AX69">
        <f t="shared" si="51"/>
        <v>0</v>
      </c>
      <c r="AY69">
        <f t="shared" si="51"/>
        <v>0</v>
      </c>
      <c r="AZ69">
        <f t="shared" si="51"/>
        <v>0</v>
      </c>
      <c r="BA69">
        <f t="shared" si="51"/>
        <v>0</v>
      </c>
    </row>
    <row r="70" spans="1:53" ht="15.75" customHeight="1">
      <c r="A70" s="350">
        <v>1961</v>
      </c>
      <c r="B70" s="350"/>
      <c r="C70" s="350"/>
      <c r="D70" s="350"/>
      <c r="E70" s="350"/>
      <c r="F70" s="350"/>
      <c r="G70" s="350"/>
      <c r="H70" s="350"/>
      <c r="I70" s="350"/>
      <c r="J70" s="350"/>
      <c r="K70" s="350"/>
      <c r="L70" s="350"/>
      <c r="M70" s="350"/>
      <c r="N70" s="350"/>
      <c r="O70" s="350"/>
      <c r="P70" s="350"/>
      <c r="Q70" s="350"/>
      <c r="R70" s="350"/>
      <c r="S70" s="350"/>
      <c r="T70" s="350"/>
      <c r="U70" s="350"/>
      <c r="V70">
        <v>2208</v>
      </c>
      <c r="W70">
        <f t="shared" si="31"/>
        <v>0</v>
      </c>
      <c r="X70">
        <f t="shared" ref="X70:BA70" si="52">IF(AND(X$49-$A70&gt;$V$34,SUM($W70:W70)&lt;&gt;$V70),$V70,0)</f>
        <v>0</v>
      </c>
      <c r="Y70">
        <f t="shared" si="52"/>
        <v>0</v>
      </c>
      <c r="Z70">
        <f t="shared" si="52"/>
        <v>2208</v>
      </c>
      <c r="AA70">
        <f t="shared" si="52"/>
        <v>0</v>
      </c>
      <c r="AB70">
        <f t="shared" si="52"/>
        <v>0</v>
      </c>
      <c r="AC70">
        <f t="shared" si="52"/>
        <v>0</v>
      </c>
      <c r="AD70">
        <f t="shared" si="52"/>
        <v>0</v>
      </c>
      <c r="AE70">
        <f t="shared" si="52"/>
        <v>0</v>
      </c>
      <c r="AF70">
        <f t="shared" si="52"/>
        <v>0</v>
      </c>
      <c r="AG70">
        <f t="shared" si="52"/>
        <v>0</v>
      </c>
      <c r="AH70">
        <f t="shared" si="52"/>
        <v>0</v>
      </c>
      <c r="AI70">
        <f t="shared" si="52"/>
        <v>0</v>
      </c>
      <c r="AJ70">
        <f t="shared" si="52"/>
        <v>0</v>
      </c>
      <c r="AK70">
        <f t="shared" si="52"/>
        <v>0</v>
      </c>
      <c r="AL70">
        <f t="shared" si="52"/>
        <v>0</v>
      </c>
      <c r="AM70">
        <f t="shared" si="52"/>
        <v>0</v>
      </c>
      <c r="AN70">
        <f t="shared" si="52"/>
        <v>0</v>
      </c>
      <c r="AO70">
        <f t="shared" si="52"/>
        <v>0</v>
      </c>
      <c r="AP70">
        <f t="shared" si="52"/>
        <v>0</v>
      </c>
      <c r="AQ70">
        <f t="shared" si="52"/>
        <v>0</v>
      </c>
      <c r="AR70">
        <f t="shared" si="52"/>
        <v>0</v>
      </c>
      <c r="AS70">
        <f t="shared" si="52"/>
        <v>0</v>
      </c>
      <c r="AT70">
        <f t="shared" si="52"/>
        <v>0</v>
      </c>
      <c r="AU70">
        <f t="shared" si="52"/>
        <v>0</v>
      </c>
      <c r="AV70">
        <f t="shared" si="52"/>
        <v>0</v>
      </c>
      <c r="AW70">
        <f t="shared" si="52"/>
        <v>0</v>
      </c>
      <c r="AX70">
        <f t="shared" si="52"/>
        <v>0</v>
      </c>
      <c r="AY70">
        <f t="shared" si="52"/>
        <v>0</v>
      </c>
      <c r="AZ70">
        <f t="shared" si="52"/>
        <v>0</v>
      </c>
      <c r="BA70">
        <f t="shared" si="52"/>
        <v>0</v>
      </c>
    </row>
    <row r="71" spans="1:53" ht="15.75" customHeight="1">
      <c r="A71" s="350">
        <v>1962</v>
      </c>
      <c r="B71" s="350"/>
      <c r="C71" s="350"/>
      <c r="D71" s="350"/>
      <c r="E71" s="350"/>
      <c r="F71" s="350"/>
      <c r="G71" s="350"/>
      <c r="H71" s="350"/>
      <c r="I71" s="350"/>
      <c r="J71" s="350"/>
      <c r="K71" s="350"/>
      <c r="L71" s="350"/>
      <c r="M71" s="350"/>
      <c r="N71" s="350"/>
      <c r="O71" s="350"/>
      <c r="P71" s="350"/>
      <c r="Q71" s="350"/>
      <c r="R71" s="350"/>
      <c r="S71" s="350"/>
      <c r="T71" s="350"/>
      <c r="U71" s="350"/>
      <c r="V71">
        <v>1400.3000000000002</v>
      </c>
      <c r="W71">
        <f t="shared" si="31"/>
        <v>0</v>
      </c>
      <c r="X71">
        <f t="shared" ref="X71:BA71" si="53">IF(AND(X$49-$A71&gt;$V$34,SUM($W71:W71)&lt;&gt;$V71),$V71,0)</f>
        <v>0</v>
      </c>
      <c r="Y71">
        <f t="shared" si="53"/>
        <v>0</v>
      </c>
      <c r="Z71">
        <f t="shared" si="53"/>
        <v>0</v>
      </c>
      <c r="AA71">
        <f t="shared" si="53"/>
        <v>1400.3000000000002</v>
      </c>
      <c r="AB71">
        <f t="shared" si="53"/>
        <v>0</v>
      </c>
      <c r="AC71">
        <f t="shared" si="53"/>
        <v>0</v>
      </c>
      <c r="AD71">
        <f t="shared" si="53"/>
        <v>0</v>
      </c>
      <c r="AE71">
        <f t="shared" si="53"/>
        <v>0</v>
      </c>
      <c r="AF71">
        <f t="shared" si="53"/>
        <v>0</v>
      </c>
      <c r="AG71">
        <f t="shared" si="53"/>
        <v>0</v>
      </c>
      <c r="AH71">
        <f t="shared" si="53"/>
        <v>0</v>
      </c>
      <c r="AI71">
        <f t="shared" si="53"/>
        <v>0</v>
      </c>
      <c r="AJ71">
        <f t="shared" si="53"/>
        <v>0</v>
      </c>
      <c r="AK71">
        <f t="shared" si="53"/>
        <v>0</v>
      </c>
      <c r="AL71">
        <f t="shared" si="53"/>
        <v>0</v>
      </c>
      <c r="AM71">
        <f t="shared" si="53"/>
        <v>0</v>
      </c>
      <c r="AN71">
        <f t="shared" si="53"/>
        <v>0</v>
      </c>
      <c r="AO71">
        <f t="shared" si="53"/>
        <v>0</v>
      </c>
      <c r="AP71">
        <f t="shared" si="53"/>
        <v>0</v>
      </c>
      <c r="AQ71">
        <f t="shared" si="53"/>
        <v>0</v>
      </c>
      <c r="AR71">
        <f t="shared" si="53"/>
        <v>0</v>
      </c>
      <c r="AS71">
        <f t="shared" si="53"/>
        <v>0</v>
      </c>
      <c r="AT71">
        <f t="shared" si="53"/>
        <v>0</v>
      </c>
      <c r="AU71">
        <f t="shared" si="53"/>
        <v>0</v>
      </c>
      <c r="AV71">
        <f t="shared" si="53"/>
        <v>0</v>
      </c>
      <c r="AW71">
        <f t="shared" si="53"/>
        <v>0</v>
      </c>
      <c r="AX71">
        <f t="shared" si="53"/>
        <v>0</v>
      </c>
      <c r="AY71">
        <f t="shared" si="53"/>
        <v>0</v>
      </c>
      <c r="AZ71">
        <f t="shared" si="53"/>
        <v>0</v>
      </c>
      <c r="BA71">
        <f t="shared" si="53"/>
        <v>0</v>
      </c>
    </row>
    <row r="72" spans="1:53" ht="15.75" customHeight="1">
      <c r="A72" s="350">
        <v>1963</v>
      </c>
      <c r="B72" s="350"/>
      <c r="C72" s="350"/>
      <c r="D72" s="350"/>
      <c r="E72" s="350"/>
      <c r="F72" s="350"/>
      <c r="G72" s="350"/>
      <c r="H72" s="350"/>
      <c r="I72" s="350"/>
      <c r="J72" s="350"/>
      <c r="K72" s="350"/>
      <c r="L72" s="350"/>
      <c r="M72" s="350"/>
      <c r="N72" s="350"/>
      <c r="O72" s="350"/>
      <c r="P72" s="350"/>
      <c r="Q72" s="350"/>
      <c r="R72" s="350"/>
      <c r="S72" s="350"/>
      <c r="T72" s="350"/>
      <c r="U72" s="350"/>
      <c r="V72">
        <v>1369.2</v>
      </c>
      <c r="W72">
        <f t="shared" si="31"/>
        <v>0</v>
      </c>
      <c r="X72">
        <f t="shared" ref="X72:BA72" si="54">IF(AND(X$49-$A72&gt;$V$34,SUM($W72:W72)&lt;&gt;$V72),$V72,0)</f>
        <v>0</v>
      </c>
      <c r="Y72">
        <f t="shared" si="54"/>
        <v>0</v>
      </c>
      <c r="Z72">
        <f t="shared" si="54"/>
        <v>0</v>
      </c>
      <c r="AA72">
        <f t="shared" si="54"/>
        <v>0</v>
      </c>
      <c r="AB72">
        <f t="shared" si="54"/>
        <v>1369.2</v>
      </c>
      <c r="AC72">
        <f t="shared" si="54"/>
        <v>0</v>
      </c>
      <c r="AD72">
        <f t="shared" si="54"/>
        <v>0</v>
      </c>
      <c r="AE72">
        <f t="shared" si="54"/>
        <v>0</v>
      </c>
      <c r="AF72">
        <f t="shared" si="54"/>
        <v>0</v>
      </c>
      <c r="AG72">
        <f t="shared" si="54"/>
        <v>0</v>
      </c>
      <c r="AH72">
        <f t="shared" si="54"/>
        <v>0</v>
      </c>
      <c r="AI72">
        <f t="shared" si="54"/>
        <v>0</v>
      </c>
      <c r="AJ72">
        <f t="shared" si="54"/>
        <v>0</v>
      </c>
      <c r="AK72">
        <f t="shared" si="54"/>
        <v>0</v>
      </c>
      <c r="AL72">
        <f t="shared" si="54"/>
        <v>0</v>
      </c>
      <c r="AM72">
        <f t="shared" si="54"/>
        <v>0</v>
      </c>
      <c r="AN72">
        <f t="shared" si="54"/>
        <v>0</v>
      </c>
      <c r="AO72">
        <f t="shared" si="54"/>
        <v>0</v>
      </c>
      <c r="AP72">
        <f t="shared" si="54"/>
        <v>0</v>
      </c>
      <c r="AQ72">
        <f t="shared" si="54"/>
        <v>0</v>
      </c>
      <c r="AR72">
        <f t="shared" si="54"/>
        <v>0</v>
      </c>
      <c r="AS72">
        <f t="shared" si="54"/>
        <v>0</v>
      </c>
      <c r="AT72">
        <f t="shared" si="54"/>
        <v>0</v>
      </c>
      <c r="AU72">
        <f t="shared" si="54"/>
        <v>0</v>
      </c>
      <c r="AV72">
        <f t="shared" si="54"/>
        <v>0</v>
      </c>
      <c r="AW72">
        <f t="shared" si="54"/>
        <v>0</v>
      </c>
      <c r="AX72">
        <f t="shared" si="54"/>
        <v>0</v>
      </c>
      <c r="AY72">
        <f t="shared" si="54"/>
        <v>0</v>
      </c>
      <c r="AZ72">
        <f t="shared" si="54"/>
        <v>0</v>
      </c>
      <c r="BA72">
        <f t="shared" si="54"/>
        <v>0</v>
      </c>
    </row>
    <row r="73" spans="1:53" ht="15.75" customHeight="1">
      <c r="A73" s="350">
        <v>1964</v>
      </c>
      <c r="B73" s="350"/>
      <c r="C73" s="350"/>
      <c r="D73" s="350"/>
      <c r="E73" s="350"/>
      <c r="F73" s="350"/>
      <c r="G73" s="350"/>
      <c r="H73" s="350"/>
      <c r="I73" s="350"/>
      <c r="J73" s="350"/>
      <c r="K73" s="350"/>
      <c r="L73" s="350"/>
      <c r="M73" s="350"/>
      <c r="N73" s="350"/>
      <c r="O73" s="350"/>
      <c r="P73" s="350"/>
      <c r="Q73" s="350"/>
      <c r="R73" s="350"/>
      <c r="S73" s="350"/>
      <c r="T73" s="350"/>
      <c r="U73" s="350"/>
      <c r="V73">
        <v>2006.7</v>
      </c>
      <c r="W73">
        <f t="shared" si="31"/>
        <v>0</v>
      </c>
      <c r="X73">
        <f t="shared" ref="X73:BA73" si="55">IF(AND(X$49-$A73&gt;$V$34,SUM($W73:W73)&lt;&gt;$V73),$V73,0)</f>
        <v>0</v>
      </c>
      <c r="Y73">
        <f t="shared" si="55"/>
        <v>0</v>
      </c>
      <c r="Z73">
        <f t="shared" si="55"/>
        <v>0</v>
      </c>
      <c r="AA73">
        <f t="shared" si="55"/>
        <v>0</v>
      </c>
      <c r="AB73">
        <f t="shared" si="55"/>
        <v>0</v>
      </c>
      <c r="AC73">
        <f t="shared" si="55"/>
        <v>2006.7</v>
      </c>
      <c r="AD73">
        <f t="shared" si="55"/>
        <v>0</v>
      </c>
      <c r="AE73">
        <f t="shared" si="55"/>
        <v>0</v>
      </c>
      <c r="AF73">
        <f t="shared" si="55"/>
        <v>0</v>
      </c>
      <c r="AG73">
        <f t="shared" si="55"/>
        <v>0</v>
      </c>
      <c r="AH73">
        <f t="shared" si="55"/>
        <v>0</v>
      </c>
      <c r="AI73">
        <f t="shared" si="55"/>
        <v>0</v>
      </c>
      <c r="AJ73">
        <f t="shared" si="55"/>
        <v>0</v>
      </c>
      <c r="AK73">
        <f t="shared" si="55"/>
        <v>0</v>
      </c>
      <c r="AL73">
        <f t="shared" si="55"/>
        <v>0</v>
      </c>
      <c r="AM73">
        <f t="shared" si="55"/>
        <v>0</v>
      </c>
      <c r="AN73">
        <f t="shared" si="55"/>
        <v>0</v>
      </c>
      <c r="AO73">
        <f t="shared" si="55"/>
        <v>0</v>
      </c>
      <c r="AP73">
        <f t="shared" si="55"/>
        <v>0</v>
      </c>
      <c r="AQ73">
        <f t="shared" si="55"/>
        <v>0</v>
      </c>
      <c r="AR73">
        <f t="shared" si="55"/>
        <v>0</v>
      </c>
      <c r="AS73">
        <f t="shared" si="55"/>
        <v>0</v>
      </c>
      <c r="AT73">
        <f t="shared" si="55"/>
        <v>0</v>
      </c>
      <c r="AU73">
        <f t="shared" si="55"/>
        <v>0</v>
      </c>
      <c r="AV73">
        <f t="shared" si="55"/>
        <v>0</v>
      </c>
      <c r="AW73">
        <f t="shared" si="55"/>
        <v>0</v>
      </c>
      <c r="AX73">
        <f t="shared" si="55"/>
        <v>0</v>
      </c>
      <c r="AY73">
        <f t="shared" si="55"/>
        <v>0</v>
      </c>
      <c r="AZ73">
        <f t="shared" si="55"/>
        <v>0</v>
      </c>
      <c r="BA73">
        <f t="shared" si="55"/>
        <v>0</v>
      </c>
    </row>
    <row r="74" spans="1:53" ht="15.75" customHeight="1">
      <c r="A74" s="350">
        <v>1965</v>
      </c>
      <c r="B74" s="350"/>
      <c r="C74" s="350"/>
      <c r="D74" s="350"/>
      <c r="E74" s="350"/>
      <c r="F74" s="350"/>
      <c r="G74" s="350"/>
      <c r="H74" s="350"/>
      <c r="I74" s="350"/>
      <c r="J74" s="350"/>
      <c r="K74" s="350"/>
      <c r="L74" s="350"/>
      <c r="M74" s="350"/>
      <c r="N74" s="350"/>
      <c r="O74" s="350"/>
      <c r="P74" s="350"/>
      <c r="Q74" s="350"/>
      <c r="R74" s="350"/>
      <c r="S74" s="350"/>
      <c r="T74" s="350"/>
      <c r="U74" s="350"/>
      <c r="V74">
        <v>3012.1</v>
      </c>
      <c r="W74">
        <f t="shared" si="31"/>
        <v>0</v>
      </c>
      <c r="X74">
        <f t="shared" ref="X74:BA74" si="56">IF(AND(X$49-$A74&gt;$V$34,SUM($W74:W74)&lt;&gt;$V74),$V74,0)</f>
        <v>0</v>
      </c>
      <c r="Y74">
        <f t="shared" si="56"/>
        <v>0</v>
      </c>
      <c r="Z74">
        <f t="shared" si="56"/>
        <v>0</v>
      </c>
      <c r="AA74">
        <f t="shared" si="56"/>
        <v>0</v>
      </c>
      <c r="AB74">
        <f t="shared" si="56"/>
        <v>0</v>
      </c>
      <c r="AC74">
        <f t="shared" si="56"/>
        <v>0</v>
      </c>
      <c r="AD74">
        <f t="shared" si="56"/>
        <v>3012.1</v>
      </c>
      <c r="AE74">
        <f t="shared" si="56"/>
        <v>0</v>
      </c>
      <c r="AF74">
        <f t="shared" si="56"/>
        <v>0</v>
      </c>
      <c r="AG74">
        <f t="shared" si="56"/>
        <v>0</v>
      </c>
      <c r="AH74">
        <f t="shared" si="56"/>
        <v>0</v>
      </c>
      <c r="AI74">
        <f t="shared" si="56"/>
        <v>0</v>
      </c>
      <c r="AJ74">
        <f t="shared" si="56"/>
        <v>0</v>
      </c>
      <c r="AK74">
        <f t="shared" si="56"/>
        <v>0</v>
      </c>
      <c r="AL74">
        <f t="shared" si="56"/>
        <v>0</v>
      </c>
      <c r="AM74">
        <f t="shared" si="56"/>
        <v>0</v>
      </c>
      <c r="AN74">
        <f t="shared" si="56"/>
        <v>0</v>
      </c>
      <c r="AO74">
        <f t="shared" si="56"/>
        <v>0</v>
      </c>
      <c r="AP74">
        <f t="shared" si="56"/>
        <v>0</v>
      </c>
      <c r="AQ74">
        <f t="shared" si="56"/>
        <v>0</v>
      </c>
      <c r="AR74">
        <f t="shared" si="56"/>
        <v>0</v>
      </c>
      <c r="AS74">
        <f t="shared" si="56"/>
        <v>0</v>
      </c>
      <c r="AT74">
        <f t="shared" si="56"/>
        <v>0</v>
      </c>
      <c r="AU74">
        <f t="shared" si="56"/>
        <v>0</v>
      </c>
      <c r="AV74">
        <f t="shared" si="56"/>
        <v>0</v>
      </c>
      <c r="AW74">
        <f t="shared" si="56"/>
        <v>0</v>
      </c>
      <c r="AX74">
        <f t="shared" si="56"/>
        <v>0</v>
      </c>
      <c r="AY74">
        <f t="shared" si="56"/>
        <v>0</v>
      </c>
      <c r="AZ74">
        <f t="shared" si="56"/>
        <v>0</v>
      </c>
      <c r="BA74">
        <f t="shared" si="56"/>
        <v>0</v>
      </c>
    </row>
    <row r="75" spans="1:53" ht="15.75" customHeight="1">
      <c r="A75" s="350">
        <v>1966</v>
      </c>
      <c r="B75" s="350"/>
      <c r="C75" s="350"/>
      <c r="D75" s="350"/>
      <c r="E75" s="350"/>
      <c r="F75" s="350"/>
      <c r="G75" s="350"/>
      <c r="H75" s="350"/>
      <c r="I75" s="350"/>
      <c r="J75" s="350"/>
      <c r="K75" s="350"/>
      <c r="L75" s="350"/>
      <c r="M75" s="350"/>
      <c r="N75" s="350"/>
      <c r="O75" s="350"/>
      <c r="P75" s="350"/>
      <c r="Q75" s="350"/>
      <c r="R75" s="350"/>
      <c r="S75" s="350"/>
      <c r="T75" s="350"/>
      <c r="U75" s="350"/>
      <c r="V75">
        <v>3232.4</v>
      </c>
      <c r="W75">
        <f t="shared" si="31"/>
        <v>0</v>
      </c>
      <c r="X75">
        <f t="shared" ref="X75:BA75" si="57">IF(AND(X$49-$A75&gt;$V$34,SUM($W75:W75)&lt;&gt;$V75),$V75,0)</f>
        <v>0</v>
      </c>
      <c r="Y75">
        <f t="shared" si="57"/>
        <v>0</v>
      </c>
      <c r="Z75">
        <f t="shared" si="57"/>
        <v>0</v>
      </c>
      <c r="AA75">
        <f t="shared" si="57"/>
        <v>0</v>
      </c>
      <c r="AB75">
        <f t="shared" si="57"/>
        <v>0</v>
      </c>
      <c r="AC75">
        <f t="shared" si="57"/>
        <v>0</v>
      </c>
      <c r="AD75">
        <f t="shared" si="57"/>
        <v>0</v>
      </c>
      <c r="AE75">
        <f t="shared" si="57"/>
        <v>3232.4</v>
      </c>
      <c r="AF75">
        <f t="shared" si="57"/>
        <v>0</v>
      </c>
      <c r="AG75">
        <f t="shared" si="57"/>
        <v>0</v>
      </c>
      <c r="AH75">
        <f t="shared" si="57"/>
        <v>0</v>
      </c>
      <c r="AI75">
        <f t="shared" si="57"/>
        <v>0</v>
      </c>
      <c r="AJ75">
        <f t="shared" si="57"/>
        <v>0</v>
      </c>
      <c r="AK75">
        <f t="shared" si="57"/>
        <v>0</v>
      </c>
      <c r="AL75">
        <f t="shared" si="57"/>
        <v>0</v>
      </c>
      <c r="AM75">
        <f t="shared" si="57"/>
        <v>0</v>
      </c>
      <c r="AN75">
        <f t="shared" si="57"/>
        <v>0</v>
      </c>
      <c r="AO75">
        <f t="shared" si="57"/>
        <v>0</v>
      </c>
      <c r="AP75">
        <f t="shared" si="57"/>
        <v>0</v>
      </c>
      <c r="AQ75">
        <f t="shared" si="57"/>
        <v>0</v>
      </c>
      <c r="AR75">
        <f t="shared" si="57"/>
        <v>0</v>
      </c>
      <c r="AS75">
        <f t="shared" si="57"/>
        <v>0</v>
      </c>
      <c r="AT75">
        <f t="shared" si="57"/>
        <v>0</v>
      </c>
      <c r="AU75">
        <f t="shared" si="57"/>
        <v>0</v>
      </c>
      <c r="AV75">
        <f t="shared" si="57"/>
        <v>0</v>
      </c>
      <c r="AW75">
        <f t="shared" si="57"/>
        <v>0</v>
      </c>
      <c r="AX75">
        <f t="shared" si="57"/>
        <v>0</v>
      </c>
      <c r="AY75">
        <f t="shared" si="57"/>
        <v>0</v>
      </c>
      <c r="AZ75">
        <f t="shared" si="57"/>
        <v>0</v>
      </c>
      <c r="BA75">
        <f t="shared" si="57"/>
        <v>0</v>
      </c>
    </row>
    <row r="76" spans="1:53" ht="15.75" customHeight="1">
      <c r="A76" s="350">
        <v>1967</v>
      </c>
      <c r="B76" s="350"/>
      <c r="C76" s="350"/>
      <c r="D76" s="350"/>
      <c r="E76" s="350"/>
      <c r="F76" s="350"/>
      <c r="G76" s="350"/>
      <c r="H76" s="350"/>
      <c r="I76" s="350"/>
      <c r="J76" s="350"/>
      <c r="K76" s="350"/>
      <c r="L76" s="350"/>
      <c r="M76" s="350"/>
      <c r="N76" s="350"/>
      <c r="O76" s="350"/>
      <c r="P76" s="350"/>
      <c r="Q76" s="350"/>
      <c r="R76" s="350"/>
      <c r="S76" s="350"/>
      <c r="T76" s="350"/>
      <c r="U76" s="350"/>
      <c r="V76">
        <v>5685.1</v>
      </c>
      <c r="W76">
        <f t="shared" si="31"/>
        <v>0</v>
      </c>
      <c r="X76">
        <f t="shared" ref="X76:BA76" si="58">IF(AND(X$49-$A76&gt;$V$34,SUM($W76:W76)&lt;&gt;$V76),$V76,0)</f>
        <v>0</v>
      </c>
      <c r="Y76">
        <f t="shared" si="58"/>
        <v>0</v>
      </c>
      <c r="Z76">
        <f t="shared" si="58"/>
        <v>0</v>
      </c>
      <c r="AA76">
        <f t="shared" si="58"/>
        <v>0</v>
      </c>
      <c r="AB76">
        <f t="shared" si="58"/>
        <v>0</v>
      </c>
      <c r="AC76">
        <f t="shared" si="58"/>
        <v>0</v>
      </c>
      <c r="AD76">
        <f t="shared" si="58"/>
        <v>0</v>
      </c>
      <c r="AE76">
        <f t="shared" si="58"/>
        <v>0</v>
      </c>
      <c r="AF76">
        <f t="shared" si="58"/>
        <v>5685.1</v>
      </c>
      <c r="AG76">
        <f t="shared" si="58"/>
        <v>0</v>
      </c>
      <c r="AH76">
        <f t="shared" si="58"/>
        <v>0</v>
      </c>
      <c r="AI76">
        <f t="shared" si="58"/>
        <v>0</v>
      </c>
      <c r="AJ76">
        <f t="shared" si="58"/>
        <v>0</v>
      </c>
      <c r="AK76">
        <f t="shared" si="58"/>
        <v>0</v>
      </c>
      <c r="AL76">
        <f t="shared" si="58"/>
        <v>0</v>
      </c>
      <c r="AM76">
        <f t="shared" si="58"/>
        <v>0</v>
      </c>
      <c r="AN76">
        <f t="shared" si="58"/>
        <v>0</v>
      </c>
      <c r="AO76">
        <f t="shared" si="58"/>
        <v>0</v>
      </c>
      <c r="AP76">
        <f t="shared" si="58"/>
        <v>0</v>
      </c>
      <c r="AQ76">
        <f t="shared" si="58"/>
        <v>0</v>
      </c>
      <c r="AR76">
        <f t="shared" si="58"/>
        <v>0</v>
      </c>
      <c r="AS76">
        <f t="shared" si="58"/>
        <v>0</v>
      </c>
      <c r="AT76">
        <f t="shared" si="58"/>
        <v>0</v>
      </c>
      <c r="AU76">
        <f t="shared" si="58"/>
        <v>0</v>
      </c>
      <c r="AV76">
        <f t="shared" si="58"/>
        <v>0</v>
      </c>
      <c r="AW76">
        <f t="shared" si="58"/>
        <v>0</v>
      </c>
      <c r="AX76">
        <f t="shared" si="58"/>
        <v>0</v>
      </c>
      <c r="AY76">
        <f t="shared" si="58"/>
        <v>0</v>
      </c>
      <c r="AZ76">
        <f t="shared" si="58"/>
        <v>0</v>
      </c>
      <c r="BA76">
        <f t="shared" si="58"/>
        <v>0</v>
      </c>
    </row>
    <row r="77" spans="1:53" ht="15.75" customHeight="1">
      <c r="A77" s="350">
        <v>1968</v>
      </c>
      <c r="B77" s="350"/>
      <c r="C77" s="350"/>
      <c r="D77" s="350"/>
      <c r="E77" s="350"/>
      <c r="F77" s="350"/>
      <c r="G77" s="350"/>
      <c r="H77" s="350"/>
      <c r="I77" s="350"/>
      <c r="J77" s="350"/>
      <c r="K77" s="350"/>
      <c r="L77" s="350"/>
      <c r="M77" s="350"/>
      <c r="N77" s="350"/>
      <c r="O77" s="350"/>
      <c r="P77" s="350"/>
      <c r="Q77" s="350"/>
      <c r="R77" s="350"/>
      <c r="S77" s="350"/>
      <c r="T77" s="350"/>
      <c r="U77" s="350"/>
      <c r="V77">
        <v>5819.6</v>
      </c>
      <c r="W77">
        <f t="shared" si="31"/>
        <v>0</v>
      </c>
      <c r="X77">
        <f t="shared" ref="X77:BA77" si="59">IF(AND(X$49-$A77&gt;$V$34,SUM($W77:W77)&lt;&gt;$V77),$V77,0)</f>
        <v>0</v>
      </c>
      <c r="Y77">
        <f t="shared" si="59"/>
        <v>0</v>
      </c>
      <c r="Z77">
        <f t="shared" si="59"/>
        <v>0</v>
      </c>
      <c r="AA77">
        <f t="shared" si="59"/>
        <v>0</v>
      </c>
      <c r="AB77">
        <f t="shared" si="59"/>
        <v>0</v>
      </c>
      <c r="AC77">
        <f t="shared" si="59"/>
        <v>0</v>
      </c>
      <c r="AD77">
        <f t="shared" si="59"/>
        <v>0</v>
      </c>
      <c r="AE77">
        <f t="shared" si="59"/>
        <v>0</v>
      </c>
      <c r="AF77">
        <f t="shared" si="59"/>
        <v>0</v>
      </c>
      <c r="AG77">
        <f t="shared" si="59"/>
        <v>5819.6</v>
      </c>
      <c r="AH77">
        <f t="shared" si="59"/>
        <v>0</v>
      </c>
      <c r="AI77">
        <f t="shared" si="59"/>
        <v>0</v>
      </c>
      <c r="AJ77">
        <f t="shared" si="59"/>
        <v>0</v>
      </c>
      <c r="AK77">
        <f t="shared" si="59"/>
        <v>0</v>
      </c>
      <c r="AL77">
        <f t="shared" si="59"/>
        <v>0</v>
      </c>
      <c r="AM77">
        <f t="shared" si="59"/>
        <v>0</v>
      </c>
      <c r="AN77">
        <f t="shared" si="59"/>
        <v>0</v>
      </c>
      <c r="AO77">
        <f t="shared" si="59"/>
        <v>0</v>
      </c>
      <c r="AP77">
        <f t="shared" si="59"/>
        <v>0</v>
      </c>
      <c r="AQ77">
        <f t="shared" si="59"/>
        <v>0</v>
      </c>
      <c r="AR77">
        <f t="shared" si="59"/>
        <v>0</v>
      </c>
      <c r="AS77">
        <f t="shared" si="59"/>
        <v>0</v>
      </c>
      <c r="AT77">
        <f t="shared" si="59"/>
        <v>0</v>
      </c>
      <c r="AU77">
        <f t="shared" si="59"/>
        <v>0</v>
      </c>
      <c r="AV77">
        <f t="shared" si="59"/>
        <v>0</v>
      </c>
      <c r="AW77">
        <f t="shared" si="59"/>
        <v>0</v>
      </c>
      <c r="AX77">
        <f t="shared" si="59"/>
        <v>0</v>
      </c>
      <c r="AY77">
        <f t="shared" si="59"/>
        <v>0</v>
      </c>
      <c r="AZ77">
        <f t="shared" si="59"/>
        <v>0</v>
      </c>
      <c r="BA77">
        <f t="shared" si="59"/>
        <v>0</v>
      </c>
    </row>
    <row r="78" spans="1:53" ht="15.75" customHeight="1">
      <c r="A78" s="350">
        <v>1969</v>
      </c>
      <c r="B78" s="350"/>
      <c r="C78" s="350"/>
      <c r="D78" s="350"/>
      <c r="E78" s="350"/>
      <c r="F78" s="350"/>
      <c r="G78" s="350"/>
      <c r="H78" s="350"/>
      <c r="I78" s="350"/>
      <c r="J78" s="350"/>
      <c r="K78" s="350"/>
      <c r="L78" s="350"/>
      <c r="M78" s="350"/>
      <c r="N78" s="350"/>
      <c r="O78" s="350"/>
      <c r="P78" s="350"/>
      <c r="Q78" s="350"/>
      <c r="R78" s="350"/>
      <c r="S78" s="350"/>
      <c r="T78" s="350"/>
      <c r="U78" s="350"/>
      <c r="V78">
        <v>7781.2000000000007</v>
      </c>
      <c r="W78">
        <f t="shared" si="31"/>
        <v>0</v>
      </c>
      <c r="X78">
        <f t="shared" ref="X78:BA78" si="60">IF(AND(X$49-$A78&gt;$V$34,SUM($W78:W78)&lt;&gt;$V78),$V78,0)</f>
        <v>0</v>
      </c>
      <c r="Y78">
        <f t="shared" si="60"/>
        <v>0</v>
      </c>
      <c r="Z78">
        <f t="shared" si="60"/>
        <v>0</v>
      </c>
      <c r="AA78">
        <f t="shared" si="60"/>
        <v>0</v>
      </c>
      <c r="AB78">
        <f t="shared" si="60"/>
        <v>0</v>
      </c>
      <c r="AC78">
        <f t="shared" si="60"/>
        <v>0</v>
      </c>
      <c r="AD78">
        <f t="shared" si="60"/>
        <v>0</v>
      </c>
      <c r="AE78">
        <f t="shared" si="60"/>
        <v>0</v>
      </c>
      <c r="AF78">
        <f t="shared" si="60"/>
        <v>0</v>
      </c>
      <c r="AG78">
        <f t="shared" si="60"/>
        <v>0</v>
      </c>
      <c r="AH78">
        <f t="shared" si="60"/>
        <v>7781.2000000000007</v>
      </c>
      <c r="AI78">
        <f t="shared" si="60"/>
        <v>0</v>
      </c>
      <c r="AJ78">
        <f t="shared" si="60"/>
        <v>0</v>
      </c>
      <c r="AK78">
        <f t="shared" si="60"/>
        <v>0</v>
      </c>
      <c r="AL78">
        <f t="shared" si="60"/>
        <v>0</v>
      </c>
      <c r="AM78">
        <f t="shared" si="60"/>
        <v>0</v>
      </c>
      <c r="AN78">
        <f t="shared" si="60"/>
        <v>0</v>
      </c>
      <c r="AO78">
        <f t="shared" si="60"/>
        <v>0</v>
      </c>
      <c r="AP78">
        <f t="shared" si="60"/>
        <v>0</v>
      </c>
      <c r="AQ78">
        <f t="shared" si="60"/>
        <v>0</v>
      </c>
      <c r="AR78">
        <f t="shared" si="60"/>
        <v>0</v>
      </c>
      <c r="AS78">
        <f t="shared" si="60"/>
        <v>0</v>
      </c>
      <c r="AT78">
        <f t="shared" si="60"/>
        <v>0</v>
      </c>
      <c r="AU78">
        <f t="shared" si="60"/>
        <v>0</v>
      </c>
      <c r="AV78">
        <f t="shared" si="60"/>
        <v>0</v>
      </c>
      <c r="AW78">
        <f t="shared" si="60"/>
        <v>0</v>
      </c>
      <c r="AX78">
        <f t="shared" si="60"/>
        <v>0</v>
      </c>
      <c r="AY78">
        <f t="shared" si="60"/>
        <v>0</v>
      </c>
      <c r="AZ78">
        <f t="shared" si="60"/>
        <v>0</v>
      </c>
      <c r="BA78">
        <f t="shared" si="60"/>
        <v>0</v>
      </c>
    </row>
    <row r="79" spans="1:53" ht="15.75" customHeight="1">
      <c r="A79" s="350">
        <v>1970</v>
      </c>
      <c r="B79" s="350"/>
      <c r="C79" s="350"/>
      <c r="D79" s="350"/>
      <c r="E79" s="350"/>
      <c r="F79" s="350"/>
      <c r="G79" s="350"/>
      <c r="H79" s="350"/>
      <c r="I79" s="350"/>
      <c r="J79" s="350"/>
      <c r="K79" s="350"/>
      <c r="L79" s="350"/>
      <c r="M79" s="350"/>
      <c r="N79" s="350"/>
      <c r="O79" s="350"/>
      <c r="P79" s="350"/>
      <c r="Q79" s="350"/>
      <c r="R79" s="350"/>
      <c r="S79" s="350"/>
      <c r="T79" s="350"/>
      <c r="U79" s="350"/>
      <c r="V79">
        <v>9634.1</v>
      </c>
      <c r="W79">
        <f t="shared" si="31"/>
        <v>0</v>
      </c>
      <c r="X79">
        <f t="shared" ref="X79:BA79" si="61">IF(AND(X$49-$A79&gt;$V$34,SUM($W79:W79)&lt;&gt;$V79),$V79,0)</f>
        <v>0</v>
      </c>
      <c r="Y79">
        <f t="shared" si="61"/>
        <v>0</v>
      </c>
      <c r="Z79">
        <f t="shared" si="61"/>
        <v>0</v>
      </c>
      <c r="AA79">
        <f t="shared" si="61"/>
        <v>0</v>
      </c>
      <c r="AB79">
        <f t="shared" si="61"/>
        <v>0</v>
      </c>
      <c r="AC79">
        <f t="shared" si="61"/>
        <v>0</v>
      </c>
      <c r="AD79">
        <f t="shared" si="61"/>
        <v>0</v>
      </c>
      <c r="AE79">
        <f t="shared" si="61"/>
        <v>0</v>
      </c>
      <c r="AF79">
        <f t="shared" si="61"/>
        <v>0</v>
      </c>
      <c r="AG79">
        <f t="shared" si="61"/>
        <v>0</v>
      </c>
      <c r="AH79">
        <f t="shared" si="61"/>
        <v>0</v>
      </c>
      <c r="AI79">
        <f t="shared" si="61"/>
        <v>9634.1</v>
      </c>
      <c r="AJ79">
        <f t="shared" si="61"/>
        <v>0</v>
      </c>
      <c r="AK79">
        <f t="shared" si="61"/>
        <v>0</v>
      </c>
      <c r="AL79">
        <f t="shared" si="61"/>
        <v>0</v>
      </c>
      <c r="AM79">
        <f t="shared" si="61"/>
        <v>0</v>
      </c>
      <c r="AN79">
        <f t="shared" si="61"/>
        <v>0</v>
      </c>
      <c r="AO79">
        <f t="shared" si="61"/>
        <v>0</v>
      </c>
      <c r="AP79">
        <f t="shared" si="61"/>
        <v>0</v>
      </c>
      <c r="AQ79">
        <f t="shared" si="61"/>
        <v>0</v>
      </c>
      <c r="AR79">
        <f t="shared" si="61"/>
        <v>0</v>
      </c>
      <c r="AS79">
        <f t="shared" si="61"/>
        <v>0</v>
      </c>
      <c r="AT79">
        <f t="shared" si="61"/>
        <v>0</v>
      </c>
      <c r="AU79">
        <f t="shared" si="61"/>
        <v>0</v>
      </c>
      <c r="AV79">
        <f t="shared" si="61"/>
        <v>0</v>
      </c>
      <c r="AW79">
        <f t="shared" si="61"/>
        <v>0</v>
      </c>
      <c r="AX79">
        <f t="shared" si="61"/>
        <v>0</v>
      </c>
      <c r="AY79">
        <f t="shared" si="61"/>
        <v>0</v>
      </c>
      <c r="AZ79">
        <f t="shared" si="61"/>
        <v>0</v>
      </c>
      <c r="BA79">
        <f t="shared" si="61"/>
        <v>0</v>
      </c>
    </row>
    <row r="80" spans="1:53" ht="15.75" customHeight="1">
      <c r="A80" s="350">
        <v>1971</v>
      </c>
      <c r="B80" s="350"/>
      <c r="C80" s="350"/>
      <c r="D80" s="350"/>
      <c r="E80" s="350"/>
      <c r="F80" s="350"/>
      <c r="G80" s="350"/>
      <c r="H80" s="350"/>
      <c r="I80" s="350"/>
      <c r="J80" s="350"/>
      <c r="K80" s="350"/>
      <c r="L80" s="350"/>
      <c r="M80" s="350"/>
      <c r="N80" s="350"/>
      <c r="O80" s="350"/>
      <c r="P80" s="350"/>
      <c r="Q80" s="350"/>
      <c r="R80" s="350"/>
      <c r="S80" s="350"/>
      <c r="T80" s="350"/>
      <c r="U80" s="350"/>
      <c r="V80">
        <v>9647.5</v>
      </c>
      <c r="W80">
        <f t="shared" si="31"/>
        <v>0</v>
      </c>
      <c r="X80">
        <f t="shared" ref="X80:BA80" si="62">IF(AND(X$49-$A80&gt;$V$34,SUM($W80:W80)&lt;&gt;$V80),$V80,0)</f>
        <v>0</v>
      </c>
      <c r="Y80">
        <f t="shared" si="62"/>
        <v>0</v>
      </c>
      <c r="Z80">
        <f t="shared" si="62"/>
        <v>0</v>
      </c>
      <c r="AA80">
        <f t="shared" si="62"/>
        <v>0</v>
      </c>
      <c r="AB80">
        <f t="shared" si="62"/>
        <v>0</v>
      </c>
      <c r="AC80">
        <f t="shared" si="62"/>
        <v>0</v>
      </c>
      <c r="AD80">
        <f t="shared" si="62"/>
        <v>0</v>
      </c>
      <c r="AE80">
        <f t="shared" si="62"/>
        <v>0</v>
      </c>
      <c r="AF80">
        <f t="shared" si="62"/>
        <v>0</v>
      </c>
      <c r="AG80">
        <f t="shared" si="62"/>
        <v>0</v>
      </c>
      <c r="AH80">
        <f t="shared" si="62"/>
        <v>0</v>
      </c>
      <c r="AI80">
        <f t="shared" si="62"/>
        <v>0</v>
      </c>
      <c r="AJ80">
        <f t="shared" si="62"/>
        <v>9647.5</v>
      </c>
      <c r="AK80">
        <f t="shared" si="62"/>
        <v>0</v>
      </c>
      <c r="AL80">
        <f t="shared" si="62"/>
        <v>0</v>
      </c>
      <c r="AM80">
        <f t="shared" si="62"/>
        <v>0</v>
      </c>
      <c r="AN80">
        <f t="shared" si="62"/>
        <v>0</v>
      </c>
      <c r="AO80">
        <f t="shared" si="62"/>
        <v>0</v>
      </c>
      <c r="AP80">
        <f t="shared" si="62"/>
        <v>0</v>
      </c>
      <c r="AQ80">
        <f t="shared" si="62"/>
        <v>0</v>
      </c>
      <c r="AR80">
        <f t="shared" si="62"/>
        <v>0</v>
      </c>
      <c r="AS80">
        <f t="shared" si="62"/>
        <v>0</v>
      </c>
      <c r="AT80">
        <f t="shared" si="62"/>
        <v>0</v>
      </c>
      <c r="AU80">
        <f t="shared" si="62"/>
        <v>0</v>
      </c>
      <c r="AV80">
        <f t="shared" si="62"/>
        <v>0</v>
      </c>
      <c r="AW80">
        <f t="shared" si="62"/>
        <v>0</v>
      </c>
      <c r="AX80">
        <f t="shared" si="62"/>
        <v>0</v>
      </c>
      <c r="AY80">
        <f t="shared" si="62"/>
        <v>0</v>
      </c>
      <c r="AZ80">
        <f t="shared" si="62"/>
        <v>0</v>
      </c>
      <c r="BA80">
        <f t="shared" si="62"/>
        <v>0</v>
      </c>
    </row>
    <row r="81" spans="1:53" ht="15.75" customHeight="1">
      <c r="A81" s="350">
        <v>1972</v>
      </c>
      <c r="B81" s="350"/>
      <c r="C81" s="350"/>
      <c r="D81" s="350"/>
      <c r="E81" s="350"/>
      <c r="F81" s="350"/>
      <c r="G81" s="350"/>
      <c r="H81" s="350"/>
      <c r="I81" s="350"/>
      <c r="J81" s="350"/>
      <c r="K81" s="350"/>
      <c r="L81" s="350"/>
      <c r="M81" s="350"/>
      <c r="N81" s="350"/>
      <c r="O81" s="350"/>
      <c r="P81" s="350"/>
      <c r="Q81" s="350"/>
      <c r="R81" s="350"/>
      <c r="S81" s="350"/>
      <c r="T81" s="350"/>
      <c r="U81" s="350"/>
      <c r="V81">
        <v>9028.6</v>
      </c>
      <c r="W81">
        <f t="shared" si="31"/>
        <v>0</v>
      </c>
      <c r="X81">
        <f t="shared" ref="X81:BA81" si="63">IF(AND(X$49-$A81&gt;$V$34,SUM($W81:W81)&lt;&gt;$V81),$V81,0)</f>
        <v>0</v>
      </c>
      <c r="Y81">
        <f t="shared" si="63"/>
        <v>0</v>
      </c>
      <c r="Z81">
        <f t="shared" si="63"/>
        <v>0</v>
      </c>
      <c r="AA81">
        <f t="shared" si="63"/>
        <v>0</v>
      </c>
      <c r="AB81">
        <f t="shared" si="63"/>
        <v>0</v>
      </c>
      <c r="AC81">
        <f t="shared" si="63"/>
        <v>0</v>
      </c>
      <c r="AD81">
        <f t="shared" si="63"/>
        <v>0</v>
      </c>
      <c r="AE81">
        <f t="shared" si="63"/>
        <v>0</v>
      </c>
      <c r="AF81">
        <f t="shared" si="63"/>
        <v>0</v>
      </c>
      <c r="AG81">
        <f t="shared" si="63"/>
        <v>0</v>
      </c>
      <c r="AH81">
        <f t="shared" si="63"/>
        <v>0</v>
      </c>
      <c r="AI81">
        <f t="shared" si="63"/>
        <v>0</v>
      </c>
      <c r="AJ81">
        <f t="shared" si="63"/>
        <v>0</v>
      </c>
      <c r="AK81">
        <f t="shared" si="63"/>
        <v>9028.6</v>
      </c>
      <c r="AL81">
        <f t="shared" si="63"/>
        <v>0</v>
      </c>
      <c r="AM81">
        <f t="shared" si="63"/>
        <v>0</v>
      </c>
      <c r="AN81">
        <f t="shared" si="63"/>
        <v>0</v>
      </c>
      <c r="AO81">
        <f t="shared" si="63"/>
        <v>0</v>
      </c>
      <c r="AP81">
        <f t="shared" si="63"/>
        <v>0</v>
      </c>
      <c r="AQ81">
        <f t="shared" si="63"/>
        <v>0</v>
      </c>
      <c r="AR81">
        <f t="shared" si="63"/>
        <v>0</v>
      </c>
      <c r="AS81">
        <f t="shared" si="63"/>
        <v>0</v>
      </c>
      <c r="AT81">
        <f t="shared" si="63"/>
        <v>0</v>
      </c>
      <c r="AU81">
        <f t="shared" si="63"/>
        <v>0</v>
      </c>
      <c r="AV81">
        <f t="shared" si="63"/>
        <v>0</v>
      </c>
      <c r="AW81">
        <f t="shared" si="63"/>
        <v>0</v>
      </c>
      <c r="AX81">
        <f t="shared" si="63"/>
        <v>0</v>
      </c>
      <c r="AY81">
        <f t="shared" si="63"/>
        <v>0</v>
      </c>
      <c r="AZ81">
        <f t="shared" si="63"/>
        <v>0</v>
      </c>
      <c r="BA81">
        <f t="shared" si="63"/>
        <v>0</v>
      </c>
    </row>
    <row r="82" spans="1:53" ht="15.75" customHeight="1">
      <c r="A82" s="350">
        <v>1973</v>
      </c>
      <c r="B82" s="350"/>
      <c r="C82" s="350"/>
      <c r="D82" s="350"/>
      <c r="E82" s="350"/>
      <c r="F82" s="350"/>
      <c r="G82" s="350"/>
      <c r="H82" s="350"/>
      <c r="I82" s="350"/>
      <c r="J82" s="350"/>
      <c r="K82" s="350"/>
      <c r="L82" s="350"/>
      <c r="M82" s="350"/>
      <c r="N82" s="350"/>
      <c r="O82" s="350"/>
      <c r="P82" s="350"/>
      <c r="Q82" s="350"/>
      <c r="R82" s="350"/>
      <c r="S82" s="350"/>
      <c r="T82" s="350"/>
      <c r="U82" s="350"/>
      <c r="V82">
        <v>14100.1</v>
      </c>
      <c r="W82">
        <f t="shared" si="31"/>
        <v>0</v>
      </c>
      <c r="X82">
        <f t="shared" ref="X82:BA82" si="64">IF(AND(X$49-$A82&gt;$V$34,SUM($W82:W82)&lt;&gt;$V82),$V82,0)</f>
        <v>0</v>
      </c>
      <c r="Y82">
        <f t="shared" si="64"/>
        <v>0</v>
      </c>
      <c r="Z82">
        <f t="shared" si="64"/>
        <v>0</v>
      </c>
      <c r="AA82">
        <f t="shared" si="64"/>
        <v>0</v>
      </c>
      <c r="AB82">
        <f t="shared" si="64"/>
        <v>0</v>
      </c>
      <c r="AC82">
        <f t="shared" si="64"/>
        <v>0</v>
      </c>
      <c r="AD82">
        <f t="shared" si="64"/>
        <v>0</v>
      </c>
      <c r="AE82">
        <f t="shared" si="64"/>
        <v>0</v>
      </c>
      <c r="AF82">
        <f t="shared" si="64"/>
        <v>0</v>
      </c>
      <c r="AG82">
        <f t="shared" si="64"/>
        <v>0</v>
      </c>
      <c r="AH82">
        <f t="shared" si="64"/>
        <v>0</v>
      </c>
      <c r="AI82">
        <f t="shared" si="64"/>
        <v>0</v>
      </c>
      <c r="AJ82">
        <f t="shared" si="64"/>
        <v>0</v>
      </c>
      <c r="AK82">
        <f t="shared" si="64"/>
        <v>0</v>
      </c>
      <c r="AL82">
        <f t="shared" si="64"/>
        <v>14100.1</v>
      </c>
      <c r="AM82">
        <f t="shared" si="64"/>
        <v>0</v>
      </c>
      <c r="AN82">
        <f t="shared" si="64"/>
        <v>0</v>
      </c>
      <c r="AO82">
        <f t="shared" si="64"/>
        <v>0</v>
      </c>
      <c r="AP82">
        <f t="shared" si="64"/>
        <v>0</v>
      </c>
      <c r="AQ82">
        <f t="shared" si="64"/>
        <v>0</v>
      </c>
      <c r="AR82">
        <f t="shared" si="64"/>
        <v>0</v>
      </c>
      <c r="AS82">
        <f t="shared" si="64"/>
        <v>0</v>
      </c>
      <c r="AT82">
        <f t="shared" si="64"/>
        <v>0</v>
      </c>
      <c r="AU82">
        <f t="shared" si="64"/>
        <v>0</v>
      </c>
      <c r="AV82">
        <f t="shared" si="64"/>
        <v>0</v>
      </c>
      <c r="AW82">
        <f t="shared" si="64"/>
        <v>0</v>
      </c>
      <c r="AX82">
        <f t="shared" si="64"/>
        <v>0</v>
      </c>
      <c r="AY82">
        <f t="shared" si="64"/>
        <v>0</v>
      </c>
      <c r="AZ82">
        <f t="shared" si="64"/>
        <v>0</v>
      </c>
      <c r="BA82">
        <f t="shared" si="64"/>
        <v>0</v>
      </c>
    </row>
    <row r="83" spans="1:53" ht="15.75" customHeight="1">
      <c r="A83" s="350">
        <v>1974</v>
      </c>
      <c r="B83" s="350"/>
      <c r="C83" s="350"/>
      <c r="D83" s="350"/>
      <c r="E83" s="350"/>
      <c r="F83" s="350"/>
      <c r="G83" s="350"/>
      <c r="H83" s="350"/>
      <c r="I83" s="350"/>
      <c r="J83" s="350"/>
      <c r="K83" s="350"/>
      <c r="L83" s="350"/>
      <c r="M83" s="350"/>
      <c r="N83" s="350"/>
      <c r="O83" s="350"/>
      <c r="P83" s="350"/>
      <c r="Q83" s="350"/>
      <c r="R83" s="350"/>
      <c r="S83" s="350"/>
      <c r="T83" s="350"/>
      <c r="U83" s="350"/>
      <c r="V83">
        <v>9729</v>
      </c>
      <c r="W83">
        <f t="shared" si="31"/>
        <v>0</v>
      </c>
      <c r="X83">
        <f t="shared" ref="X83:BA83" si="65">IF(AND(X$49-$A83&gt;$V$34,SUM($W83:W83)&lt;&gt;$V83),$V83,0)</f>
        <v>0</v>
      </c>
      <c r="Y83">
        <f t="shared" si="65"/>
        <v>0</v>
      </c>
      <c r="Z83">
        <f t="shared" si="65"/>
        <v>0</v>
      </c>
      <c r="AA83">
        <f t="shared" si="65"/>
        <v>0</v>
      </c>
      <c r="AB83">
        <f t="shared" si="65"/>
        <v>0</v>
      </c>
      <c r="AC83">
        <f t="shared" si="65"/>
        <v>0</v>
      </c>
      <c r="AD83">
        <f t="shared" si="65"/>
        <v>0</v>
      </c>
      <c r="AE83">
        <f t="shared" si="65"/>
        <v>0</v>
      </c>
      <c r="AF83">
        <f t="shared" si="65"/>
        <v>0</v>
      </c>
      <c r="AG83">
        <f t="shared" si="65"/>
        <v>0</v>
      </c>
      <c r="AH83">
        <f t="shared" si="65"/>
        <v>0</v>
      </c>
      <c r="AI83">
        <f t="shared" si="65"/>
        <v>0</v>
      </c>
      <c r="AJ83">
        <f t="shared" si="65"/>
        <v>0</v>
      </c>
      <c r="AK83">
        <f t="shared" si="65"/>
        <v>0</v>
      </c>
      <c r="AL83">
        <f t="shared" si="65"/>
        <v>0</v>
      </c>
      <c r="AM83">
        <f t="shared" si="65"/>
        <v>9729</v>
      </c>
      <c r="AN83">
        <f t="shared" si="65"/>
        <v>0</v>
      </c>
      <c r="AO83">
        <f t="shared" si="65"/>
        <v>0</v>
      </c>
      <c r="AP83">
        <f t="shared" si="65"/>
        <v>0</v>
      </c>
      <c r="AQ83">
        <f t="shared" si="65"/>
        <v>0</v>
      </c>
      <c r="AR83">
        <f t="shared" si="65"/>
        <v>0</v>
      </c>
      <c r="AS83">
        <f t="shared" si="65"/>
        <v>0</v>
      </c>
      <c r="AT83">
        <f t="shared" si="65"/>
        <v>0</v>
      </c>
      <c r="AU83">
        <f t="shared" si="65"/>
        <v>0</v>
      </c>
      <c r="AV83">
        <f t="shared" si="65"/>
        <v>0</v>
      </c>
      <c r="AW83">
        <f t="shared" si="65"/>
        <v>0</v>
      </c>
      <c r="AX83">
        <f t="shared" si="65"/>
        <v>0</v>
      </c>
      <c r="AY83">
        <f t="shared" si="65"/>
        <v>0</v>
      </c>
      <c r="AZ83">
        <f t="shared" si="65"/>
        <v>0</v>
      </c>
      <c r="BA83">
        <f t="shared" si="65"/>
        <v>0</v>
      </c>
    </row>
    <row r="84" spans="1:53" ht="15.75" customHeight="1">
      <c r="A84" s="350">
        <v>1975</v>
      </c>
      <c r="B84" s="350"/>
      <c r="C84" s="350"/>
      <c r="D84" s="350"/>
      <c r="E84" s="350"/>
      <c r="F84" s="350"/>
      <c r="G84" s="350"/>
      <c r="H84" s="350"/>
      <c r="I84" s="350"/>
      <c r="J84" s="350"/>
      <c r="K84" s="350"/>
      <c r="L84" s="350"/>
      <c r="M84" s="350"/>
      <c r="N84" s="350"/>
      <c r="O84" s="350"/>
      <c r="P84" s="350"/>
      <c r="Q84" s="350"/>
      <c r="R84" s="350"/>
      <c r="S84" s="350"/>
      <c r="T84" s="350"/>
      <c r="U84" s="350"/>
      <c r="V84">
        <v>9482.1</v>
      </c>
      <c r="W84">
        <f t="shared" si="31"/>
        <v>0</v>
      </c>
      <c r="X84">
        <f t="shared" ref="X84:BA84" si="66">IF(AND(X$49-$A84&gt;$V$34,SUM($W84:W84)&lt;&gt;$V84),$V84,0)</f>
        <v>0</v>
      </c>
      <c r="Y84">
        <f t="shared" si="66"/>
        <v>0</v>
      </c>
      <c r="Z84">
        <f t="shared" si="66"/>
        <v>0</v>
      </c>
      <c r="AA84">
        <f t="shared" si="66"/>
        <v>0</v>
      </c>
      <c r="AB84">
        <f t="shared" si="66"/>
        <v>0</v>
      </c>
      <c r="AC84">
        <f t="shared" si="66"/>
        <v>0</v>
      </c>
      <c r="AD84">
        <f t="shared" si="66"/>
        <v>0</v>
      </c>
      <c r="AE84">
        <f t="shared" si="66"/>
        <v>0</v>
      </c>
      <c r="AF84">
        <f t="shared" si="66"/>
        <v>0</v>
      </c>
      <c r="AG84">
        <f t="shared" si="66"/>
        <v>0</v>
      </c>
      <c r="AH84">
        <f t="shared" si="66"/>
        <v>0</v>
      </c>
      <c r="AI84">
        <f t="shared" si="66"/>
        <v>0</v>
      </c>
      <c r="AJ84">
        <f t="shared" si="66"/>
        <v>0</v>
      </c>
      <c r="AK84">
        <f t="shared" si="66"/>
        <v>0</v>
      </c>
      <c r="AL84">
        <f t="shared" si="66"/>
        <v>0</v>
      </c>
      <c r="AM84">
        <f t="shared" si="66"/>
        <v>0</v>
      </c>
      <c r="AN84">
        <f t="shared" si="66"/>
        <v>9482.1</v>
      </c>
      <c r="AO84">
        <f t="shared" si="66"/>
        <v>0</v>
      </c>
      <c r="AP84">
        <f t="shared" si="66"/>
        <v>0</v>
      </c>
      <c r="AQ84">
        <f t="shared" si="66"/>
        <v>0</v>
      </c>
      <c r="AR84">
        <f t="shared" si="66"/>
        <v>0</v>
      </c>
      <c r="AS84">
        <f t="shared" si="66"/>
        <v>0</v>
      </c>
      <c r="AT84">
        <f t="shared" si="66"/>
        <v>0</v>
      </c>
      <c r="AU84">
        <f t="shared" si="66"/>
        <v>0</v>
      </c>
      <c r="AV84">
        <f t="shared" si="66"/>
        <v>0</v>
      </c>
      <c r="AW84">
        <f t="shared" si="66"/>
        <v>0</v>
      </c>
      <c r="AX84">
        <f t="shared" si="66"/>
        <v>0</v>
      </c>
      <c r="AY84">
        <f t="shared" si="66"/>
        <v>0</v>
      </c>
      <c r="AZ84">
        <f t="shared" si="66"/>
        <v>0</v>
      </c>
      <c r="BA84">
        <f t="shared" si="66"/>
        <v>0</v>
      </c>
    </row>
    <row r="85" spans="1:53" ht="15.75" customHeight="1">
      <c r="A85" s="350">
        <v>1976</v>
      </c>
      <c r="B85" s="350"/>
      <c r="C85" s="350"/>
      <c r="D85" s="350"/>
      <c r="E85" s="350"/>
      <c r="F85" s="350"/>
      <c r="G85" s="350"/>
      <c r="H85" s="350"/>
      <c r="I85" s="350"/>
      <c r="J85" s="350"/>
      <c r="K85" s="350"/>
      <c r="L85" s="350"/>
      <c r="M85" s="350"/>
      <c r="N85" s="350"/>
      <c r="O85" s="350"/>
      <c r="P85" s="350"/>
      <c r="Q85" s="350"/>
      <c r="R85" s="350"/>
      <c r="S85" s="350"/>
      <c r="T85" s="350"/>
      <c r="U85" s="350"/>
      <c r="V85">
        <v>8007.5</v>
      </c>
      <c r="W85">
        <f t="shared" si="31"/>
        <v>0</v>
      </c>
      <c r="X85">
        <f t="shared" ref="X85:BA85" si="67">IF(AND(X$49-$A85&gt;$V$34,SUM($W85:W85)&lt;&gt;$V85),$V85,0)</f>
        <v>0</v>
      </c>
      <c r="Y85">
        <f t="shared" si="67"/>
        <v>0</v>
      </c>
      <c r="Z85">
        <f t="shared" si="67"/>
        <v>0</v>
      </c>
      <c r="AA85">
        <f t="shared" si="67"/>
        <v>0</v>
      </c>
      <c r="AB85">
        <f t="shared" si="67"/>
        <v>0</v>
      </c>
      <c r="AC85">
        <f t="shared" si="67"/>
        <v>0</v>
      </c>
      <c r="AD85">
        <f t="shared" si="67"/>
        <v>0</v>
      </c>
      <c r="AE85">
        <f t="shared" si="67"/>
        <v>0</v>
      </c>
      <c r="AF85">
        <f t="shared" si="67"/>
        <v>0</v>
      </c>
      <c r="AG85">
        <f t="shared" si="67"/>
        <v>0</v>
      </c>
      <c r="AH85">
        <f t="shared" si="67"/>
        <v>0</v>
      </c>
      <c r="AI85">
        <f t="shared" si="67"/>
        <v>0</v>
      </c>
      <c r="AJ85">
        <f t="shared" si="67"/>
        <v>0</v>
      </c>
      <c r="AK85">
        <f t="shared" si="67"/>
        <v>0</v>
      </c>
      <c r="AL85">
        <f t="shared" si="67"/>
        <v>0</v>
      </c>
      <c r="AM85">
        <f t="shared" si="67"/>
        <v>0</v>
      </c>
      <c r="AN85">
        <f t="shared" si="67"/>
        <v>0</v>
      </c>
      <c r="AO85">
        <f t="shared" si="67"/>
        <v>8007.5</v>
      </c>
      <c r="AP85">
        <f t="shared" si="67"/>
        <v>0</v>
      </c>
      <c r="AQ85">
        <f t="shared" si="67"/>
        <v>0</v>
      </c>
      <c r="AR85">
        <f t="shared" si="67"/>
        <v>0</v>
      </c>
      <c r="AS85">
        <f t="shared" si="67"/>
        <v>0</v>
      </c>
      <c r="AT85">
        <f t="shared" si="67"/>
        <v>0</v>
      </c>
      <c r="AU85">
        <f t="shared" si="67"/>
        <v>0</v>
      </c>
      <c r="AV85">
        <f t="shared" si="67"/>
        <v>0</v>
      </c>
      <c r="AW85">
        <f t="shared" si="67"/>
        <v>0</v>
      </c>
      <c r="AX85">
        <f t="shared" si="67"/>
        <v>0</v>
      </c>
      <c r="AY85">
        <f t="shared" si="67"/>
        <v>0</v>
      </c>
      <c r="AZ85">
        <f t="shared" si="67"/>
        <v>0</v>
      </c>
      <c r="BA85">
        <f t="shared" si="67"/>
        <v>0</v>
      </c>
    </row>
    <row r="86" spans="1:53" ht="15.75" customHeight="1">
      <c r="A86" s="350">
        <v>1977</v>
      </c>
      <c r="B86" s="350"/>
      <c r="C86" s="350"/>
      <c r="D86" s="350"/>
      <c r="E86" s="350"/>
      <c r="F86" s="350"/>
      <c r="G86" s="350"/>
      <c r="H86" s="350"/>
      <c r="I86" s="350"/>
      <c r="J86" s="350"/>
      <c r="K86" s="350"/>
      <c r="L86" s="350"/>
      <c r="M86" s="350"/>
      <c r="N86" s="350"/>
      <c r="O86" s="350"/>
      <c r="P86" s="350"/>
      <c r="Q86" s="350"/>
      <c r="R86" s="350"/>
      <c r="S86" s="350"/>
      <c r="T86" s="350"/>
      <c r="U86" s="350"/>
      <c r="V86">
        <v>11379.2</v>
      </c>
      <c r="W86">
        <f t="shared" si="31"/>
        <v>0</v>
      </c>
      <c r="X86">
        <f t="shared" ref="X86:BA86" si="68">IF(AND(X$49-$A86&gt;$V$34,SUM($W86:W86)&lt;&gt;$V86),$V86,0)</f>
        <v>0</v>
      </c>
      <c r="Y86">
        <f t="shared" si="68"/>
        <v>0</v>
      </c>
      <c r="Z86">
        <f t="shared" si="68"/>
        <v>0</v>
      </c>
      <c r="AA86">
        <f t="shared" si="68"/>
        <v>0</v>
      </c>
      <c r="AB86">
        <f t="shared" si="68"/>
        <v>0</v>
      </c>
      <c r="AC86">
        <f t="shared" si="68"/>
        <v>0</v>
      </c>
      <c r="AD86">
        <f t="shared" si="68"/>
        <v>0</v>
      </c>
      <c r="AE86">
        <f t="shared" si="68"/>
        <v>0</v>
      </c>
      <c r="AF86">
        <f t="shared" si="68"/>
        <v>0</v>
      </c>
      <c r="AG86">
        <f t="shared" si="68"/>
        <v>0</v>
      </c>
      <c r="AH86">
        <f t="shared" si="68"/>
        <v>0</v>
      </c>
      <c r="AI86">
        <f t="shared" si="68"/>
        <v>0</v>
      </c>
      <c r="AJ86">
        <f t="shared" si="68"/>
        <v>0</v>
      </c>
      <c r="AK86">
        <f t="shared" si="68"/>
        <v>0</v>
      </c>
      <c r="AL86">
        <f t="shared" si="68"/>
        <v>0</v>
      </c>
      <c r="AM86">
        <f t="shared" si="68"/>
        <v>0</v>
      </c>
      <c r="AN86">
        <f t="shared" si="68"/>
        <v>0</v>
      </c>
      <c r="AO86">
        <f t="shared" si="68"/>
        <v>0</v>
      </c>
      <c r="AP86">
        <f t="shared" si="68"/>
        <v>11379.2</v>
      </c>
      <c r="AQ86">
        <f t="shared" si="68"/>
        <v>0</v>
      </c>
      <c r="AR86">
        <f t="shared" si="68"/>
        <v>0</v>
      </c>
      <c r="AS86">
        <f t="shared" si="68"/>
        <v>0</v>
      </c>
      <c r="AT86">
        <f t="shared" si="68"/>
        <v>0</v>
      </c>
      <c r="AU86">
        <f t="shared" si="68"/>
        <v>0</v>
      </c>
      <c r="AV86">
        <f t="shared" si="68"/>
        <v>0</v>
      </c>
      <c r="AW86">
        <f t="shared" si="68"/>
        <v>0</v>
      </c>
      <c r="AX86">
        <f t="shared" si="68"/>
        <v>0</v>
      </c>
      <c r="AY86">
        <f t="shared" si="68"/>
        <v>0</v>
      </c>
      <c r="AZ86">
        <f t="shared" si="68"/>
        <v>0</v>
      </c>
      <c r="BA86">
        <f t="shared" si="68"/>
        <v>0</v>
      </c>
    </row>
    <row r="87" spans="1:53" ht="15.75" customHeight="1">
      <c r="A87" s="350">
        <v>1978</v>
      </c>
      <c r="B87" s="350"/>
      <c r="C87" s="350"/>
      <c r="D87" s="350"/>
      <c r="E87" s="350"/>
      <c r="F87" s="350"/>
      <c r="G87" s="350"/>
      <c r="H87" s="350"/>
      <c r="I87" s="350"/>
      <c r="J87" s="350"/>
      <c r="K87" s="350"/>
      <c r="L87" s="350"/>
      <c r="M87" s="350"/>
      <c r="N87" s="350"/>
      <c r="O87" s="350"/>
      <c r="P87" s="350"/>
      <c r="Q87" s="350"/>
      <c r="R87" s="350"/>
      <c r="S87" s="350"/>
      <c r="T87" s="350"/>
      <c r="U87" s="350"/>
      <c r="V87">
        <v>11123.3</v>
      </c>
      <c r="W87">
        <f t="shared" si="31"/>
        <v>0</v>
      </c>
      <c r="X87">
        <f t="shared" ref="X87:BA87" si="69">IF(AND(X$49-$A87&gt;$V$34,SUM($W87:W87)&lt;&gt;$V87),$V87,0)</f>
        <v>0</v>
      </c>
      <c r="Y87">
        <f t="shared" si="69"/>
        <v>0</v>
      </c>
      <c r="Z87">
        <f t="shared" si="69"/>
        <v>0</v>
      </c>
      <c r="AA87">
        <f t="shared" si="69"/>
        <v>0</v>
      </c>
      <c r="AB87">
        <f t="shared" si="69"/>
        <v>0</v>
      </c>
      <c r="AC87">
        <f t="shared" si="69"/>
        <v>0</v>
      </c>
      <c r="AD87">
        <f t="shared" si="69"/>
        <v>0</v>
      </c>
      <c r="AE87">
        <f t="shared" si="69"/>
        <v>0</v>
      </c>
      <c r="AF87">
        <f t="shared" si="69"/>
        <v>0</v>
      </c>
      <c r="AG87">
        <f t="shared" si="69"/>
        <v>0</v>
      </c>
      <c r="AH87">
        <f t="shared" si="69"/>
        <v>0</v>
      </c>
      <c r="AI87">
        <f t="shared" si="69"/>
        <v>0</v>
      </c>
      <c r="AJ87">
        <f t="shared" si="69"/>
        <v>0</v>
      </c>
      <c r="AK87">
        <f t="shared" si="69"/>
        <v>0</v>
      </c>
      <c r="AL87">
        <f t="shared" si="69"/>
        <v>0</v>
      </c>
      <c r="AM87">
        <f t="shared" si="69"/>
        <v>0</v>
      </c>
      <c r="AN87">
        <f t="shared" si="69"/>
        <v>0</v>
      </c>
      <c r="AO87">
        <f t="shared" si="69"/>
        <v>0</v>
      </c>
      <c r="AP87">
        <f t="shared" si="69"/>
        <v>0</v>
      </c>
      <c r="AQ87">
        <f t="shared" si="69"/>
        <v>11123.3</v>
      </c>
      <c r="AR87">
        <f t="shared" si="69"/>
        <v>0</v>
      </c>
      <c r="AS87">
        <f t="shared" si="69"/>
        <v>0</v>
      </c>
      <c r="AT87">
        <f t="shared" si="69"/>
        <v>0</v>
      </c>
      <c r="AU87">
        <f t="shared" si="69"/>
        <v>0</v>
      </c>
      <c r="AV87">
        <f t="shared" si="69"/>
        <v>0</v>
      </c>
      <c r="AW87">
        <f t="shared" si="69"/>
        <v>0</v>
      </c>
      <c r="AX87">
        <f t="shared" si="69"/>
        <v>0</v>
      </c>
      <c r="AY87">
        <f t="shared" si="69"/>
        <v>0</v>
      </c>
      <c r="AZ87">
        <f t="shared" si="69"/>
        <v>0</v>
      </c>
      <c r="BA87">
        <f t="shared" si="69"/>
        <v>0</v>
      </c>
    </row>
    <row r="88" spans="1:53" ht="15.75" customHeight="1">
      <c r="A88" s="350">
        <v>1979</v>
      </c>
      <c r="B88" s="350"/>
      <c r="C88" s="350"/>
      <c r="D88" s="350"/>
      <c r="E88" s="350"/>
      <c r="F88" s="350"/>
      <c r="G88" s="350"/>
      <c r="H88" s="350"/>
      <c r="I88" s="350"/>
      <c r="J88" s="350"/>
      <c r="K88" s="350"/>
      <c r="L88" s="350"/>
      <c r="M88" s="350"/>
      <c r="N88" s="350"/>
      <c r="O88" s="350"/>
      <c r="P88" s="350"/>
      <c r="Q88" s="350"/>
      <c r="R88" s="350"/>
      <c r="S88" s="350"/>
      <c r="T88" s="350"/>
      <c r="U88" s="350"/>
      <c r="V88">
        <v>9478.6</v>
      </c>
      <c r="W88">
        <f t="shared" si="31"/>
        <v>0</v>
      </c>
      <c r="X88">
        <f t="shared" ref="X88:BA88" si="70">IF(AND(X$49-$A88&gt;$V$34,SUM($W88:W88)&lt;&gt;$V88),$V88,0)</f>
        <v>0</v>
      </c>
      <c r="Y88">
        <f t="shared" si="70"/>
        <v>0</v>
      </c>
      <c r="Z88">
        <f t="shared" si="70"/>
        <v>0</v>
      </c>
      <c r="AA88">
        <f t="shared" si="70"/>
        <v>0</v>
      </c>
      <c r="AB88">
        <f t="shared" si="70"/>
        <v>0</v>
      </c>
      <c r="AC88">
        <f t="shared" si="70"/>
        <v>0</v>
      </c>
      <c r="AD88">
        <f t="shared" si="70"/>
        <v>0</v>
      </c>
      <c r="AE88">
        <f t="shared" si="70"/>
        <v>0</v>
      </c>
      <c r="AF88">
        <f t="shared" si="70"/>
        <v>0</v>
      </c>
      <c r="AG88">
        <f t="shared" si="70"/>
        <v>0</v>
      </c>
      <c r="AH88">
        <f t="shared" si="70"/>
        <v>0</v>
      </c>
      <c r="AI88">
        <f t="shared" si="70"/>
        <v>0</v>
      </c>
      <c r="AJ88">
        <f t="shared" si="70"/>
        <v>0</v>
      </c>
      <c r="AK88">
        <f t="shared" si="70"/>
        <v>0</v>
      </c>
      <c r="AL88">
        <f t="shared" si="70"/>
        <v>0</v>
      </c>
      <c r="AM88">
        <f t="shared" si="70"/>
        <v>0</v>
      </c>
      <c r="AN88">
        <f t="shared" si="70"/>
        <v>0</v>
      </c>
      <c r="AO88">
        <f t="shared" si="70"/>
        <v>0</v>
      </c>
      <c r="AP88">
        <f t="shared" si="70"/>
        <v>0</v>
      </c>
      <c r="AQ88">
        <f t="shared" si="70"/>
        <v>0</v>
      </c>
      <c r="AR88">
        <f t="shared" si="70"/>
        <v>9478.6</v>
      </c>
      <c r="AS88">
        <f t="shared" si="70"/>
        <v>0</v>
      </c>
      <c r="AT88">
        <f t="shared" si="70"/>
        <v>0</v>
      </c>
      <c r="AU88">
        <f t="shared" si="70"/>
        <v>0</v>
      </c>
      <c r="AV88">
        <f t="shared" si="70"/>
        <v>0</v>
      </c>
      <c r="AW88">
        <f t="shared" si="70"/>
        <v>0</v>
      </c>
      <c r="AX88">
        <f t="shared" si="70"/>
        <v>0</v>
      </c>
      <c r="AY88">
        <f t="shared" si="70"/>
        <v>0</v>
      </c>
      <c r="AZ88">
        <f t="shared" si="70"/>
        <v>0</v>
      </c>
      <c r="BA88">
        <f t="shared" si="70"/>
        <v>0</v>
      </c>
    </row>
    <row r="89" spans="1:53" ht="15.75" customHeight="1">
      <c r="A89" s="350">
        <v>1980</v>
      </c>
      <c r="B89" s="350"/>
      <c r="C89" s="350"/>
      <c r="D89" s="350"/>
      <c r="E89" s="350"/>
      <c r="F89" s="350"/>
      <c r="G89" s="350"/>
      <c r="H89" s="350"/>
      <c r="I89" s="350"/>
      <c r="J89" s="350"/>
      <c r="K89" s="350"/>
      <c r="L89" s="350"/>
      <c r="M89" s="350"/>
      <c r="N89" s="350"/>
      <c r="O89" s="350"/>
      <c r="P89" s="350"/>
      <c r="Q89" s="350"/>
      <c r="R89" s="350"/>
      <c r="S89" s="350"/>
      <c r="T89" s="350"/>
      <c r="U89" s="350"/>
      <c r="V89">
        <v>14231.099999999999</v>
      </c>
      <c r="W89">
        <f t="shared" si="31"/>
        <v>0</v>
      </c>
      <c r="X89">
        <f t="shared" ref="X89:BA89" si="71">IF(AND(X$49-$A89&gt;$V$34,SUM($W89:W89)&lt;&gt;$V89),$V89,0)</f>
        <v>0</v>
      </c>
      <c r="Y89">
        <f t="shared" si="71"/>
        <v>0</v>
      </c>
      <c r="Z89">
        <f t="shared" si="71"/>
        <v>0</v>
      </c>
      <c r="AA89">
        <f t="shared" si="71"/>
        <v>0</v>
      </c>
      <c r="AB89">
        <f t="shared" si="71"/>
        <v>0</v>
      </c>
      <c r="AC89">
        <f t="shared" si="71"/>
        <v>0</v>
      </c>
      <c r="AD89">
        <f t="shared" si="71"/>
        <v>0</v>
      </c>
      <c r="AE89">
        <f t="shared" si="71"/>
        <v>0</v>
      </c>
      <c r="AF89">
        <f t="shared" si="71"/>
        <v>0</v>
      </c>
      <c r="AG89">
        <f t="shared" si="71"/>
        <v>0</v>
      </c>
      <c r="AH89">
        <f t="shared" si="71"/>
        <v>0</v>
      </c>
      <c r="AI89">
        <f t="shared" si="71"/>
        <v>0</v>
      </c>
      <c r="AJ89">
        <f t="shared" si="71"/>
        <v>0</v>
      </c>
      <c r="AK89">
        <f t="shared" si="71"/>
        <v>0</v>
      </c>
      <c r="AL89">
        <f t="shared" si="71"/>
        <v>0</v>
      </c>
      <c r="AM89">
        <f t="shared" si="71"/>
        <v>0</v>
      </c>
      <c r="AN89">
        <f t="shared" si="71"/>
        <v>0</v>
      </c>
      <c r="AO89">
        <f t="shared" si="71"/>
        <v>0</v>
      </c>
      <c r="AP89">
        <f t="shared" si="71"/>
        <v>0</v>
      </c>
      <c r="AQ89">
        <f t="shared" si="71"/>
        <v>0</v>
      </c>
      <c r="AR89">
        <f t="shared" si="71"/>
        <v>0</v>
      </c>
      <c r="AS89">
        <f t="shared" si="71"/>
        <v>14231.099999999999</v>
      </c>
      <c r="AT89">
        <f t="shared" si="71"/>
        <v>0</v>
      </c>
      <c r="AU89">
        <f t="shared" si="71"/>
        <v>0</v>
      </c>
      <c r="AV89">
        <f t="shared" si="71"/>
        <v>0</v>
      </c>
      <c r="AW89">
        <f t="shared" si="71"/>
        <v>0</v>
      </c>
      <c r="AX89">
        <f t="shared" si="71"/>
        <v>0</v>
      </c>
      <c r="AY89">
        <f t="shared" si="71"/>
        <v>0</v>
      </c>
      <c r="AZ89">
        <f t="shared" si="71"/>
        <v>0</v>
      </c>
      <c r="BA89">
        <f t="shared" si="71"/>
        <v>0</v>
      </c>
    </row>
    <row r="90" spans="1:53" ht="15.75" customHeight="1">
      <c r="A90" s="350">
        <v>1981</v>
      </c>
      <c r="B90" s="350"/>
      <c r="C90" s="350"/>
      <c r="D90" s="350"/>
      <c r="E90" s="350"/>
      <c r="F90" s="350"/>
      <c r="G90" s="350"/>
      <c r="H90" s="350"/>
      <c r="I90" s="350"/>
      <c r="J90" s="350"/>
      <c r="K90" s="350"/>
      <c r="L90" s="350"/>
      <c r="M90" s="350"/>
      <c r="N90" s="350"/>
      <c r="O90" s="350"/>
      <c r="P90" s="350"/>
      <c r="Q90" s="350"/>
      <c r="R90" s="350"/>
      <c r="S90" s="350"/>
      <c r="T90" s="350"/>
      <c r="U90" s="350"/>
      <c r="V90">
        <v>9029.4</v>
      </c>
      <c r="W90">
        <f t="shared" si="31"/>
        <v>0</v>
      </c>
      <c r="X90">
        <f t="shared" ref="X90:BA90" si="72">IF(AND(X$49-$A90&gt;$V$34,SUM($W90:W90)&lt;&gt;$V90),$V90,0)</f>
        <v>0</v>
      </c>
      <c r="Y90">
        <f t="shared" si="72"/>
        <v>0</v>
      </c>
      <c r="Z90">
        <f t="shared" si="72"/>
        <v>0</v>
      </c>
      <c r="AA90">
        <f t="shared" si="72"/>
        <v>0</v>
      </c>
      <c r="AB90">
        <f t="shared" si="72"/>
        <v>0</v>
      </c>
      <c r="AC90">
        <f t="shared" si="72"/>
        <v>0</v>
      </c>
      <c r="AD90">
        <f t="shared" si="72"/>
        <v>0</v>
      </c>
      <c r="AE90">
        <f t="shared" si="72"/>
        <v>0</v>
      </c>
      <c r="AF90">
        <f t="shared" si="72"/>
        <v>0</v>
      </c>
      <c r="AG90">
        <f t="shared" si="72"/>
        <v>0</v>
      </c>
      <c r="AH90">
        <f t="shared" si="72"/>
        <v>0</v>
      </c>
      <c r="AI90">
        <f t="shared" si="72"/>
        <v>0</v>
      </c>
      <c r="AJ90">
        <f t="shared" si="72"/>
        <v>0</v>
      </c>
      <c r="AK90">
        <f t="shared" si="72"/>
        <v>0</v>
      </c>
      <c r="AL90">
        <f t="shared" si="72"/>
        <v>0</v>
      </c>
      <c r="AM90">
        <f t="shared" si="72"/>
        <v>0</v>
      </c>
      <c r="AN90">
        <f t="shared" si="72"/>
        <v>0</v>
      </c>
      <c r="AO90">
        <f t="shared" si="72"/>
        <v>0</v>
      </c>
      <c r="AP90">
        <f t="shared" si="72"/>
        <v>0</v>
      </c>
      <c r="AQ90">
        <f t="shared" si="72"/>
        <v>0</v>
      </c>
      <c r="AR90">
        <f t="shared" si="72"/>
        <v>0</v>
      </c>
      <c r="AS90">
        <f t="shared" si="72"/>
        <v>0</v>
      </c>
      <c r="AT90">
        <f t="shared" si="72"/>
        <v>9029.4</v>
      </c>
      <c r="AU90">
        <f t="shared" si="72"/>
        <v>0</v>
      </c>
      <c r="AV90">
        <f t="shared" si="72"/>
        <v>0</v>
      </c>
      <c r="AW90">
        <f t="shared" si="72"/>
        <v>0</v>
      </c>
      <c r="AX90">
        <f t="shared" si="72"/>
        <v>0</v>
      </c>
      <c r="AY90">
        <f t="shared" si="72"/>
        <v>0</v>
      </c>
      <c r="AZ90">
        <f t="shared" si="72"/>
        <v>0</v>
      </c>
      <c r="BA90">
        <f t="shared" si="72"/>
        <v>0</v>
      </c>
    </row>
    <row r="91" spans="1:53" ht="15.75" customHeight="1">
      <c r="A91" s="350">
        <v>1982</v>
      </c>
      <c r="B91" s="350"/>
      <c r="C91" s="350"/>
      <c r="D91" s="350"/>
      <c r="E91" s="350"/>
      <c r="F91" s="350"/>
      <c r="G91" s="350"/>
      <c r="H91" s="350"/>
      <c r="I91" s="350"/>
      <c r="J91" s="350"/>
      <c r="K91" s="350"/>
      <c r="L91" s="350"/>
      <c r="M91" s="350"/>
      <c r="N91" s="350"/>
      <c r="O91" s="350"/>
      <c r="P91" s="350"/>
      <c r="Q91" s="350"/>
      <c r="R91" s="350"/>
      <c r="S91" s="350"/>
      <c r="T91" s="350"/>
      <c r="U91" s="350"/>
      <c r="V91">
        <v>10244.200000000001</v>
      </c>
      <c r="W91">
        <f t="shared" si="31"/>
        <v>0</v>
      </c>
      <c r="X91">
        <f t="shared" ref="X91:BA91" si="73">IF(AND(X$49-$A91&gt;$V$34,SUM($W91:W91)&lt;&gt;$V91),$V91,0)</f>
        <v>0</v>
      </c>
      <c r="Y91">
        <f t="shared" si="73"/>
        <v>0</v>
      </c>
      <c r="Z91">
        <f t="shared" si="73"/>
        <v>0</v>
      </c>
      <c r="AA91">
        <f t="shared" si="73"/>
        <v>0</v>
      </c>
      <c r="AB91">
        <f t="shared" si="73"/>
        <v>0</v>
      </c>
      <c r="AC91">
        <f t="shared" si="73"/>
        <v>0</v>
      </c>
      <c r="AD91">
        <f t="shared" si="73"/>
        <v>0</v>
      </c>
      <c r="AE91">
        <f t="shared" si="73"/>
        <v>0</v>
      </c>
      <c r="AF91">
        <f t="shared" si="73"/>
        <v>0</v>
      </c>
      <c r="AG91">
        <f t="shared" si="73"/>
        <v>0</v>
      </c>
      <c r="AH91">
        <f t="shared" si="73"/>
        <v>0</v>
      </c>
      <c r="AI91">
        <f t="shared" si="73"/>
        <v>0</v>
      </c>
      <c r="AJ91">
        <f t="shared" si="73"/>
        <v>0</v>
      </c>
      <c r="AK91">
        <f t="shared" si="73"/>
        <v>0</v>
      </c>
      <c r="AL91">
        <f t="shared" si="73"/>
        <v>0</v>
      </c>
      <c r="AM91">
        <f t="shared" si="73"/>
        <v>0</v>
      </c>
      <c r="AN91">
        <f t="shared" si="73"/>
        <v>0</v>
      </c>
      <c r="AO91">
        <f t="shared" si="73"/>
        <v>0</v>
      </c>
      <c r="AP91">
        <f t="shared" si="73"/>
        <v>0</v>
      </c>
      <c r="AQ91">
        <f t="shared" si="73"/>
        <v>0</v>
      </c>
      <c r="AR91">
        <f t="shared" si="73"/>
        <v>0</v>
      </c>
      <c r="AS91">
        <f t="shared" si="73"/>
        <v>0</v>
      </c>
      <c r="AT91">
        <f t="shared" si="73"/>
        <v>0</v>
      </c>
      <c r="AU91">
        <f t="shared" si="73"/>
        <v>10244.200000000001</v>
      </c>
      <c r="AV91">
        <f t="shared" si="73"/>
        <v>0</v>
      </c>
      <c r="AW91">
        <f t="shared" si="73"/>
        <v>0</v>
      </c>
      <c r="AX91">
        <f t="shared" si="73"/>
        <v>0</v>
      </c>
      <c r="AY91">
        <f t="shared" si="73"/>
        <v>0</v>
      </c>
      <c r="AZ91">
        <f t="shared" si="73"/>
        <v>0</v>
      </c>
      <c r="BA91">
        <f t="shared" si="73"/>
        <v>0</v>
      </c>
    </row>
    <row r="92" spans="1:53" ht="15.75" customHeight="1">
      <c r="A92" s="350">
        <v>1983</v>
      </c>
      <c r="B92" s="350"/>
      <c r="C92" s="350"/>
      <c r="D92" s="350"/>
      <c r="E92" s="350"/>
      <c r="F92" s="350"/>
      <c r="G92" s="350"/>
      <c r="H92" s="350"/>
      <c r="I92" s="350"/>
      <c r="J92" s="350"/>
      <c r="K92" s="350"/>
      <c r="L92" s="350"/>
      <c r="M92" s="350"/>
      <c r="N92" s="350"/>
      <c r="O92" s="350"/>
      <c r="P92" s="350"/>
      <c r="Q92" s="350"/>
      <c r="R92" s="350"/>
      <c r="S92" s="350"/>
      <c r="T92" s="350"/>
      <c r="U92" s="350"/>
      <c r="V92">
        <v>6015.2000000000007</v>
      </c>
      <c r="W92">
        <f t="shared" si="31"/>
        <v>0</v>
      </c>
      <c r="X92">
        <f t="shared" ref="X92:BA92" si="74">IF(AND(X$49-$A92&gt;$V$34,SUM($W92:W92)&lt;&gt;$V92),$V92,0)</f>
        <v>0</v>
      </c>
      <c r="Y92">
        <f t="shared" si="74"/>
        <v>0</v>
      </c>
      <c r="Z92">
        <f t="shared" si="74"/>
        <v>0</v>
      </c>
      <c r="AA92">
        <f t="shared" si="74"/>
        <v>0</v>
      </c>
      <c r="AB92">
        <f t="shared" si="74"/>
        <v>0</v>
      </c>
      <c r="AC92">
        <f t="shared" si="74"/>
        <v>0</v>
      </c>
      <c r="AD92">
        <f t="shared" si="74"/>
        <v>0</v>
      </c>
      <c r="AE92">
        <f t="shared" si="74"/>
        <v>0</v>
      </c>
      <c r="AF92">
        <f t="shared" si="74"/>
        <v>0</v>
      </c>
      <c r="AG92">
        <f t="shared" si="74"/>
        <v>0</v>
      </c>
      <c r="AH92">
        <f t="shared" si="74"/>
        <v>0</v>
      </c>
      <c r="AI92">
        <f t="shared" si="74"/>
        <v>0</v>
      </c>
      <c r="AJ92">
        <f t="shared" si="74"/>
        <v>0</v>
      </c>
      <c r="AK92">
        <f t="shared" si="74"/>
        <v>0</v>
      </c>
      <c r="AL92">
        <f t="shared" si="74"/>
        <v>0</v>
      </c>
      <c r="AM92">
        <f t="shared" si="74"/>
        <v>0</v>
      </c>
      <c r="AN92">
        <f t="shared" si="74"/>
        <v>0</v>
      </c>
      <c r="AO92">
        <f t="shared" si="74"/>
        <v>0</v>
      </c>
      <c r="AP92">
        <f t="shared" si="74"/>
        <v>0</v>
      </c>
      <c r="AQ92">
        <f t="shared" si="74"/>
        <v>0</v>
      </c>
      <c r="AR92">
        <f t="shared" si="74"/>
        <v>0</v>
      </c>
      <c r="AS92">
        <f t="shared" si="74"/>
        <v>0</v>
      </c>
      <c r="AT92">
        <f t="shared" si="74"/>
        <v>0</v>
      </c>
      <c r="AU92">
        <f t="shared" si="74"/>
        <v>0</v>
      </c>
      <c r="AV92">
        <f t="shared" si="74"/>
        <v>6015.2000000000007</v>
      </c>
      <c r="AW92">
        <f t="shared" si="74"/>
        <v>0</v>
      </c>
      <c r="AX92">
        <f t="shared" si="74"/>
        <v>0</v>
      </c>
      <c r="AY92">
        <f t="shared" si="74"/>
        <v>0</v>
      </c>
      <c r="AZ92">
        <f t="shared" si="74"/>
        <v>0</v>
      </c>
      <c r="BA92">
        <f t="shared" si="74"/>
        <v>0</v>
      </c>
    </row>
    <row r="93" spans="1:53" ht="15.75" customHeight="1">
      <c r="A93" s="350">
        <v>1984</v>
      </c>
      <c r="B93" s="350"/>
      <c r="C93" s="350"/>
      <c r="D93" s="350"/>
      <c r="E93" s="350"/>
      <c r="F93" s="350"/>
      <c r="G93" s="350"/>
      <c r="H93" s="350"/>
      <c r="I93" s="350"/>
      <c r="J93" s="350"/>
      <c r="K93" s="350"/>
      <c r="L93" s="350"/>
      <c r="M93" s="350"/>
      <c r="N93" s="350"/>
      <c r="O93" s="350"/>
      <c r="P93" s="350"/>
      <c r="Q93" s="350"/>
      <c r="R93" s="350"/>
      <c r="S93" s="350"/>
      <c r="T93" s="350"/>
      <c r="U93" s="350"/>
      <c r="V93">
        <v>11111.9</v>
      </c>
      <c r="W93">
        <f t="shared" si="31"/>
        <v>0</v>
      </c>
      <c r="X93">
        <f t="shared" ref="X93:BA93" si="75">IF(AND(X$49-$A93&gt;$V$34,SUM($W93:W93)&lt;&gt;$V93),$V93,0)</f>
        <v>0</v>
      </c>
      <c r="Y93">
        <f t="shared" si="75"/>
        <v>0</v>
      </c>
      <c r="Z93">
        <f t="shared" si="75"/>
        <v>0</v>
      </c>
      <c r="AA93">
        <f t="shared" si="75"/>
        <v>0</v>
      </c>
      <c r="AB93">
        <f t="shared" si="75"/>
        <v>0</v>
      </c>
      <c r="AC93">
        <f t="shared" si="75"/>
        <v>0</v>
      </c>
      <c r="AD93">
        <f t="shared" si="75"/>
        <v>0</v>
      </c>
      <c r="AE93">
        <f t="shared" si="75"/>
        <v>0</v>
      </c>
      <c r="AF93">
        <f t="shared" si="75"/>
        <v>0</v>
      </c>
      <c r="AG93">
        <f t="shared" si="75"/>
        <v>0</v>
      </c>
      <c r="AH93">
        <f t="shared" si="75"/>
        <v>0</v>
      </c>
      <c r="AI93">
        <f t="shared" si="75"/>
        <v>0</v>
      </c>
      <c r="AJ93">
        <f t="shared" si="75"/>
        <v>0</v>
      </c>
      <c r="AK93">
        <f t="shared" si="75"/>
        <v>0</v>
      </c>
      <c r="AL93">
        <f t="shared" si="75"/>
        <v>0</v>
      </c>
      <c r="AM93">
        <f t="shared" si="75"/>
        <v>0</v>
      </c>
      <c r="AN93">
        <f t="shared" si="75"/>
        <v>0</v>
      </c>
      <c r="AO93">
        <f t="shared" si="75"/>
        <v>0</v>
      </c>
      <c r="AP93">
        <f t="shared" si="75"/>
        <v>0</v>
      </c>
      <c r="AQ93">
        <f t="shared" si="75"/>
        <v>0</v>
      </c>
      <c r="AR93">
        <f t="shared" si="75"/>
        <v>0</v>
      </c>
      <c r="AS93">
        <f t="shared" si="75"/>
        <v>0</v>
      </c>
      <c r="AT93">
        <f t="shared" si="75"/>
        <v>0</v>
      </c>
      <c r="AU93">
        <f t="shared" si="75"/>
        <v>0</v>
      </c>
      <c r="AV93">
        <f t="shared" si="75"/>
        <v>0</v>
      </c>
      <c r="AW93">
        <f t="shared" si="75"/>
        <v>11111.9</v>
      </c>
      <c r="AX93">
        <f t="shared" si="75"/>
        <v>0</v>
      </c>
      <c r="AY93">
        <f t="shared" si="75"/>
        <v>0</v>
      </c>
      <c r="AZ93">
        <f t="shared" si="75"/>
        <v>0</v>
      </c>
      <c r="BA93">
        <f t="shared" si="75"/>
        <v>0</v>
      </c>
    </row>
    <row r="94" spans="1:53" ht="15.75" customHeight="1">
      <c r="A94" s="350">
        <v>1985</v>
      </c>
      <c r="B94" s="350"/>
      <c r="C94" s="350"/>
      <c r="D94" s="350"/>
      <c r="E94" s="350"/>
      <c r="F94" s="350"/>
      <c r="G94" s="350"/>
      <c r="H94" s="350"/>
      <c r="I94" s="350"/>
      <c r="J94" s="350"/>
      <c r="K94" s="350"/>
      <c r="L94" s="350"/>
      <c r="M94" s="350"/>
      <c r="N94" s="350"/>
      <c r="O94" s="350"/>
      <c r="P94" s="350"/>
      <c r="Q94" s="350"/>
      <c r="R94" s="350"/>
      <c r="S94" s="350"/>
      <c r="T94" s="350"/>
      <c r="U94" s="350"/>
      <c r="V94">
        <v>6033.8</v>
      </c>
      <c r="W94">
        <f t="shared" si="31"/>
        <v>0</v>
      </c>
      <c r="X94">
        <f t="shared" ref="X94:BA94" si="76">IF(AND(X$49-$A94&gt;$V$34,SUM($W94:W94)&lt;&gt;$V94),$V94,0)</f>
        <v>0</v>
      </c>
      <c r="Y94">
        <f t="shared" si="76"/>
        <v>0</v>
      </c>
      <c r="Z94">
        <f t="shared" si="76"/>
        <v>0</v>
      </c>
      <c r="AA94">
        <f t="shared" si="76"/>
        <v>0</v>
      </c>
      <c r="AB94">
        <f t="shared" si="76"/>
        <v>0</v>
      </c>
      <c r="AC94">
        <f t="shared" si="76"/>
        <v>0</v>
      </c>
      <c r="AD94">
        <f t="shared" si="76"/>
        <v>0</v>
      </c>
      <c r="AE94">
        <f t="shared" si="76"/>
        <v>0</v>
      </c>
      <c r="AF94">
        <f t="shared" si="76"/>
        <v>0</v>
      </c>
      <c r="AG94">
        <f t="shared" si="76"/>
        <v>0</v>
      </c>
      <c r="AH94">
        <f t="shared" si="76"/>
        <v>0</v>
      </c>
      <c r="AI94">
        <f t="shared" si="76"/>
        <v>0</v>
      </c>
      <c r="AJ94">
        <f t="shared" si="76"/>
        <v>0</v>
      </c>
      <c r="AK94">
        <f t="shared" si="76"/>
        <v>0</v>
      </c>
      <c r="AL94">
        <f t="shared" si="76"/>
        <v>0</v>
      </c>
      <c r="AM94">
        <f t="shared" si="76"/>
        <v>0</v>
      </c>
      <c r="AN94">
        <f t="shared" si="76"/>
        <v>0</v>
      </c>
      <c r="AO94">
        <f t="shared" si="76"/>
        <v>0</v>
      </c>
      <c r="AP94">
        <f t="shared" si="76"/>
        <v>0</v>
      </c>
      <c r="AQ94">
        <f t="shared" si="76"/>
        <v>0</v>
      </c>
      <c r="AR94">
        <f t="shared" si="76"/>
        <v>0</v>
      </c>
      <c r="AS94">
        <f t="shared" si="76"/>
        <v>0</v>
      </c>
      <c r="AT94">
        <f t="shared" si="76"/>
        <v>0</v>
      </c>
      <c r="AU94">
        <f t="shared" si="76"/>
        <v>0</v>
      </c>
      <c r="AV94">
        <f t="shared" si="76"/>
        <v>0</v>
      </c>
      <c r="AW94">
        <f t="shared" si="76"/>
        <v>0</v>
      </c>
      <c r="AX94">
        <f t="shared" si="76"/>
        <v>6033.8</v>
      </c>
      <c r="AY94">
        <f t="shared" si="76"/>
        <v>0</v>
      </c>
      <c r="AZ94">
        <f t="shared" si="76"/>
        <v>0</v>
      </c>
      <c r="BA94">
        <f t="shared" si="76"/>
        <v>0</v>
      </c>
    </row>
    <row r="95" spans="1:53" ht="15.75" customHeight="1">
      <c r="A95" s="350">
        <v>1986</v>
      </c>
      <c r="B95" s="350"/>
      <c r="C95" s="350"/>
      <c r="D95" s="350"/>
      <c r="E95" s="350"/>
      <c r="F95" s="350"/>
      <c r="G95" s="350"/>
      <c r="H95" s="350"/>
      <c r="I95" s="350"/>
      <c r="J95" s="350"/>
      <c r="K95" s="350"/>
      <c r="L95" s="350"/>
      <c r="M95" s="350"/>
      <c r="N95" s="350"/>
      <c r="O95" s="350"/>
      <c r="P95" s="350"/>
      <c r="Q95" s="350"/>
      <c r="R95" s="350"/>
      <c r="S95" s="350"/>
      <c r="T95" s="350"/>
      <c r="U95" s="350"/>
      <c r="V95">
        <v>5860.4</v>
      </c>
      <c r="W95">
        <f t="shared" si="31"/>
        <v>0</v>
      </c>
      <c r="X95">
        <f t="shared" ref="X95:BA95" si="77">IF(AND(X$49-$A95&gt;$V$34,SUM($W95:W95)&lt;&gt;$V95),$V95,0)</f>
        <v>0</v>
      </c>
      <c r="Y95">
        <f t="shared" si="77"/>
        <v>0</v>
      </c>
      <c r="Z95">
        <f t="shared" si="77"/>
        <v>0</v>
      </c>
      <c r="AA95">
        <f t="shared" si="77"/>
        <v>0</v>
      </c>
      <c r="AB95">
        <f t="shared" si="77"/>
        <v>0</v>
      </c>
      <c r="AC95">
        <f t="shared" si="77"/>
        <v>0</v>
      </c>
      <c r="AD95">
        <f t="shared" si="77"/>
        <v>0</v>
      </c>
      <c r="AE95">
        <f t="shared" si="77"/>
        <v>0</v>
      </c>
      <c r="AF95">
        <f t="shared" si="77"/>
        <v>0</v>
      </c>
      <c r="AG95">
        <f t="shared" si="77"/>
        <v>0</v>
      </c>
      <c r="AH95">
        <f t="shared" si="77"/>
        <v>0</v>
      </c>
      <c r="AI95">
        <f t="shared" si="77"/>
        <v>0</v>
      </c>
      <c r="AJ95">
        <f t="shared" si="77"/>
        <v>0</v>
      </c>
      <c r="AK95">
        <f t="shared" si="77"/>
        <v>0</v>
      </c>
      <c r="AL95">
        <f t="shared" si="77"/>
        <v>0</v>
      </c>
      <c r="AM95">
        <f t="shared" si="77"/>
        <v>0</v>
      </c>
      <c r="AN95">
        <f t="shared" si="77"/>
        <v>0</v>
      </c>
      <c r="AO95">
        <f t="shared" si="77"/>
        <v>0</v>
      </c>
      <c r="AP95">
        <f t="shared" si="77"/>
        <v>0</v>
      </c>
      <c r="AQ95">
        <f t="shared" si="77"/>
        <v>0</v>
      </c>
      <c r="AR95">
        <f t="shared" si="77"/>
        <v>0</v>
      </c>
      <c r="AS95">
        <f t="shared" si="77"/>
        <v>0</v>
      </c>
      <c r="AT95">
        <f t="shared" si="77"/>
        <v>0</v>
      </c>
      <c r="AU95">
        <f t="shared" si="77"/>
        <v>0</v>
      </c>
      <c r="AV95">
        <f t="shared" si="77"/>
        <v>0</v>
      </c>
      <c r="AW95">
        <f t="shared" si="77"/>
        <v>0</v>
      </c>
      <c r="AX95">
        <f t="shared" si="77"/>
        <v>0</v>
      </c>
      <c r="AY95">
        <f t="shared" si="77"/>
        <v>5860.4</v>
      </c>
      <c r="AZ95">
        <f t="shared" si="77"/>
        <v>0</v>
      </c>
      <c r="BA95">
        <f t="shared" si="77"/>
        <v>0</v>
      </c>
    </row>
    <row r="96" spans="1:53" ht="15.75" customHeight="1">
      <c r="A96" s="350">
        <v>1987</v>
      </c>
      <c r="B96" s="350"/>
      <c r="C96" s="350"/>
      <c r="D96" s="350"/>
      <c r="E96" s="350"/>
      <c r="F96" s="350"/>
      <c r="G96" s="350"/>
      <c r="H96" s="350"/>
      <c r="I96" s="350"/>
      <c r="J96" s="350"/>
      <c r="K96" s="350"/>
      <c r="L96" s="350"/>
      <c r="M96" s="350"/>
      <c r="N96" s="350"/>
      <c r="O96" s="350"/>
      <c r="P96" s="350"/>
      <c r="Q96" s="350"/>
      <c r="R96" s="350"/>
      <c r="S96" s="350"/>
      <c r="T96" s="350"/>
      <c r="U96" s="350"/>
      <c r="V96">
        <v>3283.8</v>
      </c>
      <c r="W96">
        <f t="shared" si="31"/>
        <v>0</v>
      </c>
      <c r="X96">
        <f t="shared" ref="X96:BA96" si="78">IF(AND(X$49-$A96&gt;$V$34,SUM($W96:W96)&lt;&gt;$V96),$V96,0)</f>
        <v>0</v>
      </c>
      <c r="Y96">
        <f t="shared" si="78"/>
        <v>0</v>
      </c>
      <c r="Z96">
        <f t="shared" si="78"/>
        <v>0</v>
      </c>
      <c r="AA96">
        <f t="shared" si="78"/>
        <v>0</v>
      </c>
      <c r="AB96">
        <f t="shared" si="78"/>
        <v>0</v>
      </c>
      <c r="AC96">
        <f t="shared" si="78"/>
        <v>0</v>
      </c>
      <c r="AD96">
        <f t="shared" si="78"/>
        <v>0</v>
      </c>
      <c r="AE96">
        <f t="shared" si="78"/>
        <v>0</v>
      </c>
      <c r="AF96">
        <f t="shared" si="78"/>
        <v>0</v>
      </c>
      <c r="AG96">
        <f t="shared" si="78"/>
        <v>0</v>
      </c>
      <c r="AH96">
        <f t="shared" si="78"/>
        <v>0</v>
      </c>
      <c r="AI96">
        <f t="shared" si="78"/>
        <v>0</v>
      </c>
      <c r="AJ96">
        <f t="shared" si="78"/>
        <v>0</v>
      </c>
      <c r="AK96">
        <f t="shared" si="78"/>
        <v>0</v>
      </c>
      <c r="AL96">
        <f t="shared" si="78"/>
        <v>0</v>
      </c>
      <c r="AM96">
        <f t="shared" si="78"/>
        <v>0</v>
      </c>
      <c r="AN96">
        <f t="shared" si="78"/>
        <v>0</v>
      </c>
      <c r="AO96">
        <f t="shared" si="78"/>
        <v>0</v>
      </c>
      <c r="AP96">
        <f t="shared" si="78"/>
        <v>0</v>
      </c>
      <c r="AQ96">
        <f t="shared" si="78"/>
        <v>0</v>
      </c>
      <c r="AR96">
        <f t="shared" si="78"/>
        <v>0</v>
      </c>
      <c r="AS96">
        <f t="shared" si="78"/>
        <v>0</v>
      </c>
      <c r="AT96">
        <f t="shared" si="78"/>
        <v>0</v>
      </c>
      <c r="AU96">
        <f t="shared" si="78"/>
        <v>0</v>
      </c>
      <c r="AV96">
        <f t="shared" si="78"/>
        <v>0</v>
      </c>
      <c r="AW96">
        <f t="shared" si="78"/>
        <v>0</v>
      </c>
      <c r="AX96">
        <f t="shared" si="78"/>
        <v>0</v>
      </c>
      <c r="AY96">
        <f t="shared" si="78"/>
        <v>0</v>
      </c>
      <c r="AZ96">
        <f t="shared" si="78"/>
        <v>3283.8</v>
      </c>
      <c r="BA96">
        <f t="shared" si="78"/>
        <v>0</v>
      </c>
    </row>
    <row r="97" spans="1:53" ht="15.75" customHeight="1">
      <c r="A97" s="350">
        <v>1988</v>
      </c>
      <c r="B97" s="350"/>
      <c r="C97" s="350"/>
      <c r="D97" s="350"/>
      <c r="E97" s="350"/>
      <c r="F97" s="350"/>
      <c r="G97" s="350"/>
      <c r="H97" s="350"/>
      <c r="I97" s="350"/>
      <c r="J97" s="350"/>
      <c r="K97" s="350"/>
      <c r="L97" s="350"/>
      <c r="M97" s="350"/>
      <c r="N97" s="350"/>
      <c r="O97" s="350"/>
      <c r="P97" s="350"/>
      <c r="Q97" s="350"/>
      <c r="R97" s="350"/>
      <c r="S97" s="350"/>
      <c r="T97" s="350"/>
      <c r="U97" s="350"/>
      <c r="V97">
        <v>803.19999999999993</v>
      </c>
      <c r="W97">
        <f t="shared" si="31"/>
        <v>0</v>
      </c>
      <c r="X97">
        <f t="shared" ref="X97:BA97" si="79">IF(AND(X$49-$A97&gt;$V$34,SUM($W97:W97)&lt;&gt;$V97),$V97,0)</f>
        <v>0</v>
      </c>
      <c r="Y97">
        <f t="shared" si="79"/>
        <v>0</v>
      </c>
      <c r="Z97">
        <f t="shared" si="79"/>
        <v>0</v>
      </c>
      <c r="AA97">
        <f t="shared" si="79"/>
        <v>0</v>
      </c>
      <c r="AB97">
        <f t="shared" si="79"/>
        <v>0</v>
      </c>
      <c r="AC97">
        <f t="shared" si="79"/>
        <v>0</v>
      </c>
      <c r="AD97">
        <f t="shared" si="79"/>
        <v>0</v>
      </c>
      <c r="AE97">
        <f t="shared" si="79"/>
        <v>0</v>
      </c>
      <c r="AF97">
        <f t="shared" si="79"/>
        <v>0</v>
      </c>
      <c r="AG97">
        <f t="shared" si="79"/>
        <v>0</v>
      </c>
      <c r="AH97">
        <f t="shared" si="79"/>
        <v>0</v>
      </c>
      <c r="AI97">
        <f t="shared" si="79"/>
        <v>0</v>
      </c>
      <c r="AJ97">
        <f t="shared" si="79"/>
        <v>0</v>
      </c>
      <c r="AK97">
        <f t="shared" si="79"/>
        <v>0</v>
      </c>
      <c r="AL97">
        <f t="shared" si="79"/>
        <v>0</v>
      </c>
      <c r="AM97">
        <f t="shared" si="79"/>
        <v>0</v>
      </c>
      <c r="AN97">
        <f t="shared" si="79"/>
        <v>0</v>
      </c>
      <c r="AO97">
        <f t="shared" si="79"/>
        <v>0</v>
      </c>
      <c r="AP97">
        <f t="shared" si="79"/>
        <v>0</v>
      </c>
      <c r="AQ97">
        <f t="shared" si="79"/>
        <v>0</v>
      </c>
      <c r="AR97">
        <f t="shared" si="79"/>
        <v>0</v>
      </c>
      <c r="AS97">
        <f t="shared" si="79"/>
        <v>0</v>
      </c>
      <c r="AT97">
        <f t="shared" si="79"/>
        <v>0</v>
      </c>
      <c r="AU97">
        <f t="shared" si="79"/>
        <v>0</v>
      </c>
      <c r="AV97">
        <f t="shared" si="79"/>
        <v>0</v>
      </c>
      <c r="AW97">
        <f t="shared" si="79"/>
        <v>0</v>
      </c>
      <c r="AX97">
        <f t="shared" si="79"/>
        <v>0</v>
      </c>
      <c r="AY97">
        <f t="shared" si="79"/>
        <v>0</v>
      </c>
      <c r="AZ97">
        <f t="shared" si="79"/>
        <v>0</v>
      </c>
      <c r="BA97">
        <f t="shared" si="79"/>
        <v>803.19999999999993</v>
      </c>
    </row>
    <row r="98" spans="1:53" ht="15.75" customHeight="1">
      <c r="A98" s="350">
        <v>1989</v>
      </c>
      <c r="B98" s="350"/>
      <c r="C98" s="350"/>
      <c r="D98" s="350"/>
      <c r="E98" s="350"/>
      <c r="F98" s="350"/>
      <c r="G98" s="350"/>
      <c r="H98" s="350"/>
      <c r="I98" s="350"/>
      <c r="J98" s="350"/>
      <c r="K98" s="350"/>
      <c r="L98" s="350"/>
      <c r="M98" s="350"/>
      <c r="N98" s="350"/>
      <c r="O98" s="350"/>
      <c r="P98" s="350"/>
      <c r="Q98" s="350"/>
      <c r="R98" s="350"/>
      <c r="S98" s="350"/>
      <c r="T98" s="350"/>
      <c r="U98" s="350"/>
      <c r="V98">
        <v>3027.6</v>
      </c>
      <c r="W98">
        <f t="shared" si="31"/>
        <v>0</v>
      </c>
      <c r="X98">
        <f t="shared" ref="X98:BA98" si="80">IF(AND(X$49-$A98&gt;$V$34,SUM($W98:W98)&lt;&gt;$V98),$V98,0)</f>
        <v>0</v>
      </c>
      <c r="Y98">
        <f t="shared" si="80"/>
        <v>0</v>
      </c>
      <c r="Z98">
        <f t="shared" si="80"/>
        <v>0</v>
      </c>
      <c r="AA98">
        <f t="shared" si="80"/>
        <v>0</v>
      </c>
      <c r="AB98">
        <f t="shared" si="80"/>
        <v>0</v>
      </c>
      <c r="AC98">
        <f t="shared" si="80"/>
        <v>0</v>
      </c>
      <c r="AD98">
        <f t="shared" si="80"/>
        <v>0</v>
      </c>
      <c r="AE98">
        <f t="shared" si="80"/>
        <v>0</v>
      </c>
      <c r="AF98">
        <f t="shared" si="80"/>
        <v>0</v>
      </c>
      <c r="AG98">
        <f t="shared" si="80"/>
        <v>0</v>
      </c>
      <c r="AH98">
        <f t="shared" si="80"/>
        <v>0</v>
      </c>
      <c r="AI98">
        <f t="shared" si="80"/>
        <v>0</v>
      </c>
      <c r="AJ98">
        <f t="shared" si="80"/>
        <v>0</v>
      </c>
      <c r="AK98">
        <f t="shared" si="80"/>
        <v>0</v>
      </c>
      <c r="AL98">
        <f t="shared" si="80"/>
        <v>0</v>
      </c>
      <c r="AM98">
        <f t="shared" si="80"/>
        <v>0</v>
      </c>
      <c r="AN98">
        <f t="shared" si="80"/>
        <v>0</v>
      </c>
      <c r="AO98">
        <f t="shared" si="80"/>
        <v>0</v>
      </c>
      <c r="AP98">
        <f t="shared" si="80"/>
        <v>0</v>
      </c>
      <c r="AQ98">
        <f t="shared" si="80"/>
        <v>0</v>
      </c>
      <c r="AR98">
        <f t="shared" si="80"/>
        <v>0</v>
      </c>
      <c r="AS98">
        <f t="shared" si="80"/>
        <v>0</v>
      </c>
      <c r="AT98">
        <f t="shared" si="80"/>
        <v>0</v>
      </c>
      <c r="AU98">
        <f t="shared" si="80"/>
        <v>0</v>
      </c>
      <c r="AV98">
        <f t="shared" si="80"/>
        <v>0</v>
      </c>
      <c r="AW98">
        <f t="shared" si="80"/>
        <v>0</v>
      </c>
      <c r="AX98">
        <f t="shared" si="80"/>
        <v>0</v>
      </c>
      <c r="AY98">
        <f t="shared" si="80"/>
        <v>0</v>
      </c>
      <c r="AZ98">
        <f t="shared" si="80"/>
        <v>0</v>
      </c>
      <c r="BA98">
        <f t="shared" si="80"/>
        <v>0</v>
      </c>
    </row>
    <row r="99" spans="1:53" ht="15.75" customHeight="1">
      <c r="A99" s="350">
        <v>1990</v>
      </c>
      <c r="B99" s="350"/>
      <c r="C99" s="350"/>
      <c r="D99" s="350"/>
      <c r="E99" s="350"/>
      <c r="F99" s="350"/>
      <c r="G99" s="350"/>
      <c r="H99" s="350"/>
      <c r="I99" s="350"/>
      <c r="J99" s="350"/>
      <c r="K99" s="350"/>
      <c r="L99" s="350"/>
      <c r="M99" s="350"/>
      <c r="N99" s="350"/>
      <c r="O99" s="350"/>
      <c r="P99" s="350"/>
      <c r="Q99" s="350"/>
      <c r="R99" s="350"/>
      <c r="S99" s="350"/>
      <c r="T99" s="350"/>
      <c r="U99" s="350"/>
      <c r="V99">
        <v>1816.8999999999999</v>
      </c>
      <c r="W99">
        <f t="shared" si="31"/>
        <v>0</v>
      </c>
      <c r="X99">
        <f t="shared" ref="X99:BA99" si="81">IF(AND(X$49-$A99&gt;$V$34,SUM($W99:W99)&lt;&gt;$V99),$V99,0)</f>
        <v>0</v>
      </c>
      <c r="Y99">
        <f t="shared" si="81"/>
        <v>0</v>
      </c>
      <c r="Z99">
        <f t="shared" si="81"/>
        <v>0</v>
      </c>
      <c r="AA99">
        <f t="shared" si="81"/>
        <v>0</v>
      </c>
      <c r="AB99">
        <f t="shared" si="81"/>
        <v>0</v>
      </c>
      <c r="AC99">
        <f t="shared" si="81"/>
        <v>0</v>
      </c>
      <c r="AD99">
        <f t="shared" si="81"/>
        <v>0</v>
      </c>
      <c r="AE99">
        <f t="shared" si="81"/>
        <v>0</v>
      </c>
      <c r="AF99">
        <f t="shared" si="81"/>
        <v>0</v>
      </c>
      <c r="AG99">
        <f t="shared" si="81"/>
        <v>0</v>
      </c>
      <c r="AH99">
        <f t="shared" si="81"/>
        <v>0</v>
      </c>
      <c r="AI99">
        <f t="shared" si="81"/>
        <v>0</v>
      </c>
      <c r="AJ99">
        <f t="shared" si="81"/>
        <v>0</v>
      </c>
      <c r="AK99">
        <f t="shared" si="81"/>
        <v>0</v>
      </c>
      <c r="AL99">
        <f t="shared" si="81"/>
        <v>0</v>
      </c>
      <c r="AM99">
        <f t="shared" si="81"/>
        <v>0</v>
      </c>
      <c r="AN99">
        <f t="shared" si="81"/>
        <v>0</v>
      </c>
      <c r="AO99">
        <f t="shared" si="81"/>
        <v>0</v>
      </c>
      <c r="AP99">
        <f t="shared" si="81"/>
        <v>0</v>
      </c>
      <c r="AQ99">
        <f t="shared" si="81"/>
        <v>0</v>
      </c>
      <c r="AR99">
        <f t="shared" si="81"/>
        <v>0</v>
      </c>
      <c r="AS99">
        <f t="shared" si="81"/>
        <v>0</v>
      </c>
      <c r="AT99">
        <f t="shared" si="81"/>
        <v>0</v>
      </c>
      <c r="AU99">
        <f t="shared" si="81"/>
        <v>0</v>
      </c>
      <c r="AV99">
        <f t="shared" si="81"/>
        <v>0</v>
      </c>
      <c r="AW99">
        <f t="shared" si="81"/>
        <v>0</v>
      </c>
      <c r="AX99">
        <f t="shared" si="81"/>
        <v>0</v>
      </c>
      <c r="AY99">
        <f t="shared" si="81"/>
        <v>0</v>
      </c>
      <c r="AZ99">
        <f t="shared" si="81"/>
        <v>0</v>
      </c>
      <c r="BA99">
        <f t="shared" si="81"/>
        <v>0</v>
      </c>
    </row>
    <row r="100" spans="1:53" ht="15.75" customHeight="1">
      <c r="A100" s="350">
        <v>1991</v>
      </c>
      <c r="B100" s="350"/>
      <c r="C100" s="350"/>
      <c r="D100" s="350"/>
      <c r="E100" s="350"/>
      <c r="F100" s="350"/>
      <c r="G100" s="350"/>
      <c r="H100" s="350"/>
      <c r="I100" s="350"/>
      <c r="J100" s="350"/>
      <c r="K100" s="350"/>
      <c r="L100" s="350"/>
      <c r="M100" s="350"/>
      <c r="N100" s="350"/>
      <c r="O100" s="350"/>
      <c r="P100" s="350"/>
      <c r="Q100" s="350"/>
      <c r="R100" s="350"/>
      <c r="S100" s="350"/>
      <c r="T100" s="350"/>
      <c r="U100" s="350"/>
      <c r="V100">
        <v>3074.3</v>
      </c>
      <c r="W100">
        <f t="shared" si="31"/>
        <v>0</v>
      </c>
      <c r="X100">
        <f t="shared" ref="X100:BA100" si="82">IF(AND(X$49-$A100&gt;$V$34,SUM($W100:W100)&lt;&gt;$V100),$V100,0)</f>
        <v>0</v>
      </c>
      <c r="Y100">
        <f t="shared" si="82"/>
        <v>0</v>
      </c>
      <c r="Z100">
        <f t="shared" si="82"/>
        <v>0</v>
      </c>
      <c r="AA100">
        <f t="shared" si="82"/>
        <v>0</v>
      </c>
      <c r="AB100">
        <f t="shared" si="82"/>
        <v>0</v>
      </c>
      <c r="AC100">
        <f t="shared" si="82"/>
        <v>0</v>
      </c>
      <c r="AD100">
        <f t="shared" si="82"/>
        <v>0</v>
      </c>
      <c r="AE100">
        <f t="shared" si="82"/>
        <v>0</v>
      </c>
      <c r="AF100">
        <f t="shared" si="82"/>
        <v>0</v>
      </c>
      <c r="AG100">
        <f t="shared" si="82"/>
        <v>0</v>
      </c>
      <c r="AH100">
        <f t="shared" si="82"/>
        <v>0</v>
      </c>
      <c r="AI100">
        <f t="shared" si="82"/>
        <v>0</v>
      </c>
      <c r="AJ100">
        <f t="shared" si="82"/>
        <v>0</v>
      </c>
      <c r="AK100">
        <f t="shared" si="82"/>
        <v>0</v>
      </c>
      <c r="AL100">
        <f t="shared" si="82"/>
        <v>0</v>
      </c>
      <c r="AM100">
        <f t="shared" si="82"/>
        <v>0</v>
      </c>
      <c r="AN100">
        <f t="shared" si="82"/>
        <v>0</v>
      </c>
      <c r="AO100">
        <f t="shared" si="82"/>
        <v>0</v>
      </c>
      <c r="AP100">
        <f t="shared" si="82"/>
        <v>0</v>
      </c>
      <c r="AQ100">
        <f t="shared" si="82"/>
        <v>0</v>
      </c>
      <c r="AR100">
        <f t="shared" si="82"/>
        <v>0</v>
      </c>
      <c r="AS100">
        <f t="shared" si="82"/>
        <v>0</v>
      </c>
      <c r="AT100">
        <f t="shared" si="82"/>
        <v>0</v>
      </c>
      <c r="AU100">
        <f t="shared" si="82"/>
        <v>0</v>
      </c>
      <c r="AV100">
        <f t="shared" si="82"/>
        <v>0</v>
      </c>
      <c r="AW100">
        <f t="shared" si="82"/>
        <v>0</v>
      </c>
      <c r="AX100">
        <f t="shared" si="82"/>
        <v>0</v>
      </c>
      <c r="AY100">
        <f t="shared" si="82"/>
        <v>0</v>
      </c>
      <c r="AZ100">
        <f t="shared" si="82"/>
        <v>0</v>
      </c>
      <c r="BA100">
        <f t="shared" si="82"/>
        <v>0</v>
      </c>
    </row>
    <row r="101" spans="1:53" ht="15.75" customHeight="1">
      <c r="A101" s="350">
        <v>1992</v>
      </c>
      <c r="B101" s="350"/>
      <c r="C101" s="350"/>
      <c r="D101" s="350"/>
      <c r="E101" s="350"/>
      <c r="F101" s="350"/>
      <c r="G101" s="350"/>
      <c r="H101" s="350"/>
      <c r="I101" s="350"/>
      <c r="J101" s="350"/>
      <c r="K101" s="350"/>
      <c r="L101" s="350"/>
      <c r="M101" s="350"/>
      <c r="N101" s="350"/>
      <c r="O101" s="350"/>
      <c r="P101" s="350"/>
      <c r="Q101" s="350"/>
      <c r="R101" s="350"/>
      <c r="S101" s="350"/>
      <c r="T101" s="350"/>
      <c r="U101" s="350"/>
      <c r="V101">
        <v>1051</v>
      </c>
      <c r="W101">
        <f t="shared" si="31"/>
        <v>0</v>
      </c>
      <c r="X101">
        <f t="shared" ref="X101:BA101" si="83">IF(AND(X$49-$A101&gt;$V$34,SUM($W101:W101)&lt;&gt;$V101),$V101,0)</f>
        <v>0</v>
      </c>
      <c r="Y101">
        <f t="shared" si="83"/>
        <v>0</v>
      </c>
      <c r="Z101">
        <f t="shared" si="83"/>
        <v>0</v>
      </c>
      <c r="AA101">
        <f t="shared" si="83"/>
        <v>0</v>
      </c>
      <c r="AB101">
        <f t="shared" si="83"/>
        <v>0</v>
      </c>
      <c r="AC101">
        <f t="shared" si="83"/>
        <v>0</v>
      </c>
      <c r="AD101">
        <f t="shared" si="83"/>
        <v>0</v>
      </c>
      <c r="AE101">
        <f t="shared" si="83"/>
        <v>0</v>
      </c>
      <c r="AF101">
        <f t="shared" si="83"/>
        <v>0</v>
      </c>
      <c r="AG101">
        <f t="shared" si="83"/>
        <v>0</v>
      </c>
      <c r="AH101">
        <f t="shared" si="83"/>
        <v>0</v>
      </c>
      <c r="AI101">
        <f t="shared" si="83"/>
        <v>0</v>
      </c>
      <c r="AJ101">
        <f t="shared" si="83"/>
        <v>0</v>
      </c>
      <c r="AK101">
        <f t="shared" si="83"/>
        <v>0</v>
      </c>
      <c r="AL101">
        <f t="shared" si="83"/>
        <v>0</v>
      </c>
      <c r="AM101">
        <f t="shared" si="83"/>
        <v>0</v>
      </c>
      <c r="AN101">
        <f t="shared" si="83"/>
        <v>0</v>
      </c>
      <c r="AO101">
        <f t="shared" si="83"/>
        <v>0</v>
      </c>
      <c r="AP101">
        <f t="shared" si="83"/>
        <v>0</v>
      </c>
      <c r="AQ101">
        <f t="shared" si="83"/>
        <v>0</v>
      </c>
      <c r="AR101">
        <f t="shared" si="83"/>
        <v>0</v>
      </c>
      <c r="AS101">
        <f t="shared" si="83"/>
        <v>0</v>
      </c>
      <c r="AT101">
        <f t="shared" si="83"/>
        <v>0</v>
      </c>
      <c r="AU101">
        <f t="shared" si="83"/>
        <v>0</v>
      </c>
      <c r="AV101">
        <f t="shared" si="83"/>
        <v>0</v>
      </c>
      <c r="AW101">
        <f t="shared" si="83"/>
        <v>0</v>
      </c>
      <c r="AX101">
        <f t="shared" si="83"/>
        <v>0</v>
      </c>
      <c r="AY101">
        <f t="shared" si="83"/>
        <v>0</v>
      </c>
      <c r="AZ101">
        <f t="shared" si="83"/>
        <v>0</v>
      </c>
      <c r="BA101">
        <f t="shared" si="83"/>
        <v>0</v>
      </c>
    </row>
    <row r="102" spans="1:53" ht="15.75" customHeight="1">
      <c r="A102" s="350">
        <v>1993</v>
      </c>
      <c r="B102" s="350"/>
      <c r="C102" s="350"/>
      <c r="D102" s="350"/>
      <c r="E102" s="350"/>
      <c r="F102" s="350"/>
      <c r="G102" s="350"/>
      <c r="H102" s="350"/>
      <c r="I102" s="350"/>
      <c r="J102" s="350"/>
      <c r="K102" s="350"/>
      <c r="L102" s="350"/>
      <c r="M102" s="350"/>
      <c r="N102" s="350"/>
      <c r="O102" s="350"/>
      <c r="P102" s="350"/>
      <c r="Q102" s="350"/>
      <c r="R102" s="350"/>
      <c r="S102" s="350"/>
      <c r="T102" s="350"/>
      <c r="U102" s="350"/>
      <c r="V102">
        <v>137.19999999999999</v>
      </c>
      <c r="W102">
        <f t="shared" si="31"/>
        <v>0</v>
      </c>
      <c r="X102">
        <f t="shared" ref="X102:BA102" si="84">IF(AND(X$49-$A102&gt;$V$34,SUM($W102:W102)&lt;&gt;$V102),$V102,0)</f>
        <v>0</v>
      </c>
      <c r="Y102">
        <f t="shared" si="84"/>
        <v>0</v>
      </c>
      <c r="Z102">
        <f t="shared" si="84"/>
        <v>0</v>
      </c>
      <c r="AA102">
        <f t="shared" si="84"/>
        <v>0</v>
      </c>
      <c r="AB102">
        <f t="shared" si="84"/>
        <v>0</v>
      </c>
      <c r="AC102">
        <f t="shared" si="84"/>
        <v>0</v>
      </c>
      <c r="AD102">
        <f t="shared" si="84"/>
        <v>0</v>
      </c>
      <c r="AE102">
        <f t="shared" si="84"/>
        <v>0</v>
      </c>
      <c r="AF102">
        <f t="shared" si="84"/>
        <v>0</v>
      </c>
      <c r="AG102">
        <f t="shared" si="84"/>
        <v>0</v>
      </c>
      <c r="AH102">
        <f t="shared" si="84"/>
        <v>0</v>
      </c>
      <c r="AI102">
        <f t="shared" si="84"/>
        <v>0</v>
      </c>
      <c r="AJ102">
        <f t="shared" si="84"/>
        <v>0</v>
      </c>
      <c r="AK102">
        <f t="shared" si="84"/>
        <v>0</v>
      </c>
      <c r="AL102">
        <f t="shared" si="84"/>
        <v>0</v>
      </c>
      <c r="AM102">
        <f t="shared" si="84"/>
        <v>0</v>
      </c>
      <c r="AN102">
        <f t="shared" si="84"/>
        <v>0</v>
      </c>
      <c r="AO102">
        <f t="shared" si="84"/>
        <v>0</v>
      </c>
      <c r="AP102">
        <f t="shared" si="84"/>
        <v>0</v>
      </c>
      <c r="AQ102">
        <f t="shared" si="84"/>
        <v>0</v>
      </c>
      <c r="AR102">
        <f t="shared" si="84"/>
        <v>0</v>
      </c>
      <c r="AS102">
        <f t="shared" si="84"/>
        <v>0</v>
      </c>
      <c r="AT102">
        <f t="shared" si="84"/>
        <v>0</v>
      </c>
      <c r="AU102">
        <f t="shared" si="84"/>
        <v>0</v>
      </c>
      <c r="AV102">
        <f t="shared" si="84"/>
        <v>0</v>
      </c>
      <c r="AW102">
        <f t="shared" si="84"/>
        <v>0</v>
      </c>
      <c r="AX102">
        <f t="shared" si="84"/>
        <v>0</v>
      </c>
      <c r="AY102">
        <f t="shared" si="84"/>
        <v>0</v>
      </c>
      <c r="AZ102">
        <f t="shared" si="84"/>
        <v>0</v>
      </c>
      <c r="BA102">
        <f t="shared" si="84"/>
        <v>0</v>
      </c>
    </row>
    <row r="103" spans="1:53" ht="15.75" customHeight="1">
      <c r="A103" s="350">
        <v>1994</v>
      </c>
      <c r="B103" s="350"/>
      <c r="C103" s="350"/>
      <c r="D103" s="350"/>
      <c r="E103" s="350"/>
      <c r="F103" s="350"/>
      <c r="G103" s="350"/>
      <c r="H103" s="350"/>
      <c r="I103" s="350"/>
      <c r="J103" s="350"/>
      <c r="K103" s="350"/>
      <c r="L103" s="350"/>
      <c r="M103" s="350"/>
      <c r="N103" s="350"/>
      <c r="O103" s="350"/>
      <c r="P103" s="350"/>
      <c r="Q103" s="350"/>
      <c r="R103" s="350"/>
      <c r="S103" s="350"/>
      <c r="T103" s="350"/>
      <c r="U103" s="350"/>
      <c r="V103">
        <v>533.6</v>
      </c>
      <c r="W103">
        <f t="shared" si="31"/>
        <v>0</v>
      </c>
      <c r="X103">
        <f t="shared" ref="X103:BA103" si="85">IF(AND(X$49-$A103&gt;$V$34,SUM($W103:W103)&lt;&gt;$V103),$V103,0)</f>
        <v>0</v>
      </c>
      <c r="Y103">
        <f t="shared" si="85"/>
        <v>0</v>
      </c>
      <c r="Z103">
        <f t="shared" si="85"/>
        <v>0</v>
      </c>
      <c r="AA103">
        <f t="shared" si="85"/>
        <v>0</v>
      </c>
      <c r="AB103">
        <f t="shared" si="85"/>
        <v>0</v>
      </c>
      <c r="AC103">
        <f t="shared" si="85"/>
        <v>0</v>
      </c>
      <c r="AD103">
        <f t="shared" si="85"/>
        <v>0</v>
      </c>
      <c r="AE103">
        <f t="shared" si="85"/>
        <v>0</v>
      </c>
      <c r="AF103">
        <f t="shared" si="85"/>
        <v>0</v>
      </c>
      <c r="AG103">
        <f t="shared" si="85"/>
        <v>0</v>
      </c>
      <c r="AH103">
        <f t="shared" si="85"/>
        <v>0</v>
      </c>
      <c r="AI103">
        <f t="shared" si="85"/>
        <v>0</v>
      </c>
      <c r="AJ103">
        <f t="shared" si="85"/>
        <v>0</v>
      </c>
      <c r="AK103">
        <f t="shared" si="85"/>
        <v>0</v>
      </c>
      <c r="AL103">
        <f t="shared" si="85"/>
        <v>0</v>
      </c>
      <c r="AM103">
        <f t="shared" si="85"/>
        <v>0</v>
      </c>
      <c r="AN103">
        <f t="shared" si="85"/>
        <v>0</v>
      </c>
      <c r="AO103">
        <f t="shared" si="85"/>
        <v>0</v>
      </c>
      <c r="AP103">
        <f t="shared" si="85"/>
        <v>0</v>
      </c>
      <c r="AQ103">
        <f t="shared" si="85"/>
        <v>0</v>
      </c>
      <c r="AR103">
        <f t="shared" si="85"/>
        <v>0</v>
      </c>
      <c r="AS103">
        <f t="shared" si="85"/>
        <v>0</v>
      </c>
      <c r="AT103">
        <f t="shared" si="85"/>
        <v>0</v>
      </c>
      <c r="AU103">
        <f t="shared" si="85"/>
        <v>0</v>
      </c>
      <c r="AV103">
        <f t="shared" si="85"/>
        <v>0</v>
      </c>
      <c r="AW103">
        <f t="shared" si="85"/>
        <v>0</v>
      </c>
      <c r="AX103">
        <f t="shared" si="85"/>
        <v>0</v>
      </c>
      <c r="AY103">
        <f t="shared" si="85"/>
        <v>0</v>
      </c>
      <c r="AZ103">
        <f t="shared" si="85"/>
        <v>0</v>
      </c>
      <c r="BA103">
        <f t="shared" si="85"/>
        <v>0</v>
      </c>
    </row>
    <row r="104" spans="1:53" ht="15.75" customHeight="1">
      <c r="A104" s="350">
        <v>1995</v>
      </c>
      <c r="B104" s="350"/>
      <c r="C104" s="350"/>
      <c r="D104" s="350"/>
      <c r="E104" s="350"/>
      <c r="F104" s="350"/>
      <c r="G104" s="350"/>
      <c r="H104" s="350"/>
      <c r="I104" s="350"/>
      <c r="J104" s="350"/>
      <c r="K104" s="350"/>
      <c r="L104" s="350"/>
      <c r="M104" s="350"/>
      <c r="N104" s="350"/>
      <c r="O104" s="350"/>
      <c r="P104" s="350"/>
      <c r="Q104" s="350"/>
      <c r="R104" s="350"/>
      <c r="S104" s="350"/>
      <c r="T104" s="350"/>
      <c r="U104" s="350"/>
      <c r="V104">
        <v>1683</v>
      </c>
      <c r="W104">
        <f t="shared" si="31"/>
        <v>0</v>
      </c>
      <c r="X104">
        <f t="shared" ref="X104:BA104" si="86">IF(AND(X$49-$A104&gt;$V$34,SUM($W104:W104)&lt;&gt;$V104),$V104,0)</f>
        <v>0</v>
      </c>
      <c r="Y104">
        <f t="shared" si="86"/>
        <v>0</v>
      </c>
      <c r="Z104">
        <f t="shared" si="86"/>
        <v>0</v>
      </c>
      <c r="AA104">
        <f t="shared" si="86"/>
        <v>0</v>
      </c>
      <c r="AB104">
        <f t="shared" si="86"/>
        <v>0</v>
      </c>
      <c r="AC104">
        <f t="shared" si="86"/>
        <v>0</v>
      </c>
      <c r="AD104">
        <f t="shared" si="86"/>
        <v>0</v>
      </c>
      <c r="AE104">
        <f t="shared" si="86"/>
        <v>0</v>
      </c>
      <c r="AF104">
        <f t="shared" si="86"/>
        <v>0</v>
      </c>
      <c r="AG104">
        <f t="shared" si="86"/>
        <v>0</v>
      </c>
      <c r="AH104">
        <f t="shared" si="86"/>
        <v>0</v>
      </c>
      <c r="AI104">
        <f t="shared" si="86"/>
        <v>0</v>
      </c>
      <c r="AJ104">
        <f t="shared" si="86"/>
        <v>0</v>
      </c>
      <c r="AK104">
        <f t="shared" si="86"/>
        <v>0</v>
      </c>
      <c r="AL104">
        <f t="shared" si="86"/>
        <v>0</v>
      </c>
      <c r="AM104">
        <f t="shared" si="86"/>
        <v>0</v>
      </c>
      <c r="AN104">
        <f t="shared" si="86"/>
        <v>0</v>
      </c>
      <c r="AO104">
        <f t="shared" si="86"/>
        <v>0</v>
      </c>
      <c r="AP104">
        <f t="shared" si="86"/>
        <v>0</v>
      </c>
      <c r="AQ104">
        <f t="shared" si="86"/>
        <v>0</v>
      </c>
      <c r="AR104">
        <f t="shared" si="86"/>
        <v>0</v>
      </c>
      <c r="AS104">
        <f t="shared" si="86"/>
        <v>0</v>
      </c>
      <c r="AT104">
        <f t="shared" si="86"/>
        <v>0</v>
      </c>
      <c r="AU104">
        <f t="shared" si="86"/>
        <v>0</v>
      </c>
      <c r="AV104">
        <f t="shared" si="86"/>
        <v>0</v>
      </c>
      <c r="AW104">
        <f t="shared" si="86"/>
        <v>0</v>
      </c>
      <c r="AX104">
        <f t="shared" si="86"/>
        <v>0</v>
      </c>
      <c r="AY104">
        <f t="shared" si="86"/>
        <v>0</v>
      </c>
      <c r="AZ104">
        <f t="shared" si="86"/>
        <v>0</v>
      </c>
      <c r="BA104">
        <f t="shared" si="86"/>
        <v>0</v>
      </c>
    </row>
    <row r="105" spans="1:53" ht="15.75" customHeight="1">
      <c r="A105" s="350">
        <v>1996</v>
      </c>
      <c r="B105" s="350"/>
      <c r="C105" s="350"/>
      <c r="D105" s="350"/>
      <c r="E105" s="350"/>
      <c r="F105" s="350"/>
      <c r="G105" s="350"/>
      <c r="H105" s="350"/>
      <c r="I105" s="350"/>
      <c r="J105" s="350"/>
      <c r="K105" s="350"/>
      <c r="L105" s="350"/>
      <c r="M105" s="350"/>
      <c r="N105" s="350"/>
      <c r="O105" s="350"/>
      <c r="P105" s="350"/>
      <c r="Q105" s="350"/>
      <c r="R105" s="350"/>
      <c r="S105" s="350"/>
      <c r="T105" s="350"/>
      <c r="U105" s="350"/>
      <c r="V105">
        <v>1767.4</v>
      </c>
      <c r="W105">
        <f t="shared" si="31"/>
        <v>0</v>
      </c>
      <c r="X105">
        <f t="shared" ref="X105:BA105" si="87">IF(AND(X$49-$A105&gt;$V$34,SUM($W105:W105)&lt;&gt;$V105),$V105,0)</f>
        <v>0</v>
      </c>
      <c r="Y105">
        <f t="shared" si="87"/>
        <v>0</v>
      </c>
      <c r="Z105">
        <f t="shared" si="87"/>
        <v>0</v>
      </c>
      <c r="AA105">
        <f t="shared" si="87"/>
        <v>0</v>
      </c>
      <c r="AB105">
        <f t="shared" si="87"/>
        <v>0</v>
      </c>
      <c r="AC105">
        <f t="shared" si="87"/>
        <v>0</v>
      </c>
      <c r="AD105">
        <f t="shared" si="87"/>
        <v>0</v>
      </c>
      <c r="AE105">
        <f t="shared" si="87"/>
        <v>0</v>
      </c>
      <c r="AF105">
        <f t="shared" si="87"/>
        <v>0</v>
      </c>
      <c r="AG105">
        <f t="shared" si="87"/>
        <v>0</v>
      </c>
      <c r="AH105">
        <f t="shared" si="87"/>
        <v>0</v>
      </c>
      <c r="AI105">
        <f t="shared" si="87"/>
        <v>0</v>
      </c>
      <c r="AJ105">
        <f t="shared" si="87"/>
        <v>0</v>
      </c>
      <c r="AK105">
        <f t="shared" si="87"/>
        <v>0</v>
      </c>
      <c r="AL105">
        <f t="shared" si="87"/>
        <v>0</v>
      </c>
      <c r="AM105">
        <f t="shared" si="87"/>
        <v>0</v>
      </c>
      <c r="AN105">
        <f t="shared" si="87"/>
        <v>0</v>
      </c>
      <c r="AO105">
        <f t="shared" si="87"/>
        <v>0</v>
      </c>
      <c r="AP105">
        <f t="shared" si="87"/>
        <v>0</v>
      </c>
      <c r="AQ105">
        <f t="shared" si="87"/>
        <v>0</v>
      </c>
      <c r="AR105">
        <f t="shared" si="87"/>
        <v>0</v>
      </c>
      <c r="AS105">
        <f t="shared" si="87"/>
        <v>0</v>
      </c>
      <c r="AT105">
        <f t="shared" si="87"/>
        <v>0</v>
      </c>
      <c r="AU105">
        <f t="shared" si="87"/>
        <v>0</v>
      </c>
      <c r="AV105">
        <f t="shared" si="87"/>
        <v>0</v>
      </c>
      <c r="AW105">
        <f t="shared" si="87"/>
        <v>0</v>
      </c>
      <c r="AX105">
        <f t="shared" si="87"/>
        <v>0</v>
      </c>
      <c r="AY105">
        <f t="shared" si="87"/>
        <v>0</v>
      </c>
      <c r="AZ105">
        <f t="shared" si="87"/>
        <v>0</v>
      </c>
      <c r="BA105">
        <f t="shared" si="87"/>
        <v>0</v>
      </c>
    </row>
    <row r="106" spans="1:53" ht="15.75" customHeight="1">
      <c r="A106" s="350">
        <v>1997</v>
      </c>
      <c r="B106" s="350"/>
      <c r="C106" s="350"/>
      <c r="D106" s="350"/>
      <c r="E106" s="350"/>
      <c r="F106" s="350"/>
      <c r="G106" s="350"/>
      <c r="H106" s="350"/>
      <c r="I106" s="350"/>
      <c r="J106" s="350"/>
      <c r="K106" s="350"/>
      <c r="L106" s="350"/>
      <c r="M106" s="350"/>
      <c r="N106" s="350"/>
      <c r="O106" s="350"/>
      <c r="P106" s="350"/>
      <c r="Q106" s="350"/>
      <c r="R106" s="350"/>
      <c r="S106" s="350"/>
      <c r="T106" s="350"/>
      <c r="U106" s="350"/>
      <c r="V106">
        <v>78.7</v>
      </c>
      <c r="W106">
        <f t="shared" si="31"/>
        <v>0</v>
      </c>
      <c r="X106">
        <f t="shared" ref="X106:BA106" si="88">IF(AND(X$49-$A106&gt;$V$34,SUM($W106:W106)&lt;&gt;$V106),$V106,0)</f>
        <v>0</v>
      </c>
      <c r="Y106">
        <f t="shared" si="88"/>
        <v>0</v>
      </c>
      <c r="Z106">
        <f t="shared" si="88"/>
        <v>0</v>
      </c>
      <c r="AA106">
        <f t="shared" si="88"/>
        <v>0</v>
      </c>
      <c r="AB106">
        <f t="shared" si="88"/>
        <v>0</v>
      </c>
      <c r="AC106">
        <f t="shared" si="88"/>
        <v>0</v>
      </c>
      <c r="AD106">
        <f t="shared" si="88"/>
        <v>0</v>
      </c>
      <c r="AE106">
        <f t="shared" si="88"/>
        <v>0</v>
      </c>
      <c r="AF106">
        <f t="shared" si="88"/>
        <v>0</v>
      </c>
      <c r="AG106">
        <f t="shared" si="88"/>
        <v>0</v>
      </c>
      <c r="AH106">
        <f t="shared" si="88"/>
        <v>0</v>
      </c>
      <c r="AI106">
        <f t="shared" si="88"/>
        <v>0</v>
      </c>
      <c r="AJ106">
        <f t="shared" si="88"/>
        <v>0</v>
      </c>
      <c r="AK106">
        <f t="shared" si="88"/>
        <v>0</v>
      </c>
      <c r="AL106">
        <f t="shared" si="88"/>
        <v>0</v>
      </c>
      <c r="AM106">
        <f t="shared" si="88"/>
        <v>0</v>
      </c>
      <c r="AN106">
        <f t="shared" si="88"/>
        <v>0</v>
      </c>
      <c r="AO106">
        <f t="shared" si="88"/>
        <v>0</v>
      </c>
      <c r="AP106">
        <f t="shared" si="88"/>
        <v>0</v>
      </c>
      <c r="AQ106">
        <f t="shared" si="88"/>
        <v>0</v>
      </c>
      <c r="AR106">
        <f t="shared" si="88"/>
        <v>0</v>
      </c>
      <c r="AS106">
        <f t="shared" si="88"/>
        <v>0</v>
      </c>
      <c r="AT106">
        <f t="shared" si="88"/>
        <v>0</v>
      </c>
      <c r="AU106">
        <f t="shared" si="88"/>
        <v>0</v>
      </c>
      <c r="AV106">
        <f t="shared" si="88"/>
        <v>0</v>
      </c>
      <c r="AW106">
        <f t="shared" si="88"/>
        <v>0</v>
      </c>
      <c r="AX106">
        <f t="shared" si="88"/>
        <v>0</v>
      </c>
      <c r="AY106">
        <f t="shared" si="88"/>
        <v>0</v>
      </c>
      <c r="AZ106">
        <f t="shared" si="88"/>
        <v>0</v>
      </c>
      <c r="BA106">
        <f t="shared" si="88"/>
        <v>0</v>
      </c>
    </row>
    <row r="107" spans="1:53" ht="15.75" customHeight="1">
      <c r="A107" s="350">
        <v>1998</v>
      </c>
      <c r="B107" s="350"/>
      <c r="C107" s="350"/>
      <c r="D107" s="350"/>
      <c r="E107" s="350"/>
      <c r="F107" s="350"/>
      <c r="G107" s="350"/>
      <c r="H107" s="350"/>
      <c r="I107" s="350"/>
      <c r="J107" s="350"/>
      <c r="K107" s="350"/>
      <c r="L107" s="350"/>
      <c r="M107" s="350"/>
      <c r="N107" s="350"/>
      <c r="O107" s="350"/>
      <c r="P107" s="350"/>
      <c r="Q107" s="350"/>
      <c r="R107" s="350"/>
      <c r="S107" s="350"/>
      <c r="T107" s="350"/>
      <c r="U107" s="350"/>
      <c r="V107">
        <v>2.8</v>
      </c>
      <c r="W107">
        <f t="shared" si="31"/>
        <v>0</v>
      </c>
      <c r="X107">
        <f t="shared" ref="X107:BA107" si="89">IF(AND(X$49-$A107&gt;$V$34,SUM($W107:W107)&lt;&gt;$V107),$V107,0)</f>
        <v>0</v>
      </c>
      <c r="Y107">
        <f t="shared" si="89"/>
        <v>0</v>
      </c>
      <c r="Z107">
        <f t="shared" si="89"/>
        <v>0</v>
      </c>
      <c r="AA107">
        <f t="shared" si="89"/>
        <v>0</v>
      </c>
      <c r="AB107">
        <f t="shared" si="89"/>
        <v>0</v>
      </c>
      <c r="AC107">
        <f t="shared" si="89"/>
        <v>0</v>
      </c>
      <c r="AD107">
        <f t="shared" si="89"/>
        <v>0</v>
      </c>
      <c r="AE107">
        <f t="shared" si="89"/>
        <v>0</v>
      </c>
      <c r="AF107">
        <f t="shared" si="89"/>
        <v>0</v>
      </c>
      <c r="AG107">
        <f t="shared" si="89"/>
        <v>0</v>
      </c>
      <c r="AH107">
        <f t="shared" si="89"/>
        <v>0</v>
      </c>
      <c r="AI107">
        <f t="shared" si="89"/>
        <v>0</v>
      </c>
      <c r="AJ107">
        <f t="shared" si="89"/>
        <v>0</v>
      </c>
      <c r="AK107">
        <f t="shared" si="89"/>
        <v>0</v>
      </c>
      <c r="AL107">
        <f t="shared" si="89"/>
        <v>0</v>
      </c>
      <c r="AM107">
        <f t="shared" si="89"/>
        <v>0</v>
      </c>
      <c r="AN107">
        <f t="shared" si="89"/>
        <v>0</v>
      </c>
      <c r="AO107">
        <f t="shared" si="89"/>
        <v>0</v>
      </c>
      <c r="AP107">
        <f t="shared" si="89"/>
        <v>0</v>
      </c>
      <c r="AQ107">
        <f t="shared" si="89"/>
        <v>0</v>
      </c>
      <c r="AR107">
        <f t="shared" si="89"/>
        <v>0</v>
      </c>
      <c r="AS107">
        <f t="shared" si="89"/>
        <v>0</v>
      </c>
      <c r="AT107">
        <f t="shared" si="89"/>
        <v>0</v>
      </c>
      <c r="AU107">
        <f t="shared" si="89"/>
        <v>0</v>
      </c>
      <c r="AV107">
        <f t="shared" si="89"/>
        <v>0</v>
      </c>
      <c r="AW107">
        <f t="shared" si="89"/>
        <v>0</v>
      </c>
      <c r="AX107">
        <f t="shared" si="89"/>
        <v>0</v>
      </c>
      <c r="AY107">
        <f t="shared" si="89"/>
        <v>0</v>
      </c>
      <c r="AZ107">
        <f t="shared" si="89"/>
        <v>0</v>
      </c>
      <c r="BA107">
        <f t="shared" si="89"/>
        <v>0</v>
      </c>
    </row>
    <row r="108" spans="1:53" ht="15.75" customHeight="1">
      <c r="A108" s="350">
        <v>1999</v>
      </c>
      <c r="B108" s="350"/>
      <c r="C108" s="350"/>
      <c r="D108" s="350"/>
      <c r="E108" s="350"/>
      <c r="F108" s="350"/>
      <c r="G108" s="350"/>
      <c r="H108" s="350"/>
      <c r="I108" s="350"/>
      <c r="J108" s="350"/>
      <c r="K108" s="350"/>
      <c r="L108" s="350"/>
      <c r="M108" s="350"/>
      <c r="N108" s="350"/>
      <c r="O108" s="350"/>
      <c r="P108" s="350"/>
      <c r="Q108" s="350"/>
      <c r="R108" s="350"/>
      <c r="S108" s="350"/>
      <c r="T108" s="350"/>
      <c r="U108" s="350"/>
      <c r="V108">
        <v>180</v>
      </c>
      <c r="W108">
        <f t="shared" si="31"/>
        <v>0</v>
      </c>
      <c r="X108">
        <f t="shared" ref="X108:BA108" si="90">IF(AND(X$49-$A108&gt;$V$34,SUM($W108:W108)&lt;&gt;$V108),$V108,0)</f>
        <v>0</v>
      </c>
      <c r="Y108">
        <f t="shared" si="90"/>
        <v>0</v>
      </c>
      <c r="Z108">
        <f t="shared" si="90"/>
        <v>0</v>
      </c>
      <c r="AA108">
        <f t="shared" si="90"/>
        <v>0</v>
      </c>
      <c r="AB108">
        <f t="shared" si="90"/>
        <v>0</v>
      </c>
      <c r="AC108">
        <f t="shared" si="90"/>
        <v>0</v>
      </c>
      <c r="AD108">
        <f t="shared" si="90"/>
        <v>0</v>
      </c>
      <c r="AE108">
        <f t="shared" si="90"/>
        <v>0</v>
      </c>
      <c r="AF108">
        <f t="shared" si="90"/>
        <v>0</v>
      </c>
      <c r="AG108">
        <f t="shared" si="90"/>
        <v>0</v>
      </c>
      <c r="AH108">
        <f t="shared" si="90"/>
        <v>0</v>
      </c>
      <c r="AI108">
        <f t="shared" si="90"/>
        <v>0</v>
      </c>
      <c r="AJ108">
        <f t="shared" si="90"/>
        <v>0</v>
      </c>
      <c r="AK108">
        <f t="shared" si="90"/>
        <v>0</v>
      </c>
      <c r="AL108">
        <f t="shared" si="90"/>
        <v>0</v>
      </c>
      <c r="AM108">
        <f t="shared" si="90"/>
        <v>0</v>
      </c>
      <c r="AN108">
        <f t="shared" si="90"/>
        <v>0</v>
      </c>
      <c r="AO108">
        <f t="shared" si="90"/>
        <v>0</v>
      </c>
      <c r="AP108">
        <f t="shared" si="90"/>
        <v>0</v>
      </c>
      <c r="AQ108">
        <f t="shared" si="90"/>
        <v>0</v>
      </c>
      <c r="AR108">
        <f t="shared" si="90"/>
        <v>0</v>
      </c>
      <c r="AS108">
        <f t="shared" si="90"/>
        <v>0</v>
      </c>
      <c r="AT108">
        <f t="shared" si="90"/>
        <v>0</v>
      </c>
      <c r="AU108">
        <f t="shared" si="90"/>
        <v>0</v>
      </c>
      <c r="AV108">
        <f t="shared" si="90"/>
        <v>0</v>
      </c>
      <c r="AW108">
        <f t="shared" si="90"/>
        <v>0</v>
      </c>
      <c r="AX108">
        <f t="shared" si="90"/>
        <v>0</v>
      </c>
      <c r="AY108">
        <f t="shared" si="90"/>
        <v>0</v>
      </c>
      <c r="AZ108">
        <f t="shared" si="90"/>
        <v>0</v>
      </c>
      <c r="BA108">
        <f t="shared" si="90"/>
        <v>0</v>
      </c>
    </row>
    <row r="109" spans="1:53" ht="15.75" customHeight="1">
      <c r="A109" s="350">
        <v>2000</v>
      </c>
      <c r="B109" s="350"/>
      <c r="C109" s="350"/>
      <c r="D109" s="350"/>
      <c r="E109" s="350"/>
      <c r="F109" s="350"/>
      <c r="G109" s="350"/>
      <c r="H109" s="350"/>
      <c r="I109" s="350"/>
      <c r="J109" s="350"/>
      <c r="K109" s="350"/>
      <c r="L109" s="350"/>
      <c r="M109" s="350"/>
      <c r="N109" s="350"/>
      <c r="O109" s="350"/>
      <c r="P109" s="350"/>
      <c r="Q109" s="350"/>
      <c r="R109" s="350"/>
      <c r="S109" s="350"/>
      <c r="T109" s="350"/>
      <c r="U109" s="350"/>
      <c r="V109">
        <v>133.19999999999999</v>
      </c>
      <c r="W109">
        <f t="shared" si="31"/>
        <v>0</v>
      </c>
      <c r="X109">
        <f t="shared" ref="X109:BA109" si="91">IF(AND(X$49-$A109&gt;$V$34,SUM($W109:W109)&lt;&gt;$V109),$V109,0)</f>
        <v>0</v>
      </c>
      <c r="Y109">
        <f t="shared" si="91"/>
        <v>0</v>
      </c>
      <c r="Z109">
        <f t="shared" si="91"/>
        <v>0</v>
      </c>
      <c r="AA109">
        <f t="shared" si="91"/>
        <v>0</v>
      </c>
      <c r="AB109">
        <f t="shared" si="91"/>
        <v>0</v>
      </c>
      <c r="AC109">
        <f t="shared" si="91"/>
        <v>0</v>
      </c>
      <c r="AD109">
        <f t="shared" si="91"/>
        <v>0</v>
      </c>
      <c r="AE109">
        <f t="shared" si="91"/>
        <v>0</v>
      </c>
      <c r="AF109">
        <f t="shared" si="91"/>
        <v>0</v>
      </c>
      <c r="AG109">
        <f t="shared" si="91"/>
        <v>0</v>
      </c>
      <c r="AH109">
        <f t="shared" si="91"/>
        <v>0</v>
      </c>
      <c r="AI109">
        <f t="shared" si="91"/>
        <v>0</v>
      </c>
      <c r="AJ109">
        <f t="shared" si="91"/>
        <v>0</v>
      </c>
      <c r="AK109">
        <f t="shared" si="91"/>
        <v>0</v>
      </c>
      <c r="AL109">
        <f t="shared" si="91"/>
        <v>0</v>
      </c>
      <c r="AM109">
        <f t="shared" si="91"/>
        <v>0</v>
      </c>
      <c r="AN109">
        <f t="shared" si="91"/>
        <v>0</v>
      </c>
      <c r="AO109">
        <f t="shared" si="91"/>
        <v>0</v>
      </c>
      <c r="AP109">
        <f t="shared" si="91"/>
        <v>0</v>
      </c>
      <c r="AQ109">
        <f t="shared" si="91"/>
        <v>0</v>
      </c>
      <c r="AR109">
        <f t="shared" si="91"/>
        <v>0</v>
      </c>
      <c r="AS109">
        <f t="shared" si="91"/>
        <v>0</v>
      </c>
      <c r="AT109">
        <f t="shared" si="91"/>
        <v>0</v>
      </c>
      <c r="AU109">
        <f t="shared" si="91"/>
        <v>0</v>
      </c>
      <c r="AV109">
        <f t="shared" si="91"/>
        <v>0</v>
      </c>
      <c r="AW109">
        <f t="shared" si="91"/>
        <v>0</v>
      </c>
      <c r="AX109">
        <f t="shared" si="91"/>
        <v>0</v>
      </c>
      <c r="AY109">
        <f t="shared" si="91"/>
        <v>0</v>
      </c>
      <c r="AZ109">
        <f t="shared" si="91"/>
        <v>0</v>
      </c>
      <c r="BA109">
        <f t="shared" si="91"/>
        <v>0</v>
      </c>
    </row>
    <row r="110" spans="1:53" ht="15.75" customHeight="1">
      <c r="A110" s="350">
        <v>2001</v>
      </c>
      <c r="B110" s="350"/>
      <c r="C110" s="350"/>
      <c r="D110" s="350"/>
      <c r="E110" s="350"/>
      <c r="F110" s="350"/>
      <c r="G110" s="350"/>
      <c r="H110" s="350"/>
      <c r="I110" s="350"/>
      <c r="J110" s="350"/>
      <c r="K110" s="350"/>
      <c r="L110" s="350"/>
      <c r="M110" s="350"/>
      <c r="N110" s="350"/>
      <c r="O110" s="350"/>
      <c r="P110" s="350"/>
      <c r="Q110" s="350"/>
      <c r="R110" s="350"/>
      <c r="S110" s="350"/>
      <c r="T110" s="350"/>
      <c r="U110" s="350"/>
      <c r="V110">
        <v>440</v>
      </c>
      <c r="W110">
        <f t="shared" si="31"/>
        <v>0</v>
      </c>
      <c r="X110">
        <f t="shared" ref="X110:BA110" si="92">IF(AND(X$49-$A110&gt;$V$34,SUM($W110:W110)&lt;&gt;$V110),$V110,0)</f>
        <v>0</v>
      </c>
      <c r="Y110">
        <f t="shared" si="92"/>
        <v>0</v>
      </c>
      <c r="Z110">
        <f t="shared" si="92"/>
        <v>0</v>
      </c>
      <c r="AA110">
        <f t="shared" si="92"/>
        <v>0</v>
      </c>
      <c r="AB110">
        <f t="shared" si="92"/>
        <v>0</v>
      </c>
      <c r="AC110">
        <f t="shared" si="92"/>
        <v>0</v>
      </c>
      <c r="AD110">
        <f t="shared" si="92"/>
        <v>0</v>
      </c>
      <c r="AE110">
        <f t="shared" si="92"/>
        <v>0</v>
      </c>
      <c r="AF110">
        <f t="shared" si="92"/>
        <v>0</v>
      </c>
      <c r="AG110">
        <f t="shared" si="92"/>
        <v>0</v>
      </c>
      <c r="AH110">
        <f t="shared" si="92"/>
        <v>0</v>
      </c>
      <c r="AI110">
        <f t="shared" si="92"/>
        <v>0</v>
      </c>
      <c r="AJ110">
        <f t="shared" si="92"/>
        <v>0</v>
      </c>
      <c r="AK110">
        <f t="shared" si="92"/>
        <v>0</v>
      </c>
      <c r="AL110">
        <f t="shared" si="92"/>
        <v>0</v>
      </c>
      <c r="AM110">
        <f t="shared" si="92"/>
        <v>0</v>
      </c>
      <c r="AN110">
        <f t="shared" si="92"/>
        <v>0</v>
      </c>
      <c r="AO110">
        <f t="shared" si="92"/>
        <v>0</v>
      </c>
      <c r="AP110">
        <f t="shared" si="92"/>
        <v>0</v>
      </c>
      <c r="AQ110">
        <f t="shared" si="92"/>
        <v>0</v>
      </c>
      <c r="AR110">
        <f t="shared" si="92"/>
        <v>0</v>
      </c>
      <c r="AS110">
        <f t="shared" si="92"/>
        <v>0</v>
      </c>
      <c r="AT110">
        <f t="shared" si="92"/>
        <v>0</v>
      </c>
      <c r="AU110">
        <f t="shared" si="92"/>
        <v>0</v>
      </c>
      <c r="AV110">
        <f t="shared" si="92"/>
        <v>0</v>
      </c>
      <c r="AW110">
        <f t="shared" si="92"/>
        <v>0</v>
      </c>
      <c r="AX110">
        <f t="shared" si="92"/>
        <v>0</v>
      </c>
      <c r="AY110">
        <f t="shared" si="92"/>
        <v>0</v>
      </c>
      <c r="AZ110">
        <f t="shared" si="92"/>
        <v>0</v>
      </c>
      <c r="BA110">
        <f t="shared" si="92"/>
        <v>0</v>
      </c>
    </row>
    <row r="111" spans="1:53" ht="15.75" customHeight="1">
      <c r="A111" s="350">
        <v>2003</v>
      </c>
      <c r="B111" s="350"/>
      <c r="C111" s="350"/>
      <c r="D111" s="350"/>
      <c r="E111" s="350"/>
      <c r="F111" s="350"/>
      <c r="G111" s="350"/>
      <c r="H111" s="350"/>
      <c r="I111" s="350"/>
      <c r="J111" s="350"/>
      <c r="K111" s="350"/>
      <c r="L111" s="350"/>
      <c r="M111" s="350"/>
      <c r="N111" s="350"/>
      <c r="O111" s="350"/>
      <c r="P111" s="350"/>
      <c r="Q111" s="350"/>
      <c r="R111" s="350"/>
      <c r="S111" s="350"/>
      <c r="T111" s="350"/>
      <c r="U111" s="350"/>
      <c r="V111">
        <v>85</v>
      </c>
      <c r="W111">
        <f t="shared" si="31"/>
        <v>0</v>
      </c>
      <c r="X111">
        <f t="shared" ref="X111:BA111" si="93">IF(AND(X$49-$A111&gt;$V$34,SUM($W111:W111)&lt;&gt;$V111),$V111,0)</f>
        <v>0</v>
      </c>
      <c r="Y111">
        <f t="shared" si="93"/>
        <v>0</v>
      </c>
      <c r="Z111">
        <f t="shared" si="93"/>
        <v>0</v>
      </c>
      <c r="AA111">
        <f t="shared" si="93"/>
        <v>0</v>
      </c>
      <c r="AB111">
        <f t="shared" si="93"/>
        <v>0</v>
      </c>
      <c r="AC111">
        <f t="shared" si="93"/>
        <v>0</v>
      </c>
      <c r="AD111">
        <f t="shared" si="93"/>
        <v>0</v>
      </c>
      <c r="AE111">
        <f t="shared" si="93"/>
        <v>0</v>
      </c>
      <c r="AF111">
        <f t="shared" si="93"/>
        <v>0</v>
      </c>
      <c r="AG111">
        <f t="shared" si="93"/>
        <v>0</v>
      </c>
      <c r="AH111">
        <f t="shared" si="93"/>
        <v>0</v>
      </c>
      <c r="AI111">
        <f t="shared" si="93"/>
        <v>0</v>
      </c>
      <c r="AJ111">
        <f t="shared" si="93"/>
        <v>0</v>
      </c>
      <c r="AK111">
        <f t="shared" si="93"/>
        <v>0</v>
      </c>
      <c r="AL111">
        <f t="shared" si="93"/>
        <v>0</v>
      </c>
      <c r="AM111">
        <f t="shared" si="93"/>
        <v>0</v>
      </c>
      <c r="AN111">
        <f t="shared" si="93"/>
        <v>0</v>
      </c>
      <c r="AO111">
        <f t="shared" si="93"/>
        <v>0</v>
      </c>
      <c r="AP111">
        <f t="shared" si="93"/>
        <v>0</v>
      </c>
      <c r="AQ111">
        <f t="shared" si="93"/>
        <v>0</v>
      </c>
      <c r="AR111">
        <f t="shared" si="93"/>
        <v>0</v>
      </c>
      <c r="AS111">
        <f t="shared" si="93"/>
        <v>0</v>
      </c>
      <c r="AT111">
        <f t="shared" si="93"/>
        <v>0</v>
      </c>
      <c r="AU111">
        <f t="shared" si="93"/>
        <v>0</v>
      </c>
      <c r="AV111">
        <f t="shared" si="93"/>
        <v>0</v>
      </c>
      <c r="AW111">
        <f t="shared" si="93"/>
        <v>0</v>
      </c>
      <c r="AX111">
        <f t="shared" si="93"/>
        <v>0</v>
      </c>
      <c r="AY111">
        <f t="shared" si="93"/>
        <v>0</v>
      </c>
      <c r="AZ111">
        <f t="shared" si="93"/>
        <v>0</v>
      </c>
      <c r="BA111">
        <f t="shared" si="93"/>
        <v>0</v>
      </c>
    </row>
    <row r="112" spans="1:53" ht="15.75" customHeight="1">
      <c r="A112" s="350">
        <v>2004</v>
      </c>
      <c r="B112" s="350"/>
      <c r="C112" s="350"/>
      <c r="D112" s="350"/>
      <c r="E112" s="350"/>
      <c r="F112" s="350"/>
      <c r="G112" s="350"/>
      <c r="H112" s="350"/>
      <c r="I112" s="350"/>
      <c r="J112" s="350"/>
      <c r="K112" s="350"/>
      <c r="L112" s="350"/>
      <c r="M112" s="350"/>
      <c r="N112" s="350"/>
      <c r="O112" s="350"/>
      <c r="P112" s="350"/>
      <c r="Q112" s="350"/>
      <c r="R112" s="350"/>
      <c r="S112" s="350"/>
      <c r="T112" s="350"/>
      <c r="U112" s="350"/>
      <c r="V112">
        <v>521</v>
      </c>
      <c r="W112">
        <f t="shared" si="31"/>
        <v>0</v>
      </c>
      <c r="X112">
        <f t="shared" ref="X112:BA112" si="94">IF(AND(X$49-$A112&gt;$V$34,SUM($W112:W112)&lt;&gt;$V112),$V112,0)</f>
        <v>0</v>
      </c>
      <c r="Y112">
        <f t="shared" si="94"/>
        <v>0</v>
      </c>
      <c r="Z112">
        <f t="shared" si="94"/>
        <v>0</v>
      </c>
      <c r="AA112">
        <f t="shared" si="94"/>
        <v>0</v>
      </c>
      <c r="AB112">
        <f t="shared" si="94"/>
        <v>0</v>
      </c>
      <c r="AC112">
        <f t="shared" si="94"/>
        <v>0</v>
      </c>
      <c r="AD112">
        <f t="shared" si="94"/>
        <v>0</v>
      </c>
      <c r="AE112">
        <f t="shared" si="94"/>
        <v>0</v>
      </c>
      <c r="AF112">
        <f t="shared" si="94"/>
        <v>0</v>
      </c>
      <c r="AG112">
        <f t="shared" si="94"/>
        <v>0</v>
      </c>
      <c r="AH112">
        <f t="shared" si="94"/>
        <v>0</v>
      </c>
      <c r="AI112">
        <f t="shared" si="94"/>
        <v>0</v>
      </c>
      <c r="AJ112">
        <f t="shared" si="94"/>
        <v>0</v>
      </c>
      <c r="AK112">
        <f t="shared" si="94"/>
        <v>0</v>
      </c>
      <c r="AL112">
        <f t="shared" si="94"/>
        <v>0</v>
      </c>
      <c r="AM112">
        <f t="shared" si="94"/>
        <v>0</v>
      </c>
      <c r="AN112">
        <f t="shared" si="94"/>
        <v>0</v>
      </c>
      <c r="AO112">
        <f t="shared" si="94"/>
        <v>0</v>
      </c>
      <c r="AP112">
        <f t="shared" si="94"/>
        <v>0</v>
      </c>
      <c r="AQ112">
        <f t="shared" si="94"/>
        <v>0</v>
      </c>
      <c r="AR112">
        <f t="shared" si="94"/>
        <v>0</v>
      </c>
      <c r="AS112">
        <f t="shared" si="94"/>
        <v>0</v>
      </c>
      <c r="AT112">
        <f t="shared" si="94"/>
        <v>0</v>
      </c>
      <c r="AU112">
        <f t="shared" si="94"/>
        <v>0</v>
      </c>
      <c r="AV112">
        <f t="shared" si="94"/>
        <v>0</v>
      </c>
      <c r="AW112">
        <f t="shared" si="94"/>
        <v>0</v>
      </c>
      <c r="AX112">
        <f t="shared" si="94"/>
        <v>0</v>
      </c>
      <c r="AY112">
        <f t="shared" si="94"/>
        <v>0</v>
      </c>
      <c r="AZ112">
        <f t="shared" si="94"/>
        <v>0</v>
      </c>
      <c r="BA112">
        <f t="shared" si="94"/>
        <v>0</v>
      </c>
    </row>
    <row r="113" spans="1:53" ht="15.75" customHeight="1">
      <c r="A113" s="350">
        <v>2005</v>
      </c>
      <c r="B113" s="350"/>
      <c r="C113" s="350"/>
      <c r="D113" s="350"/>
      <c r="E113" s="350"/>
      <c r="F113" s="350"/>
      <c r="G113" s="350"/>
      <c r="H113" s="350"/>
      <c r="I113" s="350"/>
      <c r="J113" s="350"/>
      <c r="K113" s="350"/>
      <c r="L113" s="350"/>
      <c r="M113" s="350"/>
      <c r="N113" s="350"/>
      <c r="O113" s="350"/>
      <c r="P113" s="350"/>
      <c r="Q113" s="350"/>
      <c r="R113" s="350"/>
      <c r="S113" s="350"/>
      <c r="T113" s="350"/>
      <c r="U113" s="350"/>
      <c r="V113">
        <v>388.1</v>
      </c>
      <c r="W113">
        <f t="shared" si="31"/>
        <v>0</v>
      </c>
      <c r="X113">
        <f t="shared" ref="X113:BA113" si="95">IF(AND(X$49-$A113&gt;$V$34,SUM($W113:W113)&lt;&gt;$V113),$V113,0)</f>
        <v>0</v>
      </c>
      <c r="Y113">
        <f t="shared" si="95"/>
        <v>0</v>
      </c>
      <c r="Z113">
        <f t="shared" si="95"/>
        <v>0</v>
      </c>
      <c r="AA113">
        <f t="shared" si="95"/>
        <v>0</v>
      </c>
      <c r="AB113">
        <f t="shared" si="95"/>
        <v>0</v>
      </c>
      <c r="AC113">
        <f t="shared" si="95"/>
        <v>0</v>
      </c>
      <c r="AD113">
        <f t="shared" si="95"/>
        <v>0</v>
      </c>
      <c r="AE113">
        <f t="shared" si="95"/>
        <v>0</v>
      </c>
      <c r="AF113">
        <f t="shared" si="95"/>
        <v>0</v>
      </c>
      <c r="AG113">
        <f t="shared" si="95"/>
        <v>0</v>
      </c>
      <c r="AH113">
        <f t="shared" si="95"/>
        <v>0</v>
      </c>
      <c r="AI113">
        <f t="shared" si="95"/>
        <v>0</v>
      </c>
      <c r="AJ113">
        <f t="shared" si="95"/>
        <v>0</v>
      </c>
      <c r="AK113">
        <f t="shared" si="95"/>
        <v>0</v>
      </c>
      <c r="AL113">
        <f t="shared" si="95"/>
        <v>0</v>
      </c>
      <c r="AM113">
        <f t="shared" si="95"/>
        <v>0</v>
      </c>
      <c r="AN113">
        <f t="shared" si="95"/>
        <v>0</v>
      </c>
      <c r="AO113">
        <f t="shared" si="95"/>
        <v>0</v>
      </c>
      <c r="AP113">
        <f t="shared" si="95"/>
        <v>0</v>
      </c>
      <c r="AQ113">
        <f t="shared" si="95"/>
        <v>0</v>
      </c>
      <c r="AR113">
        <f t="shared" si="95"/>
        <v>0</v>
      </c>
      <c r="AS113">
        <f t="shared" si="95"/>
        <v>0</v>
      </c>
      <c r="AT113">
        <f t="shared" si="95"/>
        <v>0</v>
      </c>
      <c r="AU113">
        <f t="shared" si="95"/>
        <v>0</v>
      </c>
      <c r="AV113">
        <f t="shared" si="95"/>
        <v>0</v>
      </c>
      <c r="AW113">
        <f t="shared" si="95"/>
        <v>0</v>
      </c>
      <c r="AX113">
        <f t="shared" si="95"/>
        <v>0</v>
      </c>
      <c r="AY113">
        <f t="shared" si="95"/>
        <v>0</v>
      </c>
      <c r="AZ113">
        <f t="shared" si="95"/>
        <v>0</v>
      </c>
      <c r="BA113">
        <f t="shared" si="95"/>
        <v>0</v>
      </c>
    </row>
    <row r="114" spans="1:53" ht="15.75" customHeight="1">
      <c r="A114" s="350">
        <v>2006</v>
      </c>
      <c r="B114" s="350"/>
      <c r="C114" s="350"/>
      <c r="D114" s="350"/>
      <c r="E114" s="350"/>
      <c r="F114" s="350"/>
      <c r="G114" s="350"/>
      <c r="H114" s="350"/>
      <c r="I114" s="350"/>
      <c r="J114" s="350"/>
      <c r="K114" s="350"/>
      <c r="L114" s="350"/>
      <c r="M114" s="350"/>
      <c r="N114" s="350"/>
      <c r="O114" s="350"/>
      <c r="P114" s="350"/>
      <c r="Q114" s="350"/>
      <c r="R114" s="350"/>
      <c r="S114" s="350"/>
      <c r="T114" s="350"/>
      <c r="U114" s="350"/>
      <c r="V114">
        <v>524</v>
      </c>
      <c r="W114">
        <f t="shared" si="31"/>
        <v>0</v>
      </c>
      <c r="X114">
        <f t="shared" ref="X114:BA114" si="96">IF(AND(X$49-$A114&gt;$V$34,SUM($W114:W114)&lt;&gt;$V114),$V114,0)</f>
        <v>0</v>
      </c>
      <c r="Y114">
        <f t="shared" si="96"/>
        <v>0</v>
      </c>
      <c r="Z114">
        <f t="shared" si="96"/>
        <v>0</v>
      </c>
      <c r="AA114">
        <f t="shared" si="96"/>
        <v>0</v>
      </c>
      <c r="AB114">
        <f t="shared" si="96"/>
        <v>0</v>
      </c>
      <c r="AC114">
        <f t="shared" si="96"/>
        <v>0</v>
      </c>
      <c r="AD114">
        <f t="shared" si="96"/>
        <v>0</v>
      </c>
      <c r="AE114">
        <f t="shared" si="96"/>
        <v>0</v>
      </c>
      <c r="AF114">
        <f t="shared" si="96"/>
        <v>0</v>
      </c>
      <c r="AG114">
        <f t="shared" si="96"/>
        <v>0</v>
      </c>
      <c r="AH114">
        <f t="shared" si="96"/>
        <v>0</v>
      </c>
      <c r="AI114">
        <f t="shared" si="96"/>
        <v>0</v>
      </c>
      <c r="AJ114">
        <f t="shared" si="96"/>
        <v>0</v>
      </c>
      <c r="AK114">
        <f t="shared" si="96"/>
        <v>0</v>
      </c>
      <c r="AL114">
        <f t="shared" si="96"/>
        <v>0</v>
      </c>
      <c r="AM114">
        <f t="shared" si="96"/>
        <v>0</v>
      </c>
      <c r="AN114">
        <f t="shared" si="96"/>
        <v>0</v>
      </c>
      <c r="AO114">
        <f t="shared" si="96"/>
        <v>0</v>
      </c>
      <c r="AP114">
        <f t="shared" si="96"/>
        <v>0</v>
      </c>
      <c r="AQ114">
        <f t="shared" si="96"/>
        <v>0</v>
      </c>
      <c r="AR114">
        <f t="shared" si="96"/>
        <v>0</v>
      </c>
      <c r="AS114">
        <f t="shared" si="96"/>
        <v>0</v>
      </c>
      <c r="AT114">
        <f t="shared" si="96"/>
        <v>0</v>
      </c>
      <c r="AU114">
        <f t="shared" si="96"/>
        <v>0</v>
      </c>
      <c r="AV114">
        <f t="shared" si="96"/>
        <v>0</v>
      </c>
      <c r="AW114">
        <f t="shared" si="96"/>
        <v>0</v>
      </c>
      <c r="AX114">
        <f t="shared" si="96"/>
        <v>0</v>
      </c>
      <c r="AY114">
        <f t="shared" si="96"/>
        <v>0</v>
      </c>
      <c r="AZ114">
        <f t="shared" si="96"/>
        <v>0</v>
      </c>
      <c r="BA114">
        <f t="shared" si="96"/>
        <v>0</v>
      </c>
    </row>
    <row r="115" spans="1:53" ht="15.75" customHeight="1">
      <c r="A115" s="350">
        <v>2007</v>
      </c>
      <c r="B115" s="350"/>
      <c r="C115" s="350"/>
      <c r="D115" s="350"/>
      <c r="E115" s="350"/>
      <c r="F115" s="350"/>
      <c r="G115" s="350"/>
      <c r="H115" s="350"/>
      <c r="I115" s="350"/>
      <c r="J115" s="350"/>
      <c r="K115" s="350"/>
      <c r="L115" s="350"/>
      <c r="M115" s="350"/>
      <c r="N115" s="350"/>
      <c r="O115" s="350"/>
      <c r="P115" s="350"/>
      <c r="Q115" s="350"/>
      <c r="R115" s="350"/>
      <c r="S115" s="350"/>
      <c r="T115" s="350"/>
      <c r="U115" s="350"/>
      <c r="V115">
        <v>1413.6</v>
      </c>
      <c r="W115">
        <f t="shared" si="31"/>
        <v>0</v>
      </c>
      <c r="X115">
        <f t="shared" ref="X115:BA115" si="97">IF(AND(X$49-$A115&gt;$V$34,SUM($W115:W115)&lt;&gt;$V115),$V115,0)</f>
        <v>0</v>
      </c>
      <c r="Y115">
        <f t="shared" si="97"/>
        <v>0</v>
      </c>
      <c r="Z115">
        <f t="shared" si="97"/>
        <v>0</v>
      </c>
      <c r="AA115">
        <f t="shared" si="97"/>
        <v>0</v>
      </c>
      <c r="AB115">
        <f t="shared" si="97"/>
        <v>0</v>
      </c>
      <c r="AC115">
        <f t="shared" si="97"/>
        <v>0</v>
      </c>
      <c r="AD115">
        <f t="shared" si="97"/>
        <v>0</v>
      </c>
      <c r="AE115">
        <f t="shared" si="97"/>
        <v>0</v>
      </c>
      <c r="AF115">
        <f t="shared" si="97"/>
        <v>0</v>
      </c>
      <c r="AG115">
        <f t="shared" si="97"/>
        <v>0</v>
      </c>
      <c r="AH115">
        <f t="shared" si="97"/>
        <v>0</v>
      </c>
      <c r="AI115">
        <f t="shared" si="97"/>
        <v>0</v>
      </c>
      <c r="AJ115">
        <f t="shared" si="97"/>
        <v>0</v>
      </c>
      <c r="AK115">
        <f t="shared" si="97"/>
        <v>0</v>
      </c>
      <c r="AL115">
        <f t="shared" si="97"/>
        <v>0</v>
      </c>
      <c r="AM115">
        <f t="shared" si="97"/>
        <v>0</v>
      </c>
      <c r="AN115">
        <f t="shared" si="97"/>
        <v>0</v>
      </c>
      <c r="AO115">
        <f t="shared" si="97"/>
        <v>0</v>
      </c>
      <c r="AP115">
        <f t="shared" si="97"/>
        <v>0</v>
      </c>
      <c r="AQ115">
        <f t="shared" si="97"/>
        <v>0</v>
      </c>
      <c r="AR115">
        <f t="shared" si="97"/>
        <v>0</v>
      </c>
      <c r="AS115">
        <f t="shared" si="97"/>
        <v>0</v>
      </c>
      <c r="AT115">
        <f t="shared" si="97"/>
        <v>0</v>
      </c>
      <c r="AU115">
        <f t="shared" si="97"/>
        <v>0</v>
      </c>
      <c r="AV115">
        <f t="shared" si="97"/>
        <v>0</v>
      </c>
      <c r="AW115">
        <f t="shared" si="97"/>
        <v>0</v>
      </c>
      <c r="AX115">
        <f t="shared" si="97"/>
        <v>0</v>
      </c>
      <c r="AY115">
        <f t="shared" si="97"/>
        <v>0</v>
      </c>
      <c r="AZ115">
        <f t="shared" si="97"/>
        <v>0</v>
      </c>
      <c r="BA115">
        <f t="shared" si="97"/>
        <v>0</v>
      </c>
    </row>
    <row r="116" spans="1:53" ht="15.75" customHeight="1">
      <c r="A116" s="350">
        <v>2008</v>
      </c>
      <c r="B116" s="350"/>
      <c r="C116" s="350"/>
      <c r="D116" s="350"/>
      <c r="E116" s="350"/>
      <c r="F116" s="350"/>
      <c r="G116" s="350"/>
      <c r="H116" s="350"/>
      <c r="I116" s="350"/>
      <c r="J116" s="350"/>
      <c r="K116" s="350"/>
      <c r="L116" s="350"/>
      <c r="M116" s="350"/>
      <c r="N116" s="350"/>
      <c r="O116" s="350"/>
      <c r="P116" s="350"/>
      <c r="Q116" s="350"/>
      <c r="R116" s="350"/>
      <c r="S116" s="350"/>
      <c r="T116" s="350"/>
      <c r="U116" s="350"/>
      <c r="V116">
        <v>1456.8</v>
      </c>
      <c r="W116">
        <f t="shared" si="31"/>
        <v>0</v>
      </c>
      <c r="X116">
        <f t="shared" ref="X116:BA116" si="98">IF(AND(X$49-$A116&gt;$V$34,SUM($W116:W116)&lt;&gt;$V116),$V116,0)</f>
        <v>0</v>
      </c>
      <c r="Y116">
        <f t="shared" si="98"/>
        <v>0</v>
      </c>
      <c r="Z116">
        <f t="shared" si="98"/>
        <v>0</v>
      </c>
      <c r="AA116">
        <f t="shared" si="98"/>
        <v>0</v>
      </c>
      <c r="AB116">
        <f t="shared" si="98"/>
        <v>0</v>
      </c>
      <c r="AC116">
        <f t="shared" si="98"/>
        <v>0</v>
      </c>
      <c r="AD116">
        <f t="shared" si="98"/>
        <v>0</v>
      </c>
      <c r="AE116">
        <f t="shared" si="98"/>
        <v>0</v>
      </c>
      <c r="AF116">
        <f t="shared" si="98"/>
        <v>0</v>
      </c>
      <c r="AG116">
        <f t="shared" si="98"/>
        <v>0</v>
      </c>
      <c r="AH116">
        <f t="shared" si="98"/>
        <v>0</v>
      </c>
      <c r="AI116">
        <f t="shared" si="98"/>
        <v>0</v>
      </c>
      <c r="AJ116">
        <f t="shared" si="98"/>
        <v>0</v>
      </c>
      <c r="AK116">
        <f t="shared" si="98"/>
        <v>0</v>
      </c>
      <c r="AL116">
        <f t="shared" si="98"/>
        <v>0</v>
      </c>
      <c r="AM116">
        <f t="shared" si="98"/>
        <v>0</v>
      </c>
      <c r="AN116">
        <f t="shared" si="98"/>
        <v>0</v>
      </c>
      <c r="AO116">
        <f t="shared" si="98"/>
        <v>0</v>
      </c>
      <c r="AP116">
        <f t="shared" si="98"/>
        <v>0</v>
      </c>
      <c r="AQ116">
        <f t="shared" si="98"/>
        <v>0</v>
      </c>
      <c r="AR116">
        <f t="shared" si="98"/>
        <v>0</v>
      </c>
      <c r="AS116">
        <f t="shared" si="98"/>
        <v>0</v>
      </c>
      <c r="AT116">
        <f t="shared" si="98"/>
        <v>0</v>
      </c>
      <c r="AU116">
        <f t="shared" si="98"/>
        <v>0</v>
      </c>
      <c r="AV116">
        <f t="shared" si="98"/>
        <v>0</v>
      </c>
      <c r="AW116">
        <f t="shared" si="98"/>
        <v>0</v>
      </c>
      <c r="AX116">
        <f t="shared" si="98"/>
        <v>0</v>
      </c>
      <c r="AY116">
        <f t="shared" si="98"/>
        <v>0</v>
      </c>
      <c r="AZ116">
        <f t="shared" si="98"/>
        <v>0</v>
      </c>
      <c r="BA116">
        <f t="shared" si="98"/>
        <v>0</v>
      </c>
    </row>
    <row r="117" spans="1:53" ht="15.75" customHeight="1">
      <c r="A117" s="350">
        <v>2009</v>
      </c>
      <c r="B117" s="350"/>
      <c r="C117" s="350"/>
      <c r="D117" s="350"/>
      <c r="E117" s="350"/>
      <c r="F117" s="350"/>
      <c r="G117" s="350"/>
      <c r="H117" s="350"/>
      <c r="I117" s="350"/>
      <c r="J117" s="350"/>
      <c r="K117" s="350"/>
      <c r="L117" s="350"/>
      <c r="M117" s="350"/>
      <c r="N117" s="350"/>
      <c r="O117" s="350"/>
      <c r="P117" s="350"/>
      <c r="Q117" s="350"/>
      <c r="R117" s="350"/>
      <c r="S117" s="350"/>
      <c r="T117" s="350"/>
      <c r="U117" s="350"/>
      <c r="V117">
        <v>1735.2</v>
      </c>
      <c r="W117">
        <f t="shared" si="31"/>
        <v>0</v>
      </c>
      <c r="X117">
        <f t="shared" ref="X117:BA117" si="99">IF(AND(X$49-$A117&gt;$V$34,SUM($W117:W117)&lt;&gt;$V117),$V117,0)</f>
        <v>0</v>
      </c>
      <c r="Y117">
        <f t="shared" si="99"/>
        <v>0</v>
      </c>
      <c r="Z117">
        <f t="shared" si="99"/>
        <v>0</v>
      </c>
      <c r="AA117">
        <f t="shared" si="99"/>
        <v>0</v>
      </c>
      <c r="AB117">
        <f t="shared" si="99"/>
        <v>0</v>
      </c>
      <c r="AC117">
        <f t="shared" si="99"/>
        <v>0</v>
      </c>
      <c r="AD117">
        <f t="shared" si="99"/>
        <v>0</v>
      </c>
      <c r="AE117">
        <f t="shared" si="99"/>
        <v>0</v>
      </c>
      <c r="AF117">
        <f t="shared" si="99"/>
        <v>0</v>
      </c>
      <c r="AG117">
        <f t="shared" si="99"/>
        <v>0</v>
      </c>
      <c r="AH117">
        <f t="shared" si="99"/>
        <v>0</v>
      </c>
      <c r="AI117">
        <f t="shared" si="99"/>
        <v>0</v>
      </c>
      <c r="AJ117">
        <f t="shared" si="99"/>
        <v>0</v>
      </c>
      <c r="AK117">
        <f t="shared" si="99"/>
        <v>0</v>
      </c>
      <c r="AL117">
        <f t="shared" si="99"/>
        <v>0</v>
      </c>
      <c r="AM117">
        <f t="shared" si="99"/>
        <v>0</v>
      </c>
      <c r="AN117">
        <f t="shared" si="99"/>
        <v>0</v>
      </c>
      <c r="AO117">
        <f t="shared" si="99"/>
        <v>0</v>
      </c>
      <c r="AP117">
        <f t="shared" si="99"/>
        <v>0</v>
      </c>
      <c r="AQ117">
        <f t="shared" si="99"/>
        <v>0</v>
      </c>
      <c r="AR117">
        <f t="shared" si="99"/>
        <v>0</v>
      </c>
      <c r="AS117">
        <f t="shared" si="99"/>
        <v>0</v>
      </c>
      <c r="AT117">
        <f t="shared" si="99"/>
        <v>0</v>
      </c>
      <c r="AU117">
        <f t="shared" si="99"/>
        <v>0</v>
      </c>
      <c r="AV117">
        <f t="shared" si="99"/>
        <v>0</v>
      </c>
      <c r="AW117">
        <f t="shared" si="99"/>
        <v>0</v>
      </c>
      <c r="AX117">
        <f t="shared" si="99"/>
        <v>0</v>
      </c>
      <c r="AY117">
        <f t="shared" si="99"/>
        <v>0</v>
      </c>
      <c r="AZ117">
        <f t="shared" si="99"/>
        <v>0</v>
      </c>
      <c r="BA117">
        <f t="shared" si="99"/>
        <v>0</v>
      </c>
    </row>
    <row r="118" spans="1:53" ht="15.75" customHeight="1">
      <c r="A118" s="350">
        <v>2010</v>
      </c>
      <c r="B118" s="350"/>
      <c r="C118" s="350"/>
      <c r="D118" s="350"/>
      <c r="E118" s="350"/>
      <c r="F118" s="350"/>
      <c r="G118" s="350"/>
      <c r="H118" s="350"/>
      <c r="I118" s="350"/>
      <c r="J118" s="350"/>
      <c r="K118" s="350"/>
      <c r="L118" s="350"/>
      <c r="M118" s="350"/>
      <c r="N118" s="350"/>
      <c r="O118" s="350"/>
      <c r="P118" s="350"/>
      <c r="Q118" s="350"/>
      <c r="R118" s="350"/>
      <c r="S118" s="350"/>
      <c r="T118" s="350"/>
      <c r="U118" s="350"/>
      <c r="V118">
        <v>4721.5</v>
      </c>
      <c r="W118">
        <f t="shared" si="31"/>
        <v>0</v>
      </c>
      <c r="X118">
        <f t="shared" ref="X118:BA118" si="100">IF(AND(X$49-$A118&gt;$V$34,SUM($W118:W118)&lt;&gt;$V118),$V118,0)</f>
        <v>0</v>
      </c>
      <c r="Y118">
        <f t="shared" si="100"/>
        <v>0</v>
      </c>
      <c r="Z118">
        <f t="shared" si="100"/>
        <v>0</v>
      </c>
      <c r="AA118">
        <f t="shared" si="100"/>
        <v>0</v>
      </c>
      <c r="AB118">
        <f t="shared" si="100"/>
        <v>0</v>
      </c>
      <c r="AC118">
        <f t="shared" si="100"/>
        <v>0</v>
      </c>
      <c r="AD118">
        <f t="shared" si="100"/>
        <v>0</v>
      </c>
      <c r="AE118">
        <f t="shared" si="100"/>
        <v>0</v>
      </c>
      <c r="AF118">
        <f t="shared" si="100"/>
        <v>0</v>
      </c>
      <c r="AG118">
        <f t="shared" si="100"/>
        <v>0</v>
      </c>
      <c r="AH118">
        <f t="shared" si="100"/>
        <v>0</v>
      </c>
      <c r="AI118">
        <f t="shared" si="100"/>
        <v>0</v>
      </c>
      <c r="AJ118">
        <f t="shared" si="100"/>
        <v>0</v>
      </c>
      <c r="AK118">
        <f t="shared" si="100"/>
        <v>0</v>
      </c>
      <c r="AL118">
        <f t="shared" si="100"/>
        <v>0</v>
      </c>
      <c r="AM118">
        <f t="shared" si="100"/>
        <v>0</v>
      </c>
      <c r="AN118">
        <f t="shared" si="100"/>
        <v>0</v>
      </c>
      <c r="AO118">
        <f t="shared" si="100"/>
        <v>0</v>
      </c>
      <c r="AP118">
        <f t="shared" si="100"/>
        <v>0</v>
      </c>
      <c r="AQ118">
        <f t="shared" si="100"/>
        <v>0</v>
      </c>
      <c r="AR118">
        <f t="shared" si="100"/>
        <v>0</v>
      </c>
      <c r="AS118">
        <f t="shared" si="100"/>
        <v>0</v>
      </c>
      <c r="AT118">
        <f t="shared" si="100"/>
        <v>0</v>
      </c>
      <c r="AU118">
        <f t="shared" si="100"/>
        <v>0</v>
      </c>
      <c r="AV118">
        <f t="shared" si="100"/>
        <v>0</v>
      </c>
      <c r="AW118">
        <f t="shared" si="100"/>
        <v>0</v>
      </c>
      <c r="AX118">
        <f t="shared" si="100"/>
        <v>0</v>
      </c>
      <c r="AY118">
        <f t="shared" si="100"/>
        <v>0</v>
      </c>
      <c r="AZ118">
        <f t="shared" si="100"/>
        <v>0</v>
      </c>
      <c r="BA118">
        <f t="shared" si="100"/>
        <v>0</v>
      </c>
    </row>
    <row r="119" spans="1:53" ht="15.75" customHeight="1">
      <c r="A119" s="350">
        <v>2011</v>
      </c>
      <c r="B119" s="350"/>
      <c r="C119" s="350"/>
      <c r="D119" s="350"/>
      <c r="E119" s="350"/>
      <c r="F119" s="350"/>
      <c r="G119" s="350"/>
      <c r="H119" s="350"/>
      <c r="I119" s="350"/>
      <c r="J119" s="350"/>
      <c r="K119" s="350"/>
      <c r="L119" s="350"/>
      <c r="M119" s="350"/>
      <c r="N119" s="350"/>
      <c r="O119" s="350"/>
      <c r="P119" s="350"/>
      <c r="Q119" s="350"/>
      <c r="R119" s="350"/>
      <c r="S119" s="350"/>
      <c r="T119" s="350"/>
      <c r="U119" s="350"/>
      <c r="V119">
        <v>3778</v>
      </c>
      <c r="W119">
        <f t="shared" si="31"/>
        <v>0</v>
      </c>
      <c r="X119">
        <f t="shared" ref="X119:BA119" si="101">IF(AND(X$49-$A119&gt;$V$34,SUM($W119:W119)&lt;&gt;$V119),$V119,0)</f>
        <v>0</v>
      </c>
      <c r="Y119">
        <f t="shared" si="101"/>
        <v>0</v>
      </c>
      <c r="Z119">
        <f t="shared" si="101"/>
        <v>0</v>
      </c>
      <c r="AA119">
        <f t="shared" si="101"/>
        <v>0</v>
      </c>
      <c r="AB119">
        <f t="shared" si="101"/>
        <v>0</v>
      </c>
      <c r="AC119">
        <f t="shared" si="101"/>
        <v>0</v>
      </c>
      <c r="AD119">
        <f t="shared" si="101"/>
        <v>0</v>
      </c>
      <c r="AE119">
        <f t="shared" si="101"/>
        <v>0</v>
      </c>
      <c r="AF119">
        <f t="shared" si="101"/>
        <v>0</v>
      </c>
      <c r="AG119">
        <f t="shared" si="101"/>
        <v>0</v>
      </c>
      <c r="AH119">
        <f t="shared" si="101"/>
        <v>0</v>
      </c>
      <c r="AI119">
        <f t="shared" si="101"/>
        <v>0</v>
      </c>
      <c r="AJ119">
        <f t="shared" si="101"/>
        <v>0</v>
      </c>
      <c r="AK119">
        <f t="shared" si="101"/>
        <v>0</v>
      </c>
      <c r="AL119">
        <f t="shared" si="101"/>
        <v>0</v>
      </c>
      <c r="AM119">
        <f t="shared" si="101"/>
        <v>0</v>
      </c>
      <c r="AN119">
        <f t="shared" si="101"/>
        <v>0</v>
      </c>
      <c r="AO119">
        <f t="shared" si="101"/>
        <v>0</v>
      </c>
      <c r="AP119">
        <f t="shared" si="101"/>
        <v>0</v>
      </c>
      <c r="AQ119">
        <f t="shared" si="101"/>
        <v>0</v>
      </c>
      <c r="AR119">
        <f t="shared" si="101"/>
        <v>0</v>
      </c>
      <c r="AS119">
        <f t="shared" si="101"/>
        <v>0</v>
      </c>
      <c r="AT119">
        <f t="shared" si="101"/>
        <v>0</v>
      </c>
      <c r="AU119">
        <f t="shared" si="101"/>
        <v>0</v>
      </c>
      <c r="AV119">
        <f t="shared" si="101"/>
        <v>0</v>
      </c>
      <c r="AW119">
        <f t="shared" si="101"/>
        <v>0</v>
      </c>
      <c r="AX119">
        <f t="shared" si="101"/>
        <v>0</v>
      </c>
      <c r="AY119">
        <f t="shared" si="101"/>
        <v>0</v>
      </c>
      <c r="AZ119">
        <f t="shared" si="101"/>
        <v>0</v>
      </c>
      <c r="BA119">
        <f t="shared" si="101"/>
        <v>0</v>
      </c>
    </row>
    <row r="120" spans="1:53" ht="15.75" customHeight="1">
      <c r="A120" s="350">
        <v>2012</v>
      </c>
      <c r="B120" s="350"/>
      <c r="C120" s="350"/>
      <c r="D120" s="350"/>
      <c r="E120" s="350"/>
      <c r="F120" s="350"/>
      <c r="G120" s="350"/>
      <c r="H120" s="350"/>
      <c r="I120" s="350"/>
      <c r="J120" s="350"/>
      <c r="K120" s="350"/>
      <c r="L120" s="350"/>
      <c r="M120" s="350"/>
      <c r="N120" s="350"/>
      <c r="O120" s="350"/>
      <c r="P120" s="350"/>
      <c r="Q120" s="350"/>
      <c r="R120" s="350"/>
      <c r="S120" s="350"/>
      <c r="T120" s="350"/>
      <c r="U120" s="350"/>
      <c r="V120">
        <v>3690</v>
      </c>
      <c r="W120">
        <f t="shared" si="31"/>
        <v>0</v>
      </c>
      <c r="X120">
        <f t="shared" ref="X120:BA120" si="102">IF(AND(X$49-$A120&gt;$V$34,SUM($W120:W120)&lt;&gt;$V120),$V120,0)</f>
        <v>0</v>
      </c>
      <c r="Y120">
        <f t="shared" si="102"/>
        <v>0</v>
      </c>
      <c r="Z120">
        <f t="shared" si="102"/>
        <v>0</v>
      </c>
      <c r="AA120">
        <f t="shared" si="102"/>
        <v>0</v>
      </c>
      <c r="AB120">
        <f t="shared" si="102"/>
        <v>0</v>
      </c>
      <c r="AC120">
        <f t="shared" si="102"/>
        <v>0</v>
      </c>
      <c r="AD120">
        <f t="shared" si="102"/>
        <v>0</v>
      </c>
      <c r="AE120">
        <f t="shared" si="102"/>
        <v>0</v>
      </c>
      <c r="AF120">
        <f t="shared" si="102"/>
        <v>0</v>
      </c>
      <c r="AG120">
        <f t="shared" si="102"/>
        <v>0</v>
      </c>
      <c r="AH120">
        <f t="shared" si="102"/>
        <v>0</v>
      </c>
      <c r="AI120">
        <f t="shared" si="102"/>
        <v>0</v>
      </c>
      <c r="AJ120">
        <f t="shared" si="102"/>
        <v>0</v>
      </c>
      <c r="AK120">
        <f t="shared" si="102"/>
        <v>0</v>
      </c>
      <c r="AL120">
        <f t="shared" si="102"/>
        <v>0</v>
      </c>
      <c r="AM120">
        <f t="shared" si="102"/>
        <v>0</v>
      </c>
      <c r="AN120">
        <f t="shared" si="102"/>
        <v>0</v>
      </c>
      <c r="AO120">
        <f t="shared" si="102"/>
        <v>0</v>
      </c>
      <c r="AP120">
        <f t="shared" si="102"/>
        <v>0</v>
      </c>
      <c r="AQ120">
        <f t="shared" si="102"/>
        <v>0</v>
      </c>
      <c r="AR120">
        <f t="shared" si="102"/>
        <v>0</v>
      </c>
      <c r="AS120">
        <f t="shared" si="102"/>
        <v>0</v>
      </c>
      <c r="AT120">
        <f t="shared" si="102"/>
        <v>0</v>
      </c>
      <c r="AU120">
        <f t="shared" si="102"/>
        <v>0</v>
      </c>
      <c r="AV120">
        <f t="shared" si="102"/>
        <v>0</v>
      </c>
      <c r="AW120">
        <f t="shared" si="102"/>
        <v>0</v>
      </c>
      <c r="AX120">
        <f t="shared" si="102"/>
        <v>0</v>
      </c>
      <c r="AY120">
        <f t="shared" si="102"/>
        <v>0</v>
      </c>
      <c r="AZ120">
        <f t="shared" si="102"/>
        <v>0</v>
      </c>
      <c r="BA120">
        <f t="shared" si="102"/>
        <v>0</v>
      </c>
    </row>
    <row r="121" spans="1:53" ht="15.75" customHeight="1">
      <c r="A121" s="350">
        <v>2013</v>
      </c>
      <c r="B121" s="350"/>
      <c r="C121" s="350"/>
      <c r="D121" s="350"/>
      <c r="E121" s="350"/>
      <c r="F121" s="350"/>
      <c r="G121" s="350"/>
      <c r="H121" s="350"/>
      <c r="I121" s="350"/>
      <c r="J121" s="350"/>
      <c r="K121" s="350"/>
      <c r="L121" s="350"/>
      <c r="M121" s="350"/>
      <c r="N121" s="350"/>
      <c r="O121" s="350"/>
      <c r="P121" s="350"/>
      <c r="Q121" s="350"/>
      <c r="R121" s="350"/>
      <c r="S121" s="350"/>
      <c r="T121" s="350"/>
      <c r="U121" s="350"/>
      <c r="V121">
        <v>1535</v>
      </c>
      <c r="W121">
        <f t="shared" si="31"/>
        <v>0</v>
      </c>
      <c r="X121">
        <f t="shared" ref="X121:BA121" si="103">IF(AND(X$49-$A121&gt;$V$34,SUM($W121:W121)&lt;&gt;$V121),$V121,0)</f>
        <v>0</v>
      </c>
      <c r="Y121">
        <f t="shared" si="103"/>
        <v>0</v>
      </c>
      <c r="Z121">
        <f t="shared" si="103"/>
        <v>0</v>
      </c>
      <c r="AA121">
        <f t="shared" si="103"/>
        <v>0</v>
      </c>
      <c r="AB121">
        <f t="shared" si="103"/>
        <v>0</v>
      </c>
      <c r="AC121">
        <f t="shared" si="103"/>
        <v>0</v>
      </c>
      <c r="AD121">
        <f t="shared" si="103"/>
        <v>0</v>
      </c>
      <c r="AE121">
        <f t="shared" si="103"/>
        <v>0</v>
      </c>
      <c r="AF121">
        <f t="shared" si="103"/>
        <v>0</v>
      </c>
      <c r="AG121">
        <f t="shared" si="103"/>
        <v>0</v>
      </c>
      <c r="AH121">
        <f t="shared" si="103"/>
        <v>0</v>
      </c>
      <c r="AI121">
        <f t="shared" si="103"/>
        <v>0</v>
      </c>
      <c r="AJ121">
        <f t="shared" si="103"/>
        <v>0</v>
      </c>
      <c r="AK121">
        <f t="shared" si="103"/>
        <v>0</v>
      </c>
      <c r="AL121">
        <f t="shared" si="103"/>
        <v>0</v>
      </c>
      <c r="AM121">
        <f t="shared" si="103"/>
        <v>0</v>
      </c>
      <c r="AN121">
        <f t="shared" si="103"/>
        <v>0</v>
      </c>
      <c r="AO121">
        <f t="shared" si="103"/>
        <v>0</v>
      </c>
      <c r="AP121">
        <f t="shared" si="103"/>
        <v>0</v>
      </c>
      <c r="AQ121">
        <f t="shared" si="103"/>
        <v>0</v>
      </c>
      <c r="AR121">
        <f t="shared" si="103"/>
        <v>0</v>
      </c>
      <c r="AS121">
        <f t="shared" si="103"/>
        <v>0</v>
      </c>
      <c r="AT121">
        <f t="shared" si="103"/>
        <v>0</v>
      </c>
      <c r="AU121">
        <f t="shared" si="103"/>
        <v>0</v>
      </c>
      <c r="AV121">
        <f t="shared" si="103"/>
        <v>0</v>
      </c>
      <c r="AW121">
        <f t="shared" si="103"/>
        <v>0</v>
      </c>
      <c r="AX121">
        <f t="shared" si="103"/>
        <v>0</v>
      </c>
      <c r="AY121">
        <f t="shared" si="103"/>
        <v>0</v>
      </c>
      <c r="AZ121">
        <f t="shared" si="103"/>
        <v>0</v>
      </c>
      <c r="BA121">
        <f t="shared" si="103"/>
        <v>0</v>
      </c>
    </row>
    <row r="122" spans="1:53" ht="15.75" customHeight="1">
      <c r="A122" s="350">
        <v>2014</v>
      </c>
      <c r="B122" s="350"/>
      <c r="C122" s="350"/>
      <c r="D122" s="350"/>
      <c r="E122" s="350"/>
      <c r="F122" s="350"/>
      <c r="G122" s="350"/>
      <c r="H122" s="350"/>
      <c r="I122" s="350"/>
      <c r="J122" s="350"/>
      <c r="K122" s="350"/>
      <c r="L122" s="350"/>
      <c r="M122" s="350"/>
      <c r="N122" s="350"/>
      <c r="O122" s="350"/>
      <c r="P122" s="350"/>
      <c r="Q122" s="350"/>
      <c r="R122" s="350"/>
      <c r="S122" s="350"/>
      <c r="T122" s="350"/>
      <c r="U122" s="350"/>
      <c r="V122">
        <v>90</v>
      </c>
      <c r="W122">
        <f t="shared" si="31"/>
        <v>0</v>
      </c>
      <c r="X122">
        <f t="shared" ref="X122:BA122" si="104">IF(AND(X$49-$A122&gt;$V$34,SUM($W122:W122)&lt;&gt;$V122),$V122,0)</f>
        <v>0</v>
      </c>
      <c r="Y122">
        <f t="shared" si="104"/>
        <v>0</v>
      </c>
      <c r="Z122">
        <f t="shared" si="104"/>
        <v>0</v>
      </c>
      <c r="AA122">
        <f t="shared" si="104"/>
        <v>0</v>
      </c>
      <c r="AB122">
        <f t="shared" si="104"/>
        <v>0</v>
      </c>
      <c r="AC122">
        <f t="shared" si="104"/>
        <v>0</v>
      </c>
      <c r="AD122">
        <f t="shared" si="104"/>
        <v>0</v>
      </c>
      <c r="AE122">
        <f t="shared" si="104"/>
        <v>0</v>
      </c>
      <c r="AF122">
        <f t="shared" si="104"/>
        <v>0</v>
      </c>
      <c r="AG122">
        <f t="shared" si="104"/>
        <v>0</v>
      </c>
      <c r="AH122">
        <f t="shared" si="104"/>
        <v>0</v>
      </c>
      <c r="AI122">
        <f t="shared" si="104"/>
        <v>0</v>
      </c>
      <c r="AJ122">
        <f t="shared" si="104"/>
        <v>0</v>
      </c>
      <c r="AK122">
        <f t="shared" si="104"/>
        <v>0</v>
      </c>
      <c r="AL122">
        <f t="shared" si="104"/>
        <v>0</v>
      </c>
      <c r="AM122">
        <f t="shared" si="104"/>
        <v>0</v>
      </c>
      <c r="AN122">
        <f t="shared" si="104"/>
        <v>0</v>
      </c>
      <c r="AO122">
        <f t="shared" si="104"/>
        <v>0</v>
      </c>
      <c r="AP122">
        <f t="shared" si="104"/>
        <v>0</v>
      </c>
      <c r="AQ122">
        <f t="shared" si="104"/>
        <v>0</v>
      </c>
      <c r="AR122">
        <f t="shared" si="104"/>
        <v>0</v>
      </c>
      <c r="AS122">
        <f t="shared" si="104"/>
        <v>0</v>
      </c>
      <c r="AT122">
        <f t="shared" si="104"/>
        <v>0</v>
      </c>
      <c r="AU122">
        <f t="shared" si="104"/>
        <v>0</v>
      </c>
      <c r="AV122">
        <f t="shared" si="104"/>
        <v>0</v>
      </c>
      <c r="AW122">
        <f t="shared" si="104"/>
        <v>0</v>
      </c>
      <c r="AX122">
        <f t="shared" si="104"/>
        <v>0</v>
      </c>
      <c r="AY122">
        <f t="shared" si="104"/>
        <v>0</v>
      </c>
      <c r="AZ122">
        <f t="shared" si="104"/>
        <v>0</v>
      </c>
      <c r="BA122">
        <f t="shared" si="104"/>
        <v>0</v>
      </c>
    </row>
    <row r="123" spans="1:53" ht="15.75" customHeight="1">
      <c r="A123" s="350">
        <v>2015</v>
      </c>
      <c r="B123" s="350"/>
      <c r="C123" s="350"/>
      <c r="D123" s="350"/>
      <c r="E123" s="350"/>
      <c r="F123" s="350"/>
      <c r="G123" s="350"/>
      <c r="H123" s="350"/>
      <c r="I123" s="350"/>
      <c r="J123" s="350"/>
      <c r="K123" s="350"/>
      <c r="L123" s="350"/>
      <c r="M123" s="350"/>
      <c r="N123" s="350"/>
      <c r="O123" s="350"/>
      <c r="P123" s="350"/>
      <c r="Q123" s="350"/>
      <c r="R123" s="350"/>
      <c r="S123" s="350"/>
      <c r="T123" s="350"/>
      <c r="U123" s="350"/>
      <c r="V123">
        <v>2.2000000000000002</v>
      </c>
      <c r="W123">
        <f t="shared" si="31"/>
        <v>0</v>
      </c>
      <c r="X123">
        <f t="shared" ref="X123:BA123" si="105">IF(AND(X$49-$A123&gt;$V$34,SUM($W123:W123)&lt;&gt;$V123),$V123,0)</f>
        <v>0</v>
      </c>
      <c r="Y123">
        <f t="shared" si="105"/>
        <v>0</v>
      </c>
      <c r="Z123">
        <f t="shared" si="105"/>
        <v>0</v>
      </c>
      <c r="AA123">
        <f t="shared" si="105"/>
        <v>0</v>
      </c>
      <c r="AB123">
        <f t="shared" si="105"/>
        <v>0</v>
      </c>
      <c r="AC123">
        <f t="shared" si="105"/>
        <v>0</v>
      </c>
      <c r="AD123">
        <f t="shared" si="105"/>
        <v>0</v>
      </c>
      <c r="AE123">
        <f t="shared" si="105"/>
        <v>0</v>
      </c>
      <c r="AF123">
        <f t="shared" si="105"/>
        <v>0</v>
      </c>
      <c r="AG123">
        <f t="shared" si="105"/>
        <v>0</v>
      </c>
      <c r="AH123">
        <f t="shared" si="105"/>
        <v>0</v>
      </c>
      <c r="AI123">
        <f t="shared" si="105"/>
        <v>0</v>
      </c>
      <c r="AJ123">
        <f t="shared" si="105"/>
        <v>0</v>
      </c>
      <c r="AK123">
        <f t="shared" si="105"/>
        <v>0</v>
      </c>
      <c r="AL123">
        <f t="shared" si="105"/>
        <v>0</v>
      </c>
      <c r="AM123">
        <f t="shared" si="105"/>
        <v>0</v>
      </c>
      <c r="AN123">
        <f t="shared" si="105"/>
        <v>0</v>
      </c>
      <c r="AO123">
        <f t="shared" si="105"/>
        <v>0</v>
      </c>
      <c r="AP123">
        <f t="shared" si="105"/>
        <v>0</v>
      </c>
      <c r="AQ123">
        <f t="shared" si="105"/>
        <v>0</v>
      </c>
      <c r="AR123">
        <f t="shared" si="105"/>
        <v>0</v>
      </c>
      <c r="AS123">
        <f t="shared" si="105"/>
        <v>0</v>
      </c>
      <c r="AT123">
        <f t="shared" si="105"/>
        <v>0</v>
      </c>
      <c r="AU123">
        <f t="shared" si="105"/>
        <v>0</v>
      </c>
      <c r="AV123">
        <f t="shared" si="105"/>
        <v>0</v>
      </c>
      <c r="AW123">
        <f t="shared" si="105"/>
        <v>0</v>
      </c>
      <c r="AX123">
        <f t="shared" si="105"/>
        <v>0</v>
      </c>
      <c r="AY123">
        <f t="shared" si="105"/>
        <v>0</v>
      </c>
      <c r="AZ123">
        <f t="shared" si="105"/>
        <v>0</v>
      </c>
      <c r="BA123">
        <f t="shared" si="105"/>
        <v>0</v>
      </c>
    </row>
    <row r="124" spans="1:53" ht="15.75" customHeight="1"/>
    <row r="125" spans="1:53" ht="15.75" customHeight="1"/>
    <row r="126" spans="1:53" ht="15.75" customHeight="1">
      <c r="A126" s="349" t="s">
        <v>761</v>
      </c>
      <c r="B126" s="349"/>
      <c r="C126" s="349"/>
      <c r="D126" s="349"/>
      <c r="E126" s="349"/>
      <c r="F126" s="349"/>
      <c r="G126" s="349"/>
      <c r="H126" s="349"/>
      <c r="I126" s="349"/>
      <c r="J126" s="349"/>
      <c r="K126" s="349"/>
      <c r="L126" s="349"/>
      <c r="M126" s="349"/>
      <c r="N126" s="349"/>
      <c r="O126" s="349"/>
      <c r="P126" s="349"/>
      <c r="Q126" s="349"/>
      <c r="R126" s="349"/>
      <c r="S126" s="349"/>
      <c r="T126" s="349"/>
      <c r="U126" s="349"/>
    </row>
    <row r="127" spans="1:53" ht="18.75" customHeight="1">
      <c r="A127" s="349" t="s">
        <v>762</v>
      </c>
      <c r="B127" s="349"/>
      <c r="C127" s="349"/>
      <c r="D127" s="349"/>
      <c r="E127" s="349"/>
      <c r="F127" s="349"/>
      <c r="G127" s="349"/>
      <c r="H127" s="349"/>
      <c r="I127" s="349"/>
      <c r="J127" s="349"/>
      <c r="K127" s="349"/>
      <c r="L127" s="349"/>
      <c r="M127" s="349"/>
      <c r="N127" s="349"/>
      <c r="O127" s="349"/>
      <c r="P127" s="349"/>
      <c r="Q127" s="349"/>
      <c r="R127" s="349"/>
      <c r="S127" s="349"/>
      <c r="T127" s="349"/>
      <c r="U127" s="349"/>
    </row>
    <row r="128" spans="1:53" ht="15.75" customHeight="1">
      <c r="A128" s="349" t="s">
        <v>763</v>
      </c>
      <c r="B128" s="349"/>
      <c r="C128" s="349"/>
      <c r="D128" s="349"/>
      <c r="E128" s="349"/>
      <c r="F128" s="349"/>
      <c r="G128" s="349"/>
      <c r="H128" s="349"/>
      <c r="I128" s="349"/>
      <c r="J128" s="349"/>
      <c r="K128" s="349"/>
      <c r="L128" s="349"/>
      <c r="M128" s="349"/>
      <c r="N128" s="349"/>
      <c r="O128" s="349"/>
      <c r="P128" s="349"/>
      <c r="Q128" s="349"/>
      <c r="R128" s="349"/>
      <c r="S128" s="349"/>
      <c r="T128" s="349"/>
      <c r="U128" s="349"/>
    </row>
    <row r="129" spans="1:21" ht="15.75" customHeight="1">
      <c r="A129" s="349"/>
      <c r="B129" s="349"/>
      <c r="C129" s="349"/>
      <c r="D129" s="349"/>
      <c r="E129" s="349"/>
      <c r="F129" s="349"/>
      <c r="G129" s="349"/>
      <c r="H129" s="349"/>
      <c r="I129" s="349"/>
      <c r="J129" s="349"/>
      <c r="K129" s="349"/>
      <c r="L129" s="349"/>
      <c r="M129" s="349"/>
      <c r="N129" s="349"/>
      <c r="O129" s="349"/>
      <c r="P129" s="349"/>
      <c r="Q129" s="349"/>
      <c r="R129" s="349"/>
      <c r="S129" s="349"/>
      <c r="T129" s="349"/>
      <c r="U129" s="349"/>
    </row>
    <row r="130" spans="1:21" ht="15.75" customHeight="1"/>
    <row r="131" spans="1:21" ht="15.75" customHeight="1"/>
    <row r="132" spans="1:21" ht="15.75" customHeight="1"/>
    <row r="133" spans="1:21" ht="15.75" customHeight="1"/>
    <row r="134" spans="1:21" ht="15.75" customHeight="1"/>
    <row r="135" spans="1:21" ht="15.75" customHeight="1"/>
    <row r="136" spans="1:21" ht="15.75" customHeight="1"/>
    <row r="137" spans="1:21" ht="15.75" customHeight="1"/>
    <row r="138" spans="1:21" ht="15.75" customHeight="1"/>
    <row r="139" spans="1:21" ht="15.75" customHeight="1"/>
    <row r="140" spans="1:21" ht="15.75" customHeight="1"/>
    <row r="141" spans="1:21" ht="15.75" customHeight="1"/>
    <row r="142" spans="1:21" ht="15.75" customHeight="1"/>
    <row r="143" spans="1:21" ht="15.75" customHeight="1"/>
    <row r="144" spans="1:21"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1" width="11.4609375" customWidth="1"/>
    <col min="22" max="22" width="12.15234375" customWidth="1"/>
    <col min="23" max="23" width="12" customWidth="1"/>
    <col min="24" max="28" width="11.4609375" customWidth="1"/>
    <col min="29" max="52" width="12.84375" customWidth="1"/>
    <col min="53" max="57"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711</v>
      </c>
      <c r="B2" s="333">
        <f t="shared" ref="B2:U2" si="0">C2/(1+B53-B4)</f>
        <v>745652.23708372749</v>
      </c>
      <c r="C2" s="333">
        <f t="shared" si="0"/>
        <v>760565.28182540205</v>
      </c>
      <c r="D2" s="333">
        <f t="shared" si="0"/>
        <v>775776.58746191009</v>
      </c>
      <c r="E2" s="333">
        <f t="shared" si="0"/>
        <v>791292.11921114835</v>
      </c>
      <c r="F2" s="333">
        <f t="shared" si="0"/>
        <v>807117.96159537137</v>
      </c>
      <c r="G2" s="333">
        <f t="shared" si="0"/>
        <v>823260.32082727877</v>
      </c>
      <c r="H2" s="333">
        <f t="shared" si="0"/>
        <v>839725.52724382433</v>
      </c>
      <c r="I2" s="333">
        <f t="shared" si="0"/>
        <v>856520.03778870078</v>
      </c>
      <c r="J2" s="333">
        <f t="shared" si="0"/>
        <v>873650.43854447477</v>
      </c>
      <c r="K2" s="333">
        <f t="shared" si="0"/>
        <v>891123.44731536426</v>
      </c>
      <c r="L2" s="333">
        <f t="shared" si="0"/>
        <v>908945.91626167158</v>
      </c>
      <c r="M2" s="333">
        <f t="shared" si="0"/>
        <v>927124.83458690508</v>
      </c>
      <c r="N2" s="333">
        <f t="shared" si="0"/>
        <v>945667.33127864322</v>
      </c>
      <c r="O2" s="333">
        <f t="shared" si="0"/>
        <v>964580.67790421611</v>
      </c>
      <c r="P2" s="333">
        <f t="shared" si="0"/>
        <v>983872.29146230046</v>
      </c>
      <c r="Q2" s="333">
        <f t="shared" si="0"/>
        <v>1003549.7372915465</v>
      </c>
      <c r="R2" s="333">
        <f t="shared" si="0"/>
        <v>1023620.7320373775</v>
      </c>
      <c r="S2" s="333">
        <f t="shared" si="0"/>
        <v>1044093.1466781251</v>
      </c>
      <c r="T2" s="333">
        <f t="shared" si="0"/>
        <v>1064975.0096116876</v>
      </c>
      <c r="U2" s="333">
        <f t="shared" si="0"/>
        <v>1086274.5098039214</v>
      </c>
      <c r="V2" s="329">
        <v>1108000</v>
      </c>
      <c r="W2" s="105">
        <f t="shared" ref="W2:AZ2" si="1">V2*(1+V53-V4)</f>
        <v>1130160</v>
      </c>
      <c r="X2" s="105">
        <f t="shared" si="1"/>
        <v>1152763.2</v>
      </c>
      <c r="Y2" s="105">
        <f t="shared" si="1"/>
        <v>1175818.4639999999</v>
      </c>
      <c r="Z2" s="105">
        <f t="shared" si="1"/>
        <v>1199334.8332799999</v>
      </c>
      <c r="AA2" s="105">
        <f t="shared" si="1"/>
        <v>1223321.5299455998</v>
      </c>
      <c r="AB2" s="105">
        <f t="shared" si="1"/>
        <v>1247787.9605445119</v>
      </c>
      <c r="AC2" s="105">
        <f t="shared" si="1"/>
        <v>1272743.7197554021</v>
      </c>
      <c r="AD2" s="105">
        <f t="shared" si="1"/>
        <v>1298198.5941505102</v>
      </c>
      <c r="AE2" s="105">
        <f t="shared" si="1"/>
        <v>1324162.5660335203</v>
      </c>
      <c r="AF2" s="105">
        <f t="shared" si="1"/>
        <v>1350645.8173541906</v>
      </c>
      <c r="AG2" s="105">
        <f t="shared" si="1"/>
        <v>1377658.7337012745</v>
      </c>
      <c r="AH2" s="105">
        <f t="shared" si="1"/>
        <v>1405211.9083753</v>
      </c>
      <c r="AI2" s="105">
        <f t="shared" si="1"/>
        <v>1433316.1465428059</v>
      </c>
      <c r="AJ2" s="105">
        <f t="shared" si="1"/>
        <v>1461982.4694736621</v>
      </c>
      <c r="AK2" s="105">
        <f t="shared" si="1"/>
        <v>1491222.1188631353</v>
      </c>
      <c r="AL2" s="105">
        <f t="shared" si="1"/>
        <v>1521046.5612403981</v>
      </c>
      <c r="AM2" s="105">
        <f t="shared" si="1"/>
        <v>1551467.4924652062</v>
      </c>
      <c r="AN2" s="105">
        <f t="shared" si="1"/>
        <v>1582496.8423145104</v>
      </c>
      <c r="AO2" s="105">
        <f t="shared" si="1"/>
        <v>1614146.7791608006</v>
      </c>
      <c r="AP2" s="105">
        <f t="shared" si="1"/>
        <v>1646429.7147440168</v>
      </c>
      <c r="AQ2" s="105">
        <f t="shared" si="1"/>
        <v>1679358.309038897</v>
      </c>
      <c r="AR2" s="105">
        <f t="shared" si="1"/>
        <v>1712945.4752196751</v>
      </c>
      <c r="AS2" s="105">
        <f t="shared" si="1"/>
        <v>1747204.3847240687</v>
      </c>
      <c r="AT2" s="105">
        <f t="shared" si="1"/>
        <v>1782148.4724185502</v>
      </c>
      <c r="AU2" s="105">
        <f t="shared" si="1"/>
        <v>1817791.4418669213</v>
      </c>
      <c r="AV2" s="105">
        <f t="shared" si="1"/>
        <v>1854147.2707042596</v>
      </c>
      <c r="AW2" s="105">
        <f t="shared" si="1"/>
        <v>1891230.2161183448</v>
      </c>
      <c r="AX2" s="105">
        <f t="shared" si="1"/>
        <v>1929054.8204407117</v>
      </c>
      <c r="AY2" s="105">
        <f t="shared" si="1"/>
        <v>1967635.9168495259</v>
      </c>
      <c r="AZ2" s="105">
        <f t="shared" si="1"/>
        <v>2006988.6351865164</v>
      </c>
    </row>
    <row r="3" spans="1:52" ht="15" customHeight="1">
      <c r="A3" s="93" t="s">
        <v>712</v>
      </c>
      <c r="B3" s="333">
        <f t="shared" ref="B3:U3" si="2">C3/(1+B53-B4)</f>
        <v>457620.50651347922</v>
      </c>
      <c r="C3" s="333">
        <f t="shared" si="2"/>
        <v>466772.91664374882</v>
      </c>
      <c r="D3" s="333">
        <f t="shared" si="2"/>
        <v>476108.3749766238</v>
      </c>
      <c r="E3" s="333">
        <f t="shared" si="2"/>
        <v>485630.54247615626</v>
      </c>
      <c r="F3" s="333">
        <f t="shared" si="2"/>
        <v>495343.15332567942</v>
      </c>
      <c r="G3" s="333">
        <f t="shared" si="2"/>
        <v>505250.01639219304</v>
      </c>
      <c r="H3" s="333">
        <f t="shared" si="2"/>
        <v>515355.01672003692</v>
      </c>
      <c r="I3" s="333">
        <f t="shared" si="2"/>
        <v>525662.11705443764</v>
      </c>
      <c r="J3" s="333">
        <f t="shared" si="2"/>
        <v>536175.35939552635</v>
      </c>
      <c r="K3" s="333">
        <f t="shared" si="2"/>
        <v>546898.86658343684</v>
      </c>
      <c r="L3" s="333">
        <f t="shared" si="2"/>
        <v>557836.84391510556</v>
      </c>
      <c r="M3" s="333">
        <f t="shared" si="2"/>
        <v>568993.58079340763</v>
      </c>
      <c r="N3" s="333">
        <f t="shared" si="2"/>
        <v>580373.45240927581</v>
      </c>
      <c r="O3" s="333">
        <f t="shared" si="2"/>
        <v>591980.92145746131</v>
      </c>
      <c r="P3" s="333">
        <f t="shared" si="2"/>
        <v>603820.53988661058</v>
      </c>
      <c r="Q3" s="333">
        <f t="shared" si="2"/>
        <v>615896.95068434277</v>
      </c>
      <c r="R3" s="333">
        <f t="shared" si="2"/>
        <v>628214.88969802961</v>
      </c>
      <c r="S3" s="333">
        <f t="shared" si="2"/>
        <v>640779.18749199016</v>
      </c>
      <c r="T3" s="333">
        <f t="shared" si="2"/>
        <v>653594.77124182996</v>
      </c>
      <c r="U3" s="333">
        <f t="shared" si="2"/>
        <v>666666.66666666663</v>
      </c>
      <c r="V3" s="329">
        <v>680000</v>
      </c>
      <c r="W3" s="105">
        <f t="shared" ref="W3:AZ3" si="3">V3*(1+V53-V4)</f>
        <v>693600</v>
      </c>
      <c r="X3" s="105">
        <f t="shared" si="3"/>
        <v>707472</v>
      </c>
      <c r="Y3" s="105">
        <f t="shared" si="3"/>
        <v>721621.44000000006</v>
      </c>
      <c r="Z3" s="105">
        <f t="shared" si="3"/>
        <v>736053.86880000005</v>
      </c>
      <c r="AA3" s="105">
        <f t="shared" si="3"/>
        <v>750774.94617600006</v>
      </c>
      <c r="AB3" s="105">
        <f t="shared" si="3"/>
        <v>765790.44509952003</v>
      </c>
      <c r="AC3" s="105">
        <f t="shared" si="3"/>
        <v>781106.25400151045</v>
      </c>
      <c r="AD3" s="105">
        <f t="shared" si="3"/>
        <v>796728.37908154062</v>
      </c>
      <c r="AE3" s="105">
        <f t="shared" si="3"/>
        <v>812662.9466631714</v>
      </c>
      <c r="AF3" s="105">
        <f t="shared" si="3"/>
        <v>828916.20559643488</v>
      </c>
      <c r="AG3" s="105">
        <f t="shared" si="3"/>
        <v>845494.52970836358</v>
      </c>
      <c r="AH3" s="105">
        <f t="shared" si="3"/>
        <v>862404.42030253087</v>
      </c>
      <c r="AI3" s="105">
        <f t="shared" si="3"/>
        <v>879652.50870858144</v>
      </c>
      <c r="AJ3" s="105">
        <f t="shared" si="3"/>
        <v>897245.55888275313</v>
      </c>
      <c r="AK3" s="105">
        <f t="shared" si="3"/>
        <v>915190.47006040823</v>
      </c>
      <c r="AL3" s="105">
        <f t="shared" si="3"/>
        <v>933494.27946161642</v>
      </c>
      <c r="AM3" s="105">
        <f t="shared" si="3"/>
        <v>952164.16505084874</v>
      </c>
      <c r="AN3" s="105">
        <f t="shared" si="3"/>
        <v>971207.44835186575</v>
      </c>
      <c r="AO3" s="105">
        <f t="shared" si="3"/>
        <v>990631.59731890308</v>
      </c>
      <c r="AP3" s="105">
        <f t="shared" si="3"/>
        <v>1010444.2292652811</v>
      </c>
      <c r="AQ3" s="105">
        <f t="shared" si="3"/>
        <v>1030653.1138505867</v>
      </c>
      <c r="AR3" s="105">
        <f t="shared" si="3"/>
        <v>1051266.1761275984</v>
      </c>
      <c r="AS3" s="105">
        <f t="shared" si="3"/>
        <v>1072291.4996501503</v>
      </c>
      <c r="AT3" s="105">
        <f t="shared" si="3"/>
        <v>1093737.3296431534</v>
      </c>
      <c r="AU3" s="105">
        <f t="shared" si="3"/>
        <v>1115612.0762360163</v>
      </c>
      <c r="AV3" s="105">
        <f t="shared" si="3"/>
        <v>1137924.3177607367</v>
      </c>
      <c r="AW3" s="105">
        <f t="shared" si="3"/>
        <v>1160682.8041159515</v>
      </c>
      <c r="AX3" s="105">
        <f t="shared" si="3"/>
        <v>1183896.4601982706</v>
      </c>
      <c r="AY3" s="105">
        <f t="shared" si="3"/>
        <v>1207574.3894022361</v>
      </c>
      <c r="AZ3" s="105">
        <f t="shared" si="3"/>
        <v>1231725.8771902809</v>
      </c>
    </row>
    <row r="4" spans="1:52" ht="15" customHeight="1">
      <c r="A4" s="93" t="s">
        <v>72</v>
      </c>
      <c r="B4" s="330">
        <f t="shared" ref="B4:U4" si="4">C4</f>
        <v>0</v>
      </c>
      <c r="C4" s="330">
        <f t="shared" si="4"/>
        <v>0</v>
      </c>
      <c r="D4" s="330">
        <f t="shared" si="4"/>
        <v>0</v>
      </c>
      <c r="E4" s="330">
        <f t="shared" si="4"/>
        <v>0</v>
      </c>
      <c r="F4" s="330">
        <f t="shared" si="4"/>
        <v>0</v>
      </c>
      <c r="G4" s="330">
        <f t="shared" si="4"/>
        <v>0</v>
      </c>
      <c r="H4" s="330">
        <f t="shared" si="4"/>
        <v>0</v>
      </c>
      <c r="I4" s="330">
        <f t="shared" si="4"/>
        <v>0</v>
      </c>
      <c r="J4" s="330">
        <f t="shared" si="4"/>
        <v>0</v>
      </c>
      <c r="K4" s="330">
        <f t="shared" si="4"/>
        <v>0</v>
      </c>
      <c r="L4" s="330">
        <f t="shared" si="4"/>
        <v>0</v>
      </c>
      <c r="M4" s="330">
        <f t="shared" si="4"/>
        <v>0</v>
      </c>
      <c r="N4" s="330">
        <f t="shared" si="4"/>
        <v>0</v>
      </c>
      <c r="O4" s="330">
        <f t="shared" si="4"/>
        <v>0</v>
      </c>
      <c r="P4" s="330">
        <f t="shared" si="4"/>
        <v>0</v>
      </c>
      <c r="Q4" s="330">
        <f t="shared" si="4"/>
        <v>0</v>
      </c>
      <c r="R4" s="330">
        <f t="shared" si="4"/>
        <v>0</v>
      </c>
      <c r="S4" s="330">
        <f t="shared" si="4"/>
        <v>0</v>
      </c>
      <c r="T4" s="330">
        <f t="shared" si="4"/>
        <v>0</v>
      </c>
      <c r="U4" s="330">
        <f t="shared" si="4"/>
        <v>0</v>
      </c>
      <c r="V4" s="279">
        <v>0</v>
      </c>
      <c r="W4" s="247">
        <f t="shared" ref="W4:AZ4" si="5">V4</f>
        <v>0</v>
      </c>
      <c r="X4" s="247">
        <f t="shared" si="5"/>
        <v>0</v>
      </c>
      <c r="Y4" s="247">
        <f t="shared" si="5"/>
        <v>0</v>
      </c>
      <c r="Z4" s="247">
        <f t="shared" si="5"/>
        <v>0</v>
      </c>
      <c r="AA4" s="247">
        <f t="shared" si="5"/>
        <v>0</v>
      </c>
      <c r="AB4" s="247">
        <f t="shared" si="5"/>
        <v>0</v>
      </c>
      <c r="AC4" s="247">
        <f t="shared" si="5"/>
        <v>0</v>
      </c>
      <c r="AD4" s="247">
        <f t="shared" si="5"/>
        <v>0</v>
      </c>
      <c r="AE4" s="247">
        <f t="shared" si="5"/>
        <v>0</v>
      </c>
      <c r="AF4" s="247">
        <f t="shared" si="5"/>
        <v>0</v>
      </c>
      <c r="AG4" s="247">
        <f t="shared" si="5"/>
        <v>0</v>
      </c>
      <c r="AH4" s="247">
        <f t="shared" si="5"/>
        <v>0</v>
      </c>
      <c r="AI4" s="247">
        <f t="shared" si="5"/>
        <v>0</v>
      </c>
      <c r="AJ4" s="247">
        <f t="shared" si="5"/>
        <v>0</v>
      </c>
      <c r="AK4" s="247">
        <f t="shared" si="5"/>
        <v>0</v>
      </c>
      <c r="AL4" s="247">
        <f t="shared" si="5"/>
        <v>0</v>
      </c>
      <c r="AM4" s="247">
        <f t="shared" si="5"/>
        <v>0</v>
      </c>
      <c r="AN4" s="247">
        <f t="shared" si="5"/>
        <v>0</v>
      </c>
      <c r="AO4" s="247">
        <f t="shared" si="5"/>
        <v>0</v>
      </c>
      <c r="AP4" s="247">
        <f t="shared" si="5"/>
        <v>0</v>
      </c>
      <c r="AQ4" s="247">
        <f t="shared" si="5"/>
        <v>0</v>
      </c>
      <c r="AR4" s="247">
        <f t="shared" si="5"/>
        <v>0</v>
      </c>
      <c r="AS4" s="247">
        <f t="shared" si="5"/>
        <v>0</v>
      </c>
      <c r="AT4" s="247">
        <f t="shared" si="5"/>
        <v>0</v>
      </c>
      <c r="AU4" s="247">
        <f t="shared" si="5"/>
        <v>0</v>
      </c>
      <c r="AV4" s="247">
        <f t="shared" si="5"/>
        <v>0</v>
      </c>
      <c r="AW4" s="247">
        <f t="shared" si="5"/>
        <v>0</v>
      </c>
      <c r="AX4" s="247">
        <f t="shared" si="5"/>
        <v>0</v>
      </c>
      <c r="AY4" s="247">
        <f t="shared" si="5"/>
        <v>0</v>
      </c>
      <c r="AZ4" s="247">
        <f t="shared" si="5"/>
        <v>0</v>
      </c>
    </row>
    <row r="5" spans="1:52" ht="15" customHeight="1">
      <c r="A5" s="93" t="s">
        <v>74</v>
      </c>
      <c r="B5" s="93"/>
      <c r="C5" s="93"/>
      <c r="D5" s="93"/>
      <c r="E5" s="93"/>
      <c r="F5" s="93"/>
      <c r="G5" s="93"/>
      <c r="H5" s="93"/>
      <c r="I5" s="93"/>
      <c r="J5" s="93"/>
      <c r="K5" s="93"/>
      <c r="L5" s="93"/>
      <c r="M5" s="93"/>
      <c r="N5" s="93"/>
      <c r="O5" s="93"/>
      <c r="P5" s="93"/>
      <c r="Q5" s="93"/>
      <c r="R5" s="93"/>
      <c r="S5" s="93"/>
      <c r="T5" s="93"/>
      <c r="U5" s="93"/>
      <c r="V5" s="245">
        <v>0.65</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76</v>
      </c>
      <c r="B6" s="93"/>
      <c r="C6" s="93"/>
      <c r="D6" s="93"/>
      <c r="E6" s="93"/>
      <c r="F6" s="93"/>
      <c r="G6" s="93"/>
      <c r="H6" s="93"/>
      <c r="I6" s="93"/>
      <c r="J6" s="93"/>
      <c r="K6" s="93"/>
      <c r="L6" s="93"/>
      <c r="M6" s="93"/>
      <c r="N6" s="93"/>
      <c r="O6" s="93"/>
      <c r="P6" s="93"/>
      <c r="Q6" s="93"/>
      <c r="R6" s="93"/>
      <c r="S6" s="93"/>
      <c r="T6" s="93"/>
      <c r="U6" s="93"/>
      <c r="V6" s="245">
        <f>1-V5</f>
        <v>0.35</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78</v>
      </c>
      <c r="B7" s="93"/>
      <c r="C7" s="93"/>
      <c r="D7" s="93"/>
      <c r="E7" s="93"/>
      <c r="F7" s="93"/>
      <c r="G7" s="93"/>
      <c r="H7" s="93"/>
      <c r="I7" s="93"/>
      <c r="J7" s="93"/>
      <c r="K7" s="93"/>
      <c r="L7" s="93"/>
      <c r="M7" s="93"/>
      <c r="N7" s="93"/>
      <c r="O7" s="93"/>
      <c r="P7" s="93"/>
      <c r="Q7" s="93"/>
      <c r="R7" s="93"/>
      <c r="S7" s="93"/>
      <c r="T7" s="93"/>
      <c r="U7" s="93"/>
      <c r="V7" s="245">
        <v>7.4999999999999997E-2</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80</v>
      </c>
      <c r="B8" s="93"/>
      <c r="C8" s="93"/>
      <c r="D8" s="93"/>
      <c r="E8" s="93"/>
      <c r="F8" s="93"/>
      <c r="G8" s="93"/>
      <c r="H8" s="93"/>
      <c r="I8" s="93"/>
      <c r="J8" s="93"/>
      <c r="K8" s="93"/>
      <c r="L8" s="93"/>
      <c r="M8" s="93"/>
      <c r="N8" s="93"/>
      <c r="O8" s="93"/>
      <c r="P8" s="93"/>
      <c r="Q8" s="93"/>
      <c r="R8" s="93"/>
      <c r="S8" s="93"/>
      <c r="T8" s="93"/>
      <c r="U8" s="93"/>
      <c r="V8" s="245">
        <v>0.09</v>
      </c>
      <c r="W8" s="247"/>
      <c r="X8" s="247"/>
      <c r="Y8" s="247"/>
      <c r="Z8" s="247"/>
      <c r="AA8" s="247"/>
      <c r="AB8" s="247"/>
      <c r="AC8" s="247"/>
      <c r="AD8" s="247"/>
      <c r="AE8" s="247"/>
      <c r="AF8" s="247"/>
      <c r="AG8" s="247"/>
      <c r="AH8" s="247"/>
      <c r="AI8" s="247"/>
      <c r="AJ8" s="247"/>
      <c r="AK8" s="247"/>
      <c r="AL8" s="247"/>
      <c r="AM8" s="247"/>
      <c r="AN8" s="247"/>
      <c r="AO8" s="247"/>
      <c r="AP8" s="247"/>
      <c r="AQ8" s="247"/>
      <c r="AR8" s="247"/>
      <c r="AS8" s="247"/>
      <c r="AT8" s="247"/>
      <c r="AU8" s="247"/>
      <c r="AV8" s="247"/>
      <c r="AW8" s="247"/>
      <c r="AX8" s="247"/>
      <c r="AY8" s="247"/>
      <c r="AZ8" s="247"/>
    </row>
    <row r="9" spans="1:52" ht="15" customHeight="1">
      <c r="A9" s="93" t="s">
        <v>82</v>
      </c>
      <c r="B9" s="93"/>
      <c r="C9" s="93"/>
      <c r="D9" s="93"/>
      <c r="E9" s="93"/>
      <c r="F9" s="93"/>
      <c r="G9" s="93"/>
      <c r="H9" s="93"/>
      <c r="I9" s="93"/>
      <c r="J9" s="93"/>
      <c r="K9" s="93"/>
      <c r="L9" s="93"/>
      <c r="M9" s="93"/>
      <c r="N9" s="93"/>
      <c r="O9" s="93"/>
      <c r="P9" s="93"/>
      <c r="Q9" s="93"/>
      <c r="R9" s="93"/>
      <c r="S9" s="93"/>
      <c r="T9" s="93"/>
      <c r="U9" s="93"/>
      <c r="V9" s="245">
        <f>V5*V7+V6*V8</f>
        <v>8.0250000000000002E-2</v>
      </c>
      <c r="W9" s="250"/>
      <c r="X9" s="250"/>
      <c r="Y9" s="250"/>
      <c r="Z9" s="250"/>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row>
    <row r="10" spans="1:52" ht="15" customHeight="1">
      <c r="A10" s="93" t="s">
        <v>84</v>
      </c>
      <c r="B10" s="93"/>
      <c r="C10" s="93"/>
      <c r="D10" s="93"/>
      <c r="E10" s="93"/>
      <c r="F10" s="93"/>
      <c r="G10" s="93"/>
      <c r="H10" s="93"/>
      <c r="I10" s="93"/>
      <c r="J10" s="93"/>
      <c r="K10" s="93"/>
      <c r="L10" s="93"/>
      <c r="M10" s="93"/>
      <c r="N10" s="93"/>
      <c r="O10" s="93"/>
      <c r="P10" s="93"/>
      <c r="Q10" s="93"/>
      <c r="R10" s="93"/>
      <c r="S10" s="93"/>
      <c r="T10" s="93"/>
      <c r="U10" s="93"/>
      <c r="V10" s="251">
        <v>10</v>
      </c>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row>
    <row r="11" spans="1:52" ht="15" customHeight="1">
      <c r="A11" s="93" t="s">
        <v>715</v>
      </c>
      <c r="B11" s="93"/>
      <c r="C11" s="93"/>
      <c r="D11" s="93"/>
      <c r="E11" s="93"/>
      <c r="F11" s="93"/>
      <c r="G11" s="93"/>
      <c r="H11" s="93"/>
      <c r="I11" s="93"/>
      <c r="J11" s="93"/>
      <c r="K11" s="93"/>
      <c r="L11" s="93"/>
      <c r="M11" s="93"/>
      <c r="N11" s="93"/>
      <c r="O11" s="93"/>
      <c r="P11" s="93"/>
      <c r="Q11" s="93"/>
      <c r="R11" s="93"/>
      <c r="S11" s="93"/>
      <c r="T11" s="93"/>
      <c r="U11" s="93"/>
      <c r="V11" s="335">
        <v>0.05</v>
      </c>
      <c r="W11" s="331">
        <v>9.5000000000000001E-2</v>
      </c>
      <c r="X11" s="331">
        <v>8.5500000000000007E-2</v>
      </c>
      <c r="Y11" s="331">
        <v>7.6999999999999999E-2</v>
      </c>
      <c r="Z11" s="331">
        <v>6.93E-2</v>
      </c>
      <c r="AA11" s="331">
        <v>6.2300000000000001E-2</v>
      </c>
      <c r="AB11" s="331">
        <v>5.8999999999999997E-2</v>
      </c>
      <c r="AC11" s="331">
        <v>5.8999999999999997E-2</v>
      </c>
      <c r="AD11" s="331">
        <v>5.91E-2</v>
      </c>
      <c r="AE11" s="331">
        <v>5.8999999999999997E-2</v>
      </c>
      <c r="AF11" s="331">
        <v>5.91E-2</v>
      </c>
      <c r="AG11" s="331">
        <v>5.8999999999999997E-2</v>
      </c>
      <c r="AH11" s="331">
        <v>5.91E-2</v>
      </c>
      <c r="AI11" s="331">
        <v>5.8999999999999997E-2</v>
      </c>
      <c r="AJ11" s="331">
        <v>5.91E-2</v>
      </c>
      <c r="AK11" s="331">
        <v>2.9499999999999998E-2</v>
      </c>
      <c r="AL11" s="331"/>
      <c r="AM11" s="331"/>
      <c r="AN11" s="331"/>
      <c r="AO11" s="331"/>
      <c r="AP11" s="331"/>
      <c r="AQ11" s="331"/>
      <c r="AR11" s="331"/>
      <c r="AS11" s="331"/>
      <c r="AT11" s="331"/>
      <c r="AU11" s="331"/>
      <c r="AV11" s="331"/>
      <c r="AW11" s="331"/>
      <c r="AX11" s="331"/>
      <c r="AY11" s="331"/>
      <c r="AZ11" s="331"/>
    </row>
    <row r="12" spans="1:52" ht="15" customHeight="1">
      <c r="A12" s="93" t="s">
        <v>88</v>
      </c>
      <c r="B12" s="93"/>
      <c r="C12" s="93"/>
      <c r="D12" s="93"/>
      <c r="E12" s="93"/>
      <c r="F12" s="93"/>
      <c r="G12" s="93"/>
      <c r="H12" s="93"/>
      <c r="I12" s="93"/>
      <c r="J12" s="93"/>
      <c r="K12" s="93"/>
      <c r="L12" s="93"/>
      <c r="M12" s="93"/>
      <c r="N12" s="93"/>
      <c r="O12" s="93"/>
      <c r="P12" s="93"/>
      <c r="Q12" s="93"/>
      <c r="R12" s="93"/>
      <c r="S12" s="93"/>
      <c r="T12" s="93"/>
      <c r="U12" s="93"/>
      <c r="V12" s="251">
        <f>MAX(V59:V124)+MAX(V128:V207)</f>
        <v>58639.699999999983</v>
      </c>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row>
    <row r="13" spans="1:52" ht="15" customHeight="1">
      <c r="A13" s="93" t="s">
        <v>90</v>
      </c>
      <c r="B13" s="93"/>
      <c r="C13" s="93"/>
      <c r="D13" s="93"/>
      <c r="E13" s="93"/>
      <c r="F13" s="93"/>
      <c r="G13" s="93"/>
      <c r="H13" s="93"/>
      <c r="I13" s="93"/>
      <c r="J13" s="93"/>
      <c r="K13" s="93"/>
      <c r="L13" s="93"/>
      <c r="M13" s="93"/>
      <c r="N13" s="93"/>
      <c r="O13" s="93"/>
      <c r="P13" s="93"/>
      <c r="Q13" s="93"/>
      <c r="R13" s="93"/>
      <c r="S13" s="93"/>
      <c r="T13" s="93"/>
      <c r="U13" s="93"/>
      <c r="V13" s="332">
        <v>3</v>
      </c>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row>
    <row r="14" spans="1:52" ht="15" customHeight="1">
      <c r="A14" s="93" t="s">
        <v>92</v>
      </c>
      <c r="B14" s="93"/>
      <c r="C14" s="93"/>
      <c r="D14" s="93"/>
      <c r="E14" s="93"/>
      <c r="F14" s="93"/>
      <c r="G14" s="93"/>
      <c r="H14" s="93"/>
      <c r="I14" s="93"/>
      <c r="J14" s="93"/>
      <c r="K14" s="93"/>
      <c r="L14" s="93"/>
      <c r="M14" s="93"/>
      <c r="N14" s="93"/>
      <c r="O14" s="93"/>
      <c r="P14" s="93"/>
      <c r="Q14" s="93"/>
      <c r="R14" s="93"/>
      <c r="S14" s="93"/>
      <c r="T14" s="93"/>
      <c r="U14" s="93"/>
      <c r="V14" s="254">
        <f>1/V13</f>
        <v>0.33333333333333331</v>
      </c>
      <c r="W14" s="250"/>
      <c r="X14" s="250"/>
      <c r="Y14" s="250"/>
      <c r="Z14" s="250"/>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row>
    <row r="15" spans="1:52" ht="15" customHeight="1">
      <c r="A15" s="93" t="s">
        <v>716</v>
      </c>
      <c r="B15" s="336">
        <v>0.29806500000000002</v>
      </c>
      <c r="C15" s="336">
        <v>0.330231</v>
      </c>
      <c r="D15" s="336">
        <v>0.40625099999999997</v>
      </c>
      <c r="E15" s="336">
        <v>0.47214200000000001</v>
      </c>
      <c r="F15" s="336">
        <v>0.497755</v>
      </c>
      <c r="G15" s="336">
        <v>0.50999700000000003</v>
      </c>
      <c r="H15" s="336">
        <v>0.51875099999999996</v>
      </c>
      <c r="I15" s="336">
        <v>0.52214099999999997</v>
      </c>
      <c r="J15" s="336">
        <v>0.523621</v>
      </c>
      <c r="K15" s="336">
        <v>0.52817000000000003</v>
      </c>
      <c r="L15" s="336">
        <v>0.53062399999999998</v>
      </c>
      <c r="M15" s="336">
        <v>0.53770499999999999</v>
      </c>
      <c r="N15" s="336">
        <v>0.542049</v>
      </c>
      <c r="O15" s="336">
        <v>0.54098800000000002</v>
      </c>
      <c r="P15" s="336">
        <v>0.54862200000000005</v>
      </c>
      <c r="Q15" s="336">
        <v>0.55147000000000002</v>
      </c>
      <c r="R15" s="336">
        <v>0.55188099999999995</v>
      </c>
      <c r="S15" s="336">
        <v>0.55847599999999997</v>
      </c>
      <c r="T15" s="336">
        <v>0.57225999999999999</v>
      </c>
      <c r="U15" s="336">
        <v>0.57359400000000005</v>
      </c>
      <c r="V15" s="281">
        <v>0.56999999999999995</v>
      </c>
      <c r="W15" s="250">
        <f t="shared" ref="W15:AY15" si="6">$V$15+(W$1-$V$1)/($AZ$1-$V$1)*($AZ$15-$V$15)</f>
        <v>0.55100000000001137</v>
      </c>
      <c r="X15" s="250">
        <f t="shared" si="6"/>
        <v>0.53200000000002279</v>
      </c>
      <c r="Y15" s="250">
        <f t="shared" si="6"/>
        <v>0.5130000000000341</v>
      </c>
      <c r="Z15" s="250">
        <f t="shared" si="6"/>
        <v>0.49400000000004557</v>
      </c>
      <c r="AA15" s="250">
        <f t="shared" si="6"/>
        <v>0.47500000000005693</v>
      </c>
      <c r="AB15" s="250">
        <f t="shared" si="6"/>
        <v>0.45600000000006835</v>
      </c>
      <c r="AC15" s="250">
        <f t="shared" si="6"/>
        <v>0.43700000000007977</v>
      </c>
      <c r="AD15" s="250">
        <f t="shared" si="6"/>
        <v>0.41800000000009119</v>
      </c>
      <c r="AE15" s="250">
        <f t="shared" si="6"/>
        <v>0.39900000000010255</v>
      </c>
      <c r="AF15" s="250">
        <f t="shared" si="6"/>
        <v>0.38000000000011397</v>
      </c>
      <c r="AG15" s="250">
        <f t="shared" si="6"/>
        <v>0.36100000000012533</v>
      </c>
      <c r="AH15" s="250">
        <f t="shared" si="6"/>
        <v>0.34200000000013675</v>
      </c>
      <c r="AI15" s="250">
        <f t="shared" si="6"/>
        <v>0.32300000000014817</v>
      </c>
      <c r="AJ15" s="250">
        <f t="shared" si="6"/>
        <v>0.30400000000015953</v>
      </c>
      <c r="AK15" s="250">
        <f t="shared" si="6"/>
        <v>0.28500000000017095</v>
      </c>
      <c r="AL15" s="250">
        <f t="shared" si="6"/>
        <v>0.26600000000018237</v>
      </c>
      <c r="AM15" s="250">
        <f t="shared" si="6"/>
        <v>0.24700000000019373</v>
      </c>
      <c r="AN15" s="250">
        <f t="shared" si="6"/>
        <v>0.22800000000020515</v>
      </c>
      <c r="AO15" s="250">
        <f t="shared" si="6"/>
        <v>0.20900000000021657</v>
      </c>
      <c r="AP15" s="250">
        <f t="shared" si="6"/>
        <v>0.19000000000022799</v>
      </c>
      <c r="AQ15" s="250">
        <f t="shared" si="6"/>
        <v>0.17100000000023935</v>
      </c>
      <c r="AR15" s="250">
        <f t="shared" si="6"/>
        <v>0.15200000000025077</v>
      </c>
      <c r="AS15" s="250">
        <f t="shared" si="6"/>
        <v>0.13300000000026213</v>
      </c>
      <c r="AT15" s="250">
        <f t="shared" si="6"/>
        <v>0.11400000000027355</v>
      </c>
      <c r="AU15" s="250">
        <f t="shared" si="6"/>
        <v>9.5000000000284912E-2</v>
      </c>
      <c r="AV15" s="250">
        <f t="shared" si="6"/>
        <v>7.6000000000296331E-2</v>
      </c>
      <c r="AW15" s="250">
        <f t="shared" si="6"/>
        <v>5.7000000000307693E-2</v>
      </c>
      <c r="AX15" s="250">
        <f t="shared" si="6"/>
        <v>3.8000000000319112E-2</v>
      </c>
      <c r="AY15" s="250">
        <f t="shared" si="6"/>
        <v>1.900000000033053E-2</v>
      </c>
      <c r="AZ15" s="337">
        <f>Inputs!H5/(Inputs!H5+Inputs!H6)</f>
        <v>3.419586524417761E-13</v>
      </c>
    </row>
    <row r="16" spans="1:52" ht="15" customHeight="1">
      <c r="A16" s="93" t="s">
        <v>719</v>
      </c>
      <c r="B16" s="339">
        <f t="shared" ref="B16:U16" si="7">1-B15</f>
        <v>0.70193499999999998</v>
      </c>
      <c r="C16" s="339">
        <f t="shared" si="7"/>
        <v>0.66976900000000006</v>
      </c>
      <c r="D16" s="339">
        <f t="shared" si="7"/>
        <v>0.59374900000000008</v>
      </c>
      <c r="E16" s="339">
        <f t="shared" si="7"/>
        <v>0.52785799999999994</v>
      </c>
      <c r="F16" s="339">
        <f t="shared" si="7"/>
        <v>0.50224500000000005</v>
      </c>
      <c r="G16" s="339">
        <f t="shared" si="7"/>
        <v>0.49000299999999997</v>
      </c>
      <c r="H16" s="339">
        <f t="shared" si="7"/>
        <v>0.48124900000000004</v>
      </c>
      <c r="I16" s="339">
        <f t="shared" si="7"/>
        <v>0.47785900000000003</v>
      </c>
      <c r="J16" s="339">
        <f t="shared" si="7"/>
        <v>0.476379</v>
      </c>
      <c r="K16" s="339">
        <f t="shared" si="7"/>
        <v>0.47182999999999997</v>
      </c>
      <c r="L16" s="339">
        <f t="shared" si="7"/>
        <v>0.46937600000000002</v>
      </c>
      <c r="M16" s="339">
        <f t="shared" si="7"/>
        <v>0.46229500000000001</v>
      </c>
      <c r="N16" s="339">
        <f t="shared" si="7"/>
        <v>0.457951</v>
      </c>
      <c r="O16" s="339">
        <f t="shared" si="7"/>
        <v>0.45901199999999998</v>
      </c>
      <c r="P16" s="339">
        <f t="shared" si="7"/>
        <v>0.45137799999999995</v>
      </c>
      <c r="Q16" s="339">
        <f t="shared" si="7"/>
        <v>0.44852999999999998</v>
      </c>
      <c r="R16" s="339">
        <f t="shared" si="7"/>
        <v>0.44811900000000005</v>
      </c>
      <c r="S16" s="339">
        <f t="shared" si="7"/>
        <v>0.44152400000000003</v>
      </c>
      <c r="T16" s="339">
        <f t="shared" si="7"/>
        <v>0.42774000000000001</v>
      </c>
      <c r="U16" s="339">
        <f t="shared" si="7"/>
        <v>0.42640599999999995</v>
      </c>
      <c r="V16" s="281">
        <f>1-V15</f>
        <v>0.43000000000000005</v>
      </c>
      <c r="W16" s="250">
        <f t="shared" ref="W16:AY16" si="8">$V$16+(W$1-$V$1)/($AZ$1-$V$1)*($AZ$16-$V$16)</f>
        <v>0.44899999999998863</v>
      </c>
      <c r="X16" s="250">
        <f t="shared" si="8"/>
        <v>0.46799999999997727</v>
      </c>
      <c r="Y16" s="250">
        <f t="shared" si="8"/>
        <v>0.48699999999996585</v>
      </c>
      <c r="Z16" s="250">
        <f t="shared" si="8"/>
        <v>0.50599999999995449</v>
      </c>
      <c r="AA16" s="250">
        <f t="shared" si="8"/>
        <v>0.52499999999994307</v>
      </c>
      <c r="AB16" s="250">
        <f t="shared" si="8"/>
        <v>0.54399999999993165</v>
      </c>
      <c r="AC16" s="250">
        <f t="shared" si="8"/>
        <v>0.56299999999992023</v>
      </c>
      <c r="AD16" s="250">
        <f t="shared" si="8"/>
        <v>0.58199999999990881</v>
      </c>
      <c r="AE16" s="250">
        <f t="shared" si="8"/>
        <v>0.60099999999989739</v>
      </c>
      <c r="AF16" s="250">
        <f t="shared" si="8"/>
        <v>0.61999999999988598</v>
      </c>
      <c r="AG16" s="250">
        <f t="shared" si="8"/>
        <v>0.63899999999987467</v>
      </c>
      <c r="AH16" s="250">
        <f t="shared" si="8"/>
        <v>0.65799999999986325</v>
      </c>
      <c r="AI16" s="250">
        <f t="shared" si="8"/>
        <v>0.67699999999985183</v>
      </c>
      <c r="AJ16" s="250">
        <f t="shared" si="8"/>
        <v>0.69599999999984052</v>
      </c>
      <c r="AK16" s="250">
        <f t="shared" si="8"/>
        <v>0.71499999999982911</v>
      </c>
      <c r="AL16" s="250">
        <f t="shared" si="8"/>
        <v>0.73399999999981769</v>
      </c>
      <c r="AM16" s="250">
        <f t="shared" si="8"/>
        <v>0.75299999999980627</v>
      </c>
      <c r="AN16" s="250">
        <f t="shared" si="8"/>
        <v>0.77199999999979485</v>
      </c>
      <c r="AO16" s="250">
        <f t="shared" si="8"/>
        <v>0.79099999999978343</v>
      </c>
      <c r="AP16" s="250">
        <f t="shared" si="8"/>
        <v>0.80999999999977201</v>
      </c>
      <c r="AQ16" s="250">
        <f t="shared" si="8"/>
        <v>0.8289999999997606</v>
      </c>
      <c r="AR16" s="250">
        <f t="shared" si="8"/>
        <v>0.84799999999974918</v>
      </c>
      <c r="AS16" s="250">
        <f t="shared" si="8"/>
        <v>0.86699999999973787</v>
      </c>
      <c r="AT16" s="250">
        <f t="shared" si="8"/>
        <v>0.88599999999972645</v>
      </c>
      <c r="AU16" s="250">
        <f t="shared" si="8"/>
        <v>0.90499999999971514</v>
      </c>
      <c r="AV16" s="250">
        <f t="shared" si="8"/>
        <v>0.92399999999970372</v>
      </c>
      <c r="AW16" s="250">
        <f t="shared" si="8"/>
        <v>0.94299999999969231</v>
      </c>
      <c r="AX16" s="250">
        <f t="shared" si="8"/>
        <v>0.96199999999968089</v>
      </c>
      <c r="AY16" s="250">
        <f t="shared" si="8"/>
        <v>0.98099999999966947</v>
      </c>
      <c r="AZ16" s="337">
        <f>Inputs!H6/(Inputs!H5+Inputs!H6)</f>
        <v>0.99999999999965805</v>
      </c>
    </row>
    <row r="17" spans="1:57" ht="15" customHeight="1">
      <c r="A17" s="93" t="s">
        <v>723</v>
      </c>
      <c r="B17" s="93"/>
      <c r="C17" s="93"/>
      <c r="D17" s="93"/>
      <c r="E17" s="93"/>
      <c r="F17" s="93"/>
      <c r="G17" s="93"/>
      <c r="H17" s="93"/>
      <c r="I17" s="93"/>
      <c r="J17" s="93"/>
      <c r="K17" s="93"/>
      <c r="L17" s="93"/>
      <c r="M17" s="93"/>
      <c r="N17" s="93"/>
      <c r="O17" s="93"/>
      <c r="P17" s="93"/>
      <c r="Q17" s="93"/>
      <c r="R17" s="93"/>
      <c r="S17" s="93"/>
      <c r="T17" s="93"/>
      <c r="U17" s="93"/>
      <c r="V17" s="245"/>
      <c r="W17" s="250"/>
      <c r="X17" s="247"/>
      <c r="Y17" s="247"/>
      <c r="Z17" s="247"/>
      <c r="AA17" s="247"/>
      <c r="AB17" s="247"/>
      <c r="AC17" s="247"/>
      <c r="AD17" s="247"/>
      <c r="AE17" s="247"/>
      <c r="AF17" s="247"/>
      <c r="AG17" s="247"/>
      <c r="AH17" s="247"/>
      <c r="AI17" s="247"/>
      <c r="AJ17" s="247"/>
      <c r="AK17" s="247"/>
      <c r="AL17" s="247"/>
      <c r="AM17" s="247"/>
      <c r="AN17" s="247"/>
      <c r="AO17" s="247"/>
      <c r="AP17" s="247"/>
      <c r="AQ17" s="247"/>
      <c r="AR17" s="247"/>
      <c r="AS17" s="247"/>
      <c r="AT17" s="247"/>
      <c r="AU17" s="247"/>
      <c r="AV17" s="247"/>
      <c r="AW17" s="247"/>
      <c r="AX17" s="247"/>
      <c r="AY17" s="247"/>
      <c r="AZ17" s="247"/>
      <c r="BA17" s="247"/>
      <c r="BB17" s="247"/>
      <c r="BC17" s="247"/>
      <c r="BD17" s="247"/>
      <c r="BE17" s="247"/>
    </row>
    <row r="18" spans="1:57" ht="15" customHeight="1">
      <c r="A18" s="93" t="s">
        <v>724</v>
      </c>
      <c r="B18" s="102">
        <f t="shared" ref="B18:U18" si="9">C18/(1+B22)</f>
        <v>0.52049145369652727</v>
      </c>
      <c r="C18" s="102">
        <f t="shared" si="9"/>
        <v>0.52049145369652727</v>
      </c>
      <c r="D18" s="102">
        <f t="shared" si="9"/>
        <v>0.52049145369652727</v>
      </c>
      <c r="E18" s="102">
        <f t="shared" si="9"/>
        <v>0.52049145369652727</v>
      </c>
      <c r="F18" s="102">
        <f t="shared" si="9"/>
        <v>0.52049145369652727</v>
      </c>
      <c r="G18" s="102">
        <f t="shared" si="9"/>
        <v>0.52049145369652727</v>
      </c>
      <c r="H18" s="102">
        <f t="shared" si="9"/>
        <v>0.52049145369652727</v>
      </c>
      <c r="I18" s="102">
        <f t="shared" si="9"/>
        <v>0.52049145369652727</v>
      </c>
      <c r="J18" s="102">
        <f t="shared" si="9"/>
        <v>0.52049145369652727</v>
      </c>
      <c r="K18" s="102">
        <f t="shared" si="9"/>
        <v>0.52049145369652727</v>
      </c>
      <c r="L18" s="102">
        <f t="shared" si="9"/>
        <v>0.52049145369652727</v>
      </c>
      <c r="M18" s="102">
        <f t="shared" si="9"/>
        <v>0.52049145369652727</v>
      </c>
      <c r="N18" s="102">
        <f t="shared" si="9"/>
        <v>0.52049145369652727</v>
      </c>
      <c r="O18" s="102">
        <f t="shared" si="9"/>
        <v>0.52049145369652727</v>
      </c>
      <c r="P18" s="102">
        <f t="shared" si="9"/>
        <v>0.52049145369652727</v>
      </c>
      <c r="Q18" s="102">
        <f t="shared" si="9"/>
        <v>0.52049145369652727</v>
      </c>
      <c r="R18" s="102">
        <f t="shared" si="9"/>
        <v>0.52049145369652727</v>
      </c>
      <c r="S18" s="102">
        <f t="shared" si="9"/>
        <v>0.52049145369652727</v>
      </c>
      <c r="T18" s="102">
        <f t="shared" si="9"/>
        <v>0.52049145369652727</v>
      </c>
      <c r="U18" s="102">
        <f t="shared" si="9"/>
        <v>0.52049145369652727</v>
      </c>
      <c r="V18" s="335">
        <v>0.52049145369652727</v>
      </c>
      <c r="W18" s="250">
        <f t="shared" ref="W18:AY18" si="10">$V$18+(W$1-$V$1)/($AZ$1-$V$1)*($AZ$18-$V$18)</f>
        <v>0.51015627834740251</v>
      </c>
      <c r="X18" s="250">
        <f t="shared" si="10"/>
        <v>0.49982110299827764</v>
      </c>
      <c r="Y18" s="250">
        <f t="shared" si="10"/>
        <v>0.48948592764915289</v>
      </c>
      <c r="Z18" s="250">
        <f t="shared" si="10"/>
        <v>0.47915075230002807</v>
      </c>
      <c r="AA18" s="250">
        <f t="shared" si="10"/>
        <v>0.46881557695090326</v>
      </c>
      <c r="AB18" s="250">
        <f t="shared" si="10"/>
        <v>0.45848040160177844</v>
      </c>
      <c r="AC18" s="250">
        <f t="shared" si="10"/>
        <v>0.44814522625265363</v>
      </c>
      <c r="AD18" s="250">
        <f t="shared" si="10"/>
        <v>0.43781005090352881</v>
      </c>
      <c r="AE18" s="250">
        <f t="shared" si="10"/>
        <v>0.427474875554404</v>
      </c>
      <c r="AF18" s="250">
        <f t="shared" si="10"/>
        <v>0.41713970020527924</v>
      </c>
      <c r="AG18" s="250">
        <f t="shared" si="10"/>
        <v>0.40680452485615443</v>
      </c>
      <c r="AH18" s="250">
        <f t="shared" si="10"/>
        <v>0.39646934950702961</v>
      </c>
      <c r="AI18" s="250">
        <f t="shared" si="10"/>
        <v>0.3861341741579048</v>
      </c>
      <c r="AJ18" s="250">
        <f t="shared" si="10"/>
        <v>0.37579899880877998</v>
      </c>
      <c r="AK18" s="250">
        <f t="shared" si="10"/>
        <v>0.36546382345965522</v>
      </c>
      <c r="AL18" s="250">
        <f t="shared" si="10"/>
        <v>0.35512864811053035</v>
      </c>
      <c r="AM18" s="250">
        <f t="shared" si="10"/>
        <v>0.34479347276140559</v>
      </c>
      <c r="AN18" s="250">
        <f t="shared" si="10"/>
        <v>0.33445829741228078</v>
      </c>
      <c r="AO18" s="250">
        <f t="shared" si="10"/>
        <v>0.32412312206315597</v>
      </c>
      <c r="AP18" s="250">
        <f t="shared" si="10"/>
        <v>0.31378794671403121</v>
      </c>
      <c r="AQ18" s="250">
        <f t="shared" si="10"/>
        <v>0.30345277136490634</v>
      </c>
      <c r="AR18" s="250">
        <f t="shared" si="10"/>
        <v>0.29311759601578158</v>
      </c>
      <c r="AS18" s="250">
        <f t="shared" si="10"/>
        <v>0.28278242066665671</v>
      </c>
      <c r="AT18" s="250">
        <f t="shared" si="10"/>
        <v>0.27244724531753195</v>
      </c>
      <c r="AU18" s="250">
        <f t="shared" si="10"/>
        <v>0.26211206996840714</v>
      </c>
      <c r="AV18" s="250">
        <f t="shared" si="10"/>
        <v>0.25177689461928232</v>
      </c>
      <c r="AW18" s="250">
        <f t="shared" si="10"/>
        <v>0.24144171927015751</v>
      </c>
      <c r="AX18" s="250">
        <f t="shared" si="10"/>
        <v>0.23110654392103275</v>
      </c>
      <c r="AY18" s="250">
        <f t="shared" si="10"/>
        <v>0.22077136857190793</v>
      </c>
      <c r="AZ18" s="337">
        <f>Inputs!B24</f>
        <v>0.21043619322278312</v>
      </c>
    </row>
    <row r="19" spans="1:57" ht="15" customHeight="1">
      <c r="A19" s="93" t="s">
        <v>725</v>
      </c>
      <c r="B19" s="253">
        <f t="shared" ref="B19:U19" si="11">C19</f>
        <v>0.55000000000000004</v>
      </c>
      <c r="C19" s="253">
        <f t="shared" si="11"/>
        <v>0.55000000000000004</v>
      </c>
      <c r="D19" s="253">
        <f t="shared" si="11"/>
        <v>0.55000000000000004</v>
      </c>
      <c r="E19" s="253">
        <f t="shared" si="11"/>
        <v>0.55000000000000004</v>
      </c>
      <c r="F19" s="253">
        <f t="shared" si="11"/>
        <v>0.55000000000000004</v>
      </c>
      <c r="G19" s="253">
        <f t="shared" si="11"/>
        <v>0.55000000000000004</v>
      </c>
      <c r="H19" s="253">
        <f t="shared" si="11"/>
        <v>0.55000000000000004</v>
      </c>
      <c r="I19" s="253">
        <f t="shared" si="11"/>
        <v>0.55000000000000004</v>
      </c>
      <c r="J19" s="253">
        <f t="shared" si="11"/>
        <v>0.55000000000000004</v>
      </c>
      <c r="K19" s="253">
        <f t="shared" si="11"/>
        <v>0.55000000000000004</v>
      </c>
      <c r="L19" s="253">
        <f t="shared" si="11"/>
        <v>0.55000000000000004</v>
      </c>
      <c r="M19" s="253">
        <f t="shared" si="11"/>
        <v>0.55000000000000004</v>
      </c>
      <c r="N19" s="253">
        <f t="shared" si="11"/>
        <v>0.55000000000000004</v>
      </c>
      <c r="O19" s="253">
        <f t="shared" si="11"/>
        <v>0.55000000000000004</v>
      </c>
      <c r="P19" s="253">
        <f t="shared" si="11"/>
        <v>0.55000000000000004</v>
      </c>
      <c r="Q19" s="253">
        <f t="shared" si="11"/>
        <v>0.55000000000000004</v>
      </c>
      <c r="R19" s="253">
        <f t="shared" si="11"/>
        <v>0.55000000000000004</v>
      </c>
      <c r="S19" s="253">
        <f t="shared" si="11"/>
        <v>0.55000000000000004</v>
      </c>
      <c r="T19" s="253">
        <f t="shared" si="11"/>
        <v>0.55000000000000004</v>
      </c>
      <c r="U19" s="253">
        <f t="shared" si="11"/>
        <v>0.55000000000000004</v>
      </c>
      <c r="V19" s="281">
        <v>0.55000000000000004</v>
      </c>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row>
    <row r="20" spans="1:57" ht="15" customHeight="1">
      <c r="A20" s="93" t="s">
        <v>727</v>
      </c>
      <c r="B20" s="102">
        <f t="shared" ref="B20:U20" si="12">C20/(1+B22)</f>
        <v>0.09</v>
      </c>
      <c r="C20" s="102">
        <f t="shared" si="12"/>
        <v>0.09</v>
      </c>
      <c r="D20" s="102">
        <f t="shared" si="12"/>
        <v>0.09</v>
      </c>
      <c r="E20" s="102">
        <f t="shared" si="12"/>
        <v>0.09</v>
      </c>
      <c r="F20" s="102">
        <f t="shared" si="12"/>
        <v>0.09</v>
      </c>
      <c r="G20" s="102">
        <f t="shared" si="12"/>
        <v>0.09</v>
      </c>
      <c r="H20" s="102">
        <f t="shared" si="12"/>
        <v>0.09</v>
      </c>
      <c r="I20" s="102">
        <f t="shared" si="12"/>
        <v>0.09</v>
      </c>
      <c r="J20" s="102">
        <f t="shared" si="12"/>
        <v>0.09</v>
      </c>
      <c r="K20" s="102">
        <f t="shared" si="12"/>
        <v>0.09</v>
      </c>
      <c r="L20" s="102">
        <f t="shared" si="12"/>
        <v>0.09</v>
      </c>
      <c r="M20" s="102">
        <f t="shared" si="12"/>
        <v>0.09</v>
      </c>
      <c r="N20" s="102">
        <f t="shared" si="12"/>
        <v>0.09</v>
      </c>
      <c r="O20" s="102">
        <f t="shared" si="12"/>
        <v>0.09</v>
      </c>
      <c r="P20" s="102">
        <f t="shared" si="12"/>
        <v>0.09</v>
      </c>
      <c r="Q20" s="102">
        <f t="shared" si="12"/>
        <v>0.09</v>
      </c>
      <c r="R20" s="102">
        <f t="shared" si="12"/>
        <v>0.09</v>
      </c>
      <c r="S20" s="102">
        <f t="shared" si="12"/>
        <v>0.09</v>
      </c>
      <c r="T20" s="102">
        <f t="shared" si="12"/>
        <v>0.09</v>
      </c>
      <c r="U20" s="102">
        <f t="shared" si="12"/>
        <v>0.09</v>
      </c>
      <c r="V20" s="254">
        <v>0.09</v>
      </c>
      <c r="W20" s="250">
        <f t="shared" ref="W20:AY20" si="13">$V$20+(W$1-$V$1)/($AZ$1-$V$1)*($AZ$20-$V$20)</f>
        <v>8.7003805175035462E-2</v>
      </c>
      <c r="X20" s="250">
        <f t="shared" si="13"/>
        <v>8.4007610350070941E-2</v>
      </c>
      <c r="Y20" s="250">
        <f t="shared" si="13"/>
        <v>8.1011415525106406E-2</v>
      </c>
      <c r="Z20" s="250">
        <f t="shared" si="13"/>
        <v>7.8015220700141871E-2</v>
      </c>
      <c r="AA20" s="250">
        <f t="shared" si="13"/>
        <v>7.501902587517735E-2</v>
      </c>
      <c r="AB20" s="250">
        <f t="shared" si="13"/>
        <v>7.2022831050212816E-2</v>
      </c>
      <c r="AC20" s="250">
        <f t="shared" si="13"/>
        <v>6.9026636225248281E-2</v>
      </c>
      <c r="AD20" s="250">
        <f t="shared" si="13"/>
        <v>6.603044140028376E-2</v>
      </c>
      <c r="AE20" s="250">
        <f t="shared" si="13"/>
        <v>6.3034246575319225E-2</v>
      </c>
      <c r="AF20" s="250">
        <f t="shared" si="13"/>
        <v>6.0038051750354697E-2</v>
      </c>
      <c r="AG20" s="250">
        <f t="shared" si="13"/>
        <v>5.7041856925390169E-2</v>
      </c>
      <c r="AH20" s="250">
        <f t="shared" si="13"/>
        <v>5.4045662100425634E-2</v>
      </c>
      <c r="AI20" s="250">
        <f t="shared" si="13"/>
        <v>5.10494672754611E-2</v>
      </c>
      <c r="AJ20" s="250">
        <f t="shared" si="13"/>
        <v>4.8053272450496572E-2</v>
      </c>
      <c r="AK20" s="250">
        <f t="shared" si="13"/>
        <v>4.5057077625532044E-2</v>
      </c>
      <c r="AL20" s="250">
        <f t="shared" si="13"/>
        <v>4.2060882800567516E-2</v>
      </c>
      <c r="AM20" s="250">
        <f t="shared" si="13"/>
        <v>3.9064687975602988E-2</v>
      </c>
      <c r="AN20" s="250">
        <f t="shared" si="13"/>
        <v>3.6068493150638453E-2</v>
      </c>
      <c r="AO20" s="250">
        <f t="shared" si="13"/>
        <v>3.3072298325673925E-2</v>
      </c>
      <c r="AP20" s="250">
        <f t="shared" si="13"/>
        <v>3.0076103500709397E-2</v>
      </c>
      <c r="AQ20" s="250">
        <f t="shared" si="13"/>
        <v>2.7079908675744863E-2</v>
      </c>
      <c r="AR20" s="250">
        <f t="shared" si="13"/>
        <v>2.4083713850780342E-2</v>
      </c>
      <c r="AS20" s="250">
        <f t="shared" si="13"/>
        <v>2.1087519025815793E-2</v>
      </c>
      <c r="AT20" s="250">
        <f t="shared" si="13"/>
        <v>1.8091324200851272E-2</v>
      </c>
      <c r="AU20" s="250">
        <f t="shared" si="13"/>
        <v>1.5095129375886737E-2</v>
      </c>
      <c r="AV20" s="250">
        <f t="shared" si="13"/>
        <v>1.2098934550922202E-2</v>
      </c>
      <c r="AW20" s="250">
        <f t="shared" si="13"/>
        <v>9.1027397259576814E-3</v>
      </c>
      <c r="AX20" s="250">
        <f t="shared" si="13"/>
        <v>6.1065449009931466E-3</v>
      </c>
      <c r="AY20" s="250">
        <f t="shared" si="13"/>
        <v>3.1103500760286257E-3</v>
      </c>
      <c r="AZ20" s="337">
        <f>Inputs!B25</f>
        <v>1.1415525106409206E-4</v>
      </c>
    </row>
    <row r="21" spans="1:57" ht="15" customHeight="1">
      <c r="A21" s="93" t="s">
        <v>729</v>
      </c>
      <c r="B21" s="253">
        <f t="shared" ref="B21:U21" si="14">C21</f>
        <v>0.11</v>
      </c>
      <c r="C21" s="253">
        <f t="shared" si="14"/>
        <v>0.11</v>
      </c>
      <c r="D21" s="253">
        <f t="shared" si="14"/>
        <v>0.11</v>
      </c>
      <c r="E21" s="253">
        <f t="shared" si="14"/>
        <v>0.11</v>
      </c>
      <c r="F21" s="253">
        <f t="shared" si="14"/>
        <v>0.11</v>
      </c>
      <c r="G21" s="253">
        <f t="shared" si="14"/>
        <v>0.11</v>
      </c>
      <c r="H21" s="253">
        <f t="shared" si="14"/>
        <v>0.11</v>
      </c>
      <c r="I21" s="253">
        <f t="shared" si="14"/>
        <v>0.11</v>
      </c>
      <c r="J21" s="253">
        <f t="shared" si="14"/>
        <v>0.11</v>
      </c>
      <c r="K21" s="253">
        <f t="shared" si="14"/>
        <v>0.11</v>
      </c>
      <c r="L21" s="253">
        <f t="shared" si="14"/>
        <v>0.11</v>
      </c>
      <c r="M21" s="253">
        <f t="shared" si="14"/>
        <v>0.11</v>
      </c>
      <c r="N21" s="253">
        <f t="shared" si="14"/>
        <v>0.11</v>
      </c>
      <c r="O21" s="253">
        <f t="shared" si="14"/>
        <v>0.11</v>
      </c>
      <c r="P21" s="253">
        <f t="shared" si="14"/>
        <v>0.11</v>
      </c>
      <c r="Q21" s="253">
        <f t="shared" si="14"/>
        <v>0.11</v>
      </c>
      <c r="R21" s="253">
        <f t="shared" si="14"/>
        <v>0.11</v>
      </c>
      <c r="S21" s="253">
        <f t="shared" si="14"/>
        <v>0.11</v>
      </c>
      <c r="T21" s="253">
        <f t="shared" si="14"/>
        <v>0.11</v>
      </c>
      <c r="U21" s="253">
        <f t="shared" si="14"/>
        <v>0.11</v>
      </c>
      <c r="V21" s="254">
        <v>0.11</v>
      </c>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row>
    <row r="22" spans="1:57" ht="15" customHeight="1">
      <c r="A22" s="93" t="s">
        <v>98</v>
      </c>
      <c r="B22" s="253">
        <f t="shared" ref="B22:U22" si="15">C22</f>
        <v>0</v>
      </c>
      <c r="C22" s="253">
        <f t="shared" si="15"/>
        <v>0</v>
      </c>
      <c r="D22" s="253">
        <f t="shared" si="15"/>
        <v>0</v>
      </c>
      <c r="E22" s="253">
        <f t="shared" si="15"/>
        <v>0</v>
      </c>
      <c r="F22" s="253">
        <f t="shared" si="15"/>
        <v>0</v>
      </c>
      <c r="G22" s="253">
        <f t="shared" si="15"/>
        <v>0</v>
      </c>
      <c r="H22" s="253">
        <f t="shared" si="15"/>
        <v>0</v>
      </c>
      <c r="I22" s="253">
        <f t="shared" si="15"/>
        <v>0</v>
      </c>
      <c r="J22" s="253">
        <f t="shared" si="15"/>
        <v>0</v>
      </c>
      <c r="K22" s="253">
        <f t="shared" si="15"/>
        <v>0</v>
      </c>
      <c r="L22" s="253">
        <f t="shared" si="15"/>
        <v>0</v>
      </c>
      <c r="M22" s="253">
        <f t="shared" si="15"/>
        <v>0</v>
      </c>
      <c r="N22" s="253">
        <f t="shared" si="15"/>
        <v>0</v>
      </c>
      <c r="O22" s="253">
        <f t="shared" si="15"/>
        <v>0</v>
      </c>
      <c r="P22" s="253">
        <f t="shared" si="15"/>
        <v>0</v>
      </c>
      <c r="Q22" s="253">
        <f t="shared" si="15"/>
        <v>0</v>
      </c>
      <c r="R22" s="253">
        <f t="shared" si="15"/>
        <v>0</v>
      </c>
      <c r="S22" s="253">
        <f t="shared" si="15"/>
        <v>0</v>
      </c>
      <c r="T22" s="253">
        <f t="shared" si="15"/>
        <v>0</v>
      </c>
      <c r="U22" s="253">
        <f t="shared" si="15"/>
        <v>0</v>
      </c>
      <c r="V22" s="254">
        <v>0</v>
      </c>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row>
    <row r="23" spans="1:57" ht="15" customHeight="1">
      <c r="A23" s="93" t="s">
        <v>730</v>
      </c>
      <c r="B23" s="91">
        <f t="shared" ref="B23:U23" si="16">C23/(1+B$53-B$29)</f>
        <v>7138.9282293853839</v>
      </c>
      <c r="C23" s="91">
        <f t="shared" si="16"/>
        <v>7263.8594733996288</v>
      </c>
      <c r="D23" s="91">
        <f t="shared" si="16"/>
        <v>7390.9770141841227</v>
      </c>
      <c r="E23" s="91">
        <f t="shared" si="16"/>
        <v>7520.3191119323455</v>
      </c>
      <c r="F23" s="91">
        <f t="shared" si="16"/>
        <v>7651.9246963911619</v>
      </c>
      <c r="G23" s="91">
        <f t="shared" si="16"/>
        <v>7785.8333785780078</v>
      </c>
      <c r="H23" s="91">
        <f t="shared" si="16"/>
        <v>7922.0854627031231</v>
      </c>
      <c r="I23" s="91">
        <f t="shared" si="16"/>
        <v>8060.721958300428</v>
      </c>
      <c r="J23" s="91">
        <f t="shared" si="16"/>
        <v>8201.7845925706861</v>
      </c>
      <c r="K23" s="91">
        <f t="shared" si="16"/>
        <v>8345.3158229406745</v>
      </c>
      <c r="L23" s="91">
        <f t="shared" si="16"/>
        <v>8491.3588498421377</v>
      </c>
      <c r="M23" s="91">
        <f t="shared" si="16"/>
        <v>8639.9576297143758</v>
      </c>
      <c r="N23" s="91">
        <f t="shared" si="16"/>
        <v>8791.1568882343781</v>
      </c>
      <c r="O23" s="91">
        <f t="shared" si="16"/>
        <v>8945.0021337784801</v>
      </c>
      <c r="P23" s="91">
        <f t="shared" si="16"/>
        <v>9101.5396711196045</v>
      </c>
      <c r="Q23" s="91">
        <f t="shared" si="16"/>
        <v>9260.8166153641978</v>
      </c>
      <c r="R23" s="91">
        <f t="shared" si="16"/>
        <v>9422.8809061330721</v>
      </c>
      <c r="S23" s="91">
        <f t="shared" si="16"/>
        <v>9587.7813219904019</v>
      </c>
      <c r="T23" s="91">
        <f t="shared" si="16"/>
        <v>9755.5674951252349</v>
      </c>
      <c r="U23" s="91">
        <f t="shared" si="16"/>
        <v>9926.2899262899264</v>
      </c>
      <c r="V23" s="329">
        <v>10100</v>
      </c>
      <c r="W23" s="91">
        <f t="shared" ref="W23:AZ23" si="17">V23*(1+V53-V29)</f>
        <v>10276.75</v>
      </c>
      <c r="X23" s="91">
        <f t="shared" si="17"/>
        <v>10456.593125000001</v>
      </c>
      <c r="Y23" s="91">
        <f t="shared" si="17"/>
        <v>10639.583504687502</v>
      </c>
      <c r="Z23" s="91">
        <f t="shared" si="17"/>
        <v>10825.776216019534</v>
      </c>
      <c r="AA23" s="91">
        <f t="shared" si="17"/>
        <v>11015.227299799877</v>
      </c>
      <c r="AB23" s="91">
        <f t="shared" si="17"/>
        <v>11207.993777546375</v>
      </c>
      <c r="AC23" s="91">
        <f t="shared" si="17"/>
        <v>11404.133668653438</v>
      </c>
      <c r="AD23" s="91">
        <f t="shared" si="17"/>
        <v>11603.706007854873</v>
      </c>
      <c r="AE23" s="91">
        <f t="shared" si="17"/>
        <v>11806.770862992335</v>
      </c>
      <c r="AF23" s="91">
        <f t="shared" si="17"/>
        <v>12013.389353094701</v>
      </c>
      <c r="AG23" s="91">
        <f t="shared" si="17"/>
        <v>12223.623666773859</v>
      </c>
      <c r="AH23" s="91">
        <f t="shared" si="17"/>
        <v>12437.537080942402</v>
      </c>
      <c r="AI23" s="91">
        <f t="shared" si="17"/>
        <v>12655.193979858896</v>
      </c>
      <c r="AJ23" s="91">
        <f t="shared" si="17"/>
        <v>12876.659874506428</v>
      </c>
      <c r="AK23" s="91">
        <f t="shared" si="17"/>
        <v>13102.001422310292</v>
      </c>
      <c r="AL23" s="91">
        <f t="shared" si="17"/>
        <v>13331.286447200722</v>
      </c>
      <c r="AM23" s="91">
        <f t="shared" si="17"/>
        <v>13564.583960026735</v>
      </c>
      <c r="AN23" s="91">
        <f t="shared" si="17"/>
        <v>13801.964179327204</v>
      </c>
      <c r="AO23" s="91">
        <f t="shared" si="17"/>
        <v>14043.498552465431</v>
      </c>
      <c r="AP23" s="91">
        <f t="shared" si="17"/>
        <v>14289.259777133577</v>
      </c>
      <c r="AQ23" s="91">
        <f t="shared" si="17"/>
        <v>14539.321823233415</v>
      </c>
      <c r="AR23" s="91">
        <f t="shared" si="17"/>
        <v>14793.75995514</v>
      </c>
      <c r="AS23" s="91">
        <f t="shared" si="17"/>
        <v>15052.650754354951</v>
      </c>
      <c r="AT23" s="91">
        <f t="shared" si="17"/>
        <v>15316.072142556162</v>
      </c>
      <c r="AU23" s="91">
        <f t="shared" si="17"/>
        <v>15584.103405050897</v>
      </c>
      <c r="AV23" s="91">
        <f t="shared" si="17"/>
        <v>15856.825214639288</v>
      </c>
      <c r="AW23" s="91">
        <f t="shared" si="17"/>
        <v>16134.319655895477</v>
      </c>
      <c r="AX23" s="91">
        <f t="shared" si="17"/>
        <v>16416.670249873649</v>
      </c>
      <c r="AY23" s="91">
        <f t="shared" si="17"/>
        <v>16703.96197924644</v>
      </c>
      <c r="AZ23" s="91">
        <f t="shared" si="17"/>
        <v>16996.281313883253</v>
      </c>
    </row>
    <row r="24" spans="1:57" ht="15" customHeight="1">
      <c r="A24" s="93" t="s">
        <v>734</v>
      </c>
      <c r="B24" s="91">
        <f t="shared" ref="B24:U24" si="18">C24/(1+B$53-B$29)</f>
        <v>1.4277856458770768</v>
      </c>
      <c r="C24" s="91">
        <f t="shared" si="18"/>
        <v>1.4527718946799257</v>
      </c>
      <c r="D24" s="91">
        <f t="shared" si="18"/>
        <v>1.4781954028368245</v>
      </c>
      <c r="E24" s="91">
        <f t="shared" si="18"/>
        <v>1.5040638223864691</v>
      </c>
      <c r="F24" s="91">
        <f t="shared" si="18"/>
        <v>1.5303849392782325</v>
      </c>
      <c r="G24" s="91">
        <f t="shared" si="18"/>
        <v>1.5571666757156017</v>
      </c>
      <c r="H24" s="91">
        <f t="shared" si="18"/>
        <v>1.5844170925406249</v>
      </c>
      <c r="I24" s="91">
        <f t="shared" si="18"/>
        <v>1.6121443916600859</v>
      </c>
      <c r="J24" s="91">
        <f t="shared" si="18"/>
        <v>1.6403569185141376</v>
      </c>
      <c r="K24" s="91">
        <f t="shared" si="18"/>
        <v>1.6690631645881351</v>
      </c>
      <c r="L24" s="91">
        <f t="shared" si="18"/>
        <v>1.6982717699684275</v>
      </c>
      <c r="M24" s="91">
        <f t="shared" si="18"/>
        <v>1.7279915259428751</v>
      </c>
      <c r="N24" s="91">
        <f t="shared" si="18"/>
        <v>1.7582313776468754</v>
      </c>
      <c r="O24" s="91">
        <f t="shared" si="18"/>
        <v>1.7890004267556958</v>
      </c>
      <c r="P24" s="91">
        <f t="shared" si="18"/>
        <v>1.8203079342239206</v>
      </c>
      <c r="Q24" s="91">
        <f t="shared" si="18"/>
        <v>1.8521633230728394</v>
      </c>
      <c r="R24" s="91">
        <f t="shared" si="18"/>
        <v>1.8845761812266142</v>
      </c>
      <c r="S24" s="91">
        <f t="shared" si="18"/>
        <v>1.9175562643980801</v>
      </c>
      <c r="T24" s="91">
        <f t="shared" si="18"/>
        <v>1.9511134990250467</v>
      </c>
      <c r="U24" s="91">
        <f t="shared" si="18"/>
        <v>1.9852579852579852</v>
      </c>
      <c r="V24" s="97">
        <v>2.02</v>
      </c>
      <c r="W24" s="91">
        <f t="shared" ref="W24:AZ24" si="19">V24*(1+V53-V29)</f>
        <v>2.0553500000000002</v>
      </c>
      <c r="X24" s="91">
        <f t="shared" si="19"/>
        <v>2.0913186250000004</v>
      </c>
      <c r="Y24" s="91">
        <f t="shared" si="19"/>
        <v>2.1279167009375004</v>
      </c>
      <c r="Z24" s="91">
        <f t="shared" si="19"/>
        <v>2.1651552432039067</v>
      </c>
      <c r="AA24" s="91">
        <f t="shared" si="19"/>
        <v>2.2030454599599754</v>
      </c>
      <c r="AB24" s="91">
        <f t="shared" si="19"/>
        <v>2.2415987555092749</v>
      </c>
      <c r="AC24" s="91">
        <f t="shared" si="19"/>
        <v>2.2808267337306876</v>
      </c>
      <c r="AD24" s="91">
        <f t="shared" si="19"/>
        <v>2.320741201570975</v>
      </c>
      <c r="AE24" s="91">
        <f t="shared" si="19"/>
        <v>2.361354172598467</v>
      </c>
      <c r="AF24" s="91">
        <f t="shared" si="19"/>
        <v>2.4026778706189402</v>
      </c>
      <c r="AG24" s="91">
        <f t="shared" si="19"/>
        <v>2.4447247333547719</v>
      </c>
      <c r="AH24" s="91">
        <f t="shared" si="19"/>
        <v>2.4875074161884805</v>
      </c>
      <c r="AI24" s="91">
        <f t="shared" si="19"/>
        <v>2.5310387959717793</v>
      </c>
      <c r="AJ24" s="91">
        <f t="shared" si="19"/>
        <v>2.5753319749012857</v>
      </c>
      <c r="AK24" s="91">
        <f t="shared" si="19"/>
        <v>2.6204002844620584</v>
      </c>
      <c r="AL24" s="91">
        <f t="shared" si="19"/>
        <v>2.6662572894401446</v>
      </c>
      <c r="AM24" s="91">
        <f t="shared" si="19"/>
        <v>2.7129167920053474</v>
      </c>
      <c r="AN24" s="91">
        <f t="shared" si="19"/>
        <v>2.7603928358654413</v>
      </c>
      <c r="AO24" s="91">
        <f t="shared" si="19"/>
        <v>2.8086997104930869</v>
      </c>
      <c r="AP24" s="91">
        <f t="shared" si="19"/>
        <v>2.8578519554267161</v>
      </c>
      <c r="AQ24" s="91">
        <f t="shared" si="19"/>
        <v>2.907864364646684</v>
      </c>
      <c r="AR24" s="91">
        <f t="shared" si="19"/>
        <v>2.9587519910280013</v>
      </c>
      <c r="AS24" s="91">
        <f t="shared" si="19"/>
        <v>3.0105301508709914</v>
      </c>
      <c r="AT24" s="91">
        <f t="shared" si="19"/>
        <v>3.0632144285112339</v>
      </c>
      <c r="AU24" s="91">
        <f t="shared" si="19"/>
        <v>3.1168206810101808</v>
      </c>
      <c r="AV24" s="91">
        <f t="shared" si="19"/>
        <v>3.1713650429278593</v>
      </c>
      <c r="AW24" s="91">
        <f t="shared" si="19"/>
        <v>3.2268639311790972</v>
      </c>
      <c r="AX24" s="91">
        <f t="shared" si="19"/>
        <v>3.2833340499747314</v>
      </c>
      <c r="AY24" s="91">
        <f t="shared" si="19"/>
        <v>3.3407923958492893</v>
      </c>
      <c r="AZ24" s="91">
        <f t="shared" si="19"/>
        <v>3.3992562627766523</v>
      </c>
    </row>
    <row r="25" spans="1:57" ht="15" customHeight="1">
      <c r="A25" s="93" t="s">
        <v>735</v>
      </c>
      <c r="B25" s="91">
        <f t="shared" ref="B25:U25" si="20">C25/(1+B$53-B$29)</f>
        <v>2.9935099995033752</v>
      </c>
      <c r="C25" s="91">
        <f t="shared" si="20"/>
        <v>3.0458964244946842</v>
      </c>
      <c r="D25" s="91">
        <f t="shared" si="20"/>
        <v>3.0991996119233414</v>
      </c>
      <c r="E25" s="91">
        <f t="shared" si="20"/>
        <v>3.1534356051320001</v>
      </c>
      <c r="F25" s="91">
        <f t="shared" si="20"/>
        <v>3.2086207282218102</v>
      </c>
      <c r="G25" s="91">
        <f t="shared" si="20"/>
        <v>3.264771590965692</v>
      </c>
      <c r="H25" s="91">
        <f t="shared" si="20"/>
        <v>3.321905093807592</v>
      </c>
      <c r="I25" s="91">
        <f t="shared" si="20"/>
        <v>3.3800384329492252</v>
      </c>
      <c r="J25" s="91">
        <f t="shared" si="20"/>
        <v>3.4391891055258368</v>
      </c>
      <c r="K25" s="91">
        <f t="shared" si="20"/>
        <v>3.499374914872539</v>
      </c>
      <c r="L25" s="91">
        <f t="shared" si="20"/>
        <v>3.5606139758828088</v>
      </c>
      <c r="M25" s="91">
        <f t="shared" si="20"/>
        <v>3.6229247204607584</v>
      </c>
      <c r="N25" s="91">
        <f t="shared" si="20"/>
        <v>3.686325903068822</v>
      </c>
      <c r="O25" s="91">
        <f t="shared" si="20"/>
        <v>3.7508366063725265</v>
      </c>
      <c r="P25" s="91">
        <f t="shared" si="20"/>
        <v>3.8164762469840459</v>
      </c>
      <c r="Q25" s="91">
        <f t="shared" si="20"/>
        <v>3.8832645813062667</v>
      </c>
      <c r="R25" s="91">
        <f t="shared" si="20"/>
        <v>3.9512217114791266</v>
      </c>
      <c r="S25" s="91">
        <f t="shared" si="20"/>
        <v>4.0203680914300115</v>
      </c>
      <c r="T25" s="91">
        <f t="shared" si="20"/>
        <v>4.0907245330300368</v>
      </c>
      <c r="U25" s="91">
        <f t="shared" si="20"/>
        <v>4.1623122123580627</v>
      </c>
      <c r="V25" s="97">
        <f>V23*Model!W412*V15/(V18*Model!W412*V15*8760)+V24</f>
        <v>4.2351526760743292</v>
      </c>
      <c r="W25" s="91">
        <f t="shared" ref="W25:AZ25" si="21">V25*(1+V53-V29)</f>
        <v>4.3092678479056303</v>
      </c>
      <c r="X25" s="91">
        <f t="shared" si="21"/>
        <v>4.3846800352439788</v>
      </c>
      <c r="Y25" s="91">
        <f t="shared" si="21"/>
        <v>4.4614119358607489</v>
      </c>
      <c r="Z25" s="91">
        <f t="shared" si="21"/>
        <v>4.5394866447383126</v>
      </c>
      <c r="AA25" s="91">
        <f t="shared" si="21"/>
        <v>4.6189276610212335</v>
      </c>
      <c r="AB25" s="91">
        <f t="shared" si="21"/>
        <v>4.6997588950891052</v>
      </c>
      <c r="AC25" s="91">
        <f t="shared" si="21"/>
        <v>4.7820046757531651</v>
      </c>
      <c r="AD25" s="91">
        <f t="shared" si="21"/>
        <v>4.8656897575788456</v>
      </c>
      <c r="AE25" s="91">
        <f t="shared" si="21"/>
        <v>4.9508393283364756</v>
      </c>
      <c r="AF25" s="91">
        <f t="shared" si="21"/>
        <v>5.0374790165823642</v>
      </c>
      <c r="AG25" s="91">
        <f t="shared" si="21"/>
        <v>5.1256348993725558</v>
      </c>
      <c r="AH25" s="91">
        <f t="shared" si="21"/>
        <v>5.2153335101115763</v>
      </c>
      <c r="AI25" s="91">
        <f t="shared" si="21"/>
        <v>5.3066018465385296</v>
      </c>
      <c r="AJ25" s="91">
        <f t="shared" si="21"/>
        <v>5.3994673788529539</v>
      </c>
      <c r="AK25" s="91">
        <f t="shared" si="21"/>
        <v>5.4939580579828808</v>
      </c>
      <c r="AL25" s="91">
        <f t="shared" si="21"/>
        <v>5.5901023239975816</v>
      </c>
      <c r="AM25" s="91">
        <f t="shared" si="21"/>
        <v>5.6879291146675399</v>
      </c>
      <c r="AN25" s="91">
        <f t="shared" si="21"/>
        <v>5.7874678741742223</v>
      </c>
      <c r="AO25" s="91">
        <f t="shared" si="21"/>
        <v>5.8887485619722719</v>
      </c>
      <c r="AP25" s="91">
        <f t="shared" si="21"/>
        <v>5.9918016618067869</v>
      </c>
      <c r="AQ25" s="91">
        <f t="shared" si="21"/>
        <v>6.0966581908884061</v>
      </c>
      <c r="AR25" s="91">
        <f t="shared" si="21"/>
        <v>6.203349709228954</v>
      </c>
      <c r="AS25" s="91">
        <f t="shared" si="21"/>
        <v>6.3119083291404614</v>
      </c>
      <c r="AT25" s="91">
        <f t="shared" si="21"/>
        <v>6.4223667249004199</v>
      </c>
      <c r="AU25" s="91">
        <f t="shared" si="21"/>
        <v>6.5347581425861776</v>
      </c>
      <c r="AV25" s="91">
        <f t="shared" si="21"/>
        <v>6.6491164100814366</v>
      </c>
      <c r="AW25" s="91">
        <f t="shared" si="21"/>
        <v>6.7654759472578618</v>
      </c>
      <c r="AX25" s="91">
        <f t="shared" si="21"/>
        <v>6.8838717763348747</v>
      </c>
      <c r="AY25" s="91">
        <f t="shared" si="21"/>
        <v>7.0043395324207358</v>
      </c>
      <c r="AZ25" s="91">
        <f t="shared" si="21"/>
        <v>7.1269154742380989</v>
      </c>
    </row>
    <row r="26" spans="1:57" ht="15" customHeight="1">
      <c r="A26" s="93" t="s">
        <v>737</v>
      </c>
      <c r="B26" s="91">
        <f t="shared" ref="B26:U26" si="22">C26/(1+B$53-B$29)</f>
        <v>4855.8848451363947</v>
      </c>
      <c r="C26" s="91">
        <f t="shared" si="22"/>
        <v>4940.8628299262818</v>
      </c>
      <c r="D26" s="91">
        <f t="shared" si="22"/>
        <v>5027.3279294499926</v>
      </c>
      <c r="E26" s="91">
        <f t="shared" si="22"/>
        <v>5115.3061682153675</v>
      </c>
      <c r="F26" s="91">
        <f t="shared" si="22"/>
        <v>5204.8240261591372</v>
      </c>
      <c r="G26" s="91">
        <f t="shared" si="22"/>
        <v>5295.9084466169224</v>
      </c>
      <c r="H26" s="91">
        <f t="shared" si="22"/>
        <v>5388.5868444327189</v>
      </c>
      <c r="I26" s="91">
        <f t="shared" si="22"/>
        <v>5482.8871142102917</v>
      </c>
      <c r="J26" s="91">
        <f t="shared" si="22"/>
        <v>5578.837638708972</v>
      </c>
      <c r="K26" s="91">
        <f t="shared" si="22"/>
        <v>5676.467297386379</v>
      </c>
      <c r="L26" s="91">
        <f t="shared" si="22"/>
        <v>5775.8054750906413</v>
      </c>
      <c r="M26" s="91">
        <f t="shared" si="22"/>
        <v>5876.8820709047277</v>
      </c>
      <c r="N26" s="91">
        <f t="shared" si="22"/>
        <v>5979.7275071455606</v>
      </c>
      <c r="O26" s="91">
        <f t="shared" si="22"/>
        <v>6084.3727385206084</v>
      </c>
      <c r="P26" s="91">
        <f t="shared" si="22"/>
        <v>6190.8492614447196</v>
      </c>
      <c r="Q26" s="91">
        <f t="shared" si="22"/>
        <v>6299.1891235200028</v>
      </c>
      <c r="R26" s="91">
        <f t="shared" si="22"/>
        <v>6409.4249331816036</v>
      </c>
      <c r="S26" s="91">
        <f t="shared" si="22"/>
        <v>6521.5898695122823</v>
      </c>
      <c r="T26" s="91">
        <f t="shared" si="22"/>
        <v>6635.7176922287481</v>
      </c>
      <c r="U26" s="91">
        <f t="shared" si="22"/>
        <v>6751.8427518427516</v>
      </c>
      <c r="V26" s="329">
        <v>6870</v>
      </c>
      <c r="W26" s="91">
        <f t="shared" ref="W26:AZ26" si="23">V26*(1+V53-V29)</f>
        <v>6990.2250000000004</v>
      </c>
      <c r="X26" s="91">
        <f t="shared" si="23"/>
        <v>7112.5539375000008</v>
      </c>
      <c r="Y26" s="91">
        <f t="shared" si="23"/>
        <v>7237.0236314062513</v>
      </c>
      <c r="Z26" s="91">
        <f t="shared" si="23"/>
        <v>7363.6715449558615</v>
      </c>
      <c r="AA26" s="91">
        <f t="shared" si="23"/>
        <v>7492.5357969925899</v>
      </c>
      <c r="AB26" s="91">
        <f t="shared" si="23"/>
        <v>7623.6551734399609</v>
      </c>
      <c r="AC26" s="91">
        <f t="shared" si="23"/>
        <v>7757.069138975161</v>
      </c>
      <c r="AD26" s="91">
        <f t="shared" si="23"/>
        <v>7892.817848907227</v>
      </c>
      <c r="AE26" s="91">
        <f t="shared" si="23"/>
        <v>8030.942161263104</v>
      </c>
      <c r="AF26" s="91">
        <f t="shared" si="23"/>
        <v>8171.4836490852085</v>
      </c>
      <c r="AG26" s="91">
        <f t="shared" si="23"/>
        <v>8314.4846129441994</v>
      </c>
      <c r="AH26" s="91">
        <f t="shared" si="23"/>
        <v>8459.9880936707232</v>
      </c>
      <c r="AI26" s="91">
        <f t="shared" si="23"/>
        <v>8608.037885309961</v>
      </c>
      <c r="AJ26" s="91">
        <f t="shared" si="23"/>
        <v>8758.6785483028852</v>
      </c>
      <c r="AK26" s="91">
        <f t="shared" si="23"/>
        <v>8911.955422898187</v>
      </c>
      <c r="AL26" s="91">
        <f t="shared" si="23"/>
        <v>9067.9146427989053</v>
      </c>
      <c r="AM26" s="91">
        <f t="shared" si="23"/>
        <v>9226.6031490478872</v>
      </c>
      <c r="AN26" s="91">
        <f t="shared" si="23"/>
        <v>9388.0687041562251</v>
      </c>
      <c r="AO26" s="91">
        <f t="shared" si="23"/>
        <v>9552.3599064789596</v>
      </c>
      <c r="AP26" s="91">
        <f t="shared" si="23"/>
        <v>9719.5262048423428</v>
      </c>
      <c r="AQ26" s="91">
        <f t="shared" si="23"/>
        <v>9889.6179134270842</v>
      </c>
      <c r="AR26" s="91">
        <f t="shared" si="23"/>
        <v>10062.686226912059</v>
      </c>
      <c r="AS26" s="91">
        <f t="shared" si="23"/>
        <v>10238.783235883022</v>
      </c>
      <c r="AT26" s="91">
        <f t="shared" si="23"/>
        <v>10417.961942510976</v>
      </c>
      <c r="AU26" s="91">
        <f t="shared" si="23"/>
        <v>10600.276276504919</v>
      </c>
      <c r="AV26" s="91">
        <f t="shared" si="23"/>
        <v>10785.781111343756</v>
      </c>
      <c r="AW26" s="91">
        <f t="shared" si="23"/>
        <v>10974.532280792273</v>
      </c>
      <c r="AX26" s="91">
        <f t="shared" si="23"/>
        <v>11166.586595706138</v>
      </c>
      <c r="AY26" s="91">
        <f t="shared" si="23"/>
        <v>11362.001861130995</v>
      </c>
      <c r="AZ26" s="91">
        <f t="shared" si="23"/>
        <v>11560.836893700789</v>
      </c>
    </row>
    <row r="27" spans="1:57" ht="15" customHeight="1">
      <c r="A27" s="93" t="s">
        <v>738</v>
      </c>
      <c r="B27" s="91">
        <f t="shared" ref="B27:U27" si="24">C27/(1+B$53-B$29)</f>
        <v>7.6407736791738614</v>
      </c>
      <c r="C27" s="91">
        <f t="shared" si="24"/>
        <v>7.7744872185594049</v>
      </c>
      <c r="D27" s="91">
        <f t="shared" si="24"/>
        <v>7.9105407448841953</v>
      </c>
      <c r="E27" s="91">
        <f t="shared" si="24"/>
        <v>8.0489752079196695</v>
      </c>
      <c r="F27" s="91">
        <f t="shared" si="24"/>
        <v>8.189832274058265</v>
      </c>
      <c r="G27" s="91">
        <f t="shared" si="24"/>
        <v>8.3331543388542855</v>
      </c>
      <c r="H27" s="91">
        <f t="shared" si="24"/>
        <v>8.4789845397842356</v>
      </c>
      <c r="I27" s="91">
        <f t="shared" si="24"/>
        <v>8.627366769230461</v>
      </c>
      <c r="J27" s="91">
        <f t="shared" si="24"/>
        <v>8.7783456876919939</v>
      </c>
      <c r="K27" s="91">
        <f t="shared" si="24"/>
        <v>8.9319667372266043</v>
      </c>
      <c r="L27" s="91">
        <f t="shared" si="24"/>
        <v>9.0882761551280709</v>
      </c>
      <c r="M27" s="91">
        <f t="shared" si="24"/>
        <v>9.2473209878428122</v>
      </c>
      <c r="N27" s="91">
        <f t="shared" si="24"/>
        <v>9.4091491051300622</v>
      </c>
      <c r="O27" s="91">
        <f t="shared" si="24"/>
        <v>9.5738092144698381</v>
      </c>
      <c r="P27" s="91">
        <f t="shared" si="24"/>
        <v>9.7413508757230609</v>
      </c>
      <c r="Q27" s="91">
        <f t="shared" si="24"/>
        <v>9.911824516048215</v>
      </c>
      <c r="R27" s="91">
        <f t="shared" si="24"/>
        <v>10.08528144507906</v>
      </c>
      <c r="S27" s="91">
        <f t="shared" si="24"/>
        <v>10.261773870367945</v>
      </c>
      <c r="T27" s="91">
        <f t="shared" si="24"/>
        <v>10.441354913099385</v>
      </c>
      <c r="U27" s="91">
        <f t="shared" si="24"/>
        <v>10.624078624078624</v>
      </c>
      <c r="V27" s="97">
        <v>10.81</v>
      </c>
      <c r="W27" s="91">
        <f t="shared" ref="W27:AZ27" si="25">V27*(1+V53-V29)</f>
        <v>10.999175000000001</v>
      </c>
      <c r="X27" s="91">
        <f t="shared" si="25"/>
        <v>11.191660562500001</v>
      </c>
      <c r="Y27" s="91">
        <f t="shared" si="25"/>
        <v>11.387514622343751</v>
      </c>
      <c r="Z27" s="91">
        <f t="shared" si="25"/>
        <v>11.586796128234768</v>
      </c>
      <c r="AA27" s="91">
        <f t="shared" si="25"/>
        <v>11.789565060478877</v>
      </c>
      <c r="AB27" s="91">
        <f t="shared" si="25"/>
        <v>11.995882449037257</v>
      </c>
      <c r="AC27" s="91">
        <f t="shared" si="25"/>
        <v>12.20581039189541</v>
      </c>
      <c r="AD27" s="91">
        <f t="shared" si="25"/>
        <v>12.41941207375358</v>
      </c>
      <c r="AE27" s="91">
        <f t="shared" si="25"/>
        <v>12.63675178504427</v>
      </c>
      <c r="AF27" s="91">
        <f t="shared" si="25"/>
        <v>12.857894941282545</v>
      </c>
      <c r="AG27" s="91">
        <f t="shared" si="25"/>
        <v>13.08290810275499</v>
      </c>
      <c r="AH27" s="91">
        <f t="shared" si="25"/>
        <v>13.311858994553203</v>
      </c>
      <c r="AI27" s="91">
        <f t="shared" si="25"/>
        <v>13.544816526957886</v>
      </c>
      <c r="AJ27" s="91">
        <f t="shared" si="25"/>
        <v>13.78185081617965</v>
      </c>
      <c r="AK27" s="91">
        <f t="shared" si="25"/>
        <v>14.023033205462795</v>
      </c>
      <c r="AL27" s="91">
        <f t="shared" si="25"/>
        <v>14.268436286558394</v>
      </c>
      <c r="AM27" s="91">
        <f t="shared" si="25"/>
        <v>14.518133921573167</v>
      </c>
      <c r="AN27" s="91">
        <f t="shared" si="25"/>
        <v>14.772201265200698</v>
      </c>
      <c r="AO27" s="91">
        <f t="shared" si="25"/>
        <v>15.030714787341712</v>
      </c>
      <c r="AP27" s="91">
        <f t="shared" si="25"/>
        <v>15.293752296120193</v>
      </c>
      <c r="AQ27" s="91">
        <f t="shared" si="25"/>
        <v>15.561392961302298</v>
      </c>
      <c r="AR27" s="91">
        <f t="shared" si="25"/>
        <v>15.833717338125089</v>
      </c>
      <c r="AS27" s="91">
        <f t="shared" si="25"/>
        <v>16.110807391542281</v>
      </c>
      <c r="AT27" s="91">
        <f t="shared" si="25"/>
        <v>16.392746520894271</v>
      </c>
      <c r="AU27" s="91">
        <f t="shared" si="25"/>
        <v>16.67961958500992</v>
      </c>
      <c r="AV27" s="91">
        <f t="shared" si="25"/>
        <v>16.971512927747597</v>
      </c>
      <c r="AW27" s="91">
        <f t="shared" si="25"/>
        <v>17.268514403983179</v>
      </c>
      <c r="AX27" s="91">
        <f t="shared" si="25"/>
        <v>17.570713406052885</v>
      </c>
      <c r="AY27" s="91">
        <f t="shared" si="25"/>
        <v>17.87820089065881</v>
      </c>
      <c r="AZ27" s="91">
        <f t="shared" si="25"/>
        <v>18.19106940624534</v>
      </c>
    </row>
    <row r="28" spans="1:57" ht="15" customHeight="1">
      <c r="A28" s="93" t="s">
        <v>739</v>
      </c>
      <c r="B28" s="91">
        <f t="shared" ref="B28:U28" si="26">C28/(1+B$53-B$29)</f>
        <v>13.799937612629467</v>
      </c>
      <c r="C28" s="91">
        <f t="shared" si="26"/>
        <v>14.041436520850484</v>
      </c>
      <c r="D28" s="91">
        <f t="shared" si="26"/>
        <v>14.287161659965369</v>
      </c>
      <c r="E28" s="91">
        <f t="shared" si="26"/>
        <v>14.537186989014764</v>
      </c>
      <c r="F28" s="91">
        <f t="shared" si="26"/>
        <v>14.791587761322523</v>
      </c>
      <c r="G28" s="91">
        <f t="shared" si="26"/>
        <v>15.050440547145667</v>
      </c>
      <c r="H28" s="91">
        <f t="shared" si="26"/>
        <v>15.313823256720717</v>
      </c>
      <c r="I28" s="91">
        <f t="shared" si="26"/>
        <v>15.58181516371333</v>
      </c>
      <c r="J28" s="91">
        <f t="shared" si="26"/>
        <v>15.854496929078314</v>
      </c>
      <c r="K28" s="91">
        <f t="shared" si="26"/>
        <v>16.131950625337186</v>
      </c>
      <c r="L28" s="91">
        <f t="shared" si="26"/>
        <v>16.414259761280587</v>
      </c>
      <c r="M28" s="91">
        <f t="shared" si="26"/>
        <v>16.701509307102999</v>
      </c>
      <c r="N28" s="91">
        <f t="shared" si="26"/>
        <v>16.993785719977303</v>
      </c>
      <c r="O28" s="91">
        <f t="shared" si="26"/>
        <v>17.291176970076908</v>
      </c>
      <c r="P28" s="91">
        <f t="shared" si="26"/>
        <v>17.593772567053254</v>
      </c>
      <c r="Q28" s="91">
        <f t="shared" si="26"/>
        <v>17.901663586976685</v>
      </c>
      <c r="R28" s="91">
        <f t="shared" si="26"/>
        <v>18.214942699748779</v>
      </c>
      <c r="S28" s="91">
        <f t="shared" si="26"/>
        <v>18.533704196994382</v>
      </c>
      <c r="T28" s="91">
        <f t="shared" si="26"/>
        <v>18.858044020441785</v>
      </c>
      <c r="U28" s="91">
        <f t="shared" si="26"/>
        <v>19.188059790799517</v>
      </c>
      <c r="V28" s="97">
        <f>V26*Model!W412*V16/(V20*Model!W412*V16*8760)+V27</f>
        <v>19.523850837138511</v>
      </c>
      <c r="W28" s="91">
        <f t="shared" ref="W28:AZ28" si="27">V28*(1+V53-V29)</f>
        <v>19.865518226788435</v>
      </c>
      <c r="X28" s="91">
        <f t="shared" si="27"/>
        <v>20.213164795757233</v>
      </c>
      <c r="Y28" s="91">
        <f t="shared" si="27"/>
        <v>20.566895179682987</v>
      </c>
      <c r="Z28" s="91">
        <f t="shared" si="27"/>
        <v>20.92681584532744</v>
      </c>
      <c r="AA28" s="91">
        <f t="shared" si="27"/>
        <v>21.293035122620672</v>
      </c>
      <c r="AB28" s="91">
        <f t="shared" si="27"/>
        <v>21.665663237266536</v>
      </c>
      <c r="AC28" s="91">
        <f t="shared" si="27"/>
        <v>22.0448123439187</v>
      </c>
      <c r="AD28" s="91">
        <f t="shared" si="27"/>
        <v>22.430596559937278</v>
      </c>
      <c r="AE28" s="91">
        <f t="shared" si="27"/>
        <v>22.823131999736184</v>
      </c>
      <c r="AF28" s="91">
        <f t="shared" si="27"/>
        <v>23.222536809731569</v>
      </c>
      <c r="AG28" s="91">
        <f t="shared" si="27"/>
        <v>23.628931203901875</v>
      </c>
      <c r="AH28" s="91">
        <f t="shared" si="27"/>
        <v>24.042437499970159</v>
      </c>
      <c r="AI28" s="91">
        <f t="shared" si="27"/>
        <v>24.463180156219639</v>
      </c>
      <c r="AJ28" s="91">
        <f t="shared" si="27"/>
        <v>24.891285808953484</v>
      </c>
      <c r="AK28" s="91">
        <f t="shared" si="27"/>
        <v>25.326883310610171</v>
      </c>
      <c r="AL28" s="91">
        <f t="shared" si="27"/>
        <v>25.770103768545852</v>
      </c>
      <c r="AM28" s="91">
        <f t="shared" si="27"/>
        <v>26.221080584495407</v>
      </c>
      <c r="AN28" s="91">
        <f t="shared" si="27"/>
        <v>26.679949494724077</v>
      </c>
      <c r="AO28" s="91">
        <f t="shared" si="27"/>
        <v>27.146848610881751</v>
      </c>
      <c r="AP28" s="91">
        <f t="shared" si="27"/>
        <v>27.621918461572182</v>
      </c>
      <c r="AQ28" s="91">
        <f t="shared" si="27"/>
        <v>28.105302034649696</v>
      </c>
      <c r="AR28" s="91">
        <f t="shared" si="27"/>
        <v>28.597144820256069</v>
      </c>
      <c r="AS28" s="91">
        <f t="shared" si="27"/>
        <v>29.097594854610552</v>
      </c>
      <c r="AT28" s="91">
        <f t="shared" si="27"/>
        <v>29.60680276456624</v>
      </c>
      <c r="AU28" s="91">
        <f t="shared" si="27"/>
        <v>30.124921812946152</v>
      </c>
      <c r="AV28" s="91">
        <f t="shared" si="27"/>
        <v>30.652107944672711</v>
      </c>
      <c r="AW28" s="91">
        <f t="shared" si="27"/>
        <v>31.188519833704486</v>
      </c>
      <c r="AX28" s="91">
        <f t="shared" si="27"/>
        <v>31.734318930794316</v>
      </c>
      <c r="AY28" s="91">
        <f t="shared" si="27"/>
        <v>32.289669512083222</v>
      </c>
      <c r="AZ28" s="91">
        <f t="shared" si="27"/>
        <v>32.854738728544682</v>
      </c>
    </row>
    <row r="29" spans="1:57" ht="15" customHeight="1">
      <c r="A29" s="93" t="s">
        <v>106</v>
      </c>
      <c r="B29" s="330">
        <f t="shared" ref="B29:U29" si="28">C29</f>
        <v>2.5000000000000001E-3</v>
      </c>
      <c r="C29" s="330">
        <f t="shared" si="28"/>
        <v>2.5000000000000001E-3</v>
      </c>
      <c r="D29" s="330">
        <f t="shared" si="28"/>
        <v>2.5000000000000001E-3</v>
      </c>
      <c r="E29" s="330">
        <f t="shared" si="28"/>
        <v>2.5000000000000001E-3</v>
      </c>
      <c r="F29" s="330">
        <f t="shared" si="28"/>
        <v>2.5000000000000001E-3</v>
      </c>
      <c r="G29" s="330">
        <f t="shared" si="28"/>
        <v>2.5000000000000001E-3</v>
      </c>
      <c r="H29" s="330">
        <f t="shared" si="28"/>
        <v>2.5000000000000001E-3</v>
      </c>
      <c r="I29" s="330">
        <f t="shared" si="28"/>
        <v>2.5000000000000001E-3</v>
      </c>
      <c r="J29" s="330">
        <f t="shared" si="28"/>
        <v>2.5000000000000001E-3</v>
      </c>
      <c r="K29" s="330">
        <f t="shared" si="28"/>
        <v>2.5000000000000001E-3</v>
      </c>
      <c r="L29" s="330">
        <f t="shared" si="28"/>
        <v>2.5000000000000001E-3</v>
      </c>
      <c r="M29" s="330">
        <f t="shared" si="28"/>
        <v>2.5000000000000001E-3</v>
      </c>
      <c r="N29" s="330">
        <f t="shared" si="28"/>
        <v>2.5000000000000001E-3</v>
      </c>
      <c r="O29" s="330">
        <f t="shared" si="28"/>
        <v>2.5000000000000001E-3</v>
      </c>
      <c r="P29" s="330">
        <f t="shared" si="28"/>
        <v>2.5000000000000001E-3</v>
      </c>
      <c r="Q29" s="330">
        <f t="shared" si="28"/>
        <v>2.5000000000000001E-3</v>
      </c>
      <c r="R29" s="330">
        <f t="shared" si="28"/>
        <v>2.5000000000000001E-3</v>
      </c>
      <c r="S29" s="330">
        <f t="shared" si="28"/>
        <v>2.5000000000000001E-3</v>
      </c>
      <c r="T29" s="330">
        <f t="shared" si="28"/>
        <v>2.5000000000000001E-3</v>
      </c>
      <c r="U29" s="330">
        <f t="shared" si="28"/>
        <v>2.5000000000000001E-3</v>
      </c>
      <c r="V29" s="245">
        <v>2.5000000000000001E-3</v>
      </c>
      <c r="W29" s="247">
        <f t="shared" ref="W29:AZ29" si="29">V29</f>
        <v>2.5000000000000001E-3</v>
      </c>
      <c r="X29" s="247">
        <f t="shared" si="29"/>
        <v>2.5000000000000001E-3</v>
      </c>
      <c r="Y29" s="247">
        <f t="shared" si="29"/>
        <v>2.5000000000000001E-3</v>
      </c>
      <c r="Z29" s="247">
        <f t="shared" si="29"/>
        <v>2.5000000000000001E-3</v>
      </c>
      <c r="AA29" s="247">
        <f t="shared" si="29"/>
        <v>2.5000000000000001E-3</v>
      </c>
      <c r="AB29" s="247">
        <f t="shared" si="29"/>
        <v>2.5000000000000001E-3</v>
      </c>
      <c r="AC29" s="247">
        <f t="shared" si="29"/>
        <v>2.5000000000000001E-3</v>
      </c>
      <c r="AD29" s="247">
        <f t="shared" si="29"/>
        <v>2.5000000000000001E-3</v>
      </c>
      <c r="AE29" s="247">
        <f t="shared" si="29"/>
        <v>2.5000000000000001E-3</v>
      </c>
      <c r="AF29" s="247">
        <f t="shared" si="29"/>
        <v>2.5000000000000001E-3</v>
      </c>
      <c r="AG29" s="247">
        <f t="shared" si="29"/>
        <v>2.5000000000000001E-3</v>
      </c>
      <c r="AH29" s="247">
        <f t="shared" si="29"/>
        <v>2.5000000000000001E-3</v>
      </c>
      <c r="AI29" s="247">
        <f t="shared" si="29"/>
        <v>2.5000000000000001E-3</v>
      </c>
      <c r="AJ29" s="247">
        <f t="shared" si="29"/>
        <v>2.5000000000000001E-3</v>
      </c>
      <c r="AK29" s="247">
        <f t="shared" si="29"/>
        <v>2.5000000000000001E-3</v>
      </c>
      <c r="AL29" s="247">
        <f t="shared" si="29"/>
        <v>2.5000000000000001E-3</v>
      </c>
      <c r="AM29" s="247">
        <f t="shared" si="29"/>
        <v>2.5000000000000001E-3</v>
      </c>
      <c r="AN29" s="247">
        <f t="shared" si="29"/>
        <v>2.5000000000000001E-3</v>
      </c>
      <c r="AO29" s="247">
        <f t="shared" si="29"/>
        <v>2.5000000000000001E-3</v>
      </c>
      <c r="AP29" s="247">
        <f t="shared" si="29"/>
        <v>2.5000000000000001E-3</v>
      </c>
      <c r="AQ29" s="247">
        <f t="shared" si="29"/>
        <v>2.5000000000000001E-3</v>
      </c>
      <c r="AR29" s="247">
        <f t="shared" si="29"/>
        <v>2.5000000000000001E-3</v>
      </c>
      <c r="AS29" s="247">
        <f t="shared" si="29"/>
        <v>2.5000000000000001E-3</v>
      </c>
      <c r="AT29" s="247">
        <f t="shared" si="29"/>
        <v>2.5000000000000001E-3</v>
      </c>
      <c r="AU29" s="247">
        <f t="shared" si="29"/>
        <v>2.5000000000000001E-3</v>
      </c>
      <c r="AV29" s="247">
        <f t="shared" si="29"/>
        <v>2.5000000000000001E-3</v>
      </c>
      <c r="AW29" s="247">
        <f t="shared" si="29"/>
        <v>2.5000000000000001E-3</v>
      </c>
      <c r="AX29" s="247">
        <f t="shared" si="29"/>
        <v>2.5000000000000001E-3</v>
      </c>
      <c r="AY29" s="247">
        <f t="shared" si="29"/>
        <v>2.5000000000000001E-3</v>
      </c>
      <c r="AZ29" s="247">
        <f t="shared" si="29"/>
        <v>2.5000000000000001E-3</v>
      </c>
    </row>
    <row r="30" spans="1:57" ht="15" customHeight="1">
      <c r="A30" s="93" t="s">
        <v>740</v>
      </c>
      <c r="B30" s="93">
        <v>7.577</v>
      </c>
      <c r="C30" s="93">
        <v>7.577</v>
      </c>
      <c r="D30" s="93">
        <v>7.577</v>
      </c>
      <c r="E30" s="93">
        <v>7.577</v>
      </c>
      <c r="F30" s="93">
        <v>7.577</v>
      </c>
      <c r="G30" s="93">
        <v>7.577</v>
      </c>
      <c r="H30" s="93">
        <v>7.577</v>
      </c>
      <c r="I30" s="93">
        <v>7.577</v>
      </c>
      <c r="J30" s="93">
        <v>7.6420000000000003</v>
      </c>
      <c r="K30" s="93">
        <v>7.6050000000000004</v>
      </c>
      <c r="L30" s="93">
        <v>7.6189999999999998</v>
      </c>
      <c r="M30" s="93">
        <v>7.6029999999999998</v>
      </c>
      <c r="N30" s="93">
        <v>7.6150000000000002</v>
      </c>
      <c r="O30" s="93">
        <v>7.6669999999999998</v>
      </c>
      <c r="P30" s="93">
        <v>7.6580000000000004</v>
      </c>
      <c r="Q30" s="93">
        <v>7.6550000000000002</v>
      </c>
      <c r="R30" s="93">
        <v>7.6520000000000001</v>
      </c>
      <c r="S30" s="93">
        <v>7.6550000000000002</v>
      </c>
      <c r="T30" s="94">
        <f t="shared" ref="T30:AB30" si="30">S30-($S$30-$AC$30)/10</f>
        <v>7.5095000000000001</v>
      </c>
      <c r="U30" s="94">
        <f t="shared" si="30"/>
        <v>7.3639999999999999</v>
      </c>
      <c r="V30" s="94">
        <f t="shared" si="30"/>
        <v>7.2184999999999997</v>
      </c>
      <c r="W30" s="94">
        <f t="shared" si="30"/>
        <v>7.0729999999999995</v>
      </c>
      <c r="X30" s="94">
        <f t="shared" si="30"/>
        <v>6.9274999999999993</v>
      </c>
      <c r="Y30" s="94">
        <f t="shared" si="30"/>
        <v>6.7819999999999991</v>
      </c>
      <c r="Z30" s="94">
        <f t="shared" si="30"/>
        <v>6.636499999999999</v>
      </c>
      <c r="AA30" s="94">
        <f t="shared" si="30"/>
        <v>6.4909999999999988</v>
      </c>
      <c r="AB30" s="94">
        <f t="shared" si="30"/>
        <v>6.3454999999999986</v>
      </c>
      <c r="AC30" s="345">
        <v>6.2</v>
      </c>
      <c r="AD30" s="88">
        <f t="shared" ref="AD30:AZ30" si="31">AC30</f>
        <v>6.2</v>
      </c>
      <c r="AE30" s="88">
        <f t="shared" si="31"/>
        <v>6.2</v>
      </c>
      <c r="AF30" s="88">
        <f t="shared" si="31"/>
        <v>6.2</v>
      </c>
      <c r="AG30" s="88">
        <f t="shared" si="31"/>
        <v>6.2</v>
      </c>
      <c r="AH30" s="88">
        <f t="shared" si="31"/>
        <v>6.2</v>
      </c>
      <c r="AI30" s="88">
        <f t="shared" si="31"/>
        <v>6.2</v>
      </c>
      <c r="AJ30" s="88">
        <f t="shared" si="31"/>
        <v>6.2</v>
      </c>
      <c r="AK30" s="88">
        <f t="shared" si="31"/>
        <v>6.2</v>
      </c>
      <c r="AL30" s="88">
        <f t="shared" si="31"/>
        <v>6.2</v>
      </c>
      <c r="AM30" s="88">
        <f t="shared" si="31"/>
        <v>6.2</v>
      </c>
      <c r="AN30" s="88">
        <f t="shared" si="31"/>
        <v>6.2</v>
      </c>
      <c r="AO30" s="88">
        <f t="shared" si="31"/>
        <v>6.2</v>
      </c>
      <c r="AP30" s="88">
        <f t="shared" si="31"/>
        <v>6.2</v>
      </c>
      <c r="AQ30" s="88">
        <f t="shared" si="31"/>
        <v>6.2</v>
      </c>
      <c r="AR30" s="88">
        <f t="shared" si="31"/>
        <v>6.2</v>
      </c>
      <c r="AS30" s="88">
        <f t="shared" si="31"/>
        <v>6.2</v>
      </c>
      <c r="AT30" s="88">
        <f t="shared" si="31"/>
        <v>6.2</v>
      </c>
      <c r="AU30" s="88">
        <f t="shared" si="31"/>
        <v>6.2</v>
      </c>
      <c r="AV30" s="88">
        <f t="shared" si="31"/>
        <v>6.2</v>
      </c>
      <c r="AW30" s="88">
        <f t="shared" si="31"/>
        <v>6.2</v>
      </c>
      <c r="AX30" s="88">
        <f t="shared" si="31"/>
        <v>6.2</v>
      </c>
      <c r="AY30" s="88">
        <f t="shared" si="31"/>
        <v>6.2</v>
      </c>
      <c r="AZ30" s="88">
        <f t="shared" si="31"/>
        <v>6.2</v>
      </c>
    </row>
    <row r="31" spans="1:57" ht="15" customHeight="1">
      <c r="A31" s="93" t="s">
        <v>741</v>
      </c>
      <c r="B31" s="93">
        <v>11.632</v>
      </c>
      <c r="C31" s="93">
        <v>11.632</v>
      </c>
      <c r="D31" s="93">
        <v>11.632</v>
      </c>
      <c r="E31" s="93">
        <v>11.632</v>
      </c>
      <c r="F31" s="93">
        <v>11.632</v>
      </c>
      <c r="G31" s="93">
        <v>11.632</v>
      </c>
      <c r="H31" s="93">
        <v>11.632</v>
      </c>
      <c r="I31" s="93">
        <v>11.632</v>
      </c>
      <c r="J31" s="93">
        <v>11.576000000000001</v>
      </c>
      <c r="K31" s="93">
        <v>11.56</v>
      </c>
      <c r="L31" s="93">
        <v>11.59</v>
      </c>
      <c r="M31" s="93">
        <v>11.569000000000001</v>
      </c>
      <c r="N31" s="93">
        <v>11.499000000000001</v>
      </c>
      <c r="O31" s="93">
        <v>11.371</v>
      </c>
      <c r="P31" s="93">
        <v>11.378</v>
      </c>
      <c r="Q31" s="93">
        <v>11.302</v>
      </c>
      <c r="R31" s="93">
        <v>11.214</v>
      </c>
      <c r="S31" s="93">
        <v>11.15</v>
      </c>
      <c r="T31" s="94">
        <f t="shared" ref="T31:AB31" si="32">S31-($S$31-$AC$31)/10</f>
        <v>10.89</v>
      </c>
      <c r="U31" s="94">
        <f t="shared" si="32"/>
        <v>10.63</v>
      </c>
      <c r="V31" s="94">
        <f t="shared" si="32"/>
        <v>10.370000000000001</v>
      </c>
      <c r="W31" s="94">
        <f t="shared" si="32"/>
        <v>10.110000000000001</v>
      </c>
      <c r="X31" s="94">
        <f t="shared" si="32"/>
        <v>9.8500000000000014</v>
      </c>
      <c r="Y31" s="94">
        <f t="shared" si="32"/>
        <v>9.5900000000000016</v>
      </c>
      <c r="Z31" s="94">
        <f t="shared" si="32"/>
        <v>9.3300000000000018</v>
      </c>
      <c r="AA31" s="94">
        <f t="shared" si="32"/>
        <v>9.0700000000000021</v>
      </c>
      <c r="AB31" s="94">
        <f t="shared" si="32"/>
        <v>8.8100000000000023</v>
      </c>
      <c r="AC31" s="345">
        <v>8.5500000000000007</v>
      </c>
      <c r="AD31" s="88">
        <f t="shared" ref="AD31:AZ31" si="33">AC31</f>
        <v>8.5500000000000007</v>
      </c>
      <c r="AE31" s="88">
        <f t="shared" si="33"/>
        <v>8.5500000000000007</v>
      </c>
      <c r="AF31" s="88">
        <f t="shared" si="33"/>
        <v>8.5500000000000007</v>
      </c>
      <c r="AG31" s="88">
        <f t="shared" si="33"/>
        <v>8.5500000000000007</v>
      </c>
      <c r="AH31" s="88">
        <f t="shared" si="33"/>
        <v>8.5500000000000007</v>
      </c>
      <c r="AI31" s="88">
        <f t="shared" si="33"/>
        <v>8.5500000000000007</v>
      </c>
      <c r="AJ31" s="88">
        <f t="shared" si="33"/>
        <v>8.5500000000000007</v>
      </c>
      <c r="AK31" s="88">
        <f t="shared" si="33"/>
        <v>8.5500000000000007</v>
      </c>
      <c r="AL31" s="88">
        <f t="shared" si="33"/>
        <v>8.5500000000000007</v>
      </c>
      <c r="AM31" s="88">
        <f t="shared" si="33"/>
        <v>8.5500000000000007</v>
      </c>
      <c r="AN31" s="88">
        <f t="shared" si="33"/>
        <v>8.5500000000000007</v>
      </c>
      <c r="AO31" s="88">
        <f t="shared" si="33"/>
        <v>8.5500000000000007</v>
      </c>
      <c r="AP31" s="88">
        <f t="shared" si="33"/>
        <v>8.5500000000000007</v>
      </c>
      <c r="AQ31" s="88">
        <f t="shared" si="33"/>
        <v>8.5500000000000007</v>
      </c>
      <c r="AR31" s="88">
        <f t="shared" si="33"/>
        <v>8.5500000000000007</v>
      </c>
      <c r="AS31" s="88">
        <f t="shared" si="33"/>
        <v>8.5500000000000007</v>
      </c>
      <c r="AT31" s="88">
        <f t="shared" si="33"/>
        <v>8.5500000000000007</v>
      </c>
      <c r="AU31" s="88">
        <f t="shared" si="33"/>
        <v>8.5500000000000007</v>
      </c>
      <c r="AV31" s="88">
        <f t="shared" si="33"/>
        <v>8.5500000000000007</v>
      </c>
      <c r="AW31" s="88">
        <f t="shared" si="33"/>
        <v>8.5500000000000007</v>
      </c>
      <c r="AX31" s="88">
        <f t="shared" si="33"/>
        <v>8.5500000000000007</v>
      </c>
      <c r="AY31" s="88">
        <f t="shared" si="33"/>
        <v>8.5500000000000007</v>
      </c>
      <c r="AZ31" s="88">
        <f t="shared" si="33"/>
        <v>8.5500000000000007</v>
      </c>
    </row>
    <row r="32" spans="1:57" ht="15" customHeight="1">
      <c r="A32" s="93" t="s">
        <v>742</v>
      </c>
      <c r="B32" s="342">
        <f t="shared" ref="B32:AZ32" si="34">B52*B30</f>
        <v>33.187260000000002</v>
      </c>
      <c r="C32" s="342">
        <f t="shared" si="34"/>
        <v>34.929970000000004</v>
      </c>
      <c r="D32" s="342">
        <f t="shared" si="34"/>
        <v>27.88336</v>
      </c>
      <c r="E32" s="342">
        <f t="shared" si="34"/>
        <v>42.203890000000001</v>
      </c>
      <c r="F32" s="342">
        <f t="shared" si="34"/>
        <v>46.295470000000002</v>
      </c>
      <c r="G32" s="342">
        <f t="shared" si="34"/>
        <v>64.17719000000001</v>
      </c>
      <c r="H32" s="342">
        <f t="shared" si="34"/>
        <v>53.87247</v>
      </c>
      <c r="I32" s="342">
        <f t="shared" si="34"/>
        <v>55.387869999999999</v>
      </c>
      <c r="J32" s="342">
        <f t="shared" si="34"/>
        <v>70.764920000000004</v>
      </c>
      <c r="K32" s="342">
        <f t="shared" si="34"/>
        <v>37.492649999999998</v>
      </c>
      <c r="L32" s="342">
        <f t="shared" si="34"/>
        <v>40.152129999999993</v>
      </c>
      <c r="M32" s="342">
        <f t="shared" si="34"/>
        <v>37.178669999999997</v>
      </c>
      <c r="N32" s="342">
        <f t="shared" si="34"/>
        <v>26.957100000000001</v>
      </c>
      <c r="O32" s="342">
        <f t="shared" si="34"/>
        <v>34.42483</v>
      </c>
      <c r="P32" s="342">
        <f t="shared" si="34"/>
        <v>39.745020000000004</v>
      </c>
      <c r="Q32" s="342">
        <f t="shared" si="34"/>
        <v>25.873899999999999</v>
      </c>
      <c r="R32" s="342">
        <f t="shared" si="34"/>
        <v>22.879480000000001</v>
      </c>
      <c r="S32" s="342">
        <f t="shared" si="34"/>
        <v>26.945600000000002</v>
      </c>
      <c r="T32" s="342">
        <f t="shared" si="34"/>
        <v>27.559864999999999</v>
      </c>
      <c r="U32" s="342">
        <f t="shared" si="34"/>
        <v>24.960322183999999</v>
      </c>
      <c r="V32" s="97">
        <f t="shared" si="34"/>
        <v>25.412989115999999</v>
      </c>
      <c r="W32" s="342">
        <f t="shared" si="34"/>
        <v>24.503602178000001</v>
      </c>
      <c r="X32" s="342">
        <f t="shared" si="34"/>
        <v>24.399236909999999</v>
      </c>
      <c r="Y32" s="342">
        <f t="shared" si="34"/>
        <v>25.066495805999995</v>
      </c>
      <c r="Z32" s="342">
        <f t="shared" si="34"/>
        <v>26.064183463499994</v>
      </c>
      <c r="AA32" s="342">
        <f t="shared" si="34"/>
        <v>27.004578700999996</v>
      </c>
      <c r="AB32" s="342">
        <f t="shared" si="34"/>
        <v>26.838158994499995</v>
      </c>
      <c r="AC32" s="342">
        <f t="shared" si="34"/>
        <v>26.273950799999998</v>
      </c>
      <c r="AD32" s="342">
        <f t="shared" si="34"/>
        <v>26.771085399999997</v>
      </c>
      <c r="AE32" s="342">
        <f t="shared" si="34"/>
        <v>26.732205199999999</v>
      </c>
      <c r="AF32" s="342">
        <f t="shared" si="34"/>
        <v>26.975313400000005</v>
      </c>
      <c r="AG32" s="342">
        <f t="shared" si="34"/>
        <v>26.913536600000004</v>
      </c>
      <c r="AH32" s="342">
        <f t="shared" si="34"/>
        <v>27.884258200000001</v>
      </c>
      <c r="AI32" s="342">
        <f t="shared" si="34"/>
        <v>28.238569600000002</v>
      </c>
      <c r="AJ32" s="342">
        <f t="shared" si="34"/>
        <v>28.500885400000001</v>
      </c>
      <c r="AK32" s="342">
        <f t="shared" si="34"/>
        <v>28.738760800000005</v>
      </c>
      <c r="AL32" s="342">
        <f t="shared" si="34"/>
        <v>29.214431000000005</v>
      </c>
      <c r="AM32" s="342">
        <f t="shared" si="34"/>
        <v>29.280244</v>
      </c>
      <c r="AN32" s="342">
        <f t="shared" si="34"/>
        <v>29.2763256</v>
      </c>
      <c r="AO32" s="342">
        <f t="shared" si="34"/>
        <v>29.3948386</v>
      </c>
      <c r="AP32" s="342">
        <f t="shared" si="34"/>
        <v>29.8421314</v>
      </c>
      <c r="AQ32" s="342">
        <f t="shared" si="34"/>
        <v>29.716352000000001</v>
      </c>
      <c r="AR32" s="342">
        <f t="shared" si="34"/>
        <v>29.993163400000004</v>
      </c>
      <c r="AS32" s="342">
        <f t="shared" si="34"/>
        <v>30.3907694</v>
      </c>
      <c r="AT32" s="342">
        <f t="shared" si="34"/>
        <v>30.968714800000001</v>
      </c>
      <c r="AU32" s="342">
        <f t="shared" si="34"/>
        <v>31.430620999999999</v>
      </c>
      <c r="AV32" s="342">
        <f t="shared" si="34"/>
        <v>31.780964400000002</v>
      </c>
      <c r="AW32" s="342">
        <f t="shared" si="34"/>
        <v>32.261451999999998</v>
      </c>
      <c r="AX32" s="342">
        <f t="shared" si="34"/>
        <v>33.184532800000007</v>
      </c>
      <c r="AY32" s="342">
        <f t="shared" si="34"/>
        <v>33.776304199999998</v>
      </c>
      <c r="AZ32" s="342">
        <f t="shared" si="34"/>
        <v>34.342699000000003</v>
      </c>
    </row>
    <row r="33" spans="1:52" ht="15" customHeight="1">
      <c r="A33" s="93" t="s">
        <v>743</v>
      </c>
      <c r="B33" s="342">
        <f t="shared" ref="B33:AZ33" si="35">B52*B31</f>
        <v>50.948159999999994</v>
      </c>
      <c r="C33" s="342">
        <f t="shared" si="35"/>
        <v>53.623519999999999</v>
      </c>
      <c r="D33" s="342">
        <f t="shared" si="35"/>
        <v>42.805759999999999</v>
      </c>
      <c r="E33" s="342">
        <f t="shared" si="35"/>
        <v>64.790239999999997</v>
      </c>
      <c r="F33" s="342">
        <f t="shared" si="35"/>
        <v>71.071520000000007</v>
      </c>
      <c r="G33" s="342">
        <f t="shared" si="35"/>
        <v>98.523040000000009</v>
      </c>
      <c r="H33" s="342">
        <f t="shared" si="35"/>
        <v>82.703519999999997</v>
      </c>
      <c r="I33" s="342">
        <f t="shared" si="35"/>
        <v>85.02991999999999</v>
      </c>
      <c r="J33" s="342">
        <f t="shared" si="35"/>
        <v>107.19376</v>
      </c>
      <c r="K33" s="342">
        <f t="shared" si="35"/>
        <v>56.9908</v>
      </c>
      <c r="L33" s="342">
        <f t="shared" si="35"/>
        <v>61.079299999999996</v>
      </c>
      <c r="M33" s="342">
        <f t="shared" si="35"/>
        <v>56.572409999999998</v>
      </c>
      <c r="N33" s="342">
        <f t="shared" si="35"/>
        <v>40.70646</v>
      </c>
      <c r="O33" s="342">
        <f t="shared" si="35"/>
        <v>51.055790000000002</v>
      </c>
      <c r="P33" s="342">
        <f t="shared" si="35"/>
        <v>59.051820000000006</v>
      </c>
      <c r="Q33" s="342">
        <f t="shared" si="35"/>
        <v>38.200759999999995</v>
      </c>
      <c r="R33" s="342">
        <f t="shared" si="35"/>
        <v>33.529860000000006</v>
      </c>
      <c r="S33" s="342">
        <f t="shared" si="35"/>
        <v>39.248000000000005</v>
      </c>
      <c r="T33" s="342">
        <f t="shared" si="35"/>
        <v>39.966300000000004</v>
      </c>
      <c r="U33" s="342">
        <f t="shared" si="35"/>
        <v>36.03044878</v>
      </c>
      <c r="V33" s="97">
        <f t="shared" si="35"/>
        <v>36.50795832</v>
      </c>
      <c r="W33" s="342">
        <f t="shared" si="35"/>
        <v>35.024942460000005</v>
      </c>
      <c r="X33" s="342">
        <f t="shared" si="35"/>
        <v>34.692527400000003</v>
      </c>
      <c r="Y33" s="342">
        <f t="shared" si="35"/>
        <v>35.444956470000008</v>
      </c>
      <c r="Z33" s="342">
        <f t="shared" si="35"/>
        <v>36.642632670000005</v>
      </c>
      <c r="AA33" s="342">
        <f t="shared" si="35"/>
        <v>37.734020770000008</v>
      </c>
      <c r="AB33" s="342">
        <f t="shared" si="35"/>
        <v>37.261709990000014</v>
      </c>
      <c r="AC33" s="342">
        <f t="shared" si="35"/>
        <v>36.2326257</v>
      </c>
      <c r="AD33" s="342">
        <f t="shared" si="35"/>
        <v>36.918190349999996</v>
      </c>
      <c r="AE33" s="342">
        <f t="shared" si="35"/>
        <v>36.864573300000004</v>
      </c>
      <c r="AF33" s="342">
        <f t="shared" si="35"/>
        <v>37.199827350000007</v>
      </c>
      <c r="AG33" s="342">
        <f t="shared" si="35"/>
        <v>37.114635150000005</v>
      </c>
      <c r="AH33" s="342">
        <f t="shared" si="35"/>
        <v>38.453291550000003</v>
      </c>
      <c r="AI33" s="342">
        <f t="shared" si="35"/>
        <v>38.941898400000007</v>
      </c>
      <c r="AJ33" s="342">
        <f t="shared" si="35"/>
        <v>39.303640350000009</v>
      </c>
      <c r="AK33" s="342">
        <f t="shared" si="35"/>
        <v>39.63167820000001</v>
      </c>
      <c r="AL33" s="342">
        <f t="shared" si="35"/>
        <v>40.28764275000001</v>
      </c>
      <c r="AM33" s="342">
        <f t="shared" si="35"/>
        <v>40.378401000000004</v>
      </c>
      <c r="AN33" s="342">
        <f t="shared" si="35"/>
        <v>40.372997400000003</v>
      </c>
      <c r="AO33" s="342">
        <f t="shared" si="35"/>
        <v>40.53643065</v>
      </c>
      <c r="AP33" s="342">
        <f t="shared" si="35"/>
        <v>41.15326185</v>
      </c>
      <c r="AQ33" s="342">
        <f t="shared" si="35"/>
        <v>40.979808000000006</v>
      </c>
      <c r="AR33" s="342">
        <f t="shared" si="35"/>
        <v>41.361539850000007</v>
      </c>
      <c r="AS33" s="342">
        <f t="shared" si="35"/>
        <v>41.909851350000004</v>
      </c>
      <c r="AT33" s="342">
        <f t="shared" si="35"/>
        <v>42.706856700000003</v>
      </c>
      <c r="AU33" s="342">
        <f t="shared" si="35"/>
        <v>43.34384025</v>
      </c>
      <c r="AV33" s="342">
        <f t="shared" si="35"/>
        <v>43.826975100000006</v>
      </c>
      <c r="AW33" s="342">
        <f t="shared" si="35"/>
        <v>44.489583000000003</v>
      </c>
      <c r="AX33" s="342">
        <f t="shared" si="35"/>
        <v>45.762541200000008</v>
      </c>
      <c r="AY33" s="342">
        <f t="shared" si="35"/>
        <v>46.578613050000001</v>
      </c>
      <c r="AZ33" s="342">
        <f t="shared" si="35"/>
        <v>47.359689750000008</v>
      </c>
    </row>
    <row r="34" spans="1:52" ht="15" customHeight="1">
      <c r="A34" s="93" t="s">
        <v>744</v>
      </c>
      <c r="B34" s="93"/>
      <c r="C34" s="93"/>
      <c r="D34" s="93"/>
      <c r="E34" s="93"/>
      <c r="F34" s="93"/>
      <c r="G34" s="93"/>
      <c r="H34" s="93"/>
      <c r="I34" s="93"/>
      <c r="J34" s="93"/>
      <c r="K34" s="93"/>
      <c r="L34" s="93"/>
      <c r="M34" s="93"/>
      <c r="N34" s="93"/>
      <c r="O34" s="93"/>
      <c r="P34" s="93"/>
      <c r="Q34" s="93"/>
      <c r="R34" s="93"/>
      <c r="S34" s="93"/>
      <c r="T34" s="93"/>
      <c r="U34" s="93"/>
      <c r="V34" s="343">
        <v>0.20100000000000001</v>
      </c>
      <c r="W34" s="344">
        <f t="shared" ref="W34:AZ34" si="36">V34</f>
        <v>0.20100000000000001</v>
      </c>
      <c r="X34" s="344">
        <f t="shared" si="36"/>
        <v>0.20100000000000001</v>
      </c>
      <c r="Y34" s="344">
        <f t="shared" si="36"/>
        <v>0.20100000000000001</v>
      </c>
      <c r="Z34" s="344">
        <f t="shared" si="36"/>
        <v>0.20100000000000001</v>
      </c>
      <c r="AA34" s="344">
        <f t="shared" si="36"/>
        <v>0.20100000000000001</v>
      </c>
      <c r="AB34" s="344">
        <f t="shared" si="36"/>
        <v>0.20100000000000001</v>
      </c>
      <c r="AC34" s="344">
        <f t="shared" si="36"/>
        <v>0.20100000000000001</v>
      </c>
      <c r="AD34" s="344">
        <f t="shared" si="36"/>
        <v>0.20100000000000001</v>
      </c>
      <c r="AE34" s="344">
        <f t="shared" si="36"/>
        <v>0.20100000000000001</v>
      </c>
      <c r="AF34" s="344">
        <f t="shared" si="36"/>
        <v>0.20100000000000001</v>
      </c>
      <c r="AG34" s="344">
        <f t="shared" si="36"/>
        <v>0.20100000000000001</v>
      </c>
      <c r="AH34" s="344">
        <f t="shared" si="36"/>
        <v>0.20100000000000001</v>
      </c>
      <c r="AI34" s="344">
        <f t="shared" si="36"/>
        <v>0.20100000000000001</v>
      </c>
      <c r="AJ34" s="344">
        <f t="shared" si="36"/>
        <v>0.20100000000000001</v>
      </c>
      <c r="AK34" s="344">
        <f t="shared" si="36"/>
        <v>0.20100000000000001</v>
      </c>
      <c r="AL34" s="344">
        <f t="shared" si="36"/>
        <v>0.20100000000000001</v>
      </c>
      <c r="AM34" s="344">
        <f t="shared" si="36"/>
        <v>0.20100000000000001</v>
      </c>
      <c r="AN34" s="344">
        <f t="shared" si="36"/>
        <v>0.20100000000000001</v>
      </c>
      <c r="AO34" s="344">
        <f t="shared" si="36"/>
        <v>0.20100000000000001</v>
      </c>
      <c r="AP34" s="344">
        <f t="shared" si="36"/>
        <v>0.20100000000000001</v>
      </c>
      <c r="AQ34" s="344">
        <f t="shared" si="36"/>
        <v>0.20100000000000001</v>
      </c>
      <c r="AR34" s="344">
        <f t="shared" si="36"/>
        <v>0.20100000000000001</v>
      </c>
      <c r="AS34" s="344">
        <f t="shared" si="36"/>
        <v>0.20100000000000001</v>
      </c>
      <c r="AT34" s="344">
        <f t="shared" si="36"/>
        <v>0.20100000000000001</v>
      </c>
      <c r="AU34" s="344">
        <f t="shared" si="36"/>
        <v>0.20100000000000001</v>
      </c>
      <c r="AV34" s="344">
        <f t="shared" si="36"/>
        <v>0.20100000000000001</v>
      </c>
      <c r="AW34" s="344">
        <f t="shared" si="36"/>
        <v>0.20100000000000001</v>
      </c>
      <c r="AX34" s="344">
        <f t="shared" si="36"/>
        <v>0.20100000000000001</v>
      </c>
      <c r="AY34" s="344">
        <f t="shared" si="36"/>
        <v>0.20100000000000001</v>
      </c>
      <c r="AZ34" s="344">
        <f t="shared" si="36"/>
        <v>0.20100000000000001</v>
      </c>
    </row>
    <row r="35" spans="1:52" ht="15" customHeight="1">
      <c r="A35" s="93" t="s">
        <v>112</v>
      </c>
      <c r="B35" s="253">
        <v>0.35</v>
      </c>
      <c r="C35" s="253">
        <v>0.35</v>
      </c>
      <c r="D35" s="253">
        <v>0.35</v>
      </c>
      <c r="E35" s="253">
        <v>0.35</v>
      </c>
      <c r="F35" s="253">
        <v>0.35</v>
      </c>
      <c r="G35" s="253">
        <v>0.35</v>
      </c>
      <c r="H35" s="253">
        <v>0.35</v>
      </c>
      <c r="I35" s="253">
        <v>0.35</v>
      </c>
      <c r="J35" s="253">
        <v>0.35</v>
      </c>
      <c r="K35" s="253">
        <v>0.35</v>
      </c>
      <c r="L35" s="253">
        <v>0.35</v>
      </c>
      <c r="M35" s="253">
        <v>0.35</v>
      </c>
      <c r="N35" s="253">
        <v>0.35</v>
      </c>
      <c r="O35" s="253">
        <v>0.35</v>
      </c>
      <c r="P35" s="253">
        <v>0.35</v>
      </c>
      <c r="Q35" s="253">
        <v>0.35</v>
      </c>
      <c r="R35" s="253">
        <v>0.35</v>
      </c>
      <c r="S35" s="253">
        <v>0.35</v>
      </c>
      <c r="T35" s="253">
        <v>0.21</v>
      </c>
      <c r="U35" s="253">
        <v>0.21</v>
      </c>
      <c r="V35" s="254">
        <v>0.21</v>
      </c>
      <c r="W35" s="102">
        <f t="shared" ref="W35:AZ35" si="37">V35</f>
        <v>0.21</v>
      </c>
      <c r="X35" s="102">
        <f t="shared" si="37"/>
        <v>0.21</v>
      </c>
      <c r="Y35" s="102">
        <f t="shared" si="37"/>
        <v>0.21</v>
      </c>
      <c r="Z35" s="102">
        <f t="shared" si="37"/>
        <v>0.21</v>
      </c>
      <c r="AA35" s="102">
        <f t="shared" si="37"/>
        <v>0.21</v>
      </c>
      <c r="AB35" s="102">
        <f t="shared" si="37"/>
        <v>0.21</v>
      </c>
      <c r="AC35" s="102">
        <f t="shared" si="37"/>
        <v>0.21</v>
      </c>
      <c r="AD35" s="102">
        <f t="shared" si="37"/>
        <v>0.21</v>
      </c>
      <c r="AE35" s="102">
        <f t="shared" si="37"/>
        <v>0.21</v>
      </c>
      <c r="AF35" s="102">
        <f t="shared" si="37"/>
        <v>0.21</v>
      </c>
      <c r="AG35" s="102">
        <f t="shared" si="37"/>
        <v>0.21</v>
      </c>
      <c r="AH35" s="102">
        <f t="shared" si="37"/>
        <v>0.21</v>
      </c>
      <c r="AI35" s="102">
        <f t="shared" si="37"/>
        <v>0.21</v>
      </c>
      <c r="AJ35" s="102">
        <f t="shared" si="37"/>
        <v>0.21</v>
      </c>
      <c r="AK35" s="102">
        <f t="shared" si="37"/>
        <v>0.21</v>
      </c>
      <c r="AL35" s="102">
        <f t="shared" si="37"/>
        <v>0.21</v>
      </c>
      <c r="AM35" s="102">
        <f t="shared" si="37"/>
        <v>0.21</v>
      </c>
      <c r="AN35" s="102">
        <f t="shared" si="37"/>
        <v>0.21</v>
      </c>
      <c r="AO35" s="102">
        <f t="shared" si="37"/>
        <v>0.21</v>
      </c>
      <c r="AP35" s="102">
        <f t="shared" si="37"/>
        <v>0.21</v>
      </c>
      <c r="AQ35" s="102">
        <f t="shared" si="37"/>
        <v>0.21</v>
      </c>
      <c r="AR35" s="102">
        <f t="shared" si="37"/>
        <v>0.21</v>
      </c>
      <c r="AS35" s="102">
        <f t="shared" si="37"/>
        <v>0.21</v>
      </c>
      <c r="AT35" s="102">
        <f t="shared" si="37"/>
        <v>0.21</v>
      </c>
      <c r="AU35" s="102">
        <f t="shared" si="37"/>
        <v>0.21</v>
      </c>
      <c r="AV35" s="102">
        <f t="shared" si="37"/>
        <v>0.21</v>
      </c>
      <c r="AW35" s="102">
        <f t="shared" si="37"/>
        <v>0.21</v>
      </c>
      <c r="AX35" s="102">
        <f t="shared" si="37"/>
        <v>0.21</v>
      </c>
      <c r="AY35" s="102">
        <f t="shared" si="37"/>
        <v>0.21</v>
      </c>
      <c r="AZ35" s="102">
        <f t="shared" si="37"/>
        <v>0.21</v>
      </c>
    </row>
    <row r="36" spans="1:52" ht="15" customHeight="1">
      <c r="A36" s="93" t="s">
        <v>114</v>
      </c>
      <c r="B36" s="95">
        <f t="shared" ref="B36:U36" si="38">C36</f>
        <v>0.89</v>
      </c>
      <c r="C36" s="95">
        <f t="shared" si="38"/>
        <v>0.89</v>
      </c>
      <c r="D36" s="95">
        <f t="shared" si="38"/>
        <v>0.89</v>
      </c>
      <c r="E36" s="95">
        <f t="shared" si="38"/>
        <v>0.89</v>
      </c>
      <c r="F36" s="95">
        <f t="shared" si="38"/>
        <v>0.89</v>
      </c>
      <c r="G36" s="95">
        <f t="shared" si="38"/>
        <v>0.89</v>
      </c>
      <c r="H36" s="95">
        <f t="shared" si="38"/>
        <v>0.89</v>
      </c>
      <c r="I36" s="95">
        <f t="shared" si="38"/>
        <v>0.89</v>
      </c>
      <c r="J36" s="95">
        <f t="shared" si="38"/>
        <v>0.89</v>
      </c>
      <c r="K36" s="95">
        <f t="shared" si="38"/>
        <v>0.89</v>
      </c>
      <c r="L36" s="95">
        <f t="shared" si="38"/>
        <v>0.89</v>
      </c>
      <c r="M36" s="95">
        <f t="shared" si="38"/>
        <v>0.89</v>
      </c>
      <c r="N36" s="95">
        <f t="shared" si="38"/>
        <v>0.89</v>
      </c>
      <c r="O36" s="95">
        <f t="shared" si="38"/>
        <v>0.89</v>
      </c>
      <c r="P36" s="95">
        <f t="shared" si="38"/>
        <v>0.89</v>
      </c>
      <c r="Q36" s="95">
        <f t="shared" si="38"/>
        <v>0.89</v>
      </c>
      <c r="R36" s="95">
        <f t="shared" si="38"/>
        <v>0.89</v>
      </c>
      <c r="S36" s="95">
        <f t="shared" si="38"/>
        <v>0.89</v>
      </c>
      <c r="T36" s="95">
        <f t="shared" si="38"/>
        <v>0.89</v>
      </c>
      <c r="U36" s="95">
        <f t="shared" si="38"/>
        <v>0.89</v>
      </c>
      <c r="V36" s="97">
        <v>0.89</v>
      </c>
      <c r="W36" s="91">
        <f t="shared" ref="W36:AZ36" si="39">V36*(1+V53)</f>
        <v>0.90780000000000005</v>
      </c>
      <c r="X36" s="91">
        <f t="shared" si="39"/>
        <v>0.92595600000000011</v>
      </c>
      <c r="Y36" s="91">
        <f t="shared" si="39"/>
        <v>0.94447512000000011</v>
      </c>
      <c r="Z36" s="91">
        <f t="shared" si="39"/>
        <v>0.96336462240000009</v>
      </c>
      <c r="AA36" s="91">
        <f t="shared" si="39"/>
        <v>0.98263191484800017</v>
      </c>
      <c r="AB36" s="91">
        <f t="shared" si="39"/>
        <v>1.0022845531449602</v>
      </c>
      <c r="AC36" s="91">
        <f t="shared" si="39"/>
        <v>1.0223302442078595</v>
      </c>
      <c r="AD36" s="91">
        <f t="shared" si="39"/>
        <v>1.0427768490920166</v>
      </c>
      <c r="AE36" s="91">
        <f t="shared" si="39"/>
        <v>1.063632386073857</v>
      </c>
      <c r="AF36" s="91">
        <f t="shared" si="39"/>
        <v>1.0849050337953341</v>
      </c>
      <c r="AG36" s="91">
        <f t="shared" si="39"/>
        <v>1.1066031344712408</v>
      </c>
      <c r="AH36" s="91">
        <f t="shared" si="39"/>
        <v>1.1287351971606656</v>
      </c>
      <c r="AI36" s="91">
        <f t="shared" si="39"/>
        <v>1.151309901103879</v>
      </c>
      <c r="AJ36" s="91">
        <f t="shared" si="39"/>
        <v>1.1743360991259566</v>
      </c>
      <c r="AK36" s="91">
        <f t="shared" si="39"/>
        <v>1.1978228211084758</v>
      </c>
      <c r="AL36" s="91">
        <f t="shared" si="39"/>
        <v>1.2217792775306453</v>
      </c>
      <c r="AM36" s="91">
        <f t="shared" si="39"/>
        <v>1.2462148630812582</v>
      </c>
      <c r="AN36" s="91">
        <f t="shared" si="39"/>
        <v>1.2711391603428834</v>
      </c>
      <c r="AO36" s="91">
        <f t="shared" si="39"/>
        <v>1.2965619435497411</v>
      </c>
      <c r="AP36" s="91">
        <f t="shared" si="39"/>
        <v>1.322493182420736</v>
      </c>
      <c r="AQ36" s="91">
        <f t="shared" si="39"/>
        <v>1.3489430460691507</v>
      </c>
      <c r="AR36" s="91">
        <f t="shared" si="39"/>
        <v>1.3759219069905337</v>
      </c>
      <c r="AS36" s="91">
        <f t="shared" si="39"/>
        <v>1.4034403451303445</v>
      </c>
      <c r="AT36" s="91">
        <f t="shared" si="39"/>
        <v>1.4315091520329515</v>
      </c>
      <c r="AU36" s="91">
        <f t="shared" si="39"/>
        <v>1.4601393350736105</v>
      </c>
      <c r="AV36" s="91">
        <f t="shared" si="39"/>
        <v>1.4893421217750826</v>
      </c>
      <c r="AW36" s="91">
        <f t="shared" si="39"/>
        <v>1.5191289642105843</v>
      </c>
      <c r="AX36" s="91">
        <f t="shared" si="39"/>
        <v>1.5495115434947959</v>
      </c>
      <c r="AY36" s="91">
        <f t="shared" si="39"/>
        <v>1.5805017743646919</v>
      </c>
      <c r="AZ36" s="91">
        <f t="shared" si="39"/>
        <v>1.6121118098519858</v>
      </c>
    </row>
    <row r="37" spans="1:52" ht="15" customHeight="1">
      <c r="A37" s="93" t="s">
        <v>746</v>
      </c>
      <c r="B37" s="93"/>
      <c r="C37" s="93"/>
      <c r="D37" s="93"/>
      <c r="E37" s="93"/>
      <c r="F37" s="93"/>
      <c r="G37" s="93"/>
      <c r="H37" s="93"/>
      <c r="I37" s="93"/>
      <c r="J37" s="93"/>
      <c r="K37" s="93"/>
      <c r="L37" s="93"/>
      <c r="M37" s="93"/>
      <c r="N37" s="93"/>
      <c r="O37" s="93"/>
      <c r="P37" s="93"/>
      <c r="Q37" s="93"/>
      <c r="R37" s="93"/>
      <c r="S37" s="93"/>
      <c r="T37" s="93"/>
      <c r="U37" s="93"/>
      <c r="V37" s="332">
        <v>27</v>
      </c>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row>
    <row r="38" spans="1:52" ht="15" customHeight="1">
      <c r="A38" s="93" t="s">
        <v>747</v>
      </c>
      <c r="B38" s="93"/>
      <c r="C38" s="93"/>
      <c r="D38" s="93"/>
      <c r="E38" s="93"/>
      <c r="F38" s="93"/>
      <c r="G38" s="93"/>
      <c r="H38" s="93"/>
      <c r="I38" s="93"/>
      <c r="J38" s="93"/>
      <c r="K38" s="93"/>
      <c r="L38" s="93"/>
      <c r="M38" s="93"/>
      <c r="N38" s="93"/>
      <c r="O38" s="93"/>
      <c r="P38" s="93"/>
      <c r="Q38" s="93"/>
      <c r="R38" s="93"/>
      <c r="S38" s="93"/>
      <c r="T38" s="93"/>
      <c r="U38" s="93"/>
      <c r="V38" s="332">
        <v>34</v>
      </c>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row>
    <row r="39" spans="1:52" ht="15" customHeight="1">
      <c r="A39" s="93" t="s">
        <v>748</v>
      </c>
      <c r="B39" s="93"/>
      <c r="C39" s="93"/>
      <c r="D39" s="93"/>
      <c r="E39" s="93"/>
      <c r="F39" s="93"/>
      <c r="G39" s="93"/>
      <c r="H39" s="93"/>
      <c r="I39" s="93"/>
      <c r="J39" s="93"/>
      <c r="K39" s="93"/>
      <c r="L39" s="93"/>
      <c r="M39" s="93"/>
      <c r="N39" s="93"/>
      <c r="O39" s="93"/>
      <c r="P39" s="93"/>
      <c r="Q39" s="93"/>
      <c r="R39" s="93"/>
      <c r="S39" s="93"/>
      <c r="T39" s="93"/>
      <c r="U39" s="93"/>
      <c r="V39" s="332">
        <v>13</v>
      </c>
      <c r="W39" s="88"/>
      <c r="X39" s="346"/>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row>
    <row r="40" spans="1:52" ht="15" customHeight="1">
      <c r="A40" s="93" t="s">
        <v>750</v>
      </c>
      <c r="B40" s="93"/>
      <c r="C40" s="93"/>
      <c r="D40" s="93"/>
      <c r="E40" s="93"/>
      <c r="F40" s="93"/>
      <c r="G40" s="93"/>
      <c r="H40" s="93"/>
      <c r="I40" s="93"/>
      <c r="J40" s="93"/>
      <c r="K40" s="347"/>
      <c r="L40" s="347"/>
      <c r="M40" s="347"/>
      <c r="N40" s="347"/>
      <c r="O40" s="347"/>
      <c r="P40" s="347"/>
      <c r="Q40" s="347"/>
      <c r="R40" s="347"/>
      <c r="S40" s="93"/>
      <c r="T40" s="93"/>
      <c r="U40" s="93"/>
      <c r="V40" s="332">
        <v>15</v>
      </c>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row>
    <row r="41" spans="1:52" ht="15" customHeight="1">
      <c r="A41" s="93" t="s">
        <v>752</v>
      </c>
      <c r="B41" s="93"/>
      <c r="C41" s="93"/>
      <c r="D41" s="93"/>
      <c r="E41" s="93"/>
      <c r="F41" s="93"/>
      <c r="G41" s="93"/>
      <c r="H41" s="93"/>
      <c r="I41" s="93"/>
      <c r="J41" s="93"/>
      <c r="K41" s="93"/>
      <c r="L41" s="93"/>
      <c r="M41" s="93"/>
      <c r="N41" s="93"/>
      <c r="O41" s="93"/>
      <c r="P41" s="93"/>
      <c r="Q41" s="93"/>
      <c r="R41" s="93"/>
      <c r="S41" s="93"/>
      <c r="T41" s="93"/>
      <c r="U41" s="93"/>
      <c r="V41" s="332">
        <v>29</v>
      </c>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row>
    <row r="42" spans="1:52" ht="15" customHeight="1">
      <c r="A42" s="93" t="s">
        <v>753</v>
      </c>
      <c r="B42" s="93"/>
      <c r="C42" s="93"/>
      <c r="D42" s="93"/>
      <c r="E42" s="93"/>
      <c r="F42" s="93"/>
      <c r="G42" s="93"/>
      <c r="H42" s="93"/>
      <c r="I42" s="93"/>
      <c r="J42" s="93"/>
      <c r="K42" s="93"/>
      <c r="L42" s="93"/>
      <c r="M42" s="93"/>
      <c r="N42" s="93"/>
      <c r="O42" s="93"/>
      <c r="P42" s="93"/>
      <c r="Q42" s="93"/>
      <c r="R42" s="93"/>
      <c r="S42" s="93"/>
      <c r="T42" s="93"/>
      <c r="U42" s="93"/>
      <c r="V42" s="332">
        <v>48</v>
      </c>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row>
    <row r="43" spans="1:52" ht="15" customHeight="1">
      <c r="A43" s="93" t="s">
        <v>754</v>
      </c>
      <c r="B43" s="93"/>
      <c r="C43" s="93"/>
      <c r="D43" s="93"/>
      <c r="E43" s="93"/>
      <c r="F43" s="93"/>
      <c r="G43" s="93"/>
      <c r="H43" s="93"/>
      <c r="I43" s="93"/>
      <c r="J43" s="93"/>
      <c r="K43" s="93"/>
      <c r="L43" s="93"/>
      <c r="M43" s="93"/>
      <c r="N43" s="93"/>
      <c r="O43" s="93"/>
      <c r="P43" s="93"/>
      <c r="Q43" s="93"/>
      <c r="R43" s="93"/>
      <c r="S43" s="93"/>
      <c r="T43" s="93"/>
      <c r="U43" s="93"/>
      <c r="V43" s="332">
        <v>10</v>
      </c>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row>
    <row r="44" spans="1:52" ht="15" customHeight="1">
      <c r="A44" s="93" t="s">
        <v>755</v>
      </c>
      <c r="B44" s="93"/>
      <c r="C44" s="93"/>
      <c r="D44" s="93"/>
      <c r="E44" s="93"/>
      <c r="F44" s="93"/>
      <c r="G44" s="93"/>
      <c r="H44" s="93"/>
      <c r="I44" s="93"/>
      <c r="J44" s="93"/>
      <c r="K44" s="93"/>
      <c r="L44" s="93"/>
      <c r="M44" s="93"/>
      <c r="N44" s="93"/>
      <c r="O44" s="93"/>
      <c r="P44" s="93"/>
      <c r="Q44" s="93"/>
      <c r="R44" s="93"/>
      <c r="S44" s="93"/>
      <c r="T44" s="93"/>
      <c r="U44" s="93"/>
      <c r="V44" s="332">
        <v>19</v>
      </c>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row>
    <row r="45" spans="1:52" ht="15" customHeight="1">
      <c r="A45" s="99" t="s">
        <v>123</v>
      </c>
      <c r="B45" s="99"/>
      <c r="C45" s="99"/>
      <c r="D45" s="99"/>
      <c r="E45" s="99"/>
      <c r="F45" s="99"/>
      <c r="G45" s="99"/>
      <c r="H45" s="99"/>
      <c r="I45" s="99"/>
      <c r="J45" s="99"/>
      <c r="K45" s="99"/>
      <c r="L45" s="99"/>
      <c r="M45" s="99"/>
      <c r="N45" s="99"/>
      <c r="O45" s="99"/>
      <c r="P45" s="99"/>
      <c r="Q45" s="99"/>
      <c r="R45" s="99"/>
      <c r="S45" s="99"/>
      <c r="T45" s="99"/>
      <c r="U45" s="99"/>
      <c r="V45" s="329"/>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row>
    <row r="46" spans="1:52" ht="15" customHeight="1">
      <c r="A46" s="93" t="s">
        <v>126</v>
      </c>
      <c r="B46" s="95">
        <f>'Inflation GDP Population'!B2</f>
        <v>96.994687004035995</v>
      </c>
      <c r="C46" s="95">
        <f>'Inflation GDP Population'!C2</f>
        <v>82.561802368421056</v>
      </c>
      <c r="D46" s="95">
        <f>'Inflation GDP Population'!D2</f>
        <v>92.422988832098127</v>
      </c>
      <c r="E46" s="95">
        <f>'Inflation GDP Population'!E2</f>
        <v>85.643902995324368</v>
      </c>
      <c r="F46" s="95">
        <f>'Inflation GDP Population'!F2</f>
        <v>81.324791570560762</v>
      </c>
      <c r="G46" s="95">
        <f>'Inflation GDP Population'!G2</f>
        <v>82.285051583593884</v>
      </c>
      <c r="H46" s="95">
        <f>'Inflation GDP Population'!H2</f>
        <v>73.132352371089056</v>
      </c>
      <c r="I46" s="95">
        <f>'Inflation GDP Population'!I2</f>
        <v>75.178349917306775</v>
      </c>
      <c r="J46" s="95">
        <f>'Inflation GDP Population'!J2</f>
        <v>77.566868947213194</v>
      </c>
      <c r="K46" s="95">
        <f>'Inflation GDP Population'!K2</f>
        <v>67.397054261131927</v>
      </c>
      <c r="L46" s="95">
        <f>'Inflation GDP Population'!L2</f>
        <v>69.359261305247756</v>
      </c>
      <c r="M46" s="95">
        <f>'Inflation GDP Population'!M2</f>
        <v>69.149647376821946</v>
      </c>
      <c r="N46" s="95">
        <f>'Inflation GDP Population'!N2</f>
        <v>66.077410694889281</v>
      </c>
      <c r="O46" s="95">
        <f>'Inflation GDP Population'!O2</f>
        <v>68.667649550254211</v>
      </c>
      <c r="P46" s="95">
        <f>'Inflation GDP Population'!P2</f>
        <v>67.613374485645934</v>
      </c>
      <c r="Q46" s="95">
        <f>'Inflation GDP Population'!Q2</f>
        <v>63.519292757444873</v>
      </c>
      <c r="R46" s="95">
        <f>'Inflation GDP Population'!R2</f>
        <v>65.2</v>
      </c>
      <c r="S46" s="95">
        <f>'Inflation GDP Population'!S2</f>
        <v>62.54</v>
      </c>
      <c r="T46" s="95">
        <f>'Inflation GDP Population'!T2</f>
        <v>62.8</v>
      </c>
      <c r="U46" s="95">
        <f>'Inflation GDP Population'!U2</f>
        <v>62.22</v>
      </c>
      <c r="V46" s="95">
        <f>'Inflation GDP Population'!V2</f>
        <v>63.245459999999994</v>
      </c>
      <c r="W46" s="95">
        <f>'Inflation GDP Population'!W2</f>
        <v>62.18788</v>
      </c>
      <c r="X46" s="95">
        <f>'Inflation GDP Population'!X2</f>
        <v>61.283909999999999</v>
      </c>
      <c r="Y46" s="95">
        <f>'Inflation GDP Population'!Y2</f>
        <v>60.782710000000002</v>
      </c>
      <c r="Z46" s="95">
        <f>'Inflation GDP Population'!Z2</f>
        <v>60.470050000000001</v>
      </c>
      <c r="AA46" s="95">
        <f>'Inflation GDP Population'!AA2</f>
        <v>60.726050000000001</v>
      </c>
      <c r="AB46" s="95">
        <f>'Inflation GDP Population'!AB2</f>
        <v>60.323509999999999</v>
      </c>
      <c r="AC46" s="95">
        <f>'Inflation GDP Population'!AC2</f>
        <v>60.154750000000007</v>
      </c>
      <c r="AD46" s="95">
        <f>'Inflation GDP Population'!AD2</f>
        <v>59.918579999999999</v>
      </c>
      <c r="AE46" s="95">
        <f>'Inflation GDP Population'!AE2</f>
        <v>59.74736</v>
      </c>
      <c r="AF46" s="95">
        <f>'Inflation GDP Population'!AF2</f>
        <v>59.571719999999999</v>
      </c>
      <c r="AG46" s="95">
        <f>'Inflation GDP Population'!AG2</f>
        <v>59.462200000000003</v>
      </c>
      <c r="AH46" s="95">
        <f>'Inflation GDP Population'!AH2</f>
        <v>59.098179999999999</v>
      </c>
      <c r="AI46" s="95">
        <f>'Inflation GDP Population'!AI2</f>
        <v>58.690709999999996</v>
      </c>
      <c r="AJ46" s="95">
        <f>'Inflation GDP Population'!AJ2</f>
        <v>58.279679999999999</v>
      </c>
      <c r="AK46" s="95">
        <f>'Inflation GDP Population'!AK2</f>
        <v>57.945390000000003</v>
      </c>
      <c r="AL46" s="95">
        <f>'Inflation GDP Population'!AL2</f>
        <v>57.822279999999999</v>
      </c>
      <c r="AM46" s="95">
        <f>'Inflation GDP Population'!AM2</f>
        <v>57.639300000000006</v>
      </c>
      <c r="AN46" s="95">
        <f>'Inflation GDP Population'!AN2</f>
        <v>57.618220000000008</v>
      </c>
      <c r="AO46" s="95">
        <f>'Inflation GDP Population'!AO2</f>
        <v>57.583159999999999</v>
      </c>
      <c r="AP46" s="95">
        <f>'Inflation GDP Population'!AP2</f>
        <v>57.428650000000005</v>
      </c>
      <c r="AQ46" s="95">
        <f>'Inflation GDP Population'!AQ2</f>
        <v>57.212560000000003</v>
      </c>
      <c r="AR46" s="95">
        <f>'Inflation GDP Population'!AR2</f>
        <v>56.957370000000004</v>
      </c>
      <c r="AS46" s="95">
        <f>'Inflation GDP Population'!AS2</f>
        <v>56.726020000000005</v>
      </c>
      <c r="AT46" s="95">
        <f>'Inflation GDP Population'!AT2</f>
        <v>56.532699999999998</v>
      </c>
      <c r="AU46" s="95">
        <f>'Inflation GDP Population'!AU2</f>
        <v>56.329940000000001</v>
      </c>
      <c r="AV46" s="95">
        <f>'Inflation GDP Population'!AV2</f>
        <v>56.008069999999996</v>
      </c>
      <c r="AW46" s="95">
        <f>'Inflation GDP Population'!AW2</f>
        <v>55.853279999999998</v>
      </c>
      <c r="AX46" s="95">
        <f>'Inflation GDP Population'!AX2</f>
        <v>56.44464</v>
      </c>
      <c r="AY46" s="95">
        <f>'Inflation GDP Population'!AY2</f>
        <v>56.523910000000001</v>
      </c>
      <c r="AZ46" s="95">
        <f>'Inflation GDP Population'!AZ2</f>
        <v>56.24409</v>
      </c>
    </row>
    <row r="47" spans="1:52" ht="15" customHeight="1">
      <c r="A47" s="93" t="s">
        <v>128</v>
      </c>
      <c r="B47" s="95">
        <f>'Inflation GDP Population'!B3</f>
        <v>66.936599999999999</v>
      </c>
      <c r="C47" s="95">
        <f>'Inflation GDP Population'!C3</f>
        <v>68.562700000000007</v>
      </c>
      <c r="D47" s="95">
        <f>'Inflation GDP Population'!D3</f>
        <v>61.9876</v>
      </c>
      <c r="E47" s="95">
        <f>'Inflation GDP Population'!E3</f>
        <v>75.349900000000005</v>
      </c>
      <c r="F47" s="95">
        <f>'Inflation GDP Population'!F3</f>
        <v>79.167699999999996</v>
      </c>
      <c r="G47" s="95">
        <f>'Inflation GDP Population'!G3</f>
        <v>95.852900000000005</v>
      </c>
      <c r="H47" s="95">
        <f>'Inflation GDP Population'!H3</f>
        <v>86.237700000000004</v>
      </c>
      <c r="I47" s="95">
        <f>'Inflation GDP Population'!I3</f>
        <v>87.651700000000005</v>
      </c>
      <c r="J47" s="95">
        <f>'Inflation GDP Population'!J3</f>
        <v>101.43819999999999</v>
      </c>
      <c r="K47" s="95">
        <f>'Inflation GDP Population'!K3</f>
        <v>70.825099999999992</v>
      </c>
      <c r="L47" s="95">
        <f>'Inflation GDP Population'!L3</f>
        <v>73.228899999999996</v>
      </c>
      <c r="M47" s="95">
        <f>'Inflation GDP Population'!M3</f>
        <v>70.542299999999997</v>
      </c>
      <c r="N47" s="95">
        <f>'Inflation GDP Population'!N3</f>
        <v>60.997799999999998</v>
      </c>
      <c r="O47" s="95">
        <f>'Inflation GDP Population'!O3</f>
        <v>67.714300000000009</v>
      </c>
      <c r="P47" s="95">
        <f>'Inflation GDP Population'!P3</f>
        <v>72.663299999999992</v>
      </c>
      <c r="Q47" s="95">
        <f>'Inflation GDP Population'!Q3</f>
        <v>59.866599999999998</v>
      </c>
      <c r="R47" s="95">
        <f>'Inflation GDP Population'!R3</f>
        <v>64.069999999999993</v>
      </c>
      <c r="S47" s="95">
        <f>'Inflation GDP Population'!S3</f>
        <v>62.54</v>
      </c>
      <c r="T47" s="95">
        <f>'Inflation GDP Population'!T3</f>
        <v>64.2</v>
      </c>
      <c r="U47" s="95">
        <f>'Inflation GDP Population'!U3</f>
        <v>65.09</v>
      </c>
      <c r="V47" s="95">
        <f>'Inflation GDP Population'!V3</f>
        <v>67.893280000000004</v>
      </c>
      <c r="W47" s="95">
        <f>'Inflation GDP Population'!W3</f>
        <v>68.408230000000003</v>
      </c>
      <c r="X47" s="95">
        <f>'Inflation GDP Population'!X3</f>
        <v>69.039839999999998</v>
      </c>
      <c r="Y47" s="95">
        <f>'Inflation GDP Population'!Y3</f>
        <v>70.165930000000003</v>
      </c>
      <c r="Z47" s="95">
        <f>'Inflation GDP Population'!Z3</f>
        <v>71.499539999999996</v>
      </c>
      <c r="AA47" s="95">
        <f>'Inflation GDP Population'!AA3</f>
        <v>73.516589999999994</v>
      </c>
      <c r="AB47" s="95">
        <f>'Inflation GDP Population'!AB3</f>
        <v>74.703620000000001</v>
      </c>
      <c r="AC47" s="95">
        <f>'Inflation GDP Population'!AC3</f>
        <v>76.171610000000001</v>
      </c>
      <c r="AD47" s="95">
        <f>'Inflation GDP Population'!AD3</f>
        <v>77.509479999999996</v>
      </c>
      <c r="AE47" s="95">
        <f>'Inflation GDP Population'!AE3</f>
        <v>78.937030000000007</v>
      </c>
      <c r="AF47" s="95">
        <f>'Inflation GDP Population'!AF3</f>
        <v>80.394760000000005</v>
      </c>
      <c r="AG47" s="95">
        <f>'Inflation GDP Population'!AG3</f>
        <v>81.999220000000008</v>
      </c>
      <c r="AH47" s="95">
        <f>'Inflation GDP Population'!AH3</f>
        <v>83.288150000000002</v>
      </c>
      <c r="AI47" s="95">
        <f>'Inflation GDP Population'!AI3</f>
        <v>84.552180000000007</v>
      </c>
      <c r="AJ47" s="95">
        <f>'Inflation GDP Population'!AJ3</f>
        <v>85.842559999999992</v>
      </c>
      <c r="AK47" s="95">
        <f>'Inflation GDP Population'!AK3</f>
        <v>87.282499999999999</v>
      </c>
      <c r="AL47" s="95">
        <f>'Inflation GDP Population'!AL3</f>
        <v>89.091559999999987</v>
      </c>
      <c r="AM47" s="95">
        <f>'Inflation GDP Population'!AM3</f>
        <v>90.845109999999991</v>
      </c>
      <c r="AN47" s="95">
        <f>'Inflation GDP Population'!AN3</f>
        <v>92.884870000000006</v>
      </c>
      <c r="AO47" s="95">
        <f>'Inflation GDP Population'!AO3</f>
        <v>94.960380000000001</v>
      </c>
      <c r="AP47" s="95">
        <f>'Inflation GDP Population'!AP3</f>
        <v>96.898049999999998</v>
      </c>
      <c r="AQ47" s="95">
        <f>'Inflation GDP Population'!AQ3</f>
        <v>98.792919999999995</v>
      </c>
      <c r="AR47" s="95">
        <f>'Inflation GDP Population'!AR3</f>
        <v>100.67492</v>
      </c>
      <c r="AS47" s="95">
        <f>'Inflation GDP Population'!AS3</f>
        <v>102.66981</v>
      </c>
      <c r="AT47" s="95">
        <f>'Inflation GDP Population'!AT3</f>
        <v>104.79813999999999</v>
      </c>
      <c r="AU47" s="95">
        <f>'Inflation GDP Population'!AU3</f>
        <v>106.98112999999999</v>
      </c>
      <c r="AV47" s="95">
        <f>'Inflation GDP Population'!AV3</f>
        <v>108.97937999999999</v>
      </c>
      <c r="AW47" s="95">
        <f>'Inflation GDP Population'!AW3</f>
        <v>111.37461999999999</v>
      </c>
      <c r="AX47" s="95">
        <f>'Inflation GDP Population'!AX3</f>
        <v>115.38930999999999</v>
      </c>
      <c r="AY47" s="95">
        <f>'Inflation GDP Population'!AY3</f>
        <v>118.46299999999999</v>
      </c>
      <c r="AZ47" s="95">
        <f>'Inflation GDP Population'!AZ3</f>
        <v>120.87941000000001</v>
      </c>
    </row>
    <row r="48" spans="1:52" ht="15" customHeight="1">
      <c r="A48" s="93" t="s">
        <v>200</v>
      </c>
      <c r="B48" s="95">
        <f>'Inflation GDP Population'!B6</f>
        <v>249.42381743242936</v>
      </c>
      <c r="C48" s="95">
        <f>'Inflation GDP Population'!C6</f>
        <v>249.42381743242936</v>
      </c>
      <c r="D48" s="95">
        <f>'Inflation GDP Population'!D6</f>
        <v>212.30935999593964</v>
      </c>
      <c r="E48" s="95">
        <f>'Inflation GDP Population'!E6</f>
        <v>237.66760226833327</v>
      </c>
      <c r="F48" s="95">
        <f>'Inflation GDP Population'!F6</f>
        <v>220.23504466814359</v>
      </c>
      <c r="G48" s="95">
        <f>'Inflation GDP Population'!G6</f>
        <v>209.12836148006616</v>
      </c>
      <c r="H48" s="95">
        <f>'Inflation GDP Population'!H6</f>
        <v>211.59768970387361</v>
      </c>
      <c r="I48" s="95">
        <f>'Inflation GDP Population'!I6</f>
        <v>188.06133685911675</v>
      </c>
      <c r="J48" s="95">
        <f>'Inflation GDP Population'!J6</f>
        <v>193.32266131097848</v>
      </c>
      <c r="K48" s="95">
        <f>'Inflation GDP Population'!K6</f>
        <v>199.4647867495035</v>
      </c>
      <c r="L48" s="95">
        <f>'Inflation GDP Population'!L6</f>
        <v>173.31290070365006</v>
      </c>
      <c r="M48" s="95">
        <f>'Inflation GDP Population'!M6</f>
        <v>178.35875616907168</v>
      </c>
      <c r="N48" s="95">
        <f>'Inflation GDP Population'!N6</f>
        <v>177.8197296736019</v>
      </c>
      <c r="O48" s="95">
        <f>'Inflation GDP Population'!O6</f>
        <v>169.91941033722733</v>
      </c>
      <c r="P48" s="95">
        <f>'Inflation GDP Population'!P6</f>
        <v>176.58026242431168</v>
      </c>
      <c r="Q48" s="95">
        <f>'Inflation GDP Population'!Q6</f>
        <v>173.86917257639584</v>
      </c>
      <c r="R48" s="95">
        <f>'Inflation GDP Population'!R6</f>
        <v>163.34115784620988</v>
      </c>
      <c r="S48" s="95">
        <f>'Inflation GDP Population'!S6</f>
        <v>167.66313082610094</v>
      </c>
      <c r="T48" s="95">
        <f>'Inflation GDP Population'!T6</f>
        <v>160.82288653166182</v>
      </c>
      <c r="U48" s="95">
        <f>'Inflation GDP Population'!U6</f>
        <v>161.49148183863707</v>
      </c>
      <c r="V48" s="95">
        <f>'Inflation GDP Population'!V6</f>
        <v>160</v>
      </c>
      <c r="W48" s="95">
        <f>'Inflation GDP Population'!W6</f>
        <v>157.32450677092081</v>
      </c>
      <c r="X48" s="95">
        <f>'Inflation GDP Population'!X6</f>
        <v>155.03762009162398</v>
      </c>
      <c r="Y48" s="95">
        <f>'Inflation GDP Population'!Y6</f>
        <v>153.76967137245902</v>
      </c>
      <c r="Z48" s="95">
        <f>'Inflation GDP Population'!Z6</f>
        <v>152.9786960202361</v>
      </c>
      <c r="AA48" s="95">
        <f>'Inflation GDP Population'!AA6</f>
        <v>153.62633143944248</v>
      </c>
      <c r="AB48" s="95">
        <f>'Inflation GDP Population'!AB6</f>
        <v>152.60797533925759</v>
      </c>
      <c r="AC48" s="95">
        <f>'Inflation GDP Population'!AC6</f>
        <v>152.18104192775266</v>
      </c>
      <c r="AD48" s="95">
        <f>'Inflation GDP Population'!AD6</f>
        <v>151.5835729552762</v>
      </c>
      <c r="AE48" s="95">
        <f>'Inflation GDP Population'!AE6</f>
        <v>151.15041617216482</v>
      </c>
      <c r="AF48" s="95">
        <f>'Inflation GDP Population'!AF6</f>
        <v>150.7060775587687</v>
      </c>
      <c r="AG48" s="95">
        <f>'Inflation GDP Population'!AG6</f>
        <v>150.42901103098947</v>
      </c>
      <c r="AH48" s="95">
        <f>'Inflation GDP Population'!AH6</f>
        <v>149.50810382278826</v>
      </c>
      <c r="AI48" s="95">
        <f>'Inflation GDP Population'!AI6</f>
        <v>148.47727568113191</v>
      </c>
      <c r="AJ48" s="95">
        <f>'Inflation GDP Population'!AJ6</f>
        <v>147.43744135942725</v>
      </c>
      <c r="AK48" s="95">
        <f>'Inflation GDP Population'!AK6</f>
        <v>146.59174587393312</v>
      </c>
      <c r="AL48" s="95">
        <f>'Inflation GDP Population'!AL6</f>
        <v>146.2802990127671</v>
      </c>
      <c r="AM48" s="95">
        <f>'Inflation GDP Population'!AM6</f>
        <v>145.81739147758594</v>
      </c>
      <c r="AN48" s="95">
        <f>'Inflation GDP Population'!AN6</f>
        <v>145.76406274853568</v>
      </c>
      <c r="AO48" s="95">
        <f>'Inflation GDP Population'!AO6</f>
        <v>145.67536705401466</v>
      </c>
      <c r="AP48" s="95">
        <f>'Inflation GDP Population'!AP6</f>
        <v>145.28448366096166</v>
      </c>
      <c r="AQ48" s="95">
        <f>'Inflation GDP Population'!AQ6</f>
        <v>144.73781359167921</v>
      </c>
      <c r="AR48" s="95">
        <f>'Inflation GDP Population'!AR6</f>
        <v>144.09222733141641</v>
      </c>
      <c r="AS48" s="95">
        <f>'Inflation GDP Population'!AS6</f>
        <v>143.50695211956722</v>
      </c>
      <c r="AT48" s="95">
        <f>'Inflation GDP Population'!AT6</f>
        <v>143.01788618503213</v>
      </c>
      <c r="AU48" s="95">
        <f>'Inflation GDP Population'!AU6</f>
        <v>142.50493869441382</v>
      </c>
      <c r="AV48" s="95">
        <f>'Inflation GDP Population'!AV6</f>
        <v>141.69066364605462</v>
      </c>
      <c r="AW48" s="95">
        <f>'Inflation GDP Population'!AW6</f>
        <v>141.29907190176183</v>
      </c>
      <c r="AX48" s="95">
        <f>'Inflation GDP Population'!AX6</f>
        <v>142.79510972012858</v>
      </c>
      <c r="AY48" s="95">
        <f>'Inflation GDP Population'!AY6</f>
        <v>142.9956490157555</v>
      </c>
      <c r="AZ48" s="95">
        <f>'Inflation GDP Population'!AZ6</f>
        <v>142.28775314465267</v>
      </c>
    </row>
    <row r="49" spans="1:53" ht="15" customHeight="1">
      <c r="A49" s="93" t="s">
        <v>130</v>
      </c>
      <c r="B49" s="95">
        <f>'Inflation GDP Population'!B7</f>
        <v>164.53919188815482</v>
      </c>
      <c r="C49" s="95">
        <f>'Inflation GDP Population'!C7</f>
        <v>164.53919188815482</v>
      </c>
      <c r="D49" s="95">
        <f>'Inflation GDP Population'!D7</f>
        <v>168.53636503303116</v>
      </c>
      <c r="E49" s="95">
        <f>'Inflation GDP Population'!E7</f>
        <v>152.37388231679211</v>
      </c>
      <c r="F49" s="95">
        <f>'Inflation GDP Population'!F7</f>
        <v>185.2202181594715</v>
      </c>
      <c r="G49" s="95">
        <f>'Inflation GDP Population'!G7</f>
        <v>194.60488554309416</v>
      </c>
      <c r="H49" s="95">
        <f>'Inflation GDP Population'!H7</f>
        <v>235.61935781225995</v>
      </c>
      <c r="I49" s="95">
        <f>'Inflation GDP Population'!I7</f>
        <v>211.9838992164695</v>
      </c>
      <c r="J49" s="95">
        <f>'Inflation GDP Population'!J7</f>
        <v>215.45970195114458</v>
      </c>
      <c r="K49" s="95">
        <f>'Inflation GDP Population'!K7</f>
        <v>249.34877861422646</v>
      </c>
      <c r="L49" s="95">
        <f>'Inflation GDP Population'!L7</f>
        <v>174.09764940851127</v>
      </c>
      <c r="M49" s="95">
        <f>'Inflation GDP Population'!M7</f>
        <v>180.0065140574589</v>
      </c>
      <c r="N49" s="95">
        <f>'Inflation GDP Population'!N7</f>
        <v>173.40248886157627</v>
      </c>
      <c r="O49" s="95">
        <f>'Inflation GDP Population'!O7</f>
        <v>149.94082040251959</v>
      </c>
      <c r="P49" s="95">
        <f>'Inflation GDP Population'!P7</f>
        <v>166.45088339222616</v>
      </c>
      <c r="Q49" s="95">
        <f>'Inflation GDP Population'!Q7</f>
        <v>178.61619296358887</v>
      </c>
      <c r="R49" s="95">
        <f>'Inflation GDP Population'!R7</f>
        <v>147.16017821477953</v>
      </c>
      <c r="S49" s="95">
        <f>'Inflation GDP Population'!S7</f>
        <v>157.49270241204485</v>
      </c>
      <c r="T49" s="95">
        <f>'Inflation GDP Population'!T7</f>
        <v>153.73175603011217</v>
      </c>
      <c r="U49" s="95">
        <f>'Inflation GDP Population'!U7</f>
        <v>157.81225994776466</v>
      </c>
      <c r="V49" s="95">
        <f>'Inflation GDP Population'!V7</f>
        <v>160</v>
      </c>
      <c r="W49" s="95">
        <f>'Inflation GDP Population'!W7</f>
        <v>161.21355162101463</v>
      </c>
      <c r="X49" s="95">
        <f>'Inflation GDP Population'!X7</f>
        <v>162.70202883113024</v>
      </c>
      <c r="Y49" s="95">
        <f>'Inflation GDP Population'!Y7</f>
        <v>165.35581724730341</v>
      </c>
      <c r="Z49" s="95">
        <f>'Inflation GDP Population'!Z7</f>
        <v>168.49865553704282</v>
      </c>
      <c r="AA49" s="95">
        <f>'Inflation GDP Population'!AA7</f>
        <v>173.25211567330371</v>
      </c>
      <c r="AB49" s="95">
        <f>'Inflation GDP Population'!AB7</f>
        <v>176.04951771368238</v>
      </c>
      <c r="AC49" s="95">
        <f>'Inflation GDP Population'!AC7</f>
        <v>179.50904124826488</v>
      </c>
      <c r="AD49" s="95">
        <f>'Inflation GDP Population'!AD7</f>
        <v>182.66191882318833</v>
      </c>
      <c r="AE49" s="95">
        <f>'Inflation GDP Population'!AE7</f>
        <v>186.02613984771389</v>
      </c>
      <c r="AF49" s="95">
        <f>'Inflation GDP Population'!AF7</f>
        <v>189.46148425882495</v>
      </c>
      <c r="AG49" s="95">
        <f>'Inflation GDP Population'!AG7</f>
        <v>193.24261841525399</v>
      </c>
      <c r="AH49" s="95">
        <f>'Inflation GDP Population'!AH7</f>
        <v>196.28016204254669</v>
      </c>
      <c r="AI49" s="95">
        <f>'Inflation GDP Population'!AI7</f>
        <v>199.25902534094678</v>
      </c>
      <c r="AJ49" s="95">
        <f>'Inflation GDP Population'!AJ7</f>
        <v>202.29998609582557</v>
      </c>
      <c r="AK49" s="95">
        <f>'Inflation GDP Population'!AK7</f>
        <v>205.69340588641461</v>
      </c>
      <c r="AL49" s="95">
        <f>'Inflation GDP Population'!AL7</f>
        <v>209.95670852844336</v>
      </c>
      <c r="AM49" s="95">
        <f>'Inflation GDP Population'!AM7</f>
        <v>214.08919409991671</v>
      </c>
      <c r="AN49" s="95">
        <f>'Inflation GDP Population'!AN7</f>
        <v>218.89617352409539</v>
      </c>
      <c r="AO49" s="95">
        <f>'Inflation GDP Population'!AO7</f>
        <v>223.78740281806967</v>
      </c>
      <c r="AP49" s="95">
        <f>'Inflation GDP Population'!AP7</f>
        <v>228.35379289378849</v>
      </c>
      <c r="AQ49" s="95">
        <f>'Inflation GDP Population'!AQ7</f>
        <v>232.81931878972398</v>
      </c>
      <c r="AR49" s="95">
        <f>'Inflation GDP Population'!AR7</f>
        <v>237.25451473253304</v>
      </c>
      <c r="AS49" s="95">
        <f>'Inflation GDP Population'!AS7</f>
        <v>241.95575173271919</v>
      </c>
      <c r="AT49" s="95">
        <f>'Inflation GDP Population'!AT7</f>
        <v>246.97145873641676</v>
      </c>
      <c r="AU49" s="95">
        <f>'Inflation GDP Population'!AU7</f>
        <v>252.11597966691241</v>
      </c>
      <c r="AV49" s="95">
        <f>'Inflation GDP Population'!AV7</f>
        <v>256.82513497653952</v>
      </c>
      <c r="AW49" s="95">
        <f>'Inflation GDP Population'!AW7</f>
        <v>262.4698526864513</v>
      </c>
      <c r="AX49" s="95">
        <f>'Inflation GDP Population'!AX7</f>
        <v>271.93103058211346</v>
      </c>
      <c r="AY49" s="95">
        <f>'Inflation GDP Population'!AY7</f>
        <v>279.1746105063711</v>
      </c>
      <c r="AZ49" s="95">
        <f>'Inflation GDP Population'!AZ7</f>
        <v>284.86921827904024</v>
      </c>
    </row>
    <row r="50" spans="1:53" ht="15" customHeight="1">
      <c r="A50" s="93" t="s">
        <v>759</v>
      </c>
      <c r="B50" s="253">
        <v>0</v>
      </c>
      <c r="C50" s="253">
        <v>0</v>
      </c>
      <c r="D50" s="253">
        <v>0</v>
      </c>
      <c r="E50" s="253">
        <v>0</v>
      </c>
      <c r="F50" s="253">
        <v>0</v>
      </c>
      <c r="G50" s="253">
        <v>0</v>
      </c>
      <c r="H50" s="253">
        <v>0</v>
      </c>
      <c r="I50" s="253">
        <f t="shared" ref="I50:U50" si="40">J50</f>
        <v>0.44</v>
      </c>
      <c r="J50" s="253">
        <f t="shared" si="40"/>
        <v>0.44</v>
      </c>
      <c r="K50" s="253">
        <f t="shared" si="40"/>
        <v>0.44</v>
      </c>
      <c r="L50" s="253">
        <f t="shared" si="40"/>
        <v>0.44</v>
      </c>
      <c r="M50" s="253">
        <f t="shared" si="40"/>
        <v>0.44</v>
      </c>
      <c r="N50" s="253">
        <f t="shared" si="40"/>
        <v>0.44</v>
      </c>
      <c r="O50" s="253">
        <f t="shared" si="40"/>
        <v>0.44</v>
      </c>
      <c r="P50" s="253">
        <f t="shared" si="40"/>
        <v>0.44</v>
      </c>
      <c r="Q50" s="253">
        <f t="shared" si="40"/>
        <v>0.44</v>
      </c>
      <c r="R50" s="253">
        <f t="shared" si="40"/>
        <v>0.44</v>
      </c>
      <c r="S50" s="253">
        <f t="shared" si="40"/>
        <v>0.44</v>
      </c>
      <c r="T50" s="253">
        <f t="shared" si="40"/>
        <v>0.44</v>
      </c>
      <c r="U50" s="253">
        <f t="shared" si="40"/>
        <v>0.44</v>
      </c>
      <c r="V50" s="254">
        <v>0.44</v>
      </c>
      <c r="W50" s="102">
        <f t="shared" ref="W50:AZ50" si="41">V50</f>
        <v>0.44</v>
      </c>
      <c r="X50" s="102">
        <f t="shared" si="41"/>
        <v>0.44</v>
      </c>
      <c r="Y50" s="102">
        <f t="shared" si="41"/>
        <v>0.44</v>
      </c>
      <c r="Z50" s="102">
        <f t="shared" si="41"/>
        <v>0.44</v>
      </c>
      <c r="AA50" s="102">
        <f t="shared" si="41"/>
        <v>0.44</v>
      </c>
      <c r="AB50" s="102">
        <f t="shared" si="41"/>
        <v>0.44</v>
      </c>
      <c r="AC50" s="102">
        <f t="shared" si="41"/>
        <v>0.44</v>
      </c>
      <c r="AD50" s="102">
        <f t="shared" si="41"/>
        <v>0.44</v>
      </c>
      <c r="AE50" s="102">
        <f t="shared" si="41"/>
        <v>0.44</v>
      </c>
      <c r="AF50" s="102">
        <f t="shared" si="41"/>
        <v>0.44</v>
      </c>
      <c r="AG50" s="102">
        <f t="shared" si="41"/>
        <v>0.44</v>
      </c>
      <c r="AH50" s="102">
        <f t="shared" si="41"/>
        <v>0.44</v>
      </c>
      <c r="AI50" s="102">
        <f t="shared" si="41"/>
        <v>0.44</v>
      </c>
      <c r="AJ50" s="102">
        <f t="shared" si="41"/>
        <v>0.44</v>
      </c>
      <c r="AK50" s="102">
        <f t="shared" si="41"/>
        <v>0.44</v>
      </c>
      <c r="AL50" s="102">
        <f t="shared" si="41"/>
        <v>0.44</v>
      </c>
      <c r="AM50" s="102">
        <f t="shared" si="41"/>
        <v>0.44</v>
      </c>
      <c r="AN50" s="102">
        <f t="shared" si="41"/>
        <v>0.44</v>
      </c>
      <c r="AO50" s="102">
        <f t="shared" si="41"/>
        <v>0.44</v>
      </c>
      <c r="AP50" s="102">
        <f t="shared" si="41"/>
        <v>0.44</v>
      </c>
      <c r="AQ50" s="102">
        <f t="shared" si="41"/>
        <v>0.44</v>
      </c>
      <c r="AR50" s="102">
        <f t="shared" si="41"/>
        <v>0.44</v>
      </c>
      <c r="AS50" s="102">
        <f t="shared" si="41"/>
        <v>0.44</v>
      </c>
      <c r="AT50" s="102">
        <f t="shared" si="41"/>
        <v>0.44</v>
      </c>
      <c r="AU50" s="102">
        <f t="shared" si="41"/>
        <v>0.44</v>
      </c>
      <c r="AV50" s="102">
        <f t="shared" si="41"/>
        <v>0.44</v>
      </c>
      <c r="AW50" s="102">
        <f t="shared" si="41"/>
        <v>0.44</v>
      </c>
      <c r="AX50" s="102">
        <f t="shared" si="41"/>
        <v>0.44</v>
      </c>
      <c r="AY50" s="102">
        <f t="shared" si="41"/>
        <v>0.44</v>
      </c>
      <c r="AZ50" s="102">
        <f t="shared" si="41"/>
        <v>0.44</v>
      </c>
    </row>
    <row r="51" spans="1:53" ht="15" customHeight="1">
      <c r="A51" s="93" t="s">
        <v>204</v>
      </c>
      <c r="B51" s="95">
        <f>'Inflation GDP Population'!B8</f>
        <v>6.3468525302701018</v>
      </c>
      <c r="C51" s="95">
        <f>'Inflation GDP Population'!C8</f>
        <v>5.5512678018575849</v>
      </c>
      <c r="D51" s="95">
        <f>'Inflation GDP Population'!D8</f>
        <v>5.4868489649884991</v>
      </c>
      <c r="E51" s="95">
        <f>'Inflation GDP Population'!E8</f>
        <v>6.3309511981297479</v>
      </c>
      <c r="F51" s="95">
        <f>'Inflation GDP Population'!F8</f>
        <v>6.2764798837925859</v>
      </c>
      <c r="G51" s="95">
        <f>'Inflation GDP Population'!G8</f>
        <v>7.2710829501563357</v>
      </c>
      <c r="H51" s="95">
        <f>'Inflation GDP Population'!H8</f>
        <v>6.0295094298484679</v>
      </c>
      <c r="I51" s="95">
        <f>'Inflation GDP Population'!I8</f>
        <v>6.2697442022860077</v>
      </c>
      <c r="J51" s="95">
        <f>'Inflation GDP Population'!J8</f>
        <v>7.0808552049542897</v>
      </c>
      <c r="K51" s="95">
        <f>'Inflation GDP Population'!K8</f>
        <v>4.6913802805415097</v>
      </c>
      <c r="L51" s="95">
        <f>'Inflation GDP Population'!L8</f>
        <v>4.9915171070254463</v>
      </c>
      <c r="M51" s="95">
        <f>'Inflation GDP Population'!M8</f>
        <v>4.7934611668836897</v>
      </c>
      <c r="N51" s="95">
        <f>'Inflation GDP Population'!N8</f>
        <v>3.8347945968528059</v>
      </c>
      <c r="O51" s="95">
        <f>'Inflation GDP Population'!O8</f>
        <v>4.5532147047321079</v>
      </c>
      <c r="P51" s="95">
        <f>'Inflation GDP Population'!P8</f>
        <v>4.8293074162679428</v>
      </c>
      <c r="Q51" s="95">
        <f>'Inflation GDP Population'!Q8</f>
        <v>3.5862268697431237</v>
      </c>
      <c r="R51" s="95">
        <f>'Inflation GDP Population'!R8</f>
        <v>3.2313434287302027</v>
      </c>
      <c r="S51" s="95">
        <f>'Inflation GDP Population'!S8</f>
        <v>3.52</v>
      </c>
      <c r="T51" s="95">
        <f>'Inflation GDP Population'!T8</f>
        <v>3.7020760931583587</v>
      </c>
      <c r="U51" s="95">
        <f>'Inflation GDP Population'!U8</f>
        <v>4.1500000000000004</v>
      </c>
      <c r="V51" s="95">
        <f>'Inflation GDP Population'!V8</f>
        <v>4.2985610000000003</v>
      </c>
      <c r="W51" s="95">
        <f>'Inflation GDP Population'!W8</f>
        <v>4.2361449999999996</v>
      </c>
      <c r="X51" s="95">
        <f>'Inflation GDP Population'!X8</f>
        <v>4.2766760000000001</v>
      </c>
      <c r="Y51" s="95">
        <f>'Inflation GDP Population'!Y8</f>
        <v>4.3976439999999997</v>
      </c>
      <c r="Z51" s="95">
        <f>'Inflation GDP Population'!Z8</f>
        <v>4.5025930000000001</v>
      </c>
      <c r="AA51" s="95">
        <f>'Inflation GDP Population'!AA8</f>
        <v>4.629785</v>
      </c>
      <c r="AB51" s="95">
        <f>'Inflation GDP Population'!AB8</f>
        <v>4.6663119999999996</v>
      </c>
      <c r="AC51" s="95">
        <f>'Inflation GDP Population'!AC8</f>
        <v>4.7123790000000003</v>
      </c>
      <c r="AD51" s="95">
        <f>'Inflation GDP Population'!AD8</f>
        <v>4.7187349999999997</v>
      </c>
      <c r="AE51" s="95">
        <f>'Inflation GDP Population'!AE8</f>
        <v>4.7830570000000003</v>
      </c>
      <c r="AF51" s="95">
        <f>'Inflation GDP Population'!AF8</f>
        <v>4.7796240000000001</v>
      </c>
      <c r="AG51" s="95">
        <f>'Inflation GDP Population'!AG8</f>
        <v>4.7721999999999998</v>
      </c>
      <c r="AH51" s="95">
        <f>'Inflation GDP Population'!AH8</f>
        <v>4.78775</v>
      </c>
      <c r="AI51" s="95">
        <f>'Inflation GDP Population'!AI8</f>
        <v>4.7727040000000001</v>
      </c>
      <c r="AJ51" s="95">
        <f>'Inflation GDP Population'!AJ8</f>
        <v>4.7803089999999999</v>
      </c>
      <c r="AK51" s="95">
        <f>'Inflation GDP Population'!AK8</f>
        <v>4.7717489999999998</v>
      </c>
      <c r="AL51" s="95">
        <f>'Inflation GDP Population'!AL8</f>
        <v>4.8809269999999998</v>
      </c>
      <c r="AM51" s="95">
        <f>'Inflation GDP Population'!AM8</f>
        <v>4.8832019999999998</v>
      </c>
      <c r="AN51" s="95">
        <f>'Inflation GDP Population'!AN8</f>
        <v>4.9507750000000001</v>
      </c>
      <c r="AO51" s="95">
        <f>'Inflation GDP Population'!AO8</f>
        <v>5.0003739999999999</v>
      </c>
      <c r="AP51" s="95">
        <f>'Inflation GDP Population'!AP8</f>
        <v>5.0288539999999999</v>
      </c>
      <c r="AQ51" s="95">
        <f>'Inflation GDP Population'!AQ8</f>
        <v>5.0585420000000001</v>
      </c>
      <c r="AR51" s="95">
        <f>'Inflation GDP Population'!AR8</f>
        <v>5.1167959999999999</v>
      </c>
      <c r="AS51" s="95">
        <f>'Inflation GDP Population'!AS8</f>
        <v>5.1581760000000001</v>
      </c>
      <c r="AT51" s="95">
        <f>'Inflation GDP Population'!AT8</f>
        <v>5.2137270000000004</v>
      </c>
      <c r="AU51" s="95">
        <f>'Inflation GDP Population'!AU8</f>
        <v>5.2504759999999999</v>
      </c>
      <c r="AV51" s="95">
        <f>'Inflation GDP Population'!AV8</f>
        <v>5.2969249999999999</v>
      </c>
      <c r="AW51" s="95">
        <f>'Inflation GDP Population'!AW8</f>
        <v>5.3486310000000001</v>
      </c>
      <c r="AX51" s="95">
        <f>'Inflation GDP Population'!AX8</f>
        <v>5.4427149999999997</v>
      </c>
      <c r="AY51" s="95">
        <f>'Inflation GDP Population'!AY8</f>
        <v>5.5061720000000003</v>
      </c>
      <c r="AZ51" s="95">
        <f>'Inflation GDP Population'!AZ8</f>
        <v>5.6015759999999997</v>
      </c>
    </row>
    <row r="52" spans="1:53" ht="15" customHeight="1">
      <c r="A52" s="93" t="s">
        <v>207</v>
      </c>
      <c r="B52" s="95">
        <f>'Inflation GDP Population'!B9</f>
        <v>4.38</v>
      </c>
      <c r="C52" s="95">
        <f>'Inflation GDP Population'!C9</f>
        <v>4.6100000000000003</v>
      </c>
      <c r="D52" s="95">
        <f>'Inflation GDP Population'!D9</f>
        <v>3.68</v>
      </c>
      <c r="E52" s="95">
        <f>'Inflation GDP Population'!E9</f>
        <v>5.57</v>
      </c>
      <c r="F52" s="95">
        <f>'Inflation GDP Population'!F9</f>
        <v>6.11</v>
      </c>
      <c r="G52" s="95">
        <f>'Inflation GDP Population'!G9</f>
        <v>8.4700000000000006</v>
      </c>
      <c r="H52" s="95">
        <f>'Inflation GDP Population'!H9</f>
        <v>7.11</v>
      </c>
      <c r="I52" s="95">
        <f>'Inflation GDP Population'!I9</f>
        <v>7.31</v>
      </c>
      <c r="J52" s="95">
        <f>'Inflation GDP Population'!J9</f>
        <v>9.26</v>
      </c>
      <c r="K52" s="95">
        <f>'Inflation GDP Population'!K9</f>
        <v>4.93</v>
      </c>
      <c r="L52" s="95">
        <f>'Inflation GDP Population'!L9</f>
        <v>5.27</v>
      </c>
      <c r="M52" s="95">
        <f>'Inflation GDP Population'!M9</f>
        <v>4.8899999999999997</v>
      </c>
      <c r="N52" s="95">
        <f>'Inflation GDP Population'!N9</f>
        <v>3.54</v>
      </c>
      <c r="O52" s="95">
        <f>'Inflation GDP Population'!O9</f>
        <v>4.49</v>
      </c>
      <c r="P52" s="95">
        <f>'Inflation GDP Population'!P9</f>
        <v>5.19</v>
      </c>
      <c r="Q52" s="95">
        <f>'Inflation GDP Population'!Q9</f>
        <v>3.38</v>
      </c>
      <c r="R52" s="95">
        <f>'Inflation GDP Population'!R9</f>
        <v>2.99</v>
      </c>
      <c r="S52" s="95">
        <f>'Inflation GDP Population'!S9</f>
        <v>3.52</v>
      </c>
      <c r="T52" s="95">
        <f>'Inflation GDP Population'!T9</f>
        <v>3.67</v>
      </c>
      <c r="U52" s="95">
        <f>'Inflation GDP Population'!U9</f>
        <v>3.3895059999999999</v>
      </c>
      <c r="V52" s="95">
        <f>'Inflation GDP Population'!V9</f>
        <v>3.5205359999999999</v>
      </c>
      <c r="W52" s="95">
        <f>'Inflation GDP Population'!W9</f>
        <v>3.4643860000000002</v>
      </c>
      <c r="X52" s="95">
        <f>'Inflation GDP Population'!X9</f>
        <v>3.522084</v>
      </c>
      <c r="Y52" s="95">
        <f>'Inflation GDP Population'!Y9</f>
        <v>3.6960329999999999</v>
      </c>
      <c r="Z52" s="95">
        <f>'Inflation GDP Population'!Z9</f>
        <v>3.9273989999999999</v>
      </c>
      <c r="AA52" s="95">
        <f>'Inflation GDP Population'!AA9</f>
        <v>4.1603110000000001</v>
      </c>
      <c r="AB52" s="95">
        <f>'Inflation GDP Population'!AB9</f>
        <v>4.2294790000000004</v>
      </c>
      <c r="AC52" s="95">
        <f>'Inflation GDP Population'!AC9</f>
        <v>4.2377339999999997</v>
      </c>
      <c r="AD52" s="95">
        <f>'Inflation GDP Population'!AD9</f>
        <v>4.3179169999999996</v>
      </c>
      <c r="AE52" s="95">
        <f>'Inflation GDP Population'!AE9</f>
        <v>4.3116459999999996</v>
      </c>
      <c r="AF52" s="95">
        <f>'Inflation GDP Population'!AF9</f>
        <v>4.3508570000000004</v>
      </c>
      <c r="AG52" s="95">
        <f>'Inflation GDP Population'!AG9</f>
        <v>4.3408930000000003</v>
      </c>
      <c r="AH52" s="95">
        <f>'Inflation GDP Population'!AH9</f>
        <v>4.4974610000000004</v>
      </c>
      <c r="AI52" s="95">
        <f>'Inflation GDP Population'!AI9</f>
        <v>4.554608</v>
      </c>
      <c r="AJ52" s="95">
        <f>'Inflation GDP Population'!AJ9</f>
        <v>4.5969170000000004</v>
      </c>
      <c r="AK52" s="95">
        <f>'Inflation GDP Population'!AK9</f>
        <v>4.6352840000000004</v>
      </c>
      <c r="AL52" s="95">
        <f>'Inflation GDP Population'!AL9</f>
        <v>4.7120050000000004</v>
      </c>
      <c r="AM52" s="95">
        <f>'Inflation GDP Population'!AM9</f>
        <v>4.72262</v>
      </c>
      <c r="AN52" s="95">
        <f>'Inflation GDP Population'!AN9</f>
        <v>4.7219879999999996</v>
      </c>
      <c r="AO52" s="95">
        <f>'Inflation GDP Population'!AO9</f>
        <v>4.7411029999999998</v>
      </c>
      <c r="AP52" s="95">
        <f>'Inflation GDP Population'!AP9</f>
        <v>4.8132469999999996</v>
      </c>
      <c r="AQ52" s="95">
        <f>'Inflation GDP Population'!AQ9</f>
        <v>4.7929599999999999</v>
      </c>
      <c r="AR52" s="95">
        <f>'Inflation GDP Population'!AR9</f>
        <v>4.8376070000000002</v>
      </c>
      <c r="AS52" s="95">
        <f>'Inflation GDP Population'!AS9</f>
        <v>4.9017369999999998</v>
      </c>
      <c r="AT52" s="95">
        <f>'Inflation GDP Population'!AT9</f>
        <v>4.9949539999999999</v>
      </c>
      <c r="AU52" s="95">
        <f>'Inflation GDP Population'!AU9</f>
        <v>5.0694549999999996</v>
      </c>
      <c r="AV52" s="95">
        <f>'Inflation GDP Population'!AV9</f>
        <v>5.1259620000000004</v>
      </c>
      <c r="AW52" s="95">
        <f>'Inflation GDP Population'!AW9</f>
        <v>5.2034599999999998</v>
      </c>
      <c r="AX52" s="95">
        <f>'Inflation GDP Population'!AX9</f>
        <v>5.3523440000000004</v>
      </c>
      <c r="AY52" s="95">
        <f>'Inflation GDP Population'!AY9</f>
        <v>5.4477909999999996</v>
      </c>
      <c r="AZ52" s="95">
        <f>'Inflation GDP Population'!AZ9</f>
        <v>5.5391450000000004</v>
      </c>
    </row>
    <row r="53" spans="1:53" ht="15.75" customHeight="1">
      <c r="A53" s="93" t="s">
        <v>137</v>
      </c>
      <c r="B53" s="341">
        <f t="shared" ref="B53:U53" si="42">$V$53</f>
        <v>0.02</v>
      </c>
      <c r="C53" s="341">
        <f t="shared" si="42"/>
        <v>0.02</v>
      </c>
      <c r="D53" s="341">
        <f t="shared" si="42"/>
        <v>0.02</v>
      </c>
      <c r="E53" s="341">
        <f t="shared" si="42"/>
        <v>0.02</v>
      </c>
      <c r="F53" s="341">
        <f t="shared" si="42"/>
        <v>0.02</v>
      </c>
      <c r="G53" s="341">
        <f t="shared" si="42"/>
        <v>0.02</v>
      </c>
      <c r="H53" s="341">
        <f t="shared" si="42"/>
        <v>0.02</v>
      </c>
      <c r="I53" s="341">
        <f t="shared" si="42"/>
        <v>0.02</v>
      </c>
      <c r="J53" s="341">
        <f t="shared" si="42"/>
        <v>0.02</v>
      </c>
      <c r="K53" s="341">
        <f t="shared" si="42"/>
        <v>0.02</v>
      </c>
      <c r="L53" s="341">
        <f t="shared" si="42"/>
        <v>0.02</v>
      </c>
      <c r="M53" s="341">
        <f t="shared" si="42"/>
        <v>0.02</v>
      </c>
      <c r="N53" s="341">
        <f t="shared" si="42"/>
        <v>0.02</v>
      </c>
      <c r="O53" s="341">
        <f t="shared" si="42"/>
        <v>0.02</v>
      </c>
      <c r="P53" s="341">
        <f t="shared" si="42"/>
        <v>0.02</v>
      </c>
      <c r="Q53" s="341">
        <f t="shared" si="42"/>
        <v>0.02</v>
      </c>
      <c r="R53" s="341">
        <f t="shared" si="42"/>
        <v>0.02</v>
      </c>
      <c r="S53" s="341">
        <f t="shared" si="42"/>
        <v>0.02</v>
      </c>
      <c r="T53" s="341">
        <f t="shared" si="42"/>
        <v>0.02</v>
      </c>
      <c r="U53" s="341">
        <f t="shared" si="42"/>
        <v>0.02</v>
      </c>
      <c r="V53" s="252">
        <f>Inputs!B19</f>
        <v>0.02</v>
      </c>
      <c r="W53" s="331">
        <f t="shared" ref="W53:AZ53" si="43">V53</f>
        <v>0.02</v>
      </c>
      <c r="X53" s="331">
        <f t="shared" si="43"/>
        <v>0.02</v>
      </c>
      <c r="Y53" s="331">
        <f t="shared" si="43"/>
        <v>0.02</v>
      </c>
      <c r="Z53" s="331">
        <f t="shared" si="43"/>
        <v>0.02</v>
      </c>
      <c r="AA53" s="331">
        <f t="shared" si="43"/>
        <v>0.02</v>
      </c>
      <c r="AB53" s="331">
        <f t="shared" si="43"/>
        <v>0.02</v>
      </c>
      <c r="AC53" s="331">
        <f t="shared" si="43"/>
        <v>0.02</v>
      </c>
      <c r="AD53" s="331">
        <f t="shared" si="43"/>
        <v>0.02</v>
      </c>
      <c r="AE53" s="331">
        <f t="shared" si="43"/>
        <v>0.02</v>
      </c>
      <c r="AF53" s="331">
        <f t="shared" si="43"/>
        <v>0.02</v>
      </c>
      <c r="AG53" s="331">
        <f t="shared" si="43"/>
        <v>0.02</v>
      </c>
      <c r="AH53" s="331">
        <f t="shared" si="43"/>
        <v>0.02</v>
      </c>
      <c r="AI53" s="331">
        <f t="shared" si="43"/>
        <v>0.02</v>
      </c>
      <c r="AJ53" s="331">
        <f t="shared" si="43"/>
        <v>0.02</v>
      </c>
      <c r="AK53" s="331">
        <f t="shared" si="43"/>
        <v>0.02</v>
      </c>
      <c r="AL53" s="331">
        <f t="shared" si="43"/>
        <v>0.02</v>
      </c>
      <c r="AM53" s="331">
        <f t="shared" si="43"/>
        <v>0.02</v>
      </c>
      <c r="AN53" s="331">
        <f t="shared" si="43"/>
        <v>0.02</v>
      </c>
      <c r="AO53" s="331">
        <f t="shared" si="43"/>
        <v>0.02</v>
      </c>
      <c r="AP53" s="331">
        <f t="shared" si="43"/>
        <v>0.02</v>
      </c>
      <c r="AQ53" s="331">
        <f t="shared" si="43"/>
        <v>0.02</v>
      </c>
      <c r="AR53" s="331">
        <f t="shared" si="43"/>
        <v>0.02</v>
      </c>
      <c r="AS53" s="331">
        <f t="shared" si="43"/>
        <v>0.02</v>
      </c>
      <c r="AT53" s="331">
        <f t="shared" si="43"/>
        <v>0.02</v>
      </c>
      <c r="AU53" s="331">
        <f t="shared" si="43"/>
        <v>0.02</v>
      </c>
      <c r="AV53" s="331">
        <f t="shared" si="43"/>
        <v>0.02</v>
      </c>
      <c r="AW53" s="331">
        <f t="shared" si="43"/>
        <v>0.02</v>
      </c>
      <c r="AX53" s="331">
        <f t="shared" si="43"/>
        <v>0.02</v>
      </c>
      <c r="AY53" s="331">
        <f t="shared" si="43"/>
        <v>0.02</v>
      </c>
      <c r="AZ53" s="331">
        <f t="shared" si="43"/>
        <v>0.02</v>
      </c>
    </row>
    <row r="54" spans="1:53" ht="15.75" customHeight="1">
      <c r="A54" s="93"/>
      <c r="B54" s="93"/>
      <c r="C54" s="93"/>
      <c r="D54" s="93"/>
      <c r="E54" s="93"/>
      <c r="F54" s="93"/>
      <c r="G54" s="93"/>
      <c r="H54" s="93"/>
      <c r="I54" s="93"/>
      <c r="J54" s="93"/>
      <c r="K54" s="93"/>
      <c r="L54" s="93"/>
      <c r="M54" s="93"/>
      <c r="N54" s="93"/>
      <c r="O54" s="93"/>
      <c r="P54" s="93"/>
      <c r="Q54" s="93"/>
      <c r="R54" s="93"/>
      <c r="S54" s="93"/>
      <c r="T54" s="93"/>
      <c r="U54" s="93"/>
      <c r="V54" s="351"/>
      <c r="W54" s="331"/>
      <c r="X54" s="331"/>
      <c r="Y54" s="331"/>
      <c r="Z54" s="331"/>
      <c r="AA54" s="331"/>
      <c r="AB54" s="331"/>
      <c r="AC54" s="331"/>
      <c r="AD54" s="331"/>
      <c r="AE54" s="331"/>
      <c r="AF54" s="331"/>
      <c r="AG54" s="331"/>
      <c r="AH54" s="331"/>
      <c r="AI54" s="331"/>
      <c r="AJ54" s="331"/>
      <c r="AK54" s="331"/>
      <c r="AL54" s="331"/>
      <c r="AM54" s="331"/>
      <c r="AN54" s="331"/>
      <c r="AO54" s="331"/>
      <c r="AP54" s="331"/>
      <c r="AQ54" s="331"/>
      <c r="AR54" s="331"/>
      <c r="AS54" s="331"/>
      <c r="AT54" s="331"/>
      <c r="AU54" s="331"/>
      <c r="AV54" s="331"/>
      <c r="AW54" s="331"/>
      <c r="AX54" s="331"/>
      <c r="AY54" s="331"/>
      <c r="AZ54" s="331"/>
    </row>
    <row r="55" spans="1:53" ht="15.75" customHeight="1">
      <c r="A55" s="93"/>
      <c r="B55" s="93"/>
      <c r="C55" s="93"/>
      <c r="D55" s="93"/>
      <c r="E55" s="93"/>
      <c r="F55" s="93"/>
      <c r="G55" s="93"/>
      <c r="H55" s="93"/>
      <c r="I55" s="93"/>
      <c r="J55" s="93"/>
      <c r="K55" s="93"/>
      <c r="L55" s="93"/>
      <c r="M55" s="93"/>
      <c r="N55" s="93"/>
      <c r="O55" s="93"/>
      <c r="P55" s="93"/>
      <c r="Q55" s="93"/>
      <c r="R55" s="93"/>
      <c r="S55" s="93"/>
      <c r="T55" s="93"/>
      <c r="U55" s="93"/>
      <c r="V55" s="88"/>
      <c r="W55" s="331"/>
      <c r="X55" s="331"/>
      <c r="Y55" s="331"/>
      <c r="Z55" s="331"/>
      <c r="AA55" s="331"/>
      <c r="AB55" s="331"/>
      <c r="AC55" s="331"/>
      <c r="AD55" s="331"/>
      <c r="AE55" s="331"/>
      <c r="AF55" s="331"/>
      <c r="AG55" s="331"/>
      <c r="AH55" s="331"/>
      <c r="AI55" s="331"/>
      <c r="AJ55" s="331"/>
      <c r="AK55" s="331"/>
      <c r="AL55" s="331"/>
      <c r="AM55" s="331"/>
      <c r="AN55" s="331"/>
      <c r="AO55" s="331"/>
      <c r="AP55" s="331"/>
      <c r="AQ55" s="331"/>
      <c r="AR55" s="331"/>
      <c r="AS55" s="331"/>
      <c r="AT55" s="331"/>
      <c r="AU55" s="331"/>
      <c r="AV55" s="331"/>
      <c r="AW55" s="331"/>
      <c r="AX55" s="331"/>
      <c r="AY55" s="331"/>
      <c r="AZ55" s="331"/>
    </row>
    <row r="56" spans="1:53" ht="15.75" customHeight="1">
      <c r="A56" s="93"/>
      <c r="B56" s="93"/>
      <c r="C56" s="93"/>
      <c r="D56" s="93"/>
      <c r="E56" s="93"/>
      <c r="F56" s="93"/>
      <c r="G56" s="93"/>
      <c r="H56" s="93"/>
      <c r="I56" s="93"/>
      <c r="J56" s="93"/>
      <c r="K56" s="93"/>
      <c r="L56" s="93"/>
      <c r="M56" s="93"/>
      <c r="N56" s="93"/>
      <c r="O56" s="93"/>
      <c r="P56" s="93"/>
      <c r="Q56" s="93"/>
      <c r="R56" s="93"/>
      <c r="S56" s="93"/>
      <c r="T56" s="93"/>
      <c r="U56" s="93"/>
      <c r="V56" s="88"/>
      <c r="W56">
        <f t="shared" ref="W56:BA56" si="44">W57+W126</f>
        <v>61519.100000000006</v>
      </c>
      <c r="X56">
        <f t="shared" si="44"/>
        <v>5842.9999999999991</v>
      </c>
      <c r="Y56">
        <f t="shared" si="44"/>
        <v>7027.4999999999991</v>
      </c>
      <c r="Z56">
        <f t="shared" si="44"/>
        <v>8151.3999999999978</v>
      </c>
      <c r="AA56">
        <f t="shared" si="44"/>
        <v>8728.8000000000065</v>
      </c>
      <c r="AB56">
        <f t="shared" si="44"/>
        <v>4797.1000000000004</v>
      </c>
      <c r="AC56">
        <f t="shared" si="44"/>
        <v>4989.1000000000004</v>
      </c>
      <c r="AD56">
        <f t="shared" si="44"/>
        <v>4389.6999999999989</v>
      </c>
      <c r="AE56">
        <f t="shared" si="44"/>
        <v>4689</v>
      </c>
      <c r="AF56">
        <f t="shared" si="44"/>
        <v>6276.9000000000015</v>
      </c>
      <c r="AG56">
        <f t="shared" si="44"/>
        <v>3438.3</v>
      </c>
      <c r="AH56">
        <f t="shared" si="44"/>
        <v>2656.4</v>
      </c>
      <c r="AI56">
        <f t="shared" si="44"/>
        <v>2469.6</v>
      </c>
      <c r="AJ56">
        <f t="shared" si="44"/>
        <v>1346.6</v>
      </c>
      <c r="AK56">
        <f t="shared" si="44"/>
        <v>3051.9</v>
      </c>
      <c r="AL56">
        <f t="shared" si="44"/>
        <v>11965.400000000003</v>
      </c>
      <c r="AM56">
        <f t="shared" si="44"/>
        <v>19040.000000000004</v>
      </c>
      <c r="AN56">
        <f t="shared" si="44"/>
        <v>40996.999999999978</v>
      </c>
      <c r="AO56">
        <f t="shared" si="44"/>
        <v>41364.899999999994</v>
      </c>
      <c r="AP56">
        <f t="shared" si="44"/>
        <v>21317.69999999999</v>
      </c>
      <c r="AQ56">
        <f t="shared" si="44"/>
        <v>14160.700000000006</v>
      </c>
      <c r="AR56">
        <f t="shared" si="44"/>
        <v>9229.2999999999993</v>
      </c>
      <c r="AS56">
        <f t="shared" si="44"/>
        <v>6135.5999999999995</v>
      </c>
      <c r="AT56">
        <f t="shared" si="44"/>
        <v>6896.3</v>
      </c>
      <c r="AU56">
        <f t="shared" si="44"/>
        <v>10099.099999999999</v>
      </c>
      <c r="AV56">
        <f t="shared" si="44"/>
        <v>5786.0999999999995</v>
      </c>
      <c r="AW56">
        <f t="shared" si="44"/>
        <v>9194.1000000000022</v>
      </c>
      <c r="AX56">
        <f t="shared" si="44"/>
        <v>7498.3000000000011</v>
      </c>
      <c r="AY56">
        <f t="shared" si="44"/>
        <v>8570.4</v>
      </c>
      <c r="AZ56">
        <f t="shared" si="44"/>
        <v>22037.999999999996</v>
      </c>
      <c r="BA56">
        <f t="shared" si="44"/>
        <v>22947.69999999999</v>
      </c>
    </row>
    <row r="57" spans="1:53" ht="15.75" customHeight="1">
      <c r="A57" s="93" t="s">
        <v>760</v>
      </c>
      <c r="B57" s="93"/>
      <c r="C57" s="93"/>
      <c r="D57" s="93"/>
      <c r="E57" s="93"/>
      <c r="F57" s="93"/>
      <c r="G57" s="93"/>
      <c r="H57" s="93"/>
      <c r="I57" s="93"/>
      <c r="J57" s="93"/>
      <c r="K57" s="93"/>
      <c r="L57" s="93"/>
      <c r="M57" s="93"/>
      <c r="N57" s="93"/>
      <c r="O57" s="93"/>
      <c r="P57" s="93"/>
      <c r="Q57" s="93"/>
      <c r="R57" s="93"/>
      <c r="S57" s="93"/>
      <c r="T57" s="93"/>
      <c r="U57" s="93"/>
      <c r="W57">
        <f t="shared" ref="W57:BA57" si="45">SUM(W59:W124)</f>
        <v>13206.300000000001</v>
      </c>
      <c r="X57">
        <f t="shared" si="45"/>
        <v>408</v>
      </c>
      <c r="Y57">
        <f t="shared" si="45"/>
        <v>1623.5000000000002</v>
      </c>
      <c r="Z57">
        <f t="shared" si="45"/>
        <v>912.9</v>
      </c>
      <c r="AA57">
        <f t="shared" si="45"/>
        <v>1888.7</v>
      </c>
      <c r="AB57">
        <f t="shared" si="45"/>
        <v>2566.1</v>
      </c>
      <c r="AC57">
        <f t="shared" si="45"/>
        <v>1741</v>
      </c>
      <c r="AD57">
        <f t="shared" si="45"/>
        <v>2468.6999999999994</v>
      </c>
      <c r="AE57">
        <f t="shared" si="45"/>
        <v>3054.2999999999997</v>
      </c>
      <c r="AF57">
        <f t="shared" si="45"/>
        <v>6077.4000000000015</v>
      </c>
      <c r="AG57">
        <f t="shared" si="45"/>
        <v>2195.6</v>
      </c>
      <c r="AH57">
        <f t="shared" si="45"/>
        <v>1929</v>
      </c>
      <c r="AI57">
        <f t="shared" si="45"/>
        <v>2279.7999999999997</v>
      </c>
      <c r="AJ57">
        <f t="shared" si="45"/>
        <v>1182.6999999999998</v>
      </c>
      <c r="AK57">
        <f t="shared" si="45"/>
        <v>2402.8000000000002</v>
      </c>
      <c r="AL57">
        <f t="shared" si="45"/>
        <v>11358.200000000003</v>
      </c>
      <c r="AM57">
        <f t="shared" si="45"/>
        <v>18580.800000000003</v>
      </c>
      <c r="AN57">
        <f t="shared" si="45"/>
        <v>39788.099999999977</v>
      </c>
      <c r="AO57">
        <f t="shared" si="45"/>
        <v>39994.599999999991</v>
      </c>
      <c r="AP57">
        <f t="shared" si="45"/>
        <v>19738.899999999991</v>
      </c>
      <c r="AQ57">
        <f t="shared" si="45"/>
        <v>13090.500000000005</v>
      </c>
      <c r="AR57">
        <f t="shared" si="45"/>
        <v>7573.3</v>
      </c>
      <c r="AS57">
        <f t="shared" si="45"/>
        <v>4913.2999999999993</v>
      </c>
      <c r="AT57">
        <f t="shared" si="45"/>
        <v>4521.8999999999996</v>
      </c>
      <c r="AU57">
        <f t="shared" si="45"/>
        <v>6676.4000000000005</v>
      </c>
      <c r="AV57">
        <f t="shared" si="45"/>
        <v>4189.3999999999996</v>
      </c>
      <c r="AW57">
        <f t="shared" si="45"/>
        <v>7946.4000000000015</v>
      </c>
      <c r="AX57">
        <f t="shared" si="45"/>
        <v>6806.3000000000011</v>
      </c>
      <c r="AY57">
        <f t="shared" si="45"/>
        <v>3983.8999999999996</v>
      </c>
      <c r="AZ57">
        <f t="shared" si="45"/>
        <v>9484.1000000000022</v>
      </c>
      <c r="BA57">
        <f t="shared" si="45"/>
        <v>4302.6000000000004</v>
      </c>
    </row>
    <row r="58" spans="1:53" ht="15.75" customHeight="1">
      <c r="A58" s="349" t="s">
        <v>757</v>
      </c>
      <c r="B58" s="349"/>
      <c r="C58" s="349"/>
      <c r="D58" s="349"/>
      <c r="E58" s="349"/>
      <c r="F58" s="349"/>
      <c r="G58" s="349"/>
      <c r="H58" s="349"/>
      <c r="I58" s="349"/>
      <c r="J58" s="349"/>
      <c r="K58" s="349"/>
      <c r="L58" s="349"/>
      <c r="M58" s="349"/>
      <c r="N58" s="349"/>
      <c r="O58" s="349"/>
      <c r="P58" s="349"/>
      <c r="Q58" s="349"/>
      <c r="R58" s="349"/>
      <c r="S58" s="349"/>
      <c r="T58" s="349"/>
      <c r="U58" s="349"/>
      <c r="V58" t="s">
        <v>758</v>
      </c>
      <c r="W58" s="42">
        <v>2020</v>
      </c>
      <c r="X58" s="42">
        <v>2021</v>
      </c>
      <c r="Y58" s="42">
        <v>2022</v>
      </c>
      <c r="Z58" s="42">
        <v>2023</v>
      </c>
      <c r="AA58" s="42">
        <v>2024</v>
      </c>
      <c r="AB58" s="42">
        <v>2025</v>
      </c>
      <c r="AC58" s="42">
        <v>2026</v>
      </c>
      <c r="AD58" s="42">
        <v>2027</v>
      </c>
      <c r="AE58" s="42">
        <v>2028</v>
      </c>
      <c r="AF58" s="42">
        <v>2029</v>
      </c>
      <c r="AG58" s="42">
        <v>2030</v>
      </c>
      <c r="AH58" s="42">
        <v>2031</v>
      </c>
      <c r="AI58" s="42">
        <v>2032</v>
      </c>
      <c r="AJ58" s="42">
        <v>2033</v>
      </c>
      <c r="AK58" s="42">
        <v>2034</v>
      </c>
      <c r="AL58" s="42">
        <v>2035</v>
      </c>
      <c r="AM58" s="42">
        <v>2036</v>
      </c>
      <c r="AN58" s="42">
        <v>2037</v>
      </c>
      <c r="AO58" s="42">
        <v>2038</v>
      </c>
      <c r="AP58" s="42">
        <v>2039</v>
      </c>
      <c r="AQ58" s="42">
        <v>2040</v>
      </c>
      <c r="AR58" s="42">
        <v>2041</v>
      </c>
      <c r="AS58" s="42">
        <v>2042</v>
      </c>
      <c r="AT58" s="42">
        <v>2043</v>
      </c>
      <c r="AU58" s="42">
        <v>2044</v>
      </c>
      <c r="AV58" s="42">
        <v>2045</v>
      </c>
      <c r="AW58" s="42">
        <v>2046</v>
      </c>
      <c r="AX58" s="42">
        <v>2047</v>
      </c>
      <c r="AY58" s="42">
        <v>2048</v>
      </c>
      <c r="AZ58" s="42">
        <v>2049</v>
      </c>
      <c r="BA58" s="42">
        <v>2050</v>
      </c>
    </row>
    <row r="59" spans="1:53" ht="15.75" customHeight="1">
      <c r="A59" s="350">
        <v>1949</v>
      </c>
      <c r="B59" s="350"/>
      <c r="C59" s="350"/>
      <c r="D59" s="350"/>
      <c r="E59" s="350"/>
      <c r="F59" s="350"/>
      <c r="G59" s="350"/>
      <c r="H59" s="350"/>
      <c r="I59" s="350"/>
      <c r="J59" s="350"/>
      <c r="K59" s="350"/>
      <c r="L59" s="350"/>
      <c r="M59" s="350"/>
      <c r="N59" s="350"/>
      <c r="O59" s="350"/>
      <c r="P59" s="350"/>
      <c r="Q59" s="350"/>
      <c r="R59" s="350"/>
      <c r="S59" s="350"/>
      <c r="T59" s="350"/>
      <c r="U59" s="350"/>
      <c r="V59">
        <v>56</v>
      </c>
      <c r="W59">
        <f t="shared" ref="W59:W124" si="46">IF(W$58-$A59&gt;$V$38,$V59,0)</f>
        <v>56</v>
      </c>
      <c r="X59">
        <f t="shared" ref="X59:BA59" si="47">IF(AND(X$58-$A59&gt;$V$38,SUM($W59:W59)&lt;&gt;$V59),$V59,0)</f>
        <v>0</v>
      </c>
      <c r="Y59">
        <f t="shared" si="47"/>
        <v>0</v>
      </c>
      <c r="Z59">
        <f t="shared" si="47"/>
        <v>0</v>
      </c>
      <c r="AA59">
        <f t="shared" si="47"/>
        <v>0</v>
      </c>
      <c r="AB59">
        <f t="shared" si="47"/>
        <v>0</v>
      </c>
      <c r="AC59">
        <f t="shared" si="47"/>
        <v>0</v>
      </c>
      <c r="AD59">
        <f t="shared" si="47"/>
        <v>0</v>
      </c>
      <c r="AE59">
        <f t="shared" si="47"/>
        <v>0</v>
      </c>
      <c r="AF59">
        <f t="shared" si="47"/>
        <v>0</v>
      </c>
      <c r="AG59">
        <f t="shared" si="47"/>
        <v>0</v>
      </c>
      <c r="AH59">
        <f t="shared" si="47"/>
        <v>0</v>
      </c>
      <c r="AI59">
        <f t="shared" si="47"/>
        <v>0</v>
      </c>
      <c r="AJ59">
        <f t="shared" si="47"/>
        <v>0</v>
      </c>
      <c r="AK59">
        <f t="shared" si="47"/>
        <v>0</v>
      </c>
      <c r="AL59">
        <f t="shared" si="47"/>
        <v>0</v>
      </c>
      <c r="AM59">
        <f t="shared" si="47"/>
        <v>0</v>
      </c>
      <c r="AN59">
        <f t="shared" si="47"/>
        <v>0</v>
      </c>
      <c r="AO59">
        <f t="shared" si="47"/>
        <v>0</v>
      </c>
      <c r="AP59">
        <f t="shared" si="47"/>
        <v>0</v>
      </c>
      <c r="AQ59">
        <f t="shared" si="47"/>
        <v>0</v>
      </c>
      <c r="AR59">
        <f t="shared" si="47"/>
        <v>0</v>
      </c>
      <c r="AS59">
        <f t="shared" si="47"/>
        <v>0</v>
      </c>
      <c r="AT59">
        <f t="shared" si="47"/>
        <v>0</v>
      </c>
      <c r="AU59">
        <f t="shared" si="47"/>
        <v>0</v>
      </c>
      <c r="AV59">
        <f t="shared" si="47"/>
        <v>0</v>
      </c>
      <c r="AW59">
        <f t="shared" si="47"/>
        <v>0</v>
      </c>
      <c r="AX59">
        <f t="shared" si="47"/>
        <v>0</v>
      </c>
      <c r="AY59">
        <f t="shared" si="47"/>
        <v>0</v>
      </c>
      <c r="AZ59">
        <f t="shared" si="47"/>
        <v>0</v>
      </c>
      <c r="BA59">
        <f t="shared" si="47"/>
        <v>0</v>
      </c>
    </row>
    <row r="60" spans="1:53" ht="15.75" customHeight="1">
      <c r="A60" s="350">
        <v>1950</v>
      </c>
      <c r="B60" s="350"/>
      <c r="C60" s="350"/>
      <c r="D60" s="350"/>
      <c r="E60" s="350"/>
      <c r="F60" s="350"/>
      <c r="G60" s="350"/>
      <c r="H60" s="350"/>
      <c r="I60" s="350"/>
      <c r="J60" s="350"/>
      <c r="K60" s="350"/>
      <c r="L60" s="350"/>
      <c r="M60" s="350"/>
      <c r="N60" s="350"/>
      <c r="O60" s="350"/>
      <c r="P60" s="350"/>
      <c r="Q60" s="350"/>
      <c r="R60" s="350"/>
      <c r="S60" s="350"/>
      <c r="T60" s="350"/>
      <c r="U60" s="350"/>
      <c r="V60">
        <v>87</v>
      </c>
      <c r="W60">
        <f t="shared" si="46"/>
        <v>87</v>
      </c>
      <c r="X60">
        <f t="shared" ref="X60:BA60" si="48">IF(AND(X$58-$A60&gt;$V$38,SUM($W60:W60)&lt;&gt;$V60),$V60,0)</f>
        <v>0</v>
      </c>
      <c r="Y60">
        <f t="shared" si="48"/>
        <v>0</v>
      </c>
      <c r="Z60">
        <f t="shared" si="48"/>
        <v>0</v>
      </c>
      <c r="AA60">
        <f t="shared" si="48"/>
        <v>0</v>
      </c>
      <c r="AB60">
        <f t="shared" si="48"/>
        <v>0</v>
      </c>
      <c r="AC60">
        <f t="shared" si="48"/>
        <v>0</v>
      </c>
      <c r="AD60">
        <f t="shared" si="48"/>
        <v>0</v>
      </c>
      <c r="AE60">
        <f t="shared" si="48"/>
        <v>0</v>
      </c>
      <c r="AF60">
        <f t="shared" si="48"/>
        <v>0</v>
      </c>
      <c r="AG60">
        <f t="shared" si="48"/>
        <v>0</v>
      </c>
      <c r="AH60">
        <f t="shared" si="48"/>
        <v>0</v>
      </c>
      <c r="AI60">
        <f t="shared" si="48"/>
        <v>0</v>
      </c>
      <c r="AJ60">
        <f t="shared" si="48"/>
        <v>0</v>
      </c>
      <c r="AK60">
        <f t="shared" si="48"/>
        <v>0</v>
      </c>
      <c r="AL60">
        <f t="shared" si="48"/>
        <v>0</v>
      </c>
      <c r="AM60">
        <f t="shared" si="48"/>
        <v>0</v>
      </c>
      <c r="AN60">
        <f t="shared" si="48"/>
        <v>0</v>
      </c>
      <c r="AO60">
        <f t="shared" si="48"/>
        <v>0</v>
      </c>
      <c r="AP60">
        <f t="shared" si="48"/>
        <v>0</v>
      </c>
      <c r="AQ60">
        <f t="shared" si="48"/>
        <v>0</v>
      </c>
      <c r="AR60">
        <f t="shared" si="48"/>
        <v>0</v>
      </c>
      <c r="AS60">
        <f t="shared" si="48"/>
        <v>0</v>
      </c>
      <c r="AT60">
        <f t="shared" si="48"/>
        <v>0</v>
      </c>
      <c r="AU60">
        <f t="shared" si="48"/>
        <v>0</v>
      </c>
      <c r="AV60">
        <f t="shared" si="48"/>
        <v>0</v>
      </c>
      <c r="AW60">
        <f t="shared" si="48"/>
        <v>0</v>
      </c>
      <c r="AX60">
        <f t="shared" si="48"/>
        <v>0</v>
      </c>
      <c r="AY60">
        <f t="shared" si="48"/>
        <v>0</v>
      </c>
      <c r="AZ60">
        <f t="shared" si="48"/>
        <v>0</v>
      </c>
      <c r="BA60">
        <f t="shared" si="48"/>
        <v>0</v>
      </c>
    </row>
    <row r="61" spans="1:53" ht="15.75" customHeight="1">
      <c r="A61" s="350">
        <v>1951</v>
      </c>
      <c r="B61" s="350"/>
      <c r="C61" s="350"/>
      <c r="D61" s="350"/>
      <c r="E61" s="350"/>
      <c r="F61" s="350"/>
      <c r="G61" s="350"/>
      <c r="H61" s="350"/>
      <c r="I61" s="350"/>
      <c r="J61" s="350"/>
      <c r="K61" s="350"/>
      <c r="L61" s="350"/>
      <c r="M61" s="350"/>
      <c r="N61" s="350"/>
      <c r="O61" s="350"/>
      <c r="P61" s="350"/>
      <c r="Q61" s="350"/>
      <c r="R61" s="350"/>
      <c r="S61" s="350"/>
      <c r="T61" s="350"/>
      <c r="U61" s="350"/>
      <c r="V61">
        <v>106.6</v>
      </c>
      <c r="W61">
        <f t="shared" si="46"/>
        <v>106.6</v>
      </c>
      <c r="X61">
        <f t="shared" ref="X61:BA61" si="49">IF(AND(X$58-$A61&gt;$V$38,SUM($W61:W61)&lt;&gt;$V61),$V61,0)</f>
        <v>0</v>
      </c>
      <c r="Y61">
        <f t="shared" si="49"/>
        <v>0</v>
      </c>
      <c r="Z61">
        <f t="shared" si="49"/>
        <v>0</v>
      </c>
      <c r="AA61">
        <f t="shared" si="49"/>
        <v>0</v>
      </c>
      <c r="AB61">
        <f t="shared" si="49"/>
        <v>0</v>
      </c>
      <c r="AC61">
        <f t="shared" si="49"/>
        <v>0</v>
      </c>
      <c r="AD61">
        <f t="shared" si="49"/>
        <v>0</v>
      </c>
      <c r="AE61">
        <f t="shared" si="49"/>
        <v>0</v>
      </c>
      <c r="AF61">
        <f t="shared" si="49"/>
        <v>0</v>
      </c>
      <c r="AG61">
        <f t="shared" si="49"/>
        <v>0</v>
      </c>
      <c r="AH61">
        <f t="shared" si="49"/>
        <v>0</v>
      </c>
      <c r="AI61">
        <f t="shared" si="49"/>
        <v>0</v>
      </c>
      <c r="AJ61">
        <f t="shared" si="49"/>
        <v>0</v>
      </c>
      <c r="AK61">
        <f t="shared" si="49"/>
        <v>0</v>
      </c>
      <c r="AL61">
        <f t="shared" si="49"/>
        <v>0</v>
      </c>
      <c r="AM61">
        <f t="shared" si="49"/>
        <v>0</v>
      </c>
      <c r="AN61">
        <f t="shared" si="49"/>
        <v>0</v>
      </c>
      <c r="AO61">
        <f t="shared" si="49"/>
        <v>0</v>
      </c>
      <c r="AP61">
        <f t="shared" si="49"/>
        <v>0</v>
      </c>
      <c r="AQ61">
        <f t="shared" si="49"/>
        <v>0</v>
      </c>
      <c r="AR61">
        <f t="shared" si="49"/>
        <v>0</v>
      </c>
      <c r="AS61">
        <f t="shared" si="49"/>
        <v>0</v>
      </c>
      <c r="AT61">
        <f t="shared" si="49"/>
        <v>0</v>
      </c>
      <c r="AU61">
        <f t="shared" si="49"/>
        <v>0</v>
      </c>
      <c r="AV61">
        <f t="shared" si="49"/>
        <v>0</v>
      </c>
      <c r="AW61">
        <f t="shared" si="49"/>
        <v>0</v>
      </c>
      <c r="AX61">
        <f t="shared" si="49"/>
        <v>0</v>
      </c>
      <c r="AY61">
        <f t="shared" si="49"/>
        <v>0</v>
      </c>
      <c r="AZ61">
        <f t="shared" si="49"/>
        <v>0</v>
      </c>
      <c r="BA61">
        <f t="shared" si="49"/>
        <v>0</v>
      </c>
    </row>
    <row r="62" spans="1:53" ht="15.75" customHeight="1">
      <c r="A62" s="350">
        <v>1952</v>
      </c>
      <c r="B62" s="350"/>
      <c r="C62" s="350"/>
      <c r="D62" s="350"/>
      <c r="E62" s="350"/>
      <c r="F62" s="350"/>
      <c r="G62" s="350"/>
      <c r="H62" s="350"/>
      <c r="I62" s="350"/>
      <c r="J62" s="350"/>
      <c r="K62" s="350"/>
      <c r="L62" s="350"/>
      <c r="M62" s="350"/>
      <c r="N62" s="350"/>
      <c r="O62" s="350"/>
      <c r="P62" s="350"/>
      <c r="Q62" s="350"/>
      <c r="R62" s="350"/>
      <c r="S62" s="350"/>
      <c r="T62" s="350"/>
      <c r="U62" s="350"/>
      <c r="V62">
        <v>31</v>
      </c>
      <c r="W62">
        <f t="shared" si="46"/>
        <v>31</v>
      </c>
      <c r="X62">
        <f t="shared" ref="X62:BA62" si="50">IF(AND(X$58-$A62&gt;$V$38,SUM($W62:W62)&lt;&gt;$V62),$V62,0)</f>
        <v>0</v>
      </c>
      <c r="Y62">
        <f t="shared" si="50"/>
        <v>0</v>
      </c>
      <c r="Z62">
        <f t="shared" si="50"/>
        <v>0</v>
      </c>
      <c r="AA62">
        <f t="shared" si="50"/>
        <v>0</v>
      </c>
      <c r="AB62">
        <f t="shared" si="50"/>
        <v>0</v>
      </c>
      <c r="AC62">
        <f t="shared" si="50"/>
        <v>0</v>
      </c>
      <c r="AD62">
        <f t="shared" si="50"/>
        <v>0</v>
      </c>
      <c r="AE62">
        <f t="shared" si="50"/>
        <v>0</v>
      </c>
      <c r="AF62">
        <f t="shared" si="50"/>
        <v>0</v>
      </c>
      <c r="AG62">
        <f t="shared" si="50"/>
        <v>0</v>
      </c>
      <c r="AH62">
        <f t="shared" si="50"/>
        <v>0</v>
      </c>
      <c r="AI62">
        <f t="shared" si="50"/>
        <v>0</v>
      </c>
      <c r="AJ62">
        <f t="shared" si="50"/>
        <v>0</v>
      </c>
      <c r="AK62">
        <f t="shared" si="50"/>
        <v>0</v>
      </c>
      <c r="AL62">
        <f t="shared" si="50"/>
        <v>0</v>
      </c>
      <c r="AM62">
        <f t="shared" si="50"/>
        <v>0</v>
      </c>
      <c r="AN62">
        <f t="shared" si="50"/>
        <v>0</v>
      </c>
      <c r="AO62">
        <f t="shared" si="50"/>
        <v>0</v>
      </c>
      <c r="AP62">
        <f t="shared" si="50"/>
        <v>0</v>
      </c>
      <c r="AQ62">
        <f t="shared" si="50"/>
        <v>0</v>
      </c>
      <c r="AR62">
        <f t="shared" si="50"/>
        <v>0</v>
      </c>
      <c r="AS62">
        <f t="shared" si="50"/>
        <v>0</v>
      </c>
      <c r="AT62">
        <f t="shared" si="50"/>
        <v>0</v>
      </c>
      <c r="AU62">
        <f t="shared" si="50"/>
        <v>0</v>
      </c>
      <c r="AV62">
        <f t="shared" si="50"/>
        <v>0</v>
      </c>
      <c r="AW62">
        <f t="shared" si="50"/>
        <v>0</v>
      </c>
      <c r="AX62">
        <f t="shared" si="50"/>
        <v>0</v>
      </c>
      <c r="AY62">
        <f t="shared" si="50"/>
        <v>0</v>
      </c>
      <c r="AZ62">
        <f t="shared" si="50"/>
        <v>0</v>
      </c>
      <c r="BA62">
        <f t="shared" si="50"/>
        <v>0</v>
      </c>
    </row>
    <row r="63" spans="1:53" ht="15.75" customHeight="1">
      <c r="A63" s="350">
        <v>1953</v>
      </c>
      <c r="B63" s="350"/>
      <c r="C63" s="350"/>
      <c r="D63" s="350"/>
      <c r="E63" s="350"/>
      <c r="F63" s="350"/>
      <c r="G63" s="350"/>
      <c r="H63" s="350"/>
      <c r="I63" s="350"/>
      <c r="J63" s="350"/>
      <c r="K63" s="350"/>
      <c r="L63" s="350"/>
      <c r="M63" s="350"/>
      <c r="N63" s="350"/>
      <c r="O63" s="350"/>
      <c r="P63" s="350"/>
      <c r="Q63" s="350"/>
      <c r="R63" s="350"/>
      <c r="S63" s="350"/>
      <c r="T63" s="350"/>
      <c r="U63" s="350"/>
      <c r="V63">
        <v>64</v>
      </c>
      <c r="W63">
        <f t="shared" si="46"/>
        <v>64</v>
      </c>
      <c r="X63">
        <f t="shared" ref="X63:BA63" si="51">IF(AND(X$58-$A63&gt;$V$38,SUM($W63:W63)&lt;&gt;$V63),$V63,0)</f>
        <v>0</v>
      </c>
      <c r="Y63">
        <f t="shared" si="51"/>
        <v>0</v>
      </c>
      <c r="Z63">
        <f t="shared" si="51"/>
        <v>0</v>
      </c>
      <c r="AA63">
        <f t="shared" si="51"/>
        <v>0</v>
      </c>
      <c r="AB63">
        <f t="shared" si="51"/>
        <v>0</v>
      </c>
      <c r="AC63">
        <f t="shared" si="51"/>
        <v>0</v>
      </c>
      <c r="AD63">
        <f t="shared" si="51"/>
        <v>0</v>
      </c>
      <c r="AE63">
        <f t="shared" si="51"/>
        <v>0</v>
      </c>
      <c r="AF63">
        <f t="shared" si="51"/>
        <v>0</v>
      </c>
      <c r="AG63">
        <f t="shared" si="51"/>
        <v>0</v>
      </c>
      <c r="AH63">
        <f t="shared" si="51"/>
        <v>0</v>
      </c>
      <c r="AI63">
        <f t="shared" si="51"/>
        <v>0</v>
      </c>
      <c r="AJ63">
        <f t="shared" si="51"/>
        <v>0</v>
      </c>
      <c r="AK63">
        <f t="shared" si="51"/>
        <v>0</v>
      </c>
      <c r="AL63">
        <f t="shared" si="51"/>
        <v>0</v>
      </c>
      <c r="AM63">
        <f t="shared" si="51"/>
        <v>0</v>
      </c>
      <c r="AN63">
        <f t="shared" si="51"/>
        <v>0</v>
      </c>
      <c r="AO63">
        <f t="shared" si="51"/>
        <v>0</v>
      </c>
      <c r="AP63">
        <f t="shared" si="51"/>
        <v>0</v>
      </c>
      <c r="AQ63">
        <f t="shared" si="51"/>
        <v>0</v>
      </c>
      <c r="AR63">
        <f t="shared" si="51"/>
        <v>0</v>
      </c>
      <c r="AS63">
        <f t="shared" si="51"/>
        <v>0</v>
      </c>
      <c r="AT63">
        <f t="shared" si="51"/>
        <v>0</v>
      </c>
      <c r="AU63">
        <f t="shared" si="51"/>
        <v>0</v>
      </c>
      <c r="AV63">
        <f t="shared" si="51"/>
        <v>0</v>
      </c>
      <c r="AW63">
        <f t="shared" si="51"/>
        <v>0</v>
      </c>
      <c r="AX63">
        <f t="shared" si="51"/>
        <v>0</v>
      </c>
      <c r="AY63">
        <f t="shared" si="51"/>
        <v>0</v>
      </c>
      <c r="AZ63">
        <f t="shared" si="51"/>
        <v>0</v>
      </c>
      <c r="BA63">
        <f t="shared" si="51"/>
        <v>0</v>
      </c>
    </row>
    <row r="64" spans="1:53" ht="15.75" customHeight="1">
      <c r="A64" s="350">
        <v>1954</v>
      </c>
      <c r="B64" s="350"/>
      <c r="C64" s="350"/>
      <c r="D64" s="350"/>
      <c r="E64" s="350"/>
      <c r="F64" s="350"/>
      <c r="G64" s="350"/>
      <c r="H64" s="350"/>
      <c r="I64" s="350"/>
      <c r="J64" s="350"/>
      <c r="K64" s="350"/>
      <c r="L64" s="350"/>
      <c r="M64" s="350"/>
      <c r="N64" s="350"/>
      <c r="O64" s="350"/>
      <c r="P64" s="350"/>
      <c r="Q64" s="350"/>
      <c r="R64" s="350"/>
      <c r="S64" s="350"/>
      <c r="T64" s="350"/>
      <c r="U64" s="350"/>
      <c r="V64">
        <v>205</v>
      </c>
      <c r="W64">
        <f t="shared" si="46"/>
        <v>205</v>
      </c>
      <c r="X64">
        <f t="shared" ref="X64:BA64" si="52">IF(AND(X$58-$A64&gt;$V$38,SUM($W64:W64)&lt;&gt;$V64),$V64,0)</f>
        <v>0</v>
      </c>
      <c r="Y64">
        <f t="shared" si="52"/>
        <v>0</v>
      </c>
      <c r="Z64">
        <f t="shared" si="52"/>
        <v>0</v>
      </c>
      <c r="AA64">
        <f t="shared" si="52"/>
        <v>0</v>
      </c>
      <c r="AB64">
        <f t="shared" si="52"/>
        <v>0</v>
      </c>
      <c r="AC64">
        <f t="shared" si="52"/>
        <v>0</v>
      </c>
      <c r="AD64">
        <f t="shared" si="52"/>
        <v>0</v>
      </c>
      <c r="AE64">
        <f t="shared" si="52"/>
        <v>0</v>
      </c>
      <c r="AF64">
        <f t="shared" si="52"/>
        <v>0</v>
      </c>
      <c r="AG64">
        <f t="shared" si="52"/>
        <v>0</v>
      </c>
      <c r="AH64">
        <f t="shared" si="52"/>
        <v>0</v>
      </c>
      <c r="AI64">
        <f t="shared" si="52"/>
        <v>0</v>
      </c>
      <c r="AJ64">
        <f t="shared" si="52"/>
        <v>0</v>
      </c>
      <c r="AK64">
        <f t="shared" si="52"/>
        <v>0</v>
      </c>
      <c r="AL64">
        <f t="shared" si="52"/>
        <v>0</v>
      </c>
      <c r="AM64">
        <f t="shared" si="52"/>
        <v>0</v>
      </c>
      <c r="AN64">
        <f t="shared" si="52"/>
        <v>0</v>
      </c>
      <c r="AO64">
        <f t="shared" si="52"/>
        <v>0</v>
      </c>
      <c r="AP64">
        <f t="shared" si="52"/>
        <v>0</v>
      </c>
      <c r="AQ64">
        <f t="shared" si="52"/>
        <v>0</v>
      </c>
      <c r="AR64">
        <f t="shared" si="52"/>
        <v>0</v>
      </c>
      <c r="AS64">
        <f t="shared" si="52"/>
        <v>0</v>
      </c>
      <c r="AT64">
        <f t="shared" si="52"/>
        <v>0</v>
      </c>
      <c r="AU64">
        <f t="shared" si="52"/>
        <v>0</v>
      </c>
      <c r="AV64">
        <f t="shared" si="52"/>
        <v>0</v>
      </c>
      <c r="AW64">
        <f t="shared" si="52"/>
        <v>0</v>
      </c>
      <c r="AX64">
        <f t="shared" si="52"/>
        <v>0</v>
      </c>
      <c r="AY64">
        <f t="shared" si="52"/>
        <v>0</v>
      </c>
      <c r="AZ64">
        <f t="shared" si="52"/>
        <v>0</v>
      </c>
      <c r="BA64">
        <f t="shared" si="52"/>
        <v>0</v>
      </c>
    </row>
    <row r="65" spans="1:53" ht="15.75" customHeight="1">
      <c r="A65" s="350">
        <v>1956</v>
      </c>
      <c r="B65" s="350"/>
      <c r="C65" s="350"/>
      <c r="D65" s="350"/>
      <c r="E65" s="350"/>
      <c r="F65" s="350"/>
      <c r="G65" s="350"/>
      <c r="H65" s="350"/>
      <c r="I65" s="350"/>
      <c r="J65" s="350"/>
      <c r="K65" s="350"/>
      <c r="L65" s="350"/>
      <c r="M65" s="350"/>
      <c r="N65" s="350"/>
      <c r="O65" s="350"/>
      <c r="P65" s="350"/>
      <c r="Q65" s="350"/>
      <c r="R65" s="350"/>
      <c r="S65" s="350"/>
      <c r="T65" s="350"/>
      <c r="U65" s="350"/>
      <c r="V65">
        <v>34</v>
      </c>
      <c r="W65">
        <f t="shared" si="46"/>
        <v>34</v>
      </c>
      <c r="X65">
        <f t="shared" ref="X65:BA65" si="53">IF(AND(X$58-$A65&gt;$V$38,SUM($W65:W65)&lt;&gt;$V65),$V65,0)</f>
        <v>0</v>
      </c>
      <c r="Y65">
        <f t="shared" si="53"/>
        <v>0</v>
      </c>
      <c r="Z65">
        <f t="shared" si="53"/>
        <v>0</v>
      </c>
      <c r="AA65">
        <f t="shared" si="53"/>
        <v>0</v>
      </c>
      <c r="AB65">
        <f t="shared" si="53"/>
        <v>0</v>
      </c>
      <c r="AC65">
        <f t="shared" si="53"/>
        <v>0</v>
      </c>
      <c r="AD65">
        <f t="shared" si="53"/>
        <v>0</v>
      </c>
      <c r="AE65">
        <f t="shared" si="53"/>
        <v>0</v>
      </c>
      <c r="AF65">
        <f t="shared" si="53"/>
        <v>0</v>
      </c>
      <c r="AG65">
        <f t="shared" si="53"/>
        <v>0</v>
      </c>
      <c r="AH65">
        <f t="shared" si="53"/>
        <v>0</v>
      </c>
      <c r="AI65">
        <f t="shared" si="53"/>
        <v>0</v>
      </c>
      <c r="AJ65">
        <f t="shared" si="53"/>
        <v>0</v>
      </c>
      <c r="AK65">
        <f t="shared" si="53"/>
        <v>0</v>
      </c>
      <c r="AL65">
        <f t="shared" si="53"/>
        <v>0</v>
      </c>
      <c r="AM65">
        <f t="shared" si="53"/>
        <v>0</v>
      </c>
      <c r="AN65">
        <f t="shared" si="53"/>
        <v>0</v>
      </c>
      <c r="AO65">
        <f t="shared" si="53"/>
        <v>0</v>
      </c>
      <c r="AP65">
        <f t="shared" si="53"/>
        <v>0</v>
      </c>
      <c r="AQ65">
        <f t="shared" si="53"/>
        <v>0</v>
      </c>
      <c r="AR65">
        <f t="shared" si="53"/>
        <v>0</v>
      </c>
      <c r="AS65">
        <f t="shared" si="53"/>
        <v>0</v>
      </c>
      <c r="AT65">
        <f t="shared" si="53"/>
        <v>0</v>
      </c>
      <c r="AU65">
        <f t="shared" si="53"/>
        <v>0</v>
      </c>
      <c r="AV65">
        <f t="shared" si="53"/>
        <v>0</v>
      </c>
      <c r="AW65">
        <f t="shared" si="53"/>
        <v>0</v>
      </c>
      <c r="AX65">
        <f t="shared" si="53"/>
        <v>0</v>
      </c>
      <c r="AY65">
        <f t="shared" si="53"/>
        <v>0</v>
      </c>
      <c r="AZ65">
        <f t="shared" si="53"/>
        <v>0</v>
      </c>
      <c r="BA65">
        <f t="shared" si="53"/>
        <v>0</v>
      </c>
    </row>
    <row r="66" spans="1:53" ht="15.75" customHeight="1">
      <c r="A66" s="350">
        <v>1957</v>
      </c>
      <c r="B66" s="350"/>
      <c r="C66" s="350"/>
      <c r="D66" s="350"/>
      <c r="E66" s="350"/>
      <c r="F66" s="350"/>
      <c r="G66" s="350"/>
      <c r="H66" s="350"/>
      <c r="I66" s="350"/>
      <c r="J66" s="350"/>
      <c r="K66" s="350"/>
      <c r="L66" s="350"/>
      <c r="M66" s="350"/>
      <c r="N66" s="350"/>
      <c r="O66" s="350"/>
      <c r="P66" s="350"/>
      <c r="Q66" s="350"/>
      <c r="R66" s="350"/>
      <c r="S66" s="350"/>
      <c r="T66" s="350"/>
      <c r="U66" s="350"/>
      <c r="V66">
        <v>477.5</v>
      </c>
      <c r="W66">
        <f t="shared" si="46"/>
        <v>477.5</v>
      </c>
      <c r="X66">
        <f t="shared" ref="X66:BA66" si="54">IF(AND(X$58-$A66&gt;$V$38,SUM($W66:W66)&lt;&gt;$V66),$V66,0)</f>
        <v>0</v>
      </c>
      <c r="Y66">
        <f t="shared" si="54"/>
        <v>0</v>
      </c>
      <c r="Z66">
        <f t="shared" si="54"/>
        <v>0</v>
      </c>
      <c r="AA66">
        <f t="shared" si="54"/>
        <v>0</v>
      </c>
      <c r="AB66">
        <f t="shared" si="54"/>
        <v>0</v>
      </c>
      <c r="AC66">
        <f t="shared" si="54"/>
        <v>0</v>
      </c>
      <c r="AD66">
        <f t="shared" si="54"/>
        <v>0</v>
      </c>
      <c r="AE66">
        <f t="shared" si="54"/>
        <v>0</v>
      </c>
      <c r="AF66">
        <f t="shared" si="54"/>
        <v>0</v>
      </c>
      <c r="AG66">
        <f t="shared" si="54"/>
        <v>0</v>
      </c>
      <c r="AH66">
        <f t="shared" si="54"/>
        <v>0</v>
      </c>
      <c r="AI66">
        <f t="shared" si="54"/>
        <v>0</v>
      </c>
      <c r="AJ66">
        <f t="shared" si="54"/>
        <v>0</v>
      </c>
      <c r="AK66">
        <f t="shared" si="54"/>
        <v>0</v>
      </c>
      <c r="AL66">
        <f t="shared" si="54"/>
        <v>0</v>
      </c>
      <c r="AM66">
        <f t="shared" si="54"/>
        <v>0</v>
      </c>
      <c r="AN66">
        <f t="shared" si="54"/>
        <v>0</v>
      </c>
      <c r="AO66">
        <f t="shared" si="54"/>
        <v>0</v>
      </c>
      <c r="AP66">
        <f t="shared" si="54"/>
        <v>0</v>
      </c>
      <c r="AQ66">
        <f t="shared" si="54"/>
        <v>0</v>
      </c>
      <c r="AR66">
        <f t="shared" si="54"/>
        <v>0</v>
      </c>
      <c r="AS66">
        <f t="shared" si="54"/>
        <v>0</v>
      </c>
      <c r="AT66">
        <f t="shared" si="54"/>
        <v>0</v>
      </c>
      <c r="AU66">
        <f t="shared" si="54"/>
        <v>0</v>
      </c>
      <c r="AV66">
        <f t="shared" si="54"/>
        <v>0</v>
      </c>
      <c r="AW66">
        <f t="shared" si="54"/>
        <v>0</v>
      </c>
      <c r="AX66">
        <f t="shared" si="54"/>
        <v>0</v>
      </c>
      <c r="AY66">
        <f t="shared" si="54"/>
        <v>0</v>
      </c>
      <c r="AZ66">
        <f t="shared" si="54"/>
        <v>0</v>
      </c>
      <c r="BA66">
        <f t="shared" si="54"/>
        <v>0</v>
      </c>
    </row>
    <row r="67" spans="1:53" ht="15.75" customHeight="1">
      <c r="A67" s="350">
        <v>1958</v>
      </c>
      <c r="B67" s="350"/>
      <c r="C67" s="350"/>
      <c r="D67" s="350"/>
      <c r="E67" s="350"/>
      <c r="F67" s="350"/>
      <c r="G67" s="350"/>
      <c r="H67" s="350"/>
      <c r="I67" s="350"/>
      <c r="J67" s="350"/>
      <c r="K67" s="350"/>
      <c r="L67" s="350"/>
      <c r="M67" s="350"/>
      <c r="N67" s="350"/>
      <c r="O67" s="350"/>
      <c r="P67" s="350"/>
      <c r="Q67" s="350"/>
      <c r="R67" s="350"/>
      <c r="S67" s="350"/>
      <c r="T67" s="350"/>
      <c r="U67" s="350"/>
      <c r="V67">
        <v>2056.4</v>
      </c>
      <c r="W67">
        <f t="shared" si="46"/>
        <v>2056.4</v>
      </c>
      <c r="X67">
        <f t="shared" ref="X67:BA67" si="55">IF(AND(X$58-$A67&gt;$V$38,SUM($W67:W67)&lt;&gt;$V67),$V67,0)</f>
        <v>0</v>
      </c>
      <c r="Y67">
        <f t="shared" si="55"/>
        <v>0</v>
      </c>
      <c r="Z67">
        <f t="shared" si="55"/>
        <v>0</v>
      </c>
      <c r="AA67">
        <f t="shared" si="55"/>
        <v>0</v>
      </c>
      <c r="AB67">
        <f t="shared" si="55"/>
        <v>0</v>
      </c>
      <c r="AC67">
        <f t="shared" si="55"/>
        <v>0</v>
      </c>
      <c r="AD67">
        <f t="shared" si="55"/>
        <v>0</v>
      </c>
      <c r="AE67">
        <f t="shared" si="55"/>
        <v>0</v>
      </c>
      <c r="AF67">
        <f t="shared" si="55"/>
        <v>0</v>
      </c>
      <c r="AG67">
        <f t="shared" si="55"/>
        <v>0</v>
      </c>
      <c r="AH67">
        <f t="shared" si="55"/>
        <v>0</v>
      </c>
      <c r="AI67">
        <f t="shared" si="55"/>
        <v>0</v>
      </c>
      <c r="AJ67">
        <f t="shared" si="55"/>
        <v>0</v>
      </c>
      <c r="AK67">
        <f t="shared" si="55"/>
        <v>0</v>
      </c>
      <c r="AL67">
        <f t="shared" si="55"/>
        <v>0</v>
      </c>
      <c r="AM67">
        <f t="shared" si="55"/>
        <v>0</v>
      </c>
      <c r="AN67">
        <f t="shared" si="55"/>
        <v>0</v>
      </c>
      <c r="AO67">
        <f t="shared" si="55"/>
        <v>0</v>
      </c>
      <c r="AP67">
        <f t="shared" si="55"/>
        <v>0</v>
      </c>
      <c r="AQ67">
        <f t="shared" si="55"/>
        <v>0</v>
      </c>
      <c r="AR67">
        <f t="shared" si="55"/>
        <v>0</v>
      </c>
      <c r="AS67">
        <f t="shared" si="55"/>
        <v>0</v>
      </c>
      <c r="AT67">
        <f t="shared" si="55"/>
        <v>0</v>
      </c>
      <c r="AU67">
        <f t="shared" si="55"/>
        <v>0</v>
      </c>
      <c r="AV67">
        <f t="shared" si="55"/>
        <v>0</v>
      </c>
      <c r="AW67">
        <f t="shared" si="55"/>
        <v>0</v>
      </c>
      <c r="AX67">
        <f t="shared" si="55"/>
        <v>0</v>
      </c>
      <c r="AY67">
        <f t="shared" si="55"/>
        <v>0</v>
      </c>
      <c r="AZ67">
        <f t="shared" si="55"/>
        <v>0</v>
      </c>
      <c r="BA67">
        <f t="shared" si="55"/>
        <v>0</v>
      </c>
    </row>
    <row r="68" spans="1:53" ht="15.75" customHeight="1">
      <c r="A68" s="350">
        <v>1959</v>
      </c>
      <c r="B68" s="350"/>
      <c r="C68" s="350"/>
      <c r="D68" s="350"/>
      <c r="E68" s="350"/>
      <c r="F68" s="350"/>
      <c r="G68" s="350"/>
      <c r="H68" s="350"/>
      <c r="I68" s="350"/>
      <c r="J68" s="350"/>
      <c r="K68" s="350"/>
      <c r="L68" s="350"/>
      <c r="M68" s="350"/>
      <c r="N68" s="350"/>
      <c r="O68" s="350"/>
      <c r="P68" s="350"/>
      <c r="Q68" s="350"/>
      <c r="R68" s="350"/>
      <c r="S68" s="350"/>
      <c r="T68" s="350"/>
      <c r="U68" s="350"/>
      <c r="V68">
        <v>295.5</v>
      </c>
      <c r="W68">
        <f t="shared" si="46"/>
        <v>295.5</v>
      </c>
      <c r="X68">
        <f t="shared" ref="X68:BA68" si="56">IF(AND(X$58-$A68&gt;$V$38,SUM($W68:W68)&lt;&gt;$V68),$V68,0)</f>
        <v>0</v>
      </c>
      <c r="Y68">
        <f t="shared" si="56"/>
        <v>0</v>
      </c>
      <c r="Z68">
        <f t="shared" si="56"/>
        <v>0</v>
      </c>
      <c r="AA68">
        <f t="shared" si="56"/>
        <v>0</v>
      </c>
      <c r="AB68">
        <f t="shared" si="56"/>
        <v>0</v>
      </c>
      <c r="AC68">
        <f t="shared" si="56"/>
        <v>0</v>
      </c>
      <c r="AD68">
        <f t="shared" si="56"/>
        <v>0</v>
      </c>
      <c r="AE68">
        <f t="shared" si="56"/>
        <v>0</v>
      </c>
      <c r="AF68">
        <f t="shared" si="56"/>
        <v>0</v>
      </c>
      <c r="AG68">
        <f t="shared" si="56"/>
        <v>0</v>
      </c>
      <c r="AH68">
        <f t="shared" si="56"/>
        <v>0</v>
      </c>
      <c r="AI68">
        <f t="shared" si="56"/>
        <v>0</v>
      </c>
      <c r="AJ68">
        <f t="shared" si="56"/>
        <v>0</v>
      </c>
      <c r="AK68">
        <f t="shared" si="56"/>
        <v>0</v>
      </c>
      <c r="AL68">
        <f t="shared" si="56"/>
        <v>0</v>
      </c>
      <c r="AM68">
        <f t="shared" si="56"/>
        <v>0</v>
      </c>
      <c r="AN68">
        <f t="shared" si="56"/>
        <v>0</v>
      </c>
      <c r="AO68">
        <f t="shared" si="56"/>
        <v>0</v>
      </c>
      <c r="AP68">
        <f t="shared" si="56"/>
        <v>0</v>
      </c>
      <c r="AQ68">
        <f t="shared" si="56"/>
        <v>0</v>
      </c>
      <c r="AR68">
        <f t="shared" si="56"/>
        <v>0</v>
      </c>
      <c r="AS68">
        <f t="shared" si="56"/>
        <v>0</v>
      </c>
      <c r="AT68">
        <f t="shared" si="56"/>
        <v>0</v>
      </c>
      <c r="AU68">
        <f t="shared" si="56"/>
        <v>0</v>
      </c>
      <c r="AV68">
        <f t="shared" si="56"/>
        <v>0</v>
      </c>
      <c r="AW68">
        <f t="shared" si="56"/>
        <v>0</v>
      </c>
      <c r="AX68">
        <f t="shared" si="56"/>
        <v>0</v>
      </c>
      <c r="AY68">
        <f t="shared" si="56"/>
        <v>0</v>
      </c>
      <c r="AZ68">
        <f t="shared" si="56"/>
        <v>0</v>
      </c>
      <c r="BA68">
        <f t="shared" si="56"/>
        <v>0</v>
      </c>
    </row>
    <row r="69" spans="1:53" ht="15.75" customHeight="1">
      <c r="A69" s="350">
        <v>1961</v>
      </c>
      <c r="B69" s="350"/>
      <c r="C69" s="350"/>
      <c r="D69" s="350"/>
      <c r="E69" s="350"/>
      <c r="F69" s="350"/>
      <c r="G69" s="350"/>
      <c r="H69" s="350"/>
      <c r="I69" s="350"/>
      <c r="J69" s="350"/>
      <c r="K69" s="350"/>
      <c r="L69" s="350"/>
      <c r="M69" s="350"/>
      <c r="N69" s="350"/>
      <c r="O69" s="350"/>
      <c r="P69" s="350"/>
      <c r="Q69" s="350"/>
      <c r="R69" s="350"/>
      <c r="S69" s="350"/>
      <c r="T69" s="350"/>
      <c r="U69" s="350"/>
      <c r="V69">
        <v>243.9</v>
      </c>
      <c r="W69">
        <f t="shared" si="46"/>
        <v>243.9</v>
      </c>
      <c r="X69">
        <f t="shared" ref="X69:BA69" si="57">IF(AND(X$58-$A69&gt;$V$38,SUM($W69:W69)&lt;&gt;$V69),$V69,0)</f>
        <v>0</v>
      </c>
      <c r="Y69">
        <f t="shared" si="57"/>
        <v>0</v>
      </c>
      <c r="Z69">
        <f t="shared" si="57"/>
        <v>0</v>
      </c>
      <c r="AA69">
        <f t="shared" si="57"/>
        <v>0</v>
      </c>
      <c r="AB69">
        <f t="shared" si="57"/>
        <v>0</v>
      </c>
      <c r="AC69">
        <f t="shared" si="57"/>
        <v>0</v>
      </c>
      <c r="AD69">
        <f t="shared" si="57"/>
        <v>0</v>
      </c>
      <c r="AE69">
        <f t="shared" si="57"/>
        <v>0</v>
      </c>
      <c r="AF69">
        <f t="shared" si="57"/>
        <v>0</v>
      </c>
      <c r="AG69">
        <f t="shared" si="57"/>
        <v>0</v>
      </c>
      <c r="AH69">
        <f t="shared" si="57"/>
        <v>0</v>
      </c>
      <c r="AI69">
        <f t="shared" si="57"/>
        <v>0</v>
      </c>
      <c r="AJ69">
        <f t="shared" si="57"/>
        <v>0</v>
      </c>
      <c r="AK69">
        <f t="shared" si="57"/>
        <v>0</v>
      </c>
      <c r="AL69">
        <f t="shared" si="57"/>
        <v>0</v>
      </c>
      <c r="AM69">
        <f t="shared" si="57"/>
        <v>0</v>
      </c>
      <c r="AN69">
        <f t="shared" si="57"/>
        <v>0</v>
      </c>
      <c r="AO69">
        <f t="shared" si="57"/>
        <v>0</v>
      </c>
      <c r="AP69">
        <f t="shared" si="57"/>
        <v>0</v>
      </c>
      <c r="AQ69">
        <f t="shared" si="57"/>
        <v>0</v>
      </c>
      <c r="AR69">
        <f t="shared" si="57"/>
        <v>0</v>
      </c>
      <c r="AS69">
        <f t="shared" si="57"/>
        <v>0</v>
      </c>
      <c r="AT69">
        <f t="shared" si="57"/>
        <v>0</v>
      </c>
      <c r="AU69">
        <f t="shared" si="57"/>
        <v>0</v>
      </c>
      <c r="AV69">
        <f t="shared" si="57"/>
        <v>0</v>
      </c>
      <c r="AW69">
        <f t="shared" si="57"/>
        <v>0</v>
      </c>
      <c r="AX69">
        <f t="shared" si="57"/>
        <v>0</v>
      </c>
      <c r="AY69">
        <f t="shared" si="57"/>
        <v>0</v>
      </c>
      <c r="AZ69">
        <f t="shared" si="57"/>
        <v>0</v>
      </c>
      <c r="BA69">
        <f t="shared" si="57"/>
        <v>0</v>
      </c>
    </row>
    <row r="70" spans="1:53" ht="15.75" customHeight="1">
      <c r="A70" s="350">
        <v>1962</v>
      </c>
      <c r="B70" s="350"/>
      <c r="C70" s="350"/>
      <c r="D70" s="350"/>
      <c r="E70" s="350"/>
      <c r="F70" s="350"/>
      <c r="G70" s="350"/>
      <c r="H70" s="350"/>
      <c r="I70" s="350"/>
      <c r="J70" s="350"/>
      <c r="K70" s="350"/>
      <c r="L70" s="350"/>
      <c r="M70" s="350"/>
      <c r="N70" s="350"/>
      <c r="O70" s="350"/>
      <c r="P70" s="350"/>
      <c r="Q70" s="350"/>
      <c r="R70" s="350"/>
      <c r="S70" s="350"/>
      <c r="T70" s="350"/>
      <c r="U70" s="350"/>
      <c r="V70">
        <v>88.4</v>
      </c>
      <c r="W70">
        <f t="shared" si="46"/>
        <v>88.4</v>
      </c>
      <c r="X70">
        <f t="shared" ref="X70:BA70" si="58">IF(AND(X$58-$A70&gt;$V$38,SUM($W70:W70)&lt;&gt;$V70),$V70,0)</f>
        <v>0</v>
      </c>
      <c r="Y70">
        <f t="shared" si="58"/>
        <v>0</v>
      </c>
      <c r="Z70">
        <f t="shared" si="58"/>
        <v>0</v>
      </c>
      <c r="AA70">
        <f t="shared" si="58"/>
        <v>0</v>
      </c>
      <c r="AB70">
        <f t="shared" si="58"/>
        <v>0</v>
      </c>
      <c r="AC70">
        <f t="shared" si="58"/>
        <v>0</v>
      </c>
      <c r="AD70">
        <f t="shared" si="58"/>
        <v>0</v>
      </c>
      <c r="AE70">
        <f t="shared" si="58"/>
        <v>0</v>
      </c>
      <c r="AF70">
        <f t="shared" si="58"/>
        <v>0</v>
      </c>
      <c r="AG70">
        <f t="shared" si="58"/>
        <v>0</v>
      </c>
      <c r="AH70">
        <f t="shared" si="58"/>
        <v>0</v>
      </c>
      <c r="AI70">
        <f t="shared" si="58"/>
        <v>0</v>
      </c>
      <c r="AJ70">
        <f t="shared" si="58"/>
        <v>0</v>
      </c>
      <c r="AK70">
        <f t="shared" si="58"/>
        <v>0</v>
      </c>
      <c r="AL70">
        <f t="shared" si="58"/>
        <v>0</v>
      </c>
      <c r="AM70">
        <f t="shared" si="58"/>
        <v>0</v>
      </c>
      <c r="AN70">
        <f t="shared" si="58"/>
        <v>0</v>
      </c>
      <c r="AO70">
        <f t="shared" si="58"/>
        <v>0</v>
      </c>
      <c r="AP70">
        <f t="shared" si="58"/>
        <v>0</v>
      </c>
      <c r="AQ70">
        <f t="shared" si="58"/>
        <v>0</v>
      </c>
      <c r="AR70">
        <f t="shared" si="58"/>
        <v>0</v>
      </c>
      <c r="AS70">
        <f t="shared" si="58"/>
        <v>0</v>
      </c>
      <c r="AT70">
        <f t="shared" si="58"/>
        <v>0</v>
      </c>
      <c r="AU70">
        <f t="shared" si="58"/>
        <v>0</v>
      </c>
      <c r="AV70">
        <f t="shared" si="58"/>
        <v>0</v>
      </c>
      <c r="AW70">
        <f t="shared" si="58"/>
        <v>0</v>
      </c>
      <c r="AX70">
        <f t="shared" si="58"/>
        <v>0</v>
      </c>
      <c r="AY70">
        <f t="shared" si="58"/>
        <v>0</v>
      </c>
      <c r="AZ70">
        <f t="shared" si="58"/>
        <v>0</v>
      </c>
      <c r="BA70">
        <f t="shared" si="58"/>
        <v>0</v>
      </c>
    </row>
    <row r="71" spans="1:53" ht="15.75" customHeight="1">
      <c r="A71" s="350">
        <v>1963</v>
      </c>
      <c r="B71" s="350"/>
      <c r="C71" s="350"/>
      <c r="D71" s="350"/>
      <c r="E71" s="350"/>
      <c r="F71" s="350"/>
      <c r="G71" s="350"/>
      <c r="H71" s="350"/>
      <c r="I71" s="350"/>
      <c r="J71" s="350"/>
      <c r="K71" s="350"/>
      <c r="L71" s="350"/>
      <c r="M71" s="350"/>
      <c r="N71" s="350"/>
      <c r="O71" s="350"/>
      <c r="P71" s="350"/>
      <c r="Q71" s="350"/>
      <c r="R71" s="350"/>
      <c r="S71" s="350"/>
      <c r="T71" s="350"/>
      <c r="U71" s="350"/>
      <c r="V71">
        <v>186</v>
      </c>
      <c r="W71">
        <f t="shared" si="46"/>
        <v>186</v>
      </c>
      <c r="X71">
        <f t="shared" ref="X71:BA71" si="59">IF(AND(X$58-$A71&gt;$V$38,SUM($W71:W71)&lt;&gt;$V71),$V71,0)</f>
        <v>0</v>
      </c>
      <c r="Y71">
        <f t="shared" si="59"/>
        <v>0</v>
      </c>
      <c r="Z71">
        <f t="shared" si="59"/>
        <v>0</v>
      </c>
      <c r="AA71">
        <f t="shared" si="59"/>
        <v>0</v>
      </c>
      <c r="AB71">
        <f t="shared" si="59"/>
        <v>0</v>
      </c>
      <c r="AC71">
        <f t="shared" si="59"/>
        <v>0</v>
      </c>
      <c r="AD71">
        <f t="shared" si="59"/>
        <v>0</v>
      </c>
      <c r="AE71">
        <f t="shared" si="59"/>
        <v>0</v>
      </c>
      <c r="AF71">
        <f t="shared" si="59"/>
        <v>0</v>
      </c>
      <c r="AG71">
        <f t="shared" si="59"/>
        <v>0</v>
      </c>
      <c r="AH71">
        <f t="shared" si="59"/>
        <v>0</v>
      </c>
      <c r="AI71">
        <f t="shared" si="59"/>
        <v>0</v>
      </c>
      <c r="AJ71">
        <f t="shared" si="59"/>
        <v>0</v>
      </c>
      <c r="AK71">
        <f t="shared" si="59"/>
        <v>0</v>
      </c>
      <c r="AL71">
        <f t="shared" si="59"/>
        <v>0</v>
      </c>
      <c r="AM71">
        <f t="shared" si="59"/>
        <v>0</v>
      </c>
      <c r="AN71">
        <f t="shared" si="59"/>
        <v>0</v>
      </c>
      <c r="AO71">
        <f t="shared" si="59"/>
        <v>0</v>
      </c>
      <c r="AP71">
        <f t="shared" si="59"/>
        <v>0</v>
      </c>
      <c r="AQ71">
        <f t="shared" si="59"/>
        <v>0</v>
      </c>
      <c r="AR71">
        <f t="shared" si="59"/>
        <v>0</v>
      </c>
      <c r="AS71">
        <f t="shared" si="59"/>
        <v>0</v>
      </c>
      <c r="AT71">
        <f t="shared" si="59"/>
        <v>0</v>
      </c>
      <c r="AU71">
        <f t="shared" si="59"/>
        <v>0</v>
      </c>
      <c r="AV71">
        <f t="shared" si="59"/>
        <v>0</v>
      </c>
      <c r="AW71">
        <f t="shared" si="59"/>
        <v>0</v>
      </c>
      <c r="AX71">
        <f t="shared" si="59"/>
        <v>0</v>
      </c>
      <c r="AY71">
        <f t="shared" si="59"/>
        <v>0</v>
      </c>
      <c r="AZ71">
        <f t="shared" si="59"/>
        <v>0</v>
      </c>
      <c r="BA71">
        <f t="shared" si="59"/>
        <v>0</v>
      </c>
    </row>
    <row r="72" spans="1:53" ht="15.75" customHeight="1">
      <c r="A72" s="350">
        <v>1964</v>
      </c>
      <c r="B72" s="350"/>
      <c r="C72" s="350"/>
      <c r="D72" s="350"/>
      <c r="E72" s="350"/>
      <c r="F72" s="350"/>
      <c r="G72" s="350"/>
      <c r="H72" s="350"/>
      <c r="I72" s="350"/>
      <c r="J72" s="350"/>
      <c r="K72" s="350"/>
      <c r="L72" s="350"/>
      <c r="M72" s="350"/>
      <c r="N72" s="350"/>
      <c r="O72" s="350"/>
      <c r="P72" s="350"/>
      <c r="Q72" s="350"/>
      <c r="R72" s="350"/>
      <c r="S72" s="350"/>
      <c r="T72" s="350"/>
      <c r="U72" s="350"/>
      <c r="V72">
        <v>15</v>
      </c>
      <c r="W72">
        <f t="shared" si="46"/>
        <v>15</v>
      </c>
      <c r="X72">
        <f t="shared" ref="X72:BA72" si="60">IF(AND(X$58-$A72&gt;$V$38,SUM($W72:W72)&lt;&gt;$V72),$V72,0)</f>
        <v>0</v>
      </c>
      <c r="Y72">
        <f t="shared" si="60"/>
        <v>0</v>
      </c>
      <c r="Z72">
        <f t="shared" si="60"/>
        <v>0</v>
      </c>
      <c r="AA72">
        <f t="shared" si="60"/>
        <v>0</v>
      </c>
      <c r="AB72">
        <f t="shared" si="60"/>
        <v>0</v>
      </c>
      <c r="AC72">
        <f t="shared" si="60"/>
        <v>0</v>
      </c>
      <c r="AD72">
        <f t="shared" si="60"/>
        <v>0</v>
      </c>
      <c r="AE72">
        <f t="shared" si="60"/>
        <v>0</v>
      </c>
      <c r="AF72">
        <f t="shared" si="60"/>
        <v>0</v>
      </c>
      <c r="AG72">
        <f t="shared" si="60"/>
        <v>0</v>
      </c>
      <c r="AH72">
        <f t="shared" si="60"/>
        <v>0</v>
      </c>
      <c r="AI72">
        <f t="shared" si="60"/>
        <v>0</v>
      </c>
      <c r="AJ72">
        <f t="shared" si="60"/>
        <v>0</v>
      </c>
      <c r="AK72">
        <f t="shared" si="60"/>
        <v>0</v>
      </c>
      <c r="AL72">
        <f t="shared" si="60"/>
        <v>0</v>
      </c>
      <c r="AM72">
        <f t="shared" si="60"/>
        <v>0</v>
      </c>
      <c r="AN72">
        <f t="shared" si="60"/>
        <v>0</v>
      </c>
      <c r="AO72">
        <f t="shared" si="60"/>
        <v>0</v>
      </c>
      <c r="AP72">
        <f t="shared" si="60"/>
        <v>0</v>
      </c>
      <c r="AQ72">
        <f t="shared" si="60"/>
        <v>0</v>
      </c>
      <c r="AR72">
        <f t="shared" si="60"/>
        <v>0</v>
      </c>
      <c r="AS72">
        <f t="shared" si="60"/>
        <v>0</v>
      </c>
      <c r="AT72">
        <f t="shared" si="60"/>
        <v>0</v>
      </c>
      <c r="AU72">
        <f t="shared" si="60"/>
        <v>0</v>
      </c>
      <c r="AV72">
        <f t="shared" si="60"/>
        <v>0</v>
      </c>
      <c r="AW72">
        <f t="shared" si="60"/>
        <v>0</v>
      </c>
      <c r="AX72">
        <f t="shared" si="60"/>
        <v>0</v>
      </c>
      <c r="AY72">
        <f t="shared" si="60"/>
        <v>0</v>
      </c>
      <c r="AZ72">
        <f t="shared" si="60"/>
        <v>0</v>
      </c>
      <c r="BA72">
        <f t="shared" si="60"/>
        <v>0</v>
      </c>
    </row>
    <row r="73" spans="1:53" ht="15.75" customHeight="1">
      <c r="A73" s="350">
        <v>1965</v>
      </c>
      <c r="B73" s="350"/>
      <c r="C73" s="350"/>
      <c r="D73" s="350"/>
      <c r="E73" s="350"/>
      <c r="F73" s="350"/>
      <c r="G73" s="350"/>
      <c r="H73" s="350"/>
      <c r="I73" s="350"/>
      <c r="J73" s="350"/>
      <c r="K73" s="350"/>
      <c r="L73" s="350"/>
      <c r="M73" s="350"/>
      <c r="N73" s="350"/>
      <c r="O73" s="350"/>
      <c r="P73" s="350"/>
      <c r="Q73" s="350"/>
      <c r="R73" s="350"/>
      <c r="S73" s="350"/>
      <c r="T73" s="350"/>
      <c r="U73" s="350"/>
      <c r="V73">
        <v>283.2</v>
      </c>
      <c r="W73">
        <f t="shared" si="46"/>
        <v>283.2</v>
      </c>
      <c r="X73">
        <f t="shared" ref="X73:BA73" si="61">IF(AND(X$58-$A73&gt;$V$38,SUM($W73:W73)&lt;&gt;$V73),$V73,0)</f>
        <v>0</v>
      </c>
      <c r="Y73">
        <f t="shared" si="61"/>
        <v>0</v>
      </c>
      <c r="Z73">
        <f t="shared" si="61"/>
        <v>0</v>
      </c>
      <c r="AA73">
        <f t="shared" si="61"/>
        <v>0</v>
      </c>
      <c r="AB73">
        <f t="shared" si="61"/>
        <v>0</v>
      </c>
      <c r="AC73">
        <f t="shared" si="61"/>
        <v>0</v>
      </c>
      <c r="AD73">
        <f t="shared" si="61"/>
        <v>0</v>
      </c>
      <c r="AE73">
        <f t="shared" si="61"/>
        <v>0</v>
      </c>
      <c r="AF73">
        <f t="shared" si="61"/>
        <v>0</v>
      </c>
      <c r="AG73">
        <f t="shared" si="61"/>
        <v>0</v>
      </c>
      <c r="AH73">
        <f t="shared" si="61"/>
        <v>0</v>
      </c>
      <c r="AI73">
        <f t="shared" si="61"/>
        <v>0</v>
      </c>
      <c r="AJ73">
        <f t="shared" si="61"/>
        <v>0</v>
      </c>
      <c r="AK73">
        <f t="shared" si="61"/>
        <v>0</v>
      </c>
      <c r="AL73">
        <f t="shared" si="61"/>
        <v>0</v>
      </c>
      <c r="AM73">
        <f t="shared" si="61"/>
        <v>0</v>
      </c>
      <c r="AN73">
        <f t="shared" si="61"/>
        <v>0</v>
      </c>
      <c r="AO73">
        <f t="shared" si="61"/>
        <v>0</v>
      </c>
      <c r="AP73">
        <f t="shared" si="61"/>
        <v>0</v>
      </c>
      <c r="AQ73">
        <f t="shared" si="61"/>
        <v>0</v>
      </c>
      <c r="AR73">
        <f t="shared" si="61"/>
        <v>0</v>
      </c>
      <c r="AS73">
        <f t="shared" si="61"/>
        <v>0</v>
      </c>
      <c r="AT73">
        <f t="shared" si="61"/>
        <v>0</v>
      </c>
      <c r="AU73">
        <f t="shared" si="61"/>
        <v>0</v>
      </c>
      <c r="AV73">
        <f t="shared" si="61"/>
        <v>0</v>
      </c>
      <c r="AW73">
        <f t="shared" si="61"/>
        <v>0</v>
      </c>
      <c r="AX73">
        <f t="shared" si="61"/>
        <v>0</v>
      </c>
      <c r="AY73">
        <f t="shared" si="61"/>
        <v>0</v>
      </c>
      <c r="AZ73">
        <f t="shared" si="61"/>
        <v>0</v>
      </c>
      <c r="BA73">
        <f t="shared" si="61"/>
        <v>0</v>
      </c>
    </row>
    <row r="74" spans="1:53" ht="15.75" customHeight="1">
      <c r="A74" s="350">
        <v>1966</v>
      </c>
      <c r="B74" s="350"/>
      <c r="C74" s="350"/>
      <c r="D74" s="350"/>
      <c r="E74" s="350"/>
      <c r="F74" s="350"/>
      <c r="G74" s="350"/>
      <c r="H74" s="350"/>
      <c r="I74" s="350"/>
      <c r="J74" s="350"/>
      <c r="K74" s="350"/>
      <c r="L74" s="350"/>
      <c r="M74" s="350"/>
      <c r="N74" s="350"/>
      <c r="O74" s="350"/>
      <c r="P74" s="350"/>
      <c r="Q74" s="350"/>
      <c r="R74" s="350"/>
      <c r="S74" s="350"/>
      <c r="T74" s="350"/>
      <c r="U74" s="350"/>
      <c r="V74">
        <v>291.39999999999998</v>
      </c>
      <c r="W74">
        <f t="shared" si="46"/>
        <v>291.39999999999998</v>
      </c>
      <c r="X74">
        <f t="shared" ref="X74:BA74" si="62">IF(AND(X$58-$A74&gt;$V$38,SUM($W74:W74)&lt;&gt;$V74),$V74,0)</f>
        <v>0</v>
      </c>
      <c r="Y74">
        <f t="shared" si="62"/>
        <v>0</v>
      </c>
      <c r="Z74">
        <f t="shared" si="62"/>
        <v>0</v>
      </c>
      <c r="AA74">
        <f t="shared" si="62"/>
        <v>0</v>
      </c>
      <c r="AB74">
        <f t="shared" si="62"/>
        <v>0</v>
      </c>
      <c r="AC74">
        <f t="shared" si="62"/>
        <v>0</v>
      </c>
      <c r="AD74">
        <f t="shared" si="62"/>
        <v>0</v>
      </c>
      <c r="AE74">
        <f t="shared" si="62"/>
        <v>0</v>
      </c>
      <c r="AF74">
        <f t="shared" si="62"/>
        <v>0</v>
      </c>
      <c r="AG74">
        <f t="shared" si="62"/>
        <v>0</v>
      </c>
      <c r="AH74">
        <f t="shared" si="62"/>
        <v>0</v>
      </c>
      <c r="AI74">
        <f t="shared" si="62"/>
        <v>0</v>
      </c>
      <c r="AJ74">
        <f t="shared" si="62"/>
        <v>0</v>
      </c>
      <c r="AK74">
        <f t="shared" si="62"/>
        <v>0</v>
      </c>
      <c r="AL74">
        <f t="shared" si="62"/>
        <v>0</v>
      </c>
      <c r="AM74">
        <f t="shared" si="62"/>
        <v>0</v>
      </c>
      <c r="AN74">
        <f t="shared" si="62"/>
        <v>0</v>
      </c>
      <c r="AO74">
        <f t="shared" si="62"/>
        <v>0</v>
      </c>
      <c r="AP74">
        <f t="shared" si="62"/>
        <v>0</v>
      </c>
      <c r="AQ74">
        <f t="shared" si="62"/>
        <v>0</v>
      </c>
      <c r="AR74">
        <f t="shared" si="62"/>
        <v>0</v>
      </c>
      <c r="AS74">
        <f t="shared" si="62"/>
        <v>0</v>
      </c>
      <c r="AT74">
        <f t="shared" si="62"/>
        <v>0</v>
      </c>
      <c r="AU74">
        <f t="shared" si="62"/>
        <v>0</v>
      </c>
      <c r="AV74">
        <f t="shared" si="62"/>
        <v>0</v>
      </c>
      <c r="AW74">
        <f t="shared" si="62"/>
        <v>0</v>
      </c>
      <c r="AX74">
        <f t="shared" si="62"/>
        <v>0</v>
      </c>
      <c r="AY74">
        <f t="shared" si="62"/>
        <v>0</v>
      </c>
      <c r="AZ74">
        <f t="shared" si="62"/>
        <v>0</v>
      </c>
      <c r="BA74">
        <f t="shared" si="62"/>
        <v>0</v>
      </c>
    </row>
    <row r="75" spans="1:53" ht="15.75" customHeight="1">
      <c r="A75" s="350">
        <v>1967</v>
      </c>
      <c r="B75" s="350"/>
      <c r="C75" s="350"/>
      <c r="D75" s="350"/>
      <c r="E75" s="350"/>
      <c r="F75" s="350"/>
      <c r="G75" s="350"/>
      <c r="H75" s="350"/>
      <c r="I75" s="350"/>
      <c r="J75" s="350"/>
      <c r="K75" s="350"/>
      <c r="L75" s="350"/>
      <c r="M75" s="350"/>
      <c r="N75" s="350"/>
      <c r="O75" s="350"/>
      <c r="P75" s="350"/>
      <c r="Q75" s="350"/>
      <c r="R75" s="350"/>
      <c r="S75" s="350"/>
      <c r="T75" s="350"/>
      <c r="U75" s="350"/>
      <c r="V75">
        <v>324.3</v>
      </c>
      <c r="W75">
        <f t="shared" si="46"/>
        <v>324.3</v>
      </c>
      <c r="X75">
        <f t="shared" ref="X75:BA75" si="63">IF(AND(X$58-$A75&gt;$V$38,SUM($W75:W75)&lt;&gt;$V75),$V75,0)</f>
        <v>0</v>
      </c>
      <c r="Y75">
        <f t="shared" si="63"/>
        <v>0</v>
      </c>
      <c r="Z75">
        <f t="shared" si="63"/>
        <v>0</v>
      </c>
      <c r="AA75">
        <f t="shared" si="63"/>
        <v>0</v>
      </c>
      <c r="AB75">
        <f t="shared" si="63"/>
        <v>0</v>
      </c>
      <c r="AC75">
        <f t="shared" si="63"/>
        <v>0</v>
      </c>
      <c r="AD75">
        <f t="shared" si="63"/>
        <v>0</v>
      </c>
      <c r="AE75">
        <f t="shared" si="63"/>
        <v>0</v>
      </c>
      <c r="AF75">
        <f t="shared" si="63"/>
        <v>0</v>
      </c>
      <c r="AG75">
        <f t="shared" si="63"/>
        <v>0</v>
      </c>
      <c r="AH75">
        <f t="shared" si="63"/>
        <v>0</v>
      </c>
      <c r="AI75">
        <f t="shared" si="63"/>
        <v>0</v>
      </c>
      <c r="AJ75">
        <f t="shared" si="63"/>
        <v>0</v>
      </c>
      <c r="AK75">
        <f t="shared" si="63"/>
        <v>0</v>
      </c>
      <c r="AL75">
        <f t="shared" si="63"/>
        <v>0</v>
      </c>
      <c r="AM75">
        <f t="shared" si="63"/>
        <v>0</v>
      </c>
      <c r="AN75">
        <f t="shared" si="63"/>
        <v>0</v>
      </c>
      <c r="AO75">
        <f t="shared" si="63"/>
        <v>0</v>
      </c>
      <c r="AP75">
        <f t="shared" si="63"/>
        <v>0</v>
      </c>
      <c r="AQ75">
        <f t="shared" si="63"/>
        <v>0</v>
      </c>
      <c r="AR75">
        <f t="shared" si="63"/>
        <v>0</v>
      </c>
      <c r="AS75">
        <f t="shared" si="63"/>
        <v>0</v>
      </c>
      <c r="AT75">
        <f t="shared" si="63"/>
        <v>0</v>
      </c>
      <c r="AU75">
        <f t="shared" si="63"/>
        <v>0</v>
      </c>
      <c r="AV75">
        <f t="shared" si="63"/>
        <v>0</v>
      </c>
      <c r="AW75">
        <f t="shared" si="63"/>
        <v>0</v>
      </c>
      <c r="AX75">
        <f t="shared" si="63"/>
        <v>0</v>
      </c>
      <c r="AY75">
        <f t="shared" si="63"/>
        <v>0</v>
      </c>
      <c r="AZ75">
        <f t="shared" si="63"/>
        <v>0</v>
      </c>
      <c r="BA75">
        <f t="shared" si="63"/>
        <v>0</v>
      </c>
    </row>
    <row r="76" spans="1:53" ht="15.75" customHeight="1">
      <c r="A76" s="350">
        <v>1968</v>
      </c>
      <c r="B76" s="350"/>
      <c r="C76" s="350"/>
      <c r="D76" s="350"/>
      <c r="E76" s="350"/>
      <c r="F76" s="350"/>
      <c r="G76" s="350"/>
      <c r="H76" s="350"/>
      <c r="I76" s="350"/>
      <c r="J76" s="350"/>
      <c r="K76" s="350"/>
      <c r="L76" s="350"/>
      <c r="M76" s="350"/>
      <c r="N76" s="350"/>
      <c r="O76" s="350"/>
      <c r="P76" s="350"/>
      <c r="Q76" s="350"/>
      <c r="R76" s="350"/>
      <c r="S76" s="350"/>
      <c r="T76" s="350"/>
      <c r="U76" s="350"/>
      <c r="V76">
        <v>14.7</v>
      </c>
      <c r="W76">
        <f t="shared" si="46"/>
        <v>14.7</v>
      </c>
      <c r="X76">
        <f t="shared" ref="X76:BA76" si="64">IF(AND(X$58-$A76&gt;$V$38,SUM($W76:W76)&lt;&gt;$V76),$V76,0)</f>
        <v>0</v>
      </c>
      <c r="Y76">
        <f t="shared" si="64"/>
        <v>0</v>
      </c>
      <c r="Z76">
        <f t="shared" si="64"/>
        <v>0</v>
      </c>
      <c r="AA76">
        <f t="shared" si="64"/>
        <v>0</v>
      </c>
      <c r="AB76">
        <f t="shared" si="64"/>
        <v>0</v>
      </c>
      <c r="AC76">
        <f t="shared" si="64"/>
        <v>0</v>
      </c>
      <c r="AD76">
        <f t="shared" si="64"/>
        <v>0</v>
      </c>
      <c r="AE76">
        <f t="shared" si="64"/>
        <v>0</v>
      </c>
      <c r="AF76">
        <f t="shared" si="64"/>
        <v>0</v>
      </c>
      <c r="AG76">
        <f t="shared" si="64"/>
        <v>0</v>
      </c>
      <c r="AH76">
        <f t="shared" si="64"/>
        <v>0</v>
      </c>
      <c r="AI76">
        <f t="shared" si="64"/>
        <v>0</v>
      </c>
      <c r="AJ76">
        <f t="shared" si="64"/>
        <v>0</v>
      </c>
      <c r="AK76">
        <f t="shared" si="64"/>
        <v>0</v>
      </c>
      <c r="AL76">
        <f t="shared" si="64"/>
        <v>0</v>
      </c>
      <c r="AM76">
        <f t="shared" si="64"/>
        <v>0</v>
      </c>
      <c r="AN76">
        <f t="shared" si="64"/>
        <v>0</v>
      </c>
      <c r="AO76">
        <f t="shared" si="64"/>
        <v>0</v>
      </c>
      <c r="AP76">
        <f t="shared" si="64"/>
        <v>0</v>
      </c>
      <c r="AQ76">
        <f t="shared" si="64"/>
        <v>0</v>
      </c>
      <c r="AR76">
        <f t="shared" si="64"/>
        <v>0</v>
      </c>
      <c r="AS76">
        <f t="shared" si="64"/>
        <v>0</v>
      </c>
      <c r="AT76">
        <f t="shared" si="64"/>
        <v>0</v>
      </c>
      <c r="AU76">
        <f t="shared" si="64"/>
        <v>0</v>
      </c>
      <c r="AV76">
        <f t="shared" si="64"/>
        <v>0</v>
      </c>
      <c r="AW76">
        <f t="shared" si="64"/>
        <v>0</v>
      </c>
      <c r="AX76">
        <f t="shared" si="64"/>
        <v>0</v>
      </c>
      <c r="AY76">
        <f t="shared" si="64"/>
        <v>0</v>
      </c>
      <c r="AZ76">
        <f t="shared" si="64"/>
        <v>0</v>
      </c>
      <c r="BA76">
        <f t="shared" si="64"/>
        <v>0</v>
      </c>
    </row>
    <row r="77" spans="1:53" ht="15.75" customHeight="1">
      <c r="A77" s="350">
        <v>1969</v>
      </c>
      <c r="B77" s="350"/>
      <c r="C77" s="350"/>
      <c r="D77" s="350"/>
      <c r="E77" s="350"/>
      <c r="F77" s="350"/>
      <c r="G77" s="350"/>
      <c r="H77" s="350"/>
      <c r="I77" s="350"/>
      <c r="J77" s="350"/>
      <c r="K77" s="350"/>
      <c r="L77" s="350"/>
      <c r="M77" s="350"/>
      <c r="N77" s="350"/>
      <c r="O77" s="350"/>
      <c r="P77" s="350"/>
      <c r="Q77" s="350"/>
      <c r="R77" s="350"/>
      <c r="S77" s="350"/>
      <c r="T77" s="350"/>
      <c r="U77" s="350"/>
      <c r="V77">
        <v>1443.1</v>
      </c>
      <c r="W77">
        <f t="shared" si="46"/>
        <v>1443.1</v>
      </c>
      <c r="X77">
        <f t="shared" ref="X77:BA77" si="65">IF(AND(X$58-$A77&gt;$V$38,SUM($W77:W77)&lt;&gt;$V77),$V77,0)</f>
        <v>0</v>
      </c>
      <c r="Y77">
        <f t="shared" si="65"/>
        <v>0</v>
      </c>
      <c r="Z77">
        <f t="shared" si="65"/>
        <v>0</v>
      </c>
      <c r="AA77">
        <f t="shared" si="65"/>
        <v>0</v>
      </c>
      <c r="AB77">
        <f t="shared" si="65"/>
        <v>0</v>
      </c>
      <c r="AC77">
        <f t="shared" si="65"/>
        <v>0</v>
      </c>
      <c r="AD77">
        <f t="shared" si="65"/>
        <v>0</v>
      </c>
      <c r="AE77">
        <f t="shared" si="65"/>
        <v>0</v>
      </c>
      <c r="AF77">
        <f t="shared" si="65"/>
        <v>0</v>
      </c>
      <c r="AG77">
        <f t="shared" si="65"/>
        <v>0</v>
      </c>
      <c r="AH77">
        <f t="shared" si="65"/>
        <v>0</v>
      </c>
      <c r="AI77">
        <f t="shared" si="65"/>
        <v>0</v>
      </c>
      <c r="AJ77">
        <f t="shared" si="65"/>
        <v>0</v>
      </c>
      <c r="AK77">
        <f t="shared" si="65"/>
        <v>0</v>
      </c>
      <c r="AL77">
        <f t="shared" si="65"/>
        <v>0</v>
      </c>
      <c r="AM77">
        <f t="shared" si="65"/>
        <v>0</v>
      </c>
      <c r="AN77">
        <f t="shared" si="65"/>
        <v>0</v>
      </c>
      <c r="AO77">
        <f t="shared" si="65"/>
        <v>0</v>
      </c>
      <c r="AP77">
        <f t="shared" si="65"/>
        <v>0</v>
      </c>
      <c r="AQ77">
        <f t="shared" si="65"/>
        <v>0</v>
      </c>
      <c r="AR77">
        <f t="shared" si="65"/>
        <v>0</v>
      </c>
      <c r="AS77">
        <f t="shared" si="65"/>
        <v>0</v>
      </c>
      <c r="AT77">
        <f t="shared" si="65"/>
        <v>0</v>
      </c>
      <c r="AU77">
        <f t="shared" si="65"/>
        <v>0</v>
      </c>
      <c r="AV77">
        <f t="shared" si="65"/>
        <v>0</v>
      </c>
      <c r="AW77">
        <f t="shared" si="65"/>
        <v>0</v>
      </c>
      <c r="AX77">
        <f t="shared" si="65"/>
        <v>0</v>
      </c>
      <c r="AY77">
        <f t="shared" si="65"/>
        <v>0</v>
      </c>
      <c r="AZ77">
        <f t="shared" si="65"/>
        <v>0</v>
      </c>
      <c r="BA77">
        <f t="shared" si="65"/>
        <v>0</v>
      </c>
    </row>
    <row r="78" spans="1:53" ht="15.75" customHeight="1">
      <c r="A78" s="350">
        <v>1970</v>
      </c>
      <c r="B78" s="350"/>
      <c r="C78" s="350"/>
      <c r="D78" s="350"/>
      <c r="E78" s="350"/>
      <c r="F78" s="350"/>
      <c r="G78" s="350"/>
      <c r="H78" s="350"/>
      <c r="I78" s="350"/>
      <c r="J78" s="350"/>
      <c r="K78" s="350"/>
      <c r="L78" s="350"/>
      <c r="M78" s="350"/>
      <c r="N78" s="350"/>
      <c r="O78" s="350"/>
      <c r="P78" s="350"/>
      <c r="Q78" s="350"/>
      <c r="R78" s="350"/>
      <c r="S78" s="350"/>
      <c r="T78" s="350"/>
      <c r="U78" s="350"/>
      <c r="V78">
        <v>118</v>
      </c>
      <c r="W78">
        <f t="shared" si="46"/>
        <v>118</v>
      </c>
      <c r="X78">
        <f t="shared" ref="X78:BA78" si="66">IF(AND(X$58-$A78&gt;$V$38,SUM($W78:W78)&lt;&gt;$V78),$V78,0)</f>
        <v>0</v>
      </c>
      <c r="Y78">
        <f t="shared" si="66"/>
        <v>0</v>
      </c>
      <c r="Z78">
        <f t="shared" si="66"/>
        <v>0</v>
      </c>
      <c r="AA78">
        <f t="shared" si="66"/>
        <v>0</v>
      </c>
      <c r="AB78">
        <f t="shared" si="66"/>
        <v>0</v>
      </c>
      <c r="AC78">
        <f t="shared" si="66"/>
        <v>0</v>
      </c>
      <c r="AD78">
        <f t="shared" si="66"/>
        <v>0</v>
      </c>
      <c r="AE78">
        <f t="shared" si="66"/>
        <v>0</v>
      </c>
      <c r="AF78">
        <f t="shared" si="66"/>
        <v>0</v>
      </c>
      <c r="AG78">
        <f t="shared" si="66"/>
        <v>0</v>
      </c>
      <c r="AH78">
        <f t="shared" si="66"/>
        <v>0</v>
      </c>
      <c r="AI78">
        <f t="shared" si="66"/>
        <v>0</v>
      </c>
      <c r="AJ78">
        <f t="shared" si="66"/>
        <v>0</v>
      </c>
      <c r="AK78">
        <f t="shared" si="66"/>
        <v>0</v>
      </c>
      <c r="AL78">
        <f t="shared" si="66"/>
        <v>0</v>
      </c>
      <c r="AM78">
        <f t="shared" si="66"/>
        <v>0</v>
      </c>
      <c r="AN78">
        <f t="shared" si="66"/>
        <v>0</v>
      </c>
      <c r="AO78">
        <f t="shared" si="66"/>
        <v>0</v>
      </c>
      <c r="AP78">
        <f t="shared" si="66"/>
        <v>0</v>
      </c>
      <c r="AQ78">
        <f t="shared" si="66"/>
        <v>0</v>
      </c>
      <c r="AR78">
        <f t="shared" si="66"/>
        <v>0</v>
      </c>
      <c r="AS78">
        <f t="shared" si="66"/>
        <v>0</v>
      </c>
      <c r="AT78">
        <f t="shared" si="66"/>
        <v>0</v>
      </c>
      <c r="AU78">
        <f t="shared" si="66"/>
        <v>0</v>
      </c>
      <c r="AV78">
        <f t="shared" si="66"/>
        <v>0</v>
      </c>
      <c r="AW78">
        <f t="shared" si="66"/>
        <v>0</v>
      </c>
      <c r="AX78">
        <f t="shared" si="66"/>
        <v>0</v>
      </c>
      <c r="AY78">
        <f t="shared" si="66"/>
        <v>0</v>
      </c>
      <c r="AZ78">
        <f t="shared" si="66"/>
        <v>0</v>
      </c>
      <c r="BA78">
        <f t="shared" si="66"/>
        <v>0</v>
      </c>
    </row>
    <row r="79" spans="1:53" ht="15.75" customHeight="1">
      <c r="A79" s="350">
        <v>1971</v>
      </c>
      <c r="B79" s="350"/>
      <c r="C79" s="350"/>
      <c r="D79" s="350"/>
      <c r="E79" s="350"/>
      <c r="F79" s="350"/>
      <c r="G79" s="350"/>
      <c r="H79" s="350"/>
      <c r="I79" s="350"/>
      <c r="J79" s="350"/>
      <c r="K79" s="350"/>
      <c r="L79" s="350"/>
      <c r="M79" s="350"/>
      <c r="N79" s="350"/>
      <c r="O79" s="350"/>
      <c r="P79" s="350"/>
      <c r="Q79" s="350"/>
      <c r="R79" s="350"/>
      <c r="S79" s="350"/>
      <c r="T79" s="350"/>
      <c r="U79" s="350"/>
      <c r="V79">
        <v>35</v>
      </c>
      <c r="W79">
        <f t="shared" si="46"/>
        <v>35</v>
      </c>
      <c r="X79">
        <f t="shared" ref="X79:BA79" si="67">IF(AND(X$58-$A79&gt;$V$38,SUM($W79:W79)&lt;&gt;$V79),$V79,0)</f>
        <v>0</v>
      </c>
      <c r="Y79">
        <f t="shared" si="67"/>
        <v>0</v>
      </c>
      <c r="Z79">
        <f t="shared" si="67"/>
        <v>0</v>
      </c>
      <c r="AA79">
        <f t="shared" si="67"/>
        <v>0</v>
      </c>
      <c r="AB79">
        <f t="shared" si="67"/>
        <v>0</v>
      </c>
      <c r="AC79">
        <f t="shared" si="67"/>
        <v>0</v>
      </c>
      <c r="AD79">
        <f t="shared" si="67"/>
        <v>0</v>
      </c>
      <c r="AE79">
        <f t="shared" si="67"/>
        <v>0</v>
      </c>
      <c r="AF79">
        <f t="shared" si="67"/>
        <v>0</v>
      </c>
      <c r="AG79">
        <f t="shared" si="67"/>
        <v>0</v>
      </c>
      <c r="AH79">
        <f t="shared" si="67"/>
        <v>0</v>
      </c>
      <c r="AI79">
        <f t="shared" si="67"/>
        <v>0</v>
      </c>
      <c r="AJ79">
        <f t="shared" si="67"/>
        <v>0</v>
      </c>
      <c r="AK79">
        <f t="shared" si="67"/>
        <v>0</v>
      </c>
      <c r="AL79">
        <f t="shared" si="67"/>
        <v>0</v>
      </c>
      <c r="AM79">
        <f t="shared" si="67"/>
        <v>0</v>
      </c>
      <c r="AN79">
        <f t="shared" si="67"/>
        <v>0</v>
      </c>
      <c r="AO79">
        <f t="shared" si="67"/>
        <v>0</v>
      </c>
      <c r="AP79">
        <f t="shared" si="67"/>
        <v>0</v>
      </c>
      <c r="AQ79">
        <f t="shared" si="67"/>
        <v>0</v>
      </c>
      <c r="AR79">
        <f t="shared" si="67"/>
        <v>0</v>
      </c>
      <c r="AS79">
        <f t="shared" si="67"/>
        <v>0</v>
      </c>
      <c r="AT79">
        <f t="shared" si="67"/>
        <v>0</v>
      </c>
      <c r="AU79">
        <f t="shared" si="67"/>
        <v>0</v>
      </c>
      <c r="AV79">
        <f t="shared" si="67"/>
        <v>0</v>
      </c>
      <c r="AW79">
        <f t="shared" si="67"/>
        <v>0</v>
      </c>
      <c r="AX79">
        <f t="shared" si="67"/>
        <v>0</v>
      </c>
      <c r="AY79">
        <f t="shared" si="67"/>
        <v>0</v>
      </c>
      <c r="AZ79">
        <f t="shared" si="67"/>
        <v>0</v>
      </c>
      <c r="BA79">
        <f t="shared" si="67"/>
        <v>0</v>
      </c>
    </row>
    <row r="80" spans="1:53" ht="15.75" customHeight="1">
      <c r="A80" s="350">
        <v>1972</v>
      </c>
      <c r="B80" s="350"/>
      <c r="C80" s="350"/>
      <c r="D80" s="350"/>
      <c r="E80" s="350"/>
      <c r="F80" s="350"/>
      <c r="G80" s="350"/>
      <c r="H80" s="350"/>
      <c r="I80" s="350"/>
      <c r="J80" s="350"/>
      <c r="K80" s="350"/>
      <c r="L80" s="350"/>
      <c r="M80" s="350"/>
      <c r="N80" s="350"/>
      <c r="O80" s="350"/>
      <c r="P80" s="350"/>
      <c r="Q80" s="350"/>
      <c r="R80" s="350"/>
      <c r="S80" s="350"/>
      <c r="T80" s="350"/>
      <c r="U80" s="350"/>
      <c r="V80">
        <v>661</v>
      </c>
      <c r="W80">
        <f t="shared" si="46"/>
        <v>661</v>
      </c>
      <c r="X80">
        <f t="shared" ref="X80:BA80" si="68">IF(AND(X$58-$A80&gt;$V$38,SUM($W80:W80)&lt;&gt;$V80),$V80,0)</f>
        <v>0</v>
      </c>
      <c r="Y80">
        <f t="shared" si="68"/>
        <v>0</v>
      </c>
      <c r="Z80">
        <f t="shared" si="68"/>
        <v>0</v>
      </c>
      <c r="AA80">
        <f t="shared" si="68"/>
        <v>0</v>
      </c>
      <c r="AB80">
        <f t="shared" si="68"/>
        <v>0</v>
      </c>
      <c r="AC80">
        <f t="shared" si="68"/>
        <v>0</v>
      </c>
      <c r="AD80">
        <f t="shared" si="68"/>
        <v>0</v>
      </c>
      <c r="AE80">
        <f t="shared" si="68"/>
        <v>0</v>
      </c>
      <c r="AF80">
        <f t="shared" si="68"/>
        <v>0</v>
      </c>
      <c r="AG80">
        <f t="shared" si="68"/>
        <v>0</v>
      </c>
      <c r="AH80">
        <f t="shared" si="68"/>
        <v>0</v>
      </c>
      <c r="AI80">
        <f t="shared" si="68"/>
        <v>0</v>
      </c>
      <c r="AJ80">
        <f t="shared" si="68"/>
        <v>0</v>
      </c>
      <c r="AK80">
        <f t="shared" si="68"/>
        <v>0</v>
      </c>
      <c r="AL80">
        <f t="shared" si="68"/>
        <v>0</v>
      </c>
      <c r="AM80">
        <f t="shared" si="68"/>
        <v>0</v>
      </c>
      <c r="AN80">
        <f t="shared" si="68"/>
        <v>0</v>
      </c>
      <c r="AO80">
        <f t="shared" si="68"/>
        <v>0</v>
      </c>
      <c r="AP80">
        <f t="shared" si="68"/>
        <v>0</v>
      </c>
      <c r="AQ80">
        <f t="shared" si="68"/>
        <v>0</v>
      </c>
      <c r="AR80">
        <f t="shared" si="68"/>
        <v>0</v>
      </c>
      <c r="AS80">
        <f t="shared" si="68"/>
        <v>0</v>
      </c>
      <c r="AT80">
        <f t="shared" si="68"/>
        <v>0</v>
      </c>
      <c r="AU80">
        <f t="shared" si="68"/>
        <v>0</v>
      </c>
      <c r="AV80">
        <f t="shared" si="68"/>
        <v>0</v>
      </c>
      <c r="AW80">
        <f t="shared" si="68"/>
        <v>0</v>
      </c>
      <c r="AX80">
        <f t="shared" si="68"/>
        <v>0</v>
      </c>
      <c r="AY80">
        <f t="shared" si="68"/>
        <v>0</v>
      </c>
      <c r="AZ80">
        <f t="shared" si="68"/>
        <v>0</v>
      </c>
      <c r="BA80">
        <f t="shared" si="68"/>
        <v>0</v>
      </c>
    </row>
    <row r="81" spans="1:53" ht="15.75" customHeight="1">
      <c r="A81" s="350">
        <v>1973</v>
      </c>
      <c r="B81" s="350"/>
      <c r="C81" s="350"/>
      <c r="D81" s="350"/>
      <c r="E81" s="350"/>
      <c r="F81" s="350"/>
      <c r="G81" s="350"/>
      <c r="H81" s="350"/>
      <c r="I81" s="350"/>
      <c r="J81" s="350"/>
      <c r="K81" s="350"/>
      <c r="L81" s="350"/>
      <c r="M81" s="350"/>
      <c r="N81" s="350"/>
      <c r="O81" s="350"/>
      <c r="P81" s="350"/>
      <c r="Q81" s="350"/>
      <c r="R81" s="350"/>
      <c r="S81" s="350"/>
      <c r="T81" s="350"/>
      <c r="U81" s="350"/>
      <c r="V81">
        <v>379.8</v>
      </c>
      <c r="W81">
        <f t="shared" si="46"/>
        <v>379.8</v>
      </c>
      <c r="X81">
        <f t="shared" ref="X81:BA81" si="69">IF(AND(X$58-$A81&gt;$V$38,SUM($W81:W81)&lt;&gt;$V81),$V81,0)</f>
        <v>0</v>
      </c>
      <c r="Y81">
        <f t="shared" si="69"/>
        <v>0</v>
      </c>
      <c r="Z81">
        <f t="shared" si="69"/>
        <v>0</v>
      </c>
      <c r="AA81">
        <f t="shared" si="69"/>
        <v>0</v>
      </c>
      <c r="AB81">
        <f t="shared" si="69"/>
        <v>0</v>
      </c>
      <c r="AC81">
        <f t="shared" si="69"/>
        <v>0</v>
      </c>
      <c r="AD81">
        <f t="shared" si="69"/>
        <v>0</v>
      </c>
      <c r="AE81">
        <f t="shared" si="69"/>
        <v>0</v>
      </c>
      <c r="AF81">
        <f t="shared" si="69"/>
        <v>0</v>
      </c>
      <c r="AG81">
        <f t="shared" si="69"/>
        <v>0</v>
      </c>
      <c r="AH81">
        <f t="shared" si="69"/>
        <v>0</v>
      </c>
      <c r="AI81">
        <f t="shared" si="69"/>
        <v>0</v>
      </c>
      <c r="AJ81">
        <f t="shared" si="69"/>
        <v>0</v>
      </c>
      <c r="AK81">
        <f t="shared" si="69"/>
        <v>0</v>
      </c>
      <c r="AL81">
        <f t="shared" si="69"/>
        <v>0</v>
      </c>
      <c r="AM81">
        <f t="shared" si="69"/>
        <v>0</v>
      </c>
      <c r="AN81">
        <f t="shared" si="69"/>
        <v>0</v>
      </c>
      <c r="AO81">
        <f t="shared" si="69"/>
        <v>0</v>
      </c>
      <c r="AP81">
        <f t="shared" si="69"/>
        <v>0</v>
      </c>
      <c r="AQ81">
        <f t="shared" si="69"/>
        <v>0</v>
      </c>
      <c r="AR81">
        <f t="shared" si="69"/>
        <v>0</v>
      </c>
      <c r="AS81">
        <f t="shared" si="69"/>
        <v>0</v>
      </c>
      <c r="AT81">
        <f t="shared" si="69"/>
        <v>0</v>
      </c>
      <c r="AU81">
        <f t="shared" si="69"/>
        <v>0</v>
      </c>
      <c r="AV81">
        <f t="shared" si="69"/>
        <v>0</v>
      </c>
      <c r="AW81">
        <f t="shared" si="69"/>
        <v>0</v>
      </c>
      <c r="AX81">
        <f t="shared" si="69"/>
        <v>0</v>
      </c>
      <c r="AY81">
        <f t="shared" si="69"/>
        <v>0</v>
      </c>
      <c r="AZ81">
        <f t="shared" si="69"/>
        <v>0</v>
      </c>
      <c r="BA81">
        <f t="shared" si="69"/>
        <v>0</v>
      </c>
    </row>
    <row r="82" spans="1:53" ht="15.75" customHeight="1">
      <c r="A82" s="350">
        <v>1974</v>
      </c>
      <c r="B82" s="350"/>
      <c r="C82" s="350"/>
      <c r="D82" s="350"/>
      <c r="E82" s="350"/>
      <c r="F82" s="350"/>
      <c r="G82" s="350"/>
      <c r="H82" s="350"/>
      <c r="I82" s="350"/>
      <c r="J82" s="350"/>
      <c r="K82" s="350"/>
      <c r="L82" s="350"/>
      <c r="M82" s="350"/>
      <c r="N82" s="350"/>
      <c r="O82" s="350"/>
      <c r="P82" s="350"/>
      <c r="Q82" s="350"/>
      <c r="R82" s="350"/>
      <c r="S82" s="350"/>
      <c r="T82" s="350"/>
      <c r="U82" s="350"/>
      <c r="V82">
        <v>2330.1999999999998</v>
      </c>
      <c r="W82">
        <f t="shared" si="46"/>
        <v>2330.1999999999998</v>
      </c>
      <c r="X82">
        <f t="shared" ref="X82:BA82" si="70">IF(AND(X$58-$A82&gt;$V$38,SUM($W82:W82)&lt;&gt;$V82),$V82,0)</f>
        <v>0</v>
      </c>
      <c r="Y82">
        <f t="shared" si="70"/>
        <v>0</v>
      </c>
      <c r="Z82">
        <f t="shared" si="70"/>
        <v>0</v>
      </c>
      <c r="AA82">
        <f t="shared" si="70"/>
        <v>0</v>
      </c>
      <c r="AB82">
        <f t="shared" si="70"/>
        <v>0</v>
      </c>
      <c r="AC82">
        <f t="shared" si="70"/>
        <v>0</v>
      </c>
      <c r="AD82">
        <f t="shared" si="70"/>
        <v>0</v>
      </c>
      <c r="AE82">
        <f t="shared" si="70"/>
        <v>0</v>
      </c>
      <c r="AF82">
        <f t="shared" si="70"/>
        <v>0</v>
      </c>
      <c r="AG82">
        <f t="shared" si="70"/>
        <v>0</v>
      </c>
      <c r="AH82">
        <f t="shared" si="70"/>
        <v>0</v>
      </c>
      <c r="AI82">
        <f t="shared" si="70"/>
        <v>0</v>
      </c>
      <c r="AJ82">
        <f t="shared" si="70"/>
        <v>0</v>
      </c>
      <c r="AK82">
        <f t="shared" si="70"/>
        <v>0</v>
      </c>
      <c r="AL82">
        <f t="shared" si="70"/>
        <v>0</v>
      </c>
      <c r="AM82">
        <f t="shared" si="70"/>
        <v>0</v>
      </c>
      <c r="AN82">
        <f t="shared" si="70"/>
        <v>0</v>
      </c>
      <c r="AO82">
        <f t="shared" si="70"/>
        <v>0</v>
      </c>
      <c r="AP82">
        <f t="shared" si="70"/>
        <v>0</v>
      </c>
      <c r="AQ82">
        <f t="shared" si="70"/>
        <v>0</v>
      </c>
      <c r="AR82">
        <f t="shared" si="70"/>
        <v>0</v>
      </c>
      <c r="AS82">
        <f t="shared" si="70"/>
        <v>0</v>
      </c>
      <c r="AT82">
        <f t="shared" si="70"/>
        <v>0</v>
      </c>
      <c r="AU82">
        <f t="shared" si="70"/>
        <v>0</v>
      </c>
      <c r="AV82">
        <f t="shared" si="70"/>
        <v>0</v>
      </c>
      <c r="AW82">
        <f t="shared" si="70"/>
        <v>0</v>
      </c>
      <c r="AX82">
        <f t="shared" si="70"/>
        <v>0</v>
      </c>
      <c r="AY82">
        <f t="shared" si="70"/>
        <v>0</v>
      </c>
      <c r="AZ82">
        <f t="shared" si="70"/>
        <v>0</v>
      </c>
      <c r="BA82">
        <f t="shared" si="70"/>
        <v>0</v>
      </c>
    </row>
    <row r="83" spans="1:53" ht="15.75" customHeight="1">
      <c r="A83" s="350">
        <v>1975</v>
      </c>
      <c r="B83" s="350"/>
      <c r="C83" s="350"/>
      <c r="D83" s="350"/>
      <c r="E83" s="350"/>
      <c r="F83" s="350"/>
      <c r="G83" s="350"/>
      <c r="H83" s="350"/>
      <c r="I83" s="350"/>
      <c r="J83" s="350"/>
      <c r="K83" s="350"/>
      <c r="L83" s="350"/>
      <c r="M83" s="350"/>
      <c r="N83" s="350"/>
      <c r="O83" s="350"/>
      <c r="P83" s="350"/>
      <c r="Q83" s="350"/>
      <c r="R83" s="350"/>
      <c r="S83" s="350"/>
      <c r="T83" s="350"/>
      <c r="U83" s="350"/>
      <c r="V83">
        <v>456.9</v>
      </c>
      <c r="W83">
        <f t="shared" si="46"/>
        <v>456.9</v>
      </c>
      <c r="X83">
        <f t="shared" ref="X83:BA83" si="71">IF(AND(X$58-$A83&gt;$V$38,SUM($W83:W83)&lt;&gt;$V83),$V83,0)</f>
        <v>0</v>
      </c>
      <c r="Y83">
        <f t="shared" si="71"/>
        <v>0</v>
      </c>
      <c r="Z83">
        <f t="shared" si="71"/>
        <v>0</v>
      </c>
      <c r="AA83">
        <f t="shared" si="71"/>
        <v>0</v>
      </c>
      <c r="AB83">
        <f t="shared" si="71"/>
        <v>0</v>
      </c>
      <c r="AC83">
        <f t="shared" si="71"/>
        <v>0</v>
      </c>
      <c r="AD83">
        <f t="shared" si="71"/>
        <v>0</v>
      </c>
      <c r="AE83">
        <f t="shared" si="71"/>
        <v>0</v>
      </c>
      <c r="AF83">
        <f t="shared" si="71"/>
        <v>0</v>
      </c>
      <c r="AG83">
        <f t="shared" si="71"/>
        <v>0</v>
      </c>
      <c r="AH83">
        <f t="shared" si="71"/>
        <v>0</v>
      </c>
      <c r="AI83">
        <f t="shared" si="71"/>
        <v>0</v>
      </c>
      <c r="AJ83">
        <f t="shared" si="71"/>
        <v>0</v>
      </c>
      <c r="AK83">
        <f t="shared" si="71"/>
        <v>0</v>
      </c>
      <c r="AL83">
        <f t="shared" si="71"/>
        <v>0</v>
      </c>
      <c r="AM83">
        <f t="shared" si="71"/>
        <v>0</v>
      </c>
      <c r="AN83">
        <f t="shared" si="71"/>
        <v>0</v>
      </c>
      <c r="AO83">
        <f t="shared" si="71"/>
        <v>0</v>
      </c>
      <c r="AP83">
        <f t="shared" si="71"/>
        <v>0</v>
      </c>
      <c r="AQ83">
        <f t="shared" si="71"/>
        <v>0</v>
      </c>
      <c r="AR83">
        <f t="shared" si="71"/>
        <v>0</v>
      </c>
      <c r="AS83">
        <f t="shared" si="71"/>
        <v>0</v>
      </c>
      <c r="AT83">
        <f t="shared" si="71"/>
        <v>0</v>
      </c>
      <c r="AU83">
        <f t="shared" si="71"/>
        <v>0</v>
      </c>
      <c r="AV83">
        <f t="shared" si="71"/>
        <v>0</v>
      </c>
      <c r="AW83">
        <f t="shared" si="71"/>
        <v>0</v>
      </c>
      <c r="AX83">
        <f t="shared" si="71"/>
        <v>0</v>
      </c>
      <c r="AY83">
        <f t="shared" si="71"/>
        <v>0</v>
      </c>
      <c r="AZ83">
        <f t="shared" si="71"/>
        <v>0</v>
      </c>
      <c r="BA83">
        <f t="shared" si="71"/>
        <v>0</v>
      </c>
    </row>
    <row r="84" spans="1:53" ht="15.75" customHeight="1">
      <c r="A84" s="350">
        <v>1976</v>
      </c>
      <c r="B84" s="350"/>
      <c r="C84" s="350"/>
      <c r="D84" s="350"/>
      <c r="E84" s="350"/>
      <c r="F84" s="350"/>
      <c r="G84" s="350"/>
      <c r="H84" s="350"/>
      <c r="I84" s="350"/>
      <c r="J84" s="350"/>
      <c r="K84" s="350"/>
      <c r="L84" s="350"/>
      <c r="M84" s="350"/>
      <c r="N84" s="350"/>
      <c r="O84" s="350"/>
      <c r="P84" s="350"/>
      <c r="Q84" s="350"/>
      <c r="R84" s="350"/>
      <c r="S84" s="350"/>
      <c r="T84" s="350"/>
      <c r="U84" s="350"/>
      <c r="V84">
        <v>652</v>
      </c>
      <c r="W84">
        <f t="shared" si="46"/>
        <v>652</v>
      </c>
      <c r="X84">
        <f t="shared" ref="X84:BA84" si="72">IF(AND(X$58-$A84&gt;$V$38,SUM($W84:W84)&lt;&gt;$V84),$V84,0)</f>
        <v>0</v>
      </c>
      <c r="Y84">
        <f t="shared" si="72"/>
        <v>0</v>
      </c>
      <c r="Z84">
        <f t="shared" si="72"/>
        <v>0</v>
      </c>
      <c r="AA84">
        <f t="shared" si="72"/>
        <v>0</v>
      </c>
      <c r="AB84">
        <f t="shared" si="72"/>
        <v>0</v>
      </c>
      <c r="AC84">
        <f t="shared" si="72"/>
        <v>0</v>
      </c>
      <c r="AD84">
        <f t="shared" si="72"/>
        <v>0</v>
      </c>
      <c r="AE84">
        <f t="shared" si="72"/>
        <v>0</v>
      </c>
      <c r="AF84">
        <f t="shared" si="72"/>
        <v>0</v>
      </c>
      <c r="AG84">
        <f t="shared" si="72"/>
        <v>0</v>
      </c>
      <c r="AH84">
        <f t="shared" si="72"/>
        <v>0</v>
      </c>
      <c r="AI84">
        <f t="shared" si="72"/>
        <v>0</v>
      </c>
      <c r="AJ84">
        <f t="shared" si="72"/>
        <v>0</v>
      </c>
      <c r="AK84">
        <f t="shared" si="72"/>
        <v>0</v>
      </c>
      <c r="AL84">
        <f t="shared" si="72"/>
        <v>0</v>
      </c>
      <c r="AM84">
        <f t="shared" si="72"/>
        <v>0</v>
      </c>
      <c r="AN84">
        <f t="shared" si="72"/>
        <v>0</v>
      </c>
      <c r="AO84">
        <f t="shared" si="72"/>
        <v>0</v>
      </c>
      <c r="AP84">
        <f t="shared" si="72"/>
        <v>0</v>
      </c>
      <c r="AQ84">
        <f t="shared" si="72"/>
        <v>0</v>
      </c>
      <c r="AR84">
        <f t="shared" si="72"/>
        <v>0</v>
      </c>
      <c r="AS84">
        <f t="shared" si="72"/>
        <v>0</v>
      </c>
      <c r="AT84">
        <f t="shared" si="72"/>
        <v>0</v>
      </c>
      <c r="AU84">
        <f t="shared" si="72"/>
        <v>0</v>
      </c>
      <c r="AV84">
        <f t="shared" si="72"/>
        <v>0</v>
      </c>
      <c r="AW84">
        <f t="shared" si="72"/>
        <v>0</v>
      </c>
      <c r="AX84">
        <f t="shared" si="72"/>
        <v>0</v>
      </c>
      <c r="AY84">
        <f t="shared" si="72"/>
        <v>0</v>
      </c>
      <c r="AZ84">
        <f t="shared" si="72"/>
        <v>0</v>
      </c>
      <c r="BA84">
        <f t="shared" si="72"/>
        <v>0</v>
      </c>
    </row>
    <row r="85" spans="1:53" ht="15.75" customHeight="1">
      <c r="A85" s="350">
        <v>1977</v>
      </c>
      <c r="B85" s="350"/>
      <c r="C85" s="350"/>
      <c r="D85" s="350"/>
      <c r="E85" s="350"/>
      <c r="F85" s="350"/>
      <c r="G85" s="350"/>
      <c r="H85" s="350"/>
      <c r="I85" s="350"/>
      <c r="J85" s="350"/>
      <c r="K85" s="350"/>
      <c r="L85" s="350"/>
      <c r="M85" s="350"/>
      <c r="N85" s="350"/>
      <c r="O85" s="350"/>
      <c r="P85" s="350"/>
      <c r="Q85" s="350"/>
      <c r="R85" s="350"/>
      <c r="S85" s="350"/>
      <c r="T85" s="350"/>
      <c r="U85" s="350"/>
      <c r="V85">
        <v>852.1</v>
      </c>
      <c r="W85">
        <f t="shared" si="46"/>
        <v>852.1</v>
      </c>
      <c r="X85">
        <f t="shared" ref="X85:BA85" si="73">IF(AND(X$58-$A85&gt;$V$38,SUM($W85:W85)&lt;&gt;$V85),$V85,0)</f>
        <v>0</v>
      </c>
      <c r="Y85">
        <f t="shared" si="73"/>
        <v>0</v>
      </c>
      <c r="Z85">
        <f t="shared" si="73"/>
        <v>0</v>
      </c>
      <c r="AA85">
        <f t="shared" si="73"/>
        <v>0</v>
      </c>
      <c r="AB85">
        <f t="shared" si="73"/>
        <v>0</v>
      </c>
      <c r="AC85">
        <f t="shared" si="73"/>
        <v>0</v>
      </c>
      <c r="AD85">
        <f t="shared" si="73"/>
        <v>0</v>
      </c>
      <c r="AE85">
        <f t="shared" si="73"/>
        <v>0</v>
      </c>
      <c r="AF85">
        <f t="shared" si="73"/>
        <v>0</v>
      </c>
      <c r="AG85">
        <f t="shared" si="73"/>
        <v>0</v>
      </c>
      <c r="AH85">
        <f t="shared" si="73"/>
        <v>0</v>
      </c>
      <c r="AI85">
        <f t="shared" si="73"/>
        <v>0</v>
      </c>
      <c r="AJ85">
        <f t="shared" si="73"/>
        <v>0</v>
      </c>
      <c r="AK85">
        <f t="shared" si="73"/>
        <v>0</v>
      </c>
      <c r="AL85">
        <f t="shared" si="73"/>
        <v>0</v>
      </c>
      <c r="AM85">
        <f t="shared" si="73"/>
        <v>0</v>
      </c>
      <c r="AN85">
        <f t="shared" si="73"/>
        <v>0</v>
      </c>
      <c r="AO85">
        <f t="shared" si="73"/>
        <v>0</v>
      </c>
      <c r="AP85">
        <f t="shared" si="73"/>
        <v>0</v>
      </c>
      <c r="AQ85">
        <f t="shared" si="73"/>
        <v>0</v>
      </c>
      <c r="AR85">
        <f t="shared" si="73"/>
        <v>0</v>
      </c>
      <c r="AS85">
        <f t="shared" si="73"/>
        <v>0</v>
      </c>
      <c r="AT85">
        <f t="shared" si="73"/>
        <v>0</v>
      </c>
      <c r="AU85">
        <f t="shared" si="73"/>
        <v>0</v>
      </c>
      <c r="AV85">
        <f t="shared" si="73"/>
        <v>0</v>
      </c>
      <c r="AW85">
        <f t="shared" si="73"/>
        <v>0</v>
      </c>
      <c r="AX85">
        <f t="shared" si="73"/>
        <v>0</v>
      </c>
      <c r="AY85">
        <f t="shared" si="73"/>
        <v>0</v>
      </c>
      <c r="AZ85">
        <f t="shared" si="73"/>
        <v>0</v>
      </c>
      <c r="BA85">
        <f t="shared" si="73"/>
        <v>0</v>
      </c>
    </row>
    <row r="86" spans="1:53" ht="15.75" customHeight="1">
      <c r="A86" s="350">
        <v>1978</v>
      </c>
      <c r="B86" s="350"/>
      <c r="C86" s="350"/>
      <c r="D86" s="350"/>
      <c r="E86" s="350"/>
      <c r="F86" s="350"/>
      <c r="G86" s="350"/>
      <c r="H86" s="350"/>
      <c r="I86" s="350"/>
      <c r="J86" s="350"/>
      <c r="K86" s="350"/>
      <c r="L86" s="350"/>
      <c r="M86" s="350"/>
      <c r="N86" s="350"/>
      <c r="O86" s="350"/>
      <c r="P86" s="350"/>
      <c r="Q86" s="350"/>
      <c r="R86" s="350"/>
      <c r="S86" s="350"/>
      <c r="T86" s="350"/>
      <c r="U86" s="350"/>
      <c r="V86">
        <v>123.5</v>
      </c>
      <c r="W86">
        <f t="shared" si="46"/>
        <v>123.5</v>
      </c>
      <c r="X86">
        <f t="shared" ref="X86:BA86" si="74">IF(AND(X$58-$A86&gt;$V$38,SUM($W86:W86)&lt;&gt;$V86),$V86,0)</f>
        <v>0</v>
      </c>
      <c r="Y86">
        <f t="shared" si="74"/>
        <v>0</v>
      </c>
      <c r="Z86">
        <f t="shared" si="74"/>
        <v>0</v>
      </c>
      <c r="AA86">
        <f t="shared" si="74"/>
        <v>0</v>
      </c>
      <c r="AB86">
        <f t="shared" si="74"/>
        <v>0</v>
      </c>
      <c r="AC86">
        <f t="shared" si="74"/>
        <v>0</v>
      </c>
      <c r="AD86">
        <f t="shared" si="74"/>
        <v>0</v>
      </c>
      <c r="AE86">
        <f t="shared" si="74"/>
        <v>0</v>
      </c>
      <c r="AF86">
        <f t="shared" si="74"/>
        <v>0</v>
      </c>
      <c r="AG86">
        <f t="shared" si="74"/>
        <v>0</v>
      </c>
      <c r="AH86">
        <f t="shared" si="74"/>
        <v>0</v>
      </c>
      <c r="AI86">
        <f t="shared" si="74"/>
        <v>0</v>
      </c>
      <c r="AJ86">
        <f t="shared" si="74"/>
        <v>0</v>
      </c>
      <c r="AK86">
        <f t="shared" si="74"/>
        <v>0</v>
      </c>
      <c r="AL86">
        <f t="shared" si="74"/>
        <v>0</v>
      </c>
      <c r="AM86">
        <f t="shared" si="74"/>
        <v>0</v>
      </c>
      <c r="AN86">
        <f t="shared" si="74"/>
        <v>0</v>
      </c>
      <c r="AO86">
        <f t="shared" si="74"/>
        <v>0</v>
      </c>
      <c r="AP86">
        <f t="shared" si="74"/>
        <v>0</v>
      </c>
      <c r="AQ86">
        <f t="shared" si="74"/>
        <v>0</v>
      </c>
      <c r="AR86">
        <f t="shared" si="74"/>
        <v>0</v>
      </c>
      <c r="AS86">
        <f t="shared" si="74"/>
        <v>0</v>
      </c>
      <c r="AT86">
        <f t="shared" si="74"/>
        <v>0</v>
      </c>
      <c r="AU86">
        <f t="shared" si="74"/>
        <v>0</v>
      </c>
      <c r="AV86">
        <f t="shared" si="74"/>
        <v>0</v>
      </c>
      <c r="AW86">
        <f t="shared" si="74"/>
        <v>0</v>
      </c>
      <c r="AX86">
        <f t="shared" si="74"/>
        <v>0</v>
      </c>
      <c r="AY86">
        <f t="shared" si="74"/>
        <v>0</v>
      </c>
      <c r="AZ86">
        <f t="shared" si="74"/>
        <v>0</v>
      </c>
      <c r="BA86">
        <f t="shared" si="74"/>
        <v>0</v>
      </c>
    </row>
    <row r="87" spans="1:53" ht="15.75" customHeight="1">
      <c r="A87" s="350">
        <v>1979</v>
      </c>
      <c r="B87" s="350"/>
      <c r="C87" s="350"/>
      <c r="D87" s="350"/>
      <c r="E87" s="350"/>
      <c r="F87" s="350"/>
      <c r="G87" s="350"/>
      <c r="H87" s="350"/>
      <c r="I87" s="350"/>
      <c r="J87" s="350"/>
      <c r="K87" s="350"/>
      <c r="L87" s="350"/>
      <c r="M87" s="350"/>
      <c r="N87" s="350"/>
      <c r="O87" s="350"/>
      <c r="P87" s="350"/>
      <c r="Q87" s="350"/>
      <c r="R87" s="350"/>
      <c r="S87" s="350"/>
      <c r="T87" s="350"/>
      <c r="U87" s="350"/>
      <c r="V87">
        <v>245.6</v>
      </c>
      <c r="W87">
        <f t="shared" si="46"/>
        <v>245.6</v>
      </c>
      <c r="X87">
        <f t="shared" ref="X87:BA87" si="75">IF(AND(X$58-$A87&gt;$V$38,SUM($W87:W87)&lt;&gt;$V87),$V87,0)</f>
        <v>0</v>
      </c>
      <c r="Y87">
        <f t="shared" si="75"/>
        <v>0</v>
      </c>
      <c r="Z87">
        <f t="shared" si="75"/>
        <v>0</v>
      </c>
      <c r="AA87">
        <f t="shared" si="75"/>
        <v>0</v>
      </c>
      <c r="AB87">
        <f t="shared" si="75"/>
        <v>0</v>
      </c>
      <c r="AC87">
        <f t="shared" si="75"/>
        <v>0</v>
      </c>
      <c r="AD87">
        <f t="shared" si="75"/>
        <v>0</v>
      </c>
      <c r="AE87">
        <f t="shared" si="75"/>
        <v>0</v>
      </c>
      <c r="AF87">
        <f t="shared" si="75"/>
        <v>0</v>
      </c>
      <c r="AG87">
        <f t="shared" si="75"/>
        <v>0</v>
      </c>
      <c r="AH87">
        <f t="shared" si="75"/>
        <v>0</v>
      </c>
      <c r="AI87">
        <f t="shared" si="75"/>
        <v>0</v>
      </c>
      <c r="AJ87">
        <f t="shared" si="75"/>
        <v>0</v>
      </c>
      <c r="AK87">
        <f t="shared" si="75"/>
        <v>0</v>
      </c>
      <c r="AL87">
        <f t="shared" si="75"/>
        <v>0</v>
      </c>
      <c r="AM87">
        <f t="shared" si="75"/>
        <v>0</v>
      </c>
      <c r="AN87">
        <f t="shared" si="75"/>
        <v>0</v>
      </c>
      <c r="AO87">
        <f t="shared" si="75"/>
        <v>0</v>
      </c>
      <c r="AP87">
        <f t="shared" si="75"/>
        <v>0</v>
      </c>
      <c r="AQ87">
        <f t="shared" si="75"/>
        <v>0</v>
      </c>
      <c r="AR87">
        <f t="shared" si="75"/>
        <v>0</v>
      </c>
      <c r="AS87">
        <f t="shared" si="75"/>
        <v>0</v>
      </c>
      <c r="AT87">
        <f t="shared" si="75"/>
        <v>0</v>
      </c>
      <c r="AU87">
        <f t="shared" si="75"/>
        <v>0</v>
      </c>
      <c r="AV87">
        <f t="shared" si="75"/>
        <v>0</v>
      </c>
      <c r="AW87">
        <f t="shared" si="75"/>
        <v>0</v>
      </c>
      <c r="AX87">
        <f t="shared" si="75"/>
        <v>0</v>
      </c>
      <c r="AY87">
        <f t="shared" si="75"/>
        <v>0</v>
      </c>
      <c r="AZ87">
        <f t="shared" si="75"/>
        <v>0</v>
      </c>
      <c r="BA87">
        <f t="shared" si="75"/>
        <v>0</v>
      </c>
    </row>
    <row r="88" spans="1:53" ht="15.75" customHeight="1">
      <c r="A88" s="350">
        <v>1980</v>
      </c>
      <c r="B88" s="350"/>
      <c r="C88" s="350"/>
      <c r="D88" s="350"/>
      <c r="E88" s="350"/>
      <c r="F88" s="350"/>
      <c r="G88" s="350"/>
      <c r="H88" s="350"/>
      <c r="I88" s="350"/>
      <c r="J88" s="350"/>
      <c r="K88" s="350"/>
      <c r="L88" s="350"/>
      <c r="M88" s="350"/>
      <c r="N88" s="350"/>
      <c r="O88" s="350"/>
      <c r="P88" s="350"/>
      <c r="Q88" s="350"/>
      <c r="R88" s="350"/>
      <c r="S88" s="350"/>
      <c r="T88" s="350"/>
      <c r="U88" s="350"/>
      <c r="V88">
        <v>93</v>
      </c>
      <c r="W88">
        <f t="shared" si="46"/>
        <v>93</v>
      </c>
      <c r="X88">
        <f t="shared" ref="X88:BA88" si="76">IF(AND(X$58-$A88&gt;$V$38,SUM($W88:W88)&lt;&gt;$V88),$V88,0)</f>
        <v>0</v>
      </c>
      <c r="Y88">
        <f t="shared" si="76"/>
        <v>0</v>
      </c>
      <c r="Z88">
        <f t="shared" si="76"/>
        <v>0</v>
      </c>
      <c r="AA88">
        <f t="shared" si="76"/>
        <v>0</v>
      </c>
      <c r="AB88">
        <f t="shared" si="76"/>
        <v>0</v>
      </c>
      <c r="AC88">
        <f t="shared" si="76"/>
        <v>0</v>
      </c>
      <c r="AD88">
        <f t="shared" si="76"/>
        <v>0</v>
      </c>
      <c r="AE88">
        <f t="shared" si="76"/>
        <v>0</v>
      </c>
      <c r="AF88">
        <f t="shared" si="76"/>
        <v>0</v>
      </c>
      <c r="AG88">
        <f t="shared" si="76"/>
        <v>0</v>
      </c>
      <c r="AH88">
        <f t="shared" si="76"/>
        <v>0</v>
      </c>
      <c r="AI88">
        <f t="shared" si="76"/>
        <v>0</v>
      </c>
      <c r="AJ88">
        <f t="shared" si="76"/>
        <v>0</v>
      </c>
      <c r="AK88">
        <f t="shared" si="76"/>
        <v>0</v>
      </c>
      <c r="AL88">
        <f t="shared" si="76"/>
        <v>0</v>
      </c>
      <c r="AM88">
        <f t="shared" si="76"/>
        <v>0</v>
      </c>
      <c r="AN88">
        <f t="shared" si="76"/>
        <v>0</v>
      </c>
      <c r="AO88">
        <f t="shared" si="76"/>
        <v>0</v>
      </c>
      <c r="AP88">
        <f t="shared" si="76"/>
        <v>0</v>
      </c>
      <c r="AQ88">
        <f t="shared" si="76"/>
        <v>0</v>
      </c>
      <c r="AR88">
        <f t="shared" si="76"/>
        <v>0</v>
      </c>
      <c r="AS88">
        <f t="shared" si="76"/>
        <v>0</v>
      </c>
      <c r="AT88">
        <f t="shared" si="76"/>
        <v>0</v>
      </c>
      <c r="AU88">
        <f t="shared" si="76"/>
        <v>0</v>
      </c>
      <c r="AV88">
        <f t="shared" si="76"/>
        <v>0</v>
      </c>
      <c r="AW88">
        <f t="shared" si="76"/>
        <v>0</v>
      </c>
      <c r="AX88">
        <f t="shared" si="76"/>
        <v>0</v>
      </c>
      <c r="AY88">
        <f t="shared" si="76"/>
        <v>0</v>
      </c>
      <c r="AZ88">
        <f t="shared" si="76"/>
        <v>0</v>
      </c>
      <c r="BA88">
        <f t="shared" si="76"/>
        <v>0</v>
      </c>
    </row>
    <row r="89" spans="1:53" ht="15.75" customHeight="1">
      <c r="A89" s="350">
        <v>1982</v>
      </c>
      <c r="B89" s="350"/>
      <c r="C89" s="350"/>
      <c r="D89" s="350"/>
      <c r="E89" s="350"/>
      <c r="F89" s="350"/>
      <c r="G89" s="350"/>
      <c r="H89" s="350"/>
      <c r="I89" s="350"/>
      <c r="J89" s="350"/>
      <c r="K89" s="350"/>
      <c r="L89" s="350"/>
      <c r="M89" s="350"/>
      <c r="N89" s="350"/>
      <c r="O89" s="350"/>
      <c r="P89" s="350"/>
      <c r="Q89" s="350"/>
      <c r="R89" s="350"/>
      <c r="S89" s="350"/>
      <c r="T89" s="350"/>
      <c r="U89" s="350"/>
      <c r="V89">
        <v>438.6</v>
      </c>
      <c r="W89">
        <f t="shared" si="46"/>
        <v>438.6</v>
      </c>
      <c r="X89">
        <f t="shared" ref="X89:BA89" si="77">IF(AND(X$58-$A89&gt;$V$38,SUM($W89:W89)&lt;&gt;$V89),$V89,0)</f>
        <v>0</v>
      </c>
      <c r="Y89">
        <f t="shared" si="77"/>
        <v>0</v>
      </c>
      <c r="Z89">
        <f t="shared" si="77"/>
        <v>0</v>
      </c>
      <c r="AA89">
        <f t="shared" si="77"/>
        <v>0</v>
      </c>
      <c r="AB89">
        <f t="shared" si="77"/>
        <v>0</v>
      </c>
      <c r="AC89">
        <f t="shared" si="77"/>
        <v>0</v>
      </c>
      <c r="AD89">
        <f t="shared" si="77"/>
        <v>0</v>
      </c>
      <c r="AE89">
        <f t="shared" si="77"/>
        <v>0</v>
      </c>
      <c r="AF89">
        <f t="shared" si="77"/>
        <v>0</v>
      </c>
      <c r="AG89">
        <f t="shared" si="77"/>
        <v>0</v>
      </c>
      <c r="AH89">
        <f t="shared" si="77"/>
        <v>0</v>
      </c>
      <c r="AI89">
        <f t="shared" si="77"/>
        <v>0</v>
      </c>
      <c r="AJ89">
        <f t="shared" si="77"/>
        <v>0</v>
      </c>
      <c r="AK89">
        <f t="shared" si="77"/>
        <v>0</v>
      </c>
      <c r="AL89">
        <f t="shared" si="77"/>
        <v>0</v>
      </c>
      <c r="AM89">
        <f t="shared" si="77"/>
        <v>0</v>
      </c>
      <c r="AN89">
        <f t="shared" si="77"/>
        <v>0</v>
      </c>
      <c r="AO89">
        <f t="shared" si="77"/>
        <v>0</v>
      </c>
      <c r="AP89">
        <f t="shared" si="77"/>
        <v>0</v>
      </c>
      <c r="AQ89">
        <f t="shared" si="77"/>
        <v>0</v>
      </c>
      <c r="AR89">
        <f t="shared" si="77"/>
        <v>0</v>
      </c>
      <c r="AS89">
        <f t="shared" si="77"/>
        <v>0</v>
      </c>
      <c r="AT89">
        <f t="shared" si="77"/>
        <v>0</v>
      </c>
      <c r="AU89">
        <f t="shared" si="77"/>
        <v>0</v>
      </c>
      <c r="AV89">
        <f t="shared" si="77"/>
        <v>0</v>
      </c>
      <c r="AW89">
        <f t="shared" si="77"/>
        <v>0</v>
      </c>
      <c r="AX89">
        <f t="shared" si="77"/>
        <v>0</v>
      </c>
      <c r="AY89">
        <f t="shared" si="77"/>
        <v>0</v>
      </c>
      <c r="AZ89">
        <f t="shared" si="77"/>
        <v>0</v>
      </c>
      <c r="BA89">
        <f t="shared" si="77"/>
        <v>0</v>
      </c>
    </row>
    <row r="90" spans="1:53" ht="15.75" customHeight="1">
      <c r="A90" s="350">
        <v>1983</v>
      </c>
      <c r="B90" s="350"/>
      <c r="C90" s="350"/>
      <c r="D90" s="350"/>
      <c r="E90" s="350"/>
      <c r="F90" s="350"/>
      <c r="G90" s="350"/>
      <c r="H90" s="350"/>
      <c r="I90" s="350"/>
      <c r="J90" s="350"/>
      <c r="K90" s="350"/>
      <c r="L90" s="350"/>
      <c r="M90" s="350"/>
      <c r="N90" s="350"/>
      <c r="O90" s="350"/>
      <c r="P90" s="350"/>
      <c r="Q90" s="350"/>
      <c r="R90" s="350"/>
      <c r="S90" s="350"/>
      <c r="T90" s="350"/>
      <c r="U90" s="350"/>
      <c r="V90">
        <v>95.6</v>
      </c>
      <c r="W90">
        <f t="shared" si="46"/>
        <v>95.6</v>
      </c>
      <c r="X90">
        <f t="shared" ref="X90:BA90" si="78">IF(AND(X$58-$A90&gt;$V$38,SUM($W90:W90)&lt;&gt;$V90),$V90,0)</f>
        <v>0</v>
      </c>
      <c r="Y90">
        <f t="shared" si="78"/>
        <v>0</v>
      </c>
      <c r="Z90">
        <f t="shared" si="78"/>
        <v>0</v>
      </c>
      <c r="AA90">
        <f t="shared" si="78"/>
        <v>0</v>
      </c>
      <c r="AB90">
        <f t="shared" si="78"/>
        <v>0</v>
      </c>
      <c r="AC90">
        <f t="shared" si="78"/>
        <v>0</v>
      </c>
      <c r="AD90">
        <f t="shared" si="78"/>
        <v>0</v>
      </c>
      <c r="AE90">
        <f t="shared" si="78"/>
        <v>0</v>
      </c>
      <c r="AF90">
        <f t="shared" si="78"/>
        <v>0</v>
      </c>
      <c r="AG90">
        <f t="shared" si="78"/>
        <v>0</v>
      </c>
      <c r="AH90">
        <f t="shared" si="78"/>
        <v>0</v>
      </c>
      <c r="AI90">
        <f t="shared" si="78"/>
        <v>0</v>
      </c>
      <c r="AJ90">
        <f t="shared" si="78"/>
        <v>0</v>
      </c>
      <c r="AK90">
        <f t="shared" si="78"/>
        <v>0</v>
      </c>
      <c r="AL90">
        <f t="shared" si="78"/>
        <v>0</v>
      </c>
      <c r="AM90">
        <f t="shared" si="78"/>
        <v>0</v>
      </c>
      <c r="AN90">
        <f t="shared" si="78"/>
        <v>0</v>
      </c>
      <c r="AO90">
        <f t="shared" si="78"/>
        <v>0</v>
      </c>
      <c r="AP90">
        <f t="shared" si="78"/>
        <v>0</v>
      </c>
      <c r="AQ90">
        <f t="shared" si="78"/>
        <v>0</v>
      </c>
      <c r="AR90">
        <f t="shared" si="78"/>
        <v>0</v>
      </c>
      <c r="AS90">
        <f t="shared" si="78"/>
        <v>0</v>
      </c>
      <c r="AT90">
        <f t="shared" si="78"/>
        <v>0</v>
      </c>
      <c r="AU90">
        <f t="shared" si="78"/>
        <v>0</v>
      </c>
      <c r="AV90">
        <f t="shared" si="78"/>
        <v>0</v>
      </c>
      <c r="AW90">
        <f t="shared" si="78"/>
        <v>0</v>
      </c>
      <c r="AX90">
        <f t="shared" si="78"/>
        <v>0</v>
      </c>
      <c r="AY90">
        <f t="shared" si="78"/>
        <v>0</v>
      </c>
      <c r="AZ90">
        <f t="shared" si="78"/>
        <v>0</v>
      </c>
      <c r="BA90">
        <f t="shared" si="78"/>
        <v>0</v>
      </c>
    </row>
    <row r="91" spans="1:53" ht="15.75" customHeight="1">
      <c r="A91" s="350">
        <v>1984</v>
      </c>
      <c r="B91" s="350"/>
      <c r="C91" s="350"/>
      <c r="D91" s="350"/>
      <c r="E91" s="350"/>
      <c r="F91" s="350"/>
      <c r="G91" s="350"/>
      <c r="H91" s="350"/>
      <c r="I91" s="350"/>
      <c r="J91" s="350"/>
      <c r="K91" s="350"/>
      <c r="L91" s="350"/>
      <c r="M91" s="350"/>
      <c r="N91" s="350"/>
      <c r="O91" s="350"/>
      <c r="P91" s="350"/>
      <c r="Q91" s="350"/>
      <c r="R91" s="350"/>
      <c r="S91" s="350"/>
      <c r="T91" s="350"/>
      <c r="U91" s="350"/>
      <c r="V91">
        <v>192.6</v>
      </c>
      <c r="W91">
        <f t="shared" si="46"/>
        <v>192.6</v>
      </c>
      <c r="X91">
        <f t="shared" ref="X91:BA91" si="79">IF(AND(X$58-$A91&gt;$V$38,SUM($W91:W91)&lt;&gt;$V91),$V91,0)</f>
        <v>0</v>
      </c>
      <c r="Y91">
        <f t="shared" si="79"/>
        <v>0</v>
      </c>
      <c r="Z91">
        <f t="shared" si="79"/>
        <v>0</v>
      </c>
      <c r="AA91">
        <f t="shared" si="79"/>
        <v>0</v>
      </c>
      <c r="AB91">
        <f t="shared" si="79"/>
        <v>0</v>
      </c>
      <c r="AC91">
        <f t="shared" si="79"/>
        <v>0</v>
      </c>
      <c r="AD91">
        <f t="shared" si="79"/>
        <v>0</v>
      </c>
      <c r="AE91">
        <f t="shared" si="79"/>
        <v>0</v>
      </c>
      <c r="AF91">
        <f t="shared" si="79"/>
        <v>0</v>
      </c>
      <c r="AG91">
        <f t="shared" si="79"/>
        <v>0</v>
      </c>
      <c r="AH91">
        <f t="shared" si="79"/>
        <v>0</v>
      </c>
      <c r="AI91">
        <f t="shared" si="79"/>
        <v>0</v>
      </c>
      <c r="AJ91">
        <f t="shared" si="79"/>
        <v>0</v>
      </c>
      <c r="AK91">
        <f t="shared" si="79"/>
        <v>0</v>
      </c>
      <c r="AL91">
        <f t="shared" si="79"/>
        <v>0</v>
      </c>
      <c r="AM91">
        <f t="shared" si="79"/>
        <v>0</v>
      </c>
      <c r="AN91">
        <f t="shared" si="79"/>
        <v>0</v>
      </c>
      <c r="AO91">
        <f t="shared" si="79"/>
        <v>0</v>
      </c>
      <c r="AP91">
        <f t="shared" si="79"/>
        <v>0</v>
      </c>
      <c r="AQ91">
        <f t="shared" si="79"/>
        <v>0</v>
      </c>
      <c r="AR91">
        <f t="shared" si="79"/>
        <v>0</v>
      </c>
      <c r="AS91">
        <f t="shared" si="79"/>
        <v>0</v>
      </c>
      <c r="AT91">
        <f t="shared" si="79"/>
        <v>0</v>
      </c>
      <c r="AU91">
        <f t="shared" si="79"/>
        <v>0</v>
      </c>
      <c r="AV91">
        <f t="shared" si="79"/>
        <v>0</v>
      </c>
      <c r="AW91">
        <f t="shared" si="79"/>
        <v>0</v>
      </c>
      <c r="AX91">
        <f t="shared" si="79"/>
        <v>0</v>
      </c>
      <c r="AY91">
        <f t="shared" si="79"/>
        <v>0</v>
      </c>
      <c r="AZ91">
        <f t="shared" si="79"/>
        <v>0</v>
      </c>
      <c r="BA91">
        <f t="shared" si="79"/>
        <v>0</v>
      </c>
    </row>
    <row r="92" spans="1:53" ht="15.75" customHeight="1">
      <c r="A92" s="350">
        <v>1985</v>
      </c>
      <c r="B92" s="350"/>
      <c r="C92" s="350"/>
      <c r="D92" s="350"/>
      <c r="E92" s="350"/>
      <c r="F92" s="350"/>
      <c r="G92" s="350"/>
      <c r="H92" s="350"/>
      <c r="I92" s="350"/>
      <c r="J92" s="350"/>
      <c r="K92" s="350"/>
      <c r="L92" s="350"/>
      <c r="M92" s="350"/>
      <c r="N92" s="350"/>
      <c r="O92" s="350"/>
      <c r="P92" s="350"/>
      <c r="Q92" s="350"/>
      <c r="R92" s="350"/>
      <c r="S92" s="350"/>
      <c r="T92" s="350"/>
      <c r="U92" s="350"/>
      <c r="V92">
        <v>229.39999999999998</v>
      </c>
      <c r="W92">
        <f t="shared" si="46"/>
        <v>229.39999999999998</v>
      </c>
      <c r="X92">
        <f t="shared" ref="X92:BA92" si="80">IF(AND(X$58-$A92&gt;$V$38,SUM($W92:W92)&lt;&gt;$V92),$V92,0)</f>
        <v>0</v>
      </c>
      <c r="Y92">
        <f t="shared" si="80"/>
        <v>0</v>
      </c>
      <c r="Z92">
        <f t="shared" si="80"/>
        <v>0</v>
      </c>
      <c r="AA92">
        <f t="shared" si="80"/>
        <v>0</v>
      </c>
      <c r="AB92">
        <f t="shared" si="80"/>
        <v>0</v>
      </c>
      <c r="AC92">
        <f t="shared" si="80"/>
        <v>0</v>
      </c>
      <c r="AD92">
        <f t="shared" si="80"/>
        <v>0</v>
      </c>
      <c r="AE92">
        <f t="shared" si="80"/>
        <v>0</v>
      </c>
      <c r="AF92">
        <f t="shared" si="80"/>
        <v>0</v>
      </c>
      <c r="AG92">
        <f t="shared" si="80"/>
        <v>0</v>
      </c>
      <c r="AH92">
        <f t="shared" si="80"/>
        <v>0</v>
      </c>
      <c r="AI92">
        <f t="shared" si="80"/>
        <v>0</v>
      </c>
      <c r="AJ92">
        <f t="shared" si="80"/>
        <v>0</v>
      </c>
      <c r="AK92">
        <f t="shared" si="80"/>
        <v>0</v>
      </c>
      <c r="AL92">
        <f t="shared" si="80"/>
        <v>0</v>
      </c>
      <c r="AM92">
        <f t="shared" si="80"/>
        <v>0</v>
      </c>
      <c r="AN92">
        <f t="shared" si="80"/>
        <v>0</v>
      </c>
      <c r="AO92">
        <f t="shared" si="80"/>
        <v>0</v>
      </c>
      <c r="AP92">
        <f t="shared" si="80"/>
        <v>0</v>
      </c>
      <c r="AQ92">
        <f t="shared" si="80"/>
        <v>0</v>
      </c>
      <c r="AR92">
        <f t="shared" si="80"/>
        <v>0</v>
      </c>
      <c r="AS92">
        <f t="shared" si="80"/>
        <v>0</v>
      </c>
      <c r="AT92">
        <f t="shared" si="80"/>
        <v>0</v>
      </c>
      <c r="AU92">
        <f t="shared" si="80"/>
        <v>0</v>
      </c>
      <c r="AV92">
        <f t="shared" si="80"/>
        <v>0</v>
      </c>
      <c r="AW92">
        <f t="shared" si="80"/>
        <v>0</v>
      </c>
      <c r="AX92">
        <f t="shared" si="80"/>
        <v>0</v>
      </c>
      <c r="AY92">
        <f t="shared" si="80"/>
        <v>0</v>
      </c>
      <c r="AZ92">
        <f t="shared" si="80"/>
        <v>0</v>
      </c>
      <c r="BA92">
        <f t="shared" si="80"/>
        <v>0</v>
      </c>
    </row>
    <row r="93" spans="1:53" ht="15.75" customHeight="1">
      <c r="A93" s="350">
        <v>1986</v>
      </c>
      <c r="B93" s="350"/>
      <c r="C93" s="350"/>
      <c r="D93" s="350"/>
      <c r="E93" s="350"/>
      <c r="F93" s="350"/>
      <c r="G93" s="350"/>
      <c r="H93" s="350"/>
      <c r="I93" s="350"/>
      <c r="J93" s="350"/>
      <c r="K93" s="350"/>
      <c r="L93" s="350"/>
      <c r="M93" s="350"/>
      <c r="N93" s="350"/>
      <c r="O93" s="350"/>
      <c r="P93" s="350"/>
      <c r="Q93" s="350"/>
      <c r="R93" s="350"/>
      <c r="S93" s="350"/>
      <c r="T93" s="350"/>
      <c r="U93" s="350"/>
      <c r="V93">
        <v>408</v>
      </c>
      <c r="W93">
        <f t="shared" si="46"/>
        <v>0</v>
      </c>
      <c r="X93">
        <f t="shared" ref="X93:BA93" si="81">IF(AND(X$58-$A93&gt;$V$38,SUM($W93:W93)&lt;&gt;$V93),$V93,0)</f>
        <v>408</v>
      </c>
      <c r="Y93">
        <f t="shared" si="81"/>
        <v>0</v>
      </c>
      <c r="Z93">
        <f t="shared" si="81"/>
        <v>0</v>
      </c>
      <c r="AA93">
        <f t="shared" si="81"/>
        <v>0</v>
      </c>
      <c r="AB93">
        <f t="shared" si="81"/>
        <v>0</v>
      </c>
      <c r="AC93">
        <f t="shared" si="81"/>
        <v>0</v>
      </c>
      <c r="AD93">
        <f t="shared" si="81"/>
        <v>0</v>
      </c>
      <c r="AE93">
        <f t="shared" si="81"/>
        <v>0</v>
      </c>
      <c r="AF93">
        <f t="shared" si="81"/>
        <v>0</v>
      </c>
      <c r="AG93">
        <f t="shared" si="81"/>
        <v>0</v>
      </c>
      <c r="AH93">
        <f t="shared" si="81"/>
        <v>0</v>
      </c>
      <c r="AI93">
        <f t="shared" si="81"/>
        <v>0</v>
      </c>
      <c r="AJ93">
        <f t="shared" si="81"/>
        <v>0</v>
      </c>
      <c r="AK93">
        <f t="shared" si="81"/>
        <v>0</v>
      </c>
      <c r="AL93">
        <f t="shared" si="81"/>
        <v>0</v>
      </c>
      <c r="AM93">
        <f t="shared" si="81"/>
        <v>0</v>
      </c>
      <c r="AN93">
        <f t="shared" si="81"/>
        <v>0</v>
      </c>
      <c r="AO93">
        <f t="shared" si="81"/>
        <v>0</v>
      </c>
      <c r="AP93">
        <f t="shared" si="81"/>
        <v>0</v>
      </c>
      <c r="AQ93">
        <f t="shared" si="81"/>
        <v>0</v>
      </c>
      <c r="AR93">
        <f t="shared" si="81"/>
        <v>0</v>
      </c>
      <c r="AS93">
        <f t="shared" si="81"/>
        <v>0</v>
      </c>
      <c r="AT93">
        <f t="shared" si="81"/>
        <v>0</v>
      </c>
      <c r="AU93">
        <f t="shared" si="81"/>
        <v>0</v>
      </c>
      <c r="AV93">
        <f t="shared" si="81"/>
        <v>0</v>
      </c>
      <c r="AW93">
        <f t="shared" si="81"/>
        <v>0</v>
      </c>
      <c r="AX93">
        <f t="shared" si="81"/>
        <v>0</v>
      </c>
      <c r="AY93">
        <f t="shared" si="81"/>
        <v>0</v>
      </c>
      <c r="AZ93">
        <f t="shared" si="81"/>
        <v>0</v>
      </c>
      <c r="BA93">
        <f t="shared" si="81"/>
        <v>0</v>
      </c>
    </row>
    <row r="94" spans="1:53" ht="15.75" customHeight="1">
      <c r="A94" s="350">
        <v>1987</v>
      </c>
      <c r="B94" s="350"/>
      <c r="C94" s="350"/>
      <c r="D94" s="350"/>
      <c r="E94" s="350"/>
      <c r="F94" s="350"/>
      <c r="G94" s="350"/>
      <c r="H94" s="350"/>
      <c r="I94" s="350"/>
      <c r="J94" s="350"/>
      <c r="K94" s="350"/>
      <c r="L94" s="350"/>
      <c r="M94" s="350"/>
      <c r="N94" s="350"/>
      <c r="O94" s="350"/>
      <c r="P94" s="350"/>
      <c r="Q94" s="350"/>
      <c r="R94" s="350"/>
      <c r="S94" s="350"/>
      <c r="T94" s="350"/>
      <c r="U94" s="350"/>
      <c r="V94">
        <v>1623.5000000000002</v>
      </c>
      <c r="W94">
        <f t="shared" si="46"/>
        <v>0</v>
      </c>
      <c r="X94">
        <f t="shared" ref="X94:BA94" si="82">IF(AND(X$58-$A94&gt;$V$38,SUM($W94:W94)&lt;&gt;$V94),$V94,0)</f>
        <v>0</v>
      </c>
      <c r="Y94">
        <f t="shared" si="82"/>
        <v>1623.5000000000002</v>
      </c>
      <c r="Z94">
        <f t="shared" si="82"/>
        <v>0</v>
      </c>
      <c r="AA94">
        <f t="shared" si="82"/>
        <v>0</v>
      </c>
      <c r="AB94">
        <f t="shared" si="82"/>
        <v>0</v>
      </c>
      <c r="AC94">
        <f t="shared" si="82"/>
        <v>0</v>
      </c>
      <c r="AD94">
        <f t="shared" si="82"/>
        <v>0</v>
      </c>
      <c r="AE94">
        <f t="shared" si="82"/>
        <v>0</v>
      </c>
      <c r="AF94">
        <f t="shared" si="82"/>
        <v>0</v>
      </c>
      <c r="AG94">
        <f t="shared" si="82"/>
        <v>0</v>
      </c>
      <c r="AH94">
        <f t="shared" si="82"/>
        <v>0</v>
      </c>
      <c r="AI94">
        <f t="shared" si="82"/>
        <v>0</v>
      </c>
      <c r="AJ94">
        <f t="shared" si="82"/>
        <v>0</v>
      </c>
      <c r="AK94">
        <f t="shared" si="82"/>
        <v>0</v>
      </c>
      <c r="AL94">
        <f t="shared" si="82"/>
        <v>0</v>
      </c>
      <c r="AM94">
        <f t="shared" si="82"/>
        <v>0</v>
      </c>
      <c r="AN94">
        <f t="shared" si="82"/>
        <v>0</v>
      </c>
      <c r="AO94">
        <f t="shared" si="82"/>
        <v>0</v>
      </c>
      <c r="AP94">
        <f t="shared" si="82"/>
        <v>0</v>
      </c>
      <c r="AQ94">
        <f t="shared" si="82"/>
        <v>0</v>
      </c>
      <c r="AR94">
        <f t="shared" si="82"/>
        <v>0</v>
      </c>
      <c r="AS94">
        <f t="shared" si="82"/>
        <v>0</v>
      </c>
      <c r="AT94">
        <f t="shared" si="82"/>
        <v>0</v>
      </c>
      <c r="AU94">
        <f t="shared" si="82"/>
        <v>0</v>
      </c>
      <c r="AV94">
        <f t="shared" si="82"/>
        <v>0</v>
      </c>
      <c r="AW94">
        <f t="shared" si="82"/>
        <v>0</v>
      </c>
      <c r="AX94">
        <f t="shared" si="82"/>
        <v>0</v>
      </c>
      <c r="AY94">
        <f t="shared" si="82"/>
        <v>0</v>
      </c>
      <c r="AZ94">
        <f t="shared" si="82"/>
        <v>0</v>
      </c>
      <c r="BA94">
        <f t="shared" si="82"/>
        <v>0</v>
      </c>
    </row>
    <row r="95" spans="1:53" ht="15.75" customHeight="1">
      <c r="A95" s="350">
        <v>1988</v>
      </c>
      <c r="B95" s="350"/>
      <c r="C95" s="350"/>
      <c r="D95" s="350"/>
      <c r="E95" s="350"/>
      <c r="F95" s="350"/>
      <c r="G95" s="350"/>
      <c r="H95" s="350"/>
      <c r="I95" s="350"/>
      <c r="J95" s="350"/>
      <c r="K95" s="350"/>
      <c r="L95" s="350"/>
      <c r="M95" s="350"/>
      <c r="N95" s="350"/>
      <c r="O95" s="350"/>
      <c r="P95" s="350"/>
      <c r="Q95" s="350"/>
      <c r="R95" s="350"/>
      <c r="S95" s="350"/>
      <c r="T95" s="350"/>
      <c r="U95" s="350"/>
      <c r="V95">
        <v>912.9</v>
      </c>
      <c r="W95">
        <f t="shared" si="46"/>
        <v>0</v>
      </c>
      <c r="X95">
        <f t="shared" ref="X95:BA95" si="83">IF(AND(X$58-$A95&gt;$V$38,SUM($W95:W95)&lt;&gt;$V95),$V95,0)</f>
        <v>0</v>
      </c>
      <c r="Y95">
        <f t="shared" si="83"/>
        <v>0</v>
      </c>
      <c r="Z95">
        <f t="shared" si="83"/>
        <v>912.9</v>
      </c>
      <c r="AA95">
        <f t="shared" si="83"/>
        <v>0</v>
      </c>
      <c r="AB95">
        <f t="shared" si="83"/>
        <v>0</v>
      </c>
      <c r="AC95">
        <f t="shared" si="83"/>
        <v>0</v>
      </c>
      <c r="AD95">
        <f t="shared" si="83"/>
        <v>0</v>
      </c>
      <c r="AE95">
        <f t="shared" si="83"/>
        <v>0</v>
      </c>
      <c r="AF95">
        <f t="shared" si="83"/>
        <v>0</v>
      </c>
      <c r="AG95">
        <f t="shared" si="83"/>
        <v>0</v>
      </c>
      <c r="AH95">
        <f t="shared" si="83"/>
        <v>0</v>
      </c>
      <c r="AI95">
        <f t="shared" si="83"/>
        <v>0</v>
      </c>
      <c r="AJ95">
        <f t="shared" si="83"/>
        <v>0</v>
      </c>
      <c r="AK95">
        <f t="shared" si="83"/>
        <v>0</v>
      </c>
      <c r="AL95">
        <f t="shared" si="83"/>
        <v>0</v>
      </c>
      <c r="AM95">
        <f t="shared" si="83"/>
        <v>0</v>
      </c>
      <c r="AN95">
        <f t="shared" si="83"/>
        <v>0</v>
      </c>
      <c r="AO95">
        <f t="shared" si="83"/>
        <v>0</v>
      </c>
      <c r="AP95">
        <f t="shared" si="83"/>
        <v>0</v>
      </c>
      <c r="AQ95">
        <f t="shared" si="83"/>
        <v>0</v>
      </c>
      <c r="AR95">
        <f t="shared" si="83"/>
        <v>0</v>
      </c>
      <c r="AS95">
        <f t="shared" si="83"/>
        <v>0</v>
      </c>
      <c r="AT95">
        <f t="shared" si="83"/>
        <v>0</v>
      </c>
      <c r="AU95">
        <f t="shared" si="83"/>
        <v>0</v>
      </c>
      <c r="AV95">
        <f t="shared" si="83"/>
        <v>0</v>
      </c>
      <c r="AW95">
        <f t="shared" si="83"/>
        <v>0</v>
      </c>
      <c r="AX95">
        <f t="shared" si="83"/>
        <v>0</v>
      </c>
      <c r="AY95">
        <f t="shared" si="83"/>
        <v>0</v>
      </c>
      <c r="AZ95">
        <f t="shared" si="83"/>
        <v>0</v>
      </c>
      <c r="BA95">
        <f t="shared" si="83"/>
        <v>0</v>
      </c>
    </row>
    <row r="96" spans="1:53" ht="15.75" customHeight="1">
      <c r="A96" s="350">
        <v>1989</v>
      </c>
      <c r="B96" s="350"/>
      <c r="C96" s="350"/>
      <c r="D96" s="350"/>
      <c r="E96" s="350"/>
      <c r="F96" s="350"/>
      <c r="G96" s="350"/>
      <c r="H96" s="350"/>
      <c r="I96" s="350"/>
      <c r="J96" s="350"/>
      <c r="K96" s="350"/>
      <c r="L96" s="350"/>
      <c r="M96" s="350"/>
      <c r="N96" s="350"/>
      <c r="O96" s="350"/>
      <c r="P96" s="350"/>
      <c r="Q96" s="350"/>
      <c r="R96" s="350"/>
      <c r="S96" s="350"/>
      <c r="T96" s="350"/>
      <c r="U96" s="350"/>
      <c r="V96">
        <v>1888.7</v>
      </c>
      <c r="W96">
        <f t="shared" si="46"/>
        <v>0</v>
      </c>
      <c r="X96">
        <f t="shared" ref="X96:BA96" si="84">IF(AND(X$58-$A96&gt;$V$38,SUM($W96:W96)&lt;&gt;$V96),$V96,0)</f>
        <v>0</v>
      </c>
      <c r="Y96">
        <f t="shared" si="84"/>
        <v>0</v>
      </c>
      <c r="Z96">
        <f t="shared" si="84"/>
        <v>0</v>
      </c>
      <c r="AA96">
        <f t="shared" si="84"/>
        <v>1888.7</v>
      </c>
      <c r="AB96">
        <f t="shared" si="84"/>
        <v>0</v>
      </c>
      <c r="AC96">
        <f t="shared" si="84"/>
        <v>0</v>
      </c>
      <c r="AD96">
        <f t="shared" si="84"/>
        <v>0</v>
      </c>
      <c r="AE96">
        <f t="shared" si="84"/>
        <v>0</v>
      </c>
      <c r="AF96">
        <f t="shared" si="84"/>
        <v>0</v>
      </c>
      <c r="AG96">
        <f t="shared" si="84"/>
        <v>0</v>
      </c>
      <c r="AH96">
        <f t="shared" si="84"/>
        <v>0</v>
      </c>
      <c r="AI96">
        <f t="shared" si="84"/>
        <v>0</v>
      </c>
      <c r="AJ96">
        <f t="shared" si="84"/>
        <v>0</v>
      </c>
      <c r="AK96">
        <f t="shared" si="84"/>
        <v>0</v>
      </c>
      <c r="AL96">
        <f t="shared" si="84"/>
        <v>0</v>
      </c>
      <c r="AM96">
        <f t="shared" si="84"/>
        <v>0</v>
      </c>
      <c r="AN96">
        <f t="shared" si="84"/>
        <v>0</v>
      </c>
      <c r="AO96">
        <f t="shared" si="84"/>
        <v>0</v>
      </c>
      <c r="AP96">
        <f t="shared" si="84"/>
        <v>0</v>
      </c>
      <c r="AQ96">
        <f t="shared" si="84"/>
        <v>0</v>
      </c>
      <c r="AR96">
        <f t="shared" si="84"/>
        <v>0</v>
      </c>
      <c r="AS96">
        <f t="shared" si="84"/>
        <v>0</v>
      </c>
      <c r="AT96">
        <f t="shared" si="84"/>
        <v>0</v>
      </c>
      <c r="AU96">
        <f t="shared" si="84"/>
        <v>0</v>
      </c>
      <c r="AV96">
        <f t="shared" si="84"/>
        <v>0</v>
      </c>
      <c r="AW96">
        <f t="shared" si="84"/>
        <v>0</v>
      </c>
      <c r="AX96">
        <f t="shared" si="84"/>
        <v>0</v>
      </c>
      <c r="AY96">
        <f t="shared" si="84"/>
        <v>0</v>
      </c>
      <c r="AZ96">
        <f t="shared" si="84"/>
        <v>0</v>
      </c>
      <c r="BA96">
        <f t="shared" si="84"/>
        <v>0</v>
      </c>
    </row>
    <row r="97" spans="1:53" ht="15.75" customHeight="1">
      <c r="A97" s="350">
        <v>1990</v>
      </c>
      <c r="B97" s="350"/>
      <c r="C97" s="350"/>
      <c r="D97" s="350"/>
      <c r="E97" s="350"/>
      <c r="F97" s="350"/>
      <c r="G97" s="350"/>
      <c r="H97" s="350"/>
      <c r="I97" s="350"/>
      <c r="J97" s="350"/>
      <c r="K97" s="350"/>
      <c r="L97" s="350"/>
      <c r="M97" s="350"/>
      <c r="N97" s="350"/>
      <c r="O97" s="350"/>
      <c r="P97" s="350"/>
      <c r="Q97" s="350"/>
      <c r="R97" s="350"/>
      <c r="S97" s="350"/>
      <c r="T97" s="350"/>
      <c r="U97" s="350"/>
      <c r="V97">
        <v>2566.1</v>
      </c>
      <c r="W97">
        <f t="shared" si="46"/>
        <v>0</v>
      </c>
      <c r="X97">
        <f t="shared" ref="X97:BA97" si="85">IF(AND(X$58-$A97&gt;$V$38,SUM($W97:W97)&lt;&gt;$V97),$V97,0)</f>
        <v>0</v>
      </c>
      <c r="Y97">
        <f t="shared" si="85"/>
        <v>0</v>
      </c>
      <c r="Z97">
        <f t="shared" si="85"/>
        <v>0</v>
      </c>
      <c r="AA97">
        <f t="shared" si="85"/>
        <v>0</v>
      </c>
      <c r="AB97">
        <f t="shared" si="85"/>
        <v>2566.1</v>
      </c>
      <c r="AC97">
        <f t="shared" si="85"/>
        <v>0</v>
      </c>
      <c r="AD97">
        <f t="shared" si="85"/>
        <v>0</v>
      </c>
      <c r="AE97">
        <f t="shared" si="85"/>
        <v>0</v>
      </c>
      <c r="AF97">
        <f t="shared" si="85"/>
        <v>0</v>
      </c>
      <c r="AG97">
        <f t="shared" si="85"/>
        <v>0</v>
      </c>
      <c r="AH97">
        <f t="shared" si="85"/>
        <v>0</v>
      </c>
      <c r="AI97">
        <f t="shared" si="85"/>
        <v>0</v>
      </c>
      <c r="AJ97">
        <f t="shared" si="85"/>
        <v>0</v>
      </c>
      <c r="AK97">
        <f t="shared" si="85"/>
        <v>0</v>
      </c>
      <c r="AL97">
        <f t="shared" si="85"/>
        <v>0</v>
      </c>
      <c r="AM97">
        <f t="shared" si="85"/>
        <v>0</v>
      </c>
      <c r="AN97">
        <f t="shared" si="85"/>
        <v>0</v>
      </c>
      <c r="AO97">
        <f t="shared" si="85"/>
        <v>0</v>
      </c>
      <c r="AP97">
        <f t="shared" si="85"/>
        <v>0</v>
      </c>
      <c r="AQ97">
        <f t="shared" si="85"/>
        <v>0</v>
      </c>
      <c r="AR97">
        <f t="shared" si="85"/>
        <v>0</v>
      </c>
      <c r="AS97">
        <f t="shared" si="85"/>
        <v>0</v>
      </c>
      <c r="AT97">
        <f t="shared" si="85"/>
        <v>0</v>
      </c>
      <c r="AU97">
        <f t="shared" si="85"/>
        <v>0</v>
      </c>
      <c r="AV97">
        <f t="shared" si="85"/>
        <v>0</v>
      </c>
      <c r="AW97">
        <f t="shared" si="85"/>
        <v>0</v>
      </c>
      <c r="AX97">
        <f t="shared" si="85"/>
        <v>0</v>
      </c>
      <c r="AY97">
        <f t="shared" si="85"/>
        <v>0</v>
      </c>
      <c r="AZ97">
        <f t="shared" si="85"/>
        <v>0</v>
      </c>
      <c r="BA97">
        <f t="shared" si="85"/>
        <v>0</v>
      </c>
    </row>
    <row r="98" spans="1:53" ht="15.75" customHeight="1">
      <c r="A98" s="350">
        <v>1991</v>
      </c>
      <c r="B98" s="350"/>
      <c r="C98" s="350"/>
      <c r="D98" s="350"/>
      <c r="E98" s="350"/>
      <c r="F98" s="350"/>
      <c r="G98" s="350"/>
      <c r="H98" s="350"/>
      <c r="I98" s="350"/>
      <c r="J98" s="350"/>
      <c r="K98" s="350"/>
      <c r="L98" s="350"/>
      <c r="M98" s="350"/>
      <c r="N98" s="350"/>
      <c r="O98" s="350"/>
      <c r="P98" s="350"/>
      <c r="Q98" s="350"/>
      <c r="R98" s="350"/>
      <c r="S98" s="350"/>
      <c r="T98" s="350"/>
      <c r="U98" s="350"/>
      <c r="V98">
        <v>1741</v>
      </c>
      <c r="W98">
        <f t="shared" si="46"/>
        <v>0</v>
      </c>
      <c r="X98">
        <f t="shared" ref="X98:BA98" si="86">IF(AND(X$58-$A98&gt;$V$38,SUM($W98:W98)&lt;&gt;$V98),$V98,0)</f>
        <v>0</v>
      </c>
      <c r="Y98">
        <f t="shared" si="86"/>
        <v>0</v>
      </c>
      <c r="Z98">
        <f t="shared" si="86"/>
        <v>0</v>
      </c>
      <c r="AA98">
        <f t="shared" si="86"/>
        <v>0</v>
      </c>
      <c r="AB98">
        <f t="shared" si="86"/>
        <v>0</v>
      </c>
      <c r="AC98">
        <f t="shared" si="86"/>
        <v>1741</v>
      </c>
      <c r="AD98">
        <f t="shared" si="86"/>
        <v>0</v>
      </c>
      <c r="AE98">
        <f t="shared" si="86"/>
        <v>0</v>
      </c>
      <c r="AF98">
        <f t="shared" si="86"/>
        <v>0</v>
      </c>
      <c r="AG98">
        <f t="shared" si="86"/>
        <v>0</v>
      </c>
      <c r="AH98">
        <f t="shared" si="86"/>
        <v>0</v>
      </c>
      <c r="AI98">
        <f t="shared" si="86"/>
        <v>0</v>
      </c>
      <c r="AJ98">
        <f t="shared" si="86"/>
        <v>0</v>
      </c>
      <c r="AK98">
        <f t="shared" si="86"/>
        <v>0</v>
      </c>
      <c r="AL98">
        <f t="shared" si="86"/>
        <v>0</v>
      </c>
      <c r="AM98">
        <f t="shared" si="86"/>
        <v>0</v>
      </c>
      <c r="AN98">
        <f t="shared" si="86"/>
        <v>0</v>
      </c>
      <c r="AO98">
        <f t="shared" si="86"/>
        <v>0</v>
      </c>
      <c r="AP98">
        <f t="shared" si="86"/>
        <v>0</v>
      </c>
      <c r="AQ98">
        <f t="shared" si="86"/>
        <v>0</v>
      </c>
      <c r="AR98">
        <f t="shared" si="86"/>
        <v>0</v>
      </c>
      <c r="AS98">
        <f t="shared" si="86"/>
        <v>0</v>
      </c>
      <c r="AT98">
        <f t="shared" si="86"/>
        <v>0</v>
      </c>
      <c r="AU98">
        <f t="shared" si="86"/>
        <v>0</v>
      </c>
      <c r="AV98">
        <f t="shared" si="86"/>
        <v>0</v>
      </c>
      <c r="AW98">
        <f t="shared" si="86"/>
        <v>0</v>
      </c>
      <c r="AX98">
        <f t="shared" si="86"/>
        <v>0</v>
      </c>
      <c r="AY98">
        <f t="shared" si="86"/>
        <v>0</v>
      </c>
      <c r="AZ98">
        <f t="shared" si="86"/>
        <v>0</v>
      </c>
      <c r="BA98">
        <f t="shared" si="86"/>
        <v>0</v>
      </c>
    </row>
    <row r="99" spans="1:53" ht="15.75" customHeight="1">
      <c r="A99" s="350">
        <v>1992</v>
      </c>
      <c r="B99" s="350"/>
      <c r="C99" s="350"/>
      <c r="D99" s="350"/>
      <c r="E99" s="350"/>
      <c r="F99" s="350"/>
      <c r="G99" s="350"/>
      <c r="H99" s="350"/>
      <c r="I99" s="350"/>
      <c r="J99" s="350"/>
      <c r="K99" s="350"/>
      <c r="L99" s="350"/>
      <c r="M99" s="350"/>
      <c r="N99" s="350"/>
      <c r="O99" s="350"/>
      <c r="P99" s="350"/>
      <c r="Q99" s="350"/>
      <c r="R99" s="350"/>
      <c r="S99" s="350"/>
      <c r="T99" s="350"/>
      <c r="U99" s="350"/>
      <c r="V99">
        <v>2468.6999999999994</v>
      </c>
      <c r="W99">
        <f t="shared" si="46"/>
        <v>0</v>
      </c>
      <c r="X99">
        <f t="shared" ref="X99:BA99" si="87">IF(AND(X$58-$A99&gt;$V$38,SUM($W99:W99)&lt;&gt;$V99),$V99,0)</f>
        <v>0</v>
      </c>
      <c r="Y99">
        <f t="shared" si="87"/>
        <v>0</v>
      </c>
      <c r="Z99">
        <f t="shared" si="87"/>
        <v>0</v>
      </c>
      <c r="AA99">
        <f t="shared" si="87"/>
        <v>0</v>
      </c>
      <c r="AB99">
        <f t="shared" si="87"/>
        <v>0</v>
      </c>
      <c r="AC99">
        <f t="shared" si="87"/>
        <v>0</v>
      </c>
      <c r="AD99">
        <f t="shared" si="87"/>
        <v>2468.6999999999994</v>
      </c>
      <c r="AE99">
        <f t="shared" si="87"/>
        <v>0</v>
      </c>
      <c r="AF99">
        <f t="shared" si="87"/>
        <v>0</v>
      </c>
      <c r="AG99">
        <f t="shared" si="87"/>
        <v>0</v>
      </c>
      <c r="AH99">
        <f t="shared" si="87"/>
        <v>0</v>
      </c>
      <c r="AI99">
        <f t="shared" si="87"/>
        <v>0</v>
      </c>
      <c r="AJ99">
        <f t="shared" si="87"/>
        <v>0</v>
      </c>
      <c r="AK99">
        <f t="shared" si="87"/>
        <v>0</v>
      </c>
      <c r="AL99">
        <f t="shared" si="87"/>
        <v>0</v>
      </c>
      <c r="AM99">
        <f t="shared" si="87"/>
        <v>0</v>
      </c>
      <c r="AN99">
        <f t="shared" si="87"/>
        <v>0</v>
      </c>
      <c r="AO99">
        <f t="shared" si="87"/>
        <v>0</v>
      </c>
      <c r="AP99">
        <f t="shared" si="87"/>
        <v>0</v>
      </c>
      <c r="AQ99">
        <f t="shared" si="87"/>
        <v>0</v>
      </c>
      <c r="AR99">
        <f t="shared" si="87"/>
        <v>0</v>
      </c>
      <c r="AS99">
        <f t="shared" si="87"/>
        <v>0</v>
      </c>
      <c r="AT99">
        <f t="shared" si="87"/>
        <v>0</v>
      </c>
      <c r="AU99">
        <f t="shared" si="87"/>
        <v>0</v>
      </c>
      <c r="AV99">
        <f t="shared" si="87"/>
        <v>0</v>
      </c>
      <c r="AW99">
        <f t="shared" si="87"/>
        <v>0</v>
      </c>
      <c r="AX99">
        <f t="shared" si="87"/>
        <v>0</v>
      </c>
      <c r="AY99">
        <f t="shared" si="87"/>
        <v>0</v>
      </c>
      <c r="AZ99">
        <f t="shared" si="87"/>
        <v>0</v>
      </c>
      <c r="BA99">
        <f t="shared" si="87"/>
        <v>0</v>
      </c>
    </row>
    <row r="100" spans="1:53" ht="15.75" customHeight="1">
      <c r="A100" s="350">
        <v>1993</v>
      </c>
      <c r="B100" s="350"/>
      <c r="C100" s="350"/>
      <c r="D100" s="350"/>
      <c r="E100" s="350"/>
      <c r="F100" s="350"/>
      <c r="G100" s="350"/>
      <c r="H100" s="350"/>
      <c r="I100" s="350"/>
      <c r="J100" s="350"/>
      <c r="K100" s="350"/>
      <c r="L100" s="350"/>
      <c r="M100" s="350"/>
      <c r="N100" s="350"/>
      <c r="O100" s="350"/>
      <c r="P100" s="350"/>
      <c r="Q100" s="350"/>
      <c r="R100" s="350"/>
      <c r="S100" s="350"/>
      <c r="T100" s="350"/>
      <c r="U100" s="350"/>
      <c r="V100">
        <v>3054.2999999999997</v>
      </c>
      <c r="W100">
        <f t="shared" si="46"/>
        <v>0</v>
      </c>
      <c r="X100">
        <f t="shared" ref="X100:BA100" si="88">IF(AND(X$58-$A100&gt;$V$38,SUM($W100:W100)&lt;&gt;$V100),$V100,0)</f>
        <v>0</v>
      </c>
      <c r="Y100">
        <f t="shared" si="88"/>
        <v>0</v>
      </c>
      <c r="Z100">
        <f t="shared" si="88"/>
        <v>0</v>
      </c>
      <c r="AA100">
        <f t="shared" si="88"/>
        <v>0</v>
      </c>
      <c r="AB100">
        <f t="shared" si="88"/>
        <v>0</v>
      </c>
      <c r="AC100">
        <f t="shared" si="88"/>
        <v>0</v>
      </c>
      <c r="AD100">
        <f t="shared" si="88"/>
        <v>0</v>
      </c>
      <c r="AE100">
        <f t="shared" si="88"/>
        <v>3054.2999999999997</v>
      </c>
      <c r="AF100">
        <f t="shared" si="88"/>
        <v>0</v>
      </c>
      <c r="AG100">
        <f t="shared" si="88"/>
        <v>0</v>
      </c>
      <c r="AH100">
        <f t="shared" si="88"/>
        <v>0</v>
      </c>
      <c r="AI100">
        <f t="shared" si="88"/>
        <v>0</v>
      </c>
      <c r="AJ100">
        <f t="shared" si="88"/>
        <v>0</v>
      </c>
      <c r="AK100">
        <f t="shared" si="88"/>
        <v>0</v>
      </c>
      <c r="AL100">
        <f t="shared" si="88"/>
        <v>0</v>
      </c>
      <c r="AM100">
        <f t="shared" si="88"/>
        <v>0</v>
      </c>
      <c r="AN100">
        <f t="shared" si="88"/>
        <v>0</v>
      </c>
      <c r="AO100">
        <f t="shared" si="88"/>
        <v>0</v>
      </c>
      <c r="AP100">
        <f t="shared" si="88"/>
        <v>0</v>
      </c>
      <c r="AQ100">
        <f t="shared" si="88"/>
        <v>0</v>
      </c>
      <c r="AR100">
        <f t="shared" si="88"/>
        <v>0</v>
      </c>
      <c r="AS100">
        <f t="shared" si="88"/>
        <v>0</v>
      </c>
      <c r="AT100">
        <f t="shared" si="88"/>
        <v>0</v>
      </c>
      <c r="AU100">
        <f t="shared" si="88"/>
        <v>0</v>
      </c>
      <c r="AV100">
        <f t="shared" si="88"/>
        <v>0</v>
      </c>
      <c r="AW100">
        <f t="shared" si="88"/>
        <v>0</v>
      </c>
      <c r="AX100">
        <f t="shared" si="88"/>
        <v>0</v>
      </c>
      <c r="AY100">
        <f t="shared" si="88"/>
        <v>0</v>
      </c>
      <c r="AZ100">
        <f t="shared" si="88"/>
        <v>0</v>
      </c>
      <c r="BA100">
        <f t="shared" si="88"/>
        <v>0</v>
      </c>
    </row>
    <row r="101" spans="1:53" ht="15.75" customHeight="1">
      <c r="A101" s="350">
        <v>1994</v>
      </c>
      <c r="B101" s="350"/>
      <c r="C101" s="350"/>
      <c r="D101" s="350"/>
      <c r="E101" s="350"/>
      <c r="F101" s="350"/>
      <c r="G101" s="350"/>
      <c r="H101" s="350"/>
      <c r="I101" s="350"/>
      <c r="J101" s="350"/>
      <c r="K101" s="350"/>
      <c r="L101" s="350"/>
      <c r="M101" s="350"/>
      <c r="N101" s="350"/>
      <c r="O101" s="350"/>
      <c r="P101" s="350"/>
      <c r="Q101" s="350"/>
      <c r="R101" s="350"/>
      <c r="S101" s="350"/>
      <c r="T101" s="350"/>
      <c r="U101" s="350"/>
      <c r="V101">
        <v>6077.4000000000015</v>
      </c>
      <c r="W101">
        <f t="shared" si="46"/>
        <v>0</v>
      </c>
      <c r="X101">
        <f t="shared" ref="X101:BA101" si="89">IF(AND(X$58-$A101&gt;$V$38,SUM($W101:W101)&lt;&gt;$V101),$V101,0)</f>
        <v>0</v>
      </c>
      <c r="Y101">
        <f t="shared" si="89"/>
        <v>0</v>
      </c>
      <c r="Z101">
        <f t="shared" si="89"/>
        <v>0</v>
      </c>
      <c r="AA101">
        <f t="shared" si="89"/>
        <v>0</v>
      </c>
      <c r="AB101">
        <f t="shared" si="89"/>
        <v>0</v>
      </c>
      <c r="AC101">
        <f t="shared" si="89"/>
        <v>0</v>
      </c>
      <c r="AD101">
        <f t="shared" si="89"/>
        <v>0</v>
      </c>
      <c r="AE101">
        <f t="shared" si="89"/>
        <v>0</v>
      </c>
      <c r="AF101">
        <f t="shared" si="89"/>
        <v>6077.4000000000015</v>
      </c>
      <c r="AG101">
        <f t="shared" si="89"/>
        <v>0</v>
      </c>
      <c r="AH101">
        <f t="shared" si="89"/>
        <v>0</v>
      </c>
      <c r="AI101">
        <f t="shared" si="89"/>
        <v>0</v>
      </c>
      <c r="AJ101">
        <f t="shared" si="89"/>
        <v>0</v>
      </c>
      <c r="AK101">
        <f t="shared" si="89"/>
        <v>0</v>
      </c>
      <c r="AL101">
        <f t="shared" si="89"/>
        <v>0</v>
      </c>
      <c r="AM101">
        <f t="shared" si="89"/>
        <v>0</v>
      </c>
      <c r="AN101">
        <f t="shared" si="89"/>
        <v>0</v>
      </c>
      <c r="AO101">
        <f t="shared" si="89"/>
        <v>0</v>
      </c>
      <c r="AP101">
        <f t="shared" si="89"/>
        <v>0</v>
      </c>
      <c r="AQ101">
        <f t="shared" si="89"/>
        <v>0</v>
      </c>
      <c r="AR101">
        <f t="shared" si="89"/>
        <v>0</v>
      </c>
      <c r="AS101">
        <f t="shared" si="89"/>
        <v>0</v>
      </c>
      <c r="AT101">
        <f t="shared" si="89"/>
        <v>0</v>
      </c>
      <c r="AU101">
        <f t="shared" si="89"/>
        <v>0</v>
      </c>
      <c r="AV101">
        <f t="shared" si="89"/>
        <v>0</v>
      </c>
      <c r="AW101">
        <f t="shared" si="89"/>
        <v>0</v>
      </c>
      <c r="AX101">
        <f t="shared" si="89"/>
        <v>0</v>
      </c>
      <c r="AY101">
        <f t="shared" si="89"/>
        <v>0</v>
      </c>
      <c r="AZ101">
        <f t="shared" si="89"/>
        <v>0</v>
      </c>
      <c r="BA101">
        <f t="shared" si="89"/>
        <v>0</v>
      </c>
    </row>
    <row r="102" spans="1:53" ht="15.75" customHeight="1">
      <c r="A102" s="350">
        <v>1995</v>
      </c>
      <c r="B102" s="350"/>
      <c r="C102" s="350"/>
      <c r="D102" s="350"/>
      <c r="E102" s="350"/>
      <c r="F102" s="350"/>
      <c r="G102" s="350"/>
      <c r="H102" s="350"/>
      <c r="I102" s="350"/>
      <c r="J102" s="350"/>
      <c r="K102" s="350"/>
      <c r="L102" s="350"/>
      <c r="M102" s="350"/>
      <c r="N102" s="350"/>
      <c r="O102" s="350"/>
      <c r="P102" s="350"/>
      <c r="Q102" s="350"/>
      <c r="R102" s="350"/>
      <c r="S102" s="350"/>
      <c r="T102" s="350"/>
      <c r="U102" s="350"/>
      <c r="V102">
        <v>2195.6</v>
      </c>
      <c r="W102">
        <f t="shared" si="46"/>
        <v>0</v>
      </c>
      <c r="X102">
        <f t="shared" ref="X102:BA102" si="90">IF(AND(X$58-$A102&gt;$V$38,SUM($W102:W102)&lt;&gt;$V102),$V102,0)</f>
        <v>0</v>
      </c>
      <c r="Y102">
        <f t="shared" si="90"/>
        <v>0</v>
      </c>
      <c r="Z102">
        <f t="shared" si="90"/>
        <v>0</v>
      </c>
      <c r="AA102">
        <f t="shared" si="90"/>
        <v>0</v>
      </c>
      <c r="AB102">
        <f t="shared" si="90"/>
        <v>0</v>
      </c>
      <c r="AC102">
        <f t="shared" si="90"/>
        <v>0</v>
      </c>
      <c r="AD102">
        <f t="shared" si="90"/>
        <v>0</v>
      </c>
      <c r="AE102">
        <f t="shared" si="90"/>
        <v>0</v>
      </c>
      <c r="AF102">
        <f t="shared" si="90"/>
        <v>0</v>
      </c>
      <c r="AG102">
        <f t="shared" si="90"/>
        <v>2195.6</v>
      </c>
      <c r="AH102">
        <f t="shared" si="90"/>
        <v>0</v>
      </c>
      <c r="AI102">
        <f t="shared" si="90"/>
        <v>0</v>
      </c>
      <c r="AJ102">
        <f t="shared" si="90"/>
        <v>0</v>
      </c>
      <c r="AK102">
        <f t="shared" si="90"/>
        <v>0</v>
      </c>
      <c r="AL102">
        <f t="shared" si="90"/>
        <v>0</v>
      </c>
      <c r="AM102">
        <f t="shared" si="90"/>
        <v>0</v>
      </c>
      <c r="AN102">
        <f t="shared" si="90"/>
        <v>0</v>
      </c>
      <c r="AO102">
        <f t="shared" si="90"/>
        <v>0</v>
      </c>
      <c r="AP102">
        <f t="shared" si="90"/>
        <v>0</v>
      </c>
      <c r="AQ102">
        <f t="shared" si="90"/>
        <v>0</v>
      </c>
      <c r="AR102">
        <f t="shared" si="90"/>
        <v>0</v>
      </c>
      <c r="AS102">
        <f t="shared" si="90"/>
        <v>0</v>
      </c>
      <c r="AT102">
        <f t="shared" si="90"/>
        <v>0</v>
      </c>
      <c r="AU102">
        <f t="shared" si="90"/>
        <v>0</v>
      </c>
      <c r="AV102">
        <f t="shared" si="90"/>
        <v>0</v>
      </c>
      <c r="AW102">
        <f t="shared" si="90"/>
        <v>0</v>
      </c>
      <c r="AX102">
        <f t="shared" si="90"/>
        <v>0</v>
      </c>
      <c r="AY102">
        <f t="shared" si="90"/>
        <v>0</v>
      </c>
      <c r="AZ102">
        <f t="shared" si="90"/>
        <v>0</v>
      </c>
      <c r="BA102">
        <f t="shared" si="90"/>
        <v>0</v>
      </c>
    </row>
    <row r="103" spans="1:53" ht="15.75" customHeight="1">
      <c r="A103" s="350">
        <v>1996</v>
      </c>
      <c r="B103" s="350"/>
      <c r="C103" s="350"/>
      <c r="D103" s="350"/>
      <c r="E103" s="350"/>
      <c r="F103" s="350"/>
      <c r="G103" s="350"/>
      <c r="H103" s="350"/>
      <c r="I103" s="350"/>
      <c r="J103" s="350"/>
      <c r="K103" s="350"/>
      <c r="L103" s="350"/>
      <c r="M103" s="350"/>
      <c r="N103" s="350"/>
      <c r="O103" s="350"/>
      <c r="P103" s="350"/>
      <c r="Q103" s="350"/>
      <c r="R103" s="350"/>
      <c r="S103" s="350"/>
      <c r="T103" s="350"/>
      <c r="U103" s="350"/>
      <c r="V103">
        <v>1929</v>
      </c>
      <c r="W103">
        <f t="shared" si="46"/>
        <v>0</v>
      </c>
      <c r="X103">
        <f t="shared" ref="X103:BA103" si="91">IF(AND(X$58-$A103&gt;$V$38,SUM($W103:W103)&lt;&gt;$V103),$V103,0)</f>
        <v>0</v>
      </c>
      <c r="Y103">
        <f t="shared" si="91"/>
        <v>0</v>
      </c>
      <c r="Z103">
        <f t="shared" si="91"/>
        <v>0</v>
      </c>
      <c r="AA103">
        <f t="shared" si="91"/>
        <v>0</v>
      </c>
      <c r="AB103">
        <f t="shared" si="91"/>
        <v>0</v>
      </c>
      <c r="AC103">
        <f t="shared" si="91"/>
        <v>0</v>
      </c>
      <c r="AD103">
        <f t="shared" si="91"/>
        <v>0</v>
      </c>
      <c r="AE103">
        <f t="shared" si="91"/>
        <v>0</v>
      </c>
      <c r="AF103">
        <f t="shared" si="91"/>
        <v>0</v>
      </c>
      <c r="AG103">
        <f t="shared" si="91"/>
        <v>0</v>
      </c>
      <c r="AH103">
        <f t="shared" si="91"/>
        <v>1929</v>
      </c>
      <c r="AI103">
        <f t="shared" si="91"/>
        <v>0</v>
      </c>
      <c r="AJ103">
        <f t="shared" si="91"/>
        <v>0</v>
      </c>
      <c r="AK103">
        <f t="shared" si="91"/>
        <v>0</v>
      </c>
      <c r="AL103">
        <f t="shared" si="91"/>
        <v>0</v>
      </c>
      <c r="AM103">
        <f t="shared" si="91"/>
        <v>0</v>
      </c>
      <c r="AN103">
        <f t="shared" si="91"/>
        <v>0</v>
      </c>
      <c r="AO103">
        <f t="shared" si="91"/>
        <v>0</v>
      </c>
      <c r="AP103">
        <f t="shared" si="91"/>
        <v>0</v>
      </c>
      <c r="AQ103">
        <f t="shared" si="91"/>
        <v>0</v>
      </c>
      <c r="AR103">
        <f t="shared" si="91"/>
        <v>0</v>
      </c>
      <c r="AS103">
        <f t="shared" si="91"/>
        <v>0</v>
      </c>
      <c r="AT103">
        <f t="shared" si="91"/>
        <v>0</v>
      </c>
      <c r="AU103">
        <f t="shared" si="91"/>
        <v>0</v>
      </c>
      <c r="AV103">
        <f t="shared" si="91"/>
        <v>0</v>
      </c>
      <c r="AW103">
        <f t="shared" si="91"/>
        <v>0</v>
      </c>
      <c r="AX103">
        <f t="shared" si="91"/>
        <v>0</v>
      </c>
      <c r="AY103">
        <f t="shared" si="91"/>
        <v>0</v>
      </c>
      <c r="AZ103">
        <f t="shared" si="91"/>
        <v>0</v>
      </c>
      <c r="BA103">
        <f t="shared" si="91"/>
        <v>0</v>
      </c>
    </row>
    <row r="104" spans="1:53" ht="15.75" customHeight="1">
      <c r="A104" s="350">
        <v>1997</v>
      </c>
      <c r="B104" s="350"/>
      <c r="C104" s="350"/>
      <c r="D104" s="350"/>
      <c r="E104" s="350"/>
      <c r="F104" s="350"/>
      <c r="G104" s="350"/>
      <c r="H104" s="350"/>
      <c r="I104" s="350"/>
      <c r="J104" s="350"/>
      <c r="K104" s="350"/>
      <c r="L104" s="350"/>
      <c r="M104" s="350"/>
      <c r="N104" s="350"/>
      <c r="O104" s="350"/>
      <c r="P104" s="350"/>
      <c r="Q104" s="350"/>
      <c r="R104" s="350"/>
      <c r="S104" s="350"/>
      <c r="T104" s="350"/>
      <c r="U104" s="350"/>
      <c r="V104">
        <v>2279.7999999999997</v>
      </c>
      <c r="W104">
        <f t="shared" si="46"/>
        <v>0</v>
      </c>
      <c r="X104">
        <f t="shared" ref="X104:BA104" si="92">IF(AND(X$58-$A104&gt;$V$38,SUM($W104:W104)&lt;&gt;$V104),$V104,0)</f>
        <v>0</v>
      </c>
      <c r="Y104">
        <f t="shared" si="92"/>
        <v>0</v>
      </c>
      <c r="Z104">
        <f t="shared" si="92"/>
        <v>0</v>
      </c>
      <c r="AA104">
        <f t="shared" si="92"/>
        <v>0</v>
      </c>
      <c r="AB104">
        <f t="shared" si="92"/>
        <v>0</v>
      </c>
      <c r="AC104">
        <f t="shared" si="92"/>
        <v>0</v>
      </c>
      <c r="AD104">
        <f t="shared" si="92"/>
        <v>0</v>
      </c>
      <c r="AE104">
        <f t="shared" si="92"/>
        <v>0</v>
      </c>
      <c r="AF104">
        <f t="shared" si="92"/>
        <v>0</v>
      </c>
      <c r="AG104">
        <f t="shared" si="92"/>
        <v>0</v>
      </c>
      <c r="AH104">
        <f t="shared" si="92"/>
        <v>0</v>
      </c>
      <c r="AI104">
        <f t="shared" si="92"/>
        <v>2279.7999999999997</v>
      </c>
      <c r="AJ104">
        <f t="shared" si="92"/>
        <v>0</v>
      </c>
      <c r="AK104">
        <f t="shared" si="92"/>
        <v>0</v>
      </c>
      <c r="AL104">
        <f t="shared" si="92"/>
        <v>0</v>
      </c>
      <c r="AM104">
        <f t="shared" si="92"/>
        <v>0</v>
      </c>
      <c r="AN104">
        <f t="shared" si="92"/>
        <v>0</v>
      </c>
      <c r="AO104">
        <f t="shared" si="92"/>
        <v>0</v>
      </c>
      <c r="AP104">
        <f t="shared" si="92"/>
        <v>0</v>
      </c>
      <c r="AQ104">
        <f t="shared" si="92"/>
        <v>0</v>
      </c>
      <c r="AR104">
        <f t="shared" si="92"/>
        <v>0</v>
      </c>
      <c r="AS104">
        <f t="shared" si="92"/>
        <v>0</v>
      </c>
      <c r="AT104">
        <f t="shared" si="92"/>
        <v>0</v>
      </c>
      <c r="AU104">
        <f t="shared" si="92"/>
        <v>0</v>
      </c>
      <c r="AV104">
        <f t="shared" si="92"/>
        <v>0</v>
      </c>
      <c r="AW104">
        <f t="shared" si="92"/>
        <v>0</v>
      </c>
      <c r="AX104">
        <f t="shared" si="92"/>
        <v>0</v>
      </c>
      <c r="AY104">
        <f t="shared" si="92"/>
        <v>0</v>
      </c>
      <c r="AZ104">
        <f t="shared" si="92"/>
        <v>0</v>
      </c>
      <c r="BA104">
        <f t="shared" si="92"/>
        <v>0</v>
      </c>
    </row>
    <row r="105" spans="1:53" ht="15.75" customHeight="1">
      <c r="A105" s="350">
        <v>1998</v>
      </c>
      <c r="B105" s="350"/>
      <c r="C105" s="350"/>
      <c r="D105" s="350"/>
      <c r="E105" s="350"/>
      <c r="F105" s="350"/>
      <c r="G105" s="350"/>
      <c r="H105" s="350"/>
      <c r="I105" s="350"/>
      <c r="J105" s="350"/>
      <c r="K105" s="350"/>
      <c r="L105" s="350"/>
      <c r="M105" s="350"/>
      <c r="N105" s="350"/>
      <c r="O105" s="350"/>
      <c r="P105" s="350"/>
      <c r="Q105" s="350"/>
      <c r="R105" s="350"/>
      <c r="S105" s="350"/>
      <c r="T105" s="350"/>
      <c r="U105" s="350"/>
      <c r="V105">
        <v>1182.6999999999998</v>
      </c>
      <c r="W105">
        <f t="shared" si="46"/>
        <v>0</v>
      </c>
      <c r="X105">
        <f t="shared" ref="X105:BA105" si="93">IF(AND(X$58-$A105&gt;$V$38,SUM($W105:W105)&lt;&gt;$V105),$V105,0)</f>
        <v>0</v>
      </c>
      <c r="Y105">
        <f t="shared" si="93"/>
        <v>0</v>
      </c>
      <c r="Z105">
        <f t="shared" si="93"/>
        <v>0</v>
      </c>
      <c r="AA105">
        <f t="shared" si="93"/>
        <v>0</v>
      </c>
      <c r="AB105">
        <f t="shared" si="93"/>
        <v>0</v>
      </c>
      <c r="AC105">
        <f t="shared" si="93"/>
        <v>0</v>
      </c>
      <c r="AD105">
        <f t="shared" si="93"/>
        <v>0</v>
      </c>
      <c r="AE105">
        <f t="shared" si="93"/>
        <v>0</v>
      </c>
      <c r="AF105">
        <f t="shared" si="93"/>
        <v>0</v>
      </c>
      <c r="AG105">
        <f t="shared" si="93"/>
        <v>0</v>
      </c>
      <c r="AH105">
        <f t="shared" si="93"/>
        <v>0</v>
      </c>
      <c r="AI105">
        <f t="shared" si="93"/>
        <v>0</v>
      </c>
      <c r="AJ105">
        <f t="shared" si="93"/>
        <v>1182.6999999999998</v>
      </c>
      <c r="AK105">
        <f t="shared" si="93"/>
        <v>0</v>
      </c>
      <c r="AL105">
        <f t="shared" si="93"/>
        <v>0</v>
      </c>
      <c r="AM105">
        <f t="shared" si="93"/>
        <v>0</v>
      </c>
      <c r="AN105">
        <f t="shared" si="93"/>
        <v>0</v>
      </c>
      <c r="AO105">
        <f t="shared" si="93"/>
        <v>0</v>
      </c>
      <c r="AP105">
        <f t="shared" si="93"/>
        <v>0</v>
      </c>
      <c r="AQ105">
        <f t="shared" si="93"/>
        <v>0</v>
      </c>
      <c r="AR105">
        <f t="shared" si="93"/>
        <v>0</v>
      </c>
      <c r="AS105">
        <f t="shared" si="93"/>
        <v>0</v>
      </c>
      <c r="AT105">
        <f t="shared" si="93"/>
        <v>0</v>
      </c>
      <c r="AU105">
        <f t="shared" si="93"/>
        <v>0</v>
      </c>
      <c r="AV105">
        <f t="shared" si="93"/>
        <v>0</v>
      </c>
      <c r="AW105">
        <f t="shared" si="93"/>
        <v>0</v>
      </c>
      <c r="AX105">
        <f t="shared" si="93"/>
        <v>0</v>
      </c>
      <c r="AY105">
        <f t="shared" si="93"/>
        <v>0</v>
      </c>
      <c r="AZ105">
        <f t="shared" si="93"/>
        <v>0</v>
      </c>
      <c r="BA105">
        <f t="shared" si="93"/>
        <v>0</v>
      </c>
    </row>
    <row r="106" spans="1:53" ht="15.75" customHeight="1">
      <c r="A106" s="350">
        <v>1999</v>
      </c>
      <c r="B106" s="350"/>
      <c r="C106" s="350"/>
      <c r="D106" s="350"/>
      <c r="E106" s="350"/>
      <c r="F106" s="350"/>
      <c r="G106" s="350"/>
      <c r="H106" s="350"/>
      <c r="I106" s="350"/>
      <c r="J106" s="350"/>
      <c r="K106" s="350"/>
      <c r="L106" s="350"/>
      <c r="M106" s="350"/>
      <c r="N106" s="350"/>
      <c r="O106" s="350"/>
      <c r="P106" s="350"/>
      <c r="Q106" s="350"/>
      <c r="R106" s="350"/>
      <c r="S106" s="350"/>
      <c r="T106" s="350"/>
      <c r="U106" s="350"/>
      <c r="V106">
        <v>2402.8000000000002</v>
      </c>
      <c r="W106">
        <f t="shared" si="46"/>
        <v>0</v>
      </c>
      <c r="X106">
        <f t="shared" ref="X106:BA106" si="94">IF(AND(X$58-$A106&gt;$V$38,SUM($W106:W106)&lt;&gt;$V106),$V106,0)</f>
        <v>0</v>
      </c>
      <c r="Y106">
        <f t="shared" si="94"/>
        <v>0</v>
      </c>
      <c r="Z106">
        <f t="shared" si="94"/>
        <v>0</v>
      </c>
      <c r="AA106">
        <f t="shared" si="94"/>
        <v>0</v>
      </c>
      <c r="AB106">
        <f t="shared" si="94"/>
        <v>0</v>
      </c>
      <c r="AC106">
        <f t="shared" si="94"/>
        <v>0</v>
      </c>
      <c r="AD106">
        <f t="shared" si="94"/>
        <v>0</v>
      </c>
      <c r="AE106">
        <f t="shared" si="94"/>
        <v>0</v>
      </c>
      <c r="AF106">
        <f t="shared" si="94"/>
        <v>0</v>
      </c>
      <c r="AG106">
        <f t="shared" si="94"/>
        <v>0</v>
      </c>
      <c r="AH106">
        <f t="shared" si="94"/>
        <v>0</v>
      </c>
      <c r="AI106">
        <f t="shared" si="94"/>
        <v>0</v>
      </c>
      <c r="AJ106">
        <f t="shared" si="94"/>
        <v>0</v>
      </c>
      <c r="AK106">
        <f t="shared" si="94"/>
        <v>2402.8000000000002</v>
      </c>
      <c r="AL106">
        <f t="shared" si="94"/>
        <v>0</v>
      </c>
      <c r="AM106">
        <f t="shared" si="94"/>
        <v>0</v>
      </c>
      <c r="AN106">
        <f t="shared" si="94"/>
        <v>0</v>
      </c>
      <c r="AO106">
        <f t="shared" si="94"/>
        <v>0</v>
      </c>
      <c r="AP106">
        <f t="shared" si="94"/>
        <v>0</v>
      </c>
      <c r="AQ106">
        <f t="shared" si="94"/>
        <v>0</v>
      </c>
      <c r="AR106">
        <f t="shared" si="94"/>
        <v>0</v>
      </c>
      <c r="AS106">
        <f t="shared" si="94"/>
        <v>0</v>
      </c>
      <c r="AT106">
        <f t="shared" si="94"/>
        <v>0</v>
      </c>
      <c r="AU106">
        <f t="shared" si="94"/>
        <v>0</v>
      </c>
      <c r="AV106">
        <f t="shared" si="94"/>
        <v>0</v>
      </c>
      <c r="AW106">
        <f t="shared" si="94"/>
        <v>0</v>
      </c>
      <c r="AX106">
        <f t="shared" si="94"/>
        <v>0</v>
      </c>
      <c r="AY106">
        <f t="shared" si="94"/>
        <v>0</v>
      </c>
      <c r="AZ106">
        <f t="shared" si="94"/>
        <v>0</v>
      </c>
      <c r="BA106">
        <f t="shared" si="94"/>
        <v>0</v>
      </c>
    </row>
    <row r="107" spans="1:53" ht="15.75" customHeight="1">
      <c r="A107" s="350">
        <v>2000</v>
      </c>
      <c r="B107" s="350"/>
      <c r="C107" s="350"/>
      <c r="D107" s="350"/>
      <c r="E107" s="350"/>
      <c r="F107" s="350"/>
      <c r="G107" s="350"/>
      <c r="H107" s="350"/>
      <c r="I107" s="350"/>
      <c r="J107" s="350"/>
      <c r="K107" s="350"/>
      <c r="L107" s="350"/>
      <c r="M107" s="350"/>
      <c r="N107" s="350"/>
      <c r="O107" s="350"/>
      <c r="P107" s="350"/>
      <c r="Q107" s="350"/>
      <c r="R107" s="350"/>
      <c r="S107" s="350"/>
      <c r="T107" s="350"/>
      <c r="U107" s="350"/>
      <c r="V107">
        <v>11358.200000000003</v>
      </c>
      <c r="W107">
        <f t="shared" si="46"/>
        <v>0</v>
      </c>
      <c r="X107">
        <f t="shared" ref="X107:BA107" si="95">IF(AND(X$58-$A107&gt;$V$38,SUM($W107:W107)&lt;&gt;$V107),$V107,0)</f>
        <v>0</v>
      </c>
      <c r="Y107">
        <f t="shared" si="95"/>
        <v>0</v>
      </c>
      <c r="Z107">
        <f t="shared" si="95"/>
        <v>0</v>
      </c>
      <c r="AA107">
        <f t="shared" si="95"/>
        <v>0</v>
      </c>
      <c r="AB107">
        <f t="shared" si="95"/>
        <v>0</v>
      </c>
      <c r="AC107">
        <f t="shared" si="95"/>
        <v>0</v>
      </c>
      <c r="AD107">
        <f t="shared" si="95"/>
        <v>0</v>
      </c>
      <c r="AE107">
        <f t="shared" si="95"/>
        <v>0</v>
      </c>
      <c r="AF107">
        <f t="shared" si="95"/>
        <v>0</v>
      </c>
      <c r="AG107">
        <f t="shared" si="95"/>
        <v>0</v>
      </c>
      <c r="AH107">
        <f t="shared" si="95"/>
        <v>0</v>
      </c>
      <c r="AI107">
        <f t="shared" si="95"/>
        <v>0</v>
      </c>
      <c r="AJ107">
        <f t="shared" si="95"/>
        <v>0</v>
      </c>
      <c r="AK107">
        <f t="shared" si="95"/>
        <v>0</v>
      </c>
      <c r="AL107">
        <f t="shared" si="95"/>
        <v>11358.200000000003</v>
      </c>
      <c r="AM107">
        <f t="shared" si="95"/>
        <v>0</v>
      </c>
      <c r="AN107">
        <f t="shared" si="95"/>
        <v>0</v>
      </c>
      <c r="AO107">
        <f t="shared" si="95"/>
        <v>0</v>
      </c>
      <c r="AP107">
        <f t="shared" si="95"/>
        <v>0</v>
      </c>
      <c r="AQ107">
        <f t="shared" si="95"/>
        <v>0</v>
      </c>
      <c r="AR107">
        <f t="shared" si="95"/>
        <v>0</v>
      </c>
      <c r="AS107">
        <f t="shared" si="95"/>
        <v>0</v>
      </c>
      <c r="AT107">
        <f t="shared" si="95"/>
        <v>0</v>
      </c>
      <c r="AU107">
        <f t="shared" si="95"/>
        <v>0</v>
      </c>
      <c r="AV107">
        <f t="shared" si="95"/>
        <v>0</v>
      </c>
      <c r="AW107">
        <f t="shared" si="95"/>
        <v>0</v>
      </c>
      <c r="AX107">
        <f t="shared" si="95"/>
        <v>0</v>
      </c>
      <c r="AY107">
        <f t="shared" si="95"/>
        <v>0</v>
      </c>
      <c r="AZ107">
        <f t="shared" si="95"/>
        <v>0</v>
      </c>
      <c r="BA107">
        <f t="shared" si="95"/>
        <v>0</v>
      </c>
    </row>
    <row r="108" spans="1:53" ht="15.75" customHeight="1">
      <c r="A108" s="350">
        <v>2001</v>
      </c>
      <c r="B108" s="350"/>
      <c r="C108" s="350"/>
      <c r="D108" s="350"/>
      <c r="E108" s="350"/>
      <c r="F108" s="350"/>
      <c r="G108" s="350"/>
      <c r="H108" s="350"/>
      <c r="I108" s="350"/>
      <c r="J108" s="350"/>
      <c r="K108" s="350"/>
      <c r="L108" s="350"/>
      <c r="M108" s="350"/>
      <c r="N108" s="350"/>
      <c r="O108" s="350"/>
      <c r="P108" s="350"/>
      <c r="Q108" s="350"/>
      <c r="R108" s="350"/>
      <c r="S108" s="350"/>
      <c r="T108" s="350"/>
      <c r="U108" s="350"/>
      <c r="V108">
        <v>18580.800000000003</v>
      </c>
      <c r="W108">
        <f t="shared" si="46"/>
        <v>0</v>
      </c>
      <c r="X108">
        <f t="shared" ref="X108:BA108" si="96">IF(AND(X$58-$A108&gt;$V$38,SUM($W108:W108)&lt;&gt;$V108),$V108,0)</f>
        <v>0</v>
      </c>
      <c r="Y108">
        <f t="shared" si="96"/>
        <v>0</v>
      </c>
      <c r="Z108">
        <f t="shared" si="96"/>
        <v>0</v>
      </c>
      <c r="AA108">
        <f t="shared" si="96"/>
        <v>0</v>
      </c>
      <c r="AB108">
        <f t="shared" si="96"/>
        <v>0</v>
      </c>
      <c r="AC108">
        <f t="shared" si="96"/>
        <v>0</v>
      </c>
      <c r="AD108">
        <f t="shared" si="96"/>
        <v>0</v>
      </c>
      <c r="AE108">
        <f t="shared" si="96"/>
        <v>0</v>
      </c>
      <c r="AF108">
        <f t="shared" si="96"/>
        <v>0</v>
      </c>
      <c r="AG108">
        <f t="shared" si="96"/>
        <v>0</v>
      </c>
      <c r="AH108">
        <f t="shared" si="96"/>
        <v>0</v>
      </c>
      <c r="AI108">
        <f t="shared" si="96"/>
        <v>0</v>
      </c>
      <c r="AJ108">
        <f t="shared" si="96"/>
        <v>0</v>
      </c>
      <c r="AK108">
        <f t="shared" si="96"/>
        <v>0</v>
      </c>
      <c r="AL108">
        <f t="shared" si="96"/>
        <v>0</v>
      </c>
      <c r="AM108">
        <f t="shared" si="96"/>
        <v>18580.800000000003</v>
      </c>
      <c r="AN108">
        <f t="shared" si="96"/>
        <v>0</v>
      </c>
      <c r="AO108">
        <f t="shared" si="96"/>
        <v>0</v>
      </c>
      <c r="AP108">
        <f t="shared" si="96"/>
        <v>0</v>
      </c>
      <c r="AQ108">
        <f t="shared" si="96"/>
        <v>0</v>
      </c>
      <c r="AR108">
        <f t="shared" si="96"/>
        <v>0</v>
      </c>
      <c r="AS108">
        <f t="shared" si="96"/>
        <v>0</v>
      </c>
      <c r="AT108">
        <f t="shared" si="96"/>
        <v>0</v>
      </c>
      <c r="AU108">
        <f t="shared" si="96"/>
        <v>0</v>
      </c>
      <c r="AV108">
        <f t="shared" si="96"/>
        <v>0</v>
      </c>
      <c r="AW108">
        <f t="shared" si="96"/>
        <v>0</v>
      </c>
      <c r="AX108">
        <f t="shared" si="96"/>
        <v>0</v>
      </c>
      <c r="AY108">
        <f t="shared" si="96"/>
        <v>0</v>
      </c>
      <c r="AZ108">
        <f t="shared" si="96"/>
        <v>0</v>
      </c>
      <c r="BA108">
        <f t="shared" si="96"/>
        <v>0</v>
      </c>
    </row>
    <row r="109" spans="1:53" ht="15.75" customHeight="1">
      <c r="A109" s="350">
        <v>2002</v>
      </c>
      <c r="B109" s="350"/>
      <c r="C109" s="350"/>
      <c r="D109" s="350"/>
      <c r="E109" s="350"/>
      <c r="F109" s="350"/>
      <c r="G109" s="350"/>
      <c r="H109" s="350"/>
      <c r="I109" s="350"/>
      <c r="J109" s="350"/>
      <c r="K109" s="350"/>
      <c r="L109" s="350"/>
      <c r="M109" s="350"/>
      <c r="N109" s="350"/>
      <c r="O109" s="350"/>
      <c r="P109" s="350"/>
      <c r="Q109" s="350"/>
      <c r="R109" s="350"/>
      <c r="S109" s="350"/>
      <c r="T109" s="350"/>
      <c r="U109" s="350"/>
      <c r="V109">
        <v>39788.099999999977</v>
      </c>
      <c r="W109">
        <f t="shared" si="46"/>
        <v>0</v>
      </c>
      <c r="X109">
        <f t="shared" ref="X109:BA109" si="97">IF(AND(X$58-$A109&gt;$V$38,SUM($W109:W109)&lt;&gt;$V109),$V109,0)</f>
        <v>0</v>
      </c>
      <c r="Y109">
        <f t="shared" si="97"/>
        <v>0</v>
      </c>
      <c r="Z109">
        <f t="shared" si="97"/>
        <v>0</v>
      </c>
      <c r="AA109">
        <f t="shared" si="97"/>
        <v>0</v>
      </c>
      <c r="AB109">
        <f t="shared" si="97"/>
        <v>0</v>
      </c>
      <c r="AC109">
        <f t="shared" si="97"/>
        <v>0</v>
      </c>
      <c r="AD109">
        <f t="shared" si="97"/>
        <v>0</v>
      </c>
      <c r="AE109">
        <f t="shared" si="97"/>
        <v>0</v>
      </c>
      <c r="AF109">
        <f t="shared" si="97"/>
        <v>0</v>
      </c>
      <c r="AG109">
        <f t="shared" si="97"/>
        <v>0</v>
      </c>
      <c r="AH109">
        <f t="shared" si="97"/>
        <v>0</v>
      </c>
      <c r="AI109">
        <f t="shared" si="97"/>
        <v>0</v>
      </c>
      <c r="AJ109">
        <f t="shared" si="97"/>
        <v>0</v>
      </c>
      <c r="AK109">
        <f t="shared" si="97"/>
        <v>0</v>
      </c>
      <c r="AL109">
        <f t="shared" si="97"/>
        <v>0</v>
      </c>
      <c r="AM109">
        <f t="shared" si="97"/>
        <v>0</v>
      </c>
      <c r="AN109">
        <f t="shared" si="97"/>
        <v>39788.099999999977</v>
      </c>
      <c r="AO109">
        <f t="shared" si="97"/>
        <v>0</v>
      </c>
      <c r="AP109">
        <f t="shared" si="97"/>
        <v>0</v>
      </c>
      <c r="AQ109">
        <f t="shared" si="97"/>
        <v>0</v>
      </c>
      <c r="AR109">
        <f t="shared" si="97"/>
        <v>0</v>
      </c>
      <c r="AS109">
        <f t="shared" si="97"/>
        <v>0</v>
      </c>
      <c r="AT109">
        <f t="shared" si="97"/>
        <v>0</v>
      </c>
      <c r="AU109">
        <f t="shared" si="97"/>
        <v>0</v>
      </c>
      <c r="AV109">
        <f t="shared" si="97"/>
        <v>0</v>
      </c>
      <c r="AW109">
        <f t="shared" si="97"/>
        <v>0</v>
      </c>
      <c r="AX109">
        <f t="shared" si="97"/>
        <v>0</v>
      </c>
      <c r="AY109">
        <f t="shared" si="97"/>
        <v>0</v>
      </c>
      <c r="AZ109">
        <f t="shared" si="97"/>
        <v>0</v>
      </c>
      <c r="BA109">
        <f t="shared" si="97"/>
        <v>0</v>
      </c>
    </row>
    <row r="110" spans="1:53" ht="15.75" customHeight="1">
      <c r="A110" s="350">
        <v>2003</v>
      </c>
      <c r="B110" s="350"/>
      <c r="C110" s="350"/>
      <c r="D110" s="350"/>
      <c r="E110" s="350"/>
      <c r="F110" s="350"/>
      <c r="G110" s="350"/>
      <c r="H110" s="350"/>
      <c r="I110" s="350"/>
      <c r="J110" s="350"/>
      <c r="K110" s="350"/>
      <c r="L110" s="350"/>
      <c r="M110" s="350"/>
      <c r="N110" s="350"/>
      <c r="O110" s="350"/>
      <c r="P110" s="350"/>
      <c r="Q110" s="350"/>
      <c r="R110" s="350"/>
      <c r="S110" s="350"/>
      <c r="T110" s="350"/>
      <c r="U110" s="350"/>
      <c r="V110">
        <v>39994.599999999991</v>
      </c>
      <c r="W110">
        <f t="shared" si="46"/>
        <v>0</v>
      </c>
      <c r="X110">
        <f t="shared" ref="X110:BA110" si="98">IF(AND(X$58-$A110&gt;$V$38,SUM($W110:W110)&lt;&gt;$V110),$V110,0)</f>
        <v>0</v>
      </c>
      <c r="Y110">
        <f t="shared" si="98"/>
        <v>0</v>
      </c>
      <c r="Z110">
        <f t="shared" si="98"/>
        <v>0</v>
      </c>
      <c r="AA110">
        <f t="shared" si="98"/>
        <v>0</v>
      </c>
      <c r="AB110">
        <f t="shared" si="98"/>
        <v>0</v>
      </c>
      <c r="AC110">
        <f t="shared" si="98"/>
        <v>0</v>
      </c>
      <c r="AD110">
        <f t="shared" si="98"/>
        <v>0</v>
      </c>
      <c r="AE110">
        <f t="shared" si="98"/>
        <v>0</v>
      </c>
      <c r="AF110">
        <f t="shared" si="98"/>
        <v>0</v>
      </c>
      <c r="AG110">
        <f t="shared" si="98"/>
        <v>0</v>
      </c>
      <c r="AH110">
        <f t="shared" si="98"/>
        <v>0</v>
      </c>
      <c r="AI110">
        <f t="shared" si="98"/>
        <v>0</v>
      </c>
      <c r="AJ110">
        <f t="shared" si="98"/>
        <v>0</v>
      </c>
      <c r="AK110">
        <f t="shared" si="98"/>
        <v>0</v>
      </c>
      <c r="AL110">
        <f t="shared" si="98"/>
        <v>0</v>
      </c>
      <c r="AM110">
        <f t="shared" si="98"/>
        <v>0</v>
      </c>
      <c r="AN110">
        <f t="shared" si="98"/>
        <v>0</v>
      </c>
      <c r="AO110">
        <f t="shared" si="98"/>
        <v>39994.599999999991</v>
      </c>
      <c r="AP110">
        <f t="shared" si="98"/>
        <v>0</v>
      </c>
      <c r="AQ110">
        <f t="shared" si="98"/>
        <v>0</v>
      </c>
      <c r="AR110">
        <f t="shared" si="98"/>
        <v>0</v>
      </c>
      <c r="AS110">
        <f t="shared" si="98"/>
        <v>0</v>
      </c>
      <c r="AT110">
        <f t="shared" si="98"/>
        <v>0</v>
      </c>
      <c r="AU110">
        <f t="shared" si="98"/>
        <v>0</v>
      </c>
      <c r="AV110">
        <f t="shared" si="98"/>
        <v>0</v>
      </c>
      <c r="AW110">
        <f t="shared" si="98"/>
        <v>0</v>
      </c>
      <c r="AX110">
        <f t="shared" si="98"/>
        <v>0</v>
      </c>
      <c r="AY110">
        <f t="shared" si="98"/>
        <v>0</v>
      </c>
      <c r="AZ110">
        <f t="shared" si="98"/>
        <v>0</v>
      </c>
      <c r="BA110">
        <f t="shared" si="98"/>
        <v>0</v>
      </c>
    </row>
    <row r="111" spans="1:53" ht="15.75" customHeight="1">
      <c r="A111" s="350">
        <v>2004</v>
      </c>
      <c r="B111" s="350"/>
      <c r="C111" s="350"/>
      <c r="D111" s="350"/>
      <c r="E111" s="350"/>
      <c r="F111" s="350"/>
      <c r="G111" s="350"/>
      <c r="H111" s="350"/>
      <c r="I111" s="350"/>
      <c r="J111" s="350"/>
      <c r="K111" s="350"/>
      <c r="L111" s="350"/>
      <c r="M111" s="350"/>
      <c r="N111" s="350"/>
      <c r="O111" s="350"/>
      <c r="P111" s="350"/>
      <c r="Q111" s="350"/>
      <c r="R111" s="350"/>
      <c r="S111" s="350"/>
      <c r="T111" s="350"/>
      <c r="U111" s="350"/>
      <c r="V111">
        <v>19738.899999999991</v>
      </c>
      <c r="W111">
        <f t="shared" si="46"/>
        <v>0</v>
      </c>
      <c r="X111">
        <f t="shared" ref="X111:BA111" si="99">IF(AND(X$58-$A111&gt;$V$38,SUM($W111:W111)&lt;&gt;$V111),$V111,0)</f>
        <v>0</v>
      </c>
      <c r="Y111">
        <f t="shared" si="99"/>
        <v>0</v>
      </c>
      <c r="Z111">
        <f t="shared" si="99"/>
        <v>0</v>
      </c>
      <c r="AA111">
        <f t="shared" si="99"/>
        <v>0</v>
      </c>
      <c r="AB111">
        <f t="shared" si="99"/>
        <v>0</v>
      </c>
      <c r="AC111">
        <f t="shared" si="99"/>
        <v>0</v>
      </c>
      <c r="AD111">
        <f t="shared" si="99"/>
        <v>0</v>
      </c>
      <c r="AE111">
        <f t="shared" si="99"/>
        <v>0</v>
      </c>
      <c r="AF111">
        <f t="shared" si="99"/>
        <v>0</v>
      </c>
      <c r="AG111">
        <f t="shared" si="99"/>
        <v>0</v>
      </c>
      <c r="AH111">
        <f t="shared" si="99"/>
        <v>0</v>
      </c>
      <c r="AI111">
        <f t="shared" si="99"/>
        <v>0</v>
      </c>
      <c r="AJ111">
        <f t="shared" si="99"/>
        <v>0</v>
      </c>
      <c r="AK111">
        <f t="shared" si="99"/>
        <v>0</v>
      </c>
      <c r="AL111">
        <f t="shared" si="99"/>
        <v>0</v>
      </c>
      <c r="AM111">
        <f t="shared" si="99"/>
        <v>0</v>
      </c>
      <c r="AN111">
        <f t="shared" si="99"/>
        <v>0</v>
      </c>
      <c r="AO111">
        <f t="shared" si="99"/>
        <v>0</v>
      </c>
      <c r="AP111">
        <f t="shared" si="99"/>
        <v>19738.899999999991</v>
      </c>
      <c r="AQ111">
        <f t="shared" si="99"/>
        <v>0</v>
      </c>
      <c r="AR111">
        <f t="shared" si="99"/>
        <v>0</v>
      </c>
      <c r="AS111">
        <f t="shared" si="99"/>
        <v>0</v>
      </c>
      <c r="AT111">
        <f t="shared" si="99"/>
        <v>0</v>
      </c>
      <c r="AU111">
        <f t="shared" si="99"/>
        <v>0</v>
      </c>
      <c r="AV111">
        <f t="shared" si="99"/>
        <v>0</v>
      </c>
      <c r="AW111">
        <f t="shared" si="99"/>
        <v>0</v>
      </c>
      <c r="AX111">
        <f t="shared" si="99"/>
        <v>0</v>
      </c>
      <c r="AY111">
        <f t="shared" si="99"/>
        <v>0</v>
      </c>
      <c r="AZ111">
        <f t="shared" si="99"/>
        <v>0</v>
      </c>
      <c r="BA111">
        <f t="shared" si="99"/>
        <v>0</v>
      </c>
    </row>
    <row r="112" spans="1:53" ht="15.75" customHeight="1">
      <c r="A112" s="350">
        <v>2005</v>
      </c>
      <c r="B112" s="350"/>
      <c r="C112" s="350"/>
      <c r="D112" s="350"/>
      <c r="E112" s="350"/>
      <c r="F112" s="350"/>
      <c r="G112" s="350"/>
      <c r="H112" s="350"/>
      <c r="I112" s="350"/>
      <c r="J112" s="350"/>
      <c r="K112" s="350"/>
      <c r="L112" s="350"/>
      <c r="M112" s="350"/>
      <c r="N112" s="350"/>
      <c r="O112" s="350"/>
      <c r="P112" s="350"/>
      <c r="Q112" s="350"/>
      <c r="R112" s="350"/>
      <c r="S112" s="350"/>
      <c r="T112" s="350"/>
      <c r="U112" s="350"/>
      <c r="V112">
        <v>13090.500000000005</v>
      </c>
      <c r="W112">
        <f t="shared" si="46"/>
        <v>0</v>
      </c>
      <c r="X112">
        <f t="shared" ref="X112:BA112" si="100">IF(AND(X$58-$A112&gt;$V$38,SUM($W112:W112)&lt;&gt;$V112),$V112,0)</f>
        <v>0</v>
      </c>
      <c r="Y112">
        <f t="shared" si="100"/>
        <v>0</v>
      </c>
      <c r="Z112">
        <f t="shared" si="100"/>
        <v>0</v>
      </c>
      <c r="AA112">
        <f t="shared" si="100"/>
        <v>0</v>
      </c>
      <c r="AB112">
        <f t="shared" si="100"/>
        <v>0</v>
      </c>
      <c r="AC112">
        <f t="shared" si="100"/>
        <v>0</v>
      </c>
      <c r="AD112">
        <f t="shared" si="100"/>
        <v>0</v>
      </c>
      <c r="AE112">
        <f t="shared" si="100"/>
        <v>0</v>
      </c>
      <c r="AF112">
        <f t="shared" si="100"/>
        <v>0</v>
      </c>
      <c r="AG112">
        <f t="shared" si="100"/>
        <v>0</v>
      </c>
      <c r="AH112">
        <f t="shared" si="100"/>
        <v>0</v>
      </c>
      <c r="AI112">
        <f t="shared" si="100"/>
        <v>0</v>
      </c>
      <c r="AJ112">
        <f t="shared" si="100"/>
        <v>0</v>
      </c>
      <c r="AK112">
        <f t="shared" si="100"/>
        <v>0</v>
      </c>
      <c r="AL112">
        <f t="shared" si="100"/>
        <v>0</v>
      </c>
      <c r="AM112">
        <f t="shared" si="100"/>
        <v>0</v>
      </c>
      <c r="AN112">
        <f t="shared" si="100"/>
        <v>0</v>
      </c>
      <c r="AO112">
        <f t="shared" si="100"/>
        <v>0</v>
      </c>
      <c r="AP112">
        <f t="shared" si="100"/>
        <v>0</v>
      </c>
      <c r="AQ112">
        <f t="shared" si="100"/>
        <v>13090.500000000005</v>
      </c>
      <c r="AR112">
        <f t="shared" si="100"/>
        <v>0</v>
      </c>
      <c r="AS112">
        <f t="shared" si="100"/>
        <v>0</v>
      </c>
      <c r="AT112">
        <f t="shared" si="100"/>
        <v>0</v>
      </c>
      <c r="AU112">
        <f t="shared" si="100"/>
        <v>0</v>
      </c>
      <c r="AV112">
        <f t="shared" si="100"/>
        <v>0</v>
      </c>
      <c r="AW112">
        <f t="shared" si="100"/>
        <v>0</v>
      </c>
      <c r="AX112">
        <f t="shared" si="100"/>
        <v>0</v>
      </c>
      <c r="AY112">
        <f t="shared" si="100"/>
        <v>0</v>
      </c>
      <c r="AZ112">
        <f t="shared" si="100"/>
        <v>0</v>
      </c>
      <c r="BA112">
        <f t="shared" si="100"/>
        <v>0</v>
      </c>
    </row>
    <row r="113" spans="1:53" ht="15.75" customHeight="1">
      <c r="A113" s="350">
        <v>2006</v>
      </c>
      <c r="B113" s="350"/>
      <c r="C113" s="350"/>
      <c r="D113" s="350"/>
      <c r="E113" s="350"/>
      <c r="F113" s="350"/>
      <c r="G113" s="350"/>
      <c r="H113" s="350"/>
      <c r="I113" s="350"/>
      <c r="J113" s="350"/>
      <c r="K113" s="350"/>
      <c r="L113" s="350"/>
      <c r="M113" s="350"/>
      <c r="N113" s="350"/>
      <c r="O113" s="350"/>
      <c r="P113" s="350"/>
      <c r="Q113" s="350"/>
      <c r="R113" s="350"/>
      <c r="S113" s="350"/>
      <c r="T113" s="350"/>
      <c r="U113" s="350"/>
      <c r="V113">
        <v>7573.3</v>
      </c>
      <c r="W113">
        <f t="shared" si="46"/>
        <v>0</v>
      </c>
      <c r="X113">
        <f t="shared" ref="X113:BA113" si="101">IF(AND(X$58-$A113&gt;$V$38,SUM($W113:W113)&lt;&gt;$V113),$V113,0)</f>
        <v>0</v>
      </c>
      <c r="Y113">
        <f t="shared" si="101"/>
        <v>0</v>
      </c>
      <c r="Z113">
        <f t="shared" si="101"/>
        <v>0</v>
      </c>
      <c r="AA113">
        <f t="shared" si="101"/>
        <v>0</v>
      </c>
      <c r="AB113">
        <f t="shared" si="101"/>
        <v>0</v>
      </c>
      <c r="AC113">
        <f t="shared" si="101"/>
        <v>0</v>
      </c>
      <c r="AD113">
        <f t="shared" si="101"/>
        <v>0</v>
      </c>
      <c r="AE113">
        <f t="shared" si="101"/>
        <v>0</v>
      </c>
      <c r="AF113">
        <f t="shared" si="101"/>
        <v>0</v>
      </c>
      <c r="AG113">
        <f t="shared" si="101"/>
        <v>0</v>
      </c>
      <c r="AH113">
        <f t="shared" si="101"/>
        <v>0</v>
      </c>
      <c r="AI113">
        <f t="shared" si="101"/>
        <v>0</v>
      </c>
      <c r="AJ113">
        <f t="shared" si="101"/>
        <v>0</v>
      </c>
      <c r="AK113">
        <f t="shared" si="101"/>
        <v>0</v>
      </c>
      <c r="AL113">
        <f t="shared" si="101"/>
        <v>0</v>
      </c>
      <c r="AM113">
        <f t="shared" si="101"/>
        <v>0</v>
      </c>
      <c r="AN113">
        <f t="shared" si="101"/>
        <v>0</v>
      </c>
      <c r="AO113">
        <f t="shared" si="101"/>
        <v>0</v>
      </c>
      <c r="AP113">
        <f t="shared" si="101"/>
        <v>0</v>
      </c>
      <c r="AQ113">
        <f t="shared" si="101"/>
        <v>0</v>
      </c>
      <c r="AR113">
        <f t="shared" si="101"/>
        <v>7573.3</v>
      </c>
      <c r="AS113">
        <f t="shared" si="101"/>
        <v>0</v>
      </c>
      <c r="AT113">
        <f t="shared" si="101"/>
        <v>0</v>
      </c>
      <c r="AU113">
        <f t="shared" si="101"/>
        <v>0</v>
      </c>
      <c r="AV113">
        <f t="shared" si="101"/>
        <v>0</v>
      </c>
      <c r="AW113">
        <f t="shared" si="101"/>
        <v>0</v>
      </c>
      <c r="AX113">
        <f t="shared" si="101"/>
        <v>0</v>
      </c>
      <c r="AY113">
        <f t="shared" si="101"/>
        <v>0</v>
      </c>
      <c r="AZ113">
        <f t="shared" si="101"/>
        <v>0</v>
      </c>
      <c r="BA113">
        <f t="shared" si="101"/>
        <v>0</v>
      </c>
    </row>
    <row r="114" spans="1:53" ht="15.75" customHeight="1">
      <c r="A114" s="350">
        <v>2007</v>
      </c>
      <c r="B114" s="350"/>
      <c r="C114" s="350"/>
      <c r="D114" s="350"/>
      <c r="E114" s="350"/>
      <c r="F114" s="350"/>
      <c r="G114" s="350"/>
      <c r="H114" s="350"/>
      <c r="I114" s="350"/>
      <c r="J114" s="350"/>
      <c r="K114" s="350"/>
      <c r="L114" s="350"/>
      <c r="M114" s="350"/>
      <c r="N114" s="350"/>
      <c r="O114" s="350"/>
      <c r="P114" s="350"/>
      <c r="Q114" s="350"/>
      <c r="R114" s="350"/>
      <c r="S114" s="350"/>
      <c r="T114" s="350"/>
      <c r="U114" s="350"/>
      <c r="V114">
        <v>4913.2999999999993</v>
      </c>
      <c r="W114">
        <f t="shared" si="46"/>
        <v>0</v>
      </c>
      <c r="X114">
        <f t="shared" ref="X114:BA114" si="102">IF(AND(X$58-$A114&gt;$V$38,SUM($W114:W114)&lt;&gt;$V114),$V114,0)</f>
        <v>0</v>
      </c>
      <c r="Y114">
        <f t="shared" si="102"/>
        <v>0</v>
      </c>
      <c r="Z114">
        <f t="shared" si="102"/>
        <v>0</v>
      </c>
      <c r="AA114">
        <f t="shared" si="102"/>
        <v>0</v>
      </c>
      <c r="AB114">
        <f t="shared" si="102"/>
        <v>0</v>
      </c>
      <c r="AC114">
        <f t="shared" si="102"/>
        <v>0</v>
      </c>
      <c r="AD114">
        <f t="shared" si="102"/>
        <v>0</v>
      </c>
      <c r="AE114">
        <f t="shared" si="102"/>
        <v>0</v>
      </c>
      <c r="AF114">
        <f t="shared" si="102"/>
        <v>0</v>
      </c>
      <c r="AG114">
        <f t="shared" si="102"/>
        <v>0</v>
      </c>
      <c r="AH114">
        <f t="shared" si="102"/>
        <v>0</v>
      </c>
      <c r="AI114">
        <f t="shared" si="102"/>
        <v>0</v>
      </c>
      <c r="AJ114">
        <f t="shared" si="102"/>
        <v>0</v>
      </c>
      <c r="AK114">
        <f t="shared" si="102"/>
        <v>0</v>
      </c>
      <c r="AL114">
        <f t="shared" si="102"/>
        <v>0</v>
      </c>
      <c r="AM114">
        <f t="shared" si="102"/>
        <v>0</v>
      </c>
      <c r="AN114">
        <f t="shared" si="102"/>
        <v>0</v>
      </c>
      <c r="AO114">
        <f t="shared" si="102"/>
        <v>0</v>
      </c>
      <c r="AP114">
        <f t="shared" si="102"/>
        <v>0</v>
      </c>
      <c r="AQ114">
        <f t="shared" si="102"/>
        <v>0</v>
      </c>
      <c r="AR114">
        <f t="shared" si="102"/>
        <v>0</v>
      </c>
      <c r="AS114">
        <f t="shared" si="102"/>
        <v>4913.2999999999993</v>
      </c>
      <c r="AT114">
        <f t="shared" si="102"/>
        <v>0</v>
      </c>
      <c r="AU114">
        <f t="shared" si="102"/>
        <v>0</v>
      </c>
      <c r="AV114">
        <f t="shared" si="102"/>
        <v>0</v>
      </c>
      <c r="AW114">
        <f t="shared" si="102"/>
        <v>0</v>
      </c>
      <c r="AX114">
        <f t="shared" si="102"/>
        <v>0</v>
      </c>
      <c r="AY114">
        <f t="shared" si="102"/>
        <v>0</v>
      </c>
      <c r="AZ114">
        <f t="shared" si="102"/>
        <v>0</v>
      </c>
      <c r="BA114">
        <f t="shared" si="102"/>
        <v>0</v>
      </c>
    </row>
    <row r="115" spans="1:53" ht="15.75" customHeight="1">
      <c r="A115" s="350">
        <v>2008</v>
      </c>
      <c r="B115" s="350"/>
      <c r="C115" s="350"/>
      <c r="D115" s="350"/>
      <c r="E115" s="350"/>
      <c r="F115" s="350"/>
      <c r="G115" s="350"/>
      <c r="H115" s="350"/>
      <c r="I115" s="350"/>
      <c r="J115" s="350"/>
      <c r="K115" s="350"/>
      <c r="L115" s="350"/>
      <c r="M115" s="350"/>
      <c r="N115" s="350"/>
      <c r="O115" s="350"/>
      <c r="P115" s="350"/>
      <c r="Q115" s="350"/>
      <c r="R115" s="350"/>
      <c r="S115" s="350"/>
      <c r="T115" s="350"/>
      <c r="U115" s="350"/>
      <c r="V115">
        <v>4521.8999999999996</v>
      </c>
      <c r="W115">
        <f t="shared" si="46"/>
        <v>0</v>
      </c>
      <c r="X115">
        <f t="shared" ref="X115:BA115" si="103">IF(AND(X$58-$A115&gt;$V$38,SUM($W115:W115)&lt;&gt;$V115),$V115,0)</f>
        <v>0</v>
      </c>
      <c r="Y115">
        <f t="shared" si="103"/>
        <v>0</v>
      </c>
      <c r="Z115">
        <f t="shared" si="103"/>
        <v>0</v>
      </c>
      <c r="AA115">
        <f t="shared" si="103"/>
        <v>0</v>
      </c>
      <c r="AB115">
        <f t="shared" si="103"/>
        <v>0</v>
      </c>
      <c r="AC115">
        <f t="shared" si="103"/>
        <v>0</v>
      </c>
      <c r="AD115">
        <f t="shared" si="103"/>
        <v>0</v>
      </c>
      <c r="AE115">
        <f t="shared" si="103"/>
        <v>0</v>
      </c>
      <c r="AF115">
        <f t="shared" si="103"/>
        <v>0</v>
      </c>
      <c r="AG115">
        <f t="shared" si="103"/>
        <v>0</v>
      </c>
      <c r="AH115">
        <f t="shared" si="103"/>
        <v>0</v>
      </c>
      <c r="AI115">
        <f t="shared" si="103"/>
        <v>0</v>
      </c>
      <c r="AJ115">
        <f t="shared" si="103"/>
        <v>0</v>
      </c>
      <c r="AK115">
        <f t="shared" si="103"/>
        <v>0</v>
      </c>
      <c r="AL115">
        <f t="shared" si="103"/>
        <v>0</v>
      </c>
      <c r="AM115">
        <f t="shared" si="103"/>
        <v>0</v>
      </c>
      <c r="AN115">
        <f t="shared" si="103"/>
        <v>0</v>
      </c>
      <c r="AO115">
        <f t="shared" si="103"/>
        <v>0</v>
      </c>
      <c r="AP115">
        <f t="shared" si="103"/>
        <v>0</v>
      </c>
      <c r="AQ115">
        <f t="shared" si="103"/>
        <v>0</v>
      </c>
      <c r="AR115">
        <f t="shared" si="103"/>
        <v>0</v>
      </c>
      <c r="AS115">
        <f t="shared" si="103"/>
        <v>0</v>
      </c>
      <c r="AT115">
        <f t="shared" si="103"/>
        <v>4521.8999999999996</v>
      </c>
      <c r="AU115">
        <f t="shared" si="103"/>
        <v>0</v>
      </c>
      <c r="AV115">
        <f t="shared" si="103"/>
        <v>0</v>
      </c>
      <c r="AW115">
        <f t="shared" si="103"/>
        <v>0</v>
      </c>
      <c r="AX115">
        <f t="shared" si="103"/>
        <v>0</v>
      </c>
      <c r="AY115">
        <f t="shared" si="103"/>
        <v>0</v>
      </c>
      <c r="AZ115">
        <f t="shared" si="103"/>
        <v>0</v>
      </c>
      <c r="BA115">
        <f t="shared" si="103"/>
        <v>0</v>
      </c>
    </row>
    <row r="116" spans="1:53" ht="15.75" customHeight="1">
      <c r="A116" s="350">
        <v>2009</v>
      </c>
      <c r="B116" s="350"/>
      <c r="C116" s="350"/>
      <c r="D116" s="350"/>
      <c r="E116" s="350"/>
      <c r="F116" s="350"/>
      <c r="G116" s="350"/>
      <c r="H116" s="350"/>
      <c r="I116" s="350"/>
      <c r="J116" s="350"/>
      <c r="K116" s="350"/>
      <c r="L116" s="350"/>
      <c r="M116" s="350"/>
      <c r="N116" s="350"/>
      <c r="O116" s="350"/>
      <c r="P116" s="350"/>
      <c r="Q116" s="350"/>
      <c r="R116" s="350"/>
      <c r="S116" s="350"/>
      <c r="T116" s="350"/>
      <c r="U116" s="350"/>
      <c r="V116">
        <v>6676.4000000000005</v>
      </c>
      <c r="W116">
        <f t="shared" si="46"/>
        <v>0</v>
      </c>
      <c r="X116">
        <f t="shared" ref="X116:BA116" si="104">IF(AND(X$58-$A116&gt;$V$38,SUM($W116:W116)&lt;&gt;$V116),$V116,0)</f>
        <v>0</v>
      </c>
      <c r="Y116">
        <f t="shared" si="104"/>
        <v>0</v>
      </c>
      <c r="Z116">
        <f t="shared" si="104"/>
        <v>0</v>
      </c>
      <c r="AA116">
        <f t="shared" si="104"/>
        <v>0</v>
      </c>
      <c r="AB116">
        <f t="shared" si="104"/>
        <v>0</v>
      </c>
      <c r="AC116">
        <f t="shared" si="104"/>
        <v>0</v>
      </c>
      <c r="AD116">
        <f t="shared" si="104"/>
        <v>0</v>
      </c>
      <c r="AE116">
        <f t="shared" si="104"/>
        <v>0</v>
      </c>
      <c r="AF116">
        <f t="shared" si="104"/>
        <v>0</v>
      </c>
      <c r="AG116">
        <f t="shared" si="104"/>
        <v>0</v>
      </c>
      <c r="AH116">
        <f t="shared" si="104"/>
        <v>0</v>
      </c>
      <c r="AI116">
        <f t="shared" si="104"/>
        <v>0</v>
      </c>
      <c r="AJ116">
        <f t="shared" si="104"/>
        <v>0</v>
      </c>
      <c r="AK116">
        <f t="shared" si="104"/>
        <v>0</v>
      </c>
      <c r="AL116">
        <f t="shared" si="104"/>
        <v>0</v>
      </c>
      <c r="AM116">
        <f t="shared" si="104"/>
        <v>0</v>
      </c>
      <c r="AN116">
        <f t="shared" si="104"/>
        <v>0</v>
      </c>
      <c r="AO116">
        <f t="shared" si="104"/>
        <v>0</v>
      </c>
      <c r="AP116">
        <f t="shared" si="104"/>
        <v>0</v>
      </c>
      <c r="AQ116">
        <f t="shared" si="104"/>
        <v>0</v>
      </c>
      <c r="AR116">
        <f t="shared" si="104"/>
        <v>0</v>
      </c>
      <c r="AS116">
        <f t="shared" si="104"/>
        <v>0</v>
      </c>
      <c r="AT116">
        <f t="shared" si="104"/>
        <v>0</v>
      </c>
      <c r="AU116">
        <f t="shared" si="104"/>
        <v>6676.4000000000005</v>
      </c>
      <c r="AV116">
        <f t="shared" si="104"/>
        <v>0</v>
      </c>
      <c r="AW116">
        <f t="shared" si="104"/>
        <v>0</v>
      </c>
      <c r="AX116">
        <f t="shared" si="104"/>
        <v>0</v>
      </c>
      <c r="AY116">
        <f t="shared" si="104"/>
        <v>0</v>
      </c>
      <c r="AZ116">
        <f t="shared" si="104"/>
        <v>0</v>
      </c>
      <c r="BA116">
        <f t="shared" si="104"/>
        <v>0</v>
      </c>
    </row>
    <row r="117" spans="1:53" ht="15.75" customHeight="1">
      <c r="A117" s="350">
        <v>2010</v>
      </c>
      <c r="B117" s="350"/>
      <c r="C117" s="350"/>
      <c r="D117" s="350"/>
      <c r="E117" s="350"/>
      <c r="F117" s="350"/>
      <c r="G117" s="350"/>
      <c r="H117" s="350"/>
      <c r="I117" s="350"/>
      <c r="J117" s="350"/>
      <c r="K117" s="350"/>
      <c r="L117" s="350"/>
      <c r="M117" s="350"/>
      <c r="N117" s="350"/>
      <c r="O117" s="350"/>
      <c r="P117" s="350"/>
      <c r="Q117" s="350"/>
      <c r="R117" s="350"/>
      <c r="S117" s="350"/>
      <c r="T117" s="350"/>
      <c r="U117" s="350"/>
      <c r="V117">
        <v>4189.3999999999996</v>
      </c>
      <c r="W117">
        <f t="shared" si="46"/>
        <v>0</v>
      </c>
      <c r="X117">
        <f t="shared" ref="X117:BA117" si="105">IF(AND(X$58-$A117&gt;$V$38,SUM($W117:W117)&lt;&gt;$V117),$V117,0)</f>
        <v>0</v>
      </c>
      <c r="Y117">
        <f t="shared" si="105"/>
        <v>0</v>
      </c>
      <c r="Z117">
        <f t="shared" si="105"/>
        <v>0</v>
      </c>
      <c r="AA117">
        <f t="shared" si="105"/>
        <v>0</v>
      </c>
      <c r="AB117">
        <f t="shared" si="105"/>
        <v>0</v>
      </c>
      <c r="AC117">
        <f t="shared" si="105"/>
        <v>0</v>
      </c>
      <c r="AD117">
        <f t="shared" si="105"/>
        <v>0</v>
      </c>
      <c r="AE117">
        <f t="shared" si="105"/>
        <v>0</v>
      </c>
      <c r="AF117">
        <f t="shared" si="105"/>
        <v>0</v>
      </c>
      <c r="AG117">
        <f t="shared" si="105"/>
        <v>0</v>
      </c>
      <c r="AH117">
        <f t="shared" si="105"/>
        <v>0</v>
      </c>
      <c r="AI117">
        <f t="shared" si="105"/>
        <v>0</v>
      </c>
      <c r="AJ117">
        <f t="shared" si="105"/>
        <v>0</v>
      </c>
      <c r="AK117">
        <f t="shared" si="105"/>
        <v>0</v>
      </c>
      <c r="AL117">
        <f t="shared" si="105"/>
        <v>0</v>
      </c>
      <c r="AM117">
        <f t="shared" si="105"/>
        <v>0</v>
      </c>
      <c r="AN117">
        <f t="shared" si="105"/>
        <v>0</v>
      </c>
      <c r="AO117">
        <f t="shared" si="105"/>
        <v>0</v>
      </c>
      <c r="AP117">
        <f t="shared" si="105"/>
        <v>0</v>
      </c>
      <c r="AQ117">
        <f t="shared" si="105"/>
        <v>0</v>
      </c>
      <c r="AR117">
        <f t="shared" si="105"/>
        <v>0</v>
      </c>
      <c r="AS117">
        <f t="shared" si="105"/>
        <v>0</v>
      </c>
      <c r="AT117">
        <f t="shared" si="105"/>
        <v>0</v>
      </c>
      <c r="AU117">
        <f t="shared" si="105"/>
        <v>0</v>
      </c>
      <c r="AV117">
        <f t="shared" si="105"/>
        <v>4189.3999999999996</v>
      </c>
      <c r="AW117">
        <f t="shared" si="105"/>
        <v>0</v>
      </c>
      <c r="AX117">
        <f t="shared" si="105"/>
        <v>0</v>
      </c>
      <c r="AY117">
        <f t="shared" si="105"/>
        <v>0</v>
      </c>
      <c r="AZ117">
        <f t="shared" si="105"/>
        <v>0</v>
      </c>
      <c r="BA117">
        <f t="shared" si="105"/>
        <v>0</v>
      </c>
    </row>
    <row r="118" spans="1:53" ht="15.75" customHeight="1">
      <c r="A118" s="350">
        <v>2011</v>
      </c>
      <c r="B118" s="350"/>
      <c r="C118" s="350"/>
      <c r="D118" s="350"/>
      <c r="E118" s="350"/>
      <c r="F118" s="350"/>
      <c r="G118" s="350"/>
      <c r="H118" s="350"/>
      <c r="I118" s="350"/>
      <c r="J118" s="350"/>
      <c r="K118" s="350"/>
      <c r="L118" s="350"/>
      <c r="M118" s="350"/>
      <c r="N118" s="350"/>
      <c r="O118" s="350"/>
      <c r="P118" s="350"/>
      <c r="Q118" s="350"/>
      <c r="R118" s="350"/>
      <c r="S118" s="350"/>
      <c r="T118" s="350"/>
      <c r="U118" s="350"/>
      <c r="V118">
        <v>7946.4000000000015</v>
      </c>
      <c r="W118">
        <f t="shared" si="46"/>
        <v>0</v>
      </c>
      <c r="X118">
        <f t="shared" ref="X118:BA118" si="106">IF(AND(X$58-$A118&gt;$V$38,SUM($W118:W118)&lt;&gt;$V118),$V118,0)</f>
        <v>0</v>
      </c>
      <c r="Y118">
        <f t="shared" si="106"/>
        <v>0</v>
      </c>
      <c r="Z118">
        <f t="shared" si="106"/>
        <v>0</v>
      </c>
      <c r="AA118">
        <f t="shared" si="106"/>
        <v>0</v>
      </c>
      <c r="AB118">
        <f t="shared" si="106"/>
        <v>0</v>
      </c>
      <c r="AC118">
        <f t="shared" si="106"/>
        <v>0</v>
      </c>
      <c r="AD118">
        <f t="shared" si="106"/>
        <v>0</v>
      </c>
      <c r="AE118">
        <f t="shared" si="106"/>
        <v>0</v>
      </c>
      <c r="AF118">
        <f t="shared" si="106"/>
        <v>0</v>
      </c>
      <c r="AG118">
        <f t="shared" si="106"/>
        <v>0</v>
      </c>
      <c r="AH118">
        <f t="shared" si="106"/>
        <v>0</v>
      </c>
      <c r="AI118">
        <f t="shared" si="106"/>
        <v>0</v>
      </c>
      <c r="AJ118">
        <f t="shared" si="106"/>
        <v>0</v>
      </c>
      <c r="AK118">
        <f t="shared" si="106"/>
        <v>0</v>
      </c>
      <c r="AL118">
        <f t="shared" si="106"/>
        <v>0</v>
      </c>
      <c r="AM118">
        <f t="shared" si="106"/>
        <v>0</v>
      </c>
      <c r="AN118">
        <f t="shared" si="106"/>
        <v>0</v>
      </c>
      <c r="AO118">
        <f t="shared" si="106"/>
        <v>0</v>
      </c>
      <c r="AP118">
        <f t="shared" si="106"/>
        <v>0</v>
      </c>
      <c r="AQ118">
        <f t="shared" si="106"/>
        <v>0</v>
      </c>
      <c r="AR118">
        <f t="shared" si="106"/>
        <v>0</v>
      </c>
      <c r="AS118">
        <f t="shared" si="106"/>
        <v>0</v>
      </c>
      <c r="AT118">
        <f t="shared" si="106"/>
        <v>0</v>
      </c>
      <c r="AU118">
        <f t="shared" si="106"/>
        <v>0</v>
      </c>
      <c r="AV118">
        <f t="shared" si="106"/>
        <v>0</v>
      </c>
      <c r="AW118">
        <f t="shared" si="106"/>
        <v>7946.4000000000015</v>
      </c>
      <c r="AX118">
        <f t="shared" si="106"/>
        <v>0</v>
      </c>
      <c r="AY118">
        <f t="shared" si="106"/>
        <v>0</v>
      </c>
      <c r="AZ118">
        <f t="shared" si="106"/>
        <v>0</v>
      </c>
      <c r="BA118">
        <f t="shared" si="106"/>
        <v>0</v>
      </c>
    </row>
    <row r="119" spans="1:53" ht="15.75" customHeight="1">
      <c r="A119" s="350">
        <v>2012</v>
      </c>
      <c r="B119" s="350"/>
      <c r="C119" s="350"/>
      <c r="D119" s="350"/>
      <c r="E119" s="350"/>
      <c r="F119" s="350"/>
      <c r="G119" s="350"/>
      <c r="H119" s="350"/>
      <c r="I119" s="350"/>
      <c r="J119" s="350"/>
      <c r="K119" s="350"/>
      <c r="L119" s="350"/>
      <c r="M119" s="350"/>
      <c r="N119" s="350"/>
      <c r="O119" s="350"/>
      <c r="P119" s="350"/>
      <c r="Q119" s="350"/>
      <c r="R119" s="350"/>
      <c r="S119" s="350"/>
      <c r="T119" s="350"/>
      <c r="U119" s="350"/>
      <c r="V119">
        <v>6806.3000000000011</v>
      </c>
      <c r="W119">
        <f t="shared" si="46"/>
        <v>0</v>
      </c>
      <c r="X119">
        <f t="shared" ref="X119:BA119" si="107">IF(AND(X$58-$A119&gt;$V$38,SUM($W119:W119)&lt;&gt;$V119),$V119,0)</f>
        <v>0</v>
      </c>
      <c r="Y119">
        <f t="shared" si="107"/>
        <v>0</v>
      </c>
      <c r="Z119">
        <f t="shared" si="107"/>
        <v>0</v>
      </c>
      <c r="AA119">
        <f t="shared" si="107"/>
        <v>0</v>
      </c>
      <c r="AB119">
        <f t="shared" si="107"/>
        <v>0</v>
      </c>
      <c r="AC119">
        <f t="shared" si="107"/>
        <v>0</v>
      </c>
      <c r="AD119">
        <f t="shared" si="107"/>
        <v>0</v>
      </c>
      <c r="AE119">
        <f t="shared" si="107"/>
        <v>0</v>
      </c>
      <c r="AF119">
        <f t="shared" si="107"/>
        <v>0</v>
      </c>
      <c r="AG119">
        <f t="shared" si="107"/>
        <v>0</v>
      </c>
      <c r="AH119">
        <f t="shared" si="107"/>
        <v>0</v>
      </c>
      <c r="AI119">
        <f t="shared" si="107"/>
        <v>0</v>
      </c>
      <c r="AJ119">
        <f t="shared" si="107"/>
        <v>0</v>
      </c>
      <c r="AK119">
        <f t="shared" si="107"/>
        <v>0</v>
      </c>
      <c r="AL119">
        <f t="shared" si="107"/>
        <v>0</v>
      </c>
      <c r="AM119">
        <f t="shared" si="107"/>
        <v>0</v>
      </c>
      <c r="AN119">
        <f t="shared" si="107"/>
        <v>0</v>
      </c>
      <c r="AO119">
        <f t="shared" si="107"/>
        <v>0</v>
      </c>
      <c r="AP119">
        <f t="shared" si="107"/>
        <v>0</v>
      </c>
      <c r="AQ119">
        <f t="shared" si="107"/>
        <v>0</v>
      </c>
      <c r="AR119">
        <f t="shared" si="107"/>
        <v>0</v>
      </c>
      <c r="AS119">
        <f t="shared" si="107"/>
        <v>0</v>
      </c>
      <c r="AT119">
        <f t="shared" si="107"/>
        <v>0</v>
      </c>
      <c r="AU119">
        <f t="shared" si="107"/>
        <v>0</v>
      </c>
      <c r="AV119">
        <f t="shared" si="107"/>
        <v>0</v>
      </c>
      <c r="AW119">
        <f t="shared" si="107"/>
        <v>0</v>
      </c>
      <c r="AX119">
        <f t="shared" si="107"/>
        <v>6806.3000000000011</v>
      </c>
      <c r="AY119">
        <f t="shared" si="107"/>
        <v>0</v>
      </c>
      <c r="AZ119">
        <f t="shared" si="107"/>
        <v>0</v>
      </c>
      <c r="BA119">
        <f t="shared" si="107"/>
        <v>0</v>
      </c>
    </row>
    <row r="120" spans="1:53" ht="15.75" customHeight="1">
      <c r="A120" s="350">
        <v>2013</v>
      </c>
      <c r="B120" s="350"/>
      <c r="C120" s="350"/>
      <c r="D120" s="350"/>
      <c r="E120" s="350"/>
      <c r="F120" s="350"/>
      <c r="G120" s="350"/>
      <c r="H120" s="350"/>
      <c r="I120" s="350"/>
      <c r="J120" s="350"/>
      <c r="K120" s="350"/>
      <c r="L120" s="350"/>
      <c r="M120" s="350"/>
      <c r="N120" s="350"/>
      <c r="O120" s="350"/>
      <c r="P120" s="350"/>
      <c r="Q120" s="350"/>
      <c r="R120" s="350"/>
      <c r="S120" s="350"/>
      <c r="T120" s="350"/>
      <c r="U120" s="350"/>
      <c r="V120">
        <v>3983.8999999999996</v>
      </c>
      <c r="W120">
        <f t="shared" si="46"/>
        <v>0</v>
      </c>
      <c r="X120">
        <f t="shared" ref="X120:BA120" si="108">IF(AND(X$58-$A120&gt;$V$38,SUM($W120:W120)&lt;&gt;$V120),$V120,0)</f>
        <v>0</v>
      </c>
      <c r="Y120">
        <f t="shared" si="108"/>
        <v>0</v>
      </c>
      <c r="Z120">
        <f t="shared" si="108"/>
        <v>0</v>
      </c>
      <c r="AA120">
        <f t="shared" si="108"/>
        <v>0</v>
      </c>
      <c r="AB120">
        <f t="shared" si="108"/>
        <v>0</v>
      </c>
      <c r="AC120">
        <f t="shared" si="108"/>
        <v>0</v>
      </c>
      <c r="AD120">
        <f t="shared" si="108"/>
        <v>0</v>
      </c>
      <c r="AE120">
        <f t="shared" si="108"/>
        <v>0</v>
      </c>
      <c r="AF120">
        <f t="shared" si="108"/>
        <v>0</v>
      </c>
      <c r="AG120">
        <f t="shared" si="108"/>
        <v>0</v>
      </c>
      <c r="AH120">
        <f t="shared" si="108"/>
        <v>0</v>
      </c>
      <c r="AI120">
        <f t="shared" si="108"/>
        <v>0</v>
      </c>
      <c r="AJ120">
        <f t="shared" si="108"/>
        <v>0</v>
      </c>
      <c r="AK120">
        <f t="shared" si="108"/>
        <v>0</v>
      </c>
      <c r="AL120">
        <f t="shared" si="108"/>
        <v>0</v>
      </c>
      <c r="AM120">
        <f t="shared" si="108"/>
        <v>0</v>
      </c>
      <c r="AN120">
        <f t="shared" si="108"/>
        <v>0</v>
      </c>
      <c r="AO120">
        <f t="shared" si="108"/>
        <v>0</v>
      </c>
      <c r="AP120">
        <f t="shared" si="108"/>
        <v>0</v>
      </c>
      <c r="AQ120">
        <f t="shared" si="108"/>
        <v>0</v>
      </c>
      <c r="AR120">
        <f t="shared" si="108"/>
        <v>0</v>
      </c>
      <c r="AS120">
        <f t="shared" si="108"/>
        <v>0</v>
      </c>
      <c r="AT120">
        <f t="shared" si="108"/>
        <v>0</v>
      </c>
      <c r="AU120">
        <f t="shared" si="108"/>
        <v>0</v>
      </c>
      <c r="AV120">
        <f t="shared" si="108"/>
        <v>0</v>
      </c>
      <c r="AW120">
        <f t="shared" si="108"/>
        <v>0</v>
      </c>
      <c r="AX120">
        <f t="shared" si="108"/>
        <v>0</v>
      </c>
      <c r="AY120">
        <f t="shared" si="108"/>
        <v>3983.8999999999996</v>
      </c>
      <c r="AZ120">
        <f t="shared" si="108"/>
        <v>0</v>
      </c>
      <c r="BA120">
        <f t="shared" si="108"/>
        <v>0</v>
      </c>
    </row>
    <row r="121" spans="1:53" ht="15.75" customHeight="1">
      <c r="A121" s="350">
        <v>2014</v>
      </c>
      <c r="B121" s="350"/>
      <c r="C121" s="350"/>
      <c r="D121" s="350"/>
      <c r="E121" s="350"/>
      <c r="F121" s="350"/>
      <c r="G121" s="350"/>
      <c r="H121" s="350"/>
      <c r="I121" s="350"/>
      <c r="J121" s="350"/>
      <c r="K121" s="350"/>
      <c r="L121" s="350"/>
      <c r="M121" s="350"/>
      <c r="N121" s="350"/>
      <c r="O121" s="350"/>
      <c r="P121" s="350"/>
      <c r="Q121" s="350"/>
      <c r="R121" s="350"/>
      <c r="S121" s="350"/>
      <c r="T121" s="350"/>
      <c r="U121" s="350"/>
      <c r="V121">
        <v>9484.1000000000022</v>
      </c>
      <c r="W121">
        <f t="shared" si="46"/>
        <v>0</v>
      </c>
      <c r="X121">
        <f t="shared" ref="X121:BA121" si="109">IF(AND(X$58-$A121&gt;$V$38,SUM($W121:W121)&lt;&gt;$V121),$V121,0)</f>
        <v>0</v>
      </c>
      <c r="Y121">
        <f t="shared" si="109"/>
        <v>0</v>
      </c>
      <c r="Z121">
        <f t="shared" si="109"/>
        <v>0</v>
      </c>
      <c r="AA121">
        <f t="shared" si="109"/>
        <v>0</v>
      </c>
      <c r="AB121">
        <f t="shared" si="109"/>
        <v>0</v>
      </c>
      <c r="AC121">
        <f t="shared" si="109"/>
        <v>0</v>
      </c>
      <c r="AD121">
        <f t="shared" si="109"/>
        <v>0</v>
      </c>
      <c r="AE121">
        <f t="shared" si="109"/>
        <v>0</v>
      </c>
      <c r="AF121">
        <f t="shared" si="109"/>
        <v>0</v>
      </c>
      <c r="AG121">
        <f t="shared" si="109"/>
        <v>0</v>
      </c>
      <c r="AH121">
        <f t="shared" si="109"/>
        <v>0</v>
      </c>
      <c r="AI121">
        <f t="shared" si="109"/>
        <v>0</v>
      </c>
      <c r="AJ121">
        <f t="shared" si="109"/>
        <v>0</v>
      </c>
      <c r="AK121">
        <f t="shared" si="109"/>
        <v>0</v>
      </c>
      <c r="AL121">
        <f t="shared" si="109"/>
        <v>0</v>
      </c>
      <c r="AM121">
        <f t="shared" si="109"/>
        <v>0</v>
      </c>
      <c r="AN121">
        <f t="shared" si="109"/>
        <v>0</v>
      </c>
      <c r="AO121">
        <f t="shared" si="109"/>
        <v>0</v>
      </c>
      <c r="AP121">
        <f t="shared" si="109"/>
        <v>0</v>
      </c>
      <c r="AQ121">
        <f t="shared" si="109"/>
        <v>0</v>
      </c>
      <c r="AR121">
        <f t="shared" si="109"/>
        <v>0</v>
      </c>
      <c r="AS121">
        <f t="shared" si="109"/>
        <v>0</v>
      </c>
      <c r="AT121">
        <f t="shared" si="109"/>
        <v>0</v>
      </c>
      <c r="AU121">
        <f t="shared" si="109"/>
        <v>0</v>
      </c>
      <c r="AV121">
        <f t="shared" si="109"/>
        <v>0</v>
      </c>
      <c r="AW121">
        <f t="shared" si="109"/>
        <v>0</v>
      </c>
      <c r="AX121">
        <f t="shared" si="109"/>
        <v>0</v>
      </c>
      <c r="AY121">
        <f t="shared" si="109"/>
        <v>0</v>
      </c>
      <c r="AZ121">
        <f t="shared" si="109"/>
        <v>9484.1000000000022</v>
      </c>
      <c r="BA121">
        <f t="shared" si="109"/>
        <v>0</v>
      </c>
    </row>
    <row r="122" spans="1:53" ht="15.75" customHeight="1">
      <c r="A122" s="350">
        <v>2015</v>
      </c>
      <c r="B122" s="350"/>
      <c r="C122" s="350"/>
      <c r="D122" s="350"/>
      <c r="E122" s="350"/>
      <c r="F122" s="350"/>
      <c r="G122" s="350"/>
      <c r="H122" s="350"/>
      <c r="I122" s="350"/>
      <c r="J122" s="350"/>
      <c r="K122" s="350"/>
      <c r="L122" s="350"/>
      <c r="M122" s="350"/>
      <c r="N122" s="350"/>
      <c r="O122" s="350"/>
      <c r="P122" s="350"/>
      <c r="Q122" s="350"/>
      <c r="R122" s="350"/>
      <c r="S122" s="350"/>
      <c r="T122" s="350"/>
      <c r="U122" s="350"/>
      <c r="V122">
        <v>4302.6000000000004</v>
      </c>
      <c r="W122">
        <f t="shared" si="46"/>
        <v>0</v>
      </c>
      <c r="X122">
        <f t="shared" ref="X122:BA122" si="110">IF(AND(X$58-$A122&gt;$V$38,SUM($W122:W122)&lt;&gt;$V122),$V122,0)</f>
        <v>0</v>
      </c>
      <c r="Y122">
        <f t="shared" si="110"/>
        <v>0</v>
      </c>
      <c r="Z122">
        <f t="shared" si="110"/>
        <v>0</v>
      </c>
      <c r="AA122">
        <f t="shared" si="110"/>
        <v>0</v>
      </c>
      <c r="AB122">
        <f t="shared" si="110"/>
        <v>0</v>
      </c>
      <c r="AC122">
        <f t="shared" si="110"/>
        <v>0</v>
      </c>
      <c r="AD122">
        <f t="shared" si="110"/>
        <v>0</v>
      </c>
      <c r="AE122">
        <f t="shared" si="110"/>
        <v>0</v>
      </c>
      <c r="AF122">
        <f t="shared" si="110"/>
        <v>0</v>
      </c>
      <c r="AG122">
        <f t="shared" si="110"/>
        <v>0</v>
      </c>
      <c r="AH122">
        <f t="shared" si="110"/>
        <v>0</v>
      </c>
      <c r="AI122">
        <f t="shared" si="110"/>
        <v>0</v>
      </c>
      <c r="AJ122">
        <f t="shared" si="110"/>
        <v>0</v>
      </c>
      <c r="AK122">
        <f t="shared" si="110"/>
        <v>0</v>
      </c>
      <c r="AL122">
        <f t="shared" si="110"/>
        <v>0</v>
      </c>
      <c r="AM122">
        <f t="shared" si="110"/>
        <v>0</v>
      </c>
      <c r="AN122">
        <f t="shared" si="110"/>
        <v>0</v>
      </c>
      <c r="AO122">
        <f t="shared" si="110"/>
        <v>0</v>
      </c>
      <c r="AP122">
        <f t="shared" si="110"/>
        <v>0</v>
      </c>
      <c r="AQ122">
        <f t="shared" si="110"/>
        <v>0</v>
      </c>
      <c r="AR122">
        <f t="shared" si="110"/>
        <v>0</v>
      </c>
      <c r="AS122">
        <f t="shared" si="110"/>
        <v>0</v>
      </c>
      <c r="AT122">
        <f t="shared" si="110"/>
        <v>0</v>
      </c>
      <c r="AU122">
        <f t="shared" si="110"/>
        <v>0</v>
      </c>
      <c r="AV122">
        <f t="shared" si="110"/>
        <v>0</v>
      </c>
      <c r="AW122">
        <f t="shared" si="110"/>
        <v>0</v>
      </c>
      <c r="AX122">
        <f t="shared" si="110"/>
        <v>0</v>
      </c>
      <c r="AY122">
        <f t="shared" si="110"/>
        <v>0</v>
      </c>
      <c r="AZ122">
        <f t="shared" si="110"/>
        <v>0</v>
      </c>
      <c r="BA122">
        <f t="shared" si="110"/>
        <v>4302.6000000000004</v>
      </c>
    </row>
    <row r="123" spans="1:53" ht="15.75" customHeight="1">
      <c r="A123" s="350">
        <v>2016</v>
      </c>
      <c r="B123" s="350"/>
      <c r="C123" s="350"/>
      <c r="D123" s="350"/>
      <c r="E123" s="350"/>
      <c r="F123" s="350"/>
      <c r="G123" s="350"/>
      <c r="H123" s="350"/>
      <c r="I123" s="350"/>
      <c r="J123" s="350"/>
      <c r="K123" s="350"/>
      <c r="L123" s="350"/>
      <c r="M123" s="350"/>
      <c r="N123" s="350"/>
      <c r="O123" s="350"/>
      <c r="P123" s="350"/>
      <c r="Q123" s="350"/>
      <c r="R123" s="350"/>
      <c r="S123" s="350"/>
      <c r="T123" s="350"/>
      <c r="U123" s="350"/>
      <c r="V123">
        <v>6221.4000000000005</v>
      </c>
      <c r="W123">
        <f t="shared" si="46"/>
        <v>0</v>
      </c>
      <c r="X123">
        <f t="shared" ref="X123:BA123" si="111">IF(AND(X$58-$A123&gt;$V$38,SUM($W123:W123)&lt;&gt;$V123),$V123,0)</f>
        <v>0</v>
      </c>
      <c r="Y123">
        <f t="shared" si="111"/>
        <v>0</v>
      </c>
      <c r="Z123">
        <f t="shared" si="111"/>
        <v>0</v>
      </c>
      <c r="AA123">
        <f t="shared" si="111"/>
        <v>0</v>
      </c>
      <c r="AB123">
        <f t="shared" si="111"/>
        <v>0</v>
      </c>
      <c r="AC123">
        <f t="shared" si="111"/>
        <v>0</v>
      </c>
      <c r="AD123">
        <f t="shared" si="111"/>
        <v>0</v>
      </c>
      <c r="AE123">
        <f t="shared" si="111"/>
        <v>0</v>
      </c>
      <c r="AF123">
        <f t="shared" si="111"/>
        <v>0</v>
      </c>
      <c r="AG123">
        <f t="shared" si="111"/>
        <v>0</v>
      </c>
      <c r="AH123">
        <f t="shared" si="111"/>
        <v>0</v>
      </c>
      <c r="AI123">
        <f t="shared" si="111"/>
        <v>0</v>
      </c>
      <c r="AJ123">
        <f t="shared" si="111"/>
        <v>0</v>
      </c>
      <c r="AK123">
        <f t="shared" si="111"/>
        <v>0</v>
      </c>
      <c r="AL123">
        <f t="shared" si="111"/>
        <v>0</v>
      </c>
      <c r="AM123">
        <f t="shared" si="111"/>
        <v>0</v>
      </c>
      <c r="AN123">
        <f t="shared" si="111"/>
        <v>0</v>
      </c>
      <c r="AO123">
        <f t="shared" si="111"/>
        <v>0</v>
      </c>
      <c r="AP123">
        <f t="shared" si="111"/>
        <v>0</v>
      </c>
      <c r="AQ123">
        <f t="shared" si="111"/>
        <v>0</v>
      </c>
      <c r="AR123">
        <f t="shared" si="111"/>
        <v>0</v>
      </c>
      <c r="AS123">
        <f t="shared" si="111"/>
        <v>0</v>
      </c>
      <c r="AT123">
        <f t="shared" si="111"/>
        <v>0</v>
      </c>
      <c r="AU123">
        <f t="shared" si="111"/>
        <v>0</v>
      </c>
      <c r="AV123">
        <f t="shared" si="111"/>
        <v>0</v>
      </c>
      <c r="AW123">
        <f t="shared" si="111"/>
        <v>0</v>
      </c>
      <c r="AX123">
        <f t="shared" si="111"/>
        <v>0</v>
      </c>
      <c r="AY123">
        <f t="shared" si="111"/>
        <v>0</v>
      </c>
      <c r="AZ123">
        <f t="shared" si="111"/>
        <v>0</v>
      </c>
      <c r="BA123">
        <f t="shared" si="111"/>
        <v>0</v>
      </c>
    </row>
    <row r="124" spans="1:53" ht="15.75" customHeight="1">
      <c r="A124" s="350">
        <v>2017</v>
      </c>
      <c r="B124" s="350"/>
      <c r="C124" s="350"/>
      <c r="D124" s="350"/>
      <c r="E124" s="350"/>
      <c r="F124" s="350"/>
      <c r="G124" s="350"/>
      <c r="H124" s="350"/>
      <c r="I124" s="350"/>
      <c r="J124" s="350"/>
      <c r="K124" s="350"/>
      <c r="L124" s="350"/>
      <c r="M124" s="350"/>
      <c r="N124" s="350"/>
      <c r="O124" s="350"/>
      <c r="P124" s="350"/>
      <c r="Q124" s="350"/>
      <c r="R124" s="350"/>
      <c r="S124" s="350"/>
      <c r="T124" s="350"/>
      <c r="U124" s="350"/>
      <c r="V124">
        <v>8030.1000000000013</v>
      </c>
      <c r="W124">
        <f t="shared" si="46"/>
        <v>0</v>
      </c>
      <c r="X124">
        <f t="shared" ref="X124:BA124" si="112">IF(AND(X$58-$A124&gt;$V$38,SUM($W124:W124)&lt;&gt;$V124),$V124,0)</f>
        <v>0</v>
      </c>
      <c r="Y124">
        <f t="shared" si="112"/>
        <v>0</v>
      </c>
      <c r="Z124">
        <f t="shared" si="112"/>
        <v>0</v>
      </c>
      <c r="AA124">
        <f t="shared" si="112"/>
        <v>0</v>
      </c>
      <c r="AB124">
        <f t="shared" si="112"/>
        <v>0</v>
      </c>
      <c r="AC124">
        <f t="shared" si="112"/>
        <v>0</v>
      </c>
      <c r="AD124">
        <f t="shared" si="112"/>
        <v>0</v>
      </c>
      <c r="AE124">
        <f t="shared" si="112"/>
        <v>0</v>
      </c>
      <c r="AF124">
        <f t="shared" si="112"/>
        <v>0</v>
      </c>
      <c r="AG124">
        <f t="shared" si="112"/>
        <v>0</v>
      </c>
      <c r="AH124">
        <f t="shared" si="112"/>
        <v>0</v>
      </c>
      <c r="AI124">
        <f t="shared" si="112"/>
        <v>0</v>
      </c>
      <c r="AJ124">
        <f t="shared" si="112"/>
        <v>0</v>
      </c>
      <c r="AK124">
        <f t="shared" si="112"/>
        <v>0</v>
      </c>
      <c r="AL124">
        <f t="shared" si="112"/>
        <v>0</v>
      </c>
      <c r="AM124">
        <f t="shared" si="112"/>
        <v>0</v>
      </c>
      <c r="AN124">
        <f t="shared" si="112"/>
        <v>0</v>
      </c>
      <c r="AO124">
        <f t="shared" si="112"/>
        <v>0</v>
      </c>
      <c r="AP124">
        <f t="shared" si="112"/>
        <v>0</v>
      </c>
      <c r="AQ124">
        <f t="shared" si="112"/>
        <v>0</v>
      </c>
      <c r="AR124">
        <f t="shared" si="112"/>
        <v>0</v>
      </c>
      <c r="AS124">
        <f t="shared" si="112"/>
        <v>0</v>
      </c>
      <c r="AT124">
        <f t="shared" si="112"/>
        <v>0</v>
      </c>
      <c r="AU124">
        <f t="shared" si="112"/>
        <v>0</v>
      </c>
      <c r="AV124">
        <f t="shared" si="112"/>
        <v>0</v>
      </c>
      <c r="AW124">
        <f t="shared" si="112"/>
        <v>0</v>
      </c>
      <c r="AX124">
        <f t="shared" si="112"/>
        <v>0</v>
      </c>
      <c r="AY124">
        <f t="shared" si="112"/>
        <v>0</v>
      </c>
      <c r="AZ124">
        <f t="shared" si="112"/>
        <v>0</v>
      </c>
      <c r="BA124">
        <f t="shared" si="112"/>
        <v>0</v>
      </c>
    </row>
    <row r="125" spans="1:53" ht="15.75" customHeight="1">
      <c r="A125" s="350"/>
      <c r="B125" s="350"/>
      <c r="C125" s="350"/>
      <c r="D125" s="350"/>
      <c r="E125" s="350"/>
      <c r="F125" s="350"/>
      <c r="G125" s="350"/>
      <c r="H125" s="350"/>
      <c r="I125" s="350"/>
      <c r="J125" s="350"/>
      <c r="K125" s="350"/>
      <c r="L125" s="350"/>
      <c r="M125" s="350"/>
      <c r="N125" s="350"/>
      <c r="O125" s="350"/>
      <c r="P125" s="350"/>
      <c r="Q125" s="350"/>
      <c r="R125" s="350"/>
      <c r="S125" s="350"/>
      <c r="T125" s="350"/>
      <c r="U125" s="350"/>
    </row>
    <row r="126" spans="1:53" ht="15.75" customHeight="1">
      <c r="A126" s="93" t="s">
        <v>771</v>
      </c>
      <c r="B126" s="93"/>
      <c r="C126" s="93"/>
      <c r="D126" s="93"/>
      <c r="E126" s="93"/>
      <c r="F126" s="93"/>
      <c r="G126" s="93"/>
      <c r="H126" s="93"/>
      <c r="I126" s="93"/>
      <c r="J126" s="93"/>
      <c r="K126" s="93"/>
      <c r="L126" s="93"/>
      <c r="M126" s="93"/>
      <c r="N126" s="93"/>
      <c r="O126" s="93"/>
      <c r="P126" s="93"/>
      <c r="Q126" s="93"/>
      <c r="R126" s="93"/>
      <c r="S126" s="93"/>
      <c r="T126" s="93"/>
      <c r="U126" s="93"/>
      <c r="W126">
        <f t="shared" ref="W126:BA126" si="113">SUM(W128:W201)</f>
        <v>48312.800000000003</v>
      </c>
      <c r="X126">
        <f t="shared" si="113"/>
        <v>5434.9999999999991</v>
      </c>
      <c r="Y126">
        <f t="shared" si="113"/>
        <v>5403.9999999999991</v>
      </c>
      <c r="Z126">
        <f t="shared" si="113"/>
        <v>7238.4999999999982</v>
      </c>
      <c r="AA126">
        <f t="shared" si="113"/>
        <v>6840.1000000000058</v>
      </c>
      <c r="AB126">
        <f t="shared" si="113"/>
        <v>2231</v>
      </c>
      <c r="AC126">
        <f t="shared" si="113"/>
        <v>3248.1</v>
      </c>
      <c r="AD126">
        <f t="shared" si="113"/>
        <v>1921</v>
      </c>
      <c r="AE126">
        <f t="shared" si="113"/>
        <v>1634.6999999999998</v>
      </c>
      <c r="AF126">
        <f t="shared" si="113"/>
        <v>199.50000000000003</v>
      </c>
      <c r="AG126">
        <f t="shared" si="113"/>
        <v>1242.7</v>
      </c>
      <c r="AH126">
        <f t="shared" si="113"/>
        <v>727.40000000000009</v>
      </c>
      <c r="AI126">
        <f t="shared" si="113"/>
        <v>189.8</v>
      </c>
      <c r="AJ126">
        <f t="shared" si="113"/>
        <v>163.9</v>
      </c>
      <c r="AK126">
        <f t="shared" si="113"/>
        <v>649.1</v>
      </c>
      <c r="AL126">
        <f t="shared" si="113"/>
        <v>607.20000000000005</v>
      </c>
      <c r="AM126">
        <f t="shared" si="113"/>
        <v>459.2</v>
      </c>
      <c r="AN126">
        <f t="shared" si="113"/>
        <v>1208.9000000000001</v>
      </c>
      <c r="AO126">
        <f t="shared" si="113"/>
        <v>1370.2999999999997</v>
      </c>
      <c r="AP126">
        <f t="shared" si="113"/>
        <v>1578.8</v>
      </c>
      <c r="AQ126">
        <f t="shared" si="113"/>
        <v>1070.2</v>
      </c>
      <c r="AR126">
        <f t="shared" si="113"/>
        <v>1655.9999999999998</v>
      </c>
      <c r="AS126">
        <f t="shared" si="113"/>
        <v>1222.3</v>
      </c>
      <c r="AT126">
        <f t="shared" si="113"/>
        <v>2374.4000000000005</v>
      </c>
      <c r="AU126">
        <f t="shared" si="113"/>
        <v>3422.6999999999989</v>
      </c>
      <c r="AV126">
        <f t="shared" si="113"/>
        <v>1596.6999999999998</v>
      </c>
      <c r="AW126">
        <f t="shared" si="113"/>
        <v>1247.7000000000003</v>
      </c>
      <c r="AX126">
        <f t="shared" si="113"/>
        <v>692</v>
      </c>
      <c r="AY126">
        <f t="shared" si="113"/>
        <v>4586.5</v>
      </c>
      <c r="AZ126">
        <f t="shared" si="113"/>
        <v>12553.899999999994</v>
      </c>
      <c r="BA126">
        <f t="shared" si="113"/>
        <v>18645.099999999988</v>
      </c>
    </row>
    <row r="127" spans="1:53" ht="15.75" customHeight="1">
      <c r="A127" s="349" t="s">
        <v>757</v>
      </c>
      <c r="B127" s="349"/>
      <c r="C127" s="349"/>
      <c r="D127" s="349"/>
      <c r="E127" s="349"/>
      <c r="F127" s="349"/>
      <c r="G127" s="349"/>
      <c r="H127" s="349"/>
      <c r="I127" s="349"/>
      <c r="J127" s="349"/>
      <c r="K127" s="349"/>
      <c r="L127" s="349"/>
      <c r="M127" s="349"/>
      <c r="N127" s="349"/>
      <c r="O127" s="349"/>
      <c r="P127" s="349"/>
      <c r="Q127" s="349"/>
      <c r="R127" s="349"/>
      <c r="S127" s="349"/>
      <c r="T127" s="349"/>
      <c r="U127" s="349"/>
      <c r="V127" t="s">
        <v>758</v>
      </c>
      <c r="W127" s="42">
        <v>2020</v>
      </c>
      <c r="X127" s="42">
        <v>2021</v>
      </c>
      <c r="Y127" s="42">
        <v>2022</v>
      </c>
      <c r="Z127" s="42">
        <v>2023</v>
      </c>
      <c r="AA127" s="42">
        <v>2024</v>
      </c>
      <c r="AB127" s="42">
        <v>2025</v>
      </c>
      <c r="AC127" s="42">
        <v>2026</v>
      </c>
      <c r="AD127" s="42">
        <v>2027</v>
      </c>
      <c r="AE127" s="42">
        <v>2028</v>
      </c>
      <c r="AF127" s="42">
        <v>2029</v>
      </c>
      <c r="AG127" s="42">
        <v>2030</v>
      </c>
      <c r="AH127" s="42">
        <v>2031</v>
      </c>
      <c r="AI127" s="42">
        <v>2032</v>
      </c>
      <c r="AJ127" s="42">
        <v>2033</v>
      </c>
      <c r="AK127" s="42">
        <v>2034</v>
      </c>
      <c r="AL127" s="42">
        <v>2035</v>
      </c>
      <c r="AM127" s="42">
        <v>2036</v>
      </c>
      <c r="AN127" s="42">
        <v>2037</v>
      </c>
      <c r="AO127" s="42">
        <v>2038</v>
      </c>
      <c r="AP127" s="42">
        <v>2039</v>
      </c>
      <c r="AQ127" s="42">
        <v>2040</v>
      </c>
      <c r="AR127" s="42">
        <v>2041</v>
      </c>
      <c r="AS127" s="42">
        <v>2042</v>
      </c>
      <c r="AT127" s="42">
        <v>2043</v>
      </c>
      <c r="AU127" s="42">
        <v>2044</v>
      </c>
      <c r="AV127" s="42">
        <v>2045</v>
      </c>
      <c r="AW127" s="42">
        <v>2046</v>
      </c>
      <c r="AX127" s="42">
        <v>2047</v>
      </c>
      <c r="AY127" s="42">
        <v>2048</v>
      </c>
      <c r="AZ127" s="42">
        <v>2049</v>
      </c>
      <c r="BA127" s="42">
        <v>2050</v>
      </c>
    </row>
    <row r="128" spans="1:53" ht="15.75" customHeight="1">
      <c r="A128" s="350">
        <v>1915</v>
      </c>
      <c r="B128" s="350"/>
      <c r="C128" s="350"/>
      <c r="D128" s="350"/>
      <c r="E128" s="350"/>
      <c r="F128" s="350"/>
      <c r="G128" s="350"/>
      <c r="H128" s="350"/>
      <c r="I128" s="350"/>
      <c r="J128" s="350"/>
      <c r="K128" s="350"/>
      <c r="L128" s="350"/>
      <c r="M128" s="350"/>
      <c r="N128" s="350"/>
      <c r="O128" s="350"/>
      <c r="P128" s="350"/>
      <c r="Q128" s="350"/>
      <c r="R128" s="350"/>
      <c r="S128" s="350"/>
      <c r="T128" s="350"/>
      <c r="U128" s="350"/>
      <c r="V128">
        <v>0.5</v>
      </c>
      <c r="W128">
        <f t="shared" ref="W128:W207" si="114">IF(W$58-$A128&gt;$V$42,$V128,0)</f>
        <v>0.5</v>
      </c>
      <c r="X128">
        <f t="shared" ref="X128:BA128" si="115">IF(AND(X$58-$A128&gt;$V$42,SUM($W128:W128)&lt;&gt;$V128),$V128,0)</f>
        <v>0</v>
      </c>
      <c r="Y128">
        <f t="shared" si="115"/>
        <v>0</v>
      </c>
      <c r="Z128">
        <f t="shared" si="115"/>
        <v>0</v>
      </c>
      <c r="AA128">
        <f t="shared" si="115"/>
        <v>0</v>
      </c>
      <c r="AB128">
        <f t="shared" si="115"/>
        <v>0</v>
      </c>
      <c r="AC128">
        <f t="shared" si="115"/>
        <v>0</v>
      </c>
      <c r="AD128">
        <f t="shared" si="115"/>
        <v>0</v>
      </c>
      <c r="AE128">
        <f t="shared" si="115"/>
        <v>0</v>
      </c>
      <c r="AF128">
        <f t="shared" si="115"/>
        <v>0</v>
      </c>
      <c r="AG128">
        <f t="shared" si="115"/>
        <v>0</v>
      </c>
      <c r="AH128">
        <f t="shared" si="115"/>
        <v>0</v>
      </c>
      <c r="AI128">
        <f t="shared" si="115"/>
        <v>0</v>
      </c>
      <c r="AJ128">
        <f t="shared" si="115"/>
        <v>0</v>
      </c>
      <c r="AK128">
        <f t="shared" si="115"/>
        <v>0</v>
      </c>
      <c r="AL128">
        <f t="shared" si="115"/>
        <v>0</v>
      </c>
      <c r="AM128">
        <f t="shared" si="115"/>
        <v>0</v>
      </c>
      <c r="AN128">
        <f t="shared" si="115"/>
        <v>0</v>
      </c>
      <c r="AO128">
        <f t="shared" si="115"/>
        <v>0</v>
      </c>
      <c r="AP128">
        <f t="shared" si="115"/>
        <v>0</v>
      </c>
      <c r="AQ128">
        <f t="shared" si="115"/>
        <v>0</v>
      </c>
      <c r="AR128">
        <f t="shared" si="115"/>
        <v>0</v>
      </c>
      <c r="AS128">
        <f t="shared" si="115"/>
        <v>0</v>
      </c>
      <c r="AT128">
        <f t="shared" si="115"/>
        <v>0</v>
      </c>
      <c r="AU128">
        <f t="shared" si="115"/>
        <v>0</v>
      </c>
      <c r="AV128">
        <f t="shared" si="115"/>
        <v>0</v>
      </c>
      <c r="AW128">
        <f t="shared" si="115"/>
        <v>0</v>
      </c>
      <c r="AX128">
        <f t="shared" si="115"/>
        <v>0</v>
      </c>
      <c r="AY128">
        <f t="shared" si="115"/>
        <v>0</v>
      </c>
      <c r="AZ128">
        <f t="shared" si="115"/>
        <v>0</v>
      </c>
      <c r="BA128">
        <f t="shared" si="115"/>
        <v>0</v>
      </c>
    </row>
    <row r="129" spans="1:53" ht="15.75" customHeight="1">
      <c r="A129" s="350">
        <v>1938</v>
      </c>
      <c r="B129" s="350"/>
      <c r="C129" s="350"/>
      <c r="D129" s="350"/>
      <c r="E129" s="350"/>
      <c r="F129" s="350"/>
      <c r="G129" s="350"/>
      <c r="H129" s="350"/>
      <c r="I129" s="350"/>
      <c r="J129" s="350"/>
      <c r="K129" s="350"/>
      <c r="L129" s="350"/>
      <c r="M129" s="350"/>
      <c r="N129" s="350"/>
      <c r="O129" s="350"/>
      <c r="P129" s="350"/>
      <c r="Q129" s="350"/>
      <c r="R129" s="350"/>
      <c r="S129" s="350"/>
      <c r="T129" s="350"/>
      <c r="U129" s="350"/>
      <c r="V129">
        <v>5.5</v>
      </c>
      <c r="W129">
        <f t="shared" si="114"/>
        <v>5.5</v>
      </c>
      <c r="X129">
        <f t="shared" ref="X129:BA129" si="116">IF(AND(X$58-$A129&gt;$V$42,SUM($W129:W129)&lt;&gt;$V129),$V129,0)</f>
        <v>0</v>
      </c>
      <c r="Y129">
        <f t="shared" si="116"/>
        <v>0</v>
      </c>
      <c r="Z129">
        <f t="shared" si="116"/>
        <v>0</v>
      </c>
      <c r="AA129">
        <f t="shared" si="116"/>
        <v>0</v>
      </c>
      <c r="AB129">
        <f t="shared" si="116"/>
        <v>0</v>
      </c>
      <c r="AC129">
        <f t="shared" si="116"/>
        <v>0</v>
      </c>
      <c r="AD129">
        <f t="shared" si="116"/>
        <v>0</v>
      </c>
      <c r="AE129">
        <f t="shared" si="116"/>
        <v>0</v>
      </c>
      <c r="AF129">
        <f t="shared" si="116"/>
        <v>0</v>
      </c>
      <c r="AG129">
        <f t="shared" si="116"/>
        <v>0</v>
      </c>
      <c r="AH129">
        <f t="shared" si="116"/>
        <v>0</v>
      </c>
      <c r="AI129">
        <f t="shared" si="116"/>
        <v>0</v>
      </c>
      <c r="AJ129">
        <f t="shared" si="116"/>
        <v>0</v>
      </c>
      <c r="AK129">
        <f t="shared" si="116"/>
        <v>0</v>
      </c>
      <c r="AL129">
        <f t="shared" si="116"/>
        <v>0</v>
      </c>
      <c r="AM129">
        <f t="shared" si="116"/>
        <v>0</v>
      </c>
      <c r="AN129">
        <f t="shared" si="116"/>
        <v>0</v>
      </c>
      <c r="AO129">
        <f t="shared" si="116"/>
        <v>0</v>
      </c>
      <c r="AP129">
        <f t="shared" si="116"/>
        <v>0</v>
      </c>
      <c r="AQ129">
        <f t="shared" si="116"/>
        <v>0</v>
      </c>
      <c r="AR129">
        <f t="shared" si="116"/>
        <v>0</v>
      </c>
      <c r="AS129">
        <f t="shared" si="116"/>
        <v>0</v>
      </c>
      <c r="AT129">
        <f t="shared" si="116"/>
        <v>0</v>
      </c>
      <c r="AU129">
        <f t="shared" si="116"/>
        <v>0</v>
      </c>
      <c r="AV129">
        <f t="shared" si="116"/>
        <v>0</v>
      </c>
      <c r="AW129">
        <f t="shared" si="116"/>
        <v>0</v>
      </c>
      <c r="AX129">
        <f t="shared" si="116"/>
        <v>0</v>
      </c>
      <c r="AY129">
        <f t="shared" si="116"/>
        <v>0</v>
      </c>
      <c r="AZ129">
        <f t="shared" si="116"/>
        <v>0</v>
      </c>
      <c r="BA129">
        <f t="shared" si="116"/>
        <v>0</v>
      </c>
    </row>
    <row r="130" spans="1:53" ht="15.75" customHeight="1">
      <c r="A130" s="350">
        <v>1939</v>
      </c>
      <c r="B130" s="350"/>
      <c r="C130" s="350"/>
      <c r="D130" s="350"/>
      <c r="E130" s="350"/>
      <c r="F130" s="350"/>
      <c r="G130" s="350"/>
      <c r="H130" s="350"/>
      <c r="I130" s="350"/>
      <c r="J130" s="350"/>
      <c r="K130" s="350"/>
      <c r="L130" s="350"/>
      <c r="M130" s="350"/>
      <c r="N130" s="350"/>
      <c r="O130" s="350"/>
      <c r="P130" s="350"/>
      <c r="Q130" s="350"/>
      <c r="R130" s="350"/>
      <c r="S130" s="350"/>
      <c r="T130" s="350"/>
      <c r="U130" s="350"/>
      <c r="V130">
        <v>2.5</v>
      </c>
      <c r="W130">
        <f t="shared" si="114"/>
        <v>2.5</v>
      </c>
      <c r="X130">
        <f t="shared" ref="X130:BA130" si="117">IF(AND(X$58-$A130&gt;$V$42,SUM($W130:W130)&lt;&gt;$V130),$V130,0)</f>
        <v>0</v>
      </c>
      <c r="Y130">
        <f t="shared" si="117"/>
        <v>0</v>
      </c>
      <c r="Z130">
        <f t="shared" si="117"/>
        <v>0</v>
      </c>
      <c r="AA130">
        <f t="shared" si="117"/>
        <v>0</v>
      </c>
      <c r="AB130">
        <f t="shared" si="117"/>
        <v>0</v>
      </c>
      <c r="AC130">
        <f t="shared" si="117"/>
        <v>0</v>
      </c>
      <c r="AD130">
        <f t="shared" si="117"/>
        <v>0</v>
      </c>
      <c r="AE130">
        <f t="shared" si="117"/>
        <v>0</v>
      </c>
      <c r="AF130">
        <f t="shared" si="117"/>
        <v>0</v>
      </c>
      <c r="AG130">
        <f t="shared" si="117"/>
        <v>0</v>
      </c>
      <c r="AH130">
        <f t="shared" si="117"/>
        <v>0</v>
      </c>
      <c r="AI130">
        <f t="shared" si="117"/>
        <v>0</v>
      </c>
      <c r="AJ130">
        <f t="shared" si="117"/>
        <v>0</v>
      </c>
      <c r="AK130">
        <f t="shared" si="117"/>
        <v>0</v>
      </c>
      <c r="AL130">
        <f t="shared" si="117"/>
        <v>0</v>
      </c>
      <c r="AM130">
        <f t="shared" si="117"/>
        <v>0</v>
      </c>
      <c r="AN130">
        <f t="shared" si="117"/>
        <v>0</v>
      </c>
      <c r="AO130">
        <f t="shared" si="117"/>
        <v>0</v>
      </c>
      <c r="AP130">
        <f t="shared" si="117"/>
        <v>0</v>
      </c>
      <c r="AQ130">
        <f t="shared" si="117"/>
        <v>0</v>
      </c>
      <c r="AR130">
        <f t="shared" si="117"/>
        <v>0</v>
      </c>
      <c r="AS130">
        <f t="shared" si="117"/>
        <v>0</v>
      </c>
      <c r="AT130">
        <f t="shared" si="117"/>
        <v>0</v>
      </c>
      <c r="AU130">
        <f t="shared" si="117"/>
        <v>0</v>
      </c>
      <c r="AV130">
        <f t="shared" si="117"/>
        <v>0</v>
      </c>
      <c r="AW130">
        <f t="shared" si="117"/>
        <v>0</v>
      </c>
      <c r="AX130">
        <f t="shared" si="117"/>
        <v>0</v>
      </c>
      <c r="AY130">
        <f t="shared" si="117"/>
        <v>0</v>
      </c>
      <c r="AZ130">
        <f t="shared" si="117"/>
        <v>0</v>
      </c>
      <c r="BA130">
        <f t="shared" si="117"/>
        <v>0</v>
      </c>
    </row>
    <row r="131" spans="1:53" ht="15.75" customHeight="1">
      <c r="A131" s="350">
        <v>1940</v>
      </c>
      <c r="B131" s="350"/>
      <c r="C131" s="350"/>
      <c r="D131" s="350"/>
      <c r="E131" s="350"/>
      <c r="F131" s="350"/>
      <c r="G131" s="350"/>
      <c r="H131" s="350"/>
      <c r="I131" s="350"/>
      <c r="J131" s="350"/>
      <c r="K131" s="350"/>
      <c r="L131" s="350"/>
      <c r="M131" s="350"/>
      <c r="N131" s="350"/>
      <c r="O131" s="350"/>
      <c r="P131" s="350"/>
      <c r="Q131" s="350"/>
      <c r="R131" s="350"/>
      <c r="S131" s="350"/>
      <c r="T131" s="350"/>
      <c r="U131" s="350"/>
      <c r="V131">
        <v>6</v>
      </c>
      <c r="W131">
        <f t="shared" si="114"/>
        <v>6</v>
      </c>
      <c r="X131">
        <f t="shared" ref="X131:BA131" si="118">IF(AND(X$58-$A131&gt;$V$42,SUM($W131:W131)&lt;&gt;$V131),$V131,0)</f>
        <v>0</v>
      </c>
      <c r="Y131">
        <f t="shared" si="118"/>
        <v>0</v>
      </c>
      <c r="Z131">
        <f t="shared" si="118"/>
        <v>0</v>
      </c>
      <c r="AA131">
        <f t="shared" si="118"/>
        <v>0</v>
      </c>
      <c r="AB131">
        <f t="shared" si="118"/>
        <v>0</v>
      </c>
      <c r="AC131">
        <f t="shared" si="118"/>
        <v>0</v>
      </c>
      <c r="AD131">
        <f t="shared" si="118"/>
        <v>0</v>
      </c>
      <c r="AE131">
        <f t="shared" si="118"/>
        <v>0</v>
      </c>
      <c r="AF131">
        <f t="shared" si="118"/>
        <v>0</v>
      </c>
      <c r="AG131">
        <f t="shared" si="118"/>
        <v>0</v>
      </c>
      <c r="AH131">
        <f t="shared" si="118"/>
        <v>0</v>
      </c>
      <c r="AI131">
        <f t="shared" si="118"/>
        <v>0</v>
      </c>
      <c r="AJ131">
        <f t="shared" si="118"/>
        <v>0</v>
      </c>
      <c r="AK131">
        <f t="shared" si="118"/>
        <v>0</v>
      </c>
      <c r="AL131">
        <f t="shared" si="118"/>
        <v>0</v>
      </c>
      <c r="AM131">
        <f t="shared" si="118"/>
        <v>0</v>
      </c>
      <c r="AN131">
        <f t="shared" si="118"/>
        <v>0</v>
      </c>
      <c r="AO131">
        <f t="shared" si="118"/>
        <v>0</v>
      </c>
      <c r="AP131">
        <f t="shared" si="118"/>
        <v>0</v>
      </c>
      <c r="AQ131">
        <f t="shared" si="118"/>
        <v>0</v>
      </c>
      <c r="AR131">
        <f t="shared" si="118"/>
        <v>0</v>
      </c>
      <c r="AS131">
        <f t="shared" si="118"/>
        <v>0</v>
      </c>
      <c r="AT131">
        <f t="shared" si="118"/>
        <v>0</v>
      </c>
      <c r="AU131">
        <f t="shared" si="118"/>
        <v>0</v>
      </c>
      <c r="AV131">
        <f t="shared" si="118"/>
        <v>0</v>
      </c>
      <c r="AW131">
        <f t="shared" si="118"/>
        <v>0</v>
      </c>
      <c r="AX131">
        <f t="shared" si="118"/>
        <v>0</v>
      </c>
      <c r="AY131">
        <f t="shared" si="118"/>
        <v>0</v>
      </c>
      <c r="AZ131">
        <f t="shared" si="118"/>
        <v>0</v>
      </c>
      <c r="BA131">
        <f t="shared" si="118"/>
        <v>0</v>
      </c>
    </row>
    <row r="132" spans="1:53" ht="15.75" customHeight="1">
      <c r="A132" s="350">
        <v>1942</v>
      </c>
      <c r="B132" s="350"/>
      <c r="C132" s="350"/>
      <c r="D132" s="350"/>
      <c r="E132" s="350"/>
      <c r="F132" s="350"/>
      <c r="G132" s="350"/>
      <c r="H132" s="350"/>
      <c r="I132" s="350"/>
      <c r="J132" s="350"/>
      <c r="K132" s="350"/>
      <c r="L132" s="350"/>
      <c r="M132" s="350"/>
      <c r="N132" s="350"/>
      <c r="O132" s="350"/>
      <c r="P132" s="350"/>
      <c r="Q132" s="350"/>
      <c r="R132" s="350"/>
      <c r="S132" s="350"/>
      <c r="T132" s="350"/>
      <c r="U132" s="350"/>
      <c r="V132">
        <v>17.600000000000001</v>
      </c>
      <c r="W132">
        <f t="shared" si="114"/>
        <v>17.600000000000001</v>
      </c>
      <c r="X132">
        <f t="shared" ref="X132:BA132" si="119">IF(AND(X$58-$A132&gt;$V$42,SUM($W132:W132)&lt;&gt;$V132),$V132,0)</f>
        <v>0</v>
      </c>
      <c r="Y132">
        <f t="shared" si="119"/>
        <v>0</v>
      </c>
      <c r="Z132">
        <f t="shared" si="119"/>
        <v>0</v>
      </c>
      <c r="AA132">
        <f t="shared" si="119"/>
        <v>0</v>
      </c>
      <c r="AB132">
        <f t="shared" si="119"/>
        <v>0</v>
      </c>
      <c r="AC132">
        <f t="shared" si="119"/>
        <v>0</v>
      </c>
      <c r="AD132">
        <f t="shared" si="119"/>
        <v>0</v>
      </c>
      <c r="AE132">
        <f t="shared" si="119"/>
        <v>0</v>
      </c>
      <c r="AF132">
        <f t="shared" si="119"/>
        <v>0</v>
      </c>
      <c r="AG132">
        <f t="shared" si="119"/>
        <v>0</v>
      </c>
      <c r="AH132">
        <f t="shared" si="119"/>
        <v>0</v>
      </c>
      <c r="AI132">
        <f t="shared" si="119"/>
        <v>0</v>
      </c>
      <c r="AJ132">
        <f t="shared" si="119"/>
        <v>0</v>
      </c>
      <c r="AK132">
        <f t="shared" si="119"/>
        <v>0</v>
      </c>
      <c r="AL132">
        <f t="shared" si="119"/>
        <v>0</v>
      </c>
      <c r="AM132">
        <f t="shared" si="119"/>
        <v>0</v>
      </c>
      <c r="AN132">
        <f t="shared" si="119"/>
        <v>0</v>
      </c>
      <c r="AO132">
        <f t="shared" si="119"/>
        <v>0</v>
      </c>
      <c r="AP132">
        <f t="shared" si="119"/>
        <v>0</v>
      </c>
      <c r="AQ132">
        <f t="shared" si="119"/>
        <v>0</v>
      </c>
      <c r="AR132">
        <f t="shared" si="119"/>
        <v>0</v>
      </c>
      <c r="AS132">
        <f t="shared" si="119"/>
        <v>0</v>
      </c>
      <c r="AT132">
        <f t="shared" si="119"/>
        <v>0</v>
      </c>
      <c r="AU132">
        <f t="shared" si="119"/>
        <v>0</v>
      </c>
      <c r="AV132">
        <f t="shared" si="119"/>
        <v>0</v>
      </c>
      <c r="AW132">
        <f t="shared" si="119"/>
        <v>0</v>
      </c>
      <c r="AX132">
        <f t="shared" si="119"/>
        <v>0</v>
      </c>
      <c r="AY132">
        <f t="shared" si="119"/>
        <v>0</v>
      </c>
      <c r="AZ132">
        <f t="shared" si="119"/>
        <v>0</v>
      </c>
      <c r="BA132">
        <f t="shared" si="119"/>
        <v>0</v>
      </c>
    </row>
    <row r="133" spans="1:53" ht="15.75" customHeight="1">
      <c r="A133" s="350">
        <v>1943</v>
      </c>
      <c r="B133" s="350"/>
      <c r="C133" s="350"/>
      <c r="D133" s="350"/>
      <c r="E133" s="350"/>
      <c r="F133" s="350"/>
      <c r="G133" s="350"/>
      <c r="H133" s="350"/>
      <c r="I133" s="350"/>
      <c r="J133" s="350"/>
      <c r="K133" s="350"/>
      <c r="L133" s="350"/>
      <c r="M133" s="350"/>
      <c r="N133" s="350"/>
      <c r="O133" s="350"/>
      <c r="P133" s="350"/>
      <c r="Q133" s="350"/>
      <c r="R133" s="350"/>
      <c r="S133" s="350"/>
      <c r="T133" s="350"/>
      <c r="U133" s="350"/>
      <c r="V133">
        <v>7.5</v>
      </c>
      <c r="W133">
        <f t="shared" si="114"/>
        <v>7.5</v>
      </c>
      <c r="X133">
        <f t="shared" ref="X133:BA133" si="120">IF(AND(X$58-$A133&gt;$V$42,SUM($W133:W133)&lt;&gt;$V133),$V133,0)</f>
        <v>0</v>
      </c>
      <c r="Y133">
        <f t="shared" si="120"/>
        <v>0</v>
      </c>
      <c r="Z133">
        <f t="shared" si="120"/>
        <v>0</v>
      </c>
      <c r="AA133">
        <f t="shared" si="120"/>
        <v>0</v>
      </c>
      <c r="AB133">
        <f t="shared" si="120"/>
        <v>0</v>
      </c>
      <c r="AC133">
        <f t="shared" si="120"/>
        <v>0</v>
      </c>
      <c r="AD133">
        <f t="shared" si="120"/>
        <v>0</v>
      </c>
      <c r="AE133">
        <f t="shared" si="120"/>
        <v>0</v>
      </c>
      <c r="AF133">
        <f t="shared" si="120"/>
        <v>0</v>
      </c>
      <c r="AG133">
        <f t="shared" si="120"/>
        <v>0</v>
      </c>
      <c r="AH133">
        <f t="shared" si="120"/>
        <v>0</v>
      </c>
      <c r="AI133">
        <f t="shared" si="120"/>
        <v>0</v>
      </c>
      <c r="AJ133">
        <f t="shared" si="120"/>
        <v>0</v>
      </c>
      <c r="AK133">
        <f t="shared" si="120"/>
        <v>0</v>
      </c>
      <c r="AL133">
        <f t="shared" si="120"/>
        <v>0</v>
      </c>
      <c r="AM133">
        <f t="shared" si="120"/>
        <v>0</v>
      </c>
      <c r="AN133">
        <f t="shared" si="120"/>
        <v>0</v>
      </c>
      <c r="AO133">
        <f t="shared" si="120"/>
        <v>0</v>
      </c>
      <c r="AP133">
        <f t="shared" si="120"/>
        <v>0</v>
      </c>
      <c r="AQ133">
        <f t="shared" si="120"/>
        <v>0</v>
      </c>
      <c r="AR133">
        <f t="shared" si="120"/>
        <v>0</v>
      </c>
      <c r="AS133">
        <f t="shared" si="120"/>
        <v>0</v>
      </c>
      <c r="AT133">
        <f t="shared" si="120"/>
        <v>0</v>
      </c>
      <c r="AU133">
        <f t="shared" si="120"/>
        <v>0</v>
      </c>
      <c r="AV133">
        <f t="shared" si="120"/>
        <v>0</v>
      </c>
      <c r="AW133">
        <f t="shared" si="120"/>
        <v>0</v>
      </c>
      <c r="AX133">
        <f t="shared" si="120"/>
        <v>0</v>
      </c>
      <c r="AY133">
        <f t="shared" si="120"/>
        <v>0</v>
      </c>
      <c r="AZ133">
        <f t="shared" si="120"/>
        <v>0</v>
      </c>
      <c r="BA133">
        <f t="shared" si="120"/>
        <v>0</v>
      </c>
    </row>
    <row r="134" spans="1:53" ht="15.75" customHeight="1">
      <c r="A134" s="350">
        <v>1944</v>
      </c>
      <c r="B134" s="350"/>
      <c r="C134" s="350"/>
      <c r="D134" s="350"/>
      <c r="E134" s="350"/>
      <c r="F134" s="350"/>
      <c r="G134" s="350"/>
      <c r="H134" s="350"/>
      <c r="I134" s="350"/>
      <c r="J134" s="350"/>
      <c r="K134" s="350"/>
      <c r="L134" s="350"/>
      <c r="M134" s="350"/>
      <c r="N134" s="350"/>
      <c r="O134" s="350"/>
      <c r="P134" s="350"/>
      <c r="Q134" s="350"/>
      <c r="R134" s="350"/>
      <c r="S134" s="350"/>
      <c r="T134" s="350"/>
      <c r="U134" s="350"/>
      <c r="V134">
        <v>6.6</v>
      </c>
      <c r="W134">
        <f t="shared" si="114"/>
        <v>6.6</v>
      </c>
      <c r="X134">
        <f t="shared" ref="X134:BA134" si="121">IF(AND(X$58-$A134&gt;$V$42,SUM($W134:W134)&lt;&gt;$V134),$V134,0)</f>
        <v>0</v>
      </c>
      <c r="Y134">
        <f t="shared" si="121"/>
        <v>0</v>
      </c>
      <c r="Z134">
        <f t="shared" si="121"/>
        <v>0</v>
      </c>
      <c r="AA134">
        <f t="shared" si="121"/>
        <v>0</v>
      </c>
      <c r="AB134">
        <f t="shared" si="121"/>
        <v>0</v>
      </c>
      <c r="AC134">
        <f t="shared" si="121"/>
        <v>0</v>
      </c>
      <c r="AD134">
        <f t="shared" si="121"/>
        <v>0</v>
      </c>
      <c r="AE134">
        <f t="shared" si="121"/>
        <v>0</v>
      </c>
      <c r="AF134">
        <f t="shared" si="121"/>
        <v>0</v>
      </c>
      <c r="AG134">
        <f t="shared" si="121"/>
        <v>0</v>
      </c>
      <c r="AH134">
        <f t="shared" si="121"/>
        <v>0</v>
      </c>
      <c r="AI134">
        <f t="shared" si="121"/>
        <v>0</v>
      </c>
      <c r="AJ134">
        <f t="shared" si="121"/>
        <v>0</v>
      </c>
      <c r="AK134">
        <f t="shared" si="121"/>
        <v>0</v>
      </c>
      <c r="AL134">
        <f t="shared" si="121"/>
        <v>0</v>
      </c>
      <c r="AM134">
        <f t="shared" si="121"/>
        <v>0</v>
      </c>
      <c r="AN134">
        <f t="shared" si="121"/>
        <v>0</v>
      </c>
      <c r="AO134">
        <f t="shared" si="121"/>
        <v>0</v>
      </c>
      <c r="AP134">
        <f t="shared" si="121"/>
        <v>0</v>
      </c>
      <c r="AQ134">
        <f t="shared" si="121"/>
        <v>0</v>
      </c>
      <c r="AR134">
        <f t="shared" si="121"/>
        <v>0</v>
      </c>
      <c r="AS134">
        <f t="shared" si="121"/>
        <v>0</v>
      </c>
      <c r="AT134">
        <f t="shared" si="121"/>
        <v>0</v>
      </c>
      <c r="AU134">
        <f t="shared" si="121"/>
        <v>0</v>
      </c>
      <c r="AV134">
        <f t="shared" si="121"/>
        <v>0</v>
      </c>
      <c r="AW134">
        <f t="shared" si="121"/>
        <v>0</v>
      </c>
      <c r="AX134">
        <f t="shared" si="121"/>
        <v>0</v>
      </c>
      <c r="AY134">
        <f t="shared" si="121"/>
        <v>0</v>
      </c>
      <c r="AZ134">
        <f t="shared" si="121"/>
        <v>0</v>
      </c>
      <c r="BA134">
        <f t="shared" si="121"/>
        <v>0</v>
      </c>
    </row>
    <row r="135" spans="1:53" ht="15.75" customHeight="1">
      <c r="A135" s="350">
        <v>1946</v>
      </c>
      <c r="B135" s="350"/>
      <c r="C135" s="350"/>
      <c r="D135" s="350"/>
      <c r="E135" s="350"/>
      <c r="F135" s="350"/>
      <c r="G135" s="350"/>
      <c r="H135" s="350"/>
      <c r="I135" s="350"/>
      <c r="J135" s="350"/>
      <c r="K135" s="350"/>
      <c r="L135" s="350"/>
      <c r="M135" s="350"/>
      <c r="N135" s="350"/>
      <c r="O135" s="350"/>
      <c r="P135" s="350"/>
      <c r="Q135" s="350"/>
      <c r="R135" s="350"/>
      <c r="S135" s="350"/>
      <c r="T135" s="350"/>
      <c r="U135" s="350"/>
      <c r="V135">
        <v>2.7</v>
      </c>
      <c r="W135">
        <f t="shared" si="114"/>
        <v>2.7</v>
      </c>
      <c r="X135">
        <f t="shared" ref="X135:BA135" si="122">IF(AND(X$58-$A135&gt;$V$42,SUM($W135:W135)&lt;&gt;$V135),$V135,0)</f>
        <v>0</v>
      </c>
      <c r="Y135">
        <f t="shared" si="122"/>
        <v>0</v>
      </c>
      <c r="Z135">
        <f t="shared" si="122"/>
        <v>0</v>
      </c>
      <c r="AA135">
        <f t="shared" si="122"/>
        <v>0</v>
      </c>
      <c r="AB135">
        <f t="shared" si="122"/>
        <v>0</v>
      </c>
      <c r="AC135">
        <f t="shared" si="122"/>
        <v>0</v>
      </c>
      <c r="AD135">
        <f t="shared" si="122"/>
        <v>0</v>
      </c>
      <c r="AE135">
        <f t="shared" si="122"/>
        <v>0</v>
      </c>
      <c r="AF135">
        <f t="shared" si="122"/>
        <v>0</v>
      </c>
      <c r="AG135">
        <f t="shared" si="122"/>
        <v>0</v>
      </c>
      <c r="AH135">
        <f t="shared" si="122"/>
        <v>0</v>
      </c>
      <c r="AI135">
        <f t="shared" si="122"/>
        <v>0</v>
      </c>
      <c r="AJ135">
        <f t="shared" si="122"/>
        <v>0</v>
      </c>
      <c r="AK135">
        <f t="shared" si="122"/>
        <v>0</v>
      </c>
      <c r="AL135">
        <f t="shared" si="122"/>
        <v>0</v>
      </c>
      <c r="AM135">
        <f t="shared" si="122"/>
        <v>0</v>
      </c>
      <c r="AN135">
        <f t="shared" si="122"/>
        <v>0</v>
      </c>
      <c r="AO135">
        <f t="shared" si="122"/>
        <v>0</v>
      </c>
      <c r="AP135">
        <f t="shared" si="122"/>
        <v>0</v>
      </c>
      <c r="AQ135">
        <f t="shared" si="122"/>
        <v>0</v>
      </c>
      <c r="AR135">
        <f t="shared" si="122"/>
        <v>0</v>
      </c>
      <c r="AS135">
        <f t="shared" si="122"/>
        <v>0</v>
      </c>
      <c r="AT135">
        <f t="shared" si="122"/>
        <v>0</v>
      </c>
      <c r="AU135">
        <f t="shared" si="122"/>
        <v>0</v>
      </c>
      <c r="AV135">
        <f t="shared" si="122"/>
        <v>0</v>
      </c>
      <c r="AW135">
        <f t="shared" si="122"/>
        <v>0</v>
      </c>
      <c r="AX135">
        <f t="shared" si="122"/>
        <v>0</v>
      </c>
      <c r="AY135">
        <f t="shared" si="122"/>
        <v>0</v>
      </c>
      <c r="AZ135">
        <f t="shared" si="122"/>
        <v>0</v>
      </c>
      <c r="BA135">
        <f t="shared" si="122"/>
        <v>0</v>
      </c>
    </row>
    <row r="136" spans="1:53" ht="13.5" customHeight="1">
      <c r="A136" s="350">
        <v>1947</v>
      </c>
      <c r="B136" s="350"/>
      <c r="C136" s="350"/>
      <c r="D136" s="350"/>
      <c r="E136" s="350"/>
      <c r="F136" s="350"/>
      <c r="G136" s="350"/>
      <c r="H136" s="350"/>
      <c r="I136" s="350"/>
      <c r="J136" s="350"/>
      <c r="K136" s="350"/>
      <c r="L136" s="350"/>
      <c r="M136" s="350"/>
      <c r="N136" s="350"/>
      <c r="O136" s="350"/>
      <c r="P136" s="350"/>
      <c r="Q136" s="350"/>
      <c r="R136" s="350"/>
      <c r="S136" s="350"/>
      <c r="T136" s="350"/>
      <c r="U136" s="350"/>
      <c r="V136">
        <v>3.8</v>
      </c>
      <c r="W136">
        <f t="shared" si="114"/>
        <v>3.8</v>
      </c>
      <c r="X136">
        <f t="shared" ref="X136:BA136" si="123">IF(AND(X$58-$A136&gt;$V$42,SUM($W136:W136)&lt;&gt;$V136),$V136,0)</f>
        <v>0</v>
      </c>
      <c r="Y136">
        <f t="shared" si="123"/>
        <v>0</v>
      </c>
      <c r="Z136">
        <f t="shared" si="123"/>
        <v>0</v>
      </c>
      <c r="AA136">
        <f t="shared" si="123"/>
        <v>0</v>
      </c>
      <c r="AB136">
        <f t="shared" si="123"/>
        <v>0</v>
      </c>
      <c r="AC136">
        <f t="shared" si="123"/>
        <v>0</v>
      </c>
      <c r="AD136">
        <f t="shared" si="123"/>
        <v>0</v>
      </c>
      <c r="AE136">
        <f t="shared" si="123"/>
        <v>0</v>
      </c>
      <c r="AF136">
        <f t="shared" si="123"/>
        <v>0</v>
      </c>
      <c r="AG136">
        <f t="shared" si="123"/>
        <v>0</v>
      </c>
      <c r="AH136">
        <f t="shared" si="123"/>
        <v>0</v>
      </c>
      <c r="AI136">
        <f t="shared" si="123"/>
        <v>0</v>
      </c>
      <c r="AJ136">
        <f t="shared" si="123"/>
        <v>0</v>
      </c>
      <c r="AK136">
        <f t="shared" si="123"/>
        <v>0</v>
      </c>
      <c r="AL136">
        <f t="shared" si="123"/>
        <v>0</v>
      </c>
      <c r="AM136">
        <f t="shared" si="123"/>
        <v>0</v>
      </c>
      <c r="AN136">
        <f t="shared" si="123"/>
        <v>0</v>
      </c>
      <c r="AO136">
        <f t="shared" si="123"/>
        <v>0</v>
      </c>
      <c r="AP136">
        <f t="shared" si="123"/>
        <v>0</v>
      </c>
      <c r="AQ136">
        <f t="shared" si="123"/>
        <v>0</v>
      </c>
      <c r="AR136">
        <f t="shared" si="123"/>
        <v>0</v>
      </c>
      <c r="AS136">
        <f t="shared" si="123"/>
        <v>0</v>
      </c>
      <c r="AT136">
        <f t="shared" si="123"/>
        <v>0</v>
      </c>
      <c r="AU136">
        <f t="shared" si="123"/>
        <v>0</v>
      </c>
      <c r="AV136">
        <f t="shared" si="123"/>
        <v>0</v>
      </c>
      <c r="AW136">
        <f t="shared" si="123"/>
        <v>0</v>
      </c>
      <c r="AX136">
        <f t="shared" si="123"/>
        <v>0</v>
      </c>
      <c r="AY136">
        <f t="shared" si="123"/>
        <v>0</v>
      </c>
      <c r="AZ136">
        <f t="shared" si="123"/>
        <v>0</v>
      </c>
      <c r="BA136">
        <f t="shared" si="123"/>
        <v>0</v>
      </c>
    </row>
    <row r="137" spans="1:53" ht="15.75" customHeight="1">
      <c r="A137" s="350">
        <v>1948</v>
      </c>
      <c r="B137" s="350"/>
      <c r="C137" s="350"/>
      <c r="D137" s="350"/>
      <c r="E137" s="350"/>
      <c r="F137" s="350"/>
      <c r="G137" s="350"/>
      <c r="H137" s="350"/>
      <c r="I137" s="350"/>
      <c r="J137" s="350"/>
      <c r="K137" s="350"/>
      <c r="L137" s="350"/>
      <c r="M137" s="350"/>
      <c r="N137" s="350"/>
      <c r="O137" s="350"/>
      <c r="P137" s="350"/>
      <c r="Q137" s="350"/>
      <c r="R137" s="350"/>
      <c r="S137" s="350"/>
      <c r="T137" s="350"/>
      <c r="U137" s="350"/>
      <c r="V137">
        <v>287.5</v>
      </c>
      <c r="W137">
        <f t="shared" si="114"/>
        <v>287.5</v>
      </c>
      <c r="X137">
        <f t="shared" ref="X137:BA137" si="124">IF(AND(X$58-$A137&gt;$V$42,SUM($W137:W137)&lt;&gt;$V137),$V137,0)</f>
        <v>0</v>
      </c>
      <c r="Y137">
        <f t="shared" si="124"/>
        <v>0</v>
      </c>
      <c r="Z137">
        <f t="shared" si="124"/>
        <v>0</v>
      </c>
      <c r="AA137">
        <f t="shared" si="124"/>
        <v>0</v>
      </c>
      <c r="AB137">
        <f t="shared" si="124"/>
        <v>0</v>
      </c>
      <c r="AC137">
        <f t="shared" si="124"/>
        <v>0</v>
      </c>
      <c r="AD137">
        <f t="shared" si="124"/>
        <v>0</v>
      </c>
      <c r="AE137">
        <f t="shared" si="124"/>
        <v>0</v>
      </c>
      <c r="AF137">
        <f t="shared" si="124"/>
        <v>0</v>
      </c>
      <c r="AG137">
        <f t="shared" si="124"/>
        <v>0</v>
      </c>
      <c r="AH137">
        <f t="shared" si="124"/>
        <v>0</v>
      </c>
      <c r="AI137">
        <f t="shared" si="124"/>
        <v>0</v>
      </c>
      <c r="AJ137">
        <f t="shared" si="124"/>
        <v>0</v>
      </c>
      <c r="AK137">
        <f t="shared" si="124"/>
        <v>0</v>
      </c>
      <c r="AL137">
        <f t="shared" si="124"/>
        <v>0</v>
      </c>
      <c r="AM137">
        <f t="shared" si="124"/>
        <v>0</v>
      </c>
      <c r="AN137">
        <f t="shared" si="124"/>
        <v>0</v>
      </c>
      <c r="AO137">
        <f t="shared" si="124"/>
        <v>0</v>
      </c>
      <c r="AP137">
        <f t="shared" si="124"/>
        <v>0</v>
      </c>
      <c r="AQ137">
        <f t="shared" si="124"/>
        <v>0</v>
      </c>
      <c r="AR137">
        <f t="shared" si="124"/>
        <v>0</v>
      </c>
      <c r="AS137">
        <f t="shared" si="124"/>
        <v>0</v>
      </c>
      <c r="AT137">
        <f t="shared" si="124"/>
        <v>0</v>
      </c>
      <c r="AU137">
        <f t="shared" si="124"/>
        <v>0</v>
      </c>
      <c r="AV137">
        <f t="shared" si="124"/>
        <v>0</v>
      </c>
      <c r="AW137">
        <f t="shared" si="124"/>
        <v>0</v>
      </c>
      <c r="AX137">
        <f t="shared" si="124"/>
        <v>0</v>
      </c>
      <c r="AY137">
        <f t="shared" si="124"/>
        <v>0</v>
      </c>
      <c r="AZ137">
        <f t="shared" si="124"/>
        <v>0</v>
      </c>
      <c r="BA137">
        <f t="shared" si="124"/>
        <v>0</v>
      </c>
    </row>
    <row r="138" spans="1:53" ht="15.75" customHeight="1">
      <c r="A138" s="350">
        <v>1949</v>
      </c>
      <c r="B138" s="350"/>
      <c r="C138" s="350"/>
      <c r="D138" s="350"/>
      <c r="E138" s="350"/>
      <c r="F138" s="350"/>
      <c r="G138" s="350"/>
      <c r="H138" s="350"/>
      <c r="I138" s="350"/>
      <c r="J138" s="350"/>
      <c r="K138" s="350"/>
      <c r="L138" s="350"/>
      <c r="M138" s="350"/>
      <c r="N138" s="350"/>
      <c r="O138" s="350"/>
      <c r="P138" s="350"/>
      <c r="Q138" s="350"/>
      <c r="R138" s="350"/>
      <c r="S138" s="350"/>
      <c r="T138" s="350"/>
      <c r="U138" s="350"/>
      <c r="V138">
        <v>272</v>
      </c>
      <c r="W138">
        <f t="shared" si="114"/>
        <v>272</v>
      </c>
      <c r="X138">
        <f t="shared" ref="X138:BA138" si="125">IF(AND(X$58-$A138&gt;$V$42,SUM($W138:W138)&lt;&gt;$V138),$V138,0)</f>
        <v>0</v>
      </c>
      <c r="Y138">
        <f t="shared" si="125"/>
        <v>0</v>
      </c>
      <c r="Z138">
        <f t="shared" si="125"/>
        <v>0</v>
      </c>
      <c r="AA138">
        <f t="shared" si="125"/>
        <v>0</v>
      </c>
      <c r="AB138">
        <f t="shared" si="125"/>
        <v>0</v>
      </c>
      <c r="AC138">
        <f t="shared" si="125"/>
        <v>0</v>
      </c>
      <c r="AD138">
        <f t="shared" si="125"/>
        <v>0</v>
      </c>
      <c r="AE138">
        <f t="shared" si="125"/>
        <v>0</v>
      </c>
      <c r="AF138">
        <f t="shared" si="125"/>
        <v>0</v>
      </c>
      <c r="AG138">
        <f t="shared" si="125"/>
        <v>0</v>
      </c>
      <c r="AH138">
        <f t="shared" si="125"/>
        <v>0</v>
      </c>
      <c r="AI138">
        <f t="shared" si="125"/>
        <v>0</v>
      </c>
      <c r="AJ138">
        <f t="shared" si="125"/>
        <v>0</v>
      </c>
      <c r="AK138">
        <f t="shared" si="125"/>
        <v>0</v>
      </c>
      <c r="AL138">
        <f t="shared" si="125"/>
        <v>0</v>
      </c>
      <c r="AM138">
        <f t="shared" si="125"/>
        <v>0</v>
      </c>
      <c r="AN138">
        <f t="shared" si="125"/>
        <v>0</v>
      </c>
      <c r="AO138">
        <f t="shared" si="125"/>
        <v>0</v>
      </c>
      <c r="AP138">
        <f t="shared" si="125"/>
        <v>0</v>
      </c>
      <c r="AQ138">
        <f t="shared" si="125"/>
        <v>0</v>
      </c>
      <c r="AR138">
        <f t="shared" si="125"/>
        <v>0</v>
      </c>
      <c r="AS138">
        <f t="shared" si="125"/>
        <v>0</v>
      </c>
      <c r="AT138">
        <f t="shared" si="125"/>
        <v>0</v>
      </c>
      <c r="AU138">
        <f t="shared" si="125"/>
        <v>0</v>
      </c>
      <c r="AV138">
        <f t="shared" si="125"/>
        <v>0</v>
      </c>
      <c r="AW138">
        <f t="shared" si="125"/>
        <v>0</v>
      </c>
      <c r="AX138">
        <f t="shared" si="125"/>
        <v>0</v>
      </c>
      <c r="AY138">
        <f t="shared" si="125"/>
        <v>0</v>
      </c>
      <c r="AZ138">
        <f t="shared" si="125"/>
        <v>0</v>
      </c>
      <c r="BA138">
        <f t="shared" si="125"/>
        <v>0</v>
      </c>
    </row>
    <row r="139" spans="1:53" ht="15.75" customHeight="1">
      <c r="A139" s="350">
        <v>1950</v>
      </c>
      <c r="B139" s="350"/>
      <c r="C139" s="350"/>
      <c r="D139" s="350"/>
      <c r="E139" s="350"/>
      <c r="F139" s="350"/>
      <c r="G139" s="350"/>
      <c r="H139" s="350"/>
      <c r="I139" s="350"/>
      <c r="J139" s="350"/>
      <c r="K139" s="350"/>
      <c r="L139" s="350"/>
      <c r="M139" s="350"/>
      <c r="N139" s="350"/>
      <c r="O139" s="350"/>
      <c r="P139" s="350"/>
      <c r="Q139" s="350"/>
      <c r="R139" s="350"/>
      <c r="S139" s="350"/>
      <c r="T139" s="350"/>
      <c r="U139" s="350"/>
      <c r="V139">
        <v>141.60000000000002</v>
      </c>
      <c r="W139">
        <f t="shared" si="114"/>
        <v>141.60000000000002</v>
      </c>
      <c r="X139">
        <f t="shared" ref="X139:BA139" si="126">IF(AND(X$58-$A139&gt;$V$42,SUM($W139:W139)&lt;&gt;$V139),$V139,0)</f>
        <v>0</v>
      </c>
      <c r="Y139">
        <f t="shared" si="126"/>
        <v>0</v>
      </c>
      <c r="Z139">
        <f t="shared" si="126"/>
        <v>0</v>
      </c>
      <c r="AA139">
        <f t="shared" si="126"/>
        <v>0</v>
      </c>
      <c r="AB139">
        <f t="shared" si="126"/>
        <v>0</v>
      </c>
      <c r="AC139">
        <f t="shared" si="126"/>
        <v>0</v>
      </c>
      <c r="AD139">
        <f t="shared" si="126"/>
        <v>0</v>
      </c>
      <c r="AE139">
        <f t="shared" si="126"/>
        <v>0</v>
      </c>
      <c r="AF139">
        <f t="shared" si="126"/>
        <v>0</v>
      </c>
      <c r="AG139">
        <f t="shared" si="126"/>
        <v>0</v>
      </c>
      <c r="AH139">
        <f t="shared" si="126"/>
        <v>0</v>
      </c>
      <c r="AI139">
        <f t="shared" si="126"/>
        <v>0</v>
      </c>
      <c r="AJ139">
        <f t="shared" si="126"/>
        <v>0</v>
      </c>
      <c r="AK139">
        <f t="shared" si="126"/>
        <v>0</v>
      </c>
      <c r="AL139">
        <f t="shared" si="126"/>
        <v>0</v>
      </c>
      <c r="AM139">
        <f t="shared" si="126"/>
        <v>0</v>
      </c>
      <c r="AN139">
        <f t="shared" si="126"/>
        <v>0</v>
      </c>
      <c r="AO139">
        <f t="shared" si="126"/>
        <v>0</v>
      </c>
      <c r="AP139">
        <f t="shared" si="126"/>
        <v>0</v>
      </c>
      <c r="AQ139">
        <f t="shared" si="126"/>
        <v>0</v>
      </c>
      <c r="AR139">
        <f t="shared" si="126"/>
        <v>0</v>
      </c>
      <c r="AS139">
        <f t="shared" si="126"/>
        <v>0</v>
      </c>
      <c r="AT139">
        <f t="shared" si="126"/>
        <v>0</v>
      </c>
      <c r="AU139">
        <f t="shared" si="126"/>
        <v>0</v>
      </c>
      <c r="AV139">
        <f t="shared" si="126"/>
        <v>0</v>
      </c>
      <c r="AW139">
        <f t="shared" si="126"/>
        <v>0</v>
      </c>
      <c r="AX139">
        <f t="shared" si="126"/>
        <v>0</v>
      </c>
      <c r="AY139">
        <f t="shared" si="126"/>
        <v>0</v>
      </c>
      <c r="AZ139">
        <f t="shared" si="126"/>
        <v>0</v>
      </c>
      <c r="BA139">
        <f t="shared" si="126"/>
        <v>0</v>
      </c>
    </row>
    <row r="140" spans="1:53" ht="15.75" customHeight="1">
      <c r="A140" s="350">
        <v>1951</v>
      </c>
      <c r="B140" s="350"/>
      <c r="C140" s="350"/>
      <c r="D140" s="350"/>
      <c r="E140" s="350"/>
      <c r="F140" s="350"/>
      <c r="G140" s="350"/>
      <c r="H140" s="350"/>
      <c r="I140" s="350"/>
      <c r="J140" s="350"/>
      <c r="K140" s="350"/>
      <c r="L140" s="350"/>
      <c r="M140" s="350"/>
      <c r="N140" s="350"/>
      <c r="O140" s="350"/>
      <c r="P140" s="350"/>
      <c r="Q140" s="350"/>
      <c r="R140" s="350"/>
      <c r="S140" s="350"/>
      <c r="T140" s="350"/>
      <c r="U140" s="350"/>
      <c r="V140">
        <v>470.5</v>
      </c>
      <c r="W140">
        <f t="shared" si="114"/>
        <v>470.5</v>
      </c>
      <c r="X140">
        <f t="shared" ref="X140:BA140" si="127">IF(AND(X$58-$A140&gt;$V$42,SUM($W140:W140)&lt;&gt;$V140),$V140,0)</f>
        <v>0</v>
      </c>
      <c r="Y140">
        <f t="shared" si="127"/>
        <v>0</v>
      </c>
      <c r="Z140">
        <f t="shared" si="127"/>
        <v>0</v>
      </c>
      <c r="AA140">
        <f t="shared" si="127"/>
        <v>0</v>
      </c>
      <c r="AB140">
        <f t="shared" si="127"/>
        <v>0</v>
      </c>
      <c r="AC140">
        <f t="shared" si="127"/>
        <v>0</v>
      </c>
      <c r="AD140">
        <f t="shared" si="127"/>
        <v>0</v>
      </c>
      <c r="AE140">
        <f t="shared" si="127"/>
        <v>0</v>
      </c>
      <c r="AF140">
        <f t="shared" si="127"/>
        <v>0</v>
      </c>
      <c r="AG140">
        <f t="shared" si="127"/>
        <v>0</v>
      </c>
      <c r="AH140">
        <f t="shared" si="127"/>
        <v>0</v>
      </c>
      <c r="AI140">
        <f t="shared" si="127"/>
        <v>0</v>
      </c>
      <c r="AJ140">
        <f t="shared" si="127"/>
        <v>0</v>
      </c>
      <c r="AK140">
        <f t="shared" si="127"/>
        <v>0</v>
      </c>
      <c r="AL140">
        <f t="shared" si="127"/>
        <v>0</v>
      </c>
      <c r="AM140">
        <f t="shared" si="127"/>
        <v>0</v>
      </c>
      <c r="AN140">
        <f t="shared" si="127"/>
        <v>0</v>
      </c>
      <c r="AO140">
        <f t="shared" si="127"/>
        <v>0</v>
      </c>
      <c r="AP140">
        <f t="shared" si="127"/>
        <v>0</v>
      </c>
      <c r="AQ140">
        <f t="shared" si="127"/>
        <v>0</v>
      </c>
      <c r="AR140">
        <f t="shared" si="127"/>
        <v>0</v>
      </c>
      <c r="AS140">
        <f t="shared" si="127"/>
        <v>0</v>
      </c>
      <c r="AT140">
        <f t="shared" si="127"/>
        <v>0</v>
      </c>
      <c r="AU140">
        <f t="shared" si="127"/>
        <v>0</v>
      </c>
      <c r="AV140">
        <f t="shared" si="127"/>
        <v>0</v>
      </c>
      <c r="AW140">
        <f t="shared" si="127"/>
        <v>0</v>
      </c>
      <c r="AX140">
        <f t="shared" si="127"/>
        <v>0</v>
      </c>
      <c r="AY140">
        <f t="shared" si="127"/>
        <v>0</v>
      </c>
      <c r="AZ140">
        <f t="shared" si="127"/>
        <v>0</v>
      </c>
      <c r="BA140">
        <f t="shared" si="127"/>
        <v>0</v>
      </c>
    </row>
    <row r="141" spans="1:53" ht="15.75" customHeight="1">
      <c r="A141" s="350">
        <v>1952</v>
      </c>
      <c r="B141" s="350"/>
      <c r="C141" s="350"/>
      <c r="D141" s="350"/>
      <c r="E141" s="350"/>
      <c r="F141" s="350"/>
      <c r="G141" s="350"/>
      <c r="H141" s="350"/>
      <c r="I141" s="350"/>
      <c r="J141" s="350"/>
      <c r="K141" s="350"/>
      <c r="L141" s="350"/>
      <c r="M141" s="350"/>
      <c r="N141" s="350"/>
      <c r="O141" s="350"/>
      <c r="P141" s="350"/>
      <c r="Q141" s="350"/>
      <c r="R141" s="350"/>
      <c r="S141" s="350"/>
      <c r="T141" s="350"/>
      <c r="U141" s="350"/>
      <c r="V141">
        <v>432.4</v>
      </c>
      <c r="W141">
        <f t="shared" si="114"/>
        <v>432.4</v>
      </c>
      <c r="X141">
        <f t="shared" ref="X141:BA141" si="128">IF(AND(X$58-$A141&gt;$V$42,SUM($W141:W141)&lt;&gt;$V141),$V141,0)</f>
        <v>0</v>
      </c>
      <c r="Y141">
        <f t="shared" si="128"/>
        <v>0</v>
      </c>
      <c r="Z141">
        <f t="shared" si="128"/>
        <v>0</v>
      </c>
      <c r="AA141">
        <f t="shared" si="128"/>
        <v>0</v>
      </c>
      <c r="AB141">
        <f t="shared" si="128"/>
        <v>0</v>
      </c>
      <c r="AC141">
        <f t="shared" si="128"/>
        <v>0</v>
      </c>
      <c r="AD141">
        <f t="shared" si="128"/>
        <v>0</v>
      </c>
      <c r="AE141">
        <f t="shared" si="128"/>
        <v>0</v>
      </c>
      <c r="AF141">
        <f t="shared" si="128"/>
        <v>0</v>
      </c>
      <c r="AG141">
        <f t="shared" si="128"/>
        <v>0</v>
      </c>
      <c r="AH141">
        <f t="shared" si="128"/>
        <v>0</v>
      </c>
      <c r="AI141">
        <f t="shared" si="128"/>
        <v>0</v>
      </c>
      <c r="AJ141">
        <f t="shared" si="128"/>
        <v>0</v>
      </c>
      <c r="AK141">
        <f t="shared" si="128"/>
        <v>0</v>
      </c>
      <c r="AL141">
        <f t="shared" si="128"/>
        <v>0</v>
      </c>
      <c r="AM141">
        <f t="shared" si="128"/>
        <v>0</v>
      </c>
      <c r="AN141">
        <f t="shared" si="128"/>
        <v>0</v>
      </c>
      <c r="AO141">
        <f t="shared" si="128"/>
        <v>0</v>
      </c>
      <c r="AP141">
        <f t="shared" si="128"/>
        <v>0</v>
      </c>
      <c r="AQ141">
        <f t="shared" si="128"/>
        <v>0</v>
      </c>
      <c r="AR141">
        <f t="shared" si="128"/>
        <v>0</v>
      </c>
      <c r="AS141">
        <f t="shared" si="128"/>
        <v>0</v>
      </c>
      <c r="AT141">
        <f t="shared" si="128"/>
        <v>0</v>
      </c>
      <c r="AU141">
        <f t="shared" si="128"/>
        <v>0</v>
      </c>
      <c r="AV141">
        <f t="shared" si="128"/>
        <v>0</v>
      </c>
      <c r="AW141">
        <f t="shared" si="128"/>
        <v>0</v>
      </c>
      <c r="AX141">
        <f t="shared" si="128"/>
        <v>0</v>
      </c>
      <c r="AY141">
        <f t="shared" si="128"/>
        <v>0</v>
      </c>
      <c r="AZ141">
        <f t="shared" si="128"/>
        <v>0</v>
      </c>
      <c r="BA141">
        <f t="shared" si="128"/>
        <v>0</v>
      </c>
    </row>
    <row r="142" spans="1:53" ht="15.75" customHeight="1">
      <c r="A142" s="350">
        <v>1953</v>
      </c>
      <c r="B142" s="350"/>
      <c r="C142" s="350"/>
      <c r="D142" s="350"/>
      <c r="E142" s="350"/>
      <c r="F142" s="350"/>
      <c r="G142" s="350"/>
      <c r="H142" s="350"/>
      <c r="I142" s="350"/>
      <c r="J142" s="350"/>
      <c r="K142" s="350"/>
      <c r="L142" s="350"/>
      <c r="M142" s="350"/>
      <c r="N142" s="350"/>
      <c r="O142" s="350"/>
      <c r="P142" s="350"/>
      <c r="Q142" s="350"/>
      <c r="R142" s="350"/>
      <c r="S142" s="350"/>
      <c r="T142" s="350"/>
      <c r="U142" s="350"/>
      <c r="V142">
        <v>327.10000000000002</v>
      </c>
      <c r="W142">
        <f t="shared" si="114"/>
        <v>327.10000000000002</v>
      </c>
      <c r="X142">
        <f t="shared" ref="X142:BA142" si="129">IF(AND(X$58-$A142&gt;$V$42,SUM($W142:W142)&lt;&gt;$V142),$V142,0)</f>
        <v>0</v>
      </c>
      <c r="Y142">
        <f t="shared" si="129"/>
        <v>0</v>
      </c>
      <c r="Z142">
        <f t="shared" si="129"/>
        <v>0</v>
      </c>
      <c r="AA142">
        <f t="shared" si="129"/>
        <v>0</v>
      </c>
      <c r="AB142">
        <f t="shared" si="129"/>
        <v>0</v>
      </c>
      <c r="AC142">
        <f t="shared" si="129"/>
        <v>0</v>
      </c>
      <c r="AD142">
        <f t="shared" si="129"/>
        <v>0</v>
      </c>
      <c r="AE142">
        <f t="shared" si="129"/>
        <v>0</v>
      </c>
      <c r="AF142">
        <f t="shared" si="129"/>
        <v>0</v>
      </c>
      <c r="AG142">
        <f t="shared" si="129"/>
        <v>0</v>
      </c>
      <c r="AH142">
        <f t="shared" si="129"/>
        <v>0</v>
      </c>
      <c r="AI142">
        <f t="shared" si="129"/>
        <v>0</v>
      </c>
      <c r="AJ142">
        <f t="shared" si="129"/>
        <v>0</v>
      </c>
      <c r="AK142">
        <f t="shared" si="129"/>
        <v>0</v>
      </c>
      <c r="AL142">
        <f t="shared" si="129"/>
        <v>0</v>
      </c>
      <c r="AM142">
        <f t="shared" si="129"/>
        <v>0</v>
      </c>
      <c r="AN142">
        <f t="shared" si="129"/>
        <v>0</v>
      </c>
      <c r="AO142">
        <f t="shared" si="129"/>
        <v>0</v>
      </c>
      <c r="AP142">
        <f t="shared" si="129"/>
        <v>0</v>
      </c>
      <c r="AQ142">
        <f t="shared" si="129"/>
        <v>0</v>
      </c>
      <c r="AR142">
        <f t="shared" si="129"/>
        <v>0</v>
      </c>
      <c r="AS142">
        <f t="shared" si="129"/>
        <v>0</v>
      </c>
      <c r="AT142">
        <f t="shared" si="129"/>
        <v>0</v>
      </c>
      <c r="AU142">
        <f t="shared" si="129"/>
        <v>0</v>
      </c>
      <c r="AV142">
        <f t="shared" si="129"/>
        <v>0</v>
      </c>
      <c r="AW142">
        <f t="shared" si="129"/>
        <v>0</v>
      </c>
      <c r="AX142">
        <f t="shared" si="129"/>
        <v>0</v>
      </c>
      <c r="AY142">
        <f t="shared" si="129"/>
        <v>0</v>
      </c>
      <c r="AZ142">
        <f t="shared" si="129"/>
        <v>0</v>
      </c>
      <c r="BA142">
        <f t="shared" si="129"/>
        <v>0</v>
      </c>
    </row>
    <row r="143" spans="1:53" ht="15.75" customHeight="1">
      <c r="A143" s="350">
        <v>1954</v>
      </c>
      <c r="B143" s="350"/>
      <c r="C143" s="350"/>
      <c r="D143" s="350"/>
      <c r="E143" s="350"/>
      <c r="F143" s="350"/>
      <c r="G143" s="350"/>
      <c r="H143" s="350"/>
      <c r="I143" s="350"/>
      <c r="J143" s="350"/>
      <c r="K143" s="350"/>
      <c r="L143" s="350"/>
      <c r="M143" s="350"/>
      <c r="N143" s="350"/>
      <c r="O143" s="350"/>
      <c r="P143" s="350"/>
      <c r="Q143" s="350"/>
      <c r="R143" s="350"/>
      <c r="S143" s="350"/>
      <c r="T143" s="350"/>
      <c r="U143" s="350"/>
      <c r="V143">
        <v>1034.5999999999999</v>
      </c>
      <c r="W143">
        <f t="shared" si="114"/>
        <v>1034.5999999999999</v>
      </c>
      <c r="X143">
        <f t="shared" ref="X143:BA143" si="130">IF(AND(X$58-$A143&gt;$V$42,SUM($W143:W143)&lt;&gt;$V143),$V143,0)</f>
        <v>0</v>
      </c>
      <c r="Y143">
        <f t="shared" si="130"/>
        <v>0</v>
      </c>
      <c r="Z143">
        <f t="shared" si="130"/>
        <v>0</v>
      </c>
      <c r="AA143">
        <f t="shared" si="130"/>
        <v>0</v>
      </c>
      <c r="AB143">
        <f t="shared" si="130"/>
        <v>0</v>
      </c>
      <c r="AC143">
        <f t="shared" si="130"/>
        <v>0</v>
      </c>
      <c r="AD143">
        <f t="shared" si="130"/>
        <v>0</v>
      </c>
      <c r="AE143">
        <f t="shared" si="130"/>
        <v>0</v>
      </c>
      <c r="AF143">
        <f t="shared" si="130"/>
        <v>0</v>
      </c>
      <c r="AG143">
        <f t="shared" si="130"/>
        <v>0</v>
      </c>
      <c r="AH143">
        <f t="shared" si="130"/>
        <v>0</v>
      </c>
      <c r="AI143">
        <f t="shared" si="130"/>
        <v>0</v>
      </c>
      <c r="AJ143">
        <f t="shared" si="130"/>
        <v>0</v>
      </c>
      <c r="AK143">
        <f t="shared" si="130"/>
        <v>0</v>
      </c>
      <c r="AL143">
        <f t="shared" si="130"/>
        <v>0</v>
      </c>
      <c r="AM143">
        <f t="shared" si="130"/>
        <v>0</v>
      </c>
      <c r="AN143">
        <f t="shared" si="130"/>
        <v>0</v>
      </c>
      <c r="AO143">
        <f t="shared" si="130"/>
        <v>0</v>
      </c>
      <c r="AP143">
        <f t="shared" si="130"/>
        <v>0</v>
      </c>
      <c r="AQ143">
        <f t="shared" si="130"/>
        <v>0</v>
      </c>
      <c r="AR143">
        <f t="shared" si="130"/>
        <v>0</v>
      </c>
      <c r="AS143">
        <f t="shared" si="130"/>
        <v>0</v>
      </c>
      <c r="AT143">
        <f t="shared" si="130"/>
        <v>0</v>
      </c>
      <c r="AU143">
        <f t="shared" si="130"/>
        <v>0</v>
      </c>
      <c r="AV143">
        <f t="shared" si="130"/>
        <v>0</v>
      </c>
      <c r="AW143">
        <f t="shared" si="130"/>
        <v>0</v>
      </c>
      <c r="AX143">
        <f t="shared" si="130"/>
        <v>0</v>
      </c>
      <c r="AY143">
        <f t="shared" si="130"/>
        <v>0</v>
      </c>
      <c r="AZ143">
        <f t="shared" si="130"/>
        <v>0</v>
      </c>
      <c r="BA143">
        <f t="shared" si="130"/>
        <v>0</v>
      </c>
    </row>
    <row r="144" spans="1:53" ht="15.75" customHeight="1">
      <c r="A144" s="350">
        <v>1955</v>
      </c>
      <c r="B144" s="350"/>
      <c r="C144" s="350"/>
      <c r="D144" s="350"/>
      <c r="E144" s="350"/>
      <c r="F144" s="350"/>
      <c r="G144" s="350"/>
      <c r="H144" s="350"/>
      <c r="I144" s="350"/>
      <c r="J144" s="350"/>
      <c r="K144" s="350"/>
      <c r="L144" s="350"/>
      <c r="M144" s="350"/>
      <c r="N144" s="350"/>
      <c r="O144" s="350"/>
      <c r="P144" s="350"/>
      <c r="Q144" s="350"/>
      <c r="R144" s="350"/>
      <c r="S144" s="350"/>
      <c r="T144" s="350"/>
      <c r="U144" s="350"/>
      <c r="V144">
        <v>590.79999999999995</v>
      </c>
      <c r="W144">
        <f t="shared" si="114"/>
        <v>590.79999999999995</v>
      </c>
      <c r="X144">
        <f t="shared" ref="X144:BA144" si="131">IF(AND(X$58-$A144&gt;$V$42,SUM($W144:W144)&lt;&gt;$V144),$V144,0)</f>
        <v>0</v>
      </c>
      <c r="Y144">
        <f t="shared" si="131"/>
        <v>0</v>
      </c>
      <c r="Z144">
        <f t="shared" si="131"/>
        <v>0</v>
      </c>
      <c r="AA144">
        <f t="shared" si="131"/>
        <v>0</v>
      </c>
      <c r="AB144">
        <f t="shared" si="131"/>
        <v>0</v>
      </c>
      <c r="AC144">
        <f t="shared" si="131"/>
        <v>0</v>
      </c>
      <c r="AD144">
        <f t="shared" si="131"/>
        <v>0</v>
      </c>
      <c r="AE144">
        <f t="shared" si="131"/>
        <v>0</v>
      </c>
      <c r="AF144">
        <f t="shared" si="131"/>
        <v>0</v>
      </c>
      <c r="AG144">
        <f t="shared" si="131"/>
        <v>0</v>
      </c>
      <c r="AH144">
        <f t="shared" si="131"/>
        <v>0</v>
      </c>
      <c r="AI144">
        <f t="shared" si="131"/>
        <v>0</v>
      </c>
      <c r="AJ144">
        <f t="shared" si="131"/>
        <v>0</v>
      </c>
      <c r="AK144">
        <f t="shared" si="131"/>
        <v>0</v>
      </c>
      <c r="AL144">
        <f t="shared" si="131"/>
        <v>0</v>
      </c>
      <c r="AM144">
        <f t="shared" si="131"/>
        <v>0</v>
      </c>
      <c r="AN144">
        <f t="shared" si="131"/>
        <v>0</v>
      </c>
      <c r="AO144">
        <f t="shared" si="131"/>
        <v>0</v>
      </c>
      <c r="AP144">
        <f t="shared" si="131"/>
        <v>0</v>
      </c>
      <c r="AQ144">
        <f t="shared" si="131"/>
        <v>0</v>
      </c>
      <c r="AR144">
        <f t="shared" si="131"/>
        <v>0</v>
      </c>
      <c r="AS144">
        <f t="shared" si="131"/>
        <v>0</v>
      </c>
      <c r="AT144">
        <f t="shared" si="131"/>
        <v>0</v>
      </c>
      <c r="AU144">
        <f t="shared" si="131"/>
        <v>0</v>
      </c>
      <c r="AV144">
        <f t="shared" si="131"/>
        <v>0</v>
      </c>
      <c r="AW144">
        <f t="shared" si="131"/>
        <v>0</v>
      </c>
      <c r="AX144">
        <f t="shared" si="131"/>
        <v>0</v>
      </c>
      <c r="AY144">
        <f t="shared" si="131"/>
        <v>0</v>
      </c>
      <c r="AZ144">
        <f t="shared" si="131"/>
        <v>0</v>
      </c>
      <c r="BA144">
        <f t="shared" si="131"/>
        <v>0</v>
      </c>
    </row>
    <row r="145" spans="1:53" ht="15.75" customHeight="1">
      <c r="A145" s="350">
        <v>1956</v>
      </c>
      <c r="B145" s="350"/>
      <c r="C145" s="350"/>
      <c r="D145" s="350"/>
      <c r="E145" s="350"/>
      <c r="F145" s="350"/>
      <c r="G145" s="350"/>
      <c r="H145" s="350"/>
      <c r="I145" s="350"/>
      <c r="J145" s="350"/>
      <c r="K145" s="350"/>
      <c r="L145" s="350"/>
      <c r="M145" s="350"/>
      <c r="N145" s="350"/>
      <c r="O145" s="350"/>
      <c r="P145" s="350"/>
      <c r="Q145" s="350"/>
      <c r="R145" s="350"/>
      <c r="S145" s="350"/>
      <c r="T145" s="350"/>
      <c r="U145" s="350"/>
      <c r="V145">
        <v>1077.1000000000001</v>
      </c>
      <c r="W145">
        <f t="shared" si="114"/>
        <v>1077.1000000000001</v>
      </c>
      <c r="X145">
        <f t="shared" ref="X145:BA145" si="132">IF(AND(X$58-$A145&gt;$V$42,SUM($W145:W145)&lt;&gt;$V145),$V145,0)</f>
        <v>0</v>
      </c>
      <c r="Y145">
        <f t="shared" si="132"/>
        <v>0</v>
      </c>
      <c r="Z145">
        <f t="shared" si="132"/>
        <v>0</v>
      </c>
      <c r="AA145">
        <f t="shared" si="132"/>
        <v>0</v>
      </c>
      <c r="AB145">
        <f t="shared" si="132"/>
        <v>0</v>
      </c>
      <c r="AC145">
        <f t="shared" si="132"/>
        <v>0</v>
      </c>
      <c r="AD145">
        <f t="shared" si="132"/>
        <v>0</v>
      </c>
      <c r="AE145">
        <f t="shared" si="132"/>
        <v>0</v>
      </c>
      <c r="AF145">
        <f t="shared" si="132"/>
        <v>0</v>
      </c>
      <c r="AG145">
        <f t="shared" si="132"/>
        <v>0</v>
      </c>
      <c r="AH145">
        <f t="shared" si="132"/>
        <v>0</v>
      </c>
      <c r="AI145">
        <f t="shared" si="132"/>
        <v>0</v>
      </c>
      <c r="AJ145">
        <f t="shared" si="132"/>
        <v>0</v>
      </c>
      <c r="AK145">
        <f t="shared" si="132"/>
        <v>0</v>
      </c>
      <c r="AL145">
        <f t="shared" si="132"/>
        <v>0</v>
      </c>
      <c r="AM145">
        <f t="shared" si="132"/>
        <v>0</v>
      </c>
      <c r="AN145">
        <f t="shared" si="132"/>
        <v>0</v>
      </c>
      <c r="AO145">
        <f t="shared" si="132"/>
        <v>0</v>
      </c>
      <c r="AP145">
        <f t="shared" si="132"/>
        <v>0</v>
      </c>
      <c r="AQ145">
        <f t="shared" si="132"/>
        <v>0</v>
      </c>
      <c r="AR145">
        <f t="shared" si="132"/>
        <v>0</v>
      </c>
      <c r="AS145">
        <f t="shared" si="132"/>
        <v>0</v>
      </c>
      <c r="AT145">
        <f t="shared" si="132"/>
        <v>0</v>
      </c>
      <c r="AU145">
        <f t="shared" si="132"/>
        <v>0</v>
      </c>
      <c r="AV145">
        <f t="shared" si="132"/>
        <v>0</v>
      </c>
      <c r="AW145">
        <f t="shared" si="132"/>
        <v>0</v>
      </c>
      <c r="AX145">
        <f t="shared" si="132"/>
        <v>0</v>
      </c>
      <c r="AY145">
        <f t="shared" si="132"/>
        <v>0</v>
      </c>
      <c r="AZ145">
        <f t="shared" si="132"/>
        <v>0</v>
      </c>
      <c r="BA145">
        <f t="shared" si="132"/>
        <v>0</v>
      </c>
    </row>
    <row r="146" spans="1:53" ht="15.75" customHeight="1">
      <c r="A146" s="350">
        <v>1957</v>
      </c>
      <c r="B146" s="350"/>
      <c r="C146" s="350"/>
      <c r="D146" s="350"/>
      <c r="E146" s="350"/>
      <c r="F146" s="350"/>
      <c r="G146" s="350"/>
      <c r="H146" s="350"/>
      <c r="I146" s="350"/>
      <c r="J146" s="350"/>
      <c r="K146" s="350"/>
      <c r="L146" s="350"/>
      <c r="M146" s="350"/>
      <c r="N146" s="350"/>
      <c r="O146" s="350"/>
      <c r="P146" s="350"/>
      <c r="Q146" s="350"/>
      <c r="R146" s="350"/>
      <c r="S146" s="350"/>
      <c r="T146" s="350"/>
      <c r="U146" s="350"/>
      <c r="V146">
        <v>929.50000000000011</v>
      </c>
      <c r="W146">
        <f t="shared" si="114"/>
        <v>929.50000000000011</v>
      </c>
      <c r="X146">
        <f t="shared" ref="X146:BA146" si="133">IF(AND(X$58-$A146&gt;$V$42,SUM($W146:W146)&lt;&gt;$V146),$V146,0)</f>
        <v>0</v>
      </c>
      <c r="Y146">
        <f t="shared" si="133"/>
        <v>0</v>
      </c>
      <c r="Z146">
        <f t="shared" si="133"/>
        <v>0</v>
      </c>
      <c r="AA146">
        <f t="shared" si="133"/>
        <v>0</v>
      </c>
      <c r="AB146">
        <f t="shared" si="133"/>
        <v>0</v>
      </c>
      <c r="AC146">
        <f t="shared" si="133"/>
        <v>0</v>
      </c>
      <c r="AD146">
        <f t="shared" si="133"/>
        <v>0</v>
      </c>
      <c r="AE146">
        <f t="shared" si="133"/>
        <v>0</v>
      </c>
      <c r="AF146">
        <f t="shared" si="133"/>
        <v>0</v>
      </c>
      <c r="AG146">
        <f t="shared" si="133"/>
        <v>0</v>
      </c>
      <c r="AH146">
        <f t="shared" si="133"/>
        <v>0</v>
      </c>
      <c r="AI146">
        <f t="shared" si="133"/>
        <v>0</v>
      </c>
      <c r="AJ146">
        <f t="shared" si="133"/>
        <v>0</v>
      </c>
      <c r="AK146">
        <f t="shared" si="133"/>
        <v>0</v>
      </c>
      <c r="AL146">
        <f t="shared" si="133"/>
        <v>0</v>
      </c>
      <c r="AM146">
        <f t="shared" si="133"/>
        <v>0</v>
      </c>
      <c r="AN146">
        <f t="shared" si="133"/>
        <v>0</v>
      </c>
      <c r="AO146">
        <f t="shared" si="133"/>
        <v>0</v>
      </c>
      <c r="AP146">
        <f t="shared" si="133"/>
        <v>0</v>
      </c>
      <c r="AQ146">
        <f t="shared" si="133"/>
        <v>0</v>
      </c>
      <c r="AR146">
        <f t="shared" si="133"/>
        <v>0</v>
      </c>
      <c r="AS146">
        <f t="shared" si="133"/>
        <v>0</v>
      </c>
      <c r="AT146">
        <f t="shared" si="133"/>
        <v>0</v>
      </c>
      <c r="AU146">
        <f t="shared" si="133"/>
        <v>0</v>
      </c>
      <c r="AV146">
        <f t="shared" si="133"/>
        <v>0</v>
      </c>
      <c r="AW146">
        <f t="shared" si="133"/>
        <v>0</v>
      </c>
      <c r="AX146">
        <f t="shared" si="133"/>
        <v>0</v>
      </c>
      <c r="AY146">
        <f t="shared" si="133"/>
        <v>0</v>
      </c>
      <c r="AZ146">
        <f t="shared" si="133"/>
        <v>0</v>
      </c>
      <c r="BA146">
        <f t="shared" si="133"/>
        <v>0</v>
      </c>
    </row>
    <row r="147" spans="1:53" ht="15.75" customHeight="1">
      <c r="A147" s="350">
        <v>1958</v>
      </c>
      <c r="B147" s="350"/>
      <c r="C147" s="350"/>
      <c r="D147" s="350"/>
      <c r="E147" s="350"/>
      <c r="F147" s="350"/>
      <c r="G147" s="350"/>
      <c r="H147" s="350"/>
      <c r="I147" s="350"/>
      <c r="J147" s="350"/>
      <c r="K147" s="350"/>
      <c r="L147" s="350"/>
      <c r="M147" s="350"/>
      <c r="N147" s="350"/>
      <c r="O147" s="350"/>
      <c r="P147" s="350"/>
      <c r="Q147" s="350"/>
      <c r="R147" s="350"/>
      <c r="S147" s="350"/>
      <c r="T147" s="350"/>
      <c r="U147" s="350"/>
      <c r="V147">
        <v>3995.5000000000005</v>
      </c>
      <c r="W147">
        <f t="shared" si="114"/>
        <v>3995.5000000000005</v>
      </c>
      <c r="X147">
        <f t="shared" ref="X147:BA147" si="134">IF(AND(X$58-$A147&gt;$V$42,SUM($W147:W147)&lt;&gt;$V147),$V147,0)</f>
        <v>0</v>
      </c>
      <c r="Y147">
        <f t="shared" si="134"/>
        <v>0</v>
      </c>
      <c r="Z147">
        <f t="shared" si="134"/>
        <v>0</v>
      </c>
      <c r="AA147">
        <f t="shared" si="134"/>
        <v>0</v>
      </c>
      <c r="AB147">
        <f t="shared" si="134"/>
        <v>0</v>
      </c>
      <c r="AC147">
        <f t="shared" si="134"/>
        <v>0</v>
      </c>
      <c r="AD147">
        <f t="shared" si="134"/>
        <v>0</v>
      </c>
      <c r="AE147">
        <f t="shared" si="134"/>
        <v>0</v>
      </c>
      <c r="AF147">
        <f t="shared" si="134"/>
        <v>0</v>
      </c>
      <c r="AG147">
        <f t="shared" si="134"/>
        <v>0</v>
      </c>
      <c r="AH147">
        <f t="shared" si="134"/>
        <v>0</v>
      </c>
      <c r="AI147">
        <f t="shared" si="134"/>
        <v>0</v>
      </c>
      <c r="AJ147">
        <f t="shared" si="134"/>
        <v>0</v>
      </c>
      <c r="AK147">
        <f t="shared" si="134"/>
        <v>0</v>
      </c>
      <c r="AL147">
        <f t="shared" si="134"/>
        <v>0</v>
      </c>
      <c r="AM147">
        <f t="shared" si="134"/>
        <v>0</v>
      </c>
      <c r="AN147">
        <f t="shared" si="134"/>
        <v>0</v>
      </c>
      <c r="AO147">
        <f t="shared" si="134"/>
        <v>0</v>
      </c>
      <c r="AP147">
        <f t="shared" si="134"/>
        <v>0</v>
      </c>
      <c r="AQ147">
        <f t="shared" si="134"/>
        <v>0</v>
      </c>
      <c r="AR147">
        <f t="shared" si="134"/>
        <v>0</v>
      </c>
      <c r="AS147">
        <f t="shared" si="134"/>
        <v>0</v>
      </c>
      <c r="AT147">
        <f t="shared" si="134"/>
        <v>0</v>
      </c>
      <c r="AU147">
        <f t="shared" si="134"/>
        <v>0</v>
      </c>
      <c r="AV147">
        <f t="shared" si="134"/>
        <v>0</v>
      </c>
      <c r="AW147">
        <f t="shared" si="134"/>
        <v>0</v>
      </c>
      <c r="AX147">
        <f t="shared" si="134"/>
        <v>0</v>
      </c>
      <c r="AY147">
        <f t="shared" si="134"/>
        <v>0</v>
      </c>
      <c r="AZ147">
        <f t="shared" si="134"/>
        <v>0</v>
      </c>
      <c r="BA147">
        <f t="shared" si="134"/>
        <v>0</v>
      </c>
    </row>
    <row r="148" spans="1:53" ht="15.75" customHeight="1">
      <c r="A148" s="350">
        <v>1959</v>
      </c>
      <c r="B148" s="350"/>
      <c r="C148" s="350"/>
      <c r="D148" s="350"/>
      <c r="E148" s="350"/>
      <c r="F148" s="350"/>
      <c r="G148" s="350"/>
      <c r="H148" s="350"/>
      <c r="I148" s="350"/>
      <c r="J148" s="350"/>
      <c r="K148" s="350"/>
      <c r="L148" s="350"/>
      <c r="M148" s="350"/>
      <c r="N148" s="350"/>
      <c r="O148" s="350"/>
      <c r="P148" s="350"/>
      <c r="Q148" s="350"/>
      <c r="R148" s="350"/>
      <c r="S148" s="350"/>
      <c r="T148" s="350"/>
      <c r="U148" s="350"/>
      <c r="V148">
        <v>1429.1</v>
      </c>
      <c r="W148">
        <f t="shared" si="114"/>
        <v>1429.1</v>
      </c>
      <c r="X148">
        <f t="shared" ref="X148:BA148" si="135">IF(AND(X$58-$A148&gt;$V$42,SUM($W148:W148)&lt;&gt;$V148),$V148,0)</f>
        <v>0</v>
      </c>
      <c r="Y148">
        <f t="shared" si="135"/>
        <v>0</v>
      </c>
      <c r="Z148">
        <f t="shared" si="135"/>
        <v>0</v>
      </c>
      <c r="AA148">
        <f t="shared" si="135"/>
        <v>0</v>
      </c>
      <c r="AB148">
        <f t="shared" si="135"/>
        <v>0</v>
      </c>
      <c r="AC148">
        <f t="shared" si="135"/>
        <v>0</v>
      </c>
      <c r="AD148">
        <f t="shared" si="135"/>
        <v>0</v>
      </c>
      <c r="AE148">
        <f t="shared" si="135"/>
        <v>0</v>
      </c>
      <c r="AF148">
        <f t="shared" si="135"/>
        <v>0</v>
      </c>
      <c r="AG148">
        <f t="shared" si="135"/>
        <v>0</v>
      </c>
      <c r="AH148">
        <f t="shared" si="135"/>
        <v>0</v>
      </c>
      <c r="AI148">
        <f t="shared" si="135"/>
        <v>0</v>
      </c>
      <c r="AJ148">
        <f t="shared" si="135"/>
        <v>0</v>
      </c>
      <c r="AK148">
        <f t="shared" si="135"/>
        <v>0</v>
      </c>
      <c r="AL148">
        <f t="shared" si="135"/>
        <v>0</v>
      </c>
      <c r="AM148">
        <f t="shared" si="135"/>
        <v>0</v>
      </c>
      <c r="AN148">
        <f t="shared" si="135"/>
        <v>0</v>
      </c>
      <c r="AO148">
        <f t="shared" si="135"/>
        <v>0</v>
      </c>
      <c r="AP148">
        <f t="shared" si="135"/>
        <v>0</v>
      </c>
      <c r="AQ148">
        <f t="shared" si="135"/>
        <v>0</v>
      </c>
      <c r="AR148">
        <f t="shared" si="135"/>
        <v>0</v>
      </c>
      <c r="AS148">
        <f t="shared" si="135"/>
        <v>0</v>
      </c>
      <c r="AT148">
        <f t="shared" si="135"/>
        <v>0</v>
      </c>
      <c r="AU148">
        <f t="shared" si="135"/>
        <v>0</v>
      </c>
      <c r="AV148">
        <f t="shared" si="135"/>
        <v>0</v>
      </c>
      <c r="AW148">
        <f t="shared" si="135"/>
        <v>0</v>
      </c>
      <c r="AX148">
        <f t="shared" si="135"/>
        <v>0</v>
      </c>
      <c r="AY148">
        <f t="shared" si="135"/>
        <v>0</v>
      </c>
      <c r="AZ148">
        <f t="shared" si="135"/>
        <v>0</v>
      </c>
      <c r="BA148">
        <f t="shared" si="135"/>
        <v>0</v>
      </c>
    </row>
    <row r="149" spans="1:53" ht="15.75" customHeight="1">
      <c r="A149" s="350">
        <v>1960</v>
      </c>
      <c r="B149" s="350"/>
      <c r="C149" s="350"/>
      <c r="D149" s="350"/>
      <c r="E149" s="350"/>
      <c r="F149" s="350"/>
      <c r="G149" s="350"/>
      <c r="H149" s="350"/>
      <c r="I149" s="350"/>
      <c r="J149" s="350"/>
      <c r="K149" s="350"/>
      <c r="L149" s="350"/>
      <c r="M149" s="350"/>
      <c r="N149" s="350"/>
      <c r="O149" s="350"/>
      <c r="P149" s="350"/>
      <c r="Q149" s="350"/>
      <c r="R149" s="350"/>
      <c r="S149" s="350"/>
      <c r="T149" s="350"/>
      <c r="U149" s="350"/>
      <c r="V149">
        <v>1932.6000000000001</v>
      </c>
      <c r="W149">
        <f t="shared" si="114"/>
        <v>1932.6000000000001</v>
      </c>
      <c r="X149">
        <f t="shared" ref="X149:BA149" si="136">IF(AND(X$58-$A149&gt;$V$42,SUM($W149:W149)&lt;&gt;$V149),$V149,0)</f>
        <v>0</v>
      </c>
      <c r="Y149">
        <f t="shared" si="136"/>
        <v>0</v>
      </c>
      <c r="Z149">
        <f t="shared" si="136"/>
        <v>0</v>
      </c>
      <c r="AA149">
        <f t="shared" si="136"/>
        <v>0</v>
      </c>
      <c r="AB149">
        <f t="shared" si="136"/>
        <v>0</v>
      </c>
      <c r="AC149">
        <f t="shared" si="136"/>
        <v>0</v>
      </c>
      <c r="AD149">
        <f t="shared" si="136"/>
        <v>0</v>
      </c>
      <c r="AE149">
        <f t="shared" si="136"/>
        <v>0</v>
      </c>
      <c r="AF149">
        <f t="shared" si="136"/>
        <v>0</v>
      </c>
      <c r="AG149">
        <f t="shared" si="136"/>
        <v>0</v>
      </c>
      <c r="AH149">
        <f t="shared" si="136"/>
        <v>0</v>
      </c>
      <c r="AI149">
        <f t="shared" si="136"/>
        <v>0</v>
      </c>
      <c r="AJ149">
        <f t="shared" si="136"/>
        <v>0</v>
      </c>
      <c r="AK149">
        <f t="shared" si="136"/>
        <v>0</v>
      </c>
      <c r="AL149">
        <f t="shared" si="136"/>
        <v>0</v>
      </c>
      <c r="AM149">
        <f t="shared" si="136"/>
        <v>0</v>
      </c>
      <c r="AN149">
        <f t="shared" si="136"/>
        <v>0</v>
      </c>
      <c r="AO149">
        <f t="shared" si="136"/>
        <v>0</v>
      </c>
      <c r="AP149">
        <f t="shared" si="136"/>
        <v>0</v>
      </c>
      <c r="AQ149">
        <f t="shared" si="136"/>
        <v>0</v>
      </c>
      <c r="AR149">
        <f t="shared" si="136"/>
        <v>0</v>
      </c>
      <c r="AS149">
        <f t="shared" si="136"/>
        <v>0</v>
      </c>
      <c r="AT149">
        <f t="shared" si="136"/>
        <v>0</v>
      </c>
      <c r="AU149">
        <f t="shared" si="136"/>
        <v>0</v>
      </c>
      <c r="AV149">
        <f t="shared" si="136"/>
        <v>0</v>
      </c>
      <c r="AW149">
        <f t="shared" si="136"/>
        <v>0</v>
      </c>
      <c r="AX149">
        <f t="shared" si="136"/>
        <v>0</v>
      </c>
      <c r="AY149">
        <f t="shared" si="136"/>
        <v>0</v>
      </c>
      <c r="AZ149">
        <f t="shared" si="136"/>
        <v>0</v>
      </c>
      <c r="BA149">
        <f t="shared" si="136"/>
        <v>0</v>
      </c>
    </row>
    <row r="150" spans="1:53" ht="15.75" customHeight="1">
      <c r="A150" s="350">
        <v>1961</v>
      </c>
      <c r="B150" s="350"/>
      <c r="C150" s="350"/>
      <c r="D150" s="350"/>
      <c r="E150" s="350"/>
      <c r="F150" s="350"/>
      <c r="G150" s="350"/>
      <c r="H150" s="350"/>
      <c r="I150" s="350"/>
      <c r="J150" s="350"/>
      <c r="K150" s="350"/>
      <c r="L150" s="350"/>
      <c r="M150" s="350"/>
      <c r="N150" s="350"/>
      <c r="O150" s="350"/>
      <c r="P150" s="350"/>
      <c r="Q150" s="350"/>
      <c r="R150" s="350"/>
      <c r="S150" s="350"/>
      <c r="T150" s="350"/>
      <c r="U150" s="350"/>
      <c r="V150">
        <v>1866.3</v>
      </c>
      <c r="W150">
        <f t="shared" si="114"/>
        <v>1866.3</v>
      </c>
      <c r="X150">
        <f t="shared" ref="X150:BA150" si="137">IF(AND(X$58-$A150&gt;$V$42,SUM($W150:W150)&lt;&gt;$V150),$V150,0)</f>
        <v>0</v>
      </c>
      <c r="Y150">
        <f t="shared" si="137"/>
        <v>0</v>
      </c>
      <c r="Z150">
        <f t="shared" si="137"/>
        <v>0</v>
      </c>
      <c r="AA150">
        <f t="shared" si="137"/>
        <v>0</v>
      </c>
      <c r="AB150">
        <f t="shared" si="137"/>
        <v>0</v>
      </c>
      <c r="AC150">
        <f t="shared" si="137"/>
        <v>0</v>
      </c>
      <c r="AD150">
        <f t="shared" si="137"/>
        <v>0</v>
      </c>
      <c r="AE150">
        <f t="shared" si="137"/>
        <v>0</v>
      </c>
      <c r="AF150">
        <f t="shared" si="137"/>
        <v>0</v>
      </c>
      <c r="AG150">
        <f t="shared" si="137"/>
        <v>0</v>
      </c>
      <c r="AH150">
        <f t="shared" si="137"/>
        <v>0</v>
      </c>
      <c r="AI150">
        <f t="shared" si="137"/>
        <v>0</v>
      </c>
      <c r="AJ150">
        <f t="shared" si="137"/>
        <v>0</v>
      </c>
      <c r="AK150">
        <f t="shared" si="137"/>
        <v>0</v>
      </c>
      <c r="AL150">
        <f t="shared" si="137"/>
        <v>0</v>
      </c>
      <c r="AM150">
        <f t="shared" si="137"/>
        <v>0</v>
      </c>
      <c r="AN150">
        <f t="shared" si="137"/>
        <v>0</v>
      </c>
      <c r="AO150">
        <f t="shared" si="137"/>
        <v>0</v>
      </c>
      <c r="AP150">
        <f t="shared" si="137"/>
        <v>0</v>
      </c>
      <c r="AQ150">
        <f t="shared" si="137"/>
        <v>0</v>
      </c>
      <c r="AR150">
        <f t="shared" si="137"/>
        <v>0</v>
      </c>
      <c r="AS150">
        <f t="shared" si="137"/>
        <v>0</v>
      </c>
      <c r="AT150">
        <f t="shared" si="137"/>
        <v>0</v>
      </c>
      <c r="AU150">
        <f t="shared" si="137"/>
        <v>0</v>
      </c>
      <c r="AV150">
        <f t="shared" si="137"/>
        <v>0</v>
      </c>
      <c r="AW150">
        <f t="shared" si="137"/>
        <v>0</v>
      </c>
      <c r="AX150">
        <f t="shared" si="137"/>
        <v>0</v>
      </c>
      <c r="AY150">
        <f t="shared" si="137"/>
        <v>0</v>
      </c>
      <c r="AZ150">
        <f t="shared" si="137"/>
        <v>0</v>
      </c>
      <c r="BA150">
        <f t="shared" si="137"/>
        <v>0</v>
      </c>
    </row>
    <row r="151" spans="1:53" ht="15.75" customHeight="1">
      <c r="A151" s="350">
        <v>1962</v>
      </c>
      <c r="B151" s="350"/>
      <c r="C151" s="350"/>
      <c r="D151" s="350"/>
      <c r="E151" s="350"/>
      <c r="F151" s="350"/>
      <c r="G151" s="350"/>
      <c r="H151" s="350"/>
      <c r="I151" s="350"/>
      <c r="J151" s="350"/>
      <c r="K151" s="350"/>
      <c r="L151" s="350"/>
      <c r="M151" s="350"/>
      <c r="N151" s="350"/>
      <c r="O151" s="350"/>
      <c r="P151" s="350"/>
      <c r="Q151" s="350"/>
      <c r="R151" s="350"/>
      <c r="S151" s="350"/>
      <c r="T151" s="350"/>
      <c r="U151" s="350"/>
      <c r="V151">
        <v>2079</v>
      </c>
      <c r="W151">
        <f t="shared" si="114"/>
        <v>2079</v>
      </c>
      <c r="X151">
        <f t="shared" ref="X151:BA151" si="138">IF(AND(X$58-$A151&gt;$V$42,SUM($W151:W151)&lt;&gt;$V151),$V151,0)</f>
        <v>0</v>
      </c>
      <c r="Y151">
        <f t="shared" si="138"/>
        <v>0</v>
      </c>
      <c r="Z151">
        <f t="shared" si="138"/>
        <v>0</v>
      </c>
      <c r="AA151">
        <f t="shared" si="138"/>
        <v>0</v>
      </c>
      <c r="AB151">
        <f t="shared" si="138"/>
        <v>0</v>
      </c>
      <c r="AC151">
        <f t="shared" si="138"/>
        <v>0</v>
      </c>
      <c r="AD151">
        <f t="shared" si="138"/>
        <v>0</v>
      </c>
      <c r="AE151">
        <f t="shared" si="138"/>
        <v>0</v>
      </c>
      <c r="AF151">
        <f t="shared" si="138"/>
        <v>0</v>
      </c>
      <c r="AG151">
        <f t="shared" si="138"/>
        <v>0</v>
      </c>
      <c r="AH151">
        <f t="shared" si="138"/>
        <v>0</v>
      </c>
      <c r="AI151">
        <f t="shared" si="138"/>
        <v>0</v>
      </c>
      <c r="AJ151">
        <f t="shared" si="138"/>
        <v>0</v>
      </c>
      <c r="AK151">
        <f t="shared" si="138"/>
        <v>0</v>
      </c>
      <c r="AL151">
        <f t="shared" si="138"/>
        <v>0</v>
      </c>
      <c r="AM151">
        <f t="shared" si="138"/>
        <v>0</v>
      </c>
      <c r="AN151">
        <f t="shared" si="138"/>
        <v>0</v>
      </c>
      <c r="AO151">
        <f t="shared" si="138"/>
        <v>0</v>
      </c>
      <c r="AP151">
        <f t="shared" si="138"/>
        <v>0</v>
      </c>
      <c r="AQ151">
        <f t="shared" si="138"/>
        <v>0</v>
      </c>
      <c r="AR151">
        <f t="shared" si="138"/>
        <v>0</v>
      </c>
      <c r="AS151">
        <f t="shared" si="138"/>
        <v>0</v>
      </c>
      <c r="AT151">
        <f t="shared" si="138"/>
        <v>0</v>
      </c>
      <c r="AU151">
        <f t="shared" si="138"/>
        <v>0</v>
      </c>
      <c r="AV151">
        <f t="shared" si="138"/>
        <v>0</v>
      </c>
      <c r="AW151">
        <f t="shared" si="138"/>
        <v>0</v>
      </c>
      <c r="AX151">
        <f t="shared" si="138"/>
        <v>0</v>
      </c>
      <c r="AY151">
        <f t="shared" si="138"/>
        <v>0</v>
      </c>
      <c r="AZ151">
        <f t="shared" si="138"/>
        <v>0</v>
      </c>
      <c r="BA151">
        <f t="shared" si="138"/>
        <v>0</v>
      </c>
    </row>
    <row r="152" spans="1:53" ht="15.75" customHeight="1">
      <c r="A152" s="350">
        <v>1963</v>
      </c>
      <c r="B152" s="350"/>
      <c r="C152" s="350"/>
      <c r="D152" s="350"/>
      <c r="E152" s="350"/>
      <c r="F152" s="350"/>
      <c r="G152" s="350"/>
      <c r="H152" s="350"/>
      <c r="I152" s="350"/>
      <c r="J152" s="350"/>
      <c r="K152" s="350"/>
      <c r="L152" s="350"/>
      <c r="M152" s="350"/>
      <c r="N152" s="350"/>
      <c r="O152" s="350"/>
      <c r="P152" s="350"/>
      <c r="Q152" s="350"/>
      <c r="R152" s="350"/>
      <c r="S152" s="350"/>
      <c r="T152" s="350"/>
      <c r="U152" s="350"/>
      <c r="V152">
        <v>2970.3</v>
      </c>
      <c r="W152">
        <f t="shared" si="114"/>
        <v>2970.3</v>
      </c>
      <c r="X152">
        <f t="shared" ref="X152:BA152" si="139">IF(AND(X$58-$A152&gt;$V$42,SUM($W152:W152)&lt;&gt;$V152),$V152,0)</f>
        <v>0</v>
      </c>
      <c r="Y152">
        <f t="shared" si="139"/>
        <v>0</v>
      </c>
      <c r="Z152">
        <f t="shared" si="139"/>
        <v>0</v>
      </c>
      <c r="AA152">
        <f t="shared" si="139"/>
        <v>0</v>
      </c>
      <c r="AB152">
        <f t="shared" si="139"/>
        <v>0</v>
      </c>
      <c r="AC152">
        <f t="shared" si="139"/>
        <v>0</v>
      </c>
      <c r="AD152">
        <f t="shared" si="139"/>
        <v>0</v>
      </c>
      <c r="AE152">
        <f t="shared" si="139"/>
        <v>0</v>
      </c>
      <c r="AF152">
        <f t="shared" si="139"/>
        <v>0</v>
      </c>
      <c r="AG152">
        <f t="shared" si="139"/>
        <v>0</v>
      </c>
      <c r="AH152">
        <f t="shared" si="139"/>
        <v>0</v>
      </c>
      <c r="AI152">
        <f t="shared" si="139"/>
        <v>0</v>
      </c>
      <c r="AJ152">
        <f t="shared" si="139"/>
        <v>0</v>
      </c>
      <c r="AK152">
        <f t="shared" si="139"/>
        <v>0</v>
      </c>
      <c r="AL152">
        <f t="shared" si="139"/>
        <v>0</v>
      </c>
      <c r="AM152">
        <f t="shared" si="139"/>
        <v>0</v>
      </c>
      <c r="AN152">
        <f t="shared" si="139"/>
        <v>0</v>
      </c>
      <c r="AO152">
        <f t="shared" si="139"/>
        <v>0</v>
      </c>
      <c r="AP152">
        <f t="shared" si="139"/>
        <v>0</v>
      </c>
      <c r="AQ152">
        <f t="shared" si="139"/>
        <v>0</v>
      </c>
      <c r="AR152">
        <f t="shared" si="139"/>
        <v>0</v>
      </c>
      <c r="AS152">
        <f t="shared" si="139"/>
        <v>0</v>
      </c>
      <c r="AT152">
        <f t="shared" si="139"/>
        <v>0</v>
      </c>
      <c r="AU152">
        <f t="shared" si="139"/>
        <v>0</v>
      </c>
      <c r="AV152">
        <f t="shared" si="139"/>
        <v>0</v>
      </c>
      <c r="AW152">
        <f t="shared" si="139"/>
        <v>0</v>
      </c>
      <c r="AX152">
        <f t="shared" si="139"/>
        <v>0</v>
      </c>
      <c r="AY152">
        <f t="shared" si="139"/>
        <v>0</v>
      </c>
      <c r="AZ152">
        <f t="shared" si="139"/>
        <v>0</v>
      </c>
      <c r="BA152">
        <f t="shared" si="139"/>
        <v>0</v>
      </c>
    </row>
    <row r="153" spans="1:53" ht="15.75" customHeight="1">
      <c r="A153" s="350">
        <v>1964</v>
      </c>
      <c r="B153" s="350"/>
      <c r="C153" s="350"/>
      <c r="D153" s="350"/>
      <c r="E153" s="350"/>
      <c r="F153" s="350"/>
      <c r="G153" s="350"/>
      <c r="H153" s="350"/>
      <c r="I153" s="350"/>
      <c r="J153" s="350"/>
      <c r="K153" s="350"/>
      <c r="L153" s="350"/>
      <c r="M153" s="350"/>
      <c r="N153" s="350"/>
      <c r="O153" s="350"/>
      <c r="P153" s="350"/>
      <c r="Q153" s="350"/>
      <c r="R153" s="350"/>
      <c r="S153" s="350"/>
      <c r="T153" s="350"/>
      <c r="U153" s="350"/>
      <c r="V153">
        <v>1408.6000000000001</v>
      </c>
      <c r="W153">
        <f t="shared" si="114"/>
        <v>1408.6000000000001</v>
      </c>
      <c r="X153">
        <f t="shared" ref="X153:BA153" si="140">IF(AND(X$58-$A153&gt;$V$42,SUM($W153:W153)&lt;&gt;$V153),$V153,0)</f>
        <v>0</v>
      </c>
      <c r="Y153">
        <f t="shared" si="140"/>
        <v>0</v>
      </c>
      <c r="Z153">
        <f t="shared" si="140"/>
        <v>0</v>
      </c>
      <c r="AA153">
        <f t="shared" si="140"/>
        <v>0</v>
      </c>
      <c r="AB153">
        <f t="shared" si="140"/>
        <v>0</v>
      </c>
      <c r="AC153">
        <f t="shared" si="140"/>
        <v>0</v>
      </c>
      <c r="AD153">
        <f t="shared" si="140"/>
        <v>0</v>
      </c>
      <c r="AE153">
        <f t="shared" si="140"/>
        <v>0</v>
      </c>
      <c r="AF153">
        <f t="shared" si="140"/>
        <v>0</v>
      </c>
      <c r="AG153">
        <f t="shared" si="140"/>
        <v>0</v>
      </c>
      <c r="AH153">
        <f t="shared" si="140"/>
        <v>0</v>
      </c>
      <c r="AI153">
        <f t="shared" si="140"/>
        <v>0</v>
      </c>
      <c r="AJ153">
        <f t="shared" si="140"/>
        <v>0</v>
      </c>
      <c r="AK153">
        <f t="shared" si="140"/>
        <v>0</v>
      </c>
      <c r="AL153">
        <f t="shared" si="140"/>
        <v>0</v>
      </c>
      <c r="AM153">
        <f t="shared" si="140"/>
        <v>0</v>
      </c>
      <c r="AN153">
        <f t="shared" si="140"/>
        <v>0</v>
      </c>
      <c r="AO153">
        <f t="shared" si="140"/>
        <v>0</v>
      </c>
      <c r="AP153">
        <f t="shared" si="140"/>
        <v>0</v>
      </c>
      <c r="AQ153">
        <f t="shared" si="140"/>
        <v>0</v>
      </c>
      <c r="AR153">
        <f t="shared" si="140"/>
        <v>0</v>
      </c>
      <c r="AS153">
        <f t="shared" si="140"/>
        <v>0</v>
      </c>
      <c r="AT153">
        <f t="shared" si="140"/>
        <v>0</v>
      </c>
      <c r="AU153">
        <f t="shared" si="140"/>
        <v>0</v>
      </c>
      <c r="AV153">
        <f t="shared" si="140"/>
        <v>0</v>
      </c>
      <c r="AW153">
        <f t="shared" si="140"/>
        <v>0</v>
      </c>
      <c r="AX153">
        <f t="shared" si="140"/>
        <v>0</v>
      </c>
      <c r="AY153">
        <f t="shared" si="140"/>
        <v>0</v>
      </c>
      <c r="AZ153">
        <f t="shared" si="140"/>
        <v>0</v>
      </c>
      <c r="BA153">
        <f t="shared" si="140"/>
        <v>0</v>
      </c>
    </row>
    <row r="154" spans="1:53" ht="15.75" customHeight="1">
      <c r="A154" s="350">
        <v>1965</v>
      </c>
      <c r="B154" s="350"/>
      <c r="C154" s="350"/>
      <c r="D154" s="350"/>
      <c r="E154" s="350"/>
      <c r="F154" s="350"/>
      <c r="G154" s="350"/>
      <c r="H154" s="350"/>
      <c r="I154" s="350"/>
      <c r="J154" s="350"/>
      <c r="K154" s="350"/>
      <c r="L154" s="350"/>
      <c r="M154" s="350"/>
      <c r="N154" s="350"/>
      <c r="O154" s="350"/>
      <c r="P154" s="350"/>
      <c r="Q154" s="350"/>
      <c r="R154" s="350"/>
      <c r="S154" s="350"/>
      <c r="T154" s="350"/>
      <c r="U154" s="350"/>
      <c r="V154">
        <v>2957.8</v>
      </c>
      <c r="W154">
        <f t="shared" si="114"/>
        <v>2957.8</v>
      </c>
      <c r="X154">
        <f t="shared" ref="X154:BA154" si="141">IF(AND(X$58-$A154&gt;$V$42,SUM($W154:W154)&lt;&gt;$V154),$V154,0)</f>
        <v>0</v>
      </c>
      <c r="Y154">
        <f t="shared" si="141"/>
        <v>0</v>
      </c>
      <c r="Z154">
        <f t="shared" si="141"/>
        <v>0</v>
      </c>
      <c r="AA154">
        <f t="shared" si="141"/>
        <v>0</v>
      </c>
      <c r="AB154">
        <f t="shared" si="141"/>
        <v>0</v>
      </c>
      <c r="AC154">
        <f t="shared" si="141"/>
        <v>0</v>
      </c>
      <c r="AD154">
        <f t="shared" si="141"/>
        <v>0</v>
      </c>
      <c r="AE154">
        <f t="shared" si="141"/>
        <v>0</v>
      </c>
      <c r="AF154">
        <f t="shared" si="141"/>
        <v>0</v>
      </c>
      <c r="AG154">
        <f t="shared" si="141"/>
        <v>0</v>
      </c>
      <c r="AH154">
        <f t="shared" si="141"/>
        <v>0</v>
      </c>
      <c r="AI154">
        <f t="shared" si="141"/>
        <v>0</v>
      </c>
      <c r="AJ154">
        <f t="shared" si="141"/>
        <v>0</v>
      </c>
      <c r="AK154">
        <f t="shared" si="141"/>
        <v>0</v>
      </c>
      <c r="AL154">
        <f t="shared" si="141"/>
        <v>0</v>
      </c>
      <c r="AM154">
        <f t="shared" si="141"/>
        <v>0</v>
      </c>
      <c r="AN154">
        <f t="shared" si="141"/>
        <v>0</v>
      </c>
      <c r="AO154">
        <f t="shared" si="141"/>
        <v>0</v>
      </c>
      <c r="AP154">
        <f t="shared" si="141"/>
        <v>0</v>
      </c>
      <c r="AQ154">
        <f t="shared" si="141"/>
        <v>0</v>
      </c>
      <c r="AR154">
        <f t="shared" si="141"/>
        <v>0</v>
      </c>
      <c r="AS154">
        <f t="shared" si="141"/>
        <v>0</v>
      </c>
      <c r="AT154">
        <f t="shared" si="141"/>
        <v>0</v>
      </c>
      <c r="AU154">
        <f t="shared" si="141"/>
        <v>0</v>
      </c>
      <c r="AV154">
        <f t="shared" si="141"/>
        <v>0</v>
      </c>
      <c r="AW154">
        <f t="shared" si="141"/>
        <v>0</v>
      </c>
      <c r="AX154">
        <f t="shared" si="141"/>
        <v>0</v>
      </c>
      <c r="AY154">
        <f t="shared" si="141"/>
        <v>0</v>
      </c>
      <c r="AZ154">
        <f t="shared" si="141"/>
        <v>0</v>
      </c>
      <c r="BA154">
        <f t="shared" si="141"/>
        <v>0</v>
      </c>
    </row>
    <row r="155" spans="1:53" ht="15.75" customHeight="1">
      <c r="A155" s="350">
        <v>1966</v>
      </c>
      <c r="B155" s="350"/>
      <c r="C155" s="350"/>
      <c r="D155" s="350"/>
      <c r="E155" s="350"/>
      <c r="F155" s="350"/>
      <c r="G155" s="350"/>
      <c r="H155" s="350"/>
      <c r="I155" s="350"/>
      <c r="J155" s="350"/>
      <c r="K155" s="350"/>
      <c r="L155" s="350"/>
      <c r="M155" s="350"/>
      <c r="N155" s="350"/>
      <c r="O155" s="350"/>
      <c r="P155" s="350"/>
      <c r="Q155" s="350"/>
      <c r="R155" s="350"/>
      <c r="S155" s="350"/>
      <c r="T155" s="350"/>
      <c r="U155" s="350"/>
      <c r="V155">
        <v>2712.2999999999993</v>
      </c>
      <c r="W155">
        <f t="shared" si="114"/>
        <v>2712.2999999999993</v>
      </c>
      <c r="X155">
        <f t="shared" ref="X155:BA155" si="142">IF(AND(X$58-$A155&gt;$V$42,SUM($W155:W155)&lt;&gt;$V155),$V155,0)</f>
        <v>0</v>
      </c>
      <c r="Y155">
        <f t="shared" si="142"/>
        <v>0</v>
      </c>
      <c r="Z155">
        <f t="shared" si="142"/>
        <v>0</v>
      </c>
      <c r="AA155">
        <f t="shared" si="142"/>
        <v>0</v>
      </c>
      <c r="AB155">
        <f t="shared" si="142"/>
        <v>0</v>
      </c>
      <c r="AC155">
        <f t="shared" si="142"/>
        <v>0</v>
      </c>
      <c r="AD155">
        <f t="shared" si="142"/>
        <v>0</v>
      </c>
      <c r="AE155">
        <f t="shared" si="142"/>
        <v>0</v>
      </c>
      <c r="AF155">
        <f t="shared" si="142"/>
        <v>0</v>
      </c>
      <c r="AG155">
        <f t="shared" si="142"/>
        <v>0</v>
      </c>
      <c r="AH155">
        <f t="shared" si="142"/>
        <v>0</v>
      </c>
      <c r="AI155">
        <f t="shared" si="142"/>
        <v>0</v>
      </c>
      <c r="AJ155">
        <f t="shared" si="142"/>
        <v>0</v>
      </c>
      <c r="AK155">
        <f t="shared" si="142"/>
        <v>0</v>
      </c>
      <c r="AL155">
        <f t="shared" si="142"/>
        <v>0</v>
      </c>
      <c r="AM155">
        <f t="shared" si="142"/>
        <v>0</v>
      </c>
      <c r="AN155">
        <f t="shared" si="142"/>
        <v>0</v>
      </c>
      <c r="AO155">
        <f t="shared" si="142"/>
        <v>0</v>
      </c>
      <c r="AP155">
        <f t="shared" si="142"/>
        <v>0</v>
      </c>
      <c r="AQ155">
        <f t="shared" si="142"/>
        <v>0</v>
      </c>
      <c r="AR155">
        <f t="shared" si="142"/>
        <v>0</v>
      </c>
      <c r="AS155">
        <f t="shared" si="142"/>
        <v>0</v>
      </c>
      <c r="AT155">
        <f t="shared" si="142"/>
        <v>0</v>
      </c>
      <c r="AU155">
        <f t="shared" si="142"/>
        <v>0</v>
      </c>
      <c r="AV155">
        <f t="shared" si="142"/>
        <v>0</v>
      </c>
      <c r="AW155">
        <f t="shared" si="142"/>
        <v>0</v>
      </c>
      <c r="AX155">
        <f t="shared" si="142"/>
        <v>0</v>
      </c>
      <c r="AY155">
        <f t="shared" si="142"/>
        <v>0</v>
      </c>
      <c r="AZ155">
        <f t="shared" si="142"/>
        <v>0</v>
      </c>
      <c r="BA155">
        <f t="shared" si="142"/>
        <v>0</v>
      </c>
    </row>
    <row r="156" spans="1:53" ht="15.75" customHeight="1">
      <c r="A156" s="350">
        <v>1967</v>
      </c>
      <c r="B156" s="350"/>
      <c r="C156" s="350"/>
      <c r="D156" s="350"/>
      <c r="E156" s="350"/>
      <c r="F156" s="350"/>
      <c r="G156" s="350"/>
      <c r="H156" s="350"/>
      <c r="I156" s="350"/>
      <c r="J156" s="350"/>
      <c r="K156" s="350"/>
      <c r="L156" s="350"/>
      <c r="M156" s="350"/>
      <c r="N156" s="350"/>
      <c r="O156" s="350"/>
      <c r="P156" s="350"/>
      <c r="Q156" s="350"/>
      <c r="R156" s="350"/>
      <c r="S156" s="350"/>
      <c r="T156" s="350"/>
      <c r="U156" s="350"/>
      <c r="V156">
        <v>4284.7</v>
      </c>
      <c r="W156">
        <f t="shared" si="114"/>
        <v>4284.7</v>
      </c>
      <c r="X156">
        <f t="shared" ref="X156:BA156" si="143">IF(AND(X$58-$A156&gt;$V$42,SUM($W156:W156)&lt;&gt;$V156),$V156,0)</f>
        <v>0</v>
      </c>
      <c r="Y156">
        <f t="shared" si="143"/>
        <v>0</v>
      </c>
      <c r="Z156">
        <f t="shared" si="143"/>
        <v>0</v>
      </c>
      <c r="AA156">
        <f t="shared" si="143"/>
        <v>0</v>
      </c>
      <c r="AB156">
        <f t="shared" si="143"/>
        <v>0</v>
      </c>
      <c r="AC156">
        <f t="shared" si="143"/>
        <v>0</v>
      </c>
      <c r="AD156">
        <f t="shared" si="143"/>
        <v>0</v>
      </c>
      <c r="AE156">
        <f t="shared" si="143"/>
        <v>0</v>
      </c>
      <c r="AF156">
        <f t="shared" si="143"/>
        <v>0</v>
      </c>
      <c r="AG156">
        <f t="shared" si="143"/>
        <v>0</v>
      </c>
      <c r="AH156">
        <f t="shared" si="143"/>
        <v>0</v>
      </c>
      <c r="AI156">
        <f t="shared" si="143"/>
        <v>0</v>
      </c>
      <c r="AJ156">
        <f t="shared" si="143"/>
        <v>0</v>
      </c>
      <c r="AK156">
        <f t="shared" si="143"/>
        <v>0</v>
      </c>
      <c r="AL156">
        <f t="shared" si="143"/>
        <v>0</v>
      </c>
      <c r="AM156">
        <f t="shared" si="143"/>
        <v>0</v>
      </c>
      <c r="AN156">
        <f t="shared" si="143"/>
        <v>0</v>
      </c>
      <c r="AO156">
        <f t="shared" si="143"/>
        <v>0</v>
      </c>
      <c r="AP156">
        <f t="shared" si="143"/>
        <v>0</v>
      </c>
      <c r="AQ156">
        <f t="shared" si="143"/>
        <v>0</v>
      </c>
      <c r="AR156">
        <f t="shared" si="143"/>
        <v>0</v>
      </c>
      <c r="AS156">
        <f t="shared" si="143"/>
        <v>0</v>
      </c>
      <c r="AT156">
        <f t="shared" si="143"/>
        <v>0</v>
      </c>
      <c r="AU156">
        <f t="shared" si="143"/>
        <v>0</v>
      </c>
      <c r="AV156">
        <f t="shared" si="143"/>
        <v>0</v>
      </c>
      <c r="AW156">
        <f t="shared" si="143"/>
        <v>0</v>
      </c>
      <c r="AX156">
        <f t="shared" si="143"/>
        <v>0</v>
      </c>
      <c r="AY156">
        <f t="shared" si="143"/>
        <v>0</v>
      </c>
      <c r="AZ156">
        <f t="shared" si="143"/>
        <v>0</v>
      </c>
      <c r="BA156">
        <f t="shared" si="143"/>
        <v>0</v>
      </c>
    </row>
    <row r="157" spans="1:53" ht="15.75" customHeight="1">
      <c r="A157" s="350">
        <v>1968</v>
      </c>
      <c r="B157" s="350"/>
      <c r="C157" s="350"/>
      <c r="D157" s="350"/>
      <c r="E157" s="350"/>
      <c r="F157" s="350"/>
      <c r="G157" s="350"/>
      <c r="H157" s="350"/>
      <c r="I157" s="350"/>
      <c r="J157" s="350"/>
      <c r="K157" s="350"/>
      <c r="L157" s="350"/>
      <c r="M157" s="350"/>
      <c r="N157" s="350"/>
      <c r="O157" s="350"/>
      <c r="P157" s="350"/>
      <c r="Q157" s="350"/>
      <c r="R157" s="350"/>
      <c r="S157" s="350"/>
      <c r="T157" s="350"/>
      <c r="U157" s="350"/>
      <c r="V157">
        <v>2942.1</v>
      </c>
      <c r="W157">
        <f t="shared" si="114"/>
        <v>2942.1</v>
      </c>
      <c r="X157">
        <f t="shared" ref="X157:BA157" si="144">IF(AND(X$58-$A157&gt;$V$42,SUM($W157:W157)&lt;&gt;$V157),$V157,0)</f>
        <v>0</v>
      </c>
      <c r="Y157">
        <f t="shared" si="144"/>
        <v>0</v>
      </c>
      <c r="Z157">
        <f t="shared" si="144"/>
        <v>0</v>
      </c>
      <c r="AA157">
        <f t="shared" si="144"/>
        <v>0</v>
      </c>
      <c r="AB157">
        <f t="shared" si="144"/>
        <v>0</v>
      </c>
      <c r="AC157">
        <f t="shared" si="144"/>
        <v>0</v>
      </c>
      <c r="AD157">
        <f t="shared" si="144"/>
        <v>0</v>
      </c>
      <c r="AE157">
        <f t="shared" si="144"/>
        <v>0</v>
      </c>
      <c r="AF157">
        <f t="shared" si="144"/>
        <v>0</v>
      </c>
      <c r="AG157">
        <f t="shared" si="144"/>
        <v>0</v>
      </c>
      <c r="AH157">
        <f t="shared" si="144"/>
        <v>0</v>
      </c>
      <c r="AI157">
        <f t="shared" si="144"/>
        <v>0</v>
      </c>
      <c r="AJ157">
        <f t="shared" si="144"/>
        <v>0</v>
      </c>
      <c r="AK157">
        <f t="shared" si="144"/>
        <v>0</v>
      </c>
      <c r="AL157">
        <f t="shared" si="144"/>
        <v>0</v>
      </c>
      <c r="AM157">
        <f t="shared" si="144"/>
        <v>0</v>
      </c>
      <c r="AN157">
        <f t="shared" si="144"/>
        <v>0</v>
      </c>
      <c r="AO157">
        <f t="shared" si="144"/>
        <v>0</v>
      </c>
      <c r="AP157">
        <f t="shared" si="144"/>
        <v>0</v>
      </c>
      <c r="AQ157">
        <f t="shared" si="144"/>
        <v>0</v>
      </c>
      <c r="AR157">
        <f t="shared" si="144"/>
        <v>0</v>
      </c>
      <c r="AS157">
        <f t="shared" si="144"/>
        <v>0</v>
      </c>
      <c r="AT157">
        <f t="shared" si="144"/>
        <v>0</v>
      </c>
      <c r="AU157">
        <f t="shared" si="144"/>
        <v>0</v>
      </c>
      <c r="AV157">
        <f t="shared" si="144"/>
        <v>0</v>
      </c>
      <c r="AW157">
        <f t="shared" si="144"/>
        <v>0</v>
      </c>
      <c r="AX157">
        <f t="shared" si="144"/>
        <v>0</v>
      </c>
      <c r="AY157">
        <f t="shared" si="144"/>
        <v>0</v>
      </c>
      <c r="AZ157">
        <f t="shared" si="144"/>
        <v>0</v>
      </c>
      <c r="BA157">
        <f t="shared" si="144"/>
        <v>0</v>
      </c>
    </row>
    <row r="158" spans="1:53" ht="15.75" customHeight="1">
      <c r="A158" s="350">
        <v>1969</v>
      </c>
      <c r="B158" s="350"/>
      <c r="C158" s="350"/>
      <c r="D158" s="350"/>
      <c r="E158" s="350"/>
      <c r="F158" s="350"/>
      <c r="G158" s="350"/>
      <c r="H158" s="350"/>
      <c r="I158" s="350"/>
      <c r="J158" s="350"/>
      <c r="K158" s="350"/>
      <c r="L158" s="350"/>
      <c r="M158" s="350"/>
      <c r="N158" s="350"/>
      <c r="O158" s="350"/>
      <c r="P158" s="350"/>
      <c r="Q158" s="350"/>
      <c r="R158" s="350"/>
      <c r="S158" s="350"/>
      <c r="T158" s="350"/>
      <c r="U158" s="350"/>
      <c r="V158">
        <v>3584.9</v>
      </c>
      <c r="W158">
        <f t="shared" si="114"/>
        <v>3584.9</v>
      </c>
      <c r="X158">
        <f t="shared" ref="X158:BA158" si="145">IF(AND(X$58-$A158&gt;$V$42,SUM($W158:W158)&lt;&gt;$V158),$V158,0)</f>
        <v>0</v>
      </c>
      <c r="Y158">
        <f t="shared" si="145"/>
        <v>0</v>
      </c>
      <c r="Z158">
        <f t="shared" si="145"/>
        <v>0</v>
      </c>
      <c r="AA158">
        <f t="shared" si="145"/>
        <v>0</v>
      </c>
      <c r="AB158">
        <f t="shared" si="145"/>
        <v>0</v>
      </c>
      <c r="AC158">
        <f t="shared" si="145"/>
        <v>0</v>
      </c>
      <c r="AD158">
        <f t="shared" si="145"/>
        <v>0</v>
      </c>
      <c r="AE158">
        <f t="shared" si="145"/>
        <v>0</v>
      </c>
      <c r="AF158">
        <f t="shared" si="145"/>
        <v>0</v>
      </c>
      <c r="AG158">
        <f t="shared" si="145"/>
        <v>0</v>
      </c>
      <c r="AH158">
        <f t="shared" si="145"/>
        <v>0</v>
      </c>
      <c r="AI158">
        <f t="shared" si="145"/>
        <v>0</v>
      </c>
      <c r="AJ158">
        <f t="shared" si="145"/>
        <v>0</v>
      </c>
      <c r="AK158">
        <f t="shared" si="145"/>
        <v>0</v>
      </c>
      <c r="AL158">
        <f t="shared" si="145"/>
        <v>0</v>
      </c>
      <c r="AM158">
        <f t="shared" si="145"/>
        <v>0</v>
      </c>
      <c r="AN158">
        <f t="shared" si="145"/>
        <v>0</v>
      </c>
      <c r="AO158">
        <f t="shared" si="145"/>
        <v>0</v>
      </c>
      <c r="AP158">
        <f t="shared" si="145"/>
        <v>0</v>
      </c>
      <c r="AQ158">
        <f t="shared" si="145"/>
        <v>0</v>
      </c>
      <c r="AR158">
        <f t="shared" si="145"/>
        <v>0</v>
      </c>
      <c r="AS158">
        <f t="shared" si="145"/>
        <v>0</v>
      </c>
      <c r="AT158">
        <f t="shared" si="145"/>
        <v>0</v>
      </c>
      <c r="AU158">
        <f t="shared" si="145"/>
        <v>0</v>
      </c>
      <c r="AV158">
        <f t="shared" si="145"/>
        <v>0</v>
      </c>
      <c r="AW158">
        <f t="shared" si="145"/>
        <v>0</v>
      </c>
      <c r="AX158">
        <f t="shared" si="145"/>
        <v>0</v>
      </c>
      <c r="AY158">
        <f t="shared" si="145"/>
        <v>0</v>
      </c>
      <c r="AZ158">
        <f t="shared" si="145"/>
        <v>0</v>
      </c>
      <c r="BA158">
        <f t="shared" si="145"/>
        <v>0</v>
      </c>
    </row>
    <row r="159" spans="1:53" ht="15.75" customHeight="1">
      <c r="A159" s="350">
        <v>1970</v>
      </c>
      <c r="B159" s="350"/>
      <c r="C159" s="350"/>
      <c r="D159" s="350"/>
      <c r="E159" s="350"/>
      <c r="F159" s="350"/>
      <c r="G159" s="350"/>
      <c r="H159" s="350"/>
      <c r="I159" s="350"/>
      <c r="J159" s="350"/>
      <c r="K159" s="350"/>
      <c r="L159" s="350"/>
      <c r="M159" s="350"/>
      <c r="N159" s="350"/>
      <c r="O159" s="350"/>
      <c r="P159" s="350"/>
      <c r="Q159" s="350"/>
      <c r="R159" s="350"/>
      <c r="S159" s="350"/>
      <c r="T159" s="350"/>
      <c r="U159" s="350"/>
      <c r="V159">
        <v>4865.9000000000005</v>
      </c>
      <c r="W159">
        <f t="shared" si="114"/>
        <v>4865.9000000000005</v>
      </c>
      <c r="X159">
        <f t="shared" ref="X159:BA159" si="146">IF(AND(X$58-$A159&gt;$V$42,SUM($W159:W159)&lt;&gt;$V159),$V159,0)</f>
        <v>0</v>
      </c>
      <c r="Y159">
        <f t="shared" si="146"/>
        <v>0</v>
      </c>
      <c r="Z159">
        <f t="shared" si="146"/>
        <v>0</v>
      </c>
      <c r="AA159">
        <f t="shared" si="146"/>
        <v>0</v>
      </c>
      <c r="AB159">
        <f t="shared" si="146"/>
        <v>0</v>
      </c>
      <c r="AC159">
        <f t="shared" si="146"/>
        <v>0</v>
      </c>
      <c r="AD159">
        <f t="shared" si="146"/>
        <v>0</v>
      </c>
      <c r="AE159">
        <f t="shared" si="146"/>
        <v>0</v>
      </c>
      <c r="AF159">
        <f t="shared" si="146"/>
        <v>0</v>
      </c>
      <c r="AG159">
        <f t="shared" si="146"/>
        <v>0</v>
      </c>
      <c r="AH159">
        <f t="shared" si="146"/>
        <v>0</v>
      </c>
      <c r="AI159">
        <f t="shared" si="146"/>
        <v>0</v>
      </c>
      <c r="AJ159">
        <f t="shared" si="146"/>
        <v>0</v>
      </c>
      <c r="AK159">
        <f t="shared" si="146"/>
        <v>0</v>
      </c>
      <c r="AL159">
        <f t="shared" si="146"/>
        <v>0</v>
      </c>
      <c r="AM159">
        <f t="shared" si="146"/>
        <v>0</v>
      </c>
      <c r="AN159">
        <f t="shared" si="146"/>
        <v>0</v>
      </c>
      <c r="AO159">
        <f t="shared" si="146"/>
        <v>0</v>
      </c>
      <c r="AP159">
        <f t="shared" si="146"/>
        <v>0</v>
      </c>
      <c r="AQ159">
        <f t="shared" si="146"/>
        <v>0</v>
      </c>
      <c r="AR159">
        <f t="shared" si="146"/>
        <v>0</v>
      </c>
      <c r="AS159">
        <f t="shared" si="146"/>
        <v>0</v>
      </c>
      <c r="AT159">
        <f t="shared" si="146"/>
        <v>0</v>
      </c>
      <c r="AU159">
        <f t="shared" si="146"/>
        <v>0</v>
      </c>
      <c r="AV159">
        <f t="shared" si="146"/>
        <v>0</v>
      </c>
      <c r="AW159">
        <f t="shared" si="146"/>
        <v>0</v>
      </c>
      <c r="AX159">
        <f t="shared" si="146"/>
        <v>0</v>
      </c>
      <c r="AY159">
        <f t="shared" si="146"/>
        <v>0</v>
      </c>
      <c r="AZ159">
        <f t="shared" si="146"/>
        <v>0</v>
      </c>
      <c r="BA159">
        <f t="shared" si="146"/>
        <v>0</v>
      </c>
    </row>
    <row r="160" spans="1:53" ht="15.75" customHeight="1">
      <c r="A160" s="350">
        <v>1971</v>
      </c>
      <c r="B160" s="350"/>
      <c r="C160" s="350"/>
      <c r="D160" s="350"/>
      <c r="E160" s="350"/>
      <c r="F160" s="350"/>
      <c r="G160" s="350"/>
      <c r="H160" s="350"/>
      <c r="I160" s="350"/>
      <c r="J160" s="350"/>
      <c r="K160" s="350"/>
      <c r="L160" s="350"/>
      <c r="M160" s="350"/>
      <c r="N160" s="350"/>
      <c r="O160" s="350"/>
      <c r="P160" s="350"/>
      <c r="Q160" s="350"/>
      <c r="R160" s="350"/>
      <c r="S160" s="350"/>
      <c r="T160" s="350"/>
      <c r="U160" s="350"/>
      <c r="V160">
        <v>5667.8999999999987</v>
      </c>
      <c r="W160">
        <f t="shared" si="114"/>
        <v>5667.8999999999987</v>
      </c>
      <c r="X160">
        <f t="shared" ref="X160:BA160" si="147">IF(AND(X$58-$A160&gt;$V$42,SUM($W160:W160)&lt;&gt;$V160),$V160,0)</f>
        <v>0</v>
      </c>
      <c r="Y160">
        <f t="shared" si="147"/>
        <v>0</v>
      </c>
      <c r="Z160">
        <f t="shared" si="147"/>
        <v>0</v>
      </c>
      <c r="AA160">
        <f t="shared" si="147"/>
        <v>0</v>
      </c>
      <c r="AB160">
        <f t="shared" si="147"/>
        <v>0</v>
      </c>
      <c r="AC160">
        <f t="shared" si="147"/>
        <v>0</v>
      </c>
      <c r="AD160">
        <f t="shared" si="147"/>
        <v>0</v>
      </c>
      <c r="AE160">
        <f t="shared" si="147"/>
        <v>0</v>
      </c>
      <c r="AF160">
        <f t="shared" si="147"/>
        <v>0</v>
      </c>
      <c r="AG160">
        <f t="shared" si="147"/>
        <v>0</v>
      </c>
      <c r="AH160">
        <f t="shared" si="147"/>
        <v>0</v>
      </c>
      <c r="AI160">
        <f t="shared" si="147"/>
        <v>0</v>
      </c>
      <c r="AJ160">
        <f t="shared" si="147"/>
        <v>0</v>
      </c>
      <c r="AK160">
        <f t="shared" si="147"/>
        <v>0</v>
      </c>
      <c r="AL160">
        <f t="shared" si="147"/>
        <v>0</v>
      </c>
      <c r="AM160">
        <f t="shared" si="147"/>
        <v>0</v>
      </c>
      <c r="AN160">
        <f t="shared" si="147"/>
        <v>0</v>
      </c>
      <c r="AO160">
        <f t="shared" si="147"/>
        <v>0</v>
      </c>
      <c r="AP160">
        <f t="shared" si="147"/>
        <v>0</v>
      </c>
      <c r="AQ160">
        <f t="shared" si="147"/>
        <v>0</v>
      </c>
      <c r="AR160">
        <f t="shared" si="147"/>
        <v>0</v>
      </c>
      <c r="AS160">
        <f t="shared" si="147"/>
        <v>0</v>
      </c>
      <c r="AT160">
        <f t="shared" si="147"/>
        <v>0</v>
      </c>
      <c r="AU160">
        <f t="shared" si="147"/>
        <v>0</v>
      </c>
      <c r="AV160">
        <f t="shared" si="147"/>
        <v>0</v>
      </c>
      <c r="AW160">
        <f t="shared" si="147"/>
        <v>0</v>
      </c>
      <c r="AX160">
        <f t="shared" si="147"/>
        <v>0</v>
      </c>
      <c r="AY160">
        <f t="shared" si="147"/>
        <v>0</v>
      </c>
      <c r="AZ160">
        <f t="shared" si="147"/>
        <v>0</v>
      </c>
      <c r="BA160">
        <f t="shared" si="147"/>
        <v>0</v>
      </c>
    </row>
    <row r="161" spans="1:53" ht="15.75" customHeight="1">
      <c r="A161" s="350">
        <v>1972</v>
      </c>
      <c r="B161" s="350"/>
      <c r="C161" s="350"/>
      <c r="D161" s="350"/>
      <c r="E161" s="350"/>
      <c r="F161" s="350"/>
      <c r="G161" s="350"/>
      <c r="H161" s="350"/>
      <c r="I161" s="350"/>
      <c r="J161" s="350"/>
      <c r="K161" s="350"/>
      <c r="L161" s="350"/>
      <c r="M161" s="350"/>
      <c r="N161" s="350"/>
      <c r="O161" s="350"/>
      <c r="P161" s="350"/>
      <c r="Q161" s="350"/>
      <c r="R161" s="350"/>
      <c r="S161" s="350"/>
      <c r="T161" s="350"/>
      <c r="U161" s="350"/>
      <c r="V161">
        <v>5434.9999999999991</v>
      </c>
      <c r="W161">
        <f t="shared" si="114"/>
        <v>0</v>
      </c>
      <c r="X161">
        <f t="shared" ref="X161:BA161" si="148">IF(AND(X$58-$A161&gt;$V$42,SUM($W161:W161)&lt;&gt;$V161),$V161,0)</f>
        <v>5434.9999999999991</v>
      </c>
      <c r="Y161">
        <f t="shared" si="148"/>
        <v>0</v>
      </c>
      <c r="Z161">
        <f t="shared" si="148"/>
        <v>0</v>
      </c>
      <c r="AA161">
        <f t="shared" si="148"/>
        <v>0</v>
      </c>
      <c r="AB161">
        <f t="shared" si="148"/>
        <v>0</v>
      </c>
      <c r="AC161">
        <f t="shared" si="148"/>
        <v>0</v>
      </c>
      <c r="AD161">
        <f t="shared" si="148"/>
        <v>0</v>
      </c>
      <c r="AE161">
        <f t="shared" si="148"/>
        <v>0</v>
      </c>
      <c r="AF161">
        <f t="shared" si="148"/>
        <v>0</v>
      </c>
      <c r="AG161">
        <f t="shared" si="148"/>
        <v>0</v>
      </c>
      <c r="AH161">
        <f t="shared" si="148"/>
        <v>0</v>
      </c>
      <c r="AI161">
        <f t="shared" si="148"/>
        <v>0</v>
      </c>
      <c r="AJ161">
        <f t="shared" si="148"/>
        <v>0</v>
      </c>
      <c r="AK161">
        <f t="shared" si="148"/>
        <v>0</v>
      </c>
      <c r="AL161">
        <f t="shared" si="148"/>
        <v>0</v>
      </c>
      <c r="AM161">
        <f t="shared" si="148"/>
        <v>0</v>
      </c>
      <c r="AN161">
        <f t="shared" si="148"/>
        <v>0</v>
      </c>
      <c r="AO161">
        <f t="shared" si="148"/>
        <v>0</v>
      </c>
      <c r="AP161">
        <f t="shared" si="148"/>
        <v>0</v>
      </c>
      <c r="AQ161">
        <f t="shared" si="148"/>
        <v>0</v>
      </c>
      <c r="AR161">
        <f t="shared" si="148"/>
        <v>0</v>
      </c>
      <c r="AS161">
        <f t="shared" si="148"/>
        <v>0</v>
      </c>
      <c r="AT161">
        <f t="shared" si="148"/>
        <v>0</v>
      </c>
      <c r="AU161">
        <f t="shared" si="148"/>
        <v>0</v>
      </c>
      <c r="AV161">
        <f t="shared" si="148"/>
        <v>0</v>
      </c>
      <c r="AW161">
        <f t="shared" si="148"/>
        <v>0</v>
      </c>
      <c r="AX161">
        <f t="shared" si="148"/>
        <v>0</v>
      </c>
      <c r="AY161">
        <f t="shared" si="148"/>
        <v>0</v>
      </c>
      <c r="AZ161">
        <f t="shared" si="148"/>
        <v>0</v>
      </c>
      <c r="BA161">
        <f t="shared" si="148"/>
        <v>0</v>
      </c>
    </row>
    <row r="162" spans="1:53" ht="15.75" customHeight="1">
      <c r="A162" s="350">
        <v>1973</v>
      </c>
      <c r="B162" s="350"/>
      <c r="C162" s="350"/>
      <c r="D162" s="350"/>
      <c r="E162" s="350"/>
      <c r="F162" s="350"/>
      <c r="G162" s="350"/>
      <c r="H162" s="350"/>
      <c r="I162" s="350"/>
      <c r="J162" s="350"/>
      <c r="K162" s="350"/>
      <c r="L162" s="350"/>
      <c r="M162" s="350"/>
      <c r="N162" s="350"/>
      <c r="O162" s="350"/>
      <c r="P162" s="350"/>
      <c r="Q162" s="350"/>
      <c r="R162" s="350"/>
      <c r="S162" s="350"/>
      <c r="T162" s="350"/>
      <c r="U162" s="350"/>
      <c r="V162">
        <v>5403.9999999999991</v>
      </c>
      <c r="W162">
        <f t="shared" si="114"/>
        <v>0</v>
      </c>
      <c r="X162">
        <f t="shared" ref="X162:BA162" si="149">IF(AND(X$58-$A162&gt;$V$42,SUM($W162:W162)&lt;&gt;$V162),$V162,0)</f>
        <v>0</v>
      </c>
      <c r="Y162">
        <f t="shared" si="149"/>
        <v>5403.9999999999991</v>
      </c>
      <c r="Z162">
        <f t="shared" si="149"/>
        <v>0</v>
      </c>
      <c r="AA162">
        <f t="shared" si="149"/>
        <v>0</v>
      </c>
      <c r="AB162">
        <f t="shared" si="149"/>
        <v>0</v>
      </c>
      <c r="AC162">
        <f t="shared" si="149"/>
        <v>0</v>
      </c>
      <c r="AD162">
        <f t="shared" si="149"/>
        <v>0</v>
      </c>
      <c r="AE162">
        <f t="shared" si="149"/>
        <v>0</v>
      </c>
      <c r="AF162">
        <f t="shared" si="149"/>
        <v>0</v>
      </c>
      <c r="AG162">
        <f t="shared" si="149"/>
        <v>0</v>
      </c>
      <c r="AH162">
        <f t="shared" si="149"/>
        <v>0</v>
      </c>
      <c r="AI162">
        <f t="shared" si="149"/>
        <v>0</v>
      </c>
      <c r="AJ162">
        <f t="shared" si="149"/>
        <v>0</v>
      </c>
      <c r="AK162">
        <f t="shared" si="149"/>
        <v>0</v>
      </c>
      <c r="AL162">
        <f t="shared" si="149"/>
        <v>0</v>
      </c>
      <c r="AM162">
        <f t="shared" si="149"/>
        <v>0</v>
      </c>
      <c r="AN162">
        <f t="shared" si="149"/>
        <v>0</v>
      </c>
      <c r="AO162">
        <f t="shared" si="149"/>
        <v>0</v>
      </c>
      <c r="AP162">
        <f t="shared" si="149"/>
        <v>0</v>
      </c>
      <c r="AQ162">
        <f t="shared" si="149"/>
        <v>0</v>
      </c>
      <c r="AR162">
        <f t="shared" si="149"/>
        <v>0</v>
      </c>
      <c r="AS162">
        <f t="shared" si="149"/>
        <v>0</v>
      </c>
      <c r="AT162">
        <f t="shared" si="149"/>
        <v>0</v>
      </c>
      <c r="AU162">
        <f t="shared" si="149"/>
        <v>0</v>
      </c>
      <c r="AV162">
        <f t="shared" si="149"/>
        <v>0</v>
      </c>
      <c r="AW162">
        <f t="shared" si="149"/>
        <v>0</v>
      </c>
      <c r="AX162">
        <f t="shared" si="149"/>
        <v>0</v>
      </c>
      <c r="AY162">
        <f t="shared" si="149"/>
        <v>0</v>
      </c>
      <c r="AZ162">
        <f t="shared" si="149"/>
        <v>0</v>
      </c>
      <c r="BA162">
        <f t="shared" si="149"/>
        <v>0</v>
      </c>
    </row>
    <row r="163" spans="1:53" ht="15.75" customHeight="1">
      <c r="A163" s="350">
        <v>1974</v>
      </c>
      <c r="B163" s="350"/>
      <c r="C163" s="350"/>
      <c r="D163" s="350"/>
      <c r="E163" s="350"/>
      <c r="F163" s="350"/>
      <c r="G163" s="350"/>
      <c r="H163" s="350"/>
      <c r="I163" s="350"/>
      <c r="J163" s="350"/>
      <c r="K163" s="350"/>
      <c r="L163" s="350"/>
      <c r="M163" s="350"/>
      <c r="N163" s="350"/>
      <c r="O163" s="350"/>
      <c r="P163" s="350"/>
      <c r="Q163" s="350"/>
      <c r="R163" s="350"/>
      <c r="S163" s="350"/>
      <c r="T163" s="350"/>
      <c r="U163" s="350"/>
      <c r="V163">
        <v>7238.4999999999982</v>
      </c>
      <c r="W163">
        <f t="shared" si="114"/>
        <v>0</v>
      </c>
      <c r="X163">
        <f t="shared" ref="X163:BA163" si="150">IF(AND(X$58-$A163&gt;$V$42,SUM($W163:W163)&lt;&gt;$V163),$V163,0)</f>
        <v>0</v>
      </c>
      <c r="Y163">
        <f t="shared" si="150"/>
        <v>0</v>
      </c>
      <c r="Z163">
        <f t="shared" si="150"/>
        <v>7238.4999999999982</v>
      </c>
      <c r="AA163">
        <f t="shared" si="150"/>
        <v>0</v>
      </c>
      <c r="AB163">
        <f t="shared" si="150"/>
        <v>0</v>
      </c>
      <c r="AC163">
        <f t="shared" si="150"/>
        <v>0</v>
      </c>
      <c r="AD163">
        <f t="shared" si="150"/>
        <v>0</v>
      </c>
      <c r="AE163">
        <f t="shared" si="150"/>
        <v>0</v>
      </c>
      <c r="AF163">
        <f t="shared" si="150"/>
        <v>0</v>
      </c>
      <c r="AG163">
        <f t="shared" si="150"/>
        <v>0</v>
      </c>
      <c r="AH163">
        <f t="shared" si="150"/>
        <v>0</v>
      </c>
      <c r="AI163">
        <f t="shared" si="150"/>
        <v>0</v>
      </c>
      <c r="AJ163">
        <f t="shared" si="150"/>
        <v>0</v>
      </c>
      <c r="AK163">
        <f t="shared" si="150"/>
        <v>0</v>
      </c>
      <c r="AL163">
        <f t="shared" si="150"/>
        <v>0</v>
      </c>
      <c r="AM163">
        <f t="shared" si="150"/>
        <v>0</v>
      </c>
      <c r="AN163">
        <f t="shared" si="150"/>
        <v>0</v>
      </c>
      <c r="AO163">
        <f t="shared" si="150"/>
        <v>0</v>
      </c>
      <c r="AP163">
        <f t="shared" si="150"/>
        <v>0</v>
      </c>
      <c r="AQ163">
        <f t="shared" si="150"/>
        <v>0</v>
      </c>
      <c r="AR163">
        <f t="shared" si="150"/>
        <v>0</v>
      </c>
      <c r="AS163">
        <f t="shared" si="150"/>
        <v>0</v>
      </c>
      <c r="AT163">
        <f t="shared" si="150"/>
        <v>0</v>
      </c>
      <c r="AU163">
        <f t="shared" si="150"/>
        <v>0</v>
      </c>
      <c r="AV163">
        <f t="shared" si="150"/>
        <v>0</v>
      </c>
      <c r="AW163">
        <f t="shared" si="150"/>
        <v>0</v>
      </c>
      <c r="AX163">
        <f t="shared" si="150"/>
        <v>0</v>
      </c>
      <c r="AY163">
        <f t="shared" si="150"/>
        <v>0</v>
      </c>
      <c r="AZ163">
        <f t="shared" si="150"/>
        <v>0</v>
      </c>
      <c r="BA163">
        <f t="shared" si="150"/>
        <v>0</v>
      </c>
    </row>
    <row r="164" spans="1:53" ht="15.75" customHeight="1">
      <c r="A164" s="350">
        <v>1975</v>
      </c>
      <c r="B164" s="350"/>
      <c r="C164" s="350"/>
      <c r="D164" s="350"/>
      <c r="E164" s="350"/>
      <c r="F164" s="350"/>
      <c r="G164" s="350"/>
      <c r="H164" s="350"/>
      <c r="I164" s="350"/>
      <c r="J164" s="350"/>
      <c r="K164" s="350"/>
      <c r="L164" s="350"/>
      <c r="M164" s="350"/>
      <c r="N164" s="350"/>
      <c r="O164" s="350"/>
      <c r="P164" s="350"/>
      <c r="Q164" s="350"/>
      <c r="R164" s="350"/>
      <c r="S164" s="350"/>
      <c r="T164" s="350"/>
      <c r="U164" s="350"/>
      <c r="V164">
        <v>6840.1000000000058</v>
      </c>
      <c r="W164">
        <f t="shared" si="114"/>
        <v>0</v>
      </c>
      <c r="X164">
        <f t="shared" ref="X164:BA164" si="151">IF(AND(X$58-$A164&gt;$V$42,SUM($W164:W164)&lt;&gt;$V164),$V164,0)</f>
        <v>0</v>
      </c>
      <c r="Y164">
        <f t="shared" si="151"/>
        <v>0</v>
      </c>
      <c r="Z164">
        <f t="shared" si="151"/>
        <v>0</v>
      </c>
      <c r="AA164">
        <f t="shared" si="151"/>
        <v>6840.1000000000058</v>
      </c>
      <c r="AB164">
        <f t="shared" si="151"/>
        <v>0</v>
      </c>
      <c r="AC164">
        <f t="shared" si="151"/>
        <v>0</v>
      </c>
      <c r="AD164">
        <f t="shared" si="151"/>
        <v>0</v>
      </c>
      <c r="AE164">
        <f t="shared" si="151"/>
        <v>0</v>
      </c>
      <c r="AF164">
        <f t="shared" si="151"/>
        <v>0</v>
      </c>
      <c r="AG164">
        <f t="shared" si="151"/>
        <v>0</v>
      </c>
      <c r="AH164">
        <f t="shared" si="151"/>
        <v>0</v>
      </c>
      <c r="AI164">
        <f t="shared" si="151"/>
        <v>0</v>
      </c>
      <c r="AJ164">
        <f t="shared" si="151"/>
        <v>0</v>
      </c>
      <c r="AK164">
        <f t="shared" si="151"/>
        <v>0</v>
      </c>
      <c r="AL164">
        <f t="shared" si="151"/>
        <v>0</v>
      </c>
      <c r="AM164">
        <f t="shared" si="151"/>
        <v>0</v>
      </c>
      <c r="AN164">
        <f t="shared" si="151"/>
        <v>0</v>
      </c>
      <c r="AO164">
        <f t="shared" si="151"/>
        <v>0</v>
      </c>
      <c r="AP164">
        <f t="shared" si="151"/>
        <v>0</v>
      </c>
      <c r="AQ164">
        <f t="shared" si="151"/>
        <v>0</v>
      </c>
      <c r="AR164">
        <f t="shared" si="151"/>
        <v>0</v>
      </c>
      <c r="AS164">
        <f t="shared" si="151"/>
        <v>0</v>
      </c>
      <c r="AT164">
        <f t="shared" si="151"/>
        <v>0</v>
      </c>
      <c r="AU164">
        <f t="shared" si="151"/>
        <v>0</v>
      </c>
      <c r="AV164">
        <f t="shared" si="151"/>
        <v>0</v>
      </c>
      <c r="AW164">
        <f t="shared" si="151"/>
        <v>0</v>
      </c>
      <c r="AX164">
        <f t="shared" si="151"/>
        <v>0</v>
      </c>
      <c r="AY164">
        <f t="shared" si="151"/>
        <v>0</v>
      </c>
      <c r="AZ164">
        <f t="shared" si="151"/>
        <v>0</v>
      </c>
      <c r="BA164">
        <f t="shared" si="151"/>
        <v>0</v>
      </c>
    </row>
    <row r="165" spans="1:53" ht="15.75" customHeight="1">
      <c r="A165" s="350">
        <v>1976</v>
      </c>
      <c r="B165" s="350"/>
      <c r="C165" s="350"/>
      <c r="D165" s="350"/>
      <c r="E165" s="350"/>
      <c r="F165" s="350"/>
      <c r="G165" s="350"/>
      <c r="H165" s="350"/>
      <c r="I165" s="350"/>
      <c r="J165" s="350"/>
      <c r="K165" s="350"/>
      <c r="L165" s="350"/>
      <c r="M165" s="350"/>
      <c r="N165" s="350"/>
      <c r="O165" s="350"/>
      <c r="P165" s="350"/>
      <c r="Q165" s="350"/>
      <c r="R165" s="350"/>
      <c r="S165" s="350"/>
      <c r="T165" s="350"/>
      <c r="U165" s="350"/>
      <c r="V165">
        <v>2231</v>
      </c>
      <c r="W165">
        <f t="shared" si="114"/>
        <v>0</v>
      </c>
      <c r="X165">
        <f t="shared" ref="X165:BA165" si="152">IF(AND(X$58-$A165&gt;$V$42,SUM($W165:W165)&lt;&gt;$V165),$V165,0)</f>
        <v>0</v>
      </c>
      <c r="Y165">
        <f t="shared" si="152"/>
        <v>0</v>
      </c>
      <c r="Z165">
        <f t="shared" si="152"/>
        <v>0</v>
      </c>
      <c r="AA165">
        <f t="shared" si="152"/>
        <v>0</v>
      </c>
      <c r="AB165">
        <f t="shared" si="152"/>
        <v>2231</v>
      </c>
      <c r="AC165">
        <f t="shared" si="152"/>
        <v>0</v>
      </c>
      <c r="AD165">
        <f t="shared" si="152"/>
        <v>0</v>
      </c>
      <c r="AE165">
        <f t="shared" si="152"/>
        <v>0</v>
      </c>
      <c r="AF165">
        <f t="shared" si="152"/>
        <v>0</v>
      </c>
      <c r="AG165">
        <f t="shared" si="152"/>
        <v>0</v>
      </c>
      <c r="AH165">
        <f t="shared" si="152"/>
        <v>0</v>
      </c>
      <c r="AI165">
        <f t="shared" si="152"/>
        <v>0</v>
      </c>
      <c r="AJ165">
        <f t="shared" si="152"/>
        <v>0</v>
      </c>
      <c r="AK165">
        <f t="shared" si="152"/>
        <v>0</v>
      </c>
      <c r="AL165">
        <f t="shared" si="152"/>
        <v>0</v>
      </c>
      <c r="AM165">
        <f t="shared" si="152"/>
        <v>0</v>
      </c>
      <c r="AN165">
        <f t="shared" si="152"/>
        <v>0</v>
      </c>
      <c r="AO165">
        <f t="shared" si="152"/>
        <v>0</v>
      </c>
      <c r="AP165">
        <f t="shared" si="152"/>
        <v>0</v>
      </c>
      <c r="AQ165">
        <f t="shared" si="152"/>
        <v>0</v>
      </c>
      <c r="AR165">
        <f t="shared" si="152"/>
        <v>0</v>
      </c>
      <c r="AS165">
        <f t="shared" si="152"/>
        <v>0</v>
      </c>
      <c r="AT165">
        <f t="shared" si="152"/>
        <v>0</v>
      </c>
      <c r="AU165">
        <f t="shared" si="152"/>
        <v>0</v>
      </c>
      <c r="AV165">
        <f t="shared" si="152"/>
        <v>0</v>
      </c>
      <c r="AW165">
        <f t="shared" si="152"/>
        <v>0</v>
      </c>
      <c r="AX165">
        <f t="shared" si="152"/>
        <v>0</v>
      </c>
      <c r="AY165">
        <f t="shared" si="152"/>
        <v>0</v>
      </c>
      <c r="AZ165">
        <f t="shared" si="152"/>
        <v>0</v>
      </c>
      <c r="BA165">
        <f t="shared" si="152"/>
        <v>0</v>
      </c>
    </row>
    <row r="166" spans="1:53" ht="15.75" customHeight="1">
      <c r="A166" s="350">
        <v>1977</v>
      </c>
      <c r="B166" s="350"/>
      <c r="C166" s="350"/>
      <c r="D166" s="350"/>
      <c r="E166" s="350"/>
      <c r="F166" s="350"/>
      <c r="G166" s="350"/>
      <c r="H166" s="350"/>
      <c r="I166" s="350"/>
      <c r="J166" s="350"/>
      <c r="K166" s="350"/>
      <c r="L166" s="350"/>
      <c r="M166" s="350"/>
      <c r="N166" s="350"/>
      <c r="O166" s="350"/>
      <c r="P166" s="350"/>
      <c r="Q166" s="350"/>
      <c r="R166" s="350"/>
      <c r="S166" s="350"/>
      <c r="T166" s="350"/>
      <c r="U166" s="350"/>
      <c r="V166">
        <v>3248.1</v>
      </c>
      <c r="W166">
        <f t="shared" si="114"/>
        <v>0</v>
      </c>
      <c r="X166">
        <f t="shared" ref="X166:BA166" si="153">IF(AND(X$58-$A166&gt;$V$42,SUM($W166:W166)&lt;&gt;$V166),$V166,0)</f>
        <v>0</v>
      </c>
      <c r="Y166">
        <f t="shared" si="153"/>
        <v>0</v>
      </c>
      <c r="Z166">
        <f t="shared" si="153"/>
        <v>0</v>
      </c>
      <c r="AA166">
        <f t="shared" si="153"/>
        <v>0</v>
      </c>
      <c r="AB166">
        <f t="shared" si="153"/>
        <v>0</v>
      </c>
      <c r="AC166">
        <f t="shared" si="153"/>
        <v>3248.1</v>
      </c>
      <c r="AD166">
        <f t="shared" si="153"/>
        <v>0</v>
      </c>
      <c r="AE166">
        <f t="shared" si="153"/>
        <v>0</v>
      </c>
      <c r="AF166">
        <f t="shared" si="153"/>
        <v>0</v>
      </c>
      <c r="AG166">
        <f t="shared" si="153"/>
        <v>0</v>
      </c>
      <c r="AH166">
        <f t="shared" si="153"/>
        <v>0</v>
      </c>
      <c r="AI166">
        <f t="shared" si="153"/>
        <v>0</v>
      </c>
      <c r="AJ166">
        <f t="shared" si="153"/>
        <v>0</v>
      </c>
      <c r="AK166">
        <f t="shared" si="153"/>
        <v>0</v>
      </c>
      <c r="AL166">
        <f t="shared" si="153"/>
        <v>0</v>
      </c>
      <c r="AM166">
        <f t="shared" si="153"/>
        <v>0</v>
      </c>
      <c r="AN166">
        <f t="shared" si="153"/>
        <v>0</v>
      </c>
      <c r="AO166">
        <f t="shared" si="153"/>
        <v>0</v>
      </c>
      <c r="AP166">
        <f t="shared" si="153"/>
        <v>0</v>
      </c>
      <c r="AQ166">
        <f t="shared" si="153"/>
        <v>0</v>
      </c>
      <c r="AR166">
        <f t="shared" si="153"/>
        <v>0</v>
      </c>
      <c r="AS166">
        <f t="shared" si="153"/>
        <v>0</v>
      </c>
      <c r="AT166">
        <f t="shared" si="153"/>
        <v>0</v>
      </c>
      <c r="AU166">
        <f t="shared" si="153"/>
        <v>0</v>
      </c>
      <c r="AV166">
        <f t="shared" si="153"/>
        <v>0</v>
      </c>
      <c r="AW166">
        <f t="shared" si="153"/>
        <v>0</v>
      </c>
      <c r="AX166">
        <f t="shared" si="153"/>
        <v>0</v>
      </c>
      <c r="AY166">
        <f t="shared" si="153"/>
        <v>0</v>
      </c>
      <c r="AZ166">
        <f t="shared" si="153"/>
        <v>0</v>
      </c>
      <c r="BA166">
        <f t="shared" si="153"/>
        <v>0</v>
      </c>
    </row>
    <row r="167" spans="1:53" ht="15.75" customHeight="1">
      <c r="A167" s="350">
        <v>1978</v>
      </c>
      <c r="B167" s="350"/>
      <c r="C167" s="350"/>
      <c r="D167" s="350"/>
      <c r="E167" s="350"/>
      <c r="F167" s="350"/>
      <c r="G167" s="350"/>
      <c r="H167" s="350"/>
      <c r="I167" s="350"/>
      <c r="J167" s="350"/>
      <c r="K167" s="350"/>
      <c r="L167" s="350"/>
      <c r="M167" s="350"/>
      <c r="N167" s="350"/>
      <c r="O167" s="350"/>
      <c r="P167" s="350"/>
      <c r="Q167" s="350"/>
      <c r="R167" s="350"/>
      <c r="S167" s="350"/>
      <c r="T167" s="350"/>
      <c r="U167" s="350"/>
      <c r="V167">
        <v>1921</v>
      </c>
      <c r="W167">
        <f t="shared" si="114"/>
        <v>0</v>
      </c>
      <c r="X167">
        <f t="shared" ref="X167:BA167" si="154">IF(AND(X$58-$A167&gt;$V$42,SUM($W167:W167)&lt;&gt;$V167),$V167,0)</f>
        <v>0</v>
      </c>
      <c r="Y167">
        <f t="shared" si="154"/>
        <v>0</v>
      </c>
      <c r="Z167">
        <f t="shared" si="154"/>
        <v>0</v>
      </c>
      <c r="AA167">
        <f t="shared" si="154"/>
        <v>0</v>
      </c>
      <c r="AB167">
        <f t="shared" si="154"/>
        <v>0</v>
      </c>
      <c r="AC167">
        <f t="shared" si="154"/>
        <v>0</v>
      </c>
      <c r="AD167">
        <f t="shared" si="154"/>
        <v>1921</v>
      </c>
      <c r="AE167">
        <f t="shared" si="154"/>
        <v>0</v>
      </c>
      <c r="AF167">
        <f t="shared" si="154"/>
        <v>0</v>
      </c>
      <c r="AG167">
        <f t="shared" si="154"/>
        <v>0</v>
      </c>
      <c r="AH167">
        <f t="shared" si="154"/>
        <v>0</v>
      </c>
      <c r="AI167">
        <f t="shared" si="154"/>
        <v>0</v>
      </c>
      <c r="AJ167">
        <f t="shared" si="154"/>
        <v>0</v>
      </c>
      <c r="AK167">
        <f t="shared" si="154"/>
        <v>0</v>
      </c>
      <c r="AL167">
        <f t="shared" si="154"/>
        <v>0</v>
      </c>
      <c r="AM167">
        <f t="shared" si="154"/>
        <v>0</v>
      </c>
      <c r="AN167">
        <f t="shared" si="154"/>
        <v>0</v>
      </c>
      <c r="AO167">
        <f t="shared" si="154"/>
        <v>0</v>
      </c>
      <c r="AP167">
        <f t="shared" si="154"/>
        <v>0</v>
      </c>
      <c r="AQ167">
        <f t="shared" si="154"/>
        <v>0</v>
      </c>
      <c r="AR167">
        <f t="shared" si="154"/>
        <v>0</v>
      </c>
      <c r="AS167">
        <f t="shared" si="154"/>
        <v>0</v>
      </c>
      <c r="AT167">
        <f t="shared" si="154"/>
        <v>0</v>
      </c>
      <c r="AU167">
        <f t="shared" si="154"/>
        <v>0</v>
      </c>
      <c r="AV167">
        <f t="shared" si="154"/>
        <v>0</v>
      </c>
      <c r="AW167">
        <f t="shared" si="154"/>
        <v>0</v>
      </c>
      <c r="AX167">
        <f t="shared" si="154"/>
        <v>0</v>
      </c>
      <c r="AY167">
        <f t="shared" si="154"/>
        <v>0</v>
      </c>
      <c r="AZ167">
        <f t="shared" si="154"/>
        <v>0</v>
      </c>
      <c r="BA167">
        <f t="shared" si="154"/>
        <v>0</v>
      </c>
    </row>
    <row r="168" spans="1:53" ht="15.75" customHeight="1">
      <c r="A168" s="350">
        <v>1979</v>
      </c>
      <c r="B168" s="350"/>
      <c r="C168" s="350"/>
      <c r="D168" s="350"/>
      <c r="E168" s="350"/>
      <c r="F168" s="350"/>
      <c r="G168" s="350"/>
      <c r="H168" s="350"/>
      <c r="I168" s="350"/>
      <c r="J168" s="350"/>
      <c r="K168" s="350"/>
      <c r="L168" s="350"/>
      <c r="M168" s="350"/>
      <c r="N168" s="350"/>
      <c r="O168" s="350"/>
      <c r="P168" s="350"/>
      <c r="Q168" s="350"/>
      <c r="R168" s="350"/>
      <c r="S168" s="350"/>
      <c r="T168" s="350"/>
      <c r="U168" s="350"/>
      <c r="V168">
        <v>1634.6999999999998</v>
      </c>
      <c r="W168">
        <f t="shared" si="114"/>
        <v>0</v>
      </c>
      <c r="X168">
        <f t="shared" ref="X168:BA168" si="155">IF(AND(X$58-$A168&gt;$V$42,SUM($W168:W168)&lt;&gt;$V168),$V168,0)</f>
        <v>0</v>
      </c>
      <c r="Y168">
        <f t="shared" si="155"/>
        <v>0</v>
      </c>
      <c r="Z168">
        <f t="shared" si="155"/>
        <v>0</v>
      </c>
      <c r="AA168">
        <f t="shared" si="155"/>
        <v>0</v>
      </c>
      <c r="AB168">
        <f t="shared" si="155"/>
        <v>0</v>
      </c>
      <c r="AC168">
        <f t="shared" si="155"/>
        <v>0</v>
      </c>
      <c r="AD168">
        <f t="shared" si="155"/>
        <v>0</v>
      </c>
      <c r="AE168">
        <f t="shared" si="155"/>
        <v>1634.6999999999998</v>
      </c>
      <c r="AF168">
        <f t="shared" si="155"/>
        <v>0</v>
      </c>
      <c r="AG168">
        <f t="shared" si="155"/>
        <v>0</v>
      </c>
      <c r="AH168">
        <f t="shared" si="155"/>
        <v>0</v>
      </c>
      <c r="AI168">
        <f t="shared" si="155"/>
        <v>0</v>
      </c>
      <c r="AJ168">
        <f t="shared" si="155"/>
        <v>0</v>
      </c>
      <c r="AK168">
        <f t="shared" si="155"/>
        <v>0</v>
      </c>
      <c r="AL168">
        <f t="shared" si="155"/>
        <v>0</v>
      </c>
      <c r="AM168">
        <f t="shared" si="155"/>
        <v>0</v>
      </c>
      <c r="AN168">
        <f t="shared" si="155"/>
        <v>0</v>
      </c>
      <c r="AO168">
        <f t="shared" si="155"/>
        <v>0</v>
      </c>
      <c r="AP168">
        <f t="shared" si="155"/>
        <v>0</v>
      </c>
      <c r="AQ168">
        <f t="shared" si="155"/>
        <v>0</v>
      </c>
      <c r="AR168">
        <f t="shared" si="155"/>
        <v>0</v>
      </c>
      <c r="AS168">
        <f t="shared" si="155"/>
        <v>0</v>
      </c>
      <c r="AT168">
        <f t="shared" si="155"/>
        <v>0</v>
      </c>
      <c r="AU168">
        <f t="shared" si="155"/>
        <v>0</v>
      </c>
      <c r="AV168">
        <f t="shared" si="155"/>
        <v>0</v>
      </c>
      <c r="AW168">
        <f t="shared" si="155"/>
        <v>0</v>
      </c>
      <c r="AX168">
        <f t="shared" si="155"/>
        <v>0</v>
      </c>
      <c r="AY168">
        <f t="shared" si="155"/>
        <v>0</v>
      </c>
      <c r="AZ168">
        <f t="shared" si="155"/>
        <v>0</v>
      </c>
      <c r="BA168">
        <f t="shared" si="155"/>
        <v>0</v>
      </c>
    </row>
    <row r="169" spans="1:53" ht="15.75" customHeight="1">
      <c r="A169" s="350">
        <v>1980</v>
      </c>
      <c r="B169" s="350"/>
      <c r="C169" s="350"/>
      <c r="D169" s="350"/>
      <c r="E169" s="350"/>
      <c r="F169" s="350"/>
      <c r="G169" s="350"/>
      <c r="H169" s="350"/>
      <c r="I169" s="350"/>
      <c r="J169" s="350"/>
      <c r="K169" s="350"/>
      <c r="L169" s="350"/>
      <c r="M169" s="350"/>
      <c r="N169" s="350"/>
      <c r="O169" s="350"/>
      <c r="P169" s="350"/>
      <c r="Q169" s="350"/>
      <c r="R169" s="350"/>
      <c r="S169" s="350"/>
      <c r="T169" s="350"/>
      <c r="U169" s="350"/>
      <c r="V169">
        <v>199.50000000000003</v>
      </c>
      <c r="W169">
        <f t="shared" si="114"/>
        <v>0</v>
      </c>
      <c r="X169">
        <f t="shared" ref="X169:BA169" si="156">IF(AND(X$58-$A169&gt;$V$42,SUM($W169:W169)&lt;&gt;$V169),$V169,0)</f>
        <v>0</v>
      </c>
      <c r="Y169">
        <f t="shared" si="156"/>
        <v>0</v>
      </c>
      <c r="Z169">
        <f t="shared" si="156"/>
        <v>0</v>
      </c>
      <c r="AA169">
        <f t="shared" si="156"/>
        <v>0</v>
      </c>
      <c r="AB169">
        <f t="shared" si="156"/>
        <v>0</v>
      </c>
      <c r="AC169">
        <f t="shared" si="156"/>
        <v>0</v>
      </c>
      <c r="AD169">
        <f t="shared" si="156"/>
        <v>0</v>
      </c>
      <c r="AE169">
        <f t="shared" si="156"/>
        <v>0</v>
      </c>
      <c r="AF169">
        <f t="shared" si="156"/>
        <v>199.50000000000003</v>
      </c>
      <c r="AG169">
        <f t="shared" si="156"/>
        <v>0</v>
      </c>
      <c r="AH169">
        <f t="shared" si="156"/>
        <v>0</v>
      </c>
      <c r="AI169">
        <f t="shared" si="156"/>
        <v>0</v>
      </c>
      <c r="AJ169">
        <f t="shared" si="156"/>
        <v>0</v>
      </c>
      <c r="AK169">
        <f t="shared" si="156"/>
        <v>0</v>
      </c>
      <c r="AL169">
        <f t="shared" si="156"/>
        <v>0</v>
      </c>
      <c r="AM169">
        <f t="shared" si="156"/>
        <v>0</v>
      </c>
      <c r="AN169">
        <f t="shared" si="156"/>
        <v>0</v>
      </c>
      <c r="AO169">
        <f t="shared" si="156"/>
        <v>0</v>
      </c>
      <c r="AP169">
        <f t="shared" si="156"/>
        <v>0</v>
      </c>
      <c r="AQ169">
        <f t="shared" si="156"/>
        <v>0</v>
      </c>
      <c r="AR169">
        <f t="shared" si="156"/>
        <v>0</v>
      </c>
      <c r="AS169">
        <f t="shared" si="156"/>
        <v>0</v>
      </c>
      <c r="AT169">
        <f t="shared" si="156"/>
        <v>0</v>
      </c>
      <c r="AU169">
        <f t="shared" si="156"/>
        <v>0</v>
      </c>
      <c r="AV169">
        <f t="shared" si="156"/>
        <v>0</v>
      </c>
      <c r="AW169">
        <f t="shared" si="156"/>
        <v>0</v>
      </c>
      <c r="AX169">
        <f t="shared" si="156"/>
        <v>0</v>
      </c>
      <c r="AY169">
        <f t="shared" si="156"/>
        <v>0</v>
      </c>
      <c r="AZ169">
        <f t="shared" si="156"/>
        <v>0</v>
      </c>
      <c r="BA169">
        <f t="shared" si="156"/>
        <v>0</v>
      </c>
    </row>
    <row r="170" spans="1:53" ht="15.75" customHeight="1">
      <c r="A170" s="350">
        <v>1981</v>
      </c>
      <c r="B170" s="350"/>
      <c r="C170" s="350"/>
      <c r="D170" s="350"/>
      <c r="E170" s="350"/>
      <c r="F170" s="350"/>
      <c r="G170" s="350"/>
      <c r="H170" s="350"/>
      <c r="I170" s="350"/>
      <c r="J170" s="350"/>
      <c r="K170" s="350"/>
      <c r="L170" s="350"/>
      <c r="M170" s="350"/>
      <c r="N170" s="350"/>
      <c r="O170" s="350"/>
      <c r="P170" s="350"/>
      <c r="Q170" s="350"/>
      <c r="R170" s="350"/>
      <c r="S170" s="350"/>
      <c r="T170" s="350"/>
      <c r="U170" s="350"/>
      <c r="V170">
        <v>1242.7</v>
      </c>
      <c r="W170">
        <f t="shared" si="114"/>
        <v>0</v>
      </c>
      <c r="X170">
        <f t="shared" ref="X170:BA170" si="157">IF(AND(X$58-$A170&gt;$V$42,SUM($W170:W170)&lt;&gt;$V170),$V170,0)</f>
        <v>0</v>
      </c>
      <c r="Y170">
        <f t="shared" si="157"/>
        <v>0</v>
      </c>
      <c r="Z170">
        <f t="shared" si="157"/>
        <v>0</v>
      </c>
      <c r="AA170">
        <f t="shared" si="157"/>
        <v>0</v>
      </c>
      <c r="AB170">
        <f t="shared" si="157"/>
        <v>0</v>
      </c>
      <c r="AC170">
        <f t="shared" si="157"/>
        <v>0</v>
      </c>
      <c r="AD170">
        <f t="shared" si="157"/>
        <v>0</v>
      </c>
      <c r="AE170">
        <f t="shared" si="157"/>
        <v>0</v>
      </c>
      <c r="AF170">
        <f t="shared" si="157"/>
        <v>0</v>
      </c>
      <c r="AG170">
        <f t="shared" si="157"/>
        <v>1242.7</v>
      </c>
      <c r="AH170">
        <f t="shared" si="157"/>
        <v>0</v>
      </c>
      <c r="AI170">
        <f t="shared" si="157"/>
        <v>0</v>
      </c>
      <c r="AJ170">
        <f t="shared" si="157"/>
        <v>0</v>
      </c>
      <c r="AK170">
        <f t="shared" si="157"/>
        <v>0</v>
      </c>
      <c r="AL170">
        <f t="shared" si="157"/>
        <v>0</v>
      </c>
      <c r="AM170">
        <f t="shared" si="157"/>
        <v>0</v>
      </c>
      <c r="AN170">
        <f t="shared" si="157"/>
        <v>0</v>
      </c>
      <c r="AO170">
        <f t="shared" si="157"/>
        <v>0</v>
      </c>
      <c r="AP170">
        <f t="shared" si="157"/>
        <v>0</v>
      </c>
      <c r="AQ170">
        <f t="shared" si="157"/>
        <v>0</v>
      </c>
      <c r="AR170">
        <f t="shared" si="157"/>
        <v>0</v>
      </c>
      <c r="AS170">
        <f t="shared" si="157"/>
        <v>0</v>
      </c>
      <c r="AT170">
        <f t="shared" si="157"/>
        <v>0</v>
      </c>
      <c r="AU170">
        <f t="shared" si="157"/>
        <v>0</v>
      </c>
      <c r="AV170">
        <f t="shared" si="157"/>
        <v>0</v>
      </c>
      <c r="AW170">
        <f t="shared" si="157"/>
        <v>0</v>
      </c>
      <c r="AX170">
        <f t="shared" si="157"/>
        <v>0</v>
      </c>
      <c r="AY170">
        <f t="shared" si="157"/>
        <v>0</v>
      </c>
      <c r="AZ170">
        <f t="shared" si="157"/>
        <v>0</v>
      </c>
      <c r="BA170">
        <f t="shared" si="157"/>
        <v>0</v>
      </c>
    </row>
    <row r="171" spans="1:53" ht="15.75" customHeight="1">
      <c r="A171" s="350">
        <v>1982</v>
      </c>
      <c r="B171" s="350"/>
      <c r="C171" s="350"/>
      <c r="D171" s="350"/>
      <c r="E171" s="350"/>
      <c r="F171" s="350"/>
      <c r="G171" s="350"/>
      <c r="H171" s="350"/>
      <c r="I171" s="350"/>
      <c r="J171" s="350"/>
      <c r="K171" s="350"/>
      <c r="L171" s="350"/>
      <c r="M171" s="350"/>
      <c r="N171" s="350"/>
      <c r="O171" s="350"/>
      <c r="P171" s="350"/>
      <c r="Q171" s="350"/>
      <c r="R171" s="350"/>
      <c r="S171" s="350"/>
      <c r="T171" s="350"/>
      <c r="U171" s="350"/>
      <c r="V171">
        <v>727.40000000000009</v>
      </c>
      <c r="W171">
        <f t="shared" si="114"/>
        <v>0</v>
      </c>
      <c r="X171">
        <f t="shared" ref="X171:BA171" si="158">IF(AND(X$58-$A171&gt;$V$42,SUM($W171:W171)&lt;&gt;$V171),$V171,0)</f>
        <v>0</v>
      </c>
      <c r="Y171">
        <f t="shared" si="158"/>
        <v>0</v>
      </c>
      <c r="Z171">
        <f t="shared" si="158"/>
        <v>0</v>
      </c>
      <c r="AA171">
        <f t="shared" si="158"/>
        <v>0</v>
      </c>
      <c r="AB171">
        <f t="shared" si="158"/>
        <v>0</v>
      </c>
      <c r="AC171">
        <f t="shared" si="158"/>
        <v>0</v>
      </c>
      <c r="AD171">
        <f t="shared" si="158"/>
        <v>0</v>
      </c>
      <c r="AE171">
        <f t="shared" si="158"/>
        <v>0</v>
      </c>
      <c r="AF171">
        <f t="shared" si="158"/>
        <v>0</v>
      </c>
      <c r="AG171">
        <f t="shared" si="158"/>
        <v>0</v>
      </c>
      <c r="AH171">
        <f t="shared" si="158"/>
        <v>727.40000000000009</v>
      </c>
      <c r="AI171">
        <f t="shared" si="158"/>
        <v>0</v>
      </c>
      <c r="AJ171">
        <f t="shared" si="158"/>
        <v>0</v>
      </c>
      <c r="AK171">
        <f t="shared" si="158"/>
        <v>0</v>
      </c>
      <c r="AL171">
        <f t="shared" si="158"/>
        <v>0</v>
      </c>
      <c r="AM171">
        <f t="shared" si="158"/>
        <v>0</v>
      </c>
      <c r="AN171">
        <f t="shared" si="158"/>
        <v>0</v>
      </c>
      <c r="AO171">
        <f t="shared" si="158"/>
        <v>0</v>
      </c>
      <c r="AP171">
        <f t="shared" si="158"/>
        <v>0</v>
      </c>
      <c r="AQ171">
        <f t="shared" si="158"/>
        <v>0</v>
      </c>
      <c r="AR171">
        <f t="shared" si="158"/>
        <v>0</v>
      </c>
      <c r="AS171">
        <f t="shared" si="158"/>
        <v>0</v>
      </c>
      <c r="AT171">
        <f t="shared" si="158"/>
        <v>0</v>
      </c>
      <c r="AU171">
        <f t="shared" si="158"/>
        <v>0</v>
      </c>
      <c r="AV171">
        <f t="shared" si="158"/>
        <v>0</v>
      </c>
      <c r="AW171">
        <f t="shared" si="158"/>
        <v>0</v>
      </c>
      <c r="AX171">
        <f t="shared" si="158"/>
        <v>0</v>
      </c>
      <c r="AY171">
        <f t="shared" si="158"/>
        <v>0</v>
      </c>
      <c r="AZ171">
        <f t="shared" si="158"/>
        <v>0</v>
      </c>
      <c r="BA171">
        <f t="shared" si="158"/>
        <v>0</v>
      </c>
    </row>
    <row r="172" spans="1:53" ht="15.75" customHeight="1">
      <c r="A172" s="350">
        <v>1983</v>
      </c>
      <c r="B172" s="350"/>
      <c r="C172" s="350"/>
      <c r="D172" s="350"/>
      <c r="E172" s="350"/>
      <c r="F172" s="350"/>
      <c r="G172" s="350"/>
      <c r="H172" s="350"/>
      <c r="I172" s="350"/>
      <c r="J172" s="350"/>
      <c r="K172" s="350"/>
      <c r="L172" s="350"/>
      <c r="M172" s="350"/>
      <c r="N172" s="350"/>
      <c r="O172" s="350"/>
      <c r="P172" s="350"/>
      <c r="Q172" s="350"/>
      <c r="R172" s="350"/>
      <c r="S172" s="350"/>
      <c r="T172" s="350"/>
      <c r="U172" s="350"/>
      <c r="V172">
        <v>189.8</v>
      </c>
      <c r="W172">
        <f t="shared" si="114"/>
        <v>0</v>
      </c>
      <c r="X172">
        <f t="shared" ref="X172:BA172" si="159">IF(AND(X$58-$A172&gt;$V$42,SUM($W172:W172)&lt;&gt;$V172),$V172,0)</f>
        <v>0</v>
      </c>
      <c r="Y172">
        <f t="shared" si="159"/>
        <v>0</v>
      </c>
      <c r="Z172">
        <f t="shared" si="159"/>
        <v>0</v>
      </c>
      <c r="AA172">
        <f t="shared" si="159"/>
        <v>0</v>
      </c>
      <c r="AB172">
        <f t="shared" si="159"/>
        <v>0</v>
      </c>
      <c r="AC172">
        <f t="shared" si="159"/>
        <v>0</v>
      </c>
      <c r="AD172">
        <f t="shared" si="159"/>
        <v>0</v>
      </c>
      <c r="AE172">
        <f t="shared" si="159"/>
        <v>0</v>
      </c>
      <c r="AF172">
        <f t="shared" si="159"/>
        <v>0</v>
      </c>
      <c r="AG172">
        <f t="shared" si="159"/>
        <v>0</v>
      </c>
      <c r="AH172">
        <f t="shared" si="159"/>
        <v>0</v>
      </c>
      <c r="AI172">
        <f t="shared" si="159"/>
        <v>189.8</v>
      </c>
      <c r="AJ172">
        <f t="shared" si="159"/>
        <v>0</v>
      </c>
      <c r="AK172">
        <f t="shared" si="159"/>
        <v>0</v>
      </c>
      <c r="AL172">
        <f t="shared" si="159"/>
        <v>0</v>
      </c>
      <c r="AM172">
        <f t="shared" si="159"/>
        <v>0</v>
      </c>
      <c r="AN172">
        <f t="shared" si="159"/>
        <v>0</v>
      </c>
      <c r="AO172">
        <f t="shared" si="159"/>
        <v>0</v>
      </c>
      <c r="AP172">
        <f t="shared" si="159"/>
        <v>0</v>
      </c>
      <c r="AQ172">
        <f t="shared" si="159"/>
        <v>0</v>
      </c>
      <c r="AR172">
        <f t="shared" si="159"/>
        <v>0</v>
      </c>
      <c r="AS172">
        <f t="shared" si="159"/>
        <v>0</v>
      </c>
      <c r="AT172">
        <f t="shared" si="159"/>
        <v>0</v>
      </c>
      <c r="AU172">
        <f t="shared" si="159"/>
        <v>0</v>
      </c>
      <c r="AV172">
        <f t="shared" si="159"/>
        <v>0</v>
      </c>
      <c r="AW172">
        <f t="shared" si="159"/>
        <v>0</v>
      </c>
      <c r="AX172">
        <f t="shared" si="159"/>
        <v>0</v>
      </c>
      <c r="AY172">
        <f t="shared" si="159"/>
        <v>0</v>
      </c>
      <c r="AZ172">
        <f t="shared" si="159"/>
        <v>0</v>
      </c>
      <c r="BA172">
        <f t="shared" si="159"/>
        <v>0</v>
      </c>
    </row>
    <row r="173" spans="1:53" ht="15.75" customHeight="1">
      <c r="A173" s="350">
        <v>1984</v>
      </c>
      <c r="B173" s="350"/>
      <c r="C173" s="350"/>
      <c r="D173" s="350"/>
      <c r="E173" s="350"/>
      <c r="F173" s="350"/>
      <c r="G173" s="350"/>
      <c r="H173" s="350"/>
      <c r="I173" s="350"/>
      <c r="J173" s="350"/>
      <c r="K173" s="350"/>
      <c r="L173" s="350"/>
      <c r="M173" s="350"/>
      <c r="N173" s="350"/>
      <c r="O173" s="350"/>
      <c r="P173" s="350"/>
      <c r="Q173" s="350"/>
      <c r="R173" s="350"/>
      <c r="S173" s="350"/>
      <c r="T173" s="350"/>
      <c r="U173" s="350"/>
      <c r="V173">
        <v>163.9</v>
      </c>
      <c r="W173">
        <f t="shared" si="114"/>
        <v>0</v>
      </c>
      <c r="X173">
        <f t="shared" ref="X173:BA173" si="160">IF(AND(X$58-$A173&gt;$V$42,SUM($W173:W173)&lt;&gt;$V173),$V173,0)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163.9</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spans="1:53" ht="15.75" customHeight="1">
      <c r="A174" s="350">
        <v>1985</v>
      </c>
      <c r="B174" s="350"/>
      <c r="C174" s="350"/>
      <c r="D174" s="350"/>
      <c r="E174" s="350"/>
      <c r="F174" s="350"/>
      <c r="G174" s="350"/>
      <c r="H174" s="350"/>
      <c r="I174" s="350"/>
      <c r="J174" s="350"/>
      <c r="K174" s="350"/>
      <c r="L174" s="350"/>
      <c r="M174" s="350"/>
      <c r="N174" s="350"/>
      <c r="O174" s="350"/>
      <c r="P174" s="350"/>
      <c r="Q174" s="350"/>
      <c r="R174" s="350"/>
      <c r="S174" s="350"/>
      <c r="T174" s="350"/>
      <c r="U174" s="350"/>
      <c r="V174">
        <v>649.1</v>
      </c>
      <c r="W174">
        <f t="shared" si="114"/>
        <v>0</v>
      </c>
      <c r="X174">
        <f t="shared" ref="X174:BA174" si="161">IF(AND(X$58-$A174&gt;$V$42,SUM($W174:W174)&lt;&gt;$V174),$V174,0)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649.1</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spans="1:53" ht="15.75" customHeight="1">
      <c r="A175" s="350">
        <v>1986</v>
      </c>
      <c r="B175" s="350"/>
      <c r="C175" s="350"/>
      <c r="D175" s="350"/>
      <c r="E175" s="350"/>
      <c r="F175" s="350"/>
      <c r="G175" s="350"/>
      <c r="H175" s="350"/>
      <c r="I175" s="350"/>
      <c r="J175" s="350"/>
      <c r="K175" s="350"/>
      <c r="L175" s="350"/>
      <c r="M175" s="350"/>
      <c r="N175" s="350"/>
      <c r="O175" s="350"/>
      <c r="P175" s="350"/>
      <c r="Q175" s="350"/>
      <c r="R175" s="350"/>
      <c r="S175" s="350"/>
      <c r="T175" s="350"/>
      <c r="U175" s="350"/>
      <c r="V175">
        <v>607.20000000000005</v>
      </c>
      <c r="W175">
        <f t="shared" si="114"/>
        <v>0</v>
      </c>
      <c r="X175">
        <f t="shared" ref="X175:BA175" si="162">IF(AND(X$58-$A175&gt;$V$42,SUM($W175:W175)&lt;&gt;$V175),$V175,0)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607.20000000000005</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spans="1:53" ht="15.75" customHeight="1">
      <c r="A176" s="350">
        <v>1987</v>
      </c>
      <c r="B176" s="350"/>
      <c r="C176" s="350"/>
      <c r="D176" s="350"/>
      <c r="E176" s="350"/>
      <c r="F176" s="350"/>
      <c r="G176" s="350"/>
      <c r="H176" s="350"/>
      <c r="I176" s="350"/>
      <c r="J176" s="350"/>
      <c r="K176" s="350"/>
      <c r="L176" s="350"/>
      <c r="M176" s="350"/>
      <c r="N176" s="350"/>
      <c r="O176" s="350"/>
      <c r="P176" s="350"/>
      <c r="Q176" s="350"/>
      <c r="R176" s="350"/>
      <c r="S176" s="350"/>
      <c r="T176" s="350"/>
      <c r="U176" s="350"/>
      <c r="V176">
        <v>459.2</v>
      </c>
      <c r="W176">
        <f t="shared" si="114"/>
        <v>0</v>
      </c>
      <c r="X176">
        <f t="shared" ref="X176:BA176" si="163">IF(AND(X$58-$A176&gt;$V$42,SUM($W176:W176)&lt;&gt;$V176),$V176,0)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459.2</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spans="1:53" ht="15.75" customHeight="1">
      <c r="A177" s="350">
        <v>1988</v>
      </c>
      <c r="B177" s="350"/>
      <c r="C177" s="350"/>
      <c r="D177" s="350"/>
      <c r="E177" s="350"/>
      <c r="F177" s="350"/>
      <c r="G177" s="350"/>
      <c r="H177" s="350"/>
      <c r="I177" s="350"/>
      <c r="J177" s="350"/>
      <c r="K177" s="350"/>
      <c r="L177" s="350"/>
      <c r="M177" s="350"/>
      <c r="N177" s="350"/>
      <c r="O177" s="350"/>
      <c r="P177" s="350"/>
      <c r="Q177" s="350"/>
      <c r="R177" s="350"/>
      <c r="S177" s="350"/>
      <c r="T177" s="350"/>
      <c r="U177" s="350"/>
      <c r="V177">
        <v>1208.9000000000001</v>
      </c>
      <c r="W177">
        <f t="shared" si="114"/>
        <v>0</v>
      </c>
      <c r="X177">
        <f t="shared" ref="X177:BA177" si="164">IF(AND(X$58-$A177&gt;$V$42,SUM($W177:W177)&lt;&gt;$V177),$V177,0)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1208.9000000000001</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spans="1:53" ht="15.75" customHeight="1">
      <c r="A178" s="350">
        <v>1989</v>
      </c>
      <c r="B178" s="350"/>
      <c r="C178" s="350"/>
      <c r="D178" s="350"/>
      <c r="E178" s="350"/>
      <c r="F178" s="350"/>
      <c r="G178" s="350"/>
      <c r="H178" s="350"/>
      <c r="I178" s="350"/>
      <c r="J178" s="350"/>
      <c r="K178" s="350"/>
      <c r="L178" s="350"/>
      <c r="M178" s="350"/>
      <c r="N178" s="350"/>
      <c r="O178" s="350"/>
      <c r="P178" s="350"/>
      <c r="Q178" s="350"/>
      <c r="R178" s="350"/>
      <c r="S178" s="350"/>
      <c r="T178" s="350"/>
      <c r="U178" s="350"/>
      <c r="V178">
        <v>1370.2999999999997</v>
      </c>
      <c r="W178">
        <f t="shared" si="114"/>
        <v>0</v>
      </c>
      <c r="X178">
        <f t="shared" ref="X178:BA178" si="165">IF(AND(X$58-$A178&gt;$V$42,SUM($W178:W178)&lt;&gt;$V178),$V178,0)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1370.2999999999997</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spans="1:53" ht="15.75" customHeight="1">
      <c r="A179" s="350">
        <v>1990</v>
      </c>
      <c r="B179" s="350"/>
      <c r="C179" s="350"/>
      <c r="D179" s="350"/>
      <c r="E179" s="350"/>
      <c r="F179" s="350"/>
      <c r="G179" s="350"/>
      <c r="H179" s="350"/>
      <c r="I179" s="350"/>
      <c r="J179" s="350"/>
      <c r="K179" s="350"/>
      <c r="L179" s="350"/>
      <c r="M179" s="350"/>
      <c r="N179" s="350"/>
      <c r="O179" s="350"/>
      <c r="P179" s="350"/>
      <c r="Q179" s="350"/>
      <c r="R179" s="350"/>
      <c r="S179" s="350"/>
      <c r="T179" s="350"/>
      <c r="U179" s="350"/>
      <c r="V179">
        <v>1578.8</v>
      </c>
      <c r="W179">
        <f t="shared" si="114"/>
        <v>0</v>
      </c>
      <c r="X179">
        <f t="shared" ref="X179:BA179" si="166">IF(AND(X$58-$A179&gt;$V$42,SUM($W179:W179)&lt;&gt;$V179),$V179,0)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1578.8</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spans="1:53" ht="15.75" customHeight="1">
      <c r="A180" s="350">
        <v>1991</v>
      </c>
      <c r="B180" s="350"/>
      <c r="C180" s="350"/>
      <c r="D180" s="350"/>
      <c r="E180" s="350"/>
      <c r="F180" s="350"/>
      <c r="G180" s="350"/>
      <c r="H180" s="350"/>
      <c r="I180" s="350"/>
      <c r="J180" s="350"/>
      <c r="K180" s="350"/>
      <c r="L180" s="350"/>
      <c r="M180" s="350"/>
      <c r="N180" s="350"/>
      <c r="O180" s="350"/>
      <c r="P180" s="350"/>
      <c r="Q180" s="350"/>
      <c r="R180" s="350"/>
      <c r="S180" s="350"/>
      <c r="T180" s="350"/>
      <c r="U180" s="350"/>
      <c r="V180">
        <v>1070.2</v>
      </c>
      <c r="W180">
        <f t="shared" si="114"/>
        <v>0</v>
      </c>
      <c r="X180">
        <f t="shared" ref="X180:BA180" si="167">IF(AND(X$58-$A180&gt;$V$42,SUM($W180:W180)&lt;&gt;$V180),$V180,0)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1070.2</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spans="1:53" ht="15.75" customHeight="1">
      <c r="A181" s="350">
        <v>1992</v>
      </c>
      <c r="B181" s="350"/>
      <c r="C181" s="350"/>
      <c r="D181" s="350"/>
      <c r="E181" s="350"/>
      <c r="F181" s="350"/>
      <c r="G181" s="350"/>
      <c r="H181" s="350"/>
      <c r="I181" s="350"/>
      <c r="J181" s="350"/>
      <c r="K181" s="350"/>
      <c r="L181" s="350"/>
      <c r="M181" s="350"/>
      <c r="N181" s="350"/>
      <c r="O181" s="350"/>
      <c r="P181" s="350"/>
      <c r="Q181" s="350"/>
      <c r="R181" s="350"/>
      <c r="S181" s="350"/>
      <c r="T181" s="350"/>
      <c r="U181" s="350"/>
      <c r="V181">
        <v>1655.9999999999998</v>
      </c>
      <c r="W181">
        <f t="shared" si="114"/>
        <v>0</v>
      </c>
      <c r="X181">
        <f t="shared" ref="X181:BA181" si="168">IF(AND(X$58-$A181&gt;$V$42,SUM($W181:W181)&lt;&gt;$V181),$V181,0)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1655.9999999999998</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spans="1:53" ht="15.75" customHeight="1">
      <c r="A182" s="350">
        <v>1993</v>
      </c>
      <c r="B182" s="350"/>
      <c r="C182" s="350"/>
      <c r="D182" s="350"/>
      <c r="E182" s="350"/>
      <c r="F182" s="350"/>
      <c r="G182" s="350"/>
      <c r="H182" s="350"/>
      <c r="I182" s="350"/>
      <c r="J182" s="350"/>
      <c r="K182" s="350"/>
      <c r="L182" s="350"/>
      <c r="M182" s="350"/>
      <c r="N182" s="350"/>
      <c r="O182" s="350"/>
      <c r="P182" s="350"/>
      <c r="Q182" s="350"/>
      <c r="R182" s="350"/>
      <c r="S182" s="350"/>
      <c r="T182" s="350"/>
      <c r="U182" s="350"/>
      <c r="V182">
        <v>1222.3</v>
      </c>
      <c r="W182">
        <f t="shared" si="114"/>
        <v>0</v>
      </c>
      <c r="X182">
        <f t="shared" ref="X182:BA182" si="169">IF(AND(X$58-$A182&gt;$V$42,SUM($W182:W182)&lt;&gt;$V182),$V182,0)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1222.3</v>
      </c>
      <c r="AT182">
        <f t="shared" si="169"/>
        <v>0</v>
      </c>
      <c r="AU182">
        <f t="shared" si="169"/>
        <v>0</v>
      </c>
      <c r="AV182">
        <f t="shared" si="169"/>
        <v>0</v>
      </c>
      <c r="AW182">
        <f t="shared" si="169"/>
        <v>0</v>
      </c>
      <c r="AX182">
        <f t="shared" si="169"/>
        <v>0</v>
      </c>
      <c r="AY182">
        <f t="shared" si="169"/>
        <v>0</v>
      </c>
      <c r="AZ182">
        <f t="shared" si="169"/>
        <v>0</v>
      </c>
      <c r="BA182">
        <f t="shared" si="169"/>
        <v>0</v>
      </c>
    </row>
    <row r="183" spans="1:53" ht="15.75" customHeight="1">
      <c r="A183" s="350">
        <v>1994</v>
      </c>
      <c r="B183" s="350"/>
      <c r="C183" s="350"/>
      <c r="D183" s="350"/>
      <c r="E183" s="350"/>
      <c r="F183" s="350"/>
      <c r="G183" s="350"/>
      <c r="H183" s="350"/>
      <c r="I183" s="350"/>
      <c r="J183" s="350"/>
      <c r="K183" s="350"/>
      <c r="L183" s="350"/>
      <c r="M183" s="350"/>
      <c r="N183" s="350"/>
      <c r="O183" s="350"/>
      <c r="P183" s="350"/>
      <c r="Q183" s="350"/>
      <c r="R183" s="350"/>
      <c r="S183" s="350"/>
      <c r="T183" s="350"/>
      <c r="U183" s="350"/>
      <c r="V183">
        <v>2374.4000000000005</v>
      </c>
      <c r="W183">
        <f t="shared" si="114"/>
        <v>0</v>
      </c>
      <c r="X183">
        <f t="shared" ref="X183:BA183" si="170">IF(AND(X$58-$A183&gt;$V$42,SUM($W183:W183)&lt;&gt;$V183),$V183,0)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2374.4000000000005</v>
      </c>
      <c r="AU183">
        <f t="shared" si="170"/>
        <v>0</v>
      </c>
      <c r="AV183">
        <f t="shared" si="170"/>
        <v>0</v>
      </c>
      <c r="AW183">
        <f t="shared" si="170"/>
        <v>0</v>
      </c>
      <c r="AX183">
        <f t="shared" si="170"/>
        <v>0</v>
      </c>
      <c r="AY183">
        <f t="shared" si="170"/>
        <v>0</v>
      </c>
      <c r="AZ183">
        <f t="shared" si="170"/>
        <v>0</v>
      </c>
      <c r="BA183">
        <f t="shared" si="170"/>
        <v>0</v>
      </c>
    </row>
    <row r="184" spans="1:53" ht="15.75" customHeight="1">
      <c r="A184" s="350">
        <v>1995</v>
      </c>
      <c r="B184" s="350"/>
      <c r="C184" s="350"/>
      <c r="D184" s="350"/>
      <c r="E184" s="350"/>
      <c r="F184" s="350"/>
      <c r="G184" s="350"/>
      <c r="H184" s="350"/>
      <c r="I184" s="350"/>
      <c r="J184" s="350"/>
      <c r="K184" s="350"/>
      <c r="L184" s="350"/>
      <c r="M184" s="350"/>
      <c r="N184" s="350"/>
      <c r="O184" s="350"/>
      <c r="P184" s="350"/>
      <c r="Q184" s="350"/>
      <c r="R184" s="350"/>
      <c r="S184" s="350"/>
      <c r="T184" s="350"/>
      <c r="U184" s="350"/>
      <c r="V184">
        <v>3422.6999999999989</v>
      </c>
      <c r="W184">
        <f t="shared" si="114"/>
        <v>0</v>
      </c>
      <c r="X184">
        <f t="shared" ref="X184:BA184" si="171">IF(AND(X$58-$A184&gt;$V$42,SUM($W184:W184)&lt;&gt;$V184),$V184,0)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3422.6999999999989</v>
      </c>
      <c r="AV184">
        <f t="shared" si="171"/>
        <v>0</v>
      </c>
      <c r="AW184">
        <f t="shared" si="171"/>
        <v>0</v>
      </c>
      <c r="AX184">
        <f t="shared" si="171"/>
        <v>0</v>
      </c>
      <c r="AY184">
        <f t="shared" si="171"/>
        <v>0</v>
      </c>
      <c r="AZ184">
        <f t="shared" si="171"/>
        <v>0</v>
      </c>
      <c r="BA184">
        <f t="shared" si="171"/>
        <v>0</v>
      </c>
    </row>
    <row r="185" spans="1:53" ht="15.75" customHeight="1">
      <c r="A185" s="350">
        <v>1996</v>
      </c>
      <c r="B185" s="350"/>
      <c r="C185" s="350"/>
      <c r="D185" s="350"/>
      <c r="E185" s="350"/>
      <c r="F185" s="350"/>
      <c r="G185" s="350"/>
      <c r="H185" s="350"/>
      <c r="I185" s="350"/>
      <c r="J185" s="350"/>
      <c r="K185" s="350"/>
      <c r="L185" s="350"/>
      <c r="M185" s="350"/>
      <c r="N185" s="350"/>
      <c r="O185" s="350"/>
      <c r="P185" s="350"/>
      <c r="Q185" s="350"/>
      <c r="R185" s="350"/>
      <c r="S185" s="350"/>
      <c r="T185" s="350"/>
      <c r="U185" s="350"/>
      <c r="V185">
        <v>1596.6999999999998</v>
      </c>
      <c r="W185">
        <f t="shared" si="114"/>
        <v>0</v>
      </c>
      <c r="X185">
        <f t="shared" ref="X185:BA185" si="172">IF(AND(X$58-$A185&gt;$V$42,SUM($W185:W185)&lt;&gt;$V185),$V185,0)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1596.6999999999998</v>
      </c>
      <c r="AW185">
        <f t="shared" si="172"/>
        <v>0</v>
      </c>
      <c r="AX185">
        <f t="shared" si="172"/>
        <v>0</v>
      </c>
      <c r="AY185">
        <f t="shared" si="172"/>
        <v>0</v>
      </c>
      <c r="AZ185">
        <f t="shared" si="172"/>
        <v>0</v>
      </c>
      <c r="BA185">
        <f t="shared" si="172"/>
        <v>0</v>
      </c>
    </row>
    <row r="186" spans="1:53" ht="15.75" customHeight="1">
      <c r="A186" s="350">
        <v>1997</v>
      </c>
      <c r="B186" s="350"/>
      <c r="C186" s="350"/>
      <c r="D186" s="350"/>
      <c r="E186" s="350"/>
      <c r="F186" s="350"/>
      <c r="G186" s="350"/>
      <c r="H186" s="350"/>
      <c r="I186" s="350"/>
      <c r="J186" s="350"/>
      <c r="K186" s="350"/>
      <c r="L186" s="350"/>
      <c r="M186" s="350"/>
      <c r="N186" s="350"/>
      <c r="O186" s="350"/>
      <c r="P186" s="350"/>
      <c r="Q186" s="350"/>
      <c r="R186" s="350"/>
      <c r="S186" s="350"/>
      <c r="T186" s="350"/>
      <c r="U186" s="350"/>
      <c r="V186">
        <v>1247.7000000000003</v>
      </c>
      <c r="W186">
        <f t="shared" si="114"/>
        <v>0</v>
      </c>
      <c r="X186">
        <f t="shared" ref="X186:BA186" si="173">IF(AND(X$58-$A186&gt;$V$42,SUM($W186:W186)&lt;&gt;$V186),$V186,0)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1247.7000000000003</v>
      </c>
      <c r="AX186">
        <f t="shared" si="173"/>
        <v>0</v>
      </c>
      <c r="AY186">
        <f t="shared" si="173"/>
        <v>0</v>
      </c>
      <c r="AZ186">
        <f t="shared" si="173"/>
        <v>0</v>
      </c>
      <c r="BA186">
        <f t="shared" si="173"/>
        <v>0</v>
      </c>
    </row>
    <row r="187" spans="1:53" ht="15.75" customHeight="1">
      <c r="A187" s="350">
        <v>1998</v>
      </c>
      <c r="B187" s="350"/>
      <c r="C187" s="350"/>
      <c r="D187" s="350"/>
      <c r="E187" s="350"/>
      <c r="F187" s="350"/>
      <c r="G187" s="350"/>
      <c r="H187" s="350"/>
      <c r="I187" s="350"/>
      <c r="J187" s="350"/>
      <c r="K187" s="350"/>
      <c r="L187" s="350"/>
      <c r="M187" s="350"/>
      <c r="N187" s="350"/>
      <c r="O187" s="350"/>
      <c r="P187" s="350"/>
      <c r="Q187" s="350"/>
      <c r="R187" s="350"/>
      <c r="S187" s="350"/>
      <c r="T187" s="350"/>
      <c r="U187" s="350"/>
      <c r="V187">
        <v>692</v>
      </c>
      <c r="W187">
        <f t="shared" si="114"/>
        <v>0</v>
      </c>
      <c r="X187">
        <f t="shared" ref="X187:BA187" si="174">IF(AND(X$58-$A187&gt;$V$42,SUM($W187:W187)&lt;&gt;$V187),$V187,0)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692</v>
      </c>
      <c r="AY187">
        <f t="shared" si="174"/>
        <v>0</v>
      </c>
      <c r="AZ187">
        <f t="shared" si="174"/>
        <v>0</v>
      </c>
      <c r="BA187">
        <f t="shared" si="174"/>
        <v>0</v>
      </c>
    </row>
    <row r="188" spans="1:53" ht="15.75" customHeight="1">
      <c r="A188" s="350">
        <v>1999</v>
      </c>
      <c r="B188" s="350"/>
      <c r="C188" s="350"/>
      <c r="D188" s="350"/>
      <c r="E188" s="350"/>
      <c r="F188" s="350"/>
      <c r="G188" s="350"/>
      <c r="H188" s="350"/>
      <c r="I188" s="350"/>
      <c r="J188" s="350"/>
      <c r="K188" s="350"/>
      <c r="L188" s="350"/>
      <c r="M188" s="350"/>
      <c r="N188" s="350"/>
      <c r="O188" s="350"/>
      <c r="P188" s="350"/>
      <c r="Q188" s="350"/>
      <c r="R188" s="350"/>
      <c r="S188" s="350"/>
      <c r="T188" s="350"/>
      <c r="U188" s="350"/>
      <c r="V188">
        <v>4586.5</v>
      </c>
      <c r="W188">
        <f t="shared" si="114"/>
        <v>0</v>
      </c>
      <c r="X188">
        <f t="shared" ref="X188:BA188" si="175">IF(AND(X$58-$A188&gt;$V$42,SUM($W188:W188)&lt;&gt;$V188),$V188,0)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4586.5</v>
      </c>
      <c r="AZ188">
        <f t="shared" si="175"/>
        <v>0</v>
      </c>
      <c r="BA188">
        <f t="shared" si="175"/>
        <v>0</v>
      </c>
    </row>
    <row r="189" spans="1:53" ht="15.75" customHeight="1">
      <c r="A189" s="350">
        <v>2000</v>
      </c>
      <c r="B189" s="350"/>
      <c r="C189" s="350"/>
      <c r="D189" s="350"/>
      <c r="E189" s="350"/>
      <c r="F189" s="350"/>
      <c r="G189" s="350"/>
      <c r="H189" s="350"/>
      <c r="I189" s="350"/>
      <c r="J189" s="350"/>
      <c r="K189" s="350"/>
      <c r="L189" s="350"/>
      <c r="M189" s="350"/>
      <c r="N189" s="350"/>
      <c r="O189" s="350"/>
      <c r="P189" s="350"/>
      <c r="Q189" s="350"/>
      <c r="R189" s="350"/>
      <c r="S189" s="350"/>
      <c r="T189" s="350"/>
      <c r="U189" s="350"/>
      <c r="V189">
        <v>12553.899999999994</v>
      </c>
      <c r="W189">
        <f t="shared" si="114"/>
        <v>0</v>
      </c>
      <c r="X189">
        <f t="shared" ref="X189:BA189" si="176">IF(AND(X$58-$A189&gt;$V$42,SUM($W189:W189)&lt;&gt;$V189),$V189,0)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12553.899999999994</v>
      </c>
      <c r="BA189">
        <f t="shared" si="176"/>
        <v>0</v>
      </c>
    </row>
    <row r="190" spans="1:53" ht="15.75" customHeight="1">
      <c r="A190" s="350">
        <v>2001</v>
      </c>
      <c r="B190" s="350"/>
      <c r="C190" s="350"/>
      <c r="D190" s="350"/>
      <c r="E190" s="350"/>
      <c r="F190" s="350"/>
      <c r="G190" s="350"/>
      <c r="H190" s="350"/>
      <c r="I190" s="350"/>
      <c r="J190" s="350"/>
      <c r="K190" s="350"/>
      <c r="L190" s="350"/>
      <c r="M190" s="350"/>
      <c r="N190" s="350"/>
      <c r="O190" s="350"/>
      <c r="P190" s="350"/>
      <c r="Q190" s="350"/>
      <c r="R190" s="350"/>
      <c r="S190" s="350"/>
      <c r="T190" s="350"/>
      <c r="U190" s="350"/>
      <c r="V190">
        <v>18645.099999999988</v>
      </c>
      <c r="W190">
        <f t="shared" si="114"/>
        <v>0</v>
      </c>
      <c r="X190">
        <f t="shared" ref="X190:BA190" si="177">IF(AND(X$58-$A190&gt;$V$42,SUM($W190:W190)&lt;&gt;$V190),$V190,0)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18645.099999999988</v>
      </c>
    </row>
    <row r="191" spans="1:53" ht="15.75" customHeight="1">
      <c r="A191" s="350">
        <v>2002</v>
      </c>
      <c r="B191" s="350"/>
      <c r="C191" s="350"/>
      <c r="D191" s="350"/>
      <c r="E191" s="350"/>
      <c r="F191" s="350"/>
      <c r="G191" s="350"/>
      <c r="H191" s="350"/>
      <c r="I191" s="350"/>
      <c r="J191" s="350"/>
      <c r="K191" s="350"/>
      <c r="L191" s="350"/>
      <c r="M191" s="350"/>
      <c r="N191" s="350"/>
      <c r="O191" s="350"/>
      <c r="P191" s="350"/>
      <c r="Q191" s="350"/>
      <c r="R191" s="350"/>
      <c r="S191" s="350"/>
      <c r="T191" s="350"/>
      <c r="U191" s="350"/>
      <c r="V191">
        <v>17485.699999999997</v>
      </c>
      <c r="W191">
        <f t="shared" si="114"/>
        <v>0</v>
      </c>
      <c r="X191">
        <f t="shared" ref="X191:BA191" si="178">IF(AND(X$58-$A191&gt;$V$42,SUM($W191:W191)&lt;&gt;$V191),$V191,0)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spans="1:53" ht="15.75" customHeight="1">
      <c r="A192" s="350">
        <v>2003</v>
      </c>
      <c r="B192" s="350"/>
      <c r="C192" s="350"/>
      <c r="D192" s="350"/>
      <c r="E192" s="350"/>
      <c r="F192" s="350"/>
      <c r="G192" s="350"/>
      <c r="H192" s="350"/>
      <c r="I192" s="350"/>
      <c r="J192" s="350"/>
      <c r="K192" s="350"/>
      <c r="L192" s="350"/>
      <c r="M192" s="350"/>
      <c r="N192" s="350"/>
      <c r="O192" s="350"/>
      <c r="P192" s="350"/>
      <c r="Q192" s="350"/>
      <c r="R192" s="350"/>
      <c r="S192" s="350"/>
      <c r="T192" s="350"/>
      <c r="U192" s="350"/>
      <c r="V192">
        <v>7248.7999999999993</v>
      </c>
      <c r="W192">
        <f t="shared" si="114"/>
        <v>0</v>
      </c>
      <c r="X192">
        <f t="shared" ref="X192:BA192" si="179">IF(AND(X$58-$A192&gt;$V$42,SUM($W192:W192)&lt;&gt;$V192),$V192,0)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spans="1:53" ht="15.75" customHeight="1">
      <c r="A193" s="350">
        <v>2004</v>
      </c>
      <c r="B193" s="350"/>
      <c r="C193" s="350"/>
      <c r="D193" s="350"/>
      <c r="E193" s="350"/>
      <c r="F193" s="350"/>
      <c r="G193" s="350"/>
      <c r="H193" s="350"/>
      <c r="I193" s="350"/>
      <c r="J193" s="350"/>
      <c r="K193" s="350"/>
      <c r="L193" s="350"/>
      <c r="M193" s="350"/>
      <c r="N193" s="350"/>
      <c r="O193" s="350"/>
      <c r="P193" s="350"/>
      <c r="Q193" s="350"/>
      <c r="R193" s="350"/>
      <c r="S193" s="350"/>
      <c r="T193" s="350"/>
      <c r="U193" s="350"/>
      <c r="V193">
        <v>2899.8</v>
      </c>
      <c r="W193">
        <f t="shared" si="114"/>
        <v>0</v>
      </c>
      <c r="X193">
        <f t="shared" ref="X193:BA193" si="180">IF(AND(X$58-$A193&gt;$V$42,SUM($W193:W193)&lt;&gt;$V193),$V193,0)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spans="1:53" ht="15.75" customHeight="1">
      <c r="A194" s="350">
        <v>2005</v>
      </c>
      <c r="B194" s="350"/>
      <c r="C194" s="350"/>
      <c r="D194" s="350"/>
      <c r="E194" s="350"/>
      <c r="F194" s="350"/>
      <c r="G194" s="350"/>
      <c r="H194" s="350"/>
      <c r="I194" s="350"/>
      <c r="J194" s="350"/>
      <c r="K194" s="350"/>
      <c r="L194" s="350"/>
      <c r="M194" s="350"/>
      <c r="N194" s="350"/>
      <c r="O194" s="350"/>
      <c r="P194" s="350"/>
      <c r="Q194" s="350"/>
      <c r="R194" s="350"/>
      <c r="S194" s="350"/>
      <c r="T194" s="350"/>
      <c r="U194" s="350"/>
      <c r="V194">
        <v>3413.6</v>
      </c>
      <c r="W194">
        <f t="shared" si="114"/>
        <v>0</v>
      </c>
      <c r="X194">
        <f t="shared" ref="X194:BA194" si="181">IF(AND(X$58-$A194&gt;$V$42,SUM($W194:W194)&lt;&gt;$V194),$V194,0)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spans="1:53" ht="15.75" customHeight="1">
      <c r="A195" s="350">
        <v>2006</v>
      </c>
      <c r="B195" s="350"/>
      <c r="C195" s="350"/>
      <c r="D195" s="350"/>
      <c r="E195" s="350"/>
      <c r="F195" s="350"/>
      <c r="G195" s="350"/>
      <c r="H195" s="350"/>
      <c r="I195" s="350"/>
      <c r="J195" s="350"/>
      <c r="K195" s="350"/>
      <c r="L195" s="350"/>
      <c r="M195" s="350"/>
      <c r="N195" s="350"/>
      <c r="O195" s="350"/>
      <c r="P195" s="350"/>
      <c r="Q195" s="350"/>
      <c r="R195" s="350"/>
      <c r="S195" s="350"/>
      <c r="T195" s="350"/>
      <c r="U195" s="350"/>
      <c r="V195">
        <v>1293.8</v>
      </c>
      <c r="W195">
        <f t="shared" si="114"/>
        <v>0</v>
      </c>
      <c r="X195">
        <f t="shared" ref="X195:BA195" si="182">IF(AND(X$58-$A195&gt;$V$42,SUM($W195:W195)&lt;&gt;$V195),$V195,0)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spans="1:53" ht="15.75" customHeight="1">
      <c r="A196" s="350">
        <v>2007</v>
      </c>
      <c r="B196" s="350"/>
      <c r="C196" s="350"/>
      <c r="D196" s="350"/>
      <c r="E196" s="350"/>
      <c r="F196" s="350"/>
      <c r="G196" s="350"/>
      <c r="H196" s="350"/>
      <c r="I196" s="350"/>
      <c r="J196" s="350"/>
      <c r="K196" s="350"/>
      <c r="L196" s="350"/>
      <c r="M196" s="350"/>
      <c r="N196" s="350"/>
      <c r="O196" s="350"/>
      <c r="P196" s="350"/>
      <c r="Q196" s="350"/>
      <c r="R196" s="350"/>
      <c r="S196" s="350"/>
      <c r="T196" s="350"/>
      <c r="U196" s="350"/>
      <c r="V196">
        <v>2135.9</v>
      </c>
      <c r="W196">
        <f t="shared" si="114"/>
        <v>0</v>
      </c>
      <c r="X196">
        <f t="shared" ref="X196:BA196" si="183">IF(AND(X$58-$A196&gt;$V$42,SUM($W196:W196)&lt;&gt;$V196),$V196,0)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spans="1:53" ht="15.75" customHeight="1">
      <c r="A197" s="350">
        <v>2008</v>
      </c>
      <c r="B197" s="350"/>
      <c r="C197" s="350"/>
      <c r="D197" s="350"/>
      <c r="E197" s="350"/>
      <c r="F197" s="350"/>
      <c r="G197" s="350"/>
      <c r="H197" s="350"/>
      <c r="I197" s="350"/>
      <c r="J197" s="350"/>
      <c r="K197" s="350"/>
      <c r="L197" s="350"/>
      <c r="M197" s="350"/>
      <c r="N197" s="350"/>
      <c r="O197" s="350"/>
      <c r="P197" s="350"/>
      <c r="Q197" s="350"/>
      <c r="R197" s="350"/>
      <c r="S197" s="350"/>
      <c r="T197" s="350"/>
      <c r="U197" s="350"/>
      <c r="V197">
        <v>3117</v>
      </c>
      <c r="W197">
        <f t="shared" si="114"/>
        <v>0</v>
      </c>
      <c r="X197">
        <f t="shared" ref="X197:BA197" si="184">IF(AND(X$58-$A197&gt;$V$42,SUM($W197:W197)&lt;&gt;$V197),$V197,0)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spans="1:53" ht="15.75" customHeight="1">
      <c r="A198" s="350">
        <v>2009</v>
      </c>
      <c r="B198" s="350"/>
      <c r="C198" s="350"/>
      <c r="D198" s="350"/>
      <c r="E198" s="350"/>
      <c r="F198" s="350"/>
      <c r="G198" s="350"/>
      <c r="H198" s="350"/>
      <c r="I198" s="350"/>
      <c r="J198" s="350"/>
      <c r="K198" s="350"/>
      <c r="L198" s="350"/>
      <c r="M198" s="350"/>
      <c r="N198" s="350"/>
      <c r="O198" s="350"/>
      <c r="P198" s="350"/>
      <c r="Q198" s="350"/>
      <c r="R198" s="350"/>
      <c r="S198" s="350"/>
      <c r="T198" s="350"/>
      <c r="U198" s="350"/>
      <c r="V198">
        <v>2678.2</v>
      </c>
      <c r="W198">
        <f t="shared" si="114"/>
        <v>0</v>
      </c>
      <c r="X198">
        <f t="shared" ref="X198:BA198" si="185">IF(AND(X$58-$A198&gt;$V$42,SUM($W198:W198)&lt;&gt;$V198),$V198,0)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spans="1:53" ht="15.75" customHeight="1">
      <c r="A199" s="350">
        <v>2010</v>
      </c>
      <c r="B199" s="350"/>
      <c r="C199" s="350"/>
      <c r="D199" s="350"/>
      <c r="E199" s="350"/>
      <c r="F199" s="350"/>
      <c r="G199" s="350"/>
      <c r="H199" s="350"/>
      <c r="I199" s="350"/>
      <c r="J199" s="350"/>
      <c r="K199" s="350"/>
      <c r="L199" s="350"/>
      <c r="M199" s="350"/>
      <c r="N199" s="350"/>
      <c r="O199" s="350"/>
      <c r="P199" s="350"/>
      <c r="Q199" s="350"/>
      <c r="R199" s="350"/>
      <c r="S199" s="350"/>
      <c r="T199" s="350"/>
      <c r="U199" s="350"/>
      <c r="V199">
        <v>1960.300000000002</v>
      </c>
      <c r="W199">
        <f t="shared" si="114"/>
        <v>0</v>
      </c>
      <c r="X199">
        <f t="shared" ref="X199:BA199" si="186">IF(AND(X$58-$A199&gt;$V$42,SUM($W199:W199)&lt;&gt;$V199),$V199,0)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spans="1:53" ht="15.75" customHeight="1">
      <c r="A200" s="350">
        <v>2011</v>
      </c>
      <c r="B200" s="350"/>
      <c r="C200" s="350"/>
      <c r="D200" s="350"/>
      <c r="E200" s="350"/>
      <c r="F200" s="350"/>
      <c r="G200" s="350"/>
      <c r="H200" s="350"/>
      <c r="I200" s="350"/>
      <c r="J200" s="350"/>
      <c r="K200" s="350"/>
      <c r="L200" s="350"/>
      <c r="M200" s="350"/>
      <c r="N200" s="350"/>
      <c r="O200" s="350"/>
      <c r="P200" s="350"/>
      <c r="Q200" s="350"/>
      <c r="R200" s="350"/>
      <c r="S200" s="350"/>
      <c r="T200" s="350"/>
      <c r="U200" s="350"/>
      <c r="V200">
        <v>1833.3</v>
      </c>
      <c r="W200">
        <f t="shared" si="114"/>
        <v>0</v>
      </c>
      <c r="X200">
        <f t="shared" ref="X200:BA200" si="187">IF(AND(X$58-$A200&gt;$V$42,SUM($W200:W200)&lt;&gt;$V200),$V200,0)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spans="1:53" ht="15.75" customHeight="1">
      <c r="A201" s="350">
        <v>2012</v>
      </c>
      <c r="B201" s="350"/>
      <c r="C201" s="350"/>
      <c r="D201" s="350"/>
      <c r="E201" s="350"/>
      <c r="F201" s="350"/>
      <c r="G201" s="350"/>
      <c r="H201" s="350"/>
      <c r="I201" s="350"/>
      <c r="J201" s="350"/>
      <c r="K201" s="350"/>
      <c r="L201" s="350"/>
      <c r="M201" s="350"/>
      <c r="N201" s="350"/>
      <c r="O201" s="350"/>
      <c r="P201" s="350"/>
      <c r="Q201" s="350"/>
      <c r="R201" s="350"/>
      <c r="S201" s="350"/>
      <c r="T201" s="350"/>
      <c r="U201" s="350"/>
      <c r="V201">
        <v>2618.6000000000004</v>
      </c>
      <c r="W201">
        <f t="shared" si="114"/>
        <v>0</v>
      </c>
      <c r="X201">
        <f t="shared" ref="X201:BA201" si="188">IF(AND(X$58-$A201&gt;$V$42,SUM($W201:W201)&lt;&gt;$V201),$V201,0)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spans="1:53" ht="15.75" customHeight="1">
      <c r="A202" s="350">
        <v>2013</v>
      </c>
      <c r="B202" s="350"/>
      <c r="C202" s="350"/>
      <c r="D202" s="350"/>
      <c r="E202" s="350"/>
      <c r="F202" s="350"/>
      <c r="G202" s="350"/>
      <c r="H202" s="350"/>
      <c r="I202" s="350"/>
      <c r="J202" s="350"/>
      <c r="K202" s="350"/>
      <c r="L202" s="350"/>
      <c r="M202" s="350"/>
      <c r="N202" s="350"/>
      <c r="O202" s="350"/>
      <c r="P202" s="350"/>
      <c r="Q202" s="350"/>
      <c r="R202" s="350"/>
      <c r="S202" s="350"/>
      <c r="T202" s="350"/>
      <c r="U202" s="350"/>
      <c r="V202">
        <v>3516.0000000000023</v>
      </c>
      <c r="W202">
        <f t="shared" si="114"/>
        <v>0</v>
      </c>
      <c r="X202">
        <f t="shared" ref="X202:BA202" si="189">IF(AND(X$58-$A202&gt;$V$42,SUM($W202:W202)&lt;&gt;$V202),$V202,0)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spans="1:53" ht="15.75" customHeight="1">
      <c r="A203" s="350">
        <v>2014</v>
      </c>
      <c r="B203" s="350"/>
      <c r="C203" s="350"/>
      <c r="D203" s="350"/>
      <c r="E203" s="350"/>
      <c r="F203" s="350"/>
      <c r="G203" s="350"/>
      <c r="H203" s="350"/>
      <c r="I203" s="350"/>
      <c r="J203" s="350"/>
      <c r="K203" s="350"/>
      <c r="L203" s="350"/>
      <c r="M203" s="350"/>
      <c r="N203" s="350"/>
      <c r="O203" s="350"/>
      <c r="P203" s="350"/>
      <c r="Q203" s="350"/>
      <c r="R203" s="350"/>
      <c r="S203" s="350"/>
      <c r="T203" s="350"/>
      <c r="U203" s="350"/>
      <c r="V203">
        <v>726.9</v>
      </c>
      <c r="W203">
        <f t="shared" si="114"/>
        <v>0</v>
      </c>
      <c r="X203">
        <f t="shared" ref="X203:BA203" si="190">IF(AND(X$58-$A203&gt;$V$42,SUM($W203:W203)&lt;&gt;$V203),$V203,0)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spans="1:53" ht="15.75" customHeight="1">
      <c r="A204" s="350">
        <v>2015</v>
      </c>
      <c r="B204" s="350"/>
      <c r="C204" s="350"/>
      <c r="D204" s="350"/>
      <c r="E204" s="350"/>
      <c r="F204" s="350"/>
      <c r="G204" s="350"/>
      <c r="H204" s="350"/>
      <c r="I204" s="350"/>
      <c r="J204" s="350"/>
      <c r="K204" s="350"/>
      <c r="L204" s="350"/>
      <c r="M204" s="350"/>
      <c r="N204" s="350"/>
      <c r="O204" s="350"/>
      <c r="P204" s="350"/>
      <c r="Q204" s="350"/>
      <c r="R204" s="350"/>
      <c r="S204" s="350"/>
      <c r="T204" s="350"/>
      <c r="U204" s="350"/>
      <c r="V204">
        <v>1416.1000000000001</v>
      </c>
      <c r="W204">
        <f t="shared" si="114"/>
        <v>0</v>
      </c>
      <c r="X204">
        <f t="shared" ref="X204:BA204" si="191">IF(AND(X$58-$A204&gt;$V$42,SUM($W204:W204)&lt;&gt;$V204),$V204,0)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spans="1:53" ht="15.75" customHeight="1">
      <c r="A205" s="350">
        <v>2016</v>
      </c>
      <c r="B205" s="350"/>
      <c r="C205" s="350"/>
      <c r="D205" s="350"/>
      <c r="E205" s="350"/>
      <c r="F205" s="350"/>
      <c r="G205" s="350"/>
      <c r="H205" s="350"/>
      <c r="I205" s="350"/>
      <c r="J205" s="350"/>
      <c r="K205" s="350"/>
      <c r="L205" s="350"/>
      <c r="M205" s="350"/>
      <c r="N205" s="350"/>
      <c r="O205" s="350"/>
      <c r="P205" s="350"/>
      <c r="Q205" s="350"/>
      <c r="R205" s="350"/>
      <c r="S205" s="350"/>
      <c r="T205" s="350"/>
      <c r="U205" s="350"/>
      <c r="V205">
        <v>3812.6999999999994</v>
      </c>
      <c r="W205">
        <f t="shared" si="114"/>
        <v>0</v>
      </c>
      <c r="X205">
        <f t="shared" ref="X205:BA205" si="192">IF(AND(X$58-$A205&gt;$V$42,SUM($W205:W205)&lt;&gt;$V205),$V205,0)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spans="1:53" ht="15.75" customHeight="1">
      <c r="A206" s="350">
        <v>2017</v>
      </c>
      <c r="B206" s="350"/>
      <c r="C206" s="350"/>
      <c r="D206" s="350"/>
      <c r="E206" s="350"/>
      <c r="F206" s="350"/>
      <c r="G206" s="350"/>
      <c r="H206" s="350"/>
      <c r="I206" s="350"/>
      <c r="J206" s="350"/>
      <c r="K206" s="350"/>
      <c r="L206" s="350"/>
      <c r="M206" s="350"/>
      <c r="N206" s="350"/>
      <c r="O206" s="350"/>
      <c r="P206" s="350"/>
      <c r="Q206" s="350"/>
      <c r="R206" s="350"/>
      <c r="S206" s="350"/>
      <c r="T206" s="350"/>
      <c r="U206" s="350"/>
      <c r="V206">
        <v>1187.0999999999995</v>
      </c>
      <c r="W206">
        <f t="shared" si="114"/>
        <v>0</v>
      </c>
      <c r="X206">
        <f t="shared" ref="X206:BA206" si="193">IF(AND(X$58-$A206&gt;$V$42,SUM($W206:W206)&lt;&gt;$V206),$V206,0)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spans="1:53" ht="15.75" customHeight="1">
      <c r="A207" s="350">
        <v>2018</v>
      </c>
      <c r="B207" s="350"/>
      <c r="C207" s="350"/>
      <c r="D207" s="350"/>
      <c r="E207" s="350"/>
      <c r="F207" s="350"/>
      <c r="G207" s="350"/>
      <c r="H207" s="350"/>
      <c r="I207" s="350"/>
      <c r="J207" s="350"/>
      <c r="K207" s="350"/>
      <c r="L207" s="350"/>
      <c r="M207" s="350"/>
      <c r="N207" s="350"/>
      <c r="O207" s="350"/>
      <c r="P207" s="350"/>
      <c r="Q207" s="350"/>
      <c r="R207" s="350"/>
      <c r="S207" s="350"/>
      <c r="T207" s="350"/>
      <c r="U207" s="350"/>
      <c r="V207">
        <v>18.8</v>
      </c>
      <c r="W207">
        <f t="shared" si="114"/>
        <v>0</v>
      </c>
      <c r="X207">
        <f t="shared" ref="X207:BA207" si="194">IF(AND(X$58-$A207&gt;$V$42,SUM($W207:W207)&lt;&gt;$V207),$V207,0)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spans="1:53"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1" width="11.4609375" customWidth="1"/>
    <col min="22" max="22" width="13.53515625" customWidth="1"/>
    <col min="23" max="28" width="12.5351562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764</v>
      </c>
      <c r="B2" s="352">
        <f t="shared" ref="B2:U2" si="0">C2/(1+B36-B4)</f>
        <v>1831727.6177222438</v>
      </c>
      <c r="C2" s="352">
        <f t="shared" si="0"/>
        <v>1822568.9796336326</v>
      </c>
      <c r="D2" s="352">
        <f t="shared" si="0"/>
        <v>1813456.1347354644</v>
      </c>
      <c r="E2" s="352">
        <f t="shared" si="0"/>
        <v>1804388.854061787</v>
      </c>
      <c r="F2" s="352">
        <f t="shared" si="0"/>
        <v>1795366.9097914782</v>
      </c>
      <c r="G2" s="352">
        <f t="shared" si="0"/>
        <v>1786390.0752425208</v>
      </c>
      <c r="H2" s="352">
        <f t="shared" si="0"/>
        <v>1777458.1248663082</v>
      </c>
      <c r="I2" s="352">
        <f t="shared" si="0"/>
        <v>1768570.8342419767</v>
      </c>
      <c r="J2" s="352">
        <f t="shared" si="0"/>
        <v>1759727.9800707668</v>
      </c>
      <c r="K2" s="352">
        <f t="shared" si="0"/>
        <v>1750929.340170413</v>
      </c>
      <c r="L2" s="352">
        <f t="shared" si="0"/>
        <v>1742174.6934695609</v>
      </c>
      <c r="M2" s="352">
        <f t="shared" si="0"/>
        <v>1733463.8200022131</v>
      </c>
      <c r="N2" s="352">
        <f t="shared" si="0"/>
        <v>1724796.500902202</v>
      </c>
      <c r="O2" s="352">
        <f t="shared" si="0"/>
        <v>1716172.518397691</v>
      </c>
      <c r="P2" s="352">
        <f t="shared" si="0"/>
        <v>1707591.6558057026</v>
      </c>
      <c r="Q2" s="352">
        <f t="shared" si="0"/>
        <v>1699053.697526674</v>
      </c>
      <c r="R2" s="352">
        <f t="shared" si="0"/>
        <v>1690558.4290390406</v>
      </c>
      <c r="S2" s="352">
        <f t="shared" si="0"/>
        <v>1682105.6368938454</v>
      </c>
      <c r="T2" s="352">
        <f t="shared" si="0"/>
        <v>1673695.1087093761</v>
      </c>
      <c r="U2" s="352">
        <f t="shared" si="0"/>
        <v>1665326.6331658291</v>
      </c>
      <c r="V2" s="329">
        <v>1657000</v>
      </c>
      <c r="W2" s="105">
        <f t="shared" ref="W2:AZ2" si="1">V2*(1+V36-V4)</f>
        <v>1690140</v>
      </c>
      <c r="X2" s="105">
        <f t="shared" si="1"/>
        <v>1723942.8</v>
      </c>
      <c r="Y2" s="105">
        <f t="shared" si="1"/>
        <v>1758421.6560000002</v>
      </c>
      <c r="Z2" s="105">
        <f t="shared" si="1"/>
        <v>1793590.0891200001</v>
      </c>
      <c r="AA2" s="105">
        <f t="shared" si="1"/>
        <v>1829461.8909024002</v>
      </c>
      <c r="AB2" s="105">
        <f t="shared" si="1"/>
        <v>1866051.1287204484</v>
      </c>
      <c r="AC2" s="105">
        <f t="shared" si="1"/>
        <v>1903372.1512948573</v>
      </c>
      <c r="AD2" s="105">
        <f t="shared" si="1"/>
        <v>1941439.5943207545</v>
      </c>
      <c r="AE2" s="105">
        <f t="shared" si="1"/>
        <v>1980268.3862071696</v>
      </c>
      <c r="AF2" s="105">
        <f t="shared" si="1"/>
        <v>2019873.7539313131</v>
      </c>
      <c r="AG2" s="105">
        <f t="shared" si="1"/>
        <v>2060271.2290099394</v>
      </c>
      <c r="AH2" s="105">
        <f t="shared" si="1"/>
        <v>2101476.6535901381</v>
      </c>
      <c r="AI2" s="105">
        <f t="shared" si="1"/>
        <v>2143506.186661941</v>
      </c>
      <c r="AJ2" s="105">
        <f t="shared" si="1"/>
        <v>2186376.3103951798</v>
      </c>
      <c r="AK2" s="105">
        <f t="shared" si="1"/>
        <v>2230103.8366030836</v>
      </c>
      <c r="AL2" s="105">
        <f t="shared" si="1"/>
        <v>2274705.9133351455</v>
      </c>
      <c r="AM2" s="105">
        <f t="shared" si="1"/>
        <v>2320200.0316018485</v>
      </c>
      <c r="AN2" s="105">
        <f t="shared" si="1"/>
        <v>2366604.0322338855</v>
      </c>
      <c r="AO2" s="105">
        <f t="shared" si="1"/>
        <v>2413936.1128785633</v>
      </c>
      <c r="AP2" s="105">
        <f t="shared" si="1"/>
        <v>2462214.8351361346</v>
      </c>
      <c r="AQ2" s="105">
        <f t="shared" si="1"/>
        <v>2511459.1318388572</v>
      </c>
      <c r="AR2" s="105">
        <f t="shared" si="1"/>
        <v>2561688.3144756346</v>
      </c>
      <c r="AS2" s="105">
        <f t="shared" si="1"/>
        <v>2612922.0807651472</v>
      </c>
      <c r="AT2" s="105">
        <f t="shared" si="1"/>
        <v>2665180.5223804503</v>
      </c>
      <c r="AU2" s="105">
        <f t="shared" si="1"/>
        <v>2718484.1328280591</v>
      </c>
      <c r="AV2" s="105">
        <f t="shared" si="1"/>
        <v>2772853.8154846202</v>
      </c>
      <c r="AW2" s="105">
        <f t="shared" si="1"/>
        <v>2828310.8917943127</v>
      </c>
      <c r="AX2" s="105">
        <f t="shared" si="1"/>
        <v>2884877.1096301991</v>
      </c>
      <c r="AY2" s="105">
        <f t="shared" si="1"/>
        <v>2942574.6518228031</v>
      </c>
      <c r="AZ2" s="105">
        <f t="shared" si="1"/>
        <v>3001426.144859259</v>
      </c>
    </row>
    <row r="3" spans="1:52" ht="15" customHeight="1">
      <c r="A3" s="93" t="s">
        <v>765</v>
      </c>
      <c r="B3" s="93"/>
      <c r="C3" s="93"/>
      <c r="D3" s="93"/>
      <c r="E3" s="93"/>
      <c r="F3" s="93"/>
      <c r="G3" s="93"/>
      <c r="H3" s="93"/>
      <c r="I3" s="93"/>
      <c r="J3" s="93"/>
      <c r="K3" s="93"/>
      <c r="L3" s="93"/>
      <c r="M3" s="93"/>
      <c r="N3" s="93"/>
      <c r="O3" s="93"/>
      <c r="P3" s="93"/>
      <c r="Q3" s="93"/>
      <c r="R3" s="93"/>
      <c r="S3" s="93"/>
      <c r="T3" s="93"/>
      <c r="U3" s="93"/>
      <c r="V3" s="329">
        <v>6454000</v>
      </c>
      <c r="W3" s="105">
        <f t="shared" ref="W3:AZ3" si="2">V3*(1+V36-V5)</f>
        <v>6583080</v>
      </c>
      <c r="X3" s="105">
        <f t="shared" si="2"/>
        <v>6714741.6000000006</v>
      </c>
      <c r="Y3" s="105">
        <f t="shared" si="2"/>
        <v>6849036.432000001</v>
      </c>
      <c r="Z3" s="105">
        <f t="shared" si="2"/>
        <v>6986017.1606400013</v>
      </c>
      <c r="AA3" s="105">
        <f t="shared" si="2"/>
        <v>7125737.5038528014</v>
      </c>
      <c r="AB3" s="105">
        <f t="shared" si="2"/>
        <v>7268252.2539298572</v>
      </c>
      <c r="AC3" s="105">
        <f t="shared" si="2"/>
        <v>7413617.2990084542</v>
      </c>
      <c r="AD3" s="105">
        <f t="shared" si="2"/>
        <v>7561889.6449886234</v>
      </c>
      <c r="AE3" s="105">
        <f t="shared" si="2"/>
        <v>7713127.437888396</v>
      </c>
      <c r="AF3" s="105">
        <f t="shared" si="2"/>
        <v>7867389.9866461642</v>
      </c>
      <c r="AG3" s="105">
        <f t="shared" si="2"/>
        <v>8024737.7863790877</v>
      </c>
      <c r="AH3" s="105">
        <f t="shared" si="2"/>
        <v>8185232.5421066694</v>
      </c>
      <c r="AI3" s="105">
        <f t="shared" si="2"/>
        <v>8348937.1929488033</v>
      </c>
      <c r="AJ3" s="105">
        <f t="shared" si="2"/>
        <v>8515915.9368077796</v>
      </c>
      <c r="AK3" s="105">
        <f t="shared" si="2"/>
        <v>8686234.255543936</v>
      </c>
      <c r="AL3" s="105">
        <f t="shared" si="2"/>
        <v>8859958.9406548142</v>
      </c>
      <c r="AM3" s="105">
        <f t="shared" si="2"/>
        <v>9037158.1194679104</v>
      </c>
      <c r="AN3" s="105">
        <f t="shared" si="2"/>
        <v>9217901.2818572689</v>
      </c>
      <c r="AO3" s="105">
        <f t="shared" si="2"/>
        <v>9402259.307494415</v>
      </c>
      <c r="AP3" s="105">
        <f t="shared" si="2"/>
        <v>9590304.4936443027</v>
      </c>
      <c r="AQ3" s="105">
        <f t="shared" si="2"/>
        <v>9782110.5835171882</v>
      </c>
      <c r="AR3" s="105">
        <f t="shared" si="2"/>
        <v>9977752.7951875329</v>
      </c>
      <c r="AS3" s="105">
        <f t="shared" si="2"/>
        <v>10177307.851091284</v>
      </c>
      <c r="AT3" s="105">
        <f t="shared" si="2"/>
        <v>10380854.00811311</v>
      </c>
      <c r="AU3" s="105">
        <f t="shared" si="2"/>
        <v>10588471.088275373</v>
      </c>
      <c r="AV3" s="105">
        <f t="shared" si="2"/>
        <v>10800240.510040881</v>
      </c>
      <c r="AW3" s="105">
        <f t="shared" si="2"/>
        <v>11016245.320241699</v>
      </c>
      <c r="AX3" s="105">
        <f t="shared" si="2"/>
        <v>11236570.226646533</v>
      </c>
      <c r="AY3" s="105">
        <f t="shared" si="2"/>
        <v>11461301.631179465</v>
      </c>
      <c r="AZ3" s="105">
        <f t="shared" si="2"/>
        <v>11690527.663803054</v>
      </c>
    </row>
    <row r="4" spans="1:52" ht="15" customHeight="1">
      <c r="A4" s="93" t="s">
        <v>766</v>
      </c>
      <c r="B4" s="330">
        <v>2.5000000000000001E-2</v>
      </c>
      <c r="C4" s="330">
        <v>2.5000000000000001E-2</v>
      </c>
      <c r="D4" s="330">
        <v>2.5000000000000001E-2</v>
      </c>
      <c r="E4" s="330">
        <v>2.5000000000000001E-2</v>
      </c>
      <c r="F4" s="330">
        <v>2.5000000000000001E-2</v>
      </c>
      <c r="G4" s="330">
        <v>2.5000000000000001E-2</v>
      </c>
      <c r="H4" s="330">
        <v>2.5000000000000001E-2</v>
      </c>
      <c r="I4" s="330">
        <v>2.5000000000000001E-2</v>
      </c>
      <c r="J4" s="330">
        <v>2.5000000000000001E-2</v>
      </c>
      <c r="K4" s="330">
        <v>2.5000000000000001E-2</v>
      </c>
      <c r="L4" s="330">
        <v>2.5000000000000001E-2</v>
      </c>
      <c r="M4" s="330">
        <v>2.5000000000000001E-2</v>
      </c>
      <c r="N4" s="330">
        <v>2.5000000000000001E-2</v>
      </c>
      <c r="O4" s="330">
        <v>2.5000000000000001E-2</v>
      </c>
      <c r="P4" s="330">
        <v>2.5000000000000001E-2</v>
      </c>
      <c r="Q4" s="330">
        <v>2.5000000000000001E-2</v>
      </c>
      <c r="R4" s="330">
        <v>2.5000000000000001E-2</v>
      </c>
      <c r="S4" s="330">
        <v>2.5000000000000001E-2</v>
      </c>
      <c r="T4" s="330">
        <v>2.5000000000000001E-2</v>
      </c>
      <c r="U4" s="330">
        <v>2.5000000000000001E-2</v>
      </c>
      <c r="V4" s="279">
        <v>0</v>
      </c>
      <c r="W4" s="247">
        <f t="shared" ref="W4:AZ4" si="3">V4</f>
        <v>0</v>
      </c>
      <c r="X4" s="247">
        <f t="shared" si="3"/>
        <v>0</v>
      </c>
      <c r="Y4" s="247">
        <f t="shared" si="3"/>
        <v>0</v>
      </c>
      <c r="Z4" s="247">
        <f t="shared" si="3"/>
        <v>0</v>
      </c>
      <c r="AA4" s="247">
        <f t="shared" si="3"/>
        <v>0</v>
      </c>
      <c r="AB4" s="247">
        <f t="shared" si="3"/>
        <v>0</v>
      </c>
      <c r="AC4" s="247">
        <f t="shared" si="3"/>
        <v>0</v>
      </c>
      <c r="AD4" s="247">
        <f t="shared" si="3"/>
        <v>0</v>
      </c>
      <c r="AE4" s="247">
        <f t="shared" si="3"/>
        <v>0</v>
      </c>
      <c r="AF4" s="247">
        <f t="shared" si="3"/>
        <v>0</v>
      </c>
      <c r="AG4" s="247">
        <f t="shared" si="3"/>
        <v>0</v>
      </c>
      <c r="AH4" s="247">
        <f t="shared" si="3"/>
        <v>0</v>
      </c>
      <c r="AI4" s="247">
        <f t="shared" si="3"/>
        <v>0</v>
      </c>
      <c r="AJ4" s="247">
        <f t="shared" si="3"/>
        <v>0</v>
      </c>
      <c r="AK4" s="247">
        <f t="shared" si="3"/>
        <v>0</v>
      </c>
      <c r="AL4" s="247">
        <f t="shared" si="3"/>
        <v>0</v>
      </c>
      <c r="AM4" s="247">
        <f t="shared" si="3"/>
        <v>0</v>
      </c>
      <c r="AN4" s="247">
        <f t="shared" si="3"/>
        <v>0</v>
      </c>
      <c r="AO4" s="247">
        <f t="shared" si="3"/>
        <v>0</v>
      </c>
      <c r="AP4" s="247">
        <f t="shared" si="3"/>
        <v>0</v>
      </c>
      <c r="AQ4" s="247">
        <f t="shared" si="3"/>
        <v>0</v>
      </c>
      <c r="AR4" s="247">
        <f t="shared" si="3"/>
        <v>0</v>
      </c>
      <c r="AS4" s="247">
        <f t="shared" si="3"/>
        <v>0</v>
      </c>
      <c r="AT4" s="247">
        <f t="shared" si="3"/>
        <v>0</v>
      </c>
      <c r="AU4" s="247">
        <f t="shared" si="3"/>
        <v>0</v>
      </c>
      <c r="AV4" s="247">
        <f t="shared" si="3"/>
        <v>0</v>
      </c>
      <c r="AW4" s="247">
        <f t="shared" si="3"/>
        <v>0</v>
      </c>
      <c r="AX4" s="247">
        <f t="shared" si="3"/>
        <v>0</v>
      </c>
      <c r="AY4" s="247">
        <f t="shared" si="3"/>
        <v>0</v>
      </c>
      <c r="AZ4" s="247">
        <f t="shared" si="3"/>
        <v>0</v>
      </c>
    </row>
    <row r="5" spans="1:52" ht="15" customHeight="1">
      <c r="A5" s="93" t="s">
        <v>767</v>
      </c>
      <c r="B5" s="93"/>
      <c r="C5" s="93"/>
      <c r="D5" s="93"/>
      <c r="E5" s="93"/>
      <c r="F5" s="93"/>
      <c r="G5" s="93"/>
      <c r="H5" s="93"/>
      <c r="I5" s="93"/>
      <c r="J5" s="93"/>
      <c r="K5" s="93"/>
      <c r="L5" s="93"/>
      <c r="M5" s="93"/>
      <c r="N5" s="93"/>
      <c r="O5" s="93"/>
      <c r="P5" s="93"/>
      <c r="Q5" s="93"/>
      <c r="R5" s="93"/>
      <c r="S5" s="93"/>
      <c r="T5" s="93"/>
      <c r="U5" s="93"/>
      <c r="V5" s="279">
        <v>0</v>
      </c>
      <c r="W5" s="247">
        <f t="shared" ref="W5:AZ5" si="4">V5</f>
        <v>0</v>
      </c>
      <c r="X5" s="247">
        <f t="shared" si="4"/>
        <v>0</v>
      </c>
      <c r="Y5" s="247">
        <f t="shared" si="4"/>
        <v>0</v>
      </c>
      <c r="Z5" s="247">
        <f t="shared" si="4"/>
        <v>0</v>
      </c>
      <c r="AA5" s="247">
        <f t="shared" si="4"/>
        <v>0</v>
      </c>
      <c r="AB5" s="247">
        <f t="shared" si="4"/>
        <v>0</v>
      </c>
      <c r="AC5" s="247">
        <f t="shared" si="4"/>
        <v>0</v>
      </c>
      <c r="AD5" s="247">
        <f t="shared" si="4"/>
        <v>0</v>
      </c>
      <c r="AE5" s="247">
        <f t="shared" si="4"/>
        <v>0</v>
      </c>
      <c r="AF5" s="247">
        <f t="shared" si="4"/>
        <v>0</v>
      </c>
      <c r="AG5" s="247">
        <f t="shared" si="4"/>
        <v>0</v>
      </c>
      <c r="AH5" s="247">
        <f t="shared" si="4"/>
        <v>0</v>
      </c>
      <c r="AI5" s="247">
        <f t="shared" si="4"/>
        <v>0</v>
      </c>
      <c r="AJ5" s="247">
        <f t="shared" si="4"/>
        <v>0</v>
      </c>
      <c r="AK5" s="247">
        <f t="shared" si="4"/>
        <v>0</v>
      </c>
      <c r="AL5" s="247">
        <f t="shared" si="4"/>
        <v>0</v>
      </c>
      <c r="AM5" s="247">
        <f t="shared" si="4"/>
        <v>0</v>
      </c>
      <c r="AN5" s="247">
        <f t="shared" si="4"/>
        <v>0</v>
      </c>
      <c r="AO5" s="247">
        <f t="shared" si="4"/>
        <v>0</v>
      </c>
      <c r="AP5" s="247">
        <f t="shared" si="4"/>
        <v>0</v>
      </c>
      <c r="AQ5" s="247">
        <f t="shared" si="4"/>
        <v>0</v>
      </c>
      <c r="AR5" s="247">
        <f t="shared" si="4"/>
        <v>0</v>
      </c>
      <c r="AS5" s="247">
        <f t="shared" si="4"/>
        <v>0</v>
      </c>
      <c r="AT5" s="247">
        <f t="shared" si="4"/>
        <v>0</v>
      </c>
      <c r="AU5" s="247">
        <f t="shared" si="4"/>
        <v>0</v>
      </c>
      <c r="AV5" s="247">
        <f t="shared" si="4"/>
        <v>0</v>
      </c>
      <c r="AW5" s="247">
        <f t="shared" si="4"/>
        <v>0</v>
      </c>
      <c r="AX5" s="247">
        <f t="shared" si="4"/>
        <v>0</v>
      </c>
      <c r="AY5" s="247">
        <f t="shared" si="4"/>
        <v>0</v>
      </c>
      <c r="AZ5" s="247">
        <f t="shared" si="4"/>
        <v>0</v>
      </c>
    </row>
    <row r="6" spans="1:52" ht="15" customHeight="1">
      <c r="A6" s="93" t="s">
        <v>74</v>
      </c>
      <c r="B6" s="93"/>
      <c r="C6" s="93"/>
      <c r="D6" s="93"/>
      <c r="E6" s="93"/>
      <c r="F6" s="93"/>
      <c r="G6" s="93"/>
      <c r="H6" s="93"/>
      <c r="I6" s="93"/>
      <c r="J6" s="93"/>
      <c r="K6" s="93"/>
      <c r="L6" s="93"/>
      <c r="M6" s="93"/>
      <c r="N6" s="93"/>
      <c r="O6" s="93"/>
      <c r="P6" s="93"/>
      <c r="Q6" s="93"/>
      <c r="R6" s="93"/>
      <c r="S6" s="93"/>
      <c r="T6" s="93"/>
      <c r="U6" s="93"/>
      <c r="V6" s="279">
        <v>0.6</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76</v>
      </c>
      <c r="B7" s="93"/>
      <c r="C7" s="93"/>
      <c r="D7" s="93"/>
      <c r="E7" s="93"/>
      <c r="F7" s="93"/>
      <c r="G7" s="93"/>
      <c r="H7" s="93"/>
      <c r="I7" s="93"/>
      <c r="J7" s="93"/>
      <c r="K7" s="93"/>
      <c r="L7" s="93"/>
      <c r="M7" s="93"/>
      <c r="N7" s="93"/>
      <c r="O7" s="93"/>
      <c r="P7" s="93"/>
      <c r="Q7" s="93"/>
      <c r="R7" s="93"/>
      <c r="S7" s="93"/>
      <c r="T7" s="93"/>
      <c r="U7" s="93"/>
      <c r="V7" s="279">
        <v>0.4</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78</v>
      </c>
      <c r="B8" s="93"/>
      <c r="C8" s="93"/>
      <c r="D8" s="93"/>
      <c r="E8" s="93"/>
      <c r="F8" s="93"/>
      <c r="G8" s="93"/>
      <c r="H8" s="93"/>
      <c r="I8" s="93"/>
      <c r="J8" s="93"/>
      <c r="K8" s="93"/>
      <c r="L8" s="93"/>
      <c r="M8" s="93"/>
      <c r="N8" s="93"/>
      <c r="O8" s="93"/>
      <c r="P8" s="93"/>
      <c r="Q8" s="93"/>
      <c r="R8" s="93"/>
      <c r="S8" s="93"/>
      <c r="T8" s="93"/>
      <c r="U8" s="93"/>
      <c r="V8" s="245">
        <v>0.08</v>
      </c>
      <c r="W8" s="247"/>
      <c r="X8" s="247"/>
      <c r="Y8" s="247"/>
      <c r="Z8" s="247"/>
      <c r="AA8" s="247"/>
      <c r="AB8" s="247"/>
      <c r="AC8" s="247"/>
      <c r="AD8" s="247"/>
      <c r="AE8" s="247"/>
      <c r="AF8" s="247"/>
      <c r="AG8" s="247"/>
      <c r="AH8" s="247"/>
      <c r="AI8" s="247"/>
      <c r="AJ8" s="247"/>
      <c r="AK8" s="247"/>
      <c r="AL8" s="247"/>
      <c r="AM8" s="247"/>
      <c r="AN8" s="247"/>
      <c r="AO8" s="247"/>
      <c r="AP8" s="247"/>
      <c r="AQ8" s="247"/>
      <c r="AR8" s="247"/>
      <c r="AS8" s="247"/>
      <c r="AT8" s="247"/>
      <c r="AU8" s="247"/>
      <c r="AV8" s="247"/>
      <c r="AW8" s="247"/>
      <c r="AX8" s="247"/>
      <c r="AY8" s="247"/>
      <c r="AZ8" s="247"/>
    </row>
    <row r="9" spans="1:52" ht="15" customHeight="1">
      <c r="A9" s="93" t="s">
        <v>80</v>
      </c>
      <c r="B9" s="93"/>
      <c r="C9" s="93"/>
      <c r="D9" s="93"/>
      <c r="E9" s="93"/>
      <c r="F9" s="93"/>
      <c r="G9" s="93"/>
      <c r="H9" s="93"/>
      <c r="I9" s="93"/>
      <c r="J9" s="93"/>
      <c r="K9" s="93"/>
      <c r="L9" s="93"/>
      <c r="M9" s="93"/>
      <c r="N9" s="93"/>
      <c r="O9" s="93"/>
      <c r="P9" s="93"/>
      <c r="Q9" s="93"/>
      <c r="R9" s="93"/>
      <c r="S9" s="93"/>
      <c r="T9" s="93"/>
      <c r="U9" s="93"/>
      <c r="V9" s="279">
        <v>0.12</v>
      </c>
      <c r="W9" s="247"/>
      <c r="X9" s="247"/>
      <c r="Y9" s="247"/>
      <c r="Z9" s="247"/>
      <c r="AA9" s="247"/>
      <c r="AB9" s="247"/>
      <c r="AC9" s="247"/>
      <c r="AD9" s="247"/>
      <c r="AE9" s="247"/>
      <c r="AF9" s="247"/>
      <c r="AG9" s="247"/>
      <c r="AH9" s="247"/>
      <c r="AI9" s="247"/>
      <c r="AJ9" s="247"/>
      <c r="AK9" s="247"/>
      <c r="AL9" s="247"/>
      <c r="AM9" s="247"/>
      <c r="AN9" s="247"/>
      <c r="AO9" s="247"/>
      <c r="AP9" s="247"/>
      <c r="AQ9" s="247"/>
      <c r="AR9" s="247"/>
      <c r="AS9" s="247"/>
      <c r="AT9" s="247"/>
      <c r="AU9" s="247"/>
      <c r="AV9" s="247"/>
      <c r="AW9" s="247"/>
      <c r="AX9" s="247"/>
      <c r="AY9" s="247"/>
      <c r="AZ9" s="247"/>
    </row>
    <row r="10" spans="1:52" ht="15" customHeight="1">
      <c r="A10" s="93" t="s">
        <v>82</v>
      </c>
      <c r="B10" s="93"/>
      <c r="C10" s="93"/>
      <c r="D10" s="93"/>
      <c r="E10" s="93"/>
      <c r="F10" s="93"/>
      <c r="G10" s="93"/>
      <c r="H10" s="93"/>
      <c r="I10" s="93"/>
      <c r="J10" s="93"/>
      <c r="K10" s="93"/>
      <c r="L10" s="93"/>
      <c r="M10" s="93"/>
      <c r="N10" s="93"/>
      <c r="O10" s="93"/>
      <c r="P10" s="93"/>
      <c r="Q10" s="93"/>
      <c r="R10" s="93"/>
      <c r="S10" s="93"/>
      <c r="T10" s="93"/>
      <c r="U10" s="93"/>
      <c r="V10" s="245">
        <f>V6*V8+V7*V9</f>
        <v>9.6000000000000002E-2</v>
      </c>
      <c r="W10" s="250"/>
      <c r="X10" s="250"/>
      <c r="Y10" s="250"/>
      <c r="Z10" s="250"/>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row>
    <row r="11" spans="1:52" ht="15" customHeight="1">
      <c r="A11" s="93" t="s">
        <v>84</v>
      </c>
      <c r="B11" s="93"/>
      <c r="C11" s="93"/>
      <c r="D11" s="93"/>
      <c r="E11" s="93"/>
      <c r="F11" s="93"/>
      <c r="G11" s="93"/>
      <c r="H11" s="93"/>
      <c r="I11" s="93"/>
      <c r="J11" s="93"/>
      <c r="K11" s="93"/>
      <c r="L11" s="93"/>
      <c r="M11" s="93"/>
      <c r="N11" s="93"/>
      <c r="O11" s="93"/>
      <c r="P11" s="93"/>
      <c r="Q11" s="93"/>
      <c r="R11" s="93"/>
      <c r="S11" s="93"/>
      <c r="T11" s="93"/>
      <c r="U11" s="93"/>
      <c r="V11" s="251">
        <v>10</v>
      </c>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row>
    <row r="12" spans="1:52" ht="15" customHeight="1">
      <c r="A12" s="93" t="s">
        <v>768</v>
      </c>
      <c r="B12" s="93"/>
      <c r="C12" s="93"/>
      <c r="D12" s="93"/>
      <c r="E12" s="93"/>
      <c r="F12" s="93"/>
      <c r="G12" s="93"/>
      <c r="H12" s="93"/>
      <c r="I12" s="93"/>
      <c r="J12" s="93"/>
      <c r="K12" s="93"/>
      <c r="L12" s="93"/>
      <c r="M12" s="93"/>
      <c r="N12" s="93"/>
      <c r="O12" s="93"/>
      <c r="P12" s="93"/>
      <c r="Q12" s="93"/>
      <c r="R12" s="93"/>
      <c r="S12" s="93"/>
      <c r="T12" s="93"/>
      <c r="U12" s="93"/>
      <c r="V12" s="335">
        <v>0.2</v>
      </c>
      <c r="W12" s="331">
        <v>0.32</v>
      </c>
      <c r="X12" s="331">
        <v>0.192</v>
      </c>
      <c r="Y12" s="331">
        <v>0.1152</v>
      </c>
      <c r="Z12" s="331">
        <v>0.1152</v>
      </c>
      <c r="AA12" s="331">
        <v>5.7599999999999998E-2</v>
      </c>
      <c r="AB12" s="331"/>
      <c r="AC12" s="331"/>
      <c r="AD12" s="331"/>
      <c r="AE12" s="331"/>
      <c r="AF12" s="331"/>
      <c r="AG12" s="331"/>
      <c r="AH12" s="331"/>
      <c r="AI12" s="331"/>
      <c r="AJ12" s="331"/>
      <c r="AK12" s="331"/>
      <c r="AL12" s="331"/>
      <c r="AM12" s="331"/>
      <c r="AN12" s="331"/>
      <c r="AO12" s="331"/>
      <c r="AP12" s="331"/>
      <c r="AQ12" s="331"/>
      <c r="AR12" s="331"/>
      <c r="AS12" s="331"/>
      <c r="AT12" s="331"/>
      <c r="AU12" s="331"/>
      <c r="AV12" s="331"/>
      <c r="AW12" s="331"/>
      <c r="AX12" s="331"/>
      <c r="AY12" s="331"/>
      <c r="AZ12" s="331"/>
    </row>
    <row r="13" spans="1:52" ht="15" customHeight="1">
      <c r="A13" s="93" t="s">
        <v>88</v>
      </c>
      <c r="B13" s="93"/>
      <c r="C13" s="93"/>
      <c r="D13" s="93"/>
      <c r="E13" s="93"/>
      <c r="F13" s="93"/>
      <c r="G13" s="93"/>
      <c r="H13" s="93"/>
      <c r="I13" s="93"/>
      <c r="J13" s="93"/>
      <c r="K13" s="93"/>
      <c r="L13" s="93"/>
      <c r="M13" s="93"/>
      <c r="N13" s="93"/>
      <c r="O13" s="93"/>
      <c r="P13" s="93"/>
      <c r="Q13" s="93"/>
      <c r="R13" s="93"/>
      <c r="S13" s="93"/>
      <c r="T13" s="93"/>
      <c r="U13" s="93"/>
      <c r="V13" s="251">
        <v>13100</v>
      </c>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row>
    <row r="14" spans="1:52" ht="15" customHeight="1">
      <c r="A14" s="93" t="s">
        <v>769</v>
      </c>
      <c r="B14" s="93"/>
      <c r="C14" s="93"/>
      <c r="D14" s="93"/>
      <c r="E14" s="93"/>
      <c r="F14" s="93"/>
      <c r="G14" s="93"/>
      <c r="H14" s="93"/>
      <c r="I14" s="93"/>
      <c r="J14" s="93"/>
      <c r="K14" s="93"/>
      <c r="L14" s="93"/>
      <c r="M14" s="93"/>
      <c r="N14" s="93"/>
      <c r="O14" s="93"/>
      <c r="P14" s="93"/>
      <c r="Q14" s="93"/>
      <c r="R14" s="93"/>
      <c r="S14" s="93"/>
      <c r="T14" s="93"/>
      <c r="U14" s="93"/>
      <c r="V14" s="251">
        <v>2</v>
      </c>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row>
    <row r="15" spans="1:52" ht="15" customHeight="1">
      <c r="A15" s="93" t="s">
        <v>770</v>
      </c>
      <c r="B15" s="93"/>
      <c r="C15" s="93"/>
      <c r="D15" s="93"/>
      <c r="E15" s="93"/>
      <c r="F15" s="93"/>
      <c r="G15" s="93"/>
      <c r="H15" s="93"/>
      <c r="I15" s="93"/>
      <c r="J15" s="93"/>
      <c r="K15" s="93"/>
      <c r="L15" s="93"/>
      <c r="M15" s="93"/>
      <c r="N15" s="93"/>
      <c r="O15" s="93"/>
      <c r="P15" s="93"/>
      <c r="Q15" s="93"/>
      <c r="R15" s="93"/>
      <c r="S15" s="93"/>
      <c r="T15" s="93"/>
      <c r="U15" s="93"/>
      <c r="V15" s="332">
        <v>3</v>
      </c>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row>
    <row r="16" spans="1:52" ht="15" customHeight="1">
      <c r="A16" s="93" t="s">
        <v>772</v>
      </c>
      <c r="B16" s="93"/>
      <c r="C16" s="93"/>
      <c r="D16" s="93"/>
      <c r="E16" s="93"/>
      <c r="F16" s="93"/>
      <c r="G16" s="93"/>
      <c r="H16" s="93"/>
      <c r="I16" s="93"/>
      <c r="J16" s="93"/>
      <c r="K16" s="93"/>
      <c r="L16" s="93"/>
      <c r="M16" s="93"/>
      <c r="N16" s="93"/>
      <c r="O16" s="93"/>
      <c r="P16" s="93"/>
      <c r="Q16" s="93"/>
      <c r="R16" s="93"/>
      <c r="S16" s="93"/>
      <c r="T16" s="93"/>
      <c r="U16" s="93"/>
      <c r="V16" s="254">
        <f t="shared" ref="V16:V17" si="5">1/V14</f>
        <v>0.5</v>
      </c>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row>
    <row r="17" spans="1:52" ht="15" customHeight="1">
      <c r="A17" s="93" t="s">
        <v>773</v>
      </c>
      <c r="B17" s="93"/>
      <c r="C17" s="93"/>
      <c r="D17" s="93"/>
      <c r="E17" s="93"/>
      <c r="F17" s="93"/>
      <c r="G17" s="93"/>
      <c r="H17" s="93"/>
      <c r="I17" s="93"/>
      <c r="J17" s="93"/>
      <c r="K17" s="93"/>
      <c r="L17" s="93"/>
      <c r="M17" s="93"/>
      <c r="N17" s="93"/>
      <c r="O17" s="93"/>
      <c r="P17" s="93"/>
      <c r="Q17" s="93"/>
      <c r="R17" s="93"/>
      <c r="S17" s="93"/>
      <c r="T17" s="93"/>
      <c r="U17" s="93"/>
      <c r="V17" s="254">
        <f t="shared" si="5"/>
        <v>0.33333333333333331</v>
      </c>
      <c r="W17" s="250"/>
      <c r="X17" s="250"/>
      <c r="Y17" s="250"/>
      <c r="Z17" s="250"/>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row>
    <row r="18" spans="1:52" ht="15" customHeight="1">
      <c r="A18" s="93" t="s">
        <v>94</v>
      </c>
      <c r="B18" s="93"/>
      <c r="C18" s="93"/>
      <c r="D18" s="93"/>
      <c r="E18" s="93"/>
      <c r="F18" s="93"/>
      <c r="G18" s="93"/>
      <c r="H18" s="93"/>
      <c r="I18" s="93"/>
      <c r="J18" s="93"/>
      <c r="K18" s="93"/>
      <c r="L18" s="93"/>
      <c r="M18" s="93"/>
      <c r="N18" s="93"/>
      <c r="O18" s="93"/>
      <c r="P18" s="93"/>
      <c r="Q18" s="93"/>
      <c r="R18" s="93"/>
      <c r="S18" s="93"/>
      <c r="T18" s="93"/>
      <c r="U18" s="93"/>
      <c r="V18" s="335">
        <v>0.32833670184894076</v>
      </c>
      <c r="W18" s="70">
        <f t="shared" ref="W18:AZ18" si="6">V18*(1+V20)</f>
        <v>0.32833670184894076</v>
      </c>
      <c r="X18" s="70">
        <f t="shared" si="6"/>
        <v>0.32833670184894076</v>
      </c>
      <c r="Y18" s="70">
        <f t="shared" si="6"/>
        <v>0.32833670184894076</v>
      </c>
      <c r="Z18" s="70">
        <f t="shared" si="6"/>
        <v>0.32833670184894076</v>
      </c>
      <c r="AA18" s="70">
        <f t="shared" si="6"/>
        <v>0.32833670184894076</v>
      </c>
      <c r="AB18" s="70">
        <f t="shared" si="6"/>
        <v>0.32833670184894076</v>
      </c>
      <c r="AC18" s="70">
        <f t="shared" si="6"/>
        <v>0.32833670184894076</v>
      </c>
      <c r="AD18" s="70">
        <f t="shared" si="6"/>
        <v>0.32833670184894076</v>
      </c>
      <c r="AE18" s="70">
        <f t="shared" si="6"/>
        <v>0.32833670184894076</v>
      </c>
      <c r="AF18" s="70">
        <f t="shared" si="6"/>
        <v>0.32833670184894076</v>
      </c>
      <c r="AG18" s="70">
        <f t="shared" si="6"/>
        <v>0.32833670184894076</v>
      </c>
      <c r="AH18" s="70">
        <f t="shared" si="6"/>
        <v>0.32833670184894076</v>
      </c>
      <c r="AI18" s="70">
        <f t="shared" si="6"/>
        <v>0.32833670184894076</v>
      </c>
      <c r="AJ18" s="70">
        <f t="shared" si="6"/>
        <v>0.32833670184894076</v>
      </c>
      <c r="AK18" s="70">
        <f t="shared" si="6"/>
        <v>0.32833670184894076</v>
      </c>
      <c r="AL18" s="70">
        <f t="shared" si="6"/>
        <v>0.32833670184894076</v>
      </c>
      <c r="AM18" s="70">
        <f t="shared" si="6"/>
        <v>0.32833670184894076</v>
      </c>
      <c r="AN18" s="70">
        <f t="shared" si="6"/>
        <v>0.32833670184894076</v>
      </c>
      <c r="AO18" s="70">
        <f t="shared" si="6"/>
        <v>0.32833670184894076</v>
      </c>
      <c r="AP18" s="70">
        <f t="shared" si="6"/>
        <v>0.32833670184894076</v>
      </c>
      <c r="AQ18" s="70">
        <f t="shared" si="6"/>
        <v>0.32833670184894076</v>
      </c>
      <c r="AR18" s="70">
        <f t="shared" si="6"/>
        <v>0.32833670184894076</v>
      </c>
      <c r="AS18" s="70">
        <f t="shared" si="6"/>
        <v>0.32833670184894076</v>
      </c>
      <c r="AT18" s="70">
        <f t="shared" si="6"/>
        <v>0.32833670184894076</v>
      </c>
      <c r="AU18" s="70">
        <f t="shared" si="6"/>
        <v>0.32833670184894076</v>
      </c>
      <c r="AV18" s="70">
        <f t="shared" si="6"/>
        <v>0.32833670184894076</v>
      </c>
      <c r="AW18" s="70">
        <f t="shared" si="6"/>
        <v>0.32833670184894076</v>
      </c>
      <c r="AX18" s="70">
        <f t="shared" si="6"/>
        <v>0.32833670184894076</v>
      </c>
      <c r="AY18" s="70">
        <f t="shared" si="6"/>
        <v>0.32833670184894076</v>
      </c>
      <c r="AZ18" s="70">
        <f t="shared" si="6"/>
        <v>0.32833670184894076</v>
      </c>
    </row>
    <row r="19" spans="1:52" ht="15" customHeight="1">
      <c r="A19" s="93" t="s">
        <v>96</v>
      </c>
      <c r="B19" s="93"/>
      <c r="C19" s="93"/>
      <c r="D19" s="93"/>
      <c r="E19" s="93"/>
      <c r="F19" s="93"/>
      <c r="G19" s="93"/>
      <c r="H19" s="93"/>
      <c r="I19" s="93"/>
      <c r="J19" s="93"/>
      <c r="K19" s="93"/>
      <c r="L19" s="93"/>
      <c r="M19" s="93"/>
      <c r="N19" s="93"/>
      <c r="O19" s="93"/>
      <c r="P19" s="93"/>
      <c r="Q19" s="93"/>
      <c r="R19" s="93"/>
      <c r="S19" s="93"/>
      <c r="T19" s="93"/>
      <c r="U19" s="93"/>
      <c r="V19" s="335">
        <v>0.36799999999999999</v>
      </c>
      <c r="W19" s="70">
        <f t="shared" ref="W19:AZ19" si="7">V19</f>
        <v>0.36799999999999999</v>
      </c>
      <c r="X19" s="70">
        <f t="shared" si="7"/>
        <v>0.36799999999999999</v>
      </c>
      <c r="Y19" s="70">
        <f t="shared" si="7"/>
        <v>0.36799999999999999</v>
      </c>
      <c r="Z19" s="70">
        <f t="shared" si="7"/>
        <v>0.36799999999999999</v>
      </c>
      <c r="AA19" s="70">
        <f t="shared" si="7"/>
        <v>0.36799999999999999</v>
      </c>
      <c r="AB19" s="70">
        <f t="shared" si="7"/>
        <v>0.36799999999999999</v>
      </c>
      <c r="AC19" s="70">
        <f t="shared" si="7"/>
        <v>0.36799999999999999</v>
      </c>
      <c r="AD19" s="70">
        <f t="shared" si="7"/>
        <v>0.36799999999999999</v>
      </c>
      <c r="AE19" s="70">
        <f t="shared" si="7"/>
        <v>0.36799999999999999</v>
      </c>
      <c r="AF19" s="70">
        <f t="shared" si="7"/>
        <v>0.36799999999999999</v>
      </c>
      <c r="AG19" s="70">
        <f t="shared" si="7"/>
        <v>0.36799999999999999</v>
      </c>
      <c r="AH19" s="70">
        <f t="shared" si="7"/>
        <v>0.36799999999999999</v>
      </c>
      <c r="AI19" s="70">
        <f t="shared" si="7"/>
        <v>0.36799999999999999</v>
      </c>
      <c r="AJ19" s="70">
        <f t="shared" si="7"/>
        <v>0.36799999999999999</v>
      </c>
      <c r="AK19" s="70">
        <f t="shared" si="7"/>
        <v>0.36799999999999999</v>
      </c>
      <c r="AL19" s="70">
        <f t="shared" si="7"/>
        <v>0.36799999999999999</v>
      </c>
      <c r="AM19" s="70">
        <f t="shared" si="7"/>
        <v>0.36799999999999999</v>
      </c>
      <c r="AN19" s="70">
        <f t="shared" si="7"/>
        <v>0.36799999999999999</v>
      </c>
      <c r="AO19" s="70">
        <f t="shared" si="7"/>
        <v>0.36799999999999999</v>
      </c>
      <c r="AP19" s="70">
        <f t="shared" si="7"/>
        <v>0.36799999999999999</v>
      </c>
      <c r="AQ19" s="70">
        <f t="shared" si="7"/>
        <v>0.36799999999999999</v>
      </c>
      <c r="AR19" s="70">
        <f t="shared" si="7"/>
        <v>0.36799999999999999</v>
      </c>
      <c r="AS19" s="70">
        <f t="shared" si="7"/>
        <v>0.36799999999999999</v>
      </c>
      <c r="AT19" s="70">
        <f t="shared" si="7"/>
        <v>0.36799999999999999</v>
      </c>
      <c r="AU19" s="70">
        <f t="shared" si="7"/>
        <v>0.36799999999999999</v>
      </c>
      <c r="AV19" s="70">
        <f t="shared" si="7"/>
        <v>0.36799999999999999</v>
      </c>
      <c r="AW19" s="70">
        <f t="shared" si="7"/>
        <v>0.36799999999999999</v>
      </c>
      <c r="AX19" s="70">
        <f t="shared" si="7"/>
        <v>0.36799999999999999</v>
      </c>
      <c r="AY19" s="70">
        <f t="shared" si="7"/>
        <v>0.36799999999999999</v>
      </c>
      <c r="AZ19" s="70">
        <f t="shared" si="7"/>
        <v>0.36799999999999999</v>
      </c>
    </row>
    <row r="20" spans="1:52" ht="15" customHeight="1">
      <c r="A20" s="93" t="s">
        <v>98</v>
      </c>
      <c r="B20" s="93"/>
      <c r="C20" s="93"/>
      <c r="D20" s="93"/>
      <c r="E20" s="93"/>
      <c r="F20" s="93"/>
      <c r="G20" s="93"/>
      <c r="H20" s="93"/>
      <c r="I20" s="93"/>
      <c r="J20" s="93"/>
      <c r="K20" s="93"/>
      <c r="L20" s="93"/>
      <c r="M20" s="93"/>
      <c r="N20" s="93"/>
      <c r="O20" s="93"/>
      <c r="P20" s="93"/>
      <c r="Q20" s="93"/>
      <c r="R20" s="93"/>
      <c r="S20" s="93"/>
      <c r="T20" s="93"/>
      <c r="U20" s="93"/>
      <c r="V20" s="254">
        <v>0</v>
      </c>
      <c r="W20" s="102">
        <f t="shared" ref="W20:AZ20" si="8">V20</f>
        <v>0</v>
      </c>
      <c r="X20" s="102">
        <f t="shared" si="8"/>
        <v>0</v>
      </c>
      <c r="Y20" s="102">
        <f t="shared" si="8"/>
        <v>0</v>
      </c>
      <c r="Z20" s="102">
        <f t="shared" si="8"/>
        <v>0</v>
      </c>
      <c r="AA20" s="102">
        <f t="shared" si="8"/>
        <v>0</v>
      </c>
      <c r="AB20" s="102">
        <f t="shared" si="8"/>
        <v>0</v>
      </c>
      <c r="AC20" s="102">
        <f t="shared" si="8"/>
        <v>0</v>
      </c>
      <c r="AD20" s="102">
        <f t="shared" si="8"/>
        <v>0</v>
      </c>
      <c r="AE20" s="102">
        <f t="shared" si="8"/>
        <v>0</v>
      </c>
      <c r="AF20" s="102">
        <f t="shared" si="8"/>
        <v>0</v>
      </c>
      <c r="AG20" s="102">
        <f t="shared" si="8"/>
        <v>0</v>
      </c>
      <c r="AH20" s="102">
        <f t="shared" si="8"/>
        <v>0</v>
      </c>
      <c r="AI20" s="102">
        <f t="shared" si="8"/>
        <v>0</v>
      </c>
      <c r="AJ20" s="102">
        <f t="shared" si="8"/>
        <v>0</v>
      </c>
      <c r="AK20" s="102">
        <f t="shared" si="8"/>
        <v>0</v>
      </c>
      <c r="AL20" s="102">
        <f t="shared" si="8"/>
        <v>0</v>
      </c>
      <c r="AM20" s="102">
        <f t="shared" si="8"/>
        <v>0</v>
      </c>
      <c r="AN20" s="102">
        <f t="shared" si="8"/>
        <v>0</v>
      </c>
      <c r="AO20" s="102">
        <f t="shared" si="8"/>
        <v>0</v>
      </c>
      <c r="AP20" s="102">
        <f t="shared" si="8"/>
        <v>0</v>
      </c>
      <c r="AQ20" s="102">
        <f t="shared" si="8"/>
        <v>0</v>
      </c>
      <c r="AR20" s="102">
        <f t="shared" si="8"/>
        <v>0</v>
      </c>
      <c r="AS20" s="102">
        <f t="shared" si="8"/>
        <v>0</v>
      </c>
      <c r="AT20" s="102">
        <f t="shared" si="8"/>
        <v>0</v>
      </c>
      <c r="AU20" s="102">
        <f t="shared" si="8"/>
        <v>0</v>
      </c>
      <c r="AV20" s="102">
        <f t="shared" si="8"/>
        <v>0</v>
      </c>
      <c r="AW20" s="102">
        <f t="shared" si="8"/>
        <v>0</v>
      </c>
      <c r="AX20" s="102">
        <f t="shared" si="8"/>
        <v>0</v>
      </c>
      <c r="AY20" s="102">
        <f t="shared" si="8"/>
        <v>0</v>
      </c>
      <c r="AZ20" s="102">
        <f t="shared" si="8"/>
        <v>0</v>
      </c>
    </row>
    <row r="21" spans="1:52" ht="15" customHeight="1">
      <c r="A21" s="93" t="s">
        <v>774</v>
      </c>
      <c r="B21" s="353">
        <f t="shared" ref="B21:U21" si="9">C21/(1+B36-B23)</f>
        <v>33715.532330859678</v>
      </c>
      <c r="C21" s="353">
        <f t="shared" si="9"/>
        <v>34305.554146649723</v>
      </c>
      <c r="D21" s="353">
        <f t="shared" si="9"/>
        <v>34905.901344216094</v>
      </c>
      <c r="E21" s="353">
        <f t="shared" si="9"/>
        <v>35516.754617739876</v>
      </c>
      <c r="F21" s="353">
        <f t="shared" si="9"/>
        <v>36138.297823550325</v>
      </c>
      <c r="G21" s="353">
        <f t="shared" si="9"/>
        <v>36770.718035462458</v>
      </c>
      <c r="H21" s="353">
        <f t="shared" si="9"/>
        <v>37414.205601083057</v>
      </c>
      <c r="I21" s="353">
        <f t="shared" si="9"/>
        <v>38068.954199102016</v>
      </c>
      <c r="J21" s="353">
        <f t="shared" si="9"/>
        <v>38735.160897586306</v>
      </c>
      <c r="K21" s="353">
        <f t="shared" si="9"/>
        <v>39413.02621329407</v>
      </c>
      <c r="L21" s="353">
        <f t="shared" si="9"/>
        <v>40102.754172026718</v>
      </c>
      <c r="M21" s="353">
        <f t="shared" si="9"/>
        <v>40804.552370037185</v>
      </c>
      <c r="N21" s="353">
        <f t="shared" si="9"/>
        <v>41518.632036512841</v>
      </c>
      <c r="O21" s="353">
        <f t="shared" si="9"/>
        <v>42245.208097151823</v>
      </c>
      <c r="P21" s="353">
        <f t="shared" si="9"/>
        <v>42984.499238851982</v>
      </c>
      <c r="Q21" s="353">
        <f t="shared" si="9"/>
        <v>43736.727975531896</v>
      </c>
      <c r="R21" s="353">
        <f t="shared" si="9"/>
        <v>44502.120715103709</v>
      </c>
      <c r="S21" s="353">
        <f t="shared" si="9"/>
        <v>45280.90782761803</v>
      </c>
      <c r="T21" s="353">
        <f t="shared" si="9"/>
        <v>46073.323714601349</v>
      </c>
      <c r="U21" s="353">
        <f t="shared" si="9"/>
        <v>46879.606879606879</v>
      </c>
      <c r="V21" s="329">
        <v>47700</v>
      </c>
      <c r="W21" s="91">
        <f t="shared" ref="W21:AZ21" si="10">V21*(1+V36-V23)</f>
        <v>48534.75</v>
      </c>
      <c r="X21" s="91">
        <f t="shared" si="10"/>
        <v>49384.108125000006</v>
      </c>
      <c r="Y21" s="91">
        <f t="shared" si="10"/>
        <v>50248.330017187509</v>
      </c>
      <c r="Z21" s="91">
        <f t="shared" si="10"/>
        <v>51127.675792488291</v>
      </c>
      <c r="AA21" s="91">
        <f t="shared" si="10"/>
        <v>52022.410118856838</v>
      </c>
      <c r="AB21" s="91">
        <f t="shared" si="10"/>
        <v>52932.802295936839</v>
      </c>
      <c r="AC21" s="91">
        <f t="shared" si="10"/>
        <v>53859.12633611574</v>
      </c>
      <c r="AD21" s="91">
        <f t="shared" si="10"/>
        <v>54801.661046997768</v>
      </c>
      <c r="AE21" s="91">
        <f t="shared" si="10"/>
        <v>55760.690115320234</v>
      </c>
      <c r="AF21" s="91">
        <f t="shared" si="10"/>
        <v>56736.502192338339</v>
      </c>
      <c r="AG21" s="91">
        <f t="shared" si="10"/>
        <v>57729.390980704266</v>
      </c>
      <c r="AH21" s="91">
        <f t="shared" si="10"/>
        <v>58739.655322866594</v>
      </c>
      <c r="AI21" s="91">
        <f t="shared" si="10"/>
        <v>59767.599291016762</v>
      </c>
      <c r="AJ21" s="91">
        <f t="shared" si="10"/>
        <v>60813.532278609557</v>
      </c>
      <c r="AK21" s="91">
        <f t="shared" si="10"/>
        <v>61877.769093485229</v>
      </c>
      <c r="AL21" s="91">
        <f t="shared" si="10"/>
        <v>62960.630052621222</v>
      </c>
      <c r="AM21" s="91">
        <f t="shared" si="10"/>
        <v>64062.441078542099</v>
      </c>
      <c r="AN21" s="91">
        <f t="shared" si="10"/>
        <v>65183.533797416589</v>
      </c>
      <c r="AO21" s="91">
        <f t="shared" si="10"/>
        <v>66324.245638871391</v>
      </c>
      <c r="AP21" s="91">
        <f t="shared" si="10"/>
        <v>67484.919937551647</v>
      </c>
      <c r="AQ21" s="91">
        <f t="shared" si="10"/>
        <v>68665.906036458808</v>
      </c>
      <c r="AR21" s="91">
        <f t="shared" si="10"/>
        <v>69867.559392096839</v>
      </c>
      <c r="AS21" s="91">
        <f t="shared" si="10"/>
        <v>71090.241681458545</v>
      </c>
      <c r="AT21" s="91">
        <f t="shared" si="10"/>
        <v>72334.320910884067</v>
      </c>
      <c r="AU21" s="91">
        <f t="shared" si="10"/>
        <v>73600.171526824546</v>
      </c>
      <c r="AV21" s="91">
        <f t="shared" si="10"/>
        <v>74888.174528543983</v>
      </c>
      <c r="AW21" s="91">
        <f t="shared" si="10"/>
        <v>76198.717582793513</v>
      </c>
      <c r="AX21" s="91">
        <f t="shared" si="10"/>
        <v>77532.195140492404</v>
      </c>
      <c r="AY21" s="91">
        <f t="shared" si="10"/>
        <v>78889.00855545103</v>
      </c>
      <c r="AZ21" s="91">
        <f t="shared" si="10"/>
        <v>80269.566205171432</v>
      </c>
    </row>
    <row r="22" spans="1:52" ht="15" customHeight="1">
      <c r="A22" s="93" t="s">
        <v>775</v>
      </c>
      <c r="B22" s="93"/>
      <c r="C22" s="93"/>
      <c r="D22" s="93"/>
      <c r="E22" s="93"/>
      <c r="F22" s="93"/>
      <c r="G22" s="93"/>
      <c r="H22" s="93"/>
      <c r="I22" s="93"/>
      <c r="J22" s="93"/>
      <c r="K22" s="93"/>
      <c r="L22" s="93"/>
      <c r="M22" s="93"/>
      <c r="N22" s="93"/>
      <c r="O22" s="93"/>
      <c r="P22" s="93"/>
      <c r="Q22" s="93"/>
      <c r="R22" s="93"/>
      <c r="S22" s="93"/>
      <c r="T22" s="93"/>
      <c r="U22" s="93"/>
      <c r="V22" s="329">
        <v>78560</v>
      </c>
      <c r="W22" s="91">
        <f t="shared" ref="W22:AZ22" si="11">V22*(1+V36-V23)</f>
        <v>79934.8</v>
      </c>
      <c r="X22" s="91">
        <f t="shared" si="11"/>
        <v>81333.659000000014</v>
      </c>
      <c r="Y22" s="91">
        <f t="shared" si="11"/>
        <v>82756.998032500022</v>
      </c>
      <c r="Z22" s="91">
        <f t="shared" si="11"/>
        <v>84205.245498068776</v>
      </c>
      <c r="AA22" s="91">
        <f t="shared" si="11"/>
        <v>85678.837294284982</v>
      </c>
      <c r="AB22" s="91">
        <f t="shared" si="11"/>
        <v>87178.216946934976</v>
      </c>
      <c r="AC22" s="91">
        <f t="shared" si="11"/>
        <v>88703.835743506337</v>
      </c>
      <c r="AD22" s="91">
        <f t="shared" si="11"/>
        <v>90256.152869017707</v>
      </c>
      <c r="AE22" s="91">
        <f t="shared" si="11"/>
        <v>91835.63554422553</v>
      </c>
      <c r="AF22" s="91">
        <f t="shared" si="11"/>
        <v>93442.759166249481</v>
      </c>
      <c r="AG22" s="91">
        <f t="shared" si="11"/>
        <v>95078.00745165885</v>
      </c>
      <c r="AH22" s="91">
        <f t="shared" si="11"/>
        <v>96741.87258206289</v>
      </c>
      <c r="AI22" s="91">
        <f t="shared" si="11"/>
        <v>98434.855352248996</v>
      </c>
      <c r="AJ22" s="91">
        <f t="shared" si="11"/>
        <v>100157.46532091335</v>
      </c>
      <c r="AK22" s="91">
        <f t="shared" si="11"/>
        <v>101910.22096402934</v>
      </c>
      <c r="AL22" s="91">
        <f t="shared" si="11"/>
        <v>103693.64983089987</v>
      </c>
      <c r="AM22" s="91">
        <f t="shared" si="11"/>
        <v>105508.28870294063</v>
      </c>
      <c r="AN22" s="91">
        <f t="shared" si="11"/>
        <v>107354.68375524209</v>
      </c>
      <c r="AO22" s="91">
        <f t="shared" si="11"/>
        <v>109233.39072095884</v>
      </c>
      <c r="AP22" s="91">
        <f t="shared" si="11"/>
        <v>111144.97505857563</v>
      </c>
      <c r="AQ22" s="91">
        <f t="shared" si="11"/>
        <v>113090.01212210071</v>
      </c>
      <c r="AR22" s="91">
        <f t="shared" si="11"/>
        <v>115069.08733423748</v>
      </c>
      <c r="AS22" s="91">
        <f t="shared" si="11"/>
        <v>117082.79636258665</v>
      </c>
      <c r="AT22" s="91">
        <f t="shared" si="11"/>
        <v>119131.74529893193</v>
      </c>
      <c r="AU22" s="91">
        <f t="shared" si="11"/>
        <v>121216.55084166325</v>
      </c>
      <c r="AV22" s="91">
        <f t="shared" si="11"/>
        <v>123337.84048139237</v>
      </c>
      <c r="AW22" s="91">
        <f t="shared" si="11"/>
        <v>125496.25268981674</v>
      </c>
      <c r="AX22" s="91">
        <f t="shared" si="11"/>
        <v>127692.43711188855</v>
      </c>
      <c r="AY22" s="91">
        <f t="shared" si="11"/>
        <v>129927.0547613466</v>
      </c>
      <c r="AZ22" s="91">
        <f t="shared" si="11"/>
        <v>132200.77821967017</v>
      </c>
    </row>
    <row r="23" spans="1:52" ht="15" customHeight="1">
      <c r="A23" s="93" t="s">
        <v>106</v>
      </c>
      <c r="B23" s="330">
        <f t="shared" ref="B23:U23" si="12">C23</f>
        <v>2.5000000000000001E-3</v>
      </c>
      <c r="C23" s="330">
        <f t="shared" si="12"/>
        <v>2.5000000000000001E-3</v>
      </c>
      <c r="D23" s="330">
        <f t="shared" si="12"/>
        <v>2.5000000000000001E-3</v>
      </c>
      <c r="E23" s="330">
        <f t="shared" si="12"/>
        <v>2.5000000000000001E-3</v>
      </c>
      <c r="F23" s="330">
        <f t="shared" si="12"/>
        <v>2.5000000000000001E-3</v>
      </c>
      <c r="G23" s="330">
        <f t="shared" si="12"/>
        <v>2.5000000000000001E-3</v>
      </c>
      <c r="H23" s="330">
        <f t="shared" si="12"/>
        <v>2.5000000000000001E-3</v>
      </c>
      <c r="I23" s="330">
        <f t="shared" si="12"/>
        <v>2.5000000000000001E-3</v>
      </c>
      <c r="J23" s="330">
        <f t="shared" si="12"/>
        <v>2.5000000000000001E-3</v>
      </c>
      <c r="K23" s="330">
        <f t="shared" si="12"/>
        <v>2.5000000000000001E-3</v>
      </c>
      <c r="L23" s="330">
        <f t="shared" si="12"/>
        <v>2.5000000000000001E-3</v>
      </c>
      <c r="M23" s="330">
        <f t="shared" si="12"/>
        <v>2.5000000000000001E-3</v>
      </c>
      <c r="N23" s="330">
        <f t="shared" si="12"/>
        <v>2.5000000000000001E-3</v>
      </c>
      <c r="O23" s="330">
        <f t="shared" si="12"/>
        <v>2.5000000000000001E-3</v>
      </c>
      <c r="P23" s="330">
        <f t="shared" si="12"/>
        <v>2.5000000000000001E-3</v>
      </c>
      <c r="Q23" s="330">
        <f t="shared" si="12"/>
        <v>2.5000000000000001E-3</v>
      </c>
      <c r="R23" s="330">
        <f t="shared" si="12"/>
        <v>2.5000000000000001E-3</v>
      </c>
      <c r="S23" s="330">
        <f t="shared" si="12"/>
        <v>2.5000000000000001E-3</v>
      </c>
      <c r="T23" s="330">
        <f t="shared" si="12"/>
        <v>2.5000000000000001E-3</v>
      </c>
      <c r="U23" s="330">
        <f t="shared" si="12"/>
        <v>2.5000000000000001E-3</v>
      </c>
      <c r="V23" s="245">
        <v>2.5000000000000001E-3</v>
      </c>
      <c r="W23" s="247">
        <f t="shared" ref="W23:AZ23" si="13">V23</f>
        <v>2.5000000000000001E-3</v>
      </c>
      <c r="X23" s="247">
        <f t="shared" si="13"/>
        <v>2.5000000000000001E-3</v>
      </c>
      <c r="Y23" s="247">
        <f t="shared" si="13"/>
        <v>2.5000000000000001E-3</v>
      </c>
      <c r="Z23" s="247">
        <f t="shared" si="13"/>
        <v>2.5000000000000001E-3</v>
      </c>
      <c r="AA23" s="247">
        <f t="shared" si="13"/>
        <v>2.5000000000000001E-3</v>
      </c>
      <c r="AB23" s="247">
        <f t="shared" si="13"/>
        <v>2.5000000000000001E-3</v>
      </c>
      <c r="AC23" s="247">
        <f t="shared" si="13"/>
        <v>2.5000000000000001E-3</v>
      </c>
      <c r="AD23" s="247">
        <f t="shared" si="13"/>
        <v>2.5000000000000001E-3</v>
      </c>
      <c r="AE23" s="247">
        <f t="shared" si="13"/>
        <v>2.5000000000000001E-3</v>
      </c>
      <c r="AF23" s="247">
        <f t="shared" si="13"/>
        <v>2.5000000000000001E-3</v>
      </c>
      <c r="AG23" s="247">
        <f t="shared" si="13"/>
        <v>2.5000000000000001E-3</v>
      </c>
      <c r="AH23" s="247">
        <f t="shared" si="13"/>
        <v>2.5000000000000001E-3</v>
      </c>
      <c r="AI23" s="247">
        <f t="shared" si="13"/>
        <v>2.5000000000000001E-3</v>
      </c>
      <c r="AJ23" s="247">
        <f t="shared" si="13"/>
        <v>2.5000000000000001E-3</v>
      </c>
      <c r="AK23" s="247">
        <f t="shared" si="13"/>
        <v>2.5000000000000001E-3</v>
      </c>
      <c r="AL23" s="247">
        <f t="shared" si="13"/>
        <v>2.5000000000000001E-3</v>
      </c>
      <c r="AM23" s="247">
        <f t="shared" si="13"/>
        <v>2.5000000000000001E-3</v>
      </c>
      <c r="AN23" s="247">
        <f t="shared" si="13"/>
        <v>2.5000000000000001E-3</v>
      </c>
      <c r="AO23" s="247">
        <f t="shared" si="13"/>
        <v>2.5000000000000001E-3</v>
      </c>
      <c r="AP23" s="247">
        <f t="shared" si="13"/>
        <v>2.5000000000000001E-3</v>
      </c>
      <c r="AQ23" s="247">
        <f t="shared" si="13"/>
        <v>2.5000000000000001E-3</v>
      </c>
      <c r="AR23" s="247">
        <f t="shared" si="13"/>
        <v>2.5000000000000001E-3</v>
      </c>
      <c r="AS23" s="247">
        <f t="shared" si="13"/>
        <v>2.5000000000000001E-3</v>
      </c>
      <c r="AT23" s="247">
        <f t="shared" si="13"/>
        <v>2.5000000000000001E-3</v>
      </c>
      <c r="AU23" s="247">
        <f t="shared" si="13"/>
        <v>2.5000000000000001E-3</v>
      </c>
      <c r="AV23" s="247">
        <f t="shared" si="13"/>
        <v>2.5000000000000001E-3</v>
      </c>
      <c r="AW23" s="247">
        <f t="shared" si="13"/>
        <v>2.5000000000000001E-3</v>
      </c>
      <c r="AX23" s="247">
        <f t="shared" si="13"/>
        <v>2.5000000000000001E-3</v>
      </c>
      <c r="AY23" s="247">
        <f t="shared" si="13"/>
        <v>2.5000000000000001E-3</v>
      </c>
      <c r="AZ23" s="247">
        <f t="shared" si="13"/>
        <v>2.5000000000000001E-3</v>
      </c>
    </row>
    <row r="24" spans="1:52" ht="15" customHeight="1">
      <c r="A24" s="93" t="s">
        <v>112</v>
      </c>
      <c r="B24" s="253">
        <v>0.35</v>
      </c>
      <c r="C24" s="253">
        <v>0.35</v>
      </c>
      <c r="D24" s="253">
        <v>0.35</v>
      </c>
      <c r="E24" s="253">
        <v>0.35</v>
      </c>
      <c r="F24" s="253">
        <v>0.35</v>
      </c>
      <c r="G24" s="253">
        <v>0.35</v>
      </c>
      <c r="H24" s="253">
        <v>0.35</v>
      </c>
      <c r="I24" s="253">
        <v>0.35</v>
      </c>
      <c r="J24" s="253">
        <v>0.35</v>
      </c>
      <c r="K24" s="253">
        <v>0.35</v>
      </c>
      <c r="L24" s="253">
        <v>0.35</v>
      </c>
      <c r="M24" s="253">
        <v>0.35</v>
      </c>
      <c r="N24" s="253">
        <v>0.35</v>
      </c>
      <c r="O24" s="253">
        <v>0.35</v>
      </c>
      <c r="P24" s="253">
        <v>0.35</v>
      </c>
      <c r="Q24" s="253">
        <v>0.35</v>
      </c>
      <c r="R24" s="253">
        <v>0.35</v>
      </c>
      <c r="S24" s="253">
        <v>0.35</v>
      </c>
      <c r="T24" s="253">
        <v>0.21</v>
      </c>
      <c r="U24" s="253">
        <v>0.21</v>
      </c>
      <c r="V24" s="254">
        <v>0.21</v>
      </c>
      <c r="W24" s="102">
        <f t="shared" ref="W24:AZ24" si="14">V24</f>
        <v>0.21</v>
      </c>
      <c r="X24" s="102">
        <f t="shared" si="14"/>
        <v>0.21</v>
      </c>
      <c r="Y24" s="102">
        <f t="shared" si="14"/>
        <v>0.21</v>
      </c>
      <c r="Z24" s="102">
        <f t="shared" si="14"/>
        <v>0.21</v>
      </c>
      <c r="AA24" s="102">
        <f t="shared" si="14"/>
        <v>0.21</v>
      </c>
      <c r="AB24" s="102">
        <f t="shared" si="14"/>
        <v>0.21</v>
      </c>
      <c r="AC24" s="102">
        <f t="shared" si="14"/>
        <v>0.21</v>
      </c>
      <c r="AD24" s="102">
        <f t="shared" si="14"/>
        <v>0.21</v>
      </c>
      <c r="AE24" s="102">
        <f t="shared" si="14"/>
        <v>0.21</v>
      </c>
      <c r="AF24" s="102">
        <f t="shared" si="14"/>
        <v>0.21</v>
      </c>
      <c r="AG24" s="102">
        <f t="shared" si="14"/>
        <v>0.21</v>
      </c>
      <c r="AH24" s="102">
        <f t="shared" si="14"/>
        <v>0.21</v>
      </c>
      <c r="AI24" s="102">
        <f t="shared" si="14"/>
        <v>0.21</v>
      </c>
      <c r="AJ24" s="102">
        <f t="shared" si="14"/>
        <v>0.21</v>
      </c>
      <c r="AK24" s="102">
        <f t="shared" si="14"/>
        <v>0.21</v>
      </c>
      <c r="AL24" s="102">
        <f t="shared" si="14"/>
        <v>0.21</v>
      </c>
      <c r="AM24" s="102">
        <f t="shared" si="14"/>
        <v>0.21</v>
      </c>
      <c r="AN24" s="102">
        <f t="shared" si="14"/>
        <v>0.21</v>
      </c>
      <c r="AO24" s="102">
        <f t="shared" si="14"/>
        <v>0.21</v>
      </c>
      <c r="AP24" s="102">
        <f t="shared" si="14"/>
        <v>0.21</v>
      </c>
      <c r="AQ24" s="102">
        <f t="shared" si="14"/>
        <v>0.21</v>
      </c>
      <c r="AR24" s="102">
        <f t="shared" si="14"/>
        <v>0.21</v>
      </c>
      <c r="AS24" s="102">
        <f t="shared" si="14"/>
        <v>0.21</v>
      </c>
      <c r="AT24" s="102">
        <f t="shared" si="14"/>
        <v>0.21</v>
      </c>
      <c r="AU24" s="102">
        <f t="shared" si="14"/>
        <v>0.21</v>
      </c>
      <c r="AV24" s="102">
        <f t="shared" si="14"/>
        <v>0.21</v>
      </c>
      <c r="AW24" s="102">
        <f t="shared" si="14"/>
        <v>0.21</v>
      </c>
      <c r="AX24" s="102">
        <f t="shared" si="14"/>
        <v>0.21</v>
      </c>
      <c r="AY24" s="102">
        <f t="shared" si="14"/>
        <v>0.21</v>
      </c>
      <c r="AZ24" s="102">
        <f t="shared" si="14"/>
        <v>0.21</v>
      </c>
    </row>
    <row r="25" spans="1:52" ht="15" customHeight="1">
      <c r="A25" s="93" t="s">
        <v>114</v>
      </c>
      <c r="B25" s="91">
        <f t="shared" ref="B25:U25" si="15">C25/(1+B36)</f>
        <v>10.060921429965459</v>
      </c>
      <c r="C25" s="91">
        <f t="shared" si="15"/>
        <v>10.262139858564769</v>
      </c>
      <c r="D25" s="91">
        <f t="shared" si="15"/>
        <v>10.467382655736065</v>
      </c>
      <c r="E25" s="91">
        <f t="shared" si="15"/>
        <v>10.676730308850786</v>
      </c>
      <c r="F25" s="91">
        <f t="shared" si="15"/>
        <v>10.890264915027801</v>
      </c>
      <c r="G25" s="91">
        <f t="shared" si="15"/>
        <v>11.108070213328357</v>
      </c>
      <c r="H25" s="91">
        <f t="shared" si="15"/>
        <v>11.330231617594924</v>
      </c>
      <c r="I25" s="91">
        <f t="shared" si="15"/>
        <v>11.556836249946823</v>
      </c>
      <c r="J25" s="91">
        <f t="shared" si="15"/>
        <v>11.78797297494576</v>
      </c>
      <c r="K25" s="91">
        <f t="shared" si="15"/>
        <v>12.023732434444675</v>
      </c>
      <c r="L25" s="91">
        <f t="shared" si="15"/>
        <v>12.264207083133568</v>
      </c>
      <c r="M25" s="91">
        <f t="shared" si="15"/>
        <v>12.509491224796239</v>
      </c>
      <c r="N25" s="91">
        <f t="shared" si="15"/>
        <v>12.759681049292164</v>
      </c>
      <c r="O25" s="91">
        <f t="shared" si="15"/>
        <v>13.014874670278008</v>
      </c>
      <c r="P25" s="91">
        <f t="shared" si="15"/>
        <v>13.275172163683569</v>
      </c>
      <c r="Q25" s="91">
        <f t="shared" si="15"/>
        <v>13.54067560695724</v>
      </c>
      <c r="R25" s="91">
        <f t="shared" si="15"/>
        <v>13.811489119096386</v>
      </c>
      <c r="S25" s="91">
        <f t="shared" si="15"/>
        <v>14.087718901478315</v>
      </c>
      <c r="T25" s="91">
        <f t="shared" si="15"/>
        <v>14.369473279507881</v>
      </c>
      <c r="U25" s="91">
        <f t="shared" si="15"/>
        <v>14.656862745098039</v>
      </c>
      <c r="V25" s="97">
        <v>14.95</v>
      </c>
      <c r="W25" s="91">
        <f t="shared" ref="W25:AZ25" si="16">V25*(1+V36)</f>
        <v>15.248999999999999</v>
      </c>
      <c r="X25" s="91">
        <f t="shared" si="16"/>
        <v>15.553979999999999</v>
      </c>
      <c r="Y25" s="91">
        <f t="shared" si="16"/>
        <v>15.8650596</v>
      </c>
      <c r="Z25" s="91">
        <f t="shared" si="16"/>
        <v>16.182360792000001</v>
      </c>
      <c r="AA25" s="91">
        <f t="shared" si="16"/>
        <v>16.506008007840002</v>
      </c>
      <c r="AB25" s="91">
        <f t="shared" si="16"/>
        <v>16.836128167996801</v>
      </c>
      <c r="AC25" s="91">
        <f t="shared" si="16"/>
        <v>17.172850731356736</v>
      </c>
      <c r="AD25" s="91">
        <f t="shared" si="16"/>
        <v>17.51630774598387</v>
      </c>
      <c r="AE25" s="91">
        <f t="shared" si="16"/>
        <v>17.866633900903548</v>
      </c>
      <c r="AF25" s="91">
        <f t="shared" si="16"/>
        <v>18.223966578921619</v>
      </c>
      <c r="AG25" s="91">
        <f t="shared" si="16"/>
        <v>18.588445910500052</v>
      </c>
      <c r="AH25" s="91">
        <f t="shared" si="16"/>
        <v>18.960214828710054</v>
      </c>
      <c r="AI25" s="91">
        <f t="shared" si="16"/>
        <v>19.339419125284255</v>
      </c>
      <c r="AJ25" s="91">
        <f t="shared" si="16"/>
        <v>19.72620750778994</v>
      </c>
      <c r="AK25" s="91">
        <f t="shared" si="16"/>
        <v>20.12073165794574</v>
      </c>
      <c r="AL25" s="91">
        <f t="shared" si="16"/>
        <v>20.523146291104656</v>
      </c>
      <c r="AM25" s="91">
        <f t="shared" si="16"/>
        <v>20.933609216926747</v>
      </c>
      <c r="AN25" s="91">
        <f t="shared" si="16"/>
        <v>21.352281401265284</v>
      </c>
      <c r="AO25" s="91">
        <f t="shared" si="16"/>
        <v>21.779327029290588</v>
      </c>
      <c r="AP25" s="91">
        <f t="shared" si="16"/>
        <v>22.214913569876401</v>
      </c>
      <c r="AQ25" s="91">
        <f t="shared" si="16"/>
        <v>22.65921184127393</v>
      </c>
      <c r="AR25" s="91">
        <f t="shared" si="16"/>
        <v>23.112396078099408</v>
      </c>
      <c r="AS25" s="91">
        <f t="shared" si="16"/>
        <v>23.574643999661397</v>
      </c>
      <c r="AT25" s="91">
        <f t="shared" si="16"/>
        <v>24.046136879654625</v>
      </c>
      <c r="AU25" s="91">
        <f t="shared" si="16"/>
        <v>24.527059617247719</v>
      </c>
      <c r="AV25" s="91">
        <f t="shared" si="16"/>
        <v>25.017600809592675</v>
      </c>
      <c r="AW25" s="91">
        <f t="shared" si="16"/>
        <v>25.51795282578453</v>
      </c>
      <c r="AX25" s="91">
        <f t="shared" si="16"/>
        <v>26.028311882300223</v>
      </c>
      <c r="AY25" s="91">
        <f t="shared" si="16"/>
        <v>26.548878119946227</v>
      </c>
      <c r="AZ25" s="91">
        <f t="shared" si="16"/>
        <v>27.079855682345151</v>
      </c>
    </row>
    <row r="26" spans="1:52" ht="15" customHeight="1">
      <c r="A26" s="93" t="s">
        <v>116</v>
      </c>
      <c r="B26" s="93"/>
      <c r="C26" s="93"/>
      <c r="D26" s="93"/>
      <c r="E26" s="93"/>
      <c r="F26" s="93"/>
      <c r="G26" s="93"/>
      <c r="H26" s="93"/>
      <c r="I26" s="93"/>
      <c r="J26" s="93"/>
      <c r="K26" s="93"/>
      <c r="L26" s="93"/>
      <c r="M26" s="93"/>
      <c r="N26" s="93"/>
      <c r="O26" s="93"/>
      <c r="P26" s="93"/>
      <c r="Q26" s="93"/>
      <c r="R26" s="93"/>
      <c r="S26" s="93"/>
      <c r="T26" s="93"/>
      <c r="U26" s="93"/>
      <c r="V26" s="332">
        <v>26</v>
      </c>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row>
    <row r="27" spans="1:52" ht="15" customHeight="1">
      <c r="A27" s="93" t="s">
        <v>119</v>
      </c>
      <c r="B27" s="93"/>
      <c r="C27" s="93"/>
      <c r="D27" s="93"/>
      <c r="E27" s="93"/>
      <c r="F27" s="93"/>
      <c r="G27" s="93"/>
      <c r="H27" s="93"/>
      <c r="I27" s="93"/>
      <c r="J27" s="93"/>
      <c r="K27" s="93"/>
      <c r="L27" s="93"/>
      <c r="M27" s="93"/>
      <c r="N27" s="93"/>
      <c r="O27" s="93"/>
      <c r="P27" s="93"/>
      <c r="Q27" s="93"/>
      <c r="R27" s="93"/>
      <c r="S27" s="93"/>
      <c r="T27" s="93"/>
      <c r="U27" s="93"/>
      <c r="V27" s="332">
        <v>30</v>
      </c>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row>
    <row r="28" spans="1:52" ht="15" customHeight="1">
      <c r="A28" s="93" t="s">
        <v>121</v>
      </c>
      <c r="B28" s="93"/>
      <c r="C28" s="93"/>
      <c r="D28" s="93"/>
      <c r="E28" s="93"/>
      <c r="F28" s="93"/>
      <c r="G28" s="93"/>
      <c r="H28" s="93"/>
      <c r="I28" s="93"/>
      <c r="J28" s="93"/>
      <c r="K28" s="93"/>
      <c r="L28" s="93"/>
      <c r="M28" s="93"/>
      <c r="N28" s="93"/>
      <c r="O28" s="93"/>
      <c r="P28" s="93"/>
      <c r="Q28" s="93"/>
      <c r="R28" s="93"/>
      <c r="S28" s="93"/>
      <c r="T28" s="93"/>
      <c r="U28" s="93"/>
      <c r="V28" s="332">
        <v>9</v>
      </c>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row>
    <row r="29" spans="1:52" ht="15" customHeight="1">
      <c r="A29" s="93" t="s">
        <v>776</v>
      </c>
      <c r="B29" s="93"/>
      <c r="C29" s="93"/>
      <c r="D29" s="93"/>
      <c r="E29" s="93"/>
      <c r="F29" s="93"/>
      <c r="G29" s="93"/>
      <c r="H29" s="93"/>
      <c r="I29" s="93"/>
      <c r="J29" s="93"/>
      <c r="K29" s="93"/>
      <c r="L29" s="93"/>
      <c r="M29" s="93"/>
      <c r="N29" s="93"/>
      <c r="O29" s="93"/>
      <c r="P29" s="93"/>
      <c r="Q29" s="93"/>
      <c r="R29" s="93"/>
      <c r="S29" s="93"/>
      <c r="T29" s="93"/>
      <c r="U29" s="93"/>
      <c r="V29" s="332">
        <v>7</v>
      </c>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row>
    <row r="30" spans="1:52" ht="15" customHeight="1">
      <c r="A30" s="99" t="s">
        <v>123</v>
      </c>
      <c r="B30" s="99"/>
      <c r="C30" s="99"/>
      <c r="D30" s="99"/>
      <c r="E30" s="99"/>
      <c r="F30" s="99"/>
      <c r="G30" s="99"/>
      <c r="H30" s="99"/>
      <c r="I30" s="99"/>
      <c r="J30" s="99"/>
      <c r="K30" s="99"/>
      <c r="L30" s="99"/>
      <c r="M30" s="99"/>
      <c r="N30" s="99"/>
      <c r="O30" s="99"/>
      <c r="P30" s="99"/>
      <c r="Q30" s="99"/>
      <c r="R30" s="99"/>
      <c r="S30" s="99"/>
      <c r="T30" s="99"/>
      <c r="U30" s="99"/>
      <c r="V30" s="329"/>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row>
    <row r="31" spans="1:52" ht="15" customHeight="1">
      <c r="A31" s="93" t="s">
        <v>126</v>
      </c>
      <c r="B31" s="95">
        <f>'Inflation GDP Population'!B2</f>
        <v>96.994687004035995</v>
      </c>
      <c r="C31" s="95">
        <f>'Inflation GDP Population'!C2</f>
        <v>82.561802368421056</v>
      </c>
      <c r="D31" s="95">
        <f>'Inflation GDP Population'!D2</f>
        <v>92.422988832098127</v>
      </c>
      <c r="E31" s="95">
        <f>'Inflation GDP Population'!E2</f>
        <v>85.643902995324368</v>
      </c>
      <c r="F31" s="95">
        <f>'Inflation GDP Population'!F2</f>
        <v>81.324791570560762</v>
      </c>
      <c r="G31" s="95">
        <f>'Inflation GDP Population'!G2</f>
        <v>82.285051583593884</v>
      </c>
      <c r="H31" s="95">
        <f>'Inflation GDP Population'!H2</f>
        <v>73.132352371089056</v>
      </c>
      <c r="I31" s="95">
        <f>'Inflation GDP Population'!I2</f>
        <v>75.178349917306775</v>
      </c>
      <c r="J31" s="95">
        <f>'Inflation GDP Population'!J2</f>
        <v>77.566868947213194</v>
      </c>
      <c r="K31" s="95">
        <f>'Inflation GDP Population'!K2</f>
        <v>67.397054261131927</v>
      </c>
      <c r="L31" s="95">
        <f>'Inflation GDP Population'!L2</f>
        <v>69.359261305247756</v>
      </c>
      <c r="M31" s="95">
        <f>'Inflation GDP Population'!M2</f>
        <v>69.149647376821946</v>
      </c>
      <c r="N31" s="95">
        <f>'Inflation GDP Population'!N2</f>
        <v>66.077410694889281</v>
      </c>
      <c r="O31" s="95">
        <f>'Inflation GDP Population'!O2</f>
        <v>68.667649550254211</v>
      </c>
      <c r="P31" s="95">
        <f>'Inflation GDP Population'!P2</f>
        <v>67.613374485645934</v>
      </c>
      <c r="Q31" s="95">
        <f>'Inflation GDP Population'!Q2</f>
        <v>63.519292757444873</v>
      </c>
      <c r="R31" s="95">
        <f>'Inflation GDP Population'!R2</f>
        <v>65.2</v>
      </c>
      <c r="S31" s="95">
        <f>'Inflation GDP Population'!S2</f>
        <v>62.54</v>
      </c>
      <c r="T31" s="95">
        <f>'Inflation GDP Population'!T2</f>
        <v>62.8</v>
      </c>
      <c r="U31" s="95">
        <f>'Inflation GDP Population'!U2</f>
        <v>62.22</v>
      </c>
      <c r="V31" s="95">
        <f>'Inflation GDP Population'!V2</f>
        <v>63.245459999999994</v>
      </c>
      <c r="W31" s="95">
        <f>'Inflation GDP Population'!W2</f>
        <v>62.18788</v>
      </c>
      <c r="X31" s="95">
        <f>'Inflation GDP Population'!X2</f>
        <v>61.283909999999999</v>
      </c>
      <c r="Y31" s="95">
        <f>'Inflation GDP Population'!Y2</f>
        <v>60.782710000000002</v>
      </c>
      <c r="Z31" s="95">
        <f>'Inflation GDP Population'!Z2</f>
        <v>60.470050000000001</v>
      </c>
      <c r="AA31" s="95">
        <f>'Inflation GDP Population'!AA2</f>
        <v>60.726050000000001</v>
      </c>
      <c r="AB31" s="95">
        <f>'Inflation GDP Population'!AB2</f>
        <v>60.323509999999999</v>
      </c>
      <c r="AC31" s="95">
        <f>'Inflation GDP Population'!AC2</f>
        <v>60.154750000000007</v>
      </c>
      <c r="AD31" s="95">
        <f>'Inflation GDP Population'!AD2</f>
        <v>59.918579999999999</v>
      </c>
      <c r="AE31" s="95">
        <f>'Inflation GDP Population'!AE2</f>
        <v>59.74736</v>
      </c>
      <c r="AF31" s="95">
        <f>'Inflation GDP Population'!AF2</f>
        <v>59.571719999999999</v>
      </c>
      <c r="AG31" s="95">
        <f>'Inflation GDP Population'!AG2</f>
        <v>59.462200000000003</v>
      </c>
      <c r="AH31" s="95">
        <f>'Inflation GDP Population'!AH2</f>
        <v>59.098179999999999</v>
      </c>
      <c r="AI31" s="95">
        <f>'Inflation GDP Population'!AI2</f>
        <v>58.690709999999996</v>
      </c>
      <c r="AJ31" s="95">
        <f>'Inflation GDP Population'!AJ2</f>
        <v>58.279679999999999</v>
      </c>
      <c r="AK31" s="95">
        <f>'Inflation GDP Population'!AK2</f>
        <v>57.945390000000003</v>
      </c>
      <c r="AL31" s="95">
        <f>'Inflation GDP Population'!AL2</f>
        <v>57.822279999999999</v>
      </c>
      <c r="AM31" s="95">
        <f>'Inflation GDP Population'!AM2</f>
        <v>57.639300000000006</v>
      </c>
      <c r="AN31" s="95">
        <f>'Inflation GDP Population'!AN2</f>
        <v>57.618220000000008</v>
      </c>
      <c r="AO31" s="95">
        <f>'Inflation GDP Population'!AO2</f>
        <v>57.583159999999999</v>
      </c>
      <c r="AP31" s="95">
        <f>'Inflation GDP Population'!AP2</f>
        <v>57.428650000000005</v>
      </c>
      <c r="AQ31" s="95">
        <f>'Inflation GDP Population'!AQ2</f>
        <v>57.212560000000003</v>
      </c>
      <c r="AR31" s="95">
        <f>'Inflation GDP Population'!AR2</f>
        <v>56.957370000000004</v>
      </c>
      <c r="AS31" s="95">
        <f>'Inflation GDP Population'!AS2</f>
        <v>56.726020000000005</v>
      </c>
      <c r="AT31" s="95">
        <f>'Inflation GDP Population'!AT2</f>
        <v>56.532699999999998</v>
      </c>
      <c r="AU31" s="95">
        <f>'Inflation GDP Population'!AU2</f>
        <v>56.329940000000001</v>
      </c>
      <c r="AV31" s="95">
        <f>'Inflation GDP Population'!AV2</f>
        <v>56.008069999999996</v>
      </c>
      <c r="AW31" s="95">
        <f>'Inflation GDP Population'!AW2</f>
        <v>55.853279999999998</v>
      </c>
      <c r="AX31" s="95">
        <f>'Inflation GDP Population'!AX2</f>
        <v>56.44464</v>
      </c>
      <c r="AY31" s="95">
        <f>'Inflation GDP Population'!AY2</f>
        <v>56.523910000000001</v>
      </c>
      <c r="AZ31" s="95">
        <f>'Inflation GDP Population'!AZ2</f>
        <v>56.24409</v>
      </c>
    </row>
    <row r="32" spans="1:52" ht="15" customHeight="1">
      <c r="A32" s="93" t="s">
        <v>128</v>
      </c>
      <c r="B32" s="95">
        <f>'Inflation GDP Population'!B3</f>
        <v>66.936599999999999</v>
      </c>
      <c r="C32" s="95">
        <f>'Inflation GDP Population'!C3</f>
        <v>68.562700000000007</v>
      </c>
      <c r="D32" s="95">
        <f>'Inflation GDP Population'!D3</f>
        <v>61.9876</v>
      </c>
      <c r="E32" s="95">
        <f>'Inflation GDP Population'!E3</f>
        <v>75.349900000000005</v>
      </c>
      <c r="F32" s="95">
        <f>'Inflation GDP Population'!F3</f>
        <v>79.167699999999996</v>
      </c>
      <c r="G32" s="95">
        <f>'Inflation GDP Population'!G3</f>
        <v>95.852900000000005</v>
      </c>
      <c r="H32" s="95">
        <f>'Inflation GDP Population'!H3</f>
        <v>86.237700000000004</v>
      </c>
      <c r="I32" s="95">
        <f>'Inflation GDP Population'!I3</f>
        <v>87.651700000000005</v>
      </c>
      <c r="J32" s="95">
        <f>'Inflation GDP Population'!J3</f>
        <v>101.43819999999999</v>
      </c>
      <c r="K32" s="95">
        <f>'Inflation GDP Population'!K3</f>
        <v>70.825099999999992</v>
      </c>
      <c r="L32" s="95">
        <f>'Inflation GDP Population'!L3</f>
        <v>73.228899999999996</v>
      </c>
      <c r="M32" s="95">
        <f>'Inflation GDP Population'!M3</f>
        <v>70.542299999999997</v>
      </c>
      <c r="N32" s="95">
        <f>'Inflation GDP Population'!N3</f>
        <v>60.997799999999998</v>
      </c>
      <c r="O32" s="95">
        <f>'Inflation GDP Population'!O3</f>
        <v>67.714300000000009</v>
      </c>
      <c r="P32" s="95">
        <f>'Inflation GDP Population'!P3</f>
        <v>72.663299999999992</v>
      </c>
      <c r="Q32" s="95">
        <f>'Inflation GDP Population'!Q3</f>
        <v>59.866599999999998</v>
      </c>
      <c r="R32" s="95">
        <f>'Inflation GDP Population'!R3</f>
        <v>64.069999999999993</v>
      </c>
      <c r="S32" s="95">
        <f>'Inflation GDP Population'!S3</f>
        <v>62.54</v>
      </c>
      <c r="T32" s="95">
        <f>'Inflation GDP Population'!T3</f>
        <v>64.2</v>
      </c>
      <c r="U32" s="95">
        <f>'Inflation GDP Population'!U3</f>
        <v>65.09</v>
      </c>
      <c r="V32" s="95">
        <f>'Inflation GDP Population'!V3</f>
        <v>67.893280000000004</v>
      </c>
      <c r="W32" s="95">
        <f>'Inflation GDP Population'!W3</f>
        <v>68.408230000000003</v>
      </c>
      <c r="X32" s="95">
        <f>'Inflation GDP Population'!X3</f>
        <v>69.039839999999998</v>
      </c>
      <c r="Y32" s="95">
        <f>'Inflation GDP Population'!Y3</f>
        <v>70.165930000000003</v>
      </c>
      <c r="Z32" s="95">
        <f>'Inflation GDP Population'!Z3</f>
        <v>71.499539999999996</v>
      </c>
      <c r="AA32" s="95">
        <f>'Inflation GDP Population'!AA3</f>
        <v>73.516589999999994</v>
      </c>
      <c r="AB32" s="95">
        <f>'Inflation GDP Population'!AB3</f>
        <v>74.703620000000001</v>
      </c>
      <c r="AC32" s="95">
        <f>'Inflation GDP Population'!AC3</f>
        <v>76.171610000000001</v>
      </c>
      <c r="AD32" s="95">
        <f>'Inflation GDP Population'!AD3</f>
        <v>77.509479999999996</v>
      </c>
      <c r="AE32" s="95">
        <f>'Inflation GDP Population'!AE3</f>
        <v>78.937030000000007</v>
      </c>
      <c r="AF32" s="95">
        <f>'Inflation GDP Population'!AF3</f>
        <v>80.394760000000005</v>
      </c>
      <c r="AG32" s="95">
        <f>'Inflation GDP Population'!AG3</f>
        <v>81.999220000000008</v>
      </c>
      <c r="AH32" s="95">
        <f>'Inflation GDP Population'!AH3</f>
        <v>83.288150000000002</v>
      </c>
      <c r="AI32" s="95">
        <f>'Inflation GDP Population'!AI3</f>
        <v>84.552180000000007</v>
      </c>
      <c r="AJ32" s="95">
        <f>'Inflation GDP Population'!AJ3</f>
        <v>85.842559999999992</v>
      </c>
      <c r="AK32" s="95">
        <f>'Inflation GDP Population'!AK3</f>
        <v>87.282499999999999</v>
      </c>
      <c r="AL32" s="95">
        <f>'Inflation GDP Population'!AL3</f>
        <v>89.091559999999987</v>
      </c>
      <c r="AM32" s="95">
        <f>'Inflation GDP Population'!AM3</f>
        <v>90.845109999999991</v>
      </c>
      <c r="AN32" s="95">
        <f>'Inflation GDP Population'!AN3</f>
        <v>92.884870000000006</v>
      </c>
      <c r="AO32" s="95">
        <f>'Inflation GDP Population'!AO3</f>
        <v>94.960380000000001</v>
      </c>
      <c r="AP32" s="95">
        <f>'Inflation GDP Population'!AP3</f>
        <v>96.898049999999998</v>
      </c>
      <c r="AQ32" s="95">
        <f>'Inflation GDP Population'!AQ3</f>
        <v>98.792919999999995</v>
      </c>
      <c r="AR32" s="95">
        <f>'Inflation GDP Population'!AR3</f>
        <v>100.67492</v>
      </c>
      <c r="AS32" s="95">
        <f>'Inflation GDP Population'!AS3</f>
        <v>102.66981</v>
      </c>
      <c r="AT32" s="95">
        <f>'Inflation GDP Population'!AT3</f>
        <v>104.79813999999999</v>
      </c>
      <c r="AU32" s="95">
        <f>'Inflation GDP Population'!AU3</f>
        <v>106.98112999999999</v>
      </c>
      <c r="AV32" s="95">
        <f>'Inflation GDP Population'!AV3</f>
        <v>108.97937999999999</v>
      </c>
      <c r="AW32" s="95">
        <f>'Inflation GDP Population'!AW3</f>
        <v>111.37461999999999</v>
      </c>
      <c r="AX32" s="95">
        <f>'Inflation GDP Population'!AX3</f>
        <v>115.38930999999999</v>
      </c>
      <c r="AY32" s="95">
        <f>'Inflation GDP Population'!AY3</f>
        <v>118.46299999999999</v>
      </c>
      <c r="AZ32" s="95">
        <f>'Inflation GDP Population'!AZ3</f>
        <v>120.87941000000001</v>
      </c>
    </row>
    <row r="33" spans="1:53" ht="15" customHeight="1">
      <c r="A33" s="93" t="s">
        <v>200</v>
      </c>
      <c r="B33" s="95">
        <f>'Inflation GDP Population'!B6</f>
        <v>249.42381743242936</v>
      </c>
      <c r="C33" s="95">
        <f>'Inflation GDP Population'!C6</f>
        <v>249.42381743242936</v>
      </c>
      <c r="D33" s="95">
        <f>'Inflation GDP Population'!D6</f>
        <v>212.30935999593964</v>
      </c>
      <c r="E33" s="95">
        <f>'Inflation GDP Population'!E6</f>
        <v>237.66760226833327</v>
      </c>
      <c r="F33" s="95">
        <f>'Inflation GDP Population'!F6</f>
        <v>220.23504466814359</v>
      </c>
      <c r="G33" s="95">
        <f>'Inflation GDP Population'!G6</f>
        <v>209.12836148006616</v>
      </c>
      <c r="H33" s="95">
        <f>'Inflation GDP Population'!H6</f>
        <v>211.59768970387361</v>
      </c>
      <c r="I33" s="95">
        <f>'Inflation GDP Population'!I6</f>
        <v>188.06133685911675</v>
      </c>
      <c r="J33" s="95">
        <f>'Inflation GDP Population'!J6</f>
        <v>193.32266131097848</v>
      </c>
      <c r="K33" s="95">
        <f>'Inflation GDP Population'!K6</f>
        <v>199.4647867495035</v>
      </c>
      <c r="L33" s="95">
        <f>'Inflation GDP Population'!L6</f>
        <v>173.31290070365006</v>
      </c>
      <c r="M33" s="95">
        <f>'Inflation GDP Population'!M6</f>
        <v>178.35875616907168</v>
      </c>
      <c r="N33" s="95">
        <f>'Inflation GDP Population'!N6</f>
        <v>177.8197296736019</v>
      </c>
      <c r="O33" s="95">
        <f>'Inflation GDP Population'!O6</f>
        <v>169.91941033722733</v>
      </c>
      <c r="P33" s="95">
        <f>'Inflation GDP Population'!P6</f>
        <v>176.58026242431168</v>
      </c>
      <c r="Q33" s="95">
        <f>'Inflation GDP Population'!Q6</f>
        <v>173.86917257639584</v>
      </c>
      <c r="R33" s="95">
        <f>'Inflation GDP Population'!R6</f>
        <v>163.34115784620988</v>
      </c>
      <c r="S33" s="95">
        <f>'Inflation GDP Population'!S6</f>
        <v>167.66313082610094</v>
      </c>
      <c r="T33" s="95">
        <f>'Inflation GDP Population'!T6</f>
        <v>160.82288653166182</v>
      </c>
      <c r="U33" s="95">
        <f>'Inflation GDP Population'!U6</f>
        <v>161.49148183863707</v>
      </c>
      <c r="V33" s="95">
        <f>'Inflation GDP Population'!V6</f>
        <v>160</v>
      </c>
      <c r="W33" s="95">
        <f>'Inflation GDP Population'!W6</f>
        <v>157.32450677092081</v>
      </c>
      <c r="X33" s="95">
        <f>'Inflation GDP Population'!X6</f>
        <v>155.03762009162398</v>
      </c>
      <c r="Y33" s="95">
        <f>'Inflation GDP Population'!Y6</f>
        <v>153.76967137245902</v>
      </c>
      <c r="Z33" s="95">
        <f>'Inflation GDP Population'!Z6</f>
        <v>152.9786960202361</v>
      </c>
      <c r="AA33" s="95">
        <f>'Inflation GDP Population'!AA6</f>
        <v>153.62633143944248</v>
      </c>
      <c r="AB33" s="95">
        <f>'Inflation GDP Population'!AB6</f>
        <v>152.60797533925759</v>
      </c>
      <c r="AC33" s="95">
        <f>'Inflation GDP Population'!AC6</f>
        <v>152.18104192775266</v>
      </c>
      <c r="AD33" s="95">
        <f>'Inflation GDP Population'!AD6</f>
        <v>151.5835729552762</v>
      </c>
      <c r="AE33" s="95">
        <f>'Inflation GDP Population'!AE6</f>
        <v>151.15041617216482</v>
      </c>
      <c r="AF33" s="95">
        <f>'Inflation GDP Population'!AF6</f>
        <v>150.7060775587687</v>
      </c>
      <c r="AG33" s="95">
        <f>'Inflation GDP Population'!AG6</f>
        <v>150.42901103098947</v>
      </c>
      <c r="AH33" s="95">
        <f>'Inflation GDP Population'!AH6</f>
        <v>149.50810382278826</v>
      </c>
      <c r="AI33" s="95">
        <f>'Inflation GDP Population'!AI6</f>
        <v>148.47727568113191</v>
      </c>
      <c r="AJ33" s="95">
        <f>'Inflation GDP Population'!AJ6</f>
        <v>147.43744135942725</v>
      </c>
      <c r="AK33" s="95">
        <f>'Inflation GDP Population'!AK6</f>
        <v>146.59174587393312</v>
      </c>
      <c r="AL33" s="95">
        <f>'Inflation GDP Population'!AL6</f>
        <v>146.2802990127671</v>
      </c>
      <c r="AM33" s="95">
        <f>'Inflation GDP Population'!AM6</f>
        <v>145.81739147758594</v>
      </c>
      <c r="AN33" s="95">
        <f>'Inflation GDP Population'!AN6</f>
        <v>145.76406274853568</v>
      </c>
      <c r="AO33" s="95">
        <f>'Inflation GDP Population'!AO6</f>
        <v>145.67536705401466</v>
      </c>
      <c r="AP33" s="95">
        <f>'Inflation GDP Population'!AP6</f>
        <v>145.28448366096166</v>
      </c>
      <c r="AQ33" s="95">
        <f>'Inflation GDP Population'!AQ6</f>
        <v>144.73781359167921</v>
      </c>
      <c r="AR33" s="95">
        <f>'Inflation GDP Population'!AR6</f>
        <v>144.09222733141641</v>
      </c>
      <c r="AS33" s="95">
        <f>'Inflation GDP Population'!AS6</f>
        <v>143.50695211956722</v>
      </c>
      <c r="AT33" s="95">
        <f>'Inflation GDP Population'!AT6</f>
        <v>143.01788618503213</v>
      </c>
      <c r="AU33" s="95">
        <f>'Inflation GDP Population'!AU6</f>
        <v>142.50493869441382</v>
      </c>
      <c r="AV33" s="95">
        <f>'Inflation GDP Population'!AV6</f>
        <v>141.69066364605462</v>
      </c>
      <c r="AW33" s="95">
        <f>'Inflation GDP Population'!AW6</f>
        <v>141.29907190176183</v>
      </c>
      <c r="AX33" s="95">
        <f>'Inflation GDP Population'!AX6</f>
        <v>142.79510972012858</v>
      </c>
      <c r="AY33" s="95">
        <f>'Inflation GDP Population'!AY6</f>
        <v>142.9956490157555</v>
      </c>
      <c r="AZ33" s="95">
        <f>'Inflation GDP Population'!AZ6</f>
        <v>142.28775314465267</v>
      </c>
    </row>
    <row r="34" spans="1:53" ht="15" customHeight="1">
      <c r="A34" s="93" t="s">
        <v>130</v>
      </c>
      <c r="B34" s="95">
        <f>'Inflation GDP Population'!B7</f>
        <v>164.53919188815482</v>
      </c>
      <c r="C34" s="95">
        <f>'Inflation GDP Population'!C7</f>
        <v>164.53919188815482</v>
      </c>
      <c r="D34" s="95">
        <f>'Inflation GDP Population'!D7</f>
        <v>168.53636503303116</v>
      </c>
      <c r="E34" s="95">
        <f>'Inflation GDP Population'!E7</f>
        <v>152.37388231679211</v>
      </c>
      <c r="F34" s="95">
        <f>'Inflation GDP Population'!F7</f>
        <v>185.2202181594715</v>
      </c>
      <c r="G34" s="95">
        <f>'Inflation GDP Population'!G7</f>
        <v>194.60488554309416</v>
      </c>
      <c r="H34" s="95">
        <f>'Inflation GDP Population'!H7</f>
        <v>235.61935781225995</v>
      </c>
      <c r="I34" s="95">
        <f>'Inflation GDP Population'!I7</f>
        <v>211.9838992164695</v>
      </c>
      <c r="J34" s="95">
        <f>'Inflation GDP Population'!J7</f>
        <v>215.45970195114458</v>
      </c>
      <c r="K34" s="95">
        <f>'Inflation GDP Population'!K7</f>
        <v>249.34877861422646</v>
      </c>
      <c r="L34" s="95">
        <f>'Inflation GDP Population'!L7</f>
        <v>174.09764940851127</v>
      </c>
      <c r="M34" s="95">
        <f>'Inflation GDP Population'!M7</f>
        <v>180.0065140574589</v>
      </c>
      <c r="N34" s="95">
        <f>'Inflation GDP Population'!N7</f>
        <v>173.40248886157627</v>
      </c>
      <c r="O34" s="95">
        <f>'Inflation GDP Population'!O7</f>
        <v>149.94082040251959</v>
      </c>
      <c r="P34" s="95">
        <f>'Inflation GDP Population'!P7</f>
        <v>166.45088339222616</v>
      </c>
      <c r="Q34" s="95">
        <f>'Inflation GDP Population'!Q7</f>
        <v>178.61619296358887</v>
      </c>
      <c r="R34" s="95">
        <f>'Inflation GDP Population'!R7</f>
        <v>147.16017821477953</v>
      </c>
      <c r="S34" s="95">
        <f>'Inflation GDP Population'!S7</f>
        <v>157.49270241204485</v>
      </c>
      <c r="T34" s="95">
        <f>'Inflation GDP Population'!T7</f>
        <v>153.73175603011217</v>
      </c>
      <c r="U34" s="95">
        <f>'Inflation GDP Population'!U7</f>
        <v>157.81225994776466</v>
      </c>
      <c r="V34" s="95">
        <f>'Inflation GDP Population'!V7</f>
        <v>160</v>
      </c>
      <c r="W34" s="95">
        <f>'Inflation GDP Population'!W7</f>
        <v>161.21355162101463</v>
      </c>
      <c r="X34" s="95">
        <f>'Inflation GDP Population'!X7</f>
        <v>162.70202883113024</v>
      </c>
      <c r="Y34" s="95">
        <f>'Inflation GDP Population'!Y7</f>
        <v>165.35581724730341</v>
      </c>
      <c r="Z34" s="95">
        <f>'Inflation GDP Population'!Z7</f>
        <v>168.49865553704282</v>
      </c>
      <c r="AA34" s="95">
        <f>'Inflation GDP Population'!AA7</f>
        <v>173.25211567330371</v>
      </c>
      <c r="AB34" s="95">
        <f>'Inflation GDP Population'!AB7</f>
        <v>176.04951771368238</v>
      </c>
      <c r="AC34" s="95">
        <f>'Inflation GDP Population'!AC7</f>
        <v>179.50904124826488</v>
      </c>
      <c r="AD34" s="95">
        <f>'Inflation GDP Population'!AD7</f>
        <v>182.66191882318833</v>
      </c>
      <c r="AE34" s="95">
        <f>'Inflation GDP Population'!AE7</f>
        <v>186.02613984771389</v>
      </c>
      <c r="AF34" s="95">
        <f>'Inflation GDP Population'!AF7</f>
        <v>189.46148425882495</v>
      </c>
      <c r="AG34" s="95">
        <f>'Inflation GDP Population'!AG7</f>
        <v>193.24261841525399</v>
      </c>
      <c r="AH34" s="95">
        <f>'Inflation GDP Population'!AH7</f>
        <v>196.28016204254669</v>
      </c>
      <c r="AI34" s="95">
        <f>'Inflation GDP Population'!AI7</f>
        <v>199.25902534094678</v>
      </c>
      <c r="AJ34" s="95">
        <f>'Inflation GDP Population'!AJ7</f>
        <v>202.29998609582557</v>
      </c>
      <c r="AK34" s="95">
        <f>'Inflation GDP Population'!AK7</f>
        <v>205.69340588641461</v>
      </c>
      <c r="AL34" s="95">
        <f>'Inflation GDP Population'!AL7</f>
        <v>209.95670852844336</v>
      </c>
      <c r="AM34" s="95">
        <f>'Inflation GDP Population'!AM7</f>
        <v>214.08919409991671</v>
      </c>
      <c r="AN34" s="95">
        <f>'Inflation GDP Population'!AN7</f>
        <v>218.89617352409539</v>
      </c>
      <c r="AO34" s="95">
        <f>'Inflation GDP Population'!AO7</f>
        <v>223.78740281806967</v>
      </c>
      <c r="AP34" s="95">
        <f>'Inflation GDP Population'!AP7</f>
        <v>228.35379289378849</v>
      </c>
      <c r="AQ34" s="95">
        <f>'Inflation GDP Population'!AQ7</f>
        <v>232.81931878972398</v>
      </c>
      <c r="AR34" s="95">
        <f>'Inflation GDP Population'!AR7</f>
        <v>237.25451473253304</v>
      </c>
      <c r="AS34" s="95">
        <f>'Inflation GDP Population'!AS7</f>
        <v>241.95575173271919</v>
      </c>
      <c r="AT34" s="95">
        <f>'Inflation GDP Population'!AT7</f>
        <v>246.97145873641676</v>
      </c>
      <c r="AU34" s="95">
        <f>'Inflation GDP Population'!AU7</f>
        <v>252.11597966691241</v>
      </c>
      <c r="AV34" s="95">
        <f>'Inflation GDP Population'!AV7</f>
        <v>256.82513497653952</v>
      </c>
      <c r="AW34" s="95">
        <f>'Inflation GDP Population'!AW7</f>
        <v>262.4698526864513</v>
      </c>
      <c r="AX34" s="95">
        <f>'Inflation GDP Population'!AX7</f>
        <v>271.93103058211346</v>
      </c>
      <c r="AY34" s="95">
        <f>'Inflation GDP Population'!AY7</f>
        <v>279.1746105063711</v>
      </c>
      <c r="AZ34" s="95">
        <f>'Inflation GDP Population'!AZ7</f>
        <v>284.86921827904024</v>
      </c>
    </row>
    <row r="35" spans="1:53" ht="15" customHeight="1">
      <c r="A35" s="93" t="s">
        <v>777</v>
      </c>
      <c r="B35" s="253">
        <v>0</v>
      </c>
      <c r="C35" s="253">
        <v>0</v>
      </c>
      <c r="D35" s="253">
        <v>0</v>
      </c>
      <c r="E35" s="253">
        <v>0</v>
      </c>
      <c r="F35" s="253">
        <v>0</v>
      </c>
      <c r="G35" s="253">
        <v>0</v>
      </c>
      <c r="H35" s="253">
        <v>0</v>
      </c>
      <c r="I35" s="253">
        <f t="shared" ref="I35:U35" si="17">J35</f>
        <v>0.38</v>
      </c>
      <c r="J35" s="253">
        <f t="shared" si="17"/>
        <v>0.38</v>
      </c>
      <c r="K35" s="253">
        <f t="shared" si="17"/>
        <v>0.38</v>
      </c>
      <c r="L35" s="253">
        <f t="shared" si="17"/>
        <v>0.38</v>
      </c>
      <c r="M35" s="253">
        <f t="shared" si="17"/>
        <v>0.38</v>
      </c>
      <c r="N35" s="253">
        <f t="shared" si="17"/>
        <v>0.38</v>
      </c>
      <c r="O35" s="253">
        <f t="shared" si="17"/>
        <v>0.38</v>
      </c>
      <c r="P35" s="253">
        <f t="shared" si="17"/>
        <v>0.38</v>
      </c>
      <c r="Q35" s="253">
        <f t="shared" si="17"/>
        <v>0.38</v>
      </c>
      <c r="R35" s="253">
        <f t="shared" si="17"/>
        <v>0.38</v>
      </c>
      <c r="S35" s="253">
        <f t="shared" si="17"/>
        <v>0.38</v>
      </c>
      <c r="T35" s="253">
        <f t="shared" si="17"/>
        <v>0.38</v>
      </c>
      <c r="U35" s="253">
        <f t="shared" si="17"/>
        <v>0.38</v>
      </c>
      <c r="V35" s="254">
        <v>0.38</v>
      </c>
      <c r="W35" s="102">
        <f t="shared" ref="W35:AZ35" si="18">V35</f>
        <v>0.38</v>
      </c>
      <c r="X35" s="102">
        <f t="shared" si="18"/>
        <v>0.38</v>
      </c>
      <c r="Y35" s="102">
        <f t="shared" si="18"/>
        <v>0.38</v>
      </c>
      <c r="Z35" s="102">
        <f t="shared" si="18"/>
        <v>0.38</v>
      </c>
      <c r="AA35" s="102">
        <f t="shared" si="18"/>
        <v>0.38</v>
      </c>
      <c r="AB35" s="102">
        <f t="shared" si="18"/>
        <v>0.38</v>
      </c>
      <c r="AC35" s="102">
        <f t="shared" si="18"/>
        <v>0.38</v>
      </c>
      <c r="AD35" s="102">
        <f t="shared" si="18"/>
        <v>0.38</v>
      </c>
      <c r="AE35" s="102">
        <f t="shared" si="18"/>
        <v>0.38</v>
      </c>
      <c r="AF35" s="102">
        <f t="shared" si="18"/>
        <v>0.38</v>
      </c>
      <c r="AG35" s="102">
        <f t="shared" si="18"/>
        <v>0.38</v>
      </c>
      <c r="AH35" s="102">
        <f t="shared" si="18"/>
        <v>0.38</v>
      </c>
      <c r="AI35" s="102">
        <f t="shared" si="18"/>
        <v>0.38</v>
      </c>
      <c r="AJ35" s="102">
        <f t="shared" si="18"/>
        <v>0.38</v>
      </c>
      <c r="AK35" s="102">
        <f t="shared" si="18"/>
        <v>0.38</v>
      </c>
      <c r="AL35" s="102">
        <f t="shared" si="18"/>
        <v>0.38</v>
      </c>
      <c r="AM35" s="102">
        <f t="shared" si="18"/>
        <v>0.38</v>
      </c>
      <c r="AN35" s="102">
        <f t="shared" si="18"/>
        <v>0.38</v>
      </c>
      <c r="AO35" s="102">
        <f t="shared" si="18"/>
        <v>0.38</v>
      </c>
      <c r="AP35" s="102">
        <f t="shared" si="18"/>
        <v>0.38</v>
      </c>
      <c r="AQ35" s="102">
        <f t="shared" si="18"/>
        <v>0.38</v>
      </c>
      <c r="AR35" s="102">
        <f t="shared" si="18"/>
        <v>0.38</v>
      </c>
      <c r="AS35" s="102">
        <f t="shared" si="18"/>
        <v>0.38</v>
      </c>
      <c r="AT35" s="102">
        <f t="shared" si="18"/>
        <v>0.38</v>
      </c>
      <c r="AU35" s="102">
        <f t="shared" si="18"/>
        <v>0.38</v>
      </c>
      <c r="AV35" s="102">
        <f t="shared" si="18"/>
        <v>0.38</v>
      </c>
      <c r="AW35" s="102">
        <f t="shared" si="18"/>
        <v>0.38</v>
      </c>
      <c r="AX35" s="102">
        <f t="shared" si="18"/>
        <v>0.38</v>
      </c>
      <c r="AY35" s="102">
        <f t="shared" si="18"/>
        <v>0.38</v>
      </c>
      <c r="AZ35" s="102">
        <f t="shared" si="18"/>
        <v>0.38</v>
      </c>
    </row>
    <row r="36" spans="1:53" ht="15.75" customHeight="1">
      <c r="A36" s="93" t="s">
        <v>137</v>
      </c>
      <c r="B36" s="330">
        <f t="shared" ref="B36:U36" si="19">C36</f>
        <v>0.02</v>
      </c>
      <c r="C36" s="330">
        <f t="shared" si="19"/>
        <v>0.02</v>
      </c>
      <c r="D36" s="330">
        <f t="shared" si="19"/>
        <v>0.02</v>
      </c>
      <c r="E36" s="330">
        <f t="shared" si="19"/>
        <v>0.02</v>
      </c>
      <c r="F36" s="330">
        <f t="shared" si="19"/>
        <v>0.02</v>
      </c>
      <c r="G36" s="330">
        <f t="shared" si="19"/>
        <v>0.02</v>
      </c>
      <c r="H36" s="330">
        <f t="shared" si="19"/>
        <v>0.02</v>
      </c>
      <c r="I36" s="330">
        <f t="shared" si="19"/>
        <v>0.02</v>
      </c>
      <c r="J36" s="330">
        <f t="shared" si="19"/>
        <v>0.02</v>
      </c>
      <c r="K36" s="330">
        <f t="shared" si="19"/>
        <v>0.02</v>
      </c>
      <c r="L36" s="330">
        <f t="shared" si="19"/>
        <v>0.02</v>
      </c>
      <c r="M36" s="330">
        <f t="shared" si="19"/>
        <v>0.02</v>
      </c>
      <c r="N36" s="330">
        <f t="shared" si="19"/>
        <v>0.02</v>
      </c>
      <c r="O36" s="330">
        <f t="shared" si="19"/>
        <v>0.02</v>
      </c>
      <c r="P36" s="330">
        <f t="shared" si="19"/>
        <v>0.02</v>
      </c>
      <c r="Q36" s="330">
        <f t="shared" si="19"/>
        <v>0.02</v>
      </c>
      <c r="R36" s="330">
        <f t="shared" si="19"/>
        <v>0.02</v>
      </c>
      <c r="S36" s="330">
        <f t="shared" si="19"/>
        <v>0.02</v>
      </c>
      <c r="T36" s="330">
        <f t="shared" si="19"/>
        <v>0.02</v>
      </c>
      <c r="U36" s="330">
        <f t="shared" si="19"/>
        <v>0.02</v>
      </c>
      <c r="V36" s="252">
        <f>Inputs!B19</f>
        <v>0.02</v>
      </c>
      <c r="W36" s="331">
        <f t="shared" ref="W36:AZ36" si="20">V36</f>
        <v>0.02</v>
      </c>
      <c r="X36" s="331">
        <f t="shared" si="20"/>
        <v>0.02</v>
      </c>
      <c r="Y36" s="331">
        <f t="shared" si="20"/>
        <v>0.02</v>
      </c>
      <c r="Z36" s="331">
        <f t="shared" si="20"/>
        <v>0.02</v>
      </c>
      <c r="AA36" s="331">
        <f t="shared" si="20"/>
        <v>0.02</v>
      </c>
      <c r="AB36" s="331">
        <f t="shared" si="20"/>
        <v>0.02</v>
      </c>
      <c r="AC36" s="331">
        <f t="shared" si="20"/>
        <v>0.02</v>
      </c>
      <c r="AD36" s="331">
        <f t="shared" si="20"/>
        <v>0.02</v>
      </c>
      <c r="AE36" s="331">
        <f t="shared" si="20"/>
        <v>0.02</v>
      </c>
      <c r="AF36" s="331">
        <f t="shared" si="20"/>
        <v>0.02</v>
      </c>
      <c r="AG36" s="331">
        <f t="shared" si="20"/>
        <v>0.02</v>
      </c>
      <c r="AH36" s="331">
        <f t="shared" si="20"/>
        <v>0.02</v>
      </c>
      <c r="AI36" s="331">
        <f t="shared" si="20"/>
        <v>0.02</v>
      </c>
      <c r="AJ36" s="331">
        <f t="shared" si="20"/>
        <v>0.02</v>
      </c>
      <c r="AK36" s="331">
        <f t="shared" si="20"/>
        <v>0.02</v>
      </c>
      <c r="AL36" s="331">
        <f t="shared" si="20"/>
        <v>0.02</v>
      </c>
      <c r="AM36" s="331">
        <f t="shared" si="20"/>
        <v>0.02</v>
      </c>
      <c r="AN36" s="331">
        <f t="shared" si="20"/>
        <v>0.02</v>
      </c>
      <c r="AO36" s="331">
        <f t="shared" si="20"/>
        <v>0.02</v>
      </c>
      <c r="AP36" s="331">
        <f t="shared" si="20"/>
        <v>0.02</v>
      </c>
      <c r="AQ36" s="331">
        <f t="shared" si="20"/>
        <v>0.02</v>
      </c>
      <c r="AR36" s="331">
        <f t="shared" si="20"/>
        <v>0.02</v>
      </c>
      <c r="AS36" s="331">
        <f t="shared" si="20"/>
        <v>0.02</v>
      </c>
      <c r="AT36" s="331">
        <f t="shared" si="20"/>
        <v>0.02</v>
      </c>
      <c r="AU36" s="331">
        <f t="shared" si="20"/>
        <v>0.02</v>
      </c>
      <c r="AV36" s="331">
        <f t="shared" si="20"/>
        <v>0.02</v>
      </c>
      <c r="AW36" s="331">
        <f t="shared" si="20"/>
        <v>0.02</v>
      </c>
      <c r="AX36" s="331">
        <f t="shared" si="20"/>
        <v>0.02</v>
      </c>
      <c r="AY36" s="331">
        <f t="shared" si="20"/>
        <v>0.02</v>
      </c>
      <c r="AZ36" s="331">
        <f t="shared" si="20"/>
        <v>0.02</v>
      </c>
    </row>
    <row r="37" spans="1:53" ht="15.75" customHeight="1">
      <c r="A37" s="93"/>
      <c r="B37" s="93"/>
      <c r="C37" s="93"/>
      <c r="D37" s="93"/>
      <c r="E37" s="93"/>
      <c r="F37" s="93"/>
      <c r="G37" s="93"/>
      <c r="H37" s="93"/>
      <c r="I37" s="93"/>
      <c r="J37" s="93"/>
      <c r="K37" s="93"/>
      <c r="L37" s="93"/>
      <c r="M37" s="93"/>
      <c r="N37" s="93"/>
      <c r="O37" s="93"/>
      <c r="P37" s="93"/>
      <c r="Q37" s="93"/>
      <c r="R37" s="93"/>
      <c r="S37" s="93"/>
      <c r="T37" s="93"/>
      <c r="U37" s="93"/>
      <c r="V37" s="88"/>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row>
    <row r="38" spans="1:53" ht="15.75" customHeight="1">
      <c r="A38" s="93" t="s">
        <v>140</v>
      </c>
      <c r="B38" s="93"/>
      <c r="C38" s="93"/>
      <c r="D38" s="93"/>
      <c r="E38" s="93"/>
      <c r="F38" s="93"/>
      <c r="G38" s="93"/>
      <c r="H38" s="93"/>
      <c r="I38" s="93"/>
      <c r="J38" s="93"/>
      <c r="K38" s="93"/>
      <c r="L38" s="93"/>
      <c r="M38" s="93"/>
      <c r="N38" s="93"/>
      <c r="O38" s="93"/>
      <c r="P38" s="93"/>
      <c r="Q38" s="93"/>
      <c r="R38" s="93"/>
      <c r="S38" s="93"/>
      <c r="T38" s="93"/>
      <c r="U38" s="93"/>
      <c r="W38">
        <f t="shared" ref="W38:BA38" si="21">SUM(W40:W76)</f>
        <v>543.9</v>
      </c>
      <c r="X38">
        <f t="shared" si="21"/>
        <v>112.5</v>
      </c>
      <c r="Y38">
        <f t="shared" si="21"/>
        <v>76.900000000000006</v>
      </c>
      <c r="Z38">
        <f t="shared" si="21"/>
        <v>6.5</v>
      </c>
      <c r="AA38">
        <f t="shared" si="21"/>
        <v>4.2</v>
      </c>
      <c r="AB38">
        <f t="shared" si="21"/>
        <v>68</v>
      </c>
      <c r="AC38">
        <f t="shared" si="21"/>
        <v>0</v>
      </c>
      <c r="AD38">
        <f t="shared" si="21"/>
        <v>0</v>
      </c>
      <c r="AE38">
        <f t="shared" si="21"/>
        <v>18.8</v>
      </c>
      <c r="AF38">
        <f t="shared" si="21"/>
        <v>170.59999999999997</v>
      </c>
      <c r="AG38">
        <f t="shared" si="21"/>
        <v>626.80000000000041</v>
      </c>
      <c r="AH38">
        <f t="shared" si="21"/>
        <v>39.400000000000013</v>
      </c>
      <c r="AI38">
        <f t="shared" si="21"/>
        <v>1504.8000000000013</v>
      </c>
      <c r="AJ38">
        <f t="shared" si="21"/>
        <v>620.89999999999986</v>
      </c>
      <c r="AK38">
        <f t="shared" si="21"/>
        <v>1609.8</v>
      </c>
      <c r="AL38">
        <f t="shared" si="21"/>
        <v>377.20000000000005</v>
      </c>
      <c r="AM38">
        <f t="shared" si="21"/>
        <v>2136.7000000000003</v>
      </c>
      <c r="AN38">
        <f t="shared" si="21"/>
        <v>2577.2999999999997</v>
      </c>
      <c r="AO38">
        <f t="shared" si="21"/>
        <v>5254</v>
      </c>
      <c r="AP38">
        <f t="shared" si="21"/>
        <v>8328.3000000000029</v>
      </c>
      <c r="AQ38">
        <f t="shared" si="21"/>
        <v>9826.9</v>
      </c>
      <c r="AR38">
        <f t="shared" si="21"/>
        <v>4651.8999999999996</v>
      </c>
      <c r="AS38">
        <f t="shared" si="21"/>
        <v>6706.9</v>
      </c>
      <c r="AT38">
        <f t="shared" si="21"/>
        <v>13008.400000000003</v>
      </c>
      <c r="AU38">
        <f t="shared" si="21"/>
        <v>835.8</v>
      </c>
      <c r="AV38">
        <f t="shared" si="21"/>
        <v>4866.7999999999993</v>
      </c>
      <c r="AW38">
        <f t="shared" si="21"/>
        <v>8230.0999999999985</v>
      </c>
      <c r="AX38">
        <f t="shared" si="21"/>
        <v>8754.2000000000007</v>
      </c>
      <c r="AY38">
        <f t="shared" si="21"/>
        <v>6317.9</v>
      </c>
      <c r="AZ38">
        <f t="shared" si="21"/>
        <v>1195.5999999999999</v>
      </c>
      <c r="BA38">
        <f t="shared" si="21"/>
        <v>0</v>
      </c>
    </row>
    <row r="39" spans="1:53" ht="15.75" customHeight="1">
      <c r="A39" s="349" t="s">
        <v>757</v>
      </c>
      <c r="B39" s="349"/>
      <c r="C39" s="349"/>
      <c r="D39" s="349"/>
      <c r="E39" s="349"/>
      <c r="F39" s="349"/>
      <c r="G39" s="349"/>
      <c r="H39" s="349"/>
      <c r="I39" s="349"/>
      <c r="J39" s="349"/>
      <c r="K39" s="349"/>
      <c r="L39" s="349"/>
      <c r="M39" s="349"/>
      <c r="N39" s="349"/>
      <c r="O39" s="349"/>
      <c r="P39" s="349"/>
      <c r="Q39" s="349"/>
      <c r="R39" s="349"/>
      <c r="S39" s="349"/>
      <c r="T39" s="349"/>
      <c r="U39" s="349"/>
      <c r="V39" t="s">
        <v>758</v>
      </c>
      <c r="W39" s="42">
        <v>2020</v>
      </c>
      <c r="X39" s="42">
        <v>2021</v>
      </c>
      <c r="Y39" s="42">
        <v>2022</v>
      </c>
      <c r="Z39" s="42">
        <v>2023</v>
      </c>
      <c r="AA39" s="42">
        <v>2024</v>
      </c>
      <c r="AB39" s="42">
        <v>2025</v>
      </c>
      <c r="AC39" s="42">
        <v>2026</v>
      </c>
      <c r="AD39" s="42">
        <v>2027</v>
      </c>
      <c r="AE39" s="42">
        <v>2028</v>
      </c>
      <c r="AF39" s="42">
        <v>2029</v>
      </c>
      <c r="AG39" s="42">
        <v>2030</v>
      </c>
      <c r="AH39" s="42">
        <v>2031</v>
      </c>
      <c r="AI39" s="42">
        <v>2032</v>
      </c>
      <c r="AJ39" s="42">
        <v>2033</v>
      </c>
      <c r="AK39" s="42">
        <v>2034</v>
      </c>
      <c r="AL39" s="42">
        <v>2035</v>
      </c>
      <c r="AM39" s="42">
        <v>2036</v>
      </c>
      <c r="AN39" s="42">
        <v>2037</v>
      </c>
      <c r="AO39" s="42">
        <v>2038</v>
      </c>
      <c r="AP39" s="42">
        <v>2039</v>
      </c>
      <c r="AQ39" s="42">
        <v>2040</v>
      </c>
      <c r="AR39" s="42">
        <v>2041</v>
      </c>
      <c r="AS39" s="42">
        <v>2042</v>
      </c>
      <c r="AT39" s="42">
        <v>2043</v>
      </c>
      <c r="AU39" s="42">
        <v>2044</v>
      </c>
      <c r="AV39" s="42">
        <v>2045</v>
      </c>
      <c r="AW39" s="42">
        <v>2046</v>
      </c>
      <c r="AX39" s="42">
        <v>2047</v>
      </c>
      <c r="AY39" s="42">
        <v>2048</v>
      </c>
      <c r="AZ39" s="42">
        <v>2049</v>
      </c>
      <c r="BA39" s="42">
        <v>2050</v>
      </c>
    </row>
    <row r="40" spans="1:53" ht="15.75" customHeight="1">
      <c r="A40" s="350">
        <v>1975</v>
      </c>
      <c r="B40" s="350"/>
      <c r="C40" s="350"/>
      <c r="D40" s="350"/>
      <c r="E40" s="350"/>
      <c r="F40" s="350"/>
      <c r="G40" s="350"/>
      <c r="H40" s="350"/>
      <c r="I40" s="350"/>
      <c r="J40" s="350"/>
      <c r="K40" s="350"/>
      <c r="L40" s="350"/>
      <c r="M40" s="350"/>
      <c r="N40" s="350"/>
      <c r="O40" s="350"/>
      <c r="P40" s="350"/>
      <c r="Q40" s="350"/>
      <c r="R40" s="350"/>
      <c r="S40" s="350"/>
      <c r="T40" s="350"/>
      <c r="U40" s="350"/>
      <c r="V40">
        <v>16.5</v>
      </c>
      <c r="W40">
        <f t="shared" ref="W40:W76" si="22">IF(W$39-$A40&gt;$V$27,$V40,0)</f>
        <v>16.5</v>
      </c>
      <c r="X40">
        <f t="shared" ref="X40:BA40" si="23">IF(AND(X$39-$A40&gt;$V$27,SUM($W40:W40)&lt;&gt;$V40),$V40,0)</f>
        <v>0</v>
      </c>
      <c r="Y40">
        <f t="shared" si="23"/>
        <v>0</v>
      </c>
      <c r="Z40">
        <f t="shared" si="23"/>
        <v>0</v>
      </c>
      <c r="AA40">
        <f t="shared" si="23"/>
        <v>0</v>
      </c>
      <c r="AB40">
        <f t="shared" si="23"/>
        <v>0</v>
      </c>
      <c r="AC40">
        <f t="shared" si="23"/>
        <v>0</v>
      </c>
      <c r="AD40">
        <f t="shared" si="23"/>
        <v>0</v>
      </c>
      <c r="AE40">
        <f t="shared" si="23"/>
        <v>0</v>
      </c>
      <c r="AF40">
        <f t="shared" si="23"/>
        <v>0</v>
      </c>
      <c r="AG40">
        <f t="shared" si="23"/>
        <v>0</v>
      </c>
      <c r="AH40">
        <f t="shared" si="23"/>
        <v>0</v>
      </c>
      <c r="AI40">
        <f t="shared" si="23"/>
        <v>0</v>
      </c>
      <c r="AJ40">
        <f t="shared" si="23"/>
        <v>0</v>
      </c>
      <c r="AK40">
        <f t="shared" si="23"/>
        <v>0</v>
      </c>
      <c r="AL40">
        <f t="shared" si="23"/>
        <v>0</v>
      </c>
      <c r="AM40">
        <f t="shared" si="23"/>
        <v>0</v>
      </c>
      <c r="AN40">
        <f t="shared" si="23"/>
        <v>0</v>
      </c>
      <c r="AO40">
        <f t="shared" si="23"/>
        <v>0</v>
      </c>
      <c r="AP40">
        <f t="shared" si="23"/>
        <v>0</v>
      </c>
      <c r="AQ40">
        <f t="shared" si="23"/>
        <v>0</v>
      </c>
      <c r="AR40">
        <f t="shared" si="23"/>
        <v>0</v>
      </c>
      <c r="AS40">
        <f t="shared" si="23"/>
        <v>0</v>
      </c>
      <c r="AT40">
        <f t="shared" si="23"/>
        <v>0</v>
      </c>
      <c r="AU40">
        <f t="shared" si="23"/>
        <v>0</v>
      </c>
      <c r="AV40">
        <f t="shared" si="23"/>
        <v>0</v>
      </c>
      <c r="AW40">
        <f t="shared" si="23"/>
        <v>0</v>
      </c>
      <c r="AX40">
        <f t="shared" si="23"/>
        <v>0</v>
      </c>
      <c r="AY40">
        <f t="shared" si="23"/>
        <v>0</v>
      </c>
      <c r="AZ40">
        <f t="shared" si="23"/>
        <v>0</v>
      </c>
      <c r="BA40">
        <f t="shared" si="23"/>
        <v>0</v>
      </c>
    </row>
    <row r="41" spans="1:53" ht="15.75" customHeight="1">
      <c r="A41" s="350">
        <v>1981</v>
      </c>
      <c r="B41" s="350"/>
      <c r="C41" s="350"/>
      <c r="D41" s="350"/>
      <c r="E41" s="350"/>
      <c r="F41" s="350"/>
      <c r="G41" s="350"/>
      <c r="H41" s="350"/>
      <c r="I41" s="350"/>
      <c r="J41" s="350"/>
      <c r="K41" s="350"/>
      <c r="L41" s="350"/>
      <c r="M41" s="350"/>
      <c r="N41" s="350"/>
      <c r="O41" s="350"/>
      <c r="P41" s="350"/>
      <c r="Q41" s="350"/>
      <c r="R41" s="350"/>
      <c r="S41" s="350"/>
      <c r="T41" s="350"/>
      <c r="U41" s="350"/>
      <c r="V41">
        <v>19.600000000000001</v>
      </c>
      <c r="W41">
        <f t="shared" si="22"/>
        <v>19.600000000000001</v>
      </c>
      <c r="X41">
        <f t="shared" ref="X41:BA41" si="24">IF(AND(X$39-$A41&gt;$V$27,SUM($W41:W41)&lt;&gt;$V41),$V41,0)</f>
        <v>0</v>
      </c>
      <c r="Y41">
        <f t="shared" si="24"/>
        <v>0</v>
      </c>
      <c r="Z41">
        <f t="shared" si="24"/>
        <v>0</v>
      </c>
      <c r="AA41">
        <f t="shared" si="24"/>
        <v>0</v>
      </c>
      <c r="AB41">
        <f t="shared" si="24"/>
        <v>0</v>
      </c>
      <c r="AC41">
        <f t="shared" si="24"/>
        <v>0</v>
      </c>
      <c r="AD41">
        <f t="shared" si="24"/>
        <v>0</v>
      </c>
      <c r="AE41">
        <f t="shared" si="24"/>
        <v>0</v>
      </c>
      <c r="AF41">
        <f t="shared" si="24"/>
        <v>0</v>
      </c>
      <c r="AG41">
        <f t="shared" si="24"/>
        <v>0</v>
      </c>
      <c r="AH41">
        <f t="shared" si="24"/>
        <v>0</v>
      </c>
      <c r="AI41">
        <f t="shared" si="24"/>
        <v>0</v>
      </c>
      <c r="AJ41">
        <f t="shared" si="24"/>
        <v>0</v>
      </c>
      <c r="AK41">
        <f t="shared" si="24"/>
        <v>0</v>
      </c>
      <c r="AL41">
        <f t="shared" si="24"/>
        <v>0</v>
      </c>
      <c r="AM41">
        <f t="shared" si="24"/>
        <v>0</v>
      </c>
      <c r="AN41">
        <f t="shared" si="24"/>
        <v>0</v>
      </c>
      <c r="AO41">
        <f t="shared" si="24"/>
        <v>0</v>
      </c>
      <c r="AP41">
        <f t="shared" si="24"/>
        <v>0</v>
      </c>
      <c r="AQ41">
        <f t="shared" si="24"/>
        <v>0</v>
      </c>
      <c r="AR41">
        <f t="shared" si="24"/>
        <v>0</v>
      </c>
      <c r="AS41">
        <f t="shared" si="24"/>
        <v>0</v>
      </c>
      <c r="AT41">
        <f t="shared" si="24"/>
        <v>0</v>
      </c>
      <c r="AU41">
        <f t="shared" si="24"/>
        <v>0</v>
      </c>
      <c r="AV41">
        <f t="shared" si="24"/>
        <v>0</v>
      </c>
      <c r="AW41">
        <f t="shared" si="24"/>
        <v>0</v>
      </c>
      <c r="AX41">
        <f t="shared" si="24"/>
        <v>0</v>
      </c>
      <c r="AY41">
        <f t="shared" si="24"/>
        <v>0</v>
      </c>
      <c r="AZ41">
        <f t="shared" si="24"/>
        <v>0</v>
      </c>
      <c r="BA41">
        <f t="shared" si="24"/>
        <v>0</v>
      </c>
    </row>
    <row r="42" spans="1:53" ht="15.75" customHeight="1">
      <c r="A42" s="350">
        <v>1982</v>
      </c>
      <c r="B42" s="350"/>
      <c r="C42" s="350"/>
      <c r="D42" s="350"/>
      <c r="E42" s="350"/>
      <c r="F42" s="350"/>
      <c r="G42" s="350"/>
      <c r="H42" s="350"/>
      <c r="I42" s="350"/>
      <c r="J42" s="350"/>
      <c r="K42" s="350"/>
      <c r="L42" s="350"/>
      <c r="M42" s="350"/>
      <c r="N42" s="350"/>
      <c r="O42" s="350"/>
      <c r="P42" s="350"/>
      <c r="Q42" s="350"/>
      <c r="R42" s="350"/>
      <c r="S42" s="350"/>
      <c r="T42" s="350"/>
      <c r="U42" s="350"/>
      <c r="V42">
        <v>18.8</v>
      </c>
      <c r="W42">
        <f t="shared" si="22"/>
        <v>18.8</v>
      </c>
      <c r="X42">
        <f t="shared" ref="X42:BA42" si="25">IF(AND(X$39-$A42&gt;$V$27,SUM($W42:W42)&lt;&gt;$V42),$V42,0)</f>
        <v>0</v>
      </c>
      <c r="Y42">
        <f t="shared" si="25"/>
        <v>0</v>
      </c>
      <c r="Z42">
        <f t="shared" si="25"/>
        <v>0</v>
      </c>
      <c r="AA42">
        <f t="shared" si="25"/>
        <v>0</v>
      </c>
      <c r="AB42">
        <f t="shared" si="25"/>
        <v>0</v>
      </c>
      <c r="AC42">
        <f t="shared" si="25"/>
        <v>0</v>
      </c>
      <c r="AD42">
        <f t="shared" si="25"/>
        <v>0</v>
      </c>
      <c r="AE42">
        <f t="shared" si="25"/>
        <v>0</v>
      </c>
      <c r="AF42">
        <f t="shared" si="25"/>
        <v>0</v>
      </c>
      <c r="AG42">
        <f t="shared" si="25"/>
        <v>0</v>
      </c>
      <c r="AH42">
        <f t="shared" si="25"/>
        <v>0</v>
      </c>
      <c r="AI42">
        <f t="shared" si="25"/>
        <v>0</v>
      </c>
      <c r="AJ42">
        <f t="shared" si="25"/>
        <v>0</v>
      </c>
      <c r="AK42">
        <f t="shared" si="25"/>
        <v>0</v>
      </c>
      <c r="AL42">
        <f t="shared" si="25"/>
        <v>0</v>
      </c>
      <c r="AM42">
        <f t="shared" si="25"/>
        <v>0</v>
      </c>
      <c r="AN42">
        <f t="shared" si="25"/>
        <v>0</v>
      </c>
      <c r="AO42">
        <f t="shared" si="25"/>
        <v>0</v>
      </c>
      <c r="AP42">
        <f t="shared" si="25"/>
        <v>0</v>
      </c>
      <c r="AQ42">
        <f t="shared" si="25"/>
        <v>0</v>
      </c>
      <c r="AR42">
        <f t="shared" si="25"/>
        <v>0</v>
      </c>
      <c r="AS42">
        <f t="shared" si="25"/>
        <v>0</v>
      </c>
      <c r="AT42">
        <f t="shared" si="25"/>
        <v>0</v>
      </c>
      <c r="AU42">
        <f t="shared" si="25"/>
        <v>0</v>
      </c>
      <c r="AV42">
        <f t="shared" si="25"/>
        <v>0</v>
      </c>
      <c r="AW42">
        <f t="shared" si="25"/>
        <v>0</v>
      </c>
      <c r="AX42">
        <f t="shared" si="25"/>
        <v>0</v>
      </c>
      <c r="AY42">
        <f t="shared" si="25"/>
        <v>0</v>
      </c>
      <c r="AZ42">
        <f t="shared" si="25"/>
        <v>0</v>
      </c>
      <c r="BA42">
        <f t="shared" si="25"/>
        <v>0</v>
      </c>
    </row>
    <row r="43" spans="1:53" ht="15.75" customHeight="1">
      <c r="A43" s="350">
        <v>1983</v>
      </c>
      <c r="B43" s="350"/>
      <c r="C43" s="350"/>
      <c r="D43" s="350"/>
      <c r="E43" s="350"/>
      <c r="F43" s="350"/>
      <c r="G43" s="350"/>
      <c r="H43" s="350"/>
      <c r="I43" s="350"/>
      <c r="J43" s="350"/>
      <c r="K43" s="350"/>
      <c r="L43" s="350"/>
      <c r="M43" s="350"/>
      <c r="N43" s="350"/>
      <c r="O43" s="350"/>
      <c r="P43" s="350"/>
      <c r="Q43" s="350"/>
      <c r="R43" s="350"/>
      <c r="S43" s="350"/>
      <c r="T43" s="350"/>
      <c r="U43" s="350"/>
      <c r="V43">
        <v>31</v>
      </c>
      <c r="W43">
        <f t="shared" si="22"/>
        <v>31</v>
      </c>
      <c r="X43">
        <f t="shared" ref="X43:BA43" si="26">IF(AND(X$39-$A43&gt;$V$27,SUM($W43:W43)&lt;&gt;$V43),$V43,0)</f>
        <v>0</v>
      </c>
      <c r="Y43">
        <f t="shared" si="26"/>
        <v>0</v>
      </c>
      <c r="Z43">
        <f t="shared" si="26"/>
        <v>0</v>
      </c>
      <c r="AA43">
        <f t="shared" si="26"/>
        <v>0</v>
      </c>
      <c r="AB43">
        <f t="shared" si="26"/>
        <v>0</v>
      </c>
      <c r="AC43">
        <f t="shared" si="26"/>
        <v>0</v>
      </c>
      <c r="AD43">
        <f t="shared" si="26"/>
        <v>0</v>
      </c>
      <c r="AE43">
        <f t="shared" si="26"/>
        <v>0</v>
      </c>
      <c r="AF43">
        <f t="shared" si="26"/>
        <v>0</v>
      </c>
      <c r="AG43">
        <f t="shared" si="26"/>
        <v>0</v>
      </c>
      <c r="AH43">
        <f t="shared" si="26"/>
        <v>0</v>
      </c>
      <c r="AI43">
        <f t="shared" si="26"/>
        <v>0</v>
      </c>
      <c r="AJ43">
        <f t="shared" si="26"/>
        <v>0</v>
      </c>
      <c r="AK43">
        <f t="shared" si="26"/>
        <v>0</v>
      </c>
      <c r="AL43">
        <f t="shared" si="26"/>
        <v>0</v>
      </c>
      <c r="AM43">
        <f t="shared" si="26"/>
        <v>0</v>
      </c>
      <c r="AN43">
        <f t="shared" si="26"/>
        <v>0</v>
      </c>
      <c r="AO43">
        <f t="shared" si="26"/>
        <v>0</v>
      </c>
      <c r="AP43">
        <f t="shared" si="26"/>
        <v>0</v>
      </c>
      <c r="AQ43">
        <f t="shared" si="26"/>
        <v>0</v>
      </c>
      <c r="AR43">
        <f t="shared" si="26"/>
        <v>0</v>
      </c>
      <c r="AS43">
        <f t="shared" si="26"/>
        <v>0</v>
      </c>
      <c r="AT43">
        <f t="shared" si="26"/>
        <v>0</v>
      </c>
      <c r="AU43">
        <f t="shared" si="26"/>
        <v>0</v>
      </c>
      <c r="AV43">
        <f t="shared" si="26"/>
        <v>0</v>
      </c>
      <c r="AW43">
        <f t="shared" si="26"/>
        <v>0</v>
      </c>
      <c r="AX43">
        <f t="shared" si="26"/>
        <v>0</v>
      </c>
      <c r="AY43">
        <f t="shared" si="26"/>
        <v>0</v>
      </c>
      <c r="AZ43">
        <f t="shared" si="26"/>
        <v>0</v>
      </c>
      <c r="BA43">
        <f t="shared" si="26"/>
        <v>0</v>
      </c>
    </row>
    <row r="44" spans="1:53" ht="15.75" customHeight="1">
      <c r="A44" s="350">
        <v>1984</v>
      </c>
      <c r="B44" s="350"/>
      <c r="C44" s="350"/>
      <c r="D44" s="350"/>
      <c r="E44" s="350"/>
      <c r="F44" s="350"/>
      <c r="G44" s="350"/>
      <c r="H44" s="350"/>
      <c r="I44" s="350"/>
      <c r="J44" s="350"/>
      <c r="K44" s="350"/>
      <c r="L44" s="350"/>
      <c r="M44" s="350"/>
      <c r="N44" s="350"/>
      <c r="O44" s="350"/>
      <c r="P44" s="350"/>
      <c r="Q44" s="350"/>
      <c r="R44" s="350"/>
      <c r="S44" s="350"/>
      <c r="T44" s="350"/>
      <c r="U44" s="350"/>
      <c r="V44">
        <v>137.99999999999997</v>
      </c>
      <c r="W44">
        <f t="shared" si="22"/>
        <v>137.99999999999997</v>
      </c>
      <c r="X44">
        <f t="shared" ref="X44:BA44" si="27">IF(AND(X$39-$A44&gt;$V$27,SUM($W44:W44)&lt;&gt;$V44),$V44,0)</f>
        <v>0</v>
      </c>
      <c r="Y44">
        <f t="shared" si="27"/>
        <v>0</v>
      </c>
      <c r="Z44">
        <f t="shared" si="27"/>
        <v>0</v>
      </c>
      <c r="AA44">
        <f t="shared" si="27"/>
        <v>0</v>
      </c>
      <c r="AB44">
        <f t="shared" si="27"/>
        <v>0</v>
      </c>
      <c r="AC44">
        <f t="shared" si="27"/>
        <v>0</v>
      </c>
      <c r="AD44">
        <f t="shared" si="27"/>
        <v>0</v>
      </c>
      <c r="AE44">
        <f t="shared" si="27"/>
        <v>0</v>
      </c>
      <c r="AF44">
        <f t="shared" si="27"/>
        <v>0</v>
      </c>
      <c r="AG44">
        <f t="shared" si="27"/>
        <v>0</v>
      </c>
      <c r="AH44">
        <f t="shared" si="27"/>
        <v>0</v>
      </c>
      <c r="AI44">
        <f t="shared" si="27"/>
        <v>0</v>
      </c>
      <c r="AJ44">
        <f t="shared" si="27"/>
        <v>0</v>
      </c>
      <c r="AK44">
        <f t="shared" si="27"/>
        <v>0</v>
      </c>
      <c r="AL44">
        <f t="shared" si="27"/>
        <v>0</v>
      </c>
      <c r="AM44">
        <f t="shared" si="27"/>
        <v>0</v>
      </c>
      <c r="AN44">
        <f t="shared" si="27"/>
        <v>0</v>
      </c>
      <c r="AO44">
        <f t="shared" si="27"/>
        <v>0</v>
      </c>
      <c r="AP44">
        <f t="shared" si="27"/>
        <v>0</v>
      </c>
      <c r="AQ44">
        <f t="shared" si="27"/>
        <v>0</v>
      </c>
      <c r="AR44">
        <f t="shared" si="27"/>
        <v>0</v>
      </c>
      <c r="AS44">
        <f t="shared" si="27"/>
        <v>0</v>
      </c>
      <c r="AT44">
        <f t="shared" si="27"/>
        <v>0</v>
      </c>
      <c r="AU44">
        <f t="shared" si="27"/>
        <v>0</v>
      </c>
      <c r="AV44">
        <f t="shared" si="27"/>
        <v>0</v>
      </c>
      <c r="AW44">
        <f t="shared" si="27"/>
        <v>0</v>
      </c>
      <c r="AX44">
        <f t="shared" si="27"/>
        <v>0</v>
      </c>
      <c r="AY44">
        <f t="shared" si="27"/>
        <v>0</v>
      </c>
      <c r="AZ44">
        <f t="shared" si="27"/>
        <v>0</v>
      </c>
      <c r="BA44">
        <f t="shared" si="27"/>
        <v>0</v>
      </c>
    </row>
    <row r="45" spans="1:53" ht="15.75" customHeight="1">
      <c r="A45" s="350">
        <v>1985</v>
      </c>
      <c r="B45" s="350"/>
      <c r="C45" s="350"/>
      <c r="D45" s="350"/>
      <c r="E45" s="350"/>
      <c r="F45" s="350"/>
      <c r="G45" s="350"/>
      <c r="H45" s="350"/>
      <c r="I45" s="350"/>
      <c r="J45" s="350"/>
      <c r="K45" s="350"/>
      <c r="L45" s="350"/>
      <c r="M45" s="350"/>
      <c r="N45" s="350"/>
      <c r="O45" s="350"/>
      <c r="P45" s="350"/>
      <c r="Q45" s="350"/>
      <c r="R45" s="350"/>
      <c r="S45" s="350"/>
      <c r="T45" s="350"/>
      <c r="U45" s="350"/>
      <c r="V45">
        <v>117.80000000000001</v>
      </c>
      <c r="W45">
        <f t="shared" si="22"/>
        <v>117.80000000000001</v>
      </c>
      <c r="X45">
        <f t="shared" ref="X45:BA45" si="28">IF(AND(X$39-$A45&gt;$V$27,SUM($W45:W45)&lt;&gt;$V45),$V45,0)</f>
        <v>0</v>
      </c>
      <c r="Y45">
        <f t="shared" si="28"/>
        <v>0</v>
      </c>
      <c r="Z45">
        <f t="shared" si="28"/>
        <v>0</v>
      </c>
      <c r="AA45">
        <f t="shared" si="28"/>
        <v>0</v>
      </c>
      <c r="AB45">
        <f t="shared" si="28"/>
        <v>0</v>
      </c>
      <c r="AC45">
        <f t="shared" si="28"/>
        <v>0</v>
      </c>
      <c r="AD45">
        <f t="shared" si="28"/>
        <v>0</v>
      </c>
      <c r="AE45">
        <f t="shared" si="28"/>
        <v>0</v>
      </c>
      <c r="AF45">
        <f t="shared" si="28"/>
        <v>0</v>
      </c>
      <c r="AG45">
        <f t="shared" si="28"/>
        <v>0</v>
      </c>
      <c r="AH45">
        <f t="shared" si="28"/>
        <v>0</v>
      </c>
      <c r="AI45">
        <f t="shared" si="28"/>
        <v>0</v>
      </c>
      <c r="AJ45">
        <f t="shared" si="28"/>
        <v>0</v>
      </c>
      <c r="AK45">
        <f t="shared" si="28"/>
        <v>0</v>
      </c>
      <c r="AL45">
        <f t="shared" si="28"/>
        <v>0</v>
      </c>
      <c r="AM45">
        <f t="shared" si="28"/>
        <v>0</v>
      </c>
      <c r="AN45">
        <f t="shared" si="28"/>
        <v>0</v>
      </c>
      <c r="AO45">
        <f t="shared" si="28"/>
        <v>0</v>
      </c>
      <c r="AP45">
        <f t="shared" si="28"/>
        <v>0</v>
      </c>
      <c r="AQ45">
        <f t="shared" si="28"/>
        <v>0</v>
      </c>
      <c r="AR45">
        <f t="shared" si="28"/>
        <v>0</v>
      </c>
      <c r="AS45">
        <f t="shared" si="28"/>
        <v>0</v>
      </c>
      <c r="AT45">
        <f t="shared" si="28"/>
        <v>0</v>
      </c>
      <c r="AU45">
        <f t="shared" si="28"/>
        <v>0</v>
      </c>
      <c r="AV45">
        <f t="shared" si="28"/>
        <v>0</v>
      </c>
      <c r="AW45">
        <f t="shared" si="28"/>
        <v>0</v>
      </c>
      <c r="AX45">
        <f t="shared" si="28"/>
        <v>0</v>
      </c>
      <c r="AY45">
        <f t="shared" si="28"/>
        <v>0</v>
      </c>
      <c r="AZ45">
        <f t="shared" si="28"/>
        <v>0</v>
      </c>
      <c r="BA45">
        <f t="shared" si="28"/>
        <v>0</v>
      </c>
    </row>
    <row r="46" spans="1:53" ht="15.75" customHeight="1">
      <c r="A46" s="350">
        <v>1986</v>
      </c>
      <c r="B46" s="350"/>
      <c r="C46" s="350"/>
      <c r="D46" s="350"/>
      <c r="E46" s="350"/>
      <c r="F46" s="350"/>
      <c r="G46" s="350"/>
      <c r="H46" s="350"/>
      <c r="I46" s="350"/>
      <c r="J46" s="350"/>
      <c r="K46" s="350"/>
      <c r="L46" s="350"/>
      <c r="M46" s="350"/>
      <c r="N46" s="350"/>
      <c r="O46" s="350"/>
      <c r="P46" s="350"/>
      <c r="Q46" s="350"/>
      <c r="R46" s="350"/>
      <c r="S46" s="350"/>
      <c r="T46" s="350"/>
      <c r="U46" s="350"/>
      <c r="V46">
        <v>51.499999999999993</v>
      </c>
      <c r="W46">
        <f t="shared" si="22"/>
        <v>51.499999999999993</v>
      </c>
      <c r="X46">
        <f t="shared" ref="X46:BA46" si="29">IF(AND(X$39-$A46&gt;$V$27,SUM($W46:W46)&lt;&gt;$V46),$V46,0)</f>
        <v>0</v>
      </c>
      <c r="Y46">
        <f t="shared" si="29"/>
        <v>0</v>
      </c>
      <c r="Z46">
        <f t="shared" si="29"/>
        <v>0</v>
      </c>
      <c r="AA46">
        <f t="shared" si="29"/>
        <v>0</v>
      </c>
      <c r="AB46">
        <f t="shared" si="29"/>
        <v>0</v>
      </c>
      <c r="AC46">
        <f t="shared" si="29"/>
        <v>0</v>
      </c>
      <c r="AD46">
        <f t="shared" si="29"/>
        <v>0</v>
      </c>
      <c r="AE46">
        <f t="shared" si="29"/>
        <v>0</v>
      </c>
      <c r="AF46">
        <f t="shared" si="29"/>
        <v>0</v>
      </c>
      <c r="AG46">
        <f t="shared" si="29"/>
        <v>0</v>
      </c>
      <c r="AH46">
        <f t="shared" si="29"/>
        <v>0</v>
      </c>
      <c r="AI46">
        <f t="shared" si="29"/>
        <v>0</v>
      </c>
      <c r="AJ46">
        <f t="shared" si="29"/>
        <v>0</v>
      </c>
      <c r="AK46">
        <f t="shared" si="29"/>
        <v>0</v>
      </c>
      <c r="AL46">
        <f t="shared" si="29"/>
        <v>0</v>
      </c>
      <c r="AM46">
        <f t="shared" si="29"/>
        <v>0</v>
      </c>
      <c r="AN46">
        <f t="shared" si="29"/>
        <v>0</v>
      </c>
      <c r="AO46">
        <f t="shared" si="29"/>
        <v>0</v>
      </c>
      <c r="AP46">
        <f t="shared" si="29"/>
        <v>0</v>
      </c>
      <c r="AQ46">
        <f t="shared" si="29"/>
        <v>0</v>
      </c>
      <c r="AR46">
        <f t="shared" si="29"/>
        <v>0</v>
      </c>
      <c r="AS46">
        <f t="shared" si="29"/>
        <v>0</v>
      </c>
      <c r="AT46">
        <f t="shared" si="29"/>
        <v>0</v>
      </c>
      <c r="AU46">
        <f t="shared" si="29"/>
        <v>0</v>
      </c>
      <c r="AV46">
        <f t="shared" si="29"/>
        <v>0</v>
      </c>
      <c r="AW46">
        <f t="shared" si="29"/>
        <v>0</v>
      </c>
      <c r="AX46">
        <f t="shared" si="29"/>
        <v>0</v>
      </c>
      <c r="AY46">
        <f t="shared" si="29"/>
        <v>0</v>
      </c>
      <c r="AZ46">
        <f t="shared" si="29"/>
        <v>0</v>
      </c>
      <c r="BA46">
        <f t="shared" si="29"/>
        <v>0</v>
      </c>
    </row>
    <row r="47" spans="1:53" ht="15.75" customHeight="1">
      <c r="A47" s="350">
        <v>1987</v>
      </c>
      <c r="B47" s="350"/>
      <c r="C47" s="350"/>
      <c r="D47" s="350"/>
      <c r="E47" s="350"/>
      <c r="F47" s="350"/>
      <c r="G47" s="350"/>
      <c r="H47" s="350"/>
      <c r="I47" s="350"/>
      <c r="J47" s="350"/>
      <c r="K47" s="350"/>
      <c r="L47" s="350"/>
      <c r="M47" s="350"/>
      <c r="N47" s="350"/>
      <c r="O47" s="350"/>
      <c r="P47" s="350"/>
      <c r="Q47" s="350"/>
      <c r="R47" s="350"/>
      <c r="S47" s="350"/>
      <c r="T47" s="350"/>
      <c r="U47" s="350"/>
      <c r="V47">
        <v>30</v>
      </c>
      <c r="W47">
        <f t="shared" si="22"/>
        <v>30</v>
      </c>
      <c r="X47">
        <f t="shared" ref="X47:BA47" si="30">IF(AND(X$39-$A47&gt;$V$27,SUM($W47:W47)&lt;&gt;$V47),$V47,0)</f>
        <v>0</v>
      </c>
      <c r="Y47">
        <f t="shared" si="30"/>
        <v>0</v>
      </c>
      <c r="Z47">
        <f t="shared" si="30"/>
        <v>0</v>
      </c>
      <c r="AA47">
        <f t="shared" si="30"/>
        <v>0</v>
      </c>
      <c r="AB47">
        <f t="shared" si="30"/>
        <v>0</v>
      </c>
      <c r="AC47">
        <f t="shared" si="30"/>
        <v>0</v>
      </c>
      <c r="AD47">
        <f t="shared" si="30"/>
        <v>0</v>
      </c>
      <c r="AE47">
        <f t="shared" si="30"/>
        <v>0</v>
      </c>
      <c r="AF47">
        <f t="shared" si="30"/>
        <v>0</v>
      </c>
      <c r="AG47">
        <f t="shared" si="30"/>
        <v>0</v>
      </c>
      <c r="AH47">
        <f t="shared" si="30"/>
        <v>0</v>
      </c>
      <c r="AI47">
        <f t="shared" si="30"/>
        <v>0</v>
      </c>
      <c r="AJ47">
        <f t="shared" si="30"/>
        <v>0</v>
      </c>
      <c r="AK47">
        <f t="shared" si="30"/>
        <v>0</v>
      </c>
      <c r="AL47">
        <f t="shared" si="30"/>
        <v>0</v>
      </c>
      <c r="AM47">
        <f t="shared" si="30"/>
        <v>0</v>
      </c>
      <c r="AN47">
        <f t="shared" si="30"/>
        <v>0</v>
      </c>
      <c r="AO47">
        <f t="shared" si="30"/>
        <v>0</v>
      </c>
      <c r="AP47">
        <f t="shared" si="30"/>
        <v>0</v>
      </c>
      <c r="AQ47">
        <f t="shared" si="30"/>
        <v>0</v>
      </c>
      <c r="AR47">
        <f t="shared" si="30"/>
        <v>0</v>
      </c>
      <c r="AS47">
        <f t="shared" si="30"/>
        <v>0</v>
      </c>
      <c r="AT47">
        <f t="shared" si="30"/>
        <v>0</v>
      </c>
      <c r="AU47">
        <f t="shared" si="30"/>
        <v>0</v>
      </c>
      <c r="AV47">
        <f t="shared" si="30"/>
        <v>0</v>
      </c>
      <c r="AW47">
        <f t="shared" si="30"/>
        <v>0</v>
      </c>
      <c r="AX47">
        <f t="shared" si="30"/>
        <v>0</v>
      </c>
      <c r="AY47">
        <f t="shared" si="30"/>
        <v>0</v>
      </c>
      <c r="AZ47">
        <f t="shared" si="30"/>
        <v>0</v>
      </c>
      <c r="BA47">
        <f t="shared" si="30"/>
        <v>0</v>
      </c>
    </row>
    <row r="48" spans="1:53" ht="15.75" customHeight="1">
      <c r="A48" s="350">
        <v>1988</v>
      </c>
      <c r="B48" s="350"/>
      <c r="C48" s="350"/>
      <c r="D48" s="350"/>
      <c r="E48" s="350"/>
      <c r="F48" s="350"/>
      <c r="G48" s="350"/>
      <c r="H48" s="350"/>
      <c r="I48" s="350"/>
      <c r="J48" s="350"/>
      <c r="K48" s="350"/>
      <c r="L48" s="350"/>
      <c r="M48" s="350"/>
      <c r="N48" s="350"/>
      <c r="O48" s="350"/>
      <c r="P48" s="350"/>
      <c r="Q48" s="350"/>
      <c r="R48" s="350"/>
      <c r="S48" s="350"/>
      <c r="T48" s="350"/>
      <c r="U48" s="350"/>
      <c r="V48">
        <v>26.6</v>
      </c>
      <c r="W48">
        <f t="shared" si="22"/>
        <v>26.6</v>
      </c>
      <c r="X48">
        <f t="shared" ref="X48:BA48" si="31">IF(AND(X$39-$A48&gt;$V$27,SUM($W48:W48)&lt;&gt;$V48),$V48,0)</f>
        <v>0</v>
      </c>
      <c r="Y48">
        <f t="shared" si="31"/>
        <v>0</v>
      </c>
      <c r="Z48">
        <f t="shared" si="31"/>
        <v>0</v>
      </c>
      <c r="AA48">
        <f t="shared" si="31"/>
        <v>0</v>
      </c>
      <c r="AB48">
        <f t="shared" si="31"/>
        <v>0</v>
      </c>
      <c r="AC48">
        <f t="shared" si="31"/>
        <v>0</v>
      </c>
      <c r="AD48">
        <f t="shared" si="31"/>
        <v>0</v>
      </c>
      <c r="AE48">
        <f t="shared" si="31"/>
        <v>0</v>
      </c>
      <c r="AF48">
        <f t="shared" si="31"/>
        <v>0</v>
      </c>
      <c r="AG48">
        <f t="shared" si="31"/>
        <v>0</v>
      </c>
      <c r="AH48">
        <f t="shared" si="31"/>
        <v>0</v>
      </c>
      <c r="AI48">
        <f t="shared" si="31"/>
        <v>0</v>
      </c>
      <c r="AJ48">
        <f t="shared" si="31"/>
        <v>0</v>
      </c>
      <c r="AK48">
        <f t="shared" si="31"/>
        <v>0</v>
      </c>
      <c r="AL48">
        <f t="shared" si="31"/>
        <v>0</v>
      </c>
      <c r="AM48">
        <f t="shared" si="31"/>
        <v>0</v>
      </c>
      <c r="AN48">
        <f t="shared" si="31"/>
        <v>0</v>
      </c>
      <c r="AO48">
        <f t="shared" si="31"/>
        <v>0</v>
      </c>
      <c r="AP48">
        <f t="shared" si="31"/>
        <v>0</v>
      </c>
      <c r="AQ48">
        <f t="shared" si="31"/>
        <v>0</v>
      </c>
      <c r="AR48">
        <f t="shared" si="31"/>
        <v>0</v>
      </c>
      <c r="AS48">
        <f t="shared" si="31"/>
        <v>0</v>
      </c>
      <c r="AT48">
        <f t="shared" si="31"/>
        <v>0</v>
      </c>
      <c r="AU48">
        <f t="shared" si="31"/>
        <v>0</v>
      </c>
      <c r="AV48">
        <f t="shared" si="31"/>
        <v>0</v>
      </c>
      <c r="AW48">
        <f t="shared" si="31"/>
        <v>0</v>
      </c>
      <c r="AX48">
        <f t="shared" si="31"/>
        <v>0</v>
      </c>
      <c r="AY48">
        <f t="shared" si="31"/>
        <v>0</v>
      </c>
      <c r="AZ48">
        <f t="shared" si="31"/>
        <v>0</v>
      </c>
      <c r="BA48">
        <f t="shared" si="31"/>
        <v>0</v>
      </c>
    </row>
    <row r="49" spans="1:53" ht="15.75" customHeight="1">
      <c r="A49" s="350">
        <v>1989</v>
      </c>
      <c r="B49" s="350"/>
      <c r="C49" s="350"/>
      <c r="D49" s="350"/>
      <c r="E49" s="350"/>
      <c r="F49" s="350"/>
      <c r="G49" s="350"/>
      <c r="H49" s="350"/>
      <c r="I49" s="350"/>
      <c r="J49" s="350"/>
      <c r="K49" s="350"/>
      <c r="L49" s="350"/>
      <c r="M49" s="350"/>
      <c r="N49" s="350"/>
      <c r="O49" s="350"/>
      <c r="P49" s="350"/>
      <c r="Q49" s="350"/>
      <c r="R49" s="350"/>
      <c r="S49" s="350"/>
      <c r="T49" s="350"/>
      <c r="U49" s="350"/>
      <c r="V49">
        <v>94.1</v>
      </c>
      <c r="W49">
        <f t="shared" si="22"/>
        <v>94.1</v>
      </c>
      <c r="X49">
        <f t="shared" ref="X49:BA49" si="32">IF(AND(X$39-$A49&gt;$V$27,SUM($W49:W49)&lt;&gt;$V49),$V49,0)</f>
        <v>0</v>
      </c>
      <c r="Y49">
        <f t="shared" si="32"/>
        <v>0</v>
      </c>
      <c r="Z49">
        <f t="shared" si="32"/>
        <v>0</v>
      </c>
      <c r="AA49">
        <f t="shared" si="32"/>
        <v>0</v>
      </c>
      <c r="AB49">
        <f t="shared" si="32"/>
        <v>0</v>
      </c>
      <c r="AC49">
        <f t="shared" si="32"/>
        <v>0</v>
      </c>
      <c r="AD49">
        <f t="shared" si="32"/>
        <v>0</v>
      </c>
      <c r="AE49">
        <f t="shared" si="32"/>
        <v>0</v>
      </c>
      <c r="AF49">
        <f t="shared" si="32"/>
        <v>0</v>
      </c>
      <c r="AG49">
        <f t="shared" si="32"/>
        <v>0</v>
      </c>
      <c r="AH49">
        <f t="shared" si="32"/>
        <v>0</v>
      </c>
      <c r="AI49">
        <f t="shared" si="32"/>
        <v>0</v>
      </c>
      <c r="AJ49">
        <f t="shared" si="32"/>
        <v>0</v>
      </c>
      <c r="AK49">
        <f t="shared" si="32"/>
        <v>0</v>
      </c>
      <c r="AL49">
        <f t="shared" si="32"/>
        <v>0</v>
      </c>
      <c r="AM49">
        <f t="shared" si="32"/>
        <v>0</v>
      </c>
      <c r="AN49">
        <f t="shared" si="32"/>
        <v>0</v>
      </c>
      <c r="AO49">
        <f t="shared" si="32"/>
        <v>0</v>
      </c>
      <c r="AP49">
        <f t="shared" si="32"/>
        <v>0</v>
      </c>
      <c r="AQ49">
        <f t="shared" si="32"/>
        <v>0</v>
      </c>
      <c r="AR49">
        <f t="shared" si="32"/>
        <v>0</v>
      </c>
      <c r="AS49">
        <f t="shared" si="32"/>
        <v>0</v>
      </c>
      <c r="AT49">
        <f t="shared" si="32"/>
        <v>0</v>
      </c>
      <c r="AU49">
        <f t="shared" si="32"/>
        <v>0</v>
      </c>
      <c r="AV49">
        <f t="shared" si="32"/>
        <v>0</v>
      </c>
      <c r="AW49">
        <f t="shared" si="32"/>
        <v>0</v>
      </c>
      <c r="AX49">
        <f t="shared" si="32"/>
        <v>0</v>
      </c>
      <c r="AY49">
        <f t="shared" si="32"/>
        <v>0</v>
      </c>
      <c r="AZ49">
        <f t="shared" si="32"/>
        <v>0</v>
      </c>
      <c r="BA49">
        <f t="shared" si="32"/>
        <v>0</v>
      </c>
    </row>
    <row r="50" spans="1:53" ht="15.75" customHeight="1">
      <c r="A50" s="350">
        <v>1990</v>
      </c>
      <c r="B50" s="350"/>
      <c r="C50" s="350"/>
      <c r="D50" s="350"/>
      <c r="E50" s="350"/>
      <c r="F50" s="350"/>
      <c r="G50" s="350"/>
      <c r="H50" s="350"/>
      <c r="I50" s="350"/>
      <c r="J50" s="350"/>
      <c r="K50" s="350"/>
      <c r="L50" s="350"/>
      <c r="M50" s="350"/>
      <c r="N50" s="350"/>
      <c r="O50" s="350"/>
      <c r="P50" s="350"/>
      <c r="Q50" s="350"/>
      <c r="R50" s="350"/>
      <c r="S50" s="350"/>
      <c r="T50" s="350"/>
      <c r="U50" s="350"/>
      <c r="V50">
        <v>112.5</v>
      </c>
      <c r="W50">
        <f t="shared" si="22"/>
        <v>0</v>
      </c>
      <c r="X50">
        <f t="shared" ref="X50:BA50" si="33">IF(AND(X$39-$A50&gt;$V$27,SUM($W50:W50)&lt;&gt;$V50),$V50,0)</f>
        <v>112.5</v>
      </c>
      <c r="Y50">
        <f t="shared" si="33"/>
        <v>0</v>
      </c>
      <c r="Z50">
        <f t="shared" si="33"/>
        <v>0</v>
      </c>
      <c r="AA50">
        <f t="shared" si="33"/>
        <v>0</v>
      </c>
      <c r="AB50">
        <f t="shared" si="33"/>
        <v>0</v>
      </c>
      <c r="AC50">
        <f t="shared" si="33"/>
        <v>0</v>
      </c>
      <c r="AD50">
        <f t="shared" si="33"/>
        <v>0</v>
      </c>
      <c r="AE50">
        <f t="shared" si="33"/>
        <v>0</v>
      </c>
      <c r="AF50">
        <f t="shared" si="33"/>
        <v>0</v>
      </c>
      <c r="AG50">
        <f t="shared" si="33"/>
        <v>0</v>
      </c>
      <c r="AH50">
        <f t="shared" si="33"/>
        <v>0</v>
      </c>
      <c r="AI50">
        <f t="shared" si="33"/>
        <v>0</v>
      </c>
      <c r="AJ50">
        <f t="shared" si="33"/>
        <v>0</v>
      </c>
      <c r="AK50">
        <f t="shared" si="33"/>
        <v>0</v>
      </c>
      <c r="AL50">
        <f t="shared" si="33"/>
        <v>0</v>
      </c>
      <c r="AM50">
        <f t="shared" si="33"/>
        <v>0</v>
      </c>
      <c r="AN50">
        <f t="shared" si="33"/>
        <v>0</v>
      </c>
      <c r="AO50">
        <f t="shared" si="33"/>
        <v>0</v>
      </c>
      <c r="AP50">
        <f t="shared" si="33"/>
        <v>0</v>
      </c>
      <c r="AQ50">
        <f t="shared" si="33"/>
        <v>0</v>
      </c>
      <c r="AR50">
        <f t="shared" si="33"/>
        <v>0</v>
      </c>
      <c r="AS50">
        <f t="shared" si="33"/>
        <v>0</v>
      </c>
      <c r="AT50">
        <f t="shared" si="33"/>
        <v>0</v>
      </c>
      <c r="AU50">
        <f t="shared" si="33"/>
        <v>0</v>
      </c>
      <c r="AV50">
        <f t="shared" si="33"/>
        <v>0</v>
      </c>
      <c r="AW50">
        <f t="shared" si="33"/>
        <v>0</v>
      </c>
      <c r="AX50">
        <f t="shared" si="33"/>
        <v>0</v>
      </c>
      <c r="AY50">
        <f t="shared" si="33"/>
        <v>0</v>
      </c>
      <c r="AZ50">
        <f t="shared" si="33"/>
        <v>0</v>
      </c>
      <c r="BA50">
        <f t="shared" si="33"/>
        <v>0</v>
      </c>
    </row>
    <row r="51" spans="1:53" ht="15.75" customHeight="1">
      <c r="A51" s="350">
        <v>1991</v>
      </c>
      <c r="B51" s="350"/>
      <c r="C51" s="350"/>
      <c r="D51" s="350"/>
      <c r="E51" s="350"/>
      <c r="F51" s="350"/>
      <c r="G51" s="350"/>
      <c r="H51" s="350"/>
      <c r="I51" s="350"/>
      <c r="J51" s="350"/>
      <c r="K51" s="350"/>
      <c r="L51" s="350"/>
      <c r="M51" s="350"/>
      <c r="N51" s="350"/>
      <c r="O51" s="350"/>
      <c r="P51" s="350"/>
      <c r="Q51" s="350"/>
      <c r="R51" s="350"/>
      <c r="S51" s="350"/>
      <c r="T51" s="350"/>
      <c r="U51" s="350"/>
      <c r="V51">
        <v>76.900000000000006</v>
      </c>
      <c r="W51">
        <f t="shared" si="22"/>
        <v>0</v>
      </c>
      <c r="X51">
        <f t="shared" ref="X51:BA51" si="34">IF(AND(X$39-$A51&gt;$V$27,SUM($W51:W51)&lt;&gt;$V51),$V51,0)</f>
        <v>0</v>
      </c>
      <c r="Y51">
        <f t="shared" si="34"/>
        <v>76.900000000000006</v>
      </c>
      <c r="Z51">
        <f t="shared" si="34"/>
        <v>0</v>
      </c>
      <c r="AA51">
        <f t="shared" si="34"/>
        <v>0</v>
      </c>
      <c r="AB51">
        <f t="shared" si="34"/>
        <v>0</v>
      </c>
      <c r="AC51">
        <f t="shared" si="34"/>
        <v>0</v>
      </c>
      <c r="AD51">
        <f t="shared" si="34"/>
        <v>0</v>
      </c>
      <c r="AE51">
        <f t="shared" si="34"/>
        <v>0</v>
      </c>
      <c r="AF51">
        <f t="shared" si="34"/>
        <v>0</v>
      </c>
      <c r="AG51">
        <f t="shared" si="34"/>
        <v>0</v>
      </c>
      <c r="AH51">
        <f t="shared" si="34"/>
        <v>0</v>
      </c>
      <c r="AI51">
        <f t="shared" si="34"/>
        <v>0</v>
      </c>
      <c r="AJ51">
        <f t="shared" si="34"/>
        <v>0</v>
      </c>
      <c r="AK51">
        <f t="shared" si="34"/>
        <v>0</v>
      </c>
      <c r="AL51">
        <f t="shared" si="34"/>
        <v>0</v>
      </c>
      <c r="AM51">
        <f t="shared" si="34"/>
        <v>0</v>
      </c>
      <c r="AN51">
        <f t="shared" si="34"/>
        <v>0</v>
      </c>
      <c r="AO51">
        <f t="shared" si="34"/>
        <v>0</v>
      </c>
      <c r="AP51">
        <f t="shared" si="34"/>
        <v>0</v>
      </c>
      <c r="AQ51">
        <f t="shared" si="34"/>
        <v>0</v>
      </c>
      <c r="AR51">
        <f t="shared" si="34"/>
        <v>0</v>
      </c>
      <c r="AS51">
        <f t="shared" si="34"/>
        <v>0</v>
      </c>
      <c r="AT51">
        <f t="shared" si="34"/>
        <v>0</v>
      </c>
      <c r="AU51">
        <f t="shared" si="34"/>
        <v>0</v>
      </c>
      <c r="AV51">
        <f t="shared" si="34"/>
        <v>0</v>
      </c>
      <c r="AW51">
        <f t="shared" si="34"/>
        <v>0</v>
      </c>
      <c r="AX51">
        <f t="shared" si="34"/>
        <v>0</v>
      </c>
      <c r="AY51">
        <f t="shared" si="34"/>
        <v>0</v>
      </c>
      <c r="AZ51">
        <f t="shared" si="34"/>
        <v>0</v>
      </c>
      <c r="BA51">
        <f t="shared" si="34"/>
        <v>0</v>
      </c>
    </row>
    <row r="52" spans="1:53" ht="15.75" customHeight="1">
      <c r="A52" s="350">
        <v>1992</v>
      </c>
      <c r="B52" s="350"/>
      <c r="C52" s="350"/>
      <c r="D52" s="350"/>
      <c r="E52" s="350"/>
      <c r="F52" s="350"/>
      <c r="G52" s="350"/>
      <c r="H52" s="350"/>
      <c r="I52" s="350"/>
      <c r="J52" s="350"/>
      <c r="K52" s="350"/>
      <c r="L52" s="350"/>
      <c r="M52" s="350"/>
      <c r="N52" s="350"/>
      <c r="O52" s="350"/>
      <c r="P52" s="350"/>
      <c r="Q52" s="350"/>
      <c r="R52" s="350"/>
      <c r="S52" s="350"/>
      <c r="T52" s="350"/>
      <c r="U52" s="350"/>
      <c r="V52">
        <v>6.5</v>
      </c>
      <c r="W52">
        <f t="shared" si="22"/>
        <v>0</v>
      </c>
      <c r="X52">
        <f t="shared" ref="X52:BA52" si="35">IF(AND(X$39-$A52&gt;$V$27,SUM($W52:W52)&lt;&gt;$V52),$V52,0)</f>
        <v>0</v>
      </c>
      <c r="Y52">
        <f t="shared" si="35"/>
        <v>0</v>
      </c>
      <c r="Z52">
        <f t="shared" si="35"/>
        <v>6.5</v>
      </c>
      <c r="AA52">
        <f t="shared" si="35"/>
        <v>0</v>
      </c>
      <c r="AB52">
        <f t="shared" si="35"/>
        <v>0</v>
      </c>
      <c r="AC52">
        <f t="shared" si="35"/>
        <v>0</v>
      </c>
      <c r="AD52">
        <f t="shared" si="35"/>
        <v>0</v>
      </c>
      <c r="AE52">
        <f t="shared" si="35"/>
        <v>0</v>
      </c>
      <c r="AF52">
        <f t="shared" si="35"/>
        <v>0</v>
      </c>
      <c r="AG52">
        <f t="shared" si="35"/>
        <v>0</v>
      </c>
      <c r="AH52">
        <f t="shared" si="35"/>
        <v>0</v>
      </c>
      <c r="AI52">
        <f t="shared" si="35"/>
        <v>0</v>
      </c>
      <c r="AJ52">
        <f t="shared" si="35"/>
        <v>0</v>
      </c>
      <c r="AK52">
        <f t="shared" si="35"/>
        <v>0</v>
      </c>
      <c r="AL52">
        <f t="shared" si="35"/>
        <v>0</v>
      </c>
      <c r="AM52">
        <f t="shared" si="35"/>
        <v>0</v>
      </c>
      <c r="AN52">
        <f t="shared" si="35"/>
        <v>0</v>
      </c>
      <c r="AO52">
        <f t="shared" si="35"/>
        <v>0</v>
      </c>
      <c r="AP52">
        <f t="shared" si="35"/>
        <v>0</v>
      </c>
      <c r="AQ52">
        <f t="shared" si="35"/>
        <v>0</v>
      </c>
      <c r="AR52">
        <f t="shared" si="35"/>
        <v>0</v>
      </c>
      <c r="AS52">
        <f t="shared" si="35"/>
        <v>0</v>
      </c>
      <c r="AT52">
        <f t="shared" si="35"/>
        <v>0</v>
      </c>
      <c r="AU52">
        <f t="shared" si="35"/>
        <v>0</v>
      </c>
      <c r="AV52">
        <f t="shared" si="35"/>
        <v>0</v>
      </c>
      <c r="AW52">
        <f t="shared" si="35"/>
        <v>0</v>
      </c>
      <c r="AX52">
        <f t="shared" si="35"/>
        <v>0</v>
      </c>
      <c r="AY52">
        <f t="shared" si="35"/>
        <v>0</v>
      </c>
      <c r="AZ52">
        <f t="shared" si="35"/>
        <v>0</v>
      </c>
      <c r="BA52">
        <f t="shared" si="35"/>
        <v>0</v>
      </c>
    </row>
    <row r="53" spans="1:53" ht="15.75" customHeight="1">
      <c r="A53" s="350">
        <v>1993</v>
      </c>
      <c r="B53" s="350"/>
      <c r="C53" s="350"/>
      <c r="D53" s="350"/>
      <c r="E53" s="350"/>
      <c r="F53" s="350"/>
      <c r="G53" s="350"/>
      <c r="H53" s="350"/>
      <c r="I53" s="350"/>
      <c r="J53" s="350"/>
      <c r="K53" s="350"/>
      <c r="L53" s="350"/>
      <c r="M53" s="350"/>
      <c r="N53" s="350"/>
      <c r="O53" s="350"/>
      <c r="P53" s="350"/>
      <c r="Q53" s="350"/>
      <c r="R53" s="350"/>
      <c r="S53" s="350"/>
      <c r="T53" s="350"/>
      <c r="U53" s="350"/>
      <c r="V53">
        <v>4.2</v>
      </c>
      <c r="W53">
        <f t="shared" si="22"/>
        <v>0</v>
      </c>
      <c r="X53">
        <f t="shared" ref="X53:BA53" si="36">IF(AND(X$39-$A53&gt;$V$27,SUM($W53:W53)&lt;&gt;$V53),$V53,0)</f>
        <v>0</v>
      </c>
      <c r="Y53">
        <f t="shared" si="36"/>
        <v>0</v>
      </c>
      <c r="Z53">
        <f t="shared" si="36"/>
        <v>0</v>
      </c>
      <c r="AA53">
        <f t="shared" si="36"/>
        <v>4.2</v>
      </c>
      <c r="AB53">
        <f t="shared" si="36"/>
        <v>0</v>
      </c>
      <c r="AC53">
        <f t="shared" si="36"/>
        <v>0</v>
      </c>
      <c r="AD53">
        <f t="shared" si="36"/>
        <v>0</v>
      </c>
      <c r="AE53">
        <f t="shared" si="36"/>
        <v>0</v>
      </c>
      <c r="AF53">
        <f t="shared" si="36"/>
        <v>0</v>
      </c>
      <c r="AG53">
        <f t="shared" si="36"/>
        <v>0</v>
      </c>
      <c r="AH53">
        <f t="shared" si="36"/>
        <v>0</v>
      </c>
      <c r="AI53">
        <f t="shared" si="36"/>
        <v>0</v>
      </c>
      <c r="AJ53">
        <f t="shared" si="36"/>
        <v>0</v>
      </c>
      <c r="AK53">
        <f t="shared" si="36"/>
        <v>0</v>
      </c>
      <c r="AL53">
        <f t="shared" si="36"/>
        <v>0</v>
      </c>
      <c r="AM53">
        <f t="shared" si="36"/>
        <v>0</v>
      </c>
      <c r="AN53">
        <f t="shared" si="36"/>
        <v>0</v>
      </c>
      <c r="AO53">
        <f t="shared" si="36"/>
        <v>0</v>
      </c>
      <c r="AP53">
        <f t="shared" si="36"/>
        <v>0</v>
      </c>
      <c r="AQ53">
        <f t="shared" si="36"/>
        <v>0</v>
      </c>
      <c r="AR53">
        <f t="shared" si="36"/>
        <v>0</v>
      </c>
      <c r="AS53">
        <f t="shared" si="36"/>
        <v>0</v>
      </c>
      <c r="AT53">
        <f t="shared" si="36"/>
        <v>0</v>
      </c>
      <c r="AU53">
        <f t="shared" si="36"/>
        <v>0</v>
      </c>
      <c r="AV53">
        <f t="shared" si="36"/>
        <v>0</v>
      </c>
      <c r="AW53">
        <f t="shared" si="36"/>
        <v>0</v>
      </c>
      <c r="AX53">
        <f t="shared" si="36"/>
        <v>0</v>
      </c>
      <c r="AY53">
        <f t="shared" si="36"/>
        <v>0</v>
      </c>
      <c r="AZ53">
        <f t="shared" si="36"/>
        <v>0</v>
      </c>
      <c r="BA53">
        <f t="shared" si="36"/>
        <v>0</v>
      </c>
    </row>
    <row r="54" spans="1:53" ht="15.75" customHeight="1">
      <c r="A54" s="350">
        <v>1994</v>
      </c>
      <c r="B54" s="350"/>
      <c r="C54" s="350"/>
      <c r="D54" s="350"/>
      <c r="E54" s="350"/>
      <c r="F54" s="350"/>
      <c r="G54" s="350"/>
      <c r="H54" s="350"/>
      <c r="I54" s="350"/>
      <c r="J54" s="350"/>
      <c r="K54" s="350"/>
      <c r="L54" s="350"/>
      <c r="M54" s="350"/>
      <c r="N54" s="350"/>
      <c r="O54" s="350"/>
      <c r="P54" s="350"/>
      <c r="Q54" s="350"/>
      <c r="R54" s="350"/>
      <c r="S54" s="350"/>
      <c r="T54" s="350"/>
      <c r="U54" s="350"/>
      <c r="V54">
        <v>68</v>
      </c>
      <c r="W54">
        <f t="shared" si="22"/>
        <v>0</v>
      </c>
      <c r="X54">
        <f t="shared" ref="X54:BA54" si="37">IF(AND(X$39-$A54&gt;$V$27,SUM($W54:W54)&lt;&gt;$V54),$V54,0)</f>
        <v>0</v>
      </c>
      <c r="Y54">
        <f t="shared" si="37"/>
        <v>0</v>
      </c>
      <c r="Z54">
        <f t="shared" si="37"/>
        <v>0</v>
      </c>
      <c r="AA54">
        <f t="shared" si="37"/>
        <v>0</v>
      </c>
      <c r="AB54">
        <f t="shared" si="37"/>
        <v>68</v>
      </c>
      <c r="AC54">
        <f t="shared" si="37"/>
        <v>0</v>
      </c>
      <c r="AD54">
        <f t="shared" si="37"/>
        <v>0</v>
      </c>
      <c r="AE54">
        <f t="shared" si="37"/>
        <v>0</v>
      </c>
      <c r="AF54">
        <f t="shared" si="37"/>
        <v>0</v>
      </c>
      <c r="AG54">
        <f t="shared" si="37"/>
        <v>0</v>
      </c>
      <c r="AH54">
        <f t="shared" si="37"/>
        <v>0</v>
      </c>
      <c r="AI54">
        <f t="shared" si="37"/>
        <v>0</v>
      </c>
      <c r="AJ54">
        <f t="shared" si="37"/>
        <v>0</v>
      </c>
      <c r="AK54">
        <f t="shared" si="37"/>
        <v>0</v>
      </c>
      <c r="AL54">
        <f t="shared" si="37"/>
        <v>0</v>
      </c>
      <c r="AM54">
        <f t="shared" si="37"/>
        <v>0</v>
      </c>
      <c r="AN54">
        <f t="shared" si="37"/>
        <v>0</v>
      </c>
      <c r="AO54">
        <f t="shared" si="37"/>
        <v>0</v>
      </c>
      <c r="AP54">
        <f t="shared" si="37"/>
        <v>0</v>
      </c>
      <c r="AQ54">
        <f t="shared" si="37"/>
        <v>0</v>
      </c>
      <c r="AR54">
        <f t="shared" si="37"/>
        <v>0</v>
      </c>
      <c r="AS54">
        <f t="shared" si="37"/>
        <v>0</v>
      </c>
      <c r="AT54">
        <f t="shared" si="37"/>
        <v>0</v>
      </c>
      <c r="AU54">
        <f t="shared" si="37"/>
        <v>0</v>
      </c>
      <c r="AV54">
        <f t="shared" si="37"/>
        <v>0</v>
      </c>
      <c r="AW54">
        <f t="shared" si="37"/>
        <v>0</v>
      </c>
      <c r="AX54">
        <f t="shared" si="37"/>
        <v>0</v>
      </c>
      <c r="AY54">
        <f t="shared" si="37"/>
        <v>0</v>
      </c>
      <c r="AZ54">
        <f t="shared" si="37"/>
        <v>0</v>
      </c>
      <c r="BA54">
        <f t="shared" si="37"/>
        <v>0</v>
      </c>
    </row>
    <row r="55" spans="1:53" ht="15.75" customHeight="1">
      <c r="A55" s="350">
        <v>1997</v>
      </c>
      <c r="B55" s="350"/>
      <c r="C55" s="350"/>
      <c r="D55" s="350"/>
      <c r="E55" s="350"/>
      <c r="F55" s="350"/>
      <c r="G55" s="350"/>
      <c r="H55" s="350"/>
      <c r="I55" s="350"/>
      <c r="J55" s="350"/>
      <c r="K55" s="350"/>
      <c r="L55" s="350"/>
      <c r="M55" s="350"/>
      <c r="N55" s="350"/>
      <c r="O55" s="350"/>
      <c r="P55" s="350"/>
      <c r="Q55" s="350"/>
      <c r="R55" s="350"/>
      <c r="S55" s="350"/>
      <c r="T55" s="350"/>
      <c r="U55" s="350"/>
      <c r="V55">
        <v>18.8</v>
      </c>
      <c r="W55">
        <f t="shared" si="22"/>
        <v>0</v>
      </c>
      <c r="X55">
        <f t="shared" ref="X55:BA55" si="38">IF(AND(X$39-$A55&gt;$V$27,SUM($W55:W55)&lt;&gt;$V55),$V55,0)</f>
        <v>0</v>
      </c>
      <c r="Y55">
        <f t="shared" si="38"/>
        <v>0</v>
      </c>
      <c r="Z55">
        <f t="shared" si="38"/>
        <v>0</v>
      </c>
      <c r="AA55">
        <f t="shared" si="38"/>
        <v>0</v>
      </c>
      <c r="AB55">
        <f t="shared" si="38"/>
        <v>0</v>
      </c>
      <c r="AC55">
        <f t="shared" si="38"/>
        <v>0</v>
      </c>
      <c r="AD55">
        <f t="shared" si="38"/>
        <v>0</v>
      </c>
      <c r="AE55">
        <f t="shared" si="38"/>
        <v>18.8</v>
      </c>
      <c r="AF55">
        <f t="shared" si="38"/>
        <v>0</v>
      </c>
      <c r="AG55">
        <f t="shared" si="38"/>
        <v>0</v>
      </c>
      <c r="AH55">
        <f t="shared" si="38"/>
        <v>0</v>
      </c>
      <c r="AI55">
        <f t="shared" si="38"/>
        <v>0</v>
      </c>
      <c r="AJ55">
        <f t="shared" si="38"/>
        <v>0</v>
      </c>
      <c r="AK55">
        <f t="shared" si="38"/>
        <v>0</v>
      </c>
      <c r="AL55">
        <f t="shared" si="38"/>
        <v>0</v>
      </c>
      <c r="AM55">
        <f t="shared" si="38"/>
        <v>0</v>
      </c>
      <c r="AN55">
        <f t="shared" si="38"/>
        <v>0</v>
      </c>
      <c r="AO55">
        <f t="shared" si="38"/>
        <v>0</v>
      </c>
      <c r="AP55">
        <f t="shared" si="38"/>
        <v>0</v>
      </c>
      <c r="AQ55">
        <f t="shared" si="38"/>
        <v>0</v>
      </c>
      <c r="AR55">
        <f t="shared" si="38"/>
        <v>0</v>
      </c>
      <c r="AS55">
        <f t="shared" si="38"/>
        <v>0</v>
      </c>
      <c r="AT55">
        <f t="shared" si="38"/>
        <v>0</v>
      </c>
      <c r="AU55">
        <f t="shared" si="38"/>
        <v>0</v>
      </c>
      <c r="AV55">
        <f t="shared" si="38"/>
        <v>0</v>
      </c>
      <c r="AW55">
        <f t="shared" si="38"/>
        <v>0</v>
      </c>
      <c r="AX55">
        <f t="shared" si="38"/>
        <v>0</v>
      </c>
      <c r="AY55">
        <f t="shared" si="38"/>
        <v>0</v>
      </c>
      <c r="AZ55">
        <f t="shared" si="38"/>
        <v>0</v>
      </c>
      <c r="BA55">
        <f t="shared" si="38"/>
        <v>0</v>
      </c>
    </row>
    <row r="56" spans="1:53" ht="15.75" customHeight="1">
      <c r="A56" s="350">
        <v>1998</v>
      </c>
      <c r="B56" s="350"/>
      <c r="C56" s="350"/>
      <c r="D56" s="350"/>
      <c r="E56" s="350"/>
      <c r="F56" s="350"/>
      <c r="G56" s="350"/>
      <c r="H56" s="350"/>
      <c r="I56" s="350"/>
      <c r="J56" s="350"/>
      <c r="K56" s="350"/>
      <c r="L56" s="350"/>
      <c r="M56" s="350"/>
      <c r="N56" s="350"/>
      <c r="O56" s="350"/>
      <c r="P56" s="350"/>
      <c r="Q56" s="350"/>
      <c r="R56" s="350"/>
      <c r="S56" s="350"/>
      <c r="T56" s="350"/>
      <c r="U56" s="350"/>
      <c r="V56">
        <v>170.59999999999997</v>
      </c>
      <c r="W56">
        <f t="shared" si="22"/>
        <v>0</v>
      </c>
      <c r="X56">
        <f t="shared" ref="X56:BA56" si="39">IF(AND(X$39-$A56&gt;$V$27,SUM($W56:W56)&lt;&gt;$V56),$V56,0)</f>
        <v>0</v>
      </c>
      <c r="Y56">
        <f t="shared" si="39"/>
        <v>0</v>
      </c>
      <c r="Z56">
        <f t="shared" si="39"/>
        <v>0</v>
      </c>
      <c r="AA56">
        <f t="shared" si="39"/>
        <v>0</v>
      </c>
      <c r="AB56">
        <f t="shared" si="39"/>
        <v>0</v>
      </c>
      <c r="AC56">
        <f t="shared" si="39"/>
        <v>0</v>
      </c>
      <c r="AD56">
        <f t="shared" si="39"/>
        <v>0</v>
      </c>
      <c r="AE56">
        <f t="shared" si="39"/>
        <v>0</v>
      </c>
      <c r="AF56">
        <f t="shared" si="39"/>
        <v>170.59999999999997</v>
      </c>
      <c r="AG56">
        <f t="shared" si="39"/>
        <v>0</v>
      </c>
      <c r="AH56">
        <f t="shared" si="39"/>
        <v>0</v>
      </c>
      <c r="AI56">
        <f t="shared" si="39"/>
        <v>0</v>
      </c>
      <c r="AJ56">
        <f t="shared" si="39"/>
        <v>0</v>
      </c>
      <c r="AK56">
        <f t="shared" si="39"/>
        <v>0</v>
      </c>
      <c r="AL56">
        <f t="shared" si="39"/>
        <v>0</v>
      </c>
      <c r="AM56">
        <f t="shared" si="39"/>
        <v>0</v>
      </c>
      <c r="AN56">
        <f t="shared" si="39"/>
        <v>0</v>
      </c>
      <c r="AO56">
        <f t="shared" si="39"/>
        <v>0</v>
      </c>
      <c r="AP56">
        <f t="shared" si="39"/>
        <v>0</v>
      </c>
      <c r="AQ56">
        <f t="shared" si="39"/>
        <v>0</v>
      </c>
      <c r="AR56">
        <f t="shared" si="39"/>
        <v>0</v>
      </c>
      <c r="AS56">
        <f t="shared" si="39"/>
        <v>0</v>
      </c>
      <c r="AT56">
        <f t="shared" si="39"/>
        <v>0</v>
      </c>
      <c r="AU56">
        <f t="shared" si="39"/>
        <v>0</v>
      </c>
      <c r="AV56">
        <f t="shared" si="39"/>
        <v>0</v>
      </c>
      <c r="AW56">
        <f t="shared" si="39"/>
        <v>0</v>
      </c>
      <c r="AX56">
        <f t="shared" si="39"/>
        <v>0</v>
      </c>
      <c r="AY56">
        <f t="shared" si="39"/>
        <v>0</v>
      </c>
      <c r="AZ56">
        <f t="shared" si="39"/>
        <v>0</v>
      </c>
      <c r="BA56">
        <f t="shared" si="39"/>
        <v>0</v>
      </c>
    </row>
    <row r="57" spans="1:53" ht="15.75" customHeight="1">
      <c r="A57" s="350">
        <v>1999</v>
      </c>
      <c r="B57" s="350"/>
      <c r="C57" s="350"/>
      <c r="D57" s="350"/>
      <c r="E57" s="350"/>
      <c r="F57" s="350"/>
      <c r="G57" s="350"/>
      <c r="H57" s="350"/>
      <c r="I57" s="350"/>
      <c r="J57" s="350"/>
      <c r="K57" s="350"/>
      <c r="L57" s="350"/>
      <c r="M57" s="350"/>
      <c r="N57" s="350"/>
      <c r="O57" s="350"/>
      <c r="P57" s="350"/>
      <c r="Q57" s="350"/>
      <c r="R57" s="350"/>
      <c r="S57" s="350"/>
      <c r="T57" s="350"/>
      <c r="U57" s="350"/>
      <c r="V57">
        <v>626.80000000000041</v>
      </c>
      <c r="W57">
        <f t="shared" si="22"/>
        <v>0</v>
      </c>
      <c r="X57">
        <f t="shared" ref="X57:BA57" si="40">IF(AND(X$39-$A57&gt;$V$27,SUM($W57:W57)&lt;&gt;$V57),$V57,0)</f>
        <v>0</v>
      </c>
      <c r="Y57">
        <f t="shared" si="40"/>
        <v>0</v>
      </c>
      <c r="Z57">
        <f t="shared" si="40"/>
        <v>0</v>
      </c>
      <c r="AA57">
        <f t="shared" si="40"/>
        <v>0</v>
      </c>
      <c r="AB57">
        <f t="shared" si="40"/>
        <v>0</v>
      </c>
      <c r="AC57">
        <f t="shared" si="40"/>
        <v>0</v>
      </c>
      <c r="AD57">
        <f t="shared" si="40"/>
        <v>0</v>
      </c>
      <c r="AE57">
        <f t="shared" si="40"/>
        <v>0</v>
      </c>
      <c r="AF57">
        <f t="shared" si="40"/>
        <v>0</v>
      </c>
      <c r="AG57">
        <f t="shared" si="40"/>
        <v>626.80000000000041</v>
      </c>
      <c r="AH57">
        <f t="shared" si="40"/>
        <v>0</v>
      </c>
      <c r="AI57">
        <f t="shared" si="40"/>
        <v>0</v>
      </c>
      <c r="AJ57">
        <f t="shared" si="40"/>
        <v>0</v>
      </c>
      <c r="AK57">
        <f t="shared" si="40"/>
        <v>0</v>
      </c>
      <c r="AL57">
        <f t="shared" si="40"/>
        <v>0</v>
      </c>
      <c r="AM57">
        <f t="shared" si="40"/>
        <v>0</v>
      </c>
      <c r="AN57">
        <f t="shared" si="40"/>
        <v>0</v>
      </c>
      <c r="AO57">
        <f t="shared" si="40"/>
        <v>0</v>
      </c>
      <c r="AP57">
        <f t="shared" si="40"/>
        <v>0</v>
      </c>
      <c r="AQ57">
        <f t="shared" si="40"/>
        <v>0</v>
      </c>
      <c r="AR57">
        <f t="shared" si="40"/>
        <v>0</v>
      </c>
      <c r="AS57">
        <f t="shared" si="40"/>
        <v>0</v>
      </c>
      <c r="AT57">
        <f t="shared" si="40"/>
        <v>0</v>
      </c>
      <c r="AU57">
        <f t="shared" si="40"/>
        <v>0</v>
      </c>
      <c r="AV57">
        <f t="shared" si="40"/>
        <v>0</v>
      </c>
      <c r="AW57">
        <f t="shared" si="40"/>
        <v>0</v>
      </c>
      <c r="AX57">
        <f t="shared" si="40"/>
        <v>0</v>
      </c>
      <c r="AY57">
        <f t="shared" si="40"/>
        <v>0</v>
      </c>
      <c r="AZ57">
        <f t="shared" si="40"/>
        <v>0</v>
      </c>
      <c r="BA57">
        <f t="shared" si="40"/>
        <v>0</v>
      </c>
    </row>
    <row r="58" spans="1:53" ht="15.75" customHeight="1">
      <c r="A58" s="350">
        <v>2000</v>
      </c>
      <c r="B58" s="350"/>
      <c r="C58" s="350"/>
      <c r="D58" s="350"/>
      <c r="E58" s="350"/>
      <c r="F58" s="350"/>
      <c r="G58" s="350"/>
      <c r="H58" s="350"/>
      <c r="I58" s="350"/>
      <c r="J58" s="350"/>
      <c r="K58" s="350"/>
      <c r="L58" s="350"/>
      <c r="M58" s="350"/>
      <c r="N58" s="350"/>
      <c r="O58" s="350"/>
      <c r="P58" s="350"/>
      <c r="Q58" s="350"/>
      <c r="R58" s="350"/>
      <c r="S58" s="350"/>
      <c r="T58" s="350"/>
      <c r="U58" s="350"/>
      <c r="V58">
        <v>39.400000000000013</v>
      </c>
      <c r="W58">
        <f t="shared" si="22"/>
        <v>0</v>
      </c>
      <c r="X58">
        <f t="shared" ref="X58:BA58" si="41">IF(AND(X$39-$A58&gt;$V$27,SUM($W58:W58)&lt;&gt;$V58),$V58,0)</f>
        <v>0</v>
      </c>
      <c r="Y58">
        <f t="shared" si="41"/>
        <v>0</v>
      </c>
      <c r="Z58">
        <f t="shared" si="41"/>
        <v>0</v>
      </c>
      <c r="AA58">
        <f t="shared" si="41"/>
        <v>0</v>
      </c>
      <c r="AB58">
        <f t="shared" si="41"/>
        <v>0</v>
      </c>
      <c r="AC58">
        <f t="shared" si="41"/>
        <v>0</v>
      </c>
      <c r="AD58">
        <f t="shared" si="41"/>
        <v>0</v>
      </c>
      <c r="AE58">
        <f t="shared" si="41"/>
        <v>0</v>
      </c>
      <c r="AF58">
        <f t="shared" si="41"/>
        <v>0</v>
      </c>
      <c r="AG58">
        <f t="shared" si="41"/>
        <v>0</v>
      </c>
      <c r="AH58">
        <f t="shared" si="41"/>
        <v>39.400000000000013</v>
      </c>
      <c r="AI58">
        <f t="shared" si="41"/>
        <v>0</v>
      </c>
      <c r="AJ58">
        <f t="shared" si="41"/>
        <v>0</v>
      </c>
      <c r="AK58">
        <f t="shared" si="41"/>
        <v>0</v>
      </c>
      <c r="AL58">
        <f t="shared" si="41"/>
        <v>0</v>
      </c>
      <c r="AM58">
        <f t="shared" si="41"/>
        <v>0</v>
      </c>
      <c r="AN58">
        <f t="shared" si="41"/>
        <v>0</v>
      </c>
      <c r="AO58">
        <f t="shared" si="41"/>
        <v>0</v>
      </c>
      <c r="AP58">
        <f t="shared" si="41"/>
        <v>0</v>
      </c>
      <c r="AQ58">
        <f t="shared" si="41"/>
        <v>0</v>
      </c>
      <c r="AR58">
        <f t="shared" si="41"/>
        <v>0</v>
      </c>
      <c r="AS58">
        <f t="shared" si="41"/>
        <v>0</v>
      </c>
      <c r="AT58">
        <f t="shared" si="41"/>
        <v>0</v>
      </c>
      <c r="AU58">
        <f t="shared" si="41"/>
        <v>0</v>
      </c>
      <c r="AV58">
        <f t="shared" si="41"/>
        <v>0</v>
      </c>
      <c r="AW58">
        <f t="shared" si="41"/>
        <v>0</v>
      </c>
      <c r="AX58">
        <f t="shared" si="41"/>
        <v>0</v>
      </c>
      <c r="AY58">
        <f t="shared" si="41"/>
        <v>0</v>
      </c>
      <c r="AZ58">
        <f t="shared" si="41"/>
        <v>0</v>
      </c>
      <c r="BA58">
        <f t="shared" si="41"/>
        <v>0</v>
      </c>
    </row>
    <row r="59" spans="1:53" ht="15.75" customHeight="1">
      <c r="A59" s="350">
        <v>2001</v>
      </c>
      <c r="B59" s="350"/>
      <c r="C59" s="350"/>
      <c r="D59" s="350"/>
      <c r="E59" s="350"/>
      <c r="F59" s="350"/>
      <c r="G59" s="350"/>
      <c r="H59" s="350"/>
      <c r="I59" s="350"/>
      <c r="J59" s="350"/>
      <c r="K59" s="350"/>
      <c r="L59" s="350"/>
      <c r="M59" s="350"/>
      <c r="N59" s="350"/>
      <c r="O59" s="350"/>
      <c r="P59" s="350"/>
      <c r="Q59" s="350"/>
      <c r="R59" s="350"/>
      <c r="S59" s="350"/>
      <c r="T59" s="350"/>
      <c r="U59" s="350"/>
      <c r="V59">
        <v>1504.8000000000013</v>
      </c>
      <c r="W59">
        <f t="shared" si="22"/>
        <v>0</v>
      </c>
      <c r="X59">
        <f t="shared" ref="X59:BA59" si="42">IF(AND(X$39-$A59&gt;$V$27,SUM($W59:W59)&lt;&gt;$V59),$V59,0)</f>
        <v>0</v>
      </c>
      <c r="Y59">
        <f t="shared" si="42"/>
        <v>0</v>
      </c>
      <c r="Z59">
        <f t="shared" si="42"/>
        <v>0</v>
      </c>
      <c r="AA59">
        <f t="shared" si="42"/>
        <v>0</v>
      </c>
      <c r="AB59">
        <f t="shared" si="42"/>
        <v>0</v>
      </c>
      <c r="AC59">
        <f t="shared" si="42"/>
        <v>0</v>
      </c>
      <c r="AD59">
        <f t="shared" si="42"/>
        <v>0</v>
      </c>
      <c r="AE59">
        <f t="shared" si="42"/>
        <v>0</v>
      </c>
      <c r="AF59">
        <f t="shared" si="42"/>
        <v>0</v>
      </c>
      <c r="AG59">
        <f t="shared" si="42"/>
        <v>0</v>
      </c>
      <c r="AH59">
        <f t="shared" si="42"/>
        <v>0</v>
      </c>
      <c r="AI59">
        <f t="shared" si="42"/>
        <v>1504.8000000000013</v>
      </c>
      <c r="AJ59">
        <f t="shared" si="42"/>
        <v>0</v>
      </c>
      <c r="AK59">
        <f t="shared" si="42"/>
        <v>0</v>
      </c>
      <c r="AL59">
        <f t="shared" si="42"/>
        <v>0</v>
      </c>
      <c r="AM59">
        <f t="shared" si="42"/>
        <v>0</v>
      </c>
      <c r="AN59">
        <f t="shared" si="42"/>
        <v>0</v>
      </c>
      <c r="AO59">
        <f t="shared" si="42"/>
        <v>0</v>
      </c>
      <c r="AP59">
        <f t="shared" si="42"/>
        <v>0</v>
      </c>
      <c r="AQ59">
        <f t="shared" si="42"/>
        <v>0</v>
      </c>
      <c r="AR59">
        <f t="shared" si="42"/>
        <v>0</v>
      </c>
      <c r="AS59">
        <f t="shared" si="42"/>
        <v>0</v>
      </c>
      <c r="AT59">
        <f t="shared" si="42"/>
        <v>0</v>
      </c>
      <c r="AU59">
        <f t="shared" si="42"/>
        <v>0</v>
      </c>
      <c r="AV59">
        <f t="shared" si="42"/>
        <v>0</v>
      </c>
      <c r="AW59">
        <f t="shared" si="42"/>
        <v>0</v>
      </c>
      <c r="AX59">
        <f t="shared" si="42"/>
        <v>0</v>
      </c>
      <c r="AY59">
        <f t="shared" si="42"/>
        <v>0</v>
      </c>
      <c r="AZ59">
        <f t="shared" si="42"/>
        <v>0</v>
      </c>
      <c r="BA59">
        <f t="shared" si="42"/>
        <v>0</v>
      </c>
    </row>
    <row r="60" spans="1:53" ht="15.75" customHeight="1">
      <c r="A60" s="350">
        <v>2002</v>
      </c>
      <c r="B60" s="350"/>
      <c r="C60" s="350"/>
      <c r="D60" s="350"/>
      <c r="E60" s="350"/>
      <c r="F60" s="350"/>
      <c r="G60" s="350"/>
      <c r="H60" s="350"/>
      <c r="I60" s="350"/>
      <c r="J60" s="350"/>
      <c r="K60" s="350"/>
      <c r="L60" s="350"/>
      <c r="M60" s="350"/>
      <c r="N60" s="350"/>
      <c r="O60" s="350"/>
      <c r="P60" s="350"/>
      <c r="Q60" s="350"/>
      <c r="R60" s="350"/>
      <c r="S60" s="350"/>
      <c r="T60" s="350"/>
      <c r="U60" s="350"/>
      <c r="V60">
        <v>620.89999999999986</v>
      </c>
      <c r="W60">
        <f t="shared" si="22"/>
        <v>0</v>
      </c>
      <c r="X60">
        <f t="shared" ref="X60:BA60" si="43">IF(AND(X$39-$A60&gt;$V$27,SUM($W60:W60)&lt;&gt;$V60),$V60,0)</f>
        <v>0</v>
      </c>
      <c r="Y60">
        <f t="shared" si="43"/>
        <v>0</v>
      </c>
      <c r="Z60">
        <f t="shared" si="43"/>
        <v>0</v>
      </c>
      <c r="AA60">
        <f t="shared" si="43"/>
        <v>0</v>
      </c>
      <c r="AB60">
        <f t="shared" si="43"/>
        <v>0</v>
      </c>
      <c r="AC60">
        <f t="shared" si="43"/>
        <v>0</v>
      </c>
      <c r="AD60">
        <f t="shared" si="43"/>
        <v>0</v>
      </c>
      <c r="AE60">
        <f t="shared" si="43"/>
        <v>0</v>
      </c>
      <c r="AF60">
        <f t="shared" si="43"/>
        <v>0</v>
      </c>
      <c r="AG60">
        <f t="shared" si="43"/>
        <v>0</v>
      </c>
      <c r="AH60">
        <f t="shared" si="43"/>
        <v>0</v>
      </c>
      <c r="AI60">
        <f t="shared" si="43"/>
        <v>0</v>
      </c>
      <c r="AJ60">
        <f t="shared" si="43"/>
        <v>620.89999999999986</v>
      </c>
      <c r="AK60">
        <f t="shared" si="43"/>
        <v>0</v>
      </c>
      <c r="AL60">
        <f t="shared" si="43"/>
        <v>0</v>
      </c>
      <c r="AM60">
        <f t="shared" si="43"/>
        <v>0</v>
      </c>
      <c r="AN60">
        <f t="shared" si="43"/>
        <v>0</v>
      </c>
      <c r="AO60">
        <f t="shared" si="43"/>
        <v>0</v>
      </c>
      <c r="AP60">
        <f t="shared" si="43"/>
        <v>0</v>
      </c>
      <c r="AQ60">
        <f t="shared" si="43"/>
        <v>0</v>
      </c>
      <c r="AR60">
        <f t="shared" si="43"/>
        <v>0</v>
      </c>
      <c r="AS60">
        <f t="shared" si="43"/>
        <v>0</v>
      </c>
      <c r="AT60">
        <f t="shared" si="43"/>
        <v>0</v>
      </c>
      <c r="AU60">
        <f t="shared" si="43"/>
        <v>0</v>
      </c>
      <c r="AV60">
        <f t="shared" si="43"/>
        <v>0</v>
      </c>
      <c r="AW60">
        <f t="shared" si="43"/>
        <v>0</v>
      </c>
      <c r="AX60">
        <f t="shared" si="43"/>
        <v>0</v>
      </c>
      <c r="AY60">
        <f t="shared" si="43"/>
        <v>0</v>
      </c>
      <c r="AZ60">
        <f t="shared" si="43"/>
        <v>0</v>
      </c>
      <c r="BA60">
        <f t="shared" si="43"/>
        <v>0</v>
      </c>
    </row>
    <row r="61" spans="1:53" ht="15.75" customHeight="1">
      <c r="A61" s="350">
        <v>2003</v>
      </c>
      <c r="B61" s="350"/>
      <c r="C61" s="350"/>
      <c r="D61" s="350"/>
      <c r="E61" s="350"/>
      <c r="F61" s="350"/>
      <c r="G61" s="350"/>
      <c r="H61" s="350"/>
      <c r="I61" s="350"/>
      <c r="J61" s="350"/>
      <c r="K61" s="350"/>
      <c r="L61" s="350"/>
      <c r="M61" s="350"/>
      <c r="N61" s="350"/>
      <c r="O61" s="350"/>
      <c r="P61" s="350"/>
      <c r="Q61" s="350"/>
      <c r="R61" s="350"/>
      <c r="S61" s="350"/>
      <c r="T61" s="350"/>
      <c r="U61" s="350"/>
      <c r="V61">
        <v>1609.8</v>
      </c>
      <c r="W61">
        <f t="shared" si="22"/>
        <v>0</v>
      </c>
      <c r="X61">
        <f t="shared" ref="X61:BA61" si="44">IF(AND(X$39-$A61&gt;$V$27,SUM($W61:W61)&lt;&gt;$V61),$V61,0)</f>
        <v>0</v>
      </c>
      <c r="Y61">
        <f t="shared" si="44"/>
        <v>0</v>
      </c>
      <c r="Z61">
        <f t="shared" si="44"/>
        <v>0</v>
      </c>
      <c r="AA61">
        <f t="shared" si="44"/>
        <v>0</v>
      </c>
      <c r="AB61">
        <f t="shared" si="44"/>
        <v>0</v>
      </c>
      <c r="AC61">
        <f t="shared" si="44"/>
        <v>0</v>
      </c>
      <c r="AD61">
        <f t="shared" si="44"/>
        <v>0</v>
      </c>
      <c r="AE61">
        <f t="shared" si="44"/>
        <v>0</v>
      </c>
      <c r="AF61">
        <f t="shared" si="44"/>
        <v>0</v>
      </c>
      <c r="AG61">
        <f t="shared" si="44"/>
        <v>0</v>
      </c>
      <c r="AH61">
        <f t="shared" si="44"/>
        <v>0</v>
      </c>
      <c r="AI61">
        <f t="shared" si="44"/>
        <v>0</v>
      </c>
      <c r="AJ61">
        <f t="shared" si="44"/>
        <v>0</v>
      </c>
      <c r="AK61">
        <f t="shared" si="44"/>
        <v>1609.8</v>
      </c>
      <c r="AL61">
        <f t="shared" si="44"/>
        <v>0</v>
      </c>
      <c r="AM61">
        <f t="shared" si="44"/>
        <v>0</v>
      </c>
      <c r="AN61">
        <f t="shared" si="44"/>
        <v>0</v>
      </c>
      <c r="AO61">
        <f t="shared" si="44"/>
        <v>0</v>
      </c>
      <c r="AP61">
        <f t="shared" si="44"/>
        <v>0</v>
      </c>
      <c r="AQ61">
        <f t="shared" si="44"/>
        <v>0</v>
      </c>
      <c r="AR61">
        <f t="shared" si="44"/>
        <v>0</v>
      </c>
      <c r="AS61">
        <f t="shared" si="44"/>
        <v>0</v>
      </c>
      <c r="AT61">
        <f t="shared" si="44"/>
        <v>0</v>
      </c>
      <c r="AU61">
        <f t="shared" si="44"/>
        <v>0</v>
      </c>
      <c r="AV61">
        <f t="shared" si="44"/>
        <v>0</v>
      </c>
      <c r="AW61">
        <f t="shared" si="44"/>
        <v>0</v>
      </c>
      <c r="AX61">
        <f t="shared" si="44"/>
        <v>0</v>
      </c>
      <c r="AY61">
        <f t="shared" si="44"/>
        <v>0</v>
      </c>
      <c r="AZ61">
        <f t="shared" si="44"/>
        <v>0</v>
      </c>
      <c r="BA61">
        <f t="shared" si="44"/>
        <v>0</v>
      </c>
    </row>
    <row r="62" spans="1:53" ht="15.75" customHeight="1">
      <c r="A62" s="350">
        <v>2004</v>
      </c>
      <c r="B62" s="350"/>
      <c r="C62" s="350"/>
      <c r="D62" s="350"/>
      <c r="E62" s="350"/>
      <c r="F62" s="350"/>
      <c r="G62" s="350"/>
      <c r="H62" s="350"/>
      <c r="I62" s="350"/>
      <c r="J62" s="350"/>
      <c r="K62" s="350"/>
      <c r="L62" s="350"/>
      <c r="M62" s="350"/>
      <c r="N62" s="350"/>
      <c r="O62" s="350"/>
      <c r="P62" s="350"/>
      <c r="Q62" s="350"/>
      <c r="R62" s="350"/>
      <c r="S62" s="350"/>
      <c r="T62" s="350"/>
      <c r="U62" s="350"/>
      <c r="V62">
        <v>377.20000000000005</v>
      </c>
      <c r="W62">
        <f t="shared" si="22"/>
        <v>0</v>
      </c>
      <c r="X62">
        <f t="shared" ref="X62:BA62" si="45">IF(AND(X$39-$A62&gt;$V$27,SUM($W62:W62)&lt;&gt;$V62),$V62,0)</f>
        <v>0</v>
      </c>
      <c r="Y62">
        <f t="shared" si="45"/>
        <v>0</v>
      </c>
      <c r="Z62">
        <f t="shared" si="45"/>
        <v>0</v>
      </c>
      <c r="AA62">
        <f t="shared" si="45"/>
        <v>0</v>
      </c>
      <c r="AB62">
        <f t="shared" si="45"/>
        <v>0</v>
      </c>
      <c r="AC62">
        <f t="shared" si="45"/>
        <v>0</v>
      </c>
      <c r="AD62">
        <f t="shared" si="45"/>
        <v>0</v>
      </c>
      <c r="AE62">
        <f t="shared" si="45"/>
        <v>0</v>
      </c>
      <c r="AF62">
        <f t="shared" si="45"/>
        <v>0</v>
      </c>
      <c r="AG62">
        <f t="shared" si="45"/>
        <v>0</v>
      </c>
      <c r="AH62">
        <f t="shared" si="45"/>
        <v>0</v>
      </c>
      <c r="AI62">
        <f t="shared" si="45"/>
        <v>0</v>
      </c>
      <c r="AJ62">
        <f t="shared" si="45"/>
        <v>0</v>
      </c>
      <c r="AK62">
        <f t="shared" si="45"/>
        <v>0</v>
      </c>
      <c r="AL62">
        <f t="shared" si="45"/>
        <v>377.20000000000005</v>
      </c>
      <c r="AM62">
        <f t="shared" si="45"/>
        <v>0</v>
      </c>
      <c r="AN62">
        <f t="shared" si="45"/>
        <v>0</v>
      </c>
      <c r="AO62">
        <f t="shared" si="45"/>
        <v>0</v>
      </c>
      <c r="AP62">
        <f t="shared" si="45"/>
        <v>0</v>
      </c>
      <c r="AQ62">
        <f t="shared" si="45"/>
        <v>0</v>
      </c>
      <c r="AR62">
        <f t="shared" si="45"/>
        <v>0</v>
      </c>
      <c r="AS62">
        <f t="shared" si="45"/>
        <v>0</v>
      </c>
      <c r="AT62">
        <f t="shared" si="45"/>
        <v>0</v>
      </c>
      <c r="AU62">
        <f t="shared" si="45"/>
        <v>0</v>
      </c>
      <c r="AV62">
        <f t="shared" si="45"/>
        <v>0</v>
      </c>
      <c r="AW62">
        <f t="shared" si="45"/>
        <v>0</v>
      </c>
      <c r="AX62">
        <f t="shared" si="45"/>
        <v>0</v>
      </c>
      <c r="AY62">
        <f t="shared" si="45"/>
        <v>0</v>
      </c>
      <c r="AZ62">
        <f t="shared" si="45"/>
        <v>0</v>
      </c>
      <c r="BA62">
        <f t="shared" si="45"/>
        <v>0</v>
      </c>
    </row>
    <row r="63" spans="1:53" ht="15.75" customHeight="1">
      <c r="A63" s="350">
        <v>2005</v>
      </c>
      <c r="B63" s="350"/>
      <c r="C63" s="350"/>
      <c r="D63" s="350"/>
      <c r="E63" s="350"/>
      <c r="F63" s="350"/>
      <c r="G63" s="350"/>
      <c r="H63" s="350"/>
      <c r="I63" s="350"/>
      <c r="J63" s="350"/>
      <c r="K63" s="350"/>
      <c r="L63" s="350"/>
      <c r="M63" s="350"/>
      <c r="N63" s="350"/>
      <c r="O63" s="350"/>
      <c r="P63" s="350"/>
      <c r="Q63" s="350"/>
      <c r="R63" s="350"/>
      <c r="S63" s="350"/>
      <c r="T63" s="350"/>
      <c r="U63" s="350"/>
      <c r="V63">
        <v>2136.7000000000003</v>
      </c>
      <c r="W63">
        <f t="shared" si="22"/>
        <v>0</v>
      </c>
      <c r="X63">
        <f t="shared" ref="X63:BA63" si="46">IF(AND(X$39-$A63&gt;$V$27,SUM($W63:W63)&lt;&gt;$V63),$V63,0)</f>
        <v>0</v>
      </c>
      <c r="Y63">
        <f t="shared" si="46"/>
        <v>0</v>
      </c>
      <c r="Z63">
        <f t="shared" si="46"/>
        <v>0</v>
      </c>
      <c r="AA63">
        <f t="shared" si="46"/>
        <v>0</v>
      </c>
      <c r="AB63">
        <f t="shared" si="46"/>
        <v>0</v>
      </c>
      <c r="AC63">
        <f t="shared" si="46"/>
        <v>0</v>
      </c>
      <c r="AD63">
        <f t="shared" si="46"/>
        <v>0</v>
      </c>
      <c r="AE63">
        <f t="shared" si="46"/>
        <v>0</v>
      </c>
      <c r="AF63">
        <f t="shared" si="46"/>
        <v>0</v>
      </c>
      <c r="AG63">
        <f t="shared" si="46"/>
        <v>0</v>
      </c>
      <c r="AH63">
        <f t="shared" si="46"/>
        <v>0</v>
      </c>
      <c r="AI63">
        <f t="shared" si="46"/>
        <v>0</v>
      </c>
      <c r="AJ63">
        <f t="shared" si="46"/>
        <v>0</v>
      </c>
      <c r="AK63">
        <f t="shared" si="46"/>
        <v>0</v>
      </c>
      <c r="AL63">
        <f t="shared" si="46"/>
        <v>0</v>
      </c>
      <c r="AM63">
        <f t="shared" si="46"/>
        <v>2136.7000000000003</v>
      </c>
      <c r="AN63">
        <f t="shared" si="46"/>
        <v>0</v>
      </c>
      <c r="AO63">
        <f t="shared" si="46"/>
        <v>0</v>
      </c>
      <c r="AP63">
        <f t="shared" si="46"/>
        <v>0</v>
      </c>
      <c r="AQ63">
        <f t="shared" si="46"/>
        <v>0</v>
      </c>
      <c r="AR63">
        <f t="shared" si="46"/>
        <v>0</v>
      </c>
      <c r="AS63">
        <f t="shared" si="46"/>
        <v>0</v>
      </c>
      <c r="AT63">
        <f t="shared" si="46"/>
        <v>0</v>
      </c>
      <c r="AU63">
        <f t="shared" si="46"/>
        <v>0</v>
      </c>
      <c r="AV63">
        <f t="shared" si="46"/>
        <v>0</v>
      </c>
      <c r="AW63">
        <f t="shared" si="46"/>
        <v>0</v>
      </c>
      <c r="AX63">
        <f t="shared" si="46"/>
        <v>0</v>
      </c>
      <c r="AY63">
        <f t="shared" si="46"/>
        <v>0</v>
      </c>
      <c r="AZ63">
        <f t="shared" si="46"/>
        <v>0</v>
      </c>
      <c r="BA63">
        <f t="shared" si="46"/>
        <v>0</v>
      </c>
    </row>
    <row r="64" spans="1:53" ht="15.75" customHeight="1">
      <c r="A64" s="350">
        <v>2006</v>
      </c>
      <c r="B64" s="350"/>
      <c r="C64" s="350"/>
      <c r="D64" s="350"/>
      <c r="E64" s="350"/>
      <c r="F64" s="350"/>
      <c r="G64" s="350"/>
      <c r="H64" s="350"/>
      <c r="I64" s="350"/>
      <c r="J64" s="350"/>
      <c r="K64" s="350"/>
      <c r="L64" s="350"/>
      <c r="M64" s="350"/>
      <c r="N64" s="350"/>
      <c r="O64" s="350"/>
      <c r="P64" s="350"/>
      <c r="Q64" s="350"/>
      <c r="R64" s="350"/>
      <c r="S64" s="350"/>
      <c r="T64" s="350"/>
      <c r="U64" s="350"/>
      <c r="V64">
        <v>2577.2999999999997</v>
      </c>
      <c r="W64">
        <f t="shared" si="22"/>
        <v>0</v>
      </c>
      <c r="X64">
        <f t="shared" ref="X64:BA64" si="47">IF(AND(X$39-$A64&gt;$V$27,SUM($W64:W64)&lt;&gt;$V64),$V64,0)</f>
        <v>0</v>
      </c>
      <c r="Y64">
        <f t="shared" si="47"/>
        <v>0</v>
      </c>
      <c r="Z64">
        <f t="shared" si="47"/>
        <v>0</v>
      </c>
      <c r="AA64">
        <f t="shared" si="47"/>
        <v>0</v>
      </c>
      <c r="AB64">
        <f t="shared" si="47"/>
        <v>0</v>
      </c>
      <c r="AC64">
        <f t="shared" si="47"/>
        <v>0</v>
      </c>
      <c r="AD64">
        <f t="shared" si="47"/>
        <v>0</v>
      </c>
      <c r="AE64">
        <f t="shared" si="47"/>
        <v>0</v>
      </c>
      <c r="AF64">
        <f t="shared" si="47"/>
        <v>0</v>
      </c>
      <c r="AG64">
        <f t="shared" si="47"/>
        <v>0</v>
      </c>
      <c r="AH64">
        <f t="shared" si="47"/>
        <v>0</v>
      </c>
      <c r="AI64">
        <f t="shared" si="47"/>
        <v>0</v>
      </c>
      <c r="AJ64">
        <f t="shared" si="47"/>
        <v>0</v>
      </c>
      <c r="AK64">
        <f t="shared" si="47"/>
        <v>0</v>
      </c>
      <c r="AL64">
        <f t="shared" si="47"/>
        <v>0</v>
      </c>
      <c r="AM64">
        <f t="shared" si="47"/>
        <v>0</v>
      </c>
      <c r="AN64">
        <f t="shared" si="47"/>
        <v>2577.2999999999997</v>
      </c>
      <c r="AO64">
        <f t="shared" si="47"/>
        <v>0</v>
      </c>
      <c r="AP64">
        <f t="shared" si="47"/>
        <v>0</v>
      </c>
      <c r="AQ64">
        <f t="shared" si="47"/>
        <v>0</v>
      </c>
      <c r="AR64">
        <f t="shared" si="47"/>
        <v>0</v>
      </c>
      <c r="AS64">
        <f t="shared" si="47"/>
        <v>0</v>
      </c>
      <c r="AT64">
        <f t="shared" si="47"/>
        <v>0</v>
      </c>
      <c r="AU64">
        <f t="shared" si="47"/>
        <v>0</v>
      </c>
      <c r="AV64">
        <f t="shared" si="47"/>
        <v>0</v>
      </c>
      <c r="AW64">
        <f t="shared" si="47"/>
        <v>0</v>
      </c>
      <c r="AX64">
        <f t="shared" si="47"/>
        <v>0</v>
      </c>
      <c r="AY64">
        <f t="shared" si="47"/>
        <v>0</v>
      </c>
      <c r="AZ64">
        <f t="shared" si="47"/>
        <v>0</v>
      </c>
      <c r="BA64">
        <f t="shared" si="47"/>
        <v>0</v>
      </c>
    </row>
    <row r="65" spans="1:53" ht="15.75" customHeight="1">
      <c r="A65" s="350">
        <v>2007</v>
      </c>
      <c r="B65" s="350"/>
      <c r="C65" s="350"/>
      <c r="D65" s="350"/>
      <c r="E65" s="350"/>
      <c r="F65" s="350"/>
      <c r="G65" s="350"/>
      <c r="H65" s="350"/>
      <c r="I65" s="350"/>
      <c r="J65" s="350"/>
      <c r="K65" s="350"/>
      <c r="L65" s="350"/>
      <c r="M65" s="350"/>
      <c r="N65" s="350"/>
      <c r="O65" s="350"/>
      <c r="P65" s="350"/>
      <c r="Q65" s="350"/>
      <c r="R65" s="350"/>
      <c r="S65" s="350"/>
      <c r="T65" s="350"/>
      <c r="U65" s="350"/>
      <c r="V65">
        <v>5254</v>
      </c>
      <c r="W65">
        <f t="shared" si="22"/>
        <v>0</v>
      </c>
      <c r="X65">
        <f t="shared" ref="X65:BA65" si="48">IF(AND(X$39-$A65&gt;$V$27,SUM($W65:W65)&lt;&gt;$V65),$V65,0)</f>
        <v>0</v>
      </c>
      <c r="Y65">
        <f t="shared" si="48"/>
        <v>0</v>
      </c>
      <c r="Z65">
        <f t="shared" si="48"/>
        <v>0</v>
      </c>
      <c r="AA65">
        <f t="shared" si="48"/>
        <v>0</v>
      </c>
      <c r="AB65">
        <f t="shared" si="48"/>
        <v>0</v>
      </c>
      <c r="AC65">
        <f t="shared" si="48"/>
        <v>0</v>
      </c>
      <c r="AD65">
        <f t="shared" si="48"/>
        <v>0</v>
      </c>
      <c r="AE65">
        <f t="shared" si="48"/>
        <v>0</v>
      </c>
      <c r="AF65">
        <f t="shared" si="48"/>
        <v>0</v>
      </c>
      <c r="AG65">
        <f t="shared" si="48"/>
        <v>0</v>
      </c>
      <c r="AH65">
        <f t="shared" si="48"/>
        <v>0</v>
      </c>
      <c r="AI65">
        <f t="shared" si="48"/>
        <v>0</v>
      </c>
      <c r="AJ65">
        <f t="shared" si="48"/>
        <v>0</v>
      </c>
      <c r="AK65">
        <f t="shared" si="48"/>
        <v>0</v>
      </c>
      <c r="AL65">
        <f t="shared" si="48"/>
        <v>0</v>
      </c>
      <c r="AM65">
        <f t="shared" si="48"/>
        <v>0</v>
      </c>
      <c r="AN65">
        <f t="shared" si="48"/>
        <v>0</v>
      </c>
      <c r="AO65">
        <f t="shared" si="48"/>
        <v>5254</v>
      </c>
      <c r="AP65">
        <f t="shared" si="48"/>
        <v>0</v>
      </c>
      <c r="AQ65">
        <f t="shared" si="48"/>
        <v>0</v>
      </c>
      <c r="AR65">
        <f t="shared" si="48"/>
        <v>0</v>
      </c>
      <c r="AS65">
        <f t="shared" si="48"/>
        <v>0</v>
      </c>
      <c r="AT65">
        <f t="shared" si="48"/>
        <v>0</v>
      </c>
      <c r="AU65">
        <f t="shared" si="48"/>
        <v>0</v>
      </c>
      <c r="AV65">
        <f t="shared" si="48"/>
        <v>0</v>
      </c>
      <c r="AW65">
        <f t="shared" si="48"/>
        <v>0</v>
      </c>
      <c r="AX65">
        <f t="shared" si="48"/>
        <v>0</v>
      </c>
      <c r="AY65">
        <f t="shared" si="48"/>
        <v>0</v>
      </c>
      <c r="AZ65">
        <f t="shared" si="48"/>
        <v>0</v>
      </c>
      <c r="BA65">
        <f t="shared" si="48"/>
        <v>0</v>
      </c>
    </row>
    <row r="66" spans="1:53" ht="15.75" customHeight="1">
      <c r="A66" s="350">
        <v>2008</v>
      </c>
      <c r="B66" s="350"/>
      <c r="C66" s="350"/>
      <c r="D66" s="350"/>
      <c r="E66" s="350"/>
      <c r="F66" s="350"/>
      <c r="G66" s="350"/>
      <c r="H66" s="350"/>
      <c r="I66" s="350"/>
      <c r="J66" s="350"/>
      <c r="K66" s="350"/>
      <c r="L66" s="350"/>
      <c r="M66" s="350"/>
      <c r="N66" s="350"/>
      <c r="O66" s="350"/>
      <c r="P66" s="350"/>
      <c r="Q66" s="350"/>
      <c r="R66" s="350"/>
      <c r="S66" s="350"/>
      <c r="T66" s="350"/>
      <c r="U66" s="350"/>
      <c r="V66">
        <v>8328.3000000000029</v>
      </c>
      <c r="W66">
        <f t="shared" si="22"/>
        <v>0</v>
      </c>
      <c r="X66">
        <f t="shared" ref="X66:BA66" si="49">IF(AND(X$39-$A66&gt;$V$27,SUM($W66:W66)&lt;&gt;$V66),$V66,0)</f>
        <v>0</v>
      </c>
      <c r="Y66">
        <f t="shared" si="49"/>
        <v>0</v>
      </c>
      <c r="Z66">
        <f t="shared" si="49"/>
        <v>0</v>
      </c>
      <c r="AA66">
        <f t="shared" si="49"/>
        <v>0</v>
      </c>
      <c r="AB66">
        <f t="shared" si="49"/>
        <v>0</v>
      </c>
      <c r="AC66">
        <f t="shared" si="49"/>
        <v>0</v>
      </c>
      <c r="AD66">
        <f t="shared" si="49"/>
        <v>0</v>
      </c>
      <c r="AE66">
        <f t="shared" si="49"/>
        <v>0</v>
      </c>
      <c r="AF66">
        <f t="shared" si="49"/>
        <v>0</v>
      </c>
      <c r="AG66">
        <f t="shared" si="49"/>
        <v>0</v>
      </c>
      <c r="AH66">
        <f t="shared" si="49"/>
        <v>0</v>
      </c>
      <c r="AI66">
        <f t="shared" si="49"/>
        <v>0</v>
      </c>
      <c r="AJ66">
        <f t="shared" si="49"/>
        <v>0</v>
      </c>
      <c r="AK66">
        <f t="shared" si="49"/>
        <v>0</v>
      </c>
      <c r="AL66">
        <f t="shared" si="49"/>
        <v>0</v>
      </c>
      <c r="AM66">
        <f t="shared" si="49"/>
        <v>0</v>
      </c>
      <c r="AN66">
        <f t="shared" si="49"/>
        <v>0</v>
      </c>
      <c r="AO66">
        <f t="shared" si="49"/>
        <v>0</v>
      </c>
      <c r="AP66">
        <f t="shared" si="49"/>
        <v>8328.3000000000029</v>
      </c>
      <c r="AQ66">
        <f t="shared" si="49"/>
        <v>0</v>
      </c>
      <c r="AR66">
        <f t="shared" si="49"/>
        <v>0</v>
      </c>
      <c r="AS66">
        <f t="shared" si="49"/>
        <v>0</v>
      </c>
      <c r="AT66">
        <f t="shared" si="49"/>
        <v>0</v>
      </c>
      <c r="AU66">
        <f t="shared" si="49"/>
        <v>0</v>
      </c>
      <c r="AV66">
        <f t="shared" si="49"/>
        <v>0</v>
      </c>
      <c r="AW66">
        <f t="shared" si="49"/>
        <v>0</v>
      </c>
      <c r="AX66">
        <f t="shared" si="49"/>
        <v>0</v>
      </c>
      <c r="AY66">
        <f t="shared" si="49"/>
        <v>0</v>
      </c>
      <c r="AZ66">
        <f t="shared" si="49"/>
        <v>0</v>
      </c>
      <c r="BA66">
        <f t="shared" si="49"/>
        <v>0</v>
      </c>
    </row>
    <row r="67" spans="1:53" ht="15.75" customHeight="1">
      <c r="A67" s="350">
        <v>2009</v>
      </c>
      <c r="B67" s="350"/>
      <c r="C67" s="350"/>
      <c r="D67" s="350"/>
      <c r="E67" s="350"/>
      <c r="F67" s="350"/>
      <c r="G67" s="350"/>
      <c r="H67" s="350"/>
      <c r="I67" s="350"/>
      <c r="J67" s="350"/>
      <c r="K67" s="350"/>
      <c r="L67" s="350"/>
      <c r="M67" s="350"/>
      <c r="N67" s="350"/>
      <c r="O67" s="350"/>
      <c r="P67" s="350"/>
      <c r="Q67" s="350"/>
      <c r="R67" s="350"/>
      <c r="S67" s="350"/>
      <c r="T67" s="350"/>
      <c r="U67" s="350"/>
      <c r="V67">
        <v>9826.9</v>
      </c>
      <c r="W67">
        <f t="shared" si="22"/>
        <v>0</v>
      </c>
      <c r="X67">
        <f t="shared" ref="X67:BA67" si="50">IF(AND(X$39-$A67&gt;$V$27,SUM($W67:W67)&lt;&gt;$V67),$V67,0)</f>
        <v>0</v>
      </c>
      <c r="Y67">
        <f t="shared" si="50"/>
        <v>0</v>
      </c>
      <c r="Z67">
        <f t="shared" si="50"/>
        <v>0</v>
      </c>
      <c r="AA67">
        <f t="shared" si="50"/>
        <v>0</v>
      </c>
      <c r="AB67">
        <f t="shared" si="50"/>
        <v>0</v>
      </c>
      <c r="AC67">
        <f t="shared" si="50"/>
        <v>0</v>
      </c>
      <c r="AD67">
        <f t="shared" si="50"/>
        <v>0</v>
      </c>
      <c r="AE67">
        <f t="shared" si="50"/>
        <v>0</v>
      </c>
      <c r="AF67">
        <f t="shared" si="50"/>
        <v>0</v>
      </c>
      <c r="AG67">
        <f t="shared" si="50"/>
        <v>0</v>
      </c>
      <c r="AH67">
        <f t="shared" si="50"/>
        <v>0</v>
      </c>
      <c r="AI67">
        <f t="shared" si="50"/>
        <v>0</v>
      </c>
      <c r="AJ67">
        <f t="shared" si="50"/>
        <v>0</v>
      </c>
      <c r="AK67">
        <f t="shared" si="50"/>
        <v>0</v>
      </c>
      <c r="AL67">
        <f t="shared" si="50"/>
        <v>0</v>
      </c>
      <c r="AM67">
        <f t="shared" si="50"/>
        <v>0</v>
      </c>
      <c r="AN67">
        <f t="shared" si="50"/>
        <v>0</v>
      </c>
      <c r="AO67">
        <f t="shared" si="50"/>
        <v>0</v>
      </c>
      <c r="AP67">
        <f t="shared" si="50"/>
        <v>0</v>
      </c>
      <c r="AQ67">
        <f t="shared" si="50"/>
        <v>9826.9</v>
      </c>
      <c r="AR67">
        <f t="shared" si="50"/>
        <v>0</v>
      </c>
      <c r="AS67">
        <f t="shared" si="50"/>
        <v>0</v>
      </c>
      <c r="AT67">
        <f t="shared" si="50"/>
        <v>0</v>
      </c>
      <c r="AU67">
        <f t="shared" si="50"/>
        <v>0</v>
      </c>
      <c r="AV67">
        <f t="shared" si="50"/>
        <v>0</v>
      </c>
      <c r="AW67">
        <f t="shared" si="50"/>
        <v>0</v>
      </c>
      <c r="AX67">
        <f t="shared" si="50"/>
        <v>0</v>
      </c>
      <c r="AY67">
        <f t="shared" si="50"/>
        <v>0</v>
      </c>
      <c r="AZ67">
        <f t="shared" si="50"/>
        <v>0</v>
      </c>
      <c r="BA67">
        <f t="shared" si="50"/>
        <v>0</v>
      </c>
    </row>
    <row r="68" spans="1:53" ht="15.75" customHeight="1">
      <c r="A68" s="350">
        <v>2010</v>
      </c>
      <c r="B68" s="350"/>
      <c r="C68" s="350"/>
      <c r="D68" s="350"/>
      <c r="E68" s="350"/>
      <c r="F68" s="350"/>
      <c r="G68" s="350"/>
      <c r="H68" s="350"/>
      <c r="I68" s="350"/>
      <c r="J68" s="350"/>
      <c r="K68" s="350"/>
      <c r="L68" s="350"/>
      <c r="M68" s="350"/>
      <c r="N68" s="350"/>
      <c r="O68" s="350"/>
      <c r="P68" s="350"/>
      <c r="Q68" s="350"/>
      <c r="R68" s="350"/>
      <c r="S68" s="350"/>
      <c r="T68" s="350"/>
      <c r="U68" s="350"/>
      <c r="V68">
        <v>4651.8999999999996</v>
      </c>
      <c r="W68">
        <f t="shared" si="22"/>
        <v>0</v>
      </c>
      <c r="X68">
        <f t="shared" ref="X68:BA68" si="51">IF(AND(X$39-$A68&gt;$V$27,SUM($W68:W68)&lt;&gt;$V68),$V68,0)</f>
        <v>0</v>
      </c>
      <c r="Y68">
        <f t="shared" si="51"/>
        <v>0</v>
      </c>
      <c r="Z68">
        <f t="shared" si="51"/>
        <v>0</v>
      </c>
      <c r="AA68">
        <f t="shared" si="51"/>
        <v>0</v>
      </c>
      <c r="AB68">
        <f t="shared" si="51"/>
        <v>0</v>
      </c>
      <c r="AC68">
        <f t="shared" si="51"/>
        <v>0</v>
      </c>
      <c r="AD68">
        <f t="shared" si="51"/>
        <v>0</v>
      </c>
      <c r="AE68">
        <f t="shared" si="51"/>
        <v>0</v>
      </c>
      <c r="AF68">
        <f t="shared" si="51"/>
        <v>0</v>
      </c>
      <c r="AG68">
        <f t="shared" si="51"/>
        <v>0</v>
      </c>
      <c r="AH68">
        <f t="shared" si="51"/>
        <v>0</v>
      </c>
      <c r="AI68">
        <f t="shared" si="51"/>
        <v>0</v>
      </c>
      <c r="AJ68">
        <f t="shared" si="51"/>
        <v>0</v>
      </c>
      <c r="AK68">
        <f t="shared" si="51"/>
        <v>0</v>
      </c>
      <c r="AL68">
        <f t="shared" si="51"/>
        <v>0</v>
      </c>
      <c r="AM68">
        <f t="shared" si="51"/>
        <v>0</v>
      </c>
      <c r="AN68">
        <f t="shared" si="51"/>
        <v>0</v>
      </c>
      <c r="AO68">
        <f t="shared" si="51"/>
        <v>0</v>
      </c>
      <c r="AP68">
        <f t="shared" si="51"/>
        <v>0</v>
      </c>
      <c r="AQ68">
        <f t="shared" si="51"/>
        <v>0</v>
      </c>
      <c r="AR68">
        <f t="shared" si="51"/>
        <v>4651.8999999999996</v>
      </c>
      <c r="AS68">
        <f t="shared" si="51"/>
        <v>0</v>
      </c>
      <c r="AT68">
        <f t="shared" si="51"/>
        <v>0</v>
      </c>
      <c r="AU68">
        <f t="shared" si="51"/>
        <v>0</v>
      </c>
      <c r="AV68">
        <f t="shared" si="51"/>
        <v>0</v>
      </c>
      <c r="AW68">
        <f t="shared" si="51"/>
        <v>0</v>
      </c>
      <c r="AX68">
        <f t="shared" si="51"/>
        <v>0</v>
      </c>
      <c r="AY68">
        <f t="shared" si="51"/>
        <v>0</v>
      </c>
      <c r="AZ68">
        <f t="shared" si="51"/>
        <v>0</v>
      </c>
      <c r="BA68">
        <f t="shared" si="51"/>
        <v>0</v>
      </c>
    </row>
    <row r="69" spans="1:53" ht="15.75" customHeight="1">
      <c r="A69" s="350">
        <v>2011</v>
      </c>
      <c r="B69" s="350"/>
      <c r="C69" s="350"/>
      <c r="D69" s="350"/>
      <c r="E69" s="350"/>
      <c r="F69" s="350"/>
      <c r="G69" s="350"/>
      <c r="H69" s="350"/>
      <c r="I69" s="350"/>
      <c r="J69" s="350"/>
      <c r="K69" s="350"/>
      <c r="L69" s="350"/>
      <c r="M69" s="350"/>
      <c r="N69" s="350"/>
      <c r="O69" s="350"/>
      <c r="P69" s="350"/>
      <c r="Q69" s="350"/>
      <c r="R69" s="350"/>
      <c r="S69" s="350"/>
      <c r="T69" s="350"/>
      <c r="U69" s="350"/>
      <c r="V69">
        <v>6706.9</v>
      </c>
      <c r="W69">
        <f t="shared" si="22"/>
        <v>0</v>
      </c>
      <c r="X69">
        <f t="shared" ref="X69:BA69" si="52">IF(AND(X$39-$A69&gt;$V$27,SUM($W69:W69)&lt;&gt;$V69),$V69,0)</f>
        <v>0</v>
      </c>
      <c r="Y69">
        <f t="shared" si="52"/>
        <v>0</v>
      </c>
      <c r="Z69">
        <f t="shared" si="52"/>
        <v>0</v>
      </c>
      <c r="AA69">
        <f t="shared" si="52"/>
        <v>0</v>
      </c>
      <c r="AB69">
        <f t="shared" si="52"/>
        <v>0</v>
      </c>
      <c r="AC69">
        <f t="shared" si="52"/>
        <v>0</v>
      </c>
      <c r="AD69">
        <f t="shared" si="52"/>
        <v>0</v>
      </c>
      <c r="AE69">
        <f t="shared" si="52"/>
        <v>0</v>
      </c>
      <c r="AF69">
        <f t="shared" si="52"/>
        <v>0</v>
      </c>
      <c r="AG69">
        <f t="shared" si="52"/>
        <v>0</v>
      </c>
      <c r="AH69">
        <f t="shared" si="52"/>
        <v>0</v>
      </c>
      <c r="AI69">
        <f t="shared" si="52"/>
        <v>0</v>
      </c>
      <c r="AJ69">
        <f t="shared" si="52"/>
        <v>0</v>
      </c>
      <c r="AK69">
        <f t="shared" si="52"/>
        <v>0</v>
      </c>
      <c r="AL69">
        <f t="shared" si="52"/>
        <v>0</v>
      </c>
      <c r="AM69">
        <f t="shared" si="52"/>
        <v>0</v>
      </c>
      <c r="AN69">
        <f t="shared" si="52"/>
        <v>0</v>
      </c>
      <c r="AO69">
        <f t="shared" si="52"/>
        <v>0</v>
      </c>
      <c r="AP69">
        <f t="shared" si="52"/>
        <v>0</v>
      </c>
      <c r="AQ69">
        <f t="shared" si="52"/>
        <v>0</v>
      </c>
      <c r="AR69">
        <f t="shared" si="52"/>
        <v>0</v>
      </c>
      <c r="AS69">
        <f t="shared" si="52"/>
        <v>6706.9</v>
      </c>
      <c r="AT69">
        <f t="shared" si="52"/>
        <v>0</v>
      </c>
      <c r="AU69">
        <f t="shared" si="52"/>
        <v>0</v>
      </c>
      <c r="AV69">
        <f t="shared" si="52"/>
        <v>0</v>
      </c>
      <c r="AW69">
        <f t="shared" si="52"/>
        <v>0</v>
      </c>
      <c r="AX69">
        <f t="shared" si="52"/>
        <v>0</v>
      </c>
      <c r="AY69">
        <f t="shared" si="52"/>
        <v>0</v>
      </c>
      <c r="AZ69">
        <f t="shared" si="52"/>
        <v>0</v>
      </c>
      <c r="BA69">
        <f t="shared" si="52"/>
        <v>0</v>
      </c>
    </row>
    <row r="70" spans="1:53" ht="15.75" customHeight="1">
      <c r="A70" s="350">
        <v>2012</v>
      </c>
      <c r="B70" s="350"/>
      <c r="C70" s="350"/>
      <c r="D70" s="350"/>
      <c r="E70" s="350"/>
      <c r="F70" s="350"/>
      <c r="G70" s="350"/>
      <c r="H70" s="350"/>
      <c r="I70" s="350"/>
      <c r="J70" s="350"/>
      <c r="K70" s="350"/>
      <c r="L70" s="350"/>
      <c r="M70" s="350"/>
      <c r="N70" s="350"/>
      <c r="O70" s="350"/>
      <c r="P70" s="350"/>
      <c r="Q70" s="350"/>
      <c r="R70" s="350"/>
      <c r="S70" s="350"/>
      <c r="T70" s="350"/>
      <c r="U70" s="350"/>
      <c r="V70">
        <v>13008.400000000003</v>
      </c>
      <c r="W70">
        <f t="shared" si="22"/>
        <v>0</v>
      </c>
      <c r="X70">
        <f t="shared" ref="X70:BA70" si="53">IF(AND(X$39-$A70&gt;$V$27,SUM($W70:W70)&lt;&gt;$V70),$V70,0)</f>
        <v>0</v>
      </c>
      <c r="Y70">
        <f t="shared" si="53"/>
        <v>0</v>
      </c>
      <c r="Z70">
        <f t="shared" si="53"/>
        <v>0</v>
      </c>
      <c r="AA70">
        <f t="shared" si="53"/>
        <v>0</v>
      </c>
      <c r="AB70">
        <f t="shared" si="53"/>
        <v>0</v>
      </c>
      <c r="AC70">
        <f t="shared" si="53"/>
        <v>0</v>
      </c>
      <c r="AD70">
        <f t="shared" si="53"/>
        <v>0</v>
      </c>
      <c r="AE70">
        <f t="shared" si="53"/>
        <v>0</v>
      </c>
      <c r="AF70">
        <f t="shared" si="53"/>
        <v>0</v>
      </c>
      <c r="AG70">
        <f t="shared" si="53"/>
        <v>0</v>
      </c>
      <c r="AH70">
        <f t="shared" si="53"/>
        <v>0</v>
      </c>
      <c r="AI70">
        <f t="shared" si="53"/>
        <v>0</v>
      </c>
      <c r="AJ70">
        <f t="shared" si="53"/>
        <v>0</v>
      </c>
      <c r="AK70">
        <f t="shared" si="53"/>
        <v>0</v>
      </c>
      <c r="AL70">
        <f t="shared" si="53"/>
        <v>0</v>
      </c>
      <c r="AM70">
        <f t="shared" si="53"/>
        <v>0</v>
      </c>
      <c r="AN70">
        <f t="shared" si="53"/>
        <v>0</v>
      </c>
      <c r="AO70">
        <f t="shared" si="53"/>
        <v>0</v>
      </c>
      <c r="AP70">
        <f t="shared" si="53"/>
        <v>0</v>
      </c>
      <c r="AQ70">
        <f t="shared" si="53"/>
        <v>0</v>
      </c>
      <c r="AR70">
        <f t="shared" si="53"/>
        <v>0</v>
      </c>
      <c r="AS70">
        <f t="shared" si="53"/>
        <v>0</v>
      </c>
      <c r="AT70">
        <f t="shared" si="53"/>
        <v>13008.400000000003</v>
      </c>
      <c r="AU70">
        <f t="shared" si="53"/>
        <v>0</v>
      </c>
      <c r="AV70">
        <f t="shared" si="53"/>
        <v>0</v>
      </c>
      <c r="AW70">
        <f t="shared" si="53"/>
        <v>0</v>
      </c>
      <c r="AX70">
        <f t="shared" si="53"/>
        <v>0</v>
      </c>
      <c r="AY70">
        <f t="shared" si="53"/>
        <v>0</v>
      </c>
      <c r="AZ70">
        <f t="shared" si="53"/>
        <v>0</v>
      </c>
      <c r="BA70">
        <f t="shared" si="53"/>
        <v>0</v>
      </c>
    </row>
    <row r="71" spans="1:53" ht="15.75" customHeight="1">
      <c r="A71" s="350">
        <v>2013</v>
      </c>
      <c r="B71" s="350"/>
      <c r="C71" s="350"/>
      <c r="D71" s="350"/>
      <c r="E71" s="350"/>
      <c r="F71" s="350"/>
      <c r="G71" s="350"/>
      <c r="H71" s="350"/>
      <c r="I71" s="350"/>
      <c r="J71" s="350"/>
      <c r="K71" s="350"/>
      <c r="L71" s="350"/>
      <c r="M71" s="350"/>
      <c r="N71" s="350"/>
      <c r="O71" s="350"/>
      <c r="P71" s="350"/>
      <c r="Q71" s="350"/>
      <c r="R71" s="350"/>
      <c r="S71" s="350"/>
      <c r="T71" s="350"/>
      <c r="U71" s="350"/>
      <c r="V71">
        <v>835.8</v>
      </c>
      <c r="W71">
        <f t="shared" si="22"/>
        <v>0</v>
      </c>
      <c r="X71">
        <f t="shared" ref="X71:BA71" si="54">IF(AND(X$39-$A71&gt;$V$27,SUM($W71:W71)&lt;&gt;$V71),$V71,0)</f>
        <v>0</v>
      </c>
      <c r="Y71">
        <f t="shared" si="54"/>
        <v>0</v>
      </c>
      <c r="Z71">
        <f t="shared" si="54"/>
        <v>0</v>
      </c>
      <c r="AA71">
        <f t="shared" si="54"/>
        <v>0</v>
      </c>
      <c r="AB71">
        <f t="shared" si="54"/>
        <v>0</v>
      </c>
      <c r="AC71">
        <f t="shared" si="54"/>
        <v>0</v>
      </c>
      <c r="AD71">
        <f t="shared" si="54"/>
        <v>0</v>
      </c>
      <c r="AE71">
        <f t="shared" si="54"/>
        <v>0</v>
      </c>
      <c r="AF71">
        <f t="shared" si="54"/>
        <v>0</v>
      </c>
      <c r="AG71">
        <f t="shared" si="54"/>
        <v>0</v>
      </c>
      <c r="AH71">
        <f t="shared" si="54"/>
        <v>0</v>
      </c>
      <c r="AI71">
        <f t="shared" si="54"/>
        <v>0</v>
      </c>
      <c r="AJ71">
        <f t="shared" si="54"/>
        <v>0</v>
      </c>
      <c r="AK71">
        <f t="shared" si="54"/>
        <v>0</v>
      </c>
      <c r="AL71">
        <f t="shared" si="54"/>
        <v>0</v>
      </c>
      <c r="AM71">
        <f t="shared" si="54"/>
        <v>0</v>
      </c>
      <c r="AN71">
        <f t="shared" si="54"/>
        <v>0</v>
      </c>
      <c r="AO71">
        <f t="shared" si="54"/>
        <v>0</v>
      </c>
      <c r="AP71">
        <f t="shared" si="54"/>
        <v>0</v>
      </c>
      <c r="AQ71">
        <f t="shared" si="54"/>
        <v>0</v>
      </c>
      <c r="AR71">
        <f t="shared" si="54"/>
        <v>0</v>
      </c>
      <c r="AS71">
        <f t="shared" si="54"/>
        <v>0</v>
      </c>
      <c r="AT71">
        <f t="shared" si="54"/>
        <v>0</v>
      </c>
      <c r="AU71">
        <f t="shared" si="54"/>
        <v>835.8</v>
      </c>
      <c r="AV71">
        <f t="shared" si="54"/>
        <v>0</v>
      </c>
      <c r="AW71">
        <f t="shared" si="54"/>
        <v>0</v>
      </c>
      <c r="AX71">
        <f t="shared" si="54"/>
        <v>0</v>
      </c>
      <c r="AY71">
        <f t="shared" si="54"/>
        <v>0</v>
      </c>
      <c r="AZ71">
        <f t="shared" si="54"/>
        <v>0</v>
      </c>
      <c r="BA71">
        <f t="shared" si="54"/>
        <v>0</v>
      </c>
    </row>
    <row r="72" spans="1:53" ht="15.75" customHeight="1">
      <c r="A72" s="350">
        <v>2014</v>
      </c>
      <c r="B72" s="350"/>
      <c r="C72" s="350"/>
      <c r="D72" s="350"/>
      <c r="E72" s="350"/>
      <c r="F72" s="350"/>
      <c r="G72" s="350"/>
      <c r="H72" s="350"/>
      <c r="I72" s="350"/>
      <c r="J72" s="350"/>
      <c r="K72" s="350"/>
      <c r="L72" s="350"/>
      <c r="M72" s="350"/>
      <c r="N72" s="350"/>
      <c r="O72" s="350"/>
      <c r="P72" s="350"/>
      <c r="Q72" s="350"/>
      <c r="R72" s="350"/>
      <c r="S72" s="350"/>
      <c r="T72" s="350"/>
      <c r="U72" s="350"/>
      <c r="V72">
        <v>4866.7999999999993</v>
      </c>
      <c r="W72">
        <f t="shared" si="22"/>
        <v>0</v>
      </c>
      <c r="X72">
        <f t="shared" ref="X72:BA72" si="55">IF(AND(X$39-$A72&gt;$V$27,SUM($W72:W72)&lt;&gt;$V72),$V72,0)</f>
        <v>0</v>
      </c>
      <c r="Y72">
        <f t="shared" si="55"/>
        <v>0</v>
      </c>
      <c r="Z72">
        <f t="shared" si="55"/>
        <v>0</v>
      </c>
      <c r="AA72">
        <f t="shared" si="55"/>
        <v>0</v>
      </c>
      <c r="AB72">
        <f t="shared" si="55"/>
        <v>0</v>
      </c>
      <c r="AC72">
        <f t="shared" si="55"/>
        <v>0</v>
      </c>
      <c r="AD72">
        <f t="shared" si="55"/>
        <v>0</v>
      </c>
      <c r="AE72">
        <f t="shared" si="55"/>
        <v>0</v>
      </c>
      <c r="AF72">
        <f t="shared" si="55"/>
        <v>0</v>
      </c>
      <c r="AG72">
        <f t="shared" si="55"/>
        <v>0</v>
      </c>
      <c r="AH72">
        <f t="shared" si="55"/>
        <v>0</v>
      </c>
      <c r="AI72">
        <f t="shared" si="55"/>
        <v>0</v>
      </c>
      <c r="AJ72">
        <f t="shared" si="55"/>
        <v>0</v>
      </c>
      <c r="AK72">
        <f t="shared" si="55"/>
        <v>0</v>
      </c>
      <c r="AL72">
        <f t="shared" si="55"/>
        <v>0</v>
      </c>
      <c r="AM72">
        <f t="shared" si="55"/>
        <v>0</v>
      </c>
      <c r="AN72">
        <f t="shared" si="55"/>
        <v>0</v>
      </c>
      <c r="AO72">
        <f t="shared" si="55"/>
        <v>0</v>
      </c>
      <c r="AP72">
        <f t="shared" si="55"/>
        <v>0</v>
      </c>
      <c r="AQ72">
        <f t="shared" si="55"/>
        <v>0</v>
      </c>
      <c r="AR72">
        <f t="shared" si="55"/>
        <v>0</v>
      </c>
      <c r="AS72">
        <f t="shared" si="55"/>
        <v>0</v>
      </c>
      <c r="AT72">
        <f t="shared" si="55"/>
        <v>0</v>
      </c>
      <c r="AU72">
        <f t="shared" si="55"/>
        <v>0</v>
      </c>
      <c r="AV72">
        <f t="shared" si="55"/>
        <v>4866.7999999999993</v>
      </c>
      <c r="AW72">
        <f t="shared" si="55"/>
        <v>0</v>
      </c>
      <c r="AX72">
        <f t="shared" si="55"/>
        <v>0</v>
      </c>
      <c r="AY72">
        <f t="shared" si="55"/>
        <v>0</v>
      </c>
      <c r="AZ72">
        <f t="shared" si="55"/>
        <v>0</v>
      </c>
      <c r="BA72">
        <f t="shared" si="55"/>
        <v>0</v>
      </c>
    </row>
    <row r="73" spans="1:53" ht="15.75" customHeight="1">
      <c r="A73" s="350">
        <v>2015</v>
      </c>
      <c r="B73" s="350"/>
      <c r="C73" s="350"/>
      <c r="D73" s="350"/>
      <c r="E73" s="350"/>
      <c r="F73" s="350"/>
      <c r="G73" s="350"/>
      <c r="H73" s="350"/>
      <c r="I73" s="350"/>
      <c r="J73" s="350"/>
      <c r="K73" s="350"/>
      <c r="L73" s="350"/>
      <c r="M73" s="350"/>
      <c r="N73" s="350"/>
      <c r="O73" s="350"/>
      <c r="P73" s="350"/>
      <c r="Q73" s="350"/>
      <c r="R73" s="350"/>
      <c r="S73" s="350"/>
      <c r="T73" s="350"/>
      <c r="U73" s="350"/>
      <c r="V73">
        <v>8230.0999999999985</v>
      </c>
      <c r="W73">
        <f t="shared" si="22"/>
        <v>0</v>
      </c>
      <c r="X73">
        <f t="shared" ref="X73:BA73" si="56">IF(AND(X$39-$A73&gt;$V$27,SUM($W73:W73)&lt;&gt;$V73),$V73,0)</f>
        <v>0</v>
      </c>
      <c r="Y73">
        <f t="shared" si="56"/>
        <v>0</v>
      </c>
      <c r="Z73">
        <f t="shared" si="56"/>
        <v>0</v>
      </c>
      <c r="AA73">
        <f t="shared" si="56"/>
        <v>0</v>
      </c>
      <c r="AB73">
        <f t="shared" si="56"/>
        <v>0</v>
      </c>
      <c r="AC73">
        <f t="shared" si="56"/>
        <v>0</v>
      </c>
      <c r="AD73">
        <f t="shared" si="56"/>
        <v>0</v>
      </c>
      <c r="AE73">
        <f t="shared" si="56"/>
        <v>0</v>
      </c>
      <c r="AF73">
        <f t="shared" si="56"/>
        <v>0</v>
      </c>
      <c r="AG73">
        <f t="shared" si="56"/>
        <v>0</v>
      </c>
      <c r="AH73">
        <f t="shared" si="56"/>
        <v>0</v>
      </c>
      <c r="AI73">
        <f t="shared" si="56"/>
        <v>0</v>
      </c>
      <c r="AJ73">
        <f t="shared" si="56"/>
        <v>0</v>
      </c>
      <c r="AK73">
        <f t="shared" si="56"/>
        <v>0</v>
      </c>
      <c r="AL73">
        <f t="shared" si="56"/>
        <v>0</v>
      </c>
      <c r="AM73">
        <f t="shared" si="56"/>
        <v>0</v>
      </c>
      <c r="AN73">
        <f t="shared" si="56"/>
        <v>0</v>
      </c>
      <c r="AO73">
        <f t="shared" si="56"/>
        <v>0</v>
      </c>
      <c r="AP73">
        <f t="shared" si="56"/>
        <v>0</v>
      </c>
      <c r="AQ73">
        <f t="shared" si="56"/>
        <v>0</v>
      </c>
      <c r="AR73">
        <f t="shared" si="56"/>
        <v>0</v>
      </c>
      <c r="AS73">
        <f t="shared" si="56"/>
        <v>0</v>
      </c>
      <c r="AT73">
        <f t="shared" si="56"/>
        <v>0</v>
      </c>
      <c r="AU73">
        <f t="shared" si="56"/>
        <v>0</v>
      </c>
      <c r="AV73">
        <f t="shared" si="56"/>
        <v>0</v>
      </c>
      <c r="AW73">
        <f t="shared" si="56"/>
        <v>8230.0999999999985</v>
      </c>
      <c r="AX73">
        <f t="shared" si="56"/>
        <v>0</v>
      </c>
      <c r="AY73">
        <f t="shared" si="56"/>
        <v>0</v>
      </c>
      <c r="AZ73">
        <f t="shared" si="56"/>
        <v>0</v>
      </c>
      <c r="BA73">
        <f t="shared" si="56"/>
        <v>0</v>
      </c>
    </row>
    <row r="74" spans="1:53" ht="15.75" customHeight="1">
      <c r="A74" s="350">
        <v>2016</v>
      </c>
      <c r="B74" s="350"/>
      <c r="C74" s="350"/>
      <c r="D74" s="350"/>
      <c r="E74" s="350"/>
      <c r="F74" s="350"/>
      <c r="G74" s="350"/>
      <c r="H74" s="350"/>
      <c r="I74" s="350"/>
      <c r="J74" s="350"/>
      <c r="K74" s="350"/>
      <c r="L74" s="350"/>
      <c r="M74" s="350"/>
      <c r="N74" s="350"/>
      <c r="O74" s="350"/>
      <c r="P74" s="350"/>
      <c r="Q74" s="350"/>
      <c r="R74" s="350"/>
      <c r="S74" s="350"/>
      <c r="T74" s="350"/>
      <c r="U74" s="350"/>
      <c r="V74">
        <v>8754.2000000000007</v>
      </c>
      <c r="W74">
        <f t="shared" si="22"/>
        <v>0</v>
      </c>
      <c r="X74">
        <f t="shared" ref="X74:BA74" si="57">IF(AND(X$39-$A74&gt;$V$27,SUM($W74:W74)&lt;&gt;$V74),$V74,0)</f>
        <v>0</v>
      </c>
      <c r="Y74">
        <f t="shared" si="57"/>
        <v>0</v>
      </c>
      <c r="Z74">
        <f t="shared" si="57"/>
        <v>0</v>
      </c>
      <c r="AA74">
        <f t="shared" si="57"/>
        <v>0</v>
      </c>
      <c r="AB74">
        <f t="shared" si="57"/>
        <v>0</v>
      </c>
      <c r="AC74">
        <f t="shared" si="57"/>
        <v>0</v>
      </c>
      <c r="AD74">
        <f t="shared" si="57"/>
        <v>0</v>
      </c>
      <c r="AE74">
        <f t="shared" si="57"/>
        <v>0</v>
      </c>
      <c r="AF74">
        <f t="shared" si="57"/>
        <v>0</v>
      </c>
      <c r="AG74">
        <f t="shared" si="57"/>
        <v>0</v>
      </c>
      <c r="AH74">
        <f t="shared" si="57"/>
        <v>0</v>
      </c>
      <c r="AI74">
        <f t="shared" si="57"/>
        <v>0</v>
      </c>
      <c r="AJ74">
        <f t="shared" si="57"/>
        <v>0</v>
      </c>
      <c r="AK74">
        <f t="shared" si="57"/>
        <v>0</v>
      </c>
      <c r="AL74">
        <f t="shared" si="57"/>
        <v>0</v>
      </c>
      <c r="AM74">
        <f t="shared" si="57"/>
        <v>0</v>
      </c>
      <c r="AN74">
        <f t="shared" si="57"/>
        <v>0</v>
      </c>
      <c r="AO74">
        <f t="shared" si="57"/>
        <v>0</v>
      </c>
      <c r="AP74">
        <f t="shared" si="57"/>
        <v>0</v>
      </c>
      <c r="AQ74">
        <f t="shared" si="57"/>
        <v>0</v>
      </c>
      <c r="AR74">
        <f t="shared" si="57"/>
        <v>0</v>
      </c>
      <c r="AS74">
        <f t="shared" si="57"/>
        <v>0</v>
      </c>
      <c r="AT74">
        <f t="shared" si="57"/>
        <v>0</v>
      </c>
      <c r="AU74">
        <f t="shared" si="57"/>
        <v>0</v>
      </c>
      <c r="AV74">
        <f t="shared" si="57"/>
        <v>0</v>
      </c>
      <c r="AW74">
        <f t="shared" si="57"/>
        <v>0</v>
      </c>
      <c r="AX74">
        <f t="shared" si="57"/>
        <v>8754.2000000000007</v>
      </c>
      <c r="AY74">
        <f t="shared" si="57"/>
        <v>0</v>
      </c>
      <c r="AZ74">
        <f t="shared" si="57"/>
        <v>0</v>
      </c>
      <c r="BA74">
        <f t="shared" si="57"/>
        <v>0</v>
      </c>
    </row>
    <row r="75" spans="1:53" ht="15.75" customHeight="1">
      <c r="A75" s="350">
        <v>2017</v>
      </c>
      <c r="B75" s="350"/>
      <c r="C75" s="350"/>
      <c r="D75" s="350"/>
      <c r="E75" s="350"/>
      <c r="F75" s="350"/>
      <c r="G75" s="350"/>
      <c r="H75" s="350"/>
      <c r="I75" s="350"/>
      <c r="J75" s="350"/>
      <c r="K75" s="350"/>
      <c r="L75" s="350"/>
      <c r="M75" s="350"/>
      <c r="N75" s="350"/>
      <c r="O75" s="350"/>
      <c r="P75" s="350"/>
      <c r="Q75" s="350"/>
      <c r="R75" s="350"/>
      <c r="S75" s="350"/>
      <c r="T75" s="350"/>
      <c r="U75" s="350"/>
      <c r="V75">
        <v>6317.9</v>
      </c>
      <c r="W75">
        <f t="shared" si="22"/>
        <v>0</v>
      </c>
      <c r="X75">
        <f t="shared" ref="X75:BA75" si="58">IF(AND(X$39-$A75&gt;$V$27,SUM($W75:W75)&lt;&gt;$V75),$V75,0)</f>
        <v>0</v>
      </c>
      <c r="Y75">
        <f t="shared" si="58"/>
        <v>0</v>
      </c>
      <c r="Z75">
        <f t="shared" si="58"/>
        <v>0</v>
      </c>
      <c r="AA75">
        <f t="shared" si="58"/>
        <v>0</v>
      </c>
      <c r="AB75">
        <f t="shared" si="58"/>
        <v>0</v>
      </c>
      <c r="AC75">
        <f t="shared" si="58"/>
        <v>0</v>
      </c>
      <c r="AD75">
        <f t="shared" si="58"/>
        <v>0</v>
      </c>
      <c r="AE75">
        <f t="shared" si="58"/>
        <v>0</v>
      </c>
      <c r="AF75">
        <f t="shared" si="58"/>
        <v>0</v>
      </c>
      <c r="AG75">
        <f t="shared" si="58"/>
        <v>0</v>
      </c>
      <c r="AH75">
        <f t="shared" si="58"/>
        <v>0</v>
      </c>
      <c r="AI75">
        <f t="shared" si="58"/>
        <v>0</v>
      </c>
      <c r="AJ75">
        <f t="shared" si="58"/>
        <v>0</v>
      </c>
      <c r="AK75">
        <f t="shared" si="58"/>
        <v>0</v>
      </c>
      <c r="AL75">
        <f t="shared" si="58"/>
        <v>0</v>
      </c>
      <c r="AM75">
        <f t="shared" si="58"/>
        <v>0</v>
      </c>
      <c r="AN75">
        <f t="shared" si="58"/>
        <v>0</v>
      </c>
      <c r="AO75">
        <f t="shared" si="58"/>
        <v>0</v>
      </c>
      <c r="AP75">
        <f t="shared" si="58"/>
        <v>0</v>
      </c>
      <c r="AQ75">
        <f t="shared" si="58"/>
        <v>0</v>
      </c>
      <c r="AR75">
        <f t="shared" si="58"/>
        <v>0</v>
      </c>
      <c r="AS75">
        <f t="shared" si="58"/>
        <v>0</v>
      </c>
      <c r="AT75">
        <f t="shared" si="58"/>
        <v>0</v>
      </c>
      <c r="AU75">
        <f t="shared" si="58"/>
        <v>0</v>
      </c>
      <c r="AV75">
        <f t="shared" si="58"/>
        <v>0</v>
      </c>
      <c r="AW75">
        <f t="shared" si="58"/>
        <v>0</v>
      </c>
      <c r="AX75">
        <f t="shared" si="58"/>
        <v>0</v>
      </c>
      <c r="AY75">
        <f t="shared" si="58"/>
        <v>6317.9</v>
      </c>
      <c r="AZ75">
        <f t="shared" si="58"/>
        <v>0</v>
      </c>
      <c r="BA75">
        <f t="shared" si="58"/>
        <v>0</v>
      </c>
    </row>
    <row r="76" spans="1:53" ht="15.75" customHeight="1">
      <c r="A76" s="350">
        <v>2018</v>
      </c>
      <c r="B76" s="350"/>
      <c r="C76" s="350"/>
      <c r="D76" s="350"/>
      <c r="E76" s="350"/>
      <c r="F76" s="350"/>
      <c r="G76" s="350"/>
      <c r="H76" s="350"/>
      <c r="I76" s="350"/>
      <c r="J76" s="350"/>
      <c r="K76" s="350"/>
      <c r="L76" s="350"/>
      <c r="M76" s="350"/>
      <c r="N76" s="350"/>
      <c r="O76" s="350"/>
      <c r="P76" s="350"/>
      <c r="Q76" s="350"/>
      <c r="R76" s="350"/>
      <c r="S76" s="350"/>
      <c r="T76" s="350"/>
      <c r="U76" s="350"/>
      <c r="V76">
        <v>1195.5999999999999</v>
      </c>
      <c r="W76">
        <f t="shared" si="22"/>
        <v>0</v>
      </c>
      <c r="X76">
        <f t="shared" ref="X76:BA76" si="59">IF(AND(X$39-$A76&gt;$V$27,SUM($W76:W76)&lt;&gt;$V76),$V76,0)</f>
        <v>0</v>
      </c>
      <c r="Y76">
        <f t="shared" si="59"/>
        <v>0</v>
      </c>
      <c r="Z76">
        <f t="shared" si="59"/>
        <v>0</v>
      </c>
      <c r="AA76">
        <f t="shared" si="59"/>
        <v>0</v>
      </c>
      <c r="AB76">
        <f t="shared" si="59"/>
        <v>0</v>
      </c>
      <c r="AC76">
        <f t="shared" si="59"/>
        <v>0</v>
      </c>
      <c r="AD76">
        <f t="shared" si="59"/>
        <v>0</v>
      </c>
      <c r="AE76">
        <f t="shared" si="59"/>
        <v>0</v>
      </c>
      <c r="AF76">
        <f t="shared" si="59"/>
        <v>0</v>
      </c>
      <c r="AG76">
        <f t="shared" si="59"/>
        <v>0</v>
      </c>
      <c r="AH76">
        <f t="shared" si="59"/>
        <v>0</v>
      </c>
      <c r="AI76">
        <f t="shared" si="59"/>
        <v>0</v>
      </c>
      <c r="AJ76">
        <f t="shared" si="59"/>
        <v>0</v>
      </c>
      <c r="AK76">
        <f t="shared" si="59"/>
        <v>0</v>
      </c>
      <c r="AL76">
        <f t="shared" si="59"/>
        <v>0</v>
      </c>
      <c r="AM76">
        <f t="shared" si="59"/>
        <v>0</v>
      </c>
      <c r="AN76">
        <f t="shared" si="59"/>
        <v>0</v>
      </c>
      <c r="AO76">
        <f t="shared" si="59"/>
        <v>0</v>
      </c>
      <c r="AP76">
        <f t="shared" si="59"/>
        <v>0</v>
      </c>
      <c r="AQ76">
        <f t="shared" si="59"/>
        <v>0</v>
      </c>
      <c r="AR76">
        <f t="shared" si="59"/>
        <v>0</v>
      </c>
      <c r="AS76">
        <f t="shared" si="59"/>
        <v>0</v>
      </c>
      <c r="AT76">
        <f t="shared" si="59"/>
        <v>0</v>
      </c>
      <c r="AU76">
        <f t="shared" si="59"/>
        <v>0</v>
      </c>
      <c r="AV76">
        <f t="shared" si="59"/>
        <v>0</v>
      </c>
      <c r="AW76">
        <f t="shared" si="59"/>
        <v>0</v>
      </c>
      <c r="AX76">
        <f t="shared" si="59"/>
        <v>0</v>
      </c>
      <c r="AY76">
        <f t="shared" si="59"/>
        <v>0</v>
      </c>
      <c r="AZ76">
        <f t="shared" si="59"/>
        <v>1195.5999999999999</v>
      </c>
      <c r="BA76">
        <f t="shared" si="59"/>
        <v>0</v>
      </c>
    </row>
    <row r="77" spans="1:53" ht="15.75" customHeight="1">
      <c r="A77" s="350"/>
      <c r="B77" s="350"/>
      <c r="C77" s="350"/>
      <c r="D77" s="350"/>
      <c r="E77" s="350"/>
      <c r="F77" s="350"/>
      <c r="G77" s="350"/>
      <c r="H77" s="350"/>
      <c r="I77" s="350"/>
      <c r="J77" s="350"/>
      <c r="K77" s="350"/>
      <c r="L77" s="350"/>
      <c r="M77" s="350"/>
      <c r="N77" s="350"/>
      <c r="O77" s="350"/>
      <c r="P77" s="350"/>
      <c r="Q77" s="350"/>
      <c r="R77" s="350"/>
      <c r="S77" s="350"/>
      <c r="T77" s="350"/>
      <c r="U77" s="350"/>
    </row>
    <row r="78" spans="1:53" ht="15.75" customHeight="1">
      <c r="A78" s="350"/>
      <c r="B78" s="350"/>
      <c r="C78" s="350"/>
      <c r="D78" s="350"/>
      <c r="E78" s="350"/>
      <c r="F78" s="350"/>
      <c r="G78" s="350"/>
      <c r="H78" s="350"/>
      <c r="I78" s="350"/>
      <c r="J78" s="350"/>
      <c r="K78" s="350"/>
      <c r="L78" s="350"/>
      <c r="M78" s="350"/>
      <c r="N78" s="350"/>
      <c r="O78" s="350"/>
      <c r="P78" s="350"/>
      <c r="Q78" s="350"/>
      <c r="R78" s="350"/>
      <c r="S78" s="350"/>
      <c r="T78" s="350"/>
      <c r="U78" s="350"/>
    </row>
    <row r="79" spans="1:53" ht="15.75" customHeight="1">
      <c r="A79" s="350"/>
      <c r="B79" s="350"/>
      <c r="C79" s="350"/>
      <c r="D79" s="350"/>
      <c r="E79" s="350"/>
      <c r="F79" s="350"/>
      <c r="G79" s="350"/>
      <c r="H79" s="350"/>
      <c r="I79" s="350"/>
      <c r="J79" s="350"/>
      <c r="K79" s="350"/>
      <c r="L79" s="350"/>
      <c r="M79" s="350"/>
      <c r="N79" s="350"/>
      <c r="O79" s="350"/>
      <c r="P79" s="350"/>
      <c r="Q79" s="350"/>
      <c r="R79" s="350"/>
      <c r="S79" s="350"/>
      <c r="T79" s="350"/>
      <c r="U79" s="350"/>
    </row>
    <row r="80" spans="1:53" ht="15.75" customHeight="1">
      <c r="A80" s="350"/>
      <c r="B80" s="350"/>
      <c r="C80" s="350"/>
      <c r="D80" s="350"/>
      <c r="E80" s="350"/>
      <c r="F80" s="350"/>
      <c r="G80" s="350"/>
      <c r="H80" s="350"/>
      <c r="I80" s="350"/>
      <c r="J80" s="350"/>
      <c r="K80" s="350"/>
      <c r="L80" s="350"/>
      <c r="M80" s="350"/>
      <c r="N80" s="350"/>
      <c r="O80" s="350"/>
      <c r="P80" s="350"/>
      <c r="Q80" s="350"/>
      <c r="R80" s="350"/>
      <c r="S80" s="350"/>
      <c r="T80" s="350"/>
      <c r="U80" s="350"/>
    </row>
    <row r="81" spans="1:21" ht="15.75" customHeight="1">
      <c r="A81" s="350"/>
      <c r="B81" s="350"/>
      <c r="C81" s="350"/>
      <c r="D81" s="350"/>
      <c r="E81" s="350"/>
      <c r="F81" s="350"/>
      <c r="G81" s="350"/>
      <c r="H81" s="350"/>
      <c r="I81" s="350"/>
      <c r="J81" s="350"/>
      <c r="K81" s="350"/>
      <c r="L81" s="350"/>
      <c r="M81" s="350"/>
      <c r="N81" s="350"/>
      <c r="O81" s="350"/>
      <c r="P81" s="350"/>
      <c r="Q81" s="350"/>
      <c r="R81" s="350"/>
      <c r="S81" s="350"/>
      <c r="T81" s="350"/>
      <c r="U81" s="350"/>
    </row>
    <row r="82" spans="1:21" ht="15.75" customHeight="1">
      <c r="A82" s="350"/>
      <c r="B82" s="350"/>
      <c r="C82" s="350"/>
      <c r="D82" s="350"/>
      <c r="E82" s="350"/>
      <c r="F82" s="350"/>
      <c r="G82" s="350"/>
      <c r="H82" s="350"/>
      <c r="I82" s="350"/>
      <c r="J82" s="350"/>
      <c r="K82" s="350"/>
      <c r="L82" s="350"/>
      <c r="M82" s="350"/>
      <c r="N82" s="350"/>
      <c r="O82" s="350"/>
      <c r="P82" s="350"/>
      <c r="Q82" s="350"/>
      <c r="R82" s="350"/>
      <c r="S82" s="350"/>
      <c r="T82" s="350"/>
      <c r="U82" s="350"/>
    </row>
    <row r="83" spans="1:21" ht="15.75" customHeight="1">
      <c r="A83" s="350"/>
      <c r="B83" s="350"/>
      <c r="C83" s="350"/>
      <c r="D83" s="350"/>
      <c r="E83" s="350"/>
      <c r="F83" s="350"/>
      <c r="G83" s="350"/>
      <c r="H83" s="350"/>
      <c r="I83" s="350"/>
      <c r="J83" s="350"/>
      <c r="K83" s="350"/>
      <c r="L83" s="350"/>
      <c r="M83" s="350"/>
      <c r="N83" s="350"/>
      <c r="O83" s="350"/>
      <c r="P83" s="350"/>
      <c r="Q83" s="350"/>
      <c r="R83" s="350"/>
      <c r="S83" s="350"/>
      <c r="T83" s="350"/>
      <c r="U83" s="350"/>
    </row>
    <row r="84" spans="1:21" ht="15.75" customHeight="1">
      <c r="A84" s="350"/>
      <c r="B84" s="350"/>
      <c r="C84" s="350"/>
      <c r="D84" s="350"/>
      <c r="E84" s="350"/>
      <c r="F84" s="350"/>
      <c r="G84" s="350"/>
      <c r="H84" s="350"/>
      <c r="I84" s="350"/>
      <c r="J84" s="350"/>
      <c r="K84" s="350"/>
      <c r="L84" s="350"/>
      <c r="M84" s="350"/>
      <c r="N84" s="350"/>
      <c r="O84" s="350"/>
      <c r="P84" s="350"/>
      <c r="Q84" s="350"/>
      <c r="R84" s="350"/>
      <c r="S84" s="350"/>
      <c r="T84" s="350"/>
      <c r="U84" s="350"/>
    </row>
    <row r="85" spans="1:21" ht="15.75" customHeight="1">
      <c r="A85" s="350"/>
      <c r="B85" s="350"/>
      <c r="C85" s="350"/>
      <c r="D85" s="350"/>
      <c r="E85" s="350"/>
      <c r="F85" s="350"/>
      <c r="G85" s="350"/>
      <c r="H85" s="350"/>
      <c r="I85" s="350"/>
      <c r="J85" s="350"/>
      <c r="K85" s="350"/>
      <c r="L85" s="350"/>
      <c r="M85" s="350"/>
      <c r="N85" s="350"/>
      <c r="O85" s="350"/>
      <c r="P85" s="350"/>
      <c r="Q85" s="350"/>
      <c r="R85" s="350"/>
      <c r="S85" s="350"/>
      <c r="T85" s="350"/>
      <c r="U85" s="350"/>
    </row>
    <row r="86" spans="1:21" ht="15.75" customHeight="1">
      <c r="A86" s="350"/>
      <c r="B86" s="350"/>
      <c r="C86" s="350"/>
      <c r="D86" s="350"/>
      <c r="E86" s="350"/>
      <c r="F86" s="350"/>
      <c r="G86" s="350"/>
      <c r="H86" s="350"/>
      <c r="I86" s="350"/>
      <c r="J86" s="350"/>
      <c r="K86" s="350"/>
      <c r="L86" s="350"/>
      <c r="M86" s="350"/>
      <c r="N86" s="350"/>
      <c r="O86" s="350"/>
      <c r="P86" s="350"/>
      <c r="Q86" s="350"/>
      <c r="R86" s="350"/>
      <c r="S86" s="350"/>
      <c r="T86" s="350"/>
      <c r="U86" s="350"/>
    </row>
    <row r="87" spans="1:21" ht="15.75" customHeight="1">
      <c r="A87" s="350"/>
      <c r="B87" s="350"/>
      <c r="C87" s="350"/>
      <c r="D87" s="350"/>
      <c r="E87" s="350"/>
      <c r="F87" s="350"/>
      <c r="G87" s="350"/>
      <c r="H87" s="350"/>
      <c r="I87" s="350"/>
      <c r="J87" s="350"/>
      <c r="K87" s="350"/>
      <c r="L87" s="350"/>
      <c r="M87" s="350"/>
      <c r="N87" s="350"/>
      <c r="O87" s="350"/>
      <c r="P87" s="350"/>
      <c r="Q87" s="350"/>
      <c r="R87" s="350"/>
      <c r="S87" s="350"/>
      <c r="T87" s="350"/>
      <c r="U87" s="350"/>
    </row>
    <row r="88" spans="1:21" ht="15.75" customHeight="1">
      <c r="A88" s="350"/>
      <c r="B88" s="350"/>
      <c r="C88" s="350"/>
      <c r="D88" s="350"/>
      <c r="E88" s="350"/>
      <c r="F88" s="350"/>
      <c r="G88" s="350"/>
      <c r="H88" s="350"/>
      <c r="I88" s="350"/>
      <c r="J88" s="350"/>
      <c r="K88" s="350"/>
      <c r="L88" s="350"/>
      <c r="M88" s="350"/>
      <c r="N88" s="350"/>
      <c r="O88" s="350"/>
      <c r="P88" s="350"/>
      <c r="Q88" s="350"/>
      <c r="R88" s="350"/>
      <c r="S88" s="350"/>
      <c r="T88" s="350"/>
      <c r="U88" s="350"/>
    </row>
    <row r="89" spans="1:21" ht="15.75" customHeight="1">
      <c r="A89" s="350"/>
      <c r="B89" s="350"/>
      <c r="C89" s="350"/>
      <c r="D89" s="350"/>
      <c r="E89" s="350"/>
      <c r="F89" s="350"/>
      <c r="G89" s="350"/>
      <c r="H89" s="350"/>
      <c r="I89" s="350"/>
      <c r="J89" s="350"/>
      <c r="K89" s="350"/>
      <c r="L89" s="350"/>
      <c r="M89" s="350"/>
      <c r="N89" s="350"/>
      <c r="O89" s="350"/>
      <c r="P89" s="350"/>
      <c r="Q89" s="350"/>
      <c r="R89" s="350"/>
      <c r="S89" s="350"/>
      <c r="T89" s="350"/>
      <c r="U89" s="350"/>
    </row>
    <row r="90" spans="1:21" ht="15.75" customHeight="1">
      <c r="A90" s="350"/>
      <c r="B90" s="350"/>
      <c r="C90" s="350"/>
      <c r="D90" s="350"/>
      <c r="E90" s="350"/>
      <c r="F90" s="350"/>
      <c r="G90" s="350"/>
      <c r="H90" s="350"/>
      <c r="I90" s="350"/>
      <c r="J90" s="350"/>
      <c r="K90" s="350"/>
      <c r="L90" s="350"/>
      <c r="M90" s="350"/>
      <c r="N90" s="350"/>
      <c r="O90" s="350"/>
      <c r="P90" s="350"/>
      <c r="Q90" s="350"/>
      <c r="R90" s="350"/>
      <c r="S90" s="350"/>
      <c r="T90" s="350"/>
      <c r="U90" s="350"/>
    </row>
    <row r="91" spans="1:21" ht="15.75" customHeight="1">
      <c r="A91" s="350"/>
      <c r="B91" s="350"/>
      <c r="C91" s="350"/>
      <c r="D91" s="350"/>
      <c r="E91" s="350"/>
      <c r="F91" s="350"/>
      <c r="G91" s="350"/>
      <c r="H91" s="350"/>
      <c r="I91" s="350"/>
      <c r="J91" s="350"/>
      <c r="K91" s="350"/>
      <c r="L91" s="350"/>
      <c r="M91" s="350"/>
      <c r="N91" s="350"/>
      <c r="O91" s="350"/>
      <c r="P91" s="350"/>
      <c r="Q91" s="350"/>
      <c r="R91" s="350"/>
      <c r="S91" s="350"/>
      <c r="T91" s="350"/>
      <c r="U91" s="350"/>
    </row>
    <row r="92" spans="1:21" ht="15.75" customHeight="1">
      <c r="A92" s="350"/>
      <c r="B92" s="350"/>
      <c r="C92" s="350"/>
      <c r="D92" s="350"/>
      <c r="E92" s="350"/>
      <c r="F92" s="350"/>
      <c r="G92" s="350"/>
      <c r="H92" s="350"/>
      <c r="I92" s="350"/>
      <c r="J92" s="350"/>
      <c r="K92" s="350"/>
      <c r="L92" s="350"/>
      <c r="M92" s="350"/>
      <c r="N92" s="350"/>
      <c r="O92" s="350"/>
      <c r="P92" s="350"/>
      <c r="Q92" s="350"/>
      <c r="R92" s="350"/>
      <c r="S92" s="350"/>
      <c r="T92" s="350"/>
      <c r="U92" s="350"/>
    </row>
    <row r="93" spans="1:21" ht="15.75" customHeight="1">
      <c r="A93" s="350"/>
      <c r="B93" s="350"/>
      <c r="C93" s="350"/>
      <c r="D93" s="350"/>
      <c r="E93" s="350"/>
      <c r="F93" s="350"/>
      <c r="G93" s="350"/>
      <c r="H93" s="350"/>
      <c r="I93" s="350"/>
      <c r="J93" s="350"/>
      <c r="K93" s="350"/>
      <c r="L93" s="350"/>
      <c r="M93" s="350"/>
      <c r="N93" s="350"/>
      <c r="O93" s="350"/>
      <c r="P93" s="350"/>
      <c r="Q93" s="350"/>
      <c r="R93" s="350"/>
      <c r="S93" s="350"/>
      <c r="T93" s="350"/>
      <c r="U93" s="350"/>
    </row>
    <row r="94" spans="1:21" ht="15.75" customHeight="1">
      <c r="A94" s="350"/>
      <c r="B94" s="350"/>
      <c r="C94" s="350"/>
      <c r="D94" s="350"/>
      <c r="E94" s="350"/>
      <c r="F94" s="350"/>
      <c r="G94" s="350"/>
      <c r="H94" s="350"/>
      <c r="I94" s="350"/>
      <c r="J94" s="350"/>
      <c r="K94" s="350"/>
      <c r="L94" s="350"/>
      <c r="M94" s="350"/>
      <c r="N94" s="350"/>
      <c r="O94" s="350"/>
      <c r="P94" s="350"/>
      <c r="Q94" s="350"/>
      <c r="R94" s="350"/>
      <c r="S94" s="350"/>
      <c r="T94" s="350"/>
      <c r="U94" s="350"/>
    </row>
    <row r="95" spans="1:21" ht="15.75" customHeight="1">
      <c r="A95" s="350"/>
      <c r="B95" s="350"/>
      <c r="C95" s="350"/>
      <c r="D95" s="350"/>
      <c r="E95" s="350"/>
      <c r="F95" s="350"/>
      <c r="G95" s="350"/>
      <c r="H95" s="350"/>
      <c r="I95" s="350"/>
      <c r="J95" s="350"/>
      <c r="K95" s="350"/>
      <c r="L95" s="350"/>
      <c r="M95" s="350"/>
      <c r="N95" s="350"/>
      <c r="O95" s="350"/>
      <c r="P95" s="350"/>
      <c r="Q95" s="350"/>
      <c r="R95" s="350"/>
      <c r="S95" s="350"/>
      <c r="T95" s="350"/>
      <c r="U95" s="350"/>
    </row>
    <row r="96" spans="1:21" ht="15.75" customHeight="1">
      <c r="A96" s="350"/>
      <c r="B96" s="350"/>
      <c r="C96" s="350"/>
      <c r="D96" s="350"/>
      <c r="E96" s="350"/>
      <c r="F96" s="350"/>
      <c r="G96" s="350"/>
      <c r="H96" s="350"/>
      <c r="I96" s="350"/>
      <c r="J96" s="350"/>
      <c r="K96" s="350"/>
      <c r="L96" s="350"/>
      <c r="M96" s="350"/>
      <c r="N96" s="350"/>
      <c r="O96" s="350"/>
      <c r="P96" s="350"/>
      <c r="Q96" s="350"/>
      <c r="R96" s="350"/>
      <c r="S96" s="350"/>
      <c r="T96" s="350"/>
      <c r="U96" s="350"/>
    </row>
    <row r="97" spans="1:53" ht="15.75" customHeight="1">
      <c r="A97" s="350"/>
      <c r="B97" s="350"/>
      <c r="C97" s="350"/>
      <c r="D97" s="350"/>
      <c r="E97" s="350"/>
      <c r="F97" s="350"/>
      <c r="G97" s="350"/>
      <c r="H97" s="350"/>
      <c r="I97" s="350"/>
      <c r="J97" s="350"/>
      <c r="K97" s="350"/>
      <c r="L97" s="350"/>
      <c r="M97" s="350"/>
      <c r="N97" s="350"/>
      <c r="O97" s="350"/>
      <c r="P97" s="350"/>
      <c r="Q97" s="350"/>
      <c r="R97" s="350"/>
      <c r="S97" s="350"/>
      <c r="T97" s="350"/>
      <c r="U97" s="350"/>
    </row>
    <row r="98" spans="1:53" ht="15.75" customHeight="1">
      <c r="A98" s="350"/>
      <c r="B98" s="350"/>
      <c r="C98" s="350"/>
      <c r="D98" s="350"/>
      <c r="E98" s="350"/>
      <c r="F98" s="350"/>
      <c r="G98" s="350"/>
      <c r="H98" s="350"/>
      <c r="I98" s="350"/>
      <c r="J98" s="350"/>
      <c r="K98" s="350"/>
      <c r="L98" s="350"/>
      <c r="M98" s="350"/>
      <c r="N98" s="350"/>
      <c r="O98" s="350"/>
      <c r="P98" s="350"/>
      <c r="Q98" s="350"/>
      <c r="R98" s="350"/>
      <c r="S98" s="350"/>
      <c r="T98" s="350"/>
      <c r="U98" s="350"/>
    </row>
    <row r="99" spans="1:53" ht="15.75" customHeight="1">
      <c r="A99" s="350"/>
      <c r="B99" s="350"/>
      <c r="C99" s="350"/>
      <c r="D99" s="350"/>
      <c r="E99" s="350"/>
      <c r="F99" s="350"/>
      <c r="G99" s="350"/>
      <c r="H99" s="350"/>
      <c r="I99" s="350"/>
      <c r="J99" s="350"/>
      <c r="K99" s="350"/>
      <c r="L99" s="350"/>
      <c r="M99" s="350"/>
      <c r="N99" s="350"/>
      <c r="O99" s="350"/>
      <c r="P99" s="350"/>
      <c r="Q99" s="350"/>
      <c r="R99" s="350"/>
      <c r="S99" s="350"/>
      <c r="T99" s="350"/>
      <c r="U99" s="350"/>
    </row>
    <row r="100" spans="1:53" ht="15.75" customHeight="1">
      <c r="A100" s="350"/>
      <c r="B100" s="350"/>
      <c r="C100" s="350"/>
      <c r="D100" s="350"/>
      <c r="E100" s="350"/>
      <c r="F100" s="350"/>
      <c r="G100" s="350"/>
      <c r="H100" s="350"/>
      <c r="I100" s="350"/>
      <c r="J100" s="350"/>
      <c r="K100" s="350"/>
      <c r="L100" s="350"/>
      <c r="M100" s="350"/>
      <c r="N100" s="350"/>
      <c r="O100" s="350"/>
      <c r="P100" s="350"/>
      <c r="Q100" s="350"/>
      <c r="R100" s="350"/>
      <c r="S100" s="350"/>
      <c r="T100" s="350"/>
      <c r="U100" s="350"/>
    </row>
    <row r="101" spans="1:53" ht="15.75" customHeight="1">
      <c r="A101" s="350"/>
      <c r="B101" s="350"/>
      <c r="C101" s="350"/>
      <c r="D101" s="350"/>
      <c r="E101" s="350"/>
      <c r="F101" s="350"/>
      <c r="G101" s="350"/>
      <c r="H101" s="350"/>
      <c r="I101" s="350"/>
      <c r="J101" s="350"/>
      <c r="K101" s="350"/>
      <c r="L101" s="350"/>
      <c r="M101" s="350"/>
      <c r="N101" s="350"/>
      <c r="O101" s="350"/>
      <c r="P101" s="350"/>
      <c r="Q101" s="350"/>
      <c r="R101" s="350"/>
      <c r="S101" s="350"/>
      <c r="T101" s="350"/>
      <c r="U101" s="350"/>
    </row>
    <row r="102" spans="1:53" ht="15.75" customHeight="1">
      <c r="A102" s="350"/>
      <c r="B102" s="350"/>
      <c r="C102" s="350"/>
      <c r="D102" s="350"/>
      <c r="E102" s="350"/>
      <c r="F102" s="350"/>
      <c r="G102" s="350"/>
      <c r="H102" s="350"/>
      <c r="I102" s="350"/>
      <c r="J102" s="350"/>
      <c r="K102" s="350"/>
      <c r="L102" s="350"/>
      <c r="M102" s="350"/>
      <c r="N102" s="350"/>
      <c r="O102" s="350"/>
      <c r="P102" s="350"/>
      <c r="Q102" s="350"/>
      <c r="R102" s="350"/>
      <c r="S102" s="350"/>
      <c r="T102" s="350"/>
      <c r="U102" s="350"/>
    </row>
    <row r="103" spans="1:53" ht="15.75" customHeight="1">
      <c r="A103" s="350"/>
      <c r="B103" s="350"/>
      <c r="C103" s="350"/>
      <c r="D103" s="350"/>
      <c r="E103" s="350"/>
      <c r="F103" s="350"/>
      <c r="G103" s="350"/>
      <c r="H103" s="350"/>
      <c r="I103" s="350"/>
      <c r="J103" s="350"/>
      <c r="K103" s="350"/>
      <c r="L103" s="350"/>
      <c r="M103" s="350"/>
      <c r="N103" s="350"/>
      <c r="O103" s="350"/>
      <c r="P103" s="350"/>
      <c r="Q103" s="350"/>
      <c r="R103" s="350"/>
      <c r="S103" s="350"/>
      <c r="T103" s="350"/>
      <c r="U103" s="350"/>
    </row>
    <row r="104" spans="1:53" ht="15.75" customHeight="1">
      <c r="A104" s="350"/>
      <c r="B104" s="350"/>
      <c r="C104" s="350"/>
      <c r="D104" s="350"/>
      <c r="E104" s="350"/>
      <c r="F104" s="350"/>
      <c r="G104" s="350"/>
      <c r="H104" s="350"/>
      <c r="I104" s="350"/>
      <c r="J104" s="350"/>
      <c r="K104" s="350"/>
      <c r="L104" s="350"/>
      <c r="M104" s="350"/>
      <c r="N104" s="350"/>
      <c r="O104" s="350"/>
      <c r="P104" s="350"/>
      <c r="Q104" s="350"/>
      <c r="R104" s="350"/>
      <c r="S104" s="350"/>
      <c r="T104" s="350"/>
      <c r="U104" s="350"/>
    </row>
    <row r="105" spans="1:53" ht="15.75" customHeight="1">
      <c r="A105" s="350"/>
      <c r="B105" s="350"/>
      <c r="C105" s="350"/>
      <c r="D105" s="350"/>
      <c r="E105" s="350"/>
      <c r="F105" s="350"/>
      <c r="G105" s="350"/>
      <c r="H105" s="350"/>
      <c r="I105" s="350"/>
      <c r="J105" s="350"/>
      <c r="K105" s="350"/>
      <c r="L105" s="350"/>
      <c r="M105" s="350"/>
      <c r="N105" s="350"/>
      <c r="O105" s="350"/>
      <c r="P105" s="350"/>
      <c r="Q105" s="350"/>
      <c r="R105" s="350"/>
      <c r="S105" s="350"/>
      <c r="T105" s="350"/>
      <c r="U105" s="350"/>
    </row>
    <row r="106" spans="1:53" ht="15.75" customHeight="1">
      <c r="A106" s="350"/>
      <c r="B106" s="350"/>
      <c r="C106" s="350"/>
      <c r="D106" s="350"/>
      <c r="E106" s="350"/>
      <c r="F106" s="350"/>
      <c r="G106" s="350"/>
      <c r="H106" s="350"/>
      <c r="I106" s="350"/>
      <c r="J106" s="350"/>
      <c r="K106" s="350"/>
      <c r="L106" s="350"/>
      <c r="M106" s="350"/>
      <c r="N106" s="350"/>
      <c r="O106" s="350"/>
      <c r="P106" s="350"/>
      <c r="Q106" s="350"/>
      <c r="R106" s="350"/>
      <c r="S106" s="350"/>
      <c r="T106" s="350"/>
      <c r="U106" s="350"/>
    </row>
    <row r="107" spans="1:53" ht="15.75" customHeight="1">
      <c r="A107" s="93"/>
      <c r="B107" s="93"/>
      <c r="C107" s="93"/>
      <c r="D107" s="93"/>
      <c r="E107" s="93"/>
      <c r="F107" s="93"/>
      <c r="G107" s="93"/>
      <c r="H107" s="93"/>
      <c r="I107" s="93"/>
      <c r="J107" s="93"/>
      <c r="K107" s="93"/>
      <c r="L107" s="93"/>
      <c r="M107" s="93"/>
      <c r="N107" s="93"/>
      <c r="O107" s="93"/>
      <c r="P107" s="93"/>
      <c r="Q107" s="93"/>
      <c r="R107" s="93"/>
      <c r="S107" s="93"/>
      <c r="T107" s="93"/>
      <c r="U107" s="93"/>
    </row>
    <row r="108" spans="1:53" ht="15.75" customHeight="1">
      <c r="A108" s="349"/>
      <c r="B108" s="349"/>
      <c r="C108" s="349"/>
      <c r="D108" s="349"/>
      <c r="E108" s="349"/>
      <c r="F108" s="349"/>
      <c r="G108" s="349"/>
      <c r="H108" s="349"/>
      <c r="I108" s="349"/>
      <c r="J108" s="349"/>
      <c r="K108" s="349"/>
      <c r="L108" s="349"/>
      <c r="M108" s="349"/>
      <c r="N108" s="349"/>
      <c r="O108" s="349"/>
      <c r="P108" s="349"/>
      <c r="Q108" s="349"/>
      <c r="R108" s="349"/>
      <c r="S108" s="349"/>
      <c r="T108" s="349"/>
      <c r="U108" s="349"/>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row>
    <row r="109" spans="1:53" ht="15.75" customHeight="1">
      <c r="A109" s="350"/>
      <c r="B109" s="350"/>
      <c r="C109" s="350"/>
      <c r="D109" s="350"/>
      <c r="E109" s="350"/>
      <c r="F109" s="350"/>
      <c r="G109" s="350"/>
      <c r="H109" s="350"/>
      <c r="I109" s="350"/>
      <c r="J109" s="350"/>
      <c r="K109" s="350"/>
      <c r="L109" s="350"/>
      <c r="M109" s="350"/>
      <c r="N109" s="350"/>
      <c r="O109" s="350"/>
      <c r="P109" s="350"/>
      <c r="Q109" s="350"/>
      <c r="R109" s="350"/>
      <c r="S109" s="350"/>
      <c r="T109" s="350"/>
      <c r="U109" s="350"/>
    </row>
    <row r="110" spans="1:53" ht="15.75" customHeight="1">
      <c r="A110" s="350"/>
      <c r="B110" s="350"/>
      <c r="C110" s="350"/>
      <c r="D110" s="350"/>
      <c r="E110" s="350"/>
      <c r="F110" s="350"/>
      <c r="G110" s="350"/>
      <c r="H110" s="350"/>
      <c r="I110" s="350"/>
      <c r="J110" s="350"/>
      <c r="K110" s="350"/>
      <c r="L110" s="350"/>
      <c r="M110" s="350"/>
      <c r="N110" s="350"/>
      <c r="O110" s="350"/>
      <c r="P110" s="350"/>
      <c r="Q110" s="350"/>
      <c r="R110" s="350"/>
      <c r="S110" s="350"/>
      <c r="T110" s="350"/>
      <c r="U110" s="350"/>
    </row>
    <row r="111" spans="1:53" ht="15.75" customHeight="1">
      <c r="A111" s="350"/>
      <c r="B111" s="350"/>
      <c r="C111" s="350"/>
      <c r="D111" s="350"/>
      <c r="E111" s="350"/>
      <c r="F111" s="350"/>
      <c r="G111" s="350"/>
      <c r="H111" s="350"/>
      <c r="I111" s="350"/>
      <c r="J111" s="350"/>
      <c r="K111" s="350"/>
      <c r="L111" s="350"/>
      <c r="M111" s="350"/>
      <c r="N111" s="350"/>
      <c r="O111" s="350"/>
      <c r="P111" s="350"/>
      <c r="Q111" s="350"/>
      <c r="R111" s="350"/>
      <c r="S111" s="350"/>
      <c r="T111" s="350"/>
      <c r="U111" s="350"/>
    </row>
    <row r="112" spans="1:53" ht="15.75" customHeight="1">
      <c r="A112" s="350"/>
      <c r="B112" s="350"/>
      <c r="C112" s="350"/>
      <c r="D112" s="350"/>
      <c r="E112" s="350"/>
      <c r="F112" s="350"/>
      <c r="G112" s="350"/>
      <c r="H112" s="350"/>
      <c r="I112" s="350"/>
      <c r="J112" s="350"/>
      <c r="K112" s="350"/>
      <c r="L112" s="350"/>
      <c r="M112" s="350"/>
      <c r="N112" s="350"/>
      <c r="O112" s="350"/>
      <c r="P112" s="350"/>
      <c r="Q112" s="350"/>
      <c r="R112" s="350"/>
      <c r="S112" s="350"/>
      <c r="T112" s="350"/>
      <c r="U112" s="350"/>
    </row>
    <row r="113" spans="1:21" ht="15.75" customHeight="1">
      <c r="A113" s="350"/>
      <c r="B113" s="350"/>
      <c r="C113" s="350"/>
      <c r="D113" s="350"/>
      <c r="E113" s="350"/>
      <c r="F113" s="350"/>
      <c r="G113" s="350"/>
      <c r="H113" s="350"/>
      <c r="I113" s="350"/>
      <c r="J113" s="350"/>
      <c r="K113" s="350"/>
      <c r="L113" s="350"/>
      <c r="M113" s="350"/>
      <c r="N113" s="350"/>
      <c r="O113" s="350"/>
      <c r="P113" s="350"/>
      <c r="Q113" s="350"/>
      <c r="R113" s="350"/>
      <c r="S113" s="350"/>
      <c r="T113" s="350"/>
      <c r="U113" s="350"/>
    </row>
    <row r="114" spans="1:21" ht="15.75" customHeight="1">
      <c r="A114" s="350"/>
      <c r="B114" s="350"/>
      <c r="C114" s="350"/>
      <c r="D114" s="350"/>
      <c r="E114" s="350"/>
      <c r="F114" s="350"/>
      <c r="G114" s="350"/>
      <c r="H114" s="350"/>
      <c r="I114" s="350"/>
      <c r="J114" s="350"/>
      <c r="K114" s="350"/>
      <c r="L114" s="350"/>
      <c r="M114" s="350"/>
      <c r="N114" s="350"/>
      <c r="O114" s="350"/>
      <c r="P114" s="350"/>
      <c r="Q114" s="350"/>
      <c r="R114" s="350"/>
      <c r="S114" s="350"/>
      <c r="T114" s="350"/>
      <c r="U114" s="350"/>
    </row>
    <row r="115" spans="1:21" ht="15.75" customHeight="1">
      <c r="A115" s="350"/>
      <c r="B115" s="350"/>
      <c r="C115" s="350"/>
      <c r="D115" s="350"/>
      <c r="E115" s="350"/>
      <c r="F115" s="350"/>
      <c r="G115" s="350"/>
      <c r="H115" s="350"/>
      <c r="I115" s="350"/>
      <c r="J115" s="350"/>
      <c r="K115" s="350"/>
      <c r="L115" s="350"/>
      <c r="M115" s="350"/>
      <c r="N115" s="350"/>
      <c r="O115" s="350"/>
      <c r="P115" s="350"/>
      <c r="Q115" s="350"/>
      <c r="R115" s="350"/>
      <c r="S115" s="350"/>
      <c r="T115" s="350"/>
      <c r="U115" s="350"/>
    </row>
    <row r="116" spans="1:21" ht="15.75" customHeight="1">
      <c r="A116" s="350"/>
      <c r="B116" s="350"/>
      <c r="C116" s="350"/>
      <c r="D116" s="350"/>
      <c r="E116" s="350"/>
      <c r="F116" s="350"/>
      <c r="G116" s="350"/>
      <c r="H116" s="350"/>
      <c r="I116" s="350"/>
      <c r="J116" s="350"/>
      <c r="K116" s="350"/>
      <c r="L116" s="350"/>
      <c r="M116" s="350"/>
      <c r="N116" s="350"/>
      <c r="O116" s="350"/>
      <c r="P116" s="350"/>
      <c r="Q116" s="350"/>
      <c r="R116" s="350"/>
      <c r="S116" s="350"/>
      <c r="T116" s="350"/>
      <c r="U116" s="350"/>
    </row>
    <row r="117" spans="1:21" ht="13.5" customHeight="1">
      <c r="A117" s="350"/>
      <c r="B117" s="350"/>
      <c r="C117" s="350"/>
      <c r="D117" s="350"/>
      <c r="E117" s="350"/>
      <c r="F117" s="350"/>
      <c r="G117" s="350"/>
      <c r="H117" s="350"/>
      <c r="I117" s="350"/>
      <c r="J117" s="350"/>
      <c r="K117" s="350"/>
      <c r="L117" s="350"/>
      <c r="M117" s="350"/>
      <c r="N117" s="350"/>
      <c r="O117" s="350"/>
      <c r="P117" s="350"/>
      <c r="Q117" s="350"/>
      <c r="R117" s="350"/>
      <c r="S117" s="350"/>
      <c r="T117" s="350"/>
      <c r="U117" s="350"/>
    </row>
    <row r="118" spans="1:21" ht="15.75" customHeight="1">
      <c r="A118" s="350"/>
      <c r="B118" s="350"/>
      <c r="C118" s="350"/>
      <c r="D118" s="350"/>
      <c r="E118" s="350"/>
      <c r="F118" s="350"/>
      <c r="G118" s="350"/>
      <c r="H118" s="350"/>
      <c r="I118" s="350"/>
      <c r="J118" s="350"/>
      <c r="K118" s="350"/>
      <c r="L118" s="350"/>
      <c r="M118" s="350"/>
      <c r="N118" s="350"/>
      <c r="O118" s="350"/>
      <c r="P118" s="350"/>
      <c r="Q118" s="350"/>
      <c r="R118" s="350"/>
      <c r="S118" s="350"/>
      <c r="T118" s="350"/>
      <c r="U118" s="350"/>
    </row>
    <row r="119" spans="1:21" ht="15.75" customHeight="1">
      <c r="A119" s="350"/>
      <c r="B119" s="350"/>
      <c r="C119" s="350"/>
      <c r="D119" s="350"/>
      <c r="E119" s="350"/>
      <c r="F119" s="350"/>
      <c r="G119" s="350"/>
      <c r="H119" s="350"/>
      <c r="I119" s="350"/>
      <c r="J119" s="350"/>
      <c r="K119" s="350"/>
      <c r="L119" s="350"/>
      <c r="M119" s="350"/>
      <c r="N119" s="350"/>
      <c r="O119" s="350"/>
      <c r="P119" s="350"/>
      <c r="Q119" s="350"/>
      <c r="R119" s="350"/>
      <c r="S119" s="350"/>
      <c r="T119" s="350"/>
      <c r="U119" s="350"/>
    </row>
    <row r="120" spans="1:21" ht="15.75" customHeight="1">
      <c r="A120" s="350"/>
      <c r="B120" s="350"/>
      <c r="C120" s="350"/>
      <c r="D120" s="350"/>
      <c r="E120" s="350"/>
      <c r="F120" s="350"/>
      <c r="G120" s="350"/>
      <c r="H120" s="350"/>
      <c r="I120" s="350"/>
      <c r="J120" s="350"/>
      <c r="K120" s="350"/>
      <c r="L120" s="350"/>
      <c r="M120" s="350"/>
      <c r="N120" s="350"/>
      <c r="O120" s="350"/>
      <c r="P120" s="350"/>
      <c r="Q120" s="350"/>
      <c r="R120" s="350"/>
      <c r="S120" s="350"/>
      <c r="T120" s="350"/>
      <c r="U120" s="350"/>
    </row>
    <row r="121" spans="1:21" ht="15.75" customHeight="1">
      <c r="A121" s="350"/>
      <c r="B121" s="350"/>
      <c r="C121" s="350"/>
      <c r="D121" s="350"/>
      <c r="E121" s="350"/>
      <c r="F121" s="350"/>
      <c r="G121" s="350"/>
      <c r="H121" s="350"/>
      <c r="I121" s="350"/>
      <c r="J121" s="350"/>
      <c r="K121" s="350"/>
      <c r="L121" s="350"/>
      <c r="M121" s="350"/>
      <c r="N121" s="350"/>
      <c r="O121" s="350"/>
      <c r="P121" s="350"/>
      <c r="Q121" s="350"/>
      <c r="R121" s="350"/>
      <c r="S121" s="350"/>
      <c r="T121" s="350"/>
      <c r="U121" s="350"/>
    </row>
    <row r="122" spans="1:21" ht="15.75" customHeight="1">
      <c r="A122" s="350"/>
      <c r="B122" s="350"/>
      <c r="C122" s="350"/>
      <c r="D122" s="350"/>
      <c r="E122" s="350"/>
      <c r="F122" s="350"/>
      <c r="G122" s="350"/>
      <c r="H122" s="350"/>
      <c r="I122" s="350"/>
      <c r="J122" s="350"/>
      <c r="K122" s="350"/>
      <c r="L122" s="350"/>
      <c r="M122" s="350"/>
      <c r="N122" s="350"/>
      <c r="O122" s="350"/>
      <c r="P122" s="350"/>
      <c r="Q122" s="350"/>
      <c r="R122" s="350"/>
      <c r="S122" s="350"/>
      <c r="T122" s="350"/>
      <c r="U122" s="350"/>
    </row>
    <row r="123" spans="1:21" ht="15.75" customHeight="1">
      <c r="A123" s="350"/>
      <c r="B123" s="350"/>
      <c r="C123" s="350"/>
      <c r="D123" s="350"/>
      <c r="E123" s="350"/>
      <c r="F123" s="350"/>
      <c r="G123" s="350"/>
      <c r="H123" s="350"/>
      <c r="I123" s="350"/>
      <c r="J123" s="350"/>
      <c r="K123" s="350"/>
      <c r="L123" s="350"/>
      <c r="M123" s="350"/>
      <c r="N123" s="350"/>
      <c r="O123" s="350"/>
      <c r="P123" s="350"/>
      <c r="Q123" s="350"/>
      <c r="R123" s="350"/>
      <c r="S123" s="350"/>
      <c r="T123" s="350"/>
      <c r="U123" s="350"/>
    </row>
    <row r="124" spans="1:21" ht="15.75" customHeight="1">
      <c r="A124" s="350"/>
      <c r="B124" s="350"/>
      <c r="C124" s="350"/>
      <c r="D124" s="350"/>
      <c r="E124" s="350"/>
      <c r="F124" s="350"/>
      <c r="G124" s="350"/>
      <c r="H124" s="350"/>
      <c r="I124" s="350"/>
      <c r="J124" s="350"/>
      <c r="K124" s="350"/>
      <c r="L124" s="350"/>
      <c r="M124" s="350"/>
      <c r="N124" s="350"/>
      <c r="O124" s="350"/>
      <c r="P124" s="350"/>
      <c r="Q124" s="350"/>
      <c r="R124" s="350"/>
      <c r="S124" s="350"/>
      <c r="T124" s="350"/>
      <c r="U124" s="350"/>
    </row>
    <row r="125" spans="1:21" ht="15.75" customHeight="1">
      <c r="A125" s="350"/>
      <c r="B125" s="350"/>
      <c r="C125" s="350"/>
      <c r="D125" s="350"/>
      <c r="E125" s="350"/>
      <c r="F125" s="350"/>
      <c r="G125" s="350"/>
      <c r="H125" s="350"/>
      <c r="I125" s="350"/>
      <c r="J125" s="350"/>
      <c r="K125" s="350"/>
      <c r="L125" s="350"/>
      <c r="M125" s="350"/>
      <c r="N125" s="350"/>
      <c r="O125" s="350"/>
      <c r="P125" s="350"/>
      <c r="Q125" s="350"/>
      <c r="R125" s="350"/>
      <c r="S125" s="350"/>
      <c r="T125" s="350"/>
      <c r="U125" s="350"/>
    </row>
    <row r="126" spans="1:21" ht="15.75" customHeight="1">
      <c r="A126" s="350"/>
      <c r="B126" s="350"/>
      <c r="C126" s="350"/>
      <c r="D126" s="350"/>
      <c r="E126" s="350"/>
      <c r="F126" s="350"/>
      <c r="G126" s="350"/>
      <c r="H126" s="350"/>
      <c r="I126" s="350"/>
      <c r="J126" s="350"/>
      <c r="K126" s="350"/>
      <c r="L126" s="350"/>
      <c r="M126" s="350"/>
      <c r="N126" s="350"/>
      <c r="O126" s="350"/>
      <c r="P126" s="350"/>
      <c r="Q126" s="350"/>
      <c r="R126" s="350"/>
      <c r="S126" s="350"/>
      <c r="T126" s="350"/>
      <c r="U126" s="350"/>
    </row>
    <row r="127" spans="1:21" ht="15.75" customHeight="1">
      <c r="A127" s="350"/>
      <c r="B127" s="350"/>
      <c r="C127" s="350"/>
      <c r="D127" s="350"/>
      <c r="E127" s="350"/>
      <c r="F127" s="350"/>
      <c r="G127" s="350"/>
      <c r="H127" s="350"/>
      <c r="I127" s="350"/>
      <c r="J127" s="350"/>
      <c r="K127" s="350"/>
      <c r="L127" s="350"/>
      <c r="M127" s="350"/>
      <c r="N127" s="350"/>
      <c r="O127" s="350"/>
      <c r="P127" s="350"/>
      <c r="Q127" s="350"/>
      <c r="R127" s="350"/>
      <c r="S127" s="350"/>
      <c r="T127" s="350"/>
      <c r="U127" s="350"/>
    </row>
    <row r="128" spans="1:21" ht="15.75" customHeight="1">
      <c r="A128" s="350"/>
      <c r="B128" s="350"/>
      <c r="C128" s="350"/>
      <c r="D128" s="350"/>
      <c r="E128" s="350"/>
      <c r="F128" s="350"/>
      <c r="G128" s="350"/>
      <c r="H128" s="350"/>
      <c r="I128" s="350"/>
      <c r="J128" s="350"/>
      <c r="K128" s="350"/>
      <c r="L128" s="350"/>
      <c r="M128" s="350"/>
      <c r="N128" s="350"/>
      <c r="O128" s="350"/>
      <c r="P128" s="350"/>
      <c r="Q128" s="350"/>
      <c r="R128" s="350"/>
      <c r="S128" s="350"/>
      <c r="T128" s="350"/>
      <c r="U128" s="350"/>
    </row>
    <row r="129" spans="1:21" ht="15.75" customHeight="1">
      <c r="A129" s="350"/>
      <c r="B129" s="350"/>
      <c r="C129" s="350"/>
      <c r="D129" s="350"/>
      <c r="E129" s="350"/>
      <c r="F129" s="350"/>
      <c r="G129" s="350"/>
      <c r="H129" s="350"/>
      <c r="I129" s="350"/>
      <c r="J129" s="350"/>
      <c r="K129" s="350"/>
      <c r="L129" s="350"/>
      <c r="M129" s="350"/>
      <c r="N129" s="350"/>
      <c r="O129" s="350"/>
      <c r="P129" s="350"/>
      <c r="Q129" s="350"/>
      <c r="R129" s="350"/>
      <c r="S129" s="350"/>
      <c r="T129" s="350"/>
      <c r="U129" s="350"/>
    </row>
    <row r="130" spans="1:21" ht="15.75" customHeight="1">
      <c r="A130" s="350"/>
      <c r="B130" s="350"/>
      <c r="C130" s="350"/>
      <c r="D130" s="350"/>
      <c r="E130" s="350"/>
      <c r="F130" s="350"/>
      <c r="G130" s="350"/>
      <c r="H130" s="350"/>
      <c r="I130" s="350"/>
      <c r="J130" s="350"/>
      <c r="K130" s="350"/>
      <c r="L130" s="350"/>
      <c r="M130" s="350"/>
      <c r="N130" s="350"/>
      <c r="O130" s="350"/>
      <c r="P130" s="350"/>
      <c r="Q130" s="350"/>
      <c r="R130" s="350"/>
      <c r="S130" s="350"/>
      <c r="T130" s="350"/>
      <c r="U130" s="350"/>
    </row>
    <row r="131" spans="1:21" ht="15.75" customHeight="1">
      <c r="A131" s="350"/>
      <c r="B131" s="350"/>
      <c r="C131" s="350"/>
      <c r="D131" s="350"/>
      <c r="E131" s="350"/>
      <c r="F131" s="350"/>
      <c r="G131" s="350"/>
      <c r="H131" s="350"/>
      <c r="I131" s="350"/>
      <c r="J131" s="350"/>
      <c r="K131" s="350"/>
      <c r="L131" s="350"/>
      <c r="M131" s="350"/>
      <c r="N131" s="350"/>
      <c r="O131" s="350"/>
      <c r="P131" s="350"/>
      <c r="Q131" s="350"/>
      <c r="R131" s="350"/>
      <c r="S131" s="350"/>
      <c r="T131" s="350"/>
      <c r="U131" s="350"/>
    </row>
    <row r="132" spans="1:21" ht="15.75" customHeight="1">
      <c r="A132" s="350"/>
      <c r="B132" s="350"/>
      <c r="C132" s="350"/>
      <c r="D132" s="350"/>
      <c r="E132" s="350"/>
      <c r="F132" s="350"/>
      <c r="G132" s="350"/>
      <c r="H132" s="350"/>
      <c r="I132" s="350"/>
      <c r="J132" s="350"/>
      <c r="K132" s="350"/>
      <c r="L132" s="350"/>
      <c r="M132" s="350"/>
      <c r="N132" s="350"/>
      <c r="O132" s="350"/>
      <c r="P132" s="350"/>
      <c r="Q132" s="350"/>
      <c r="R132" s="350"/>
      <c r="S132" s="350"/>
      <c r="T132" s="350"/>
      <c r="U132" s="350"/>
    </row>
    <row r="133" spans="1:21" ht="15.75" customHeight="1">
      <c r="A133" s="350"/>
      <c r="B133" s="350"/>
      <c r="C133" s="350"/>
      <c r="D133" s="350"/>
      <c r="E133" s="350"/>
      <c r="F133" s="350"/>
      <c r="G133" s="350"/>
      <c r="H133" s="350"/>
      <c r="I133" s="350"/>
      <c r="J133" s="350"/>
      <c r="K133" s="350"/>
      <c r="L133" s="350"/>
      <c r="M133" s="350"/>
      <c r="N133" s="350"/>
      <c r="O133" s="350"/>
      <c r="P133" s="350"/>
      <c r="Q133" s="350"/>
      <c r="R133" s="350"/>
      <c r="S133" s="350"/>
      <c r="T133" s="350"/>
      <c r="U133" s="350"/>
    </row>
    <row r="134" spans="1:21" ht="15.75" customHeight="1">
      <c r="A134" s="350"/>
      <c r="B134" s="350"/>
      <c r="C134" s="350"/>
      <c r="D134" s="350"/>
      <c r="E134" s="350"/>
      <c r="F134" s="350"/>
      <c r="G134" s="350"/>
      <c r="H134" s="350"/>
      <c r="I134" s="350"/>
      <c r="J134" s="350"/>
      <c r="K134" s="350"/>
      <c r="L134" s="350"/>
      <c r="M134" s="350"/>
      <c r="N134" s="350"/>
      <c r="O134" s="350"/>
      <c r="P134" s="350"/>
      <c r="Q134" s="350"/>
      <c r="R134" s="350"/>
      <c r="S134" s="350"/>
      <c r="T134" s="350"/>
      <c r="U134" s="350"/>
    </row>
    <row r="135" spans="1:21" ht="15.75" customHeight="1">
      <c r="A135" s="350"/>
      <c r="B135" s="350"/>
      <c r="C135" s="350"/>
      <c r="D135" s="350"/>
      <c r="E135" s="350"/>
      <c r="F135" s="350"/>
      <c r="G135" s="350"/>
      <c r="H135" s="350"/>
      <c r="I135" s="350"/>
      <c r="J135" s="350"/>
      <c r="K135" s="350"/>
      <c r="L135" s="350"/>
      <c r="M135" s="350"/>
      <c r="N135" s="350"/>
      <c r="O135" s="350"/>
      <c r="P135" s="350"/>
      <c r="Q135" s="350"/>
      <c r="R135" s="350"/>
      <c r="S135" s="350"/>
      <c r="T135" s="350"/>
      <c r="U135" s="350"/>
    </row>
    <row r="136" spans="1:21" ht="15.75" customHeight="1">
      <c r="A136" s="350"/>
      <c r="B136" s="350"/>
      <c r="C136" s="350"/>
      <c r="D136" s="350"/>
      <c r="E136" s="350"/>
      <c r="F136" s="350"/>
      <c r="G136" s="350"/>
      <c r="H136" s="350"/>
      <c r="I136" s="350"/>
      <c r="J136" s="350"/>
      <c r="K136" s="350"/>
      <c r="L136" s="350"/>
      <c r="M136" s="350"/>
      <c r="N136" s="350"/>
      <c r="O136" s="350"/>
      <c r="P136" s="350"/>
      <c r="Q136" s="350"/>
      <c r="R136" s="350"/>
      <c r="S136" s="350"/>
      <c r="T136" s="350"/>
      <c r="U136" s="350"/>
    </row>
    <row r="137" spans="1:21" ht="15.75" customHeight="1">
      <c r="A137" s="350"/>
      <c r="B137" s="350"/>
      <c r="C137" s="350"/>
      <c r="D137" s="350"/>
      <c r="E137" s="350"/>
      <c r="F137" s="350"/>
      <c r="G137" s="350"/>
      <c r="H137" s="350"/>
      <c r="I137" s="350"/>
      <c r="J137" s="350"/>
      <c r="K137" s="350"/>
      <c r="L137" s="350"/>
      <c r="M137" s="350"/>
      <c r="N137" s="350"/>
      <c r="O137" s="350"/>
      <c r="P137" s="350"/>
      <c r="Q137" s="350"/>
      <c r="R137" s="350"/>
      <c r="S137" s="350"/>
      <c r="T137" s="350"/>
      <c r="U137" s="350"/>
    </row>
    <row r="138" spans="1:21" ht="15.75" customHeight="1">
      <c r="A138" s="350"/>
      <c r="B138" s="350"/>
      <c r="C138" s="350"/>
      <c r="D138" s="350"/>
      <c r="E138" s="350"/>
      <c r="F138" s="350"/>
      <c r="G138" s="350"/>
      <c r="H138" s="350"/>
      <c r="I138" s="350"/>
      <c r="J138" s="350"/>
      <c r="K138" s="350"/>
      <c r="L138" s="350"/>
      <c r="M138" s="350"/>
      <c r="N138" s="350"/>
      <c r="O138" s="350"/>
      <c r="P138" s="350"/>
      <c r="Q138" s="350"/>
      <c r="R138" s="350"/>
      <c r="S138" s="350"/>
      <c r="T138" s="350"/>
      <c r="U138" s="350"/>
    </row>
    <row r="139" spans="1:21" ht="15.75" customHeight="1">
      <c r="A139" s="350"/>
      <c r="B139" s="350"/>
      <c r="C139" s="350"/>
      <c r="D139" s="350"/>
      <c r="E139" s="350"/>
      <c r="F139" s="350"/>
      <c r="G139" s="350"/>
      <c r="H139" s="350"/>
      <c r="I139" s="350"/>
      <c r="J139" s="350"/>
      <c r="K139" s="350"/>
      <c r="L139" s="350"/>
      <c r="M139" s="350"/>
      <c r="N139" s="350"/>
      <c r="O139" s="350"/>
      <c r="P139" s="350"/>
      <c r="Q139" s="350"/>
      <c r="R139" s="350"/>
      <c r="S139" s="350"/>
      <c r="T139" s="350"/>
      <c r="U139" s="350"/>
    </row>
    <row r="140" spans="1:21" ht="15.75" customHeight="1">
      <c r="A140" s="350"/>
      <c r="B140" s="350"/>
      <c r="C140" s="350"/>
      <c r="D140" s="350"/>
      <c r="E140" s="350"/>
      <c r="F140" s="350"/>
      <c r="G140" s="350"/>
      <c r="H140" s="350"/>
      <c r="I140" s="350"/>
      <c r="J140" s="350"/>
      <c r="K140" s="350"/>
      <c r="L140" s="350"/>
      <c r="M140" s="350"/>
      <c r="N140" s="350"/>
      <c r="O140" s="350"/>
      <c r="P140" s="350"/>
      <c r="Q140" s="350"/>
      <c r="R140" s="350"/>
      <c r="S140" s="350"/>
      <c r="T140" s="350"/>
      <c r="U140" s="350"/>
    </row>
    <row r="141" spans="1:21" ht="15.75" customHeight="1">
      <c r="A141" s="350"/>
      <c r="B141" s="350"/>
      <c r="C141" s="350"/>
      <c r="D141" s="350"/>
      <c r="E141" s="350"/>
      <c r="F141" s="350"/>
      <c r="G141" s="350"/>
      <c r="H141" s="350"/>
      <c r="I141" s="350"/>
      <c r="J141" s="350"/>
      <c r="K141" s="350"/>
      <c r="L141" s="350"/>
      <c r="M141" s="350"/>
      <c r="N141" s="350"/>
      <c r="O141" s="350"/>
      <c r="P141" s="350"/>
      <c r="Q141" s="350"/>
      <c r="R141" s="350"/>
      <c r="S141" s="350"/>
      <c r="T141" s="350"/>
      <c r="U141" s="350"/>
    </row>
    <row r="142" spans="1:21" ht="15.75" customHeight="1">
      <c r="A142" s="350"/>
      <c r="B142" s="350"/>
      <c r="C142" s="350"/>
      <c r="D142" s="350"/>
      <c r="E142" s="350"/>
      <c r="F142" s="350"/>
      <c r="G142" s="350"/>
      <c r="H142" s="350"/>
      <c r="I142" s="350"/>
      <c r="J142" s="350"/>
      <c r="K142" s="350"/>
      <c r="L142" s="350"/>
      <c r="M142" s="350"/>
      <c r="N142" s="350"/>
      <c r="O142" s="350"/>
      <c r="P142" s="350"/>
      <c r="Q142" s="350"/>
      <c r="R142" s="350"/>
      <c r="S142" s="350"/>
      <c r="T142" s="350"/>
      <c r="U142" s="350"/>
    </row>
    <row r="143" spans="1:21" ht="15.75" customHeight="1">
      <c r="A143" s="350"/>
      <c r="B143" s="350"/>
      <c r="C143" s="350"/>
      <c r="D143" s="350"/>
      <c r="E143" s="350"/>
      <c r="F143" s="350"/>
      <c r="G143" s="350"/>
      <c r="H143" s="350"/>
      <c r="I143" s="350"/>
      <c r="J143" s="350"/>
      <c r="K143" s="350"/>
      <c r="L143" s="350"/>
      <c r="M143" s="350"/>
      <c r="N143" s="350"/>
      <c r="O143" s="350"/>
      <c r="P143" s="350"/>
      <c r="Q143" s="350"/>
      <c r="R143" s="350"/>
      <c r="S143" s="350"/>
      <c r="T143" s="350"/>
      <c r="U143" s="350"/>
    </row>
    <row r="144" spans="1:21" ht="15.75" customHeight="1">
      <c r="A144" s="350"/>
      <c r="B144" s="350"/>
      <c r="C144" s="350"/>
      <c r="D144" s="350"/>
      <c r="E144" s="350"/>
      <c r="F144" s="350"/>
      <c r="G144" s="350"/>
      <c r="H144" s="350"/>
      <c r="I144" s="350"/>
      <c r="J144" s="350"/>
      <c r="K144" s="350"/>
      <c r="L144" s="350"/>
      <c r="M144" s="350"/>
      <c r="N144" s="350"/>
      <c r="O144" s="350"/>
      <c r="P144" s="350"/>
      <c r="Q144" s="350"/>
      <c r="R144" s="350"/>
      <c r="S144" s="350"/>
      <c r="T144" s="350"/>
      <c r="U144" s="350"/>
    </row>
    <row r="145" spans="1:21" ht="15.75" customHeight="1">
      <c r="A145" s="350"/>
      <c r="B145" s="350"/>
      <c r="C145" s="350"/>
      <c r="D145" s="350"/>
      <c r="E145" s="350"/>
      <c r="F145" s="350"/>
      <c r="G145" s="350"/>
      <c r="H145" s="350"/>
      <c r="I145" s="350"/>
      <c r="J145" s="350"/>
      <c r="K145" s="350"/>
      <c r="L145" s="350"/>
      <c r="M145" s="350"/>
      <c r="N145" s="350"/>
      <c r="O145" s="350"/>
      <c r="P145" s="350"/>
      <c r="Q145" s="350"/>
      <c r="R145" s="350"/>
      <c r="S145" s="350"/>
      <c r="T145" s="350"/>
      <c r="U145" s="350"/>
    </row>
    <row r="146" spans="1:21" ht="15.75" customHeight="1">
      <c r="A146" s="350"/>
      <c r="B146" s="350"/>
      <c r="C146" s="350"/>
      <c r="D146" s="350"/>
      <c r="E146" s="350"/>
      <c r="F146" s="350"/>
      <c r="G146" s="350"/>
      <c r="H146" s="350"/>
      <c r="I146" s="350"/>
      <c r="J146" s="350"/>
      <c r="K146" s="350"/>
      <c r="L146" s="350"/>
      <c r="M146" s="350"/>
      <c r="N146" s="350"/>
      <c r="O146" s="350"/>
      <c r="P146" s="350"/>
      <c r="Q146" s="350"/>
      <c r="R146" s="350"/>
      <c r="S146" s="350"/>
      <c r="T146" s="350"/>
      <c r="U146" s="350"/>
    </row>
    <row r="147" spans="1:21" ht="15.75" customHeight="1">
      <c r="A147" s="350"/>
      <c r="B147" s="350"/>
      <c r="C147" s="350"/>
      <c r="D147" s="350"/>
      <c r="E147" s="350"/>
      <c r="F147" s="350"/>
      <c r="G147" s="350"/>
      <c r="H147" s="350"/>
      <c r="I147" s="350"/>
      <c r="J147" s="350"/>
      <c r="K147" s="350"/>
      <c r="L147" s="350"/>
      <c r="M147" s="350"/>
      <c r="N147" s="350"/>
      <c r="O147" s="350"/>
      <c r="P147" s="350"/>
      <c r="Q147" s="350"/>
      <c r="R147" s="350"/>
      <c r="S147" s="350"/>
      <c r="T147" s="350"/>
      <c r="U147" s="350"/>
    </row>
    <row r="148" spans="1:21" ht="15.75" customHeight="1">
      <c r="A148" s="350"/>
      <c r="B148" s="350"/>
      <c r="C148" s="350"/>
      <c r="D148" s="350"/>
      <c r="E148" s="350"/>
      <c r="F148" s="350"/>
      <c r="G148" s="350"/>
      <c r="H148" s="350"/>
      <c r="I148" s="350"/>
      <c r="J148" s="350"/>
      <c r="K148" s="350"/>
      <c r="L148" s="350"/>
      <c r="M148" s="350"/>
      <c r="N148" s="350"/>
      <c r="O148" s="350"/>
      <c r="P148" s="350"/>
      <c r="Q148" s="350"/>
      <c r="R148" s="350"/>
      <c r="S148" s="350"/>
      <c r="T148" s="350"/>
      <c r="U148" s="350"/>
    </row>
    <row r="149" spans="1:21" ht="15.75" customHeight="1">
      <c r="A149" s="350"/>
      <c r="B149" s="350"/>
      <c r="C149" s="350"/>
      <c r="D149" s="350"/>
      <c r="E149" s="350"/>
      <c r="F149" s="350"/>
      <c r="G149" s="350"/>
      <c r="H149" s="350"/>
      <c r="I149" s="350"/>
      <c r="J149" s="350"/>
      <c r="K149" s="350"/>
      <c r="L149" s="350"/>
      <c r="M149" s="350"/>
      <c r="N149" s="350"/>
      <c r="O149" s="350"/>
      <c r="P149" s="350"/>
      <c r="Q149" s="350"/>
      <c r="R149" s="350"/>
      <c r="S149" s="350"/>
      <c r="T149" s="350"/>
      <c r="U149" s="350"/>
    </row>
    <row r="150" spans="1:21" ht="15.75" customHeight="1">
      <c r="A150" s="350"/>
      <c r="B150" s="350"/>
      <c r="C150" s="350"/>
      <c r="D150" s="350"/>
      <c r="E150" s="350"/>
      <c r="F150" s="350"/>
      <c r="G150" s="350"/>
      <c r="H150" s="350"/>
      <c r="I150" s="350"/>
      <c r="J150" s="350"/>
      <c r="K150" s="350"/>
      <c r="L150" s="350"/>
      <c r="M150" s="350"/>
      <c r="N150" s="350"/>
      <c r="O150" s="350"/>
      <c r="P150" s="350"/>
      <c r="Q150" s="350"/>
      <c r="R150" s="350"/>
      <c r="S150" s="350"/>
      <c r="T150" s="350"/>
      <c r="U150" s="350"/>
    </row>
    <row r="151" spans="1:21" ht="15.75" customHeight="1">
      <c r="A151" s="350"/>
      <c r="B151" s="350"/>
      <c r="C151" s="350"/>
      <c r="D151" s="350"/>
      <c r="E151" s="350"/>
      <c r="F151" s="350"/>
      <c r="G151" s="350"/>
      <c r="H151" s="350"/>
      <c r="I151" s="350"/>
      <c r="J151" s="350"/>
      <c r="K151" s="350"/>
      <c r="L151" s="350"/>
      <c r="M151" s="350"/>
      <c r="N151" s="350"/>
      <c r="O151" s="350"/>
      <c r="P151" s="350"/>
      <c r="Q151" s="350"/>
      <c r="R151" s="350"/>
      <c r="S151" s="350"/>
      <c r="T151" s="350"/>
      <c r="U151" s="350"/>
    </row>
    <row r="152" spans="1:21" ht="15.75" customHeight="1">
      <c r="A152" s="350"/>
      <c r="B152" s="350"/>
      <c r="C152" s="350"/>
      <c r="D152" s="350"/>
      <c r="E152" s="350"/>
      <c r="F152" s="350"/>
      <c r="G152" s="350"/>
      <c r="H152" s="350"/>
      <c r="I152" s="350"/>
      <c r="J152" s="350"/>
      <c r="K152" s="350"/>
      <c r="L152" s="350"/>
      <c r="M152" s="350"/>
      <c r="N152" s="350"/>
      <c r="O152" s="350"/>
      <c r="P152" s="350"/>
      <c r="Q152" s="350"/>
      <c r="R152" s="350"/>
      <c r="S152" s="350"/>
      <c r="T152" s="350"/>
      <c r="U152" s="350"/>
    </row>
    <row r="153" spans="1:21" ht="15.75" customHeight="1">
      <c r="A153" s="350"/>
      <c r="B153" s="350"/>
      <c r="C153" s="350"/>
      <c r="D153" s="350"/>
      <c r="E153" s="350"/>
      <c r="F153" s="350"/>
      <c r="G153" s="350"/>
      <c r="H153" s="350"/>
      <c r="I153" s="350"/>
      <c r="J153" s="350"/>
      <c r="K153" s="350"/>
      <c r="L153" s="350"/>
      <c r="M153" s="350"/>
      <c r="N153" s="350"/>
      <c r="O153" s="350"/>
      <c r="P153" s="350"/>
      <c r="Q153" s="350"/>
      <c r="R153" s="350"/>
      <c r="S153" s="350"/>
      <c r="T153" s="350"/>
      <c r="U153" s="350"/>
    </row>
    <row r="154" spans="1:21" ht="15.75" customHeight="1">
      <c r="A154" s="350"/>
      <c r="B154" s="350"/>
      <c r="C154" s="350"/>
      <c r="D154" s="350"/>
      <c r="E154" s="350"/>
      <c r="F154" s="350"/>
      <c r="G154" s="350"/>
      <c r="H154" s="350"/>
      <c r="I154" s="350"/>
      <c r="J154" s="350"/>
      <c r="K154" s="350"/>
      <c r="L154" s="350"/>
      <c r="M154" s="350"/>
      <c r="N154" s="350"/>
      <c r="O154" s="350"/>
      <c r="P154" s="350"/>
      <c r="Q154" s="350"/>
      <c r="R154" s="350"/>
      <c r="S154" s="350"/>
      <c r="T154" s="350"/>
      <c r="U154" s="350"/>
    </row>
    <row r="155" spans="1:21" ht="15.75" customHeight="1">
      <c r="A155" s="350"/>
      <c r="B155" s="350"/>
      <c r="C155" s="350"/>
      <c r="D155" s="350"/>
      <c r="E155" s="350"/>
      <c r="F155" s="350"/>
      <c r="G155" s="350"/>
      <c r="H155" s="350"/>
      <c r="I155" s="350"/>
      <c r="J155" s="350"/>
      <c r="K155" s="350"/>
      <c r="L155" s="350"/>
      <c r="M155" s="350"/>
      <c r="N155" s="350"/>
      <c r="O155" s="350"/>
      <c r="P155" s="350"/>
      <c r="Q155" s="350"/>
      <c r="R155" s="350"/>
      <c r="S155" s="350"/>
      <c r="T155" s="350"/>
      <c r="U155" s="350"/>
    </row>
    <row r="156" spans="1:21" ht="15.75" customHeight="1">
      <c r="A156" s="350"/>
      <c r="B156" s="350"/>
      <c r="C156" s="350"/>
      <c r="D156" s="350"/>
      <c r="E156" s="350"/>
      <c r="F156" s="350"/>
      <c r="G156" s="350"/>
      <c r="H156" s="350"/>
      <c r="I156" s="350"/>
      <c r="J156" s="350"/>
      <c r="K156" s="350"/>
      <c r="L156" s="350"/>
      <c r="M156" s="350"/>
      <c r="N156" s="350"/>
      <c r="O156" s="350"/>
      <c r="P156" s="350"/>
      <c r="Q156" s="350"/>
      <c r="R156" s="350"/>
      <c r="S156" s="350"/>
      <c r="T156" s="350"/>
      <c r="U156" s="350"/>
    </row>
    <row r="157" spans="1:21" ht="15.75" customHeight="1">
      <c r="A157" s="350"/>
      <c r="B157" s="350"/>
      <c r="C157" s="350"/>
      <c r="D157" s="350"/>
      <c r="E157" s="350"/>
      <c r="F157" s="350"/>
      <c r="G157" s="350"/>
      <c r="H157" s="350"/>
      <c r="I157" s="350"/>
      <c r="J157" s="350"/>
      <c r="K157" s="350"/>
      <c r="L157" s="350"/>
      <c r="M157" s="350"/>
      <c r="N157" s="350"/>
      <c r="O157" s="350"/>
      <c r="P157" s="350"/>
      <c r="Q157" s="350"/>
      <c r="R157" s="350"/>
      <c r="S157" s="350"/>
      <c r="T157" s="350"/>
      <c r="U157" s="350"/>
    </row>
    <row r="158" spans="1:21" ht="15.75" customHeight="1">
      <c r="A158" s="350"/>
      <c r="B158" s="350"/>
      <c r="C158" s="350"/>
      <c r="D158" s="350"/>
      <c r="E158" s="350"/>
      <c r="F158" s="350"/>
      <c r="G158" s="350"/>
      <c r="H158" s="350"/>
      <c r="I158" s="350"/>
      <c r="J158" s="350"/>
      <c r="K158" s="350"/>
      <c r="L158" s="350"/>
      <c r="M158" s="350"/>
      <c r="N158" s="350"/>
      <c r="O158" s="350"/>
      <c r="P158" s="350"/>
      <c r="Q158" s="350"/>
      <c r="R158" s="350"/>
      <c r="S158" s="350"/>
      <c r="T158" s="350"/>
      <c r="U158" s="350"/>
    </row>
    <row r="159" spans="1:21" ht="15.75" customHeight="1">
      <c r="A159" s="350"/>
      <c r="B159" s="350"/>
      <c r="C159" s="350"/>
      <c r="D159" s="350"/>
      <c r="E159" s="350"/>
      <c r="F159" s="350"/>
      <c r="G159" s="350"/>
      <c r="H159" s="350"/>
      <c r="I159" s="350"/>
      <c r="J159" s="350"/>
      <c r="K159" s="350"/>
      <c r="L159" s="350"/>
      <c r="M159" s="350"/>
      <c r="N159" s="350"/>
      <c r="O159" s="350"/>
      <c r="P159" s="350"/>
      <c r="Q159" s="350"/>
      <c r="R159" s="350"/>
      <c r="S159" s="350"/>
      <c r="T159" s="350"/>
      <c r="U159" s="350"/>
    </row>
    <row r="160" spans="1:21" ht="15.75" customHeight="1">
      <c r="A160" s="350"/>
      <c r="B160" s="350"/>
      <c r="C160" s="350"/>
      <c r="D160" s="350"/>
      <c r="E160" s="350"/>
      <c r="F160" s="350"/>
      <c r="G160" s="350"/>
      <c r="H160" s="350"/>
      <c r="I160" s="350"/>
      <c r="J160" s="350"/>
      <c r="K160" s="350"/>
      <c r="L160" s="350"/>
      <c r="M160" s="350"/>
      <c r="N160" s="350"/>
      <c r="O160" s="350"/>
      <c r="P160" s="350"/>
      <c r="Q160" s="350"/>
      <c r="R160" s="350"/>
      <c r="S160" s="350"/>
      <c r="T160" s="350"/>
      <c r="U160" s="350"/>
    </row>
    <row r="161" spans="1:21" ht="15.75" customHeight="1">
      <c r="A161" s="350"/>
      <c r="B161" s="350"/>
      <c r="C161" s="350"/>
      <c r="D161" s="350"/>
      <c r="E161" s="350"/>
      <c r="F161" s="350"/>
      <c r="G161" s="350"/>
      <c r="H161" s="350"/>
      <c r="I161" s="350"/>
      <c r="J161" s="350"/>
      <c r="K161" s="350"/>
      <c r="L161" s="350"/>
      <c r="M161" s="350"/>
      <c r="N161" s="350"/>
      <c r="O161" s="350"/>
      <c r="P161" s="350"/>
      <c r="Q161" s="350"/>
      <c r="R161" s="350"/>
      <c r="S161" s="350"/>
      <c r="T161" s="350"/>
      <c r="U161" s="350"/>
    </row>
    <row r="162" spans="1:21" ht="15.75" customHeight="1">
      <c r="A162" s="350"/>
      <c r="B162" s="350"/>
      <c r="C162" s="350"/>
      <c r="D162" s="350"/>
      <c r="E162" s="350"/>
      <c r="F162" s="350"/>
      <c r="G162" s="350"/>
      <c r="H162" s="350"/>
      <c r="I162" s="350"/>
      <c r="J162" s="350"/>
      <c r="K162" s="350"/>
      <c r="L162" s="350"/>
      <c r="M162" s="350"/>
      <c r="N162" s="350"/>
      <c r="O162" s="350"/>
      <c r="P162" s="350"/>
      <c r="Q162" s="350"/>
      <c r="R162" s="350"/>
      <c r="S162" s="350"/>
      <c r="T162" s="350"/>
      <c r="U162" s="350"/>
    </row>
    <row r="163" spans="1:21" ht="15.75" customHeight="1">
      <c r="A163" s="350"/>
      <c r="B163" s="350"/>
      <c r="C163" s="350"/>
      <c r="D163" s="350"/>
      <c r="E163" s="350"/>
      <c r="F163" s="350"/>
      <c r="G163" s="350"/>
      <c r="H163" s="350"/>
      <c r="I163" s="350"/>
      <c r="J163" s="350"/>
      <c r="K163" s="350"/>
      <c r="L163" s="350"/>
      <c r="M163" s="350"/>
      <c r="N163" s="350"/>
      <c r="O163" s="350"/>
      <c r="P163" s="350"/>
      <c r="Q163" s="350"/>
      <c r="R163" s="350"/>
      <c r="S163" s="350"/>
      <c r="T163" s="350"/>
      <c r="U163" s="350"/>
    </row>
    <row r="164" spans="1:21" ht="15.75" customHeight="1">
      <c r="A164" s="350"/>
      <c r="B164" s="350"/>
      <c r="C164" s="350"/>
      <c r="D164" s="350"/>
      <c r="E164" s="350"/>
      <c r="F164" s="350"/>
      <c r="G164" s="350"/>
      <c r="H164" s="350"/>
      <c r="I164" s="350"/>
      <c r="J164" s="350"/>
      <c r="K164" s="350"/>
      <c r="L164" s="350"/>
      <c r="M164" s="350"/>
      <c r="N164" s="350"/>
      <c r="O164" s="350"/>
      <c r="P164" s="350"/>
      <c r="Q164" s="350"/>
      <c r="R164" s="350"/>
      <c r="S164" s="350"/>
      <c r="T164" s="350"/>
      <c r="U164" s="350"/>
    </row>
    <row r="165" spans="1:21" ht="15.75" customHeight="1">
      <c r="A165" s="350"/>
      <c r="B165" s="350"/>
      <c r="C165" s="350"/>
      <c r="D165" s="350"/>
      <c r="E165" s="350"/>
      <c r="F165" s="350"/>
      <c r="G165" s="350"/>
      <c r="H165" s="350"/>
      <c r="I165" s="350"/>
      <c r="J165" s="350"/>
      <c r="K165" s="350"/>
      <c r="L165" s="350"/>
      <c r="M165" s="350"/>
      <c r="N165" s="350"/>
      <c r="O165" s="350"/>
      <c r="P165" s="350"/>
      <c r="Q165" s="350"/>
      <c r="R165" s="350"/>
      <c r="S165" s="350"/>
      <c r="T165" s="350"/>
      <c r="U165" s="350"/>
    </row>
    <row r="166" spans="1:21" ht="15.75" customHeight="1">
      <c r="A166" s="350"/>
      <c r="B166" s="350"/>
      <c r="C166" s="350"/>
      <c r="D166" s="350"/>
      <c r="E166" s="350"/>
      <c r="F166" s="350"/>
      <c r="G166" s="350"/>
      <c r="H166" s="350"/>
      <c r="I166" s="350"/>
      <c r="J166" s="350"/>
      <c r="K166" s="350"/>
      <c r="L166" s="350"/>
      <c r="M166" s="350"/>
      <c r="N166" s="350"/>
      <c r="O166" s="350"/>
      <c r="P166" s="350"/>
      <c r="Q166" s="350"/>
      <c r="R166" s="350"/>
      <c r="S166" s="350"/>
      <c r="T166" s="350"/>
      <c r="U166" s="350"/>
    </row>
    <row r="167" spans="1:21" ht="15.75" customHeight="1">
      <c r="A167" s="350"/>
      <c r="B167" s="350"/>
      <c r="C167" s="350"/>
      <c r="D167" s="350"/>
      <c r="E167" s="350"/>
      <c r="F167" s="350"/>
      <c r="G167" s="350"/>
      <c r="H167" s="350"/>
      <c r="I167" s="350"/>
      <c r="J167" s="350"/>
      <c r="K167" s="350"/>
      <c r="L167" s="350"/>
      <c r="M167" s="350"/>
      <c r="N167" s="350"/>
      <c r="O167" s="350"/>
      <c r="P167" s="350"/>
      <c r="Q167" s="350"/>
      <c r="R167" s="350"/>
      <c r="S167" s="350"/>
      <c r="T167" s="350"/>
      <c r="U167" s="350"/>
    </row>
    <row r="168" spans="1:21" ht="15.75" customHeight="1">
      <c r="A168" s="350"/>
      <c r="B168" s="350"/>
      <c r="C168" s="350"/>
      <c r="D168" s="350"/>
      <c r="E168" s="350"/>
      <c r="F168" s="350"/>
      <c r="G168" s="350"/>
      <c r="H168" s="350"/>
      <c r="I168" s="350"/>
      <c r="J168" s="350"/>
      <c r="K168" s="350"/>
      <c r="L168" s="350"/>
      <c r="M168" s="350"/>
      <c r="N168" s="350"/>
      <c r="O168" s="350"/>
      <c r="P168" s="350"/>
      <c r="Q168" s="350"/>
      <c r="R168" s="350"/>
      <c r="S168" s="350"/>
      <c r="T168" s="350"/>
      <c r="U168" s="350"/>
    </row>
    <row r="169" spans="1:21" ht="15.75" customHeight="1">
      <c r="A169" s="350"/>
      <c r="B169" s="350"/>
      <c r="C169" s="350"/>
      <c r="D169" s="350"/>
      <c r="E169" s="350"/>
      <c r="F169" s="350"/>
      <c r="G169" s="350"/>
      <c r="H169" s="350"/>
      <c r="I169" s="350"/>
      <c r="J169" s="350"/>
      <c r="K169" s="350"/>
      <c r="L169" s="350"/>
      <c r="M169" s="350"/>
      <c r="N169" s="350"/>
      <c r="O169" s="350"/>
      <c r="P169" s="350"/>
      <c r="Q169" s="350"/>
      <c r="R169" s="350"/>
      <c r="S169" s="350"/>
      <c r="T169" s="350"/>
      <c r="U169" s="350"/>
    </row>
    <row r="170" spans="1:21" ht="15.75" customHeight="1">
      <c r="A170" s="350"/>
      <c r="B170" s="350"/>
      <c r="C170" s="350"/>
      <c r="D170" s="350"/>
      <c r="E170" s="350"/>
      <c r="F170" s="350"/>
      <c r="G170" s="350"/>
      <c r="H170" s="350"/>
      <c r="I170" s="350"/>
      <c r="J170" s="350"/>
      <c r="K170" s="350"/>
      <c r="L170" s="350"/>
      <c r="M170" s="350"/>
      <c r="N170" s="350"/>
      <c r="O170" s="350"/>
      <c r="P170" s="350"/>
      <c r="Q170" s="350"/>
      <c r="R170" s="350"/>
      <c r="S170" s="350"/>
      <c r="T170" s="350"/>
      <c r="U170" s="350"/>
    </row>
    <row r="171" spans="1:21" ht="15.75" customHeight="1">
      <c r="A171" s="350"/>
      <c r="B171" s="350"/>
      <c r="C171" s="350"/>
      <c r="D171" s="350"/>
      <c r="E171" s="350"/>
      <c r="F171" s="350"/>
      <c r="G171" s="350"/>
      <c r="H171" s="350"/>
      <c r="I171" s="350"/>
      <c r="J171" s="350"/>
      <c r="K171" s="350"/>
      <c r="L171" s="350"/>
      <c r="M171" s="350"/>
      <c r="N171" s="350"/>
      <c r="O171" s="350"/>
      <c r="P171" s="350"/>
      <c r="Q171" s="350"/>
      <c r="R171" s="350"/>
      <c r="S171" s="350"/>
      <c r="T171" s="350"/>
      <c r="U171" s="350"/>
    </row>
    <row r="172" spans="1:21" ht="15.75" customHeight="1">
      <c r="A172" s="350"/>
      <c r="B172" s="350"/>
      <c r="C172" s="350"/>
      <c r="D172" s="350"/>
      <c r="E172" s="350"/>
      <c r="F172" s="350"/>
      <c r="G172" s="350"/>
      <c r="H172" s="350"/>
      <c r="I172" s="350"/>
      <c r="J172" s="350"/>
      <c r="K172" s="350"/>
      <c r="L172" s="350"/>
      <c r="M172" s="350"/>
      <c r="N172" s="350"/>
      <c r="O172" s="350"/>
      <c r="P172" s="350"/>
      <c r="Q172" s="350"/>
      <c r="R172" s="350"/>
      <c r="S172" s="350"/>
      <c r="T172" s="350"/>
      <c r="U172" s="350"/>
    </row>
    <row r="173" spans="1:21" ht="15.75" customHeight="1">
      <c r="A173" s="350"/>
      <c r="B173" s="350"/>
      <c r="C173" s="350"/>
      <c r="D173" s="350"/>
      <c r="E173" s="350"/>
      <c r="F173" s="350"/>
      <c r="G173" s="350"/>
      <c r="H173" s="350"/>
      <c r="I173" s="350"/>
      <c r="J173" s="350"/>
      <c r="K173" s="350"/>
      <c r="L173" s="350"/>
      <c r="M173" s="350"/>
      <c r="N173" s="350"/>
      <c r="O173" s="350"/>
      <c r="P173" s="350"/>
      <c r="Q173" s="350"/>
      <c r="R173" s="350"/>
      <c r="S173" s="350"/>
      <c r="T173" s="350"/>
      <c r="U173" s="350"/>
    </row>
    <row r="174" spans="1:21" ht="15.75" customHeight="1">
      <c r="A174" s="350"/>
      <c r="B174" s="350"/>
      <c r="C174" s="350"/>
      <c r="D174" s="350"/>
      <c r="E174" s="350"/>
      <c r="F174" s="350"/>
      <c r="G174" s="350"/>
      <c r="H174" s="350"/>
      <c r="I174" s="350"/>
      <c r="J174" s="350"/>
      <c r="K174" s="350"/>
      <c r="L174" s="350"/>
      <c r="M174" s="350"/>
      <c r="N174" s="350"/>
      <c r="O174" s="350"/>
      <c r="P174" s="350"/>
      <c r="Q174" s="350"/>
      <c r="R174" s="350"/>
      <c r="S174" s="350"/>
      <c r="T174" s="350"/>
      <c r="U174" s="350"/>
    </row>
    <row r="175" spans="1:21" ht="15.75" customHeight="1">
      <c r="A175" s="350"/>
      <c r="B175" s="350"/>
      <c r="C175" s="350"/>
      <c r="D175" s="350"/>
      <c r="E175" s="350"/>
      <c r="F175" s="350"/>
      <c r="G175" s="350"/>
      <c r="H175" s="350"/>
      <c r="I175" s="350"/>
      <c r="J175" s="350"/>
      <c r="K175" s="350"/>
      <c r="L175" s="350"/>
      <c r="M175" s="350"/>
      <c r="N175" s="350"/>
      <c r="O175" s="350"/>
      <c r="P175" s="350"/>
      <c r="Q175" s="350"/>
      <c r="R175" s="350"/>
      <c r="S175" s="350"/>
      <c r="T175" s="350"/>
      <c r="U175" s="350"/>
    </row>
    <row r="176" spans="1:21" ht="15.75" customHeight="1">
      <c r="A176" s="350"/>
      <c r="B176" s="350"/>
      <c r="C176" s="350"/>
      <c r="D176" s="350"/>
      <c r="E176" s="350"/>
      <c r="F176" s="350"/>
      <c r="G176" s="350"/>
      <c r="H176" s="350"/>
      <c r="I176" s="350"/>
      <c r="J176" s="350"/>
      <c r="K176" s="350"/>
      <c r="L176" s="350"/>
      <c r="M176" s="350"/>
      <c r="N176" s="350"/>
      <c r="O176" s="350"/>
      <c r="P176" s="350"/>
      <c r="Q176" s="350"/>
      <c r="R176" s="350"/>
      <c r="S176" s="350"/>
      <c r="T176" s="350"/>
      <c r="U176" s="350"/>
    </row>
    <row r="177" spans="1:21" ht="15.75" customHeight="1">
      <c r="A177" s="350"/>
      <c r="B177" s="350"/>
      <c r="C177" s="350"/>
      <c r="D177" s="350"/>
      <c r="E177" s="350"/>
      <c r="F177" s="350"/>
      <c r="G177" s="350"/>
      <c r="H177" s="350"/>
      <c r="I177" s="350"/>
      <c r="J177" s="350"/>
      <c r="K177" s="350"/>
      <c r="L177" s="350"/>
      <c r="M177" s="350"/>
      <c r="N177" s="350"/>
      <c r="O177" s="350"/>
      <c r="P177" s="350"/>
      <c r="Q177" s="350"/>
      <c r="R177" s="350"/>
      <c r="S177" s="350"/>
      <c r="T177" s="350"/>
      <c r="U177" s="350"/>
    </row>
    <row r="178" spans="1:21" ht="15.75" customHeight="1">
      <c r="A178" s="350"/>
      <c r="B178" s="350"/>
      <c r="C178" s="350"/>
      <c r="D178" s="350"/>
      <c r="E178" s="350"/>
      <c r="F178" s="350"/>
      <c r="G178" s="350"/>
      <c r="H178" s="350"/>
      <c r="I178" s="350"/>
      <c r="J178" s="350"/>
      <c r="K178" s="350"/>
      <c r="L178" s="350"/>
      <c r="M178" s="350"/>
      <c r="N178" s="350"/>
      <c r="O178" s="350"/>
      <c r="P178" s="350"/>
      <c r="Q178" s="350"/>
      <c r="R178" s="350"/>
      <c r="S178" s="350"/>
      <c r="T178" s="350"/>
      <c r="U178" s="350"/>
    </row>
    <row r="179" spans="1:21" ht="15.75" customHeight="1">
      <c r="A179" s="350"/>
      <c r="B179" s="350"/>
      <c r="C179" s="350"/>
      <c r="D179" s="350"/>
      <c r="E179" s="350"/>
      <c r="F179" s="350"/>
      <c r="G179" s="350"/>
      <c r="H179" s="350"/>
      <c r="I179" s="350"/>
      <c r="J179" s="350"/>
      <c r="K179" s="350"/>
      <c r="L179" s="350"/>
      <c r="M179" s="350"/>
      <c r="N179" s="350"/>
      <c r="O179" s="350"/>
      <c r="P179" s="350"/>
      <c r="Q179" s="350"/>
      <c r="R179" s="350"/>
      <c r="S179" s="350"/>
      <c r="T179" s="350"/>
      <c r="U179" s="350"/>
    </row>
    <row r="180" spans="1:21" ht="15.75" customHeight="1">
      <c r="A180" s="350"/>
      <c r="B180" s="350"/>
      <c r="C180" s="350"/>
      <c r="D180" s="350"/>
      <c r="E180" s="350"/>
      <c r="F180" s="350"/>
      <c r="G180" s="350"/>
      <c r="H180" s="350"/>
      <c r="I180" s="350"/>
      <c r="J180" s="350"/>
      <c r="K180" s="350"/>
      <c r="L180" s="350"/>
      <c r="M180" s="350"/>
      <c r="N180" s="350"/>
      <c r="O180" s="350"/>
      <c r="P180" s="350"/>
      <c r="Q180" s="350"/>
      <c r="R180" s="350"/>
      <c r="S180" s="350"/>
      <c r="T180" s="350"/>
      <c r="U180" s="350"/>
    </row>
    <row r="181" spans="1:21" ht="15.75" customHeight="1">
      <c r="A181" s="350"/>
      <c r="B181" s="350"/>
      <c r="C181" s="350"/>
      <c r="D181" s="350"/>
      <c r="E181" s="350"/>
      <c r="F181" s="350"/>
      <c r="G181" s="350"/>
      <c r="H181" s="350"/>
      <c r="I181" s="350"/>
      <c r="J181" s="350"/>
      <c r="K181" s="350"/>
      <c r="L181" s="350"/>
      <c r="M181" s="350"/>
      <c r="N181" s="350"/>
      <c r="O181" s="350"/>
      <c r="P181" s="350"/>
      <c r="Q181" s="350"/>
      <c r="R181" s="350"/>
      <c r="S181" s="350"/>
      <c r="T181" s="350"/>
      <c r="U181" s="350"/>
    </row>
    <row r="182" spans="1:21" ht="15.75" customHeight="1">
      <c r="A182" s="350"/>
      <c r="B182" s="350"/>
      <c r="C182" s="350"/>
      <c r="D182" s="350"/>
      <c r="E182" s="350"/>
      <c r="F182" s="350"/>
      <c r="G182" s="350"/>
      <c r="H182" s="350"/>
      <c r="I182" s="350"/>
      <c r="J182" s="350"/>
      <c r="K182" s="350"/>
      <c r="L182" s="350"/>
      <c r="M182" s="350"/>
      <c r="N182" s="350"/>
      <c r="O182" s="350"/>
      <c r="P182" s="350"/>
      <c r="Q182" s="350"/>
      <c r="R182" s="350"/>
      <c r="S182" s="350"/>
      <c r="T182" s="350"/>
      <c r="U182" s="350"/>
    </row>
    <row r="183" spans="1:21" ht="15.75" customHeight="1">
      <c r="A183" s="350"/>
      <c r="B183" s="350"/>
      <c r="C183" s="350"/>
      <c r="D183" s="350"/>
      <c r="E183" s="350"/>
      <c r="F183" s="350"/>
      <c r="G183" s="350"/>
      <c r="H183" s="350"/>
      <c r="I183" s="350"/>
      <c r="J183" s="350"/>
      <c r="K183" s="350"/>
      <c r="L183" s="350"/>
      <c r="M183" s="350"/>
      <c r="N183" s="350"/>
      <c r="O183" s="350"/>
      <c r="P183" s="350"/>
      <c r="Q183" s="350"/>
      <c r="R183" s="350"/>
      <c r="S183" s="350"/>
      <c r="T183" s="350"/>
      <c r="U183" s="350"/>
    </row>
    <row r="184" spans="1:21" ht="15.75" customHeight="1">
      <c r="A184" s="350"/>
      <c r="B184" s="350"/>
      <c r="C184" s="350"/>
      <c r="D184" s="350"/>
      <c r="E184" s="350"/>
      <c r="F184" s="350"/>
      <c r="G184" s="350"/>
      <c r="H184" s="350"/>
      <c r="I184" s="350"/>
      <c r="J184" s="350"/>
      <c r="K184" s="350"/>
      <c r="L184" s="350"/>
      <c r="M184" s="350"/>
      <c r="N184" s="350"/>
      <c r="O184" s="350"/>
      <c r="P184" s="350"/>
      <c r="Q184" s="350"/>
      <c r="R184" s="350"/>
      <c r="S184" s="350"/>
      <c r="T184" s="350"/>
      <c r="U184" s="350"/>
    </row>
    <row r="185" spans="1:21" ht="15.75" customHeight="1">
      <c r="A185" s="350"/>
      <c r="B185" s="350"/>
      <c r="C185" s="350"/>
      <c r="D185" s="350"/>
      <c r="E185" s="350"/>
      <c r="F185" s="350"/>
      <c r="G185" s="350"/>
      <c r="H185" s="350"/>
      <c r="I185" s="350"/>
      <c r="J185" s="350"/>
      <c r="K185" s="350"/>
      <c r="L185" s="350"/>
      <c r="M185" s="350"/>
      <c r="N185" s="350"/>
      <c r="O185" s="350"/>
      <c r="P185" s="350"/>
      <c r="Q185" s="350"/>
      <c r="R185" s="350"/>
      <c r="S185" s="350"/>
      <c r="T185" s="350"/>
      <c r="U185" s="350"/>
    </row>
    <row r="186" spans="1:21" ht="15.75" customHeight="1">
      <c r="A186" s="350"/>
      <c r="B186" s="350"/>
      <c r="C186" s="350"/>
      <c r="D186" s="350"/>
      <c r="E186" s="350"/>
      <c r="F186" s="350"/>
      <c r="G186" s="350"/>
      <c r="H186" s="350"/>
      <c r="I186" s="350"/>
      <c r="J186" s="350"/>
      <c r="K186" s="350"/>
      <c r="L186" s="350"/>
      <c r="M186" s="350"/>
      <c r="N186" s="350"/>
      <c r="O186" s="350"/>
      <c r="P186" s="350"/>
      <c r="Q186" s="350"/>
      <c r="R186" s="350"/>
      <c r="S186" s="350"/>
      <c r="T186" s="350"/>
      <c r="U186" s="350"/>
    </row>
    <row r="187" spans="1:21" ht="15.75" customHeight="1">
      <c r="A187" s="350"/>
      <c r="B187" s="350"/>
      <c r="C187" s="350"/>
      <c r="D187" s="350"/>
      <c r="E187" s="350"/>
      <c r="F187" s="350"/>
      <c r="G187" s="350"/>
      <c r="H187" s="350"/>
      <c r="I187" s="350"/>
      <c r="J187" s="350"/>
      <c r="K187" s="350"/>
      <c r="L187" s="350"/>
      <c r="M187" s="350"/>
      <c r="N187" s="350"/>
      <c r="O187" s="350"/>
      <c r="P187" s="350"/>
      <c r="Q187" s="350"/>
      <c r="R187" s="350"/>
      <c r="S187" s="350"/>
      <c r="T187" s="350"/>
      <c r="U187" s="350"/>
    </row>
    <row r="188" spans="1:21" ht="15.75" customHeight="1">
      <c r="A188" s="350"/>
      <c r="B188" s="350"/>
      <c r="C188" s="350"/>
      <c r="D188" s="350"/>
      <c r="E188" s="350"/>
      <c r="F188" s="350"/>
      <c r="G188" s="350"/>
      <c r="H188" s="350"/>
      <c r="I188" s="350"/>
      <c r="J188" s="350"/>
      <c r="K188" s="350"/>
      <c r="L188" s="350"/>
      <c r="M188" s="350"/>
      <c r="N188" s="350"/>
      <c r="O188" s="350"/>
      <c r="P188" s="350"/>
      <c r="Q188" s="350"/>
      <c r="R188" s="350"/>
      <c r="S188" s="350"/>
      <c r="T188" s="350"/>
      <c r="U188" s="350"/>
    </row>
    <row r="189" spans="1:21" ht="15.75" customHeight="1"/>
    <row r="190" spans="1:21" ht="15.75" customHeight="1"/>
    <row r="191" spans="1:21" ht="15.75" customHeight="1"/>
    <row r="192" spans="1:21"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1" width="11.4609375" customWidth="1"/>
    <col min="22" max="22" width="12.15234375" customWidth="1"/>
    <col min="23"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778</v>
      </c>
      <c r="B2" s="354">
        <f t="shared" ref="B2:U2" si="0">C2/(1+$V$44-3%)</f>
        <v>2573642.4319664896</v>
      </c>
      <c r="C2" s="354">
        <f t="shared" si="0"/>
        <v>2547906.0076468247</v>
      </c>
      <c r="D2" s="354">
        <f t="shared" si="0"/>
        <v>2522426.9475703565</v>
      </c>
      <c r="E2" s="354">
        <f t="shared" si="0"/>
        <v>2497202.6780946529</v>
      </c>
      <c r="F2" s="354">
        <f t="shared" si="0"/>
        <v>2472230.6513137063</v>
      </c>
      <c r="G2" s="354">
        <f t="shared" si="0"/>
        <v>2447508.3448005691</v>
      </c>
      <c r="H2" s="354">
        <f t="shared" si="0"/>
        <v>2423033.2613525633</v>
      </c>
      <c r="I2" s="354">
        <f t="shared" si="0"/>
        <v>2398802.9287390378</v>
      </c>
      <c r="J2" s="354">
        <f t="shared" si="0"/>
        <v>2374814.8994516474</v>
      </c>
      <c r="K2" s="354">
        <f t="shared" si="0"/>
        <v>2351066.7504571308</v>
      </c>
      <c r="L2" s="354">
        <f t="shared" si="0"/>
        <v>2327556.0829525595</v>
      </c>
      <c r="M2" s="354">
        <f t="shared" si="0"/>
        <v>2304280.5221230336</v>
      </c>
      <c r="N2" s="354">
        <f t="shared" si="0"/>
        <v>2281237.7169018034</v>
      </c>
      <c r="O2" s="354">
        <f t="shared" si="0"/>
        <v>2258425.3397327852</v>
      </c>
      <c r="P2" s="354">
        <f t="shared" si="0"/>
        <v>2235841.0863354574</v>
      </c>
      <c r="Q2" s="354">
        <f t="shared" si="0"/>
        <v>2213482.6754721026</v>
      </c>
      <c r="R2" s="354">
        <f t="shared" si="0"/>
        <v>2191347.8487173817</v>
      </c>
      <c r="S2" s="354">
        <f t="shared" si="0"/>
        <v>2169434.3702302077</v>
      </c>
      <c r="T2" s="354">
        <f t="shared" si="0"/>
        <v>2147740.0265279054</v>
      </c>
      <c r="U2" s="354">
        <f t="shared" si="0"/>
        <v>2126262.6262626261</v>
      </c>
      <c r="V2" s="329">
        <v>2105000</v>
      </c>
      <c r="W2" s="105">
        <f t="shared" ref="W2:AZ2" si="1">V2*(1+V44-V4)</f>
        <v>2147100</v>
      </c>
      <c r="X2" s="105">
        <f t="shared" si="1"/>
        <v>2190042</v>
      </c>
      <c r="Y2" s="105">
        <f t="shared" si="1"/>
        <v>2233842.84</v>
      </c>
      <c r="Z2" s="105">
        <f t="shared" si="1"/>
        <v>2278519.6968</v>
      </c>
      <c r="AA2" s="105">
        <f t="shared" si="1"/>
        <v>2324090.0907359999</v>
      </c>
      <c r="AB2" s="105">
        <f t="shared" si="1"/>
        <v>2370571.8925507199</v>
      </c>
      <c r="AC2" s="105">
        <f t="shared" si="1"/>
        <v>2417983.3304017344</v>
      </c>
      <c r="AD2" s="105">
        <f t="shared" si="1"/>
        <v>2466342.9970097691</v>
      </c>
      <c r="AE2" s="105">
        <f t="shared" si="1"/>
        <v>2515669.8569499645</v>
      </c>
      <c r="AF2" s="105">
        <f t="shared" si="1"/>
        <v>2565983.2540889638</v>
      </c>
      <c r="AG2" s="105">
        <f t="shared" si="1"/>
        <v>2617302.9191707433</v>
      </c>
      <c r="AH2" s="105">
        <f t="shared" si="1"/>
        <v>2669648.9775541583</v>
      </c>
      <c r="AI2" s="105">
        <f t="shared" si="1"/>
        <v>2723041.9571052417</v>
      </c>
      <c r="AJ2" s="105">
        <f t="shared" si="1"/>
        <v>2777502.7962473468</v>
      </c>
      <c r="AK2" s="105">
        <f t="shared" si="1"/>
        <v>2833052.8521722937</v>
      </c>
      <c r="AL2" s="105">
        <f t="shared" si="1"/>
        <v>2889713.9092157395</v>
      </c>
      <c r="AM2" s="105">
        <f t="shared" si="1"/>
        <v>2947508.1874000542</v>
      </c>
      <c r="AN2" s="105">
        <f t="shared" si="1"/>
        <v>3006458.3511480554</v>
      </c>
      <c r="AO2" s="105">
        <f t="shared" si="1"/>
        <v>3066587.5181710166</v>
      </c>
      <c r="AP2" s="105">
        <f t="shared" si="1"/>
        <v>3127919.2685344368</v>
      </c>
      <c r="AQ2" s="105">
        <f t="shared" si="1"/>
        <v>3190477.6539051258</v>
      </c>
      <c r="AR2" s="105">
        <f t="shared" si="1"/>
        <v>3254287.2069832282</v>
      </c>
      <c r="AS2" s="105">
        <f t="shared" si="1"/>
        <v>3319372.951122893</v>
      </c>
      <c r="AT2" s="105">
        <f t="shared" si="1"/>
        <v>3385760.4101453507</v>
      </c>
      <c r="AU2" s="105">
        <f t="shared" si="1"/>
        <v>3453475.6183482576</v>
      </c>
      <c r="AV2" s="105">
        <f t="shared" si="1"/>
        <v>3522545.130715223</v>
      </c>
      <c r="AW2" s="105">
        <f t="shared" si="1"/>
        <v>3592996.0333295274</v>
      </c>
      <c r="AX2" s="105">
        <f t="shared" si="1"/>
        <v>3664855.9539961182</v>
      </c>
      <c r="AY2" s="105">
        <f t="shared" si="1"/>
        <v>3738153.0730760405</v>
      </c>
      <c r="AZ2" s="105">
        <f t="shared" si="1"/>
        <v>3812916.1345375613</v>
      </c>
    </row>
    <row r="3" spans="1:52" ht="15" customHeight="1">
      <c r="A3" s="93" t="s">
        <v>779</v>
      </c>
      <c r="B3" s="354">
        <f t="shared" ref="B3:U3" si="2">C3/(1+$V$44-3%)</f>
        <v>3667898.9529213617</v>
      </c>
      <c r="C3" s="354">
        <f t="shared" si="2"/>
        <v>3631219.9633921478</v>
      </c>
      <c r="D3" s="354">
        <f t="shared" si="2"/>
        <v>3594907.7637582263</v>
      </c>
      <c r="E3" s="354">
        <f t="shared" si="2"/>
        <v>3558958.6861206442</v>
      </c>
      <c r="F3" s="354">
        <f t="shared" si="2"/>
        <v>3523369.0992594375</v>
      </c>
      <c r="G3" s="354">
        <f t="shared" si="2"/>
        <v>3488135.4082668433</v>
      </c>
      <c r="H3" s="354">
        <f t="shared" si="2"/>
        <v>3453254.0541841746</v>
      </c>
      <c r="I3" s="354">
        <f t="shared" si="2"/>
        <v>3418721.513642333</v>
      </c>
      <c r="J3" s="354">
        <f t="shared" si="2"/>
        <v>3384534.2985059097</v>
      </c>
      <c r="K3" s="354">
        <f t="shared" si="2"/>
        <v>3350688.9555208506</v>
      </c>
      <c r="L3" s="354">
        <f t="shared" si="2"/>
        <v>3317182.0659656422</v>
      </c>
      <c r="M3" s="354">
        <f t="shared" si="2"/>
        <v>3284010.2453059857</v>
      </c>
      <c r="N3" s="354">
        <f t="shared" si="2"/>
        <v>3251170.1428529257</v>
      </c>
      <c r="O3" s="354">
        <f t="shared" si="2"/>
        <v>3218658.4414243964</v>
      </c>
      <c r="P3" s="354">
        <f t="shared" si="2"/>
        <v>3186471.8570101522</v>
      </c>
      <c r="Q3" s="354">
        <f t="shared" si="2"/>
        <v>3154607.1384400507</v>
      </c>
      <c r="R3" s="354">
        <f t="shared" si="2"/>
        <v>3123061.0670556501</v>
      </c>
      <c r="S3" s="354">
        <f t="shared" si="2"/>
        <v>3091830.4563850937</v>
      </c>
      <c r="T3" s="354">
        <f t="shared" si="2"/>
        <v>3060912.1518212426</v>
      </c>
      <c r="U3" s="354">
        <f t="shared" si="2"/>
        <v>3030303.0303030303</v>
      </c>
      <c r="V3" s="329">
        <v>3000000</v>
      </c>
      <c r="W3" s="105">
        <f t="shared" ref="W3:AZ3" si="3">V3*(1+V44-V5)</f>
        <v>3060000</v>
      </c>
      <c r="X3" s="105">
        <f t="shared" si="3"/>
        <v>3121200</v>
      </c>
      <c r="Y3" s="105">
        <f t="shared" si="3"/>
        <v>3183624</v>
      </c>
      <c r="Z3" s="105">
        <f t="shared" si="3"/>
        <v>3247296.48</v>
      </c>
      <c r="AA3" s="105">
        <f t="shared" si="3"/>
        <v>3312242.4095999999</v>
      </c>
      <c r="AB3" s="105">
        <f t="shared" si="3"/>
        <v>3378487.2577919997</v>
      </c>
      <c r="AC3" s="105">
        <f t="shared" si="3"/>
        <v>3446057.0029478399</v>
      </c>
      <c r="AD3" s="105">
        <f t="shared" si="3"/>
        <v>3514978.1430067969</v>
      </c>
      <c r="AE3" s="105">
        <f t="shared" si="3"/>
        <v>3585277.7058669329</v>
      </c>
      <c r="AF3" s="105">
        <f t="shared" si="3"/>
        <v>3656983.2599842716</v>
      </c>
      <c r="AG3" s="105">
        <f t="shared" si="3"/>
        <v>3730122.925183957</v>
      </c>
      <c r="AH3" s="105">
        <f t="shared" si="3"/>
        <v>3804725.3836876363</v>
      </c>
      <c r="AI3" s="105">
        <f t="shared" si="3"/>
        <v>3880819.8913613893</v>
      </c>
      <c r="AJ3" s="105">
        <f t="shared" si="3"/>
        <v>3958436.2891886174</v>
      </c>
      <c r="AK3" s="105">
        <f t="shared" si="3"/>
        <v>4037605.0149723897</v>
      </c>
      <c r="AL3" s="105">
        <f t="shared" si="3"/>
        <v>4118357.1152718375</v>
      </c>
      <c r="AM3" s="105">
        <f t="shared" si="3"/>
        <v>4200724.257577274</v>
      </c>
      <c r="AN3" s="105">
        <f t="shared" si="3"/>
        <v>4284738.7427288191</v>
      </c>
      <c r="AO3" s="105">
        <f t="shared" si="3"/>
        <v>4370433.5175833954</v>
      </c>
      <c r="AP3" s="105">
        <f t="shared" si="3"/>
        <v>4457842.1879350636</v>
      </c>
      <c r="AQ3" s="105">
        <f t="shared" si="3"/>
        <v>4546999.031693765</v>
      </c>
      <c r="AR3" s="105">
        <f t="shared" si="3"/>
        <v>4637939.0123276403</v>
      </c>
      <c r="AS3" s="105">
        <f t="shared" si="3"/>
        <v>4730697.7925741933</v>
      </c>
      <c r="AT3" s="105">
        <f t="shared" si="3"/>
        <v>4825311.7484256774</v>
      </c>
      <c r="AU3" s="105">
        <f t="shared" si="3"/>
        <v>4921817.9833941907</v>
      </c>
      <c r="AV3" s="105">
        <f t="shared" si="3"/>
        <v>5020254.3430620749</v>
      </c>
      <c r="AW3" s="105">
        <f t="shared" si="3"/>
        <v>5120659.4299233165</v>
      </c>
      <c r="AX3" s="105">
        <f t="shared" si="3"/>
        <v>5223072.6185217826</v>
      </c>
      <c r="AY3" s="105">
        <f t="shared" si="3"/>
        <v>5327534.0708922185</v>
      </c>
      <c r="AZ3" s="105">
        <f t="shared" si="3"/>
        <v>5434084.7523100628</v>
      </c>
    </row>
    <row r="4" spans="1:52" ht="15" customHeight="1">
      <c r="A4" s="93" t="s">
        <v>780</v>
      </c>
      <c r="B4" s="93"/>
      <c r="C4" s="93"/>
      <c r="D4" s="93"/>
      <c r="E4" s="93"/>
      <c r="F4" s="93"/>
      <c r="G4" s="93"/>
      <c r="H4" s="93"/>
      <c r="I4" s="93"/>
      <c r="J4" s="93"/>
      <c r="K4" s="93"/>
      <c r="L4" s="93"/>
      <c r="M4" s="93"/>
      <c r="N4" s="93"/>
      <c r="O4" s="93"/>
      <c r="P4" s="93"/>
      <c r="Q4" s="93"/>
      <c r="R4" s="93"/>
      <c r="S4" s="93"/>
      <c r="T4" s="93"/>
      <c r="U4" s="93"/>
      <c r="V4" s="279">
        <v>0</v>
      </c>
      <c r="W4" s="247">
        <f t="shared" ref="W4:AZ4" si="4">V4</f>
        <v>0</v>
      </c>
      <c r="X4" s="247">
        <f t="shared" si="4"/>
        <v>0</v>
      </c>
      <c r="Y4" s="247">
        <f t="shared" si="4"/>
        <v>0</v>
      </c>
      <c r="Z4" s="247">
        <f t="shared" si="4"/>
        <v>0</v>
      </c>
      <c r="AA4" s="247">
        <f t="shared" si="4"/>
        <v>0</v>
      </c>
      <c r="AB4" s="247">
        <f t="shared" si="4"/>
        <v>0</v>
      </c>
      <c r="AC4" s="247">
        <f t="shared" si="4"/>
        <v>0</v>
      </c>
      <c r="AD4" s="247">
        <f t="shared" si="4"/>
        <v>0</v>
      </c>
      <c r="AE4" s="247">
        <f t="shared" si="4"/>
        <v>0</v>
      </c>
      <c r="AF4" s="247">
        <f t="shared" si="4"/>
        <v>0</v>
      </c>
      <c r="AG4" s="247">
        <f t="shared" si="4"/>
        <v>0</v>
      </c>
      <c r="AH4" s="247">
        <f t="shared" si="4"/>
        <v>0</v>
      </c>
      <c r="AI4" s="247">
        <f t="shared" si="4"/>
        <v>0</v>
      </c>
      <c r="AJ4" s="247">
        <f t="shared" si="4"/>
        <v>0</v>
      </c>
      <c r="AK4" s="247">
        <f t="shared" si="4"/>
        <v>0</v>
      </c>
      <c r="AL4" s="247">
        <f t="shared" si="4"/>
        <v>0</v>
      </c>
      <c r="AM4" s="247">
        <f t="shared" si="4"/>
        <v>0</v>
      </c>
      <c r="AN4" s="247">
        <f t="shared" si="4"/>
        <v>0</v>
      </c>
      <c r="AO4" s="247">
        <f t="shared" si="4"/>
        <v>0</v>
      </c>
      <c r="AP4" s="247">
        <f t="shared" si="4"/>
        <v>0</v>
      </c>
      <c r="AQ4" s="247">
        <f t="shared" si="4"/>
        <v>0</v>
      </c>
      <c r="AR4" s="247">
        <f t="shared" si="4"/>
        <v>0</v>
      </c>
      <c r="AS4" s="247">
        <f t="shared" si="4"/>
        <v>0</v>
      </c>
      <c r="AT4" s="247">
        <f t="shared" si="4"/>
        <v>0</v>
      </c>
      <c r="AU4" s="247">
        <f t="shared" si="4"/>
        <v>0</v>
      </c>
      <c r="AV4" s="247">
        <f t="shared" si="4"/>
        <v>0</v>
      </c>
      <c r="AW4" s="247">
        <f t="shared" si="4"/>
        <v>0</v>
      </c>
      <c r="AX4" s="247">
        <f t="shared" si="4"/>
        <v>0</v>
      </c>
      <c r="AY4" s="247">
        <f t="shared" si="4"/>
        <v>0</v>
      </c>
      <c r="AZ4" s="247">
        <f t="shared" si="4"/>
        <v>0</v>
      </c>
    </row>
    <row r="5" spans="1:52" ht="15" customHeight="1">
      <c r="A5" s="93" t="s">
        <v>781</v>
      </c>
      <c r="B5" s="93"/>
      <c r="C5" s="93"/>
      <c r="D5" s="93"/>
      <c r="E5" s="93"/>
      <c r="F5" s="93"/>
      <c r="G5" s="93"/>
      <c r="H5" s="93"/>
      <c r="I5" s="93"/>
      <c r="J5" s="93"/>
      <c r="K5" s="93"/>
      <c r="L5" s="93"/>
      <c r="M5" s="93"/>
      <c r="N5" s="93"/>
      <c r="O5" s="93"/>
      <c r="P5" s="93"/>
      <c r="Q5" s="93"/>
      <c r="R5" s="93"/>
      <c r="S5" s="93"/>
      <c r="T5" s="93"/>
      <c r="U5" s="93"/>
      <c r="V5" s="279">
        <v>0</v>
      </c>
      <c r="W5" s="247">
        <f t="shared" ref="W5:AZ5" si="5">V5</f>
        <v>0</v>
      </c>
      <c r="X5" s="247">
        <f t="shared" si="5"/>
        <v>0</v>
      </c>
      <c r="Y5" s="247">
        <f t="shared" si="5"/>
        <v>0</v>
      </c>
      <c r="Z5" s="247">
        <f t="shared" si="5"/>
        <v>0</v>
      </c>
      <c r="AA5" s="247">
        <f t="shared" si="5"/>
        <v>0</v>
      </c>
      <c r="AB5" s="247">
        <f t="shared" si="5"/>
        <v>0</v>
      </c>
      <c r="AC5" s="247">
        <f t="shared" si="5"/>
        <v>0</v>
      </c>
      <c r="AD5" s="247">
        <f t="shared" si="5"/>
        <v>0</v>
      </c>
      <c r="AE5" s="247">
        <f t="shared" si="5"/>
        <v>0</v>
      </c>
      <c r="AF5" s="247">
        <f t="shared" si="5"/>
        <v>0</v>
      </c>
      <c r="AG5" s="247">
        <f t="shared" si="5"/>
        <v>0</v>
      </c>
      <c r="AH5" s="247">
        <f t="shared" si="5"/>
        <v>0</v>
      </c>
      <c r="AI5" s="247">
        <f t="shared" si="5"/>
        <v>0</v>
      </c>
      <c r="AJ5" s="247">
        <f t="shared" si="5"/>
        <v>0</v>
      </c>
      <c r="AK5" s="247">
        <f t="shared" si="5"/>
        <v>0</v>
      </c>
      <c r="AL5" s="247">
        <f t="shared" si="5"/>
        <v>0</v>
      </c>
      <c r="AM5" s="247">
        <f t="shared" si="5"/>
        <v>0</v>
      </c>
      <c r="AN5" s="247">
        <f t="shared" si="5"/>
        <v>0</v>
      </c>
      <c r="AO5" s="247">
        <f t="shared" si="5"/>
        <v>0</v>
      </c>
      <c r="AP5" s="247">
        <f t="shared" si="5"/>
        <v>0</v>
      </c>
      <c r="AQ5" s="247">
        <f t="shared" si="5"/>
        <v>0</v>
      </c>
      <c r="AR5" s="247">
        <f t="shared" si="5"/>
        <v>0</v>
      </c>
      <c r="AS5" s="247">
        <f t="shared" si="5"/>
        <v>0</v>
      </c>
      <c r="AT5" s="247">
        <f t="shared" si="5"/>
        <v>0</v>
      </c>
      <c r="AU5" s="247">
        <f t="shared" si="5"/>
        <v>0</v>
      </c>
      <c r="AV5" s="247">
        <f t="shared" si="5"/>
        <v>0</v>
      </c>
      <c r="AW5" s="247">
        <f t="shared" si="5"/>
        <v>0</v>
      </c>
      <c r="AX5" s="247">
        <f t="shared" si="5"/>
        <v>0</v>
      </c>
      <c r="AY5" s="247">
        <f t="shared" si="5"/>
        <v>0</v>
      </c>
      <c r="AZ5" s="247">
        <f t="shared" si="5"/>
        <v>0</v>
      </c>
    </row>
    <row r="6" spans="1:52" ht="15" customHeight="1">
      <c r="A6" s="93" t="s">
        <v>74</v>
      </c>
      <c r="B6" s="93"/>
      <c r="C6" s="93"/>
      <c r="D6" s="93"/>
      <c r="E6" s="93"/>
      <c r="F6" s="93"/>
      <c r="G6" s="93"/>
      <c r="H6" s="93"/>
      <c r="I6" s="93"/>
      <c r="J6" s="93"/>
      <c r="K6" s="93"/>
      <c r="L6" s="93"/>
      <c r="M6" s="93"/>
      <c r="N6" s="93"/>
      <c r="O6" s="93"/>
      <c r="P6" s="93"/>
      <c r="Q6" s="93"/>
      <c r="R6" s="93"/>
      <c r="S6" s="93"/>
      <c r="T6" s="93"/>
      <c r="U6" s="93"/>
      <c r="V6" s="245">
        <v>0.6</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76</v>
      </c>
      <c r="B7" s="93"/>
      <c r="C7" s="93"/>
      <c r="D7" s="93"/>
      <c r="E7" s="93"/>
      <c r="F7" s="93"/>
      <c r="G7" s="93"/>
      <c r="H7" s="93"/>
      <c r="I7" s="93"/>
      <c r="J7" s="93"/>
      <c r="K7" s="93"/>
      <c r="L7" s="93"/>
      <c r="M7" s="93"/>
      <c r="N7" s="93"/>
      <c r="O7" s="93"/>
      <c r="P7" s="93"/>
      <c r="Q7" s="93"/>
      <c r="R7" s="93"/>
      <c r="S7" s="93"/>
      <c r="T7" s="93"/>
      <c r="U7" s="93"/>
      <c r="V7" s="245">
        <f>1-V6</f>
        <v>0.4</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78</v>
      </c>
      <c r="B8" s="93"/>
      <c r="C8" s="93"/>
      <c r="D8" s="93"/>
      <c r="E8" s="93"/>
      <c r="F8" s="93"/>
      <c r="G8" s="93"/>
      <c r="H8" s="93"/>
      <c r="I8" s="93"/>
      <c r="J8" s="93"/>
      <c r="K8" s="93"/>
      <c r="L8" s="93"/>
      <c r="M8" s="93"/>
      <c r="N8" s="93"/>
      <c r="O8" s="93"/>
      <c r="P8" s="93"/>
      <c r="Q8" s="93"/>
      <c r="R8" s="93"/>
      <c r="S8" s="93"/>
      <c r="T8" s="93"/>
      <c r="U8" s="93"/>
      <c r="V8" s="279">
        <v>0.08</v>
      </c>
      <c r="W8" s="247"/>
      <c r="X8" s="247"/>
      <c r="Y8" s="247"/>
      <c r="Z8" s="247"/>
      <c r="AA8" s="247"/>
      <c r="AB8" s="247"/>
      <c r="AC8" s="247"/>
      <c r="AD8" s="247"/>
      <c r="AE8" s="247"/>
      <c r="AF8" s="247"/>
      <c r="AG8" s="247"/>
      <c r="AH8" s="247"/>
      <c r="AI8" s="247"/>
      <c r="AJ8" s="247"/>
      <c r="AK8" s="247"/>
      <c r="AL8" s="247"/>
      <c r="AM8" s="247"/>
      <c r="AN8" s="247"/>
      <c r="AO8" s="247"/>
      <c r="AP8" s="247"/>
      <c r="AQ8" s="247"/>
      <c r="AR8" s="247"/>
      <c r="AS8" s="247"/>
      <c r="AT8" s="247"/>
      <c r="AU8" s="247"/>
      <c r="AV8" s="247"/>
      <c r="AW8" s="247"/>
      <c r="AX8" s="247"/>
      <c r="AY8" s="247"/>
      <c r="AZ8" s="247"/>
    </row>
    <row r="9" spans="1:52" ht="15" customHeight="1">
      <c r="A9" s="93" t="s">
        <v>80</v>
      </c>
      <c r="B9" s="93"/>
      <c r="C9" s="93"/>
      <c r="D9" s="93"/>
      <c r="E9" s="93"/>
      <c r="F9" s="93"/>
      <c r="G9" s="93"/>
      <c r="H9" s="93"/>
      <c r="I9" s="93"/>
      <c r="J9" s="93"/>
      <c r="K9" s="93"/>
      <c r="L9" s="93"/>
      <c r="M9" s="93"/>
      <c r="N9" s="93"/>
      <c r="O9" s="93"/>
      <c r="P9" s="93"/>
      <c r="Q9" s="93"/>
      <c r="R9" s="93"/>
      <c r="S9" s="93"/>
      <c r="T9" s="93"/>
      <c r="U9" s="93"/>
      <c r="V9" s="279">
        <v>0.12</v>
      </c>
      <c r="W9" s="247"/>
      <c r="X9" s="247"/>
      <c r="Y9" s="247"/>
      <c r="Z9" s="247"/>
      <c r="AA9" s="247"/>
      <c r="AB9" s="247"/>
      <c r="AC9" s="247"/>
      <c r="AD9" s="247"/>
      <c r="AE9" s="247"/>
      <c r="AF9" s="247"/>
      <c r="AG9" s="247"/>
      <c r="AH9" s="247"/>
      <c r="AI9" s="247"/>
      <c r="AJ9" s="247"/>
      <c r="AK9" s="247"/>
      <c r="AL9" s="247"/>
      <c r="AM9" s="247"/>
      <c r="AN9" s="247"/>
      <c r="AO9" s="247"/>
      <c r="AP9" s="247"/>
      <c r="AQ9" s="247"/>
      <c r="AR9" s="247"/>
      <c r="AS9" s="247"/>
      <c r="AT9" s="247"/>
      <c r="AU9" s="247"/>
      <c r="AV9" s="247"/>
      <c r="AW9" s="247"/>
      <c r="AX9" s="247"/>
      <c r="AY9" s="247"/>
      <c r="AZ9" s="247"/>
    </row>
    <row r="10" spans="1:52" ht="15" customHeight="1">
      <c r="A10" s="93" t="s">
        <v>82</v>
      </c>
      <c r="B10" s="93"/>
      <c r="C10" s="93"/>
      <c r="D10" s="93"/>
      <c r="E10" s="93"/>
      <c r="F10" s="93"/>
      <c r="G10" s="93"/>
      <c r="H10" s="93"/>
      <c r="I10" s="93"/>
      <c r="J10" s="93"/>
      <c r="K10" s="93"/>
      <c r="L10" s="93"/>
      <c r="M10" s="93"/>
      <c r="N10" s="93"/>
      <c r="O10" s="93"/>
      <c r="P10" s="93"/>
      <c r="Q10" s="93"/>
      <c r="R10" s="93"/>
      <c r="S10" s="93"/>
      <c r="T10" s="93"/>
      <c r="U10" s="93"/>
      <c r="V10" s="245">
        <f>V6*V8+V7*V9</f>
        <v>9.6000000000000002E-2</v>
      </c>
      <c r="W10" s="250"/>
      <c r="X10" s="250"/>
      <c r="Y10" s="250"/>
      <c r="Z10" s="250"/>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row>
    <row r="11" spans="1:52" ht="15" customHeight="1">
      <c r="A11" s="93" t="s">
        <v>84</v>
      </c>
      <c r="B11" s="93"/>
      <c r="C11" s="93"/>
      <c r="D11" s="93"/>
      <c r="E11" s="93"/>
      <c r="F11" s="93"/>
      <c r="G11" s="93"/>
      <c r="H11" s="93"/>
      <c r="I11" s="93"/>
      <c r="J11" s="93"/>
      <c r="K11" s="93"/>
      <c r="L11" s="93"/>
      <c r="M11" s="93"/>
      <c r="N11" s="93"/>
      <c r="O11" s="93"/>
      <c r="P11" s="93"/>
      <c r="Q11" s="93"/>
      <c r="R11" s="93"/>
      <c r="S11" s="93"/>
      <c r="T11" s="93"/>
      <c r="U11" s="93"/>
      <c r="V11" s="251">
        <v>10</v>
      </c>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row>
    <row r="12" spans="1:52" ht="15" customHeight="1">
      <c r="A12" s="93" t="s">
        <v>768</v>
      </c>
      <c r="B12" s="93"/>
      <c r="C12" s="93"/>
      <c r="D12" s="93"/>
      <c r="E12" s="93"/>
      <c r="F12" s="93"/>
      <c r="G12" s="93"/>
      <c r="H12" s="93"/>
      <c r="I12" s="93"/>
      <c r="J12" s="93"/>
      <c r="K12" s="93"/>
      <c r="L12" s="93"/>
      <c r="M12" s="93"/>
      <c r="N12" s="93"/>
      <c r="O12" s="93"/>
      <c r="P12" s="93"/>
      <c r="Q12" s="93"/>
      <c r="R12" s="93"/>
      <c r="S12" s="93"/>
      <c r="T12" s="93"/>
      <c r="U12" s="93"/>
      <c r="V12" s="335">
        <v>0.2</v>
      </c>
      <c r="W12" s="331">
        <v>0.32</v>
      </c>
      <c r="X12" s="331">
        <v>0.192</v>
      </c>
      <c r="Y12" s="331">
        <v>0.1152</v>
      </c>
      <c r="Z12" s="331">
        <v>0.1152</v>
      </c>
      <c r="AA12" s="331">
        <v>5.7599999999999998E-2</v>
      </c>
      <c r="AB12" s="331"/>
      <c r="AC12" s="331"/>
      <c r="AD12" s="331"/>
      <c r="AE12" s="331"/>
      <c r="AF12" s="331"/>
      <c r="AG12" s="331"/>
      <c r="AH12" s="331"/>
      <c r="AI12" s="331"/>
      <c r="AJ12" s="331"/>
      <c r="AK12" s="331"/>
      <c r="AL12" s="331"/>
      <c r="AM12" s="331"/>
      <c r="AN12" s="331"/>
      <c r="AO12" s="331"/>
      <c r="AP12" s="331"/>
      <c r="AQ12" s="331"/>
      <c r="AR12" s="331"/>
      <c r="AS12" s="331"/>
      <c r="AT12" s="331"/>
      <c r="AU12" s="331"/>
      <c r="AV12" s="331"/>
      <c r="AW12" s="331"/>
      <c r="AX12" s="331"/>
      <c r="AY12" s="331"/>
      <c r="AZ12" s="331"/>
    </row>
    <row r="13" spans="1:52" ht="15" customHeight="1">
      <c r="A13" s="93" t="s">
        <v>88</v>
      </c>
      <c r="B13" s="93"/>
      <c r="C13" s="93"/>
      <c r="D13" s="93"/>
      <c r="E13" s="93"/>
      <c r="F13" s="93"/>
      <c r="G13" s="93"/>
      <c r="H13" s="93"/>
      <c r="I13" s="93"/>
      <c r="J13" s="93"/>
      <c r="K13" s="93"/>
      <c r="L13" s="93"/>
      <c r="M13" s="93"/>
      <c r="N13" s="93"/>
      <c r="O13" s="93"/>
      <c r="P13" s="93"/>
      <c r="Q13" s="93"/>
      <c r="R13" s="93"/>
      <c r="S13" s="93"/>
      <c r="T13" s="93"/>
      <c r="U13" s="93"/>
      <c r="V13" s="251">
        <v>20000</v>
      </c>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row>
    <row r="14" spans="1:52" ht="15" customHeight="1">
      <c r="A14" s="93" t="s">
        <v>782</v>
      </c>
      <c r="B14" s="93"/>
      <c r="C14" s="93"/>
      <c r="D14" s="93"/>
      <c r="E14" s="93"/>
      <c r="F14" s="93"/>
      <c r="G14" s="93"/>
      <c r="H14" s="93"/>
      <c r="I14" s="93"/>
      <c r="J14" s="93"/>
      <c r="K14" s="93"/>
      <c r="L14" s="93"/>
      <c r="M14" s="93"/>
      <c r="N14" s="93"/>
      <c r="O14" s="93"/>
      <c r="P14" s="93"/>
      <c r="Q14" s="93"/>
      <c r="R14" s="93"/>
      <c r="S14" s="93"/>
      <c r="T14" s="93"/>
      <c r="U14" s="93"/>
      <c r="V14" s="251">
        <v>1</v>
      </c>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row>
    <row r="15" spans="1:52" ht="15" customHeight="1">
      <c r="A15" s="93" t="s">
        <v>783</v>
      </c>
      <c r="B15" s="93"/>
      <c r="C15" s="93"/>
      <c r="D15" s="93"/>
      <c r="E15" s="93"/>
      <c r="F15" s="93"/>
      <c r="G15" s="93"/>
      <c r="H15" s="93"/>
      <c r="I15" s="93"/>
      <c r="J15" s="93"/>
      <c r="K15" s="93"/>
      <c r="L15" s="93"/>
      <c r="M15" s="93"/>
      <c r="N15" s="93"/>
      <c r="O15" s="93"/>
      <c r="P15" s="93"/>
      <c r="Q15" s="93"/>
      <c r="R15" s="93"/>
      <c r="S15" s="93"/>
      <c r="T15" s="93"/>
      <c r="U15" s="93"/>
      <c r="V15" s="332">
        <v>1</v>
      </c>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row>
    <row r="16" spans="1:52" ht="15" customHeight="1">
      <c r="A16" s="93" t="s">
        <v>784</v>
      </c>
      <c r="B16" s="93"/>
      <c r="C16" s="93"/>
      <c r="D16" s="93"/>
      <c r="E16" s="93"/>
      <c r="F16" s="93"/>
      <c r="G16" s="93"/>
      <c r="H16" s="93"/>
      <c r="I16" s="93"/>
      <c r="J16" s="93"/>
      <c r="K16" s="93"/>
      <c r="L16" s="93"/>
      <c r="M16" s="93"/>
      <c r="N16" s="93"/>
      <c r="O16" s="93"/>
      <c r="P16" s="93"/>
      <c r="Q16" s="93"/>
      <c r="R16" s="93"/>
      <c r="S16" s="93"/>
      <c r="T16" s="93"/>
      <c r="U16" s="93"/>
      <c r="V16" s="254">
        <f t="shared" ref="V16:V17" si="6">1/V14</f>
        <v>1</v>
      </c>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row>
    <row r="17" spans="1:52" ht="15" customHeight="1">
      <c r="A17" s="93" t="s">
        <v>785</v>
      </c>
      <c r="B17" s="93"/>
      <c r="C17" s="93"/>
      <c r="D17" s="93"/>
      <c r="E17" s="93"/>
      <c r="F17" s="93"/>
      <c r="G17" s="93"/>
      <c r="H17" s="93"/>
      <c r="I17" s="93"/>
      <c r="J17" s="93"/>
      <c r="K17" s="93"/>
      <c r="L17" s="93"/>
      <c r="M17" s="93"/>
      <c r="N17" s="93"/>
      <c r="O17" s="93"/>
      <c r="P17" s="93"/>
      <c r="Q17" s="93"/>
      <c r="R17" s="93"/>
      <c r="S17" s="93"/>
      <c r="T17" s="93"/>
      <c r="U17" s="93"/>
      <c r="V17" s="254">
        <f t="shared" si="6"/>
        <v>1</v>
      </c>
      <c r="W17" s="250"/>
      <c r="X17" s="250"/>
      <c r="Y17" s="250"/>
      <c r="Z17" s="250"/>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row>
    <row r="18" spans="1:52" ht="15" customHeight="1">
      <c r="A18" s="93" t="s">
        <v>786</v>
      </c>
      <c r="B18" s="253">
        <v>0.58061744567442219</v>
      </c>
      <c r="C18" s="253">
        <v>0.58061744567442219</v>
      </c>
      <c r="D18" s="253">
        <v>0.58061744567442219</v>
      </c>
      <c r="E18" s="253">
        <v>0.58061744567442219</v>
      </c>
      <c r="F18" s="253">
        <v>0.58061744567442219</v>
      </c>
      <c r="G18" s="253">
        <v>0.58061744567442219</v>
      </c>
      <c r="H18" s="253">
        <v>0.58061744567442219</v>
      </c>
      <c r="I18" s="253">
        <v>0.58061744567442219</v>
      </c>
      <c r="J18" s="253">
        <v>0.58061744567442219</v>
      </c>
      <c r="K18" s="253">
        <v>0.58061744567442219</v>
      </c>
      <c r="L18" s="253">
        <v>0.58061744567442219</v>
      </c>
      <c r="M18" s="253">
        <v>0.58061744567442219</v>
      </c>
      <c r="N18" s="253">
        <v>0.58061744567442219</v>
      </c>
      <c r="O18" s="253">
        <v>0.58061744567442219</v>
      </c>
      <c r="P18" s="253">
        <v>0.58061744567442219</v>
      </c>
      <c r="Q18" s="253">
        <v>0.58061744567442219</v>
      </c>
      <c r="R18" s="253">
        <v>0.58061744567442219</v>
      </c>
      <c r="S18" s="253">
        <v>0.57128034391485527</v>
      </c>
      <c r="T18" s="253">
        <v>0.55148319986614813</v>
      </c>
      <c r="U18" s="253">
        <v>0.58568334648528408</v>
      </c>
      <c r="V18" s="254">
        <v>0.57666931030964641</v>
      </c>
      <c r="W18" s="250">
        <v>0.56595967618340992</v>
      </c>
      <c r="X18" s="250">
        <v>0.54445862604816331</v>
      </c>
      <c r="Y18" s="250">
        <v>0.52734415008713176</v>
      </c>
      <c r="Z18" s="250">
        <v>0.51137438004806679</v>
      </c>
      <c r="AA18" s="250">
        <v>0.50526301460094081</v>
      </c>
      <c r="AB18" s="250">
        <v>0.49588405414258852</v>
      </c>
      <c r="AC18" s="250">
        <v>0.48359436196155414</v>
      </c>
      <c r="AD18" s="250">
        <v>0.46970175386121898</v>
      </c>
      <c r="AE18" s="250">
        <v>0.460178262945524</v>
      </c>
      <c r="AF18" s="250">
        <v>0.46362486375968398</v>
      </c>
      <c r="AG18" s="250">
        <v>0.46841974858453084</v>
      </c>
      <c r="AH18" s="250">
        <v>0.47478702435714343</v>
      </c>
      <c r="AI18" s="250">
        <v>0.48256278712209355</v>
      </c>
      <c r="AJ18" s="250">
        <v>0.49177490097561788</v>
      </c>
      <c r="AK18" s="250">
        <v>0.50220692429242864</v>
      </c>
      <c r="AL18" s="250">
        <v>0.49495317873290157</v>
      </c>
      <c r="AM18" s="250">
        <v>0.49186823574268523</v>
      </c>
      <c r="AN18" s="250">
        <v>0.49059414131183465</v>
      </c>
      <c r="AO18" s="250">
        <v>0.48371955003057204</v>
      </c>
      <c r="AP18" s="250">
        <v>0.47388594842170007</v>
      </c>
      <c r="AQ18" s="250">
        <v>0.46605007113852159</v>
      </c>
      <c r="AR18" s="250">
        <v>0.45859094892449892</v>
      </c>
      <c r="AS18" s="250">
        <v>0.45093496435033187</v>
      </c>
      <c r="AT18" s="250">
        <v>0.44547200158227679</v>
      </c>
      <c r="AU18" s="250">
        <v>0.44272155676883501</v>
      </c>
      <c r="AV18" s="250">
        <v>0.44507238563606266</v>
      </c>
      <c r="AW18" s="250">
        <v>0.44279375219370271</v>
      </c>
      <c r="AX18" s="250">
        <v>0.43276833525865105</v>
      </c>
      <c r="AY18" s="250">
        <v>0.42160958055207759</v>
      </c>
      <c r="AZ18" s="250">
        <v>0.409258080616687</v>
      </c>
    </row>
    <row r="19" spans="1:52" ht="15" customHeight="1">
      <c r="A19" s="93" t="s">
        <v>787</v>
      </c>
      <c r="B19" s="253">
        <v>0.41938255432557781</v>
      </c>
      <c r="C19" s="253">
        <v>0.41938255432557781</v>
      </c>
      <c r="D19" s="253">
        <v>0.41938255432557781</v>
      </c>
      <c r="E19" s="253">
        <v>0.41938255432557781</v>
      </c>
      <c r="F19" s="253">
        <v>0.41938255432557781</v>
      </c>
      <c r="G19" s="253">
        <v>0.41938255432557781</v>
      </c>
      <c r="H19" s="253">
        <v>0.41938255432557781</v>
      </c>
      <c r="I19" s="253">
        <v>0.41938255432557781</v>
      </c>
      <c r="J19" s="253">
        <v>0.41938255432557781</v>
      </c>
      <c r="K19" s="253">
        <v>0.41938255432557781</v>
      </c>
      <c r="L19" s="253">
        <v>0.41938255432557781</v>
      </c>
      <c r="M19" s="253">
        <v>0.41938255432557781</v>
      </c>
      <c r="N19" s="253">
        <v>0.41938255432557781</v>
      </c>
      <c r="O19" s="253">
        <v>0.41938255432557781</v>
      </c>
      <c r="P19" s="253">
        <v>0.41938255432557781</v>
      </c>
      <c r="Q19" s="253">
        <v>0.41938255432557781</v>
      </c>
      <c r="R19" s="253">
        <v>0.41938255432557781</v>
      </c>
      <c r="S19" s="253">
        <v>0.42871965608514473</v>
      </c>
      <c r="T19" s="253">
        <v>0.44851680013385187</v>
      </c>
      <c r="U19" s="253">
        <v>0.41431665351471592</v>
      </c>
      <c r="V19" s="254">
        <v>0.42333068969035359</v>
      </c>
      <c r="W19" s="250">
        <v>0.43404032381659008</v>
      </c>
      <c r="X19" s="250">
        <v>0.45554137395183669</v>
      </c>
      <c r="Y19" s="250">
        <v>0.47265584991286824</v>
      </c>
      <c r="Z19" s="250">
        <v>0.48862561995193321</v>
      </c>
      <c r="AA19" s="250">
        <v>0.49473698539905919</v>
      </c>
      <c r="AB19" s="250">
        <v>0.50411594585741148</v>
      </c>
      <c r="AC19" s="250">
        <v>0.51640563803844586</v>
      </c>
      <c r="AD19" s="250">
        <v>0.53029824613878107</v>
      </c>
      <c r="AE19" s="250">
        <v>0.539821737054476</v>
      </c>
      <c r="AF19" s="250">
        <v>0.53637513624031596</v>
      </c>
      <c r="AG19" s="250">
        <v>0.53158025141546916</v>
      </c>
      <c r="AH19" s="250">
        <v>0.52521297564285652</v>
      </c>
      <c r="AI19" s="250">
        <v>0.51743721287790645</v>
      </c>
      <c r="AJ19" s="250">
        <v>0.50822509902438218</v>
      </c>
      <c r="AK19" s="250">
        <v>0.49779307570757136</v>
      </c>
      <c r="AL19" s="250">
        <v>0.50504682126709843</v>
      </c>
      <c r="AM19" s="250">
        <v>0.50813176425731477</v>
      </c>
      <c r="AN19" s="250">
        <v>0.50940585868816535</v>
      </c>
      <c r="AO19" s="250">
        <v>0.51628044996942801</v>
      </c>
      <c r="AP19" s="250">
        <v>0.52611405157829993</v>
      </c>
      <c r="AQ19" s="250">
        <v>0.53394992886147841</v>
      </c>
      <c r="AR19" s="250">
        <v>0.54140905107550108</v>
      </c>
      <c r="AS19" s="250">
        <v>0.54906503564966813</v>
      </c>
      <c r="AT19" s="250">
        <v>0.55452799841772316</v>
      </c>
      <c r="AU19" s="250">
        <v>0.55727844323116504</v>
      </c>
      <c r="AV19" s="250">
        <v>0.55492761436393734</v>
      </c>
      <c r="AW19" s="250">
        <v>0.55720624780629735</v>
      </c>
      <c r="AX19" s="250">
        <v>0.5672316647413489</v>
      </c>
      <c r="AY19" s="250">
        <v>0.57839041944792235</v>
      </c>
      <c r="AZ19" s="250">
        <v>0.590741919383313</v>
      </c>
    </row>
    <row r="20" spans="1:52" ht="15" customHeight="1">
      <c r="A20" s="93" t="s">
        <v>788</v>
      </c>
      <c r="B20" s="253">
        <v>0.18717111631928426</v>
      </c>
      <c r="C20" s="253">
        <v>0.18717111631928426</v>
      </c>
      <c r="D20" s="253">
        <v>0.18717111631928426</v>
      </c>
      <c r="E20" s="253">
        <v>0.18717111631928426</v>
      </c>
      <c r="F20" s="253">
        <v>0.18717111631928426</v>
      </c>
      <c r="G20" s="253">
        <v>0.18717111631928426</v>
      </c>
      <c r="H20" s="253">
        <v>0.18717111631928426</v>
      </c>
      <c r="I20" s="253">
        <v>0.18717111631928426</v>
      </c>
      <c r="J20" s="253">
        <v>0.18717111631928426</v>
      </c>
      <c r="K20" s="253">
        <v>0.18717111631928426</v>
      </c>
      <c r="L20" s="253">
        <v>0.18717111631928426</v>
      </c>
      <c r="M20" s="253">
        <v>0.18717111631928426</v>
      </c>
      <c r="N20" s="253">
        <v>0.18717111631928426</v>
      </c>
      <c r="O20" s="253">
        <v>0.18717111631928426</v>
      </c>
      <c r="P20" s="253">
        <v>0.18717111631928426</v>
      </c>
      <c r="Q20" s="253">
        <v>0.18717111631928426</v>
      </c>
      <c r="R20" s="253">
        <v>0.18717111631928426</v>
      </c>
      <c r="S20" s="253">
        <v>0.19789734631468664</v>
      </c>
      <c r="T20" s="253">
        <v>0.1983417594270287</v>
      </c>
      <c r="U20" s="253">
        <v>0.20786108901731973</v>
      </c>
      <c r="V20" s="335">
        <v>0.2287251602030784</v>
      </c>
      <c r="W20" s="70">
        <v>0.23605005188775016</v>
      </c>
      <c r="X20" s="70">
        <v>0.23933718812328725</v>
      </c>
      <c r="Y20" s="70">
        <v>0.23927149977371392</v>
      </c>
      <c r="Z20" s="70">
        <v>0.23923307304004429</v>
      </c>
      <c r="AA20" s="70">
        <v>0.24017223311745806</v>
      </c>
      <c r="AB20" s="70">
        <v>0.24316422387110323</v>
      </c>
      <c r="AC20" s="70">
        <v>0.24522877742773211</v>
      </c>
      <c r="AD20" s="70">
        <v>0.24609762196145679</v>
      </c>
      <c r="AE20" s="70">
        <v>0.24787697650583465</v>
      </c>
      <c r="AF20" s="70">
        <v>0.24933991796709862</v>
      </c>
      <c r="AG20" s="70">
        <v>0.25320192955651349</v>
      </c>
      <c r="AH20" s="70">
        <v>0.2562230802014891</v>
      </c>
      <c r="AI20" s="70">
        <v>0.25892884396716254</v>
      </c>
      <c r="AJ20" s="70">
        <v>0.26086546057039967</v>
      </c>
      <c r="AK20" s="70">
        <v>0.26364709537984871</v>
      </c>
      <c r="AL20" s="70">
        <v>0.26887560295011886</v>
      </c>
      <c r="AM20" s="70">
        <v>0.26942434813240812</v>
      </c>
      <c r="AN20" s="70">
        <v>0.27073856555564385</v>
      </c>
      <c r="AO20" s="70">
        <v>0.27198263657958055</v>
      </c>
      <c r="AP20" s="70">
        <v>0.27183531925811688</v>
      </c>
      <c r="AQ20" s="70">
        <v>0.27025665533093957</v>
      </c>
      <c r="AR20" s="70">
        <v>0.27013294208630145</v>
      </c>
      <c r="AS20" s="70">
        <v>0.27049925934991992</v>
      </c>
      <c r="AT20" s="70">
        <v>0.26898465235159741</v>
      </c>
      <c r="AU20" s="70">
        <v>0.26877702158367356</v>
      </c>
      <c r="AV20" s="70">
        <v>0.26773763882049051</v>
      </c>
      <c r="AW20" s="70">
        <v>0.26678640733305636</v>
      </c>
      <c r="AX20" s="70">
        <v>0.26968102104061165</v>
      </c>
      <c r="AY20" s="70">
        <v>0.26997905812696349</v>
      </c>
      <c r="AZ20" s="70">
        <v>0.26996896654794678</v>
      </c>
    </row>
    <row r="21" spans="1:52" ht="15" customHeight="1">
      <c r="A21" s="93" t="s">
        <v>789</v>
      </c>
      <c r="B21" s="355">
        <f t="shared" ref="B21:U21" si="7">C21</f>
        <v>0.27</v>
      </c>
      <c r="C21" s="355">
        <f t="shared" si="7"/>
        <v>0.27</v>
      </c>
      <c r="D21" s="355">
        <f t="shared" si="7"/>
        <v>0.27</v>
      </c>
      <c r="E21" s="355">
        <f t="shared" si="7"/>
        <v>0.27</v>
      </c>
      <c r="F21" s="355">
        <f t="shared" si="7"/>
        <v>0.27</v>
      </c>
      <c r="G21" s="355">
        <f t="shared" si="7"/>
        <v>0.27</v>
      </c>
      <c r="H21" s="355">
        <f t="shared" si="7"/>
        <v>0.27</v>
      </c>
      <c r="I21" s="355">
        <f t="shared" si="7"/>
        <v>0.27</v>
      </c>
      <c r="J21" s="355">
        <f t="shared" si="7"/>
        <v>0.27</v>
      </c>
      <c r="K21" s="355">
        <f t="shared" si="7"/>
        <v>0.27</v>
      </c>
      <c r="L21" s="355">
        <f t="shared" si="7"/>
        <v>0.27</v>
      </c>
      <c r="M21" s="355">
        <f t="shared" si="7"/>
        <v>0.27</v>
      </c>
      <c r="N21" s="355">
        <f t="shared" si="7"/>
        <v>0.27</v>
      </c>
      <c r="O21" s="355">
        <f t="shared" si="7"/>
        <v>0.27</v>
      </c>
      <c r="P21" s="355">
        <f t="shared" si="7"/>
        <v>0.27</v>
      </c>
      <c r="Q21" s="355">
        <f t="shared" si="7"/>
        <v>0.27</v>
      </c>
      <c r="R21" s="355">
        <f t="shared" si="7"/>
        <v>0.27</v>
      </c>
      <c r="S21" s="355">
        <f t="shared" si="7"/>
        <v>0.27</v>
      </c>
      <c r="T21" s="355">
        <f t="shared" si="7"/>
        <v>0.27</v>
      </c>
      <c r="U21" s="355">
        <f t="shared" si="7"/>
        <v>0.27</v>
      </c>
      <c r="V21" s="335">
        <v>0.27</v>
      </c>
      <c r="W21" s="70">
        <f t="shared" ref="W21:AZ21" si="8">V21</f>
        <v>0.27</v>
      </c>
      <c r="X21" s="70">
        <f t="shared" si="8"/>
        <v>0.27</v>
      </c>
      <c r="Y21" s="70">
        <f t="shared" si="8"/>
        <v>0.27</v>
      </c>
      <c r="Z21" s="70">
        <f t="shared" si="8"/>
        <v>0.27</v>
      </c>
      <c r="AA21" s="70">
        <f t="shared" si="8"/>
        <v>0.27</v>
      </c>
      <c r="AB21" s="70">
        <f t="shared" si="8"/>
        <v>0.27</v>
      </c>
      <c r="AC21" s="70">
        <f t="shared" si="8"/>
        <v>0.27</v>
      </c>
      <c r="AD21" s="70">
        <f t="shared" si="8"/>
        <v>0.27</v>
      </c>
      <c r="AE21" s="70">
        <f t="shared" si="8"/>
        <v>0.27</v>
      </c>
      <c r="AF21" s="70">
        <f t="shared" si="8"/>
        <v>0.27</v>
      </c>
      <c r="AG21" s="70">
        <f t="shared" si="8"/>
        <v>0.27</v>
      </c>
      <c r="AH21" s="70">
        <f t="shared" si="8"/>
        <v>0.27</v>
      </c>
      <c r="AI21" s="70">
        <f t="shared" si="8"/>
        <v>0.27</v>
      </c>
      <c r="AJ21" s="70">
        <f t="shared" si="8"/>
        <v>0.27</v>
      </c>
      <c r="AK21" s="70">
        <f t="shared" si="8"/>
        <v>0.27</v>
      </c>
      <c r="AL21" s="70">
        <f t="shared" si="8"/>
        <v>0.27</v>
      </c>
      <c r="AM21" s="70">
        <f t="shared" si="8"/>
        <v>0.27</v>
      </c>
      <c r="AN21" s="70">
        <f t="shared" si="8"/>
        <v>0.27</v>
      </c>
      <c r="AO21" s="70">
        <f t="shared" si="8"/>
        <v>0.27</v>
      </c>
      <c r="AP21" s="70">
        <f t="shared" si="8"/>
        <v>0.27</v>
      </c>
      <c r="AQ21" s="70">
        <f t="shared" si="8"/>
        <v>0.27</v>
      </c>
      <c r="AR21" s="70">
        <f t="shared" si="8"/>
        <v>0.27</v>
      </c>
      <c r="AS21" s="70">
        <f t="shared" si="8"/>
        <v>0.27</v>
      </c>
      <c r="AT21" s="70">
        <f t="shared" si="8"/>
        <v>0.27</v>
      </c>
      <c r="AU21" s="70">
        <f t="shared" si="8"/>
        <v>0.27</v>
      </c>
      <c r="AV21" s="70">
        <f t="shared" si="8"/>
        <v>0.27</v>
      </c>
      <c r="AW21" s="70">
        <f t="shared" si="8"/>
        <v>0.27</v>
      </c>
      <c r="AX21" s="70">
        <f t="shared" si="8"/>
        <v>0.27</v>
      </c>
      <c r="AY21" s="70">
        <f t="shared" si="8"/>
        <v>0.27</v>
      </c>
      <c r="AZ21" s="70">
        <f t="shared" si="8"/>
        <v>0.27</v>
      </c>
    </row>
    <row r="22" spans="1:52" ht="15" customHeight="1">
      <c r="A22" s="93" t="s">
        <v>790</v>
      </c>
      <c r="B22" s="253">
        <v>0.15791453956499801</v>
      </c>
      <c r="C22" s="253">
        <v>0.15791453956499801</v>
      </c>
      <c r="D22" s="253">
        <v>0.15791453956499801</v>
      </c>
      <c r="E22" s="253">
        <v>0.15791453956499801</v>
      </c>
      <c r="F22" s="253">
        <v>0.15791453956499801</v>
      </c>
      <c r="G22" s="253">
        <v>0.15791453956499801</v>
      </c>
      <c r="H22" s="253">
        <v>0.15791453956499801</v>
      </c>
      <c r="I22" s="253">
        <v>0.15791453956499801</v>
      </c>
      <c r="J22" s="253">
        <v>0.15791453956499801</v>
      </c>
      <c r="K22" s="253">
        <v>0.15791453956499801</v>
      </c>
      <c r="L22" s="253">
        <v>0.15791453956499801</v>
      </c>
      <c r="M22" s="253">
        <v>0.15791453956499801</v>
      </c>
      <c r="N22" s="253">
        <v>0.15791453956499801</v>
      </c>
      <c r="O22" s="253">
        <v>0.15791453956499801</v>
      </c>
      <c r="P22" s="253">
        <v>0.15791453956499801</v>
      </c>
      <c r="Q22" s="253">
        <v>0.15791453956499801</v>
      </c>
      <c r="R22" s="253">
        <v>0.15791453956499801</v>
      </c>
      <c r="S22" s="253">
        <v>0.15842917008908189</v>
      </c>
      <c r="T22" s="253">
        <v>0.1585459323747011</v>
      </c>
      <c r="U22" s="253">
        <v>0.15870943785720082</v>
      </c>
      <c r="V22" s="335">
        <v>0.15886581937348507</v>
      </c>
      <c r="W22" s="70">
        <v>0.15902097326613462</v>
      </c>
      <c r="X22" s="70">
        <v>0.15913396892555956</v>
      </c>
      <c r="Y22" s="70">
        <v>0.15932827326890395</v>
      </c>
      <c r="Z22" s="70">
        <v>0.15954348434425139</v>
      </c>
      <c r="AA22" s="70">
        <v>0.15978683833021509</v>
      </c>
      <c r="AB22" s="70">
        <v>0.1600681602752794</v>
      </c>
      <c r="AC22" s="70">
        <v>0.16037637062000304</v>
      </c>
      <c r="AD22" s="70">
        <v>0.16070065497091468</v>
      </c>
      <c r="AE22" s="70">
        <v>0.16104091276678489</v>
      </c>
      <c r="AF22" s="70">
        <v>0.16139545587644863</v>
      </c>
      <c r="AG22" s="70">
        <v>0.1617524045874206</v>
      </c>
      <c r="AH22" s="70">
        <v>0.16210376300991153</v>
      </c>
      <c r="AI22" s="70">
        <v>0.1624396728877959</v>
      </c>
      <c r="AJ22" s="70">
        <v>0.16275718089011079</v>
      </c>
      <c r="AK22" s="70">
        <v>0.16306336806438643</v>
      </c>
      <c r="AL22" s="70">
        <v>0.16336011297580674</v>
      </c>
      <c r="AM22" s="70">
        <v>0.16364352173301738</v>
      </c>
      <c r="AN22" s="70">
        <v>0.16391981549069143</v>
      </c>
      <c r="AO22" s="70">
        <v>0.16418430545794627</v>
      </c>
      <c r="AP22" s="70">
        <v>0.16444189515802649</v>
      </c>
      <c r="AQ22" s="70">
        <v>0.16469000896032981</v>
      </c>
      <c r="AR22" s="70">
        <v>0.1649313908711329</v>
      </c>
      <c r="AS22" s="70">
        <v>0.16517084697317647</v>
      </c>
      <c r="AT22" s="70">
        <v>0.16540351423671498</v>
      </c>
      <c r="AU22" s="70">
        <v>0.16563007662214041</v>
      </c>
      <c r="AV22" s="70">
        <v>0.16585596386820589</v>
      </c>
      <c r="AW22" s="70">
        <v>0.16607834845892372</v>
      </c>
      <c r="AX22" s="70">
        <v>0.16629852193955019</v>
      </c>
      <c r="AY22" s="70">
        <v>0.16651950602560478</v>
      </c>
      <c r="AZ22" s="70">
        <v>0.16673615926038249</v>
      </c>
    </row>
    <row r="23" spans="1:52" ht="15" customHeight="1">
      <c r="A23" s="93" t="s">
        <v>791</v>
      </c>
      <c r="B23" s="355">
        <f t="shared" ref="B23:U23" si="9">C23</f>
        <v>0.18</v>
      </c>
      <c r="C23" s="355">
        <f t="shared" si="9"/>
        <v>0.18</v>
      </c>
      <c r="D23" s="355">
        <f t="shared" si="9"/>
        <v>0.18</v>
      </c>
      <c r="E23" s="355">
        <f t="shared" si="9"/>
        <v>0.18</v>
      </c>
      <c r="F23" s="355">
        <f t="shared" si="9"/>
        <v>0.18</v>
      </c>
      <c r="G23" s="355">
        <f t="shared" si="9"/>
        <v>0.18</v>
      </c>
      <c r="H23" s="355">
        <f t="shared" si="9"/>
        <v>0.18</v>
      </c>
      <c r="I23" s="355">
        <f t="shared" si="9"/>
        <v>0.18</v>
      </c>
      <c r="J23" s="355">
        <f t="shared" si="9"/>
        <v>0.18</v>
      </c>
      <c r="K23" s="355">
        <f t="shared" si="9"/>
        <v>0.18</v>
      </c>
      <c r="L23" s="355">
        <f t="shared" si="9"/>
        <v>0.18</v>
      </c>
      <c r="M23" s="355">
        <f t="shared" si="9"/>
        <v>0.18</v>
      </c>
      <c r="N23" s="355">
        <f t="shared" si="9"/>
        <v>0.18</v>
      </c>
      <c r="O23" s="355">
        <f t="shared" si="9"/>
        <v>0.18</v>
      </c>
      <c r="P23" s="355">
        <f t="shared" si="9"/>
        <v>0.18</v>
      </c>
      <c r="Q23" s="355">
        <f t="shared" si="9"/>
        <v>0.18</v>
      </c>
      <c r="R23" s="355">
        <f t="shared" si="9"/>
        <v>0.18</v>
      </c>
      <c r="S23" s="355">
        <f t="shared" si="9"/>
        <v>0.18</v>
      </c>
      <c r="T23" s="355">
        <f t="shared" si="9"/>
        <v>0.18</v>
      </c>
      <c r="U23" s="355">
        <f t="shared" si="9"/>
        <v>0.18</v>
      </c>
      <c r="V23" s="335">
        <v>0.18</v>
      </c>
      <c r="W23" s="70">
        <f t="shared" ref="W23:AZ23" si="10">V23</f>
        <v>0.18</v>
      </c>
      <c r="X23" s="70">
        <f t="shared" si="10"/>
        <v>0.18</v>
      </c>
      <c r="Y23" s="70">
        <f t="shared" si="10"/>
        <v>0.18</v>
      </c>
      <c r="Z23" s="70">
        <f t="shared" si="10"/>
        <v>0.18</v>
      </c>
      <c r="AA23" s="70">
        <f t="shared" si="10"/>
        <v>0.18</v>
      </c>
      <c r="AB23" s="70">
        <f t="shared" si="10"/>
        <v>0.18</v>
      </c>
      <c r="AC23" s="70">
        <f t="shared" si="10"/>
        <v>0.18</v>
      </c>
      <c r="AD23" s="70">
        <f t="shared" si="10"/>
        <v>0.18</v>
      </c>
      <c r="AE23" s="70">
        <f t="shared" si="10"/>
        <v>0.18</v>
      </c>
      <c r="AF23" s="70">
        <f t="shared" si="10"/>
        <v>0.18</v>
      </c>
      <c r="AG23" s="70">
        <f t="shared" si="10"/>
        <v>0.18</v>
      </c>
      <c r="AH23" s="70">
        <f t="shared" si="10"/>
        <v>0.18</v>
      </c>
      <c r="AI23" s="70">
        <f t="shared" si="10"/>
        <v>0.18</v>
      </c>
      <c r="AJ23" s="70">
        <f t="shared" si="10"/>
        <v>0.18</v>
      </c>
      <c r="AK23" s="70">
        <f t="shared" si="10"/>
        <v>0.18</v>
      </c>
      <c r="AL23" s="70">
        <f t="shared" si="10"/>
        <v>0.18</v>
      </c>
      <c r="AM23" s="70">
        <f t="shared" si="10"/>
        <v>0.18</v>
      </c>
      <c r="AN23" s="70">
        <f t="shared" si="10"/>
        <v>0.18</v>
      </c>
      <c r="AO23" s="70">
        <f t="shared" si="10"/>
        <v>0.18</v>
      </c>
      <c r="AP23" s="70">
        <f t="shared" si="10"/>
        <v>0.18</v>
      </c>
      <c r="AQ23" s="70">
        <f t="shared" si="10"/>
        <v>0.18</v>
      </c>
      <c r="AR23" s="70">
        <f t="shared" si="10"/>
        <v>0.18</v>
      </c>
      <c r="AS23" s="70">
        <f t="shared" si="10"/>
        <v>0.18</v>
      </c>
      <c r="AT23" s="70">
        <f t="shared" si="10"/>
        <v>0.18</v>
      </c>
      <c r="AU23" s="70">
        <f t="shared" si="10"/>
        <v>0.18</v>
      </c>
      <c r="AV23" s="70">
        <f t="shared" si="10"/>
        <v>0.18</v>
      </c>
      <c r="AW23" s="70">
        <f t="shared" si="10"/>
        <v>0.18</v>
      </c>
      <c r="AX23" s="70">
        <f t="shared" si="10"/>
        <v>0.18</v>
      </c>
      <c r="AY23" s="70">
        <f t="shared" si="10"/>
        <v>0.18</v>
      </c>
      <c r="AZ23" s="70">
        <f t="shared" si="10"/>
        <v>0.18</v>
      </c>
    </row>
    <row r="24" spans="1:52" ht="15" customHeight="1">
      <c r="A24" s="93" t="s">
        <v>98</v>
      </c>
      <c r="B24" s="93"/>
      <c r="C24" s="93"/>
      <c r="D24" s="93"/>
      <c r="E24" s="93"/>
      <c r="F24" s="93"/>
      <c r="G24" s="93"/>
      <c r="H24" s="93"/>
      <c r="I24" s="93"/>
      <c r="J24" s="93"/>
      <c r="K24" s="93"/>
      <c r="L24" s="93"/>
      <c r="M24" s="93"/>
      <c r="N24" s="93"/>
      <c r="O24" s="93"/>
      <c r="P24" s="93"/>
      <c r="Q24" s="93"/>
      <c r="R24" s="93"/>
      <c r="S24" s="93"/>
      <c r="T24" s="93"/>
      <c r="U24" s="93"/>
      <c r="V24" s="254">
        <v>0</v>
      </c>
      <c r="W24" s="102">
        <f t="shared" ref="W24:AZ24" si="11">V24</f>
        <v>0</v>
      </c>
      <c r="X24" s="102">
        <f t="shared" si="11"/>
        <v>0</v>
      </c>
      <c r="Y24" s="102">
        <f t="shared" si="11"/>
        <v>0</v>
      </c>
      <c r="Z24" s="102">
        <f t="shared" si="11"/>
        <v>0</v>
      </c>
      <c r="AA24" s="102">
        <f t="shared" si="11"/>
        <v>0</v>
      </c>
      <c r="AB24" s="102">
        <f t="shared" si="11"/>
        <v>0</v>
      </c>
      <c r="AC24" s="102">
        <f t="shared" si="11"/>
        <v>0</v>
      </c>
      <c r="AD24" s="102">
        <f t="shared" si="11"/>
        <v>0</v>
      </c>
      <c r="AE24" s="102">
        <f t="shared" si="11"/>
        <v>0</v>
      </c>
      <c r="AF24" s="102">
        <f t="shared" si="11"/>
        <v>0</v>
      </c>
      <c r="AG24" s="102">
        <f t="shared" si="11"/>
        <v>0</v>
      </c>
      <c r="AH24" s="102">
        <f t="shared" si="11"/>
        <v>0</v>
      </c>
      <c r="AI24" s="102">
        <f t="shared" si="11"/>
        <v>0</v>
      </c>
      <c r="AJ24" s="102">
        <f t="shared" si="11"/>
        <v>0</v>
      </c>
      <c r="AK24" s="102">
        <f t="shared" si="11"/>
        <v>0</v>
      </c>
      <c r="AL24" s="102">
        <f t="shared" si="11"/>
        <v>0</v>
      </c>
      <c r="AM24" s="102">
        <f t="shared" si="11"/>
        <v>0</v>
      </c>
      <c r="AN24" s="102">
        <f t="shared" si="11"/>
        <v>0</v>
      </c>
      <c r="AO24" s="102">
        <f t="shared" si="11"/>
        <v>0</v>
      </c>
      <c r="AP24" s="102">
        <f t="shared" si="11"/>
        <v>0</v>
      </c>
      <c r="AQ24" s="102">
        <f t="shared" si="11"/>
        <v>0</v>
      </c>
      <c r="AR24" s="102">
        <f t="shared" si="11"/>
        <v>0</v>
      </c>
      <c r="AS24" s="102">
        <f t="shared" si="11"/>
        <v>0</v>
      </c>
      <c r="AT24" s="102">
        <f t="shared" si="11"/>
        <v>0</v>
      </c>
      <c r="AU24" s="102">
        <f t="shared" si="11"/>
        <v>0</v>
      </c>
      <c r="AV24" s="102">
        <f t="shared" si="11"/>
        <v>0</v>
      </c>
      <c r="AW24" s="102">
        <f t="shared" si="11"/>
        <v>0</v>
      </c>
      <c r="AX24" s="102">
        <f t="shared" si="11"/>
        <v>0</v>
      </c>
      <c r="AY24" s="102">
        <f t="shared" si="11"/>
        <v>0</v>
      </c>
      <c r="AZ24" s="102">
        <f t="shared" si="11"/>
        <v>0</v>
      </c>
    </row>
    <row r="25" spans="1:52" ht="15" customHeight="1">
      <c r="A25" s="93" t="s">
        <v>792</v>
      </c>
      <c r="B25" s="91">
        <f t="shared" ref="B25:U25" si="12">C25/(1+B44-B27)</f>
        <v>15564.277189214466</v>
      </c>
      <c r="C25" s="91">
        <f t="shared" si="12"/>
        <v>15836.652040025721</v>
      </c>
      <c r="D25" s="91">
        <f t="shared" si="12"/>
        <v>16113.793450726173</v>
      </c>
      <c r="E25" s="91">
        <f t="shared" si="12"/>
        <v>16395.784836113882</v>
      </c>
      <c r="F25" s="91">
        <f t="shared" si="12"/>
        <v>16682.711070745878</v>
      </c>
      <c r="G25" s="91">
        <f t="shared" si="12"/>
        <v>16974.65851448393</v>
      </c>
      <c r="H25" s="91">
        <f t="shared" si="12"/>
        <v>17271.7150384874</v>
      </c>
      <c r="I25" s="91">
        <f t="shared" si="12"/>
        <v>17573.97005166093</v>
      </c>
      <c r="J25" s="91">
        <f t="shared" si="12"/>
        <v>17881.514527564999</v>
      </c>
      <c r="K25" s="91">
        <f t="shared" si="12"/>
        <v>18194.441031797389</v>
      </c>
      <c r="L25" s="91">
        <f t="shared" si="12"/>
        <v>18512.843749853844</v>
      </c>
      <c r="M25" s="91">
        <f t="shared" si="12"/>
        <v>18836.818515476287</v>
      </c>
      <c r="N25" s="91">
        <f t="shared" si="12"/>
        <v>19166.462839497122</v>
      </c>
      <c r="O25" s="91">
        <f t="shared" si="12"/>
        <v>19501.875939188325</v>
      </c>
      <c r="P25" s="91">
        <f t="shared" si="12"/>
        <v>19843.158768124122</v>
      </c>
      <c r="Q25" s="91">
        <f t="shared" si="12"/>
        <v>20190.414046566297</v>
      </c>
      <c r="R25" s="91">
        <f t="shared" si="12"/>
        <v>20543.746292381209</v>
      </c>
      <c r="S25" s="91">
        <f t="shared" si="12"/>
        <v>20903.261852497883</v>
      </c>
      <c r="T25" s="91">
        <f t="shared" si="12"/>
        <v>21269.068934916599</v>
      </c>
      <c r="U25" s="91">
        <f t="shared" si="12"/>
        <v>21641.27764127764</v>
      </c>
      <c r="V25" s="329">
        <v>22020</v>
      </c>
      <c r="W25" s="91">
        <f t="shared" ref="W25:AZ25" si="13">V25*(1+V44-V27)</f>
        <v>22405.350000000002</v>
      </c>
      <c r="X25" s="91">
        <f t="shared" si="13"/>
        <v>22797.443625000004</v>
      </c>
      <c r="Y25" s="91">
        <f t="shared" si="13"/>
        <v>23196.398888437507</v>
      </c>
      <c r="Z25" s="91">
        <f t="shared" si="13"/>
        <v>23602.335868985163</v>
      </c>
      <c r="AA25" s="91">
        <f t="shared" si="13"/>
        <v>24015.376746692404</v>
      </c>
      <c r="AB25" s="91">
        <f t="shared" si="13"/>
        <v>24435.645839759523</v>
      </c>
      <c r="AC25" s="91">
        <f t="shared" si="13"/>
        <v>24863.269641955318</v>
      </c>
      <c r="AD25" s="91">
        <f t="shared" si="13"/>
        <v>25298.376860689539</v>
      </c>
      <c r="AE25" s="91">
        <f t="shared" si="13"/>
        <v>25741.098455751609</v>
      </c>
      <c r="AF25" s="91">
        <f t="shared" si="13"/>
        <v>26191.567678727264</v>
      </c>
      <c r="AG25" s="91">
        <f t="shared" si="13"/>
        <v>26649.920113104992</v>
      </c>
      <c r="AH25" s="91">
        <f t="shared" si="13"/>
        <v>27116.293715084332</v>
      </c>
      <c r="AI25" s="91">
        <f t="shared" si="13"/>
        <v>27590.828855098309</v>
      </c>
      <c r="AJ25" s="91">
        <f t="shared" si="13"/>
        <v>28073.668360062533</v>
      </c>
      <c r="AK25" s="91">
        <f t="shared" si="13"/>
        <v>28564.957556363628</v>
      </c>
      <c r="AL25" s="91">
        <f t="shared" si="13"/>
        <v>29064.844313599995</v>
      </c>
      <c r="AM25" s="91">
        <f t="shared" si="13"/>
        <v>29573.479089087996</v>
      </c>
      <c r="AN25" s="91">
        <f t="shared" si="13"/>
        <v>30091.014973147037</v>
      </c>
      <c r="AO25" s="91">
        <f t="shared" si="13"/>
        <v>30617.607735177113</v>
      </c>
      <c r="AP25" s="91">
        <f t="shared" si="13"/>
        <v>31153.415870542714</v>
      </c>
      <c r="AQ25" s="91">
        <f t="shared" si="13"/>
        <v>31698.600648277214</v>
      </c>
      <c r="AR25" s="91">
        <f t="shared" si="13"/>
        <v>32253.326159622065</v>
      </c>
      <c r="AS25" s="91">
        <f t="shared" si="13"/>
        <v>32817.759367415456</v>
      </c>
      <c r="AT25" s="91">
        <f t="shared" si="13"/>
        <v>33392.070156345231</v>
      </c>
      <c r="AU25" s="91">
        <f t="shared" si="13"/>
        <v>33976.431384081276</v>
      </c>
      <c r="AV25" s="91">
        <f t="shared" si="13"/>
        <v>34571.018933302701</v>
      </c>
      <c r="AW25" s="91">
        <f t="shared" si="13"/>
        <v>35176.011764635499</v>
      </c>
      <c r="AX25" s="91">
        <f t="shared" si="13"/>
        <v>35791.591970516623</v>
      </c>
      <c r="AY25" s="91">
        <f t="shared" si="13"/>
        <v>36417.94483000067</v>
      </c>
      <c r="AZ25" s="91">
        <f t="shared" si="13"/>
        <v>37055.258864525684</v>
      </c>
    </row>
    <row r="26" spans="1:52" ht="15" customHeight="1">
      <c r="A26" s="93" t="s">
        <v>793</v>
      </c>
      <c r="B26" s="91">
        <f t="shared" ref="B26:U26" si="14">C26/(1+B44-B27)</f>
        <v>14843.316120504262</v>
      </c>
      <c r="C26" s="91">
        <f t="shared" si="14"/>
        <v>15103.074152613088</v>
      </c>
      <c r="D26" s="91">
        <f t="shared" si="14"/>
        <v>15367.377950283819</v>
      </c>
      <c r="E26" s="91">
        <f t="shared" si="14"/>
        <v>15636.307064413786</v>
      </c>
      <c r="F26" s="91">
        <f t="shared" si="14"/>
        <v>15909.942438041029</v>
      </c>
      <c r="G26" s="91">
        <f t="shared" si="14"/>
        <v>16188.366430706748</v>
      </c>
      <c r="H26" s="91">
        <f t="shared" si="14"/>
        <v>16471.662843244118</v>
      </c>
      <c r="I26" s="91">
        <f t="shared" si="14"/>
        <v>16759.916943000891</v>
      </c>
      <c r="J26" s="91">
        <f t="shared" si="14"/>
        <v>17053.215489503407</v>
      </c>
      <c r="K26" s="91">
        <f t="shared" si="14"/>
        <v>17351.646760569718</v>
      </c>
      <c r="L26" s="91">
        <f t="shared" si="14"/>
        <v>17655.300578879691</v>
      </c>
      <c r="M26" s="91">
        <f t="shared" si="14"/>
        <v>17964.268339010086</v>
      </c>
      <c r="N26" s="91">
        <f t="shared" si="14"/>
        <v>18278.643034942765</v>
      </c>
      <c r="O26" s="91">
        <f t="shared" si="14"/>
        <v>18598.519288054264</v>
      </c>
      <c r="P26" s="91">
        <f t="shared" si="14"/>
        <v>18923.993375595215</v>
      </c>
      <c r="Q26" s="91">
        <f t="shared" si="14"/>
        <v>19255.163259668134</v>
      </c>
      <c r="R26" s="91">
        <f t="shared" si="14"/>
        <v>19592.128616712329</v>
      </c>
      <c r="S26" s="91">
        <f t="shared" si="14"/>
        <v>19934.990867504795</v>
      </c>
      <c r="T26" s="91">
        <f t="shared" si="14"/>
        <v>20283.85320768613</v>
      </c>
      <c r="U26" s="91">
        <f t="shared" si="14"/>
        <v>20638.820638820638</v>
      </c>
      <c r="V26" s="329">
        <v>21000</v>
      </c>
      <c r="W26" s="91">
        <f t="shared" ref="W26:AZ26" si="15">V26*(1+V44-V27)</f>
        <v>21367.5</v>
      </c>
      <c r="X26" s="91">
        <f t="shared" si="15"/>
        <v>21741.431250000001</v>
      </c>
      <c r="Y26" s="91">
        <f t="shared" si="15"/>
        <v>22121.906296875004</v>
      </c>
      <c r="Z26" s="91">
        <f t="shared" si="15"/>
        <v>22509.03965707032</v>
      </c>
      <c r="AA26" s="91">
        <f t="shared" si="15"/>
        <v>22902.947851069053</v>
      </c>
      <c r="AB26" s="91">
        <f t="shared" si="15"/>
        <v>23303.749438462764</v>
      </c>
      <c r="AC26" s="91">
        <f t="shared" si="15"/>
        <v>23711.565053635866</v>
      </c>
      <c r="AD26" s="91">
        <f t="shared" si="15"/>
        <v>24126.517442074495</v>
      </c>
      <c r="AE26" s="91">
        <f t="shared" si="15"/>
        <v>24548.7314973108</v>
      </c>
      <c r="AF26" s="91">
        <f t="shared" si="15"/>
        <v>24978.334298513742</v>
      </c>
      <c r="AG26" s="91">
        <f t="shared" si="15"/>
        <v>25415.455148737736</v>
      </c>
      <c r="AH26" s="91">
        <f t="shared" si="15"/>
        <v>25860.225613840648</v>
      </c>
      <c r="AI26" s="91">
        <f t="shared" si="15"/>
        <v>26312.779562082862</v>
      </c>
      <c r="AJ26" s="91">
        <f t="shared" si="15"/>
        <v>26773.253204419314</v>
      </c>
      <c r="AK26" s="91">
        <f t="shared" si="15"/>
        <v>27241.785135496655</v>
      </c>
      <c r="AL26" s="91">
        <f t="shared" si="15"/>
        <v>27718.51637536785</v>
      </c>
      <c r="AM26" s="91">
        <f t="shared" si="15"/>
        <v>28203.590411936788</v>
      </c>
      <c r="AN26" s="91">
        <f t="shared" si="15"/>
        <v>28697.153244145684</v>
      </c>
      <c r="AO26" s="91">
        <f t="shared" si="15"/>
        <v>29199.353425918234</v>
      </c>
      <c r="AP26" s="91">
        <f t="shared" si="15"/>
        <v>29710.342110871807</v>
      </c>
      <c r="AQ26" s="91">
        <f t="shared" si="15"/>
        <v>30230.273097812067</v>
      </c>
      <c r="AR26" s="91">
        <f t="shared" si="15"/>
        <v>30759.30287702378</v>
      </c>
      <c r="AS26" s="91">
        <f t="shared" si="15"/>
        <v>31297.5906773717</v>
      </c>
      <c r="AT26" s="91">
        <f t="shared" si="15"/>
        <v>31845.298514225706</v>
      </c>
      <c r="AU26" s="91">
        <f t="shared" si="15"/>
        <v>32402.591238224657</v>
      </c>
      <c r="AV26" s="91">
        <f t="shared" si="15"/>
        <v>32969.636584893589</v>
      </c>
      <c r="AW26" s="91">
        <f t="shared" si="15"/>
        <v>33546.605225129228</v>
      </c>
      <c r="AX26" s="91">
        <f t="shared" si="15"/>
        <v>34133.670816568992</v>
      </c>
      <c r="AY26" s="91">
        <f t="shared" si="15"/>
        <v>34731.010055858955</v>
      </c>
      <c r="AZ26" s="91">
        <f t="shared" si="15"/>
        <v>35338.802731836491</v>
      </c>
    </row>
    <row r="27" spans="1:52" ht="15" customHeight="1">
      <c r="A27" s="93" t="s">
        <v>106</v>
      </c>
      <c r="B27" s="330">
        <f t="shared" ref="B27:U27" si="16">C27</f>
        <v>2.5000000000000001E-3</v>
      </c>
      <c r="C27" s="330">
        <f t="shared" si="16"/>
        <v>2.5000000000000001E-3</v>
      </c>
      <c r="D27" s="330">
        <f t="shared" si="16"/>
        <v>2.5000000000000001E-3</v>
      </c>
      <c r="E27" s="330">
        <f t="shared" si="16"/>
        <v>2.5000000000000001E-3</v>
      </c>
      <c r="F27" s="330">
        <f t="shared" si="16"/>
        <v>2.5000000000000001E-3</v>
      </c>
      <c r="G27" s="330">
        <f t="shared" si="16"/>
        <v>2.5000000000000001E-3</v>
      </c>
      <c r="H27" s="330">
        <f t="shared" si="16"/>
        <v>2.5000000000000001E-3</v>
      </c>
      <c r="I27" s="330">
        <f t="shared" si="16"/>
        <v>2.5000000000000001E-3</v>
      </c>
      <c r="J27" s="330">
        <f t="shared" si="16"/>
        <v>2.5000000000000001E-3</v>
      </c>
      <c r="K27" s="330">
        <f t="shared" si="16"/>
        <v>2.5000000000000001E-3</v>
      </c>
      <c r="L27" s="330">
        <f t="shared" si="16"/>
        <v>2.5000000000000001E-3</v>
      </c>
      <c r="M27" s="330">
        <f t="shared" si="16"/>
        <v>2.5000000000000001E-3</v>
      </c>
      <c r="N27" s="330">
        <f t="shared" si="16"/>
        <v>2.5000000000000001E-3</v>
      </c>
      <c r="O27" s="330">
        <f t="shared" si="16"/>
        <v>2.5000000000000001E-3</v>
      </c>
      <c r="P27" s="330">
        <f t="shared" si="16"/>
        <v>2.5000000000000001E-3</v>
      </c>
      <c r="Q27" s="330">
        <f t="shared" si="16"/>
        <v>2.5000000000000001E-3</v>
      </c>
      <c r="R27" s="330">
        <f t="shared" si="16"/>
        <v>2.5000000000000001E-3</v>
      </c>
      <c r="S27" s="330">
        <f t="shared" si="16"/>
        <v>2.5000000000000001E-3</v>
      </c>
      <c r="T27" s="330">
        <f t="shared" si="16"/>
        <v>2.5000000000000001E-3</v>
      </c>
      <c r="U27" s="330">
        <f t="shared" si="16"/>
        <v>2.5000000000000001E-3</v>
      </c>
      <c r="V27" s="245">
        <v>2.5000000000000001E-3</v>
      </c>
      <c r="W27" s="247">
        <f t="shared" ref="W27:AZ27" si="17">V27</f>
        <v>2.5000000000000001E-3</v>
      </c>
      <c r="X27" s="247">
        <f t="shared" si="17"/>
        <v>2.5000000000000001E-3</v>
      </c>
      <c r="Y27" s="247">
        <f t="shared" si="17"/>
        <v>2.5000000000000001E-3</v>
      </c>
      <c r="Z27" s="247">
        <f t="shared" si="17"/>
        <v>2.5000000000000001E-3</v>
      </c>
      <c r="AA27" s="247">
        <f t="shared" si="17"/>
        <v>2.5000000000000001E-3</v>
      </c>
      <c r="AB27" s="247">
        <f t="shared" si="17"/>
        <v>2.5000000000000001E-3</v>
      </c>
      <c r="AC27" s="247">
        <f t="shared" si="17"/>
        <v>2.5000000000000001E-3</v>
      </c>
      <c r="AD27" s="247">
        <f t="shared" si="17"/>
        <v>2.5000000000000001E-3</v>
      </c>
      <c r="AE27" s="247">
        <f t="shared" si="17"/>
        <v>2.5000000000000001E-3</v>
      </c>
      <c r="AF27" s="247">
        <f t="shared" si="17"/>
        <v>2.5000000000000001E-3</v>
      </c>
      <c r="AG27" s="247">
        <f t="shared" si="17"/>
        <v>2.5000000000000001E-3</v>
      </c>
      <c r="AH27" s="247">
        <f t="shared" si="17"/>
        <v>2.5000000000000001E-3</v>
      </c>
      <c r="AI27" s="247">
        <f t="shared" si="17"/>
        <v>2.5000000000000001E-3</v>
      </c>
      <c r="AJ27" s="247">
        <f t="shared" si="17"/>
        <v>2.5000000000000001E-3</v>
      </c>
      <c r="AK27" s="247">
        <f t="shared" si="17"/>
        <v>2.5000000000000001E-3</v>
      </c>
      <c r="AL27" s="247">
        <f t="shared" si="17"/>
        <v>2.5000000000000001E-3</v>
      </c>
      <c r="AM27" s="247">
        <f t="shared" si="17"/>
        <v>2.5000000000000001E-3</v>
      </c>
      <c r="AN27" s="247">
        <f t="shared" si="17"/>
        <v>2.5000000000000001E-3</v>
      </c>
      <c r="AO27" s="247">
        <f t="shared" si="17"/>
        <v>2.5000000000000001E-3</v>
      </c>
      <c r="AP27" s="247">
        <f t="shared" si="17"/>
        <v>2.5000000000000001E-3</v>
      </c>
      <c r="AQ27" s="247">
        <f t="shared" si="17"/>
        <v>2.5000000000000001E-3</v>
      </c>
      <c r="AR27" s="247">
        <f t="shared" si="17"/>
        <v>2.5000000000000001E-3</v>
      </c>
      <c r="AS27" s="247">
        <f t="shared" si="17"/>
        <v>2.5000000000000001E-3</v>
      </c>
      <c r="AT27" s="247">
        <f t="shared" si="17"/>
        <v>2.5000000000000001E-3</v>
      </c>
      <c r="AU27" s="247">
        <f t="shared" si="17"/>
        <v>2.5000000000000001E-3</v>
      </c>
      <c r="AV27" s="247">
        <f t="shared" si="17"/>
        <v>2.5000000000000001E-3</v>
      </c>
      <c r="AW27" s="247">
        <f t="shared" si="17"/>
        <v>2.5000000000000001E-3</v>
      </c>
      <c r="AX27" s="247">
        <f t="shared" si="17"/>
        <v>2.5000000000000001E-3</v>
      </c>
      <c r="AY27" s="247">
        <f t="shared" si="17"/>
        <v>2.5000000000000001E-3</v>
      </c>
      <c r="AZ27" s="247">
        <f t="shared" si="17"/>
        <v>2.5000000000000001E-3</v>
      </c>
    </row>
    <row r="28" spans="1:52" ht="15" customHeight="1">
      <c r="A28" s="93" t="s">
        <v>112</v>
      </c>
      <c r="B28" s="93"/>
      <c r="C28" s="93"/>
      <c r="D28" s="93"/>
      <c r="E28" s="93"/>
      <c r="F28" s="93"/>
      <c r="G28" s="93"/>
      <c r="H28" s="93"/>
      <c r="I28" s="93"/>
      <c r="J28" s="93"/>
      <c r="K28" s="93"/>
      <c r="L28" s="93"/>
      <c r="M28" s="93"/>
      <c r="N28" s="93"/>
      <c r="O28" s="93"/>
      <c r="P28" s="93"/>
      <c r="Q28" s="93"/>
      <c r="R28" s="93"/>
      <c r="S28" s="93"/>
      <c r="T28" s="93"/>
      <c r="U28" s="93"/>
      <c r="V28" s="254">
        <v>0.21</v>
      </c>
      <c r="W28" s="102">
        <f t="shared" ref="W28:AZ28" si="18">V28</f>
        <v>0.21</v>
      </c>
      <c r="X28" s="102">
        <f t="shared" si="18"/>
        <v>0.21</v>
      </c>
      <c r="Y28" s="102">
        <f t="shared" si="18"/>
        <v>0.21</v>
      </c>
      <c r="Z28" s="102">
        <f t="shared" si="18"/>
        <v>0.21</v>
      </c>
      <c r="AA28" s="102">
        <f t="shared" si="18"/>
        <v>0.21</v>
      </c>
      <c r="AB28" s="102">
        <f t="shared" si="18"/>
        <v>0.21</v>
      </c>
      <c r="AC28" s="102">
        <f t="shared" si="18"/>
        <v>0.21</v>
      </c>
      <c r="AD28" s="102">
        <f t="shared" si="18"/>
        <v>0.21</v>
      </c>
      <c r="AE28" s="102">
        <f t="shared" si="18"/>
        <v>0.21</v>
      </c>
      <c r="AF28" s="102">
        <f t="shared" si="18"/>
        <v>0.21</v>
      </c>
      <c r="AG28" s="102">
        <f t="shared" si="18"/>
        <v>0.21</v>
      </c>
      <c r="AH28" s="102">
        <f t="shared" si="18"/>
        <v>0.21</v>
      </c>
      <c r="AI28" s="102">
        <f t="shared" si="18"/>
        <v>0.21</v>
      </c>
      <c r="AJ28" s="102">
        <f t="shared" si="18"/>
        <v>0.21</v>
      </c>
      <c r="AK28" s="102">
        <f t="shared" si="18"/>
        <v>0.21</v>
      </c>
      <c r="AL28" s="102">
        <f t="shared" si="18"/>
        <v>0.21</v>
      </c>
      <c r="AM28" s="102">
        <f t="shared" si="18"/>
        <v>0.21</v>
      </c>
      <c r="AN28" s="102">
        <f t="shared" si="18"/>
        <v>0.21</v>
      </c>
      <c r="AO28" s="102">
        <f t="shared" si="18"/>
        <v>0.21</v>
      </c>
      <c r="AP28" s="102">
        <f t="shared" si="18"/>
        <v>0.21</v>
      </c>
      <c r="AQ28" s="102">
        <f t="shared" si="18"/>
        <v>0.21</v>
      </c>
      <c r="AR28" s="102">
        <f t="shared" si="18"/>
        <v>0.21</v>
      </c>
      <c r="AS28" s="102">
        <f t="shared" si="18"/>
        <v>0.21</v>
      </c>
      <c r="AT28" s="102">
        <f t="shared" si="18"/>
        <v>0.21</v>
      </c>
      <c r="AU28" s="102">
        <f t="shared" si="18"/>
        <v>0.21</v>
      </c>
      <c r="AV28" s="102">
        <f t="shared" si="18"/>
        <v>0.21</v>
      </c>
      <c r="AW28" s="102">
        <f t="shared" si="18"/>
        <v>0.21</v>
      </c>
      <c r="AX28" s="102">
        <f t="shared" si="18"/>
        <v>0.21</v>
      </c>
      <c r="AY28" s="102">
        <f t="shared" si="18"/>
        <v>0.21</v>
      </c>
      <c r="AZ28" s="102">
        <f t="shared" si="18"/>
        <v>0.21</v>
      </c>
    </row>
    <row r="29" spans="1:52" ht="15" customHeight="1">
      <c r="A29" s="93" t="s">
        <v>114</v>
      </c>
      <c r="B29" s="93"/>
      <c r="C29" s="93"/>
      <c r="D29" s="93"/>
      <c r="E29" s="93"/>
      <c r="F29" s="93"/>
      <c r="G29" s="93"/>
      <c r="H29" s="93"/>
      <c r="I29" s="93"/>
      <c r="J29" s="93"/>
      <c r="K29" s="93"/>
      <c r="L29" s="93"/>
      <c r="M29" s="93"/>
      <c r="N29" s="93"/>
      <c r="O29" s="93"/>
      <c r="P29" s="93"/>
      <c r="Q29" s="93"/>
      <c r="R29" s="93"/>
      <c r="S29" s="93"/>
      <c r="T29" s="93"/>
      <c r="U29" s="93"/>
      <c r="V29" s="97">
        <v>38.590000000000003</v>
      </c>
      <c r="W29" s="91">
        <f t="shared" ref="W29:AZ29" si="19">V29*(1+V44)</f>
        <v>39.361800000000002</v>
      </c>
      <c r="X29" s="91">
        <f t="shared" si="19"/>
        <v>40.149036000000002</v>
      </c>
      <c r="Y29" s="91">
        <f t="shared" si="19"/>
        <v>40.952016720000003</v>
      </c>
      <c r="Z29" s="91">
        <f t="shared" si="19"/>
        <v>41.771057054400003</v>
      </c>
      <c r="AA29" s="91">
        <f t="shared" si="19"/>
        <v>42.606478195488002</v>
      </c>
      <c r="AB29" s="91">
        <f t="shared" si="19"/>
        <v>43.458607759397765</v>
      </c>
      <c r="AC29" s="91">
        <f t="shared" si="19"/>
        <v>44.327779914585719</v>
      </c>
      <c r="AD29" s="91">
        <f t="shared" si="19"/>
        <v>45.214335512877433</v>
      </c>
      <c r="AE29" s="91">
        <f t="shared" si="19"/>
        <v>46.118622223134984</v>
      </c>
      <c r="AF29" s="91">
        <f t="shared" si="19"/>
        <v>47.040994667597687</v>
      </c>
      <c r="AG29" s="91">
        <f t="shared" si="19"/>
        <v>47.981814560949644</v>
      </c>
      <c r="AH29" s="91">
        <f t="shared" si="19"/>
        <v>48.941450852168636</v>
      </c>
      <c r="AI29" s="91">
        <f t="shared" si="19"/>
        <v>49.92027986921201</v>
      </c>
      <c r="AJ29" s="91">
        <f t="shared" si="19"/>
        <v>50.918685466596251</v>
      </c>
      <c r="AK29" s="91">
        <f t="shared" si="19"/>
        <v>51.937059175928177</v>
      </c>
      <c r="AL29" s="91">
        <f t="shared" si="19"/>
        <v>52.975800359446744</v>
      </c>
      <c r="AM29" s="91">
        <f t="shared" si="19"/>
        <v>54.035316366635676</v>
      </c>
      <c r="AN29" s="91">
        <f t="shared" si="19"/>
        <v>55.116022693968389</v>
      </c>
      <c r="AO29" s="91">
        <f t="shared" si="19"/>
        <v>56.218343147847762</v>
      </c>
      <c r="AP29" s="91">
        <f t="shared" si="19"/>
        <v>57.342710010804716</v>
      </c>
      <c r="AQ29" s="91">
        <f t="shared" si="19"/>
        <v>58.489564211020813</v>
      </c>
      <c r="AR29" s="91">
        <f t="shared" si="19"/>
        <v>59.659355495241229</v>
      </c>
      <c r="AS29" s="91">
        <f t="shared" si="19"/>
        <v>60.852542605146056</v>
      </c>
      <c r="AT29" s="91">
        <f t="shared" si="19"/>
        <v>62.069593457248978</v>
      </c>
      <c r="AU29" s="91">
        <f t="shared" si="19"/>
        <v>63.310985326393961</v>
      </c>
      <c r="AV29" s="91">
        <f t="shared" si="19"/>
        <v>64.577205032921839</v>
      </c>
      <c r="AW29" s="91">
        <f t="shared" si="19"/>
        <v>65.86874913358028</v>
      </c>
      <c r="AX29" s="91">
        <f t="shared" si="19"/>
        <v>67.186124116251889</v>
      </c>
      <c r="AY29" s="91">
        <f t="shared" si="19"/>
        <v>68.529846598576924</v>
      </c>
      <c r="AZ29" s="91">
        <f t="shared" si="19"/>
        <v>69.900443530548458</v>
      </c>
    </row>
    <row r="30" spans="1:52" ht="15" customHeight="1">
      <c r="A30" s="93" t="s">
        <v>794</v>
      </c>
      <c r="B30" s="93"/>
      <c r="C30" s="93"/>
      <c r="D30" s="93"/>
      <c r="E30" s="93"/>
      <c r="F30" s="93"/>
      <c r="G30" s="93"/>
      <c r="H30" s="93"/>
      <c r="I30" s="93"/>
      <c r="J30" s="93"/>
      <c r="K30" s="93"/>
      <c r="L30" s="93"/>
      <c r="M30" s="93"/>
      <c r="N30" s="93"/>
      <c r="O30" s="93"/>
      <c r="P30" s="93"/>
      <c r="Q30" s="93"/>
      <c r="R30" s="93"/>
      <c r="S30" s="93"/>
      <c r="T30" s="93"/>
      <c r="U30" s="93"/>
      <c r="V30" s="332">
        <v>24</v>
      </c>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row>
    <row r="31" spans="1:52" ht="15" customHeight="1">
      <c r="A31" s="93" t="s">
        <v>795</v>
      </c>
      <c r="B31" s="93"/>
      <c r="C31" s="93"/>
      <c r="D31" s="93"/>
      <c r="E31" s="93"/>
      <c r="F31" s="93"/>
      <c r="G31" s="93"/>
      <c r="H31" s="93"/>
      <c r="I31" s="93"/>
      <c r="J31" s="93"/>
      <c r="K31" s="93"/>
      <c r="L31" s="93"/>
      <c r="M31" s="93"/>
      <c r="N31" s="93"/>
      <c r="O31" s="93"/>
      <c r="P31" s="93"/>
      <c r="Q31" s="93"/>
      <c r="R31" s="93"/>
      <c r="S31" s="93"/>
      <c r="T31" s="93"/>
      <c r="U31" s="93"/>
      <c r="V31" s="332">
        <v>30</v>
      </c>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row>
    <row r="32" spans="1:52" ht="15" customHeight="1">
      <c r="A32" s="93" t="s">
        <v>796</v>
      </c>
      <c r="B32" s="93"/>
      <c r="C32" s="93"/>
      <c r="D32" s="93"/>
      <c r="E32" s="93"/>
      <c r="F32" s="93"/>
      <c r="G32" s="93"/>
      <c r="H32" s="93"/>
      <c r="I32" s="93"/>
      <c r="J32" s="93"/>
      <c r="K32" s="93"/>
      <c r="L32" s="93"/>
      <c r="M32" s="93"/>
      <c r="N32" s="93"/>
      <c r="O32" s="93"/>
      <c r="P32" s="93"/>
      <c r="Q32" s="93"/>
      <c r="R32" s="93"/>
      <c r="S32" s="93"/>
      <c r="T32" s="93"/>
      <c r="U32" s="93"/>
      <c r="V32" s="332">
        <v>3</v>
      </c>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row>
    <row r="33" spans="1:53" ht="15" customHeight="1">
      <c r="A33" s="93" t="s">
        <v>797</v>
      </c>
      <c r="B33" s="93"/>
      <c r="C33" s="93"/>
      <c r="D33" s="93"/>
      <c r="E33" s="93"/>
      <c r="F33" s="93"/>
      <c r="G33" s="93"/>
      <c r="H33" s="93"/>
      <c r="I33" s="93"/>
      <c r="J33" s="93"/>
      <c r="K33" s="93"/>
      <c r="L33" s="93"/>
      <c r="M33" s="93"/>
      <c r="N33" s="93"/>
      <c r="O33" s="93"/>
      <c r="P33" s="93"/>
      <c r="Q33" s="93"/>
      <c r="R33" s="93"/>
      <c r="S33" s="93"/>
      <c r="T33" s="93"/>
      <c r="U33" s="93"/>
      <c r="V33" s="332">
        <v>4</v>
      </c>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row>
    <row r="34" spans="1:53" ht="15" customHeight="1">
      <c r="A34" s="93" t="s">
        <v>798</v>
      </c>
      <c r="B34" s="93"/>
      <c r="C34" s="93"/>
      <c r="D34" s="93"/>
      <c r="E34" s="93"/>
      <c r="F34" s="93"/>
      <c r="G34" s="93"/>
      <c r="H34" s="93"/>
      <c r="I34" s="93"/>
      <c r="J34" s="93"/>
      <c r="K34" s="93"/>
      <c r="L34" s="93"/>
      <c r="M34" s="93"/>
      <c r="N34" s="93"/>
      <c r="O34" s="93"/>
      <c r="P34" s="93"/>
      <c r="Q34" s="93"/>
      <c r="R34" s="93"/>
      <c r="S34" s="93"/>
      <c r="T34" s="93"/>
      <c r="U34" s="93"/>
      <c r="V34" s="332">
        <v>20</v>
      </c>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row>
    <row r="35" spans="1:53" ht="15" customHeight="1">
      <c r="A35" s="93" t="s">
        <v>799</v>
      </c>
      <c r="B35" s="93"/>
      <c r="C35" s="93"/>
      <c r="D35" s="93"/>
      <c r="E35" s="93"/>
      <c r="F35" s="93"/>
      <c r="G35" s="93"/>
      <c r="H35" s="93"/>
      <c r="I35" s="93"/>
      <c r="J35" s="93"/>
      <c r="K35" s="93"/>
      <c r="L35" s="93"/>
      <c r="M35" s="93"/>
      <c r="N35" s="93"/>
      <c r="O35" s="93"/>
      <c r="P35" s="93"/>
      <c r="Q35" s="93"/>
      <c r="R35" s="93"/>
      <c r="S35" s="93"/>
      <c r="T35" s="93"/>
      <c r="U35" s="93"/>
      <c r="V35" s="332">
        <v>30</v>
      </c>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row>
    <row r="36" spans="1:53" ht="15" customHeight="1">
      <c r="A36" s="93" t="s">
        <v>800</v>
      </c>
      <c r="B36" s="93"/>
      <c r="C36" s="93"/>
      <c r="D36" s="93"/>
      <c r="E36" s="93"/>
      <c r="F36" s="93"/>
      <c r="G36" s="93"/>
      <c r="H36" s="93"/>
      <c r="I36" s="93"/>
      <c r="J36" s="93"/>
      <c r="K36" s="93"/>
      <c r="L36" s="93"/>
      <c r="M36" s="93"/>
      <c r="N36" s="93"/>
      <c r="O36" s="93"/>
      <c r="P36" s="93"/>
      <c r="Q36" s="93"/>
      <c r="R36" s="93"/>
      <c r="S36" s="93"/>
      <c r="T36" s="93"/>
      <c r="U36" s="93"/>
      <c r="V36" s="332">
        <v>10</v>
      </c>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row>
    <row r="37" spans="1:53" ht="15" customHeight="1">
      <c r="A37" s="93" t="s">
        <v>801</v>
      </c>
      <c r="B37" s="93"/>
      <c r="C37" s="93"/>
      <c r="D37" s="93"/>
      <c r="E37" s="93"/>
      <c r="F37" s="93"/>
      <c r="G37" s="93"/>
      <c r="H37" s="93"/>
      <c r="I37" s="93"/>
      <c r="J37" s="93"/>
      <c r="K37" s="93"/>
      <c r="L37" s="93"/>
      <c r="M37" s="93"/>
      <c r="N37" s="93"/>
      <c r="O37" s="93"/>
      <c r="P37" s="93"/>
      <c r="Q37" s="93"/>
      <c r="R37" s="93"/>
      <c r="S37" s="93"/>
      <c r="T37" s="93"/>
      <c r="U37" s="93"/>
      <c r="V37" s="332">
        <v>5</v>
      </c>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row>
    <row r="38" spans="1:53" ht="15" customHeight="1">
      <c r="A38" s="99" t="s">
        <v>123</v>
      </c>
      <c r="B38" s="99"/>
      <c r="C38" s="99"/>
      <c r="D38" s="99"/>
      <c r="E38" s="99"/>
      <c r="F38" s="99"/>
      <c r="G38" s="99"/>
      <c r="H38" s="99"/>
      <c r="I38" s="99"/>
      <c r="J38" s="99"/>
      <c r="K38" s="99"/>
      <c r="L38" s="99"/>
      <c r="M38" s="99"/>
      <c r="N38" s="99"/>
      <c r="O38" s="99"/>
      <c r="P38" s="99"/>
      <c r="Q38" s="99"/>
      <c r="R38" s="99"/>
      <c r="S38" s="99"/>
      <c r="T38" s="99"/>
      <c r="U38" s="99"/>
      <c r="V38" s="329"/>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row>
    <row r="39" spans="1:53" ht="15" customHeight="1">
      <c r="A39" s="93" t="s">
        <v>126</v>
      </c>
      <c r="B39" s="95">
        <f>'Inflation GDP Population'!B2</f>
        <v>96.994687004035995</v>
      </c>
      <c r="C39" s="95">
        <f>'Inflation GDP Population'!C2</f>
        <v>82.561802368421056</v>
      </c>
      <c r="D39" s="95">
        <f>'Inflation GDP Population'!D2</f>
        <v>92.422988832098127</v>
      </c>
      <c r="E39" s="95">
        <f>'Inflation GDP Population'!E2</f>
        <v>85.643902995324368</v>
      </c>
      <c r="F39" s="95">
        <f>'Inflation GDP Population'!F2</f>
        <v>81.324791570560762</v>
      </c>
      <c r="G39" s="95">
        <f>'Inflation GDP Population'!G2</f>
        <v>82.285051583593884</v>
      </c>
      <c r="H39" s="95">
        <f>'Inflation GDP Population'!H2</f>
        <v>73.132352371089056</v>
      </c>
      <c r="I39" s="95">
        <f>'Inflation GDP Population'!I2</f>
        <v>75.178349917306775</v>
      </c>
      <c r="J39" s="95">
        <f>'Inflation GDP Population'!J2</f>
        <v>77.566868947213194</v>
      </c>
      <c r="K39" s="95">
        <f>'Inflation GDP Population'!K2</f>
        <v>67.397054261131927</v>
      </c>
      <c r="L39" s="95">
        <f>'Inflation GDP Population'!L2</f>
        <v>69.359261305247756</v>
      </c>
      <c r="M39" s="95">
        <f>'Inflation GDP Population'!M2</f>
        <v>69.149647376821946</v>
      </c>
      <c r="N39" s="95">
        <f>'Inflation GDP Population'!N2</f>
        <v>66.077410694889281</v>
      </c>
      <c r="O39" s="95">
        <f>'Inflation GDP Population'!O2</f>
        <v>68.667649550254211</v>
      </c>
      <c r="P39" s="95">
        <f>'Inflation GDP Population'!P2</f>
        <v>67.613374485645934</v>
      </c>
      <c r="Q39" s="95">
        <f>'Inflation GDP Population'!Q2</f>
        <v>63.519292757444873</v>
      </c>
      <c r="R39" s="95">
        <f>'Inflation GDP Population'!R2</f>
        <v>65.2</v>
      </c>
      <c r="S39" s="95">
        <f>'Inflation GDP Population'!S2</f>
        <v>62.54</v>
      </c>
      <c r="T39" s="95">
        <f>'Inflation GDP Population'!T2</f>
        <v>62.8</v>
      </c>
      <c r="U39" s="95">
        <f>'Inflation GDP Population'!U2</f>
        <v>62.22</v>
      </c>
      <c r="V39" s="95">
        <f>'Inflation GDP Population'!V2</f>
        <v>63.245459999999994</v>
      </c>
      <c r="W39" s="95">
        <f>'Inflation GDP Population'!W2</f>
        <v>62.18788</v>
      </c>
      <c r="X39" s="95">
        <f>'Inflation GDP Population'!X2</f>
        <v>61.283909999999999</v>
      </c>
      <c r="Y39" s="95">
        <f>'Inflation GDP Population'!Y2</f>
        <v>60.782710000000002</v>
      </c>
      <c r="Z39" s="95">
        <f>'Inflation GDP Population'!Z2</f>
        <v>60.470050000000001</v>
      </c>
      <c r="AA39" s="95">
        <f>'Inflation GDP Population'!AA2</f>
        <v>60.726050000000001</v>
      </c>
      <c r="AB39" s="95">
        <f>'Inflation GDP Population'!AB2</f>
        <v>60.323509999999999</v>
      </c>
      <c r="AC39" s="95">
        <f>'Inflation GDP Population'!AC2</f>
        <v>60.154750000000007</v>
      </c>
      <c r="AD39" s="95">
        <f>'Inflation GDP Population'!AD2</f>
        <v>59.918579999999999</v>
      </c>
      <c r="AE39" s="95">
        <f>'Inflation GDP Population'!AE2</f>
        <v>59.74736</v>
      </c>
      <c r="AF39" s="95">
        <f>'Inflation GDP Population'!AF2</f>
        <v>59.571719999999999</v>
      </c>
      <c r="AG39" s="95">
        <f>'Inflation GDP Population'!AG2</f>
        <v>59.462200000000003</v>
      </c>
      <c r="AH39" s="95">
        <f>'Inflation GDP Population'!AH2</f>
        <v>59.098179999999999</v>
      </c>
      <c r="AI39" s="95">
        <f>'Inflation GDP Population'!AI2</f>
        <v>58.690709999999996</v>
      </c>
      <c r="AJ39" s="95">
        <f>'Inflation GDP Population'!AJ2</f>
        <v>58.279679999999999</v>
      </c>
      <c r="AK39" s="95">
        <f>'Inflation GDP Population'!AK2</f>
        <v>57.945390000000003</v>
      </c>
      <c r="AL39" s="95">
        <f>'Inflation GDP Population'!AL2</f>
        <v>57.822279999999999</v>
      </c>
      <c r="AM39" s="95">
        <f>'Inflation GDP Population'!AM2</f>
        <v>57.639300000000006</v>
      </c>
      <c r="AN39" s="95">
        <f>'Inflation GDP Population'!AN2</f>
        <v>57.618220000000008</v>
      </c>
      <c r="AO39" s="95">
        <f>'Inflation GDP Population'!AO2</f>
        <v>57.583159999999999</v>
      </c>
      <c r="AP39" s="95">
        <f>'Inflation GDP Population'!AP2</f>
        <v>57.428650000000005</v>
      </c>
      <c r="AQ39" s="95">
        <f>'Inflation GDP Population'!AQ2</f>
        <v>57.212560000000003</v>
      </c>
      <c r="AR39" s="95">
        <f>'Inflation GDP Population'!AR2</f>
        <v>56.957370000000004</v>
      </c>
      <c r="AS39" s="95">
        <f>'Inflation GDP Population'!AS2</f>
        <v>56.726020000000005</v>
      </c>
      <c r="AT39" s="95">
        <f>'Inflation GDP Population'!AT2</f>
        <v>56.532699999999998</v>
      </c>
      <c r="AU39" s="95">
        <f>'Inflation GDP Population'!AU2</f>
        <v>56.329940000000001</v>
      </c>
      <c r="AV39" s="95">
        <f>'Inflation GDP Population'!AV2</f>
        <v>56.008069999999996</v>
      </c>
      <c r="AW39" s="95">
        <f>'Inflation GDP Population'!AW2</f>
        <v>55.853279999999998</v>
      </c>
      <c r="AX39" s="95">
        <f>'Inflation GDP Population'!AX2</f>
        <v>56.44464</v>
      </c>
      <c r="AY39" s="95">
        <f>'Inflation GDP Population'!AY2</f>
        <v>56.523910000000001</v>
      </c>
      <c r="AZ39" s="95">
        <f>'Inflation GDP Population'!AZ2</f>
        <v>56.24409</v>
      </c>
    </row>
    <row r="40" spans="1:53" ht="15" customHeight="1">
      <c r="A40" s="93" t="s">
        <v>128</v>
      </c>
      <c r="B40" s="95">
        <f>'Inflation GDP Population'!B3</f>
        <v>66.936599999999999</v>
      </c>
      <c r="C40" s="95">
        <f>'Inflation GDP Population'!C3</f>
        <v>68.562700000000007</v>
      </c>
      <c r="D40" s="95">
        <f>'Inflation GDP Population'!D3</f>
        <v>61.9876</v>
      </c>
      <c r="E40" s="95">
        <f>'Inflation GDP Population'!E3</f>
        <v>75.349900000000005</v>
      </c>
      <c r="F40" s="95">
        <f>'Inflation GDP Population'!F3</f>
        <v>79.167699999999996</v>
      </c>
      <c r="G40" s="95">
        <f>'Inflation GDP Population'!G3</f>
        <v>95.852900000000005</v>
      </c>
      <c r="H40" s="95">
        <f>'Inflation GDP Population'!H3</f>
        <v>86.237700000000004</v>
      </c>
      <c r="I40" s="95">
        <f>'Inflation GDP Population'!I3</f>
        <v>87.651700000000005</v>
      </c>
      <c r="J40" s="95">
        <f>'Inflation GDP Population'!J3</f>
        <v>101.43819999999999</v>
      </c>
      <c r="K40" s="95">
        <f>'Inflation GDP Population'!K3</f>
        <v>70.825099999999992</v>
      </c>
      <c r="L40" s="95">
        <f>'Inflation GDP Population'!L3</f>
        <v>73.228899999999996</v>
      </c>
      <c r="M40" s="95">
        <f>'Inflation GDP Population'!M3</f>
        <v>70.542299999999997</v>
      </c>
      <c r="N40" s="95">
        <f>'Inflation GDP Population'!N3</f>
        <v>60.997799999999998</v>
      </c>
      <c r="O40" s="95">
        <f>'Inflation GDP Population'!O3</f>
        <v>67.714300000000009</v>
      </c>
      <c r="P40" s="95">
        <f>'Inflation GDP Population'!P3</f>
        <v>72.663299999999992</v>
      </c>
      <c r="Q40" s="95">
        <f>'Inflation GDP Population'!Q3</f>
        <v>59.866599999999998</v>
      </c>
      <c r="R40" s="95">
        <f>'Inflation GDP Population'!R3</f>
        <v>64.069999999999993</v>
      </c>
      <c r="S40" s="95">
        <f>'Inflation GDP Population'!S3</f>
        <v>62.54</v>
      </c>
      <c r="T40" s="95">
        <f>'Inflation GDP Population'!T3</f>
        <v>64.2</v>
      </c>
      <c r="U40" s="95">
        <f>'Inflation GDP Population'!U3</f>
        <v>65.09</v>
      </c>
      <c r="V40" s="95">
        <f>'Inflation GDP Population'!V3</f>
        <v>67.893280000000004</v>
      </c>
      <c r="W40" s="95">
        <f>'Inflation GDP Population'!W3</f>
        <v>68.408230000000003</v>
      </c>
      <c r="X40" s="95">
        <f>'Inflation GDP Population'!X3</f>
        <v>69.039839999999998</v>
      </c>
      <c r="Y40" s="95">
        <f>'Inflation GDP Population'!Y3</f>
        <v>70.165930000000003</v>
      </c>
      <c r="Z40" s="95">
        <f>'Inflation GDP Population'!Z3</f>
        <v>71.499539999999996</v>
      </c>
      <c r="AA40" s="95">
        <f>'Inflation GDP Population'!AA3</f>
        <v>73.516589999999994</v>
      </c>
      <c r="AB40" s="95">
        <f>'Inflation GDP Population'!AB3</f>
        <v>74.703620000000001</v>
      </c>
      <c r="AC40" s="95">
        <f>'Inflation GDP Population'!AC3</f>
        <v>76.171610000000001</v>
      </c>
      <c r="AD40" s="95">
        <f>'Inflation GDP Population'!AD3</f>
        <v>77.509479999999996</v>
      </c>
      <c r="AE40" s="95">
        <f>'Inflation GDP Population'!AE3</f>
        <v>78.937030000000007</v>
      </c>
      <c r="AF40" s="95">
        <f>'Inflation GDP Population'!AF3</f>
        <v>80.394760000000005</v>
      </c>
      <c r="AG40" s="95">
        <f>'Inflation GDP Population'!AG3</f>
        <v>81.999220000000008</v>
      </c>
      <c r="AH40" s="95">
        <f>'Inflation GDP Population'!AH3</f>
        <v>83.288150000000002</v>
      </c>
      <c r="AI40" s="95">
        <f>'Inflation GDP Population'!AI3</f>
        <v>84.552180000000007</v>
      </c>
      <c r="AJ40" s="95">
        <f>'Inflation GDP Population'!AJ3</f>
        <v>85.842559999999992</v>
      </c>
      <c r="AK40" s="95">
        <f>'Inflation GDP Population'!AK3</f>
        <v>87.282499999999999</v>
      </c>
      <c r="AL40" s="95">
        <f>'Inflation GDP Population'!AL3</f>
        <v>89.091559999999987</v>
      </c>
      <c r="AM40" s="95">
        <f>'Inflation GDP Population'!AM3</f>
        <v>90.845109999999991</v>
      </c>
      <c r="AN40" s="95">
        <f>'Inflation GDP Population'!AN3</f>
        <v>92.884870000000006</v>
      </c>
      <c r="AO40" s="95">
        <f>'Inflation GDP Population'!AO3</f>
        <v>94.960380000000001</v>
      </c>
      <c r="AP40" s="95">
        <f>'Inflation GDP Population'!AP3</f>
        <v>96.898049999999998</v>
      </c>
      <c r="AQ40" s="95">
        <f>'Inflation GDP Population'!AQ3</f>
        <v>98.792919999999995</v>
      </c>
      <c r="AR40" s="95">
        <f>'Inflation GDP Population'!AR3</f>
        <v>100.67492</v>
      </c>
      <c r="AS40" s="95">
        <f>'Inflation GDP Population'!AS3</f>
        <v>102.66981</v>
      </c>
      <c r="AT40" s="95">
        <f>'Inflation GDP Population'!AT3</f>
        <v>104.79813999999999</v>
      </c>
      <c r="AU40" s="95">
        <f>'Inflation GDP Population'!AU3</f>
        <v>106.98112999999999</v>
      </c>
      <c r="AV40" s="95">
        <f>'Inflation GDP Population'!AV3</f>
        <v>108.97937999999999</v>
      </c>
      <c r="AW40" s="95">
        <f>'Inflation GDP Population'!AW3</f>
        <v>111.37461999999999</v>
      </c>
      <c r="AX40" s="95">
        <f>'Inflation GDP Population'!AX3</f>
        <v>115.38930999999999</v>
      </c>
      <c r="AY40" s="95">
        <f>'Inflation GDP Population'!AY3</f>
        <v>118.46299999999999</v>
      </c>
      <c r="AZ40" s="95">
        <f>'Inflation GDP Population'!AZ3</f>
        <v>120.87941000000001</v>
      </c>
    </row>
    <row r="41" spans="1:53" ht="15" customHeight="1">
      <c r="A41" s="93" t="s">
        <v>200</v>
      </c>
      <c r="B41" s="95">
        <f>'Inflation GDP Population'!B6</f>
        <v>249.42381743242936</v>
      </c>
      <c r="C41" s="95">
        <f>'Inflation GDP Population'!C6</f>
        <v>249.42381743242936</v>
      </c>
      <c r="D41" s="95">
        <f>'Inflation GDP Population'!D6</f>
        <v>212.30935999593964</v>
      </c>
      <c r="E41" s="95">
        <f>'Inflation GDP Population'!E6</f>
        <v>237.66760226833327</v>
      </c>
      <c r="F41" s="95">
        <f>'Inflation GDP Population'!F6</f>
        <v>220.23504466814359</v>
      </c>
      <c r="G41" s="95">
        <f>'Inflation GDP Population'!G6</f>
        <v>209.12836148006616</v>
      </c>
      <c r="H41" s="95">
        <f>'Inflation GDP Population'!H6</f>
        <v>211.59768970387361</v>
      </c>
      <c r="I41" s="95">
        <f>'Inflation GDP Population'!I6</f>
        <v>188.06133685911675</v>
      </c>
      <c r="J41" s="95">
        <f>'Inflation GDP Population'!J6</f>
        <v>193.32266131097848</v>
      </c>
      <c r="K41" s="95">
        <f>'Inflation GDP Population'!K6</f>
        <v>199.4647867495035</v>
      </c>
      <c r="L41" s="95">
        <f>'Inflation GDP Population'!L6</f>
        <v>173.31290070365006</v>
      </c>
      <c r="M41" s="95">
        <f>'Inflation GDP Population'!M6</f>
        <v>178.35875616907168</v>
      </c>
      <c r="N41" s="95">
        <f>'Inflation GDP Population'!N6</f>
        <v>177.8197296736019</v>
      </c>
      <c r="O41" s="95">
        <f>'Inflation GDP Population'!O6</f>
        <v>169.91941033722733</v>
      </c>
      <c r="P41" s="95">
        <f>'Inflation GDP Population'!P6</f>
        <v>176.58026242431168</v>
      </c>
      <c r="Q41" s="95">
        <f>'Inflation GDP Population'!Q6</f>
        <v>173.86917257639584</v>
      </c>
      <c r="R41" s="95">
        <f>'Inflation GDP Population'!R6</f>
        <v>163.34115784620988</v>
      </c>
      <c r="S41" s="95">
        <f>'Inflation GDP Population'!S6</f>
        <v>167.66313082610094</v>
      </c>
      <c r="T41" s="95">
        <f>'Inflation GDP Population'!T6</f>
        <v>160.82288653166182</v>
      </c>
      <c r="U41" s="95">
        <f>'Inflation GDP Population'!U6</f>
        <v>161.49148183863707</v>
      </c>
      <c r="V41" s="95">
        <f>'Inflation GDP Population'!V6</f>
        <v>160</v>
      </c>
      <c r="W41" s="95">
        <f>'Inflation GDP Population'!W6</f>
        <v>157.32450677092081</v>
      </c>
      <c r="X41" s="95">
        <f>'Inflation GDP Population'!X6</f>
        <v>155.03762009162398</v>
      </c>
      <c r="Y41" s="95">
        <f>'Inflation GDP Population'!Y6</f>
        <v>153.76967137245902</v>
      </c>
      <c r="Z41" s="95">
        <f>'Inflation GDP Population'!Z6</f>
        <v>152.9786960202361</v>
      </c>
      <c r="AA41" s="95">
        <f>'Inflation GDP Population'!AA6</f>
        <v>153.62633143944248</v>
      </c>
      <c r="AB41" s="95">
        <f>'Inflation GDP Population'!AB6</f>
        <v>152.60797533925759</v>
      </c>
      <c r="AC41" s="95">
        <f>'Inflation GDP Population'!AC6</f>
        <v>152.18104192775266</v>
      </c>
      <c r="AD41" s="95">
        <f>'Inflation GDP Population'!AD6</f>
        <v>151.5835729552762</v>
      </c>
      <c r="AE41" s="95">
        <f>'Inflation GDP Population'!AE6</f>
        <v>151.15041617216482</v>
      </c>
      <c r="AF41" s="95">
        <f>'Inflation GDP Population'!AF6</f>
        <v>150.7060775587687</v>
      </c>
      <c r="AG41" s="95">
        <f>'Inflation GDP Population'!AG6</f>
        <v>150.42901103098947</v>
      </c>
      <c r="AH41" s="95">
        <f>'Inflation GDP Population'!AH6</f>
        <v>149.50810382278826</v>
      </c>
      <c r="AI41" s="95">
        <f>'Inflation GDP Population'!AI6</f>
        <v>148.47727568113191</v>
      </c>
      <c r="AJ41" s="95">
        <f>'Inflation GDP Population'!AJ6</f>
        <v>147.43744135942725</v>
      </c>
      <c r="AK41" s="95">
        <f>'Inflation GDP Population'!AK6</f>
        <v>146.59174587393312</v>
      </c>
      <c r="AL41" s="95">
        <f>'Inflation GDP Population'!AL6</f>
        <v>146.2802990127671</v>
      </c>
      <c r="AM41" s="95">
        <f>'Inflation GDP Population'!AM6</f>
        <v>145.81739147758594</v>
      </c>
      <c r="AN41" s="95">
        <f>'Inflation GDP Population'!AN6</f>
        <v>145.76406274853568</v>
      </c>
      <c r="AO41" s="95">
        <f>'Inflation GDP Population'!AO6</f>
        <v>145.67536705401466</v>
      </c>
      <c r="AP41" s="95">
        <f>'Inflation GDP Population'!AP6</f>
        <v>145.28448366096166</v>
      </c>
      <c r="AQ41" s="95">
        <f>'Inflation GDP Population'!AQ6</f>
        <v>144.73781359167921</v>
      </c>
      <c r="AR41" s="95">
        <f>'Inflation GDP Population'!AR6</f>
        <v>144.09222733141641</v>
      </c>
      <c r="AS41" s="95">
        <f>'Inflation GDP Population'!AS6</f>
        <v>143.50695211956722</v>
      </c>
      <c r="AT41" s="95">
        <f>'Inflation GDP Population'!AT6</f>
        <v>143.01788618503213</v>
      </c>
      <c r="AU41" s="95">
        <f>'Inflation GDP Population'!AU6</f>
        <v>142.50493869441382</v>
      </c>
      <c r="AV41" s="95">
        <f>'Inflation GDP Population'!AV6</f>
        <v>141.69066364605462</v>
      </c>
      <c r="AW41" s="95">
        <f>'Inflation GDP Population'!AW6</f>
        <v>141.29907190176183</v>
      </c>
      <c r="AX41" s="95">
        <f>'Inflation GDP Population'!AX6</f>
        <v>142.79510972012858</v>
      </c>
      <c r="AY41" s="95">
        <f>'Inflation GDP Population'!AY6</f>
        <v>142.9956490157555</v>
      </c>
      <c r="AZ41" s="95">
        <f>'Inflation GDP Population'!AZ6</f>
        <v>142.28775314465267</v>
      </c>
    </row>
    <row r="42" spans="1:53" ht="15" customHeight="1">
      <c r="A42" s="93" t="s">
        <v>130</v>
      </c>
      <c r="B42" s="95">
        <f>'Inflation GDP Population'!B7</f>
        <v>164.53919188815482</v>
      </c>
      <c r="C42" s="95">
        <f>'Inflation GDP Population'!C7</f>
        <v>164.53919188815482</v>
      </c>
      <c r="D42" s="95">
        <f>'Inflation GDP Population'!D7</f>
        <v>168.53636503303116</v>
      </c>
      <c r="E42" s="95">
        <f>'Inflation GDP Population'!E7</f>
        <v>152.37388231679211</v>
      </c>
      <c r="F42" s="95">
        <f>'Inflation GDP Population'!F7</f>
        <v>185.2202181594715</v>
      </c>
      <c r="G42" s="95">
        <f>'Inflation GDP Population'!G7</f>
        <v>194.60488554309416</v>
      </c>
      <c r="H42" s="95">
        <f>'Inflation GDP Population'!H7</f>
        <v>235.61935781225995</v>
      </c>
      <c r="I42" s="95">
        <f>'Inflation GDP Population'!I7</f>
        <v>211.9838992164695</v>
      </c>
      <c r="J42" s="95">
        <f>'Inflation GDP Population'!J7</f>
        <v>215.45970195114458</v>
      </c>
      <c r="K42" s="95">
        <f>'Inflation GDP Population'!K7</f>
        <v>249.34877861422646</v>
      </c>
      <c r="L42" s="95">
        <f>'Inflation GDP Population'!L7</f>
        <v>174.09764940851127</v>
      </c>
      <c r="M42" s="95">
        <f>'Inflation GDP Population'!M7</f>
        <v>180.0065140574589</v>
      </c>
      <c r="N42" s="95">
        <f>'Inflation GDP Population'!N7</f>
        <v>173.40248886157627</v>
      </c>
      <c r="O42" s="95">
        <f>'Inflation GDP Population'!O7</f>
        <v>149.94082040251959</v>
      </c>
      <c r="P42" s="95">
        <f>'Inflation GDP Population'!P7</f>
        <v>166.45088339222616</v>
      </c>
      <c r="Q42" s="95">
        <f>'Inflation GDP Population'!Q7</f>
        <v>178.61619296358887</v>
      </c>
      <c r="R42" s="95">
        <f>'Inflation GDP Population'!R7</f>
        <v>147.16017821477953</v>
      </c>
      <c r="S42" s="95">
        <f>'Inflation GDP Population'!S7</f>
        <v>157.49270241204485</v>
      </c>
      <c r="T42" s="95">
        <f>'Inflation GDP Population'!T7</f>
        <v>153.73175603011217</v>
      </c>
      <c r="U42" s="95">
        <f>'Inflation GDP Population'!U7</f>
        <v>157.81225994776466</v>
      </c>
      <c r="V42" s="95">
        <f>'Inflation GDP Population'!V7</f>
        <v>160</v>
      </c>
      <c r="W42" s="95">
        <f>'Inflation GDP Population'!W7</f>
        <v>161.21355162101463</v>
      </c>
      <c r="X42" s="95">
        <f>'Inflation GDP Population'!X7</f>
        <v>162.70202883113024</v>
      </c>
      <c r="Y42" s="95">
        <f>'Inflation GDP Population'!Y7</f>
        <v>165.35581724730341</v>
      </c>
      <c r="Z42" s="95">
        <f>'Inflation GDP Population'!Z7</f>
        <v>168.49865553704282</v>
      </c>
      <c r="AA42" s="95">
        <f>'Inflation GDP Population'!AA7</f>
        <v>173.25211567330371</v>
      </c>
      <c r="AB42" s="95">
        <f>'Inflation GDP Population'!AB7</f>
        <v>176.04951771368238</v>
      </c>
      <c r="AC42" s="95">
        <f>'Inflation GDP Population'!AC7</f>
        <v>179.50904124826488</v>
      </c>
      <c r="AD42" s="95">
        <f>'Inflation GDP Population'!AD7</f>
        <v>182.66191882318833</v>
      </c>
      <c r="AE42" s="95">
        <f>'Inflation GDP Population'!AE7</f>
        <v>186.02613984771389</v>
      </c>
      <c r="AF42" s="95">
        <f>'Inflation GDP Population'!AF7</f>
        <v>189.46148425882495</v>
      </c>
      <c r="AG42" s="95">
        <f>'Inflation GDP Population'!AG7</f>
        <v>193.24261841525399</v>
      </c>
      <c r="AH42" s="95">
        <f>'Inflation GDP Population'!AH7</f>
        <v>196.28016204254669</v>
      </c>
      <c r="AI42" s="95">
        <f>'Inflation GDP Population'!AI7</f>
        <v>199.25902534094678</v>
      </c>
      <c r="AJ42" s="95">
        <f>'Inflation GDP Population'!AJ7</f>
        <v>202.29998609582557</v>
      </c>
      <c r="AK42" s="95">
        <f>'Inflation GDP Population'!AK7</f>
        <v>205.69340588641461</v>
      </c>
      <c r="AL42" s="95">
        <f>'Inflation GDP Population'!AL7</f>
        <v>209.95670852844336</v>
      </c>
      <c r="AM42" s="95">
        <f>'Inflation GDP Population'!AM7</f>
        <v>214.08919409991671</v>
      </c>
      <c r="AN42" s="95">
        <f>'Inflation GDP Population'!AN7</f>
        <v>218.89617352409539</v>
      </c>
      <c r="AO42" s="95">
        <f>'Inflation GDP Population'!AO7</f>
        <v>223.78740281806967</v>
      </c>
      <c r="AP42" s="95">
        <f>'Inflation GDP Population'!AP7</f>
        <v>228.35379289378849</v>
      </c>
      <c r="AQ42" s="95">
        <f>'Inflation GDP Population'!AQ7</f>
        <v>232.81931878972398</v>
      </c>
      <c r="AR42" s="95">
        <f>'Inflation GDP Population'!AR7</f>
        <v>237.25451473253304</v>
      </c>
      <c r="AS42" s="95">
        <f>'Inflation GDP Population'!AS7</f>
        <v>241.95575173271919</v>
      </c>
      <c r="AT42" s="95">
        <f>'Inflation GDP Population'!AT7</f>
        <v>246.97145873641676</v>
      </c>
      <c r="AU42" s="95">
        <f>'Inflation GDP Population'!AU7</f>
        <v>252.11597966691241</v>
      </c>
      <c r="AV42" s="95">
        <f>'Inflation GDP Population'!AV7</f>
        <v>256.82513497653952</v>
      </c>
      <c r="AW42" s="95">
        <f>'Inflation GDP Population'!AW7</f>
        <v>262.4698526864513</v>
      </c>
      <c r="AX42" s="95">
        <f>'Inflation GDP Population'!AX7</f>
        <v>271.93103058211346</v>
      </c>
      <c r="AY42" s="95">
        <f>'Inflation GDP Population'!AY7</f>
        <v>279.1746105063711</v>
      </c>
      <c r="AZ42" s="95">
        <f>'Inflation GDP Population'!AZ7</f>
        <v>284.86921827904024</v>
      </c>
    </row>
    <row r="43" spans="1:53" ht="15" customHeight="1">
      <c r="A43" s="93" t="s">
        <v>805</v>
      </c>
      <c r="B43" s="253">
        <v>0</v>
      </c>
      <c r="C43" s="253">
        <v>0</v>
      </c>
      <c r="D43" s="253">
        <v>0</v>
      </c>
      <c r="E43" s="253">
        <v>0</v>
      </c>
      <c r="F43" s="253">
        <v>0</v>
      </c>
      <c r="G43" s="253">
        <v>0</v>
      </c>
      <c r="H43" s="253">
        <v>0</v>
      </c>
      <c r="I43" s="253">
        <f t="shared" ref="I43:U43" si="20">J43</f>
        <v>0.55000000000000004</v>
      </c>
      <c r="J43" s="253">
        <f t="shared" si="20"/>
        <v>0.55000000000000004</v>
      </c>
      <c r="K43" s="253">
        <f t="shared" si="20"/>
        <v>0.55000000000000004</v>
      </c>
      <c r="L43" s="253">
        <f t="shared" si="20"/>
        <v>0.55000000000000004</v>
      </c>
      <c r="M43" s="253">
        <f t="shared" si="20"/>
        <v>0.55000000000000004</v>
      </c>
      <c r="N43" s="253">
        <f t="shared" si="20"/>
        <v>0.55000000000000004</v>
      </c>
      <c r="O43" s="253">
        <f t="shared" si="20"/>
        <v>0.55000000000000004</v>
      </c>
      <c r="P43" s="253">
        <f t="shared" si="20"/>
        <v>0.55000000000000004</v>
      </c>
      <c r="Q43" s="253">
        <f t="shared" si="20"/>
        <v>0.55000000000000004</v>
      </c>
      <c r="R43" s="253">
        <f t="shared" si="20"/>
        <v>0.55000000000000004</v>
      </c>
      <c r="S43" s="253">
        <f t="shared" si="20"/>
        <v>0.55000000000000004</v>
      </c>
      <c r="T43" s="253">
        <f t="shared" si="20"/>
        <v>0.55000000000000004</v>
      </c>
      <c r="U43" s="253">
        <f t="shared" si="20"/>
        <v>0.55000000000000004</v>
      </c>
      <c r="V43" s="254">
        <v>0.55000000000000004</v>
      </c>
      <c r="W43" s="102">
        <f t="shared" ref="W43:AZ43" si="21">V43</f>
        <v>0.55000000000000004</v>
      </c>
      <c r="X43" s="102">
        <f t="shared" si="21"/>
        <v>0.55000000000000004</v>
      </c>
      <c r="Y43" s="102">
        <f t="shared" si="21"/>
        <v>0.55000000000000004</v>
      </c>
      <c r="Z43" s="102">
        <f t="shared" si="21"/>
        <v>0.55000000000000004</v>
      </c>
      <c r="AA43" s="102">
        <f t="shared" si="21"/>
        <v>0.55000000000000004</v>
      </c>
      <c r="AB43" s="102">
        <f t="shared" si="21"/>
        <v>0.55000000000000004</v>
      </c>
      <c r="AC43" s="102">
        <f t="shared" si="21"/>
        <v>0.55000000000000004</v>
      </c>
      <c r="AD43" s="102">
        <f t="shared" si="21"/>
        <v>0.55000000000000004</v>
      </c>
      <c r="AE43" s="102">
        <f t="shared" si="21"/>
        <v>0.55000000000000004</v>
      </c>
      <c r="AF43" s="102">
        <f t="shared" si="21"/>
        <v>0.55000000000000004</v>
      </c>
      <c r="AG43" s="102">
        <f t="shared" si="21"/>
        <v>0.55000000000000004</v>
      </c>
      <c r="AH43" s="102">
        <f t="shared" si="21"/>
        <v>0.55000000000000004</v>
      </c>
      <c r="AI43" s="102">
        <f t="shared" si="21"/>
        <v>0.55000000000000004</v>
      </c>
      <c r="AJ43" s="102">
        <f t="shared" si="21"/>
        <v>0.55000000000000004</v>
      </c>
      <c r="AK43" s="102">
        <f t="shared" si="21"/>
        <v>0.55000000000000004</v>
      </c>
      <c r="AL43" s="102">
        <f t="shared" si="21"/>
        <v>0.55000000000000004</v>
      </c>
      <c r="AM43" s="102">
        <f t="shared" si="21"/>
        <v>0.55000000000000004</v>
      </c>
      <c r="AN43" s="102">
        <f t="shared" si="21"/>
        <v>0.55000000000000004</v>
      </c>
      <c r="AO43" s="102">
        <f t="shared" si="21"/>
        <v>0.55000000000000004</v>
      </c>
      <c r="AP43" s="102">
        <f t="shared" si="21"/>
        <v>0.55000000000000004</v>
      </c>
      <c r="AQ43" s="102">
        <f t="shared" si="21"/>
        <v>0.55000000000000004</v>
      </c>
      <c r="AR43" s="102">
        <f t="shared" si="21"/>
        <v>0.55000000000000004</v>
      </c>
      <c r="AS43" s="102">
        <f t="shared" si="21"/>
        <v>0.55000000000000004</v>
      </c>
      <c r="AT43" s="102">
        <f t="shared" si="21"/>
        <v>0.55000000000000004</v>
      </c>
      <c r="AU43" s="102">
        <f t="shared" si="21"/>
        <v>0.55000000000000004</v>
      </c>
      <c r="AV43" s="102">
        <f t="shared" si="21"/>
        <v>0.55000000000000004</v>
      </c>
      <c r="AW43" s="102">
        <f t="shared" si="21"/>
        <v>0.55000000000000004</v>
      </c>
      <c r="AX43" s="102">
        <f t="shared" si="21"/>
        <v>0.55000000000000004</v>
      </c>
      <c r="AY43" s="102">
        <f t="shared" si="21"/>
        <v>0.55000000000000004</v>
      </c>
      <c r="AZ43" s="102">
        <f t="shared" si="21"/>
        <v>0.55000000000000004</v>
      </c>
    </row>
    <row r="44" spans="1:53" ht="15.75" customHeight="1">
      <c r="A44" s="93" t="s">
        <v>137</v>
      </c>
      <c r="B44" s="330">
        <f t="shared" ref="B44:U44" si="22">C44</f>
        <v>0.02</v>
      </c>
      <c r="C44" s="330">
        <f t="shared" si="22"/>
        <v>0.02</v>
      </c>
      <c r="D44" s="330">
        <f t="shared" si="22"/>
        <v>0.02</v>
      </c>
      <c r="E44" s="330">
        <f t="shared" si="22"/>
        <v>0.02</v>
      </c>
      <c r="F44" s="330">
        <f t="shared" si="22"/>
        <v>0.02</v>
      </c>
      <c r="G44" s="330">
        <f t="shared" si="22"/>
        <v>0.02</v>
      </c>
      <c r="H44" s="330">
        <f t="shared" si="22"/>
        <v>0.02</v>
      </c>
      <c r="I44" s="330">
        <f t="shared" si="22"/>
        <v>0.02</v>
      </c>
      <c r="J44" s="330">
        <f t="shared" si="22"/>
        <v>0.02</v>
      </c>
      <c r="K44" s="330">
        <f t="shared" si="22"/>
        <v>0.02</v>
      </c>
      <c r="L44" s="330">
        <f t="shared" si="22"/>
        <v>0.02</v>
      </c>
      <c r="M44" s="330">
        <f t="shared" si="22"/>
        <v>0.02</v>
      </c>
      <c r="N44" s="330">
        <f t="shared" si="22"/>
        <v>0.02</v>
      </c>
      <c r="O44" s="330">
        <f t="shared" si="22"/>
        <v>0.02</v>
      </c>
      <c r="P44" s="330">
        <f t="shared" si="22"/>
        <v>0.02</v>
      </c>
      <c r="Q44" s="330">
        <f t="shared" si="22"/>
        <v>0.02</v>
      </c>
      <c r="R44" s="330">
        <f t="shared" si="22"/>
        <v>0.02</v>
      </c>
      <c r="S44" s="330">
        <f t="shared" si="22"/>
        <v>0.02</v>
      </c>
      <c r="T44" s="330">
        <f t="shared" si="22"/>
        <v>0.02</v>
      </c>
      <c r="U44" s="330">
        <f t="shared" si="22"/>
        <v>0.02</v>
      </c>
      <c r="V44" s="252">
        <f>Inputs!B19</f>
        <v>0.02</v>
      </c>
      <c r="W44" s="331">
        <f t="shared" ref="W44:AZ44" si="23">V44</f>
        <v>0.02</v>
      </c>
      <c r="X44" s="331">
        <f t="shared" si="23"/>
        <v>0.02</v>
      </c>
      <c r="Y44" s="331">
        <f t="shared" si="23"/>
        <v>0.02</v>
      </c>
      <c r="Z44" s="331">
        <f t="shared" si="23"/>
        <v>0.02</v>
      </c>
      <c r="AA44" s="331">
        <f t="shared" si="23"/>
        <v>0.02</v>
      </c>
      <c r="AB44" s="331">
        <f t="shared" si="23"/>
        <v>0.02</v>
      </c>
      <c r="AC44" s="331">
        <f t="shared" si="23"/>
        <v>0.02</v>
      </c>
      <c r="AD44" s="331">
        <f t="shared" si="23"/>
        <v>0.02</v>
      </c>
      <c r="AE44" s="331">
        <f t="shared" si="23"/>
        <v>0.02</v>
      </c>
      <c r="AF44" s="331">
        <f t="shared" si="23"/>
        <v>0.02</v>
      </c>
      <c r="AG44" s="331">
        <f t="shared" si="23"/>
        <v>0.02</v>
      </c>
      <c r="AH44" s="331">
        <f t="shared" si="23"/>
        <v>0.02</v>
      </c>
      <c r="AI44" s="331">
        <f t="shared" si="23"/>
        <v>0.02</v>
      </c>
      <c r="AJ44" s="331">
        <f t="shared" si="23"/>
        <v>0.02</v>
      </c>
      <c r="AK44" s="331">
        <f t="shared" si="23"/>
        <v>0.02</v>
      </c>
      <c r="AL44" s="331">
        <f t="shared" si="23"/>
        <v>0.02</v>
      </c>
      <c r="AM44" s="331">
        <f t="shared" si="23"/>
        <v>0.02</v>
      </c>
      <c r="AN44" s="331">
        <f t="shared" si="23"/>
        <v>0.02</v>
      </c>
      <c r="AO44" s="331">
        <f t="shared" si="23"/>
        <v>0.02</v>
      </c>
      <c r="AP44" s="331">
        <f t="shared" si="23"/>
        <v>0.02</v>
      </c>
      <c r="AQ44" s="331">
        <f t="shared" si="23"/>
        <v>0.02</v>
      </c>
      <c r="AR44" s="331">
        <f t="shared" si="23"/>
        <v>0.02</v>
      </c>
      <c r="AS44" s="331">
        <f t="shared" si="23"/>
        <v>0.02</v>
      </c>
      <c r="AT44" s="331">
        <f t="shared" si="23"/>
        <v>0.02</v>
      </c>
      <c r="AU44" s="331">
        <f t="shared" si="23"/>
        <v>0.02</v>
      </c>
      <c r="AV44" s="331">
        <f t="shared" si="23"/>
        <v>0.02</v>
      </c>
      <c r="AW44" s="331">
        <f t="shared" si="23"/>
        <v>0.02</v>
      </c>
      <c r="AX44" s="331">
        <f t="shared" si="23"/>
        <v>0.02</v>
      </c>
      <c r="AY44" s="331">
        <f t="shared" si="23"/>
        <v>0.02</v>
      </c>
      <c r="AZ44" s="331">
        <f t="shared" si="23"/>
        <v>0.02</v>
      </c>
    </row>
    <row r="45" spans="1:53" ht="15.75" customHeight="1">
      <c r="A45" s="93"/>
      <c r="B45" s="93"/>
      <c r="C45" s="93"/>
      <c r="D45" s="93"/>
      <c r="E45" s="93"/>
      <c r="F45" s="93"/>
      <c r="G45" s="93"/>
      <c r="H45" s="93"/>
      <c r="I45" s="93"/>
      <c r="J45" s="93"/>
      <c r="K45" s="93"/>
      <c r="L45" s="93"/>
      <c r="M45" s="93"/>
      <c r="N45" s="93"/>
      <c r="O45" s="93"/>
      <c r="P45" s="93"/>
      <c r="Q45" s="93"/>
      <c r="R45" s="93"/>
      <c r="S45" s="93"/>
      <c r="T45" s="93"/>
      <c r="U45" s="93"/>
      <c r="V45" s="88"/>
      <c r="W45" s="331"/>
      <c r="X45" s="331"/>
      <c r="Y45" s="331"/>
      <c r="Z45" s="331"/>
      <c r="AA45" s="331"/>
      <c r="AB45" s="331"/>
      <c r="AC45" s="331"/>
      <c r="AD45" s="331"/>
      <c r="AE45" s="331"/>
      <c r="AF45" s="331"/>
      <c r="AG45" s="331"/>
      <c r="AH45" s="331"/>
      <c r="AI45" s="331"/>
      <c r="AJ45" s="331"/>
      <c r="AK45" s="331"/>
      <c r="AL45" s="331"/>
      <c r="AM45" s="331"/>
      <c r="AN45" s="331"/>
      <c r="AO45" s="331"/>
      <c r="AP45" s="331"/>
      <c r="AQ45" s="331"/>
      <c r="AR45" s="331"/>
      <c r="AS45" s="331"/>
      <c r="AT45" s="331"/>
      <c r="AU45" s="331"/>
      <c r="AV45" s="331"/>
      <c r="AW45" s="331"/>
      <c r="AX45" s="331"/>
      <c r="AY45" s="331"/>
      <c r="AZ45" s="331"/>
    </row>
    <row r="46" spans="1:53" ht="15.75" customHeight="1">
      <c r="A46" s="93" t="s">
        <v>140</v>
      </c>
      <c r="B46" s="93"/>
      <c r="C46" s="93"/>
      <c r="D46" s="93"/>
      <c r="E46" s="93"/>
      <c r="F46" s="93"/>
      <c r="G46" s="93"/>
      <c r="H46" s="93"/>
      <c r="I46" s="93"/>
      <c r="J46" s="93"/>
      <c r="K46" s="93"/>
      <c r="L46" s="93"/>
      <c r="M46" s="93"/>
      <c r="N46" s="93"/>
      <c r="O46" s="93"/>
      <c r="P46" s="93"/>
      <c r="Q46" s="93"/>
      <c r="R46" s="93"/>
      <c r="S46" s="93"/>
      <c r="T46" s="93"/>
      <c r="U46" s="93"/>
      <c r="W46">
        <f t="shared" ref="W46:BA46" si="24">SUM(W48:W84)</f>
        <v>268</v>
      </c>
      <c r="X46">
        <f t="shared" si="24"/>
        <v>88</v>
      </c>
      <c r="Y46">
        <f t="shared" si="24"/>
        <v>0</v>
      </c>
      <c r="Z46">
        <f t="shared" si="24"/>
        <v>0</v>
      </c>
      <c r="AA46">
        <f t="shared" si="24"/>
        <v>0</v>
      </c>
      <c r="AB46">
        <f t="shared" si="24"/>
        <v>0</v>
      </c>
      <c r="AC46">
        <f t="shared" si="24"/>
        <v>0</v>
      </c>
      <c r="AD46">
        <f t="shared" si="24"/>
        <v>0</v>
      </c>
      <c r="AE46">
        <f t="shared" si="24"/>
        <v>0</v>
      </c>
      <c r="AF46">
        <f t="shared" si="24"/>
        <v>0</v>
      </c>
      <c r="AG46">
        <f t="shared" si="24"/>
        <v>0</v>
      </c>
      <c r="AH46">
        <f t="shared" si="24"/>
        <v>0</v>
      </c>
      <c r="AI46">
        <f t="shared" si="24"/>
        <v>3.9000000000000004</v>
      </c>
      <c r="AJ46">
        <f t="shared" si="24"/>
        <v>2.1</v>
      </c>
      <c r="AK46">
        <f t="shared" si="24"/>
        <v>0.1</v>
      </c>
      <c r="AL46">
        <f t="shared" si="24"/>
        <v>0</v>
      </c>
      <c r="AM46">
        <f t="shared" si="24"/>
        <v>2</v>
      </c>
      <c r="AN46">
        <f t="shared" si="24"/>
        <v>1.7999999999999998</v>
      </c>
      <c r="AO46">
        <f t="shared" si="24"/>
        <v>100.7</v>
      </c>
      <c r="AP46">
        <f t="shared" si="24"/>
        <v>29.400000000000002</v>
      </c>
      <c r="AQ46">
        <f t="shared" si="24"/>
        <v>97.499999999999986</v>
      </c>
      <c r="AR46">
        <f t="shared" si="24"/>
        <v>233.6</v>
      </c>
      <c r="AS46">
        <f t="shared" si="24"/>
        <v>781.8</v>
      </c>
      <c r="AT46">
        <f t="shared" si="24"/>
        <v>1580.2999999999997</v>
      </c>
      <c r="AU46">
        <f t="shared" si="24"/>
        <v>3533.1</v>
      </c>
      <c r="AV46">
        <f t="shared" si="24"/>
        <v>3714.9</v>
      </c>
      <c r="AW46">
        <f t="shared" si="24"/>
        <v>3499.2999999999993</v>
      </c>
      <c r="AX46">
        <f t="shared" si="24"/>
        <v>8006.4999999999964</v>
      </c>
      <c r="AY46">
        <f t="shared" si="24"/>
        <v>4703.100000000004</v>
      </c>
      <c r="AZ46">
        <f t="shared" si="24"/>
        <v>818.6</v>
      </c>
      <c r="BA46">
        <f t="shared" si="24"/>
        <v>0</v>
      </c>
    </row>
    <row r="47" spans="1:53" ht="15.75" customHeight="1">
      <c r="A47" s="349" t="s">
        <v>757</v>
      </c>
      <c r="B47" s="349"/>
      <c r="C47" s="349"/>
      <c r="D47" s="349"/>
      <c r="E47" s="349"/>
      <c r="F47" s="349"/>
      <c r="G47" s="349"/>
      <c r="H47" s="349"/>
      <c r="I47" s="349"/>
      <c r="J47" s="349"/>
      <c r="K47" s="349"/>
      <c r="L47" s="349"/>
      <c r="M47" s="349"/>
      <c r="N47" s="349"/>
      <c r="O47" s="349"/>
      <c r="P47" s="349"/>
      <c r="Q47" s="349"/>
      <c r="R47" s="349"/>
      <c r="S47" s="349"/>
      <c r="T47" s="349"/>
      <c r="U47" s="349"/>
      <c r="V47" t="s">
        <v>758</v>
      </c>
      <c r="W47" s="42">
        <v>2020</v>
      </c>
      <c r="X47" s="42">
        <v>2021</v>
      </c>
      <c r="Y47" s="42">
        <v>2022</v>
      </c>
      <c r="Z47" s="42">
        <v>2023</v>
      </c>
      <c r="AA47" s="42">
        <v>2024</v>
      </c>
      <c r="AB47" s="42">
        <v>2025</v>
      </c>
      <c r="AC47" s="42">
        <v>2026</v>
      </c>
      <c r="AD47" s="42">
        <v>2027</v>
      </c>
      <c r="AE47" s="42">
        <v>2028</v>
      </c>
      <c r="AF47" s="42">
        <v>2029</v>
      </c>
      <c r="AG47" s="42">
        <v>2030</v>
      </c>
      <c r="AH47" s="42">
        <v>2031</v>
      </c>
      <c r="AI47" s="42">
        <v>2032</v>
      </c>
      <c r="AJ47" s="42">
        <v>2033</v>
      </c>
      <c r="AK47" s="42">
        <v>2034</v>
      </c>
      <c r="AL47" s="42">
        <v>2035</v>
      </c>
      <c r="AM47" s="42">
        <v>2036</v>
      </c>
      <c r="AN47" s="42">
        <v>2037</v>
      </c>
      <c r="AO47" s="42">
        <v>2038</v>
      </c>
      <c r="AP47" s="42">
        <v>2039</v>
      </c>
      <c r="AQ47" s="42">
        <v>2040</v>
      </c>
      <c r="AR47" s="42">
        <v>2041</v>
      </c>
      <c r="AS47" s="42">
        <v>2042</v>
      </c>
      <c r="AT47" s="42">
        <v>2043</v>
      </c>
      <c r="AU47" s="42">
        <v>2044</v>
      </c>
      <c r="AV47" s="42">
        <v>2045</v>
      </c>
      <c r="AW47" s="42">
        <v>2046</v>
      </c>
      <c r="AX47" s="42">
        <v>2047</v>
      </c>
      <c r="AY47" s="42">
        <v>2048</v>
      </c>
      <c r="AZ47" s="42">
        <v>2049</v>
      </c>
      <c r="BA47" s="42">
        <v>2050</v>
      </c>
    </row>
    <row r="48" spans="1:53" ht="15.75" customHeight="1">
      <c r="A48" s="350">
        <v>1986</v>
      </c>
      <c r="B48" s="350"/>
      <c r="C48" s="350"/>
      <c r="D48" s="350"/>
      <c r="E48" s="350"/>
      <c r="F48" s="350"/>
      <c r="G48" s="350"/>
      <c r="H48" s="350"/>
      <c r="I48" s="350"/>
      <c r="J48" s="350"/>
      <c r="K48" s="350"/>
      <c r="L48" s="350"/>
      <c r="M48" s="350"/>
      <c r="N48" s="350"/>
      <c r="O48" s="350"/>
      <c r="P48" s="350"/>
      <c r="Q48" s="350"/>
      <c r="R48" s="350"/>
      <c r="S48" s="350"/>
      <c r="T48" s="350"/>
      <c r="U48" s="350"/>
      <c r="V48" s="86">
        <v>72</v>
      </c>
      <c r="W48">
        <f t="shared" ref="W48:W69" si="25">IF(W$47-$A48&gt;$V$31,$V48,0)</f>
        <v>72</v>
      </c>
      <c r="X48">
        <f t="shared" ref="X48:BA48" si="26">IF(AND(X$47-$A48&gt;$V$31,SUM($W48:W48)&lt;&gt;$V48),$V48,0)</f>
        <v>0</v>
      </c>
      <c r="Y48">
        <f t="shared" si="26"/>
        <v>0</v>
      </c>
      <c r="Z48">
        <f t="shared" si="26"/>
        <v>0</v>
      </c>
      <c r="AA48">
        <f t="shared" si="26"/>
        <v>0</v>
      </c>
      <c r="AB48">
        <f t="shared" si="26"/>
        <v>0</v>
      </c>
      <c r="AC48">
        <f t="shared" si="26"/>
        <v>0</v>
      </c>
      <c r="AD48">
        <f t="shared" si="26"/>
        <v>0</v>
      </c>
      <c r="AE48">
        <f t="shared" si="26"/>
        <v>0</v>
      </c>
      <c r="AF48">
        <f t="shared" si="26"/>
        <v>0</v>
      </c>
      <c r="AG48">
        <f t="shared" si="26"/>
        <v>0</v>
      </c>
      <c r="AH48">
        <f t="shared" si="26"/>
        <v>0</v>
      </c>
      <c r="AI48">
        <f t="shared" si="26"/>
        <v>0</v>
      </c>
      <c r="AJ48">
        <f t="shared" si="26"/>
        <v>0</v>
      </c>
      <c r="AK48">
        <f t="shared" si="26"/>
        <v>0</v>
      </c>
      <c r="AL48">
        <f t="shared" si="26"/>
        <v>0</v>
      </c>
      <c r="AM48">
        <f t="shared" si="26"/>
        <v>0</v>
      </c>
      <c r="AN48">
        <f t="shared" si="26"/>
        <v>0</v>
      </c>
      <c r="AO48">
        <f t="shared" si="26"/>
        <v>0</v>
      </c>
      <c r="AP48">
        <f t="shared" si="26"/>
        <v>0</v>
      </c>
      <c r="AQ48">
        <f t="shared" si="26"/>
        <v>0</v>
      </c>
      <c r="AR48">
        <f t="shared" si="26"/>
        <v>0</v>
      </c>
      <c r="AS48">
        <f t="shared" si="26"/>
        <v>0</v>
      </c>
      <c r="AT48">
        <f t="shared" si="26"/>
        <v>0</v>
      </c>
      <c r="AU48">
        <f t="shared" si="26"/>
        <v>0</v>
      </c>
      <c r="AV48">
        <f t="shared" si="26"/>
        <v>0</v>
      </c>
      <c r="AW48">
        <f t="shared" si="26"/>
        <v>0</v>
      </c>
      <c r="AX48">
        <f t="shared" si="26"/>
        <v>0</v>
      </c>
      <c r="AY48">
        <f t="shared" si="26"/>
        <v>0</v>
      </c>
      <c r="AZ48">
        <f t="shared" si="26"/>
        <v>0</v>
      </c>
      <c r="BA48">
        <f t="shared" si="26"/>
        <v>0</v>
      </c>
    </row>
    <row r="49" spans="1:53" ht="15.75" customHeight="1">
      <c r="A49" s="350">
        <v>1987</v>
      </c>
      <c r="B49" s="350"/>
      <c r="C49" s="350"/>
      <c r="D49" s="350"/>
      <c r="E49" s="350"/>
      <c r="F49" s="350"/>
      <c r="G49" s="350"/>
      <c r="H49" s="350"/>
      <c r="I49" s="350"/>
      <c r="J49" s="350"/>
      <c r="K49" s="350"/>
      <c r="L49" s="350"/>
      <c r="M49" s="350"/>
      <c r="N49" s="350"/>
      <c r="O49" s="350"/>
      <c r="P49" s="350"/>
      <c r="Q49" s="350"/>
      <c r="R49" s="350"/>
      <c r="S49" s="350"/>
      <c r="T49" s="350"/>
      <c r="U49" s="350"/>
      <c r="V49" s="86">
        <v>36</v>
      </c>
      <c r="W49">
        <f t="shared" si="25"/>
        <v>36</v>
      </c>
      <c r="X49">
        <f t="shared" ref="X49:BA49" si="27">IF(AND(X$47-$A49&gt;$V$31,SUM($W49:W49)&lt;&gt;$V49),$V49,0)</f>
        <v>0</v>
      </c>
      <c r="Y49">
        <f t="shared" si="27"/>
        <v>0</v>
      </c>
      <c r="Z49">
        <f t="shared" si="27"/>
        <v>0</v>
      </c>
      <c r="AA49">
        <f t="shared" si="27"/>
        <v>0</v>
      </c>
      <c r="AB49">
        <f t="shared" si="27"/>
        <v>0</v>
      </c>
      <c r="AC49">
        <f t="shared" si="27"/>
        <v>0</v>
      </c>
      <c r="AD49">
        <f t="shared" si="27"/>
        <v>0</v>
      </c>
      <c r="AE49">
        <f t="shared" si="27"/>
        <v>0</v>
      </c>
      <c r="AF49">
        <f t="shared" si="27"/>
        <v>0</v>
      </c>
      <c r="AG49">
        <f t="shared" si="27"/>
        <v>0</v>
      </c>
      <c r="AH49">
        <f t="shared" si="27"/>
        <v>0</v>
      </c>
      <c r="AI49">
        <f t="shared" si="27"/>
        <v>0</v>
      </c>
      <c r="AJ49">
        <f t="shared" si="27"/>
        <v>0</v>
      </c>
      <c r="AK49">
        <f t="shared" si="27"/>
        <v>0</v>
      </c>
      <c r="AL49">
        <f t="shared" si="27"/>
        <v>0</v>
      </c>
      <c r="AM49">
        <f t="shared" si="27"/>
        <v>0</v>
      </c>
      <c r="AN49">
        <f t="shared" si="27"/>
        <v>0</v>
      </c>
      <c r="AO49">
        <f t="shared" si="27"/>
        <v>0</v>
      </c>
      <c r="AP49">
        <f t="shared" si="27"/>
        <v>0</v>
      </c>
      <c r="AQ49">
        <f t="shared" si="27"/>
        <v>0</v>
      </c>
      <c r="AR49">
        <f t="shared" si="27"/>
        <v>0</v>
      </c>
      <c r="AS49">
        <f t="shared" si="27"/>
        <v>0</v>
      </c>
      <c r="AT49">
        <f t="shared" si="27"/>
        <v>0</v>
      </c>
      <c r="AU49">
        <f t="shared" si="27"/>
        <v>0</v>
      </c>
      <c r="AV49">
        <f t="shared" si="27"/>
        <v>0</v>
      </c>
      <c r="AW49">
        <f t="shared" si="27"/>
        <v>0</v>
      </c>
      <c r="AX49">
        <f t="shared" si="27"/>
        <v>0</v>
      </c>
      <c r="AY49">
        <f t="shared" si="27"/>
        <v>0</v>
      </c>
      <c r="AZ49">
        <f t="shared" si="27"/>
        <v>0</v>
      </c>
      <c r="BA49">
        <f t="shared" si="27"/>
        <v>0</v>
      </c>
    </row>
    <row r="50" spans="1:53" ht="15.75" customHeight="1">
      <c r="A50" s="350">
        <v>1988</v>
      </c>
      <c r="B50" s="350"/>
      <c r="C50" s="350"/>
      <c r="D50" s="350"/>
      <c r="E50" s="350"/>
      <c r="F50" s="350"/>
      <c r="G50" s="350"/>
      <c r="H50" s="350"/>
      <c r="I50" s="350"/>
      <c r="J50" s="350"/>
      <c r="K50" s="350"/>
      <c r="L50" s="350"/>
      <c r="M50" s="350"/>
      <c r="N50" s="350"/>
      <c r="O50" s="350"/>
      <c r="P50" s="350"/>
      <c r="Q50" s="350"/>
      <c r="R50" s="350"/>
      <c r="S50" s="350"/>
      <c r="T50" s="350"/>
      <c r="U50" s="350"/>
      <c r="V50" s="86">
        <v>72</v>
      </c>
      <c r="W50">
        <f t="shared" si="25"/>
        <v>72</v>
      </c>
      <c r="X50">
        <f t="shared" ref="X50:BA50" si="28">IF(AND(X$47-$A50&gt;$V$31,SUM($W50:W50)&lt;&gt;$V50),$V50,0)</f>
        <v>0</v>
      </c>
      <c r="Y50">
        <f t="shared" si="28"/>
        <v>0</v>
      </c>
      <c r="Z50">
        <f t="shared" si="28"/>
        <v>0</v>
      </c>
      <c r="AA50">
        <f t="shared" si="28"/>
        <v>0</v>
      </c>
      <c r="AB50">
        <f t="shared" si="28"/>
        <v>0</v>
      </c>
      <c r="AC50">
        <f t="shared" si="28"/>
        <v>0</v>
      </c>
      <c r="AD50">
        <f t="shared" si="28"/>
        <v>0</v>
      </c>
      <c r="AE50">
        <f t="shared" si="28"/>
        <v>0</v>
      </c>
      <c r="AF50">
        <f t="shared" si="28"/>
        <v>0</v>
      </c>
      <c r="AG50">
        <f t="shared" si="28"/>
        <v>0</v>
      </c>
      <c r="AH50">
        <f t="shared" si="28"/>
        <v>0</v>
      </c>
      <c r="AI50">
        <f t="shared" si="28"/>
        <v>0</v>
      </c>
      <c r="AJ50">
        <f t="shared" si="28"/>
        <v>0</v>
      </c>
      <c r="AK50">
        <f t="shared" si="28"/>
        <v>0</v>
      </c>
      <c r="AL50">
        <f t="shared" si="28"/>
        <v>0</v>
      </c>
      <c r="AM50">
        <f t="shared" si="28"/>
        <v>0</v>
      </c>
      <c r="AN50">
        <f t="shared" si="28"/>
        <v>0</v>
      </c>
      <c r="AO50">
        <f t="shared" si="28"/>
        <v>0</v>
      </c>
      <c r="AP50">
        <f t="shared" si="28"/>
        <v>0</v>
      </c>
      <c r="AQ50">
        <f t="shared" si="28"/>
        <v>0</v>
      </c>
      <c r="AR50">
        <f t="shared" si="28"/>
        <v>0</v>
      </c>
      <c r="AS50">
        <f t="shared" si="28"/>
        <v>0</v>
      </c>
      <c r="AT50">
        <f t="shared" si="28"/>
        <v>0</v>
      </c>
      <c r="AU50">
        <f t="shared" si="28"/>
        <v>0</v>
      </c>
      <c r="AV50">
        <f t="shared" si="28"/>
        <v>0</v>
      </c>
      <c r="AW50">
        <f t="shared" si="28"/>
        <v>0</v>
      </c>
      <c r="AX50">
        <f t="shared" si="28"/>
        <v>0</v>
      </c>
      <c r="AY50">
        <f t="shared" si="28"/>
        <v>0</v>
      </c>
      <c r="AZ50">
        <f t="shared" si="28"/>
        <v>0</v>
      </c>
      <c r="BA50">
        <f t="shared" si="28"/>
        <v>0</v>
      </c>
    </row>
    <row r="51" spans="1:53" ht="15.75" customHeight="1">
      <c r="A51" s="350">
        <v>1989</v>
      </c>
      <c r="B51" s="350"/>
      <c r="C51" s="350"/>
      <c r="D51" s="350"/>
      <c r="E51" s="350"/>
      <c r="F51" s="350"/>
      <c r="G51" s="350"/>
      <c r="H51" s="350"/>
      <c r="I51" s="350"/>
      <c r="J51" s="350"/>
      <c r="K51" s="350"/>
      <c r="L51" s="350"/>
      <c r="M51" s="350"/>
      <c r="N51" s="350"/>
      <c r="O51" s="350"/>
      <c r="P51" s="350"/>
      <c r="Q51" s="350"/>
      <c r="R51" s="350"/>
      <c r="S51" s="350"/>
      <c r="T51" s="350"/>
      <c r="U51" s="350"/>
      <c r="V51" s="86">
        <v>88</v>
      </c>
      <c r="W51">
        <f t="shared" si="25"/>
        <v>88</v>
      </c>
      <c r="X51">
        <f t="shared" ref="X51:BA51" si="29">IF(AND(X$47-$A51&gt;$V$31,SUM($W51:W51)&lt;&gt;$V51),$V51,0)</f>
        <v>0</v>
      </c>
      <c r="Y51">
        <f t="shared" si="29"/>
        <v>0</v>
      </c>
      <c r="Z51">
        <f t="shared" si="29"/>
        <v>0</v>
      </c>
      <c r="AA51">
        <f t="shared" si="29"/>
        <v>0</v>
      </c>
      <c r="AB51">
        <f t="shared" si="29"/>
        <v>0</v>
      </c>
      <c r="AC51">
        <f t="shared" si="29"/>
        <v>0</v>
      </c>
      <c r="AD51">
        <f t="shared" si="29"/>
        <v>0</v>
      </c>
      <c r="AE51">
        <f t="shared" si="29"/>
        <v>0</v>
      </c>
      <c r="AF51">
        <f t="shared" si="29"/>
        <v>0</v>
      </c>
      <c r="AG51">
        <f t="shared" si="29"/>
        <v>0</v>
      </c>
      <c r="AH51">
        <f t="shared" si="29"/>
        <v>0</v>
      </c>
      <c r="AI51">
        <f t="shared" si="29"/>
        <v>0</v>
      </c>
      <c r="AJ51">
        <f t="shared" si="29"/>
        <v>0</v>
      </c>
      <c r="AK51">
        <f t="shared" si="29"/>
        <v>0</v>
      </c>
      <c r="AL51">
        <f t="shared" si="29"/>
        <v>0</v>
      </c>
      <c r="AM51">
        <f t="shared" si="29"/>
        <v>0</v>
      </c>
      <c r="AN51">
        <f t="shared" si="29"/>
        <v>0</v>
      </c>
      <c r="AO51">
        <f t="shared" si="29"/>
        <v>0</v>
      </c>
      <c r="AP51">
        <f t="shared" si="29"/>
        <v>0</v>
      </c>
      <c r="AQ51">
        <f t="shared" si="29"/>
        <v>0</v>
      </c>
      <c r="AR51">
        <f t="shared" si="29"/>
        <v>0</v>
      </c>
      <c r="AS51">
        <f t="shared" si="29"/>
        <v>0</v>
      </c>
      <c r="AT51">
        <f t="shared" si="29"/>
        <v>0</v>
      </c>
      <c r="AU51">
        <f t="shared" si="29"/>
        <v>0</v>
      </c>
      <c r="AV51">
        <f t="shared" si="29"/>
        <v>0</v>
      </c>
      <c r="AW51">
        <f t="shared" si="29"/>
        <v>0</v>
      </c>
      <c r="AX51">
        <f t="shared" si="29"/>
        <v>0</v>
      </c>
      <c r="AY51">
        <f t="shared" si="29"/>
        <v>0</v>
      </c>
      <c r="AZ51">
        <f t="shared" si="29"/>
        <v>0</v>
      </c>
      <c r="BA51">
        <f t="shared" si="29"/>
        <v>0</v>
      </c>
    </row>
    <row r="52" spans="1:53" ht="15.75" customHeight="1">
      <c r="A52" s="350">
        <v>1990</v>
      </c>
      <c r="B52" s="350"/>
      <c r="C52" s="350"/>
      <c r="D52" s="350"/>
      <c r="E52" s="350"/>
      <c r="F52" s="350"/>
      <c r="G52" s="350"/>
      <c r="H52" s="350"/>
      <c r="I52" s="350"/>
      <c r="J52" s="350"/>
      <c r="K52" s="350"/>
      <c r="L52" s="350"/>
      <c r="M52" s="350"/>
      <c r="N52" s="350"/>
      <c r="O52" s="350"/>
      <c r="P52" s="350"/>
      <c r="Q52" s="350"/>
      <c r="R52" s="350"/>
      <c r="S52" s="350"/>
      <c r="T52" s="350"/>
      <c r="U52" s="350"/>
      <c r="V52" s="86">
        <v>88</v>
      </c>
      <c r="W52">
        <f t="shared" si="25"/>
        <v>0</v>
      </c>
      <c r="X52">
        <f t="shared" ref="X52:BA52" si="30">IF(AND(X$47-$A52&gt;$V$31,SUM($W52:W52)&lt;&gt;$V52),$V52,0)</f>
        <v>88</v>
      </c>
      <c r="Y52">
        <f t="shared" si="30"/>
        <v>0</v>
      </c>
      <c r="Z52">
        <f t="shared" si="30"/>
        <v>0</v>
      </c>
      <c r="AA52">
        <f t="shared" si="30"/>
        <v>0</v>
      </c>
      <c r="AB52">
        <f t="shared" si="30"/>
        <v>0</v>
      </c>
      <c r="AC52">
        <f t="shared" si="30"/>
        <v>0</v>
      </c>
      <c r="AD52">
        <f t="shared" si="30"/>
        <v>0</v>
      </c>
      <c r="AE52">
        <f t="shared" si="30"/>
        <v>0</v>
      </c>
      <c r="AF52">
        <f t="shared" si="30"/>
        <v>0</v>
      </c>
      <c r="AG52">
        <f t="shared" si="30"/>
        <v>0</v>
      </c>
      <c r="AH52">
        <f t="shared" si="30"/>
        <v>0</v>
      </c>
      <c r="AI52">
        <f t="shared" si="30"/>
        <v>0</v>
      </c>
      <c r="AJ52">
        <f t="shared" si="30"/>
        <v>0</v>
      </c>
      <c r="AK52">
        <f t="shared" si="30"/>
        <v>0</v>
      </c>
      <c r="AL52">
        <f t="shared" si="30"/>
        <v>0</v>
      </c>
      <c r="AM52">
        <f t="shared" si="30"/>
        <v>0</v>
      </c>
      <c r="AN52">
        <f t="shared" si="30"/>
        <v>0</v>
      </c>
      <c r="AO52">
        <f t="shared" si="30"/>
        <v>0</v>
      </c>
      <c r="AP52">
        <f t="shared" si="30"/>
        <v>0</v>
      </c>
      <c r="AQ52">
        <f t="shared" si="30"/>
        <v>0</v>
      </c>
      <c r="AR52">
        <f t="shared" si="30"/>
        <v>0</v>
      </c>
      <c r="AS52">
        <f t="shared" si="30"/>
        <v>0</v>
      </c>
      <c r="AT52">
        <f t="shared" si="30"/>
        <v>0</v>
      </c>
      <c r="AU52">
        <f t="shared" si="30"/>
        <v>0</v>
      </c>
      <c r="AV52">
        <f t="shared" si="30"/>
        <v>0</v>
      </c>
      <c r="AW52">
        <f t="shared" si="30"/>
        <v>0</v>
      </c>
      <c r="AX52">
        <f t="shared" si="30"/>
        <v>0</v>
      </c>
      <c r="AY52">
        <f t="shared" si="30"/>
        <v>0</v>
      </c>
      <c r="AZ52">
        <f t="shared" si="30"/>
        <v>0</v>
      </c>
      <c r="BA52">
        <f t="shared" si="30"/>
        <v>0</v>
      </c>
    </row>
    <row r="53" spans="1:53" ht="15.75" customHeight="1">
      <c r="A53" s="350">
        <v>2001</v>
      </c>
      <c r="B53" s="350"/>
      <c r="C53" s="350"/>
      <c r="D53" s="350"/>
      <c r="E53" s="350"/>
      <c r="F53" s="350"/>
      <c r="G53" s="350"/>
      <c r="H53" s="350"/>
      <c r="I53" s="350"/>
      <c r="J53" s="350"/>
      <c r="K53" s="350"/>
      <c r="L53" s="350"/>
      <c r="M53" s="350"/>
      <c r="N53" s="350"/>
      <c r="O53" s="350"/>
      <c r="P53" s="350"/>
      <c r="Q53" s="350"/>
      <c r="R53" s="350"/>
      <c r="S53" s="350"/>
      <c r="T53" s="350"/>
      <c r="U53" s="350"/>
      <c r="V53" s="86">
        <v>3.9000000000000004</v>
      </c>
      <c r="W53">
        <f t="shared" si="25"/>
        <v>0</v>
      </c>
      <c r="X53">
        <f t="shared" ref="X53:BA53" si="31">IF(AND(X$47-$A53&gt;$V$31,SUM($W53:W53)&lt;&gt;$V53),$V53,0)</f>
        <v>0</v>
      </c>
      <c r="Y53">
        <f t="shared" si="31"/>
        <v>0</v>
      </c>
      <c r="Z53">
        <f t="shared" si="31"/>
        <v>0</v>
      </c>
      <c r="AA53">
        <f t="shared" si="31"/>
        <v>0</v>
      </c>
      <c r="AB53">
        <f t="shared" si="31"/>
        <v>0</v>
      </c>
      <c r="AC53">
        <f t="shared" si="31"/>
        <v>0</v>
      </c>
      <c r="AD53">
        <f t="shared" si="31"/>
        <v>0</v>
      </c>
      <c r="AE53">
        <f t="shared" si="31"/>
        <v>0</v>
      </c>
      <c r="AF53">
        <f t="shared" si="31"/>
        <v>0</v>
      </c>
      <c r="AG53">
        <f t="shared" si="31"/>
        <v>0</v>
      </c>
      <c r="AH53">
        <f t="shared" si="31"/>
        <v>0</v>
      </c>
      <c r="AI53">
        <f t="shared" si="31"/>
        <v>3.9000000000000004</v>
      </c>
      <c r="AJ53">
        <f t="shared" si="31"/>
        <v>0</v>
      </c>
      <c r="AK53">
        <f t="shared" si="31"/>
        <v>0</v>
      </c>
      <c r="AL53">
        <f t="shared" si="31"/>
        <v>0</v>
      </c>
      <c r="AM53">
        <f t="shared" si="31"/>
        <v>0</v>
      </c>
      <c r="AN53">
        <f t="shared" si="31"/>
        <v>0</v>
      </c>
      <c r="AO53">
        <f t="shared" si="31"/>
        <v>0</v>
      </c>
      <c r="AP53">
        <f t="shared" si="31"/>
        <v>0</v>
      </c>
      <c r="AQ53">
        <f t="shared" si="31"/>
        <v>0</v>
      </c>
      <c r="AR53">
        <f t="shared" si="31"/>
        <v>0</v>
      </c>
      <c r="AS53">
        <f t="shared" si="31"/>
        <v>0</v>
      </c>
      <c r="AT53">
        <f t="shared" si="31"/>
        <v>0</v>
      </c>
      <c r="AU53">
        <f t="shared" si="31"/>
        <v>0</v>
      </c>
      <c r="AV53">
        <f t="shared" si="31"/>
        <v>0</v>
      </c>
      <c r="AW53">
        <f t="shared" si="31"/>
        <v>0</v>
      </c>
      <c r="AX53">
        <f t="shared" si="31"/>
        <v>0</v>
      </c>
      <c r="AY53">
        <f t="shared" si="31"/>
        <v>0</v>
      </c>
      <c r="AZ53">
        <f t="shared" si="31"/>
        <v>0</v>
      </c>
      <c r="BA53">
        <f t="shared" si="31"/>
        <v>0</v>
      </c>
    </row>
    <row r="54" spans="1:53" ht="15.75" customHeight="1">
      <c r="A54" s="350">
        <v>2002</v>
      </c>
      <c r="B54" s="350"/>
      <c r="C54" s="350"/>
      <c r="D54" s="350"/>
      <c r="E54" s="350"/>
      <c r="F54" s="350"/>
      <c r="G54" s="350"/>
      <c r="H54" s="350"/>
      <c r="I54" s="350"/>
      <c r="J54" s="350"/>
      <c r="K54" s="350"/>
      <c r="L54" s="350"/>
      <c r="M54" s="350"/>
      <c r="N54" s="350"/>
      <c r="O54" s="350"/>
      <c r="P54" s="350"/>
      <c r="Q54" s="350"/>
      <c r="R54" s="350"/>
      <c r="S54" s="350"/>
      <c r="T54" s="350"/>
      <c r="U54" s="350"/>
      <c r="V54" s="86">
        <v>2.1</v>
      </c>
      <c r="W54">
        <f t="shared" si="25"/>
        <v>0</v>
      </c>
      <c r="X54">
        <f t="shared" ref="X54:BA54" si="32">IF(AND(X$47-$A54&gt;$V$31,SUM($W54:W54)&lt;&gt;$V54),$V54,0)</f>
        <v>0</v>
      </c>
      <c r="Y54">
        <f t="shared" si="32"/>
        <v>0</v>
      </c>
      <c r="Z54">
        <f t="shared" si="32"/>
        <v>0</v>
      </c>
      <c r="AA54">
        <f t="shared" si="32"/>
        <v>0</v>
      </c>
      <c r="AB54">
        <f t="shared" si="32"/>
        <v>0</v>
      </c>
      <c r="AC54">
        <f t="shared" si="32"/>
        <v>0</v>
      </c>
      <c r="AD54">
        <f t="shared" si="32"/>
        <v>0</v>
      </c>
      <c r="AE54">
        <f t="shared" si="32"/>
        <v>0</v>
      </c>
      <c r="AF54">
        <f t="shared" si="32"/>
        <v>0</v>
      </c>
      <c r="AG54">
        <f t="shared" si="32"/>
        <v>0</v>
      </c>
      <c r="AH54">
        <f t="shared" si="32"/>
        <v>0</v>
      </c>
      <c r="AI54">
        <f t="shared" si="32"/>
        <v>0</v>
      </c>
      <c r="AJ54">
        <f t="shared" si="32"/>
        <v>2.1</v>
      </c>
      <c r="AK54">
        <f t="shared" si="32"/>
        <v>0</v>
      </c>
      <c r="AL54">
        <f t="shared" si="32"/>
        <v>0</v>
      </c>
      <c r="AM54">
        <f t="shared" si="32"/>
        <v>0</v>
      </c>
      <c r="AN54">
        <f t="shared" si="32"/>
        <v>0</v>
      </c>
      <c r="AO54">
        <f t="shared" si="32"/>
        <v>0</v>
      </c>
      <c r="AP54">
        <f t="shared" si="32"/>
        <v>0</v>
      </c>
      <c r="AQ54">
        <f t="shared" si="32"/>
        <v>0</v>
      </c>
      <c r="AR54">
        <f t="shared" si="32"/>
        <v>0</v>
      </c>
      <c r="AS54">
        <f t="shared" si="32"/>
        <v>0</v>
      </c>
      <c r="AT54">
        <f t="shared" si="32"/>
        <v>0</v>
      </c>
      <c r="AU54">
        <f t="shared" si="32"/>
        <v>0</v>
      </c>
      <c r="AV54">
        <f t="shared" si="32"/>
        <v>0</v>
      </c>
      <c r="AW54">
        <f t="shared" si="32"/>
        <v>0</v>
      </c>
      <c r="AX54">
        <f t="shared" si="32"/>
        <v>0</v>
      </c>
      <c r="AY54">
        <f t="shared" si="32"/>
        <v>0</v>
      </c>
      <c r="AZ54">
        <f t="shared" si="32"/>
        <v>0</v>
      </c>
      <c r="BA54">
        <f t="shared" si="32"/>
        <v>0</v>
      </c>
    </row>
    <row r="55" spans="1:53" ht="15.75" customHeight="1">
      <c r="A55" s="350">
        <v>2003</v>
      </c>
      <c r="B55" s="350"/>
      <c r="C55" s="350"/>
      <c r="D55" s="350"/>
      <c r="E55" s="350"/>
      <c r="F55" s="350"/>
      <c r="G55" s="350"/>
      <c r="H55" s="350"/>
      <c r="I55" s="350"/>
      <c r="J55" s="350"/>
      <c r="K55" s="350"/>
      <c r="L55" s="350"/>
      <c r="M55" s="350"/>
      <c r="N55" s="350"/>
      <c r="O55" s="350"/>
      <c r="P55" s="350"/>
      <c r="Q55" s="350"/>
      <c r="R55" s="350"/>
      <c r="S55" s="350"/>
      <c r="T55" s="350"/>
      <c r="U55" s="350"/>
      <c r="V55" s="86">
        <v>0.1</v>
      </c>
      <c r="W55">
        <f t="shared" si="25"/>
        <v>0</v>
      </c>
      <c r="X55">
        <f t="shared" ref="X55:BA55" si="33">IF(AND(X$47-$A55&gt;$V$31,SUM($W55:W55)&lt;&gt;$V55),$V55,0)</f>
        <v>0</v>
      </c>
      <c r="Y55">
        <f t="shared" si="33"/>
        <v>0</v>
      </c>
      <c r="Z55">
        <f t="shared" si="33"/>
        <v>0</v>
      </c>
      <c r="AA55">
        <f t="shared" si="33"/>
        <v>0</v>
      </c>
      <c r="AB55">
        <f t="shared" si="33"/>
        <v>0</v>
      </c>
      <c r="AC55">
        <f t="shared" si="33"/>
        <v>0</v>
      </c>
      <c r="AD55">
        <f t="shared" si="33"/>
        <v>0</v>
      </c>
      <c r="AE55">
        <f t="shared" si="33"/>
        <v>0</v>
      </c>
      <c r="AF55">
        <f t="shared" si="33"/>
        <v>0</v>
      </c>
      <c r="AG55">
        <f t="shared" si="33"/>
        <v>0</v>
      </c>
      <c r="AH55">
        <f t="shared" si="33"/>
        <v>0</v>
      </c>
      <c r="AI55">
        <f t="shared" si="33"/>
        <v>0</v>
      </c>
      <c r="AJ55">
        <f t="shared" si="33"/>
        <v>0</v>
      </c>
      <c r="AK55">
        <f t="shared" si="33"/>
        <v>0.1</v>
      </c>
      <c r="AL55">
        <f t="shared" si="33"/>
        <v>0</v>
      </c>
      <c r="AM55">
        <f t="shared" si="33"/>
        <v>0</v>
      </c>
      <c r="AN55">
        <f t="shared" si="33"/>
        <v>0</v>
      </c>
      <c r="AO55">
        <f t="shared" si="33"/>
        <v>0</v>
      </c>
      <c r="AP55">
        <f t="shared" si="33"/>
        <v>0</v>
      </c>
      <c r="AQ55">
        <f t="shared" si="33"/>
        <v>0</v>
      </c>
      <c r="AR55">
        <f t="shared" si="33"/>
        <v>0</v>
      </c>
      <c r="AS55">
        <f t="shared" si="33"/>
        <v>0</v>
      </c>
      <c r="AT55">
        <f t="shared" si="33"/>
        <v>0</v>
      </c>
      <c r="AU55">
        <f t="shared" si="33"/>
        <v>0</v>
      </c>
      <c r="AV55">
        <f t="shared" si="33"/>
        <v>0</v>
      </c>
      <c r="AW55">
        <f t="shared" si="33"/>
        <v>0</v>
      </c>
      <c r="AX55">
        <f t="shared" si="33"/>
        <v>0</v>
      </c>
      <c r="AY55">
        <f t="shared" si="33"/>
        <v>0</v>
      </c>
      <c r="AZ55">
        <f t="shared" si="33"/>
        <v>0</v>
      </c>
      <c r="BA55">
        <f t="shared" si="33"/>
        <v>0</v>
      </c>
    </row>
    <row r="56" spans="1:53" ht="15.75" customHeight="1">
      <c r="A56" s="350">
        <v>2005</v>
      </c>
      <c r="B56" s="350"/>
      <c r="C56" s="350"/>
      <c r="D56" s="350"/>
      <c r="E56" s="350"/>
      <c r="F56" s="350"/>
      <c r="G56" s="350"/>
      <c r="H56" s="350"/>
      <c r="I56" s="350"/>
      <c r="J56" s="350"/>
      <c r="K56" s="350"/>
      <c r="L56" s="350"/>
      <c r="M56" s="350"/>
      <c r="N56" s="350"/>
      <c r="O56" s="350"/>
      <c r="P56" s="350"/>
      <c r="Q56" s="350"/>
      <c r="R56" s="350"/>
      <c r="S56" s="350"/>
      <c r="T56" s="350"/>
      <c r="U56" s="350"/>
      <c r="V56" s="86">
        <v>2</v>
      </c>
      <c r="W56">
        <f t="shared" si="25"/>
        <v>0</v>
      </c>
      <c r="X56">
        <f t="shared" ref="X56:BA56" si="34">IF(AND(X$47-$A56&gt;$V$31,SUM($W56:W56)&lt;&gt;$V56),$V56,0)</f>
        <v>0</v>
      </c>
      <c r="Y56">
        <f t="shared" si="34"/>
        <v>0</v>
      </c>
      <c r="Z56">
        <f t="shared" si="34"/>
        <v>0</v>
      </c>
      <c r="AA56">
        <f t="shared" si="34"/>
        <v>0</v>
      </c>
      <c r="AB56">
        <f t="shared" si="34"/>
        <v>0</v>
      </c>
      <c r="AC56">
        <f t="shared" si="34"/>
        <v>0</v>
      </c>
      <c r="AD56">
        <f t="shared" si="34"/>
        <v>0</v>
      </c>
      <c r="AE56">
        <f t="shared" si="34"/>
        <v>0</v>
      </c>
      <c r="AF56">
        <f t="shared" si="34"/>
        <v>0</v>
      </c>
      <c r="AG56">
        <f t="shared" si="34"/>
        <v>0</v>
      </c>
      <c r="AH56">
        <f t="shared" si="34"/>
        <v>0</v>
      </c>
      <c r="AI56">
        <f t="shared" si="34"/>
        <v>0</v>
      </c>
      <c r="AJ56">
        <f t="shared" si="34"/>
        <v>0</v>
      </c>
      <c r="AK56">
        <f t="shared" si="34"/>
        <v>0</v>
      </c>
      <c r="AL56">
        <f t="shared" si="34"/>
        <v>0</v>
      </c>
      <c r="AM56">
        <f t="shared" si="34"/>
        <v>2</v>
      </c>
      <c r="AN56">
        <f t="shared" si="34"/>
        <v>0</v>
      </c>
      <c r="AO56">
        <f t="shared" si="34"/>
        <v>0</v>
      </c>
      <c r="AP56">
        <f t="shared" si="34"/>
        <v>0</v>
      </c>
      <c r="AQ56">
        <f t="shared" si="34"/>
        <v>0</v>
      </c>
      <c r="AR56">
        <f t="shared" si="34"/>
        <v>0</v>
      </c>
      <c r="AS56">
        <f t="shared" si="34"/>
        <v>0</v>
      </c>
      <c r="AT56">
        <f t="shared" si="34"/>
        <v>0</v>
      </c>
      <c r="AU56">
        <f t="shared" si="34"/>
        <v>0</v>
      </c>
      <c r="AV56">
        <f t="shared" si="34"/>
        <v>0</v>
      </c>
      <c r="AW56">
        <f t="shared" si="34"/>
        <v>0</v>
      </c>
      <c r="AX56">
        <f t="shared" si="34"/>
        <v>0</v>
      </c>
      <c r="AY56">
        <f t="shared" si="34"/>
        <v>0</v>
      </c>
      <c r="AZ56">
        <f t="shared" si="34"/>
        <v>0</v>
      </c>
      <c r="BA56">
        <f t="shared" si="34"/>
        <v>0</v>
      </c>
    </row>
    <row r="57" spans="1:53" ht="15.75" customHeight="1">
      <c r="A57" s="350">
        <v>2006</v>
      </c>
      <c r="B57" s="350"/>
      <c r="C57" s="350"/>
      <c r="D57" s="350"/>
      <c r="E57" s="350"/>
      <c r="F57" s="350"/>
      <c r="G57" s="350"/>
      <c r="H57" s="350"/>
      <c r="I57" s="350"/>
      <c r="J57" s="350"/>
      <c r="K57" s="350"/>
      <c r="L57" s="350"/>
      <c r="M57" s="350"/>
      <c r="N57" s="350"/>
      <c r="O57" s="350"/>
      <c r="P57" s="350"/>
      <c r="Q57" s="350"/>
      <c r="R57" s="350"/>
      <c r="S57" s="350"/>
      <c r="T57" s="350"/>
      <c r="U57" s="350"/>
      <c r="V57" s="86">
        <v>1.7999999999999998</v>
      </c>
      <c r="W57">
        <f t="shared" si="25"/>
        <v>0</v>
      </c>
      <c r="X57">
        <f t="shared" ref="X57:BA57" si="35">IF(AND(X$47-$A57&gt;$V$31,SUM($W57:W57)&lt;&gt;$V57),$V57,0)</f>
        <v>0</v>
      </c>
      <c r="Y57">
        <f t="shared" si="35"/>
        <v>0</v>
      </c>
      <c r="Z57">
        <f t="shared" si="35"/>
        <v>0</v>
      </c>
      <c r="AA57">
        <f t="shared" si="35"/>
        <v>0</v>
      </c>
      <c r="AB57">
        <f t="shared" si="35"/>
        <v>0</v>
      </c>
      <c r="AC57">
        <f t="shared" si="35"/>
        <v>0</v>
      </c>
      <c r="AD57">
        <f t="shared" si="35"/>
        <v>0</v>
      </c>
      <c r="AE57">
        <f t="shared" si="35"/>
        <v>0</v>
      </c>
      <c r="AF57">
        <f t="shared" si="35"/>
        <v>0</v>
      </c>
      <c r="AG57">
        <f t="shared" si="35"/>
        <v>0</v>
      </c>
      <c r="AH57">
        <f t="shared" si="35"/>
        <v>0</v>
      </c>
      <c r="AI57">
        <f t="shared" si="35"/>
        <v>0</v>
      </c>
      <c r="AJ57">
        <f t="shared" si="35"/>
        <v>0</v>
      </c>
      <c r="AK57">
        <f t="shared" si="35"/>
        <v>0</v>
      </c>
      <c r="AL57">
        <f t="shared" si="35"/>
        <v>0</v>
      </c>
      <c r="AM57">
        <f t="shared" si="35"/>
        <v>0</v>
      </c>
      <c r="AN57">
        <f t="shared" si="35"/>
        <v>1.7999999999999998</v>
      </c>
      <c r="AO57">
        <f t="shared" si="35"/>
        <v>0</v>
      </c>
      <c r="AP57">
        <f t="shared" si="35"/>
        <v>0</v>
      </c>
      <c r="AQ57">
        <f t="shared" si="35"/>
        <v>0</v>
      </c>
      <c r="AR57">
        <f t="shared" si="35"/>
        <v>0</v>
      </c>
      <c r="AS57">
        <f t="shared" si="35"/>
        <v>0</v>
      </c>
      <c r="AT57">
        <f t="shared" si="35"/>
        <v>0</v>
      </c>
      <c r="AU57">
        <f t="shared" si="35"/>
        <v>0</v>
      </c>
      <c r="AV57">
        <f t="shared" si="35"/>
        <v>0</v>
      </c>
      <c r="AW57">
        <f t="shared" si="35"/>
        <v>0</v>
      </c>
      <c r="AX57">
        <f t="shared" si="35"/>
        <v>0</v>
      </c>
      <c r="AY57">
        <f t="shared" si="35"/>
        <v>0</v>
      </c>
      <c r="AZ57">
        <f t="shared" si="35"/>
        <v>0</v>
      </c>
      <c r="BA57">
        <f t="shared" si="35"/>
        <v>0</v>
      </c>
    </row>
    <row r="58" spans="1:53" ht="15.75" customHeight="1">
      <c r="A58" s="350">
        <v>2007</v>
      </c>
      <c r="B58" s="350"/>
      <c r="C58" s="350"/>
      <c r="D58" s="350"/>
      <c r="E58" s="350"/>
      <c r="F58" s="350"/>
      <c r="G58" s="350"/>
      <c r="H58" s="350"/>
      <c r="I58" s="350"/>
      <c r="J58" s="350"/>
      <c r="K58" s="350"/>
      <c r="L58" s="350"/>
      <c r="M58" s="350"/>
      <c r="N58" s="350"/>
      <c r="O58" s="350"/>
      <c r="P58" s="350"/>
      <c r="Q58" s="350"/>
      <c r="R58" s="350"/>
      <c r="S58" s="350"/>
      <c r="T58" s="350"/>
      <c r="U58" s="350"/>
      <c r="V58" s="86">
        <v>100.7</v>
      </c>
      <c r="W58">
        <f t="shared" si="25"/>
        <v>0</v>
      </c>
      <c r="X58">
        <f t="shared" ref="X58:BA58" si="36">IF(AND(X$47-$A58&gt;$V$31,SUM($W58:W58)&lt;&gt;$V58),$V58,0)</f>
        <v>0</v>
      </c>
      <c r="Y58">
        <f t="shared" si="36"/>
        <v>0</v>
      </c>
      <c r="Z58">
        <f t="shared" si="36"/>
        <v>0</v>
      </c>
      <c r="AA58">
        <f t="shared" si="36"/>
        <v>0</v>
      </c>
      <c r="AB58">
        <f t="shared" si="36"/>
        <v>0</v>
      </c>
      <c r="AC58">
        <f t="shared" si="36"/>
        <v>0</v>
      </c>
      <c r="AD58">
        <f t="shared" si="36"/>
        <v>0</v>
      </c>
      <c r="AE58">
        <f t="shared" si="36"/>
        <v>0</v>
      </c>
      <c r="AF58">
        <f t="shared" si="36"/>
        <v>0</v>
      </c>
      <c r="AG58">
        <f t="shared" si="36"/>
        <v>0</v>
      </c>
      <c r="AH58">
        <f t="shared" si="36"/>
        <v>0</v>
      </c>
      <c r="AI58">
        <f t="shared" si="36"/>
        <v>0</v>
      </c>
      <c r="AJ58">
        <f t="shared" si="36"/>
        <v>0</v>
      </c>
      <c r="AK58">
        <f t="shared" si="36"/>
        <v>0</v>
      </c>
      <c r="AL58">
        <f t="shared" si="36"/>
        <v>0</v>
      </c>
      <c r="AM58">
        <f t="shared" si="36"/>
        <v>0</v>
      </c>
      <c r="AN58">
        <f t="shared" si="36"/>
        <v>0</v>
      </c>
      <c r="AO58">
        <f t="shared" si="36"/>
        <v>100.7</v>
      </c>
      <c r="AP58">
        <f t="shared" si="36"/>
        <v>0</v>
      </c>
      <c r="AQ58">
        <f t="shared" si="36"/>
        <v>0</v>
      </c>
      <c r="AR58">
        <f t="shared" si="36"/>
        <v>0</v>
      </c>
      <c r="AS58">
        <f t="shared" si="36"/>
        <v>0</v>
      </c>
      <c r="AT58">
        <f t="shared" si="36"/>
        <v>0</v>
      </c>
      <c r="AU58">
        <f t="shared" si="36"/>
        <v>0</v>
      </c>
      <c r="AV58">
        <f t="shared" si="36"/>
        <v>0</v>
      </c>
      <c r="AW58">
        <f t="shared" si="36"/>
        <v>0</v>
      </c>
      <c r="AX58">
        <f t="shared" si="36"/>
        <v>0</v>
      </c>
      <c r="AY58">
        <f t="shared" si="36"/>
        <v>0</v>
      </c>
      <c r="AZ58">
        <f t="shared" si="36"/>
        <v>0</v>
      </c>
      <c r="BA58">
        <f t="shared" si="36"/>
        <v>0</v>
      </c>
    </row>
    <row r="59" spans="1:53" ht="15.75" customHeight="1">
      <c r="A59" s="350">
        <v>2008</v>
      </c>
      <c r="B59" s="350"/>
      <c r="C59" s="350"/>
      <c r="D59" s="350"/>
      <c r="E59" s="350"/>
      <c r="F59" s="350"/>
      <c r="G59" s="350"/>
      <c r="H59" s="350"/>
      <c r="I59" s="350"/>
      <c r="J59" s="350"/>
      <c r="K59" s="350"/>
      <c r="L59" s="350"/>
      <c r="M59" s="350"/>
      <c r="N59" s="350"/>
      <c r="O59" s="350"/>
      <c r="P59" s="350"/>
      <c r="Q59" s="350"/>
      <c r="R59" s="350"/>
      <c r="S59" s="350"/>
      <c r="T59" s="350"/>
      <c r="U59" s="350"/>
      <c r="V59" s="86">
        <v>29.400000000000002</v>
      </c>
      <c r="W59">
        <f t="shared" si="25"/>
        <v>0</v>
      </c>
      <c r="X59">
        <f t="shared" ref="X59:BA59" si="37">IF(AND(X$47-$A59&gt;$V$31,SUM($W59:W59)&lt;&gt;$V59),$V59,0)</f>
        <v>0</v>
      </c>
      <c r="Y59">
        <f t="shared" si="37"/>
        <v>0</v>
      </c>
      <c r="Z59">
        <f t="shared" si="37"/>
        <v>0</v>
      </c>
      <c r="AA59">
        <f t="shared" si="37"/>
        <v>0</v>
      </c>
      <c r="AB59">
        <f t="shared" si="37"/>
        <v>0</v>
      </c>
      <c r="AC59">
        <f t="shared" si="37"/>
        <v>0</v>
      </c>
      <c r="AD59">
        <f t="shared" si="37"/>
        <v>0</v>
      </c>
      <c r="AE59">
        <f t="shared" si="37"/>
        <v>0</v>
      </c>
      <c r="AF59">
        <f t="shared" si="37"/>
        <v>0</v>
      </c>
      <c r="AG59">
        <f t="shared" si="37"/>
        <v>0</v>
      </c>
      <c r="AH59">
        <f t="shared" si="37"/>
        <v>0</v>
      </c>
      <c r="AI59">
        <f t="shared" si="37"/>
        <v>0</v>
      </c>
      <c r="AJ59">
        <f t="shared" si="37"/>
        <v>0</v>
      </c>
      <c r="AK59">
        <f t="shared" si="37"/>
        <v>0</v>
      </c>
      <c r="AL59">
        <f t="shared" si="37"/>
        <v>0</v>
      </c>
      <c r="AM59">
        <f t="shared" si="37"/>
        <v>0</v>
      </c>
      <c r="AN59">
        <f t="shared" si="37"/>
        <v>0</v>
      </c>
      <c r="AO59">
        <f t="shared" si="37"/>
        <v>0</v>
      </c>
      <c r="AP59">
        <f t="shared" si="37"/>
        <v>29.400000000000002</v>
      </c>
      <c r="AQ59">
        <f t="shared" si="37"/>
        <v>0</v>
      </c>
      <c r="AR59">
        <f t="shared" si="37"/>
        <v>0</v>
      </c>
      <c r="AS59">
        <f t="shared" si="37"/>
        <v>0</v>
      </c>
      <c r="AT59">
        <f t="shared" si="37"/>
        <v>0</v>
      </c>
      <c r="AU59">
        <f t="shared" si="37"/>
        <v>0</v>
      </c>
      <c r="AV59">
        <f t="shared" si="37"/>
        <v>0</v>
      </c>
      <c r="AW59">
        <f t="shared" si="37"/>
        <v>0</v>
      </c>
      <c r="AX59">
        <f t="shared" si="37"/>
        <v>0</v>
      </c>
      <c r="AY59">
        <f t="shared" si="37"/>
        <v>0</v>
      </c>
      <c r="AZ59">
        <f t="shared" si="37"/>
        <v>0</v>
      </c>
      <c r="BA59">
        <f t="shared" si="37"/>
        <v>0</v>
      </c>
    </row>
    <row r="60" spans="1:53" ht="15.75" customHeight="1">
      <c r="A60" s="350">
        <v>2009</v>
      </c>
      <c r="B60" s="350"/>
      <c r="C60" s="350"/>
      <c r="D60" s="350"/>
      <c r="E60" s="350"/>
      <c r="F60" s="350"/>
      <c r="G60" s="350"/>
      <c r="H60" s="350"/>
      <c r="I60" s="350"/>
      <c r="J60" s="350"/>
      <c r="K60" s="350"/>
      <c r="L60" s="350"/>
      <c r="M60" s="350"/>
      <c r="N60" s="350"/>
      <c r="O60" s="350"/>
      <c r="P60" s="350"/>
      <c r="Q60" s="350"/>
      <c r="R60" s="350"/>
      <c r="S60" s="350"/>
      <c r="T60" s="350"/>
      <c r="U60" s="350"/>
      <c r="V60" s="86">
        <v>97.499999999999986</v>
      </c>
      <c r="W60">
        <f t="shared" si="25"/>
        <v>0</v>
      </c>
      <c r="X60">
        <f t="shared" ref="X60:BA60" si="38">IF(AND(X$47-$A60&gt;$V$31,SUM($W60:W60)&lt;&gt;$V60),$V60,0)</f>
        <v>0</v>
      </c>
      <c r="Y60">
        <f t="shared" si="38"/>
        <v>0</v>
      </c>
      <c r="Z60">
        <f t="shared" si="38"/>
        <v>0</v>
      </c>
      <c r="AA60">
        <f t="shared" si="38"/>
        <v>0</v>
      </c>
      <c r="AB60">
        <f t="shared" si="38"/>
        <v>0</v>
      </c>
      <c r="AC60">
        <f t="shared" si="38"/>
        <v>0</v>
      </c>
      <c r="AD60">
        <f t="shared" si="38"/>
        <v>0</v>
      </c>
      <c r="AE60">
        <f t="shared" si="38"/>
        <v>0</v>
      </c>
      <c r="AF60">
        <f t="shared" si="38"/>
        <v>0</v>
      </c>
      <c r="AG60">
        <f t="shared" si="38"/>
        <v>0</v>
      </c>
      <c r="AH60">
        <f t="shared" si="38"/>
        <v>0</v>
      </c>
      <c r="AI60">
        <f t="shared" si="38"/>
        <v>0</v>
      </c>
      <c r="AJ60">
        <f t="shared" si="38"/>
        <v>0</v>
      </c>
      <c r="AK60">
        <f t="shared" si="38"/>
        <v>0</v>
      </c>
      <c r="AL60">
        <f t="shared" si="38"/>
        <v>0</v>
      </c>
      <c r="AM60">
        <f t="shared" si="38"/>
        <v>0</v>
      </c>
      <c r="AN60">
        <f t="shared" si="38"/>
        <v>0</v>
      </c>
      <c r="AO60">
        <f t="shared" si="38"/>
        <v>0</v>
      </c>
      <c r="AP60">
        <f t="shared" si="38"/>
        <v>0</v>
      </c>
      <c r="AQ60">
        <f t="shared" si="38"/>
        <v>97.499999999999986</v>
      </c>
      <c r="AR60">
        <f t="shared" si="38"/>
        <v>0</v>
      </c>
      <c r="AS60">
        <f t="shared" si="38"/>
        <v>0</v>
      </c>
      <c r="AT60">
        <f t="shared" si="38"/>
        <v>0</v>
      </c>
      <c r="AU60">
        <f t="shared" si="38"/>
        <v>0</v>
      </c>
      <c r="AV60">
        <f t="shared" si="38"/>
        <v>0</v>
      </c>
      <c r="AW60">
        <f t="shared" si="38"/>
        <v>0</v>
      </c>
      <c r="AX60">
        <f t="shared" si="38"/>
        <v>0</v>
      </c>
      <c r="AY60">
        <f t="shared" si="38"/>
        <v>0</v>
      </c>
      <c r="AZ60">
        <f t="shared" si="38"/>
        <v>0</v>
      </c>
      <c r="BA60">
        <f t="shared" si="38"/>
        <v>0</v>
      </c>
    </row>
    <row r="61" spans="1:53" ht="15.75" customHeight="1">
      <c r="A61" s="350">
        <v>2010</v>
      </c>
      <c r="B61" s="350"/>
      <c r="C61" s="350"/>
      <c r="D61" s="350"/>
      <c r="E61" s="350"/>
      <c r="F61" s="350"/>
      <c r="G61" s="350"/>
      <c r="H61" s="350"/>
      <c r="I61" s="350"/>
      <c r="J61" s="350"/>
      <c r="K61" s="350"/>
      <c r="L61" s="350"/>
      <c r="M61" s="350"/>
      <c r="N61" s="350"/>
      <c r="O61" s="350"/>
      <c r="P61" s="350"/>
      <c r="Q61" s="350"/>
      <c r="R61" s="350"/>
      <c r="S61" s="350"/>
      <c r="T61" s="350"/>
      <c r="U61" s="350"/>
      <c r="V61" s="86">
        <v>233.6</v>
      </c>
      <c r="W61">
        <f t="shared" si="25"/>
        <v>0</v>
      </c>
      <c r="X61">
        <f t="shared" ref="X61:BA61" si="39">IF(AND(X$47-$A61&gt;$V$31,SUM($W61:W61)&lt;&gt;$V61),$V61,0)</f>
        <v>0</v>
      </c>
      <c r="Y61">
        <f t="shared" si="39"/>
        <v>0</v>
      </c>
      <c r="Z61">
        <f t="shared" si="39"/>
        <v>0</v>
      </c>
      <c r="AA61">
        <f t="shared" si="39"/>
        <v>0</v>
      </c>
      <c r="AB61">
        <f t="shared" si="39"/>
        <v>0</v>
      </c>
      <c r="AC61">
        <f t="shared" si="39"/>
        <v>0</v>
      </c>
      <c r="AD61">
        <f t="shared" si="39"/>
        <v>0</v>
      </c>
      <c r="AE61">
        <f t="shared" si="39"/>
        <v>0</v>
      </c>
      <c r="AF61">
        <f t="shared" si="39"/>
        <v>0</v>
      </c>
      <c r="AG61">
        <f t="shared" si="39"/>
        <v>0</v>
      </c>
      <c r="AH61">
        <f t="shared" si="39"/>
        <v>0</v>
      </c>
      <c r="AI61">
        <f t="shared" si="39"/>
        <v>0</v>
      </c>
      <c r="AJ61">
        <f t="shared" si="39"/>
        <v>0</v>
      </c>
      <c r="AK61">
        <f t="shared" si="39"/>
        <v>0</v>
      </c>
      <c r="AL61">
        <f t="shared" si="39"/>
        <v>0</v>
      </c>
      <c r="AM61">
        <f t="shared" si="39"/>
        <v>0</v>
      </c>
      <c r="AN61">
        <f t="shared" si="39"/>
        <v>0</v>
      </c>
      <c r="AO61">
        <f t="shared" si="39"/>
        <v>0</v>
      </c>
      <c r="AP61">
        <f t="shared" si="39"/>
        <v>0</v>
      </c>
      <c r="AQ61">
        <f t="shared" si="39"/>
        <v>0</v>
      </c>
      <c r="AR61">
        <f t="shared" si="39"/>
        <v>233.6</v>
      </c>
      <c r="AS61">
        <f t="shared" si="39"/>
        <v>0</v>
      </c>
      <c r="AT61">
        <f t="shared" si="39"/>
        <v>0</v>
      </c>
      <c r="AU61">
        <f t="shared" si="39"/>
        <v>0</v>
      </c>
      <c r="AV61">
        <f t="shared" si="39"/>
        <v>0</v>
      </c>
      <c r="AW61">
        <f t="shared" si="39"/>
        <v>0</v>
      </c>
      <c r="AX61">
        <f t="shared" si="39"/>
        <v>0</v>
      </c>
      <c r="AY61">
        <f t="shared" si="39"/>
        <v>0</v>
      </c>
      <c r="AZ61">
        <f t="shared" si="39"/>
        <v>0</v>
      </c>
      <c r="BA61">
        <f t="shared" si="39"/>
        <v>0</v>
      </c>
    </row>
    <row r="62" spans="1:53" ht="15.75" customHeight="1">
      <c r="A62" s="350">
        <v>2011</v>
      </c>
      <c r="B62" s="350"/>
      <c r="C62" s="350"/>
      <c r="D62" s="350"/>
      <c r="E62" s="350"/>
      <c r="F62" s="350"/>
      <c r="G62" s="350"/>
      <c r="H62" s="350"/>
      <c r="I62" s="350"/>
      <c r="J62" s="350"/>
      <c r="K62" s="350"/>
      <c r="L62" s="350"/>
      <c r="M62" s="350"/>
      <c r="N62" s="350"/>
      <c r="O62" s="350"/>
      <c r="P62" s="350"/>
      <c r="Q62" s="350"/>
      <c r="R62" s="350"/>
      <c r="S62" s="350"/>
      <c r="T62" s="350"/>
      <c r="U62" s="350"/>
      <c r="V62" s="86">
        <v>781.8</v>
      </c>
      <c r="W62">
        <f t="shared" si="25"/>
        <v>0</v>
      </c>
      <c r="X62">
        <f t="shared" ref="X62:BA62" si="40">IF(AND(X$47-$A62&gt;$V$31,SUM($W62:W62)&lt;&gt;$V62),$V62,0)</f>
        <v>0</v>
      </c>
      <c r="Y62">
        <f t="shared" si="40"/>
        <v>0</v>
      </c>
      <c r="Z62">
        <f t="shared" si="40"/>
        <v>0</v>
      </c>
      <c r="AA62">
        <f t="shared" si="40"/>
        <v>0</v>
      </c>
      <c r="AB62">
        <f t="shared" si="40"/>
        <v>0</v>
      </c>
      <c r="AC62">
        <f t="shared" si="40"/>
        <v>0</v>
      </c>
      <c r="AD62">
        <f t="shared" si="40"/>
        <v>0</v>
      </c>
      <c r="AE62">
        <f t="shared" si="40"/>
        <v>0</v>
      </c>
      <c r="AF62">
        <f t="shared" si="40"/>
        <v>0</v>
      </c>
      <c r="AG62">
        <f t="shared" si="40"/>
        <v>0</v>
      </c>
      <c r="AH62">
        <f t="shared" si="40"/>
        <v>0</v>
      </c>
      <c r="AI62">
        <f t="shared" si="40"/>
        <v>0</v>
      </c>
      <c r="AJ62">
        <f t="shared" si="40"/>
        <v>0</v>
      </c>
      <c r="AK62">
        <f t="shared" si="40"/>
        <v>0</v>
      </c>
      <c r="AL62">
        <f t="shared" si="40"/>
        <v>0</v>
      </c>
      <c r="AM62">
        <f t="shared" si="40"/>
        <v>0</v>
      </c>
      <c r="AN62">
        <f t="shared" si="40"/>
        <v>0</v>
      </c>
      <c r="AO62">
        <f t="shared" si="40"/>
        <v>0</v>
      </c>
      <c r="AP62">
        <f t="shared" si="40"/>
        <v>0</v>
      </c>
      <c r="AQ62">
        <f t="shared" si="40"/>
        <v>0</v>
      </c>
      <c r="AR62">
        <f t="shared" si="40"/>
        <v>0</v>
      </c>
      <c r="AS62">
        <f t="shared" si="40"/>
        <v>781.8</v>
      </c>
      <c r="AT62">
        <f t="shared" si="40"/>
        <v>0</v>
      </c>
      <c r="AU62">
        <f t="shared" si="40"/>
        <v>0</v>
      </c>
      <c r="AV62">
        <f t="shared" si="40"/>
        <v>0</v>
      </c>
      <c r="AW62">
        <f t="shared" si="40"/>
        <v>0</v>
      </c>
      <c r="AX62">
        <f t="shared" si="40"/>
        <v>0</v>
      </c>
      <c r="AY62">
        <f t="shared" si="40"/>
        <v>0</v>
      </c>
      <c r="AZ62">
        <f t="shared" si="40"/>
        <v>0</v>
      </c>
      <c r="BA62">
        <f t="shared" si="40"/>
        <v>0</v>
      </c>
    </row>
    <row r="63" spans="1:53" ht="15.75" customHeight="1">
      <c r="A63" s="350">
        <v>2012</v>
      </c>
      <c r="B63" s="350"/>
      <c r="C63" s="350"/>
      <c r="D63" s="350"/>
      <c r="E63" s="350"/>
      <c r="F63" s="350"/>
      <c r="G63" s="350"/>
      <c r="H63" s="350"/>
      <c r="I63" s="350"/>
      <c r="J63" s="350"/>
      <c r="K63" s="350"/>
      <c r="L63" s="350"/>
      <c r="M63" s="350"/>
      <c r="N63" s="350"/>
      <c r="O63" s="350"/>
      <c r="P63" s="350"/>
      <c r="Q63" s="350"/>
      <c r="R63" s="350"/>
      <c r="S63" s="350"/>
      <c r="T63" s="350"/>
      <c r="U63" s="350"/>
      <c r="V63" s="86">
        <v>1580.2999999999997</v>
      </c>
      <c r="W63">
        <f t="shared" si="25"/>
        <v>0</v>
      </c>
      <c r="X63">
        <f t="shared" ref="X63:BA63" si="41">IF(AND(X$47-$A63&gt;$V$31,SUM($W63:W63)&lt;&gt;$V63),$V63,0)</f>
        <v>0</v>
      </c>
      <c r="Y63">
        <f t="shared" si="41"/>
        <v>0</v>
      </c>
      <c r="Z63">
        <f t="shared" si="41"/>
        <v>0</v>
      </c>
      <c r="AA63">
        <f t="shared" si="41"/>
        <v>0</v>
      </c>
      <c r="AB63">
        <f t="shared" si="41"/>
        <v>0</v>
      </c>
      <c r="AC63">
        <f t="shared" si="41"/>
        <v>0</v>
      </c>
      <c r="AD63">
        <f t="shared" si="41"/>
        <v>0</v>
      </c>
      <c r="AE63">
        <f t="shared" si="41"/>
        <v>0</v>
      </c>
      <c r="AF63">
        <f t="shared" si="41"/>
        <v>0</v>
      </c>
      <c r="AG63">
        <f t="shared" si="41"/>
        <v>0</v>
      </c>
      <c r="AH63">
        <f t="shared" si="41"/>
        <v>0</v>
      </c>
      <c r="AI63">
        <f t="shared" si="41"/>
        <v>0</v>
      </c>
      <c r="AJ63">
        <f t="shared" si="41"/>
        <v>0</v>
      </c>
      <c r="AK63">
        <f t="shared" si="41"/>
        <v>0</v>
      </c>
      <c r="AL63">
        <f t="shared" si="41"/>
        <v>0</v>
      </c>
      <c r="AM63">
        <f t="shared" si="41"/>
        <v>0</v>
      </c>
      <c r="AN63">
        <f t="shared" si="41"/>
        <v>0</v>
      </c>
      <c r="AO63">
        <f t="shared" si="41"/>
        <v>0</v>
      </c>
      <c r="AP63">
        <f t="shared" si="41"/>
        <v>0</v>
      </c>
      <c r="AQ63">
        <f t="shared" si="41"/>
        <v>0</v>
      </c>
      <c r="AR63">
        <f t="shared" si="41"/>
        <v>0</v>
      </c>
      <c r="AS63">
        <f t="shared" si="41"/>
        <v>0</v>
      </c>
      <c r="AT63">
        <f t="shared" si="41"/>
        <v>1580.2999999999997</v>
      </c>
      <c r="AU63">
        <f t="shared" si="41"/>
        <v>0</v>
      </c>
      <c r="AV63">
        <f t="shared" si="41"/>
        <v>0</v>
      </c>
      <c r="AW63">
        <f t="shared" si="41"/>
        <v>0</v>
      </c>
      <c r="AX63">
        <f t="shared" si="41"/>
        <v>0</v>
      </c>
      <c r="AY63">
        <f t="shared" si="41"/>
        <v>0</v>
      </c>
      <c r="AZ63">
        <f t="shared" si="41"/>
        <v>0</v>
      </c>
      <c r="BA63">
        <f t="shared" si="41"/>
        <v>0</v>
      </c>
    </row>
    <row r="64" spans="1:53" ht="15.75" customHeight="1">
      <c r="A64" s="350">
        <v>2013</v>
      </c>
      <c r="B64" s="350"/>
      <c r="C64" s="350"/>
      <c r="D64" s="350"/>
      <c r="E64" s="350"/>
      <c r="F64" s="350"/>
      <c r="G64" s="350"/>
      <c r="H64" s="350"/>
      <c r="I64" s="350"/>
      <c r="J64" s="350"/>
      <c r="K64" s="350"/>
      <c r="L64" s="350"/>
      <c r="M64" s="350"/>
      <c r="N64" s="350"/>
      <c r="O64" s="350"/>
      <c r="P64" s="350"/>
      <c r="Q64" s="350"/>
      <c r="R64" s="350"/>
      <c r="S64" s="350"/>
      <c r="T64" s="350"/>
      <c r="U64" s="350"/>
      <c r="V64" s="86">
        <v>3533.1</v>
      </c>
      <c r="W64">
        <f t="shared" si="25"/>
        <v>0</v>
      </c>
      <c r="X64">
        <f t="shared" ref="X64:BA64" si="42">IF(AND(X$47-$A64&gt;$V$31,SUM($W64:W64)&lt;&gt;$V64),$V64,0)</f>
        <v>0</v>
      </c>
      <c r="Y64">
        <f t="shared" si="42"/>
        <v>0</v>
      </c>
      <c r="Z64">
        <f t="shared" si="42"/>
        <v>0</v>
      </c>
      <c r="AA64">
        <f t="shared" si="42"/>
        <v>0</v>
      </c>
      <c r="AB64">
        <f t="shared" si="42"/>
        <v>0</v>
      </c>
      <c r="AC64">
        <f t="shared" si="42"/>
        <v>0</v>
      </c>
      <c r="AD64">
        <f t="shared" si="42"/>
        <v>0</v>
      </c>
      <c r="AE64">
        <f t="shared" si="42"/>
        <v>0</v>
      </c>
      <c r="AF64">
        <f t="shared" si="42"/>
        <v>0</v>
      </c>
      <c r="AG64">
        <f t="shared" si="42"/>
        <v>0</v>
      </c>
      <c r="AH64">
        <f t="shared" si="42"/>
        <v>0</v>
      </c>
      <c r="AI64">
        <f t="shared" si="42"/>
        <v>0</v>
      </c>
      <c r="AJ64">
        <f t="shared" si="42"/>
        <v>0</v>
      </c>
      <c r="AK64">
        <f t="shared" si="42"/>
        <v>0</v>
      </c>
      <c r="AL64">
        <f t="shared" si="42"/>
        <v>0</v>
      </c>
      <c r="AM64">
        <f t="shared" si="42"/>
        <v>0</v>
      </c>
      <c r="AN64">
        <f t="shared" si="42"/>
        <v>0</v>
      </c>
      <c r="AO64">
        <f t="shared" si="42"/>
        <v>0</v>
      </c>
      <c r="AP64">
        <f t="shared" si="42"/>
        <v>0</v>
      </c>
      <c r="AQ64">
        <f t="shared" si="42"/>
        <v>0</v>
      </c>
      <c r="AR64">
        <f t="shared" si="42"/>
        <v>0</v>
      </c>
      <c r="AS64">
        <f t="shared" si="42"/>
        <v>0</v>
      </c>
      <c r="AT64">
        <f t="shared" si="42"/>
        <v>0</v>
      </c>
      <c r="AU64">
        <f t="shared" si="42"/>
        <v>3533.1</v>
      </c>
      <c r="AV64">
        <f t="shared" si="42"/>
        <v>0</v>
      </c>
      <c r="AW64">
        <f t="shared" si="42"/>
        <v>0</v>
      </c>
      <c r="AX64">
        <f t="shared" si="42"/>
        <v>0</v>
      </c>
      <c r="AY64">
        <f t="shared" si="42"/>
        <v>0</v>
      </c>
      <c r="AZ64">
        <f t="shared" si="42"/>
        <v>0</v>
      </c>
      <c r="BA64">
        <f t="shared" si="42"/>
        <v>0</v>
      </c>
    </row>
    <row r="65" spans="1:53" ht="15.75" customHeight="1">
      <c r="A65" s="350">
        <v>2014</v>
      </c>
      <c r="B65" s="350"/>
      <c r="C65" s="350"/>
      <c r="D65" s="350"/>
      <c r="E65" s="350"/>
      <c r="F65" s="350"/>
      <c r="G65" s="350"/>
      <c r="H65" s="350"/>
      <c r="I65" s="350"/>
      <c r="J65" s="350"/>
      <c r="K65" s="350"/>
      <c r="L65" s="350"/>
      <c r="M65" s="350"/>
      <c r="N65" s="350"/>
      <c r="O65" s="350"/>
      <c r="P65" s="350"/>
      <c r="Q65" s="350"/>
      <c r="R65" s="350"/>
      <c r="S65" s="350"/>
      <c r="T65" s="350"/>
      <c r="U65" s="350"/>
      <c r="V65" s="86">
        <v>3714.9</v>
      </c>
      <c r="W65">
        <f t="shared" si="25"/>
        <v>0</v>
      </c>
      <c r="X65">
        <f t="shared" ref="X65:BA65" si="43">IF(AND(X$47-$A65&gt;$V$31,SUM($W65:W65)&lt;&gt;$V65),$V65,0)</f>
        <v>0</v>
      </c>
      <c r="Y65">
        <f t="shared" si="43"/>
        <v>0</v>
      </c>
      <c r="Z65">
        <f t="shared" si="43"/>
        <v>0</v>
      </c>
      <c r="AA65">
        <f t="shared" si="43"/>
        <v>0</v>
      </c>
      <c r="AB65">
        <f t="shared" si="43"/>
        <v>0</v>
      </c>
      <c r="AC65">
        <f t="shared" si="43"/>
        <v>0</v>
      </c>
      <c r="AD65">
        <f t="shared" si="43"/>
        <v>0</v>
      </c>
      <c r="AE65">
        <f t="shared" si="43"/>
        <v>0</v>
      </c>
      <c r="AF65">
        <f t="shared" si="43"/>
        <v>0</v>
      </c>
      <c r="AG65">
        <f t="shared" si="43"/>
        <v>0</v>
      </c>
      <c r="AH65">
        <f t="shared" si="43"/>
        <v>0</v>
      </c>
      <c r="AI65">
        <f t="shared" si="43"/>
        <v>0</v>
      </c>
      <c r="AJ65">
        <f t="shared" si="43"/>
        <v>0</v>
      </c>
      <c r="AK65">
        <f t="shared" si="43"/>
        <v>0</v>
      </c>
      <c r="AL65">
        <f t="shared" si="43"/>
        <v>0</v>
      </c>
      <c r="AM65">
        <f t="shared" si="43"/>
        <v>0</v>
      </c>
      <c r="AN65">
        <f t="shared" si="43"/>
        <v>0</v>
      </c>
      <c r="AO65">
        <f t="shared" si="43"/>
        <v>0</v>
      </c>
      <c r="AP65">
        <f t="shared" si="43"/>
        <v>0</v>
      </c>
      <c r="AQ65">
        <f t="shared" si="43"/>
        <v>0</v>
      </c>
      <c r="AR65">
        <f t="shared" si="43"/>
        <v>0</v>
      </c>
      <c r="AS65">
        <f t="shared" si="43"/>
        <v>0</v>
      </c>
      <c r="AT65">
        <f t="shared" si="43"/>
        <v>0</v>
      </c>
      <c r="AU65">
        <f t="shared" si="43"/>
        <v>0</v>
      </c>
      <c r="AV65">
        <f t="shared" si="43"/>
        <v>3714.9</v>
      </c>
      <c r="AW65">
        <f t="shared" si="43"/>
        <v>0</v>
      </c>
      <c r="AX65">
        <f t="shared" si="43"/>
        <v>0</v>
      </c>
      <c r="AY65">
        <f t="shared" si="43"/>
        <v>0</v>
      </c>
      <c r="AZ65">
        <f t="shared" si="43"/>
        <v>0</v>
      </c>
      <c r="BA65">
        <f t="shared" si="43"/>
        <v>0</v>
      </c>
    </row>
    <row r="66" spans="1:53" ht="15.75" customHeight="1">
      <c r="A66" s="350">
        <v>2015</v>
      </c>
      <c r="B66" s="350"/>
      <c r="C66" s="350"/>
      <c r="D66" s="350"/>
      <c r="E66" s="350"/>
      <c r="F66" s="350"/>
      <c r="G66" s="350"/>
      <c r="H66" s="350"/>
      <c r="I66" s="350"/>
      <c r="J66" s="350"/>
      <c r="K66" s="350"/>
      <c r="L66" s="350"/>
      <c r="M66" s="350"/>
      <c r="N66" s="350"/>
      <c r="O66" s="350"/>
      <c r="P66" s="350"/>
      <c r="Q66" s="350"/>
      <c r="R66" s="350"/>
      <c r="S66" s="350"/>
      <c r="T66" s="350"/>
      <c r="U66" s="350"/>
      <c r="V66" s="86">
        <v>3499.2999999999993</v>
      </c>
      <c r="W66">
        <f t="shared" si="25"/>
        <v>0</v>
      </c>
      <c r="X66">
        <f t="shared" ref="X66:BA66" si="44">IF(AND(X$47-$A66&gt;$V$31,SUM($W66:W66)&lt;&gt;$V66),$V66,0)</f>
        <v>0</v>
      </c>
      <c r="Y66">
        <f t="shared" si="44"/>
        <v>0</v>
      </c>
      <c r="Z66">
        <f t="shared" si="44"/>
        <v>0</v>
      </c>
      <c r="AA66">
        <f t="shared" si="44"/>
        <v>0</v>
      </c>
      <c r="AB66">
        <f t="shared" si="44"/>
        <v>0</v>
      </c>
      <c r="AC66">
        <f t="shared" si="44"/>
        <v>0</v>
      </c>
      <c r="AD66">
        <f t="shared" si="44"/>
        <v>0</v>
      </c>
      <c r="AE66">
        <f t="shared" si="44"/>
        <v>0</v>
      </c>
      <c r="AF66">
        <f t="shared" si="44"/>
        <v>0</v>
      </c>
      <c r="AG66">
        <f t="shared" si="44"/>
        <v>0</v>
      </c>
      <c r="AH66">
        <f t="shared" si="44"/>
        <v>0</v>
      </c>
      <c r="AI66">
        <f t="shared" si="44"/>
        <v>0</v>
      </c>
      <c r="AJ66">
        <f t="shared" si="44"/>
        <v>0</v>
      </c>
      <c r="AK66">
        <f t="shared" si="44"/>
        <v>0</v>
      </c>
      <c r="AL66">
        <f t="shared" si="44"/>
        <v>0</v>
      </c>
      <c r="AM66">
        <f t="shared" si="44"/>
        <v>0</v>
      </c>
      <c r="AN66">
        <f t="shared" si="44"/>
        <v>0</v>
      </c>
      <c r="AO66">
        <f t="shared" si="44"/>
        <v>0</v>
      </c>
      <c r="AP66">
        <f t="shared" si="44"/>
        <v>0</v>
      </c>
      <c r="AQ66">
        <f t="shared" si="44"/>
        <v>0</v>
      </c>
      <c r="AR66">
        <f t="shared" si="44"/>
        <v>0</v>
      </c>
      <c r="AS66">
        <f t="shared" si="44"/>
        <v>0</v>
      </c>
      <c r="AT66">
        <f t="shared" si="44"/>
        <v>0</v>
      </c>
      <c r="AU66">
        <f t="shared" si="44"/>
        <v>0</v>
      </c>
      <c r="AV66">
        <f t="shared" si="44"/>
        <v>0</v>
      </c>
      <c r="AW66">
        <f t="shared" si="44"/>
        <v>3499.2999999999993</v>
      </c>
      <c r="AX66">
        <f t="shared" si="44"/>
        <v>0</v>
      </c>
      <c r="AY66">
        <f t="shared" si="44"/>
        <v>0</v>
      </c>
      <c r="AZ66">
        <f t="shared" si="44"/>
        <v>0</v>
      </c>
      <c r="BA66">
        <f t="shared" si="44"/>
        <v>0</v>
      </c>
    </row>
    <row r="67" spans="1:53" ht="15.75" customHeight="1">
      <c r="A67" s="350">
        <v>2016</v>
      </c>
      <c r="B67" s="350"/>
      <c r="C67" s="350"/>
      <c r="D67" s="350"/>
      <c r="E67" s="350"/>
      <c r="F67" s="350"/>
      <c r="G67" s="350"/>
      <c r="H67" s="350"/>
      <c r="I67" s="350"/>
      <c r="J67" s="350"/>
      <c r="K67" s="350"/>
      <c r="L67" s="350"/>
      <c r="M67" s="350"/>
      <c r="N67" s="350"/>
      <c r="O67" s="350"/>
      <c r="P67" s="350"/>
      <c r="Q67" s="350"/>
      <c r="R67" s="350"/>
      <c r="S67" s="350"/>
      <c r="T67" s="350"/>
      <c r="U67" s="350"/>
      <c r="V67" s="86">
        <v>8006.4999999999964</v>
      </c>
      <c r="W67">
        <f t="shared" si="25"/>
        <v>0</v>
      </c>
      <c r="X67">
        <f t="shared" ref="X67:BA67" si="45">IF(AND(X$47-$A67&gt;$V$31,SUM($W67:W67)&lt;&gt;$V67),$V67,0)</f>
        <v>0</v>
      </c>
      <c r="Y67">
        <f t="shared" si="45"/>
        <v>0</v>
      </c>
      <c r="Z67">
        <f t="shared" si="45"/>
        <v>0</v>
      </c>
      <c r="AA67">
        <f t="shared" si="45"/>
        <v>0</v>
      </c>
      <c r="AB67">
        <f t="shared" si="45"/>
        <v>0</v>
      </c>
      <c r="AC67">
        <f t="shared" si="45"/>
        <v>0</v>
      </c>
      <c r="AD67">
        <f t="shared" si="45"/>
        <v>0</v>
      </c>
      <c r="AE67">
        <f t="shared" si="45"/>
        <v>0</v>
      </c>
      <c r="AF67">
        <f t="shared" si="45"/>
        <v>0</v>
      </c>
      <c r="AG67">
        <f t="shared" si="45"/>
        <v>0</v>
      </c>
      <c r="AH67">
        <f t="shared" si="45"/>
        <v>0</v>
      </c>
      <c r="AI67">
        <f t="shared" si="45"/>
        <v>0</v>
      </c>
      <c r="AJ67">
        <f t="shared" si="45"/>
        <v>0</v>
      </c>
      <c r="AK67">
        <f t="shared" si="45"/>
        <v>0</v>
      </c>
      <c r="AL67">
        <f t="shared" si="45"/>
        <v>0</v>
      </c>
      <c r="AM67">
        <f t="shared" si="45"/>
        <v>0</v>
      </c>
      <c r="AN67">
        <f t="shared" si="45"/>
        <v>0</v>
      </c>
      <c r="AO67">
        <f t="shared" si="45"/>
        <v>0</v>
      </c>
      <c r="AP67">
        <f t="shared" si="45"/>
        <v>0</v>
      </c>
      <c r="AQ67">
        <f t="shared" si="45"/>
        <v>0</v>
      </c>
      <c r="AR67">
        <f t="shared" si="45"/>
        <v>0</v>
      </c>
      <c r="AS67">
        <f t="shared" si="45"/>
        <v>0</v>
      </c>
      <c r="AT67">
        <f t="shared" si="45"/>
        <v>0</v>
      </c>
      <c r="AU67">
        <f t="shared" si="45"/>
        <v>0</v>
      </c>
      <c r="AV67">
        <f t="shared" si="45"/>
        <v>0</v>
      </c>
      <c r="AW67">
        <f t="shared" si="45"/>
        <v>0</v>
      </c>
      <c r="AX67">
        <f t="shared" si="45"/>
        <v>8006.4999999999964</v>
      </c>
      <c r="AY67">
        <f t="shared" si="45"/>
        <v>0</v>
      </c>
      <c r="AZ67">
        <f t="shared" si="45"/>
        <v>0</v>
      </c>
      <c r="BA67">
        <f t="shared" si="45"/>
        <v>0</v>
      </c>
    </row>
    <row r="68" spans="1:53" ht="15.75" customHeight="1">
      <c r="A68" s="350">
        <v>2017</v>
      </c>
      <c r="B68" s="350"/>
      <c r="C68" s="350"/>
      <c r="D68" s="350"/>
      <c r="E68" s="350"/>
      <c r="F68" s="350"/>
      <c r="G68" s="350"/>
      <c r="H68" s="350"/>
      <c r="I68" s="350"/>
      <c r="J68" s="350"/>
      <c r="K68" s="350"/>
      <c r="L68" s="350"/>
      <c r="M68" s="350"/>
      <c r="N68" s="350"/>
      <c r="O68" s="350"/>
      <c r="P68" s="350"/>
      <c r="Q68" s="350"/>
      <c r="R68" s="350"/>
      <c r="S68" s="350"/>
      <c r="T68" s="350"/>
      <c r="U68" s="350"/>
      <c r="V68" s="86">
        <v>4703.100000000004</v>
      </c>
      <c r="W68">
        <f t="shared" si="25"/>
        <v>0</v>
      </c>
      <c r="X68">
        <f t="shared" ref="X68:BA68" si="46">IF(AND(X$47-$A68&gt;$V$31,SUM($W68:W68)&lt;&gt;$V68),$V68,0)</f>
        <v>0</v>
      </c>
      <c r="Y68">
        <f t="shared" si="46"/>
        <v>0</v>
      </c>
      <c r="Z68">
        <f t="shared" si="46"/>
        <v>0</v>
      </c>
      <c r="AA68">
        <f t="shared" si="46"/>
        <v>0</v>
      </c>
      <c r="AB68">
        <f t="shared" si="46"/>
        <v>0</v>
      </c>
      <c r="AC68">
        <f t="shared" si="46"/>
        <v>0</v>
      </c>
      <c r="AD68">
        <f t="shared" si="46"/>
        <v>0</v>
      </c>
      <c r="AE68">
        <f t="shared" si="46"/>
        <v>0</v>
      </c>
      <c r="AF68">
        <f t="shared" si="46"/>
        <v>0</v>
      </c>
      <c r="AG68">
        <f t="shared" si="46"/>
        <v>0</v>
      </c>
      <c r="AH68">
        <f t="shared" si="46"/>
        <v>0</v>
      </c>
      <c r="AI68">
        <f t="shared" si="46"/>
        <v>0</v>
      </c>
      <c r="AJ68">
        <f t="shared" si="46"/>
        <v>0</v>
      </c>
      <c r="AK68">
        <f t="shared" si="46"/>
        <v>0</v>
      </c>
      <c r="AL68">
        <f t="shared" si="46"/>
        <v>0</v>
      </c>
      <c r="AM68">
        <f t="shared" si="46"/>
        <v>0</v>
      </c>
      <c r="AN68">
        <f t="shared" si="46"/>
        <v>0</v>
      </c>
      <c r="AO68">
        <f t="shared" si="46"/>
        <v>0</v>
      </c>
      <c r="AP68">
        <f t="shared" si="46"/>
        <v>0</v>
      </c>
      <c r="AQ68">
        <f t="shared" si="46"/>
        <v>0</v>
      </c>
      <c r="AR68">
        <f t="shared" si="46"/>
        <v>0</v>
      </c>
      <c r="AS68">
        <f t="shared" si="46"/>
        <v>0</v>
      </c>
      <c r="AT68">
        <f t="shared" si="46"/>
        <v>0</v>
      </c>
      <c r="AU68">
        <f t="shared" si="46"/>
        <v>0</v>
      </c>
      <c r="AV68">
        <f t="shared" si="46"/>
        <v>0</v>
      </c>
      <c r="AW68">
        <f t="shared" si="46"/>
        <v>0</v>
      </c>
      <c r="AX68">
        <f t="shared" si="46"/>
        <v>0</v>
      </c>
      <c r="AY68">
        <f t="shared" si="46"/>
        <v>4703.100000000004</v>
      </c>
      <c r="AZ68">
        <f t="shared" si="46"/>
        <v>0</v>
      </c>
      <c r="BA68">
        <f t="shared" si="46"/>
        <v>0</v>
      </c>
    </row>
    <row r="69" spans="1:53" ht="15.75" customHeight="1">
      <c r="A69" s="350">
        <v>2018</v>
      </c>
      <c r="B69" s="350"/>
      <c r="C69" s="350"/>
      <c r="D69" s="350"/>
      <c r="E69" s="350"/>
      <c r="F69" s="350"/>
      <c r="G69" s="350"/>
      <c r="H69" s="350"/>
      <c r="I69" s="350"/>
      <c r="J69" s="350"/>
      <c r="K69" s="350"/>
      <c r="L69" s="350"/>
      <c r="M69" s="350"/>
      <c r="N69" s="350"/>
      <c r="O69" s="350"/>
      <c r="P69" s="350"/>
      <c r="Q69" s="350"/>
      <c r="R69" s="350"/>
      <c r="S69" s="350"/>
      <c r="T69" s="350"/>
      <c r="U69" s="350"/>
      <c r="V69" s="86">
        <v>818.6</v>
      </c>
      <c r="W69">
        <f t="shared" si="25"/>
        <v>0</v>
      </c>
      <c r="X69">
        <f t="shared" ref="X69:BA69" si="47">IF(AND(X$47-$A69&gt;$V$31,SUM($W69:W69)&lt;&gt;$V69),$V69,0)</f>
        <v>0</v>
      </c>
      <c r="Y69">
        <f t="shared" si="47"/>
        <v>0</v>
      </c>
      <c r="Z69">
        <f t="shared" si="47"/>
        <v>0</v>
      </c>
      <c r="AA69">
        <f t="shared" si="47"/>
        <v>0</v>
      </c>
      <c r="AB69">
        <f t="shared" si="47"/>
        <v>0</v>
      </c>
      <c r="AC69">
        <f t="shared" si="47"/>
        <v>0</v>
      </c>
      <c r="AD69">
        <f t="shared" si="47"/>
        <v>0</v>
      </c>
      <c r="AE69">
        <f t="shared" si="47"/>
        <v>0</v>
      </c>
      <c r="AF69">
        <f t="shared" si="47"/>
        <v>0</v>
      </c>
      <c r="AG69">
        <f t="shared" si="47"/>
        <v>0</v>
      </c>
      <c r="AH69">
        <f t="shared" si="47"/>
        <v>0</v>
      </c>
      <c r="AI69">
        <f t="shared" si="47"/>
        <v>0</v>
      </c>
      <c r="AJ69">
        <f t="shared" si="47"/>
        <v>0</v>
      </c>
      <c r="AK69">
        <f t="shared" si="47"/>
        <v>0</v>
      </c>
      <c r="AL69">
        <f t="shared" si="47"/>
        <v>0</v>
      </c>
      <c r="AM69">
        <f t="shared" si="47"/>
        <v>0</v>
      </c>
      <c r="AN69">
        <f t="shared" si="47"/>
        <v>0</v>
      </c>
      <c r="AO69">
        <f t="shared" si="47"/>
        <v>0</v>
      </c>
      <c r="AP69">
        <f t="shared" si="47"/>
        <v>0</v>
      </c>
      <c r="AQ69">
        <f t="shared" si="47"/>
        <v>0</v>
      </c>
      <c r="AR69">
        <f t="shared" si="47"/>
        <v>0</v>
      </c>
      <c r="AS69">
        <f t="shared" si="47"/>
        <v>0</v>
      </c>
      <c r="AT69">
        <f t="shared" si="47"/>
        <v>0</v>
      </c>
      <c r="AU69">
        <f t="shared" si="47"/>
        <v>0</v>
      </c>
      <c r="AV69">
        <f t="shared" si="47"/>
        <v>0</v>
      </c>
      <c r="AW69">
        <f t="shared" si="47"/>
        <v>0</v>
      </c>
      <c r="AX69">
        <f t="shared" si="47"/>
        <v>0</v>
      </c>
      <c r="AY69">
        <f t="shared" si="47"/>
        <v>0</v>
      </c>
      <c r="AZ69">
        <f t="shared" si="47"/>
        <v>818.6</v>
      </c>
      <c r="BA69">
        <f t="shared" si="47"/>
        <v>0</v>
      </c>
    </row>
    <row r="70" spans="1:53" ht="15.75" customHeight="1">
      <c r="A70" s="350"/>
      <c r="B70" s="350"/>
      <c r="C70" s="350"/>
      <c r="D70" s="350"/>
      <c r="E70" s="350"/>
      <c r="F70" s="350"/>
      <c r="G70" s="350"/>
      <c r="H70" s="350"/>
      <c r="I70" s="350"/>
      <c r="J70" s="350"/>
      <c r="K70" s="350"/>
      <c r="L70" s="350"/>
      <c r="M70" s="350"/>
      <c r="N70" s="350"/>
      <c r="O70" s="350"/>
      <c r="P70" s="350"/>
      <c r="Q70" s="350"/>
      <c r="R70" s="350"/>
      <c r="S70" s="350"/>
      <c r="T70" s="350"/>
      <c r="U70" s="350"/>
    </row>
    <row r="71" spans="1:53" ht="15.75" customHeight="1">
      <c r="A71" s="350"/>
      <c r="B71" s="350"/>
      <c r="C71" s="350"/>
      <c r="D71" s="350"/>
      <c r="E71" s="350"/>
      <c r="F71" s="350"/>
      <c r="G71" s="350"/>
      <c r="H71" s="350"/>
      <c r="I71" s="350"/>
      <c r="J71" s="350"/>
      <c r="K71" s="350"/>
      <c r="L71" s="350"/>
      <c r="M71" s="350"/>
      <c r="N71" s="350"/>
      <c r="O71" s="350"/>
      <c r="P71" s="350"/>
      <c r="Q71" s="350"/>
      <c r="R71" s="350"/>
      <c r="S71" s="350"/>
      <c r="T71" s="350"/>
      <c r="U71" s="350"/>
    </row>
    <row r="72" spans="1:53" ht="15.75" customHeight="1">
      <c r="A72" s="350"/>
      <c r="B72" s="350"/>
      <c r="C72" s="350"/>
      <c r="D72" s="350"/>
      <c r="E72" s="350"/>
      <c r="F72" s="350"/>
      <c r="G72" s="350"/>
      <c r="H72" s="350"/>
      <c r="I72" s="350"/>
      <c r="J72" s="350"/>
      <c r="K72" s="350"/>
      <c r="L72" s="350"/>
      <c r="M72" s="350"/>
      <c r="N72" s="350"/>
      <c r="O72" s="350"/>
      <c r="P72" s="350"/>
      <c r="Q72" s="350"/>
      <c r="R72" s="350"/>
      <c r="S72" s="350"/>
      <c r="T72" s="350"/>
      <c r="U72" s="350"/>
    </row>
    <row r="73" spans="1:53" ht="15.75" customHeight="1">
      <c r="A73" s="350"/>
      <c r="B73" s="350"/>
      <c r="C73" s="350"/>
      <c r="D73" s="350"/>
      <c r="E73" s="350"/>
      <c r="F73" s="350"/>
      <c r="G73" s="350"/>
      <c r="H73" s="350"/>
      <c r="I73" s="350"/>
      <c r="J73" s="350"/>
      <c r="K73" s="350"/>
      <c r="L73" s="350"/>
      <c r="M73" s="350"/>
      <c r="N73" s="350"/>
      <c r="O73" s="350"/>
      <c r="P73" s="350"/>
      <c r="Q73" s="350"/>
      <c r="R73" s="350"/>
      <c r="S73" s="350"/>
      <c r="T73" s="350"/>
      <c r="U73" s="350"/>
    </row>
    <row r="74" spans="1:53" ht="15.75" customHeight="1">
      <c r="A74" s="350"/>
      <c r="B74" s="350"/>
      <c r="C74" s="350"/>
      <c r="D74" s="350"/>
      <c r="E74" s="350"/>
      <c r="F74" s="350"/>
      <c r="G74" s="350"/>
      <c r="H74" s="350"/>
      <c r="I74" s="350"/>
      <c r="J74" s="350"/>
      <c r="K74" s="350"/>
      <c r="L74" s="350"/>
      <c r="M74" s="350"/>
      <c r="N74" s="350"/>
      <c r="O74" s="350"/>
      <c r="P74" s="350"/>
      <c r="Q74" s="350"/>
      <c r="R74" s="350"/>
      <c r="S74" s="350"/>
      <c r="T74" s="350"/>
      <c r="U74" s="350"/>
    </row>
    <row r="75" spans="1:53" ht="15.75" customHeight="1">
      <c r="A75" s="350"/>
      <c r="B75" s="350"/>
      <c r="C75" s="350"/>
      <c r="D75" s="350"/>
      <c r="E75" s="350"/>
      <c r="F75" s="350"/>
      <c r="G75" s="350"/>
      <c r="H75" s="350"/>
      <c r="I75" s="350"/>
      <c r="J75" s="350"/>
      <c r="K75" s="350"/>
      <c r="L75" s="350"/>
      <c r="M75" s="350"/>
      <c r="N75" s="350"/>
      <c r="O75" s="350"/>
      <c r="P75" s="350"/>
      <c r="Q75" s="350"/>
      <c r="R75" s="350"/>
      <c r="S75" s="350"/>
      <c r="T75" s="350"/>
      <c r="U75" s="350"/>
    </row>
    <row r="76" spans="1:53" ht="15.75" customHeight="1">
      <c r="A76" s="350"/>
      <c r="B76" s="350"/>
      <c r="C76" s="350"/>
      <c r="D76" s="350"/>
      <c r="E76" s="350"/>
      <c r="F76" s="350"/>
      <c r="G76" s="350"/>
      <c r="H76" s="350"/>
      <c r="I76" s="350"/>
      <c r="J76" s="350"/>
      <c r="K76" s="350"/>
      <c r="L76" s="350"/>
      <c r="M76" s="350"/>
      <c r="N76" s="350"/>
      <c r="O76" s="350"/>
      <c r="P76" s="350"/>
      <c r="Q76" s="350"/>
      <c r="R76" s="350"/>
      <c r="S76" s="350"/>
      <c r="T76" s="350"/>
      <c r="U76" s="350"/>
    </row>
    <row r="77" spans="1:53" ht="15.75" customHeight="1">
      <c r="A77" s="350"/>
      <c r="B77" s="350"/>
      <c r="C77" s="350"/>
      <c r="D77" s="350"/>
      <c r="E77" s="350"/>
      <c r="F77" s="350"/>
      <c r="G77" s="350"/>
      <c r="H77" s="350"/>
      <c r="I77" s="350"/>
      <c r="J77" s="350"/>
      <c r="K77" s="350"/>
      <c r="L77" s="350"/>
      <c r="M77" s="350"/>
      <c r="N77" s="350"/>
      <c r="O77" s="350"/>
      <c r="P77" s="350"/>
      <c r="Q77" s="350"/>
      <c r="R77" s="350"/>
      <c r="S77" s="350"/>
      <c r="T77" s="350"/>
      <c r="U77" s="350"/>
    </row>
    <row r="78" spans="1:53" ht="15.75" customHeight="1">
      <c r="A78" s="350"/>
      <c r="B78" s="350"/>
      <c r="C78" s="350"/>
      <c r="D78" s="350"/>
      <c r="E78" s="350"/>
      <c r="F78" s="350"/>
      <c r="G78" s="350"/>
      <c r="H78" s="350"/>
      <c r="I78" s="350"/>
      <c r="J78" s="350"/>
      <c r="K78" s="350"/>
      <c r="L78" s="350"/>
      <c r="M78" s="350"/>
      <c r="N78" s="350"/>
      <c r="O78" s="350"/>
      <c r="P78" s="350"/>
      <c r="Q78" s="350"/>
      <c r="R78" s="350"/>
      <c r="S78" s="350"/>
      <c r="T78" s="350"/>
      <c r="U78" s="350"/>
    </row>
    <row r="79" spans="1:53" ht="15.75" customHeight="1">
      <c r="A79" s="350"/>
      <c r="B79" s="350"/>
      <c r="C79" s="350"/>
      <c r="D79" s="350"/>
      <c r="E79" s="350"/>
      <c r="F79" s="350"/>
      <c r="G79" s="350"/>
      <c r="H79" s="350"/>
      <c r="I79" s="350"/>
      <c r="J79" s="350"/>
      <c r="K79" s="350"/>
      <c r="L79" s="350"/>
      <c r="M79" s="350"/>
      <c r="N79" s="350"/>
      <c r="O79" s="350"/>
      <c r="P79" s="350"/>
      <c r="Q79" s="350"/>
      <c r="R79" s="350"/>
      <c r="S79" s="350"/>
      <c r="T79" s="350"/>
      <c r="U79" s="350"/>
    </row>
    <row r="80" spans="1:53" ht="15.75" customHeight="1">
      <c r="A80" s="350"/>
      <c r="B80" s="350"/>
      <c r="C80" s="350"/>
      <c r="D80" s="350"/>
      <c r="E80" s="350"/>
      <c r="F80" s="350"/>
      <c r="G80" s="350"/>
      <c r="H80" s="350"/>
      <c r="I80" s="350"/>
      <c r="J80" s="350"/>
      <c r="K80" s="350"/>
      <c r="L80" s="350"/>
      <c r="M80" s="350"/>
      <c r="N80" s="350"/>
      <c r="O80" s="350"/>
      <c r="P80" s="350"/>
      <c r="Q80" s="350"/>
      <c r="R80" s="350"/>
      <c r="S80" s="350"/>
      <c r="T80" s="350"/>
      <c r="U80" s="350"/>
    </row>
    <row r="81" spans="1:21" ht="15.75" customHeight="1">
      <c r="A81" s="350"/>
      <c r="B81" s="350"/>
      <c r="C81" s="350"/>
      <c r="D81" s="350"/>
      <c r="E81" s="350"/>
      <c r="F81" s="350"/>
      <c r="G81" s="350"/>
      <c r="H81" s="350"/>
      <c r="I81" s="350"/>
      <c r="J81" s="350"/>
      <c r="K81" s="350"/>
      <c r="L81" s="350"/>
      <c r="M81" s="350"/>
      <c r="N81" s="350"/>
      <c r="O81" s="350"/>
      <c r="P81" s="350"/>
      <c r="Q81" s="350"/>
      <c r="R81" s="350"/>
      <c r="S81" s="350"/>
      <c r="T81" s="350"/>
      <c r="U81" s="350"/>
    </row>
    <row r="82" spans="1:21" ht="15.75" customHeight="1">
      <c r="A82" s="350"/>
      <c r="B82" s="350"/>
      <c r="C82" s="350"/>
      <c r="D82" s="350"/>
      <c r="E82" s="350"/>
      <c r="F82" s="350"/>
      <c r="G82" s="350"/>
      <c r="H82" s="350"/>
      <c r="I82" s="350"/>
      <c r="J82" s="350"/>
      <c r="K82" s="350"/>
      <c r="L82" s="350"/>
      <c r="M82" s="350"/>
      <c r="N82" s="350"/>
      <c r="O82" s="350"/>
      <c r="P82" s="350"/>
      <c r="Q82" s="350"/>
      <c r="R82" s="350"/>
      <c r="S82" s="350"/>
      <c r="T82" s="350"/>
      <c r="U82" s="350"/>
    </row>
    <row r="83" spans="1:21" ht="15.75" customHeight="1">
      <c r="A83" s="350"/>
      <c r="B83" s="350"/>
      <c r="C83" s="350"/>
      <c r="D83" s="350"/>
      <c r="E83" s="350"/>
      <c r="F83" s="350"/>
      <c r="G83" s="350"/>
      <c r="H83" s="350"/>
      <c r="I83" s="350"/>
      <c r="J83" s="350"/>
      <c r="K83" s="350"/>
      <c r="L83" s="350"/>
      <c r="M83" s="350"/>
      <c r="N83" s="350"/>
      <c r="O83" s="350"/>
      <c r="P83" s="350"/>
      <c r="Q83" s="350"/>
      <c r="R83" s="350"/>
      <c r="S83" s="350"/>
      <c r="T83" s="350"/>
      <c r="U83" s="350"/>
    </row>
    <row r="84" spans="1:21" ht="15.75" customHeight="1">
      <c r="A84" s="350"/>
      <c r="B84" s="350"/>
      <c r="C84" s="350"/>
      <c r="D84" s="350"/>
      <c r="E84" s="350"/>
      <c r="F84" s="350"/>
      <c r="G84" s="350"/>
      <c r="H84" s="350"/>
      <c r="I84" s="350"/>
      <c r="J84" s="350"/>
      <c r="K84" s="350"/>
      <c r="L84" s="350"/>
      <c r="M84" s="350"/>
      <c r="N84" s="350"/>
      <c r="O84" s="350"/>
      <c r="P84" s="350"/>
      <c r="Q84" s="350"/>
      <c r="R84" s="350"/>
      <c r="S84" s="350"/>
      <c r="T84" s="350"/>
      <c r="U84" s="350"/>
    </row>
    <row r="85" spans="1:21" ht="15.75" customHeight="1">
      <c r="A85" s="350"/>
      <c r="B85" s="350"/>
      <c r="C85" s="350"/>
      <c r="D85" s="350"/>
      <c r="E85" s="350"/>
      <c r="F85" s="350"/>
      <c r="G85" s="350"/>
      <c r="H85" s="350"/>
      <c r="I85" s="350"/>
      <c r="J85" s="350"/>
      <c r="K85" s="350"/>
      <c r="L85" s="350"/>
      <c r="M85" s="350"/>
      <c r="N85" s="350"/>
      <c r="O85" s="350"/>
      <c r="P85" s="350"/>
      <c r="Q85" s="350"/>
      <c r="R85" s="350"/>
      <c r="S85" s="350"/>
      <c r="T85" s="350"/>
      <c r="U85" s="350"/>
    </row>
    <row r="86" spans="1:21" ht="15.75" customHeight="1">
      <c r="A86" s="350"/>
      <c r="B86" s="350"/>
      <c r="C86" s="350"/>
      <c r="D86" s="350"/>
      <c r="E86" s="350"/>
      <c r="F86" s="350"/>
      <c r="G86" s="350"/>
      <c r="H86" s="350"/>
      <c r="I86" s="350"/>
      <c r="J86" s="350"/>
      <c r="K86" s="350"/>
      <c r="L86" s="350"/>
      <c r="M86" s="350"/>
      <c r="N86" s="350"/>
      <c r="O86" s="350"/>
      <c r="P86" s="350"/>
      <c r="Q86" s="350"/>
      <c r="R86" s="350"/>
      <c r="S86" s="350"/>
      <c r="T86" s="350"/>
      <c r="U86" s="350"/>
    </row>
    <row r="87" spans="1:21" ht="15.75" customHeight="1">
      <c r="A87" s="350"/>
      <c r="B87" s="350"/>
      <c r="C87" s="350"/>
      <c r="D87" s="350"/>
      <c r="E87" s="350"/>
      <c r="F87" s="350"/>
      <c r="G87" s="350"/>
      <c r="H87" s="350"/>
      <c r="I87" s="350"/>
      <c r="J87" s="350"/>
      <c r="K87" s="350"/>
      <c r="L87" s="350"/>
      <c r="M87" s="350"/>
      <c r="N87" s="350"/>
      <c r="O87" s="350"/>
      <c r="P87" s="350"/>
      <c r="Q87" s="350"/>
      <c r="R87" s="350"/>
      <c r="S87" s="350"/>
      <c r="T87" s="350"/>
      <c r="U87" s="350"/>
    </row>
    <row r="88" spans="1:21" ht="15.75" customHeight="1">
      <c r="A88" s="350"/>
      <c r="B88" s="350"/>
      <c r="C88" s="350"/>
      <c r="D88" s="350"/>
      <c r="E88" s="350"/>
      <c r="F88" s="350"/>
      <c r="G88" s="350"/>
      <c r="H88" s="350"/>
      <c r="I88" s="350"/>
      <c r="J88" s="350"/>
      <c r="K88" s="350"/>
      <c r="L88" s="350"/>
      <c r="M88" s="350"/>
      <c r="N88" s="350"/>
      <c r="O88" s="350"/>
      <c r="P88" s="350"/>
      <c r="Q88" s="350"/>
      <c r="R88" s="350"/>
      <c r="S88" s="350"/>
      <c r="T88" s="350"/>
      <c r="U88" s="350"/>
    </row>
    <row r="89" spans="1:21" ht="15.75" customHeight="1">
      <c r="A89" s="350"/>
      <c r="B89" s="350"/>
      <c r="C89" s="350"/>
      <c r="D89" s="350"/>
      <c r="E89" s="350"/>
      <c r="F89" s="350"/>
      <c r="G89" s="350"/>
      <c r="H89" s="350"/>
      <c r="I89" s="350"/>
      <c r="J89" s="350"/>
      <c r="K89" s="350"/>
      <c r="L89" s="350"/>
      <c r="M89" s="350"/>
      <c r="N89" s="350"/>
      <c r="O89" s="350"/>
      <c r="P89" s="350"/>
      <c r="Q89" s="350"/>
      <c r="R89" s="350"/>
      <c r="S89" s="350"/>
      <c r="T89" s="350"/>
      <c r="U89" s="350"/>
    </row>
    <row r="90" spans="1:21" ht="15.75" customHeight="1">
      <c r="A90" s="350"/>
      <c r="B90" s="350"/>
      <c r="C90" s="350"/>
      <c r="D90" s="350"/>
      <c r="E90" s="350"/>
      <c r="F90" s="350"/>
      <c r="G90" s="350"/>
      <c r="H90" s="350"/>
      <c r="I90" s="350"/>
      <c r="J90" s="350"/>
      <c r="K90" s="350"/>
      <c r="L90" s="350"/>
      <c r="M90" s="350"/>
      <c r="N90" s="350"/>
      <c r="O90" s="350"/>
      <c r="P90" s="350"/>
      <c r="Q90" s="350"/>
      <c r="R90" s="350"/>
      <c r="S90" s="350"/>
      <c r="T90" s="350"/>
      <c r="U90" s="350"/>
    </row>
    <row r="91" spans="1:21" ht="15.75" customHeight="1">
      <c r="A91" s="350"/>
      <c r="B91" s="350"/>
      <c r="C91" s="350"/>
      <c r="D91" s="350"/>
      <c r="E91" s="350"/>
      <c r="F91" s="350"/>
      <c r="G91" s="350"/>
      <c r="H91" s="350"/>
      <c r="I91" s="350"/>
      <c r="J91" s="350"/>
      <c r="K91" s="350"/>
      <c r="L91" s="350"/>
      <c r="M91" s="350"/>
      <c r="N91" s="350"/>
      <c r="O91" s="350"/>
      <c r="P91" s="350"/>
      <c r="Q91" s="350"/>
      <c r="R91" s="350"/>
      <c r="S91" s="350"/>
      <c r="T91" s="350"/>
      <c r="U91" s="350"/>
    </row>
    <row r="92" spans="1:21" ht="15.75" customHeight="1">
      <c r="A92" s="350"/>
      <c r="B92" s="350"/>
      <c r="C92" s="350"/>
      <c r="D92" s="350"/>
      <c r="E92" s="350"/>
      <c r="F92" s="350"/>
      <c r="G92" s="350"/>
      <c r="H92" s="350"/>
      <c r="I92" s="350"/>
      <c r="J92" s="350"/>
      <c r="K92" s="350"/>
      <c r="L92" s="350"/>
      <c r="M92" s="350"/>
      <c r="N92" s="350"/>
      <c r="O92" s="350"/>
      <c r="P92" s="350"/>
      <c r="Q92" s="350"/>
      <c r="R92" s="350"/>
      <c r="S92" s="350"/>
      <c r="T92" s="350"/>
      <c r="U92" s="350"/>
    </row>
    <row r="93" spans="1:21" ht="15.75" customHeight="1">
      <c r="A93" s="350"/>
      <c r="B93" s="350"/>
      <c r="C93" s="350"/>
      <c r="D93" s="350"/>
      <c r="E93" s="350"/>
      <c r="F93" s="350"/>
      <c r="G93" s="350"/>
      <c r="H93" s="350"/>
      <c r="I93" s="350"/>
      <c r="J93" s="350"/>
      <c r="K93" s="350"/>
      <c r="L93" s="350"/>
      <c r="M93" s="350"/>
      <c r="N93" s="350"/>
      <c r="O93" s="350"/>
      <c r="P93" s="350"/>
      <c r="Q93" s="350"/>
      <c r="R93" s="350"/>
      <c r="S93" s="350"/>
      <c r="T93" s="350"/>
      <c r="U93" s="350"/>
    </row>
    <row r="94" spans="1:21" ht="15.75" customHeight="1">
      <c r="A94" s="350"/>
      <c r="B94" s="350"/>
      <c r="C94" s="350"/>
      <c r="D94" s="350"/>
      <c r="E94" s="350"/>
      <c r="F94" s="350"/>
      <c r="G94" s="350"/>
      <c r="H94" s="350"/>
      <c r="I94" s="350"/>
      <c r="J94" s="350"/>
      <c r="K94" s="350"/>
      <c r="L94" s="350"/>
      <c r="M94" s="350"/>
      <c r="N94" s="350"/>
      <c r="O94" s="350"/>
      <c r="P94" s="350"/>
      <c r="Q94" s="350"/>
      <c r="R94" s="350"/>
      <c r="S94" s="350"/>
      <c r="T94" s="350"/>
      <c r="U94" s="350"/>
    </row>
    <row r="95" spans="1:21" ht="15.75" customHeight="1">
      <c r="A95" s="350"/>
      <c r="B95" s="350"/>
      <c r="C95" s="350"/>
      <c r="D95" s="350"/>
      <c r="E95" s="350"/>
      <c r="F95" s="350"/>
      <c r="G95" s="350"/>
      <c r="H95" s="350"/>
      <c r="I95" s="350"/>
      <c r="J95" s="350"/>
      <c r="K95" s="350"/>
      <c r="L95" s="350"/>
      <c r="M95" s="350"/>
      <c r="N95" s="350"/>
      <c r="O95" s="350"/>
      <c r="P95" s="350"/>
      <c r="Q95" s="350"/>
      <c r="R95" s="350"/>
      <c r="S95" s="350"/>
      <c r="T95" s="350"/>
      <c r="U95" s="350"/>
    </row>
    <row r="96" spans="1:21" ht="15.75" customHeight="1">
      <c r="A96" s="350"/>
      <c r="B96" s="350"/>
      <c r="C96" s="350"/>
      <c r="D96" s="350"/>
      <c r="E96" s="350"/>
      <c r="F96" s="350"/>
      <c r="G96" s="350"/>
      <c r="H96" s="350"/>
      <c r="I96" s="350"/>
      <c r="J96" s="350"/>
      <c r="K96" s="350"/>
      <c r="L96" s="350"/>
      <c r="M96" s="350"/>
      <c r="N96" s="350"/>
      <c r="O96" s="350"/>
      <c r="P96" s="350"/>
      <c r="Q96" s="350"/>
      <c r="R96" s="350"/>
      <c r="S96" s="350"/>
      <c r="T96" s="350"/>
      <c r="U96" s="350"/>
    </row>
    <row r="97" spans="1:21" ht="15.75" customHeight="1">
      <c r="A97" s="350"/>
      <c r="B97" s="350"/>
      <c r="C97" s="350"/>
      <c r="D97" s="350"/>
      <c r="E97" s="350"/>
      <c r="F97" s="350"/>
      <c r="G97" s="350"/>
      <c r="H97" s="350"/>
      <c r="I97" s="350"/>
      <c r="J97" s="350"/>
      <c r="K97" s="350"/>
      <c r="L97" s="350"/>
      <c r="M97" s="350"/>
      <c r="N97" s="350"/>
      <c r="O97" s="350"/>
      <c r="P97" s="350"/>
      <c r="Q97" s="350"/>
      <c r="R97" s="350"/>
      <c r="S97" s="350"/>
      <c r="T97" s="350"/>
      <c r="U97" s="350"/>
    </row>
    <row r="98" spans="1:21" ht="15.75" customHeight="1">
      <c r="A98" s="350"/>
      <c r="B98" s="350"/>
      <c r="C98" s="350"/>
      <c r="D98" s="350"/>
      <c r="E98" s="350"/>
      <c r="F98" s="350"/>
      <c r="G98" s="350"/>
      <c r="H98" s="350"/>
      <c r="I98" s="350"/>
      <c r="J98" s="350"/>
      <c r="K98" s="350"/>
      <c r="L98" s="350"/>
      <c r="M98" s="350"/>
      <c r="N98" s="350"/>
      <c r="O98" s="350"/>
      <c r="P98" s="350"/>
      <c r="Q98" s="350"/>
      <c r="R98" s="350"/>
      <c r="S98" s="350"/>
      <c r="T98" s="350"/>
      <c r="U98" s="350"/>
    </row>
    <row r="99" spans="1:21" ht="15.75" customHeight="1">
      <c r="A99" s="350"/>
      <c r="B99" s="350"/>
      <c r="C99" s="350"/>
      <c r="D99" s="350"/>
      <c r="E99" s="350"/>
      <c r="F99" s="350"/>
      <c r="G99" s="350"/>
      <c r="H99" s="350"/>
      <c r="I99" s="350"/>
      <c r="J99" s="350"/>
      <c r="K99" s="350"/>
      <c r="L99" s="350"/>
      <c r="M99" s="350"/>
      <c r="N99" s="350"/>
      <c r="O99" s="350"/>
      <c r="P99" s="350"/>
      <c r="Q99" s="350"/>
      <c r="R99" s="350"/>
      <c r="S99" s="350"/>
      <c r="T99" s="350"/>
      <c r="U99" s="350"/>
    </row>
    <row r="100" spans="1:21" ht="15.75" customHeight="1">
      <c r="A100" s="350"/>
      <c r="B100" s="350"/>
      <c r="C100" s="350"/>
      <c r="D100" s="350"/>
      <c r="E100" s="350"/>
      <c r="F100" s="350"/>
      <c r="G100" s="350"/>
      <c r="H100" s="350"/>
      <c r="I100" s="350"/>
      <c r="J100" s="350"/>
      <c r="K100" s="350"/>
      <c r="L100" s="350"/>
      <c r="M100" s="350"/>
      <c r="N100" s="350"/>
      <c r="O100" s="350"/>
      <c r="P100" s="350"/>
      <c r="Q100" s="350"/>
      <c r="R100" s="350"/>
      <c r="S100" s="350"/>
      <c r="T100" s="350"/>
      <c r="U100" s="350"/>
    </row>
    <row r="101" spans="1:21" ht="15.75" customHeight="1">
      <c r="A101" s="350"/>
      <c r="B101" s="350"/>
      <c r="C101" s="350"/>
      <c r="D101" s="350"/>
      <c r="E101" s="350"/>
      <c r="F101" s="350"/>
      <c r="G101" s="350"/>
      <c r="H101" s="350"/>
      <c r="I101" s="350"/>
      <c r="J101" s="350"/>
      <c r="K101" s="350"/>
      <c r="L101" s="350"/>
      <c r="M101" s="350"/>
      <c r="N101" s="350"/>
      <c r="O101" s="350"/>
      <c r="P101" s="350"/>
      <c r="Q101" s="350"/>
      <c r="R101" s="350"/>
      <c r="S101" s="350"/>
      <c r="T101" s="350"/>
      <c r="U101" s="350"/>
    </row>
    <row r="102" spans="1:21" ht="15.75" customHeight="1">
      <c r="A102" s="350"/>
      <c r="B102" s="350"/>
      <c r="C102" s="350"/>
      <c r="D102" s="350"/>
      <c r="E102" s="350"/>
      <c r="F102" s="350"/>
      <c r="G102" s="350"/>
      <c r="H102" s="350"/>
      <c r="I102" s="350"/>
      <c r="J102" s="350"/>
      <c r="K102" s="350"/>
      <c r="L102" s="350"/>
      <c r="M102" s="350"/>
      <c r="N102" s="350"/>
      <c r="O102" s="350"/>
      <c r="P102" s="350"/>
      <c r="Q102" s="350"/>
      <c r="R102" s="350"/>
      <c r="S102" s="350"/>
      <c r="T102" s="350"/>
      <c r="U102" s="350"/>
    </row>
    <row r="103" spans="1:21" ht="15.75" customHeight="1">
      <c r="A103" s="350"/>
      <c r="B103" s="350"/>
      <c r="C103" s="350"/>
      <c r="D103" s="350"/>
      <c r="E103" s="350"/>
      <c r="F103" s="350"/>
      <c r="G103" s="350"/>
      <c r="H103" s="350"/>
      <c r="I103" s="350"/>
      <c r="J103" s="350"/>
      <c r="K103" s="350"/>
      <c r="L103" s="350"/>
      <c r="M103" s="350"/>
      <c r="N103" s="350"/>
      <c r="O103" s="350"/>
      <c r="P103" s="350"/>
      <c r="Q103" s="350"/>
      <c r="R103" s="350"/>
      <c r="S103" s="350"/>
      <c r="T103" s="350"/>
      <c r="U103" s="350"/>
    </row>
    <row r="104" spans="1:21" ht="15.75" customHeight="1">
      <c r="A104" s="350"/>
      <c r="B104" s="350"/>
      <c r="C104" s="350"/>
      <c r="D104" s="350"/>
      <c r="E104" s="350"/>
      <c r="F104" s="350"/>
      <c r="G104" s="350"/>
      <c r="H104" s="350"/>
      <c r="I104" s="350"/>
      <c r="J104" s="350"/>
      <c r="K104" s="350"/>
      <c r="L104" s="350"/>
      <c r="M104" s="350"/>
      <c r="N104" s="350"/>
      <c r="O104" s="350"/>
      <c r="P104" s="350"/>
      <c r="Q104" s="350"/>
      <c r="R104" s="350"/>
      <c r="S104" s="350"/>
      <c r="T104" s="350"/>
      <c r="U104" s="350"/>
    </row>
    <row r="105" spans="1:21" ht="15.75" customHeight="1">
      <c r="A105" s="350"/>
      <c r="B105" s="350"/>
      <c r="C105" s="350"/>
      <c r="D105" s="350"/>
      <c r="E105" s="350"/>
      <c r="F105" s="350"/>
      <c r="G105" s="350"/>
      <c r="H105" s="350"/>
      <c r="I105" s="350"/>
      <c r="J105" s="350"/>
      <c r="K105" s="350"/>
      <c r="L105" s="350"/>
      <c r="M105" s="350"/>
      <c r="N105" s="350"/>
      <c r="O105" s="350"/>
      <c r="P105" s="350"/>
      <c r="Q105" s="350"/>
      <c r="R105" s="350"/>
      <c r="S105" s="350"/>
      <c r="T105" s="350"/>
      <c r="U105" s="350"/>
    </row>
    <row r="106" spans="1:21" ht="15.75" customHeight="1">
      <c r="A106" s="350"/>
      <c r="B106" s="350"/>
      <c r="C106" s="350"/>
      <c r="D106" s="350"/>
      <c r="E106" s="350"/>
      <c r="F106" s="350"/>
      <c r="G106" s="350"/>
      <c r="H106" s="350"/>
      <c r="I106" s="350"/>
      <c r="J106" s="350"/>
      <c r="K106" s="350"/>
      <c r="L106" s="350"/>
      <c r="M106" s="350"/>
      <c r="N106" s="350"/>
      <c r="O106" s="350"/>
      <c r="P106" s="350"/>
      <c r="Q106" s="350"/>
      <c r="R106" s="350"/>
      <c r="S106" s="350"/>
      <c r="T106" s="350"/>
      <c r="U106" s="350"/>
    </row>
    <row r="107" spans="1:21" ht="15.75" customHeight="1">
      <c r="A107" s="350"/>
      <c r="B107" s="350"/>
      <c r="C107" s="350"/>
      <c r="D107" s="350"/>
      <c r="E107" s="350"/>
      <c r="F107" s="350"/>
      <c r="G107" s="350"/>
      <c r="H107" s="350"/>
      <c r="I107" s="350"/>
      <c r="J107" s="350"/>
      <c r="K107" s="350"/>
      <c r="L107" s="350"/>
      <c r="M107" s="350"/>
      <c r="N107" s="350"/>
      <c r="O107" s="350"/>
      <c r="P107" s="350"/>
      <c r="Q107" s="350"/>
      <c r="R107" s="350"/>
      <c r="S107" s="350"/>
      <c r="T107" s="350"/>
      <c r="U107" s="350"/>
    </row>
    <row r="108" spans="1:21" ht="15.75" customHeight="1">
      <c r="A108" s="350"/>
      <c r="B108" s="350"/>
      <c r="C108" s="350"/>
      <c r="D108" s="350"/>
      <c r="E108" s="350"/>
      <c r="F108" s="350"/>
      <c r="G108" s="350"/>
      <c r="H108" s="350"/>
      <c r="I108" s="350"/>
      <c r="J108" s="350"/>
      <c r="K108" s="350"/>
      <c r="L108" s="350"/>
      <c r="M108" s="350"/>
      <c r="N108" s="350"/>
      <c r="O108" s="350"/>
      <c r="P108" s="350"/>
      <c r="Q108" s="350"/>
      <c r="R108" s="350"/>
      <c r="S108" s="350"/>
      <c r="T108" s="350"/>
      <c r="U108" s="350"/>
    </row>
    <row r="109" spans="1:21" ht="15.75" customHeight="1">
      <c r="A109" s="350"/>
      <c r="B109" s="350"/>
      <c r="C109" s="350"/>
      <c r="D109" s="350"/>
      <c r="E109" s="350"/>
      <c r="F109" s="350"/>
      <c r="G109" s="350"/>
      <c r="H109" s="350"/>
      <c r="I109" s="350"/>
      <c r="J109" s="350"/>
      <c r="K109" s="350"/>
      <c r="L109" s="350"/>
      <c r="M109" s="350"/>
      <c r="N109" s="350"/>
      <c r="O109" s="350"/>
      <c r="P109" s="350"/>
      <c r="Q109" s="350"/>
      <c r="R109" s="350"/>
      <c r="S109" s="350"/>
      <c r="T109" s="350"/>
      <c r="U109" s="350"/>
    </row>
    <row r="110" spans="1:21" ht="15.75" customHeight="1">
      <c r="A110" s="350"/>
      <c r="B110" s="350"/>
      <c r="C110" s="350"/>
      <c r="D110" s="350"/>
      <c r="E110" s="350"/>
      <c r="F110" s="350"/>
      <c r="G110" s="350"/>
      <c r="H110" s="350"/>
      <c r="I110" s="350"/>
      <c r="J110" s="350"/>
      <c r="K110" s="350"/>
      <c r="L110" s="350"/>
      <c r="M110" s="350"/>
      <c r="N110" s="350"/>
      <c r="O110" s="350"/>
      <c r="P110" s="350"/>
      <c r="Q110" s="350"/>
      <c r="R110" s="350"/>
      <c r="S110" s="350"/>
      <c r="T110" s="350"/>
      <c r="U110" s="350"/>
    </row>
    <row r="111" spans="1:21" ht="15.75" customHeight="1">
      <c r="A111" s="350"/>
      <c r="B111" s="350"/>
      <c r="C111" s="350"/>
      <c r="D111" s="350"/>
      <c r="E111" s="350"/>
      <c r="F111" s="350"/>
      <c r="G111" s="350"/>
      <c r="H111" s="350"/>
      <c r="I111" s="350"/>
      <c r="J111" s="350"/>
      <c r="K111" s="350"/>
      <c r="L111" s="350"/>
      <c r="M111" s="350"/>
      <c r="N111" s="350"/>
      <c r="O111" s="350"/>
      <c r="P111" s="350"/>
      <c r="Q111" s="350"/>
      <c r="R111" s="350"/>
      <c r="S111" s="350"/>
      <c r="T111" s="350"/>
      <c r="U111" s="350"/>
    </row>
    <row r="112" spans="1:21" ht="15.75" customHeight="1">
      <c r="A112" s="350"/>
      <c r="B112" s="350"/>
      <c r="C112" s="350"/>
      <c r="D112" s="350"/>
      <c r="E112" s="350"/>
      <c r="F112" s="350"/>
      <c r="G112" s="350"/>
      <c r="H112" s="350"/>
      <c r="I112" s="350"/>
      <c r="J112" s="350"/>
      <c r="K112" s="350"/>
      <c r="L112" s="350"/>
      <c r="M112" s="350"/>
      <c r="N112" s="350"/>
      <c r="O112" s="350"/>
      <c r="P112" s="350"/>
      <c r="Q112" s="350"/>
      <c r="R112" s="350"/>
      <c r="S112" s="350"/>
      <c r="T112" s="350"/>
      <c r="U112" s="350"/>
    </row>
    <row r="113" spans="1:53" ht="15.75" customHeight="1">
      <c r="A113" s="350"/>
      <c r="B113" s="350"/>
      <c r="C113" s="350"/>
      <c r="D113" s="350"/>
      <c r="E113" s="350"/>
      <c r="F113" s="350"/>
      <c r="G113" s="350"/>
      <c r="H113" s="350"/>
      <c r="I113" s="350"/>
      <c r="J113" s="350"/>
      <c r="K113" s="350"/>
      <c r="L113" s="350"/>
      <c r="M113" s="350"/>
      <c r="N113" s="350"/>
      <c r="O113" s="350"/>
      <c r="P113" s="350"/>
      <c r="Q113" s="350"/>
      <c r="R113" s="350"/>
      <c r="S113" s="350"/>
      <c r="T113" s="350"/>
      <c r="U113" s="350"/>
    </row>
    <row r="114" spans="1:53" ht="15.75" customHeight="1">
      <c r="A114" s="350"/>
      <c r="B114" s="350"/>
      <c r="C114" s="350"/>
      <c r="D114" s="350"/>
      <c r="E114" s="350"/>
      <c r="F114" s="350"/>
      <c r="G114" s="350"/>
      <c r="H114" s="350"/>
      <c r="I114" s="350"/>
      <c r="J114" s="350"/>
      <c r="K114" s="350"/>
      <c r="L114" s="350"/>
      <c r="M114" s="350"/>
      <c r="N114" s="350"/>
      <c r="O114" s="350"/>
      <c r="P114" s="350"/>
      <c r="Q114" s="350"/>
      <c r="R114" s="350"/>
      <c r="S114" s="350"/>
      <c r="T114" s="350"/>
      <c r="U114" s="350"/>
    </row>
    <row r="115" spans="1:53" ht="15.75" customHeight="1">
      <c r="A115" s="93"/>
      <c r="B115" s="93"/>
      <c r="C115" s="93"/>
      <c r="D115" s="93"/>
      <c r="E115" s="93"/>
      <c r="F115" s="93"/>
      <c r="G115" s="93"/>
      <c r="H115" s="93"/>
      <c r="I115" s="93"/>
      <c r="J115" s="93"/>
      <c r="K115" s="93"/>
      <c r="L115" s="93"/>
      <c r="M115" s="93"/>
      <c r="N115" s="93"/>
      <c r="O115" s="93"/>
      <c r="P115" s="93"/>
      <c r="Q115" s="93"/>
      <c r="R115" s="93"/>
      <c r="S115" s="93"/>
      <c r="T115" s="93"/>
      <c r="U115" s="93"/>
    </row>
    <row r="116" spans="1:53" ht="15.75" customHeight="1">
      <c r="A116" s="349"/>
      <c r="B116" s="349"/>
      <c r="C116" s="349"/>
      <c r="D116" s="349"/>
      <c r="E116" s="349"/>
      <c r="F116" s="349"/>
      <c r="G116" s="349"/>
      <c r="H116" s="349"/>
      <c r="I116" s="349"/>
      <c r="J116" s="349"/>
      <c r="K116" s="349"/>
      <c r="L116" s="349"/>
      <c r="M116" s="349"/>
      <c r="N116" s="349"/>
      <c r="O116" s="349"/>
      <c r="P116" s="349"/>
      <c r="Q116" s="349"/>
      <c r="R116" s="349"/>
      <c r="S116" s="349"/>
      <c r="T116" s="349"/>
      <c r="U116" s="349"/>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row>
    <row r="117" spans="1:53" ht="15.75" customHeight="1">
      <c r="A117" s="350"/>
      <c r="B117" s="350"/>
      <c r="C117" s="350"/>
      <c r="D117" s="350"/>
      <c r="E117" s="350"/>
      <c r="F117" s="350"/>
      <c r="G117" s="350"/>
      <c r="H117" s="350"/>
      <c r="I117" s="350"/>
      <c r="J117" s="350"/>
      <c r="K117" s="350"/>
      <c r="L117" s="350"/>
      <c r="M117" s="350"/>
      <c r="N117" s="350"/>
      <c r="O117" s="350"/>
      <c r="P117" s="350"/>
      <c r="Q117" s="350"/>
      <c r="R117" s="350"/>
      <c r="S117" s="350"/>
      <c r="T117" s="350"/>
      <c r="U117" s="350"/>
    </row>
    <row r="118" spans="1:53" ht="15.75" customHeight="1">
      <c r="A118" s="350"/>
      <c r="B118" s="350"/>
      <c r="C118" s="350"/>
      <c r="D118" s="350"/>
      <c r="E118" s="350"/>
      <c r="F118" s="350"/>
      <c r="G118" s="350"/>
      <c r="H118" s="350"/>
      <c r="I118" s="350"/>
      <c r="J118" s="350"/>
      <c r="K118" s="350"/>
      <c r="L118" s="350"/>
      <c r="M118" s="350"/>
      <c r="N118" s="350"/>
      <c r="O118" s="350"/>
      <c r="P118" s="350"/>
      <c r="Q118" s="350"/>
      <c r="R118" s="350"/>
      <c r="S118" s="350"/>
      <c r="T118" s="350"/>
      <c r="U118" s="350"/>
    </row>
    <row r="119" spans="1:53" ht="15.75" customHeight="1">
      <c r="A119" s="350"/>
      <c r="B119" s="350"/>
      <c r="C119" s="350"/>
      <c r="D119" s="350"/>
      <c r="E119" s="350"/>
      <c r="F119" s="350"/>
      <c r="G119" s="350"/>
      <c r="H119" s="350"/>
      <c r="I119" s="350"/>
      <c r="J119" s="350"/>
      <c r="K119" s="350"/>
      <c r="L119" s="350"/>
      <c r="M119" s="350"/>
      <c r="N119" s="350"/>
      <c r="O119" s="350"/>
      <c r="P119" s="350"/>
      <c r="Q119" s="350"/>
      <c r="R119" s="350"/>
      <c r="S119" s="350"/>
      <c r="T119" s="350"/>
      <c r="U119" s="350"/>
    </row>
    <row r="120" spans="1:53" ht="15.75" customHeight="1">
      <c r="A120" s="350"/>
      <c r="B120" s="350"/>
      <c r="C120" s="350"/>
      <c r="D120" s="350"/>
      <c r="E120" s="350"/>
      <c r="F120" s="350"/>
      <c r="G120" s="350"/>
      <c r="H120" s="350"/>
      <c r="I120" s="350"/>
      <c r="J120" s="350"/>
      <c r="K120" s="350"/>
      <c r="L120" s="350"/>
      <c r="M120" s="350"/>
      <c r="N120" s="350"/>
      <c r="O120" s="350"/>
      <c r="P120" s="350"/>
      <c r="Q120" s="350"/>
      <c r="R120" s="350"/>
      <c r="S120" s="350"/>
      <c r="T120" s="350"/>
      <c r="U120" s="350"/>
    </row>
    <row r="121" spans="1:53" ht="15.75" customHeight="1">
      <c r="A121" s="350"/>
      <c r="B121" s="350"/>
      <c r="C121" s="350"/>
      <c r="D121" s="350"/>
      <c r="E121" s="350"/>
      <c r="F121" s="350"/>
      <c r="G121" s="350"/>
      <c r="H121" s="350"/>
      <c r="I121" s="350"/>
      <c r="J121" s="350"/>
      <c r="K121" s="350"/>
      <c r="L121" s="350"/>
      <c r="M121" s="350"/>
      <c r="N121" s="350"/>
      <c r="O121" s="350"/>
      <c r="P121" s="350"/>
      <c r="Q121" s="350"/>
      <c r="R121" s="350"/>
      <c r="S121" s="350"/>
      <c r="T121" s="350"/>
      <c r="U121" s="350"/>
    </row>
    <row r="122" spans="1:53" ht="15.75" customHeight="1">
      <c r="A122" s="350"/>
      <c r="B122" s="350"/>
      <c r="C122" s="350"/>
      <c r="D122" s="350"/>
      <c r="E122" s="350"/>
      <c r="F122" s="350"/>
      <c r="G122" s="350"/>
      <c r="H122" s="350"/>
      <c r="I122" s="350"/>
      <c r="J122" s="350"/>
      <c r="K122" s="350"/>
      <c r="L122" s="350"/>
      <c r="M122" s="350"/>
      <c r="N122" s="350"/>
      <c r="O122" s="350"/>
      <c r="P122" s="350"/>
      <c r="Q122" s="350"/>
      <c r="R122" s="350"/>
      <c r="S122" s="350"/>
      <c r="T122" s="350"/>
      <c r="U122" s="350"/>
    </row>
    <row r="123" spans="1:53" ht="15.75" customHeight="1">
      <c r="A123" s="350"/>
      <c r="B123" s="350"/>
      <c r="C123" s="350"/>
      <c r="D123" s="350"/>
      <c r="E123" s="350"/>
      <c r="F123" s="350"/>
      <c r="G123" s="350"/>
      <c r="H123" s="350"/>
      <c r="I123" s="350"/>
      <c r="J123" s="350"/>
      <c r="K123" s="350"/>
      <c r="L123" s="350"/>
      <c r="M123" s="350"/>
      <c r="N123" s="350"/>
      <c r="O123" s="350"/>
      <c r="P123" s="350"/>
      <c r="Q123" s="350"/>
      <c r="R123" s="350"/>
      <c r="S123" s="350"/>
      <c r="T123" s="350"/>
      <c r="U123" s="350"/>
    </row>
    <row r="124" spans="1:53" ht="15.75" customHeight="1">
      <c r="A124" s="350"/>
      <c r="B124" s="350"/>
      <c r="C124" s="350"/>
      <c r="D124" s="350"/>
      <c r="E124" s="350"/>
      <c r="F124" s="350"/>
      <c r="G124" s="350"/>
      <c r="H124" s="350"/>
      <c r="I124" s="350"/>
      <c r="J124" s="350"/>
      <c r="K124" s="350"/>
      <c r="L124" s="350"/>
      <c r="M124" s="350"/>
      <c r="N124" s="350"/>
      <c r="O124" s="350"/>
      <c r="P124" s="350"/>
      <c r="Q124" s="350"/>
      <c r="R124" s="350"/>
      <c r="S124" s="350"/>
      <c r="T124" s="350"/>
      <c r="U124" s="350"/>
    </row>
    <row r="125" spans="1:53" ht="13.5" customHeight="1">
      <c r="A125" s="350"/>
      <c r="B125" s="350"/>
      <c r="C125" s="350"/>
      <c r="D125" s="350"/>
      <c r="E125" s="350"/>
      <c r="F125" s="350"/>
      <c r="G125" s="350"/>
      <c r="H125" s="350"/>
      <c r="I125" s="350"/>
      <c r="J125" s="350"/>
      <c r="K125" s="350"/>
      <c r="L125" s="350"/>
      <c r="M125" s="350"/>
      <c r="N125" s="350"/>
      <c r="O125" s="350"/>
      <c r="P125" s="350"/>
      <c r="Q125" s="350"/>
      <c r="R125" s="350"/>
      <c r="S125" s="350"/>
      <c r="T125" s="350"/>
      <c r="U125" s="350"/>
    </row>
    <row r="126" spans="1:53" ht="15.75" customHeight="1">
      <c r="A126" s="350"/>
      <c r="B126" s="350"/>
      <c r="C126" s="350"/>
      <c r="D126" s="350"/>
      <c r="E126" s="350"/>
      <c r="F126" s="350"/>
      <c r="G126" s="350"/>
      <c r="H126" s="350"/>
      <c r="I126" s="350"/>
      <c r="J126" s="350"/>
      <c r="K126" s="350"/>
      <c r="L126" s="350"/>
      <c r="M126" s="350"/>
      <c r="N126" s="350"/>
      <c r="O126" s="350"/>
      <c r="P126" s="350"/>
      <c r="Q126" s="350"/>
      <c r="R126" s="350"/>
      <c r="S126" s="350"/>
      <c r="T126" s="350"/>
      <c r="U126" s="350"/>
    </row>
    <row r="127" spans="1:53" ht="15.75" customHeight="1">
      <c r="A127" s="350"/>
      <c r="B127" s="350"/>
      <c r="C127" s="350"/>
      <c r="D127" s="350"/>
      <c r="E127" s="350"/>
      <c r="F127" s="350"/>
      <c r="G127" s="350"/>
      <c r="H127" s="350"/>
      <c r="I127" s="350"/>
      <c r="J127" s="350"/>
      <c r="K127" s="350"/>
      <c r="L127" s="350"/>
      <c r="M127" s="350"/>
      <c r="N127" s="350"/>
      <c r="O127" s="350"/>
      <c r="P127" s="350"/>
      <c r="Q127" s="350"/>
      <c r="R127" s="350"/>
      <c r="S127" s="350"/>
      <c r="T127" s="350"/>
      <c r="U127" s="350"/>
    </row>
    <row r="128" spans="1:53" ht="15.75" customHeight="1">
      <c r="A128" s="350"/>
      <c r="B128" s="350"/>
      <c r="C128" s="350"/>
      <c r="D128" s="350"/>
      <c r="E128" s="350"/>
      <c r="F128" s="350"/>
      <c r="G128" s="350"/>
      <c r="H128" s="350"/>
      <c r="I128" s="350"/>
      <c r="J128" s="350"/>
      <c r="K128" s="350"/>
      <c r="L128" s="350"/>
      <c r="M128" s="350"/>
      <c r="N128" s="350"/>
      <c r="O128" s="350"/>
      <c r="P128" s="350"/>
      <c r="Q128" s="350"/>
      <c r="R128" s="350"/>
      <c r="S128" s="350"/>
      <c r="T128" s="350"/>
      <c r="U128" s="350"/>
    </row>
    <row r="129" spans="1:21" ht="15.75" customHeight="1">
      <c r="A129" s="350"/>
      <c r="B129" s="350"/>
      <c r="C129" s="350"/>
      <c r="D129" s="350"/>
      <c r="E129" s="350"/>
      <c r="F129" s="350"/>
      <c r="G129" s="350"/>
      <c r="H129" s="350"/>
      <c r="I129" s="350"/>
      <c r="J129" s="350"/>
      <c r="K129" s="350"/>
      <c r="L129" s="350"/>
      <c r="M129" s="350"/>
      <c r="N129" s="350"/>
      <c r="O129" s="350"/>
      <c r="P129" s="350"/>
      <c r="Q129" s="350"/>
      <c r="R129" s="350"/>
      <c r="S129" s="350"/>
      <c r="T129" s="350"/>
      <c r="U129" s="350"/>
    </row>
    <row r="130" spans="1:21" ht="15.75" customHeight="1">
      <c r="A130" s="350"/>
      <c r="B130" s="350"/>
      <c r="C130" s="350"/>
      <c r="D130" s="350"/>
      <c r="E130" s="350"/>
      <c r="F130" s="350"/>
      <c r="G130" s="350"/>
      <c r="H130" s="350"/>
      <c r="I130" s="350"/>
      <c r="J130" s="350"/>
      <c r="K130" s="350"/>
      <c r="L130" s="350"/>
      <c r="M130" s="350"/>
      <c r="N130" s="350"/>
      <c r="O130" s="350"/>
      <c r="P130" s="350"/>
      <c r="Q130" s="350"/>
      <c r="R130" s="350"/>
      <c r="S130" s="350"/>
      <c r="T130" s="350"/>
      <c r="U130" s="350"/>
    </row>
    <row r="131" spans="1:21" ht="15.75" customHeight="1">
      <c r="A131" s="350"/>
      <c r="B131" s="350"/>
      <c r="C131" s="350"/>
      <c r="D131" s="350"/>
      <c r="E131" s="350"/>
      <c r="F131" s="350"/>
      <c r="G131" s="350"/>
      <c r="H131" s="350"/>
      <c r="I131" s="350"/>
      <c r="J131" s="350"/>
      <c r="K131" s="350"/>
      <c r="L131" s="350"/>
      <c r="M131" s="350"/>
      <c r="N131" s="350"/>
      <c r="O131" s="350"/>
      <c r="P131" s="350"/>
      <c r="Q131" s="350"/>
      <c r="R131" s="350"/>
      <c r="S131" s="350"/>
      <c r="T131" s="350"/>
      <c r="U131" s="350"/>
    </row>
    <row r="132" spans="1:21" ht="15.75" customHeight="1">
      <c r="A132" s="350"/>
      <c r="B132" s="350"/>
      <c r="C132" s="350"/>
      <c r="D132" s="350"/>
      <c r="E132" s="350"/>
      <c r="F132" s="350"/>
      <c r="G132" s="350"/>
      <c r="H132" s="350"/>
      <c r="I132" s="350"/>
      <c r="J132" s="350"/>
      <c r="K132" s="350"/>
      <c r="L132" s="350"/>
      <c r="M132" s="350"/>
      <c r="N132" s="350"/>
      <c r="O132" s="350"/>
      <c r="P132" s="350"/>
      <c r="Q132" s="350"/>
      <c r="R132" s="350"/>
      <c r="S132" s="350"/>
      <c r="T132" s="350"/>
      <c r="U132" s="350"/>
    </row>
    <row r="133" spans="1:21" ht="15.75" customHeight="1">
      <c r="A133" s="350"/>
      <c r="B133" s="350"/>
      <c r="C133" s="350"/>
      <c r="D133" s="350"/>
      <c r="E133" s="350"/>
      <c r="F133" s="350"/>
      <c r="G133" s="350"/>
      <c r="H133" s="350"/>
      <c r="I133" s="350"/>
      <c r="J133" s="350"/>
      <c r="K133" s="350"/>
      <c r="L133" s="350"/>
      <c r="M133" s="350"/>
      <c r="N133" s="350"/>
      <c r="O133" s="350"/>
      <c r="P133" s="350"/>
      <c r="Q133" s="350"/>
      <c r="R133" s="350"/>
      <c r="S133" s="350"/>
      <c r="T133" s="350"/>
      <c r="U133" s="350"/>
    </row>
    <row r="134" spans="1:21" ht="15.75" customHeight="1">
      <c r="A134" s="350"/>
      <c r="B134" s="350"/>
      <c r="C134" s="350"/>
      <c r="D134" s="350"/>
      <c r="E134" s="350"/>
      <c r="F134" s="350"/>
      <c r="G134" s="350"/>
      <c r="H134" s="350"/>
      <c r="I134" s="350"/>
      <c r="J134" s="350"/>
      <c r="K134" s="350"/>
      <c r="L134" s="350"/>
      <c r="M134" s="350"/>
      <c r="N134" s="350"/>
      <c r="O134" s="350"/>
      <c r="P134" s="350"/>
      <c r="Q134" s="350"/>
      <c r="R134" s="350"/>
      <c r="S134" s="350"/>
      <c r="T134" s="350"/>
      <c r="U134" s="350"/>
    </row>
    <row r="135" spans="1:21" ht="15.75" customHeight="1">
      <c r="A135" s="350"/>
      <c r="B135" s="350"/>
      <c r="C135" s="350"/>
      <c r="D135" s="350"/>
      <c r="E135" s="350"/>
      <c r="F135" s="350"/>
      <c r="G135" s="350"/>
      <c r="H135" s="350"/>
      <c r="I135" s="350"/>
      <c r="J135" s="350"/>
      <c r="K135" s="350"/>
      <c r="L135" s="350"/>
      <c r="M135" s="350"/>
      <c r="N135" s="350"/>
      <c r="O135" s="350"/>
      <c r="P135" s="350"/>
      <c r="Q135" s="350"/>
      <c r="R135" s="350"/>
      <c r="S135" s="350"/>
      <c r="T135" s="350"/>
      <c r="U135" s="350"/>
    </row>
    <row r="136" spans="1:21" ht="15.75" customHeight="1">
      <c r="A136" s="350"/>
      <c r="B136" s="350"/>
      <c r="C136" s="350"/>
      <c r="D136" s="350"/>
      <c r="E136" s="350"/>
      <c r="F136" s="350"/>
      <c r="G136" s="350"/>
      <c r="H136" s="350"/>
      <c r="I136" s="350"/>
      <c r="J136" s="350"/>
      <c r="K136" s="350"/>
      <c r="L136" s="350"/>
      <c r="M136" s="350"/>
      <c r="N136" s="350"/>
      <c r="O136" s="350"/>
      <c r="P136" s="350"/>
      <c r="Q136" s="350"/>
      <c r="R136" s="350"/>
      <c r="S136" s="350"/>
      <c r="T136" s="350"/>
      <c r="U136" s="350"/>
    </row>
    <row r="137" spans="1:21" ht="15.75" customHeight="1">
      <c r="A137" s="350"/>
      <c r="B137" s="350"/>
      <c r="C137" s="350"/>
      <c r="D137" s="350"/>
      <c r="E137" s="350"/>
      <c r="F137" s="350"/>
      <c r="G137" s="350"/>
      <c r="H137" s="350"/>
      <c r="I137" s="350"/>
      <c r="J137" s="350"/>
      <c r="K137" s="350"/>
      <c r="L137" s="350"/>
      <c r="M137" s="350"/>
      <c r="N137" s="350"/>
      <c r="O137" s="350"/>
      <c r="P137" s="350"/>
      <c r="Q137" s="350"/>
      <c r="R137" s="350"/>
      <c r="S137" s="350"/>
      <c r="T137" s="350"/>
      <c r="U137" s="350"/>
    </row>
    <row r="138" spans="1:21" ht="15.75" customHeight="1">
      <c r="A138" s="350"/>
      <c r="B138" s="350"/>
      <c r="C138" s="350"/>
      <c r="D138" s="350"/>
      <c r="E138" s="350"/>
      <c r="F138" s="350"/>
      <c r="G138" s="350"/>
      <c r="H138" s="350"/>
      <c r="I138" s="350"/>
      <c r="J138" s="350"/>
      <c r="K138" s="350"/>
      <c r="L138" s="350"/>
      <c r="M138" s="350"/>
      <c r="N138" s="350"/>
      <c r="O138" s="350"/>
      <c r="P138" s="350"/>
      <c r="Q138" s="350"/>
      <c r="R138" s="350"/>
      <c r="S138" s="350"/>
      <c r="T138" s="350"/>
      <c r="U138" s="350"/>
    </row>
    <row r="139" spans="1:21" ht="15.75" customHeight="1">
      <c r="A139" s="350"/>
      <c r="B139" s="350"/>
      <c r="C139" s="350"/>
      <c r="D139" s="350"/>
      <c r="E139" s="350"/>
      <c r="F139" s="350"/>
      <c r="G139" s="350"/>
      <c r="H139" s="350"/>
      <c r="I139" s="350"/>
      <c r="J139" s="350"/>
      <c r="K139" s="350"/>
      <c r="L139" s="350"/>
      <c r="M139" s="350"/>
      <c r="N139" s="350"/>
      <c r="O139" s="350"/>
      <c r="P139" s="350"/>
      <c r="Q139" s="350"/>
      <c r="R139" s="350"/>
      <c r="S139" s="350"/>
      <c r="T139" s="350"/>
      <c r="U139" s="350"/>
    </row>
    <row r="140" spans="1:21" ht="15.75" customHeight="1">
      <c r="A140" s="350"/>
      <c r="B140" s="350"/>
      <c r="C140" s="350"/>
      <c r="D140" s="350"/>
      <c r="E140" s="350"/>
      <c r="F140" s="350"/>
      <c r="G140" s="350"/>
      <c r="H140" s="350"/>
      <c r="I140" s="350"/>
      <c r="J140" s="350"/>
      <c r="K140" s="350"/>
      <c r="L140" s="350"/>
      <c r="M140" s="350"/>
      <c r="N140" s="350"/>
      <c r="O140" s="350"/>
      <c r="P140" s="350"/>
      <c r="Q140" s="350"/>
      <c r="R140" s="350"/>
      <c r="S140" s="350"/>
      <c r="T140" s="350"/>
      <c r="U140" s="350"/>
    </row>
    <row r="141" spans="1:21" ht="15.75" customHeight="1">
      <c r="A141" s="350"/>
      <c r="B141" s="350"/>
      <c r="C141" s="350"/>
      <c r="D141" s="350"/>
      <c r="E141" s="350"/>
      <c r="F141" s="350"/>
      <c r="G141" s="350"/>
      <c r="H141" s="350"/>
      <c r="I141" s="350"/>
      <c r="J141" s="350"/>
      <c r="K141" s="350"/>
      <c r="L141" s="350"/>
      <c r="M141" s="350"/>
      <c r="N141" s="350"/>
      <c r="O141" s="350"/>
      <c r="P141" s="350"/>
      <c r="Q141" s="350"/>
      <c r="R141" s="350"/>
      <c r="S141" s="350"/>
      <c r="T141" s="350"/>
      <c r="U141" s="350"/>
    </row>
    <row r="142" spans="1:21" ht="15.75" customHeight="1">
      <c r="A142" s="350"/>
      <c r="B142" s="350"/>
      <c r="C142" s="350"/>
      <c r="D142" s="350"/>
      <c r="E142" s="350"/>
      <c r="F142" s="350"/>
      <c r="G142" s="350"/>
      <c r="H142" s="350"/>
      <c r="I142" s="350"/>
      <c r="J142" s="350"/>
      <c r="K142" s="350"/>
      <c r="L142" s="350"/>
      <c r="M142" s="350"/>
      <c r="N142" s="350"/>
      <c r="O142" s="350"/>
      <c r="P142" s="350"/>
      <c r="Q142" s="350"/>
      <c r="R142" s="350"/>
      <c r="S142" s="350"/>
      <c r="T142" s="350"/>
      <c r="U142" s="350"/>
    </row>
    <row r="143" spans="1:21" ht="15.75" customHeight="1">
      <c r="A143" s="350"/>
      <c r="B143" s="350"/>
      <c r="C143" s="350"/>
      <c r="D143" s="350"/>
      <c r="E143" s="350"/>
      <c r="F143" s="350"/>
      <c r="G143" s="350"/>
      <c r="H143" s="350"/>
      <c r="I143" s="350"/>
      <c r="J143" s="350"/>
      <c r="K143" s="350"/>
      <c r="L143" s="350"/>
      <c r="M143" s="350"/>
      <c r="N143" s="350"/>
      <c r="O143" s="350"/>
      <c r="P143" s="350"/>
      <c r="Q143" s="350"/>
      <c r="R143" s="350"/>
      <c r="S143" s="350"/>
      <c r="T143" s="350"/>
      <c r="U143" s="350"/>
    </row>
    <row r="144" spans="1:21" ht="15.75" customHeight="1">
      <c r="A144" s="350"/>
      <c r="B144" s="350"/>
      <c r="C144" s="350"/>
      <c r="D144" s="350"/>
      <c r="E144" s="350"/>
      <c r="F144" s="350"/>
      <c r="G144" s="350"/>
      <c r="H144" s="350"/>
      <c r="I144" s="350"/>
      <c r="J144" s="350"/>
      <c r="K144" s="350"/>
      <c r="L144" s="350"/>
      <c r="M144" s="350"/>
      <c r="N144" s="350"/>
      <c r="O144" s="350"/>
      <c r="P144" s="350"/>
      <c r="Q144" s="350"/>
      <c r="R144" s="350"/>
      <c r="S144" s="350"/>
      <c r="T144" s="350"/>
      <c r="U144" s="350"/>
    </row>
    <row r="145" spans="1:21" ht="15.75" customHeight="1">
      <c r="A145" s="350"/>
      <c r="B145" s="350"/>
      <c r="C145" s="350"/>
      <c r="D145" s="350"/>
      <c r="E145" s="350"/>
      <c r="F145" s="350"/>
      <c r="G145" s="350"/>
      <c r="H145" s="350"/>
      <c r="I145" s="350"/>
      <c r="J145" s="350"/>
      <c r="K145" s="350"/>
      <c r="L145" s="350"/>
      <c r="M145" s="350"/>
      <c r="N145" s="350"/>
      <c r="O145" s="350"/>
      <c r="P145" s="350"/>
      <c r="Q145" s="350"/>
      <c r="R145" s="350"/>
      <c r="S145" s="350"/>
      <c r="T145" s="350"/>
      <c r="U145" s="350"/>
    </row>
    <row r="146" spans="1:21" ht="15.75" customHeight="1">
      <c r="A146" s="350"/>
      <c r="B146" s="350"/>
      <c r="C146" s="350"/>
      <c r="D146" s="350"/>
      <c r="E146" s="350"/>
      <c r="F146" s="350"/>
      <c r="G146" s="350"/>
      <c r="H146" s="350"/>
      <c r="I146" s="350"/>
      <c r="J146" s="350"/>
      <c r="K146" s="350"/>
      <c r="L146" s="350"/>
      <c r="M146" s="350"/>
      <c r="N146" s="350"/>
      <c r="O146" s="350"/>
      <c r="P146" s="350"/>
      <c r="Q146" s="350"/>
      <c r="R146" s="350"/>
      <c r="S146" s="350"/>
      <c r="T146" s="350"/>
      <c r="U146" s="350"/>
    </row>
    <row r="147" spans="1:21" ht="15.75" customHeight="1">
      <c r="A147" s="350"/>
      <c r="B147" s="350"/>
      <c r="C147" s="350"/>
      <c r="D147" s="350"/>
      <c r="E147" s="350"/>
      <c r="F147" s="350"/>
      <c r="G147" s="350"/>
      <c r="H147" s="350"/>
      <c r="I147" s="350"/>
      <c r="J147" s="350"/>
      <c r="K147" s="350"/>
      <c r="L147" s="350"/>
      <c r="M147" s="350"/>
      <c r="N147" s="350"/>
      <c r="O147" s="350"/>
      <c r="P147" s="350"/>
      <c r="Q147" s="350"/>
      <c r="R147" s="350"/>
      <c r="S147" s="350"/>
      <c r="T147" s="350"/>
      <c r="U147" s="350"/>
    </row>
    <row r="148" spans="1:21" ht="15.75" customHeight="1">
      <c r="A148" s="350"/>
      <c r="B148" s="350"/>
      <c r="C148" s="350"/>
      <c r="D148" s="350"/>
      <c r="E148" s="350"/>
      <c r="F148" s="350"/>
      <c r="G148" s="350"/>
      <c r="H148" s="350"/>
      <c r="I148" s="350"/>
      <c r="J148" s="350"/>
      <c r="K148" s="350"/>
      <c r="L148" s="350"/>
      <c r="M148" s="350"/>
      <c r="N148" s="350"/>
      <c r="O148" s="350"/>
      <c r="P148" s="350"/>
      <c r="Q148" s="350"/>
      <c r="R148" s="350"/>
      <c r="S148" s="350"/>
      <c r="T148" s="350"/>
      <c r="U148" s="350"/>
    </row>
    <row r="149" spans="1:21" ht="15.75" customHeight="1">
      <c r="A149" s="350"/>
      <c r="B149" s="350"/>
      <c r="C149" s="350"/>
      <c r="D149" s="350"/>
      <c r="E149" s="350"/>
      <c r="F149" s="350"/>
      <c r="G149" s="350"/>
      <c r="H149" s="350"/>
      <c r="I149" s="350"/>
      <c r="J149" s="350"/>
      <c r="K149" s="350"/>
      <c r="L149" s="350"/>
      <c r="M149" s="350"/>
      <c r="N149" s="350"/>
      <c r="O149" s="350"/>
      <c r="P149" s="350"/>
      <c r="Q149" s="350"/>
      <c r="R149" s="350"/>
      <c r="S149" s="350"/>
      <c r="T149" s="350"/>
      <c r="U149" s="350"/>
    </row>
    <row r="150" spans="1:21" ht="15.75" customHeight="1">
      <c r="A150" s="350"/>
      <c r="B150" s="350"/>
      <c r="C150" s="350"/>
      <c r="D150" s="350"/>
      <c r="E150" s="350"/>
      <c r="F150" s="350"/>
      <c r="G150" s="350"/>
      <c r="H150" s="350"/>
      <c r="I150" s="350"/>
      <c r="J150" s="350"/>
      <c r="K150" s="350"/>
      <c r="L150" s="350"/>
      <c r="M150" s="350"/>
      <c r="N150" s="350"/>
      <c r="O150" s="350"/>
      <c r="P150" s="350"/>
      <c r="Q150" s="350"/>
      <c r="R150" s="350"/>
      <c r="S150" s="350"/>
      <c r="T150" s="350"/>
      <c r="U150" s="350"/>
    </row>
    <row r="151" spans="1:21" ht="15.75" customHeight="1">
      <c r="A151" s="350"/>
      <c r="B151" s="350"/>
      <c r="C151" s="350"/>
      <c r="D151" s="350"/>
      <c r="E151" s="350"/>
      <c r="F151" s="350"/>
      <c r="G151" s="350"/>
      <c r="H151" s="350"/>
      <c r="I151" s="350"/>
      <c r="J151" s="350"/>
      <c r="K151" s="350"/>
      <c r="L151" s="350"/>
      <c r="M151" s="350"/>
      <c r="N151" s="350"/>
      <c r="O151" s="350"/>
      <c r="P151" s="350"/>
      <c r="Q151" s="350"/>
      <c r="R151" s="350"/>
      <c r="S151" s="350"/>
      <c r="T151" s="350"/>
      <c r="U151" s="350"/>
    </row>
    <row r="152" spans="1:21" ht="15.75" customHeight="1">
      <c r="A152" s="350"/>
      <c r="B152" s="350"/>
      <c r="C152" s="350"/>
      <c r="D152" s="350"/>
      <c r="E152" s="350"/>
      <c r="F152" s="350"/>
      <c r="G152" s="350"/>
      <c r="H152" s="350"/>
      <c r="I152" s="350"/>
      <c r="J152" s="350"/>
      <c r="K152" s="350"/>
      <c r="L152" s="350"/>
      <c r="M152" s="350"/>
      <c r="N152" s="350"/>
      <c r="O152" s="350"/>
      <c r="P152" s="350"/>
      <c r="Q152" s="350"/>
      <c r="R152" s="350"/>
      <c r="S152" s="350"/>
      <c r="T152" s="350"/>
      <c r="U152" s="350"/>
    </row>
    <row r="153" spans="1:21" ht="15.75" customHeight="1">
      <c r="A153" s="350"/>
      <c r="B153" s="350"/>
      <c r="C153" s="350"/>
      <c r="D153" s="350"/>
      <c r="E153" s="350"/>
      <c r="F153" s="350"/>
      <c r="G153" s="350"/>
      <c r="H153" s="350"/>
      <c r="I153" s="350"/>
      <c r="J153" s="350"/>
      <c r="K153" s="350"/>
      <c r="L153" s="350"/>
      <c r="M153" s="350"/>
      <c r="N153" s="350"/>
      <c r="O153" s="350"/>
      <c r="P153" s="350"/>
      <c r="Q153" s="350"/>
      <c r="R153" s="350"/>
      <c r="S153" s="350"/>
      <c r="T153" s="350"/>
      <c r="U153" s="350"/>
    </row>
    <row r="154" spans="1:21" ht="15.75" customHeight="1">
      <c r="A154" s="350"/>
      <c r="B154" s="350"/>
      <c r="C154" s="350"/>
      <c r="D154" s="350"/>
      <c r="E154" s="350"/>
      <c r="F154" s="350"/>
      <c r="G154" s="350"/>
      <c r="H154" s="350"/>
      <c r="I154" s="350"/>
      <c r="J154" s="350"/>
      <c r="K154" s="350"/>
      <c r="L154" s="350"/>
      <c r="M154" s="350"/>
      <c r="N154" s="350"/>
      <c r="O154" s="350"/>
      <c r="P154" s="350"/>
      <c r="Q154" s="350"/>
      <c r="R154" s="350"/>
      <c r="S154" s="350"/>
      <c r="T154" s="350"/>
      <c r="U154" s="350"/>
    </row>
    <row r="155" spans="1:21" ht="15.75" customHeight="1">
      <c r="A155" s="350"/>
      <c r="B155" s="350"/>
      <c r="C155" s="350"/>
      <c r="D155" s="350"/>
      <c r="E155" s="350"/>
      <c r="F155" s="350"/>
      <c r="G155" s="350"/>
      <c r="H155" s="350"/>
      <c r="I155" s="350"/>
      <c r="J155" s="350"/>
      <c r="K155" s="350"/>
      <c r="L155" s="350"/>
      <c r="M155" s="350"/>
      <c r="N155" s="350"/>
      <c r="O155" s="350"/>
      <c r="P155" s="350"/>
      <c r="Q155" s="350"/>
      <c r="R155" s="350"/>
      <c r="S155" s="350"/>
      <c r="T155" s="350"/>
      <c r="U155" s="350"/>
    </row>
    <row r="156" spans="1:21" ht="15.75" customHeight="1">
      <c r="A156" s="350"/>
      <c r="B156" s="350"/>
      <c r="C156" s="350"/>
      <c r="D156" s="350"/>
      <c r="E156" s="350"/>
      <c r="F156" s="350"/>
      <c r="G156" s="350"/>
      <c r="H156" s="350"/>
      <c r="I156" s="350"/>
      <c r="J156" s="350"/>
      <c r="K156" s="350"/>
      <c r="L156" s="350"/>
      <c r="M156" s="350"/>
      <c r="N156" s="350"/>
      <c r="O156" s="350"/>
      <c r="P156" s="350"/>
      <c r="Q156" s="350"/>
      <c r="R156" s="350"/>
      <c r="S156" s="350"/>
      <c r="T156" s="350"/>
      <c r="U156" s="350"/>
    </row>
    <row r="157" spans="1:21" ht="15.75" customHeight="1">
      <c r="A157" s="350"/>
      <c r="B157" s="350"/>
      <c r="C157" s="350"/>
      <c r="D157" s="350"/>
      <c r="E157" s="350"/>
      <c r="F157" s="350"/>
      <c r="G157" s="350"/>
      <c r="H157" s="350"/>
      <c r="I157" s="350"/>
      <c r="J157" s="350"/>
      <c r="K157" s="350"/>
      <c r="L157" s="350"/>
      <c r="M157" s="350"/>
      <c r="N157" s="350"/>
      <c r="O157" s="350"/>
      <c r="P157" s="350"/>
      <c r="Q157" s="350"/>
      <c r="R157" s="350"/>
      <c r="S157" s="350"/>
      <c r="T157" s="350"/>
      <c r="U157" s="350"/>
    </row>
    <row r="158" spans="1:21" ht="15.75" customHeight="1">
      <c r="A158" s="350"/>
      <c r="B158" s="350"/>
      <c r="C158" s="350"/>
      <c r="D158" s="350"/>
      <c r="E158" s="350"/>
      <c r="F158" s="350"/>
      <c r="G158" s="350"/>
      <c r="H158" s="350"/>
      <c r="I158" s="350"/>
      <c r="J158" s="350"/>
      <c r="K158" s="350"/>
      <c r="L158" s="350"/>
      <c r="M158" s="350"/>
      <c r="N158" s="350"/>
      <c r="O158" s="350"/>
      <c r="P158" s="350"/>
      <c r="Q158" s="350"/>
      <c r="R158" s="350"/>
      <c r="S158" s="350"/>
      <c r="T158" s="350"/>
      <c r="U158" s="350"/>
    </row>
    <row r="159" spans="1:21" ht="15.75" customHeight="1">
      <c r="A159" s="350"/>
      <c r="B159" s="350"/>
      <c r="C159" s="350"/>
      <c r="D159" s="350"/>
      <c r="E159" s="350"/>
      <c r="F159" s="350"/>
      <c r="G159" s="350"/>
      <c r="H159" s="350"/>
      <c r="I159" s="350"/>
      <c r="J159" s="350"/>
      <c r="K159" s="350"/>
      <c r="L159" s="350"/>
      <c r="M159" s="350"/>
      <c r="N159" s="350"/>
      <c r="O159" s="350"/>
      <c r="P159" s="350"/>
      <c r="Q159" s="350"/>
      <c r="R159" s="350"/>
      <c r="S159" s="350"/>
      <c r="T159" s="350"/>
      <c r="U159" s="350"/>
    </row>
    <row r="160" spans="1:21" ht="15.75" customHeight="1">
      <c r="A160" s="350"/>
      <c r="B160" s="350"/>
      <c r="C160" s="350"/>
      <c r="D160" s="350"/>
      <c r="E160" s="350"/>
      <c r="F160" s="350"/>
      <c r="G160" s="350"/>
      <c r="H160" s="350"/>
      <c r="I160" s="350"/>
      <c r="J160" s="350"/>
      <c r="K160" s="350"/>
      <c r="L160" s="350"/>
      <c r="M160" s="350"/>
      <c r="N160" s="350"/>
      <c r="O160" s="350"/>
      <c r="P160" s="350"/>
      <c r="Q160" s="350"/>
      <c r="R160" s="350"/>
      <c r="S160" s="350"/>
      <c r="T160" s="350"/>
      <c r="U160" s="350"/>
    </row>
    <row r="161" spans="1:21" ht="15.75" customHeight="1">
      <c r="A161" s="350"/>
      <c r="B161" s="350"/>
      <c r="C161" s="350"/>
      <c r="D161" s="350"/>
      <c r="E161" s="350"/>
      <c r="F161" s="350"/>
      <c r="G161" s="350"/>
      <c r="H161" s="350"/>
      <c r="I161" s="350"/>
      <c r="J161" s="350"/>
      <c r="K161" s="350"/>
      <c r="L161" s="350"/>
      <c r="M161" s="350"/>
      <c r="N161" s="350"/>
      <c r="O161" s="350"/>
      <c r="P161" s="350"/>
      <c r="Q161" s="350"/>
      <c r="R161" s="350"/>
      <c r="S161" s="350"/>
      <c r="T161" s="350"/>
      <c r="U161" s="350"/>
    </row>
    <row r="162" spans="1:21" ht="15.75" customHeight="1">
      <c r="A162" s="350"/>
      <c r="B162" s="350"/>
      <c r="C162" s="350"/>
      <c r="D162" s="350"/>
      <c r="E162" s="350"/>
      <c r="F162" s="350"/>
      <c r="G162" s="350"/>
      <c r="H162" s="350"/>
      <c r="I162" s="350"/>
      <c r="J162" s="350"/>
      <c r="K162" s="350"/>
      <c r="L162" s="350"/>
      <c r="M162" s="350"/>
      <c r="N162" s="350"/>
      <c r="O162" s="350"/>
      <c r="P162" s="350"/>
      <c r="Q162" s="350"/>
      <c r="R162" s="350"/>
      <c r="S162" s="350"/>
      <c r="T162" s="350"/>
      <c r="U162" s="350"/>
    </row>
    <row r="163" spans="1:21" ht="15.75" customHeight="1">
      <c r="A163" s="350"/>
      <c r="B163" s="350"/>
      <c r="C163" s="350"/>
      <c r="D163" s="350"/>
      <c r="E163" s="350"/>
      <c r="F163" s="350"/>
      <c r="G163" s="350"/>
      <c r="H163" s="350"/>
      <c r="I163" s="350"/>
      <c r="J163" s="350"/>
      <c r="K163" s="350"/>
      <c r="L163" s="350"/>
      <c r="M163" s="350"/>
      <c r="N163" s="350"/>
      <c r="O163" s="350"/>
      <c r="P163" s="350"/>
      <c r="Q163" s="350"/>
      <c r="R163" s="350"/>
      <c r="S163" s="350"/>
      <c r="T163" s="350"/>
      <c r="U163" s="350"/>
    </row>
    <row r="164" spans="1:21" ht="15.75" customHeight="1">
      <c r="A164" s="350"/>
      <c r="B164" s="350"/>
      <c r="C164" s="350"/>
      <c r="D164" s="350"/>
      <c r="E164" s="350"/>
      <c r="F164" s="350"/>
      <c r="G164" s="350"/>
      <c r="H164" s="350"/>
      <c r="I164" s="350"/>
      <c r="J164" s="350"/>
      <c r="K164" s="350"/>
      <c r="L164" s="350"/>
      <c r="M164" s="350"/>
      <c r="N164" s="350"/>
      <c r="O164" s="350"/>
      <c r="P164" s="350"/>
      <c r="Q164" s="350"/>
      <c r="R164" s="350"/>
      <c r="S164" s="350"/>
      <c r="T164" s="350"/>
      <c r="U164" s="350"/>
    </row>
    <row r="165" spans="1:21" ht="15.75" customHeight="1">
      <c r="A165" s="350"/>
      <c r="B165" s="350"/>
      <c r="C165" s="350"/>
      <c r="D165" s="350"/>
      <c r="E165" s="350"/>
      <c r="F165" s="350"/>
      <c r="G165" s="350"/>
      <c r="H165" s="350"/>
      <c r="I165" s="350"/>
      <c r="J165" s="350"/>
      <c r="K165" s="350"/>
      <c r="L165" s="350"/>
      <c r="M165" s="350"/>
      <c r="N165" s="350"/>
      <c r="O165" s="350"/>
      <c r="P165" s="350"/>
      <c r="Q165" s="350"/>
      <c r="R165" s="350"/>
      <c r="S165" s="350"/>
      <c r="T165" s="350"/>
      <c r="U165" s="350"/>
    </row>
    <row r="166" spans="1:21" ht="15.75" customHeight="1">
      <c r="A166" s="350"/>
      <c r="B166" s="350"/>
      <c r="C166" s="350"/>
      <c r="D166" s="350"/>
      <c r="E166" s="350"/>
      <c r="F166" s="350"/>
      <c r="G166" s="350"/>
      <c r="H166" s="350"/>
      <c r="I166" s="350"/>
      <c r="J166" s="350"/>
      <c r="K166" s="350"/>
      <c r="L166" s="350"/>
      <c r="M166" s="350"/>
      <c r="N166" s="350"/>
      <c r="O166" s="350"/>
      <c r="P166" s="350"/>
      <c r="Q166" s="350"/>
      <c r="R166" s="350"/>
      <c r="S166" s="350"/>
      <c r="T166" s="350"/>
      <c r="U166" s="350"/>
    </row>
    <row r="167" spans="1:21" ht="15.75" customHeight="1">
      <c r="A167" s="350"/>
      <c r="B167" s="350"/>
      <c r="C167" s="350"/>
      <c r="D167" s="350"/>
      <c r="E167" s="350"/>
      <c r="F167" s="350"/>
      <c r="G167" s="350"/>
      <c r="H167" s="350"/>
      <c r="I167" s="350"/>
      <c r="J167" s="350"/>
      <c r="K167" s="350"/>
      <c r="L167" s="350"/>
      <c r="M167" s="350"/>
      <c r="N167" s="350"/>
      <c r="O167" s="350"/>
      <c r="P167" s="350"/>
      <c r="Q167" s="350"/>
      <c r="R167" s="350"/>
      <c r="S167" s="350"/>
      <c r="T167" s="350"/>
      <c r="U167" s="350"/>
    </row>
    <row r="168" spans="1:21" ht="15.75" customHeight="1">
      <c r="A168" s="350"/>
      <c r="B168" s="350"/>
      <c r="C168" s="350"/>
      <c r="D168" s="350"/>
      <c r="E168" s="350"/>
      <c r="F168" s="350"/>
      <c r="G168" s="350"/>
      <c r="H168" s="350"/>
      <c r="I168" s="350"/>
      <c r="J168" s="350"/>
      <c r="K168" s="350"/>
      <c r="L168" s="350"/>
      <c r="M168" s="350"/>
      <c r="N168" s="350"/>
      <c r="O168" s="350"/>
      <c r="P168" s="350"/>
      <c r="Q168" s="350"/>
      <c r="R168" s="350"/>
      <c r="S168" s="350"/>
      <c r="T168" s="350"/>
      <c r="U168" s="350"/>
    </row>
    <row r="169" spans="1:21" ht="15.75" customHeight="1">
      <c r="A169" s="350"/>
      <c r="B169" s="350"/>
      <c r="C169" s="350"/>
      <c r="D169" s="350"/>
      <c r="E169" s="350"/>
      <c r="F169" s="350"/>
      <c r="G169" s="350"/>
      <c r="H169" s="350"/>
      <c r="I169" s="350"/>
      <c r="J169" s="350"/>
      <c r="K169" s="350"/>
      <c r="L169" s="350"/>
      <c r="M169" s="350"/>
      <c r="N169" s="350"/>
      <c r="O169" s="350"/>
      <c r="P169" s="350"/>
      <c r="Q169" s="350"/>
      <c r="R169" s="350"/>
      <c r="S169" s="350"/>
      <c r="T169" s="350"/>
      <c r="U169" s="350"/>
    </row>
    <row r="170" spans="1:21" ht="15.75" customHeight="1">
      <c r="A170" s="350"/>
      <c r="B170" s="350"/>
      <c r="C170" s="350"/>
      <c r="D170" s="350"/>
      <c r="E170" s="350"/>
      <c r="F170" s="350"/>
      <c r="G170" s="350"/>
      <c r="H170" s="350"/>
      <c r="I170" s="350"/>
      <c r="J170" s="350"/>
      <c r="K170" s="350"/>
      <c r="L170" s="350"/>
      <c r="M170" s="350"/>
      <c r="N170" s="350"/>
      <c r="O170" s="350"/>
      <c r="P170" s="350"/>
      <c r="Q170" s="350"/>
      <c r="R170" s="350"/>
      <c r="S170" s="350"/>
      <c r="T170" s="350"/>
      <c r="U170" s="350"/>
    </row>
    <row r="171" spans="1:21" ht="15.75" customHeight="1">
      <c r="A171" s="350"/>
      <c r="B171" s="350"/>
      <c r="C171" s="350"/>
      <c r="D171" s="350"/>
      <c r="E171" s="350"/>
      <c r="F171" s="350"/>
      <c r="G171" s="350"/>
      <c r="H171" s="350"/>
      <c r="I171" s="350"/>
      <c r="J171" s="350"/>
      <c r="K171" s="350"/>
      <c r="L171" s="350"/>
      <c r="M171" s="350"/>
      <c r="N171" s="350"/>
      <c r="O171" s="350"/>
      <c r="P171" s="350"/>
      <c r="Q171" s="350"/>
      <c r="R171" s="350"/>
      <c r="S171" s="350"/>
      <c r="T171" s="350"/>
      <c r="U171" s="350"/>
    </row>
    <row r="172" spans="1:21" ht="15.75" customHeight="1">
      <c r="A172" s="350"/>
      <c r="B172" s="350"/>
      <c r="C172" s="350"/>
      <c r="D172" s="350"/>
      <c r="E172" s="350"/>
      <c r="F172" s="350"/>
      <c r="G172" s="350"/>
      <c r="H172" s="350"/>
      <c r="I172" s="350"/>
      <c r="J172" s="350"/>
      <c r="K172" s="350"/>
      <c r="L172" s="350"/>
      <c r="M172" s="350"/>
      <c r="N172" s="350"/>
      <c r="O172" s="350"/>
      <c r="P172" s="350"/>
      <c r="Q172" s="350"/>
      <c r="R172" s="350"/>
      <c r="S172" s="350"/>
      <c r="T172" s="350"/>
      <c r="U172" s="350"/>
    </row>
    <row r="173" spans="1:21" ht="15.75" customHeight="1">
      <c r="A173" s="350"/>
      <c r="B173" s="350"/>
      <c r="C173" s="350"/>
      <c r="D173" s="350"/>
      <c r="E173" s="350"/>
      <c r="F173" s="350"/>
      <c r="G173" s="350"/>
      <c r="H173" s="350"/>
      <c r="I173" s="350"/>
      <c r="J173" s="350"/>
      <c r="K173" s="350"/>
      <c r="L173" s="350"/>
      <c r="M173" s="350"/>
      <c r="N173" s="350"/>
      <c r="O173" s="350"/>
      <c r="P173" s="350"/>
      <c r="Q173" s="350"/>
      <c r="R173" s="350"/>
      <c r="S173" s="350"/>
      <c r="T173" s="350"/>
      <c r="U173" s="350"/>
    </row>
    <row r="174" spans="1:21" ht="15.75" customHeight="1">
      <c r="A174" s="350"/>
      <c r="B174" s="350"/>
      <c r="C174" s="350"/>
      <c r="D174" s="350"/>
      <c r="E174" s="350"/>
      <c r="F174" s="350"/>
      <c r="G174" s="350"/>
      <c r="H174" s="350"/>
      <c r="I174" s="350"/>
      <c r="J174" s="350"/>
      <c r="K174" s="350"/>
      <c r="L174" s="350"/>
      <c r="M174" s="350"/>
      <c r="N174" s="350"/>
      <c r="O174" s="350"/>
      <c r="P174" s="350"/>
      <c r="Q174" s="350"/>
      <c r="R174" s="350"/>
      <c r="S174" s="350"/>
      <c r="T174" s="350"/>
      <c r="U174" s="350"/>
    </row>
    <row r="175" spans="1:21" ht="15.75" customHeight="1">
      <c r="A175" s="350"/>
      <c r="B175" s="350"/>
      <c r="C175" s="350"/>
      <c r="D175" s="350"/>
      <c r="E175" s="350"/>
      <c r="F175" s="350"/>
      <c r="G175" s="350"/>
      <c r="H175" s="350"/>
      <c r="I175" s="350"/>
      <c r="J175" s="350"/>
      <c r="K175" s="350"/>
      <c r="L175" s="350"/>
      <c r="M175" s="350"/>
      <c r="N175" s="350"/>
      <c r="O175" s="350"/>
      <c r="P175" s="350"/>
      <c r="Q175" s="350"/>
      <c r="R175" s="350"/>
      <c r="S175" s="350"/>
      <c r="T175" s="350"/>
      <c r="U175" s="350"/>
    </row>
    <row r="176" spans="1:21" ht="15.75" customHeight="1">
      <c r="A176" s="350"/>
      <c r="B176" s="350"/>
      <c r="C176" s="350"/>
      <c r="D176" s="350"/>
      <c r="E176" s="350"/>
      <c r="F176" s="350"/>
      <c r="G176" s="350"/>
      <c r="H176" s="350"/>
      <c r="I176" s="350"/>
      <c r="J176" s="350"/>
      <c r="K176" s="350"/>
      <c r="L176" s="350"/>
      <c r="M176" s="350"/>
      <c r="N176" s="350"/>
      <c r="O176" s="350"/>
      <c r="P176" s="350"/>
      <c r="Q176" s="350"/>
      <c r="R176" s="350"/>
      <c r="S176" s="350"/>
      <c r="T176" s="350"/>
      <c r="U176" s="350"/>
    </row>
    <row r="177" spans="1:21" ht="15.75" customHeight="1">
      <c r="A177" s="350"/>
      <c r="B177" s="350"/>
      <c r="C177" s="350"/>
      <c r="D177" s="350"/>
      <c r="E177" s="350"/>
      <c r="F177" s="350"/>
      <c r="G177" s="350"/>
      <c r="H177" s="350"/>
      <c r="I177" s="350"/>
      <c r="J177" s="350"/>
      <c r="K177" s="350"/>
      <c r="L177" s="350"/>
      <c r="M177" s="350"/>
      <c r="N177" s="350"/>
      <c r="O177" s="350"/>
      <c r="P177" s="350"/>
      <c r="Q177" s="350"/>
      <c r="R177" s="350"/>
      <c r="S177" s="350"/>
      <c r="T177" s="350"/>
      <c r="U177" s="350"/>
    </row>
    <row r="178" spans="1:21" ht="15.75" customHeight="1">
      <c r="A178" s="350"/>
      <c r="B178" s="350"/>
      <c r="C178" s="350"/>
      <c r="D178" s="350"/>
      <c r="E178" s="350"/>
      <c r="F178" s="350"/>
      <c r="G178" s="350"/>
      <c r="H178" s="350"/>
      <c r="I178" s="350"/>
      <c r="J178" s="350"/>
      <c r="K178" s="350"/>
      <c r="L178" s="350"/>
      <c r="M178" s="350"/>
      <c r="N178" s="350"/>
      <c r="O178" s="350"/>
      <c r="P178" s="350"/>
      <c r="Q178" s="350"/>
      <c r="R178" s="350"/>
      <c r="S178" s="350"/>
      <c r="T178" s="350"/>
      <c r="U178" s="350"/>
    </row>
    <row r="179" spans="1:21" ht="15.75" customHeight="1">
      <c r="A179" s="350"/>
      <c r="B179" s="350"/>
      <c r="C179" s="350"/>
      <c r="D179" s="350"/>
      <c r="E179" s="350"/>
      <c r="F179" s="350"/>
      <c r="G179" s="350"/>
      <c r="H179" s="350"/>
      <c r="I179" s="350"/>
      <c r="J179" s="350"/>
      <c r="K179" s="350"/>
      <c r="L179" s="350"/>
      <c r="M179" s="350"/>
      <c r="N179" s="350"/>
      <c r="O179" s="350"/>
      <c r="P179" s="350"/>
      <c r="Q179" s="350"/>
      <c r="R179" s="350"/>
      <c r="S179" s="350"/>
      <c r="T179" s="350"/>
      <c r="U179" s="350"/>
    </row>
    <row r="180" spans="1:21" ht="15.75" customHeight="1">
      <c r="A180" s="350"/>
      <c r="B180" s="350"/>
      <c r="C180" s="350"/>
      <c r="D180" s="350"/>
      <c r="E180" s="350"/>
      <c r="F180" s="350"/>
      <c r="G180" s="350"/>
      <c r="H180" s="350"/>
      <c r="I180" s="350"/>
      <c r="J180" s="350"/>
      <c r="K180" s="350"/>
      <c r="L180" s="350"/>
      <c r="M180" s="350"/>
      <c r="N180" s="350"/>
      <c r="O180" s="350"/>
      <c r="P180" s="350"/>
      <c r="Q180" s="350"/>
      <c r="R180" s="350"/>
      <c r="S180" s="350"/>
      <c r="T180" s="350"/>
      <c r="U180" s="350"/>
    </row>
    <row r="181" spans="1:21" ht="15.75" customHeight="1">
      <c r="A181" s="350"/>
      <c r="B181" s="350"/>
      <c r="C181" s="350"/>
      <c r="D181" s="350"/>
      <c r="E181" s="350"/>
      <c r="F181" s="350"/>
      <c r="G181" s="350"/>
      <c r="H181" s="350"/>
      <c r="I181" s="350"/>
      <c r="J181" s="350"/>
      <c r="K181" s="350"/>
      <c r="L181" s="350"/>
      <c r="M181" s="350"/>
      <c r="N181" s="350"/>
      <c r="O181" s="350"/>
      <c r="P181" s="350"/>
      <c r="Q181" s="350"/>
      <c r="R181" s="350"/>
      <c r="S181" s="350"/>
      <c r="T181" s="350"/>
      <c r="U181" s="350"/>
    </row>
    <row r="182" spans="1:21" ht="15.75" customHeight="1">
      <c r="A182" s="350"/>
      <c r="B182" s="350"/>
      <c r="C182" s="350"/>
      <c r="D182" s="350"/>
      <c r="E182" s="350"/>
      <c r="F182" s="350"/>
      <c r="G182" s="350"/>
      <c r="H182" s="350"/>
      <c r="I182" s="350"/>
      <c r="J182" s="350"/>
      <c r="K182" s="350"/>
      <c r="L182" s="350"/>
      <c r="M182" s="350"/>
      <c r="N182" s="350"/>
      <c r="O182" s="350"/>
      <c r="P182" s="350"/>
      <c r="Q182" s="350"/>
      <c r="R182" s="350"/>
      <c r="S182" s="350"/>
      <c r="T182" s="350"/>
      <c r="U182" s="350"/>
    </row>
    <row r="183" spans="1:21" ht="15.75" customHeight="1">
      <c r="A183" s="350"/>
      <c r="B183" s="350"/>
      <c r="C183" s="350"/>
      <c r="D183" s="350"/>
      <c r="E183" s="350"/>
      <c r="F183" s="350"/>
      <c r="G183" s="350"/>
      <c r="H183" s="350"/>
      <c r="I183" s="350"/>
      <c r="J183" s="350"/>
      <c r="K183" s="350"/>
      <c r="L183" s="350"/>
      <c r="M183" s="350"/>
      <c r="N183" s="350"/>
      <c r="O183" s="350"/>
      <c r="P183" s="350"/>
      <c r="Q183" s="350"/>
      <c r="R183" s="350"/>
      <c r="S183" s="350"/>
      <c r="T183" s="350"/>
      <c r="U183" s="350"/>
    </row>
    <row r="184" spans="1:21" ht="15.75" customHeight="1">
      <c r="A184" s="350"/>
      <c r="B184" s="350"/>
      <c r="C184" s="350"/>
      <c r="D184" s="350"/>
      <c r="E184" s="350"/>
      <c r="F184" s="350"/>
      <c r="G184" s="350"/>
      <c r="H184" s="350"/>
      <c r="I184" s="350"/>
      <c r="J184" s="350"/>
      <c r="K184" s="350"/>
      <c r="L184" s="350"/>
      <c r="M184" s="350"/>
      <c r="N184" s="350"/>
      <c r="O184" s="350"/>
      <c r="P184" s="350"/>
      <c r="Q184" s="350"/>
      <c r="R184" s="350"/>
      <c r="S184" s="350"/>
      <c r="T184" s="350"/>
      <c r="U184" s="350"/>
    </row>
    <row r="185" spans="1:21" ht="15.75" customHeight="1">
      <c r="A185" s="350"/>
      <c r="B185" s="350"/>
      <c r="C185" s="350"/>
      <c r="D185" s="350"/>
      <c r="E185" s="350"/>
      <c r="F185" s="350"/>
      <c r="G185" s="350"/>
      <c r="H185" s="350"/>
      <c r="I185" s="350"/>
      <c r="J185" s="350"/>
      <c r="K185" s="350"/>
      <c r="L185" s="350"/>
      <c r="M185" s="350"/>
      <c r="N185" s="350"/>
      <c r="O185" s="350"/>
      <c r="P185" s="350"/>
      <c r="Q185" s="350"/>
      <c r="R185" s="350"/>
      <c r="S185" s="350"/>
      <c r="T185" s="350"/>
      <c r="U185" s="350"/>
    </row>
    <row r="186" spans="1:21" ht="15.75" customHeight="1">
      <c r="A186" s="350"/>
      <c r="B186" s="350"/>
      <c r="C186" s="350"/>
      <c r="D186" s="350"/>
      <c r="E186" s="350"/>
      <c r="F186" s="350"/>
      <c r="G186" s="350"/>
      <c r="H186" s="350"/>
      <c r="I186" s="350"/>
      <c r="J186" s="350"/>
      <c r="K186" s="350"/>
      <c r="L186" s="350"/>
      <c r="M186" s="350"/>
      <c r="N186" s="350"/>
      <c r="O186" s="350"/>
      <c r="P186" s="350"/>
      <c r="Q186" s="350"/>
      <c r="R186" s="350"/>
      <c r="S186" s="350"/>
      <c r="T186" s="350"/>
      <c r="U186" s="350"/>
    </row>
    <row r="187" spans="1:21" ht="15.75" customHeight="1">
      <c r="A187" s="350"/>
      <c r="B187" s="350"/>
      <c r="C187" s="350"/>
      <c r="D187" s="350"/>
      <c r="E187" s="350"/>
      <c r="F187" s="350"/>
      <c r="G187" s="350"/>
      <c r="H187" s="350"/>
      <c r="I187" s="350"/>
      <c r="J187" s="350"/>
      <c r="K187" s="350"/>
      <c r="L187" s="350"/>
      <c r="M187" s="350"/>
      <c r="N187" s="350"/>
      <c r="O187" s="350"/>
      <c r="P187" s="350"/>
      <c r="Q187" s="350"/>
      <c r="R187" s="350"/>
      <c r="S187" s="350"/>
      <c r="T187" s="350"/>
      <c r="U187" s="350"/>
    </row>
    <row r="188" spans="1:21" ht="15.75" customHeight="1">
      <c r="A188" s="350"/>
      <c r="B188" s="350"/>
      <c r="C188" s="350"/>
      <c r="D188" s="350"/>
      <c r="E188" s="350"/>
      <c r="F188" s="350"/>
      <c r="G188" s="350"/>
      <c r="H188" s="350"/>
      <c r="I188" s="350"/>
      <c r="J188" s="350"/>
      <c r="K188" s="350"/>
      <c r="L188" s="350"/>
      <c r="M188" s="350"/>
      <c r="N188" s="350"/>
      <c r="O188" s="350"/>
      <c r="P188" s="350"/>
      <c r="Q188" s="350"/>
      <c r="R188" s="350"/>
      <c r="S188" s="350"/>
      <c r="T188" s="350"/>
      <c r="U188" s="350"/>
    </row>
    <row r="189" spans="1:21" ht="15.75" customHeight="1">
      <c r="A189" s="350"/>
      <c r="B189" s="350"/>
      <c r="C189" s="350"/>
      <c r="D189" s="350"/>
      <c r="E189" s="350"/>
      <c r="F189" s="350"/>
      <c r="G189" s="350"/>
      <c r="H189" s="350"/>
      <c r="I189" s="350"/>
      <c r="J189" s="350"/>
      <c r="K189" s="350"/>
      <c r="L189" s="350"/>
      <c r="M189" s="350"/>
      <c r="N189" s="350"/>
      <c r="O189" s="350"/>
      <c r="P189" s="350"/>
      <c r="Q189" s="350"/>
      <c r="R189" s="350"/>
      <c r="S189" s="350"/>
      <c r="T189" s="350"/>
      <c r="U189" s="350"/>
    </row>
    <row r="190" spans="1:21" ht="15.75" customHeight="1">
      <c r="A190" s="350"/>
      <c r="B190" s="350"/>
      <c r="C190" s="350"/>
      <c r="D190" s="350"/>
      <c r="E190" s="350"/>
      <c r="F190" s="350"/>
      <c r="G190" s="350"/>
      <c r="H190" s="350"/>
      <c r="I190" s="350"/>
      <c r="J190" s="350"/>
      <c r="K190" s="350"/>
      <c r="L190" s="350"/>
      <c r="M190" s="350"/>
      <c r="N190" s="350"/>
      <c r="O190" s="350"/>
      <c r="P190" s="350"/>
      <c r="Q190" s="350"/>
      <c r="R190" s="350"/>
      <c r="S190" s="350"/>
      <c r="T190" s="350"/>
      <c r="U190" s="350"/>
    </row>
    <row r="191" spans="1:21" ht="15.75" customHeight="1">
      <c r="A191" s="350"/>
      <c r="B191" s="350"/>
      <c r="C191" s="350"/>
      <c r="D191" s="350"/>
      <c r="E191" s="350"/>
      <c r="F191" s="350"/>
      <c r="G191" s="350"/>
      <c r="H191" s="350"/>
      <c r="I191" s="350"/>
      <c r="J191" s="350"/>
      <c r="K191" s="350"/>
      <c r="L191" s="350"/>
      <c r="M191" s="350"/>
      <c r="N191" s="350"/>
      <c r="O191" s="350"/>
      <c r="P191" s="350"/>
      <c r="Q191" s="350"/>
      <c r="R191" s="350"/>
      <c r="S191" s="350"/>
      <c r="T191" s="350"/>
      <c r="U191" s="350"/>
    </row>
    <row r="192" spans="1:21" ht="15.75" customHeight="1">
      <c r="A192" s="350"/>
      <c r="B192" s="350"/>
      <c r="C192" s="350"/>
      <c r="D192" s="350"/>
      <c r="E192" s="350"/>
      <c r="F192" s="350"/>
      <c r="G192" s="350"/>
      <c r="H192" s="350"/>
      <c r="I192" s="350"/>
      <c r="J192" s="350"/>
      <c r="K192" s="350"/>
      <c r="L192" s="350"/>
      <c r="M192" s="350"/>
      <c r="N192" s="350"/>
      <c r="O192" s="350"/>
      <c r="P192" s="350"/>
      <c r="Q192" s="350"/>
      <c r="R192" s="350"/>
      <c r="S192" s="350"/>
      <c r="T192" s="350"/>
      <c r="U192" s="350"/>
    </row>
    <row r="193" spans="1:21" ht="15.75" customHeight="1">
      <c r="A193" s="350"/>
      <c r="B193" s="350"/>
      <c r="C193" s="350"/>
      <c r="D193" s="350"/>
      <c r="E193" s="350"/>
      <c r="F193" s="350"/>
      <c r="G193" s="350"/>
      <c r="H193" s="350"/>
      <c r="I193" s="350"/>
      <c r="J193" s="350"/>
      <c r="K193" s="350"/>
      <c r="L193" s="350"/>
      <c r="M193" s="350"/>
      <c r="N193" s="350"/>
      <c r="O193" s="350"/>
      <c r="P193" s="350"/>
      <c r="Q193" s="350"/>
      <c r="R193" s="350"/>
      <c r="S193" s="350"/>
      <c r="T193" s="350"/>
      <c r="U193" s="350"/>
    </row>
    <row r="194" spans="1:21" ht="15.75" customHeight="1">
      <c r="A194" s="350"/>
      <c r="B194" s="350"/>
      <c r="C194" s="350"/>
      <c r="D194" s="350"/>
      <c r="E194" s="350"/>
      <c r="F194" s="350"/>
      <c r="G194" s="350"/>
      <c r="H194" s="350"/>
      <c r="I194" s="350"/>
      <c r="J194" s="350"/>
      <c r="K194" s="350"/>
      <c r="L194" s="350"/>
      <c r="M194" s="350"/>
      <c r="N194" s="350"/>
      <c r="O194" s="350"/>
      <c r="P194" s="350"/>
      <c r="Q194" s="350"/>
      <c r="R194" s="350"/>
      <c r="S194" s="350"/>
      <c r="T194" s="350"/>
      <c r="U194" s="350"/>
    </row>
    <row r="195" spans="1:21" ht="15.75" customHeight="1">
      <c r="A195" s="350"/>
      <c r="B195" s="350"/>
      <c r="C195" s="350"/>
      <c r="D195" s="350"/>
      <c r="E195" s="350"/>
      <c r="F195" s="350"/>
      <c r="G195" s="350"/>
      <c r="H195" s="350"/>
      <c r="I195" s="350"/>
      <c r="J195" s="350"/>
      <c r="K195" s="350"/>
      <c r="L195" s="350"/>
      <c r="M195" s="350"/>
      <c r="N195" s="350"/>
      <c r="O195" s="350"/>
      <c r="P195" s="350"/>
      <c r="Q195" s="350"/>
      <c r="R195" s="350"/>
      <c r="S195" s="350"/>
      <c r="T195" s="350"/>
      <c r="U195" s="350"/>
    </row>
    <row r="196" spans="1:21" ht="15.75" customHeight="1">
      <c r="A196" s="350"/>
      <c r="B196" s="350"/>
      <c r="C196" s="350"/>
      <c r="D196" s="350"/>
      <c r="E196" s="350"/>
      <c r="F196" s="350"/>
      <c r="G196" s="350"/>
      <c r="H196" s="350"/>
      <c r="I196" s="350"/>
      <c r="J196" s="350"/>
      <c r="K196" s="350"/>
      <c r="L196" s="350"/>
      <c r="M196" s="350"/>
      <c r="N196" s="350"/>
      <c r="O196" s="350"/>
      <c r="P196" s="350"/>
      <c r="Q196" s="350"/>
      <c r="R196" s="350"/>
      <c r="S196" s="350"/>
      <c r="T196" s="350"/>
      <c r="U196" s="350"/>
    </row>
    <row r="197" spans="1:21" ht="15.75" customHeight="1"/>
    <row r="198" spans="1:21" ht="15.75" customHeight="1"/>
    <row r="199" spans="1:21" ht="15.75" customHeight="1"/>
    <row r="200" spans="1:21" ht="15.75" customHeight="1"/>
    <row r="201" spans="1:21" ht="15.75" customHeight="1"/>
    <row r="202" spans="1:21" ht="15.75" customHeight="1"/>
    <row r="203" spans="1:21" ht="15.75" customHeight="1"/>
    <row r="204" spans="1:21" ht="15.75" customHeight="1"/>
    <row r="205" spans="1:21" ht="15.75" customHeight="1"/>
    <row r="206" spans="1:21" ht="15.75" customHeight="1"/>
    <row r="207" spans="1:21" ht="15.75" customHeight="1"/>
    <row r="208" spans="1:21"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70</v>
      </c>
      <c r="B2" s="105">
        <f t="shared" ref="B2:U2" si="0">C2/(1+B41-B3)</f>
        <v>4001487.5466605094</v>
      </c>
      <c r="C2" s="105">
        <f t="shared" si="0"/>
        <v>4081517.2975937198</v>
      </c>
      <c r="D2" s="105">
        <f t="shared" si="0"/>
        <v>4163147.6435455941</v>
      </c>
      <c r="E2" s="105">
        <f t="shared" si="0"/>
        <v>4246410.596416506</v>
      </c>
      <c r="F2" s="105">
        <f t="shared" si="0"/>
        <v>4331338.8083448363</v>
      </c>
      <c r="G2" s="105">
        <f t="shared" si="0"/>
        <v>4417965.5845117336</v>
      </c>
      <c r="H2" s="105">
        <f t="shared" si="0"/>
        <v>4506324.8962019682</v>
      </c>
      <c r="I2" s="105">
        <f t="shared" si="0"/>
        <v>4596451.3941260073</v>
      </c>
      <c r="J2" s="105">
        <f t="shared" si="0"/>
        <v>4688380.4220085274</v>
      </c>
      <c r="K2" s="105">
        <f t="shared" si="0"/>
        <v>4782148.0304486984</v>
      </c>
      <c r="L2" s="105">
        <f t="shared" si="0"/>
        <v>4877790.9910576725</v>
      </c>
      <c r="M2" s="105">
        <f t="shared" si="0"/>
        <v>4975346.8108788263</v>
      </c>
      <c r="N2" s="105">
        <f t="shared" si="0"/>
        <v>5074853.7470964026</v>
      </c>
      <c r="O2" s="105">
        <f t="shared" si="0"/>
        <v>5176350.8220383311</v>
      </c>
      <c r="P2" s="105">
        <f t="shared" si="0"/>
        <v>5279877.8384790979</v>
      </c>
      <c r="Q2" s="105">
        <f t="shared" si="0"/>
        <v>5385475.3952486804</v>
      </c>
      <c r="R2" s="105">
        <f t="shared" si="0"/>
        <v>5493184.9031536542</v>
      </c>
      <c r="S2" s="105">
        <f t="shared" si="0"/>
        <v>5603048.6012167269</v>
      </c>
      <c r="T2" s="105">
        <f t="shared" si="0"/>
        <v>5715109.5732410615</v>
      </c>
      <c r="U2" s="105">
        <f t="shared" si="0"/>
        <v>5829411.7647058824</v>
      </c>
      <c r="V2" s="105">
        <v>5946000</v>
      </c>
      <c r="W2" s="105">
        <f t="shared" ref="W2:AZ2" si="1">V2*(1+V41-V3)</f>
        <v>6064920</v>
      </c>
      <c r="X2" s="105">
        <f t="shared" si="1"/>
        <v>6186218.4000000004</v>
      </c>
      <c r="Y2" s="105">
        <f t="shared" si="1"/>
        <v>6309942.7680000002</v>
      </c>
      <c r="Z2" s="105">
        <f t="shared" si="1"/>
        <v>6436141.6233600006</v>
      </c>
      <c r="AA2" s="105">
        <f t="shared" si="1"/>
        <v>6564864.4558272008</v>
      </c>
      <c r="AB2" s="105">
        <f t="shared" si="1"/>
        <v>6696161.7449437445</v>
      </c>
      <c r="AC2" s="105">
        <f t="shared" si="1"/>
        <v>6830084.97984262</v>
      </c>
      <c r="AD2" s="105">
        <f t="shared" si="1"/>
        <v>6966686.679439472</v>
      </c>
      <c r="AE2" s="105">
        <f t="shared" si="1"/>
        <v>7106020.4130282616</v>
      </c>
      <c r="AF2" s="105">
        <f t="shared" si="1"/>
        <v>7248140.8212888269</v>
      </c>
      <c r="AG2" s="105">
        <f t="shared" si="1"/>
        <v>7393103.6377146039</v>
      </c>
      <c r="AH2" s="105">
        <f t="shared" si="1"/>
        <v>7540965.7104688957</v>
      </c>
      <c r="AI2" s="105">
        <f t="shared" si="1"/>
        <v>7691785.0246782741</v>
      </c>
      <c r="AJ2" s="105">
        <f t="shared" si="1"/>
        <v>7845620.7251718398</v>
      </c>
      <c r="AK2" s="105">
        <f t="shared" si="1"/>
        <v>8002533.1396752764</v>
      </c>
      <c r="AL2" s="105">
        <f t="shared" si="1"/>
        <v>8162583.8024687823</v>
      </c>
      <c r="AM2" s="105">
        <f t="shared" si="1"/>
        <v>8325835.4785181582</v>
      </c>
      <c r="AN2" s="105">
        <f t="shared" si="1"/>
        <v>8492352.1880885214</v>
      </c>
      <c r="AO2" s="105">
        <f t="shared" si="1"/>
        <v>8662199.2318502925</v>
      </c>
      <c r="AP2" s="105">
        <f t="shared" si="1"/>
        <v>8835443.2164872978</v>
      </c>
      <c r="AQ2" s="105">
        <f t="shared" si="1"/>
        <v>9012152.0808170438</v>
      </c>
      <c r="AR2" s="105">
        <f t="shared" si="1"/>
        <v>9192395.1224333849</v>
      </c>
      <c r="AS2" s="105">
        <f t="shared" si="1"/>
        <v>9376243.0248820521</v>
      </c>
      <c r="AT2" s="105">
        <f t="shared" si="1"/>
        <v>9563767.8853796925</v>
      </c>
      <c r="AU2" s="105">
        <f t="shared" si="1"/>
        <v>9755043.2430872861</v>
      </c>
      <c r="AV2" s="105">
        <f t="shared" si="1"/>
        <v>9950144.1079490315</v>
      </c>
      <c r="AW2" s="105">
        <f t="shared" si="1"/>
        <v>10149146.990108013</v>
      </c>
      <c r="AX2" s="105">
        <f t="shared" si="1"/>
        <v>10352129.929910174</v>
      </c>
      <c r="AY2" s="105">
        <f t="shared" si="1"/>
        <v>10559172.528508378</v>
      </c>
      <c r="AZ2" s="105">
        <f t="shared" si="1"/>
        <v>10770355.979078546</v>
      </c>
    </row>
    <row r="3" spans="1:52" ht="15" customHeight="1">
      <c r="A3" s="93" t="s">
        <v>72</v>
      </c>
      <c r="B3" s="330">
        <f t="shared" ref="B3:U3" si="2">C3</f>
        <v>0</v>
      </c>
      <c r="C3" s="330">
        <f t="shared" si="2"/>
        <v>0</v>
      </c>
      <c r="D3" s="330">
        <f t="shared" si="2"/>
        <v>0</v>
      </c>
      <c r="E3" s="330">
        <f t="shared" si="2"/>
        <v>0</v>
      </c>
      <c r="F3" s="330">
        <f t="shared" si="2"/>
        <v>0</v>
      </c>
      <c r="G3" s="330">
        <f t="shared" si="2"/>
        <v>0</v>
      </c>
      <c r="H3" s="330">
        <f t="shared" si="2"/>
        <v>0</v>
      </c>
      <c r="I3" s="330">
        <f t="shared" si="2"/>
        <v>0</v>
      </c>
      <c r="J3" s="330">
        <f t="shared" si="2"/>
        <v>0</v>
      </c>
      <c r="K3" s="330">
        <f t="shared" si="2"/>
        <v>0</v>
      </c>
      <c r="L3" s="330">
        <f t="shared" si="2"/>
        <v>0</v>
      </c>
      <c r="M3" s="330">
        <f t="shared" si="2"/>
        <v>0</v>
      </c>
      <c r="N3" s="330">
        <f t="shared" si="2"/>
        <v>0</v>
      </c>
      <c r="O3" s="330">
        <f t="shared" si="2"/>
        <v>0</v>
      </c>
      <c r="P3" s="330">
        <f t="shared" si="2"/>
        <v>0</v>
      </c>
      <c r="Q3" s="330">
        <f t="shared" si="2"/>
        <v>0</v>
      </c>
      <c r="R3" s="330">
        <f t="shared" si="2"/>
        <v>0</v>
      </c>
      <c r="S3" s="330">
        <f t="shared" si="2"/>
        <v>0</v>
      </c>
      <c r="T3" s="330">
        <f t="shared" si="2"/>
        <v>0</v>
      </c>
      <c r="U3" s="330">
        <f t="shared" si="2"/>
        <v>0</v>
      </c>
      <c r="V3" s="279">
        <v>0</v>
      </c>
      <c r="W3" s="247">
        <f t="shared" ref="W3:AZ3" si="3">V3</f>
        <v>0</v>
      </c>
      <c r="X3" s="247">
        <f t="shared" si="3"/>
        <v>0</v>
      </c>
      <c r="Y3" s="247">
        <f t="shared" si="3"/>
        <v>0</v>
      </c>
      <c r="Z3" s="247">
        <f t="shared" si="3"/>
        <v>0</v>
      </c>
      <c r="AA3" s="247">
        <f t="shared" si="3"/>
        <v>0</v>
      </c>
      <c r="AB3" s="247">
        <f t="shared" si="3"/>
        <v>0</v>
      </c>
      <c r="AC3" s="247">
        <f t="shared" si="3"/>
        <v>0</v>
      </c>
      <c r="AD3" s="247">
        <f t="shared" si="3"/>
        <v>0</v>
      </c>
      <c r="AE3" s="247">
        <f t="shared" si="3"/>
        <v>0</v>
      </c>
      <c r="AF3" s="247">
        <f t="shared" si="3"/>
        <v>0</v>
      </c>
      <c r="AG3" s="247">
        <f t="shared" si="3"/>
        <v>0</v>
      </c>
      <c r="AH3" s="247">
        <f t="shared" si="3"/>
        <v>0</v>
      </c>
      <c r="AI3" s="247">
        <f t="shared" si="3"/>
        <v>0</v>
      </c>
      <c r="AJ3" s="247">
        <f t="shared" si="3"/>
        <v>0</v>
      </c>
      <c r="AK3" s="247">
        <f t="shared" si="3"/>
        <v>0</v>
      </c>
      <c r="AL3" s="247">
        <f t="shared" si="3"/>
        <v>0</v>
      </c>
      <c r="AM3" s="247">
        <f t="shared" si="3"/>
        <v>0</v>
      </c>
      <c r="AN3" s="247">
        <f t="shared" si="3"/>
        <v>0</v>
      </c>
      <c r="AO3" s="247">
        <f t="shared" si="3"/>
        <v>0</v>
      </c>
      <c r="AP3" s="247">
        <f t="shared" si="3"/>
        <v>0</v>
      </c>
      <c r="AQ3" s="247">
        <f t="shared" si="3"/>
        <v>0</v>
      </c>
      <c r="AR3" s="247">
        <f t="shared" si="3"/>
        <v>0</v>
      </c>
      <c r="AS3" s="247">
        <f t="shared" si="3"/>
        <v>0</v>
      </c>
      <c r="AT3" s="247">
        <f t="shared" si="3"/>
        <v>0</v>
      </c>
      <c r="AU3" s="247">
        <f t="shared" si="3"/>
        <v>0</v>
      </c>
      <c r="AV3" s="247">
        <f t="shared" si="3"/>
        <v>0</v>
      </c>
      <c r="AW3" s="247">
        <f t="shared" si="3"/>
        <v>0</v>
      </c>
      <c r="AX3" s="247">
        <f t="shared" si="3"/>
        <v>0</v>
      </c>
      <c r="AY3" s="247">
        <f t="shared" si="3"/>
        <v>0</v>
      </c>
      <c r="AZ3" s="247">
        <f t="shared" si="3"/>
        <v>0</v>
      </c>
    </row>
    <row r="4" spans="1:52" ht="15" customHeight="1">
      <c r="A4" s="93" t="s">
        <v>74</v>
      </c>
      <c r="B4" s="93"/>
      <c r="C4" s="93"/>
      <c r="D4" s="93"/>
      <c r="E4" s="93"/>
      <c r="F4" s="93"/>
      <c r="G4" s="93"/>
      <c r="H4" s="93"/>
      <c r="I4" s="93"/>
      <c r="J4" s="93"/>
      <c r="K4" s="93"/>
      <c r="L4" s="93"/>
      <c r="M4" s="93"/>
      <c r="N4" s="93"/>
      <c r="O4" s="93"/>
      <c r="P4" s="93"/>
      <c r="Q4" s="93"/>
      <c r="R4" s="93"/>
      <c r="S4" s="93"/>
      <c r="T4" s="93"/>
      <c r="U4" s="93"/>
      <c r="V4" s="245">
        <v>0.4</v>
      </c>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row>
    <row r="5" spans="1:52" ht="15" customHeight="1">
      <c r="A5" s="93" t="s">
        <v>76</v>
      </c>
      <c r="B5" s="93"/>
      <c r="C5" s="93"/>
      <c r="D5" s="93"/>
      <c r="E5" s="93"/>
      <c r="F5" s="93"/>
      <c r="G5" s="93"/>
      <c r="H5" s="93"/>
      <c r="I5" s="93"/>
      <c r="J5" s="93"/>
      <c r="K5" s="93"/>
      <c r="L5" s="93"/>
      <c r="M5" s="93"/>
      <c r="N5" s="93"/>
      <c r="O5" s="93"/>
      <c r="P5" s="93"/>
      <c r="Q5" s="93"/>
      <c r="R5" s="93"/>
      <c r="S5" s="93"/>
      <c r="T5" s="93"/>
      <c r="U5" s="93"/>
      <c r="V5" s="245">
        <f>1-V4</f>
        <v>0.6</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78</v>
      </c>
      <c r="B6" s="93"/>
      <c r="C6" s="93"/>
      <c r="D6" s="93"/>
      <c r="E6" s="93"/>
      <c r="F6" s="93"/>
      <c r="G6" s="93"/>
      <c r="H6" s="93"/>
      <c r="I6" s="93"/>
      <c r="J6" s="93"/>
      <c r="K6" s="93"/>
      <c r="L6" s="93"/>
      <c r="M6" s="93"/>
      <c r="N6" s="93"/>
      <c r="O6" s="93"/>
      <c r="P6" s="93"/>
      <c r="Q6" s="93"/>
      <c r="R6" s="93"/>
      <c r="S6" s="93"/>
      <c r="T6" s="93"/>
      <c r="U6" s="93"/>
      <c r="V6" s="245">
        <v>4.7500000000000001E-2</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80</v>
      </c>
      <c r="B7" s="93"/>
      <c r="C7" s="93"/>
      <c r="D7" s="93"/>
      <c r="E7" s="93"/>
      <c r="F7" s="93"/>
      <c r="G7" s="93"/>
      <c r="H7" s="93"/>
      <c r="I7" s="93"/>
      <c r="J7" s="93"/>
      <c r="K7" s="93"/>
      <c r="L7" s="93"/>
      <c r="M7" s="93"/>
      <c r="N7" s="93"/>
      <c r="O7" s="93"/>
      <c r="P7" s="93"/>
      <c r="Q7" s="93"/>
      <c r="R7" s="93"/>
      <c r="S7" s="93"/>
      <c r="T7" s="93"/>
      <c r="U7" s="93"/>
      <c r="V7" s="245">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82</v>
      </c>
      <c r="B8" s="93"/>
      <c r="C8" s="93"/>
      <c r="D8" s="93"/>
      <c r="E8" s="93"/>
      <c r="F8" s="93"/>
      <c r="G8" s="93"/>
      <c r="H8" s="93"/>
      <c r="I8" s="93"/>
      <c r="J8" s="93"/>
      <c r="K8" s="93"/>
      <c r="L8" s="93"/>
      <c r="M8" s="93"/>
      <c r="N8" s="93"/>
      <c r="O8" s="93"/>
      <c r="P8" s="93"/>
      <c r="Q8" s="93"/>
      <c r="R8" s="93"/>
      <c r="S8" s="93"/>
      <c r="T8" s="93"/>
      <c r="U8" s="93"/>
      <c r="V8" s="245">
        <f>V4*V6+V5*V7</f>
        <v>6.7000000000000004E-2</v>
      </c>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row>
    <row r="9" spans="1:52" ht="15" customHeight="1">
      <c r="A9" s="93" t="s">
        <v>84</v>
      </c>
      <c r="B9" s="93"/>
      <c r="C9" s="93"/>
      <c r="D9" s="93"/>
      <c r="E9" s="93"/>
      <c r="F9" s="93"/>
      <c r="G9" s="93"/>
      <c r="H9" s="93"/>
      <c r="I9" s="93"/>
      <c r="J9" s="93"/>
      <c r="K9" s="93"/>
      <c r="L9" s="93"/>
      <c r="M9" s="93"/>
      <c r="N9" s="93"/>
      <c r="O9" s="93"/>
      <c r="P9" s="93"/>
      <c r="Q9" s="93"/>
      <c r="R9" s="93"/>
      <c r="S9" s="93"/>
      <c r="T9" s="93"/>
      <c r="U9" s="93"/>
      <c r="V9" s="251">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row>
    <row r="10" spans="1:52" ht="15" customHeight="1">
      <c r="A10" s="93" t="s">
        <v>715</v>
      </c>
      <c r="B10" s="93"/>
      <c r="C10" s="93"/>
      <c r="D10" s="93"/>
      <c r="E10" s="93"/>
      <c r="F10" s="93"/>
      <c r="G10" s="93"/>
      <c r="H10" s="93"/>
      <c r="I10" s="93"/>
      <c r="J10" s="93"/>
      <c r="K10" s="93"/>
      <c r="L10" s="93"/>
      <c r="M10" s="93"/>
      <c r="N10" s="93"/>
      <c r="O10" s="93"/>
      <c r="P10" s="93"/>
      <c r="Q10" s="93"/>
      <c r="R10" s="93"/>
      <c r="S10" s="93"/>
      <c r="T10" s="93"/>
      <c r="U10" s="93"/>
      <c r="V10" s="335">
        <v>0.05</v>
      </c>
      <c r="W10" s="331">
        <v>9.5000000000000001E-2</v>
      </c>
      <c r="X10" s="331">
        <v>8.5500000000000007E-2</v>
      </c>
      <c r="Y10" s="331">
        <v>7.6999999999999999E-2</v>
      </c>
      <c r="Z10" s="331">
        <v>6.93E-2</v>
      </c>
      <c r="AA10" s="331">
        <v>6.2300000000000001E-2</v>
      </c>
      <c r="AB10" s="331">
        <v>5.8999999999999997E-2</v>
      </c>
      <c r="AC10" s="331">
        <v>5.8999999999999997E-2</v>
      </c>
      <c r="AD10" s="331">
        <v>5.91E-2</v>
      </c>
      <c r="AE10" s="331">
        <v>5.8999999999999997E-2</v>
      </c>
      <c r="AF10" s="331">
        <v>5.91E-2</v>
      </c>
      <c r="AG10" s="331">
        <v>5.8999999999999997E-2</v>
      </c>
      <c r="AH10" s="331">
        <v>5.91E-2</v>
      </c>
      <c r="AI10" s="331">
        <v>5.8999999999999997E-2</v>
      </c>
      <c r="AJ10" s="331">
        <v>5.91E-2</v>
      </c>
      <c r="AK10" s="331">
        <v>2.9499999999999998E-2</v>
      </c>
      <c r="AL10" s="331"/>
      <c r="AM10" s="331"/>
      <c r="AN10" s="331"/>
      <c r="AO10" s="331"/>
      <c r="AP10" s="331"/>
      <c r="AQ10" s="331"/>
      <c r="AR10" s="331"/>
      <c r="AS10" s="331"/>
      <c r="AT10" s="331"/>
      <c r="AU10" s="331"/>
      <c r="AV10" s="331"/>
      <c r="AW10" s="331"/>
      <c r="AX10" s="331"/>
      <c r="AY10" s="331"/>
      <c r="AZ10" s="331"/>
    </row>
    <row r="11" spans="1:52" ht="15" customHeight="1">
      <c r="A11" s="93" t="s">
        <v>88</v>
      </c>
      <c r="B11" s="93"/>
      <c r="C11" s="93"/>
      <c r="D11" s="93"/>
      <c r="E11" s="93"/>
      <c r="F11" s="93"/>
      <c r="G11" s="93"/>
      <c r="H11" s="93"/>
      <c r="I11" s="93"/>
      <c r="J11" s="93"/>
      <c r="K11" s="93"/>
      <c r="L11" s="93"/>
      <c r="M11" s="93"/>
      <c r="N11" s="93"/>
      <c r="O11" s="93"/>
      <c r="P11" s="93"/>
      <c r="Q11" s="93"/>
      <c r="R11" s="93"/>
      <c r="S11" s="93"/>
      <c r="T11" s="93"/>
      <c r="U11" s="93"/>
      <c r="V11" s="251">
        <v>5000</v>
      </c>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row>
    <row r="12" spans="1:52" ht="15" customHeight="1">
      <c r="A12" s="93" t="s">
        <v>90</v>
      </c>
      <c r="B12" s="93"/>
      <c r="C12" s="93"/>
      <c r="D12" s="93"/>
      <c r="E12" s="93"/>
      <c r="F12" s="93"/>
      <c r="G12" s="93"/>
      <c r="H12" s="93"/>
      <c r="I12" s="93"/>
      <c r="J12" s="93"/>
      <c r="K12" s="93"/>
      <c r="L12" s="93"/>
      <c r="M12" s="93"/>
      <c r="N12" s="93"/>
      <c r="O12" s="93"/>
      <c r="P12" s="93"/>
      <c r="Q12" s="93"/>
      <c r="R12" s="93"/>
      <c r="S12" s="93"/>
      <c r="T12" s="93"/>
      <c r="U12" s="93"/>
      <c r="V12" s="332">
        <v>6</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row>
    <row r="13" spans="1:52" ht="15" customHeight="1">
      <c r="A13" s="93" t="s">
        <v>92</v>
      </c>
      <c r="B13" s="93"/>
      <c r="C13" s="93"/>
      <c r="D13" s="93"/>
      <c r="E13" s="93"/>
      <c r="F13" s="93"/>
      <c r="G13" s="93"/>
      <c r="H13" s="93"/>
      <c r="I13" s="93"/>
      <c r="J13" s="93"/>
      <c r="K13" s="93"/>
      <c r="L13" s="93"/>
      <c r="M13" s="93"/>
      <c r="N13" s="93"/>
      <c r="O13" s="93"/>
      <c r="P13" s="93"/>
      <c r="Q13" s="93"/>
      <c r="R13" s="93"/>
      <c r="S13" s="93"/>
      <c r="T13" s="93"/>
      <c r="U13" s="93"/>
      <c r="V13" s="254">
        <f>1/V12</f>
        <v>0.16666666666666666</v>
      </c>
      <c r="W13" s="250"/>
      <c r="X13" s="250"/>
      <c r="Y13" s="250"/>
      <c r="Z13" s="250"/>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row>
    <row r="14" spans="1:52" ht="15" customHeight="1">
      <c r="A14" s="93" t="s">
        <v>94</v>
      </c>
      <c r="B14" s="93"/>
      <c r="C14" s="93"/>
      <c r="D14" s="93"/>
      <c r="E14" s="93"/>
      <c r="F14" s="93"/>
      <c r="G14" s="93"/>
      <c r="H14" s="93"/>
      <c r="I14" s="93"/>
      <c r="J14" s="93"/>
      <c r="K14" s="93"/>
      <c r="L14" s="93"/>
      <c r="M14" s="93"/>
      <c r="N14" s="93"/>
      <c r="O14" s="93"/>
      <c r="P14" s="93"/>
      <c r="Q14" s="93"/>
      <c r="R14" s="93"/>
      <c r="S14" s="93"/>
      <c r="T14" s="93"/>
      <c r="U14" s="93"/>
      <c r="V14" s="254">
        <v>0.92039175809678964</v>
      </c>
      <c r="W14" s="102">
        <f t="shared" ref="W14:AZ14" si="4">V14*(1+V16)</f>
        <v>0.92039175809678964</v>
      </c>
      <c r="X14" s="102">
        <f t="shared" si="4"/>
        <v>0.92039175809678964</v>
      </c>
      <c r="Y14" s="102">
        <f t="shared" si="4"/>
        <v>0.92039175809678964</v>
      </c>
      <c r="Z14" s="102">
        <f t="shared" si="4"/>
        <v>0.92039175809678964</v>
      </c>
      <c r="AA14" s="102">
        <f t="shared" si="4"/>
        <v>0.92039175809678964</v>
      </c>
      <c r="AB14" s="102">
        <f t="shared" si="4"/>
        <v>0.92039175809678964</v>
      </c>
      <c r="AC14" s="102">
        <f t="shared" si="4"/>
        <v>0.92039175809678964</v>
      </c>
      <c r="AD14" s="102">
        <f t="shared" si="4"/>
        <v>0.92039175809678964</v>
      </c>
      <c r="AE14" s="102">
        <f t="shared" si="4"/>
        <v>0.92039175809678964</v>
      </c>
      <c r="AF14" s="102">
        <f t="shared" si="4"/>
        <v>0.92039175809678964</v>
      </c>
      <c r="AG14" s="102">
        <f t="shared" si="4"/>
        <v>0.92039175809678964</v>
      </c>
      <c r="AH14" s="102">
        <f t="shared" si="4"/>
        <v>0.92039175809678964</v>
      </c>
      <c r="AI14" s="102">
        <f t="shared" si="4"/>
        <v>0.92039175809678964</v>
      </c>
      <c r="AJ14" s="102">
        <f t="shared" si="4"/>
        <v>0.92039175809678964</v>
      </c>
      <c r="AK14" s="102">
        <f t="shared" si="4"/>
        <v>0.92039175809678964</v>
      </c>
      <c r="AL14" s="102">
        <f t="shared" si="4"/>
        <v>0.92039175809678964</v>
      </c>
      <c r="AM14" s="102">
        <f t="shared" si="4"/>
        <v>0.92039175809678964</v>
      </c>
      <c r="AN14" s="102">
        <f t="shared" si="4"/>
        <v>0.92039175809678964</v>
      </c>
      <c r="AO14" s="102">
        <f t="shared" si="4"/>
        <v>0.92039175809678964</v>
      </c>
      <c r="AP14" s="102">
        <f t="shared" si="4"/>
        <v>0.92039175809678964</v>
      </c>
      <c r="AQ14" s="102">
        <f t="shared" si="4"/>
        <v>0.92039175809678964</v>
      </c>
      <c r="AR14" s="102">
        <f t="shared" si="4"/>
        <v>0.92039175809678964</v>
      </c>
      <c r="AS14" s="102">
        <f t="shared" si="4"/>
        <v>0.92039175809678964</v>
      </c>
      <c r="AT14" s="102">
        <f t="shared" si="4"/>
        <v>0.92039175809678964</v>
      </c>
      <c r="AU14" s="102">
        <f t="shared" si="4"/>
        <v>0.92039175809678964</v>
      </c>
      <c r="AV14" s="102">
        <f t="shared" si="4"/>
        <v>0.92039175809678964</v>
      </c>
      <c r="AW14" s="102">
        <f t="shared" si="4"/>
        <v>0.92039175809678964</v>
      </c>
      <c r="AX14" s="102">
        <f t="shared" si="4"/>
        <v>0.92039175809678964</v>
      </c>
      <c r="AY14" s="102">
        <f t="shared" si="4"/>
        <v>0.92039175809678964</v>
      </c>
      <c r="AZ14" s="102">
        <f t="shared" si="4"/>
        <v>0.92039175809678964</v>
      </c>
    </row>
    <row r="15" spans="1:52" ht="15" customHeight="1">
      <c r="A15" s="93" t="s">
        <v>96</v>
      </c>
      <c r="B15" s="93"/>
      <c r="C15" s="93"/>
      <c r="D15" s="93"/>
      <c r="E15" s="93"/>
      <c r="F15" s="93"/>
      <c r="G15" s="93"/>
      <c r="H15" s="93"/>
      <c r="I15" s="93"/>
      <c r="J15" s="93"/>
      <c r="K15" s="93"/>
      <c r="L15" s="93"/>
      <c r="M15" s="93"/>
      <c r="N15" s="93"/>
      <c r="O15" s="93"/>
      <c r="P15" s="93"/>
      <c r="Q15" s="93"/>
      <c r="R15" s="93"/>
      <c r="S15" s="93"/>
      <c r="T15" s="93"/>
      <c r="U15" s="93"/>
      <c r="V15" s="254">
        <v>0.96</v>
      </c>
      <c r="W15" s="102">
        <f t="shared" ref="W15:AZ15" si="5">V15</f>
        <v>0.96</v>
      </c>
      <c r="X15" s="102">
        <f t="shared" si="5"/>
        <v>0.96</v>
      </c>
      <c r="Y15" s="102">
        <f t="shared" si="5"/>
        <v>0.96</v>
      </c>
      <c r="Z15" s="102">
        <f t="shared" si="5"/>
        <v>0.96</v>
      </c>
      <c r="AA15" s="102">
        <f t="shared" si="5"/>
        <v>0.96</v>
      </c>
      <c r="AB15" s="102">
        <f t="shared" si="5"/>
        <v>0.96</v>
      </c>
      <c r="AC15" s="102">
        <f t="shared" si="5"/>
        <v>0.96</v>
      </c>
      <c r="AD15" s="102">
        <f t="shared" si="5"/>
        <v>0.96</v>
      </c>
      <c r="AE15" s="102">
        <f t="shared" si="5"/>
        <v>0.96</v>
      </c>
      <c r="AF15" s="102">
        <f t="shared" si="5"/>
        <v>0.96</v>
      </c>
      <c r="AG15" s="102">
        <f t="shared" si="5"/>
        <v>0.96</v>
      </c>
      <c r="AH15" s="102">
        <f t="shared" si="5"/>
        <v>0.96</v>
      </c>
      <c r="AI15" s="102">
        <f t="shared" si="5"/>
        <v>0.96</v>
      </c>
      <c r="AJ15" s="102">
        <f t="shared" si="5"/>
        <v>0.96</v>
      </c>
      <c r="AK15" s="102">
        <f t="shared" si="5"/>
        <v>0.96</v>
      </c>
      <c r="AL15" s="102">
        <f t="shared" si="5"/>
        <v>0.96</v>
      </c>
      <c r="AM15" s="102">
        <f t="shared" si="5"/>
        <v>0.96</v>
      </c>
      <c r="AN15" s="102">
        <f t="shared" si="5"/>
        <v>0.96</v>
      </c>
      <c r="AO15" s="102">
        <f t="shared" si="5"/>
        <v>0.96</v>
      </c>
      <c r="AP15" s="102">
        <f t="shared" si="5"/>
        <v>0.96</v>
      </c>
      <c r="AQ15" s="102">
        <f t="shared" si="5"/>
        <v>0.96</v>
      </c>
      <c r="AR15" s="102">
        <f t="shared" si="5"/>
        <v>0.96</v>
      </c>
      <c r="AS15" s="102">
        <f t="shared" si="5"/>
        <v>0.96</v>
      </c>
      <c r="AT15" s="102">
        <f t="shared" si="5"/>
        <v>0.96</v>
      </c>
      <c r="AU15" s="102">
        <f t="shared" si="5"/>
        <v>0.96</v>
      </c>
      <c r="AV15" s="102">
        <f t="shared" si="5"/>
        <v>0.96</v>
      </c>
      <c r="AW15" s="102">
        <f t="shared" si="5"/>
        <v>0.96</v>
      </c>
      <c r="AX15" s="102">
        <f t="shared" si="5"/>
        <v>0.96</v>
      </c>
      <c r="AY15" s="102">
        <f t="shared" si="5"/>
        <v>0.96</v>
      </c>
      <c r="AZ15" s="102">
        <f t="shared" si="5"/>
        <v>0.96</v>
      </c>
    </row>
    <row r="16" spans="1:52" ht="15" customHeight="1">
      <c r="A16" s="93" t="s">
        <v>98</v>
      </c>
      <c r="B16" s="93"/>
      <c r="C16" s="93"/>
      <c r="D16" s="93"/>
      <c r="E16" s="93"/>
      <c r="F16" s="93"/>
      <c r="G16" s="93"/>
      <c r="H16" s="93"/>
      <c r="I16" s="93"/>
      <c r="J16" s="93"/>
      <c r="K16" s="93"/>
      <c r="L16" s="93"/>
      <c r="M16" s="93"/>
      <c r="N16" s="93"/>
      <c r="O16" s="93"/>
      <c r="P16" s="93"/>
      <c r="Q16" s="93"/>
      <c r="R16" s="93"/>
      <c r="S16" s="93"/>
      <c r="T16" s="93"/>
      <c r="U16" s="93"/>
      <c r="V16" s="254">
        <v>0</v>
      </c>
      <c r="W16" s="102">
        <f t="shared" ref="W16:AZ16" si="6">V16</f>
        <v>0</v>
      </c>
      <c r="X16" s="102">
        <f t="shared" si="6"/>
        <v>0</v>
      </c>
      <c r="Y16" s="102">
        <f t="shared" si="6"/>
        <v>0</v>
      </c>
      <c r="Z16" s="102">
        <f t="shared" si="6"/>
        <v>0</v>
      </c>
      <c r="AA16" s="102">
        <f t="shared" si="6"/>
        <v>0</v>
      </c>
      <c r="AB16" s="102">
        <f t="shared" si="6"/>
        <v>0</v>
      </c>
      <c r="AC16" s="102">
        <f t="shared" si="6"/>
        <v>0</v>
      </c>
      <c r="AD16" s="102">
        <f t="shared" si="6"/>
        <v>0</v>
      </c>
      <c r="AE16" s="102">
        <f t="shared" si="6"/>
        <v>0</v>
      </c>
      <c r="AF16" s="102">
        <f t="shared" si="6"/>
        <v>0</v>
      </c>
      <c r="AG16" s="102">
        <f t="shared" si="6"/>
        <v>0</v>
      </c>
      <c r="AH16" s="102">
        <f t="shared" si="6"/>
        <v>0</v>
      </c>
      <c r="AI16" s="102">
        <f t="shared" si="6"/>
        <v>0</v>
      </c>
      <c r="AJ16" s="102">
        <f t="shared" si="6"/>
        <v>0</v>
      </c>
      <c r="AK16" s="102">
        <f t="shared" si="6"/>
        <v>0</v>
      </c>
      <c r="AL16" s="102">
        <f t="shared" si="6"/>
        <v>0</v>
      </c>
      <c r="AM16" s="102">
        <f t="shared" si="6"/>
        <v>0</v>
      </c>
      <c r="AN16" s="102">
        <f t="shared" si="6"/>
        <v>0</v>
      </c>
      <c r="AO16" s="102">
        <f t="shared" si="6"/>
        <v>0</v>
      </c>
      <c r="AP16" s="102">
        <f t="shared" si="6"/>
        <v>0</v>
      </c>
      <c r="AQ16" s="102">
        <f t="shared" si="6"/>
        <v>0</v>
      </c>
      <c r="AR16" s="102">
        <f t="shared" si="6"/>
        <v>0</v>
      </c>
      <c r="AS16" s="102">
        <f t="shared" si="6"/>
        <v>0</v>
      </c>
      <c r="AT16" s="102">
        <f t="shared" si="6"/>
        <v>0</v>
      </c>
      <c r="AU16" s="102">
        <f t="shared" si="6"/>
        <v>0</v>
      </c>
      <c r="AV16" s="102">
        <f t="shared" si="6"/>
        <v>0</v>
      </c>
      <c r="AW16" s="102">
        <f t="shared" si="6"/>
        <v>0</v>
      </c>
      <c r="AX16" s="102">
        <f t="shared" si="6"/>
        <v>0</v>
      </c>
      <c r="AY16" s="102">
        <f t="shared" si="6"/>
        <v>0</v>
      </c>
      <c r="AZ16" s="102">
        <f t="shared" si="6"/>
        <v>0</v>
      </c>
    </row>
    <row r="17" spans="1:52" ht="15" customHeight="1">
      <c r="A17" s="93" t="s">
        <v>100</v>
      </c>
      <c r="B17" s="93"/>
      <c r="C17" s="93"/>
      <c r="D17" s="93"/>
      <c r="E17" s="93"/>
      <c r="F17" s="93"/>
      <c r="G17" s="93"/>
      <c r="H17" s="93"/>
      <c r="I17" s="93"/>
      <c r="J17" s="93"/>
      <c r="K17" s="93"/>
      <c r="L17" s="93"/>
      <c r="M17" s="93"/>
      <c r="N17" s="93"/>
      <c r="O17" s="93"/>
      <c r="P17" s="93"/>
      <c r="Q17" s="93"/>
      <c r="R17" s="93"/>
      <c r="S17" s="93"/>
      <c r="T17" s="93"/>
      <c r="U17" s="93"/>
      <c r="V17" s="329">
        <v>101280</v>
      </c>
      <c r="W17" s="105">
        <f t="shared" ref="W17:AZ17" si="7">V17*(1+V41-V22)</f>
        <v>98970.816000000006</v>
      </c>
      <c r="X17" s="105">
        <f t="shared" si="7"/>
        <v>96714.281395200014</v>
      </c>
      <c r="Y17" s="105">
        <f t="shared" si="7"/>
        <v>94509.195779389454</v>
      </c>
      <c r="Z17" s="105">
        <f t="shared" si="7"/>
        <v>92354.386115619374</v>
      </c>
      <c r="AA17" s="105">
        <f t="shared" si="7"/>
        <v>90248.706112183252</v>
      </c>
      <c r="AB17" s="105">
        <f t="shared" si="7"/>
        <v>88191.035612825479</v>
      </c>
      <c r="AC17" s="105">
        <f t="shared" si="7"/>
        <v>88014.653541599822</v>
      </c>
      <c r="AD17" s="105">
        <f t="shared" si="7"/>
        <v>87838.624234516625</v>
      </c>
      <c r="AE17" s="105">
        <f t="shared" si="7"/>
        <v>87662.946986047595</v>
      </c>
      <c r="AF17" s="105">
        <f t="shared" si="7"/>
        <v>87487.621092075497</v>
      </c>
      <c r="AG17" s="105">
        <f t="shared" si="7"/>
        <v>87312.645849891342</v>
      </c>
      <c r="AH17" s="105">
        <f t="shared" si="7"/>
        <v>87138.020558191565</v>
      </c>
      <c r="AI17" s="105">
        <f t="shared" si="7"/>
        <v>86963.744517075189</v>
      </c>
      <c r="AJ17" s="105">
        <f t="shared" si="7"/>
        <v>86789.817028041041</v>
      </c>
      <c r="AK17" s="105">
        <f t="shared" si="7"/>
        <v>86616.237393984964</v>
      </c>
      <c r="AL17" s="105">
        <f t="shared" si="7"/>
        <v>86443.004919196988</v>
      </c>
      <c r="AM17" s="105">
        <f t="shared" si="7"/>
        <v>86270.1189093586</v>
      </c>
      <c r="AN17" s="105">
        <f t="shared" si="7"/>
        <v>86097.578671539886</v>
      </c>
      <c r="AO17" s="105">
        <f t="shared" si="7"/>
        <v>85925.383514196801</v>
      </c>
      <c r="AP17" s="105">
        <f t="shared" si="7"/>
        <v>85753.532747168414</v>
      </c>
      <c r="AQ17" s="105">
        <f t="shared" si="7"/>
        <v>85582.025681674073</v>
      </c>
      <c r="AR17" s="105">
        <f t="shared" si="7"/>
        <v>85410.861630310726</v>
      </c>
      <c r="AS17" s="105">
        <f t="shared" si="7"/>
        <v>85240.039907050101</v>
      </c>
      <c r="AT17" s="105">
        <f t="shared" si="7"/>
        <v>85069.559827236008</v>
      </c>
      <c r="AU17" s="105">
        <f t="shared" si="7"/>
        <v>84899.420707581536</v>
      </c>
      <c r="AV17" s="105">
        <f t="shared" si="7"/>
        <v>84729.621866166373</v>
      </c>
      <c r="AW17" s="105">
        <f t="shared" si="7"/>
        <v>84560.162622434043</v>
      </c>
      <c r="AX17" s="105">
        <f t="shared" si="7"/>
        <v>84391.042297189182</v>
      </c>
      <c r="AY17" s="105">
        <f t="shared" si="7"/>
        <v>84222.260212594803</v>
      </c>
      <c r="AZ17" s="105">
        <f t="shared" si="7"/>
        <v>84053.815692169606</v>
      </c>
    </row>
    <row r="18" spans="1:52" ht="15" customHeight="1">
      <c r="A18" s="93" t="s">
        <v>802</v>
      </c>
      <c r="B18" s="93"/>
      <c r="C18" s="93"/>
      <c r="D18" s="93"/>
      <c r="E18" s="93"/>
      <c r="F18" s="93"/>
      <c r="G18" s="93"/>
      <c r="H18" s="93"/>
      <c r="I18" s="93"/>
      <c r="J18" s="93"/>
      <c r="K18" s="93"/>
      <c r="L18" s="93"/>
      <c r="M18" s="93"/>
      <c r="N18" s="93"/>
      <c r="O18" s="93"/>
      <c r="P18" s="93"/>
      <c r="Q18" s="93"/>
      <c r="R18" s="93"/>
      <c r="S18" s="93"/>
      <c r="T18" s="93"/>
      <c r="U18" s="93"/>
      <c r="V18" s="97">
        <v>2.3199999999999998</v>
      </c>
      <c r="W18" s="91">
        <f t="shared" ref="W18:AZ18" si="8">V18*(1+V41-V22)</f>
        <v>2.2671039999999998</v>
      </c>
      <c r="X18" s="91">
        <f t="shared" si="8"/>
        <v>2.2154140288000002</v>
      </c>
      <c r="Y18" s="91">
        <f t="shared" si="8"/>
        <v>2.1649025889433604</v>
      </c>
      <c r="Z18" s="91">
        <f t="shared" si="8"/>
        <v>2.1155428099154521</v>
      </c>
      <c r="AA18" s="91">
        <f t="shared" si="8"/>
        <v>2.0673084338493801</v>
      </c>
      <c r="AB18" s="91">
        <f t="shared" si="8"/>
        <v>2.0201738015576143</v>
      </c>
      <c r="AC18" s="91">
        <f t="shared" si="8"/>
        <v>2.0161334539544988</v>
      </c>
      <c r="AD18" s="91">
        <f t="shared" si="8"/>
        <v>2.0121011870465897</v>
      </c>
      <c r="AE18" s="91">
        <f t="shared" si="8"/>
        <v>2.0080769846724964</v>
      </c>
      <c r="AF18" s="91">
        <f t="shared" si="8"/>
        <v>2.0040608307031516</v>
      </c>
      <c r="AG18" s="91">
        <f t="shared" si="8"/>
        <v>2.000052709041745</v>
      </c>
      <c r="AH18" s="91">
        <f t="shared" si="8"/>
        <v>1.9960526036236614</v>
      </c>
      <c r="AI18" s="91">
        <f t="shared" si="8"/>
        <v>1.9920604984164141</v>
      </c>
      <c r="AJ18" s="91">
        <f t="shared" si="8"/>
        <v>1.9880763774195813</v>
      </c>
      <c r="AK18" s="91">
        <f t="shared" si="8"/>
        <v>1.9841002246647421</v>
      </c>
      <c r="AL18" s="91">
        <f t="shared" si="8"/>
        <v>1.9801320242154126</v>
      </c>
      <c r="AM18" s="91">
        <f t="shared" si="8"/>
        <v>1.9761717601669817</v>
      </c>
      <c r="AN18" s="91">
        <f t="shared" si="8"/>
        <v>1.9722194166466478</v>
      </c>
      <c r="AO18" s="91">
        <f t="shared" si="8"/>
        <v>1.9682749778133546</v>
      </c>
      <c r="AP18" s="91">
        <f t="shared" si="8"/>
        <v>1.9643384278577278</v>
      </c>
      <c r="AQ18" s="91">
        <f t="shared" si="8"/>
        <v>1.9604097510020124</v>
      </c>
      <c r="AR18" s="91">
        <f t="shared" si="8"/>
        <v>1.9564889315000085</v>
      </c>
      <c r="AS18" s="91">
        <f t="shared" si="8"/>
        <v>1.9525759536370084</v>
      </c>
      <c r="AT18" s="91">
        <f t="shared" si="8"/>
        <v>1.9486708017297345</v>
      </c>
      <c r="AU18" s="91">
        <f t="shared" si="8"/>
        <v>1.9447734601262749</v>
      </c>
      <c r="AV18" s="91">
        <f t="shared" si="8"/>
        <v>1.9408839132060225</v>
      </c>
      <c r="AW18" s="91">
        <f t="shared" si="8"/>
        <v>1.9370021453796105</v>
      </c>
      <c r="AX18" s="91">
        <f t="shared" si="8"/>
        <v>1.9331281410888512</v>
      </c>
      <c r="AY18" s="91">
        <f t="shared" si="8"/>
        <v>1.9292618848066736</v>
      </c>
      <c r="AZ18" s="91">
        <f t="shared" si="8"/>
        <v>1.9254033610370602</v>
      </c>
    </row>
    <row r="19" spans="1:52" ht="15" customHeight="1">
      <c r="A19" s="356" t="s">
        <v>803</v>
      </c>
      <c r="B19" s="91">
        <f t="shared" ref="B19:R19" si="9">C19/(1+B41-B20)</f>
        <v>16.210924242354803</v>
      </c>
      <c r="C19" s="91">
        <f t="shared" si="9"/>
        <v>16.433013904475064</v>
      </c>
      <c r="D19" s="91">
        <f t="shared" si="9"/>
        <v>16.658146194966374</v>
      </c>
      <c r="E19" s="91">
        <f t="shared" si="9"/>
        <v>16.886362797837414</v>
      </c>
      <c r="F19" s="91">
        <f t="shared" si="9"/>
        <v>17.117705968167787</v>
      </c>
      <c r="G19" s="91">
        <f t="shared" si="9"/>
        <v>17.352218539931688</v>
      </c>
      <c r="H19" s="91">
        <f t="shared" si="9"/>
        <v>17.589943933928751</v>
      </c>
      <c r="I19" s="91">
        <f t="shared" si="9"/>
        <v>17.830926165823577</v>
      </c>
      <c r="J19" s="91">
        <f t="shared" si="9"/>
        <v>18.075209854295359</v>
      </c>
      <c r="K19" s="91">
        <f t="shared" si="9"/>
        <v>18.322840229299207</v>
      </c>
      <c r="L19" s="91">
        <f t="shared" si="9"/>
        <v>18.573863140440608</v>
      </c>
      <c r="M19" s="91">
        <f t="shared" si="9"/>
        <v>18.828325065464647</v>
      </c>
      <c r="N19" s="91">
        <f t="shared" si="9"/>
        <v>19.086273118861513</v>
      </c>
      <c r="O19" s="91">
        <f t="shared" si="9"/>
        <v>19.347755060589918</v>
      </c>
      <c r="P19" s="91">
        <f t="shared" si="9"/>
        <v>19.612819304920002</v>
      </c>
      <c r="Q19" s="91">
        <f t="shared" si="9"/>
        <v>19.881514929397408</v>
      </c>
      <c r="R19" s="91">
        <f t="shared" si="9"/>
        <v>20.153891683930155</v>
      </c>
      <c r="S19" s="348">
        <v>20.43</v>
      </c>
      <c r="T19" s="91">
        <f t="shared" ref="T19:AZ19" si="10">S19*(1+S41-S20)</f>
        <v>20.709890999999999</v>
      </c>
      <c r="U19" s="91">
        <f t="shared" si="10"/>
        <v>20.9936165067</v>
      </c>
      <c r="V19" s="96">
        <f t="shared" si="10"/>
        <v>21.281229052841791</v>
      </c>
      <c r="W19" s="91">
        <f t="shared" si="10"/>
        <v>21.572781890865723</v>
      </c>
      <c r="X19" s="91">
        <f t="shared" si="10"/>
        <v>21.868329002770587</v>
      </c>
      <c r="Y19" s="91">
        <f t="shared" si="10"/>
        <v>22.167925110108545</v>
      </c>
      <c r="Z19" s="91">
        <f t="shared" si="10"/>
        <v>22.471625684117033</v>
      </c>
      <c r="AA19" s="91">
        <f t="shared" si="10"/>
        <v>22.779486955989437</v>
      </c>
      <c r="AB19" s="91">
        <f t="shared" si="10"/>
        <v>23.091565927286492</v>
      </c>
      <c r="AC19" s="91">
        <f t="shared" si="10"/>
        <v>23.407920380490317</v>
      </c>
      <c r="AD19" s="91">
        <f t="shared" si="10"/>
        <v>23.728608889703036</v>
      </c>
      <c r="AE19" s="91">
        <f t="shared" si="10"/>
        <v>24.05369083149197</v>
      </c>
      <c r="AF19" s="91">
        <f t="shared" si="10"/>
        <v>24.383226395883412</v>
      </c>
      <c r="AG19" s="91">
        <f t="shared" si="10"/>
        <v>24.717276597507016</v>
      </c>
      <c r="AH19" s="91">
        <f t="shared" si="10"/>
        <v>25.055903286892864</v>
      </c>
      <c r="AI19" s="91">
        <f t="shared" si="10"/>
        <v>25.399169161923297</v>
      </c>
      <c r="AJ19" s="91">
        <f t="shared" si="10"/>
        <v>25.747137779441648</v>
      </c>
      <c r="AK19" s="91">
        <f t="shared" si="10"/>
        <v>26.099873567019998</v>
      </c>
      <c r="AL19" s="91">
        <f t="shared" si="10"/>
        <v>26.457441834888172</v>
      </c>
      <c r="AM19" s="91">
        <f t="shared" si="10"/>
        <v>26.81990878802614</v>
      </c>
      <c r="AN19" s="91">
        <f t="shared" si="10"/>
        <v>27.1873415384221</v>
      </c>
      <c r="AO19" s="91">
        <f t="shared" si="10"/>
        <v>27.559808117498484</v>
      </c>
      <c r="AP19" s="91">
        <f t="shared" si="10"/>
        <v>27.937377488708215</v>
      </c>
      <c r="AQ19" s="91">
        <f t="shared" si="10"/>
        <v>28.320119560303517</v>
      </c>
      <c r="AR19" s="91">
        <f t="shared" si="10"/>
        <v>28.708105198279675</v>
      </c>
      <c r="AS19" s="91">
        <f t="shared" si="10"/>
        <v>29.101406239496107</v>
      </c>
      <c r="AT19" s="91">
        <f t="shared" si="10"/>
        <v>29.500095504977207</v>
      </c>
      <c r="AU19" s="91">
        <f t="shared" si="10"/>
        <v>29.904246813395396</v>
      </c>
      <c r="AV19" s="91">
        <f t="shared" si="10"/>
        <v>30.313934994738915</v>
      </c>
      <c r="AW19" s="91">
        <f t="shared" si="10"/>
        <v>30.729235904166838</v>
      </c>
      <c r="AX19" s="91">
        <f t="shared" si="10"/>
        <v>31.150226436053927</v>
      </c>
      <c r="AY19" s="91">
        <f t="shared" si="10"/>
        <v>31.576984538227869</v>
      </c>
      <c r="AZ19" s="91">
        <f t="shared" si="10"/>
        <v>32.009589226401594</v>
      </c>
    </row>
    <row r="20" spans="1:52" ht="15" customHeight="1">
      <c r="A20" s="356" t="s">
        <v>106</v>
      </c>
      <c r="B20" s="357">
        <f t="shared" ref="B20:U20" si="11">C20</f>
        <v>6.3E-3</v>
      </c>
      <c r="C20" s="357">
        <f t="shared" si="11"/>
        <v>6.3E-3</v>
      </c>
      <c r="D20" s="357">
        <f t="shared" si="11"/>
        <v>6.3E-3</v>
      </c>
      <c r="E20" s="357">
        <f t="shared" si="11"/>
        <v>6.3E-3</v>
      </c>
      <c r="F20" s="357">
        <f t="shared" si="11"/>
        <v>6.3E-3</v>
      </c>
      <c r="G20" s="357">
        <f t="shared" si="11"/>
        <v>6.3E-3</v>
      </c>
      <c r="H20" s="357">
        <f t="shared" si="11"/>
        <v>6.3E-3</v>
      </c>
      <c r="I20" s="357">
        <f t="shared" si="11"/>
        <v>6.3E-3</v>
      </c>
      <c r="J20" s="357">
        <f t="shared" si="11"/>
        <v>6.3E-3</v>
      </c>
      <c r="K20" s="357">
        <f t="shared" si="11"/>
        <v>6.3E-3</v>
      </c>
      <c r="L20" s="357">
        <f t="shared" si="11"/>
        <v>6.3E-3</v>
      </c>
      <c r="M20" s="357">
        <f t="shared" si="11"/>
        <v>6.3E-3</v>
      </c>
      <c r="N20" s="357">
        <f t="shared" si="11"/>
        <v>6.3E-3</v>
      </c>
      <c r="O20" s="357">
        <f t="shared" si="11"/>
        <v>6.3E-3</v>
      </c>
      <c r="P20" s="357">
        <f t="shared" si="11"/>
        <v>6.3E-3</v>
      </c>
      <c r="Q20" s="357">
        <f t="shared" si="11"/>
        <v>6.3E-3</v>
      </c>
      <c r="R20" s="357">
        <f t="shared" si="11"/>
        <v>6.3E-3</v>
      </c>
      <c r="S20" s="357">
        <f t="shared" si="11"/>
        <v>6.3E-3</v>
      </c>
      <c r="T20" s="357">
        <f t="shared" si="11"/>
        <v>6.3E-3</v>
      </c>
      <c r="U20" s="357">
        <f t="shared" si="11"/>
        <v>6.3E-3</v>
      </c>
      <c r="V20" s="358">
        <v>6.3E-3</v>
      </c>
      <c r="W20" s="247">
        <f t="shared" ref="W20:AZ20" si="12">V20</f>
        <v>6.3E-3</v>
      </c>
      <c r="X20" s="247">
        <f t="shared" si="12"/>
        <v>6.3E-3</v>
      </c>
      <c r="Y20" s="247">
        <f t="shared" si="12"/>
        <v>6.3E-3</v>
      </c>
      <c r="Z20" s="247">
        <f t="shared" si="12"/>
        <v>6.3E-3</v>
      </c>
      <c r="AA20" s="247">
        <f t="shared" si="12"/>
        <v>6.3E-3</v>
      </c>
      <c r="AB20" s="247">
        <f t="shared" si="12"/>
        <v>6.3E-3</v>
      </c>
      <c r="AC20" s="247">
        <f t="shared" si="12"/>
        <v>6.3E-3</v>
      </c>
      <c r="AD20" s="247">
        <f t="shared" si="12"/>
        <v>6.3E-3</v>
      </c>
      <c r="AE20" s="247">
        <f t="shared" si="12"/>
        <v>6.3E-3</v>
      </c>
      <c r="AF20" s="247">
        <f t="shared" si="12"/>
        <v>6.3E-3</v>
      </c>
      <c r="AG20" s="247">
        <f t="shared" si="12"/>
        <v>6.3E-3</v>
      </c>
      <c r="AH20" s="247">
        <f t="shared" si="12"/>
        <v>6.3E-3</v>
      </c>
      <c r="AI20" s="247">
        <f t="shared" si="12"/>
        <v>6.3E-3</v>
      </c>
      <c r="AJ20" s="247">
        <f t="shared" si="12"/>
        <v>6.3E-3</v>
      </c>
      <c r="AK20" s="247">
        <f t="shared" si="12"/>
        <v>6.3E-3</v>
      </c>
      <c r="AL20" s="247">
        <f t="shared" si="12"/>
        <v>6.3E-3</v>
      </c>
      <c r="AM20" s="247">
        <f t="shared" si="12"/>
        <v>6.3E-3</v>
      </c>
      <c r="AN20" s="247">
        <f t="shared" si="12"/>
        <v>6.3E-3</v>
      </c>
      <c r="AO20" s="247">
        <f t="shared" si="12"/>
        <v>6.3E-3</v>
      </c>
      <c r="AP20" s="247">
        <f t="shared" si="12"/>
        <v>6.3E-3</v>
      </c>
      <c r="AQ20" s="247">
        <f t="shared" si="12"/>
        <v>6.3E-3</v>
      </c>
      <c r="AR20" s="247">
        <f t="shared" si="12"/>
        <v>6.3E-3</v>
      </c>
      <c r="AS20" s="247">
        <f t="shared" si="12"/>
        <v>6.3E-3</v>
      </c>
      <c r="AT20" s="247">
        <f t="shared" si="12"/>
        <v>6.3E-3</v>
      </c>
      <c r="AU20" s="247">
        <f t="shared" si="12"/>
        <v>6.3E-3</v>
      </c>
      <c r="AV20" s="247">
        <f t="shared" si="12"/>
        <v>6.3E-3</v>
      </c>
      <c r="AW20" s="247">
        <f t="shared" si="12"/>
        <v>6.3E-3</v>
      </c>
      <c r="AX20" s="247">
        <f t="shared" si="12"/>
        <v>6.3E-3</v>
      </c>
      <c r="AY20" s="247">
        <f t="shared" si="12"/>
        <v>6.3E-3</v>
      </c>
      <c r="AZ20" s="247">
        <f t="shared" si="12"/>
        <v>6.3E-3</v>
      </c>
    </row>
    <row r="21" spans="1:52" ht="15" customHeight="1">
      <c r="A21" s="356" t="s">
        <v>804</v>
      </c>
      <c r="B21" s="91">
        <f t="shared" ref="B21:R21" si="13">C21/(1+B41-B22)</f>
        <v>4.7420394147671727</v>
      </c>
      <c r="C21" s="91">
        <f t="shared" si="13"/>
        <v>4.836880203062516</v>
      </c>
      <c r="D21" s="91">
        <f t="shared" si="13"/>
        <v>4.933617807123766</v>
      </c>
      <c r="E21" s="91">
        <f t="shared" si="13"/>
        <v>5.0322901632662411</v>
      </c>
      <c r="F21" s="91">
        <f t="shared" si="13"/>
        <v>5.1329359665315657</v>
      </c>
      <c r="G21" s="91">
        <f t="shared" si="13"/>
        <v>5.2355946858621971</v>
      </c>
      <c r="H21" s="91">
        <f t="shared" si="13"/>
        <v>5.3403065795794413</v>
      </c>
      <c r="I21" s="91">
        <f t="shared" si="13"/>
        <v>5.4471127111710302</v>
      </c>
      <c r="J21" s="91">
        <f t="shared" si="13"/>
        <v>5.5560549653944511</v>
      </c>
      <c r="K21" s="91">
        <f t="shared" si="13"/>
        <v>5.6671760647023399</v>
      </c>
      <c r="L21" s="91">
        <f t="shared" si="13"/>
        <v>5.7805195859963865</v>
      </c>
      <c r="M21" s="91">
        <f t="shared" si="13"/>
        <v>5.8961299777163143</v>
      </c>
      <c r="N21" s="91">
        <f t="shared" si="13"/>
        <v>6.0140525772706406</v>
      </c>
      <c r="O21" s="91">
        <f t="shared" si="13"/>
        <v>6.1343336288160533</v>
      </c>
      <c r="P21" s="91">
        <f t="shared" si="13"/>
        <v>6.2570203013923749</v>
      </c>
      <c r="Q21" s="91">
        <f t="shared" si="13"/>
        <v>6.3821607074202227</v>
      </c>
      <c r="R21" s="91">
        <f t="shared" si="13"/>
        <v>6.5098039215686274</v>
      </c>
      <c r="S21" s="348">
        <v>6.64</v>
      </c>
      <c r="T21" s="91">
        <f t="shared" ref="T21:AZ21" si="14">S21*(1+S41-S22)</f>
        <v>6.7728000000000002</v>
      </c>
      <c r="U21" s="91">
        <f t="shared" si="14"/>
        <v>6.618380160000001</v>
      </c>
      <c r="V21" s="96">
        <f t="shared" si="14"/>
        <v>6.467481092352001</v>
      </c>
      <c r="W21" s="91">
        <f t="shared" si="14"/>
        <v>6.3200225234463758</v>
      </c>
      <c r="X21" s="91">
        <f t="shared" si="14"/>
        <v>6.175926009911799</v>
      </c>
      <c r="Y21" s="91">
        <f t="shared" si="14"/>
        <v>6.0351148968858102</v>
      </c>
      <c r="Z21" s="91">
        <f t="shared" si="14"/>
        <v>5.8975142772368141</v>
      </c>
      <c r="AA21" s="91">
        <f t="shared" si="14"/>
        <v>5.7630509517158153</v>
      </c>
      <c r="AB21" s="91">
        <f t="shared" si="14"/>
        <v>5.6316533900166954</v>
      </c>
      <c r="AC21" s="91">
        <f t="shared" si="14"/>
        <v>5.6203900832366616</v>
      </c>
      <c r="AD21" s="91">
        <f t="shared" si="14"/>
        <v>5.609149303070188</v>
      </c>
      <c r="AE21" s="91">
        <f t="shared" si="14"/>
        <v>5.5979310044640478</v>
      </c>
      <c r="AF21" s="91">
        <f t="shared" si="14"/>
        <v>5.5867351424551197</v>
      </c>
      <c r="AG21" s="91">
        <f t="shared" si="14"/>
        <v>5.5755616721702097</v>
      </c>
      <c r="AH21" s="91">
        <f t="shared" si="14"/>
        <v>5.5644105488258697</v>
      </c>
      <c r="AI21" s="91">
        <f t="shared" si="14"/>
        <v>5.5532817277282183</v>
      </c>
      <c r="AJ21" s="91">
        <f t="shared" si="14"/>
        <v>5.5421751642727619</v>
      </c>
      <c r="AK21" s="91">
        <f t="shared" si="14"/>
        <v>5.5310908139442168</v>
      </c>
      <c r="AL21" s="91">
        <f t="shared" si="14"/>
        <v>5.5200286323163281</v>
      </c>
      <c r="AM21" s="91">
        <f t="shared" si="14"/>
        <v>5.5089885750516956</v>
      </c>
      <c r="AN21" s="91">
        <f t="shared" si="14"/>
        <v>5.4979705979015918</v>
      </c>
      <c r="AO21" s="91">
        <f t="shared" si="14"/>
        <v>5.4869746567057884</v>
      </c>
      <c r="AP21" s="91">
        <f t="shared" si="14"/>
        <v>5.4760007073923767</v>
      </c>
      <c r="AQ21" s="91">
        <f t="shared" si="14"/>
        <v>5.4650487059775923</v>
      </c>
      <c r="AR21" s="91">
        <f t="shared" si="14"/>
        <v>5.4541186085656372</v>
      </c>
      <c r="AS21" s="91">
        <f t="shared" si="14"/>
        <v>5.4432103713485063</v>
      </c>
      <c r="AT21" s="91">
        <f t="shared" si="14"/>
        <v>5.4323239506058094</v>
      </c>
      <c r="AU21" s="91">
        <f t="shared" si="14"/>
        <v>5.4214593027045979</v>
      </c>
      <c r="AV21" s="91">
        <f t="shared" si="14"/>
        <v>5.410616384099189</v>
      </c>
      <c r="AW21" s="91">
        <f t="shared" si="14"/>
        <v>5.3997951513309905</v>
      </c>
      <c r="AX21" s="91">
        <f t="shared" si="14"/>
        <v>5.3889955610283282</v>
      </c>
      <c r="AY21" s="91">
        <f t="shared" si="14"/>
        <v>5.3782175699062718</v>
      </c>
      <c r="AZ21" s="91">
        <f t="shared" si="14"/>
        <v>5.3674611347664589</v>
      </c>
    </row>
    <row r="22" spans="1:52" ht="15" customHeight="1">
      <c r="A22" s="356" t="s">
        <v>72</v>
      </c>
      <c r="B22" s="357"/>
      <c r="C22" s="357"/>
      <c r="D22" s="357"/>
      <c r="E22" s="357"/>
      <c r="F22" s="357"/>
      <c r="G22" s="357"/>
      <c r="H22" s="357"/>
      <c r="I22" s="357"/>
      <c r="J22" s="357"/>
      <c r="K22" s="357"/>
      <c r="L22" s="357"/>
      <c r="M22" s="357"/>
      <c r="N22" s="357"/>
      <c r="O22" s="357"/>
      <c r="P22" s="357"/>
      <c r="Q22" s="357"/>
      <c r="R22" s="357"/>
      <c r="S22" s="357"/>
      <c r="T22" s="357">
        <f t="shared" ref="T22:U22" si="15">U22</f>
        <v>4.2799999999999998E-2</v>
      </c>
      <c r="U22" s="357">
        <f t="shared" si="15"/>
        <v>4.2799999999999998E-2</v>
      </c>
      <c r="V22" s="358">
        <v>4.2799999999999998E-2</v>
      </c>
      <c r="W22" s="247">
        <f t="shared" ref="W22:AA22" si="16">V22</f>
        <v>4.2799999999999998E-2</v>
      </c>
      <c r="X22" s="247">
        <f t="shared" si="16"/>
        <v>4.2799999999999998E-2</v>
      </c>
      <c r="Y22" s="247">
        <f t="shared" si="16"/>
        <v>4.2799999999999998E-2</v>
      </c>
      <c r="Z22" s="247">
        <f t="shared" si="16"/>
        <v>4.2799999999999998E-2</v>
      </c>
      <c r="AA22" s="247">
        <f t="shared" si="16"/>
        <v>4.2799999999999998E-2</v>
      </c>
      <c r="AB22" s="359">
        <v>2.1999999999999999E-2</v>
      </c>
      <c r="AC22" s="359">
        <f t="shared" ref="AC22:AZ22" si="17">AB22</f>
        <v>2.1999999999999999E-2</v>
      </c>
      <c r="AD22" s="359">
        <f t="shared" si="17"/>
        <v>2.1999999999999999E-2</v>
      </c>
      <c r="AE22" s="359">
        <f t="shared" si="17"/>
        <v>2.1999999999999999E-2</v>
      </c>
      <c r="AF22" s="359">
        <f t="shared" si="17"/>
        <v>2.1999999999999999E-2</v>
      </c>
      <c r="AG22" s="359">
        <f t="shared" si="17"/>
        <v>2.1999999999999999E-2</v>
      </c>
      <c r="AH22" s="359">
        <f t="shared" si="17"/>
        <v>2.1999999999999999E-2</v>
      </c>
      <c r="AI22" s="359">
        <f t="shared" si="17"/>
        <v>2.1999999999999999E-2</v>
      </c>
      <c r="AJ22" s="359">
        <f t="shared" si="17"/>
        <v>2.1999999999999999E-2</v>
      </c>
      <c r="AK22" s="359">
        <f t="shared" si="17"/>
        <v>2.1999999999999999E-2</v>
      </c>
      <c r="AL22" s="359">
        <f t="shared" si="17"/>
        <v>2.1999999999999999E-2</v>
      </c>
      <c r="AM22" s="359">
        <f t="shared" si="17"/>
        <v>2.1999999999999999E-2</v>
      </c>
      <c r="AN22" s="359">
        <f t="shared" si="17"/>
        <v>2.1999999999999999E-2</v>
      </c>
      <c r="AO22" s="359">
        <f t="shared" si="17"/>
        <v>2.1999999999999999E-2</v>
      </c>
      <c r="AP22" s="359">
        <f t="shared" si="17"/>
        <v>2.1999999999999999E-2</v>
      </c>
      <c r="AQ22" s="359">
        <f t="shared" si="17"/>
        <v>2.1999999999999999E-2</v>
      </c>
      <c r="AR22" s="359">
        <f t="shared" si="17"/>
        <v>2.1999999999999999E-2</v>
      </c>
      <c r="AS22" s="359">
        <f t="shared" si="17"/>
        <v>2.1999999999999999E-2</v>
      </c>
      <c r="AT22" s="359">
        <f t="shared" si="17"/>
        <v>2.1999999999999999E-2</v>
      </c>
      <c r="AU22" s="359">
        <f t="shared" si="17"/>
        <v>2.1999999999999999E-2</v>
      </c>
      <c r="AV22" s="359">
        <f t="shared" si="17"/>
        <v>2.1999999999999999E-2</v>
      </c>
      <c r="AW22" s="359">
        <f t="shared" si="17"/>
        <v>2.1999999999999999E-2</v>
      </c>
      <c r="AX22" s="359">
        <f t="shared" si="17"/>
        <v>2.1999999999999999E-2</v>
      </c>
      <c r="AY22" s="359">
        <f t="shared" si="17"/>
        <v>2.1999999999999999E-2</v>
      </c>
      <c r="AZ22" s="359">
        <f t="shared" si="17"/>
        <v>2.1999999999999999E-2</v>
      </c>
    </row>
    <row r="23" spans="1:52" ht="15" customHeight="1">
      <c r="A23" s="356" t="s">
        <v>107</v>
      </c>
      <c r="B23" s="356"/>
      <c r="C23" s="356"/>
      <c r="D23" s="356"/>
      <c r="E23" s="356"/>
      <c r="F23" s="356"/>
      <c r="G23" s="356"/>
      <c r="H23" s="356"/>
      <c r="I23" s="356"/>
      <c r="J23" s="356"/>
      <c r="K23" s="356"/>
      <c r="L23" s="356"/>
      <c r="M23" s="356"/>
      <c r="N23" s="356"/>
      <c r="O23" s="356"/>
      <c r="P23" s="356"/>
      <c r="Q23" s="356"/>
      <c r="R23" s="356"/>
      <c r="S23" s="356"/>
      <c r="T23" s="356"/>
      <c r="U23" s="356"/>
      <c r="V23" s="338">
        <v>10.46</v>
      </c>
      <c r="W23" s="94">
        <f t="shared" ref="W23:AE23" si="18">V23-($V$23-$AF$23)/10</f>
        <v>10.334000000000001</v>
      </c>
      <c r="X23" s="94">
        <f t="shared" si="18"/>
        <v>10.208000000000002</v>
      </c>
      <c r="Y23" s="94">
        <f t="shared" si="18"/>
        <v>10.082000000000003</v>
      </c>
      <c r="Z23" s="94">
        <f t="shared" si="18"/>
        <v>9.9560000000000031</v>
      </c>
      <c r="AA23" s="94">
        <f t="shared" si="18"/>
        <v>9.8300000000000036</v>
      </c>
      <c r="AB23" s="94">
        <f t="shared" si="18"/>
        <v>9.7040000000000042</v>
      </c>
      <c r="AC23" s="94">
        <f t="shared" si="18"/>
        <v>9.5780000000000047</v>
      </c>
      <c r="AD23" s="94">
        <f t="shared" si="18"/>
        <v>9.4520000000000053</v>
      </c>
      <c r="AE23" s="94">
        <f t="shared" si="18"/>
        <v>9.3260000000000058</v>
      </c>
      <c r="AF23" s="88">
        <v>9.1999999999999993</v>
      </c>
      <c r="AG23" s="88">
        <f t="shared" ref="AG23:AZ23" si="19">AF23</f>
        <v>9.1999999999999993</v>
      </c>
      <c r="AH23" s="88">
        <f t="shared" si="19"/>
        <v>9.1999999999999993</v>
      </c>
      <c r="AI23" s="88">
        <f t="shared" si="19"/>
        <v>9.1999999999999993</v>
      </c>
      <c r="AJ23" s="88">
        <f t="shared" si="19"/>
        <v>9.1999999999999993</v>
      </c>
      <c r="AK23" s="88">
        <f t="shared" si="19"/>
        <v>9.1999999999999993</v>
      </c>
      <c r="AL23" s="88">
        <f t="shared" si="19"/>
        <v>9.1999999999999993</v>
      </c>
      <c r="AM23" s="88">
        <f t="shared" si="19"/>
        <v>9.1999999999999993</v>
      </c>
      <c r="AN23" s="88">
        <f t="shared" si="19"/>
        <v>9.1999999999999993</v>
      </c>
      <c r="AO23" s="88">
        <f t="shared" si="19"/>
        <v>9.1999999999999993</v>
      </c>
      <c r="AP23" s="88">
        <f t="shared" si="19"/>
        <v>9.1999999999999993</v>
      </c>
      <c r="AQ23" s="88">
        <f t="shared" si="19"/>
        <v>9.1999999999999993</v>
      </c>
      <c r="AR23" s="88">
        <f t="shared" si="19"/>
        <v>9.1999999999999993</v>
      </c>
      <c r="AS23" s="88">
        <f t="shared" si="19"/>
        <v>9.1999999999999993</v>
      </c>
      <c r="AT23" s="88">
        <f t="shared" si="19"/>
        <v>9.1999999999999993</v>
      </c>
      <c r="AU23" s="88">
        <f t="shared" si="19"/>
        <v>9.1999999999999993</v>
      </c>
      <c r="AV23" s="88">
        <f t="shared" si="19"/>
        <v>9.1999999999999993</v>
      </c>
      <c r="AW23" s="88">
        <f t="shared" si="19"/>
        <v>9.1999999999999993</v>
      </c>
      <c r="AX23" s="88">
        <f t="shared" si="19"/>
        <v>9.1999999999999993</v>
      </c>
      <c r="AY23" s="88">
        <f t="shared" si="19"/>
        <v>9.1999999999999993</v>
      </c>
      <c r="AZ23" s="88">
        <f t="shared" si="19"/>
        <v>9.1999999999999993</v>
      </c>
    </row>
    <row r="24" spans="1:52" ht="15" customHeight="1">
      <c r="A24" s="356" t="s">
        <v>109</v>
      </c>
      <c r="B24" s="91">
        <f t="shared" ref="B24:R24" si="20">C24/(1+B41-B25)</f>
        <v>5.5675417493835981</v>
      </c>
      <c r="C24" s="91">
        <f t="shared" si="20"/>
        <v>5.6154226084282968</v>
      </c>
      <c r="D24" s="91">
        <f t="shared" si="20"/>
        <v>5.6637152428607802</v>
      </c>
      <c r="E24" s="91">
        <f t="shared" si="20"/>
        <v>5.7124231939493821</v>
      </c>
      <c r="F24" s="91">
        <f t="shared" si="20"/>
        <v>5.7615500334173468</v>
      </c>
      <c r="G24" s="91">
        <f t="shared" si="20"/>
        <v>5.8110993637047361</v>
      </c>
      <c r="H24" s="91">
        <f t="shared" si="20"/>
        <v>5.8610748182325967</v>
      </c>
      <c r="I24" s="91">
        <f t="shared" si="20"/>
        <v>5.9114800616693968</v>
      </c>
      <c r="J24" s="91">
        <f t="shared" si="20"/>
        <v>5.9623187901997534</v>
      </c>
      <c r="K24" s="91">
        <f t="shared" si="20"/>
        <v>6.0135947317954708</v>
      </c>
      <c r="L24" s="91">
        <f t="shared" si="20"/>
        <v>6.0653116464889116</v>
      </c>
      <c r="M24" s="91">
        <f t="shared" si="20"/>
        <v>6.1174733266487156</v>
      </c>
      <c r="N24" s="91">
        <f t="shared" si="20"/>
        <v>6.1700835972578938</v>
      </c>
      <c r="O24" s="91">
        <f t="shared" si="20"/>
        <v>6.2231463161943115</v>
      </c>
      <c r="P24" s="91">
        <f t="shared" si="20"/>
        <v>6.2766653745135823</v>
      </c>
      <c r="Q24" s="91">
        <f t="shared" si="20"/>
        <v>6.3306446967343986</v>
      </c>
      <c r="R24" s="91">
        <f t="shared" si="20"/>
        <v>6.3850882411263141</v>
      </c>
      <c r="S24" s="348">
        <v>6.44</v>
      </c>
      <c r="T24" s="91">
        <f t="shared" ref="T24:AZ24" si="21">S24*(1+S41-S25)</f>
        <v>6.4953839999999996</v>
      </c>
      <c r="U24" s="91">
        <f t="shared" si="21"/>
        <v>6.5512443023999989</v>
      </c>
      <c r="V24" s="96">
        <f t="shared" si="21"/>
        <v>6.6075850034006383</v>
      </c>
      <c r="W24" s="91">
        <f t="shared" si="21"/>
        <v>6.6644102344298837</v>
      </c>
      <c r="X24" s="91">
        <f t="shared" si="21"/>
        <v>6.7217241624459803</v>
      </c>
      <c r="Y24" s="91">
        <f t="shared" si="21"/>
        <v>6.779530990243015</v>
      </c>
      <c r="Z24" s="91">
        <f t="shared" si="21"/>
        <v>6.8378349567591048</v>
      </c>
      <c r="AA24" s="91">
        <f t="shared" si="21"/>
        <v>6.8966403373872325</v>
      </c>
      <c r="AB24" s="91">
        <f t="shared" si="21"/>
        <v>6.955951444288762</v>
      </c>
      <c r="AC24" s="91">
        <f t="shared" si="21"/>
        <v>7.0157726267096452</v>
      </c>
      <c r="AD24" s="91">
        <f t="shared" si="21"/>
        <v>7.0761082712993479</v>
      </c>
      <c r="AE24" s="91">
        <f t="shared" si="21"/>
        <v>7.1369628024325218</v>
      </c>
      <c r="AF24" s="91">
        <f t="shared" si="21"/>
        <v>7.1983406825334413</v>
      </c>
      <c r="AG24" s="91">
        <f t="shared" si="21"/>
        <v>7.2602464124032284</v>
      </c>
      <c r="AH24" s="91">
        <f t="shared" si="21"/>
        <v>7.3226845315498954</v>
      </c>
      <c r="AI24" s="91">
        <f t="shared" si="21"/>
        <v>7.385659618521224</v>
      </c>
      <c r="AJ24" s="91">
        <f t="shared" si="21"/>
        <v>7.449176291240506</v>
      </c>
      <c r="AK24" s="91">
        <f t="shared" si="21"/>
        <v>7.5132392073451735</v>
      </c>
      <c r="AL24" s="91">
        <f t="shared" si="21"/>
        <v>7.577853064528342</v>
      </c>
      <c r="AM24" s="91">
        <f t="shared" si="21"/>
        <v>7.6430226008832856</v>
      </c>
      <c r="AN24" s="91">
        <f t="shared" si="21"/>
        <v>7.7087525952508811</v>
      </c>
      <c r="AO24" s="91">
        <f t="shared" si="21"/>
        <v>7.7750478675700379</v>
      </c>
      <c r="AP24" s="91">
        <f t="shared" si="21"/>
        <v>7.8419132792311395</v>
      </c>
      <c r="AQ24" s="91">
        <f t="shared" si="21"/>
        <v>7.9093537334325266</v>
      </c>
      <c r="AR24" s="91">
        <f t="shared" si="21"/>
        <v>7.9773741755400458</v>
      </c>
      <c r="AS24" s="91">
        <f t="shared" si="21"/>
        <v>8.0459795934496903</v>
      </c>
      <c r="AT24" s="91">
        <f t="shared" si="21"/>
        <v>8.1151750179533568</v>
      </c>
      <c r="AU24" s="91">
        <f t="shared" si="21"/>
        <v>8.1849655231077545</v>
      </c>
      <c r="AV24" s="91">
        <f t="shared" si="21"/>
        <v>8.2553562266064802</v>
      </c>
      <c r="AW24" s="91">
        <f t="shared" si="21"/>
        <v>8.3263522901552953</v>
      </c>
      <c r="AX24" s="91">
        <f t="shared" si="21"/>
        <v>8.3979589198506304</v>
      </c>
      <c r="AY24" s="91">
        <f t="shared" si="21"/>
        <v>8.470181366561345</v>
      </c>
      <c r="AZ24" s="91">
        <f t="shared" si="21"/>
        <v>8.5430249263137714</v>
      </c>
    </row>
    <row r="25" spans="1:52" ht="15" customHeight="1">
      <c r="A25" s="356" t="s">
        <v>807</v>
      </c>
      <c r="B25" s="357">
        <f t="shared" ref="B25:U25" si="22">C25</f>
        <v>1.14E-2</v>
      </c>
      <c r="C25" s="357">
        <f t="shared" si="22"/>
        <v>1.14E-2</v>
      </c>
      <c r="D25" s="357">
        <f t="shared" si="22"/>
        <v>1.14E-2</v>
      </c>
      <c r="E25" s="357">
        <f t="shared" si="22"/>
        <v>1.14E-2</v>
      </c>
      <c r="F25" s="357">
        <f t="shared" si="22"/>
        <v>1.14E-2</v>
      </c>
      <c r="G25" s="357">
        <f t="shared" si="22"/>
        <v>1.14E-2</v>
      </c>
      <c r="H25" s="357">
        <f t="shared" si="22"/>
        <v>1.14E-2</v>
      </c>
      <c r="I25" s="357">
        <f t="shared" si="22"/>
        <v>1.14E-2</v>
      </c>
      <c r="J25" s="357">
        <f t="shared" si="22"/>
        <v>1.14E-2</v>
      </c>
      <c r="K25" s="357">
        <f t="shared" si="22"/>
        <v>1.14E-2</v>
      </c>
      <c r="L25" s="357">
        <f t="shared" si="22"/>
        <v>1.14E-2</v>
      </c>
      <c r="M25" s="357">
        <f t="shared" si="22"/>
        <v>1.14E-2</v>
      </c>
      <c r="N25" s="357">
        <f t="shared" si="22"/>
        <v>1.14E-2</v>
      </c>
      <c r="O25" s="357">
        <f t="shared" si="22"/>
        <v>1.14E-2</v>
      </c>
      <c r="P25" s="357">
        <f t="shared" si="22"/>
        <v>1.14E-2</v>
      </c>
      <c r="Q25" s="357">
        <f t="shared" si="22"/>
        <v>1.14E-2</v>
      </c>
      <c r="R25" s="357">
        <f t="shared" si="22"/>
        <v>1.14E-2</v>
      </c>
      <c r="S25" s="357">
        <f t="shared" si="22"/>
        <v>1.14E-2</v>
      </c>
      <c r="T25" s="357">
        <f t="shared" si="22"/>
        <v>1.14E-2</v>
      </c>
      <c r="U25" s="357">
        <f t="shared" si="22"/>
        <v>1.14E-2</v>
      </c>
      <c r="V25" s="358">
        <v>1.14E-2</v>
      </c>
      <c r="W25" s="331">
        <f t="shared" ref="W25:AZ25" si="23">V25</f>
        <v>1.14E-2</v>
      </c>
      <c r="X25" s="331">
        <f t="shared" si="23"/>
        <v>1.14E-2</v>
      </c>
      <c r="Y25" s="331">
        <f t="shared" si="23"/>
        <v>1.14E-2</v>
      </c>
      <c r="Z25" s="331">
        <f t="shared" si="23"/>
        <v>1.14E-2</v>
      </c>
      <c r="AA25" s="331">
        <f t="shared" si="23"/>
        <v>1.14E-2</v>
      </c>
      <c r="AB25" s="331">
        <f t="shared" si="23"/>
        <v>1.14E-2</v>
      </c>
      <c r="AC25" s="331">
        <f t="shared" si="23"/>
        <v>1.14E-2</v>
      </c>
      <c r="AD25" s="331">
        <f t="shared" si="23"/>
        <v>1.14E-2</v>
      </c>
      <c r="AE25" s="331">
        <f t="shared" si="23"/>
        <v>1.14E-2</v>
      </c>
      <c r="AF25" s="331">
        <f t="shared" si="23"/>
        <v>1.14E-2</v>
      </c>
      <c r="AG25" s="331">
        <f t="shared" si="23"/>
        <v>1.14E-2</v>
      </c>
      <c r="AH25" s="331">
        <f t="shared" si="23"/>
        <v>1.14E-2</v>
      </c>
      <c r="AI25" s="331">
        <f t="shared" si="23"/>
        <v>1.14E-2</v>
      </c>
      <c r="AJ25" s="331">
        <f t="shared" si="23"/>
        <v>1.14E-2</v>
      </c>
      <c r="AK25" s="331">
        <f t="shared" si="23"/>
        <v>1.14E-2</v>
      </c>
      <c r="AL25" s="331">
        <f t="shared" si="23"/>
        <v>1.14E-2</v>
      </c>
      <c r="AM25" s="331">
        <f t="shared" si="23"/>
        <v>1.14E-2</v>
      </c>
      <c r="AN25" s="331">
        <f t="shared" si="23"/>
        <v>1.14E-2</v>
      </c>
      <c r="AO25" s="331">
        <f t="shared" si="23"/>
        <v>1.14E-2</v>
      </c>
      <c r="AP25" s="331">
        <f t="shared" si="23"/>
        <v>1.14E-2</v>
      </c>
      <c r="AQ25" s="331">
        <f t="shared" si="23"/>
        <v>1.14E-2</v>
      </c>
      <c r="AR25" s="331">
        <f t="shared" si="23"/>
        <v>1.14E-2</v>
      </c>
      <c r="AS25" s="331">
        <f t="shared" si="23"/>
        <v>1.14E-2</v>
      </c>
      <c r="AT25" s="331">
        <f t="shared" si="23"/>
        <v>1.14E-2</v>
      </c>
      <c r="AU25" s="331">
        <f t="shared" si="23"/>
        <v>1.14E-2</v>
      </c>
      <c r="AV25" s="331">
        <f t="shared" si="23"/>
        <v>1.14E-2</v>
      </c>
      <c r="AW25" s="331">
        <f t="shared" si="23"/>
        <v>1.14E-2</v>
      </c>
      <c r="AX25" s="331">
        <f t="shared" si="23"/>
        <v>1.14E-2</v>
      </c>
      <c r="AY25" s="331">
        <f t="shared" si="23"/>
        <v>1.14E-2</v>
      </c>
      <c r="AZ25" s="331">
        <f t="shared" si="23"/>
        <v>1.14E-2</v>
      </c>
    </row>
    <row r="26" spans="1:52" ht="15" customHeight="1">
      <c r="A26" s="93" t="s">
        <v>111</v>
      </c>
      <c r="B26" s="93"/>
      <c r="C26" s="93"/>
      <c r="D26" s="93"/>
      <c r="E26" s="93"/>
      <c r="F26" s="93"/>
      <c r="G26" s="93"/>
      <c r="H26" s="93"/>
      <c r="I26" s="93"/>
      <c r="J26" s="93"/>
      <c r="K26" s="93"/>
      <c r="L26" s="93"/>
      <c r="M26" s="93"/>
      <c r="N26" s="93"/>
      <c r="O26" s="93"/>
      <c r="P26" s="93"/>
      <c r="Q26" s="93"/>
      <c r="R26" s="93"/>
      <c r="S26" s="93"/>
      <c r="T26" s="93"/>
      <c r="U26" s="93"/>
      <c r="V26" s="97"/>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row>
    <row r="27" spans="1:52" ht="15" customHeight="1">
      <c r="A27" s="93" t="s">
        <v>112</v>
      </c>
      <c r="B27" s="253">
        <v>0.35</v>
      </c>
      <c r="C27" s="253">
        <v>0.35</v>
      </c>
      <c r="D27" s="253">
        <v>0.35</v>
      </c>
      <c r="E27" s="253">
        <v>0.35</v>
      </c>
      <c r="F27" s="253">
        <v>0.35</v>
      </c>
      <c r="G27" s="253">
        <v>0.35</v>
      </c>
      <c r="H27" s="253">
        <v>0.35</v>
      </c>
      <c r="I27" s="253">
        <v>0.35</v>
      </c>
      <c r="J27" s="253">
        <v>0.35</v>
      </c>
      <c r="K27" s="253">
        <v>0.35</v>
      </c>
      <c r="L27" s="253">
        <v>0.35</v>
      </c>
      <c r="M27" s="253">
        <v>0.35</v>
      </c>
      <c r="N27" s="253">
        <v>0.35</v>
      </c>
      <c r="O27" s="253">
        <v>0.35</v>
      </c>
      <c r="P27" s="253">
        <v>0.35</v>
      </c>
      <c r="Q27" s="253">
        <v>0.35</v>
      </c>
      <c r="R27" s="253">
        <v>0.35</v>
      </c>
      <c r="S27" s="253">
        <v>0.35</v>
      </c>
      <c r="T27" s="253">
        <v>0.21</v>
      </c>
      <c r="U27" s="253">
        <v>0.21</v>
      </c>
      <c r="V27" s="254">
        <v>0.21</v>
      </c>
      <c r="W27" s="102">
        <f t="shared" ref="W27:AZ27" si="24">V27</f>
        <v>0.21</v>
      </c>
      <c r="X27" s="102">
        <f t="shared" si="24"/>
        <v>0.21</v>
      </c>
      <c r="Y27" s="102">
        <f t="shared" si="24"/>
        <v>0.21</v>
      </c>
      <c r="Z27" s="102">
        <f t="shared" si="24"/>
        <v>0.21</v>
      </c>
      <c r="AA27" s="102">
        <f t="shared" si="24"/>
        <v>0.21</v>
      </c>
      <c r="AB27" s="102">
        <f t="shared" si="24"/>
        <v>0.21</v>
      </c>
      <c r="AC27" s="102">
        <f t="shared" si="24"/>
        <v>0.21</v>
      </c>
      <c r="AD27" s="102">
        <f t="shared" si="24"/>
        <v>0.21</v>
      </c>
      <c r="AE27" s="102">
        <f t="shared" si="24"/>
        <v>0.21</v>
      </c>
      <c r="AF27" s="102">
        <f t="shared" si="24"/>
        <v>0.21</v>
      </c>
      <c r="AG27" s="102">
        <f t="shared" si="24"/>
        <v>0.21</v>
      </c>
      <c r="AH27" s="102">
        <f t="shared" si="24"/>
        <v>0.21</v>
      </c>
      <c r="AI27" s="102">
        <f t="shared" si="24"/>
        <v>0.21</v>
      </c>
      <c r="AJ27" s="102">
        <f t="shared" si="24"/>
        <v>0.21</v>
      </c>
      <c r="AK27" s="102">
        <f t="shared" si="24"/>
        <v>0.21</v>
      </c>
      <c r="AL27" s="102">
        <f t="shared" si="24"/>
        <v>0.21</v>
      </c>
      <c r="AM27" s="102">
        <f t="shared" si="24"/>
        <v>0.21</v>
      </c>
      <c r="AN27" s="102">
        <f t="shared" si="24"/>
        <v>0.21</v>
      </c>
      <c r="AO27" s="102">
        <f t="shared" si="24"/>
        <v>0.21</v>
      </c>
      <c r="AP27" s="102">
        <f t="shared" si="24"/>
        <v>0.21</v>
      </c>
      <c r="AQ27" s="102">
        <f t="shared" si="24"/>
        <v>0.21</v>
      </c>
      <c r="AR27" s="102">
        <f t="shared" si="24"/>
        <v>0.21</v>
      </c>
      <c r="AS27" s="102">
        <f t="shared" si="24"/>
        <v>0.21</v>
      </c>
      <c r="AT27" s="102">
        <f t="shared" si="24"/>
        <v>0.21</v>
      </c>
      <c r="AU27" s="102">
        <f t="shared" si="24"/>
        <v>0.21</v>
      </c>
      <c r="AV27" s="102">
        <f t="shared" si="24"/>
        <v>0.21</v>
      </c>
      <c r="AW27" s="102">
        <f t="shared" si="24"/>
        <v>0.21</v>
      </c>
      <c r="AX27" s="102">
        <f t="shared" si="24"/>
        <v>0.21</v>
      </c>
      <c r="AY27" s="102">
        <f t="shared" si="24"/>
        <v>0.21</v>
      </c>
      <c r="AZ27" s="102">
        <f t="shared" si="24"/>
        <v>0.21</v>
      </c>
    </row>
    <row r="28" spans="1:52" ht="15" customHeight="1">
      <c r="A28" s="93" t="s">
        <v>114</v>
      </c>
      <c r="B28" s="93"/>
      <c r="C28" s="93"/>
      <c r="D28" s="93"/>
      <c r="E28" s="93"/>
      <c r="F28" s="93"/>
      <c r="G28" s="93"/>
      <c r="H28" s="93"/>
      <c r="I28" s="93"/>
      <c r="J28" s="93"/>
      <c r="K28" s="93"/>
      <c r="L28" s="93"/>
      <c r="M28" s="93"/>
      <c r="N28" s="93"/>
      <c r="O28" s="93"/>
      <c r="P28" s="93"/>
      <c r="Q28" s="93"/>
      <c r="R28" s="93"/>
      <c r="S28" s="93"/>
      <c r="T28" s="93"/>
      <c r="U28" s="93"/>
      <c r="V28" s="97">
        <v>1.07</v>
      </c>
      <c r="W28" s="91">
        <f t="shared" ref="W28:AZ28" si="25">V28*(1+V41)</f>
        <v>1.0914000000000001</v>
      </c>
      <c r="X28" s="91">
        <f t="shared" si="25"/>
        <v>1.1132280000000001</v>
      </c>
      <c r="Y28" s="91">
        <f t="shared" si="25"/>
        <v>1.1354925600000001</v>
      </c>
      <c r="Z28" s="91">
        <f t="shared" si="25"/>
        <v>1.1582024112000002</v>
      </c>
      <c r="AA28" s="91">
        <f t="shared" si="25"/>
        <v>1.1813664594240003</v>
      </c>
      <c r="AB28" s="91">
        <f t="shared" si="25"/>
        <v>1.2049937886124804</v>
      </c>
      <c r="AC28" s="91">
        <f t="shared" si="25"/>
        <v>1.2290936643847301</v>
      </c>
      <c r="AD28" s="91">
        <f t="shared" si="25"/>
        <v>1.2536755376724247</v>
      </c>
      <c r="AE28" s="91">
        <f t="shared" si="25"/>
        <v>1.2787490484258732</v>
      </c>
      <c r="AF28" s="91">
        <f t="shared" si="25"/>
        <v>1.3043240293943907</v>
      </c>
      <c r="AG28" s="91">
        <f t="shared" si="25"/>
        <v>1.3304105099822785</v>
      </c>
      <c r="AH28" s="91">
        <f t="shared" si="25"/>
        <v>1.3570187201819242</v>
      </c>
      <c r="AI28" s="91">
        <f t="shared" si="25"/>
        <v>1.3841590945855626</v>
      </c>
      <c r="AJ28" s="91">
        <f t="shared" si="25"/>
        <v>1.411842276477274</v>
      </c>
      <c r="AK28" s="91">
        <f t="shared" si="25"/>
        <v>1.4400791220068194</v>
      </c>
      <c r="AL28" s="91">
        <f t="shared" si="25"/>
        <v>1.4688807044469558</v>
      </c>
      <c r="AM28" s="91">
        <f t="shared" si="25"/>
        <v>1.4982583185358951</v>
      </c>
      <c r="AN28" s="91">
        <f t="shared" si="25"/>
        <v>1.528223484906613</v>
      </c>
      <c r="AO28" s="91">
        <f t="shared" si="25"/>
        <v>1.5587879546047452</v>
      </c>
      <c r="AP28" s="91">
        <f t="shared" si="25"/>
        <v>1.5899637136968401</v>
      </c>
      <c r="AQ28" s="91">
        <f t="shared" si="25"/>
        <v>1.6217629879707769</v>
      </c>
      <c r="AR28" s="91">
        <f t="shared" si="25"/>
        <v>1.6541982477301924</v>
      </c>
      <c r="AS28" s="91">
        <f t="shared" si="25"/>
        <v>1.6872822126847964</v>
      </c>
      <c r="AT28" s="91">
        <f t="shared" si="25"/>
        <v>1.7210278569384923</v>
      </c>
      <c r="AU28" s="91">
        <f t="shared" si="25"/>
        <v>1.7554484140772622</v>
      </c>
      <c r="AV28" s="91">
        <f t="shared" si="25"/>
        <v>1.7905573823588075</v>
      </c>
      <c r="AW28" s="91">
        <f t="shared" si="25"/>
        <v>1.8263685300059835</v>
      </c>
      <c r="AX28" s="91">
        <f t="shared" si="25"/>
        <v>1.8628959006061032</v>
      </c>
      <c r="AY28" s="91">
        <f t="shared" si="25"/>
        <v>1.9001538186182254</v>
      </c>
      <c r="AZ28" s="91">
        <f t="shared" si="25"/>
        <v>1.9381568949905899</v>
      </c>
    </row>
    <row r="29" spans="1:52" ht="15" customHeight="1">
      <c r="A29" s="93" t="s">
        <v>116</v>
      </c>
      <c r="B29" s="93"/>
      <c r="C29" s="93"/>
      <c r="D29" s="93"/>
      <c r="E29" s="93"/>
      <c r="F29" s="93"/>
      <c r="G29" s="93"/>
      <c r="H29" s="93"/>
      <c r="I29" s="93"/>
      <c r="J29" s="93"/>
      <c r="K29" s="93"/>
      <c r="L29" s="93"/>
      <c r="M29" s="93"/>
      <c r="N29" s="93"/>
      <c r="O29" s="93"/>
      <c r="P29" s="93"/>
      <c r="Q29" s="93"/>
      <c r="R29" s="93"/>
      <c r="S29" s="93"/>
      <c r="T29" s="93"/>
      <c r="U29" s="93"/>
      <c r="V29" s="332">
        <v>35</v>
      </c>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row>
    <row r="30" spans="1:52" ht="15" customHeight="1">
      <c r="A30" s="93" t="s">
        <v>119</v>
      </c>
      <c r="B30" s="93"/>
      <c r="C30" s="93"/>
      <c r="D30" s="93"/>
      <c r="E30" s="93"/>
      <c r="F30" s="93"/>
      <c r="G30" s="93"/>
      <c r="H30" s="93"/>
      <c r="I30" s="93"/>
      <c r="J30" s="93"/>
      <c r="K30" s="93"/>
      <c r="L30" s="93"/>
      <c r="M30" s="93"/>
      <c r="N30" s="93"/>
      <c r="O30" s="93"/>
      <c r="P30" s="93"/>
      <c r="Q30" s="93"/>
      <c r="R30" s="93"/>
      <c r="S30" s="93"/>
      <c r="T30" s="93"/>
      <c r="U30" s="93"/>
      <c r="V30" s="332">
        <v>60</v>
      </c>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row>
    <row r="31" spans="1:52" ht="15" customHeight="1">
      <c r="A31" s="93" t="s">
        <v>121</v>
      </c>
      <c r="B31" s="93"/>
      <c r="C31" s="93"/>
      <c r="D31" s="93"/>
      <c r="E31" s="93"/>
      <c r="F31" s="93"/>
      <c r="G31" s="93"/>
      <c r="H31" s="93"/>
      <c r="I31" s="93"/>
      <c r="J31" s="93"/>
      <c r="K31" s="93"/>
      <c r="L31" s="93"/>
      <c r="M31" s="93"/>
      <c r="N31" s="93"/>
      <c r="O31" s="93"/>
      <c r="P31" s="93"/>
      <c r="Q31" s="93"/>
      <c r="R31" s="93"/>
      <c r="S31" s="93"/>
      <c r="T31" s="93"/>
      <c r="U31" s="93"/>
      <c r="V31" s="332">
        <v>33</v>
      </c>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row>
    <row r="32" spans="1:52" ht="15" customHeight="1">
      <c r="A32" s="93" t="s">
        <v>122</v>
      </c>
      <c r="B32" s="93"/>
      <c r="C32" s="93"/>
      <c r="D32" s="93"/>
      <c r="E32" s="93"/>
      <c r="F32" s="93"/>
      <c r="G32" s="93"/>
      <c r="H32" s="93"/>
      <c r="I32" s="93"/>
      <c r="J32" s="93"/>
      <c r="K32" s="93"/>
      <c r="L32" s="93"/>
      <c r="M32" s="93"/>
      <c r="N32" s="93"/>
      <c r="O32" s="93"/>
      <c r="P32" s="93"/>
      <c r="Q32" s="93"/>
      <c r="R32" s="93"/>
      <c r="S32" s="93"/>
      <c r="T32" s="93"/>
      <c r="U32" s="93"/>
      <c r="V32" s="332">
        <v>37</v>
      </c>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row>
    <row r="33" spans="1:53" ht="15" customHeight="1">
      <c r="A33" s="99" t="s">
        <v>123</v>
      </c>
      <c r="B33" s="99"/>
      <c r="C33" s="99"/>
      <c r="D33" s="99"/>
      <c r="E33" s="99"/>
      <c r="F33" s="99"/>
      <c r="G33" s="99"/>
      <c r="H33" s="99"/>
      <c r="I33" s="99"/>
      <c r="J33" s="99"/>
      <c r="K33" s="99"/>
      <c r="L33" s="99"/>
      <c r="M33" s="99"/>
      <c r="N33" s="99"/>
      <c r="O33" s="99"/>
      <c r="P33" s="99"/>
      <c r="Q33" s="99"/>
      <c r="R33" s="99"/>
      <c r="S33" s="99"/>
      <c r="T33" s="99"/>
      <c r="U33" s="99"/>
      <c r="V33" s="329"/>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row>
    <row r="34" spans="1:53" ht="15" customHeight="1">
      <c r="A34" s="93" t="s">
        <v>126</v>
      </c>
      <c r="B34" s="95">
        <f>'Inflation GDP Population'!B2</f>
        <v>96.994687004035995</v>
      </c>
      <c r="C34" s="95">
        <f>'Inflation GDP Population'!C2</f>
        <v>82.561802368421056</v>
      </c>
      <c r="D34" s="95">
        <f>'Inflation GDP Population'!D2</f>
        <v>92.422988832098127</v>
      </c>
      <c r="E34" s="95">
        <f>'Inflation GDP Population'!E2</f>
        <v>85.643902995324368</v>
      </c>
      <c r="F34" s="95">
        <f>'Inflation GDP Population'!F2</f>
        <v>81.324791570560762</v>
      </c>
      <c r="G34" s="95">
        <f>'Inflation GDP Population'!G2</f>
        <v>82.285051583593884</v>
      </c>
      <c r="H34" s="95">
        <f>'Inflation GDP Population'!H2</f>
        <v>73.132352371089056</v>
      </c>
      <c r="I34" s="95">
        <f>'Inflation GDP Population'!I2</f>
        <v>75.178349917306775</v>
      </c>
      <c r="J34" s="95">
        <f>'Inflation GDP Population'!J2</f>
        <v>77.566868947213194</v>
      </c>
      <c r="K34" s="95">
        <f>'Inflation GDP Population'!K2</f>
        <v>67.397054261131927</v>
      </c>
      <c r="L34" s="95">
        <f>'Inflation GDP Population'!L2</f>
        <v>69.359261305247756</v>
      </c>
      <c r="M34" s="95">
        <f>'Inflation GDP Population'!M2</f>
        <v>69.149647376821946</v>
      </c>
      <c r="N34" s="95">
        <f>'Inflation GDP Population'!N2</f>
        <v>66.077410694889281</v>
      </c>
      <c r="O34" s="95">
        <f>'Inflation GDP Population'!O2</f>
        <v>68.667649550254211</v>
      </c>
      <c r="P34" s="95">
        <f>'Inflation GDP Population'!P2</f>
        <v>67.613374485645934</v>
      </c>
      <c r="Q34" s="95">
        <f>'Inflation GDP Population'!Q2</f>
        <v>63.519292757444873</v>
      </c>
      <c r="R34" s="95">
        <f>'Inflation GDP Population'!R2</f>
        <v>65.2</v>
      </c>
      <c r="S34" s="95">
        <f>'Inflation GDP Population'!S2</f>
        <v>62.54</v>
      </c>
      <c r="T34" s="95">
        <f>'Inflation GDP Population'!T2</f>
        <v>62.8</v>
      </c>
      <c r="U34" s="95">
        <f>'Inflation GDP Population'!U2</f>
        <v>62.22</v>
      </c>
      <c r="V34" s="95">
        <f>'Inflation GDP Population'!V2</f>
        <v>63.245459999999994</v>
      </c>
      <c r="W34" s="95">
        <f>'Inflation GDP Population'!W2</f>
        <v>62.18788</v>
      </c>
      <c r="X34" s="95">
        <f>'Inflation GDP Population'!X2</f>
        <v>61.283909999999999</v>
      </c>
      <c r="Y34" s="95">
        <f>'Inflation GDP Population'!Y2</f>
        <v>60.782710000000002</v>
      </c>
      <c r="Z34" s="95">
        <f>'Inflation GDP Population'!Z2</f>
        <v>60.470050000000001</v>
      </c>
      <c r="AA34" s="95">
        <f>'Inflation GDP Population'!AA2</f>
        <v>60.726050000000001</v>
      </c>
      <c r="AB34" s="95">
        <f>'Inflation GDP Population'!AB2</f>
        <v>60.323509999999999</v>
      </c>
      <c r="AC34" s="95">
        <f>'Inflation GDP Population'!AC2</f>
        <v>60.154750000000007</v>
      </c>
      <c r="AD34" s="95">
        <f>'Inflation GDP Population'!AD2</f>
        <v>59.918579999999999</v>
      </c>
      <c r="AE34" s="95">
        <f>'Inflation GDP Population'!AE2</f>
        <v>59.74736</v>
      </c>
      <c r="AF34" s="95">
        <f>'Inflation GDP Population'!AF2</f>
        <v>59.571719999999999</v>
      </c>
      <c r="AG34" s="95">
        <f>'Inflation GDP Population'!AG2</f>
        <v>59.462200000000003</v>
      </c>
      <c r="AH34" s="95">
        <f>'Inflation GDP Population'!AH2</f>
        <v>59.098179999999999</v>
      </c>
      <c r="AI34" s="95">
        <f>'Inflation GDP Population'!AI2</f>
        <v>58.690709999999996</v>
      </c>
      <c r="AJ34" s="95">
        <f>'Inflation GDP Population'!AJ2</f>
        <v>58.279679999999999</v>
      </c>
      <c r="AK34" s="95">
        <f>'Inflation GDP Population'!AK2</f>
        <v>57.945390000000003</v>
      </c>
      <c r="AL34" s="95">
        <f>'Inflation GDP Population'!AL2</f>
        <v>57.822279999999999</v>
      </c>
      <c r="AM34" s="95">
        <f>'Inflation GDP Population'!AM2</f>
        <v>57.639300000000006</v>
      </c>
      <c r="AN34" s="95">
        <f>'Inflation GDP Population'!AN2</f>
        <v>57.618220000000008</v>
      </c>
      <c r="AO34" s="95">
        <f>'Inflation GDP Population'!AO2</f>
        <v>57.583159999999999</v>
      </c>
      <c r="AP34" s="95">
        <f>'Inflation GDP Population'!AP2</f>
        <v>57.428650000000005</v>
      </c>
      <c r="AQ34" s="95">
        <f>'Inflation GDP Population'!AQ2</f>
        <v>57.212560000000003</v>
      </c>
      <c r="AR34" s="95">
        <f>'Inflation GDP Population'!AR2</f>
        <v>56.957370000000004</v>
      </c>
      <c r="AS34" s="95">
        <f>'Inflation GDP Population'!AS2</f>
        <v>56.726020000000005</v>
      </c>
      <c r="AT34" s="95">
        <f>'Inflation GDP Population'!AT2</f>
        <v>56.532699999999998</v>
      </c>
      <c r="AU34" s="95">
        <f>'Inflation GDP Population'!AU2</f>
        <v>56.329940000000001</v>
      </c>
      <c r="AV34" s="95">
        <f>'Inflation GDP Population'!AV2</f>
        <v>56.008069999999996</v>
      </c>
      <c r="AW34" s="95">
        <f>'Inflation GDP Population'!AW2</f>
        <v>55.853279999999998</v>
      </c>
      <c r="AX34" s="95">
        <f>'Inflation GDP Population'!AX2</f>
        <v>56.44464</v>
      </c>
      <c r="AY34" s="95">
        <f>'Inflation GDP Population'!AY2</f>
        <v>56.523910000000001</v>
      </c>
      <c r="AZ34" s="95">
        <f>'Inflation GDP Population'!AZ2</f>
        <v>56.24409</v>
      </c>
    </row>
    <row r="35" spans="1:53" ht="15" customHeight="1">
      <c r="A35" s="93" t="s">
        <v>128</v>
      </c>
      <c r="B35" s="95">
        <f>'Inflation GDP Population'!B3</f>
        <v>66.936599999999999</v>
      </c>
      <c r="C35" s="95">
        <f>'Inflation GDP Population'!C3</f>
        <v>68.562700000000007</v>
      </c>
      <c r="D35" s="95">
        <f>'Inflation GDP Population'!D3</f>
        <v>61.9876</v>
      </c>
      <c r="E35" s="95">
        <f>'Inflation GDP Population'!E3</f>
        <v>75.349900000000005</v>
      </c>
      <c r="F35" s="95">
        <f>'Inflation GDP Population'!F3</f>
        <v>79.167699999999996</v>
      </c>
      <c r="G35" s="95">
        <f>'Inflation GDP Population'!G3</f>
        <v>95.852900000000005</v>
      </c>
      <c r="H35" s="95">
        <f>'Inflation GDP Population'!H3</f>
        <v>86.237700000000004</v>
      </c>
      <c r="I35" s="95">
        <f>'Inflation GDP Population'!I3</f>
        <v>87.651700000000005</v>
      </c>
      <c r="J35" s="95">
        <f>'Inflation GDP Population'!J3</f>
        <v>101.43819999999999</v>
      </c>
      <c r="K35" s="95">
        <f>'Inflation GDP Population'!K3</f>
        <v>70.825099999999992</v>
      </c>
      <c r="L35" s="95">
        <f>'Inflation GDP Population'!L3</f>
        <v>73.228899999999996</v>
      </c>
      <c r="M35" s="95">
        <f>'Inflation GDP Population'!M3</f>
        <v>70.542299999999997</v>
      </c>
      <c r="N35" s="95">
        <f>'Inflation GDP Population'!N3</f>
        <v>60.997799999999998</v>
      </c>
      <c r="O35" s="95">
        <f>'Inflation GDP Population'!O3</f>
        <v>67.714300000000009</v>
      </c>
      <c r="P35" s="95">
        <f>'Inflation GDP Population'!P3</f>
        <v>72.663299999999992</v>
      </c>
      <c r="Q35" s="95">
        <f>'Inflation GDP Population'!Q3</f>
        <v>59.866599999999998</v>
      </c>
      <c r="R35" s="95">
        <f>'Inflation GDP Population'!R3</f>
        <v>64.069999999999993</v>
      </c>
      <c r="S35" s="95">
        <f>'Inflation GDP Population'!S3</f>
        <v>62.54</v>
      </c>
      <c r="T35" s="95">
        <f>'Inflation GDP Population'!T3</f>
        <v>64.2</v>
      </c>
      <c r="U35" s="95">
        <f>'Inflation GDP Population'!U3</f>
        <v>65.09</v>
      </c>
      <c r="V35" s="95">
        <f>'Inflation GDP Population'!V3</f>
        <v>67.893280000000004</v>
      </c>
      <c r="W35" s="95">
        <f>'Inflation GDP Population'!W3</f>
        <v>68.408230000000003</v>
      </c>
      <c r="X35" s="95">
        <f>'Inflation GDP Population'!X3</f>
        <v>69.039839999999998</v>
      </c>
      <c r="Y35" s="95">
        <f>'Inflation GDP Population'!Y3</f>
        <v>70.165930000000003</v>
      </c>
      <c r="Z35" s="95">
        <f>'Inflation GDP Population'!Z3</f>
        <v>71.499539999999996</v>
      </c>
      <c r="AA35" s="95">
        <f>'Inflation GDP Population'!AA3</f>
        <v>73.516589999999994</v>
      </c>
      <c r="AB35" s="95">
        <f>'Inflation GDP Population'!AB3</f>
        <v>74.703620000000001</v>
      </c>
      <c r="AC35" s="95">
        <f>'Inflation GDP Population'!AC3</f>
        <v>76.171610000000001</v>
      </c>
      <c r="AD35" s="95">
        <f>'Inflation GDP Population'!AD3</f>
        <v>77.509479999999996</v>
      </c>
      <c r="AE35" s="95">
        <f>'Inflation GDP Population'!AE3</f>
        <v>78.937030000000007</v>
      </c>
      <c r="AF35" s="95">
        <f>'Inflation GDP Population'!AF3</f>
        <v>80.394760000000005</v>
      </c>
      <c r="AG35" s="95">
        <f>'Inflation GDP Population'!AG3</f>
        <v>81.999220000000008</v>
      </c>
      <c r="AH35" s="95">
        <f>'Inflation GDP Population'!AH3</f>
        <v>83.288150000000002</v>
      </c>
      <c r="AI35" s="95">
        <f>'Inflation GDP Population'!AI3</f>
        <v>84.552180000000007</v>
      </c>
      <c r="AJ35" s="95">
        <f>'Inflation GDP Population'!AJ3</f>
        <v>85.842559999999992</v>
      </c>
      <c r="AK35" s="95">
        <f>'Inflation GDP Population'!AK3</f>
        <v>87.282499999999999</v>
      </c>
      <c r="AL35" s="95">
        <f>'Inflation GDP Population'!AL3</f>
        <v>89.091559999999987</v>
      </c>
      <c r="AM35" s="95">
        <f>'Inflation GDP Population'!AM3</f>
        <v>90.845109999999991</v>
      </c>
      <c r="AN35" s="95">
        <f>'Inflation GDP Population'!AN3</f>
        <v>92.884870000000006</v>
      </c>
      <c r="AO35" s="95">
        <f>'Inflation GDP Population'!AO3</f>
        <v>94.960380000000001</v>
      </c>
      <c r="AP35" s="95">
        <f>'Inflation GDP Population'!AP3</f>
        <v>96.898049999999998</v>
      </c>
      <c r="AQ35" s="95">
        <f>'Inflation GDP Population'!AQ3</f>
        <v>98.792919999999995</v>
      </c>
      <c r="AR35" s="95">
        <f>'Inflation GDP Population'!AR3</f>
        <v>100.67492</v>
      </c>
      <c r="AS35" s="95">
        <f>'Inflation GDP Population'!AS3</f>
        <v>102.66981</v>
      </c>
      <c r="AT35" s="95">
        <f>'Inflation GDP Population'!AT3</f>
        <v>104.79813999999999</v>
      </c>
      <c r="AU35" s="95">
        <f>'Inflation GDP Population'!AU3</f>
        <v>106.98112999999999</v>
      </c>
      <c r="AV35" s="95">
        <f>'Inflation GDP Population'!AV3</f>
        <v>108.97937999999999</v>
      </c>
      <c r="AW35" s="95">
        <f>'Inflation GDP Population'!AW3</f>
        <v>111.37461999999999</v>
      </c>
      <c r="AX35" s="95">
        <f>'Inflation GDP Population'!AX3</f>
        <v>115.38930999999999</v>
      </c>
      <c r="AY35" s="95">
        <f>'Inflation GDP Population'!AY3</f>
        <v>118.46299999999999</v>
      </c>
      <c r="AZ35" s="95">
        <f>'Inflation GDP Population'!AZ3</f>
        <v>120.87941000000001</v>
      </c>
    </row>
    <row r="36" spans="1:53" ht="15" customHeight="1">
      <c r="A36" s="93" t="s">
        <v>200</v>
      </c>
      <c r="B36" s="95">
        <f>'Inflation GDP Population'!B6</f>
        <v>249.42381743242936</v>
      </c>
      <c r="C36" s="95">
        <f>'Inflation GDP Population'!C6</f>
        <v>249.42381743242936</v>
      </c>
      <c r="D36" s="95">
        <f>'Inflation GDP Population'!D6</f>
        <v>212.30935999593964</v>
      </c>
      <c r="E36" s="95">
        <f>'Inflation GDP Population'!E6</f>
        <v>237.66760226833327</v>
      </c>
      <c r="F36" s="95">
        <f>'Inflation GDP Population'!F6</f>
        <v>220.23504466814359</v>
      </c>
      <c r="G36" s="95">
        <f>'Inflation GDP Population'!G6</f>
        <v>209.12836148006616</v>
      </c>
      <c r="H36" s="95">
        <f>'Inflation GDP Population'!H6</f>
        <v>211.59768970387361</v>
      </c>
      <c r="I36" s="95">
        <f>'Inflation GDP Population'!I6</f>
        <v>188.06133685911675</v>
      </c>
      <c r="J36" s="95">
        <f>'Inflation GDP Population'!J6</f>
        <v>193.32266131097848</v>
      </c>
      <c r="K36" s="95">
        <f>'Inflation GDP Population'!K6</f>
        <v>199.4647867495035</v>
      </c>
      <c r="L36" s="95">
        <f>'Inflation GDP Population'!L6</f>
        <v>173.31290070365006</v>
      </c>
      <c r="M36" s="95">
        <f>'Inflation GDP Population'!M6</f>
        <v>178.35875616907168</v>
      </c>
      <c r="N36" s="95">
        <f>'Inflation GDP Population'!N6</f>
        <v>177.8197296736019</v>
      </c>
      <c r="O36" s="95">
        <f>'Inflation GDP Population'!O6</f>
        <v>169.91941033722733</v>
      </c>
      <c r="P36" s="95">
        <f>'Inflation GDP Population'!P6</f>
        <v>176.58026242431168</v>
      </c>
      <c r="Q36" s="95">
        <f>'Inflation GDP Population'!Q6</f>
        <v>173.86917257639584</v>
      </c>
      <c r="R36" s="95">
        <f>'Inflation GDP Population'!R6</f>
        <v>163.34115784620988</v>
      </c>
      <c r="S36" s="95">
        <f>'Inflation GDP Population'!S6</f>
        <v>167.66313082610094</v>
      </c>
      <c r="T36" s="95">
        <f>'Inflation GDP Population'!T6</f>
        <v>160.82288653166182</v>
      </c>
      <c r="U36" s="95">
        <f>'Inflation GDP Population'!U6</f>
        <v>161.49148183863707</v>
      </c>
      <c r="V36" s="95">
        <f>'Inflation GDP Population'!V6</f>
        <v>160</v>
      </c>
      <c r="W36" s="95">
        <f>'Inflation GDP Population'!W6</f>
        <v>157.32450677092081</v>
      </c>
      <c r="X36" s="95">
        <f>'Inflation GDP Population'!X6</f>
        <v>155.03762009162398</v>
      </c>
      <c r="Y36" s="95">
        <f>'Inflation GDP Population'!Y6</f>
        <v>153.76967137245902</v>
      </c>
      <c r="Z36" s="95">
        <f>'Inflation GDP Population'!Z6</f>
        <v>152.9786960202361</v>
      </c>
      <c r="AA36" s="95">
        <f>'Inflation GDP Population'!AA6</f>
        <v>153.62633143944248</v>
      </c>
      <c r="AB36" s="95">
        <f>'Inflation GDP Population'!AB6</f>
        <v>152.60797533925759</v>
      </c>
      <c r="AC36" s="95">
        <f>'Inflation GDP Population'!AC6</f>
        <v>152.18104192775266</v>
      </c>
      <c r="AD36" s="95">
        <f>'Inflation GDP Population'!AD6</f>
        <v>151.5835729552762</v>
      </c>
      <c r="AE36" s="95">
        <f>'Inflation GDP Population'!AE6</f>
        <v>151.15041617216482</v>
      </c>
      <c r="AF36" s="95">
        <f>'Inflation GDP Population'!AF6</f>
        <v>150.7060775587687</v>
      </c>
      <c r="AG36" s="95">
        <f>'Inflation GDP Population'!AG6</f>
        <v>150.42901103098947</v>
      </c>
      <c r="AH36" s="95">
        <f>'Inflation GDP Population'!AH6</f>
        <v>149.50810382278826</v>
      </c>
      <c r="AI36" s="95">
        <f>'Inflation GDP Population'!AI6</f>
        <v>148.47727568113191</v>
      </c>
      <c r="AJ36" s="95">
        <f>'Inflation GDP Population'!AJ6</f>
        <v>147.43744135942725</v>
      </c>
      <c r="AK36" s="95">
        <f>'Inflation GDP Population'!AK6</f>
        <v>146.59174587393312</v>
      </c>
      <c r="AL36" s="95">
        <f>'Inflation GDP Population'!AL6</f>
        <v>146.2802990127671</v>
      </c>
      <c r="AM36" s="95">
        <f>'Inflation GDP Population'!AM6</f>
        <v>145.81739147758594</v>
      </c>
      <c r="AN36" s="95">
        <f>'Inflation GDP Population'!AN6</f>
        <v>145.76406274853568</v>
      </c>
      <c r="AO36" s="95">
        <f>'Inflation GDP Population'!AO6</f>
        <v>145.67536705401466</v>
      </c>
      <c r="AP36" s="95">
        <f>'Inflation GDP Population'!AP6</f>
        <v>145.28448366096166</v>
      </c>
      <c r="AQ36" s="95">
        <f>'Inflation GDP Population'!AQ6</f>
        <v>144.73781359167921</v>
      </c>
      <c r="AR36" s="95">
        <f>'Inflation GDP Population'!AR6</f>
        <v>144.09222733141641</v>
      </c>
      <c r="AS36" s="95">
        <f>'Inflation GDP Population'!AS6</f>
        <v>143.50695211956722</v>
      </c>
      <c r="AT36" s="95">
        <f>'Inflation GDP Population'!AT6</f>
        <v>143.01788618503213</v>
      </c>
      <c r="AU36" s="95">
        <f>'Inflation GDP Population'!AU6</f>
        <v>142.50493869441382</v>
      </c>
      <c r="AV36" s="95">
        <f>'Inflation GDP Population'!AV6</f>
        <v>141.69066364605462</v>
      </c>
      <c r="AW36" s="95">
        <f>'Inflation GDP Population'!AW6</f>
        <v>141.29907190176183</v>
      </c>
      <c r="AX36" s="95">
        <f>'Inflation GDP Population'!AX6</f>
        <v>142.79510972012858</v>
      </c>
      <c r="AY36" s="95">
        <f>'Inflation GDP Population'!AY6</f>
        <v>142.9956490157555</v>
      </c>
      <c r="AZ36" s="95">
        <f>'Inflation GDP Population'!AZ6</f>
        <v>142.28775314465267</v>
      </c>
    </row>
    <row r="37" spans="1:53" ht="15" customHeight="1">
      <c r="A37" s="93" t="s">
        <v>130</v>
      </c>
      <c r="B37" s="95">
        <f>'Inflation GDP Population'!B7</f>
        <v>164.53919188815482</v>
      </c>
      <c r="C37" s="95">
        <f>'Inflation GDP Population'!C7</f>
        <v>164.53919188815482</v>
      </c>
      <c r="D37" s="95">
        <f>'Inflation GDP Population'!D7</f>
        <v>168.53636503303116</v>
      </c>
      <c r="E37" s="95">
        <f>'Inflation GDP Population'!E7</f>
        <v>152.37388231679211</v>
      </c>
      <c r="F37" s="95">
        <f>'Inflation GDP Population'!F7</f>
        <v>185.2202181594715</v>
      </c>
      <c r="G37" s="95">
        <f>'Inflation GDP Population'!G7</f>
        <v>194.60488554309416</v>
      </c>
      <c r="H37" s="95">
        <f>'Inflation GDP Population'!H7</f>
        <v>235.61935781225995</v>
      </c>
      <c r="I37" s="95">
        <f>'Inflation GDP Population'!I7</f>
        <v>211.9838992164695</v>
      </c>
      <c r="J37" s="95">
        <f>'Inflation GDP Population'!J7</f>
        <v>215.45970195114458</v>
      </c>
      <c r="K37" s="95">
        <f>'Inflation GDP Population'!K7</f>
        <v>249.34877861422646</v>
      </c>
      <c r="L37" s="95">
        <f>'Inflation GDP Population'!L7</f>
        <v>174.09764940851127</v>
      </c>
      <c r="M37" s="95">
        <f>'Inflation GDP Population'!M7</f>
        <v>180.0065140574589</v>
      </c>
      <c r="N37" s="95">
        <f>'Inflation GDP Population'!N7</f>
        <v>173.40248886157627</v>
      </c>
      <c r="O37" s="95">
        <f>'Inflation GDP Population'!O7</f>
        <v>149.94082040251959</v>
      </c>
      <c r="P37" s="95">
        <f>'Inflation GDP Population'!P7</f>
        <v>166.45088339222616</v>
      </c>
      <c r="Q37" s="95">
        <f>'Inflation GDP Population'!Q7</f>
        <v>178.61619296358887</v>
      </c>
      <c r="R37" s="95">
        <f>'Inflation GDP Population'!R7</f>
        <v>147.16017821477953</v>
      </c>
      <c r="S37" s="95">
        <f>'Inflation GDP Population'!S7</f>
        <v>157.49270241204485</v>
      </c>
      <c r="T37" s="95">
        <f>'Inflation GDP Population'!T7</f>
        <v>153.73175603011217</v>
      </c>
      <c r="U37" s="95">
        <f>'Inflation GDP Population'!U7</f>
        <v>157.81225994776466</v>
      </c>
      <c r="V37" s="95">
        <f>'Inflation GDP Population'!V7</f>
        <v>160</v>
      </c>
      <c r="W37" s="95">
        <f>'Inflation GDP Population'!W7</f>
        <v>161.21355162101463</v>
      </c>
      <c r="X37" s="95">
        <f>'Inflation GDP Population'!X7</f>
        <v>162.70202883113024</v>
      </c>
      <c r="Y37" s="95">
        <f>'Inflation GDP Population'!Y7</f>
        <v>165.35581724730341</v>
      </c>
      <c r="Z37" s="95">
        <f>'Inflation GDP Population'!Z7</f>
        <v>168.49865553704282</v>
      </c>
      <c r="AA37" s="95">
        <f>'Inflation GDP Population'!AA7</f>
        <v>173.25211567330371</v>
      </c>
      <c r="AB37" s="95">
        <f>'Inflation GDP Population'!AB7</f>
        <v>176.04951771368238</v>
      </c>
      <c r="AC37" s="95">
        <f>'Inflation GDP Population'!AC7</f>
        <v>179.50904124826488</v>
      </c>
      <c r="AD37" s="95">
        <f>'Inflation GDP Population'!AD7</f>
        <v>182.66191882318833</v>
      </c>
      <c r="AE37" s="95">
        <f>'Inflation GDP Population'!AE7</f>
        <v>186.02613984771389</v>
      </c>
      <c r="AF37" s="95">
        <f>'Inflation GDP Population'!AF7</f>
        <v>189.46148425882495</v>
      </c>
      <c r="AG37" s="95">
        <f>'Inflation GDP Population'!AG7</f>
        <v>193.24261841525399</v>
      </c>
      <c r="AH37" s="95">
        <f>'Inflation GDP Population'!AH7</f>
        <v>196.28016204254669</v>
      </c>
      <c r="AI37" s="95">
        <f>'Inflation GDP Population'!AI7</f>
        <v>199.25902534094678</v>
      </c>
      <c r="AJ37" s="95">
        <f>'Inflation GDP Population'!AJ7</f>
        <v>202.29998609582557</v>
      </c>
      <c r="AK37" s="95">
        <f>'Inflation GDP Population'!AK7</f>
        <v>205.69340588641461</v>
      </c>
      <c r="AL37" s="95">
        <f>'Inflation GDP Population'!AL7</f>
        <v>209.95670852844336</v>
      </c>
      <c r="AM37" s="95">
        <f>'Inflation GDP Population'!AM7</f>
        <v>214.08919409991671</v>
      </c>
      <c r="AN37" s="95">
        <f>'Inflation GDP Population'!AN7</f>
        <v>218.89617352409539</v>
      </c>
      <c r="AO37" s="95">
        <f>'Inflation GDP Population'!AO7</f>
        <v>223.78740281806967</v>
      </c>
      <c r="AP37" s="95">
        <f>'Inflation GDP Population'!AP7</f>
        <v>228.35379289378849</v>
      </c>
      <c r="AQ37" s="95">
        <f>'Inflation GDP Population'!AQ7</f>
        <v>232.81931878972398</v>
      </c>
      <c r="AR37" s="95">
        <f>'Inflation GDP Population'!AR7</f>
        <v>237.25451473253304</v>
      </c>
      <c r="AS37" s="95">
        <f>'Inflation GDP Population'!AS7</f>
        <v>241.95575173271919</v>
      </c>
      <c r="AT37" s="95">
        <f>'Inflation GDP Population'!AT7</f>
        <v>246.97145873641676</v>
      </c>
      <c r="AU37" s="95">
        <f>'Inflation GDP Population'!AU7</f>
        <v>252.11597966691241</v>
      </c>
      <c r="AV37" s="95">
        <f>'Inflation GDP Population'!AV7</f>
        <v>256.82513497653952</v>
      </c>
      <c r="AW37" s="95">
        <f>'Inflation GDP Population'!AW7</f>
        <v>262.4698526864513</v>
      </c>
      <c r="AX37" s="95">
        <f>'Inflation GDP Population'!AX7</f>
        <v>271.93103058211346</v>
      </c>
      <c r="AY37" s="95">
        <f>'Inflation GDP Population'!AY7</f>
        <v>279.1746105063711</v>
      </c>
      <c r="AZ37" s="95">
        <f>'Inflation GDP Population'!AZ7</f>
        <v>284.86921827904024</v>
      </c>
    </row>
    <row r="38" spans="1:53" ht="15" customHeight="1">
      <c r="A38" s="93" t="s">
        <v>808</v>
      </c>
      <c r="B38" s="253">
        <v>0</v>
      </c>
      <c r="C38" s="253">
        <v>0</v>
      </c>
      <c r="D38" s="253">
        <v>0</v>
      </c>
      <c r="E38" s="253">
        <v>0</v>
      </c>
      <c r="F38" s="253">
        <v>0</v>
      </c>
      <c r="G38" s="253">
        <v>0</v>
      </c>
      <c r="H38" s="253">
        <v>0</v>
      </c>
      <c r="I38" s="253">
        <f t="shared" ref="I38:U38" si="26">J38</f>
        <v>0.56000000000000005</v>
      </c>
      <c r="J38" s="253">
        <f t="shared" si="26"/>
        <v>0.56000000000000005</v>
      </c>
      <c r="K38" s="253">
        <f t="shared" si="26"/>
        <v>0.56000000000000005</v>
      </c>
      <c r="L38" s="253">
        <f t="shared" si="26"/>
        <v>0.56000000000000005</v>
      </c>
      <c r="M38" s="253">
        <f t="shared" si="26"/>
        <v>0.56000000000000005</v>
      </c>
      <c r="N38" s="253">
        <f t="shared" si="26"/>
        <v>0.56000000000000005</v>
      </c>
      <c r="O38" s="253">
        <f t="shared" si="26"/>
        <v>0.56000000000000005</v>
      </c>
      <c r="P38" s="253">
        <f t="shared" si="26"/>
        <v>0.56000000000000005</v>
      </c>
      <c r="Q38" s="253">
        <f t="shared" si="26"/>
        <v>0.56000000000000005</v>
      </c>
      <c r="R38" s="253">
        <f t="shared" si="26"/>
        <v>0.56000000000000005</v>
      </c>
      <c r="S38" s="253">
        <f t="shared" si="26"/>
        <v>0.56000000000000005</v>
      </c>
      <c r="T38" s="253">
        <f t="shared" si="26"/>
        <v>0.56000000000000005</v>
      </c>
      <c r="U38" s="253">
        <f t="shared" si="26"/>
        <v>0.56000000000000005</v>
      </c>
      <c r="V38" s="254">
        <v>0.56000000000000005</v>
      </c>
      <c r="W38" s="102">
        <f t="shared" ref="W38:AZ38" si="27">V38</f>
        <v>0.56000000000000005</v>
      </c>
      <c r="X38" s="102">
        <f t="shared" si="27"/>
        <v>0.56000000000000005</v>
      </c>
      <c r="Y38" s="102">
        <f t="shared" si="27"/>
        <v>0.56000000000000005</v>
      </c>
      <c r="Z38" s="102">
        <f t="shared" si="27"/>
        <v>0.56000000000000005</v>
      </c>
      <c r="AA38" s="102">
        <f t="shared" si="27"/>
        <v>0.56000000000000005</v>
      </c>
      <c r="AB38" s="102">
        <f t="shared" si="27"/>
        <v>0.56000000000000005</v>
      </c>
      <c r="AC38" s="102">
        <f t="shared" si="27"/>
        <v>0.56000000000000005</v>
      </c>
      <c r="AD38" s="102">
        <f t="shared" si="27"/>
        <v>0.56000000000000005</v>
      </c>
      <c r="AE38" s="102">
        <f t="shared" si="27"/>
        <v>0.56000000000000005</v>
      </c>
      <c r="AF38" s="102">
        <f t="shared" si="27"/>
        <v>0.56000000000000005</v>
      </c>
      <c r="AG38" s="102">
        <f t="shared" si="27"/>
        <v>0.56000000000000005</v>
      </c>
      <c r="AH38" s="102">
        <f t="shared" si="27"/>
        <v>0.56000000000000005</v>
      </c>
      <c r="AI38" s="102">
        <f t="shared" si="27"/>
        <v>0.56000000000000005</v>
      </c>
      <c r="AJ38" s="102">
        <f t="shared" si="27"/>
        <v>0.56000000000000005</v>
      </c>
      <c r="AK38" s="102">
        <f t="shared" si="27"/>
        <v>0.56000000000000005</v>
      </c>
      <c r="AL38" s="102">
        <f t="shared" si="27"/>
        <v>0.56000000000000005</v>
      </c>
      <c r="AM38" s="102">
        <f t="shared" si="27"/>
        <v>0.56000000000000005</v>
      </c>
      <c r="AN38" s="102">
        <f t="shared" si="27"/>
        <v>0.56000000000000005</v>
      </c>
      <c r="AO38" s="102">
        <f t="shared" si="27"/>
        <v>0.56000000000000005</v>
      </c>
      <c r="AP38" s="102">
        <f t="shared" si="27"/>
        <v>0.56000000000000005</v>
      </c>
      <c r="AQ38" s="102">
        <f t="shared" si="27"/>
        <v>0.56000000000000005</v>
      </c>
      <c r="AR38" s="102">
        <f t="shared" si="27"/>
        <v>0.56000000000000005</v>
      </c>
      <c r="AS38" s="102">
        <f t="shared" si="27"/>
        <v>0.56000000000000005</v>
      </c>
      <c r="AT38" s="102">
        <f t="shared" si="27"/>
        <v>0.56000000000000005</v>
      </c>
      <c r="AU38" s="102">
        <f t="shared" si="27"/>
        <v>0.56000000000000005</v>
      </c>
      <c r="AV38" s="102">
        <f t="shared" si="27"/>
        <v>0.56000000000000005</v>
      </c>
      <c r="AW38" s="102">
        <f t="shared" si="27"/>
        <v>0.56000000000000005</v>
      </c>
      <c r="AX38" s="102">
        <f t="shared" si="27"/>
        <v>0.56000000000000005</v>
      </c>
      <c r="AY38" s="102">
        <f t="shared" si="27"/>
        <v>0.56000000000000005</v>
      </c>
      <c r="AZ38" s="102">
        <f t="shared" si="27"/>
        <v>0.56000000000000005</v>
      </c>
    </row>
    <row r="39" spans="1:53" ht="15" customHeight="1">
      <c r="A39" s="93" t="s">
        <v>809</v>
      </c>
      <c r="B39" s="93"/>
      <c r="C39" s="93"/>
      <c r="D39" s="93"/>
      <c r="E39" s="93"/>
      <c r="F39" s="93"/>
      <c r="G39" s="93"/>
      <c r="H39" s="93"/>
      <c r="I39" s="93"/>
      <c r="J39" s="93"/>
      <c r="K39" s="93"/>
      <c r="L39" s="93"/>
      <c r="M39" s="93"/>
      <c r="N39" s="93"/>
      <c r="O39" s="93"/>
      <c r="P39" s="93"/>
      <c r="Q39" s="93"/>
      <c r="R39" s="93"/>
      <c r="S39" s="93"/>
      <c r="T39" s="93"/>
      <c r="U39" s="93"/>
      <c r="V39" s="97"/>
      <c r="W39" s="91"/>
      <c r="X39" s="91"/>
      <c r="Y39" s="91"/>
      <c r="Z39" s="91"/>
      <c r="AA39" s="91"/>
      <c r="AB39" s="91"/>
      <c r="AC39" s="91"/>
      <c r="AD39" s="91"/>
      <c r="AE39" s="91"/>
      <c r="AF39" s="91"/>
      <c r="AG39" s="91"/>
      <c r="AH39" s="91"/>
      <c r="AI39" s="91"/>
      <c r="AJ39" s="91"/>
      <c r="AK39" s="91"/>
      <c r="AL39" s="91"/>
      <c r="AM39" s="91"/>
      <c r="AN39" s="91"/>
      <c r="AO39" s="91"/>
      <c r="AP39" s="91"/>
      <c r="AQ39" s="91"/>
      <c r="AR39" s="91"/>
      <c r="AS39" s="91"/>
      <c r="AT39" s="91"/>
      <c r="AU39" s="91"/>
      <c r="AV39" s="91"/>
      <c r="AW39" s="91"/>
      <c r="AX39" s="91"/>
      <c r="AY39" s="91"/>
      <c r="AZ39" s="91"/>
    </row>
    <row r="40" spans="1:53" ht="15" customHeight="1">
      <c r="A40" s="93" t="s">
        <v>810</v>
      </c>
      <c r="B40" s="93"/>
      <c r="C40" s="93"/>
      <c r="D40" s="93"/>
      <c r="E40" s="93"/>
      <c r="F40" s="93"/>
      <c r="G40" s="93"/>
      <c r="H40" s="93"/>
      <c r="I40" s="93"/>
      <c r="J40" s="93"/>
      <c r="K40" s="93"/>
      <c r="L40" s="93"/>
      <c r="M40" s="93"/>
      <c r="N40" s="93"/>
      <c r="O40" s="93"/>
      <c r="P40" s="93"/>
      <c r="Q40" s="93"/>
      <c r="R40" s="93"/>
      <c r="S40" s="93"/>
      <c r="T40" s="93"/>
      <c r="U40" s="93"/>
      <c r="V40" s="97"/>
      <c r="W40" s="91"/>
      <c r="X40" s="91"/>
      <c r="Y40" s="91"/>
      <c r="Z40" s="91"/>
      <c r="AA40" s="91"/>
      <c r="AB40" s="91"/>
      <c r="AC40" s="91"/>
      <c r="AD40" s="91"/>
      <c r="AE40" s="91"/>
      <c r="AF40" s="91"/>
      <c r="AG40" s="91"/>
      <c r="AH40" s="91"/>
      <c r="AI40" s="91"/>
      <c r="AJ40" s="91"/>
      <c r="AK40" s="91"/>
      <c r="AL40" s="91"/>
      <c r="AM40" s="91"/>
      <c r="AN40" s="91"/>
      <c r="AO40" s="91"/>
      <c r="AP40" s="91"/>
      <c r="AQ40" s="91"/>
      <c r="AR40" s="91"/>
      <c r="AS40" s="91"/>
      <c r="AT40" s="91"/>
      <c r="AU40" s="91"/>
      <c r="AV40" s="91"/>
      <c r="AW40" s="91"/>
      <c r="AX40" s="91"/>
      <c r="AY40" s="91"/>
      <c r="AZ40" s="91"/>
    </row>
    <row r="41" spans="1:53" ht="15.75" customHeight="1">
      <c r="A41" s="93" t="s">
        <v>137</v>
      </c>
      <c r="B41" s="330">
        <f t="shared" ref="B41:U41" si="28">C41</f>
        <v>0.02</v>
      </c>
      <c r="C41" s="330">
        <f t="shared" si="28"/>
        <v>0.02</v>
      </c>
      <c r="D41" s="330">
        <f t="shared" si="28"/>
        <v>0.02</v>
      </c>
      <c r="E41" s="330">
        <f t="shared" si="28"/>
        <v>0.02</v>
      </c>
      <c r="F41" s="330">
        <f t="shared" si="28"/>
        <v>0.02</v>
      </c>
      <c r="G41" s="330">
        <f t="shared" si="28"/>
        <v>0.02</v>
      </c>
      <c r="H41" s="330">
        <f t="shared" si="28"/>
        <v>0.02</v>
      </c>
      <c r="I41" s="330">
        <f t="shared" si="28"/>
        <v>0.02</v>
      </c>
      <c r="J41" s="330">
        <f t="shared" si="28"/>
        <v>0.02</v>
      </c>
      <c r="K41" s="330">
        <f t="shared" si="28"/>
        <v>0.02</v>
      </c>
      <c r="L41" s="330">
        <f t="shared" si="28"/>
        <v>0.02</v>
      </c>
      <c r="M41" s="330">
        <f t="shared" si="28"/>
        <v>0.02</v>
      </c>
      <c r="N41" s="330">
        <f t="shared" si="28"/>
        <v>0.02</v>
      </c>
      <c r="O41" s="330">
        <f t="shared" si="28"/>
        <v>0.02</v>
      </c>
      <c r="P41" s="330">
        <f t="shared" si="28"/>
        <v>0.02</v>
      </c>
      <c r="Q41" s="330">
        <f t="shared" si="28"/>
        <v>0.02</v>
      </c>
      <c r="R41" s="330">
        <f t="shared" si="28"/>
        <v>0.02</v>
      </c>
      <c r="S41" s="330">
        <f t="shared" si="28"/>
        <v>0.02</v>
      </c>
      <c r="T41" s="330">
        <f t="shared" si="28"/>
        <v>0.02</v>
      </c>
      <c r="U41" s="330">
        <f t="shared" si="28"/>
        <v>0.02</v>
      </c>
      <c r="V41" s="252">
        <f>Inputs!B19</f>
        <v>0.02</v>
      </c>
      <c r="W41" s="331">
        <f t="shared" ref="W41:AZ41" si="29">V41</f>
        <v>0.02</v>
      </c>
      <c r="X41" s="331">
        <f t="shared" si="29"/>
        <v>0.02</v>
      </c>
      <c r="Y41" s="331">
        <f t="shared" si="29"/>
        <v>0.02</v>
      </c>
      <c r="Z41" s="331">
        <f t="shared" si="29"/>
        <v>0.02</v>
      </c>
      <c r="AA41" s="331">
        <f t="shared" si="29"/>
        <v>0.02</v>
      </c>
      <c r="AB41" s="331">
        <f t="shared" si="29"/>
        <v>0.02</v>
      </c>
      <c r="AC41" s="331">
        <f t="shared" si="29"/>
        <v>0.02</v>
      </c>
      <c r="AD41" s="331">
        <f t="shared" si="29"/>
        <v>0.02</v>
      </c>
      <c r="AE41" s="331">
        <f t="shared" si="29"/>
        <v>0.02</v>
      </c>
      <c r="AF41" s="331">
        <f t="shared" si="29"/>
        <v>0.02</v>
      </c>
      <c r="AG41" s="331">
        <f t="shared" si="29"/>
        <v>0.02</v>
      </c>
      <c r="AH41" s="331">
        <f t="shared" si="29"/>
        <v>0.02</v>
      </c>
      <c r="AI41" s="331">
        <f t="shared" si="29"/>
        <v>0.02</v>
      </c>
      <c r="AJ41" s="331">
        <f t="shared" si="29"/>
        <v>0.02</v>
      </c>
      <c r="AK41" s="331">
        <f t="shared" si="29"/>
        <v>0.02</v>
      </c>
      <c r="AL41" s="331">
        <f t="shared" si="29"/>
        <v>0.02</v>
      </c>
      <c r="AM41" s="331">
        <f t="shared" si="29"/>
        <v>0.02</v>
      </c>
      <c r="AN41" s="331">
        <f t="shared" si="29"/>
        <v>0.02</v>
      </c>
      <c r="AO41" s="331">
        <f t="shared" si="29"/>
        <v>0.02</v>
      </c>
      <c r="AP41" s="331">
        <f t="shared" si="29"/>
        <v>0.02</v>
      </c>
      <c r="AQ41" s="331">
        <f t="shared" si="29"/>
        <v>0.02</v>
      </c>
      <c r="AR41" s="331">
        <f t="shared" si="29"/>
        <v>0.02</v>
      </c>
      <c r="AS41" s="331">
        <f t="shared" si="29"/>
        <v>0.02</v>
      </c>
      <c r="AT41" s="331">
        <f t="shared" si="29"/>
        <v>0.02</v>
      </c>
      <c r="AU41" s="331">
        <f t="shared" si="29"/>
        <v>0.02</v>
      </c>
      <c r="AV41" s="331">
        <f t="shared" si="29"/>
        <v>0.02</v>
      </c>
      <c r="AW41" s="331">
        <f t="shared" si="29"/>
        <v>0.02</v>
      </c>
      <c r="AX41" s="331">
        <f t="shared" si="29"/>
        <v>0.02</v>
      </c>
      <c r="AY41" s="331">
        <f t="shared" si="29"/>
        <v>0.02</v>
      </c>
      <c r="AZ41" s="331">
        <f t="shared" si="29"/>
        <v>0.02</v>
      </c>
    </row>
    <row r="42" spans="1:53" ht="15.75" customHeight="1">
      <c r="A42" s="93" t="s">
        <v>811</v>
      </c>
      <c r="B42" s="93"/>
      <c r="C42" s="93"/>
      <c r="D42" s="93"/>
      <c r="E42" s="93"/>
      <c r="F42" s="93"/>
      <c r="G42" s="93"/>
      <c r="H42" s="93"/>
      <c r="I42" s="93"/>
      <c r="J42" s="93"/>
      <c r="K42" s="93"/>
      <c r="L42" s="93"/>
      <c r="M42" s="93"/>
      <c r="N42" s="93"/>
      <c r="O42" s="93"/>
      <c r="P42" s="93"/>
      <c r="Q42" s="93"/>
      <c r="R42" s="93"/>
      <c r="S42" s="93"/>
      <c r="T42" s="93"/>
      <c r="U42" s="93"/>
      <c r="V42" s="331"/>
      <c r="W42" s="331">
        <v>0.02</v>
      </c>
      <c r="X42" s="331">
        <f t="shared" ref="X42:AZ42" si="30">W42</f>
        <v>0.02</v>
      </c>
      <c r="Y42" s="331">
        <f t="shared" si="30"/>
        <v>0.02</v>
      </c>
      <c r="Z42" s="331">
        <f t="shared" si="30"/>
        <v>0.02</v>
      </c>
      <c r="AA42" s="331">
        <f t="shared" si="30"/>
        <v>0.02</v>
      </c>
      <c r="AB42" s="331">
        <f t="shared" si="30"/>
        <v>0.02</v>
      </c>
      <c r="AC42" s="331">
        <f t="shared" si="30"/>
        <v>0.02</v>
      </c>
      <c r="AD42" s="331">
        <f t="shared" si="30"/>
        <v>0.02</v>
      </c>
      <c r="AE42" s="331">
        <f t="shared" si="30"/>
        <v>0.02</v>
      </c>
      <c r="AF42" s="331">
        <f t="shared" si="30"/>
        <v>0.02</v>
      </c>
      <c r="AG42" s="331">
        <f t="shared" si="30"/>
        <v>0.02</v>
      </c>
      <c r="AH42" s="331">
        <f t="shared" si="30"/>
        <v>0.02</v>
      </c>
      <c r="AI42" s="331">
        <f t="shared" si="30"/>
        <v>0.02</v>
      </c>
      <c r="AJ42" s="331">
        <f t="shared" si="30"/>
        <v>0.02</v>
      </c>
      <c r="AK42" s="331">
        <f t="shared" si="30"/>
        <v>0.02</v>
      </c>
      <c r="AL42" s="331">
        <f t="shared" si="30"/>
        <v>0.02</v>
      </c>
      <c r="AM42" s="331">
        <f t="shared" si="30"/>
        <v>0.02</v>
      </c>
      <c r="AN42" s="331">
        <f t="shared" si="30"/>
        <v>0.02</v>
      </c>
      <c r="AO42" s="331">
        <f t="shared" si="30"/>
        <v>0.02</v>
      </c>
      <c r="AP42" s="331">
        <f t="shared" si="30"/>
        <v>0.02</v>
      </c>
      <c r="AQ42" s="331">
        <f t="shared" si="30"/>
        <v>0.02</v>
      </c>
      <c r="AR42" s="331">
        <f t="shared" si="30"/>
        <v>0.02</v>
      </c>
      <c r="AS42" s="331">
        <f t="shared" si="30"/>
        <v>0.02</v>
      </c>
      <c r="AT42" s="331">
        <f t="shared" si="30"/>
        <v>0.02</v>
      </c>
      <c r="AU42" s="331">
        <f t="shared" si="30"/>
        <v>0.02</v>
      </c>
      <c r="AV42" s="331">
        <f t="shared" si="30"/>
        <v>0.02</v>
      </c>
      <c r="AW42" s="331">
        <f t="shared" si="30"/>
        <v>0.02</v>
      </c>
      <c r="AX42" s="331">
        <f t="shared" si="30"/>
        <v>0.02</v>
      </c>
      <c r="AY42" s="331">
        <f t="shared" si="30"/>
        <v>0.02</v>
      </c>
      <c r="AZ42" s="331">
        <f t="shared" si="30"/>
        <v>0.02</v>
      </c>
    </row>
    <row r="43" spans="1:53" ht="15.75" customHeight="1">
      <c r="A43" s="93"/>
      <c r="B43" s="93"/>
      <c r="C43" s="93"/>
      <c r="D43" s="93"/>
      <c r="E43" s="93"/>
      <c r="F43" s="93"/>
      <c r="G43" s="93"/>
      <c r="H43" s="93"/>
      <c r="I43" s="93"/>
      <c r="J43" s="93"/>
      <c r="K43" s="93"/>
      <c r="L43" s="93"/>
      <c r="M43" s="93"/>
      <c r="N43" s="93"/>
      <c r="O43" s="93"/>
      <c r="P43" s="93"/>
      <c r="Q43" s="93"/>
      <c r="R43" s="93"/>
      <c r="S43" s="93"/>
      <c r="T43" s="93"/>
      <c r="U43" s="93"/>
      <c r="V43" s="88"/>
      <c r="W43" s="331"/>
      <c r="X43" s="331"/>
      <c r="Y43" s="331"/>
      <c r="Z43" s="331"/>
      <c r="AA43" s="331"/>
      <c r="AB43" s="331"/>
      <c r="AC43" s="331"/>
      <c r="AD43" s="331"/>
      <c r="AE43" s="331"/>
      <c r="AF43" s="331"/>
      <c r="AG43" s="331"/>
      <c r="AH43" s="331"/>
      <c r="AI43" s="331"/>
      <c r="AJ43" s="331"/>
      <c r="AK43" s="331"/>
      <c r="AL43" s="331"/>
      <c r="AM43" s="331"/>
      <c r="AN43" s="331"/>
      <c r="AO43" s="331"/>
      <c r="AP43" s="331"/>
      <c r="AQ43" s="331"/>
      <c r="AR43" s="331"/>
      <c r="AS43" s="331"/>
      <c r="AT43" s="331"/>
      <c r="AU43" s="331"/>
      <c r="AV43" s="331"/>
      <c r="AW43" s="331"/>
      <c r="AX43" s="331"/>
      <c r="AY43" s="331"/>
      <c r="AZ43" s="331"/>
    </row>
    <row r="44" spans="1:53" ht="15.75" customHeight="1">
      <c r="A44" s="93" t="s">
        <v>140</v>
      </c>
      <c r="B44" s="93"/>
      <c r="C44" s="93"/>
      <c r="D44" s="93"/>
      <c r="E44" s="93"/>
      <c r="F44" s="93"/>
      <c r="G44" s="93"/>
      <c r="H44" s="93"/>
      <c r="I44" s="93"/>
      <c r="J44" s="93"/>
      <c r="K44" s="93"/>
      <c r="L44" s="93"/>
      <c r="M44" s="93"/>
      <c r="N44" s="93"/>
      <c r="O44" s="93"/>
      <c r="P44" s="93"/>
      <c r="Q44" s="93"/>
      <c r="R44" s="93"/>
      <c r="S44" s="93"/>
      <c r="T44" s="93"/>
      <c r="U44" s="93"/>
      <c r="W44">
        <f t="shared" ref="W44:BA44" si="31">SUM(W46:W119)</f>
        <v>0</v>
      </c>
      <c r="X44">
        <f t="shared" si="31"/>
        <v>0</v>
      </c>
      <c r="Y44">
        <f t="shared" si="31"/>
        <v>0</v>
      </c>
      <c r="Z44">
        <f t="shared" si="31"/>
        <v>0</v>
      </c>
      <c r="AA44">
        <f t="shared" si="31"/>
        <v>0</v>
      </c>
      <c r="AB44">
        <f t="shared" si="31"/>
        <v>0</v>
      </c>
      <c r="AC44">
        <f t="shared" si="31"/>
        <v>0</v>
      </c>
      <c r="AD44">
        <f t="shared" si="31"/>
        <v>0</v>
      </c>
      <c r="AE44">
        <f t="shared" si="31"/>
        <v>0</v>
      </c>
      <c r="AF44">
        <f t="shared" si="31"/>
        <v>0</v>
      </c>
      <c r="AG44">
        <f t="shared" si="31"/>
        <v>1232.7</v>
      </c>
      <c r="AH44">
        <f t="shared" si="31"/>
        <v>2079.4</v>
      </c>
      <c r="AI44">
        <f t="shared" si="31"/>
        <v>2253</v>
      </c>
      <c r="AJ44">
        <f t="shared" si="31"/>
        <v>5535.2</v>
      </c>
      <c r="AK44">
        <f t="shared" si="31"/>
        <v>3499.1</v>
      </c>
      <c r="AL44">
        <f t="shared" si="31"/>
        <v>8705.7999999999993</v>
      </c>
      <c r="AM44">
        <f t="shared" si="31"/>
        <v>6255.9</v>
      </c>
      <c r="AN44">
        <f t="shared" si="31"/>
        <v>3780.3</v>
      </c>
      <c r="AO44">
        <f t="shared" si="31"/>
        <v>5822.9</v>
      </c>
      <c r="AP44">
        <f t="shared" si="31"/>
        <v>2116</v>
      </c>
      <c r="AQ44">
        <f t="shared" si="31"/>
        <v>883</v>
      </c>
      <c r="AR44">
        <f t="shared" si="31"/>
        <v>1928.5</v>
      </c>
      <c r="AS44">
        <f t="shared" si="31"/>
        <v>4345</v>
      </c>
      <c r="AT44">
        <f t="shared" si="31"/>
        <v>1125.7</v>
      </c>
      <c r="AU44">
        <f t="shared" si="31"/>
        <v>2234</v>
      </c>
      <c r="AV44">
        <f t="shared" si="31"/>
        <v>6760</v>
      </c>
      <c r="AW44">
        <f t="shared" si="31"/>
        <v>8484.5</v>
      </c>
      <c r="AX44">
        <f t="shared" si="31"/>
        <v>9372.2999999999993</v>
      </c>
      <c r="AY44">
        <f t="shared" si="31"/>
        <v>7710</v>
      </c>
      <c r="AZ44">
        <f t="shared" si="31"/>
        <v>6070</v>
      </c>
      <c r="BA44">
        <f t="shared" si="31"/>
        <v>2432</v>
      </c>
    </row>
    <row r="45" spans="1:53" ht="15.75" customHeight="1">
      <c r="A45" s="349" t="s">
        <v>757</v>
      </c>
      <c r="B45" s="349"/>
      <c r="C45" s="349"/>
      <c r="D45" s="349"/>
      <c r="E45" s="349"/>
      <c r="F45" s="349"/>
      <c r="G45" s="349"/>
      <c r="H45" s="349"/>
      <c r="I45" s="349"/>
      <c r="J45" s="349"/>
      <c r="K45" s="349"/>
      <c r="L45" s="349"/>
      <c r="M45" s="349"/>
      <c r="N45" s="349"/>
      <c r="O45" s="349"/>
      <c r="P45" s="349"/>
      <c r="Q45" s="349"/>
      <c r="R45" s="349"/>
      <c r="S45" s="349"/>
      <c r="T45" s="349"/>
      <c r="U45" s="349"/>
      <c r="V45" t="s">
        <v>758</v>
      </c>
      <c r="W45" s="42">
        <v>2020</v>
      </c>
      <c r="X45" s="42">
        <v>2021</v>
      </c>
      <c r="Y45" s="42">
        <v>2022</v>
      </c>
      <c r="Z45" s="42">
        <v>2023</v>
      </c>
      <c r="AA45" s="42">
        <v>2024</v>
      </c>
      <c r="AB45" s="42">
        <v>2025</v>
      </c>
      <c r="AC45" s="42">
        <v>2026</v>
      </c>
      <c r="AD45" s="42">
        <v>2027</v>
      </c>
      <c r="AE45" s="42">
        <v>2028</v>
      </c>
      <c r="AF45" s="42">
        <v>2029</v>
      </c>
      <c r="AG45" s="42">
        <v>2030</v>
      </c>
      <c r="AH45" s="42">
        <v>2031</v>
      </c>
      <c r="AI45" s="42">
        <v>2032</v>
      </c>
      <c r="AJ45" s="42">
        <v>2033</v>
      </c>
      <c r="AK45" s="42">
        <v>2034</v>
      </c>
      <c r="AL45" s="42">
        <v>2035</v>
      </c>
      <c r="AM45" s="42">
        <v>2036</v>
      </c>
      <c r="AN45" s="42">
        <v>2037</v>
      </c>
      <c r="AO45" s="42">
        <v>2038</v>
      </c>
      <c r="AP45" s="42">
        <v>2039</v>
      </c>
      <c r="AQ45" s="42">
        <v>2040</v>
      </c>
      <c r="AR45" s="42">
        <v>2041</v>
      </c>
      <c r="AS45" s="42">
        <v>2042</v>
      </c>
      <c r="AT45" s="42">
        <v>2043</v>
      </c>
      <c r="AU45" s="42">
        <v>2044</v>
      </c>
      <c r="AV45" s="42">
        <v>2045</v>
      </c>
      <c r="AW45" s="42">
        <v>2046</v>
      </c>
      <c r="AX45" s="42">
        <v>2047</v>
      </c>
      <c r="AY45" s="42">
        <v>2048</v>
      </c>
      <c r="AZ45" s="42">
        <v>2049</v>
      </c>
      <c r="BA45" s="42">
        <v>2050</v>
      </c>
    </row>
    <row r="46" spans="1:53" ht="15.75" customHeight="1">
      <c r="A46" s="350">
        <v>1969</v>
      </c>
      <c r="B46" s="350"/>
      <c r="C46" s="350"/>
      <c r="D46" s="350"/>
      <c r="E46" s="350"/>
      <c r="F46" s="350"/>
      <c r="G46" s="350"/>
      <c r="H46" s="350"/>
      <c r="I46" s="350"/>
      <c r="J46" s="350"/>
      <c r="K46" s="350"/>
      <c r="L46" s="350"/>
      <c r="M46" s="350"/>
      <c r="N46" s="350"/>
      <c r="O46" s="350"/>
      <c r="P46" s="350"/>
      <c r="Q46" s="350"/>
      <c r="R46" s="350"/>
      <c r="S46" s="350"/>
      <c r="T46" s="350"/>
      <c r="U46" s="350"/>
      <c r="V46" s="86">
        <v>1232.7</v>
      </c>
      <c r="W46">
        <f t="shared" ref="W46:W70" si="32">IF(W$45-$A46&gt;$V$30,$V46,0)</f>
        <v>0</v>
      </c>
      <c r="X46">
        <f t="shared" ref="X46:BA46" si="33">IF(AND(X$45-$A46&gt;$V$30,SUM($W46:W46)&lt;&gt;$V46),$V46,0)</f>
        <v>0</v>
      </c>
      <c r="Y46">
        <f t="shared" si="33"/>
        <v>0</v>
      </c>
      <c r="Z46">
        <f t="shared" si="33"/>
        <v>0</v>
      </c>
      <c r="AA46">
        <f t="shared" si="33"/>
        <v>0</v>
      </c>
      <c r="AB46">
        <f t="shared" si="33"/>
        <v>0</v>
      </c>
      <c r="AC46">
        <f t="shared" si="33"/>
        <v>0</v>
      </c>
      <c r="AD46">
        <f t="shared" si="33"/>
        <v>0</v>
      </c>
      <c r="AE46">
        <f t="shared" si="33"/>
        <v>0</v>
      </c>
      <c r="AF46">
        <f t="shared" si="33"/>
        <v>0</v>
      </c>
      <c r="AG46">
        <f t="shared" si="33"/>
        <v>1232.7</v>
      </c>
      <c r="AH46">
        <f t="shared" si="33"/>
        <v>0</v>
      </c>
      <c r="AI46">
        <f t="shared" si="33"/>
        <v>0</v>
      </c>
      <c r="AJ46">
        <f t="shared" si="33"/>
        <v>0</v>
      </c>
      <c r="AK46">
        <f t="shared" si="33"/>
        <v>0</v>
      </c>
      <c r="AL46">
        <f t="shared" si="33"/>
        <v>0</v>
      </c>
      <c r="AM46">
        <f t="shared" si="33"/>
        <v>0</v>
      </c>
      <c r="AN46">
        <f t="shared" si="33"/>
        <v>0</v>
      </c>
      <c r="AO46">
        <f t="shared" si="33"/>
        <v>0</v>
      </c>
      <c r="AP46">
        <f t="shared" si="33"/>
        <v>0</v>
      </c>
      <c r="AQ46">
        <f t="shared" si="33"/>
        <v>0</v>
      </c>
      <c r="AR46">
        <f t="shared" si="33"/>
        <v>0</v>
      </c>
      <c r="AS46">
        <f t="shared" si="33"/>
        <v>0</v>
      </c>
      <c r="AT46">
        <f t="shared" si="33"/>
        <v>0</v>
      </c>
      <c r="AU46">
        <f t="shared" si="33"/>
        <v>0</v>
      </c>
      <c r="AV46">
        <f t="shared" si="33"/>
        <v>0</v>
      </c>
      <c r="AW46">
        <f t="shared" si="33"/>
        <v>0</v>
      </c>
      <c r="AX46">
        <f t="shared" si="33"/>
        <v>0</v>
      </c>
      <c r="AY46">
        <f t="shared" si="33"/>
        <v>0</v>
      </c>
      <c r="AZ46">
        <f t="shared" si="33"/>
        <v>0</v>
      </c>
      <c r="BA46">
        <f t="shared" si="33"/>
        <v>0</v>
      </c>
    </row>
    <row r="47" spans="1:53" ht="15.75" customHeight="1">
      <c r="A47" s="350">
        <v>1970</v>
      </c>
      <c r="B47" s="350"/>
      <c r="C47" s="350"/>
      <c r="D47" s="350"/>
      <c r="E47" s="350"/>
      <c r="F47" s="350"/>
      <c r="G47" s="350"/>
      <c r="H47" s="350"/>
      <c r="I47" s="350"/>
      <c r="J47" s="350"/>
      <c r="K47" s="350"/>
      <c r="L47" s="350"/>
      <c r="M47" s="350"/>
      <c r="N47" s="350"/>
      <c r="O47" s="350"/>
      <c r="P47" s="350"/>
      <c r="Q47" s="350"/>
      <c r="R47" s="350"/>
      <c r="S47" s="350"/>
      <c r="T47" s="350"/>
      <c r="U47" s="350"/>
      <c r="V47" s="86">
        <v>2079.4</v>
      </c>
      <c r="W47">
        <f t="shared" si="32"/>
        <v>0</v>
      </c>
      <c r="X47">
        <f t="shared" ref="X47:BA47" si="34">IF(AND(X$45-$A47&gt;$V$30,SUM($W47:W47)&lt;&gt;$V47),$V47,0)</f>
        <v>0</v>
      </c>
      <c r="Y47">
        <f t="shared" si="34"/>
        <v>0</v>
      </c>
      <c r="Z47">
        <f t="shared" si="34"/>
        <v>0</v>
      </c>
      <c r="AA47">
        <f t="shared" si="34"/>
        <v>0</v>
      </c>
      <c r="AB47">
        <f t="shared" si="34"/>
        <v>0</v>
      </c>
      <c r="AC47">
        <f t="shared" si="34"/>
        <v>0</v>
      </c>
      <c r="AD47">
        <f t="shared" si="34"/>
        <v>0</v>
      </c>
      <c r="AE47">
        <f t="shared" si="34"/>
        <v>0</v>
      </c>
      <c r="AF47">
        <f t="shared" si="34"/>
        <v>0</v>
      </c>
      <c r="AG47">
        <f t="shared" si="34"/>
        <v>0</v>
      </c>
      <c r="AH47">
        <f t="shared" si="34"/>
        <v>2079.4</v>
      </c>
      <c r="AI47">
        <f t="shared" si="34"/>
        <v>0</v>
      </c>
      <c r="AJ47">
        <f t="shared" si="34"/>
        <v>0</v>
      </c>
      <c r="AK47">
        <f t="shared" si="34"/>
        <v>0</v>
      </c>
      <c r="AL47">
        <f t="shared" si="34"/>
        <v>0</v>
      </c>
      <c r="AM47">
        <f t="shared" si="34"/>
        <v>0</v>
      </c>
      <c r="AN47">
        <f t="shared" si="34"/>
        <v>0</v>
      </c>
      <c r="AO47">
        <f t="shared" si="34"/>
        <v>0</v>
      </c>
      <c r="AP47">
        <f t="shared" si="34"/>
        <v>0</v>
      </c>
      <c r="AQ47">
        <f t="shared" si="34"/>
        <v>0</v>
      </c>
      <c r="AR47">
        <f t="shared" si="34"/>
        <v>0</v>
      </c>
      <c r="AS47">
        <f t="shared" si="34"/>
        <v>0</v>
      </c>
      <c r="AT47">
        <f t="shared" si="34"/>
        <v>0</v>
      </c>
      <c r="AU47">
        <f t="shared" si="34"/>
        <v>0</v>
      </c>
      <c r="AV47">
        <f t="shared" si="34"/>
        <v>0</v>
      </c>
      <c r="AW47">
        <f t="shared" si="34"/>
        <v>0</v>
      </c>
      <c r="AX47">
        <f t="shared" si="34"/>
        <v>0</v>
      </c>
      <c r="AY47">
        <f t="shared" si="34"/>
        <v>0</v>
      </c>
      <c r="AZ47">
        <f t="shared" si="34"/>
        <v>0</v>
      </c>
      <c r="BA47">
        <f t="shared" si="34"/>
        <v>0</v>
      </c>
    </row>
    <row r="48" spans="1:53" ht="15.75" customHeight="1">
      <c r="A48" s="350">
        <v>1971</v>
      </c>
      <c r="B48" s="350"/>
      <c r="C48" s="350"/>
      <c r="D48" s="350"/>
      <c r="E48" s="350"/>
      <c r="F48" s="350"/>
      <c r="G48" s="350"/>
      <c r="H48" s="350"/>
      <c r="I48" s="350"/>
      <c r="J48" s="350"/>
      <c r="K48" s="350"/>
      <c r="L48" s="350"/>
      <c r="M48" s="350"/>
      <c r="N48" s="350"/>
      <c r="O48" s="350"/>
      <c r="P48" s="350"/>
      <c r="Q48" s="350"/>
      <c r="R48" s="350"/>
      <c r="S48" s="350"/>
      <c r="T48" s="350"/>
      <c r="U48" s="350"/>
      <c r="V48" s="86">
        <v>2253</v>
      </c>
      <c r="W48">
        <f t="shared" si="32"/>
        <v>0</v>
      </c>
      <c r="X48">
        <f t="shared" ref="X48:BA48" si="35">IF(AND(X$45-$A48&gt;$V$30,SUM($W48:W48)&lt;&gt;$V48),$V48,0)</f>
        <v>0</v>
      </c>
      <c r="Y48">
        <f t="shared" si="35"/>
        <v>0</v>
      </c>
      <c r="Z48">
        <f t="shared" si="35"/>
        <v>0</v>
      </c>
      <c r="AA48">
        <f t="shared" si="35"/>
        <v>0</v>
      </c>
      <c r="AB48">
        <f t="shared" si="35"/>
        <v>0</v>
      </c>
      <c r="AC48">
        <f t="shared" si="35"/>
        <v>0</v>
      </c>
      <c r="AD48">
        <f t="shared" si="35"/>
        <v>0</v>
      </c>
      <c r="AE48">
        <f t="shared" si="35"/>
        <v>0</v>
      </c>
      <c r="AF48">
        <f t="shared" si="35"/>
        <v>0</v>
      </c>
      <c r="AG48">
        <f t="shared" si="35"/>
        <v>0</v>
      </c>
      <c r="AH48">
        <f t="shared" si="35"/>
        <v>0</v>
      </c>
      <c r="AI48">
        <f t="shared" si="35"/>
        <v>2253</v>
      </c>
      <c r="AJ48">
        <f t="shared" si="35"/>
        <v>0</v>
      </c>
      <c r="AK48">
        <f t="shared" si="35"/>
        <v>0</v>
      </c>
      <c r="AL48">
        <f t="shared" si="35"/>
        <v>0</v>
      </c>
      <c r="AM48">
        <f t="shared" si="35"/>
        <v>0</v>
      </c>
      <c r="AN48">
        <f t="shared" si="35"/>
        <v>0</v>
      </c>
      <c r="AO48">
        <f t="shared" si="35"/>
        <v>0</v>
      </c>
      <c r="AP48">
        <f t="shared" si="35"/>
        <v>0</v>
      </c>
      <c r="AQ48">
        <f t="shared" si="35"/>
        <v>0</v>
      </c>
      <c r="AR48">
        <f t="shared" si="35"/>
        <v>0</v>
      </c>
      <c r="AS48">
        <f t="shared" si="35"/>
        <v>0</v>
      </c>
      <c r="AT48">
        <f t="shared" si="35"/>
        <v>0</v>
      </c>
      <c r="AU48">
        <f t="shared" si="35"/>
        <v>0</v>
      </c>
      <c r="AV48">
        <f t="shared" si="35"/>
        <v>0</v>
      </c>
      <c r="AW48">
        <f t="shared" si="35"/>
        <v>0</v>
      </c>
      <c r="AX48">
        <f t="shared" si="35"/>
        <v>0</v>
      </c>
      <c r="AY48">
        <f t="shared" si="35"/>
        <v>0</v>
      </c>
      <c r="AZ48">
        <f t="shared" si="35"/>
        <v>0</v>
      </c>
      <c r="BA48">
        <f t="shared" si="35"/>
        <v>0</v>
      </c>
    </row>
    <row r="49" spans="1:53" ht="15.75" customHeight="1">
      <c r="A49" s="350">
        <v>1972</v>
      </c>
      <c r="B49" s="350"/>
      <c r="C49" s="350"/>
      <c r="D49" s="350"/>
      <c r="E49" s="350"/>
      <c r="F49" s="350"/>
      <c r="G49" s="350"/>
      <c r="H49" s="350"/>
      <c r="I49" s="350"/>
      <c r="J49" s="350"/>
      <c r="K49" s="350"/>
      <c r="L49" s="350"/>
      <c r="M49" s="350"/>
      <c r="N49" s="350"/>
      <c r="O49" s="350"/>
      <c r="P49" s="350"/>
      <c r="Q49" s="350"/>
      <c r="R49" s="350"/>
      <c r="S49" s="350"/>
      <c r="T49" s="350"/>
      <c r="U49" s="350"/>
      <c r="V49" s="86">
        <v>5535.2</v>
      </c>
      <c r="W49">
        <f t="shared" si="32"/>
        <v>0</v>
      </c>
      <c r="X49">
        <f t="shared" ref="X49:BA49" si="36">IF(AND(X$45-$A49&gt;$V$30,SUM($W49:W49)&lt;&gt;$V49),$V49,0)</f>
        <v>0</v>
      </c>
      <c r="Y49">
        <f t="shared" si="36"/>
        <v>0</v>
      </c>
      <c r="Z49">
        <f t="shared" si="36"/>
        <v>0</v>
      </c>
      <c r="AA49">
        <f t="shared" si="36"/>
        <v>0</v>
      </c>
      <c r="AB49">
        <f t="shared" si="36"/>
        <v>0</v>
      </c>
      <c r="AC49">
        <f t="shared" si="36"/>
        <v>0</v>
      </c>
      <c r="AD49">
        <f t="shared" si="36"/>
        <v>0</v>
      </c>
      <c r="AE49">
        <f t="shared" si="36"/>
        <v>0</v>
      </c>
      <c r="AF49">
        <f t="shared" si="36"/>
        <v>0</v>
      </c>
      <c r="AG49">
        <f t="shared" si="36"/>
        <v>0</v>
      </c>
      <c r="AH49">
        <f t="shared" si="36"/>
        <v>0</v>
      </c>
      <c r="AI49">
        <f t="shared" si="36"/>
        <v>0</v>
      </c>
      <c r="AJ49">
        <f t="shared" si="36"/>
        <v>5535.2</v>
      </c>
      <c r="AK49">
        <f t="shared" si="36"/>
        <v>0</v>
      </c>
      <c r="AL49">
        <f t="shared" si="36"/>
        <v>0</v>
      </c>
      <c r="AM49">
        <f t="shared" si="36"/>
        <v>0</v>
      </c>
      <c r="AN49">
        <f t="shared" si="36"/>
        <v>0</v>
      </c>
      <c r="AO49">
        <f t="shared" si="36"/>
        <v>0</v>
      </c>
      <c r="AP49">
        <f t="shared" si="36"/>
        <v>0</v>
      </c>
      <c r="AQ49">
        <f t="shared" si="36"/>
        <v>0</v>
      </c>
      <c r="AR49">
        <f t="shared" si="36"/>
        <v>0</v>
      </c>
      <c r="AS49">
        <f t="shared" si="36"/>
        <v>0</v>
      </c>
      <c r="AT49">
        <f t="shared" si="36"/>
        <v>0</v>
      </c>
      <c r="AU49">
        <f t="shared" si="36"/>
        <v>0</v>
      </c>
      <c r="AV49">
        <f t="shared" si="36"/>
        <v>0</v>
      </c>
      <c r="AW49">
        <f t="shared" si="36"/>
        <v>0</v>
      </c>
      <c r="AX49">
        <f t="shared" si="36"/>
        <v>0</v>
      </c>
      <c r="AY49">
        <f t="shared" si="36"/>
        <v>0</v>
      </c>
      <c r="AZ49">
        <f t="shared" si="36"/>
        <v>0</v>
      </c>
      <c r="BA49">
        <f t="shared" si="36"/>
        <v>0</v>
      </c>
    </row>
    <row r="50" spans="1:53" ht="15.75" customHeight="1">
      <c r="A50" s="350">
        <v>1973</v>
      </c>
      <c r="B50" s="350"/>
      <c r="C50" s="350"/>
      <c r="D50" s="350"/>
      <c r="E50" s="350"/>
      <c r="F50" s="350"/>
      <c r="G50" s="350"/>
      <c r="H50" s="350"/>
      <c r="I50" s="350"/>
      <c r="J50" s="350"/>
      <c r="K50" s="350"/>
      <c r="L50" s="350"/>
      <c r="M50" s="350"/>
      <c r="N50" s="350"/>
      <c r="O50" s="350"/>
      <c r="P50" s="350"/>
      <c r="Q50" s="350"/>
      <c r="R50" s="350"/>
      <c r="S50" s="350"/>
      <c r="T50" s="350"/>
      <c r="U50" s="350"/>
      <c r="V50" s="86">
        <v>3499.1</v>
      </c>
      <c r="W50">
        <f t="shared" si="32"/>
        <v>0</v>
      </c>
      <c r="X50">
        <f t="shared" ref="X50:BA50" si="37">IF(AND(X$45-$A50&gt;$V$30,SUM($W50:W50)&lt;&gt;$V50),$V50,0)</f>
        <v>0</v>
      </c>
      <c r="Y50">
        <f t="shared" si="37"/>
        <v>0</v>
      </c>
      <c r="Z50">
        <f t="shared" si="37"/>
        <v>0</v>
      </c>
      <c r="AA50">
        <f t="shared" si="37"/>
        <v>0</v>
      </c>
      <c r="AB50">
        <f t="shared" si="37"/>
        <v>0</v>
      </c>
      <c r="AC50">
        <f t="shared" si="37"/>
        <v>0</v>
      </c>
      <c r="AD50">
        <f t="shared" si="37"/>
        <v>0</v>
      </c>
      <c r="AE50">
        <f t="shared" si="37"/>
        <v>0</v>
      </c>
      <c r="AF50">
        <f t="shared" si="37"/>
        <v>0</v>
      </c>
      <c r="AG50">
        <f t="shared" si="37"/>
        <v>0</v>
      </c>
      <c r="AH50">
        <f t="shared" si="37"/>
        <v>0</v>
      </c>
      <c r="AI50">
        <f t="shared" si="37"/>
        <v>0</v>
      </c>
      <c r="AJ50">
        <f t="shared" si="37"/>
        <v>0</v>
      </c>
      <c r="AK50">
        <f t="shared" si="37"/>
        <v>3499.1</v>
      </c>
      <c r="AL50">
        <f t="shared" si="37"/>
        <v>0</v>
      </c>
      <c r="AM50">
        <f t="shared" si="37"/>
        <v>0</v>
      </c>
      <c r="AN50">
        <f t="shared" si="37"/>
        <v>0</v>
      </c>
      <c r="AO50">
        <f t="shared" si="37"/>
        <v>0</v>
      </c>
      <c r="AP50">
        <f t="shared" si="37"/>
        <v>0</v>
      </c>
      <c r="AQ50">
        <f t="shared" si="37"/>
        <v>0</v>
      </c>
      <c r="AR50">
        <f t="shared" si="37"/>
        <v>0</v>
      </c>
      <c r="AS50">
        <f t="shared" si="37"/>
        <v>0</v>
      </c>
      <c r="AT50">
        <f t="shared" si="37"/>
        <v>0</v>
      </c>
      <c r="AU50">
        <f t="shared" si="37"/>
        <v>0</v>
      </c>
      <c r="AV50">
        <f t="shared" si="37"/>
        <v>0</v>
      </c>
      <c r="AW50">
        <f t="shared" si="37"/>
        <v>0</v>
      </c>
      <c r="AX50">
        <f t="shared" si="37"/>
        <v>0</v>
      </c>
      <c r="AY50">
        <f t="shared" si="37"/>
        <v>0</v>
      </c>
      <c r="AZ50">
        <f t="shared" si="37"/>
        <v>0</v>
      </c>
      <c r="BA50">
        <f t="shared" si="37"/>
        <v>0</v>
      </c>
    </row>
    <row r="51" spans="1:53" ht="15.75" customHeight="1">
      <c r="A51" s="350">
        <v>1974</v>
      </c>
      <c r="B51" s="350"/>
      <c r="C51" s="350"/>
      <c r="D51" s="350"/>
      <c r="E51" s="350"/>
      <c r="F51" s="350"/>
      <c r="G51" s="350"/>
      <c r="H51" s="350"/>
      <c r="I51" s="350"/>
      <c r="J51" s="350"/>
      <c r="K51" s="350"/>
      <c r="L51" s="350"/>
      <c r="M51" s="350"/>
      <c r="N51" s="350"/>
      <c r="O51" s="350"/>
      <c r="P51" s="350"/>
      <c r="Q51" s="350"/>
      <c r="R51" s="350"/>
      <c r="S51" s="350"/>
      <c r="T51" s="350"/>
      <c r="U51" s="350"/>
      <c r="V51" s="86">
        <v>8705.7999999999993</v>
      </c>
      <c r="W51">
        <f t="shared" si="32"/>
        <v>0</v>
      </c>
      <c r="X51">
        <f t="shared" ref="X51:BA51" si="38">IF(AND(X$45-$A51&gt;$V$30,SUM($W51:W51)&lt;&gt;$V51),$V51,0)</f>
        <v>0</v>
      </c>
      <c r="Y51">
        <f t="shared" si="38"/>
        <v>0</v>
      </c>
      <c r="Z51">
        <f t="shared" si="38"/>
        <v>0</v>
      </c>
      <c r="AA51">
        <f t="shared" si="38"/>
        <v>0</v>
      </c>
      <c r="AB51">
        <f t="shared" si="38"/>
        <v>0</v>
      </c>
      <c r="AC51">
        <f t="shared" si="38"/>
        <v>0</v>
      </c>
      <c r="AD51">
        <f t="shared" si="38"/>
        <v>0</v>
      </c>
      <c r="AE51">
        <f t="shared" si="38"/>
        <v>0</v>
      </c>
      <c r="AF51">
        <f t="shared" si="38"/>
        <v>0</v>
      </c>
      <c r="AG51">
        <f t="shared" si="38"/>
        <v>0</v>
      </c>
      <c r="AH51">
        <f t="shared" si="38"/>
        <v>0</v>
      </c>
      <c r="AI51">
        <f t="shared" si="38"/>
        <v>0</v>
      </c>
      <c r="AJ51">
        <f t="shared" si="38"/>
        <v>0</v>
      </c>
      <c r="AK51">
        <f t="shared" si="38"/>
        <v>0</v>
      </c>
      <c r="AL51">
        <f t="shared" si="38"/>
        <v>8705.7999999999993</v>
      </c>
      <c r="AM51">
        <f t="shared" si="38"/>
        <v>0</v>
      </c>
      <c r="AN51">
        <f t="shared" si="38"/>
        <v>0</v>
      </c>
      <c r="AO51">
        <f t="shared" si="38"/>
        <v>0</v>
      </c>
      <c r="AP51">
        <f t="shared" si="38"/>
        <v>0</v>
      </c>
      <c r="AQ51">
        <f t="shared" si="38"/>
        <v>0</v>
      </c>
      <c r="AR51">
        <f t="shared" si="38"/>
        <v>0</v>
      </c>
      <c r="AS51">
        <f t="shared" si="38"/>
        <v>0</v>
      </c>
      <c r="AT51">
        <f t="shared" si="38"/>
        <v>0</v>
      </c>
      <c r="AU51">
        <f t="shared" si="38"/>
        <v>0</v>
      </c>
      <c r="AV51">
        <f t="shared" si="38"/>
        <v>0</v>
      </c>
      <c r="AW51">
        <f t="shared" si="38"/>
        <v>0</v>
      </c>
      <c r="AX51">
        <f t="shared" si="38"/>
        <v>0</v>
      </c>
      <c r="AY51">
        <f t="shared" si="38"/>
        <v>0</v>
      </c>
      <c r="AZ51">
        <f t="shared" si="38"/>
        <v>0</v>
      </c>
      <c r="BA51">
        <f t="shared" si="38"/>
        <v>0</v>
      </c>
    </row>
    <row r="52" spans="1:53" ht="15.75" customHeight="1">
      <c r="A52" s="350">
        <v>1975</v>
      </c>
      <c r="B52" s="350"/>
      <c r="C52" s="350"/>
      <c r="D52" s="350"/>
      <c r="E52" s="350"/>
      <c r="F52" s="350"/>
      <c r="G52" s="350"/>
      <c r="H52" s="350"/>
      <c r="I52" s="350"/>
      <c r="J52" s="350"/>
      <c r="K52" s="350"/>
      <c r="L52" s="350"/>
      <c r="M52" s="350"/>
      <c r="N52" s="350"/>
      <c r="O52" s="350"/>
      <c r="P52" s="350"/>
      <c r="Q52" s="350"/>
      <c r="R52" s="350"/>
      <c r="S52" s="350"/>
      <c r="T52" s="350"/>
      <c r="U52" s="350"/>
      <c r="V52" s="86">
        <v>6255.9</v>
      </c>
      <c r="W52">
        <f t="shared" si="32"/>
        <v>0</v>
      </c>
      <c r="X52">
        <f t="shared" ref="X52:BA52" si="39">IF(AND(X$45-$A52&gt;$V$30,SUM($W52:W52)&lt;&gt;$V52),$V52,0)</f>
        <v>0</v>
      </c>
      <c r="Y52">
        <f t="shared" si="39"/>
        <v>0</v>
      </c>
      <c r="Z52">
        <f t="shared" si="39"/>
        <v>0</v>
      </c>
      <c r="AA52">
        <f t="shared" si="39"/>
        <v>0</v>
      </c>
      <c r="AB52">
        <f t="shared" si="39"/>
        <v>0</v>
      </c>
      <c r="AC52">
        <f t="shared" si="39"/>
        <v>0</v>
      </c>
      <c r="AD52">
        <f t="shared" si="39"/>
        <v>0</v>
      </c>
      <c r="AE52">
        <f t="shared" si="39"/>
        <v>0</v>
      </c>
      <c r="AF52">
        <f t="shared" si="39"/>
        <v>0</v>
      </c>
      <c r="AG52">
        <f t="shared" si="39"/>
        <v>0</v>
      </c>
      <c r="AH52">
        <f t="shared" si="39"/>
        <v>0</v>
      </c>
      <c r="AI52">
        <f t="shared" si="39"/>
        <v>0</v>
      </c>
      <c r="AJ52">
        <f t="shared" si="39"/>
        <v>0</v>
      </c>
      <c r="AK52">
        <f t="shared" si="39"/>
        <v>0</v>
      </c>
      <c r="AL52">
        <f t="shared" si="39"/>
        <v>0</v>
      </c>
      <c r="AM52">
        <f t="shared" si="39"/>
        <v>6255.9</v>
      </c>
      <c r="AN52">
        <f t="shared" si="39"/>
        <v>0</v>
      </c>
      <c r="AO52">
        <f t="shared" si="39"/>
        <v>0</v>
      </c>
      <c r="AP52">
        <f t="shared" si="39"/>
        <v>0</v>
      </c>
      <c r="AQ52">
        <f t="shared" si="39"/>
        <v>0</v>
      </c>
      <c r="AR52">
        <f t="shared" si="39"/>
        <v>0</v>
      </c>
      <c r="AS52">
        <f t="shared" si="39"/>
        <v>0</v>
      </c>
      <c r="AT52">
        <f t="shared" si="39"/>
        <v>0</v>
      </c>
      <c r="AU52">
        <f t="shared" si="39"/>
        <v>0</v>
      </c>
      <c r="AV52">
        <f t="shared" si="39"/>
        <v>0</v>
      </c>
      <c r="AW52">
        <f t="shared" si="39"/>
        <v>0</v>
      </c>
      <c r="AX52">
        <f t="shared" si="39"/>
        <v>0</v>
      </c>
      <c r="AY52">
        <f t="shared" si="39"/>
        <v>0</v>
      </c>
      <c r="AZ52">
        <f t="shared" si="39"/>
        <v>0</v>
      </c>
      <c r="BA52">
        <f t="shared" si="39"/>
        <v>0</v>
      </c>
    </row>
    <row r="53" spans="1:53" ht="15.75" customHeight="1">
      <c r="A53" s="350">
        <v>1976</v>
      </c>
      <c r="B53" s="350"/>
      <c r="C53" s="350"/>
      <c r="D53" s="350"/>
      <c r="E53" s="350"/>
      <c r="F53" s="350"/>
      <c r="G53" s="350"/>
      <c r="H53" s="350"/>
      <c r="I53" s="350"/>
      <c r="J53" s="350"/>
      <c r="K53" s="350"/>
      <c r="L53" s="350"/>
      <c r="M53" s="350"/>
      <c r="N53" s="350"/>
      <c r="O53" s="350"/>
      <c r="P53" s="350"/>
      <c r="Q53" s="350"/>
      <c r="R53" s="350"/>
      <c r="S53" s="350"/>
      <c r="T53" s="350"/>
      <c r="U53" s="350"/>
      <c r="V53" s="86">
        <v>3780.3</v>
      </c>
      <c r="W53">
        <f t="shared" si="32"/>
        <v>0</v>
      </c>
      <c r="X53">
        <f t="shared" ref="X53:BA53" si="40">IF(AND(X$45-$A53&gt;$V$30,SUM($W53:W53)&lt;&gt;$V53),$V53,0)</f>
        <v>0</v>
      </c>
      <c r="Y53">
        <f t="shared" si="40"/>
        <v>0</v>
      </c>
      <c r="Z53">
        <f t="shared" si="40"/>
        <v>0</v>
      </c>
      <c r="AA53">
        <f t="shared" si="40"/>
        <v>0</v>
      </c>
      <c r="AB53">
        <f t="shared" si="40"/>
        <v>0</v>
      </c>
      <c r="AC53">
        <f t="shared" si="40"/>
        <v>0</v>
      </c>
      <c r="AD53">
        <f t="shared" si="40"/>
        <v>0</v>
      </c>
      <c r="AE53">
        <f t="shared" si="40"/>
        <v>0</v>
      </c>
      <c r="AF53">
        <f t="shared" si="40"/>
        <v>0</v>
      </c>
      <c r="AG53">
        <f t="shared" si="40"/>
        <v>0</v>
      </c>
      <c r="AH53">
        <f t="shared" si="40"/>
        <v>0</v>
      </c>
      <c r="AI53">
        <f t="shared" si="40"/>
        <v>0</v>
      </c>
      <c r="AJ53">
        <f t="shared" si="40"/>
        <v>0</v>
      </c>
      <c r="AK53">
        <f t="shared" si="40"/>
        <v>0</v>
      </c>
      <c r="AL53">
        <f t="shared" si="40"/>
        <v>0</v>
      </c>
      <c r="AM53">
        <f t="shared" si="40"/>
        <v>0</v>
      </c>
      <c r="AN53">
        <f t="shared" si="40"/>
        <v>3780.3</v>
      </c>
      <c r="AO53">
        <f t="shared" si="40"/>
        <v>0</v>
      </c>
      <c r="AP53">
        <f t="shared" si="40"/>
        <v>0</v>
      </c>
      <c r="AQ53">
        <f t="shared" si="40"/>
        <v>0</v>
      </c>
      <c r="AR53">
        <f t="shared" si="40"/>
        <v>0</v>
      </c>
      <c r="AS53">
        <f t="shared" si="40"/>
        <v>0</v>
      </c>
      <c r="AT53">
        <f t="shared" si="40"/>
        <v>0</v>
      </c>
      <c r="AU53">
        <f t="shared" si="40"/>
        <v>0</v>
      </c>
      <c r="AV53">
        <f t="shared" si="40"/>
        <v>0</v>
      </c>
      <c r="AW53">
        <f t="shared" si="40"/>
        <v>0</v>
      </c>
      <c r="AX53">
        <f t="shared" si="40"/>
        <v>0</v>
      </c>
      <c r="AY53">
        <f t="shared" si="40"/>
        <v>0</v>
      </c>
      <c r="AZ53">
        <f t="shared" si="40"/>
        <v>0</v>
      </c>
      <c r="BA53">
        <f t="shared" si="40"/>
        <v>0</v>
      </c>
    </row>
    <row r="54" spans="1:53" ht="15.75" customHeight="1">
      <c r="A54" s="350">
        <v>1977</v>
      </c>
      <c r="B54" s="350"/>
      <c r="C54" s="350"/>
      <c r="D54" s="350"/>
      <c r="E54" s="350"/>
      <c r="F54" s="350"/>
      <c r="G54" s="350"/>
      <c r="H54" s="350"/>
      <c r="I54" s="350"/>
      <c r="J54" s="350"/>
      <c r="K54" s="350"/>
      <c r="L54" s="350"/>
      <c r="M54" s="350"/>
      <c r="N54" s="350"/>
      <c r="O54" s="350"/>
      <c r="P54" s="350"/>
      <c r="Q54" s="350"/>
      <c r="R54" s="350"/>
      <c r="S54" s="350"/>
      <c r="T54" s="350"/>
      <c r="U54" s="350"/>
      <c r="V54" s="86">
        <v>5822.9</v>
      </c>
      <c r="W54">
        <f t="shared" si="32"/>
        <v>0</v>
      </c>
      <c r="X54">
        <f t="shared" ref="X54:BA54" si="41">IF(AND(X$45-$A54&gt;$V$30,SUM($W54:W54)&lt;&gt;$V54),$V54,0)</f>
        <v>0</v>
      </c>
      <c r="Y54">
        <f t="shared" si="41"/>
        <v>0</v>
      </c>
      <c r="Z54">
        <f t="shared" si="41"/>
        <v>0</v>
      </c>
      <c r="AA54">
        <f t="shared" si="41"/>
        <v>0</v>
      </c>
      <c r="AB54">
        <f t="shared" si="41"/>
        <v>0</v>
      </c>
      <c r="AC54">
        <f t="shared" si="41"/>
        <v>0</v>
      </c>
      <c r="AD54">
        <f t="shared" si="41"/>
        <v>0</v>
      </c>
      <c r="AE54">
        <f t="shared" si="41"/>
        <v>0</v>
      </c>
      <c r="AF54">
        <f t="shared" si="41"/>
        <v>0</v>
      </c>
      <c r="AG54">
        <f t="shared" si="41"/>
        <v>0</v>
      </c>
      <c r="AH54">
        <f t="shared" si="41"/>
        <v>0</v>
      </c>
      <c r="AI54">
        <f t="shared" si="41"/>
        <v>0</v>
      </c>
      <c r="AJ54">
        <f t="shared" si="41"/>
        <v>0</v>
      </c>
      <c r="AK54">
        <f t="shared" si="41"/>
        <v>0</v>
      </c>
      <c r="AL54">
        <f t="shared" si="41"/>
        <v>0</v>
      </c>
      <c r="AM54">
        <f t="shared" si="41"/>
        <v>0</v>
      </c>
      <c r="AN54">
        <f t="shared" si="41"/>
        <v>0</v>
      </c>
      <c r="AO54">
        <f t="shared" si="41"/>
        <v>5822.9</v>
      </c>
      <c r="AP54">
        <f t="shared" si="41"/>
        <v>0</v>
      </c>
      <c r="AQ54">
        <f t="shared" si="41"/>
        <v>0</v>
      </c>
      <c r="AR54">
        <f t="shared" si="41"/>
        <v>0</v>
      </c>
      <c r="AS54">
        <f t="shared" si="41"/>
        <v>0</v>
      </c>
      <c r="AT54">
        <f t="shared" si="41"/>
        <v>0</v>
      </c>
      <c r="AU54">
        <f t="shared" si="41"/>
        <v>0</v>
      </c>
      <c r="AV54">
        <f t="shared" si="41"/>
        <v>0</v>
      </c>
      <c r="AW54">
        <f t="shared" si="41"/>
        <v>0</v>
      </c>
      <c r="AX54">
        <f t="shared" si="41"/>
        <v>0</v>
      </c>
      <c r="AY54">
        <f t="shared" si="41"/>
        <v>0</v>
      </c>
      <c r="AZ54">
        <f t="shared" si="41"/>
        <v>0</v>
      </c>
      <c r="BA54">
        <f t="shared" si="41"/>
        <v>0</v>
      </c>
    </row>
    <row r="55" spans="1:53" ht="15.75" customHeight="1">
      <c r="A55" s="350">
        <v>1978</v>
      </c>
      <c r="B55" s="350"/>
      <c r="C55" s="350"/>
      <c r="D55" s="350"/>
      <c r="E55" s="350"/>
      <c r="F55" s="350"/>
      <c r="G55" s="350"/>
      <c r="H55" s="350"/>
      <c r="I55" s="350"/>
      <c r="J55" s="350"/>
      <c r="K55" s="350"/>
      <c r="L55" s="350"/>
      <c r="M55" s="350"/>
      <c r="N55" s="350"/>
      <c r="O55" s="350"/>
      <c r="P55" s="350"/>
      <c r="Q55" s="350"/>
      <c r="R55" s="350"/>
      <c r="S55" s="350"/>
      <c r="T55" s="350"/>
      <c r="U55" s="350"/>
      <c r="V55" s="86">
        <v>2116</v>
      </c>
      <c r="W55">
        <f t="shared" si="32"/>
        <v>0</v>
      </c>
      <c r="X55">
        <f t="shared" ref="X55:BA55" si="42">IF(AND(X$45-$A55&gt;$V$30,SUM($W55:W55)&lt;&gt;$V55),$V55,0)</f>
        <v>0</v>
      </c>
      <c r="Y55">
        <f t="shared" si="42"/>
        <v>0</v>
      </c>
      <c r="Z55">
        <f t="shared" si="42"/>
        <v>0</v>
      </c>
      <c r="AA55">
        <f t="shared" si="42"/>
        <v>0</v>
      </c>
      <c r="AB55">
        <f t="shared" si="42"/>
        <v>0</v>
      </c>
      <c r="AC55">
        <f t="shared" si="42"/>
        <v>0</v>
      </c>
      <c r="AD55">
        <f t="shared" si="42"/>
        <v>0</v>
      </c>
      <c r="AE55">
        <f t="shared" si="42"/>
        <v>0</v>
      </c>
      <c r="AF55">
        <f t="shared" si="42"/>
        <v>0</v>
      </c>
      <c r="AG55">
        <f t="shared" si="42"/>
        <v>0</v>
      </c>
      <c r="AH55">
        <f t="shared" si="42"/>
        <v>0</v>
      </c>
      <c r="AI55">
        <f t="shared" si="42"/>
        <v>0</v>
      </c>
      <c r="AJ55">
        <f t="shared" si="42"/>
        <v>0</v>
      </c>
      <c r="AK55">
        <f t="shared" si="42"/>
        <v>0</v>
      </c>
      <c r="AL55">
        <f t="shared" si="42"/>
        <v>0</v>
      </c>
      <c r="AM55">
        <f t="shared" si="42"/>
        <v>0</v>
      </c>
      <c r="AN55">
        <f t="shared" si="42"/>
        <v>0</v>
      </c>
      <c r="AO55">
        <f t="shared" si="42"/>
        <v>0</v>
      </c>
      <c r="AP55">
        <f t="shared" si="42"/>
        <v>2116</v>
      </c>
      <c r="AQ55">
        <f t="shared" si="42"/>
        <v>0</v>
      </c>
      <c r="AR55">
        <f t="shared" si="42"/>
        <v>0</v>
      </c>
      <c r="AS55">
        <f t="shared" si="42"/>
        <v>0</v>
      </c>
      <c r="AT55">
        <f t="shared" si="42"/>
        <v>0</v>
      </c>
      <c r="AU55">
        <f t="shared" si="42"/>
        <v>0</v>
      </c>
      <c r="AV55">
        <f t="shared" si="42"/>
        <v>0</v>
      </c>
      <c r="AW55">
        <f t="shared" si="42"/>
        <v>0</v>
      </c>
      <c r="AX55">
        <f t="shared" si="42"/>
        <v>0</v>
      </c>
      <c r="AY55">
        <f t="shared" si="42"/>
        <v>0</v>
      </c>
      <c r="AZ55">
        <f t="shared" si="42"/>
        <v>0</v>
      </c>
      <c r="BA55">
        <f t="shared" si="42"/>
        <v>0</v>
      </c>
    </row>
    <row r="56" spans="1:53" ht="15.75" customHeight="1">
      <c r="A56" s="350">
        <v>1979</v>
      </c>
      <c r="B56" s="350"/>
      <c r="C56" s="350"/>
      <c r="D56" s="350"/>
      <c r="E56" s="350"/>
      <c r="F56" s="350"/>
      <c r="G56" s="350"/>
      <c r="H56" s="350"/>
      <c r="I56" s="350"/>
      <c r="J56" s="350"/>
      <c r="K56" s="350"/>
      <c r="L56" s="350"/>
      <c r="M56" s="350"/>
      <c r="N56" s="350"/>
      <c r="O56" s="350"/>
      <c r="P56" s="350"/>
      <c r="Q56" s="350"/>
      <c r="R56" s="350"/>
      <c r="S56" s="350"/>
      <c r="T56" s="350"/>
      <c r="U56" s="350"/>
      <c r="V56" s="86">
        <v>883</v>
      </c>
      <c r="W56">
        <f t="shared" si="32"/>
        <v>0</v>
      </c>
      <c r="X56">
        <f t="shared" ref="X56:BA56" si="43">IF(AND(X$45-$A56&gt;$V$30,SUM($W56:W56)&lt;&gt;$V56),$V56,0)</f>
        <v>0</v>
      </c>
      <c r="Y56">
        <f t="shared" si="43"/>
        <v>0</v>
      </c>
      <c r="Z56">
        <f t="shared" si="43"/>
        <v>0</v>
      </c>
      <c r="AA56">
        <f t="shared" si="43"/>
        <v>0</v>
      </c>
      <c r="AB56">
        <f t="shared" si="43"/>
        <v>0</v>
      </c>
      <c r="AC56">
        <f t="shared" si="43"/>
        <v>0</v>
      </c>
      <c r="AD56">
        <f t="shared" si="43"/>
        <v>0</v>
      </c>
      <c r="AE56">
        <f t="shared" si="43"/>
        <v>0</v>
      </c>
      <c r="AF56">
        <f t="shared" si="43"/>
        <v>0</v>
      </c>
      <c r="AG56">
        <f t="shared" si="43"/>
        <v>0</v>
      </c>
      <c r="AH56">
        <f t="shared" si="43"/>
        <v>0</v>
      </c>
      <c r="AI56">
        <f t="shared" si="43"/>
        <v>0</v>
      </c>
      <c r="AJ56">
        <f t="shared" si="43"/>
        <v>0</v>
      </c>
      <c r="AK56">
        <f t="shared" si="43"/>
        <v>0</v>
      </c>
      <c r="AL56">
        <f t="shared" si="43"/>
        <v>0</v>
      </c>
      <c r="AM56">
        <f t="shared" si="43"/>
        <v>0</v>
      </c>
      <c r="AN56">
        <f t="shared" si="43"/>
        <v>0</v>
      </c>
      <c r="AO56">
        <f t="shared" si="43"/>
        <v>0</v>
      </c>
      <c r="AP56">
        <f t="shared" si="43"/>
        <v>0</v>
      </c>
      <c r="AQ56">
        <f t="shared" si="43"/>
        <v>883</v>
      </c>
      <c r="AR56">
        <f t="shared" si="43"/>
        <v>0</v>
      </c>
      <c r="AS56">
        <f t="shared" si="43"/>
        <v>0</v>
      </c>
      <c r="AT56">
        <f t="shared" si="43"/>
        <v>0</v>
      </c>
      <c r="AU56">
        <f t="shared" si="43"/>
        <v>0</v>
      </c>
      <c r="AV56">
        <f t="shared" si="43"/>
        <v>0</v>
      </c>
      <c r="AW56">
        <f t="shared" si="43"/>
        <v>0</v>
      </c>
      <c r="AX56">
        <f t="shared" si="43"/>
        <v>0</v>
      </c>
      <c r="AY56">
        <f t="shared" si="43"/>
        <v>0</v>
      </c>
      <c r="AZ56">
        <f t="shared" si="43"/>
        <v>0</v>
      </c>
      <c r="BA56">
        <f t="shared" si="43"/>
        <v>0</v>
      </c>
    </row>
    <row r="57" spans="1:53" ht="15.75" customHeight="1">
      <c r="A57" s="350">
        <v>1980</v>
      </c>
      <c r="B57" s="350"/>
      <c r="C57" s="350"/>
      <c r="D57" s="350"/>
      <c r="E57" s="350"/>
      <c r="F57" s="350"/>
      <c r="G57" s="350"/>
      <c r="H57" s="350"/>
      <c r="I57" s="350"/>
      <c r="J57" s="350"/>
      <c r="K57" s="350"/>
      <c r="L57" s="350"/>
      <c r="M57" s="350"/>
      <c r="N57" s="350"/>
      <c r="O57" s="350"/>
      <c r="P57" s="350"/>
      <c r="Q57" s="350"/>
      <c r="R57" s="350"/>
      <c r="S57" s="350"/>
      <c r="T57" s="350"/>
      <c r="U57" s="350"/>
      <c r="V57" s="86">
        <v>1928.5</v>
      </c>
      <c r="W57">
        <f t="shared" si="32"/>
        <v>0</v>
      </c>
      <c r="X57">
        <f t="shared" ref="X57:BA57" si="44">IF(AND(X$45-$A57&gt;$V$30,SUM($W57:W57)&lt;&gt;$V57),$V57,0)</f>
        <v>0</v>
      </c>
      <c r="Y57">
        <f t="shared" si="44"/>
        <v>0</v>
      </c>
      <c r="Z57">
        <f t="shared" si="44"/>
        <v>0</v>
      </c>
      <c r="AA57">
        <f t="shared" si="44"/>
        <v>0</v>
      </c>
      <c r="AB57">
        <f t="shared" si="44"/>
        <v>0</v>
      </c>
      <c r="AC57">
        <f t="shared" si="44"/>
        <v>0</v>
      </c>
      <c r="AD57">
        <f t="shared" si="44"/>
        <v>0</v>
      </c>
      <c r="AE57">
        <f t="shared" si="44"/>
        <v>0</v>
      </c>
      <c r="AF57">
        <f t="shared" si="44"/>
        <v>0</v>
      </c>
      <c r="AG57">
        <f t="shared" si="44"/>
        <v>0</v>
      </c>
      <c r="AH57">
        <f t="shared" si="44"/>
        <v>0</v>
      </c>
      <c r="AI57">
        <f t="shared" si="44"/>
        <v>0</v>
      </c>
      <c r="AJ57">
        <f t="shared" si="44"/>
        <v>0</v>
      </c>
      <c r="AK57">
        <f t="shared" si="44"/>
        <v>0</v>
      </c>
      <c r="AL57">
        <f t="shared" si="44"/>
        <v>0</v>
      </c>
      <c r="AM57">
        <f t="shared" si="44"/>
        <v>0</v>
      </c>
      <c r="AN57">
        <f t="shared" si="44"/>
        <v>0</v>
      </c>
      <c r="AO57">
        <f t="shared" si="44"/>
        <v>0</v>
      </c>
      <c r="AP57">
        <f t="shared" si="44"/>
        <v>0</v>
      </c>
      <c r="AQ57">
        <f t="shared" si="44"/>
        <v>0</v>
      </c>
      <c r="AR57">
        <f t="shared" si="44"/>
        <v>1928.5</v>
      </c>
      <c r="AS57">
        <f t="shared" si="44"/>
        <v>0</v>
      </c>
      <c r="AT57">
        <f t="shared" si="44"/>
        <v>0</v>
      </c>
      <c r="AU57">
        <f t="shared" si="44"/>
        <v>0</v>
      </c>
      <c r="AV57">
        <f t="shared" si="44"/>
        <v>0</v>
      </c>
      <c r="AW57">
        <f t="shared" si="44"/>
        <v>0</v>
      </c>
      <c r="AX57">
        <f t="shared" si="44"/>
        <v>0</v>
      </c>
      <c r="AY57">
        <f t="shared" si="44"/>
        <v>0</v>
      </c>
      <c r="AZ57">
        <f t="shared" si="44"/>
        <v>0</v>
      </c>
      <c r="BA57">
        <f t="shared" si="44"/>
        <v>0</v>
      </c>
    </row>
    <row r="58" spans="1:53" ht="15.75" customHeight="1">
      <c r="A58" s="350">
        <v>1981</v>
      </c>
      <c r="B58" s="350"/>
      <c r="C58" s="350"/>
      <c r="D58" s="350"/>
      <c r="E58" s="350"/>
      <c r="F58" s="350"/>
      <c r="G58" s="350"/>
      <c r="H58" s="350"/>
      <c r="I58" s="350"/>
      <c r="J58" s="350"/>
      <c r="K58" s="350"/>
      <c r="L58" s="350"/>
      <c r="M58" s="350"/>
      <c r="N58" s="350"/>
      <c r="O58" s="350"/>
      <c r="P58" s="350"/>
      <c r="Q58" s="350"/>
      <c r="R58" s="350"/>
      <c r="S58" s="350"/>
      <c r="T58" s="350"/>
      <c r="U58" s="350"/>
      <c r="V58" s="86">
        <v>4345</v>
      </c>
      <c r="W58">
        <f t="shared" si="32"/>
        <v>0</v>
      </c>
      <c r="X58">
        <f t="shared" ref="X58:BA58" si="45">IF(AND(X$45-$A58&gt;$V$30,SUM($W58:W58)&lt;&gt;$V58),$V58,0)</f>
        <v>0</v>
      </c>
      <c r="Y58">
        <f t="shared" si="45"/>
        <v>0</v>
      </c>
      <c r="Z58">
        <f t="shared" si="45"/>
        <v>0</v>
      </c>
      <c r="AA58">
        <f t="shared" si="45"/>
        <v>0</v>
      </c>
      <c r="AB58">
        <f t="shared" si="45"/>
        <v>0</v>
      </c>
      <c r="AC58">
        <f t="shared" si="45"/>
        <v>0</v>
      </c>
      <c r="AD58">
        <f t="shared" si="45"/>
        <v>0</v>
      </c>
      <c r="AE58">
        <f t="shared" si="45"/>
        <v>0</v>
      </c>
      <c r="AF58">
        <f t="shared" si="45"/>
        <v>0</v>
      </c>
      <c r="AG58">
        <f t="shared" si="45"/>
        <v>0</v>
      </c>
      <c r="AH58">
        <f t="shared" si="45"/>
        <v>0</v>
      </c>
      <c r="AI58">
        <f t="shared" si="45"/>
        <v>0</v>
      </c>
      <c r="AJ58">
        <f t="shared" si="45"/>
        <v>0</v>
      </c>
      <c r="AK58">
        <f t="shared" si="45"/>
        <v>0</v>
      </c>
      <c r="AL58">
        <f t="shared" si="45"/>
        <v>0</v>
      </c>
      <c r="AM58">
        <f t="shared" si="45"/>
        <v>0</v>
      </c>
      <c r="AN58">
        <f t="shared" si="45"/>
        <v>0</v>
      </c>
      <c r="AO58">
        <f t="shared" si="45"/>
        <v>0</v>
      </c>
      <c r="AP58">
        <f t="shared" si="45"/>
        <v>0</v>
      </c>
      <c r="AQ58">
        <f t="shared" si="45"/>
        <v>0</v>
      </c>
      <c r="AR58">
        <f t="shared" si="45"/>
        <v>0</v>
      </c>
      <c r="AS58">
        <f t="shared" si="45"/>
        <v>4345</v>
      </c>
      <c r="AT58">
        <f t="shared" si="45"/>
        <v>0</v>
      </c>
      <c r="AU58">
        <f t="shared" si="45"/>
        <v>0</v>
      </c>
      <c r="AV58">
        <f t="shared" si="45"/>
        <v>0</v>
      </c>
      <c r="AW58">
        <f t="shared" si="45"/>
        <v>0</v>
      </c>
      <c r="AX58">
        <f t="shared" si="45"/>
        <v>0</v>
      </c>
      <c r="AY58">
        <f t="shared" si="45"/>
        <v>0</v>
      </c>
      <c r="AZ58">
        <f t="shared" si="45"/>
        <v>0</v>
      </c>
      <c r="BA58">
        <f t="shared" si="45"/>
        <v>0</v>
      </c>
    </row>
    <row r="59" spans="1:53" ht="15.75" customHeight="1">
      <c r="A59" s="350">
        <v>1982</v>
      </c>
      <c r="B59" s="350"/>
      <c r="C59" s="350"/>
      <c r="D59" s="350"/>
      <c r="E59" s="350"/>
      <c r="F59" s="350"/>
      <c r="G59" s="350"/>
      <c r="H59" s="350"/>
      <c r="I59" s="350"/>
      <c r="J59" s="350"/>
      <c r="K59" s="350"/>
      <c r="L59" s="350"/>
      <c r="M59" s="350"/>
      <c r="N59" s="350"/>
      <c r="O59" s="350"/>
      <c r="P59" s="350"/>
      <c r="Q59" s="350"/>
      <c r="R59" s="350"/>
      <c r="S59" s="350"/>
      <c r="T59" s="350"/>
      <c r="U59" s="350"/>
      <c r="V59" s="86">
        <v>1125.7</v>
      </c>
      <c r="W59">
        <f t="shared" si="32"/>
        <v>0</v>
      </c>
      <c r="X59">
        <f t="shared" ref="X59:BA59" si="46">IF(AND(X$45-$A59&gt;$V$30,SUM($W59:W59)&lt;&gt;$V59),$V59,0)</f>
        <v>0</v>
      </c>
      <c r="Y59">
        <f t="shared" si="46"/>
        <v>0</v>
      </c>
      <c r="Z59">
        <f t="shared" si="46"/>
        <v>0</v>
      </c>
      <c r="AA59">
        <f t="shared" si="46"/>
        <v>0</v>
      </c>
      <c r="AB59">
        <f t="shared" si="46"/>
        <v>0</v>
      </c>
      <c r="AC59">
        <f t="shared" si="46"/>
        <v>0</v>
      </c>
      <c r="AD59">
        <f t="shared" si="46"/>
        <v>0</v>
      </c>
      <c r="AE59">
        <f t="shared" si="46"/>
        <v>0</v>
      </c>
      <c r="AF59">
        <f t="shared" si="46"/>
        <v>0</v>
      </c>
      <c r="AG59">
        <f t="shared" si="46"/>
        <v>0</v>
      </c>
      <c r="AH59">
        <f t="shared" si="46"/>
        <v>0</v>
      </c>
      <c r="AI59">
        <f t="shared" si="46"/>
        <v>0</v>
      </c>
      <c r="AJ59">
        <f t="shared" si="46"/>
        <v>0</v>
      </c>
      <c r="AK59">
        <f t="shared" si="46"/>
        <v>0</v>
      </c>
      <c r="AL59">
        <f t="shared" si="46"/>
        <v>0</v>
      </c>
      <c r="AM59">
        <f t="shared" si="46"/>
        <v>0</v>
      </c>
      <c r="AN59">
        <f t="shared" si="46"/>
        <v>0</v>
      </c>
      <c r="AO59">
        <f t="shared" si="46"/>
        <v>0</v>
      </c>
      <c r="AP59">
        <f t="shared" si="46"/>
        <v>0</v>
      </c>
      <c r="AQ59">
        <f t="shared" si="46"/>
        <v>0</v>
      </c>
      <c r="AR59">
        <f t="shared" si="46"/>
        <v>0</v>
      </c>
      <c r="AS59">
        <f t="shared" si="46"/>
        <v>0</v>
      </c>
      <c r="AT59">
        <f t="shared" si="46"/>
        <v>1125.7</v>
      </c>
      <c r="AU59">
        <f t="shared" si="46"/>
        <v>0</v>
      </c>
      <c r="AV59">
        <f t="shared" si="46"/>
        <v>0</v>
      </c>
      <c r="AW59">
        <f t="shared" si="46"/>
        <v>0</v>
      </c>
      <c r="AX59">
        <f t="shared" si="46"/>
        <v>0</v>
      </c>
      <c r="AY59">
        <f t="shared" si="46"/>
        <v>0</v>
      </c>
      <c r="AZ59">
        <f t="shared" si="46"/>
        <v>0</v>
      </c>
      <c r="BA59">
        <f t="shared" si="46"/>
        <v>0</v>
      </c>
    </row>
    <row r="60" spans="1:53" ht="15.75" customHeight="1">
      <c r="A60" s="350">
        <v>1983</v>
      </c>
      <c r="B60" s="350"/>
      <c r="C60" s="350"/>
      <c r="D60" s="350"/>
      <c r="E60" s="350"/>
      <c r="F60" s="350"/>
      <c r="G60" s="350"/>
      <c r="H60" s="350"/>
      <c r="I60" s="350"/>
      <c r="J60" s="350"/>
      <c r="K60" s="350"/>
      <c r="L60" s="350"/>
      <c r="M60" s="350"/>
      <c r="N60" s="350"/>
      <c r="O60" s="350"/>
      <c r="P60" s="350"/>
      <c r="Q60" s="350"/>
      <c r="R60" s="350"/>
      <c r="S60" s="350"/>
      <c r="T60" s="350"/>
      <c r="U60" s="350"/>
      <c r="V60" s="86">
        <v>2234</v>
      </c>
      <c r="W60">
        <f t="shared" si="32"/>
        <v>0</v>
      </c>
      <c r="X60">
        <f t="shared" ref="X60:BA60" si="47">IF(AND(X$45-$A60&gt;$V$30,SUM($W60:W60)&lt;&gt;$V60),$V60,0)</f>
        <v>0</v>
      </c>
      <c r="Y60">
        <f t="shared" si="47"/>
        <v>0</v>
      </c>
      <c r="Z60">
        <f t="shared" si="47"/>
        <v>0</v>
      </c>
      <c r="AA60">
        <f t="shared" si="47"/>
        <v>0</v>
      </c>
      <c r="AB60">
        <f t="shared" si="47"/>
        <v>0</v>
      </c>
      <c r="AC60">
        <f t="shared" si="47"/>
        <v>0</v>
      </c>
      <c r="AD60">
        <f t="shared" si="47"/>
        <v>0</v>
      </c>
      <c r="AE60">
        <f t="shared" si="47"/>
        <v>0</v>
      </c>
      <c r="AF60">
        <f t="shared" si="47"/>
        <v>0</v>
      </c>
      <c r="AG60">
        <f t="shared" si="47"/>
        <v>0</v>
      </c>
      <c r="AH60">
        <f t="shared" si="47"/>
        <v>0</v>
      </c>
      <c r="AI60">
        <f t="shared" si="47"/>
        <v>0</v>
      </c>
      <c r="AJ60">
        <f t="shared" si="47"/>
        <v>0</v>
      </c>
      <c r="AK60">
        <f t="shared" si="47"/>
        <v>0</v>
      </c>
      <c r="AL60">
        <f t="shared" si="47"/>
        <v>0</v>
      </c>
      <c r="AM60">
        <f t="shared" si="47"/>
        <v>0</v>
      </c>
      <c r="AN60">
        <f t="shared" si="47"/>
        <v>0</v>
      </c>
      <c r="AO60">
        <f t="shared" si="47"/>
        <v>0</v>
      </c>
      <c r="AP60">
        <f t="shared" si="47"/>
        <v>0</v>
      </c>
      <c r="AQ60">
        <f t="shared" si="47"/>
        <v>0</v>
      </c>
      <c r="AR60">
        <f t="shared" si="47"/>
        <v>0</v>
      </c>
      <c r="AS60">
        <f t="shared" si="47"/>
        <v>0</v>
      </c>
      <c r="AT60">
        <f t="shared" si="47"/>
        <v>0</v>
      </c>
      <c r="AU60">
        <f t="shared" si="47"/>
        <v>2234</v>
      </c>
      <c r="AV60">
        <f t="shared" si="47"/>
        <v>0</v>
      </c>
      <c r="AW60">
        <f t="shared" si="47"/>
        <v>0</v>
      </c>
      <c r="AX60">
        <f t="shared" si="47"/>
        <v>0</v>
      </c>
      <c r="AY60">
        <f t="shared" si="47"/>
        <v>0</v>
      </c>
      <c r="AZ60">
        <f t="shared" si="47"/>
        <v>0</v>
      </c>
      <c r="BA60">
        <f t="shared" si="47"/>
        <v>0</v>
      </c>
    </row>
    <row r="61" spans="1:53" ht="15.75" customHeight="1">
      <c r="A61" s="350">
        <v>1984</v>
      </c>
      <c r="B61" s="350"/>
      <c r="C61" s="350"/>
      <c r="D61" s="350"/>
      <c r="E61" s="350"/>
      <c r="F61" s="350"/>
      <c r="G61" s="350"/>
      <c r="H61" s="350"/>
      <c r="I61" s="350"/>
      <c r="J61" s="350"/>
      <c r="K61" s="350"/>
      <c r="L61" s="350"/>
      <c r="M61" s="350"/>
      <c r="N61" s="350"/>
      <c r="O61" s="350"/>
      <c r="P61" s="350"/>
      <c r="Q61" s="350"/>
      <c r="R61" s="350"/>
      <c r="S61" s="350"/>
      <c r="T61" s="350"/>
      <c r="U61" s="350"/>
      <c r="V61" s="86">
        <v>6760</v>
      </c>
      <c r="W61">
        <f t="shared" si="32"/>
        <v>0</v>
      </c>
      <c r="X61">
        <f t="shared" ref="X61:BA61" si="48">IF(AND(X$45-$A61&gt;$V$30,SUM($W61:W61)&lt;&gt;$V61),$V61,0)</f>
        <v>0</v>
      </c>
      <c r="Y61">
        <f t="shared" si="48"/>
        <v>0</v>
      </c>
      <c r="Z61">
        <f t="shared" si="48"/>
        <v>0</v>
      </c>
      <c r="AA61">
        <f t="shared" si="48"/>
        <v>0</v>
      </c>
      <c r="AB61">
        <f t="shared" si="48"/>
        <v>0</v>
      </c>
      <c r="AC61">
        <f t="shared" si="48"/>
        <v>0</v>
      </c>
      <c r="AD61">
        <f t="shared" si="48"/>
        <v>0</v>
      </c>
      <c r="AE61">
        <f t="shared" si="48"/>
        <v>0</v>
      </c>
      <c r="AF61">
        <f t="shared" si="48"/>
        <v>0</v>
      </c>
      <c r="AG61">
        <f t="shared" si="48"/>
        <v>0</v>
      </c>
      <c r="AH61">
        <f t="shared" si="48"/>
        <v>0</v>
      </c>
      <c r="AI61">
        <f t="shared" si="48"/>
        <v>0</v>
      </c>
      <c r="AJ61">
        <f t="shared" si="48"/>
        <v>0</v>
      </c>
      <c r="AK61">
        <f t="shared" si="48"/>
        <v>0</v>
      </c>
      <c r="AL61">
        <f t="shared" si="48"/>
        <v>0</v>
      </c>
      <c r="AM61">
        <f t="shared" si="48"/>
        <v>0</v>
      </c>
      <c r="AN61">
        <f t="shared" si="48"/>
        <v>0</v>
      </c>
      <c r="AO61">
        <f t="shared" si="48"/>
        <v>0</v>
      </c>
      <c r="AP61">
        <f t="shared" si="48"/>
        <v>0</v>
      </c>
      <c r="AQ61">
        <f t="shared" si="48"/>
        <v>0</v>
      </c>
      <c r="AR61">
        <f t="shared" si="48"/>
        <v>0</v>
      </c>
      <c r="AS61">
        <f t="shared" si="48"/>
        <v>0</v>
      </c>
      <c r="AT61">
        <f t="shared" si="48"/>
        <v>0</v>
      </c>
      <c r="AU61">
        <f t="shared" si="48"/>
        <v>0</v>
      </c>
      <c r="AV61">
        <f t="shared" si="48"/>
        <v>6760</v>
      </c>
      <c r="AW61">
        <f t="shared" si="48"/>
        <v>0</v>
      </c>
      <c r="AX61">
        <f t="shared" si="48"/>
        <v>0</v>
      </c>
      <c r="AY61">
        <f t="shared" si="48"/>
        <v>0</v>
      </c>
      <c r="AZ61">
        <f t="shared" si="48"/>
        <v>0</v>
      </c>
      <c r="BA61">
        <f t="shared" si="48"/>
        <v>0</v>
      </c>
    </row>
    <row r="62" spans="1:53" ht="15.75" customHeight="1">
      <c r="A62" s="350">
        <v>1985</v>
      </c>
      <c r="B62" s="350"/>
      <c r="C62" s="350"/>
      <c r="D62" s="350"/>
      <c r="E62" s="350"/>
      <c r="F62" s="350"/>
      <c r="G62" s="350"/>
      <c r="H62" s="350"/>
      <c r="I62" s="350"/>
      <c r="J62" s="350"/>
      <c r="K62" s="350"/>
      <c r="L62" s="350"/>
      <c r="M62" s="350"/>
      <c r="N62" s="350"/>
      <c r="O62" s="350"/>
      <c r="P62" s="350"/>
      <c r="Q62" s="350"/>
      <c r="R62" s="350"/>
      <c r="S62" s="350"/>
      <c r="T62" s="350"/>
      <c r="U62" s="350"/>
      <c r="V62" s="86">
        <v>8484.5</v>
      </c>
      <c r="W62">
        <f t="shared" si="32"/>
        <v>0</v>
      </c>
      <c r="X62">
        <f t="shared" ref="X62:BA62" si="49">IF(AND(X$45-$A62&gt;$V$30,SUM($W62:W62)&lt;&gt;$V62),$V62,0)</f>
        <v>0</v>
      </c>
      <c r="Y62">
        <f t="shared" si="49"/>
        <v>0</v>
      </c>
      <c r="Z62">
        <f t="shared" si="49"/>
        <v>0</v>
      </c>
      <c r="AA62">
        <f t="shared" si="49"/>
        <v>0</v>
      </c>
      <c r="AB62">
        <f t="shared" si="49"/>
        <v>0</v>
      </c>
      <c r="AC62">
        <f t="shared" si="49"/>
        <v>0</v>
      </c>
      <c r="AD62">
        <f t="shared" si="49"/>
        <v>0</v>
      </c>
      <c r="AE62">
        <f t="shared" si="49"/>
        <v>0</v>
      </c>
      <c r="AF62">
        <f t="shared" si="49"/>
        <v>0</v>
      </c>
      <c r="AG62">
        <f t="shared" si="49"/>
        <v>0</v>
      </c>
      <c r="AH62">
        <f t="shared" si="49"/>
        <v>0</v>
      </c>
      <c r="AI62">
        <f t="shared" si="49"/>
        <v>0</v>
      </c>
      <c r="AJ62">
        <f t="shared" si="49"/>
        <v>0</v>
      </c>
      <c r="AK62">
        <f t="shared" si="49"/>
        <v>0</v>
      </c>
      <c r="AL62">
        <f t="shared" si="49"/>
        <v>0</v>
      </c>
      <c r="AM62">
        <f t="shared" si="49"/>
        <v>0</v>
      </c>
      <c r="AN62">
        <f t="shared" si="49"/>
        <v>0</v>
      </c>
      <c r="AO62">
        <f t="shared" si="49"/>
        <v>0</v>
      </c>
      <c r="AP62">
        <f t="shared" si="49"/>
        <v>0</v>
      </c>
      <c r="AQ62">
        <f t="shared" si="49"/>
        <v>0</v>
      </c>
      <c r="AR62">
        <f t="shared" si="49"/>
        <v>0</v>
      </c>
      <c r="AS62">
        <f t="shared" si="49"/>
        <v>0</v>
      </c>
      <c r="AT62">
        <f t="shared" si="49"/>
        <v>0</v>
      </c>
      <c r="AU62">
        <f t="shared" si="49"/>
        <v>0</v>
      </c>
      <c r="AV62">
        <f t="shared" si="49"/>
        <v>0</v>
      </c>
      <c r="AW62">
        <f t="shared" si="49"/>
        <v>8484.5</v>
      </c>
      <c r="AX62">
        <f t="shared" si="49"/>
        <v>0</v>
      </c>
      <c r="AY62">
        <f t="shared" si="49"/>
        <v>0</v>
      </c>
      <c r="AZ62">
        <f t="shared" si="49"/>
        <v>0</v>
      </c>
      <c r="BA62">
        <f t="shared" si="49"/>
        <v>0</v>
      </c>
    </row>
    <row r="63" spans="1:53" ht="15.75" customHeight="1">
      <c r="A63" s="350">
        <v>1986</v>
      </c>
      <c r="B63" s="350"/>
      <c r="C63" s="350"/>
      <c r="D63" s="350"/>
      <c r="E63" s="350"/>
      <c r="F63" s="350"/>
      <c r="G63" s="350"/>
      <c r="H63" s="350"/>
      <c r="I63" s="350"/>
      <c r="J63" s="350"/>
      <c r="K63" s="350"/>
      <c r="L63" s="350"/>
      <c r="M63" s="350"/>
      <c r="N63" s="350"/>
      <c r="O63" s="350"/>
      <c r="P63" s="350"/>
      <c r="Q63" s="350"/>
      <c r="R63" s="350"/>
      <c r="S63" s="350"/>
      <c r="T63" s="350"/>
      <c r="U63" s="350"/>
      <c r="V63" s="86">
        <v>9372.2999999999993</v>
      </c>
      <c r="W63">
        <f t="shared" si="32"/>
        <v>0</v>
      </c>
      <c r="X63">
        <f t="shared" ref="X63:BA63" si="50">IF(AND(X$45-$A63&gt;$V$30,SUM($W63:W63)&lt;&gt;$V63),$V63,0)</f>
        <v>0</v>
      </c>
      <c r="Y63">
        <f t="shared" si="50"/>
        <v>0</v>
      </c>
      <c r="Z63">
        <f t="shared" si="50"/>
        <v>0</v>
      </c>
      <c r="AA63">
        <f t="shared" si="50"/>
        <v>0</v>
      </c>
      <c r="AB63">
        <f t="shared" si="50"/>
        <v>0</v>
      </c>
      <c r="AC63">
        <f t="shared" si="50"/>
        <v>0</v>
      </c>
      <c r="AD63">
        <f t="shared" si="50"/>
        <v>0</v>
      </c>
      <c r="AE63">
        <f t="shared" si="50"/>
        <v>0</v>
      </c>
      <c r="AF63">
        <f t="shared" si="50"/>
        <v>0</v>
      </c>
      <c r="AG63">
        <f t="shared" si="50"/>
        <v>0</v>
      </c>
      <c r="AH63">
        <f t="shared" si="50"/>
        <v>0</v>
      </c>
      <c r="AI63">
        <f t="shared" si="50"/>
        <v>0</v>
      </c>
      <c r="AJ63">
        <f t="shared" si="50"/>
        <v>0</v>
      </c>
      <c r="AK63">
        <f t="shared" si="50"/>
        <v>0</v>
      </c>
      <c r="AL63">
        <f t="shared" si="50"/>
        <v>0</v>
      </c>
      <c r="AM63">
        <f t="shared" si="50"/>
        <v>0</v>
      </c>
      <c r="AN63">
        <f t="shared" si="50"/>
        <v>0</v>
      </c>
      <c r="AO63">
        <f t="shared" si="50"/>
        <v>0</v>
      </c>
      <c r="AP63">
        <f t="shared" si="50"/>
        <v>0</v>
      </c>
      <c r="AQ63">
        <f t="shared" si="50"/>
        <v>0</v>
      </c>
      <c r="AR63">
        <f t="shared" si="50"/>
        <v>0</v>
      </c>
      <c r="AS63">
        <f t="shared" si="50"/>
        <v>0</v>
      </c>
      <c r="AT63">
        <f t="shared" si="50"/>
        <v>0</v>
      </c>
      <c r="AU63">
        <f t="shared" si="50"/>
        <v>0</v>
      </c>
      <c r="AV63">
        <f t="shared" si="50"/>
        <v>0</v>
      </c>
      <c r="AW63">
        <f t="shared" si="50"/>
        <v>0</v>
      </c>
      <c r="AX63">
        <f t="shared" si="50"/>
        <v>9372.2999999999993</v>
      </c>
      <c r="AY63">
        <f t="shared" si="50"/>
        <v>0</v>
      </c>
      <c r="AZ63">
        <f t="shared" si="50"/>
        <v>0</v>
      </c>
      <c r="BA63">
        <f t="shared" si="50"/>
        <v>0</v>
      </c>
    </row>
    <row r="64" spans="1:53" ht="15.75" customHeight="1">
      <c r="A64" s="350">
        <v>1987</v>
      </c>
      <c r="B64" s="350"/>
      <c r="C64" s="350"/>
      <c r="D64" s="350"/>
      <c r="E64" s="350"/>
      <c r="F64" s="350"/>
      <c r="G64" s="350"/>
      <c r="H64" s="350"/>
      <c r="I64" s="350"/>
      <c r="J64" s="350"/>
      <c r="K64" s="350"/>
      <c r="L64" s="350"/>
      <c r="M64" s="350"/>
      <c r="N64" s="350"/>
      <c r="O64" s="350"/>
      <c r="P64" s="350"/>
      <c r="Q64" s="350"/>
      <c r="R64" s="350"/>
      <c r="S64" s="350"/>
      <c r="T64" s="350"/>
      <c r="U64" s="350"/>
      <c r="V64" s="86">
        <v>7710</v>
      </c>
      <c r="W64">
        <f t="shared" si="32"/>
        <v>0</v>
      </c>
      <c r="X64">
        <f t="shared" ref="X64:BA64" si="51">IF(AND(X$45-$A64&gt;$V$30,SUM($W64:W64)&lt;&gt;$V64),$V64,0)</f>
        <v>0</v>
      </c>
      <c r="Y64">
        <f t="shared" si="51"/>
        <v>0</v>
      </c>
      <c r="Z64">
        <f t="shared" si="51"/>
        <v>0</v>
      </c>
      <c r="AA64">
        <f t="shared" si="51"/>
        <v>0</v>
      </c>
      <c r="AB64">
        <f t="shared" si="51"/>
        <v>0</v>
      </c>
      <c r="AC64">
        <f t="shared" si="51"/>
        <v>0</v>
      </c>
      <c r="AD64">
        <f t="shared" si="51"/>
        <v>0</v>
      </c>
      <c r="AE64">
        <f t="shared" si="51"/>
        <v>0</v>
      </c>
      <c r="AF64">
        <f t="shared" si="51"/>
        <v>0</v>
      </c>
      <c r="AG64">
        <f t="shared" si="51"/>
        <v>0</v>
      </c>
      <c r="AH64">
        <f t="shared" si="51"/>
        <v>0</v>
      </c>
      <c r="AI64">
        <f t="shared" si="51"/>
        <v>0</v>
      </c>
      <c r="AJ64">
        <f t="shared" si="51"/>
        <v>0</v>
      </c>
      <c r="AK64">
        <f t="shared" si="51"/>
        <v>0</v>
      </c>
      <c r="AL64">
        <f t="shared" si="51"/>
        <v>0</v>
      </c>
      <c r="AM64">
        <f t="shared" si="51"/>
        <v>0</v>
      </c>
      <c r="AN64">
        <f t="shared" si="51"/>
        <v>0</v>
      </c>
      <c r="AO64">
        <f t="shared" si="51"/>
        <v>0</v>
      </c>
      <c r="AP64">
        <f t="shared" si="51"/>
        <v>0</v>
      </c>
      <c r="AQ64">
        <f t="shared" si="51"/>
        <v>0</v>
      </c>
      <c r="AR64">
        <f t="shared" si="51"/>
        <v>0</v>
      </c>
      <c r="AS64">
        <f t="shared" si="51"/>
        <v>0</v>
      </c>
      <c r="AT64">
        <f t="shared" si="51"/>
        <v>0</v>
      </c>
      <c r="AU64">
        <f t="shared" si="51"/>
        <v>0</v>
      </c>
      <c r="AV64">
        <f t="shared" si="51"/>
        <v>0</v>
      </c>
      <c r="AW64">
        <f t="shared" si="51"/>
        <v>0</v>
      </c>
      <c r="AX64">
        <f t="shared" si="51"/>
        <v>0</v>
      </c>
      <c r="AY64">
        <f t="shared" si="51"/>
        <v>7710</v>
      </c>
      <c r="AZ64">
        <f t="shared" si="51"/>
        <v>0</v>
      </c>
      <c r="BA64">
        <f t="shared" si="51"/>
        <v>0</v>
      </c>
    </row>
    <row r="65" spans="1:53" ht="15.75" customHeight="1">
      <c r="A65" s="350">
        <v>1988</v>
      </c>
      <c r="B65" s="350"/>
      <c r="C65" s="350"/>
      <c r="D65" s="350"/>
      <c r="E65" s="350"/>
      <c r="F65" s="350"/>
      <c r="G65" s="350"/>
      <c r="H65" s="350"/>
      <c r="I65" s="350"/>
      <c r="J65" s="350"/>
      <c r="K65" s="350"/>
      <c r="L65" s="350"/>
      <c r="M65" s="350"/>
      <c r="N65" s="350"/>
      <c r="O65" s="350"/>
      <c r="P65" s="350"/>
      <c r="Q65" s="350"/>
      <c r="R65" s="350"/>
      <c r="S65" s="350"/>
      <c r="T65" s="350"/>
      <c r="U65" s="350"/>
      <c r="V65" s="86">
        <v>6070</v>
      </c>
      <c r="W65">
        <f t="shared" si="32"/>
        <v>0</v>
      </c>
      <c r="X65">
        <f t="shared" ref="X65:BA65" si="52">IF(AND(X$45-$A65&gt;$V$30,SUM($W65:W65)&lt;&gt;$V65),$V65,0)</f>
        <v>0</v>
      </c>
      <c r="Y65">
        <f t="shared" si="52"/>
        <v>0</v>
      </c>
      <c r="Z65">
        <f t="shared" si="52"/>
        <v>0</v>
      </c>
      <c r="AA65">
        <f t="shared" si="52"/>
        <v>0</v>
      </c>
      <c r="AB65">
        <f t="shared" si="52"/>
        <v>0</v>
      </c>
      <c r="AC65">
        <f t="shared" si="52"/>
        <v>0</v>
      </c>
      <c r="AD65">
        <f t="shared" si="52"/>
        <v>0</v>
      </c>
      <c r="AE65">
        <f t="shared" si="52"/>
        <v>0</v>
      </c>
      <c r="AF65">
        <f t="shared" si="52"/>
        <v>0</v>
      </c>
      <c r="AG65">
        <f t="shared" si="52"/>
        <v>0</v>
      </c>
      <c r="AH65">
        <f t="shared" si="52"/>
        <v>0</v>
      </c>
      <c r="AI65">
        <f t="shared" si="52"/>
        <v>0</v>
      </c>
      <c r="AJ65">
        <f t="shared" si="52"/>
        <v>0</v>
      </c>
      <c r="AK65">
        <f t="shared" si="52"/>
        <v>0</v>
      </c>
      <c r="AL65">
        <f t="shared" si="52"/>
        <v>0</v>
      </c>
      <c r="AM65">
        <f t="shared" si="52"/>
        <v>0</v>
      </c>
      <c r="AN65">
        <f t="shared" si="52"/>
        <v>0</v>
      </c>
      <c r="AO65">
        <f t="shared" si="52"/>
        <v>0</v>
      </c>
      <c r="AP65">
        <f t="shared" si="52"/>
        <v>0</v>
      </c>
      <c r="AQ65">
        <f t="shared" si="52"/>
        <v>0</v>
      </c>
      <c r="AR65">
        <f t="shared" si="52"/>
        <v>0</v>
      </c>
      <c r="AS65">
        <f t="shared" si="52"/>
        <v>0</v>
      </c>
      <c r="AT65">
        <f t="shared" si="52"/>
        <v>0</v>
      </c>
      <c r="AU65">
        <f t="shared" si="52"/>
        <v>0</v>
      </c>
      <c r="AV65">
        <f t="shared" si="52"/>
        <v>0</v>
      </c>
      <c r="AW65">
        <f t="shared" si="52"/>
        <v>0</v>
      </c>
      <c r="AX65">
        <f t="shared" si="52"/>
        <v>0</v>
      </c>
      <c r="AY65">
        <f t="shared" si="52"/>
        <v>0</v>
      </c>
      <c r="AZ65">
        <f t="shared" si="52"/>
        <v>6070</v>
      </c>
      <c r="BA65">
        <f t="shared" si="52"/>
        <v>0</v>
      </c>
    </row>
    <row r="66" spans="1:53" ht="15.75" customHeight="1">
      <c r="A66" s="350">
        <v>1989</v>
      </c>
      <c r="B66" s="350"/>
      <c r="C66" s="350"/>
      <c r="D66" s="350"/>
      <c r="E66" s="350"/>
      <c r="F66" s="350"/>
      <c r="G66" s="350"/>
      <c r="H66" s="350"/>
      <c r="I66" s="350"/>
      <c r="J66" s="350"/>
      <c r="K66" s="350"/>
      <c r="L66" s="350"/>
      <c r="M66" s="350"/>
      <c r="N66" s="350"/>
      <c r="O66" s="350"/>
      <c r="P66" s="350"/>
      <c r="Q66" s="350"/>
      <c r="R66" s="350"/>
      <c r="S66" s="350"/>
      <c r="T66" s="350"/>
      <c r="U66" s="350"/>
      <c r="V66" s="86">
        <v>2432</v>
      </c>
      <c r="W66">
        <f t="shared" si="32"/>
        <v>0</v>
      </c>
      <c r="X66">
        <f t="shared" ref="X66:BA66" si="53">IF(AND(X$45-$A66&gt;$V$30,SUM($W66:W66)&lt;&gt;$V66),$V66,0)</f>
        <v>0</v>
      </c>
      <c r="Y66">
        <f t="shared" si="53"/>
        <v>0</v>
      </c>
      <c r="Z66">
        <f t="shared" si="53"/>
        <v>0</v>
      </c>
      <c r="AA66">
        <f t="shared" si="53"/>
        <v>0</v>
      </c>
      <c r="AB66">
        <f t="shared" si="53"/>
        <v>0</v>
      </c>
      <c r="AC66">
        <f t="shared" si="53"/>
        <v>0</v>
      </c>
      <c r="AD66">
        <f t="shared" si="53"/>
        <v>0</v>
      </c>
      <c r="AE66">
        <f t="shared" si="53"/>
        <v>0</v>
      </c>
      <c r="AF66">
        <f t="shared" si="53"/>
        <v>0</v>
      </c>
      <c r="AG66">
        <f t="shared" si="53"/>
        <v>0</v>
      </c>
      <c r="AH66">
        <f t="shared" si="53"/>
        <v>0</v>
      </c>
      <c r="AI66">
        <f t="shared" si="53"/>
        <v>0</v>
      </c>
      <c r="AJ66">
        <f t="shared" si="53"/>
        <v>0</v>
      </c>
      <c r="AK66">
        <f t="shared" si="53"/>
        <v>0</v>
      </c>
      <c r="AL66">
        <f t="shared" si="53"/>
        <v>0</v>
      </c>
      <c r="AM66">
        <f t="shared" si="53"/>
        <v>0</v>
      </c>
      <c r="AN66">
        <f t="shared" si="53"/>
        <v>0</v>
      </c>
      <c r="AO66">
        <f t="shared" si="53"/>
        <v>0</v>
      </c>
      <c r="AP66">
        <f t="shared" si="53"/>
        <v>0</v>
      </c>
      <c r="AQ66">
        <f t="shared" si="53"/>
        <v>0</v>
      </c>
      <c r="AR66">
        <f t="shared" si="53"/>
        <v>0</v>
      </c>
      <c r="AS66">
        <f t="shared" si="53"/>
        <v>0</v>
      </c>
      <c r="AT66">
        <f t="shared" si="53"/>
        <v>0</v>
      </c>
      <c r="AU66">
        <f t="shared" si="53"/>
        <v>0</v>
      </c>
      <c r="AV66">
        <f t="shared" si="53"/>
        <v>0</v>
      </c>
      <c r="AW66">
        <f t="shared" si="53"/>
        <v>0</v>
      </c>
      <c r="AX66">
        <f t="shared" si="53"/>
        <v>0</v>
      </c>
      <c r="AY66">
        <f t="shared" si="53"/>
        <v>0</v>
      </c>
      <c r="AZ66">
        <f t="shared" si="53"/>
        <v>0</v>
      </c>
      <c r="BA66">
        <f t="shared" si="53"/>
        <v>2432</v>
      </c>
    </row>
    <row r="67" spans="1:53" ht="15.75" customHeight="1">
      <c r="A67" s="350">
        <v>1990</v>
      </c>
      <c r="B67" s="350"/>
      <c r="C67" s="350"/>
      <c r="D67" s="350"/>
      <c r="E67" s="350"/>
      <c r="F67" s="350"/>
      <c r="G67" s="350"/>
      <c r="H67" s="350"/>
      <c r="I67" s="350"/>
      <c r="J67" s="350"/>
      <c r="K67" s="350"/>
      <c r="L67" s="350"/>
      <c r="M67" s="350"/>
      <c r="N67" s="350"/>
      <c r="O67" s="350"/>
      <c r="P67" s="350"/>
      <c r="Q67" s="350"/>
      <c r="R67" s="350"/>
      <c r="S67" s="350"/>
      <c r="T67" s="350"/>
      <c r="U67" s="350"/>
      <c r="V67" s="86">
        <v>3576.2</v>
      </c>
      <c r="W67">
        <f t="shared" si="32"/>
        <v>0</v>
      </c>
      <c r="X67">
        <f t="shared" ref="X67:BA67" si="54">IF(AND(X$45-$A67&gt;$V$30,SUM($W67:W67)&lt;&gt;$V67),$V67,0)</f>
        <v>0</v>
      </c>
      <c r="Y67">
        <f t="shared" si="54"/>
        <v>0</v>
      </c>
      <c r="Z67">
        <f t="shared" si="54"/>
        <v>0</v>
      </c>
      <c r="AA67">
        <f t="shared" si="54"/>
        <v>0</v>
      </c>
      <c r="AB67">
        <f t="shared" si="54"/>
        <v>0</v>
      </c>
      <c r="AC67">
        <f t="shared" si="54"/>
        <v>0</v>
      </c>
      <c r="AD67">
        <f t="shared" si="54"/>
        <v>0</v>
      </c>
      <c r="AE67">
        <f t="shared" si="54"/>
        <v>0</v>
      </c>
      <c r="AF67">
        <f t="shared" si="54"/>
        <v>0</v>
      </c>
      <c r="AG67">
        <f t="shared" si="54"/>
        <v>0</v>
      </c>
      <c r="AH67">
        <f t="shared" si="54"/>
        <v>0</v>
      </c>
      <c r="AI67">
        <f t="shared" si="54"/>
        <v>0</v>
      </c>
      <c r="AJ67">
        <f t="shared" si="54"/>
        <v>0</v>
      </c>
      <c r="AK67">
        <f t="shared" si="54"/>
        <v>0</v>
      </c>
      <c r="AL67">
        <f t="shared" si="54"/>
        <v>0</v>
      </c>
      <c r="AM67">
        <f t="shared" si="54"/>
        <v>0</v>
      </c>
      <c r="AN67">
        <f t="shared" si="54"/>
        <v>0</v>
      </c>
      <c r="AO67">
        <f t="shared" si="54"/>
        <v>0</v>
      </c>
      <c r="AP67">
        <f t="shared" si="54"/>
        <v>0</v>
      </c>
      <c r="AQ67">
        <f t="shared" si="54"/>
        <v>0</v>
      </c>
      <c r="AR67">
        <f t="shared" si="54"/>
        <v>0</v>
      </c>
      <c r="AS67">
        <f t="shared" si="54"/>
        <v>0</v>
      </c>
      <c r="AT67">
        <f t="shared" si="54"/>
        <v>0</v>
      </c>
      <c r="AU67">
        <f t="shared" si="54"/>
        <v>0</v>
      </c>
      <c r="AV67">
        <f t="shared" si="54"/>
        <v>0</v>
      </c>
      <c r="AW67">
        <f t="shared" si="54"/>
        <v>0</v>
      </c>
      <c r="AX67">
        <f t="shared" si="54"/>
        <v>0</v>
      </c>
      <c r="AY67">
        <f t="shared" si="54"/>
        <v>0</v>
      </c>
      <c r="AZ67">
        <f t="shared" si="54"/>
        <v>0</v>
      </c>
      <c r="BA67">
        <f t="shared" si="54"/>
        <v>0</v>
      </c>
    </row>
    <row r="68" spans="1:53" ht="15.75" customHeight="1">
      <c r="A68" s="350">
        <v>1993</v>
      </c>
      <c r="B68" s="350"/>
      <c r="C68" s="350"/>
      <c r="D68" s="350"/>
      <c r="E68" s="350"/>
      <c r="F68" s="350"/>
      <c r="G68" s="350"/>
      <c r="H68" s="350"/>
      <c r="I68" s="350"/>
      <c r="J68" s="350"/>
      <c r="K68" s="350"/>
      <c r="L68" s="350"/>
      <c r="M68" s="350"/>
      <c r="N68" s="350"/>
      <c r="O68" s="350"/>
      <c r="P68" s="350"/>
      <c r="Q68" s="350"/>
      <c r="R68" s="350"/>
      <c r="S68" s="350"/>
      <c r="T68" s="350"/>
      <c r="U68" s="350"/>
      <c r="V68" s="86">
        <v>1195</v>
      </c>
      <c r="W68">
        <f t="shared" si="32"/>
        <v>0</v>
      </c>
      <c r="X68">
        <f t="shared" ref="X68:BA68" si="55">IF(AND(X$45-$A68&gt;$V$30,SUM($W68:W68)&lt;&gt;$V68),$V68,0)</f>
        <v>0</v>
      </c>
      <c r="Y68">
        <f t="shared" si="55"/>
        <v>0</v>
      </c>
      <c r="Z68">
        <f t="shared" si="55"/>
        <v>0</v>
      </c>
      <c r="AA68">
        <f t="shared" si="55"/>
        <v>0</v>
      </c>
      <c r="AB68">
        <f t="shared" si="55"/>
        <v>0</v>
      </c>
      <c r="AC68">
        <f t="shared" si="55"/>
        <v>0</v>
      </c>
      <c r="AD68">
        <f t="shared" si="55"/>
        <v>0</v>
      </c>
      <c r="AE68">
        <f t="shared" si="55"/>
        <v>0</v>
      </c>
      <c r="AF68">
        <f t="shared" si="55"/>
        <v>0</v>
      </c>
      <c r="AG68">
        <f t="shared" si="55"/>
        <v>0</v>
      </c>
      <c r="AH68">
        <f t="shared" si="55"/>
        <v>0</v>
      </c>
      <c r="AI68">
        <f t="shared" si="55"/>
        <v>0</v>
      </c>
      <c r="AJ68">
        <f t="shared" si="55"/>
        <v>0</v>
      </c>
      <c r="AK68">
        <f t="shared" si="55"/>
        <v>0</v>
      </c>
      <c r="AL68">
        <f t="shared" si="55"/>
        <v>0</v>
      </c>
      <c r="AM68">
        <f t="shared" si="55"/>
        <v>0</v>
      </c>
      <c r="AN68">
        <f t="shared" si="55"/>
        <v>0</v>
      </c>
      <c r="AO68">
        <f t="shared" si="55"/>
        <v>0</v>
      </c>
      <c r="AP68">
        <f t="shared" si="55"/>
        <v>0</v>
      </c>
      <c r="AQ68">
        <f t="shared" si="55"/>
        <v>0</v>
      </c>
      <c r="AR68">
        <f t="shared" si="55"/>
        <v>0</v>
      </c>
      <c r="AS68">
        <f t="shared" si="55"/>
        <v>0</v>
      </c>
      <c r="AT68">
        <f t="shared" si="55"/>
        <v>0</v>
      </c>
      <c r="AU68">
        <f t="shared" si="55"/>
        <v>0</v>
      </c>
      <c r="AV68">
        <f t="shared" si="55"/>
        <v>0</v>
      </c>
      <c r="AW68">
        <f t="shared" si="55"/>
        <v>0</v>
      </c>
      <c r="AX68">
        <f t="shared" si="55"/>
        <v>0</v>
      </c>
      <c r="AY68">
        <f t="shared" si="55"/>
        <v>0</v>
      </c>
      <c r="AZ68">
        <f t="shared" si="55"/>
        <v>0</v>
      </c>
      <c r="BA68">
        <f t="shared" si="55"/>
        <v>0</v>
      </c>
    </row>
    <row r="69" spans="1:53" ht="15.75" customHeight="1">
      <c r="A69" s="350">
        <v>1996</v>
      </c>
      <c r="B69" s="350"/>
      <c r="C69" s="350"/>
      <c r="D69" s="350"/>
      <c r="E69" s="350"/>
      <c r="F69" s="350"/>
      <c r="G69" s="350"/>
      <c r="H69" s="350"/>
      <c r="I69" s="350"/>
      <c r="J69" s="350"/>
      <c r="K69" s="350"/>
      <c r="L69" s="350"/>
      <c r="M69" s="350"/>
      <c r="N69" s="350"/>
      <c r="O69" s="350"/>
      <c r="P69" s="350"/>
      <c r="Q69" s="350"/>
      <c r="R69" s="350"/>
      <c r="S69" s="350"/>
      <c r="T69" s="350"/>
      <c r="U69" s="350"/>
      <c r="V69" s="86">
        <v>1123</v>
      </c>
      <c r="W69">
        <f t="shared" si="32"/>
        <v>0</v>
      </c>
      <c r="X69">
        <f t="shared" ref="X69:BA69" si="56">IF(AND(X$45-$A69&gt;$V$30,SUM($W69:W69)&lt;&gt;$V69),$V69,0)</f>
        <v>0</v>
      </c>
      <c r="Y69">
        <f t="shared" si="56"/>
        <v>0</v>
      </c>
      <c r="Z69">
        <f t="shared" si="56"/>
        <v>0</v>
      </c>
      <c r="AA69">
        <f t="shared" si="56"/>
        <v>0</v>
      </c>
      <c r="AB69">
        <f t="shared" si="56"/>
        <v>0</v>
      </c>
      <c r="AC69">
        <f t="shared" si="56"/>
        <v>0</v>
      </c>
      <c r="AD69">
        <f t="shared" si="56"/>
        <v>0</v>
      </c>
      <c r="AE69">
        <f t="shared" si="56"/>
        <v>0</v>
      </c>
      <c r="AF69">
        <f t="shared" si="56"/>
        <v>0</v>
      </c>
      <c r="AG69">
        <f t="shared" si="56"/>
        <v>0</v>
      </c>
      <c r="AH69">
        <f t="shared" si="56"/>
        <v>0</v>
      </c>
      <c r="AI69">
        <f t="shared" si="56"/>
        <v>0</v>
      </c>
      <c r="AJ69">
        <f t="shared" si="56"/>
        <v>0</v>
      </c>
      <c r="AK69">
        <f t="shared" si="56"/>
        <v>0</v>
      </c>
      <c r="AL69">
        <f t="shared" si="56"/>
        <v>0</v>
      </c>
      <c r="AM69">
        <f t="shared" si="56"/>
        <v>0</v>
      </c>
      <c r="AN69">
        <f t="shared" si="56"/>
        <v>0</v>
      </c>
      <c r="AO69">
        <f t="shared" si="56"/>
        <v>0</v>
      </c>
      <c r="AP69">
        <f t="shared" si="56"/>
        <v>0</v>
      </c>
      <c r="AQ69">
        <f t="shared" si="56"/>
        <v>0</v>
      </c>
      <c r="AR69">
        <f t="shared" si="56"/>
        <v>0</v>
      </c>
      <c r="AS69">
        <f t="shared" si="56"/>
        <v>0</v>
      </c>
      <c r="AT69">
        <f t="shared" si="56"/>
        <v>0</v>
      </c>
      <c r="AU69">
        <f t="shared" si="56"/>
        <v>0</v>
      </c>
      <c r="AV69">
        <f t="shared" si="56"/>
        <v>0</v>
      </c>
      <c r="AW69">
        <f t="shared" si="56"/>
        <v>0</v>
      </c>
      <c r="AX69">
        <f t="shared" si="56"/>
        <v>0</v>
      </c>
      <c r="AY69">
        <f t="shared" si="56"/>
        <v>0</v>
      </c>
      <c r="AZ69">
        <f t="shared" si="56"/>
        <v>0</v>
      </c>
      <c r="BA69">
        <f t="shared" si="56"/>
        <v>0</v>
      </c>
    </row>
    <row r="70" spans="1:53" ht="15.75" customHeight="1">
      <c r="A70" s="350">
        <v>2016</v>
      </c>
      <c r="B70" s="350"/>
      <c r="C70" s="350"/>
      <c r="D70" s="350"/>
      <c r="E70" s="350"/>
      <c r="F70" s="350"/>
      <c r="G70" s="350"/>
      <c r="H70" s="350"/>
      <c r="I70" s="350"/>
      <c r="J70" s="350"/>
      <c r="K70" s="350"/>
      <c r="L70" s="350"/>
      <c r="M70" s="350"/>
      <c r="N70" s="350"/>
      <c r="O70" s="350"/>
      <c r="P70" s="350"/>
      <c r="Q70" s="350"/>
      <c r="R70" s="350"/>
      <c r="S70" s="350"/>
      <c r="T70" s="350"/>
      <c r="U70" s="350"/>
      <c r="V70" s="86">
        <v>1122</v>
      </c>
      <c r="W70">
        <f t="shared" si="32"/>
        <v>0</v>
      </c>
      <c r="X70">
        <f t="shared" ref="X70:BA70" si="57">IF(AND(X$45-$A70&gt;$V$30,SUM($W70:W70)&lt;&gt;$V70),$V70,0)</f>
        <v>0</v>
      </c>
      <c r="Y70">
        <f t="shared" si="57"/>
        <v>0</v>
      </c>
      <c r="Z70">
        <f t="shared" si="57"/>
        <v>0</v>
      </c>
      <c r="AA70">
        <f t="shared" si="57"/>
        <v>0</v>
      </c>
      <c r="AB70">
        <f t="shared" si="57"/>
        <v>0</v>
      </c>
      <c r="AC70">
        <f t="shared" si="57"/>
        <v>0</v>
      </c>
      <c r="AD70">
        <f t="shared" si="57"/>
        <v>0</v>
      </c>
      <c r="AE70">
        <f t="shared" si="57"/>
        <v>0</v>
      </c>
      <c r="AF70">
        <f t="shared" si="57"/>
        <v>0</v>
      </c>
      <c r="AG70">
        <f t="shared" si="57"/>
        <v>0</v>
      </c>
      <c r="AH70">
        <f t="shared" si="57"/>
        <v>0</v>
      </c>
      <c r="AI70">
        <f t="shared" si="57"/>
        <v>0</v>
      </c>
      <c r="AJ70">
        <f t="shared" si="57"/>
        <v>0</v>
      </c>
      <c r="AK70">
        <f t="shared" si="57"/>
        <v>0</v>
      </c>
      <c r="AL70">
        <f t="shared" si="57"/>
        <v>0</v>
      </c>
      <c r="AM70">
        <f t="shared" si="57"/>
        <v>0</v>
      </c>
      <c r="AN70">
        <f t="shared" si="57"/>
        <v>0</v>
      </c>
      <c r="AO70">
        <f t="shared" si="57"/>
        <v>0</v>
      </c>
      <c r="AP70">
        <f t="shared" si="57"/>
        <v>0</v>
      </c>
      <c r="AQ70">
        <f t="shared" si="57"/>
        <v>0</v>
      </c>
      <c r="AR70">
        <f t="shared" si="57"/>
        <v>0</v>
      </c>
      <c r="AS70">
        <f t="shared" si="57"/>
        <v>0</v>
      </c>
      <c r="AT70">
        <f t="shared" si="57"/>
        <v>0</v>
      </c>
      <c r="AU70">
        <f t="shared" si="57"/>
        <v>0</v>
      </c>
      <c r="AV70">
        <f t="shared" si="57"/>
        <v>0</v>
      </c>
      <c r="AW70">
        <f t="shared" si="57"/>
        <v>0</v>
      </c>
      <c r="AX70">
        <f t="shared" si="57"/>
        <v>0</v>
      </c>
      <c r="AY70">
        <f t="shared" si="57"/>
        <v>0</v>
      </c>
      <c r="AZ70">
        <f t="shared" si="57"/>
        <v>0</v>
      </c>
      <c r="BA70">
        <f t="shared" si="57"/>
        <v>0</v>
      </c>
    </row>
    <row r="71" spans="1:53" ht="15.75" customHeight="1">
      <c r="A71" s="350"/>
      <c r="B71" s="350"/>
      <c r="C71" s="350"/>
      <c r="D71" s="350"/>
      <c r="E71" s="350"/>
      <c r="F71" s="350"/>
      <c r="G71" s="350"/>
      <c r="H71" s="350"/>
      <c r="I71" s="350"/>
      <c r="J71" s="350"/>
      <c r="K71" s="350"/>
      <c r="L71" s="350"/>
      <c r="M71" s="350"/>
      <c r="N71" s="350"/>
      <c r="O71" s="350"/>
      <c r="P71" s="350"/>
      <c r="Q71" s="350"/>
      <c r="R71" s="350"/>
      <c r="S71" s="350"/>
      <c r="T71" s="350"/>
      <c r="U71" s="350"/>
    </row>
    <row r="72" spans="1:53" ht="15.75" customHeight="1">
      <c r="A72" s="350"/>
      <c r="B72" s="350"/>
      <c r="C72" s="350"/>
      <c r="D72" s="350"/>
      <c r="E72" s="350"/>
      <c r="F72" s="350"/>
      <c r="G72" s="350"/>
      <c r="H72" s="350"/>
      <c r="I72" s="350"/>
      <c r="J72" s="350"/>
      <c r="K72" s="350"/>
      <c r="L72" s="350"/>
      <c r="M72" s="350"/>
      <c r="N72" s="350"/>
      <c r="O72" s="350"/>
      <c r="P72" s="350"/>
      <c r="Q72" s="350"/>
      <c r="R72" s="350"/>
      <c r="S72" s="350"/>
      <c r="T72" s="350"/>
      <c r="U72" s="350"/>
    </row>
    <row r="73" spans="1:53" ht="15.75" customHeight="1">
      <c r="A73" s="350"/>
      <c r="B73" s="350"/>
      <c r="C73" s="350"/>
      <c r="D73" s="350"/>
      <c r="E73" s="350"/>
      <c r="F73" s="350"/>
      <c r="G73" s="350"/>
      <c r="H73" s="350"/>
      <c r="I73" s="350"/>
      <c r="J73" s="350"/>
      <c r="K73" s="350"/>
      <c r="L73" s="350"/>
      <c r="M73" s="350"/>
      <c r="N73" s="350"/>
      <c r="O73" s="350"/>
      <c r="P73" s="350"/>
      <c r="Q73" s="350"/>
      <c r="R73" s="350"/>
      <c r="S73" s="350"/>
      <c r="T73" s="350"/>
      <c r="U73" s="350"/>
    </row>
    <row r="74" spans="1:53" ht="15.75" customHeight="1">
      <c r="A74" s="350"/>
      <c r="B74" s="350"/>
      <c r="C74" s="350"/>
      <c r="D74" s="350"/>
      <c r="E74" s="350"/>
      <c r="F74" s="350"/>
      <c r="G74" s="350"/>
      <c r="H74" s="350"/>
      <c r="I74" s="350"/>
      <c r="J74" s="350"/>
      <c r="K74" s="350"/>
      <c r="L74" s="350"/>
      <c r="M74" s="350"/>
      <c r="N74" s="350"/>
      <c r="O74" s="350"/>
      <c r="P74" s="350"/>
      <c r="Q74" s="350"/>
      <c r="R74" s="350"/>
      <c r="S74" s="350"/>
      <c r="T74" s="350"/>
      <c r="U74" s="350"/>
    </row>
    <row r="75" spans="1:53" ht="15.75" customHeight="1">
      <c r="A75" s="350"/>
      <c r="B75" s="350"/>
      <c r="C75" s="350"/>
      <c r="D75" s="350"/>
      <c r="E75" s="350"/>
      <c r="F75" s="350"/>
      <c r="G75" s="350"/>
      <c r="H75" s="350"/>
      <c r="I75" s="350"/>
      <c r="J75" s="350"/>
      <c r="K75" s="350"/>
      <c r="L75" s="350"/>
      <c r="M75" s="350"/>
      <c r="N75" s="350"/>
      <c r="O75" s="350"/>
      <c r="P75" s="350"/>
      <c r="Q75" s="350"/>
      <c r="R75" s="350"/>
      <c r="S75" s="350"/>
      <c r="T75" s="350"/>
      <c r="U75" s="350"/>
    </row>
    <row r="76" spans="1:53" ht="15.75" customHeight="1">
      <c r="A76" s="350"/>
      <c r="B76" s="350"/>
      <c r="C76" s="350"/>
      <c r="D76" s="350"/>
      <c r="E76" s="350"/>
      <c r="F76" s="350"/>
      <c r="G76" s="350"/>
      <c r="H76" s="350"/>
      <c r="I76" s="350"/>
      <c r="J76" s="350"/>
      <c r="K76" s="350"/>
      <c r="L76" s="350"/>
      <c r="M76" s="350"/>
      <c r="N76" s="350"/>
      <c r="O76" s="350"/>
      <c r="P76" s="350"/>
      <c r="Q76" s="350"/>
      <c r="R76" s="350"/>
      <c r="S76" s="350"/>
      <c r="T76" s="350"/>
      <c r="U76" s="350"/>
    </row>
    <row r="77" spans="1:53" ht="15.75" customHeight="1">
      <c r="A77" s="350"/>
      <c r="B77" s="350"/>
      <c r="C77" s="350"/>
      <c r="D77" s="350"/>
      <c r="E77" s="350"/>
      <c r="F77" s="350"/>
      <c r="G77" s="350"/>
      <c r="H77" s="350"/>
      <c r="I77" s="350"/>
      <c r="J77" s="350"/>
      <c r="K77" s="350"/>
      <c r="L77" s="350"/>
      <c r="M77" s="350"/>
      <c r="N77" s="350"/>
      <c r="O77" s="350"/>
      <c r="P77" s="350"/>
      <c r="Q77" s="350"/>
      <c r="R77" s="350"/>
      <c r="S77" s="350"/>
      <c r="T77" s="350"/>
      <c r="U77" s="350"/>
    </row>
    <row r="78" spans="1:53" ht="15.75" customHeight="1">
      <c r="A78" s="350"/>
      <c r="B78" s="350"/>
      <c r="C78" s="350"/>
      <c r="D78" s="350"/>
      <c r="E78" s="350"/>
      <c r="F78" s="350"/>
      <c r="G78" s="350"/>
      <c r="H78" s="350"/>
      <c r="I78" s="350"/>
      <c r="J78" s="350"/>
      <c r="K78" s="350"/>
      <c r="L78" s="350"/>
      <c r="M78" s="350"/>
      <c r="N78" s="350"/>
      <c r="O78" s="350"/>
      <c r="P78" s="350"/>
      <c r="Q78" s="350"/>
      <c r="R78" s="350"/>
      <c r="S78" s="350"/>
      <c r="T78" s="350"/>
      <c r="U78" s="350"/>
    </row>
    <row r="79" spans="1:53" ht="15.75" customHeight="1">
      <c r="A79" s="350"/>
      <c r="B79" s="350"/>
      <c r="C79" s="350"/>
      <c r="D79" s="350"/>
      <c r="E79" s="350"/>
      <c r="F79" s="350"/>
      <c r="G79" s="350"/>
      <c r="H79" s="350"/>
      <c r="I79" s="350"/>
      <c r="J79" s="350"/>
      <c r="K79" s="350"/>
      <c r="L79" s="350"/>
      <c r="M79" s="350"/>
      <c r="N79" s="350"/>
      <c r="O79" s="350"/>
      <c r="P79" s="350"/>
      <c r="Q79" s="350"/>
      <c r="R79" s="350"/>
      <c r="S79" s="350"/>
      <c r="T79" s="350"/>
      <c r="U79" s="350"/>
    </row>
    <row r="80" spans="1:53" ht="15.75" customHeight="1">
      <c r="A80" s="350"/>
      <c r="B80" s="350"/>
      <c r="C80" s="350"/>
      <c r="D80" s="350"/>
      <c r="E80" s="350"/>
      <c r="F80" s="350"/>
      <c r="G80" s="350"/>
      <c r="H80" s="350"/>
      <c r="I80" s="350"/>
      <c r="J80" s="350"/>
      <c r="K80" s="350"/>
      <c r="L80" s="350"/>
      <c r="M80" s="350"/>
      <c r="N80" s="350"/>
      <c r="O80" s="350"/>
      <c r="P80" s="350"/>
      <c r="Q80" s="350"/>
      <c r="R80" s="350"/>
      <c r="S80" s="350"/>
      <c r="T80" s="350"/>
      <c r="U80" s="350"/>
    </row>
    <row r="81" spans="1:21" ht="15.75" customHeight="1">
      <c r="A81" s="350"/>
      <c r="B81" s="350"/>
      <c r="C81" s="350"/>
      <c r="D81" s="350"/>
      <c r="E81" s="350"/>
      <c r="F81" s="350"/>
      <c r="G81" s="350"/>
      <c r="H81" s="350"/>
      <c r="I81" s="350"/>
      <c r="J81" s="350"/>
      <c r="K81" s="350"/>
      <c r="L81" s="350"/>
      <c r="M81" s="350"/>
      <c r="N81" s="350"/>
      <c r="O81" s="350"/>
      <c r="P81" s="350"/>
      <c r="Q81" s="350"/>
      <c r="R81" s="350"/>
      <c r="S81" s="350"/>
      <c r="T81" s="350"/>
      <c r="U81" s="350"/>
    </row>
    <row r="82" spans="1:21" ht="15.75" customHeight="1">
      <c r="A82" s="350"/>
      <c r="B82" s="350"/>
      <c r="C82" s="350"/>
      <c r="D82" s="350"/>
      <c r="E82" s="350"/>
      <c r="F82" s="350"/>
      <c r="G82" s="350"/>
      <c r="H82" s="350"/>
      <c r="I82" s="350"/>
      <c r="J82" s="350"/>
      <c r="K82" s="350"/>
      <c r="L82" s="350"/>
      <c r="M82" s="350"/>
      <c r="N82" s="350"/>
      <c r="O82" s="350"/>
      <c r="P82" s="350"/>
      <c r="Q82" s="350"/>
      <c r="R82" s="350"/>
      <c r="S82" s="350"/>
      <c r="T82" s="350"/>
      <c r="U82" s="350"/>
    </row>
    <row r="83" spans="1:21" ht="15.75" customHeight="1">
      <c r="A83" s="350"/>
      <c r="B83" s="350"/>
      <c r="C83" s="350"/>
      <c r="D83" s="350"/>
      <c r="E83" s="350"/>
      <c r="F83" s="350"/>
      <c r="G83" s="350"/>
      <c r="H83" s="350"/>
      <c r="I83" s="350"/>
      <c r="J83" s="350"/>
      <c r="K83" s="350"/>
      <c r="L83" s="350"/>
      <c r="M83" s="350"/>
      <c r="N83" s="350"/>
      <c r="O83" s="350"/>
      <c r="P83" s="350"/>
      <c r="Q83" s="350"/>
      <c r="R83" s="350"/>
      <c r="S83" s="350"/>
      <c r="T83" s="350"/>
      <c r="U83" s="350"/>
    </row>
    <row r="84" spans="1:21" ht="15.75" customHeight="1">
      <c r="A84" s="350"/>
      <c r="B84" s="350"/>
      <c r="C84" s="350"/>
      <c r="D84" s="350"/>
      <c r="E84" s="350"/>
      <c r="F84" s="350"/>
      <c r="G84" s="350"/>
      <c r="H84" s="350"/>
      <c r="I84" s="350"/>
      <c r="J84" s="350"/>
      <c r="K84" s="350"/>
      <c r="L84" s="350"/>
      <c r="M84" s="350"/>
      <c r="N84" s="350"/>
      <c r="O84" s="350"/>
      <c r="P84" s="350"/>
      <c r="Q84" s="350"/>
      <c r="R84" s="350"/>
      <c r="S84" s="350"/>
      <c r="T84" s="350"/>
      <c r="U84" s="350"/>
    </row>
    <row r="85" spans="1:21" ht="15.75" customHeight="1">
      <c r="A85" s="350"/>
      <c r="B85" s="350"/>
      <c r="C85" s="350"/>
      <c r="D85" s="350"/>
      <c r="E85" s="350"/>
      <c r="F85" s="350"/>
      <c r="G85" s="350"/>
      <c r="H85" s="350"/>
      <c r="I85" s="350"/>
      <c r="J85" s="350"/>
      <c r="K85" s="350"/>
      <c r="L85" s="350"/>
      <c r="M85" s="350"/>
      <c r="N85" s="350"/>
      <c r="O85" s="350"/>
      <c r="P85" s="350"/>
      <c r="Q85" s="350"/>
      <c r="R85" s="350"/>
      <c r="S85" s="350"/>
      <c r="T85" s="350"/>
      <c r="U85" s="350"/>
    </row>
    <row r="86" spans="1:21" ht="15.75" customHeight="1">
      <c r="A86" s="350"/>
      <c r="B86" s="350"/>
      <c r="C86" s="350"/>
      <c r="D86" s="350"/>
      <c r="E86" s="350"/>
      <c r="F86" s="350"/>
      <c r="G86" s="350"/>
      <c r="H86" s="350"/>
      <c r="I86" s="350"/>
      <c r="J86" s="350"/>
      <c r="K86" s="350"/>
      <c r="L86" s="350"/>
      <c r="M86" s="350"/>
      <c r="N86" s="350"/>
      <c r="O86" s="350"/>
      <c r="P86" s="350"/>
      <c r="Q86" s="350"/>
      <c r="R86" s="350"/>
      <c r="S86" s="350"/>
      <c r="T86" s="350"/>
      <c r="U86" s="350"/>
    </row>
    <row r="87" spans="1:21" ht="15.75" customHeight="1">
      <c r="A87" s="350"/>
      <c r="B87" s="350"/>
      <c r="C87" s="350"/>
      <c r="D87" s="350"/>
      <c r="E87" s="350"/>
      <c r="F87" s="350"/>
      <c r="G87" s="350"/>
      <c r="H87" s="350"/>
      <c r="I87" s="350"/>
      <c r="J87" s="350"/>
      <c r="K87" s="350"/>
      <c r="L87" s="350"/>
      <c r="M87" s="350"/>
      <c r="N87" s="350"/>
      <c r="O87" s="350"/>
      <c r="P87" s="350"/>
      <c r="Q87" s="350"/>
      <c r="R87" s="350"/>
      <c r="S87" s="350"/>
      <c r="T87" s="350"/>
      <c r="U87" s="350"/>
    </row>
    <row r="88" spans="1:21" ht="15.75" customHeight="1">
      <c r="A88" s="350"/>
      <c r="B88" s="350"/>
      <c r="C88" s="350"/>
      <c r="D88" s="350"/>
      <c r="E88" s="350"/>
      <c r="F88" s="350"/>
      <c r="G88" s="350"/>
      <c r="H88" s="350"/>
      <c r="I88" s="350"/>
      <c r="J88" s="350"/>
      <c r="K88" s="350"/>
      <c r="L88" s="350"/>
      <c r="M88" s="350"/>
      <c r="N88" s="350"/>
      <c r="O88" s="350"/>
      <c r="P88" s="350"/>
      <c r="Q88" s="350"/>
      <c r="R88" s="350"/>
      <c r="S88" s="350"/>
      <c r="T88" s="350"/>
      <c r="U88" s="350"/>
    </row>
    <row r="89" spans="1:21" ht="15.75" customHeight="1">
      <c r="A89" s="350"/>
      <c r="B89" s="350"/>
      <c r="C89" s="350"/>
      <c r="D89" s="350"/>
      <c r="E89" s="350"/>
      <c r="F89" s="350"/>
      <c r="G89" s="350"/>
      <c r="H89" s="350"/>
      <c r="I89" s="350"/>
      <c r="J89" s="350"/>
      <c r="K89" s="350"/>
      <c r="L89" s="350"/>
      <c r="M89" s="350"/>
      <c r="N89" s="350"/>
      <c r="O89" s="350"/>
      <c r="P89" s="350"/>
      <c r="Q89" s="350"/>
      <c r="R89" s="350"/>
      <c r="S89" s="350"/>
      <c r="T89" s="350"/>
      <c r="U89" s="350"/>
    </row>
    <row r="90" spans="1:21" ht="15.75" customHeight="1">
      <c r="A90" s="350"/>
      <c r="B90" s="350"/>
      <c r="C90" s="350"/>
      <c r="D90" s="350"/>
      <c r="E90" s="350"/>
      <c r="F90" s="350"/>
      <c r="G90" s="350"/>
      <c r="H90" s="350"/>
      <c r="I90" s="350"/>
      <c r="J90" s="350"/>
      <c r="K90" s="350"/>
      <c r="L90" s="350"/>
      <c r="M90" s="350"/>
      <c r="N90" s="350"/>
      <c r="O90" s="350"/>
      <c r="P90" s="350"/>
      <c r="Q90" s="350"/>
      <c r="R90" s="350"/>
      <c r="S90" s="350"/>
      <c r="T90" s="350"/>
      <c r="U90" s="350"/>
    </row>
    <row r="91" spans="1:21" ht="15.75" customHeight="1">
      <c r="A91" s="350"/>
      <c r="B91" s="350"/>
      <c r="C91" s="350"/>
      <c r="D91" s="350"/>
      <c r="E91" s="350"/>
      <c r="F91" s="350"/>
      <c r="G91" s="350"/>
      <c r="H91" s="350"/>
      <c r="I91" s="350"/>
      <c r="J91" s="350"/>
      <c r="K91" s="350"/>
      <c r="L91" s="350"/>
      <c r="M91" s="350"/>
      <c r="N91" s="350"/>
      <c r="O91" s="350"/>
      <c r="P91" s="350"/>
      <c r="Q91" s="350"/>
      <c r="R91" s="350"/>
      <c r="S91" s="350"/>
      <c r="T91" s="350"/>
      <c r="U91" s="350"/>
    </row>
    <row r="92" spans="1:21" ht="15.75" customHeight="1">
      <c r="A92" s="350"/>
      <c r="B92" s="350"/>
      <c r="C92" s="350"/>
      <c r="D92" s="350"/>
      <c r="E92" s="350"/>
      <c r="F92" s="350"/>
      <c r="G92" s="350"/>
      <c r="H92" s="350"/>
      <c r="I92" s="350"/>
      <c r="J92" s="350"/>
      <c r="K92" s="350"/>
      <c r="L92" s="350"/>
      <c r="M92" s="350"/>
      <c r="N92" s="350"/>
      <c r="O92" s="350"/>
      <c r="P92" s="350"/>
      <c r="Q92" s="350"/>
      <c r="R92" s="350"/>
      <c r="S92" s="350"/>
      <c r="T92" s="350"/>
      <c r="U92" s="350"/>
    </row>
    <row r="93" spans="1:21" ht="15.75" customHeight="1">
      <c r="A93" s="350"/>
      <c r="B93" s="350"/>
      <c r="C93" s="350"/>
      <c r="D93" s="350"/>
      <c r="E93" s="350"/>
      <c r="F93" s="350"/>
      <c r="G93" s="350"/>
      <c r="H93" s="350"/>
      <c r="I93" s="350"/>
      <c r="J93" s="350"/>
      <c r="K93" s="350"/>
      <c r="L93" s="350"/>
      <c r="M93" s="350"/>
      <c r="N93" s="350"/>
      <c r="O93" s="350"/>
      <c r="P93" s="350"/>
      <c r="Q93" s="350"/>
      <c r="R93" s="350"/>
      <c r="S93" s="350"/>
      <c r="T93" s="350"/>
      <c r="U93" s="350"/>
    </row>
    <row r="94" spans="1:21" ht="15.75" customHeight="1">
      <c r="A94" s="350"/>
      <c r="B94" s="350"/>
      <c r="C94" s="350"/>
      <c r="D94" s="350"/>
      <c r="E94" s="350"/>
      <c r="F94" s="350"/>
      <c r="G94" s="350"/>
      <c r="H94" s="350"/>
      <c r="I94" s="350"/>
      <c r="J94" s="350"/>
      <c r="K94" s="350"/>
      <c r="L94" s="350"/>
      <c r="M94" s="350"/>
      <c r="N94" s="350"/>
      <c r="O94" s="350"/>
      <c r="P94" s="350"/>
      <c r="Q94" s="350"/>
      <c r="R94" s="350"/>
      <c r="S94" s="350"/>
      <c r="T94" s="350"/>
      <c r="U94" s="350"/>
    </row>
    <row r="95" spans="1:21" ht="15.75" customHeight="1">
      <c r="A95" s="350"/>
      <c r="B95" s="350"/>
      <c r="C95" s="350"/>
      <c r="D95" s="350"/>
      <c r="E95" s="350"/>
      <c r="F95" s="350"/>
      <c r="G95" s="350"/>
      <c r="H95" s="350"/>
      <c r="I95" s="350"/>
      <c r="J95" s="350"/>
      <c r="K95" s="350"/>
      <c r="L95" s="350"/>
      <c r="M95" s="350"/>
      <c r="N95" s="350"/>
      <c r="O95" s="350"/>
      <c r="P95" s="350"/>
      <c r="Q95" s="350"/>
      <c r="R95" s="350"/>
      <c r="S95" s="350"/>
      <c r="T95" s="350"/>
      <c r="U95" s="350"/>
    </row>
    <row r="96" spans="1:21" ht="15.75" customHeight="1">
      <c r="A96" s="350"/>
      <c r="B96" s="350"/>
      <c r="C96" s="350"/>
      <c r="D96" s="350"/>
      <c r="E96" s="350"/>
      <c r="F96" s="350"/>
      <c r="G96" s="350"/>
      <c r="H96" s="350"/>
      <c r="I96" s="350"/>
      <c r="J96" s="350"/>
      <c r="K96" s="350"/>
      <c r="L96" s="350"/>
      <c r="M96" s="350"/>
      <c r="N96" s="350"/>
      <c r="O96" s="350"/>
      <c r="P96" s="350"/>
      <c r="Q96" s="350"/>
      <c r="R96" s="350"/>
      <c r="S96" s="350"/>
      <c r="T96" s="350"/>
      <c r="U96" s="350"/>
    </row>
    <row r="97" spans="1:21" ht="15.75" customHeight="1">
      <c r="A97" s="350"/>
      <c r="B97" s="350"/>
      <c r="C97" s="350"/>
      <c r="D97" s="350"/>
      <c r="E97" s="350"/>
      <c r="F97" s="350"/>
      <c r="G97" s="350"/>
      <c r="H97" s="350"/>
      <c r="I97" s="350"/>
      <c r="J97" s="350"/>
      <c r="K97" s="350"/>
      <c r="L97" s="350"/>
      <c r="M97" s="350"/>
      <c r="N97" s="350"/>
      <c r="O97" s="350"/>
      <c r="P97" s="350"/>
      <c r="Q97" s="350"/>
      <c r="R97" s="350"/>
      <c r="S97" s="350"/>
      <c r="T97" s="350"/>
      <c r="U97" s="350"/>
    </row>
    <row r="98" spans="1:21" ht="15.75" customHeight="1">
      <c r="A98" s="350"/>
      <c r="B98" s="350"/>
      <c r="C98" s="350"/>
      <c r="D98" s="350"/>
      <c r="E98" s="350"/>
      <c r="F98" s="350"/>
      <c r="G98" s="350"/>
      <c r="H98" s="350"/>
      <c r="I98" s="350"/>
      <c r="J98" s="350"/>
      <c r="K98" s="350"/>
      <c r="L98" s="350"/>
      <c r="M98" s="350"/>
      <c r="N98" s="350"/>
      <c r="O98" s="350"/>
      <c r="P98" s="350"/>
      <c r="Q98" s="350"/>
      <c r="R98" s="350"/>
      <c r="S98" s="350"/>
      <c r="T98" s="350"/>
      <c r="U98" s="350"/>
    </row>
    <row r="99" spans="1:21" ht="15.75" customHeight="1">
      <c r="A99" s="350"/>
      <c r="B99" s="350"/>
      <c r="C99" s="350"/>
      <c r="D99" s="350"/>
      <c r="E99" s="350"/>
      <c r="F99" s="350"/>
      <c r="G99" s="350"/>
      <c r="H99" s="350"/>
      <c r="I99" s="350"/>
      <c r="J99" s="350"/>
      <c r="K99" s="350"/>
      <c r="L99" s="350"/>
      <c r="M99" s="350"/>
      <c r="N99" s="350"/>
      <c r="O99" s="350"/>
      <c r="P99" s="350"/>
      <c r="Q99" s="350"/>
      <c r="R99" s="350"/>
      <c r="S99" s="350"/>
      <c r="T99" s="350"/>
      <c r="U99" s="350"/>
    </row>
    <row r="100" spans="1:21" ht="15.75" customHeight="1">
      <c r="A100" s="350"/>
      <c r="B100" s="350"/>
      <c r="C100" s="350"/>
      <c r="D100" s="350"/>
      <c r="E100" s="350"/>
      <c r="F100" s="350"/>
      <c r="G100" s="350"/>
      <c r="H100" s="350"/>
      <c r="I100" s="350"/>
      <c r="J100" s="350"/>
      <c r="K100" s="350"/>
      <c r="L100" s="350"/>
      <c r="M100" s="350"/>
      <c r="N100" s="350"/>
      <c r="O100" s="350"/>
      <c r="P100" s="350"/>
      <c r="Q100" s="350"/>
      <c r="R100" s="350"/>
      <c r="S100" s="350"/>
      <c r="T100" s="350"/>
      <c r="U100" s="350"/>
    </row>
    <row r="101" spans="1:21" ht="15.75" customHeight="1">
      <c r="A101" s="350"/>
      <c r="B101" s="350"/>
      <c r="C101" s="350"/>
      <c r="D101" s="350"/>
      <c r="E101" s="350"/>
      <c r="F101" s="350"/>
      <c r="G101" s="350"/>
      <c r="H101" s="350"/>
      <c r="I101" s="350"/>
      <c r="J101" s="350"/>
      <c r="K101" s="350"/>
      <c r="L101" s="350"/>
      <c r="M101" s="350"/>
      <c r="N101" s="350"/>
      <c r="O101" s="350"/>
      <c r="P101" s="350"/>
      <c r="Q101" s="350"/>
      <c r="R101" s="350"/>
      <c r="S101" s="350"/>
      <c r="T101" s="350"/>
      <c r="U101" s="350"/>
    </row>
    <row r="102" spans="1:21" ht="15.75" customHeight="1">
      <c r="A102" s="350"/>
      <c r="B102" s="350"/>
      <c r="C102" s="350"/>
      <c r="D102" s="350"/>
      <c r="E102" s="350"/>
      <c r="F102" s="350"/>
      <c r="G102" s="350"/>
      <c r="H102" s="350"/>
      <c r="I102" s="350"/>
      <c r="J102" s="350"/>
      <c r="K102" s="350"/>
      <c r="L102" s="350"/>
      <c r="M102" s="350"/>
      <c r="N102" s="350"/>
      <c r="O102" s="350"/>
      <c r="P102" s="350"/>
      <c r="Q102" s="350"/>
      <c r="R102" s="350"/>
      <c r="S102" s="350"/>
      <c r="T102" s="350"/>
      <c r="U102" s="350"/>
    </row>
    <row r="103" spans="1:21" ht="15.75" customHeight="1">
      <c r="A103" s="350"/>
      <c r="B103" s="350"/>
      <c r="C103" s="350"/>
      <c r="D103" s="350"/>
      <c r="E103" s="350"/>
      <c r="F103" s="350"/>
      <c r="G103" s="350"/>
      <c r="H103" s="350"/>
      <c r="I103" s="350"/>
      <c r="J103" s="350"/>
      <c r="K103" s="350"/>
      <c r="L103" s="350"/>
      <c r="M103" s="350"/>
      <c r="N103" s="350"/>
      <c r="O103" s="350"/>
      <c r="P103" s="350"/>
      <c r="Q103" s="350"/>
      <c r="R103" s="350"/>
      <c r="S103" s="350"/>
      <c r="T103" s="350"/>
      <c r="U103" s="350"/>
    </row>
    <row r="104" spans="1:21" ht="15.75" customHeight="1">
      <c r="A104" s="350"/>
      <c r="B104" s="350"/>
      <c r="C104" s="350"/>
      <c r="D104" s="350"/>
      <c r="E104" s="350"/>
      <c r="F104" s="350"/>
      <c r="G104" s="350"/>
      <c r="H104" s="350"/>
      <c r="I104" s="350"/>
      <c r="J104" s="350"/>
      <c r="K104" s="350"/>
      <c r="L104" s="350"/>
      <c r="M104" s="350"/>
      <c r="N104" s="350"/>
      <c r="O104" s="350"/>
      <c r="P104" s="350"/>
      <c r="Q104" s="350"/>
      <c r="R104" s="350"/>
      <c r="S104" s="350"/>
      <c r="T104" s="350"/>
      <c r="U104" s="350"/>
    </row>
    <row r="105" spans="1:21" ht="15.75" customHeight="1">
      <c r="A105" s="350"/>
      <c r="B105" s="350"/>
      <c r="C105" s="350"/>
      <c r="D105" s="350"/>
      <c r="E105" s="350"/>
      <c r="F105" s="350"/>
      <c r="G105" s="350"/>
      <c r="H105" s="350"/>
      <c r="I105" s="350"/>
      <c r="J105" s="350"/>
      <c r="K105" s="350"/>
      <c r="L105" s="350"/>
      <c r="M105" s="350"/>
      <c r="N105" s="350"/>
      <c r="O105" s="350"/>
      <c r="P105" s="350"/>
      <c r="Q105" s="350"/>
      <c r="R105" s="350"/>
      <c r="S105" s="350"/>
      <c r="T105" s="350"/>
      <c r="U105" s="350"/>
    </row>
    <row r="106" spans="1:21" ht="15.75" customHeight="1">
      <c r="A106" s="350"/>
      <c r="B106" s="350"/>
      <c r="C106" s="350"/>
      <c r="D106" s="350"/>
      <c r="E106" s="350"/>
      <c r="F106" s="350"/>
      <c r="G106" s="350"/>
      <c r="H106" s="350"/>
      <c r="I106" s="350"/>
      <c r="J106" s="350"/>
      <c r="K106" s="350"/>
      <c r="L106" s="350"/>
      <c r="M106" s="350"/>
      <c r="N106" s="350"/>
      <c r="O106" s="350"/>
      <c r="P106" s="350"/>
      <c r="Q106" s="350"/>
      <c r="R106" s="350"/>
      <c r="S106" s="350"/>
      <c r="T106" s="350"/>
      <c r="U106" s="350"/>
    </row>
    <row r="107" spans="1:21" ht="15.75" customHeight="1">
      <c r="A107" s="350"/>
      <c r="B107" s="350"/>
      <c r="C107" s="350"/>
      <c r="D107" s="350"/>
      <c r="E107" s="350"/>
      <c r="F107" s="350"/>
      <c r="G107" s="350"/>
      <c r="H107" s="350"/>
      <c r="I107" s="350"/>
      <c r="J107" s="350"/>
      <c r="K107" s="350"/>
      <c r="L107" s="350"/>
      <c r="M107" s="350"/>
      <c r="N107" s="350"/>
      <c r="O107" s="350"/>
      <c r="P107" s="350"/>
      <c r="Q107" s="350"/>
      <c r="R107" s="350"/>
      <c r="S107" s="350"/>
      <c r="T107" s="350"/>
      <c r="U107" s="350"/>
    </row>
    <row r="108" spans="1:21" ht="15.75" customHeight="1">
      <c r="A108" s="350"/>
      <c r="B108" s="350"/>
      <c r="C108" s="350"/>
      <c r="D108" s="350"/>
      <c r="E108" s="350"/>
      <c r="F108" s="350"/>
      <c r="G108" s="350"/>
      <c r="H108" s="350"/>
      <c r="I108" s="350"/>
      <c r="J108" s="350"/>
      <c r="K108" s="350"/>
      <c r="L108" s="350"/>
      <c r="M108" s="350"/>
      <c r="N108" s="350"/>
      <c r="O108" s="350"/>
      <c r="P108" s="350"/>
      <c r="Q108" s="350"/>
      <c r="R108" s="350"/>
      <c r="S108" s="350"/>
      <c r="T108" s="350"/>
      <c r="U108" s="350"/>
    </row>
    <row r="109" spans="1:21" ht="15.75" customHeight="1">
      <c r="A109" s="350"/>
      <c r="B109" s="350"/>
      <c r="C109" s="350"/>
      <c r="D109" s="350"/>
      <c r="E109" s="350"/>
      <c r="F109" s="350"/>
      <c r="G109" s="350"/>
      <c r="H109" s="350"/>
      <c r="I109" s="350"/>
      <c r="J109" s="350"/>
      <c r="K109" s="350"/>
      <c r="L109" s="350"/>
      <c r="M109" s="350"/>
      <c r="N109" s="350"/>
      <c r="O109" s="350"/>
      <c r="P109" s="350"/>
      <c r="Q109" s="350"/>
      <c r="R109" s="350"/>
      <c r="S109" s="350"/>
      <c r="T109" s="350"/>
      <c r="U109" s="350"/>
    </row>
    <row r="110" spans="1:21" ht="15.75" customHeight="1">
      <c r="A110" s="350"/>
      <c r="B110" s="350"/>
      <c r="C110" s="350"/>
      <c r="D110" s="350"/>
      <c r="E110" s="350"/>
      <c r="F110" s="350"/>
      <c r="G110" s="350"/>
      <c r="H110" s="350"/>
      <c r="I110" s="350"/>
      <c r="J110" s="350"/>
      <c r="K110" s="350"/>
      <c r="L110" s="350"/>
      <c r="M110" s="350"/>
      <c r="N110" s="350"/>
      <c r="O110" s="350"/>
      <c r="P110" s="350"/>
      <c r="Q110" s="350"/>
      <c r="R110" s="350"/>
      <c r="S110" s="350"/>
      <c r="T110" s="350"/>
      <c r="U110" s="350"/>
    </row>
    <row r="111" spans="1:21" ht="15.75" customHeight="1">
      <c r="A111" s="350"/>
      <c r="B111" s="350"/>
      <c r="C111" s="350"/>
      <c r="D111" s="350"/>
      <c r="E111" s="350"/>
      <c r="F111" s="350"/>
      <c r="G111" s="350"/>
      <c r="H111" s="350"/>
      <c r="I111" s="350"/>
      <c r="J111" s="350"/>
      <c r="K111" s="350"/>
      <c r="L111" s="350"/>
      <c r="M111" s="350"/>
      <c r="N111" s="350"/>
      <c r="O111" s="350"/>
      <c r="P111" s="350"/>
      <c r="Q111" s="350"/>
      <c r="R111" s="350"/>
      <c r="S111" s="350"/>
      <c r="T111" s="350"/>
      <c r="U111" s="350"/>
    </row>
    <row r="112" spans="1:21" ht="15.75" customHeight="1">
      <c r="A112" s="350"/>
      <c r="B112" s="350"/>
      <c r="C112" s="350"/>
      <c r="D112" s="350"/>
      <c r="E112" s="350"/>
      <c r="F112" s="350"/>
      <c r="G112" s="350"/>
      <c r="H112" s="350"/>
      <c r="I112" s="350"/>
      <c r="J112" s="350"/>
      <c r="K112" s="350"/>
      <c r="L112" s="350"/>
      <c r="M112" s="350"/>
      <c r="N112" s="350"/>
      <c r="O112" s="350"/>
      <c r="P112" s="350"/>
      <c r="Q112" s="350"/>
      <c r="R112" s="350"/>
      <c r="S112" s="350"/>
      <c r="T112" s="350"/>
      <c r="U112" s="350"/>
    </row>
    <row r="113" spans="1:21" ht="15.75" customHeight="1">
      <c r="A113" s="350"/>
      <c r="B113" s="350"/>
      <c r="C113" s="350"/>
      <c r="D113" s="350"/>
      <c r="E113" s="350"/>
      <c r="F113" s="350"/>
      <c r="G113" s="350"/>
      <c r="H113" s="350"/>
      <c r="I113" s="350"/>
      <c r="J113" s="350"/>
      <c r="K113" s="350"/>
      <c r="L113" s="350"/>
      <c r="M113" s="350"/>
      <c r="N113" s="350"/>
      <c r="O113" s="350"/>
      <c r="P113" s="350"/>
      <c r="Q113" s="350"/>
      <c r="R113" s="350"/>
      <c r="S113" s="350"/>
      <c r="T113" s="350"/>
      <c r="U113" s="350"/>
    </row>
    <row r="114" spans="1:21" ht="15.75" customHeight="1">
      <c r="A114" s="350"/>
      <c r="B114" s="350"/>
      <c r="C114" s="350"/>
      <c r="D114" s="350"/>
      <c r="E114" s="350"/>
      <c r="F114" s="350"/>
      <c r="G114" s="350"/>
      <c r="H114" s="350"/>
      <c r="I114" s="350"/>
      <c r="J114" s="350"/>
      <c r="K114" s="350"/>
      <c r="L114" s="350"/>
      <c r="M114" s="350"/>
      <c r="N114" s="350"/>
      <c r="O114" s="350"/>
      <c r="P114" s="350"/>
      <c r="Q114" s="350"/>
      <c r="R114" s="350"/>
      <c r="S114" s="350"/>
      <c r="T114" s="350"/>
      <c r="U114" s="350"/>
    </row>
    <row r="115" spans="1:21" ht="15.75" customHeight="1">
      <c r="A115" s="350"/>
      <c r="B115" s="350"/>
      <c r="C115" s="350"/>
      <c r="D115" s="350"/>
      <c r="E115" s="350"/>
      <c r="F115" s="350"/>
      <c r="G115" s="350"/>
      <c r="H115" s="350"/>
      <c r="I115" s="350"/>
      <c r="J115" s="350"/>
      <c r="K115" s="350"/>
      <c r="L115" s="350"/>
      <c r="M115" s="350"/>
      <c r="N115" s="350"/>
      <c r="O115" s="350"/>
      <c r="P115" s="350"/>
      <c r="Q115" s="350"/>
      <c r="R115" s="350"/>
      <c r="S115" s="350"/>
      <c r="T115" s="350"/>
      <c r="U115" s="350"/>
    </row>
    <row r="116" spans="1:21" ht="15.75" customHeight="1">
      <c r="A116" s="350"/>
      <c r="B116" s="350"/>
      <c r="C116" s="350"/>
      <c r="D116" s="350"/>
      <c r="E116" s="350"/>
      <c r="F116" s="350"/>
      <c r="G116" s="350"/>
      <c r="H116" s="350"/>
      <c r="I116" s="350"/>
      <c r="J116" s="350"/>
      <c r="K116" s="350"/>
      <c r="L116" s="350"/>
      <c r="M116" s="350"/>
      <c r="N116" s="350"/>
      <c r="O116" s="350"/>
      <c r="P116" s="350"/>
      <c r="Q116" s="350"/>
      <c r="R116" s="350"/>
      <c r="S116" s="350"/>
      <c r="T116" s="350"/>
      <c r="U116" s="350"/>
    </row>
    <row r="117" spans="1:21" ht="15.75" customHeight="1">
      <c r="A117" s="350"/>
      <c r="B117" s="350"/>
      <c r="C117" s="350"/>
      <c r="D117" s="350"/>
      <c r="E117" s="350"/>
      <c r="F117" s="350"/>
      <c r="G117" s="350"/>
      <c r="H117" s="350"/>
      <c r="I117" s="350"/>
      <c r="J117" s="350"/>
      <c r="K117" s="350"/>
      <c r="L117" s="350"/>
      <c r="M117" s="350"/>
      <c r="N117" s="350"/>
      <c r="O117" s="350"/>
      <c r="P117" s="350"/>
      <c r="Q117" s="350"/>
      <c r="R117" s="350"/>
      <c r="S117" s="350"/>
      <c r="T117" s="350"/>
      <c r="U117" s="350"/>
    </row>
    <row r="118" spans="1:21" ht="15.75" customHeight="1">
      <c r="A118" s="350"/>
      <c r="B118" s="350"/>
      <c r="C118" s="350"/>
      <c r="D118" s="350"/>
      <c r="E118" s="350"/>
      <c r="F118" s="350"/>
      <c r="G118" s="350"/>
      <c r="H118" s="350"/>
      <c r="I118" s="350"/>
      <c r="J118" s="350"/>
      <c r="K118" s="350"/>
      <c r="L118" s="350"/>
      <c r="M118" s="350"/>
      <c r="N118" s="350"/>
      <c r="O118" s="350"/>
      <c r="P118" s="350"/>
      <c r="Q118" s="350"/>
      <c r="R118" s="350"/>
      <c r="S118" s="350"/>
      <c r="T118" s="350"/>
      <c r="U118" s="350"/>
    </row>
    <row r="119" spans="1:21" ht="15.75" customHeight="1">
      <c r="A119" s="350"/>
      <c r="B119" s="350"/>
      <c r="C119" s="350"/>
      <c r="D119" s="350"/>
      <c r="E119" s="350"/>
      <c r="F119" s="350"/>
      <c r="G119" s="350"/>
      <c r="H119" s="350"/>
      <c r="I119" s="350"/>
      <c r="J119" s="350"/>
      <c r="K119" s="350"/>
      <c r="L119" s="350"/>
      <c r="M119" s="350"/>
      <c r="N119" s="350"/>
      <c r="O119" s="350"/>
      <c r="P119" s="350"/>
      <c r="Q119" s="350"/>
      <c r="R119" s="350"/>
      <c r="S119" s="350"/>
      <c r="T119" s="350"/>
      <c r="U119" s="350"/>
    </row>
    <row r="120" spans="1:21" ht="15.75" customHeight="1"/>
    <row r="121" spans="1:21" ht="15.75" customHeight="1"/>
    <row r="122" spans="1:21" ht="15.75" customHeight="1">
      <c r="A122" s="349" t="s">
        <v>761</v>
      </c>
      <c r="B122" s="349"/>
      <c r="C122" s="349"/>
      <c r="D122" s="349"/>
      <c r="E122" s="349"/>
      <c r="F122" s="349"/>
      <c r="G122" s="349"/>
      <c r="H122" s="349"/>
      <c r="I122" s="349"/>
      <c r="J122" s="349"/>
      <c r="K122" s="349"/>
      <c r="L122" s="349"/>
      <c r="M122" s="349"/>
      <c r="N122" s="349"/>
      <c r="O122" s="349"/>
      <c r="P122" s="349"/>
      <c r="Q122" s="349"/>
      <c r="R122" s="349"/>
      <c r="S122" s="349"/>
      <c r="T122" s="349"/>
      <c r="U122" s="349"/>
    </row>
    <row r="123" spans="1:21" ht="18.75" customHeight="1">
      <c r="A123" s="349" t="s">
        <v>762</v>
      </c>
      <c r="B123" s="349"/>
      <c r="C123" s="349"/>
      <c r="D123" s="349"/>
      <c r="E123" s="349"/>
      <c r="F123" s="349"/>
      <c r="G123" s="349"/>
      <c r="H123" s="349"/>
      <c r="I123" s="349"/>
      <c r="J123" s="349"/>
      <c r="K123" s="349"/>
      <c r="L123" s="349"/>
      <c r="M123" s="349"/>
      <c r="N123" s="349"/>
      <c r="O123" s="349"/>
      <c r="P123" s="349"/>
      <c r="Q123" s="349"/>
      <c r="R123" s="349"/>
      <c r="S123" s="349"/>
      <c r="T123" s="349"/>
      <c r="U123" s="349"/>
    </row>
    <row r="124" spans="1:21" ht="15.75" customHeight="1">
      <c r="A124" s="349" t="s">
        <v>763</v>
      </c>
      <c r="B124" s="349"/>
      <c r="C124" s="349"/>
      <c r="D124" s="349"/>
      <c r="E124" s="349"/>
      <c r="F124" s="349"/>
      <c r="G124" s="349"/>
      <c r="H124" s="349"/>
      <c r="I124" s="349"/>
      <c r="J124" s="349"/>
      <c r="K124" s="349"/>
      <c r="L124" s="349"/>
      <c r="M124" s="349"/>
      <c r="N124" s="349"/>
      <c r="O124" s="349"/>
      <c r="P124" s="349"/>
      <c r="Q124" s="349"/>
      <c r="R124" s="349"/>
      <c r="S124" s="349"/>
      <c r="T124" s="349"/>
      <c r="U124" s="349"/>
    </row>
    <row r="125" spans="1:21" ht="15.75" customHeight="1">
      <c r="A125" s="349"/>
      <c r="B125" s="349"/>
      <c r="C125" s="349"/>
      <c r="D125" s="349"/>
      <c r="E125" s="349"/>
      <c r="F125" s="349"/>
      <c r="G125" s="349"/>
      <c r="H125" s="349"/>
      <c r="I125" s="349"/>
      <c r="J125" s="349"/>
      <c r="K125" s="349"/>
      <c r="L125" s="349"/>
      <c r="M125" s="349"/>
      <c r="N125" s="349"/>
      <c r="O125" s="349"/>
      <c r="P125" s="349"/>
      <c r="Q125" s="349"/>
      <c r="R125" s="349"/>
      <c r="S125" s="349"/>
      <c r="T125" s="349"/>
      <c r="U125" s="349"/>
    </row>
    <row r="126" spans="1:21" ht="15.75" customHeight="1"/>
    <row r="127" spans="1:21" ht="15.75" customHeight="1"/>
    <row r="128" spans="1:21"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70</v>
      </c>
      <c r="B2" s="105">
        <f t="shared" ref="B2:U2" si="0">C2/(1+B34-B3)</f>
        <v>1950270.9233471504</v>
      </c>
      <c r="C2" s="105">
        <f t="shared" si="0"/>
        <v>1989276.3418140935</v>
      </c>
      <c r="D2" s="105">
        <f t="shared" si="0"/>
        <v>2029061.8686503754</v>
      </c>
      <c r="E2" s="105">
        <f t="shared" si="0"/>
        <v>2069643.1060233829</v>
      </c>
      <c r="F2" s="105">
        <f t="shared" si="0"/>
        <v>2111035.9681438506</v>
      </c>
      <c r="G2" s="105">
        <f t="shared" si="0"/>
        <v>2153256.6875067274</v>
      </c>
      <c r="H2" s="105">
        <f t="shared" si="0"/>
        <v>2196321.821256862</v>
      </c>
      <c r="I2" s="105">
        <f t="shared" si="0"/>
        <v>2240248.2576819994</v>
      </c>
      <c r="J2" s="105">
        <f t="shared" si="0"/>
        <v>2285053.2228356395</v>
      </c>
      <c r="K2" s="105">
        <f t="shared" si="0"/>
        <v>2330754.2872923524</v>
      </c>
      <c r="L2" s="105">
        <f t="shared" si="0"/>
        <v>2377369.3730381997</v>
      </c>
      <c r="M2" s="105">
        <f t="shared" si="0"/>
        <v>2424916.7604989638</v>
      </c>
      <c r="N2" s="105">
        <f t="shared" si="0"/>
        <v>2473415.095708943</v>
      </c>
      <c r="O2" s="105">
        <f t="shared" si="0"/>
        <v>2522883.3976231217</v>
      </c>
      <c r="P2" s="105">
        <f t="shared" si="0"/>
        <v>2573341.0655755843</v>
      </c>
      <c r="Q2" s="105">
        <f t="shared" si="0"/>
        <v>2624807.8868870959</v>
      </c>
      <c r="R2" s="105">
        <f t="shared" si="0"/>
        <v>2677304.044624838</v>
      </c>
      <c r="S2" s="105">
        <f t="shared" si="0"/>
        <v>2730850.1255173348</v>
      </c>
      <c r="T2" s="105">
        <f t="shared" si="0"/>
        <v>2785467.1280276817</v>
      </c>
      <c r="U2" s="105">
        <f t="shared" si="0"/>
        <v>2841176.4705882352</v>
      </c>
      <c r="V2" s="329">
        <v>2898000</v>
      </c>
      <c r="W2" s="105">
        <f t="shared" ref="W2:AZ2" si="1">V2*(1+V34-V3)</f>
        <v>2955960</v>
      </c>
      <c r="X2" s="105">
        <f t="shared" si="1"/>
        <v>3015079.2</v>
      </c>
      <c r="Y2" s="105">
        <f t="shared" si="1"/>
        <v>3075380.7840000005</v>
      </c>
      <c r="Z2" s="105">
        <f t="shared" si="1"/>
        <v>3136888.3996800007</v>
      </c>
      <c r="AA2" s="105">
        <f t="shared" si="1"/>
        <v>3199626.1676736008</v>
      </c>
      <c r="AB2" s="105">
        <f t="shared" si="1"/>
        <v>3263618.6910270727</v>
      </c>
      <c r="AC2" s="105">
        <f t="shared" si="1"/>
        <v>3328891.0648476142</v>
      </c>
      <c r="AD2" s="105">
        <f t="shared" si="1"/>
        <v>3395468.8861445663</v>
      </c>
      <c r="AE2" s="105">
        <f t="shared" si="1"/>
        <v>3463378.2638674579</v>
      </c>
      <c r="AF2" s="105">
        <f t="shared" si="1"/>
        <v>3532645.8291448071</v>
      </c>
      <c r="AG2" s="105">
        <f t="shared" si="1"/>
        <v>3603298.7457277034</v>
      </c>
      <c r="AH2" s="105">
        <f t="shared" si="1"/>
        <v>3675364.7206422575</v>
      </c>
      <c r="AI2" s="105">
        <f t="shared" si="1"/>
        <v>3748872.0150551028</v>
      </c>
      <c r="AJ2" s="105">
        <f t="shared" si="1"/>
        <v>3823849.4553562049</v>
      </c>
      <c r="AK2" s="105">
        <f t="shared" si="1"/>
        <v>3900326.4444633289</v>
      </c>
      <c r="AL2" s="105">
        <f t="shared" si="1"/>
        <v>3978332.9733525957</v>
      </c>
      <c r="AM2" s="105">
        <f t="shared" si="1"/>
        <v>4057899.6328196479</v>
      </c>
      <c r="AN2" s="105">
        <f t="shared" si="1"/>
        <v>4139057.6254760409</v>
      </c>
      <c r="AO2" s="105">
        <f t="shared" si="1"/>
        <v>4221838.7779855616</v>
      </c>
      <c r="AP2" s="105">
        <f t="shared" si="1"/>
        <v>4306275.5535452729</v>
      </c>
      <c r="AQ2" s="105">
        <f t="shared" si="1"/>
        <v>4392401.0646161782</v>
      </c>
      <c r="AR2" s="105">
        <f t="shared" si="1"/>
        <v>4480249.0859085014</v>
      </c>
      <c r="AS2" s="105">
        <f t="shared" si="1"/>
        <v>4569854.0676266719</v>
      </c>
      <c r="AT2" s="105">
        <f t="shared" si="1"/>
        <v>4661251.1489792056</v>
      </c>
      <c r="AU2" s="105">
        <f t="shared" si="1"/>
        <v>4754476.1719587902</v>
      </c>
      <c r="AV2" s="105">
        <f t="shared" si="1"/>
        <v>4849565.6953979656</v>
      </c>
      <c r="AW2" s="105">
        <f t="shared" si="1"/>
        <v>4946557.0093059251</v>
      </c>
      <c r="AX2" s="105">
        <f t="shared" si="1"/>
        <v>5045488.149492044</v>
      </c>
      <c r="AY2" s="105">
        <f t="shared" si="1"/>
        <v>5146397.9124818854</v>
      </c>
      <c r="AZ2" s="105">
        <f t="shared" si="1"/>
        <v>5249325.8707315233</v>
      </c>
    </row>
    <row r="3" spans="1:52" ht="15" customHeight="1">
      <c r="A3" s="93" t="s">
        <v>72</v>
      </c>
      <c r="B3" s="330">
        <f t="shared" ref="B3:U3" si="2">C3</f>
        <v>0</v>
      </c>
      <c r="C3" s="330">
        <f t="shared" si="2"/>
        <v>0</v>
      </c>
      <c r="D3" s="330">
        <f t="shared" si="2"/>
        <v>0</v>
      </c>
      <c r="E3" s="330">
        <f t="shared" si="2"/>
        <v>0</v>
      </c>
      <c r="F3" s="330">
        <f t="shared" si="2"/>
        <v>0</v>
      </c>
      <c r="G3" s="330">
        <f t="shared" si="2"/>
        <v>0</v>
      </c>
      <c r="H3" s="330">
        <f t="shared" si="2"/>
        <v>0</v>
      </c>
      <c r="I3" s="330">
        <f t="shared" si="2"/>
        <v>0</v>
      </c>
      <c r="J3" s="330">
        <f t="shared" si="2"/>
        <v>0</v>
      </c>
      <c r="K3" s="330">
        <f t="shared" si="2"/>
        <v>0</v>
      </c>
      <c r="L3" s="330">
        <f t="shared" si="2"/>
        <v>0</v>
      </c>
      <c r="M3" s="330">
        <f t="shared" si="2"/>
        <v>0</v>
      </c>
      <c r="N3" s="330">
        <f t="shared" si="2"/>
        <v>0</v>
      </c>
      <c r="O3" s="330">
        <f t="shared" si="2"/>
        <v>0</v>
      </c>
      <c r="P3" s="330">
        <f t="shared" si="2"/>
        <v>0</v>
      </c>
      <c r="Q3" s="330">
        <f t="shared" si="2"/>
        <v>0</v>
      </c>
      <c r="R3" s="330">
        <f t="shared" si="2"/>
        <v>0</v>
      </c>
      <c r="S3" s="330">
        <f t="shared" si="2"/>
        <v>0</v>
      </c>
      <c r="T3" s="330">
        <f t="shared" si="2"/>
        <v>0</v>
      </c>
      <c r="U3" s="330">
        <f t="shared" si="2"/>
        <v>0</v>
      </c>
      <c r="V3" s="245">
        <v>0</v>
      </c>
      <c r="W3" s="247">
        <f t="shared" ref="W3:AZ3" si="3">V3</f>
        <v>0</v>
      </c>
      <c r="X3" s="247">
        <f t="shared" si="3"/>
        <v>0</v>
      </c>
      <c r="Y3" s="247">
        <f t="shared" si="3"/>
        <v>0</v>
      </c>
      <c r="Z3" s="247">
        <f t="shared" si="3"/>
        <v>0</v>
      </c>
      <c r="AA3" s="247">
        <f t="shared" si="3"/>
        <v>0</v>
      </c>
      <c r="AB3" s="247">
        <f t="shared" si="3"/>
        <v>0</v>
      </c>
      <c r="AC3" s="247">
        <f t="shared" si="3"/>
        <v>0</v>
      </c>
      <c r="AD3" s="247">
        <f t="shared" si="3"/>
        <v>0</v>
      </c>
      <c r="AE3" s="247">
        <f t="shared" si="3"/>
        <v>0</v>
      </c>
      <c r="AF3" s="247">
        <f t="shared" si="3"/>
        <v>0</v>
      </c>
      <c r="AG3" s="247">
        <f t="shared" si="3"/>
        <v>0</v>
      </c>
      <c r="AH3" s="247">
        <f t="shared" si="3"/>
        <v>0</v>
      </c>
      <c r="AI3" s="247">
        <f t="shared" si="3"/>
        <v>0</v>
      </c>
      <c r="AJ3" s="247">
        <f t="shared" si="3"/>
        <v>0</v>
      </c>
      <c r="AK3" s="247">
        <f t="shared" si="3"/>
        <v>0</v>
      </c>
      <c r="AL3" s="247">
        <f t="shared" si="3"/>
        <v>0</v>
      </c>
      <c r="AM3" s="247">
        <f t="shared" si="3"/>
        <v>0</v>
      </c>
      <c r="AN3" s="247">
        <f t="shared" si="3"/>
        <v>0</v>
      </c>
      <c r="AO3" s="247">
        <f t="shared" si="3"/>
        <v>0</v>
      </c>
      <c r="AP3" s="247">
        <f t="shared" si="3"/>
        <v>0</v>
      </c>
      <c r="AQ3" s="247">
        <f t="shared" si="3"/>
        <v>0</v>
      </c>
      <c r="AR3" s="247">
        <f t="shared" si="3"/>
        <v>0</v>
      </c>
      <c r="AS3" s="247">
        <f t="shared" si="3"/>
        <v>0</v>
      </c>
      <c r="AT3" s="247">
        <f t="shared" si="3"/>
        <v>0</v>
      </c>
      <c r="AU3" s="247">
        <f t="shared" si="3"/>
        <v>0</v>
      </c>
      <c r="AV3" s="247">
        <f t="shared" si="3"/>
        <v>0</v>
      </c>
      <c r="AW3" s="247">
        <f t="shared" si="3"/>
        <v>0</v>
      </c>
      <c r="AX3" s="247">
        <f t="shared" si="3"/>
        <v>0</v>
      </c>
      <c r="AY3" s="247">
        <f t="shared" si="3"/>
        <v>0</v>
      </c>
      <c r="AZ3" s="247">
        <f t="shared" si="3"/>
        <v>0</v>
      </c>
    </row>
    <row r="4" spans="1:52" ht="15" customHeight="1">
      <c r="A4" s="93" t="s">
        <v>74</v>
      </c>
      <c r="B4" s="93"/>
      <c r="C4" s="93"/>
      <c r="D4" s="93"/>
      <c r="E4" s="93"/>
      <c r="F4" s="93"/>
      <c r="G4" s="93"/>
      <c r="H4" s="93"/>
      <c r="I4" s="93"/>
      <c r="J4" s="93"/>
      <c r="K4" s="93"/>
      <c r="L4" s="93"/>
      <c r="M4" s="93"/>
      <c r="N4" s="93"/>
      <c r="O4" s="93"/>
      <c r="P4" s="93"/>
      <c r="Q4" s="93"/>
      <c r="R4" s="93"/>
      <c r="S4" s="93"/>
      <c r="T4" s="93"/>
      <c r="U4" s="93"/>
      <c r="V4" s="245">
        <v>0.6</v>
      </c>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row>
    <row r="5" spans="1:52" ht="15" customHeight="1">
      <c r="A5" s="93" t="s">
        <v>76</v>
      </c>
      <c r="B5" s="93"/>
      <c r="C5" s="93"/>
      <c r="D5" s="93"/>
      <c r="E5" s="93"/>
      <c r="F5" s="93"/>
      <c r="G5" s="93"/>
      <c r="H5" s="93"/>
      <c r="I5" s="93"/>
      <c r="J5" s="93"/>
      <c r="K5" s="93"/>
      <c r="L5" s="93"/>
      <c r="M5" s="93"/>
      <c r="N5" s="93"/>
      <c r="O5" s="93"/>
      <c r="P5" s="93"/>
      <c r="Q5" s="93"/>
      <c r="R5" s="93"/>
      <c r="S5" s="93"/>
      <c r="T5" s="93"/>
      <c r="U5" s="93"/>
      <c r="V5" s="245">
        <f>1-V4</f>
        <v>0.4</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78</v>
      </c>
      <c r="B6" s="93"/>
      <c r="C6" s="93"/>
      <c r="D6" s="93"/>
      <c r="E6" s="93"/>
      <c r="F6" s="93"/>
      <c r="G6" s="93"/>
      <c r="H6" s="93"/>
      <c r="I6" s="93"/>
      <c r="J6" s="93"/>
      <c r="K6" s="93"/>
      <c r="L6" s="93"/>
      <c r="M6" s="93"/>
      <c r="N6" s="93"/>
      <c r="O6" s="93"/>
      <c r="P6" s="93"/>
      <c r="Q6" s="93"/>
      <c r="R6" s="93"/>
      <c r="S6" s="93"/>
      <c r="T6" s="93"/>
      <c r="U6" s="93"/>
      <c r="V6" s="245">
        <v>4.7500000000000001E-2</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80</v>
      </c>
      <c r="B7" s="93"/>
      <c r="C7" s="93"/>
      <c r="D7" s="93"/>
      <c r="E7" s="93"/>
      <c r="F7" s="93"/>
      <c r="G7" s="93"/>
      <c r="H7" s="93"/>
      <c r="I7" s="93"/>
      <c r="J7" s="93"/>
      <c r="K7" s="93"/>
      <c r="L7" s="93"/>
      <c r="M7" s="93"/>
      <c r="N7" s="93"/>
      <c r="O7" s="93"/>
      <c r="P7" s="93"/>
      <c r="Q7" s="93"/>
      <c r="R7" s="93"/>
      <c r="S7" s="93"/>
      <c r="T7" s="93"/>
      <c r="U7" s="93"/>
      <c r="V7" s="245">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82</v>
      </c>
      <c r="B8" s="93"/>
      <c r="C8" s="93"/>
      <c r="D8" s="93"/>
      <c r="E8" s="93"/>
      <c r="F8" s="93"/>
      <c r="G8" s="93"/>
      <c r="H8" s="93"/>
      <c r="I8" s="93"/>
      <c r="J8" s="93"/>
      <c r="K8" s="93"/>
      <c r="L8" s="93"/>
      <c r="M8" s="93"/>
      <c r="N8" s="93"/>
      <c r="O8" s="93"/>
      <c r="P8" s="93"/>
      <c r="Q8" s="93"/>
      <c r="R8" s="93"/>
      <c r="S8" s="93"/>
      <c r="T8" s="93"/>
      <c r="U8" s="93"/>
      <c r="V8" s="245">
        <f>V4*V6+V5*V7</f>
        <v>6.0499999999999998E-2</v>
      </c>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row>
    <row r="9" spans="1:52" ht="15" customHeight="1">
      <c r="A9" s="93" t="s">
        <v>84</v>
      </c>
      <c r="B9" s="93"/>
      <c r="C9" s="93"/>
      <c r="D9" s="93"/>
      <c r="E9" s="93"/>
      <c r="F9" s="93"/>
      <c r="G9" s="93"/>
      <c r="H9" s="93"/>
      <c r="I9" s="93"/>
      <c r="J9" s="93"/>
      <c r="K9" s="93"/>
      <c r="L9" s="93"/>
      <c r="M9" s="93"/>
      <c r="N9" s="93"/>
      <c r="O9" s="93"/>
      <c r="P9" s="93"/>
      <c r="Q9" s="93"/>
      <c r="R9" s="93"/>
      <c r="S9" s="93"/>
      <c r="T9" s="93"/>
      <c r="U9" s="93"/>
      <c r="V9" s="251">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row>
    <row r="10" spans="1:52" ht="15" customHeight="1">
      <c r="A10" s="93" t="s">
        <v>715</v>
      </c>
      <c r="B10" s="93"/>
      <c r="C10" s="93"/>
      <c r="D10" s="93"/>
      <c r="E10" s="93"/>
      <c r="F10" s="93"/>
      <c r="G10" s="93"/>
      <c r="H10" s="93"/>
      <c r="I10" s="93"/>
      <c r="J10" s="93"/>
      <c r="K10" s="93"/>
      <c r="L10" s="93"/>
      <c r="M10" s="93"/>
      <c r="N10" s="93"/>
      <c r="O10" s="93"/>
      <c r="P10" s="93"/>
      <c r="Q10" s="93"/>
      <c r="R10" s="93"/>
      <c r="S10" s="93"/>
      <c r="T10" s="93"/>
      <c r="U10" s="93"/>
      <c r="V10" s="335">
        <v>0.05</v>
      </c>
      <c r="W10" s="331">
        <v>9.5000000000000001E-2</v>
      </c>
      <c r="X10" s="331">
        <v>8.5500000000000007E-2</v>
      </c>
      <c r="Y10" s="331">
        <v>7.6999999999999999E-2</v>
      </c>
      <c r="Z10" s="331">
        <v>6.93E-2</v>
      </c>
      <c r="AA10" s="331">
        <v>6.2300000000000001E-2</v>
      </c>
      <c r="AB10" s="331">
        <v>5.8999999999999997E-2</v>
      </c>
      <c r="AC10" s="331">
        <v>5.8999999999999997E-2</v>
      </c>
      <c r="AD10" s="331">
        <v>5.91E-2</v>
      </c>
      <c r="AE10" s="331">
        <v>5.8999999999999997E-2</v>
      </c>
      <c r="AF10" s="331">
        <v>5.91E-2</v>
      </c>
      <c r="AG10" s="331">
        <v>5.8999999999999997E-2</v>
      </c>
      <c r="AH10" s="331">
        <v>5.91E-2</v>
      </c>
      <c r="AI10" s="331">
        <v>5.8999999999999997E-2</v>
      </c>
      <c r="AJ10" s="331">
        <v>5.91E-2</v>
      </c>
      <c r="AK10" s="331">
        <v>2.9499999999999998E-2</v>
      </c>
      <c r="AL10" s="331"/>
      <c r="AM10" s="331"/>
      <c r="AN10" s="331"/>
      <c r="AO10" s="331"/>
      <c r="AP10" s="331"/>
      <c r="AQ10" s="331"/>
      <c r="AR10" s="331"/>
      <c r="AS10" s="331"/>
      <c r="AT10" s="331"/>
      <c r="AU10" s="331"/>
      <c r="AV10" s="331"/>
      <c r="AW10" s="331"/>
      <c r="AX10" s="331"/>
      <c r="AY10" s="331"/>
      <c r="AZ10" s="331"/>
    </row>
    <row r="11" spans="1:52" ht="15" customHeight="1">
      <c r="A11" s="93" t="s">
        <v>88</v>
      </c>
      <c r="B11" s="93"/>
      <c r="C11" s="93"/>
      <c r="D11" s="93"/>
      <c r="E11" s="93"/>
      <c r="F11" s="93"/>
      <c r="G11" s="93"/>
      <c r="H11" s="93"/>
      <c r="I11" s="93"/>
      <c r="J11" s="93"/>
      <c r="K11" s="93"/>
      <c r="L11" s="93"/>
      <c r="M11" s="93"/>
      <c r="N11" s="93"/>
      <c r="O11" s="93"/>
      <c r="P11" s="93"/>
      <c r="Q11" s="93"/>
      <c r="R11" s="93"/>
      <c r="S11" s="93"/>
      <c r="T11" s="93"/>
      <c r="U11" s="93"/>
      <c r="V11" s="251">
        <v>1500</v>
      </c>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row>
    <row r="12" spans="1:52" ht="15" customHeight="1">
      <c r="A12" s="93" t="s">
        <v>90</v>
      </c>
      <c r="B12" s="93"/>
      <c r="C12" s="93"/>
      <c r="D12" s="93"/>
      <c r="E12" s="93"/>
      <c r="F12" s="93"/>
      <c r="G12" s="93"/>
      <c r="H12" s="93"/>
      <c r="I12" s="93"/>
      <c r="J12" s="93"/>
      <c r="K12" s="93"/>
      <c r="L12" s="93"/>
      <c r="M12" s="93"/>
      <c r="N12" s="93"/>
      <c r="O12" s="93"/>
      <c r="P12" s="93"/>
      <c r="Q12" s="93"/>
      <c r="R12" s="93"/>
      <c r="S12" s="93"/>
      <c r="T12" s="93"/>
      <c r="U12" s="93"/>
      <c r="V12" s="332">
        <v>3</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row>
    <row r="13" spans="1:52" ht="15" customHeight="1">
      <c r="A13" s="93" t="s">
        <v>92</v>
      </c>
      <c r="B13" s="93"/>
      <c r="C13" s="93"/>
      <c r="D13" s="93"/>
      <c r="E13" s="93"/>
      <c r="F13" s="93"/>
      <c r="G13" s="93"/>
      <c r="H13" s="93"/>
      <c r="I13" s="93"/>
      <c r="J13" s="93"/>
      <c r="K13" s="93"/>
      <c r="L13" s="93"/>
      <c r="M13" s="93"/>
      <c r="N13" s="93"/>
      <c r="O13" s="93"/>
      <c r="P13" s="93"/>
      <c r="Q13" s="93"/>
      <c r="R13" s="93"/>
      <c r="S13" s="93"/>
      <c r="T13" s="93"/>
      <c r="U13" s="93"/>
      <c r="V13" s="254">
        <f>1/V12</f>
        <v>0.33333333333333331</v>
      </c>
      <c r="W13" s="250"/>
      <c r="X13" s="250"/>
      <c r="Y13" s="250"/>
      <c r="Z13" s="250"/>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row>
    <row r="14" spans="1:52" ht="15" customHeight="1">
      <c r="A14" s="93" t="s">
        <v>94</v>
      </c>
      <c r="B14" s="93"/>
      <c r="C14" s="93"/>
      <c r="D14" s="93"/>
      <c r="E14" s="93"/>
      <c r="F14" s="93"/>
      <c r="G14" s="93"/>
      <c r="H14" s="93"/>
      <c r="I14" s="93"/>
      <c r="J14" s="93"/>
      <c r="K14" s="93"/>
      <c r="L14" s="93"/>
      <c r="M14" s="93"/>
      <c r="N14" s="93"/>
      <c r="O14" s="93"/>
      <c r="P14" s="93"/>
      <c r="Q14" s="93"/>
      <c r="R14" s="93"/>
      <c r="S14" s="93"/>
      <c r="T14" s="93"/>
      <c r="U14" s="93"/>
      <c r="V14" s="254">
        <v>0.4241704012760717</v>
      </c>
      <c r="W14" s="102">
        <f t="shared" ref="W14:AZ14" si="4">V14*(1+V16)</f>
        <v>0.4241704012760717</v>
      </c>
      <c r="X14" s="102">
        <f t="shared" si="4"/>
        <v>0.4241704012760717</v>
      </c>
      <c r="Y14" s="102">
        <f t="shared" si="4"/>
        <v>0.4241704012760717</v>
      </c>
      <c r="Z14" s="102">
        <f t="shared" si="4"/>
        <v>0.4241704012760717</v>
      </c>
      <c r="AA14" s="102">
        <f t="shared" si="4"/>
        <v>0.4241704012760717</v>
      </c>
      <c r="AB14" s="102">
        <f t="shared" si="4"/>
        <v>0.4241704012760717</v>
      </c>
      <c r="AC14" s="102">
        <f t="shared" si="4"/>
        <v>0.4241704012760717</v>
      </c>
      <c r="AD14" s="102">
        <f t="shared" si="4"/>
        <v>0.4241704012760717</v>
      </c>
      <c r="AE14" s="102">
        <f t="shared" si="4"/>
        <v>0.4241704012760717</v>
      </c>
      <c r="AF14" s="102">
        <f t="shared" si="4"/>
        <v>0.4241704012760717</v>
      </c>
      <c r="AG14" s="102">
        <f t="shared" si="4"/>
        <v>0.4241704012760717</v>
      </c>
      <c r="AH14" s="102">
        <f t="shared" si="4"/>
        <v>0.4241704012760717</v>
      </c>
      <c r="AI14" s="102">
        <f t="shared" si="4"/>
        <v>0.4241704012760717</v>
      </c>
      <c r="AJ14" s="102">
        <f t="shared" si="4"/>
        <v>0.4241704012760717</v>
      </c>
      <c r="AK14" s="102">
        <f t="shared" si="4"/>
        <v>0.4241704012760717</v>
      </c>
      <c r="AL14" s="102">
        <f t="shared" si="4"/>
        <v>0.4241704012760717</v>
      </c>
      <c r="AM14" s="102">
        <f t="shared" si="4"/>
        <v>0.4241704012760717</v>
      </c>
      <c r="AN14" s="102">
        <f t="shared" si="4"/>
        <v>0.4241704012760717</v>
      </c>
      <c r="AO14" s="102">
        <f t="shared" si="4"/>
        <v>0.4241704012760717</v>
      </c>
      <c r="AP14" s="102">
        <f t="shared" si="4"/>
        <v>0.4241704012760717</v>
      </c>
      <c r="AQ14" s="102">
        <f t="shared" si="4"/>
        <v>0.4241704012760717</v>
      </c>
      <c r="AR14" s="102">
        <f t="shared" si="4"/>
        <v>0.4241704012760717</v>
      </c>
      <c r="AS14" s="102">
        <f t="shared" si="4"/>
        <v>0.4241704012760717</v>
      </c>
      <c r="AT14" s="102">
        <f t="shared" si="4"/>
        <v>0.4241704012760717</v>
      </c>
      <c r="AU14" s="102">
        <f t="shared" si="4"/>
        <v>0.4241704012760717</v>
      </c>
      <c r="AV14" s="102">
        <f t="shared" si="4"/>
        <v>0.4241704012760717</v>
      </c>
      <c r="AW14" s="102">
        <f t="shared" si="4"/>
        <v>0.4241704012760717</v>
      </c>
      <c r="AX14" s="102">
        <f t="shared" si="4"/>
        <v>0.4241704012760717</v>
      </c>
      <c r="AY14" s="102">
        <f t="shared" si="4"/>
        <v>0.4241704012760717</v>
      </c>
      <c r="AZ14" s="102">
        <f t="shared" si="4"/>
        <v>0.4241704012760717</v>
      </c>
    </row>
    <row r="15" spans="1:52" ht="15" customHeight="1">
      <c r="A15" s="93" t="s">
        <v>96</v>
      </c>
      <c r="B15" s="93"/>
      <c r="C15" s="93"/>
      <c r="D15" s="93"/>
      <c r="E15" s="93"/>
      <c r="F15" s="93"/>
      <c r="G15" s="93"/>
      <c r="H15" s="93"/>
      <c r="I15" s="93"/>
      <c r="J15" s="93"/>
      <c r="K15" s="93"/>
      <c r="L15" s="93"/>
      <c r="M15" s="93"/>
      <c r="N15" s="93"/>
      <c r="O15" s="93"/>
      <c r="P15" s="93"/>
      <c r="Q15" s="93"/>
      <c r="R15" s="93"/>
      <c r="S15" s="93"/>
      <c r="T15" s="93"/>
      <c r="U15" s="93"/>
      <c r="V15" s="254">
        <v>0.46</v>
      </c>
      <c r="W15" s="102">
        <f t="shared" ref="W15:AZ15" si="5">V15</f>
        <v>0.46</v>
      </c>
      <c r="X15" s="102">
        <f t="shared" si="5"/>
        <v>0.46</v>
      </c>
      <c r="Y15" s="102">
        <f t="shared" si="5"/>
        <v>0.46</v>
      </c>
      <c r="Z15" s="102">
        <f t="shared" si="5"/>
        <v>0.46</v>
      </c>
      <c r="AA15" s="102">
        <f t="shared" si="5"/>
        <v>0.46</v>
      </c>
      <c r="AB15" s="102">
        <f t="shared" si="5"/>
        <v>0.46</v>
      </c>
      <c r="AC15" s="102">
        <f t="shared" si="5"/>
        <v>0.46</v>
      </c>
      <c r="AD15" s="102">
        <f t="shared" si="5"/>
        <v>0.46</v>
      </c>
      <c r="AE15" s="102">
        <f t="shared" si="5"/>
        <v>0.46</v>
      </c>
      <c r="AF15" s="102">
        <f t="shared" si="5"/>
        <v>0.46</v>
      </c>
      <c r="AG15" s="102">
        <f t="shared" si="5"/>
        <v>0.46</v>
      </c>
      <c r="AH15" s="102">
        <f t="shared" si="5"/>
        <v>0.46</v>
      </c>
      <c r="AI15" s="102">
        <f t="shared" si="5"/>
        <v>0.46</v>
      </c>
      <c r="AJ15" s="102">
        <f t="shared" si="5"/>
        <v>0.46</v>
      </c>
      <c r="AK15" s="102">
        <f t="shared" si="5"/>
        <v>0.46</v>
      </c>
      <c r="AL15" s="102">
        <f t="shared" si="5"/>
        <v>0.46</v>
      </c>
      <c r="AM15" s="102">
        <f t="shared" si="5"/>
        <v>0.46</v>
      </c>
      <c r="AN15" s="102">
        <f t="shared" si="5"/>
        <v>0.46</v>
      </c>
      <c r="AO15" s="102">
        <f t="shared" si="5"/>
        <v>0.46</v>
      </c>
      <c r="AP15" s="102">
        <f t="shared" si="5"/>
        <v>0.46</v>
      </c>
      <c r="AQ15" s="102">
        <f t="shared" si="5"/>
        <v>0.46</v>
      </c>
      <c r="AR15" s="102">
        <f t="shared" si="5"/>
        <v>0.46</v>
      </c>
      <c r="AS15" s="102">
        <f t="shared" si="5"/>
        <v>0.46</v>
      </c>
      <c r="AT15" s="102">
        <f t="shared" si="5"/>
        <v>0.46</v>
      </c>
      <c r="AU15" s="102">
        <f t="shared" si="5"/>
        <v>0.46</v>
      </c>
      <c r="AV15" s="102">
        <f t="shared" si="5"/>
        <v>0.46</v>
      </c>
      <c r="AW15" s="102">
        <f t="shared" si="5"/>
        <v>0.46</v>
      </c>
      <c r="AX15" s="102">
        <f t="shared" si="5"/>
        <v>0.46</v>
      </c>
      <c r="AY15" s="102">
        <f t="shared" si="5"/>
        <v>0.46</v>
      </c>
      <c r="AZ15" s="102">
        <f t="shared" si="5"/>
        <v>0.46</v>
      </c>
    </row>
    <row r="16" spans="1:52" ht="15" customHeight="1">
      <c r="A16" s="93" t="s">
        <v>98</v>
      </c>
      <c r="B16" s="93"/>
      <c r="C16" s="93"/>
      <c r="D16" s="93"/>
      <c r="E16" s="93"/>
      <c r="F16" s="93"/>
      <c r="G16" s="93"/>
      <c r="H16" s="93"/>
      <c r="I16" s="93"/>
      <c r="J16" s="93"/>
      <c r="K16" s="93"/>
      <c r="L16" s="93"/>
      <c r="M16" s="93"/>
      <c r="N16" s="93"/>
      <c r="O16" s="93"/>
      <c r="P16" s="93"/>
      <c r="Q16" s="93"/>
      <c r="R16" s="93"/>
      <c r="S16" s="93"/>
      <c r="T16" s="93"/>
      <c r="U16" s="93"/>
      <c r="V16" s="254">
        <v>0</v>
      </c>
      <c r="W16" s="102">
        <f t="shared" ref="W16:AZ16" si="6">V16</f>
        <v>0</v>
      </c>
      <c r="X16" s="102">
        <f t="shared" si="6"/>
        <v>0</v>
      </c>
      <c r="Y16" s="102">
        <f t="shared" si="6"/>
        <v>0</v>
      </c>
      <c r="Z16" s="102">
        <f t="shared" si="6"/>
        <v>0</v>
      </c>
      <c r="AA16" s="102">
        <f t="shared" si="6"/>
        <v>0</v>
      </c>
      <c r="AB16" s="102">
        <f t="shared" si="6"/>
        <v>0</v>
      </c>
      <c r="AC16" s="102">
        <f t="shared" si="6"/>
        <v>0</v>
      </c>
      <c r="AD16" s="102">
        <f t="shared" si="6"/>
        <v>0</v>
      </c>
      <c r="AE16" s="102">
        <f t="shared" si="6"/>
        <v>0</v>
      </c>
      <c r="AF16" s="102">
        <f t="shared" si="6"/>
        <v>0</v>
      </c>
      <c r="AG16" s="102">
        <f t="shared" si="6"/>
        <v>0</v>
      </c>
      <c r="AH16" s="102">
        <f t="shared" si="6"/>
        <v>0</v>
      </c>
      <c r="AI16" s="102">
        <f t="shared" si="6"/>
        <v>0</v>
      </c>
      <c r="AJ16" s="102">
        <f t="shared" si="6"/>
        <v>0</v>
      </c>
      <c r="AK16" s="102">
        <f t="shared" si="6"/>
        <v>0</v>
      </c>
      <c r="AL16" s="102">
        <f t="shared" si="6"/>
        <v>0</v>
      </c>
      <c r="AM16" s="102">
        <f t="shared" si="6"/>
        <v>0</v>
      </c>
      <c r="AN16" s="102">
        <f t="shared" si="6"/>
        <v>0</v>
      </c>
      <c r="AO16" s="102">
        <f t="shared" si="6"/>
        <v>0</v>
      </c>
      <c r="AP16" s="102">
        <f t="shared" si="6"/>
        <v>0</v>
      </c>
      <c r="AQ16" s="102">
        <f t="shared" si="6"/>
        <v>0</v>
      </c>
      <c r="AR16" s="102">
        <f t="shared" si="6"/>
        <v>0</v>
      </c>
      <c r="AS16" s="102">
        <f t="shared" si="6"/>
        <v>0</v>
      </c>
      <c r="AT16" s="102">
        <f t="shared" si="6"/>
        <v>0</v>
      </c>
      <c r="AU16" s="102">
        <f t="shared" si="6"/>
        <v>0</v>
      </c>
      <c r="AV16" s="102">
        <f t="shared" si="6"/>
        <v>0</v>
      </c>
      <c r="AW16" s="102">
        <f t="shared" si="6"/>
        <v>0</v>
      </c>
      <c r="AX16" s="102">
        <f t="shared" si="6"/>
        <v>0</v>
      </c>
      <c r="AY16" s="102">
        <f t="shared" si="6"/>
        <v>0</v>
      </c>
      <c r="AZ16" s="102">
        <f t="shared" si="6"/>
        <v>0</v>
      </c>
    </row>
    <row r="17" spans="1:52" ht="15" customHeight="1">
      <c r="A17" s="93" t="s">
        <v>100</v>
      </c>
      <c r="B17" s="105">
        <f t="shared" ref="B17:U17" si="7">C17/(1+B34-B20)</f>
        <v>27486.461894290609</v>
      </c>
      <c r="C17" s="105">
        <f t="shared" si="7"/>
        <v>28008.704670282135</v>
      </c>
      <c r="D17" s="105">
        <f t="shared" si="7"/>
        <v>28540.870059017499</v>
      </c>
      <c r="E17" s="105">
        <f t="shared" si="7"/>
        <v>29083.146590138836</v>
      </c>
      <c r="F17" s="105">
        <f t="shared" si="7"/>
        <v>29635.726375351478</v>
      </c>
      <c r="G17" s="105">
        <f t="shared" si="7"/>
        <v>30198.805176483162</v>
      </c>
      <c r="H17" s="105">
        <f t="shared" si="7"/>
        <v>30772.582474836345</v>
      </c>
      <c r="I17" s="105">
        <f t="shared" si="7"/>
        <v>31357.261541858239</v>
      </c>
      <c r="J17" s="105">
        <f t="shared" si="7"/>
        <v>31953.049511153549</v>
      </c>
      <c r="K17" s="105">
        <f t="shared" si="7"/>
        <v>32560.157451865471</v>
      </c>
      <c r="L17" s="105">
        <f t="shared" si="7"/>
        <v>33178.80044345092</v>
      </c>
      <c r="M17" s="105">
        <f t="shared" si="7"/>
        <v>33809.197651876493</v>
      </c>
      <c r="N17" s="105">
        <f t="shared" si="7"/>
        <v>34451.572407262152</v>
      </c>
      <c r="O17" s="105">
        <f t="shared" si="7"/>
        <v>35106.152283000141</v>
      </c>
      <c r="P17" s="105">
        <f t="shared" si="7"/>
        <v>35773.169176377145</v>
      </c>
      <c r="Q17" s="105">
        <f t="shared" si="7"/>
        <v>36452.859390728314</v>
      </c>
      <c r="R17" s="105">
        <f t="shared" si="7"/>
        <v>37145.463719152154</v>
      </c>
      <c r="S17" s="105">
        <f t="shared" si="7"/>
        <v>37851.227529816053</v>
      </c>
      <c r="T17" s="105">
        <f t="shared" si="7"/>
        <v>38570.400852882565</v>
      </c>
      <c r="U17" s="105">
        <f t="shared" si="7"/>
        <v>39303.238469087337</v>
      </c>
      <c r="V17" s="329">
        <v>40050</v>
      </c>
      <c r="W17" s="105">
        <f t="shared" ref="W17:AZ17" si="8">V17*(1+V34-V20)</f>
        <v>40810.950000000004</v>
      </c>
      <c r="X17" s="105">
        <f t="shared" si="8"/>
        <v>41586.35805000001</v>
      </c>
      <c r="Y17" s="105">
        <f t="shared" si="8"/>
        <v>42376.498852950019</v>
      </c>
      <c r="Z17" s="105">
        <f t="shared" si="8"/>
        <v>43181.652331156074</v>
      </c>
      <c r="AA17" s="105">
        <f t="shared" si="8"/>
        <v>44002.103725448047</v>
      </c>
      <c r="AB17" s="105">
        <f t="shared" si="8"/>
        <v>44838.143696231564</v>
      </c>
      <c r="AC17" s="105">
        <f t="shared" si="8"/>
        <v>45690.068426459969</v>
      </c>
      <c r="AD17" s="105">
        <f t="shared" si="8"/>
        <v>46558.179726562717</v>
      </c>
      <c r="AE17" s="105">
        <f t="shared" si="8"/>
        <v>47442.785141367414</v>
      </c>
      <c r="AF17" s="105">
        <f t="shared" si="8"/>
        <v>48344.1980590534</v>
      </c>
      <c r="AG17" s="105">
        <f t="shared" si="8"/>
        <v>49262.737822175419</v>
      </c>
      <c r="AH17" s="105">
        <f t="shared" si="8"/>
        <v>50198.729840796761</v>
      </c>
      <c r="AI17" s="105">
        <f t="shared" si="8"/>
        <v>51152.505707771903</v>
      </c>
      <c r="AJ17" s="105">
        <f t="shared" si="8"/>
        <v>52124.403316219577</v>
      </c>
      <c r="AK17" s="105">
        <f t="shared" si="8"/>
        <v>53114.766979227759</v>
      </c>
      <c r="AL17" s="105">
        <f t="shared" si="8"/>
        <v>54123.947551833095</v>
      </c>
      <c r="AM17" s="105">
        <f t="shared" si="8"/>
        <v>55152.302555317932</v>
      </c>
      <c r="AN17" s="105">
        <f t="shared" si="8"/>
        <v>56200.196303868979</v>
      </c>
      <c r="AO17" s="105">
        <f t="shared" si="8"/>
        <v>57268.0000336425</v>
      </c>
      <c r="AP17" s="105">
        <f t="shared" si="8"/>
        <v>58356.092034281712</v>
      </c>
      <c r="AQ17" s="105">
        <f t="shared" si="8"/>
        <v>59464.857782933075</v>
      </c>
      <c r="AR17" s="105">
        <f t="shared" si="8"/>
        <v>60594.69008080881</v>
      </c>
      <c r="AS17" s="105">
        <f t="shared" si="8"/>
        <v>61745.989192344183</v>
      </c>
      <c r="AT17" s="105">
        <f t="shared" si="8"/>
        <v>62919.16298699873</v>
      </c>
      <c r="AU17" s="105">
        <f t="shared" si="8"/>
        <v>64114.627083751715</v>
      </c>
      <c r="AV17" s="105">
        <f t="shared" si="8"/>
        <v>65332.804998343003</v>
      </c>
      <c r="AW17" s="105">
        <f t="shared" si="8"/>
        <v>66574.128293311529</v>
      </c>
      <c r="AX17" s="105">
        <f t="shared" si="8"/>
        <v>67839.036730884458</v>
      </c>
      <c r="AY17" s="105">
        <f t="shared" si="8"/>
        <v>69127.978428771268</v>
      </c>
      <c r="AZ17" s="105">
        <f t="shared" si="8"/>
        <v>70441.41001891793</v>
      </c>
    </row>
    <row r="18" spans="1:52" ht="15" customHeight="1">
      <c r="A18" s="93" t="s">
        <v>802</v>
      </c>
      <c r="B18" s="91">
        <f t="shared" ref="B18:U18" si="9">C18/(1+B34-B20)</f>
        <v>0.9127838781374914</v>
      </c>
      <c r="C18" s="91">
        <f t="shared" si="9"/>
        <v>0.9301267718221039</v>
      </c>
      <c r="D18" s="91">
        <f t="shared" si="9"/>
        <v>0.94779918048672396</v>
      </c>
      <c r="E18" s="91">
        <f t="shared" si="9"/>
        <v>0.96580736491597186</v>
      </c>
      <c r="F18" s="91">
        <f t="shared" si="9"/>
        <v>0.98415770484937548</v>
      </c>
      <c r="G18" s="91">
        <f t="shared" si="9"/>
        <v>1.0028567012415137</v>
      </c>
      <c r="H18" s="91">
        <f t="shared" si="9"/>
        <v>1.0219109785651026</v>
      </c>
      <c r="I18" s="91">
        <f t="shared" si="9"/>
        <v>1.0413272871578396</v>
      </c>
      <c r="J18" s="91">
        <f t="shared" si="9"/>
        <v>1.0611125056138386</v>
      </c>
      <c r="K18" s="91">
        <f t="shared" si="9"/>
        <v>1.0812736432205017</v>
      </c>
      <c r="L18" s="91">
        <f t="shared" si="9"/>
        <v>1.1018178424416913</v>
      </c>
      <c r="M18" s="91">
        <f t="shared" si="9"/>
        <v>1.1227523814480835</v>
      </c>
      <c r="N18" s="91">
        <f t="shared" si="9"/>
        <v>1.1440846766955972</v>
      </c>
      <c r="O18" s="91">
        <f t="shared" si="9"/>
        <v>1.1658222855528138</v>
      </c>
      <c r="P18" s="91">
        <f t="shared" si="9"/>
        <v>1.1879729089783173</v>
      </c>
      <c r="Q18" s="91">
        <f t="shared" si="9"/>
        <v>1.2105443942489056</v>
      </c>
      <c r="R18" s="91">
        <f t="shared" si="9"/>
        <v>1.2335447377396349</v>
      </c>
      <c r="S18" s="91">
        <f t="shared" si="9"/>
        <v>1.2569820877566882</v>
      </c>
      <c r="T18" s="91">
        <f t="shared" si="9"/>
        <v>1.2808647474240653</v>
      </c>
      <c r="U18" s="91">
        <f t="shared" si="9"/>
        <v>1.3052011776251227</v>
      </c>
      <c r="V18" s="97">
        <v>1.33</v>
      </c>
      <c r="W18" s="91">
        <f t="shared" ref="W18:AZ18" si="10">V18*(1+V34-V20)</f>
        <v>1.3552700000000002</v>
      </c>
      <c r="X18" s="91">
        <f t="shared" si="10"/>
        <v>1.3810201300000005</v>
      </c>
      <c r="Y18" s="91">
        <f t="shared" si="10"/>
        <v>1.4072595124700007</v>
      </c>
      <c r="Z18" s="91">
        <f t="shared" si="10"/>
        <v>1.4339974432069309</v>
      </c>
      <c r="AA18" s="91">
        <f t="shared" si="10"/>
        <v>1.4612433946278627</v>
      </c>
      <c r="AB18" s="91">
        <f t="shared" si="10"/>
        <v>1.4890070191257923</v>
      </c>
      <c r="AC18" s="91">
        <f t="shared" si="10"/>
        <v>1.5172981524891824</v>
      </c>
      <c r="AD18" s="91">
        <f t="shared" si="10"/>
        <v>1.5461268173864771</v>
      </c>
      <c r="AE18" s="91">
        <f t="shared" si="10"/>
        <v>1.5755032269168203</v>
      </c>
      <c r="AF18" s="91">
        <f t="shared" si="10"/>
        <v>1.60543778822824</v>
      </c>
      <c r="AG18" s="91">
        <f t="shared" si="10"/>
        <v>1.6359411062045768</v>
      </c>
      <c r="AH18" s="91">
        <f t="shared" si="10"/>
        <v>1.6670239872224639</v>
      </c>
      <c r="AI18" s="91">
        <f t="shared" si="10"/>
        <v>1.6986974429796911</v>
      </c>
      <c r="AJ18" s="91">
        <f t="shared" si="10"/>
        <v>1.7309726943963053</v>
      </c>
      <c r="AK18" s="91">
        <f t="shared" si="10"/>
        <v>1.7638611755898352</v>
      </c>
      <c r="AL18" s="91">
        <f t="shared" si="10"/>
        <v>1.7973745379260424</v>
      </c>
      <c r="AM18" s="91">
        <f t="shared" si="10"/>
        <v>1.8315246541466375</v>
      </c>
      <c r="AN18" s="91">
        <f t="shared" si="10"/>
        <v>1.8663236225754238</v>
      </c>
      <c r="AO18" s="91">
        <f t="shared" si="10"/>
        <v>1.9017837714043571</v>
      </c>
      <c r="AP18" s="91">
        <f t="shared" si="10"/>
        <v>1.9379176630610402</v>
      </c>
      <c r="AQ18" s="91">
        <f t="shared" si="10"/>
        <v>1.9747380986592002</v>
      </c>
      <c r="AR18" s="91">
        <f t="shared" si="10"/>
        <v>2.0122581225337255</v>
      </c>
      <c r="AS18" s="91">
        <f t="shared" si="10"/>
        <v>2.0504910268618666</v>
      </c>
      <c r="AT18" s="91">
        <f t="shared" si="10"/>
        <v>2.0894503563722422</v>
      </c>
      <c r="AU18" s="91">
        <f t="shared" si="10"/>
        <v>2.1291499131433151</v>
      </c>
      <c r="AV18" s="91">
        <f t="shared" si="10"/>
        <v>2.1696037614930384</v>
      </c>
      <c r="AW18" s="91">
        <f t="shared" si="10"/>
        <v>2.2108262329614066</v>
      </c>
      <c r="AX18" s="91">
        <f t="shared" si="10"/>
        <v>2.2528319313876737</v>
      </c>
      <c r="AY18" s="91">
        <f t="shared" si="10"/>
        <v>2.29563573808404</v>
      </c>
      <c r="AZ18" s="91">
        <f t="shared" si="10"/>
        <v>2.3392528171076372</v>
      </c>
    </row>
    <row r="19" spans="1:52" ht="15" customHeight="1">
      <c r="A19" s="93" t="s">
        <v>803</v>
      </c>
      <c r="B19" s="91">
        <f t="shared" ref="B19:U19" si="11">C19/(1+B34-B20)</f>
        <v>8.310103330640418</v>
      </c>
      <c r="C19" s="91">
        <f t="shared" si="11"/>
        <v>8.4679952939225878</v>
      </c>
      <c r="D19" s="91">
        <f t="shared" si="11"/>
        <v>8.6288872045071177</v>
      </c>
      <c r="E19" s="91">
        <f t="shared" si="11"/>
        <v>8.7928360613927534</v>
      </c>
      <c r="F19" s="91">
        <f t="shared" si="11"/>
        <v>8.9598999465592168</v>
      </c>
      <c r="G19" s="91">
        <f t="shared" si="11"/>
        <v>9.130138045543843</v>
      </c>
      <c r="H19" s="91">
        <f t="shared" si="11"/>
        <v>9.3036106684091777</v>
      </c>
      <c r="I19" s="91">
        <f t="shared" si="11"/>
        <v>9.4803792711089532</v>
      </c>
      <c r="J19" s="91">
        <f t="shared" si="11"/>
        <v>9.6605064772600251</v>
      </c>
      <c r="K19" s="91">
        <f t="shared" si="11"/>
        <v>9.8440561003279665</v>
      </c>
      <c r="L19" s="91">
        <f t="shared" si="11"/>
        <v>10.0310931662342</v>
      </c>
      <c r="M19" s="91">
        <f t="shared" si="11"/>
        <v>10.221683936392651</v>
      </c>
      <c r="N19" s="91">
        <f t="shared" si="11"/>
        <v>10.415895931184112</v>
      </c>
      <c r="O19" s="91">
        <f t="shared" si="11"/>
        <v>10.613797953876611</v>
      </c>
      <c r="P19" s="91">
        <f t="shared" si="11"/>
        <v>10.815460115000269</v>
      </c>
      <c r="Q19" s="91">
        <f t="shared" si="11"/>
        <v>11.020953857185274</v>
      </c>
      <c r="R19" s="91">
        <f t="shared" si="11"/>
        <v>11.230351980471797</v>
      </c>
      <c r="S19" s="91">
        <f t="shared" si="11"/>
        <v>11.443728668100762</v>
      </c>
      <c r="T19" s="91">
        <f t="shared" si="11"/>
        <v>11.661159512794677</v>
      </c>
      <c r="U19" s="91">
        <f t="shared" si="11"/>
        <v>11.882721543537778</v>
      </c>
      <c r="V19" s="97">
        <f>V17*Model!W1330/(V14*Model!W1330*8760)+V18</f>
        <v>12.108493252864998</v>
      </c>
      <c r="W19" s="91">
        <f t="shared" ref="W19:AZ19" si="12">V19*(1+V34-V20)</f>
        <v>12.338554624669435</v>
      </c>
      <c r="X19" s="91">
        <f t="shared" si="12"/>
        <v>12.572987162538155</v>
      </c>
      <c r="Y19" s="91">
        <f t="shared" si="12"/>
        <v>12.811873918626381</v>
      </c>
      <c r="Z19" s="91">
        <f t="shared" si="12"/>
        <v>13.055299523080283</v>
      </c>
      <c r="AA19" s="91">
        <f t="shared" si="12"/>
        <v>13.30335021401881</v>
      </c>
      <c r="AB19" s="91">
        <f t="shared" si="12"/>
        <v>13.556113868085168</v>
      </c>
      <c r="AC19" s="91">
        <f t="shared" si="12"/>
        <v>13.813680031578787</v>
      </c>
      <c r="AD19" s="91">
        <f t="shared" si="12"/>
        <v>14.076139952178787</v>
      </c>
      <c r="AE19" s="91">
        <f t="shared" si="12"/>
        <v>14.343586611270185</v>
      </c>
      <c r="AF19" s="91">
        <f t="shared" si="12"/>
        <v>14.61611475688432</v>
      </c>
      <c r="AG19" s="91">
        <f t="shared" si="12"/>
        <v>14.893820937265124</v>
      </c>
      <c r="AH19" s="91">
        <f t="shared" si="12"/>
        <v>15.176803535073164</v>
      </c>
      <c r="AI19" s="91">
        <f t="shared" si="12"/>
        <v>15.465162802239556</v>
      </c>
      <c r="AJ19" s="91">
        <f t="shared" si="12"/>
        <v>15.75900089548211</v>
      </c>
      <c r="AK19" s="91">
        <f t="shared" si="12"/>
        <v>16.058421912496271</v>
      </c>
      <c r="AL19" s="91">
        <f t="shared" si="12"/>
        <v>16.363531928833702</v>
      </c>
      <c r="AM19" s="91">
        <f t="shared" si="12"/>
        <v>16.674439035481544</v>
      </c>
      <c r="AN19" s="91">
        <f t="shared" si="12"/>
        <v>16.991253377155697</v>
      </c>
      <c r="AO19" s="91">
        <f t="shared" si="12"/>
        <v>17.314087191321658</v>
      </c>
      <c r="AP19" s="91">
        <f t="shared" si="12"/>
        <v>17.643054847956773</v>
      </c>
      <c r="AQ19" s="91">
        <f t="shared" si="12"/>
        <v>17.978272890067952</v>
      </c>
      <c r="AR19" s="91">
        <f t="shared" si="12"/>
        <v>18.319860074979246</v>
      </c>
      <c r="AS19" s="91">
        <f t="shared" si="12"/>
        <v>18.667937416403856</v>
      </c>
      <c r="AT19" s="91">
        <f t="shared" si="12"/>
        <v>19.022628227315533</v>
      </c>
      <c r="AU19" s="91">
        <f t="shared" si="12"/>
        <v>19.384058163634531</v>
      </c>
      <c r="AV19" s="91">
        <f t="shared" si="12"/>
        <v>19.752355268743589</v>
      </c>
      <c r="AW19" s="91">
        <f t="shared" si="12"/>
        <v>20.127650018849721</v>
      </c>
      <c r="AX19" s="91">
        <f t="shared" si="12"/>
        <v>20.510075369207868</v>
      </c>
      <c r="AY19" s="91">
        <f t="shared" si="12"/>
        <v>20.899766801222821</v>
      </c>
      <c r="AZ19" s="91">
        <f t="shared" si="12"/>
        <v>21.296862370446057</v>
      </c>
    </row>
    <row r="20" spans="1:52" ht="15" customHeight="1">
      <c r="A20" s="93" t="s">
        <v>106</v>
      </c>
      <c r="B20" s="330">
        <f t="shared" ref="B20:U20" si="13">C20</f>
        <v>1E-3</v>
      </c>
      <c r="C20" s="330">
        <f t="shared" si="13"/>
        <v>1E-3</v>
      </c>
      <c r="D20" s="330">
        <f t="shared" si="13"/>
        <v>1E-3</v>
      </c>
      <c r="E20" s="330">
        <f t="shared" si="13"/>
        <v>1E-3</v>
      </c>
      <c r="F20" s="330">
        <f t="shared" si="13"/>
        <v>1E-3</v>
      </c>
      <c r="G20" s="330">
        <f t="shared" si="13"/>
        <v>1E-3</v>
      </c>
      <c r="H20" s="330">
        <f t="shared" si="13"/>
        <v>1E-3</v>
      </c>
      <c r="I20" s="330">
        <f t="shared" si="13"/>
        <v>1E-3</v>
      </c>
      <c r="J20" s="330">
        <f t="shared" si="13"/>
        <v>1E-3</v>
      </c>
      <c r="K20" s="330">
        <f t="shared" si="13"/>
        <v>1E-3</v>
      </c>
      <c r="L20" s="330">
        <f t="shared" si="13"/>
        <v>1E-3</v>
      </c>
      <c r="M20" s="330">
        <f t="shared" si="13"/>
        <v>1E-3</v>
      </c>
      <c r="N20" s="330">
        <f t="shared" si="13"/>
        <v>1E-3</v>
      </c>
      <c r="O20" s="330">
        <f t="shared" si="13"/>
        <v>1E-3</v>
      </c>
      <c r="P20" s="330">
        <f t="shared" si="13"/>
        <v>1E-3</v>
      </c>
      <c r="Q20" s="330">
        <f t="shared" si="13"/>
        <v>1E-3</v>
      </c>
      <c r="R20" s="330">
        <f t="shared" si="13"/>
        <v>1E-3</v>
      </c>
      <c r="S20" s="330">
        <f t="shared" si="13"/>
        <v>1E-3</v>
      </c>
      <c r="T20" s="330">
        <f t="shared" si="13"/>
        <v>1E-3</v>
      </c>
      <c r="U20" s="330">
        <f t="shared" si="13"/>
        <v>1E-3</v>
      </c>
      <c r="V20" s="245">
        <v>1E-3</v>
      </c>
      <c r="W20" s="247">
        <f t="shared" ref="W20:AZ20" si="14">V20</f>
        <v>1E-3</v>
      </c>
      <c r="X20" s="247">
        <f t="shared" si="14"/>
        <v>1E-3</v>
      </c>
      <c r="Y20" s="247">
        <f t="shared" si="14"/>
        <v>1E-3</v>
      </c>
      <c r="Z20" s="247">
        <f t="shared" si="14"/>
        <v>1E-3</v>
      </c>
      <c r="AA20" s="247">
        <f t="shared" si="14"/>
        <v>1E-3</v>
      </c>
      <c r="AB20" s="247">
        <f t="shared" si="14"/>
        <v>1E-3</v>
      </c>
      <c r="AC20" s="247">
        <f t="shared" si="14"/>
        <v>1E-3</v>
      </c>
      <c r="AD20" s="247">
        <f t="shared" si="14"/>
        <v>1E-3</v>
      </c>
      <c r="AE20" s="247">
        <f t="shared" si="14"/>
        <v>1E-3</v>
      </c>
      <c r="AF20" s="247">
        <f t="shared" si="14"/>
        <v>1E-3</v>
      </c>
      <c r="AG20" s="247">
        <f t="shared" si="14"/>
        <v>1E-3</v>
      </c>
      <c r="AH20" s="247">
        <f t="shared" si="14"/>
        <v>1E-3</v>
      </c>
      <c r="AI20" s="247">
        <f t="shared" si="14"/>
        <v>1E-3</v>
      </c>
      <c r="AJ20" s="247">
        <f t="shared" si="14"/>
        <v>1E-3</v>
      </c>
      <c r="AK20" s="247">
        <f t="shared" si="14"/>
        <v>1E-3</v>
      </c>
      <c r="AL20" s="247">
        <f t="shared" si="14"/>
        <v>1E-3</v>
      </c>
      <c r="AM20" s="247">
        <f t="shared" si="14"/>
        <v>1E-3</v>
      </c>
      <c r="AN20" s="247">
        <f t="shared" si="14"/>
        <v>1E-3</v>
      </c>
      <c r="AO20" s="247">
        <f t="shared" si="14"/>
        <v>1E-3</v>
      </c>
      <c r="AP20" s="247">
        <f t="shared" si="14"/>
        <v>1E-3</v>
      </c>
      <c r="AQ20" s="247">
        <f t="shared" si="14"/>
        <v>1E-3</v>
      </c>
      <c r="AR20" s="247">
        <f t="shared" si="14"/>
        <v>1E-3</v>
      </c>
      <c r="AS20" s="247">
        <f t="shared" si="14"/>
        <v>1E-3</v>
      </c>
      <c r="AT20" s="247">
        <f t="shared" si="14"/>
        <v>1E-3</v>
      </c>
      <c r="AU20" s="247">
        <f t="shared" si="14"/>
        <v>1E-3</v>
      </c>
      <c r="AV20" s="247">
        <f t="shared" si="14"/>
        <v>1E-3</v>
      </c>
      <c r="AW20" s="247">
        <f t="shared" si="14"/>
        <v>1E-3</v>
      </c>
      <c r="AX20" s="247">
        <f t="shared" si="14"/>
        <v>1E-3</v>
      </c>
      <c r="AY20" s="247">
        <f t="shared" si="14"/>
        <v>1E-3</v>
      </c>
      <c r="AZ20" s="247">
        <f t="shared" si="14"/>
        <v>1E-3</v>
      </c>
    </row>
    <row r="21" spans="1:52" ht="15" customHeight="1">
      <c r="A21" s="93" t="s">
        <v>111</v>
      </c>
      <c r="B21" s="93"/>
      <c r="C21" s="93"/>
      <c r="D21" s="93"/>
      <c r="E21" s="93"/>
      <c r="F21" s="93"/>
      <c r="G21" s="93"/>
      <c r="H21" s="93"/>
      <c r="I21" s="93"/>
      <c r="J21" s="93"/>
      <c r="K21" s="93"/>
      <c r="L21" s="93"/>
      <c r="M21" s="93"/>
      <c r="N21" s="93"/>
      <c r="O21" s="93"/>
      <c r="P21" s="93"/>
      <c r="Q21" s="93"/>
      <c r="R21" s="93"/>
      <c r="S21" s="93"/>
      <c r="T21" s="93"/>
      <c r="U21" s="93"/>
      <c r="V21" s="97"/>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row>
    <row r="22" spans="1:52" ht="15" customHeight="1">
      <c r="A22" s="93" t="s">
        <v>112</v>
      </c>
      <c r="B22" s="253">
        <v>0.35</v>
      </c>
      <c r="C22" s="253">
        <v>0.35</v>
      </c>
      <c r="D22" s="253">
        <v>0.35</v>
      </c>
      <c r="E22" s="253">
        <v>0.35</v>
      </c>
      <c r="F22" s="253">
        <v>0.35</v>
      </c>
      <c r="G22" s="253">
        <v>0.35</v>
      </c>
      <c r="H22" s="253">
        <v>0.35</v>
      </c>
      <c r="I22" s="253">
        <v>0.35</v>
      </c>
      <c r="J22" s="253">
        <v>0.35</v>
      </c>
      <c r="K22" s="253">
        <v>0.35</v>
      </c>
      <c r="L22" s="253">
        <v>0.35</v>
      </c>
      <c r="M22" s="253">
        <v>0.35</v>
      </c>
      <c r="N22" s="253">
        <v>0.35</v>
      </c>
      <c r="O22" s="253">
        <v>0.35</v>
      </c>
      <c r="P22" s="253">
        <v>0.35</v>
      </c>
      <c r="Q22" s="253">
        <v>0.35</v>
      </c>
      <c r="R22" s="253">
        <v>0.35</v>
      </c>
      <c r="S22" s="253">
        <v>0.35</v>
      </c>
      <c r="T22" s="253">
        <v>0.21</v>
      </c>
      <c r="U22" s="253">
        <v>0.21</v>
      </c>
      <c r="V22" s="254">
        <v>0.21</v>
      </c>
      <c r="W22" s="102">
        <f t="shared" ref="W22:AZ22" si="15">V22</f>
        <v>0.21</v>
      </c>
      <c r="X22" s="102">
        <f t="shared" si="15"/>
        <v>0.21</v>
      </c>
      <c r="Y22" s="102">
        <f t="shared" si="15"/>
        <v>0.21</v>
      </c>
      <c r="Z22" s="102">
        <f t="shared" si="15"/>
        <v>0.21</v>
      </c>
      <c r="AA22" s="102">
        <f t="shared" si="15"/>
        <v>0.21</v>
      </c>
      <c r="AB22" s="102">
        <f t="shared" si="15"/>
        <v>0.21</v>
      </c>
      <c r="AC22" s="102">
        <f t="shared" si="15"/>
        <v>0.21</v>
      </c>
      <c r="AD22" s="102">
        <f t="shared" si="15"/>
        <v>0.21</v>
      </c>
      <c r="AE22" s="102">
        <f t="shared" si="15"/>
        <v>0.21</v>
      </c>
      <c r="AF22" s="102">
        <f t="shared" si="15"/>
        <v>0.21</v>
      </c>
      <c r="AG22" s="102">
        <f t="shared" si="15"/>
        <v>0.21</v>
      </c>
      <c r="AH22" s="102">
        <f t="shared" si="15"/>
        <v>0.21</v>
      </c>
      <c r="AI22" s="102">
        <f t="shared" si="15"/>
        <v>0.21</v>
      </c>
      <c r="AJ22" s="102">
        <f t="shared" si="15"/>
        <v>0.21</v>
      </c>
      <c r="AK22" s="102">
        <f t="shared" si="15"/>
        <v>0.21</v>
      </c>
      <c r="AL22" s="102">
        <f t="shared" si="15"/>
        <v>0.21</v>
      </c>
      <c r="AM22" s="102">
        <f t="shared" si="15"/>
        <v>0.21</v>
      </c>
      <c r="AN22" s="102">
        <f t="shared" si="15"/>
        <v>0.21</v>
      </c>
      <c r="AO22" s="102">
        <f t="shared" si="15"/>
        <v>0.21</v>
      </c>
      <c r="AP22" s="102">
        <f t="shared" si="15"/>
        <v>0.21</v>
      </c>
      <c r="AQ22" s="102">
        <f t="shared" si="15"/>
        <v>0.21</v>
      </c>
      <c r="AR22" s="102">
        <f t="shared" si="15"/>
        <v>0.21</v>
      </c>
      <c r="AS22" s="102">
        <f t="shared" si="15"/>
        <v>0.21</v>
      </c>
      <c r="AT22" s="102">
        <f t="shared" si="15"/>
        <v>0.21</v>
      </c>
      <c r="AU22" s="102">
        <f t="shared" si="15"/>
        <v>0.21</v>
      </c>
      <c r="AV22" s="102">
        <f t="shared" si="15"/>
        <v>0.21</v>
      </c>
      <c r="AW22" s="102">
        <f t="shared" si="15"/>
        <v>0.21</v>
      </c>
      <c r="AX22" s="102">
        <f t="shared" si="15"/>
        <v>0.21</v>
      </c>
      <c r="AY22" s="102">
        <f t="shared" si="15"/>
        <v>0.21</v>
      </c>
      <c r="AZ22" s="102">
        <f t="shared" si="15"/>
        <v>0.21</v>
      </c>
    </row>
    <row r="23" spans="1:52" ht="15" customHeight="1">
      <c r="A23" s="93" t="s">
        <v>114</v>
      </c>
      <c r="B23" s="93"/>
      <c r="C23" s="93"/>
      <c r="D23" s="93"/>
      <c r="E23" s="93"/>
      <c r="F23" s="93"/>
      <c r="G23" s="93"/>
      <c r="H23" s="93"/>
      <c r="I23" s="93"/>
      <c r="J23" s="93"/>
      <c r="K23" s="93"/>
      <c r="L23" s="93"/>
      <c r="M23" s="93"/>
      <c r="N23" s="93"/>
      <c r="O23" s="93"/>
      <c r="P23" s="93"/>
      <c r="Q23" s="93"/>
      <c r="R23" s="93"/>
      <c r="S23" s="93"/>
      <c r="T23" s="93"/>
      <c r="U23" s="93"/>
      <c r="V23" s="97">
        <v>0</v>
      </c>
      <c r="W23" s="91">
        <f t="shared" ref="W23:AZ23" si="16">V23*(1+V34)</f>
        <v>0</v>
      </c>
      <c r="X23" s="91">
        <f t="shared" si="16"/>
        <v>0</v>
      </c>
      <c r="Y23" s="91">
        <f t="shared" si="16"/>
        <v>0</v>
      </c>
      <c r="Z23" s="91">
        <f t="shared" si="16"/>
        <v>0</v>
      </c>
      <c r="AA23" s="91">
        <f t="shared" si="16"/>
        <v>0</v>
      </c>
      <c r="AB23" s="91">
        <f t="shared" si="16"/>
        <v>0</v>
      </c>
      <c r="AC23" s="91">
        <f t="shared" si="16"/>
        <v>0</v>
      </c>
      <c r="AD23" s="91">
        <f t="shared" si="16"/>
        <v>0</v>
      </c>
      <c r="AE23" s="91">
        <f t="shared" si="16"/>
        <v>0</v>
      </c>
      <c r="AF23" s="91">
        <f t="shared" si="16"/>
        <v>0</v>
      </c>
      <c r="AG23" s="91">
        <f t="shared" si="16"/>
        <v>0</v>
      </c>
      <c r="AH23" s="91">
        <f t="shared" si="16"/>
        <v>0</v>
      </c>
      <c r="AI23" s="91">
        <f t="shared" si="16"/>
        <v>0</v>
      </c>
      <c r="AJ23" s="91">
        <f t="shared" si="16"/>
        <v>0</v>
      </c>
      <c r="AK23" s="91">
        <f t="shared" si="16"/>
        <v>0</v>
      </c>
      <c r="AL23" s="91">
        <f t="shared" si="16"/>
        <v>0</v>
      </c>
      <c r="AM23" s="91">
        <f t="shared" si="16"/>
        <v>0</v>
      </c>
      <c r="AN23" s="91">
        <f t="shared" si="16"/>
        <v>0</v>
      </c>
      <c r="AO23" s="91">
        <f t="shared" si="16"/>
        <v>0</v>
      </c>
      <c r="AP23" s="91">
        <f t="shared" si="16"/>
        <v>0</v>
      </c>
      <c r="AQ23" s="91">
        <f t="shared" si="16"/>
        <v>0</v>
      </c>
      <c r="AR23" s="91">
        <f t="shared" si="16"/>
        <v>0</v>
      </c>
      <c r="AS23" s="91">
        <f t="shared" si="16"/>
        <v>0</v>
      </c>
      <c r="AT23" s="91">
        <f t="shared" si="16"/>
        <v>0</v>
      </c>
      <c r="AU23" s="91">
        <f t="shared" si="16"/>
        <v>0</v>
      </c>
      <c r="AV23" s="91">
        <f t="shared" si="16"/>
        <v>0</v>
      </c>
      <c r="AW23" s="91">
        <f t="shared" si="16"/>
        <v>0</v>
      </c>
      <c r="AX23" s="91">
        <f t="shared" si="16"/>
        <v>0</v>
      </c>
      <c r="AY23" s="91">
        <f t="shared" si="16"/>
        <v>0</v>
      </c>
      <c r="AZ23" s="91">
        <f t="shared" si="16"/>
        <v>0</v>
      </c>
    </row>
    <row r="24" spans="1:52" ht="15" customHeight="1">
      <c r="A24" s="93" t="s">
        <v>116</v>
      </c>
      <c r="B24" s="93"/>
      <c r="C24" s="93"/>
      <c r="D24" s="93"/>
      <c r="E24" s="93"/>
      <c r="F24" s="93"/>
      <c r="G24" s="93"/>
      <c r="H24" s="93"/>
      <c r="I24" s="93"/>
      <c r="J24" s="93"/>
      <c r="K24" s="93"/>
      <c r="L24" s="93"/>
      <c r="M24" s="93"/>
      <c r="N24" s="93"/>
      <c r="O24" s="93"/>
      <c r="P24" s="93"/>
      <c r="Q24" s="93"/>
      <c r="R24" s="93"/>
      <c r="S24" s="93"/>
      <c r="T24" s="93"/>
      <c r="U24" s="93"/>
      <c r="V24" s="332">
        <v>61</v>
      </c>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row>
    <row r="25" spans="1:52" ht="15" customHeight="1">
      <c r="A25" s="93" t="s">
        <v>119</v>
      </c>
      <c r="B25" s="93"/>
      <c r="C25" s="93"/>
      <c r="D25" s="93"/>
      <c r="E25" s="93"/>
      <c r="F25" s="93"/>
      <c r="G25" s="93"/>
      <c r="H25" s="93"/>
      <c r="I25" s="93"/>
      <c r="J25" s="93"/>
      <c r="K25" s="93"/>
      <c r="L25" s="93"/>
      <c r="M25" s="93"/>
      <c r="N25" s="93"/>
      <c r="O25" s="93"/>
      <c r="P25" s="93"/>
      <c r="Q25" s="93"/>
      <c r="R25" s="93"/>
      <c r="S25" s="93"/>
      <c r="T25" s="93"/>
      <c r="U25" s="93"/>
      <c r="V25" s="332">
        <v>90</v>
      </c>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row>
    <row r="26" spans="1:52" ht="15" customHeight="1">
      <c r="A26" s="93" t="s">
        <v>121</v>
      </c>
      <c r="B26" s="93"/>
      <c r="C26" s="93"/>
      <c r="D26" s="93"/>
      <c r="E26" s="93"/>
      <c r="F26" s="93"/>
      <c r="G26" s="93"/>
      <c r="H26" s="93"/>
      <c r="I26" s="93"/>
      <c r="J26" s="93"/>
      <c r="K26" s="93"/>
      <c r="L26" s="93"/>
      <c r="M26" s="93"/>
      <c r="N26" s="93"/>
      <c r="O26" s="93"/>
      <c r="P26" s="93"/>
      <c r="Q26" s="93"/>
      <c r="R26" s="93"/>
      <c r="S26" s="93"/>
      <c r="T26" s="93"/>
      <c r="U26" s="93"/>
      <c r="V26" s="332">
        <v>52</v>
      </c>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row>
    <row r="27" spans="1:52" ht="15" customHeight="1">
      <c r="A27" s="93" t="s">
        <v>122</v>
      </c>
      <c r="B27" s="93"/>
      <c r="C27" s="93"/>
      <c r="D27" s="93"/>
      <c r="E27" s="93"/>
      <c r="F27" s="93"/>
      <c r="G27" s="93"/>
      <c r="H27" s="93"/>
      <c r="I27" s="93"/>
      <c r="J27" s="93"/>
      <c r="K27" s="93"/>
      <c r="L27" s="93"/>
      <c r="M27" s="93"/>
      <c r="N27" s="93"/>
      <c r="O27" s="93"/>
      <c r="P27" s="93"/>
      <c r="Q27" s="93"/>
      <c r="R27" s="93"/>
      <c r="S27" s="93"/>
      <c r="T27" s="93"/>
      <c r="U27" s="93"/>
      <c r="V27" s="332">
        <v>37</v>
      </c>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row>
    <row r="28" spans="1:52" ht="15" customHeight="1">
      <c r="A28" s="99" t="s">
        <v>123</v>
      </c>
      <c r="B28" s="99"/>
      <c r="C28" s="99"/>
      <c r="D28" s="99"/>
      <c r="E28" s="99"/>
      <c r="F28" s="99"/>
      <c r="G28" s="99"/>
      <c r="H28" s="99"/>
      <c r="I28" s="99"/>
      <c r="J28" s="99"/>
      <c r="K28" s="99"/>
      <c r="L28" s="99"/>
      <c r="M28" s="99"/>
      <c r="N28" s="99"/>
      <c r="O28" s="99"/>
      <c r="P28" s="99"/>
      <c r="Q28" s="99"/>
      <c r="R28" s="99"/>
      <c r="S28" s="99"/>
      <c r="T28" s="99"/>
      <c r="U28" s="99"/>
      <c r="V28" s="329"/>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row>
    <row r="29" spans="1:52" ht="15" customHeight="1">
      <c r="A29" s="93" t="s">
        <v>126</v>
      </c>
      <c r="B29" s="95">
        <f>'Inflation GDP Population'!B2</f>
        <v>96.994687004035995</v>
      </c>
      <c r="C29" s="95">
        <f>'Inflation GDP Population'!C2</f>
        <v>82.561802368421056</v>
      </c>
      <c r="D29" s="95">
        <f>'Inflation GDP Population'!D2</f>
        <v>92.422988832098127</v>
      </c>
      <c r="E29" s="95">
        <f>'Inflation GDP Population'!E2</f>
        <v>85.643902995324368</v>
      </c>
      <c r="F29" s="95">
        <f>'Inflation GDP Population'!F2</f>
        <v>81.324791570560762</v>
      </c>
      <c r="G29" s="95">
        <f>'Inflation GDP Population'!G2</f>
        <v>82.285051583593884</v>
      </c>
      <c r="H29" s="95">
        <f>'Inflation GDP Population'!H2</f>
        <v>73.132352371089056</v>
      </c>
      <c r="I29" s="95">
        <f>'Inflation GDP Population'!I2</f>
        <v>75.178349917306775</v>
      </c>
      <c r="J29" s="95">
        <f>'Inflation GDP Population'!J2</f>
        <v>77.566868947213194</v>
      </c>
      <c r="K29" s="95">
        <f>'Inflation GDP Population'!K2</f>
        <v>67.397054261131927</v>
      </c>
      <c r="L29" s="95">
        <f>'Inflation GDP Population'!L2</f>
        <v>69.359261305247756</v>
      </c>
      <c r="M29" s="95">
        <f>'Inflation GDP Population'!M2</f>
        <v>69.149647376821946</v>
      </c>
      <c r="N29" s="95">
        <f>'Inflation GDP Population'!N2</f>
        <v>66.077410694889281</v>
      </c>
      <c r="O29" s="95">
        <f>'Inflation GDP Population'!O2</f>
        <v>68.667649550254211</v>
      </c>
      <c r="P29" s="95">
        <f>'Inflation GDP Population'!P2</f>
        <v>67.613374485645934</v>
      </c>
      <c r="Q29" s="95">
        <f>'Inflation GDP Population'!Q2</f>
        <v>63.519292757444873</v>
      </c>
      <c r="R29" s="95">
        <f>'Inflation GDP Population'!R2</f>
        <v>65.2</v>
      </c>
      <c r="S29" s="95">
        <f>'Inflation GDP Population'!S2</f>
        <v>62.54</v>
      </c>
      <c r="T29" s="95">
        <f>'Inflation GDP Population'!T2</f>
        <v>62.8</v>
      </c>
      <c r="U29" s="95">
        <f>'Inflation GDP Population'!U2</f>
        <v>62.22</v>
      </c>
      <c r="V29" s="95">
        <f>'Inflation GDP Population'!V2</f>
        <v>63.245459999999994</v>
      </c>
      <c r="W29" s="95">
        <f>'Inflation GDP Population'!W2</f>
        <v>62.18788</v>
      </c>
      <c r="X29" s="95">
        <f>'Inflation GDP Population'!X2</f>
        <v>61.283909999999999</v>
      </c>
      <c r="Y29" s="95">
        <f>'Inflation GDP Population'!Y2</f>
        <v>60.782710000000002</v>
      </c>
      <c r="Z29" s="95">
        <f>'Inflation GDP Population'!Z2</f>
        <v>60.470050000000001</v>
      </c>
      <c r="AA29" s="95">
        <f>'Inflation GDP Population'!AA2</f>
        <v>60.726050000000001</v>
      </c>
      <c r="AB29" s="95">
        <f>'Inflation GDP Population'!AB2</f>
        <v>60.323509999999999</v>
      </c>
      <c r="AC29" s="95">
        <f>'Inflation GDP Population'!AC2</f>
        <v>60.154750000000007</v>
      </c>
      <c r="AD29" s="95">
        <f>'Inflation GDP Population'!AD2</f>
        <v>59.918579999999999</v>
      </c>
      <c r="AE29" s="95">
        <f>'Inflation GDP Population'!AE2</f>
        <v>59.74736</v>
      </c>
      <c r="AF29" s="95">
        <f>'Inflation GDP Population'!AF2</f>
        <v>59.571719999999999</v>
      </c>
      <c r="AG29" s="95">
        <f>'Inflation GDP Population'!AG2</f>
        <v>59.462200000000003</v>
      </c>
      <c r="AH29" s="95">
        <f>'Inflation GDP Population'!AH2</f>
        <v>59.098179999999999</v>
      </c>
      <c r="AI29" s="95">
        <f>'Inflation GDP Population'!AI2</f>
        <v>58.690709999999996</v>
      </c>
      <c r="AJ29" s="95">
        <f>'Inflation GDP Population'!AJ2</f>
        <v>58.279679999999999</v>
      </c>
      <c r="AK29" s="95">
        <f>'Inflation GDP Population'!AK2</f>
        <v>57.945390000000003</v>
      </c>
      <c r="AL29" s="95">
        <f>'Inflation GDP Population'!AL2</f>
        <v>57.822279999999999</v>
      </c>
      <c r="AM29" s="95">
        <f>'Inflation GDP Population'!AM2</f>
        <v>57.639300000000006</v>
      </c>
      <c r="AN29" s="95">
        <f>'Inflation GDP Population'!AN2</f>
        <v>57.618220000000008</v>
      </c>
      <c r="AO29" s="95">
        <f>'Inflation GDP Population'!AO2</f>
        <v>57.583159999999999</v>
      </c>
      <c r="AP29" s="95">
        <f>'Inflation GDP Population'!AP2</f>
        <v>57.428650000000005</v>
      </c>
      <c r="AQ29" s="95">
        <f>'Inflation GDP Population'!AQ2</f>
        <v>57.212560000000003</v>
      </c>
      <c r="AR29" s="95">
        <f>'Inflation GDP Population'!AR2</f>
        <v>56.957370000000004</v>
      </c>
      <c r="AS29" s="95">
        <f>'Inflation GDP Population'!AS2</f>
        <v>56.726020000000005</v>
      </c>
      <c r="AT29" s="95">
        <f>'Inflation GDP Population'!AT2</f>
        <v>56.532699999999998</v>
      </c>
      <c r="AU29" s="95">
        <f>'Inflation GDP Population'!AU2</f>
        <v>56.329940000000001</v>
      </c>
      <c r="AV29" s="95">
        <f>'Inflation GDP Population'!AV2</f>
        <v>56.008069999999996</v>
      </c>
      <c r="AW29" s="95">
        <f>'Inflation GDP Population'!AW2</f>
        <v>55.853279999999998</v>
      </c>
      <c r="AX29" s="95">
        <f>'Inflation GDP Population'!AX2</f>
        <v>56.44464</v>
      </c>
      <c r="AY29" s="95">
        <f>'Inflation GDP Population'!AY2</f>
        <v>56.523910000000001</v>
      </c>
      <c r="AZ29" s="95">
        <f>'Inflation GDP Population'!AZ2</f>
        <v>56.24409</v>
      </c>
    </row>
    <row r="30" spans="1:52" ht="15" customHeight="1">
      <c r="A30" s="93" t="s">
        <v>128</v>
      </c>
      <c r="B30" s="95">
        <f>'Inflation GDP Population'!B3</f>
        <v>66.936599999999999</v>
      </c>
      <c r="C30" s="95">
        <f>'Inflation GDP Population'!C3</f>
        <v>68.562700000000007</v>
      </c>
      <c r="D30" s="95">
        <f>'Inflation GDP Population'!D3</f>
        <v>61.9876</v>
      </c>
      <c r="E30" s="95">
        <f>'Inflation GDP Population'!E3</f>
        <v>75.349900000000005</v>
      </c>
      <c r="F30" s="95">
        <f>'Inflation GDP Population'!F3</f>
        <v>79.167699999999996</v>
      </c>
      <c r="G30" s="95">
        <f>'Inflation GDP Population'!G3</f>
        <v>95.852900000000005</v>
      </c>
      <c r="H30" s="95">
        <f>'Inflation GDP Population'!H3</f>
        <v>86.237700000000004</v>
      </c>
      <c r="I30" s="95">
        <f>'Inflation GDP Population'!I3</f>
        <v>87.651700000000005</v>
      </c>
      <c r="J30" s="95">
        <f>'Inflation GDP Population'!J3</f>
        <v>101.43819999999999</v>
      </c>
      <c r="K30" s="95">
        <f>'Inflation GDP Population'!K3</f>
        <v>70.825099999999992</v>
      </c>
      <c r="L30" s="95">
        <f>'Inflation GDP Population'!L3</f>
        <v>73.228899999999996</v>
      </c>
      <c r="M30" s="95">
        <f>'Inflation GDP Population'!M3</f>
        <v>70.542299999999997</v>
      </c>
      <c r="N30" s="95">
        <f>'Inflation GDP Population'!N3</f>
        <v>60.997799999999998</v>
      </c>
      <c r="O30" s="95">
        <f>'Inflation GDP Population'!O3</f>
        <v>67.714300000000009</v>
      </c>
      <c r="P30" s="95">
        <f>'Inflation GDP Population'!P3</f>
        <v>72.663299999999992</v>
      </c>
      <c r="Q30" s="95">
        <f>'Inflation GDP Population'!Q3</f>
        <v>59.866599999999998</v>
      </c>
      <c r="R30" s="95">
        <f>'Inflation GDP Population'!R3</f>
        <v>64.069999999999993</v>
      </c>
      <c r="S30" s="95">
        <f>'Inflation GDP Population'!S3</f>
        <v>62.54</v>
      </c>
      <c r="T30" s="95">
        <f>'Inflation GDP Population'!T3</f>
        <v>64.2</v>
      </c>
      <c r="U30" s="95">
        <f>'Inflation GDP Population'!U3</f>
        <v>65.09</v>
      </c>
      <c r="V30" s="95">
        <f>'Inflation GDP Population'!V3</f>
        <v>67.893280000000004</v>
      </c>
      <c r="W30" s="95">
        <f>'Inflation GDP Population'!W3</f>
        <v>68.408230000000003</v>
      </c>
      <c r="X30" s="95">
        <f>'Inflation GDP Population'!X3</f>
        <v>69.039839999999998</v>
      </c>
      <c r="Y30" s="95">
        <f>'Inflation GDP Population'!Y3</f>
        <v>70.165930000000003</v>
      </c>
      <c r="Z30" s="95">
        <f>'Inflation GDP Population'!Z3</f>
        <v>71.499539999999996</v>
      </c>
      <c r="AA30" s="95">
        <f>'Inflation GDP Population'!AA3</f>
        <v>73.516589999999994</v>
      </c>
      <c r="AB30" s="95">
        <f>'Inflation GDP Population'!AB3</f>
        <v>74.703620000000001</v>
      </c>
      <c r="AC30" s="95">
        <f>'Inflation GDP Population'!AC3</f>
        <v>76.171610000000001</v>
      </c>
      <c r="AD30" s="95">
        <f>'Inflation GDP Population'!AD3</f>
        <v>77.509479999999996</v>
      </c>
      <c r="AE30" s="95">
        <f>'Inflation GDP Population'!AE3</f>
        <v>78.937030000000007</v>
      </c>
      <c r="AF30" s="95">
        <f>'Inflation GDP Population'!AF3</f>
        <v>80.394760000000005</v>
      </c>
      <c r="AG30" s="95">
        <f>'Inflation GDP Population'!AG3</f>
        <v>81.999220000000008</v>
      </c>
      <c r="AH30" s="95">
        <f>'Inflation GDP Population'!AH3</f>
        <v>83.288150000000002</v>
      </c>
      <c r="AI30" s="95">
        <f>'Inflation GDP Population'!AI3</f>
        <v>84.552180000000007</v>
      </c>
      <c r="AJ30" s="95">
        <f>'Inflation GDP Population'!AJ3</f>
        <v>85.842559999999992</v>
      </c>
      <c r="AK30" s="95">
        <f>'Inflation GDP Population'!AK3</f>
        <v>87.282499999999999</v>
      </c>
      <c r="AL30" s="95">
        <f>'Inflation GDP Population'!AL3</f>
        <v>89.091559999999987</v>
      </c>
      <c r="AM30" s="95">
        <f>'Inflation GDP Population'!AM3</f>
        <v>90.845109999999991</v>
      </c>
      <c r="AN30" s="95">
        <f>'Inflation GDP Population'!AN3</f>
        <v>92.884870000000006</v>
      </c>
      <c r="AO30" s="95">
        <f>'Inflation GDP Population'!AO3</f>
        <v>94.960380000000001</v>
      </c>
      <c r="AP30" s="95">
        <f>'Inflation GDP Population'!AP3</f>
        <v>96.898049999999998</v>
      </c>
      <c r="AQ30" s="95">
        <f>'Inflation GDP Population'!AQ3</f>
        <v>98.792919999999995</v>
      </c>
      <c r="AR30" s="95">
        <f>'Inflation GDP Population'!AR3</f>
        <v>100.67492</v>
      </c>
      <c r="AS30" s="95">
        <f>'Inflation GDP Population'!AS3</f>
        <v>102.66981</v>
      </c>
      <c r="AT30" s="95">
        <f>'Inflation GDP Population'!AT3</f>
        <v>104.79813999999999</v>
      </c>
      <c r="AU30" s="95">
        <f>'Inflation GDP Population'!AU3</f>
        <v>106.98112999999999</v>
      </c>
      <c r="AV30" s="95">
        <f>'Inflation GDP Population'!AV3</f>
        <v>108.97937999999999</v>
      </c>
      <c r="AW30" s="95">
        <f>'Inflation GDP Population'!AW3</f>
        <v>111.37461999999999</v>
      </c>
      <c r="AX30" s="95">
        <f>'Inflation GDP Population'!AX3</f>
        <v>115.38930999999999</v>
      </c>
      <c r="AY30" s="95">
        <f>'Inflation GDP Population'!AY3</f>
        <v>118.46299999999999</v>
      </c>
      <c r="AZ30" s="95">
        <f>'Inflation GDP Population'!AZ3</f>
        <v>120.87941000000001</v>
      </c>
    </row>
    <row r="31" spans="1:52" ht="15" customHeight="1">
      <c r="A31" s="93" t="s">
        <v>200</v>
      </c>
      <c r="B31" s="95">
        <f>'Inflation GDP Population'!B6</f>
        <v>249.42381743242936</v>
      </c>
      <c r="C31" s="95">
        <f>'Inflation GDP Population'!C6</f>
        <v>249.42381743242936</v>
      </c>
      <c r="D31" s="95">
        <f>'Inflation GDP Population'!D6</f>
        <v>212.30935999593964</v>
      </c>
      <c r="E31" s="95">
        <f>'Inflation GDP Population'!E6</f>
        <v>237.66760226833327</v>
      </c>
      <c r="F31" s="95">
        <f>'Inflation GDP Population'!F6</f>
        <v>220.23504466814359</v>
      </c>
      <c r="G31" s="95">
        <f>'Inflation GDP Population'!G6</f>
        <v>209.12836148006616</v>
      </c>
      <c r="H31" s="95">
        <f>'Inflation GDP Population'!H6</f>
        <v>211.59768970387361</v>
      </c>
      <c r="I31" s="95">
        <f>'Inflation GDP Population'!I6</f>
        <v>188.06133685911675</v>
      </c>
      <c r="J31" s="95">
        <f>'Inflation GDP Population'!J6</f>
        <v>193.32266131097848</v>
      </c>
      <c r="K31" s="95">
        <f>'Inflation GDP Population'!K6</f>
        <v>199.4647867495035</v>
      </c>
      <c r="L31" s="95">
        <f>'Inflation GDP Population'!L6</f>
        <v>173.31290070365006</v>
      </c>
      <c r="M31" s="95">
        <f>'Inflation GDP Population'!M6</f>
        <v>178.35875616907168</v>
      </c>
      <c r="N31" s="95">
        <f>'Inflation GDP Population'!N6</f>
        <v>177.8197296736019</v>
      </c>
      <c r="O31" s="95">
        <f>'Inflation GDP Population'!O6</f>
        <v>169.91941033722733</v>
      </c>
      <c r="P31" s="95">
        <f>'Inflation GDP Population'!P6</f>
        <v>176.58026242431168</v>
      </c>
      <c r="Q31" s="95">
        <f>'Inflation GDP Population'!Q6</f>
        <v>173.86917257639584</v>
      </c>
      <c r="R31" s="95">
        <f>'Inflation GDP Population'!R6</f>
        <v>163.34115784620988</v>
      </c>
      <c r="S31" s="95">
        <f>'Inflation GDP Population'!S6</f>
        <v>167.66313082610094</v>
      </c>
      <c r="T31" s="95">
        <f>'Inflation GDP Population'!T6</f>
        <v>160.82288653166182</v>
      </c>
      <c r="U31" s="95">
        <f>'Inflation GDP Population'!U6</f>
        <v>161.49148183863707</v>
      </c>
      <c r="V31" s="95">
        <f>'Inflation GDP Population'!V6</f>
        <v>160</v>
      </c>
      <c r="W31" s="95">
        <f>'Inflation GDP Population'!W6</f>
        <v>157.32450677092081</v>
      </c>
      <c r="X31" s="95">
        <f>'Inflation GDP Population'!X6</f>
        <v>155.03762009162398</v>
      </c>
      <c r="Y31" s="95">
        <f>'Inflation GDP Population'!Y6</f>
        <v>153.76967137245902</v>
      </c>
      <c r="Z31" s="95">
        <f>'Inflation GDP Population'!Z6</f>
        <v>152.9786960202361</v>
      </c>
      <c r="AA31" s="95">
        <f>'Inflation GDP Population'!AA6</f>
        <v>153.62633143944248</v>
      </c>
      <c r="AB31" s="95">
        <f>'Inflation GDP Population'!AB6</f>
        <v>152.60797533925759</v>
      </c>
      <c r="AC31" s="95">
        <f>'Inflation GDP Population'!AC6</f>
        <v>152.18104192775266</v>
      </c>
      <c r="AD31" s="95">
        <f>'Inflation GDP Population'!AD6</f>
        <v>151.5835729552762</v>
      </c>
      <c r="AE31" s="95">
        <f>'Inflation GDP Population'!AE6</f>
        <v>151.15041617216482</v>
      </c>
      <c r="AF31" s="95">
        <f>'Inflation GDP Population'!AF6</f>
        <v>150.7060775587687</v>
      </c>
      <c r="AG31" s="95">
        <f>'Inflation GDP Population'!AG6</f>
        <v>150.42901103098947</v>
      </c>
      <c r="AH31" s="95">
        <f>'Inflation GDP Population'!AH6</f>
        <v>149.50810382278826</v>
      </c>
      <c r="AI31" s="95">
        <f>'Inflation GDP Population'!AI6</f>
        <v>148.47727568113191</v>
      </c>
      <c r="AJ31" s="95">
        <f>'Inflation GDP Population'!AJ6</f>
        <v>147.43744135942725</v>
      </c>
      <c r="AK31" s="95">
        <f>'Inflation GDP Population'!AK6</f>
        <v>146.59174587393312</v>
      </c>
      <c r="AL31" s="95">
        <f>'Inflation GDP Population'!AL6</f>
        <v>146.2802990127671</v>
      </c>
      <c r="AM31" s="95">
        <f>'Inflation GDP Population'!AM6</f>
        <v>145.81739147758594</v>
      </c>
      <c r="AN31" s="95">
        <f>'Inflation GDP Population'!AN6</f>
        <v>145.76406274853568</v>
      </c>
      <c r="AO31" s="95">
        <f>'Inflation GDP Population'!AO6</f>
        <v>145.67536705401466</v>
      </c>
      <c r="AP31" s="95">
        <f>'Inflation GDP Population'!AP6</f>
        <v>145.28448366096166</v>
      </c>
      <c r="AQ31" s="95">
        <f>'Inflation GDP Population'!AQ6</f>
        <v>144.73781359167921</v>
      </c>
      <c r="AR31" s="95">
        <f>'Inflation GDP Population'!AR6</f>
        <v>144.09222733141641</v>
      </c>
      <c r="AS31" s="95">
        <f>'Inflation GDP Population'!AS6</f>
        <v>143.50695211956722</v>
      </c>
      <c r="AT31" s="95">
        <f>'Inflation GDP Population'!AT6</f>
        <v>143.01788618503213</v>
      </c>
      <c r="AU31" s="95">
        <f>'Inflation GDP Population'!AU6</f>
        <v>142.50493869441382</v>
      </c>
      <c r="AV31" s="95">
        <f>'Inflation GDP Population'!AV6</f>
        <v>141.69066364605462</v>
      </c>
      <c r="AW31" s="95">
        <f>'Inflation GDP Population'!AW6</f>
        <v>141.29907190176183</v>
      </c>
      <c r="AX31" s="95">
        <f>'Inflation GDP Population'!AX6</f>
        <v>142.79510972012858</v>
      </c>
      <c r="AY31" s="95">
        <f>'Inflation GDP Population'!AY6</f>
        <v>142.9956490157555</v>
      </c>
      <c r="AZ31" s="95">
        <f>'Inflation GDP Population'!AZ6</f>
        <v>142.28775314465267</v>
      </c>
    </row>
    <row r="32" spans="1:52" ht="15" customHeight="1">
      <c r="A32" s="93" t="s">
        <v>130</v>
      </c>
      <c r="B32" s="95">
        <f>'Inflation GDP Population'!B7</f>
        <v>164.53919188815482</v>
      </c>
      <c r="C32" s="95">
        <f>'Inflation GDP Population'!C7</f>
        <v>164.53919188815482</v>
      </c>
      <c r="D32" s="95">
        <f>'Inflation GDP Population'!D7</f>
        <v>168.53636503303116</v>
      </c>
      <c r="E32" s="95">
        <f>'Inflation GDP Population'!E7</f>
        <v>152.37388231679211</v>
      </c>
      <c r="F32" s="95">
        <f>'Inflation GDP Population'!F7</f>
        <v>185.2202181594715</v>
      </c>
      <c r="G32" s="95">
        <f>'Inflation GDP Population'!G7</f>
        <v>194.60488554309416</v>
      </c>
      <c r="H32" s="95">
        <f>'Inflation GDP Population'!H7</f>
        <v>235.61935781225995</v>
      </c>
      <c r="I32" s="95">
        <f>'Inflation GDP Population'!I7</f>
        <v>211.9838992164695</v>
      </c>
      <c r="J32" s="95">
        <f>'Inflation GDP Population'!J7</f>
        <v>215.45970195114458</v>
      </c>
      <c r="K32" s="95">
        <f>'Inflation GDP Population'!K7</f>
        <v>249.34877861422646</v>
      </c>
      <c r="L32" s="95">
        <f>'Inflation GDP Population'!L7</f>
        <v>174.09764940851127</v>
      </c>
      <c r="M32" s="95">
        <f>'Inflation GDP Population'!M7</f>
        <v>180.0065140574589</v>
      </c>
      <c r="N32" s="95">
        <f>'Inflation GDP Population'!N7</f>
        <v>173.40248886157627</v>
      </c>
      <c r="O32" s="95">
        <f>'Inflation GDP Population'!O7</f>
        <v>149.94082040251959</v>
      </c>
      <c r="P32" s="95">
        <f>'Inflation GDP Population'!P7</f>
        <v>166.45088339222616</v>
      </c>
      <c r="Q32" s="95">
        <f>'Inflation GDP Population'!Q7</f>
        <v>178.61619296358887</v>
      </c>
      <c r="R32" s="95">
        <f>'Inflation GDP Population'!R7</f>
        <v>147.16017821477953</v>
      </c>
      <c r="S32" s="95">
        <f>'Inflation GDP Population'!S7</f>
        <v>157.49270241204485</v>
      </c>
      <c r="T32" s="95">
        <f>'Inflation GDP Population'!T7</f>
        <v>153.73175603011217</v>
      </c>
      <c r="U32" s="95">
        <f>'Inflation GDP Population'!U7</f>
        <v>157.81225994776466</v>
      </c>
      <c r="V32" s="95">
        <f>'Inflation GDP Population'!V7</f>
        <v>160</v>
      </c>
      <c r="W32" s="95">
        <f>'Inflation GDP Population'!W7</f>
        <v>161.21355162101463</v>
      </c>
      <c r="X32" s="95">
        <f>'Inflation GDP Population'!X7</f>
        <v>162.70202883113024</v>
      </c>
      <c r="Y32" s="95">
        <f>'Inflation GDP Population'!Y7</f>
        <v>165.35581724730341</v>
      </c>
      <c r="Z32" s="95">
        <f>'Inflation GDP Population'!Z7</f>
        <v>168.49865553704282</v>
      </c>
      <c r="AA32" s="95">
        <f>'Inflation GDP Population'!AA7</f>
        <v>173.25211567330371</v>
      </c>
      <c r="AB32" s="95">
        <f>'Inflation GDP Population'!AB7</f>
        <v>176.04951771368238</v>
      </c>
      <c r="AC32" s="95">
        <f>'Inflation GDP Population'!AC7</f>
        <v>179.50904124826488</v>
      </c>
      <c r="AD32" s="95">
        <f>'Inflation GDP Population'!AD7</f>
        <v>182.66191882318833</v>
      </c>
      <c r="AE32" s="95">
        <f>'Inflation GDP Population'!AE7</f>
        <v>186.02613984771389</v>
      </c>
      <c r="AF32" s="95">
        <f>'Inflation GDP Population'!AF7</f>
        <v>189.46148425882495</v>
      </c>
      <c r="AG32" s="95">
        <f>'Inflation GDP Population'!AG7</f>
        <v>193.24261841525399</v>
      </c>
      <c r="AH32" s="95">
        <f>'Inflation GDP Population'!AH7</f>
        <v>196.28016204254669</v>
      </c>
      <c r="AI32" s="95">
        <f>'Inflation GDP Population'!AI7</f>
        <v>199.25902534094678</v>
      </c>
      <c r="AJ32" s="95">
        <f>'Inflation GDP Population'!AJ7</f>
        <v>202.29998609582557</v>
      </c>
      <c r="AK32" s="95">
        <f>'Inflation GDP Population'!AK7</f>
        <v>205.69340588641461</v>
      </c>
      <c r="AL32" s="95">
        <f>'Inflation GDP Population'!AL7</f>
        <v>209.95670852844336</v>
      </c>
      <c r="AM32" s="95">
        <f>'Inflation GDP Population'!AM7</f>
        <v>214.08919409991671</v>
      </c>
      <c r="AN32" s="95">
        <f>'Inflation GDP Population'!AN7</f>
        <v>218.89617352409539</v>
      </c>
      <c r="AO32" s="95">
        <f>'Inflation GDP Population'!AO7</f>
        <v>223.78740281806967</v>
      </c>
      <c r="AP32" s="95">
        <f>'Inflation GDP Population'!AP7</f>
        <v>228.35379289378849</v>
      </c>
      <c r="AQ32" s="95">
        <f>'Inflation GDP Population'!AQ7</f>
        <v>232.81931878972398</v>
      </c>
      <c r="AR32" s="95">
        <f>'Inflation GDP Population'!AR7</f>
        <v>237.25451473253304</v>
      </c>
      <c r="AS32" s="95">
        <f>'Inflation GDP Population'!AS7</f>
        <v>241.95575173271919</v>
      </c>
      <c r="AT32" s="95">
        <f>'Inflation GDP Population'!AT7</f>
        <v>246.97145873641676</v>
      </c>
      <c r="AU32" s="95">
        <f>'Inflation GDP Population'!AU7</f>
        <v>252.11597966691241</v>
      </c>
      <c r="AV32" s="95">
        <f>'Inflation GDP Population'!AV7</f>
        <v>256.82513497653952</v>
      </c>
      <c r="AW32" s="95">
        <f>'Inflation GDP Population'!AW7</f>
        <v>262.4698526864513</v>
      </c>
      <c r="AX32" s="95">
        <f>'Inflation GDP Population'!AX7</f>
        <v>271.93103058211346</v>
      </c>
      <c r="AY32" s="95">
        <f>'Inflation GDP Population'!AY7</f>
        <v>279.1746105063711</v>
      </c>
      <c r="AZ32" s="95">
        <f>'Inflation GDP Population'!AZ7</f>
        <v>284.86921827904024</v>
      </c>
    </row>
    <row r="33" spans="1:53" ht="15" customHeight="1">
      <c r="A33" s="93" t="s">
        <v>812</v>
      </c>
      <c r="B33" s="253">
        <v>0</v>
      </c>
      <c r="C33" s="253">
        <v>0</v>
      </c>
      <c r="D33" s="253">
        <v>0</v>
      </c>
      <c r="E33" s="253">
        <v>0</v>
      </c>
      <c r="F33" s="253">
        <v>0</v>
      </c>
      <c r="G33" s="253">
        <v>0</v>
      </c>
      <c r="H33" s="253">
        <v>0</v>
      </c>
      <c r="I33" s="253">
        <f t="shared" ref="I33:U33" si="17">J33</f>
        <v>0.19</v>
      </c>
      <c r="J33" s="253">
        <f t="shared" si="17"/>
        <v>0.19</v>
      </c>
      <c r="K33" s="253">
        <f t="shared" si="17"/>
        <v>0.19</v>
      </c>
      <c r="L33" s="253">
        <f t="shared" si="17"/>
        <v>0.19</v>
      </c>
      <c r="M33" s="253">
        <f t="shared" si="17"/>
        <v>0.19</v>
      </c>
      <c r="N33" s="253">
        <f t="shared" si="17"/>
        <v>0.19</v>
      </c>
      <c r="O33" s="253">
        <f t="shared" si="17"/>
        <v>0.19</v>
      </c>
      <c r="P33" s="253">
        <f t="shared" si="17"/>
        <v>0.19</v>
      </c>
      <c r="Q33" s="253">
        <f t="shared" si="17"/>
        <v>0.19</v>
      </c>
      <c r="R33" s="253">
        <f t="shared" si="17"/>
        <v>0.19</v>
      </c>
      <c r="S33" s="253">
        <f t="shared" si="17"/>
        <v>0.19</v>
      </c>
      <c r="T33" s="253">
        <f t="shared" si="17"/>
        <v>0.19</v>
      </c>
      <c r="U33" s="253">
        <f t="shared" si="17"/>
        <v>0.19</v>
      </c>
      <c r="V33" s="254">
        <v>0.19</v>
      </c>
      <c r="W33" s="102">
        <f t="shared" ref="W33:AZ33" si="18">V33</f>
        <v>0.19</v>
      </c>
      <c r="X33" s="102">
        <f t="shared" si="18"/>
        <v>0.19</v>
      </c>
      <c r="Y33" s="102">
        <f t="shared" si="18"/>
        <v>0.19</v>
      </c>
      <c r="Z33" s="102">
        <f t="shared" si="18"/>
        <v>0.19</v>
      </c>
      <c r="AA33" s="102">
        <f t="shared" si="18"/>
        <v>0.19</v>
      </c>
      <c r="AB33" s="102">
        <f t="shared" si="18"/>
        <v>0.19</v>
      </c>
      <c r="AC33" s="102">
        <f t="shared" si="18"/>
        <v>0.19</v>
      </c>
      <c r="AD33" s="102">
        <f t="shared" si="18"/>
        <v>0.19</v>
      </c>
      <c r="AE33" s="102">
        <f t="shared" si="18"/>
        <v>0.19</v>
      </c>
      <c r="AF33" s="102">
        <f t="shared" si="18"/>
        <v>0.19</v>
      </c>
      <c r="AG33" s="102">
        <f t="shared" si="18"/>
        <v>0.19</v>
      </c>
      <c r="AH33" s="102">
        <f t="shared" si="18"/>
        <v>0.19</v>
      </c>
      <c r="AI33" s="102">
        <f t="shared" si="18"/>
        <v>0.19</v>
      </c>
      <c r="AJ33" s="102">
        <f t="shared" si="18"/>
        <v>0.19</v>
      </c>
      <c r="AK33" s="102">
        <f t="shared" si="18"/>
        <v>0.19</v>
      </c>
      <c r="AL33" s="102">
        <f t="shared" si="18"/>
        <v>0.19</v>
      </c>
      <c r="AM33" s="102">
        <f t="shared" si="18"/>
        <v>0.19</v>
      </c>
      <c r="AN33" s="102">
        <f t="shared" si="18"/>
        <v>0.19</v>
      </c>
      <c r="AO33" s="102">
        <f t="shared" si="18"/>
        <v>0.19</v>
      </c>
      <c r="AP33" s="102">
        <f t="shared" si="18"/>
        <v>0.19</v>
      </c>
      <c r="AQ33" s="102">
        <f t="shared" si="18"/>
        <v>0.19</v>
      </c>
      <c r="AR33" s="102">
        <f t="shared" si="18"/>
        <v>0.19</v>
      </c>
      <c r="AS33" s="102">
        <f t="shared" si="18"/>
        <v>0.19</v>
      </c>
      <c r="AT33" s="102">
        <f t="shared" si="18"/>
        <v>0.19</v>
      </c>
      <c r="AU33" s="102">
        <f t="shared" si="18"/>
        <v>0.19</v>
      </c>
      <c r="AV33" s="102">
        <f t="shared" si="18"/>
        <v>0.19</v>
      </c>
      <c r="AW33" s="102">
        <f t="shared" si="18"/>
        <v>0.19</v>
      </c>
      <c r="AX33" s="102">
        <f t="shared" si="18"/>
        <v>0.19</v>
      </c>
      <c r="AY33" s="102">
        <f t="shared" si="18"/>
        <v>0.19</v>
      </c>
      <c r="AZ33" s="102">
        <f t="shared" si="18"/>
        <v>0.19</v>
      </c>
    </row>
    <row r="34" spans="1:53" ht="15.75" customHeight="1">
      <c r="A34" s="93" t="s">
        <v>137</v>
      </c>
      <c r="B34" s="330">
        <f t="shared" ref="B34:U34" si="19">C34</f>
        <v>0.02</v>
      </c>
      <c r="C34" s="330">
        <f t="shared" si="19"/>
        <v>0.02</v>
      </c>
      <c r="D34" s="330">
        <f t="shared" si="19"/>
        <v>0.02</v>
      </c>
      <c r="E34" s="330">
        <f t="shared" si="19"/>
        <v>0.02</v>
      </c>
      <c r="F34" s="330">
        <f t="shared" si="19"/>
        <v>0.02</v>
      </c>
      <c r="G34" s="330">
        <f t="shared" si="19"/>
        <v>0.02</v>
      </c>
      <c r="H34" s="330">
        <f t="shared" si="19"/>
        <v>0.02</v>
      </c>
      <c r="I34" s="330">
        <f t="shared" si="19"/>
        <v>0.02</v>
      </c>
      <c r="J34" s="330">
        <f t="shared" si="19"/>
        <v>0.02</v>
      </c>
      <c r="K34" s="330">
        <f t="shared" si="19"/>
        <v>0.02</v>
      </c>
      <c r="L34" s="330">
        <f t="shared" si="19"/>
        <v>0.02</v>
      </c>
      <c r="M34" s="330">
        <f t="shared" si="19"/>
        <v>0.02</v>
      </c>
      <c r="N34" s="330">
        <f t="shared" si="19"/>
        <v>0.02</v>
      </c>
      <c r="O34" s="330">
        <f t="shared" si="19"/>
        <v>0.02</v>
      </c>
      <c r="P34" s="330">
        <f t="shared" si="19"/>
        <v>0.02</v>
      </c>
      <c r="Q34" s="330">
        <f t="shared" si="19"/>
        <v>0.02</v>
      </c>
      <c r="R34" s="330">
        <f t="shared" si="19"/>
        <v>0.02</v>
      </c>
      <c r="S34" s="330">
        <f t="shared" si="19"/>
        <v>0.02</v>
      </c>
      <c r="T34" s="330">
        <f t="shared" si="19"/>
        <v>0.02</v>
      </c>
      <c r="U34" s="330">
        <f t="shared" si="19"/>
        <v>0.02</v>
      </c>
      <c r="V34" s="252">
        <f>Inputs!B19</f>
        <v>0.02</v>
      </c>
      <c r="W34" s="331">
        <f t="shared" ref="W34:AZ34" si="20">V34</f>
        <v>0.02</v>
      </c>
      <c r="X34" s="331">
        <f t="shared" si="20"/>
        <v>0.02</v>
      </c>
      <c r="Y34" s="331">
        <f t="shared" si="20"/>
        <v>0.02</v>
      </c>
      <c r="Z34" s="331">
        <f t="shared" si="20"/>
        <v>0.02</v>
      </c>
      <c r="AA34" s="331">
        <f t="shared" si="20"/>
        <v>0.02</v>
      </c>
      <c r="AB34" s="331">
        <f t="shared" si="20"/>
        <v>0.02</v>
      </c>
      <c r="AC34" s="331">
        <f t="shared" si="20"/>
        <v>0.02</v>
      </c>
      <c r="AD34" s="331">
        <f t="shared" si="20"/>
        <v>0.02</v>
      </c>
      <c r="AE34" s="331">
        <f t="shared" si="20"/>
        <v>0.02</v>
      </c>
      <c r="AF34" s="331">
        <f t="shared" si="20"/>
        <v>0.02</v>
      </c>
      <c r="AG34" s="331">
        <f t="shared" si="20"/>
        <v>0.02</v>
      </c>
      <c r="AH34" s="331">
        <f t="shared" si="20"/>
        <v>0.02</v>
      </c>
      <c r="AI34" s="331">
        <f t="shared" si="20"/>
        <v>0.02</v>
      </c>
      <c r="AJ34" s="331">
        <f t="shared" si="20"/>
        <v>0.02</v>
      </c>
      <c r="AK34" s="331">
        <f t="shared" si="20"/>
        <v>0.02</v>
      </c>
      <c r="AL34" s="331">
        <f t="shared" si="20"/>
        <v>0.02</v>
      </c>
      <c r="AM34" s="331">
        <f t="shared" si="20"/>
        <v>0.02</v>
      </c>
      <c r="AN34" s="331">
        <f t="shared" si="20"/>
        <v>0.02</v>
      </c>
      <c r="AO34" s="331">
        <f t="shared" si="20"/>
        <v>0.02</v>
      </c>
      <c r="AP34" s="331">
        <f t="shared" si="20"/>
        <v>0.02</v>
      </c>
      <c r="AQ34" s="331">
        <f t="shared" si="20"/>
        <v>0.02</v>
      </c>
      <c r="AR34" s="331">
        <f t="shared" si="20"/>
        <v>0.02</v>
      </c>
      <c r="AS34" s="331">
        <f t="shared" si="20"/>
        <v>0.02</v>
      </c>
      <c r="AT34" s="331">
        <f t="shared" si="20"/>
        <v>0.02</v>
      </c>
      <c r="AU34" s="331">
        <f t="shared" si="20"/>
        <v>0.02</v>
      </c>
      <c r="AV34" s="331">
        <f t="shared" si="20"/>
        <v>0.02</v>
      </c>
      <c r="AW34" s="331">
        <f t="shared" si="20"/>
        <v>0.02</v>
      </c>
      <c r="AX34" s="331">
        <f t="shared" si="20"/>
        <v>0.02</v>
      </c>
      <c r="AY34" s="331">
        <f t="shared" si="20"/>
        <v>0.02</v>
      </c>
      <c r="AZ34" s="331">
        <f t="shared" si="20"/>
        <v>0.02</v>
      </c>
    </row>
    <row r="35" spans="1:53" ht="15.75" customHeight="1">
      <c r="A35" s="93"/>
      <c r="B35" s="93"/>
      <c r="C35" s="93"/>
      <c r="D35" s="93"/>
      <c r="E35" s="93"/>
      <c r="F35" s="93"/>
      <c r="G35" s="93"/>
      <c r="H35" s="93"/>
      <c r="I35" s="93"/>
      <c r="J35" s="93"/>
      <c r="K35" s="93"/>
      <c r="L35" s="93"/>
      <c r="M35" s="93"/>
      <c r="N35" s="93"/>
      <c r="O35" s="93"/>
      <c r="P35" s="93"/>
      <c r="Q35" s="93"/>
      <c r="R35" s="93"/>
      <c r="S35" s="93"/>
      <c r="T35" s="93"/>
      <c r="U35" s="93"/>
      <c r="V35" s="88"/>
      <c r="W35" s="331"/>
      <c r="X35" s="331"/>
      <c r="Y35" s="331"/>
      <c r="Z35" s="331"/>
      <c r="AA35" s="331"/>
      <c r="AB35" s="331"/>
      <c r="AC35" s="331"/>
      <c r="AD35" s="331"/>
      <c r="AE35" s="331"/>
      <c r="AF35" s="331"/>
      <c r="AG35" s="331"/>
      <c r="AH35" s="331"/>
      <c r="AI35" s="331"/>
      <c r="AJ35" s="331"/>
      <c r="AK35" s="331"/>
      <c r="AL35" s="331"/>
      <c r="AM35" s="331"/>
      <c r="AN35" s="331"/>
      <c r="AO35" s="331"/>
      <c r="AP35" s="331"/>
      <c r="AQ35" s="331"/>
      <c r="AR35" s="331"/>
      <c r="AS35" s="331"/>
      <c r="AT35" s="331"/>
      <c r="AU35" s="331"/>
      <c r="AV35" s="331"/>
      <c r="AW35" s="331"/>
      <c r="AX35" s="331"/>
      <c r="AY35" s="331"/>
      <c r="AZ35" s="331"/>
    </row>
    <row r="36" spans="1:53" ht="15.75" customHeight="1">
      <c r="A36" s="93" t="s">
        <v>140</v>
      </c>
      <c r="B36" s="93"/>
      <c r="C36" s="93"/>
      <c r="D36" s="93"/>
      <c r="E36" s="93"/>
      <c r="F36" s="93"/>
      <c r="G36" s="93"/>
      <c r="H36" s="93"/>
      <c r="I36" s="93"/>
      <c r="J36" s="93"/>
      <c r="K36" s="93"/>
      <c r="L36" s="93"/>
      <c r="M36" s="93"/>
      <c r="N36" s="93"/>
      <c r="O36" s="93"/>
      <c r="P36" s="93"/>
      <c r="Q36" s="93"/>
      <c r="R36" s="93"/>
      <c r="S36" s="93"/>
      <c r="T36" s="93"/>
      <c r="U36" s="93"/>
      <c r="W36">
        <f t="shared" ref="W36:BA36" si="21">SUM(W38:W111)</f>
        <v>6471.7000000000007</v>
      </c>
      <c r="X36">
        <f t="shared" si="21"/>
        <v>795.19999999999993</v>
      </c>
      <c r="Y36">
        <f t="shared" si="21"/>
        <v>606.49999999999989</v>
      </c>
      <c r="Z36">
        <f t="shared" si="21"/>
        <v>268.59999999999997</v>
      </c>
      <c r="AA36">
        <f t="shared" si="21"/>
        <v>35</v>
      </c>
      <c r="AB36">
        <f t="shared" si="21"/>
        <v>36.5</v>
      </c>
      <c r="AC36">
        <f t="shared" si="21"/>
        <v>75.699999999999989</v>
      </c>
      <c r="AD36">
        <f t="shared" si="21"/>
        <v>797.20000000000016</v>
      </c>
      <c r="AE36">
        <f t="shared" si="21"/>
        <v>342.69999999999993</v>
      </c>
      <c r="AF36">
        <f t="shared" si="21"/>
        <v>661.8</v>
      </c>
      <c r="AG36">
        <f t="shared" si="21"/>
        <v>499.09999999999985</v>
      </c>
      <c r="AH36">
        <f t="shared" si="21"/>
        <v>428.09999999999997</v>
      </c>
      <c r="AI36">
        <f t="shared" si="21"/>
        <v>740.80000000000018</v>
      </c>
      <c r="AJ36">
        <f t="shared" si="21"/>
        <v>1124.4999999999998</v>
      </c>
      <c r="AK36">
        <f t="shared" si="21"/>
        <v>991.70000000000016</v>
      </c>
      <c r="AL36">
        <f t="shared" si="21"/>
        <v>1053.4000000000001</v>
      </c>
      <c r="AM36">
        <f t="shared" si="21"/>
        <v>396.5</v>
      </c>
      <c r="AN36">
        <f t="shared" si="21"/>
        <v>57.7</v>
      </c>
      <c r="AO36">
        <f t="shared" si="21"/>
        <v>168.7</v>
      </c>
      <c r="AP36">
        <f t="shared" si="21"/>
        <v>787.70000000000016</v>
      </c>
      <c r="AQ36">
        <f t="shared" si="21"/>
        <v>1294.3999999999999</v>
      </c>
      <c r="AR36">
        <f t="shared" si="21"/>
        <v>1113.2999999999997</v>
      </c>
      <c r="AS36">
        <f t="shared" si="21"/>
        <v>1392.1000000000001</v>
      </c>
      <c r="AT36">
        <f t="shared" si="21"/>
        <v>1716.8000000000004</v>
      </c>
      <c r="AU36">
        <f t="shared" si="21"/>
        <v>1944.3999999999999</v>
      </c>
      <c r="AV36">
        <f t="shared" si="21"/>
        <v>1300.8000000000002</v>
      </c>
      <c r="AW36">
        <f t="shared" si="21"/>
        <v>1731.4000000000003</v>
      </c>
      <c r="AX36">
        <f t="shared" si="21"/>
        <v>1143.8</v>
      </c>
      <c r="AY36">
        <f t="shared" si="21"/>
        <v>1328.6000000000001</v>
      </c>
      <c r="AZ36">
        <f t="shared" si="21"/>
        <v>2692.2</v>
      </c>
      <c r="BA36">
        <f t="shared" si="21"/>
        <v>0</v>
      </c>
    </row>
    <row r="37" spans="1:53" ht="15.75" customHeight="1">
      <c r="A37" s="349" t="s">
        <v>757</v>
      </c>
      <c r="B37" s="349"/>
      <c r="C37" s="349"/>
      <c r="D37" s="349"/>
      <c r="E37" s="349"/>
      <c r="F37" s="349"/>
      <c r="G37" s="349"/>
      <c r="H37" s="349"/>
      <c r="I37" s="349"/>
      <c r="J37" s="349"/>
      <c r="K37" s="349"/>
      <c r="L37" s="349"/>
      <c r="M37" s="349"/>
      <c r="N37" s="349"/>
      <c r="O37" s="349"/>
      <c r="P37" s="349"/>
      <c r="Q37" s="349"/>
      <c r="R37" s="349"/>
      <c r="S37" s="349"/>
      <c r="T37" s="349"/>
      <c r="U37" s="349"/>
      <c r="V37" t="s">
        <v>758</v>
      </c>
      <c r="W37" s="42">
        <v>2020</v>
      </c>
      <c r="X37" s="42">
        <v>2021</v>
      </c>
      <c r="Y37" s="42">
        <v>2022</v>
      </c>
      <c r="Z37" s="42">
        <v>2023</v>
      </c>
      <c r="AA37" s="42">
        <v>2024</v>
      </c>
      <c r="AB37" s="42">
        <v>2025</v>
      </c>
      <c r="AC37" s="42">
        <v>2026</v>
      </c>
      <c r="AD37" s="42">
        <v>2027</v>
      </c>
      <c r="AE37" s="42">
        <v>2028</v>
      </c>
      <c r="AF37" s="42">
        <v>2029</v>
      </c>
      <c r="AG37" s="42">
        <v>2030</v>
      </c>
      <c r="AH37" s="42">
        <v>2031</v>
      </c>
      <c r="AI37" s="42">
        <v>2032</v>
      </c>
      <c r="AJ37" s="42">
        <v>2033</v>
      </c>
      <c r="AK37" s="42">
        <v>2034</v>
      </c>
      <c r="AL37" s="42">
        <v>2035</v>
      </c>
      <c r="AM37" s="42">
        <v>2036</v>
      </c>
      <c r="AN37" s="42">
        <v>2037</v>
      </c>
      <c r="AO37" s="42">
        <v>2038</v>
      </c>
      <c r="AP37" s="42">
        <v>2039</v>
      </c>
      <c r="AQ37" s="42">
        <v>2040</v>
      </c>
      <c r="AR37" s="42">
        <v>2041</v>
      </c>
      <c r="AS37" s="42">
        <v>2042</v>
      </c>
      <c r="AT37" s="42">
        <v>2043</v>
      </c>
      <c r="AU37" s="42">
        <v>2044</v>
      </c>
      <c r="AV37" s="42">
        <v>2045</v>
      </c>
      <c r="AW37" s="42">
        <v>2046</v>
      </c>
      <c r="AX37" s="42">
        <v>2047</v>
      </c>
      <c r="AY37" s="42">
        <v>2048</v>
      </c>
      <c r="AZ37" s="42">
        <v>2049</v>
      </c>
      <c r="BA37" s="42">
        <v>2050</v>
      </c>
    </row>
    <row r="38" spans="1:53" ht="15.75" customHeight="1">
      <c r="A38" s="350">
        <v>1891</v>
      </c>
      <c r="B38" s="350"/>
      <c r="C38" s="350"/>
      <c r="D38" s="350"/>
      <c r="E38" s="350"/>
      <c r="F38" s="350"/>
      <c r="G38" s="350"/>
      <c r="H38" s="350"/>
      <c r="I38" s="350"/>
      <c r="J38" s="350"/>
      <c r="K38" s="350"/>
      <c r="L38" s="350"/>
      <c r="M38" s="350"/>
      <c r="N38" s="350"/>
      <c r="O38" s="350"/>
      <c r="P38" s="350"/>
      <c r="Q38" s="350"/>
      <c r="R38" s="350"/>
      <c r="S38" s="350"/>
      <c r="T38" s="350"/>
      <c r="U38" s="350"/>
      <c r="V38" s="86">
        <v>3.4</v>
      </c>
      <c r="W38">
        <f t="shared" ref="W38:W161" si="22">IF(W$37-$A38&gt;$V$25,$V38,0)</f>
        <v>3.4</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spans="1:53" ht="15.75" customHeight="1">
      <c r="A39" s="350">
        <v>1893</v>
      </c>
      <c r="B39" s="350"/>
      <c r="C39" s="350"/>
      <c r="D39" s="350"/>
      <c r="E39" s="350"/>
      <c r="F39" s="350"/>
      <c r="G39" s="350"/>
      <c r="H39" s="350"/>
      <c r="I39" s="350"/>
      <c r="J39" s="350"/>
      <c r="K39" s="350"/>
      <c r="L39" s="350"/>
      <c r="M39" s="350"/>
      <c r="N39" s="350"/>
      <c r="O39" s="350"/>
      <c r="P39" s="350"/>
      <c r="Q39" s="350"/>
      <c r="R39" s="350"/>
      <c r="S39" s="350"/>
      <c r="T39" s="350"/>
      <c r="U39" s="350"/>
      <c r="V39" s="86">
        <v>0.6</v>
      </c>
      <c r="W39">
        <f t="shared" si="22"/>
        <v>0.6</v>
      </c>
      <c r="X39">
        <f t="shared" ref="X39:BA39" si="24">IF(AND(X$37-$A39&gt;$V$25,SUM($W39:W39)&lt;&gt;$V39),$V39,0)</f>
        <v>0</v>
      </c>
      <c r="Y39">
        <f t="shared" si="24"/>
        <v>0</v>
      </c>
      <c r="Z39">
        <f t="shared" si="24"/>
        <v>0</v>
      </c>
      <c r="AA39">
        <f t="shared" si="24"/>
        <v>0</v>
      </c>
      <c r="AB39">
        <f t="shared" si="24"/>
        <v>0</v>
      </c>
      <c r="AC39">
        <f t="shared" si="24"/>
        <v>0</v>
      </c>
      <c r="AD39">
        <f t="shared" si="24"/>
        <v>0</v>
      </c>
      <c r="AE39">
        <f t="shared" si="24"/>
        <v>0</v>
      </c>
      <c r="AF39">
        <f t="shared" si="24"/>
        <v>0</v>
      </c>
      <c r="AG39">
        <f t="shared" si="24"/>
        <v>0</v>
      </c>
      <c r="AH39">
        <f t="shared" si="24"/>
        <v>0</v>
      </c>
      <c r="AI39">
        <f t="shared" si="24"/>
        <v>0</v>
      </c>
      <c r="AJ39">
        <f t="shared" si="24"/>
        <v>0</v>
      </c>
      <c r="AK39">
        <f t="shared" si="24"/>
        <v>0</v>
      </c>
      <c r="AL39">
        <f t="shared" si="24"/>
        <v>0</v>
      </c>
      <c r="AM39">
        <f t="shared" si="24"/>
        <v>0</v>
      </c>
      <c r="AN39">
        <f t="shared" si="24"/>
        <v>0</v>
      </c>
      <c r="AO39">
        <f t="shared" si="24"/>
        <v>0</v>
      </c>
      <c r="AP39">
        <f t="shared" si="24"/>
        <v>0</v>
      </c>
      <c r="AQ39">
        <f t="shared" si="24"/>
        <v>0</v>
      </c>
      <c r="AR39">
        <f t="shared" si="24"/>
        <v>0</v>
      </c>
      <c r="AS39">
        <f t="shared" si="24"/>
        <v>0</v>
      </c>
      <c r="AT39">
        <f t="shared" si="24"/>
        <v>0</v>
      </c>
      <c r="AU39">
        <f t="shared" si="24"/>
        <v>0</v>
      </c>
      <c r="AV39">
        <f t="shared" si="24"/>
        <v>0</v>
      </c>
      <c r="AW39">
        <f t="shared" si="24"/>
        <v>0</v>
      </c>
      <c r="AX39">
        <f t="shared" si="24"/>
        <v>0</v>
      </c>
      <c r="AY39">
        <f t="shared" si="24"/>
        <v>0</v>
      </c>
      <c r="AZ39">
        <f t="shared" si="24"/>
        <v>0</v>
      </c>
      <c r="BA39">
        <f t="shared" si="24"/>
        <v>0</v>
      </c>
    </row>
    <row r="40" spans="1:53" ht="15.75" customHeight="1">
      <c r="A40" s="350">
        <v>1896</v>
      </c>
      <c r="B40" s="350"/>
      <c r="C40" s="350"/>
      <c r="D40" s="350"/>
      <c r="E40" s="350"/>
      <c r="F40" s="350"/>
      <c r="G40" s="350"/>
      <c r="H40" s="350"/>
      <c r="I40" s="350"/>
      <c r="J40" s="350"/>
      <c r="K40" s="350"/>
      <c r="L40" s="350"/>
      <c r="M40" s="350"/>
      <c r="N40" s="350"/>
      <c r="O40" s="350"/>
      <c r="P40" s="350"/>
      <c r="Q40" s="350"/>
      <c r="R40" s="350"/>
      <c r="S40" s="350"/>
      <c r="T40" s="350"/>
      <c r="U40" s="350"/>
      <c r="V40" s="86">
        <v>2.4000000000000004</v>
      </c>
      <c r="W40">
        <f t="shared" si="22"/>
        <v>2.4000000000000004</v>
      </c>
      <c r="X40">
        <f t="shared" ref="X40:BA40" si="25">IF(AND(X$37-$A40&gt;$V$25,SUM($W40:W40)&lt;&gt;$V40),$V40,0)</f>
        <v>0</v>
      </c>
      <c r="Y40">
        <f t="shared" si="25"/>
        <v>0</v>
      </c>
      <c r="Z40">
        <f t="shared" si="25"/>
        <v>0</v>
      </c>
      <c r="AA40">
        <f t="shared" si="25"/>
        <v>0</v>
      </c>
      <c r="AB40">
        <f t="shared" si="25"/>
        <v>0</v>
      </c>
      <c r="AC40">
        <f t="shared" si="25"/>
        <v>0</v>
      </c>
      <c r="AD40">
        <f t="shared" si="25"/>
        <v>0</v>
      </c>
      <c r="AE40">
        <f t="shared" si="25"/>
        <v>0</v>
      </c>
      <c r="AF40">
        <f t="shared" si="25"/>
        <v>0</v>
      </c>
      <c r="AG40">
        <f t="shared" si="25"/>
        <v>0</v>
      </c>
      <c r="AH40">
        <f t="shared" si="25"/>
        <v>0</v>
      </c>
      <c r="AI40">
        <f t="shared" si="25"/>
        <v>0</v>
      </c>
      <c r="AJ40">
        <f t="shared" si="25"/>
        <v>0</v>
      </c>
      <c r="AK40">
        <f t="shared" si="25"/>
        <v>0</v>
      </c>
      <c r="AL40">
        <f t="shared" si="25"/>
        <v>0</v>
      </c>
      <c r="AM40">
        <f t="shared" si="25"/>
        <v>0</v>
      </c>
      <c r="AN40">
        <f t="shared" si="25"/>
        <v>0</v>
      </c>
      <c r="AO40">
        <f t="shared" si="25"/>
        <v>0</v>
      </c>
      <c r="AP40">
        <f t="shared" si="25"/>
        <v>0</v>
      </c>
      <c r="AQ40">
        <f t="shared" si="25"/>
        <v>0</v>
      </c>
      <c r="AR40">
        <f t="shared" si="25"/>
        <v>0</v>
      </c>
      <c r="AS40">
        <f t="shared" si="25"/>
        <v>0</v>
      </c>
      <c r="AT40">
        <f t="shared" si="25"/>
        <v>0</v>
      </c>
      <c r="AU40">
        <f t="shared" si="25"/>
        <v>0</v>
      </c>
      <c r="AV40">
        <f t="shared" si="25"/>
        <v>0</v>
      </c>
      <c r="AW40">
        <f t="shared" si="25"/>
        <v>0</v>
      </c>
      <c r="AX40">
        <f t="shared" si="25"/>
        <v>0</v>
      </c>
      <c r="AY40">
        <f t="shared" si="25"/>
        <v>0</v>
      </c>
      <c r="AZ40">
        <f t="shared" si="25"/>
        <v>0</v>
      </c>
      <c r="BA40">
        <f t="shared" si="25"/>
        <v>0</v>
      </c>
    </row>
    <row r="41" spans="1:53" ht="15.75" customHeight="1">
      <c r="A41" s="350">
        <v>1898</v>
      </c>
      <c r="B41" s="350"/>
      <c r="C41" s="350"/>
      <c r="D41" s="350"/>
      <c r="E41" s="350"/>
      <c r="F41" s="350"/>
      <c r="G41" s="350"/>
      <c r="H41" s="350"/>
      <c r="I41" s="350"/>
      <c r="J41" s="350"/>
      <c r="K41" s="350"/>
      <c r="L41" s="350"/>
      <c r="M41" s="350"/>
      <c r="N41" s="350"/>
      <c r="O41" s="350"/>
      <c r="P41" s="350"/>
      <c r="Q41" s="350"/>
      <c r="R41" s="350"/>
      <c r="S41" s="350"/>
      <c r="T41" s="350"/>
      <c r="U41" s="350"/>
      <c r="V41" s="86">
        <v>6</v>
      </c>
      <c r="W41">
        <f t="shared" si="22"/>
        <v>6</v>
      </c>
      <c r="X41">
        <f t="shared" ref="X41:BA41" si="26">IF(AND(X$37-$A41&gt;$V$25,SUM($W41:W41)&lt;&gt;$V41),$V41,0)</f>
        <v>0</v>
      </c>
      <c r="Y41">
        <f t="shared" si="26"/>
        <v>0</v>
      </c>
      <c r="Z41">
        <f t="shared" si="26"/>
        <v>0</v>
      </c>
      <c r="AA41">
        <f t="shared" si="26"/>
        <v>0</v>
      </c>
      <c r="AB41">
        <f t="shared" si="26"/>
        <v>0</v>
      </c>
      <c r="AC41">
        <f t="shared" si="26"/>
        <v>0</v>
      </c>
      <c r="AD41">
        <f t="shared" si="26"/>
        <v>0</v>
      </c>
      <c r="AE41">
        <f t="shared" si="26"/>
        <v>0</v>
      </c>
      <c r="AF41">
        <f t="shared" si="26"/>
        <v>0</v>
      </c>
      <c r="AG41">
        <f t="shared" si="26"/>
        <v>0</v>
      </c>
      <c r="AH41">
        <f t="shared" si="26"/>
        <v>0</v>
      </c>
      <c r="AI41">
        <f t="shared" si="26"/>
        <v>0</v>
      </c>
      <c r="AJ41">
        <f t="shared" si="26"/>
        <v>0</v>
      </c>
      <c r="AK41">
        <f t="shared" si="26"/>
        <v>0</v>
      </c>
      <c r="AL41">
        <f t="shared" si="26"/>
        <v>0</v>
      </c>
      <c r="AM41">
        <f t="shared" si="26"/>
        <v>0</v>
      </c>
      <c r="AN41">
        <f t="shared" si="26"/>
        <v>0</v>
      </c>
      <c r="AO41">
        <f t="shared" si="26"/>
        <v>0</v>
      </c>
      <c r="AP41">
        <f t="shared" si="26"/>
        <v>0</v>
      </c>
      <c r="AQ41">
        <f t="shared" si="26"/>
        <v>0</v>
      </c>
      <c r="AR41">
        <f t="shared" si="26"/>
        <v>0</v>
      </c>
      <c r="AS41">
        <f t="shared" si="26"/>
        <v>0</v>
      </c>
      <c r="AT41">
        <f t="shared" si="26"/>
        <v>0</v>
      </c>
      <c r="AU41">
        <f t="shared" si="26"/>
        <v>0</v>
      </c>
      <c r="AV41">
        <f t="shared" si="26"/>
        <v>0</v>
      </c>
      <c r="AW41">
        <f t="shared" si="26"/>
        <v>0</v>
      </c>
      <c r="AX41">
        <f t="shared" si="26"/>
        <v>0</v>
      </c>
      <c r="AY41">
        <f t="shared" si="26"/>
        <v>0</v>
      </c>
      <c r="AZ41">
        <f t="shared" si="26"/>
        <v>0</v>
      </c>
      <c r="BA41">
        <f t="shared" si="26"/>
        <v>0</v>
      </c>
    </row>
    <row r="42" spans="1:53" ht="15.75" customHeight="1">
      <c r="A42" s="350">
        <v>1899</v>
      </c>
      <c r="B42" s="350"/>
      <c r="C42" s="350"/>
      <c r="D42" s="350"/>
      <c r="E42" s="350"/>
      <c r="F42" s="350"/>
      <c r="G42" s="350"/>
      <c r="H42" s="350"/>
      <c r="I42" s="350"/>
      <c r="J42" s="350"/>
      <c r="K42" s="350"/>
      <c r="L42" s="350"/>
      <c r="M42" s="350"/>
      <c r="N42" s="350"/>
      <c r="O42" s="350"/>
      <c r="P42" s="350"/>
      <c r="Q42" s="350"/>
      <c r="R42" s="350"/>
      <c r="S42" s="350"/>
      <c r="T42" s="350"/>
      <c r="U42" s="350"/>
      <c r="V42" s="86">
        <v>3.2</v>
      </c>
      <c r="W42">
        <f t="shared" si="22"/>
        <v>3.2</v>
      </c>
      <c r="X42">
        <f t="shared" ref="X42:BA42" si="27">IF(AND(X$37-$A42&gt;$V$25,SUM($W42:W42)&lt;&gt;$V42),$V42,0)</f>
        <v>0</v>
      </c>
      <c r="Y42">
        <f t="shared" si="27"/>
        <v>0</v>
      </c>
      <c r="Z42">
        <f t="shared" si="27"/>
        <v>0</v>
      </c>
      <c r="AA42">
        <f t="shared" si="27"/>
        <v>0</v>
      </c>
      <c r="AB42">
        <f t="shared" si="27"/>
        <v>0</v>
      </c>
      <c r="AC42">
        <f t="shared" si="27"/>
        <v>0</v>
      </c>
      <c r="AD42">
        <f t="shared" si="27"/>
        <v>0</v>
      </c>
      <c r="AE42">
        <f t="shared" si="27"/>
        <v>0</v>
      </c>
      <c r="AF42">
        <f t="shared" si="27"/>
        <v>0</v>
      </c>
      <c r="AG42">
        <f t="shared" si="27"/>
        <v>0</v>
      </c>
      <c r="AH42">
        <f t="shared" si="27"/>
        <v>0</v>
      </c>
      <c r="AI42">
        <f t="shared" si="27"/>
        <v>0</v>
      </c>
      <c r="AJ42">
        <f t="shared" si="27"/>
        <v>0</v>
      </c>
      <c r="AK42">
        <f t="shared" si="27"/>
        <v>0</v>
      </c>
      <c r="AL42">
        <f t="shared" si="27"/>
        <v>0</v>
      </c>
      <c r="AM42">
        <f t="shared" si="27"/>
        <v>0</v>
      </c>
      <c r="AN42">
        <f t="shared" si="27"/>
        <v>0</v>
      </c>
      <c r="AO42">
        <f t="shared" si="27"/>
        <v>0</v>
      </c>
      <c r="AP42">
        <f t="shared" si="27"/>
        <v>0</v>
      </c>
      <c r="AQ42">
        <f t="shared" si="27"/>
        <v>0</v>
      </c>
      <c r="AR42">
        <f t="shared" si="27"/>
        <v>0</v>
      </c>
      <c r="AS42">
        <f t="shared" si="27"/>
        <v>0</v>
      </c>
      <c r="AT42">
        <f t="shared" si="27"/>
        <v>0</v>
      </c>
      <c r="AU42">
        <f t="shared" si="27"/>
        <v>0</v>
      </c>
      <c r="AV42">
        <f t="shared" si="27"/>
        <v>0</v>
      </c>
      <c r="AW42">
        <f t="shared" si="27"/>
        <v>0</v>
      </c>
      <c r="AX42">
        <f t="shared" si="27"/>
        <v>0</v>
      </c>
      <c r="AY42">
        <f t="shared" si="27"/>
        <v>0</v>
      </c>
      <c r="AZ42">
        <f t="shared" si="27"/>
        <v>0</v>
      </c>
      <c r="BA42">
        <f t="shared" si="27"/>
        <v>0</v>
      </c>
    </row>
    <row r="43" spans="1:53" ht="15.75" customHeight="1">
      <c r="A43" s="350">
        <v>1900</v>
      </c>
      <c r="B43" s="350"/>
      <c r="C43" s="350"/>
      <c r="D43" s="350"/>
      <c r="E43" s="350"/>
      <c r="F43" s="350"/>
      <c r="G43" s="350"/>
      <c r="H43" s="350"/>
      <c r="I43" s="350"/>
      <c r="J43" s="350"/>
      <c r="K43" s="350"/>
      <c r="L43" s="350"/>
      <c r="M43" s="350"/>
      <c r="N43" s="350"/>
      <c r="O43" s="350"/>
      <c r="P43" s="350"/>
      <c r="Q43" s="350"/>
      <c r="R43" s="350"/>
      <c r="S43" s="350"/>
      <c r="T43" s="350"/>
      <c r="U43" s="350"/>
      <c r="V43" s="86">
        <v>2.8</v>
      </c>
      <c r="W43">
        <f t="shared" si="22"/>
        <v>2.8</v>
      </c>
      <c r="X43">
        <f t="shared" ref="X43:BA43" si="28">IF(AND(X$37-$A43&gt;$V$25,SUM($W43:W43)&lt;&gt;$V43),$V43,0)</f>
        <v>0</v>
      </c>
      <c r="Y43">
        <f t="shared" si="28"/>
        <v>0</v>
      </c>
      <c r="Z43">
        <f t="shared" si="28"/>
        <v>0</v>
      </c>
      <c r="AA43">
        <f t="shared" si="28"/>
        <v>0</v>
      </c>
      <c r="AB43">
        <f t="shared" si="28"/>
        <v>0</v>
      </c>
      <c r="AC43">
        <f t="shared" si="28"/>
        <v>0</v>
      </c>
      <c r="AD43">
        <f t="shared" si="28"/>
        <v>0</v>
      </c>
      <c r="AE43">
        <f t="shared" si="28"/>
        <v>0</v>
      </c>
      <c r="AF43">
        <f t="shared" si="28"/>
        <v>0</v>
      </c>
      <c r="AG43">
        <f t="shared" si="28"/>
        <v>0</v>
      </c>
      <c r="AH43">
        <f t="shared" si="28"/>
        <v>0</v>
      </c>
      <c r="AI43">
        <f t="shared" si="28"/>
        <v>0</v>
      </c>
      <c r="AJ43">
        <f t="shared" si="28"/>
        <v>0</v>
      </c>
      <c r="AK43">
        <f t="shared" si="28"/>
        <v>0</v>
      </c>
      <c r="AL43">
        <f t="shared" si="28"/>
        <v>0</v>
      </c>
      <c r="AM43">
        <f t="shared" si="28"/>
        <v>0</v>
      </c>
      <c r="AN43">
        <f t="shared" si="28"/>
        <v>0</v>
      </c>
      <c r="AO43">
        <f t="shared" si="28"/>
        <v>0</v>
      </c>
      <c r="AP43">
        <f t="shared" si="28"/>
        <v>0</v>
      </c>
      <c r="AQ43">
        <f t="shared" si="28"/>
        <v>0</v>
      </c>
      <c r="AR43">
        <f t="shared" si="28"/>
        <v>0</v>
      </c>
      <c r="AS43">
        <f t="shared" si="28"/>
        <v>0</v>
      </c>
      <c r="AT43">
        <f t="shared" si="28"/>
        <v>0</v>
      </c>
      <c r="AU43">
        <f t="shared" si="28"/>
        <v>0</v>
      </c>
      <c r="AV43">
        <f t="shared" si="28"/>
        <v>0</v>
      </c>
      <c r="AW43">
        <f t="shared" si="28"/>
        <v>0</v>
      </c>
      <c r="AX43">
        <f t="shared" si="28"/>
        <v>0</v>
      </c>
      <c r="AY43">
        <f t="shared" si="28"/>
        <v>0</v>
      </c>
      <c r="AZ43">
        <f t="shared" si="28"/>
        <v>0</v>
      </c>
      <c r="BA43">
        <f t="shared" si="28"/>
        <v>0</v>
      </c>
    </row>
    <row r="44" spans="1:53" ht="15.75" customHeight="1">
      <c r="A44" s="350">
        <v>1901</v>
      </c>
      <c r="B44" s="350"/>
      <c r="C44" s="350"/>
      <c r="D44" s="350"/>
      <c r="E44" s="350"/>
      <c r="F44" s="350"/>
      <c r="G44" s="350"/>
      <c r="H44" s="350"/>
      <c r="I44" s="350"/>
      <c r="J44" s="350"/>
      <c r="K44" s="350"/>
      <c r="L44" s="350"/>
      <c r="M44" s="350"/>
      <c r="N44" s="350"/>
      <c r="O44" s="350"/>
      <c r="P44" s="350"/>
      <c r="Q44" s="350"/>
      <c r="R44" s="350"/>
      <c r="S44" s="350"/>
      <c r="T44" s="350"/>
      <c r="U44" s="350"/>
      <c r="V44" s="86">
        <v>2.1999999999999997</v>
      </c>
      <c r="W44">
        <f t="shared" si="22"/>
        <v>2.1999999999999997</v>
      </c>
      <c r="X44">
        <f t="shared" ref="X44:BA44" si="29">IF(AND(X$37-$A44&gt;$V$25,SUM($W44:W44)&lt;&gt;$V44),$V44,0)</f>
        <v>0</v>
      </c>
      <c r="Y44">
        <f t="shared" si="29"/>
        <v>0</v>
      </c>
      <c r="Z44">
        <f t="shared" si="29"/>
        <v>0</v>
      </c>
      <c r="AA44">
        <f t="shared" si="29"/>
        <v>0</v>
      </c>
      <c r="AB44">
        <f t="shared" si="29"/>
        <v>0</v>
      </c>
      <c r="AC44">
        <f t="shared" si="29"/>
        <v>0</v>
      </c>
      <c r="AD44">
        <f t="shared" si="29"/>
        <v>0</v>
      </c>
      <c r="AE44">
        <f t="shared" si="29"/>
        <v>0</v>
      </c>
      <c r="AF44">
        <f t="shared" si="29"/>
        <v>0</v>
      </c>
      <c r="AG44">
        <f t="shared" si="29"/>
        <v>0</v>
      </c>
      <c r="AH44">
        <f t="shared" si="29"/>
        <v>0</v>
      </c>
      <c r="AI44">
        <f t="shared" si="29"/>
        <v>0</v>
      </c>
      <c r="AJ44">
        <f t="shared" si="29"/>
        <v>0</v>
      </c>
      <c r="AK44">
        <f t="shared" si="29"/>
        <v>0</v>
      </c>
      <c r="AL44">
        <f t="shared" si="29"/>
        <v>0</v>
      </c>
      <c r="AM44">
        <f t="shared" si="29"/>
        <v>0</v>
      </c>
      <c r="AN44">
        <f t="shared" si="29"/>
        <v>0</v>
      </c>
      <c r="AO44">
        <f t="shared" si="29"/>
        <v>0</v>
      </c>
      <c r="AP44">
        <f t="shared" si="29"/>
        <v>0</v>
      </c>
      <c r="AQ44">
        <f t="shared" si="29"/>
        <v>0</v>
      </c>
      <c r="AR44">
        <f t="shared" si="29"/>
        <v>0</v>
      </c>
      <c r="AS44">
        <f t="shared" si="29"/>
        <v>0</v>
      </c>
      <c r="AT44">
        <f t="shared" si="29"/>
        <v>0</v>
      </c>
      <c r="AU44">
        <f t="shared" si="29"/>
        <v>0</v>
      </c>
      <c r="AV44">
        <f t="shared" si="29"/>
        <v>0</v>
      </c>
      <c r="AW44">
        <f t="shared" si="29"/>
        <v>0</v>
      </c>
      <c r="AX44">
        <f t="shared" si="29"/>
        <v>0</v>
      </c>
      <c r="AY44">
        <f t="shared" si="29"/>
        <v>0</v>
      </c>
      <c r="AZ44">
        <f t="shared" si="29"/>
        <v>0</v>
      </c>
      <c r="BA44">
        <f t="shared" si="29"/>
        <v>0</v>
      </c>
    </row>
    <row r="45" spans="1:53" ht="15.75" customHeight="1">
      <c r="A45" s="350">
        <v>1902</v>
      </c>
      <c r="B45" s="350"/>
      <c r="C45" s="350"/>
      <c r="D45" s="350"/>
      <c r="E45" s="350"/>
      <c r="F45" s="350"/>
      <c r="G45" s="350"/>
      <c r="H45" s="350"/>
      <c r="I45" s="350"/>
      <c r="J45" s="350"/>
      <c r="K45" s="350"/>
      <c r="L45" s="350"/>
      <c r="M45" s="350"/>
      <c r="N45" s="350"/>
      <c r="O45" s="350"/>
      <c r="P45" s="350"/>
      <c r="Q45" s="350"/>
      <c r="R45" s="350"/>
      <c r="S45" s="350"/>
      <c r="T45" s="350"/>
      <c r="U45" s="350"/>
      <c r="V45" s="86">
        <v>1.4</v>
      </c>
      <c r="W45">
        <f t="shared" si="22"/>
        <v>1.4</v>
      </c>
      <c r="X45">
        <f t="shared" ref="X45:BA45" si="30">IF(AND(X$37-$A45&gt;$V$25,SUM($W45:W45)&lt;&gt;$V45),$V45,0)</f>
        <v>0</v>
      </c>
      <c r="Y45">
        <f t="shared" si="30"/>
        <v>0</v>
      </c>
      <c r="Z45">
        <f t="shared" si="30"/>
        <v>0</v>
      </c>
      <c r="AA45">
        <f t="shared" si="30"/>
        <v>0</v>
      </c>
      <c r="AB45">
        <f t="shared" si="30"/>
        <v>0</v>
      </c>
      <c r="AC45">
        <f t="shared" si="30"/>
        <v>0</v>
      </c>
      <c r="AD45">
        <f t="shared" si="30"/>
        <v>0</v>
      </c>
      <c r="AE45">
        <f t="shared" si="30"/>
        <v>0</v>
      </c>
      <c r="AF45">
        <f t="shared" si="30"/>
        <v>0</v>
      </c>
      <c r="AG45">
        <f t="shared" si="30"/>
        <v>0</v>
      </c>
      <c r="AH45">
        <f t="shared" si="30"/>
        <v>0</v>
      </c>
      <c r="AI45">
        <f t="shared" si="30"/>
        <v>0</v>
      </c>
      <c r="AJ45">
        <f t="shared" si="30"/>
        <v>0</v>
      </c>
      <c r="AK45">
        <f t="shared" si="30"/>
        <v>0</v>
      </c>
      <c r="AL45">
        <f t="shared" si="30"/>
        <v>0</v>
      </c>
      <c r="AM45">
        <f t="shared" si="30"/>
        <v>0</v>
      </c>
      <c r="AN45">
        <f t="shared" si="30"/>
        <v>0</v>
      </c>
      <c r="AO45">
        <f t="shared" si="30"/>
        <v>0</v>
      </c>
      <c r="AP45">
        <f t="shared" si="30"/>
        <v>0</v>
      </c>
      <c r="AQ45">
        <f t="shared" si="30"/>
        <v>0</v>
      </c>
      <c r="AR45">
        <f t="shared" si="30"/>
        <v>0</v>
      </c>
      <c r="AS45">
        <f t="shared" si="30"/>
        <v>0</v>
      </c>
      <c r="AT45">
        <f t="shared" si="30"/>
        <v>0</v>
      </c>
      <c r="AU45">
        <f t="shared" si="30"/>
        <v>0</v>
      </c>
      <c r="AV45">
        <f t="shared" si="30"/>
        <v>0</v>
      </c>
      <c r="AW45">
        <f t="shared" si="30"/>
        <v>0</v>
      </c>
      <c r="AX45">
        <f t="shared" si="30"/>
        <v>0</v>
      </c>
      <c r="AY45">
        <f t="shared" si="30"/>
        <v>0</v>
      </c>
      <c r="AZ45">
        <f t="shared" si="30"/>
        <v>0</v>
      </c>
      <c r="BA45">
        <f t="shared" si="30"/>
        <v>0</v>
      </c>
    </row>
    <row r="46" spans="1:53" ht="15.75" customHeight="1">
      <c r="A46" s="350">
        <v>1903</v>
      </c>
      <c r="B46" s="350"/>
      <c r="C46" s="350"/>
      <c r="D46" s="350"/>
      <c r="E46" s="350"/>
      <c r="F46" s="350"/>
      <c r="G46" s="350"/>
      <c r="H46" s="350"/>
      <c r="I46" s="350"/>
      <c r="J46" s="350"/>
      <c r="K46" s="350"/>
      <c r="L46" s="350"/>
      <c r="M46" s="350"/>
      <c r="N46" s="350"/>
      <c r="O46" s="350"/>
      <c r="P46" s="350"/>
      <c r="Q46" s="350"/>
      <c r="R46" s="350"/>
      <c r="S46" s="350"/>
      <c r="T46" s="350"/>
      <c r="U46" s="350"/>
      <c r="V46" s="86">
        <v>32.200000000000003</v>
      </c>
      <c r="W46">
        <f t="shared" si="22"/>
        <v>32.200000000000003</v>
      </c>
      <c r="X46">
        <f t="shared" ref="X46:BA46" si="31">IF(AND(X$37-$A46&gt;$V$25,SUM($W46:W46)&lt;&gt;$V46),$V46,0)</f>
        <v>0</v>
      </c>
      <c r="Y46">
        <f t="shared" si="31"/>
        <v>0</v>
      </c>
      <c r="Z46">
        <f t="shared" si="31"/>
        <v>0</v>
      </c>
      <c r="AA46">
        <f t="shared" si="31"/>
        <v>0</v>
      </c>
      <c r="AB46">
        <f t="shared" si="31"/>
        <v>0</v>
      </c>
      <c r="AC46">
        <f t="shared" si="31"/>
        <v>0</v>
      </c>
      <c r="AD46">
        <f t="shared" si="31"/>
        <v>0</v>
      </c>
      <c r="AE46">
        <f t="shared" si="31"/>
        <v>0</v>
      </c>
      <c r="AF46">
        <f t="shared" si="31"/>
        <v>0</v>
      </c>
      <c r="AG46">
        <f t="shared" si="31"/>
        <v>0</v>
      </c>
      <c r="AH46">
        <f t="shared" si="31"/>
        <v>0</v>
      </c>
      <c r="AI46">
        <f t="shared" si="31"/>
        <v>0</v>
      </c>
      <c r="AJ46">
        <f t="shared" si="31"/>
        <v>0</v>
      </c>
      <c r="AK46">
        <f t="shared" si="31"/>
        <v>0</v>
      </c>
      <c r="AL46">
        <f t="shared" si="31"/>
        <v>0</v>
      </c>
      <c r="AM46">
        <f t="shared" si="31"/>
        <v>0</v>
      </c>
      <c r="AN46">
        <f t="shared" si="31"/>
        <v>0</v>
      </c>
      <c r="AO46">
        <f t="shared" si="31"/>
        <v>0</v>
      </c>
      <c r="AP46">
        <f t="shared" si="31"/>
        <v>0</v>
      </c>
      <c r="AQ46">
        <f t="shared" si="31"/>
        <v>0</v>
      </c>
      <c r="AR46">
        <f t="shared" si="31"/>
        <v>0</v>
      </c>
      <c r="AS46">
        <f t="shared" si="31"/>
        <v>0</v>
      </c>
      <c r="AT46">
        <f t="shared" si="31"/>
        <v>0</v>
      </c>
      <c r="AU46">
        <f t="shared" si="31"/>
        <v>0</v>
      </c>
      <c r="AV46">
        <f t="shared" si="31"/>
        <v>0</v>
      </c>
      <c r="AW46">
        <f t="shared" si="31"/>
        <v>0</v>
      </c>
      <c r="AX46">
        <f t="shared" si="31"/>
        <v>0</v>
      </c>
      <c r="AY46">
        <f t="shared" si="31"/>
        <v>0</v>
      </c>
      <c r="AZ46">
        <f t="shared" si="31"/>
        <v>0</v>
      </c>
      <c r="BA46">
        <f t="shared" si="31"/>
        <v>0</v>
      </c>
    </row>
    <row r="47" spans="1:53" ht="15.75" customHeight="1">
      <c r="A47" s="350">
        <v>1904</v>
      </c>
      <c r="B47" s="350"/>
      <c r="C47" s="350"/>
      <c r="D47" s="350"/>
      <c r="E47" s="350"/>
      <c r="F47" s="350"/>
      <c r="G47" s="350"/>
      <c r="H47" s="350"/>
      <c r="I47" s="350"/>
      <c r="J47" s="350"/>
      <c r="K47" s="350"/>
      <c r="L47" s="350"/>
      <c r="M47" s="350"/>
      <c r="N47" s="350"/>
      <c r="O47" s="350"/>
      <c r="P47" s="350"/>
      <c r="Q47" s="350"/>
      <c r="R47" s="350"/>
      <c r="S47" s="350"/>
      <c r="T47" s="350"/>
      <c r="U47" s="350"/>
      <c r="V47" s="86">
        <v>28.599999999999998</v>
      </c>
      <c r="W47">
        <f t="shared" si="22"/>
        <v>28.599999999999998</v>
      </c>
      <c r="X47">
        <f t="shared" ref="X47:BA47" si="32">IF(AND(X$37-$A47&gt;$V$25,SUM($W47:W47)&lt;&gt;$V47),$V47,0)</f>
        <v>0</v>
      </c>
      <c r="Y47">
        <f t="shared" si="32"/>
        <v>0</v>
      </c>
      <c r="Z47">
        <f t="shared" si="32"/>
        <v>0</v>
      </c>
      <c r="AA47">
        <f t="shared" si="32"/>
        <v>0</v>
      </c>
      <c r="AB47">
        <f t="shared" si="32"/>
        <v>0</v>
      </c>
      <c r="AC47">
        <f t="shared" si="32"/>
        <v>0</v>
      </c>
      <c r="AD47">
        <f t="shared" si="32"/>
        <v>0</v>
      </c>
      <c r="AE47">
        <f t="shared" si="32"/>
        <v>0</v>
      </c>
      <c r="AF47">
        <f t="shared" si="32"/>
        <v>0</v>
      </c>
      <c r="AG47">
        <f t="shared" si="32"/>
        <v>0</v>
      </c>
      <c r="AH47">
        <f t="shared" si="32"/>
        <v>0</v>
      </c>
      <c r="AI47">
        <f t="shared" si="32"/>
        <v>0</v>
      </c>
      <c r="AJ47">
        <f t="shared" si="32"/>
        <v>0</v>
      </c>
      <c r="AK47">
        <f t="shared" si="32"/>
        <v>0</v>
      </c>
      <c r="AL47">
        <f t="shared" si="32"/>
        <v>0</v>
      </c>
      <c r="AM47">
        <f t="shared" si="32"/>
        <v>0</v>
      </c>
      <c r="AN47">
        <f t="shared" si="32"/>
        <v>0</v>
      </c>
      <c r="AO47">
        <f t="shared" si="32"/>
        <v>0</v>
      </c>
      <c r="AP47">
        <f t="shared" si="32"/>
        <v>0</v>
      </c>
      <c r="AQ47">
        <f t="shared" si="32"/>
        <v>0</v>
      </c>
      <c r="AR47">
        <f t="shared" si="32"/>
        <v>0</v>
      </c>
      <c r="AS47">
        <f t="shared" si="32"/>
        <v>0</v>
      </c>
      <c r="AT47">
        <f t="shared" si="32"/>
        <v>0</v>
      </c>
      <c r="AU47">
        <f t="shared" si="32"/>
        <v>0</v>
      </c>
      <c r="AV47">
        <f t="shared" si="32"/>
        <v>0</v>
      </c>
      <c r="AW47">
        <f t="shared" si="32"/>
        <v>0</v>
      </c>
      <c r="AX47">
        <f t="shared" si="32"/>
        <v>0</v>
      </c>
      <c r="AY47">
        <f t="shared" si="32"/>
        <v>0</v>
      </c>
      <c r="AZ47">
        <f t="shared" si="32"/>
        <v>0</v>
      </c>
      <c r="BA47">
        <f t="shared" si="32"/>
        <v>0</v>
      </c>
    </row>
    <row r="48" spans="1:53" ht="15.75" customHeight="1">
      <c r="A48" s="350">
        <v>1905</v>
      </c>
      <c r="B48" s="350"/>
      <c r="C48" s="350"/>
      <c r="D48" s="350"/>
      <c r="E48" s="350"/>
      <c r="F48" s="350"/>
      <c r="G48" s="350"/>
      <c r="H48" s="350"/>
      <c r="I48" s="350"/>
      <c r="J48" s="350"/>
      <c r="K48" s="350"/>
      <c r="L48" s="350"/>
      <c r="M48" s="350"/>
      <c r="N48" s="350"/>
      <c r="O48" s="350"/>
      <c r="P48" s="350"/>
      <c r="Q48" s="350"/>
      <c r="R48" s="350"/>
      <c r="S48" s="350"/>
      <c r="T48" s="350"/>
      <c r="U48" s="350"/>
      <c r="V48" s="86">
        <v>35.099999999999994</v>
      </c>
      <c r="W48">
        <f t="shared" si="22"/>
        <v>35.099999999999994</v>
      </c>
      <c r="X48">
        <f t="shared" ref="X48:BA48" si="33">IF(AND(X$37-$A48&gt;$V$25,SUM($W48:W48)&lt;&gt;$V48),$V48,0)</f>
        <v>0</v>
      </c>
      <c r="Y48">
        <f t="shared" si="33"/>
        <v>0</v>
      </c>
      <c r="Z48">
        <f t="shared" si="33"/>
        <v>0</v>
      </c>
      <c r="AA48">
        <f t="shared" si="33"/>
        <v>0</v>
      </c>
      <c r="AB48">
        <f t="shared" si="33"/>
        <v>0</v>
      </c>
      <c r="AC48">
        <f t="shared" si="33"/>
        <v>0</v>
      </c>
      <c r="AD48">
        <f t="shared" si="33"/>
        <v>0</v>
      </c>
      <c r="AE48">
        <f t="shared" si="33"/>
        <v>0</v>
      </c>
      <c r="AF48">
        <f t="shared" si="33"/>
        <v>0</v>
      </c>
      <c r="AG48">
        <f t="shared" si="33"/>
        <v>0</v>
      </c>
      <c r="AH48">
        <f t="shared" si="33"/>
        <v>0</v>
      </c>
      <c r="AI48">
        <f t="shared" si="33"/>
        <v>0</v>
      </c>
      <c r="AJ48">
        <f t="shared" si="33"/>
        <v>0</v>
      </c>
      <c r="AK48">
        <f t="shared" si="33"/>
        <v>0</v>
      </c>
      <c r="AL48">
        <f t="shared" si="33"/>
        <v>0</v>
      </c>
      <c r="AM48">
        <f t="shared" si="33"/>
        <v>0</v>
      </c>
      <c r="AN48">
        <f t="shared" si="33"/>
        <v>0</v>
      </c>
      <c r="AO48">
        <f t="shared" si="33"/>
        <v>0</v>
      </c>
      <c r="AP48">
        <f t="shared" si="33"/>
        <v>0</v>
      </c>
      <c r="AQ48">
        <f t="shared" si="33"/>
        <v>0</v>
      </c>
      <c r="AR48">
        <f t="shared" si="33"/>
        <v>0</v>
      </c>
      <c r="AS48">
        <f t="shared" si="33"/>
        <v>0</v>
      </c>
      <c r="AT48">
        <f t="shared" si="33"/>
        <v>0</v>
      </c>
      <c r="AU48">
        <f t="shared" si="33"/>
        <v>0</v>
      </c>
      <c r="AV48">
        <f t="shared" si="33"/>
        <v>0</v>
      </c>
      <c r="AW48">
        <f t="shared" si="33"/>
        <v>0</v>
      </c>
      <c r="AX48">
        <f t="shared" si="33"/>
        <v>0</v>
      </c>
      <c r="AY48">
        <f t="shared" si="33"/>
        <v>0</v>
      </c>
      <c r="AZ48">
        <f t="shared" si="33"/>
        <v>0</v>
      </c>
      <c r="BA48">
        <f t="shared" si="33"/>
        <v>0</v>
      </c>
    </row>
    <row r="49" spans="1:53" ht="15.75" customHeight="1">
      <c r="A49" s="350">
        <v>1906</v>
      </c>
      <c r="B49" s="350"/>
      <c r="C49" s="350"/>
      <c r="D49" s="350"/>
      <c r="E49" s="350"/>
      <c r="F49" s="350"/>
      <c r="G49" s="350"/>
      <c r="H49" s="350"/>
      <c r="I49" s="350"/>
      <c r="J49" s="350"/>
      <c r="K49" s="350"/>
      <c r="L49" s="350"/>
      <c r="M49" s="350"/>
      <c r="N49" s="350"/>
      <c r="O49" s="350"/>
      <c r="P49" s="350"/>
      <c r="Q49" s="350"/>
      <c r="R49" s="350"/>
      <c r="S49" s="350"/>
      <c r="T49" s="350"/>
      <c r="U49" s="350"/>
      <c r="V49" s="86">
        <v>32.100000000000009</v>
      </c>
      <c r="W49">
        <f t="shared" si="22"/>
        <v>32.100000000000009</v>
      </c>
      <c r="X49">
        <f t="shared" ref="X49:BA49" si="34">IF(AND(X$37-$A49&gt;$V$25,SUM($W49:W49)&lt;&gt;$V49),$V49,0)</f>
        <v>0</v>
      </c>
      <c r="Y49">
        <f t="shared" si="34"/>
        <v>0</v>
      </c>
      <c r="Z49">
        <f t="shared" si="34"/>
        <v>0</v>
      </c>
      <c r="AA49">
        <f t="shared" si="34"/>
        <v>0</v>
      </c>
      <c r="AB49">
        <f t="shared" si="34"/>
        <v>0</v>
      </c>
      <c r="AC49">
        <f t="shared" si="34"/>
        <v>0</v>
      </c>
      <c r="AD49">
        <f t="shared" si="34"/>
        <v>0</v>
      </c>
      <c r="AE49">
        <f t="shared" si="34"/>
        <v>0</v>
      </c>
      <c r="AF49">
        <f t="shared" si="34"/>
        <v>0</v>
      </c>
      <c r="AG49">
        <f t="shared" si="34"/>
        <v>0</v>
      </c>
      <c r="AH49">
        <f t="shared" si="34"/>
        <v>0</v>
      </c>
      <c r="AI49">
        <f t="shared" si="34"/>
        <v>0</v>
      </c>
      <c r="AJ49">
        <f t="shared" si="34"/>
        <v>0</v>
      </c>
      <c r="AK49">
        <f t="shared" si="34"/>
        <v>0</v>
      </c>
      <c r="AL49">
        <f t="shared" si="34"/>
        <v>0</v>
      </c>
      <c r="AM49">
        <f t="shared" si="34"/>
        <v>0</v>
      </c>
      <c r="AN49">
        <f t="shared" si="34"/>
        <v>0</v>
      </c>
      <c r="AO49">
        <f t="shared" si="34"/>
        <v>0</v>
      </c>
      <c r="AP49">
        <f t="shared" si="34"/>
        <v>0</v>
      </c>
      <c r="AQ49">
        <f t="shared" si="34"/>
        <v>0</v>
      </c>
      <c r="AR49">
        <f t="shared" si="34"/>
        <v>0</v>
      </c>
      <c r="AS49">
        <f t="shared" si="34"/>
        <v>0</v>
      </c>
      <c r="AT49">
        <f t="shared" si="34"/>
        <v>0</v>
      </c>
      <c r="AU49">
        <f t="shared" si="34"/>
        <v>0</v>
      </c>
      <c r="AV49">
        <f t="shared" si="34"/>
        <v>0</v>
      </c>
      <c r="AW49">
        <f t="shared" si="34"/>
        <v>0</v>
      </c>
      <c r="AX49">
        <f t="shared" si="34"/>
        <v>0</v>
      </c>
      <c r="AY49">
        <f t="shared" si="34"/>
        <v>0</v>
      </c>
      <c r="AZ49">
        <f t="shared" si="34"/>
        <v>0</v>
      </c>
      <c r="BA49">
        <f t="shared" si="34"/>
        <v>0</v>
      </c>
    </row>
    <row r="50" spans="1:53" ht="15.75" customHeight="1">
      <c r="A50" s="350">
        <v>1907</v>
      </c>
      <c r="B50" s="350"/>
      <c r="C50" s="350"/>
      <c r="D50" s="350"/>
      <c r="E50" s="350"/>
      <c r="F50" s="350"/>
      <c r="G50" s="350"/>
      <c r="H50" s="350"/>
      <c r="I50" s="350"/>
      <c r="J50" s="350"/>
      <c r="K50" s="350"/>
      <c r="L50" s="350"/>
      <c r="M50" s="350"/>
      <c r="N50" s="350"/>
      <c r="O50" s="350"/>
      <c r="P50" s="350"/>
      <c r="Q50" s="350"/>
      <c r="R50" s="350"/>
      <c r="S50" s="350"/>
      <c r="T50" s="350"/>
      <c r="U50" s="350"/>
      <c r="V50" s="86">
        <v>111.70000000000002</v>
      </c>
      <c r="W50">
        <f t="shared" si="22"/>
        <v>111.70000000000002</v>
      </c>
      <c r="X50">
        <f t="shared" ref="X50:BA50" si="35">IF(AND(X$37-$A50&gt;$V$25,SUM($W50:W50)&lt;&gt;$V50),$V50,0)</f>
        <v>0</v>
      </c>
      <c r="Y50">
        <f t="shared" si="35"/>
        <v>0</v>
      </c>
      <c r="Z50">
        <f t="shared" si="35"/>
        <v>0</v>
      </c>
      <c r="AA50">
        <f t="shared" si="35"/>
        <v>0</v>
      </c>
      <c r="AB50">
        <f t="shared" si="35"/>
        <v>0</v>
      </c>
      <c r="AC50">
        <f t="shared" si="35"/>
        <v>0</v>
      </c>
      <c r="AD50">
        <f t="shared" si="35"/>
        <v>0</v>
      </c>
      <c r="AE50">
        <f t="shared" si="35"/>
        <v>0</v>
      </c>
      <c r="AF50">
        <f t="shared" si="35"/>
        <v>0</v>
      </c>
      <c r="AG50">
        <f t="shared" si="35"/>
        <v>0</v>
      </c>
      <c r="AH50">
        <f t="shared" si="35"/>
        <v>0</v>
      </c>
      <c r="AI50">
        <f t="shared" si="35"/>
        <v>0</v>
      </c>
      <c r="AJ50">
        <f t="shared" si="35"/>
        <v>0</v>
      </c>
      <c r="AK50">
        <f t="shared" si="35"/>
        <v>0</v>
      </c>
      <c r="AL50">
        <f t="shared" si="35"/>
        <v>0</v>
      </c>
      <c r="AM50">
        <f t="shared" si="35"/>
        <v>0</v>
      </c>
      <c r="AN50">
        <f t="shared" si="35"/>
        <v>0</v>
      </c>
      <c r="AO50">
        <f t="shared" si="35"/>
        <v>0</v>
      </c>
      <c r="AP50">
        <f t="shared" si="35"/>
        <v>0</v>
      </c>
      <c r="AQ50">
        <f t="shared" si="35"/>
        <v>0</v>
      </c>
      <c r="AR50">
        <f t="shared" si="35"/>
        <v>0</v>
      </c>
      <c r="AS50">
        <f t="shared" si="35"/>
        <v>0</v>
      </c>
      <c r="AT50">
        <f t="shared" si="35"/>
        <v>0</v>
      </c>
      <c r="AU50">
        <f t="shared" si="35"/>
        <v>0</v>
      </c>
      <c r="AV50">
        <f t="shared" si="35"/>
        <v>0</v>
      </c>
      <c r="AW50">
        <f t="shared" si="35"/>
        <v>0</v>
      </c>
      <c r="AX50">
        <f t="shared" si="35"/>
        <v>0</v>
      </c>
      <c r="AY50">
        <f t="shared" si="35"/>
        <v>0</v>
      </c>
      <c r="AZ50">
        <f t="shared" si="35"/>
        <v>0</v>
      </c>
      <c r="BA50">
        <f t="shared" si="35"/>
        <v>0</v>
      </c>
    </row>
    <row r="51" spans="1:53" ht="15.75" customHeight="1">
      <c r="A51" s="350">
        <v>1908</v>
      </c>
      <c r="B51" s="350"/>
      <c r="C51" s="350"/>
      <c r="D51" s="350"/>
      <c r="E51" s="350"/>
      <c r="F51" s="350"/>
      <c r="G51" s="350"/>
      <c r="H51" s="350"/>
      <c r="I51" s="350"/>
      <c r="J51" s="350"/>
      <c r="K51" s="350"/>
      <c r="L51" s="350"/>
      <c r="M51" s="350"/>
      <c r="N51" s="350"/>
      <c r="O51" s="350"/>
      <c r="P51" s="350"/>
      <c r="Q51" s="350"/>
      <c r="R51" s="350"/>
      <c r="S51" s="350"/>
      <c r="T51" s="350"/>
      <c r="U51" s="350"/>
      <c r="V51" s="86">
        <v>51.199999999999996</v>
      </c>
      <c r="W51">
        <f t="shared" si="22"/>
        <v>51.199999999999996</v>
      </c>
      <c r="X51">
        <f t="shared" ref="X51:BA51" si="36">IF(AND(X$37-$A51&gt;$V$25,SUM($W51:W51)&lt;&gt;$V51),$V51,0)</f>
        <v>0</v>
      </c>
      <c r="Y51">
        <f t="shared" si="36"/>
        <v>0</v>
      </c>
      <c r="Z51">
        <f t="shared" si="36"/>
        <v>0</v>
      </c>
      <c r="AA51">
        <f t="shared" si="36"/>
        <v>0</v>
      </c>
      <c r="AB51">
        <f t="shared" si="36"/>
        <v>0</v>
      </c>
      <c r="AC51">
        <f t="shared" si="36"/>
        <v>0</v>
      </c>
      <c r="AD51">
        <f t="shared" si="36"/>
        <v>0</v>
      </c>
      <c r="AE51">
        <f t="shared" si="36"/>
        <v>0</v>
      </c>
      <c r="AF51">
        <f t="shared" si="36"/>
        <v>0</v>
      </c>
      <c r="AG51">
        <f t="shared" si="36"/>
        <v>0</v>
      </c>
      <c r="AH51">
        <f t="shared" si="36"/>
        <v>0</v>
      </c>
      <c r="AI51">
        <f t="shared" si="36"/>
        <v>0</v>
      </c>
      <c r="AJ51">
        <f t="shared" si="36"/>
        <v>0</v>
      </c>
      <c r="AK51">
        <f t="shared" si="36"/>
        <v>0</v>
      </c>
      <c r="AL51">
        <f t="shared" si="36"/>
        <v>0</v>
      </c>
      <c r="AM51">
        <f t="shared" si="36"/>
        <v>0</v>
      </c>
      <c r="AN51">
        <f t="shared" si="36"/>
        <v>0</v>
      </c>
      <c r="AO51">
        <f t="shared" si="36"/>
        <v>0</v>
      </c>
      <c r="AP51">
        <f t="shared" si="36"/>
        <v>0</v>
      </c>
      <c r="AQ51">
        <f t="shared" si="36"/>
        <v>0</v>
      </c>
      <c r="AR51">
        <f t="shared" si="36"/>
        <v>0</v>
      </c>
      <c r="AS51">
        <f t="shared" si="36"/>
        <v>0</v>
      </c>
      <c r="AT51">
        <f t="shared" si="36"/>
        <v>0</v>
      </c>
      <c r="AU51">
        <f t="shared" si="36"/>
        <v>0</v>
      </c>
      <c r="AV51">
        <f t="shared" si="36"/>
        <v>0</v>
      </c>
      <c r="AW51">
        <f t="shared" si="36"/>
        <v>0</v>
      </c>
      <c r="AX51">
        <f t="shared" si="36"/>
        <v>0</v>
      </c>
      <c r="AY51">
        <f t="shared" si="36"/>
        <v>0</v>
      </c>
      <c r="AZ51">
        <f t="shared" si="36"/>
        <v>0</v>
      </c>
      <c r="BA51">
        <f t="shared" si="36"/>
        <v>0</v>
      </c>
    </row>
    <row r="52" spans="1:53" ht="15.75" customHeight="1">
      <c r="A52" s="350">
        <v>1909</v>
      </c>
      <c r="B52" s="350"/>
      <c r="C52" s="350"/>
      <c r="D52" s="350"/>
      <c r="E52" s="350"/>
      <c r="F52" s="350"/>
      <c r="G52" s="350"/>
      <c r="H52" s="350"/>
      <c r="I52" s="350"/>
      <c r="J52" s="350"/>
      <c r="K52" s="350"/>
      <c r="L52" s="350"/>
      <c r="M52" s="350"/>
      <c r="N52" s="350"/>
      <c r="O52" s="350"/>
      <c r="P52" s="350"/>
      <c r="Q52" s="350"/>
      <c r="R52" s="350"/>
      <c r="S52" s="350"/>
      <c r="T52" s="350"/>
      <c r="U52" s="350"/>
      <c r="V52" s="86">
        <v>68.399999999999991</v>
      </c>
      <c r="W52">
        <f t="shared" si="22"/>
        <v>68.399999999999991</v>
      </c>
      <c r="X52">
        <f t="shared" ref="X52:BA52" si="37">IF(AND(X$37-$A52&gt;$V$25,SUM($W52:W52)&lt;&gt;$V52),$V52,0)</f>
        <v>0</v>
      </c>
      <c r="Y52">
        <f t="shared" si="37"/>
        <v>0</v>
      </c>
      <c r="Z52">
        <f t="shared" si="37"/>
        <v>0</v>
      </c>
      <c r="AA52">
        <f t="shared" si="37"/>
        <v>0</v>
      </c>
      <c r="AB52">
        <f t="shared" si="37"/>
        <v>0</v>
      </c>
      <c r="AC52">
        <f t="shared" si="37"/>
        <v>0</v>
      </c>
      <c r="AD52">
        <f t="shared" si="37"/>
        <v>0</v>
      </c>
      <c r="AE52">
        <f t="shared" si="37"/>
        <v>0</v>
      </c>
      <c r="AF52">
        <f t="shared" si="37"/>
        <v>0</v>
      </c>
      <c r="AG52">
        <f t="shared" si="37"/>
        <v>0</v>
      </c>
      <c r="AH52">
        <f t="shared" si="37"/>
        <v>0</v>
      </c>
      <c r="AI52">
        <f t="shared" si="37"/>
        <v>0</v>
      </c>
      <c r="AJ52">
        <f t="shared" si="37"/>
        <v>0</v>
      </c>
      <c r="AK52">
        <f t="shared" si="37"/>
        <v>0</v>
      </c>
      <c r="AL52">
        <f t="shared" si="37"/>
        <v>0</v>
      </c>
      <c r="AM52">
        <f t="shared" si="37"/>
        <v>0</v>
      </c>
      <c r="AN52">
        <f t="shared" si="37"/>
        <v>0</v>
      </c>
      <c r="AO52">
        <f t="shared" si="37"/>
        <v>0</v>
      </c>
      <c r="AP52">
        <f t="shared" si="37"/>
        <v>0</v>
      </c>
      <c r="AQ52">
        <f t="shared" si="37"/>
        <v>0</v>
      </c>
      <c r="AR52">
        <f t="shared" si="37"/>
        <v>0</v>
      </c>
      <c r="AS52">
        <f t="shared" si="37"/>
        <v>0</v>
      </c>
      <c r="AT52">
        <f t="shared" si="37"/>
        <v>0</v>
      </c>
      <c r="AU52">
        <f t="shared" si="37"/>
        <v>0</v>
      </c>
      <c r="AV52">
        <f t="shared" si="37"/>
        <v>0</v>
      </c>
      <c r="AW52">
        <f t="shared" si="37"/>
        <v>0</v>
      </c>
      <c r="AX52">
        <f t="shared" si="37"/>
        <v>0</v>
      </c>
      <c r="AY52">
        <f t="shared" si="37"/>
        <v>0</v>
      </c>
      <c r="AZ52">
        <f t="shared" si="37"/>
        <v>0</v>
      </c>
      <c r="BA52">
        <f t="shared" si="37"/>
        <v>0</v>
      </c>
    </row>
    <row r="53" spans="1:53" ht="15.75" customHeight="1">
      <c r="A53" s="350">
        <v>1910</v>
      </c>
      <c r="B53" s="350"/>
      <c r="C53" s="350"/>
      <c r="D53" s="350"/>
      <c r="E53" s="350"/>
      <c r="F53" s="350"/>
      <c r="G53" s="350"/>
      <c r="H53" s="350"/>
      <c r="I53" s="350"/>
      <c r="J53" s="350"/>
      <c r="K53" s="350"/>
      <c r="L53" s="350"/>
      <c r="M53" s="350"/>
      <c r="N53" s="350"/>
      <c r="O53" s="350"/>
      <c r="P53" s="350"/>
      <c r="Q53" s="350"/>
      <c r="R53" s="350"/>
      <c r="S53" s="350"/>
      <c r="T53" s="350"/>
      <c r="U53" s="350"/>
      <c r="V53" s="86">
        <v>119.4</v>
      </c>
      <c r="W53">
        <f t="shared" si="22"/>
        <v>119.4</v>
      </c>
      <c r="X53">
        <f t="shared" ref="X53:BA53" si="38">IF(AND(X$37-$A53&gt;$V$25,SUM($W53:W53)&lt;&gt;$V53),$V53,0)</f>
        <v>0</v>
      </c>
      <c r="Y53">
        <f t="shared" si="38"/>
        <v>0</v>
      </c>
      <c r="Z53">
        <f t="shared" si="38"/>
        <v>0</v>
      </c>
      <c r="AA53">
        <f t="shared" si="38"/>
        <v>0</v>
      </c>
      <c r="AB53">
        <f t="shared" si="38"/>
        <v>0</v>
      </c>
      <c r="AC53">
        <f t="shared" si="38"/>
        <v>0</v>
      </c>
      <c r="AD53">
        <f t="shared" si="38"/>
        <v>0</v>
      </c>
      <c r="AE53">
        <f t="shared" si="38"/>
        <v>0</v>
      </c>
      <c r="AF53">
        <f t="shared" si="38"/>
        <v>0</v>
      </c>
      <c r="AG53">
        <f t="shared" si="38"/>
        <v>0</v>
      </c>
      <c r="AH53">
        <f t="shared" si="38"/>
        <v>0</v>
      </c>
      <c r="AI53">
        <f t="shared" si="38"/>
        <v>0</v>
      </c>
      <c r="AJ53">
        <f t="shared" si="38"/>
        <v>0</v>
      </c>
      <c r="AK53">
        <f t="shared" si="38"/>
        <v>0</v>
      </c>
      <c r="AL53">
        <f t="shared" si="38"/>
        <v>0</v>
      </c>
      <c r="AM53">
        <f t="shared" si="38"/>
        <v>0</v>
      </c>
      <c r="AN53">
        <f t="shared" si="38"/>
        <v>0</v>
      </c>
      <c r="AO53">
        <f t="shared" si="38"/>
        <v>0</v>
      </c>
      <c r="AP53">
        <f t="shared" si="38"/>
        <v>0</v>
      </c>
      <c r="AQ53">
        <f t="shared" si="38"/>
        <v>0</v>
      </c>
      <c r="AR53">
        <f t="shared" si="38"/>
        <v>0</v>
      </c>
      <c r="AS53">
        <f t="shared" si="38"/>
        <v>0</v>
      </c>
      <c r="AT53">
        <f t="shared" si="38"/>
        <v>0</v>
      </c>
      <c r="AU53">
        <f t="shared" si="38"/>
        <v>0</v>
      </c>
      <c r="AV53">
        <f t="shared" si="38"/>
        <v>0</v>
      </c>
      <c r="AW53">
        <f t="shared" si="38"/>
        <v>0</v>
      </c>
      <c r="AX53">
        <f t="shared" si="38"/>
        <v>0</v>
      </c>
      <c r="AY53">
        <f t="shared" si="38"/>
        <v>0</v>
      </c>
      <c r="AZ53">
        <f t="shared" si="38"/>
        <v>0</v>
      </c>
      <c r="BA53">
        <f t="shared" si="38"/>
        <v>0</v>
      </c>
    </row>
    <row r="54" spans="1:53" ht="15.75" customHeight="1">
      <c r="A54" s="350">
        <v>1911</v>
      </c>
      <c r="B54" s="350"/>
      <c r="C54" s="350"/>
      <c r="D54" s="350"/>
      <c r="E54" s="350"/>
      <c r="F54" s="350"/>
      <c r="G54" s="350"/>
      <c r="H54" s="350"/>
      <c r="I54" s="350"/>
      <c r="J54" s="350"/>
      <c r="K54" s="350"/>
      <c r="L54" s="350"/>
      <c r="M54" s="350"/>
      <c r="N54" s="350"/>
      <c r="O54" s="350"/>
      <c r="P54" s="350"/>
      <c r="Q54" s="350"/>
      <c r="R54" s="350"/>
      <c r="S54" s="350"/>
      <c r="T54" s="350"/>
      <c r="U54" s="350"/>
      <c r="V54" s="86">
        <v>133.10000000000002</v>
      </c>
      <c r="W54">
        <f t="shared" si="22"/>
        <v>133.10000000000002</v>
      </c>
      <c r="X54">
        <f t="shared" ref="X54:BA54" si="39">IF(AND(X$37-$A54&gt;$V$25,SUM($W54:W54)&lt;&gt;$V54),$V54,0)</f>
        <v>0</v>
      </c>
      <c r="Y54">
        <f t="shared" si="39"/>
        <v>0</v>
      </c>
      <c r="Z54">
        <f t="shared" si="39"/>
        <v>0</v>
      </c>
      <c r="AA54">
        <f t="shared" si="39"/>
        <v>0</v>
      </c>
      <c r="AB54">
        <f t="shared" si="39"/>
        <v>0</v>
      </c>
      <c r="AC54">
        <f t="shared" si="39"/>
        <v>0</v>
      </c>
      <c r="AD54">
        <f t="shared" si="39"/>
        <v>0</v>
      </c>
      <c r="AE54">
        <f t="shared" si="39"/>
        <v>0</v>
      </c>
      <c r="AF54">
        <f t="shared" si="39"/>
        <v>0</v>
      </c>
      <c r="AG54">
        <f t="shared" si="39"/>
        <v>0</v>
      </c>
      <c r="AH54">
        <f t="shared" si="39"/>
        <v>0</v>
      </c>
      <c r="AI54">
        <f t="shared" si="39"/>
        <v>0</v>
      </c>
      <c r="AJ54">
        <f t="shared" si="39"/>
        <v>0</v>
      </c>
      <c r="AK54">
        <f t="shared" si="39"/>
        <v>0</v>
      </c>
      <c r="AL54">
        <f t="shared" si="39"/>
        <v>0</v>
      </c>
      <c r="AM54">
        <f t="shared" si="39"/>
        <v>0</v>
      </c>
      <c r="AN54">
        <f t="shared" si="39"/>
        <v>0</v>
      </c>
      <c r="AO54">
        <f t="shared" si="39"/>
        <v>0</v>
      </c>
      <c r="AP54">
        <f t="shared" si="39"/>
        <v>0</v>
      </c>
      <c r="AQ54">
        <f t="shared" si="39"/>
        <v>0</v>
      </c>
      <c r="AR54">
        <f t="shared" si="39"/>
        <v>0</v>
      </c>
      <c r="AS54">
        <f t="shared" si="39"/>
        <v>0</v>
      </c>
      <c r="AT54">
        <f t="shared" si="39"/>
        <v>0</v>
      </c>
      <c r="AU54">
        <f t="shared" si="39"/>
        <v>0</v>
      </c>
      <c r="AV54">
        <f t="shared" si="39"/>
        <v>0</v>
      </c>
      <c r="AW54">
        <f t="shared" si="39"/>
        <v>0</v>
      </c>
      <c r="AX54">
        <f t="shared" si="39"/>
        <v>0</v>
      </c>
      <c r="AY54">
        <f t="shared" si="39"/>
        <v>0</v>
      </c>
      <c r="AZ54">
        <f t="shared" si="39"/>
        <v>0</v>
      </c>
      <c r="BA54">
        <f t="shared" si="39"/>
        <v>0</v>
      </c>
    </row>
    <row r="55" spans="1:53" ht="15.75" customHeight="1">
      <c r="A55" s="350">
        <v>1912</v>
      </c>
      <c r="B55" s="350"/>
      <c r="C55" s="350"/>
      <c r="D55" s="350"/>
      <c r="E55" s="350"/>
      <c r="F55" s="350"/>
      <c r="G55" s="350"/>
      <c r="H55" s="350"/>
      <c r="I55" s="350"/>
      <c r="J55" s="350"/>
      <c r="K55" s="350"/>
      <c r="L55" s="350"/>
      <c r="M55" s="350"/>
      <c r="N55" s="350"/>
      <c r="O55" s="350"/>
      <c r="P55" s="350"/>
      <c r="Q55" s="350"/>
      <c r="R55" s="350"/>
      <c r="S55" s="350"/>
      <c r="T55" s="350"/>
      <c r="U55" s="350"/>
      <c r="V55" s="86">
        <v>164.5</v>
      </c>
      <c r="W55">
        <f t="shared" si="22"/>
        <v>164.5</v>
      </c>
      <c r="X55">
        <f t="shared" ref="X55:BA55" si="40">IF(AND(X$37-$A55&gt;$V$25,SUM($W55:W55)&lt;&gt;$V55),$V55,0)</f>
        <v>0</v>
      </c>
      <c r="Y55">
        <f t="shared" si="40"/>
        <v>0</v>
      </c>
      <c r="Z55">
        <f t="shared" si="40"/>
        <v>0</v>
      </c>
      <c r="AA55">
        <f t="shared" si="40"/>
        <v>0</v>
      </c>
      <c r="AB55">
        <f t="shared" si="40"/>
        <v>0</v>
      </c>
      <c r="AC55">
        <f t="shared" si="40"/>
        <v>0</v>
      </c>
      <c r="AD55">
        <f t="shared" si="40"/>
        <v>0</v>
      </c>
      <c r="AE55">
        <f t="shared" si="40"/>
        <v>0</v>
      </c>
      <c r="AF55">
        <f t="shared" si="40"/>
        <v>0</v>
      </c>
      <c r="AG55">
        <f t="shared" si="40"/>
        <v>0</v>
      </c>
      <c r="AH55">
        <f t="shared" si="40"/>
        <v>0</v>
      </c>
      <c r="AI55">
        <f t="shared" si="40"/>
        <v>0</v>
      </c>
      <c r="AJ55">
        <f t="shared" si="40"/>
        <v>0</v>
      </c>
      <c r="AK55">
        <f t="shared" si="40"/>
        <v>0</v>
      </c>
      <c r="AL55">
        <f t="shared" si="40"/>
        <v>0</v>
      </c>
      <c r="AM55">
        <f t="shared" si="40"/>
        <v>0</v>
      </c>
      <c r="AN55">
        <f t="shared" si="40"/>
        <v>0</v>
      </c>
      <c r="AO55">
        <f t="shared" si="40"/>
        <v>0</v>
      </c>
      <c r="AP55">
        <f t="shared" si="40"/>
        <v>0</v>
      </c>
      <c r="AQ55">
        <f t="shared" si="40"/>
        <v>0</v>
      </c>
      <c r="AR55">
        <f t="shared" si="40"/>
        <v>0</v>
      </c>
      <c r="AS55">
        <f t="shared" si="40"/>
        <v>0</v>
      </c>
      <c r="AT55">
        <f t="shared" si="40"/>
        <v>0</v>
      </c>
      <c r="AU55">
        <f t="shared" si="40"/>
        <v>0</v>
      </c>
      <c r="AV55">
        <f t="shared" si="40"/>
        <v>0</v>
      </c>
      <c r="AW55">
        <f t="shared" si="40"/>
        <v>0</v>
      </c>
      <c r="AX55">
        <f t="shared" si="40"/>
        <v>0</v>
      </c>
      <c r="AY55">
        <f t="shared" si="40"/>
        <v>0</v>
      </c>
      <c r="AZ55">
        <f t="shared" si="40"/>
        <v>0</v>
      </c>
      <c r="BA55">
        <f t="shared" si="40"/>
        <v>0</v>
      </c>
    </row>
    <row r="56" spans="1:53" ht="15.75" customHeight="1">
      <c r="A56" s="350">
        <v>1913</v>
      </c>
      <c r="B56" s="350"/>
      <c r="C56" s="350"/>
      <c r="D56" s="350"/>
      <c r="E56" s="350"/>
      <c r="F56" s="350"/>
      <c r="G56" s="350"/>
      <c r="H56" s="350"/>
      <c r="I56" s="350"/>
      <c r="J56" s="350"/>
      <c r="K56" s="350"/>
      <c r="L56" s="350"/>
      <c r="M56" s="350"/>
      <c r="N56" s="350"/>
      <c r="O56" s="350"/>
      <c r="P56" s="350"/>
      <c r="Q56" s="350"/>
      <c r="R56" s="350"/>
      <c r="S56" s="350"/>
      <c r="T56" s="350"/>
      <c r="U56" s="350"/>
      <c r="V56" s="86">
        <v>347.09999999999985</v>
      </c>
      <c r="W56">
        <f t="shared" si="22"/>
        <v>347.09999999999985</v>
      </c>
      <c r="X56">
        <f t="shared" ref="X56:BA56" si="41">IF(AND(X$37-$A56&gt;$V$25,SUM($W56:W56)&lt;&gt;$V56),$V56,0)</f>
        <v>0</v>
      </c>
      <c r="Y56">
        <f t="shared" si="41"/>
        <v>0</v>
      </c>
      <c r="Z56">
        <f t="shared" si="41"/>
        <v>0</v>
      </c>
      <c r="AA56">
        <f t="shared" si="41"/>
        <v>0</v>
      </c>
      <c r="AB56">
        <f t="shared" si="41"/>
        <v>0</v>
      </c>
      <c r="AC56">
        <f t="shared" si="41"/>
        <v>0</v>
      </c>
      <c r="AD56">
        <f t="shared" si="41"/>
        <v>0</v>
      </c>
      <c r="AE56">
        <f t="shared" si="41"/>
        <v>0</v>
      </c>
      <c r="AF56">
        <f t="shared" si="41"/>
        <v>0</v>
      </c>
      <c r="AG56">
        <f t="shared" si="41"/>
        <v>0</v>
      </c>
      <c r="AH56">
        <f t="shared" si="41"/>
        <v>0</v>
      </c>
      <c r="AI56">
        <f t="shared" si="41"/>
        <v>0</v>
      </c>
      <c r="AJ56">
        <f t="shared" si="41"/>
        <v>0</v>
      </c>
      <c r="AK56">
        <f t="shared" si="41"/>
        <v>0</v>
      </c>
      <c r="AL56">
        <f t="shared" si="41"/>
        <v>0</v>
      </c>
      <c r="AM56">
        <f t="shared" si="41"/>
        <v>0</v>
      </c>
      <c r="AN56">
        <f t="shared" si="41"/>
        <v>0</v>
      </c>
      <c r="AO56">
        <f t="shared" si="41"/>
        <v>0</v>
      </c>
      <c r="AP56">
        <f t="shared" si="41"/>
        <v>0</v>
      </c>
      <c r="AQ56">
        <f t="shared" si="41"/>
        <v>0</v>
      </c>
      <c r="AR56">
        <f t="shared" si="41"/>
        <v>0</v>
      </c>
      <c r="AS56">
        <f t="shared" si="41"/>
        <v>0</v>
      </c>
      <c r="AT56">
        <f t="shared" si="41"/>
        <v>0</v>
      </c>
      <c r="AU56">
        <f t="shared" si="41"/>
        <v>0</v>
      </c>
      <c r="AV56">
        <f t="shared" si="41"/>
        <v>0</v>
      </c>
      <c r="AW56">
        <f t="shared" si="41"/>
        <v>0</v>
      </c>
      <c r="AX56">
        <f t="shared" si="41"/>
        <v>0</v>
      </c>
      <c r="AY56">
        <f t="shared" si="41"/>
        <v>0</v>
      </c>
      <c r="AZ56">
        <f t="shared" si="41"/>
        <v>0</v>
      </c>
      <c r="BA56">
        <f t="shared" si="41"/>
        <v>0</v>
      </c>
    </row>
    <row r="57" spans="1:53" ht="15.75" customHeight="1">
      <c r="A57" s="350">
        <v>1914</v>
      </c>
      <c r="B57" s="350"/>
      <c r="C57" s="350"/>
      <c r="D57" s="350"/>
      <c r="E57" s="350"/>
      <c r="F57" s="350"/>
      <c r="G57" s="350"/>
      <c r="H57" s="350"/>
      <c r="I57" s="350"/>
      <c r="J57" s="350"/>
      <c r="K57" s="350"/>
      <c r="L57" s="350"/>
      <c r="M57" s="350"/>
      <c r="N57" s="350"/>
      <c r="O57" s="350"/>
      <c r="P57" s="350"/>
      <c r="Q57" s="350"/>
      <c r="R57" s="350"/>
      <c r="S57" s="350"/>
      <c r="T57" s="350"/>
      <c r="U57" s="350"/>
      <c r="V57" s="86">
        <v>126.80000000000003</v>
      </c>
      <c r="W57">
        <f t="shared" si="22"/>
        <v>126.80000000000003</v>
      </c>
      <c r="X57">
        <f t="shared" ref="X57:BA57" si="42">IF(AND(X$37-$A57&gt;$V$25,SUM($W57:W57)&lt;&gt;$V57),$V57,0)</f>
        <v>0</v>
      </c>
      <c r="Y57">
        <f t="shared" si="42"/>
        <v>0</v>
      </c>
      <c r="Z57">
        <f t="shared" si="42"/>
        <v>0</v>
      </c>
      <c r="AA57">
        <f t="shared" si="42"/>
        <v>0</v>
      </c>
      <c r="AB57">
        <f t="shared" si="42"/>
        <v>0</v>
      </c>
      <c r="AC57">
        <f t="shared" si="42"/>
        <v>0</v>
      </c>
      <c r="AD57">
        <f t="shared" si="42"/>
        <v>0</v>
      </c>
      <c r="AE57">
        <f t="shared" si="42"/>
        <v>0</v>
      </c>
      <c r="AF57">
        <f t="shared" si="42"/>
        <v>0</v>
      </c>
      <c r="AG57">
        <f t="shared" si="42"/>
        <v>0</v>
      </c>
      <c r="AH57">
        <f t="shared" si="42"/>
        <v>0</v>
      </c>
      <c r="AI57">
        <f t="shared" si="42"/>
        <v>0</v>
      </c>
      <c r="AJ57">
        <f t="shared" si="42"/>
        <v>0</v>
      </c>
      <c r="AK57">
        <f t="shared" si="42"/>
        <v>0</v>
      </c>
      <c r="AL57">
        <f t="shared" si="42"/>
        <v>0</v>
      </c>
      <c r="AM57">
        <f t="shared" si="42"/>
        <v>0</v>
      </c>
      <c r="AN57">
        <f t="shared" si="42"/>
        <v>0</v>
      </c>
      <c r="AO57">
        <f t="shared" si="42"/>
        <v>0</v>
      </c>
      <c r="AP57">
        <f t="shared" si="42"/>
        <v>0</v>
      </c>
      <c r="AQ57">
        <f t="shared" si="42"/>
        <v>0</v>
      </c>
      <c r="AR57">
        <f t="shared" si="42"/>
        <v>0</v>
      </c>
      <c r="AS57">
        <f t="shared" si="42"/>
        <v>0</v>
      </c>
      <c r="AT57">
        <f t="shared" si="42"/>
        <v>0</v>
      </c>
      <c r="AU57">
        <f t="shared" si="42"/>
        <v>0</v>
      </c>
      <c r="AV57">
        <f t="shared" si="42"/>
        <v>0</v>
      </c>
      <c r="AW57">
        <f t="shared" si="42"/>
        <v>0</v>
      </c>
      <c r="AX57">
        <f t="shared" si="42"/>
        <v>0</v>
      </c>
      <c r="AY57">
        <f t="shared" si="42"/>
        <v>0</v>
      </c>
      <c r="AZ57">
        <f t="shared" si="42"/>
        <v>0</v>
      </c>
      <c r="BA57">
        <f t="shared" si="42"/>
        <v>0</v>
      </c>
    </row>
    <row r="58" spans="1:53" ht="15.75" customHeight="1">
      <c r="A58" s="350">
        <v>1915</v>
      </c>
      <c r="B58" s="350"/>
      <c r="C58" s="350"/>
      <c r="D58" s="350"/>
      <c r="E58" s="350"/>
      <c r="F58" s="350"/>
      <c r="G58" s="350"/>
      <c r="H58" s="350"/>
      <c r="I58" s="350"/>
      <c r="J58" s="350"/>
      <c r="K58" s="350"/>
      <c r="L58" s="350"/>
      <c r="M58" s="350"/>
      <c r="N58" s="350"/>
      <c r="O58" s="350"/>
      <c r="P58" s="350"/>
      <c r="Q58" s="350"/>
      <c r="R58" s="350"/>
      <c r="S58" s="350"/>
      <c r="T58" s="350"/>
      <c r="U58" s="350"/>
      <c r="V58" s="86">
        <v>283.39999999999998</v>
      </c>
      <c r="W58">
        <f t="shared" si="22"/>
        <v>283.39999999999998</v>
      </c>
      <c r="X58">
        <f t="shared" ref="X58:BA58" si="43">IF(AND(X$37-$A58&gt;$V$25,SUM($W58:W58)&lt;&gt;$V58),$V58,0)</f>
        <v>0</v>
      </c>
      <c r="Y58">
        <f t="shared" si="43"/>
        <v>0</v>
      </c>
      <c r="Z58">
        <f t="shared" si="43"/>
        <v>0</v>
      </c>
      <c r="AA58">
        <f t="shared" si="43"/>
        <v>0</v>
      </c>
      <c r="AB58">
        <f t="shared" si="43"/>
        <v>0</v>
      </c>
      <c r="AC58">
        <f t="shared" si="43"/>
        <v>0</v>
      </c>
      <c r="AD58">
        <f t="shared" si="43"/>
        <v>0</v>
      </c>
      <c r="AE58">
        <f t="shared" si="43"/>
        <v>0</v>
      </c>
      <c r="AF58">
        <f t="shared" si="43"/>
        <v>0</v>
      </c>
      <c r="AG58">
        <f t="shared" si="43"/>
        <v>0</v>
      </c>
      <c r="AH58">
        <f t="shared" si="43"/>
        <v>0</v>
      </c>
      <c r="AI58">
        <f t="shared" si="43"/>
        <v>0</v>
      </c>
      <c r="AJ58">
        <f t="shared" si="43"/>
        <v>0</v>
      </c>
      <c r="AK58">
        <f t="shared" si="43"/>
        <v>0</v>
      </c>
      <c r="AL58">
        <f t="shared" si="43"/>
        <v>0</v>
      </c>
      <c r="AM58">
        <f t="shared" si="43"/>
        <v>0</v>
      </c>
      <c r="AN58">
        <f t="shared" si="43"/>
        <v>0</v>
      </c>
      <c r="AO58">
        <f t="shared" si="43"/>
        <v>0</v>
      </c>
      <c r="AP58">
        <f t="shared" si="43"/>
        <v>0</v>
      </c>
      <c r="AQ58">
        <f t="shared" si="43"/>
        <v>0</v>
      </c>
      <c r="AR58">
        <f t="shared" si="43"/>
        <v>0</v>
      </c>
      <c r="AS58">
        <f t="shared" si="43"/>
        <v>0</v>
      </c>
      <c r="AT58">
        <f t="shared" si="43"/>
        <v>0</v>
      </c>
      <c r="AU58">
        <f t="shared" si="43"/>
        <v>0</v>
      </c>
      <c r="AV58">
        <f t="shared" si="43"/>
        <v>0</v>
      </c>
      <c r="AW58">
        <f t="shared" si="43"/>
        <v>0</v>
      </c>
      <c r="AX58">
        <f t="shared" si="43"/>
        <v>0</v>
      </c>
      <c r="AY58">
        <f t="shared" si="43"/>
        <v>0</v>
      </c>
      <c r="AZ58">
        <f t="shared" si="43"/>
        <v>0</v>
      </c>
      <c r="BA58">
        <f t="shared" si="43"/>
        <v>0</v>
      </c>
    </row>
    <row r="59" spans="1:53" ht="15.75" customHeight="1">
      <c r="A59" s="350">
        <v>1916</v>
      </c>
      <c r="B59" s="350"/>
      <c r="C59" s="350"/>
      <c r="D59" s="350"/>
      <c r="E59" s="350"/>
      <c r="F59" s="350"/>
      <c r="G59" s="350"/>
      <c r="H59" s="350"/>
      <c r="I59" s="350"/>
      <c r="J59" s="350"/>
      <c r="K59" s="350"/>
      <c r="L59" s="350"/>
      <c r="M59" s="350"/>
      <c r="N59" s="350"/>
      <c r="O59" s="350"/>
      <c r="P59" s="350"/>
      <c r="Q59" s="350"/>
      <c r="R59" s="350"/>
      <c r="S59" s="350"/>
      <c r="T59" s="350"/>
      <c r="U59" s="350"/>
      <c r="V59" s="86">
        <v>170.70000000000007</v>
      </c>
      <c r="W59">
        <f t="shared" si="22"/>
        <v>170.70000000000007</v>
      </c>
      <c r="X59">
        <f t="shared" ref="X59:BA59" si="44">IF(AND(X$37-$A59&gt;$V$25,SUM($W59:W59)&lt;&gt;$V59),$V59,0)</f>
        <v>0</v>
      </c>
      <c r="Y59">
        <f t="shared" si="44"/>
        <v>0</v>
      </c>
      <c r="Z59">
        <f t="shared" si="44"/>
        <v>0</v>
      </c>
      <c r="AA59">
        <f t="shared" si="44"/>
        <v>0</v>
      </c>
      <c r="AB59">
        <f t="shared" si="44"/>
        <v>0</v>
      </c>
      <c r="AC59">
        <f t="shared" si="44"/>
        <v>0</v>
      </c>
      <c r="AD59">
        <f t="shared" si="44"/>
        <v>0</v>
      </c>
      <c r="AE59">
        <f t="shared" si="44"/>
        <v>0</v>
      </c>
      <c r="AF59">
        <f t="shared" si="44"/>
        <v>0</v>
      </c>
      <c r="AG59">
        <f t="shared" si="44"/>
        <v>0</v>
      </c>
      <c r="AH59">
        <f t="shared" si="44"/>
        <v>0</v>
      </c>
      <c r="AI59">
        <f t="shared" si="44"/>
        <v>0</v>
      </c>
      <c r="AJ59">
        <f t="shared" si="44"/>
        <v>0</v>
      </c>
      <c r="AK59">
        <f t="shared" si="44"/>
        <v>0</v>
      </c>
      <c r="AL59">
        <f t="shared" si="44"/>
        <v>0</v>
      </c>
      <c r="AM59">
        <f t="shared" si="44"/>
        <v>0</v>
      </c>
      <c r="AN59">
        <f t="shared" si="44"/>
        <v>0</v>
      </c>
      <c r="AO59">
        <f t="shared" si="44"/>
        <v>0</v>
      </c>
      <c r="AP59">
        <f t="shared" si="44"/>
        <v>0</v>
      </c>
      <c r="AQ59">
        <f t="shared" si="44"/>
        <v>0</v>
      </c>
      <c r="AR59">
        <f t="shared" si="44"/>
        <v>0</v>
      </c>
      <c r="AS59">
        <f t="shared" si="44"/>
        <v>0</v>
      </c>
      <c r="AT59">
        <f t="shared" si="44"/>
        <v>0</v>
      </c>
      <c r="AU59">
        <f t="shared" si="44"/>
        <v>0</v>
      </c>
      <c r="AV59">
        <f t="shared" si="44"/>
        <v>0</v>
      </c>
      <c r="AW59">
        <f t="shared" si="44"/>
        <v>0</v>
      </c>
      <c r="AX59">
        <f t="shared" si="44"/>
        <v>0</v>
      </c>
      <c r="AY59">
        <f t="shared" si="44"/>
        <v>0</v>
      </c>
      <c r="AZ59">
        <f t="shared" si="44"/>
        <v>0</v>
      </c>
      <c r="BA59">
        <f t="shared" si="44"/>
        <v>0</v>
      </c>
    </row>
    <row r="60" spans="1:53" ht="15.75" customHeight="1">
      <c r="A60" s="350">
        <v>1917</v>
      </c>
      <c r="B60" s="350"/>
      <c r="C60" s="350"/>
      <c r="D60" s="350"/>
      <c r="E60" s="350"/>
      <c r="F60" s="350"/>
      <c r="G60" s="350"/>
      <c r="H60" s="350"/>
      <c r="I60" s="350"/>
      <c r="J60" s="350"/>
      <c r="K60" s="350"/>
      <c r="L60" s="350"/>
      <c r="M60" s="350"/>
      <c r="N60" s="350"/>
      <c r="O60" s="350"/>
      <c r="P60" s="350"/>
      <c r="Q60" s="350"/>
      <c r="R60" s="350"/>
      <c r="S60" s="350"/>
      <c r="T60" s="350"/>
      <c r="U60" s="350"/>
      <c r="V60" s="86">
        <v>243.20000000000013</v>
      </c>
      <c r="W60">
        <f t="shared" si="22"/>
        <v>243.20000000000013</v>
      </c>
      <c r="X60">
        <f t="shared" ref="X60:BA60" si="45">IF(AND(X$37-$A60&gt;$V$25,SUM($W60:W60)&lt;&gt;$V60),$V60,0)</f>
        <v>0</v>
      </c>
      <c r="Y60">
        <f t="shared" si="45"/>
        <v>0</v>
      </c>
      <c r="Z60">
        <f t="shared" si="45"/>
        <v>0</v>
      </c>
      <c r="AA60">
        <f t="shared" si="45"/>
        <v>0</v>
      </c>
      <c r="AB60">
        <f t="shared" si="45"/>
        <v>0</v>
      </c>
      <c r="AC60">
        <f t="shared" si="45"/>
        <v>0</v>
      </c>
      <c r="AD60">
        <f t="shared" si="45"/>
        <v>0</v>
      </c>
      <c r="AE60">
        <f t="shared" si="45"/>
        <v>0</v>
      </c>
      <c r="AF60">
        <f t="shared" si="45"/>
        <v>0</v>
      </c>
      <c r="AG60">
        <f t="shared" si="45"/>
        <v>0</v>
      </c>
      <c r="AH60">
        <f t="shared" si="45"/>
        <v>0</v>
      </c>
      <c r="AI60">
        <f t="shared" si="45"/>
        <v>0</v>
      </c>
      <c r="AJ60">
        <f t="shared" si="45"/>
        <v>0</v>
      </c>
      <c r="AK60">
        <f t="shared" si="45"/>
        <v>0</v>
      </c>
      <c r="AL60">
        <f t="shared" si="45"/>
        <v>0</v>
      </c>
      <c r="AM60">
        <f t="shared" si="45"/>
        <v>0</v>
      </c>
      <c r="AN60">
        <f t="shared" si="45"/>
        <v>0</v>
      </c>
      <c r="AO60">
        <f t="shared" si="45"/>
        <v>0</v>
      </c>
      <c r="AP60">
        <f t="shared" si="45"/>
        <v>0</v>
      </c>
      <c r="AQ60">
        <f t="shared" si="45"/>
        <v>0</v>
      </c>
      <c r="AR60">
        <f t="shared" si="45"/>
        <v>0</v>
      </c>
      <c r="AS60">
        <f t="shared" si="45"/>
        <v>0</v>
      </c>
      <c r="AT60">
        <f t="shared" si="45"/>
        <v>0</v>
      </c>
      <c r="AU60">
        <f t="shared" si="45"/>
        <v>0</v>
      </c>
      <c r="AV60">
        <f t="shared" si="45"/>
        <v>0</v>
      </c>
      <c r="AW60">
        <f t="shared" si="45"/>
        <v>0</v>
      </c>
      <c r="AX60">
        <f t="shared" si="45"/>
        <v>0</v>
      </c>
      <c r="AY60">
        <f t="shared" si="45"/>
        <v>0</v>
      </c>
      <c r="AZ60">
        <f t="shared" si="45"/>
        <v>0</v>
      </c>
      <c r="BA60">
        <f t="shared" si="45"/>
        <v>0</v>
      </c>
    </row>
    <row r="61" spans="1:53" ht="15.75" customHeight="1">
      <c r="A61" s="350">
        <v>1918</v>
      </c>
      <c r="B61" s="350"/>
      <c r="C61" s="350"/>
      <c r="D61" s="350"/>
      <c r="E61" s="350"/>
      <c r="F61" s="350"/>
      <c r="G61" s="350"/>
      <c r="H61" s="350"/>
      <c r="I61" s="350"/>
      <c r="J61" s="350"/>
      <c r="K61" s="350"/>
      <c r="L61" s="350"/>
      <c r="M61" s="350"/>
      <c r="N61" s="350"/>
      <c r="O61" s="350"/>
      <c r="P61" s="350"/>
      <c r="Q61" s="350"/>
      <c r="R61" s="350"/>
      <c r="S61" s="350"/>
      <c r="T61" s="350"/>
      <c r="U61" s="350"/>
      <c r="V61" s="86">
        <v>149.10000000000002</v>
      </c>
      <c r="W61">
        <f t="shared" si="22"/>
        <v>149.10000000000002</v>
      </c>
      <c r="X61">
        <f t="shared" ref="X61:BA61" si="46">IF(AND(X$37-$A61&gt;$V$25,SUM($W61:W61)&lt;&gt;$V61),$V61,0)</f>
        <v>0</v>
      </c>
      <c r="Y61">
        <f t="shared" si="46"/>
        <v>0</v>
      </c>
      <c r="Z61">
        <f t="shared" si="46"/>
        <v>0</v>
      </c>
      <c r="AA61">
        <f t="shared" si="46"/>
        <v>0</v>
      </c>
      <c r="AB61">
        <f t="shared" si="46"/>
        <v>0</v>
      </c>
      <c r="AC61">
        <f t="shared" si="46"/>
        <v>0</v>
      </c>
      <c r="AD61">
        <f t="shared" si="46"/>
        <v>0</v>
      </c>
      <c r="AE61">
        <f t="shared" si="46"/>
        <v>0</v>
      </c>
      <c r="AF61">
        <f t="shared" si="46"/>
        <v>0</v>
      </c>
      <c r="AG61">
        <f t="shared" si="46"/>
        <v>0</v>
      </c>
      <c r="AH61">
        <f t="shared" si="46"/>
        <v>0</v>
      </c>
      <c r="AI61">
        <f t="shared" si="46"/>
        <v>0</v>
      </c>
      <c r="AJ61">
        <f t="shared" si="46"/>
        <v>0</v>
      </c>
      <c r="AK61">
        <f t="shared" si="46"/>
        <v>0</v>
      </c>
      <c r="AL61">
        <f t="shared" si="46"/>
        <v>0</v>
      </c>
      <c r="AM61">
        <f t="shared" si="46"/>
        <v>0</v>
      </c>
      <c r="AN61">
        <f t="shared" si="46"/>
        <v>0</v>
      </c>
      <c r="AO61">
        <f t="shared" si="46"/>
        <v>0</v>
      </c>
      <c r="AP61">
        <f t="shared" si="46"/>
        <v>0</v>
      </c>
      <c r="AQ61">
        <f t="shared" si="46"/>
        <v>0</v>
      </c>
      <c r="AR61">
        <f t="shared" si="46"/>
        <v>0</v>
      </c>
      <c r="AS61">
        <f t="shared" si="46"/>
        <v>0</v>
      </c>
      <c r="AT61">
        <f t="shared" si="46"/>
        <v>0</v>
      </c>
      <c r="AU61">
        <f t="shared" si="46"/>
        <v>0</v>
      </c>
      <c r="AV61">
        <f t="shared" si="46"/>
        <v>0</v>
      </c>
      <c r="AW61">
        <f t="shared" si="46"/>
        <v>0</v>
      </c>
      <c r="AX61">
        <f t="shared" si="46"/>
        <v>0</v>
      </c>
      <c r="AY61">
        <f t="shared" si="46"/>
        <v>0</v>
      </c>
      <c r="AZ61">
        <f t="shared" si="46"/>
        <v>0</v>
      </c>
      <c r="BA61">
        <f t="shared" si="46"/>
        <v>0</v>
      </c>
    </row>
    <row r="62" spans="1:53" ht="15.75" customHeight="1">
      <c r="A62" s="350">
        <v>1919</v>
      </c>
      <c r="B62" s="350"/>
      <c r="C62" s="350"/>
      <c r="D62" s="350"/>
      <c r="E62" s="350"/>
      <c r="F62" s="350"/>
      <c r="G62" s="350"/>
      <c r="H62" s="350"/>
      <c r="I62" s="350"/>
      <c r="J62" s="350"/>
      <c r="K62" s="350"/>
      <c r="L62" s="350"/>
      <c r="M62" s="350"/>
      <c r="N62" s="350"/>
      <c r="O62" s="350"/>
      <c r="P62" s="350"/>
      <c r="Q62" s="350"/>
      <c r="R62" s="350"/>
      <c r="S62" s="350"/>
      <c r="T62" s="350"/>
      <c r="U62" s="350"/>
      <c r="V62" s="86">
        <v>237.4</v>
      </c>
      <c r="W62">
        <f t="shared" si="22"/>
        <v>237.4</v>
      </c>
      <c r="X62">
        <f t="shared" ref="X62:BA62" si="47">IF(AND(X$37-$A62&gt;$V$25,SUM($W62:W62)&lt;&gt;$V62),$V62,0)</f>
        <v>0</v>
      </c>
      <c r="Y62">
        <f t="shared" si="47"/>
        <v>0</v>
      </c>
      <c r="Z62">
        <f t="shared" si="47"/>
        <v>0</v>
      </c>
      <c r="AA62">
        <f t="shared" si="47"/>
        <v>0</v>
      </c>
      <c r="AB62">
        <f t="shared" si="47"/>
        <v>0</v>
      </c>
      <c r="AC62">
        <f t="shared" si="47"/>
        <v>0</v>
      </c>
      <c r="AD62">
        <f t="shared" si="47"/>
        <v>0</v>
      </c>
      <c r="AE62">
        <f t="shared" si="47"/>
        <v>0</v>
      </c>
      <c r="AF62">
        <f t="shared" si="47"/>
        <v>0</v>
      </c>
      <c r="AG62">
        <f t="shared" si="47"/>
        <v>0</v>
      </c>
      <c r="AH62">
        <f t="shared" si="47"/>
        <v>0</v>
      </c>
      <c r="AI62">
        <f t="shared" si="47"/>
        <v>0</v>
      </c>
      <c r="AJ62">
        <f t="shared" si="47"/>
        <v>0</v>
      </c>
      <c r="AK62">
        <f t="shared" si="47"/>
        <v>0</v>
      </c>
      <c r="AL62">
        <f t="shared" si="47"/>
        <v>0</v>
      </c>
      <c r="AM62">
        <f t="shared" si="47"/>
        <v>0</v>
      </c>
      <c r="AN62">
        <f t="shared" si="47"/>
        <v>0</v>
      </c>
      <c r="AO62">
        <f t="shared" si="47"/>
        <v>0</v>
      </c>
      <c r="AP62">
        <f t="shared" si="47"/>
        <v>0</v>
      </c>
      <c r="AQ62">
        <f t="shared" si="47"/>
        <v>0</v>
      </c>
      <c r="AR62">
        <f t="shared" si="47"/>
        <v>0</v>
      </c>
      <c r="AS62">
        <f t="shared" si="47"/>
        <v>0</v>
      </c>
      <c r="AT62">
        <f t="shared" si="47"/>
        <v>0</v>
      </c>
      <c r="AU62">
        <f t="shared" si="47"/>
        <v>0</v>
      </c>
      <c r="AV62">
        <f t="shared" si="47"/>
        <v>0</v>
      </c>
      <c r="AW62">
        <f t="shared" si="47"/>
        <v>0</v>
      </c>
      <c r="AX62">
        <f t="shared" si="47"/>
        <v>0</v>
      </c>
      <c r="AY62">
        <f t="shared" si="47"/>
        <v>0</v>
      </c>
      <c r="AZ62">
        <f t="shared" si="47"/>
        <v>0</v>
      </c>
      <c r="BA62">
        <f t="shared" si="47"/>
        <v>0</v>
      </c>
    </row>
    <row r="63" spans="1:53" ht="15.75" customHeight="1">
      <c r="A63" s="350">
        <v>1920</v>
      </c>
      <c r="B63" s="350"/>
      <c r="C63" s="350"/>
      <c r="D63" s="350"/>
      <c r="E63" s="350"/>
      <c r="F63" s="350"/>
      <c r="G63" s="350"/>
      <c r="H63" s="350"/>
      <c r="I63" s="350"/>
      <c r="J63" s="350"/>
      <c r="K63" s="350"/>
      <c r="L63" s="350"/>
      <c r="M63" s="350"/>
      <c r="N63" s="350"/>
      <c r="O63" s="350"/>
      <c r="P63" s="350"/>
      <c r="Q63" s="350"/>
      <c r="R63" s="350"/>
      <c r="S63" s="350"/>
      <c r="T63" s="350"/>
      <c r="U63" s="350"/>
      <c r="V63" s="86">
        <v>111.10000000000002</v>
      </c>
      <c r="W63">
        <f t="shared" si="22"/>
        <v>111.10000000000002</v>
      </c>
      <c r="X63">
        <f t="shared" ref="X63:AZ63" si="48">IF(AND(X$37-$A63&gt;$V$25,SUM($W63:W63)&lt;&gt;$V63),$V63,0)</f>
        <v>0</v>
      </c>
      <c r="Y63">
        <f t="shared" si="48"/>
        <v>0</v>
      </c>
      <c r="Z63">
        <f t="shared" si="48"/>
        <v>0</v>
      </c>
      <c r="AA63">
        <f t="shared" si="48"/>
        <v>0</v>
      </c>
      <c r="AB63">
        <f t="shared" si="48"/>
        <v>0</v>
      </c>
      <c r="AC63">
        <f t="shared" si="48"/>
        <v>0</v>
      </c>
      <c r="AD63">
        <f t="shared" si="48"/>
        <v>0</v>
      </c>
      <c r="AE63">
        <f t="shared" si="48"/>
        <v>0</v>
      </c>
      <c r="AF63">
        <f t="shared" si="48"/>
        <v>0</v>
      </c>
      <c r="AG63">
        <f t="shared" si="48"/>
        <v>0</v>
      </c>
      <c r="AH63">
        <f t="shared" si="48"/>
        <v>0</v>
      </c>
      <c r="AI63">
        <f t="shared" si="48"/>
        <v>0</v>
      </c>
      <c r="AJ63">
        <f t="shared" si="48"/>
        <v>0</v>
      </c>
      <c r="AK63">
        <f t="shared" si="48"/>
        <v>0</v>
      </c>
      <c r="AL63">
        <f t="shared" si="48"/>
        <v>0</v>
      </c>
      <c r="AM63">
        <f t="shared" si="48"/>
        <v>0</v>
      </c>
      <c r="AN63">
        <f t="shared" si="48"/>
        <v>0</v>
      </c>
      <c r="AO63">
        <f t="shared" si="48"/>
        <v>0</v>
      </c>
      <c r="AP63">
        <f t="shared" si="48"/>
        <v>0</v>
      </c>
      <c r="AQ63">
        <f t="shared" si="48"/>
        <v>0</v>
      </c>
      <c r="AR63">
        <f t="shared" si="48"/>
        <v>0</v>
      </c>
      <c r="AS63">
        <f t="shared" si="48"/>
        <v>0</v>
      </c>
      <c r="AT63">
        <f t="shared" si="48"/>
        <v>0</v>
      </c>
      <c r="AU63">
        <f t="shared" si="48"/>
        <v>0</v>
      </c>
      <c r="AV63">
        <f t="shared" si="48"/>
        <v>0</v>
      </c>
      <c r="AW63">
        <f t="shared" si="48"/>
        <v>0</v>
      </c>
      <c r="AX63">
        <f t="shared" si="48"/>
        <v>0</v>
      </c>
      <c r="AY63">
        <f t="shared" si="48"/>
        <v>0</v>
      </c>
      <c r="AZ63">
        <f t="shared" si="48"/>
        <v>0</v>
      </c>
    </row>
    <row r="64" spans="1:53" ht="15.75" customHeight="1">
      <c r="A64" s="350">
        <v>1921</v>
      </c>
      <c r="B64" s="350"/>
      <c r="C64" s="350"/>
      <c r="D64" s="350"/>
      <c r="E64" s="350"/>
      <c r="F64" s="350"/>
      <c r="G64" s="350"/>
      <c r="H64" s="350"/>
      <c r="I64" s="350"/>
      <c r="J64" s="350"/>
      <c r="K64" s="350"/>
      <c r="L64" s="350"/>
      <c r="M64" s="350"/>
      <c r="N64" s="350"/>
      <c r="O64" s="350"/>
      <c r="P64" s="350"/>
      <c r="Q64" s="350"/>
      <c r="R64" s="350"/>
      <c r="S64" s="350"/>
      <c r="T64" s="350"/>
      <c r="U64" s="350"/>
      <c r="V64" s="86">
        <v>270.2</v>
      </c>
      <c r="W64">
        <f t="shared" si="22"/>
        <v>270.2</v>
      </c>
      <c r="X64">
        <f t="shared" ref="X64:AZ64" si="49">IF(AND(X$37-$A64&gt;$V$25,SUM($W64:W64)&lt;&gt;$V64),$V64,0)</f>
        <v>0</v>
      </c>
      <c r="Y64">
        <f t="shared" si="49"/>
        <v>0</v>
      </c>
      <c r="Z64">
        <f t="shared" si="49"/>
        <v>0</v>
      </c>
      <c r="AA64">
        <f t="shared" si="49"/>
        <v>0</v>
      </c>
      <c r="AB64">
        <f t="shared" si="49"/>
        <v>0</v>
      </c>
      <c r="AC64">
        <f t="shared" si="49"/>
        <v>0</v>
      </c>
      <c r="AD64">
        <f t="shared" si="49"/>
        <v>0</v>
      </c>
      <c r="AE64">
        <f t="shared" si="49"/>
        <v>0</v>
      </c>
      <c r="AF64">
        <f t="shared" si="49"/>
        <v>0</v>
      </c>
      <c r="AG64">
        <f t="shared" si="49"/>
        <v>0</v>
      </c>
      <c r="AH64">
        <f t="shared" si="49"/>
        <v>0</v>
      </c>
      <c r="AI64">
        <f t="shared" si="49"/>
        <v>0</v>
      </c>
      <c r="AJ64">
        <f t="shared" si="49"/>
        <v>0</v>
      </c>
      <c r="AK64">
        <f t="shared" si="49"/>
        <v>0</v>
      </c>
      <c r="AL64">
        <f t="shared" si="49"/>
        <v>0</v>
      </c>
      <c r="AM64">
        <f t="shared" si="49"/>
        <v>0</v>
      </c>
      <c r="AN64">
        <f t="shared" si="49"/>
        <v>0</v>
      </c>
      <c r="AO64">
        <f t="shared" si="49"/>
        <v>0</v>
      </c>
      <c r="AP64">
        <f t="shared" si="49"/>
        <v>0</v>
      </c>
      <c r="AQ64">
        <f t="shared" si="49"/>
        <v>0</v>
      </c>
      <c r="AR64">
        <f t="shared" si="49"/>
        <v>0</v>
      </c>
      <c r="AS64">
        <f t="shared" si="49"/>
        <v>0</v>
      </c>
      <c r="AT64">
        <f t="shared" si="49"/>
        <v>0</v>
      </c>
      <c r="AU64">
        <f t="shared" si="49"/>
        <v>0</v>
      </c>
      <c r="AV64">
        <f t="shared" si="49"/>
        <v>0</v>
      </c>
      <c r="AW64">
        <f t="shared" si="49"/>
        <v>0</v>
      </c>
      <c r="AX64">
        <f t="shared" si="49"/>
        <v>0</v>
      </c>
      <c r="AY64">
        <f t="shared" si="49"/>
        <v>0</v>
      </c>
      <c r="AZ64">
        <f t="shared" si="49"/>
        <v>0</v>
      </c>
    </row>
    <row r="65" spans="1:52" ht="15.75" customHeight="1">
      <c r="A65" s="350">
        <v>1922</v>
      </c>
      <c r="B65" s="350"/>
      <c r="C65" s="350"/>
      <c r="D65" s="350"/>
      <c r="E65" s="350"/>
      <c r="F65" s="350"/>
      <c r="G65" s="350"/>
      <c r="H65" s="350"/>
      <c r="I65" s="350"/>
      <c r="J65" s="350"/>
      <c r="K65" s="350"/>
      <c r="L65" s="350"/>
      <c r="M65" s="350"/>
      <c r="N65" s="350"/>
      <c r="O65" s="350"/>
      <c r="P65" s="350"/>
      <c r="Q65" s="350"/>
      <c r="R65" s="350"/>
      <c r="S65" s="350"/>
      <c r="T65" s="350"/>
      <c r="U65" s="350"/>
      <c r="V65" s="86">
        <v>149.30000000000001</v>
      </c>
      <c r="W65">
        <f t="shared" si="22"/>
        <v>149.30000000000001</v>
      </c>
      <c r="X65">
        <f t="shared" ref="X65:AZ65" si="50">IF(AND(X$37-$A65&gt;$V$25,SUM($W65:W65)&lt;&gt;$V65),$V65,0)</f>
        <v>0</v>
      </c>
      <c r="Y65">
        <f t="shared" si="50"/>
        <v>0</v>
      </c>
      <c r="Z65">
        <f t="shared" si="50"/>
        <v>0</v>
      </c>
      <c r="AA65">
        <f t="shared" si="50"/>
        <v>0</v>
      </c>
      <c r="AB65">
        <f t="shared" si="50"/>
        <v>0</v>
      </c>
      <c r="AC65">
        <f t="shared" si="50"/>
        <v>0</v>
      </c>
      <c r="AD65">
        <f t="shared" si="50"/>
        <v>0</v>
      </c>
      <c r="AE65">
        <f t="shared" si="50"/>
        <v>0</v>
      </c>
      <c r="AF65">
        <f t="shared" si="50"/>
        <v>0</v>
      </c>
      <c r="AG65">
        <f t="shared" si="50"/>
        <v>0</v>
      </c>
      <c r="AH65">
        <f t="shared" si="50"/>
        <v>0</v>
      </c>
      <c r="AI65">
        <f t="shared" si="50"/>
        <v>0</v>
      </c>
      <c r="AJ65">
        <f t="shared" si="50"/>
        <v>0</v>
      </c>
      <c r="AK65">
        <f t="shared" si="50"/>
        <v>0</v>
      </c>
      <c r="AL65">
        <f t="shared" si="50"/>
        <v>0</v>
      </c>
      <c r="AM65">
        <f t="shared" si="50"/>
        <v>0</v>
      </c>
      <c r="AN65">
        <f t="shared" si="50"/>
        <v>0</v>
      </c>
      <c r="AO65">
        <f t="shared" si="50"/>
        <v>0</v>
      </c>
      <c r="AP65">
        <f t="shared" si="50"/>
        <v>0</v>
      </c>
      <c r="AQ65">
        <f t="shared" si="50"/>
        <v>0</v>
      </c>
      <c r="AR65">
        <f t="shared" si="50"/>
        <v>0</v>
      </c>
      <c r="AS65">
        <f t="shared" si="50"/>
        <v>0</v>
      </c>
      <c r="AT65">
        <f t="shared" si="50"/>
        <v>0</v>
      </c>
      <c r="AU65">
        <f t="shared" si="50"/>
        <v>0</v>
      </c>
      <c r="AV65">
        <f t="shared" si="50"/>
        <v>0</v>
      </c>
      <c r="AW65">
        <f t="shared" si="50"/>
        <v>0</v>
      </c>
      <c r="AX65">
        <f t="shared" si="50"/>
        <v>0</v>
      </c>
      <c r="AY65">
        <f t="shared" si="50"/>
        <v>0</v>
      </c>
      <c r="AZ65">
        <f t="shared" si="50"/>
        <v>0</v>
      </c>
    </row>
    <row r="66" spans="1:52" ht="15.75" customHeight="1">
      <c r="A66" s="350">
        <v>1923</v>
      </c>
      <c r="B66" s="350"/>
      <c r="C66" s="350"/>
      <c r="D66" s="350"/>
      <c r="E66" s="350"/>
      <c r="F66" s="350"/>
      <c r="G66" s="350"/>
      <c r="H66" s="350"/>
      <c r="I66" s="350"/>
      <c r="J66" s="350"/>
      <c r="K66" s="350"/>
      <c r="L66" s="350"/>
      <c r="M66" s="350"/>
      <c r="N66" s="350"/>
      <c r="O66" s="350"/>
      <c r="P66" s="350"/>
      <c r="Q66" s="350"/>
      <c r="R66" s="350"/>
      <c r="S66" s="350"/>
      <c r="T66" s="350"/>
      <c r="U66" s="350"/>
      <c r="V66" s="86">
        <v>384.99999999999994</v>
      </c>
      <c r="W66">
        <f t="shared" si="22"/>
        <v>384.99999999999994</v>
      </c>
      <c r="X66">
        <f t="shared" ref="X66:AZ66" si="51">IF(AND(X$37-$A66&gt;$V$25,SUM($W66:W66)&lt;&gt;$V66),$V66,0)</f>
        <v>0</v>
      </c>
      <c r="Y66">
        <f t="shared" si="51"/>
        <v>0</v>
      </c>
      <c r="Z66">
        <f t="shared" si="51"/>
        <v>0</v>
      </c>
      <c r="AA66">
        <f t="shared" si="51"/>
        <v>0</v>
      </c>
      <c r="AB66">
        <f t="shared" si="51"/>
        <v>0</v>
      </c>
      <c r="AC66">
        <f t="shared" si="51"/>
        <v>0</v>
      </c>
      <c r="AD66">
        <f t="shared" si="51"/>
        <v>0</v>
      </c>
      <c r="AE66">
        <f t="shared" si="51"/>
        <v>0</v>
      </c>
      <c r="AF66">
        <f t="shared" si="51"/>
        <v>0</v>
      </c>
      <c r="AG66">
        <f t="shared" si="51"/>
        <v>0</v>
      </c>
      <c r="AH66">
        <f t="shared" si="51"/>
        <v>0</v>
      </c>
      <c r="AI66">
        <f t="shared" si="51"/>
        <v>0</v>
      </c>
      <c r="AJ66">
        <f t="shared" si="51"/>
        <v>0</v>
      </c>
      <c r="AK66">
        <f t="shared" si="51"/>
        <v>0</v>
      </c>
      <c r="AL66">
        <f t="shared" si="51"/>
        <v>0</v>
      </c>
      <c r="AM66">
        <f t="shared" si="51"/>
        <v>0</v>
      </c>
      <c r="AN66">
        <f t="shared" si="51"/>
        <v>0</v>
      </c>
      <c r="AO66">
        <f t="shared" si="51"/>
        <v>0</v>
      </c>
      <c r="AP66">
        <f t="shared" si="51"/>
        <v>0</v>
      </c>
      <c r="AQ66">
        <f t="shared" si="51"/>
        <v>0</v>
      </c>
      <c r="AR66">
        <f t="shared" si="51"/>
        <v>0</v>
      </c>
      <c r="AS66">
        <f t="shared" si="51"/>
        <v>0</v>
      </c>
      <c r="AT66">
        <f t="shared" si="51"/>
        <v>0</v>
      </c>
      <c r="AU66">
        <f t="shared" si="51"/>
        <v>0</v>
      </c>
      <c r="AV66">
        <f t="shared" si="51"/>
        <v>0</v>
      </c>
      <c r="AW66">
        <f t="shared" si="51"/>
        <v>0</v>
      </c>
      <c r="AX66">
        <f t="shared" si="51"/>
        <v>0</v>
      </c>
      <c r="AY66">
        <f t="shared" si="51"/>
        <v>0</v>
      </c>
      <c r="AZ66">
        <f t="shared" si="51"/>
        <v>0</v>
      </c>
    </row>
    <row r="67" spans="1:52" ht="15.75" customHeight="1">
      <c r="A67" s="350">
        <v>1924</v>
      </c>
      <c r="B67" s="350"/>
      <c r="C67" s="350"/>
      <c r="D67" s="350"/>
      <c r="E67" s="350"/>
      <c r="F67" s="350"/>
      <c r="G67" s="350"/>
      <c r="H67" s="350"/>
      <c r="I67" s="350"/>
      <c r="J67" s="350"/>
      <c r="K67" s="350"/>
      <c r="L67" s="350"/>
      <c r="M67" s="350"/>
      <c r="N67" s="350"/>
      <c r="O67" s="350"/>
      <c r="P67" s="350"/>
      <c r="Q67" s="350"/>
      <c r="R67" s="350"/>
      <c r="S67" s="350"/>
      <c r="T67" s="350"/>
      <c r="U67" s="350"/>
      <c r="V67" s="86">
        <v>512.3000000000003</v>
      </c>
      <c r="W67">
        <f t="shared" si="22"/>
        <v>512.3000000000003</v>
      </c>
      <c r="X67">
        <f t="shared" ref="X67:AZ67" si="52">IF(AND(X$37-$A67&gt;$V$25,SUM($W67:W67)&lt;&gt;$V67),$V67,0)</f>
        <v>0</v>
      </c>
      <c r="Y67">
        <f t="shared" si="52"/>
        <v>0</v>
      </c>
      <c r="Z67">
        <f t="shared" si="52"/>
        <v>0</v>
      </c>
      <c r="AA67">
        <f t="shared" si="52"/>
        <v>0</v>
      </c>
      <c r="AB67">
        <f t="shared" si="52"/>
        <v>0</v>
      </c>
      <c r="AC67">
        <f t="shared" si="52"/>
        <v>0</v>
      </c>
      <c r="AD67">
        <f t="shared" si="52"/>
        <v>0</v>
      </c>
      <c r="AE67">
        <f t="shared" si="52"/>
        <v>0</v>
      </c>
      <c r="AF67">
        <f t="shared" si="52"/>
        <v>0</v>
      </c>
      <c r="AG67">
        <f t="shared" si="52"/>
        <v>0</v>
      </c>
      <c r="AH67">
        <f t="shared" si="52"/>
        <v>0</v>
      </c>
      <c r="AI67">
        <f t="shared" si="52"/>
        <v>0</v>
      </c>
      <c r="AJ67">
        <f t="shared" si="52"/>
        <v>0</v>
      </c>
      <c r="AK67">
        <f t="shared" si="52"/>
        <v>0</v>
      </c>
      <c r="AL67">
        <f t="shared" si="52"/>
        <v>0</v>
      </c>
      <c r="AM67">
        <f t="shared" si="52"/>
        <v>0</v>
      </c>
      <c r="AN67">
        <f t="shared" si="52"/>
        <v>0</v>
      </c>
      <c r="AO67">
        <f t="shared" si="52"/>
        <v>0</v>
      </c>
      <c r="AP67">
        <f t="shared" si="52"/>
        <v>0</v>
      </c>
      <c r="AQ67">
        <f t="shared" si="52"/>
        <v>0</v>
      </c>
      <c r="AR67">
        <f t="shared" si="52"/>
        <v>0</v>
      </c>
      <c r="AS67">
        <f t="shared" si="52"/>
        <v>0</v>
      </c>
      <c r="AT67">
        <f t="shared" si="52"/>
        <v>0</v>
      </c>
      <c r="AU67">
        <f t="shared" si="52"/>
        <v>0</v>
      </c>
      <c r="AV67">
        <f t="shared" si="52"/>
        <v>0</v>
      </c>
      <c r="AW67">
        <f t="shared" si="52"/>
        <v>0</v>
      </c>
      <c r="AX67">
        <f t="shared" si="52"/>
        <v>0</v>
      </c>
      <c r="AY67">
        <f t="shared" si="52"/>
        <v>0</v>
      </c>
      <c r="AZ67">
        <f t="shared" si="52"/>
        <v>0</v>
      </c>
    </row>
    <row r="68" spans="1:52" ht="15.75" customHeight="1">
      <c r="A68" s="350">
        <v>1925</v>
      </c>
      <c r="B68" s="350"/>
      <c r="C68" s="350"/>
      <c r="D68" s="350"/>
      <c r="E68" s="350"/>
      <c r="F68" s="350"/>
      <c r="G68" s="350"/>
      <c r="H68" s="350"/>
      <c r="I68" s="350"/>
      <c r="J68" s="350"/>
      <c r="K68" s="350"/>
      <c r="L68" s="350"/>
      <c r="M68" s="350"/>
      <c r="N68" s="350"/>
      <c r="O68" s="350"/>
      <c r="P68" s="350"/>
      <c r="Q68" s="350"/>
      <c r="R68" s="350"/>
      <c r="S68" s="350"/>
      <c r="T68" s="350"/>
      <c r="U68" s="350"/>
      <c r="V68" s="86">
        <v>712.59999999999991</v>
      </c>
      <c r="W68">
        <f t="shared" si="22"/>
        <v>712.59999999999991</v>
      </c>
      <c r="X68">
        <f t="shared" ref="X68:AZ68" si="53">IF(AND(X$37-$A68&gt;$V$25,SUM($W68:W68)&lt;&gt;$V68),$V68,0)</f>
        <v>0</v>
      </c>
      <c r="Y68">
        <f t="shared" si="53"/>
        <v>0</v>
      </c>
      <c r="Z68">
        <f t="shared" si="53"/>
        <v>0</v>
      </c>
      <c r="AA68">
        <f t="shared" si="53"/>
        <v>0</v>
      </c>
      <c r="AB68">
        <f t="shared" si="53"/>
        <v>0</v>
      </c>
      <c r="AC68">
        <f t="shared" si="53"/>
        <v>0</v>
      </c>
      <c r="AD68">
        <f t="shared" si="53"/>
        <v>0</v>
      </c>
      <c r="AE68">
        <f t="shared" si="53"/>
        <v>0</v>
      </c>
      <c r="AF68">
        <f t="shared" si="53"/>
        <v>0</v>
      </c>
      <c r="AG68">
        <f t="shared" si="53"/>
        <v>0</v>
      </c>
      <c r="AH68">
        <f t="shared" si="53"/>
        <v>0</v>
      </c>
      <c r="AI68">
        <f t="shared" si="53"/>
        <v>0</v>
      </c>
      <c r="AJ68">
        <f t="shared" si="53"/>
        <v>0</v>
      </c>
      <c r="AK68">
        <f t="shared" si="53"/>
        <v>0</v>
      </c>
      <c r="AL68">
        <f t="shared" si="53"/>
        <v>0</v>
      </c>
      <c r="AM68">
        <f t="shared" si="53"/>
        <v>0</v>
      </c>
      <c r="AN68">
        <f t="shared" si="53"/>
        <v>0</v>
      </c>
      <c r="AO68">
        <f t="shared" si="53"/>
        <v>0</v>
      </c>
      <c r="AP68">
        <f t="shared" si="53"/>
        <v>0</v>
      </c>
      <c r="AQ68">
        <f t="shared" si="53"/>
        <v>0</v>
      </c>
      <c r="AR68">
        <f t="shared" si="53"/>
        <v>0</v>
      </c>
      <c r="AS68">
        <f t="shared" si="53"/>
        <v>0</v>
      </c>
      <c r="AT68">
        <f t="shared" si="53"/>
        <v>0</v>
      </c>
      <c r="AU68">
        <f t="shared" si="53"/>
        <v>0</v>
      </c>
      <c r="AV68">
        <f t="shared" si="53"/>
        <v>0</v>
      </c>
      <c r="AW68">
        <f t="shared" si="53"/>
        <v>0</v>
      </c>
      <c r="AX68">
        <f t="shared" si="53"/>
        <v>0</v>
      </c>
      <c r="AY68">
        <f t="shared" si="53"/>
        <v>0</v>
      </c>
      <c r="AZ68">
        <f t="shared" si="53"/>
        <v>0</v>
      </c>
    </row>
    <row r="69" spans="1:52" ht="15.75" customHeight="1">
      <c r="A69" s="350">
        <v>1926</v>
      </c>
      <c r="B69" s="350"/>
      <c r="C69" s="350"/>
      <c r="D69" s="350"/>
      <c r="E69" s="350"/>
      <c r="F69" s="350"/>
      <c r="G69" s="350"/>
      <c r="H69" s="350"/>
      <c r="I69" s="350"/>
      <c r="J69" s="350"/>
      <c r="K69" s="350"/>
      <c r="L69" s="350"/>
      <c r="M69" s="350"/>
      <c r="N69" s="350"/>
      <c r="O69" s="350"/>
      <c r="P69" s="350"/>
      <c r="Q69" s="350"/>
      <c r="R69" s="350"/>
      <c r="S69" s="350"/>
      <c r="T69" s="350"/>
      <c r="U69" s="350"/>
      <c r="V69" s="86">
        <v>296.69999999999993</v>
      </c>
      <c r="W69">
        <f t="shared" si="22"/>
        <v>296.69999999999993</v>
      </c>
      <c r="X69">
        <f t="shared" ref="X69:AZ69" si="54">IF(AND(X$37-$A69&gt;$V$25,SUM($W69:W69)&lt;&gt;$V69),$V69,0)</f>
        <v>0</v>
      </c>
      <c r="Y69">
        <f t="shared" si="54"/>
        <v>0</v>
      </c>
      <c r="Z69">
        <f t="shared" si="54"/>
        <v>0</v>
      </c>
      <c r="AA69">
        <f t="shared" si="54"/>
        <v>0</v>
      </c>
      <c r="AB69">
        <f t="shared" si="54"/>
        <v>0</v>
      </c>
      <c r="AC69">
        <f t="shared" si="54"/>
        <v>0</v>
      </c>
      <c r="AD69">
        <f t="shared" si="54"/>
        <v>0</v>
      </c>
      <c r="AE69">
        <f t="shared" si="54"/>
        <v>0</v>
      </c>
      <c r="AF69">
        <f t="shared" si="54"/>
        <v>0</v>
      </c>
      <c r="AG69">
        <f t="shared" si="54"/>
        <v>0</v>
      </c>
      <c r="AH69">
        <f t="shared" si="54"/>
        <v>0</v>
      </c>
      <c r="AI69">
        <f t="shared" si="54"/>
        <v>0</v>
      </c>
      <c r="AJ69">
        <f t="shared" si="54"/>
        <v>0</v>
      </c>
      <c r="AK69">
        <f t="shared" si="54"/>
        <v>0</v>
      </c>
      <c r="AL69">
        <f t="shared" si="54"/>
        <v>0</v>
      </c>
      <c r="AM69">
        <f t="shared" si="54"/>
        <v>0</v>
      </c>
      <c r="AN69">
        <f t="shared" si="54"/>
        <v>0</v>
      </c>
      <c r="AO69">
        <f t="shared" si="54"/>
        <v>0</v>
      </c>
      <c r="AP69">
        <f t="shared" si="54"/>
        <v>0</v>
      </c>
      <c r="AQ69">
        <f t="shared" si="54"/>
        <v>0</v>
      </c>
      <c r="AR69">
        <f t="shared" si="54"/>
        <v>0</v>
      </c>
      <c r="AS69">
        <f t="shared" si="54"/>
        <v>0</v>
      </c>
      <c r="AT69">
        <f t="shared" si="54"/>
        <v>0</v>
      </c>
      <c r="AU69">
        <f t="shared" si="54"/>
        <v>0</v>
      </c>
      <c r="AV69">
        <f t="shared" si="54"/>
        <v>0</v>
      </c>
      <c r="AW69">
        <f t="shared" si="54"/>
        <v>0</v>
      </c>
      <c r="AX69">
        <f t="shared" si="54"/>
        <v>0</v>
      </c>
      <c r="AY69">
        <f t="shared" si="54"/>
        <v>0</v>
      </c>
      <c r="AZ69">
        <f t="shared" si="54"/>
        <v>0</v>
      </c>
    </row>
    <row r="70" spans="1:52" ht="15.75" customHeight="1">
      <c r="A70" s="350">
        <v>1927</v>
      </c>
      <c r="B70" s="350"/>
      <c r="C70" s="350"/>
      <c r="D70" s="350"/>
      <c r="E70" s="350"/>
      <c r="F70" s="350"/>
      <c r="G70" s="350"/>
      <c r="H70" s="350"/>
      <c r="I70" s="350"/>
      <c r="J70" s="350"/>
      <c r="K70" s="350"/>
      <c r="L70" s="350"/>
      <c r="M70" s="350"/>
      <c r="N70" s="350"/>
      <c r="O70" s="350"/>
      <c r="P70" s="350"/>
      <c r="Q70" s="350"/>
      <c r="R70" s="350"/>
      <c r="S70" s="350"/>
      <c r="T70" s="350"/>
      <c r="U70" s="350"/>
      <c r="V70" s="86">
        <v>433.2999999999999</v>
      </c>
      <c r="W70">
        <f t="shared" si="22"/>
        <v>433.2999999999999</v>
      </c>
      <c r="X70">
        <f t="shared" ref="X70:AZ70" si="55">IF(AND(X$37-$A70&gt;$V$25,SUM($W70:W70)&lt;&gt;$V70),$V70,0)</f>
        <v>0</v>
      </c>
      <c r="Y70">
        <f t="shared" si="55"/>
        <v>0</v>
      </c>
      <c r="Z70">
        <f t="shared" si="55"/>
        <v>0</v>
      </c>
      <c r="AA70">
        <f t="shared" si="55"/>
        <v>0</v>
      </c>
      <c r="AB70">
        <f t="shared" si="55"/>
        <v>0</v>
      </c>
      <c r="AC70">
        <f t="shared" si="55"/>
        <v>0</v>
      </c>
      <c r="AD70">
        <f t="shared" si="55"/>
        <v>0</v>
      </c>
      <c r="AE70">
        <f t="shared" si="55"/>
        <v>0</v>
      </c>
      <c r="AF70">
        <f t="shared" si="55"/>
        <v>0</v>
      </c>
      <c r="AG70">
        <f t="shared" si="55"/>
        <v>0</v>
      </c>
      <c r="AH70">
        <f t="shared" si="55"/>
        <v>0</v>
      </c>
      <c r="AI70">
        <f t="shared" si="55"/>
        <v>0</v>
      </c>
      <c r="AJ70">
        <f t="shared" si="55"/>
        <v>0</v>
      </c>
      <c r="AK70">
        <f t="shared" si="55"/>
        <v>0</v>
      </c>
      <c r="AL70">
        <f t="shared" si="55"/>
        <v>0</v>
      </c>
      <c r="AM70">
        <f t="shared" si="55"/>
        <v>0</v>
      </c>
      <c r="AN70">
        <f t="shared" si="55"/>
        <v>0</v>
      </c>
      <c r="AO70">
        <f t="shared" si="55"/>
        <v>0</v>
      </c>
      <c r="AP70">
        <f t="shared" si="55"/>
        <v>0</v>
      </c>
      <c r="AQ70">
        <f t="shared" si="55"/>
        <v>0</v>
      </c>
      <c r="AR70">
        <f t="shared" si="55"/>
        <v>0</v>
      </c>
      <c r="AS70">
        <f t="shared" si="55"/>
        <v>0</v>
      </c>
      <c r="AT70">
        <f t="shared" si="55"/>
        <v>0</v>
      </c>
      <c r="AU70">
        <f t="shared" si="55"/>
        <v>0</v>
      </c>
      <c r="AV70">
        <f t="shared" si="55"/>
        <v>0</v>
      </c>
      <c r="AW70">
        <f t="shared" si="55"/>
        <v>0</v>
      </c>
      <c r="AX70">
        <f t="shared" si="55"/>
        <v>0</v>
      </c>
      <c r="AY70">
        <f t="shared" si="55"/>
        <v>0</v>
      </c>
      <c r="AZ70">
        <f t="shared" si="55"/>
        <v>0</v>
      </c>
    </row>
    <row r="71" spans="1:52" ht="15.75" customHeight="1">
      <c r="A71" s="350">
        <v>1928</v>
      </c>
      <c r="B71" s="350"/>
      <c r="C71" s="350"/>
      <c r="D71" s="350"/>
      <c r="E71" s="350"/>
      <c r="F71" s="350"/>
      <c r="G71" s="350"/>
      <c r="H71" s="350"/>
      <c r="I71" s="350"/>
      <c r="J71" s="350"/>
      <c r="K71" s="350"/>
      <c r="L71" s="350"/>
      <c r="M71" s="350"/>
      <c r="N71" s="350"/>
      <c r="O71" s="350"/>
      <c r="P71" s="350"/>
      <c r="Q71" s="350"/>
      <c r="R71" s="350"/>
      <c r="S71" s="350"/>
      <c r="T71" s="350"/>
      <c r="U71" s="350"/>
      <c r="V71" s="86">
        <v>997.40000000000032</v>
      </c>
      <c r="W71">
        <f t="shared" si="22"/>
        <v>997.40000000000032</v>
      </c>
      <c r="X71">
        <f t="shared" ref="X71:AZ71" si="56">IF(AND(X$37-$A71&gt;$V$25,SUM($W71:W71)&lt;&gt;$V71),$V71,0)</f>
        <v>0</v>
      </c>
      <c r="Y71">
        <f t="shared" si="56"/>
        <v>0</v>
      </c>
      <c r="Z71">
        <f t="shared" si="56"/>
        <v>0</v>
      </c>
      <c r="AA71">
        <f t="shared" si="56"/>
        <v>0</v>
      </c>
      <c r="AB71">
        <f t="shared" si="56"/>
        <v>0</v>
      </c>
      <c r="AC71">
        <f t="shared" si="56"/>
        <v>0</v>
      </c>
      <c r="AD71">
        <f t="shared" si="56"/>
        <v>0</v>
      </c>
      <c r="AE71">
        <f t="shared" si="56"/>
        <v>0</v>
      </c>
      <c r="AF71">
        <f t="shared" si="56"/>
        <v>0</v>
      </c>
      <c r="AG71">
        <f t="shared" si="56"/>
        <v>0</v>
      </c>
      <c r="AH71">
        <f t="shared" si="56"/>
        <v>0</v>
      </c>
      <c r="AI71">
        <f t="shared" si="56"/>
        <v>0</v>
      </c>
      <c r="AJ71">
        <f t="shared" si="56"/>
        <v>0</v>
      </c>
      <c r="AK71">
        <f t="shared" si="56"/>
        <v>0</v>
      </c>
      <c r="AL71">
        <f t="shared" si="56"/>
        <v>0</v>
      </c>
      <c r="AM71">
        <f t="shared" si="56"/>
        <v>0</v>
      </c>
      <c r="AN71">
        <f t="shared" si="56"/>
        <v>0</v>
      </c>
      <c r="AO71">
        <f t="shared" si="56"/>
        <v>0</v>
      </c>
      <c r="AP71">
        <f t="shared" si="56"/>
        <v>0</v>
      </c>
      <c r="AQ71">
        <f t="shared" si="56"/>
        <v>0</v>
      </c>
      <c r="AR71">
        <f t="shared" si="56"/>
        <v>0</v>
      </c>
      <c r="AS71">
        <f t="shared" si="56"/>
        <v>0</v>
      </c>
      <c r="AT71">
        <f t="shared" si="56"/>
        <v>0</v>
      </c>
      <c r="AU71">
        <f t="shared" si="56"/>
        <v>0</v>
      </c>
      <c r="AV71">
        <f t="shared" si="56"/>
        <v>0</v>
      </c>
      <c r="AW71">
        <f t="shared" si="56"/>
        <v>0</v>
      </c>
      <c r="AX71">
        <f t="shared" si="56"/>
        <v>0</v>
      </c>
      <c r="AY71">
        <f t="shared" si="56"/>
        <v>0</v>
      </c>
      <c r="AZ71">
        <f t="shared" si="56"/>
        <v>0</v>
      </c>
    </row>
    <row r="72" spans="1:52" ht="15.75" customHeight="1">
      <c r="A72" s="350">
        <v>1929</v>
      </c>
      <c r="B72" s="350"/>
      <c r="C72" s="350"/>
      <c r="D72" s="350"/>
      <c r="E72" s="350"/>
      <c r="F72" s="350"/>
      <c r="G72" s="350"/>
      <c r="H72" s="350"/>
      <c r="I72" s="350"/>
      <c r="J72" s="350"/>
      <c r="K72" s="350"/>
      <c r="L72" s="350"/>
      <c r="M72" s="350"/>
      <c r="N72" s="350"/>
      <c r="O72" s="350"/>
      <c r="P72" s="350"/>
      <c r="Q72" s="350"/>
      <c r="R72" s="350"/>
      <c r="S72" s="350"/>
      <c r="T72" s="350"/>
      <c r="U72" s="350"/>
      <c r="V72" s="86">
        <v>247.8</v>
      </c>
      <c r="W72">
        <f t="shared" si="22"/>
        <v>247.8</v>
      </c>
      <c r="X72">
        <f t="shared" ref="X72:AZ72" si="57">IF(AND(X$37-$A72&gt;$V$25,SUM($W72:W72)&lt;&gt;$V72),$V72,0)</f>
        <v>0</v>
      </c>
      <c r="Y72">
        <f t="shared" si="57"/>
        <v>0</v>
      </c>
      <c r="Z72">
        <f t="shared" si="57"/>
        <v>0</v>
      </c>
      <c r="AA72">
        <f t="shared" si="57"/>
        <v>0</v>
      </c>
      <c r="AB72">
        <f t="shared" si="57"/>
        <v>0</v>
      </c>
      <c r="AC72">
        <f t="shared" si="57"/>
        <v>0</v>
      </c>
      <c r="AD72">
        <f t="shared" si="57"/>
        <v>0</v>
      </c>
      <c r="AE72">
        <f t="shared" si="57"/>
        <v>0</v>
      </c>
      <c r="AF72">
        <f t="shared" si="57"/>
        <v>0</v>
      </c>
      <c r="AG72">
        <f t="shared" si="57"/>
        <v>0</v>
      </c>
      <c r="AH72">
        <f t="shared" si="57"/>
        <v>0</v>
      </c>
      <c r="AI72">
        <f t="shared" si="57"/>
        <v>0</v>
      </c>
      <c r="AJ72">
        <f t="shared" si="57"/>
        <v>0</v>
      </c>
      <c r="AK72">
        <f t="shared" si="57"/>
        <v>0</v>
      </c>
      <c r="AL72">
        <f t="shared" si="57"/>
        <v>0</v>
      </c>
      <c r="AM72">
        <f t="shared" si="57"/>
        <v>0</v>
      </c>
      <c r="AN72">
        <f t="shared" si="57"/>
        <v>0</v>
      </c>
      <c r="AO72">
        <f t="shared" si="57"/>
        <v>0</v>
      </c>
      <c r="AP72">
        <f t="shared" si="57"/>
        <v>0</v>
      </c>
      <c r="AQ72">
        <f t="shared" si="57"/>
        <v>0</v>
      </c>
      <c r="AR72">
        <f t="shared" si="57"/>
        <v>0</v>
      </c>
      <c r="AS72">
        <f t="shared" si="57"/>
        <v>0</v>
      </c>
      <c r="AT72">
        <f t="shared" si="57"/>
        <v>0</v>
      </c>
      <c r="AU72">
        <f t="shared" si="57"/>
        <v>0</v>
      </c>
      <c r="AV72">
        <f t="shared" si="57"/>
        <v>0</v>
      </c>
      <c r="AW72">
        <f t="shared" si="57"/>
        <v>0</v>
      </c>
      <c r="AX72">
        <f t="shared" si="57"/>
        <v>0</v>
      </c>
      <c r="AY72">
        <f t="shared" si="57"/>
        <v>0</v>
      </c>
      <c r="AZ72">
        <f t="shared" si="57"/>
        <v>0</v>
      </c>
    </row>
    <row r="73" spans="1:52" ht="15.75" customHeight="1">
      <c r="A73" s="350">
        <v>1930</v>
      </c>
      <c r="B73" s="350"/>
      <c r="C73" s="350"/>
      <c r="D73" s="350"/>
      <c r="E73" s="350"/>
      <c r="F73" s="350"/>
      <c r="G73" s="350"/>
      <c r="H73" s="350"/>
      <c r="I73" s="350"/>
      <c r="J73" s="350"/>
      <c r="K73" s="350"/>
      <c r="L73" s="350"/>
      <c r="M73" s="350"/>
      <c r="N73" s="350"/>
      <c r="O73" s="350"/>
      <c r="P73" s="350"/>
      <c r="Q73" s="350"/>
      <c r="R73" s="350"/>
      <c r="S73" s="350"/>
      <c r="T73" s="350"/>
      <c r="U73" s="350"/>
      <c r="V73" s="86">
        <v>795.19999999999993</v>
      </c>
      <c r="W73">
        <f t="shared" si="22"/>
        <v>0</v>
      </c>
      <c r="X73">
        <f t="shared" ref="X73:AZ73" si="58">IF(AND(X$37-$A73&gt;$V$25,SUM($W73:W73)&lt;&gt;$V73),$V73,0)</f>
        <v>795.19999999999993</v>
      </c>
      <c r="Y73">
        <f t="shared" si="58"/>
        <v>0</v>
      </c>
      <c r="Z73">
        <f t="shared" si="58"/>
        <v>0</v>
      </c>
      <c r="AA73">
        <f t="shared" si="58"/>
        <v>0</v>
      </c>
      <c r="AB73">
        <f t="shared" si="58"/>
        <v>0</v>
      </c>
      <c r="AC73">
        <f t="shared" si="58"/>
        <v>0</v>
      </c>
      <c r="AD73">
        <f t="shared" si="58"/>
        <v>0</v>
      </c>
      <c r="AE73">
        <f t="shared" si="58"/>
        <v>0</v>
      </c>
      <c r="AF73">
        <f t="shared" si="58"/>
        <v>0</v>
      </c>
      <c r="AG73">
        <f t="shared" si="58"/>
        <v>0</v>
      </c>
      <c r="AH73">
        <f t="shared" si="58"/>
        <v>0</v>
      </c>
      <c r="AI73">
        <f t="shared" si="58"/>
        <v>0</v>
      </c>
      <c r="AJ73">
        <f t="shared" si="58"/>
        <v>0</v>
      </c>
      <c r="AK73">
        <f t="shared" si="58"/>
        <v>0</v>
      </c>
      <c r="AL73">
        <f t="shared" si="58"/>
        <v>0</v>
      </c>
      <c r="AM73">
        <f t="shared" si="58"/>
        <v>0</v>
      </c>
      <c r="AN73">
        <f t="shared" si="58"/>
        <v>0</v>
      </c>
      <c r="AO73">
        <f t="shared" si="58"/>
        <v>0</v>
      </c>
      <c r="AP73">
        <f t="shared" si="58"/>
        <v>0</v>
      </c>
      <c r="AQ73">
        <f t="shared" si="58"/>
        <v>0</v>
      </c>
      <c r="AR73">
        <f t="shared" si="58"/>
        <v>0</v>
      </c>
      <c r="AS73">
        <f t="shared" si="58"/>
        <v>0</v>
      </c>
      <c r="AT73">
        <f t="shared" si="58"/>
        <v>0</v>
      </c>
      <c r="AU73">
        <f t="shared" si="58"/>
        <v>0</v>
      </c>
      <c r="AV73">
        <f t="shared" si="58"/>
        <v>0</v>
      </c>
      <c r="AW73">
        <f t="shared" si="58"/>
        <v>0</v>
      </c>
      <c r="AX73">
        <f t="shared" si="58"/>
        <v>0</v>
      </c>
      <c r="AY73">
        <f t="shared" si="58"/>
        <v>0</v>
      </c>
      <c r="AZ73">
        <f t="shared" si="58"/>
        <v>0</v>
      </c>
    </row>
    <row r="74" spans="1:52" ht="15.75" customHeight="1">
      <c r="A74" s="350">
        <v>1931</v>
      </c>
      <c r="B74" s="350"/>
      <c r="C74" s="350"/>
      <c r="D74" s="350"/>
      <c r="E74" s="350"/>
      <c r="F74" s="350"/>
      <c r="G74" s="350"/>
      <c r="H74" s="350"/>
      <c r="I74" s="350"/>
      <c r="J74" s="350"/>
      <c r="K74" s="350"/>
      <c r="L74" s="350"/>
      <c r="M74" s="350"/>
      <c r="N74" s="350"/>
      <c r="O74" s="350"/>
      <c r="P74" s="350"/>
      <c r="Q74" s="350"/>
      <c r="R74" s="350"/>
      <c r="S74" s="350"/>
      <c r="T74" s="350"/>
      <c r="U74" s="350"/>
      <c r="V74" s="86">
        <v>606.49999999999989</v>
      </c>
      <c r="W74">
        <f t="shared" si="22"/>
        <v>0</v>
      </c>
      <c r="X74">
        <f t="shared" ref="X74:AZ74" si="59">IF(AND(X$37-$A74&gt;$V$25,SUM($W74:W74)&lt;&gt;$V74),$V74,0)</f>
        <v>0</v>
      </c>
      <c r="Y74">
        <f t="shared" si="59"/>
        <v>606.49999999999989</v>
      </c>
      <c r="Z74">
        <f t="shared" si="59"/>
        <v>0</v>
      </c>
      <c r="AA74">
        <f t="shared" si="59"/>
        <v>0</v>
      </c>
      <c r="AB74">
        <f t="shared" si="59"/>
        <v>0</v>
      </c>
      <c r="AC74">
        <f t="shared" si="59"/>
        <v>0</v>
      </c>
      <c r="AD74">
        <f t="shared" si="59"/>
        <v>0</v>
      </c>
      <c r="AE74">
        <f t="shared" si="59"/>
        <v>0</v>
      </c>
      <c r="AF74">
        <f t="shared" si="59"/>
        <v>0</v>
      </c>
      <c r="AG74">
        <f t="shared" si="59"/>
        <v>0</v>
      </c>
      <c r="AH74">
        <f t="shared" si="59"/>
        <v>0</v>
      </c>
      <c r="AI74">
        <f t="shared" si="59"/>
        <v>0</v>
      </c>
      <c r="AJ74">
        <f t="shared" si="59"/>
        <v>0</v>
      </c>
      <c r="AK74">
        <f t="shared" si="59"/>
        <v>0</v>
      </c>
      <c r="AL74">
        <f t="shared" si="59"/>
        <v>0</v>
      </c>
      <c r="AM74">
        <f t="shared" si="59"/>
        <v>0</v>
      </c>
      <c r="AN74">
        <f t="shared" si="59"/>
        <v>0</v>
      </c>
      <c r="AO74">
        <f t="shared" si="59"/>
        <v>0</v>
      </c>
      <c r="AP74">
        <f t="shared" si="59"/>
        <v>0</v>
      </c>
      <c r="AQ74">
        <f t="shared" si="59"/>
        <v>0</v>
      </c>
      <c r="AR74">
        <f t="shared" si="59"/>
        <v>0</v>
      </c>
      <c r="AS74">
        <f t="shared" si="59"/>
        <v>0</v>
      </c>
      <c r="AT74">
        <f t="shared" si="59"/>
        <v>0</v>
      </c>
      <c r="AU74">
        <f t="shared" si="59"/>
        <v>0</v>
      </c>
      <c r="AV74">
        <f t="shared" si="59"/>
        <v>0</v>
      </c>
      <c r="AW74">
        <f t="shared" si="59"/>
        <v>0</v>
      </c>
      <c r="AX74">
        <f t="shared" si="59"/>
        <v>0</v>
      </c>
      <c r="AY74">
        <f t="shared" si="59"/>
        <v>0</v>
      </c>
      <c r="AZ74">
        <f t="shared" si="59"/>
        <v>0</v>
      </c>
    </row>
    <row r="75" spans="1:52" ht="15.75" customHeight="1">
      <c r="A75" s="350">
        <v>1932</v>
      </c>
      <c r="B75" s="350"/>
      <c r="C75" s="350"/>
      <c r="D75" s="350"/>
      <c r="E75" s="350"/>
      <c r="F75" s="350"/>
      <c r="G75" s="350"/>
      <c r="H75" s="350"/>
      <c r="I75" s="350"/>
      <c r="J75" s="350"/>
      <c r="K75" s="350"/>
      <c r="L75" s="350"/>
      <c r="M75" s="350"/>
      <c r="N75" s="350"/>
      <c r="O75" s="350"/>
      <c r="P75" s="350"/>
      <c r="Q75" s="350"/>
      <c r="R75" s="350"/>
      <c r="S75" s="350"/>
      <c r="T75" s="350"/>
      <c r="U75" s="350"/>
      <c r="V75" s="86">
        <v>268.59999999999997</v>
      </c>
      <c r="W75">
        <f t="shared" si="22"/>
        <v>0</v>
      </c>
      <c r="X75">
        <f t="shared" ref="X75:AZ75" si="60">IF(AND(X$37-$A75&gt;$V$25,SUM($W75:W75)&lt;&gt;$V75),$V75,0)</f>
        <v>0</v>
      </c>
      <c r="Y75">
        <f t="shared" si="60"/>
        <v>0</v>
      </c>
      <c r="Z75">
        <f t="shared" si="60"/>
        <v>268.59999999999997</v>
      </c>
      <c r="AA75">
        <f t="shared" si="60"/>
        <v>0</v>
      </c>
      <c r="AB75">
        <f t="shared" si="60"/>
        <v>0</v>
      </c>
      <c r="AC75">
        <f t="shared" si="60"/>
        <v>0</v>
      </c>
      <c r="AD75">
        <f t="shared" si="60"/>
        <v>0</v>
      </c>
      <c r="AE75">
        <f t="shared" si="60"/>
        <v>0</v>
      </c>
      <c r="AF75">
        <f t="shared" si="60"/>
        <v>0</v>
      </c>
      <c r="AG75">
        <f t="shared" si="60"/>
        <v>0</v>
      </c>
      <c r="AH75">
        <f t="shared" si="60"/>
        <v>0</v>
      </c>
      <c r="AI75">
        <f t="shared" si="60"/>
        <v>0</v>
      </c>
      <c r="AJ75">
        <f t="shared" si="60"/>
        <v>0</v>
      </c>
      <c r="AK75">
        <f t="shared" si="60"/>
        <v>0</v>
      </c>
      <c r="AL75">
        <f t="shared" si="60"/>
        <v>0</v>
      </c>
      <c r="AM75">
        <f t="shared" si="60"/>
        <v>0</v>
      </c>
      <c r="AN75">
        <f t="shared" si="60"/>
        <v>0</v>
      </c>
      <c r="AO75">
        <f t="shared" si="60"/>
        <v>0</v>
      </c>
      <c r="AP75">
        <f t="shared" si="60"/>
        <v>0</v>
      </c>
      <c r="AQ75">
        <f t="shared" si="60"/>
        <v>0</v>
      </c>
      <c r="AR75">
        <f t="shared" si="60"/>
        <v>0</v>
      </c>
      <c r="AS75">
        <f t="shared" si="60"/>
        <v>0</v>
      </c>
      <c r="AT75">
        <f t="shared" si="60"/>
        <v>0</v>
      </c>
      <c r="AU75">
        <f t="shared" si="60"/>
        <v>0</v>
      </c>
      <c r="AV75">
        <f t="shared" si="60"/>
        <v>0</v>
      </c>
      <c r="AW75">
        <f t="shared" si="60"/>
        <v>0</v>
      </c>
      <c r="AX75">
        <f t="shared" si="60"/>
        <v>0</v>
      </c>
      <c r="AY75">
        <f t="shared" si="60"/>
        <v>0</v>
      </c>
      <c r="AZ75">
        <f t="shared" si="60"/>
        <v>0</v>
      </c>
    </row>
    <row r="76" spans="1:52" ht="15.75" customHeight="1">
      <c r="A76" s="350">
        <v>1933</v>
      </c>
      <c r="B76" s="350"/>
      <c r="C76" s="350"/>
      <c r="D76" s="350"/>
      <c r="E76" s="350"/>
      <c r="F76" s="350"/>
      <c r="G76" s="350"/>
      <c r="H76" s="350"/>
      <c r="I76" s="350"/>
      <c r="J76" s="350"/>
      <c r="K76" s="350"/>
      <c r="L76" s="350"/>
      <c r="M76" s="350"/>
      <c r="N76" s="350"/>
      <c r="O76" s="350"/>
      <c r="P76" s="350"/>
      <c r="Q76" s="350"/>
      <c r="R76" s="350"/>
      <c r="S76" s="350"/>
      <c r="T76" s="350"/>
      <c r="U76" s="350"/>
      <c r="V76" s="86">
        <v>35</v>
      </c>
      <c r="W76">
        <f t="shared" si="22"/>
        <v>0</v>
      </c>
      <c r="X76">
        <f t="shared" ref="X76:AZ76" si="61">IF(AND(X$37-$A76&gt;$V$25,SUM($W76:W76)&lt;&gt;$V76),$V76,0)</f>
        <v>0</v>
      </c>
      <c r="Y76">
        <f t="shared" si="61"/>
        <v>0</v>
      </c>
      <c r="Z76">
        <f t="shared" si="61"/>
        <v>0</v>
      </c>
      <c r="AA76">
        <f t="shared" si="61"/>
        <v>35</v>
      </c>
      <c r="AB76">
        <f t="shared" si="61"/>
        <v>0</v>
      </c>
      <c r="AC76">
        <f t="shared" si="61"/>
        <v>0</v>
      </c>
      <c r="AD76">
        <f t="shared" si="61"/>
        <v>0</v>
      </c>
      <c r="AE76">
        <f t="shared" si="61"/>
        <v>0</v>
      </c>
      <c r="AF76">
        <f t="shared" si="61"/>
        <v>0</v>
      </c>
      <c r="AG76">
        <f t="shared" si="61"/>
        <v>0</v>
      </c>
      <c r="AH76">
        <f t="shared" si="61"/>
        <v>0</v>
      </c>
      <c r="AI76">
        <f t="shared" si="61"/>
        <v>0</v>
      </c>
      <c r="AJ76">
        <f t="shared" si="61"/>
        <v>0</v>
      </c>
      <c r="AK76">
        <f t="shared" si="61"/>
        <v>0</v>
      </c>
      <c r="AL76">
        <f t="shared" si="61"/>
        <v>0</v>
      </c>
      <c r="AM76">
        <f t="shared" si="61"/>
        <v>0</v>
      </c>
      <c r="AN76">
        <f t="shared" si="61"/>
        <v>0</v>
      </c>
      <c r="AO76">
        <f t="shared" si="61"/>
        <v>0</v>
      </c>
      <c r="AP76">
        <f t="shared" si="61"/>
        <v>0</v>
      </c>
      <c r="AQ76">
        <f t="shared" si="61"/>
        <v>0</v>
      </c>
      <c r="AR76">
        <f t="shared" si="61"/>
        <v>0</v>
      </c>
      <c r="AS76">
        <f t="shared" si="61"/>
        <v>0</v>
      </c>
      <c r="AT76">
        <f t="shared" si="61"/>
        <v>0</v>
      </c>
      <c r="AU76">
        <f t="shared" si="61"/>
        <v>0</v>
      </c>
      <c r="AV76">
        <f t="shared" si="61"/>
        <v>0</v>
      </c>
      <c r="AW76">
        <f t="shared" si="61"/>
        <v>0</v>
      </c>
      <c r="AX76">
        <f t="shared" si="61"/>
        <v>0</v>
      </c>
      <c r="AY76">
        <f t="shared" si="61"/>
        <v>0</v>
      </c>
      <c r="AZ76">
        <f t="shared" si="61"/>
        <v>0</v>
      </c>
    </row>
    <row r="77" spans="1:52" ht="15.75" customHeight="1">
      <c r="A77" s="350">
        <v>1934</v>
      </c>
      <c r="B77" s="350"/>
      <c r="C77" s="350"/>
      <c r="D77" s="350"/>
      <c r="E77" s="350"/>
      <c r="F77" s="350"/>
      <c r="G77" s="350"/>
      <c r="H77" s="350"/>
      <c r="I77" s="350"/>
      <c r="J77" s="350"/>
      <c r="K77" s="350"/>
      <c r="L77" s="350"/>
      <c r="M77" s="350"/>
      <c r="N77" s="350"/>
      <c r="O77" s="350"/>
      <c r="P77" s="350"/>
      <c r="Q77" s="350"/>
      <c r="R77" s="350"/>
      <c r="S77" s="350"/>
      <c r="T77" s="350"/>
      <c r="U77" s="350"/>
      <c r="V77" s="86">
        <v>36.5</v>
      </c>
      <c r="W77">
        <f t="shared" si="22"/>
        <v>0</v>
      </c>
      <c r="X77">
        <f t="shared" ref="X77:AZ77" si="62">IF(AND(X$37-$A77&gt;$V$25,SUM($W77:W77)&lt;&gt;$V77),$V77,0)</f>
        <v>0</v>
      </c>
      <c r="Y77">
        <f t="shared" si="62"/>
        <v>0</v>
      </c>
      <c r="Z77">
        <f t="shared" si="62"/>
        <v>0</v>
      </c>
      <c r="AA77">
        <f t="shared" si="62"/>
        <v>0</v>
      </c>
      <c r="AB77">
        <f t="shared" si="62"/>
        <v>36.5</v>
      </c>
      <c r="AC77">
        <f t="shared" si="62"/>
        <v>0</v>
      </c>
      <c r="AD77">
        <f t="shared" si="62"/>
        <v>0</v>
      </c>
      <c r="AE77">
        <f t="shared" si="62"/>
        <v>0</v>
      </c>
      <c r="AF77">
        <f t="shared" si="62"/>
        <v>0</v>
      </c>
      <c r="AG77">
        <f t="shared" si="62"/>
        <v>0</v>
      </c>
      <c r="AH77">
        <f t="shared" si="62"/>
        <v>0</v>
      </c>
      <c r="AI77">
        <f t="shared" si="62"/>
        <v>0</v>
      </c>
      <c r="AJ77">
        <f t="shared" si="62"/>
        <v>0</v>
      </c>
      <c r="AK77">
        <f t="shared" si="62"/>
        <v>0</v>
      </c>
      <c r="AL77">
        <f t="shared" si="62"/>
        <v>0</v>
      </c>
      <c r="AM77">
        <f t="shared" si="62"/>
        <v>0</v>
      </c>
      <c r="AN77">
        <f t="shared" si="62"/>
        <v>0</v>
      </c>
      <c r="AO77">
        <f t="shared" si="62"/>
        <v>0</v>
      </c>
      <c r="AP77">
        <f t="shared" si="62"/>
        <v>0</v>
      </c>
      <c r="AQ77">
        <f t="shared" si="62"/>
        <v>0</v>
      </c>
      <c r="AR77">
        <f t="shared" si="62"/>
        <v>0</v>
      </c>
      <c r="AS77">
        <f t="shared" si="62"/>
        <v>0</v>
      </c>
      <c r="AT77">
        <f t="shared" si="62"/>
        <v>0</v>
      </c>
      <c r="AU77">
        <f t="shared" si="62"/>
        <v>0</v>
      </c>
      <c r="AV77">
        <f t="shared" si="62"/>
        <v>0</v>
      </c>
      <c r="AW77">
        <f t="shared" si="62"/>
        <v>0</v>
      </c>
      <c r="AX77">
        <f t="shared" si="62"/>
        <v>0</v>
      </c>
      <c r="AY77">
        <f t="shared" si="62"/>
        <v>0</v>
      </c>
      <c r="AZ77">
        <f t="shared" si="62"/>
        <v>0</v>
      </c>
    </row>
    <row r="78" spans="1:52" ht="15.75" customHeight="1">
      <c r="A78" s="350">
        <v>1935</v>
      </c>
      <c r="B78" s="350"/>
      <c r="C78" s="350"/>
      <c r="D78" s="350"/>
      <c r="E78" s="350"/>
      <c r="F78" s="350"/>
      <c r="G78" s="350"/>
      <c r="H78" s="350"/>
      <c r="I78" s="350"/>
      <c r="J78" s="350"/>
      <c r="K78" s="350"/>
      <c r="L78" s="350"/>
      <c r="M78" s="350"/>
      <c r="N78" s="350"/>
      <c r="O78" s="350"/>
      <c r="P78" s="350"/>
      <c r="Q78" s="350"/>
      <c r="R78" s="350"/>
      <c r="S78" s="350"/>
      <c r="T78" s="350"/>
      <c r="U78" s="350"/>
      <c r="V78" s="86">
        <v>75.699999999999989</v>
      </c>
      <c r="W78">
        <f t="shared" si="22"/>
        <v>0</v>
      </c>
      <c r="X78">
        <f t="shared" ref="X78:AZ78" si="63">IF(AND(X$37-$A78&gt;$V$25,SUM($W78:W78)&lt;&gt;$V78),$V78,0)</f>
        <v>0</v>
      </c>
      <c r="Y78">
        <f t="shared" si="63"/>
        <v>0</v>
      </c>
      <c r="Z78">
        <f t="shared" si="63"/>
        <v>0</v>
      </c>
      <c r="AA78">
        <f t="shared" si="63"/>
        <v>0</v>
      </c>
      <c r="AB78">
        <f t="shared" si="63"/>
        <v>0</v>
      </c>
      <c r="AC78">
        <f t="shared" si="63"/>
        <v>75.699999999999989</v>
      </c>
      <c r="AD78">
        <f t="shared" si="63"/>
        <v>0</v>
      </c>
      <c r="AE78">
        <f t="shared" si="63"/>
        <v>0</v>
      </c>
      <c r="AF78">
        <f t="shared" si="63"/>
        <v>0</v>
      </c>
      <c r="AG78">
        <f t="shared" si="63"/>
        <v>0</v>
      </c>
      <c r="AH78">
        <f t="shared" si="63"/>
        <v>0</v>
      </c>
      <c r="AI78">
        <f t="shared" si="63"/>
        <v>0</v>
      </c>
      <c r="AJ78">
        <f t="shared" si="63"/>
        <v>0</v>
      </c>
      <c r="AK78">
        <f t="shared" si="63"/>
        <v>0</v>
      </c>
      <c r="AL78">
        <f t="shared" si="63"/>
        <v>0</v>
      </c>
      <c r="AM78">
        <f t="shared" si="63"/>
        <v>0</v>
      </c>
      <c r="AN78">
        <f t="shared" si="63"/>
        <v>0</v>
      </c>
      <c r="AO78">
        <f t="shared" si="63"/>
        <v>0</v>
      </c>
      <c r="AP78">
        <f t="shared" si="63"/>
        <v>0</v>
      </c>
      <c r="AQ78">
        <f t="shared" si="63"/>
        <v>0</v>
      </c>
      <c r="AR78">
        <f t="shared" si="63"/>
        <v>0</v>
      </c>
      <c r="AS78">
        <f t="shared" si="63"/>
        <v>0</v>
      </c>
      <c r="AT78">
        <f t="shared" si="63"/>
        <v>0</v>
      </c>
      <c r="AU78">
        <f t="shared" si="63"/>
        <v>0</v>
      </c>
      <c r="AV78">
        <f t="shared" si="63"/>
        <v>0</v>
      </c>
      <c r="AW78">
        <f t="shared" si="63"/>
        <v>0</v>
      </c>
      <c r="AX78">
        <f t="shared" si="63"/>
        <v>0</v>
      </c>
      <c r="AY78">
        <f t="shared" si="63"/>
        <v>0</v>
      </c>
      <c r="AZ78">
        <f t="shared" si="63"/>
        <v>0</v>
      </c>
    </row>
    <row r="79" spans="1:52" ht="15.75" customHeight="1">
      <c r="A79" s="350">
        <v>1936</v>
      </c>
      <c r="B79" s="350"/>
      <c r="C79" s="350"/>
      <c r="D79" s="350"/>
      <c r="E79" s="350"/>
      <c r="F79" s="350"/>
      <c r="G79" s="350"/>
      <c r="H79" s="350"/>
      <c r="I79" s="350"/>
      <c r="J79" s="350"/>
      <c r="K79" s="350"/>
      <c r="L79" s="350"/>
      <c r="M79" s="350"/>
      <c r="N79" s="350"/>
      <c r="O79" s="350"/>
      <c r="P79" s="350"/>
      <c r="Q79" s="350"/>
      <c r="R79" s="350"/>
      <c r="S79" s="350"/>
      <c r="T79" s="350"/>
      <c r="U79" s="350"/>
      <c r="V79" s="86">
        <v>797.20000000000016</v>
      </c>
      <c r="W79">
        <f t="shared" si="22"/>
        <v>0</v>
      </c>
      <c r="X79">
        <f t="shared" ref="X79:AZ79" si="64">IF(AND(X$37-$A79&gt;$V$25,SUM($W79:W79)&lt;&gt;$V79),$V79,0)</f>
        <v>0</v>
      </c>
      <c r="Y79">
        <f t="shared" si="64"/>
        <v>0</v>
      </c>
      <c r="Z79">
        <f t="shared" si="64"/>
        <v>0</v>
      </c>
      <c r="AA79">
        <f t="shared" si="64"/>
        <v>0</v>
      </c>
      <c r="AB79">
        <f t="shared" si="64"/>
        <v>0</v>
      </c>
      <c r="AC79">
        <f t="shared" si="64"/>
        <v>0</v>
      </c>
      <c r="AD79">
        <f t="shared" si="64"/>
        <v>797.20000000000016</v>
      </c>
      <c r="AE79">
        <f t="shared" si="64"/>
        <v>0</v>
      </c>
      <c r="AF79">
        <f t="shared" si="64"/>
        <v>0</v>
      </c>
      <c r="AG79">
        <f t="shared" si="64"/>
        <v>0</v>
      </c>
      <c r="AH79">
        <f t="shared" si="64"/>
        <v>0</v>
      </c>
      <c r="AI79">
        <f t="shared" si="64"/>
        <v>0</v>
      </c>
      <c r="AJ79">
        <f t="shared" si="64"/>
        <v>0</v>
      </c>
      <c r="AK79">
        <f t="shared" si="64"/>
        <v>0</v>
      </c>
      <c r="AL79">
        <f t="shared" si="64"/>
        <v>0</v>
      </c>
      <c r="AM79">
        <f t="shared" si="64"/>
        <v>0</v>
      </c>
      <c r="AN79">
        <f t="shared" si="64"/>
        <v>0</v>
      </c>
      <c r="AO79">
        <f t="shared" si="64"/>
        <v>0</v>
      </c>
      <c r="AP79">
        <f t="shared" si="64"/>
        <v>0</v>
      </c>
      <c r="AQ79">
        <f t="shared" si="64"/>
        <v>0</v>
      </c>
      <c r="AR79">
        <f t="shared" si="64"/>
        <v>0</v>
      </c>
      <c r="AS79">
        <f t="shared" si="64"/>
        <v>0</v>
      </c>
      <c r="AT79">
        <f t="shared" si="64"/>
        <v>0</v>
      </c>
      <c r="AU79">
        <f t="shared" si="64"/>
        <v>0</v>
      </c>
      <c r="AV79">
        <f t="shared" si="64"/>
        <v>0</v>
      </c>
      <c r="AW79">
        <f t="shared" si="64"/>
        <v>0</v>
      </c>
      <c r="AX79">
        <f t="shared" si="64"/>
        <v>0</v>
      </c>
      <c r="AY79">
        <f t="shared" si="64"/>
        <v>0</v>
      </c>
      <c r="AZ79">
        <f t="shared" si="64"/>
        <v>0</v>
      </c>
    </row>
    <row r="80" spans="1:52" ht="15.75" customHeight="1">
      <c r="A80" s="350">
        <v>1937</v>
      </c>
      <c r="B80" s="350"/>
      <c r="C80" s="350"/>
      <c r="D80" s="350"/>
      <c r="E80" s="350"/>
      <c r="F80" s="350"/>
      <c r="G80" s="350"/>
      <c r="H80" s="350"/>
      <c r="I80" s="350"/>
      <c r="J80" s="350"/>
      <c r="K80" s="350"/>
      <c r="L80" s="350"/>
      <c r="M80" s="350"/>
      <c r="N80" s="350"/>
      <c r="O80" s="350"/>
      <c r="P80" s="350"/>
      <c r="Q80" s="350"/>
      <c r="R80" s="350"/>
      <c r="S80" s="350"/>
      <c r="T80" s="350"/>
      <c r="U80" s="350"/>
      <c r="V80" s="86">
        <v>342.69999999999993</v>
      </c>
      <c r="W80">
        <f t="shared" si="22"/>
        <v>0</v>
      </c>
      <c r="X80">
        <f t="shared" ref="X80:AZ80" si="65">IF(AND(X$37-$A80&gt;$V$25,SUM($W80:W80)&lt;&gt;$V80),$V80,0)</f>
        <v>0</v>
      </c>
      <c r="Y80">
        <f t="shared" si="65"/>
        <v>0</v>
      </c>
      <c r="Z80">
        <f t="shared" si="65"/>
        <v>0</v>
      </c>
      <c r="AA80">
        <f t="shared" si="65"/>
        <v>0</v>
      </c>
      <c r="AB80">
        <f t="shared" si="65"/>
        <v>0</v>
      </c>
      <c r="AC80">
        <f t="shared" si="65"/>
        <v>0</v>
      </c>
      <c r="AD80">
        <f t="shared" si="65"/>
        <v>0</v>
      </c>
      <c r="AE80">
        <f t="shared" si="65"/>
        <v>342.69999999999993</v>
      </c>
      <c r="AF80">
        <f t="shared" si="65"/>
        <v>0</v>
      </c>
      <c r="AG80">
        <f t="shared" si="65"/>
        <v>0</v>
      </c>
      <c r="AH80">
        <f t="shared" si="65"/>
        <v>0</v>
      </c>
      <c r="AI80">
        <f t="shared" si="65"/>
        <v>0</v>
      </c>
      <c r="AJ80">
        <f t="shared" si="65"/>
        <v>0</v>
      </c>
      <c r="AK80">
        <f t="shared" si="65"/>
        <v>0</v>
      </c>
      <c r="AL80">
        <f t="shared" si="65"/>
        <v>0</v>
      </c>
      <c r="AM80">
        <f t="shared" si="65"/>
        <v>0</v>
      </c>
      <c r="AN80">
        <f t="shared" si="65"/>
        <v>0</v>
      </c>
      <c r="AO80">
        <f t="shared" si="65"/>
        <v>0</v>
      </c>
      <c r="AP80">
        <f t="shared" si="65"/>
        <v>0</v>
      </c>
      <c r="AQ80">
        <f t="shared" si="65"/>
        <v>0</v>
      </c>
      <c r="AR80">
        <f t="shared" si="65"/>
        <v>0</v>
      </c>
      <c r="AS80">
        <f t="shared" si="65"/>
        <v>0</v>
      </c>
      <c r="AT80">
        <f t="shared" si="65"/>
        <v>0</v>
      </c>
      <c r="AU80">
        <f t="shared" si="65"/>
        <v>0</v>
      </c>
      <c r="AV80">
        <f t="shared" si="65"/>
        <v>0</v>
      </c>
      <c r="AW80">
        <f t="shared" si="65"/>
        <v>0</v>
      </c>
      <c r="AX80">
        <f t="shared" si="65"/>
        <v>0</v>
      </c>
      <c r="AY80">
        <f t="shared" si="65"/>
        <v>0</v>
      </c>
      <c r="AZ80">
        <f t="shared" si="65"/>
        <v>0</v>
      </c>
    </row>
    <row r="81" spans="1:52" ht="15.75" customHeight="1">
      <c r="A81" s="350">
        <v>1938</v>
      </c>
      <c r="B81" s="350"/>
      <c r="C81" s="350"/>
      <c r="D81" s="350"/>
      <c r="E81" s="350"/>
      <c r="F81" s="350"/>
      <c r="G81" s="350"/>
      <c r="H81" s="350"/>
      <c r="I81" s="350"/>
      <c r="J81" s="350"/>
      <c r="K81" s="350"/>
      <c r="L81" s="350"/>
      <c r="M81" s="350"/>
      <c r="N81" s="350"/>
      <c r="O81" s="350"/>
      <c r="P81" s="350"/>
      <c r="Q81" s="350"/>
      <c r="R81" s="350"/>
      <c r="S81" s="350"/>
      <c r="T81" s="350"/>
      <c r="U81" s="350"/>
      <c r="V81" s="86">
        <v>661.8</v>
      </c>
      <c r="W81">
        <f t="shared" si="22"/>
        <v>0</v>
      </c>
      <c r="X81">
        <f t="shared" ref="X81:AZ81" si="66">IF(AND(X$37-$A81&gt;$V$25,SUM($W81:W81)&lt;&gt;$V81),$V81,0)</f>
        <v>0</v>
      </c>
      <c r="Y81">
        <f t="shared" si="66"/>
        <v>0</v>
      </c>
      <c r="Z81">
        <f t="shared" si="66"/>
        <v>0</v>
      </c>
      <c r="AA81">
        <f t="shared" si="66"/>
        <v>0</v>
      </c>
      <c r="AB81">
        <f t="shared" si="66"/>
        <v>0</v>
      </c>
      <c r="AC81">
        <f t="shared" si="66"/>
        <v>0</v>
      </c>
      <c r="AD81">
        <f t="shared" si="66"/>
        <v>0</v>
      </c>
      <c r="AE81">
        <f t="shared" si="66"/>
        <v>0</v>
      </c>
      <c r="AF81">
        <f t="shared" si="66"/>
        <v>661.8</v>
      </c>
      <c r="AG81">
        <f t="shared" si="66"/>
        <v>0</v>
      </c>
      <c r="AH81">
        <f t="shared" si="66"/>
        <v>0</v>
      </c>
      <c r="AI81">
        <f t="shared" si="66"/>
        <v>0</v>
      </c>
      <c r="AJ81">
        <f t="shared" si="66"/>
        <v>0</v>
      </c>
      <c r="AK81">
        <f t="shared" si="66"/>
        <v>0</v>
      </c>
      <c r="AL81">
        <f t="shared" si="66"/>
        <v>0</v>
      </c>
      <c r="AM81">
        <f t="shared" si="66"/>
        <v>0</v>
      </c>
      <c r="AN81">
        <f t="shared" si="66"/>
        <v>0</v>
      </c>
      <c r="AO81">
        <f t="shared" si="66"/>
        <v>0</v>
      </c>
      <c r="AP81">
        <f t="shared" si="66"/>
        <v>0</v>
      </c>
      <c r="AQ81">
        <f t="shared" si="66"/>
        <v>0</v>
      </c>
      <c r="AR81">
        <f t="shared" si="66"/>
        <v>0</v>
      </c>
      <c r="AS81">
        <f t="shared" si="66"/>
        <v>0</v>
      </c>
      <c r="AT81">
        <f t="shared" si="66"/>
        <v>0</v>
      </c>
      <c r="AU81">
        <f t="shared" si="66"/>
        <v>0</v>
      </c>
      <c r="AV81">
        <f t="shared" si="66"/>
        <v>0</v>
      </c>
      <c r="AW81">
        <f t="shared" si="66"/>
        <v>0</v>
      </c>
      <c r="AX81">
        <f t="shared" si="66"/>
        <v>0</v>
      </c>
      <c r="AY81">
        <f t="shared" si="66"/>
        <v>0</v>
      </c>
      <c r="AZ81">
        <f t="shared" si="66"/>
        <v>0</v>
      </c>
    </row>
    <row r="82" spans="1:52" ht="15.75" customHeight="1">
      <c r="A82" s="350">
        <v>1939</v>
      </c>
      <c r="B82" s="350"/>
      <c r="C82" s="350"/>
      <c r="D82" s="350"/>
      <c r="E82" s="350"/>
      <c r="F82" s="350"/>
      <c r="G82" s="350"/>
      <c r="H82" s="350"/>
      <c r="I82" s="350"/>
      <c r="J82" s="350"/>
      <c r="K82" s="350"/>
      <c r="L82" s="350"/>
      <c r="M82" s="350"/>
      <c r="N82" s="350"/>
      <c r="O82" s="350"/>
      <c r="P82" s="350"/>
      <c r="Q82" s="350"/>
      <c r="R82" s="350"/>
      <c r="S82" s="350"/>
      <c r="T82" s="350"/>
      <c r="U82" s="350"/>
      <c r="V82" s="86">
        <v>499.09999999999985</v>
      </c>
      <c r="W82">
        <f t="shared" si="22"/>
        <v>0</v>
      </c>
      <c r="X82">
        <f t="shared" ref="X82:AZ82" si="67">IF(AND(X$37-$A82&gt;$V$25,SUM($W82:W82)&lt;&gt;$V82),$V82,0)</f>
        <v>0</v>
      </c>
      <c r="Y82">
        <f t="shared" si="67"/>
        <v>0</v>
      </c>
      <c r="Z82">
        <f t="shared" si="67"/>
        <v>0</v>
      </c>
      <c r="AA82">
        <f t="shared" si="67"/>
        <v>0</v>
      </c>
      <c r="AB82">
        <f t="shared" si="67"/>
        <v>0</v>
      </c>
      <c r="AC82">
        <f t="shared" si="67"/>
        <v>0</v>
      </c>
      <c r="AD82">
        <f t="shared" si="67"/>
        <v>0</v>
      </c>
      <c r="AE82">
        <f t="shared" si="67"/>
        <v>0</v>
      </c>
      <c r="AF82">
        <f t="shared" si="67"/>
        <v>0</v>
      </c>
      <c r="AG82">
        <f t="shared" si="67"/>
        <v>499.09999999999985</v>
      </c>
      <c r="AH82">
        <f t="shared" si="67"/>
        <v>0</v>
      </c>
      <c r="AI82">
        <f t="shared" si="67"/>
        <v>0</v>
      </c>
      <c r="AJ82">
        <f t="shared" si="67"/>
        <v>0</v>
      </c>
      <c r="AK82">
        <f t="shared" si="67"/>
        <v>0</v>
      </c>
      <c r="AL82">
        <f t="shared" si="67"/>
        <v>0</v>
      </c>
      <c r="AM82">
        <f t="shared" si="67"/>
        <v>0</v>
      </c>
      <c r="AN82">
        <f t="shared" si="67"/>
        <v>0</v>
      </c>
      <c r="AO82">
        <f t="shared" si="67"/>
        <v>0</v>
      </c>
      <c r="AP82">
        <f t="shared" si="67"/>
        <v>0</v>
      </c>
      <c r="AQ82">
        <f t="shared" si="67"/>
        <v>0</v>
      </c>
      <c r="AR82">
        <f t="shared" si="67"/>
        <v>0</v>
      </c>
      <c r="AS82">
        <f t="shared" si="67"/>
        <v>0</v>
      </c>
      <c r="AT82">
        <f t="shared" si="67"/>
        <v>0</v>
      </c>
      <c r="AU82">
        <f t="shared" si="67"/>
        <v>0</v>
      </c>
      <c r="AV82">
        <f t="shared" si="67"/>
        <v>0</v>
      </c>
      <c r="AW82">
        <f t="shared" si="67"/>
        <v>0</v>
      </c>
      <c r="AX82">
        <f t="shared" si="67"/>
        <v>0</v>
      </c>
      <c r="AY82">
        <f t="shared" si="67"/>
        <v>0</v>
      </c>
      <c r="AZ82">
        <f t="shared" si="67"/>
        <v>0</v>
      </c>
    </row>
    <row r="83" spans="1:52" ht="15.75" customHeight="1">
      <c r="A83" s="350">
        <v>1940</v>
      </c>
      <c r="B83" s="350"/>
      <c r="C83" s="350"/>
      <c r="D83" s="350"/>
      <c r="E83" s="350"/>
      <c r="F83" s="350"/>
      <c r="G83" s="350"/>
      <c r="H83" s="350"/>
      <c r="I83" s="350"/>
      <c r="J83" s="350"/>
      <c r="K83" s="350"/>
      <c r="L83" s="350"/>
      <c r="M83" s="350"/>
      <c r="N83" s="350"/>
      <c r="O83" s="350"/>
      <c r="P83" s="350"/>
      <c r="Q83" s="350"/>
      <c r="R83" s="350"/>
      <c r="S83" s="350"/>
      <c r="T83" s="350"/>
      <c r="U83" s="350"/>
      <c r="V83" s="86">
        <v>428.09999999999997</v>
      </c>
      <c r="W83">
        <f t="shared" si="22"/>
        <v>0</v>
      </c>
      <c r="X83">
        <f t="shared" ref="X83:AZ83" si="68">IF(AND(X$37-$A83&gt;$V$25,SUM($W83:W83)&lt;&gt;$V83),$V83,0)</f>
        <v>0</v>
      </c>
      <c r="Y83">
        <f t="shared" si="68"/>
        <v>0</v>
      </c>
      <c r="Z83">
        <f t="shared" si="68"/>
        <v>0</v>
      </c>
      <c r="AA83">
        <f t="shared" si="68"/>
        <v>0</v>
      </c>
      <c r="AB83">
        <f t="shared" si="68"/>
        <v>0</v>
      </c>
      <c r="AC83">
        <f t="shared" si="68"/>
        <v>0</v>
      </c>
      <c r="AD83">
        <f t="shared" si="68"/>
        <v>0</v>
      </c>
      <c r="AE83">
        <f t="shared" si="68"/>
        <v>0</v>
      </c>
      <c r="AF83">
        <f t="shared" si="68"/>
        <v>0</v>
      </c>
      <c r="AG83">
        <f t="shared" si="68"/>
        <v>0</v>
      </c>
      <c r="AH83">
        <f t="shared" si="68"/>
        <v>428.09999999999997</v>
      </c>
      <c r="AI83">
        <f t="shared" si="68"/>
        <v>0</v>
      </c>
      <c r="AJ83">
        <f t="shared" si="68"/>
        <v>0</v>
      </c>
      <c r="AK83">
        <f t="shared" si="68"/>
        <v>0</v>
      </c>
      <c r="AL83">
        <f t="shared" si="68"/>
        <v>0</v>
      </c>
      <c r="AM83">
        <f t="shared" si="68"/>
        <v>0</v>
      </c>
      <c r="AN83">
        <f t="shared" si="68"/>
        <v>0</v>
      </c>
      <c r="AO83">
        <f t="shared" si="68"/>
        <v>0</v>
      </c>
      <c r="AP83">
        <f t="shared" si="68"/>
        <v>0</v>
      </c>
      <c r="AQ83">
        <f t="shared" si="68"/>
        <v>0</v>
      </c>
      <c r="AR83">
        <f t="shared" si="68"/>
        <v>0</v>
      </c>
      <c r="AS83">
        <f t="shared" si="68"/>
        <v>0</v>
      </c>
      <c r="AT83">
        <f t="shared" si="68"/>
        <v>0</v>
      </c>
      <c r="AU83">
        <f t="shared" si="68"/>
        <v>0</v>
      </c>
      <c r="AV83">
        <f t="shared" si="68"/>
        <v>0</v>
      </c>
      <c r="AW83">
        <f t="shared" si="68"/>
        <v>0</v>
      </c>
      <c r="AX83">
        <f t="shared" si="68"/>
        <v>0</v>
      </c>
      <c r="AY83">
        <f t="shared" si="68"/>
        <v>0</v>
      </c>
      <c r="AZ83">
        <f t="shared" si="68"/>
        <v>0</v>
      </c>
    </row>
    <row r="84" spans="1:52" ht="15.75" customHeight="1">
      <c r="A84" s="350">
        <v>1941</v>
      </c>
      <c r="B84" s="350"/>
      <c r="C84" s="350"/>
      <c r="D84" s="350"/>
      <c r="E84" s="350"/>
      <c r="F84" s="350"/>
      <c r="G84" s="350"/>
      <c r="H84" s="350"/>
      <c r="I84" s="350"/>
      <c r="J84" s="350"/>
      <c r="K84" s="350"/>
      <c r="L84" s="350"/>
      <c r="M84" s="350"/>
      <c r="N84" s="350"/>
      <c r="O84" s="350"/>
      <c r="P84" s="350"/>
      <c r="Q84" s="350"/>
      <c r="R84" s="350"/>
      <c r="S84" s="350"/>
      <c r="T84" s="350"/>
      <c r="U84" s="350"/>
      <c r="V84" s="86">
        <v>740.80000000000018</v>
      </c>
      <c r="W84">
        <f t="shared" si="22"/>
        <v>0</v>
      </c>
      <c r="X84">
        <f t="shared" ref="X84:AZ84" si="69">IF(AND(X$37-$A84&gt;$V$25,SUM($W84:W84)&lt;&gt;$V84),$V84,0)</f>
        <v>0</v>
      </c>
      <c r="Y84">
        <f t="shared" si="69"/>
        <v>0</v>
      </c>
      <c r="Z84">
        <f t="shared" si="69"/>
        <v>0</v>
      </c>
      <c r="AA84">
        <f t="shared" si="69"/>
        <v>0</v>
      </c>
      <c r="AB84">
        <f t="shared" si="69"/>
        <v>0</v>
      </c>
      <c r="AC84">
        <f t="shared" si="69"/>
        <v>0</v>
      </c>
      <c r="AD84">
        <f t="shared" si="69"/>
        <v>0</v>
      </c>
      <c r="AE84">
        <f t="shared" si="69"/>
        <v>0</v>
      </c>
      <c r="AF84">
        <f t="shared" si="69"/>
        <v>0</v>
      </c>
      <c r="AG84">
        <f t="shared" si="69"/>
        <v>0</v>
      </c>
      <c r="AH84">
        <f t="shared" si="69"/>
        <v>0</v>
      </c>
      <c r="AI84">
        <f t="shared" si="69"/>
        <v>740.80000000000018</v>
      </c>
      <c r="AJ84">
        <f t="shared" si="69"/>
        <v>0</v>
      </c>
      <c r="AK84">
        <f t="shared" si="69"/>
        <v>0</v>
      </c>
      <c r="AL84">
        <f t="shared" si="69"/>
        <v>0</v>
      </c>
      <c r="AM84">
        <f t="shared" si="69"/>
        <v>0</v>
      </c>
      <c r="AN84">
        <f t="shared" si="69"/>
        <v>0</v>
      </c>
      <c r="AO84">
        <f t="shared" si="69"/>
        <v>0</v>
      </c>
      <c r="AP84">
        <f t="shared" si="69"/>
        <v>0</v>
      </c>
      <c r="AQ84">
        <f t="shared" si="69"/>
        <v>0</v>
      </c>
      <c r="AR84">
        <f t="shared" si="69"/>
        <v>0</v>
      </c>
      <c r="AS84">
        <f t="shared" si="69"/>
        <v>0</v>
      </c>
      <c r="AT84">
        <f t="shared" si="69"/>
        <v>0</v>
      </c>
      <c r="AU84">
        <f t="shared" si="69"/>
        <v>0</v>
      </c>
      <c r="AV84">
        <f t="shared" si="69"/>
        <v>0</v>
      </c>
      <c r="AW84">
        <f t="shared" si="69"/>
        <v>0</v>
      </c>
      <c r="AX84">
        <f t="shared" si="69"/>
        <v>0</v>
      </c>
      <c r="AY84">
        <f t="shared" si="69"/>
        <v>0</v>
      </c>
      <c r="AZ84">
        <f t="shared" si="69"/>
        <v>0</v>
      </c>
    </row>
    <row r="85" spans="1:52" ht="15.75" customHeight="1">
      <c r="A85" s="350">
        <v>1942</v>
      </c>
      <c r="B85" s="350"/>
      <c r="C85" s="350"/>
      <c r="D85" s="350"/>
      <c r="E85" s="350"/>
      <c r="F85" s="350"/>
      <c r="G85" s="350"/>
      <c r="H85" s="350"/>
      <c r="I85" s="350"/>
      <c r="J85" s="350"/>
      <c r="K85" s="350"/>
      <c r="L85" s="350"/>
      <c r="M85" s="350"/>
      <c r="N85" s="350"/>
      <c r="O85" s="350"/>
      <c r="P85" s="350"/>
      <c r="Q85" s="350"/>
      <c r="R85" s="350"/>
      <c r="S85" s="350"/>
      <c r="T85" s="350"/>
      <c r="U85" s="350"/>
      <c r="V85" s="86">
        <v>1124.4999999999998</v>
      </c>
      <c r="W85">
        <f t="shared" si="22"/>
        <v>0</v>
      </c>
      <c r="X85">
        <f t="shared" ref="X85:AZ85" si="70">IF(AND(X$37-$A85&gt;$V$25,SUM($W85:W85)&lt;&gt;$V85),$V85,0)</f>
        <v>0</v>
      </c>
      <c r="Y85">
        <f t="shared" si="70"/>
        <v>0</v>
      </c>
      <c r="Z85">
        <f t="shared" si="70"/>
        <v>0</v>
      </c>
      <c r="AA85">
        <f t="shared" si="70"/>
        <v>0</v>
      </c>
      <c r="AB85">
        <f t="shared" si="70"/>
        <v>0</v>
      </c>
      <c r="AC85">
        <f t="shared" si="70"/>
        <v>0</v>
      </c>
      <c r="AD85">
        <f t="shared" si="70"/>
        <v>0</v>
      </c>
      <c r="AE85">
        <f t="shared" si="70"/>
        <v>0</v>
      </c>
      <c r="AF85">
        <f t="shared" si="70"/>
        <v>0</v>
      </c>
      <c r="AG85">
        <f t="shared" si="70"/>
        <v>0</v>
      </c>
      <c r="AH85">
        <f t="shared" si="70"/>
        <v>0</v>
      </c>
      <c r="AI85">
        <f t="shared" si="70"/>
        <v>0</v>
      </c>
      <c r="AJ85">
        <f t="shared" si="70"/>
        <v>1124.4999999999998</v>
      </c>
      <c r="AK85">
        <f t="shared" si="70"/>
        <v>0</v>
      </c>
      <c r="AL85">
        <f t="shared" si="70"/>
        <v>0</v>
      </c>
      <c r="AM85">
        <f t="shared" si="70"/>
        <v>0</v>
      </c>
      <c r="AN85">
        <f t="shared" si="70"/>
        <v>0</v>
      </c>
      <c r="AO85">
        <f t="shared" si="70"/>
        <v>0</v>
      </c>
      <c r="AP85">
        <f t="shared" si="70"/>
        <v>0</v>
      </c>
      <c r="AQ85">
        <f t="shared" si="70"/>
        <v>0</v>
      </c>
      <c r="AR85">
        <f t="shared" si="70"/>
        <v>0</v>
      </c>
      <c r="AS85">
        <f t="shared" si="70"/>
        <v>0</v>
      </c>
      <c r="AT85">
        <f t="shared" si="70"/>
        <v>0</v>
      </c>
      <c r="AU85">
        <f t="shared" si="70"/>
        <v>0</v>
      </c>
      <c r="AV85">
        <f t="shared" si="70"/>
        <v>0</v>
      </c>
      <c r="AW85">
        <f t="shared" si="70"/>
        <v>0</v>
      </c>
      <c r="AX85">
        <f t="shared" si="70"/>
        <v>0</v>
      </c>
      <c r="AY85">
        <f t="shared" si="70"/>
        <v>0</v>
      </c>
      <c r="AZ85">
        <f t="shared" si="70"/>
        <v>0</v>
      </c>
    </row>
    <row r="86" spans="1:52" ht="15.75" customHeight="1">
      <c r="A86" s="350">
        <v>1943</v>
      </c>
      <c r="B86" s="350"/>
      <c r="C86" s="350"/>
      <c r="D86" s="350"/>
      <c r="E86" s="350"/>
      <c r="F86" s="350"/>
      <c r="G86" s="350"/>
      <c r="H86" s="350"/>
      <c r="I86" s="350"/>
      <c r="J86" s="350"/>
      <c r="K86" s="350"/>
      <c r="L86" s="350"/>
      <c r="M86" s="350"/>
      <c r="N86" s="350"/>
      <c r="O86" s="350"/>
      <c r="P86" s="350"/>
      <c r="Q86" s="350"/>
      <c r="R86" s="350"/>
      <c r="S86" s="350"/>
      <c r="T86" s="350"/>
      <c r="U86" s="350"/>
      <c r="V86" s="86">
        <v>991.70000000000016</v>
      </c>
      <c r="W86">
        <f t="shared" si="22"/>
        <v>0</v>
      </c>
      <c r="X86">
        <f t="shared" ref="X86:AZ86" si="71">IF(AND(X$37-$A86&gt;$V$25,SUM($W86:W86)&lt;&gt;$V86),$V86,0)</f>
        <v>0</v>
      </c>
      <c r="Y86">
        <f t="shared" si="71"/>
        <v>0</v>
      </c>
      <c r="Z86">
        <f t="shared" si="71"/>
        <v>0</v>
      </c>
      <c r="AA86">
        <f t="shared" si="71"/>
        <v>0</v>
      </c>
      <c r="AB86">
        <f t="shared" si="71"/>
        <v>0</v>
      </c>
      <c r="AC86">
        <f t="shared" si="71"/>
        <v>0</v>
      </c>
      <c r="AD86">
        <f t="shared" si="71"/>
        <v>0</v>
      </c>
      <c r="AE86">
        <f t="shared" si="71"/>
        <v>0</v>
      </c>
      <c r="AF86">
        <f t="shared" si="71"/>
        <v>0</v>
      </c>
      <c r="AG86">
        <f t="shared" si="71"/>
        <v>0</v>
      </c>
      <c r="AH86">
        <f t="shared" si="71"/>
        <v>0</v>
      </c>
      <c r="AI86">
        <f t="shared" si="71"/>
        <v>0</v>
      </c>
      <c r="AJ86">
        <f t="shared" si="71"/>
        <v>0</v>
      </c>
      <c r="AK86">
        <f t="shared" si="71"/>
        <v>991.70000000000016</v>
      </c>
      <c r="AL86">
        <f t="shared" si="71"/>
        <v>0</v>
      </c>
      <c r="AM86">
        <f t="shared" si="71"/>
        <v>0</v>
      </c>
      <c r="AN86">
        <f t="shared" si="71"/>
        <v>0</v>
      </c>
      <c r="AO86">
        <f t="shared" si="71"/>
        <v>0</v>
      </c>
      <c r="AP86">
        <f t="shared" si="71"/>
        <v>0</v>
      </c>
      <c r="AQ86">
        <f t="shared" si="71"/>
        <v>0</v>
      </c>
      <c r="AR86">
        <f t="shared" si="71"/>
        <v>0</v>
      </c>
      <c r="AS86">
        <f t="shared" si="71"/>
        <v>0</v>
      </c>
      <c r="AT86">
        <f t="shared" si="71"/>
        <v>0</v>
      </c>
      <c r="AU86">
        <f t="shared" si="71"/>
        <v>0</v>
      </c>
      <c r="AV86">
        <f t="shared" si="71"/>
        <v>0</v>
      </c>
      <c r="AW86">
        <f t="shared" si="71"/>
        <v>0</v>
      </c>
      <c r="AX86">
        <f t="shared" si="71"/>
        <v>0</v>
      </c>
      <c r="AY86">
        <f t="shared" si="71"/>
        <v>0</v>
      </c>
      <c r="AZ86">
        <f t="shared" si="71"/>
        <v>0</v>
      </c>
    </row>
    <row r="87" spans="1:52" ht="15.75" customHeight="1">
      <c r="A87" s="350">
        <v>1944</v>
      </c>
      <c r="B87" s="350"/>
      <c r="C87" s="350"/>
      <c r="D87" s="350"/>
      <c r="E87" s="350"/>
      <c r="F87" s="350"/>
      <c r="G87" s="350"/>
      <c r="H87" s="350"/>
      <c r="I87" s="350"/>
      <c r="J87" s="350"/>
      <c r="K87" s="350"/>
      <c r="L87" s="350"/>
      <c r="M87" s="350"/>
      <c r="N87" s="350"/>
      <c r="O87" s="350"/>
      <c r="P87" s="350"/>
      <c r="Q87" s="350"/>
      <c r="R87" s="350"/>
      <c r="S87" s="350"/>
      <c r="T87" s="350"/>
      <c r="U87" s="350"/>
      <c r="V87" s="86">
        <v>1053.4000000000001</v>
      </c>
      <c r="W87">
        <f t="shared" si="22"/>
        <v>0</v>
      </c>
      <c r="X87">
        <f t="shared" ref="X87:AZ87" si="72">IF(AND(X$37-$A87&gt;$V$25,SUM($W87:W87)&lt;&gt;$V87),$V87,0)</f>
        <v>0</v>
      </c>
      <c r="Y87">
        <f t="shared" si="72"/>
        <v>0</v>
      </c>
      <c r="Z87">
        <f t="shared" si="72"/>
        <v>0</v>
      </c>
      <c r="AA87">
        <f t="shared" si="72"/>
        <v>0</v>
      </c>
      <c r="AB87">
        <f t="shared" si="72"/>
        <v>0</v>
      </c>
      <c r="AC87">
        <f t="shared" si="72"/>
        <v>0</v>
      </c>
      <c r="AD87">
        <f t="shared" si="72"/>
        <v>0</v>
      </c>
      <c r="AE87">
        <f t="shared" si="72"/>
        <v>0</v>
      </c>
      <c r="AF87">
        <f t="shared" si="72"/>
        <v>0</v>
      </c>
      <c r="AG87">
        <f t="shared" si="72"/>
        <v>0</v>
      </c>
      <c r="AH87">
        <f t="shared" si="72"/>
        <v>0</v>
      </c>
      <c r="AI87">
        <f t="shared" si="72"/>
        <v>0</v>
      </c>
      <c r="AJ87">
        <f t="shared" si="72"/>
        <v>0</v>
      </c>
      <c r="AK87">
        <f t="shared" si="72"/>
        <v>0</v>
      </c>
      <c r="AL87">
        <f t="shared" si="72"/>
        <v>1053.4000000000001</v>
      </c>
      <c r="AM87">
        <f t="shared" si="72"/>
        <v>0</v>
      </c>
      <c r="AN87">
        <f t="shared" si="72"/>
        <v>0</v>
      </c>
      <c r="AO87">
        <f t="shared" si="72"/>
        <v>0</v>
      </c>
      <c r="AP87">
        <f t="shared" si="72"/>
        <v>0</v>
      </c>
      <c r="AQ87">
        <f t="shared" si="72"/>
        <v>0</v>
      </c>
      <c r="AR87">
        <f t="shared" si="72"/>
        <v>0</v>
      </c>
      <c r="AS87">
        <f t="shared" si="72"/>
        <v>0</v>
      </c>
      <c r="AT87">
        <f t="shared" si="72"/>
        <v>0</v>
      </c>
      <c r="AU87">
        <f t="shared" si="72"/>
        <v>0</v>
      </c>
      <c r="AV87">
        <f t="shared" si="72"/>
        <v>0</v>
      </c>
      <c r="AW87">
        <f t="shared" si="72"/>
        <v>0</v>
      </c>
      <c r="AX87">
        <f t="shared" si="72"/>
        <v>0</v>
      </c>
      <c r="AY87">
        <f t="shared" si="72"/>
        <v>0</v>
      </c>
      <c r="AZ87">
        <f t="shared" si="72"/>
        <v>0</v>
      </c>
    </row>
    <row r="88" spans="1:52" ht="15.75" customHeight="1">
      <c r="A88" s="350">
        <v>1945</v>
      </c>
      <c r="B88" s="350"/>
      <c r="C88" s="350"/>
      <c r="D88" s="350"/>
      <c r="E88" s="350"/>
      <c r="F88" s="350"/>
      <c r="G88" s="350"/>
      <c r="H88" s="350"/>
      <c r="I88" s="350"/>
      <c r="J88" s="350"/>
      <c r="K88" s="350"/>
      <c r="L88" s="350"/>
      <c r="M88" s="350"/>
      <c r="N88" s="350"/>
      <c r="O88" s="350"/>
      <c r="P88" s="350"/>
      <c r="Q88" s="350"/>
      <c r="R88" s="350"/>
      <c r="S88" s="350"/>
      <c r="T88" s="350"/>
      <c r="U88" s="350"/>
      <c r="V88" s="86">
        <v>396.5</v>
      </c>
      <c r="W88">
        <f t="shared" si="22"/>
        <v>0</v>
      </c>
      <c r="X88">
        <f t="shared" ref="X88:AZ88" si="73">IF(AND(X$37-$A88&gt;$V$25,SUM($W88:W88)&lt;&gt;$V88),$V88,0)</f>
        <v>0</v>
      </c>
      <c r="Y88">
        <f t="shared" si="73"/>
        <v>0</v>
      </c>
      <c r="Z88">
        <f t="shared" si="73"/>
        <v>0</v>
      </c>
      <c r="AA88">
        <f t="shared" si="73"/>
        <v>0</v>
      </c>
      <c r="AB88">
        <f t="shared" si="73"/>
        <v>0</v>
      </c>
      <c r="AC88">
        <f t="shared" si="73"/>
        <v>0</v>
      </c>
      <c r="AD88">
        <f t="shared" si="73"/>
        <v>0</v>
      </c>
      <c r="AE88">
        <f t="shared" si="73"/>
        <v>0</v>
      </c>
      <c r="AF88">
        <f t="shared" si="73"/>
        <v>0</v>
      </c>
      <c r="AG88">
        <f t="shared" si="73"/>
        <v>0</v>
      </c>
      <c r="AH88">
        <f t="shared" si="73"/>
        <v>0</v>
      </c>
      <c r="AI88">
        <f t="shared" si="73"/>
        <v>0</v>
      </c>
      <c r="AJ88">
        <f t="shared" si="73"/>
        <v>0</v>
      </c>
      <c r="AK88">
        <f t="shared" si="73"/>
        <v>0</v>
      </c>
      <c r="AL88">
        <f t="shared" si="73"/>
        <v>0</v>
      </c>
      <c r="AM88">
        <f t="shared" si="73"/>
        <v>396.5</v>
      </c>
      <c r="AN88">
        <f t="shared" si="73"/>
        <v>0</v>
      </c>
      <c r="AO88">
        <f t="shared" si="73"/>
        <v>0</v>
      </c>
      <c r="AP88">
        <f t="shared" si="73"/>
        <v>0</v>
      </c>
      <c r="AQ88">
        <f t="shared" si="73"/>
        <v>0</v>
      </c>
      <c r="AR88">
        <f t="shared" si="73"/>
        <v>0</v>
      </c>
      <c r="AS88">
        <f t="shared" si="73"/>
        <v>0</v>
      </c>
      <c r="AT88">
        <f t="shared" si="73"/>
        <v>0</v>
      </c>
      <c r="AU88">
        <f t="shared" si="73"/>
        <v>0</v>
      </c>
      <c r="AV88">
        <f t="shared" si="73"/>
        <v>0</v>
      </c>
      <c r="AW88">
        <f t="shared" si="73"/>
        <v>0</v>
      </c>
      <c r="AX88">
        <f t="shared" si="73"/>
        <v>0</v>
      </c>
      <c r="AY88">
        <f t="shared" si="73"/>
        <v>0</v>
      </c>
      <c r="AZ88">
        <f t="shared" si="73"/>
        <v>0</v>
      </c>
    </row>
    <row r="89" spans="1:52" ht="15.75" customHeight="1">
      <c r="A89" s="350">
        <v>1946</v>
      </c>
      <c r="B89" s="350"/>
      <c r="C89" s="350"/>
      <c r="D89" s="350"/>
      <c r="E89" s="350"/>
      <c r="F89" s="350"/>
      <c r="G89" s="350"/>
      <c r="H89" s="350"/>
      <c r="I89" s="350"/>
      <c r="J89" s="350"/>
      <c r="K89" s="350"/>
      <c r="L89" s="350"/>
      <c r="M89" s="350"/>
      <c r="N89" s="350"/>
      <c r="O89" s="350"/>
      <c r="P89" s="350"/>
      <c r="Q89" s="350"/>
      <c r="R89" s="350"/>
      <c r="S89" s="350"/>
      <c r="T89" s="350"/>
      <c r="U89" s="350"/>
      <c r="V89" s="86">
        <v>57.7</v>
      </c>
      <c r="W89">
        <f t="shared" si="22"/>
        <v>0</v>
      </c>
      <c r="X89">
        <f t="shared" ref="X89:AZ89" si="74">IF(AND(X$37-$A89&gt;$V$25,SUM($W89:W89)&lt;&gt;$V89),$V89,0)</f>
        <v>0</v>
      </c>
      <c r="Y89">
        <f t="shared" si="74"/>
        <v>0</v>
      </c>
      <c r="Z89">
        <f t="shared" si="74"/>
        <v>0</v>
      </c>
      <c r="AA89">
        <f t="shared" si="74"/>
        <v>0</v>
      </c>
      <c r="AB89">
        <f t="shared" si="74"/>
        <v>0</v>
      </c>
      <c r="AC89">
        <f t="shared" si="74"/>
        <v>0</v>
      </c>
      <c r="AD89">
        <f t="shared" si="74"/>
        <v>0</v>
      </c>
      <c r="AE89">
        <f t="shared" si="74"/>
        <v>0</v>
      </c>
      <c r="AF89">
        <f t="shared" si="74"/>
        <v>0</v>
      </c>
      <c r="AG89">
        <f t="shared" si="74"/>
        <v>0</v>
      </c>
      <c r="AH89">
        <f t="shared" si="74"/>
        <v>0</v>
      </c>
      <c r="AI89">
        <f t="shared" si="74"/>
        <v>0</v>
      </c>
      <c r="AJ89">
        <f t="shared" si="74"/>
        <v>0</v>
      </c>
      <c r="AK89">
        <f t="shared" si="74"/>
        <v>0</v>
      </c>
      <c r="AL89">
        <f t="shared" si="74"/>
        <v>0</v>
      </c>
      <c r="AM89">
        <f t="shared" si="74"/>
        <v>0</v>
      </c>
      <c r="AN89">
        <f t="shared" si="74"/>
        <v>57.7</v>
      </c>
      <c r="AO89">
        <f t="shared" si="74"/>
        <v>0</v>
      </c>
      <c r="AP89">
        <f t="shared" si="74"/>
        <v>0</v>
      </c>
      <c r="AQ89">
        <f t="shared" si="74"/>
        <v>0</v>
      </c>
      <c r="AR89">
        <f t="shared" si="74"/>
        <v>0</v>
      </c>
      <c r="AS89">
        <f t="shared" si="74"/>
        <v>0</v>
      </c>
      <c r="AT89">
        <f t="shared" si="74"/>
        <v>0</v>
      </c>
      <c r="AU89">
        <f t="shared" si="74"/>
        <v>0</v>
      </c>
      <c r="AV89">
        <f t="shared" si="74"/>
        <v>0</v>
      </c>
      <c r="AW89">
        <f t="shared" si="74"/>
        <v>0</v>
      </c>
      <c r="AX89">
        <f t="shared" si="74"/>
        <v>0</v>
      </c>
      <c r="AY89">
        <f t="shared" si="74"/>
        <v>0</v>
      </c>
      <c r="AZ89">
        <f t="shared" si="74"/>
        <v>0</v>
      </c>
    </row>
    <row r="90" spans="1:52" ht="15.75" customHeight="1">
      <c r="A90" s="350">
        <v>1947</v>
      </c>
      <c r="B90" s="350"/>
      <c r="C90" s="350"/>
      <c r="D90" s="350"/>
      <c r="E90" s="350"/>
      <c r="F90" s="350"/>
      <c r="G90" s="350"/>
      <c r="H90" s="350"/>
      <c r="I90" s="350"/>
      <c r="J90" s="350"/>
      <c r="K90" s="350"/>
      <c r="L90" s="350"/>
      <c r="M90" s="350"/>
      <c r="N90" s="350"/>
      <c r="O90" s="350"/>
      <c r="P90" s="350"/>
      <c r="Q90" s="350"/>
      <c r="R90" s="350"/>
      <c r="S90" s="350"/>
      <c r="T90" s="350"/>
      <c r="U90" s="350"/>
      <c r="V90" s="86">
        <v>168.7</v>
      </c>
      <c r="W90">
        <f t="shared" si="22"/>
        <v>0</v>
      </c>
      <c r="X90">
        <f t="shared" ref="X90:AZ90" si="75">IF(AND(X$37-$A90&gt;$V$25,SUM($W90:W90)&lt;&gt;$V90),$V90,0)</f>
        <v>0</v>
      </c>
      <c r="Y90">
        <f t="shared" si="75"/>
        <v>0</v>
      </c>
      <c r="Z90">
        <f t="shared" si="75"/>
        <v>0</v>
      </c>
      <c r="AA90">
        <f t="shared" si="75"/>
        <v>0</v>
      </c>
      <c r="AB90">
        <f t="shared" si="75"/>
        <v>0</v>
      </c>
      <c r="AC90">
        <f t="shared" si="75"/>
        <v>0</v>
      </c>
      <c r="AD90">
        <f t="shared" si="75"/>
        <v>0</v>
      </c>
      <c r="AE90">
        <f t="shared" si="75"/>
        <v>0</v>
      </c>
      <c r="AF90">
        <f t="shared" si="75"/>
        <v>0</v>
      </c>
      <c r="AG90">
        <f t="shared" si="75"/>
        <v>0</v>
      </c>
      <c r="AH90">
        <f t="shared" si="75"/>
        <v>0</v>
      </c>
      <c r="AI90">
        <f t="shared" si="75"/>
        <v>0</v>
      </c>
      <c r="AJ90">
        <f t="shared" si="75"/>
        <v>0</v>
      </c>
      <c r="AK90">
        <f t="shared" si="75"/>
        <v>0</v>
      </c>
      <c r="AL90">
        <f t="shared" si="75"/>
        <v>0</v>
      </c>
      <c r="AM90">
        <f t="shared" si="75"/>
        <v>0</v>
      </c>
      <c r="AN90">
        <f t="shared" si="75"/>
        <v>0</v>
      </c>
      <c r="AO90">
        <f t="shared" si="75"/>
        <v>168.7</v>
      </c>
      <c r="AP90">
        <f t="shared" si="75"/>
        <v>0</v>
      </c>
      <c r="AQ90">
        <f t="shared" si="75"/>
        <v>0</v>
      </c>
      <c r="AR90">
        <f t="shared" si="75"/>
        <v>0</v>
      </c>
      <c r="AS90">
        <f t="shared" si="75"/>
        <v>0</v>
      </c>
      <c r="AT90">
        <f t="shared" si="75"/>
        <v>0</v>
      </c>
      <c r="AU90">
        <f t="shared" si="75"/>
        <v>0</v>
      </c>
      <c r="AV90">
        <f t="shared" si="75"/>
        <v>0</v>
      </c>
      <c r="AW90">
        <f t="shared" si="75"/>
        <v>0</v>
      </c>
      <c r="AX90">
        <f t="shared" si="75"/>
        <v>0</v>
      </c>
      <c r="AY90">
        <f t="shared" si="75"/>
        <v>0</v>
      </c>
      <c r="AZ90">
        <f t="shared" si="75"/>
        <v>0</v>
      </c>
    </row>
    <row r="91" spans="1:52" ht="15.75" customHeight="1">
      <c r="A91" s="350">
        <v>1948</v>
      </c>
      <c r="B91" s="350"/>
      <c r="C91" s="350"/>
      <c r="D91" s="350"/>
      <c r="E91" s="350"/>
      <c r="F91" s="350"/>
      <c r="G91" s="350"/>
      <c r="H91" s="350"/>
      <c r="I91" s="350"/>
      <c r="J91" s="350"/>
      <c r="K91" s="350"/>
      <c r="L91" s="350"/>
      <c r="M91" s="350"/>
      <c r="N91" s="350"/>
      <c r="O91" s="350"/>
      <c r="P91" s="350"/>
      <c r="Q91" s="350"/>
      <c r="R91" s="350"/>
      <c r="S91" s="350"/>
      <c r="T91" s="350"/>
      <c r="U91" s="350"/>
      <c r="V91" s="86">
        <v>787.70000000000016</v>
      </c>
      <c r="W91">
        <f t="shared" si="22"/>
        <v>0</v>
      </c>
      <c r="X91">
        <f t="shared" ref="X91:AZ91" si="76">IF(AND(X$37-$A91&gt;$V$25,SUM($W91:W91)&lt;&gt;$V91),$V91,0)</f>
        <v>0</v>
      </c>
      <c r="Y91">
        <f t="shared" si="76"/>
        <v>0</v>
      </c>
      <c r="Z91">
        <f t="shared" si="76"/>
        <v>0</v>
      </c>
      <c r="AA91">
        <f t="shared" si="76"/>
        <v>0</v>
      </c>
      <c r="AB91">
        <f t="shared" si="76"/>
        <v>0</v>
      </c>
      <c r="AC91">
        <f t="shared" si="76"/>
        <v>0</v>
      </c>
      <c r="AD91">
        <f t="shared" si="76"/>
        <v>0</v>
      </c>
      <c r="AE91">
        <f t="shared" si="76"/>
        <v>0</v>
      </c>
      <c r="AF91">
        <f t="shared" si="76"/>
        <v>0</v>
      </c>
      <c r="AG91">
        <f t="shared" si="76"/>
        <v>0</v>
      </c>
      <c r="AH91">
        <f t="shared" si="76"/>
        <v>0</v>
      </c>
      <c r="AI91">
        <f t="shared" si="76"/>
        <v>0</v>
      </c>
      <c r="AJ91">
        <f t="shared" si="76"/>
        <v>0</v>
      </c>
      <c r="AK91">
        <f t="shared" si="76"/>
        <v>0</v>
      </c>
      <c r="AL91">
        <f t="shared" si="76"/>
        <v>0</v>
      </c>
      <c r="AM91">
        <f t="shared" si="76"/>
        <v>0</v>
      </c>
      <c r="AN91">
        <f t="shared" si="76"/>
        <v>0</v>
      </c>
      <c r="AO91">
        <f t="shared" si="76"/>
        <v>0</v>
      </c>
      <c r="AP91">
        <f t="shared" si="76"/>
        <v>787.70000000000016</v>
      </c>
      <c r="AQ91">
        <f t="shared" si="76"/>
        <v>0</v>
      </c>
      <c r="AR91">
        <f t="shared" si="76"/>
        <v>0</v>
      </c>
      <c r="AS91">
        <f t="shared" si="76"/>
        <v>0</v>
      </c>
      <c r="AT91">
        <f t="shared" si="76"/>
        <v>0</v>
      </c>
      <c r="AU91">
        <f t="shared" si="76"/>
        <v>0</v>
      </c>
      <c r="AV91">
        <f t="shared" si="76"/>
        <v>0</v>
      </c>
      <c r="AW91">
        <f t="shared" si="76"/>
        <v>0</v>
      </c>
      <c r="AX91">
        <f t="shared" si="76"/>
        <v>0</v>
      </c>
      <c r="AY91">
        <f t="shared" si="76"/>
        <v>0</v>
      </c>
      <c r="AZ91">
        <f t="shared" si="76"/>
        <v>0</v>
      </c>
    </row>
    <row r="92" spans="1:52" ht="15.75" customHeight="1">
      <c r="A92" s="350">
        <v>1949</v>
      </c>
      <c r="B92" s="350"/>
      <c r="C92" s="350"/>
      <c r="D92" s="350"/>
      <c r="E92" s="350"/>
      <c r="F92" s="350"/>
      <c r="G92" s="350"/>
      <c r="H92" s="350"/>
      <c r="I92" s="350"/>
      <c r="J92" s="350"/>
      <c r="K92" s="350"/>
      <c r="L92" s="350"/>
      <c r="M92" s="350"/>
      <c r="N92" s="350"/>
      <c r="O92" s="350"/>
      <c r="P92" s="350"/>
      <c r="Q92" s="350"/>
      <c r="R92" s="350"/>
      <c r="S92" s="350"/>
      <c r="T92" s="350"/>
      <c r="U92" s="350"/>
      <c r="V92" s="86">
        <v>1294.3999999999999</v>
      </c>
      <c r="W92">
        <f t="shared" si="22"/>
        <v>0</v>
      </c>
      <c r="X92">
        <f t="shared" ref="X92:AZ92" si="77">IF(AND(X$37-$A92&gt;$V$25,SUM($W92:W92)&lt;&gt;$V92),$V92,0)</f>
        <v>0</v>
      </c>
      <c r="Y92">
        <f t="shared" si="77"/>
        <v>0</v>
      </c>
      <c r="Z92">
        <f t="shared" si="77"/>
        <v>0</v>
      </c>
      <c r="AA92">
        <f t="shared" si="77"/>
        <v>0</v>
      </c>
      <c r="AB92">
        <f t="shared" si="77"/>
        <v>0</v>
      </c>
      <c r="AC92">
        <f t="shared" si="77"/>
        <v>0</v>
      </c>
      <c r="AD92">
        <f t="shared" si="77"/>
        <v>0</v>
      </c>
      <c r="AE92">
        <f t="shared" si="77"/>
        <v>0</v>
      </c>
      <c r="AF92">
        <f t="shared" si="77"/>
        <v>0</v>
      </c>
      <c r="AG92">
        <f t="shared" si="77"/>
        <v>0</v>
      </c>
      <c r="AH92">
        <f t="shared" si="77"/>
        <v>0</v>
      </c>
      <c r="AI92">
        <f t="shared" si="77"/>
        <v>0</v>
      </c>
      <c r="AJ92">
        <f t="shared" si="77"/>
        <v>0</v>
      </c>
      <c r="AK92">
        <f t="shared" si="77"/>
        <v>0</v>
      </c>
      <c r="AL92">
        <f t="shared" si="77"/>
        <v>0</v>
      </c>
      <c r="AM92">
        <f t="shared" si="77"/>
        <v>0</v>
      </c>
      <c r="AN92">
        <f t="shared" si="77"/>
        <v>0</v>
      </c>
      <c r="AO92">
        <f t="shared" si="77"/>
        <v>0</v>
      </c>
      <c r="AP92">
        <f t="shared" si="77"/>
        <v>0</v>
      </c>
      <c r="AQ92">
        <f t="shared" si="77"/>
        <v>1294.3999999999999</v>
      </c>
      <c r="AR92">
        <f t="shared" si="77"/>
        <v>0</v>
      </c>
      <c r="AS92">
        <f t="shared" si="77"/>
        <v>0</v>
      </c>
      <c r="AT92">
        <f t="shared" si="77"/>
        <v>0</v>
      </c>
      <c r="AU92">
        <f t="shared" si="77"/>
        <v>0</v>
      </c>
      <c r="AV92">
        <f t="shared" si="77"/>
        <v>0</v>
      </c>
      <c r="AW92">
        <f t="shared" si="77"/>
        <v>0</v>
      </c>
      <c r="AX92">
        <f t="shared" si="77"/>
        <v>0</v>
      </c>
      <c r="AY92">
        <f t="shared" si="77"/>
        <v>0</v>
      </c>
      <c r="AZ92">
        <f t="shared" si="77"/>
        <v>0</v>
      </c>
    </row>
    <row r="93" spans="1:52" ht="15.75" customHeight="1">
      <c r="A93" s="350">
        <v>1950</v>
      </c>
      <c r="B93" s="350"/>
      <c r="C93" s="350"/>
      <c r="D93" s="350"/>
      <c r="E93" s="350"/>
      <c r="F93" s="350"/>
      <c r="G93" s="350"/>
      <c r="H93" s="350"/>
      <c r="I93" s="350"/>
      <c r="J93" s="350"/>
      <c r="K93" s="350"/>
      <c r="L93" s="350"/>
      <c r="M93" s="350"/>
      <c r="N93" s="350"/>
      <c r="O93" s="350"/>
      <c r="P93" s="350"/>
      <c r="Q93" s="350"/>
      <c r="R93" s="350"/>
      <c r="S93" s="350"/>
      <c r="T93" s="350"/>
      <c r="U93" s="350"/>
      <c r="V93" s="86">
        <v>1113.2999999999997</v>
      </c>
      <c r="W93">
        <f t="shared" si="22"/>
        <v>0</v>
      </c>
      <c r="X93">
        <f t="shared" ref="X93:AZ93" si="78">IF(AND(X$37-$A93&gt;$V$25,SUM($W93:W93)&lt;&gt;$V93),$V93,0)</f>
        <v>0</v>
      </c>
      <c r="Y93">
        <f t="shared" si="78"/>
        <v>0</v>
      </c>
      <c r="Z93">
        <f t="shared" si="78"/>
        <v>0</v>
      </c>
      <c r="AA93">
        <f t="shared" si="78"/>
        <v>0</v>
      </c>
      <c r="AB93">
        <f t="shared" si="78"/>
        <v>0</v>
      </c>
      <c r="AC93">
        <f t="shared" si="78"/>
        <v>0</v>
      </c>
      <c r="AD93">
        <f t="shared" si="78"/>
        <v>0</v>
      </c>
      <c r="AE93">
        <f t="shared" si="78"/>
        <v>0</v>
      </c>
      <c r="AF93">
        <f t="shared" si="78"/>
        <v>0</v>
      </c>
      <c r="AG93">
        <f t="shared" si="78"/>
        <v>0</v>
      </c>
      <c r="AH93">
        <f t="shared" si="78"/>
        <v>0</v>
      </c>
      <c r="AI93">
        <f t="shared" si="78"/>
        <v>0</v>
      </c>
      <c r="AJ93">
        <f t="shared" si="78"/>
        <v>0</v>
      </c>
      <c r="AK93">
        <f t="shared" si="78"/>
        <v>0</v>
      </c>
      <c r="AL93">
        <f t="shared" si="78"/>
        <v>0</v>
      </c>
      <c r="AM93">
        <f t="shared" si="78"/>
        <v>0</v>
      </c>
      <c r="AN93">
        <f t="shared" si="78"/>
        <v>0</v>
      </c>
      <c r="AO93">
        <f t="shared" si="78"/>
        <v>0</v>
      </c>
      <c r="AP93">
        <f t="shared" si="78"/>
        <v>0</v>
      </c>
      <c r="AQ93">
        <f t="shared" si="78"/>
        <v>0</v>
      </c>
      <c r="AR93">
        <f t="shared" si="78"/>
        <v>1113.2999999999997</v>
      </c>
      <c r="AS93">
        <f t="shared" si="78"/>
        <v>0</v>
      </c>
      <c r="AT93">
        <f t="shared" si="78"/>
        <v>0</v>
      </c>
      <c r="AU93">
        <f t="shared" si="78"/>
        <v>0</v>
      </c>
      <c r="AV93">
        <f t="shared" si="78"/>
        <v>0</v>
      </c>
      <c r="AW93">
        <f t="shared" si="78"/>
        <v>0</v>
      </c>
      <c r="AX93">
        <f t="shared" si="78"/>
        <v>0</v>
      </c>
      <c r="AY93">
        <f t="shared" si="78"/>
        <v>0</v>
      </c>
      <c r="AZ93">
        <f t="shared" si="78"/>
        <v>0</v>
      </c>
    </row>
    <row r="94" spans="1:52" ht="15.75" customHeight="1">
      <c r="A94" s="350">
        <v>1951</v>
      </c>
      <c r="B94" s="350"/>
      <c r="C94" s="350"/>
      <c r="D94" s="350"/>
      <c r="E94" s="350"/>
      <c r="F94" s="350"/>
      <c r="G94" s="350"/>
      <c r="H94" s="350"/>
      <c r="I94" s="350"/>
      <c r="J94" s="350"/>
      <c r="K94" s="350"/>
      <c r="L94" s="350"/>
      <c r="M94" s="350"/>
      <c r="N94" s="350"/>
      <c r="O94" s="350"/>
      <c r="P94" s="350"/>
      <c r="Q94" s="350"/>
      <c r="R94" s="350"/>
      <c r="S94" s="350"/>
      <c r="T94" s="350"/>
      <c r="U94" s="350"/>
      <c r="V94" s="86">
        <v>1392.1000000000001</v>
      </c>
      <c r="W94">
        <f t="shared" si="22"/>
        <v>0</v>
      </c>
      <c r="X94">
        <f t="shared" ref="X94:AZ94" si="79">IF(AND(X$37-$A94&gt;$V$25,SUM($W94:W94)&lt;&gt;$V94),$V94,0)</f>
        <v>0</v>
      </c>
      <c r="Y94">
        <f t="shared" si="79"/>
        <v>0</v>
      </c>
      <c r="Z94">
        <f t="shared" si="79"/>
        <v>0</v>
      </c>
      <c r="AA94">
        <f t="shared" si="79"/>
        <v>0</v>
      </c>
      <c r="AB94">
        <f t="shared" si="79"/>
        <v>0</v>
      </c>
      <c r="AC94">
        <f t="shared" si="79"/>
        <v>0</v>
      </c>
      <c r="AD94">
        <f t="shared" si="79"/>
        <v>0</v>
      </c>
      <c r="AE94">
        <f t="shared" si="79"/>
        <v>0</v>
      </c>
      <c r="AF94">
        <f t="shared" si="79"/>
        <v>0</v>
      </c>
      <c r="AG94">
        <f t="shared" si="79"/>
        <v>0</v>
      </c>
      <c r="AH94">
        <f t="shared" si="79"/>
        <v>0</v>
      </c>
      <c r="AI94">
        <f t="shared" si="79"/>
        <v>0</v>
      </c>
      <c r="AJ94">
        <f t="shared" si="79"/>
        <v>0</v>
      </c>
      <c r="AK94">
        <f t="shared" si="79"/>
        <v>0</v>
      </c>
      <c r="AL94">
        <f t="shared" si="79"/>
        <v>0</v>
      </c>
      <c r="AM94">
        <f t="shared" si="79"/>
        <v>0</v>
      </c>
      <c r="AN94">
        <f t="shared" si="79"/>
        <v>0</v>
      </c>
      <c r="AO94">
        <f t="shared" si="79"/>
        <v>0</v>
      </c>
      <c r="AP94">
        <f t="shared" si="79"/>
        <v>0</v>
      </c>
      <c r="AQ94">
        <f t="shared" si="79"/>
        <v>0</v>
      </c>
      <c r="AR94">
        <f t="shared" si="79"/>
        <v>0</v>
      </c>
      <c r="AS94">
        <f t="shared" si="79"/>
        <v>1392.1000000000001</v>
      </c>
      <c r="AT94">
        <f t="shared" si="79"/>
        <v>0</v>
      </c>
      <c r="AU94">
        <f t="shared" si="79"/>
        <v>0</v>
      </c>
      <c r="AV94">
        <f t="shared" si="79"/>
        <v>0</v>
      </c>
      <c r="AW94">
        <f t="shared" si="79"/>
        <v>0</v>
      </c>
      <c r="AX94">
        <f t="shared" si="79"/>
        <v>0</v>
      </c>
      <c r="AY94">
        <f t="shared" si="79"/>
        <v>0</v>
      </c>
      <c r="AZ94">
        <f t="shared" si="79"/>
        <v>0</v>
      </c>
    </row>
    <row r="95" spans="1:52" ht="15.75" customHeight="1">
      <c r="A95" s="350">
        <v>1952</v>
      </c>
      <c r="B95" s="350"/>
      <c r="C95" s="350"/>
      <c r="D95" s="350"/>
      <c r="E95" s="350"/>
      <c r="F95" s="350"/>
      <c r="G95" s="350"/>
      <c r="H95" s="350"/>
      <c r="I95" s="350"/>
      <c r="J95" s="350"/>
      <c r="K95" s="350"/>
      <c r="L95" s="350"/>
      <c r="M95" s="350"/>
      <c r="N95" s="350"/>
      <c r="O95" s="350"/>
      <c r="P95" s="350"/>
      <c r="Q95" s="350"/>
      <c r="R95" s="350"/>
      <c r="S95" s="350"/>
      <c r="T95" s="350"/>
      <c r="U95" s="350"/>
      <c r="V95" s="86">
        <v>1716.8000000000004</v>
      </c>
      <c r="W95">
        <f t="shared" si="22"/>
        <v>0</v>
      </c>
      <c r="X95">
        <f t="shared" ref="X95:AZ95" si="80">IF(AND(X$37-$A95&gt;$V$25,SUM($W95:W95)&lt;&gt;$V95),$V95,0)</f>
        <v>0</v>
      </c>
      <c r="Y95">
        <f t="shared" si="80"/>
        <v>0</v>
      </c>
      <c r="Z95">
        <f t="shared" si="80"/>
        <v>0</v>
      </c>
      <c r="AA95">
        <f t="shared" si="80"/>
        <v>0</v>
      </c>
      <c r="AB95">
        <f t="shared" si="80"/>
        <v>0</v>
      </c>
      <c r="AC95">
        <f t="shared" si="80"/>
        <v>0</v>
      </c>
      <c r="AD95">
        <f t="shared" si="80"/>
        <v>0</v>
      </c>
      <c r="AE95">
        <f t="shared" si="80"/>
        <v>0</v>
      </c>
      <c r="AF95">
        <f t="shared" si="80"/>
        <v>0</v>
      </c>
      <c r="AG95">
        <f t="shared" si="80"/>
        <v>0</v>
      </c>
      <c r="AH95">
        <f t="shared" si="80"/>
        <v>0</v>
      </c>
      <c r="AI95">
        <f t="shared" si="80"/>
        <v>0</v>
      </c>
      <c r="AJ95">
        <f t="shared" si="80"/>
        <v>0</v>
      </c>
      <c r="AK95">
        <f t="shared" si="80"/>
        <v>0</v>
      </c>
      <c r="AL95">
        <f t="shared" si="80"/>
        <v>0</v>
      </c>
      <c r="AM95">
        <f t="shared" si="80"/>
        <v>0</v>
      </c>
      <c r="AN95">
        <f t="shared" si="80"/>
        <v>0</v>
      </c>
      <c r="AO95">
        <f t="shared" si="80"/>
        <v>0</v>
      </c>
      <c r="AP95">
        <f t="shared" si="80"/>
        <v>0</v>
      </c>
      <c r="AQ95">
        <f t="shared" si="80"/>
        <v>0</v>
      </c>
      <c r="AR95">
        <f t="shared" si="80"/>
        <v>0</v>
      </c>
      <c r="AS95">
        <f t="shared" si="80"/>
        <v>0</v>
      </c>
      <c r="AT95">
        <f t="shared" si="80"/>
        <v>1716.8000000000004</v>
      </c>
      <c r="AU95">
        <f t="shared" si="80"/>
        <v>0</v>
      </c>
      <c r="AV95">
        <f t="shared" si="80"/>
        <v>0</v>
      </c>
      <c r="AW95">
        <f t="shared" si="80"/>
        <v>0</v>
      </c>
      <c r="AX95">
        <f t="shared" si="80"/>
        <v>0</v>
      </c>
      <c r="AY95">
        <f t="shared" si="80"/>
        <v>0</v>
      </c>
      <c r="AZ95">
        <f t="shared" si="80"/>
        <v>0</v>
      </c>
    </row>
    <row r="96" spans="1:52" ht="15.75" customHeight="1">
      <c r="A96" s="350">
        <v>1953</v>
      </c>
      <c r="B96" s="350"/>
      <c r="C96" s="350"/>
      <c r="D96" s="350"/>
      <c r="E96" s="350"/>
      <c r="F96" s="350"/>
      <c r="G96" s="350"/>
      <c r="H96" s="350"/>
      <c r="I96" s="350"/>
      <c r="J96" s="350"/>
      <c r="K96" s="350"/>
      <c r="L96" s="350"/>
      <c r="M96" s="350"/>
      <c r="N96" s="350"/>
      <c r="O96" s="350"/>
      <c r="P96" s="350"/>
      <c r="Q96" s="350"/>
      <c r="R96" s="350"/>
      <c r="S96" s="350"/>
      <c r="T96" s="350"/>
      <c r="U96" s="350"/>
      <c r="V96" s="86">
        <v>1944.3999999999999</v>
      </c>
      <c r="W96">
        <f t="shared" si="22"/>
        <v>0</v>
      </c>
      <c r="X96">
        <f t="shared" ref="X96:AZ96" si="81">IF(AND(X$37-$A96&gt;$V$25,SUM($W96:W96)&lt;&gt;$V96),$V96,0)</f>
        <v>0</v>
      </c>
      <c r="Y96">
        <f t="shared" si="81"/>
        <v>0</v>
      </c>
      <c r="Z96">
        <f t="shared" si="81"/>
        <v>0</v>
      </c>
      <c r="AA96">
        <f t="shared" si="81"/>
        <v>0</v>
      </c>
      <c r="AB96">
        <f t="shared" si="81"/>
        <v>0</v>
      </c>
      <c r="AC96">
        <f t="shared" si="81"/>
        <v>0</v>
      </c>
      <c r="AD96">
        <f t="shared" si="81"/>
        <v>0</v>
      </c>
      <c r="AE96">
        <f t="shared" si="81"/>
        <v>0</v>
      </c>
      <c r="AF96">
        <f t="shared" si="81"/>
        <v>0</v>
      </c>
      <c r="AG96">
        <f t="shared" si="81"/>
        <v>0</v>
      </c>
      <c r="AH96">
        <f t="shared" si="81"/>
        <v>0</v>
      </c>
      <c r="AI96">
        <f t="shared" si="81"/>
        <v>0</v>
      </c>
      <c r="AJ96">
        <f t="shared" si="81"/>
        <v>0</v>
      </c>
      <c r="AK96">
        <f t="shared" si="81"/>
        <v>0</v>
      </c>
      <c r="AL96">
        <f t="shared" si="81"/>
        <v>0</v>
      </c>
      <c r="AM96">
        <f t="shared" si="81"/>
        <v>0</v>
      </c>
      <c r="AN96">
        <f t="shared" si="81"/>
        <v>0</v>
      </c>
      <c r="AO96">
        <f t="shared" si="81"/>
        <v>0</v>
      </c>
      <c r="AP96">
        <f t="shared" si="81"/>
        <v>0</v>
      </c>
      <c r="AQ96">
        <f t="shared" si="81"/>
        <v>0</v>
      </c>
      <c r="AR96">
        <f t="shared" si="81"/>
        <v>0</v>
      </c>
      <c r="AS96">
        <f t="shared" si="81"/>
        <v>0</v>
      </c>
      <c r="AT96">
        <f t="shared" si="81"/>
        <v>0</v>
      </c>
      <c r="AU96">
        <f t="shared" si="81"/>
        <v>1944.3999999999999</v>
      </c>
      <c r="AV96">
        <f t="shared" si="81"/>
        <v>0</v>
      </c>
      <c r="AW96">
        <f t="shared" si="81"/>
        <v>0</v>
      </c>
      <c r="AX96">
        <f t="shared" si="81"/>
        <v>0</v>
      </c>
      <c r="AY96">
        <f t="shared" si="81"/>
        <v>0</v>
      </c>
      <c r="AZ96">
        <f t="shared" si="81"/>
        <v>0</v>
      </c>
    </row>
    <row r="97" spans="1:52" ht="15.75" customHeight="1">
      <c r="A97" s="350">
        <v>1954</v>
      </c>
      <c r="B97" s="350"/>
      <c r="C97" s="350"/>
      <c r="D97" s="350"/>
      <c r="E97" s="350"/>
      <c r="F97" s="350"/>
      <c r="G97" s="350"/>
      <c r="H97" s="350"/>
      <c r="I97" s="350"/>
      <c r="J97" s="350"/>
      <c r="K97" s="350"/>
      <c r="L97" s="350"/>
      <c r="M97" s="350"/>
      <c r="N97" s="350"/>
      <c r="O97" s="350"/>
      <c r="P97" s="350"/>
      <c r="Q97" s="350"/>
      <c r="R97" s="350"/>
      <c r="S97" s="350"/>
      <c r="T97" s="350"/>
      <c r="U97" s="350"/>
      <c r="V97" s="86">
        <v>1300.8000000000002</v>
      </c>
      <c r="W97">
        <f t="shared" si="22"/>
        <v>0</v>
      </c>
      <c r="X97">
        <f t="shared" ref="X97:AZ97" si="82">IF(AND(X$37-$A97&gt;$V$25,SUM($W97:W97)&lt;&gt;$V97),$V97,0)</f>
        <v>0</v>
      </c>
      <c r="Y97">
        <f t="shared" si="82"/>
        <v>0</v>
      </c>
      <c r="Z97">
        <f t="shared" si="82"/>
        <v>0</v>
      </c>
      <c r="AA97">
        <f t="shared" si="82"/>
        <v>0</v>
      </c>
      <c r="AB97">
        <f t="shared" si="82"/>
        <v>0</v>
      </c>
      <c r="AC97">
        <f t="shared" si="82"/>
        <v>0</v>
      </c>
      <c r="AD97">
        <f t="shared" si="82"/>
        <v>0</v>
      </c>
      <c r="AE97">
        <f t="shared" si="82"/>
        <v>0</v>
      </c>
      <c r="AF97">
        <f t="shared" si="82"/>
        <v>0</v>
      </c>
      <c r="AG97">
        <f t="shared" si="82"/>
        <v>0</v>
      </c>
      <c r="AH97">
        <f t="shared" si="82"/>
        <v>0</v>
      </c>
      <c r="AI97">
        <f t="shared" si="82"/>
        <v>0</v>
      </c>
      <c r="AJ97">
        <f t="shared" si="82"/>
        <v>0</v>
      </c>
      <c r="AK97">
        <f t="shared" si="82"/>
        <v>0</v>
      </c>
      <c r="AL97">
        <f t="shared" si="82"/>
        <v>0</v>
      </c>
      <c r="AM97">
        <f t="shared" si="82"/>
        <v>0</v>
      </c>
      <c r="AN97">
        <f t="shared" si="82"/>
        <v>0</v>
      </c>
      <c r="AO97">
        <f t="shared" si="82"/>
        <v>0</v>
      </c>
      <c r="AP97">
        <f t="shared" si="82"/>
        <v>0</v>
      </c>
      <c r="AQ97">
        <f t="shared" si="82"/>
        <v>0</v>
      </c>
      <c r="AR97">
        <f t="shared" si="82"/>
        <v>0</v>
      </c>
      <c r="AS97">
        <f t="shared" si="82"/>
        <v>0</v>
      </c>
      <c r="AT97">
        <f t="shared" si="82"/>
        <v>0</v>
      </c>
      <c r="AU97">
        <f t="shared" si="82"/>
        <v>0</v>
      </c>
      <c r="AV97">
        <f t="shared" si="82"/>
        <v>1300.8000000000002</v>
      </c>
      <c r="AW97">
        <f t="shared" si="82"/>
        <v>0</v>
      </c>
      <c r="AX97">
        <f t="shared" si="82"/>
        <v>0</v>
      </c>
      <c r="AY97">
        <f t="shared" si="82"/>
        <v>0</v>
      </c>
      <c r="AZ97">
        <f t="shared" si="82"/>
        <v>0</v>
      </c>
    </row>
    <row r="98" spans="1:52" ht="15.75" customHeight="1">
      <c r="A98" s="350">
        <v>1955</v>
      </c>
      <c r="B98" s="350"/>
      <c r="C98" s="350"/>
      <c r="D98" s="350"/>
      <c r="E98" s="350"/>
      <c r="F98" s="350"/>
      <c r="G98" s="350"/>
      <c r="H98" s="350"/>
      <c r="I98" s="350"/>
      <c r="J98" s="350"/>
      <c r="K98" s="350"/>
      <c r="L98" s="350"/>
      <c r="M98" s="350"/>
      <c r="N98" s="350"/>
      <c r="O98" s="350"/>
      <c r="P98" s="350"/>
      <c r="Q98" s="350"/>
      <c r="R98" s="350"/>
      <c r="S98" s="350"/>
      <c r="T98" s="350"/>
      <c r="U98" s="350"/>
      <c r="V98" s="86">
        <v>1731.4000000000003</v>
      </c>
      <c r="W98">
        <f t="shared" si="22"/>
        <v>0</v>
      </c>
      <c r="X98">
        <f t="shared" ref="X98:AZ98" si="83">IF(AND(X$37-$A98&gt;$V$25,SUM($W98:W98)&lt;&gt;$V98),$V98,0)</f>
        <v>0</v>
      </c>
      <c r="Y98">
        <f t="shared" si="83"/>
        <v>0</v>
      </c>
      <c r="Z98">
        <f t="shared" si="83"/>
        <v>0</v>
      </c>
      <c r="AA98">
        <f t="shared" si="83"/>
        <v>0</v>
      </c>
      <c r="AB98">
        <f t="shared" si="83"/>
        <v>0</v>
      </c>
      <c r="AC98">
        <f t="shared" si="83"/>
        <v>0</v>
      </c>
      <c r="AD98">
        <f t="shared" si="83"/>
        <v>0</v>
      </c>
      <c r="AE98">
        <f t="shared" si="83"/>
        <v>0</v>
      </c>
      <c r="AF98">
        <f t="shared" si="83"/>
        <v>0</v>
      </c>
      <c r="AG98">
        <f t="shared" si="83"/>
        <v>0</v>
      </c>
      <c r="AH98">
        <f t="shared" si="83"/>
        <v>0</v>
      </c>
      <c r="AI98">
        <f t="shared" si="83"/>
        <v>0</v>
      </c>
      <c r="AJ98">
        <f t="shared" si="83"/>
        <v>0</v>
      </c>
      <c r="AK98">
        <f t="shared" si="83"/>
        <v>0</v>
      </c>
      <c r="AL98">
        <f t="shared" si="83"/>
        <v>0</v>
      </c>
      <c r="AM98">
        <f t="shared" si="83"/>
        <v>0</v>
      </c>
      <c r="AN98">
        <f t="shared" si="83"/>
        <v>0</v>
      </c>
      <c r="AO98">
        <f t="shared" si="83"/>
        <v>0</v>
      </c>
      <c r="AP98">
        <f t="shared" si="83"/>
        <v>0</v>
      </c>
      <c r="AQ98">
        <f t="shared" si="83"/>
        <v>0</v>
      </c>
      <c r="AR98">
        <f t="shared" si="83"/>
        <v>0</v>
      </c>
      <c r="AS98">
        <f t="shared" si="83"/>
        <v>0</v>
      </c>
      <c r="AT98">
        <f t="shared" si="83"/>
        <v>0</v>
      </c>
      <c r="AU98">
        <f t="shared" si="83"/>
        <v>0</v>
      </c>
      <c r="AV98">
        <f t="shared" si="83"/>
        <v>0</v>
      </c>
      <c r="AW98">
        <f t="shared" si="83"/>
        <v>1731.4000000000003</v>
      </c>
      <c r="AX98">
        <f t="shared" si="83"/>
        <v>0</v>
      </c>
      <c r="AY98">
        <f t="shared" si="83"/>
        <v>0</v>
      </c>
      <c r="AZ98">
        <f t="shared" si="83"/>
        <v>0</v>
      </c>
    </row>
    <row r="99" spans="1:52" ht="15.75" customHeight="1">
      <c r="A99" s="350">
        <v>1956</v>
      </c>
      <c r="B99" s="350"/>
      <c r="C99" s="350"/>
      <c r="D99" s="350"/>
      <c r="E99" s="350"/>
      <c r="F99" s="350"/>
      <c r="G99" s="350"/>
      <c r="H99" s="350"/>
      <c r="I99" s="350"/>
      <c r="J99" s="350"/>
      <c r="K99" s="350"/>
      <c r="L99" s="350"/>
      <c r="M99" s="350"/>
      <c r="N99" s="350"/>
      <c r="O99" s="350"/>
      <c r="P99" s="350"/>
      <c r="Q99" s="350"/>
      <c r="R99" s="350"/>
      <c r="S99" s="350"/>
      <c r="T99" s="350"/>
      <c r="U99" s="350"/>
      <c r="V99" s="86">
        <v>1143.8</v>
      </c>
      <c r="W99">
        <f t="shared" si="22"/>
        <v>0</v>
      </c>
      <c r="X99">
        <f t="shared" ref="X99:AZ99" si="84">IF(AND(X$37-$A99&gt;$V$25,SUM($W99:W99)&lt;&gt;$V99),$V99,0)</f>
        <v>0</v>
      </c>
      <c r="Y99">
        <f t="shared" si="84"/>
        <v>0</v>
      </c>
      <c r="Z99">
        <f t="shared" si="84"/>
        <v>0</v>
      </c>
      <c r="AA99">
        <f t="shared" si="84"/>
        <v>0</v>
      </c>
      <c r="AB99">
        <f t="shared" si="84"/>
        <v>0</v>
      </c>
      <c r="AC99">
        <f t="shared" si="84"/>
        <v>0</v>
      </c>
      <c r="AD99">
        <f t="shared" si="84"/>
        <v>0</v>
      </c>
      <c r="AE99">
        <f t="shared" si="84"/>
        <v>0</v>
      </c>
      <c r="AF99">
        <f t="shared" si="84"/>
        <v>0</v>
      </c>
      <c r="AG99">
        <f t="shared" si="84"/>
        <v>0</v>
      </c>
      <c r="AH99">
        <f t="shared" si="84"/>
        <v>0</v>
      </c>
      <c r="AI99">
        <f t="shared" si="84"/>
        <v>0</v>
      </c>
      <c r="AJ99">
        <f t="shared" si="84"/>
        <v>0</v>
      </c>
      <c r="AK99">
        <f t="shared" si="84"/>
        <v>0</v>
      </c>
      <c r="AL99">
        <f t="shared" si="84"/>
        <v>0</v>
      </c>
      <c r="AM99">
        <f t="shared" si="84"/>
        <v>0</v>
      </c>
      <c r="AN99">
        <f t="shared" si="84"/>
        <v>0</v>
      </c>
      <c r="AO99">
        <f t="shared" si="84"/>
        <v>0</v>
      </c>
      <c r="AP99">
        <f t="shared" si="84"/>
        <v>0</v>
      </c>
      <c r="AQ99">
        <f t="shared" si="84"/>
        <v>0</v>
      </c>
      <c r="AR99">
        <f t="shared" si="84"/>
        <v>0</v>
      </c>
      <c r="AS99">
        <f t="shared" si="84"/>
        <v>0</v>
      </c>
      <c r="AT99">
        <f t="shared" si="84"/>
        <v>0</v>
      </c>
      <c r="AU99">
        <f t="shared" si="84"/>
        <v>0</v>
      </c>
      <c r="AV99">
        <f t="shared" si="84"/>
        <v>0</v>
      </c>
      <c r="AW99">
        <f t="shared" si="84"/>
        <v>0</v>
      </c>
      <c r="AX99">
        <f t="shared" si="84"/>
        <v>1143.8</v>
      </c>
      <c r="AY99">
        <f t="shared" si="84"/>
        <v>0</v>
      </c>
      <c r="AZ99">
        <f t="shared" si="84"/>
        <v>0</v>
      </c>
    </row>
    <row r="100" spans="1:52" ht="15.75" customHeight="1">
      <c r="A100" s="350">
        <v>1957</v>
      </c>
      <c r="B100" s="350"/>
      <c r="C100" s="350"/>
      <c r="D100" s="350"/>
      <c r="E100" s="350"/>
      <c r="F100" s="350"/>
      <c r="G100" s="350"/>
      <c r="H100" s="350"/>
      <c r="I100" s="350"/>
      <c r="J100" s="350"/>
      <c r="K100" s="350"/>
      <c r="L100" s="350"/>
      <c r="M100" s="350"/>
      <c r="N100" s="350"/>
      <c r="O100" s="350"/>
      <c r="P100" s="350"/>
      <c r="Q100" s="350"/>
      <c r="R100" s="350"/>
      <c r="S100" s="350"/>
      <c r="T100" s="350"/>
      <c r="U100" s="350"/>
      <c r="V100" s="86">
        <v>1328.6000000000001</v>
      </c>
      <c r="W100">
        <f t="shared" si="22"/>
        <v>0</v>
      </c>
      <c r="X100">
        <f t="shared" ref="X100:AZ100" si="85">IF(AND(X$37-$A100&gt;$V$25,SUM($W100:W100)&lt;&gt;$V100),$V100,0)</f>
        <v>0</v>
      </c>
      <c r="Y100">
        <f t="shared" si="85"/>
        <v>0</v>
      </c>
      <c r="Z100">
        <f t="shared" si="85"/>
        <v>0</v>
      </c>
      <c r="AA100">
        <f t="shared" si="85"/>
        <v>0</v>
      </c>
      <c r="AB100">
        <f t="shared" si="85"/>
        <v>0</v>
      </c>
      <c r="AC100">
        <f t="shared" si="85"/>
        <v>0</v>
      </c>
      <c r="AD100">
        <f t="shared" si="85"/>
        <v>0</v>
      </c>
      <c r="AE100">
        <f t="shared" si="85"/>
        <v>0</v>
      </c>
      <c r="AF100">
        <f t="shared" si="85"/>
        <v>0</v>
      </c>
      <c r="AG100">
        <f t="shared" si="85"/>
        <v>0</v>
      </c>
      <c r="AH100">
        <f t="shared" si="85"/>
        <v>0</v>
      </c>
      <c r="AI100">
        <f t="shared" si="85"/>
        <v>0</v>
      </c>
      <c r="AJ100">
        <f t="shared" si="85"/>
        <v>0</v>
      </c>
      <c r="AK100">
        <f t="shared" si="85"/>
        <v>0</v>
      </c>
      <c r="AL100">
        <f t="shared" si="85"/>
        <v>0</v>
      </c>
      <c r="AM100">
        <f t="shared" si="85"/>
        <v>0</v>
      </c>
      <c r="AN100">
        <f t="shared" si="85"/>
        <v>0</v>
      </c>
      <c r="AO100">
        <f t="shared" si="85"/>
        <v>0</v>
      </c>
      <c r="AP100">
        <f t="shared" si="85"/>
        <v>0</v>
      </c>
      <c r="AQ100">
        <f t="shared" si="85"/>
        <v>0</v>
      </c>
      <c r="AR100">
        <f t="shared" si="85"/>
        <v>0</v>
      </c>
      <c r="AS100">
        <f t="shared" si="85"/>
        <v>0</v>
      </c>
      <c r="AT100">
        <f t="shared" si="85"/>
        <v>0</v>
      </c>
      <c r="AU100">
        <f t="shared" si="85"/>
        <v>0</v>
      </c>
      <c r="AV100">
        <f t="shared" si="85"/>
        <v>0</v>
      </c>
      <c r="AW100">
        <f t="shared" si="85"/>
        <v>0</v>
      </c>
      <c r="AX100">
        <f t="shared" si="85"/>
        <v>0</v>
      </c>
      <c r="AY100">
        <f t="shared" si="85"/>
        <v>1328.6000000000001</v>
      </c>
      <c r="AZ100">
        <f t="shared" si="85"/>
        <v>0</v>
      </c>
    </row>
    <row r="101" spans="1:52" ht="15.75" customHeight="1">
      <c r="A101" s="350">
        <v>1958</v>
      </c>
      <c r="B101" s="350"/>
      <c r="C101" s="350"/>
      <c r="D101" s="350"/>
      <c r="E101" s="350"/>
      <c r="F101" s="350"/>
      <c r="G101" s="350"/>
      <c r="H101" s="350"/>
      <c r="I101" s="350"/>
      <c r="J101" s="350"/>
      <c r="K101" s="350"/>
      <c r="L101" s="350"/>
      <c r="M101" s="350"/>
      <c r="N101" s="350"/>
      <c r="O101" s="350"/>
      <c r="P101" s="350"/>
      <c r="Q101" s="350"/>
      <c r="R101" s="350"/>
      <c r="S101" s="350"/>
      <c r="T101" s="350"/>
      <c r="U101" s="350"/>
      <c r="V101" s="86">
        <v>2692.2</v>
      </c>
      <c r="W101">
        <f t="shared" si="22"/>
        <v>0</v>
      </c>
      <c r="X101">
        <f t="shared" ref="X101:AZ101" si="86">IF(AND(X$37-$A101&gt;$V$25,SUM($W101:W101)&lt;&gt;$V101),$V101,0)</f>
        <v>0</v>
      </c>
      <c r="Y101">
        <f t="shared" si="86"/>
        <v>0</v>
      </c>
      <c r="Z101">
        <f t="shared" si="86"/>
        <v>0</v>
      </c>
      <c r="AA101">
        <f t="shared" si="86"/>
        <v>0</v>
      </c>
      <c r="AB101">
        <f t="shared" si="86"/>
        <v>0</v>
      </c>
      <c r="AC101">
        <f t="shared" si="86"/>
        <v>0</v>
      </c>
      <c r="AD101">
        <f t="shared" si="86"/>
        <v>0</v>
      </c>
      <c r="AE101">
        <f t="shared" si="86"/>
        <v>0</v>
      </c>
      <c r="AF101">
        <f t="shared" si="86"/>
        <v>0</v>
      </c>
      <c r="AG101">
        <f t="shared" si="86"/>
        <v>0</v>
      </c>
      <c r="AH101">
        <f t="shared" si="86"/>
        <v>0</v>
      </c>
      <c r="AI101">
        <f t="shared" si="86"/>
        <v>0</v>
      </c>
      <c r="AJ101">
        <f t="shared" si="86"/>
        <v>0</v>
      </c>
      <c r="AK101">
        <f t="shared" si="86"/>
        <v>0</v>
      </c>
      <c r="AL101">
        <f t="shared" si="86"/>
        <v>0</v>
      </c>
      <c r="AM101">
        <f t="shared" si="86"/>
        <v>0</v>
      </c>
      <c r="AN101">
        <f t="shared" si="86"/>
        <v>0</v>
      </c>
      <c r="AO101">
        <f t="shared" si="86"/>
        <v>0</v>
      </c>
      <c r="AP101">
        <f t="shared" si="86"/>
        <v>0</v>
      </c>
      <c r="AQ101">
        <f t="shared" si="86"/>
        <v>0</v>
      </c>
      <c r="AR101">
        <f t="shared" si="86"/>
        <v>0</v>
      </c>
      <c r="AS101">
        <f t="shared" si="86"/>
        <v>0</v>
      </c>
      <c r="AT101">
        <f t="shared" si="86"/>
        <v>0</v>
      </c>
      <c r="AU101">
        <f t="shared" si="86"/>
        <v>0</v>
      </c>
      <c r="AV101">
        <f t="shared" si="86"/>
        <v>0</v>
      </c>
      <c r="AW101">
        <f t="shared" si="86"/>
        <v>0</v>
      </c>
      <c r="AX101">
        <f t="shared" si="86"/>
        <v>0</v>
      </c>
      <c r="AY101">
        <f t="shared" si="86"/>
        <v>0</v>
      </c>
      <c r="AZ101">
        <f t="shared" si="86"/>
        <v>2692.2</v>
      </c>
    </row>
    <row r="102" spans="1:52" ht="15.75" customHeight="1">
      <c r="A102" s="350">
        <v>1959</v>
      </c>
      <c r="B102" s="350"/>
      <c r="C102" s="350"/>
      <c r="D102" s="350"/>
      <c r="E102" s="350"/>
      <c r="F102" s="350"/>
      <c r="G102" s="350"/>
      <c r="H102" s="350"/>
      <c r="I102" s="350"/>
      <c r="J102" s="350"/>
      <c r="K102" s="350"/>
      <c r="L102" s="350"/>
      <c r="M102" s="350"/>
      <c r="N102" s="350"/>
      <c r="O102" s="350"/>
      <c r="P102" s="350"/>
      <c r="Q102" s="350"/>
      <c r="R102" s="350"/>
      <c r="S102" s="350"/>
      <c r="T102" s="350"/>
      <c r="U102" s="350"/>
      <c r="V102" s="86">
        <v>1730.3999999999999</v>
      </c>
      <c r="W102">
        <f t="shared" si="22"/>
        <v>0</v>
      </c>
      <c r="X102">
        <f t="shared" ref="X102:AZ102" si="87">IF(AND(X$37-$A102&gt;$V$25,SUM($W102:W102)&lt;&gt;$V102),$V102,0)</f>
        <v>0</v>
      </c>
      <c r="Y102">
        <f t="shared" si="87"/>
        <v>0</v>
      </c>
      <c r="Z102">
        <f t="shared" si="87"/>
        <v>0</v>
      </c>
      <c r="AA102">
        <f t="shared" si="87"/>
        <v>0</v>
      </c>
      <c r="AB102">
        <f t="shared" si="87"/>
        <v>0</v>
      </c>
      <c r="AC102">
        <f t="shared" si="87"/>
        <v>0</v>
      </c>
      <c r="AD102">
        <f t="shared" si="87"/>
        <v>0</v>
      </c>
      <c r="AE102">
        <f t="shared" si="87"/>
        <v>0</v>
      </c>
      <c r="AF102">
        <f t="shared" si="87"/>
        <v>0</v>
      </c>
      <c r="AG102">
        <f t="shared" si="87"/>
        <v>0</v>
      </c>
      <c r="AH102">
        <f t="shared" si="87"/>
        <v>0</v>
      </c>
      <c r="AI102">
        <f t="shared" si="87"/>
        <v>0</v>
      </c>
      <c r="AJ102">
        <f t="shared" si="87"/>
        <v>0</v>
      </c>
      <c r="AK102">
        <f t="shared" si="87"/>
        <v>0</v>
      </c>
      <c r="AL102">
        <f t="shared" si="87"/>
        <v>0</v>
      </c>
      <c r="AM102">
        <f t="shared" si="87"/>
        <v>0</v>
      </c>
      <c r="AN102">
        <f t="shared" si="87"/>
        <v>0</v>
      </c>
      <c r="AO102">
        <f t="shared" si="87"/>
        <v>0</v>
      </c>
      <c r="AP102">
        <f t="shared" si="87"/>
        <v>0</v>
      </c>
      <c r="AQ102">
        <f t="shared" si="87"/>
        <v>0</v>
      </c>
      <c r="AR102">
        <f t="shared" si="87"/>
        <v>0</v>
      </c>
      <c r="AS102">
        <f t="shared" si="87"/>
        <v>0</v>
      </c>
      <c r="AT102">
        <f t="shared" si="87"/>
        <v>0</v>
      </c>
      <c r="AU102">
        <f t="shared" si="87"/>
        <v>0</v>
      </c>
      <c r="AV102">
        <f t="shared" si="87"/>
        <v>0</v>
      </c>
      <c r="AW102">
        <f t="shared" si="87"/>
        <v>0</v>
      </c>
      <c r="AX102">
        <f t="shared" si="87"/>
        <v>0</v>
      </c>
      <c r="AY102">
        <f t="shared" si="87"/>
        <v>0</v>
      </c>
      <c r="AZ102">
        <f t="shared" si="87"/>
        <v>0</v>
      </c>
    </row>
    <row r="103" spans="1:52" ht="15.75" customHeight="1">
      <c r="A103" s="350">
        <v>1960</v>
      </c>
      <c r="B103" s="350"/>
      <c r="C103" s="350"/>
      <c r="D103" s="350"/>
      <c r="E103" s="350"/>
      <c r="F103" s="350"/>
      <c r="G103" s="350"/>
      <c r="H103" s="350"/>
      <c r="I103" s="350"/>
      <c r="J103" s="350"/>
      <c r="K103" s="350"/>
      <c r="L103" s="350"/>
      <c r="M103" s="350"/>
      <c r="N103" s="350"/>
      <c r="O103" s="350"/>
      <c r="P103" s="350"/>
      <c r="Q103" s="350"/>
      <c r="R103" s="350"/>
      <c r="S103" s="350"/>
      <c r="T103" s="350"/>
      <c r="U103" s="350"/>
      <c r="V103" s="86">
        <v>1578.7</v>
      </c>
      <c r="W103">
        <f t="shared" si="22"/>
        <v>0</v>
      </c>
      <c r="X103">
        <f t="shared" ref="X103:AZ103" si="88">IF(AND(X$37-$A103&gt;$V$25,SUM($W103:W103)&lt;&gt;$V103),$V103,0)</f>
        <v>0</v>
      </c>
      <c r="Y103">
        <f t="shared" si="88"/>
        <v>0</v>
      </c>
      <c r="Z103">
        <f t="shared" si="88"/>
        <v>0</v>
      </c>
      <c r="AA103">
        <f t="shared" si="88"/>
        <v>0</v>
      </c>
      <c r="AB103">
        <f t="shared" si="88"/>
        <v>0</v>
      </c>
      <c r="AC103">
        <f t="shared" si="88"/>
        <v>0</v>
      </c>
      <c r="AD103">
        <f t="shared" si="88"/>
        <v>0</v>
      </c>
      <c r="AE103">
        <f t="shared" si="88"/>
        <v>0</v>
      </c>
      <c r="AF103">
        <f t="shared" si="88"/>
        <v>0</v>
      </c>
      <c r="AG103">
        <f t="shared" si="88"/>
        <v>0</v>
      </c>
      <c r="AH103">
        <f t="shared" si="88"/>
        <v>0</v>
      </c>
      <c r="AI103">
        <f t="shared" si="88"/>
        <v>0</v>
      </c>
      <c r="AJ103">
        <f t="shared" si="88"/>
        <v>0</v>
      </c>
      <c r="AK103">
        <f t="shared" si="88"/>
        <v>0</v>
      </c>
      <c r="AL103">
        <f t="shared" si="88"/>
        <v>0</v>
      </c>
      <c r="AM103">
        <f t="shared" si="88"/>
        <v>0</v>
      </c>
      <c r="AN103">
        <f t="shared" si="88"/>
        <v>0</v>
      </c>
      <c r="AO103">
        <f t="shared" si="88"/>
        <v>0</v>
      </c>
      <c r="AP103">
        <f t="shared" si="88"/>
        <v>0</v>
      </c>
      <c r="AQ103">
        <f t="shared" si="88"/>
        <v>0</v>
      </c>
      <c r="AR103">
        <f t="shared" si="88"/>
        <v>0</v>
      </c>
      <c r="AS103">
        <f t="shared" si="88"/>
        <v>0</v>
      </c>
      <c r="AT103">
        <f t="shared" si="88"/>
        <v>0</v>
      </c>
      <c r="AU103">
        <f t="shared" si="88"/>
        <v>0</v>
      </c>
      <c r="AV103">
        <f t="shared" si="88"/>
        <v>0</v>
      </c>
      <c r="AW103">
        <f t="shared" si="88"/>
        <v>0</v>
      </c>
      <c r="AX103">
        <f t="shared" si="88"/>
        <v>0</v>
      </c>
      <c r="AY103">
        <f t="shared" si="88"/>
        <v>0</v>
      </c>
      <c r="AZ103">
        <f t="shared" si="88"/>
        <v>0</v>
      </c>
    </row>
    <row r="104" spans="1:52" ht="15.75" customHeight="1">
      <c r="A104" s="350">
        <v>1961</v>
      </c>
      <c r="B104" s="350"/>
      <c r="C104" s="350"/>
      <c r="D104" s="350"/>
      <c r="E104" s="350"/>
      <c r="F104" s="350"/>
      <c r="G104" s="350"/>
      <c r="H104" s="350"/>
      <c r="I104" s="350"/>
      <c r="J104" s="350"/>
      <c r="K104" s="350"/>
      <c r="L104" s="350"/>
      <c r="M104" s="350"/>
      <c r="N104" s="350"/>
      <c r="O104" s="350"/>
      <c r="P104" s="350"/>
      <c r="Q104" s="350"/>
      <c r="R104" s="350"/>
      <c r="S104" s="350"/>
      <c r="T104" s="350"/>
      <c r="U104" s="350"/>
      <c r="V104" s="86">
        <v>3483.2999999999997</v>
      </c>
      <c r="W104">
        <f t="shared" si="22"/>
        <v>0</v>
      </c>
      <c r="X104">
        <f t="shared" ref="X104:AZ104" si="89">IF(AND(X$37-$A104&gt;$V$25,SUM($W104:W104)&lt;&gt;$V104),$V104,0)</f>
        <v>0</v>
      </c>
      <c r="Y104">
        <f t="shared" si="89"/>
        <v>0</v>
      </c>
      <c r="Z104">
        <f t="shared" si="89"/>
        <v>0</v>
      </c>
      <c r="AA104">
        <f t="shared" si="89"/>
        <v>0</v>
      </c>
      <c r="AB104">
        <f t="shared" si="89"/>
        <v>0</v>
      </c>
      <c r="AC104">
        <f t="shared" si="89"/>
        <v>0</v>
      </c>
      <c r="AD104">
        <f t="shared" si="89"/>
        <v>0</v>
      </c>
      <c r="AE104">
        <f t="shared" si="89"/>
        <v>0</v>
      </c>
      <c r="AF104">
        <f t="shared" si="89"/>
        <v>0</v>
      </c>
      <c r="AG104">
        <f t="shared" si="89"/>
        <v>0</v>
      </c>
      <c r="AH104">
        <f t="shared" si="89"/>
        <v>0</v>
      </c>
      <c r="AI104">
        <f t="shared" si="89"/>
        <v>0</v>
      </c>
      <c r="AJ104">
        <f t="shared" si="89"/>
        <v>0</v>
      </c>
      <c r="AK104">
        <f t="shared" si="89"/>
        <v>0</v>
      </c>
      <c r="AL104">
        <f t="shared" si="89"/>
        <v>0</v>
      </c>
      <c r="AM104">
        <f t="shared" si="89"/>
        <v>0</v>
      </c>
      <c r="AN104">
        <f t="shared" si="89"/>
        <v>0</v>
      </c>
      <c r="AO104">
        <f t="shared" si="89"/>
        <v>0</v>
      </c>
      <c r="AP104">
        <f t="shared" si="89"/>
        <v>0</v>
      </c>
      <c r="AQ104">
        <f t="shared" si="89"/>
        <v>0</v>
      </c>
      <c r="AR104">
        <f t="shared" si="89"/>
        <v>0</v>
      </c>
      <c r="AS104">
        <f t="shared" si="89"/>
        <v>0</v>
      </c>
      <c r="AT104">
        <f t="shared" si="89"/>
        <v>0</v>
      </c>
      <c r="AU104">
        <f t="shared" si="89"/>
        <v>0</v>
      </c>
      <c r="AV104">
        <f t="shared" si="89"/>
        <v>0</v>
      </c>
      <c r="AW104">
        <f t="shared" si="89"/>
        <v>0</v>
      </c>
      <c r="AX104">
        <f t="shared" si="89"/>
        <v>0</v>
      </c>
      <c r="AY104">
        <f t="shared" si="89"/>
        <v>0</v>
      </c>
      <c r="AZ104">
        <f t="shared" si="89"/>
        <v>0</v>
      </c>
    </row>
    <row r="105" spans="1:52" ht="15.75" customHeight="1">
      <c r="A105" s="350">
        <v>1962</v>
      </c>
      <c r="B105" s="350"/>
      <c r="C105" s="350"/>
      <c r="D105" s="350"/>
      <c r="E105" s="350"/>
      <c r="F105" s="350"/>
      <c r="G105" s="350"/>
      <c r="H105" s="350"/>
      <c r="I105" s="350"/>
      <c r="J105" s="350"/>
      <c r="K105" s="350"/>
      <c r="L105" s="350"/>
      <c r="M105" s="350"/>
      <c r="N105" s="350"/>
      <c r="O105" s="350"/>
      <c r="P105" s="350"/>
      <c r="Q105" s="350"/>
      <c r="R105" s="350"/>
      <c r="S105" s="350"/>
      <c r="T105" s="350"/>
      <c r="U105" s="350"/>
      <c r="V105" s="86">
        <v>2175.3999999999996</v>
      </c>
      <c r="W105">
        <f t="shared" si="22"/>
        <v>0</v>
      </c>
      <c r="X105">
        <f t="shared" ref="X105:AZ105" si="90">IF(AND(X$37-$A105&gt;$V$25,SUM($W105:W105)&lt;&gt;$V105),$V105,0)</f>
        <v>0</v>
      </c>
      <c r="Y105">
        <f t="shared" si="90"/>
        <v>0</v>
      </c>
      <c r="Z105">
        <f t="shared" si="90"/>
        <v>0</v>
      </c>
      <c r="AA105">
        <f t="shared" si="90"/>
        <v>0</v>
      </c>
      <c r="AB105">
        <f t="shared" si="90"/>
        <v>0</v>
      </c>
      <c r="AC105">
        <f t="shared" si="90"/>
        <v>0</v>
      </c>
      <c r="AD105">
        <f t="shared" si="90"/>
        <v>0</v>
      </c>
      <c r="AE105">
        <f t="shared" si="90"/>
        <v>0</v>
      </c>
      <c r="AF105">
        <f t="shared" si="90"/>
        <v>0</v>
      </c>
      <c r="AG105">
        <f t="shared" si="90"/>
        <v>0</v>
      </c>
      <c r="AH105">
        <f t="shared" si="90"/>
        <v>0</v>
      </c>
      <c r="AI105">
        <f t="shared" si="90"/>
        <v>0</v>
      </c>
      <c r="AJ105">
        <f t="shared" si="90"/>
        <v>0</v>
      </c>
      <c r="AK105">
        <f t="shared" si="90"/>
        <v>0</v>
      </c>
      <c r="AL105">
        <f t="shared" si="90"/>
        <v>0</v>
      </c>
      <c r="AM105">
        <f t="shared" si="90"/>
        <v>0</v>
      </c>
      <c r="AN105">
        <f t="shared" si="90"/>
        <v>0</v>
      </c>
      <c r="AO105">
        <f t="shared" si="90"/>
        <v>0</v>
      </c>
      <c r="AP105">
        <f t="shared" si="90"/>
        <v>0</v>
      </c>
      <c r="AQ105">
        <f t="shared" si="90"/>
        <v>0</v>
      </c>
      <c r="AR105">
        <f t="shared" si="90"/>
        <v>0</v>
      </c>
      <c r="AS105">
        <f t="shared" si="90"/>
        <v>0</v>
      </c>
      <c r="AT105">
        <f t="shared" si="90"/>
        <v>0</v>
      </c>
      <c r="AU105">
        <f t="shared" si="90"/>
        <v>0</v>
      </c>
      <c r="AV105">
        <f t="shared" si="90"/>
        <v>0</v>
      </c>
      <c r="AW105">
        <f t="shared" si="90"/>
        <v>0</v>
      </c>
      <c r="AX105">
        <f t="shared" si="90"/>
        <v>0</v>
      </c>
      <c r="AY105">
        <f t="shared" si="90"/>
        <v>0</v>
      </c>
      <c r="AZ105">
        <f t="shared" si="90"/>
        <v>0</v>
      </c>
    </row>
    <row r="106" spans="1:52" ht="15.75" customHeight="1">
      <c r="A106" s="350">
        <v>1963</v>
      </c>
      <c r="B106" s="350"/>
      <c r="C106" s="350"/>
      <c r="D106" s="350"/>
      <c r="E106" s="350"/>
      <c r="F106" s="350"/>
      <c r="G106" s="350"/>
      <c r="H106" s="350"/>
      <c r="I106" s="350"/>
      <c r="J106" s="350"/>
      <c r="K106" s="350"/>
      <c r="L106" s="350"/>
      <c r="M106" s="350"/>
      <c r="N106" s="350"/>
      <c r="O106" s="350"/>
      <c r="P106" s="350"/>
      <c r="Q106" s="350"/>
      <c r="R106" s="350"/>
      <c r="S106" s="350"/>
      <c r="T106" s="350"/>
      <c r="U106" s="350"/>
      <c r="V106" s="86">
        <v>2173.0000000000045</v>
      </c>
      <c r="W106">
        <f t="shared" si="22"/>
        <v>0</v>
      </c>
      <c r="X106">
        <f t="shared" ref="X106:AZ106" si="91">IF(AND(X$37-$A106&gt;$V$25,SUM($W106:W106)&lt;&gt;$V106),$V106,0)</f>
        <v>0</v>
      </c>
      <c r="Y106">
        <f t="shared" si="91"/>
        <v>0</v>
      </c>
      <c r="Z106">
        <f t="shared" si="91"/>
        <v>0</v>
      </c>
      <c r="AA106">
        <f t="shared" si="91"/>
        <v>0</v>
      </c>
      <c r="AB106">
        <f t="shared" si="91"/>
        <v>0</v>
      </c>
      <c r="AC106">
        <f t="shared" si="91"/>
        <v>0</v>
      </c>
      <c r="AD106">
        <f t="shared" si="91"/>
        <v>0</v>
      </c>
      <c r="AE106">
        <f t="shared" si="91"/>
        <v>0</v>
      </c>
      <c r="AF106">
        <f t="shared" si="91"/>
        <v>0</v>
      </c>
      <c r="AG106">
        <f t="shared" si="91"/>
        <v>0</v>
      </c>
      <c r="AH106">
        <f t="shared" si="91"/>
        <v>0</v>
      </c>
      <c r="AI106">
        <f t="shared" si="91"/>
        <v>0</v>
      </c>
      <c r="AJ106">
        <f t="shared" si="91"/>
        <v>0</v>
      </c>
      <c r="AK106">
        <f t="shared" si="91"/>
        <v>0</v>
      </c>
      <c r="AL106">
        <f t="shared" si="91"/>
        <v>0</v>
      </c>
      <c r="AM106">
        <f t="shared" si="91"/>
        <v>0</v>
      </c>
      <c r="AN106">
        <f t="shared" si="91"/>
        <v>0</v>
      </c>
      <c r="AO106">
        <f t="shared" si="91"/>
        <v>0</v>
      </c>
      <c r="AP106">
        <f t="shared" si="91"/>
        <v>0</v>
      </c>
      <c r="AQ106">
        <f t="shared" si="91"/>
        <v>0</v>
      </c>
      <c r="AR106">
        <f t="shared" si="91"/>
        <v>0</v>
      </c>
      <c r="AS106">
        <f t="shared" si="91"/>
        <v>0</v>
      </c>
      <c r="AT106">
        <f t="shared" si="91"/>
        <v>0</v>
      </c>
      <c r="AU106">
        <f t="shared" si="91"/>
        <v>0</v>
      </c>
      <c r="AV106">
        <f t="shared" si="91"/>
        <v>0</v>
      </c>
      <c r="AW106">
        <f t="shared" si="91"/>
        <v>0</v>
      </c>
      <c r="AX106">
        <f t="shared" si="91"/>
        <v>0</v>
      </c>
      <c r="AY106">
        <f t="shared" si="91"/>
        <v>0</v>
      </c>
      <c r="AZ106">
        <f t="shared" si="91"/>
        <v>0</v>
      </c>
    </row>
    <row r="107" spans="1:52" ht="15.75" customHeight="1">
      <c r="A107" s="350">
        <v>1964</v>
      </c>
      <c r="B107" s="350"/>
      <c r="C107" s="350"/>
      <c r="D107" s="350"/>
      <c r="E107" s="350"/>
      <c r="F107" s="350"/>
      <c r="G107" s="350"/>
      <c r="H107" s="350"/>
      <c r="I107" s="350"/>
      <c r="J107" s="350"/>
      <c r="K107" s="350"/>
      <c r="L107" s="350"/>
      <c r="M107" s="350"/>
      <c r="N107" s="350"/>
      <c r="O107" s="350"/>
      <c r="P107" s="350"/>
      <c r="Q107" s="350"/>
      <c r="R107" s="350"/>
      <c r="S107" s="350"/>
      <c r="T107" s="350"/>
      <c r="U107" s="350"/>
      <c r="V107" s="86">
        <v>2246.8000000000002</v>
      </c>
      <c r="W107">
        <f t="shared" si="22"/>
        <v>0</v>
      </c>
      <c r="X107">
        <f t="shared" ref="X107:AZ107" si="92">IF(AND(X$37-$A107&gt;$V$25,SUM($W107:W107)&lt;&gt;$V107),$V107,0)</f>
        <v>0</v>
      </c>
      <c r="Y107">
        <f t="shared" si="92"/>
        <v>0</v>
      </c>
      <c r="Z107">
        <f t="shared" si="92"/>
        <v>0</v>
      </c>
      <c r="AA107">
        <f t="shared" si="92"/>
        <v>0</v>
      </c>
      <c r="AB107">
        <f t="shared" si="92"/>
        <v>0</v>
      </c>
      <c r="AC107">
        <f t="shared" si="92"/>
        <v>0</v>
      </c>
      <c r="AD107">
        <f t="shared" si="92"/>
        <v>0</v>
      </c>
      <c r="AE107">
        <f t="shared" si="92"/>
        <v>0</v>
      </c>
      <c r="AF107">
        <f t="shared" si="92"/>
        <v>0</v>
      </c>
      <c r="AG107">
        <f t="shared" si="92"/>
        <v>0</v>
      </c>
      <c r="AH107">
        <f t="shared" si="92"/>
        <v>0</v>
      </c>
      <c r="AI107">
        <f t="shared" si="92"/>
        <v>0</v>
      </c>
      <c r="AJ107">
        <f t="shared" si="92"/>
        <v>0</v>
      </c>
      <c r="AK107">
        <f t="shared" si="92"/>
        <v>0</v>
      </c>
      <c r="AL107">
        <f t="shared" si="92"/>
        <v>0</v>
      </c>
      <c r="AM107">
        <f t="shared" si="92"/>
        <v>0</v>
      </c>
      <c r="AN107">
        <f t="shared" si="92"/>
        <v>0</v>
      </c>
      <c r="AO107">
        <f t="shared" si="92"/>
        <v>0</v>
      </c>
      <c r="AP107">
        <f t="shared" si="92"/>
        <v>0</v>
      </c>
      <c r="AQ107">
        <f t="shared" si="92"/>
        <v>0</v>
      </c>
      <c r="AR107">
        <f t="shared" si="92"/>
        <v>0</v>
      </c>
      <c r="AS107">
        <f t="shared" si="92"/>
        <v>0</v>
      </c>
      <c r="AT107">
        <f t="shared" si="92"/>
        <v>0</v>
      </c>
      <c r="AU107">
        <f t="shared" si="92"/>
        <v>0</v>
      </c>
      <c r="AV107">
        <f t="shared" si="92"/>
        <v>0</v>
      </c>
      <c r="AW107">
        <f t="shared" si="92"/>
        <v>0</v>
      </c>
      <c r="AX107">
        <f t="shared" si="92"/>
        <v>0</v>
      </c>
      <c r="AY107">
        <f t="shared" si="92"/>
        <v>0</v>
      </c>
      <c r="AZ107">
        <f t="shared" si="92"/>
        <v>0</v>
      </c>
    </row>
    <row r="108" spans="1:52" ht="15.75" customHeight="1">
      <c r="A108" s="350">
        <v>1965</v>
      </c>
      <c r="B108" s="350"/>
      <c r="C108" s="350"/>
      <c r="D108" s="350"/>
      <c r="E108" s="350"/>
      <c r="F108" s="350"/>
      <c r="G108" s="350"/>
      <c r="H108" s="350"/>
      <c r="I108" s="350"/>
      <c r="J108" s="350"/>
      <c r="K108" s="350"/>
      <c r="L108" s="350"/>
      <c r="M108" s="350"/>
      <c r="N108" s="350"/>
      <c r="O108" s="350"/>
      <c r="P108" s="350"/>
      <c r="Q108" s="350"/>
      <c r="R108" s="350"/>
      <c r="S108" s="350"/>
      <c r="T108" s="350"/>
      <c r="U108" s="350"/>
      <c r="V108" s="86">
        <v>1649.8</v>
      </c>
      <c r="W108">
        <f t="shared" si="22"/>
        <v>0</v>
      </c>
      <c r="X108">
        <f t="shared" ref="X108:AZ108" si="93">IF(AND(X$37-$A108&gt;$V$25,SUM($W108:W108)&lt;&gt;$V108),$V108,0)</f>
        <v>0</v>
      </c>
      <c r="Y108">
        <f t="shared" si="93"/>
        <v>0</v>
      </c>
      <c r="Z108">
        <f t="shared" si="93"/>
        <v>0</v>
      </c>
      <c r="AA108">
        <f t="shared" si="93"/>
        <v>0</v>
      </c>
      <c r="AB108">
        <f t="shared" si="93"/>
        <v>0</v>
      </c>
      <c r="AC108">
        <f t="shared" si="93"/>
        <v>0</v>
      </c>
      <c r="AD108">
        <f t="shared" si="93"/>
        <v>0</v>
      </c>
      <c r="AE108">
        <f t="shared" si="93"/>
        <v>0</v>
      </c>
      <c r="AF108">
        <f t="shared" si="93"/>
        <v>0</v>
      </c>
      <c r="AG108">
        <f t="shared" si="93"/>
        <v>0</v>
      </c>
      <c r="AH108">
        <f t="shared" si="93"/>
        <v>0</v>
      </c>
      <c r="AI108">
        <f t="shared" si="93"/>
        <v>0</v>
      </c>
      <c r="AJ108">
        <f t="shared" si="93"/>
        <v>0</v>
      </c>
      <c r="AK108">
        <f t="shared" si="93"/>
        <v>0</v>
      </c>
      <c r="AL108">
        <f t="shared" si="93"/>
        <v>0</v>
      </c>
      <c r="AM108">
        <f t="shared" si="93"/>
        <v>0</v>
      </c>
      <c r="AN108">
        <f t="shared" si="93"/>
        <v>0</v>
      </c>
      <c r="AO108">
        <f t="shared" si="93"/>
        <v>0</v>
      </c>
      <c r="AP108">
        <f t="shared" si="93"/>
        <v>0</v>
      </c>
      <c r="AQ108">
        <f t="shared" si="93"/>
        <v>0</v>
      </c>
      <c r="AR108">
        <f t="shared" si="93"/>
        <v>0</v>
      </c>
      <c r="AS108">
        <f t="shared" si="93"/>
        <v>0</v>
      </c>
      <c r="AT108">
        <f t="shared" si="93"/>
        <v>0</v>
      </c>
      <c r="AU108">
        <f t="shared" si="93"/>
        <v>0</v>
      </c>
      <c r="AV108">
        <f t="shared" si="93"/>
        <v>0</v>
      </c>
      <c r="AW108">
        <f t="shared" si="93"/>
        <v>0</v>
      </c>
      <c r="AX108">
        <f t="shared" si="93"/>
        <v>0</v>
      </c>
      <c r="AY108">
        <f t="shared" si="93"/>
        <v>0</v>
      </c>
      <c r="AZ108">
        <f t="shared" si="93"/>
        <v>0</v>
      </c>
    </row>
    <row r="109" spans="1:52" ht="15.75" customHeight="1">
      <c r="A109" s="350">
        <v>1966</v>
      </c>
      <c r="B109" s="350"/>
      <c r="C109" s="350"/>
      <c r="D109" s="350"/>
      <c r="E109" s="350"/>
      <c r="F109" s="350"/>
      <c r="G109" s="350"/>
      <c r="H109" s="350"/>
      <c r="I109" s="350"/>
      <c r="J109" s="350"/>
      <c r="K109" s="350"/>
      <c r="L109" s="350"/>
      <c r="M109" s="350"/>
      <c r="N109" s="350"/>
      <c r="O109" s="350"/>
      <c r="P109" s="350"/>
      <c r="Q109" s="350"/>
      <c r="R109" s="350"/>
      <c r="S109" s="350"/>
      <c r="T109" s="350"/>
      <c r="U109" s="350"/>
      <c r="V109" s="86">
        <v>1485</v>
      </c>
      <c r="W109">
        <f t="shared" si="22"/>
        <v>0</v>
      </c>
      <c r="X109">
        <f t="shared" ref="X109:AZ109" si="94">IF(AND(X$37-$A109&gt;$V$25,SUM($W109:W109)&lt;&gt;$V109),$V109,0)</f>
        <v>0</v>
      </c>
      <c r="Y109">
        <f t="shared" si="94"/>
        <v>0</v>
      </c>
      <c r="Z109">
        <f t="shared" si="94"/>
        <v>0</v>
      </c>
      <c r="AA109">
        <f t="shared" si="94"/>
        <v>0</v>
      </c>
      <c r="AB109">
        <f t="shared" si="94"/>
        <v>0</v>
      </c>
      <c r="AC109">
        <f t="shared" si="94"/>
        <v>0</v>
      </c>
      <c r="AD109">
        <f t="shared" si="94"/>
        <v>0</v>
      </c>
      <c r="AE109">
        <f t="shared" si="94"/>
        <v>0</v>
      </c>
      <c r="AF109">
        <f t="shared" si="94"/>
        <v>0</v>
      </c>
      <c r="AG109">
        <f t="shared" si="94"/>
        <v>0</v>
      </c>
      <c r="AH109">
        <f t="shared" si="94"/>
        <v>0</v>
      </c>
      <c r="AI109">
        <f t="shared" si="94"/>
        <v>0</v>
      </c>
      <c r="AJ109">
        <f t="shared" si="94"/>
        <v>0</v>
      </c>
      <c r="AK109">
        <f t="shared" si="94"/>
        <v>0</v>
      </c>
      <c r="AL109">
        <f t="shared" si="94"/>
        <v>0</v>
      </c>
      <c r="AM109">
        <f t="shared" si="94"/>
        <v>0</v>
      </c>
      <c r="AN109">
        <f t="shared" si="94"/>
        <v>0</v>
      </c>
      <c r="AO109">
        <f t="shared" si="94"/>
        <v>0</v>
      </c>
      <c r="AP109">
        <f t="shared" si="94"/>
        <v>0</v>
      </c>
      <c r="AQ109">
        <f t="shared" si="94"/>
        <v>0</v>
      </c>
      <c r="AR109">
        <f t="shared" si="94"/>
        <v>0</v>
      </c>
      <c r="AS109">
        <f t="shared" si="94"/>
        <v>0</v>
      </c>
      <c r="AT109">
        <f t="shared" si="94"/>
        <v>0</v>
      </c>
      <c r="AU109">
        <f t="shared" si="94"/>
        <v>0</v>
      </c>
      <c r="AV109">
        <f t="shared" si="94"/>
        <v>0</v>
      </c>
      <c r="AW109">
        <f t="shared" si="94"/>
        <v>0</v>
      </c>
      <c r="AX109">
        <f t="shared" si="94"/>
        <v>0</v>
      </c>
      <c r="AY109">
        <f t="shared" si="94"/>
        <v>0</v>
      </c>
      <c r="AZ109">
        <f t="shared" si="94"/>
        <v>0</v>
      </c>
    </row>
    <row r="110" spans="1:52" ht="15.75" customHeight="1">
      <c r="A110" s="350">
        <v>1967</v>
      </c>
      <c r="B110" s="350"/>
      <c r="C110" s="350"/>
      <c r="D110" s="350"/>
      <c r="E110" s="350"/>
      <c r="F110" s="350"/>
      <c r="G110" s="350"/>
      <c r="H110" s="350"/>
      <c r="I110" s="350"/>
      <c r="J110" s="350"/>
      <c r="K110" s="350"/>
      <c r="L110" s="350"/>
      <c r="M110" s="350"/>
      <c r="N110" s="350"/>
      <c r="O110" s="350"/>
      <c r="P110" s="350"/>
      <c r="Q110" s="350"/>
      <c r="R110" s="350"/>
      <c r="S110" s="350"/>
      <c r="T110" s="350"/>
      <c r="U110" s="350"/>
      <c r="V110" s="86">
        <v>2338.7000000000007</v>
      </c>
      <c r="W110">
        <f t="shared" si="22"/>
        <v>0</v>
      </c>
      <c r="X110">
        <f t="shared" ref="X110:AZ110" si="95">IF(AND(X$37-$A110&gt;$V$25,SUM($W110:W110)&lt;&gt;$V110),$V110,0)</f>
        <v>0</v>
      </c>
      <c r="Y110">
        <f t="shared" si="95"/>
        <v>0</v>
      </c>
      <c r="Z110">
        <f t="shared" si="95"/>
        <v>0</v>
      </c>
      <c r="AA110">
        <f t="shared" si="95"/>
        <v>0</v>
      </c>
      <c r="AB110">
        <f t="shared" si="95"/>
        <v>0</v>
      </c>
      <c r="AC110">
        <f t="shared" si="95"/>
        <v>0</v>
      </c>
      <c r="AD110">
        <f t="shared" si="95"/>
        <v>0</v>
      </c>
      <c r="AE110">
        <f t="shared" si="95"/>
        <v>0</v>
      </c>
      <c r="AF110">
        <f t="shared" si="95"/>
        <v>0</v>
      </c>
      <c r="AG110">
        <f t="shared" si="95"/>
        <v>0</v>
      </c>
      <c r="AH110">
        <f t="shared" si="95"/>
        <v>0</v>
      </c>
      <c r="AI110">
        <f t="shared" si="95"/>
        <v>0</v>
      </c>
      <c r="AJ110">
        <f t="shared" si="95"/>
        <v>0</v>
      </c>
      <c r="AK110">
        <f t="shared" si="95"/>
        <v>0</v>
      </c>
      <c r="AL110">
        <f t="shared" si="95"/>
        <v>0</v>
      </c>
      <c r="AM110">
        <f t="shared" si="95"/>
        <v>0</v>
      </c>
      <c r="AN110">
        <f t="shared" si="95"/>
        <v>0</v>
      </c>
      <c r="AO110">
        <f t="shared" si="95"/>
        <v>0</v>
      </c>
      <c r="AP110">
        <f t="shared" si="95"/>
        <v>0</v>
      </c>
      <c r="AQ110">
        <f t="shared" si="95"/>
        <v>0</v>
      </c>
      <c r="AR110">
        <f t="shared" si="95"/>
        <v>0</v>
      </c>
      <c r="AS110">
        <f t="shared" si="95"/>
        <v>0</v>
      </c>
      <c r="AT110">
        <f t="shared" si="95"/>
        <v>0</v>
      </c>
      <c r="AU110">
        <f t="shared" si="95"/>
        <v>0</v>
      </c>
      <c r="AV110">
        <f t="shared" si="95"/>
        <v>0</v>
      </c>
      <c r="AW110">
        <f t="shared" si="95"/>
        <v>0</v>
      </c>
      <c r="AX110">
        <f t="shared" si="95"/>
        <v>0</v>
      </c>
      <c r="AY110">
        <f t="shared" si="95"/>
        <v>0</v>
      </c>
      <c r="AZ110">
        <f t="shared" si="95"/>
        <v>0</v>
      </c>
    </row>
    <row r="111" spans="1:52" ht="15.75" customHeight="1">
      <c r="A111" s="350">
        <v>1968</v>
      </c>
      <c r="B111" s="350"/>
      <c r="C111" s="350"/>
      <c r="D111" s="350"/>
      <c r="E111" s="350"/>
      <c r="F111" s="350"/>
      <c r="G111" s="350"/>
      <c r="H111" s="350"/>
      <c r="I111" s="350"/>
      <c r="J111" s="350"/>
      <c r="K111" s="350"/>
      <c r="L111" s="350"/>
      <c r="M111" s="350"/>
      <c r="N111" s="350"/>
      <c r="O111" s="350"/>
      <c r="P111" s="350"/>
      <c r="Q111" s="350"/>
      <c r="R111" s="350"/>
      <c r="S111" s="350"/>
      <c r="T111" s="350"/>
      <c r="U111" s="350"/>
      <c r="V111" s="86">
        <v>1860.6999999999998</v>
      </c>
      <c r="W111">
        <f t="shared" si="22"/>
        <v>0</v>
      </c>
      <c r="X111">
        <f t="shared" ref="X111:AZ111" si="96">IF(AND(X$37-$A111&gt;$V$25,SUM($W111:W111)&lt;&gt;$V111),$V111,0)</f>
        <v>0</v>
      </c>
      <c r="Y111">
        <f t="shared" si="96"/>
        <v>0</v>
      </c>
      <c r="Z111">
        <f t="shared" si="96"/>
        <v>0</v>
      </c>
      <c r="AA111">
        <f t="shared" si="96"/>
        <v>0</v>
      </c>
      <c r="AB111">
        <f t="shared" si="96"/>
        <v>0</v>
      </c>
      <c r="AC111">
        <f t="shared" si="96"/>
        <v>0</v>
      </c>
      <c r="AD111">
        <f t="shared" si="96"/>
        <v>0</v>
      </c>
      <c r="AE111">
        <f t="shared" si="96"/>
        <v>0</v>
      </c>
      <c r="AF111">
        <f t="shared" si="96"/>
        <v>0</v>
      </c>
      <c r="AG111">
        <f t="shared" si="96"/>
        <v>0</v>
      </c>
      <c r="AH111">
        <f t="shared" si="96"/>
        <v>0</v>
      </c>
      <c r="AI111">
        <f t="shared" si="96"/>
        <v>0</v>
      </c>
      <c r="AJ111">
        <f t="shared" si="96"/>
        <v>0</v>
      </c>
      <c r="AK111">
        <f t="shared" si="96"/>
        <v>0</v>
      </c>
      <c r="AL111">
        <f t="shared" si="96"/>
        <v>0</v>
      </c>
      <c r="AM111">
        <f t="shared" si="96"/>
        <v>0</v>
      </c>
      <c r="AN111">
        <f t="shared" si="96"/>
        <v>0</v>
      </c>
      <c r="AO111">
        <f t="shared" si="96"/>
        <v>0</v>
      </c>
      <c r="AP111">
        <f t="shared" si="96"/>
        <v>0</v>
      </c>
      <c r="AQ111">
        <f t="shared" si="96"/>
        <v>0</v>
      </c>
      <c r="AR111">
        <f t="shared" si="96"/>
        <v>0</v>
      </c>
      <c r="AS111">
        <f t="shared" si="96"/>
        <v>0</v>
      </c>
      <c r="AT111">
        <f t="shared" si="96"/>
        <v>0</v>
      </c>
      <c r="AU111">
        <f t="shared" si="96"/>
        <v>0</v>
      </c>
      <c r="AV111">
        <f t="shared" si="96"/>
        <v>0</v>
      </c>
      <c r="AW111">
        <f t="shared" si="96"/>
        <v>0</v>
      </c>
      <c r="AX111">
        <f t="shared" si="96"/>
        <v>0</v>
      </c>
      <c r="AY111">
        <f t="shared" si="96"/>
        <v>0</v>
      </c>
      <c r="AZ111">
        <f t="shared" si="96"/>
        <v>0</v>
      </c>
    </row>
    <row r="112" spans="1:52" ht="15.75" customHeight="1">
      <c r="A112" s="350">
        <v>1969</v>
      </c>
      <c r="B112" s="350"/>
      <c r="C112" s="350"/>
      <c r="D112" s="350"/>
      <c r="E112" s="350"/>
      <c r="F112" s="350"/>
      <c r="G112" s="350"/>
      <c r="H112" s="350"/>
      <c r="I112" s="350"/>
      <c r="J112" s="350"/>
      <c r="K112" s="350"/>
      <c r="L112" s="350"/>
      <c r="M112" s="350"/>
      <c r="N112" s="350"/>
      <c r="O112" s="350"/>
      <c r="P112" s="350"/>
      <c r="Q112" s="350"/>
      <c r="R112" s="350"/>
      <c r="S112" s="350"/>
      <c r="T112" s="350"/>
      <c r="U112" s="350"/>
      <c r="V112" s="86">
        <v>1605.4</v>
      </c>
      <c r="W112">
        <f t="shared" si="22"/>
        <v>0</v>
      </c>
      <c r="X112">
        <f t="shared" ref="X112:AZ112" si="97">IF(AND(X$37-$A112&gt;$V$25,SUM($W112:W112)&lt;&gt;$V112),$V112,0)</f>
        <v>0</v>
      </c>
      <c r="Y112">
        <f t="shared" si="97"/>
        <v>0</v>
      </c>
      <c r="Z112">
        <f t="shared" si="97"/>
        <v>0</v>
      </c>
      <c r="AA112">
        <f t="shared" si="97"/>
        <v>0</v>
      </c>
      <c r="AB112">
        <f t="shared" si="97"/>
        <v>0</v>
      </c>
      <c r="AC112">
        <f t="shared" si="97"/>
        <v>0</v>
      </c>
      <c r="AD112">
        <f t="shared" si="97"/>
        <v>0</v>
      </c>
      <c r="AE112">
        <f t="shared" si="97"/>
        <v>0</v>
      </c>
      <c r="AF112">
        <f t="shared" si="97"/>
        <v>0</v>
      </c>
      <c r="AG112">
        <f t="shared" si="97"/>
        <v>0</v>
      </c>
      <c r="AH112">
        <f t="shared" si="97"/>
        <v>0</v>
      </c>
      <c r="AI112">
        <f t="shared" si="97"/>
        <v>0</v>
      </c>
      <c r="AJ112">
        <f t="shared" si="97"/>
        <v>0</v>
      </c>
      <c r="AK112">
        <f t="shared" si="97"/>
        <v>0</v>
      </c>
      <c r="AL112">
        <f t="shared" si="97"/>
        <v>0</v>
      </c>
      <c r="AM112">
        <f t="shared" si="97"/>
        <v>0</v>
      </c>
      <c r="AN112">
        <f t="shared" si="97"/>
        <v>0</v>
      </c>
      <c r="AO112">
        <f t="shared" si="97"/>
        <v>0</v>
      </c>
      <c r="AP112">
        <f t="shared" si="97"/>
        <v>0</v>
      </c>
      <c r="AQ112">
        <f t="shared" si="97"/>
        <v>0</v>
      </c>
      <c r="AR112">
        <f t="shared" si="97"/>
        <v>0</v>
      </c>
      <c r="AS112">
        <f t="shared" si="97"/>
        <v>0</v>
      </c>
      <c r="AT112">
        <f t="shared" si="97"/>
        <v>0</v>
      </c>
      <c r="AU112">
        <f t="shared" si="97"/>
        <v>0</v>
      </c>
      <c r="AV112">
        <f t="shared" si="97"/>
        <v>0</v>
      </c>
      <c r="AW112">
        <f t="shared" si="97"/>
        <v>0</v>
      </c>
      <c r="AX112">
        <f t="shared" si="97"/>
        <v>0</v>
      </c>
      <c r="AY112">
        <f t="shared" si="97"/>
        <v>0</v>
      </c>
      <c r="AZ112">
        <f t="shared" si="97"/>
        <v>0</v>
      </c>
    </row>
    <row r="113" spans="1:52" ht="15.75" customHeight="1">
      <c r="A113" s="350">
        <v>1970</v>
      </c>
      <c r="B113" s="350"/>
      <c r="C113" s="350"/>
      <c r="D113" s="350"/>
      <c r="E113" s="350"/>
      <c r="F113" s="350"/>
      <c r="G113" s="350"/>
      <c r="H113" s="350"/>
      <c r="I113" s="350"/>
      <c r="J113" s="350"/>
      <c r="K113" s="350"/>
      <c r="L113" s="350"/>
      <c r="M113" s="350"/>
      <c r="N113" s="350"/>
      <c r="O113" s="350"/>
      <c r="P113" s="350"/>
      <c r="Q113" s="350"/>
      <c r="R113" s="350"/>
      <c r="S113" s="350"/>
      <c r="T113" s="350"/>
      <c r="U113" s="350"/>
      <c r="V113" s="86">
        <v>1105.2</v>
      </c>
      <c r="W113">
        <f t="shared" si="22"/>
        <v>0</v>
      </c>
      <c r="X113">
        <f t="shared" ref="X113:AZ113" si="98">IF(AND(X$37-$A113&gt;$V$25,SUM($W113:W113)&lt;&gt;$V113),$V113,0)</f>
        <v>0</v>
      </c>
      <c r="Y113">
        <f t="shared" si="98"/>
        <v>0</v>
      </c>
      <c r="Z113">
        <f t="shared" si="98"/>
        <v>0</v>
      </c>
      <c r="AA113">
        <f t="shared" si="98"/>
        <v>0</v>
      </c>
      <c r="AB113">
        <f t="shared" si="98"/>
        <v>0</v>
      </c>
      <c r="AC113">
        <f t="shared" si="98"/>
        <v>0</v>
      </c>
      <c r="AD113">
        <f t="shared" si="98"/>
        <v>0</v>
      </c>
      <c r="AE113">
        <f t="shared" si="98"/>
        <v>0</v>
      </c>
      <c r="AF113">
        <f t="shared" si="98"/>
        <v>0</v>
      </c>
      <c r="AG113">
        <f t="shared" si="98"/>
        <v>0</v>
      </c>
      <c r="AH113">
        <f t="shared" si="98"/>
        <v>0</v>
      </c>
      <c r="AI113">
        <f t="shared" si="98"/>
        <v>0</v>
      </c>
      <c r="AJ113">
        <f t="shared" si="98"/>
        <v>0</v>
      </c>
      <c r="AK113">
        <f t="shared" si="98"/>
        <v>0</v>
      </c>
      <c r="AL113">
        <f t="shared" si="98"/>
        <v>0</v>
      </c>
      <c r="AM113">
        <f t="shared" si="98"/>
        <v>0</v>
      </c>
      <c r="AN113">
        <f t="shared" si="98"/>
        <v>0</v>
      </c>
      <c r="AO113">
        <f t="shared" si="98"/>
        <v>0</v>
      </c>
      <c r="AP113">
        <f t="shared" si="98"/>
        <v>0</v>
      </c>
      <c r="AQ113">
        <f t="shared" si="98"/>
        <v>0</v>
      </c>
      <c r="AR113">
        <f t="shared" si="98"/>
        <v>0</v>
      </c>
      <c r="AS113">
        <f t="shared" si="98"/>
        <v>0</v>
      </c>
      <c r="AT113">
        <f t="shared" si="98"/>
        <v>0</v>
      </c>
      <c r="AU113">
        <f t="shared" si="98"/>
        <v>0</v>
      </c>
      <c r="AV113">
        <f t="shared" si="98"/>
        <v>0</v>
      </c>
      <c r="AW113">
        <f t="shared" si="98"/>
        <v>0</v>
      </c>
      <c r="AX113">
        <f t="shared" si="98"/>
        <v>0</v>
      </c>
      <c r="AY113">
        <f t="shared" si="98"/>
        <v>0</v>
      </c>
      <c r="AZ113">
        <f t="shared" si="98"/>
        <v>0</v>
      </c>
    </row>
    <row r="114" spans="1:52" ht="15.75" customHeight="1">
      <c r="A114" s="350">
        <v>1971</v>
      </c>
      <c r="B114" s="350"/>
      <c r="C114" s="350"/>
      <c r="D114" s="350"/>
      <c r="E114" s="350"/>
      <c r="F114" s="350"/>
      <c r="G114" s="350"/>
      <c r="H114" s="350"/>
      <c r="I114" s="350"/>
      <c r="J114" s="350"/>
      <c r="K114" s="350"/>
      <c r="L114" s="350"/>
      <c r="M114" s="350"/>
      <c r="N114" s="350"/>
      <c r="O114" s="350"/>
      <c r="P114" s="350"/>
      <c r="Q114" s="350"/>
      <c r="R114" s="350"/>
      <c r="S114" s="350"/>
      <c r="T114" s="350"/>
      <c r="U114" s="350"/>
      <c r="V114" s="86">
        <v>1211.1999999999998</v>
      </c>
      <c r="W114">
        <f t="shared" si="22"/>
        <v>0</v>
      </c>
      <c r="X114">
        <f t="shared" ref="X114:AZ114" si="99">IF(AND(X$37-$A114&gt;$V$25,SUM($W114:W114)&lt;&gt;$V114),$V114,0)</f>
        <v>0</v>
      </c>
      <c r="Y114">
        <f t="shared" si="99"/>
        <v>0</v>
      </c>
      <c r="Z114">
        <f t="shared" si="99"/>
        <v>0</v>
      </c>
      <c r="AA114">
        <f t="shared" si="99"/>
        <v>0</v>
      </c>
      <c r="AB114">
        <f t="shared" si="99"/>
        <v>0</v>
      </c>
      <c r="AC114">
        <f t="shared" si="99"/>
        <v>0</v>
      </c>
      <c r="AD114">
        <f t="shared" si="99"/>
        <v>0</v>
      </c>
      <c r="AE114">
        <f t="shared" si="99"/>
        <v>0</v>
      </c>
      <c r="AF114">
        <f t="shared" si="99"/>
        <v>0</v>
      </c>
      <c r="AG114">
        <f t="shared" si="99"/>
        <v>0</v>
      </c>
      <c r="AH114">
        <f t="shared" si="99"/>
        <v>0</v>
      </c>
      <c r="AI114">
        <f t="shared" si="99"/>
        <v>0</v>
      </c>
      <c r="AJ114">
        <f t="shared" si="99"/>
        <v>0</v>
      </c>
      <c r="AK114">
        <f t="shared" si="99"/>
        <v>0</v>
      </c>
      <c r="AL114">
        <f t="shared" si="99"/>
        <v>0</v>
      </c>
      <c r="AM114">
        <f t="shared" si="99"/>
        <v>0</v>
      </c>
      <c r="AN114">
        <f t="shared" si="99"/>
        <v>0</v>
      </c>
      <c r="AO114">
        <f t="shared" si="99"/>
        <v>0</v>
      </c>
      <c r="AP114">
        <f t="shared" si="99"/>
        <v>0</v>
      </c>
      <c r="AQ114">
        <f t="shared" si="99"/>
        <v>0</v>
      </c>
      <c r="AR114">
        <f t="shared" si="99"/>
        <v>0</v>
      </c>
      <c r="AS114">
        <f t="shared" si="99"/>
        <v>0</v>
      </c>
      <c r="AT114">
        <f t="shared" si="99"/>
        <v>0</v>
      </c>
      <c r="AU114">
        <f t="shared" si="99"/>
        <v>0</v>
      </c>
      <c r="AV114">
        <f t="shared" si="99"/>
        <v>0</v>
      </c>
      <c r="AW114">
        <f t="shared" si="99"/>
        <v>0</v>
      </c>
      <c r="AX114">
        <f t="shared" si="99"/>
        <v>0</v>
      </c>
      <c r="AY114">
        <f t="shared" si="99"/>
        <v>0</v>
      </c>
      <c r="AZ114">
        <f t="shared" si="99"/>
        <v>0</v>
      </c>
    </row>
    <row r="115" spans="1:52" ht="18.75" customHeight="1">
      <c r="A115" s="350">
        <v>1972</v>
      </c>
      <c r="B115" s="350"/>
      <c r="C115" s="350"/>
      <c r="D115" s="350"/>
      <c r="E115" s="350"/>
      <c r="F115" s="350"/>
      <c r="G115" s="350"/>
      <c r="H115" s="350"/>
      <c r="I115" s="350"/>
      <c r="J115" s="350"/>
      <c r="K115" s="350"/>
      <c r="L115" s="350"/>
      <c r="M115" s="350"/>
      <c r="N115" s="350"/>
      <c r="O115" s="350"/>
      <c r="P115" s="350"/>
      <c r="Q115" s="350"/>
      <c r="R115" s="350"/>
      <c r="S115" s="350"/>
      <c r="T115" s="350"/>
      <c r="U115" s="350"/>
      <c r="V115" s="86">
        <v>215.60000000000002</v>
      </c>
      <c r="W115">
        <f t="shared" si="22"/>
        <v>0</v>
      </c>
      <c r="X115">
        <f t="shared" ref="X115:AZ115" si="100">IF(AND(X$37-$A115&gt;$V$25,SUM($W115:W115)&lt;&gt;$V115),$V115,0)</f>
        <v>0</v>
      </c>
      <c r="Y115">
        <f t="shared" si="100"/>
        <v>0</v>
      </c>
      <c r="Z115">
        <f t="shared" si="100"/>
        <v>0</v>
      </c>
      <c r="AA115">
        <f t="shared" si="100"/>
        <v>0</v>
      </c>
      <c r="AB115">
        <f t="shared" si="100"/>
        <v>0</v>
      </c>
      <c r="AC115">
        <f t="shared" si="100"/>
        <v>0</v>
      </c>
      <c r="AD115">
        <f t="shared" si="100"/>
        <v>0</v>
      </c>
      <c r="AE115">
        <f t="shared" si="100"/>
        <v>0</v>
      </c>
      <c r="AF115">
        <f t="shared" si="100"/>
        <v>0</v>
      </c>
      <c r="AG115">
        <f t="shared" si="100"/>
        <v>0</v>
      </c>
      <c r="AH115">
        <f t="shared" si="100"/>
        <v>0</v>
      </c>
      <c r="AI115">
        <f t="shared" si="100"/>
        <v>0</v>
      </c>
      <c r="AJ115">
        <f t="shared" si="100"/>
        <v>0</v>
      </c>
      <c r="AK115">
        <f t="shared" si="100"/>
        <v>0</v>
      </c>
      <c r="AL115">
        <f t="shared" si="100"/>
        <v>0</v>
      </c>
      <c r="AM115">
        <f t="shared" si="100"/>
        <v>0</v>
      </c>
      <c r="AN115">
        <f t="shared" si="100"/>
        <v>0</v>
      </c>
      <c r="AO115">
        <f t="shared" si="100"/>
        <v>0</v>
      </c>
      <c r="AP115">
        <f t="shared" si="100"/>
        <v>0</v>
      </c>
      <c r="AQ115">
        <f t="shared" si="100"/>
        <v>0</v>
      </c>
      <c r="AR115">
        <f t="shared" si="100"/>
        <v>0</v>
      </c>
      <c r="AS115">
        <f t="shared" si="100"/>
        <v>0</v>
      </c>
      <c r="AT115">
        <f t="shared" si="100"/>
        <v>0</v>
      </c>
      <c r="AU115">
        <f t="shared" si="100"/>
        <v>0</v>
      </c>
      <c r="AV115">
        <f t="shared" si="100"/>
        <v>0</v>
      </c>
      <c r="AW115">
        <f t="shared" si="100"/>
        <v>0</v>
      </c>
      <c r="AX115">
        <f t="shared" si="100"/>
        <v>0</v>
      </c>
      <c r="AY115">
        <f t="shared" si="100"/>
        <v>0</v>
      </c>
      <c r="AZ115">
        <f t="shared" si="100"/>
        <v>0</v>
      </c>
    </row>
    <row r="116" spans="1:52" ht="15.75" customHeight="1">
      <c r="A116" s="350">
        <v>1973</v>
      </c>
      <c r="B116" s="350"/>
      <c r="C116" s="350"/>
      <c r="D116" s="350"/>
      <c r="E116" s="350"/>
      <c r="F116" s="350"/>
      <c r="G116" s="350"/>
      <c r="H116" s="350"/>
      <c r="I116" s="350"/>
      <c r="J116" s="350"/>
      <c r="K116" s="350"/>
      <c r="L116" s="350"/>
      <c r="M116" s="350"/>
      <c r="N116" s="350"/>
      <c r="O116" s="350"/>
      <c r="P116" s="350"/>
      <c r="Q116" s="350"/>
      <c r="R116" s="350"/>
      <c r="S116" s="350"/>
      <c r="T116" s="350"/>
      <c r="U116" s="350"/>
      <c r="V116" s="86">
        <v>994</v>
      </c>
      <c r="W116">
        <f t="shared" si="22"/>
        <v>0</v>
      </c>
      <c r="X116">
        <f t="shared" ref="X116:AZ116" si="101">IF(AND(X$37-$A116&gt;$V$25,SUM($W116:W116)&lt;&gt;$V116),$V116,0)</f>
        <v>0</v>
      </c>
      <c r="Y116">
        <f t="shared" si="101"/>
        <v>0</v>
      </c>
      <c r="Z116">
        <f t="shared" si="101"/>
        <v>0</v>
      </c>
      <c r="AA116">
        <f t="shared" si="101"/>
        <v>0</v>
      </c>
      <c r="AB116">
        <f t="shared" si="101"/>
        <v>0</v>
      </c>
      <c r="AC116">
        <f t="shared" si="101"/>
        <v>0</v>
      </c>
      <c r="AD116">
        <f t="shared" si="101"/>
        <v>0</v>
      </c>
      <c r="AE116">
        <f t="shared" si="101"/>
        <v>0</v>
      </c>
      <c r="AF116">
        <f t="shared" si="101"/>
        <v>0</v>
      </c>
      <c r="AG116">
        <f t="shared" si="101"/>
        <v>0</v>
      </c>
      <c r="AH116">
        <f t="shared" si="101"/>
        <v>0</v>
      </c>
      <c r="AI116">
        <f t="shared" si="101"/>
        <v>0</v>
      </c>
      <c r="AJ116">
        <f t="shared" si="101"/>
        <v>0</v>
      </c>
      <c r="AK116">
        <f t="shared" si="101"/>
        <v>0</v>
      </c>
      <c r="AL116">
        <f t="shared" si="101"/>
        <v>0</v>
      </c>
      <c r="AM116">
        <f t="shared" si="101"/>
        <v>0</v>
      </c>
      <c r="AN116">
        <f t="shared" si="101"/>
        <v>0</v>
      </c>
      <c r="AO116">
        <f t="shared" si="101"/>
        <v>0</v>
      </c>
      <c r="AP116">
        <f t="shared" si="101"/>
        <v>0</v>
      </c>
      <c r="AQ116">
        <f t="shared" si="101"/>
        <v>0</v>
      </c>
      <c r="AR116">
        <f t="shared" si="101"/>
        <v>0</v>
      </c>
      <c r="AS116">
        <f t="shared" si="101"/>
        <v>0</v>
      </c>
      <c r="AT116">
        <f t="shared" si="101"/>
        <v>0</v>
      </c>
      <c r="AU116">
        <f t="shared" si="101"/>
        <v>0</v>
      </c>
      <c r="AV116">
        <f t="shared" si="101"/>
        <v>0</v>
      </c>
      <c r="AW116">
        <f t="shared" si="101"/>
        <v>0</v>
      </c>
      <c r="AX116">
        <f t="shared" si="101"/>
        <v>0</v>
      </c>
      <c r="AY116">
        <f t="shared" si="101"/>
        <v>0</v>
      </c>
      <c r="AZ116">
        <f t="shared" si="101"/>
        <v>0</v>
      </c>
    </row>
    <row r="117" spans="1:52" ht="15.75" customHeight="1">
      <c r="A117" s="350">
        <v>1974</v>
      </c>
      <c r="B117" s="350"/>
      <c r="C117" s="350"/>
      <c r="D117" s="350"/>
      <c r="E117" s="350"/>
      <c r="F117" s="350"/>
      <c r="G117" s="350"/>
      <c r="H117" s="350"/>
      <c r="I117" s="350"/>
      <c r="J117" s="350"/>
      <c r="K117" s="350"/>
      <c r="L117" s="350"/>
      <c r="M117" s="350"/>
      <c r="N117" s="350"/>
      <c r="O117" s="350"/>
      <c r="P117" s="350"/>
      <c r="Q117" s="350"/>
      <c r="R117" s="350"/>
      <c r="S117" s="350"/>
      <c r="T117" s="350"/>
      <c r="U117" s="350"/>
      <c r="V117" s="86">
        <v>347.1</v>
      </c>
      <c r="W117">
        <f t="shared" si="22"/>
        <v>0</v>
      </c>
      <c r="X117">
        <f t="shared" ref="X117:AZ117" si="102">IF(AND(X$37-$A117&gt;$V$25,SUM($W117:W117)&lt;&gt;$V117),$V117,0)</f>
        <v>0</v>
      </c>
      <c r="Y117">
        <f t="shared" si="102"/>
        <v>0</v>
      </c>
      <c r="Z117">
        <f t="shared" si="102"/>
        <v>0</v>
      </c>
      <c r="AA117">
        <f t="shared" si="102"/>
        <v>0</v>
      </c>
      <c r="AB117">
        <f t="shared" si="102"/>
        <v>0</v>
      </c>
      <c r="AC117">
        <f t="shared" si="102"/>
        <v>0</v>
      </c>
      <c r="AD117">
        <f t="shared" si="102"/>
        <v>0</v>
      </c>
      <c r="AE117">
        <f t="shared" si="102"/>
        <v>0</v>
      </c>
      <c r="AF117">
        <f t="shared" si="102"/>
        <v>0</v>
      </c>
      <c r="AG117">
        <f t="shared" si="102"/>
        <v>0</v>
      </c>
      <c r="AH117">
        <f t="shared" si="102"/>
        <v>0</v>
      </c>
      <c r="AI117">
        <f t="shared" si="102"/>
        <v>0</v>
      </c>
      <c r="AJ117">
        <f t="shared" si="102"/>
        <v>0</v>
      </c>
      <c r="AK117">
        <f t="shared" si="102"/>
        <v>0</v>
      </c>
      <c r="AL117">
        <f t="shared" si="102"/>
        <v>0</v>
      </c>
      <c r="AM117">
        <f t="shared" si="102"/>
        <v>0</v>
      </c>
      <c r="AN117">
        <f t="shared" si="102"/>
        <v>0</v>
      </c>
      <c r="AO117">
        <f t="shared" si="102"/>
        <v>0</v>
      </c>
      <c r="AP117">
        <f t="shared" si="102"/>
        <v>0</v>
      </c>
      <c r="AQ117">
        <f t="shared" si="102"/>
        <v>0</v>
      </c>
      <c r="AR117">
        <f t="shared" si="102"/>
        <v>0</v>
      </c>
      <c r="AS117">
        <f t="shared" si="102"/>
        <v>0</v>
      </c>
      <c r="AT117">
        <f t="shared" si="102"/>
        <v>0</v>
      </c>
      <c r="AU117">
        <f t="shared" si="102"/>
        <v>0</v>
      </c>
      <c r="AV117">
        <f t="shared" si="102"/>
        <v>0</v>
      </c>
      <c r="AW117">
        <f t="shared" si="102"/>
        <v>0</v>
      </c>
      <c r="AX117">
        <f t="shared" si="102"/>
        <v>0</v>
      </c>
      <c r="AY117">
        <f t="shared" si="102"/>
        <v>0</v>
      </c>
      <c r="AZ117">
        <f t="shared" si="102"/>
        <v>0</v>
      </c>
    </row>
    <row r="118" spans="1:52" ht="15.75" customHeight="1">
      <c r="A118" s="350">
        <v>1975</v>
      </c>
      <c r="B118" s="350"/>
      <c r="C118" s="350"/>
      <c r="D118" s="350"/>
      <c r="E118" s="350"/>
      <c r="F118" s="350"/>
      <c r="G118" s="350"/>
      <c r="H118" s="350"/>
      <c r="I118" s="350"/>
      <c r="J118" s="350"/>
      <c r="K118" s="350"/>
      <c r="L118" s="350"/>
      <c r="M118" s="350"/>
      <c r="N118" s="350"/>
      <c r="O118" s="350"/>
      <c r="P118" s="350"/>
      <c r="Q118" s="350"/>
      <c r="R118" s="350"/>
      <c r="S118" s="350"/>
      <c r="T118" s="350"/>
      <c r="U118" s="350"/>
      <c r="V118" s="86">
        <v>1698.8</v>
      </c>
      <c r="W118">
        <f t="shared" si="22"/>
        <v>0</v>
      </c>
      <c r="X118">
        <f t="shared" ref="X118:AZ118" si="103">IF(AND(X$37-$A118&gt;$V$25,SUM($W118:W118)&lt;&gt;$V118),$V118,0)</f>
        <v>0</v>
      </c>
      <c r="Y118">
        <f t="shared" si="103"/>
        <v>0</v>
      </c>
      <c r="Z118">
        <f t="shared" si="103"/>
        <v>0</v>
      </c>
      <c r="AA118">
        <f t="shared" si="103"/>
        <v>0</v>
      </c>
      <c r="AB118">
        <f t="shared" si="103"/>
        <v>0</v>
      </c>
      <c r="AC118">
        <f t="shared" si="103"/>
        <v>0</v>
      </c>
      <c r="AD118">
        <f t="shared" si="103"/>
        <v>0</v>
      </c>
      <c r="AE118">
        <f t="shared" si="103"/>
        <v>0</v>
      </c>
      <c r="AF118">
        <f t="shared" si="103"/>
        <v>0</v>
      </c>
      <c r="AG118">
        <f t="shared" si="103"/>
        <v>0</v>
      </c>
      <c r="AH118">
        <f t="shared" si="103"/>
        <v>0</v>
      </c>
      <c r="AI118">
        <f t="shared" si="103"/>
        <v>0</v>
      </c>
      <c r="AJ118">
        <f t="shared" si="103"/>
        <v>0</v>
      </c>
      <c r="AK118">
        <f t="shared" si="103"/>
        <v>0</v>
      </c>
      <c r="AL118">
        <f t="shared" si="103"/>
        <v>0</v>
      </c>
      <c r="AM118">
        <f t="shared" si="103"/>
        <v>0</v>
      </c>
      <c r="AN118">
        <f t="shared" si="103"/>
        <v>0</v>
      </c>
      <c r="AO118">
        <f t="shared" si="103"/>
        <v>0</v>
      </c>
      <c r="AP118">
        <f t="shared" si="103"/>
        <v>0</v>
      </c>
      <c r="AQ118">
        <f t="shared" si="103"/>
        <v>0</v>
      </c>
      <c r="AR118">
        <f t="shared" si="103"/>
        <v>0</v>
      </c>
      <c r="AS118">
        <f t="shared" si="103"/>
        <v>0</v>
      </c>
      <c r="AT118">
        <f t="shared" si="103"/>
        <v>0</v>
      </c>
      <c r="AU118">
        <f t="shared" si="103"/>
        <v>0</v>
      </c>
      <c r="AV118">
        <f t="shared" si="103"/>
        <v>0</v>
      </c>
      <c r="AW118">
        <f t="shared" si="103"/>
        <v>0</v>
      </c>
      <c r="AX118">
        <f t="shared" si="103"/>
        <v>0</v>
      </c>
      <c r="AY118">
        <f t="shared" si="103"/>
        <v>0</v>
      </c>
      <c r="AZ118">
        <f t="shared" si="103"/>
        <v>0</v>
      </c>
    </row>
    <row r="119" spans="1:52" ht="15.75" customHeight="1">
      <c r="A119" s="350">
        <v>1976</v>
      </c>
      <c r="B119" s="350"/>
      <c r="C119" s="350"/>
      <c r="D119" s="350"/>
      <c r="E119" s="350"/>
      <c r="F119" s="350"/>
      <c r="G119" s="350"/>
      <c r="H119" s="350"/>
      <c r="I119" s="350"/>
      <c r="J119" s="350"/>
      <c r="K119" s="350"/>
      <c r="L119" s="350"/>
      <c r="M119" s="350"/>
      <c r="N119" s="350"/>
      <c r="O119" s="350"/>
      <c r="P119" s="350"/>
      <c r="Q119" s="350"/>
      <c r="R119" s="350"/>
      <c r="S119" s="350"/>
      <c r="T119" s="350"/>
      <c r="U119" s="350"/>
      <c r="V119" s="86">
        <v>1777.5000000000002</v>
      </c>
      <c r="W119">
        <f t="shared" si="22"/>
        <v>0</v>
      </c>
      <c r="X119">
        <f t="shared" ref="X119:AZ119" si="104">IF(AND(X$37-$A119&gt;$V$25,SUM($W119:W119)&lt;&gt;$V119),$V119,0)</f>
        <v>0</v>
      </c>
      <c r="Y119">
        <f t="shared" si="104"/>
        <v>0</v>
      </c>
      <c r="Z119">
        <f t="shared" si="104"/>
        <v>0</v>
      </c>
      <c r="AA119">
        <f t="shared" si="104"/>
        <v>0</v>
      </c>
      <c r="AB119">
        <f t="shared" si="104"/>
        <v>0</v>
      </c>
      <c r="AC119">
        <f t="shared" si="104"/>
        <v>0</v>
      </c>
      <c r="AD119">
        <f t="shared" si="104"/>
        <v>0</v>
      </c>
      <c r="AE119">
        <f t="shared" si="104"/>
        <v>0</v>
      </c>
      <c r="AF119">
        <f t="shared" si="104"/>
        <v>0</v>
      </c>
      <c r="AG119">
        <f t="shared" si="104"/>
        <v>0</v>
      </c>
      <c r="AH119">
        <f t="shared" si="104"/>
        <v>0</v>
      </c>
      <c r="AI119">
        <f t="shared" si="104"/>
        <v>0</v>
      </c>
      <c r="AJ119">
        <f t="shared" si="104"/>
        <v>0</v>
      </c>
      <c r="AK119">
        <f t="shared" si="104"/>
        <v>0</v>
      </c>
      <c r="AL119">
        <f t="shared" si="104"/>
        <v>0</v>
      </c>
      <c r="AM119">
        <f t="shared" si="104"/>
        <v>0</v>
      </c>
      <c r="AN119">
        <f t="shared" si="104"/>
        <v>0</v>
      </c>
      <c r="AO119">
        <f t="shared" si="104"/>
        <v>0</v>
      </c>
      <c r="AP119">
        <f t="shared" si="104"/>
        <v>0</v>
      </c>
      <c r="AQ119">
        <f t="shared" si="104"/>
        <v>0</v>
      </c>
      <c r="AR119">
        <f t="shared" si="104"/>
        <v>0</v>
      </c>
      <c r="AS119">
        <f t="shared" si="104"/>
        <v>0</v>
      </c>
      <c r="AT119">
        <f t="shared" si="104"/>
        <v>0</v>
      </c>
      <c r="AU119">
        <f t="shared" si="104"/>
        <v>0</v>
      </c>
      <c r="AV119">
        <f t="shared" si="104"/>
        <v>0</v>
      </c>
      <c r="AW119">
        <f t="shared" si="104"/>
        <v>0</v>
      </c>
      <c r="AX119">
        <f t="shared" si="104"/>
        <v>0</v>
      </c>
      <c r="AY119">
        <f t="shared" si="104"/>
        <v>0</v>
      </c>
      <c r="AZ119">
        <f t="shared" si="104"/>
        <v>0</v>
      </c>
    </row>
    <row r="120" spans="1:52" ht="15.75" customHeight="1">
      <c r="A120" s="350">
        <v>1977</v>
      </c>
      <c r="B120" s="350"/>
      <c r="C120" s="350"/>
      <c r="D120" s="350"/>
      <c r="E120" s="350"/>
      <c r="F120" s="350"/>
      <c r="G120" s="350"/>
      <c r="H120" s="350"/>
      <c r="I120" s="350"/>
      <c r="J120" s="350"/>
      <c r="K120" s="350"/>
      <c r="L120" s="350"/>
      <c r="M120" s="350"/>
      <c r="N120" s="350"/>
      <c r="O120" s="350"/>
      <c r="P120" s="350"/>
      <c r="Q120" s="350"/>
      <c r="R120" s="350"/>
      <c r="S120" s="350"/>
      <c r="T120" s="350"/>
      <c r="U120" s="350"/>
      <c r="V120" s="86">
        <v>474</v>
      </c>
      <c r="W120">
        <f t="shared" si="22"/>
        <v>0</v>
      </c>
      <c r="X120">
        <f t="shared" ref="X120:AZ120" si="105">IF(AND(X$37-$A120&gt;$V$25,SUM($W120:W120)&lt;&gt;$V120),$V120,0)</f>
        <v>0</v>
      </c>
      <c r="Y120">
        <f t="shared" si="105"/>
        <v>0</v>
      </c>
      <c r="Z120">
        <f t="shared" si="105"/>
        <v>0</v>
      </c>
      <c r="AA120">
        <f t="shared" si="105"/>
        <v>0</v>
      </c>
      <c r="AB120">
        <f t="shared" si="105"/>
        <v>0</v>
      </c>
      <c r="AC120">
        <f t="shared" si="105"/>
        <v>0</v>
      </c>
      <c r="AD120">
        <f t="shared" si="105"/>
        <v>0</v>
      </c>
      <c r="AE120">
        <f t="shared" si="105"/>
        <v>0</v>
      </c>
      <c r="AF120">
        <f t="shared" si="105"/>
        <v>0</v>
      </c>
      <c r="AG120">
        <f t="shared" si="105"/>
        <v>0</v>
      </c>
      <c r="AH120">
        <f t="shared" si="105"/>
        <v>0</v>
      </c>
      <c r="AI120">
        <f t="shared" si="105"/>
        <v>0</v>
      </c>
      <c r="AJ120">
        <f t="shared" si="105"/>
        <v>0</v>
      </c>
      <c r="AK120">
        <f t="shared" si="105"/>
        <v>0</v>
      </c>
      <c r="AL120">
        <f t="shared" si="105"/>
        <v>0</v>
      </c>
      <c r="AM120">
        <f t="shared" si="105"/>
        <v>0</v>
      </c>
      <c r="AN120">
        <f t="shared" si="105"/>
        <v>0</v>
      </c>
      <c r="AO120">
        <f t="shared" si="105"/>
        <v>0</v>
      </c>
      <c r="AP120">
        <f t="shared" si="105"/>
        <v>0</v>
      </c>
      <c r="AQ120">
        <f t="shared" si="105"/>
        <v>0</v>
      </c>
      <c r="AR120">
        <f t="shared" si="105"/>
        <v>0</v>
      </c>
      <c r="AS120">
        <f t="shared" si="105"/>
        <v>0</v>
      </c>
      <c r="AT120">
        <f t="shared" si="105"/>
        <v>0</v>
      </c>
      <c r="AU120">
        <f t="shared" si="105"/>
        <v>0</v>
      </c>
      <c r="AV120">
        <f t="shared" si="105"/>
        <v>0</v>
      </c>
      <c r="AW120">
        <f t="shared" si="105"/>
        <v>0</v>
      </c>
      <c r="AX120">
        <f t="shared" si="105"/>
        <v>0</v>
      </c>
      <c r="AY120">
        <f t="shared" si="105"/>
        <v>0</v>
      </c>
      <c r="AZ120">
        <f t="shared" si="105"/>
        <v>0</v>
      </c>
    </row>
    <row r="121" spans="1:52" ht="15.75" customHeight="1">
      <c r="A121" s="350">
        <v>1978</v>
      </c>
      <c r="B121" s="350"/>
      <c r="C121" s="350"/>
      <c r="D121" s="350"/>
      <c r="E121" s="350"/>
      <c r="F121" s="350"/>
      <c r="G121" s="350"/>
      <c r="H121" s="350"/>
      <c r="I121" s="350"/>
      <c r="J121" s="350"/>
      <c r="K121" s="350"/>
      <c r="L121" s="350"/>
      <c r="M121" s="350"/>
      <c r="N121" s="350"/>
      <c r="O121" s="350"/>
      <c r="P121" s="350"/>
      <c r="Q121" s="350"/>
      <c r="R121" s="350"/>
      <c r="S121" s="350"/>
      <c r="T121" s="350"/>
      <c r="U121" s="350"/>
      <c r="V121" s="86">
        <v>2309.4</v>
      </c>
      <c r="W121">
        <f t="shared" si="22"/>
        <v>0</v>
      </c>
      <c r="X121">
        <f t="shared" ref="X121:AZ121" si="106">IF(AND(X$37-$A121&gt;$V$25,SUM($W121:W121)&lt;&gt;$V121),$V121,0)</f>
        <v>0</v>
      </c>
      <c r="Y121">
        <f t="shared" si="106"/>
        <v>0</v>
      </c>
      <c r="Z121">
        <f t="shared" si="106"/>
        <v>0</v>
      </c>
      <c r="AA121">
        <f t="shared" si="106"/>
        <v>0</v>
      </c>
      <c r="AB121">
        <f t="shared" si="106"/>
        <v>0</v>
      </c>
      <c r="AC121">
        <f t="shared" si="106"/>
        <v>0</v>
      </c>
      <c r="AD121">
        <f t="shared" si="106"/>
        <v>0</v>
      </c>
      <c r="AE121">
        <f t="shared" si="106"/>
        <v>0</v>
      </c>
      <c r="AF121">
        <f t="shared" si="106"/>
        <v>0</v>
      </c>
      <c r="AG121">
        <f t="shared" si="106"/>
        <v>0</v>
      </c>
      <c r="AH121">
        <f t="shared" si="106"/>
        <v>0</v>
      </c>
      <c r="AI121">
        <f t="shared" si="106"/>
        <v>0</v>
      </c>
      <c r="AJ121">
        <f t="shared" si="106"/>
        <v>0</v>
      </c>
      <c r="AK121">
        <f t="shared" si="106"/>
        <v>0</v>
      </c>
      <c r="AL121">
        <f t="shared" si="106"/>
        <v>0</v>
      </c>
      <c r="AM121">
        <f t="shared" si="106"/>
        <v>0</v>
      </c>
      <c r="AN121">
        <f t="shared" si="106"/>
        <v>0</v>
      </c>
      <c r="AO121">
        <f t="shared" si="106"/>
        <v>0</v>
      </c>
      <c r="AP121">
        <f t="shared" si="106"/>
        <v>0</v>
      </c>
      <c r="AQ121">
        <f t="shared" si="106"/>
        <v>0</v>
      </c>
      <c r="AR121">
        <f t="shared" si="106"/>
        <v>0</v>
      </c>
      <c r="AS121">
        <f t="shared" si="106"/>
        <v>0</v>
      </c>
      <c r="AT121">
        <f t="shared" si="106"/>
        <v>0</v>
      </c>
      <c r="AU121">
        <f t="shared" si="106"/>
        <v>0</v>
      </c>
      <c r="AV121">
        <f t="shared" si="106"/>
        <v>0</v>
      </c>
      <c r="AW121">
        <f t="shared" si="106"/>
        <v>0</v>
      </c>
      <c r="AX121">
        <f t="shared" si="106"/>
        <v>0</v>
      </c>
      <c r="AY121">
        <f t="shared" si="106"/>
        <v>0</v>
      </c>
      <c r="AZ121">
        <f t="shared" si="106"/>
        <v>0</v>
      </c>
    </row>
    <row r="122" spans="1:52" ht="15.75" customHeight="1">
      <c r="A122" s="350">
        <v>1979</v>
      </c>
      <c r="B122" s="350"/>
      <c r="C122" s="350"/>
      <c r="D122" s="350"/>
      <c r="E122" s="350"/>
      <c r="F122" s="350"/>
      <c r="G122" s="350"/>
      <c r="H122" s="350"/>
      <c r="I122" s="350"/>
      <c r="J122" s="350"/>
      <c r="K122" s="350"/>
      <c r="L122" s="350"/>
      <c r="M122" s="350"/>
      <c r="N122" s="350"/>
      <c r="O122" s="350"/>
      <c r="P122" s="350"/>
      <c r="Q122" s="350"/>
      <c r="R122" s="350"/>
      <c r="S122" s="350"/>
      <c r="T122" s="350"/>
      <c r="U122" s="350"/>
      <c r="V122" s="86">
        <v>2172.6000000000004</v>
      </c>
      <c r="W122">
        <f t="shared" si="22"/>
        <v>0</v>
      </c>
      <c r="X122">
        <f t="shared" ref="X122:AZ122" si="107">IF(AND(X$37-$A122&gt;$V$25,SUM($W122:W122)&lt;&gt;$V122),$V122,0)</f>
        <v>0</v>
      </c>
      <c r="Y122">
        <f t="shared" si="107"/>
        <v>0</v>
      </c>
      <c r="Z122">
        <f t="shared" si="107"/>
        <v>0</v>
      </c>
      <c r="AA122">
        <f t="shared" si="107"/>
        <v>0</v>
      </c>
      <c r="AB122">
        <f t="shared" si="107"/>
        <v>0</v>
      </c>
      <c r="AC122">
        <f t="shared" si="107"/>
        <v>0</v>
      </c>
      <c r="AD122">
        <f t="shared" si="107"/>
        <v>0</v>
      </c>
      <c r="AE122">
        <f t="shared" si="107"/>
        <v>0</v>
      </c>
      <c r="AF122">
        <f t="shared" si="107"/>
        <v>0</v>
      </c>
      <c r="AG122">
        <f t="shared" si="107"/>
        <v>0</v>
      </c>
      <c r="AH122">
        <f t="shared" si="107"/>
        <v>0</v>
      </c>
      <c r="AI122">
        <f t="shared" si="107"/>
        <v>0</v>
      </c>
      <c r="AJ122">
        <f t="shared" si="107"/>
        <v>0</v>
      </c>
      <c r="AK122">
        <f t="shared" si="107"/>
        <v>0</v>
      </c>
      <c r="AL122">
        <f t="shared" si="107"/>
        <v>0</v>
      </c>
      <c r="AM122">
        <f t="shared" si="107"/>
        <v>0</v>
      </c>
      <c r="AN122">
        <f t="shared" si="107"/>
        <v>0</v>
      </c>
      <c r="AO122">
        <f t="shared" si="107"/>
        <v>0</v>
      </c>
      <c r="AP122">
        <f t="shared" si="107"/>
        <v>0</v>
      </c>
      <c r="AQ122">
        <f t="shared" si="107"/>
        <v>0</v>
      </c>
      <c r="AR122">
        <f t="shared" si="107"/>
        <v>0</v>
      </c>
      <c r="AS122">
        <f t="shared" si="107"/>
        <v>0</v>
      </c>
      <c r="AT122">
        <f t="shared" si="107"/>
        <v>0</v>
      </c>
      <c r="AU122">
        <f t="shared" si="107"/>
        <v>0</v>
      </c>
      <c r="AV122">
        <f t="shared" si="107"/>
        <v>0</v>
      </c>
      <c r="AW122">
        <f t="shared" si="107"/>
        <v>0</v>
      </c>
      <c r="AX122">
        <f t="shared" si="107"/>
        <v>0</v>
      </c>
      <c r="AY122">
        <f t="shared" si="107"/>
        <v>0</v>
      </c>
      <c r="AZ122">
        <f t="shared" si="107"/>
        <v>0</v>
      </c>
    </row>
    <row r="123" spans="1:52" ht="15.75" customHeight="1">
      <c r="A123" s="350">
        <v>1980</v>
      </c>
      <c r="B123" s="350"/>
      <c r="C123" s="350"/>
      <c r="D123" s="350"/>
      <c r="E123" s="350"/>
      <c r="F123" s="350"/>
      <c r="G123" s="350"/>
      <c r="H123" s="350"/>
      <c r="I123" s="350"/>
      <c r="J123" s="350"/>
      <c r="K123" s="350"/>
      <c r="L123" s="350"/>
      <c r="M123" s="350"/>
      <c r="N123" s="350"/>
      <c r="O123" s="350"/>
      <c r="P123" s="350"/>
      <c r="Q123" s="350"/>
      <c r="R123" s="350"/>
      <c r="S123" s="350"/>
      <c r="T123" s="350"/>
      <c r="U123" s="350"/>
      <c r="V123" s="86">
        <v>1248.7</v>
      </c>
      <c r="W123">
        <f t="shared" si="22"/>
        <v>0</v>
      </c>
      <c r="X123">
        <f t="shared" ref="X123:AZ123" si="108">IF(AND(X$37-$A123&gt;$V$25,SUM($W123:W123)&lt;&gt;$V123),$V123,0)</f>
        <v>0</v>
      </c>
      <c r="Y123">
        <f t="shared" si="108"/>
        <v>0</v>
      </c>
      <c r="Z123">
        <f t="shared" si="108"/>
        <v>0</v>
      </c>
      <c r="AA123">
        <f t="shared" si="108"/>
        <v>0</v>
      </c>
      <c r="AB123">
        <f t="shared" si="108"/>
        <v>0</v>
      </c>
      <c r="AC123">
        <f t="shared" si="108"/>
        <v>0</v>
      </c>
      <c r="AD123">
        <f t="shared" si="108"/>
        <v>0</v>
      </c>
      <c r="AE123">
        <f t="shared" si="108"/>
        <v>0</v>
      </c>
      <c r="AF123">
        <f t="shared" si="108"/>
        <v>0</v>
      </c>
      <c r="AG123">
        <f t="shared" si="108"/>
        <v>0</v>
      </c>
      <c r="AH123">
        <f t="shared" si="108"/>
        <v>0</v>
      </c>
      <c r="AI123">
        <f t="shared" si="108"/>
        <v>0</v>
      </c>
      <c r="AJ123">
        <f t="shared" si="108"/>
        <v>0</v>
      </c>
      <c r="AK123">
        <f t="shared" si="108"/>
        <v>0</v>
      </c>
      <c r="AL123">
        <f t="shared" si="108"/>
        <v>0</v>
      </c>
      <c r="AM123">
        <f t="shared" si="108"/>
        <v>0</v>
      </c>
      <c r="AN123">
        <f t="shared" si="108"/>
        <v>0</v>
      </c>
      <c r="AO123">
        <f t="shared" si="108"/>
        <v>0</v>
      </c>
      <c r="AP123">
        <f t="shared" si="108"/>
        <v>0</v>
      </c>
      <c r="AQ123">
        <f t="shared" si="108"/>
        <v>0</v>
      </c>
      <c r="AR123">
        <f t="shared" si="108"/>
        <v>0</v>
      </c>
      <c r="AS123">
        <f t="shared" si="108"/>
        <v>0</v>
      </c>
      <c r="AT123">
        <f t="shared" si="108"/>
        <v>0</v>
      </c>
      <c r="AU123">
        <f t="shared" si="108"/>
        <v>0</v>
      </c>
      <c r="AV123">
        <f t="shared" si="108"/>
        <v>0</v>
      </c>
      <c r="AW123">
        <f t="shared" si="108"/>
        <v>0</v>
      </c>
      <c r="AX123">
        <f t="shared" si="108"/>
        <v>0</v>
      </c>
      <c r="AY123">
        <f t="shared" si="108"/>
        <v>0</v>
      </c>
      <c r="AZ123">
        <f t="shared" si="108"/>
        <v>0</v>
      </c>
    </row>
    <row r="124" spans="1:52" ht="15.75" customHeight="1">
      <c r="A124" s="350">
        <v>1981</v>
      </c>
      <c r="B124" s="350"/>
      <c r="C124" s="350"/>
      <c r="D124" s="350"/>
      <c r="E124" s="350"/>
      <c r="F124" s="350"/>
      <c r="G124" s="350"/>
      <c r="H124" s="350"/>
      <c r="I124" s="350"/>
      <c r="J124" s="350"/>
      <c r="K124" s="350"/>
      <c r="L124" s="350"/>
      <c r="M124" s="350"/>
      <c r="N124" s="350"/>
      <c r="O124" s="350"/>
      <c r="P124" s="350"/>
      <c r="Q124" s="350"/>
      <c r="R124" s="350"/>
      <c r="S124" s="350"/>
      <c r="T124" s="350"/>
      <c r="U124" s="350"/>
      <c r="V124" s="86">
        <v>273.2</v>
      </c>
      <c r="W124">
        <f t="shared" si="22"/>
        <v>0</v>
      </c>
      <c r="X124">
        <f t="shared" ref="X124:AZ124" si="109">IF(AND(X$37-$A124&gt;$V$25,SUM($W124:W124)&lt;&gt;$V124),$V124,0)</f>
        <v>0</v>
      </c>
      <c r="Y124">
        <f t="shared" si="109"/>
        <v>0</v>
      </c>
      <c r="Z124">
        <f t="shared" si="109"/>
        <v>0</v>
      </c>
      <c r="AA124">
        <f t="shared" si="109"/>
        <v>0</v>
      </c>
      <c r="AB124">
        <f t="shared" si="109"/>
        <v>0</v>
      </c>
      <c r="AC124">
        <f t="shared" si="109"/>
        <v>0</v>
      </c>
      <c r="AD124">
        <f t="shared" si="109"/>
        <v>0</v>
      </c>
      <c r="AE124">
        <f t="shared" si="109"/>
        <v>0</v>
      </c>
      <c r="AF124">
        <f t="shared" si="109"/>
        <v>0</v>
      </c>
      <c r="AG124">
        <f t="shared" si="109"/>
        <v>0</v>
      </c>
      <c r="AH124">
        <f t="shared" si="109"/>
        <v>0</v>
      </c>
      <c r="AI124">
        <f t="shared" si="109"/>
        <v>0</v>
      </c>
      <c r="AJ124">
        <f t="shared" si="109"/>
        <v>0</v>
      </c>
      <c r="AK124">
        <f t="shared" si="109"/>
        <v>0</v>
      </c>
      <c r="AL124">
        <f t="shared" si="109"/>
        <v>0</v>
      </c>
      <c r="AM124">
        <f t="shared" si="109"/>
        <v>0</v>
      </c>
      <c r="AN124">
        <f t="shared" si="109"/>
        <v>0</v>
      </c>
      <c r="AO124">
        <f t="shared" si="109"/>
        <v>0</v>
      </c>
      <c r="AP124">
        <f t="shared" si="109"/>
        <v>0</v>
      </c>
      <c r="AQ124">
        <f t="shared" si="109"/>
        <v>0</v>
      </c>
      <c r="AR124">
        <f t="shared" si="109"/>
        <v>0</v>
      </c>
      <c r="AS124">
        <f t="shared" si="109"/>
        <v>0</v>
      </c>
      <c r="AT124">
        <f t="shared" si="109"/>
        <v>0</v>
      </c>
      <c r="AU124">
        <f t="shared" si="109"/>
        <v>0</v>
      </c>
      <c r="AV124">
        <f t="shared" si="109"/>
        <v>0</v>
      </c>
      <c r="AW124">
        <f t="shared" si="109"/>
        <v>0</v>
      </c>
      <c r="AX124">
        <f t="shared" si="109"/>
        <v>0</v>
      </c>
      <c r="AY124">
        <f t="shared" si="109"/>
        <v>0</v>
      </c>
      <c r="AZ124">
        <f t="shared" si="109"/>
        <v>0</v>
      </c>
    </row>
    <row r="125" spans="1:52" ht="15.75" customHeight="1">
      <c r="A125" s="350">
        <v>1982</v>
      </c>
      <c r="B125" s="350"/>
      <c r="C125" s="350"/>
      <c r="D125" s="350"/>
      <c r="E125" s="350"/>
      <c r="F125" s="350"/>
      <c r="G125" s="350"/>
      <c r="H125" s="350"/>
      <c r="I125" s="350"/>
      <c r="J125" s="350"/>
      <c r="K125" s="350"/>
      <c r="L125" s="350"/>
      <c r="M125" s="350"/>
      <c r="N125" s="350"/>
      <c r="O125" s="350"/>
      <c r="P125" s="350"/>
      <c r="Q125" s="350"/>
      <c r="R125" s="350"/>
      <c r="S125" s="350"/>
      <c r="T125" s="350"/>
      <c r="U125" s="350"/>
      <c r="V125" s="86">
        <v>518</v>
      </c>
      <c r="W125">
        <f t="shared" si="22"/>
        <v>0</v>
      </c>
      <c r="X125">
        <f t="shared" ref="X125:AZ125" si="110">IF(AND(X$37-$A125&gt;$V$25,SUM($W125:W125)&lt;&gt;$V125),$V125,0)</f>
        <v>0</v>
      </c>
      <c r="Y125">
        <f t="shared" si="110"/>
        <v>0</v>
      </c>
      <c r="Z125">
        <f t="shared" si="110"/>
        <v>0</v>
      </c>
      <c r="AA125">
        <f t="shared" si="110"/>
        <v>0</v>
      </c>
      <c r="AB125">
        <f t="shared" si="110"/>
        <v>0</v>
      </c>
      <c r="AC125">
        <f t="shared" si="110"/>
        <v>0</v>
      </c>
      <c r="AD125">
        <f t="shared" si="110"/>
        <v>0</v>
      </c>
      <c r="AE125">
        <f t="shared" si="110"/>
        <v>0</v>
      </c>
      <c r="AF125">
        <f t="shared" si="110"/>
        <v>0</v>
      </c>
      <c r="AG125">
        <f t="shared" si="110"/>
        <v>0</v>
      </c>
      <c r="AH125">
        <f t="shared" si="110"/>
        <v>0</v>
      </c>
      <c r="AI125">
        <f t="shared" si="110"/>
        <v>0</v>
      </c>
      <c r="AJ125">
        <f t="shared" si="110"/>
        <v>0</v>
      </c>
      <c r="AK125">
        <f t="shared" si="110"/>
        <v>0</v>
      </c>
      <c r="AL125">
        <f t="shared" si="110"/>
        <v>0</v>
      </c>
      <c r="AM125">
        <f t="shared" si="110"/>
        <v>0</v>
      </c>
      <c r="AN125">
        <f t="shared" si="110"/>
        <v>0</v>
      </c>
      <c r="AO125">
        <f t="shared" si="110"/>
        <v>0</v>
      </c>
      <c r="AP125">
        <f t="shared" si="110"/>
        <v>0</v>
      </c>
      <c r="AQ125">
        <f t="shared" si="110"/>
        <v>0</v>
      </c>
      <c r="AR125">
        <f t="shared" si="110"/>
        <v>0</v>
      </c>
      <c r="AS125">
        <f t="shared" si="110"/>
        <v>0</v>
      </c>
      <c r="AT125">
        <f t="shared" si="110"/>
        <v>0</v>
      </c>
      <c r="AU125">
        <f t="shared" si="110"/>
        <v>0</v>
      </c>
      <c r="AV125">
        <f t="shared" si="110"/>
        <v>0</v>
      </c>
      <c r="AW125">
        <f t="shared" si="110"/>
        <v>0</v>
      </c>
      <c r="AX125">
        <f t="shared" si="110"/>
        <v>0</v>
      </c>
      <c r="AY125">
        <f t="shared" si="110"/>
        <v>0</v>
      </c>
      <c r="AZ125">
        <f t="shared" si="110"/>
        <v>0</v>
      </c>
    </row>
    <row r="126" spans="1:52" ht="15.75" customHeight="1">
      <c r="A126" s="350">
        <v>1983</v>
      </c>
      <c r="B126" s="350"/>
      <c r="C126" s="350"/>
      <c r="D126" s="350"/>
      <c r="E126" s="350"/>
      <c r="F126" s="350"/>
      <c r="G126" s="350"/>
      <c r="H126" s="350"/>
      <c r="I126" s="350"/>
      <c r="J126" s="350"/>
      <c r="K126" s="350"/>
      <c r="L126" s="350"/>
      <c r="M126" s="350"/>
      <c r="N126" s="350"/>
      <c r="O126" s="350"/>
      <c r="P126" s="350"/>
      <c r="Q126" s="350"/>
      <c r="R126" s="350"/>
      <c r="S126" s="350"/>
      <c r="T126" s="350"/>
      <c r="U126" s="350"/>
      <c r="V126" s="86">
        <v>703.6</v>
      </c>
      <c r="W126">
        <f t="shared" si="22"/>
        <v>0</v>
      </c>
      <c r="X126">
        <f t="shared" ref="X126:AZ126" si="111">IF(AND(X$37-$A126&gt;$V$25,SUM($W126:W126)&lt;&gt;$V126),$V126,0)</f>
        <v>0</v>
      </c>
      <c r="Y126">
        <f t="shared" si="111"/>
        <v>0</v>
      </c>
      <c r="Z126">
        <f t="shared" si="111"/>
        <v>0</v>
      </c>
      <c r="AA126">
        <f t="shared" si="111"/>
        <v>0</v>
      </c>
      <c r="AB126">
        <f t="shared" si="111"/>
        <v>0</v>
      </c>
      <c r="AC126">
        <f t="shared" si="111"/>
        <v>0</v>
      </c>
      <c r="AD126">
        <f t="shared" si="111"/>
        <v>0</v>
      </c>
      <c r="AE126">
        <f t="shared" si="111"/>
        <v>0</v>
      </c>
      <c r="AF126">
        <f t="shared" si="111"/>
        <v>0</v>
      </c>
      <c r="AG126">
        <f t="shared" si="111"/>
        <v>0</v>
      </c>
      <c r="AH126">
        <f t="shared" si="111"/>
        <v>0</v>
      </c>
      <c r="AI126">
        <f t="shared" si="111"/>
        <v>0</v>
      </c>
      <c r="AJ126">
        <f t="shared" si="111"/>
        <v>0</v>
      </c>
      <c r="AK126">
        <f t="shared" si="111"/>
        <v>0</v>
      </c>
      <c r="AL126">
        <f t="shared" si="111"/>
        <v>0</v>
      </c>
      <c r="AM126">
        <f t="shared" si="111"/>
        <v>0</v>
      </c>
      <c r="AN126">
        <f t="shared" si="111"/>
        <v>0</v>
      </c>
      <c r="AO126">
        <f t="shared" si="111"/>
        <v>0</v>
      </c>
      <c r="AP126">
        <f t="shared" si="111"/>
        <v>0</v>
      </c>
      <c r="AQ126">
        <f t="shared" si="111"/>
        <v>0</v>
      </c>
      <c r="AR126">
        <f t="shared" si="111"/>
        <v>0</v>
      </c>
      <c r="AS126">
        <f t="shared" si="111"/>
        <v>0</v>
      </c>
      <c r="AT126">
        <f t="shared" si="111"/>
        <v>0</v>
      </c>
      <c r="AU126">
        <f t="shared" si="111"/>
        <v>0</v>
      </c>
      <c r="AV126">
        <f t="shared" si="111"/>
        <v>0</v>
      </c>
      <c r="AW126">
        <f t="shared" si="111"/>
        <v>0</v>
      </c>
      <c r="AX126">
        <f t="shared" si="111"/>
        <v>0</v>
      </c>
      <c r="AY126">
        <f t="shared" si="111"/>
        <v>0</v>
      </c>
      <c r="AZ126">
        <f t="shared" si="111"/>
        <v>0</v>
      </c>
    </row>
    <row r="127" spans="1:52" ht="15.75" customHeight="1">
      <c r="A127" s="350">
        <v>1984</v>
      </c>
      <c r="B127" s="350"/>
      <c r="C127" s="350"/>
      <c r="D127" s="350"/>
      <c r="E127" s="350"/>
      <c r="F127" s="350"/>
      <c r="G127" s="350"/>
      <c r="H127" s="350"/>
      <c r="I127" s="350"/>
      <c r="J127" s="350"/>
      <c r="K127" s="350"/>
      <c r="L127" s="350"/>
      <c r="M127" s="350"/>
      <c r="N127" s="350"/>
      <c r="O127" s="350"/>
      <c r="P127" s="350"/>
      <c r="Q127" s="350"/>
      <c r="R127" s="350"/>
      <c r="S127" s="350"/>
      <c r="T127" s="350"/>
      <c r="U127" s="350"/>
      <c r="V127" s="86">
        <v>527.40000000000009</v>
      </c>
      <c r="W127">
        <f t="shared" si="22"/>
        <v>0</v>
      </c>
      <c r="X127">
        <f t="shared" ref="X127:AZ127" si="112">IF(AND(X$37-$A127&gt;$V$25,SUM($W127:W127)&lt;&gt;$V127),$V127,0)</f>
        <v>0</v>
      </c>
      <c r="Y127">
        <f t="shared" si="112"/>
        <v>0</v>
      </c>
      <c r="Z127">
        <f t="shared" si="112"/>
        <v>0</v>
      </c>
      <c r="AA127">
        <f t="shared" si="112"/>
        <v>0</v>
      </c>
      <c r="AB127">
        <f t="shared" si="112"/>
        <v>0</v>
      </c>
      <c r="AC127">
        <f t="shared" si="112"/>
        <v>0</v>
      </c>
      <c r="AD127">
        <f t="shared" si="112"/>
        <v>0</v>
      </c>
      <c r="AE127">
        <f t="shared" si="112"/>
        <v>0</v>
      </c>
      <c r="AF127">
        <f t="shared" si="112"/>
        <v>0</v>
      </c>
      <c r="AG127">
        <f t="shared" si="112"/>
        <v>0</v>
      </c>
      <c r="AH127">
        <f t="shared" si="112"/>
        <v>0</v>
      </c>
      <c r="AI127">
        <f t="shared" si="112"/>
        <v>0</v>
      </c>
      <c r="AJ127">
        <f t="shared" si="112"/>
        <v>0</v>
      </c>
      <c r="AK127">
        <f t="shared" si="112"/>
        <v>0</v>
      </c>
      <c r="AL127">
        <f t="shared" si="112"/>
        <v>0</v>
      </c>
      <c r="AM127">
        <f t="shared" si="112"/>
        <v>0</v>
      </c>
      <c r="AN127">
        <f t="shared" si="112"/>
        <v>0</v>
      </c>
      <c r="AO127">
        <f t="shared" si="112"/>
        <v>0</v>
      </c>
      <c r="AP127">
        <f t="shared" si="112"/>
        <v>0</v>
      </c>
      <c r="AQ127">
        <f t="shared" si="112"/>
        <v>0</v>
      </c>
      <c r="AR127">
        <f t="shared" si="112"/>
        <v>0</v>
      </c>
      <c r="AS127">
        <f t="shared" si="112"/>
        <v>0</v>
      </c>
      <c r="AT127">
        <f t="shared" si="112"/>
        <v>0</v>
      </c>
      <c r="AU127">
        <f t="shared" si="112"/>
        <v>0</v>
      </c>
      <c r="AV127">
        <f t="shared" si="112"/>
        <v>0</v>
      </c>
      <c r="AW127">
        <f t="shared" si="112"/>
        <v>0</v>
      </c>
      <c r="AX127">
        <f t="shared" si="112"/>
        <v>0</v>
      </c>
      <c r="AY127">
        <f t="shared" si="112"/>
        <v>0</v>
      </c>
      <c r="AZ127">
        <f t="shared" si="112"/>
        <v>0</v>
      </c>
    </row>
    <row r="128" spans="1:52" ht="15.75" customHeight="1">
      <c r="A128" s="350">
        <v>1985</v>
      </c>
      <c r="B128" s="350"/>
      <c r="C128" s="350"/>
      <c r="D128" s="350"/>
      <c r="E128" s="350"/>
      <c r="F128" s="350"/>
      <c r="G128" s="350"/>
      <c r="H128" s="350"/>
      <c r="I128" s="350"/>
      <c r="J128" s="350"/>
      <c r="K128" s="350"/>
      <c r="L128" s="350"/>
      <c r="M128" s="350"/>
      <c r="N128" s="350"/>
      <c r="O128" s="350"/>
      <c r="P128" s="350"/>
      <c r="Q128" s="350"/>
      <c r="R128" s="350"/>
      <c r="S128" s="350"/>
      <c r="T128" s="350"/>
      <c r="U128" s="350"/>
      <c r="V128" s="86">
        <v>1248.1000000000006</v>
      </c>
      <c r="W128">
        <f t="shared" si="22"/>
        <v>0</v>
      </c>
      <c r="X128">
        <f t="shared" ref="X128:AZ128" si="113">IF(AND(X$37-$A128&gt;$V$25,SUM($W128:W128)&lt;&gt;$V128),$V128,0)</f>
        <v>0</v>
      </c>
      <c r="Y128">
        <f t="shared" si="113"/>
        <v>0</v>
      </c>
      <c r="Z128">
        <f t="shared" si="113"/>
        <v>0</v>
      </c>
      <c r="AA128">
        <f t="shared" si="113"/>
        <v>0</v>
      </c>
      <c r="AB128">
        <f t="shared" si="113"/>
        <v>0</v>
      </c>
      <c r="AC128">
        <f t="shared" si="113"/>
        <v>0</v>
      </c>
      <c r="AD128">
        <f t="shared" si="113"/>
        <v>0</v>
      </c>
      <c r="AE128">
        <f t="shared" si="113"/>
        <v>0</v>
      </c>
      <c r="AF128">
        <f t="shared" si="113"/>
        <v>0</v>
      </c>
      <c r="AG128">
        <f t="shared" si="113"/>
        <v>0</v>
      </c>
      <c r="AH128">
        <f t="shared" si="113"/>
        <v>0</v>
      </c>
      <c r="AI128">
        <f t="shared" si="113"/>
        <v>0</v>
      </c>
      <c r="AJ128">
        <f t="shared" si="113"/>
        <v>0</v>
      </c>
      <c r="AK128">
        <f t="shared" si="113"/>
        <v>0</v>
      </c>
      <c r="AL128">
        <f t="shared" si="113"/>
        <v>0</v>
      </c>
      <c r="AM128">
        <f t="shared" si="113"/>
        <v>0</v>
      </c>
      <c r="AN128">
        <f t="shared" si="113"/>
        <v>0</v>
      </c>
      <c r="AO128">
        <f t="shared" si="113"/>
        <v>0</v>
      </c>
      <c r="AP128">
        <f t="shared" si="113"/>
        <v>0</v>
      </c>
      <c r="AQ128">
        <f t="shared" si="113"/>
        <v>0</v>
      </c>
      <c r="AR128">
        <f t="shared" si="113"/>
        <v>0</v>
      </c>
      <c r="AS128">
        <f t="shared" si="113"/>
        <v>0</v>
      </c>
      <c r="AT128">
        <f t="shared" si="113"/>
        <v>0</v>
      </c>
      <c r="AU128">
        <f t="shared" si="113"/>
        <v>0</v>
      </c>
      <c r="AV128">
        <f t="shared" si="113"/>
        <v>0</v>
      </c>
      <c r="AW128">
        <f t="shared" si="113"/>
        <v>0</v>
      </c>
      <c r="AX128">
        <f t="shared" si="113"/>
        <v>0</v>
      </c>
      <c r="AY128">
        <f t="shared" si="113"/>
        <v>0</v>
      </c>
      <c r="AZ128">
        <f t="shared" si="113"/>
        <v>0</v>
      </c>
    </row>
    <row r="129" spans="1:52" ht="15.75" customHeight="1">
      <c r="A129" s="350">
        <v>1986</v>
      </c>
      <c r="B129" s="350"/>
      <c r="C129" s="350"/>
      <c r="D129" s="350"/>
      <c r="E129" s="350"/>
      <c r="F129" s="350"/>
      <c r="G129" s="350"/>
      <c r="H129" s="350"/>
      <c r="I129" s="350"/>
      <c r="J129" s="350"/>
      <c r="K129" s="350"/>
      <c r="L129" s="350"/>
      <c r="M129" s="350"/>
      <c r="N129" s="350"/>
      <c r="O129" s="350"/>
      <c r="P129" s="350"/>
      <c r="Q129" s="350"/>
      <c r="R129" s="350"/>
      <c r="S129" s="350"/>
      <c r="T129" s="350"/>
      <c r="U129" s="350"/>
      <c r="V129" s="86">
        <v>646.40000000000009</v>
      </c>
      <c r="W129">
        <f t="shared" si="22"/>
        <v>0</v>
      </c>
      <c r="X129">
        <f t="shared" ref="X129:AZ129" si="114">IF(AND(X$37-$A129&gt;$V$25,SUM($W129:W129)&lt;&gt;$V129),$V129,0)</f>
        <v>0</v>
      </c>
      <c r="Y129">
        <f t="shared" si="114"/>
        <v>0</v>
      </c>
      <c r="Z129">
        <f t="shared" si="114"/>
        <v>0</v>
      </c>
      <c r="AA129">
        <f t="shared" si="114"/>
        <v>0</v>
      </c>
      <c r="AB129">
        <f t="shared" si="114"/>
        <v>0</v>
      </c>
      <c r="AC129">
        <f t="shared" si="114"/>
        <v>0</v>
      </c>
      <c r="AD129">
        <f t="shared" si="114"/>
        <v>0</v>
      </c>
      <c r="AE129">
        <f t="shared" si="114"/>
        <v>0</v>
      </c>
      <c r="AF129">
        <f t="shared" si="114"/>
        <v>0</v>
      </c>
      <c r="AG129">
        <f t="shared" si="114"/>
        <v>0</v>
      </c>
      <c r="AH129">
        <f t="shared" si="114"/>
        <v>0</v>
      </c>
      <c r="AI129">
        <f t="shared" si="114"/>
        <v>0</v>
      </c>
      <c r="AJ129">
        <f t="shared" si="114"/>
        <v>0</v>
      </c>
      <c r="AK129">
        <f t="shared" si="114"/>
        <v>0</v>
      </c>
      <c r="AL129">
        <f t="shared" si="114"/>
        <v>0</v>
      </c>
      <c r="AM129">
        <f t="shared" si="114"/>
        <v>0</v>
      </c>
      <c r="AN129">
        <f t="shared" si="114"/>
        <v>0</v>
      </c>
      <c r="AO129">
        <f t="shared" si="114"/>
        <v>0</v>
      </c>
      <c r="AP129">
        <f t="shared" si="114"/>
        <v>0</v>
      </c>
      <c r="AQ129">
        <f t="shared" si="114"/>
        <v>0</v>
      </c>
      <c r="AR129">
        <f t="shared" si="114"/>
        <v>0</v>
      </c>
      <c r="AS129">
        <f t="shared" si="114"/>
        <v>0</v>
      </c>
      <c r="AT129">
        <f t="shared" si="114"/>
        <v>0</v>
      </c>
      <c r="AU129">
        <f t="shared" si="114"/>
        <v>0</v>
      </c>
      <c r="AV129">
        <f t="shared" si="114"/>
        <v>0</v>
      </c>
      <c r="AW129">
        <f t="shared" si="114"/>
        <v>0</v>
      </c>
      <c r="AX129">
        <f t="shared" si="114"/>
        <v>0</v>
      </c>
      <c r="AY129">
        <f t="shared" si="114"/>
        <v>0</v>
      </c>
      <c r="AZ129">
        <f t="shared" si="114"/>
        <v>0</v>
      </c>
    </row>
    <row r="130" spans="1:52" ht="15.75" customHeight="1">
      <c r="A130" s="350">
        <v>1987</v>
      </c>
      <c r="B130" s="350"/>
      <c r="C130" s="350"/>
      <c r="D130" s="350"/>
      <c r="E130" s="350"/>
      <c r="F130" s="350"/>
      <c r="G130" s="350"/>
      <c r="H130" s="350"/>
      <c r="I130" s="350"/>
      <c r="J130" s="350"/>
      <c r="K130" s="350"/>
      <c r="L130" s="350"/>
      <c r="M130" s="350"/>
      <c r="N130" s="350"/>
      <c r="O130" s="350"/>
      <c r="P130" s="350"/>
      <c r="Q130" s="350"/>
      <c r="R130" s="350"/>
      <c r="S130" s="350"/>
      <c r="T130" s="350"/>
      <c r="U130" s="350"/>
      <c r="V130" s="86">
        <v>244.10000000000016</v>
      </c>
      <c r="W130">
        <f t="shared" si="22"/>
        <v>0</v>
      </c>
      <c r="X130">
        <f t="shared" ref="X130:AZ130" si="115">IF(AND(X$37-$A130&gt;$V$25,SUM($W130:W130)&lt;&gt;$V130),$V130,0)</f>
        <v>0</v>
      </c>
      <c r="Y130">
        <f t="shared" si="115"/>
        <v>0</v>
      </c>
      <c r="Z130">
        <f t="shared" si="115"/>
        <v>0</v>
      </c>
      <c r="AA130">
        <f t="shared" si="115"/>
        <v>0</v>
      </c>
      <c r="AB130">
        <f t="shared" si="115"/>
        <v>0</v>
      </c>
      <c r="AC130">
        <f t="shared" si="115"/>
        <v>0</v>
      </c>
      <c r="AD130">
        <f t="shared" si="115"/>
        <v>0</v>
      </c>
      <c r="AE130">
        <f t="shared" si="115"/>
        <v>0</v>
      </c>
      <c r="AF130">
        <f t="shared" si="115"/>
        <v>0</v>
      </c>
      <c r="AG130">
        <f t="shared" si="115"/>
        <v>0</v>
      </c>
      <c r="AH130">
        <f t="shared" si="115"/>
        <v>0</v>
      </c>
      <c r="AI130">
        <f t="shared" si="115"/>
        <v>0</v>
      </c>
      <c r="AJ130">
        <f t="shared" si="115"/>
        <v>0</v>
      </c>
      <c r="AK130">
        <f t="shared" si="115"/>
        <v>0</v>
      </c>
      <c r="AL130">
        <f t="shared" si="115"/>
        <v>0</v>
      </c>
      <c r="AM130">
        <f t="shared" si="115"/>
        <v>0</v>
      </c>
      <c r="AN130">
        <f t="shared" si="115"/>
        <v>0</v>
      </c>
      <c r="AO130">
        <f t="shared" si="115"/>
        <v>0</v>
      </c>
      <c r="AP130">
        <f t="shared" si="115"/>
        <v>0</v>
      </c>
      <c r="AQ130">
        <f t="shared" si="115"/>
        <v>0</v>
      </c>
      <c r="AR130">
        <f t="shared" si="115"/>
        <v>0</v>
      </c>
      <c r="AS130">
        <f t="shared" si="115"/>
        <v>0</v>
      </c>
      <c r="AT130">
        <f t="shared" si="115"/>
        <v>0</v>
      </c>
      <c r="AU130">
        <f t="shared" si="115"/>
        <v>0</v>
      </c>
      <c r="AV130">
        <f t="shared" si="115"/>
        <v>0</v>
      </c>
      <c r="AW130">
        <f t="shared" si="115"/>
        <v>0</v>
      </c>
      <c r="AX130">
        <f t="shared" si="115"/>
        <v>0</v>
      </c>
      <c r="AY130">
        <f t="shared" si="115"/>
        <v>0</v>
      </c>
      <c r="AZ130">
        <f t="shared" si="115"/>
        <v>0</v>
      </c>
    </row>
    <row r="131" spans="1:52" ht="15.75" customHeight="1">
      <c r="A131" s="350">
        <v>1988</v>
      </c>
      <c r="B131" s="350"/>
      <c r="C131" s="350"/>
      <c r="D131" s="350"/>
      <c r="E131" s="350"/>
      <c r="F131" s="350"/>
      <c r="G131" s="350"/>
      <c r="H131" s="350"/>
      <c r="I131" s="350"/>
      <c r="J131" s="350"/>
      <c r="K131" s="350"/>
      <c r="L131" s="350"/>
      <c r="M131" s="350"/>
      <c r="N131" s="350"/>
      <c r="O131" s="350"/>
      <c r="P131" s="350"/>
      <c r="Q131" s="350"/>
      <c r="R131" s="350"/>
      <c r="S131" s="350"/>
      <c r="T131" s="350"/>
      <c r="U131" s="350"/>
      <c r="V131" s="86">
        <v>400.1</v>
      </c>
      <c r="W131">
        <f t="shared" si="22"/>
        <v>0</v>
      </c>
      <c r="X131">
        <f t="shared" ref="X131:AZ131" si="116">IF(AND(X$37-$A131&gt;$V$25,SUM($W131:W131)&lt;&gt;$V131),$V131,0)</f>
        <v>0</v>
      </c>
      <c r="Y131">
        <f t="shared" si="116"/>
        <v>0</v>
      </c>
      <c r="Z131">
        <f t="shared" si="116"/>
        <v>0</v>
      </c>
      <c r="AA131">
        <f t="shared" si="116"/>
        <v>0</v>
      </c>
      <c r="AB131">
        <f t="shared" si="116"/>
        <v>0</v>
      </c>
      <c r="AC131">
        <f t="shared" si="116"/>
        <v>0</v>
      </c>
      <c r="AD131">
        <f t="shared" si="116"/>
        <v>0</v>
      </c>
      <c r="AE131">
        <f t="shared" si="116"/>
        <v>0</v>
      </c>
      <c r="AF131">
        <f t="shared" si="116"/>
        <v>0</v>
      </c>
      <c r="AG131">
        <f t="shared" si="116"/>
        <v>0</v>
      </c>
      <c r="AH131">
        <f t="shared" si="116"/>
        <v>0</v>
      </c>
      <c r="AI131">
        <f t="shared" si="116"/>
        <v>0</v>
      </c>
      <c r="AJ131">
        <f t="shared" si="116"/>
        <v>0</v>
      </c>
      <c r="AK131">
        <f t="shared" si="116"/>
        <v>0</v>
      </c>
      <c r="AL131">
        <f t="shared" si="116"/>
        <v>0</v>
      </c>
      <c r="AM131">
        <f t="shared" si="116"/>
        <v>0</v>
      </c>
      <c r="AN131">
        <f t="shared" si="116"/>
        <v>0</v>
      </c>
      <c r="AO131">
        <f t="shared" si="116"/>
        <v>0</v>
      </c>
      <c r="AP131">
        <f t="shared" si="116"/>
        <v>0</v>
      </c>
      <c r="AQ131">
        <f t="shared" si="116"/>
        <v>0</v>
      </c>
      <c r="AR131">
        <f t="shared" si="116"/>
        <v>0</v>
      </c>
      <c r="AS131">
        <f t="shared" si="116"/>
        <v>0</v>
      </c>
      <c r="AT131">
        <f t="shared" si="116"/>
        <v>0</v>
      </c>
      <c r="AU131">
        <f t="shared" si="116"/>
        <v>0</v>
      </c>
      <c r="AV131">
        <f t="shared" si="116"/>
        <v>0</v>
      </c>
      <c r="AW131">
        <f t="shared" si="116"/>
        <v>0</v>
      </c>
      <c r="AX131">
        <f t="shared" si="116"/>
        <v>0</v>
      </c>
      <c r="AY131">
        <f t="shared" si="116"/>
        <v>0</v>
      </c>
      <c r="AZ131">
        <f t="shared" si="116"/>
        <v>0</v>
      </c>
    </row>
    <row r="132" spans="1:52" ht="15.75" customHeight="1">
      <c r="A132" s="350">
        <v>1989</v>
      </c>
      <c r="B132" s="350"/>
      <c r="C132" s="350"/>
      <c r="D132" s="350"/>
      <c r="E132" s="350"/>
      <c r="F132" s="350"/>
      <c r="G132" s="350"/>
      <c r="H132" s="350"/>
      <c r="I132" s="350"/>
      <c r="J132" s="350"/>
      <c r="K132" s="350"/>
      <c r="L132" s="350"/>
      <c r="M132" s="350"/>
      <c r="N132" s="350"/>
      <c r="O132" s="350"/>
      <c r="P132" s="350"/>
      <c r="Q132" s="350"/>
      <c r="R132" s="350"/>
      <c r="S132" s="350"/>
      <c r="T132" s="350"/>
      <c r="U132" s="350"/>
      <c r="V132" s="86">
        <v>506.00000000000011</v>
      </c>
      <c r="W132">
        <f t="shared" si="22"/>
        <v>0</v>
      </c>
      <c r="X132">
        <f t="shared" ref="X132:AZ132" si="117">IF(AND(X$37-$A132&gt;$V$25,SUM($W132:W132)&lt;&gt;$V132),$V132,0)</f>
        <v>0</v>
      </c>
      <c r="Y132">
        <f t="shared" si="117"/>
        <v>0</v>
      </c>
      <c r="Z132">
        <f t="shared" si="117"/>
        <v>0</v>
      </c>
      <c r="AA132">
        <f t="shared" si="117"/>
        <v>0</v>
      </c>
      <c r="AB132">
        <f t="shared" si="117"/>
        <v>0</v>
      </c>
      <c r="AC132">
        <f t="shared" si="117"/>
        <v>0</v>
      </c>
      <c r="AD132">
        <f t="shared" si="117"/>
        <v>0</v>
      </c>
      <c r="AE132">
        <f t="shared" si="117"/>
        <v>0</v>
      </c>
      <c r="AF132">
        <f t="shared" si="117"/>
        <v>0</v>
      </c>
      <c r="AG132">
        <f t="shared" si="117"/>
        <v>0</v>
      </c>
      <c r="AH132">
        <f t="shared" si="117"/>
        <v>0</v>
      </c>
      <c r="AI132">
        <f t="shared" si="117"/>
        <v>0</v>
      </c>
      <c r="AJ132">
        <f t="shared" si="117"/>
        <v>0</v>
      </c>
      <c r="AK132">
        <f t="shared" si="117"/>
        <v>0</v>
      </c>
      <c r="AL132">
        <f t="shared" si="117"/>
        <v>0</v>
      </c>
      <c r="AM132">
        <f t="shared" si="117"/>
        <v>0</v>
      </c>
      <c r="AN132">
        <f t="shared" si="117"/>
        <v>0</v>
      </c>
      <c r="AO132">
        <f t="shared" si="117"/>
        <v>0</v>
      </c>
      <c r="AP132">
        <f t="shared" si="117"/>
        <v>0</v>
      </c>
      <c r="AQ132">
        <f t="shared" si="117"/>
        <v>0</v>
      </c>
      <c r="AR132">
        <f t="shared" si="117"/>
        <v>0</v>
      </c>
      <c r="AS132">
        <f t="shared" si="117"/>
        <v>0</v>
      </c>
      <c r="AT132">
        <f t="shared" si="117"/>
        <v>0</v>
      </c>
      <c r="AU132">
        <f t="shared" si="117"/>
        <v>0</v>
      </c>
      <c r="AV132">
        <f t="shared" si="117"/>
        <v>0</v>
      </c>
      <c r="AW132">
        <f t="shared" si="117"/>
        <v>0</v>
      </c>
      <c r="AX132">
        <f t="shared" si="117"/>
        <v>0</v>
      </c>
      <c r="AY132">
        <f t="shared" si="117"/>
        <v>0</v>
      </c>
      <c r="AZ132">
        <f t="shared" si="117"/>
        <v>0</v>
      </c>
    </row>
    <row r="133" spans="1:52" ht="15.75" customHeight="1">
      <c r="A133" s="350">
        <v>1990</v>
      </c>
      <c r="B133" s="350"/>
      <c r="C133" s="350"/>
      <c r="D133" s="350"/>
      <c r="E133" s="350"/>
      <c r="F133" s="350"/>
      <c r="G133" s="350"/>
      <c r="H133" s="350"/>
      <c r="I133" s="350"/>
      <c r="J133" s="350"/>
      <c r="K133" s="350"/>
      <c r="L133" s="350"/>
      <c r="M133" s="350"/>
      <c r="N133" s="350"/>
      <c r="O133" s="350"/>
      <c r="P133" s="350"/>
      <c r="Q133" s="350"/>
      <c r="R133" s="350"/>
      <c r="S133" s="350"/>
      <c r="T133" s="350"/>
      <c r="U133" s="350"/>
      <c r="V133" s="86">
        <v>402.5</v>
      </c>
      <c r="W133">
        <f t="shared" si="22"/>
        <v>0</v>
      </c>
      <c r="X133">
        <f t="shared" ref="X133:AZ133" si="118">IF(AND(X$37-$A133&gt;$V$25,SUM($W133:W133)&lt;&gt;$V133),$V133,0)</f>
        <v>0</v>
      </c>
      <c r="Y133">
        <f t="shared" si="118"/>
        <v>0</v>
      </c>
      <c r="Z133">
        <f t="shared" si="118"/>
        <v>0</v>
      </c>
      <c r="AA133">
        <f t="shared" si="118"/>
        <v>0</v>
      </c>
      <c r="AB133">
        <f t="shared" si="118"/>
        <v>0</v>
      </c>
      <c r="AC133">
        <f t="shared" si="118"/>
        <v>0</v>
      </c>
      <c r="AD133">
        <f t="shared" si="118"/>
        <v>0</v>
      </c>
      <c r="AE133">
        <f t="shared" si="118"/>
        <v>0</v>
      </c>
      <c r="AF133">
        <f t="shared" si="118"/>
        <v>0</v>
      </c>
      <c r="AG133">
        <f t="shared" si="118"/>
        <v>0</v>
      </c>
      <c r="AH133">
        <f t="shared" si="118"/>
        <v>0</v>
      </c>
      <c r="AI133">
        <f t="shared" si="118"/>
        <v>0</v>
      </c>
      <c r="AJ133">
        <f t="shared" si="118"/>
        <v>0</v>
      </c>
      <c r="AK133">
        <f t="shared" si="118"/>
        <v>0</v>
      </c>
      <c r="AL133">
        <f t="shared" si="118"/>
        <v>0</v>
      </c>
      <c r="AM133">
        <f t="shared" si="118"/>
        <v>0</v>
      </c>
      <c r="AN133">
        <f t="shared" si="118"/>
        <v>0</v>
      </c>
      <c r="AO133">
        <f t="shared" si="118"/>
        <v>0</v>
      </c>
      <c r="AP133">
        <f t="shared" si="118"/>
        <v>0</v>
      </c>
      <c r="AQ133">
        <f t="shared" si="118"/>
        <v>0</v>
      </c>
      <c r="AR133">
        <f t="shared" si="118"/>
        <v>0</v>
      </c>
      <c r="AS133">
        <f t="shared" si="118"/>
        <v>0</v>
      </c>
      <c r="AT133">
        <f t="shared" si="118"/>
        <v>0</v>
      </c>
      <c r="AU133">
        <f t="shared" si="118"/>
        <v>0</v>
      </c>
      <c r="AV133">
        <f t="shared" si="118"/>
        <v>0</v>
      </c>
      <c r="AW133">
        <f t="shared" si="118"/>
        <v>0</v>
      </c>
      <c r="AX133">
        <f t="shared" si="118"/>
        <v>0</v>
      </c>
      <c r="AY133">
        <f t="shared" si="118"/>
        <v>0</v>
      </c>
      <c r="AZ133">
        <f t="shared" si="118"/>
        <v>0</v>
      </c>
    </row>
    <row r="134" spans="1:52" ht="15.75" customHeight="1">
      <c r="A134" s="350">
        <v>1991</v>
      </c>
      <c r="B134" s="350"/>
      <c r="C134" s="350"/>
      <c r="D134" s="350"/>
      <c r="E134" s="350"/>
      <c r="F134" s="350"/>
      <c r="G134" s="350"/>
      <c r="H134" s="350"/>
      <c r="I134" s="350"/>
      <c r="J134" s="350"/>
      <c r="K134" s="350"/>
      <c r="L134" s="350"/>
      <c r="M134" s="350"/>
      <c r="N134" s="350"/>
      <c r="O134" s="350"/>
      <c r="P134" s="350"/>
      <c r="Q134" s="350"/>
      <c r="R134" s="350"/>
      <c r="S134" s="350"/>
      <c r="T134" s="350"/>
      <c r="U134" s="350"/>
      <c r="V134" s="86">
        <v>35.299999999999997</v>
      </c>
      <c r="W134">
        <f t="shared" si="22"/>
        <v>0</v>
      </c>
      <c r="X134">
        <f t="shared" ref="X134:AZ134" si="119">IF(AND(X$37-$A134&gt;$V$25,SUM($W134:W134)&lt;&gt;$V134),$V134,0)</f>
        <v>0</v>
      </c>
      <c r="Y134">
        <f t="shared" si="119"/>
        <v>0</v>
      </c>
      <c r="Z134">
        <f t="shared" si="119"/>
        <v>0</v>
      </c>
      <c r="AA134">
        <f t="shared" si="119"/>
        <v>0</v>
      </c>
      <c r="AB134">
        <f t="shared" si="119"/>
        <v>0</v>
      </c>
      <c r="AC134">
        <f t="shared" si="119"/>
        <v>0</v>
      </c>
      <c r="AD134">
        <f t="shared" si="119"/>
        <v>0</v>
      </c>
      <c r="AE134">
        <f t="shared" si="119"/>
        <v>0</v>
      </c>
      <c r="AF134">
        <f t="shared" si="119"/>
        <v>0</v>
      </c>
      <c r="AG134">
        <f t="shared" si="119"/>
        <v>0</v>
      </c>
      <c r="AH134">
        <f t="shared" si="119"/>
        <v>0</v>
      </c>
      <c r="AI134">
        <f t="shared" si="119"/>
        <v>0</v>
      </c>
      <c r="AJ134">
        <f t="shared" si="119"/>
        <v>0</v>
      </c>
      <c r="AK134">
        <f t="shared" si="119"/>
        <v>0</v>
      </c>
      <c r="AL134">
        <f t="shared" si="119"/>
        <v>0</v>
      </c>
      <c r="AM134">
        <f t="shared" si="119"/>
        <v>0</v>
      </c>
      <c r="AN134">
        <f t="shared" si="119"/>
        <v>0</v>
      </c>
      <c r="AO134">
        <f t="shared" si="119"/>
        <v>0</v>
      </c>
      <c r="AP134">
        <f t="shared" si="119"/>
        <v>0</v>
      </c>
      <c r="AQ134">
        <f t="shared" si="119"/>
        <v>0</v>
      </c>
      <c r="AR134">
        <f t="shared" si="119"/>
        <v>0</v>
      </c>
      <c r="AS134">
        <f t="shared" si="119"/>
        <v>0</v>
      </c>
      <c r="AT134">
        <f t="shared" si="119"/>
        <v>0</v>
      </c>
      <c r="AU134">
        <f t="shared" si="119"/>
        <v>0</v>
      </c>
      <c r="AV134">
        <f t="shared" si="119"/>
        <v>0</v>
      </c>
      <c r="AW134">
        <f t="shared" si="119"/>
        <v>0</v>
      </c>
      <c r="AX134">
        <f t="shared" si="119"/>
        <v>0</v>
      </c>
      <c r="AY134">
        <f t="shared" si="119"/>
        <v>0</v>
      </c>
      <c r="AZ134">
        <f t="shared" si="119"/>
        <v>0</v>
      </c>
    </row>
    <row r="135" spans="1:52" ht="15.75" customHeight="1">
      <c r="A135" s="350">
        <v>1992</v>
      </c>
      <c r="B135" s="350"/>
      <c r="C135" s="350"/>
      <c r="D135" s="350"/>
      <c r="E135" s="350"/>
      <c r="F135" s="350"/>
      <c r="G135" s="350"/>
      <c r="H135" s="350"/>
      <c r="I135" s="350"/>
      <c r="J135" s="350"/>
      <c r="K135" s="350"/>
      <c r="L135" s="350"/>
      <c r="M135" s="350"/>
      <c r="N135" s="350"/>
      <c r="O135" s="350"/>
      <c r="P135" s="350"/>
      <c r="Q135" s="350"/>
      <c r="R135" s="350"/>
      <c r="S135" s="350"/>
      <c r="T135" s="350"/>
      <c r="U135" s="350"/>
      <c r="V135" s="86">
        <v>194.10000000000002</v>
      </c>
      <c r="W135">
        <f t="shared" si="22"/>
        <v>0</v>
      </c>
      <c r="X135">
        <f t="shared" ref="X135:AZ135" si="120">IF(AND(X$37-$A135&gt;$V$25,SUM($W135:W135)&lt;&gt;$V135),$V135,0)</f>
        <v>0</v>
      </c>
      <c r="Y135">
        <f t="shared" si="120"/>
        <v>0</v>
      </c>
      <c r="Z135">
        <f t="shared" si="120"/>
        <v>0</v>
      </c>
      <c r="AA135">
        <f t="shared" si="120"/>
        <v>0</v>
      </c>
      <c r="AB135">
        <f t="shared" si="120"/>
        <v>0</v>
      </c>
      <c r="AC135">
        <f t="shared" si="120"/>
        <v>0</v>
      </c>
      <c r="AD135">
        <f t="shared" si="120"/>
        <v>0</v>
      </c>
      <c r="AE135">
        <f t="shared" si="120"/>
        <v>0</v>
      </c>
      <c r="AF135">
        <f t="shared" si="120"/>
        <v>0</v>
      </c>
      <c r="AG135">
        <f t="shared" si="120"/>
        <v>0</v>
      </c>
      <c r="AH135">
        <f t="shared" si="120"/>
        <v>0</v>
      </c>
      <c r="AI135">
        <f t="shared" si="120"/>
        <v>0</v>
      </c>
      <c r="AJ135">
        <f t="shared" si="120"/>
        <v>0</v>
      </c>
      <c r="AK135">
        <f t="shared" si="120"/>
        <v>0</v>
      </c>
      <c r="AL135">
        <f t="shared" si="120"/>
        <v>0</v>
      </c>
      <c r="AM135">
        <f t="shared" si="120"/>
        <v>0</v>
      </c>
      <c r="AN135">
        <f t="shared" si="120"/>
        <v>0</v>
      </c>
      <c r="AO135">
        <f t="shared" si="120"/>
        <v>0</v>
      </c>
      <c r="AP135">
        <f t="shared" si="120"/>
        <v>0</v>
      </c>
      <c r="AQ135">
        <f t="shared" si="120"/>
        <v>0</v>
      </c>
      <c r="AR135">
        <f t="shared" si="120"/>
        <v>0</v>
      </c>
      <c r="AS135">
        <f t="shared" si="120"/>
        <v>0</v>
      </c>
      <c r="AT135">
        <f t="shared" si="120"/>
        <v>0</v>
      </c>
      <c r="AU135">
        <f t="shared" si="120"/>
        <v>0</v>
      </c>
      <c r="AV135">
        <f t="shared" si="120"/>
        <v>0</v>
      </c>
      <c r="AW135">
        <f t="shared" si="120"/>
        <v>0</v>
      </c>
      <c r="AX135">
        <f t="shared" si="120"/>
        <v>0</v>
      </c>
      <c r="AY135">
        <f t="shared" si="120"/>
        <v>0</v>
      </c>
      <c r="AZ135">
        <f t="shared" si="120"/>
        <v>0</v>
      </c>
    </row>
    <row r="136" spans="1:52" ht="15.75" customHeight="1">
      <c r="A136" s="350">
        <v>1993</v>
      </c>
      <c r="B136" s="350"/>
      <c r="C136" s="350"/>
      <c r="D136" s="350"/>
      <c r="E136" s="350"/>
      <c r="F136" s="350"/>
      <c r="G136" s="350"/>
      <c r="H136" s="350"/>
      <c r="I136" s="350"/>
      <c r="J136" s="350"/>
      <c r="K136" s="350"/>
      <c r="L136" s="350"/>
      <c r="M136" s="350"/>
      <c r="N136" s="350"/>
      <c r="O136" s="350"/>
      <c r="P136" s="350"/>
      <c r="Q136" s="350"/>
      <c r="R136" s="350"/>
      <c r="S136" s="350"/>
      <c r="T136" s="350"/>
      <c r="U136" s="350"/>
      <c r="V136" s="86">
        <v>114.89999999999999</v>
      </c>
      <c r="W136">
        <f t="shared" si="22"/>
        <v>0</v>
      </c>
      <c r="X136">
        <f t="shared" ref="X136:AZ136" si="121">IF(AND(X$37-$A136&gt;$V$25,SUM($W136:W136)&lt;&gt;$V136),$V136,0)</f>
        <v>0</v>
      </c>
      <c r="Y136">
        <f t="shared" si="121"/>
        <v>0</v>
      </c>
      <c r="Z136">
        <f t="shared" si="121"/>
        <v>0</v>
      </c>
      <c r="AA136">
        <f t="shared" si="121"/>
        <v>0</v>
      </c>
      <c r="AB136">
        <f t="shared" si="121"/>
        <v>0</v>
      </c>
      <c r="AC136">
        <f t="shared" si="121"/>
        <v>0</v>
      </c>
      <c r="AD136">
        <f t="shared" si="121"/>
        <v>0</v>
      </c>
      <c r="AE136">
        <f t="shared" si="121"/>
        <v>0</v>
      </c>
      <c r="AF136">
        <f t="shared" si="121"/>
        <v>0</v>
      </c>
      <c r="AG136">
        <f t="shared" si="121"/>
        <v>0</v>
      </c>
      <c r="AH136">
        <f t="shared" si="121"/>
        <v>0</v>
      </c>
      <c r="AI136">
        <f t="shared" si="121"/>
        <v>0</v>
      </c>
      <c r="AJ136">
        <f t="shared" si="121"/>
        <v>0</v>
      </c>
      <c r="AK136">
        <f t="shared" si="121"/>
        <v>0</v>
      </c>
      <c r="AL136">
        <f t="shared" si="121"/>
        <v>0</v>
      </c>
      <c r="AM136">
        <f t="shared" si="121"/>
        <v>0</v>
      </c>
      <c r="AN136">
        <f t="shared" si="121"/>
        <v>0</v>
      </c>
      <c r="AO136">
        <f t="shared" si="121"/>
        <v>0</v>
      </c>
      <c r="AP136">
        <f t="shared" si="121"/>
        <v>0</v>
      </c>
      <c r="AQ136">
        <f t="shared" si="121"/>
        <v>0</v>
      </c>
      <c r="AR136">
        <f t="shared" si="121"/>
        <v>0</v>
      </c>
      <c r="AS136">
        <f t="shared" si="121"/>
        <v>0</v>
      </c>
      <c r="AT136">
        <f t="shared" si="121"/>
        <v>0</v>
      </c>
      <c r="AU136">
        <f t="shared" si="121"/>
        <v>0</v>
      </c>
      <c r="AV136">
        <f t="shared" si="121"/>
        <v>0</v>
      </c>
      <c r="AW136">
        <f t="shared" si="121"/>
        <v>0</v>
      </c>
      <c r="AX136">
        <f t="shared" si="121"/>
        <v>0</v>
      </c>
      <c r="AY136">
        <f t="shared" si="121"/>
        <v>0</v>
      </c>
      <c r="AZ136">
        <f t="shared" si="121"/>
        <v>0</v>
      </c>
    </row>
    <row r="137" spans="1:52" ht="15.75" customHeight="1">
      <c r="A137" s="350">
        <v>1994</v>
      </c>
      <c r="B137" s="350"/>
      <c r="C137" s="350"/>
      <c r="D137" s="350"/>
      <c r="E137" s="350"/>
      <c r="F137" s="350"/>
      <c r="G137" s="350"/>
      <c r="H137" s="350"/>
      <c r="I137" s="350"/>
      <c r="J137" s="350"/>
      <c r="K137" s="350"/>
      <c r="L137" s="350"/>
      <c r="M137" s="350"/>
      <c r="N137" s="350"/>
      <c r="O137" s="350"/>
      <c r="P137" s="350"/>
      <c r="Q137" s="350"/>
      <c r="R137" s="350"/>
      <c r="S137" s="350"/>
      <c r="T137" s="350"/>
      <c r="U137" s="350"/>
      <c r="V137" s="86">
        <v>269.5</v>
      </c>
      <c r="W137">
        <f t="shared" si="22"/>
        <v>0</v>
      </c>
      <c r="X137">
        <f t="shared" ref="X137:AZ137" si="122">IF(AND(X$37-$A137&gt;$V$25,SUM($W137:W137)&lt;&gt;$V137),$V137,0)</f>
        <v>0</v>
      </c>
      <c r="Y137">
        <f t="shared" si="122"/>
        <v>0</v>
      </c>
      <c r="Z137">
        <f t="shared" si="122"/>
        <v>0</v>
      </c>
      <c r="AA137">
        <f t="shared" si="122"/>
        <v>0</v>
      </c>
      <c r="AB137">
        <f t="shared" si="122"/>
        <v>0</v>
      </c>
      <c r="AC137">
        <f t="shared" si="122"/>
        <v>0</v>
      </c>
      <c r="AD137">
        <f t="shared" si="122"/>
        <v>0</v>
      </c>
      <c r="AE137">
        <f t="shared" si="122"/>
        <v>0</v>
      </c>
      <c r="AF137">
        <f t="shared" si="122"/>
        <v>0</v>
      </c>
      <c r="AG137">
        <f t="shared" si="122"/>
        <v>0</v>
      </c>
      <c r="AH137">
        <f t="shared" si="122"/>
        <v>0</v>
      </c>
      <c r="AI137">
        <f t="shared" si="122"/>
        <v>0</v>
      </c>
      <c r="AJ137">
        <f t="shared" si="122"/>
        <v>0</v>
      </c>
      <c r="AK137">
        <f t="shared" si="122"/>
        <v>0</v>
      </c>
      <c r="AL137">
        <f t="shared" si="122"/>
        <v>0</v>
      </c>
      <c r="AM137">
        <f t="shared" si="122"/>
        <v>0</v>
      </c>
      <c r="AN137">
        <f t="shared" si="122"/>
        <v>0</v>
      </c>
      <c r="AO137">
        <f t="shared" si="122"/>
        <v>0</v>
      </c>
      <c r="AP137">
        <f t="shared" si="122"/>
        <v>0</v>
      </c>
      <c r="AQ137">
        <f t="shared" si="122"/>
        <v>0</v>
      </c>
      <c r="AR137">
        <f t="shared" si="122"/>
        <v>0</v>
      </c>
      <c r="AS137">
        <f t="shared" si="122"/>
        <v>0</v>
      </c>
      <c r="AT137">
        <f t="shared" si="122"/>
        <v>0</v>
      </c>
      <c r="AU137">
        <f t="shared" si="122"/>
        <v>0</v>
      </c>
      <c r="AV137">
        <f t="shared" si="122"/>
        <v>0</v>
      </c>
      <c r="AW137">
        <f t="shared" si="122"/>
        <v>0</v>
      </c>
      <c r="AX137">
        <f t="shared" si="122"/>
        <v>0</v>
      </c>
      <c r="AY137">
        <f t="shared" si="122"/>
        <v>0</v>
      </c>
      <c r="AZ137">
        <f t="shared" si="122"/>
        <v>0</v>
      </c>
    </row>
    <row r="138" spans="1:52" ht="15.75" customHeight="1">
      <c r="A138" s="350">
        <v>1995</v>
      </c>
      <c r="B138" s="350"/>
      <c r="C138" s="350"/>
      <c r="D138" s="350"/>
      <c r="E138" s="350"/>
      <c r="F138" s="350"/>
      <c r="G138" s="350"/>
      <c r="H138" s="350"/>
      <c r="I138" s="350"/>
      <c r="J138" s="350"/>
      <c r="K138" s="350"/>
      <c r="L138" s="350"/>
      <c r="M138" s="350"/>
      <c r="N138" s="350"/>
      <c r="O138" s="350"/>
      <c r="P138" s="350"/>
      <c r="Q138" s="350"/>
      <c r="R138" s="350"/>
      <c r="S138" s="350"/>
      <c r="T138" s="350"/>
      <c r="U138" s="350"/>
      <c r="V138" s="86">
        <v>116.6</v>
      </c>
      <c r="W138">
        <f t="shared" si="22"/>
        <v>0</v>
      </c>
      <c r="X138">
        <f t="shared" ref="X138:AZ138" si="123">IF(AND(X$37-$A138&gt;$V$25,SUM($W138:W138)&lt;&gt;$V138),$V138,0)</f>
        <v>0</v>
      </c>
      <c r="Y138">
        <f t="shared" si="123"/>
        <v>0</v>
      </c>
      <c r="Z138">
        <f t="shared" si="123"/>
        <v>0</v>
      </c>
      <c r="AA138">
        <f t="shared" si="123"/>
        <v>0</v>
      </c>
      <c r="AB138">
        <f t="shared" si="123"/>
        <v>0</v>
      </c>
      <c r="AC138">
        <f t="shared" si="123"/>
        <v>0</v>
      </c>
      <c r="AD138">
        <f t="shared" si="123"/>
        <v>0</v>
      </c>
      <c r="AE138">
        <f t="shared" si="123"/>
        <v>0</v>
      </c>
      <c r="AF138">
        <f t="shared" si="123"/>
        <v>0</v>
      </c>
      <c r="AG138">
        <f t="shared" si="123"/>
        <v>0</v>
      </c>
      <c r="AH138">
        <f t="shared" si="123"/>
        <v>0</v>
      </c>
      <c r="AI138">
        <f t="shared" si="123"/>
        <v>0</v>
      </c>
      <c r="AJ138">
        <f t="shared" si="123"/>
        <v>0</v>
      </c>
      <c r="AK138">
        <f t="shared" si="123"/>
        <v>0</v>
      </c>
      <c r="AL138">
        <f t="shared" si="123"/>
        <v>0</v>
      </c>
      <c r="AM138">
        <f t="shared" si="123"/>
        <v>0</v>
      </c>
      <c r="AN138">
        <f t="shared" si="123"/>
        <v>0</v>
      </c>
      <c r="AO138">
        <f t="shared" si="123"/>
        <v>0</v>
      </c>
      <c r="AP138">
        <f t="shared" si="123"/>
        <v>0</v>
      </c>
      <c r="AQ138">
        <f t="shared" si="123"/>
        <v>0</v>
      </c>
      <c r="AR138">
        <f t="shared" si="123"/>
        <v>0</v>
      </c>
      <c r="AS138">
        <f t="shared" si="123"/>
        <v>0</v>
      </c>
      <c r="AT138">
        <f t="shared" si="123"/>
        <v>0</v>
      </c>
      <c r="AU138">
        <f t="shared" si="123"/>
        <v>0</v>
      </c>
      <c r="AV138">
        <f t="shared" si="123"/>
        <v>0</v>
      </c>
      <c r="AW138">
        <f t="shared" si="123"/>
        <v>0</v>
      </c>
      <c r="AX138">
        <f t="shared" si="123"/>
        <v>0</v>
      </c>
      <c r="AY138">
        <f t="shared" si="123"/>
        <v>0</v>
      </c>
      <c r="AZ138">
        <f t="shared" si="123"/>
        <v>0</v>
      </c>
    </row>
    <row r="139" spans="1:52" ht="15.75" customHeight="1">
      <c r="A139" s="350">
        <v>1996</v>
      </c>
      <c r="B139" s="350"/>
      <c r="C139" s="350"/>
      <c r="D139" s="350"/>
      <c r="E139" s="350"/>
      <c r="F139" s="350"/>
      <c r="G139" s="350"/>
      <c r="H139" s="350"/>
      <c r="I139" s="350"/>
      <c r="J139" s="350"/>
      <c r="K139" s="350"/>
      <c r="L139" s="350"/>
      <c r="M139" s="350"/>
      <c r="N139" s="350"/>
      <c r="O139" s="350"/>
      <c r="P139" s="350"/>
      <c r="Q139" s="350"/>
      <c r="R139" s="350"/>
      <c r="S139" s="350"/>
      <c r="T139" s="350"/>
      <c r="U139" s="350"/>
      <c r="V139" s="86">
        <v>56.600000000000009</v>
      </c>
      <c r="W139">
        <f t="shared" si="22"/>
        <v>0</v>
      </c>
      <c r="X139">
        <f t="shared" ref="X139:AZ139" si="124">IF(AND(X$37-$A139&gt;$V$25,SUM($W139:W139)&lt;&gt;$V139),$V139,0)</f>
        <v>0</v>
      </c>
      <c r="Y139">
        <f t="shared" si="124"/>
        <v>0</v>
      </c>
      <c r="Z139">
        <f t="shared" si="124"/>
        <v>0</v>
      </c>
      <c r="AA139">
        <f t="shared" si="124"/>
        <v>0</v>
      </c>
      <c r="AB139">
        <f t="shared" si="124"/>
        <v>0</v>
      </c>
      <c r="AC139">
        <f t="shared" si="124"/>
        <v>0</v>
      </c>
      <c r="AD139">
        <f t="shared" si="124"/>
        <v>0</v>
      </c>
      <c r="AE139">
        <f t="shared" si="124"/>
        <v>0</v>
      </c>
      <c r="AF139">
        <f t="shared" si="124"/>
        <v>0</v>
      </c>
      <c r="AG139">
        <f t="shared" si="124"/>
        <v>0</v>
      </c>
      <c r="AH139">
        <f t="shared" si="124"/>
        <v>0</v>
      </c>
      <c r="AI139">
        <f t="shared" si="124"/>
        <v>0</v>
      </c>
      <c r="AJ139">
        <f t="shared" si="124"/>
        <v>0</v>
      </c>
      <c r="AK139">
        <f t="shared" si="124"/>
        <v>0</v>
      </c>
      <c r="AL139">
        <f t="shared" si="124"/>
        <v>0</v>
      </c>
      <c r="AM139">
        <f t="shared" si="124"/>
        <v>0</v>
      </c>
      <c r="AN139">
        <f t="shared" si="124"/>
        <v>0</v>
      </c>
      <c r="AO139">
        <f t="shared" si="124"/>
        <v>0</v>
      </c>
      <c r="AP139">
        <f t="shared" si="124"/>
        <v>0</v>
      </c>
      <c r="AQ139">
        <f t="shared" si="124"/>
        <v>0</v>
      </c>
      <c r="AR139">
        <f t="shared" si="124"/>
        <v>0</v>
      </c>
      <c r="AS139">
        <f t="shared" si="124"/>
        <v>0</v>
      </c>
      <c r="AT139">
        <f t="shared" si="124"/>
        <v>0</v>
      </c>
      <c r="AU139">
        <f t="shared" si="124"/>
        <v>0</v>
      </c>
      <c r="AV139">
        <f t="shared" si="124"/>
        <v>0</v>
      </c>
      <c r="AW139">
        <f t="shared" si="124"/>
        <v>0</v>
      </c>
      <c r="AX139">
        <f t="shared" si="124"/>
        <v>0</v>
      </c>
      <c r="AY139">
        <f t="shared" si="124"/>
        <v>0</v>
      </c>
      <c r="AZ139">
        <f t="shared" si="124"/>
        <v>0</v>
      </c>
    </row>
    <row r="140" spans="1:52" ht="15.75" customHeight="1">
      <c r="A140" s="350">
        <v>1997</v>
      </c>
      <c r="B140" s="350"/>
      <c r="C140" s="350"/>
      <c r="D140" s="350"/>
      <c r="E140" s="350"/>
      <c r="F140" s="350"/>
      <c r="G140" s="350"/>
      <c r="H140" s="350"/>
      <c r="I140" s="350"/>
      <c r="J140" s="350"/>
      <c r="K140" s="350"/>
      <c r="L140" s="350"/>
      <c r="M140" s="350"/>
      <c r="N140" s="350"/>
      <c r="O140" s="350"/>
      <c r="P140" s="350"/>
      <c r="Q140" s="350"/>
      <c r="R140" s="350"/>
      <c r="S140" s="350"/>
      <c r="T140" s="350"/>
      <c r="U140" s="350"/>
      <c r="V140" s="86">
        <v>57.9</v>
      </c>
      <c r="W140">
        <f t="shared" si="22"/>
        <v>0</v>
      </c>
      <c r="X140">
        <f t="shared" ref="X140:AZ140" si="125">IF(AND(X$37-$A140&gt;$V$25,SUM($W140:W140)&lt;&gt;$V140),$V140,0)</f>
        <v>0</v>
      </c>
      <c r="Y140">
        <f t="shared" si="125"/>
        <v>0</v>
      </c>
      <c r="Z140">
        <f t="shared" si="125"/>
        <v>0</v>
      </c>
      <c r="AA140">
        <f t="shared" si="125"/>
        <v>0</v>
      </c>
      <c r="AB140">
        <f t="shared" si="125"/>
        <v>0</v>
      </c>
      <c r="AC140">
        <f t="shared" si="125"/>
        <v>0</v>
      </c>
      <c r="AD140">
        <f t="shared" si="125"/>
        <v>0</v>
      </c>
      <c r="AE140">
        <f t="shared" si="125"/>
        <v>0</v>
      </c>
      <c r="AF140">
        <f t="shared" si="125"/>
        <v>0</v>
      </c>
      <c r="AG140">
        <f t="shared" si="125"/>
        <v>0</v>
      </c>
      <c r="AH140">
        <f t="shared" si="125"/>
        <v>0</v>
      </c>
      <c r="AI140">
        <f t="shared" si="125"/>
        <v>0</v>
      </c>
      <c r="AJ140">
        <f t="shared" si="125"/>
        <v>0</v>
      </c>
      <c r="AK140">
        <f t="shared" si="125"/>
        <v>0</v>
      </c>
      <c r="AL140">
        <f t="shared" si="125"/>
        <v>0</v>
      </c>
      <c r="AM140">
        <f t="shared" si="125"/>
        <v>0</v>
      </c>
      <c r="AN140">
        <f t="shared" si="125"/>
        <v>0</v>
      </c>
      <c r="AO140">
        <f t="shared" si="125"/>
        <v>0</v>
      </c>
      <c r="AP140">
        <f t="shared" si="125"/>
        <v>0</v>
      </c>
      <c r="AQ140">
        <f t="shared" si="125"/>
        <v>0</v>
      </c>
      <c r="AR140">
        <f t="shared" si="125"/>
        <v>0</v>
      </c>
      <c r="AS140">
        <f t="shared" si="125"/>
        <v>0</v>
      </c>
      <c r="AT140">
        <f t="shared" si="125"/>
        <v>0</v>
      </c>
      <c r="AU140">
        <f t="shared" si="125"/>
        <v>0</v>
      </c>
      <c r="AV140">
        <f t="shared" si="125"/>
        <v>0</v>
      </c>
      <c r="AW140">
        <f t="shared" si="125"/>
        <v>0</v>
      </c>
      <c r="AX140">
        <f t="shared" si="125"/>
        <v>0</v>
      </c>
      <c r="AY140">
        <f t="shared" si="125"/>
        <v>0</v>
      </c>
      <c r="AZ140">
        <f t="shared" si="125"/>
        <v>0</v>
      </c>
    </row>
    <row r="141" spans="1:52" ht="15.75" customHeight="1">
      <c r="A141" s="350">
        <v>1998</v>
      </c>
      <c r="B141" s="350"/>
      <c r="C141" s="350"/>
      <c r="D141" s="350"/>
      <c r="E141" s="350"/>
      <c r="F141" s="350"/>
      <c r="G141" s="350"/>
      <c r="H141" s="350"/>
      <c r="I141" s="350"/>
      <c r="J141" s="350"/>
      <c r="K141" s="350"/>
      <c r="L141" s="350"/>
      <c r="M141" s="350"/>
      <c r="N141" s="350"/>
      <c r="O141" s="350"/>
      <c r="P141" s="350"/>
      <c r="Q141" s="350"/>
      <c r="R141" s="350"/>
      <c r="S141" s="350"/>
      <c r="T141" s="350"/>
      <c r="U141" s="350"/>
      <c r="V141" s="86">
        <v>2.1</v>
      </c>
      <c r="W141">
        <f t="shared" si="22"/>
        <v>0</v>
      </c>
      <c r="X141">
        <f t="shared" ref="X141:AZ141" si="126">IF(AND(X$37-$A141&gt;$V$25,SUM($W141:W141)&lt;&gt;$V141),$V141,0)</f>
        <v>0</v>
      </c>
      <c r="Y141">
        <f t="shared" si="126"/>
        <v>0</v>
      </c>
      <c r="Z141">
        <f t="shared" si="126"/>
        <v>0</v>
      </c>
      <c r="AA141">
        <f t="shared" si="126"/>
        <v>0</v>
      </c>
      <c r="AB141">
        <f t="shared" si="126"/>
        <v>0</v>
      </c>
      <c r="AC141">
        <f t="shared" si="126"/>
        <v>0</v>
      </c>
      <c r="AD141">
        <f t="shared" si="126"/>
        <v>0</v>
      </c>
      <c r="AE141">
        <f t="shared" si="126"/>
        <v>0</v>
      </c>
      <c r="AF141">
        <f t="shared" si="126"/>
        <v>0</v>
      </c>
      <c r="AG141">
        <f t="shared" si="126"/>
        <v>0</v>
      </c>
      <c r="AH141">
        <f t="shared" si="126"/>
        <v>0</v>
      </c>
      <c r="AI141">
        <f t="shared" si="126"/>
        <v>0</v>
      </c>
      <c r="AJ141">
        <f t="shared" si="126"/>
        <v>0</v>
      </c>
      <c r="AK141">
        <f t="shared" si="126"/>
        <v>0</v>
      </c>
      <c r="AL141">
        <f t="shared" si="126"/>
        <v>0</v>
      </c>
      <c r="AM141">
        <f t="shared" si="126"/>
        <v>0</v>
      </c>
      <c r="AN141">
        <f t="shared" si="126"/>
        <v>0</v>
      </c>
      <c r="AO141">
        <f t="shared" si="126"/>
        <v>0</v>
      </c>
      <c r="AP141">
        <f t="shared" si="126"/>
        <v>0</v>
      </c>
      <c r="AQ141">
        <f t="shared" si="126"/>
        <v>0</v>
      </c>
      <c r="AR141">
        <f t="shared" si="126"/>
        <v>0</v>
      </c>
      <c r="AS141">
        <f t="shared" si="126"/>
        <v>0</v>
      </c>
      <c r="AT141">
        <f t="shared" si="126"/>
        <v>0</v>
      </c>
      <c r="AU141">
        <f t="shared" si="126"/>
        <v>0</v>
      </c>
      <c r="AV141">
        <f t="shared" si="126"/>
        <v>0</v>
      </c>
      <c r="AW141">
        <f t="shared" si="126"/>
        <v>0</v>
      </c>
      <c r="AX141">
        <f t="shared" si="126"/>
        <v>0</v>
      </c>
      <c r="AY141">
        <f t="shared" si="126"/>
        <v>0</v>
      </c>
      <c r="AZ141">
        <f t="shared" si="126"/>
        <v>0</v>
      </c>
    </row>
    <row r="142" spans="1:52" ht="15.75" customHeight="1">
      <c r="A142" s="350">
        <v>1999</v>
      </c>
      <c r="B142" s="350"/>
      <c r="C142" s="350"/>
      <c r="D142" s="350"/>
      <c r="E142" s="350"/>
      <c r="F142" s="350"/>
      <c r="G142" s="350"/>
      <c r="H142" s="350"/>
      <c r="I142" s="350"/>
      <c r="J142" s="350"/>
      <c r="K142" s="350"/>
      <c r="L142" s="350"/>
      <c r="M142" s="350"/>
      <c r="N142" s="350"/>
      <c r="O142" s="350"/>
      <c r="P142" s="350"/>
      <c r="Q142" s="350"/>
      <c r="R142" s="350"/>
      <c r="S142" s="350"/>
      <c r="T142" s="350"/>
      <c r="U142" s="350"/>
      <c r="V142" s="86">
        <v>104.5</v>
      </c>
      <c r="W142">
        <f t="shared" si="22"/>
        <v>0</v>
      </c>
      <c r="X142">
        <f t="shared" ref="X142:AZ142" si="127">IF(AND(X$37-$A142&gt;$V$25,SUM($W142:W142)&lt;&gt;$V142),$V142,0)</f>
        <v>0</v>
      </c>
      <c r="Y142">
        <f t="shared" si="127"/>
        <v>0</v>
      </c>
      <c r="Z142">
        <f t="shared" si="127"/>
        <v>0</v>
      </c>
      <c r="AA142">
        <f t="shared" si="127"/>
        <v>0</v>
      </c>
      <c r="AB142">
        <f t="shared" si="127"/>
        <v>0</v>
      </c>
      <c r="AC142">
        <f t="shared" si="127"/>
        <v>0</v>
      </c>
      <c r="AD142">
        <f t="shared" si="127"/>
        <v>0</v>
      </c>
      <c r="AE142">
        <f t="shared" si="127"/>
        <v>0</v>
      </c>
      <c r="AF142">
        <f t="shared" si="127"/>
        <v>0</v>
      </c>
      <c r="AG142">
        <f t="shared" si="127"/>
        <v>0</v>
      </c>
      <c r="AH142">
        <f t="shared" si="127"/>
        <v>0</v>
      </c>
      <c r="AI142">
        <f t="shared" si="127"/>
        <v>0</v>
      </c>
      <c r="AJ142">
        <f t="shared" si="127"/>
        <v>0</v>
      </c>
      <c r="AK142">
        <f t="shared" si="127"/>
        <v>0</v>
      </c>
      <c r="AL142">
        <f t="shared" si="127"/>
        <v>0</v>
      </c>
      <c r="AM142">
        <f t="shared" si="127"/>
        <v>0</v>
      </c>
      <c r="AN142">
        <f t="shared" si="127"/>
        <v>0</v>
      </c>
      <c r="AO142">
        <f t="shared" si="127"/>
        <v>0</v>
      </c>
      <c r="AP142">
        <f t="shared" si="127"/>
        <v>0</v>
      </c>
      <c r="AQ142">
        <f t="shared" si="127"/>
        <v>0</v>
      </c>
      <c r="AR142">
        <f t="shared" si="127"/>
        <v>0</v>
      </c>
      <c r="AS142">
        <f t="shared" si="127"/>
        <v>0</v>
      </c>
      <c r="AT142">
        <f t="shared" si="127"/>
        <v>0</v>
      </c>
      <c r="AU142">
        <f t="shared" si="127"/>
        <v>0</v>
      </c>
      <c r="AV142">
        <f t="shared" si="127"/>
        <v>0</v>
      </c>
      <c r="AW142">
        <f t="shared" si="127"/>
        <v>0</v>
      </c>
      <c r="AX142">
        <f t="shared" si="127"/>
        <v>0</v>
      </c>
      <c r="AY142">
        <f t="shared" si="127"/>
        <v>0</v>
      </c>
      <c r="AZ142">
        <f t="shared" si="127"/>
        <v>0</v>
      </c>
    </row>
    <row r="143" spans="1:52" ht="15.75" customHeight="1">
      <c r="A143" s="350">
        <v>2000</v>
      </c>
      <c r="B143" s="350"/>
      <c r="C143" s="350"/>
      <c r="D143" s="350"/>
      <c r="E143" s="350"/>
      <c r="F143" s="350"/>
      <c r="G143" s="350"/>
      <c r="H143" s="350"/>
      <c r="I143" s="350"/>
      <c r="J143" s="350"/>
      <c r="K143" s="350"/>
      <c r="L143" s="350"/>
      <c r="M143" s="350"/>
      <c r="N143" s="350"/>
      <c r="O143" s="350"/>
      <c r="P143" s="350"/>
      <c r="Q143" s="350"/>
      <c r="R143" s="350"/>
      <c r="S143" s="350"/>
      <c r="T143" s="350"/>
      <c r="U143" s="350"/>
      <c r="V143" s="86">
        <v>3.6999999999999997</v>
      </c>
      <c r="W143">
        <f t="shared" si="22"/>
        <v>0</v>
      </c>
      <c r="X143">
        <f t="shared" ref="X143:AZ143" si="128">IF(AND(X$37-$A143&gt;$V$25,SUM($W143:W143)&lt;&gt;$V143),$V143,0)</f>
        <v>0</v>
      </c>
      <c r="Y143">
        <f t="shared" si="128"/>
        <v>0</v>
      </c>
      <c r="Z143">
        <f t="shared" si="128"/>
        <v>0</v>
      </c>
      <c r="AA143">
        <f t="shared" si="128"/>
        <v>0</v>
      </c>
      <c r="AB143">
        <f t="shared" si="128"/>
        <v>0</v>
      </c>
      <c r="AC143">
        <f t="shared" si="128"/>
        <v>0</v>
      </c>
      <c r="AD143">
        <f t="shared" si="128"/>
        <v>0</v>
      </c>
      <c r="AE143">
        <f t="shared" si="128"/>
        <v>0</v>
      </c>
      <c r="AF143">
        <f t="shared" si="128"/>
        <v>0</v>
      </c>
      <c r="AG143">
        <f t="shared" si="128"/>
        <v>0</v>
      </c>
      <c r="AH143">
        <f t="shared" si="128"/>
        <v>0</v>
      </c>
      <c r="AI143">
        <f t="shared" si="128"/>
        <v>0</v>
      </c>
      <c r="AJ143">
        <f t="shared" si="128"/>
        <v>0</v>
      </c>
      <c r="AK143">
        <f t="shared" si="128"/>
        <v>0</v>
      </c>
      <c r="AL143">
        <f t="shared" si="128"/>
        <v>0</v>
      </c>
      <c r="AM143">
        <f t="shared" si="128"/>
        <v>0</v>
      </c>
      <c r="AN143">
        <f t="shared" si="128"/>
        <v>0</v>
      </c>
      <c r="AO143">
        <f t="shared" si="128"/>
        <v>0</v>
      </c>
      <c r="AP143">
        <f t="shared" si="128"/>
        <v>0</v>
      </c>
      <c r="AQ143">
        <f t="shared" si="128"/>
        <v>0</v>
      </c>
      <c r="AR143">
        <f t="shared" si="128"/>
        <v>0</v>
      </c>
      <c r="AS143">
        <f t="shared" si="128"/>
        <v>0</v>
      </c>
      <c r="AT143">
        <f t="shared" si="128"/>
        <v>0</v>
      </c>
      <c r="AU143">
        <f t="shared" si="128"/>
        <v>0</v>
      </c>
      <c r="AV143">
        <f t="shared" si="128"/>
        <v>0</v>
      </c>
      <c r="AW143">
        <f t="shared" si="128"/>
        <v>0</v>
      </c>
      <c r="AX143">
        <f t="shared" si="128"/>
        <v>0</v>
      </c>
      <c r="AY143">
        <f t="shared" si="128"/>
        <v>0</v>
      </c>
      <c r="AZ143">
        <f t="shared" si="128"/>
        <v>0</v>
      </c>
    </row>
    <row r="144" spans="1:52" ht="15.75" customHeight="1">
      <c r="A144" s="350">
        <v>2001</v>
      </c>
      <c r="B144" s="350"/>
      <c r="C144" s="350"/>
      <c r="D144" s="350"/>
      <c r="E144" s="350"/>
      <c r="F144" s="350"/>
      <c r="G144" s="350"/>
      <c r="H144" s="350"/>
      <c r="I144" s="350"/>
      <c r="J144" s="350"/>
      <c r="K144" s="350"/>
      <c r="L144" s="350"/>
      <c r="M144" s="350"/>
      <c r="N144" s="350"/>
      <c r="O144" s="350"/>
      <c r="P144" s="350"/>
      <c r="Q144" s="350"/>
      <c r="R144" s="350"/>
      <c r="S144" s="350"/>
      <c r="T144" s="350"/>
      <c r="U144" s="350"/>
      <c r="V144" s="86">
        <v>132.19999999999999</v>
      </c>
      <c r="W144">
        <f t="shared" si="22"/>
        <v>0</v>
      </c>
      <c r="X144">
        <f t="shared" ref="X144:AZ144" si="129">IF(AND(X$37-$A144&gt;$V$25,SUM($W144:W144)&lt;&gt;$V144),$V144,0)</f>
        <v>0</v>
      </c>
      <c r="Y144">
        <f t="shared" si="129"/>
        <v>0</v>
      </c>
      <c r="Z144">
        <f t="shared" si="129"/>
        <v>0</v>
      </c>
      <c r="AA144">
        <f t="shared" si="129"/>
        <v>0</v>
      </c>
      <c r="AB144">
        <f t="shared" si="129"/>
        <v>0</v>
      </c>
      <c r="AC144">
        <f t="shared" si="129"/>
        <v>0</v>
      </c>
      <c r="AD144">
        <f t="shared" si="129"/>
        <v>0</v>
      </c>
      <c r="AE144">
        <f t="shared" si="129"/>
        <v>0</v>
      </c>
      <c r="AF144">
        <f t="shared" si="129"/>
        <v>0</v>
      </c>
      <c r="AG144">
        <f t="shared" si="129"/>
        <v>0</v>
      </c>
      <c r="AH144">
        <f t="shared" si="129"/>
        <v>0</v>
      </c>
      <c r="AI144">
        <f t="shared" si="129"/>
        <v>0</v>
      </c>
      <c r="AJ144">
        <f t="shared" si="129"/>
        <v>0</v>
      </c>
      <c r="AK144">
        <f t="shared" si="129"/>
        <v>0</v>
      </c>
      <c r="AL144">
        <f t="shared" si="129"/>
        <v>0</v>
      </c>
      <c r="AM144">
        <f t="shared" si="129"/>
        <v>0</v>
      </c>
      <c r="AN144">
        <f t="shared" si="129"/>
        <v>0</v>
      </c>
      <c r="AO144">
        <f t="shared" si="129"/>
        <v>0</v>
      </c>
      <c r="AP144">
        <f t="shared" si="129"/>
        <v>0</v>
      </c>
      <c r="AQ144">
        <f t="shared" si="129"/>
        <v>0</v>
      </c>
      <c r="AR144">
        <f t="shared" si="129"/>
        <v>0</v>
      </c>
      <c r="AS144">
        <f t="shared" si="129"/>
        <v>0</v>
      </c>
      <c r="AT144">
        <f t="shared" si="129"/>
        <v>0</v>
      </c>
      <c r="AU144">
        <f t="shared" si="129"/>
        <v>0</v>
      </c>
      <c r="AV144">
        <f t="shared" si="129"/>
        <v>0</v>
      </c>
      <c r="AW144">
        <f t="shared" si="129"/>
        <v>0</v>
      </c>
      <c r="AX144">
        <f t="shared" si="129"/>
        <v>0</v>
      </c>
      <c r="AY144">
        <f t="shared" si="129"/>
        <v>0</v>
      </c>
      <c r="AZ144">
        <f t="shared" si="129"/>
        <v>0</v>
      </c>
    </row>
    <row r="145" spans="1:52" ht="15.75" customHeight="1">
      <c r="A145" s="350">
        <v>2002</v>
      </c>
      <c r="B145" s="350"/>
      <c r="C145" s="350"/>
      <c r="D145" s="350"/>
      <c r="E145" s="350"/>
      <c r="F145" s="350"/>
      <c r="G145" s="350"/>
      <c r="H145" s="350"/>
      <c r="I145" s="350"/>
      <c r="J145" s="350"/>
      <c r="K145" s="350"/>
      <c r="L145" s="350"/>
      <c r="M145" s="350"/>
      <c r="N145" s="350"/>
      <c r="O145" s="350"/>
      <c r="P145" s="350"/>
      <c r="Q145" s="350"/>
      <c r="R145" s="350"/>
      <c r="S145" s="350"/>
      <c r="T145" s="350"/>
      <c r="U145" s="350"/>
      <c r="V145" s="86">
        <v>17.100000000000001</v>
      </c>
      <c r="W145">
        <f t="shared" si="22"/>
        <v>0</v>
      </c>
      <c r="X145">
        <f t="shared" ref="X145:AZ145" si="130">IF(AND(X$37-$A145&gt;$V$25,SUM($W145:W145)&lt;&gt;$V145),$V145,0)</f>
        <v>0</v>
      </c>
      <c r="Y145">
        <f t="shared" si="130"/>
        <v>0</v>
      </c>
      <c r="Z145">
        <f t="shared" si="130"/>
        <v>0</v>
      </c>
      <c r="AA145">
        <f t="shared" si="130"/>
        <v>0</v>
      </c>
      <c r="AB145">
        <f t="shared" si="130"/>
        <v>0</v>
      </c>
      <c r="AC145">
        <f t="shared" si="130"/>
        <v>0</v>
      </c>
      <c r="AD145">
        <f t="shared" si="130"/>
        <v>0</v>
      </c>
      <c r="AE145">
        <f t="shared" si="130"/>
        <v>0</v>
      </c>
      <c r="AF145">
        <f t="shared" si="130"/>
        <v>0</v>
      </c>
      <c r="AG145">
        <f t="shared" si="130"/>
        <v>0</v>
      </c>
      <c r="AH145">
        <f t="shared" si="130"/>
        <v>0</v>
      </c>
      <c r="AI145">
        <f t="shared" si="130"/>
        <v>0</v>
      </c>
      <c r="AJ145">
        <f t="shared" si="130"/>
        <v>0</v>
      </c>
      <c r="AK145">
        <f t="shared" si="130"/>
        <v>0</v>
      </c>
      <c r="AL145">
        <f t="shared" si="130"/>
        <v>0</v>
      </c>
      <c r="AM145">
        <f t="shared" si="130"/>
        <v>0</v>
      </c>
      <c r="AN145">
        <f t="shared" si="130"/>
        <v>0</v>
      </c>
      <c r="AO145">
        <f t="shared" si="130"/>
        <v>0</v>
      </c>
      <c r="AP145">
        <f t="shared" si="130"/>
        <v>0</v>
      </c>
      <c r="AQ145">
        <f t="shared" si="130"/>
        <v>0</v>
      </c>
      <c r="AR145">
        <f t="shared" si="130"/>
        <v>0</v>
      </c>
      <c r="AS145">
        <f t="shared" si="130"/>
        <v>0</v>
      </c>
      <c r="AT145">
        <f t="shared" si="130"/>
        <v>0</v>
      </c>
      <c r="AU145">
        <f t="shared" si="130"/>
        <v>0</v>
      </c>
      <c r="AV145">
        <f t="shared" si="130"/>
        <v>0</v>
      </c>
      <c r="AW145">
        <f t="shared" si="130"/>
        <v>0</v>
      </c>
      <c r="AX145">
        <f t="shared" si="130"/>
        <v>0</v>
      </c>
      <c r="AY145">
        <f t="shared" si="130"/>
        <v>0</v>
      </c>
      <c r="AZ145">
        <f t="shared" si="130"/>
        <v>0</v>
      </c>
    </row>
    <row r="146" spans="1:52" ht="15.75" customHeight="1">
      <c r="A146" s="350">
        <v>2003</v>
      </c>
      <c r="B146" s="350"/>
      <c r="C146" s="350"/>
      <c r="D146" s="350"/>
      <c r="E146" s="350"/>
      <c r="F146" s="350"/>
      <c r="G146" s="350"/>
      <c r="H146" s="350"/>
      <c r="I146" s="350"/>
      <c r="J146" s="350"/>
      <c r="K146" s="350"/>
      <c r="L146" s="350"/>
      <c r="M146" s="350"/>
      <c r="N146" s="350"/>
      <c r="O146" s="350"/>
      <c r="P146" s="350"/>
      <c r="Q146" s="350"/>
      <c r="R146" s="350"/>
      <c r="S146" s="350"/>
      <c r="T146" s="350"/>
      <c r="U146" s="350"/>
      <c r="V146" s="86">
        <v>80.799999999999983</v>
      </c>
      <c r="W146">
        <f t="shared" si="22"/>
        <v>0</v>
      </c>
      <c r="X146">
        <f t="shared" ref="X146:AZ146" si="131">IF(AND(X$37-$A146&gt;$V$25,SUM($W146:W146)&lt;&gt;$V146),$V146,0)</f>
        <v>0</v>
      </c>
      <c r="Y146">
        <f t="shared" si="131"/>
        <v>0</v>
      </c>
      <c r="Z146">
        <f t="shared" si="131"/>
        <v>0</v>
      </c>
      <c r="AA146">
        <f t="shared" si="131"/>
        <v>0</v>
      </c>
      <c r="AB146">
        <f t="shared" si="131"/>
        <v>0</v>
      </c>
      <c r="AC146">
        <f t="shared" si="131"/>
        <v>0</v>
      </c>
      <c r="AD146">
        <f t="shared" si="131"/>
        <v>0</v>
      </c>
      <c r="AE146">
        <f t="shared" si="131"/>
        <v>0</v>
      </c>
      <c r="AF146">
        <f t="shared" si="131"/>
        <v>0</v>
      </c>
      <c r="AG146">
        <f t="shared" si="131"/>
        <v>0</v>
      </c>
      <c r="AH146">
        <f t="shared" si="131"/>
        <v>0</v>
      </c>
      <c r="AI146">
        <f t="shared" si="131"/>
        <v>0</v>
      </c>
      <c r="AJ146">
        <f t="shared" si="131"/>
        <v>0</v>
      </c>
      <c r="AK146">
        <f t="shared" si="131"/>
        <v>0</v>
      </c>
      <c r="AL146">
        <f t="shared" si="131"/>
        <v>0</v>
      </c>
      <c r="AM146">
        <f t="shared" si="131"/>
        <v>0</v>
      </c>
      <c r="AN146">
        <f t="shared" si="131"/>
        <v>0</v>
      </c>
      <c r="AO146">
        <f t="shared" si="131"/>
        <v>0</v>
      </c>
      <c r="AP146">
        <f t="shared" si="131"/>
        <v>0</v>
      </c>
      <c r="AQ146">
        <f t="shared" si="131"/>
        <v>0</v>
      </c>
      <c r="AR146">
        <f t="shared" si="131"/>
        <v>0</v>
      </c>
      <c r="AS146">
        <f t="shared" si="131"/>
        <v>0</v>
      </c>
      <c r="AT146">
        <f t="shared" si="131"/>
        <v>0</v>
      </c>
      <c r="AU146">
        <f t="shared" si="131"/>
        <v>0</v>
      </c>
      <c r="AV146">
        <f t="shared" si="131"/>
        <v>0</v>
      </c>
      <c r="AW146">
        <f t="shared" si="131"/>
        <v>0</v>
      </c>
      <c r="AX146">
        <f t="shared" si="131"/>
        <v>0</v>
      </c>
      <c r="AY146">
        <f t="shared" si="131"/>
        <v>0</v>
      </c>
      <c r="AZ146">
        <f t="shared" si="131"/>
        <v>0</v>
      </c>
    </row>
    <row r="147" spans="1:52" ht="15.75" customHeight="1">
      <c r="A147" s="350">
        <v>2004</v>
      </c>
      <c r="B147" s="350"/>
      <c r="C147" s="350"/>
      <c r="D147" s="350"/>
      <c r="E147" s="350"/>
      <c r="F147" s="350"/>
      <c r="G147" s="350"/>
      <c r="H147" s="350"/>
      <c r="I147" s="350"/>
      <c r="J147" s="350"/>
      <c r="K147" s="350"/>
      <c r="L147" s="350"/>
      <c r="M147" s="350"/>
      <c r="N147" s="350"/>
      <c r="O147" s="350"/>
      <c r="P147" s="350"/>
      <c r="Q147" s="350"/>
      <c r="R147" s="350"/>
      <c r="S147" s="350"/>
      <c r="T147" s="350"/>
      <c r="U147" s="350"/>
      <c r="V147" s="86">
        <v>77.399999999999977</v>
      </c>
      <c r="W147">
        <f t="shared" si="22"/>
        <v>0</v>
      </c>
      <c r="X147">
        <f t="shared" ref="X147:AZ147" si="132">IF(AND(X$37-$A147&gt;$V$25,SUM($W147:W147)&lt;&gt;$V147),$V147,0)</f>
        <v>0</v>
      </c>
      <c r="Y147">
        <f t="shared" si="132"/>
        <v>0</v>
      </c>
      <c r="Z147">
        <f t="shared" si="132"/>
        <v>0</v>
      </c>
      <c r="AA147">
        <f t="shared" si="132"/>
        <v>0</v>
      </c>
      <c r="AB147">
        <f t="shared" si="132"/>
        <v>0</v>
      </c>
      <c r="AC147">
        <f t="shared" si="132"/>
        <v>0</v>
      </c>
      <c r="AD147">
        <f t="shared" si="132"/>
        <v>0</v>
      </c>
      <c r="AE147">
        <f t="shared" si="132"/>
        <v>0</v>
      </c>
      <c r="AF147">
        <f t="shared" si="132"/>
        <v>0</v>
      </c>
      <c r="AG147">
        <f t="shared" si="132"/>
        <v>0</v>
      </c>
      <c r="AH147">
        <f t="shared" si="132"/>
        <v>0</v>
      </c>
      <c r="AI147">
        <f t="shared" si="132"/>
        <v>0</v>
      </c>
      <c r="AJ147">
        <f t="shared" si="132"/>
        <v>0</v>
      </c>
      <c r="AK147">
        <f t="shared" si="132"/>
        <v>0</v>
      </c>
      <c r="AL147">
        <f t="shared" si="132"/>
        <v>0</v>
      </c>
      <c r="AM147">
        <f t="shared" si="132"/>
        <v>0</v>
      </c>
      <c r="AN147">
        <f t="shared" si="132"/>
        <v>0</v>
      </c>
      <c r="AO147">
        <f t="shared" si="132"/>
        <v>0</v>
      </c>
      <c r="AP147">
        <f t="shared" si="132"/>
        <v>0</v>
      </c>
      <c r="AQ147">
        <f t="shared" si="132"/>
        <v>0</v>
      </c>
      <c r="AR147">
        <f t="shared" si="132"/>
        <v>0</v>
      </c>
      <c r="AS147">
        <f t="shared" si="132"/>
        <v>0</v>
      </c>
      <c r="AT147">
        <f t="shared" si="132"/>
        <v>0</v>
      </c>
      <c r="AU147">
        <f t="shared" si="132"/>
        <v>0</v>
      </c>
      <c r="AV147">
        <f t="shared" si="132"/>
        <v>0</v>
      </c>
      <c r="AW147">
        <f t="shared" si="132"/>
        <v>0</v>
      </c>
      <c r="AX147">
        <f t="shared" si="132"/>
        <v>0</v>
      </c>
      <c r="AY147">
        <f t="shared" si="132"/>
        <v>0</v>
      </c>
      <c r="AZ147">
        <f t="shared" si="132"/>
        <v>0</v>
      </c>
    </row>
    <row r="148" spans="1:52" ht="15.75" customHeight="1">
      <c r="A148" s="350">
        <v>2005</v>
      </c>
      <c r="B148" s="350"/>
      <c r="C148" s="350"/>
      <c r="D148" s="350"/>
      <c r="E148" s="350"/>
      <c r="F148" s="350"/>
      <c r="G148" s="350"/>
      <c r="H148" s="350"/>
      <c r="I148" s="350"/>
      <c r="J148" s="350"/>
      <c r="K148" s="350"/>
      <c r="L148" s="350"/>
      <c r="M148" s="350"/>
      <c r="N148" s="350"/>
      <c r="O148" s="350"/>
      <c r="P148" s="350"/>
      <c r="Q148" s="350"/>
      <c r="R148" s="350"/>
      <c r="S148" s="350"/>
      <c r="T148" s="350"/>
      <c r="U148" s="350"/>
      <c r="V148" s="86">
        <v>25.6</v>
      </c>
      <c r="W148">
        <f t="shared" si="22"/>
        <v>0</v>
      </c>
      <c r="X148">
        <f t="shared" ref="X148:AZ148" si="133">IF(AND(X$37-$A148&gt;$V$25,SUM($W148:W148)&lt;&gt;$V148),$V148,0)</f>
        <v>0</v>
      </c>
      <c r="Y148">
        <f t="shared" si="133"/>
        <v>0</v>
      </c>
      <c r="Z148">
        <f t="shared" si="133"/>
        <v>0</v>
      </c>
      <c r="AA148">
        <f t="shared" si="133"/>
        <v>0</v>
      </c>
      <c r="AB148">
        <f t="shared" si="133"/>
        <v>0</v>
      </c>
      <c r="AC148">
        <f t="shared" si="133"/>
        <v>0</v>
      </c>
      <c r="AD148">
        <f t="shared" si="133"/>
        <v>0</v>
      </c>
      <c r="AE148">
        <f t="shared" si="133"/>
        <v>0</v>
      </c>
      <c r="AF148">
        <f t="shared" si="133"/>
        <v>0</v>
      </c>
      <c r="AG148">
        <f t="shared" si="133"/>
        <v>0</v>
      </c>
      <c r="AH148">
        <f t="shared" si="133"/>
        <v>0</v>
      </c>
      <c r="AI148">
        <f t="shared" si="133"/>
        <v>0</v>
      </c>
      <c r="AJ148">
        <f t="shared" si="133"/>
        <v>0</v>
      </c>
      <c r="AK148">
        <f t="shared" si="133"/>
        <v>0</v>
      </c>
      <c r="AL148">
        <f t="shared" si="133"/>
        <v>0</v>
      </c>
      <c r="AM148">
        <f t="shared" si="133"/>
        <v>0</v>
      </c>
      <c r="AN148">
        <f t="shared" si="133"/>
        <v>0</v>
      </c>
      <c r="AO148">
        <f t="shared" si="133"/>
        <v>0</v>
      </c>
      <c r="AP148">
        <f t="shared" si="133"/>
        <v>0</v>
      </c>
      <c r="AQ148">
        <f t="shared" si="133"/>
        <v>0</v>
      </c>
      <c r="AR148">
        <f t="shared" si="133"/>
        <v>0</v>
      </c>
      <c r="AS148">
        <f t="shared" si="133"/>
        <v>0</v>
      </c>
      <c r="AT148">
        <f t="shared" si="133"/>
        <v>0</v>
      </c>
      <c r="AU148">
        <f t="shared" si="133"/>
        <v>0</v>
      </c>
      <c r="AV148">
        <f t="shared" si="133"/>
        <v>0</v>
      </c>
      <c r="AW148">
        <f t="shared" si="133"/>
        <v>0</v>
      </c>
      <c r="AX148">
        <f t="shared" si="133"/>
        <v>0</v>
      </c>
      <c r="AY148">
        <f t="shared" si="133"/>
        <v>0</v>
      </c>
      <c r="AZ148">
        <f t="shared" si="133"/>
        <v>0</v>
      </c>
    </row>
    <row r="149" spans="1:52" ht="15.75" customHeight="1">
      <c r="A149" s="350">
        <v>2006</v>
      </c>
      <c r="B149" s="350"/>
      <c r="C149" s="350"/>
      <c r="D149" s="350"/>
      <c r="E149" s="350"/>
      <c r="F149" s="350"/>
      <c r="G149" s="350"/>
      <c r="H149" s="350"/>
      <c r="I149" s="350"/>
      <c r="J149" s="350"/>
      <c r="K149" s="350"/>
      <c r="L149" s="350"/>
      <c r="M149" s="350"/>
      <c r="N149" s="350"/>
      <c r="O149" s="350"/>
      <c r="P149" s="350"/>
      <c r="Q149" s="350"/>
      <c r="R149" s="350"/>
      <c r="S149" s="350"/>
      <c r="T149" s="350"/>
      <c r="U149" s="350"/>
      <c r="V149" s="86">
        <v>16.100000000000001</v>
      </c>
      <c r="W149">
        <f t="shared" si="22"/>
        <v>0</v>
      </c>
      <c r="X149">
        <f t="shared" ref="X149:AZ149" si="134">IF(AND(X$37-$A149&gt;$V$25,SUM($W149:W149)&lt;&gt;$V149),$V149,0)</f>
        <v>0</v>
      </c>
      <c r="Y149">
        <f t="shared" si="134"/>
        <v>0</v>
      </c>
      <c r="Z149">
        <f t="shared" si="134"/>
        <v>0</v>
      </c>
      <c r="AA149">
        <f t="shared" si="134"/>
        <v>0</v>
      </c>
      <c r="AB149">
        <f t="shared" si="134"/>
        <v>0</v>
      </c>
      <c r="AC149">
        <f t="shared" si="134"/>
        <v>0</v>
      </c>
      <c r="AD149">
        <f t="shared" si="134"/>
        <v>0</v>
      </c>
      <c r="AE149">
        <f t="shared" si="134"/>
        <v>0</v>
      </c>
      <c r="AF149">
        <f t="shared" si="134"/>
        <v>0</v>
      </c>
      <c r="AG149">
        <f t="shared" si="134"/>
        <v>0</v>
      </c>
      <c r="AH149">
        <f t="shared" si="134"/>
        <v>0</v>
      </c>
      <c r="AI149">
        <f t="shared" si="134"/>
        <v>0</v>
      </c>
      <c r="AJ149">
        <f t="shared" si="134"/>
        <v>0</v>
      </c>
      <c r="AK149">
        <f t="shared" si="134"/>
        <v>0</v>
      </c>
      <c r="AL149">
        <f t="shared" si="134"/>
        <v>0</v>
      </c>
      <c r="AM149">
        <f t="shared" si="134"/>
        <v>0</v>
      </c>
      <c r="AN149">
        <f t="shared" si="134"/>
        <v>0</v>
      </c>
      <c r="AO149">
        <f t="shared" si="134"/>
        <v>0</v>
      </c>
      <c r="AP149">
        <f t="shared" si="134"/>
        <v>0</v>
      </c>
      <c r="AQ149">
        <f t="shared" si="134"/>
        <v>0</v>
      </c>
      <c r="AR149">
        <f t="shared" si="134"/>
        <v>0</v>
      </c>
      <c r="AS149">
        <f t="shared" si="134"/>
        <v>0</v>
      </c>
      <c r="AT149">
        <f t="shared" si="134"/>
        <v>0</v>
      </c>
      <c r="AU149">
        <f t="shared" si="134"/>
        <v>0</v>
      </c>
      <c r="AV149">
        <f t="shared" si="134"/>
        <v>0</v>
      </c>
      <c r="AW149">
        <f t="shared" si="134"/>
        <v>0</v>
      </c>
      <c r="AX149">
        <f t="shared" si="134"/>
        <v>0</v>
      </c>
      <c r="AY149">
        <f t="shared" si="134"/>
        <v>0</v>
      </c>
      <c r="AZ149">
        <f t="shared" si="134"/>
        <v>0</v>
      </c>
    </row>
    <row r="150" spans="1:52" ht="15.75" customHeight="1">
      <c r="A150" s="350">
        <v>2007</v>
      </c>
      <c r="B150" s="350"/>
      <c r="C150" s="350"/>
      <c r="D150" s="350"/>
      <c r="E150" s="350"/>
      <c r="F150" s="350"/>
      <c r="G150" s="350"/>
      <c r="H150" s="350"/>
      <c r="I150" s="350"/>
      <c r="J150" s="350"/>
      <c r="K150" s="350"/>
      <c r="L150" s="350"/>
      <c r="M150" s="350"/>
      <c r="N150" s="350"/>
      <c r="O150" s="350"/>
      <c r="P150" s="350"/>
      <c r="Q150" s="350"/>
      <c r="R150" s="350"/>
      <c r="S150" s="350"/>
      <c r="T150" s="350"/>
      <c r="U150" s="350"/>
      <c r="V150" s="86">
        <v>18.099999999999998</v>
      </c>
      <c r="W150">
        <f t="shared" si="22"/>
        <v>0</v>
      </c>
      <c r="X150">
        <f t="shared" ref="X150:AZ150" si="135">IF(AND(X$37-$A150&gt;$V$25,SUM($W150:W150)&lt;&gt;$V150),$V150,0)</f>
        <v>0</v>
      </c>
      <c r="Y150">
        <f t="shared" si="135"/>
        <v>0</v>
      </c>
      <c r="Z150">
        <f t="shared" si="135"/>
        <v>0</v>
      </c>
      <c r="AA150">
        <f t="shared" si="135"/>
        <v>0</v>
      </c>
      <c r="AB150">
        <f t="shared" si="135"/>
        <v>0</v>
      </c>
      <c r="AC150">
        <f t="shared" si="135"/>
        <v>0</v>
      </c>
      <c r="AD150">
        <f t="shared" si="135"/>
        <v>0</v>
      </c>
      <c r="AE150">
        <f t="shared" si="135"/>
        <v>0</v>
      </c>
      <c r="AF150">
        <f t="shared" si="135"/>
        <v>0</v>
      </c>
      <c r="AG150">
        <f t="shared" si="135"/>
        <v>0</v>
      </c>
      <c r="AH150">
        <f t="shared" si="135"/>
        <v>0</v>
      </c>
      <c r="AI150">
        <f t="shared" si="135"/>
        <v>0</v>
      </c>
      <c r="AJ150">
        <f t="shared" si="135"/>
        <v>0</v>
      </c>
      <c r="AK150">
        <f t="shared" si="135"/>
        <v>0</v>
      </c>
      <c r="AL150">
        <f t="shared" si="135"/>
        <v>0</v>
      </c>
      <c r="AM150">
        <f t="shared" si="135"/>
        <v>0</v>
      </c>
      <c r="AN150">
        <f t="shared" si="135"/>
        <v>0</v>
      </c>
      <c r="AO150">
        <f t="shared" si="135"/>
        <v>0</v>
      </c>
      <c r="AP150">
        <f t="shared" si="135"/>
        <v>0</v>
      </c>
      <c r="AQ150">
        <f t="shared" si="135"/>
        <v>0</v>
      </c>
      <c r="AR150">
        <f t="shared" si="135"/>
        <v>0</v>
      </c>
      <c r="AS150">
        <f t="shared" si="135"/>
        <v>0</v>
      </c>
      <c r="AT150">
        <f t="shared" si="135"/>
        <v>0</v>
      </c>
      <c r="AU150">
        <f t="shared" si="135"/>
        <v>0</v>
      </c>
      <c r="AV150">
        <f t="shared" si="135"/>
        <v>0</v>
      </c>
      <c r="AW150">
        <f t="shared" si="135"/>
        <v>0</v>
      </c>
      <c r="AX150">
        <f t="shared" si="135"/>
        <v>0</v>
      </c>
      <c r="AY150">
        <f t="shared" si="135"/>
        <v>0</v>
      </c>
      <c r="AZ150">
        <f t="shared" si="135"/>
        <v>0</v>
      </c>
    </row>
    <row r="151" spans="1:52" ht="15.75" customHeight="1">
      <c r="A151" s="350">
        <v>2008</v>
      </c>
      <c r="B151" s="350"/>
      <c r="C151" s="350"/>
      <c r="D151" s="350"/>
      <c r="E151" s="350"/>
      <c r="F151" s="350"/>
      <c r="G151" s="350"/>
      <c r="H151" s="350"/>
      <c r="I151" s="350"/>
      <c r="J151" s="350"/>
      <c r="K151" s="350"/>
      <c r="L151" s="350"/>
      <c r="M151" s="350"/>
      <c r="N151" s="350"/>
      <c r="O151" s="350"/>
      <c r="P151" s="350"/>
      <c r="Q151" s="350"/>
      <c r="R151" s="350"/>
      <c r="S151" s="350"/>
      <c r="T151" s="350"/>
      <c r="U151" s="350"/>
      <c r="V151" s="86">
        <v>23.1</v>
      </c>
      <c r="W151">
        <f t="shared" si="22"/>
        <v>0</v>
      </c>
      <c r="X151">
        <f t="shared" ref="X151:AZ151" si="136">IF(AND(X$37-$A151&gt;$V$25,SUM($W151:W151)&lt;&gt;$V151),$V151,0)</f>
        <v>0</v>
      </c>
      <c r="Y151">
        <f t="shared" si="136"/>
        <v>0</v>
      </c>
      <c r="Z151">
        <f t="shared" si="136"/>
        <v>0</v>
      </c>
      <c r="AA151">
        <f t="shared" si="136"/>
        <v>0</v>
      </c>
      <c r="AB151">
        <f t="shared" si="136"/>
        <v>0</v>
      </c>
      <c r="AC151">
        <f t="shared" si="136"/>
        <v>0</v>
      </c>
      <c r="AD151">
        <f t="shared" si="136"/>
        <v>0</v>
      </c>
      <c r="AE151">
        <f t="shared" si="136"/>
        <v>0</v>
      </c>
      <c r="AF151">
        <f t="shared" si="136"/>
        <v>0</v>
      </c>
      <c r="AG151">
        <f t="shared" si="136"/>
        <v>0</v>
      </c>
      <c r="AH151">
        <f t="shared" si="136"/>
        <v>0</v>
      </c>
      <c r="AI151">
        <f t="shared" si="136"/>
        <v>0</v>
      </c>
      <c r="AJ151">
        <f t="shared" si="136"/>
        <v>0</v>
      </c>
      <c r="AK151">
        <f t="shared" si="136"/>
        <v>0</v>
      </c>
      <c r="AL151">
        <f t="shared" si="136"/>
        <v>0</v>
      </c>
      <c r="AM151">
        <f t="shared" si="136"/>
        <v>0</v>
      </c>
      <c r="AN151">
        <f t="shared" si="136"/>
        <v>0</v>
      </c>
      <c r="AO151">
        <f t="shared" si="136"/>
        <v>0</v>
      </c>
      <c r="AP151">
        <f t="shared" si="136"/>
        <v>0</v>
      </c>
      <c r="AQ151">
        <f t="shared" si="136"/>
        <v>0</v>
      </c>
      <c r="AR151">
        <f t="shared" si="136"/>
        <v>0</v>
      </c>
      <c r="AS151">
        <f t="shared" si="136"/>
        <v>0</v>
      </c>
      <c r="AT151">
        <f t="shared" si="136"/>
        <v>0</v>
      </c>
      <c r="AU151">
        <f t="shared" si="136"/>
        <v>0</v>
      </c>
      <c r="AV151">
        <f t="shared" si="136"/>
        <v>0</v>
      </c>
      <c r="AW151">
        <f t="shared" si="136"/>
        <v>0</v>
      </c>
      <c r="AX151">
        <f t="shared" si="136"/>
        <v>0</v>
      </c>
      <c r="AY151">
        <f t="shared" si="136"/>
        <v>0</v>
      </c>
      <c r="AZ151">
        <f t="shared" si="136"/>
        <v>0</v>
      </c>
    </row>
    <row r="152" spans="1:52" ht="15.75" customHeight="1">
      <c r="A152" s="350">
        <v>2009</v>
      </c>
      <c r="B152" s="350"/>
      <c r="C152" s="350"/>
      <c r="D152" s="350"/>
      <c r="E152" s="350"/>
      <c r="F152" s="350"/>
      <c r="G152" s="350"/>
      <c r="H152" s="350"/>
      <c r="I152" s="350"/>
      <c r="J152" s="350"/>
      <c r="K152" s="350"/>
      <c r="L152" s="350"/>
      <c r="M152" s="350"/>
      <c r="N152" s="350"/>
      <c r="O152" s="350"/>
      <c r="P152" s="350"/>
      <c r="Q152" s="350"/>
      <c r="R152" s="350"/>
      <c r="S152" s="350"/>
      <c r="T152" s="350"/>
      <c r="U152" s="350"/>
      <c r="V152" s="86">
        <v>11.5</v>
      </c>
      <c r="W152">
        <f t="shared" si="22"/>
        <v>0</v>
      </c>
      <c r="X152">
        <f t="shared" ref="X152:AZ152" si="137">IF(AND(X$37-$A152&gt;$V$25,SUM($W152:W152)&lt;&gt;$V152),$V152,0)</f>
        <v>0</v>
      </c>
      <c r="Y152">
        <f t="shared" si="137"/>
        <v>0</v>
      </c>
      <c r="Z152">
        <f t="shared" si="137"/>
        <v>0</v>
      </c>
      <c r="AA152">
        <f t="shared" si="137"/>
        <v>0</v>
      </c>
      <c r="AB152">
        <f t="shared" si="137"/>
        <v>0</v>
      </c>
      <c r="AC152">
        <f t="shared" si="137"/>
        <v>0</v>
      </c>
      <c r="AD152">
        <f t="shared" si="137"/>
        <v>0</v>
      </c>
      <c r="AE152">
        <f t="shared" si="137"/>
        <v>0</v>
      </c>
      <c r="AF152">
        <f t="shared" si="137"/>
        <v>0</v>
      </c>
      <c r="AG152">
        <f t="shared" si="137"/>
        <v>0</v>
      </c>
      <c r="AH152">
        <f t="shared" si="137"/>
        <v>0</v>
      </c>
      <c r="AI152">
        <f t="shared" si="137"/>
        <v>0</v>
      </c>
      <c r="AJ152">
        <f t="shared" si="137"/>
        <v>0</v>
      </c>
      <c r="AK152">
        <f t="shared" si="137"/>
        <v>0</v>
      </c>
      <c r="AL152">
        <f t="shared" si="137"/>
        <v>0</v>
      </c>
      <c r="AM152">
        <f t="shared" si="137"/>
        <v>0</v>
      </c>
      <c r="AN152">
        <f t="shared" si="137"/>
        <v>0</v>
      </c>
      <c r="AO152">
        <f t="shared" si="137"/>
        <v>0</v>
      </c>
      <c r="AP152">
        <f t="shared" si="137"/>
        <v>0</v>
      </c>
      <c r="AQ152">
        <f t="shared" si="137"/>
        <v>0</v>
      </c>
      <c r="AR152">
        <f t="shared" si="137"/>
        <v>0</v>
      </c>
      <c r="AS152">
        <f t="shared" si="137"/>
        <v>0</v>
      </c>
      <c r="AT152">
        <f t="shared" si="137"/>
        <v>0</v>
      </c>
      <c r="AU152">
        <f t="shared" si="137"/>
        <v>0</v>
      </c>
      <c r="AV152">
        <f t="shared" si="137"/>
        <v>0</v>
      </c>
      <c r="AW152">
        <f t="shared" si="137"/>
        <v>0</v>
      </c>
      <c r="AX152">
        <f t="shared" si="137"/>
        <v>0</v>
      </c>
      <c r="AY152">
        <f t="shared" si="137"/>
        <v>0</v>
      </c>
      <c r="AZ152">
        <f t="shared" si="137"/>
        <v>0</v>
      </c>
    </row>
    <row r="153" spans="1:52" ht="15.75" customHeight="1">
      <c r="A153" s="350">
        <v>2010</v>
      </c>
      <c r="B153" s="350"/>
      <c r="C153" s="350"/>
      <c r="D153" s="350"/>
      <c r="E153" s="350"/>
      <c r="F153" s="350"/>
      <c r="G153" s="350"/>
      <c r="H153" s="350"/>
      <c r="I153" s="350"/>
      <c r="J153" s="350"/>
      <c r="K153" s="350"/>
      <c r="L153" s="350"/>
      <c r="M153" s="350"/>
      <c r="N153" s="350"/>
      <c r="O153" s="350"/>
      <c r="P153" s="350"/>
      <c r="Q153" s="350"/>
      <c r="R153" s="350"/>
      <c r="S153" s="350"/>
      <c r="T153" s="350"/>
      <c r="U153" s="350"/>
      <c r="V153" s="86">
        <v>20.200000000000003</v>
      </c>
      <c r="W153">
        <f t="shared" si="22"/>
        <v>0</v>
      </c>
      <c r="X153">
        <f t="shared" ref="X153:AZ153" si="138">IF(AND(X$37-$A153&gt;$V$25,SUM($W153:W153)&lt;&gt;$V153),$V153,0)</f>
        <v>0</v>
      </c>
      <c r="Y153">
        <f t="shared" si="138"/>
        <v>0</v>
      </c>
      <c r="Z153">
        <f t="shared" si="138"/>
        <v>0</v>
      </c>
      <c r="AA153">
        <f t="shared" si="138"/>
        <v>0</v>
      </c>
      <c r="AB153">
        <f t="shared" si="138"/>
        <v>0</v>
      </c>
      <c r="AC153">
        <f t="shared" si="138"/>
        <v>0</v>
      </c>
      <c r="AD153">
        <f t="shared" si="138"/>
        <v>0</v>
      </c>
      <c r="AE153">
        <f t="shared" si="138"/>
        <v>0</v>
      </c>
      <c r="AF153">
        <f t="shared" si="138"/>
        <v>0</v>
      </c>
      <c r="AG153">
        <f t="shared" si="138"/>
        <v>0</v>
      </c>
      <c r="AH153">
        <f t="shared" si="138"/>
        <v>0</v>
      </c>
      <c r="AI153">
        <f t="shared" si="138"/>
        <v>0</v>
      </c>
      <c r="AJ153">
        <f t="shared" si="138"/>
        <v>0</v>
      </c>
      <c r="AK153">
        <f t="shared" si="138"/>
        <v>0</v>
      </c>
      <c r="AL153">
        <f t="shared" si="138"/>
        <v>0</v>
      </c>
      <c r="AM153">
        <f t="shared" si="138"/>
        <v>0</v>
      </c>
      <c r="AN153">
        <f t="shared" si="138"/>
        <v>0</v>
      </c>
      <c r="AO153">
        <f t="shared" si="138"/>
        <v>0</v>
      </c>
      <c r="AP153">
        <f t="shared" si="138"/>
        <v>0</v>
      </c>
      <c r="AQ153">
        <f t="shared" si="138"/>
        <v>0</v>
      </c>
      <c r="AR153">
        <f t="shared" si="138"/>
        <v>0</v>
      </c>
      <c r="AS153">
        <f t="shared" si="138"/>
        <v>0</v>
      </c>
      <c r="AT153">
        <f t="shared" si="138"/>
        <v>0</v>
      </c>
      <c r="AU153">
        <f t="shared" si="138"/>
        <v>0</v>
      </c>
      <c r="AV153">
        <f t="shared" si="138"/>
        <v>0</v>
      </c>
      <c r="AW153">
        <f t="shared" si="138"/>
        <v>0</v>
      </c>
      <c r="AX153">
        <f t="shared" si="138"/>
        <v>0</v>
      </c>
      <c r="AY153">
        <f t="shared" si="138"/>
        <v>0</v>
      </c>
      <c r="AZ153">
        <f t="shared" si="138"/>
        <v>0</v>
      </c>
    </row>
    <row r="154" spans="1:52" ht="15.75" customHeight="1">
      <c r="A154" s="350">
        <v>2011</v>
      </c>
      <c r="B154" s="350"/>
      <c r="C154" s="350"/>
      <c r="D154" s="350"/>
      <c r="E154" s="350"/>
      <c r="F154" s="350"/>
      <c r="G154" s="350"/>
      <c r="H154" s="350"/>
      <c r="I154" s="350"/>
      <c r="J154" s="350"/>
      <c r="K154" s="350"/>
      <c r="L154" s="350"/>
      <c r="M154" s="350"/>
      <c r="N154" s="350"/>
      <c r="O154" s="350"/>
      <c r="P154" s="350"/>
      <c r="Q154" s="350"/>
      <c r="R154" s="350"/>
      <c r="S154" s="350"/>
      <c r="T154" s="350"/>
      <c r="U154" s="350"/>
      <c r="V154" s="86">
        <v>157.79999999999998</v>
      </c>
      <c r="W154">
        <f t="shared" si="22"/>
        <v>0</v>
      </c>
      <c r="X154">
        <f t="shared" ref="X154:AZ154" si="139">IF(AND(X$37-$A154&gt;$V$25,SUM($W154:W154)&lt;&gt;$V154),$V154,0)</f>
        <v>0</v>
      </c>
      <c r="Y154">
        <f t="shared" si="139"/>
        <v>0</v>
      </c>
      <c r="Z154">
        <f t="shared" si="139"/>
        <v>0</v>
      </c>
      <c r="AA154">
        <f t="shared" si="139"/>
        <v>0</v>
      </c>
      <c r="AB154">
        <f t="shared" si="139"/>
        <v>0</v>
      </c>
      <c r="AC154">
        <f t="shared" si="139"/>
        <v>0</v>
      </c>
      <c r="AD154">
        <f t="shared" si="139"/>
        <v>0</v>
      </c>
      <c r="AE154">
        <f t="shared" si="139"/>
        <v>0</v>
      </c>
      <c r="AF154">
        <f t="shared" si="139"/>
        <v>0</v>
      </c>
      <c r="AG154">
        <f t="shared" si="139"/>
        <v>0</v>
      </c>
      <c r="AH154">
        <f t="shared" si="139"/>
        <v>0</v>
      </c>
      <c r="AI154">
        <f t="shared" si="139"/>
        <v>0</v>
      </c>
      <c r="AJ154">
        <f t="shared" si="139"/>
        <v>0</v>
      </c>
      <c r="AK154">
        <f t="shared" si="139"/>
        <v>0</v>
      </c>
      <c r="AL154">
        <f t="shared" si="139"/>
        <v>0</v>
      </c>
      <c r="AM154">
        <f t="shared" si="139"/>
        <v>0</v>
      </c>
      <c r="AN154">
        <f t="shared" si="139"/>
        <v>0</v>
      </c>
      <c r="AO154">
        <f t="shared" si="139"/>
        <v>0</v>
      </c>
      <c r="AP154">
        <f t="shared" si="139"/>
        <v>0</v>
      </c>
      <c r="AQ154">
        <f t="shared" si="139"/>
        <v>0</v>
      </c>
      <c r="AR154">
        <f t="shared" si="139"/>
        <v>0</v>
      </c>
      <c r="AS154">
        <f t="shared" si="139"/>
        <v>0</v>
      </c>
      <c r="AT154">
        <f t="shared" si="139"/>
        <v>0</v>
      </c>
      <c r="AU154">
        <f t="shared" si="139"/>
        <v>0</v>
      </c>
      <c r="AV154">
        <f t="shared" si="139"/>
        <v>0</v>
      </c>
      <c r="AW154">
        <f t="shared" si="139"/>
        <v>0</v>
      </c>
      <c r="AX154">
        <f t="shared" si="139"/>
        <v>0</v>
      </c>
      <c r="AY154">
        <f t="shared" si="139"/>
        <v>0</v>
      </c>
      <c r="AZ154">
        <f t="shared" si="139"/>
        <v>0</v>
      </c>
    </row>
    <row r="155" spans="1:52" ht="15.75" customHeight="1">
      <c r="A155" s="350">
        <v>2012</v>
      </c>
      <c r="B155" s="350"/>
      <c r="C155" s="350"/>
      <c r="D155" s="350"/>
      <c r="E155" s="350"/>
      <c r="F155" s="350"/>
      <c r="G155" s="350"/>
      <c r="H155" s="350"/>
      <c r="I155" s="350"/>
      <c r="J155" s="350"/>
      <c r="K155" s="350"/>
      <c r="L155" s="350"/>
      <c r="M155" s="350"/>
      <c r="N155" s="350"/>
      <c r="O155" s="350"/>
      <c r="P155" s="350"/>
      <c r="Q155" s="350"/>
      <c r="R155" s="350"/>
      <c r="S155" s="350"/>
      <c r="T155" s="350"/>
      <c r="U155" s="350"/>
      <c r="V155" s="86">
        <v>352</v>
      </c>
      <c r="W155">
        <f t="shared" si="22"/>
        <v>0</v>
      </c>
      <c r="X155">
        <f t="shared" ref="X155:AZ155" si="140">IF(AND(X$37-$A155&gt;$V$25,SUM($W155:W155)&lt;&gt;$V155),$V155,0)</f>
        <v>0</v>
      </c>
      <c r="Y155">
        <f t="shared" si="140"/>
        <v>0</v>
      </c>
      <c r="Z155">
        <f t="shared" si="140"/>
        <v>0</v>
      </c>
      <c r="AA155">
        <f t="shared" si="140"/>
        <v>0</v>
      </c>
      <c r="AB155">
        <f t="shared" si="140"/>
        <v>0</v>
      </c>
      <c r="AC155">
        <f t="shared" si="140"/>
        <v>0</v>
      </c>
      <c r="AD155">
        <f t="shared" si="140"/>
        <v>0</v>
      </c>
      <c r="AE155">
        <f t="shared" si="140"/>
        <v>0</v>
      </c>
      <c r="AF155">
        <f t="shared" si="140"/>
        <v>0</v>
      </c>
      <c r="AG155">
        <f t="shared" si="140"/>
        <v>0</v>
      </c>
      <c r="AH155">
        <f t="shared" si="140"/>
        <v>0</v>
      </c>
      <c r="AI155">
        <f t="shared" si="140"/>
        <v>0</v>
      </c>
      <c r="AJ155">
        <f t="shared" si="140"/>
        <v>0</v>
      </c>
      <c r="AK155">
        <f t="shared" si="140"/>
        <v>0</v>
      </c>
      <c r="AL155">
        <f t="shared" si="140"/>
        <v>0</v>
      </c>
      <c r="AM155">
        <f t="shared" si="140"/>
        <v>0</v>
      </c>
      <c r="AN155">
        <f t="shared" si="140"/>
        <v>0</v>
      </c>
      <c r="AO155">
        <f t="shared" si="140"/>
        <v>0</v>
      </c>
      <c r="AP155">
        <f t="shared" si="140"/>
        <v>0</v>
      </c>
      <c r="AQ155">
        <f t="shared" si="140"/>
        <v>0</v>
      </c>
      <c r="AR155">
        <f t="shared" si="140"/>
        <v>0</v>
      </c>
      <c r="AS155">
        <f t="shared" si="140"/>
        <v>0</v>
      </c>
      <c r="AT155">
        <f t="shared" si="140"/>
        <v>0</v>
      </c>
      <c r="AU155">
        <f t="shared" si="140"/>
        <v>0</v>
      </c>
      <c r="AV155">
        <f t="shared" si="140"/>
        <v>0</v>
      </c>
      <c r="AW155">
        <f t="shared" si="140"/>
        <v>0</v>
      </c>
      <c r="AX155">
        <f t="shared" si="140"/>
        <v>0</v>
      </c>
      <c r="AY155">
        <f t="shared" si="140"/>
        <v>0</v>
      </c>
      <c r="AZ155">
        <f t="shared" si="140"/>
        <v>0</v>
      </c>
    </row>
    <row r="156" spans="1:52" ht="15.75" customHeight="1">
      <c r="A156" s="350">
        <v>2013</v>
      </c>
      <c r="B156" s="350"/>
      <c r="C156" s="350"/>
      <c r="D156" s="350"/>
      <c r="E156" s="350"/>
      <c r="F156" s="350"/>
      <c r="G156" s="350"/>
      <c r="H156" s="350"/>
      <c r="I156" s="350"/>
      <c r="J156" s="350"/>
      <c r="K156" s="350"/>
      <c r="L156" s="350"/>
      <c r="M156" s="350"/>
      <c r="N156" s="350"/>
      <c r="O156" s="350"/>
      <c r="P156" s="350"/>
      <c r="Q156" s="350"/>
      <c r="R156" s="350"/>
      <c r="S156" s="350"/>
      <c r="T156" s="350"/>
      <c r="U156" s="350"/>
      <c r="V156" s="86">
        <v>425.50000000000006</v>
      </c>
      <c r="W156">
        <f t="shared" si="22"/>
        <v>0</v>
      </c>
      <c r="X156">
        <f t="shared" ref="X156:AZ156" si="141">IF(AND(X$37-$A156&gt;$V$25,SUM($W156:W156)&lt;&gt;$V156),$V156,0)</f>
        <v>0</v>
      </c>
      <c r="Y156">
        <f t="shared" si="141"/>
        <v>0</v>
      </c>
      <c r="Z156">
        <f t="shared" si="141"/>
        <v>0</v>
      </c>
      <c r="AA156">
        <f t="shared" si="141"/>
        <v>0</v>
      </c>
      <c r="AB156">
        <f t="shared" si="141"/>
        <v>0</v>
      </c>
      <c r="AC156">
        <f t="shared" si="141"/>
        <v>0</v>
      </c>
      <c r="AD156">
        <f t="shared" si="141"/>
        <v>0</v>
      </c>
      <c r="AE156">
        <f t="shared" si="141"/>
        <v>0</v>
      </c>
      <c r="AF156">
        <f t="shared" si="141"/>
        <v>0</v>
      </c>
      <c r="AG156">
        <f t="shared" si="141"/>
        <v>0</v>
      </c>
      <c r="AH156">
        <f t="shared" si="141"/>
        <v>0</v>
      </c>
      <c r="AI156">
        <f t="shared" si="141"/>
        <v>0</v>
      </c>
      <c r="AJ156">
        <f t="shared" si="141"/>
        <v>0</v>
      </c>
      <c r="AK156">
        <f t="shared" si="141"/>
        <v>0</v>
      </c>
      <c r="AL156">
        <f t="shared" si="141"/>
        <v>0</v>
      </c>
      <c r="AM156">
        <f t="shared" si="141"/>
        <v>0</v>
      </c>
      <c r="AN156">
        <f t="shared" si="141"/>
        <v>0</v>
      </c>
      <c r="AO156">
        <f t="shared" si="141"/>
        <v>0</v>
      </c>
      <c r="AP156">
        <f t="shared" si="141"/>
        <v>0</v>
      </c>
      <c r="AQ156">
        <f t="shared" si="141"/>
        <v>0</v>
      </c>
      <c r="AR156">
        <f t="shared" si="141"/>
        <v>0</v>
      </c>
      <c r="AS156">
        <f t="shared" si="141"/>
        <v>0</v>
      </c>
      <c r="AT156">
        <f t="shared" si="141"/>
        <v>0</v>
      </c>
      <c r="AU156">
        <f t="shared" si="141"/>
        <v>0</v>
      </c>
      <c r="AV156">
        <f t="shared" si="141"/>
        <v>0</v>
      </c>
      <c r="AW156">
        <f t="shared" si="141"/>
        <v>0</v>
      </c>
      <c r="AX156">
        <f t="shared" si="141"/>
        <v>0</v>
      </c>
      <c r="AY156">
        <f t="shared" si="141"/>
        <v>0</v>
      </c>
      <c r="AZ156">
        <f t="shared" si="141"/>
        <v>0</v>
      </c>
    </row>
    <row r="157" spans="1:52" ht="15.75" customHeight="1">
      <c r="A157" s="350">
        <v>2014</v>
      </c>
      <c r="B157" s="350"/>
      <c r="C157" s="350"/>
      <c r="D157" s="350"/>
      <c r="E157" s="350"/>
      <c r="F157" s="350"/>
      <c r="G157" s="350"/>
      <c r="H157" s="350"/>
      <c r="I157" s="350"/>
      <c r="J157" s="350"/>
      <c r="K157" s="350"/>
      <c r="L157" s="350"/>
      <c r="M157" s="350"/>
      <c r="N157" s="350"/>
      <c r="O157" s="350"/>
      <c r="P157" s="350"/>
      <c r="Q157" s="350"/>
      <c r="R157" s="350"/>
      <c r="S157" s="350"/>
      <c r="T157" s="350"/>
      <c r="U157" s="350"/>
      <c r="V157" s="86">
        <v>149.1</v>
      </c>
      <c r="W157">
        <f t="shared" si="22"/>
        <v>0</v>
      </c>
      <c r="X157">
        <f t="shared" ref="X157:AZ157" si="142">IF(AND(X$37-$A157&gt;$V$25,SUM($W157:W157)&lt;&gt;$V157),$V157,0)</f>
        <v>0</v>
      </c>
      <c r="Y157">
        <f t="shared" si="142"/>
        <v>0</v>
      </c>
      <c r="Z157">
        <f t="shared" si="142"/>
        <v>0</v>
      </c>
      <c r="AA157">
        <f t="shared" si="142"/>
        <v>0</v>
      </c>
      <c r="AB157">
        <f t="shared" si="142"/>
        <v>0</v>
      </c>
      <c r="AC157">
        <f t="shared" si="142"/>
        <v>0</v>
      </c>
      <c r="AD157">
        <f t="shared" si="142"/>
        <v>0</v>
      </c>
      <c r="AE157">
        <f t="shared" si="142"/>
        <v>0</v>
      </c>
      <c r="AF157">
        <f t="shared" si="142"/>
        <v>0</v>
      </c>
      <c r="AG157">
        <f t="shared" si="142"/>
        <v>0</v>
      </c>
      <c r="AH157">
        <f t="shared" si="142"/>
        <v>0</v>
      </c>
      <c r="AI157">
        <f t="shared" si="142"/>
        <v>0</v>
      </c>
      <c r="AJ157">
        <f t="shared" si="142"/>
        <v>0</v>
      </c>
      <c r="AK157">
        <f t="shared" si="142"/>
        <v>0</v>
      </c>
      <c r="AL157">
        <f t="shared" si="142"/>
        <v>0</v>
      </c>
      <c r="AM157">
        <f t="shared" si="142"/>
        <v>0</v>
      </c>
      <c r="AN157">
        <f t="shared" si="142"/>
        <v>0</v>
      </c>
      <c r="AO157">
        <f t="shared" si="142"/>
        <v>0</v>
      </c>
      <c r="AP157">
        <f t="shared" si="142"/>
        <v>0</v>
      </c>
      <c r="AQ157">
        <f t="shared" si="142"/>
        <v>0</v>
      </c>
      <c r="AR157">
        <f t="shared" si="142"/>
        <v>0</v>
      </c>
      <c r="AS157">
        <f t="shared" si="142"/>
        <v>0</v>
      </c>
      <c r="AT157">
        <f t="shared" si="142"/>
        <v>0</v>
      </c>
      <c r="AU157">
        <f t="shared" si="142"/>
        <v>0</v>
      </c>
      <c r="AV157">
        <f t="shared" si="142"/>
        <v>0</v>
      </c>
      <c r="AW157">
        <f t="shared" si="142"/>
        <v>0</v>
      </c>
      <c r="AX157">
        <f t="shared" si="142"/>
        <v>0</v>
      </c>
      <c r="AY157">
        <f t="shared" si="142"/>
        <v>0</v>
      </c>
      <c r="AZ157">
        <f t="shared" si="142"/>
        <v>0</v>
      </c>
    </row>
    <row r="158" spans="1:52" ht="15.75" customHeight="1">
      <c r="A158" s="350">
        <v>2015</v>
      </c>
      <c r="B158" s="350"/>
      <c r="C158" s="350"/>
      <c r="D158" s="350"/>
      <c r="E158" s="350"/>
      <c r="F158" s="350"/>
      <c r="G158" s="350"/>
      <c r="H158" s="350"/>
      <c r="I158" s="350"/>
      <c r="J158" s="350"/>
      <c r="K158" s="350"/>
      <c r="L158" s="350"/>
      <c r="M158" s="350"/>
      <c r="N158" s="350"/>
      <c r="O158" s="350"/>
      <c r="P158" s="350"/>
      <c r="Q158" s="350"/>
      <c r="R158" s="350"/>
      <c r="S158" s="350"/>
      <c r="T158" s="350"/>
      <c r="U158" s="350"/>
      <c r="V158" s="86">
        <v>135.80000000000001</v>
      </c>
      <c r="W158">
        <f t="shared" si="22"/>
        <v>0</v>
      </c>
      <c r="X158">
        <f t="shared" ref="X158:AZ158" si="143">IF(AND(X$37-$A158&gt;$V$25,SUM($W158:W158)&lt;&gt;$V158),$V158,0)</f>
        <v>0</v>
      </c>
      <c r="Y158">
        <f t="shared" si="143"/>
        <v>0</v>
      </c>
      <c r="Z158">
        <f t="shared" si="143"/>
        <v>0</v>
      </c>
      <c r="AA158">
        <f t="shared" si="143"/>
        <v>0</v>
      </c>
      <c r="AB158">
        <f t="shared" si="143"/>
        <v>0</v>
      </c>
      <c r="AC158">
        <f t="shared" si="143"/>
        <v>0</v>
      </c>
      <c r="AD158">
        <f t="shared" si="143"/>
        <v>0</v>
      </c>
      <c r="AE158">
        <f t="shared" si="143"/>
        <v>0</v>
      </c>
      <c r="AF158">
        <f t="shared" si="143"/>
        <v>0</v>
      </c>
      <c r="AG158">
        <f t="shared" si="143"/>
        <v>0</v>
      </c>
      <c r="AH158">
        <f t="shared" si="143"/>
        <v>0</v>
      </c>
      <c r="AI158">
        <f t="shared" si="143"/>
        <v>0</v>
      </c>
      <c r="AJ158">
        <f t="shared" si="143"/>
        <v>0</v>
      </c>
      <c r="AK158">
        <f t="shared" si="143"/>
        <v>0</v>
      </c>
      <c r="AL158">
        <f t="shared" si="143"/>
        <v>0</v>
      </c>
      <c r="AM158">
        <f t="shared" si="143"/>
        <v>0</v>
      </c>
      <c r="AN158">
        <f t="shared" si="143"/>
        <v>0</v>
      </c>
      <c r="AO158">
        <f t="shared" si="143"/>
        <v>0</v>
      </c>
      <c r="AP158">
        <f t="shared" si="143"/>
        <v>0</v>
      </c>
      <c r="AQ158">
        <f t="shared" si="143"/>
        <v>0</v>
      </c>
      <c r="AR158">
        <f t="shared" si="143"/>
        <v>0</v>
      </c>
      <c r="AS158">
        <f t="shared" si="143"/>
        <v>0</v>
      </c>
      <c r="AT158">
        <f t="shared" si="143"/>
        <v>0</v>
      </c>
      <c r="AU158">
        <f t="shared" si="143"/>
        <v>0</v>
      </c>
      <c r="AV158">
        <f t="shared" si="143"/>
        <v>0</v>
      </c>
      <c r="AW158">
        <f t="shared" si="143"/>
        <v>0</v>
      </c>
      <c r="AX158">
        <f t="shared" si="143"/>
        <v>0</v>
      </c>
      <c r="AY158">
        <f t="shared" si="143"/>
        <v>0</v>
      </c>
      <c r="AZ158">
        <f t="shared" si="143"/>
        <v>0</v>
      </c>
    </row>
    <row r="159" spans="1:52" ht="15.75" customHeight="1">
      <c r="A159" s="350">
        <v>2016</v>
      </c>
      <c r="B159" s="350"/>
      <c r="C159" s="350"/>
      <c r="D159" s="350"/>
      <c r="E159" s="350"/>
      <c r="F159" s="350"/>
      <c r="G159" s="350"/>
      <c r="H159" s="350"/>
      <c r="I159" s="350"/>
      <c r="J159" s="350"/>
      <c r="K159" s="350"/>
      <c r="L159" s="350"/>
      <c r="M159" s="350"/>
      <c r="N159" s="350"/>
      <c r="O159" s="350"/>
      <c r="P159" s="350"/>
      <c r="Q159" s="350"/>
      <c r="R159" s="350"/>
      <c r="S159" s="350"/>
      <c r="T159" s="350"/>
      <c r="U159" s="350"/>
      <c r="V159" s="86">
        <v>373</v>
      </c>
      <c r="W159">
        <f t="shared" si="22"/>
        <v>0</v>
      </c>
      <c r="X159">
        <f t="shared" ref="X159:AZ159" si="144">IF(AND(X$37-$A159&gt;$V$25,SUM($W159:W159)&lt;&gt;$V159),$V159,0)</f>
        <v>0</v>
      </c>
      <c r="Y159">
        <f t="shared" si="144"/>
        <v>0</v>
      </c>
      <c r="Z159">
        <f t="shared" si="144"/>
        <v>0</v>
      </c>
      <c r="AA159">
        <f t="shared" si="144"/>
        <v>0</v>
      </c>
      <c r="AB159">
        <f t="shared" si="144"/>
        <v>0</v>
      </c>
      <c r="AC159">
        <f t="shared" si="144"/>
        <v>0</v>
      </c>
      <c r="AD159">
        <f t="shared" si="144"/>
        <v>0</v>
      </c>
      <c r="AE159">
        <f t="shared" si="144"/>
        <v>0</v>
      </c>
      <c r="AF159">
        <f t="shared" si="144"/>
        <v>0</v>
      </c>
      <c r="AG159">
        <f t="shared" si="144"/>
        <v>0</v>
      </c>
      <c r="AH159">
        <f t="shared" si="144"/>
        <v>0</v>
      </c>
      <c r="AI159">
        <f t="shared" si="144"/>
        <v>0</v>
      </c>
      <c r="AJ159">
        <f t="shared" si="144"/>
        <v>0</v>
      </c>
      <c r="AK159">
        <f t="shared" si="144"/>
        <v>0</v>
      </c>
      <c r="AL159">
        <f t="shared" si="144"/>
        <v>0</v>
      </c>
      <c r="AM159">
        <f t="shared" si="144"/>
        <v>0</v>
      </c>
      <c r="AN159">
        <f t="shared" si="144"/>
        <v>0</v>
      </c>
      <c r="AO159">
        <f t="shared" si="144"/>
        <v>0</v>
      </c>
      <c r="AP159">
        <f t="shared" si="144"/>
        <v>0</v>
      </c>
      <c r="AQ159">
        <f t="shared" si="144"/>
        <v>0</v>
      </c>
      <c r="AR159">
        <f t="shared" si="144"/>
        <v>0</v>
      </c>
      <c r="AS159">
        <f t="shared" si="144"/>
        <v>0</v>
      </c>
      <c r="AT159">
        <f t="shared" si="144"/>
        <v>0</v>
      </c>
      <c r="AU159">
        <f t="shared" si="144"/>
        <v>0</v>
      </c>
      <c r="AV159">
        <f t="shared" si="144"/>
        <v>0</v>
      </c>
      <c r="AW159">
        <f t="shared" si="144"/>
        <v>0</v>
      </c>
      <c r="AX159">
        <f t="shared" si="144"/>
        <v>0</v>
      </c>
      <c r="AY159">
        <f t="shared" si="144"/>
        <v>0</v>
      </c>
      <c r="AZ159">
        <f t="shared" si="144"/>
        <v>0</v>
      </c>
    </row>
    <row r="160" spans="1:52" ht="15.75" customHeight="1">
      <c r="A160" s="350">
        <v>2017</v>
      </c>
      <c r="B160" s="350"/>
      <c r="C160" s="350"/>
      <c r="D160" s="350"/>
      <c r="E160" s="350"/>
      <c r="F160" s="350"/>
      <c r="G160" s="350"/>
      <c r="H160" s="350"/>
      <c r="I160" s="350"/>
      <c r="J160" s="350"/>
      <c r="K160" s="350"/>
      <c r="L160" s="350"/>
      <c r="M160" s="350"/>
      <c r="N160" s="350"/>
      <c r="O160" s="350"/>
      <c r="P160" s="350"/>
      <c r="Q160" s="350"/>
      <c r="R160" s="350"/>
      <c r="S160" s="350"/>
      <c r="T160" s="350"/>
      <c r="U160" s="350"/>
      <c r="V160" s="86">
        <v>207.6</v>
      </c>
      <c r="W160">
        <f t="shared" si="22"/>
        <v>0</v>
      </c>
      <c r="X160">
        <f t="shared" ref="X160:AZ160" si="145">IF(AND(X$37-$A160&gt;$V$25,SUM($W160:W160)&lt;&gt;$V160),$V160,0)</f>
        <v>0</v>
      </c>
      <c r="Y160">
        <f t="shared" si="145"/>
        <v>0</v>
      </c>
      <c r="Z160">
        <f t="shared" si="145"/>
        <v>0</v>
      </c>
      <c r="AA160">
        <f t="shared" si="145"/>
        <v>0</v>
      </c>
      <c r="AB160">
        <f t="shared" si="145"/>
        <v>0</v>
      </c>
      <c r="AC160">
        <f t="shared" si="145"/>
        <v>0</v>
      </c>
      <c r="AD160">
        <f t="shared" si="145"/>
        <v>0</v>
      </c>
      <c r="AE160">
        <f t="shared" si="145"/>
        <v>0</v>
      </c>
      <c r="AF160">
        <f t="shared" si="145"/>
        <v>0</v>
      </c>
      <c r="AG160">
        <f t="shared" si="145"/>
        <v>0</v>
      </c>
      <c r="AH160">
        <f t="shared" si="145"/>
        <v>0</v>
      </c>
      <c r="AI160">
        <f t="shared" si="145"/>
        <v>0</v>
      </c>
      <c r="AJ160">
        <f t="shared" si="145"/>
        <v>0</v>
      </c>
      <c r="AK160">
        <f t="shared" si="145"/>
        <v>0</v>
      </c>
      <c r="AL160">
        <f t="shared" si="145"/>
        <v>0</v>
      </c>
      <c r="AM160">
        <f t="shared" si="145"/>
        <v>0</v>
      </c>
      <c r="AN160">
        <f t="shared" si="145"/>
        <v>0</v>
      </c>
      <c r="AO160">
        <f t="shared" si="145"/>
        <v>0</v>
      </c>
      <c r="AP160">
        <f t="shared" si="145"/>
        <v>0</v>
      </c>
      <c r="AQ160">
        <f t="shared" si="145"/>
        <v>0</v>
      </c>
      <c r="AR160">
        <f t="shared" si="145"/>
        <v>0</v>
      </c>
      <c r="AS160">
        <f t="shared" si="145"/>
        <v>0</v>
      </c>
      <c r="AT160">
        <f t="shared" si="145"/>
        <v>0</v>
      </c>
      <c r="AU160">
        <f t="shared" si="145"/>
        <v>0</v>
      </c>
      <c r="AV160">
        <f t="shared" si="145"/>
        <v>0</v>
      </c>
      <c r="AW160">
        <f t="shared" si="145"/>
        <v>0</v>
      </c>
      <c r="AX160">
        <f t="shared" si="145"/>
        <v>0</v>
      </c>
      <c r="AY160">
        <f t="shared" si="145"/>
        <v>0</v>
      </c>
      <c r="AZ160">
        <f t="shared" si="145"/>
        <v>0</v>
      </c>
    </row>
    <row r="161" spans="1:52" ht="15.75" customHeight="1">
      <c r="A161" s="350">
        <v>2018</v>
      </c>
      <c r="B161" s="350"/>
      <c r="C161" s="350"/>
      <c r="D161" s="350"/>
      <c r="E161" s="350"/>
      <c r="F161" s="350"/>
      <c r="G161" s="350"/>
      <c r="H161" s="350"/>
      <c r="I161" s="350"/>
      <c r="J161" s="350"/>
      <c r="K161" s="350"/>
      <c r="L161" s="350"/>
      <c r="M161" s="350"/>
      <c r="N161" s="350"/>
      <c r="O161" s="350"/>
      <c r="P161" s="350"/>
      <c r="Q161" s="350"/>
      <c r="R161" s="350"/>
      <c r="S161" s="350"/>
      <c r="T161" s="350"/>
      <c r="U161" s="350"/>
      <c r="V161" s="86">
        <v>12</v>
      </c>
      <c r="W161">
        <f t="shared" si="22"/>
        <v>0</v>
      </c>
      <c r="X161">
        <f t="shared" ref="X161:AZ161" si="146">IF(AND(X$37-$A161&gt;$V$25,SUM($W161:W161)&lt;&gt;$V161),$V161,0)</f>
        <v>0</v>
      </c>
      <c r="Y161">
        <f t="shared" si="146"/>
        <v>0</v>
      </c>
      <c r="Z161">
        <f t="shared" si="146"/>
        <v>0</v>
      </c>
      <c r="AA161">
        <f t="shared" si="146"/>
        <v>0</v>
      </c>
      <c r="AB161">
        <f t="shared" si="146"/>
        <v>0</v>
      </c>
      <c r="AC161">
        <f t="shared" si="146"/>
        <v>0</v>
      </c>
      <c r="AD161">
        <f t="shared" si="146"/>
        <v>0</v>
      </c>
      <c r="AE161">
        <f t="shared" si="146"/>
        <v>0</v>
      </c>
      <c r="AF161">
        <f t="shared" si="146"/>
        <v>0</v>
      </c>
      <c r="AG161">
        <f t="shared" si="146"/>
        <v>0</v>
      </c>
      <c r="AH161">
        <f t="shared" si="146"/>
        <v>0</v>
      </c>
      <c r="AI161">
        <f t="shared" si="146"/>
        <v>0</v>
      </c>
      <c r="AJ161">
        <f t="shared" si="146"/>
        <v>0</v>
      </c>
      <c r="AK161">
        <f t="shared" si="146"/>
        <v>0</v>
      </c>
      <c r="AL161">
        <f t="shared" si="146"/>
        <v>0</v>
      </c>
      <c r="AM161">
        <f t="shared" si="146"/>
        <v>0</v>
      </c>
      <c r="AN161">
        <f t="shared" si="146"/>
        <v>0</v>
      </c>
      <c r="AO161">
        <f t="shared" si="146"/>
        <v>0</v>
      </c>
      <c r="AP161">
        <f t="shared" si="146"/>
        <v>0</v>
      </c>
      <c r="AQ161">
        <f t="shared" si="146"/>
        <v>0</v>
      </c>
      <c r="AR161">
        <f t="shared" si="146"/>
        <v>0</v>
      </c>
      <c r="AS161">
        <f t="shared" si="146"/>
        <v>0</v>
      </c>
      <c r="AT161">
        <f t="shared" si="146"/>
        <v>0</v>
      </c>
      <c r="AU161">
        <f t="shared" si="146"/>
        <v>0</v>
      </c>
      <c r="AV161">
        <f t="shared" si="146"/>
        <v>0</v>
      </c>
      <c r="AW161">
        <f t="shared" si="146"/>
        <v>0</v>
      </c>
      <c r="AX161">
        <f t="shared" si="146"/>
        <v>0</v>
      </c>
      <c r="AY161">
        <f t="shared" si="146"/>
        <v>0</v>
      </c>
      <c r="AZ161">
        <f t="shared" si="146"/>
        <v>0</v>
      </c>
    </row>
    <row r="162" spans="1:52" ht="15.75" customHeight="1"/>
    <row r="163" spans="1:52" ht="15.75" customHeight="1"/>
    <row r="164" spans="1:52" ht="15.75" customHeight="1"/>
    <row r="165" spans="1:52" ht="15.75" customHeight="1"/>
    <row r="166" spans="1:52" ht="15.75" customHeight="1"/>
    <row r="167" spans="1:52" ht="15.75" customHeight="1"/>
    <row r="168" spans="1:52" ht="15.75" customHeight="1"/>
    <row r="169" spans="1:52" ht="15.75" customHeight="1"/>
    <row r="170" spans="1:52" ht="15.75" customHeight="1"/>
    <row r="171" spans="1:52" ht="15.75" customHeight="1"/>
    <row r="172" spans="1:52" ht="15.75" customHeight="1"/>
    <row r="173" spans="1:52" ht="15.75" customHeight="1"/>
    <row r="174" spans="1:52" ht="15.75" customHeight="1"/>
    <row r="175" spans="1:52" ht="15.75" customHeight="1"/>
    <row r="176" spans="1:5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9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70</v>
      </c>
      <c r="B2" s="105">
        <f t="shared" ref="B2:U2" si="0">C2/(1+B34-B3)</f>
        <v>1847979.2807147263</v>
      </c>
      <c r="C2" s="105">
        <f t="shared" si="0"/>
        <v>1884938.8663290208</v>
      </c>
      <c r="D2" s="105">
        <f t="shared" si="0"/>
        <v>1922637.6436556012</v>
      </c>
      <c r="E2" s="105">
        <f t="shared" si="0"/>
        <v>1961090.3965287132</v>
      </c>
      <c r="F2" s="105">
        <f t="shared" si="0"/>
        <v>2000312.2044592875</v>
      </c>
      <c r="G2" s="105">
        <f t="shared" si="0"/>
        <v>2040318.4485484732</v>
      </c>
      <c r="H2" s="105">
        <f t="shared" si="0"/>
        <v>2081124.8175194426</v>
      </c>
      <c r="I2" s="105">
        <f t="shared" si="0"/>
        <v>2122747.3138698316</v>
      </c>
      <c r="J2" s="105">
        <f t="shared" si="0"/>
        <v>2165202.2601472284</v>
      </c>
      <c r="K2" s="105">
        <f t="shared" si="0"/>
        <v>2208506.3053501728</v>
      </c>
      <c r="L2" s="105">
        <f t="shared" si="0"/>
        <v>2252676.4314571763</v>
      </c>
      <c r="M2" s="105">
        <f t="shared" si="0"/>
        <v>2297729.9600863201</v>
      </c>
      <c r="N2" s="105">
        <f t="shared" si="0"/>
        <v>2343684.5592880463</v>
      </c>
      <c r="O2" s="105">
        <f t="shared" si="0"/>
        <v>2390558.2504738071</v>
      </c>
      <c r="P2" s="105">
        <f t="shared" si="0"/>
        <v>2438369.4154832833</v>
      </c>
      <c r="Q2" s="105">
        <f t="shared" si="0"/>
        <v>2487136.8037929488</v>
      </c>
      <c r="R2" s="105">
        <f t="shared" si="0"/>
        <v>2536879.5398688079</v>
      </c>
      <c r="S2" s="105">
        <f t="shared" si="0"/>
        <v>2587617.1306661842</v>
      </c>
      <c r="T2" s="105">
        <f t="shared" si="0"/>
        <v>2639369.4732795078</v>
      </c>
      <c r="U2" s="105">
        <f t="shared" si="0"/>
        <v>2692156.8627450978</v>
      </c>
      <c r="V2" s="360">
        <v>2746000</v>
      </c>
      <c r="W2" s="105">
        <f t="shared" ref="W2:AZ2" si="1">V2*(1+V34-V3)</f>
        <v>2800920</v>
      </c>
      <c r="X2" s="105">
        <f t="shared" si="1"/>
        <v>2856938.4</v>
      </c>
      <c r="Y2" s="105">
        <f t="shared" si="1"/>
        <v>2914077.1680000001</v>
      </c>
      <c r="Z2" s="105">
        <f t="shared" si="1"/>
        <v>2972358.7113600001</v>
      </c>
      <c r="AA2" s="105">
        <f t="shared" si="1"/>
        <v>3031805.8855872001</v>
      </c>
      <c r="AB2" s="105">
        <f t="shared" si="1"/>
        <v>3092442.0032989443</v>
      </c>
      <c r="AC2" s="105">
        <f t="shared" si="1"/>
        <v>3154290.8433649233</v>
      </c>
      <c r="AD2" s="105">
        <f t="shared" si="1"/>
        <v>3217376.6602322217</v>
      </c>
      <c r="AE2" s="105">
        <f t="shared" si="1"/>
        <v>3281724.1934368662</v>
      </c>
      <c r="AF2" s="105">
        <f t="shared" si="1"/>
        <v>3347358.6773056034</v>
      </c>
      <c r="AG2" s="105">
        <f t="shared" si="1"/>
        <v>3414305.8508517155</v>
      </c>
      <c r="AH2" s="105">
        <f t="shared" si="1"/>
        <v>3482591.96786875</v>
      </c>
      <c r="AI2" s="105">
        <f t="shared" si="1"/>
        <v>3552243.8072261252</v>
      </c>
      <c r="AJ2" s="105">
        <f t="shared" si="1"/>
        <v>3623288.6833706475</v>
      </c>
      <c r="AK2" s="105">
        <f t="shared" si="1"/>
        <v>3695754.4570380603</v>
      </c>
      <c r="AL2" s="105">
        <f t="shared" si="1"/>
        <v>3769669.5461788215</v>
      </c>
      <c r="AM2" s="105">
        <f t="shared" si="1"/>
        <v>3845062.9371023979</v>
      </c>
      <c r="AN2" s="105">
        <f t="shared" si="1"/>
        <v>3921964.1958444458</v>
      </c>
      <c r="AO2" s="105">
        <f t="shared" si="1"/>
        <v>4000403.4797613346</v>
      </c>
      <c r="AP2" s="105">
        <f t="shared" si="1"/>
        <v>4080411.5493565612</v>
      </c>
      <c r="AQ2" s="105">
        <f t="shared" si="1"/>
        <v>4162019.7803436923</v>
      </c>
      <c r="AR2" s="105">
        <f t="shared" si="1"/>
        <v>4245260.1759505663</v>
      </c>
      <c r="AS2" s="105">
        <f t="shared" si="1"/>
        <v>4330165.3794695782</v>
      </c>
      <c r="AT2" s="105">
        <f t="shared" si="1"/>
        <v>4416768.6870589694</v>
      </c>
      <c r="AU2" s="105">
        <f t="shared" si="1"/>
        <v>4505104.0608001491</v>
      </c>
      <c r="AV2" s="105">
        <f t="shared" si="1"/>
        <v>4595206.1420161519</v>
      </c>
      <c r="AW2" s="105">
        <f t="shared" si="1"/>
        <v>4687110.2648564754</v>
      </c>
      <c r="AX2" s="105">
        <f t="shared" si="1"/>
        <v>4780852.4701536046</v>
      </c>
      <c r="AY2" s="105">
        <f t="shared" si="1"/>
        <v>4876469.519556677</v>
      </c>
      <c r="AZ2" s="105">
        <f t="shared" si="1"/>
        <v>4973998.9099478107</v>
      </c>
    </row>
    <row r="3" spans="1:52" ht="15" customHeight="1">
      <c r="A3" s="93" t="s">
        <v>72</v>
      </c>
      <c r="B3" s="330">
        <f t="shared" ref="B3:U3" si="2">C3</f>
        <v>0</v>
      </c>
      <c r="C3" s="330">
        <f t="shared" si="2"/>
        <v>0</v>
      </c>
      <c r="D3" s="330">
        <f t="shared" si="2"/>
        <v>0</v>
      </c>
      <c r="E3" s="330">
        <f t="shared" si="2"/>
        <v>0</v>
      </c>
      <c r="F3" s="330">
        <f t="shared" si="2"/>
        <v>0</v>
      </c>
      <c r="G3" s="330">
        <f t="shared" si="2"/>
        <v>0</v>
      </c>
      <c r="H3" s="330">
        <f t="shared" si="2"/>
        <v>0</v>
      </c>
      <c r="I3" s="330">
        <f t="shared" si="2"/>
        <v>0</v>
      </c>
      <c r="J3" s="330">
        <f t="shared" si="2"/>
        <v>0</v>
      </c>
      <c r="K3" s="330">
        <f t="shared" si="2"/>
        <v>0</v>
      </c>
      <c r="L3" s="330">
        <f t="shared" si="2"/>
        <v>0</v>
      </c>
      <c r="M3" s="330">
        <f t="shared" si="2"/>
        <v>0</v>
      </c>
      <c r="N3" s="330">
        <f t="shared" si="2"/>
        <v>0</v>
      </c>
      <c r="O3" s="330">
        <f t="shared" si="2"/>
        <v>0</v>
      </c>
      <c r="P3" s="330">
        <f t="shared" si="2"/>
        <v>0</v>
      </c>
      <c r="Q3" s="330">
        <f t="shared" si="2"/>
        <v>0</v>
      </c>
      <c r="R3" s="330">
        <f t="shared" si="2"/>
        <v>0</v>
      </c>
      <c r="S3" s="330">
        <f t="shared" si="2"/>
        <v>0</v>
      </c>
      <c r="T3" s="330">
        <f t="shared" si="2"/>
        <v>0</v>
      </c>
      <c r="U3" s="330">
        <f t="shared" si="2"/>
        <v>0</v>
      </c>
      <c r="V3" s="245">
        <v>0</v>
      </c>
      <c r="W3" s="247">
        <f t="shared" ref="W3:AZ3" si="3">V3</f>
        <v>0</v>
      </c>
      <c r="X3" s="247">
        <f t="shared" si="3"/>
        <v>0</v>
      </c>
      <c r="Y3" s="247">
        <f t="shared" si="3"/>
        <v>0</v>
      </c>
      <c r="Z3" s="247">
        <f t="shared" si="3"/>
        <v>0</v>
      </c>
      <c r="AA3" s="247">
        <f t="shared" si="3"/>
        <v>0</v>
      </c>
      <c r="AB3" s="247">
        <f t="shared" si="3"/>
        <v>0</v>
      </c>
      <c r="AC3" s="247">
        <f t="shared" si="3"/>
        <v>0</v>
      </c>
      <c r="AD3" s="247">
        <f t="shared" si="3"/>
        <v>0</v>
      </c>
      <c r="AE3" s="247">
        <f t="shared" si="3"/>
        <v>0</v>
      </c>
      <c r="AF3" s="247">
        <f t="shared" si="3"/>
        <v>0</v>
      </c>
      <c r="AG3" s="247">
        <f t="shared" si="3"/>
        <v>0</v>
      </c>
      <c r="AH3" s="247">
        <f t="shared" si="3"/>
        <v>0</v>
      </c>
      <c r="AI3" s="247">
        <f t="shared" si="3"/>
        <v>0</v>
      </c>
      <c r="AJ3" s="247">
        <f t="shared" si="3"/>
        <v>0</v>
      </c>
      <c r="AK3" s="247">
        <f t="shared" si="3"/>
        <v>0</v>
      </c>
      <c r="AL3" s="247">
        <f t="shared" si="3"/>
        <v>0</v>
      </c>
      <c r="AM3" s="247">
        <f t="shared" si="3"/>
        <v>0</v>
      </c>
      <c r="AN3" s="247">
        <f t="shared" si="3"/>
        <v>0</v>
      </c>
      <c r="AO3" s="247">
        <f t="shared" si="3"/>
        <v>0</v>
      </c>
      <c r="AP3" s="247">
        <f t="shared" si="3"/>
        <v>0</v>
      </c>
      <c r="AQ3" s="247">
        <f t="shared" si="3"/>
        <v>0</v>
      </c>
      <c r="AR3" s="247">
        <f t="shared" si="3"/>
        <v>0</v>
      </c>
      <c r="AS3" s="247">
        <f t="shared" si="3"/>
        <v>0</v>
      </c>
      <c r="AT3" s="247">
        <f t="shared" si="3"/>
        <v>0</v>
      </c>
      <c r="AU3" s="247">
        <f t="shared" si="3"/>
        <v>0</v>
      </c>
      <c r="AV3" s="247">
        <f t="shared" si="3"/>
        <v>0</v>
      </c>
      <c r="AW3" s="247">
        <f t="shared" si="3"/>
        <v>0</v>
      </c>
      <c r="AX3" s="247">
        <f t="shared" si="3"/>
        <v>0</v>
      </c>
      <c r="AY3" s="247">
        <f t="shared" si="3"/>
        <v>0</v>
      </c>
      <c r="AZ3" s="247">
        <f t="shared" si="3"/>
        <v>0</v>
      </c>
    </row>
    <row r="4" spans="1:52" ht="15" customHeight="1">
      <c r="A4" s="93" t="s">
        <v>74</v>
      </c>
      <c r="B4" s="93"/>
      <c r="C4" s="93"/>
      <c r="D4" s="93"/>
      <c r="E4" s="93"/>
      <c r="F4" s="93"/>
      <c r="G4" s="93"/>
      <c r="H4" s="93"/>
      <c r="I4" s="93"/>
      <c r="J4" s="93"/>
      <c r="K4" s="93"/>
      <c r="L4" s="93"/>
      <c r="M4" s="93"/>
      <c r="N4" s="93"/>
      <c r="O4" s="93"/>
      <c r="P4" s="93"/>
      <c r="Q4" s="93"/>
      <c r="R4" s="93"/>
      <c r="S4" s="93"/>
      <c r="T4" s="93"/>
      <c r="U4" s="93"/>
      <c r="V4" s="245">
        <v>0.6</v>
      </c>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row>
    <row r="5" spans="1:52" ht="15" customHeight="1">
      <c r="A5" s="93" t="s">
        <v>76</v>
      </c>
      <c r="B5" s="93"/>
      <c r="C5" s="93"/>
      <c r="D5" s="93"/>
      <c r="E5" s="93"/>
      <c r="F5" s="93"/>
      <c r="G5" s="93"/>
      <c r="H5" s="93"/>
      <c r="I5" s="93"/>
      <c r="J5" s="93"/>
      <c r="K5" s="93"/>
      <c r="L5" s="93"/>
      <c r="M5" s="93"/>
      <c r="N5" s="93"/>
      <c r="O5" s="93"/>
      <c r="P5" s="93"/>
      <c r="Q5" s="93"/>
      <c r="R5" s="93"/>
      <c r="S5" s="93"/>
      <c r="T5" s="93"/>
      <c r="U5" s="93"/>
      <c r="V5" s="245">
        <f>1-V4</f>
        <v>0.4</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78</v>
      </c>
      <c r="B6" s="93"/>
      <c r="C6" s="93"/>
      <c r="D6" s="93"/>
      <c r="E6" s="93"/>
      <c r="F6" s="93"/>
      <c r="G6" s="93"/>
      <c r="H6" s="93"/>
      <c r="I6" s="93"/>
      <c r="J6" s="93"/>
      <c r="K6" s="93"/>
      <c r="L6" s="93"/>
      <c r="M6" s="93"/>
      <c r="N6" s="93"/>
      <c r="O6" s="93"/>
      <c r="P6" s="93"/>
      <c r="Q6" s="93"/>
      <c r="R6" s="93"/>
      <c r="S6" s="93"/>
      <c r="T6" s="93"/>
      <c r="U6" s="93"/>
      <c r="V6" s="245">
        <v>4.7500000000000001E-2</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80</v>
      </c>
      <c r="B7" s="93"/>
      <c r="C7" s="93"/>
      <c r="D7" s="93"/>
      <c r="E7" s="93"/>
      <c r="F7" s="93"/>
      <c r="G7" s="93"/>
      <c r="H7" s="93"/>
      <c r="I7" s="93"/>
      <c r="J7" s="93"/>
      <c r="K7" s="93"/>
      <c r="L7" s="93"/>
      <c r="M7" s="93"/>
      <c r="N7" s="93"/>
      <c r="O7" s="93"/>
      <c r="P7" s="93"/>
      <c r="Q7" s="93"/>
      <c r="R7" s="93"/>
      <c r="S7" s="93"/>
      <c r="T7" s="93"/>
      <c r="U7" s="93"/>
      <c r="V7" s="245">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82</v>
      </c>
      <c r="B8" s="93"/>
      <c r="C8" s="93"/>
      <c r="D8" s="93"/>
      <c r="E8" s="93"/>
      <c r="F8" s="93"/>
      <c r="G8" s="93"/>
      <c r="H8" s="93"/>
      <c r="I8" s="93"/>
      <c r="J8" s="93"/>
      <c r="K8" s="93"/>
      <c r="L8" s="93"/>
      <c r="M8" s="93"/>
      <c r="N8" s="93"/>
      <c r="O8" s="93"/>
      <c r="P8" s="93"/>
      <c r="Q8" s="93"/>
      <c r="R8" s="93"/>
      <c r="S8" s="93"/>
      <c r="T8" s="93"/>
      <c r="U8" s="93"/>
      <c r="V8" s="245">
        <f>V4*V6+V5*V7</f>
        <v>6.0499999999999998E-2</v>
      </c>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row>
    <row r="9" spans="1:52" ht="15" customHeight="1">
      <c r="A9" s="93" t="s">
        <v>84</v>
      </c>
      <c r="B9" s="93"/>
      <c r="C9" s="93"/>
      <c r="D9" s="93"/>
      <c r="E9" s="93"/>
      <c r="F9" s="93"/>
      <c r="G9" s="93"/>
      <c r="H9" s="93"/>
      <c r="I9" s="93"/>
      <c r="J9" s="93"/>
      <c r="K9" s="93"/>
      <c r="L9" s="93"/>
      <c r="M9" s="93"/>
      <c r="N9" s="93"/>
      <c r="O9" s="93"/>
      <c r="P9" s="93"/>
      <c r="Q9" s="93"/>
      <c r="R9" s="93"/>
      <c r="S9" s="93"/>
      <c r="T9" s="93"/>
      <c r="U9" s="93"/>
      <c r="V9" s="251">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row>
    <row r="10" spans="1:52" ht="15" customHeight="1">
      <c r="A10" s="93" t="s">
        <v>715</v>
      </c>
      <c r="B10" s="93"/>
      <c r="C10" s="93"/>
      <c r="D10" s="93"/>
      <c r="E10" s="93"/>
      <c r="F10" s="93"/>
      <c r="G10" s="93"/>
      <c r="H10" s="93"/>
      <c r="I10" s="93"/>
      <c r="J10" s="93"/>
      <c r="K10" s="93"/>
      <c r="L10" s="93"/>
      <c r="M10" s="93"/>
      <c r="N10" s="93"/>
      <c r="O10" s="93"/>
      <c r="P10" s="93"/>
      <c r="Q10" s="93"/>
      <c r="R10" s="93"/>
      <c r="S10" s="93"/>
      <c r="T10" s="93"/>
      <c r="U10" s="93"/>
      <c r="V10" s="335">
        <v>0.05</v>
      </c>
      <c r="W10" s="331">
        <v>9.5000000000000001E-2</v>
      </c>
      <c r="X10" s="331">
        <v>8.5500000000000007E-2</v>
      </c>
      <c r="Y10" s="331">
        <v>7.6999999999999999E-2</v>
      </c>
      <c r="Z10" s="331">
        <v>6.93E-2</v>
      </c>
      <c r="AA10" s="331">
        <v>6.2300000000000001E-2</v>
      </c>
      <c r="AB10" s="331">
        <v>5.8999999999999997E-2</v>
      </c>
      <c r="AC10" s="331">
        <v>5.8999999999999997E-2</v>
      </c>
      <c r="AD10" s="331">
        <v>5.91E-2</v>
      </c>
      <c r="AE10" s="331">
        <v>5.8999999999999997E-2</v>
      </c>
      <c r="AF10" s="331">
        <v>5.91E-2</v>
      </c>
      <c r="AG10" s="331">
        <v>5.8999999999999997E-2</v>
      </c>
      <c r="AH10" s="331">
        <v>5.91E-2</v>
      </c>
      <c r="AI10" s="331">
        <v>5.8999999999999997E-2</v>
      </c>
      <c r="AJ10" s="331">
        <v>5.91E-2</v>
      </c>
      <c r="AK10" s="331">
        <v>2.9499999999999998E-2</v>
      </c>
      <c r="AL10" s="331"/>
      <c r="AM10" s="331"/>
      <c r="AN10" s="331"/>
      <c r="AO10" s="331"/>
      <c r="AP10" s="331"/>
      <c r="AQ10" s="331"/>
      <c r="AR10" s="331"/>
      <c r="AS10" s="331"/>
      <c r="AT10" s="331"/>
      <c r="AU10" s="331"/>
      <c r="AV10" s="331"/>
      <c r="AW10" s="331"/>
      <c r="AX10" s="331"/>
      <c r="AY10" s="331"/>
      <c r="AZ10" s="331"/>
    </row>
    <row r="11" spans="1:52" ht="15" customHeight="1">
      <c r="A11" s="93" t="s">
        <v>88</v>
      </c>
      <c r="B11" s="93"/>
      <c r="C11" s="93"/>
      <c r="D11" s="93"/>
      <c r="E11" s="93"/>
      <c r="F11" s="93"/>
      <c r="G11" s="93"/>
      <c r="H11" s="93"/>
      <c r="I11" s="93"/>
      <c r="J11" s="93"/>
      <c r="K11" s="93"/>
      <c r="L11" s="93"/>
      <c r="M11" s="93"/>
      <c r="N11" s="93"/>
      <c r="O11" s="93"/>
      <c r="P11" s="93"/>
      <c r="Q11" s="93"/>
      <c r="R11" s="93"/>
      <c r="S11" s="93"/>
      <c r="T11" s="93"/>
      <c r="U11" s="93"/>
      <c r="V11" s="280">
        <v>250</v>
      </c>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row>
    <row r="12" spans="1:52" ht="15" customHeight="1">
      <c r="A12" s="93" t="s">
        <v>90</v>
      </c>
      <c r="B12" s="93"/>
      <c r="C12" s="93"/>
      <c r="D12" s="93"/>
      <c r="E12" s="93"/>
      <c r="F12" s="93"/>
      <c r="G12" s="93"/>
      <c r="H12" s="93"/>
      <c r="I12" s="93"/>
      <c r="J12" s="93"/>
      <c r="K12" s="93"/>
      <c r="L12" s="93"/>
      <c r="M12" s="93"/>
      <c r="N12" s="93"/>
      <c r="O12" s="93"/>
      <c r="P12" s="93"/>
      <c r="Q12" s="93"/>
      <c r="R12" s="93"/>
      <c r="S12" s="93"/>
      <c r="T12" s="93"/>
      <c r="U12" s="93"/>
      <c r="V12" s="332">
        <v>3</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row>
    <row r="13" spans="1:52" ht="15" customHeight="1">
      <c r="A13" s="93" t="s">
        <v>92</v>
      </c>
      <c r="B13" s="93"/>
      <c r="C13" s="93"/>
      <c r="D13" s="93"/>
      <c r="E13" s="93"/>
      <c r="F13" s="93"/>
      <c r="G13" s="93"/>
      <c r="H13" s="93"/>
      <c r="I13" s="93"/>
      <c r="J13" s="93"/>
      <c r="K13" s="93"/>
      <c r="L13" s="93"/>
      <c r="M13" s="93"/>
      <c r="N13" s="93"/>
      <c r="O13" s="93"/>
      <c r="P13" s="93"/>
      <c r="Q13" s="93"/>
      <c r="R13" s="93"/>
      <c r="S13" s="93"/>
      <c r="T13" s="93"/>
      <c r="U13" s="93"/>
      <c r="V13" s="254">
        <f>1/V12</f>
        <v>0.33333333333333331</v>
      </c>
      <c r="W13" s="250"/>
      <c r="X13" s="250"/>
      <c r="Y13" s="250"/>
      <c r="Z13" s="250"/>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row>
    <row r="14" spans="1:52" ht="15" customHeight="1">
      <c r="A14" s="93" t="s">
        <v>94</v>
      </c>
      <c r="B14" s="93"/>
      <c r="C14" s="93"/>
      <c r="D14" s="93"/>
      <c r="E14" s="93"/>
      <c r="F14" s="93"/>
      <c r="G14" s="93"/>
      <c r="H14" s="93"/>
      <c r="I14" s="93"/>
      <c r="J14" s="93"/>
      <c r="K14" s="93"/>
      <c r="L14" s="93"/>
      <c r="M14" s="93"/>
      <c r="N14" s="93"/>
      <c r="O14" s="93"/>
      <c r="P14" s="93"/>
      <c r="Q14" s="93"/>
      <c r="R14" s="93"/>
      <c r="S14" s="93"/>
      <c r="T14" s="93"/>
      <c r="U14" s="93"/>
      <c r="V14" s="281">
        <v>0.77</v>
      </c>
      <c r="W14" s="102">
        <f t="shared" ref="W14:AZ14" si="4">V14*(1+V16)</f>
        <v>0.77</v>
      </c>
      <c r="X14" s="102">
        <f t="shared" si="4"/>
        <v>0.77</v>
      </c>
      <c r="Y14" s="102">
        <f t="shared" si="4"/>
        <v>0.77</v>
      </c>
      <c r="Z14" s="102">
        <f t="shared" si="4"/>
        <v>0.77</v>
      </c>
      <c r="AA14" s="102">
        <f t="shared" si="4"/>
        <v>0.77</v>
      </c>
      <c r="AB14" s="102">
        <f t="shared" si="4"/>
        <v>0.77</v>
      </c>
      <c r="AC14" s="102">
        <f t="shared" si="4"/>
        <v>0.77</v>
      </c>
      <c r="AD14" s="102">
        <f t="shared" si="4"/>
        <v>0.77</v>
      </c>
      <c r="AE14" s="102">
        <f t="shared" si="4"/>
        <v>0.77</v>
      </c>
      <c r="AF14" s="102">
        <f t="shared" si="4"/>
        <v>0.77</v>
      </c>
      <c r="AG14" s="102">
        <f t="shared" si="4"/>
        <v>0.77</v>
      </c>
      <c r="AH14" s="102">
        <f t="shared" si="4"/>
        <v>0.77</v>
      </c>
      <c r="AI14" s="102">
        <f t="shared" si="4"/>
        <v>0.77</v>
      </c>
      <c r="AJ14" s="102">
        <f t="shared" si="4"/>
        <v>0.77</v>
      </c>
      <c r="AK14" s="102">
        <f t="shared" si="4"/>
        <v>0.77</v>
      </c>
      <c r="AL14" s="102">
        <f t="shared" si="4"/>
        <v>0.77</v>
      </c>
      <c r="AM14" s="102">
        <f t="shared" si="4"/>
        <v>0.77</v>
      </c>
      <c r="AN14" s="102">
        <f t="shared" si="4"/>
        <v>0.77</v>
      </c>
      <c r="AO14" s="102">
        <f t="shared" si="4"/>
        <v>0.77</v>
      </c>
      <c r="AP14" s="102">
        <f t="shared" si="4"/>
        <v>0.77</v>
      </c>
      <c r="AQ14" s="102">
        <f t="shared" si="4"/>
        <v>0.77</v>
      </c>
      <c r="AR14" s="102">
        <f t="shared" si="4"/>
        <v>0.77</v>
      </c>
      <c r="AS14" s="102">
        <f t="shared" si="4"/>
        <v>0.77</v>
      </c>
      <c r="AT14" s="102">
        <f t="shared" si="4"/>
        <v>0.77</v>
      </c>
      <c r="AU14" s="102">
        <f t="shared" si="4"/>
        <v>0.77</v>
      </c>
      <c r="AV14" s="102">
        <f t="shared" si="4"/>
        <v>0.77</v>
      </c>
      <c r="AW14" s="102">
        <f t="shared" si="4"/>
        <v>0.77</v>
      </c>
      <c r="AX14" s="102">
        <f t="shared" si="4"/>
        <v>0.77</v>
      </c>
      <c r="AY14" s="102">
        <f t="shared" si="4"/>
        <v>0.77</v>
      </c>
      <c r="AZ14" s="102">
        <f t="shared" si="4"/>
        <v>0.77</v>
      </c>
    </row>
    <row r="15" spans="1:52" ht="15" customHeight="1">
      <c r="A15" s="93" t="s">
        <v>96</v>
      </c>
      <c r="B15" s="93"/>
      <c r="C15" s="93"/>
      <c r="D15" s="93"/>
      <c r="E15" s="93"/>
      <c r="F15" s="93"/>
      <c r="G15" s="93"/>
      <c r="H15" s="93"/>
      <c r="I15" s="93"/>
      <c r="J15" s="93"/>
      <c r="K15" s="93"/>
      <c r="L15" s="93"/>
      <c r="M15" s="93"/>
      <c r="N15" s="93"/>
      <c r="O15" s="93"/>
      <c r="P15" s="93"/>
      <c r="Q15" s="93"/>
      <c r="R15" s="93"/>
      <c r="S15" s="93"/>
      <c r="T15" s="93"/>
      <c r="U15" s="93"/>
      <c r="V15" s="281">
        <v>0.89</v>
      </c>
      <c r="W15" s="102">
        <f t="shared" ref="W15:AZ15" si="5">V15</f>
        <v>0.89</v>
      </c>
      <c r="X15" s="102">
        <f t="shared" si="5"/>
        <v>0.89</v>
      </c>
      <c r="Y15" s="102">
        <f t="shared" si="5"/>
        <v>0.89</v>
      </c>
      <c r="Z15" s="102">
        <f t="shared" si="5"/>
        <v>0.89</v>
      </c>
      <c r="AA15" s="102">
        <f t="shared" si="5"/>
        <v>0.89</v>
      </c>
      <c r="AB15" s="102">
        <f t="shared" si="5"/>
        <v>0.89</v>
      </c>
      <c r="AC15" s="102">
        <f t="shared" si="5"/>
        <v>0.89</v>
      </c>
      <c r="AD15" s="102">
        <f t="shared" si="5"/>
        <v>0.89</v>
      </c>
      <c r="AE15" s="102">
        <f t="shared" si="5"/>
        <v>0.89</v>
      </c>
      <c r="AF15" s="102">
        <f t="shared" si="5"/>
        <v>0.89</v>
      </c>
      <c r="AG15" s="102">
        <f t="shared" si="5"/>
        <v>0.89</v>
      </c>
      <c r="AH15" s="102">
        <f t="shared" si="5"/>
        <v>0.89</v>
      </c>
      <c r="AI15" s="102">
        <f t="shared" si="5"/>
        <v>0.89</v>
      </c>
      <c r="AJ15" s="102">
        <f t="shared" si="5"/>
        <v>0.89</v>
      </c>
      <c r="AK15" s="102">
        <f t="shared" si="5"/>
        <v>0.89</v>
      </c>
      <c r="AL15" s="102">
        <f t="shared" si="5"/>
        <v>0.89</v>
      </c>
      <c r="AM15" s="102">
        <f t="shared" si="5"/>
        <v>0.89</v>
      </c>
      <c r="AN15" s="102">
        <f t="shared" si="5"/>
        <v>0.89</v>
      </c>
      <c r="AO15" s="102">
        <f t="shared" si="5"/>
        <v>0.89</v>
      </c>
      <c r="AP15" s="102">
        <f t="shared" si="5"/>
        <v>0.89</v>
      </c>
      <c r="AQ15" s="102">
        <f t="shared" si="5"/>
        <v>0.89</v>
      </c>
      <c r="AR15" s="102">
        <f t="shared" si="5"/>
        <v>0.89</v>
      </c>
      <c r="AS15" s="102">
        <f t="shared" si="5"/>
        <v>0.89</v>
      </c>
      <c r="AT15" s="102">
        <f t="shared" si="5"/>
        <v>0.89</v>
      </c>
      <c r="AU15" s="102">
        <f t="shared" si="5"/>
        <v>0.89</v>
      </c>
      <c r="AV15" s="102">
        <f t="shared" si="5"/>
        <v>0.89</v>
      </c>
      <c r="AW15" s="102">
        <f t="shared" si="5"/>
        <v>0.89</v>
      </c>
      <c r="AX15" s="102">
        <f t="shared" si="5"/>
        <v>0.89</v>
      </c>
      <c r="AY15" s="102">
        <f t="shared" si="5"/>
        <v>0.89</v>
      </c>
      <c r="AZ15" s="102">
        <f t="shared" si="5"/>
        <v>0.89</v>
      </c>
    </row>
    <row r="16" spans="1:52" ht="15" customHeight="1">
      <c r="A16" s="93" t="s">
        <v>98</v>
      </c>
      <c r="B16" s="93"/>
      <c r="C16" s="93"/>
      <c r="D16" s="93"/>
      <c r="E16" s="93"/>
      <c r="F16" s="93"/>
      <c r="G16" s="93"/>
      <c r="H16" s="93"/>
      <c r="I16" s="93"/>
      <c r="J16" s="93"/>
      <c r="K16" s="93"/>
      <c r="L16" s="93"/>
      <c r="M16" s="93"/>
      <c r="N16" s="93"/>
      <c r="O16" s="93"/>
      <c r="P16" s="93"/>
      <c r="Q16" s="93"/>
      <c r="R16" s="93"/>
      <c r="S16" s="93"/>
      <c r="T16" s="93"/>
      <c r="U16" s="93"/>
      <c r="V16" s="254">
        <v>0</v>
      </c>
      <c r="W16" s="102">
        <f t="shared" ref="W16:AZ16" si="6">V16</f>
        <v>0</v>
      </c>
      <c r="X16" s="102">
        <f t="shared" si="6"/>
        <v>0</v>
      </c>
      <c r="Y16" s="102">
        <f t="shared" si="6"/>
        <v>0</v>
      </c>
      <c r="Z16" s="102">
        <f t="shared" si="6"/>
        <v>0</v>
      </c>
      <c r="AA16" s="102">
        <f t="shared" si="6"/>
        <v>0</v>
      </c>
      <c r="AB16" s="102">
        <f t="shared" si="6"/>
        <v>0</v>
      </c>
      <c r="AC16" s="102">
        <f t="shared" si="6"/>
        <v>0</v>
      </c>
      <c r="AD16" s="102">
        <f t="shared" si="6"/>
        <v>0</v>
      </c>
      <c r="AE16" s="102">
        <f t="shared" si="6"/>
        <v>0</v>
      </c>
      <c r="AF16" s="102">
        <f t="shared" si="6"/>
        <v>0</v>
      </c>
      <c r="AG16" s="102">
        <f t="shared" si="6"/>
        <v>0</v>
      </c>
      <c r="AH16" s="102">
        <f t="shared" si="6"/>
        <v>0</v>
      </c>
      <c r="AI16" s="102">
        <f t="shared" si="6"/>
        <v>0</v>
      </c>
      <c r="AJ16" s="102">
        <f t="shared" si="6"/>
        <v>0</v>
      </c>
      <c r="AK16" s="102">
        <f t="shared" si="6"/>
        <v>0</v>
      </c>
      <c r="AL16" s="102">
        <f t="shared" si="6"/>
        <v>0</v>
      </c>
      <c r="AM16" s="102">
        <f t="shared" si="6"/>
        <v>0</v>
      </c>
      <c r="AN16" s="102">
        <f t="shared" si="6"/>
        <v>0</v>
      </c>
      <c r="AO16" s="102">
        <f t="shared" si="6"/>
        <v>0</v>
      </c>
      <c r="AP16" s="102">
        <f t="shared" si="6"/>
        <v>0</v>
      </c>
      <c r="AQ16" s="102">
        <f t="shared" si="6"/>
        <v>0</v>
      </c>
      <c r="AR16" s="102">
        <f t="shared" si="6"/>
        <v>0</v>
      </c>
      <c r="AS16" s="102">
        <f t="shared" si="6"/>
        <v>0</v>
      </c>
      <c r="AT16" s="102">
        <f t="shared" si="6"/>
        <v>0</v>
      </c>
      <c r="AU16" s="102">
        <f t="shared" si="6"/>
        <v>0</v>
      </c>
      <c r="AV16" s="102">
        <f t="shared" si="6"/>
        <v>0</v>
      </c>
      <c r="AW16" s="102">
        <f t="shared" si="6"/>
        <v>0</v>
      </c>
      <c r="AX16" s="102">
        <f t="shared" si="6"/>
        <v>0</v>
      </c>
      <c r="AY16" s="102">
        <f t="shared" si="6"/>
        <v>0</v>
      </c>
      <c r="AZ16" s="102">
        <f t="shared" si="6"/>
        <v>0</v>
      </c>
    </row>
    <row r="17" spans="1:52" ht="15" customHeight="1">
      <c r="A17" s="93" t="s">
        <v>100</v>
      </c>
      <c r="B17" s="105">
        <f t="shared" ref="B17:U17" si="7">C17/(1+B34-B20)</f>
        <v>82267.220655895522</v>
      </c>
      <c r="C17" s="105">
        <f t="shared" si="7"/>
        <v>83830.297848357543</v>
      </c>
      <c r="D17" s="105">
        <f t="shared" si="7"/>
        <v>85423.073507476351</v>
      </c>
      <c r="E17" s="105">
        <f t="shared" si="7"/>
        <v>87046.111904118414</v>
      </c>
      <c r="F17" s="105">
        <f t="shared" si="7"/>
        <v>88699.988030296678</v>
      </c>
      <c r="G17" s="105">
        <f t="shared" si="7"/>
        <v>90385.287802872321</v>
      </c>
      <c r="H17" s="105">
        <f t="shared" si="7"/>
        <v>92102.608271126912</v>
      </c>
      <c r="I17" s="105">
        <f t="shared" si="7"/>
        <v>93852.557828278339</v>
      </c>
      <c r="J17" s="105">
        <f t="shared" si="7"/>
        <v>95635.756427015644</v>
      </c>
      <c r="K17" s="105">
        <f t="shared" si="7"/>
        <v>97452.835799128952</v>
      </c>
      <c r="L17" s="105">
        <f t="shared" si="7"/>
        <v>99304.439679312418</v>
      </c>
      <c r="M17" s="105">
        <f t="shared" si="7"/>
        <v>101191.22403321936</v>
      </c>
      <c r="N17" s="105">
        <f t="shared" si="7"/>
        <v>103113.85728985054</v>
      </c>
      <c r="O17" s="105">
        <f t="shared" si="7"/>
        <v>105073.02057835771</v>
      </c>
      <c r="P17" s="105">
        <f t="shared" si="7"/>
        <v>107069.40796934652</v>
      </c>
      <c r="Q17" s="105">
        <f t="shared" si="7"/>
        <v>109103.72672076411</v>
      </c>
      <c r="R17" s="105">
        <f t="shared" si="7"/>
        <v>111176.69752845865</v>
      </c>
      <c r="S17" s="105">
        <f t="shared" si="7"/>
        <v>113289.05478149938</v>
      </c>
      <c r="T17" s="105">
        <f t="shared" si="7"/>
        <v>115441.54682234788</v>
      </c>
      <c r="U17" s="105">
        <f t="shared" si="7"/>
        <v>117634.93621197251</v>
      </c>
      <c r="V17" s="360">
        <v>119870</v>
      </c>
      <c r="W17" s="105">
        <f t="shared" ref="W17:AZ17" si="8">V17*(1+V34-V20)</f>
        <v>122147.53000000001</v>
      </c>
      <c r="X17" s="105">
        <f t="shared" si="8"/>
        <v>124468.33307000002</v>
      </c>
      <c r="Y17" s="105">
        <f t="shared" si="8"/>
        <v>126833.23139833004</v>
      </c>
      <c r="Z17" s="105">
        <f t="shared" si="8"/>
        <v>129243.06279489833</v>
      </c>
      <c r="AA17" s="105">
        <f t="shared" si="8"/>
        <v>131698.6809880014</v>
      </c>
      <c r="AB17" s="105">
        <f t="shared" si="8"/>
        <v>134200.95592677346</v>
      </c>
      <c r="AC17" s="105">
        <f t="shared" si="8"/>
        <v>136750.77408938218</v>
      </c>
      <c r="AD17" s="105">
        <f t="shared" si="8"/>
        <v>139349.03879708046</v>
      </c>
      <c r="AE17" s="105">
        <f t="shared" si="8"/>
        <v>141996.67053422501</v>
      </c>
      <c r="AF17" s="105">
        <f t="shared" si="8"/>
        <v>144694.6072743753</v>
      </c>
      <c r="AG17" s="105">
        <f t="shared" si="8"/>
        <v>147443.80481258844</v>
      </c>
      <c r="AH17" s="105">
        <f t="shared" si="8"/>
        <v>150245.23710402765</v>
      </c>
      <c r="AI17" s="105">
        <f t="shared" si="8"/>
        <v>153099.89660900418</v>
      </c>
      <c r="AJ17" s="105">
        <f t="shared" si="8"/>
        <v>156008.79464457528</v>
      </c>
      <c r="AK17" s="105">
        <f t="shared" si="8"/>
        <v>158972.96174282223</v>
      </c>
      <c r="AL17" s="105">
        <f t="shared" si="8"/>
        <v>161993.44801593586</v>
      </c>
      <c r="AM17" s="105">
        <f t="shared" si="8"/>
        <v>165071.32352823866</v>
      </c>
      <c r="AN17" s="105">
        <f t="shared" si="8"/>
        <v>168207.67867527521</v>
      </c>
      <c r="AO17" s="105">
        <f t="shared" si="8"/>
        <v>171403.62457010546</v>
      </c>
      <c r="AP17" s="105">
        <f t="shared" si="8"/>
        <v>174660.29343693747</v>
      </c>
      <c r="AQ17" s="105">
        <f t="shared" si="8"/>
        <v>177978.8390122393</v>
      </c>
      <c r="AR17" s="105">
        <f t="shared" si="8"/>
        <v>181360.43695347189</v>
      </c>
      <c r="AS17" s="105">
        <f t="shared" si="8"/>
        <v>184806.28525558786</v>
      </c>
      <c r="AT17" s="105">
        <f t="shared" si="8"/>
        <v>188317.60467544405</v>
      </c>
      <c r="AU17" s="105">
        <f t="shared" si="8"/>
        <v>191895.6391642775</v>
      </c>
      <c r="AV17" s="105">
        <f t="shared" si="8"/>
        <v>195541.65630839879</v>
      </c>
      <c r="AW17" s="105">
        <f t="shared" si="8"/>
        <v>199256.94777825839</v>
      </c>
      <c r="AX17" s="105">
        <f t="shared" si="8"/>
        <v>203042.82978604533</v>
      </c>
      <c r="AY17" s="105">
        <f t="shared" si="8"/>
        <v>206900.64355198023</v>
      </c>
      <c r="AZ17" s="105">
        <f t="shared" si="8"/>
        <v>210831.75577946787</v>
      </c>
    </row>
    <row r="18" spans="1:52" ht="15" customHeight="1">
      <c r="A18" s="93" t="s">
        <v>802</v>
      </c>
      <c r="B18" s="91">
        <f t="shared" ref="B18:U18" si="9">C18/(1+B34-B20)</f>
        <v>0</v>
      </c>
      <c r="C18" s="91">
        <f t="shared" si="9"/>
        <v>0</v>
      </c>
      <c r="D18" s="91">
        <f t="shared" si="9"/>
        <v>0</v>
      </c>
      <c r="E18" s="91">
        <f t="shared" si="9"/>
        <v>0</v>
      </c>
      <c r="F18" s="91">
        <f t="shared" si="9"/>
        <v>0</v>
      </c>
      <c r="G18" s="91">
        <f t="shared" si="9"/>
        <v>0</v>
      </c>
      <c r="H18" s="91">
        <f t="shared" si="9"/>
        <v>0</v>
      </c>
      <c r="I18" s="91">
        <f t="shared" si="9"/>
        <v>0</v>
      </c>
      <c r="J18" s="91">
        <f t="shared" si="9"/>
        <v>0</v>
      </c>
      <c r="K18" s="91">
        <f t="shared" si="9"/>
        <v>0</v>
      </c>
      <c r="L18" s="91">
        <f t="shared" si="9"/>
        <v>0</v>
      </c>
      <c r="M18" s="91">
        <f t="shared" si="9"/>
        <v>0</v>
      </c>
      <c r="N18" s="91">
        <f t="shared" si="9"/>
        <v>0</v>
      </c>
      <c r="O18" s="91">
        <f t="shared" si="9"/>
        <v>0</v>
      </c>
      <c r="P18" s="91">
        <f t="shared" si="9"/>
        <v>0</v>
      </c>
      <c r="Q18" s="91">
        <f t="shared" si="9"/>
        <v>0</v>
      </c>
      <c r="R18" s="91">
        <f t="shared" si="9"/>
        <v>0</v>
      </c>
      <c r="S18" s="91">
        <f t="shared" si="9"/>
        <v>0</v>
      </c>
      <c r="T18" s="91">
        <f t="shared" si="9"/>
        <v>0</v>
      </c>
      <c r="U18" s="91">
        <f t="shared" si="9"/>
        <v>0</v>
      </c>
      <c r="V18" s="107">
        <v>0</v>
      </c>
      <c r="W18" s="91">
        <f t="shared" ref="W18:AZ18" si="10">V18*(1+V34-V20)</f>
        <v>0</v>
      </c>
      <c r="X18" s="91">
        <f t="shared" si="10"/>
        <v>0</v>
      </c>
      <c r="Y18" s="91">
        <f t="shared" si="10"/>
        <v>0</v>
      </c>
      <c r="Z18" s="91">
        <f t="shared" si="10"/>
        <v>0</v>
      </c>
      <c r="AA18" s="91">
        <f t="shared" si="10"/>
        <v>0</v>
      </c>
      <c r="AB18" s="91">
        <f t="shared" si="10"/>
        <v>0</v>
      </c>
      <c r="AC18" s="91">
        <f t="shared" si="10"/>
        <v>0</v>
      </c>
      <c r="AD18" s="91">
        <f t="shared" si="10"/>
        <v>0</v>
      </c>
      <c r="AE18" s="91">
        <f t="shared" si="10"/>
        <v>0</v>
      </c>
      <c r="AF18" s="91">
        <f t="shared" si="10"/>
        <v>0</v>
      </c>
      <c r="AG18" s="91">
        <f t="shared" si="10"/>
        <v>0</v>
      </c>
      <c r="AH18" s="91">
        <f t="shared" si="10"/>
        <v>0</v>
      </c>
      <c r="AI18" s="91">
        <f t="shared" si="10"/>
        <v>0</v>
      </c>
      <c r="AJ18" s="91">
        <f t="shared" si="10"/>
        <v>0</v>
      </c>
      <c r="AK18" s="91">
        <f t="shared" si="10"/>
        <v>0</v>
      </c>
      <c r="AL18" s="91">
        <f t="shared" si="10"/>
        <v>0</v>
      </c>
      <c r="AM18" s="91">
        <f t="shared" si="10"/>
        <v>0</v>
      </c>
      <c r="AN18" s="91">
        <f t="shared" si="10"/>
        <v>0</v>
      </c>
      <c r="AO18" s="91">
        <f t="shared" si="10"/>
        <v>0</v>
      </c>
      <c r="AP18" s="91">
        <f t="shared" si="10"/>
        <v>0</v>
      </c>
      <c r="AQ18" s="91">
        <f t="shared" si="10"/>
        <v>0</v>
      </c>
      <c r="AR18" s="91">
        <f t="shared" si="10"/>
        <v>0</v>
      </c>
      <c r="AS18" s="91">
        <f t="shared" si="10"/>
        <v>0</v>
      </c>
      <c r="AT18" s="91">
        <f t="shared" si="10"/>
        <v>0</v>
      </c>
      <c r="AU18" s="91">
        <f t="shared" si="10"/>
        <v>0</v>
      </c>
      <c r="AV18" s="91">
        <f t="shared" si="10"/>
        <v>0</v>
      </c>
      <c r="AW18" s="91">
        <f t="shared" si="10"/>
        <v>0</v>
      </c>
      <c r="AX18" s="91">
        <f t="shared" si="10"/>
        <v>0</v>
      </c>
      <c r="AY18" s="91">
        <f t="shared" si="10"/>
        <v>0</v>
      </c>
      <c r="AZ18" s="91">
        <f t="shared" si="10"/>
        <v>0</v>
      </c>
    </row>
    <row r="19" spans="1:52" ht="15" customHeight="1">
      <c r="A19" s="93" t="s">
        <v>803</v>
      </c>
      <c r="B19" s="91">
        <f t="shared" ref="B19:U19" si="11">C19/(1+B34-B20)</f>
        <v>12.196409395702947</v>
      </c>
      <c r="C19" s="91">
        <f t="shared" si="11"/>
        <v>12.428141174221304</v>
      </c>
      <c r="D19" s="91">
        <f t="shared" si="11"/>
        <v>12.664275856531511</v>
      </c>
      <c r="E19" s="91">
        <f t="shared" si="11"/>
        <v>12.904897097805611</v>
      </c>
      <c r="F19" s="91">
        <f t="shared" si="11"/>
        <v>13.150090142663919</v>
      </c>
      <c r="G19" s="91">
        <f t="shared" si="11"/>
        <v>13.399941855374534</v>
      </c>
      <c r="H19" s="91">
        <f t="shared" si="11"/>
        <v>13.654540750626651</v>
      </c>
      <c r="I19" s="91">
        <f t="shared" si="11"/>
        <v>13.91397702488856</v>
      </c>
      <c r="J19" s="91">
        <f t="shared" si="11"/>
        <v>14.178342588361444</v>
      </c>
      <c r="K19" s="91">
        <f t="shared" si="11"/>
        <v>14.447731097540313</v>
      </c>
      <c r="L19" s="91">
        <f t="shared" si="11"/>
        <v>14.72223798839358</v>
      </c>
      <c r="M19" s="91">
        <f t="shared" si="11"/>
        <v>15.00196051017306</v>
      </c>
      <c r="N19" s="91">
        <f t="shared" si="11"/>
        <v>15.286997759866351</v>
      </c>
      <c r="O19" s="91">
        <f t="shared" si="11"/>
        <v>15.577450717303813</v>
      </c>
      <c r="P19" s="91">
        <f t="shared" si="11"/>
        <v>15.873422280932587</v>
      </c>
      <c r="Q19" s="91">
        <f t="shared" si="11"/>
        <v>16.175017304270309</v>
      </c>
      <c r="R19" s="91">
        <f t="shared" si="11"/>
        <v>16.482342633051449</v>
      </c>
      <c r="S19" s="91">
        <f t="shared" si="11"/>
        <v>16.79550714307943</v>
      </c>
      <c r="T19" s="91">
        <f t="shared" si="11"/>
        <v>17.11462177879794</v>
      </c>
      <c r="U19" s="91">
        <f t="shared" si="11"/>
        <v>17.439799592595104</v>
      </c>
      <c r="V19" s="97">
        <f>V17*Model!W1555/(V14*Model!W1555*8760)+V18</f>
        <v>17.771155784854415</v>
      </c>
      <c r="W19" s="91">
        <f t="shared" ref="W19:AZ19" si="12">V19*(1+V34-V20)</f>
        <v>18.108807744766651</v>
      </c>
      <c r="X19" s="91">
        <f t="shared" si="12"/>
        <v>18.452875091917221</v>
      </c>
      <c r="Y19" s="91">
        <f t="shared" si="12"/>
        <v>18.803479718663652</v>
      </c>
      <c r="Z19" s="91">
        <f t="shared" si="12"/>
        <v>19.160745833318263</v>
      </c>
      <c r="AA19" s="91">
        <f t="shared" si="12"/>
        <v>19.524800004151313</v>
      </c>
      <c r="AB19" s="91">
        <f t="shared" si="12"/>
        <v>19.89577120423019</v>
      </c>
      <c r="AC19" s="91">
        <f t="shared" si="12"/>
        <v>20.273790857110566</v>
      </c>
      <c r="AD19" s="91">
        <f t="shared" si="12"/>
        <v>20.658992883395669</v>
      </c>
      <c r="AE19" s="91">
        <f t="shared" si="12"/>
        <v>21.051513748180188</v>
      </c>
      <c r="AF19" s="91">
        <f t="shared" si="12"/>
        <v>21.451492509395614</v>
      </c>
      <c r="AG19" s="91">
        <f t="shared" si="12"/>
        <v>21.859070867074134</v>
      </c>
      <c r="AH19" s="91">
        <f t="shared" si="12"/>
        <v>22.274393213548546</v>
      </c>
      <c r="AI19" s="91">
        <f t="shared" si="12"/>
        <v>22.697606684605972</v>
      </c>
      <c r="AJ19" s="91">
        <f t="shared" si="12"/>
        <v>23.12886121161349</v>
      </c>
      <c r="AK19" s="91">
        <f t="shared" si="12"/>
        <v>23.568309574634149</v>
      </c>
      <c r="AL19" s="91">
        <f t="shared" si="12"/>
        <v>24.016107456552202</v>
      </c>
      <c r="AM19" s="91">
        <f t="shared" si="12"/>
        <v>24.472413498226697</v>
      </c>
      <c r="AN19" s="91">
        <f t="shared" si="12"/>
        <v>24.937389354693007</v>
      </c>
      <c r="AO19" s="91">
        <f t="shared" si="12"/>
        <v>25.411199752432179</v>
      </c>
      <c r="AP19" s="91">
        <f t="shared" si="12"/>
        <v>25.894012547728394</v>
      </c>
      <c r="AQ19" s="91">
        <f t="shared" si="12"/>
        <v>26.385998786135236</v>
      </c>
      <c r="AR19" s="91">
        <f t="shared" si="12"/>
        <v>26.887332763071807</v>
      </c>
      <c r="AS19" s="91">
        <f t="shared" si="12"/>
        <v>27.398192085570177</v>
      </c>
      <c r="AT19" s="91">
        <f t="shared" si="12"/>
        <v>27.918757735196014</v>
      </c>
      <c r="AU19" s="91">
        <f t="shared" si="12"/>
        <v>28.449214132164741</v>
      </c>
      <c r="AV19" s="91">
        <f t="shared" si="12"/>
        <v>28.989749200675874</v>
      </c>
      <c r="AW19" s="91">
        <f t="shared" si="12"/>
        <v>29.540554435488719</v>
      </c>
      <c r="AX19" s="91">
        <f t="shared" si="12"/>
        <v>30.101824969763008</v>
      </c>
      <c r="AY19" s="91">
        <f t="shared" si="12"/>
        <v>30.673759644188511</v>
      </c>
      <c r="AZ19" s="91">
        <f t="shared" si="12"/>
        <v>31.256561077428096</v>
      </c>
    </row>
    <row r="20" spans="1:52" ht="15" customHeight="1">
      <c r="A20" s="93" t="s">
        <v>106</v>
      </c>
      <c r="B20" s="330">
        <f t="shared" ref="B20:U20" si="13">C20</f>
        <v>1E-3</v>
      </c>
      <c r="C20" s="330">
        <f t="shared" si="13"/>
        <v>1E-3</v>
      </c>
      <c r="D20" s="330">
        <f t="shared" si="13"/>
        <v>1E-3</v>
      </c>
      <c r="E20" s="330">
        <f t="shared" si="13"/>
        <v>1E-3</v>
      </c>
      <c r="F20" s="330">
        <f t="shared" si="13"/>
        <v>1E-3</v>
      </c>
      <c r="G20" s="330">
        <f t="shared" si="13"/>
        <v>1E-3</v>
      </c>
      <c r="H20" s="330">
        <f t="shared" si="13"/>
        <v>1E-3</v>
      </c>
      <c r="I20" s="330">
        <f t="shared" si="13"/>
        <v>1E-3</v>
      </c>
      <c r="J20" s="330">
        <f t="shared" si="13"/>
        <v>1E-3</v>
      </c>
      <c r="K20" s="330">
        <f t="shared" si="13"/>
        <v>1E-3</v>
      </c>
      <c r="L20" s="330">
        <f t="shared" si="13"/>
        <v>1E-3</v>
      </c>
      <c r="M20" s="330">
        <f t="shared" si="13"/>
        <v>1E-3</v>
      </c>
      <c r="N20" s="330">
        <f t="shared" si="13"/>
        <v>1E-3</v>
      </c>
      <c r="O20" s="330">
        <f t="shared" si="13"/>
        <v>1E-3</v>
      </c>
      <c r="P20" s="330">
        <f t="shared" si="13"/>
        <v>1E-3</v>
      </c>
      <c r="Q20" s="330">
        <f t="shared" si="13"/>
        <v>1E-3</v>
      </c>
      <c r="R20" s="330">
        <f t="shared" si="13"/>
        <v>1E-3</v>
      </c>
      <c r="S20" s="330">
        <f t="shared" si="13"/>
        <v>1E-3</v>
      </c>
      <c r="T20" s="330">
        <f t="shared" si="13"/>
        <v>1E-3</v>
      </c>
      <c r="U20" s="330">
        <f t="shared" si="13"/>
        <v>1E-3</v>
      </c>
      <c r="V20" s="245">
        <v>1E-3</v>
      </c>
      <c r="W20" s="247">
        <f t="shared" ref="W20:AZ20" si="14">V20</f>
        <v>1E-3</v>
      </c>
      <c r="X20" s="247">
        <f t="shared" si="14"/>
        <v>1E-3</v>
      </c>
      <c r="Y20" s="247">
        <f t="shared" si="14"/>
        <v>1E-3</v>
      </c>
      <c r="Z20" s="247">
        <f t="shared" si="14"/>
        <v>1E-3</v>
      </c>
      <c r="AA20" s="247">
        <f t="shared" si="14"/>
        <v>1E-3</v>
      </c>
      <c r="AB20" s="247">
        <f t="shared" si="14"/>
        <v>1E-3</v>
      </c>
      <c r="AC20" s="247">
        <f t="shared" si="14"/>
        <v>1E-3</v>
      </c>
      <c r="AD20" s="247">
        <f t="shared" si="14"/>
        <v>1E-3</v>
      </c>
      <c r="AE20" s="247">
        <f t="shared" si="14"/>
        <v>1E-3</v>
      </c>
      <c r="AF20" s="247">
        <f t="shared" si="14"/>
        <v>1E-3</v>
      </c>
      <c r="AG20" s="247">
        <f t="shared" si="14"/>
        <v>1E-3</v>
      </c>
      <c r="AH20" s="247">
        <f t="shared" si="14"/>
        <v>1E-3</v>
      </c>
      <c r="AI20" s="247">
        <f t="shared" si="14"/>
        <v>1E-3</v>
      </c>
      <c r="AJ20" s="247">
        <f t="shared" si="14"/>
        <v>1E-3</v>
      </c>
      <c r="AK20" s="247">
        <f t="shared" si="14"/>
        <v>1E-3</v>
      </c>
      <c r="AL20" s="247">
        <f t="shared" si="14"/>
        <v>1E-3</v>
      </c>
      <c r="AM20" s="247">
        <f t="shared" si="14"/>
        <v>1E-3</v>
      </c>
      <c r="AN20" s="247">
        <f t="shared" si="14"/>
        <v>1E-3</v>
      </c>
      <c r="AO20" s="247">
        <f t="shared" si="14"/>
        <v>1E-3</v>
      </c>
      <c r="AP20" s="247">
        <f t="shared" si="14"/>
        <v>1E-3</v>
      </c>
      <c r="AQ20" s="247">
        <f t="shared" si="14"/>
        <v>1E-3</v>
      </c>
      <c r="AR20" s="247">
        <f t="shared" si="14"/>
        <v>1E-3</v>
      </c>
      <c r="AS20" s="247">
        <f t="shared" si="14"/>
        <v>1E-3</v>
      </c>
      <c r="AT20" s="247">
        <f t="shared" si="14"/>
        <v>1E-3</v>
      </c>
      <c r="AU20" s="247">
        <f t="shared" si="14"/>
        <v>1E-3</v>
      </c>
      <c r="AV20" s="247">
        <f t="shared" si="14"/>
        <v>1E-3</v>
      </c>
      <c r="AW20" s="247">
        <f t="shared" si="14"/>
        <v>1E-3</v>
      </c>
      <c r="AX20" s="247">
        <f t="shared" si="14"/>
        <v>1E-3</v>
      </c>
      <c r="AY20" s="247">
        <f t="shared" si="14"/>
        <v>1E-3</v>
      </c>
      <c r="AZ20" s="247">
        <f t="shared" si="14"/>
        <v>1E-3</v>
      </c>
    </row>
    <row r="21" spans="1:52" ht="15" customHeight="1">
      <c r="A21" s="93" t="s">
        <v>111</v>
      </c>
      <c r="B21" s="93"/>
      <c r="C21" s="93"/>
      <c r="D21" s="93"/>
      <c r="E21" s="93"/>
      <c r="F21" s="93"/>
      <c r="G21" s="93"/>
      <c r="H21" s="93"/>
      <c r="I21" s="93"/>
      <c r="J21" s="93"/>
      <c r="K21" s="93"/>
      <c r="L21" s="93"/>
      <c r="M21" s="93"/>
      <c r="N21" s="93"/>
      <c r="O21" s="93"/>
      <c r="P21" s="93"/>
      <c r="Q21" s="93"/>
      <c r="R21" s="93"/>
      <c r="S21" s="93"/>
      <c r="T21" s="93"/>
      <c r="U21" s="93"/>
      <c r="V21" s="97"/>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row>
    <row r="22" spans="1:52" ht="15" customHeight="1">
      <c r="A22" s="93" t="s">
        <v>112</v>
      </c>
      <c r="B22" s="253">
        <v>0.35</v>
      </c>
      <c r="C22" s="253">
        <v>0.35</v>
      </c>
      <c r="D22" s="253">
        <v>0.35</v>
      </c>
      <c r="E22" s="253">
        <v>0.35</v>
      </c>
      <c r="F22" s="253">
        <v>0.35</v>
      </c>
      <c r="G22" s="253">
        <v>0.35</v>
      </c>
      <c r="H22" s="253">
        <v>0.35</v>
      </c>
      <c r="I22" s="253">
        <v>0.35</v>
      </c>
      <c r="J22" s="253">
        <v>0.35</v>
      </c>
      <c r="K22" s="253">
        <v>0.35</v>
      </c>
      <c r="L22" s="253">
        <v>0.35</v>
      </c>
      <c r="M22" s="253">
        <v>0.35</v>
      </c>
      <c r="N22" s="253">
        <v>0.35</v>
      </c>
      <c r="O22" s="253">
        <v>0.35</v>
      </c>
      <c r="P22" s="253">
        <v>0.35</v>
      </c>
      <c r="Q22" s="253">
        <v>0.35</v>
      </c>
      <c r="R22" s="253">
        <v>0.35</v>
      </c>
      <c r="S22" s="253">
        <v>0.35</v>
      </c>
      <c r="T22" s="253">
        <v>0.21</v>
      </c>
      <c r="U22" s="253">
        <v>0.21</v>
      </c>
      <c r="V22" s="254">
        <v>0.21</v>
      </c>
      <c r="W22" s="102">
        <f t="shared" ref="W22:AZ22" si="15">V22</f>
        <v>0.21</v>
      </c>
      <c r="X22" s="102">
        <f t="shared" si="15"/>
        <v>0.21</v>
      </c>
      <c r="Y22" s="102">
        <f t="shared" si="15"/>
        <v>0.21</v>
      </c>
      <c r="Z22" s="102">
        <f t="shared" si="15"/>
        <v>0.21</v>
      </c>
      <c r="AA22" s="102">
        <f t="shared" si="15"/>
        <v>0.21</v>
      </c>
      <c r="AB22" s="102">
        <f t="shared" si="15"/>
        <v>0.21</v>
      </c>
      <c r="AC22" s="102">
        <f t="shared" si="15"/>
        <v>0.21</v>
      </c>
      <c r="AD22" s="102">
        <f t="shared" si="15"/>
        <v>0.21</v>
      </c>
      <c r="AE22" s="102">
        <f t="shared" si="15"/>
        <v>0.21</v>
      </c>
      <c r="AF22" s="102">
        <f t="shared" si="15"/>
        <v>0.21</v>
      </c>
      <c r="AG22" s="102">
        <f t="shared" si="15"/>
        <v>0.21</v>
      </c>
      <c r="AH22" s="102">
        <f t="shared" si="15"/>
        <v>0.21</v>
      </c>
      <c r="AI22" s="102">
        <f t="shared" si="15"/>
        <v>0.21</v>
      </c>
      <c r="AJ22" s="102">
        <f t="shared" si="15"/>
        <v>0.21</v>
      </c>
      <c r="AK22" s="102">
        <f t="shared" si="15"/>
        <v>0.21</v>
      </c>
      <c r="AL22" s="102">
        <f t="shared" si="15"/>
        <v>0.21</v>
      </c>
      <c r="AM22" s="102">
        <f t="shared" si="15"/>
        <v>0.21</v>
      </c>
      <c r="AN22" s="102">
        <f t="shared" si="15"/>
        <v>0.21</v>
      </c>
      <c r="AO22" s="102">
        <f t="shared" si="15"/>
        <v>0.21</v>
      </c>
      <c r="AP22" s="102">
        <f t="shared" si="15"/>
        <v>0.21</v>
      </c>
      <c r="AQ22" s="102">
        <f t="shared" si="15"/>
        <v>0.21</v>
      </c>
      <c r="AR22" s="102">
        <f t="shared" si="15"/>
        <v>0.21</v>
      </c>
      <c r="AS22" s="102">
        <f t="shared" si="15"/>
        <v>0.21</v>
      </c>
      <c r="AT22" s="102">
        <f t="shared" si="15"/>
        <v>0.21</v>
      </c>
      <c r="AU22" s="102">
        <f t="shared" si="15"/>
        <v>0.21</v>
      </c>
      <c r="AV22" s="102">
        <f t="shared" si="15"/>
        <v>0.21</v>
      </c>
      <c r="AW22" s="102">
        <f t="shared" si="15"/>
        <v>0.21</v>
      </c>
      <c r="AX22" s="102">
        <f t="shared" si="15"/>
        <v>0.21</v>
      </c>
      <c r="AY22" s="102">
        <f t="shared" si="15"/>
        <v>0.21</v>
      </c>
      <c r="AZ22" s="102">
        <f t="shared" si="15"/>
        <v>0.21</v>
      </c>
    </row>
    <row r="23" spans="1:52" ht="15" customHeight="1">
      <c r="A23" s="93" t="s">
        <v>114</v>
      </c>
      <c r="B23" s="93"/>
      <c r="C23" s="93"/>
      <c r="D23" s="93"/>
      <c r="E23" s="93"/>
      <c r="F23" s="93"/>
      <c r="G23" s="93"/>
      <c r="H23" s="93"/>
      <c r="I23" s="93"/>
      <c r="J23" s="93"/>
      <c r="K23" s="93"/>
      <c r="L23" s="93"/>
      <c r="M23" s="93"/>
      <c r="N23" s="93"/>
      <c r="O23" s="93"/>
      <c r="P23" s="93"/>
      <c r="Q23" s="93"/>
      <c r="R23" s="93"/>
      <c r="S23" s="93"/>
      <c r="T23" s="93"/>
      <c r="U23" s="93"/>
      <c r="V23" s="97">
        <v>0</v>
      </c>
      <c r="W23" s="91">
        <f t="shared" ref="W23:AZ23" si="16">V23*(1+V34)</f>
        <v>0</v>
      </c>
      <c r="X23" s="91">
        <f t="shared" si="16"/>
        <v>0</v>
      </c>
      <c r="Y23" s="91">
        <f t="shared" si="16"/>
        <v>0</v>
      </c>
      <c r="Z23" s="91">
        <f t="shared" si="16"/>
        <v>0</v>
      </c>
      <c r="AA23" s="91">
        <f t="shared" si="16"/>
        <v>0</v>
      </c>
      <c r="AB23" s="91">
        <f t="shared" si="16"/>
        <v>0</v>
      </c>
      <c r="AC23" s="91">
        <f t="shared" si="16"/>
        <v>0</v>
      </c>
      <c r="AD23" s="91">
        <f t="shared" si="16"/>
        <v>0</v>
      </c>
      <c r="AE23" s="91">
        <f t="shared" si="16"/>
        <v>0</v>
      </c>
      <c r="AF23" s="91">
        <f t="shared" si="16"/>
        <v>0</v>
      </c>
      <c r="AG23" s="91">
        <f t="shared" si="16"/>
        <v>0</v>
      </c>
      <c r="AH23" s="91">
        <f t="shared" si="16"/>
        <v>0</v>
      </c>
      <c r="AI23" s="91">
        <f t="shared" si="16"/>
        <v>0</v>
      </c>
      <c r="AJ23" s="91">
        <f t="shared" si="16"/>
        <v>0</v>
      </c>
      <c r="AK23" s="91">
        <f t="shared" si="16"/>
        <v>0</v>
      </c>
      <c r="AL23" s="91">
        <f t="shared" si="16"/>
        <v>0</v>
      </c>
      <c r="AM23" s="91">
        <f t="shared" si="16"/>
        <v>0</v>
      </c>
      <c r="AN23" s="91">
        <f t="shared" si="16"/>
        <v>0</v>
      </c>
      <c r="AO23" s="91">
        <f t="shared" si="16"/>
        <v>0</v>
      </c>
      <c r="AP23" s="91">
        <f t="shared" si="16"/>
        <v>0</v>
      </c>
      <c r="AQ23" s="91">
        <f t="shared" si="16"/>
        <v>0</v>
      </c>
      <c r="AR23" s="91">
        <f t="shared" si="16"/>
        <v>0</v>
      </c>
      <c r="AS23" s="91">
        <f t="shared" si="16"/>
        <v>0</v>
      </c>
      <c r="AT23" s="91">
        <f t="shared" si="16"/>
        <v>0</v>
      </c>
      <c r="AU23" s="91">
        <f t="shared" si="16"/>
        <v>0</v>
      </c>
      <c r="AV23" s="91">
        <f t="shared" si="16"/>
        <v>0</v>
      </c>
      <c r="AW23" s="91">
        <f t="shared" si="16"/>
        <v>0</v>
      </c>
      <c r="AX23" s="91">
        <f t="shared" si="16"/>
        <v>0</v>
      </c>
      <c r="AY23" s="91">
        <f t="shared" si="16"/>
        <v>0</v>
      </c>
      <c r="AZ23" s="91">
        <f t="shared" si="16"/>
        <v>0</v>
      </c>
    </row>
    <row r="24" spans="1:52" ht="15" customHeight="1">
      <c r="A24" s="93" t="s">
        <v>116</v>
      </c>
      <c r="B24" s="93"/>
      <c r="C24" s="93"/>
      <c r="D24" s="93"/>
      <c r="E24" s="93"/>
      <c r="F24" s="93"/>
      <c r="G24" s="93"/>
      <c r="H24" s="93"/>
      <c r="I24" s="93"/>
      <c r="J24" s="93"/>
      <c r="K24" s="93"/>
      <c r="L24" s="93"/>
      <c r="M24" s="93"/>
      <c r="N24" s="93"/>
      <c r="O24" s="93"/>
      <c r="P24" s="93"/>
      <c r="Q24" s="93"/>
      <c r="R24" s="93"/>
      <c r="S24" s="93"/>
      <c r="T24" s="93"/>
      <c r="U24" s="93"/>
      <c r="V24" s="361">
        <v>29</v>
      </c>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row>
    <row r="25" spans="1:52" ht="15" customHeight="1">
      <c r="A25" s="93" t="s">
        <v>119</v>
      </c>
      <c r="B25" s="93"/>
      <c r="C25" s="93"/>
      <c r="D25" s="93"/>
      <c r="E25" s="93"/>
      <c r="F25" s="93"/>
      <c r="G25" s="93"/>
      <c r="H25" s="93"/>
      <c r="I25" s="93"/>
      <c r="J25" s="93"/>
      <c r="K25" s="93"/>
      <c r="L25" s="93"/>
      <c r="M25" s="93"/>
      <c r="N25" s="93"/>
      <c r="O25" s="93"/>
      <c r="P25" s="93"/>
      <c r="Q25" s="93"/>
      <c r="R25" s="93"/>
      <c r="S25" s="93"/>
      <c r="T25" s="93"/>
      <c r="U25" s="93"/>
      <c r="V25" s="361">
        <v>50</v>
      </c>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row>
    <row r="26" spans="1:52" ht="15" customHeight="1">
      <c r="A26" s="93" t="s">
        <v>121</v>
      </c>
      <c r="B26" s="93"/>
      <c r="C26" s="93"/>
      <c r="D26" s="93"/>
      <c r="E26" s="93"/>
      <c r="F26" s="93"/>
      <c r="G26" s="93"/>
      <c r="H26" s="93"/>
      <c r="I26" s="93"/>
      <c r="J26" s="93"/>
      <c r="K26" s="93"/>
      <c r="L26" s="93"/>
      <c r="M26" s="93"/>
      <c r="N26" s="93"/>
      <c r="O26" s="93"/>
      <c r="P26" s="93"/>
      <c r="Q26" s="93"/>
      <c r="R26" s="93"/>
      <c r="S26" s="93"/>
      <c r="T26" s="93"/>
      <c r="U26" s="93"/>
      <c r="V26" s="361">
        <v>4</v>
      </c>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row>
    <row r="27" spans="1:52" ht="15" customHeight="1">
      <c r="A27" s="93" t="s">
        <v>122</v>
      </c>
      <c r="B27" s="93"/>
      <c r="C27" s="93"/>
      <c r="D27" s="93"/>
      <c r="E27" s="93"/>
      <c r="F27" s="93"/>
      <c r="G27" s="93"/>
      <c r="H27" s="93"/>
      <c r="I27" s="93"/>
      <c r="J27" s="93"/>
      <c r="K27" s="93"/>
      <c r="L27" s="93"/>
      <c r="M27" s="93"/>
      <c r="N27" s="93"/>
      <c r="O27" s="93"/>
      <c r="P27" s="93"/>
      <c r="Q27" s="93"/>
      <c r="R27" s="93"/>
      <c r="S27" s="93"/>
      <c r="T27" s="93"/>
      <c r="U27" s="93"/>
      <c r="V27" s="361">
        <v>27</v>
      </c>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row>
    <row r="28" spans="1:52" ht="15" customHeight="1">
      <c r="A28" s="99" t="s">
        <v>123</v>
      </c>
      <c r="B28" s="99"/>
      <c r="C28" s="99"/>
      <c r="D28" s="99"/>
      <c r="E28" s="99"/>
      <c r="F28" s="99"/>
      <c r="G28" s="99"/>
      <c r="H28" s="99"/>
      <c r="I28" s="99"/>
      <c r="J28" s="99"/>
      <c r="K28" s="99"/>
      <c r="L28" s="99"/>
      <c r="M28" s="99"/>
      <c r="N28" s="99"/>
      <c r="O28" s="99"/>
      <c r="P28" s="99"/>
      <c r="Q28" s="99"/>
      <c r="R28" s="99"/>
      <c r="S28" s="99"/>
      <c r="T28" s="99"/>
      <c r="U28" s="99"/>
      <c r="V28" s="329"/>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row>
    <row r="29" spans="1:52" ht="15" customHeight="1">
      <c r="A29" s="93" t="s">
        <v>126</v>
      </c>
      <c r="B29" s="95">
        <f>'Inflation GDP Population'!B2</f>
        <v>96.994687004035995</v>
      </c>
      <c r="C29" s="95">
        <f>'Inflation GDP Population'!C2</f>
        <v>82.561802368421056</v>
      </c>
      <c r="D29" s="95">
        <f>'Inflation GDP Population'!D2</f>
        <v>92.422988832098127</v>
      </c>
      <c r="E29" s="95">
        <f>'Inflation GDP Population'!E2</f>
        <v>85.643902995324368</v>
      </c>
      <c r="F29" s="95">
        <f>'Inflation GDP Population'!F2</f>
        <v>81.324791570560762</v>
      </c>
      <c r="G29" s="95">
        <f>'Inflation GDP Population'!G2</f>
        <v>82.285051583593884</v>
      </c>
      <c r="H29" s="95">
        <f>'Inflation GDP Population'!H2</f>
        <v>73.132352371089056</v>
      </c>
      <c r="I29" s="95">
        <f>'Inflation GDP Population'!I2</f>
        <v>75.178349917306775</v>
      </c>
      <c r="J29" s="95">
        <f>'Inflation GDP Population'!J2</f>
        <v>77.566868947213194</v>
      </c>
      <c r="K29" s="95">
        <f>'Inflation GDP Population'!K2</f>
        <v>67.397054261131927</v>
      </c>
      <c r="L29" s="95">
        <f>'Inflation GDP Population'!L2</f>
        <v>69.359261305247756</v>
      </c>
      <c r="M29" s="95">
        <f>'Inflation GDP Population'!M2</f>
        <v>69.149647376821946</v>
      </c>
      <c r="N29" s="95">
        <f>'Inflation GDP Population'!N2</f>
        <v>66.077410694889281</v>
      </c>
      <c r="O29" s="95">
        <f>'Inflation GDP Population'!O2</f>
        <v>68.667649550254211</v>
      </c>
      <c r="P29" s="95">
        <f>'Inflation GDP Population'!P2</f>
        <v>67.613374485645934</v>
      </c>
      <c r="Q29" s="95">
        <f>'Inflation GDP Population'!Q2</f>
        <v>63.519292757444873</v>
      </c>
      <c r="R29" s="95">
        <f>'Inflation GDP Population'!R2</f>
        <v>65.2</v>
      </c>
      <c r="S29" s="95">
        <f>'Inflation GDP Population'!S2</f>
        <v>62.54</v>
      </c>
      <c r="T29" s="95">
        <f>'Inflation GDP Population'!T2</f>
        <v>62.8</v>
      </c>
      <c r="U29" s="95">
        <f>'Inflation GDP Population'!U2</f>
        <v>62.22</v>
      </c>
      <c r="V29" s="95">
        <f>'Inflation GDP Population'!V2</f>
        <v>63.245459999999994</v>
      </c>
      <c r="W29" s="95">
        <f>'Inflation GDP Population'!W2</f>
        <v>62.18788</v>
      </c>
      <c r="X29" s="95">
        <f>'Inflation GDP Population'!X2</f>
        <v>61.283909999999999</v>
      </c>
      <c r="Y29" s="95">
        <f>'Inflation GDP Population'!Y2</f>
        <v>60.782710000000002</v>
      </c>
      <c r="Z29" s="95">
        <f>'Inflation GDP Population'!Z2</f>
        <v>60.470050000000001</v>
      </c>
      <c r="AA29" s="95">
        <f>'Inflation GDP Population'!AA2</f>
        <v>60.726050000000001</v>
      </c>
      <c r="AB29" s="95">
        <f>'Inflation GDP Population'!AB2</f>
        <v>60.323509999999999</v>
      </c>
      <c r="AC29" s="95">
        <f>'Inflation GDP Population'!AC2</f>
        <v>60.154750000000007</v>
      </c>
      <c r="AD29" s="95">
        <f>'Inflation GDP Population'!AD2</f>
        <v>59.918579999999999</v>
      </c>
      <c r="AE29" s="95">
        <f>'Inflation GDP Population'!AE2</f>
        <v>59.74736</v>
      </c>
      <c r="AF29" s="95">
        <f>'Inflation GDP Population'!AF2</f>
        <v>59.571719999999999</v>
      </c>
      <c r="AG29" s="95">
        <f>'Inflation GDP Population'!AG2</f>
        <v>59.462200000000003</v>
      </c>
      <c r="AH29" s="95">
        <f>'Inflation GDP Population'!AH2</f>
        <v>59.098179999999999</v>
      </c>
      <c r="AI29" s="95">
        <f>'Inflation GDP Population'!AI2</f>
        <v>58.690709999999996</v>
      </c>
      <c r="AJ29" s="95">
        <f>'Inflation GDP Population'!AJ2</f>
        <v>58.279679999999999</v>
      </c>
      <c r="AK29" s="95">
        <f>'Inflation GDP Population'!AK2</f>
        <v>57.945390000000003</v>
      </c>
      <c r="AL29" s="95">
        <f>'Inflation GDP Population'!AL2</f>
        <v>57.822279999999999</v>
      </c>
      <c r="AM29" s="95">
        <f>'Inflation GDP Population'!AM2</f>
        <v>57.639300000000006</v>
      </c>
      <c r="AN29" s="95">
        <f>'Inflation GDP Population'!AN2</f>
        <v>57.618220000000008</v>
      </c>
      <c r="AO29" s="95">
        <f>'Inflation GDP Population'!AO2</f>
        <v>57.583159999999999</v>
      </c>
      <c r="AP29" s="95">
        <f>'Inflation GDP Population'!AP2</f>
        <v>57.428650000000005</v>
      </c>
      <c r="AQ29" s="95">
        <f>'Inflation GDP Population'!AQ2</f>
        <v>57.212560000000003</v>
      </c>
      <c r="AR29" s="95">
        <f>'Inflation GDP Population'!AR2</f>
        <v>56.957370000000004</v>
      </c>
      <c r="AS29" s="95">
        <f>'Inflation GDP Population'!AS2</f>
        <v>56.726020000000005</v>
      </c>
      <c r="AT29" s="95">
        <f>'Inflation GDP Population'!AT2</f>
        <v>56.532699999999998</v>
      </c>
      <c r="AU29" s="95">
        <f>'Inflation GDP Population'!AU2</f>
        <v>56.329940000000001</v>
      </c>
      <c r="AV29" s="95">
        <f>'Inflation GDP Population'!AV2</f>
        <v>56.008069999999996</v>
      </c>
      <c r="AW29" s="95">
        <f>'Inflation GDP Population'!AW2</f>
        <v>55.853279999999998</v>
      </c>
      <c r="AX29" s="95">
        <f>'Inflation GDP Population'!AX2</f>
        <v>56.44464</v>
      </c>
      <c r="AY29" s="95">
        <f>'Inflation GDP Population'!AY2</f>
        <v>56.523910000000001</v>
      </c>
      <c r="AZ29" s="95">
        <f>'Inflation GDP Population'!AZ2</f>
        <v>56.24409</v>
      </c>
    </row>
    <row r="30" spans="1:52" ht="15" customHeight="1">
      <c r="A30" s="93" t="s">
        <v>128</v>
      </c>
      <c r="B30" s="95">
        <f>'Inflation GDP Population'!B3</f>
        <v>66.936599999999999</v>
      </c>
      <c r="C30" s="95">
        <f>'Inflation GDP Population'!C3</f>
        <v>68.562700000000007</v>
      </c>
      <c r="D30" s="95">
        <f>'Inflation GDP Population'!D3</f>
        <v>61.9876</v>
      </c>
      <c r="E30" s="95">
        <f>'Inflation GDP Population'!E3</f>
        <v>75.349900000000005</v>
      </c>
      <c r="F30" s="95">
        <f>'Inflation GDP Population'!F3</f>
        <v>79.167699999999996</v>
      </c>
      <c r="G30" s="95">
        <f>'Inflation GDP Population'!G3</f>
        <v>95.852900000000005</v>
      </c>
      <c r="H30" s="95">
        <f>'Inflation GDP Population'!H3</f>
        <v>86.237700000000004</v>
      </c>
      <c r="I30" s="95">
        <f>'Inflation GDP Population'!I3</f>
        <v>87.651700000000005</v>
      </c>
      <c r="J30" s="95">
        <f>'Inflation GDP Population'!J3</f>
        <v>101.43819999999999</v>
      </c>
      <c r="K30" s="95">
        <f>'Inflation GDP Population'!K3</f>
        <v>70.825099999999992</v>
      </c>
      <c r="L30" s="95">
        <f>'Inflation GDP Population'!L3</f>
        <v>73.228899999999996</v>
      </c>
      <c r="M30" s="95">
        <f>'Inflation GDP Population'!M3</f>
        <v>70.542299999999997</v>
      </c>
      <c r="N30" s="95">
        <f>'Inflation GDP Population'!N3</f>
        <v>60.997799999999998</v>
      </c>
      <c r="O30" s="95">
        <f>'Inflation GDP Population'!O3</f>
        <v>67.714300000000009</v>
      </c>
      <c r="P30" s="95">
        <f>'Inflation GDP Population'!P3</f>
        <v>72.663299999999992</v>
      </c>
      <c r="Q30" s="95">
        <f>'Inflation GDP Population'!Q3</f>
        <v>59.866599999999998</v>
      </c>
      <c r="R30" s="95">
        <f>'Inflation GDP Population'!R3</f>
        <v>64.069999999999993</v>
      </c>
      <c r="S30" s="95">
        <f>'Inflation GDP Population'!S3</f>
        <v>62.54</v>
      </c>
      <c r="T30" s="95">
        <f>'Inflation GDP Population'!T3</f>
        <v>64.2</v>
      </c>
      <c r="U30" s="95">
        <f>'Inflation GDP Population'!U3</f>
        <v>65.09</v>
      </c>
      <c r="V30" s="95">
        <f>'Inflation GDP Population'!V3</f>
        <v>67.893280000000004</v>
      </c>
      <c r="W30" s="95">
        <f>'Inflation GDP Population'!W3</f>
        <v>68.408230000000003</v>
      </c>
      <c r="X30" s="95">
        <f>'Inflation GDP Population'!X3</f>
        <v>69.039839999999998</v>
      </c>
      <c r="Y30" s="95">
        <f>'Inflation GDP Population'!Y3</f>
        <v>70.165930000000003</v>
      </c>
      <c r="Z30" s="95">
        <f>'Inflation GDP Population'!Z3</f>
        <v>71.499539999999996</v>
      </c>
      <c r="AA30" s="95">
        <f>'Inflation GDP Population'!AA3</f>
        <v>73.516589999999994</v>
      </c>
      <c r="AB30" s="95">
        <f>'Inflation GDP Population'!AB3</f>
        <v>74.703620000000001</v>
      </c>
      <c r="AC30" s="95">
        <f>'Inflation GDP Population'!AC3</f>
        <v>76.171610000000001</v>
      </c>
      <c r="AD30" s="95">
        <f>'Inflation GDP Population'!AD3</f>
        <v>77.509479999999996</v>
      </c>
      <c r="AE30" s="95">
        <f>'Inflation GDP Population'!AE3</f>
        <v>78.937030000000007</v>
      </c>
      <c r="AF30" s="95">
        <f>'Inflation GDP Population'!AF3</f>
        <v>80.394760000000005</v>
      </c>
      <c r="AG30" s="95">
        <f>'Inflation GDP Population'!AG3</f>
        <v>81.999220000000008</v>
      </c>
      <c r="AH30" s="95">
        <f>'Inflation GDP Population'!AH3</f>
        <v>83.288150000000002</v>
      </c>
      <c r="AI30" s="95">
        <f>'Inflation GDP Population'!AI3</f>
        <v>84.552180000000007</v>
      </c>
      <c r="AJ30" s="95">
        <f>'Inflation GDP Population'!AJ3</f>
        <v>85.842559999999992</v>
      </c>
      <c r="AK30" s="95">
        <f>'Inflation GDP Population'!AK3</f>
        <v>87.282499999999999</v>
      </c>
      <c r="AL30" s="95">
        <f>'Inflation GDP Population'!AL3</f>
        <v>89.091559999999987</v>
      </c>
      <c r="AM30" s="95">
        <f>'Inflation GDP Population'!AM3</f>
        <v>90.845109999999991</v>
      </c>
      <c r="AN30" s="95">
        <f>'Inflation GDP Population'!AN3</f>
        <v>92.884870000000006</v>
      </c>
      <c r="AO30" s="95">
        <f>'Inflation GDP Population'!AO3</f>
        <v>94.960380000000001</v>
      </c>
      <c r="AP30" s="95">
        <f>'Inflation GDP Population'!AP3</f>
        <v>96.898049999999998</v>
      </c>
      <c r="AQ30" s="95">
        <f>'Inflation GDP Population'!AQ3</f>
        <v>98.792919999999995</v>
      </c>
      <c r="AR30" s="95">
        <f>'Inflation GDP Population'!AR3</f>
        <v>100.67492</v>
      </c>
      <c r="AS30" s="95">
        <f>'Inflation GDP Population'!AS3</f>
        <v>102.66981</v>
      </c>
      <c r="AT30" s="95">
        <f>'Inflation GDP Population'!AT3</f>
        <v>104.79813999999999</v>
      </c>
      <c r="AU30" s="95">
        <f>'Inflation GDP Population'!AU3</f>
        <v>106.98112999999999</v>
      </c>
      <c r="AV30" s="95">
        <f>'Inflation GDP Population'!AV3</f>
        <v>108.97937999999999</v>
      </c>
      <c r="AW30" s="95">
        <f>'Inflation GDP Population'!AW3</f>
        <v>111.37461999999999</v>
      </c>
      <c r="AX30" s="95">
        <f>'Inflation GDP Population'!AX3</f>
        <v>115.38930999999999</v>
      </c>
      <c r="AY30" s="95">
        <f>'Inflation GDP Population'!AY3</f>
        <v>118.46299999999999</v>
      </c>
      <c r="AZ30" s="95">
        <f>'Inflation GDP Population'!AZ3</f>
        <v>120.87941000000001</v>
      </c>
    </row>
    <row r="31" spans="1:52" ht="15" customHeight="1">
      <c r="A31" s="93" t="s">
        <v>200</v>
      </c>
      <c r="B31" s="95">
        <f>'Inflation GDP Population'!B6</f>
        <v>249.42381743242936</v>
      </c>
      <c r="C31" s="95">
        <f>'Inflation GDP Population'!C6</f>
        <v>249.42381743242936</v>
      </c>
      <c r="D31" s="95">
        <f>'Inflation GDP Population'!D6</f>
        <v>212.30935999593964</v>
      </c>
      <c r="E31" s="95">
        <f>'Inflation GDP Population'!E6</f>
        <v>237.66760226833327</v>
      </c>
      <c r="F31" s="95">
        <f>'Inflation GDP Population'!F6</f>
        <v>220.23504466814359</v>
      </c>
      <c r="G31" s="95">
        <f>'Inflation GDP Population'!G6</f>
        <v>209.12836148006616</v>
      </c>
      <c r="H31" s="95">
        <f>'Inflation GDP Population'!H6</f>
        <v>211.59768970387361</v>
      </c>
      <c r="I31" s="95">
        <f>'Inflation GDP Population'!I6</f>
        <v>188.06133685911675</v>
      </c>
      <c r="J31" s="95">
        <f>'Inflation GDP Population'!J6</f>
        <v>193.32266131097848</v>
      </c>
      <c r="K31" s="95">
        <f>'Inflation GDP Population'!K6</f>
        <v>199.4647867495035</v>
      </c>
      <c r="L31" s="95">
        <f>'Inflation GDP Population'!L6</f>
        <v>173.31290070365006</v>
      </c>
      <c r="M31" s="95">
        <f>'Inflation GDP Population'!M6</f>
        <v>178.35875616907168</v>
      </c>
      <c r="N31" s="95">
        <f>'Inflation GDP Population'!N6</f>
        <v>177.8197296736019</v>
      </c>
      <c r="O31" s="95">
        <f>'Inflation GDP Population'!O6</f>
        <v>169.91941033722733</v>
      </c>
      <c r="P31" s="95">
        <f>'Inflation GDP Population'!P6</f>
        <v>176.58026242431168</v>
      </c>
      <c r="Q31" s="95">
        <f>'Inflation GDP Population'!Q6</f>
        <v>173.86917257639584</v>
      </c>
      <c r="R31" s="95">
        <f>'Inflation GDP Population'!R6</f>
        <v>163.34115784620988</v>
      </c>
      <c r="S31" s="95">
        <f>'Inflation GDP Population'!S6</f>
        <v>167.66313082610094</v>
      </c>
      <c r="T31" s="95">
        <f>'Inflation GDP Population'!T6</f>
        <v>160.82288653166182</v>
      </c>
      <c r="U31" s="95">
        <f>'Inflation GDP Population'!U6</f>
        <v>161.49148183863707</v>
      </c>
      <c r="V31" s="95">
        <f>'Inflation GDP Population'!V6</f>
        <v>160</v>
      </c>
      <c r="W31" s="95">
        <f>'Inflation GDP Population'!W6</f>
        <v>157.32450677092081</v>
      </c>
      <c r="X31" s="95">
        <f>'Inflation GDP Population'!X6</f>
        <v>155.03762009162398</v>
      </c>
      <c r="Y31" s="95">
        <f>'Inflation GDP Population'!Y6</f>
        <v>153.76967137245902</v>
      </c>
      <c r="Z31" s="95">
        <f>'Inflation GDP Population'!Z6</f>
        <v>152.9786960202361</v>
      </c>
      <c r="AA31" s="95">
        <f>'Inflation GDP Population'!AA6</f>
        <v>153.62633143944248</v>
      </c>
      <c r="AB31" s="95">
        <f>'Inflation GDP Population'!AB6</f>
        <v>152.60797533925759</v>
      </c>
      <c r="AC31" s="95">
        <f>'Inflation GDP Population'!AC6</f>
        <v>152.18104192775266</v>
      </c>
      <c r="AD31" s="95">
        <f>'Inflation GDP Population'!AD6</f>
        <v>151.5835729552762</v>
      </c>
      <c r="AE31" s="95">
        <f>'Inflation GDP Population'!AE6</f>
        <v>151.15041617216482</v>
      </c>
      <c r="AF31" s="95">
        <f>'Inflation GDP Population'!AF6</f>
        <v>150.7060775587687</v>
      </c>
      <c r="AG31" s="95">
        <f>'Inflation GDP Population'!AG6</f>
        <v>150.42901103098947</v>
      </c>
      <c r="AH31" s="95">
        <f>'Inflation GDP Population'!AH6</f>
        <v>149.50810382278826</v>
      </c>
      <c r="AI31" s="95">
        <f>'Inflation GDP Population'!AI6</f>
        <v>148.47727568113191</v>
      </c>
      <c r="AJ31" s="95">
        <f>'Inflation GDP Population'!AJ6</f>
        <v>147.43744135942725</v>
      </c>
      <c r="AK31" s="95">
        <f>'Inflation GDP Population'!AK6</f>
        <v>146.59174587393312</v>
      </c>
      <c r="AL31" s="95">
        <f>'Inflation GDP Population'!AL6</f>
        <v>146.2802990127671</v>
      </c>
      <c r="AM31" s="95">
        <f>'Inflation GDP Population'!AM6</f>
        <v>145.81739147758594</v>
      </c>
      <c r="AN31" s="95">
        <f>'Inflation GDP Population'!AN6</f>
        <v>145.76406274853568</v>
      </c>
      <c r="AO31" s="95">
        <f>'Inflation GDP Population'!AO6</f>
        <v>145.67536705401466</v>
      </c>
      <c r="AP31" s="95">
        <f>'Inflation GDP Population'!AP6</f>
        <v>145.28448366096166</v>
      </c>
      <c r="AQ31" s="95">
        <f>'Inflation GDP Population'!AQ6</f>
        <v>144.73781359167921</v>
      </c>
      <c r="AR31" s="95">
        <f>'Inflation GDP Population'!AR6</f>
        <v>144.09222733141641</v>
      </c>
      <c r="AS31" s="95">
        <f>'Inflation GDP Population'!AS6</f>
        <v>143.50695211956722</v>
      </c>
      <c r="AT31" s="95">
        <f>'Inflation GDP Population'!AT6</f>
        <v>143.01788618503213</v>
      </c>
      <c r="AU31" s="95">
        <f>'Inflation GDP Population'!AU6</f>
        <v>142.50493869441382</v>
      </c>
      <c r="AV31" s="95">
        <f>'Inflation GDP Population'!AV6</f>
        <v>141.69066364605462</v>
      </c>
      <c r="AW31" s="95">
        <f>'Inflation GDP Population'!AW6</f>
        <v>141.29907190176183</v>
      </c>
      <c r="AX31" s="95">
        <f>'Inflation GDP Population'!AX6</f>
        <v>142.79510972012858</v>
      </c>
      <c r="AY31" s="95">
        <f>'Inflation GDP Population'!AY6</f>
        <v>142.9956490157555</v>
      </c>
      <c r="AZ31" s="95">
        <f>'Inflation GDP Population'!AZ6</f>
        <v>142.28775314465267</v>
      </c>
    </row>
    <row r="32" spans="1:52" ht="15" customHeight="1">
      <c r="A32" s="93" t="s">
        <v>130</v>
      </c>
      <c r="B32" s="95">
        <f>'Inflation GDP Population'!B7</f>
        <v>164.53919188815482</v>
      </c>
      <c r="C32" s="95">
        <f>'Inflation GDP Population'!C7</f>
        <v>164.53919188815482</v>
      </c>
      <c r="D32" s="95">
        <f>'Inflation GDP Population'!D7</f>
        <v>168.53636503303116</v>
      </c>
      <c r="E32" s="95">
        <f>'Inflation GDP Population'!E7</f>
        <v>152.37388231679211</v>
      </c>
      <c r="F32" s="95">
        <f>'Inflation GDP Population'!F7</f>
        <v>185.2202181594715</v>
      </c>
      <c r="G32" s="95">
        <f>'Inflation GDP Population'!G7</f>
        <v>194.60488554309416</v>
      </c>
      <c r="H32" s="95">
        <f>'Inflation GDP Population'!H7</f>
        <v>235.61935781225995</v>
      </c>
      <c r="I32" s="95">
        <f>'Inflation GDP Population'!I7</f>
        <v>211.9838992164695</v>
      </c>
      <c r="J32" s="95">
        <f>'Inflation GDP Population'!J7</f>
        <v>215.45970195114458</v>
      </c>
      <c r="K32" s="95">
        <f>'Inflation GDP Population'!K7</f>
        <v>249.34877861422646</v>
      </c>
      <c r="L32" s="95">
        <f>'Inflation GDP Population'!L7</f>
        <v>174.09764940851127</v>
      </c>
      <c r="M32" s="95">
        <f>'Inflation GDP Population'!M7</f>
        <v>180.0065140574589</v>
      </c>
      <c r="N32" s="95">
        <f>'Inflation GDP Population'!N7</f>
        <v>173.40248886157627</v>
      </c>
      <c r="O32" s="95">
        <f>'Inflation GDP Population'!O7</f>
        <v>149.94082040251959</v>
      </c>
      <c r="P32" s="95">
        <f>'Inflation GDP Population'!P7</f>
        <v>166.45088339222616</v>
      </c>
      <c r="Q32" s="95">
        <f>'Inflation GDP Population'!Q7</f>
        <v>178.61619296358887</v>
      </c>
      <c r="R32" s="95">
        <f>'Inflation GDP Population'!R7</f>
        <v>147.16017821477953</v>
      </c>
      <c r="S32" s="95">
        <f>'Inflation GDP Population'!S7</f>
        <v>157.49270241204485</v>
      </c>
      <c r="T32" s="95">
        <f>'Inflation GDP Population'!T7</f>
        <v>153.73175603011217</v>
      </c>
      <c r="U32" s="95">
        <f>'Inflation GDP Population'!U7</f>
        <v>157.81225994776466</v>
      </c>
      <c r="V32" s="95">
        <f>'Inflation GDP Population'!V7</f>
        <v>160</v>
      </c>
      <c r="W32" s="95">
        <f>'Inflation GDP Population'!W7</f>
        <v>161.21355162101463</v>
      </c>
      <c r="X32" s="95">
        <f>'Inflation GDP Population'!X7</f>
        <v>162.70202883113024</v>
      </c>
      <c r="Y32" s="95">
        <f>'Inflation GDP Population'!Y7</f>
        <v>165.35581724730341</v>
      </c>
      <c r="Z32" s="95">
        <f>'Inflation GDP Population'!Z7</f>
        <v>168.49865553704282</v>
      </c>
      <c r="AA32" s="95">
        <f>'Inflation GDP Population'!AA7</f>
        <v>173.25211567330371</v>
      </c>
      <c r="AB32" s="95">
        <f>'Inflation GDP Population'!AB7</f>
        <v>176.04951771368238</v>
      </c>
      <c r="AC32" s="95">
        <f>'Inflation GDP Population'!AC7</f>
        <v>179.50904124826488</v>
      </c>
      <c r="AD32" s="95">
        <f>'Inflation GDP Population'!AD7</f>
        <v>182.66191882318833</v>
      </c>
      <c r="AE32" s="95">
        <f>'Inflation GDP Population'!AE7</f>
        <v>186.02613984771389</v>
      </c>
      <c r="AF32" s="95">
        <f>'Inflation GDP Population'!AF7</f>
        <v>189.46148425882495</v>
      </c>
      <c r="AG32" s="95">
        <f>'Inflation GDP Population'!AG7</f>
        <v>193.24261841525399</v>
      </c>
      <c r="AH32" s="95">
        <f>'Inflation GDP Population'!AH7</f>
        <v>196.28016204254669</v>
      </c>
      <c r="AI32" s="95">
        <f>'Inflation GDP Population'!AI7</f>
        <v>199.25902534094678</v>
      </c>
      <c r="AJ32" s="95">
        <f>'Inflation GDP Population'!AJ7</f>
        <v>202.29998609582557</v>
      </c>
      <c r="AK32" s="95">
        <f>'Inflation GDP Population'!AK7</f>
        <v>205.69340588641461</v>
      </c>
      <c r="AL32" s="95">
        <f>'Inflation GDP Population'!AL7</f>
        <v>209.95670852844336</v>
      </c>
      <c r="AM32" s="95">
        <f>'Inflation GDP Population'!AM7</f>
        <v>214.08919409991671</v>
      </c>
      <c r="AN32" s="95">
        <f>'Inflation GDP Population'!AN7</f>
        <v>218.89617352409539</v>
      </c>
      <c r="AO32" s="95">
        <f>'Inflation GDP Population'!AO7</f>
        <v>223.78740281806967</v>
      </c>
      <c r="AP32" s="95">
        <f>'Inflation GDP Population'!AP7</f>
        <v>228.35379289378849</v>
      </c>
      <c r="AQ32" s="95">
        <f>'Inflation GDP Population'!AQ7</f>
        <v>232.81931878972398</v>
      </c>
      <c r="AR32" s="95">
        <f>'Inflation GDP Population'!AR7</f>
        <v>237.25451473253304</v>
      </c>
      <c r="AS32" s="95">
        <f>'Inflation GDP Population'!AS7</f>
        <v>241.95575173271919</v>
      </c>
      <c r="AT32" s="95">
        <f>'Inflation GDP Population'!AT7</f>
        <v>246.97145873641676</v>
      </c>
      <c r="AU32" s="95">
        <f>'Inflation GDP Population'!AU7</f>
        <v>252.11597966691241</v>
      </c>
      <c r="AV32" s="95">
        <f>'Inflation GDP Population'!AV7</f>
        <v>256.82513497653952</v>
      </c>
      <c r="AW32" s="95">
        <f>'Inflation GDP Population'!AW7</f>
        <v>262.4698526864513</v>
      </c>
      <c r="AX32" s="95">
        <f>'Inflation GDP Population'!AX7</f>
        <v>271.93103058211346</v>
      </c>
      <c r="AY32" s="95">
        <f>'Inflation GDP Population'!AY7</f>
        <v>279.1746105063711</v>
      </c>
      <c r="AZ32" s="95">
        <f>'Inflation GDP Population'!AZ7</f>
        <v>284.86921827904024</v>
      </c>
    </row>
    <row r="33" spans="1:53" ht="15" customHeight="1">
      <c r="A33" s="100" t="s">
        <v>813</v>
      </c>
      <c r="B33" s="253">
        <v>0</v>
      </c>
      <c r="C33" s="253">
        <v>0</v>
      </c>
      <c r="D33" s="253">
        <v>0</v>
      </c>
      <c r="E33" s="253">
        <v>0</v>
      </c>
      <c r="F33" s="253">
        <v>0</v>
      </c>
      <c r="G33" s="253">
        <v>0</v>
      </c>
      <c r="H33" s="253">
        <v>0</v>
      </c>
      <c r="I33" s="253">
        <f t="shared" ref="I33:U33" si="17">J33</f>
        <v>0</v>
      </c>
      <c r="J33" s="253">
        <f t="shared" si="17"/>
        <v>0</v>
      </c>
      <c r="K33" s="253">
        <f t="shared" si="17"/>
        <v>0</v>
      </c>
      <c r="L33" s="253">
        <f t="shared" si="17"/>
        <v>0</v>
      </c>
      <c r="M33" s="253">
        <f t="shared" si="17"/>
        <v>0</v>
      </c>
      <c r="N33" s="253">
        <f t="shared" si="17"/>
        <v>0</v>
      </c>
      <c r="O33" s="253">
        <f t="shared" si="17"/>
        <v>0</v>
      </c>
      <c r="P33" s="253">
        <f t="shared" si="17"/>
        <v>0</v>
      </c>
      <c r="Q33" s="253">
        <f t="shared" si="17"/>
        <v>0</v>
      </c>
      <c r="R33" s="253">
        <f t="shared" si="17"/>
        <v>0</v>
      </c>
      <c r="S33" s="253">
        <f t="shared" si="17"/>
        <v>0</v>
      </c>
      <c r="T33" s="253">
        <f t="shared" si="17"/>
        <v>0</v>
      </c>
      <c r="U33" s="253">
        <f t="shared" si="17"/>
        <v>0</v>
      </c>
      <c r="V33" s="281">
        <v>0</v>
      </c>
      <c r="W33" s="102">
        <f t="shared" ref="W33:AZ33" si="18">V33</f>
        <v>0</v>
      </c>
      <c r="X33" s="102">
        <f t="shared" si="18"/>
        <v>0</v>
      </c>
      <c r="Y33" s="102">
        <f t="shared" si="18"/>
        <v>0</v>
      </c>
      <c r="Z33" s="102">
        <f t="shared" si="18"/>
        <v>0</v>
      </c>
      <c r="AA33" s="102">
        <f t="shared" si="18"/>
        <v>0</v>
      </c>
      <c r="AB33" s="102">
        <f t="shared" si="18"/>
        <v>0</v>
      </c>
      <c r="AC33" s="102">
        <f t="shared" si="18"/>
        <v>0</v>
      </c>
      <c r="AD33" s="102">
        <f t="shared" si="18"/>
        <v>0</v>
      </c>
      <c r="AE33" s="102">
        <f t="shared" si="18"/>
        <v>0</v>
      </c>
      <c r="AF33" s="102">
        <f t="shared" si="18"/>
        <v>0</v>
      </c>
      <c r="AG33" s="102">
        <f t="shared" si="18"/>
        <v>0</v>
      </c>
      <c r="AH33" s="102">
        <f t="shared" si="18"/>
        <v>0</v>
      </c>
      <c r="AI33" s="102">
        <f t="shared" si="18"/>
        <v>0</v>
      </c>
      <c r="AJ33" s="102">
        <f t="shared" si="18"/>
        <v>0</v>
      </c>
      <c r="AK33" s="102">
        <f t="shared" si="18"/>
        <v>0</v>
      </c>
      <c r="AL33" s="102">
        <f t="shared" si="18"/>
        <v>0</v>
      </c>
      <c r="AM33" s="102">
        <f t="shared" si="18"/>
        <v>0</v>
      </c>
      <c r="AN33" s="102">
        <f t="shared" si="18"/>
        <v>0</v>
      </c>
      <c r="AO33" s="102">
        <f t="shared" si="18"/>
        <v>0</v>
      </c>
      <c r="AP33" s="102">
        <f t="shared" si="18"/>
        <v>0</v>
      </c>
      <c r="AQ33" s="102">
        <f t="shared" si="18"/>
        <v>0</v>
      </c>
      <c r="AR33" s="102">
        <f t="shared" si="18"/>
        <v>0</v>
      </c>
      <c r="AS33" s="102">
        <f t="shared" si="18"/>
        <v>0</v>
      </c>
      <c r="AT33" s="102">
        <f t="shared" si="18"/>
        <v>0</v>
      </c>
      <c r="AU33" s="102">
        <f t="shared" si="18"/>
        <v>0</v>
      </c>
      <c r="AV33" s="102">
        <f t="shared" si="18"/>
        <v>0</v>
      </c>
      <c r="AW33" s="102">
        <f t="shared" si="18"/>
        <v>0</v>
      </c>
      <c r="AX33" s="102">
        <f t="shared" si="18"/>
        <v>0</v>
      </c>
      <c r="AY33" s="102">
        <f t="shared" si="18"/>
        <v>0</v>
      </c>
      <c r="AZ33" s="102">
        <f t="shared" si="18"/>
        <v>0</v>
      </c>
    </row>
    <row r="34" spans="1:53" ht="15.75" customHeight="1">
      <c r="A34" s="93" t="s">
        <v>137</v>
      </c>
      <c r="B34" s="330">
        <f t="shared" ref="B34:U34" si="19">C34</f>
        <v>0.02</v>
      </c>
      <c r="C34" s="330">
        <f t="shared" si="19"/>
        <v>0.02</v>
      </c>
      <c r="D34" s="330">
        <f t="shared" si="19"/>
        <v>0.02</v>
      </c>
      <c r="E34" s="330">
        <f t="shared" si="19"/>
        <v>0.02</v>
      </c>
      <c r="F34" s="330">
        <f t="shared" si="19"/>
        <v>0.02</v>
      </c>
      <c r="G34" s="330">
        <f t="shared" si="19"/>
        <v>0.02</v>
      </c>
      <c r="H34" s="330">
        <f t="shared" si="19"/>
        <v>0.02</v>
      </c>
      <c r="I34" s="330">
        <f t="shared" si="19"/>
        <v>0.02</v>
      </c>
      <c r="J34" s="330">
        <f t="shared" si="19"/>
        <v>0.02</v>
      </c>
      <c r="K34" s="330">
        <f t="shared" si="19"/>
        <v>0.02</v>
      </c>
      <c r="L34" s="330">
        <f t="shared" si="19"/>
        <v>0.02</v>
      </c>
      <c r="M34" s="330">
        <f t="shared" si="19"/>
        <v>0.02</v>
      </c>
      <c r="N34" s="330">
        <f t="shared" si="19"/>
        <v>0.02</v>
      </c>
      <c r="O34" s="330">
        <f t="shared" si="19"/>
        <v>0.02</v>
      </c>
      <c r="P34" s="330">
        <f t="shared" si="19"/>
        <v>0.02</v>
      </c>
      <c r="Q34" s="330">
        <f t="shared" si="19"/>
        <v>0.02</v>
      </c>
      <c r="R34" s="330">
        <f t="shared" si="19"/>
        <v>0.02</v>
      </c>
      <c r="S34" s="330">
        <f t="shared" si="19"/>
        <v>0.02</v>
      </c>
      <c r="T34" s="330">
        <f t="shared" si="19"/>
        <v>0.02</v>
      </c>
      <c r="U34" s="330">
        <f t="shared" si="19"/>
        <v>0.02</v>
      </c>
      <c r="V34" s="252">
        <f>Inputs!B19</f>
        <v>0.02</v>
      </c>
      <c r="W34" s="331">
        <f t="shared" ref="W34:AZ34" si="20">V34</f>
        <v>0.02</v>
      </c>
      <c r="X34" s="331">
        <f t="shared" si="20"/>
        <v>0.02</v>
      </c>
      <c r="Y34" s="331">
        <f t="shared" si="20"/>
        <v>0.02</v>
      </c>
      <c r="Z34" s="331">
        <f t="shared" si="20"/>
        <v>0.02</v>
      </c>
      <c r="AA34" s="331">
        <f t="shared" si="20"/>
        <v>0.02</v>
      </c>
      <c r="AB34" s="331">
        <f t="shared" si="20"/>
        <v>0.02</v>
      </c>
      <c r="AC34" s="331">
        <f t="shared" si="20"/>
        <v>0.02</v>
      </c>
      <c r="AD34" s="331">
        <f t="shared" si="20"/>
        <v>0.02</v>
      </c>
      <c r="AE34" s="331">
        <f t="shared" si="20"/>
        <v>0.02</v>
      </c>
      <c r="AF34" s="331">
        <f t="shared" si="20"/>
        <v>0.02</v>
      </c>
      <c r="AG34" s="331">
        <f t="shared" si="20"/>
        <v>0.02</v>
      </c>
      <c r="AH34" s="331">
        <f t="shared" si="20"/>
        <v>0.02</v>
      </c>
      <c r="AI34" s="331">
        <f t="shared" si="20"/>
        <v>0.02</v>
      </c>
      <c r="AJ34" s="331">
        <f t="shared" si="20"/>
        <v>0.02</v>
      </c>
      <c r="AK34" s="331">
        <f t="shared" si="20"/>
        <v>0.02</v>
      </c>
      <c r="AL34" s="331">
        <f t="shared" si="20"/>
        <v>0.02</v>
      </c>
      <c r="AM34" s="331">
        <f t="shared" si="20"/>
        <v>0.02</v>
      </c>
      <c r="AN34" s="331">
        <f t="shared" si="20"/>
        <v>0.02</v>
      </c>
      <c r="AO34" s="331">
        <f t="shared" si="20"/>
        <v>0.02</v>
      </c>
      <c r="AP34" s="331">
        <f t="shared" si="20"/>
        <v>0.02</v>
      </c>
      <c r="AQ34" s="331">
        <f t="shared" si="20"/>
        <v>0.02</v>
      </c>
      <c r="AR34" s="331">
        <f t="shared" si="20"/>
        <v>0.02</v>
      </c>
      <c r="AS34" s="331">
        <f t="shared" si="20"/>
        <v>0.02</v>
      </c>
      <c r="AT34" s="331">
        <f t="shared" si="20"/>
        <v>0.02</v>
      </c>
      <c r="AU34" s="331">
        <f t="shared" si="20"/>
        <v>0.02</v>
      </c>
      <c r="AV34" s="331">
        <f t="shared" si="20"/>
        <v>0.02</v>
      </c>
      <c r="AW34" s="331">
        <f t="shared" si="20"/>
        <v>0.02</v>
      </c>
      <c r="AX34" s="331">
        <f t="shared" si="20"/>
        <v>0.02</v>
      </c>
      <c r="AY34" s="331">
        <f t="shared" si="20"/>
        <v>0.02</v>
      </c>
      <c r="AZ34" s="331">
        <f t="shared" si="20"/>
        <v>0.02</v>
      </c>
    </row>
    <row r="35" spans="1:53" ht="15.75" customHeight="1">
      <c r="A35" s="93"/>
      <c r="B35" s="93"/>
      <c r="C35" s="93"/>
      <c r="D35" s="93"/>
      <c r="E35" s="93"/>
      <c r="F35" s="93"/>
      <c r="G35" s="93"/>
      <c r="H35" s="93"/>
      <c r="I35" s="93"/>
      <c r="J35" s="93"/>
      <c r="K35" s="93"/>
      <c r="L35" s="93"/>
      <c r="M35" s="93"/>
      <c r="N35" s="93"/>
      <c r="O35" s="93"/>
      <c r="P35" s="93"/>
      <c r="Q35" s="93"/>
      <c r="R35" s="93"/>
      <c r="S35" s="93"/>
      <c r="T35" s="93"/>
      <c r="U35" s="93"/>
      <c r="V35" s="88"/>
      <c r="W35" s="331"/>
      <c r="X35" s="331"/>
      <c r="Y35" s="331"/>
      <c r="Z35" s="331"/>
      <c r="AA35" s="331"/>
      <c r="AB35" s="331"/>
      <c r="AC35" s="331"/>
      <c r="AD35" s="331"/>
      <c r="AE35" s="331"/>
      <c r="AF35" s="331"/>
      <c r="AG35" s="331"/>
      <c r="AH35" s="331"/>
      <c r="AI35" s="331"/>
      <c r="AJ35" s="331"/>
      <c r="AK35" s="331"/>
      <c r="AL35" s="331"/>
      <c r="AM35" s="331"/>
      <c r="AN35" s="331"/>
      <c r="AO35" s="331"/>
      <c r="AP35" s="331"/>
      <c r="AQ35" s="331"/>
      <c r="AR35" s="331"/>
      <c r="AS35" s="331"/>
      <c r="AT35" s="331"/>
      <c r="AU35" s="331"/>
      <c r="AV35" s="331"/>
      <c r="AW35" s="331"/>
      <c r="AX35" s="331"/>
      <c r="AY35" s="331"/>
      <c r="AZ35" s="331"/>
    </row>
    <row r="36" spans="1:53" ht="15.75" customHeight="1">
      <c r="A36" s="93" t="s">
        <v>140</v>
      </c>
      <c r="B36" s="93"/>
      <c r="C36" s="93"/>
      <c r="D36" s="93"/>
      <c r="E36" s="93"/>
      <c r="F36" s="93"/>
      <c r="G36" s="93"/>
      <c r="H36" s="93"/>
      <c r="I36" s="93"/>
      <c r="J36" s="93"/>
      <c r="K36" s="93"/>
      <c r="L36" s="93"/>
      <c r="M36" s="93"/>
      <c r="N36" s="93"/>
      <c r="O36" s="93"/>
      <c r="P36" s="93"/>
      <c r="Q36" s="93"/>
      <c r="R36" s="93"/>
      <c r="S36" s="93"/>
      <c r="T36" s="93"/>
      <c r="U36" s="93"/>
      <c r="W36">
        <f t="shared" ref="W36:BA36" si="21">SUM(W38:W71)</f>
        <v>0</v>
      </c>
      <c r="X36">
        <f t="shared" si="21"/>
        <v>0</v>
      </c>
      <c r="Y36">
        <f t="shared" si="21"/>
        <v>90</v>
      </c>
      <c r="Z36">
        <f t="shared" si="21"/>
        <v>80</v>
      </c>
      <c r="AA36">
        <f t="shared" si="21"/>
        <v>0</v>
      </c>
      <c r="AB36">
        <f t="shared" si="21"/>
        <v>0</v>
      </c>
      <c r="AC36">
        <f t="shared" si="21"/>
        <v>68</v>
      </c>
      <c r="AD36">
        <f t="shared" si="21"/>
        <v>0</v>
      </c>
      <c r="AE36">
        <f t="shared" si="21"/>
        <v>0</v>
      </c>
      <c r="AF36">
        <f t="shared" si="21"/>
        <v>0</v>
      </c>
      <c r="AG36">
        <f t="shared" si="21"/>
        <v>51</v>
      </c>
      <c r="AH36">
        <f t="shared" si="21"/>
        <v>125</v>
      </c>
      <c r="AI36">
        <f t="shared" si="21"/>
        <v>0</v>
      </c>
      <c r="AJ36">
        <f t="shared" si="21"/>
        <v>70</v>
      </c>
      <c r="AK36">
        <f t="shared" si="21"/>
        <v>164</v>
      </c>
      <c r="AL36">
        <f t="shared" si="21"/>
        <v>129.80000000000001</v>
      </c>
      <c r="AM36">
        <f t="shared" si="21"/>
        <v>229.4</v>
      </c>
      <c r="AN36">
        <f t="shared" si="21"/>
        <v>49.7</v>
      </c>
      <c r="AO36">
        <f t="shared" si="21"/>
        <v>30.1</v>
      </c>
      <c r="AP36">
        <f t="shared" si="21"/>
        <v>194.3</v>
      </c>
      <c r="AQ36">
        <f t="shared" si="21"/>
        <v>251</v>
      </c>
      <c r="AR36">
        <f t="shared" si="21"/>
        <v>58.4</v>
      </c>
      <c r="AS36">
        <f t="shared" si="21"/>
        <v>0</v>
      </c>
      <c r="AT36">
        <f t="shared" si="21"/>
        <v>42.9</v>
      </c>
      <c r="AU36">
        <f t="shared" si="21"/>
        <v>40.799999999999997</v>
      </c>
      <c r="AV36">
        <f t="shared" si="21"/>
        <v>0</v>
      </c>
      <c r="AW36">
        <f t="shared" si="21"/>
        <v>0</v>
      </c>
      <c r="AX36">
        <f t="shared" si="21"/>
        <v>44</v>
      </c>
      <c r="AY36">
        <f t="shared" si="21"/>
        <v>0</v>
      </c>
      <c r="AZ36">
        <f t="shared" si="21"/>
        <v>56</v>
      </c>
      <c r="BA36">
        <f t="shared" si="21"/>
        <v>0</v>
      </c>
    </row>
    <row r="37" spans="1:53" ht="15.75" customHeight="1">
      <c r="A37" s="349" t="s">
        <v>757</v>
      </c>
      <c r="B37" s="349"/>
      <c r="C37" s="349"/>
      <c r="D37" s="349"/>
      <c r="E37" s="349"/>
      <c r="F37" s="349"/>
      <c r="G37" s="349"/>
      <c r="H37" s="349"/>
      <c r="I37" s="349"/>
      <c r="J37" s="349"/>
      <c r="K37" s="349"/>
      <c r="L37" s="349"/>
      <c r="M37" s="349"/>
      <c r="N37" s="349"/>
      <c r="O37" s="349"/>
      <c r="P37" s="349"/>
      <c r="Q37" s="349"/>
      <c r="R37" s="349"/>
      <c r="S37" s="349"/>
      <c r="T37" s="349"/>
      <c r="U37" s="349"/>
      <c r="V37" t="s">
        <v>758</v>
      </c>
      <c r="W37" s="42">
        <v>2020</v>
      </c>
      <c r="X37" s="42">
        <v>2021</v>
      </c>
      <c r="Y37" s="42">
        <v>2022</v>
      </c>
      <c r="Z37" s="42">
        <v>2023</v>
      </c>
      <c r="AA37" s="42">
        <v>2024</v>
      </c>
      <c r="AB37" s="42">
        <v>2025</v>
      </c>
      <c r="AC37" s="42">
        <v>2026</v>
      </c>
      <c r="AD37" s="42">
        <v>2027</v>
      </c>
      <c r="AE37" s="42">
        <v>2028</v>
      </c>
      <c r="AF37" s="42">
        <v>2029</v>
      </c>
      <c r="AG37" s="42">
        <v>2030</v>
      </c>
      <c r="AH37" s="42">
        <v>2031</v>
      </c>
      <c r="AI37" s="42">
        <v>2032</v>
      </c>
      <c r="AJ37" s="42">
        <v>2033</v>
      </c>
      <c r="AK37" s="42">
        <v>2034</v>
      </c>
      <c r="AL37" s="42">
        <v>2035</v>
      </c>
      <c r="AM37" s="42">
        <v>2036</v>
      </c>
      <c r="AN37" s="42">
        <v>2037</v>
      </c>
      <c r="AO37" s="42">
        <v>2038</v>
      </c>
      <c r="AP37" s="42">
        <v>2039</v>
      </c>
      <c r="AQ37" s="42">
        <v>2040</v>
      </c>
      <c r="AR37" s="42">
        <v>2041</v>
      </c>
      <c r="AS37" s="42">
        <v>2042</v>
      </c>
      <c r="AT37" s="42">
        <v>2043</v>
      </c>
      <c r="AU37" s="42">
        <v>2044</v>
      </c>
      <c r="AV37" s="42">
        <v>2045</v>
      </c>
      <c r="AW37" s="42">
        <v>2046</v>
      </c>
      <c r="AX37" s="42">
        <v>2047</v>
      </c>
      <c r="AY37" s="42">
        <v>2048</v>
      </c>
      <c r="AZ37" s="42">
        <v>2049</v>
      </c>
      <c r="BA37" s="42">
        <v>2050</v>
      </c>
    </row>
    <row r="38" spans="1:53" ht="15.75" customHeight="1">
      <c r="A38" s="362">
        <v>1971</v>
      </c>
      <c r="B38" s="350"/>
      <c r="C38" s="350"/>
      <c r="D38" s="350"/>
      <c r="E38" s="350"/>
      <c r="F38" s="350"/>
      <c r="G38" s="350"/>
      <c r="H38" s="350"/>
      <c r="I38" s="350"/>
      <c r="J38" s="350"/>
      <c r="K38" s="350"/>
      <c r="L38" s="350"/>
      <c r="M38" s="350"/>
      <c r="N38" s="350"/>
      <c r="O38" s="350"/>
      <c r="P38" s="350"/>
      <c r="Q38" s="350"/>
      <c r="R38" s="350"/>
      <c r="S38" s="350"/>
      <c r="T38" s="350"/>
      <c r="U38" s="350"/>
      <c r="V38" s="127">
        <v>90</v>
      </c>
      <c r="W38">
        <f t="shared" ref="W38:W71" si="22">IF(W$37-$A38&gt;$V$25,$V38,0)</f>
        <v>0</v>
      </c>
      <c r="X38">
        <f t="shared" ref="X38:BA38" si="23">IF(AND(X$37-$A38&gt;$V$25,SUM($W38:W38)&lt;&gt;$V38),$V38,0)</f>
        <v>0</v>
      </c>
      <c r="Y38">
        <f t="shared" si="23"/>
        <v>90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spans="1:53" ht="15.75" customHeight="1">
      <c r="A39" s="362">
        <v>1972</v>
      </c>
      <c r="B39" s="350"/>
      <c r="C39" s="350"/>
      <c r="D39" s="350"/>
      <c r="E39" s="350"/>
      <c r="F39" s="350"/>
      <c r="G39" s="350"/>
      <c r="H39" s="350"/>
      <c r="I39" s="350"/>
      <c r="J39" s="350"/>
      <c r="K39" s="350"/>
      <c r="L39" s="350"/>
      <c r="M39" s="350"/>
      <c r="N39" s="350"/>
      <c r="O39" s="350"/>
      <c r="P39" s="350"/>
      <c r="Q39" s="350"/>
      <c r="R39" s="350"/>
      <c r="S39" s="350"/>
      <c r="T39" s="350"/>
      <c r="U39" s="350"/>
      <c r="V39" s="127">
        <v>80</v>
      </c>
      <c r="W39">
        <f t="shared" si="22"/>
        <v>0</v>
      </c>
      <c r="X39">
        <f t="shared" ref="X39:BA39" si="24">IF(AND(X$37-$A39&gt;$V$25,SUM($W39:W39)&lt;&gt;$V39),$V39,0)</f>
        <v>0</v>
      </c>
      <c r="Y39">
        <f t="shared" si="24"/>
        <v>0</v>
      </c>
      <c r="Z39">
        <f t="shared" si="24"/>
        <v>80</v>
      </c>
      <c r="AA39">
        <f t="shared" si="24"/>
        <v>0</v>
      </c>
      <c r="AB39">
        <f t="shared" si="24"/>
        <v>0</v>
      </c>
      <c r="AC39">
        <f t="shared" si="24"/>
        <v>0</v>
      </c>
      <c r="AD39">
        <f t="shared" si="24"/>
        <v>0</v>
      </c>
      <c r="AE39">
        <f t="shared" si="24"/>
        <v>0</v>
      </c>
      <c r="AF39">
        <f t="shared" si="24"/>
        <v>0</v>
      </c>
      <c r="AG39">
        <f t="shared" si="24"/>
        <v>0</v>
      </c>
      <c r="AH39">
        <f t="shared" si="24"/>
        <v>0</v>
      </c>
      <c r="AI39">
        <f t="shared" si="24"/>
        <v>0</v>
      </c>
      <c r="AJ39">
        <f t="shared" si="24"/>
        <v>0</v>
      </c>
      <c r="AK39">
        <f t="shared" si="24"/>
        <v>0</v>
      </c>
      <c r="AL39">
        <f t="shared" si="24"/>
        <v>0</v>
      </c>
      <c r="AM39">
        <f t="shared" si="24"/>
        <v>0</v>
      </c>
      <c r="AN39">
        <f t="shared" si="24"/>
        <v>0</v>
      </c>
      <c r="AO39">
        <f t="shared" si="24"/>
        <v>0</v>
      </c>
      <c r="AP39">
        <f t="shared" si="24"/>
        <v>0</v>
      </c>
      <c r="AQ39">
        <f t="shared" si="24"/>
        <v>0</v>
      </c>
      <c r="AR39">
        <f t="shared" si="24"/>
        <v>0</v>
      </c>
      <c r="AS39">
        <f t="shared" si="24"/>
        <v>0</v>
      </c>
      <c r="AT39">
        <f t="shared" si="24"/>
        <v>0</v>
      </c>
      <c r="AU39">
        <f t="shared" si="24"/>
        <v>0</v>
      </c>
      <c r="AV39">
        <f t="shared" si="24"/>
        <v>0</v>
      </c>
      <c r="AW39">
        <f t="shared" si="24"/>
        <v>0</v>
      </c>
      <c r="AX39">
        <f t="shared" si="24"/>
        <v>0</v>
      </c>
      <c r="AY39">
        <f t="shared" si="24"/>
        <v>0</v>
      </c>
      <c r="AZ39">
        <f t="shared" si="24"/>
        <v>0</v>
      </c>
      <c r="BA39">
        <f t="shared" si="24"/>
        <v>0</v>
      </c>
    </row>
    <row r="40" spans="1:53" ht="15.75" customHeight="1">
      <c r="A40" s="362">
        <v>1975</v>
      </c>
      <c r="B40" s="350"/>
      <c r="C40" s="350"/>
      <c r="D40" s="350"/>
      <c r="E40" s="350"/>
      <c r="F40" s="350"/>
      <c r="G40" s="350"/>
      <c r="H40" s="350"/>
      <c r="I40" s="350"/>
      <c r="J40" s="350"/>
      <c r="K40" s="350"/>
      <c r="L40" s="350"/>
      <c r="M40" s="350"/>
      <c r="N40" s="350"/>
      <c r="O40" s="350"/>
      <c r="P40" s="350"/>
      <c r="Q40" s="350"/>
      <c r="R40" s="350"/>
      <c r="S40" s="350"/>
      <c r="T40" s="350"/>
      <c r="U40" s="350"/>
      <c r="V40" s="127">
        <v>68</v>
      </c>
      <c r="W40">
        <f t="shared" si="22"/>
        <v>0</v>
      </c>
      <c r="X40">
        <f t="shared" ref="X40:BA40" si="25">IF(AND(X$37-$A40&gt;$V$25,SUM($W40:W40)&lt;&gt;$V40),$V40,0)</f>
        <v>0</v>
      </c>
      <c r="Y40">
        <f t="shared" si="25"/>
        <v>0</v>
      </c>
      <c r="Z40">
        <f t="shared" si="25"/>
        <v>0</v>
      </c>
      <c r="AA40">
        <f t="shared" si="25"/>
        <v>0</v>
      </c>
      <c r="AB40">
        <f t="shared" si="25"/>
        <v>0</v>
      </c>
      <c r="AC40">
        <f t="shared" si="25"/>
        <v>68</v>
      </c>
      <c r="AD40">
        <f t="shared" si="25"/>
        <v>0</v>
      </c>
      <c r="AE40">
        <f t="shared" si="25"/>
        <v>0</v>
      </c>
      <c r="AF40">
        <f t="shared" si="25"/>
        <v>0</v>
      </c>
      <c r="AG40">
        <f t="shared" si="25"/>
        <v>0</v>
      </c>
      <c r="AH40">
        <f t="shared" si="25"/>
        <v>0</v>
      </c>
      <c r="AI40">
        <f t="shared" si="25"/>
        <v>0</v>
      </c>
      <c r="AJ40">
        <f t="shared" si="25"/>
        <v>0</v>
      </c>
      <c r="AK40">
        <f t="shared" si="25"/>
        <v>0</v>
      </c>
      <c r="AL40">
        <f t="shared" si="25"/>
        <v>0</v>
      </c>
      <c r="AM40">
        <f t="shared" si="25"/>
        <v>0</v>
      </c>
      <c r="AN40">
        <f t="shared" si="25"/>
        <v>0</v>
      </c>
      <c r="AO40">
        <f t="shared" si="25"/>
        <v>0</v>
      </c>
      <c r="AP40">
        <f t="shared" si="25"/>
        <v>0</v>
      </c>
      <c r="AQ40">
        <f t="shared" si="25"/>
        <v>0</v>
      </c>
      <c r="AR40">
        <f t="shared" si="25"/>
        <v>0</v>
      </c>
      <c r="AS40">
        <f t="shared" si="25"/>
        <v>0</v>
      </c>
      <c r="AT40">
        <f t="shared" si="25"/>
        <v>0</v>
      </c>
      <c r="AU40">
        <f t="shared" si="25"/>
        <v>0</v>
      </c>
      <c r="AV40">
        <f t="shared" si="25"/>
        <v>0</v>
      </c>
      <c r="AW40">
        <f t="shared" si="25"/>
        <v>0</v>
      </c>
      <c r="AX40">
        <f t="shared" si="25"/>
        <v>0</v>
      </c>
      <c r="AY40">
        <f t="shared" si="25"/>
        <v>0</v>
      </c>
      <c r="AZ40">
        <f t="shared" si="25"/>
        <v>0</v>
      </c>
      <c r="BA40">
        <f t="shared" si="25"/>
        <v>0</v>
      </c>
    </row>
    <row r="41" spans="1:53" ht="15.75" customHeight="1">
      <c r="A41" s="362">
        <v>1979</v>
      </c>
      <c r="B41" s="350"/>
      <c r="C41" s="350"/>
      <c r="D41" s="350"/>
      <c r="E41" s="350"/>
      <c r="F41" s="350"/>
      <c r="G41" s="350"/>
      <c r="H41" s="350"/>
      <c r="I41" s="350"/>
      <c r="J41" s="350"/>
      <c r="K41" s="350"/>
      <c r="L41" s="350"/>
      <c r="M41" s="350"/>
      <c r="N41" s="350"/>
      <c r="O41" s="350"/>
      <c r="P41" s="350"/>
      <c r="Q41" s="350"/>
      <c r="R41" s="350"/>
      <c r="S41" s="350"/>
      <c r="T41" s="350"/>
      <c r="U41" s="350"/>
      <c r="V41" s="127">
        <v>51</v>
      </c>
      <c r="W41">
        <f t="shared" si="22"/>
        <v>0</v>
      </c>
      <c r="X41">
        <f t="shared" ref="X41:BA41" si="26">IF(AND(X$37-$A41&gt;$V$25,SUM($W41:W41)&lt;&gt;$V41),$V41,0)</f>
        <v>0</v>
      </c>
      <c r="Y41">
        <f t="shared" si="26"/>
        <v>0</v>
      </c>
      <c r="Z41">
        <f t="shared" si="26"/>
        <v>0</v>
      </c>
      <c r="AA41">
        <f t="shared" si="26"/>
        <v>0</v>
      </c>
      <c r="AB41">
        <f t="shared" si="26"/>
        <v>0</v>
      </c>
      <c r="AC41">
        <f t="shared" si="26"/>
        <v>0</v>
      </c>
      <c r="AD41">
        <f t="shared" si="26"/>
        <v>0</v>
      </c>
      <c r="AE41">
        <f t="shared" si="26"/>
        <v>0</v>
      </c>
      <c r="AF41">
        <f t="shared" si="26"/>
        <v>0</v>
      </c>
      <c r="AG41">
        <f t="shared" si="26"/>
        <v>51</v>
      </c>
      <c r="AH41">
        <f t="shared" si="26"/>
        <v>0</v>
      </c>
      <c r="AI41">
        <f t="shared" si="26"/>
        <v>0</v>
      </c>
      <c r="AJ41">
        <f t="shared" si="26"/>
        <v>0</v>
      </c>
      <c r="AK41">
        <f t="shared" si="26"/>
        <v>0</v>
      </c>
      <c r="AL41">
        <f t="shared" si="26"/>
        <v>0</v>
      </c>
      <c r="AM41">
        <f t="shared" si="26"/>
        <v>0</v>
      </c>
      <c r="AN41">
        <f t="shared" si="26"/>
        <v>0</v>
      </c>
      <c r="AO41">
        <f t="shared" si="26"/>
        <v>0</v>
      </c>
      <c r="AP41">
        <f t="shared" si="26"/>
        <v>0</v>
      </c>
      <c r="AQ41">
        <f t="shared" si="26"/>
        <v>0</v>
      </c>
      <c r="AR41">
        <f t="shared" si="26"/>
        <v>0</v>
      </c>
      <c r="AS41">
        <f t="shared" si="26"/>
        <v>0</v>
      </c>
      <c r="AT41">
        <f t="shared" si="26"/>
        <v>0</v>
      </c>
      <c r="AU41">
        <f t="shared" si="26"/>
        <v>0</v>
      </c>
      <c r="AV41">
        <f t="shared" si="26"/>
        <v>0</v>
      </c>
      <c r="AW41">
        <f t="shared" si="26"/>
        <v>0</v>
      </c>
      <c r="AX41">
        <f t="shared" si="26"/>
        <v>0</v>
      </c>
      <c r="AY41">
        <f t="shared" si="26"/>
        <v>0</v>
      </c>
      <c r="AZ41">
        <f t="shared" si="26"/>
        <v>0</v>
      </c>
      <c r="BA41">
        <f t="shared" si="26"/>
        <v>0</v>
      </c>
    </row>
    <row r="42" spans="1:53" ht="15.75" customHeight="1">
      <c r="A42" s="362">
        <v>1980</v>
      </c>
      <c r="B42" s="350"/>
      <c r="C42" s="350"/>
      <c r="D42" s="350"/>
      <c r="E42" s="350"/>
      <c r="F42" s="350"/>
      <c r="G42" s="350"/>
      <c r="H42" s="350"/>
      <c r="I42" s="350"/>
      <c r="J42" s="350"/>
      <c r="K42" s="350"/>
      <c r="L42" s="350"/>
      <c r="M42" s="350"/>
      <c r="N42" s="350"/>
      <c r="O42" s="350"/>
      <c r="P42" s="350"/>
      <c r="Q42" s="350"/>
      <c r="R42" s="350"/>
      <c r="S42" s="350"/>
      <c r="T42" s="350"/>
      <c r="U42" s="350"/>
      <c r="V42" s="127">
        <v>125</v>
      </c>
      <c r="W42">
        <f t="shared" si="22"/>
        <v>0</v>
      </c>
      <c r="X42">
        <f t="shared" ref="X42:BA42" si="27">IF(AND(X$37-$A42&gt;$V$25,SUM($W42:W42)&lt;&gt;$V42),$V42,0)</f>
        <v>0</v>
      </c>
      <c r="Y42">
        <f t="shared" si="27"/>
        <v>0</v>
      </c>
      <c r="Z42">
        <f t="shared" si="27"/>
        <v>0</v>
      </c>
      <c r="AA42">
        <f t="shared" si="27"/>
        <v>0</v>
      </c>
      <c r="AB42">
        <f t="shared" si="27"/>
        <v>0</v>
      </c>
      <c r="AC42">
        <f t="shared" si="27"/>
        <v>0</v>
      </c>
      <c r="AD42">
        <f t="shared" si="27"/>
        <v>0</v>
      </c>
      <c r="AE42">
        <f t="shared" si="27"/>
        <v>0</v>
      </c>
      <c r="AF42">
        <f t="shared" si="27"/>
        <v>0</v>
      </c>
      <c r="AG42">
        <f t="shared" si="27"/>
        <v>0</v>
      </c>
      <c r="AH42">
        <f t="shared" si="27"/>
        <v>125</v>
      </c>
      <c r="AI42">
        <f t="shared" si="27"/>
        <v>0</v>
      </c>
      <c r="AJ42">
        <f t="shared" si="27"/>
        <v>0</v>
      </c>
      <c r="AK42">
        <f t="shared" si="27"/>
        <v>0</v>
      </c>
      <c r="AL42">
        <f t="shared" si="27"/>
        <v>0</v>
      </c>
      <c r="AM42">
        <f t="shared" si="27"/>
        <v>0</v>
      </c>
      <c r="AN42">
        <f t="shared" si="27"/>
        <v>0</v>
      </c>
      <c r="AO42">
        <f t="shared" si="27"/>
        <v>0</v>
      </c>
      <c r="AP42">
        <f t="shared" si="27"/>
        <v>0</v>
      </c>
      <c r="AQ42">
        <f t="shared" si="27"/>
        <v>0</v>
      </c>
      <c r="AR42">
        <f t="shared" si="27"/>
        <v>0</v>
      </c>
      <c r="AS42">
        <f t="shared" si="27"/>
        <v>0</v>
      </c>
      <c r="AT42">
        <f t="shared" si="27"/>
        <v>0</v>
      </c>
      <c r="AU42">
        <f t="shared" si="27"/>
        <v>0</v>
      </c>
      <c r="AV42">
        <f t="shared" si="27"/>
        <v>0</v>
      </c>
      <c r="AW42">
        <f t="shared" si="27"/>
        <v>0</v>
      </c>
      <c r="AX42">
        <f t="shared" si="27"/>
        <v>0</v>
      </c>
      <c r="AY42">
        <f t="shared" si="27"/>
        <v>0</v>
      </c>
      <c r="AZ42">
        <f t="shared" si="27"/>
        <v>0</v>
      </c>
      <c r="BA42">
        <f t="shared" si="27"/>
        <v>0</v>
      </c>
    </row>
    <row r="43" spans="1:53" ht="15.75" customHeight="1">
      <c r="A43" s="362">
        <v>1982</v>
      </c>
      <c r="B43" s="350"/>
      <c r="C43" s="350"/>
      <c r="D43" s="350"/>
      <c r="E43" s="350"/>
      <c r="F43" s="350"/>
      <c r="G43" s="350"/>
      <c r="H43" s="350"/>
      <c r="I43" s="350"/>
      <c r="J43" s="350"/>
      <c r="K43" s="350"/>
      <c r="L43" s="350"/>
      <c r="M43" s="350"/>
      <c r="N43" s="350"/>
      <c r="O43" s="350"/>
      <c r="P43" s="350"/>
      <c r="Q43" s="350"/>
      <c r="R43" s="350"/>
      <c r="S43" s="350"/>
      <c r="T43" s="350"/>
      <c r="U43" s="350"/>
      <c r="V43" s="127">
        <v>70</v>
      </c>
      <c r="W43">
        <f t="shared" si="22"/>
        <v>0</v>
      </c>
      <c r="X43">
        <f t="shared" ref="X43:BA43" si="28">IF(AND(X$37-$A43&gt;$V$25,SUM($W43:W43)&lt;&gt;$V43),$V43,0)</f>
        <v>0</v>
      </c>
      <c r="Y43">
        <f t="shared" si="28"/>
        <v>0</v>
      </c>
      <c r="Z43">
        <f t="shared" si="28"/>
        <v>0</v>
      </c>
      <c r="AA43">
        <f t="shared" si="28"/>
        <v>0</v>
      </c>
      <c r="AB43">
        <f t="shared" si="28"/>
        <v>0</v>
      </c>
      <c r="AC43">
        <f t="shared" si="28"/>
        <v>0</v>
      </c>
      <c r="AD43">
        <f t="shared" si="28"/>
        <v>0</v>
      </c>
      <c r="AE43">
        <f t="shared" si="28"/>
        <v>0</v>
      </c>
      <c r="AF43">
        <f t="shared" si="28"/>
        <v>0</v>
      </c>
      <c r="AG43">
        <f t="shared" si="28"/>
        <v>0</v>
      </c>
      <c r="AH43">
        <f t="shared" si="28"/>
        <v>0</v>
      </c>
      <c r="AI43">
        <f t="shared" si="28"/>
        <v>0</v>
      </c>
      <c r="AJ43">
        <f t="shared" si="28"/>
        <v>70</v>
      </c>
      <c r="AK43">
        <f t="shared" si="28"/>
        <v>0</v>
      </c>
      <c r="AL43">
        <f t="shared" si="28"/>
        <v>0</v>
      </c>
      <c r="AM43">
        <f t="shared" si="28"/>
        <v>0</v>
      </c>
      <c r="AN43">
        <f t="shared" si="28"/>
        <v>0</v>
      </c>
      <c r="AO43">
        <f t="shared" si="28"/>
        <v>0</v>
      </c>
      <c r="AP43">
        <f t="shared" si="28"/>
        <v>0</v>
      </c>
      <c r="AQ43">
        <f t="shared" si="28"/>
        <v>0</v>
      </c>
      <c r="AR43">
        <f t="shared" si="28"/>
        <v>0</v>
      </c>
      <c r="AS43">
        <f t="shared" si="28"/>
        <v>0</v>
      </c>
      <c r="AT43">
        <f t="shared" si="28"/>
        <v>0</v>
      </c>
      <c r="AU43">
        <f t="shared" si="28"/>
        <v>0</v>
      </c>
      <c r="AV43">
        <f t="shared" si="28"/>
        <v>0</v>
      </c>
      <c r="AW43">
        <f t="shared" si="28"/>
        <v>0</v>
      </c>
      <c r="AX43">
        <f t="shared" si="28"/>
        <v>0</v>
      </c>
      <c r="AY43">
        <f t="shared" si="28"/>
        <v>0</v>
      </c>
      <c r="AZ43">
        <f t="shared" si="28"/>
        <v>0</v>
      </c>
      <c r="BA43">
        <f t="shared" si="28"/>
        <v>0</v>
      </c>
    </row>
    <row r="44" spans="1:53" ht="15.75" customHeight="1">
      <c r="A44" s="362">
        <v>1983</v>
      </c>
      <c r="B44" s="350"/>
      <c r="C44" s="350"/>
      <c r="D44" s="350"/>
      <c r="E44" s="350"/>
      <c r="F44" s="350"/>
      <c r="G44" s="350"/>
      <c r="H44" s="350"/>
      <c r="I44" s="350"/>
      <c r="J44" s="350"/>
      <c r="K44" s="350"/>
      <c r="L44" s="350"/>
      <c r="M44" s="350"/>
      <c r="N44" s="350"/>
      <c r="O44" s="350"/>
      <c r="P44" s="350"/>
      <c r="Q44" s="350"/>
      <c r="R44" s="350"/>
      <c r="S44" s="350"/>
      <c r="T44" s="350"/>
      <c r="U44" s="350"/>
      <c r="V44" s="127">
        <v>164</v>
      </c>
      <c r="W44">
        <f t="shared" si="22"/>
        <v>0</v>
      </c>
      <c r="X44">
        <f t="shared" ref="X44:BA44" si="29">IF(AND(X$37-$A44&gt;$V$25,SUM($W44:W44)&lt;&gt;$V44),$V44,0)</f>
        <v>0</v>
      </c>
      <c r="Y44">
        <f t="shared" si="29"/>
        <v>0</v>
      </c>
      <c r="Z44">
        <f t="shared" si="29"/>
        <v>0</v>
      </c>
      <c r="AA44">
        <f t="shared" si="29"/>
        <v>0</v>
      </c>
      <c r="AB44">
        <f t="shared" si="29"/>
        <v>0</v>
      </c>
      <c r="AC44">
        <f t="shared" si="29"/>
        <v>0</v>
      </c>
      <c r="AD44">
        <f t="shared" si="29"/>
        <v>0</v>
      </c>
      <c r="AE44">
        <f t="shared" si="29"/>
        <v>0</v>
      </c>
      <c r="AF44">
        <f t="shared" si="29"/>
        <v>0</v>
      </c>
      <c r="AG44">
        <f t="shared" si="29"/>
        <v>0</v>
      </c>
      <c r="AH44">
        <f t="shared" si="29"/>
        <v>0</v>
      </c>
      <c r="AI44">
        <f t="shared" si="29"/>
        <v>0</v>
      </c>
      <c r="AJ44">
        <f t="shared" si="29"/>
        <v>0</v>
      </c>
      <c r="AK44">
        <f t="shared" si="29"/>
        <v>164</v>
      </c>
      <c r="AL44">
        <f t="shared" si="29"/>
        <v>0</v>
      </c>
      <c r="AM44">
        <f t="shared" si="29"/>
        <v>0</v>
      </c>
      <c r="AN44">
        <f t="shared" si="29"/>
        <v>0</v>
      </c>
      <c r="AO44">
        <f t="shared" si="29"/>
        <v>0</v>
      </c>
      <c r="AP44">
        <f t="shared" si="29"/>
        <v>0</v>
      </c>
      <c r="AQ44">
        <f t="shared" si="29"/>
        <v>0</v>
      </c>
      <c r="AR44">
        <f t="shared" si="29"/>
        <v>0</v>
      </c>
      <c r="AS44">
        <f t="shared" si="29"/>
        <v>0</v>
      </c>
      <c r="AT44">
        <f t="shared" si="29"/>
        <v>0</v>
      </c>
      <c r="AU44">
        <f t="shared" si="29"/>
        <v>0</v>
      </c>
      <c r="AV44">
        <f t="shared" si="29"/>
        <v>0</v>
      </c>
      <c r="AW44">
        <f t="shared" si="29"/>
        <v>0</v>
      </c>
      <c r="AX44">
        <f t="shared" si="29"/>
        <v>0</v>
      </c>
      <c r="AY44">
        <f t="shared" si="29"/>
        <v>0</v>
      </c>
      <c r="AZ44">
        <f t="shared" si="29"/>
        <v>0</v>
      </c>
      <c r="BA44">
        <f t="shared" si="29"/>
        <v>0</v>
      </c>
    </row>
    <row r="45" spans="1:53" ht="15.75" customHeight="1">
      <c r="A45" s="362">
        <v>1984</v>
      </c>
      <c r="B45" s="350"/>
      <c r="C45" s="350"/>
      <c r="D45" s="350"/>
      <c r="E45" s="350"/>
      <c r="F45" s="350"/>
      <c r="G45" s="350"/>
      <c r="H45" s="350"/>
      <c r="I45" s="350"/>
      <c r="J45" s="350"/>
      <c r="K45" s="350"/>
      <c r="L45" s="350"/>
      <c r="M45" s="350"/>
      <c r="N45" s="350"/>
      <c r="O45" s="350"/>
      <c r="P45" s="350"/>
      <c r="Q45" s="350"/>
      <c r="R45" s="350"/>
      <c r="S45" s="350"/>
      <c r="T45" s="350"/>
      <c r="U45" s="350"/>
      <c r="V45" s="127">
        <v>129.80000000000001</v>
      </c>
      <c r="W45">
        <f t="shared" si="22"/>
        <v>0</v>
      </c>
      <c r="X45">
        <f t="shared" ref="X45:BA45" si="30">IF(AND(X$37-$A45&gt;$V$25,SUM($W45:W45)&lt;&gt;$V45),$V45,0)</f>
        <v>0</v>
      </c>
      <c r="Y45">
        <f t="shared" si="30"/>
        <v>0</v>
      </c>
      <c r="Z45">
        <f t="shared" si="30"/>
        <v>0</v>
      </c>
      <c r="AA45">
        <f t="shared" si="30"/>
        <v>0</v>
      </c>
      <c r="AB45">
        <f t="shared" si="30"/>
        <v>0</v>
      </c>
      <c r="AC45">
        <f t="shared" si="30"/>
        <v>0</v>
      </c>
      <c r="AD45">
        <f t="shared" si="30"/>
        <v>0</v>
      </c>
      <c r="AE45">
        <f t="shared" si="30"/>
        <v>0</v>
      </c>
      <c r="AF45">
        <f t="shared" si="30"/>
        <v>0</v>
      </c>
      <c r="AG45">
        <f t="shared" si="30"/>
        <v>0</v>
      </c>
      <c r="AH45">
        <f t="shared" si="30"/>
        <v>0</v>
      </c>
      <c r="AI45">
        <f t="shared" si="30"/>
        <v>0</v>
      </c>
      <c r="AJ45">
        <f t="shared" si="30"/>
        <v>0</v>
      </c>
      <c r="AK45">
        <f t="shared" si="30"/>
        <v>0</v>
      </c>
      <c r="AL45">
        <f t="shared" si="30"/>
        <v>129.80000000000001</v>
      </c>
      <c r="AM45">
        <f t="shared" si="30"/>
        <v>0</v>
      </c>
      <c r="AN45">
        <f t="shared" si="30"/>
        <v>0</v>
      </c>
      <c r="AO45">
        <f t="shared" si="30"/>
        <v>0</v>
      </c>
      <c r="AP45">
        <f t="shared" si="30"/>
        <v>0</v>
      </c>
      <c r="AQ45">
        <f t="shared" si="30"/>
        <v>0</v>
      </c>
      <c r="AR45">
        <f t="shared" si="30"/>
        <v>0</v>
      </c>
      <c r="AS45">
        <f t="shared" si="30"/>
        <v>0</v>
      </c>
      <c r="AT45">
        <f t="shared" si="30"/>
        <v>0</v>
      </c>
      <c r="AU45">
        <f t="shared" si="30"/>
        <v>0</v>
      </c>
      <c r="AV45">
        <f t="shared" si="30"/>
        <v>0</v>
      </c>
      <c r="AW45">
        <f t="shared" si="30"/>
        <v>0</v>
      </c>
      <c r="AX45">
        <f t="shared" si="30"/>
        <v>0</v>
      </c>
      <c r="AY45">
        <f t="shared" si="30"/>
        <v>0</v>
      </c>
      <c r="AZ45">
        <f t="shared" si="30"/>
        <v>0</v>
      </c>
      <c r="BA45">
        <f t="shared" si="30"/>
        <v>0</v>
      </c>
    </row>
    <row r="46" spans="1:53" ht="15.75" customHeight="1">
      <c r="A46" s="362">
        <v>1985</v>
      </c>
      <c r="B46" s="350"/>
      <c r="C46" s="350"/>
      <c r="D46" s="350"/>
      <c r="E46" s="350"/>
      <c r="F46" s="350"/>
      <c r="G46" s="350"/>
      <c r="H46" s="350"/>
      <c r="I46" s="350"/>
      <c r="J46" s="350"/>
      <c r="K46" s="350"/>
      <c r="L46" s="350"/>
      <c r="M46" s="350"/>
      <c r="N46" s="350"/>
      <c r="O46" s="350"/>
      <c r="P46" s="350"/>
      <c r="Q46" s="350"/>
      <c r="R46" s="350"/>
      <c r="S46" s="350"/>
      <c r="T46" s="350"/>
      <c r="U46" s="350"/>
      <c r="V46" s="127">
        <v>229.4</v>
      </c>
      <c r="W46">
        <f t="shared" si="22"/>
        <v>0</v>
      </c>
      <c r="X46">
        <f t="shared" ref="X46:BA46" si="31">IF(AND(X$37-$A46&gt;$V$25,SUM($W46:W46)&lt;&gt;$V46),$V46,0)</f>
        <v>0</v>
      </c>
      <c r="Y46">
        <f t="shared" si="31"/>
        <v>0</v>
      </c>
      <c r="Z46">
        <f t="shared" si="31"/>
        <v>0</v>
      </c>
      <c r="AA46">
        <f t="shared" si="31"/>
        <v>0</v>
      </c>
      <c r="AB46">
        <f t="shared" si="31"/>
        <v>0</v>
      </c>
      <c r="AC46">
        <f t="shared" si="31"/>
        <v>0</v>
      </c>
      <c r="AD46">
        <f t="shared" si="31"/>
        <v>0</v>
      </c>
      <c r="AE46">
        <f t="shared" si="31"/>
        <v>0</v>
      </c>
      <c r="AF46">
        <f t="shared" si="31"/>
        <v>0</v>
      </c>
      <c r="AG46">
        <f t="shared" si="31"/>
        <v>0</v>
      </c>
      <c r="AH46">
        <f t="shared" si="31"/>
        <v>0</v>
      </c>
      <c r="AI46">
        <f t="shared" si="31"/>
        <v>0</v>
      </c>
      <c r="AJ46">
        <f t="shared" si="31"/>
        <v>0</v>
      </c>
      <c r="AK46">
        <f t="shared" si="31"/>
        <v>0</v>
      </c>
      <c r="AL46">
        <f t="shared" si="31"/>
        <v>0</v>
      </c>
      <c r="AM46">
        <f t="shared" si="31"/>
        <v>229.4</v>
      </c>
      <c r="AN46">
        <f t="shared" si="31"/>
        <v>0</v>
      </c>
      <c r="AO46">
        <f t="shared" si="31"/>
        <v>0</v>
      </c>
      <c r="AP46">
        <f t="shared" si="31"/>
        <v>0</v>
      </c>
      <c r="AQ46">
        <f t="shared" si="31"/>
        <v>0</v>
      </c>
      <c r="AR46">
        <f t="shared" si="31"/>
        <v>0</v>
      </c>
      <c r="AS46">
        <f t="shared" si="31"/>
        <v>0</v>
      </c>
      <c r="AT46">
        <f t="shared" si="31"/>
        <v>0</v>
      </c>
      <c r="AU46">
        <f t="shared" si="31"/>
        <v>0</v>
      </c>
      <c r="AV46">
        <f t="shared" si="31"/>
        <v>0</v>
      </c>
      <c r="AW46">
        <f t="shared" si="31"/>
        <v>0</v>
      </c>
      <c r="AX46">
        <f t="shared" si="31"/>
        <v>0</v>
      </c>
      <c r="AY46">
        <f t="shared" si="31"/>
        <v>0</v>
      </c>
      <c r="AZ46">
        <f t="shared" si="31"/>
        <v>0</v>
      </c>
      <c r="BA46">
        <f t="shared" si="31"/>
        <v>0</v>
      </c>
    </row>
    <row r="47" spans="1:53" ht="15.75" customHeight="1">
      <c r="A47" s="362">
        <v>1986</v>
      </c>
      <c r="B47" s="350"/>
      <c r="C47" s="350"/>
      <c r="D47" s="350"/>
      <c r="E47" s="350"/>
      <c r="F47" s="350"/>
      <c r="G47" s="350"/>
      <c r="H47" s="350"/>
      <c r="I47" s="350"/>
      <c r="J47" s="350"/>
      <c r="K47" s="350"/>
      <c r="L47" s="350"/>
      <c r="M47" s="350"/>
      <c r="N47" s="350"/>
      <c r="O47" s="350"/>
      <c r="P47" s="350"/>
      <c r="Q47" s="350"/>
      <c r="R47" s="350"/>
      <c r="S47" s="350"/>
      <c r="T47" s="350"/>
      <c r="U47" s="350"/>
      <c r="V47" s="127">
        <v>49.7</v>
      </c>
      <c r="W47">
        <f t="shared" si="22"/>
        <v>0</v>
      </c>
      <c r="X47">
        <f t="shared" ref="X47:BA47" si="32">IF(AND(X$37-$A47&gt;$V$25,SUM($W47:W47)&lt;&gt;$V47),$V47,0)</f>
        <v>0</v>
      </c>
      <c r="Y47">
        <f t="shared" si="32"/>
        <v>0</v>
      </c>
      <c r="Z47">
        <f t="shared" si="32"/>
        <v>0</v>
      </c>
      <c r="AA47">
        <f t="shared" si="32"/>
        <v>0</v>
      </c>
      <c r="AB47">
        <f t="shared" si="32"/>
        <v>0</v>
      </c>
      <c r="AC47">
        <f t="shared" si="32"/>
        <v>0</v>
      </c>
      <c r="AD47">
        <f t="shared" si="32"/>
        <v>0</v>
      </c>
      <c r="AE47">
        <f t="shared" si="32"/>
        <v>0</v>
      </c>
      <c r="AF47">
        <f t="shared" si="32"/>
        <v>0</v>
      </c>
      <c r="AG47">
        <f t="shared" si="32"/>
        <v>0</v>
      </c>
      <c r="AH47">
        <f t="shared" si="32"/>
        <v>0</v>
      </c>
      <c r="AI47">
        <f t="shared" si="32"/>
        <v>0</v>
      </c>
      <c r="AJ47">
        <f t="shared" si="32"/>
        <v>0</v>
      </c>
      <c r="AK47">
        <f t="shared" si="32"/>
        <v>0</v>
      </c>
      <c r="AL47">
        <f t="shared" si="32"/>
        <v>0</v>
      </c>
      <c r="AM47">
        <f t="shared" si="32"/>
        <v>0</v>
      </c>
      <c r="AN47">
        <f t="shared" si="32"/>
        <v>49.7</v>
      </c>
      <c r="AO47">
        <f t="shared" si="32"/>
        <v>0</v>
      </c>
      <c r="AP47">
        <f t="shared" si="32"/>
        <v>0</v>
      </c>
      <c r="AQ47">
        <f t="shared" si="32"/>
        <v>0</v>
      </c>
      <c r="AR47">
        <f t="shared" si="32"/>
        <v>0</v>
      </c>
      <c r="AS47">
        <f t="shared" si="32"/>
        <v>0</v>
      </c>
      <c r="AT47">
        <f t="shared" si="32"/>
        <v>0</v>
      </c>
      <c r="AU47">
        <f t="shared" si="32"/>
        <v>0</v>
      </c>
      <c r="AV47">
        <f t="shared" si="32"/>
        <v>0</v>
      </c>
      <c r="AW47">
        <f t="shared" si="32"/>
        <v>0</v>
      </c>
      <c r="AX47">
        <f t="shared" si="32"/>
        <v>0</v>
      </c>
      <c r="AY47">
        <f t="shared" si="32"/>
        <v>0</v>
      </c>
      <c r="AZ47">
        <f t="shared" si="32"/>
        <v>0</v>
      </c>
      <c r="BA47">
        <f t="shared" si="32"/>
        <v>0</v>
      </c>
    </row>
    <row r="48" spans="1:53" ht="15.75" customHeight="1">
      <c r="A48" s="362">
        <v>1987</v>
      </c>
      <c r="B48" s="350"/>
      <c r="C48" s="350"/>
      <c r="D48" s="350"/>
      <c r="E48" s="350"/>
      <c r="F48" s="350"/>
      <c r="G48" s="350"/>
      <c r="H48" s="350"/>
      <c r="I48" s="350"/>
      <c r="J48" s="350"/>
      <c r="K48" s="350"/>
      <c r="L48" s="350"/>
      <c r="M48" s="350"/>
      <c r="N48" s="350"/>
      <c r="O48" s="350"/>
      <c r="P48" s="350"/>
      <c r="Q48" s="350"/>
      <c r="R48" s="350"/>
      <c r="S48" s="350"/>
      <c r="T48" s="350"/>
      <c r="U48" s="350"/>
      <c r="V48" s="127">
        <v>30.1</v>
      </c>
      <c r="W48">
        <f t="shared" si="22"/>
        <v>0</v>
      </c>
      <c r="X48">
        <f t="shared" ref="X48:BA48" si="33">IF(AND(X$37-$A48&gt;$V$25,SUM($W48:W48)&lt;&gt;$V48),$V48,0)</f>
        <v>0</v>
      </c>
      <c r="Y48">
        <f t="shared" si="33"/>
        <v>0</v>
      </c>
      <c r="Z48">
        <f t="shared" si="33"/>
        <v>0</v>
      </c>
      <c r="AA48">
        <f t="shared" si="33"/>
        <v>0</v>
      </c>
      <c r="AB48">
        <f t="shared" si="33"/>
        <v>0</v>
      </c>
      <c r="AC48">
        <f t="shared" si="33"/>
        <v>0</v>
      </c>
      <c r="AD48">
        <f t="shared" si="33"/>
        <v>0</v>
      </c>
      <c r="AE48">
        <f t="shared" si="33"/>
        <v>0</v>
      </c>
      <c r="AF48">
        <f t="shared" si="33"/>
        <v>0</v>
      </c>
      <c r="AG48">
        <f t="shared" si="33"/>
        <v>0</v>
      </c>
      <c r="AH48">
        <f t="shared" si="33"/>
        <v>0</v>
      </c>
      <c r="AI48">
        <f t="shared" si="33"/>
        <v>0</v>
      </c>
      <c r="AJ48">
        <f t="shared" si="33"/>
        <v>0</v>
      </c>
      <c r="AK48">
        <f t="shared" si="33"/>
        <v>0</v>
      </c>
      <c r="AL48">
        <f t="shared" si="33"/>
        <v>0</v>
      </c>
      <c r="AM48">
        <f t="shared" si="33"/>
        <v>0</v>
      </c>
      <c r="AN48">
        <f t="shared" si="33"/>
        <v>0</v>
      </c>
      <c r="AO48">
        <f t="shared" si="33"/>
        <v>30.1</v>
      </c>
      <c r="AP48">
        <f t="shared" si="33"/>
        <v>0</v>
      </c>
      <c r="AQ48">
        <f t="shared" si="33"/>
        <v>0</v>
      </c>
      <c r="AR48">
        <f t="shared" si="33"/>
        <v>0</v>
      </c>
      <c r="AS48">
        <f t="shared" si="33"/>
        <v>0</v>
      </c>
      <c r="AT48">
        <f t="shared" si="33"/>
        <v>0</v>
      </c>
      <c r="AU48">
        <f t="shared" si="33"/>
        <v>0</v>
      </c>
      <c r="AV48">
        <f t="shared" si="33"/>
        <v>0</v>
      </c>
      <c r="AW48">
        <f t="shared" si="33"/>
        <v>0</v>
      </c>
      <c r="AX48">
        <f t="shared" si="33"/>
        <v>0</v>
      </c>
      <c r="AY48">
        <f t="shared" si="33"/>
        <v>0</v>
      </c>
      <c r="AZ48">
        <f t="shared" si="33"/>
        <v>0</v>
      </c>
      <c r="BA48">
        <f t="shared" si="33"/>
        <v>0</v>
      </c>
    </row>
    <row r="49" spans="1:53" ht="15.75" customHeight="1">
      <c r="A49" s="362">
        <v>1988</v>
      </c>
      <c r="B49" s="350"/>
      <c r="C49" s="350"/>
      <c r="D49" s="350"/>
      <c r="E49" s="350"/>
      <c r="F49" s="350"/>
      <c r="G49" s="350"/>
      <c r="H49" s="350"/>
      <c r="I49" s="350"/>
      <c r="J49" s="350"/>
      <c r="K49" s="350"/>
      <c r="L49" s="350"/>
      <c r="M49" s="350"/>
      <c r="N49" s="350"/>
      <c r="O49" s="350"/>
      <c r="P49" s="350"/>
      <c r="Q49" s="350"/>
      <c r="R49" s="350"/>
      <c r="S49" s="350"/>
      <c r="T49" s="350"/>
      <c r="U49" s="350"/>
      <c r="V49" s="127">
        <v>194.3</v>
      </c>
      <c r="W49">
        <f t="shared" si="22"/>
        <v>0</v>
      </c>
      <c r="X49">
        <f t="shared" ref="X49:BA49" si="34">IF(AND(X$37-$A49&gt;$V$25,SUM($W49:W49)&lt;&gt;$V49),$V49,0)</f>
        <v>0</v>
      </c>
      <c r="Y49">
        <f t="shared" si="34"/>
        <v>0</v>
      </c>
      <c r="Z49">
        <f t="shared" si="34"/>
        <v>0</v>
      </c>
      <c r="AA49">
        <f t="shared" si="34"/>
        <v>0</v>
      </c>
      <c r="AB49">
        <f t="shared" si="34"/>
        <v>0</v>
      </c>
      <c r="AC49">
        <f t="shared" si="34"/>
        <v>0</v>
      </c>
      <c r="AD49">
        <f t="shared" si="34"/>
        <v>0</v>
      </c>
      <c r="AE49">
        <f t="shared" si="34"/>
        <v>0</v>
      </c>
      <c r="AF49">
        <f t="shared" si="34"/>
        <v>0</v>
      </c>
      <c r="AG49">
        <f t="shared" si="34"/>
        <v>0</v>
      </c>
      <c r="AH49">
        <f t="shared" si="34"/>
        <v>0</v>
      </c>
      <c r="AI49">
        <f t="shared" si="34"/>
        <v>0</v>
      </c>
      <c r="AJ49">
        <f t="shared" si="34"/>
        <v>0</v>
      </c>
      <c r="AK49">
        <f t="shared" si="34"/>
        <v>0</v>
      </c>
      <c r="AL49">
        <f t="shared" si="34"/>
        <v>0</v>
      </c>
      <c r="AM49">
        <f t="shared" si="34"/>
        <v>0</v>
      </c>
      <c r="AN49">
        <f t="shared" si="34"/>
        <v>0</v>
      </c>
      <c r="AO49">
        <f t="shared" si="34"/>
        <v>0</v>
      </c>
      <c r="AP49">
        <f t="shared" si="34"/>
        <v>194.3</v>
      </c>
      <c r="AQ49">
        <f t="shared" si="34"/>
        <v>0</v>
      </c>
      <c r="AR49">
        <f t="shared" si="34"/>
        <v>0</v>
      </c>
      <c r="AS49">
        <f t="shared" si="34"/>
        <v>0</v>
      </c>
      <c r="AT49">
        <f t="shared" si="34"/>
        <v>0</v>
      </c>
      <c r="AU49">
        <f t="shared" si="34"/>
        <v>0</v>
      </c>
      <c r="AV49">
        <f t="shared" si="34"/>
        <v>0</v>
      </c>
      <c r="AW49">
        <f t="shared" si="34"/>
        <v>0</v>
      </c>
      <c r="AX49">
        <f t="shared" si="34"/>
        <v>0</v>
      </c>
      <c r="AY49">
        <f t="shared" si="34"/>
        <v>0</v>
      </c>
      <c r="AZ49">
        <f t="shared" si="34"/>
        <v>0</v>
      </c>
      <c r="BA49">
        <f t="shared" si="34"/>
        <v>0</v>
      </c>
    </row>
    <row r="50" spans="1:53" ht="15.75" customHeight="1">
      <c r="A50" s="362">
        <v>1989</v>
      </c>
      <c r="B50" s="350"/>
      <c r="C50" s="350"/>
      <c r="D50" s="350"/>
      <c r="E50" s="350"/>
      <c r="F50" s="350"/>
      <c r="G50" s="350"/>
      <c r="H50" s="350"/>
      <c r="I50" s="350"/>
      <c r="J50" s="350"/>
      <c r="K50" s="350"/>
      <c r="L50" s="350"/>
      <c r="M50" s="350"/>
      <c r="N50" s="350"/>
      <c r="O50" s="350"/>
      <c r="P50" s="350"/>
      <c r="Q50" s="350"/>
      <c r="R50" s="350"/>
      <c r="S50" s="350"/>
      <c r="T50" s="350"/>
      <c r="U50" s="350"/>
      <c r="V50" s="127">
        <v>251</v>
      </c>
      <c r="W50">
        <f t="shared" si="22"/>
        <v>0</v>
      </c>
      <c r="X50">
        <f t="shared" ref="X50:BA50" si="35">IF(AND(X$37-$A50&gt;$V$25,SUM($W50:W50)&lt;&gt;$V50),$V50,0)</f>
        <v>0</v>
      </c>
      <c r="Y50">
        <f t="shared" si="35"/>
        <v>0</v>
      </c>
      <c r="Z50">
        <f t="shared" si="35"/>
        <v>0</v>
      </c>
      <c r="AA50">
        <f t="shared" si="35"/>
        <v>0</v>
      </c>
      <c r="AB50">
        <f t="shared" si="35"/>
        <v>0</v>
      </c>
      <c r="AC50">
        <f t="shared" si="35"/>
        <v>0</v>
      </c>
      <c r="AD50">
        <f t="shared" si="35"/>
        <v>0</v>
      </c>
      <c r="AE50">
        <f t="shared" si="35"/>
        <v>0</v>
      </c>
      <c r="AF50">
        <f t="shared" si="35"/>
        <v>0</v>
      </c>
      <c r="AG50">
        <f t="shared" si="35"/>
        <v>0</v>
      </c>
      <c r="AH50">
        <f t="shared" si="35"/>
        <v>0</v>
      </c>
      <c r="AI50">
        <f t="shared" si="35"/>
        <v>0</v>
      </c>
      <c r="AJ50">
        <f t="shared" si="35"/>
        <v>0</v>
      </c>
      <c r="AK50">
        <f t="shared" si="35"/>
        <v>0</v>
      </c>
      <c r="AL50">
        <f t="shared" si="35"/>
        <v>0</v>
      </c>
      <c r="AM50">
        <f t="shared" si="35"/>
        <v>0</v>
      </c>
      <c r="AN50">
        <f t="shared" si="35"/>
        <v>0</v>
      </c>
      <c r="AO50">
        <f t="shared" si="35"/>
        <v>0</v>
      </c>
      <c r="AP50">
        <f t="shared" si="35"/>
        <v>0</v>
      </c>
      <c r="AQ50">
        <f t="shared" si="35"/>
        <v>251</v>
      </c>
      <c r="AR50">
        <f t="shared" si="35"/>
        <v>0</v>
      </c>
      <c r="AS50">
        <f t="shared" si="35"/>
        <v>0</v>
      </c>
      <c r="AT50">
        <f t="shared" si="35"/>
        <v>0</v>
      </c>
      <c r="AU50">
        <f t="shared" si="35"/>
        <v>0</v>
      </c>
      <c r="AV50">
        <f t="shared" si="35"/>
        <v>0</v>
      </c>
      <c r="AW50">
        <f t="shared" si="35"/>
        <v>0</v>
      </c>
      <c r="AX50">
        <f t="shared" si="35"/>
        <v>0</v>
      </c>
      <c r="AY50">
        <f t="shared" si="35"/>
        <v>0</v>
      </c>
      <c r="AZ50">
        <f t="shared" si="35"/>
        <v>0</v>
      </c>
      <c r="BA50">
        <f t="shared" si="35"/>
        <v>0</v>
      </c>
    </row>
    <row r="51" spans="1:53" ht="15.75" customHeight="1">
      <c r="A51" s="362">
        <v>1990</v>
      </c>
      <c r="B51" s="350"/>
      <c r="C51" s="350"/>
      <c r="D51" s="350"/>
      <c r="E51" s="350"/>
      <c r="F51" s="350"/>
      <c r="G51" s="350"/>
      <c r="H51" s="350"/>
      <c r="I51" s="350"/>
      <c r="J51" s="350"/>
      <c r="K51" s="350"/>
      <c r="L51" s="350"/>
      <c r="M51" s="350"/>
      <c r="N51" s="350"/>
      <c r="O51" s="350"/>
      <c r="P51" s="350"/>
      <c r="Q51" s="350"/>
      <c r="R51" s="350"/>
      <c r="S51" s="350"/>
      <c r="T51" s="350"/>
      <c r="U51" s="350"/>
      <c r="V51" s="127">
        <v>58.4</v>
      </c>
      <c r="W51">
        <f t="shared" si="22"/>
        <v>0</v>
      </c>
      <c r="X51">
        <f t="shared" ref="X51:BA51" si="36">IF(AND(X$37-$A51&gt;$V$25,SUM($W51:W51)&lt;&gt;$V51),$V51,0)</f>
        <v>0</v>
      </c>
      <c r="Y51">
        <f t="shared" si="36"/>
        <v>0</v>
      </c>
      <c r="Z51">
        <f t="shared" si="36"/>
        <v>0</v>
      </c>
      <c r="AA51">
        <f t="shared" si="36"/>
        <v>0</v>
      </c>
      <c r="AB51">
        <f t="shared" si="36"/>
        <v>0</v>
      </c>
      <c r="AC51">
        <f t="shared" si="36"/>
        <v>0</v>
      </c>
      <c r="AD51">
        <f t="shared" si="36"/>
        <v>0</v>
      </c>
      <c r="AE51">
        <f t="shared" si="36"/>
        <v>0</v>
      </c>
      <c r="AF51">
        <f t="shared" si="36"/>
        <v>0</v>
      </c>
      <c r="AG51">
        <f t="shared" si="36"/>
        <v>0</v>
      </c>
      <c r="AH51">
        <f t="shared" si="36"/>
        <v>0</v>
      </c>
      <c r="AI51">
        <f t="shared" si="36"/>
        <v>0</v>
      </c>
      <c r="AJ51">
        <f t="shared" si="36"/>
        <v>0</v>
      </c>
      <c r="AK51">
        <f t="shared" si="36"/>
        <v>0</v>
      </c>
      <c r="AL51">
        <f t="shared" si="36"/>
        <v>0</v>
      </c>
      <c r="AM51">
        <f t="shared" si="36"/>
        <v>0</v>
      </c>
      <c r="AN51">
        <f t="shared" si="36"/>
        <v>0</v>
      </c>
      <c r="AO51">
        <f t="shared" si="36"/>
        <v>0</v>
      </c>
      <c r="AP51">
        <f t="shared" si="36"/>
        <v>0</v>
      </c>
      <c r="AQ51">
        <f t="shared" si="36"/>
        <v>0</v>
      </c>
      <c r="AR51">
        <f t="shared" si="36"/>
        <v>58.4</v>
      </c>
      <c r="AS51">
        <f t="shared" si="36"/>
        <v>0</v>
      </c>
      <c r="AT51">
        <f t="shared" si="36"/>
        <v>0</v>
      </c>
      <c r="AU51">
        <f t="shared" si="36"/>
        <v>0</v>
      </c>
      <c r="AV51">
        <f t="shared" si="36"/>
        <v>0</v>
      </c>
      <c r="AW51">
        <f t="shared" si="36"/>
        <v>0</v>
      </c>
      <c r="AX51">
        <f t="shared" si="36"/>
        <v>0</v>
      </c>
      <c r="AY51">
        <f t="shared" si="36"/>
        <v>0</v>
      </c>
      <c r="AZ51">
        <f t="shared" si="36"/>
        <v>0</v>
      </c>
      <c r="BA51">
        <f t="shared" si="36"/>
        <v>0</v>
      </c>
    </row>
    <row r="52" spans="1:53" ht="15.75" customHeight="1">
      <c r="A52" s="362">
        <v>1992</v>
      </c>
      <c r="B52" s="350"/>
      <c r="C52" s="350"/>
      <c r="D52" s="350"/>
      <c r="E52" s="350"/>
      <c r="F52" s="350"/>
      <c r="G52" s="350"/>
      <c r="H52" s="350"/>
      <c r="I52" s="350"/>
      <c r="J52" s="350"/>
      <c r="K52" s="350"/>
      <c r="L52" s="350"/>
      <c r="M52" s="350"/>
      <c r="N52" s="350"/>
      <c r="O52" s="350"/>
      <c r="P52" s="350"/>
      <c r="Q52" s="350"/>
      <c r="R52" s="350"/>
      <c r="S52" s="350"/>
      <c r="T52" s="350"/>
      <c r="U52" s="350"/>
      <c r="V52" s="127">
        <v>42.9</v>
      </c>
      <c r="W52">
        <f t="shared" si="22"/>
        <v>0</v>
      </c>
      <c r="X52">
        <f t="shared" ref="X52:BA52" si="37">IF(AND(X$37-$A52&gt;$V$25,SUM($W52:W52)&lt;&gt;$V52),$V52,0)</f>
        <v>0</v>
      </c>
      <c r="Y52">
        <f t="shared" si="37"/>
        <v>0</v>
      </c>
      <c r="Z52">
        <f t="shared" si="37"/>
        <v>0</v>
      </c>
      <c r="AA52">
        <f t="shared" si="37"/>
        <v>0</v>
      </c>
      <c r="AB52">
        <f t="shared" si="37"/>
        <v>0</v>
      </c>
      <c r="AC52">
        <f t="shared" si="37"/>
        <v>0</v>
      </c>
      <c r="AD52">
        <f t="shared" si="37"/>
        <v>0</v>
      </c>
      <c r="AE52">
        <f t="shared" si="37"/>
        <v>0</v>
      </c>
      <c r="AF52">
        <f t="shared" si="37"/>
        <v>0</v>
      </c>
      <c r="AG52">
        <f t="shared" si="37"/>
        <v>0</v>
      </c>
      <c r="AH52">
        <f t="shared" si="37"/>
        <v>0</v>
      </c>
      <c r="AI52">
        <f t="shared" si="37"/>
        <v>0</v>
      </c>
      <c r="AJ52">
        <f t="shared" si="37"/>
        <v>0</v>
      </c>
      <c r="AK52">
        <f t="shared" si="37"/>
        <v>0</v>
      </c>
      <c r="AL52">
        <f t="shared" si="37"/>
        <v>0</v>
      </c>
      <c r="AM52">
        <f t="shared" si="37"/>
        <v>0</v>
      </c>
      <c r="AN52">
        <f t="shared" si="37"/>
        <v>0</v>
      </c>
      <c r="AO52">
        <f t="shared" si="37"/>
        <v>0</v>
      </c>
      <c r="AP52">
        <f t="shared" si="37"/>
        <v>0</v>
      </c>
      <c r="AQ52">
        <f t="shared" si="37"/>
        <v>0</v>
      </c>
      <c r="AR52">
        <f t="shared" si="37"/>
        <v>0</v>
      </c>
      <c r="AS52">
        <f t="shared" si="37"/>
        <v>0</v>
      </c>
      <c r="AT52">
        <f t="shared" si="37"/>
        <v>42.9</v>
      </c>
      <c r="AU52">
        <f t="shared" si="37"/>
        <v>0</v>
      </c>
      <c r="AV52">
        <f t="shared" si="37"/>
        <v>0</v>
      </c>
      <c r="AW52">
        <f t="shared" si="37"/>
        <v>0</v>
      </c>
      <c r="AX52">
        <f t="shared" si="37"/>
        <v>0</v>
      </c>
      <c r="AY52">
        <f t="shared" si="37"/>
        <v>0</v>
      </c>
      <c r="AZ52">
        <f t="shared" si="37"/>
        <v>0</v>
      </c>
      <c r="BA52">
        <f t="shared" si="37"/>
        <v>0</v>
      </c>
    </row>
    <row r="53" spans="1:53" ht="15.75" customHeight="1">
      <c r="A53" s="362">
        <v>1993</v>
      </c>
      <c r="B53" s="350"/>
      <c r="C53" s="350"/>
      <c r="D53" s="350"/>
      <c r="E53" s="350"/>
      <c r="F53" s="350"/>
      <c r="G53" s="350"/>
      <c r="H53" s="350"/>
      <c r="I53" s="350"/>
      <c r="J53" s="350"/>
      <c r="K53" s="350"/>
      <c r="L53" s="350"/>
      <c r="M53" s="350"/>
      <c r="N53" s="350"/>
      <c r="O53" s="350"/>
      <c r="P53" s="350"/>
      <c r="Q53" s="350"/>
      <c r="R53" s="350"/>
      <c r="S53" s="350"/>
      <c r="T53" s="350"/>
      <c r="U53" s="350"/>
      <c r="V53" s="127">
        <v>40.799999999999997</v>
      </c>
      <c r="W53">
        <f t="shared" si="22"/>
        <v>0</v>
      </c>
      <c r="X53">
        <f t="shared" ref="X53:BA53" si="38">IF(AND(X$37-$A53&gt;$V$25,SUM($W53:W53)&lt;&gt;$V53),$V53,0)</f>
        <v>0</v>
      </c>
      <c r="Y53">
        <f t="shared" si="38"/>
        <v>0</v>
      </c>
      <c r="Z53">
        <f t="shared" si="38"/>
        <v>0</v>
      </c>
      <c r="AA53">
        <f t="shared" si="38"/>
        <v>0</v>
      </c>
      <c r="AB53">
        <f t="shared" si="38"/>
        <v>0</v>
      </c>
      <c r="AC53">
        <f t="shared" si="38"/>
        <v>0</v>
      </c>
      <c r="AD53">
        <f t="shared" si="38"/>
        <v>0</v>
      </c>
      <c r="AE53">
        <f t="shared" si="38"/>
        <v>0</v>
      </c>
      <c r="AF53">
        <f t="shared" si="38"/>
        <v>0</v>
      </c>
      <c r="AG53">
        <f t="shared" si="38"/>
        <v>0</v>
      </c>
      <c r="AH53">
        <f t="shared" si="38"/>
        <v>0</v>
      </c>
      <c r="AI53">
        <f t="shared" si="38"/>
        <v>0</v>
      </c>
      <c r="AJ53">
        <f t="shared" si="38"/>
        <v>0</v>
      </c>
      <c r="AK53">
        <f t="shared" si="38"/>
        <v>0</v>
      </c>
      <c r="AL53">
        <f t="shared" si="38"/>
        <v>0</v>
      </c>
      <c r="AM53">
        <f t="shared" si="38"/>
        <v>0</v>
      </c>
      <c r="AN53">
        <f t="shared" si="38"/>
        <v>0</v>
      </c>
      <c r="AO53">
        <f t="shared" si="38"/>
        <v>0</v>
      </c>
      <c r="AP53">
        <f t="shared" si="38"/>
        <v>0</v>
      </c>
      <c r="AQ53">
        <f t="shared" si="38"/>
        <v>0</v>
      </c>
      <c r="AR53">
        <f t="shared" si="38"/>
        <v>0</v>
      </c>
      <c r="AS53">
        <f t="shared" si="38"/>
        <v>0</v>
      </c>
      <c r="AT53">
        <f t="shared" si="38"/>
        <v>0</v>
      </c>
      <c r="AU53">
        <f t="shared" si="38"/>
        <v>40.799999999999997</v>
      </c>
      <c r="AV53">
        <f t="shared" si="38"/>
        <v>0</v>
      </c>
      <c r="AW53">
        <f t="shared" si="38"/>
        <v>0</v>
      </c>
      <c r="AX53">
        <f t="shared" si="38"/>
        <v>0</v>
      </c>
      <c r="AY53">
        <f t="shared" si="38"/>
        <v>0</v>
      </c>
      <c r="AZ53">
        <f t="shared" si="38"/>
        <v>0</v>
      </c>
      <c r="BA53">
        <f t="shared" si="38"/>
        <v>0</v>
      </c>
    </row>
    <row r="54" spans="1:53" ht="15.75" customHeight="1">
      <c r="A54" s="362">
        <v>1996</v>
      </c>
      <c r="B54" s="350"/>
      <c r="C54" s="350"/>
      <c r="D54" s="350"/>
      <c r="E54" s="350"/>
      <c r="F54" s="350"/>
      <c r="G54" s="350"/>
      <c r="H54" s="350"/>
      <c r="I54" s="350"/>
      <c r="J54" s="350"/>
      <c r="K54" s="350"/>
      <c r="L54" s="350"/>
      <c r="M54" s="350"/>
      <c r="N54" s="350"/>
      <c r="O54" s="350"/>
      <c r="P54" s="350"/>
      <c r="Q54" s="350"/>
      <c r="R54" s="350"/>
      <c r="S54" s="350"/>
      <c r="T54" s="350"/>
      <c r="U54" s="350"/>
      <c r="V54" s="127">
        <v>44</v>
      </c>
      <c r="W54">
        <f t="shared" si="22"/>
        <v>0</v>
      </c>
      <c r="X54">
        <f t="shared" ref="X54:BA54" si="39">IF(AND(X$37-$A54&gt;$V$25,SUM($W54:W54)&lt;&gt;$V54),$V54,0)</f>
        <v>0</v>
      </c>
      <c r="Y54">
        <f t="shared" si="39"/>
        <v>0</v>
      </c>
      <c r="Z54">
        <f t="shared" si="39"/>
        <v>0</v>
      </c>
      <c r="AA54">
        <f t="shared" si="39"/>
        <v>0</v>
      </c>
      <c r="AB54">
        <f t="shared" si="39"/>
        <v>0</v>
      </c>
      <c r="AC54">
        <f t="shared" si="39"/>
        <v>0</v>
      </c>
      <c r="AD54">
        <f t="shared" si="39"/>
        <v>0</v>
      </c>
      <c r="AE54">
        <f t="shared" si="39"/>
        <v>0</v>
      </c>
      <c r="AF54">
        <f t="shared" si="39"/>
        <v>0</v>
      </c>
      <c r="AG54">
        <f t="shared" si="39"/>
        <v>0</v>
      </c>
      <c r="AH54">
        <f t="shared" si="39"/>
        <v>0</v>
      </c>
      <c r="AI54">
        <f t="shared" si="39"/>
        <v>0</v>
      </c>
      <c r="AJ54">
        <f t="shared" si="39"/>
        <v>0</v>
      </c>
      <c r="AK54">
        <f t="shared" si="39"/>
        <v>0</v>
      </c>
      <c r="AL54">
        <f t="shared" si="39"/>
        <v>0</v>
      </c>
      <c r="AM54">
        <f t="shared" si="39"/>
        <v>0</v>
      </c>
      <c r="AN54">
        <f t="shared" si="39"/>
        <v>0</v>
      </c>
      <c r="AO54">
        <f t="shared" si="39"/>
        <v>0</v>
      </c>
      <c r="AP54">
        <f t="shared" si="39"/>
        <v>0</v>
      </c>
      <c r="AQ54">
        <f t="shared" si="39"/>
        <v>0</v>
      </c>
      <c r="AR54">
        <f t="shared" si="39"/>
        <v>0</v>
      </c>
      <c r="AS54">
        <f t="shared" si="39"/>
        <v>0</v>
      </c>
      <c r="AT54">
        <f t="shared" si="39"/>
        <v>0</v>
      </c>
      <c r="AU54">
        <f t="shared" si="39"/>
        <v>0</v>
      </c>
      <c r="AV54">
        <f t="shared" si="39"/>
        <v>0</v>
      </c>
      <c r="AW54">
        <f t="shared" si="39"/>
        <v>0</v>
      </c>
      <c r="AX54">
        <f t="shared" si="39"/>
        <v>44</v>
      </c>
      <c r="AY54">
        <f t="shared" si="39"/>
        <v>0</v>
      </c>
      <c r="AZ54">
        <f t="shared" si="39"/>
        <v>0</v>
      </c>
      <c r="BA54">
        <f t="shared" si="39"/>
        <v>0</v>
      </c>
    </row>
    <row r="55" spans="1:53" ht="15.75" customHeight="1">
      <c r="A55" s="362">
        <v>1998</v>
      </c>
      <c r="B55" s="350"/>
      <c r="C55" s="350"/>
      <c r="D55" s="350"/>
      <c r="E55" s="350"/>
      <c r="F55" s="350"/>
      <c r="G55" s="350"/>
      <c r="H55" s="350"/>
      <c r="I55" s="350"/>
      <c r="J55" s="350"/>
      <c r="K55" s="350"/>
      <c r="L55" s="350"/>
      <c r="M55" s="350"/>
      <c r="N55" s="350"/>
      <c r="O55" s="350"/>
      <c r="P55" s="350"/>
      <c r="Q55" s="350"/>
      <c r="R55" s="350"/>
      <c r="S55" s="350"/>
      <c r="T55" s="350"/>
      <c r="U55" s="350"/>
      <c r="V55" s="127">
        <v>56</v>
      </c>
      <c r="W55">
        <f t="shared" si="22"/>
        <v>0</v>
      </c>
      <c r="X55">
        <f t="shared" ref="X55:BA55" si="40">IF(AND(X$37-$A55&gt;$V$25,SUM($W55:W55)&lt;&gt;$V55),$V55,0)</f>
        <v>0</v>
      </c>
      <c r="Y55">
        <f t="shared" si="40"/>
        <v>0</v>
      </c>
      <c r="Z55">
        <f t="shared" si="40"/>
        <v>0</v>
      </c>
      <c r="AA55">
        <f t="shared" si="40"/>
        <v>0</v>
      </c>
      <c r="AB55">
        <f t="shared" si="40"/>
        <v>0</v>
      </c>
      <c r="AC55">
        <f t="shared" si="40"/>
        <v>0</v>
      </c>
      <c r="AD55">
        <f t="shared" si="40"/>
        <v>0</v>
      </c>
      <c r="AE55">
        <f t="shared" si="40"/>
        <v>0</v>
      </c>
      <c r="AF55">
        <f t="shared" si="40"/>
        <v>0</v>
      </c>
      <c r="AG55">
        <f t="shared" si="40"/>
        <v>0</v>
      </c>
      <c r="AH55">
        <f t="shared" si="40"/>
        <v>0</v>
      </c>
      <c r="AI55">
        <f t="shared" si="40"/>
        <v>0</v>
      </c>
      <c r="AJ55">
        <f t="shared" si="40"/>
        <v>0</v>
      </c>
      <c r="AK55">
        <f t="shared" si="40"/>
        <v>0</v>
      </c>
      <c r="AL55">
        <f t="shared" si="40"/>
        <v>0</v>
      </c>
      <c r="AM55">
        <f t="shared" si="40"/>
        <v>0</v>
      </c>
      <c r="AN55">
        <f t="shared" si="40"/>
        <v>0</v>
      </c>
      <c r="AO55">
        <f t="shared" si="40"/>
        <v>0</v>
      </c>
      <c r="AP55">
        <f t="shared" si="40"/>
        <v>0</v>
      </c>
      <c r="AQ55">
        <f t="shared" si="40"/>
        <v>0</v>
      </c>
      <c r="AR55">
        <f t="shared" si="40"/>
        <v>0</v>
      </c>
      <c r="AS55">
        <f t="shared" si="40"/>
        <v>0</v>
      </c>
      <c r="AT55">
        <f t="shared" si="40"/>
        <v>0</v>
      </c>
      <c r="AU55">
        <f t="shared" si="40"/>
        <v>0</v>
      </c>
      <c r="AV55">
        <f t="shared" si="40"/>
        <v>0</v>
      </c>
      <c r="AW55">
        <f t="shared" si="40"/>
        <v>0</v>
      </c>
      <c r="AX55">
        <f t="shared" si="40"/>
        <v>0</v>
      </c>
      <c r="AY55">
        <f t="shared" si="40"/>
        <v>0</v>
      </c>
      <c r="AZ55">
        <f t="shared" si="40"/>
        <v>56</v>
      </c>
      <c r="BA55">
        <f t="shared" si="40"/>
        <v>0</v>
      </c>
    </row>
    <row r="56" spans="1:53" ht="15.75" customHeight="1">
      <c r="A56" s="362">
        <v>2000</v>
      </c>
      <c r="B56" s="350"/>
      <c r="C56" s="350"/>
      <c r="D56" s="350"/>
      <c r="E56" s="350"/>
      <c r="F56" s="350"/>
      <c r="G56" s="350"/>
      <c r="H56" s="350"/>
      <c r="I56" s="350"/>
      <c r="J56" s="350"/>
      <c r="K56" s="350"/>
      <c r="L56" s="350"/>
      <c r="M56" s="350"/>
      <c r="N56" s="350"/>
      <c r="O56" s="350"/>
      <c r="P56" s="350"/>
      <c r="Q56" s="350"/>
      <c r="R56" s="350"/>
      <c r="S56" s="350"/>
      <c r="T56" s="350"/>
      <c r="U56" s="350"/>
      <c r="V56" s="127">
        <v>56.9</v>
      </c>
      <c r="W56">
        <f t="shared" si="22"/>
        <v>0</v>
      </c>
      <c r="X56">
        <f t="shared" ref="X56:BA56" si="41">IF(AND(X$37-$A56&gt;$V$25,SUM($W56:W56)&lt;&gt;$V56),$V56,0)</f>
        <v>0</v>
      </c>
      <c r="Y56">
        <f t="shared" si="41"/>
        <v>0</v>
      </c>
      <c r="Z56">
        <f t="shared" si="41"/>
        <v>0</v>
      </c>
      <c r="AA56">
        <f t="shared" si="41"/>
        <v>0</v>
      </c>
      <c r="AB56">
        <f t="shared" si="41"/>
        <v>0</v>
      </c>
      <c r="AC56">
        <f t="shared" si="41"/>
        <v>0</v>
      </c>
      <c r="AD56">
        <f t="shared" si="41"/>
        <v>0</v>
      </c>
      <c r="AE56">
        <f t="shared" si="41"/>
        <v>0</v>
      </c>
      <c r="AF56">
        <f t="shared" si="41"/>
        <v>0</v>
      </c>
      <c r="AG56">
        <f t="shared" si="41"/>
        <v>0</v>
      </c>
      <c r="AH56">
        <f t="shared" si="41"/>
        <v>0</v>
      </c>
      <c r="AI56">
        <f t="shared" si="41"/>
        <v>0</v>
      </c>
      <c r="AJ56">
        <f t="shared" si="41"/>
        <v>0</v>
      </c>
      <c r="AK56">
        <f t="shared" si="41"/>
        <v>0</v>
      </c>
      <c r="AL56">
        <f t="shared" si="41"/>
        <v>0</v>
      </c>
      <c r="AM56">
        <f t="shared" si="41"/>
        <v>0</v>
      </c>
      <c r="AN56">
        <f t="shared" si="41"/>
        <v>0</v>
      </c>
      <c r="AO56">
        <f t="shared" si="41"/>
        <v>0</v>
      </c>
      <c r="AP56">
        <f t="shared" si="41"/>
        <v>0</v>
      </c>
      <c r="AQ56">
        <f t="shared" si="41"/>
        <v>0</v>
      </c>
      <c r="AR56">
        <f t="shared" si="41"/>
        <v>0</v>
      </c>
      <c r="AS56">
        <f t="shared" si="41"/>
        <v>0</v>
      </c>
      <c r="AT56">
        <f t="shared" si="41"/>
        <v>0</v>
      </c>
      <c r="AU56">
        <f t="shared" si="41"/>
        <v>0</v>
      </c>
      <c r="AV56">
        <f t="shared" si="41"/>
        <v>0</v>
      </c>
      <c r="AW56">
        <f t="shared" si="41"/>
        <v>0</v>
      </c>
      <c r="AX56">
        <f t="shared" si="41"/>
        <v>0</v>
      </c>
      <c r="AY56">
        <f t="shared" si="41"/>
        <v>0</v>
      </c>
      <c r="AZ56">
        <f t="shared" si="41"/>
        <v>0</v>
      </c>
      <c r="BA56">
        <f t="shared" si="41"/>
        <v>0</v>
      </c>
    </row>
    <row r="57" spans="1:53" ht="15.75" customHeight="1">
      <c r="A57" s="362">
        <v>2002</v>
      </c>
      <c r="B57" s="350"/>
      <c r="C57" s="350"/>
      <c r="D57" s="350"/>
      <c r="E57" s="350"/>
      <c r="F57" s="350"/>
      <c r="G57" s="350"/>
      <c r="H57" s="350"/>
      <c r="I57" s="350"/>
      <c r="J57" s="350"/>
      <c r="K57" s="350"/>
      <c r="L57" s="350"/>
      <c r="M57" s="350"/>
      <c r="N57" s="350"/>
      <c r="O57" s="350"/>
      <c r="P57" s="350"/>
      <c r="Q57" s="350"/>
      <c r="R57" s="350"/>
      <c r="S57" s="350"/>
      <c r="T57" s="350"/>
      <c r="U57" s="350"/>
      <c r="V57" s="127">
        <v>5.6</v>
      </c>
      <c r="W57">
        <f t="shared" si="22"/>
        <v>0</v>
      </c>
      <c r="X57">
        <f t="shared" ref="X57:BA57" si="42">IF(AND(X$37-$A57&gt;$V$25,SUM($W57:W57)&lt;&gt;$V57),$V57,0)</f>
        <v>0</v>
      </c>
      <c r="Y57">
        <f t="shared" si="42"/>
        <v>0</v>
      </c>
      <c r="Z57">
        <f t="shared" si="42"/>
        <v>0</v>
      </c>
      <c r="AA57">
        <f t="shared" si="42"/>
        <v>0</v>
      </c>
      <c r="AB57">
        <f t="shared" si="42"/>
        <v>0</v>
      </c>
      <c r="AC57">
        <f t="shared" si="42"/>
        <v>0</v>
      </c>
      <c r="AD57">
        <f t="shared" si="42"/>
        <v>0</v>
      </c>
      <c r="AE57">
        <f t="shared" si="42"/>
        <v>0</v>
      </c>
      <c r="AF57">
        <f t="shared" si="42"/>
        <v>0</v>
      </c>
      <c r="AG57">
        <f t="shared" si="42"/>
        <v>0</v>
      </c>
      <c r="AH57">
        <f t="shared" si="42"/>
        <v>0</v>
      </c>
      <c r="AI57">
        <f t="shared" si="42"/>
        <v>0</v>
      </c>
      <c r="AJ57">
        <f t="shared" si="42"/>
        <v>0</v>
      </c>
      <c r="AK57">
        <f t="shared" si="42"/>
        <v>0</v>
      </c>
      <c r="AL57">
        <f t="shared" si="42"/>
        <v>0</v>
      </c>
      <c r="AM57">
        <f t="shared" si="42"/>
        <v>0</v>
      </c>
      <c r="AN57">
        <f t="shared" si="42"/>
        <v>0</v>
      </c>
      <c r="AO57">
        <f t="shared" si="42"/>
        <v>0</v>
      </c>
      <c r="AP57">
        <f t="shared" si="42"/>
        <v>0</v>
      </c>
      <c r="AQ57">
        <f t="shared" si="42"/>
        <v>0</v>
      </c>
      <c r="AR57">
        <f t="shared" si="42"/>
        <v>0</v>
      </c>
      <c r="AS57">
        <f t="shared" si="42"/>
        <v>0</v>
      </c>
      <c r="AT57">
        <f t="shared" si="42"/>
        <v>0</v>
      </c>
      <c r="AU57">
        <f t="shared" si="42"/>
        <v>0</v>
      </c>
      <c r="AV57">
        <f t="shared" si="42"/>
        <v>0</v>
      </c>
      <c r="AW57">
        <f t="shared" si="42"/>
        <v>0</v>
      </c>
      <c r="AX57">
        <f t="shared" si="42"/>
        <v>0</v>
      </c>
      <c r="AY57">
        <f t="shared" si="42"/>
        <v>0</v>
      </c>
      <c r="AZ57">
        <f t="shared" si="42"/>
        <v>0</v>
      </c>
      <c r="BA57">
        <f t="shared" si="42"/>
        <v>0</v>
      </c>
    </row>
    <row r="58" spans="1:53" ht="15.75" customHeight="1">
      <c r="A58" s="362">
        <v>2003</v>
      </c>
      <c r="B58" s="350"/>
      <c r="C58" s="350"/>
      <c r="D58" s="350"/>
      <c r="E58" s="350"/>
      <c r="F58" s="350"/>
      <c r="G58" s="350"/>
      <c r="H58" s="350"/>
      <c r="I58" s="350"/>
      <c r="J58" s="350"/>
      <c r="K58" s="350"/>
      <c r="L58" s="350"/>
      <c r="M58" s="350"/>
      <c r="N58" s="350"/>
      <c r="O58" s="350"/>
      <c r="P58" s="350"/>
      <c r="Q58" s="350"/>
      <c r="R58" s="350"/>
      <c r="S58" s="350"/>
      <c r="T58" s="350"/>
      <c r="U58" s="350"/>
      <c r="V58" s="127">
        <v>20</v>
      </c>
      <c r="W58">
        <f t="shared" si="22"/>
        <v>0</v>
      </c>
      <c r="X58">
        <f t="shared" ref="X58:BA58" si="43">IF(AND(X$37-$A58&gt;$V$25,SUM($W58:W58)&lt;&gt;$V58),$V58,0)</f>
        <v>0</v>
      </c>
      <c r="Y58">
        <f t="shared" si="43"/>
        <v>0</v>
      </c>
      <c r="Z58">
        <f t="shared" si="43"/>
        <v>0</v>
      </c>
      <c r="AA58">
        <f t="shared" si="43"/>
        <v>0</v>
      </c>
      <c r="AB58">
        <f t="shared" si="43"/>
        <v>0</v>
      </c>
      <c r="AC58">
        <f t="shared" si="43"/>
        <v>0</v>
      </c>
      <c r="AD58">
        <f t="shared" si="43"/>
        <v>0</v>
      </c>
      <c r="AE58">
        <f t="shared" si="43"/>
        <v>0</v>
      </c>
      <c r="AF58">
        <f t="shared" si="43"/>
        <v>0</v>
      </c>
      <c r="AG58">
        <f t="shared" si="43"/>
        <v>0</v>
      </c>
      <c r="AH58">
        <f t="shared" si="43"/>
        <v>0</v>
      </c>
      <c r="AI58">
        <f t="shared" si="43"/>
        <v>0</v>
      </c>
      <c r="AJ58">
        <f t="shared" si="43"/>
        <v>0</v>
      </c>
      <c r="AK58">
        <f t="shared" si="43"/>
        <v>0</v>
      </c>
      <c r="AL58">
        <f t="shared" si="43"/>
        <v>0</v>
      </c>
      <c r="AM58">
        <f t="shared" si="43"/>
        <v>0</v>
      </c>
      <c r="AN58">
        <f t="shared" si="43"/>
        <v>0</v>
      </c>
      <c r="AO58">
        <f t="shared" si="43"/>
        <v>0</v>
      </c>
      <c r="AP58">
        <f t="shared" si="43"/>
        <v>0</v>
      </c>
      <c r="AQ58">
        <f t="shared" si="43"/>
        <v>0</v>
      </c>
      <c r="AR58">
        <f t="shared" si="43"/>
        <v>0</v>
      </c>
      <c r="AS58">
        <f t="shared" si="43"/>
        <v>0</v>
      </c>
      <c r="AT58">
        <f t="shared" si="43"/>
        <v>0</v>
      </c>
      <c r="AU58">
        <f t="shared" si="43"/>
        <v>0</v>
      </c>
      <c r="AV58">
        <f t="shared" si="43"/>
        <v>0</v>
      </c>
      <c r="AW58">
        <f t="shared" si="43"/>
        <v>0</v>
      </c>
      <c r="AX58">
        <f t="shared" si="43"/>
        <v>0</v>
      </c>
      <c r="AY58">
        <f t="shared" si="43"/>
        <v>0</v>
      </c>
      <c r="AZ58">
        <f t="shared" si="43"/>
        <v>0</v>
      </c>
      <c r="BA58">
        <f t="shared" si="43"/>
        <v>0</v>
      </c>
    </row>
    <row r="59" spans="1:53" ht="15.75" customHeight="1">
      <c r="A59" s="362">
        <v>2005</v>
      </c>
      <c r="B59" s="350"/>
      <c r="C59" s="350"/>
      <c r="D59" s="350"/>
      <c r="E59" s="350"/>
      <c r="F59" s="350"/>
      <c r="G59" s="350"/>
      <c r="H59" s="350"/>
      <c r="I59" s="350"/>
      <c r="J59" s="350"/>
      <c r="K59" s="350"/>
      <c r="L59" s="350"/>
      <c r="M59" s="350"/>
      <c r="N59" s="350"/>
      <c r="O59" s="350"/>
      <c r="P59" s="350"/>
      <c r="Q59" s="350"/>
      <c r="R59" s="350"/>
      <c r="S59" s="350"/>
      <c r="T59" s="350"/>
      <c r="U59" s="350"/>
      <c r="V59" s="127">
        <v>15.6</v>
      </c>
      <c r="W59">
        <f t="shared" si="22"/>
        <v>0</v>
      </c>
      <c r="X59">
        <f t="shared" ref="X59:BA59" si="44">IF(AND(X$37-$A59&gt;$V$25,SUM($W59:W59)&lt;&gt;$V59),$V59,0)</f>
        <v>0</v>
      </c>
      <c r="Y59">
        <f t="shared" si="44"/>
        <v>0</v>
      </c>
      <c r="Z59">
        <f t="shared" si="44"/>
        <v>0</v>
      </c>
      <c r="AA59">
        <f t="shared" si="44"/>
        <v>0</v>
      </c>
      <c r="AB59">
        <f t="shared" si="44"/>
        <v>0</v>
      </c>
      <c r="AC59">
        <f t="shared" si="44"/>
        <v>0</v>
      </c>
      <c r="AD59">
        <f t="shared" si="44"/>
        <v>0</v>
      </c>
      <c r="AE59">
        <f t="shared" si="44"/>
        <v>0</v>
      </c>
      <c r="AF59">
        <f t="shared" si="44"/>
        <v>0</v>
      </c>
      <c r="AG59">
        <f t="shared" si="44"/>
        <v>0</v>
      </c>
      <c r="AH59">
        <f t="shared" si="44"/>
        <v>0</v>
      </c>
      <c r="AI59">
        <f t="shared" si="44"/>
        <v>0</v>
      </c>
      <c r="AJ59">
        <f t="shared" si="44"/>
        <v>0</v>
      </c>
      <c r="AK59">
        <f t="shared" si="44"/>
        <v>0</v>
      </c>
      <c r="AL59">
        <f t="shared" si="44"/>
        <v>0</v>
      </c>
      <c r="AM59">
        <f t="shared" si="44"/>
        <v>0</v>
      </c>
      <c r="AN59">
        <f t="shared" si="44"/>
        <v>0</v>
      </c>
      <c r="AO59">
        <f t="shared" si="44"/>
        <v>0</v>
      </c>
      <c r="AP59">
        <f t="shared" si="44"/>
        <v>0</v>
      </c>
      <c r="AQ59">
        <f t="shared" si="44"/>
        <v>0</v>
      </c>
      <c r="AR59">
        <f t="shared" si="44"/>
        <v>0</v>
      </c>
      <c r="AS59">
        <f t="shared" si="44"/>
        <v>0</v>
      </c>
      <c r="AT59">
        <f t="shared" si="44"/>
        <v>0</v>
      </c>
      <c r="AU59">
        <f t="shared" si="44"/>
        <v>0</v>
      </c>
      <c r="AV59">
        <f t="shared" si="44"/>
        <v>0</v>
      </c>
      <c r="AW59">
        <f t="shared" si="44"/>
        <v>0</v>
      </c>
      <c r="AX59">
        <f t="shared" si="44"/>
        <v>0</v>
      </c>
      <c r="AY59">
        <f t="shared" si="44"/>
        <v>0</v>
      </c>
      <c r="AZ59">
        <f t="shared" si="44"/>
        <v>0</v>
      </c>
      <c r="BA59">
        <f t="shared" si="44"/>
        <v>0</v>
      </c>
    </row>
    <row r="60" spans="1:53" ht="15.75" customHeight="1">
      <c r="A60" s="362">
        <v>2006</v>
      </c>
      <c r="B60" s="350"/>
      <c r="C60" s="350"/>
      <c r="D60" s="350"/>
      <c r="E60" s="350"/>
      <c r="F60" s="350"/>
      <c r="G60" s="350"/>
      <c r="H60" s="350"/>
      <c r="I60" s="350"/>
      <c r="J60" s="350"/>
      <c r="K60" s="350"/>
      <c r="L60" s="350"/>
      <c r="M60" s="350"/>
      <c r="N60" s="350"/>
      <c r="O60" s="350"/>
      <c r="P60" s="350"/>
      <c r="Q60" s="350"/>
      <c r="R60" s="350"/>
      <c r="S60" s="350"/>
      <c r="T60" s="350"/>
      <c r="U60" s="350"/>
      <c r="V60" s="127">
        <v>27</v>
      </c>
      <c r="W60">
        <f t="shared" si="22"/>
        <v>0</v>
      </c>
      <c r="X60">
        <f t="shared" ref="X60:BA60" si="45">IF(AND(X$37-$A60&gt;$V$25,SUM($W60:W60)&lt;&gt;$V60),$V60,0)</f>
        <v>0</v>
      </c>
      <c r="Y60">
        <f t="shared" si="45"/>
        <v>0</v>
      </c>
      <c r="Z60">
        <f t="shared" si="45"/>
        <v>0</v>
      </c>
      <c r="AA60">
        <f t="shared" si="45"/>
        <v>0</v>
      </c>
      <c r="AB60">
        <f t="shared" si="45"/>
        <v>0</v>
      </c>
      <c r="AC60">
        <f t="shared" si="45"/>
        <v>0</v>
      </c>
      <c r="AD60">
        <f t="shared" si="45"/>
        <v>0</v>
      </c>
      <c r="AE60">
        <f t="shared" si="45"/>
        <v>0</v>
      </c>
      <c r="AF60">
        <f t="shared" si="45"/>
        <v>0</v>
      </c>
      <c r="AG60">
        <f t="shared" si="45"/>
        <v>0</v>
      </c>
      <c r="AH60">
        <f t="shared" si="45"/>
        <v>0</v>
      </c>
      <c r="AI60">
        <f t="shared" si="45"/>
        <v>0</v>
      </c>
      <c r="AJ60">
        <f t="shared" si="45"/>
        <v>0</v>
      </c>
      <c r="AK60">
        <f t="shared" si="45"/>
        <v>0</v>
      </c>
      <c r="AL60">
        <f t="shared" si="45"/>
        <v>0</v>
      </c>
      <c r="AM60">
        <f t="shared" si="45"/>
        <v>0</v>
      </c>
      <c r="AN60">
        <f t="shared" si="45"/>
        <v>0</v>
      </c>
      <c r="AO60">
        <f t="shared" si="45"/>
        <v>0</v>
      </c>
      <c r="AP60">
        <f t="shared" si="45"/>
        <v>0</v>
      </c>
      <c r="AQ60">
        <f t="shared" si="45"/>
        <v>0</v>
      </c>
      <c r="AR60">
        <f t="shared" si="45"/>
        <v>0</v>
      </c>
      <c r="AS60">
        <f t="shared" si="45"/>
        <v>0</v>
      </c>
      <c r="AT60">
        <f t="shared" si="45"/>
        <v>0</v>
      </c>
      <c r="AU60">
        <f t="shared" si="45"/>
        <v>0</v>
      </c>
      <c r="AV60">
        <f t="shared" si="45"/>
        <v>0</v>
      </c>
      <c r="AW60">
        <f t="shared" si="45"/>
        <v>0</v>
      </c>
      <c r="AX60">
        <f t="shared" si="45"/>
        <v>0</v>
      </c>
      <c r="AY60">
        <f t="shared" si="45"/>
        <v>0</v>
      </c>
      <c r="AZ60">
        <f t="shared" si="45"/>
        <v>0</v>
      </c>
      <c r="BA60">
        <f t="shared" si="45"/>
        <v>0</v>
      </c>
    </row>
    <row r="61" spans="1:53" ht="15.75" customHeight="1">
      <c r="A61" s="362">
        <v>2007</v>
      </c>
      <c r="B61" s="350"/>
      <c r="C61" s="350"/>
      <c r="D61" s="350"/>
      <c r="E61" s="350"/>
      <c r="F61" s="350"/>
      <c r="G61" s="350"/>
      <c r="H61" s="350"/>
      <c r="I61" s="350"/>
      <c r="J61" s="350"/>
      <c r="K61" s="350"/>
      <c r="L61" s="350"/>
      <c r="M61" s="350"/>
      <c r="N61" s="350"/>
      <c r="O61" s="350"/>
      <c r="P61" s="350"/>
      <c r="Q61" s="350"/>
      <c r="R61" s="350"/>
      <c r="S61" s="350"/>
      <c r="T61" s="350"/>
      <c r="U61" s="350"/>
      <c r="V61" s="127">
        <v>34</v>
      </c>
      <c r="W61">
        <f t="shared" si="22"/>
        <v>0</v>
      </c>
      <c r="X61">
        <f t="shared" ref="X61:BA61" si="46">IF(AND(X$37-$A61&gt;$V$25,SUM($W61:W61)&lt;&gt;$V61),$V61,0)</f>
        <v>0</v>
      </c>
      <c r="Y61">
        <f t="shared" si="46"/>
        <v>0</v>
      </c>
      <c r="Z61">
        <f t="shared" si="46"/>
        <v>0</v>
      </c>
      <c r="AA61">
        <f t="shared" si="46"/>
        <v>0</v>
      </c>
      <c r="AB61">
        <f t="shared" si="46"/>
        <v>0</v>
      </c>
      <c r="AC61">
        <f t="shared" si="46"/>
        <v>0</v>
      </c>
      <c r="AD61">
        <f t="shared" si="46"/>
        <v>0</v>
      </c>
      <c r="AE61">
        <f t="shared" si="46"/>
        <v>0</v>
      </c>
      <c r="AF61">
        <f t="shared" si="46"/>
        <v>0</v>
      </c>
      <c r="AG61">
        <f t="shared" si="46"/>
        <v>0</v>
      </c>
      <c r="AH61">
        <f t="shared" si="46"/>
        <v>0</v>
      </c>
      <c r="AI61">
        <f t="shared" si="46"/>
        <v>0</v>
      </c>
      <c r="AJ61">
        <f t="shared" si="46"/>
        <v>0</v>
      </c>
      <c r="AK61">
        <f t="shared" si="46"/>
        <v>0</v>
      </c>
      <c r="AL61">
        <f t="shared" si="46"/>
        <v>0</v>
      </c>
      <c r="AM61">
        <f t="shared" si="46"/>
        <v>0</v>
      </c>
      <c r="AN61">
        <f t="shared" si="46"/>
        <v>0</v>
      </c>
      <c r="AO61">
        <f t="shared" si="46"/>
        <v>0</v>
      </c>
      <c r="AP61">
        <f t="shared" si="46"/>
        <v>0</v>
      </c>
      <c r="AQ61">
        <f t="shared" si="46"/>
        <v>0</v>
      </c>
      <c r="AR61">
        <f t="shared" si="46"/>
        <v>0</v>
      </c>
      <c r="AS61">
        <f t="shared" si="46"/>
        <v>0</v>
      </c>
      <c r="AT61">
        <f t="shared" si="46"/>
        <v>0</v>
      </c>
      <c r="AU61">
        <f t="shared" si="46"/>
        <v>0</v>
      </c>
      <c r="AV61">
        <f t="shared" si="46"/>
        <v>0</v>
      </c>
      <c r="AW61">
        <f t="shared" si="46"/>
        <v>0</v>
      </c>
      <c r="AX61">
        <f t="shared" si="46"/>
        <v>0</v>
      </c>
      <c r="AY61">
        <f t="shared" si="46"/>
        <v>0</v>
      </c>
      <c r="AZ61">
        <f t="shared" si="46"/>
        <v>0</v>
      </c>
      <c r="BA61">
        <f t="shared" si="46"/>
        <v>0</v>
      </c>
    </row>
    <row r="62" spans="1:53" ht="15.75" customHeight="1">
      <c r="A62" s="362">
        <v>2008</v>
      </c>
      <c r="B62" s="350"/>
      <c r="C62" s="350"/>
      <c r="D62" s="350"/>
      <c r="E62" s="350"/>
      <c r="F62" s="350"/>
      <c r="G62" s="350"/>
      <c r="H62" s="350"/>
      <c r="I62" s="350"/>
      <c r="J62" s="350"/>
      <c r="K62" s="350"/>
      <c r="L62" s="350"/>
      <c r="M62" s="350"/>
      <c r="N62" s="350"/>
      <c r="O62" s="350"/>
      <c r="P62" s="350"/>
      <c r="Q62" s="350"/>
      <c r="R62" s="350"/>
      <c r="S62" s="350"/>
      <c r="T62" s="350"/>
      <c r="U62" s="350"/>
      <c r="V62" s="127">
        <v>37.799999999999997</v>
      </c>
      <c r="W62">
        <f t="shared" si="22"/>
        <v>0</v>
      </c>
      <c r="X62">
        <f t="shared" ref="X62:BA62" si="47">IF(AND(X$37-$A62&gt;$V$25,SUM($W62:W62)&lt;&gt;$V62),$V62,0)</f>
        <v>0</v>
      </c>
      <c r="Y62">
        <f t="shared" si="47"/>
        <v>0</v>
      </c>
      <c r="Z62">
        <f t="shared" si="47"/>
        <v>0</v>
      </c>
      <c r="AA62">
        <f t="shared" si="47"/>
        <v>0</v>
      </c>
      <c r="AB62">
        <f t="shared" si="47"/>
        <v>0</v>
      </c>
      <c r="AC62">
        <f t="shared" si="47"/>
        <v>0</v>
      </c>
      <c r="AD62">
        <f t="shared" si="47"/>
        <v>0</v>
      </c>
      <c r="AE62">
        <f t="shared" si="47"/>
        <v>0</v>
      </c>
      <c r="AF62">
        <f t="shared" si="47"/>
        <v>0</v>
      </c>
      <c r="AG62">
        <f t="shared" si="47"/>
        <v>0</v>
      </c>
      <c r="AH62">
        <f t="shared" si="47"/>
        <v>0</v>
      </c>
      <c r="AI62">
        <f t="shared" si="47"/>
        <v>0</v>
      </c>
      <c r="AJ62">
        <f t="shared" si="47"/>
        <v>0</v>
      </c>
      <c r="AK62">
        <f t="shared" si="47"/>
        <v>0</v>
      </c>
      <c r="AL62">
        <f t="shared" si="47"/>
        <v>0</v>
      </c>
      <c r="AM62">
        <f t="shared" si="47"/>
        <v>0</v>
      </c>
      <c r="AN62">
        <f t="shared" si="47"/>
        <v>0</v>
      </c>
      <c r="AO62">
        <f t="shared" si="47"/>
        <v>0</v>
      </c>
      <c r="AP62">
        <f t="shared" si="47"/>
        <v>0</v>
      </c>
      <c r="AQ62">
        <f t="shared" si="47"/>
        <v>0</v>
      </c>
      <c r="AR62">
        <f t="shared" si="47"/>
        <v>0</v>
      </c>
      <c r="AS62">
        <f t="shared" si="47"/>
        <v>0</v>
      </c>
      <c r="AT62">
        <f t="shared" si="47"/>
        <v>0</v>
      </c>
      <c r="AU62">
        <f t="shared" si="47"/>
        <v>0</v>
      </c>
      <c r="AV62">
        <f t="shared" si="47"/>
        <v>0</v>
      </c>
      <c r="AW62">
        <f t="shared" si="47"/>
        <v>0</v>
      </c>
      <c r="AX62">
        <f t="shared" si="47"/>
        <v>0</v>
      </c>
      <c r="AY62">
        <f t="shared" si="47"/>
        <v>0</v>
      </c>
      <c r="AZ62">
        <f t="shared" si="47"/>
        <v>0</v>
      </c>
      <c r="BA62">
        <f t="shared" si="47"/>
        <v>0</v>
      </c>
    </row>
    <row r="63" spans="1:53" ht="15.75" customHeight="1">
      <c r="A63" s="362">
        <v>2009</v>
      </c>
      <c r="B63" s="350"/>
      <c r="C63" s="350"/>
      <c r="D63" s="350"/>
      <c r="E63" s="350"/>
      <c r="F63" s="350"/>
      <c r="G63" s="350"/>
      <c r="H63" s="350"/>
      <c r="I63" s="350"/>
      <c r="J63" s="350"/>
      <c r="K63" s="350"/>
      <c r="L63" s="350"/>
      <c r="M63" s="350"/>
      <c r="N63" s="350"/>
      <c r="O63" s="350"/>
      <c r="P63" s="350"/>
      <c r="Q63" s="350"/>
      <c r="R63" s="350"/>
      <c r="S63" s="350"/>
      <c r="T63" s="350"/>
      <c r="U63" s="350"/>
      <c r="V63" s="127">
        <v>163.6</v>
      </c>
      <c r="W63">
        <f t="shared" si="22"/>
        <v>0</v>
      </c>
      <c r="X63">
        <f t="shared" ref="X63:AZ63" si="48">IF(AND(X$37-$A63&gt;$V$25,SUM($W63:W63)&lt;&gt;$V63),$V63,0)</f>
        <v>0</v>
      </c>
      <c r="Y63">
        <f t="shared" si="48"/>
        <v>0</v>
      </c>
      <c r="Z63">
        <f t="shared" si="48"/>
        <v>0</v>
      </c>
      <c r="AA63">
        <f t="shared" si="48"/>
        <v>0</v>
      </c>
      <c r="AB63">
        <f t="shared" si="48"/>
        <v>0</v>
      </c>
      <c r="AC63">
        <f t="shared" si="48"/>
        <v>0</v>
      </c>
      <c r="AD63">
        <f t="shared" si="48"/>
        <v>0</v>
      </c>
      <c r="AE63">
        <f t="shared" si="48"/>
        <v>0</v>
      </c>
      <c r="AF63">
        <f t="shared" si="48"/>
        <v>0</v>
      </c>
      <c r="AG63">
        <f t="shared" si="48"/>
        <v>0</v>
      </c>
      <c r="AH63">
        <f t="shared" si="48"/>
        <v>0</v>
      </c>
      <c r="AI63">
        <f t="shared" si="48"/>
        <v>0</v>
      </c>
      <c r="AJ63">
        <f t="shared" si="48"/>
        <v>0</v>
      </c>
      <c r="AK63">
        <f t="shared" si="48"/>
        <v>0</v>
      </c>
      <c r="AL63">
        <f t="shared" si="48"/>
        <v>0</v>
      </c>
      <c r="AM63">
        <f t="shared" si="48"/>
        <v>0</v>
      </c>
      <c r="AN63">
        <f t="shared" si="48"/>
        <v>0</v>
      </c>
      <c r="AO63">
        <f t="shared" si="48"/>
        <v>0</v>
      </c>
      <c r="AP63">
        <f t="shared" si="48"/>
        <v>0</v>
      </c>
      <c r="AQ63">
        <f t="shared" si="48"/>
        <v>0</v>
      </c>
      <c r="AR63">
        <f t="shared" si="48"/>
        <v>0</v>
      </c>
      <c r="AS63">
        <f t="shared" si="48"/>
        <v>0</v>
      </c>
      <c r="AT63">
        <f t="shared" si="48"/>
        <v>0</v>
      </c>
      <c r="AU63">
        <f t="shared" si="48"/>
        <v>0</v>
      </c>
      <c r="AV63">
        <f t="shared" si="48"/>
        <v>0</v>
      </c>
      <c r="AW63">
        <f t="shared" si="48"/>
        <v>0</v>
      </c>
      <c r="AX63">
        <f t="shared" si="48"/>
        <v>0</v>
      </c>
      <c r="AY63">
        <f t="shared" si="48"/>
        <v>0</v>
      </c>
      <c r="AZ63">
        <f t="shared" si="48"/>
        <v>0</v>
      </c>
    </row>
    <row r="64" spans="1:53" ht="15.75" customHeight="1">
      <c r="A64" s="362">
        <v>2010</v>
      </c>
      <c r="B64" s="350"/>
      <c r="C64" s="350"/>
      <c r="D64" s="350"/>
      <c r="E64" s="350"/>
      <c r="F64" s="350"/>
      <c r="G64" s="350"/>
      <c r="H64" s="350"/>
      <c r="I64" s="350"/>
      <c r="J64" s="350"/>
      <c r="K64" s="350"/>
      <c r="L64" s="350"/>
      <c r="M64" s="350"/>
      <c r="N64" s="350"/>
      <c r="O64" s="350"/>
      <c r="P64" s="350"/>
      <c r="Q64" s="350"/>
      <c r="R64" s="350"/>
      <c r="S64" s="350"/>
      <c r="T64" s="350"/>
      <c r="U64" s="350"/>
      <c r="V64" s="127">
        <v>12.5</v>
      </c>
      <c r="W64">
        <f t="shared" si="22"/>
        <v>0</v>
      </c>
      <c r="X64">
        <f t="shared" ref="X64:AZ64" si="49">IF(AND(X$37-$A64&gt;$V$25,SUM($W64:W64)&lt;&gt;$V64),$V64,0)</f>
        <v>0</v>
      </c>
      <c r="Y64">
        <f t="shared" si="49"/>
        <v>0</v>
      </c>
      <c r="Z64">
        <f t="shared" si="49"/>
        <v>0</v>
      </c>
      <c r="AA64">
        <f t="shared" si="49"/>
        <v>0</v>
      </c>
      <c r="AB64">
        <f t="shared" si="49"/>
        <v>0</v>
      </c>
      <c r="AC64">
        <f t="shared" si="49"/>
        <v>0</v>
      </c>
      <c r="AD64">
        <f t="shared" si="49"/>
        <v>0</v>
      </c>
      <c r="AE64">
        <f t="shared" si="49"/>
        <v>0</v>
      </c>
      <c r="AF64">
        <f t="shared" si="49"/>
        <v>0</v>
      </c>
      <c r="AG64">
        <f t="shared" si="49"/>
        <v>0</v>
      </c>
      <c r="AH64">
        <f t="shared" si="49"/>
        <v>0</v>
      </c>
      <c r="AI64">
        <f t="shared" si="49"/>
        <v>0</v>
      </c>
      <c r="AJ64">
        <f t="shared" si="49"/>
        <v>0</v>
      </c>
      <c r="AK64">
        <f t="shared" si="49"/>
        <v>0</v>
      </c>
      <c r="AL64">
        <f t="shared" si="49"/>
        <v>0</v>
      </c>
      <c r="AM64">
        <f t="shared" si="49"/>
        <v>0</v>
      </c>
      <c r="AN64">
        <f t="shared" si="49"/>
        <v>0</v>
      </c>
      <c r="AO64">
        <f t="shared" si="49"/>
        <v>0</v>
      </c>
      <c r="AP64">
        <f t="shared" si="49"/>
        <v>0</v>
      </c>
      <c r="AQ64">
        <f t="shared" si="49"/>
        <v>0</v>
      </c>
      <c r="AR64">
        <f t="shared" si="49"/>
        <v>0</v>
      </c>
      <c r="AS64">
        <f t="shared" si="49"/>
        <v>0</v>
      </c>
      <c r="AT64">
        <f t="shared" si="49"/>
        <v>0</v>
      </c>
      <c r="AU64">
        <f t="shared" si="49"/>
        <v>0</v>
      </c>
      <c r="AV64">
        <f t="shared" si="49"/>
        <v>0</v>
      </c>
      <c r="AW64">
        <f t="shared" si="49"/>
        <v>0</v>
      </c>
      <c r="AX64">
        <f t="shared" si="49"/>
        <v>0</v>
      </c>
      <c r="AY64">
        <f t="shared" si="49"/>
        <v>0</v>
      </c>
      <c r="AZ64">
        <f t="shared" si="49"/>
        <v>0</v>
      </c>
    </row>
    <row r="65" spans="1:52" ht="15.75" customHeight="1">
      <c r="A65" s="362">
        <v>2011</v>
      </c>
      <c r="B65" s="350"/>
      <c r="C65" s="350"/>
      <c r="D65" s="350"/>
      <c r="E65" s="350"/>
      <c r="F65" s="350"/>
      <c r="G65" s="350"/>
      <c r="H65" s="350"/>
      <c r="I65" s="350"/>
      <c r="J65" s="350"/>
      <c r="K65" s="350"/>
      <c r="L65" s="350"/>
      <c r="M65" s="350"/>
      <c r="N65" s="350"/>
      <c r="O65" s="350"/>
      <c r="P65" s="350"/>
      <c r="Q65" s="350"/>
      <c r="R65" s="350"/>
      <c r="S65" s="350"/>
      <c r="T65" s="350"/>
      <c r="U65" s="350"/>
      <c r="V65" s="127">
        <v>2.9</v>
      </c>
      <c r="W65">
        <f t="shared" si="22"/>
        <v>0</v>
      </c>
      <c r="X65">
        <f t="shared" ref="X65:AZ65" si="50">IF(AND(X$37-$A65&gt;$V$25,SUM($W65:W65)&lt;&gt;$V65),$V65,0)</f>
        <v>0</v>
      </c>
      <c r="Y65">
        <f t="shared" si="50"/>
        <v>0</v>
      </c>
      <c r="Z65">
        <f t="shared" si="50"/>
        <v>0</v>
      </c>
      <c r="AA65">
        <f t="shared" si="50"/>
        <v>0</v>
      </c>
      <c r="AB65">
        <f t="shared" si="50"/>
        <v>0</v>
      </c>
      <c r="AC65">
        <f t="shared" si="50"/>
        <v>0</v>
      </c>
      <c r="AD65">
        <f t="shared" si="50"/>
        <v>0</v>
      </c>
      <c r="AE65">
        <f t="shared" si="50"/>
        <v>0</v>
      </c>
      <c r="AF65">
        <f t="shared" si="50"/>
        <v>0</v>
      </c>
      <c r="AG65">
        <f t="shared" si="50"/>
        <v>0</v>
      </c>
      <c r="AH65">
        <f t="shared" si="50"/>
        <v>0</v>
      </c>
      <c r="AI65">
        <f t="shared" si="50"/>
        <v>0</v>
      </c>
      <c r="AJ65">
        <f t="shared" si="50"/>
        <v>0</v>
      </c>
      <c r="AK65">
        <f t="shared" si="50"/>
        <v>0</v>
      </c>
      <c r="AL65">
        <f t="shared" si="50"/>
        <v>0</v>
      </c>
      <c r="AM65">
        <f t="shared" si="50"/>
        <v>0</v>
      </c>
      <c r="AN65">
        <f t="shared" si="50"/>
        <v>0</v>
      </c>
      <c r="AO65">
        <f t="shared" si="50"/>
        <v>0</v>
      </c>
      <c r="AP65">
        <f t="shared" si="50"/>
        <v>0</v>
      </c>
      <c r="AQ65">
        <f t="shared" si="50"/>
        <v>0</v>
      </c>
      <c r="AR65">
        <f t="shared" si="50"/>
        <v>0</v>
      </c>
      <c r="AS65">
        <f t="shared" si="50"/>
        <v>0</v>
      </c>
      <c r="AT65">
        <f t="shared" si="50"/>
        <v>0</v>
      </c>
      <c r="AU65">
        <f t="shared" si="50"/>
        <v>0</v>
      </c>
      <c r="AV65">
        <f t="shared" si="50"/>
        <v>0</v>
      </c>
      <c r="AW65">
        <f t="shared" si="50"/>
        <v>0</v>
      </c>
      <c r="AX65">
        <f t="shared" si="50"/>
        <v>0</v>
      </c>
      <c r="AY65">
        <f t="shared" si="50"/>
        <v>0</v>
      </c>
      <c r="AZ65">
        <f t="shared" si="50"/>
        <v>0</v>
      </c>
    </row>
    <row r="66" spans="1:52" ht="15.75" customHeight="1">
      <c r="A66" s="362">
        <v>2012</v>
      </c>
      <c r="B66" s="350"/>
      <c r="C66" s="350"/>
      <c r="D66" s="350"/>
      <c r="E66" s="350"/>
      <c r="F66" s="350"/>
      <c r="G66" s="350"/>
      <c r="H66" s="350"/>
      <c r="I66" s="350"/>
      <c r="J66" s="350"/>
      <c r="K66" s="350"/>
      <c r="L66" s="350"/>
      <c r="M66" s="350"/>
      <c r="N66" s="350"/>
      <c r="O66" s="350"/>
      <c r="P66" s="350"/>
      <c r="Q66" s="350"/>
      <c r="R66" s="350"/>
      <c r="S66" s="350"/>
      <c r="T66" s="350"/>
      <c r="U66" s="350"/>
      <c r="V66" s="127">
        <v>122.9</v>
      </c>
      <c r="W66">
        <f t="shared" si="22"/>
        <v>0</v>
      </c>
      <c r="X66">
        <f t="shared" ref="X66:AZ66" si="51">IF(AND(X$37-$A66&gt;$V$25,SUM($W66:W66)&lt;&gt;$V66),$V66,0)</f>
        <v>0</v>
      </c>
      <c r="Y66">
        <f t="shared" si="51"/>
        <v>0</v>
      </c>
      <c r="Z66">
        <f t="shared" si="51"/>
        <v>0</v>
      </c>
      <c r="AA66">
        <f t="shared" si="51"/>
        <v>0</v>
      </c>
      <c r="AB66">
        <f t="shared" si="51"/>
        <v>0</v>
      </c>
      <c r="AC66">
        <f t="shared" si="51"/>
        <v>0</v>
      </c>
      <c r="AD66">
        <f t="shared" si="51"/>
        <v>0</v>
      </c>
      <c r="AE66">
        <f t="shared" si="51"/>
        <v>0</v>
      </c>
      <c r="AF66">
        <f t="shared" si="51"/>
        <v>0</v>
      </c>
      <c r="AG66">
        <f t="shared" si="51"/>
        <v>0</v>
      </c>
      <c r="AH66">
        <f t="shared" si="51"/>
        <v>0</v>
      </c>
      <c r="AI66">
        <f t="shared" si="51"/>
        <v>0</v>
      </c>
      <c r="AJ66">
        <f t="shared" si="51"/>
        <v>0</v>
      </c>
      <c r="AK66">
        <f t="shared" si="51"/>
        <v>0</v>
      </c>
      <c r="AL66">
        <f t="shared" si="51"/>
        <v>0</v>
      </c>
      <c r="AM66">
        <f t="shared" si="51"/>
        <v>0</v>
      </c>
      <c r="AN66">
        <f t="shared" si="51"/>
        <v>0</v>
      </c>
      <c r="AO66">
        <f t="shared" si="51"/>
        <v>0</v>
      </c>
      <c r="AP66">
        <f t="shared" si="51"/>
        <v>0</v>
      </c>
      <c r="AQ66">
        <f t="shared" si="51"/>
        <v>0</v>
      </c>
      <c r="AR66">
        <f t="shared" si="51"/>
        <v>0</v>
      </c>
      <c r="AS66">
        <f t="shared" si="51"/>
        <v>0</v>
      </c>
      <c r="AT66">
        <f t="shared" si="51"/>
        <v>0</v>
      </c>
      <c r="AU66">
        <f t="shared" si="51"/>
        <v>0</v>
      </c>
      <c r="AV66">
        <f t="shared" si="51"/>
        <v>0</v>
      </c>
      <c r="AW66">
        <f t="shared" si="51"/>
        <v>0</v>
      </c>
      <c r="AX66">
        <f t="shared" si="51"/>
        <v>0</v>
      </c>
      <c r="AY66">
        <f t="shared" si="51"/>
        <v>0</v>
      </c>
      <c r="AZ66">
        <f t="shared" si="51"/>
        <v>0</v>
      </c>
    </row>
    <row r="67" spans="1:52" ht="15.75" customHeight="1">
      <c r="A67" s="362">
        <v>2013</v>
      </c>
      <c r="B67" s="350"/>
      <c r="C67" s="350"/>
      <c r="D67" s="350"/>
      <c r="E67" s="350"/>
      <c r="F67" s="350"/>
      <c r="G67" s="350"/>
      <c r="H67" s="350"/>
      <c r="I67" s="350"/>
      <c r="J67" s="350"/>
      <c r="K67" s="350"/>
      <c r="L67" s="350"/>
      <c r="M67" s="350"/>
      <c r="N67" s="350"/>
      <c r="O67" s="350"/>
      <c r="P67" s="350"/>
      <c r="Q67" s="350"/>
      <c r="R67" s="350"/>
      <c r="S67" s="350"/>
      <c r="T67" s="350"/>
      <c r="U67" s="350"/>
      <c r="V67" s="127">
        <v>70.599999999999994</v>
      </c>
      <c r="W67">
        <f t="shared" si="22"/>
        <v>0</v>
      </c>
      <c r="X67">
        <f t="shared" ref="X67:AZ67" si="52">IF(AND(X$37-$A67&gt;$V$25,SUM($W67:W67)&lt;&gt;$V67),$V67,0)</f>
        <v>0</v>
      </c>
      <c r="Y67">
        <f t="shared" si="52"/>
        <v>0</v>
      </c>
      <c r="Z67">
        <f t="shared" si="52"/>
        <v>0</v>
      </c>
      <c r="AA67">
        <f t="shared" si="52"/>
        <v>0</v>
      </c>
      <c r="AB67">
        <f t="shared" si="52"/>
        <v>0</v>
      </c>
      <c r="AC67">
        <f t="shared" si="52"/>
        <v>0</v>
      </c>
      <c r="AD67">
        <f t="shared" si="52"/>
        <v>0</v>
      </c>
      <c r="AE67">
        <f t="shared" si="52"/>
        <v>0</v>
      </c>
      <c r="AF67">
        <f t="shared" si="52"/>
        <v>0</v>
      </c>
      <c r="AG67">
        <f t="shared" si="52"/>
        <v>0</v>
      </c>
      <c r="AH67">
        <f t="shared" si="52"/>
        <v>0</v>
      </c>
      <c r="AI67">
        <f t="shared" si="52"/>
        <v>0</v>
      </c>
      <c r="AJ67">
        <f t="shared" si="52"/>
        <v>0</v>
      </c>
      <c r="AK67">
        <f t="shared" si="52"/>
        <v>0</v>
      </c>
      <c r="AL67">
        <f t="shared" si="52"/>
        <v>0</v>
      </c>
      <c r="AM67">
        <f t="shared" si="52"/>
        <v>0</v>
      </c>
      <c r="AN67">
        <f t="shared" si="52"/>
        <v>0</v>
      </c>
      <c r="AO67">
        <f t="shared" si="52"/>
        <v>0</v>
      </c>
      <c r="AP67">
        <f t="shared" si="52"/>
        <v>0</v>
      </c>
      <c r="AQ67">
        <f t="shared" si="52"/>
        <v>0</v>
      </c>
      <c r="AR67">
        <f t="shared" si="52"/>
        <v>0</v>
      </c>
      <c r="AS67">
        <f t="shared" si="52"/>
        <v>0</v>
      </c>
      <c r="AT67">
        <f t="shared" si="52"/>
        <v>0</v>
      </c>
      <c r="AU67">
        <f t="shared" si="52"/>
        <v>0</v>
      </c>
      <c r="AV67">
        <f t="shared" si="52"/>
        <v>0</v>
      </c>
      <c r="AW67">
        <f t="shared" si="52"/>
        <v>0</v>
      </c>
      <c r="AX67">
        <f t="shared" si="52"/>
        <v>0</v>
      </c>
      <c r="AY67">
        <f t="shared" si="52"/>
        <v>0</v>
      </c>
      <c r="AZ67">
        <f t="shared" si="52"/>
        <v>0</v>
      </c>
    </row>
    <row r="68" spans="1:52" ht="15.75" customHeight="1">
      <c r="A68" s="362">
        <v>2014</v>
      </c>
      <c r="B68" s="350"/>
      <c r="C68" s="350"/>
      <c r="D68" s="350"/>
      <c r="E68" s="350"/>
      <c r="F68" s="350"/>
      <c r="G68" s="350"/>
      <c r="H68" s="350"/>
      <c r="I68" s="350"/>
      <c r="J68" s="350"/>
      <c r="K68" s="350"/>
      <c r="L68" s="350"/>
      <c r="M68" s="350"/>
      <c r="N68" s="350"/>
      <c r="O68" s="350"/>
      <c r="P68" s="350"/>
      <c r="Q68" s="350"/>
      <c r="R68" s="350"/>
      <c r="S68" s="350"/>
      <c r="T68" s="350"/>
      <c r="U68" s="350"/>
      <c r="V68" s="127">
        <v>11.5</v>
      </c>
      <c r="W68">
        <f t="shared" si="22"/>
        <v>0</v>
      </c>
      <c r="X68">
        <f t="shared" ref="X68:AZ68" si="53">IF(AND(X$37-$A68&gt;$V$25,SUM($W68:W68)&lt;&gt;$V68),$V68,0)</f>
        <v>0</v>
      </c>
      <c r="Y68">
        <f t="shared" si="53"/>
        <v>0</v>
      </c>
      <c r="Z68">
        <f t="shared" si="53"/>
        <v>0</v>
      </c>
      <c r="AA68">
        <f t="shared" si="53"/>
        <v>0</v>
      </c>
      <c r="AB68">
        <f t="shared" si="53"/>
        <v>0</v>
      </c>
      <c r="AC68">
        <f t="shared" si="53"/>
        <v>0</v>
      </c>
      <c r="AD68">
        <f t="shared" si="53"/>
        <v>0</v>
      </c>
      <c r="AE68">
        <f t="shared" si="53"/>
        <v>0</v>
      </c>
      <c r="AF68">
        <f t="shared" si="53"/>
        <v>0</v>
      </c>
      <c r="AG68">
        <f t="shared" si="53"/>
        <v>0</v>
      </c>
      <c r="AH68">
        <f t="shared" si="53"/>
        <v>0</v>
      </c>
      <c r="AI68">
        <f t="shared" si="53"/>
        <v>0</v>
      </c>
      <c r="AJ68">
        <f t="shared" si="53"/>
        <v>0</v>
      </c>
      <c r="AK68">
        <f t="shared" si="53"/>
        <v>0</v>
      </c>
      <c r="AL68">
        <f t="shared" si="53"/>
        <v>0</v>
      </c>
      <c r="AM68">
        <f t="shared" si="53"/>
        <v>0</v>
      </c>
      <c r="AN68">
        <f t="shared" si="53"/>
        <v>0</v>
      </c>
      <c r="AO68">
        <f t="shared" si="53"/>
        <v>0</v>
      </c>
      <c r="AP68">
        <f t="shared" si="53"/>
        <v>0</v>
      </c>
      <c r="AQ68">
        <f t="shared" si="53"/>
        <v>0</v>
      </c>
      <c r="AR68">
        <f t="shared" si="53"/>
        <v>0</v>
      </c>
      <c r="AS68">
        <f t="shared" si="53"/>
        <v>0</v>
      </c>
      <c r="AT68">
        <f t="shared" si="53"/>
        <v>0</v>
      </c>
      <c r="AU68">
        <f t="shared" si="53"/>
        <v>0</v>
      </c>
      <c r="AV68">
        <f t="shared" si="53"/>
        <v>0</v>
      </c>
      <c r="AW68">
        <f t="shared" si="53"/>
        <v>0</v>
      </c>
      <c r="AX68">
        <f t="shared" si="53"/>
        <v>0</v>
      </c>
      <c r="AY68">
        <f t="shared" si="53"/>
        <v>0</v>
      </c>
      <c r="AZ68">
        <f t="shared" si="53"/>
        <v>0</v>
      </c>
    </row>
    <row r="69" spans="1:52" ht="15.75" customHeight="1">
      <c r="A69" s="362">
        <v>2015</v>
      </c>
      <c r="B69" s="350"/>
      <c r="C69" s="350"/>
      <c r="D69" s="350"/>
      <c r="E69" s="350"/>
      <c r="F69" s="350"/>
      <c r="G69" s="350"/>
      <c r="H69" s="350"/>
      <c r="I69" s="350"/>
      <c r="J69" s="350"/>
      <c r="K69" s="350"/>
      <c r="L69" s="350"/>
      <c r="M69" s="350"/>
      <c r="N69" s="350"/>
      <c r="O69" s="350"/>
      <c r="P69" s="350"/>
      <c r="Q69" s="350"/>
      <c r="R69" s="350"/>
      <c r="S69" s="350"/>
      <c r="T69" s="350"/>
      <c r="U69" s="350"/>
      <c r="V69" s="127">
        <v>48</v>
      </c>
      <c r="W69">
        <f t="shared" si="22"/>
        <v>0</v>
      </c>
      <c r="X69">
        <f t="shared" ref="X69:AZ69" si="54">IF(AND(X$37-$A69&gt;$V$25,SUM($W69:W69)&lt;&gt;$V69),$V69,0)</f>
        <v>0</v>
      </c>
      <c r="Y69">
        <f t="shared" si="54"/>
        <v>0</v>
      </c>
      <c r="Z69">
        <f t="shared" si="54"/>
        <v>0</v>
      </c>
      <c r="AA69">
        <f t="shared" si="54"/>
        <v>0</v>
      </c>
      <c r="AB69">
        <f t="shared" si="54"/>
        <v>0</v>
      </c>
      <c r="AC69">
        <f t="shared" si="54"/>
        <v>0</v>
      </c>
      <c r="AD69">
        <f t="shared" si="54"/>
        <v>0</v>
      </c>
      <c r="AE69">
        <f t="shared" si="54"/>
        <v>0</v>
      </c>
      <c r="AF69">
        <f t="shared" si="54"/>
        <v>0</v>
      </c>
      <c r="AG69">
        <f t="shared" si="54"/>
        <v>0</v>
      </c>
      <c r="AH69">
        <f t="shared" si="54"/>
        <v>0</v>
      </c>
      <c r="AI69">
        <f t="shared" si="54"/>
        <v>0</v>
      </c>
      <c r="AJ69">
        <f t="shared" si="54"/>
        <v>0</v>
      </c>
      <c r="AK69">
        <f t="shared" si="54"/>
        <v>0</v>
      </c>
      <c r="AL69">
        <f t="shared" si="54"/>
        <v>0</v>
      </c>
      <c r="AM69">
        <f t="shared" si="54"/>
        <v>0</v>
      </c>
      <c r="AN69">
        <f t="shared" si="54"/>
        <v>0</v>
      </c>
      <c r="AO69">
        <f t="shared" si="54"/>
        <v>0</v>
      </c>
      <c r="AP69">
        <f t="shared" si="54"/>
        <v>0</v>
      </c>
      <c r="AQ69">
        <f t="shared" si="54"/>
        <v>0</v>
      </c>
      <c r="AR69">
        <f t="shared" si="54"/>
        <v>0</v>
      </c>
      <c r="AS69">
        <f t="shared" si="54"/>
        <v>0</v>
      </c>
      <c r="AT69">
        <f t="shared" si="54"/>
        <v>0</v>
      </c>
      <c r="AU69">
        <f t="shared" si="54"/>
        <v>0</v>
      </c>
      <c r="AV69">
        <f t="shared" si="54"/>
        <v>0</v>
      </c>
      <c r="AW69">
        <f t="shared" si="54"/>
        <v>0</v>
      </c>
      <c r="AX69">
        <f t="shared" si="54"/>
        <v>0</v>
      </c>
      <c r="AY69">
        <f t="shared" si="54"/>
        <v>0</v>
      </c>
      <c r="AZ69">
        <f t="shared" si="54"/>
        <v>0</v>
      </c>
    </row>
    <row r="70" spans="1:52" ht="15.75" customHeight="1">
      <c r="A70" s="362">
        <v>2017</v>
      </c>
      <c r="B70" s="350"/>
      <c r="C70" s="350"/>
      <c r="D70" s="350"/>
      <c r="E70" s="350"/>
      <c r="F70" s="350"/>
      <c r="G70" s="350"/>
      <c r="H70" s="350"/>
      <c r="I70" s="350"/>
      <c r="J70" s="350"/>
      <c r="K70" s="350"/>
      <c r="L70" s="350"/>
      <c r="M70" s="350"/>
      <c r="N70" s="350"/>
      <c r="O70" s="350"/>
      <c r="P70" s="350"/>
      <c r="Q70" s="350"/>
      <c r="R70" s="350"/>
      <c r="S70" s="350"/>
      <c r="T70" s="350"/>
      <c r="U70" s="350"/>
      <c r="V70" s="127">
        <v>37</v>
      </c>
      <c r="W70">
        <f t="shared" si="22"/>
        <v>0</v>
      </c>
      <c r="X70">
        <f t="shared" ref="X70:AZ70" si="55">IF(AND(X$37-$A70&gt;$V$25,SUM($W70:W70)&lt;&gt;$V70),$V70,0)</f>
        <v>0</v>
      </c>
      <c r="Y70">
        <f t="shared" si="55"/>
        <v>0</v>
      </c>
      <c r="Z70">
        <f t="shared" si="55"/>
        <v>0</v>
      </c>
      <c r="AA70">
        <f t="shared" si="55"/>
        <v>0</v>
      </c>
      <c r="AB70">
        <f t="shared" si="55"/>
        <v>0</v>
      </c>
      <c r="AC70">
        <f t="shared" si="55"/>
        <v>0</v>
      </c>
      <c r="AD70">
        <f t="shared" si="55"/>
        <v>0</v>
      </c>
      <c r="AE70">
        <f t="shared" si="55"/>
        <v>0</v>
      </c>
      <c r="AF70">
        <f t="shared" si="55"/>
        <v>0</v>
      </c>
      <c r="AG70">
        <f t="shared" si="55"/>
        <v>0</v>
      </c>
      <c r="AH70">
        <f t="shared" si="55"/>
        <v>0</v>
      </c>
      <c r="AI70">
        <f t="shared" si="55"/>
        <v>0</v>
      </c>
      <c r="AJ70">
        <f t="shared" si="55"/>
        <v>0</v>
      </c>
      <c r="AK70">
        <f t="shared" si="55"/>
        <v>0</v>
      </c>
      <c r="AL70">
        <f t="shared" si="55"/>
        <v>0</v>
      </c>
      <c r="AM70">
        <f t="shared" si="55"/>
        <v>0</v>
      </c>
      <c r="AN70">
        <f t="shared" si="55"/>
        <v>0</v>
      </c>
      <c r="AO70">
        <f t="shared" si="55"/>
        <v>0</v>
      </c>
      <c r="AP70">
        <f t="shared" si="55"/>
        <v>0</v>
      </c>
      <c r="AQ70">
        <f t="shared" si="55"/>
        <v>0</v>
      </c>
      <c r="AR70">
        <f t="shared" si="55"/>
        <v>0</v>
      </c>
      <c r="AS70">
        <f t="shared" si="55"/>
        <v>0</v>
      </c>
      <c r="AT70">
        <f t="shared" si="55"/>
        <v>0</v>
      </c>
      <c r="AU70">
        <f t="shared" si="55"/>
        <v>0</v>
      </c>
      <c r="AV70">
        <f t="shared" si="55"/>
        <v>0</v>
      </c>
      <c r="AW70">
        <f t="shared" si="55"/>
        <v>0</v>
      </c>
      <c r="AX70">
        <f t="shared" si="55"/>
        <v>0</v>
      </c>
      <c r="AY70">
        <f t="shared" si="55"/>
        <v>0</v>
      </c>
      <c r="AZ70">
        <f t="shared" si="55"/>
        <v>0</v>
      </c>
    </row>
    <row r="71" spans="1:52" ht="15.75" customHeight="1">
      <c r="A71" s="362">
        <v>2018</v>
      </c>
      <c r="B71" s="350"/>
      <c r="C71" s="350"/>
      <c r="D71" s="350"/>
      <c r="E71" s="350"/>
      <c r="F71" s="350"/>
      <c r="G71" s="350"/>
      <c r="H71" s="350"/>
      <c r="I71" s="350"/>
      <c r="J71" s="350"/>
      <c r="K71" s="350"/>
      <c r="L71" s="350"/>
      <c r="M71" s="350"/>
      <c r="N71" s="350"/>
      <c r="O71" s="350"/>
      <c r="P71" s="350"/>
      <c r="Q71" s="350"/>
      <c r="R71" s="350"/>
      <c r="S71" s="350"/>
      <c r="T71" s="350"/>
      <c r="U71" s="350"/>
      <c r="V71" s="127">
        <v>16</v>
      </c>
      <c r="W71">
        <f t="shared" si="22"/>
        <v>0</v>
      </c>
      <c r="X71">
        <f t="shared" ref="X71:AZ71" si="56">IF(AND(X$37-$A71&gt;$V$25,SUM($W71:W71)&lt;&gt;$V71),$V71,0)</f>
        <v>0</v>
      </c>
      <c r="Y71">
        <f t="shared" si="56"/>
        <v>0</v>
      </c>
      <c r="Z71">
        <f t="shared" si="56"/>
        <v>0</v>
      </c>
      <c r="AA71">
        <f t="shared" si="56"/>
        <v>0</v>
      </c>
      <c r="AB71">
        <f t="shared" si="56"/>
        <v>0</v>
      </c>
      <c r="AC71">
        <f t="shared" si="56"/>
        <v>0</v>
      </c>
      <c r="AD71">
        <f t="shared" si="56"/>
        <v>0</v>
      </c>
      <c r="AE71">
        <f t="shared" si="56"/>
        <v>0</v>
      </c>
      <c r="AF71">
        <f t="shared" si="56"/>
        <v>0</v>
      </c>
      <c r="AG71">
        <f t="shared" si="56"/>
        <v>0</v>
      </c>
      <c r="AH71">
        <f t="shared" si="56"/>
        <v>0</v>
      </c>
      <c r="AI71">
        <f t="shared" si="56"/>
        <v>0</v>
      </c>
      <c r="AJ71">
        <f t="shared" si="56"/>
        <v>0</v>
      </c>
      <c r="AK71">
        <f t="shared" si="56"/>
        <v>0</v>
      </c>
      <c r="AL71">
        <f t="shared" si="56"/>
        <v>0</v>
      </c>
      <c r="AM71">
        <f t="shared" si="56"/>
        <v>0</v>
      </c>
      <c r="AN71">
        <f t="shared" si="56"/>
        <v>0</v>
      </c>
      <c r="AO71">
        <f t="shared" si="56"/>
        <v>0</v>
      </c>
      <c r="AP71">
        <f t="shared" si="56"/>
        <v>0</v>
      </c>
      <c r="AQ71">
        <f t="shared" si="56"/>
        <v>0</v>
      </c>
      <c r="AR71">
        <f t="shared" si="56"/>
        <v>0</v>
      </c>
      <c r="AS71">
        <f t="shared" si="56"/>
        <v>0</v>
      </c>
      <c r="AT71">
        <f t="shared" si="56"/>
        <v>0</v>
      </c>
      <c r="AU71">
        <f t="shared" si="56"/>
        <v>0</v>
      </c>
      <c r="AV71">
        <f t="shared" si="56"/>
        <v>0</v>
      </c>
      <c r="AW71">
        <f t="shared" si="56"/>
        <v>0</v>
      </c>
      <c r="AX71">
        <f t="shared" si="56"/>
        <v>0</v>
      </c>
      <c r="AY71">
        <f t="shared" si="56"/>
        <v>0</v>
      </c>
      <c r="AZ71">
        <f t="shared" si="56"/>
        <v>0</v>
      </c>
    </row>
    <row r="72" spans="1:52" ht="15.75" customHeight="1"/>
    <row r="73" spans="1:52" ht="15.75" customHeight="1"/>
    <row r="74" spans="1:52" ht="15.75" customHeight="1"/>
    <row r="75" spans="1:52" ht="15.75" customHeight="1"/>
    <row r="76" spans="1:52" ht="15.75" customHeight="1"/>
    <row r="77" spans="1:52" ht="15.75" customHeight="1"/>
    <row r="78" spans="1:52" ht="15.75" customHeight="1"/>
    <row r="79" spans="1:52" ht="15.75" customHeight="1"/>
    <row r="80" spans="1:5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9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70</v>
      </c>
      <c r="B2" s="105">
        <f t="shared" ref="B2:U2" si="0">C2/(1+B34-B3)</f>
        <v>5883115.3940306362</v>
      </c>
      <c r="C2" s="105">
        <f t="shared" si="0"/>
        <v>6000777.7019112492</v>
      </c>
      <c r="D2" s="105">
        <f t="shared" si="0"/>
        <v>6120793.2559494739</v>
      </c>
      <c r="E2" s="105">
        <f t="shared" si="0"/>
        <v>6243209.1210684637</v>
      </c>
      <c r="F2" s="105">
        <f t="shared" si="0"/>
        <v>6368073.3034898331</v>
      </c>
      <c r="G2" s="105">
        <f t="shared" si="0"/>
        <v>6495434.7695596302</v>
      </c>
      <c r="H2" s="105">
        <f t="shared" si="0"/>
        <v>6625343.4649508232</v>
      </c>
      <c r="I2" s="105">
        <f t="shared" si="0"/>
        <v>6757850.3342498401</v>
      </c>
      <c r="J2" s="105">
        <f t="shared" si="0"/>
        <v>6893007.3409348372</v>
      </c>
      <c r="K2" s="105">
        <f t="shared" si="0"/>
        <v>7030867.4877535338</v>
      </c>
      <c r="L2" s="105">
        <f t="shared" si="0"/>
        <v>7171484.8375086049</v>
      </c>
      <c r="M2" s="105">
        <f t="shared" si="0"/>
        <v>7314914.5342587773</v>
      </c>
      <c r="N2" s="105">
        <f t="shared" si="0"/>
        <v>7461212.8249439532</v>
      </c>
      <c r="O2" s="105">
        <f t="shared" si="0"/>
        <v>7610437.081442832</v>
      </c>
      <c r="P2" s="105">
        <f t="shared" si="0"/>
        <v>7762645.8230716884</v>
      </c>
      <c r="Q2" s="105">
        <f t="shared" si="0"/>
        <v>7917898.7395331226</v>
      </c>
      <c r="R2" s="105">
        <f t="shared" si="0"/>
        <v>8076256.7143237852</v>
      </c>
      <c r="S2" s="105">
        <f t="shared" si="0"/>
        <v>8237781.8486102615</v>
      </c>
      <c r="T2" s="105">
        <f t="shared" si="0"/>
        <v>8402537.4855824672</v>
      </c>
      <c r="U2" s="105">
        <f t="shared" si="0"/>
        <v>8570588.2352941167</v>
      </c>
      <c r="V2" s="360">
        <v>8742000</v>
      </c>
      <c r="W2" s="105">
        <f t="shared" ref="W2:AZ2" si="1">V2*(1+V34-V3)</f>
        <v>8916840</v>
      </c>
      <c r="X2" s="105">
        <f t="shared" si="1"/>
        <v>9095176.8000000007</v>
      </c>
      <c r="Y2" s="105">
        <f t="shared" si="1"/>
        <v>9277080.3360000011</v>
      </c>
      <c r="Z2" s="105">
        <f t="shared" si="1"/>
        <v>9462621.9427200016</v>
      </c>
      <c r="AA2" s="105">
        <f t="shared" si="1"/>
        <v>9651874.3815744016</v>
      </c>
      <c r="AB2" s="105">
        <f t="shared" si="1"/>
        <v>9844911.8692058902</v>
      </c>
      <c r="AC2" s="105">
        <f t="shared" si="1"/>
        <v>10041810.106590008</v>
      </c>
      <c r="AD2" s="105">
        <f t="shared" si="1"/>
        <v>10242646.308721809</v>
      </c>
      <c r="AE2" s="105">
        <f t="shared" si="1"/>
        <v>10447499.234896244</v>
      </c>
      <c r="AF2" s="105">
        <f t="shared" si="1"/>
        <v>10656449.219594169</v>
      </c>
      <c r="AG2" s="105">
        <f t="shared" si="1"/>
        <v>10869578.203986052</v>
      </c>
      <c r="AH2" s="105">
        <f t="shared" si="1"/>
        <v>11086969.768065773</v>
      </c>
      <c r="AI2" s="105">
        <f t="shared" si="1"/>
        <v>11308709.163427088</v>
      </c>
      <c r="AJ2" s="105">
        <f t="shared" si="1"/>
        <v>11534883.34669563</v>
      </c>
      <c r="AK2" s="105">
        <f t="shared" si="1"/>
        <v>11765581.013629543</v>
      </c>
      <c r="AL2" s="105">
        <f t="shared" si="1"/>
        <v>12000892.633902134</v>
      </c>
      <c r="AM2" s="105">
        <f t="shared" si="1"/>
        <v>12240910.486580178</v>
      </c>
      <c r="AN2" s="105">
        <f t="shared" si="1"/>
        <v>12485728.696311781</v>
      </c>
      <c r="AO2" s="105">
        <f t="shared" si="1"/>
        <v>12735443.270238018</v>
      </c>
      <c r="AP2" s="105">
        <f t="shared" si="1"/>
        <v>12990152.135642778</v>
      </c>
      <c r="AQ2" s="105">
        <f t="shared" si="1"/>
        <v>13249955.178355634</v>
      </c>
      <c r="AR2" s="105">
        <f t="shared" si="1"/>
        <v>13514954.281922746</v>
      </c>
      <c r="AS2" s="105">
        <f t="shared" si="1"/>
        <v>13785253.367561202</v>
      </c>
      <c r="AT2" s="105">
        <f t="shared" si="1"/>
        <v>14060958.434912426</v>
      </c>
      <c r="AU2" s="105">
        <f t="shared" si="1"/>
        <v>14342177.603610676</v>
      </c>
      <c r="AV2" s="105">
        <f t="shared" si="1"/>
        <v>14629021.15568289</v>
      </c>
      <c r="AW2" s="105">
        <f t="shared" si="1"/>
        <v>14921601.578796547</v>
      </c>
      <c r="AX2" s="105">
        <f t="shared" si="1"/>
        <v>15220033.610372478</v>
      </c>
      <c r="AY2" s="105">
        <f t="shared" si="1"/>
        <v>15524434.282579929</v>
      </c>
      <c r="AZ2" s="105">
        <f t="shared" si="1"/>
        <v>15834922.968231527</v>
      </c>
    </row>
    <row r="3" spans="1:52" ht="15" customHeight="1">
      <c r="A3" s="93" t="s">
        <v>72</v>
      </c>
      <c r="B3" s="330">
        <f t="shared" ref="B3:U3" si="2">C3</f>
        <v>0</v>
      </c>
      <c r="C3" s="330">
        <f t="shared" si="2"/>
        <v>0</v>
      </c>
      <c r="D3" s="330">
        <f t="shared" si="2"/>
        <v>0</v>
      </c>
      <c r="E3" s="330">
        <f t="shared" si="2"/>
        <v>0</v>
      </c>
      <c r="F3" s="330">
        <f t="shared" si="2"/>
        <v>0</v>
      </c>
      <c r="G3" s="330">
        <f t="shared" si="2"/>
        <v>0</v>
      </c>
      <c r="H3" s="330">
        <f t="shared" si="2"/>
        <v>0</v>
      </c>
      <c r="I3" s="330">
        <f t="shared" si="2"/>
        <v>0</v>
      </c>
      <c r="J3" s="330">
        <f t="shared" si="2"/>
        <v>0</v>
      </c>
      <c r="K3" s="330">
        <f t="shared" si="2"/>
        <v>0</v>
      </c>
      <c r="L3" s="330">
        <f t="shared" si="2"/>
        <v>0</v>
      </c>
      <c r="M3" s="330">
        <f t="shared" si="2"/>
        <v>0</v>
      </c>
      <c r="N3" s="330">
        <f t="shared" si="2"/>
        <v>0</v>
      </c>
      <c r="O3" s="330">
        <f t="shared" si="2"/>
        <v>0</v>
      </c>
      <c r="P3" s="330">
        <f t="shared" si="2"/>
        <v>0</v>
      </c>
      <c r="Q3" s="330">
        <f t="shared" si="2"/>
        <v>0</v>
      </c>
      <c r="R3" s="330">
        <f t="shared" si="2"/>
        <v>0</v>
      </c>
      <c r="S3" s="330">
        <f t="shared" si="2"/>
        <v>0</v>
      </c>
      <c r="T3" s="330">
        <f t="shared" si="2"/>
        <v>0</v>
      </c>
      <c r="U3" s="330">
        <f t="shared" si="2"/>
        <v>0</v>
      </c>
      <c r="V3" s="245">
        <v>0</v>
      </c>
      <c r="W3" s="247">
        <f t="shared" ref="W3:AZ3" si="3">V3</f>
        <v>0</v>
      </c>
      <c r="X3" s="247">
        <f t="shared" si="3"/>
        <v>0</v>
      </c>
      <c r="Y3" s="247">
        <f t="shared" si="3"/>
        <v>0</v>
      </c>
      <c r="Z3" s="247">
        <f t="shared" si="3"/>
        <v>0</v>
      </c>
      <c r="AA3" s="247">
        <f t="shared" si="3"/>
        <v>0</v>
      </c>
      <c r="AB3" s="247">
        <f t="shared" si="3"/>
        <v>0</v>
      </c>
      <c r="AC3" s="247">
        <f t="shared" si="3"/>
        <v>0</v>
      </c>
      <c r="AD3" s="247">
        <f t="shared" si="3"/>
        <v>0</v>
      </c>
      <c r="AE3" s="247">
        <f t="shared" si="3"/>
        <v>0</v>
      </c>
      <c r="AF3" s="247">
        <f t="shared" si="3"/>
        <v>0</v>
      </c>
      <c r="AG3" s="247">
        <f t="shared" si="3"/>
        <v>0</v>
      </c>
      <c r="AH3" s="247">
        <f t="shared" si="3"/>
        <v>0</v>
      </c>
      <c r="AI3" s="247">
        <f t="shared" si="3"/>
        <v>0</v>
      </c>
      <c r="AJ3" s="247">
        <f t="shared" si="3"/>
        <v>0</v>
      </c>
      <c r="AK3" s="247">
        <f t="shared" si="3"/>
        <v>0</v>
      </c>
      <c r="AL3" s="247">
        <f t="shared" si="3"/>
        <v>0</v>
      </c>
      <c r="AM3" s="247">
        <f t="shared" si="3"/>
        <v>0</v>
      </c>
      <c r="AN3" s="247">
        <f t="shared" si="3"/>
        <v>0</v>
      </c>
      <c r="AO3" s="247">
        <f t="shared" si="3"/>
        <v>0</v>
      </c>
      <c r="AP3" s="247">
        <f t="shared" si="3"/>
        <v>0</v>
      </c>
      <c r="AQ3" s="247">
        <f t="shared" si="3"/>
        <v>0</v>
      </c>
      <c r="AR3" s="247">
        <f t="shared" si="3"/>
        <v>0</v>
      </c>
      <c r="AS3" s="247">
        <f t="shared" si="3"/>
        <v>0</v>
      </c>
      <c r="AT3" s="247">
        <f t="shared" si="3"/>
        <v>0</v>
      </c>
      <c r="AU3" s="247">
        <f t="shared" si="3"/>
        <v>0</v>
      </c>
      <c r="AV3" s="247">
        <f t="shared" si="3"/>
        <v>0</v>
      </c>
      <c r="AW3" s="247">
        <f t="shared" si="3"/>
        <v>0</v>
      </c>
      <c r="AX3" s="247">
        <f t="shared" si="3"/>
        <v>0</v>
      </c>
      <c r="AY3" s="247">
        <f t="shared" si="3"/>
        <v>0</v>
      </c>
      <c r="AZ3" s="247">
        <f t="shared" si="3"/>
        <v>0</v>
      </c>
    </row>
    <row r="4" spans="1:52" ht="15" customHeight="1">
      <c r="A4" s="93" t="s">
        <v>74</v>
      </c>
      <c r="B4" s="93"/>
      <c r="C4" s="93"/>
      <c r="D4" s="93"/>
      <c r="E4" s="93"/>
      <c r="F4" s="93"/>
      <c r="G4" s="93"/>
      <c r="H4" s="93"/>
      <c r="I4" s="93"/>
      <c r="J4" s="93"/>
      <c r="K4" s="93"/>
      <c r="L4" s="93"/>
      <c r="M4" s="93"/>
      <c r="N4" s="93"/>
      <c r="O4" s="93"/>
      <c r="P4" s="93"/>
      <c r="Q4" s="93"/>
      <c r="R4" s="93"/>
      <c r="S4" s="93"/>
      <c r="T4" s="93"/>
      <c r="U4" s="93"/>
      <c r="V4" s="245">
        <v>0.6</v>
      </c>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row>
    <row r="5" spans="1:52" ht="15" customHeight="1">
      <c r="A5" s="93" t="s">
        <v>76</v>
      </c>
      <c r="B5" s="93"/>
      <c r="C5" s="93"/>
      <c r="D5" s="93"/>
      <c r="E5" s="93"/>
      <c r="F5" s="93"/>
      <c r="G5" s="93"/>
      <c r="H5" s="93"/>
      <c r="I5" s="93"/>
      <c r="J5" s="93"/>
      <c r="K5" s="93"/>
      <c r="L5" s="93"/>
      <c r="M5" s="93"/>
      <c r="N5" s="93"/>
      <c r="O5" s="93"/>
      <c r="P5" s="93"/>
      <c r="Q5" s="93"/>
      <c r="R5" s="93"/>
      <c r="S5" s="93"/>
      <c r="T5" s="93"/>
      <c r="U5" s="93"/>
      <c r="V5" s="245">
        <f>1-V4</f>
        <v>0.4</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78</v>
      </c>
      <c r="B6" s="93"/>
      <c r="C6" s="93"/>
      <c r="D6" s="93"/>
      <c r="E6" s="93"/>
      <c r="F6" s="93"/>
      <c r="G6" s="93"/>
      <c r="H6" s="93"/>
      <c r="I6" s="93"/>
      <c r="J6" s="93"/>
      <c r="K6" s="93"/>
      <c r="L6" s="93"/>
      <c r="M6" s="93"/>
      <c r="N6" s="93"/>
      <c r="O6" s="93"/>
      <c r="P6" s="93"/>
      <c r="Q6" s="93"/>
      <c r="R6" s="93"/>
      <c r="S6" s="93"/>
      <c r="T6" s="93"/>
      <c r="U6" s="93"/>
      <c r="V6" s="245">
        <v>4.7500000000000001E-2</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80</v>
      </c>
      <c r="B7" s="93"/>
      <c r="C7" s="93"/>
      <c r="D7" s="93"/>
      <c r="E7" s="93"/>
      <c r="F7" s="93"/>
      <c r="G7" s="93"/>
      <c r="H7" s="93"/>
      <c r="I7" s="93"/>
      <c r="J7" s="93"/>
      <c r="K7" s="93"/>
      <c r="L7" s="93"/>
      <c r="M7" s="93"/>
      <c r="N7" s="93"/>
      <c r="O7" s="93"/>
      <c r="P7" s="93"/>
      <c r="Q7" s="93"/>
      <c r="R7" s="93"/>
      <c r="S7" s="93"/>
      <c r="T7" s="93"/>
      <c r="U7" s="93"/>
      <c r="V7" s="245">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82</v>
      </c>
      <c r="B8" s="93"/>
      <c r="C8" s="93"/>
      <c r="D8" s="93"/>
      <c r="E8" s="93"/>
      <c r="F8" s="93"/>
      <c r="G8" s="93"/>
      <c r="H8" s="93"/>
      <c r="I8" s="93"/>
      <c r="J8" s="93"/>
      <c r="K8" s="93"/>
      <c r="L8" s="93"/>
      <c r="M8" s="93"/>
      <c r="N8" s="93"/>
      <c r="O8" s="93"/>
      <c r="P8" s="93"/>
      <c r="Q8" s="93"/>
      <c r="R8" s="93"/>
      <c r="S8" s="93"/>
      <c r="T8" s="93"/>
      <c r="U8" s="93"/>
      <c r="V8" s="245">
        <f>V4*V6+V5*V7</f>
        <v>6.0499999999999998E-2</v>
      </c>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row>
    <row r="9" spans="1:52" ht="15" customHeight="1">
      <c r="A9" s="93" t="s">
        <v>84</v>
      </c>
      <c r="B9" s="93"/>
      <c r="C9" s="93"/>
      <c r="D9" s="93"/>
      <c r="E9" s="93"/>
      <c r="F9" s="93"/>
      <c r="G9" s="93"/>
      <c r="H9" s="93"/>
      <c r="I9" s="93"/>
      <c r="J9" s="93"/>
      <c r="K9" s="93"/>
      <c r="L9" s="93"/>
      <c r="M9" s="93"/>
      <c r="N9" s="93"/>
      <c r="O9" s="93"/>
      <c r="P9" s="93"/>
      <c r="Q9" s="93"/>
      <c r="R9" s="93"/>
      <c r="S9" s="93"/>
      <c r="T9" s="93"/>
      <c r="U9" s="93"/>
      <c r="V9" s="251">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row>
    <row r="10" spans="1:52" ht="15" customHeight="1">
      <c r="A10" s="93" t="s">
        <v>715</v>
      </c>
      <c r="B10" s="93"/>
      <c r="C10" s="93"/>
      <c r="D10" s="93"/>
      <c r="E10" s="93"/>
      <c r="F10" s="93"/>
      <c r="G10" s="93"/>
      <c r="H10" s="93"/>
      <c r="I10" s="93"/>
      <c r="J10" s="93"/>
      <c r="K10" s="93"/>
      <c r="L10" s="93"/>
      <c r="M10" s="93"/>
      <c r="N10" s="93"/>
      <c r="O10" s="93"/>
      <c r="P10" s="93"/>
      <c r="Q10" s="93"/>
      <c r="R10" s="93"/>
      <c r="S10" s="93"/>
      <c r="T10" s="93"/>
      <c r="U10" s="93"/>
      <c r="V10" s="335">
        <v>0.05</v>
      </c>
      <c r="W10" s="331">
        <v>9.5000000000000001E-2</v>
      </c>
      <c r="X10" s="331">
        <v>8.5500000000000007E-2</v>
      </c>
      <c r="Y10" s="331">
        <v>7.6999999999999999E-2</v>
      </c>
      <c r="Z10" s="331">
        <v>6.93E-2</v>
      </c>
      <c r="AA10" s="331">
        <v>6.2300000000000001E-2</v>
      </c>
      <c r="AB10" s="331">
        <v>5.8999999999999997E-2</v>
      </c>
      <c r="AC10" s="331">
        <v>5.8999999999999997E-2</v>
      </c>
      <c r="AD10" s="331">
        <v>5.91E-2</v>
      </c>
      <c r="AE10" s="331">
        <v>5.8999999999999997E-2</v>
      </c>
      <c r="AF10" s="331">
        <v>5.91E-2</v>
      </c>
      <c r="AG10" s="331">
        <v>5.8999999999999997E-2</v>
      </c>
      <c r="AH10" s="331">
        <v>5.91E-2</v>
      </c>
      <c r="AI10" s="331">
        <v>5.8999999999999997E-2</v>
      </c>
      <c r="AJ10" s="331">
        <v>5.91E-2</v>
      </c>
      <c r="AK10" s="331">
        <v>2.9499999999999998E-2</v>
      </c>
      <c r="AL10" s="331"/>
      <c r="AM10" s="331"/>
      <c r="AN10" s="331"/>
      <c r="AO10" s="331"/>
      <c r="AP10" s="331"/>
      <c r="AQ10" s="331"/>
      <c r="AR10" s="331"/>
      <c r="AS10" s="331"/>
      <c r="AT10" s="331"/>
      <c r="AU10" s="331"/>
      <c r="AV10" s="331"/>
      <c r="AW10" s="331"/>
      <c r="AX10" s="331"/>
      <c r="AY10" s="331"/>
      <c r="AZ10" s="331"/>
    </row>
    <row r="11" spans="1:52" ht="15" customHeight="1">
      <c r="A11" s="93" t="s">
        <v>88</v>
      </c>
      <c r="B11" s="93"/>
      <c r="C11" s="93"/>
      <c r="D11" s="93"/>
      <c r="E11" s="93"/>
      <c r="F11" s="93"/>
      <c r="G11" s="93"/>
      <c r="H11" s="93"/>
      <c r="I11" s="93"/>
      <c r="J11" s="93"/>
      <c r="K11" s="93"/>
      <c r="L11" s="93"/>
      <c r="M11" s="93"/>
      <c r="N11" s="93"/>
      <c r="O11" s="93"/>
      <c r="P11" s="93"/>
      <c r="Q11" s="93"/>
      <c r="R11" s="93"/>
      <c r="S11" s="93"/>
      <c r="T11" s="93"/>
      <c r="U11" s="93"/>
      <c r="V11" s="280">
        <v>250</v>
      </c>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row>
    <row r="12" spans="1:52" ht="15" customHeight="1">
      <c r="A12" s="93" t="s">
        <v>90</v>
      </c>
      <c r="B12" s="93"/>
      <c r="C12" s="93"/>
      <c r="D12" s="93"/>
      <c r="E12" s="93"/>
      <c r="F12" s="93"/>
      <c r="G12" s="93"/>
      <c r="H12" s="93"/>
      <c r="I12" s="93"/>
      <c r="J12" s="93"/>
      <c r="K12" s="93"/>
      <c r="L12" s="93"/>
      <c r="M12" s="93"/>
      <c r="N12" s="93"/>
      <c r="O12" s="93"/>
      <c r="P12" s="93"/>
      <c r="Q12" s="93"/>
      <c r="R12" s="93"/>
      <c r="S12" s="93"/>
      <c r="T12" s="93"/>
      <c r="U12" s="93"/>
      <c r="V12" s="332">
        <v>3</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row>
    <row r="13" spans="1:52" ht="15" customHeight="1">
      <c r="A13" s="93" t="s">
        <v>92</v>
      </c>
      <c r="B13" s="93"/>
      <c r="C13" s="93"/>
      <c r="D13" s="93"/>
      <c r="E13" s="93"/>
      <c r="F13" s="93"/>
      <c r="G13" s="93"/>
      <c r="H13" s="93"/>
      <c r="I13" s="93"/>
      <c r="J13" s="93"/>
      <c r="K13" s="93"/>
      <c r="L13" s="93"/>
      <c r="M13" s="93"/>
      <c r="N13" s="93"/>
      <c r="O13" s="93"/>
      <c r="P13" s="93"/>
      <c r="Q13" s="93"/>
      <c r="R13" s="93"/>
      <c r="S13" s="93"/>
      <c r="T13" s="93"/>
      <c r="U13" s="93"/>
      <c r="V13" s="254">
        <f>1/V12</f>
        <v>0.33333333333333331</v>
      </c>
      <c r="W13" s="250"/>
      <c r="X13" s="250"/>
      <c r="Y13" s="250"/>
      <c r="Z13" s="250"/>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row>
    <row r="14" spans="1:52" ht="15" customHeight="1">
      <c r="A14" s="93" t="s">
        <v>94</v>
      </c>
      <c r="B14" s="93"/>
      <c r="C14" s="93"/>
      <c r="D14" s="93"/>
      <c r="E14" s="93"/>
      <c r="F14" s="93"/>
      <c r="G14" s="93"/>
      <c r="H14" s="93"/>
      <c r="I14" s="93"/>
      <c r="J14" s="93"/>
      <c r="K14" s="93"/>
      <c r="L14" s="93"/>
      <c r="M14" s="93"/>
      <c r="N14" s="93"/>
      <c r="O14" s="93"/>
      <c r="P14" s="93"/>
      <c r="Q14" s="93"/>
      <c r="R14" s="93"/>
      <c r="S14" s="93"/>
      <c r="T14" s="93"/>
      <c r="U14" s="93"/>
      <c r="V14" s="281">
        <v>0.65</v>
      </c>
      <c r="W14" s="102">
        <f t="shared" ref="W14:AZ14" si="4">V14*(1+V16)</f>
        <v>0.65</v>
      </c>
      <c r="X14" s="102">
        <f t="shared" si="4"/>
        <v>0.65</v>
      </c>
      <c r="Y14" s="102">
        <f t="shared" si="4"/>
        <v>0.65</v>
      </c>
      <c r="Z14" s="102">
        <f t="shared" si="4"/>
        <v>0.65</v>
      </c>
      <c r="AA14" s="102">
        <f t="shared" si="4"/>
        <v>0.65</v>
      </c>
      <c r="AB14" s="102">
        <f t="shared" si="4"/>
        <v>0.65</v>
      </c>
      <c r="AC14" s="102">
        <f t="shared" si="4"/>
        <v>0.65</v>
      </c>
      <c r="AD14" s="102">
        <f t="shared" si="4"/>
        <v>0.65</v>
      </c>
      <c r="AE14" s="102">
        <f t="shared" si="4"/>
        <v>0.65</v>
      </c>
      <c r="AF14" s="102">
        <f t="shared" si="4"/>
        <v>0.65</v>
      </c>
      <c r="AG14" s="102">
        <f t="shared" si="4"/>
        <v>0.65</v>
      </c>
      <c r="AH14" s="102">
        <f t="shared" si="4"/>
        <v>0.65</v>
      </c>
      <c r="AI14" s="102">
        <f t="shared" si="4"/>
        <v>0.65</v>
      </c>
      <c r="AJ14" s="102">
        <f t="shared" si="4"/>
        <v>0.65</v>
      </c>
      <c r="AK14" s="102">
        <f t="shared" si="4"/>
        <v>0.65</v>
      </c>
      <c r="AL14" s="102">
        <f t="shared" si="4"/>
        <v>0.65</v>
      </c>
      <c r="AM14" s="102">
        <f t="shared" si="4"/>
        <v>0.65</v>
      </c>
      <c r="AN14" s="102">
        <f t="shared" si="4"/>
        <v>0.65</v>
      </c>
      <c r="AO14" s="102">
        <f t="shared" si="4"/>
        <v>0.65</v>
      </c>
      <c r="AP14" s="102">
        <f t="shared" si="4"/>
        <v>0.65</v>
      </c>
      <c r="AQ14" s="102">
        <f t="shared" si="4"/>
        <v>0.65</v>
      </c>
      <c r="AR14" s="102">
        <f t="shared" si="4"/>
        <v>0.65</v>
      </c>
      <c r="AS14" s="102">
        <f t="shared" si="4"/>
        <v>0.65</v>
      </c>
      <c r="AT14" s="102">
        <f t="shared" si="4"/>
        <v>0.65</v>
      </c>
      <c r="AU14" s="102">
        <f t="shared" si="4"/>
        <v>0.65</v>
      </c>
      <c r="AV14" s="102">
        <f t="shared" si="4"/>
        <v>0.65</v>
      </c>
      <c r="AW14" s="102">
        <f t="shared" si="4"/>
        <v>0.65</v>
      </c>
      <c r="AX14" s="102">
        <f t="shared" si="4"/>
        <v>0.65</v>
      </c>
      <c r="AY14" s="102">
        <f t="shared" si="4"/>
        <v>0.65</v>
      </c>
      <c r="AZ14" s="102">
        <f t="shared" si="4"/>
        <v>0.65</v>
      </c>
    </row>
    <row r="15" spans="1:52" ht="15" customHeight="1">
      <c r="A15" s="93" t="s">
        <v>96</v>
      </c>
      <c r="B15" s="93"/>
      <c r="C15" s="93"/>
      <c r="D15" s="93"/>
      <c r="E15" s="93"/>
      <c r="F15" s="93"/>
      <c r="G15" s="93"/>
      <c r="H15" s="93"/>
      <c r="I15" s="93"/>
      <c r="J15" s="93"/>
      <c r="K15" s="93"/>
      <c r="L15" s="93"/>
      <c r="M15" s="93"/>
      <c r="N15" s="93"/>
      <c r="O15" s="93"/>
      <c r="P15" s="93"/>
      <c r="Q15" s="93"/>
      <c r="R15" s="93"/>
      <c r="S15" s="93"/>
      <c r="T15" s="93"/>
      <c r="U15" s="93"/>
      <c r="V15" s="281">
        <v>0.73</v>
      </c>
      <c r="W15" s="102">
        <f t="shared" ref="W15:AZ15" si="5">V15</f>
        <v>0.73</v>
      </c>
      <c r="X15" s="102">
        <f t="shared" si="5"/>
        <v>0.73</v>
      </c>
      <c r="Y15" s="102">
        <f t="shared" si="5"/>
        <v>0.73</v>
      </c>
      <c r="Z15" s="102">
        <f t="shared" si="5"/>
        <v>0.73</v>
      </c>
      <c r="AA15" s="102">
        <f t="shared" si="5"/>
        <v>0.73</v>
      </c>
      <c r="AB15" s="102">
        <f t="shared" si="5"/>
        <v>0.73</v>
      </c>
      <c r="AC15" s="102">
        <f t="shared" si="5"/>
        <v>0.73</v>
      </c>
      <c r="AD15" s="102">
        <f t="shared" si="5"/>
        <v>0.73</v>
      </c>
      <c r="AE15" s="102">
        <f t="shared" si="5"/>
        <v>0.73</v>
      </c>
      <c r="AF15" s="102">
        <f t="shared" si="5"/>
        <v>0.73</v>
      </c>
      <c r="AG15" s="102">
        <f t="shared" si="5"/>
        <v>0.73</v>
      </c>
      <c r="AH15" s="102">
        <f t="shared" si="5"/>
        <v>0.73</v>
      </c>
      <c r="AI15" s="102">
        <f t="shared" si="5"/>
        <v>0.73</v>
      </c>
      <c r="AJ15" s="102">
        <f t="shared" si="5"/>
        <v>0.73</v>
      </c>
      <c r="AK15" s="102">
        <f t="shared" si="5"/>
        <v>0.73</v>
      </c>
      <c r="AL15" s="102">
        <f t="shared" si="5"/>
        <v>0.73</v>
      </c>
      <c r="AM15" s="102">
        <f t="shared" si="5"/>
        <v>0.73</v>
      </c>
      <c r="AN15" s="102">
        <f t="shared" si="5"/>
        <v>0.73</v>
      </c>
      <c r="AO15" s="102">
        <f t="shared" si="5"/>
        <v>0.73</v>
      </c>
      <c r="AP15" s="102">
        <f t="shared" si="5"/>
        <v>0.73</v>
      </c>
      <c r="AQ15" s="102">
        <f t="shared" si="5"/>
        <v>0.73</v>
      </c>
      <c r="AR15" s="102">
        <f t="shared" si="5"/>
        <v>0.73</v>
      </c>
      <c r="AS15" s="102">
        <f t="shared" si="5"/>
        <v>0.73</v>
      </c>
      <c r="AT15" s="102">
        <f t="shared" si="5"/>
        <v>0.73</v>
      </c>
      <c r="AU15" s="102">
        <f t="shared" si="5"/>
        <v>0.73</v>
      </c>
      <c r="AV15" s="102">
        <f t="shared" si="5"/>
        <v>0.73</v>
      </c>
      <c r="AW15" s="102">
        <f t="shared" si="5"/>
        <v>0.73</v>
      </c>
      <c r="AX15" s="102">
        <f t="shared" si="5"/>
        <v>0.73</v>
      </c>
      <c r="AY15" s="102">
        <f t="shared" si="5"/>
        <v>0.73</v>
      </c>
      <c r="AZ15" s="102">
        <f t="shared" si="5"/>
        <v>0.73</v>
      </c>
    </row>
    <row r="16" spans="1:52" ht="15" customHeight="1">
      <c r="A16" s="93" t="s">
        <v>98</v>
      </c>
      <c r="B16" s="93"/>
      <c r="C16" s="93"/>
      <c r="D16" s="93"/>
      <c r="E16" s="93"/>
      <c r="F16" s="93"/>
      <c r="G16" s="93"/>
      <c r="H16" s="93"/>
      <c r="I16" s="93"/>
      <c r="J16" s="93"/>
      <c r="K16" s="93"/>
      <c r="L16" s="93"/>
      <c r="M16" s="93"/>
      <c r="N16" s="93"/>
      <c r="O16" s="93"/>
      <c r="P16" s="93"/>
      <c r="Q16" s="93"/>
      <c r="R16" s="93"/>
      <c r="S16" s="93"/>
      <c r="T16" s="93"/>
      <c r="U16" s="93"/>
      <c r="V16" s="254">
        <v>0</v>
      </c>
      <c r="W16" s="102">
        <f t="shared" ref="W16:AZ16" si="6">V16</f>
        <v>0</v>
      </c>
      <c r="X16" s="102">
        <f t="shared" si="6"/>
        <v>0</v>
      </c>
      <c r="Y16" s="102">
        <f t="shared" si="6"/>
        <v>0</v>
      </c>
      <c r="Z16" s="102">
        <f t="shared" si="6"/>
        <v>0</v>
      </c>
      <c r="AA16" s="102">
        <f t="shared" si="6"/>
        <v>0</v>
      </c>
      <c r="AB16" s="102">
        <f t="shared" si="6"/>
        <v>0</v>
      </c>
      <c r="AC16" s="102">
        <f t="shared" si="6"/>
        <v>0</v>
      </c>
      <c r="AD16" s="102">
        <f t="shared" si="6"/>
        <v>0</v>
      </c>
      <c r="AE16" s="102">
        <f t="shared" si="6"/>
        <v>0</v>
      </c>
      <c r="AF16" s="102">
        <f t="shared" si="6"/>
        <v>0</v>
      </c>
      <c r="AG16" s="102">
        <f t="shared" si="6"/>
        <v>0</v>
      </c>
      <c r="AH16" s="102">
        <f t="shared" si="6"/>
        <v>0</v>
      </c>
      <c r="AI16" s="102">
        <f t="shared" si="6"/>
        <v>0</v>
      </c>
      <c r="AJ16" s="102">
        <f t="shared" si="6"/>
        <v>0</v>
      </c>
      <c r="AK16" s="102">
        <f t="shared" si="6"/>
        <v>0</v>
      </c>
      <c r="AL16" s="102">
        <f t="shared" si="6"/>
        <v>0</v>
      </c>
      <c r="AM16" s="102">
        <f t="shared" si="6"/>
        <v>0</v>
      </c>
      <c r="AN16" s="102">
        <f t="shared" si="6"/>
        <v>0</v>
      </c>
      <c r="AO16" s="102">
        <f t="shared" si="6"/>
        <v>0</v>
      </c>
      <c r="AP16" s="102">
        <f t="shared" si="6"/>
        <v>0</v>
      </c>
      <c r="AQ16" s="102">
        <f t="shared" si="6"/>
        <v>0</v>
      </c>
      <c r="AR16" s="102">
        <f t="shared" si="6"/>
        <v>0</v>
      </c>
      <c r="AS16" s="102">
        <f t="shared" si="6"/>
        <v>0</v>
      </c>
      <c r="AT16" s="102">
        <f t="shared" si="6"/>
        <v>0</v>
      </c>
      <c r="AU16" s="102">
        <f t="shared" si="6"/>
        <v>0</v>
      </c>
      <c r="AV16" s="102">
        <f t="shared" si="6"/>
        <v>0</v>
      </c>
      <c r="AW16" s="102">
        <f t="shared" si="6"/>
        <v>0</v>
      </c>
      <c r="AX16" s="102">
        <f t="shared" si="6"/>
        <v>0</v>
      </c>
      <c r="AY16" s="102">
        <f t="shared" si="6"/>
        <v>0</v>
      </c>
      <c r="AZ16" s="102">
        <f t="shared" si="6"/>
        <v>0</v>
      </c>
    </row>
    <row r="17" spans="1:52" ht="15" customHeight="1">
      <c r="A17" s="93" t="s">
        <v>100</v>
      </c>
      <c r="B17" s="105">
        <f t="shared" ref="B17:U17" si="7">C17/(1+B34-B20)</f>
        <v>286202.35553450877</v>
      </c>
      <c r="C17" s="105">
        <f t="shared" si="7"/>
        <v>291640.20028966444</v>
      </c>
      <c r="D17" s="105">
        <f t="shared" si="7"/>
        <v>297181.36409516813</v>
      </c>
      <c r="E17" s="105">
        <f t="shared" si="7"/>
        <v>302827.81001297635</v>
      </c>
      <c r="F17" s="105">
        <f t="shared" si="7"/>
        <v>308581.53840322292</v>
      </c>
      <c r="G17" s="105">
        <f t="shared" si="7"/>
        <v>314444.58763288421</v>
      </c>
      <c r="H17" s="105">
        <f t="shared" si="7"/>
        <v>320419.03479790903</v>
      </c>
      <c r="I17" s="105">
        <f t="shared" si="7"/>
        <v>326506.99645906931</v>
      </c>
      <c r="J17" s="105">
        <f t="shared" si="7"/>
        <v>332710.62939179165</v>
      </c>
      <c r="K17" s="105">
        <f t="shared" si="7"/>
        <v>339032.13135023572</v>
      </c>
      <c r="L17" s="105">
        <f t="shared" si="7"/>
        <v>345473.74184589024</v>
      </c>
      <c r="M17" s="105">
        <f t="shared" si="7"/>
        <v>352037.7429409622</v>
      </c>
      <c r="N17" s="105">
        <f t="shared" si="7"/>
        <v>358726.4600568405</v>
      </c>
      <c r="O17" s="105">
        <f t="shared" si="7"/>
        <v>365542.2627979205</v>
      </c>
      <c r="P17" s="105">
        <f t="shared" si="7"/>
        <v>372487.56579108106</v>
      </c>
      <c r="Q17" s="105">
        <f t="shared" si="7"/>
        <v>379564.82954111166</v>
      </c>
      <c r="R17" s="105">
        <f t="shared" si="7"/>
        <v>386776.5613023928</v>
      </c>
      <c r="S17" s="105">
        <f t="shared" si="7"/>
        <v>394125.31596713833</v>
      </c>
      <c r="T17" s="105">
        <f t="shared" si="7"/>
        <v>401613.69697051402</v>
      </c>
      <c r="U17" s="105">
        <f t="shared" si="7"/>
        <v>409244.35721295385</v>
      </c>
      <c r="V17" s="360">
        <v>417020</v>
      </c>
      <c r="W17" s="105">
        <f t="shared" ref="W17:AZ17" si="8">V17*(1+V34-V20)</f>
        <v>424943.38000000006</v>
      </c>
      <c r="X17" s="105">
        <f t="shared" si="8"/>
        <v>433017.30422000011</v>
      </c>
      <c r="Y17" s="105">
        <f t="shared" si="8"/>
        <v>441244.63300018018</v>
      </c>
      <c r="Z17" s="105">
        <f t="shared" si="8"/>
        <v>449628.28102718364</v>
      </c>
      <c r="AA17" s="105">
        <f t="shared" si="8"/>
        <v>458171.21836670017</v>
      </c>
      <c r="AB17" s="105">
        <f t="shared" si="8"/>
        <v>466876.47151566751</v>
      </c>
      <c r="AC17" s="105">
        <f t="shared" si="8"/>
        <v>475747.12447446526</v>
      </c>
      <c r="AD17" s="105">
        <f t="shared" si="8"/>
        <v>484786.31983948016</v>
      </c>
      <c r="AE17" s="105">
        <f t="shared" si="8"/>
        <v>493997.25991643034</v>
      </c>
      <c r="AF17" s="105">
        <f t="shared" si="8"/>
        <v>503383.20785484259</v>
      </c>
      <c r="AG17" s="105">
        <f t="shared" si="8"/>
        <v>512947.48880408466</v>
      </c>
      <c r="AH17" s="105">
        <f t="shared" si="8"/>
        <v>522693.49109136232</v>
      </c>
      <c r="AI17" s="105">
        <f t="shared" si="8"/>
        <v>532624.66742209822</v>
      </c>
      <c r="AJ17" s="105">
        <f t="shared" si="8"/>
        <v>542744.53610311821</v>
      </c>
      <c r="AK17" s="105">
        <f t="shared" si="8"/>
        <v>553056.68228907755</v>
      </c>
      <c r="AL17" s="105">
        <f t="shared" si="8"/>
        <v>563564.7592525701</v>
      </c>
      <c r="AM17" s="105">
        <f t="shared" si="8"/>
        <v>574272.48967836902</v>
      </c>
      <c r="AN17" s="105">
        <f t="shared" si="8"/>
        <v>585183.66698225809</v>
      </c>
      <c r="AO17" s="105">
        <f t="shared" si="8"/>
        <v>596302.15665492101</v>
      </c>
      <c r="AP17" s="105">
        <f t="shared" si="8"/>
        <v>607631.89763136464</v>
      </c>
      <c r="AQ17" s="105">
        <f t="shared" si="8"/>
        <v>619176.90368636069</v>
      </c>
      <c r="AR17" s="105">
        <f t="shared" si="8"/>
        <v>630941.2648564016</v>
      </c>
      <c r="AS17" s="105">
        <f t="shared" si="8"/>
        <v>642929.14888867328</v>
      </c>
      <c r="AT17" s="105">
        <f t="shared" si="8"/>
        <v>655144.80271755811</v>
      </c>
      <c r="AU17" s="105">
        <f t="shared" si="8"/>
        <v>667592.55396919185</v>
      </c>
      <c r="AV17" s="105">
        <f t="shared" si="8"/>
        <v>680276.81249460659</v>
      </c>
      <c r="AW17" s="105">
        <f t="shared" si="8"/>
        <v>693202.07193200418</v>
      </c>
      <c r="AX17" s="105">
        <f t="shared" si="8"/>
        <v>706372.91129871237</v>
      </c>
      <c r="AY17" s="105">
        <f t="shared" si="8"/>
        <v>719793.99661338795</v>
      </c>
      <c r="AZ17" s="105">
        <f t="shared" si="8"/>
        <v>733470.08254904242</v>
      </c>
    </row>
    <row r="18" spans="1:52" ht="15" customHeight="1">
      <c r="A18" s="93" t="s">
        <v>802</v>
      </c>
      <c r="B18" s="91">
        <f t="shared" ref="B18:U18" si="9">C18/(1+B34-B20)</f>
        <v>6.3757610736069861</v>
      </c>
      <c r="C18" s="91">
        <f t="shared" si="9"/>
        <v>6.4969005340055199</v>
      </c>
      <c r="D18" s="91">
        <f t="shared" si="9"/>
        <v>6.6203416441516261</v>
      </c>
      <c r="E18" s="91">
        <f t="shared" si="9"/>
        <v>6.7461281353905074</v>
      </c>
      <c r="F18" s="91">
        <f t="shared" si="9"/>
        <v>6.8743045699629279</v>
      </c>
      <c r="G18" s="91">
        <f t="shared" si="9"/>
        <v>7.0049163567922248</v>
      </c>
      <c r="H18" s="91">
        <f t="shared" si="9"/>
        <v>7.1380097675712779</v>
      </c>
      <c r="I18" s="91">
        <f t="shared" si="9"/>
        <v>7.2736319531551334</v>
      </c>
      <c r="J18" s="91">
        <f t="shared" si="9"/>
        <v>7.4118309602650818</v>
      </c>
      <c r="K18" s="91">
        <f t="shared" si="9"/>
        <v>7.5526557485101193</v>
      </c>
      <c r="L18" s="91">
        <f t="shared" si="9"/>
        <v>7.6961562077318124</v>
      </c>
      <c r="M18" s="91">
        <f t="shared" si="9"/>
        <v>7.8423831756787177</v>
      </c>
      <c r="N18" s="91">
        <f t="shared" si="9"/>
        <v>7.9913884560166144</v>
      </c>
      <c r="O18" s="91">
        <f t="shared" si="9"/>
        <v>8.1432248366809308</v>
      </c>
      <c r="P18" s="91">
        <f t="shared" si="9"/>
        <v>8.2979461085778699</v>
      </c>
      <c r="Q18" s="91">
        <f t="shared" si="9"/>
        <v>8.4556070846408495</v>
      </c>
      <c r="R18" s="91">
        <f t="shared" si="9"/>
        <v>8.6162636192490272</v>
      </c>
      <c r="S18" s="91">
        <f t="shared" si="9"/>
        <v>8.7799726280147592</v>
      </c>
      <c r="T18" s="91">
        <f t="shared" si="9"/>
        <v>8.9467921079470401</v>
      </c>
      <c r="U18" s="91">
        <f t="shared" si="9"/>
        <v>9.1167811579980356</v>
      </c>
      <c r="V18" s="107">
        <v>9.2899999999999991</v>
      </c>
      <c r="W18" s="91">
        <f t="shared" ref="W18:AZ18" si="10">V18*(1+V34-V20)</f>
        <v>9.4665099999999995</v>
      </c>
      <c r="X18" s="91">
        <f t="shared" si="10"/>
        <v>9.6463736900000008</v>
      </c>
      <c r="Y18" s="91">
        <f t="shared" si="10"/>
        <v>9.829654790110002</v>
      </c>
      <c r="Z18" s="91">
        <f t="shared" si="10"/>
        <v>10.016418231122094</v>
      </c>
      <c r="AA18" s="91">
        <f t="shared" si="10"/>
        <v>10.206730177513414</v>
      </c>
      <c r="AB18" s="91">
        <f t="shared" si="10"/>
        <v>10.40065805088617</v>
      </c>
      <c r="AC18" s="91">
        <f t="shared" si="10"/>
        <v>10.598270553853009</v>
      </c>
      <c r="AD18" s="91">
        <f t="shared" si="10"/>
        <v>10.799637694376218</v>
      </c>
      <c r="AE18" s="91">
        <f t="shared" si="10"/>
        <v>11.004830810569366</v>
      </c>
      <c r="AF18" s="91">
        <f t="shared" si="10"/>
        <v>11.213922595970185</v>
      </c>
      <c r="AG18" s="91">
        <f t="shared" si="10"/>
        <v>11.426987125293619</v>
      </c>
      <c r="AH18" s="91">
        <f t="shared" si="10"/>
        <v>11.644099880674199</v>
      </c>
      <c r="AI18" s="91">
        <f t="shared" si="10"/>
        <v>11.86533777840701</v>
      </c>
      <c r="AJ18" s="91">
        <f t="shared" si="10"/>
        <v>12.090779196196745</v>
      </c>
      <c r="AK18" s="91">
        <f t="shared" si="10"/>
        <v>12.320504000924485</v>
      </c>
      <c r="AL18" s="91">
        <f t="shared" si="10"/>
        <v>12.554593576942052</v>
      </c>
      <c r="AM18" s="91">
        <f t="shared" si="10"/>
        <v>12.793130854903952</v>
      </c>
      <c r="AN18" s="91">
        <f t="shared" si="10"/>
        <v>13.036200341147129</v>
      </c>
      <c r="AO18" s="91">
        <f t="shared" si="10"/>
        <v>13.283888147628927</v>
      </c>
      <c r="AP18" s="91">
        <f t="shared" si="10"/>
        <v>13.536282022433879</v>
      </c>
      <c r="AQ18" s="91">
        <f t="shared" si="10"/>
        <v>13.793471380860124</v>
      </c>
      <c r="AR18" s="91">
        <f t="shared" si="10"/>
        <v>14.055547337096469</v>
      </c>
      <c r="AS18" s="91">
        <f t="shared" si="10"/>
        <v>14.322602736501304</v>
      </c>
      <c r="AT18" s="91">
        <f t="shared" si="10"/>
        <v>14.594732188494831</v>
      </c>
      <c r="AU18" s="91">
        <f t="shared" si="10"/>
        <v>14.872032100076234</v>
      </c>
      <c r="AV18" s="91">
        <f t="shared" si="10"/>
        <v>15.154600709977684</v>
      </c>
      <c r="AW18" s="91">
        <f t="shared" si="10"/>
        <v>15.442538123467262</v>
      </c>
      <c r="AX18" s="91">
        <f t="shared" si="10"/>
        <v>15.735946347813142</v>
      </c>
      <c r="AY18" s="91">
        <f t="shared" si="10"/>
        <v>16.034929328421594</v>
      </c>
      <c r="AZ18" s="91">
        <f t="shared" si="10"/>
        <v>16.339592985661607</v>
      </c>
    </row>
    <row r="19" spans="1:52" ht="15" customHeight="1">
      <c r="A19" s="93" t="s">
        <v>803</v>
      </c>
      <c r="B19" s="91">
        <f t="shared" ref="B19:U19" si="11">C19/(1+B34-B20)</f>
        <v>56.639609955677344</v>
      </c>
      <c r="C19" s="91">
        <f t="shared" si="11"/>
        <v>57.715762544835222</v>
      </c>
      <c r="D19" s="91">
        <f t="shared" si="11"/>
        <v>58.8123620331871</v>
      </c>
      <c r="E19" s="91">
        <f t="shared" si="11"/>
        <v>59.929796911817661</v>
      </c>
      <c r="F19" s="91">
        <f t="shared" si="11"/>
        <v>61.068463053142203</v>
      </c>
      <c r="G19" s="91">
        <f t="shared" si="11"/>
        <v>62.228763851151911</v>
      </c>
      <c r="H19" s="91">
        <f t="shared" si="11"/>
        <v>63.411110364323804</v>
      </c>
      <c r="I19" s="91">
        <f t="shared" si="11"/>
        <v>64.615921461245961</v>
      </c>
      <c r="J19" s="91">
        <f t="shared" si="11"/>
        <v>65.843623969009641</v>
      </c>
      <c r="K19" s="91">
        <f t="shared" si="11"/>
        <v>67.094652824420834</v>
      </c>
      <c r="L19" s="91">
        <f t="shared" si="11"/>
        <v>68.369451228084841</v>
      </c>
      <c r="M19" s="91">
        <f t="shared" si="11"/>
        <v>69.668470801418465</v>
      </c>
      <c r="N19" s="91">
        <f t="shared" si="11"/>
        <v>70.992171746645425</v>
      </c>
      <c r="O19" s="91">
        <f t="shared" si="11"/>
        <v>72.341023009831702</v>
      </c>
      <c r="P19" s="91">
        <f t="shared" si="11"/>
        <v>73.715502447018508</v>
      </c>
      <c r="Q19" s="91">
        <f t="shared" si="11"/>
        <v>75.116096993511874</v>
      </c>
      <c r="R19" s="91">
        <f t="shared" si="11"/>
        <v>76.543302836388605</v>
      </c>
      <c r="S19" s="91">
        <f t="shared" si="11"/>
        <v>77.997625590279995</v>
      </c>
      <c r="T19" s="91">
        <f t="shared" si="11"/>
        <v>79.479580476495329</v>
      </c>
      <c r="U19" s="91">
        <f t="shared" si="11"/>
        <v>80.989692505548746</v>
      </c>
      <c r="V19" s="97">
        <f>V17*Model!W1555/(V14*Model!W1555*8760)+V18</f>
        <v>82.528496663154186</v>
      </c>
      <c r="W19" s="91">
        <f t="shared" ref="W19:AZ19" si="12">V19*(1+V34-V20)</f>
        <v>84.096538099754127</v>
      </c>
      <c r="X19" s="91">
        <f t="shared" si="12"/>
        <v>85.694372323649461</v>
      </c>
      <c r="Y19" s="91">
        <f t="shared" si="12"/>
        <v>87.322565397798812</v>
      </c>
      <c r="Z19" s="91">
        <f t="shared" si="12"/>
        <v>88.981694140357007</v>
      </c>
      <c r="AA19" s="91">
        <f t="shared" si="12"/>
        <v>90.672346329023796</v>
      </c>
      <c r="AB19" s="91">
        <f t="shared" si="12"/>
        <v>92.395120909275263</v>
      </c>
      <c r="AC19" s="91">
        <f t="shared" si="12"/>
        <v>94.150628206551502</v>
      </c>
      <c r="AD19" s="91">
        <f t="shared" si="12"/>
        <v>95.939490142475989</v>
      </c>
      <c r="AE19" s="91">
        <f t="shared" si="12"/>
        <v>97.76234045518305</v>
      </c>
      <c r="AF19" s="91">
        <f t="shared" si="12"/>
        <v>99.619824923831544</v>
      </c>
      <c r="AG19" s="91">
        <f t="shared" si="12"/>
        <v>101.51260159738436</v>
      </c>
      <c r="AH19" s="91">
        <f t="shared" si="12"/>
        <v>103.44134102773468</v>
      </c>
      <c r="AI19" s="91">
        <f t="shared" si="12"/>
        <v>105.40672650726165</v>
      </c>
      <c r="AJ19" s="91">
        <f t="shared" si="12"/>
        <v>107.40945431089963</v>
      </c>
      <c r="AK19" s="91">
        <f t="shared" si="12"/>
        <v>109.45023394280675</v>
      </c>
      <c r="AL19" s="91">
        <f t="shared" si="12"/>
        <v>111.52978838772009</v>
      </c>
      <c r="AM19" s="91">
        <f t="shared" si="12"/>
        <v>113.64885436708678</v>
      </c>
      <c r="AN19" s="91">
        <f t="shared" si="12"/>
        <v>115.80818260006144</v>
      </c>
      <c r="AO19" s="91">
        <f t="shared" si="12"/>
        <v>118.00853806946263</v>
      </c>
      <c r="AP19" s="91">
        <f t="shared" si="12"/>
        <v>120.25070029278244</v>
      </c>
      <c r="AQ19" s="91">
        <f t="shared" si="12"/>
        <v>122.53546359834532</v>
      </c>
      <c r="AR19" s="91">
        <f t="shared" si="12"/>
        <v>124.86363740671389</v>
      </c>
      <c r="AS19" s="91">
        <f t="shared" si="12"/>
        <v>127.23604651744147</v>
      </c>
      <c r="AT19" s="91">
        <f t="shared" si="12"/>
        <v>129.65353140127286</v>
      </c>
      <c r="AU19" s="91">
        <f t="shared" si="12"/>
        <v>132.11694849789706</v>
      </c>
      <c r="AV19" s="91">
        <f t="shared" si="12"/>
        <v>134.62717051935712</v>
      </c>
      <c r="AW19" s="91">
        <f t="shared" si="12"/>
        <v>137.18508675922493</v>
      </c>
      <c r="AX19" s="91">
        <f t="shared" si="12"/>
        <v>139.79160340765023</v>
      </c>
      <c r="AY19" s="91">
        <f t="shared" si="12"/>
        <v>142.44764387239559</v>
      </c>
      <c r="AZ19" s="91">
        <f t="shared" si="12"/>
        <v>145.15414910597113</v>
      </c>
    </row>
    <row r="20" spans="1:52" ht="15" customHeight="1">
      <c r="A20" s="93" t="s">
        <v>106</v>
      </c>
      <c r="B20" s="330">
        <f t="shared" ref="B20:U20" si="13">C20</f>
        <v>1E-3</v>
      </c>
      <c r="C20" s="330">
        <f t="shared" si="13"/>
        <v>1E-3</v>
      </c>
      <c r="D20" s="330">
        <f t="shared" si="13"/>
        <v>1E-3</v>
      </c>
      <c r="E20" s="330">
        <f t="shared" si="13"/>
        <v>1E-3</v>
      </c>
      <c r="F20" s="330">
        <f t="shared" si="13"/>
        <v>1E-3</v>
      </c>
      <c r="G20" s="330">
        <f t="shared" si="13"/>
        <v>1E-3</v>
      </c>
      <c r="H20" s="330">
        <f t="shared" si="13"/>
        <v>1E-3</v>
      </c>
      <c r="I20" s="330">
        <f t="shared" si="13"/>
        <v>1E-3</v>
      </c>
      <c r="J20" s="330">
        <f t="shared" si="13"/>
        <v>1E-3</v>
      </c>
      <c r="K20" s="330">
        <f t="shared" si="13"/>
        <v>1E-3</v>
      </c>
      <c r="L20" s="330">
        <f t="shared" si="13"/>
        <v>1E-3</v>
      </c>
      <c r="M20" s="330">
        <f t="shared" si="13"/>
        <v>1E-3</v>
      </c>
      <c r="N20" s="330">
        <f t="shared" si="13"/>
        <v>1E-3</v>
      </c>
      <c r="O20" s="330">
        <f t="shared" si="13"/>
        <v>1E-3</v>
      </c>
      <c r="P20" s="330">
        <f t="shared" si="13"/>
        <v>1E-3</v>
      </c>
      <c r="Q20" s="330">
        <f t="shared" si="13"/>
        <v>1E-3</v>
      </c>
      <c r="R20" s="330">
        <f t="shared" si="13"/>
        <v>1E-3</v>
      </c>
      <c r="S20" s="330">
        <f t="shared" si="13"/>
        <v>1E-3</v>
      </c>
      <c r="T20" s="330">
        <f t="shared" si="13"/>
        <v>1E-3</v>
      </c>
      <c r="U20" s="330">
        <f t="shared" si="13"/>
        <v>1E-3</v>
      </c>
      <c r="V20" s="245">
        <v>1E-3</v>
      </c>
      <c r="W20" s="247">
        <f t="shared" ref="W20:AZ20" si="14">V20</f>
        <v>1E-3</v>
      </c>
      <c r="X20" s="247">
        <f t="shared" si="14"/>
        <v>1E-3</v>
      </c>
      <c r="Y20" s="247">
        <f t="shared" si="14"/>
        <v>1E-3</v>
      </c>
      <c r="Z20" s="247">
        <f t="shared" si="14"/>
        <v>1E-3</v>
      </c>
      <c r="AA20" s="247">
        <f t="shared" si="14"/>
        <v>1E-3</v>
      </c>
      <c r="AB20" s="247">
        <f t="shared" si="14"/>
        <v>1E-3</v>
      </c>
      <c r="AC20" s="247">
        <f t="shared" si="14"/>
        <v>1E-3</v>
      </c>
      <c r="AD20" s="247">
        <f t="shared" si="14"/>
        <v>1E-3</v>
      </c>
      <c r="AE20" s="247">
        <f t="shared" si="14"/>
        <v>1E-3</v>
      </c>
      <c r="AF20" s="247">
        <f t="shared" si="14"/>
        <v>1E-3</v>
      </c>
      <c r="AG20" s="247">
        <f t="shared" si="14"/>
        <v>1E-3</v>
      </c>
      <c r="AH20" s="247">
        <f t="shared" si="14"/>
        <v>1E-3</v>
      </c>
      <c r="AI20" s="247">
        <f t="shared" si="14"/>
        <v>1E-3</v>
      </c>
      <c r="AJ20" s="247">
        <f t="shared" si="14"/>
        <v>1E-3</v>
      </c>
      <c r="AK20" s="247">
        <f t="shared" si="14"/>
        <v>1E-3</v>
      </c>
      <c r="AL20" s="247">
        <f t="shared" si="14"/>
        <v>1E-3</v>
      </c>
      <c r="AM20" s="247">
        <f t="shared" si="14"/>
        <v>1E-3</v>
      </c>
      <c r="AN20" s="247">
        <f t="shared" si="14"/>
        <v>1E-3</v>
      </c>
      <c r="AO20" s="247">
        <f t="shared" si="14"/>
        <v>1E-3</v>
      </c>
      <c r="AP20" s="247">
        <f t="shared" si="14"/>
        <v>1E-3</v>
      </c>
      <c r="AQ20" s="247">
        <f t="shared" si="14"/>
        <v>1E-3</v>
      </c>
      <c r="AR20" s="247">
        <f t="shared" si="14"/>
        <v>1E-3</v>
      </c>
      <c r="AS20" s="247">
        <f t="shared" si="14"/>
        <v>1E-3</v>
      </c>
      <c r="AT20" s="247">
        <f t="shared" si="14"/>
        <v>1E-3</v>
      </c>
      <c r="AU20" s="247">
        <f t="shared" si="14"/>
        <v>1E-3</v>
      </c>
      <c r="AV20" s="247">
        <f t="shared" si="14"/>
        <v>1E-3</v>
      </c>
      <c r="AW20" s="247">
        <f t="shared" si="14"/>
        <v>1E-3</v>
      </c>
      <c r="AX20" s="247">
        <f t="shared" si="14"/>
        <v>1E-3</v>
      </c>
      <c r="AY20" s="247">
        <f t="shared" si="14"/>
        <v>1E-3</v>
      </c>
      <c r="AZ20" s="247">
        <f t="shared" si="14"/>
        <v>1E-3</v>
      </c>
    </row>
    <row r="21" spans="1:52" ht="15" customHeight="1">
      <c r="A21" s="93" t="s">
        <v>111</v>
      </c>
      <c r="B21" s="93"/>
      <c r="C21" s="93"/>
      <c r="D21" s="93"/>
      <c r="E21" s="93"/>
      <c r="F21" s="93"/>
      <c r="G21" s="93"/>
      <c r="H21" s="93"/>
      <c r="I21" s="93"/>
      <c r="J21" s="93"/>
      <c r="K21" s="93"/>
      <c r="L21" s="93"/>
      <c r="M21" s="93"/>
      <c r="N21" s="93"/>
      <c r="O21" s="93"/>
      <c r="P21" s="93"/>
      <c r="Q21" s="93"/>
      <c r="R21" s="93"/>
      <c r="S21" s="93"/>
      <c r="T21" s="93"/>
      <c r="U21" s="93"/>
      <c r="V21" s="97"/>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row>
    <row r="22" spans="1:52" ht="15" customHeight="1">
      <c r="A22" s="93" t="s">
        <v>112</v>
      </c>
      <c r="B22" s="253">
        <v>0.35</v>
      </c>
      <c r="C22" s="253">
        <v>0.35</v>
      </c>
      <c r="D22" s="253">
        <v>0.35</v>
      </c>
      <c r="E22" s="253">
        <v>0.35</v>
      </c>
      <c r="F22" s="253">
        <v>0.35</v>
      </c>
      <c r="G22" s="253">
        <v>0.35</v>
      </c>
      <c r="H22" s="253">
        <v>0.35</v>
      </c>
      <c r="I22" s="253">
        <v>0.35</v>
      </c>
      <c r="J22" s="253">
        <v>0.35</v>
      </c>
      <c r="K22" s="253">
        <v>0.35</v>
      </c>
      <c r="L22" s="253">
        <v>0.35</v>
      </c>
      <c r="M22" s="253">
        <v>0.35</v>
      </c>
      <c r="N22" s="253">
        <v>0.35</v>
      </c>
      <c r="O22" s="253">
        <v>0.35</v>
      </c>
      <c r="P22" s="253">
        <v>0.35</v>
      </c>
      <c r="Q22" s="253">
        <v>0.35</v>
      </c>
      <c r="R22" s="253">
        <v>0.35</v>
      </c>
      <c r="S22" s="253">
        <v>0.35</v>
      </c>
      <c r="T22" s="253">
        <v>0.21</v>
      </c>
      <c r="U22" s="253">
        <v>0.21</v>
      </c>
      <c r="V22" s="254">
        <v>0.21</v>
      </c>
      <c r="W22" s="102">
        <f t="shared" ref="W22:AZ22" si="15">V22</f>
        <v>0.21</v>
      </c>
      <c r="X22" s="102">
        <f t="shared" si="15"/>
        <v>0.21</v>
      </c>
      <c r="Y22" s="102">
        <f t="shared" si="15"/>
        <v>0.21</v>
      </c>
      <c r="Z22" s="102">
        <f t="shared" si="15"/>
        <v>0.21</v>
      </c>
      <c r="AA22" s="102">
        <f t="shared" si="15"/>
        <v>0.21</v>
      </c>
      <c r="AB22" s="102">
        <f t="shared" si="15"/>
        <v>0.21</v>
      </c>
      <c r="AC22" s="102">
        <f t="shared" si="15"/>
        <v>0.21</v>
      </c>
      <c r="AD22" s="102">
        <f t="shared" si="15"/>
        <v>0.21</v>
      </c>
      <c r="AE22" s="102">
        <f t="shared" si="15"/>
        <v>0.21</v>
      </c>
      <c r="AF22" s="102">
        <f t="shared" si="15"/>
        <v>0.21</v>
      </c>
      <c r="AG22" s="102">
        <f t="shared" si="15"/>
        <v>0.21</v>
      </c>
      <c r="AH22" s="102">
        <f t="shared" si="15"/>
        <v>0.21</v>
      </c>
      <c r="AI22" s="102">
        <f t="shared" si="15"/>
        <v>0.21</v>
      </c>
      <c r="AJ22" s="102">
        <f t="shared" si="15"/>
        <v>0.21</v>
      </c>
      <c r="AK22" s="102">
        <f t="shared" si="15"/>
        <v>0.21</v>
      </c>
      <c r="AL22" s="102">
        <f t="shared" si="15"/>
        <v>0.21</v>
      </c>
      <c r="AM22" s="102">
        <f t="shared" si="15"/>
        <v>0.21</v>
      </c>
      <c r="AN22" s="102">
        <f t="shared" si="15"/>
        <v>0.21</v>
      </c>
      <c r="AO22" s="102">
        <f t="shared" si="15"/>
        <v>0.21</v>
      </c>
      <c r="AP22" s="102">
        <f t="shared" si="15"/>
        <v>0.21</v>
      </c>
      <c r="AQ22" s="102">
        <f t="shared" si="15"/>
        <v>0.21</v>
      </c>
      <c r="AR22" s="102">
        <f t="shared" si="15"/>
        <v>0.21</v>
      </c>
      <c r="AS22" s="102">
        <f t="shared" si="15"/>
        <v>0.21</v>
      </c>
      <c r="AT22" s="102">
        <f t="shared" si="15"/>
        <v>0.21</v>
      </c>
      <c r="AU22" s="102">
        <f t="shared" si="15"/>
        <v>0.21</v>
      </c>
      <c r="AV22" s="102">
        <f t="shared" si="15"/>
        <v>0.21</v>
      </c>
      <c r="AW22" s="102">
        <f t="shared" si="15"/>
        <v>0.21</v>
      </c>
      <c r="AX22" s="102">
        <f t="shared" si="15"/>
        <v>0.21</v>
      </c>
      <c r="AY22" s="102">
        <f t="shared" si="15"/>
        <v>0.21</v>
      </c>
      <c r="AZ22" s="102">
        <f t="shared" si="15"/>
        <v>0.21</v>
      </c>
    </row>
    <row r="23" spans="1:52" ht="15" customHeight="1">
      <c r="A23" s="93" t="s">
        <v>114</v>
      </c>
      <c r="B23" s="93"/>
      <c r="C23" s="93"/>
      <c r="D23" s="93"/>
      <c r="E23" s="93"/>
      <c r="F23" s="93"/>
      <c r="G23" s="93"/>
      <c r="H23" s="93"/>
      <c r="I23" s="93"/>
      <c r="J23" s="93"/>
      <c r="K23" s="93"/>
      <c r="L23" s="93"/>
      <c r="M23" s="93"/>
      <c r="N23" s="93"/>
      <c r="O23" s="93"/>
      <c r="P23" s="93"/>
      <c r="Q23" s="93"/>
      <c r="R23" s="93"/>
      <c r="S23" s="93"/>
      <c r="T23" s="93"/>
      <c r="U23" s="93"/>
      <c r="V23" s="97">
        <v>0</v>
      </c>
      <c r="W23" s="91">
        <f t="shared" ref="W23:AZ23" si="16">V23*(1+V34)</f>
        <v>0</v>
      </c>
      <c r="X23" s="91">
        <f t="shared" si="16"/>
        <v>0</v>
      </c>
      <c r="Y23" s="91">
        <f t="shared" si="16"/>
        <v>0</v>
      </c>
      <c r="Z23" s="91">
        <f t="shared" si="16"/>
        <v>0</v>
      </c>
      <c r="AA23" s="91">
        <f t="shared" si="16"/>
        <v>0</v>
      </c>
      <c r="AB23" s="91">
        <f t="shared" si="16"/>
        <v>0</v>
      </c>
      <c r="AC23" s="91">
        <f t="shared" si="16"/>
        <v>0</v>
      </c>
      <c r="AD23" s="91">
        <f t="shared" si="16"/>
        <v>0</v>
      </c>
      <c r="AE23" s="91">
        <f t="shared" si="16"/>
        <v>0</v>
      </c>
      <c r="AF23" s="91">
        <f t="shared" si="16"/>
        <v>0</v>
      </c>
      <c r="AG23" s="91">
        <f t="shared" si="16"/>
        <v>0</v>
      </c>
      <c r="AH23" s="91">
        <f t="shared" si="16"/>
        <v>0</v>
      </c>
      <c r="AI23" s="91">
        <f t="shared" si="16"/>
        <v>0</v>
      </c>
      <c r="AJ23" s="91">
        <f t="shared" si="16"/>
        <v>0</v>
      </c>
      <c r="AK23" s="91">
        <f t="shared" si="16"/>
        <v>0</v>
      </c>
      <c r="AL23" s="91">
        <f t="shared" si="16"/>
        <v>0</v>
      </c>
      <c r="AM23" s="91">
        <f t="shared" si="16"/>
        <v>0</v>
      </c>
      <c r="AN23" s="91">
        <f t="shared" si="16"/>
        <v>0</v>
      </c>
      <c r="AO23" s="91">
        <f t="shared" si="16"/>
        <v>0</v>
      </c>
      <c r="AP23" s="91">
        <f t="shared" si="16"/>
        <v>0</v>
      </c>
      <c r="AQ23" s="91">
        <f t="shared" si="16"/>
        <v>0</v>
      </c>
      <c r="AR23" s="91">
        <f t="shared" si="16"/>
        <v>0</v>
      </c>
      <c r="AS23" s="91">
        <f t="shared" si="16"/>
        <v>0</v>
      </c>
      <c r="AT23" s="91">
        <f t="shared" si="16"/>
        <v>0</v>
      </c>
      <c r="AU23" s="91">
        <f t="shared" si="16"/>
        <v>0</v>
      </c>
      <c r="AV23" s="91">
        <f t="shared" si="16"/>
        <v>0</v>
      </c>
      <c r="AW23" s="91">
        <f t="shared" si="16"/>
        <v>0</v>
      </c>
      <c r="AX23" s="91">
        <f t="shared" si="16"/>
        <v>0</v>
      </c>
      <c r="AY23" s="91">
        <f t="shared" si="16"/>
        <v>0</v>
      </c>
      <c r="AZ23" s="91">
        <f t="shared" si="16"/>
        <v>0</v>
      </c>
    </row>
    <row r="24" spans="1:52" ht="15" customHeight="1">
      <c r="A24" s="93" t="s">
        <v>116</v>
      </c>
      <c r="B24" s="93"/>
      <c r="C24" s="93"/>
      <c r="D24" s="93"/>
      <c r="E24" s="93"/>
      <c r="F24" s="93"/>
      <c r="G24" s="93"/>
      <c r="H24" s="93"/>
      <c r="I24" s="93"/>
      <c r="J24" s="93"/>
      <c r="K24" s="93"/>
      <c r="L24" s="93"/>
      <c r="M24" s="93"/>
      <c r="N24" s="93"/>
      <c r="O24" s="93"/>
      <c r="P24" s="93"/>
      <c r="Q24" s="93"/>
      <c r="R24" s="93"/>
      <c r="S24" s="93"/>
      <c r="T24" s="93"/>
      <c r="U24" s="93"/>
      <c r="V24" s="361">
        <v>16</v>
      </c>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row>
    <row r="25" spans="1:52" ht="15" customHeight="1">
      <c r="A25" s="93" t="s">
        <v>119</v>
      </c>
      <c r="B25" s="93"/>
      <c r="C25" s="93"/>
      <c r="D25" s="93"/>
      <c r="E25" s="93"/>
      <c r="F25" s="93"/>
      <c r="G25" s="93"/>
      <c r="H25" s="93"/>
      <c r="I25" s="93"/>
      <c r="J25" s="93"/>
      <c r="K25" s="93"/>
      <c r="L25" s="93"/>
      <c r="M25" s="93"/>
      <c r="N25" s="93"/>
      <c r="O25" s="93"/>
      <c r="P25" s="93"/>
      <c r="Q25" s="93"/>
      <c r="R25" s="93"/>
      <c r="S25" s="93"/>
      <c r="T25" s="93"/>
      <c r="U25" s="93"/>
      <c r="V25" s="361">
        <v>70</v>
      </c>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row>
    <row r="26" spans="1:52" ht="15" customHeight="1">
      <c r="A26" s="93" t="s">
        <v>121</v>
      </c>
      <c r="B26" s="93"/>
      <c r="C26" s="93"/>
      <c r="D26" s="93"/>
      <c r="E26" s="93"/>
      <c r="F26" s="93"/>
      <c r="G26" s="93"/>
      <c r="H26" s="93"/>
      <c r="I26" s="93"/>
      <c r="J26" s="93"/>
      <c r="K26" s="93"/>
      <c r="L26" s="93"/>
      <c r="M26" s="93"/>
      <c r="N26" s="93"/>
      <c r="O26" s="93"/>
      <c r="P26" s="93"/>
      <c r="Q26" s="93"/>
      <c r="R26" s="93"/>
      <c r="S26" s="93"/>
      <c r="T26" s="93"/>
      <c r="U26" s="93"/>
      <c r="V26" s="361">
        <v>2</v>
      </c>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row>
    <row r="27" spans="1:52" ht="15" customHeight="1">
      <c r="A27" s="93" t="s">
        <v>122</v>
      </c>
      <c r="B27" s="93"/>
      <c r="C27" s="93"/>
      <c r="D27" s="93"/>
      <c r="E27" s="93"/>
      <c r="F27" s="93"/>
      <c r="G27" s="93"/>
      <c r="H27" s="93"/>
      <c r="I27" s="93"/>
      <c r="J27" s="93"/>
      <c r="K27" s="93"/>
      <c r="L27" s="93"/>
      <c r="M27" s="93"/>
      <c r="N27" s="93"/>
      <c r="O27" s="93"/>
      <c r="P27" s="93"/>
      <c r="Q27" s="93"/>
      <c r="R27" s="93"/>
      <c r="S27" s="93"/>
      <c r="T27" s="93"/>
      <c r="U27" s="93"/>
      <c r="V27" s="361">
        <v>22</v>
      </c>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row>
    <row r="28" spans="1:52" ht="15" customHeight="1">
      <c r="A28" s="99" t="s">
        <v>123</v>
      </c>
      <c r="B28" s="99"/>
      <c r="C28" s="99"/>
      <c r="D28" s="99"/>
      <c r="E28" s="99"/>
      <c r="F28" s="99"/>
      <c r="G28" s="99"/>
      <c r="H28" s="99"/>
      <c r="I28" s="99"/>
      <c r="J28" s="99"/>
      <c r="K28" s="99"/>
      <c r="L28" s="99"/>
      <c r="M28" s="99"/>
      <c r="N28" s="99"/>
      <c r="O28" s="99"/>
      <c r="P28" s="99"/>
      <c r="Q28" s="99"/>
      <c r="R28" s="99"/>
      <c r="S28" s="99"/>
      <c r="T28" s="99"/>
      <c r="U28" s="99"/>
      <c r="V28" s="329"/>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row>
    <row r="29" spans="1:52" ht="15" customHeight="1">
      <c r="A29" s="93" t="s">
        <v>126</v>
      </c>
      <c r="B29" s="95">
        <f>'Inflation GDP Population'!B2</f>
        <v>96.994687004035995</v>
      </c>
      <c r="C29" s="95">
        <f>'Inflation GDP Population'!C2</f>
        <v>82.561802368421056</v>
      </c>
      <c r="D29" s="95">
        <f>'Inflation GDP Population'!D2</f>
        <v>92.422988832098127</v>
      </c>
      <c r="E29" s="95">
        <f>'Inflation GDP Population'!E2</f>
        <v>85.643902995324368</v>
      </c>
      <c r="F29" s="95">
        <f>'Inflation GDP Population'!F2</f>
        <v>81.324791570560762</v>
      </c>
      <c r="G29" s="95">
        <f>'Inflation GDP Population'!G2</f>
        <v>82.285051583593884</v>
      </c>
      <c r="H29" s="95">
        <f>'Inflation GDP Population'!H2</f>
        <v>73.132352371089056</v>
      </c>
      <c r="I29" s="95">
        <f>'Inflation GDP Population'!I2</f>
        <v>75.178349917306775</v>
      </c>
      <c r="J29" s="95">
        <f>'Inflation GDP Population'!J2</f>
        <v>77.566868947213194</v>
      </c>
      <c r="K29" s="95">
        <f>'Inflation GDP Population'!K2</f>
        <v>67.397054261131927</v>
      </c>
      <c r="L29" s="95">
        <f>'Inflation GDP Population'!L2</f>
        <v>69.359261305247756</v>
      </c>
      <c r="M29" s="95">
        <f>'Inflation GDP Population'!M2</f>
        <v>69.149647376821946</v>
      </c>
      <c r="N29" s="95">
        <f>'Inflation GDP Population'!N2</f>
        <v>66.077410694889281</v>
      </c>
      <c r="O29" s="95">
        <f>'Inflation GDP Population'!O2</f>
        <v>68.667649550254211</v>
      </c>
      <c r="P29" s="95">
        <f>'Inflation GDP Population'!P2</f>
        <v>67.613374485645934</v>
      </c>
      <c r="Q29" s="95">
        <f>'Inflation GDP Population'!Q2</f>
        <v>63.519292757444873</v>
      </c>
      <c r="R29" s="95">
        <f>'Inflation GDP Population'!R2</f>
        <v>65.2</v>
      </c>
      <c r="S29" s="95">
        <f>'Inflation GDP Population'!S2</f>
        <v>62.54</v>
      </c>
      <c r="T29" s="95">
        <f>'Inflation GDP Population'!T2</f>
        <v>62.8</v>
      </c>
      <c r="U29" s="95">
        <f>'Inflation GDP Population'!U2</f>
        <v>62.22</v>
      </c>
      <c r="V29" s="95">
        <f>'Inflation GDP Population'!V2</f>
        <v>63.245459999999994</v>
      </c>
      <c r="W29" s="95">
        <f>'Inflation GDP Population'!W2</f>
        <v>62.18788</v>
      </c>
      <c r="X29" s="95">
        <f>'Inflation GDP Population'!X2</f>
        <v>61.283909999999999</v>
      </c>
      <c r="Y29" s="95">
        <f>'Inflation GDP Population'!Y2</f>
        <v>60.782710000000002</v>
      </c>
      <c r="Z29" s="95">
        <f>'Inflation GDP Population'!Z2</f>
        <v>60.470050000000001</v>
      </c>
      <c r="AA29" s="95">
        <f>'Inflation GDP Population'!AA2</f>
        <v>60.726050000000001</v>
      </c>
      <c r="AB29" s="95">
        <f>'Inflation GDP Population'!AB2</f>
        <v>60.323509999999999</v>
      </c>
      <c r="AC29" s="95">
        <f>'Inflation GDP Population'!AC2</f>
        <v>60.154750000000007</v>
      </c>
      <c r="AD29" s="95">
        <f>'Inflation GDP Population'!AD2</f>
        <v>59.918579999999999</v>
      </c>
      <c r="AE29" s="95">
        <f>'Inflation GDP Population'!AE2</f>
        <v>59.74736</v>
      </c>
      <c r="AF29" s="95">
        <f>'Inflation GDP Population'!AF2</f>
        <v>59.571719999999999</v>
      </c>
      <c r="AG29" s="95">
        <f>'Inflation GDP Population'!AG2</f>
        <v>59.462200000000003</v>
      </c>
      <c r="AH29" s="95">
        <f>'Inflation GDP Population'!AH2</f>
        <v>59.098179999999999</v>
      </c>
      <c r="AI29" s="95">
        <f>'Inflation GDP Population'!AI2</f>
        <v>58.690709999999996</v>
      </c>
      <c r="AJ29" s="95">
        <f>'Inflation GDP Population'!AJ2</f>
        <v>58.279679999999999</v>
      </c>
      <c r="AK29" s="95">
        <f>'Inflation GDP Population'!AK2</f>
        <v>57.945390000000003</v>
      </c>
      <c r="AL29" s="95">
        <f>'Inflation GDP Population'!AL2</f>
        <v>57.822279999999999</v>
      </c>
      <c r="AM29" s="95">
        <f>'Inflation GDP Population'!AM2</f>
        <v>57.639300000000006</v>
      </c>
      <c r="AN29" s="95">
        <f>'Inflation GDP Population'!AN2</f>
        <v>57.618220000000008</v>
      </c>
      <c r="AO29" s="95">
        <f>'Inflation GDP Population'!AO2</f>
        <v>57.583159999999999</v>
      </c>
      <c r="AP29" s="95">
        <f>'Inflation GDP Population'!AP2</f>
        <v>57.428650000000005</v>
      </c>
      <c r="AQ29" s="95">
        <f>'Inflation GDP Population'!AQ2</f>
        <v>57.212560000000003</v>
      </c>
      <c r="AR29" s="95">
        <f>'Inflation GDP Population'!AR2</f>
        <v>56.957370000000004</v>
      </c>
      <c r="AS29" s="95">
        <f>'Inflation GDP Population'!AS2</f>
        <v>56.726020000000005</v>
      </c>
      <c r="AT29" s="95">
        <f>'Inflation GDP Population'!AT2</f>
        <v>56.532699999999998</v>
      </c>
      <c r="AU29" s="95">
        <f>'Inflation GDP Population'!AU2</f>
        <v>56.329940000000001</v>
      </c>
      <c r="AV29" s="95">
        <f>'Inflation GDP Population'!AV2</f>
        <v>56.008069999999996</v>
      </c>
      <c r="AW29" s="95">
        <f>'Inflation GDP Population'!AW2</f>
        <v>55.853279999999998</v>
      </c>
      <c r="AX29" s="95">
        <f>'Inflation GDP Population'!AX2</f>
        <v>56.44464</v>
      </c>
      <c r="AY29" s="95">
        <f>'Inflation GDP Population'!AY2</f>
        <v>56.523910000000001</v>
      </c>
      <c r="AZ29" s="95">
        <f>'Inflation GDP Population'!AZ2</f>
        <v>56.24409</v>
      </c>
    </row>
    <row r="30" spans="1:52" ht="15" customHeight="1">
      <c r="A30" s="93" t="s">
        <v>128</v>
      </c>
      <c r="B30" s="95">
        <f>'Inflation GDP Population'!B3</f>
        <v>66.936599999999999</v>
      </c>
      <c r="C30" s="95">
        <f>'Inflation GDP Population'!C3</f>
        <v>68.562700000000007</v>
      </c>
      <c r="D30" s="95">
        <f>'Inflation GDP Population'!D3</f>
        <v>61.9876</v>
      </c>
      <c r="E30" s="95">
        <f>'Inflation GDP Population'!E3</f>
        <v>75.349900000000005</v>
      </c>
      <c r="F30" s="95">
        <f>'Inflation GDP Population'!F3</f>
        <v>79.167699999999996</v>
      </c>
      <c r="G30" s="95">
        <f>'Inflation GDP Population'!G3</f>
        <v>95.852900000000005</v>
      </c>
      <c r="H30" s="95">
        <f>'Inflation GDP Population'!H3</f>
        <v>86.237700000000004</v>
      </c>
      <c r="I30" s="95">
        <f>'Inflation GDP Population'!I3</f>
        <v>87.651700000000005</v>
      </c>
      <c r="J30" s="95">
        <f>'Inflation GDP Population'!J3</f>
        <v>101.43819999999999</v>
      </c>
      <c r="K30" s="95">
        <f>'Inflation GDP Population'!K3</f>
        <v>70.825099999999992</v>
      </c>
      <c r="L30" s="95">
        <f>'Inflation GDP Population'!L3</f>
        <v>73.228899999999996</v>
      </c>
      <c r="M30" s="95">
        <f>'Inflation GDP Population'!M3</f>
        <v>70.542299999999997</v>
      </c>
      <c r="N30" s="95">
        <f>'Inflation GDP Population'!N3</f>
        <v>60.997799999999998</v>
      </c>
      <c r="O30" s="95">
        <f>'Inflation GDP Population'!O3</f>
        <v>67.714300000000009</v>
      </c>
      <c r="P30" s="95">
        <f>'Inflation GDP Population'!P3</f>
        <v>72.663299999999992</v>
      </c>
      <c r="Q30" s="95">
        <f>'Inflation GDP Population'!Q3</f>
        <v>59.866599999999998</v>
      </c>
      <c r="R30" s="95">
        <f>'Inflation GDP Population'!R3</f>
        <v>64.069999999999993</v>
      </c>
      <c r="S30" s="95">
        <f>'Inflation GDP Population'!S3</f>
        <v>62.54</v>
      </c>
      <c r="T30" s="95">
        <f>'Inflation GDP Population'!T3</f>
        <v>64.2</v>
      </c>
      <c r="U30" s="95">
        <f>'Inflation GDP Population'!U3</f>
        <v>65.09</v>
      </c>
      <c r="V30" s="95">
        <f>'Inflation GDP Population'!V3</f>
        <v>67.893280000000004</v>
      </c>
      <c r="W30" s="95">
        <f>'Inflation GDP Population'!W3</f>
        <v>68.408230000000003</v>
      </c>
      <c r="X30" s="95">
        <f>'Inflation GDP Population'!X3</f>
        <v>69.039839999999998</v>
      </c>
      <c r="Y30" s="95">
        <f>'Inflation GDP Population'!Y3</f>
        <v>70.165930000000003</v>
      </c>
      <c r="Z30" s="95">
        <f>'Inflation GDP Population'!Z3</f>
        <v>71.499539999999996</v>
      </c>
      <c r="AA30" s="95">
        <f>'Inflation GDP Population'!AA3</f>
        <v>73.516589999999994</v>
      </c>
      <c r="AB30" s="95">
        <f>'Inflation GDP Population'!AB3</f>
        <v>74.703620000000001</v>
      </c>
      <c r="AC30" s="95">
        <f>'Inflation GDP Population'!AC3</f>
        <v>76.171610000000001</v>
      </c>
      <c r="AD30" s="95">
        <f>'Inflation GDP Population'!AD3</f>
        <v>77.509479999999996</v>
      </c>
      <c r="AE30" s="95">
        <f>'Inflation GDP Population'!AE3</f>
        <v>78.937030000000007</v>
      </c>
      <c r="AF30" s="95">
        <f>'Inflation GDP Population'!AF3</f>
        <v>80.394760000000005</v>
      </c>
      <c r="AG30" s="95">
        <f>'Inflation GDP Population'!AG3</f>
        <v>81.999220000000008</v>
      </c>
      <c r="AH30" s="95">
        <f>'Inflation GDP Population'!AH3</f>
        <v>83.288150000000002</v>
      </c>
      <c r="AI30" s="95">
        <f>'Inflation GDP Population'!AI3</f>
        <v>84.552180000000007</v>
      </c>
      <c r="AJ30" s="95">
        <f>'Inflation GDP Population'!AJ3</f>
        <v>85.842559999999992</v>
      </c>
      <c r="AK30" s="95">
        <f>'Inflation GDP Population'!AK3</f>
        <v>87.282499999999999</v>
      </c>
      <c r="AL30" s="95">
        <f>'Inflation GDP Population'!AL3</f>
        <v>89.091559999999987</v>
      </c>
      <c r="AM30" s="95">
        <f>'Inflation GDP Population'!AM3</f>
        <v>90.845109999999991</v>
      </c>
      <c r="AN30" s="95">
        <f>'Inflation GDP Population'!AN3</f>
        <v>92.884870000000006</v>
      </c>
      <c r="AO30" s="95">
        <f>'Inflation GDP Population'!AO3</f>
        <v>94.960380000000001</v>
      </c>
      <c r="AP30" s="95">
        <f>'Inflation GDP Population'!AP3</f>
        <v>96.898049999999998</v>
      </c>
      <c r="AQ30" s="95">
        <f>'Inflation GDP Population'!AQ3</f>
        <v>98.792919999999995</v>
      </c>
      <c r="AR30" s="95">
        <f>'Inflation GDP Population'!AR3</f>
        <v>100.67492</v>
      </c>
      <c r="AS30" s="95">
        <f>'Inflation GDP Population'!AS3</f>
        <v>102.66981</v>
      </c>
      <c r="AT30" s="95">
        <f>'Inflation GDP Population'!AT3</f>
        <v>104.79813999999999</v>
      </c>
      <c r="AU30" s="95">
        <f>'Inflation GDP Population'!AU3</f>
        <v>106.98112999999999</v>
      </c>
      <c r="AV30" s="95">
        <f>'Inflation GDP Population'!AV3</f>
        <v>108.97937999999999</v>
      </c>
      <c r="AW30" s="95">
        <f>'Inflation GDP Population'!AW3</f>
        <v>111.37461999999999</v>
      </c>
      <c r="AX30" s="95">
        <f>'Inflation GDP Population'!AX3</f>
        <v>115.38930999999999</v>
      </c>
      <c r="AY30" s="95">
        <f>'Inflation GDP Population'!AY3</f>
        <v>118.46299999999999</v>
      </c>
      <c r="AZ30" s="95">
        <f>'Inflation GDP Population'!AZ3</f>
        <v>120.87941000000001</v>
      </c>
    </row>
    <row r="31" spans="1:52" ht="15" customHeight="1">
      <c r="A31" s="93" t="s">
        <v>200</v>
      </c>
      <c r="B31" s="95">
        <f>'Inflation GDP Population'!B6</f>
        <v>249.42381743242936</v>
      </c>
      <c r="C31" s="95">
        <f>'Inflation GDP Population'!C6</f>
        <v>249.42381743242936</v>
      </c>
      <c r="D31" s="95">
        <f>'Inflation GDP Population'!D6</f>
        <v>212.30935999593964</v>
      </c>
      <c r="E31" s="95">
        <f>'Inflation GDP Population'!E6</f>
        <v>237.66760226833327</v>
      </c>
      <c r="F31" s="95">
        <f>'Inflation GDP Population'!F6</f>
        <v>220.23504466814359</v>
      </c>
      <c r="G31" s="95">
        <f>'Inflation GDP Population'!G6</f>
        <v>209.12836148006616</v>
      </c>
      <c r="H31" s="95">
        <f>'Inflation GDP Population'!H6</f>
        <v>211.59768970387361</v>
      </c>
      <c r="I31" s="95">
        <f>'Inflation GDP Population'!I6</f>
        <v>188.06133685911675</v>
      </c>
      <c r="J31" s="95">
        <f>'Inflation GDP Population'!J6</f>
        <v>193.32266131097848</v>
      </c>
      <c r="K31" s="95">
        <f>'Inflation GDP Population'!K6</f>
        <v>199.4647867495035</v>
      </c>
      <c r="L31" s="95">
        <f>'Inflation GDP Population'!L6</f>
        <v>173.31290070365006</v>
      </c>
      <c r="M31" s="95">
        <f>'Inflation GDP Population'!M6</f>
        <v>178.35875616907168</v>
      </c>
      <c r="N31" s="95">
        <f>'Inflation GDP Population'!N6</f>
        <v>177.8197296736019</v>
      </c>
      <c r="O31" s="95">
        <f>'Inflation GDP Population'!O6</f>
        <v>169.91941033722733</v>
      </c>
      <c r="P31" s="95">
        <f>'Inflation GDP Population'!P6</f>
        <v>176.58026242431168</v>
      </c>
      <c r="Q31" s="95">
        <f>'Inflation GDP Population'!Q6</f>
        <v>173.86917257639584</v>
      </c>
      <c r="R31" s="95">
        <f>'Inflation GDP Population'!R6</f>
        <v>163.34115784620988</v>
      </c>
      <c r="S31" s="95">
        <f>'Inflation GDP Population'!S6</f>
        <v>167.66313082610094</v>
      </c>
      <c r="T31" s="95">
        <f>'Inflation GDP Population'!T6</f>
        <v>160.82288653166182</v>
      </c>
      <c r="U31" s="95">
        <f>'Inflation GDP Population'!U6</f>
        <v>161.49148183863707</v>
      </c>
      <c r="V31" s="95">
        <f>'Inflation GDP Population'!V6</f>
        <v>160</v>
      </c>
      <c r="W31" s="95">
        <f>'Inflation GDP Population'!W6</f>
        <v>157.32450677092081</v>
      </c>
      <c r="X31" s="95">
        <f>'Inflation GDP Population'!X6</f>
        <v>155.03762009162398</v>
      </c>
      <c r="Y31" s="95">
        <f>'Inflation GDP Population'!Y6</f>
        <v>153.76967137245902</v>
      </c>
      <c r="Z31" s="95">
        <f>'Inflation GDP Population'!Z6</f>
        <v>152.9786960202361</v>
      </c>
      <c r="AA31" s="95">
        <f>'Inflation GDP Population'!AA6</f>
        <v>153.62633143944248</v>
      </c>
      <c r="AB31" s="95">
        <f>'Inflation GDP Population'!AB6</f>
        <v>152.60797533925759</v>
      </c>
      <c r="AC31" s="95">
        <f>'Inflation GDP Population'!AC6</f>
        <v>152.18104192775266</v>
      </c>
      <c r="AD31" s="95">
        <f>'Inflation GDP Population'!AD6</f>
        <v>151.5835729552762</v>
      </c>
      <c r="AE31" s="95">
        <f>'Inflation GDP Population'!AE6</f>
        <v>151.15041617216482</v>
      </c>
      <c r="AF31" s="95">
        <f>'Inflation GDP Population'!AF6</f>
        <v>150.7060775587687</v>
      </c>
      <c r="AG31" s="95">
        <f>'Inflation GDP Population'!AG6</f>
        <v>150.42901103098947</v>
      </c>
      <c r="AH31" s="95">
        <f>'Inflation GDP Population'!AH6</f>
        <v>149.50810382278826</v>
      </c>
      <c r="AI31" s="95">
        <f>'Inflation GDP Population'!AI6</f>
        <v>148.47727568113191</v>
      </c>
      <c r="AJ31" s="95">
        <f>'Inflation GDP Population'!AJ6</f>
        <v>147.43744135942725</v>
      </c>
      <c r="AK31" s="95">
        <f>'Inflation GDP Population'!AK6</f>
        <v>146.59174587393312</v>
      </c>
      <c r="AL31" s="95">
        <f>'Inflation GDP Population'!AL6</f>
        <v>146.2802990127671</v>
      </c>
      <c r="AM31" s="95">
        <f>'Inflation GDP Population'!AM6</f>
        <v>145.81739147758594</v>
      </c>
      <c r="AN31" s="95">
        <f>'Inflation GDP Population'!AN6</f>
        <v>145.76406274853568</v>
      </c>
      <c r="AO31" s="95">
        <f>'Inflation GDP Population'!AO6</f>
        <v>145.67536705401466</v>
      </c>
      <c r="AP31" s="95">
        <f>'Inflation GDP Population'!AP6</f>
        <v>145.28448366096166</v>
      </c>
      <c r="AQ31" s="95">
        <f>'Inflation GDP Population'!AQ6</f>
        <v>144.73781359167921</v>
      </c>
      <c r="AR31" s="95">
        <f>'Inflation GDP Population'!AR6</f>
        <v>144.09222733141641</v>
      </c>
      <c r="AS31" s="95">
        <f>'Inflation GDP Population'!AS6</f>
        <v>143.50695211956722</v>
      </c>
      <c r="AT31" s="95">
        <f>'Inflation GDP Population'!AT6</f>
        <v>143.01788618503213</v>
      </c>
      <c r="AU31" s="95">
        <f>'Inflation GDP Population'!AU6</f>
        <v>142.50493869441382</v>
      </c>
      <c r="AV31" s="95">
        <f>'Inflation GDP Population'!AV6</f>
        <v>141.69066364605462</v>
      </c>
      <c r="AW31" s="95">
        <f>'Inflation GDP Population'!AW6</f>
        <v>141.29907190176183</v>
      </c>
      <c r="AX31" s="95">
        <f>'Inflation GDP Population'!AX6</f>
        <v>142.79510972012858</v>
      </c>
      <c r="AY31" s="95">
        <f>'Inflation GDP Population'!AY6</f>
        <v>142.9956490157555</v>
      </c>
      <c r="AZ31" s="95">
        <f>'Inflation GDP Population'!AZ6</f>
        <v>142.28775314465267</v>
      </c>
    </row>
    <row r="32" spans="1:52" ht="15" customHeight="1">
      <c r="A32" s="93" t="s">
        <v>130</v>
      </c>
      <c r="B32" s="95">
        <f>'Inflation GDP Population'!B7</f>
        <v>164.53919188815482</v>
      </c>
      <c r="C32" s="95">
        <f>'Inflation GDP Population'!C7</f>
        <v>164.53919188815482</v>
      </c>
      <c r="D32" s="95">
        <f>'Inflation GDP Population'!D7</f>
        <v>168.53636503303116</v>
      </c>
      <c r="E32" s="95">
        <f>'Inflation GDP Population'!E7</f>
        <v>152.37388231679211</v>
      </c>
      <c r="F32" s="95">
        <f>'Inflation GDP Population'!F7</f>
        <v>185.2202181594715</v>
      </c>
      <c r="G32" s="95">
        <f>'Inflation GDP Population'!G7</f>
        <v>194.60488554309416</v>
      </c>
      <c r="H32" s="95">
        <f>'Inflation GDP Population'!H7</f>
        <v>235.61935781225995</v>
      </c>
      <c r="I32" s="95">
        <f>'Inflation GDP Population'!I7</f>
        <v>211.9838992164695</v>
      </c>
      <c r="J32" s="95">
        <f>'Inflation GDP Population'!J7</f>
        <v>215.45970195114458</v>
      </c>
      <c r="K32" s="95">
        <f>'Inflation GDP Population'!K7</f>
        <v>249.34877861422646</v>
      </c>
      <c r="L32" s="95">
        <f>'Inflation GDP Population'!L7</f>
        <v>174.09764940851127</v>
      </c>
      <c r="M32" s="95">
        <f>'Inflation GDP Population'!M7</f>
        <v>180.0065140574589</v>
      </c>
      <c r="N32" s="95">
        <f>'Inflation GDP Population'!N7</f>
        <v>173.40248886157627</v>
      </c>
      <c r="O32" s="95">
        <f>'Inflation GDP Population'!O7</f>
        <v>149.94082040251959</v>
      </c>
      <c r="P32" s="95">
        <f>'Inflation GDP Population'!P7</f>
        <v>166.45088339222616</v>
      </c>
      <c r="Q32" s="95">
        <f>'Inflation GDP Population'!Q7</f>
        <v>178.61619296358887</v>
      </c>
      <c r="R32" s="95">
        <f>'Inflation GDP Population'!R7</f>
        <v>147.16017821477953</v>
      </c>
      <c r="S32" s="95">
        <f>'Inflation GDP Population'!S7</f>
        <v>157.49270241204485</v>
      </c>
      <c r="T32" s="95">
        <f>'Inflation GDP Population'!T7</f>
        <v>153.73175603011217</v>
      </c>
      <c r="U32" s="95">
        <f>'Inflation GDP Population'!U7</f>
        <v>157.81225994776466</v>
      </c>
      <c r="V32" s="95">
        <f>'Inflation GDP Population'!V7</f>
        <v>160</v>
      </c>
      <c r="W32" s="95">
        <f>'Inflation GDP Population'!W7</f>
        <v>161.21355162101463</v>
      </c>
      <c r="X32" s="95">
        <f>'Inflation GDP Population'!X7</f>
        <v>162.70202883113024</v>
      </c>
      <c r="Y32" s="95">
        <f>'Inflation GDP Population'!Y7</f>
        <v>165.35581724730341</v>
      </c>
      <c r="Z32" s="95">
        <f>'Inflation GDP Population'!Z7</f>
        <v>168.49865553704282</v>
      </c>
      <c r="AA32" s="95">
        <f>'Inflation GDP Population'!AA7</f>
        <v>173.25211567330371</v>
      </c>
      <c r="AB32" s="95">
        <f>'Inflation GDP Population'!AB7</f>
        <v>176.04951771368238</v>
      </c>
      <c r="AC32" s="95">
        <f>'Inflation GDP Population'!AC7</f>
        <v>179.50904124826488</v>
      </c>
      <c r="AD32" s="95">
        <f>'Inflation GDP Population'!AD7</f>
        <v>182.66191882318833</v>
      </c>
      <c r="AE32" s="95">
        <f>'Inflation GDP Population'!AE7</f>
        <v>186.02613984771389</v>
      </c>
      <c r="AF32" s="95">
        <f>'Inflation GDP Population'!AF7</f>
        <v>189.46148425882495</v>
      </c>
      <c r="AG32" s="95">
        <f>'Inflation GDP Population'!AG7</f>
        <v>193.24261841525399</v>
      </c>
      <c r="AH32" s="95">
        <f>'Inflation GDP Population'!AH7</f>
        <v>196.28016204254669</v>
      </c>
      <c r="AI32" s="95">
        <f>'Inflation GDP Population'!AI7</f>
        <v>199.25902534094678</v>
      </c>
      <c r="AJ32" s="95">
        <f>'Inflation GDP Population'!AJ7</f>
        <v>202.29998609582557</v>
      </c>
      <c r="AK32" s="95">
        <f>'Inflation GDP Population'!AK7</f>
        <v>205.69340588641461</v>
      </c>
      <c r="AL32" s="95">
        <f>'Inflation GDP Population'!AL7</f>
        <v>209.95670852844336</v>
      </c>
      <c r="AM32" s="95">
        <f>'Inflation GDP Population'!AM7</f>
        <v>214.08919409991671</v>
      </c>
      <c r="AN32" s="95">
        <f>'Inflation GDP Population'!AN7</f>
        <v>218.89617352409539</v>
      </c>
      <c r="AO32" s="95">
        <f>'Inflation GDP Population'!AO7</f>
        <v>223.78740281806967</v>
      </c>
      <c r="AP32" s="95">
        <f>'Inflation GDP Population'!AP7</f>
        <v>228.35379289378849</v>
      </c>
      <c r="AQ32" s="95">
        <f>'Inflation GDP Population'!AQ7</f>
        <v>232.81931878972398</v>
      </c>
      <c r="AR32" s="95">
        <f>'Inflation GDP Population'!AR7</f>
        <v>237.25451473253304</v>
      </c>
      <c r="AS32" s="95">
        <f>'Inflation GDP Population'!AS7</f>
        <v>241.95575173271919</v>
      </c>
      <c r="AT32" s="95">
        <f>'Inflation GDP Population'!AT7</f>
        <v>246.97145873641676</v>
      </c>
      <c r="AU32" s="95">
        <f>'Inflation GDP Population'!AU7</f>
        <v>252.11597966691241</v>
      </c>
      <c r="AV32" s="95">
        <f>'Inflation GDP Population'!AV7</f>
        <v>256.82513497653952</v>
      </c>
      <c r="AW32" s="95">
        <f>'Inflation GDP Population'!AW7</f>
        <v>262.4698526864513</v>
      </c>
      <c r="AX32" s="95">
        <f>'Inflation GDP Population'!AX7</f>
        <v>271.93103058211346</v>
      </c>
      <c r="AY32" s="95">
        <f>'Inflation GDP Population'!AY7</f>
        <v>279.1746105063711</v>
      </c>
      <c r="AZ32" s="95">
        <f>'Inflation GDP Population'!AZ7</f>
        <v>284.86921827904024</v>
      </c>
    </row>
    <row r="33" spans="1:53" ht="15" customHeight="1">
      <c r="A33" s="100" t="s">
        <v>814</v>
      </c>
      <c r="B33" s="253">
        <v>0</v>
      </c>
      <c r="C33" s="253">
        <v>0</v>
      </c>
      <c r="D33" s="253">
        <v>0</v>
      </c>
      <c r="E33" s="253">
        <v>0</v>
      </c>
      <c r="F33" s="253">
        <v>0</v>
      </c>
      <c r="G33" s="253">
        <v>0</v>
      </c>
      <c r="H33" s="253">
        <v>0</v>
      </c>
      <c r="I33" s="253">
        <f t="shared" ref="I33:U33" si="17">J33</f>
        <v>0</v>
      </c>
      <c r="J33" s="253">
        <f t="shared" si="17"/>
        <v>0</v>
      </c>
      <c r="K33" s="253">
        <f t="shared" si="17"/>
        <v>0</v>
      </c>
      <c r="L33" s="253">
        <f t="shared" si="17"/>
        <v>0</v>
      </c>
      <c r="M33" s="253">
        <f t="shared" si="17"/>
        <v>0</v>
      </c>
      <c r="N33" s="253">
        <f t="shared" si="17"/>
        <v>0</v>
      </c>
      <c r="O33" s="253">
        <f t="shared" si="17"/>
        <v>0</v>
      </c>
      <c r="P33" s="253">
        <f t="shared" si="17"/>
        <v>0</v>
      </c>
      <c r="Q33" s="253">
        <f t="shared" si="17"/>
        <v>0</v>
      </c>
      <c r="R33" s="253">
        <f t="shared" si="17"/>
        <v>0</v>
      </c>
      <c r="S33" s="253">
        <f t="shared" si="17"/>
        <v>0</v>
      </c>
      <c r="T33" s="253">
        <f t="shared" si="17"/>
        <v>0</v>
      </c>
      <c r="U33" s="253">
        <f t="shared" si="17"/>
        <v>0</v>
      </c>
      <c r="V33" s="281">
        <v>0</v>
      </c>
      <c r="W33" s="102">
        <f t="shared" ref="W33:AZ33" si="18">V33</f>
        <v>0</v>
      </c>
      <c r="X33" s="102">
        <f t="shared" si="18"/>
        <v>0</v>
      </c>
      <c r="Y33" s="102">
        <f t="shared" si="18"/>
        <v>0</v>
      </c>
      <c r="Z33" s="102">
        <f t="shared" si="18"/>
        <v>0</v>
      </c>
      <c r="AA33" s="102">
        <f t="shared" si="18"/>
        <v>0</v>
      </c>
      <c r="AB33" s="102">
        <f t="shared" si="18"/>
        <v>0</v>
      </c>
      <c r="AC33" s="102">
        <f t="shared" si="18"/>
        <v>0</v>
      </c>
      <c r="AD33" s="102">
        <f t="shared" si="18"/>
        <v>0</v>
      </c>
      <c r="AE33" s="102">
        <f t="shared" si="18"/>
        <v>0</v>
      </c>
      <c r="AF33" s="102">
        <f t="shared" si="18"/>
        <v>0</v>
      </c>
      <c r="AG33" s="102">
        <f t="shared" si="18"/>
        <v>0</v>
      </c>
      <c r="AH33" s="102">
        <f t="shared" si="18"/>
        <v>0</v>
      </c>
      <c r="AI33" s="102">
        <f t="shared" si="18"/>
        <v>0</v>
      </c>
      <c r="AJ33" s="102">
        <f t="shared" si="18"/>
        <v>0</v>
      </c>
      <c r="AK33" s="102">
        <f t="shared" si="18"/>
        <v>0</v>
      </c>
      <c r="AL33" s="102">
        <f t="shared" si="18"/>
        <v>0</v>
      </c>
      <c r="AM33" s="102">
        <f t="shared" si="18"/>
        <v>0</v>
      </c>
      <c r="AN33" s="102">
        <f t="shared" si="18"/>
        <v>0</v>
      </c>
      <c r="AO33" s="102">
        <f t="shared" si="18"/>
        <v>0</v>
      </c>
      <c r="AP33" s="102">
        <f t="shared" si="18"/>
        <v>0</v>
      </c>
      <c r="AQ33" s="102">
        <f t="shared" si="18"/>
        <v>0</v>
      </c>
      <c r="AR33" s="102">
        <f t="shared" si="18"/>
        <v>0</v>
      </c>
      <c r="AS33" s="102">
        <f t="shared" si="18"/>
        <v>0</v>
      </c>
      <c r="AT33" s="102">
        <f t="shared" si="18"/>
        <v>0</v>
      </c>
      <c r="AU33" s="102">
        <f t="shared" si="18"/>
        <v>0</v>
      </c>
      <c r="AV33" s="102">
        <f t="shared" si="18"/>
        <v>0</v>
      </c>
      <c r="AW33" s="102">
        <f t="shared" si="18"/>
        <v>0</v>
      </c>
      <c r="AX33" s="102">
        <f t="shared" si="18"/>
        <v>0</v>
      </c>
      <c r="AY33" s="102">
        <f t="shared" si="18"/>
        <v>0</v>
      </c>
      <c r="AZ33" s="102">
        <f t="shared" si="18"/>
        <v>0</v>
      </c>
    </row>
    <row r="34" spans="1:53" ht="15.75" customHeight="1">
      <c r="A34" s="93" t="s">
        <v>137</v>
      </c>
      <c r="B34" s="330">
        <f t="shared" ref="B34:U34" si="19">C34</f>
        <v>0.02</v>
      </c>
      <c r="C34" s="330">
        <f t="shared" si="19"/>
        <v>0.02</v>
      </c>
      <c r="D34" s="330">
        <f t="shared" si="19"/>
        <v>0.02</v>
      </c>
      <c r="E34" s="330">
        <f t="shared" si="19"/>
        <v>0.02</v>
      </c>
      <c r="F34" s="330">
        <f t="shared" si="19"/>
        <v>0.02</v>
      </c>
      <c r="G34" s="330">
        <f t="shared" si="19"/>
        <v>0.02</v>
      </c>
      <c r="H34" s="330">
        <f t="shared" si="19"/>
        <v>0.02</v>
      </c>
      <c r="I34" s="330">
        <f t="shared" si="19"/>
        <v>0.02</v>
      </c>
      <c r="J34" s="330">
        <f t="shared" si="19"/>
        <v>0.02</v>
      </c>
      <c r="K34" s="330">
        <f t="shared" si="19"/>
        <v>0.02</v>
      </c>
      <c r="L34" s="330">
        <f t="shared" si="19"/>
        <v>0.02</v>
      </c>
      <c r="M34" s="330">
        <f t="shared" si="19"/>
        <v>0.02</v>
      </c>
      <c r="N34" s="330">
        <f t="shared" si="19"/>
        <v>0.02</v>
      </c>
      <c r="O34" s="330">
        <f t="shared" si="19"/>
        <v>0.02</v>
      </c>
      <c r="P34" s="330">
        <f t="shared" si="19"/>
        <v>0.02</v>
      </c>
      <c r="Q34" s="330">
        <f t="shared" si="19"/>
        <v>0.02</v>
      </c>
      <c r="R34" s="330">
        <f t="shared" si="19"/>
        <v>0.02</v>
      </c>
      <c r="S34" s="330">
        <f t="shared" si="19"/>
        <v>0.02</v>
      </c>
      <c r="T34" s="330">
        <f t="shared" si="19"/>
        <v>0.02</v>
      </c>
      <c r="U34" s="330">
        <f t="shared" si="19"/>
        <v>0.02</v>
      </c>
      <c r="V34" s="252">
        <f>Inputs!B19</f>
        <v>0.02</v>
      </c>
      <c r="W34" s="331">
        <f t="shared" ref="W34:AZ34" si="20">V34</f>
        <v>0.02</v>
      </c>
      <c r="X34" s="331">
        <f t="shared" si="20"/>
        <v>0.02</v>
      </c>
      <c r="Y34" s="331">
        <f t="shared" si="20"/>
        <v>0.02</v>
      </c>
      <c r="Z34" s="331">
        <f t="shared" si="20"/>
        <v>0.02</v>
      </c>
      <c r="AA34" s="331">
        <f t="shared" si="20"/>
        <v>0.02</v>
      </c>
      <c r="AB34" s="331">
        <f t="shared" si="20"/>
        <v>0.02</v>
      </c>
      <c r="AC34" s="331">
        <f t="shared" si="20"/>
        <v>0.02</v>
      </c>
      <c r="AD34" s="331">
        <f t="shared" si="20"/>
        <v>0.02</v>
      </c>
      <c r="AE34" s="331">
        <f t="shared" si="20"/>
        <v>0.02</v>
      </c>
      <c r="AF34" s="331">
        <f t="shared" si="20"/>
        <v>0.02</v>
      </c>
      <c r="AG34" s="331">
        <f t="shared" si="20"/>
        <v>0.02</v>
      </c>
      <c r="AH34" s="331">
        <f t="shared" si="20"/>
        <v>0.02</v>
      </c>
      <c r="AI34" s="331">
        <f t="shared" si="20"/>
        <v>0.02</v>
      </c>
      <c r="AJ34" s="331">
        <f t="shared" si="20"/>
        <v>0.02</v>
      </c>
      <c r="AK34" s="331">
        <f t="shared" si="20"/>
        <v>0.02</v>
      </c>
      <c r="AL34" s="331">
        <f t="shared" si="20"/>
        <v>0.02</v>
      </c>
      <c r="AM34" s="331">
        <f t="shared" si="20"/>
        <v>0.02</v>
      </c>
      <c r="AN34" s="331">
        <f t="shared" si="20"/>
        <v>0.02</v>
      </c>
      <c r="AO34" s="331">
        <f t="shared" si="20"/>
        <v>0.02</v>
      </c>
      <c r="AP34" s="331">
        <f t="shared" si="20"/>
        <v>0.02</v>
      </c>
      <c r="AQ34" s="331">
        <f t="shared" si="20"/>
        <v>0.02</v>
      </c>
      <c r="AR34" s="331">
        <f t="shared" si="20"/>
        <v>0.02</v>
      </c>
      <c r="AS34" s="331">
        <f t="shared" si="20"/>
        <v>0.02</v>
      </c>
      <c r="AT34" s="331">
        <f t="shared" si="20"/>
        <v>0.02</v>
      </c>
      <c r="AU34" s="331">
        <f t="shared" si="20"/>
        <v>0.02</v>
      </c>
      <c r="AV34" s="331">
        <f t="shared" si="20"/>
        <v>0.02</v>
      </c>
      <c r="AW34" s="331">
        <f t="shared" si="20"/>
        <v>0.02</v>
      </c>
      <c r="AX34" s="331">
        <f t="shared" si="20"/>
        <v>0.02</v>
      </c>
      <c r="AY34" s="331">
        <f t="shared" si="20"/>
        <v>0.02</v>
      </c>
      <c r="AZ34" s="331">
        <f t="shared" si="20"/>
        <v>0.02</v>
      </c>
    </row>
    <row r="35" spans="1:53" ht="15.75" customHeight="1">
      <c r="A35" s="93"/>
      <c r="B35" s="93"/>
      <c r="C35" s="93"/>
      <c r="D35" s="93"/>
      <c r="E35" s="93"/>
      <c r="F35" s="93"/>
      <c r="G35" s="93"/>
      <c r="H35" s="93"/>
      <c r="I35" s="93"/>
      <c r="J35" s="93"/>
      <c r="K35" s="93"/>
      <c r="L35" s="93"/>
      <c r="M35" s="93"/>
      <c r="N35" s="93"/>
      <c r="O35" s="93"/>
      <c r="P35" s="93"/>
      <c r="Q35" s="93"/>
      <c r="R35" s="93"/>
      <c r="S35" s="93"/>
      <c r="T35" s="93"/>
      <c r="U35" s="93"/>
      <c r="V35" s="88"/>
      <c r="W35" s="331"/>
      <c r="X35" s="331"/>
      <c r="Y35" s="331"/>
      <c r="Z35" s="331"/>
      <c r="AA35" s="331"/>
      <c r="AB35" s="331"/>
      <c r="AC35" s="331"/>
      <c r="AD35" s="331"/>
      <c r="AE35" s="331"/>
      <c r="AF35" s="331"/>
      <c r="AG35" s="331"/>
      <c r="AH35" s="331"/>
      <c r="AI35" s="331"/>
      <c r="AJ35" s="331"/>
      <c r="AK35" s="331"/>
      <c r="AL35" s="331"/>
      <c r="AM35" s="331"/>
      <c r="AN35" s="331"/>
      <c r="AO35" s="331"/>
      <c r="AP35" s="331"/>
      <c r="AQ35" s="331"/>
      <c r="AR35" s="331"/>
      <c r="AS35" s="331"/>
      <c r="AT35" s="331"/>
      <c r="AU35" s="331"/>
      <c r="AV35" s="331"/>
      <c r="AW35" s="331"/>
      <c r="AX35" s="331"/>
      <c r="AY35" s="331"/>
      <c r="AZ35" s="331"/>
    </row>
    <row r="36" spans="1:53" ht="15.75" customHeight="1">
      <c r="A36" s="93" t="s">
        <v>140</v>
      </c>
      <c r="B36" s="93"/>
      <c r="C36" s="93"/>
      <c r="D36" s="93"/>
      <c r="E36" s="93"/>
      <c r="F36" s="93"/>
      <c r="G36" s="93"/>
      <c r="H36" s="93"/>
      <c r="I36" s="93"/>
      <c r="J36" s="93"/>
      <c r="K36" s="93"/>
      <c r="L36" s="93"/>
      <c r="M36" s="93"/>
      <c r="N36" s="93"/>
      <c r="O36" s="93"/>
      <c r="P36" s="93"/>
      <c r="Q36" s="93"/>
      <c r="R36" s="93"/>
      <c r="S36" s="93"/>
      <c r="T36" s="93"/>
      <c r="U36" s="93"/>
      <c r="W36">
        <f t="shared" ref="W36:BA36" si="21">SUM(W38:W63)</f>
        <v>27</v>
      </c>
      <c r="X36">
        <f t="shared" si="21"/>
        <v>0</v>
      </c>
      <c r="Y36">
        <f t="shared" si="21"/>
        <v>26.9</v>
      </c>
      <c r="Z36">
        <f t="shared" si="21"/>
        <v>0</v>
      </c>
      <c r="AA36">
        <f t="shared" si="21"/>
        <v>18</v>
      </c>
      <c r="AB36">
        <f t="shared" si="21"/>
        <v>0</v>
      </c>
      <c r="AC36">
        <f t="shared" si="21"/>
        <v>0</v>
      </c>
      <c r="AD36">
        <f t="shared" si="21"/>
        <v>0</v>
      </c>
      <c r="AE36">
        <f t="shared" si="21"/>
        <v>0</v>
      </c>
      <c r="AF36">
        <f t="shared" si="21"/>
        <v>0</v>
      </c>
      <c r="AG36">
        <f t="shared" si="21"/>
        <v>16.899999999999999</v>
      </c>
      <c r="AH36">
        <f t="shared" si="21"/>
        <v>0</v>
      </c>
      <c r="AI36">
        <f t="shared" si="21"/>
        <v>10.6</v>
      </c>
      <c r="AJ36">
        <f t="shared" si="21"/>
        <v>0</v>
      </c>
      <c r="AK36">
        <f t="shared" si="21"/>
        <v>0</v>
      </c>
      <c r="AL36">
        <f t="shared" si="21"/>
        <v>0</v>
      </c>
      <c r="AM36">
        <f t="shared" si="21"/>
        <v>0</v>
      </c>
      <c r="AN36">
        <f t="shared" si="21"/>
        <v>0</v>
      </c>
      <c r="AO36">
        <f t="shared" si="21"/>
        <v>0</v>
      </c>
      <c r="AP36">
        <f t="shared" si="21"/>
        <v>0</v>
      </c>
      <c r="AQ36">
        <f t="shared" si="21"/>
        <v>2.9</v>
      </c>
      <c r="AR36">
        <f t="shared" si="21"/>
        <v>0</v>
      </c>
      <c r="AS36">
        <f t="shared" si="21"/>
        <v>0</v>
      </c>
      <c r="AT36">
        <f t="shared" si="21"/>
        <v>0</v>
      </c>
      <c r="AU36">
        <f t="shared" si="21"/>
        <v>0</v>
      </c>
      <c r="AV36">
        <f t="shared" si="21"/>
        <v>0</v>
      </c>
      <c r="AW36">
        <f t="shared" si="21"/>
        <v>0</v>
      </c>
      <c r="AX36">
        <f t="shared" si="21"/>
        <v>0</v>
      </c>
      <c r="AY36">
        <f t="shared" si="21"/>
        <v>1.6</v>
      </c>
      <c r="AZ36">
        <f t="shared" si="21"/>
        <v>0</v>
      </c>
      <c r="BA36">
        <f t="shared" si="21"/>
        <v>0</v>
      </c>
    </row>
    <row r="37" spans="1:53" ht="15.75" customHeight="1">
      <c r="A37" s="349" t="s">
        <v>757</v>
      </c>
      <c r="B37" s="349"/>
      <c r="C37" s="349"/>
      <c r="D37" s="349"/>
      <c r="E37" s="349"/>
      <c r="F37" s="349"/>
      <c r="G37" s="349"/>
      <c r="H37" s="349"/>
      <c r="I37" s="349"/>
      <c r="J37" s="349"/>
      <c r="K37" s="349"/>
      <c r="L37" s="349"/>
      <c r="M37" s="349"/>
      <c r="N37" s="349"/>
      <c r="O37" s="349"/>
      <c r="P37" s="349"/>
      <c r="Q37" s="349"/>
      <c r="R37" s="349"/>
      <c r="S37" s="349"/>
      <c r="T37" s="349"/>
      <c r="U37" s="349"/>
      <c r="V37" t="s">
        <v>758</v>
      </c>
      <c r="W37" s="42">
        <v>2020</v>
      </c>
      <c r="X37" s="42">
        <v>2021</v>
      </c>
      <c r="Y37" s="42">
        <v>2022</v>
      </c>
      <c r="Z37" s="42">
        <v>2023</v>
      </c>
      <c r="AA37" s="42">
        <v>2024</v>
      </c>
      <c r="AB37" s="42">
        <v>2025</v>
      </c>
      <c r="AC37" s="42">
        <v>2026</v>
      </c>
      <c r="AD37" s="42">
        <v>2027</v>
      </c>
      <c r="AE37" s="42">
        <v>2028</v>
      </c>
      <c r="AF37" s="42">
        <v>2029</v>
      </c>
      <c r="AG37" s="42">
        <v>2030</v>
      </c>
      <c r="AH37" s="42">
        <v>2031</v>
      </c>
      <c r="AI37" s="42">
        <v>2032</v>
      </c>
      <c r="AJ37" s="42">
        <v>2033</v>
      </c>
      <c r="AK37" s="42">
        <v>2034</v>
      </c>
      <c r="AL37" s="42">
        <v>2035</v>
      </c>
      <c r="AM37" s="42">
        <v>2036</v>
      </c>
      <c r="AN37" s="42">
        <v>2037</v>
      </c>
      <c r="AO37" s="42">
        <v>2038</v>
      </c>
      <c r="AP37" s="42">
        <v>2039</v>
      </c>
      <c r="AQ37" s="42">
        <v>2040</v>
      </c>
      <c r="AR37" s="42">
        <v>2041</v>
      </c>
      <c r="AS37" s="42">
        <v>2042</v>
      </c>
      <c r="AT37" s="42">
        <v>2043</v>
      </c>
      <c r="AU37" s="42">
        <v>2044</v>
      </c>
      <c r="AV37" s="42">
        <v>2045</v>
      </c>
      <c r="AW37" s="42">
        <v>2046</v>
      </c>
      <c r="AX37" s="42">
        <v>2047</v>
      </c>
      <c r="AY37" s="42">
        <v>2048</v>
      </c>
      <c r="AZ37" s="42">
        <v>2049</v>
      </c>
      <c r="BA37" s="42">
        <v>2050</v>
      </c>
    </row>
    <row r="38" spans="1:53" ht="15.75" customHeight="1">
      <c r="A38" s="362">
        <v>1948</v>
      </c>
      <c r="B38" s="350"/>
      <c r="C38" s="350"/>
      <c r="D38" s="350"/>
      <c r="E38" s="350"/>
      <c r="F38" s="350"/>
      <c r="G38" s="350"/>
      <c r="H38" s="350"/>
      <c r="I38" s="350"/>
      <c r="J38" s="350"/>
      <c r="K38" s="350"/>
      <c r="L38" s="350"/>
      <c r="M38" s="350"/>
      <c r="N38" s="350"/>
      <c r="O38" s="350"/>
      <c r="P38" s="350"/>
      <c r="Q38" s="350"/>
      <c r="R38" s="350"/>
      <c r="S38" s="350"/>
      <c r="T38" s="350"/>
      <c r="U38" s="350"/>
      <c r="V38" s="127">
        <v>9</v>
      </c>
      <c r="W38">
        <f t="shared" ref="W38:W82" si="22">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spans="1:53" ht="15.75" customHeight="1">
      <c r="A39" s="362">
        <v>1949</v>
      </c>
      <c r="B39" s="350"/>
      <c r="C39" s="350"/>
      <c r="D39" s="350"/>
      <c r="E39" s="350"/>
      <c r="F39" s="350"/>
      <c r="G39" s="350"/>
      <c r="H39" s="350"/>
      <c r="I39" s="350"/>
      <c r="J39" s="350"/>
      <c r="K39" s="350"/>
      <c r="L39" s="350"/>
      <c r="M39" s="350"/>
      <c r="N39" s="350"/>
      <c r="O39" s="350"/>
      <c r="P39" s="350"/>
      <c r="Q39" s="350"/>
      <c r="R39" s="350"/>
      <c r="S39" s="350"/>
      <c r="T39" s="350"/>
      <c r="U39" s="350"/>
      <c r="V39" s="127">
        <v>18</v>
      </c>
      <c r="W39">
        <f t="shared" si="22"/>
        <v>18</v>
      </c>
      <c r="X39">
        <f t="shared" ref="X39:BA39" si="24">IF(AND(X$37-$A39&gt;$V$25,SUM($W39:W39)&lt;&gt;$V39),$V39,0)</f>
        <v>0</v>
      </c>
      <c r="Y39">
        <f t="shared" si="24"/>
        <v>0</v>
      </c>
      <c r="Z39">
        <f t="shared" si="24"/>
        <v>0</v>
      </c>
      <c r="AA39">
        <f t="shared" si="24"/>
        <v>0</v>
      </c>
      <c r="AB39">
        <f t="shared" si="24"/>
        <v>0</v>
      </c>
      <c r="AC39">
        <f t="shared" si="24"/>
        <v>0</v>
      </c>
      <c r="AD39">
        <f t="shared" si="24"/>
        <v>0</v>
      </c>
      <c r="AE39">
        <f t="shared" si="24"/>
        <v>0</v>
      </c>
      <c r="AF39">
        <f t="shared" si="24"/>
        <v>0</v>
      </c>
      <c r="AG39">
        <f t="shared" si="24"/>
        <v>0</v>
      </c>
      <c r="AH39">
        <f t="shared" si="24"/>
        <v>0</v>
      </c>
      <c r="AI39">
        <f t="shared" si="24"/>
        <v>0</v>
      </c>
      <c r="AJ39">
        <f t="shared" si="24"/>
        <v>0</v>
      </c>
      <c r="AK39">
        <f t="shared" si="24"/>
        <v>0</v>
      </c>
      <c r="AL39">
        <f t="shared" si="24"/>
        <v>0</v>
      </c>
      <c r="AM39">
        <f t="shared" si="24"/>
        <v>0</v>
      </c>
      <c r="AN39">
        <f t="shared" si="24"/>
        <v>0</v>
      </c>
      <c r="AO39">
        <f t="shared" si="24"/>
        <v>0</v>
      </c>
      <c r="AP39">
        <f t="shared" si="24"/>
        <v>0</v>
      </c>
      <c r="AQ39">
        <f t="shared" si="24"/>
        <v>0</v>
      </c>
      <c r="AR39">
        <f t="shared" si="24"/>
        <v>0</v>
      </c>
      <c r="AS39">
        <f t="shared" si="24"/>
        <v>0</v>
      </c>
      <c r="AT39">
        <f t="shared" si="24"/>
        <v>0</v>
      </c>
      <c r="AU39">
        <f t="shared" si="24"/>
        <v>0</v>
      </c>
      <c r="AV39">
        <f t="shared" si="24"/>
        <v>0</v>
      </c>
      <c r="AW39">
        <f t="shared" si="24"/>
        <v>0</v>
      </c>
      <c r="AX39">
        <f t="shared" si="24"/>
        <v>0</v>
      </c>
      <c r="AY39">
        <f t="shared" si="24"/>
        <v>0</v>
      </c>
      <c r="AZ39">
        <f t="shared" si="24"/>
        <v>0</v>
      </c>
      <c r="BA39">
        <f t="shared" si="24"/>
        <v>0</v>
      </c>
    </row>
    <row r="40" spans="1:53" ht="15.75" customHeight="1">
      <c r="A40" s="362">
        <v>1951</v>
      </c>
      <c r="B40" s="350"/>
      <c r="C40" s="350"/>
      <c r="D40" s="350"/>
      <c r="E40" s="350"/>
      <c r="F40" s="350"/>
      <c r="G40" s="350"/>
      <c r="H40" s="350"/>
      <c r="I40" s="350"/>
      <c r="J40" s="350"/>
      <c r="K40" s="350"/>
      <c r="L40" s="350"/>
      <c r="M40" s="350"/>
      <c r="N40" s="350"/>
      <c r="O40" s="350"/>
      <c r="P40" s="350"/>
      <c r="Q40" s="350"/>
      <c r="R40" s="350"/>
      <c r="S40" s="350"/>
      <c r="T40" s="350"/>
      <c r="U40" s="350"/>
      <c r="V40" s="127">
        <v>26.9</v>
      </c>
      <c r="W40">
        <f t="shared" si="22"/>
        <v>0</v>
      </c>
      <c r="X40">
        <f t="shared" ref="X40:BA40" si="25">IF(AND(X$37-$A40&gt;$V$25,SUM($W40:W40)&lt;&gt;$V40),$V40,0)</f>
        <v>0</v>
      </c>
      <c r="Y40">
        <f t="shared" si="25"/>
        <v>26.9</v>
      </c>
      <c r="Z40">
        <f t="shared" si="25"/>
        <v>0</v>
      </c>
      <c r="AA40">
        <f t="shared" si="25"/>
        <v>0</v>
      </c>
      <c r="AB40">
        <f t="shared" si="25"/>
        <v>0</v>
      </c>
      <c r="AC40">
        <f t="shared" si="25"/>
        <v>0</v>
      </c>
      <c r="AD40">
        <f t="shared" si="25"/>
        <v>0</v>
      </c>
      <c r="AE40">
        <f t="shared" si="25"/>
        <v>0</v>
      </c>
      <c r="AF40">
        <f t="shared" si="25"/>
        <v>0</v>
      </c>
      <c r="AG40">
        <f t="shared" si="25"/>
        <v>0</v>
      </c>
      <c r="AH40">
        <f t="shared" si="25"/>
        <v>0</v>
      </c>
      <c r="AI40">
        <f t="shared" si="25"/>
        <v>0</v>
      </c>
      <c r="AJ40">
        <f t="shared" si="25"/>
        <v>0</v>
      </c>
      <c r="AK40">
        <f t="shared" si="25"/>
        <v>0</v>
      </c>
      <c r="AL40">
        <f t="shared" si="25"/>
        <v>0</v>
      </c>
      <c r="AM40">
        <f t="shared" si="25"/>
        <v>0</v>
      </c>
      <c r="AN40">
        <f t="shared" si="25"/>
        <v>0</v>
      </c>
      <c r="AO40">
        <f t="shared" si="25"/>
        <v>0</v>
      </c>
      <c r="AP40">
        <f t="shared" si="25"/>
        <v>0</v>
      </c>
      <c r="AQ40">
        <f t="shared" si="25"/>
        <v>0</v>
      </c>
      <c r="AR40">
        <f t="shared" si="25"/>
        <v>0</v>
      </c>
      <c r="AS40">
        <f t="shared" si="25"/>
        <v>0</v>
      </c>
      <c r="AT40">
        <f t="shared" si="25"/>
        <v>0</v>
      </c>
      <c r="AU40">
        <f t="shared" si="25"/>
        <v>0</v>
      </c>
      <c r="AV40">
        <f t="shared" si="25"/>
        <v>0</v>
      </c>
      <c r="AW40">
        <f t="shared" si="25"/>
        <v>0</v>
      </c>
      <c r="AX40">
        <f t="shared" si="25"/>
        <v>0</v>
      </c>
      <c r="AY40">
        <f t="shared" si="25"/>
        <v>0</v>
      </c>
      <c r="AZ40">
        <f t="shared" si="25"/>
        <v>0</v>
      </c>
      <c r="BA40">
        <f t="shared" si="25"/>
        <v>0</v>
      </c>
    </row>
    <row r="41" spans="1:53" ht="15.75" customHeight="1">
      <c r="A41" s="362">
        <v>1953</v>
      </c>
      <c r="B41" s="350"/>
      <c r="C41" s="350"/>
      <c r="D41" s="350"/>
      <c r="E41" s="350"/>
      <c r="F41" s="350"/>
      <c r="G41" s="350"/>
      <c r="H41" s="350"/>
      <c r="I41" s="350"/>
      <c r="J41" s="350"/>
      <c r="K41" s="350"/>
      <c r="L41" s="350"/>
      <c r="M41" s="350"/>
      <c r="N41" s="350"/>
      <c r="O41" s="350"/>
      <c r="P41" s="350"/>
      <c r="Q41" s="350"/>
      <c r="R41" s="350"/>
      <c r="S41" s="350"/>
      <c r="T41" s="350"/>
      <c r="U41" s="350"/>
      <c r="V41" s="127">
        <v>18</v>
      </c>
      <c r="W41">
        <f t="shared" si="22"/>
        <v>0</v>
      </c>
      <c r="X41">
        <f t="shared" ref="X41:BA41" si="26">IF(AND(X$37-$A41&gt;$V$25,SUM($W41:W41)&lt;&gt;$V41),$V41,0)</f>
        <v>0</v>
      </c>
      <c r="Y41">
        <f t="shared" si="26"/>
        <v>0</v>
      </c>
      <c r="Z41">
        <f t="shared" si="26"/>
        <v>0</v>
      </c>
      <c r="AA41">
        <f t="shared" si="26"/>
        <v>18</v>
      </c>
      <c r="AB41">
        <f t="shared" si="26"/>
        <v>0</v>
      </c>
      <c r="AC41">
        <f t="shared" si="26"/>
        <v>0</v>
      </c>
      <c r="AD41">
        <f t="shared" si="26"/>
        <v>0</v>
      </c>
      <c r="AE41">
        <f t="shared" si="26"/>
        <v>0</v>
      </c>
      <c r="AF41">
        <f t="shared" si="26"/>
        <v>0</v>
      </c>
      <c r="AG41">
        <f t="shared" si="26"/>
        <v>0</v>
      </c>
      <c r="AH41">
        <f t="shared" si="26"/>
        <v>0</v>
      </c>
      <c r="AI41">
        <f t="shared" si="26"/>
        <v>0</v>
      </c>
      <c r="AJ41">
        <f t="shared" si="26"/>
        <v>0</v>
      </c>
      <c r="AK41">
        <f t="shared" si="26"/>
        <v>0</v>
      </c>
      <c r="AL41">
        <f t="shared" si="26"/>
        <v>0</v>
      </c>
      <c r="AM41">
        <f t="shared" si="26"/>
        <v>0</v>
      </c>
      <c r="AN41">
        <f t="shared" si="26"/>
        <v>0</v>
      </c>
      <c r="AO41">
        <f t="shared" si="26"/>
        <v>0</v>
      </c>
      <c r="AP41">
        <f t="shared" si="26"/>
        <v>0</v>
      </c>
      <c r="AQ41">
        <f t="shared" si="26"/>
        <v>0</v>
      </c>
      <c r="AR41">
        <f t="shared" si="26"/>
        <v>0</v>
      </c>
      <c r="AS41">
        <f t="shared" si="26"/>
        <v>0</v>
      </c>
      <c r="AT41">
        <f t="shared" si="26"/>
        <v>0</v>
      </c>
      <c r="AU41">
        <f t="shared" si="26"/>
        <v>0</v>
      </c>
      <c r="AV41">
        <f t="shared" si="26"/>
        <v>0</v>
      </c>
      <c r="AW41">
        <f t="shared" si="26"/>
        <v>0</v>
      </c>
      <c r="AX41">
        <f t="shared" si="26"/>
        <v>0</v>
      </c>
      <c r="AY41">
        <f t="shared" si="26"/>
        <v>0</v>
      </c>
      <c r="AZ41">
        <f t="shared" si="26"/>
        <v>0</v>
      </c>
      <c r="BA41">
        <f t="shared" si="26"/>
        <v>0</v>
      </c>
    </row>
    <row r="42" spans="1:53" ht="15.75" customHeight="1">
      <c r="A42" s="362">
        <v>1959</v>
      </c>
      <c r="B42" s="350"/>
      <c r="C42" s="350"/>
      <c r="D42" s="350"/>
      <c r="E42" s="350"/>
      <c r="F42" s="350"/>
      <c r="G42" s="350"/>
      <c r="H42" s="350"/>
      <c r="I42" s="350"/>
      <c r="J42" s="350"/>
      <c r="K42" s="350"/>
      <c r="L42" s="350"/>
      <c r="M42" s="350"/>
      <c r="N42" s="350"/>
      <c r="O42" s="350"/>
      <c r="P42" s="350"/>
      <c r="Q42" s="350"/>
      <c r="R42" s="350"/>
      <c r="S42" s="350"/>
      <c r="T42" s="350"/>
      <c r="U42" s="350"/>
      <c r="V42" s="127">
        <v>16.899999999999999</v>
      </c>
      <c r="W42">
        <f t="shared" si="22"/>
        <v>0</v>
      </c>
      <c r="X42">
        <f t="shared" ref="X42:BA42" si="27">IF(AND(X$37-$A42&gt;$V$25,SUM($W42:W42)&lt;&gt;$V42),$V42,0)</f>
        <v>0</v>
      </c>
      <c r="Y42">
        <f t="shared" si="27"/>
        <v>0</v>
      </c>
      <c r="Z42">
        <f t="shared" si="27"/>
        <v>0</v>
      </c>
      <c r="AA42">
        <f t="shared" si="27"/>
        <v>0</v>
      </c>
      <c r="AB42">
        <f t="shared" si="27"/>
        <v>0</v>
      </c>
      <c r="AC42">
        <f t="shared" si="27"/>
        <v>0</v>
      </c>
      <c r="AD42">
        <f t="shared" si="27"/>
        <v>0</v>
      </c>
      <c r="AE42">
        <f t="shared" si="27"/>
        <v>0</v>
      </c>
      <c r="AF42">
        <f t="shared" si="27"/>
        <v>0</v>
      </c>
      <c r="AG42">
        <f t="shared" si="27"/>
        <v>16.899999999999999</v>
      </c>
      <c r="AH42">
        <f t="shared" si="27"/>
        <v>0</v>
      </c>
      <c r="AI42">
        <f t="shared" si="27"/>
        <v>0</v>
      </c>
      <c r="AJ42">
        <f t="shared" si="27"/>
        <v>0</v>
      </c>
      <c r="AK42">
        <f t="shared" si="27"/>
        <v>0</v>
      </c>
      <c r="AL42">
        <f t="shared" si="27"/>
        <v>0</v>
      </c>
      <c r="AM42">
        <f t="shared" si="27"/>
        <v>0</v>
      </c>
      <c r="AN42">
        <f t="shared" si="27"/>
        <v>0</v>
      </c>
      <c r="AO42">
        <f t="shared" si="27"/>
        <v>0</v>
      </c>
      <c r="AP42">
        <f t="shared" si="27"/>
        <v>0</v>
      </c>
      <c r="AQ42">
        <f t="shared" si="27"/>
        <v>0</v>
      </c>
      <c r="AR42">
        <f t="shared" si="27"/>
        <v>0</v>
      </c>
      <c r="AS42">
        <f t="shared" si="27"/>
        <v>0</v>
      </c>
      <c r="AT42">
        <f t="shared" si="27"/>
        <v>0</v>
      </c>
      <c r="AU42">
        <f t="shared" si="27"/>
        <v>0</v>
      </c>
      <c r="AV42">
        <f t="shared" si="27"/>
        <v>0</v>
      </c>
      <c r="AW42">
        <f t="shared" si="27"/>
        <v>0</v>
      </c>
      <c r="AX42">
        <f t="shared" si="27"/>
        <v>0</v>
      </c>
      <c r="AY42">
        <f t="shared" si="27"/>
        <v>0</v>
      </c>
      <c r="AZ42">
        <f t="shared" si="27"/>
        <v>0</v>
      </c>
      <c r="BA42">
        <f t="shared" si="27"/>
        <v>0</v>
      </c>
    </row>
    <row r="43" spans="1:53" ht="15.75" customHeight="1">
      <c r="A43" s="362">
        <v>1961</v>
      </c>
      <c r="B43" s="350"/>
      <c r="C43" s="350"/>
      <c r="D43" s="350"/>
      <c r="E43" s="350"/>
      <c r="F43" s="350"/>
      <c r="G43" s="350"/>
      <c r="H43" s="350"/>
      <c r="I43" s="350"/>
      <c r="J43" s="350"/>
      <c r="K43" s="350"/>
      <c r="L43" s="350"/>
      <c r="M43" s="350"/>
      <c r="N43" s="350"/>
      <c r="O43" s="350"/>
      <c r="P43" s="350"/>
      <c r="Q43" s="350"/>
      <c r="R43" s="350"/>
      <c r="S43" s="350"/>
      <c r="T43" s="350"/>
      <c r="U43" s="350"/>
      <c r="V43" s="127">
        <v>10.6</v>
      </c>
      <c r="W43">
        <f t="shared" si="22"/>
        <v>0</v>
      </c>
      <c r="X43">
        <f t="shared" ref="X43:BA43" si="28">IF(AND(X$37-$A43&gt;$V$25,SUM($W43:W43)&lt;&gt;$V43),$V43,0)</f>
        <v>0</v>
      </c>
      <c r="Y43">
        <f t="shared" si="28"/>
        <v>0</v>
      </c>
      <c r="Z43">
        <f t="shared" si="28"/>
        <v>0</v>
      </c>
      <c r="AA43">
        <f t="shared" si="28"/>
        <v>0</v>
      </c>
      <c r="AB43">
        <f t="shared" si="28"/>
        <v>0</v>
      </c>
      <c r="AC43">
        <f t="shared" si="28"/>
        <v>0</v>
      </c>
      <c r="AD43">
        <f t="shared" si="28"/>
        <v>0</v>
      </c>
      <c r="AE43">
        <f t="shared" si="28"/>
        <v>0</v>
      </c>
      <c r="AF43">
        <f t="shared" si="28"/>
        <v>0</v>
      </c>
      <c r="AG43">
        <f t="shared" si="28"/>
        <v>0</v>
      </c>
      <c r="AH43">
        <f t="shared" si="28"/>
        <v>0</v>
      </c>
      <c r="AI43">
        <f t="shared" si="28"/>
        <v>10.6</v>
      </c>
      <c r="AJ43">
        <f t="shared" si="28"/>
        <v>0</v>
      </c>
      <c r="AK43">
        <f t="shared" si="28"/>
        <v>0</v>
      </c>
      <c r="AL43">
        <f t="shared" si="28"/>
        <v>0</v>
      </c>
      <c r="AM43">
        <f t="shared" si="28"/>
        <v>0</v>
      </c>
      <c r="AN43">
        <f t="shared" si="28"/>
        <v>0</v>
      </c>
      <c r="AO43">
        <f t="shared" si="28"/>
        <v>0</v>
      </c>
      <c r="AP43">
        <f t="shared" si="28"/>
        <v>0</v>
      </c>
      <c r="AQ43">
        <f t="shared" si="28"/>
        <v>0</v>
      </c>
      <c r="AR43">
        <f t="shared" si="28"/>
        <v>0</v>
      </c>
      <c r="AS43">
        <f t="shared" si="28"/>
        <v>0</v>
      </c>
      <c r="AT43">
        <f t="shared" si="28"/>
        <v>0</v>
      </c>
      <c r="AU43">
        <f t="shared" si="28"/>
        <v>0</v>
      </c>
      <c r="AV43">
        <f t="shared" si="28"/>
        <v>0</v>
      </c>
      <c r="AW43">
        <f t="shared" si="28"/>
        <v>0</v>
      </c>
      <c r="AX43">
        <f t="shared" si="28"/>
        <v>0</v>
      </c>
      <c r="AY43">
        <f t="shared" si="28"/>
        <v>0</v>
      </c>
      <c r="AZ43">
        <f t="shared" si="28"/>
        <v>0</v>
      </c>
      <c r="BA43">
        <f t="shared" si="28"/>
        <v>0</v>
      </c>
    </row>
    <row r="44" spans="1:53" ht="15.75" customHeight="1">
      <c r="A44" s="362">
        <v>1969</v>
      </c>
      <c r="B44" s="350"/>
      <c r="C44" s="350"/>
      <c r="D44" s="350"/>
      <c r="E44" s="350"/>
      <c r="F44" s="350"/>
      <c r="G44" s="350"/>
      <c r="H44" s="350"/>
      <c r="I44" s="350"/>
      <c r="J44" s="350"/>
      <c r="K44" s="350"/>
      <c r="L44" s="350"/>
      <c r="M44" s="350"/>
      <c r="N44" s="350"/>
      <c r="O44" s="350"/>
      <c r="P44" s="350"/>
      <c r="Q44" s="350"/>
      <c r="R44" s="350"/>
      <c r="S44" s="350"/>
      <c r="T44" s="350"/>
      <c r="U44" s="350"/>
      <c r="V44" s="127">
        <v>2.9</v>
      </c>
      <c r="W44">
        <f t="shared" si="22"/>
        <v>0</v>
      </c>
      <c r="X44">
        <f t="shared" ref="X44:BA44" si="29">IF(AND(X$37-$A44&gt;$V$25,SUM($W44:W44)&lt;&gt;$V44),$V44,0)</f>
        <v>0</v>
      </c>
      <c r="Y44">
        <f t="shared" si="29"/>
        <v>0</v>
      </c>
      <c r="Z44">
        <f t="shared" si="29"/>
        <v>0</v>
      </c>
      <c r="AA44">
        <f t="shared" si="29"/>
        <v>0</v>
      </c>
      <c r="AB44">
        <f t="shared" si="29"/>
        <v>0</v>
      </c>
      <c r="AC44">
        <f t="shared" si="29"/>
        <v>0</v>
      </c>
      <c r="AD44">
        <f t="shared" si="29"/>
        <v>0</v>
      </c>
      <c r="AE44">
        <f t="shared" si="29"/>
        <v>0</v>
      </c>
      <c r="AF44">
        <f t="shared" si="29"/>
        <v>0</v>
      </c>
      <c r="AG44">
        <f t="shared" si="29"/>
        <v>0</v>
      </c>
      <c r="AH44">
        <f t="shared" si="29"/>
        <v>0</v>
      </c>
      <c r="AI44">
        <f t="shared" si="29"/>
        <v>0</v>
      </c>
      <c r="AJ44">
        <f t="shared" si="29"/>
        <v>0</v>
      </c>
      <c r="AK44">
        <f t="shared" si="29"/>
        <v>0</v>
      </c>
      <c r="AL44">
        <f t="shared" si="29"/>
        <v>0</v>
      </c>
      <c r="AM44">
        <f t="shared" si="29"/>
        <v>0</v>
      </c>
      <c r="AN44">
        <f t="shared" si="29"/>
        <v>0</v>
      </c>
      <c r="AO44">
        <f t="shared" si="29"/>
        <v>0</v>
      </c>
      <c r="AP44">
        <f t="shared" si="29"/>
        <v>0</v>
      </c>
      <c r="AQ44">
        <f t="shared" si="29"/>
        <v>2.9</v>
      </c>
      <c r="AR44">
        <f t="shared" si="29"/>
        <v>0</v>
      </c>
      <c r="AS44">
        <f t="shared" si="29"/>
        <v>0</v>
      </c>
      <c r="AT44">
        <f t="shared" si="29"/>
        <v>0</v>
      </c>
      <c r="AU44">
        <f t="shared" si="29"/>
        <v>0</v>
      </c>
      <c r="AV44">
        <f t="shared" si="29"/>
        <v>0</v>
      </c>
      <c r="AW44">
        <f t="shared" si="29"/>
        <v>0</v>
      </c>
      <c r="AX44">
        <f t="shared" si="29"/>
        <v>0</v>
      </c>
      <c r="AY44">
        <f t="shared" si="29"/>
        <v>0</v>
      </c>
      <c r="AZ44">
        <f t="shared" si="29"/>
        <v>0</v>
      </c>
      <c r="BA44">
        <f t="shared" si="29"/>
        <v>0</v>
      </c>
    </row>
    <row r="45" spans="1:53" ht="15.75" customHeight="1">
      <c r="A45" s="362">
        <v>1977</v>
      </c>
      <c r="B45" s="350"/>
      <c r="C45" s="350"/>
      <c r="D45" s="350"/>
      <c r="E45" s="350"/>
      <c r="F45" s="350"/>
      <c r="G45" s="350"/>
      <c r="H45" s="350"/>
      <c r="I45" s="350"/>
      <c r="J45" s="350"/>
      <c r="K45" s="350"/>
      <c r="L45" s="350"/>
      <c r="M45" s="350"/>
      <c r="N45" s="350"/>
      <c r="O45" s="350"/>
      <c r="P45" s="350"/>
      <c r="Q45" s="350"/>
      <c r="R45" s="350"/>
      <c r="S45" s="350"/>
      <c r="T45" s="350"/>
      <c r="U45" s="350"/>
      <c r="V45" s="127">
        <v>1.6</v>
      </c>
      <c r="W45">
        <f t="shared" si="22"/>
        <v>0</v>
      </c>
      <c r="X45">
        <f t="shared" ref="X45:BA45" si="30">IF(AND(X$37-$A45&gt;$V$25,SUM($W45:W45)&lt;&gt;$V45),$V45,0)</f>
        <v>0</v>
      </c>
      <c r="Y45">
        <f t="shared" si="30"/>
        <v>0</v>
      </c>
      <c r="Z45">
        <f t="shared" si="30"/>
        <v>0</v>
      </c>
      <c r="AA45">
        <f t="shared" si="30"/>
        <v>0</v>
      </c>
      <c r="AB45">
        <f t="shared" si="30"/>
        <v>0</v>
      </c>
      <c r="AC45">
        <f t="shared" si="30"/>
        <v>0</v>
      </c>
      <c r="AD45">
        <f t="shared" si="30"/>
        <v>0</v>
      </c>
      <c r="AE45">
        <f t="shared" si="30"/>
        <v>0</v>
      </c>
      <c r="AF45">
        <f t="shared" si="30"/>
        <v>0</v>
      </c>
      <c r="AG45">
        <f t="shared" si="30"/>
        <v>0</v>
      </c>
      <c r="AH45">
        <f t="shared" si="30"/>
        <v>0</v>
      </c>
      <c r="AI45">
        <f t="shared" si="30"/>
        <v>0</v>
      </c>
      <c r="AJ45">
        <f t="shared" si="30"/>
        <v>0</v>
      </c>
      <c r="AK45">
        <f t="shared" si="30"/>
        <v>0</v>
      </c>
      <c r="AL45">
        <f t="shared" si="30"/>
        <v>0</v>
      </c>
      <c r="AM45">
        <f t="shared" si="30"/>
        <v>0</v>
      </c>
      <c r="AN45">
        <f t="shared" si="30"/>
        <v>0</v>
      </c>
      <c r="AO45">
        <f t="shared" si="30"/>
        <v>0</v>
      </c>
      <c r="AP45">
        <f t="shared" si="30"/>
        <v>0</v>
      </c>
      <c r="AQ45">
        <f t="shared" si="30"/>
        <v>0</v>
      </c>
      <c r="AR45">
        <f t="shared" si="30"/>
        <v>0</v>
      </c>
      <c r="AS45">
        <f t="shared" si="30"/>
        <v>0</v>
      </c>
      <c r="AT45">
        <f t="shared" si="30"/>
        <v>0</v>
      </c>
      <c r="AU45">
        <f t="shared" si="30"/>
        <v>0</v>
      </c>
      <c r="AV45">
        <f t="shared" si="30"/>
        <v>0</v>
      </c>
      <c r="AW45">
        <f t="shared" si="30"/>
        <v>0</v>
      </c>
      <c r="AX45">
        <f t="shared" si="30"/>
        <v>0</v>
      </c>
      <c r="AY45">
        <f t="shared" si="30"/>
        <v>1.6</v>
      </c>
      <c r="AZ45">
        <f t="shared" si="30"/>
        <v>0</v>
      </c>
      <c r="BA45">
        <f t="shared" si="30"/>
        <v>0</v>
      </c>
    </row>
    <row r="46" spans="1:53" ht="15.75" customHeight="1">
      <c r="A46" s="362">
        <v>1980</v>
      </c>
      <c r="B46" s="350"/>
      <c r="C46" s="350"/>
      <c r="D46" s="350"/>
      <c r="E46" s="350"/>
      <c r="F46" s="350"/>
      <c r="G46" s="350"/>
      <c r="H46" s="350"/>
      <c r="I46" s="350"/>
      <c r="J46" s="350"/>
      <c r="K46" s="350"/>
      <c r="L46" s="350"/>
      <c r="M46" s="350"/>
      <c r="N46" s="350"/>
      <c r="O46" s="350"/>
      <c r="P46" s="350"/>
      <c r="Q46" s="350"/>
      <c r="R46" s="350"/>
      <c r="S46" s="350"/>
      <c r="T46" s="350"/>
      <c r="U46" s="350"/>
      <c r="V46" s="127">
        <v>36</v>
      </c>
      <c r="W46">
        <f t="shared" si="22"/>
        <v>0</v>
      </c>
      <c r="X46">
        <f t="shared" ref="X46:BA46" si="31">IF(AND(X$37-$A46&gt;$V$25,SUM($W46:W46)&lt;&gt;$V46),$V46,0)</f>
        <v>0</v>
      </c>
      <c r="Y46">
        <f t="shared" si="31"/>
        <v>0</v>
      </c>
      <c r="Z46">
        <f t="shared" si="31"/>
        <v>0</v>
      </c>
      <c r="AA46">
        <f t="shared" si="31"/>
        <v>0</v>
      </c>
      <c r="AB46">
        <f t="shared" si="31"/>
        <v>0</v>
      </c>
      <c r="AC46">
        <f t="shared" si="31"/>
        <v>0</v>
      </c>
      <c r="AD46">
        <f t="shared" si="31"/>
        <v>0</v>
      </c>
      <c r="AE46">
        <f t="shared" si="31"/>
        <v>0</v>
      </c>
      <c r="AF46">
        <f t="shared" si="31"/>
        <v>0</v>
      </c>
      <c r="AG46">
        <f t="shared" si="31"/>
        <v>0</v>
      </c>
      <c r="AH46">
        <f t="shared" si="31"/>
        <v>0</v>
      </c>
      <c r="AI46">
        <f t="shared" si="31"/>
        <v>0</v>
      </c>
      <c r="AJ46">
        <f t="shared" si="31"/>
        <v>0</v>
      </c>
      <c r="AK46">
        <f t="shared" si="31"/>
        <v>0</v>
      </c>
      <c r="AL46">
        <f t="shared" si="31"/>
        <v>0</v>
      </c>
      <c r="AM46">
        <f t="shared" si="31"/>
        <v>0</v>
      </c>
      <c r="AN46">
        <f t="shared" si="31"/>
        <v>0</v>
      </c>
      <c r="AO46">
        <f t="shared" si="31"/>
        <v>0</v>
      </c>
      <c r="AP46">
        <f t="shared" si="31"/>
        <v>0</v>
      </c>
      <c r="AQ46">
        <f t="shared" si="31"/>
        <v>0</v>
      </c>
      <c r="AR46">
        <f t="shared" si="31"/>
        <v>0</v>
      </c>
      <c r="AS46">
        <f t="shared" si="31"/>
        <v>0</v>
      </c>
      <c r="AT46">
        <f t="shared" si="31"/>
        <v>0</v>
      </c>
      <c r="AU46">
        <f t="shared" si="31"/>
        <v>0</v>
      </c>
      <c r="AV46">
        <f t="shared" si="31"/>
        <v>0</v>
      </c>
      <c r="AW46">
        <f t="shared" si="31"/>
        <v>0</v>
      </c>
      <c r="AX46">
        <f t="shared" si="31"/>
        <v>0</v>
      </c>
      <c r="AY46">
        <f t="shared" si="31"/>
        <v>0</v>
      </c>
      <c r="AZ46">
        <f t="shared" si="31"/>
        <v>0</v>
      </c>
      <c r="BA46">
        <f t="shared" si="31"/>
        <v>0</v>
      </c>
    </row>
    <row r="47" spans="1:53" ht="15.75" customHeight="1">
      <c r="A47" s="362">
        <v>1981</v>
      </c>
      <c r="B47" s="350"/>
      <c r="C47" s="350"/>
      <c r="D47" s="350"/>
      <c r="E47" s="350"/>
      <c r="F47" s="350"/>
      <c r="G47" s="350"/>
      <c r="H47" s="350"/>
      <c r="I47" s="350"/>
      <c r="J47" s="350"/>
      <c r="K47" s="350"/>
      <c r="L47" s="350"/>
      <c r="M47" s="350"/>
      <c r="N47" s="350"/>
      <c r="O47" s="350"/>
      <c r="P47" s="350"/>
      <c r="Q47" s="350"/>
      <c r="R47" s="350"/>
      <c r="S47" s="350"/>
      <c r="T47" s="350"/>
      <c r="U47" s="350"/>
      <c r="V47" s="127">
        <v>71.599999999999994</v>
      </c>
      <c r="W47">
        <f t="shared" si="22"/>
        <v>0</v>
      </c>
      <c r="X47">
        <f t="shared" ref="X47:BA47" si="32">IF(AND(X$37-$A47&gt;$V$25,SUM($W47:W47)&lt;&gt;$V47),$V47,0)</f>
        <v>0</v>
      </c>
      <c r="Y47">
        <f t="shared" si="32"/>
        <v>0</v>
      </c>
      <c r="Z47">
        <f t="shared" si="32"/>
        <v>0</v>
      </c>
      <c r="AA47">
        <f t="shared" si="32"/>
        <v>0</v>
      </c>
      <c r="AB47">
        <f t="shared" si="32"/>
        <v>0</v>
      </c>
      <c r="AC47">
        <f t="shared" si="32"/>
        <v>0</v>
      </c>
      <c r="AD47">
        <f t="shared" si="32"/>
        <v>0</v>
      </c>
      <c r="AE47">
        <f t="shared" si="32"/>
        <v>0</v>
      </c>
      <c r="AF47">
        <f t="shared" si="32"/>
        <v>0</v>
      </c>
      <c r="AG47">
        <f t="shared" si="32"/>
        <v>0</v>
      </c>
      <c r="AH47">
        <f t="shared" si="32"/>
        <v>0</v>
      </c>
      <c r="AI47">
        <f t="shared" si="32"/>
        <v>0</v>
      </c>
      <c r="AJ47">
        <f t="shared" si="32"/>
        <v>0</v>
      </c>
      <c r="AK47">
        <f t="shared" si="32"/>
        <v>0</v>
      </c>
      <c r="AL47">
        <f t="shared" si="32"/>
        <v>0</v>
      </c>
      <c r="AM47">
        <f t="shared" si="32"/>
        <v>0</v>
      </c>
      <c r="AN47">
        <f t="shared" si="32"/>
        <v>0</v>
      </c>
      <c r="AO47">
        <f t="shared" si="32"/>
        <v>0</v>
      </c>
      <c r="AP47">
        <f t="shared" si="32"/>
        <v>0</v>
      </c>
      <c r="AQ47">
        <f t="shared" si="32"/>
        <v>0</v>
      </c>
      <c r="AR47">
        <f t="shared" si="32"/>
        <v>0</v>
      </c>
      <c r="AS47">
        <f t="shared" si="32"/>
        <v>0</v>
      </c>
      <c r="AT47">
        <f t="shared" si="32"/>
        <v>0</v>
      </c>
      <c r="AU47">
        <f t="shared" si="32"/>
        <v>0</v>
      </c>
      <c r="AV47">
        <f t="shared" si="32"/>
        <v>0</v>
      </c>
      <c r="AW47">
        <f t="shared" si="32"/>
        <v>0</v>
      </c>
      <c r="AX47">
        <f t="shared" si="32"/>
        <v>0</v>
      </c>
      <c r="AY47">
        <f t="shared" si="32"/>
        <v>0</v>
      </c>
      <c r="AZ47">
        <f t="shared" si="32"/>
        <v>0</v>
      </c>
      <c r="BA47">
        <f t="shared" si="32"/>
        <v>0</v>
      </c>
    </row>
    <row r="48" spans="1:53" ht="15.75" customHeight="1">
      <c r="A48" s="362">
        <v>1983</v>
      </c>
      <c r="B48" s="350"/>
      <c r="C48" s="350"/>
      <c r="D48" s="350"/>
      <c r="E48" s="350"/>
      <c r="F48" s="350"/>
      <c r="G48" s="350"/>
      <c r="H48" s="350"/>
      <c r="I48" s="350"/>
      <c r="J48" s="350"/>
      <c r="K48" s="350"/>
      <c r="L48" s="350"/>
      <c r="M48" s="350"/>
      <c r="N48" s="350"/>
      <c r="O48" s="350"/>
      <c r="P48" s="350"/>
      <c r="Q48" s="350"/>
      <c r="R48" s="350"/>
      <c r="S48" s="350"/>
      <c r="T48" s="350"/>
      <c r="U48" s="350"/>
      <c r="V48" s="127">
        <v>41.1</v>
      </c>
      <c r="W48">
        <f t="shared" si="22"/>
        <v>0</v>
      </c>
      <c r="X48">
        <f t="shared" ref="X48:BA48" si="33">IF(AND(X$37-$A48&gt;$V$25,SUM($W48:W48)&lt;&gt;$V48),$V48,0)</f>
        <v>0</v>
      </c>
      <c r="Y48">
        <f t="shared" si="33"/>
        <v>0</v>
      </c>
      <c r="Z48">
        <f t="shared" si="33"/>
        <v>0</v>
      </c>
      <c r="AA48">
        <f t="shared" si="33"/>
        <v>0</v>
      </c>
      <c r="AB48">
        <f t="shared" si="33"/>
        <v>0</v>
      </c>
      <c r="AC48">
        <f t="shared" si="33"/>
        <v>0</v>
      </c>
      <c r="AD48">
        <f t="shared" si="33"/>
        <v>0</v>
      </c>
      <c r="AE48">
        <f t="shared" si="33"/>
        <v>0</v>
      </c>
      <c r="AF48">
        <f t="shared" si="33"/>
        <v>0</v>
      </c>
      <c r="AG48">
        <f t="shared" si="33"/>
        <v>0</v>
      </c>
      <c r="AH48">
        <f t="shared" si="33"/>
        <v>0</v>
      </c>
      <c r="AI48">
        <f t="shared" si="33"/>
        <v>0</v>
      </c>
      <c r="AJ48">
        <f t="shared" si="33"/>
        <v>0</v>
      </c>
      <c r="AK48">
        <f t="shared" si="33"/>
        <v>0</v>
      </c>
      <c r="AL48">
        <f t="shared" si="33"/>
        <v>0</v>
      </c>
      <c r="AM48">
        <f t="shared" si="33"/>
        <v>0</v>
      </c>
      <c r="AN48">
        <f t="shared" si="33"/>
        <v>0</v>
      </c>
      <c r="AO48">
        <f t="shared" si="33"/>
        <v>0</v>
      </c>
      <c r="AP48">
        <f t="shared" si="33"/>
        <v>0</v>
      </c>
      <c r="AQ48">
        <f t="shared" si="33"/>
        <v>0</v>
      </c>
      <c r="AR48">
        <f t="shared" si="33"/>
        <v>0</v>
      </c>
      <c r="AS48">
        <f t="shared" si="33"/>
        <v>0</v>
      </c>
      <c r="AT48">
        <f t="shared" si="33"/>
        <v>0</v>
      </c>
      <c r="AU48">
        <f t="shared" si="33"/>
        <v>0</v>
      </c>
      <c r="AV48">
        <f t="shared" si="33"/>
        <v>0</v>
      </c>
      <c r="AW48">
        <f t="shared" si="33"/>
        <v>0</v>
      </c>
      <c r="AX48">
        <f t="shared" si="33"/>
        <v>0</v>
      </c>
      <c r="AY48">
        <f t="shared" si="33"/>
        <v>0</v>
      </c>
      <c r="AZ48">
        <f t="shared" si="33"/>
        <v>0</v>
      </c>
      <c r="BA48">
        <f t="shared" si="33"/>
        <v>0</v>
      </c>
    </row>
    <row r="49" spans="1:53" ht="15.75" customHeight="1">
      <c r="A49" s="362">
        <v>1984</v>
      </c>
      <c r="B49" s="350"/>
      <c r="C49" s="350"/>
      <c r="D49" s="350"/>
      <c r="E49" s="350"/>
      <c r="F49" s="350"/>
      <c r="G49" s="350"/>
      <c r="H49" s="350"/>
      <c r="I49" s="350"/>
      <c r="J49" s="350"/>
      <c r="K49" s="350"/>
      <c r="L49" s="350"/>
      <c r="M49" s="350"/>
      <c r="N49" s="350"/>
      <c r="O49" s="350"/>
      <c r="P49" s="350"/>
      <c r="Q49" s="350"/>
      <c r="R49" s="350"/>
      <c r="S49" s="350"/>
      <c r="T49" s="350"/>
      <c r="U49" s="350"/>
      <c r="V49" s="127">
        <v>108</v>
      </c>
      <c r="W49">
        <f t="shared" si="22"/>
        <v>0</v>
      </c>
      <c r="X49">
        <f t="shared" ref="X49:BA49" si="34">IF(AND(X$37-$A49&gt;$V$25,SUM($W49:W49)&lt;&gt;$V49),$V49,0)</f>
        <v>0</v>
      </c>
      <c r="Y49">
        <f t="shared" si="34"/>
        <v>0</v>
      </c>
      <c r="Z49">
        <f t="shared" si="34"/>
        <v>0</v>
      </c>
      <c r="AA49">
        <f t="shared" si="34"/>
        <v>0</v>
      </c>
      <c r="AB49">
        <f t="shared" si="34"/>
        <v>0</v>
      </c>
      <c r="AC49">
        <f t="shared" si="34"/>
        <v>0</v>
      </c>
      <c r="AD49">
        <f t="shared" si="34"/>
        <v>0</v>
      </c>
      <c r="AE49">
        <f t="shared" si="34"/>
        <v>0</v>
      </c>
      <c r="AF49">
        <f t="shared" si="34"/>
        <v>0</v>
      </c>
      <c r="AG49">
        <f t="shared" si="34"/>
        <v>0</v>
      </c>
      <c r="AH49">
        <f t="shared" si="34"/>
        <v>0</v>
      </c>
      <c r="AI49">
        <f t="shared" si="34"/>
        <v>0</v>
      </c>
      <c r="AJ49">
        <f t="shared" si="34"/>
        <v>0</v>
      </c>
      <c r="AK49">
        <f t="shared" si="34"/>
        <v>0</v>
      </c>
      <c r="AL49">
        <f t="shared" si="34"/>
        <v>0</v>
      </c>
      <c r="AM49">
        <f t="shared" si="34"/>
        <v>0</v>
      </c>
      <c r="AN49">
        <f t="shared" si="34"/>
        <v>0</v>
      </c>
      <c r="AO49">
        <f t="shared" si="34"/>
        <v>0</v>
      </c>
      <c r="AP49">
        <f t="shared" si="34"/>
        <v>0</v>
      </c>
      <c r="AQ49">
        <f t="shared" si="34"/>
        <v>0</v>
      </c>
      <c r="AR49">
        <f t="shared" si="34"/>
        <v>0</v>
      </c>
      <c r="AS49">
        <f t="shared" si="34"/>
        <v>0</v>
      </c>
      <c r="AT49">
        <f t="shared" si="34"/>
        <v>0</v>
      </c>
      <c r="AU49">
        <f t="shared" si="34"/>
        <v>0</v>
      </c>
      <c r="AV49">
        <f t="shared" si="34"/>
        <v>0</v>
      </c>
      <c r="AW49">
        <f t="shared" si="34"/>
        <v>0</v>
      </c>
      <c r="AX49">
        <f t="shared" si="34"/>
        <v>0</v>
      </c>
      <c r="AY49">
        <f t="shared" si="34"/>
        <v>0</v>
      </c>
      <c r="AZ49">
        <f t="shared" si="34"/>
        <v>0</v>
      </c>
      <c r="BA49">
        <f t="shared" si="34"/>
        <v>0</v>
      </c>
    </row>
    <row r="50" spans="1:53" ht="15.75" customHeight="1">
      <c r="A50" s="362">
        <v>1985</v>
      </c>
      <c r="B50" s="350"/>
      <c r="C50" s="350"/>
      <c r="D50" s="350"/>
      <c r="E50" s="350"/>
      <c r="F50" s="350"/>
      <c r="G50" s="350"/>
      <c r="H50" s="350"/>
      <c r="I50" s="350"/>
      <c r="J50" s="350"/>
      <c r="K50" s="350"/>
      <c r="L50" s="350"/>
      <c r="M50" s="350"/>
      <c r="N50" s="350"/>
      <c r="O50" s="350"/>
      <c r="P50" s="350"/>
      <c r="Q50" s="350"/>
      <c r="R50" s="350"/>
      <c r="S50" s="350"/>
      <c r="T50" s="350"/>
      <c r="U50" s="350"/>
      <c r="V50" s="127">
        <v>98.7</v>
      </c>
      <c r="W50">
        <f t="shared" si="22"/>
        <v>0</v>
      </c>
      <c r="X50">
        <f t="shared" ref="X50:BA50" si="35">IF(AND(X$37-$A50&gt;$V$25,SUM($W50:W50)&lt;&gt;$V50),$V50,0)</f>
        <v>0</v>
      </c>
      <c r="Y50">
        <f t="shared" si="35"/>
        <v>0</v>
      </c>
      <c r="Z50">
        <f t="shared" si="35"/>
        <v>0</v>
      </c>
      <c r="AA50">
        <f t="shared" si="35"/>
        <v>0</v>
      </c>
      <c r="AB50">
        <f t="shared" si="35"/>
        <v>0</v>
      </c>
      <c r="AC50">
        <f t="shared" si="35"/>
        <v>0</v>
      </c>
      <c r="AD50">
        <f t="shared" si="35"/>
        <v>0</v>
      </c>
      <c r="AE50">
        <f t="shared" si="35"/>
        <v>0</v>
      </c>
      <c r="AF50">
        <f t="shared" si="35"/>
        <v>0</v>
      </c>
      <c r="AG50">
        <f t="shared" si="35"/>
        <v>0</v>
      </c>
      <c r="AH50">
        <f t="shared" si="35"/>
        <v>0</v>
      </c>
      <c r="AI50">
        <f t="shared" si="35"/>
        <v>0</v>
      </c>
      <c r="AJ50">
        <f t="shared" si="35"/>
        <v>0</v>
      </c>
      <c r="AK50">
        <f t="shared" si="35"/>
        <v>0</v>
      </c>
      <c r="AL50">
        <f t="shared" si="35"/>
        <v>0</v>
      </c>
      <c r="AM50">
        <f t="shared" si="35"/>
        <v>0</v>
      </c>
      <c r="AN50">
        <f t="shared" si="35"/>
        <v>0</v>
      </c>
      <c r="AO50">
        <f t="shared" si="35"/>
        <v>0</v>
      </c>
      <c r="AP50">
        <f t="shared" si="35"/>
        <v>0</v>
      </c>
      <c r="AQ50">
        <f t="shared" si="35"/>
        <v>0</v>
      </c>
      <c r="AR50">
        <f t="shared" si="35"/>
        <v>0</v>
      </c>
      <c r="AS50">
        <f t="shared" si="35"/>
        <v>0</v>
      </c>
      <c r="AT50">
        <f t="shared" si="35"/>
        <v>0</v>
      </c>
      <c r="AU50">
        <f t="shared" si="35"/>
        <v>0</v>
      </c>
      <c r="AV50">
        <f t="shared" si="35"/>
        <v>0</v>
      </c>
      <c r="AW50">
        <f t="shared" si="35"/>
        <v>0</v>
      </c>
      <c r="AX50">
        <f t="shared" si="35"/>
        <v>0</v>
      </c>
      <c r="AY50">
        <f t="shared" si="35"/>
        <v>0</v>
      </c>
      <c r="AZ50">
        <f t="shared" si="35"/>
        <v>0</v>
      </c>
      <c r="BA50">
        <f t="shared" si="35"/>
        <v>0</v>
      </c>
    </row>
    <row r="51" spans="1:53" ht="15.75" customHeight="1">
      <c r="A51" s="362">
        <v>1986</v>
      </c>
      <c r="B51" s="350"/>
      <c r="C51" s="350"/>
      <c r="D51" s="350"/>
      <c r="E51" s="350"/>
      <c r="F51" s="350"/>
      <c r="G51" s="350"/>
      <c r="H51" s="350"/>
      <c r="I51" s="350"/>
      <c r="J51" s="350"/>
      <c r="K51" s="350"/>
      <c r="L51" s="350"/>
      <c r="M51" s="350"/>
      <c r="N51" s="350"/>
      <c r="O51" s="350"/>
      <c r="P51" s="350"/>
      <c r="Q51" s="350"/>
      <c r="R51" s="350"/>
      <c r="S51" s="350"/>
      <c r="T51" s="350"/>
      <c r="U51" s="350"/>
      <c r="V51" s="127">
        <v>78.400000000000006</v>
      </c>
      <c r="W51">
        <f t="shared" si="22"/>
        <v>0</v>
      </c>
      <c r="X51">
        <f t="shared" ref="X51:BA51" si="36">IF(AND(X$37-$A51&gt;$V$25,SUM($W51:W51)&lt;&gt;$V51),$V51,0)</f>
        <v>0</v>
      </c>
      <c r="Y51">
        <f t="shared" si="36"/>
        <v>0</v>
      </c>
      <c r="Z51">
        <f t="shared" si="36"/>
        <v>0</v>
      </c>
      <c r="AA51">
        <f t="shared" si="36"/>
        <v>0</v>
      </c>
      <c r="AB51">
        <f t="shared" si="36"/>
        <v>0</v>
      </c>
      <c r="AC51">
        <f t="shared" si="36"/>
        <v>0</v>
      </c>
      <c r="AD51">
        <f t="shared" si="36"/>
        <v>0</v>
      </c>
      <c r="AE51">
        <f t="shared" si="36"/>
        <v>0</v>
      </c>
      <c r="AF51">
        <f t="shared" si="36"/>
        <v>0</v>
      </c>
      <c r="AG51">
        <f t="shared" si="36"/>
        <v>0</v>
      </c>
      <c r="AH51">
        <f t="shared" si="36"/>
        <v>0</v>
      </c>
      <c r="AI51">
        <f t="shared" si="36"/>
        <v>0</v>
      </c>
      <c r="AJ51">
        <f t="shared" si="36"/>
        <v>0</v>
      </c>
      <c r="AK51">
        <f t="shared" si="36"/>
        <v>0</v>
      </c>
      <c r="AL51">
        <f t="shared" si="36"/>
        <v>0</v>
      </c>
      <c r="AM51">
        <f t="shared" si="36"/>
        <v>0</v>
      </c>
      <c r="AN51">
        <f t="shared" si="36"/>
        <v>0</v>
      </c>
      <c r="AO51">
        <f t="shared" si="36"/>
        <v>0</v>
      </c>
      <c r="AP51">
        <f t="shared" si="36"/>
        <v>0</v>
      </c>
      <c r="AQ51">
        <f t="shared" si="36"/>
        <v>0</v>
      </c>
      <c r="AR51">
        <f t="shared" si="36"/>
        <v>0</v>
      </c>
      <c r="AS51">
        <f t="shared" si="36"/>
        <v>0</v>
      </c>
      <c r="AT51">
        <f t="shared" si="36"/>
        <v>0</v>
      </c>
      <c r="AU51">
        <f t="shared" si="36"/>
        <v>0</v>
      </c>
      <c r="AV51">
        <f t="shared" si="36"/>
        <v>0</v>
      </c>
      <c r="AW51">
        <f t="shared" si="36"/>
        <v>0</v>
      </c>
      <c r="AX51">
        <f t="shared" si="36"/>
        <v>0</v>
      </c>
      <c r="AY51">
        <f t="shared" si="36"/>
        <v>0</v>
      </c>
      <c r="AZ51">
        <f t="shared" si="36"/>
        <v>0</v>
      </c>
      <c r="BA51">
        <f t="shared" si="36"/>
        <v>0</v>
      </c>
    </row>
    <row r="52" spans="1:53" ht="15.75" customHeight="1">
      <c r="A52" s="362">
        <v>1987</v>
      </c>
      <c r="B52" s="350"/>
      <c r="C52" s="350"/>
      <c r="D52" s="350"/>
      <c r="E52" s="350"/>
      <c r="F52" s="350"/>
      <c r="G52" s="350"/>
      <c r="H52" s="350"/>
      <c r="I52" s="350"/>
      <c r="J52" s="350"/>
      <c r="K52" s="350"/>
      <c r="L52" s="350"/>
      <c r="M52" s="350"/>
      <c r="N52" s="350"/>
      <c r="O52" s="350"/>
      <c r="P52" s="350"/>
      <c r="Q52" s="350"/>
      <c r="R52" s="350"/>
      <c r="S52" s="350"/>
      <c r="T52" s="350"/>
      <c r="U52" s="350"/>
      <c r="V52" s="127">
        <v>199.2</v>
      </c>
      <c r="W52">
        <f t="shared" si="22"/>
        <v>0</v>
      </c>
      <c r="X52">
        <f t="shared" ref="X52:BA52" si="37">IF(AND(X$37-$A52&gt;$V$25,SUM($W52:W52)&lt;&gt;$V52),$V52,0)</f>
        <v>0</v>
      </c>
      <c r="Y52">
        <f t="shared" si="37"/>
        <v>0</v>
      </c>
      <c r="Z52">
        <f t="shared" si="37"/>
        <v>0</v>
      </c>
      <c r="AA52">
        <f t="shared" si="37"/>
        <v>0</v>
      </c>
      <c r="AB52">
        <f t="shared" si="37"/>
        <v>0</v>
      </c>
      <c r="AC52">
        <f t="shared" si="37"/>
        <v>0</v>
      </c>
      <c r="AD52">
        <f t="shared" si="37"/>
        <v>0</v>
      </c>
      <c r="AE52">
        <f t="shared" si="37"/>
        <v>0</v>
      </c>
      <c r="AF52">
        <f t="shared" si="37"/>
        <v>0</v>
      </c>
      <c r="AG52">
        <f t="shared" si="37"/>
        <v>0</v>
      </c>
      <c r="AH52">
        <f t="shared" si="37"/>
        <v>0</v>
      </c>
      <c r="AI52">
        <f t="shared" si="37"/>
        <v>0</v>
      </c>
      <c r="AJ52">
        <f t="shared" si="37"/>
        <v>0</v>
      </c>
      <c r="AK52">
        <f t="shared" si="37"/>
        <v>0</v>
      </c>
      <c r="AL52">
        <f t="shared" si="37"/>
        <v>0</v>
      </c>
      <c r="AM52">
        <f t="shared" si="37"/>
        <v>0</v>
      </c>
      <c r="AN52">
        <f t="shared" si="37"/>
        <v>0</v>
      </c>
      <c r="AO52">
        <f t="shared" si="37"/>
        <v>0</v>
      </c>
      <c r="AP52">
        <f t="shared" si="37"/>
        <v>0</v>
      </c>
      <c r="AQ52">
        <f t="shared" si="37"/>
        <v>0</v>
      </c>
      <c r="AR52">
        <f t="shared" si="37"/>
        <v>0</v>
      </c>
      <c r="AS52">
        <f t="shared" si="37"/>
        <v>0</v>
      </c>
      <c r="AT52">
        <f t="shared" si="37"/>
        <v>0</v>
      </c>
      <c r="AU52">
        <f t="shared" si="37"/>
        <v>0</v>
      </c>
      <c r="AV52">
        <f t="shared" si="37"/>
        <v>0</v>
      </c>
      <c r="AW52">
        <f t="shared" si="37"/>
        <v>0</v>
      </c>
      <c r="AX52">
        <f t="shared" si="37"/>
        <v>0</v>
      </c>
      <c r="AY52">
        <f t="shared" si="37"/>
        <v>0</v>
      </c>
      <c r="AZ52">
        <f t="shared" si="37"/>
        <v>0</v>
      </c>
      <c r="BA52">
        <f t="shared" si="37"/>
        <v>0</v>
      </c>
    </row>
    <row r="53" spans="1:53" ht="15.75" customHeight="1">
      <c r="A53" s="362">
        <v>1988</v>
      </c>
      <c r="B53" s="350"/>
      <c r="C53" s="350"/>
      <c r="D53" s="350"/>
      <c r="E53" s="350"/>
      <c r="F53" s="350"/>
      <c r="G53" s="350"/>
      <c r="H53" s="350"/>
      <c r="I53" s="350"/>
      <c r="J53" s="350"/>
      <c r="K53" s="350"/>
      <c r="L53" s="350"/>
      <c r="M53" s="350"/>
      <c r="N53" s="350"/>
      <c r="O53" s="350"/>
      <c r="P53" s="350"/>
      <c r="Q53" s="350"/>
      <c r="R53" s="350"/>
      <c r="S53" s="350"/>
      <c r="T53" s="350"/>
      <c r="U53" s="350"/>
      <c r="V53" s="127">
        <v>352.1</v>
      </c>
      <c r="W53">
        <f t="shared" si="22"/>
        <v>0</v>
      </c>
      <c r="X53">
        <f t="shared" ref="X53:BA53" si="38">IF(AND(X$37-$A53&gt;$V$25,SUM($W53:W53)&lt;&gt;$V53),$V53,0)</f>
        <v>0</v>
      </c>
      <c r="Y53">
        <f t="shared" si="38"/>
        <v>0</v>
      </c>
      <c r="Z53">
        <f t="shared" si="38"/>
        <v>0</v>
      </c>
      <c r="AA53">
        <f t="shared" si="38"/>
        <v>0</v>
      </c>
      <c r="AB53">
        <f t="shared" si="38"/>
        <v>0</v>
      </c>
      <c r="AC53">
        <f t="shared" si="38"/>
        <v>0</v>
      </c>
      <c r="AD53">
        <f t="shared" si="38"/>
        <v>0</v>
      </c>
      <c r="AE53">
        <f t="shared" si="38"/>
        <v>0</v>
      </c>
      <c r="AF53">
        <f t="shared" si="38"/>
        <v>0</v>
      </c>
      <c r="AG53">
        <f t="shared" si="38"/>
        <v>0</v>
      </c>
      <c r="AH53">
        <f t="shared" si="38"/>
        <v>0</v>
      </c>
      <c r="AI53">
        <f t="shared" si="38"/>
        <v>0</v>
      </c>
      <c r="AJ53">
        <f t="shared" si="38"/>
        <v>0</v>
      </c>
      <c r="AK53">
        <f t="shared" si="38"/>
        <v>0</v>
      </c>
      <c r="AL53">
        <f t="shared" si="38"/>
        <v>0</v>
      </c>
      <c r="AM53">
        <f t="shared" si="38"/>
        <v>0</v>
      </c>
      <c r="AN53">
        <f t="shared" si="38"/>
        <v>0</v>
      </c>
      <c r="AO53">
        <f t="shared" si="38"/>
        <v>0</v>
      </c>
      <c r="AP53">
        <f t="shared" si="38"/>
        <v>0</v>
      </c>
      <c r="AQ53">
        <f t="shared" si="38"/>
        <v>0</v>
      </c>
      <c r="AR53">
        <f t="shared" si="38"/>
        <v>0</v>
      </c>
      <c r="AS53">
        <f t="shared" si="38"/>
        <v>0</v>
      </c>
      <c r="AT53">
        <f t="shared" si="38"/>
        <v>0</v>
      </c>
      <c r="AU53">
        <f t="shared" si="38"/>
        <v>0</v>
      </c>
      <c r="AV53">
        <f t="shared" si="38"/>
        <v>0</v>
      </c>
      <c r="AW53">
        <f t="shared" si="38"/>
        <v>0</v>
      </c>
      <c r="AX53">
        <f t="shared" si="38"/>
        <v>0</v>
      </c>
      <c r="AY53">
        <f t="shared" si="38"/>
        <v>0</v>
      </c>
      <c r="AZ53">
        <f t="shared" si="38"/>
        <v>0</v>
      </c>
      <c r="BA53">
        <f t="shared" si="38"/>
        <v>0</v>
      </c>
    </row>
    <row r="54" spans="1:53" ht="15.75" customHeight="1">
      <c r="A54" s="362">
        <v>1989</v>
      </c>
      <c r="B54" s="350"/>
      <c r="C54" s="350"/>
      <c r="D54" s="350"/>
      <c r="E54" s="350"/>
      <c r="F54" s="350"/>
      <c r="G54" s="350"/>
      <c r="H54" s="350"/>
      <c r="I54" s="350"/>
      <c r="J54" s="350"/>
      <c r="K54" s="350"/>
      <c r="L54" s="350"/>
      <c r="M54" s="350"/>
      <c r="N54" s="350"/>
      <c r="O54" s="350"/>
      <c r="P54" s="350"/>
      <c r="Q54" s="350"/>
      <c r="R54" s="350"/>
      <c r="S54" s="350"/>
      <c r="T54" s="350"/>
      <c r="U54" s="350"/>
      <c r="V54" s="127">
        <v>301</v>
      </c>
      <c r="W54">
        <f t="shared" si="22"/>
        <v>0</v>
      </c>
      <c r="X54">
        <f t="shared" ref="X54:BA54" si="39">IF(AND(X$37-$A54&gt;$V$25,SUM($W54:W54)&lt;&gt;$V54),$V54,0)</f>
        <v>0</v>
      </c>
      <c r="Y54">
        <f t="shared" si="39"/>
        <v>0</v>
      </c>
      <c r="Z54">
        <f t="shared" si="39"/>
        <v>0</v>
      </c>
      <c r="AA54">
        <f t="shared" si="39"/>
        <v>0</v>
      </c>
      <c r="AB54">
        <f t="shared" si="39"/>
        <v>0</v>
      </c>
      <c r="AC54">
        <f t="shared" si="39"/>
        <v>0</v>
      </c>
      <c r="AD54">
        <f t="shared" si="39"/>
        <v>0</v>
      </c>
      <c r="AE54">
        <f t="shared" si="39"/>
        <v>0</v>
      </c>
      <c r="AF54">
        <f t="shared" si="39"/>
        <v>0</v>
      </c>
      <c r="AG54">
        <f t="shared" si="39"/>
        <v>0</v>
      </c>
      <c r="AH54">
        <f t="shared" si="39"/>
        <v>0</v>
      </c>
      <c r="AI54">
        <f t="shared" si="39"/>
        <v>0</v>
      </c>
      <c r="AJ54">
        <f t="shared" si="39"/>
        <v>0</v>
      </c>
      <c r="AK54">
        <f t="shared" si="39"/>
        <v>0</v>
      </c>
      <c r="AL54">
        <f t="shared" si="39"/>
        <v>0</v>
      </c>
      <c r="AM54">
        <f t="shared" si="39"/>
        <v>0</v>
      </c>
      <c r="AN54">
        <f t="shared" si="39"/>
        <v>0</v>
      </c>
      <c r="AO54">
        <f t="shared" si="39"/>
        <v>0</v>
      </c>
      <c r="AP54">
        <f t="shared" si="39"/>
        <v>0</v>
      </c>
      <c r="AQ54">
        <f t="shared" si="39"/>
        <v>0</v>
      </c>
      <c r="AR54">
        <f t="shared" si="39"/>
        <v>0</v>
      </c>
      <c r="AS54">
        <f t="shared" si="39"/>
        <v>0</v>
      </c>
      <c r="AT54">
        <f t="shared" si="39"/>
        <v>0</v>
      </c>
      <c r="AU54">
        <f t="shared" si="39"/>
        <v>0</v>
      </c>
      <c r="AV54">
        <f t="shared" si="39"/>
        <v>0</v>
      </c>
      <c r="AW54">
        <f t="shared" si="39"/>
        <v>0</v>
      </c>
      <c r="AX54">
        <f t="shared" si="39"/>
        <v>0</v>
      </c>
      <c r="AY54">
        <f t="shared" si="39"/>
        <v>0</v>
      </c>
      <c r="AZ54">
        <f t="shared" si="39"/>
        <v>0</v>
      </c>
      <c r="BA54">
        <f t="shared" si="39"/>
        <v>0</v>
      </c>
    </row>
    <row r="55" spans="1:53" ht="15.75" customHeight="1">
      <c r="A55" s="362">
        <v>1990</v>
      </c>
      <c r="B55" s="350"/>
      <c r="C55" s="350"/>
      <c r="D55" s="350"/>
      <c r="E55" s="350"/>
      <c r="F55" s="350"/>
      <c r="G55" s="350"/>
      <c r="H55" s="350"/>
      <c r="I55" s="350"/>
      <c r="J55" s="350"/>
      <c r="K55" s="350"/>
      <c r="L55" s="350"/>
      <c r="M55" s="350"/>
      <c r="N55" s="350"/>
      <c r="O55" s="350"/>
      <c r="P55" s="350"/>
      <c r="Q55" s="350"/>
      <c r="R55" s="350"/>
      <c r="S55" s="350"/>
      <c r="T55" s="350"/>
      <c r="U55" s="350"/>
      <c r="V55" s="127">
        <v>227.4</v>
      </c>
      <c r="W55">
        <f t="shared" si="22"/>
        <v>0</v>
      </c>
      <c r="X55">
        <f t="shared" ref="X55:BA55" si="40">IF(AND(X$37-$A55&gt;$V$25,SUM($W55:W55)&lt;&gt;$V55),$V55,0)</f>
        <v>0</v>
      </c>
      <c r="Y55">
        <f t="shared" si="40"/>
        <v>0</v>
      </c>
      <c r="Z55">
        <f t="shared" si="40"/>
        <v>0</v>
      </c>
      <c r="AA55">
        <f t="shared" si="40"/>
        <v>0</v>
      </c>
      <c r="AB55">
        <f t="shared" si="40"/>
        <v>0</v>
      </c>
      <c r="AC55">
        <f t="shared" si="40"/>
        <v>0</v>
      </c>
      <c r="AD55">
        <f t="shared" si="40"/>
        <v>0</v>
      </c>
      <c r="AE55">
        <f t="shared" si="40"/>
        <v>0</v>
      </c>
      <c r="AF55">
        <f t="shared" si="40"/>
        <v>0</v>
      </c>
      <c r="AG55">
        <f t="shared" si="40"/>
        <v>0</v>
      </c>
      <c r="AH55">
        <f t="shared" si="40"/>
        <v>0</v>
      </c>
      <c r="AI55">
        <f t="shared" si="40"/>
        <v>0</v>
      </c>
      <c r="AJ55">
        <f t="shared" si="40"/>
        <v>0</v>
      </c>
      <c r="AK55">
        <f t="shared" si="40"/>
        <v>0</v>
      </c>
      <c r="AL55">
        <f t="shared" si="40"/>
        <v>0</v>
      </c>
      <c r="AM55">
        <f t="shared" si="40"/>
        <v>0</v>
      </c>
      <c r="AN55">
        <f t="shared" si="40"/>
        <v>0</v>
      </c>
      <c r="AO55">
        <f t="shared" si="40"/>
        <v>0</v>
      </c>
      <c r="AP55">
        <f t="shared" si="40"/>
        <v>0</v>
      </c>
      <c r="AQ55">
        <f t="shared" si="40"/>
        <v>0</v>
      </c>
      <c r="AR55">
        <f t="shared" si="40"/>
        <v>0</v>
      </c>
      <c r="AS55">
        <f t="shared" si="40"/>
        <v>0</v>
      </c>
      <c r="AT55">
        <f t="shared" si="40"/>
        <v>0</v>
      </c>
      <c r="AU55">
        <f t="shared" si="40"/>
        <v>0</v>
      </c>
      <c r="AV55">
        <f t="shared" si="40"/>
        <v>0</v>
      </c>
      <c r="AW55">
        <f t="shared" si="40"/>
        <v>0</v>
      </c>
      <c r="AX55">
        <f t="shared" si="40"/>
        <v>0</v>
      </c>
      <c r="AY55">
        <f t="shared" si="40"/>
        <v>0</v>
      </c>
      <c r="AZ55">
        <f t="shared" si="40"/>
        <v>0</v>
      </c>
      <c r="BA55">
        <f t="shared" si="40"/>
        <v>0</v>
      </c>
    </row>
    <row r="56" spans="1:53" ht="15.75" customHeight="1">
      <c r="A56" s="362">
        <v>1991</v>
      </c>
      <c r="B56" s="350"/>
      <c r="C56" s="350"/>
      <c r="D56" s="350"/>
      <c r="E56" s="350"/>
      <c r="F56" s="350"/>
      <c r="G56" s="350"/>
      <c r="H56" s="350"/>
      <c r="I56" s="350"/>
      <c r="J56" s="350"/>
      <c r="K56" s="350"/>
      <c r="L56" s="350"/>
      <c r="M56" s="350"/>
      <c r="N56" s="350"/>
      <c r="O56" s="350"/>
      <c r="P56" s="350"/>
      <c r="Q56" s="350"/>
      <c r="R56" s="350"/>
      <c r="S56" s="350"/>
      <c r="T56" s="350"/>
      <c r="U56" s="350"/>
      <c r="V56" s="127">
        <v>302.3</v>
      </c>
      <c r="W56">
        <f t="shared" si="22"/>
        <v>0</v>
      </c>
      <c r="X56">
        <f t="shared" ref="X56:BA56" si="41">IF(AND(X$37-$A56&gt;$V$25,SUM($W56:W56)&lt;&gt;$V56),$V56,0)</f>
        <v>0</v>
      </c>
      <c r="Y56">
        <f t="shared" si="41"/>
        <v>0</v>
      </c>
      <c r="Z56">
        <f t="shared" si="41"/>
        <v>0</v>
      </c>
      <c r="AA56">
        <f t="shared" si="41"/>
        <v>0</v>
      </c>
      <c r="AB56">
        <f t="shared" si="41"/>
        <v>0</v>
      </c>
      <c r="AC56">
        <f t="shared" si="41"/>
        <v>0</v>
      </c>
      <c r="AD56">
        <f t="shared" si="41"/>
        <v>0</v>
      </c>
      <c r="AE56">
        <f t="shared" si="41"/>
        <v>0</v>
      </c>
      <c r="AF56">
        <f t="shared" si="41"/>
        <v>0</v>
      </c>
      <c r="AG56">
        <f t="shared" si="41"/>
        <v>0</v>
      </c>
      <c r="AH56">
        <f t="shared" si="41"/>
        <v>0</v>
      </c>
      <c r="AI56">
        <f t="shared" si="41"/>
        <v>0</v>
      </c>
      <c r="AJ56">
        <f t="shared" si="41"/>
        <v>0</v>
      </c>
      <c r="AK56">
        <f t="shared" si="41"/>
        <v>0</v>
      </c>
      <c r="AL56">
        <f t="shared" si="41"/>
        <v>0</v>
      </c>
      <c r="AM56">
        <f t="shared" si="41"/>
        <v>0</v>
      </c>
      <c r="AN56">
        <f t="shared" si="41"/>
        <v>0</v>
      </c>
      <c r="AO56">
        <f t="shared" si="41"/>
        <v>0</v>
      </c>
      <c r="AP56">
        <f t="shared" si="41"/>
        <v>0</v>
      </c>
      <c r="AQ56">
        <f t="shared" si="41"/>
        <v>0</v>
      </c>
      <c r="AR56">
        <f t="shared" si="41"/>
        <v>0</v>
      </c>
      <c r="AS56">
        <f t="shared" si="41"/>
        <v>0</v>
      </c>
      <c r="AT56">
        <f t="shared" si="41"/>
        <v>0</v>
      </c>
      <c r="AU56">
        <f t="shared" si="41"/>
        <v>0</v>
      </c>
      <c r="AV56">
        <f t="shared" si="41"/>
        <v>0</v>
      </c>
      <c r="AW56">
        <f t="shared" si="41"/>
        <v>0</v>
      </c>
      <c r="AX56">
        <f t="shared" si="41"/>
        <v>0</v>
      </c>
      <c r="AY56">
        <f t="shared" si="41"/>
        <v>0</v>
      </c>
      <c r="AZ56">
        <f t="shared" si="41"/>
        <v>0</v>
      </c>
      <c r="BA56">
        <f t="shared" si="41"/>
        <v>0</v>
      </c>
    </row>
    <row r="57" spans="1:53" ht="15.75" customHeight="1">
      <c r="A57" s="362">
        <v>1992</v>
      </c>
      <c r="B57" s="350"/>
      <c r="C57" s="350"/>
      <c r="D57" s="350"/>
      <c r="E57" s="350"/>
      <c r="F57" s="350"/>
      <c r="G57" s="350"/>
      <c r="H57" s="350"/>
      <c r="I57" s="350"/>
      <c r="J57" s="350"/>
      <c r="K57" s="350"/>
      <c r="L57" s="350"/>
      <c r="M57" s="350"/>
      <c r="N57" s="350"/>
      <c r="O57" s="350"/>
      <c r="P57" s="350"/>
      <c r="Q57" s="350"/>
      <c r="R57" s="350"/>
      <c r="S57" s="350"/>
      <c r="T57" s="350"/>
      <c r="U57" s="350"/>
      <c r="V57" s="127">
        <v>27.5</v>
      </c>
      <c r="W57">
        <f t="shared" si="22"/>
        <v>0</v>
      </c>
      <c r="X57">
        <f t="shared" ref="X57:BA57" si="42">IF(AND(X$37-$A57&gt;$V$25,SUM($W57:W57)&lt;&gt;$V57),$V57,0)</f>
        <v>0</v>
      </c>
      <c r="Y57">
        <f t="shared" si="42"/>
        <v>0</v>
      </c>
      <c r="Z57">
        <f t="shared" si="42"/>
        <v>0</v>
      </c>
      <c r="AA57">
        <f t="shared" si="42"/>
        <v>0</v>
      </c>
      <c r="AB57">
        <f t="shared" si="42"/>
        <v>0</v>
      </c>
      <c r="AC57">
        <f t="shared" si="42"/>
        <v>0</v>
      </c>
      <c r="AD57">
        <f t="shared" si="42"/>
        <v>0</v>
      </c>
      <c r="AE57">
        <f t="shared" si="42"/>
        <v>0</v>
      </c>
      <c r="AF57">
        <f t="shared" si="42"/>
        <v>0</v>
      </c>
      <c r="AG57">
        <f t="shared" si="42"/>
        <v>0</v>
      </c>
      <c r="AH57">
        <f t="shared" si="42"/>
        <v>0</v>
      </c>
      <c r="AI57">
        <f t="shared" si="42"/>
        <v>0</v>
      </c>
      <c r="AJ57">
        <f t="shared" si="42"/>
        <v>0</v>
      </c>
      <c r="AK57">
        <f t="shared" si="42"/>
        <v>0</v>
      </c>
      <c r="AL57">
        <f t="shared" si="42"/>
        <v>0</v>
      </c>
      <c r="AM57">
        <f t="shared" si="42"/>
        <v>0</v>
      </c>
      <c r="AN57">
        <f t="shared" si="42"/>
        <v>0</v>
      </c>
      <c r="AO57">
        <f t="shared" si="42"/>
        <v>0</v>
      </c>
      <c r="AP57">
        <f t="shared" si="42"/>
        <v>0</v>
      </c>
      <c r="AQ57">
        <f t="shared" si="42"/>
        <v>0</v>
      </c>
      <c r="AR57">
        <f t="shared" si="42"/>
        <v>0</v>
      </c>
      <c r="AS57">
        <f t="shared" si="42"/>
        <v>0</v>
      </c>
      <c r="AT57">
        <f t="shared" si="42"/>
        <v>0</v>
      </c>
      <c r="AU57">
        <f t="shared" si="42"/>
        <v>0</v>
      </c>
      <c r="AV57">
        <f t="shared" si="42"/>
        <v>0</v>
      </c>
      <c r="AW57">
        <f t="shared" si="42"/>
        <v>0</v>
      </c>
      <c r="AX57">
        <f t="shared" si="42"/>
        <v>0</v>
      </c>
      <c r="AY57">
        <f t="shared" si="42"/>
        <v>0</v>
      </c>
      <c r="AZ57">
        <f t="shared" si="42"/>
        <v>0</v>
      </c>
      <c r="BA57">
        <f t="shared" si="42"/>
        <v>0</v>
      </c>
    </row>
    <row r="58" spans="1:53" ht="15.75" customHeight="1">
      <c r="A58" s="362">
        <v>1993</v>
      </c>
      <c r="B58" s="350"/>
      <c r="C58" s="350"/>
      <c r="D58" s="350"/>
      <c r="E58" s="350"/>
      <c r="F58" s="350"/>
      <c r="G58" s="350"/>
      <c r="H58" s="350"/>
      <c r="I58" s="350"/>
      <c r="J58" s="350"/>
      <c r="K58" s="350"/>
      <c r="L58" s="350"/>
      <c r="M58" s="350"/>
      <c r="N58" s="350"/>
      <c r="O58" s="350"/>
      <c r="P58" s="350"/>
      <c r="Q58" s="350"/>
      <c r="R58" s="350"/>
      <c r="S58" s="350"/>
      <c r="T58" s="350"/>
      <c r="U58" s="350"/>
      <c r="V58" s="127">
        <v>50.1</v>
      </c>
      <c r="W58">
        <f t="shared" si="22"/>
        <v>0</v>
      </c>
      <c r="X58">
        <f t="shared" ref="X58:BA58" si="43">IF(AND(X$37-$A58&gt;$V$25,SUM($W58:W58)&lt;&gt;$V58),$V58,0)</f>
        <v>0</v>
      </c>
      <c r="Y58">
        <f t="shared" si="43"/>
        <v>0</v>
      </c>
      <c r="Z58">
        <f t="shared" si="43"/>
        <v>0</v>
      </c>
      <c r="AA58">
        <f t="shared" si="43"/>
        <v>0</v>
      </c>
      <c r="AB58">
        <f t="shared" si="43"/>
        <v>0</v>
      </c>
      <c r="AC58">
        <f t="shared" si="43"/>
        <v>0</v>
      </c>
      <c r="AD58">
        <f t="shared" si="43"/>
        <v>0</v>
      </c>
      <c r="AE58">
        <f t="shared" si="43"/>
        <v>0</v>
      </c>
      <c r="AF58">
        <f t="shared" si="43"/>
        <v>0</v>
      </c>
      <c r="AG58">
        <f t="shared" si="43"/>
        <v>0</v>
      </c>
      <c r="AH58">
        <f t="shared" si="43"/>
        <v>0</v>
      </c>
      <c r="AI58">
        <f t="shared" si="43"/>
        <v>0</v>
      </c>
      <c r="AJ58">
        <f t="shared" si="43"/>
        <v>0</v>
      </c>
      <c r="AK58">
        <f t="shared" si="43"/>
        <v>0</v>
      </c>
      <c r="AL58">
        <f t="shared" si="43"/>
        <v>0</v>
      </c>
      <c r="AM58">
        <f t="shared" si="43"/>
        <v>0</v>
      </c>
      <c r="AN58">
        <f t="shared" si="43"/>
        <v>0</v>
      </c>
      <c r="AO58">
        <f t="shared" si="43"/>
        <v>0</v>
      </c>
      <c r="AP58">
        <f t="shared" si="43"/>
        <v>0</v>
      </c>
      <c r="AQ58">
        <f t="shared" si="43"/>
        <v>0</v>
      </c>
      <c r="AR58">
        <f t="shared" si="43"/>
        <v>0</v>
      </c>
      <c r="AS58">
        <f t="shared" si="43"/>
        <v>0</v>
      </c>
      <c r="AT58">
        <f t="shared" si="43"/>
        <v>0</v>
      </c>
      <c r="AU58">
        <f t="shared" si="43"/>
        <v>0</v>
      </c>
      <c r="AV58">
        <f t="shared" si="43"/>
        <v>0</v>
      </c>
      <c r="AW58">
        <f t="shared" si="43"/>
        <v>0</v>
      </c>
      <c r="AX58">
        <f t="shared" si="43"/>
        <v>0</v>
      </c>
      <c r="AY58">
        <f t="shared" si="43"/>
        <v>0</v>
      </c>
      <c r="AZ58">
        <f t="shared" si="43"/>
        <v>0</v>
      </c>
      <c r="BA58">
        <f t="shared" si="43"/>
        <v>0</v>
      </c>
    </row>
    <row r="59" spans="1:53" ht="15.75" customHeight="1">
      <c r="A59" s="362">
        <v>1994</v>
      </c>
      <c r="B59" s="350"/>
      <c r="C59" s="350"/>
      <c r="D59" s="350"/>
      <c r="E59" s="350"/>
      <c r="F59" s="350"/>
      <c r="G59" s="350"/>
      <c r="H59" s="350"/>
      <c r="I59" s="350"/>
      <c r="J59" s="350"/>
      <c r="K59" s="350"/>
      <c r="L59" s="350"/>
      <c r="M59" s="350"/>
      <c r="N59" s="350"/>
      <c r="O59" s="350"/>
      <c r="P59" s="350"/>
      <c r="Q59" s="350"/>
      <c r="R59" s="350"/>
      <c r="S59" s="350"/>
      <c r="T59" s="350"/>
      <c r="U59" s="350"/>
      <c r="V59" s="127">
        <v>172.2</v>
      </c>
      <c r="W59">
        <f t="shared" si="22"/>
        <v>0</v>
      </c>
      <c r="X59">
        <f t="shared" ref="X59:BA59" si="44">IF(AND(X$37-$A59&gt;$V$25,SUM($W59:W59)&lt;&gt;$V59),$V59,0)</f>
        <v>0</v>
      </c>
      <c r="Y59">
        <f t="shared" si="44"/>
        <v>0</v>
      </c>
      <c r="Z59">
        <f t="shared" si="44"/>
        <v>0</v>
      </c>
      <c r="AA59">
        <f t="shared" si="44"/>
        <v>0</v>
      </c>
      <c r="AB59">
        <f t="shared" si="44"/>
        <v>0</v>
      </c>
      <c r="AC59">
        <f t="shared" si="44"/>
        <v>0</v>
      </c>
      <c r="AD59">
        <f t="shared" si="44"/>
        <v>0</v>
      </c>
      <c r="AE59">
        <f t="shared" si="44"/>
        <v>0</v>
      </c>
      <c r="AF59">
        <f t="shared" si="44"/>
        <v>0</v>
      </c>
      <c r="AG59">
        <f t="shared" si="44"/>
        <v>0</v>
      </c>
      <c r="AH59">
        <f t="shared" si="44"/>
        <v>0</v>
      </c>
      <c r="AI59">
        <f t="shared" si="44"/>
        <v>0</v>
      </c>
      <c r="AJ59">
        <f t="shared" si="44"/>
        <v>0</v>
      </c>
      <c r="AK59">
        <f t="shared" si="44"/>
        <v>0</v>
      </c>
      <c r="AL59">
        <f t="shared" si="44"/>
        <v>0</v>
      </c>
      <c r="AM59">
        <f t="shared" si="44"/>
        <v>0</v>
      </c>
      <c r="AN59">
        <f t="shared" si="44"/>
        <v>0</v>
      </c>
      <c r="AO59">
        <f t="shared" si="44"/>
        <v>0</v>
      </c>
      <c r="AP59">
        <f t="shared" si="44"/>
        <v>0</v>
      </c>
      <c r="AQ59">
        <f t="shared" si="44"/>
        <v>0</v>
      </c>
      <c r="AR59">
        <f t="shared" si="44"/>
        <v>0</v>
      </c>
      <c r="AS59">
        <f t="shared" si="44"/>
        <v>0</v>
      </c>
      <c r="AT59">
        <f t="shared" si="44"/>
        <v>0</v>
      </c>
      <c r="AU59">
        <f t="shared" si="44"/>
        <v>0</v>
      </c>
      <c r="AV59">
        <f t="shared" si="44"/>
        <v>0</v>
      </c>
      <c r="AW59">
        <f t="shared" si="44"/>
        <v>0</v>
      </c>
      <c r="AX59">
        <f t="shared" si="44"/>
        <v>0</v>
      </c>
      <c r="AY59">
        <f t="shared" si="44"/>
        <v>0</v>
      </c>
      <c r="AZ59">
        <f t="shared" si="44"/>
        <v>0</v>
      </c>
      <c r="BA59">
        <f t="shared" si="44"/>
        <v>0</v>
      </c>
    </row>
    <row r="60" spans="1:53" ht="15.75" customHeight="1">
      <c r="A60" s="362">
        <v>1995</v>
      </c>
      <c r="B60" s="350"/>
      <c r="C60" s="350"/>
      <c r="D60" s="350"/>
      <c r="E60" s="350"/>
      <c r="F60" s="350"/>
      <c r="G60" s="350"/>
      <c r="H60" s="350"/>
      <c r="I60" s="350"/>
      <c r="J60" s="350"/>
      <c r="K60" s="350"/>
      <c r="L60" s="350"/>
      <c r="M60" s="350"/>
      <c r="N60" s="350"/>
      <c r="O60" s="350"/>
      <c r="P60" s="350"/>
      <c r="Q60" s="350"/>
      <c r="R60" s="350"/>
      <c r="S60" s="350"/>
      <c r="T60" s="350"/>
      <c r="U60" s="350"/>
      <c r="V60" s="127">
        <v>78.099999999999994</v>
      </c>
      <c r="W60">
        <f t="shared" si="22"/>
        <v>0</v>
      </c>
      <c r="X60">
        <f t="shared" ref="X60:BA60" si="45">IF(AND(X$37-$A60&gt;$V$25,SUM($W60:W60)&lt;&gt;$V60),$V60,0)</f>
        <v>0</v>
      </c>
      <c r="Y60">
        <f t="shared" si="45"/>
        <v>0</v>
      </c>
      <c r="Z60">
        <f t="shared" si="45"/>
        <v>0</v>
      </c>
      <c r="AA60">
        <f t="shared" si="45"/>
        <v>0</v>
      </c>
      <c r="AB60">
        <f t="shared" si="45"/>
        <v>0</v>
      </c>
      <c r="AC60">
        <f t="shared" si="45"/>
        <v>0</v>
      </c>
      <c r="AD60">
        <f t="shared" si="45"/>
        <v>0</v>
      </c>
      <c r="AE60">
        <f t="shared" si="45"/>
        <v>0</v>
      </c>
      <c r="AF60">
        <f t="shared" si="45"/>
        <v>0</v>
      </c>
      <c r="AG60">
        <f t="shared" si="45"/>
        <v>0</v>
      </c>
      <c r="AH60">
        <f t="shared" si="45"/>
        <v>0</v>
      </c>
      <c r="AI60">
        <f t="shared" si="45"/>
        <v>0</v>
      </c>
      <c r="AJ60">
        <f t="shared" si="45"/>
        <v>0</v>
      </c>
      <c r="AK60">
        <f t="shared" si="45"/>
        <v>0</v>
      </c>
      <c r="AL60">
        <f t="shared" si="45"/>
        <v>0</v>
      </c>
      <c r="AM60">
        <f t="shared" si="45"/>
        <v>0</v>
      </c>
      <c r="AN60">
        <f t="shared" si="45"/>
        <v>0</v>
      </c>
      <c r="AO60">
        <f t="shared" si="45"/>
        <v>0</v>
      </c>
      <c r="AP60">
        <f t="shared" si="45"/>
        <v>0</v>
      </c>
      <c r="AQ60">
        <f t="shared" si="45"/>
        <v>0</v>
      </c>
      <c r="AR60">
        <f t="shared" si="45"/>
        <v>0</v>
      </c>
      <c r="AS60">
        <f t="shared" si="45"/>
        <v>0</v>
      </c>
      <c r="AT60">
        <f t="shared" si="45"/>
        <v>0</v>
      </c>
      <c r="AU60">
        <f t="shared" si="45"/>
        <v>0</v>
      </c>
      <c r="AV60">
        <f t="shared" si="45"/>
        <v>0</v>
      </c>
      <c r="AW60">
        <f t="shared" si="45"/>
        <v>0</v>
      </c>
      <c r="AX60">
        <f t="shared" si="45"/>
        <v>0</v>
      </c>
      <c r="AY60">
        <f t="shared" si="45"/>
        <v>0</v>
      </c>
      <c r="AZ60">
        <f t="shared" si="45"/>
        <v>0</v>
      </c>
      <c r="BA60">
        <f t="shared" si="45"/>
        <v>0</v>
      </c>
    </row>
    <row r="61" spans="1:53" ht="15.75" customHeight="1">
      <c r="A61" s="362">
        <v>1996</v>
      </c>
      <c r="B61" s="350"/>
      <c r="C61" s="350"/>
      <c r="D61" s="350"/>
      <c r="E61" s="350"/>
      <c r="F61" s="350"/>
      <c r="G61" s="350"/>
      <c r="H61" s="350"/>
      <c r="I61" s="350"/>
      <c r="J61" s="350"/>
      <c r="K61" s="350"/>
      <c r="L61" s="350"/>
      <c r="M61" s="350"/>
      <c r="N61" s="350"/>
      <c r="O61" s="350"/>
      <c r="P61" s="350"/>
      <c r="Q61" s="350"/>
      <c r="R61" s="350"/>
      <c r="S61" s="350"/>
      <c r="T61" s="350"/>
      <c r="U61" s="350"/>
      <c r="V61" s="127">
        <v>115</v>
      </c>
      <c r="W61">
        <f t="shared" si="22"/>
        <v>0</v>
      </c>
      <c r="X61">
        <f t="shared" ref="X61:BA61" si="46">IF(AND(X$37-$A61&gt;$V$25,SUM($W61:W61)&lt;&gt;$V61),$V61,0)</f>
        <v>0</v>
      </c>
      <c r="Y61">
        <f t="shared" si="46"/>
        <v>0</v>
      </c>
      <c r="Z61">
        <f t="shared" si="46"/>
        <v>0</v>
      </c>
      <c r="AA61">
        <f t="shared" si="46"/>
        <v>0</v>
      </c>
      <c r="AB61">
        <f t="shared" si="46"/>
        <v>0</v>
      </c>
      <c r="AC61">
        <f t="shared" si="46"/>
        <v>0</v>
      </c>
      <c r="AD61">
        <f t="shared" si="46"/>
        <v>0</v>
      </c>
      <c r="AE61">
        <f t="shared" si="46"/>
        <v>0</v>
      </c>
      <c r="AF61">
        <f t="shared" si="46"/>
        <v>0</v>
      </c>
      <c r="AG61">
        <f t="shared" si="46"/>
        <v>0</v>
      </c>
      <c r="AH61">
        <f t="shared" si="46"/>
        <v>0</v>
      </c>
      <c r="AI61">
        <f t="shared" si="46"/>
        <v>0</v>
      </c>
      <c r="AJ61">
        <f t="shared" si="46"/>
        <v>0</v>
      </c>
      <c r="AK61">
        <f t="shared" si="46"/>
        <v>0</v>
      </c>
      <c r="AL61">
        <f t="shared" si="46"/>
        <v>0</v>
      </c>
      <c r="AM61">
        <f t="shared" si="46"/>
        <v>0</v>
      </c>
      <c r="AN61">
        <f t="shared" si="46"/>
        <v>0</v>
      </c>
      <c r="AO61">
        <f t="shared" si="46"/>
        <v>0</v>
      </c>
      <c r="AP61">
        <f t="shared" si="46"/>
        <v>0</v>
      </c>
      <c r="AQ61">
        <f t="shared" si="46"/>
        <v>0</v>
      </c>
      <c r="AR61">
        <f t="shared" si="46"/>
        <v>0</v>
      </c>
      <c r="AS61">
        <f t="shared" si="46"/>
        <v>0</v>
      </c>
      <c r="AT61">
        <f t="shared" si="46"/>
        <v>0</v>
      </c>
      <c r="AU61">
        <f t="shared" si="46"/>
        <v>0</v>
      </c>
      <c r="AV61">
        <f t="shared" si="46"/>
        <v>0</v>
      </c>
      <c r="AW61">
        <f t="shared" si="46"/>
        <v>0</v>
      </c>
      <c r="AX61">
        <f t="shared" si="46"/>
        <v>0</v>
      </c>
      <c r="AY61">
        <f t="shared" si="46"/>
        <v>0</v>
      </c>
      <c r="AZ61">
        <f t="shared" si="46"/>
        <v>0</v>
      </c>
      <c r="BA61">
        <f t="shared" si="46"/>
        <v>0</v>
      </c>
    </row>
    <row r="62" spans="1:53" ht="15.75" customHeight="1">
      <c r="A62" s="362">
        <v>1997</v>
      </c>
      <c r="B62" s="350"/>
      <c r="C62" s="350"/>
      <c r="D62" s="350"/>
      <c r="E62" s="350"/>
      <c r="F62" s="350"/>
      <c r="G62" s="350"/>
      <c r="H62" s="350"/>
      <c r="I62" s="350"/>
      <c r="J62" s="350"/>
      <c r="K62" s="350"/>
      <c r="L62" s="350"/>
      <c r="M62" s="350"/>
      <c r="N62" s="350"/>
      <c r="O62" s="350"/>
      <c r="P62" s="350"/>
      <c r="Q62" s="350"/>
      <c r="R62" s="350"/>
      <c r="S62" s="350"/>
      <c r="T62" s="350"/>
      <c r="U62" s="350"/>
      <c r="V62" s="127">
        <v>31.2</v>
      </c>
      <c r="W62">
        <f t="shared" si="22"/>
        <v>0</v>
      </c>
      <c r="X62">
        <f t="shared" ref="X62:BA62" si="47">IF(AND(X$37-$A62&gt;$V$25,SUM($W62:W62)&lt;&gt;$V62),$V62,0)</f>
        <v>0</v>
      </c>
      <c r="Y62">
        <f t="shared" si="47"/>
        <v>0</v>
      </c>
      <c r="Z62">
        <f t="shared" si="47"/>
        <v>0</v>
      </c>
      <c r="AA62">
        <f t="shared" si="47"/>
        <v>0</v>
      </c>
      <c r="AB62">
        <f t="shared" si="47"/>
        <v>0</v>
      </c>
      <c r="AC62">
        <f t="shared" si="47"/>
        <v>0</v>
      </c>
      <c r="AD62">
        <f t="shared" si="47"/>
        <v>0</v>
      </c>
      <c r="AE62">
        <f t="shared" si="47"/>
        <v>0</v>
      </c>
      <c r="AF62">
        <f t="shared" si="47"/>
        <v>0</v>
      </c>
      <c r="AG62">
        <f t="shared" si="47"/>
        <v>0</v>
      </c>
      <c r="AH62">
        <f t="shared" si="47"/>
        <v>0</v>
      </c>
      <c r="AI62">
        <f t="shared" si="47"/>
        <v>0</v>
      </c>
      <c r="AJ62">
        <f t="shared" si="47"/>
        <v>0</v>
      </c>
      <c r="AK62">
        <f t="shared" si="47"/>
        <v>0</v>
      </c>
      <c r="AL62">
        <f t="shared" si="47"/>
        <v>0</v>
      </c>
      <c r="AM62">
        <f t="shared" si="47"/>
        <v>0</v>
      </c>
      <c r="AN62">
        <f t="shared" si="47"/>
        <v>0</v>
      </c>
      <c r="AO62">
        <f t="shared" si="47"/>
        <v>0</v>
      </c>
      <c r="AP62">
        <f t="shared" si="47"/>
        <v>0</v>
      </c>
      <c r="AQ62">
        <f t="shared" si="47"/>
        <v>0</v>
      </c>
      <c r="AR62">
        <f t="shared" si="47"/>
        <v>0</v>
      </c>
      <c r="AS62">
        <f t="shared" si="47"/>
        <v>0</v>
      </c>
      <c r="AT62">
        <f t="shared" si="47"/>
        <v>0</v>
      </c>
      <c r="AU62">
        <f t="shared" si="47"/>
        <v>0</v>
      </c>
      <c r="AV62">
        <f t="shared" si="47"/>
        <v>0</v>
      </c>
      <c r="AW62">
        <f t="shared" si="47"/>
        <v>0</v>
      </c>
      <c r="AX62">
        <f t="shared" si="47"/>
        <v>0</v>
      </c>
      <c r="AY62">
        <f t="shared" si="47"/>
        <v>0</v>
      </c>
      <c r="AZ62">
        <f t="shared" si="47"/>
        <v>0</v>
      </c>
      <c r="BA62">
        <f t="shared" si="47"/>
        <v>0</v>
      </c>
    </row>
    <row r="63" spans="1:53" ht="15.75" customHeight="1">
      <c r="A63" s="362">
        <v>1998</v>
      </c>
      <c r="B63" s="350"/>
      <c r="C63" s="350"/>
      <c r="D63" s="350"/>
      <c r="E63" s="350"/>
      <c r="F63" s="350"/>
      <c r="G63" s="350"/>
      <c r="H63" s="350"/>
      <c r="I63" s="350"/>
      <c r="J63" s="350"/>
      <c r="K63" s="350"/>
      <c r="L63" s="350"/>
      <c r="M63" s="350"/>
      <c r="N63" s="350"/>
      <c r="O63" s="350"/>
      <c r="P63" s="350"/>
      <c r="Q63" s="350"/>
      <c r="R63" s="350"/>
      <c r="S63" s="350"/>
      <c r="T63" s="350"/>
      <c r="U63" s="350"/>
      <c r="V63" s="127">
        <v>42.9</v>
      </c>
      <c r="W63">
        <f t="shared" si="22"/>
        <v>0</v>
      </c>
      <c r="X63">
        <f t="shared" ref="X63:AZ63" si="48">IF(AND(X$37-$A63&gt;$V$25,SUM($W63:W63)&lt;&gt;$V63),$V63,0)</f>
        <v>0</v>
      </c>
      <c r="Y63">
        <f t="shared" si="48"/>
        <v>0</v>
      </c>
      <c r="Z63">
        <f t="shared" si="48"/>
        <v>0</v>
      </c>
      <c r="AA63">
        <f t="shared" si="48"/>
        <v>0</v>
      </c>
      <c r="AB63">
        <f t="shared" si="48"/>
        <v>0</v>
      </c>
      <c r="AC63">
        <f t="shared" si="48"/>
        <v>0</v>
      </c>
      <c r="AD63">
        <f t="shared" si="48"/>
        <v>0</v>
      </c>
      <c r="AE63">
        <f t="shared" si="48"/>
        <v>0</v>
      </c>
      <c r="AF63">
        <f t="shared" si="48"/>
        <v>0</v>
      </c>
      <c r="AG63">
        <f t="shared" si="48"/>
        <v>0</v>
      </c>
      <c r="AH63">
        <f t="shared" si="48"/>
        <v>0</v>
      </c>
      <c r="AI63">
        <f t="shared" si="48"/>
        <v>0</v>
      </c>
      <c r="AJ63">
        <f t="shared" si="48"/>
        <v>0</v>
      </c>
      <c r="AK63">
        <f t="shared" si="48"/>
        <v>0</v>
      </c>
      <c r="AL63">
        <f t="shared" si="48"/>
        <v>0</v>
      </c>
      <c r="AM63">
        <f t="shared" si="48"/>
        <v>0</v>
      </c>
      <c r="AN63">
        <f t="shared" si="48"/>
        <v>0</v>
      </c>
      <c r="AO63">
        <f t="shared" si="48"/>
        <v>0</v>
      </c>
      <c r="AP63">
        <f t="shared" si="48"/>
        <v>0</v>
      </c>
      <c r="AQ63">
        <f t="shared" si="48"/>
        <v>0</v>
      </c>
      <c r="AR63">
        <f t="shared" si="48"/>
        <v>0</v>
      </c>
      <c r="AS63">
        <f t="shared" si="48"/>
        <v>0</v>
      </c>
      <c r="AT63">
        <f t="shared" si="48"/>
        <v>0</v>
      </c>
      <c r="AU63">
        <f t="shared" si="48"/>
        <v>0</v>
      </c>
      <c r="AV63">
        <f t="shared" si="48"/>
        <v>0</v>
      </c>
      <c r="AW63">
        <f t="shared" si="48"/>
        <v>0</v>
      </c>
      <c r="AX63">
        <f t="shared" si="48"/>
        <v>0</v>
      </c>
      <c r="AY63">
        <f t="shared" si="48"/>
        <v>0</v>
      </c>
      <c r="AZ63">
        <f t="shared" si="48"/>
        <v>0</v>
      </c>
    </row>
    <row r="64" spans="1:53" ht="15.75" customHeight="1">
      <c r="A64" s="362">
        <v>1999</v>
      </c>
      <c r="V64" s="127">
        <v>45.7</v>
      </c>
      <c r="W64">
        <f t="shared" si="22"/>
        <v>0</v>
      </c>
      <c r="X64">
        <f t="shared" ref="X64:AZ64" si="49">IF(AND(X$37-$A64&gt;$V$25,SUM($W64:W64)&lt;&gt;$V64),$V64,0)</f>
        <v>0</v>
      </c>
      <c r="Y64">
        <f t="shared" si="49"/>
        <v>0</v>
      </c>
      <c r="Z64">
        <f t="shared" si="49"/>
        <v>0</v>
      </c>
      <c r="AA64">
        <f t="shared" si="49"/>
        <v>0</v>
      </c>
      <c r="AB64">
        <f t="shared" si="49"/>
        <v>0</v>
      </c>
      <c r="AC64">
        <f t="shared" si="49"/>
        <v>0</v>
      </c>
      <c r="AD64">
        <f t="shared" si="49"/>
        <v>0</v>
      </c>
      <c r="AE64">
        <f t="shared" si="49"/>
        <v>0</v>
      </c>
      <c r="AF64">
        <f t="shared" si="49"/>
        <v>0</v>
      </c>
      <c r="AG64">
        <f t="shared" si="49"/>
        <v>0</v>
      </c>
      <c r="AH64">
        <f t="shared" si="49"/>
        <v>0</v>
      </c>
      <c r="AI64">
        <f t="shared" si="49"/>
        <v>0</v>
      </c>
      <c r="AJ64">
        <f t="shared" si="49"/>
        <v>0</v>
      </c>
      <c r="AK64">
        <f t="shared" si="49"/>
        <v>0</v>
      </c>
      <c r="AL64">
        <f t="shared" si="49"/>
        <v>0</v>
      </c>
      <c r="AM64">
        <f t="shared" si="49"/>
        <v>0</v>
      </c>
      <c r="AN64">
        <f t="shared" si="49"/>
        <v>0</v>
      </c>
      <c r="AO64">
        <f t="shared" si="49"/>
        <v>0</v>
      </c>
      <c r="AP64">
        <f t="shared" si="49"/>
        <v>0</v>
      </c>
      <c r="AQ64">
        <f t="shared" si="49"/>
        <v>0</v>
      </c>
      <c r="AR64">
        <f t="shared" si="49"/>
        <v>0</v>
      </c>
      <c r="AS64">
        <f t="shared" si="49"/>
        <v>0</v>
      </c>
      <c r="AT64">
        <f t="shared" si="49"/>
        <v>0</v>
      </c>
      <c r="AU64">
        <f t="shared" si="49"/>
        <v>0</v>
      </c>
      <c r="AV64">
        <f t="shared" si="49"/>
        <v>0</v>
      </c>
      <c r="AW64">
        <f t="shared" si="49"/>
        <v>0</v>
      </c>
      <c r="AX64">
        <f t="shared" si="49"/>
        <v>0</v>
      </c>
      <c r="AY64">
        <f t="shared" si="49"/>
        <v>0</v>
      </c>
      <c r="AZ64">
        <f t="shared" si="49"/>
        <v>0</v>
      </c>
    </row>
    <row r="65" spans="1:52" ht="15.75" customHeight="1">
      <c r="A65" s="362">
        <v>2000</v>
      </c>
      <c r="V65" s="127">
        <v>24.6</v>
      </c>
      <c r="W65">
        <f t="shared" si="22"/>
        <v>0</v>
      </c>
      <c r="X65">
        <f t="shared" ref="X65:AZ65" si="50">IF(AND(X$37-$A65&gt;$V$25,SUM($W65:W65)&lt;&gt;$V65),$V65,0)</f>
        <v>0</v>
      </c>
      <c r="Y65">
        <f t="shared" si="50"/>
        <v>0</v>
      </c>
      <c r="Z65">
        <f t="shared" si="50"/>
        <v>0</v>
      </c>
      <c r="AA65">
        <f t="shared" si="50"/>
        <v>0</v>
      </c>
      <c r="AB65">
        <f t="shared" si="50"/>
        <v>0</v>
      </c>
      <c r="AC65">
        <f t="shared" si="50"/>
        <v>0</v>
      </c>
      <c r="AD65">
        <f t="shared" si="50"/>
        <v>0</v>
      </c>
      <c r="AE65">
        <f t="shared" si="50"/>
        <v>0</v>
      </c>
      <c r="AF65">
        <f t="shared" si="50"/>
        <v>0</v>
      </c>
      <c r="AG65">
        <f t="shared" si="50"/>
        <v>0</v>
      </c>
      <c r="AH65">
        <f t="shared" si="50"/>
        <v>0</v>
      </c>
      <c r="AI65">
        <f t="shared" si="50"/>
        <v>0</v>
      </c>
      <c r="AJ65">
        <f t="shared" si="50"/>
        <v>0</v>
      </c>
      <c r="AK65">
        <f t="shared" si="50"/>
        <v>0</v>
      </c>
      <c r="AL65">
        <f t="shared" si="50"/>
        <v>0</v>
      </c>
      <c r="AM65">
        <f t="shared" si="50"/>
        <v>0</v>
      </c>
      <c r="AN65">
        <f t="shared" si="50"/>
        <v>0</v>
      </c>
      <c r="AO65">
        <f t="shared" si="50"/>
        <v>0</v>
      </c>
      <c r="AP65">
        <f t="shared" si="50"/>
        <v>0</v>
      </c>
      <c r="AQ65">
        <f t="shared" si="50"/>
        <v>0</v>
      </c>
      <c r="AR65">
        <f t="shared" si="50"/>
        <v>0</v>
      </c>
      <c r="AS65">
        <f t="shared" si="50"/>
        <v>0</v>
      </c>
      <c r="AT65">
        <f t="shared" si="50"/>
        <v>0</v>
      </c>
      <c r="AU65">
        <f t="shared" si="50"/>
        <v>0</v>
      </c>
      <c r="AV65">
        <f t="shared" si="50"/>
        <v>0</v>
      </c>
      <c r="AW65">
        <f t="shared" si="50"/>
        <v>0</v>
      </c>
      <c r="AX65">
        <f t="shared" si="50"/>
        <v>0</v>
      </c>
      <c r="AY65">
        <f t="shared" si="50"/>
        <v>0</v>
      </c>
      <c r="AZ65">
        <f t="shared" si="50"/>
        <v>0</v>
      </c>
    </row>
    <row r="66" spans="1:52" ht="15.75" customHeight="1">
      <c r="A66" s="362">
        <v>2001</v>
      </c>
      <c r="V66" s="127">
        <v>91.1</v>
      </c>
      <c r="W66">
        <f t="shared" si="22"/>
        <v>0</v>
      </c>
      <c r="X66">
        <f t="shared" ref="X66:AZ66" si="51">IF(AND(X$37-$A66&gt;$V$25,SUM($W66:W66)&lt;&gt;$V66),$V66,0)</f>
        <v>0</v>
      </c>
      <c r="Y66">
        <f t="shared" si="51"/>
        <v>0</v>
      </c>
      <c r="Z66">
        <f t="shared" si="51"/>
        <v>0</v>
      </c>
      <c r="AA66">
        <f t="shared" si="51"/>
        <v>0</v>
      </c>
      <c r="AB66">
        <f t="shared" si="51"/>
        <v>0</v>
      </c>
      <c r="AC66">
        <f t="shared" si="51"/>
        <v>0</v>
      </c>
      <c r="AD66">
        <f t="shared" si="51"/>
        <v>0</v>
      </c>
      <c r="AE66">
        <f t="shared" si="51"/>
        <v>0</v>
      </c>
      <c r="AF66">
        <f t="shared" si="51"/>
        <v>0</v>
      </c>
      <c r="AG66">
        <f t="shared" si="51"/>
        <v>0</v>
      </c>
      <c r="AH66">
        <f t="shared" si="51"/>
        <v>0</v>
      </c>
      <c r="AI66">
        <f t="shared" si="51"/>
        <v>0</v>
      </c>
      <c r="AJ66">
        <f t="shared" si="51"/>
        <v>0</v>
      </c>
      <c r="AK66">
        <f t="shared" si="51"/>
        <v>0</v>
      </c>
      <c r="AL66">
        <f t="shared" si="51"/>
        <v>0</v>
      </c>
      <c r="AM66">
        <f t="shared" si="51"/>
        <v>0</v>
      </c>
      <c r="AN66">
        <f t="shared" si="51"/>
        <v>0</v>
      </c>
      <c r="AO66">
        <f t="shared" si="51"/>
        <v>0</v>
      </c>
      <c r="AP66">
        <f t="shared" si="51"/>
        <v>0</v>
      </c>
      <c r="AQ66">
        <f t="shared" si="51"/>
        <v>0</v>
      </c>
      <c r="AR66">
        <f t="shared" si="51"/>
        <v>0</v>
      </c>
      <c r="AS66">
        <f t="shared" si="51"/>
        <v>0</v>
      </c>
      <c r="AT66">
        <f t="shared" si="51"/>
        <v>0</v>
      </c>
      <c r="AU66">
        <f t="shared" si="51"/>
        <v>0</v>
      </c>
      <c r="AV66">
        <f t="shared" si="51"/>
        <v>0</v>
      </c>
      <c r="AW66">
        <f t="shared" si="51"/>
        <v>0</v>
      </c>
      <c r="AX66">
        <f t="shared" si="51"/>
        <v>0</v>
      </c>
      <c r="AY66">
        <f t="shared" si="51"/>
        <v>0</v>
      </c>
      <c r="AZ66">
        <f t="shared" si="51"/>
        <v>0</v>
      </c>
    </row>
    <row r="67" spans="1:52" ht="15.75" customHeight="1">
      <c r="A67" s="362">
        <v>2002</v>
      </c>
      <c r="V67" s="127">
        <v>24.5</v>
      </c>
      <c r="W67">
        <f t="shared" si="22"/>
        <v>0</v>
      </c>
      <c r="X67">
        <f t="shared" ref="X67:AZ67" si="52">IF(AND(X$37-$A67&gt;$V$25,SUM($W67:W67)&lt;&gt;$V67),$V67,0)</f>
        <v>0</v>
      </c>
      <c r="Y67">
        <f t="shared" si="52"/>
        <v>0</v>
      </c>
      <c r="Z67">
        <f t="shared" si="52"/>
        <v>0</v>
      </c>
      <c r="AA67">
        <f t="shared" si="52"/>
        <v>0</v>
      </c>
      <c r="AB67">
        <f t="shared" si="52"/>
        <v>0</v>
      </c>
      <c r="AC67">
        <f t="shared" si="52"/>
        <v>0</v>
      </c>
      <c r="AD67">
        <f t="shared" si="52"/>
        <v>0</v>
      </c>
      <c r="AE67">
        <f t="shared" si="52"/>
        <v>0</v>
      </c>
      <c r="AF67">
        <f t="shared" si="52"/>
        <v>0</v>
      </c>
      <c r="AG67">
        <f t="shared" si="52"/>
        <v>0</v>
      </c>
      <c r="AH67">
        <f t="shared" si="52"/>
        <v>0</v>
      </c>
      <c r="AI67">
        <f t="shared" si="52"/>
        <v>0</v>
      </c>
      <c r="AJ67">
        <f t="shared" si="52"/>
        <v>0</v>
      </c>
      <c r="AK67">
        <f t="shared" si="52"/>
        <v>0</v>
      </c>
      <c r="AL67">
        <f t="shared" si="52"/>
        <v>0</v>
      </c>
      <c r="AM67">
        <f t="shared" si="52"/>
        <v>0</v>
      </c>
      <c r="AN67">
        <f t="shared" si="52"/>
        <v>0</v>
      </c>
      <c r="AO67">
        <f t="shared" si="52"/>
        <v>0</v>
      </c>
      <c r="AP67">
        <f t="shared" si="52"/>
        <v>0</v>
      </c>
      <c r="AQ67">
        <f t="shared" si="52"/>
        <v>0</v>
      </c>
      <c r="AR67">
        <f t="shared" si="52"/>
        <v>0</v>
      </c>
      <c r="AS67">
        <f t="shared" si="52"/>
        <v>0</v>
      </c>
      <c r="AT67">
        <f t="shared" si="52"/>
        <v>0</v>
      </c>
      <c r="AU67">
        <f t="shared" si="52"/>
        <v>0</v>
      </c>
      <c r="AV67">
        <f t="shared" si="52"/>
        <v>0</v>
      </c>
      <c r="AW67">
        <f t="shared" si="52"/>
        <v>0</v>
      </c>
      <c r="AX67">
        <f t="shared" si="52"/>
        <v>0</v>
      </c>
      <c r="AY67">
        <f t="shared" si="52"/>
        <v>0</v>
      </c>
      <c r="AZ67">
        <f t="shared" si="52"/>
        <v>0</v>
      </c>
    </row>
    <row r="68" spans="1:52" ht="15.75" customHeight="1">
      <c r="A68" s="362">
        <v>2003</v>
      </c>
      <c r="V68" s="127">
        <v>82.3</v>
      </c>
      <c r="W68">
        <f t="shared" si="22"/>
        <v>0</v>
      </c>
      <c r="X68">
        <f t="shared" ref="X68:AZ68" si="53">IF(AND(X$37-$A68&gt;$V$25,SUM($W68:W68)&lt;&gt;$V68),$V68,0)</f>
        <v>0</v>
      </c>
      <c r="Y68">
        <f t="shared" si="53"/>
        <v>0</v>
      </c>
      <c r="Z68">
        <f t="shared" si="53"/>
        <v>0</v>
      </c>
      <c r="AA68">
        <f t="shared" si="53"/>
        <v>0</v>
      </c>
      <c r="AB68">
        <f t="shared" si="53"/>
        <v>0</v>
      </c>
      <c r="AC68">
        <f t="shared" si="53"/>
        <v>0</v>
      </c>
      <c r="AD68">
        <f t="shared" si="53"/>
        <v>0</v>
      </c>
      <c r="AE68">
        <f t="shared" si="53"/>
        <v>0</v>
      </c>
      <c r="AF68">
        <f t="shared" si="53"/>
        <v>0</v>
      </c>
      <c r="AG68">
        <f t="shared" si="53"/>
        <v>0</v>
      </c>
      <c r="AH68">
        <f t="shared" si="53"/>
        <v>0</v>
      </c>
      <c r="AI68">
        <f t="shared" si="53"/>
        <v>0</v>
      </c>
      <c r="AJ68">
        <f t="shared" si="53"/>
        <v>0</v>
      </c>
      <c r="AK68">
        <f t="shared" si="53"/>
        <v>0</v>
      </c>
      <c r="AL68">
        <f t="shared" si="53"/>
        <v>0</v>
      </c>
      <c r="AM68">
        <f t="shared" si="53"/>
        <v>0</v>
      </c>
      <c r="AN68">
        <f t="shared" si="53"/>
        <v>0</v>
      </c>
      <c r="AO68">
        <f t="shared" si="53"/>
        <v>0</v>
      </c>
      <c r="AP68">
        <f t="shared" si="53"/>
        <v>0</v>
      </c>
      <c r="AQ68">
        <f t="shared" si="53"/>
        <v>0</v>
      </c>
      <c r="AR68">
        <f t="shared" si="53"/>
        <v>0</v>
      </c>
      <c r="AS68">
        <f t="shared" si="53"/>
        <v>0</v>
      </c>
      <c r="AT68">
        <f t="shared" si="53"/>
        <v>0</v>
      </c>
      <c r="AU68">
        <f t="shared" si="53"/>
        <v>0</v>
      </c>
      <c r="AV68">
        <f t="shared" si="53"/>
        <v>0</v>
      </c>
      <c r="AW68">
        <f t="shared" si="53"/>
        <v>0</v>
      </c>
      <c r="AX68">
        <f t="shared" si="53"/>
        <v>0</v>
      </c>
      <c r="AY68">
        <f t="shared" si="53"/>
        <v>0</v>
      </c>
      <c r="AZ68">
        <f t="shared" si="53"/>
        <v>0</v>
      </c>
    </row>
    <row r="69" spans="1:52" ht="15.75" customHeight="1">
      <c r="A69" s="362">
        <v>2004</v>
      </c>
      <c r="V69" s="127">
        <v>41.1</v>
      </c>
      <c r="W69">
        <f t="shared" si="22"/>
        <v>0</v>
      </c>
      <c r="X69">
        <f t="shared" ref="X69:AZ69" si="54">IF(AND(X$37-$A69&gt;$V$25,SUM($W69:W69)&lt;&gt;$V69),$V69,0)</f>
        <v>0</v>
      </c>
      <c r="Y69">
        <f t="shared" si="54"/>
        <v>0</v>
      </c>
      <c r="Z69">
        <f t="shared" si="54"/>
        <v>0</v>
      </c>
      <c r="AA69">
        <f t="shared" si="54"/>
        <v>0</v>
      </c>
      <c r="AB69">
        <f t="shared" si="54"/>
        <v>0</v>
      </c>
      <c r="AC69">
        <f t="shared" si="54"/>
        <v>0</v>
      </c>
      <c r="AD69">
        <f t="shared" si="54"/>
        <v>0</v>
      </c>
      <c r="AE69">
        <f t="shared" si="54"/>
        <v>0</v>
      </c>
      <c r="AF69">
        <f t="shared" si="54"/>
        <v>0</v>
      </c>
      <c r="AG69">
        <f t="shared" si="54"/>
        <v>0</v>
      </c>
      <c r="AH69">
        <f t="shared" si="54"/>
        <v>0</v>
      </c>
      <c r="AI69">
        <f t="shared" si="54"/>
        <v>0</v>
      </c>
      <c r="AJ69">
        <f t="shared" si="54"/>
        <v>0</v>
      </c>
      <c r="AK69">
        <f t="shared" si="54"/>
        <v>0</v>
      </c>
      <c r="AL69">
        <f t="shared" si="54"/>
        <v>0</v>
      </c>
      <c r="AM69">
        <f t="shared" si="54"/>
        <v>0</v>
      </c>
      <c r="AN69">
        <f t="shared" si="54"/>
        <v>0</v>
      </c>
      <c r="AO69">
        <f t="shared" si="54"/>
        <v>0</v>
      </c>
      <c r="AP69">
        <f t="shared" si="54"/>
        <v>0</v>
      </c>
      <c r="AQ69">
        <f t="shared" si="54"/>
        <v>0</v>
      </c>
      <c r="AR69">
        <f t="shared" si="54"/>
        <v>0</v>
      </c>
      <c r="AS69">
        <f t="shared" si="54"/>
        <v>0</v>
      </c>
      <c r="AT69">
        <f t="shared" si="54"/>
        <v>0</v>
      </c>
      <c r="AU69">
        <f t="shared" si="54"/>
        <v>0</v>
      </c>
      <c r="AV69">
        <f t="shared" si="54"/>
        <v>0</v>
      </c>
      <c r="AW69">
        <f t="shared" si="54"/>
        <v>0</v>
      </c>
      <c r="AX69">
        <f t="shared" si="54"/>
        <v>0</v>
      </c>
      <c r="AY69">
        <f t="shared" si="54"/>
        <v>0</v>
      </c>
      <c r="AZ69">
        <f t="shared" si="54"/>
        <v>0</v>
      </c>
    </row>
    <row r="70" spans="1:52" ht="15.75" customHeight="1">
      <c r="A70" s="362">
        <v>2005</v>
      </c>
      <c r="V70" s="127">
        <v>44.2</v>
      </c>
      <c r="W70">
        <f t="shared" si="22"/>
        <v>0</v>
      </c>
      <c r="X70">
        <f t="shared" ref="X70:AZ70" si="55">IF(AND(X$37-$A70&gt;$V$25,SUM($W70:W70)&lt;&gt;$V70),$V70,0)</f>
        <v>0</v>
      </c>
      <c r="Y70">
        <f t="shared" si="55"/>
        <v>0</v>
      </c>
      <c r="Z70">
        <f t="shared" si="55"/>
        <v>0</v>
      </c>
      <c r="AA70">
        <f t="shared" si="55"/>
        <v>0</v>
      </c>
      <c r="AB70">
        <f t="shared" si="55"/>
        <v>0</v>
      </c>
      <c r="AC70">
        <f t="shared" si="55"/>
        <v>0</v>
      </c>
      <c r="AD70">
        <f t="shared" si="55"/>
        <v>0</v>
      </c>
      <c r="AE70">
        <f t="shared" si="55"/>
        <v>0</v>
      </c>
      <c r="AF70">
        <f t="shared" si="55"/>
        <v>0</v>
      </c>
      <c r="AG70">
        <f t="shared" si="55"/>
        <v>0</v>
      </c>
      <c r="AH70">
        <f t="shared" si="55"/>
        <v>0</v>
      </c>
      <c r="AI70">
        <f t="shared" si="55"/>
        <v>0</v>
      </c>
      <c r="AJ70">
        <f t="shared" si="55"/>
        <v>0</v>
      </c>
      <c r="AK70">
        <f t="shared" si="55"/>
        <v>0</v>
      </c>
      <c r="AL70">
        <f t="shared" si="55"/>
        <v>0</v>
      </c>
      <c r="AM70">
        <f t="shared" si="55"/>
        <v>0</v>
      </c>
      <c r="AN70">
        <f t="shared" si="55"/>
        <v>0</v>
      </c>
      <c r="AO70">
        <f t="shared" si="55"/>
        <v>0</v>
      </c>
      <c r="AP70">
        <f t="shared" si="55"/>
        <v>0</v>
      </c>
      <c r="AQ70">
        <f t="shared" si="55"/>
        <v>0</v>
      </c>
      <c r="AR70">
        <f t="shared" si="55"/>
        <v>0</v>
      </c>
      <c r="AS70">
        <f t="shared" si="55"/>
        <v>0</v>
      </c>
      <c r="AT70">
        <f t="shared" si="55"/>
        <v>0</v>
      </c>
      <c r="AU70">
        <f t="shared" si="55"/>
        <v>0</v>
      </c>
      <c r="AV70">
        <f t="shared" si="55"/>
        <v>0</v>
      </c>
      <c r="AW70">
        <f t="shared" si="55"/>
        <v>0</v>
      </c>
      <c r="AX70">
        <f t="shared" si="55"/>
        <v>0</v>
      </c>
      <c r="AY70">
        <f t="shared" si="55"/>
        <v>0</v>
      </c>
      <c r="AZ70">
        <f t="shared" si="55"/>
        <v>0</v>
      </c>
    </row>
    <row r="71" spans="1:52" ht="15.75" customHeight="1">
      <c r="A71" s="362">
        <v>2006</v>
      </c>
      <c r="V71" s="127">
        <v>123.7</v>
      </c>
      <c r="W71">
        <f t="shared" si="22"/>
        <v>0</v>
      </c>
      <c r="X71">
        <f t="shared" ref="X71:AZ71" si="56">IF(AND(X$37-$A71&gt;$V$25,SUM($W71:W71)&lt;&gt;$V71),$V71,0)</f>
        <v>0</v>
      </c>
      <c r="Y71">
        <f t="shared" si="56"/>
        <v>0</v>
      </c>
      <c r="Z71">
        <f t="shared" si="56"/>
        <v>0</v>
      </c>
      <c r="AA71">
        <f t="shared" si="56"/>
        <v>0</v>
      </c>
      <c r="AB71">
        <f t="shared" si="56"/>
        <v>0</v>
      </c>
      <c r="AC71">
        <f t="shared" si="56"/>
        <v>0</v>
      </c>
      <c r="AD71">
        <f t="shared" si="56"/>
        <v>0</v>
      </c>
      <c r="AE71">
        <f t="shared" si="56"/>
        <v>0</v>
      </c>
      <c r="AF71">
        <f t="shared" si="56"/>
        <v>0</v>
      </c>
      <c r="AG71">
        <f t="shared" si="56"/>
        <v>0</v>
      </c>
      <c r="AH71">
        <f t="shared" si="56"/>
        <v>0</v>
      </c>
      <c r="AI71">
        <f t="shared" si="56"/>
        <v>0</v>
      </c>
      <c r="AJ71">
        <f t="shared" si="56"/>
        <v>0</v>
      </c>
      <c r="AK71">
        <f t="shared" si="56"/>
        <v>0</v>
      </c>
      <c r="AL71">
        <f t="shared" si="56"/>
        <v>0</v>
      </c>
      <c r="AM71">
        <f t="shared" si="56"/>
        <v>0</v>
      </c>
      <c r="AN71">
        <f t="shared" si="56"/>
        <v>0</v>
      </c>
      <c r="AO71">
        <f t="shared" si="56"/>
        <v>0</v>
      </c>
      <c r="AP71">
        <f t="shared" si="56"/>
        <v>0</v>
      </c>
      <c r="AQ71">
        <f t="shared" si="56"/>
        <v>0</v>
      </c>
      <c r="AR71">
        <f t="shared" si="56"/>
        <v>0</v>
      </c>
      <c r="AS71">
        <f t="shared" si="56"/>
        <v>0</v>
      </c>
      <c r="AT71">
        <f t="shared" si="56"/>
        <v>0</v>
      </c>
      <c r="AU71">
        <f t="shared" si="56"/>
        <v>0</v>
      </c>
      <c r="AV71">
        <f t="shared" si="56"/>
        <v>0</v>
      </c>
      <c r="AW71">
        <f t="shared" si="56"/>
        <v>0</v>
      </c>
      <c r="AX71">
        <f t="shared" si="56"/>
        <v>0</v>
      </c>
      <c r="AY71">
        <f t="shared" si="56"/>
        <v>0</v>
      </c>
      <c r="AZ71">
        <f t="shared" si="56"/>
        <v>0</v>
      </c>
    </row>
    <row r="72" spans="1:52" ht="15.75" customHeight="1">
      <c r="A72" s="362">
        <v>2007</v>
      </c>
      <c r="V72" s="127">
        <v>130.30000000000001</v>
      </c>
      <c r="W72">
        <f t="shared" si="22"/>
        <v>0</v>
      </c>
      <c r="X72">
        <f t="shared" ref="X72:AZ72" si="57">IF(AND(X$37-$A72&gt;$V$25,SUM($W72:W72)&lt;&gt;$V72),$V72,0)</f>
        <v>0</v>
      </c>
      <c r="Y72">
        <f t="shared" si="57"/>
        <v>0</v>
      </c>
      <c r="Z72">
        <f t="shared" si="57"/>
        <v>0</v>
      </c>
      <c r="AA72">
        <f t="shared" si="57"/>
        <v>0</v>
      </c>
      <c r="AB72">
        <f t="shared" si="57"/>
        <v>0</v>
      </c>
      <c r="AC72">
        <f t="shared" si="57"/>
        <v>0</v>
      </c>
      <c r="AD72">
        <f t="shared" si="57"/>
        <v>0</v>
      </c>
      <c r="AE72">
        <f t="shared" si="57"/>
        <v>0</v>
      </c>
      <c r="AF72">
        <f t="shared" si="57"/>
        <v>0</v>
      </c>
      <c r="AG72">
        <f t="shared" si="57"/>
        <v>0</v>
      </c>
      <c r="AH72">
        <f t="shared" si="57"/>
        <v>0</v>
      </c>
      <c r="AI72">
        <f t="shared" si="57"/>
        <v>0</v>
      </c>
      <c r="AJ72">
        <f t="shared" si="57"/>
        <v>0</v>
      </c>
      <c r="AK72">
        <f t="shared" si="57"/>
        <v>0</v>
      </c>
      <c r="AL72">
        <f t="shared" si="57"/>
        <v>0</v>
      </c>
      <c r="AM72">
        <f t="shared" si="57"/>
        <v>0</v>
      </c>
      <c r="AN72">
        <f t="shared" si="57"/>
        <v>0</v>
      </c>
      <c r="AO72">
        <f t="shared" si="57"/>
        <v>0</v>
      </c>
      <c r="AP72">
        <f t="shared" si="57"/>
        <v>0</v>
      </c>
      <c r="AQ72">
        <f t="shared" si="57"/>
        <v>0</v>
      </c>
      <c r="AR72">
        <f t="shared" si="57"/>
        <v>0</v>
      </c>
      <c r="AS72">
        <f t="shared" si="57"/>
        <v>0</v>
      </c>
      <c r="AT72">
        <f t="shared" si="57"/>
        <v>0</v>
      </c>
      <c r="AU72">
        <f t="shared" si="57"/>
        <v>0</v>
      </c>
      <c r="AV72">
        <f t="shared" si="57"/>
        <v>0</v>
      </c>
      <c r="AW72">
        <f t="shared" si="57"/>
        <v>0</v>
      </c>
      <c r="AX72">
        <f t="shared" si="57"/>
        <v>0</v>
      </c>
      <c r="AY72">
        <f t="shared" si="57"/>
        <v>0</v>
      </c>
      <c r="AZ72">
        <f t="shared" si="57"/>
        <v>0</v>
      </c>
    </row>
    <row r="73" spans="1:52" ht="15.75" customHeight="1">
      <c r="A73" s="362">
        <v>2008</v>
      </c>
      <c r="V73" s="127">
        <v>131.5</v>
      </c>
      <c r="W73">
        <f t="shared" si="22"/>
        <v>0</v>
      </c>
      <c r="X73">
        <f t="shared" ref="X73:AZ73" si="58">IF(AND(X$37-$A73&gt;$V$25,SUM($W73:W73)&lt;&gt;$V73),$V73,0)</f>
        <v>0</v>
      </c>
      <c r="Y73">
        <f t="shared" si="58"/>
        <v>0</v>
      </c>
      <c r="Z73">
        <f t="shared" si="58"/>
        <v>0</v>
      </c>
      <c r="AA73">
        <f t="shared" si="58"/>
        <v>0</v>
      </c>
      <c r="AB73">
        <f t="shared" si="58"/>
        <v>0</v>
      </c>
      <c r="AC73">
        <f t="shared" si="58"/>
        <v>0</v>
      </c>
      <c r="AD73">
        <f t="shared" si="58"/>
        <v>0</v>
      </c>
      <c r="AE73">
        <f t="shared" si="58"/>
        <v>0</v>
      </c>
      <c r="AF73">
        <f t="shared" si="58"/>
        <v>0</v>
      </c>
      <c r="AG73">
        <f t="shared" si="58"/>
        <v>0</v>
      </c>
      <c r="AH73">
        <f t="shared" si="58"/>
        <v>0</v>
      </c>
      <c r="AI73">
        <f t="shared" si="58"/>
        <v>0</v>
      </c>
      <c r="AJ73">
        <f t="shared" si="58"/>
        <v>0</v>
      </c>
      <c r="AK73">
        <f t="shared" si="58"/>
        <v>0</v>
      </c>
      <c r="AL73">
        <f t="shared" si="58"/>
        <v>0</v>
      </c>
      <c r="AM73">
        <f t="shared" si="58"/>
        <v>0</v>
      </c>
      <c r="AN73">
        <f t="shared" si="58"/>
        <v>0</v>
      </c>
      <c r="AO73">
        <f t="shared" si="58"/>
        <v>0</v>
      </c>
      <c r="AP73">
        <f t="shared" si="58"/>
        <v>0</v>
      </c>
      <c r="AQ73">
        <f t="shared" si="58"/>
        <v>0</v>
      </c>
      <c r="AR73">
        <f t="shared" si="58"/>
        <v>0</v>
      </c>
      <c r="AS73">
        <f t="shared" si="58"/>
        <v>0</v>
      </c>
      <c r="AT73">
        <f t="shared" si="58"/>
        <v>0</v>
      </c>
      <c r="AU73">
        <f t="shared" si="58"/>
        <v>0</v>
      </c>
      <c r="AV73">
        <f t="shared" si="58"/>
        <v>0</v>
      </c>
      <c r="AW73">
        <f t="shared" si="58"/>
        <v>0</v>
      </c>
      <c r="AX73">
        <f t="shared" si="58"/>
        <v>0</v>
      </c>
      <c r="AY73">
        <f t="shared" si="58"/>
        <v>0</v>
      </c>
      <c r="AZ73">
        <f t="shared" si="58"/>
        <v>0</v>
      </c>
    </row>
    <row r="74" spans="1:52" ht="15.75" customHeight="1">
      <c r="A74" s="362">
        <v>2009</v>
      </c>
      <c r="V74" s="127">
        <v>132</v>
      </c>
      <c r="W74">
        <f t="shared" si="22"/>
        <v>0</v>
      </c>
      <c r="X74">
        <f t="shared" ref="X74:AZ74" si="59">IF(AND(X$37-$A74&gt;$V$25,SUM($W74:W74)&lt;&gt;$V74),$V74,0)</f>
        <v>0</v>
      </c>
      <c r="Y74">
        <f t="shared" si="59"/>
        <v>0</v>
      </c>
      <c r="Z74">
        <f t="shared" si="59"/>
        <v>0</v>
      </c>
      <c r="AA74">
        <f t="shared" si="59"/>
        <v>0</v>
      </c>
      <c r="AB74">
        <f t="shared" si="59"/>
        <v>0</v>
      </c>
      <c r="AC74">
        <f t="shared" si="59"/>
        <v>0</v>
      </c>
      <c r="AD74">
        <f t="shared" si="59"/>
        <v>0</v>
      </c>
      <c r="AE74">
        <f t="shared" si="59"/>
        <v>0</v>
      </c>
      <c r="AF74">
        <f t="shared" si="59"/>
        <v>0</v>
      </c>
      <c r="AG74">
        <f t="shared" si="59"/>
        <v>0</v>
      </c>
      <c r="AH74">
        <f t="shared" si="59"/>
        <v>0</v>
      </c>
      <c r="AI74">
        <f t="shared" si="59"/>
        <v>0</v>
      </c>
      <c r="AJ74">
        <f t="shared" si="59"/>
        <v>0</v>
      </c>
      <c r="AK74">
        <f t="shared" si="59"/>
        <v>0</v>
      </c>
      <c r="AL74">
        <f t="shared" si="59"/>
        <v>0</v>
      </c>
      <c r="AM74">
        <f t="shared" si="59"/>
        <v>0</v>
      </c>
      <c r="AN74">
        <f t="shared" si="59"/>
        <v>0</v>
      </c>
      <c r="AO74">
        <f t="shared" si="59"/>
        <v>0</v>
      </c>
      <c r="AP74">
        <f t="shared" si="59"/>
        <v>0</v>
      </c>
      <c r="AQ74">
        <f t="shared" si="59"/>
        <v>0</v>
      </c>
      <c r="AR74">
        <f t="shared" si="59"/>
        <v>0</v>
      </c>
      <c r="AS74">
        <f t="shared" si="59"/>
        <v>0</v>
      </c>
      <c r="AT74">
        <f t="shared" si="59"/>
        <v>0</v>
      </c>
      <c r="AU74">
        <f t="shared" si="59"/>
        <v>0</v>
      </c>
      <c r="AV74">
        <f t="shared" si="59"/>
        <v>0</v>
      </c>
      <c r="AW74">
        <f t="shared" si="59"/>
        <v>0</v>
      </c>
      <c r="AX74">
        <f t="shared" si="59"/>
        <v>0</v>
      </c>
      <c r="AY74">
        <f t="shared" si="59"/>
        <v>0</v>
      </c>
      <c r="AZ74">
        <f t="shared" si="59"/>
        <v>0</v>
      </c>
    </row>
    <row r="75" spans="1:52" ht="15.75" customHeight="1">
      <c r="A75" s="362">
        <v>2010</v>
      </c>
      <c r="V75" s="127">
        <v>142.69999999999999</v>
      </c>
      <c r="W75">
        <f t="shared" si="22"/>
        <v>0</v>
      </c>
      <c r="X75">
        <f t="shared" ref="X75:AZ75" si="60">IF(AND(X$37-$A75&gt;$V$25,SUM($W75:W75)&lt;&gt;$V75),$V75,0)</f>
        <v>0</v>
      </c>
      <c r="Y75">
        <f t="shared" si="60"/>
        <v>0</v>
      </c>
      <c r="Z75">
        <f t="shared" si="60"/>
        <v>0</v>
      </c>
      <c r="AA75">
        <f t="shared" si="60"/>
        <v>0</v>
      </c>
      <c r="AB75">
        <f t="shared" si="60"/>
        <v>0</v>
      </c>
      <c r="AC75">
        <f t="shared" si="60"/>
        <v>0</v>
      </c>
      <c r="AD75">
        <f t="shared" si="60"/>
        <v>0</v>
      </c>
      <c r="AE75">
        <f t="shared" si="60"/>
        <v>0</v>
      </c>
      <c r="AF75">
        <f t="shared" si="60"/>
        <v>0</v>
      </c>
      <c r="AG75">
        <f t="shared" si="60"/>
        <v>0</v>
      </c>
      <c r="AH75">
        <f t="shared" si="60"/>
        <v>0</v>
      </c>
      <c r="AI75">
        <f t="shared" si="60"/>
        <v>0</v>
      </c>
      <c r="AJ75">
        <f t="shared" si="60"/>
        <v>0</v>
      </c>
      <c r="AK75">
        <f t="shared" si="60"/>
        <v>0</v>
      </c>
      <c r="AL75">
        <f t="shared" si="60"/>
        <v>0</v>
      </c>
      <c r="AM75">
        <f t="shared" si="60"/>
        <v>0</v>
      </c>
      <c r="AN75">
        <f t="shared" si="60"/>
        <v>0</v>
      </c>
      <c r="AO75">
        <f t="shared" si="60"/>
        <v>0</v>
      </c>
      <c r="AP75">
        <f t="shared" si="60"/>
        <v>0</v>
      </c>
      <c r="AQ75">
        <f t="shared" si="60"/>
        <v>0</v>
      </c>
      <c r="AR75">
        <f t="shared" si="60"/>
        <v>0</v>
      </c>
      <c r="AS75">
        <f t="shared" si="60"/>
        <v>0</v>
      </c>
      <c r="AT75">
        <f t="shared" si="60"/>
        <v>0</v>
      </c>
      <c r="AU75">
        <f t="shared" si="60"/>
        <v>0</v>
      </c>
      <c r="AV75">
        <f t="shared" si="60"/>
        <v>0</v>
      </c>
      <c r="AW75">
        <f t="shared" si="60"/>
        <v>0</v>
      </c>
      <c r="AX75">
        <f t="shared" si="60"/>
        <v>0</v>
      </c>
      <c r="AY75">
        <f t="shared" si="60"/>
        <v>0</v>
      </c>
      <c r="AZ75">
        <f t="shared" si="60"/>
        <v>0</v>
      </c>
    </row>
    <row r="76" spans="1:52" ht="15.75" customHeight="1">
      <c r="A76" s="362">
        <v>2011</v>
      </c>
      <c r="V76" s="127">
        <v>143.5</v>
      </c>
      <c r="W76">
        <f t="shared" si="22"/>
        <v>0</v>
      </c>
      <c r="X76">
        <f t="shared" ref="X76:AZ76" si="61">IF(AND(X$37-$A76&gt;$V$25,SUM($W76:W76)&lt;&gt;$V76),$V76,0)</f>
        <v>0</v>
      </c>
      <c r="Y76">
        <f t="shared" si="61"/>
        <v>0</v>
      </c>
      <c r="Z76">
        <f t="shared" si="61"/>
        <v>0</v>
      </c>
      <c r="AA76">
        <f t="shared" si="61"/>
        <v>0</v>
      </c>
      <c r="AB76">
        <f t="shared" si="61"/>
        <v>0</v>
      </c>
      <c r="AC76">
        <f t="shared" si="61"/>
        <v>0</v>
      </c>
      <c r="AD76">
        <f t="shared" si="61"/>
        <v>0</v>
      </c>
      <c r="AE76">
        <f t="shared" si="61"/>
        <v>0</v>
      </c>
      <c r="AF76">
        <f t="shared" si="61"/>
        <v>0</v>
      </c>
      <c r="AG76">
        <f t="shared" si="61"/>
        <v>0</v>
      </c>
      <c r="AH76">
        <f t="shared" si="61"/>
        <v>0</v>
      </c>
      <c r="AI76">
        <f t="shared" si="61"/>
        <v>0</v>
      </c>
      <c r="AJ76">
        <f t="shared" si="61"/>
        <v>0</v>
      </c>
      <c r="AK76">
        <f t="shared" si="61"/>
        <v>0</v>
      </c>
      <c r="AL76">
        <f t="shared" si="61"/>
        <v>0</v>
      </c>
      <c r="AM76">
        <f t="shared" si="61"/>
        <v>0</v>
      </c>
      <c r="AN76">
        <f t="shared" si="61"/>
        <v>0</v>
      </c>
      <c r="AO76">
        <f t="shared" si="61"/>
        <v>0</v>
      </c>
      <c r="AP76">
        <f t="shared" si="61"/>
        <v>0</v>
      </c>
      <c r="AQ76">
        <f t="shared" si="61"/>
        <v>0</v>
      </c>
      <c r="AR76">
        <f t="shared" si="61"/>
        <v>0</v>
      </c>
      <c r="AS76">
        <f t="shared" si="61"/>
        <v>0</v>
      </c>
      <c r="AT76">
        <f t="shared" si="61"/>
        <v>0</v>
      </c>
      <c r="AU76">
        <f t="shared" si="61"/>
        <v>0</v>
      </c>
      <c r="AV76">
        <f t="shared" si="61"/>
        <v>0</v>
      </c>
      <c r="AW76">
        <f t="shared" si="61"/>
        <v>0</v>
      </c>
      <c r="AX76">
        <f t="shared" si="61"/>
        <v>0</v>
      </c>
      <c r="AY76">
        <f t="shared" si="61"/>
        <v>0</v>
      </c>
      <c r="AZ76">
        <f t="shared" si="61"/>
        <v>0</v>
      </c>
    </row>
    <row r="77" spans="1:52" ht="15.75" customHeight="1">
      <c r="A77" s="362">
        <v>2012</v>
      </c>
      <c r="V77" s="127">
        <v>173.7</v>
      </c>
      <c r="W77">
        <f t="shared" si="22"/>
        <v>0</v>
      </c>
      <c r="X77">
        <f t="shared" ref="X77:AZ77" si="62">IF(AND(X$37-$A77&gt;$V$25,SUM($W77:W77)&lt;&gt;$V77),$V77,0)</f>
        <v>0</v>
      </c>
      <c r="Y77">
        <f t="shared" si="62"/>
        <v>0</v>
      </c>
      <c r="Z77">
        <f t="shared" si="62"/>
        <v>0</v>
      </c>
      <c r="AA77">
        <f t="shared" si="62"/>
        <v>0</v>
      </c>
      <c r="AB77">
        <f t="shared" si="62"/>
        <v>0</v>
      </c>
      <c r="AC77">
        <f t="shared" si="62"/>
        <v>0</v>
      </c>
      <c r="AD77">
        <f t="shared" si="62"/>
        <v>0</v>
      </c>
      <c r="AE77">
        <f t="shared" si="62"/>
        <v>0</v>
      </c>
      <c r="AF77">
        <f t="shared" si="62"/>
        <v>0</v>
      </c>
      <c r="AG77">
        <f t="shared" si="62"/>
        <v>0</v>
      </c>
      <c r="AH77">
        <f t="shared" si="62"/>
        <v>0</v>
      </c>
      <c r="AI77">
        <f t="shared" si="62"/>
        <v>0</v>
      </c>
      <c r="AJ77">
        <f t="shared" si="62"/>
        <v>0</v>
      </c>
      <c r="AK77">
        <f t="shared" si="62"/>
        <v>0</v>
      </c>
      <c r="AL77">
        <f t="shared" si="62"/>
        <v>0</v>
      </c>
      <c r="AM77">
        <f t="shared" si="62"/>
        <v>0</v>
      </c>
      <c r="AN77">
        <f t="shared" si="62"/>
        <v>0</v>
      </c>
      <c r="AO77">
        <f t="shared" si="62"/>
        <v>0</v>
      </c>
      <c r="AP77">
        <f t="shared" si="62"/>
        <v>0</v>
      </c>
      <c r="AQ77">
        <f t="shared" si="62"/>
        <v>0</v>
      </c>
      <c r="AR77">
        <f t="shared" si="62"/>
        <v>0</v>
      </c>
      <c r="AS77">
        <f t="shared" si="62"/>
        <v>0</v>
      </c>
      <c r="AT77">
        <f t="shared" si="62"/>
        <v>0</v>
      </c>
      <c r="AU77">
        <f t="shared" si="62"/>
        <v>0</v>
      </c>
      <c r="AV77">
        <f t="shared" si="62"/>
        <v>0</v>
      </c>
      <c r="AW77">
        <f t="shared" si="62"/>
        <v>0</v>
      </c>
      <c r="AX77">
        <f t="shared" si="62"/>
        <v>0</v>
      </c>
      <c r="AY77">
        <f t="shared" si="62"/>
        <v>0</v>
      </c>
      <c r="AZ77">
        <f t="shared" si="62"/>
        <v>0</v>
      </c>
    </row>
    <row r="78" spans="1:52" ht="15.75" customHeight="1">
      <c r="A78" s="362">
        <v>2013</v>
      </c>
      <c r="V78" s="127">
        <v>140</v>
      </c>
      <c r="W78">
        <f t="shared" si="22"/>
        <v>0</v>
      </c>
      <c r="X78">
        <f t="shared" ref="X78:AZ78" si="63">IF(AND(X$37-$A78&gt;$V$25,SUM($W78:W78)&lt;&gt;$V78),$V78,0)</f>
        <v>0</v>
      </c>
      <c r="Y78">
        <f t="shared" si="63"/>
        <v>0</v>
      </c>
      <c r="Z78">
        <f t="shared" si="63"/>
        <v>0</v>
      </c>
      <c r="AA78">
        <f t="shared" si="63"/>
        <v>0</v>
      </c>
      <c r="AB78">
        <f t="shared" si="63"/>
        <v>0</v>
      </c>
      <c r="AC78">
        <f t="shared" si="63"/>
        <v>0</v>
      </c>
      <c r="AD78">
        <f t="shared" si="63"/>
        <v>0</v>
      </c>
      <c r="AE78">
        <f t="shared" si="63"/>
        <v>0</v>
      </c>
      <c r="AF78">
        <f t="shared" si="63"/>
        <v>0</v>
      </c>
      <c r="AG78">
        <f t="shared" si="63"/>
        <v>0</v>
      </c>
      <c r="AH78">
        <f t="shared" si="63"/>
        <v>0</v>
      </c>
      <c r="AI78">
        <f t="shared" si="63"/>
        <v>0</v>
      </c>
      <c r="AJ78">
        <f t="shared" si="63"/>
        <v>0</v>
      </c>
      <c r="AK78">
        <f t="shared" si="63"/>
        <v>0</v>
      </c>
      <c r="AL78">
        <f t="shared" si="63"/>
        <v>0</v>
      </c>
      <c r="AM78">
        <f t="shared" si="63"/>
        <v>0</v>
      </c>
      <c r="AN78">
        <f t="shared" si="63"/>
        <v>0</v>
      </c>
      <c r="AO78">
        <f t="shared" si="63"/>
        <v>0</v>
      </c>
      <c r="AP78">
        <f t="shared" si="63"/>
        <v>0</v>
      </c>
      <c r="AQ78">
        <f t="shared" si="63"/>
        <v>0</v>
      </c>
      <c r="AR78">
        <f t="shared" si="63"/>
        <v>0</v>
      </c>
      <c r="AS78">
        <f t="shared" si="63"/>
        <v>0</v>
      </c>
      <c r="AT78">
        <f t="shared" si="63"/>
        <v>0</v>
      </c>
      <c r="AU78">
        <f t="shared" si="63"/>
        <v>0</v>
      </c>
      <c r="AV78">
        <f t="shared" si="63"/>
        <v>0</v>
      </c>
      <c r="AW78">
        <f t="shared" si="63"/>
        <v>0</v>
      </c>
      <c r="AX78">
        <f t="shared" si="63"/>
        <v>0</v>
      </c>
      <c r="AY78">
        <f t="shared" si="63"/>
        <v>0</v>
      </c>
      <c r="AZ78">
        <f t="shared" si="63"/>
        <v>0</v>
      </c>
    </row>
    <row r="79" spans="1:52" ht="15.75" customHeight="1">
      <c r="A79" s="362">
        <v>2014</v>
      </c>
      <c r="V79" s="127">
        <v>88.3</v>
      </c>
      <c r="W79">
        <f t="shared" si="22"/>
        <v>0</v>
      </c>
      <c r="X79">
        <f t="shared" ref="X79:AZ79" si="64">IF(AND(X$37-$A79&gt;$V$25,SUM($W79:W79)&lt;&gt;$V79),$V79,0)</f>
        <v>0</v>
      </c>
      <c r="Y79">
        <f t="shared" si="64"/>
        <v>0</v>
      </c>
      <c r="Z79">
        <f t="shared" si="64"/>
        <v>0</v>
      </c>
      <c r="AA79">
        <f t="shared" si="64"/>
        <v>0</v>
      </c>
      <c r="AB79">
        <f t="shared" si="64"/>
        <v>0</v>
      </c>
      <c r="AC79">
        <f t="shared" si="64"/>
        <v>0</v>
      </c>
      <c r="AD79">
        <f t="shared" si="64"/>
        <v>0</v>
      </c>
      <c r="AE79">
        <f t="shared" si="64"/>
        <v>0</v>
      </c>
      <c r="AF79">
        <f t="shared" si="64"/>
        <v>0</v>
      </c>
      <c r="AG79">
        <f t="shared" si="64"/>
        <v>0</v>
      </c>
      <c r="AH79">
        <f t="shared" si="64"/>
        <v>0</v>
      </c>
      <c r="AI79">
        <f t="shared" si="64"/>
        <v>0</v>
      </c>
      <c r="AJ79">
        <f t="shared" si="64"/>
        <v>0</v>
      </c>
      <c r="AK79">
        <f t="shared" si="64"/>
        <v>0</v>
      </c>
      <c r="AL79">
        <f t="shared" si="64"/>
        <v>0</v>
      </c>
      <c r="AM79">
        <f t="shared" si="64"/>
        <v>0</v>
      </c>
      <c r="AN79">
        <f t="shared" si="64"/>
        <v>0</v>
      </c>
      <c r="AO79">
        <f t="shared" si="64"/>
        <v>0</v>
      </c>
      <c r="AP79">
        <f t="shared" si="64"/>
        <v>0</v>
      </c>
      <c r="AQ79">
        <f t="shared" si="64"/>
        <v>0</v>
      </c>
      <c r="AR79">
        <f t="shared" si="64"/>
        <v>0</v>
      </c>
      <c r="AS79">
        <f t="shared" si="64"/>
        <v>0</v>
      </c>
      <c r="AT79">
        <f t="shared" si="64"/>
        <v>0</v>
      </c>
      <c r="AU79">
        <f t="shared" si="64"/>
        <v>0</v>
      </c>
      <c r="AV79">
        <f t="shared" si="64"/>
        <v>0</v>
      </c>
      <c r="AW79">
        <f t="shared" si="64"/>
        <v>0</v>
      </c>
      <c r="AX79">
        <f t="shared" si="64"/>
        <v>0</v>
      </c>
      <c r="AY79">
        <f t="shared" si="64"/>
        <v>0</v>
      </c>
      <c r="AZ79">
        <f t="shared" si="64"/>
        <v>0</v>
      </c>
    </row>
    <row r="80" spans="1:52" ht="15.75" customHeight="1">
      <c r="A80" s="362">
        <v>2015</v>
      </c>
      <c r="V80" s="127">
        <v>100.8</v>
      </c>
      <c r="W80">
        <f t="shared" si="22"/>
        <v>0</v>
      </c>
      <c r="X80">
        <f t="shared" ref="X80:AZ80" si="65">IF(AND(X$37-$A80&gt;$V$25,SUM($W80:W80)&lt;&gt;$V80),$V80,0)</f>
        <v>0</v>
      </c>
      <c r="Y80">
        <f t="shared" si="65"/>
        <v>0</v>
      </c>
      <c r="Z80">
        <f t="shared" si="65"/>
        <v>0</v>
      </c>
      <c r="AA80">
        <f t="shared" si="65"/>
        <v>0</v>
      </c>
      <c r="AB80">
        <f t="shared" si="65"/>
        <v>0</v>
      </c>
      <c r="AC80">
        <f t="shared" si="65"/>
        <v>0</v>
      </c>
      <c r="AD80">
        <f t="shared" si="65"/>
        <v>0</v>
      </c>
      <c r="AE80">
        <f t="shared" si="65"/>
        <v>0</v>
      </c>
      <c r="AF80">
        <f t="shared" si="65"/>
        <v>0</v>
      </c>
      <c r="AG80">
        <f t="shared" si="65"/>
        <v>0</v>
      </c>
      <c r="AH80">
        <f t="shared" si="65"/>
        <v>0</v>
      </c>
      <c r="AI80">
        <f t="shared" si="65"/>
        <v>0</v>
      </c>
      <c r="AJ80">
        <f t="shared" si="65"/>
        <v>0</v>
      </c>
      <c r="AK80">
        <f t="shared" si="65"/>
        <v>0</v>
      </c>
      <c r="AL80">
        <f t="shared" si="65"/>
        <v>0</v>
      </c>
      <c r="AM80">
        <f t="shared" si="65"/>
        <v>0</v>
      </c>
      <c r="AN80">
        <f t="shared" si="65"/>
        <v>0</v>
      </c>
      <c r="AO80">
        <f t="shared" si="65"/>
        <v>0</v>
      </c>
      <c r="AP80">
        <f t="shared" si="65"/>
        <v>0</v>
      </c>
      <c r="AQ80">
        <f t="shared" si="65"/>
        <v>0</v>
      </c>
      <c r="AR80">
        <f t="shared" si="65"/>
        <v>0</v>
      </c>
      <c r="AS80">
        <f t="shared" si="65"/>
        <v>0</v>
      </c>
      <c r="AT80">
        <f t="shared" si="65"/>
        <v>0</v>
      </c>
      <c r="AU80">
        <f t="shared" si="65"/>
        <v>0</v>
      </c>
      <c r="AV80">
        <f t="shared" si="65"/>
        <v>0</v>
      </c>
      <c r="AW80">
        <f t="shared" si="65"/>
        <v>0</v>
      </c>
      <c r="AX80">
        <f t="shared" si="65"/>
        <v>0</v>
      </c>
      <c r="AY80">
        <f t="shared" si="65"/>
        <v>0</v>
      </c>
      <c r="AZ80">
        <f t="shared" si="65"/>
        <v>0</v>
      </c>
    </row>
    <row r="81" spans="1:52" ht="15.75" customHeight="1">
      <c r="A81" s="362">
        <v>2016</v>
      </c>
      <c r="V81" s="127">
        <v>82.3</v>
      </c>
      <c r="W81">
        <f t="shared" si="22"/>
        <v>0</v>
      </c>
      <c r="X81">
        <f t="shared" ref="X81:AZ81" si="66">IF(AND(X$37-$A81&gt;$V$25,SUM($W81:W81)&lt;&gt;$V81),$V81,0)</f>
        <v>0</v>
      </c>
      <c r="Y81">
        <f t="shared" si="66"/>
        <v>0</v>
      </c>
      <c r="Z81">
        <f t="shared" si="66"/>
        <v>0</v>
      </c>
      <c r="AA81">
        <f t="shared" si="66"/>
        <v>0</v>
      </c>
      <c r="AB81">
        <f t="shared" si="66"/>
        <v>0</v>
      </c>
      <c r="AC81">
        <f t="shared" si="66"/>
        <v>0</v>
      </c>
      <c r="AD81">
        <f t="shared" si="66"/>
        <v>0</v>
      </c>
      <c r="AE81">
        <f t="shared" si="66"/>
        <v>0</v>
      </c>
      <c r="AF81">
        <f t="shared" si="66"/>
        <v>0</v>
      </c>
      <c r="AG81">
        <f t="shared" si="66"/>
        <v>0</v>
      </c>
      <c r="AH81">
        <f t="shared" si="66"/>
        <v>0</v>
      </c>
      <c r="AI81">
        <f t="shared" si="66"/>
        <v>0</v>
      </c>
      <c r="AJ81">
        <f t="shared" si="66"/>
        <v>0</v>
      </c>
      <c r="AK81">
        <f t="shared" si="66"/>
        <v>0</v>
      </c>
      <c r="AL81">
        <f t="shared" si="66"/>
        <v>0</v>
      </c>
      <c r="AM81">
        <f t="shared" si="66"/>
        <v>0</v>
      </c>
      <c r="AN81">
        <f t="shared" si="66"/>
        <v>0</v>
      </c>
      <c r="AO81">
        <f t="shared" si="66"/>
        <v>0</v>
      </c>
      <c r="AP81">
        <f t="shared" si="66"/>
        <v>0</v>
      </c>
      <c r="AQ81">
        <f t="shared" si="66"/>
        <v>0</v>
      </c>
      <c r="AR81">
        <f t="shared" si="66"/>
        <v>0</v>
      </c>
      <c r="AS81">
        <f t="shared" si="66"/>
        <v>0</v>
      </c>
      <c r="AT81">
        <f t="shared" si="66"/>
        <v>0</v>
      </c>
      <c r="AU81">
        <f t="shared" si="66"/>
        <v>0</v>
      </c>
      <c r="AV81">
        <f t="shared" si="66"/>
        <v>0</v>
      </c>
      <c r="AW81">
        <f t="shared" si="66"/>
        <v>0</v>
      </c>
      <c r="AX81">
        <f t="shared" si="66"/>
        <v>0</v>
      </c>
      <c r="AY81">
        <f t="shared" si="66"/>
        <v>0</v>
      </c>
      <c r="AZ81">
        <f t="shared" si="66"/>
        <v>0</v>
      </c>
    </row>
    <row r="82" spans="1:52" ht="15.75" customHeight="1">
      <c r="A82" s="362">
        <v>2017</v>
      </c>
      <c r="V82" s="127">
        <v>31.5</v>
      </c>
      <c r="W82">
        <f t="shared" si="22"/>
        <v>0</v>
      </c>
      <c r="X82">
        <f t="shared" ref="X82:AZ82" si="67">IF(AND(X$37-$A82&gt;$V$25,SUM($W82:W82)&lt;&gt;$V82),$V82,0)</f>
        <v>0</v>
      </c>
      <c r="Y82">
        <f t="shared" si="67"/>
        <v>0</v>
      </c>
      <c r="Z82">
        <f t="shared" si="67"/>
        <v>0</v>
      </c>
      <c r="AA82">
        <f t="shared" si="67"/>
        <v>0</v>
      </c>
      <c r="AB82">
        <f t="shared" si="67"/>
        <v>0</v>
      </c>
      <c r="AC82">
        <f t="shared" si="67"/>
        <v>0</v>
      </c>
      <c r="AD82">
        <f t="shared" si="67"/>
        <v>0</v>
      </c>
      <c r="AE82">
        <f t="shared" si="67"/>
        <v>0</v>
      </c>
      <c r="AF82">
        <f t="shared" si="67"/>
        <v>0</v>
      </c>
      <c r="AG82">
        <f t="shared" si="67"/>
        <v>0</v>
      </c>
      <c r="AH82">
        <f t="shared" si="67"/>
        <v>0</v>
      </c>
      <c r="AI82">
        <f t="shared" si="67"/>
        <v>0</v>
      </c>
      <c r="AJ82">
        <f t="shared" si="67"/>
        <v>0</v>
      </c>
      <c r="AK82">
        <f t="shared" si="67"/>
        <v>0</v>
      </c>
      <c r="AL82">
        <f t="shared" si="67"/>
        <v>0</v>
      </c>
      <c r="AM82">
        <f t="shared" si="67"/>
        <v>0</v>
      </c>
      <c r="AN82">
        <f t="shared" si="67"/>
        <v>0</v>
      </c>
      <c r="AO82">
        <f t="shared" si="67"/>
        <v>0</v>
      </c>
      <c r="AP82">
        <f t="shared" si="67"/>
        <v>0</v>
      </c>
      <c r="AQ82">
        <f t="shared" si="67"/>
        <v>0</v>
      </c>
      <c r="AR82">
        <f t="shared" si="67"/>
        <v>0</v>
      </c>
      <c r="AS82">
        <f t="shared" si="67"/>
        <v>0</v>
      </c>
      <c r="AT82">
        <f t="shared" si="67"/>
        <v>0</v>
      </c>
      <c r="AU82">
        <f t="shared" si="67"/>
        <v>0</v>
      </c>
      <c r="AV82">
        <f t="shared" si="67"/>
        <v>0</v>
      </c>
      <c r="AW82">
        <f t="shared" si="67"/>
        <v>0</v>
      </c>
      <c r="AX82">
        <f t="shared" si="67"/>
        <v>0</v>
      </c>
      <c r="AY82">
        <f t="shared" si="67"/>
        <v>0</v>
      </c>
      <c r="AZ82">
        <f t="shared" si="67"/>
        <v>0</v>
      </c>
    </row>
    <row r="83" spans="1:52" ht="15.75" customHeight="1"/>
    <row r="84" spans="1:52" ht="15.75" customHeight="1"/>
    <row r="85" spans="1:52" ht="15.75" customHeight="1"/>
    <row r="86" spans="1:52" ht="15.75" customHeight="1"/>
    <row r="87" spans="1:52" ht="15.75" customHeight="1"/>
    <row r="88" spans="1:52" ht="15.75" customHeight="1"/>
    <row r="89" spans="1:52" ht="15.75" customHeight="1"/>
    <row r="90" spans="1:52" ht="15.75" customHeight="1"/>
    <row r="91" spans="1:52" ht="15.75" customHeight="1"/>
    <row r="92" spans="1:52" ht="15.75" customHeight="1"/>
    <row r="93" spans="1:52" ht="15.75" customHeight="1"/>
    <row r="94" spans="1:52" ht="15.75" customHeight="1"/>
    <row r="95" spans="1:52" ht="15.75" customHeight="1"/>
    <row r="96" spans="1:5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sheetData>
  <pageMargins left="0.7" right="0.7" top="0.75" bottom="0.75" header="0" footer="0"/>
  <pageSetup orientation="landscape"/>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9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70</v>
      </c>
      <c r="B2" s="105">
        <f t="shared" ref="B2:U2" si="0">C2/(1+B34-B3)</f>
        <v>2582191.0051356163</v>
      </c>
      <c r="C2" s="105">
        <f t="shared" si="0"/>
        <v>2633834.8252383284</v>
      </c>
      <c r="D2" s="105">
        <f t="shared" si="0"/>
        <v>2686511.521743095</v>
      </c>
      <c r="E2" s="105">
        <f t="shared" si="0"/>
        <v>2740241.752177957</v>
      </c>
      <c r="F2" s="105">
        <f t="shared" si="0"/>
        <v>2795046.5872215163</v>
      </c>
      <c r="G2" s="105">
        <f t="shared" si="0"/>
        <v>2850947.5189659465</v>
      </c>
      <c r="H2" s="105">
        <f t="shared" si="0"/>
        <v>2907966.4693452655</v>
      </c>
      <c r="I2" s="105">
        <f t="shared" si="0"/>
        <v>2966125.7987321708</v>
      </c>
      <c r="J2" s="105">
        <f t="shared" si="0"/>
        <v>3025448.3147068145</v>
      </c>
      <c r="K2" s="105">
        <f t="shared" si="0"/>
        <v>3085957.2810009508</v>
      </c>
      <c r="L2" s="105">
        <f t="shared" si="0"/>
        <v>3147676.42662097</v>
      </c>
      <c r="M2" s="105">
        <f t="shared" si="0"/>
        <v>3210629.9551533894</v>
      </c>
      <c r="N2" s="105">
        <f t="shared" si="0"/>
        <v>3274842.5542564574</v>
      </c>
      <c r="O2" s="105">
        <f t="shared" si="0"/>
        <v>3340339.4053415866</v>
      </c>
      <c r="P2" s="105">
        <f t="shared" si="0"/>
        <v>3407146.1934484183</v>
      </c>
      <c r="Q2" s="105">
        <f t="shared" si="0"/>
        <v>3475289.1173173869</v>
      </c>
      <c r="R2" s="105">
        <f t="shared" si="0"/>
        <v>3544794.8996637347</v>
      </c>
      <c r="S2" s="105">
        <f t="shared" si="0"/>
        <v>3615690.7976570097</v>
      </c>
      <c r="T2" s="105">
        <f t="shared" si="0"/>
        <v>3688004.6136101498</v>
      </c>
      <c r="U2" s="105">
        <f t="shared" si="0"/>
        <v>3761764.7058823528</v>
      </c>
      <c r="V2" s="360">
        <v>3837000</v>
      </c>
      <c r="W2" s="105">
        <f t="shared" ref="W2:AZ2" si="1">V2*(1+V34-V3)</f>
        <v>3913740</v>
      </c>
      <c r="X2" s="105">
        <f t="shared" si="1"/>
        <v>3992014.8000000003</v>
      </c>
      <c r="Y2" s="105">
        <f t="shared" si="1"/>
        <v>4071855.0960000004</v>
      </c>
      <c r="Z2" s="105">
        <f t="shared" si="1"/>
        <v>4153292.1979200006</v>
      </c>
      <c r="AA2" s="105">
        <f t="shared" si="1"/>
        <v>4236358.0418784004</v>
      </c>
      <c r="AB2" s="105">
        <f t="shared" si="1"/>
        <v>4321085.2027159687</v>
      </c>
      <c r="AC2" s="105">
        <f t="shared" si="1"/>
        <v>4407506.906770288</v>
      </c>
      <c r="AD2" s="105">
        <f t="shared" si="1"/>
        <v>4495657.0449056942</v>
      </c>
      <c r="AE2" s="105">
        <f t="shared" si="1"/>
        <v>4585570.1858038083</v>
      </c>
      <c r="AF2" s="105">
        <f t="shared" si="1"/>
        <v>4677281.5895198844</v>
      </c>
      <c r="AG2" s="105">
        <f t="shared" si="1"/>
        <v>4770827.2213102821</v>
      </c>
      <c r="AH2" s="105">
        <f t="shared" si="1"/>
        <v>4866243.7657364877</v>
      </c>
      <c r="AI2" s="105">
        <f t="shared" si="1"/>
        <v>4963568.6410512179</v>
      </c>
      <c r="AJ2" s="105">
        <f t="shared" si="1"/>
        <v>5062840.0138722425</v>
      </c>
      <c r="AK2" s="105">
        <f t="shared" si="1"/>
        <v>5164096.8141496871</v>
      </c>
      <c r="AL2" s="105">
        <f t="shared" si="1"/>
        <v>5267378.7504326813</v>
      </c>
      <c r="AM2" s="105">
        <f t="shared" si="1"/>
        <v>5372726.3254413353</v>
      </c>
      <c r="AN2" s="105">
        <f t="shared" si="1"/>
        <v>5480180.8519501621</v>
      </c>
      <c r="AO2" s="105">
        <f t="shared" si="1"/>
        <v>5589784.4689891655</v>
      </c>
      <c r="AP2" s="105">
        <f t="shared" si="1"/>
        <v>5701580.1583689488</v>
      </c>
      <c r="AQ2" s="105">
        <f t="shared" si="1"/>
        <v>5815611.7615363281</v>
      </c>
      <c r="AR2" s="105">
        <f t="shared" si="1"/>
        <v>5931923.9967670552</v>
      </c>
      <c r="AS2" s="105">
        <f t="shared" si="1"/>
        <v>6050562.4767023968</v>
      </c>
      <c r="AT2" s="105">
        <f t="shared" si="1"/>
        <v>6171573.7262364449</v>
      </c>
      <c r="AU2" s="105">
        <f t="shared" si="1"/>
        <v>6295005.2007611739</v>
      </c>
      <c r="AV2" s="105">
        <f t="shared" si="1"/>
        <v>6420905.3047763975</v>
      </c>
      <c r="AW2" s="105">
        <f t="shared" si="1"/>
        <v>6549323.4108719258</v>
      </c>
      <c r="AX2" s="105">
        <f t="shared" si="1"/>
        <v>6680309.8790893648</v>
      </c>
      <c r="AY2" s="105">
        <f t="shared" si="1"/>
        <v>6813916.0766711524</v>
      </c>
      <c r="AZ2" s="105">
        <f t="shared" si="1"/>
        <v>6950194.3982045753</v>
      </c>
    </row>
    <row r="3" spans="1:52" ht="15" customHeight="1">
      <c r="A3" s="93" t="s">
        <v>72</v>
      </c>
      <c r="B3" s="330">
        <f t="shared" ref="B3:U3" si="2">C3</f>
        <v>0</v>
      </c>
      <c r="C3" s="330">
        <f t="shared" si="2"/>
        <v>0</v>
      </c>
      <c r="D3" s="330">
        <f t="shared" si="2"/>
        <v>0</v>
      </c>
      <c r="E3" s="330">
        <f t="shared" si="2"/>
        <v>0</v>
      </c>
      <c r="F3" s="330">
        <f t="shared" si="2"/>
        <v>0</v>
      </c>
      <c r="G3" s="330">
        <f t="shared" si="2"/>
        <v>0</v>
      </c>
      <c r="H3" s="330">
        <f t="shared" si="2"/>
        <v>0</v>
      </c>
      <c r="I3" s="330">
        <f t="shared" si="2"/>
        <v>0</v>
      </c>
      <c r="J3" s="330">
        <f t="shared" si="2"/>
        <v>0</v>
      </c>
      <c r="K3" s="330">
        <f t="shared" si="2"/>
        <v>0</v>
      </c>
      <c r="L3" s="330">
        <f t="shared" si="2"/>
        <v>0</v>
      </c>
      <c r="M3" s="330">
        <f t="shared" si="2"/>
        <v>0</v>
      </c>
      <c r="N3" s="330">
        <f t="shared" si="2"/>
        <v>0</v>
      </c>
      <c r="O3" s="330">
        <f t="shared" si="2"/>
        <v>0</v>
      </c>
      <c r="P3" s="330">
        <f t="shared" si="2"/>
        <v>0</v>
      </c>
      <c r="Q3" s="330">
        <f t="shared" si="2"/>
        <v>0</v>
      </c>
      <c r="R3" s="330">
        <f t="shared" si="2"/>
        <v>0</v>
      </c>
      <c r="S3" s="330">
        <f t="shared" si="2"/>
        <v>0</v>
      </c>
      <c r="T3" s="330">
        <f t="shared" si="2"/>
        <v>0</v>
      </c>
      <c r="U3" s="330">
        <f t="shared" si="2"/>
        <v>0</v>
      </c>
      <c r="V3" s="245">
        <v>0</v>
      </c>
      <c r="W3" s="247">
        <f t="shared" ref="W3:AZ3" si="3">V3</f>
        <v>0</v>
      </c>
      <c r="X3" s="247">
        <f t="shared" si="3"/>
        <v>0</v>
      </c>
      <c r="Y3" s="247">
        <f t="shared" si="3"/>
        <v>0</v>
      </c>
      <c r="Z3" s="247">
        <f t="shared" si="3"/>
        <v>0</v>
      </c>
      <c r="AA3" s="247">
        <f t="shared" si="3"/>
        <v>0</v>
      </c>
      <c r="AB3" s="247">
        <f t="shared" si="3"/>
        <v>0</v>
      </c>
      <c r="AC3" s="247">
        <f t="shared" si="3"/>
        <v>0</v>
      </c>
      <c r="AD3" s="247">
        <f t="shared" si="3"/>
        <v>0</v>
      </c>
      <c r="AE3" s="247">
        <f t="shared" si="3"/>
        <v>0</v>
      </c>
      <c r="AF3" s="247">
        <f t="shared" si="3"/>
        <v>0</v>
      </c>
      <c r="AG3" s="247">
        <f t="shared" si="3"/>
        <v>0</v>
      </c>
      <c r="AH3" s="247">
        <f t="shared" si="3"/>
        <v>0</v>
      </c>
      <c r="AI3" s="247">
        <f t="shared" si="3"/>
        <v>0</v>
      </c>
      <c r="AJ3" s="247">
        <f t="shared" si="3"/>
        <v>0</v>
      </c>
      <c r="AK3" s="247">
        <f t="shared" si="3"/>
        <v>0</v>
      </c>
      <c r="AL3" s="247">
        <f t="shared" si="3"/>
        <v>0</v>
      </c>
      <c r="AM3" s="247">
        <f t="shared" si="3"/>
        <v>0</v>
      </c>
      <c r="AN3" s="247">
        <f t="shared" si="3"/>
        <v>0</v>
      </c>
      <c r="AO3" s="247">
        <f t="shared" si="3"/>
        <v>0</v>
      </c>
      <c r="AP3" s="247">
        <f t="shared" si="3"/>
        <v>0</v>
      </c>
      <c r="AQ3" s="247">
        <f t="shared" si="3"/>
        <v>0</v>
      </c>
      <c r="AR3" s="247">
        <f t="shared" si="3"/>
        <v>0</v>
      </c>
      <c r="AS3" s="247">
        <f t="shared" si="3"/>
        <v>0</v>
      </c>
      <c r="AT3" s="247">
        <f t="shared" si="3"/>
        <v>0</v>
      </c>
      <c r="AU3" s="247">
        <f t="shared" si="3"/>
        <v>0</v>
      </c>
      <c r="AV3" s="247">
        <f t="shared" si="3"/>
        <v>0</v>
      </c>
      <c r="AW3" s="247">
        <f t="shared" si="3"/>
        <v>0</v>
      </c>
      <c r="AX3" s="247">
        <f t="shared" si="3"/>
        <v>0</v>
      </c>
      <c r="AY3" s="247">
        <f t="shared" si="3"/>
        <v>0</v>
      </c>
      <c r="AZ3" s="247">
        <f t="shared" si="3"/>
        <v>0</v>
      </c>
    </row>
    <row r="4" spans="1:52" ht="15" customHeight="1">
      <c r="A4" s="93" t="s">
        <v>74</v>
      </c>
      <c r="B4" s="93"/>
      <c r="C4" s="93"/>
      <c r="D4" s="93"/>
      <c r="E4" s="93"/>
      <c r="F4" s="93"/>
      <c r="G4" s="93"/>
      <c r="H4" s="93"/>
      <c r="I4" s="93"/>
      <c r="J4" s="93"/>
      <c r="K4" s="93"/>
      <c r="L4" s="93"/>
      <c r="M4" s="93"/>
      <c r="N4" s="93"/>
      <c r="O4" s="93"/>
      <c r="P4" s="93"/>
      <c r="Q4" s="93"/>
      <c r="R4" s="93"/>
      <c r="S4" s="93"/>
      <c r="T4" s="93"/>
      <c r="U4" s="93"/>
      <c r="V4" s="245">
        <v>0.6</v>
      </c>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row>
    <row r="5" spans="1:52" ht="15" customHeight="1">
      <c r="A5" s="93" t="s">
        <v>76</v>
      </c>
      <c r="B5" s="93"/>
      <c r="C5" s="93"/>
      <c r="D5" s="93"/>
      <c r="E5" s="93"/>
      <c r="F5" s="93"/>
      <c r="G5" s="93"/>
      <c r="H5" s="93"/>
      <c r="I5" s="93"/>
      <c r="J5" s="93"/>
      <c r="K5" s="93"/>
      <c r="L5" s="93"/>
      <c r="M5" s="93"/>
      <c r="N5" s="93"/>
      <c r="O5" s="93"/>
      <c r="P5" s="93"/>
      <c r="Q5" s="93"/>
      <c r="R5" s="93"/>
      <c r="S5" s="93"/>
      <c r="T5" s="93"/>
      <c r="U5" s="93"/>
      <c r="V5" s="245">
        <f>1-V4</f>
        <v>0.4</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78</v>
      </c>
      <c r="B6" s="93"/>
      <c r="C6" s="93"/>
      <c r="D6" s="93"/>
      <c r="E6" s="93"/>
      <c r="F6" s="93"/>
      <c r="G6" s="93"/>
      <c r="H6" s="93"/>
      <c r="I6" s="93"/>
      <c r="J6" s="93"/>
      <c r="K6" s="93"/>
      <c r="L6" s="93"/>
      <c r="M6" s="93"/>
      <c r="N6" s="93"/>
      <c r="O6" s="93"/>
      <c r="P6" s="93"/>
      <c r="Q6" s="93"/>
      <c r="R6" s="93"/>
      <c r="S6" s="93"/>
      <c r="T6" s="93"/>
      <c r="U6" s="93"/>
      <c r="V6" s="245">
        <v>4.7500000000000001E-2</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80</v>
      </c>
      <c r="B7" s="93"/>
      <c r="C7" s="93"/>
      <c r="D7" s="93"/>
      <c r="E7" s="93"/>
      <c r="F7" s="93"/>
      <c r="G7" s="93"/>
      <c r="H7" s="93"/>
      <c r="I7" s="93"/>
      <c r="J7" s="93"/>
      <c r="K7" s="93"/>
      <c r="L7" s="93"/>
      <c r="M7" s="93"/>
      <c r="N7" s="93"/>
      <c r="O7" s="93"/>
      <c r="P7" s="93"/>
      <c r="Q7" s="93"/>
      <c r="R7" s="93"/>
      <c r="S7" s="93"/>
      <c r="T7" s="93"/>
      <c r="U7" s="93"/>
      <c r="V7" s="245">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82</v>
      </c>
      <c r="B8" s="93"/>
      <c r="C8" s="93"/>
      <c r="D8" s="93"/>
      <c r="E8" s="93"/>
      <c r="F8" s="93"/>
      <c r="G8" s="93"/>
      <c r="H8" s="93"/>
      <c r="I8" s="93"/>
      <c r="J8" s="93"/>
      <c r="K8" s="93"/>
      <c r="L8" s="93"/>
      <c r="M8" s="93"/>
      <c r="N8" s="93"/>
      <c r="O8" s="93"/>
      <c r="P8" s="93"/>
      <c r="Q8" s="93"/>
      <c r="R8" s="93"/>
      <c r="S8" s="93"/>
      <c r="T8" s="93"/>
      <c r="U8" s="93"/>
      <c r="V8" s="245">
        <f>V4*V6+V5*V7</f>
        <v>6.0499999999999998E-2</v>
      </c>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row>
    <row r="9" spans="1:52" ht="15" customHeight="1">
      <c r="A9" s="93" t="s">
        <v>84</v>
      </c>
      <c r="B9" s="93"/>
      <c r="C9" s="93"/>
      <c r="D9" s="93"/>
      <c r="E9" s="93"/>
      <c r="F9" s="93"/>
      <c r="G9" s="93"/>
      <c r="H9" s="93"/>
      <c r="I9" s="93"/>
      <c r="J9" s="93"/>
      <c r="K9" s="93"/>
      <c r="L9" s="93"/>
      <c r="M9" s="93"/>
      <c r="N9" s="93"/>
      <c r="O9" s="93"/>
      <c r="P9" s="93"/>
      <c r="Q9" s="93"/>
      <c r="R9" s="93"/>
      <c r="S9" s="93"/>
      <c r="T9" s="93"/>
      <c r="U9" s="93"/>
      <c r="V9" s="251">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row>
    <row r="10" spans="1:52" ht="15" customHeight="1">
      <c r="A10" s="93" t="s">
        <v>715</v>
      </c>
      <c r="B10" s="93"/>
      <c r="C10" s="93"/>
      <c r="D10" s="93"/>
      <c r="E10" s="93"/>
      <c r="F10" s="93"/>
      <c r="G10" s="93"/>
      <c r="H10" s="93"/>
      <c r="I10" s="93"/>
      <c r="J10" s="93"/>
      <c r="K10" s="93"/>
      <c r="L10" s="93"/>
      <c r="M10" s="93"/>
      <c r="N10" s="93"/>
      <c r="O10" s="93"/>
      <c r="P10" s="93"/>
      <c r="Q10" s="93"/>
      <c r="R10" s="93"/>
      <c r="S10" s="93"/>
      <c r="T10" s="93"/>
      <c r="U10" s="93"/>
      <c r="V10" s="335">
        <v>0.05</v>
      </c>
      <c r="W10" s="331">
        <v>9.5000000000000001E-2</v>
      </c>
      <c r="X10" s="331">
        <v>8.5500000000000007E-2</v>
      </c>
      <c r="Y10" s="331">
        <v>7.6999999999999999E-2</v>
      </c>
      <c r="Z10" s="331">
        <v>6.93E-2</v>
      </c>
      <c r="AA10" s="331">
        <v>6.2300000000000001E-2</v>
      </c>
      <c r="AB10" s="331">
        <v>5.8999999999999997E-2</v>
      </c>
      <c r="AC10" s="331">
        <v>5.8999999999999997E-2</v>
      </c>
      <c r="AD10" s="331">
        <v>5.91E-2</v>
      </c>
      <c r="AE10" s="331">
        <v>5.8999999999999997E-2</v>
      </c>
      <c r="AF10" s="331">
        <v>5.91E-2</v>
      </c>
      <c r="AG10" s="331">
        <v>5.8999999999999997E-2</v>
      </c>
      <c r="AH10" s="331">
        <v>5.91E-2</v>
      </c>
      <c r="AI10" s="331">
        <v>5.8999999999999997E-2</v>
      </c>
      <c r="AJ10" s="331">
        <v>5.91E-2</v>
      </c>
      <c r="AK10" s="331">
        <v>2.9499999999999998E-2</v>
      </c>
      <c r="AL10" s="331"/>
      <c r="AM10" s="331"/>
      <c r="AN10" s="331"/>
      <c r="AO10" s="331"/>
      <c r="AP10" s="331"/>
      <c r="AQ10" s="331"/>
      <c r="AR10" s="331"/>
      <c r="AS10" s="331"/>
      <c r="AT10" s="331"/>
      <c r="AU10" s="331"/>
      <c r="AV10" s="331"/>
      <c r="AW10" s="331"/>
      <c r="AX10" s="331"/>
      <c r="AY10" s="331"/>
      <c r="AZ10" s="331"/>
    </row>
    <row r="11" spans="1:52" ht="15" customHeight="1">
      <c r="A11" s="93" t="s">
        <v>88</v>
      </c>
      <c r="B11" s="93"/>
      <c r="C11" s="93"/>
      <c r="D11" s="93"/>
      <c r="E11" s="93"/>
      <c r="F11" s="93"/>
      <c r="G11" s="93"/>
      <c r="H11" s="93"/>
      <c r="I11" s="93"/>
      <c r="J11" s="93"/>
      <c r="K11" s="93"/>
      <c r="L11" s="93"/>
      <c r="M11" s="93"/>
      <c r="N11" s="93"/>
      <c r="O11" s="93"/>
      <c r="P11" s="93"/>
      <c r="Q11" s="93"/>
      <c r="R11" s="93"/>
      <c r="S11" s="93"/>
      <c r="T11" s="93"/>
      <c r="U11" s="93"/>
      <c r="V11" s="280">
        <v>600</v>
      </c>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row>
    <row r="12" spans="1:52" ht="15" customHeight="1">
      <c r="A12" s="93" t="s">
        <v>90</v>
      </c>
      <c r="B12" s="93"/>
      <c r="C12" s="93"/>
      <c r="D12" s="93"/>
      <c r="E12" s="93"/>
      <c r="F12" s="93"/>
      <c r="G12" s="93"/>
      <c r="H12" s="93"/>
      <c r="I12" s="93"/>
      <c r="J12" s="93"/>
      <c r="K12" s="93"/>
      <c r="L12" s="93"/>
      <c r="M12" s="93"/>
      <c r="N12" s="93"/>
      <c r="O12" s="93"/>
      <c r="P12" s="93"/>
      <c r="Q12" s="93"/>
      <c r="R12" s="93"/>
      <c r="S12" s="93"/>
      <c r="T12" s="93"/>
      <c r="U12" s="93"/>
      <c r="V12" s="332">
        <v>3</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row>
    <row r="13" spans="1:52" ht="15" customHeight="1">
      <c r="A13" s="93" t="s">
        <v>92</v>
      </c>
      <c r="B13" s="93"/>
      <c r="C13" s="93"/>
      <c r="D13" s="93"/>
      <c r="E13" s="93"/>
      <c r="F13" s="93"/>
      <c r="G13" s="93"/>
      <c r="H13" s="93"/>
      <c r="I13" s="93"/>
      <c r="J13" s="93"/>
      <c r="K13" s="93"/>
      <c r="L13" s="93"/>
      <c r="M13" s="93"/>
      <c r="N13" s="93"/>
      <c r="O13" s="93"/>
      <c r="P13" s="93"/>
      <c r="Q13" s="93"/>
      <c r="R13" s="93"/>
      <c r="S13" s="93"/>
      <c r="T13" s="93"/>
      <c r="U13" s="93"/>
      <c r="V13" s="254">
        <f>1/V12</f>
        <v>0.33333333333333331</v>
      </c>
      <c r="W13" s="250"/>
      <c r="X13" s="250"/>
      <c r="Y13" s="250"/>
      <c r="Z13" s="250"/>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row>
    <row r="14" spans="1:52" ht="15" customHeight="1">
      <c r="A14" s="93" t="s">
        <v>94</v>
      </c>
      <c r="B14" s="93"/>
      <c r="C14" s="93"/>
      <c r="D14" s="93"/>
      <c r="E14" s="93"/>
      <c r="F14" s="93"/>
      <c r="G14" s="93"/>
      <c r="H14" s="93"/>
      <c r="I14" s="93"/>
      <c r="J14" s="93"/>
      <c r="K14" s="93"/>
      <c r="L14" s="93"/>
      <c r="M14" s="93"/>
      <c r="N14" s="93"/>
      <c r="O14" s="93"/>
      <c r="P14" s="93"/>
      <c r="Q14" s="93"/>
      <c r="R14" s="93"/>
      <c r="S14" s="93"/>
      <c r="T14" s="93"/>
      <c r="U14" s="93"/>
      <c r="V14" s="281">
        <v>0.44</v>
      </c>
      <c r="W14" s="102">
        <f t="shared" ref="W14:AZ14" si="4">V14*(1+V16)</f>
        <v>0.44</v>
      </c>
      <c r="X14" s="102">
        <f t="shared" si="4"/>
        <v>0.44</v>
      </c>
      <c r="Y14" s="102">
        <f t="shared" si="4"/>
        <v>0.44</v>
      </c>
      <c r="Z14" s="102">
        <f t="shared" si="4"/>
        <v>0.44</v>
      </c>
      <c r="AA14" s="102">
        <f t="shared" si="4"/>
        <v>0.44</v>
      </c>
      <c r="AB14" s="102">
        <f t="shared" si="4"/>
        <v>0.44</v>
      </c>
      <c r="AC14" s="102">
        <f t="shared" si="4"/>
        <v>0.44</v>
      </c>
      <c r="AD14" s="102">
        <f t="shared" si="4"/>
        <v>0.44</v>
      </c>
      <c r="AE14" s="102">
        <f t="shared" si="4"/>
        <v>0.44</v>
      </c>
      <c r="AF14" s="102">
        <f t="shared" si="4"/>
        <v>0.44</v>
      </c>
      <c r="AG14" s="102">
        <f t="shared" si="4"/>
        <v>0.44</v>
      </c>
      <c r="AH14" s="102">
        <f t="shared" si="4"/>
        <v>0.44</v>
      </c>
      <c r="AI14" s="102">
        <f t="shared" si="4"/>
        <v>0.44</v>
      </c>
      <c r="AJ14" s="102">
        <f t="shared" si="4"/>
        <v>0.44</v>
      </c>
      <c r="AK14" s="102">
        <f t="shared" si="4"/>
        <v>0.44</v>
      </c>
      <c r="AL14" s="102">
        <f t="shared" si="4"/>
        <v>0.44</v>
      </c>
      <c r="AM14" s="102">
        <f t="shared" si="4"/>
        <v>0.44</v>
      </c>
      <c r="AN14" s="102">
        <f t="shared" si="4"/>
        <v>0.44</v>
      </c>
      <c r="AO14" s="102">
        <f t="shared" si="4"/>
        <v>0.44</v>
      </c>
      <c r="AP14" s="102">
        <f t="shared" si="4"/>
        <v>0.44</v>
      </c>
      <c r="AQ14" s="102">
        <f t="shared" si="4"/>
        <v>0.44</v>
      </c>
      <c r="AR14" s="102">
        <f t="shared" si="4"/>
        <v>0.44</v>
      </c>
      <c r="AS14" s="102">
        <f t="shared" si="4"/>
        <v>0.44</v>
      </c>
      <c r="AT14" s="102">
        <f t="shared" si="4"/>
        <v>0.44</v>
      </c>
      <c r="AU14" s="102">
        <f t="shared" si="4"/>
        <v>0.44</v>
      </c>
      <c r="AV14" s="102">
        <f t="shared" si="4"/>
        <v>0.44</v>
      </c>
      <c r="AW14" s="102">
        <f t="shared" si="4"/>
        <v>0.44</v>
      </c>
      <c r="AX14" s="102">
        <f t="shared" si="4"/>
        <v>0.44</v>
      </c>
      <c r="AY14" s="102">
        <f t="shared" si="4"/>
        <v>0.44</v>
      </c>
      <c r="AZ14" s="102">
        <f t="shared" si="4"/>
        <v>0.44</v>
      </c>
    </row>
    <row r="15" spans="1:52" ht="15" customHeight="1">
      <c r="A15" s="93" t="s">
        <v>96</v>
      </c>
      <c r="B15" s="93"/>
      <c r="C15" s="93"/>
      <c r="D15" s="93"/>
      <c r="E15" s="93"/>
      <c r="F15" s="93"/>
      <c r="G15" s="93"/>
      <c r="H15" s="93"/>
      <c r="I15" s="93"/>
      <c r="J15" s="93"/>
      <c r="K15" s="93"/>
      <c r="L15" s="93"/>
      <c r="M15" s="93"/>
      <c r="N15" s="93"/>
      <c r="O15" s="93"/>
      <c r="P15" s="93"/>
      <c r="Q15" s="93"/>
      <c r="R15" s="93"/>
      <c r="S15" s="93"/>
      <c r="T15" s="93"/>
      <c r="U15" s="93"/>
      <c r="V15" s="281">
        <v>0.53</v>
      </c>
      <c r="W15" s="102">
        <f t="shared" ref="W15:AZ15" si="5">V15</f>
        <v>0.53</v>
      </c>
      <c r="X15" s="102">
        <f t="shared" si="5"/>
        <v>0.53</v>
      </c>
      <c r="Y15" s="102">
        <f t="shared" si="5"/>
        <v>0.53</v>
      </c>
      <c r="Z15" s="102">
        <f t="shared" si="5"/>
        <v>0.53</v>
      </c>
      <c r="AA15" s="102">
        <f t="shared" si="5"/>
        <v>0.53</v>
      </c>
      <c r="AB15" s="102">
        <f t="shared" si="5"/>
        <v>0.53</v>
      </c>
      <c r="AC15" s="102">
        <f t="shared" si="5"/>
        <v>0.53</v>
      </c>
      <c r="AD15" s="102">
        <f t="shared" si="5"/>
        <v>0.53</v>
      </c>
      <c r="AE15" s="102">
        <f t="shared" si="5"/>
        <v>0.53</v>
      </c>
      <c r="AF15" s="102">
        <f t="shared" si="5"/>
        <v>0.53</v>
      </c>
      <c r="AG15" s="102">
        <f t="shared" si="5"/>
        <v>0.53</v>
      </c>
      <c r="AH15" s="102">
        <f t="shared" si="5"/>
        <v>0.53</v>
      </c>
      <c r="AI15" s="102">
        <f t="shared" si="5"/>
        <v>0.53</v>
      </c>
      <c r="AJ15" s="102">
        <f t="shared" si="5"/>
        <v>0.53</v>
      </c>
      <c r="AK15" s="102">
        <f t="shared" si="5"/>
        <v>0.53</v>
      </c>
      <c r="AL15" s="102">
        <f t="shared" si="5"/>
        <v>0.53</v>
      </c>
      <c r="AM15" s="102">
        <f t="shared" si="5"/>
        <v>0.53</v>
      </c>
      <c r="AN15" s="102">
        <f t="shared" si="5"/>
        <v>0.53</v>
      </c>
      <c r="AO15" s="102">
        <f t="shared" si="5"/>
        <v>0.53</v>
      </c>
      <c r="AP15" s="102">
        <f t="shared" si="5"/>
        <v>0.53</v>
      </c>
      <c r="AQ15" s="102">
        <f t="shared" si="5"/>
        <v>0.53</v>
      </c>
      <c r="AR15" s="102">
        <f t="shared" si="5"/>
        <v>0.53</v>
      </c>
      <c r="AS15" s="102">
        <f t="shared" si="5"/>
        <v>0.53</v>
      </c>
      <c r="AT15" s="102">
        <f t="shared" si="5"/>
        <v>0.53</v>
      </c>
      <c r="AU15" s="102">
        <f t="shared" si="5"/>
        <v>0.53</v>
      </c>
      <c r="AV15" s="102">
        <f t="shared" si="5"/>
        <v>0.53</v>
      </c>
      <c r="AW15" s="102">
        <f t="shared" si="5"/>
        <v>0.53</v>
      </c>
      <c r="AX15" s="102">
        <f t="shared" si="5"/>
        <v>0.53</v>
      </c>
      <c r="AY15" s="102">
        <f t="shared" si="5"/>
        <v>0.53</v>
      </c>
      <c r="AZ15" s="102">
        <f t="shared" si="5"/>
        <v>0.53</v>
      </c>
    </row>
    <row r="16" spans="1:52" ht="15" customHeight="1">
      <c r="A16" s="93" t="s">
        <v>98</v>
      </c>
      <c r="B16" s="93"/>
      <c r="C16" s="93"/>
      <c r="D16" s="93"/>
      <c r="E16" s="93"/>
      <c r="F16" s="93"/>
      <c r="G16" s="93"/>
      <c r="H16" s="93"/>
      <c r="I16" s="93"/>
      <c r="J16" s="93"/>
      <c r="K16" s="93"/>
      <c r="L16" s="93"/>
      <c r="M16" s="93"/>
      <c r="N16" s="93"/>
      <c r="O16" s="93"/>
      <c r="P16" s="93"/>
      <c r="Q16" s="93"/>
      <c r="R16" s="93"/>
      <c r="S16" s="93"/>
      <c r="T16" s="93"/>
      <c r="U16" s="93"/>
      <c r="V16" s="254">
        <v>0</v>
      </c>
      <c r="W16" s="102">
        <f t="shared" ref="W16:AZ16" si="6">V16</f>
        <v>0</v>
      </c>
      <c r="X16" s="102">
        <f t="shared" si="6"/>
        <v>0</v>
      </c>
      <c r="Y16" s="102">
        <f t="shared" si="6"/>
        <v>0</v>
      </c>
      <c r="Z16" s="102">
        <f t="shared" si="6"/>
        <v>0</v>
      </c>
      <c r="AA16" s="102">
        <f t="shared" si="6"/>
        <v>0</v>
      </c>
      <c r="AB16" s="102">
        <f t="shared" si="6"/>
        <v>0</v>
      </c>
      <c r="AC16" s="102">
        <f t="shared" si="6"/>
        <v>0</v>
      </c>
      <c r="AD16" s="102">
        <f t="shared" si="6"/>
        <v>0</v>
      </c>
      <c r="AE16" s="102">
        <f t="shared" si="6"/>
        <v>0</v>
      </c>
      <c r="AF16" s="102">
        <f t="shared" si="6"/>
        <v>0</v>
      </c>
      <c r="AG16" s="102">
        <f t="shared" si="6"/>
        <v>0</v>
      </c>
      <c r="AH16" s="102">
        <f t="shared" si="6"/>
        <v>0</v>
      </c>
      <c r="AI16" s="102">
        <f t="shared" si="6"/>
        <v>0</v>
      </c>
      <c r="AJ16" s="102">
        <f t="shared" si="6"/>
        <v>0</v>
      </c>
      <c r="AK16" s="102">
        <f t="shared" si="6"/>
        <v>0</v>
      </c>
      <c r="AL16" s="102">
        <f t="shared" si="6"/>
        <v>0</v>
      </c>
      <c r="AM16" s="102">
        <f t="shared" si="6"/>
        <v>0</v>
      </c>
      <c r="AN16" s="102">
        <f t="shared" si="6"/>
        <v>0</v>
      </c>
      <c r="AO16" s="102">
        <f t="shared" si="6"/>
        <v>0</v>
      </c>
      <c r="AP16" s="102">
        <f t="shared" si="6"/>
        <v>0</v>
      </c>
      <c r="AQ16" s="102">
        <f t="shared" si="6"/>
        <v>0</v>
      </c>
      <c r="AR16" s="102">
        <f t="shared" si="6"/>
        <v>0</v>
      </c>
      <c r="AS16" s="102">
        <f t="shared" si="6"/>
        <v>0</v>
      </c>
      <c r="AT16" s="102">
        <f t="shared" si="6"/>
        <v>0</v>
      </c>
      <c r="AU16" s="102">
        <f t="shared" si="6"/>
        <v>0</v>
      </c>
      <c r="AV16" s="102">
        <f t="shared" si="6"/>
        <v>0</v>
      </c>
      <c r="AW16" s="102">
        <f t="shared" si="6"/>
        <v>0</v>
      </c>
      <c r="AX16" s="102">
        <f t="shared" si="6"/>
        <v>0</v>
      </c>
      <c r="AY16" s="102">
        <f t="shared" si="6"/>
        <v>0</v>
      </c>
      <c r="AZ16" s="102">
        <f t="shared" si="6"/>
        <v>0</v>
      </c>
    </row>
    <row r="17" spans="1:52" ht="15" customHeight="1">
      <c r="A17" s="93" t="s">
        <v>100</v>
      </c>
      <c r="B17" s="105">
        <f t="shared" ref="B17:U17" si="7">C17/(1+B34-B20)</f>
        <v>76968.956340691468</v>
      </c>
      <c r="C17" s="105">
        <f t="shared" si="7"/>
        <v>78431.366511164611</v>
      </c>
      <c r="D17" s="105">
        <f t="shared" si="7"/>
        <v>79921.562474876744</v>
      </c>
      <c r="E17" s="105">
        <f t="shared" si="7"/>
        <v>81440.072161899414</v>
      </c>
      <c r="F17" s="105">
        <f t="shared" si="7"/>
        <v>82987.433532975512</v>
      </c>
      <c r="G17" s="105">
        <f t="shared" si="7"/>
        <v>84564.194770102054</v>
      </c>
      <c r="H17" s="105">
        <f t="shared" si="7"/>
        <v>86170.914470734002</v>
      </c>
      <c r="I17" s="105">
        <f t="shared" si="7"/>
        <v>87808.161845677954</v>
      </c>
      <c r="J17" s="105">
        <f t="shared" si="7"/>
        <v>89476.516920745853</v>
      </c>
      <c r="K17" s="105">
        <f t="shared" si="7"/>
        <v>91176.57074224003</v>
      </c>
      <c r="L17" s="105">
        <f t="shared" si="7"/>
        <v>92908.925586342608</v>
      </c>
      <c r="M17" s="105">
        <f t="shared" si="7"/>
        <v>94674.195172483131</v>
      </c>
      <c r="N17" s="105">
        <f t="shared" si="7"/>
        <v>96473.004880760316</v>
      </c>
      <c r="O17" s="105">
        <f t="shared" si="7"/>
        <v>98305.991973494776</v>
      </c>
      <c r="P17" s="105">
        <f t="shared" si="7"/>
        <v>100173.80582099118</v>
      </c>
      <c r="Q17" s="105">
        <f t="shared" si="7"/>
        <v>102077.10813159002</v>
      </c>
      <c r="R17" s="105">
        <f t="shared" si="7"/>
        <v>104016.57318609025</v>
      </c>
      <c r="S17" s="105">
        <f t="shared" si="7"/>
        <v>105992.88807662597</v>
      </c>
      <c r="T17" s="105">
        <f t="shared" si="7"/>
        <v>108006.75295008188</v>
      </c>
      <c r="U17" s="105">
        <f t="shared" si="7"/>
        <v>110058.88125613345</v>
      </c>
      <c r="V17" s="360">
        <v>112150</v>
      </c>
      <c r="W17" s="105">
        <f t="shared" ref="W17:AZ17" si="8">V17*(1+V34-V20)</f>
        <v>114280.85000000002</v>
      </c>
      <c r="X17" s="105">
        <f t="shared" si="8"/>
        <v>116452.18615000004</v>
      </c>
      <c r="Y17" s="105">
        <f t="shared" si="8"/>
        <v>118664.77768685005</v>
      </c>
      <c r="Z17" s="105">
        <f t="shared" si="8"/>
        <v>120919.40846290022</v>
      </c>
      <c r="AA17" s="105">
        <f t="shared" si="8"/>
        <v>123216.87722369534</v>
      </c>
      <c r="AB17" s="105">
        <f t="shared" si="8"/>
        <v>125557.99789094557</v>
      </c>
      <c r="AC17" s="105">
        <f t="shared" si="8"/>
        <v>127943.59985087355</v>
      </c>
      <c r="AD17" s="105">
        <f t="shared" si="8"/>
        <v>130374.52824804017</v>
      </c>
      <c r="AE17" s="105">
        <f t="shared" si="8"/>
        <v>132851.64428475295</v>
      </c>
      <c r="AF17" s="105">
        <f t="shared" si="8"/>
        <v>135375.82552616327</v>
      </c>
      <c r="AG17" s="105">
        <f t="shared" si="8"/>
        <v>137947.96621116038</v>
      </c>
      <c r="AH17" s="105">
        <f t="shared" si="8"/>
        <v>140568.97756917245</v>
      </c>
      <c r="AI17" s="105">
        <f t="shared" si="8"/>
        <v>143239.78814298674</v>
      </c>
      <c r="AJ17" s="105">
        <f t="shared" si="8"/>
        <v>145961.3441177035</v>
      </c>
      <c r="AK17" s="105">
        <f t="shared" si="8"/>
        <v>148734.60965593989</v>
      </c>
      <c r="AL17" s="105">
        <f t="shared" si="8"/>
        <v>151560.56723940276</v>
      </c>
      <c r="AM17" s="105">
        <f t="shared" si="8"/>
        <v>154440.21801695143</v>
      </c>
      <c r="AN17" s="105">
        <f t="shared" si="8"/>
        <v>157374.58215927353</v>
      </c>
      <c r="AO17" s="105">
        <f t="shared" si="8"/>
        <v>160364.69922029975</v>
      </c>
      <c r="AP17" s="105">
        <f t="shared" si="8"/>
        <v>163411.62850548545</v>
      </c>
      <c r="AQ17" s="105">
        <f t="shared" si="8"/>
        <v>166516.44944708969</v>
      </c>
      <c r="AR17" s="105">
        <f t="shared" si="8"/>
        <v>169680.2619865844</v>
      </c>
      <c r="AS17" s="105">
        <f t="shared" si="8"/>
        <v>172904.18696432954</v>
      </c>
      <c r="AT17" s="105">
        <f t="shared" si="8"/>
        <v>176189.36651665182</v>
      </c>
      <c r="AU17" s="105">
        <f t="shared" si="8"/>
        <v>179536.96448046822</v>
      </c>
      <c r="AV17" s="105">
        <f t="shared" si="8"/>
        <v>182948.16680559714</v>
      </c>
      <c r="AW17" s="105">
        <f t="shared" si="8"/>
        <v>186424.18197490351</v>
      </c>
      <c r="AX17" s="105">
        <f t="shared" si="8"/>
        <v>189966.2414324267</v>
      </c>
      <c r="AY17" s="105">
        <f t="shared" si="8"/>
        <v>193575.60001964282</v>
      </c>
      <c r="AZ17" s="105">
        <f t="shared" si="8"/>
        <v>197253.53642001605</v>
      </c>
    </row>
    <row r="18" spans="1:52" ht="15" customHeight="1">
      <c r="A18" s="93" t="s">
        <v>802</v>
      </c>
      <c r="B18" s="91">
        <f t="shared" ref="B18:U18" si="9">C18/(1+B34-B20)</f>
        <v>3.8295744661708269</v>
      </c>
      <c r="C18" s="91">
        <f t="shared" si="9"/>
        <v>3.9023363810280731</v>
      </c>
      <c r="D18" s="91">
        <f t="shared" si="9"/>
        <v>3.9764807722676072</v>
      </c>
      <c r="E18" s="91">
        <f t="shared" si="9"/>
        <v>4.0520339069406921</v>
      </c>
      <c r="F18" s="91">
        <f t="shared" si="9"/>
        <v>4.1290225511725653</v>
      </c>
      <c r="G18" s="91">
        <f t="shared" si="9"/>
        <v>4.2074739796448446</v>
      </c>
      <c r="H18" s="91">
        <f t="shared" si="9"/>
        <v>4.2874159852580975</v>
      </c>
      <c r="I18" s="91">
        <f t="shared" si="9"/>
        <v>4.3688768889780016</v>
      </c>
      <c r="J18" s="91">
        <f t="shared" si="9"/>
        <v>4.4518855498685843</v>
      </c>
      <c r="K18" s="91">
        <f t="shared" si="9"/>
        <v>4.5364713753160881</v>
      </c>
      <c r="L18" s="91">
        <f t="shared" si="9"/>
        <v>4.6226643314470941</v>
      </c>
      <c r="M18" s="91">
        <f t="shared" si="9"/>
        <v>4.7104949537445897</v>
      </c>
      <c r="N18" s="91">
        <f t="shared" si="9"/>
        <v>4.7999943578657378</v>
      </c>
      <c r="O18" s="91">
        <f t="shared" si="9"/>
        <v>4.8911942506651878</v>
      </c>
      <c r="P18" s="91">
        <f t="shared" si="9"/>
        <v>4.9841269414278271</v>
      </c>
      <c r="Q18" s="91">
        <f t="shared" si="9"/>
        <v>5.0788253533149561</v>
      </c>
      <c r="R18" s="91">
        <f t="shared" si="9"/>
        <v>5.1753230350279411</v>
      </c>
      <c r="S18" s="91">
        <f t="shared" si="9"/>
        <v>5.2736541726934725</v>
      </c>
      <c r="T18" s="91">
        <f t="shared" si="9"/>
        <v>5.3738536019746492</v>
      </c>
      <c r="U18" s="91">
        <f t="shared" si="9"/>
        <v>5.4759568204121685</v>
      </c>
      <c r="V18" s="107">
        <v>5.58</v>
      </c>
      <c r="W18" s="91">
        <f t="shared" ref="W18:AZ18" si="10">V18*(1+V34-V20)</f>
        <v>5.686020000000001</v>
      </c>
      <c r="X18" s="91">
        <f t="shared" si="10"/>
        <v>5.7940543800000013</v>
      </c>
      <c r="Y18" s="91">
        <f t="shared" si="10"/>
        <v>5.9041414132200023</v>
      </c>
      <c r="Z18" s="91">
        <f t="shared" si="10"/>
        <v>6.0163201000711828</v>
      </c>
      <c r="AA18" s="91">
        <f t="shared" si="10"/>
        <v>6.1306301819725357</v>
      </c>
      <c r="AB18" s="91">
        <f t="shared" si="10"/>
        <v>6.2471121554300151</v>
      </c>
      <c r="AC18" s="91">
        <f t="shared" si="10"/>
        <v>6.3658072863831858</v>
      </c>
      <c r="AD18" s="91">
        <f t="shared" si="10"/>
        <v>6.4867576248244676</v>
      </c>
      <c r="AE18" s="91">
        <f t="shared" si="10"/>
        <v>6.610006019696133</v>
      </c>
      <c r="AF18" s="91">
        <f t="shared" si="10"/>
        <v>6.7355961340703603</v>
      </c>
      <c r="AG18" s="91">
        <f t="shared" si="10"/>
        <v>6.8635724606176982</v>
      </c>
      <c r="AH18" s="91">
        <f t="shared" si="10"/>
        <v>6.9939803373694351</v>
      </c>
      <c r="AI18" s="91">
        <f t="shared" si="10"/>
        <v>7.1268659637794549</v>
      </c>
      <c r="AJ18" s="91">
        <f t="shared" si="10"/>
        <v>7.2622764170912655</v>
      </c>
      <c r="AK18" s="91">
        <f t="shared" si="10"/>
        <v>7.4002596690160001</v>
      </c>
      <c r="AL18" s="91">
        <f t="shared" si="10"/>
        <v>7.5408646027273054</v>
      </c>
      <c r="AM18" s="91">
        <f t="shared" si="10"/>
        <v>7.6841410301791253</v>
      </c>
      <c r="AN18" s="91">
        <f t="shared" si="10"/>
        <v>7.8301397097525296</v>
      </c>
      <c r="AO18" s="91">
        <f t="shared" si="10"/>
        <v>7.9789123642378286</v>
      </c>
      <c r="AP18" s="91">
        <f t="shared" si="10"/>
        <v>8.1305116991583475</v>
      </c>
      <c r="AQ18" s="91">
        <f t="shared" si="10"/>
        <v>8.2849914214423563</v>
      </c>
      <c r="AR18" s="91">
        <f t="shared" si="10"/>
        <v>8.442406258449763</v>
      </c>
      <c r="AS18" s="91">
        <f t="shared" si="10"/>
        <v>8.6028119773603091</v>
      </c>
      <c r="AT18" s="91">
        <f t="shared" si="10"/>
        <v>8.7662654049301558</v>
      </c>
      <c r="AU18" s="91">
        <f t="shared" si="10"/>
        <v>8.9328244476238297</v>
      </c>
      <c r="AV18" s="91">
        <f t="shared" si="10"/>
        <v>9.1025481121286838</v>
      </c>
      <c r="AW18" s="91">
        <f t="shared" si="10"/>
        <v>9.2754965262591291</v>
      </c>
      <c r="AX18" s="91">
        <f t="shared" si="10"/>
        <v>9.4517309602580539</v>
      </c>
      <c r="AY18" s="91">
        <f t="shared" si="10"/>
        <v>9.631313848502959</v>
      </c>
      <c r="AZ18" s="91">
        <f t="shared" si="10"/>
        <v>9.8143088116245156</v>
      </c>
    </row>
    <row r="19" spans="1:52" ht="15" customHeight="1">
      <c r="A19" s="93" t="s">
        <v>803</v>
      </c>
      <c r="B19" s="91">
        <f t="shared" ref="B19:U19" si="11">C19/(1+B34-B20)</f>
        <v>23.798689332477249</v>
      </c>
      <c r="C19" s="91">
        <f t="shared" si="11"/>
        <v>24.250864429794319</v>
      </c>
      <c r="D19" s="91">
        <f t="shared" si="11"/>
        <v>24.711630853960415</v>
      </c>
      <c r="E19" s="91">
        <f t="shared" si="11"/>
        <v>25.181151840185667</v>
      </c>
      <c r="F19" s="91">
        <f t="shared" si="11"/>
        <v>25.659593725149197</v>
      </c>
      <c r="G19" s="91">
        <f t="shared" si="11"/>
        <v>26.147126005927035</v>
      </c>
      <c r="H19" s="91">
        <f t="shared" si="11"/>
        <v>26.643921400039652</v>
      </c>
      <c r="I19" s="91">
        <f t="shared" si="11"/>
        <v>27.150155906640407</v>
      </c>
      <c r="J19" s="91">
        <f t="shared" si="11"/>
        <v>27.666008868866577</v>
      </c>
      <c r="K19" s="91">
        <f t="shared" si="11"/>
        <v>28.191663037375044</v>
      </c>
      <c r="L19" s="91">
        <f t="shared" si="11"/>
        <v>28.727304635085172</v>
      </c>
      <c r="M19" s="91">
        <f t="shared" si="11"/>
        <v>29.273123423151794</v>
      </c>
      <c r="N19" s="91">
        <f t="shared" si="11"/>
        <v>29.829312768191681</v>
      </c>
      <c r="O19" s="91">
        <f t="shared" si="11"/>
        <v>30.396069710787327</v>
      </c>
      <c r="P19" s="91">
        <f t="shared" si="11"/>
        <v>30.973595035292291</v>
      </c>
      <c r="Q19" s="91">
        <f t="shared" si="11"/>
        <v>31.56209334096285</v>
      </c>
      <c r="R19" s="91">
        <f t="shared" si="11"/>
        <v>32.161773114441147</v>
      </c>
      <c r="S19" s="91">
        <f t="shared" si="11"/>
        <v>32.772846803615529</v>
      </c>
      <c r="T19" s="91">
        <f t="shared" si="11"/>
        <v>33.395530892884231</v>
      </c>
      <c r="U19" s="91">
        <f t="shared" si="11"/>
        <v>34.030045979849035</v>
      </c>
      <c r="V19" s="97">
        <f>V17*Model!W1555/(V14*Model!W1555*8760)+V18</f>
        <v>34.676616853466172</v>
      </c>
      <c r="W19" s="91">
        <f t="shared" ref="W19:AZ19" si="12">V19*(1+V34-V20)</f>
        <v>35.335472573682033</v>
      </c>
      <c r="X19" s="91">
        <f t="shared" si="12"/>
        <v>36.006846552581997</v>
      </c>
      <c r="Y19" s="91">
        <f t="shared" si="12"/>
        <v>36.690976637081057</v>
      </c>
      <c r="Z19" s="91">
        <f t="shared" si="12"/>
        <v>37.388105193185602</v>
      </c>
      <c r="AA19" s="91">
        <f t="shared" si="12"/>
        <v>38.098479191856136</v>
      </c>
      <c r="AB19" s="91">
        <f t="shared" si="12"/>
        <v>38.822350296501405</v>
      </c>
      <c r="AC19" s="91">
        <f t="shared" si="12"/>
        <v>39.559974952134937</v>
      </c>
      <c r="AD19" s="91">
        <f t="shared" si="12"/>
        <v>40.311614476225508</v>
      </c>
      <c r="AE19" s="91">
        <f t="shared" si="12"/>
        <v>41.0775351512738</v>
      </c>
      <c r="AF19" s="91">
        <f t="shared" si="12"/>
        <v>41.858008319148006</v>
      </c>
      <c r="AG19" s="91">
        <f t="shared" si="12"/>
        <v>42.653310477211825</v>
      </c>
      <c r="AH19" s="91">
        <f t="shared" si="12"/>
        <v>43.463723376278857</v>
      </c>
      <c r="AI19" s="91">
        <f t="shared" si="12"/>
        <v>44.289534120428158</v>
      </c>
      <c r="AJ19" s="91">
        <f t="shared" si="12"/>
        <v>45.131035268716296</v>
      </c>
      <c r="AK19" s="91">
        <f t="shared" si="12"/>
        <v>45.988524938821911</v>
      </c>
      <c r="AL19" s="91">
        <f t="shared" si="12"/>
        <v>46.862306912659534</v>
      </c>
      <c r="AM19" s="91">
        <f t="shared" si="12"/>
        <v>47.75269074400007</v>
      </c>
      <c r="AN19" s="91">
        <f t="shared" si="12"/>
        <v>48.659991868136075</v>
      </c>
      <c r="AO19" s="91">
        <f t="shared" si="12"/>
        <v>49.584531713630668</v>
      </c>
      <c r="AP19" s="91">
        <f t="shared" si="12"/>
        <v>50.526637816189655</v>
      </c>
      <c r="AQ19" s="91">
        <f t="shared" si="12"/>
        <v>51.486643934697263</v>
      </c>
      <c r="AR19" s="91">
        <f t="shared" si="12"/>
        <v>52.464890169456517</v>
      </c>
      <c r="AS19" s="91">
        <f t="shared" si="12"/>
        <v>53.461723082676194</v>
      </c>
      <c r="AT19" s="91">
        <f t="shared" si="12"/>
        <v>54.477495821247047</v>
      </c>
      <c r="AU19" s="91">
        <f t="shared" si="12"/>
        <v>55.512568241850751</v>
      </c>
      <c r="AV19" s="91">
        <f t="shared" si="12"/>
        <v>56.567307038445925</v>
      </c>
      <c r="AW19" s="91">
        <f t="shared" si="12"/>
        <v>57.642085872176402</v>
      </c>
      <c r="AX19" s="91">
        <f t="shared" si="12"/>
        <v>58.737285503747763</v>
      </c>
      <c r="AY19" s="91">
        <f t="shared" si="12"/>
        <v>59.853293928318976</v>
      </c>
      <c r="AZ19" s="91">
        <f t="shared" si="12"/>
        <v>60.990506512957047</v>
      </c>
    </row>
    <row r="20" spans="1:52" ht="15" customHeight="1">
      <c r="A20" s="93" t="s">
        <v>106</v>
      </c>
      <c r="B20" s="330">
        <f t="shared" ref="B20:U20" si="13">C20</f>
        <v>1E-3</v>
      </c>
      <c r="C20" s="330">
        <f t="shared" si="13"/>
        <v>1E-3</v>
      </c>
      <c r="D20" s="330">
        <f t="shared" si="13"/>
        <v>1E-3</v>
      </c>
      <c r="E20" s="330">
        <f t="shared" si="13"/>
        <v>1E-3</v>
      </c>
      <c r="F20" s="330">
        <f t="shared" si="13"/>
        <v>1E-3</v>
      </c>
      <c r="G20" s="330">
        <f t="shared" si="13"/>
        <v>1E-3</v>
      </c>
      <c r="H20" s="330">
        <f t="shared" si="13"/>
        <v>1E-3</v>
      </c>
      <c r="I20" s="330">
        <f t="shared" si="13"/>
        <v>1E-3</v>
      </c>
      <c r="J20" s="330">
        <f t="shared" si="13"/>
        <v>1E-3</v>
      </c>
      <c r="K20" s="330">
        <f t="shared" si="13"/>
        <v>1E-3</v>
      </c>
      <c r="L20" s="330">
        <f t="shared" si="13"/>
        <v>1E-3</v>
      </c>
      <c r="M20" s="330">
        <f t="shared" si="13"/>
        <v>1E-3</v>
      </c>
      <c r="N20" s="330">
        <f t="shared" si="13"/>
        <v>1E-3</v>
      </c>
      <c r="O20" s="330">
        <f t="shared" si="13"/>
        <v>1E-3</v>
      </c>
      <c r="P20" s="330">
        <f t="shared" si="13"/>
        <v>1E-3</v>
      </c>
      <c r="Q20" s="330">
        <f t="shared" si="13"/>
        <v>1E-3</v>
      </c>
      <c r="R20" s="330">
        <f t="shared" si="13"/>
        <v>1E-3</v>
      </c>
      <c r="S20" s="330">
        <f t="shared" si="13"/>
        <v>1E-3</v>
      </c>
      <c r="T20" s="330">
        <f t="shared" si="13"/>
        <v>1E-3</v>
      </c>
      <c r="U20" s="330">
        <f t="shared" si="13"/>
        <v>1E-3</v>
      </c>
      <c r="V20" s="245">
        <v>1E-3</v>
      </c>
      <c r="W20" s="247">
        <f t="shared" ref="W20:AZ20" si="14">V20</f>
        <v>1E-3</v>
      </c>
      <c r="X20" s="247">
        <f t="shared" si="14"/>
        <v>1E-3</v>
      </c>
      <c r="Y20" s="247">
        <f t="shared" si="14"/>
        <v>1E-3</v>
      </c>
      <c r="Z20" s="247">
        <f t="shared" si="14"/>
        <v>1E-3</v>
      </c>
      <c r="AA20" s="247">
        <f t="shared" si="14"/>
        <v>1E-3</v>
      </c>
      <c r="AB20" s="247">
        <f t="shared" si="14"/>
        <v>1E-3</v>
      </c>
      <c r="AC20" s="247">
        <f t="shared" si="14"/>
        <v>1E-3</v>
      </c>
      <c r="AD20" s="247">
        <f t="shared" si="14"/>
        <v>1E-3</v>
      </c>
      <c r="AE20" s="247">
        <f t="shared" si="14"/>
        <v>1E-3</v>
      </c>
      <c r="AF20" s="247">
        <f t="shared" si="14"/>
        <v>1E-3</v>
      </c>
      <c r="AG20" s="247">
        <f t="shared" si="14"/>
        <v>1E-3</v>
      </c>
      <c r="AH20" s="247">
        <f t="shared" si="14"/>
        <v>1E-3</v>
      </c>
      <c r="AI20" s="247">
        <f t="shared" si="14"/>
        <v>1E-3</v>
      </c>
      <c r="AJ20" s="247">
        <f t="shared" si="14"/>
        <v>1E-3</v>
      </c>
      <c r="AK20" s="247">
        <f t="shared" si="14"/>
        <v>1E-3</v>
      </c>
      <c r="AL20" s="247">
        <f t="shared" si="14"/>
        <v>1E-3</v>
      </c>
      <c r="AM20" s="247">
        <f t="shared" si="14"/>
        <v>1E-3</v>
      </c>
      <c r="AN20" s="247">
        <f t="shared" si="14"/>
        <v>1E-3</v>
      </c>
      <c r="AO20" s="247">
        <f t="shared" si="14"/>
        <v>1E-3</v>
      </c>
      <c r="AP20" s="247">
        <f t="shared" si="14"/>
        <v>1E-3</v>
      </c>
      <c r="AQ20" s="247">
        <f t="shared" si="14"/>
        <v>1E-3</v>
      </c>
      <c r="AR20" s="247">
        <f t="shared" si="14"/>
        <v>1E-3</v>
      </c>
      <c r="AS20" s="247">
        <f t="shared" si="14"/>
        <v>1E-3</v>
      </c>
      <c r="AT20" s="247">
        <f t="shared" si="14"/>
        <v>1E-3</v>
      </c>
      <c r="AU20" s="247">
        <f t="shared" si="14"/>
        <v>1E-3</v>
      </c>
      <c r="AV20" s="247">
        <f t="shared" si="14"/>
        <v>1E-3</v>
      </c>
      <c r="AW20" s="247">
        <f t="shared" si="14"/>
        <v>1E-3</v>
      </c>
      <c r="AX20" s="247">
        <f t="shared" si="14"/>
        <v>1E-3</v>
      </c>
      <c r="AY20" s="247">
        <f t="shared" si="14"/>
        <v>1E-3</v>
      </c>
      <c r="AZ20" s="247">
        <f t="shared" si="14"/>
        <v>1E-3</v>
      </c>
    </row>
    <row r="21" spans="1:52" ht="15" customHeight="1">
      <c r="A21" s="93" t="s">
        <v>111</v>
      </c>
      <c r="B21" s="93"/>
      <c r="C21" s="93"/>
      <c r="D21" s="93"/>
      <c r="E21" s="93"/>
      <c r="F21" s="93"/>
      <c r="G21" s="93"/>
      <c r="H21" s="93"/>
      <c r="I21" s="93"/>
      <c r="J21" s="93"/>
      <c r="K21" s="93"/>
      <c r="L21" s="93"/>
      <c r="M21" s="93"/>
      <c r="N21" s="93"/>
      <c r="O21" s="93"/>
      <c r="P21" s="93"/>
      <c r="Q21" s="93"/>
      <c r="R21" s="93"/>
      <c r="S21" s="93"/>
      <c r="T21" s="93"/>
      <c r="U21" s="93"/>
      <c r="V21" s="97"/>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row>
    <row r="22" spans="1:52" ht="15" customHeight="1">
      <c r="A22" s="93" t="s">
        <v>112</v>
      </c>
      <c r="B22" s="253">
        <v>0.35</v>
      </c>
      <c r="C22" s="253">
        <v>0.35</v>
      </c>
      <c r="D22" s="253">
        <v>0.35</v>
      </c>
      <c r="E22" s="253">
        <v>0.35</v>
      </c>
      <c r="F22" s="253">
        <v>0.35</v>
      </c>
      <c r="G22" s="253">
        <v>0.35</v>
      </c>
      <c r="H22" s="253">
        <v>0.35</v>
      </c>
      <c r="I22" s="253">
        <v>0.35</v>
      </c>
      <c r="J22" s="253">
        <v>0.35</v>
      </c>
      <c r="K22" s="253">
        <v>0.35</v>
      </c>
      <c r="L22" s="253">
        <v>0.35</v>
      </c>
      <c r="M22" s="253">
        <v>0.35</v>
      </c>
      <c r="N22" s="253">
        <v>0.35</v>
      </c>
      <c r="O22" s="253">
        <v>0.35</v>
      </c>
      <c r="P22" s="253">
        <v>0.35</v>
      </c>
      <c r="Q22" s="253">
        <v>0.35</v>
      </c>
      <c r="R22" s="253">
        <v>0.35</v>
      </c>
      <c r="S22" s="253">
        <v>0.35</v>
      </c>
      <c r="T22" s="253">
        <v>0.21</v>
      </c>
      <c r="U22" s="253">
        <v>0.21</v>
      </c>
      <c r="V22" s="254">
        <v>0.21</v>
      </c>
      <c r="W22" s="102">
        <f t="shared" ref="W22:AZ22" si="15">V22</f>
        <v>0.21</v>
      </c>
      <c r="X22" s="102">
        <f t="shared" si="15"/>
        <v>0.21</v>
      </c>
      <c r="Y22" s="102">
        <f t="shared" si="15"/>
        <v>0.21</v>
      </c>
      <c r="Z22" s="102">
        <f t="shared" si="15"/>
        <v>0.21</v>
      </c>
      <c r="AA22" s="102">
        <f t="shared" si="15"/>
        <v>0.21</v>
      </c>
      <c r="AB22" s="102">
        <f t="shared" si="15"/>
        <v>0.21</v>
      </c>
      <c r="AC22" s="102">
        <f t="shared" si="15"/>
        <v>0.21</v>
      </c>
      <c r="AD22" s="102">
        <f t="shared" si="15"/>
        <v>0.21</v>
      </c>
      <c r="AE22" s="102">
        <f t="shared" si="15"/>
        <v>0.21</v>
      </c>
      <c r="AF22" s="102">
        <f t="shared" si="15"/>
        <v>0.21</v>
      </c>
      <c r="AG22" s="102">
        <f t="shared" si="15"/>
        <v>0.21</v>
      </c>
      <c r="AH22" s="102">
        <f t="shared" si="15"/>
        <v>0.21</v>
      </c>
      <c r="AI22" s="102">
        <f t="shared" si="15"/>
        <v>0.21</v>
      </c>
      <c r="AJ22" s="102">
        <f t="shared" si="15"/>
        <v>0.21</v>
      </c>
      <c r="AK22" s="102">
        <f t="shared" si="15"/>
        <v>0.21</v>
      </c>
      <c r="AL22" s="102">
        <f t="shared" si="15"/>
        <v>0.21</v>
      </c>
      <c r="AM22" s="102">
        <f t="shared" si="15"/>
        <v>0.21</v>
      </c>
      <c r="AN22" s="102">
        <f t="shared" si="15"/>
        <v>0.21</v>
      </c>
      <c r="AO22" s="102">
        <f t="shared" si="15"/>
        <v>0.21</v>
      </c>
      <c r="AP22" s="102">
        <f t="shared" si="15"/>
        <v>0.21</v>
      </c>
      <c r="AQ22" s="102">
        <f t="shared" si="15"/>
        <v>0.21</v>
      </c>
      <c r="AR22" s="102">
        <f t="shared" si="15"/>
        <v>0.21</v>
      </c>
      <c r="AS22" s="102">
        <f t="shared" si="15"/>
        <v>0.21</v>
      </c>
      <c r="AT22" s="102">
        <f t="shared" si="15"/>
        <v>0.21</v>
      </c>
      <c r="AU22" s="102">
        <f t="shared" si="15"/>
        <v>0.21</v>
      </c>
      <c r="AV22" s="102">
        <f t="shared" si="15"/>
        <v>0.21</v>
      </c>
      <c r="AW22" s="102">
        <f t="shared" si="15"/>
        <v>0.21</v>
      </c>
      <c r="AX22" s="102">
        <f t="shared" si="15"/>
        <v>0.21</v>
      </c>
      <c r="AY22" s="102">
        <f t="shared" si="15"/>
        <v>0.21</v>
      </c>
      <c r="AZ22" s="102">
        <f t="shared" si="15"/>
        <v>0.21</v>
      </c>
    </row>
    <row r="23" spans="1:52" ht="15" customHeight="1">
      <c r="A23" s="93" t="s">
        <v>114</v>
      </c>
      <c r="B23" s="93"/>
      <c r="C23" s="93"/>
      <c r="D23" s="93"/>
      <c r="E23" s="93"/>
      <c r="F23" s="93"/>
      <c r="G23" s="93"/>
      <c r="H23" s="93"/>
      <c r="I23" s="93"/>
      <c r="J23" s="93"/>
      <c r="K23" s="93"/>
      <c r="L23" s="93"/>
      <c r="M23" s="93"/>
      <c r="N23" s="93"/>
      <c r="O23" s="93"/>
      <c r="P23" s="93"/>
      <c r="Q23" s="93"/>
      <c r="R23" s="93"/>
      <c r="S23" s="93"/>
      <c r="T23" s="93"/>
      <c r="U23" s="93"/>
      <c r="V23" s="97">
        <v>0</v>
      </c>
      <c r="W23" s="91">
        <f t="shared" ref="W23:AZ23" si="16">V23*(1+V34)</f>
        <v>0</v>
      </c>
      <c r="X23" s="91">
        <f t="shared" si="16"/>
        <v>0</v>
      </c>
      <c r="Y23" s="91">
        <f t="shared" si="16"/>
        <v>0</v>
      </c>
      <c r="Z23" s="91">
        <f t="shared" si="16"/>
        <v>0</v>
      </c>
      <c r="AA23" s="91">
        <f t="shared" si="16"/>
        <v>0</v>
      </c>
      <c r="AB23" s="91">
        <f t="shared" si="16"/>
        <v>0</v>
      </c>
      <c r="AC23" s="91">
        <f t="shared" si="16"/>
        <v>0</v>
      </c>
      <c r="AD23" s="91">
        <f t="shared" si="16"/>
        <v>0</v>
      </c>
      <c r="AE23" s="91">
        <f t="shared" si="16"/>
        <v>0</v>
      </c>
      <c r="AF23" s="91">
        <f t="shared" si="16"/>
        <v>0</v>
      </c>
      <c r="AG23" s="91">
        <f t="shared" si="16"/>
        <v>0</v>
      </c>
      <c r="AH23" s="91">
        <f t="shared" si="16"/>
        <v>0</v>
      </c>
      <c r="AI23" s="91">
        <f t="shared" si="16"/>
        <v>0</v>
      </c>
      <c r="AJ23" s="91">
        <f t="shared" si="16"/>
        <v>0</v>
      </c>
      <c r="AK23" s="91">
        <f t="shared" si="16"/>
        <v>0</v>
      </c>
      <c r="AL23" s="91">
        <f t="shared" si="16"/>
        <v>0</v>
      </c>
      <c r="AM23" s="91">
        <f t="shared" si="16"/>
        <v>0</v>
      </c>
      <c r="AN23" s="91">
        <f t="shared" si="16"/>
        <v>0</v>
      </c>
      <c r="AO23" s="91">
        <f t="shared" si="16"/>
        <v>0</v>
      </c>
      <c r="AP23" s="91">
        <f t="shared" si="16"/>
        <v>0</v>
      </c>
      <c r="AQ23" s="91">
        <f t="shared" si="16"/>
        <v>0</v>
      </c>
      <c r="AR23" s="91">
        <f t="shared" si="16"/>
        <v>0</v>
      </c>
      <c r="AS23" s="91">
        <f t="shared" si="16"/>
        <v>0</v>
      </c>
      <c r="AT23" s="91">
        <f t="shared" si="16"/>
        <v>0</v>
      </c>
      <c r="AU23" s="91">
        <f t="shared" si="16"/>
        <v>0</v>
      </c>
      <c r="AV23" s="91">
        <f t="shared" si="16"/>
        <v>0</v>
      </c>
      <c r="AW23" s="91">
        <f t="shared" si="16"/>
        <v>0</v>
      </c>
      <c r="AX23" s="91">
        <f t="shared" si="16"/>
        <v>0</v>
      </c>
      <c r="AY23" s="91">
        <f t="shared" si="16"/>
        <v>0</v>
      </c>
      <c r="AZ23" s="91">
        <f t="shared" si="16"/>
        <v>0</v>
      </c>
    </row>
    <row r="24" spans="1:52" ht="15" customHeight="1">
      <c r="A24" s="93" t="s">
        <v>116</v>
      </c>
      <c r="B24" s="93"/>
      <c r="C24" s="93"/>
      <c r="D24" s="93"/>
      <c r="E24" s="93"/>
      <c r="F24" s="93"/>
      <c r="G24" s="93"/>
      <c r="H24" s="93"/>
      <c r="I24" s="93"/>
      <c r="J24" s="93"/>
      <c r="K24" s="93"/>
      <c r="L24" s="93"/>
      <c r="M24" s="93"/>
      <c r="N24" s="93"/>
      <c r="O24" s="93"/>
      <c r="P24" s="93"/>
      <c r="Q24" s="93"/>
      <c r="R24" s="93"/>
      <c r="S24" s="93"/>
      <c r="T24" s="93"/>
      <c r="U24" s="93"/>
      <c r="V24" s="361">
        <v>31</v>
      </c>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row>
    <row r="25" spans="1:52" ht="15" customHeight="1">
      <c r="A25" s="93" t="s">
        <v>119</v>
      </c>
      <c r="B25" s="93"/>
      <c r="C25" s="93"/>
      <c r="D25" s="93"/>
      <c r="E25" s="93"/>
      <c r="F25" s="93"/>
      <c r="G25" s="93"/>
      <c r="H25" s="93"/>
      <c r="I25" s="93"/>
      <c r="J25" s="93"/>
      <c r="K25" s="93"/>
      <c r="L25" s="93"/>
      <c r="M25" s="93"/>
      <c r="N25" s="93"/>
      <c r="O25" s="93"/>
      <c r="P25" s="93"/>
      <c r="Q25" s="93"/>
      <c r="R25" s="93"/>
      <c r="S25" s="93"/>
      <c r="T25" s="93"/>
      <c r="U25" s="93"/>
      <c r="V25" s="361">
        <v>80</v>
      </c>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row>
    <row r="26" spans="1:52" ht="15" customHeight="1">
      <c r="A26" s="93" t="s">
        <v>121</v>
      </c>
      <c r="B26" s="93"/>
      <c r="C26" s="93"/>
      <c r="D26" s="93"/>
      <c r="E26" s="93"/>
      <c r="F26" s="93"/>
      <c r="G26" s="93"/>
      <c r="H26" s="93"/>
      <c r="I26" s="93"/>
      <c r="J26" s="93"/>
      <c r="K26" s="93"/>
      <c r="L26" s="93"/>
      <c r="M26" s="93"/>
      <c r="N26" s="93"/>
      <c r="O26" s="93"/>
      <c r="P26" s="93"/>
      <c r="Q26" s="93"/>
      <c r="R26" s="93"/>
      <c r="S26" s="93"/>
      <c r="T26" s="93"/>
      <c r="U26" s="93"/>
      <c r="V26" s="361">
        <v>5</v>
      </c>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row>
    <row r="27" spans="1:52" ht="15" customHeight="1">
      <c r="A27" s="93" t="s">
        <v>122</v>
      </c>
      <c r="B27" s="93"/>
      <c r="C27" s="93"/>
      <c r="D27" s="93"/>
      <c r="E27" s="93"/>
      <c r="F27" s="93"/>
      <c r="G27" s="93"/>
      <c r="H27" s="93"/>
      <c r="I27" s="93"/>
      <c r="J27" s="93"/>
      <c r="K27" s="93"/>
      <c r="L27" s="93"/>
      <c r="M27" s="93"/>
      <c r="N27" s="93"/>
      <c r="O27" s="93"/>
      <c r="P27" s="93"/>
      <c r="Q27" s="93"/>
      <c r="R27" s="93"/>
      <c r="S27" s="93"/>
      <c r="T27" s="93"/>
      <c r="U27" s="93"/>
      <c r="V27" s="361">
        <v>32</v>
      </c>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row>
    <row r="28" spans="1:52" ht="15" customHeight="1">
      <c r="A28" s="99" t="s">
        <v>123</v>
      </c>
      <c r="B28" s="99"/>
      <c r="C28" s="99"/>
      <c r="D28" s="99"/>
      <c r="E28" s="99"/>
      <c r="F28" s="99"/>
      <c r="G28" s="99"/>
      <c r="H28" s="99"/>
      <c r="I28" s="99"/>
      <c r="J28" s="99"/>
      <c r="K28" s="99"/>
      <c r="L28" s="99"/>
      <c r="M28" s="99"/>
      <c r="N28" s="99"/>
      <c r="O28" s="99"/>
      <c r="P28" s="99"/>
      <c r="Q28" s="99"/>
      <c r="R28" s="99"/>
      <c r="S28" s="99"/>
      <c r="T28" s="99"/>
      <c r="U28" s="99"/>
      <c r="V28" s="329"/>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row>
    <row r="29" spans="1:52" ht="15" customHeight="1">
      <c r="A29" s="93" t="s">
        <v>126</v>
      </c>
      <c r="B29" s="95">
        <f>'Inflation GDP Population'!B2</f>
        <v>96.994687004035995</v>
      </c>
      <c r="C29" s="95">
        <f>'Inflation GDP Population'!C2</f>
        <v>82.561802368421056</v>
      </c>
      <c r="D29" s="95">
        <f>'Inflation GDP Population'!D2</f>
        <v>92.422988832098127</v>
      </c>
      <c r="E29" s="95">
        <f>'Inflation GDP Population'!E2</f>
        <v>85.643902995324368</v>
      </c>
      <c r="F29" s="95">
        <f>'Inflation GDP Population'!F2</f>
        <v>81.324791570560762</v>
      </c>
      <c r="G29" s="95">
        <f>'Inflation GDP Population'!G2</f>
        <v>82.285051583593884</v>
      </c>
      <c r="H29" s="95">
        <f>'Inflation GDP Population'!H2</f>
        <v>73.132352371089056</v>
      </c>
      <c r="I29" s="95">
        <f>'Inflation GDP Population'!I2</f>
        <v>75.178349917306775</v>
      </c>
      <c r="J29" s="95">
        <f>'Inflation GDP Population'!J2</f>
        <v>77.566868947213194</v>
      </c>
      <c r="K29" s="95">
        <f>'Inflation GDP Population'!K2</f>
        <v>67.397054261131927</v>
      </c>
      <c r="L29" s="95">
        <f>'Inflation GDP Population'!L2</f>
        <v>69.359261305247756</v>
      </c>
      <c r="M29" s="95">
        <f>'Inflation GDP Population'!M2</f>
        <v>69.149647376821946</v>
      </c>
      <c r="N29" s="95">
        <f>'Inflation GDP Population'!N2</f>
        <v>66.077410694889281</v>
      </c>
      <c r="O29" s="95">
        <f>'Inflation GDP Population'!O2</f>
        <v>68.667649550254211</v>
      </c>
      <c r="P29" s="95">
        <f>'Inflation GDP Population'!P2</f>
        <v>67.613374485645934</v>
      </c>
      <c r="Q29" s="95">
        <f>'Inflation GDP Population'!Q2</f>
        <v>63.519292757444873</v>
      </c>
      <c r="R29" s="95">
        <f>'Inflation GDP Population'!R2</f>
        <v>65.2</v>
      </c>
      <c r="S29" s="95">
        <f>'Inflation GDP Population'!S2</f>
        <v>62.54</v>
      </c>
      <c r="T29" s="95">
        <f>'Inflation GDP Population'!T2</f>
        <v>62.8</v>
      </c>
      <c r="U29" s="95">
        <f>'Inflation GDP Population'!U2</f>
        <v>62.22</v>
      </c>
      <c r="V29" s="95">
        <f>'Inflation GDP Population'!V2</f>
        <v>63.245459999999994</v>
      </c>
      <c r="W29" s="95">
        <f>'Inflation GDP Population'!W2</f>
        <v>62.18788</v>
      </c>
      <c r="X29" s="95">
        <f>'Inflation GDP Population'!X2</f>
        <v>61.283909999999999</v>
      </c>
      <c r="Y29" s="95">
        <f>'Inflation GDP Population'!Y2</f>
        <v>60.782710000000002</v>
      </c>
      <c r="Z29" s="95">
        <f>'Inflation GDP Population'!Z2</f>
        <v>60.470050000000001</v>
      </c>
      <c r="AA29" s="95">
        <f>'Inflation GDP Population'!AA2</f>
        <v>60.726050000000001</v>
      </c>
      <c r="AB29" s="95">
        <f>'Inflation GDP Population'!AB2</f>
        <v>60.323509999999999</v>
      </c>
      <c r="AC29" s="95">
        <f>'Inflation GDP Population'!AC2</f>
        <v>60.154750000000007</v>
      </c>
      <c r="AD29" s="95">
        <f>'Inflation GDP Population'!AD2</f>
        <v>59.918579999999999</v>
      </c>
      <c r="AE29" s="95">
        <f>'Inflation GDP Population'!AE2</f>
        <v>59.74736</v>
      </c>
      <c r="AF29" s="95">
        <f>'Inflation GDP Population'!AF2</f>
        <v>59.571719999999999</v>
      </c>
      <c r="AG29" s="95">
        <f>'Inflation GDP Population'!AG2</f>
        <v>59.462200000000003</v>
      </c>
      <c r="AH29" s="95">
        <f>'Inflation GDP Population'!AH2</f>
        <v>59.098179999999999</v>
      </c>
      <c r="AI29" s="95">
        <f>'Inflation GDP Population'!AI2</f>
        <v>58.690709999999996</v>
      </c>
      <c r="AJ29" s="95">
        <f>'Inflation GDP Population'!AJ2</f>
        <v>58.279679999999999</v>
      </c>
      <c r="AK29" s="95">
        <f>'Inflation GDP Population'!AK2</f>
        <v>57.945390000000003</v>
      </c>
      <c r="AL29" s="95">
        <f>'Inflation GDP Population'!AL2</f>
        <v>57.822279999999999</v>
      </c>
      <c r="AM29" s="95">
        <f>'Inflation GDP Population'!AM2</f>
        <v>57.639300000000006</v>
      </c>
      <c r="AN29" s="95">
        <f>'Inflation GDP Population'!AN2</f>
        <v>57.618220000000008</v>
      </c>
      <c r="AO29" s="95">
        <f>'Inflation GDP Population'!AO2</f>
        <v>57.583159999999999</v>
      </c>
      <c r="AP29" s="95">
        <f>'Inflation GDP Population'!AP2</f>
        <v>57.428650000000005</v>
      </c>
      <c r="AQ29" s="95">
        <f>'Inflation GDP Population'!AQ2</f>
        <v>57.212560000000003</v>
      </c>
      <c r="AR29" s="95">
        <f>'Inflation GDP Population'!AR2</f>
        <v>56.957370000000004</v>
      </c>
      <c r="AS29" s="95">
        <f>'Inflation GDP Population'!AS2</f>
        <v>56.726020000000005</v>
      </c>
      <c r="AT29" s="95">
        <f>'Inflation GDP Population'!AT2</f>
        <v>56.532699999999998</v>
      </c>
      <c r="AU29" s="95">
        <f>'Inflation GDP Population'!AU2</f>
        <v>56.329940000000001</v>
      </c>
      <c r="AV29" s="95">
        <f>'Inflation GDP Population'!AV2</f>
        <v>56.008069999999996</v>
      </c>
      <c r="AW29" s="95">
        <f>'Inflation GDP Population'!AW2</f>
        <v>55.853279999999998</v>
      </c>
      <c r="AX29" s="95">
        <f>'Inflation GDP Population'!AX2</f>
        <v>56.44464</v>
      </c>
      <c r="AY29" s="95">
        <f>'Inflation GDP Population'!AY2</f>
        <v>56.523910000000001</v>
      </c>
      <c r="AZ29" s="95">
        <f>'Inflation GDP Population'!AZ2</f>
        <v>56.24409</v>
      </c>
    </row>
    <row r="30" spans="1:52" ht="15" customHeight="1">
      <c r="A30" s="93" t="s">
        <v>128</v>
      </c>
      <c r="B30" s="95">
        <f>'Inflation GDP Population'!B3</f>
        <v>66.936599999999999</v>
      </c>
      <c r="C30" s="95">
        <f>'Inflation GDP Population'!C3</f>
        <v>68.562700000000007</v>
      </c>
      <c r="D30" s="95">
        <f>'Inflation GDP Population'!D3</f>
        <v>61.9876</v>
      </c>
      <c r="E30" s="95">
        <f>'Inflation GDP Population'!E3</f>
        <v>75.349900000000005</v>
      </c>
      <c r="F30" s="95">
        <f>'Inflation GDP Population'!F3</f>
        <v>79.167699999999996</v>
      </c>
      <c r="G30" s="95">
        <f>'Inflation GDP Population'!G3</f>
        <v>95.852900000000005</v>
      </c>
      <c r="H30" s="95">
        <f>'Inflation GDP Population'!H3</f>
        <v>86.237700000000004</v>
      </c>
      <c r="I30" s="95">
        <f>'Inflation GDP Population'!I3</f>
        <v>87.651700000000005</v>
      </c>
      <c r="J30" s="95">
        <f>'Inflation GDP Population'!J3</f>
        <v>101.43819999999999</v>
      </c>
      <c r="K30" s="95">
        <f>'Inflation GDP Population'!K3</f>
        <v>70.825099999999992</v>
      </c>
      <c r="L30" s="95">
        <f>'Inflation GDP Population'!L3</f>
        <v>73.228899999999996</v>
      </c>
      <c r="M30" s="95">
        <f>'Inflation GDP Population'!M3</f>
        <v>70.542299999999997</v>
      </c>
      <c r="N30" s="95">
        <f>'Inflation GDP Population'!N3</f>
        <v>60.997799999999998</v>
      </c>
      <c r="O30" s="95">
        <f>'Inflation GDP Population'!O3</f>
        <v>67.714300000000009</v>
      </c>
      <c r="P30" s="95">
        <f>'Inflation GDP Population'!P3</f>
        <v>72.663299999999992</v>
      </c>
      <c r="Q30" s="95">
        <f>'Inflation GDP Population'!Q3</f>
        <v>59.866599999999998</v>
      </c>
      <c r="R30" s="95">
        <f>'Inflation GDP Population'!R3</f>
        <v>64.069999999999993</v>
      </c>
      <c r="S30" s="95">
        <f>'Inflation GDP Population'!S3</f>
        <v>62.54</v>
      </c>
      <c r="T30" s="95">
        <f>'Inflation GDP Population'!T3</f>
        <v>64.2</v>
      </c>
      <c r="U30" s="95">
        <f>'Inflation GDP Population'!U3</f>
        <v>65.09</v>
      </c>
      <c r="V30" s="95">
        <f>'Inflation GDP Population'!V3</f>
        <v>67.893280000000004</v>
      </c>
      <c r="W30" s="95">
        <f>'Inflation GDP Population'!W3</f>
        <v>68.408230000000003</v>
      </c>
      <c r="X30" s="95">
        <f>'Inflation GDP Population'!X3</f>
        <v>69.039839999999998</v>
      </c>
      <c r="Y30" s="95">
        <f>'Inflation GDP Population'!Y3</f>
        <v>70.165930000000003</v>
      </c>
      <c r="Z30" s="95">
        <f>'Inflation GDP Population'!Z3</f>
        <v>71.499539999999996</v>
      </c>
      <c r="AA30" s="95">
        <f>'Inflation GDP Population'!AA3</f>
        <v>73.516589999999994</v>
      </c>
      <c r="AB30" s="95">
        <f>'Inflation GDP Population'!AB3</f>
        <v>74.703620000000001</v>
      </c>
      <c r="AC30" s="95">
        <f>'Inflation GDP Population'!AC3</f>
        <v>76.171610000000001</v>
      </c>
      <c r="AD30" s="95">
        <f>'Inflation GDP Population'!AD3</f>
        <v>77.509479999999996</v>
      </c>
      <c r="AE30" s="95">
        <f>'Inflation GDP Population'!AE3</f>
        <v>78.937030000000007</v>
      </c>
      <c r="AF30" s="95">
        <f>'Inflation GDP Population'!AF3</f>
        <v>80.394760000000005</v>
      </c>
      <c r="AG30" s="95">
        <f>'Inflation GDP Population'!AG3</f>
        <v>81.999220000000008</v>
      </c>
      <c r="AH30" s="95">
        <f>'Inflation GDP Population'!AH3</f>
        <v>83.288150000000002</v>
      </c>
      <c r="AI30" s="95">
        <f>'Inflation GDP Population'!AI3</f>
        <v>84.552180000000007</v>
      </c>
      <c r="AJ30" s="95">
        <f>'Inflation GDP Population'!AJ3</f>
        <v>85.842559999999992</v>
      </c>
      <c r="AK30" s="95">
        <f>'Inflation GDP Population'!AK3</f>
        <v>87.282499999999999</v>
      </c>
      <c r="AL30" s="95">
        <f>'Inflation GDP Population'!AL3</f>
        <v>89.091559999999987</v>
      </c>
      <c r="AM30" s="95">
        <f>'Inflation GDP Population'!AM3</f>
        <v>90.845109999999991</v>
      </c>
      <c r="AN30" s="95">
        <f>'Inflation GDP Population'!AN3</f>
        <v>92.884870000000006</v>
      </c>
      <c r="AO30" s="95">
        <f>'Inflation GDP Population'!AO3</f>
        <v>94.960380000000001</v>
      </c>
      <c r="AP30" s="95">
        <f>'Inflation GDP Population'!AP3</f>
        <v>96.898049999999998</v>
      </c>
      <c r="AQ30" s="95">
        <f>'Inflation GDP Population'!AQ3</f>
        <v>98.792919999999995</v>
      </c>
      <c r="AR30" s="95">
        <f>'Inflation GDP Population'!AR3</f>
        <v>100.67492</v>
      </c>
      <c r="AS30" s="95">
        <f>'Inflation GDP Population'!AS3</f>
        <v>102.66981</v>
      </c>
      <c r="AT30" s="95">
        <f>'Inflation GDP Population'!AT3</f>
        <v>104.79813999999999</v>
      </c>
      <c r="AU30" s="95">
        <f>'Inflation GDP Population'!AU3</f>
        <v>106.98112999999999</v>
      </c>
      <c r="AV30" s="95">
        <f>'Inflation GDP Population'!AV3</f>
        <v>108.97937999999999</v>
      </c>
      <c r="AW30" s="95">
        <f>'Inflation GDP Population'!AW3</f>
        <v>111.37461999999999</v>
      </c>
      <c r="AX30" s="95">
        <f>'Inflation GDP Population'!AX3</f>
        <v>115.38930999999999</v>
      </c>
      <c r="AY30" s="95">
        <f>'Inflation GDP Population'!AY3</f>
        <v>118.46299999999999</v>
      </c>
      <c r="AZ30" s="95">
        <f>'Inflation GDP Population'!AZ3</f>
        <v>120.87941000000001</v>
      </c>
    </row>
    <row r="31" spans="1:52" ht="15" customHeight="1">
      <c r="A31" s="93" t="s">
        <v>200</v>
      </c>
      <c r="B31" s="95">
        <f>'Inflation GDP Population'!B6</f>
        <v>249.42381743242936</v>
      </c>
      <c r="C31" s="95">
        <f>'Inflation GDP Population'!C6</f>
        <v>249.42381743242936</v>
      </c>
      <c r="D31" s="95">
        <f>'Inflation GDP Population'!D6</f>
        <v>212.30935999593964</v>
      </c>
      <c r="E31" s="95">
        <f>'Inflation GDP Population'!E6</f>
        <v>237.66760226833327</v>
      </c>
      <c r="F31" s="95">
        <f>'Inflation GDP Population'!F6</f>
        <v>220.23504466814359</v>
      </c>
      <c r="G31" s="95">
        <f>'Inflation GDP Population'!G6</f>
        <v>209.12836148006616</v>
      </c>
      <c r="H31" s="95">
        <f>'Inflation GDP Population'!H6</f>
        <v>211.59768970387361</v>
      </c>
      <c r="I31" s="95">
        <f>'Inflation GDP Population'!I6</f>
        <v>188.06133685911675</v>
      </c>
      <c r="J31" s="95">
        <f>'Inflation GDP Population'!J6</f>
        <v>193.32266131097848</v>
      </c>
      <c r="K31" s="95">
        <f>'Inflation GDP Population'!K6</f>
        <v>199.4647867495035</v>
      </c>
      <c r="L31" s="95">
        <f>'Inflation GDP Population'!L6</f>
        <v>173.31290070365006</v>
      </c>
      <c r="M31" s="95">
        <f>'Inflation GDP Population'!M6</f>
        <v>178.35875616907168</v>
      </c>
      <c r="N31" s="95">
        <f>'Inflation GDP Population'!N6</f>
        <v>177.8197296736019</v>
      </c>
      <c r="O31" s="95">
        <f>'Inflation GDP Population'!O6</f>
        <v>169.91941033722733</v>
      </c>
      <c r="P31" s="95">
        <f>'Inflation GDP Population'!P6</f>
        <v>176.58026242431168</v>
      </c>
      <c r="Q31" s="95">
        <f>'Inflation GDP Population'!Q6</f>
        <v>173.86917257639584</v>
      </c>
      <c r="R31" s="95">
        <f>'Inflation GDP Population'!R6</f>
        <v>163.34115784620988</v>
      </c>
      <c r="S31" s="95">
        <f>'Inflation GDP Population'!S6</f>
        <v>167.66313082610094</v>
      </c>
      <c r="T31" s="95">
        <f>'Inflation GDP Population'!T6</f>
        <v>160.82288653166182</v>
      </c>
      <c r="U31" s="95">
        <f>'Inflation GDP Population'!U6</f>
        <v>161.49148183863707</v>
      </c>
      <c r="V31" s="95">
        <f>'Inflation GDP Population'!V6</f>
        <v>160</v>
      </c>
      <c r="W31" s="95">
        <f>'Inflation GDP Population'!W6</f>
        <v>157.32450677092081</v>
      </c>
      <c r="X31" s="95">
        <f>'Inflation GDP Population'!X6</f>
        <v>155.03762009162398</v>
      </c>
      <c r="Y31" s="95">
        <f>'Inflation GDP Population'!Y6</f>
        <v>153.76967137245902</v>
      </c>
      <c r="Z31" s="95">
        <f>'Inflation GDP Population'!Z6</f>
        <v>152.9786960202361</v>
      </c>
      <c r="AA31" s="95">
        <f>'Inflation GDP Population'!AA6</f>
        <v>153.62633143944248</v>
      </c>
      <c r="AB31" s="95">
        <f>'Inflation GDP Population'!AB6</f>
        <v>152.60797533925759</v>
      </c>
      <c r="AC31" s="95">
        <f>'Inflation GDP Population'!AC6</f>
        <v>152.18104192775266</v>
      </c>
      <c r="AD31" s="95">
        <f>'Inflation GDP Population'!AD6</f>
        <v>151.5835729552762</v>
      </c>
      <c r="AE31" s="95">
        <f>'Inflation GDP Population'!AE6</f>
        <v>151.15041617216482</v>
      </c>
      <c r="AF31" s="95">
        <f>'Inflation GDP Population'!AF6</f>
        <v>150.7060775587687</v>
      </c>
      <c r="AG31" s="95">
        <f>'Inflation GDP Population'!AG6</f>
        <v>150.42901103098947</v>
      </c>
      <c r="AH31" s="95">
        <f>'Inflation GDP Population'!AH6</f>
        <v>149.50810382278826</v>
      </c>
      <c r="AI31" s="95">
        <f>'Inflation GDP Population'!AI6</f>
        <v>148.47727568113191</v>
      </c>
      <c r="AJ31" s="95">
        <f>'Inflation GDP Population'!AJ6</f>
        <v>147.43744135942725</v>
      </c>
      <c r="AK31" s="95">
        <f>'Inflation GDP Population'!AK6</f>
        <v>146.59174587393312</v>
      </c>
      <c r="AL31" s="95">
        <f>'Inflation GDP Population'!AL6</f>
        <v>146.2802990127671</v>
      </c>
      <c r="AM31" s="95">
        <f>'Inflation GDP Population'!AM6</f>
        <v>145.81739147758594</v>
      </c>
      <c r="AN31" s="95">
        <f>'Inflation GDP Population'!AN6</f>
        <v>145.76406274853568</v>
      </c>
      <c r="AO31" s="95">
        <f>'Inflation GDP Population'!AO6</f>
        <v>145.67536705401466</v>
      </c>
      <c r="AP31" s="95">
        <f>'Inflation GDP Population'!AP6</f>
        <v>145.28448366096166</v>
      </c>
      <c r="AQ31" s="95">
        <f>'Inflation GDP Population'!AQ6</f>
        <v>144.73781359167921</v>
      </c>
      <c r="AR31" s="95">
        <f>'Inflation GDP Population'!AR6</f>
        <v>144.09222733141641</v>
      </c>
      <c r="AS31" s="95">
        <f>'Inflation GDP Population'!AS6</f>
        <v>143.50695211956722</v>
      </c>
      <c r="AT31" s="95">
        <f>'Inflation GDP Population'!AT6</f>
        <v>143.01788618503213</v>
      </c>
      <c r="AU31" s="95">
        <f>'Inflation GDP Population'!AU6</f>
        <v>142.50493869441382</v>
      </c>
      <c r="AV31" s="95">
        <f>'Inflation GDP Population'!AV6</f>
        <v>141.69066364605462</v>
      </c>
      <c r="AW31" s="95">
        <f>'Inflation GDP Population'!AW6</f>
        <v>141.29907190176183</v>
      </c>
      <c r="AX31" s="95">
        <f>'Inflation GDP Population'!AX6</f>
        <v>142.79510972012858</v>
      </c>
      <c r="AY31" s="95">
        <f>'Inflation GDP Population'!AY6</f>
        <v>142.9956490157555</v>
      </c>
      <c r="AZ31" s="95">
        <f>'Inflation GDP Population'!AZ6</f>
        <v>142.28775314465267</v>
      </c>
    </row>
    <row r="32" spans="1:52" ht="15" customHeight="1">
      <c r="A32" s="93" t="s">
        <v>130</v>
      </c>
      <c r="B32" s="95">
        <f>'Inflation GDP Population'!B7</f>
        <v>164.53919188815482</v>
      </c>
      <c r="C32" s="95">
        <f>'Inflation GDP Population'!C7</f>
        <v>164.53919188815482</v>
      </c>
      <c r="D32" s="95">
        <f>'Inflation GDP Population'!D7</f>
        <v>168.53636503303116</v>
      </c>
      <c r="E32" s="95">
        <f>'Inflation GDP Population'!E7</f>
        <v>152.37388231679211</v>
      </c>
      <c r="F32" s="95">
        <f>'Inflation GDP Population'!F7</f>
        <v>185.2202181594715</v>
      </c>
      <c r="G32" s="95">
        <f>'Inflation GDP Population'!G7</f>
        <v>194.60488554309416</v>
      </c>
      <c r="H32" s="95">
        <f>'Inflation GDP Population'!H7</f>
        <v>235.61935781225995</v>
      </c>
      <c r="I32" s="95">
        <f>'Inflation GDP Population'!I7</f>
        <v>211.9838992164695</v>
      </c>
      <c r="J32" s="95">
        <f>'Inflation GDP Population'!J7</f>
        <v>215.45970195114458</v>
      </c>
      <c r="K32" s="95">
        <f>'Inflation GDP Population'!K7</f>
        <v>249.34877861422646</v>
      </c>
      <c r="L32" s="95">
        <f>'Inflation GDP Population'!L7</f>
        <v>174.09764940851127</v>
      </c>
      <c r="M32" s="95">
        <f>'Inflation GDP Population'!M7</f>
        <v>180.0065140574589</v>
      </c>
      <c r="N32" s="95">
        <f>'Inflation GDP Population'!N7</f>
        <v>173.40248886157627</v>
      </c>
      <c r="O32" s="95">
        <f>'Inflation GDP Population'!O7</f>
        <v>149.94082040251959</v>
      </c>
      <c r="P32" s="95">
        <f>'Inflation GDP Population'!P7</f>
        <v>166.45088339222616</v>
      </c>
      <c r="Q32" s="95">
        <f>'Inflation GDP Population'!Q7</f>
        <v>178.61619296358887</v>
      </c>
      <c r="R32" s="95">
        <f>'Inflation GDP Population'!R7</f>
        <v>147.16017821477953</v>
      </c>
      <c r="S32" s="95">
        <f>'Inflation GDP Population'!S7</f>
        <v>157.49270241204485</v>
      </c>
      <c r="T32" s="95">
        <f>'Inflation GDP Population'!T7</f>
        <v>153.73175603011217</v>
      </c>
      <c r="U32" s="95">
        <f>'Inflation GDP Population'!U7</f>
        <v>157.81225994776466</v>
      </c>
      <c r="V32" s="95">
        <f>'Inflation GDP Population'!V7</f>
        <v>160</v>
      </c>
      <c r="W32" s="95">
        <f>'Inflation GDP Population'!W7</f>
        <v>161.21355162101463</v>
      </c>
      <c r="X32" s="95">
        <f>'Inflation GDP Population'!X7</f>
        <v>162.70202883113024</v>
      </c>
      <c r="Y32" s="95">
        <f>'Inflation GDP Population'!Y7</f>
        <v>165.35581724730341</v>
      </c>
      <c r="Z32" s="95">
        <f>'Inflation GDP Population'!Z7</f>
        <v>168.49865553704282</v>
      </c>
      <c r="AA32" s="95">
        <f>'Inflation GDP Population'!AA7</f>
        <v>173.25211567330371</v>
      </c>
      <c r="AB32" s="95">
        <f>'Inflation GDP Population'!AB7</f>
        <v>176.04951771368238</v>
      </c>
      <c r="AC32" s="95">
        <f>'Inflation GDP Population'!AC7</f>
        <v>179.50904124826488</v>
      </c>
      <c r="AD32" s="95">
        <f>'Inflation GDP Population'!AD7</f>
        <v>182.66191882318833</v>
      </c>
      <c r="AE32" s="95">
        <f>'Inflation GDP Population'!AE7</f>
        <v>186.02613984771389</v>
      </c>
      <c r="AF32" s="95">
        <f>'Inflation GDP Population'!AF7</f>
        <v>189.46148425882495</v>
      </c>
      <c r="AG32" s="95">
        <f>'Inflation GDP Population'!AG7</f>
        <v>193.24261841525399</v>
      </c>
      <c r="AH32" s="95">
        <f>'Inflation GDP Population'!AH7</f>
        <v>196.28016204254669</v>
      </c>
      <c r="AI32" s="95">
        <f>'Inflation GDP Population'!AI7</f>
        <v>199.25902534094678</v>
      </c>
      <c r="AJ32" s="95">
        <f>'Inflation GDP Population'!AJ7</f>
        <v>202.29998609582557</v>
      </c>
      <c r="AK32" s="95">
        <f>'Inflation GDP Population'!AK7</f>
        <v>205.69340588641461</v>
      </c>
      <c r="AL32" s="95">
        <f>'Inflation GDP Population'!AL7</f>
        <v>209.95670852844336</v>
      </c>
      <c r="AM32" s="95">
        <f>'Inflation GDP Population'!AM7</f>
        <v>214.08919409991671</v>
      </c>
      <c r="AN32" s="95">
        <f>'Inflation GDP Population'!AN7</f>
        <v>218.89617352409539</v>
      </c>
      <c r="AO32" s="95">
        <f>'Inflation GDP Population'!AO7</f>
        <v>223.78740281806967</v>
      </c>
      <c r="AP32" s="95">
        <f>'Inflation GDP Population'!AP7</f>
        <v>228.35379289378849</v>
      </c>
      <c r="AQ32" s="95">
        <f>'Inflation GDP Population'!AQ7</f>
        <v>232.81931878972398</v>
      </c>
      <c r="AR32" s="95">
        <f>'Inflation GDP Population'!AR7</f>
        <v>237.25451473253304</v>
      </c>
      <c r="AS32" s="95">
        <f>'Inflation GDP Population'!AS7</f>
        <v>241.95575173271919</v>
      </c>
      <c r="AT32" s="95">
        <f>'Inflation GDP Population'!AT7</f>
        <v>246.97145873641676</v>
      </c>
      <c r="AU32" s="95">
        <f>'Inflation GDP Population'!AU7</f>
        <v>252.11597966691241</v>
      </c>
      <c r="AV32" s="95">
        <f>'Inflation GDP Population'!AV7</f>
        <v>256.82513497653952</v>
      </c>
      <c r="AW32" s="95">
        <f>'Inflation GDP Population'!AW7</f>
        <v>262.4698526864513</v>
      </c>
      <c r="AX32" s="95">
        <f>'Inflation GDP Population'!AX7</f>
        <v>271.93103058211346</v>
      </c>
      <c r="AY32" s="95">
        <f>'Inflation GDP Population'!AY7</f>
        <v>279.1746105063711</v>
      </c>
      <c r="AZ32" s="95">
        <f>'Inflation GDP Population'!AZ7</f>
        <v>284.86921827904024</v>
      </c>
    </row>
    <row r="33" spans="1:53" ht="15" customHeight="1">
      <c r="A33" s="100" t="s">
        <v>814</v>
      </c>
      <c r="B33" s="253">
        <v>0</v>
      </c>
      <c r="C33" s="253">
        <v>0</v>
      </c>
      <c r="D33" s="253">
        <v>0</v>
      </c>
      <c r="E33" s="253">
        <v>0</v>
      </c>
      <c r="F33" s="253">
        <v>0</v>
      </c>
      <c r="G33" s="253">
        <v>0</v>
      </c>
      <c r="H33" s="253">
        <v>0</v>
      </c>
      <c r="I33" s="253">
        <f t="shared" ref="I33:U33" si="17">J33</f>
        <v>0</v>
      </c>
      <c r="J33" s="253">
        <f t="shared" si="17"/>
        <v>0</v>
      </c>
      <c r="K33" s="253">
        <f t="shared" si="17"/>
        <v>0</v>
      </c>
      <c r="L33" s="253">
        <f t="shared" si="17"/>
        <v>0</v>
      </c>
      <c r="M33" s="253">
        <f t="shared" si="17"/>
        <v>0</v>
      </c>
      <c r="N33" s="253">
        <f t="shared" si="17"/>
        <v>0</v>
      </c>
      <c r="O33" s="253">
        <f t="shared" si="17"/>
        <v>0</v>
      </c>
      <c r="P33" s="253">
        <f t="shared" si="17"/>
        <v>0</v>
      </c>
      <c r="Q33" s="253">
        <f t="shared" si="17"/>
        <v>0</v>
      </c>
      <c r="R33" s="253">
        <f t="shared" si="17"/>
        <v>0</v>
      </c>
      <c r="S33" s="253">
        <f t="shared" si="17"/>
        <v>0</v>
      </c>
      <c r="T33" s="253">
        <f t="shared" si="17"/>
        <v>0</v>
      </c>
      <c r="U33" s="253">
        <f t="shared" si="17"/>
        <v>0</v>
      </c>
      <c r="V33" s="281">
        <v>0</v>
      </c>
      <c r="W33" s="102">
        <f t="shared" ref="W33:AZ33" si="18">V33</f>
        <v>0</v>
      </c>
      <c r="X33" s="102">
        <f t="shared" si="18"/>
        <v>0</v>
      </c>
      <c r="Y33" s="102">
        <f t="shared" si="18"/>
        <v>0</v>
      </c>
      <c r="Z33" s="102">
        <f t="shared" si="18"/>
        <v>0</v>
      </c>
      <c r="AA33" s="102">
        <f t="shared" si="18"/>
        <v>0</v>
      </c>
      <c r="AB33" s="102">
        <f t="shared" si="18"/>
        <v>0</v>
      </c>
      <c r="AC33" s="102">
        <f t="shared" si="18"/>
        <v>0</v>
      </c>
      <c r="AD33" s="102">
        <f t="shared" si="18"/>
        <v>0</v>
      </c>
      <c r="AE33" s="102">
        <f t="shared" si="18"/>
        <v>0</v>
      </c>
      <c r="AF33" s="102">
        <f t="shared" si="18"/>
        <v>0</v>
      </c>
      <c r="AG33" s="102">
        <f t="shared" si="18"/>
        <v>0</v>
      </c>
      <c r="AH33" s="102">
        <f t="shared" si="18"/>
        <v>0</v>
      </c>
      <c r="AI33" s="102">
        <f t="shared" si="18"/>
        <v>0</v>
      </c>
      <c r="AJ33" s="102">
        <f t="shared" si="18"/>
        <v>0</v>
      </c>
      <c r="AK33" s="102">
        <f t="shared" si="18"/>
        <v>0</v>
      </c>
      <c r="AL33" s="102">
        <f t="shared" si="18"/>
        <v>0</v>
      </c>
      <c r="AM33" s="102">
        <f t="shared" si="18"/>
        <v>0</v>
      </c>
      <c r="AN33" s="102">
        <f t="shared" si="18"/>
        <v>0</v>
      </c>
      <c r="AO33" s="102">
        <f t="shared" si="18"/>
        <v>0</v>
      </c>
      <c r="AP33" s="102">
        <f t="shared" si="18"/>
        <v>0</v>
      </c>
      <c r="AQ33" s="102">
        <f t="shared" si="18"/>
        <v>0</v>
      </c>
      <c r="AR33" s="102">
        <f t="shared" si="18"/>
        <v>0</v>
      </c>
      <c r="AS33" s="102">
        <f t="shared" si="18"/>
        <v>0</v>
      </c>
      <c r="AT33" s="102">
        <f t="shared" si="18"/>
        <v>0</v>
      </c>
      <c r="AU33" s="102">
        <f t="shared" si="18"/>
        <v>0</v>
      </c>
      <c r="AV33" s="102">
        <f t="shared" si="18"/>
        <v>0</v>
      </c>
      <c r="AW33" s="102">
        <f t="shared" si="18"/>
        <v>0</v>
      </c>
      <c r="AX33" s="102">
        <f t="shared" si="18"/>
        <v>0</v>
      </c>
      <c r="AY33" s="102">
        <f t="shared" si="18"/>
        <v>0</v>
      </c>
      <c r="AZ33" s="102">
        <f t="shared" si="18"/>
        <v>0</v>
      </c>
    </row>
    <row r="34" spans="1:53" ht="15.75" customHeight="1">
      <c r="A34" s="93" t="s">
        <v>137</v>
      </c>
      <c r="B34" s="330">
        <f t="shared" ref="B34:U34" si="19">C34</f>
        <v>0.02</v>
      </c>
      <c r="C34" s="330">
        <f t="shared" si="19"/>
        <v>0.02</v>
      </c>
      <c r="D34" s="330">
        <f t="shared" si="19"/>
        <v>0.02</v>
      </c>
      <c r="E34" s="330">
        <f t="shared" si="19"/>
        <v>0.02</v>
      </c>
      <c r="F34" s="330">
        <f t="shared" si="19"/>
        <v>0.02</v>
      </c>
      <c r="G34" s="330">
        <f t="shared" si="19"/>
        <v>0.02</v>
      </c>
      <c r="H34" s="330">
        <f t="shared" si="19"/>
        <v>0.02</v>
      </c>
      <c r="I34" s="330">
        <f t="shared" si="19"/>
        <v>0.02</v>
      </c>
      <c r="J34" s="330">
        <f t="shared" si="19"/>
        <v>0.02</v>
      </c>
      <c r="K34" s="330">
        <f t="shared" si="19"/>
        <v>0.02</v>
      </c>
      <c r="L34" s="330">
        <f t="shared" si="19"/>
        <v>0.02</v>
      </c>
      <c r="M34" s="330">
        <f t="shared" si="19"/>
        <v>0.02</v>
      </c>
      <c r="N34" s="330">
        <f t="shared" si="19"/>
        <v>0.02</v>
      </c>
      <c r="O34" s="330">
        <f t="shared" si="19"/>
        <v>0.02</v>
      </c>
      <c r="P34" s="330">
        <f t="shared" si="19"/>
        <v>0.02</v>
      </c>
      <c r="Q34" s="330">
        <f t="shared" si="19"/>
        <v>0.02</v>
      </c>
      <c r="R34" s="330">
        <f t="shared" si="19"/>
        <v>0.02</v>
      </c>
      <c r="S34" s="330">
        <f t="shared" si="19"/>
        <v>0.02</v>
      </c>
      <c r="T34" s="330">
        <f t="shared" si="19"/>
        <v>0.02</v>
      </c>
      <c r="U34" s="330">
        <f t="shared" si="19"/>
        <v>0.02</v>
      </c>
      <c r="V34" s="252">
        <f>Inputs!B19</f>
        <v>0.02</v>
      </c>
      <c r="W34" s="331">
        <f t="shared" ref="W34:AZ34" si="20">V34</f>
        <v>0.02</v>
      </c>
      <c r="X34" s="331">
        <f t="shared" si="20"/>
        <v>0.02</v>
      </c>
      <c r="Y34" s="331">
        <f t="shared" si="20"/>
        <v>0.02</v>
      </c>
      <c r="Z34" s="331">
        <f t="shared" si="20"/>
        <v>0.02</v>
      </c>
      <c r="AA34" s="331">
        <f t="shared" si="20"/>
        <v>0.02</v>
      </c>
      <c r="AB34" s="331">
        <f t="shared" si="20"/>
        <v>0.02</v>
      </c>
      <c r="AC34" s="331">
        <f t="shared" si="20"/>
        <v>0.02</v>
      </c>
      <c r="AD34" s="331">
        <f t="shared" si="20"/>
        <v>0.02</v>
      </c>
      <c r="AE34" s="331">
        <f t="shared" si="20"/>
        <v>0.02</v>
      </c>
      <c r="AF34" s="331">
        <f t="shared" si="20"/>
        <v>0.02</v>
      </c>
      <c r="AG34" s="331">
        <f t="shared" si="20"/>
        <v>0.02</v>
      </c>
      <c r="AH34" s="331">
        <f t="shared" si="20"/>
        <v>0.02</v>
      </c>
      <c r="AI34" s="331">
        <f t="shared" si="20"/>
        <v>0.02</v>
      </c>
      <c r="AJ34" s="331">
        <f t="shared" si="20"/>
        <v>0.02</v>
      </c>
      <c r="AK34" s="331">
        <f t="shared" si="20"/>
        <v>0.02</v>
      </c>
      <c r="AL34" s="331">
        <f t="shared" si="20"/>
        <v>0.02</v>
      </c>
      <c r="AM34" s="331">
        <f t="shared" si="20"/>
        <v>0.02</v>
      </c>
      <c r="AN34" s="331">
        <f t="shared" si="20"/>
        <v>0.02</v>
      </c>
      <c r="AO34" s="331">
        <f t="shared" si="20"/>
        <v>0.02</v>
      </c>
      <c r="AP34" s="331">
        <f t="shared" si="20"/>
        <v>0.02</v>
      </c>
      <c r="AQ34" s="331">
        <f t="shared" si="20"/>
        <v>0.02</v>
      </c>
      <c r="AR34" s="331">
        <f t="shared" si="20"/>
        <v>0.02</v>
      </c>
      <c r="AS34" s="331">
        <f t="shared" si="20"/>
        <v>0.02</v>
      </c>
      <c r="AT34" s="331">
        <f t="shared" si="20"/>
        <v>0.02</v>
      </c>
      <c r="AU34" s="331">
        <f t="shared" si="20"/>
        <v>0.02</v>
      </c>
      <c r="AV34" s="331">
        <f t="shared" si="20"/>
        <v>0.02</v>
      </c>
      <c r="AW34" s="331">
        <f t="shared" si="20"/>
        <v>0.02</v>
      </c>
      <c r="AX34" s="331">
        <f t="shared" si="20"/>
        <v>0.02</v>
      </c>
      <c r="AY34" s="331">
        <f t="shared" si="20"/>
        <v>0.02</v>
      </c>
      <c r="AZ34" s="331">
        <f t="shared" si="20"/>
        <v>0.02</v>
      </c>
    </row>
    <row r="35" spans="1:53" ht="15.75" customHeight="1">
      <c r="A35" s="93"/>
      <c r="B35" s="93"/>
      <c r="C35" s="93"/>
      <c r="D35" s="93"/>
      <c r="E35" s="93"/>
      <c r="F35" s="93"/>
      <c r="G35" s="93"/>
      <c r="H35" s="93"/>
      <c r="I35" s="93"/>
      <c r="J35" s="93"/>
      <c r="K35" s="93"/>
      <c r="L35" s="93"/>
      <c r="M35" s="93"/>
      <c r="N35" s="93"/>
      <c r="O35" s="93"/>
      <c r="P35" s="93"/>
      <c r="Q35" s="93"/>
      <c r="R35" s="93"/>
      <c r="S35" s="93"/>
      <c r="T35" s="93"/>
      <c r="U35" s="93"/>
      <c r="V35" s="88"/>
      <c r="W35" s="331"/>
      <c r="X35" s="331"/>
      <c r="Y35" s="331"/>
      <c r="Z35" s="331"/>
      <c r="AA35" s="331"/>
      <c r="AB35" s="331"/>
      <c r="AC35" s="331"/>
      <c r="AD35" s="331"/>
      <c r="AE35" s="331"/>
      <c r="AF35" s="331"/>
      <c r="AG35" s="331"/>
      <c r="AH35" s="331"/>
      <c r="AI35" s="331"/>
      <c r="AJ35" s="331"/>
      <c r="AK35" s="331"/>
      <c r="AL35" s="331"/>
      <c r="AM35" s="331"/>
      <c r="AN35" s="331"/>
      <c r="AO35" s="331"/>
      <c r="AP35" s="331"/>
      <c r="AQ35" s="331"/>
      <c r="AR35" s="331"/>
      <c r="AS35" s="331"/>
      <c r="AT35" s="331"/>
      <c r="AU35" s="331"/>
      <c r="AV35" s="331"/>
      <c r="AW35" s="331"/>
      <c r="AX35" s="331"/>
      <c r="AY35" s="331"/>
      <c r="AZ35" s="331"/>
    </row>
    <row r="36" spans="1:53" ht="15.75" customHeight="1">
      <c r="A36" s="93" t="s">
        <v>140</v>
      </c>
      <c r="B36" s="93"/>
      <c r="C36" s="93"/>
      <c r="D36" s="93"/>
      <c r="E36" s="93"/>
      <c r="F36" s="93"/>
      <c r="G36" s="93"/>
      <c r="H36" s="93"/>
      <c r="I36" s="93"/>
      <c r="J36" s="93"/>
      <c r="K36" s="93"/>
      <c r="L36" s="93"/>
      <c r="M36" s="93"/>
      <c r="N36" s="93"/>
      <c r="O36" s="93"/>
      <c r="P36" s="93"/>
      <c r="Q36" s="93"/>
      <c r="R36" s="93"/>
      <c r="S36" s="93"/>
      <c r="T36" s="93"/>
      <c r="U36" s="93"/>
      <c r="W36">
        <f t="shared" ref="W36:BA36" si="21">SUM(W38:W63)</f>
        <v>11.5</v>
      </c>
      <c r="X36">
        <f t="shared" si="21"/>
        <v>9</v>
      </c>
      <c r="Y36">
        <f t="shared" si="21"/>
        <v>0</v>
      </c>
      <c r="Z36">
        <f t="shared" si="21"/>
        <v>0</v>
      </c>
      <c r="AA36">
        <f t="shared" si="21"/>
        <v>0</v>
      </c>
      <c r="AB36">
        <f t="shared" si="21"/>
        <v>0</v>
      </c>
      <c r="AC36">
        <f t="shared" si="21"/>
        <v>0</v>
      </c>
      <c r="AD36">
        <f t="shared" si="21"/>
        <v>0</v>
      </c>
      <c r="AE36">
        <f t="shared" si="21"/>
        <v>10</v>
      </c>
      <c r="AF36">
        <f t="shared" si="21"/>
        <v>36</v>
      </c>
      <c r="AG36">
        <f t="shared" si="21"/>
        <v>73.599999999999994</v>
      </c>
      <c r="AH36">
        <f t="shared" si="21"/>
        <v>21</v>
      </c>
      <c r="AI36">
        <f t="shared" si="21"/>
        <v>52.5</v>
      </c>
      <c r="AJ36">
        <f t="shared" si="21"/>
        <v>32.799999999999997</v>
      </c>
      <c r="AK36">
        <f t="shared" si="21"/>
        <v>19</v>
      </c>
      <c r="AL36">
        <f t="shared" si="21"/>
        <v>131.19999999999999</v>
      </c>
      <c r="AM36">
        <f t="shared" si="21"/>
        <v>124.9</v>
      </c>
      <c r="AN36">
        <f t="shared" si="21"/>
        <v>49.6</v>
      </c>
      <c r="AO36">
        <f t="shared" si="21"/>
        <v>72.8</v>
      </c>
      <c r="AP36">
        <f t="shared" si="21"/>
        <v>84.1</v>
      </c>
      <c r="AQ36">
        <f t="shared" si="21"/>
        <v>30.1</v>
      </c>
      <c r="AR36">
        <f t="shared" si="21"/>
        <v>85.3</v>
      </c>
      <c r="AS36">
        <f t="shared" si="21"/>
        <v>20</v>
      </c>
      <c r="AT36">
        <f t="shared" si="21"/>
        <v>91</v>
      </c>
      <c r="AU36">
        <f t="shared" si="21"/>
        <v>57.5</v>
      </c>
      <c r="AV36">
        <f t="shared" si="21"/>
        <v>58.1</v>
      </c>
      <c r="AW36">
        <f t="shared" si="21"/>
        <v>167.2</v>
      </c>
      <c r="AX36">
        <f t="shared" si="21"/>
        <v>179.8</v>
      </c>
      <c r="AY36">
        <f t="shared" si="21"/>
        <v>139.4</v>
      </c>
      <c r="AZ36">
        <f t="shared" si="21"/>
        <v>177.5</v>
      </c>
      <c r="BA36">
        <f t="shared" si="21"/>
        <v>0</v>
      </c>
    </row>
    <row r="37" spans="1:53" ht="15.75" customHeight="1">
      <c r="A37" s="349" t="s">
        <v>757</v>
      </c>
      <c r="B37" s="349"/>
      <c r="C37" s="349"/>
      <c r="D37" s="349"/>
      <c r="E37" s="349"/>
      <c r="F37" s="349"/>
      <c r="G37" s="349"/>
      <c r="H37" s="349"/>
      <c r="I37" s="349"/>
      <c r="J37" s="349"/>
      <c r="K37" s="349"/>
      <c r="L37" s="349"/>
      <c r="M37" s="349"/>
      <c r="N37" s="349"/>
      <c r="O37" s="349"/>
      <c r="P37" s="349"/>
      <c r="Q37" s="349"/>
      <c r="R37" s="349"/>
      <c r="S37" s="349"/>
      <c r="T37" s="349"/>
      <c r="U37" s="349"/>
      <c r="V37" t="s">
        <v>758</v>
      </c>
      <c r="W37" s="42">
        <v>2020</v>
      </c>
      <c r="X37" s="42">
        <v>2021</v>
      </c>
      <c r="Y37" s="42">
        <v>2022</v>
      </c>
      <c r="Z37" s="42">
        <v>2023</v>
      </c>
      <c r="AA37" s="42">
        <v>2024</v>
      </c>
      <c r="AB37" s="42">
        <v>2025</v>
      </c>
      <c r="AC37" s="42">
        <v>2026</v>
      </c>
      <c r="AD37" s="42">
        <v>2027</v>
      </c>
      <c r="AE37" s="42">
        <v>2028</v>
      </c>
      <c r="AF37" s="42">
        <v>2029</v>
      </c>
      <c r="AG37" s="42">
        <v>2030</v>
      </c>
      <c r="AH37" s="42">
        <v>2031</v>
      </c>
      <c r="AI37" s="42">
        <v>2032</v>
      </c>
      <c r="AJ37" s="42">
        <v>2033</v>
      </c>
      <c r="AK37" s="42">
        <v>2034</v>
      </c>
      <c r="AL37" s="42">
        <v>2035</v>
      </c>
      <c r="AM37" s="42">
        <v>2036</v>
      </c>
      <c r="AN37" s="42">
        <v>2037</v>
      </c>
      <c r="AO37" s="42">
        <v>2038</v>
      </c>
      <c r="AP37" s="42">
        <v>2039</v>
      </c>
      <c r="AQ37" s="42">
        <v>2040</v>
      </c>
      <c r="AR37" s="42">
        <v>2041</v>
      </c>
      <c r="AS37" s="42">
        <v>2042</v>
      </c>
      <c r="AT37" s="42">
        <v>2043</v>
      </c>
      <c r="AU37" s="42">
        <v>2044</v>
      </c>
      <c r="AV37" s="42">
        <v>2045</v>
      </c>
      <c r="AW37" s="42">
        <v>2046</v>
      </c>
      <c r="AX37" s="42">
        <v>2047</v>
      </c>
      <c r="AY37" s="42">
        <v>2048</v>
      </c>
      <c r="AZ37" s="42">
        <v>2049</v>
      </c>
      <c r="BA37" s="42">
        <v>2050</v>
      </c>
    </row>
    <row r="38" spans="1:53" ht="15.75" customHeight="1">
      <c r="A38" s="362">
        <v>1930</v>
      </c>
      <c r="B38" s="350"/>
      <c r="C38" s="350"/>
      <c r="D38" s="350"/>
      <c r="E38" s="350"/>
      <c r="F38" s="350"/>
      <c r="G38" s="350"/>
      <c r="H38" s="350"/>
      <c r="I38" s="350"/>
      <c r="J38" s="350"/>
      <c r="K38" s="350"/>
      <c r="L38" s="350"/>
      <c r="M38" s="350"/>
      <c r="N38" s="350"/>
      <c r="O38" s="350"/>
      <c r="P38" s="350"/>
      <c r="Q38" s="350"/>
      <c r="R38" s="350"/>
      <c r="S38" s="350"/>
      <c r="T38" s="350"/>
      <c r="U38" s="350"/>
      <c r="V38" s="127">
        <v>4</v>
      </c>
      <c r="W38">
        <f t="shared" ref="W38:W111" si="22">IF(W$37-$A38&gt;$V$25,$V38,0)</f>
        <v>4</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spans="1:53" ht="15.75" customHeight="1">
      <c r="A39" s="362">
        <v>1938</v>
      </c>
      <c r="B39" s="350"/>
      <c r="C39" s="350"/>
      <c r="D39" s="350"/>
      <c r="E39" s="350"/>
      <c r="F39" s="350"/>
      <c r="G39" s="350"/>
      <c r="H39" s="350"/>
      <c r="I39" s="350"/>
      <c r="J39" s="350"/>
      <c r="K39" s="350"/>
      <c r="L39" s="350"/>
      <c r="M39" s="350"/>
      <c r="N39" s="350"/>
      <c r="O39" s="350"/>
      <c r="P39" s="350"/>
      <c r="Q39" s="350"/>
      <c r="R39" s="350"/>
      <c r="S39" s="350"/>
      <c r="T39" s="350"/>
      <c r="U39" s="350"/>
      <c r="V39" s="127">
        <v>7.5</v>
      </c>
      <c r="W39">
        <f t="shared" si="22"/>
        <v>7.5</v>
      </c>
      <c r="X39">
        <f t="shared" ref="X39:BA39" si="24">IF(AND(X$37-$A39&gt;$V$25,SUM($W39:W39)&lt;&gt;$V39),$V39,0)</f>
        <v>0</v>
      </c>
      <c r="Y39">
        <f t="shared" si="24"/>
        <v>0</v>
      </c>
      <c r="Z39">
        <f t="shared" si="24"/>
        <v>0</v>
      </c>
      <c r="AA39">
        <f t="shared" si="24"/>
        <v>0</v>
      </c>
      <c r="AB39">
        <f t="shared" si="24"/>
        <v>0</v>
      </c>
      <c r="AC39">
        <f t="shared" si="24"/>
        <v>0</v>
      </c>
      <c r="AD39">
        <f t="shared" si="24"/>
        <v>0</v>
      </c>
      <c r="AE39">
        <f t="shared" si="24"/>
        <v>0</v>
      </c>
      <c r="AF39">
        <f t="shared" si="24"/>
        <v>0</v>
      </c>
      <c r="AG39">
        <f t="shared" si="24"/>
        <v>0</v>
      </c>
      <c r="AH39">
        <f t="shared" si="24"/>
        <v>0</v>
      </c>
      <c r="AI39">
        <f t="shared" si="24"/>
        <v>0</v>
      </c>
      <c r="AJ39">
        <f t="shared" si="24"/>
        <v>0</v>
      </c>
      <c r="AK39">
        <f t="shared" si="24"/>
        <v>0</v>
      </c>
      <c r="AL39">
        <f t="shared" si="24"/>
        <v>0</v>
      </c>
      <c r="AM39">
        <f t="shared" si="24"/>
        <v>0</v>
      </c>
      <c r="AN39">
        <f t="shared" si="24"/>
        <v>0</v>
      </c>
      <c r="AO39">
        <f t="shared" si="24"/>
        <v>0</v>
      </c>
      <c r="AP39">
        <f t="shared" si="24"/>
        <v>0</v>
      </c>
      <c r="AQ39">
        <f t="shared" si="24"/>
        <v>0</v>
      </c>
      <c r="AR39">
        <f t="shared" si="24"/>
        <v>0</v>
      </c>
      <c r="AS39">
        <f t="shared" si="24"/>
        <v>0</v>
      </c>
      <c r="AT39">
        <f t="shared" si="24"/>
        <v>0</v>
      </c>
      <c r="AU39">
        <f t="shared" si="24"/>
        <v>0</v>
      </c>
      <c r="AV39">
        <f t="shared" si="24"/>
        <v>0</v>
      </c>
      <c r="AW39">
        <f t="shared" si="24"/>
        <v>0</v>
      </c>
      <c r="AX39">
        <f t="shared" si="24"/>
        <v>0</v>
      </c>
      <c r="AY39">
        <f t="shared" si="24"/>
        <v>0</v>
      </c>
      <c r="AZ39">
        <f t="shared" si="24"/>
        <v>0</v>
      </c>
      <c r="BA39">
        <f t="shared" si="24"/>
        <v>0</v>
      </c>
    </row>
    <row r="40" spans="1:53" ht="15.75" customHeight="1">
      <c r="A40" s="362">
        <v>1940</v>
      </c>
      <c r="B40" s="350"/>
      <c r="C40" s="350"/>
      <c r="D40" s="350"/>
      <c r="E40" s="350"/>
      <c r="F40" s="350"/>
      <c r="G40" s="350"/>
      <c r="H40" s="350"/>
      <c r="I40" s="350"/>
      <c r="J40" s="350"/>
      <c r="K40" s="350"/>
      <c r="L40" s="350"/>
      <c r="M40" s="350"/>
      <c r="N40" s="350"/>
      <c r="O40" s="350"/>
      <c r="P40" s="350"/>
      <c r="Q40" s="350"/>
      <c r="R40" s="350"/>
      <c r="S40" s="350"/>
      <c r="T40" s="350"/>
      <c r="U40" s="350"/>
      <c r="V40" s="127">
        <v>9</v>
      </c>
      <c r="W40">
        <f t="shared" si="22"/>
        <v>0</v>
      </c>
      <c r="X40">
        <f t="shared" ref="X40:BA40" si="25">IF(AND(X$37-$A40&gt;$V$25,SUM($W40:W40)&lt;&gt;$V40),$V40,0)</f>
        <v>9</v>
      </c>
      <c r="Y40">
        <f t="shared" si="25"/>
        <v>0</v>
      </c>
      <c r="Z40">
        <f t="shared" si="25"/>
        <v>0</v>
      </c>
      <c r="AA40">
        <f t="shared" si="25"/>
        <v>0</v>
      </c>
      <c r="AB40">
        <f t="shared" si="25"/>
        <v>0</v>
      </c>
      <c r="AC40">
        <f t="shared" si="25"/>
        <v>0</v>
      </c>
      <c r="AD40">
        <f t="shared" si="25"/>
        <v>0</v>
      </c>
      <c r="AE40">
        <f t="shared" si="25"/>
        <v>0</v>
      </c>
      <c r="AF40">
        <f t="shared" si="25"/>
        <v>0</v>
      </c>
      <c r="AG40">
        <f t="shared" si="25"/>
        <v>0</v>
      </c>
      <c r="AH40">
        <f t="shared" si="25"/>
        <v>0</v>
      </c>
      <c r="AI40">
        <f t="shared" si="25"/>
        <v>0</v>
      </c>
      <c r="AJ40">
        <f t="shared" si="25"/>
        <v>0</v>
      </c>
      <c r="AK40">
        <f t="shared" si="25"/>
        <v>0</v>
      </c>
      <c r="AL40">
        <f t="shared" si="25"/>
        <v>0</v>
      </c>
      <c r="AM40">
        <f t="shared" si="25"/>
        <v>0</v>
      </c>
      <c r="AN40">
        <f t="shared" si="25"/>
        <v>0</v>
      </c>
      <c r="AO40">
        <f t="shared" si="25"/>
        <v>0</v>
      </c>
      <c r="AP40">
        <f t="shared" si="25"/>
        <v>0</v>
      </c>
      <c r="AQ40">
        <f t="shared" si="25"/>
        <v>0</v>
      </c>
      <c r="AR40">
        <f t="shared" si="25"/>
        <v>0</v>
      </c>
      <c r="AS40">
        <f t="shared" si="25"/>
        <v>0</v>
      </c>
      <c r="AT40">
        <f t="shared" si="25"/>
        <v>0</v>
      </c>
      <c r="AU40">
        <f t="shared" si="25"/>
        <v>0</v>
      </c>
      <c r="AV40">
        <f t="shared" si="25"/>
        <v>0</v>
      </c>
      <c r="AW40">
        <f t="shared" si="25"/>
        <v>0</v>
      </c>
      <c r="AX40">
        <f t="shared" si="25"/>
        <v>0</v>
      </c>
      <c r="AY40">
        <f t="shared" si="25"/>
        <v>0</v>
      </c>
      <c r="AZ40">
        <f t="shared" si="25"/>
        <v>0</v>
      </c>
      <c r="BA40">
        <f t="shared" si="25"/>
        <v>0</v>
      </c>
    </row>
    <row r="41" spans="1:53" ht="15.75" customHeight="1">
      <c r="A41" s="362">
        <v>1947</v>
      </c>
      <c r="B41" s="350"/>
      <c r="C41" s="350"/>
      <c r="D41" s="350"/>
      <c r="E41" s="350"/>
      <c r="F41" s="350"/>
      <c r="G41" s="350"/>
      <c r="H41" s="350"/>
      <c r="I41" s="350"/>
      <c r="J41" s="350"/>
      <c r="K41" s="350"/>
      <c r="L41" s="350"/>
      <c r="M41" s="350"/>
      <c r="N41" s="350"/>
      <c r="O41" s="350"/>
      <c r="P41" s="350"/>
      <c r="Q41" s="350"/>
      <c r="R41" s="350"/>
      <c r="S41" s="350"/>
      <c r="T41" s="350"/>
      <c r="U41" s="350"/>
      <c r="V41" s="127">
        <v>10</v>
      </c>
      <c r="W41">
        <f t="shared" si="22"/>
        <v>0</v>
      </c>
      <c r="X41">
        <f t="shared" ref="X41:BA41" si="26">IF(AND(X$37-$A41&gt;$V$25,SUM($W41:W41)&lt;&gt;$V41),$V41,0)</f>
        <v>0</v>
      </c>
      <c r="Y41">
        <f t="shared" si="26"/>
        <v>0</v>
      </c>
      <c r="Z41">
        <f t="shared" si="26"/>
        <v>0</v>
      </c>
      <c r="AA41">
        <f t="shared" si="26"/>
        <v>0</v>
      </c>
      <c r="AB41">
        <f t="shared" si="26"/>
        <v>0</v>
      </c>
      <c r="AC41">
        <f t="shared" si="26"/>
        <v>0</v>
      </c>
      <c r="AD41">
        <f t="shared" si="26"/>
        <v>0</v>
      </c>
      <c r="AE41">
        <f t="shared" si="26"/>
        <v>10</v>
      </c>
      <c r="AF41">
        <f t="shared" si="26"/>
        <v>0</v>
      </c>
      <c r="AG41">
        <f t="shared" si="26"/>
        <v>0</v>
      </c>
      <c r="AH41">
        <f t="shared" si="26"/>
        <v>0</v>
      </c>
      <c r="AI41">
        <f t="shared" si="26"/>
        <v>0</v>
      </c>
      <c r="AJ41">
        <f t="shared" si="26"/>
        <v>0</v>
      </c>
      <c r="AK41">
        <f t="shared" si="26"/>
        <v>0</v>
      </c>
      <c r="AL41">
        <f t="shared" si="26"/>
        <v>0</v>
      </c>
      <c r="AM41">
        <f t="shared" si="26"/>
        <v>0</v>
      </c>
      <c r="AN41">
        <f t="shared" si="26"/>
        <v>0</v>
      </c>
      <c r="AO41">
        <f t="shared" si="26"/>
        <v>0</v>
      </c>
      <c r="AP41">
        <f t="shared" si="26"/>
        <v>0</v>
      </c>
      <c r="AQ41">
        <f t="shared" si="26"/>
        <v>0</v>
      </c>
      <c r="AR41">
        <f t="shared" si="26"/>
        <v>0</v>
      </c>
      <c r="AS41">
        <f t="shared" si="26"/>
        <v>0</v>
      </c>
      <c r="AT41">
        <f t="shared" si="26"/>
        <v>0</v>
      </c>
      <c r="AU41">
        <f t="shared" si="26"/>
        <v>0</v>
      </c>
      <c r="AV41">
        <f t="shared" si="26"/>
        <v>0</v>
      </c>
      <c r="AW41">
        <f t="shared" si="26"/>
        <v>0</v>
      </c>
      <c r="AX41">
        <f t="shared" si="26"/>
        <v>0</v>
      </c>
      <c r="AY41">
        <f t="shared" si="26"/>
        <v>0</v>
      </c>
      <c r="AZ41">
        <f t="shared" si="26"/>
        <v>0</v>
      </c>
      <c r="BA41">
        <f t="shared" si="26"/>
        <v>0</v>
      </c>
    </row>
    <row r="42" spans="1:53" ht="15.75" customHeight="1">
      <c r="A42" s="362">
        <v>1948</v>
      </c>
      <c r="B42" s="350"/>
      <c r="C42" s="350"/>
      <c r="D42" s="350"/>
      <c r="E42" s="350"/>
      <c r="F42" s="350"/>
      <c r="G42" s="350"/>
      <c r="H42" s="350"/>
      <c r="I42" s="350"/>
      <c r="J42" s="350"/>
      <c r="K42" s="350"/>
      <c r="L42" s="350"/>
      <c r="M42" s="350"/>
      <c r="N42" s="350"/>
      <c r="O42" s="350"/>
      <c r="P42" s="350"/>
      <c r="Q42" s="350"/>
      <c r="R42" s="350"/>
      <c r="S42" s="350"/>
      <c r="T42" s="350"/>
      <c r="U42" s="350"/>
      <c r="V42" s="127">
        <v>36</v>
      </c>
      <c r="W42">
        <f t="shared" si="22"/>
        <v>0</v>
      </c>
      <c r="X42">
        <f t="shared" ref="X42:BA42" si="27">IF(AND(X$37-$A42&gt;$V$25,SUM($W42:W42)&lt;&gt;$V42),$V42,0)</f>
        <v>0</v>
      </c>
      <c r="Y42">
        <f t="shared" si="27"/>
        <v>0</v>
      </c>
      <c r="Z42">
        <f t="shared" si="27"/>
        <v>0</v>
      </c>
      <c r="AA42">
        <f t="shared" si="27"/>
        <v>0</v>
      </c>
      <c r="AB42">
        <f t="shared" si="27"/>
        <v>0</v>
      </c>
      <c r="AC42">
        <f t="shared" si="27"/>
        <v>0</v>
      </c>
      <c r="AD42">
        <f t="shared" si="27"/>
        <v>0</v>
      </c>
      <c r="AE42">
        <f t="shared" si="27"/>
        <v>0</v>
      </c>
      <c r="AF42">
        <f t="shared" si="27"/>
        <v>36</v>
      </c>
      <c r="AG42">
        <f t="shared" si="27"/>
        <v>0</v>
      </c>
      <c r="AH42">
        <f t="shared" si="27"/>
        <v>0</v>
      </c>
      <c r="AI42">
        <f t="shared" si="27"/>
        <v>0</v>
      </c>
      <c r="AJ42">
        <f t="shared" si="27"/>
        <v>0</v>
      </c>
      <c r="AK42">
        <f t="shared" si="27"/>
        <v>0</v>
      </c>
      <c r="AL42">
        <f t="shared" si="27"/>
        <v>0</v>
      </c>
      <c r="AM42">
        <f t="shared" si="27"/>
        <v>0</v>
      </c>
      <c r="AN42">
        <f t="shared" si="27"/>
        <v>0</v>
      </c>
      <c r="AO42">
        <f t="shared" si="27"/>
        <v>0</v>
      </c>
      <c r="AP42">
        <f t="shared" si="27"/>
        <v>0</v>
      </c>
      <c r="AQ42">
        <f t="shared" si="27"/>
        <v>0</v>
      </c>
      <c r="AR42">
        <f t="shared" si="27"/>
        <v>0</v>
      </c>
      <c r="AS42">
        <f t="shared" si="27"/>
        <v>0</v>
      </c>
      <c r="AT42">
        <f t="shared" si="27"/>
        <v>0</v>
      </c>
      <c r="AU42">
        <f t="shared" si="27"/>
        <v>0</v>
      </c>
      <c r="AV42">
        <f t="shared" si="27"/>
        <v>0</v>
      </c>
      <c r="AW42">
        <f t="shared" si="27"/>
        <v>0</v>
      </c>
      <c r="AX42">
        <f t="shared" si="27"/>
        <v>0</v>
      </c>
      <c r="AY42">
        <f t="shared" si="27"/>
        <v>0</v>
      </c>
      <c r="AZ42">
        <f t="shared" si="27"/>
        <v>0</v>
      </c>
      <c r="BA42">
        <f t="shared" si="27"/>
        <v>0</v>
      </c>
    </row>
    <row r="43" spans="1:53" ht="15.75" customHeight="1">
      <c r="A43" s="362">
        <v>1949</v>
      </c>
      <c r="B43" s="350"/>
      <c r="C43" s="350"/>
      <c r="D43" s="350"/>
      <c r="E43" s="350"/>
      <c r="F43" s="350"/>
      <c r="G43" s="350"/>
      <c r="H43" s="350"/>
      <c r="I43" s="350"/>
      <c r="J43" s="350"/>
      <c r="K43" s="350"/>
      <c r="L43" s="350"/>
      <c r="M43" s="350"/>
      <c r="N43" s="350"/>
      <c r="O43" s="350"/>
      <c r="P43" s="350"/>
      <c r="Q43" s="350"/>
      <c r="R43" s="350"/>
      <c r="S43" s="350"/>
      <c r="T43" s="350"/>
      <c r="U43" s="350"/>
      <c r="V43" s="127">
        <v>73.599999999999994</v>
      </c>
      <c r="W43">
        <f t="shared" si="22"/>
        <v>0</v>
      </c>
      <c r="X43">
        <f t="shared" ref="X43:BA43" si="28">IF(AND(X$37-$A43&gt;$V$25,SUM($W43:W43)&lt;&gt;$V43),$V43,0)</f>
        <v>0</v>
      </c>
      <c r="Y43">
        <f t="shared" si="28"/>
        <v>0</v>
      </c>
      <c r="Z43">
        <f t="shared" si="28"/>
        <v>0</v>
      </c>
      <c r="AA43">
        <f t="shared" si="28"/>
        <v>0</v>
      </c>
      <c r="AB43">
        <f t="shared" si="28"/>
        <v>0</v>
      </c>
      <c r="AC43">
        <f t="shared" si="28"/>
        <v>0</v>
      </c>
      <c r="AD43">
        <f t="shared" si="28"/>
        <v>0</v>
      </c>
      <c r="AE43">
        <f t="shared" si="28"/>
        <v>0</v>
      </c>
      <c r="AF43">
        <f t="shared" si="28"/>
        <v>0</v>
      </c>
      <c r="AG43">
        <f t="shared" si="28"/>
        <v>73.599999999999994</v>
      </c>
      <c r="AH43">
        <f t="shared" si="28"/>
        <v>0</v>
      </c>
      <c r="AI43">
        <f t="shared" si="28"/>
        <v>0</v>
      </c>
      <c r="AJ43">
        <f t="shared" si="28"/>
        <v>0</v>
      </c>
      <c r="AK43">
        <f t="shared" si="28"/>
        <v>0</v>
      </c>
      <c r="AL43">
        <f t="shared" si="28"/>
        <v>0</v>
      </c>
      <c r="AM43">
        <f t="shared" si="28"/>
        <v>0</v>
      </c>
      <c r="AN43">
        <f t="shared" si="28"/>
        <v>0</v>
      </c>
      <c r="AO43">
        <f t="shared" si="28"/>
        <v>0</v>
      </c>
      <c r="AP43">
        <f t="shared" si="28"/>
        <v>0</v>
      </c>
      <c r="AQ43">
        <f t="shared" si="28"/>
        <v>0</v>
      </c>
      <c r="AR43">
        <f t="shared" si="28"/>
        <v>0</v>
      </c>
      <c r="AS43">
        <f t="shared" si="28"/>
        <v>0</v>
      </c>
      <c r="AT43">
        <f t="shared" si="28"/>
        <v>0</v>
      </c>
      <c r="AU43">
        <f t="shared" si="28"/>
        <v>0</v>
      </c>
      <c r="AV43">
        <f t="shared" si="28"/>
        <v>0</v>
      </c>
      <c r="AW43">
        <f t="shared" si="28"/>
        <v>0</v>
      </c>
      <c r="AX43">
        <f t="shared" si="28"/>
        <v>0</v>
      </c>
      <c r="AY43">
        <f t="shared" si="28"/>
        <v>0</v>
      </c>
      <c r="AZ43">
        <f t="shared" si="28"/>
        <v>0</v>
      </c>
      <c r="BA43">
        <f t="shared" si="28"/>
        <v>0</v>
      </c>
    </row>
    <row r="44" spans="1:53" ht="15.75" customHeight="1">
      <c r="A44" s="362">
        <v>1950</v>
      </c>
      <c r="B44" s="350"/>
      <c r="C44" s="350"/>
      <c r="D44" s="350"/>
      <c r="E44" s="350"/>
      <c r="F44" s="350"/>
      <c r="G44" s="350"/>
      <c r="H44" s="350"/>
      <c r="I44" s="350"/>
      <c r="J44" s="350"/>
      <c r="K44" s="350"/>
      <c r="L44" s="350"/>
      <c r="M44" s="350"/>
      <c r="N44" s="350"/>
      <c r="O44" s="350"/>
      <c r="P44" s="350"/>
      <c r="Q44" s="350"/>
      <c r="R44" s="350"/>
      <c r="S44" s="350"/>
      <c r="T44" s="350"/>
      <c r="U44" s="350"/>
      <c r="V44" s="127">
        <v>21</v>
      </c>
      <c r="W44">
        <f t="shared" si="22"/>
        <v>0</v>
      </c>
      <c r="X44">
        <f t="shared" ref="X44:BA44" si="29">IF(AND(X$37-$A44&gt;$V$25,SUM($W44:W44)&lt;&gt;$V44),$V44,0)</f>
        <v>0</v>
      </c>
      <c r="Y44">
        <f t="shared" si="29"/>
        <v>0</v>
      </c>
      <c r="Z44">
        <f t="shared" si="29"/>
        <v>0</v>
      </c>
      <c r="AA44">
        <f t="shared" si="29"/>
        <v>0</v>
      </c>
      <c r="AB44">
        <f t="shared" si="29"/>
        <v>0</v>
      </c>
      <c r="AC44">
        <f t="shared" si="29"/>
        <v>0</v>
      </c>
      <c r="AD44">
        <f t="shared" si="29"/>
        <v>0</v>
      </c>
      <c r="AE44">
        <f t="shared" si="29"/>
        <v>0</v>
      </c>
      <c r="AF44">
        <f t="shared" si="29"/>
        <v>0</v>
      </c>
      <c r="AG44">
        <f t="shared" si="29"/>
        <v>0</v>
      </c>
      <c r="AH44">
        <f t="shared" si="29"/>
        <v>21</v>
      </c>
      <c r="AI44">
        <f t="shared" si="29"/>
        <v>0</v>
      </c>
      <c r="AJ44">
        <f t="shared" si="29"/>
        <v>0</v>
      </c>
      <c r="AK44">
        <f t="shared" si="29"/>
        <v>0</v>
      </c>
      <c r="AL44">
        <f t="shared" si="29"/>
        <v>0</v>
      </c>
      <c r="AM44">
        <f t="shared" si="29"/>
        <v>0</v>
      </c>
      <c r="AN44">
        <f t="shared" si="29"/>
        <v>0</v>
      </c>
      <c r="AO44">
        <f t="shared" si="29"/>
        <v>0</v>
      </c>
      <c r="AP44">
        <f t="shared" si="29"/>
        <v>0</v>
      </c>
      <c r="AQ44">
        <f t="shared" si="29"/>
        <v>0</v>
      </c>
      <c r="AR44">
        <f t="shared" si="29"/>
        <v>0</v>
      </c>
      <c r="AS44">
        <f t="shared" si="29"/>
        <v>0</v>
      </c>
      <c r="AT44">
        <f t="shared" si="29"/>
        <v>0</v>
      </c>
      <c r="AU44">
        <f t="shared" si="29"/>
        <v>0</v>
      </c>
      <c r="AV44">
        <f t="shared" si="29"/>
        <v>0</v>
      </c>
      <c r="AW44">
        <f t="shared" si="29"/>
        <v>0</v>
      </c>
      <c r="AX44">
        <f t="shared" si="29"/>
        <v>0</v>
      </c>
      <c r="AY44">
        <f t="shared" si="29"/>
        <v>0</v>
      </c>
      <c r="AZ44">
        <f t="shared" si="29"/>
        <v>0</v>
      </c>
      <c r="BA44">
        <f t="shared" si="29"/>
        <v>0</v>
      </c>
    </row>
    <row r="45" spans="1:53" ht="15.75" customHeight="1">
      <c r="A45" s="362">
        <v>1951</v>
      </c>
      <c r="B45" s="350"/>
      <c r="C45" s="350"/>
      <c r="D45" s="350"/>
      <c r="E45" s="350"/>
      <c r="F45" s="350"/>
      <c r="G45" s="350"/>
      <c r="H45" s="350"/>
      <c r="I45" s="350"/>
      <c r="J45" s="350"/>
      <c r="K45" s="350"/>
      <c r="L45" s="350"/>
      <c r="M45" s="350"/>
      <c r="N45" s="350"/>
      <c r="O45" s="350"/>
      <c r="P45" s="350"/>
      <c r="Q45" s="350"/>
      <c r="R45" s="350"/>
      <c r="S45" s="350"/>
      <c r="T45" s="350"/>
      <c r="U45" s="350"/>
      <c r="V45" s="127">
        <v>52.5</v>
      </c>
      <c r="W45">
        <f t="shared" si="22"/>
        <v>0</v>
      </c>
      <c r="X45">
        <f t="shared" ref="X45:BA45" si="30">IF(AND(X$37-$A45&gt;$V$25,SUM($W45:W45)&lt;&gt;$V45),$V45,0)</f>
        <v>0</v>
      </c>
      <c r="Y45">
        <f t="shared" si="30"/>
        <v>0</v>
      </c>
      <c r="Z45">
        <f t="shared" si="30"/>
        <v>0</v>
      </c>
      <c r="AA45">
        <f t="shared" si="30"/>
        <v>0</v>
      </c>
      <c r="AB45">
        <f t="shared" si="30"/>
        <v>0</v>
      </c>
      <c r="AC45">
        <f t="shared" si="30"/>
        <v>0</v>
      </c>
      <c r="AD45">
        <f t="shared" si="30"/>
        <v>0</v>
      </c>
      <c r="AE45">
        <f t="shared" si="30"/>
        <v>0</v>
      </c>
      <c r="AF45">
        <f t="shared" si="30"/>
        <v>0</v>
      </c>
      <c r="AG45">
        <f t="shared" si="30"/>
        <v>0</v>
      </c>
      <c r="AH45">
        <f t="shared" si="30"/>
        <v>0</v>
      </c>
      <c r="AI45">
        <f t="shared" si="30"/>
        <v>52.5</v>
      </c>
      <c r="AJ45">
        <f t="shared" si="30"/>
        <v>0</v>
      </c>
      <c r="AK45">
        <f t="shared" si="30"/>
        <v>0</v>
      </c>
      <c r="AL45">
        <f t="shared" si="30"/>
        <v>0</v>
      </c>
      <c r="AM45">
        <f t="shared" si="30"/>
        <v>0</v>
      </c>
      <c r="AN45">
        <f t="shared" si="30"/>
        <v>0</v>
      </c>
      <c r="AO45">
        <f t="shared" si="30"/>
        <v>0</v>
      </c>
      <c r="AP45">
        <f t="shared" si="30"/>
        <v>0</v>
      </c>
      <c r="AQ45">
        <f t="shared" si="30"/>
        <v>0</v>
      </c>
      <c r="AR45">
        <f t="shared" si="30"/>
        <v>0</v>
      </c>
      <c r="AS45">
        <f t="shared" si="30"/>
        <v>0</v>
      </c>
      <c r="AT45">
        <f t="shared" si="30"/>
        <v>0</v>
      </c>
      <c r="AU45">
        <f t="shared" si="30"/>
        <v>0</v>
      </c>
      <c r="AV45">
        <f t="shared" si="30"/>
        <v>0</v>
      </c>
      <c r="AW45">
        <f t="shared" si="30"/>
        <v>0</v>
      </c>
      <c r="AX45">
        <f t="shared" si="30"/>
        <v>0</v>
      </c>
      <c r="AY45">
        <f t="shared" si="30"/>
        <v>0</v>
      </c>
      <c r="AZ45">
        <f t="shared" si="30"/>
        <v>0</v>
      </c>
      <c r="BA45">
        <f t="shared" si="30"/>
        <v>0</v>
      </c>
    </row>
    <row r="46" spans="1:53" ht="15.75" customHeight="1">
      <c r="A46" s="362">
        <v>1952</v>
      </c>
      <c r="B46" s="350"/>
      <c r="C46" s="350"/>
      <c r="D46" s="350"/>
      <c r="E46" s="350"/>
      <c r="F46" s="350"/>
      <c r="G46" s="350"/>
      <c r="H46" s="350"/>
      <c r="I46" s="350"/>
      <c r="J46" s="350"/>
      <c r="K46" s="350"/>
      <c r="L46" s="350"/>
      <c r="M46" s="350"/>
      <c r="N46" s="350"/>
      <c r="O46" s="350"/>
      <c r="P46" s="350"/>
      <c r="Q46" s="350"/>
      <c r="R46" s="350"/>
      <c r="S46" s="350"/>
      <c r="T46" s="350"/>
      <c r="U46" s="350"/>
      <c r="V46" s="127">
        <v>32.799999999999997</v>
      </c>
      <c r="W46">
        <f t="shared" si="22"/>
        <v>0</v>
      </c>
      <c r="X46">
        <f t="shared" ref="X46:BA46" si="31">IF(AND(X$37-$A46&gt;$V$25,SUM($W46:W46)&lt;&gt;$V46),$V46,0)</f>
        <v>0</v>
      </c>
      <c r="Y46">
        <f t="shared" si="31"/>
        <v>0</v>
      </c>
      <c r="Z46">
        <f t="shared" si="31"/>
        <v>0</v>
      </c>
      <c r="AA46">
        <f t="shared" si="31"/>
        <v>0</v>
      </c>
      <c r="AB46">
        <f t="shared" si="31"/>
        <v>0</v>
      </c>
      <c r="AC46">
        <f t="shared" si="31"/>
        <v>0</v>
      </c>
      <c r="AD46">
        <f t="shared" si="31"/>
        <v>0</v>
      </c>
      <c r="AE46">
        <f t="shared" si="31"/>
        <v>0</v>
      </c>
      <c r="AF46">
        <f t="shared" si="31"/>
        <v>0</v>
      </c>
      <c r="AG46">
        <f t="shared" si="31"/>
        <v>0</v>
      </c>
      <c r="AH46">
        <f t="shared" si="31"/>
        <v>0</v>
      </c>
      <c r="AI46">
        <f t="shared" si="31"/>
        <v>0</v>
      </c>
      <c r="AJ46">
        <f t="shared" si="31"/>
        <v>32.799999999999997</v>
      </c>
      <c r="AK46">
        <f t="shared" si="31"/>
        <v>0</v>
      </c>
      <c r="AL46">
        <f t="shared" si="31"/>
        <v>0</v>
      </c>
      <c r="AM46">
        <f t="shared" si="31"/>
        <v>0</v>
      </c>
      <c r="AN46">
        <f t="shared" si="31"/>
        <v>0</v>
      </c>
      <c r="AO46">
        <f t="shared" si="31"/>
        <v>0</v>
      </c>
      <c r="AP46">
        <f t="shared" si="31"/>
        <v>0</v>
      </c>
      <c r="AQ46">
        <f t="shared" si="31"/>
        <v>0</v>
      </c>
      <c r="AR46">
        <f t="shared" si="31"/>
        <v>0</v>
      </c>
      <c r="AS46">
        <f t="shared" si="31"/>
        <v>0</v>
      </c>
      <c r="AT46">
        <f t="shared" si="31"/>
        <v>0</v>
      </c>
      <c r="AU46">
        <f t="shared" si="31"/>
        <v>0</v>
      </c>
      <c r="AV46">
        <f t="shared" si="31"/>
        <v>0</v>
      </c>
      <c r="AW46">
        <f t="shared" si="31"/>
        <v>0</v>
      </c>
      <c r="AX46">
        <f t="shared" si="31"/>
        <v>0</v>
      </c>
      <c r="AY46">
        <f t="shared" si="31"/>
        <v>0</v>
      </c>
      <c r="AZ46">
        <f t="shared" si="31"/>
        <v>0</v>
      </c>
      <c r="BA46">
        <f t="shared" si="31"/>
        <v>0</v>
      </c>
    </row>
    <row r="47" spans="1:53" ht="15.75" customHeight="1">
      <c r="A47" s="362">
        <v>1953</v>
      </c>
      <c r="B47" s="350"/>
      <c r="C47" s="350"/>
      <c r="D47" s="350"/>
      <c r="E47" s="350"/>
      <c r="F47" s="350"/>
      <c r="G47" s="350"/>
      <c r="H47" s="350"/>
      <c r="I47" s="350"/>
      <c r="J47" s="350"/>
      <c r="K47" s="350"/>
      <c r="L47" s="350"/>
      <c r="M47" s="350"/>
      <c r="N47" s="350"/>
      <c r="O47" s="350"/>
      <c r="P47" s="350"/>
      <c r="Q47" s="350"/>
      <c r="R47" s="350"/>
      <c r="S47" s="350"/>
      <c r="T47" s="350"/>
      <c r="U47" s="350"/>
      <c r="V47" s="127">
        <v>19</v>
      </c>
      <c r="W47">
        <f t="shared" si="22"/>
        <v>0</v>
      </c>
      <c r="X47">
        <f t="shared" ref="X47:BA47" si="32">IF(AND(X$37-$A47&gt;$V$25,SUM($W47:W47)&lt;&gt;$V47),$V47,0)</f>
        <v>0</v>
      </c>
      <c r="Y47">
        <f t="shared" si="32"/>
        <v>0</v>
      </c>
      <c r="Z47">
        <f t="shared" si="32"/>
        <v>0</v>
      </c>
      <c r="AA47">
        <f t="shared" si="32"/>
        <v>0</v>
      </c>
      <c r="AB47">
        <f t="shared" si="32"/>
        <v>0</v>
      </c>
      <c r="AC47">
        <f t="shared" si="32"/>
        <v>0</v>
      </c>
      <c r="AD47">
        <f t="shared" si="32"/>
        <v>0</v>
      </c>
      <c r="AE47">
        <f t="shared" si="32"/>
        <v>0</v>
      </c>
      <c r="AF47">
        <f t="shared" si="32"/>
        <v>0</v>
      </c>
      <c r="AG47">
        <f t="shared" si="32"/>
        <v>0</v>
      </c>
      <c r="AH47">
        <f t="shared" si="32"/>
        <v>0</v>
      </c>
      <c r="AI47">
        <f t="shared" si="32"/>
        <v>0</v>
      </c>
      <c r="AJ47">
        <f t="shared" si="32"/>
        <v>0</v>
      </c>
      <c r="AK47">
        <f t="shared" si="32"/>
        <v>19</v>
      </c>
      <c r="AL47">
        <f t="shared" si="32"/>
        <v>0</v>
      </c>
      <c r="AM47">
        <f t="shared" si="32"/>
        <v>0</v>
      </c>
      <c r="AN47">
        <f t="shared" si="32"/>
        <v>0</v>
      </c>
      <c r="AO47">
        <f t="shared" si="32"/>
        <v>0</v>
      </c>
      <c r="AP47">
        <f t="shared" si="32"/>
        <v>0</v>
      </c>
      <c r="AQ47">
        <f t="shared" si="32"/>
        <v>0</v>
      </c>
      <c r="AR47">
        <f t="shared" si="32"/>
        <v>0</v>
      </c>
      <c r="AS47">
        <f t="shared" si="32"/>
        <v>0</v>
      </c>
      <c r="AT47">
        <f t="shared" si="32"/>
        <v>0</v>
      </c>
      <c r="AU47">
        <f t="shared" si="32"/>
        <v>0</v>
      </c>
      <c r="AV47">
        <f t="shared" si="32"/>
        <v>0</v>
      </c>
      <c r="AW47">
        <f t="shared" si="32"/>
        <v>0</v>
      </c>
      <c r="AX47">
        <f t="shared" si="32"/>
        <v>0</v>
      </c>
      <c r="AY47">
        <f t="shared" si="32"/>
        <v>0</v>
      </c>
      <c r="AZ47">
        <f t="shared" si="32"/>
        <v>0</v>
      </c>
      <c r="BA47">
        <f t="shared" si="32"/>
        <v>0</v>
      </c>
    </row>
    <row r="48" spans="1:53" ht="15.75" customHeight="1">
      <c r="A48" s="362">
        <v>1954</v>
      </c>
      <c r="B48" s="350"/>
      <c r="C48" s="350"/>
      <c r="D48" s="350"/>
      <c r="E48" s="350"/>
      <c r="F48" s="350"/>
      <c r="G48" s="350"/>
      <c r="H48" s="350"/>
      <c r="I48" s="350"/>
      <c r="J48" s="350"/>
      <c r="K48" s="350"/>
      <c r="L48" s="350"/>
      <c r="M48" s="350"/>
      <c r="N48" s="350"/>
      <c r="O48" s="350"/>
      <c r="P48" s="350"/>
      <c r="Q48" s="350"/>
      <c r="R48" s="350"/>
      <c r="S48" s="350"/>
      <c r="T48" s="350"/>
      <c r="U48" s="350"/>
      <c r="V48" s="127">
        <v>131.19999999999999</v>
      </c>
      <c r="W48">
        <f t="shared" si="22"/>
        <v>0</v>
      </c>
      <c r="X48">
        <f t="shared" ref="X48:BA48" si="33">IF(AND(X$37-$A48&gt;$V$25,SUM($W48:W48)&lt;&gt;$V48),$V48,0)</f>
        <v>0</v>
      </c>
      <c r="Y48">
        <f t="shared" si="33"/>
        <v>0</v>
      </c>
      <c r="Z48">
        <f t="shared" si="33"/>
        <v>0</v>
      </c>
      <c r="AA48">
        <f t="shared" si="33"/>
        <v>0</v>
      </c>
      <c r="AB48">
        <f t="shared" si="33"/>
        <v>0</v>
      </c>
      <c r="AC48">
        <f t="shared" si="33"/>
        <v>0</v>
      </c>
      <c r="AD48">
        <f t="shared" si="33"/>
        <v>0</v>
      </c>
      <c r="AE48">
        <f t="shared" si="33"/>
        <v>0</v>
      </c>
      <c r="AF48">
        <f t="shared" si="33"/>
        <v>0</v>
      </c>
      <c r="AG48">
        <f t="shared" si="33"/>
        <v>0</v>
      </c>
      <c r="AH48">
        <f t="shared" si="33"/>
        <v>0</v>
      </c>
      <c r="AI48">
        <f t="shared" si="33"/>
        <v>0</v>
      </c>
      <c r="AJ48">
        <f t="shared" si="33"/>
        <v>0</v>
      </c>
      <c r="AK48">
        <f t="shared" si="33"/>
        <v>0</v>
      </c>
      <c r="AL48">
        <f t="shared" si="33"/>
        <v>131.19999999999999</v>
      </c>
      <c r="AM48">
        <f t="shared" si="33"/>
        <v>0</v>
      </c>
      <c r="AN48">
        <f t="shared" si="33"/>
        <v>0</v>
      </c>
      <c r="AO48">
        <f t="shared" si="33"/>
        <v>0</v>
      </c>
      <c r="AP48">
        <f t="shared" si="33"/>
        <v>0</v>
      </c>
      <c r="AQ48">
        <f t="shared" si="33"/>
        <v>0</v>
      </c>
      <c r="AR48">
        <f t="shared" si="33"/>
        <v>0</v>
      </c>
      <c r="AS48">
        <f t="shared" si="33"/>
        <v>0</v>
      </c>
      <c r="AT48">
        <f t="shared" si="33"/>
        <v>0</v>
      </c>
      <c r="AU48">
        <f t="shared" si="33"/>
        <v>0</v>
      </c>
      <c r="AV48">
        <f t="shared" si="33"/>
        <v>0</v>
      </c>
      <c r="AW48">
        <f t="shared" si="33"/>
        <v>0</v>
      </c>
      <c r="AX48">
        <f t="shared" si="33"/>
        <v>0</v>
      </c>
      <c r="AY48">
        <f t="shared" si="33"/>
        <v>0</v>
      </c>
      <c r="AZ48">
        <f t="shared" si="33"/>
        <v>0</v>
      </c>
      <c r="BA48">
        <f t="shared" si="33"/>
        <v>0</v>
      </c>
    </row>
    <row r="49" spans="1:53" ht="15.75" customHeight="1">
      <c r="A49" s="362">
        <v>1955</v>
      </c>
      <c r="B49" s="350"/>
      <c r="C49" s="350"/>
      <c r="D49" s="350"/>
      <c r="E49" s="350"/>
      <c r="F49" s="350"/>
      <c r="G49" s="350"/>
      <c r="H49" s="350"/>
      <c r="I49" s="350"/>
      <c r="J49" s="350"/>
      <c r="K49" s="350"/>
      <c r="L49" s="350"/>
      <c r="M49" s="350"/>
      <c r="N49" s="350"/>
      <c r="O49" s="350"/>
      <c r="P49" s="350"/>
      <c r="Q49" s="350"/>
      <c r="R49" s="350"/>
      <c r="S49" s="350"/>
      <c r="T49" s="350"/>
      <c r="U49" s="350"/>
      <c r="V49" s="127">
        <v>124.9</v>
      </c>
      <c r="W49">
        <f t="shared" si="22"/>
        <v>0</v>
      </c>
      <c r="X49">
        <f t="shared" ref="X49:BA49" si="34">IF(AND(X$37-$A49&gt;$V$25,SUM($W49:W49)&lt;&gt;$V49),$V49,0)</f>
        <v>0</v>
      </c>
      <c r="Y49">
        <f t="shared" si="34"/>
        <v>0</v>
      </c>
      <c r="Z49">
        <f t="shared" si="34"/>
        <v>0</v>
      </c>
      <c r="AA49">
        <f t="shared" si="34"/>
        <v>0</v>
      </c>
      <c r="AB49">
        <f t="shared" si="34"/>
        <v>0</v>
      </c>
      <c r="AC49">
        <f t="shared" si="34"/>
        <v>0</v>
      </c>
      <c r="AD49">
        <f t="shared" si="34"/>
        <v>0</v>
      </c>
      <c r="AE49">
        <f t="shared" si="34"/>
        <v>0</v>
      </c>
      <c r="AF49">
        <f t="shared" si="34"/>
        <v>0</v>
      </c>
      <c r="AG49">
        <f t="shared" si="34"/>
        <v>0</v>
      </c>
      <c r="AH49">
        <f t="shared" si="34"/>
        <v>0</v>
      </c>
      <c r="AI49">
        <f t="shared" si="34"/>
        <v>0</v>
      </c>
      <c r="AJ49">
        <f t="shared" si="34"/>
        <v>0</v>
      </c>
      <c r="AK49">
        <f t="shared" si="34"/>
        <v>0</v>
      </c>
      <c r="AL49">
        <f t="shared" si="34"/>
        <v>0</v>
      </c>
      <c r="AM49">
        <f t="shared" si="34"/>
        <v>124.9</v>
      </c>
      <c r="AN49">
        <f t="shared" si="34"/>
        <v>0</v>
      </c>
      <c r="AO49">
        <f t="shared" si="34"/>
        <v>0</v>
      </c>
      <c r="AP49">
        <f t="shared" si="34"/>
        <v>0</v>
      </c>
      <c r="AQ49">
        <f t="shared" si="34"/>
        <v>0</v>
      </c>
      <c r="AR49">
        <f t="shared" si="34"/>
        <v>0</v>
      </c>
      <c r="AS49">
        <f t="shared" si="34"/>
        <v>0</v>
      </c>
      <c r="AT49">
        <f t="shared" si="34"/>
        <v>0</v>
      </c>
      <c r="AU49">
        <f t="shared" si="34"/>
        <v>0</v>
      </c>
      <c r="AV49">
        <f t="shared" si="34"/>
        <v>0</v>
      </c>
      <c r="AW49">
        <f t="shared" si="34"/>
        <v>0</v>
      </c>
      <c r="AX49">
        <f t="shared" si="34"/>
        <v>0</v>
      </c>
      <c r="AY49">
        <f t="shared" si="34"/>
        <v>0</v>
      </c>
      <c r="AZ49">
        <f t="shared" si="34"/>
        <v>0</v>
      </c>
      <c r="BA49">
        <f t="shared" si="34"/>
        <v>0</v>
      </c>
    </row>
    <row r="50" spans="1:53" ht="15.75" customHeight="1">
      <c r="A50" s="362">
        <v>1956</v>
      </c>
      <c r="B50" s="350"/>
      <c r="C50" s="350"/>
      <c r="D50" s="350"/>
      <c r="E50" s="350"/>
      <c r="F50" s="350"/>
      <c r="G50" s="350"/>
      <c r="H50" s="350"/>
      <c r="I50" s="350"/>
      <c r="J50" s="350"/>
      <c r="K50" s="350"/>
      <c r="L50" s="350"/>
      <c r="M50" s="350"/>
      <c r="N50" s="350"/>
      <c r="O50" s="350"/>
      <c r="P50" s="350"/>
      <c r="Q50" s="350"/>
      <c r="R50" s="350"/>
      <c r="S50" s="350"/>
      <c r="T50" s="350"/>
      <c r="U50" s="350"/>
      <c r="V50" s="127">
        <v>49.6</v>
      </c>
      <c r="W50">
        <f t="shared" si="22"/>
        <v>0</v>
      </c>
      <c r="X50">
        <f t="shared" ref="X50:BA50" si="35">IF(AND(X$37-$A50&gt;$V$25,SUM($W50:W50)&lt;&gt;$V50),$V50,0)</f>
        <v>0</v>
      </c>
      <c r="Y50">
        <f t="shared" si="35"/>
        <v>0</v>
      </c>
      <c r="Z50">
        <f t="shared" si="35"/>
        <v>0</v>
      </c>
      <c r="AA50">
        <f t="shared" si="35"/>
        <v>0</v>
      </c>
      <c r="AB50">
        <f t="shared" si="35"/>
        <v>0</v>
      </c>
      <c r="AC50">
        <f t="shared" si="35"/>
        <v>0</v>
      </c>
      <c r="AD50">
        <f t="shared" si="35"/>
        <v>0</v>
      </c>
      <c r="AE50">
        <f t="shared" si="35"/>
        <v>0</v>
      </c>
      <c r="AF50">
        <f t="shared" si="35"/>
        <v>0</v>
      </c>
      <c r="AG50">
        <f t="shared" si="35"/>
        <v>0</v>
      </c>
      <c r="AH50">
        <f t="shared" si="35"/>
        <v>0</v>
      </c>
      <c r="AI50">
        <f t="shared" si="35"/>
        <v>0</v>
      </c>
      <c r="AJ50">
        <f t="shared" si="35"/>
        <v>0</v>
      </c>
      <c r="AK50">
        <f t="shared" si="35"/>
        <v>0</v>
      </c>
      <c r="AL50">
        <f t="shared" si="35"/>
        <v>0</v>
      </c>
      <c r="AM50">
        <f t="shared" si="35"/>
        <v>0</v>
      </c>
      <c r="AN50">
        <f t="shared" si="35"/>
        <v>49.6</v>
      </c>
      <c r="AO50">
        <f t="shared" si="35"/>
        <v>0</v>
      </c>
      <c r="AP50">
        <f t="shared" si="35"/>
        <v>0</v>
      </c>
      <c r="AQ50">
        <f t="shared" si="35"/>
        <v>0</v>
      </c>
      <c r="AR50">
        <f t="shared" si="35"/>
        <v>0</v>
      </c>
      <c r="AS50">
        <f t="shared" si="35"/>
        <v>0</v>
      </c>
      <c r="AT50">
        <f t="shared" si="35"/>
        <v>0</v>
      </c>
      <c r="AU50">
        <f t="shared" si="35"/>
        <v>0</v>
      </c>
      <c r="AV50">
        <f t="shared" si="35"/>
        <v>0</v>
      </c>
      <c r="AW50">
        <f t="shared" si="35"/>
        <v>0</v>
      </c>
      <c r="AX50">
        <f t="shared" si="35"/>
        <v>0</v>
      </c>
      <c r="AY50">
        <f t="shared" si="35"/>
        <v>0</v>
      </c>
      <c r="AZ50">
        <f t="shared" si="35"/>
        <v>0</v>
      </c>
      <c r="BA50">
        <f t="shared" si="35"/>
        <v>0</v>
      </c>
    </row>
    <row r="51" spans="1:53" ht="15.75" customHeight="1">
      <c r="A51" s="362">
        <v>1957</v>
      </c>
      <c r="B51" s="350"/>
      <c r="C51" s="350"/>
      <c r="D51" s="350"/>
      <c r="E51" s="350"/>
      <c r="F51" s="350"/>
      <c r="G51" s="350"/>
      <c r="H51" s="350"/>
      <c r="I51" s="350"/>
      <c r="J51" s="350"/>
      <c r="K51" s="350"/>
      <c r="L51" s="350"/>
      <c r="M51" s="350"/>
      <c r="N51" s="350"/>
      <c r="O51" s="350"/>
      <c r="P51" s="350"/>
      <c r="Q51" s="350"/>
      <c r="R51" s="350"/>
      <c r="S51" s="350"/>
      <c r="T51" s="350"/>
      <c r="U51" s="350"/>
      <c r="V51" s="127">
        <v>72.8</v>
      </c>
      <c r="W51">
        <f t="shared" si="22"/>
        <v>0</v>
      </c>
      <c r="X51">
        <f t="shared" ref="X51:BA51" si="36">IF(AND(X$37-$A51&gt;$V$25,SUM($W51:W51)&lt;&gt;$V51),$V51,0)</f>
        <v>0</v>
      </c>
      <c r="Y51">
        <f t="shared" si="36"/>
        <v>0</v>
      </c>
      <c r="Z51">
        <f t="shared" si="36"/>
        <v>0</v>
      </c>
      <c r="AA51">
        <f t="shared" si="36"/>
        <v>0</v>
      </c>
      <c r="AB51">
        <f t="shared" si="36"/>
        <v>0</v>
      </c>
      <c r="AC51">
        <f t="shared" si="36"/>
        <v>0</v>
      </c>
      <c r="AD51">
        <f t="shared" si="36"/>
        <v>0</v>
      </c>
      <c r="AE51">
        <f t="shared" si="36"/>
        <v>0</v>
      </c>
      <c r="AF51">
        <f t="shared" si="36"/>
        <v>0</v>
      </c>
      <c r="AG51">
        <f t="shared" si="36"/>
        <v>0</v>
      </c>
      <c r="AH51">
        <f t="shared" si="36"/>
        <v>0</v>
      </c>
      <c r="AI51">
        <f t="shared" si="36"/>
        <v>0</v>
      </c>
      <c r="AJ51">
        <f t="shared" si="36"/>
        <v>0</v>
      </c>
      <c r="AK51">
        <f t="shared" si="36"/>
        <v>0</v>
      </c>
      <c r="AL51">
        <f t="shared" si="36"/>
        <v>0</v>
      </c>
      <c r="AM51">
        <f t="shared" si="36"/>
        <v>0</v>
      </c>
      <c r="AN51">
        <f t="shared" si="36"/>
        <v>0</v>
      </c>
      <c r="AO51">
        <f t="shared" si="36"/>
        <v>72.8</v>
      </c>
      <c r="AP51">
        <f t="shared" si="36"/>
        <v>0</v>
      </c>
      <c r="AQ51">
        <f t="shared" si="36"/>
        <v>0</v>
      </c>
      <c r="AR51">
        <f t="shared" si="36"/>
        <v>0</v>
      </c>
      <c r="AS51">
        <f t="shared" si="36"/>
        <v>0</v>
      </c>
      <c r="AT51">
        <f t="shared" si="36"/>
        <v>0</v>
      </c>
      <c r="AU51">
        <f t="shared" si="36"/>
        <v>0</v>
      </c>
      <c r="AV51">
        <f t="shared" si="36"/>
        <v>0</v>
      </c>
      <c r="AW51">
        <f t="shared" si="36"/>
        <v>0</v>
      </c>
      <c r="AX51">
        <f t="shared" si="36"/>
        <v>0</v>
      </c>
      <c r="AY51">
        <f t="shared" si="36"/>
        <v>0</v>
      </c>
      <c r="AZ51">
        <f t="shared" si="36"/>
        <v>0</v>
      </c>
      <c r="BA51">
        <f t="shared" si="36"/>
        <v>0</v>
      </c>
    </row>
    <row r="52" spans="1:53" ht="15.75" customHeight="1">
      <c r="A52" s="362">
        <v>1958</v>
      </c>
      <c r="B52" s="350"/>
      <c r="C52" s="350"/>
      <c r="D52" s="350"/>
      <c r="E52" s="350"/>
      <c r="F52" s="350"/>
      <c r="G52" s="350"/>
      <c r="H52" s="350"/>
      <c r="I52" s="350"/>
      <c r="J52" s="350"/>
      <c r="K52" s="350"/>
      <c r="L52" s="350"/>
      <c r="M52" s="350"/>
      <c r="N52" s="350"/>
      <c r="O52" s="350"/>
      <c r="P52" s="350"/>
      <c r="Q52" s="350"/>
      <c r="R52" s="350"/>
      <c r="S52" s="350"/>
      <c r="T52" s="350"/>
      <c r="U52" s="350"/>
      <c r="V52" s="127">
        <v>84.1</v>
      </c>
      <c r="W52">
        <f t="shared" si="22"/>
        <v>0</v>
      </c>
      <c r="X52">
        <f t="shared" ref="X52:BA52" si="37">IF(AND(X$37-$A52&gt;$V$25,SUM($W52:W52)&lt;&gt;$V52),$V52,0)</f>
        <v>0</v>
      </c>
      <c r="Y52">
        <f t="shared" si="37"/>
        <v>0</v>
      </c>
      <c r="Z52">
        <f t="shared" si="37"/>
        <v>0</v>
      </c>
      <c r="AA52">
        <f t="shared" si="37"/>
        <v>0</v>
      </c>
      <c r="AB52">
        <f t="shared" si="37"/>
        <v>0</v>
      </c>
      <c r="AC52">
        <f t="shared" si="37"/>
        <v>0</v>
      </c>
      <c r="AD52">
        <f t="shared" si="37"/>
        <v>0</v>
      </c>
      <c r="AE52">
        <f t="shared" si="37"/>
        <v>0</v>
      </c>
      <c r="AF52">
        <f t="shared" si="37"/>
        <v>0</v>
      </c>
      <c r="AG52">
        <f t="shared" si="37"/>
        <v>0</v>
      </c>
      <c r="AH52">
        <f t="shared" si="37"/>
        <v>0</v>
      </c>
      <c r="AI52">
        <f t="shared" si="37"/>
        <v>0</v>
      </c>
      <c r="AJ52">
        <f t="shared" si="37"/>
        <v>0</v>
      </c>
      <c r="AK52">
        <f t="shared" si="37"/>
        <v>0</v>
      </c>
      <c r="AL52">
        <f t="shared" si="37"/>
        <v>0</v>
      </c>
      <c r="AM52">
        <f t="shared" si="37"/>
        <v>0</v>
      </c>
      <c r="AN52">
        <f t="shared" si="37"/>
        <v>0</v>
      </c>
      <c r="AO52">
        <f t="shared" si="37"/>
        <v>0</v>
      </c>
      <c r="AP52">
        <f t="shared" si="37"/>
        <v>84.1</v>
      </c>
      <c r="AQ52">
        <f t="shared" si="37"/>
        <v>0</v>
      </c>
      <c r="AR52">
        <f t="shared" si="37"/>
        <v>0</v>
      </c>
      <c r="AS52">
        <f t="shared" si="37"/>
        <v>0</v>
      </c>
      <c r="AT52">
        <f t="shared" si="37"/>
        <v>0</v>
      </c>
      <c r="AU52">
        <f t="shared" si="37"/>
        <v>0</v>
      </c>
      <c r="AV52">
        <f t="shared" si="37"/>
        <v>0</v>
      </c>
      <c r="AW52">
        <f t="shared" si="37"/>
        <v>0</v>
      </c>
      <c r="AX52">
        <f t="shared" si="37"/>
        <v>0</v>
      </c>
      <c r="AY52">
        <f t="shared" si="37"/>
        <v>0</v>
      </c>
      <c r="AZ52">
        <f t="shared" si="37"/>
        <v>0</v>
      </c>
      <c r="BA52">
        <f t="shared" si="37"/>
        <v>0</v>
      </c>
    </row>
    <row r="53" spans="1:53" ht="15.75" customHeight="1">
      <c r="A53" s="362">
        <v>1959</v>
      </c>
      <c r="B53" s="350"/>
      <c r="C53" s="350"/>
      <c r="D53" s="350"/>
      <c r="E53" s="350"/>
      <c r="F53" s="350"/>
      <c r="G53" s="350"/>
      <c r="H53" s="350"/>
      <c r="I53" s="350"/>
      <c r="J53" s="350"/>
      <c r="K53" s="350"/>
      <c r="L53" s="350"/>
      <c r="M53" s="350"/>
      <c r="N53" s="350"/>
      <c r="O53" s="350"/>
      <c r="P53" s="350"/>
      <c r="Q53" s="350"/>
      <c r="R53" s="350"/>
      <c r="S53" s="350"/>
      <c r="T53" s="350"/>
      <c r="U53" s="350"/>
      <c r="V53" s="127">
        <v>30.1</v>
      </c>
      <c r="W53">
        <f t="shared" si="22"/>
        <v>0</v>
      </c>
      <c r="X53">
        <f t="shared" ref="X53:BA53" si="38">IF(AND(X$37-$A53&gt;$V$25,SUM($W53:W53)&lt;&gt;$V53),$V53,0)</f>
        <v>0</v>
      </c>
      <c r="Y53">
        <f t="shared" si="38"/>
        <v>0</v>
      </c>
      <c r="Z53">
        <f t="shared" si="38"/>
        <v>0</v>
      </c>
      <c r="AA53">
        <f t="shared" si="38"/>
        <v>0</v>
      </c>
      <c r="AB53">
        <f t="shared" si="38"/>
        <v>0</v>
      </c>
      <c r="AC53">
        <f t="shared" si="38"/>
        <v>0</v>
      </c>
      <c r="AD53">
        <f t="shared" si="38"/>
        <v>0</v>
      </c>
      <c r="AE53">
        <f t="shared" si="38"/>
        <v>0</v>
      </c>
      <c r="AF53">
        <f t="shared" si="38"/>
        <v>0</v>
      </c>
      <c r="AG53">
        <f t="shared" si="38"/>
        <v>0</v>
      </c>
      <c r="AH53">
        <f t="shared" si="38"/>
        <v>0</v>
      </c>
      <c r="AI53">
        <f t="shared" si="38"/>
        <v>0</v>
      </c>
      <c r="AJ53">
        <f t="shared" si="38"/>
        <v>0</v>
      </c>
      <c r="AK53">
        <f t="shared" si="38"/>
        <v>0</v>
      </c>
      <c r="AL53">
        <f t="shared" si="38"/>
        <v>0</v>
      </c>
      <c r="AM53">
        <f t="shared" si="38"/>
        <v>0</v>
      </c>
      <c r="AN53">
        <f t="shared" si="38"/>
        <v>0</v>
      </c>
      <c r="AO53">
        <f t="shared" si="38"/>
        <v>0</v>
      </c>
      <c r="AP53">
        <f t="shared" si="38"/>
        <v>0</v>
      </c>
      <c r="AQ53">
        <f t="shared" si="38"/>
        <v>30.1</v>
      </c>
      <c r="AR53">
        <f t="shared" si="38"/>
        <v>0</v>
      </c>
      <c r="AS53">
        <f t="shared" si="38"/>
        <v>0</v>
      </c>
      <c r="AT53">
        <f t="shared" si="38"/>
        <v>0</v>
      </c>
      <c r="AU53">
        <f t="shared" si="38"/>
        <v>0</v>
      </c>
      <c r="AV53">
        <f t="shared" si="38"/>
        <v>0</v>
      </c>
      <c r="AW53">
        <f t="shared" si="38"/>
        <v>0</v>
      </c>
      <c r="AX53">
        <f t="shared" si="38"/>
        <v>0</v>
      </c>
      <c r="AY53">
        <f t="shared" si="38"/>
        <v>0</v>
      </c>
      <c r="AZ53">
        <f t="shared" si="38"/>
        <v>0</v>
      </c>
      <c r="BA53">
        <f t="shared" si="38"/>
        <v>0</v>
      </c>
    </row>
    <row r="54" spans="1:53" ht="15.75" customHeight="1">
      <c r="A54" s="362">
        <v>1960</v>
      </c>
      <c r="B54" s="350"/>
      <c r="C54" s="350"/>
      <c r="D54" s="350"/>
      <c r="E54" s="350"/>
      <c r="F54" s="350"/>
      <c r="G54" s="350"/>
      <c r="H54" s="350"/>
      <c r="I54" s="350"/>
      <c r="J54" s="350"/>
      <c r="K54" s="350"/>
      <c r="L54" s="350"/>
      <c r="M54" s="350"/>
      <c r="N54" s="350"/>
      <c r="O54" s="350"/>
      <c r="P54" s="350"/>
      <c r="Q54" s="350"/>
      <c r="R54" s="350"/>
      <c r="S54" s="350"/>
      <c r="T54" s="350"/>
      <c r="U54" s="350"/>
      <c r="V54" s="127">
        <v>85.3</v>
      </c>
      <c r="W54">
        <f t="shared" si="22"/>
        <v>0</v>
      </c>
      <c r="X54">
        <f t="shared" ref="X54:BA54" si="39">IF(AND(X$37-$A54&gt;$V$25,SUM($W54:W54)&lt;&gt;$V54),$V54,0)</f>
        <v>0</v>
      </c>
      <c r="Y54">
        <f t="shared" si="39"/>
        <v>0</v>
      </c>
      <c r="Z54">
        <f t="shared" si="39"/>
        <v>0</v>
      </c>
      <c r="AA54">
        <f t="shared" si="39"/>
        <v>0</v>
      </c>
      <c r="AB54">
        <f t="shared" si="39"/>
        <v>0</v>
      </c>
      <c r="AC54">
        <f t="shared" si="39"/>
        <v>0</v>
      </c>
      <c r="AD54">
        <f t="shared" si="39"/>
        <v>0</v>
      </c>
      <c r="AE54">
        <f t="shared" si="39"/>
        <v>0</v>
      </c>
      <c r="AF54">
        <f t="shared" si="39"/>
        <v>0</v>
      </c>
      <c r="AG54">
        <f t="shared" si="39"/>
        <v>0</v>
      </c>
      <c r="AH54">
        <f t="shared" si="39"/>
        <v>0</v>
      </c>
      <c r="AI54">
        <f t="shared" si="39"/>
        <v>0</v>
      </c>
      <c r="AJ54">
        <f t="shared" si="39"/>
        <v>0</v>
      </c>
      <c r="AK54">
        <f t="shared" si="39"/>
        <v>0</v>
      </c>
      <c r="AL54">
        <f t="shared" si="39"/>
        <v>0</v>
      </c>
      <c r="AM54">
        <f t="shared" si="39"/>
        <v>0</v>
      </c>
      <c r="AN54">
        <f t="shared" si="39"/>
        <v>0</v>
      </c>
      <c r="AO54">
        <f t="shared" si="39"/>
        <v>0</v>
      </c>
      <c r="AP54">
        <f t="shared" si="39"/>
        <v>0</v>
      </c>
      <c r="AQ54">
        <f t="shared" si="39"/>
        <v>0</v>
      </c>
      <c r="AR54">
        <f t="shared" si="39"/>
        <v>85.3</v>
      </c>
      <c r="AS54">
        <f t="shared" si="39"/>
        <v>0</v>
      </c>
      <c r="AT54">
        <f t="shared" si="39"/>
        <v>0</v>
      </c>
      <c r="AU54">
        <f t="shared" si="39"/>
        <v>0</v>
      </c>
      <c r="AV54">
        <f t="shared" si="39"/>
        <v>0</v>
      </c>
      <c r="AW54">
        <f t="shared" si="39"/>
        <v>0</v>
      </c>
      <c r="AX54">
        <f t="shared" si="39"/>
        <v>0</v>
      </c>
      <c r="AY54">
        <f t="shared" si="39"/>
        <v>0</v>
      </c>
      <c r="AZ54">
        <f t="shared" si="39"/>
        <v>0</v>
      </c>
      <c r="BA54">
        <f t="shared" si="39"/>
        <v>0</v>
      </c>
    </row>
    <row r="55" spans="1:53" ht="15.75" customHeight="1">
      <c r="A55" s="362">
        <v>1961</v>
      </c>
      <c r="B55" s="350"/>
      <c r="C55" s="350"/>
      <c r="D55" s="350"/>
      <c r="E55" s="350"/>
      <c r="F55" s="350"/>
      <c r="G55" s="350"/>
      <c r="H55" s="350"/>
      <c r="I55" s="350"/>
      <c r="J55" s="350"/>
      <c r="K55" s="350"/>
      <c r="L55" s="350"/>
      <c r="M55" s="350"/>
      <c r="N55" s="350"/>
      <c r="O55" s="350"/>
      <c r="P55" s="350"/>
      <c r="Q55" s="350"/>
      <c r="R55" s="350"/>
      <c r="S55" s="350"/>
      <c r="T55" s="350"/>
      <c r="U55" s="350"/>
      <c r="V55" s="127">
        <v>20</v>
      </c>
      <c r="W55">
        <f t="shared" si="22"/>
        <v>0</v>
      </c>
      <c r="X55">
        <f t="shared" ref="X55:BA55" si="40">IF(AND(X$37-$A55&gt;$V$25,SUM($W55:W55)&lt;&gt;$V55),$V55,0)</f>
        <v>0</v>
      </c>
      <c r="Y55">
        <f t="shared" si="40"/>
        <v>0</v>
      </c>
      <c r="Z55">
        <f t="shared" si="40"/>
        <v>0</v>
      </c>
      <c r="AA55">
        <f t="shared" si="40"/>
        <v>0</v>
      </c>
      <c r="AB55">
        <f t="shared" si="40"/>
        <v>0</v>
      </c>
      <c r="AC55">
        <f t="shared" si="40"/>
        <v>0</v>
      </c>
      <c r="AD55">
        <f t="shared" si="40"/>
        <v>0</v>
      </c>
      <c r="AE55">
        <f t="shared" si="40"/>
        <v>0</v>
      </c>
      <c r="AF55">
        <f t="shared" si="40"/>
        <v>0</v>
      </c>
      <c r="AG55">
        <f t="shared" si="40"/>
        <v>0</v>
      </c>
      <c r="AH55">
        <f t="shared" si="40"/>
        <v>0</v>
      </c>
      <c r="AI55">
        <f t="shared" si="40"/>
        <v>0</v>
      </c>
      <c r="AJ55">
        <f t="shared" si="40"/>
        <v>0</v>
      </c>
      <c r="AK55">
        <f t="shared" si="40"/>
        <v>0</v>
      </c>
      <c r="AL55">
        <f t="shared" si="40"/>
        <v>0</v>
      </c>
      <c r="AM55">
        <f t="shared" si="40"/>
        <v>0</v>
      </c>
      <c r="AN55">
        <f t="shared" si="40"/>
        <v>0</v>
      </c>
      <c r="AO55">
        <f t="shared" si="40"/>
        <v>0</v>
      </c>
      <c r="AP55">
        <f t="shared" si="40"/>
        <v>0</v>
      </c>
      <c r="AQ55">
        <f t="shared" si="40"/>
        <v>0</v>
      </c>
      <c r="AR55">
        <f t="shared" si="40"/>
        <v>0</v>
      </c>
      <c r="AS55">
        <f t="shared" si="40"/>
        <v>20</v>
      </c>
      <c r="AT55">
        <f t="shared" si="40"/>
        <v>0</v>
      </c>
      <c r="AU55">
        <f t="shared" si="40"/>
        <v>0</v>
      </c>
      <c r="AV55">
        <f t="shared" si="40"/>
        <v>0</v>
      </c>
      <c r="AW55">
        <f t="shared" si="40"/>
        <v>0</v>
      </c>
      <c r="AX55">
        <f t="shared" si="40"/>
        <v>0</v>
      </c>
      <c r="AY55">
        <f t="shared" si="40"/>
        <v>0</v>
      </c>
      <c r="AZ55">
        <f t="shared" si="40"/>
        <v>0</v>
      </c>
      <c r="BA55">
        <f t="shared" si="40"/>
        <v>0</v>
      </c>
    </row>
    <row r="56" spans="1:53" ht="15.75" customHeight="1">
      <c r="A56" s="362">
        <v>1962</v>
      </c>
      <c r="B56" s="350"/>
      <c r="C56" s="350"/>
      <c r="D56" s="350"/>
      <c r="E56" s="350"/>
      <c r="F56" s="350"/>
      <c r="G56" s="350"/>
      <c r="H56" s="350"/>
      <c r="I56" s="350"/>
      <c r="J56" s="350"/>
      <c r="K56" s="350"/>
      <c r="L56" s="350"/>
      <c r="M56" s="350"/>
      <c r="N56" s="350"/>
      <c r="O56" s="350"/>
      <c r="P56" s="350"/>
      <c r="Q56" s="350"/>
      <c r="R56" s="350"/>
      <c r="S56" s="350"/>
      <c r="T56" s="350"/>
      <c r="U56" s="350"/>
      <c r="V56" s="127">
        <v>91</v>
      </c>
      <c r="W56">
        <f t="shared" si="22"/>
        <v>0</v>
      </c>
      <c r="X56">
        <f t="shared" ref="X56:BA56" si="41">IF(AND(X$37-$A56&gt;$V$25,SUM($W56:W56)&lt;&gt;$V56),$V56,0)</f>
        <v>0</v>
      </c>
      <c r="Y56">
        <f t="shared" si="41"/>
        <v>0</v>
      </c>
      <c r="Z56">
        <f t="shared" si="41"/>
        <v>0</v>
      </c>
      <c r="AA56">
        <f t="shared" si="41"/>
        <v>0</v>
      </c>
      <c r="AB56">
        <f t="shared" si="41"/>
        <v>0</v>
      </c>
      <c r="AC56">
        <f t="shared" si="41"/>
        <v>0</v>
      </c>
      <c r="AD56">
        <f t="shared" si="41"/>
        <v>0</v>
      </c>
      <c r="AE56">
        <f t="shared" si="41"/>
        <v>0</v>
      </c>
      <c r="AF56">
        <f t="shared" si="41"/>
        <v>0</v>
      </c>
      <c r="AG56">
        <f t="shared" si="41"/>
        <v>0</v>
      </c>
      <c r="AH56">
        <f t="shared" si="41"/>
        <v>0</v>
      </c>
      <c r="AI56">
        <f t="shared" si="41"/>
        <v>0</v>
      </c>
      <c r="AJ56">
        <f t="shared" si="41"/>
        <v>0</v>
      </c>
      <c r="AK56">
        <f t="shared" si="41"/>
        <v>0</v>
      </c>
      <c r="AL56">
        <f t="shared" si="41"/>
        <v>0</v>
      </c>
      <c r="AM56">
        <f t="shared" si="41"/>
        <v>0</v>
      </c>
      <c r="AN56">
        <f t="shared" si="41"/>
        <v>0</v>
      </c>
      <c r="AO56">
        <f t="shared" si="41"/>
        <v>0</v>
      </c>
      <c r="AP56">
        <f t="shared" si="41"/>
        <v>0</v>
      </c>
      <c r="AQ56">
        <f t="shared" si="41"/>
        <v>0</v>
      </c>
      <c r="AR56">
        <f t="shared" si="41"/>
        <v>0</v>
      </c>
      <c r="AS56">
        <f t="shared" si="41"/>
        <v>0</v>
      </c>
      <c r="AT56">
        <f t="shared" si="41"/>
        <v>91</v>
      </c>
      <c r="AU56">
        <f t="shared" si="41"/>
        <v>0</v>
      </c>
      <c r="AV56">
        <f t="shared" si="41"/>
        <v>0</v>
      </c>
      <c r="AW56">
        <f t="shared" si="41"/>
        <v>0</v>
      </c>
      <c r="AX56">
        <f t="shared" si="41"/>
        <v>0</v>
      </c>
      <c r="AY56">
        <f t="shared" si="41"/>
        <v>0</v>
      </c>
      <c r="AZ56">
        <f t="shared" si="41"/>
        <v>0</v>
      </c>
      <c r="BA56">
        <f t="shared" si="41"/>
        <v>0</v>
      </c>
    </row>
    <row r="57" spans="1:53" ht="15.75" customHeight="1">
      <c r="A57" s="362">
        <v>1963</v>
      </c>
      <c r="B57" s="350"/>
      <c r="C57" s="350"/>
      <c r="D57" s="350"/>
      <c r="E57" s="350"/>
      <c r="F57" s="350"/>
      <c r="G57" s="350"/>
      <c r="H57" s="350"/>
      <c r="I57" s="350"/>
      <c r="J57" s="350"/>
      <c r="K57" s="350"/>
      <c r="L57" s="350"/>
      <c r="M57" s="350"/>
      <c r="N57" s="350"/>
      <c r="O57" s="350"/>
      <c r="P57" s="350"/>
      <c r="Q57" s="350"/>
      <c r="R57" s="350"/>
      <c r="S57" s="350"/>
      <c r="T57" s="350"/>
      <c r="U57" s="350"/>
      <c r="V57" s="127">
        <v>57.5</v>
      </c>
      <c r="W57">
        <f t="shared" si="22"/>
        <v>0</v>
      </c>
      <c r="X57">
        <f t="shared" ref="X57:BA57" si="42">IF(AND(X$37-$A57&gt;$V$25,SUM($W57:W57)&lt;&gt;$V57),$V57,0)</f>
        <v>0</v>
      </c>
      <c r="Y57">
        <f t="shared" si="42"/>
        <v>0</v>
      </c>
      <c r="Z57">
        <f t="shared" si="42"/>
        <v>0</v>
      </c>
      <c r="AA57">
        <f t="shared" si="42"/>
        <v>0</v>
      </c>
      <c r="AB57">
        <f t="shared" si="42"/>
        <v>0</v>
      </c>
      <c r="AC57">
        <f t="shared" si="42"/>
        <v>0</v>
      </c>
      <c r="AD57">
        <f t="shared" si="42"/>
        <v>0</v>
      </c>
      <c r="AE57">
        <f t="shared" si="42"/>
        <v>0</v>
      </c>
      <c r="AF57">
        <f t="shared" si="42"/>
        <v>0</v>
      </c>
      <c r="AG57">
        <f t="shared" si="42"/>
        <v>0</v>
      </c>
      <c r="AH57">
        <f t="shared" si="42"/>
        <v>0</v>
      </c>
      <c r="AI57">
        <f t="shared" si="42"/>
        <v>0</v>
      </c>
      <c r="AJ57">
        <f t="shared" si="42"/>
        <v>0</v>
      </c>
      <c r="AK57">
        <f t="shared" si="42"/>
        <v>0</v>
      </c>
      <c r="AL57">
        <f t="shared" si="42"/>
        <v>0</v>
      </c>
      <c r="AM57">
        <f t="shared" si="42"/>
        <v>0</v>
      </c>
      <c r="AN57">
        <f t="shared" si="42"/>
        <v>0</v>
      </c>
      <c r="AO57">
        <f t="shared" si="42"/>
        <v>0</v>
      </c>
      <c r="AP57">
        <f t="shared" si="42"/>
        <v>0</v>
      </c>
      <c r="AQ57">
        <f t="shared" si="42"/>
        <v>0</v>
      </c>
      <c r="AR57">
        <f t="shared" si="42"/>
        <v>0</v>
      </c>
      <c r="AS57">
        <f t="shared" si="42"/>
        <v>0</v>
      </c>
      <c r="AT57">
        <f t="shared" si="42"/>
        <v>0</v>
      </c>
      <c r="AU57">
        <f t="shared" si="42"/>
        <v>57.5</v>
      </c>
      <c r="AV57">
        <f t="shared" si="42"/>
        <v>0</v>
      </c>
      <c r="AW57">
        <f t="shared" si="42"/>
        <v>0</v>
      </c>
      <c r="AX57">
        <f t="shared" si="42"/>
        <v>0</v>
      </c>
      <c r="AY57">
        <f t="shared" si="42"/>
        <v>0</v>
      </c>
      <c r="AZ57">
        <f t="shared" si="42"/>
        <v>0</v>
      </c>
      <c r="BA57">
        <f t="shared" si="42"/>
        <v>0</v>
      </c>
    </row>
    <row r="58" spans="1:53" ht="15.75" customHeight="1">
      <c r="A58" s="362">
        <v>1964</v>
      </c>
      <c r="B58" s="350"/>
      <c r="C58" s="350"/>
      <c r="D58" s="350"/>
      <c r="E58" s="350"/>
      <c r="F58" s="350"/>
      <c r="G58" s="350"/>
      <c r="H58" s="350"/>
      <c r="I58" s="350"/>
      <c r="J58" s="350"/>
      <c r="K58" s="350"/>
      <c r="L58" s="350"/>
      <c r="M58" s="350"/>
      <c r="N58" s="350"/>
      <c r="O58" s="350"/>
      <c r="P58" s="350"/>
      <c r="Q58" s="350"/>
      <c r="R58" s="350"/>
      <c r="S58" s="350"/>
      <c r="T58" s="350"/>
      <c r="U58" s="350"/>
      <c r="V58" s="127">
        <v>58.1</v>
      </c>
      <c r="W58">
        <f t="shared" si="22"/>
        <v>0</v>
      </c>
      <c r="X58">
        <f t="shared" ref="X58:BA58" si="43">IF(AND(X$37-$A58&gt;$V$25,SUM($W58:W58)&lt;&gt;$V58),$V58,0)</f>
        <v>0</v>
      </c>
      <c r="Y58">
        <f t="shared" si="43"/>
        <v>0</v>
      </c>
      <c r="Z58">
        <f t="shared" si="43"/>
        <v>0</v>
      </c>
      <c r="AA58">
        <f t="shared" si="43"/>
        <v>0</v>
      </c>
      <c r="AB58">
        <f t="shared" si="43"/>
        <v>0</v>
      </c>
      <c r="AC58">
        <f t="shared" si="43"/>
        <v>0</v>
      </c>
      <c r="AD58">
        <f t="shared" si="43"/>
        <v>0</v>
      </c>
      <c r="AE58">
        <f t="shared" si="43"/>
        <v>0</v>
      </c>
      <c r="AF58">
        <f t="shared" si="43"/>
        <v>0</v>
      </c>
      <c r="AG58">
        <f t="shared" si="43"/>
        <v>0</v>
      </c>
      <c r="AH58">
        <f t="shared" si="43"/>
        <v>0</v>
      </c>
      <c r="AI58">
        <f t="shared" si="43"/>
        <v>0</v>
      </c>
      <c r="AJ58">
        <f t="shared" si="43"/>
        <v>0</v>
      </c>
      <c r="AK58">
        <f t="shared" si="43"/>
        <v>0</v>
      </c>
      <c r="AL58">
        <f t="shared" si="43"/>
        <v>0</v>
      </c>
      <c r="AM58">
        <f t="shared" si="43"/>
        <v>0</v>
      </c>
      <c r="AN58">
        <f t="shared" si="43"/>
        <v>0</v>
      </c>
      <c r="AO58">
        <f t="shared" si="43"/>
        <v>0</v>
      </c>
      <c r="AP58">
        <f t="shared" si="43"/>
        <v>0</v>
      </c>
      <c r="AQ58">
        <f t="shared" si="43"/>
        <v>0</v>
      </c>
      <c r="AR58">
        <f t="shared" si="43"/>
        <v>0</v>
      </c>
      <c r="AS58">
        <f t="shared" si="43"/>
        <v>0</v>
      </c>
      <c r="AT58">
        <f t="shared" si="43"/>
        <v>0</v>
      </c>
      <c r="AU58">
        <f t="shared" si="43"/>
        <v>0</v>
      </c>
      <c r="AV58">
        <f t="shared" si="43"/>
        <v>58.1</v>
      </c>
      <c r="AW58">
        <f t="shared" si="43"/>
        <v>0</v>
      </c>
      <c r="AX58">
        <f t="shared" si="43"/>
        <v>0</v>
      </c>
      <c r="AY58">
        <f t="shared" si="43"/>
        <v>0</v>
      </c>
      <c r="AZ58">
        <f t="shared" si="43"/>
        <v>0</v>
      </c>
      <c r="BA58">
        <f t="shared" si="43"/>
        <v>0</v>
      </c>
    </row>
    <row r="59" spans="1:53" ht="15.75" customHeight="1">
      <c r="A59" s="362">
        <v>1965</v>
      </c>
      <c r="B59" s="350"/>
      <c r="C59" s="350"/>
      <c r="D59" s="350"/>
      <c r="E59" s="350"/>
      <c r="F59" s="350"/>
      <c r="G59" s="350"/>
      <c r="H59" s="350"/>
      <c r="I59" s="350"/>
      <c r="J59" s="350"/>
      <c r="K59" s="350"/>
      <c r="L59" s="350"/>
      <c r="M59" s="350"/>
      <c r="N59" s="350"/>
      <c r="O59" s="350"/>
      <c r="P59" s="350"/>
      <c r="Q59" s="350"/>
      <c r="R59" s="350"/>
      <c r="S59" s="350"/>
      <c r="T59" s="350"/>
      <c r="U59" s="350"/>
      <c r="V59" s="127">
        <v>167.2</v>
      </c>
      <c r="W59">
        <f t="shared" si="22"/>
        <v>0</v>
      </c>
      <c r="X59">
        <f t="shared" ref="X59:BA59" si="44">IF(AND(X$37-$A59&gt;$V$25,SUM($W59:W59)&lt;&gt;$V59),$V59,0)</f>
        <v>0</v>
      </c>
      <c r="Y59">
        <f t="shared" si="44"/>
        <v>0</v>
      </c>
      <c r="Z59">
        <f t="shared" si="44"/>
        <v>0</v>
      </c>
      <c r="AA59">
        <f t="shared" si="44"/>
        <v>0</v>
      </c>
      <c r="AB59">
        <f t="shared" si="44"/>
        <v>0</v>
      </c>
      <c r="AC59">
        <f t="shared" si="44"/>
        <v>0</v>
      </c>
      <c r="AD59">
        <f t="shared" si="44"/>
        <v>0</v>
      </c>
      <c r="AE59">
        <f t="shared" si="44"/>
        <v>0</v>
      </c>
      <c r="AF59">
        <f t="shared" si="44"/>
        <v>0</v>
      </c>
      <c r="AG59">
        <f t="shared" si="44"/>
        <v>0</v>
      </c>
      <c r="AH59">
        <f t="shared" si="44"/>
        <v>0</v>
      </c>
      <c r="AI59">
        <f t="shared" si="44"/>
        <v>0</v>
      </c>
      <c r="AJ59">
        <f t="shared" si="44"/>
        <v>0</v>
      </c>
      <c r="AK59">
        <f t="shared" si="44"/>
        <v>0</v>
      </c>
      <c r="AL59">
        <f t="shared" si="44"/>
        <v>0</v>
      </c>
      <c r="AM59">
        <f t="shared" si="44"/>
        <v>0</v>
      </c>
      <c r="AN59">
        <f t="shared" si="44"/>
        <v>0</v>
      </c>
      <c r="AO59">
        <f t="shared" si="44"/>
        <v>0</v>
      </c>
      <c r="AP59">
        <f t="shared" si="44"/>
        <v>0</v>
      </c>
      <c r="AQ59">
        <f t="shared" si="44"/>
        <v>0</v>
      </c>
      <c r="AR59">
        <f t="shared" si="44"/>
        <v>0</v>
      </c>
      <c r="AS59">
        <f t="shared" si="44"/>
        <v>0</v>
      </c>
      <c r="AT59">
        <f t="shared" si="44"/>
        <v>0</v>
      </c>
      <c r="AU59">
        <f t="shared" si="44"/>
        <v>0</v>
      </c>
      <c r="AV59">
        <f t="shared" si="44"/>
        <v>0</v>
      </c>
      <c r="AW59">
        <f t="shared" si="44"/>
        <v>167.2</v>
      </c>
      <c r="AX59">
        <f t="shared" si="44"/>
        <v>0</v>
      </c>
      <c r="AY59">
        <f t="shared" si="44"/>
        <v>0</v>
      </c>
      <c r="AZ59">
        <f t="shared" si="44"/>
        <v>0</v>
      </c>
      <c r="BA59">
        <f t="shared" si="44"/>
        <v>0</v>
      </c>
    </row>
    <row r="60" spans="1:53" ht="15.75" customHeight="1">
      <c r="A60" s="362">
        <v>1966</v>
      </c>
      <c r="B60" s="350"/>
      <c r="C60" s="350"/>
      <c r="D60" s="350"/>
      <c r="E60" s="350"/>
      <c r="F60" s="350"/>
      <c r="G60" s="350"/>
      <c r="H60" s="350"/>
      <c r="I60" s="350"/>
      <c r="J60" s="350"/>
      <c r="K60" s="350"/>
      <c r="L60" s="350"/>
      <c r="M60" s="350"/>
      <c r="N60" s="350"/>
      <c r="O60" s="350"/>
      <c r="P60" s="350"/>
      <c r="Q60" s="350"/>
      <c r="R60" s="350"/>
      <c r="S60" s="350"/>
      <c r="T60" s="350"/>
      <c r="U60" s="350"/>
      <c r="V60" s="127">
        <v>179.8</v>
      </c>
      <c r="W60">
        <f t="shared" si="22"/>
        <v>0</v>
      </c>
      <c r="X60">
        <f t="shared" ref="X60:BA60" si="45">IF(AND(X$37-$A60&gt;$V$25,SUM($W60:W60)&lt;&gt;$V60),$V60,0)</f>
        <v>0</v>
      </c>
      <c r="Y60">
        <f t="shared" si="45"/>
        <v>0</v>
      </c>
      <c r="Z60">
        <f t="shared" si="45"/>
        <v>0</v>
      </c>
      <c r="AA60">
        <f t="shared" si="45"/>
        <v>0</v>
      </c>
      <c r="AB60">
        <f t="shared" si="45"/>
        <v>0</v>
      </c>
      <c r="AC60">
        <f t="shared" si="45"/>
        <v>0</v>
      </c>
      <c r="AD60">
        <f t="shared" si="45"/>
        <v>0</v>
      </c>
      <c r="AE60">
        <f t="shared" si="45"/>
        <v>0</v>
      </c>
      <c r="AF60">
        <f t="shared" si="45"/>
        <v>0</v>
      </c>
      <c r="AG60">
        <f t="shared" si="45"/>
        <v>0</v>
      </c>
      <c r="AH60">
        <f t="shared" si="45"/>
        <v>0</v>
      </c>
      <c r="AI60">
        <f t="shared" si="45"/>
        <v>0</v>
      </c>
      <c r="AJ60">
        <f t="shared" si="45"/>
        <v>0</v>
      </c>
      <c r="AK60">
        <f t="shared" si="45"/>
        <v>0</v>
      </c>
      <c r="AL60">
        <f t="shared" si="45"/>
        <v>0</v>
      </c>
      <c r="AM60">
        <f t="shared" si="45"/>
        <v>0</v>
      </c>
      <c r="AN60">
        <f t="shared" si="45"/>
        <v>0</v>
      </c>
      <c r="AO60">
        <f t="shared" si="45"/>
        <v>0</v>
      </c>
      <c r="AP60">
        <f t="shared" si="45"/>
        <v>0</v>
      </c>
      <c r="AQ60">
        <f t="shared" si="45"/>
        <v>0</v>
      </c>
      <c r="AR60">
        <f t="shared" si="45"/>
        <v>0</v>
      </c>
      <c r="AS60">
        <f t="shared" si="45"/>
        <v>0</v>
      </c>
      <c r="AT60">
        <f t="shared" si="45"/>
        <v>0</v>
      </c>
      <c r="AU60">
        <f t="shared" si="45"/>
        <v>0</v>
      </c>
      <c r="AV60">
        <f t="shared" si="45"/>
        <v>0</v>
      </c>
      <c r="AW60">
        <f t="shared" si="45"/>
        <v>0</v>
      </c>
      <c r="AX60">
        <f t="shared" si="45"/>
        <v>179.8</v>
      </c>
      <c r="AY60">
        <f t="shared" si="45"/>
        <v>0</v>
      </c>
      <c r="AZ60">
        <f t="shared" si="45"/>
        <v>0</v>
      </c>
      <c r="BA60">
        <f t="shared" si="45"/>
        <v>0</v>
      </c>
    </row>
    <row r="61" spans="1:53" ht="15.75" customHeight="1">
      <c r="A61" s="362">
        <v>1967</v>
      </c>
      <c r="B61" s="350"/>
      <c r="C61" s="350"/>
      <c r="D61" s="350"/>
      <c r="E61" s="350"/>
      <c r="F61" s="350"/>
      <c r="G61" s="350"/>
      <c r="H61" s="350"/>
      <c r="I61" s="350"/>
      <c r="J61" s="350"/>
      <c r="K61" s="350"/>
      <c r="L61" s="350"/>
      <c r="M61" s="350"/>
      <c r="N61" s="350"/>
      <c r="O61" s="350"/>
      <c r="P61" s="350"/>
      <c r="Q61" s="350"/>
      <c r="R61" s="350"/>
      <c r="S61" s="350"/>
      <c r="T61" s="350"/>
      <c r="U61" s="350"/>
      <c r="V61" s="127">
        <v>139.4</v>
      </c>
      <c r="W61">
        <f t="shared" si="22"/>
        <v>0</v>
      </c>
      <c r="X61">
        <f t="shared" ref="X61:BA61" si="46">IF(AND(X$37-$A61&gt;$V$25,SUM($W61:W61)&lt;&gt;$V61),$V61,0)</f>
        <v>0</v>
      </c>
      <c r="Y61">
        <f t="shared" si="46"/>
        <v>0</v>
      </c>
      <c r="Z61">
        <f t="shared" si="46"/>
        <v>0</v>
      </c>
      <c r="AA61">
        <f t="shared" si="46"/>
        <v>0</v>
      </c>
      <c r="AB61">
        <f t="shared" si="46"/>
        <v>0</v>
      </c>
      <c r="AC61">
        <f t="shared" si="46"/>
        <v>0</v>
      </c>
      <c r="AD61">
        <f t="shared" si="46"/>
        <v>0</v>
      </c>
      <c r="AE61">
        <f t="shared" si="46"/>
        <v>0</v>
      </c>
      <c r="AF61">
        <f t="shared" si="46"/>
        <v>0</v>
      </c>
      <c r="AG61">
        <f t="shared" si="46"/>
        <v>0</v>
      </c>
      <c r="AH61">
        <f t="shared" si="46"/>
        <v>0</v>
      </c>
      <c r="AI61">
        <f t="shared" si="46"/>
        <v>0</v>
      </c>
      <c r="AJ61">
        <f t="shared" si="46"/>
        <v>0</v>
      </c>
      <c r="AK61">
        <f t="shared" si="46"/>
        <v>0</v>
      </c>
      <c r="AL61">
        <f t="shared" si="46"/>
        <v>0</v>
      </c>
      <c r="AM61">
        <f t="shared" si="46"/>
        <v>0</v>
      </c>
      <c r="AN61">
        <f t="shared" si="46"/>
        <v>0</v>
      </c>
      <c r="AO61">
        <f t="shared" si="46"/>
        <v>0</v>
      </c>
      <c r="AP61">
        <f t="shared" si="46"/>
        <v>0</v>
      </c>
      <c r="AQ61">
        <f t="shared" si="46"/>
        <v>0</v>
      </c>
      <c r="AR61">
        <f t="shared" si="46"/>
        <v>0</v>
      </c>
      <c r="AS61">
        <f t="shared" si="46"/>
        <v>0</v>
      </c>
      <c r="AT61">
        <f t="shared" si="46"/>
        <v>0</v>
      </c>
      <c r="AU61">
        <f t="shared" si="46"/>
        <v>0</v>
      </c>
      <c r="AV61">
        <f t="shared" si="46"/>
        <v>0</v>
      </c>
      <c r="AW61">
        <f t="shared" si="46"/>
        <v>0</v>
      </c>
      <c r="AX61">
        <f t="shared" si="46"/>
        <v>0</v>
      </c>
      <c r="AY61">
        <f t="shared" si="46"/>
        <v>139.4</v>
      </c>
      <c r="AZ61">
        <f t="shared" si="46"/>
        <v>0</v>
      </c>
      <c r="BA61">
        <f t="shared" si="46"/>
        <v>0</v>
      </c>
    </row>
    <row r="62" spans="1:53" ht="15.75" customHeight="1">
      <c r="A62" s="362">
        <v>1968</v>
      </c>
      <c r="B62" s="350"/>
      <c r="C62" s="350"/>
      <c r="D62" s="350"/>
      <c r="E62" s="350"/>
      <c r="F62" s="350"/>
      <c r="G62" s="350"/>
      <c r="H62" s="350"/>
      <c r="I62" s="350"/>
      <c r="J62" s="350"/>
      <c r="K62" s="350"/>
      <c r="L62" s="350"/>
      <c r="M62" s="350"/>
      <c r="N62" s="350"/>
      <c r="O62" s="350"/>
      <c r="P62" s="350"/>
      <c r="Q62" s="350"/>
      <c r="R62" s="350"/>
      <c r="S62" s="350"/>
      <c r="T62" s="350"/>
      <c r="U62" s="350"/>
      <c r="V62" s="127">
        <v>177.5</v>
      </c>
      <c r="W62">
        <f t="shared" si="22"/>
        <v>0</v>
      </c>
      <c r="X62">
        <f t="shared" ref="X62:BA62" si="47">IF(AND(X$37-$A62&gt;$V$25,SUM($W62:W62)&lt;&gt;$V62),$V62,0)</f>
        <v>0</v>
      </c>
      <c r="Y62">
        <f t="shared" si="47"/>
        <v>0</v>
      </c>
      <c r="Z62">
        <f t="shared" si="47"/>
        <v>0</v>
      </c>
      <c r="AA62">
        <f t="shared" si="47"/>
        <v>0</v>
      </c>
      <c r="AB62">
        <f t="shared" si="47"/>
        <v>0</v>
      </c>
      <c r="AC62">
        <f t="shared" si="47"/>
        <v>0</v>
      </c>
      <c r="AD62">
        <f t="shared" si="47"/>
        <v>0</v>
      </c>
      <c r="AE62">
        <f t="shared" si="47"/>
        <v>0</v>
      </c>
      <c r="AF62">
        <f t="shared" si="47"/>
        <v>0</v>
      </c>
      <c r="AG62">
        <f t="shared" si="47"/>
        <v>0</v>
      </c>
      <c r="AH62">
        <f t="shared" si="47"/>
        <v>0</v>
      </c>
      <c r="AI62">
        <f t="shared" si="47"/>
        <v>0</v>
      </c>
      <c r="AJ62">
        <f t="shared" si="47"/>
        <v>0</v>
      </c>
      <c r="AK62">
        <f t="shared" si="47"/>
        <v>0</v>
      </c>
      <c r="AL62">
        <f t="shared" si="47"/>
        <v>0</v>
      </c>
      <c r="AM62">
        <f t="shared" si="47"/>
        <v>0</v>
      </c>
      <c r="AN62">
        <f t="shared" si="47"/>
        <v>0</v>
      </c>
      <c r="AO62">
        <f t="shared" si="47"/>
        <v>0</v>
      </c>
      <c r="AP62">
        <f t="shared" si="47"/>
        <v>0</v>
      </c>
      <c r="AQ62">
        <f t="shared" si="47"/>
        <v>0</v>
      </c>
      <c r="AR62">
        <f t="shared" si="47"/>
        <v>0</v>
      </c>
      <c r="AS62">
        <f t="shared" si="47"/>
        <v>0</v>
      </c>
      <c r="AT62">
        <f t="shared" si="47"/>
        <v>0</v>
      </c>
      <c r="AU62">
        <f t="shared" si="47"/>
        <v>0</v>
      </c>
      <c r="AV62">
        <f t="shared" si="47"/>
        <v>0</v>
      </c>
      <c r="AW62">
        <f t="shared" si="47"/>
        <v>0</v>
      </c>
      <c r="AX62">
        <f t="shared" si="47"/>
        <v>0</v>
      </c>
      <c r="AY62">
        <f t="shared" si="47"/>
        <v>0</v>
      </c>
      <c r="AZ62">
        <f t="shared" si="47"/>
        <v>177.5</v>
      </c>
      <c r="BA62">
        <f t="shared" si="47"/>
        <v>0</v>
      </c>
    </row>
    <row r="63" spans="1:53" ht="15.75" customHeight="1">
      <c r="A63" s="362">
        <v>1969</v>
      </c>
      <c r="B63" s="350"/>
      <c r="C63" s="350"/>
      <c r="D63" s="350"/>
      <c r="E63" s="350"/>
      <c r="F63" s="350"/>
      <c r="G63" s="350"/>
      <c r="H63" s="350"/>
      <c r="I63" s="350"/>
      <c r="J63" s="350"/>
      <c r="K63" s="350"/>
      <c r="L63" s="350"/>
      <c r="M63" s="350"/>
      <c r="N63" s="350"/>
      <c r="O63" s="350"/>
      <c r="P63" s="350"/>
      <c r="Q63" s="350"/>
      <c r="R63" s="350"/>
      <c r="S63" s="350"/>
      <c r="T63" s="350"/>
      <c r="U63" s="350"/>
      <c r="V63" s="127">
        <v>137.19999999999999</v>
      </c>
      <c r="W63">
        <f t="shared" si="22"/>
        <v>0</v>
      </c>
      <c r="X63">
        <f t="shared" ref="X63:AZ63" si="48">IF(AND(X$37-$A63&gt;$V$25,SUM($W63:W63)&lt;&gt;$V63),$V63,0)</f>
        <v>0</v>
      </c>
      <c r="Y63">
        <f t="shared" si="48"/>
        <v>0</v>
      </c>
      <c r="Z63">
        <f t="shared" si="48"/>
        <v>0</v>
      </c>
      <c r="AA63">
        <f t="shared" si="48"/>
        <v>0</v>
      </c>
      <c r="AB63">
        <f t="shared" si="48"/>
        <v>0</v>
      </c>
      <c r="AC63">
        <f t="shared" si="48"/>
        <v>0</v>
      </c>
      <c r="AD63">
        <f t="shared" si="48"/>
        <v>0</v>
      </c>
      <c r="AE63">
        <f t="shared" si="48"/>
        <v>0</v>
      </c>
      <c r="AF63">
        <f t="shared" si="48"/>
        <v>0</v>
      </c>
      <c r="AG63">
        <f t="shared" si="48"/>
        <v>0</v>
      </c>
      <c r="AH63">
        <f t="shared" si="48"/>
        <v>0</v>
      </c>
      <c r="AI63">
        <f t="shared" si="48"/>
        <v>0</v>
      </c>
      <c r="AJ63">
        <f t="shared" si="48"/>
        <v>0</v>
      </c>
      <c r="AK63">
        <f t="shared" si="48"/>
        <v>0</v>
      </c>
      <c r="AL63">
        <f t="shared" si="48"/>
        <v>0</v>
      </c>
      <c r="AM63">
        <f t="shared" si="48"/>
        <v>0</v>
      </c>
      <c r="AN63">
        <f t="shared" si="48"/>
        <v>0</v>
      </c>
      <c r="AO63">
        <f t="shared" si="48"/>
        <v>0</v>
      </c>
      <c r="AP63">
        <f t="shared" si="48"/>
        <v>0</v>
      </c>
      <c r="AQ63">
        <f t="shared" si="48"/>
        <v>0</v>
      </c>
      <c r="AR63">
        <f t="shared" si="48"/>
        <v>0</v>
      </c>
      <c r="AS63">
        <f t="shared" si="48"/>
        <v>0</v>
      </c>
      <c r="AT63">
        <f t="shared" si="48"/>
        <v>0</v>
      </c>
      <c r="AU63">
        <f t="shared" si="48"/>
        <v>0</v>
      </c>
      <c r="AV63">
        <f t="shared" si="48"/>
        <v>0</v>
      </c>
      <c r="AW63">
        <f t="shared" si="48"/>
        <v>0</v>
      </c>
      <c r="AX63">
        <f t="shared" si="48"/>
        <v>0</v>
      </c>
      <c r="AY63">
        <f t="shared" si="48"/>
        <v>0</v>
      </c>
      <c r="AZ63">
        <f t="shared" si="48"/>
        <v>0</v>
      </c>
    </row>
    <row r="64" spans="1:53" ht="15.75" customHeight="1">
      <c r="A64" s="362">
        <v>1970</v>
      </c>
      <c r="V64" s="127">
        <v>61</v>
      </c>
      <c r="W64">
        <f t="shared" si="22"/>
        <v>0</v>
      </c>
      <c r="X64">
        <f t="shared" ref="X64:AZ64" si="49">IF(AND(X$37-$A64&gt;$V$25,SUM($W64:W64)&lt;&gt;$V64),$V64,0)</f>
        <v>0</v>
      </c>
      <c r="Y64">
        <f t="shared" si="49"/>
        <v>0</v>
      </c>
      <c r="Z64">
        <f t="shared" si="49"/>
        <v>0</v>
      </c>
      <c r="AA64">
        <f t="shared" si="49"/>
        <v>0</v>
      </c>
      <c r="AB64">
        <f t="shared" si="49"/>
        <v>0</v>
      </c>
      <c r="AC64">
        <f t="shared" si="49"/>
        <v>0</v>
      </c>
      <c r="AD64">
        <f t="shared" si="49"/>
        <v>0</v>
      </c>
      <c r="AE64">
        <f t="shared" si="49"/>
        <v>0</v>
      </c>
      <c r="AF64">
        <f t="shared" si="49"/>
        <v>0</v>
      </c>
      <c r="AG64">
        <f t="shared" si="49"/>
        <v>0</v>
      </c>
      <c r="AH64">
        <f t="shared" si="49"/>
        <v>0</v>
      </c>
      <c r="AI64">
        <f t="shared" si="49"/>
        <v>0</v>
      </c>
      <c r="AJ64">
        <f t="shared" si="49"/>
        <v>0</v>
      </c>
      <c r="AK64">
        <f t="shared" si="49"/>
        <v>0</v>
      </c>
      <c r="AL64">
        <f t="shared" si="49"/>
        <v>0</v>
      </c>
      <c r="AM64">
        <f t="shared" si="49"/>
        <v>0</v>
      </c>
      <c r="AN64">
        <f t="shared" si="49"/>
        <v>0</v>
      </c>
      <c r="AO64">
        <f t="shared" si="49"/>
        <v>0</v>
      </c>
      <c r="AP64">
        <f t="shared" si="49"/>
        <v>0</v>
      </c>
      <c r="AQ64">
        <f t="shared" si="49"/>
        <v>0</v>
      </c>
      <c r="AR64">
        <f t="shared" si="49"/>
        <v>0</v>
      </c>
      <c r="AS64">
        <f t="shared" si="49"/>
        <v>0</v>
      </c>
      <c r="AT64">
        <f t="shared" si="49"/>
        <v>0</v>
      </c>
      <c r="AU64">
        <f t="shared" si="49"/>
        <v>0</v>
      </c>
      <c r="AV64">
        <f t="shared" si="49"/>
        <v>0</v>
      </c>
      <c r="AW64">
        <f t="shared" si="49"/>
        <v>0</v>
      </c>
      <c r="AX64">
        <f t="shared" si="49"/>
        <v>0</v>
      </c>
      <c r="AY64">
        <f t="shared" si="49"/>
        <v>0</v>
      </c>
      <c r="AZ64">
        <f t="shared" si="49"/>
        <v>0</v>
      </c>
    </row>
    <row r="65" spans="1:52" ht="15.75" customHeight="1">
      <c r="A65" s="362">
        <v>1971</v>
      </c>
      <c r="V65" s="127">
        <v>102.7</v>
      </c>
      <c r="W65">
        <f t="shared" si="22"/>
        <v>0</v>
      </c>
      <c r="X65">
        <f t="shared" ref="X65:AZ65" si="50">IF(AND(X$37-$A65&gt;$V$25,SUM($W65:W65)&lt;&gt;$V65),$V65,0)</f>
        <v>0</v>
      </c>
      <c r="Y65">
        <f t="shared" si="50"/>
        <v>0</v>
      </c>
      <c r="Z65">
        <f t="shared" si="50"/>
        <v>0</v>
      </c>
      <c r="AA65">
        <f t="shared" si="50"/>
        <v>0</v>
      </c>
      <c r="AB65">
        <f t="shared" si="50"/>
        <v>0</v>
      </c>
      <c r="AC65">
        <f t="shared" si="50"/>
        <v>0</v>
      </c>
      <c r="AD65">
        <f t="shared" si="50"/>
        <v>0</v>
      </c>
      <c r="AE65">
        <f t="shared" si="50"/>
        <v>0</v>
      </c>
      <c r="AF65">
        <f t="shared" si="50"/>
        <v>0</v>
      </c>
      <c r="AG65">
        <f t="shared" si="50"/>
        <v>0</v>
      </c>
      <c r="AH65">
        <f t="shared" si="50"/>
        <v>0</v>
      </c>
      <c r="AI65">
        <f t="shared" si="50"/>
        <v>0</v>
      </c>
      <c r="AJ65">
        <f t="shared" si="50"/>
        <v>0</v>
      </c>
      <c r="AK65">
        <f t="shared" si="50"/>
        <v>0</v>
      </c>
      <c r="AL65">
        <f t="shared" si="50"/>
        <v>0</v>
      </c>
      <c r="AM65">
        <f t="shared" si="50"/>
        <v>0</v>
      </c>
      <c r="AN65">
        <f t="shared" si="50"/>
        <v>0</v>
      </c>
      <c r="AO65">
        <f t="shared" si="50"/>
        <v>0</v>
      </c>
      <c r="AP65">
        <f t="shared" si="50"/>
        <v>0</v>
      </c>
      <c r="AQ65">
        <f t="shared" si="50"/>
        <v>0</v>
      </c>
      <c r="AR65">
        <f t="shared" si="50"/>
        <v>0</v>
      </c>
      <c r="AS65">
        <f t="shared" si="50"/>
        <v>0</v>
      </c>
      <c r="AT65">
        <f t="shared" si="50"/>
        <v>0</v>
      </c>
      <c r="AU65">
        <f t="shared" si="50"/>
        <v>0</v>
      </c>
      <c r="AV65">
        <f t="shared" si="50"/>
        <v>0</v>
      </c>
      <c r="AW65">
        <f t="shared" si="50"/>
        <v>0</v>
      </c>
      <c r="AX65">
        <f t="shared" si="50"/>
        <v>0</v>
      </c>
      <c r="AY65">
        <f t="shared" si="50"/>
        <v>0</v>
      </c>
      <c r="AZ65">
        <f t="shared" si="50"/>
        <v>0</v>
      </c>
    </row>
    <row r="66" spans="1:52" ht="15.75" customHeight="1">
      <c r="A66" s="362">
        <v>1972</v>
      </c>
      <c r="V66" s="127">
        <v>99.1</v>
      </c>
      <c r="W66">
        <f t="shared" si="22"/>
        <v>0</v>
      </c>
      <c r="X66">
        <f t="shared" ref="X66:AZ66" si="51">IF(AND(X$37-$A66&gt;$V$25,SUM($W66:W66)&lt;&gt;$V66),$V66,0)</f>
        <v>0</v>
      </c>
      <c r="Y66">
        <f t="shared" si="51"/>
        <v>0</v>
      </c>
      <c r="Z66">
        <f t="shared" si="51"/>
        <v>0</v>
      </c>
      <c r="AA66">
        <f t="shared" si="51"/>
        <v>0</v>
      </c>
      <c r="AB66">
        <f t="shared" si="51"/>
        <v>0</v>
      </c>
      <c r="AC66">
        <f t="shared" si="51"/>
        <v>0</v>
      </c>
      <c r="AD66">
        <f t="shared" si="51"/>
        <v>0</v>
      </c>
      <c r="AE66">
        <f t="shared" si="51"/>
        <v>0</v>
      </c>
      <c r="AF66">
        <f t="shared" si="51"/>
        <v>0</v>
      </c>
      <c r="AG66">
        <f t="shared" si="51"/>
        <v>0</v>
      </c>
      <c r="AH66">
        <f t="shared" si="51"/>
        <v>0</v>
      </c>
      <c r="AI66">
        <f t="shared" si="51"/>
        <v>0</v>
      </c>
      <c r="AJ66">
        <f t="shared" si="51"/>
        <v>0</v>
      </c>
      <c r="AK66">
        <f t="shared" si="51"/>
        <v>0</v>
      </c>
      <c r="AL66">
        <f t="shared" si="51"/>
        <v>0</v>
      </c>
      <c r="AM66">
        <f t="shared" si="51"/>
        <v>0</v>
      </c>
      <c r="AN66">
        <f t="shared" si="51"/>
        <v>0</v>
      </c>
      <c r="AO66">
        <f t="shared" si="51"/>
        <v>0</v>
      </c>
      <c r="AP66">
        <f t="shared" si="51"/>
        <v>0</v>
      </c>
      <c r="AQ66">
        <f t="shared" si="51"/>
        <v>0</v>
      </c>
      <c r="AR66">
        <f t="shared" si="51"/>
        <v>0</v>
      </c>
      <c r="AS66">
        <f t="shared" si="51"/>
        <v>0</v>
      </c>
      <c r="AT66">
        <f t="shared" si="51"/>
        <v>0</v>
      </c>
      <c r="AU66">
        <f t="shared" si="51"/>
        <v>0</v>
      </c>
      <c r="AV66">
        <f t="shared" si="51"/>
        <v>0</v>
      </c>
      <c r="AW66">
        <f t="shared" si="51"/>
        <v>0</v>
      </c>
      <c r="AX66">
        <f t="shared" si="51"/>
        <v>0</v>
      </c>
      <c r="AY66">
        <f t="shared" si="51"/>
        <v>0</v>
      </c>
      <c r="AZ66">
        <f t="shared" si="51"/>
        <v>0</v>
      </c>
    </row>
    <row r="67" spans="1:52" ht="15.75" customHeight="1">
      <c r="A67" s="362">
        <v>1973</v>
      </c>
      <c r="V67" s="127">
        <v>5</v>
      </c>
      <c r="W67">
        <f t="shared" si="22"/>
        <v>0</v>
      </c>
      <c r="X67">
        <f t="shared" ref="X67:AZ67" si="52">IF(AND(X$37-$A67&gt;$V$25,SUM($W67:W67)&lt;&gt;$V67),$V67,0)</f>
        <v>0</v>
      </c>
      <c r="Y67">
        <f t="shared" si="52"/>
        <v>0</v>
      </c>
      <c r="Z67">
        <f t="shared" si="52"/>
        <v>0</v>
      </c>
      <c r="AA67">
        <f t="shared" si="52"/>
        <v>0</v>
      </c>
      <c r="AB67">
        <f t="shared" si="52"/>
        <v>0</v>
      </c>
      <c r="AC67">
        <f t="shared" si="52"/>
        <v>0</v>
      </c>
      <c r="AD67">
        <f t="shared" si="52"/>
        <v>0</v>
      </c>
      <c r="AE67">
        <f t="shared" si="52"/>
        <v>0</v>
      </c>
      <c r="AF67">
        <f t="shared" si="52"/>
        <v>0</v>
      </c>
      <c r="AG67">
        <f t="shared" si="52"/>
        <v>0</v>
      </c>
      <c r="AH67">
        <f t="shared" si="52"/>
        <v>0</v>
      </c>
      <c r="AI67">
        <f t="shared" si="52"/>
        <v>0</v>
      </c>
      <c r="AJ67">
        <f t="shared" si="52"/>
        <v>0</v>
      </c>
      <c r="AK67">
        <f t="shared" si="52"/>
        <v>0</v>
      </c>
      <c r="AL67">
        <f t="shared" si="52"/>
        <v>0</v>
      </c>
      <c r="AM67">
        <f t="shared" si="52"/>
        <v>0</v>
      </c>
      <c r="AN67">
        <f t="shared" si="52"/>
        <v>0</v>
      </c>
      <c r="AO67">
        <f t="shared" si="52"/>
        <v>0</v>
      </c>
      <c r="AP67">
        <f t="shared" si="52"/>
        <v>0</v>
      </c>
      <c r="AQ67">
        <f t="shared" si="52"/>
        <v>0</v>
      </c>
      <c r="AR67">
        <f t="shared" si="52"/>
        <v>0</v>
      </c>
      <c r="AS67">
        <f t="shared" si="52"/>
        <v>0</v>
      </c>
      <c r="AT67">
        <f t="shared" si="52"/>
        <v>0</v>
      </c>
      <c r="AU67">
        <f t="shared" si="52"/>
        <v>0</v>
      </c>
      <c r="AV67">
        <f t="shared" si="52"/>
        <v>0</v>
      </c>
      <c r="AW67">
        <f t="shared" si="52"/>
        <v>0</v>
      </c>
      <c r="AX67">
        <f t="shared" si="52"/>
        <v>0</v>
      </c>
      <c r="AY67">
        <f t="shared" si="52"/>
        <v>0</v>
      </c>
      <c r="AZ67">
        <f t="shared" si="52"/>
        <v>0</v>
      </c>
    </row>
    <row r="68" spans="1:52" ht="15.75" customHeight="1">
      <c r="A68" s="362">
        <v>1974</v>
      </c>
      <c r="V68" s="127">
        <v>46</v>
      </c>
      <c r="W68">
        <f t="shared" si="22"/>
        <v>0</v>
      </c>
      <c r="X68">
        <f t="shared" ref="X68:AZ68" si="53">IF(AND(X$37-$A68&gt;$V$25,SUM($W68:W68)&lt;&gt;$V68),$V68,0)</f>
        <v>0</v>
      </c>
      <c r="Y68">
        <f t="shared" si="53"/>
        <v>0</v>
      </c>
      <c r="Z68">
        <f t="shared" si="53"/>
        <v>0</v>
      </c>
      <c r="AA68">
        <f t="shared" si="53"/>
        <v>0</v>
      </c>
      <c r="AB68">
        <f t="shared" si="53"/>
        <v>0</v>
      </c>
      <c r="AC68">
        <f t="shared" si="53"/>
        <v>0</v>
      </c>
      <c r="AD68">
        <f t="shared" si="53"/>
        <v>0</v>
      </c>
      <c r="AE68">
        <f t="shared" si="53"/>
        <v>0</v>
      </c>
      <c r="AF68">
        <f t="shared" si="53"/>
        <v>0</v>
      </c>
      <c r="AG68">
        <f t="shared" si="53"/>
        <v>0</v>
      </c>
      <c r="AH68">
        <f t="shared" si="53"/>
        <v>0</v>
      </c>
      <c r="AI68">
        <f t="shared" si="53"/>
        <v>0</v>
      </c>
      <c r="AJ68">
        <f t="shared" si="53"/>
        <v>0</v>
      </c>
      <c r="AK68">
        <f t="shared" si="53"/>
        <v>0</v>
      </c>
      <c r="AL68">
        <f t="shared" si="53"/>
        <v>0</v>
      </c>
      <c r="AM68">
        <f t="shared" si="53"/>
        <v>0</v>
      </c>
      <c r="AN68">
        <f t="shared" si="53"/>
        <v>0</v>
      </c>
      <c r="AO68">
        <f t="shared" si="53"/>
        <v>0</v>
      </c>
      <c r="AP68">
        <f t="shared" si="53"/>
        <v>0</v>
      </c>
      <c r="AQ68">
        <f t="shared" si="53"/>
        <v>0</v>
      </c>
      <c r="AR68">
        <f t="shared" si="53"/>
        <v>0</v>
      </c>
      <c r="AS68">
        <f t="shared" si="53"/>
        <v>0</v>
      </c>
      <c r="AT68">
        <f t="shared" si="53"/>
        <v>0</v>
      </c>
      <c r="AU68">
        <f t="shared" si="53"/>
        <v>0</v>
      </c>
      <c r="AV68">
        <f t="shared" si="53"/>
        <v>0</v>
      </c>
      <c r="AW68">
        <f t="shared" si="53"/>
        <v>0</v>
      </c>
      <c r="AX68">
        <f t="shared" si="53"/>
        <v>0</v>
      </c>
      <c r="AY68">
        <f t="shared" si="53"/>
        <v>0</v>
      </c>
      <c r="AZ68">
        <f t="shared" si="53"/>
        <v>0</v>
      </c>
    </row>
    <row r="69" spans="1:52" ht="15.75" customHeight="1">
      <c r="A69" s="362">
        <v>1976</v>
      </c>
      <c r="V69" s="127">
        <v>224.1</v>
      </c>
      <c r="W69">
        <f t="shared" si="22"/>
        <v>0</v>
      </c>
      <c r="X69">
        <f t="shared" ref="X69:AZ69" si="54">IF(AND(X$37-$A69&gt;$V$25,SUM($W69:W69)&lt;&gt;$V69),$V69,0)</f>
        <v>0</v>
      </c>
      <c r="Y69">
        <f t="shared" si="54"/>
        <v>0</v>
      </c>
      <c r="Z69">
        <f t="shared" si="54"/>
        <v>0</v>
      </c>
      <c r="AA69">
        <f t="shared" si="54"/>
        <v>0</v>
      </c>
      <c r="AB69">
        <f t="shared" si="54"/>
        <v>0</v>
      </c>
      <c r="AC69">
        <f t="shared" si="54"/>
        <v>0</v>
      </c>
      <c r="AD69">
        <f t="shared" si="54"/>
        <v>0</v>
      </c>
      <c r="AE69">
        <f t="shared" si="54"/>
        <v>0</v>
      </c>
      <c r="AF69">
        <f t="shared" si="54"/>
        <v>0</v>
      </c>
      <c r="AG69">
        <f t="shared" si="54"/>
        <v>0</v>
      </c>
      <c r="AH69">
        <f t="shared" si="54"/>
        <v>0</v>
      </c>
      <c r="AI69">
        <f t="shared" si="54"/>
        <v>0</v>
      </c>
      <c r="AJ69">
        <f t="shared" si="54"/>
        <v>0</v>
      </c>
      <c r="AK69">
        <f t="shared" si="54"/>
        <v>0</v>
      </c>
      <c r="AL69">
        <f t="shared" si="54"/>
        <v>0</v>
      </c>
      <c r="AM69">
        <f t="shared" si="54"/>
        <v>0</v>
      </c>
      <c r="AN69">
        <f t="shared" si="54"/>
        <v>0</v>
      </c>
      <c r="AO69">
        <f t="shared" si="54"/>
        <v>0</v>
      </c>
      <c r="AP69">
        <f t="shared" si="54"/>
        <v>0</v>
      </c>
      <c r="AQ69">
        <f t="shared" si="54"/>
        <v>0</v>
      </c>
      <c r="AR69">
        <f t="shared" si="54"/>
        <v>0</v>
      </c>
      <c r="AS69">
        <f t="shared" si="54"/>
        <v>0</v>
      </c>
      <c r="AT69">
        <f t="shared" si="54"/>
        <v>0</v>
      </c>
      <c r="AU69">
        <f t="shared" si="54"/>
        <v>0</v>
      </c>
      <c r="AV69">
        <f t="shared" si="54"/>
        <v>0</v>
      </c>
      <c r="AW69">
        <f t="shared" si="54"/>
        <v>0</v>
      </c>
      <c r="AX69">
        <f t="shared" si="54"/>
        <v>0</v>
      </c>
      <c r="AY69">
        <f t="shared" si="54"/>
        <v>0</v>
      </c>
      <c r="AZ69">
        <f t="shared" si="54"/>
        <v>0</v>
      </c>
    </row>
    <row r="70" spans="1:52" ht="15.75" customHeight="1">
      <c r="A70" s="362">
        <v>1977</v>
      </c>
      <c r="V70" s="127">
        <v>150.1</v>
      </c>
      <c r="W70">
        <f t="shared" si="22"/>
        <v>0</v>
      </c>
      <c r="X70">
        <f t="shared" ref="X70:AZ70" si="55">IF(AND(X$37-$A70&gt;$V$25,SUM($W70:W70)&lt;&gt;$V70),$V70,0)</f>
        <v>0</v>
      </c>
      <c r="Y70">
        <f t="shared" si="55"/>
        <v>0</v>
      </c>
      <c r="Z70">
        <f t="shared" si="55"/>
        <v>0</v>
      </c>
      <c r="AA70">
        <f t="shared" si="55"/>
        <v>0</v>
      </c>
      <c r="AB70">
        <f t="shared" si="55"/>
        <v>0</v>
      </c>
      <c r="AC70">
        <f t="shared" si="55"/>
        <v>0</v>
      </c>
      <c r="AD70">
        <f t="shared" si="55"/>
        <v>0</v>
      </c>
      <c r="AE70">
        <f t="shared" si="55"/>
        <v>0</v>
      </c>
      <c r="AF70">
        <f t="shared" si="55"/>
        <v>0</v>
      </c>
      <c r="AG70">
        <f t="shared" si="55"/>
        <v>0</v>
      </c>
      <c r="AH70">
        <f t="shared" si="55"/>
        <v>0</v>
      </c>
      <c r="AI70">
        <f t="shared" si="55"/>
        <v>0</v>
      </c>
      <c r="AJ70">
        <f t="shared" si="55"/>
        <v>0</v>
      </c>
      <c r="AK70">
        <f t="shared" si="55"/>
        <v>0</v>
      </c>
      <c r="AL70">
        <f t="shared" si="55"/>
        <v>0</v>
      </c>
      <c r="AM70">
        <f t="shared" si="55"/>
        <v>0</v>
      </c>
      <c r="AN70">
        <f t="shared" si="55"/>
        <v>0</v>
      </c>
      <c r="AO70">
        <f t="shared" si="55"/>
        <v>0</v>
      </c>
      <c r="AP70">
        <f t="shared" si="55"/>
        <v>0</v>
      </c>
      <c r="AQ70">
        <f t="shared" si="55"/>
        <v>0</v>
      </c>
      <c r="AR70">
        <f t="shared" si="55"/>
        <v>0</v>
      </c>
      <c r="AS70">
        <f t="shared" si="55"/>
        <v>0</v>
      </c>
      <c r="AT70">
        <f t="shared" si="55"/>
        <v>0</v>
      </c>
      <c r="AU70">
        <f t="shared" si="55"/>
        <v>0</v>
      </c>
      <c r="AV70">
        <f t="shared" si="55"/>
        <v>0</v>
      </c>
      <c r="AW70">
        <f t="shared" si="55"/>
        <v>0</v>
      </c>
      <c r="AX70">
        <f t="shared" si="55"/>
        <v>0</v>
      </c>
      <c r="AY70">
        <f t="shared" si="55"/>
        <v>0</v>
      </c>
      <c r="AZ70">
        <f t="shared" si="55"/>
        <v>0</v>
      </c>
    </row>
    <row r="71" spans="1:52" ht="15.75" customHeight="1">
      <c r="A71" s="362">
        <v>1978</v>
      </c>
      <c r="V71" s="127">
        <v>117.5</v>
      </c>
      <c r="W71">
        <f t="shared" si="22"/>
        <v>0</v>
      </c>
      <c r="X71">
        <f t="shared" ref="X71:AZ71" si="56">IF(AND(X$37-$A71&gt;$V$25,SUM($W71:W71)&lt;&gt;$V71),$V71,0)</f>
        <v>0</v>
      </c>
      <c r="Y71">
        <f t="shared" si="56"/>
        <v>0</v>
      </c>
      <c r="Z71">
        <f t="shared" si="56"/>
        <v>0</v>
      </c>
      <c r="AA71">
        <f t="shared" si="56"/>
        <v>0</v>
      </c>
      <c r="AB71">
        <f t="shared" si="56"/>
        <v>0</v>
      </c>
      <c r="AC71">
        <f t="shared" si="56"/>
        <v>0</v>
      </c>
      <c r="AD71">
        <f t="shared" si="56"/>
        <v>0</v>
      </c>
      <c r="AE71">
        <f t="shared" si="56"/>
        <v>0</v>
      </c>
      <c r="AF71">
        <f t="shared" si="56"/>
        <v>0</v>
      </c>
      <c r="AG71">
        <f t="shared" si="56"/>
        <v>0</v>
      </c>
      <c r="AH71">
        <f t="shared" si="56"/>
        <v>0</v>
      </c>
      <c r="AI71">
        <f t="shared" si="56"/>
        <v>0</v>
      </c>
      <c r="AJ71">
        <f t="shared" si="56"/>
        <v>0</v>
      </c>
      <c r="AK71">
        <f t="shared" si="56"/>
        <v>0</v>
      </c>
      <c r="AL71">
        <f t="shared" si="56"/>
        <v>0</v>
      </c>
      <c r="AM71">
        <f t="shared" si="56"/>
        <v>0</v>
      </c>
      <c r="AN71">
        <f t="shared" si="56"/>
        <v>0</v>
      </c>
      <c r="AO71">
        <f t="shared" si="56"/>
        <v>0</v>
      </c>
      <c r="AP71">
        <f t="shared" si="56"/>
        <v>0</v>
      </c>
      <c r="AQ71">
        <f t="shared" si="56"/>
        <v>0</v>
      </c>
      <c r="AR71">
        <f t="shared" si="56"/>
        <v>0</v>
      </c>
      <c r="AS71">
        <f t="shared" si="56"/>
        <v>0</v>
      </c>
      <c r="AT71">
        <f t="shared" si="56"/>
        <v>0</v>
      </c>
      <c r="AU71">
        <f t="shared" si="56"/>
        <v>0</v>
      </c>
      <c r="AV71">
        <f t="shared" si="56"/>
        <v>0</v>
      </c>
      <c r="AW71">
        <f t="shared" si="56"/>
        <v>0</v>
      </c>
      <c r="AX71">
        <f t="shared" si="56"/>
        <v>0</v>
      </c>
      <c r="AY71">
        <f t="shared" si="56"/>
        <v>0</v>
      </c>
      <c r="AZ71">
        <f t="shared" si="56"/>
        <v>0</v>
      </c>
    </row>
    <row r="72" spans="1:52" ht="15.75" customHeight="1">
      <c r="A72" s="362">
        <v>1979</v>
      </c>
      <c r="V72" s="127">
        <v>74.900000000000006</v>
      </c>
      <c r="W72">
        <f t="shared" si="22"/>
        <v>0</v>
      </c>
      <c r="X72">
        <f t="shared" ref="X72:AZ72" si="57">IF(AND(X$37-$A72&gt;$V$25,SUM($W72:W72)&lt;&gt;$V72),$V72,0)</f>
        <v>0</v>
      </c>
      <c r="Y72">
        <f t="shared" si="57"/>
        <v>0</v>
      </c>
      <c r="Z72">
        <f t="shared" si="57"/>
        <v>0</v>
      </c>
      <c r="AA72">
        <f t="shared" si="57"/>
        <v>0</v>
      </c>
      <c r="AB72">
        <f t="shared" si="57"/>
        <v>0</v>
      </c>
      <c r="AC72">
        <f t="shared" si="57"/>
        <v>0</v>
      </c>
      <c r="AD72">
        <f t="shared" si="57"/>
        <v>0</v>
      </c>
      <c r="AE72">
        <f t="shared" si="57"/>
        <v>0</v>
      </c>
      <c r="AF72">
        <f t="shared" si="57"/>
        <v>0</v>
      </c>
      <c r="AG72">
        <f t="shared" si="57"/>
        <v>0</v>
      </c>
      <c r="AH72">
        <f t="shared" si="57"/>
        <v>0</v>
      </c>
      <c r="AI72">
        <f t="shared" si="57"/>
        <v>0</v>
      </c>
      <c r="AJ72">
        <f t="shared" si="57"/>
        <v>0</v>
      </c>
      <c r="AK72">
        <f t="shared" si="57"/>
        <v>0</v>
      </c>
      <c r="AL72">
        <f t="shared" si="57"/>
        <v>0</v>
      </c>
      <c r="AM72">
        <f t="shared" si="57"/>
        <v>0</v>
      </c>
      <c r="AN72">
        <f t="shared" si="57"/>
        <v>0</v>
      </c>
      <c r="AO72">
        <f t="shared" si="57"/>
        <v>0</v>
      </c>
      <c r="AP72">
        <f t="shared" si="57"/>
        <v>0</v>
      </c>
      <c r="AQ72">
        <f t="shared" si="57"/>
        <v>0</v>
      </c>
      <c r="AR72">
        <f t="shared" si="57"/>
        <v>0</v>
      </c>
      <c r="AS72">
        <f t="shared" si="57"/>
        <v>0</v>
      </c>
      <c r="AT72">
        <f t="shared" si="57"/>
        <v>0</v>
      </c>
      <c r="AU72">
        <f t="shared" si="57"/>
        <v>0</v>
      </c>
      <c r="AV72">
        <f t="shared" si="57"/>
        <v>0</v>
      </c>
      <c r="AW72">
        <f t="shared" si="57"/>
        <v>0</v>
      </c>
      <c r="AX72">
        <f t="shared" si="57"/>
        <v>0</v>
      </c>
      <c r="AY72">
        <f t="shared" si="57"/>
        <v>0</v>
      </c>
      <c r="AZ72">
        <f t="shared" si="57"/>
        <v>0</v>
      </c>
    </row>
    <row r="73" spans="1:52" ht="15.75" customHeight="1">
      <c r="A73" s="362">
        <v>1980</v>
      </c>
      <c r="V73" s="127">
        <v>190.3</v>
      </c>
      <c r="W73">
        <f t="shared" si="22"/>
        <v>0</v>
      </c>
      <c r="X73">
        <f t="shared" ref="X73:AZ73" si="58">IF(AND(X$37-$A73&gt;$V$25,SUM($W73:W73)&lt;&gt;$V73),$V73,0)</f>
        <v>0</v>
      </c>
      <c r="Y73">
        <f t="shared" si="58"/>
        <v>0</v>
      </c>
      <c r="Z73">
        <f t="shared" si="58"/>
        <v>0</v>
      </c>
      <c r="AA73">
        <f t="shared" si="58"/>
        <v>0</v>
      </c>
      <c r="AB73">
        <f t="shared" si="58"/>
        <v>0</v>
      </c>
      <c r="AC73">
        <f t="shared" si="58"/>
        <v>0</v>
      </c>
      <c r="AD73">
        <f t="shared" si="58"/>
        <v>0</v>
      </c>
      <c r="AE73">
        <f t="shared" si="58"/>
        <v>0</v>
      </c>
      <c r="AF73">
        <f t="shared" si="58"/>
        <v>0</v>
      </c>
      <c r="AG73">
        <f t="shared" si="58"/>
        <v>0</v>
      </c>
      <c r="AH73">
        <f t="shared" si="58"/>
        <v>0</v>
      </c>
      <c r="AI73">
        <f t="shared" si="58"/>
        <v>0</v>
      </c>
      <c r="AJ73">
        <f t="shared" si="58"/>
        <v>0</v>
      </c>
      <c r="AK73">
        <f t="shared" si="58"/>
        <v>0</v>
      </c>
      <c r="AL73">
        <f t="shared" si="58"/>
        <v>0</v>
      </c>
      <c r="AM73">
        <f t="shared" si="58"/>
        <v>0</v>
      </c>
      <c r="AN73">
        <f t="shared" si="58"/>
        <v>0</v>
      </c>
      <c r="AO73">
        <f t="shared" si="58"/>
        <v>0</v>
      </c>
      <c r="AP73">
        <f t="shared" si="58"/>
        <v>0</v>
      </c>
      <c r="AQ73">
        <f t="shared" si="58"/>
        <v>0</v>
      </c>
      <c r="AR73">
        <f t="shared" si="58"/>
        <v>0</v>
      </c>
      <c r="AS73">
        <f t="shared" si="58"/>
        <v>0</v>
      </c>
      <c r="AT73">
        <f t="shared" si="58"/>
        <v>0</v>
      </c>
      <c r="AU73">
        <f t="shared" si="58"/>
        <v>0</v>
      </c>
      <c r="AV73">
        <f t="shared" si="58"/>
        <v>0</v>
      </c>
      <c r="AW73">
        <f t="shared" si="58"/>
        <v>0</v>
      </c>
      <c r="AX73">
        <f t="shared" si="58"/>
        <v>0</v>
      </c>
      <c r="AY73">
        <f t="shared" si="58"/>
        <v>0</v>
      </c>
      <c r="AZ73">
        <f t="shared" si="58"/>
        <v>0</v>
      </c>
    </row>
    <row r="74" spans="1:52" ht="15.75" customHeight="1">
      <c r="A74" s="362">
        <v>1981</v>
      </c>
      <c r="V74" s="127">
        <v>221.3</v>
      </c>
      <c r="W74">
        <f t="shared" si="22"/>
        <v>0</v>
      </c>
      <c r="X74">
        <f t="shared" ref="X74:AZ74" si="59">IF(AND(X$37-$A74&gt;$V$25,SUM($W74:W74)&lt;&gt;$V74),$V74,0)</f>
        <v>0</v>
      </c>
      <c r="Y74">
        <f t="shared" si="59"/>
        <v>0</v>
      </c>
      <c r="Z74">
        <f t="shared" si="59"/>
        <v>0</v>
      </c>
      <c r="AA74">
        <f t="shared" si="59"/>
        <v>0</v>
      </c>
      <c r="AB74">
        <f t="shared" si="59"/>
        <v>0</v>
      </c>
      <c r="AC74">
        <f t="shared" si="59"/>
        <v>0</v>
      </c>
      <c r="AD74">
        <f t="shared" si="59"/>
        <v>0</v>
      </c>
      <c r="AE74">
        <f t="shared" si="59"/>
        <v>0</v>
      </c>
      <c r="AF74">
        <f t="shared" si="59"/>
        <v>0</v>
      </c>
      <c r="AG74">
        <f t="shared" si="59"/>
        <v>0</v>
      </c>
      <c r="AH74">
        <f t="shared" si="59"/>
        <v>0</v>
      </c>
      <c r="AI74">
        <f t="shared" si="59"/>
        <v>0</v>
      </c>
      <c r="AJ74">
        <f t="shared" si="59"/>
        <v>0</v>
      </c>
      <c r="AK74">
        <f t="shared" si="59"/>
        <v>0</v>
      </c>
      <c r="AL74">
        <f t="shared" si="59"/>
        <v>0</v>
      </c>
      <c r="AM74">
        <f t="shared" si="59"/>
        <v>0</v>
      </c>
      <c r="AN74">
        <f t="shared" si="59"/>
        <v>0</v>
      </c>
      <c r="AO74">
        <f t="shared" si="59"/>
        <v>0</v>
      </c>
      <c r="AP74">
        <f t="shared" si="59"/>
        <v>0</v>
      </c>
      <c r="AQ74">
        <f t="shared" si="59"/>
        <v>0</v>
      </c>
      <c r="AR74">
        <f t="shared" si="59"/>
        <v>0</v>
      </c>
      <c r="AS74">
        <f t="shared" si="59"/>
        <v>0</v>
      </c>
      <c r="AT74">
        <f t="shared" si="59"/>
        <v>0</v>
      </c>
      <c r="AU74">
        <f t="shared" si="59"/>
        <v>0</v>
      </c>
      <c r="AV74">
        <f t="shared" si="59"/>
        <v>0</v>
      </c>
      <c r="AW74">
        <f t="shared" si="59"/>
        <v>0</v>
      </c>
      <c r="AX74">
        <f t="shared" si="59"/>
        <v>0</v>
      </c>
      <c r="AY74">
        <f t="shared" si="59"/>
        <v>0</v>
      </c>
      <c r="AZ74">
        <f t="shared" si="59"/>
        <v>0</v>
      </c>
    </row>
    <row r="75" spans="1:52" ht="15.75" customHeight="1">
      <c r="A75" s="362">
        <v>1982</v>
      </c>
      <c r="V75" s="127">
        <v>311.10000000000002</v>
      </c>
      <c r="W75">
        <f t="shared" si="22"/>
        <v>0</v>
      </c>
      <c r="X75">
        <f t="shared" ref="X75:AZ75" si="60">IF(AND(X$37-$A75&gt;$V$25,SUM($W75:W75)&lt;&gt;$V75),$V75,0)</f>
        <v>0</v>
      </c>
      <c r="Y75">
        <f t="shared" si="60"/>
        <v>0</v>
      </c>
      <c r="Z75">
        <f t="shared" si="60"/>
        <v>0</v>
      </c>
      <c r="AA75">
        <f t="shared" si="60"/>
        <v>0</v>
      </c>
      <c r="AB75">
        <f t="shared" si="60"/>
        <v>0</v>
      </c>
      <c r="AC75">
        <f t="shared" si="60"/>
        <v>0</v>
      </c>
      <c r="AD75">
        <f t="shared" si="60"/>
        <v>0</v>
      </c>
      <c r="AE75">
        <f t="shared" si="60"/>
        <v>0</v>
      </c>
      <c r="AF75">
        <f t="shared" si="60"/>
        <v>0</v>
      </c>
      <c r="AG75">
        <f t="shared" si="60"/>
        <v>0</v>
      </c>
      <c r="AH75">
        <f t="shared" si="60"/>
        <v>0</v>
      </c>
      <c r="AI75">
        <f t="shared" si="60"/>
        <v>0</v>
      </c>
      <c r="AJ75">
        <f t="shared" si="60"/>
        <v>0</v>
      </c>
      <c r="AK75">
        <f t="shared" si="60"/>
        <v>0</v>
      </c>
      <c r="AL75">
        <f t="shared" si="60"/>
        <v>0</v>
      </c>
      <c r="AM75">
        <f t="shared" si="60"/>
        <v>0</v>
      </c>
      <c r="AN75">
        <f t="shared" si="60"/>
        <v>0</v>
      </c>
      <c r="AO75">
        <f t="shared" si="60"/>
        <v>0</v>
      </c>
      <c r="AP75">
        <f t="shared" si="60"/>
        <v>0</v>
      </c>
      <c r="AQ75">
        <f t="shared" si="60"/>
        <v>0</v>
      </c>
      <c r="AR75">
        <f t="shared" si="60"/>
        <v>0</v>
      </c>
      <c r="AS75">
        <f t="shared" si="60"/>
        <v>0</v>
      </c>
      <c r="AT75">
        <f t="shared" si="60"/>
        <v>0</v>
      </c>
      <c r="AU75">
        <f t="shared" si="60"/>
        <v>0</v>
      </c>
      <c r="AV75">
        <f t="shared" si="60"/>
        <v>0</v>
      </c>
      <c r="AW75">
        <f t="shared" si="60"/>
        <v>0</v>
      </c>
      <c r="AX75">
        <f t="shared" si="60"/>
        <v>0</v>
      </c>
      <c r="AY75">
        <f t="shared" si="60"/>
        <v>0</v>
      </c>
      <c r="AZ75">
        <f t="shared" si="60"/>
        <v>0</v>
      </c>
    </row>
    <row r="76" spans="1:52" ht="15.75" customHeight="1">
      <c r="A76" s="362">
        <v>1983</v>
      </c>
      <c r="V76" s="127">
        <v>79.3</v>
      </c>
      <c r="W76">
        <f t="shared" si="22"/>
        <v>0</v>
      </c>
      <c r="X76">
        <f t="shared" ref="X76:AZ76" si="61">IF(AND(X$37-$A76&gt;$V$25,SUM($W76:W76)&lt;&gt;$V76),$V76,0)</f>
        <v>0</v>
      </c>
      <c r="Y76">
        <f t="shared" si="61"/>
        <v>0</v>
      </c>
      <c r="Z76">
        <f t="shared" si="61"/>
        <v>0</v>
      </c>
      <c r="AA76">
        <f t="shared" si="61"/>
        <v>0</v>
      </c>
      <c r="AB76">
        <f t="shared" si="61"/>
        <v>0</v>
      </c>
      <c r="AC76">
        <f t="shared" si="61"/>
        <v>0</v>
      </c>
      <c r="AD76">
        <f t="shared" si="61"/>
        <v>0</v>
      </c>
      <c r="AE76">
        <f t="shared" si="61"/>
        <v>0</v>
      </c>
      <c r="AF76">
        <f t="shared" si="61"/>
        <v>0</v>
      </c>
      <c r="AG76">
        <f t="shared" si="61"/>
        <v>0</v>
      </c>
      <c r="AH76">
        <f t="shared" si="61"/>
        <v>0</v>
      </c>
      <c r="AI76">
        <f t="shared" si="61"/>
        <v>0</v>
      </c>
      <c r="AJ76">
        <f t="shared" si="61"/>
        <v>0</v>
      </c>
      <c r="AK76">
        <f t="shared" si="61"/>
        <v>0</v>
      </c>
      <c r="AL76">
        <f t="shared" si="61"/>
        <v>0</v>
      </c>
      <c r="AM76">
        <f t="shared" si="61"/>
        <v>0</v>
      </c>
      <c r="AN76">
        <f t="shared" si="61"/>
        <v>0</v>
      </c>
      <c r="AO76">
        <f t="shared" si="61"/>
        <v>0</v>
      </c>
      <c r="AP76">
        <f t="shared" si="61"/>
        <v>0</v>
      </c>
      <c r="AQ76">
        <f t="shared" si="61"/>
        <v>0</v>
      </c>
      <c r="AR76">
        <f t="shared" si="61"/>
        <v>0</v>
      </c>
      <c r="AS76">
        <f t="shared" si="61"/>
        <v>0</v>
      </c>
      <c r="AT76">
        <f t="shared" si="61"/>
        <v>0</v>
      </c>
      <c r="AU76">
        <f t="shared" si="61"/>
        <v>0</v>
      </c>
      <c r="AV76">
        <f t="shared" si="61"/>
        <v>0</v>
      </c>
      <c r="AW76">
        <f t="shared" si="61"/>
        <v>0</v>
      </c>
      <c r="AX76">
        <f t="shared" si="61"/>
        <v>0</v>
      </c>
      <c r="AY76">
        <f t="shared" si="61"/>
        <v>0</v>
      </c>
      <c r="AZ76">
        <f t="shared" si="61"/>
        <v>0</v>
      </c>
    </row>
    <row r="77" spans="1:52" ht="15.75" customHeight="1">
      <c r="A77" s="362">
        <v>1984</v>
      </c>
      <c r="V77" s="127">
        <v>226.2</v>
      </c>
      <c r="W77">
        <f t="shared" si="22"/>
        <v>0</v>
      </c>
      <c r="X77">
        <f t="shared" ref="X77:AZ77" si="62">IF(AND(X$37-$A77&gt;$V$25,SUM($W77:W77)&lt;&gt;$V77),$V77,0)</f>
        <v>0</v>
      </c>
      <c r="Y77">
        <f t="shared" si="62"/>
        <v>0</v>
      </c>
      <c r="Z77">
        <f t="shared" si="62"/>
        <v>0</v>
      </c>
      <c r="AA77">
        <f t="shared" si="62"/>
        <v>0</v>
      </c>
      <c r="AB77">
        <f t="shared" si="62"/>
        <v>0</v>
      </c>
      <c r="AC77">
        <f t="shared" si="62"/>
        <v>0</v>
      </c>
      <c r="AD77">
        <f t="shared" si="62"/>
        <v>0</v>
      </c>
      <c r="AE77">
        <f t="shared" si="62"/>
        <v>0</v>
      </c>
      <c r="AF77">
        <f t="shared" si="62"/>
        <v>0</v>
      </c>
      <c r="AG77">
        <f t="shared" si="62"/>
        <v>0</v>
      </c>
      <c r="AH77">
        <f t="shared" si="62"/>
        <v>0</v>
      </c>
      <c r="AI77">
        <f t="shared" si="62"/>
        <v>0</v>
      </c>
      <c r="AJ77">
        <f t="shared" si="62"/>
        <v>0</v>
      </c>
      <c r="AK77">
        <f t="shared" si="62"/>
        <v>0</v>
      </c>
      <c r="AL77">
        <f t="shared" si="62"/>
        <v>0</v>
      </c>
      <c r="AM77">
        <f t="shared" si="62"/>
        <v>0</v>
      </c>
      <c r="AN77">
        <f t="shared" si="62"/>
        <v>0</v>
      </c>
      <c r="AO77">
        <f t="shared" si="62"/>
        <v>0</v>
      </c>
      <c r="AP77">
        <f t="shared" si="62"/>
        <v>0</v>
      </c>
      <c r="AQ77">
        <f t="shared" si="62"/>
        <v>0</v>
      </c>
      <c r="AR77">
        <f t="shared" si="62"/>
        <v>0</v>
      </c>
      <c r="AS77">
        <f t="shared" si="62"/>
        <v>0</v>
      </c>
      <c r="AT77">
        <f t="shared" si="62"/>
        <v>0</v>
      </c>
      <c r="AU77">
        <f t="shared" si="62"/>
        <v>0</v>
      </c>
      <c r="AV77">
        <f t="shared" si="62"/>
        <v>0</v>
      </c>
      <c r="AW77">
        <f t="shared" si="62"/>
        <v>0</v>
      </c>
      <c r="AX77">
        <f t="shared" si="62"/>
        <v>0</v>
      </c>
      <c r="AY77">
        <f t="shared" si="62"/>
        <v>0</v>
      </c>
      <c r="AZ77">
        <f t="shared" si="62"/>
        <v>0</v>
      </c>
    </row>
    <row r="78" spans="1:52" ht="15.75" customHeight="1">
      <c r="A78" s="362">
        <v>1985</v>
      </c>
      <c r="V78" s="127">
        <v>389.3</v>
      </c>
      <c r="W78">
        <f t="shared" si="22"/>
        <v>0</v>
      </c>
      <c r="X78">
        <f t="shared" ref="X78:AZ78" si="63">IF(AND(X$37-$A78&gt;$V$25,SUM($W78:W78)&lt;&gt;$V78),$V78,0)</f>
        <v>0</v>
      </c>
      <c r="Y78">
        <f t="shared" si="63"/>
        <v>0</v>
      </c>
      <c r="Z78">
        <f t="shared" si="63"/>
        <v>0</v>
      </c>
      <c r="AA78">
        <f t="shared" si="63"/>
        <v>0</v>
      </c>
      <c r="AB78">
        <f t="shared" si="63"/>
        <v>0</v>
      </c>
      <c r="AC78">
        <f t="shared" si="63"/>
        <v>0</v>
      </c>
      <c r="AD78">
        <f t="shared" si="63"/>
        <v>0</v>
      </c>
      <c r="AE78">
        <f t="shared" si="63"/>
        <v>0</v>
      </c>
      <c r="AF78">
        <f t="shared" si="63"/>
        <v>0</v>
      </c>
      <c r="AG78">
        <f t="shared" si="63"/>
        <v>0</v>
      </c>
      <c r="AH78">
        <f t="shared" si="63"/>
        <v>0</v>
      </c>
      <c r="AI78">
        <f t="shared" si="63"/>
        <v>0</v>
      </c>
      <c r="AJ78">
        <f t="shared" si="63"/>
        <v>0</v>
      </c>
      <c r="AK78">
        <f t="shared" si="63"/>
        <v>0</v>
      </c>
      <c r="AL78">
        <f t="shared" si="63"/>
        <v>0</v>
      </c>
      <c r="AM78">
        <f t="shared" si="63"/>
        <v>0</v>
      </c>
      <c r="AN78">
        <f t="shared" si="63"/>
        <v>0</v>
      </c>
      <c r="AO78">
        <f t="shared" si="63"/>
        <v>0</v>
      </c>
      <c r="AP78">
        <f t="shared" si="63"/>
        <v>0</v>
      </c>
      <c r="AQ78">
        <f t="shared" si="63"/>
        <v>0</v>
      </c>
      <c r="AR78">
        <f t="shared" si="63"/>
        <v>0</v>
      </c>
      <c r="AS78">
        <f t="shared" si="63"/>
        <v>0</v>
      </c>
      <c r="AT78">
        <f t="shared" si="63"/>
        <v>0</v>
      </c>
      <c r="AU78">
        <f t="shared" si="63"/>
        <v>0</v>
      </c>
      <c r="AV78">
        <f t="shared" si="63"/>
        <v>0</v>
      </c>
      <c r="AW78">
        <f t="shared" si="63"/>
        <v>0</v>
      </c>
      <c r="AX78">
        <f t="shared" si="63"/>
        <v>0</v>
      </c>
      <c r="AY78">
        <f t="shared" si="63"/>
        <v>0</v>
      </c>
      <c r="AZ78">
        <f t="shared" si="63"/>
        <v>0</v>
      </c>
    </row>
    <row r="79" spans="1:52" ht="15.75" customHeight="1">
      <c r="A79" s="362">
        <v>1986</v>
      </c>
      <c r="V79" s="127">
        <v>222.5</v>
      </c>
      <c r="W79">
        <f t="shared" si="22"/>
        <v>0</v>
      </c>
      <c r="X79">
        <f t="shared" ref="X79:AZ79" si="64">IF(AND(X$37-$A79&gt;$V$25,SUM($W79:W79)&lt;&gt;$V79),$V79,0)</f>
        <v>0</v>
      </c>
      <c r="Y79">
        <f t="shared" si="64"/>
        <v>0</v>
      </c>
      <c r="Z79">
        <f t="shared" si="64"/>
        <v>0</v>
      </c>
      <c r="AA79">
        <f t="shared" si="64"/>
        <v>0</v>
      </c>
      <c r="AB79">
        <f t="shared" si="64"/>
        <v>0</v>
      </c>
      <c r="AC79">
        <f t="shared" si="64"/>
        <v>0</v>
      </c>
      <c r="AD79">
        <f t="shared" si="64"/>
        <v>0</v>
      </c>
      <c r="AE79">
        <f t="shared" si="64"/>
        <v>0</v>
      </c>
      <c r="AF79">
        <f t="shared" si="64"/>
        <v>0</v>
      </c>
      <c r="AG79">
        <f t="shared" si="64"/>
        <v>0</v>
      </c>
      <c r="AH79">
        <f t="shared" si="64"/>
        <v>0</v>
      </c>
      <c r="AI79">
        <f t="shared" si="64"/>
        <v>0</v>
      </c>
      <c r="AJ79">
        <f t="shared" si="64"/>
        <v>0</v>
      </c>
      <c r="AK79">
        <f t="shared" si="64"/>
        <v>0</v>
      </c>
      <c r="AL79">
        <f t="shared" si="64"/>
        <v>0</v>
      </c>
      <c r="AM79">
        <f t="shared" si="64"/>
        <v>0</v>
      </c>
      <c r="AN79">
        <f t="shared" si="64"/>
        <v>0</v>
      </c>
      <c r="AO79">
        <f t="shared" si="64"/>
        <v>0</v>
      </c>
      <c r="AP79">
        <f t="shared" si="64"/>
        <v>0</v>
      </c>
      <c r="AQ79">
        <f t="shared" si="64"/>
        <v>0</v>
      </c>
      <c r="AR79">
        <f t="shared" si="64"/>
        <v>0</v>
      </c>
      <c r="AS79">
        <f t="shared" si="64"/>
        <v>0</v>
      </c>
      <c r="AT79">
        <f t="shared" si="64"/>
        <v>0</v>
      </c>
      <c r="AU79">
        <f t="shared" si="64"/>
        <v>0</v>
      </c>
      <c r="AV79">
        <f t="shared" si="64"/>
        <v>0</v>
      </c>
      <c r="AW79">
        <f t="shared" si="64"/>
        <v>0</v>
      </c>
      <c r="AX79">
        <f t="shared" si="64"/>
        <v>0</v>
      </c>
      <c r="AY79">
        <f t="shared" si="64"/>
        <v>0</v>
      </c>
      <c r="AZ79">
        <f t="shared" si="64"/>
        <v>0</v>
      </c>
    </row>
    <row r="80" spans="1:52" ht="15.75" customHeight="1">
      <c r="A80" s="362">
        <v>1987</v>
      </c>
      <c r="V80" s="127">
        <v>532.20000000000005</v>
      </c>
      <c r="W80">
        <f t="shared" si="22"/>
        <v>0</v>
      </c>
      <c r="X80">
        <f t="shared" ref="X80:AZ80" si="65">IF(AND(X$37-$A80&gt;$V$25,SUM($W80:W80)&lt;&gt;$V80),$V80,0)</f>
        <v>0</v>
      </c>
      <c r="Y80">
        <f t="shared" si="65"/>
        <v>0</v>
      </c>
      <c r="Z80">
        <f t="shared" si="65"/>
        <v>0</v>
      </c>
      <c r="AA80">
        <f t="shared" si="65"/>
        <v>0</v>
      </c>
      <c r="AB80">
        <f t="shared" si="65"/>
        <v>0</v>
      </c>
      <c r="AC80">
        <f t="shared" si="65"/>
        <v>0</v>
      </c>
      <c r="AD80">
        <f t="shared" si="65"/>
        <v>0</v>
      </c>
      <c r="AE80">
        <f t="shared" si="65"/>
        <v>0</v>
      </c>
      <c r="AF80">
        <f t="shared" si="65"/>
        <v>0</v>
      </c>
      <c r="AG80">
        <f t="shared" si="65"/>
        <v>0</v>
      </c>
      <c r="AH80">
        <f t="shared" si="65"/>
        <v>0</v>
      </c>
      <c r="AI80">
        <f t="shared" si="65"/>
        <v>0</v>
      </c>
      <c r="AJ80">
        <f t="shared" si="65"/>
        <v>0</v>
      </c>
      <c r="AK80">
        <f t="shared" si="65"/>
        <v>0</v>
      </c>
      <c r="AL80">
        <f t="shared" si="65"/>
        <v>0</v>
      </c>
      <c r="AM80">
        <f t="shared" si="65"/>
        <v>0</v>
      </c>
      <c r="AN80">
        <f t="shared" si="65"/>
        <v>0</v>
      </c>
      <c r="AO80">
        <f t="shared" si="65"/>
        <v>0</v>
      </c>
      <c r="AP80">
        <f t="shared" si="65"/>
        <v>0</v>
      </c>
      <c r="AQ80">
        <f t="shared" si="65"/>
        <v>0</v>
      </c>
      <c r="AR80">
        <f t="shared" si="65"/>
        <v>0</v>
      </c>
      <c r="AS80">
        <f t="shared" si="65"/>
        <v>0</v>
      </c>
      <c r="AT80">
        <f t="shared" si="65"/>
        <v>0</v>
      </c>
      <c r="AU80">
        <f t="shared" si="65"/>
        <v>0</v>
      </c>
      <c r="AV80">
        <f t="shared" si="65"/>
        <v>0</v>
      </c>
      <c r="AW80">
        <f t="shared" si="65"/>
        <v>0</v>
      </c>
      <c r="AX80">
        <f t="shared" si="65"/>
        <v>0</v>
      </c>
      <c r="AY80">
        <f t="shared" si="65"/>
        <v>0</v>
      </c>
      <c r="AZ80">
        <f t="shared" si="65"/>
        <v>0</v>
      </c>
    </row>
    <row r="81" spans="1:52" ht="15.75" customHeight="1">
      <c r="A81" s="362">
        <v>1988</v>
      </c>
      <c r="V81" s="127">
        <v>116.3</v>
      </c>
      <c r="W81">
        <f t="shared" si="22"/>
        <v>0</v>
      </c>
      <c r="X81">
        <f t="shared" ref="X81:AZ81" si="66">IF(AND(X$37-$A81&gt;$V$25,SUM($W81:W81)&lt;&gt;$V81),$V81,0)</f>
        <v>0</v>
      </c>
      <c r="Y81">
        <f t="shared" si="66"/>
        <v>0</v>
      </c>
      <c r="Z81">
        <f t="shared" si="66"/>
        <v>0</v>
      </c>
      <c r="AA81">
        <f t="shared" si="66"/>
        <v>0</v>
      </c>
      <c r="AB81">
        <f t="shared" si="66"/>
        <v>0</v>
      </c>
      <c r="AC81">
        <f t="shared" si="66"/>
        <v>0</v>
      </c>
      <c r="AD81">
        <f t="shared" si="66"/>
        <v>0</v>
      </c>
      <c r="AE81">
        <f t="shared" si="66"/>
        <v>0</v>
      </c>
      <c r="AF81">
        <f t="shared" si="66"/>
        <v>0</v>
      </c>
      <c r="AG81">
        <f t="shared" si="66"/>
        <v>0</v>
      </c>
      <c r="AH81">
        <f t="shared" si="66"/>
        <v>0</v>
      </c>
      <c r="AI81">
        <f t="shared" si="66"/>
        <v>0</v>
      </c>
      <c r="AJ81">
        <f t="shared" si="66"/>
        <v>0</v>
      </c>
      <c r="AK81">
        <f t="shared" si="66"/>
        <v>0</v>
      </c>
      <c r="AL81">
        <f t="shared" si="66"/>
        <v>0</v>
      </c>
      <c r="AM81">
        <f t="shared" si="66"/>
        <v>0</v>
      </c>
      <c r="AN81">
        <f t="shared" si="66"/>
        <v>0</v>
      </c>
      <c r="AO81">
        <f t="shared" si="66"/>
        <v>0</v>
      </c>
      <c r="AP81">
        <f t="shared" si="66"/>
        <v>0</v>
      </c>
      <c r="AQ81">
        <f t="shared" si="66"/>
        <v>0</v>
      </c>
      <c r="AR81">
        <f t="shared" si="66"/>
        <v>0</v>
      </c>
      <c r="AS81">
        <f t="shared" si="66"/>
        <v>0</v>
      </c>
      <c r="AT81">
        <f t="shared" si="66"/>
        <v>0</v>
      </c>
      <c r="AU81">
        <f t="shared" si="66"/>
        <v>0</v>
      </c>
      <c r="AV81">
        <f t="shared" si="66"/>
        <v>0</v>
      </c>
      <c r="AW81">
        <f t="shared" si="66"/>
        <v>0</v>
      </c>
      <c r="AX81">
        <f t="shared" si="66"/>
        <v>0</v>
      </c>
      <c r="AY81">
        <f t="shared" si="66"/>
        <v>0</v>
      </c>
      <c r="AZ81">
        <f t="shared" si="66"/>
        <v>0</v>
      </c>
    </row>
    <row r="82" spans="1:52" ht="15.75" customHeight="1">
      <c r="A82" s="362">
        <v>1989</v>
      </c>
      <c r="V82" s="127">
        <v>373.6</v>
      </c>
      <c r="W82">
        <f t="shared" si="22"/>
        <v>0</v>
      </c>
      <c r="X82">
        <f t="shared" ref="X82:AZ82" si="67">IF(AND(X$37-$A82&gt;$V$25,SUM($W82:W82)&lt;&gt;$V82),$V82,0)</f>
        <v>0</v>
      </c>
      <c r="Y82">
        <f t="shared" si="67"/>
        <v>0</v>
      </c>
      <c r="Z82">
        <f t="shared" si="67"/>
        <v>0</v>
      </c>
      <c r="AA82">
        <f t="shared" si="67"/>
        <v>0</v>
      </c>
      <c r="AB82">
        <f t="shared" si="67"/>
        <v>0</v>
      </c>
      <c r="AC82">
        <f t="shared" si="67"/>
        <v>0</v>
      </c>
      <c r="AD82">
        <f t="shared" si="67"/>
        <v>0</v>
      </c>
      <c r="AE82">
        <f t="shared" si="67"/>
        <v>0</v>
      </c>
      <c r="AF82">
        <f t="shared" si="67"/>
        <v>0</v>
      </c>
      <c r="AG82">
        <f t="shared" si="67"/>
        <v>0</v>
      </c>
      <c r="AH82">
        <f t="shared" si="67"/>
        <v>0</v>
      </c>
      <c r="AI82">
        <f t="shared" si="67"/>
        <v>0</v>
      </c>
      <c r="AJ82">
        <f t="shared" si="67"/>
        <v>0</v>
      </c>
      <c r="AK82">
        <f t="shared" si="67"/>
        <v>0</v>
      </c>
      <c r="AL82">
        <f t="shared" si="67"/>
        <v>0</v>
      </c>
      <c r="AM82">
        <f t="shared" si="67"/>
        <v>0</v>
      </c>
      <c r="AN82">
        <f t="shared" si="67"/>
        <v>0</v>
      </c>
      <c r="AO82">
        <f t="shared" si="67"/>
        <v>0</v>
      </c>
      <c r="AP82">
        <f t="shared" si="67"/>
        <v>0</v>
      </c>
      <c r="AQ82">
        <f t="shared" si="67"/>
        <v>0</v>
      </c>
      <c r="AR82">
        <f t="shared" si="67"/>
        <v>0</v>
      </c>
      <c r="AS82">
        <f t="shared" si="67"/>
        <v>0</v>
      </c>
      <c r="AT82">
        <f t="shared" si="67"/>
        <v>0</v>
      </c>
      <c r="AU82">
        <f t="shared" si="67"/>
        <v>0</v>
      </c>
      <c r="AV82">
        <f t="shared" si="67"/>
        <v>0</v>
      </c>
      <c r="AW82">
        <f t="shared" si="67"/>
        <v>0</v>
      </c>
      <c r="AX82">
        <f t="shared" si="67"/>
        <v>0</v>
      </c>
      <c r="AY82">
        <f t="shared" si="67"/>
        <v>0</v>
      </c>
      <c r="AZ82">
        <f t="shared" si="67"/>
        <v>0</v>
      </c>
    </row>
    <row r="83" spans="1:52" ht="15.75" customHeight="1">
      <c r="A83" s="362">
        <v>1990</v>
      </c>
      <c r="V83" s="127">
        <v>376.1</v>
      </c>
      <c r="W83">
        <f t="shared" si="22"/>
        <v>0</v>
      </c>
      <c r="X83">
        <f t="shared" ref="X83:AZ83" si="68">IF(AND(X$37-$A83&gt;$V$25,SUM($W83:W83)&lt;&gt;$V83),$V83,0)</f>
        <v>0</v>
      </c>
      <c r="Y83">
        <f t="shared" si="68"/>
        <v>0</v>
      </c>
      <c r="Z83">
        <f t="shared" si="68"/>
        <v>0</v>
      </c>
      <c r="AA83">
        <f t="shared" si="68"/>
        <v>0</v>
      </c>
      <c r="AB83">
        <f t="shared" si="68"/>
        <v>0</v>
      </c>
      <c r="AC83">
        <f t="shared" si="68"/>
        <v>0</v>
      </c>
      <c r="AD83">
        <f t="shared" si="68"/>
        <v>0</v>
      </c>
      <c r="AE83">
        <f t="shared" si="68"/>
        <v>0</v>
      </c>
      <c r="AF83">
        <f t="shared" si="68"/>
        <v>0</v>
      </c>
      <c r="AG83">
        <f t="shared" si="68"/>
        <v>0</v>
      </c>
      <c r="AH83">
        <f t="shared" si="68"/>
        <v>0</v>
      </c>
      <c r="AI83">
        <f t="shared" si="68"/>
        <v>0</v>
      </c>
      <c r="AJ83">
        <f t="shared" si="68"/>
        <v>0</v>
      </c>
      <c r="AK83">
        <f t="shared" si="68"/>
        <v>0</v>
      </c>
      <c r="AL83">
        <f t="shared" si="68"/>
        <v>0</v>
      </c>
      <c r="AM83">
        <f t="shared" si="68"/>
        <v>0</v>
      </c>
      <c r="AN83">
        <f t="shared" si="68"/>
        <v>0</v>
      </c>
      <c r="AO83">
        <f t="shared" si="68"/>
        <v>0</v>
      </c>
      <c r="AP83">
        <f t="shared" si="68"/>
        <v>0</v>
      </c>
      <c r="AQ83">
        <f t="shared" si="68"/>
        <v>0</v>
      </c>
      <c r="AR83">
        <f t="shared" si="68"/>
        <v>0</v>
      </c>
      <c r="AS83">
        <f t="shared" si="68"/>
        <v>0</v>
      </c>
      <c r="AT83">
        <f t="shared" si="68"/>
        <v>0</v>
      </c>
      <c r="AU83">
        <f t="shared" si="68"/>
        <v>0</v>
      </c>
      <c r="AV83">
        <f t="shared" si="68"/>
        <v>0</v>
      </c>
      <c r="AW83">
        <f t="shared" si="68"/>
        <v>0</v>
      </c>
      <c r="AX83">
        <f t="shared" si="68"/>
        <v>0</v>
      </c>
      <c r="AY83">
        <f t="shared" si="68"/>
        <v>0</v>
      </c>
      <c r="AZ83">
        <f t="shared" si="68"/>
        <v>0</v>
      </c>
    </row>
    <row r="84" spans="1:52" ht="15.75" customHeight="1">
      <c r="A84" s="362">
        <v>1991</v>
      </c>
      <c r="V84" s="127">
        <v>353.1</v>
      </c>
      <c r="W84">
        <f t="shared" si="22"/>
        <v>0</v>
      </c>
      <c r="X84">
        <f t="shared" ref="X84:AZ84" si="69">IF(AND(X$37-$A84&gt;$V$25,SUM($W84:W84)&lt;&gt;$V84),$V84,0)</f>
        <v>0</v>
      </c>
      <c r="Y84">
        <f t="shared" si="69"/>
        <v>0</v>
      </c>
      <c r="Z84">
        <f t="shared" si="69"/>
        <v>0</v>
      </c>
      <c r="AA84">
        <f t="shared" si="69"/>
        <v>0</v>
      </c>
      <c r="AB84">
        <f t="shared" si="69"/>
        <v>0</v>
      </c>
      <c r="AC84">
        <f t="shared" si="69"/>
        <v>0</v>
      </c>
      <c r="AD84">
        <f t="shared" si="69"/>
        <v>0</v>
      </c>
      <c r="AE84">
        <f t="shared" si="69"/>
        <v>0</v>
      </c>
      <c r="AF84">
        <f t="shared" si="69"/>
        <v>0</v>
      </c>
      <c r="AG84">
        <f t="shared" si="69"/>
        <v>0</v>
      </c>
      <c r="AH84">
        <f t="shared" si="69"/>
        <v>0</v>
      </c>
      <c r="AI84">
        <f t="shared" si="69"/>
        <v>0</v>
      </c>
      <c r="AJ84">
        <f t="shared" si="69"/>
        <v>0</v>
      </c>
      <c r="AK84">
        <f t="shared" si="69"/>
        <v>0</v>
      </c>
      <c r="AL84">
        <f t="shared" si="69"/>
        <v>0</v>
      </c>
      <c r="AM84">
        <f t="shared" si="69"/>
        <v>0</v>
      </c>
      <c r="AN84">
        <f t="shared" si="69"/>
        <v>0</v>
      </c>
      <c r="AO84">
        <f t="shared" si="69"/>
        <v>0</v>
      </c>
      <c r="AP84">
        <f t="shared" si="69"/>
        <v>0</v>
      </c>
      <c r="AQ84">
        <f t="shared" si="69"/>
        <v>0</v>
      </c>
      <c r="AR84">
        <f t="shared" si="69"/>
        <v>0</v>
      </c>
      <c r="AS84">
        <f t="shared" si="69"/>
        <v>0</v>
      </c>
      <c r="AT84">
        <f t="shared" si="69"/>
        <v>0</v>
      </c>
      <c r="AU84">
        <f t="shared" si="69"/>
        <v>0</v>
      </c>
      <c r="AV84">
        <f t="shared" si="69"/>
        <v>0</v>
      </c>
      <c r="AW84">
        <f t="shared" si="69"/>
        <v>0</v>
      </c>
      <c r="AX84">
        <f t="shared" si="69"/>
        <v>0</v>
      </c>
      <c r="AY84">
        <f t="shared" si="69"/>
        <v>0</v>
      </c>
      <c r="AZ84">
        <f t="shared" si="69"/>
        <v>0</v>
      </c>
    </row>
    <row r="85" spans="1:52" ht="15.75" customHeight="1">
      <c r="A85" s="362">
        <v>1992</v>
      </c>
      <c r="V85" s="127">
        <v>282</v>
      </c>
      <c r="W85">
        <f t="shared" si="22"/>
        <v>0</v>
      </c>
      <c r="X85">
        <f t="shared" ref="X85:AZ85" si="70">IF(AND(X$37-$A85&gt;$V$25,SUM($W85:W85)&lt;&gt;$V85),$V85,0)</f>
        <v>0</v>
      </c>
      <c r="Y85">
        <f t="shared" si="70"/>
        <v>0</v>
      </c>
      <c r="Z85">
        <f t="shared" si="70"/>
        <v>0</v>
      </c>
      <c r="AA85">
        <f t="shared" si="70"/>
        <v>0</v>
      </c>
      <c r="AB85">
        <f t="shared" si="70"/>
        <v>0</v>
      </c>
      <c r="AC85">
        <f t="shared" si="70"/>
        <v>0</v>
      </c>
      <c r="AD85">
        <f t="shared" si="70"/>
        <v>0</v>
      </c>
      <c r="AE85">
        <f t="shared" si="70"/>
        <v>0</v>
      </c>
      <c r="AF85">
        <f t="shared" si="70"/>
        <v>0</v>
      </c>
      <c r="AG85">
        <f t="shared" si="70"/>
        <v>0</v>
      </c>
      <c r="AH85">
        <f t="shared" si="70"/>
        <v>0</v>
      </c>
      <c r="AI85">
        <f t="shared" si="70"/>
        <v>0</v>
      </c>
      <c r="AJ85">
        <f t="shared" si="70"/>
        <v>0</v>
      </c>
      <c r="AK85">
        <f t="shared" si="70"/>
        <v>0</v>
      </c>
      <c r="AL85">
        <f t="shared" si="70"/>
        <v>0</v>
      </c>
      <c r="AM85">
        <f t="shared" si="70"/>
        <v>0</v>
      </c>
      <c r="AN85">
        <f t="shared" si="70"/>
        <v>0</v>
      </c>
      <c r="AO85">
        <f t="shared" si="70"/>
        <v>0</v>
      </c>
      <c r="AP85">
        <f t="shared" si="70"/>
        <v>0</v>
      </c>
      <c r="AQ85">
        <f t="shared" si="70"/>
        <v>0</v>
      </c>
      <c r="AR85">
        <f t="shared" si="70"/>
        <v>0</v>
      </c>
      <c r="AS85">
        <f t="shared" si="70"/>
        <v>0</v>
      </c>
      <c r="AT85">
        <f t="shared" si="70"/>
        <v>0</v>
      </c>
      <c r="AU85">
        <f t="shared" si="70"/>
        <v>0</v>
      </c>
      <c r="AV85">
        <f t="shared" si="70"/>
        <v>0</v>
      </c>
      <c r="AW85">
        <f t="shared" si="70"/>
        <v>0</v>
      </c>
      <c r="AX85">
        <f t="shared" si="70"/>
        <v>0</v>
      </c>
      <c r="AY85">
        <f t="shared" si="70"/>
        <v>0</v>
      </c>
      <c r="AZ85">
        <f t="shared" si="70"/>
        <v>0</v>
      </c>
    </row>
    <row r="86" spans="1:52" ht="15.75" customHeight="1">
      <c r="A86" s="362">
        <v>1993</v>
      </c>
      <c r="V86" s="127">
        <v>237.7</v>
      </c>
      <c r="W86">
        <f t="shared" si="22"/>
        <v>0</v>
      </c>
      <c r="X86">
        <f t="shared" ref="X86:AZ86" si="71">IF(AND(X$37-$A86&gt;$V$25,SUM($W86:W86)&lt;&gt;$V86),$V86,0)</f>
        <v>0</v>
      </c>
      <c r="Y86">
        <f t="shared" si="71"/>
        <v>0</v>
      </c>
      <c r="Z86">
        <f t="shared" si="71"/>
        <v>0</v>
      </c>
      <c r="AA86">
        <f t="shared" si="71"/>
        <v>0</v>
      </c>
      <c r="AB86">
        <f t="shared" si="71"/>
        <v>0</v>
      </c>
      <c r="AC86">
        <f t="shared" si="71"/>
        <v>0</v>
      </c>
      <c r="AD86">
        <f t="shared" si="71"/>
        <v>0</v>
      </c>
      <c r="AE86">
        <f t="shared" si="71"/>
        <v>0</v>
      </c>
      <c r="AF86">
        <f t="shared" si="71"/>
        <v>0</v>
      </c>
      <c r="AG86">
        <f t="shared" si="71"/>
        <v>0</v>
      </c>
      <c r="AH86">
        <f t="shared" si="71"/>
        <v>0</v>
      </c>
      <c r="AI86">
        <f t="shared" si="71"/>
        <v>0</v>
      </c>
      <c r="AJ86">
        <f t="shared" si="71"/>
        <v>0</v>
      </c>
      <c r="AK86">
        <f t="shared" si="71"/>
        <v>0</v>
      </c>
      <c r="AL86">
        <f t="shared" si="71"/>
        <v>0</v>
      </c>
      <c r="AM86">
        <f t="shared" si="71"/>
        <v>0</v>
      </c>
      <c r="AN86">
        <f t="shared" si="71"/>
        <v>0</v>
      </c>
      <c r="AO86">
        <f t="shared" si="71"/>
        <v>0</v>
      </c>
      <c r="AP86">
        <f t="shared" si="71"/>
        <v>0</v>
      </c>
      <c r="AQ86">
        <f t="shared" si="71"/>
        <v>0</v>
      </c>
      <c r="AR86">
        <f t="shared" si="71"/>
        <v>0</v>
      </c>
      <c r="AS86">
        <f t="shared" si="71"/>
        <v>0</v>
      </c>
      <c r="AT86">
        <f t="shared" si="71"/>
        <v>0</v>
      </c>
      <c r="AU86">
        <f t="shared" si="71"/>
        <v>0</v>
      </c>
      <c r="AV86">
        <f t="shared" si="71"/>
        <v>0</v>
      </c>
      <c r="AW86">
        <f t="shared" si="71"/>
        <v>0</v>
      </c>
      <c r="AX86">
        <f t="shared" si="71"/>
        <v>0</v>
      </c>
      <c r="AY86">
        <f t="shared" si="71"/>
        <v>0</v>
      </c>
      <c r="AZ86">
        <f t="shared" si="71"/>
        <v>0</v>
      </c>
    </row>
    <row r="87" spans="1:52" ht="15.75" customHeight="1">
      <c r="A87" s="362">
        <v>1994</v>
      </c>
      <c r="V87" s="127">
        <v>161.30000000000001</v>
      </c>
      <c r="W87">
        <f t="shared" si="22"/>
        <v>0</v>
      </c>
      <c r="X87">
        <f t="shared" ref="X87:AZ87" si="72">IF(AND(X$37-$A87&gt;$V$25,SUM($W87:W87)&lt;&gt;$V87),$V87,0)</f>
        <v>0</v>
      </c>
      <c r="Y87">
        <f t="shared" si="72"/>
        <v>0</v>
      </c>
      <c r="Z87">
        <f t="shared" si="72"/>
        <v>0</v>
      </c>
      <c r="AA87">
        <f t="shared" si="72"/>
        <v>0</v>
      </c>
      <c r="AB87">
        <f t="shared" si="72"/>
        <v>0</v>
      </c>
      <c r="AC87">
        <f t="shared" si="72"/>
        <v>0</v>
      </c>
      <c r="AD87">
        <f t="shared" si="72"/>
        <v>0</v>
      </c>
      <c r="AE87">
        <f t="shared" si="72"/>
        <v>0</v>
      </c>
      <c r="AF87">
        <f t="shared" si="72"/>
        <v>0</v>
      </c>
      <c r="AG87">
        <f t="shared" si="72"/>
        <v>0</v>
      </c>
      <c r="AH87">
        <f t="shared" si="72"/>
        <v>0</v>
      </c>
      <c r="AI87">
        <f t="shared" si="72"/>
        <v>0</v>
      </c>
      <c r="AJ87">
        <f t="shared" si="72"/>
        <v>0</v>
      </c>
      <c r="AK87">
        <f t="shared" si="72"/>
        <v>0</v>
      </c>
      <c r="AL87">
        <f t="shared" si="72"/>
        <v>0</v>
      </c>
      <c r="AM87">
        <f t="shared" si="72"/>
        <v>0</v>
      </c>
      <c r="AN87">
        <f t="shared" si="72"/>
        <v>0</v>
      </c>
      <c r="AO87">
        <f t="shared" si="72"/>
        <v>0</v>
      </c>
      <c r="AP87">
        <f t="shared" si="72"/>
        <v>0</v>
      </c>
      <c r="AQ87">
        <f t="shared" si="72"/>
        <v>0</v>
      </c>
      <c r="AR87">
        <f t="shared" si="72"/>
        <v>0</v>
      </c>
      <c r="AS87">
        <f t="shared" si="72"/>
        <v>0</v>
      </c>
      <c r="AT87">
        <f t="shared" si="72"/>
        <v>0</v>
      </c>
      <c r="AU87">
        <f t="shared" si="72"/>
        <v>0</v>
      </c>
      <c r="AV87">
        <f t="shared" si="72"/>
        <v>0</v>
      </c>
      <c r="AW87">
        <f t="shared" si="72"/>
        <v>0</v>
      </c>
      <c r="AX87">
        <f t="shared" si="72"/>
        <v>0</v>
      </c>
      <c r="AY87">
        <f t="shared" si="72"/>
        <v>0</v>
      </c>
      <c r="AZ87">
        <f t="shared" si="72"/>
        <v>0</v>
      </c>
    </row>
    <row r="88" spans="1:52" ht="15.75" customHeight="1">
      <c r="A88" s="362">
        <v>1995</v>
      </c>
      <c r="V88" s="127">
        <v>42.1</v>
      </c>
      <c r="W88">
        <f t="shared" si="22"/>
        <v>0</v>
      </c>
      <c r="X88">
        <f t="shared" ref="X88:AZ88" si="73">IF(AND(X$37-$A88&gt;$V$25,SUM($W88:W88)&lt;&gt;$V88),$V88,0)</f>
        <v>0</v>
      </c>
      <c r="Y88">
        <f t="shared" si="73"/>
        <v>0</v>
      </c>
      <c r="Z88">
        <f t="shared" si="73"/>
        <v>0</v>
      </c>
      <c r="AA88">
        <f t="shared" si="73"/>
        <v>0</v>
      </c>
      <c r="AB88">
        <f t="shared" si="73"/>
        <v>0</v>
      </c>
      <c r="AC88">
        <f t="shared" si="73"/>
        <v>0</v>
      </c>
      <c r="AD88">
        <f t="shared" si="73"/>
        <v>0</v>
      </c>
      <c r="AE88">
        <f t="shared" si="73"/>
        <v>0</v>
      </c>
      <c r="AF88">
        <f t="shared" si="73"/>
        <v>0</v>
      </c>
      <c r="AG88">
        <f t="shared" si="73"/>
        <v>0</v>
      </c>
      <c r="AH88">
        <f t="shared" si="73"/>
        <v>0</v>
      </c>
      <c r="AI88">
        <f t="shared" si="73"/>
        <v>0</v>
      </c>
      <c r="AJ88">
        <f t="shared" si="73"/>
        <v>0</v>
      </c>
      <c r="AK88">
        <f t="shared" si="73"/>
        <v>0</v>
      </c>
      <c r="AL88">
        <f t="shared" si="73"/>
        <v>0</v>
      </c>
      <c r="AM88">
        <f t="shared" si="73"/>
        <v>0</v>
      </c>
      <c r="AN88">
        <f t="shared" si="73"/>
        <v>0</v>
      </c>
      <c r="AO88">
        <f t="shared" si="73"/>
        <v>0</v>
      </c>
      <c r="AP88">
        <f t="shared" si="73"/>
        <v>0</v>
      </c>
      <c r="AQ88">
        <f t="shared" si="73"/>
        <v>0</v>
      </c>
      <c r="AR88">
        <f t="shared" si="73"/>
        <v>0</v>
      </c>
      <c r="AS88">
        <f t="shared" si="73"/>
        <v>0</v>
      </c>
      <c r="AT88">
        <f t="shared" si="73"/>
        <v>0</v>
      </c>
      <c r="AU88">
        <f t="shared" si="73"/>
        <v>0</v>
      </c>
      <c r="AV88">
        <f t="shared" si="73"/>
        <v>0</v>
      </c>
      <c r="AW88">
        <f t="shared" si="73"/>
        <v>0</v>
      </c>
      <c r="AX88">
        <f t="shared" si="73"/>
        <v>0</v>
      </c>
      <c r="AY88">
        <f t="shared" si="73"/>
        <v>0</v>
      </c>
      <c r="AZ88">
        <f t="shared" si="73"/>
        <v>0</v>
      </c>
    </row>
    <row r="89" spans="1:52" ht="15.75" customHeight="1">
      <c r="A89" s="362">
        <v>1996</v>
      </c>
      <c r="V89" s="127">
        <v>109.9</v>
      </c>
      <c r="W89">
        <f t="shared" si="22"/>
        <v>0</v>
      </c>
      <c r="X89">
        <f t="shared" ref="X89:AZ89" si="74">IF(AND(X$37-$A89&gt;$V$25,SUM($W89:W89)&lt;&gt;$V89),$V89,0)</f>
        <v>0</v>
      </c>
      <c r="Y89">
        <f t="shared" si="74"/>
        <v>0</v>
      </c>
      <c r="Z89">
        <f t="shared" si="74"/>
        <v>0</v>
      </c>
      <c r="AA89">
        <f t="shared" si="74"/>
        <v>0</v>
      </c>
      <c r="AB89">
        <f t="shared" si="74"/>
        <v>0</v>
      </c>
      <c r="AC89">
        <f t="shared" si="74"/>
        <v>0</v>
      </c>
      <c r="AD89">
        <f t="shared" si="74"/>
        <v>0</v>
      </c>
      <c r="AE89">
        <f t="shared" si="74"/>
        <v>0</v>
      </c>
      <c r="AF89">
        <f t="shared" si="74"/>
        <v>0</v>
      </c>
      <c r="AG89">
        <f t="shared" si="74"/>
        <v>0</v>
      </c>
      <c r="AH89">
        <f t="shared" si="74"/>
        <v>0</v>
      </c>
      <c r="AI89">
        <f t="shared" si="74"/>
        <v>0</v>
      </c>
      <c r="AJ89">
        <f t="shared" si="74"/>
        <v>0</v>
      </c>
      <c r="AK89">
        <f t="shared" si="74"/>
        <v>0</v>
      </c>
      <c r="AL89">
        <f t="shared" si="74"/>
        <v>0</v>
      </c>
      <c r="AM89">
        <f t="shared" si="74"/>
        <v>0</v>
      </c>
      <c r="AN89">
        <f t="shared" si="74"/>
        <v>0</v>
      </c>
      <c r="AO89">
        <f t="shared" si="74"/>
        <v>0</v>
      </c>
      <c r="AP89">
        <f t="shared" si="74"/>
        <v>0</v>
      </c>
      <c r="AQ89">
        <f t="shared" si="74"/>
        <v>0</v>
      </c>
      <c r="AR89">
        <f t="shared" si="74"/>
        <v>0</v>
      </c>
      <c r="AS89">
        <f t="shared" si="74"/>
        <v>0</v>
      </c>
      <c r="AT89">
        <f t="shared" si="74"/>
        <v>0</v>
      </c>
      <c r="AU89">
        <f t="shared" si="74"/>
        <v>0</v>
      </c>
      <c r="AV89">
        <f t="shared" si="74"/>
        <v>0</v>
      </c>
      <c r="AW89">
        <f t="shared" si="74"/>
        <v>0</v>
      </c>
      <c r="AX89">
        <f t="shared" si="74"/>
        <v>0</v>
      </c>
      <c r="AY89">
        <f t="shared" si="74"/>
        <v>0</v>
      </c>
      <c r="AZ89">
        <f t="shared" si="74"/>
        <v>0</v>
      </c>
    </row>
    <row r="90" spans="1:52" ht="15.75" customHeight="1">
      <c r="A90" s="362">
        <v>1997</v>
      </c>
      <c r="V90" s="127">
        <v>49.5</v>
      </c>
      <c r="W90">
        <f t="shared" si="22"/>
        <v>0</v>
      </c>
      <c r="X90">
        <f t="shared" ref="X90:AZ90" si="75">IF(AND(X$37-$A90&gt;$V$25,SUM($W90:W90)&lt;&gt;$V90),$V90,0)</f>
        <v>0</v>
      </c>
      <c r="Y90">
        <f t="shared" si="75"/>
        <v>0</v>
      </c>
      <c r="Z90">
        <f t="shared" si="75"/>
        <v>0</v>
      </c>
      <c r="AA90">
        <f t="shared" si="75"/>
        <v>0</v>
      </c>
      <c r="AB90">
        <f t="shared" si="75"/>
        <v>0</v>
      </c>
      <c r="AC90">
        <f t="shared" si="75"/>
        <v>0</v>
      </c>
      <c r="AD90">
        <f t="shared" si="75"/>
        <v>0</v>
      </c>
      <c r="AE90">
        <f t="shared" si="75"/>
        <v>0</v>
      </c>
      <c r="AF90">
        <f t="shared" si="75"/>
        <v>0</v>
      </c>
      <c r="AG90">
        <f t="shared" si="75"/>
        <v>0</v>
      </c>
      <c r="AH90">
        <f t="shared" si="75"/>
        <v>0</v>
      </c>
      <c r="AI90">
        <f t="shared" si="75"/>
        <v>0</v>
      </c>
      <c r="AJ90">
        <f t="shared" si="75"/>
        <v>0</v>
      </c>
      <c r="AK90">
        <f t="shared" si="75"/>
        <v>0</v>
      </c>
      <c r="AL90">
        <f t="shared" si="75"/>
        <v>0</v>
      </c>
      <c r="AM90">
        <f t="shared" si="75"/>
        <v>0</v>
      </c>
      <c r="AN90">
        <f t="shared" si="75"/>
        <v>0</v>
      </c>
      <c r="AO90">
        <f t="shared" si="75"/>
        <v>0</v>
      </c>
      <c r="AP90">
        <f t="shared" si="75"/>
        <v>0</v>
      </c>
      <c r="AQ90">
        <f t="shared" si="75"/>
        <v>0</v>
      </c>
      <c r="AR90">
        <f t="shared" si="75"/>
        <v>0</v>
      </c>
      <c r="AS90">
        <f t="shared" si="75"/>
        <v>0</v>
      </c>
      <c r="AT90">
        <f t="shared" si="75"/>
        <v>0</v>
      </c>
      <c r="AU90">
        <f t="shared" si="75"/>
        <v>0</v>
      </c>
      <c r="AV90">
        <f t="shared" si="75"/>
        <v>0</v>
      </c>
      <c r="AW90">
        <f t="shared" si="75"/>
        <v>0</v>
      </c>
      <c r="AX90">
        <f t="shared" si="75"/>
        <v>0</v>
      </c>
      <c r="AY90">
        <f t="shared" si="75"/>
        <v>0</v>
      </c>
      <c r="AZ90">
        <f t="shared" si="75"/>
        <v>0</v>
      </c>
    </row>
    <row r="91" spans="1:52" ht="15.75" customHeight="1">
      <c r="A91" s="362">
        <v>1998</v>
      </c>
      <c r="V91" s="127">
        <v>91.7</v>
      </c>
      <c r="W91">
        <f t="shared" si="22"/>
        <v>0</v>
      </c>
      <c r="X91">
        <f t="shared" ref="X91:AZ91" si="76">IF(AND(X$37-$A91&gt;$V$25,SUM($W91:W91)&lt;&gt;$V91),$V91,0)</f>
        <v>0</v>
      </c>
      <c r="Y91">
        <f t="shared" si="76"/>
        <v>0</v>
      </c>
      <c r="Z91">
        <f t="shared" si="76"/>
        <v>0</v>
      </c>
      <c r="AA91">
        <f t="shared" si="76"/>
        <v>0</v>
      </c>
      <c r="AB91">
        <f t="shared" si="76"/>
        <v>0</v>
      </c>
      <c r="AC91">
        <f t="shared" si="76"/>
        <v>0</v>
      </c>
      <c r="AD91">
        <f t="shared" si="76"/>
        <v>0</v>
      </c>
      <c r="AE91">
        <f t="shared" si="76"/>
        <v>0</v>
      </c>
      <c r="AF91">
        <f t="shared" si="76"/>
        <v>0</v>
      </c>
      <c r="AG91">
        <f t="shared" si="76"/>
        <v>0</v>
      </c>
      <c r="AH91">
        <f t="shared" si="76"/>
        <v>0</v>
      </c>
      <c r="AI91">
        <f t="shared" si="76"/>
        <v>0</v>
      </c>
      <c r="AJ91">
        <f t="shared" si="76"/>
        <v>0</v>
      </c>
      <c r="AK91">
        <f t="shared" si="76"/>
        <v>0</v>
      </c>
      <c r="AL91">
        <f t="shared" si="76"/>
        <v>0</v>
      </c>
      <c r="AM91">
        <f t="shared" si="76"/>
        <v>0</v>
      </c>
      <c r="AN91">
        <f t="shared" si="76"/>
        <v>0</v>
      </c>
      <c r="AO91">
        <f t="shared" si="76"/>
        <v>0</v>
      </c>
      <c r="AP91">
        <f t="shared" si="76"/>
        <v>0</v>
      </c>
      <c r="AQ91">
        <f t="shared" si="76"/>
        <v>0</v>
      </c>
      <c r="AR91">
        <f t="shared" si="76"/>
        <v>0</v>
      </c>
      <c r="AS91">
        <f t="shared" si="76"/>
        <v>0</v>
      </c>
      <c r="AT91">
        <f t="shared" si="76"/>
        <v>0</v>
      </c>
      <c r="AU91">
        <f t="shared" si="76"/>
        <v>0</v>
      </c>
      <c r="AV91">
        <f t="shared" si="76"/>
        <v>0</v>
      </c>
      <c r="AW91">
        <f t="shared" si="76"/>
        <v>0</v>
      </c>
      <c r="AX91">
        <f t="shared" si="76"/>
        <v>0</v>
      </c>
      <c r="AY91">
        <f t="shared" si="76"/>
        <v>0</v>
      </c>
      <c r="AZ91">
        <f t="shared" si="76"/>
        <v>0</v>
      </c>
    </row>
    <row r="92" spans="1:52" ht="15.75" customHeight="1">
      <c r="A92" s="362">
        <v>1999</v>
      </c>
      <c r="V92" s="127">
        <v>122.9</v>
      </c>
      <c r="W92">
        <f t="shared" si="22"/>
        <v>0</v>
      </c>
      <c r="X92">
        <f t="shared" ref="X92:AZ92" si="77">IF(AND(X$37-$A92&gt;$V$25,SUM($W92:W92)&lt;&gt;$V92),$V92,0)</f>
        <v>0</v>
      </c>
      <c r="Y92">
        <f t="shared" si="77"/>
        <v>0</v>
      </c>
      <c r="Z92">
        <f t="shared" si="77"/>
        <v>0</v>
      </c>
      <c r="AA92">
        <f t="shared" si="77"/>
        <v>0</v>
      </c>
      <c r="AB92">
        <f t="shared" si="77"/>
        <v>0</v>
      </c>
      <c r="AC92">
        <f t="shared" si="77"/>
        <v>0</v>
      </c>
      <c r="AD92">
        <f t="shared" si="77"/>
        <v>0</v>
      </c>
      <c r="AE92">
        <f t="shared" si="77"/>
        <v>0</v>
      </c>
      <c r="AF92">
        <f t="shared" si="77"/>
        <v>0</v>
      </c>
      <c r="AG92">
        <f t="shared" si="77"/>
        <v>0</v>
      </c>
      <c r="AH92">
        <f t="shared" si="77"/>
        <v>0</v>
      </c>
      <c r="AI92">
        <f t="shared" si="77"/>
        <v>0</v>
      </c>
      <c r="AJ92">
        <f t="shared" si="77"/>
        <v>0</v>
      </c>
      <c r="AK92">
        <f t="shared" si="77"/>
        <v>0</v>
      </c>
      <c r="AL92">
        <f t="shared" si="77"/>
        <v>0</v>
      </c>
      <c r="AM92">
        <f t="shared" si="77"/>
        <v>0</v>
      </c>
      <c r="AN92">
        <f t="shared" si="77"/>
        <v>0</v>
      </c>
      <c r="AO92">
        <f t="shared" si="77"/>
        <v>0</v>
      </c>
      <c r="AP92">
        <f t="shared" si="77"/>
        <v>0</v>
      </c>
      <c r="AQ92">
        <f t="shared" si="77"/>
        <v>0</v>
      </c>
      <c r="AR92">
        <f t="shared" si="77"/>
        <v>0</v>
      </c>
      <c r="AS92">
        <f t="shared" si="77"/>
        <v>0</v>
      </c>
      <c r="AT92">
        <f t="shared" si="77"/>
        <v>0</v>
      </c>
      <c r="AU92">
        <f t="shared" si="77"/>
        <v>0</v>
      </c>
      <c r="AV92">
        <f t="shared" si="77"/>
        <v>0</v>
      </c>
      <c r="AW92">
        <f t="shared" si="77"/>
        <v>0</v>
      </c>
      <c r="AX92">
        <f t="shared" si="77"/>
        <v>0</v>
      </c>
      <c r="AY92">
        <f t="shared" si="77"/>
        <v>0</v>
      </c>
      <c r="AZ92">
        <f t="shared" si="77"/>
        <v>0</v>
      </c>
    </row>
    <row r="93" spans="1:52" ht="15.75" customHeight="1">
      <c r="A93" s="362">
        <v>2000</v>
      </c>
      <c r="V93" s="127">
        <v>6.4</v>
      </c>
      <c r="W93">
        <f t="shared" si="22"/>
        <v>0</v>
      </c>
      <c r="X93">
        <f t="shared" ref="X93:AZ93" si="78">IF(AND(X$37-$A93&gt;$V$25,SUM($W93:W93)&lt;&gt;$V93),$V93,0)</f>
        <v>0</v>
      </c>
      <c r="Y93">
        <f t="shared" si="78"/>
        <v>0</v>
      </c>
      <c r="Z93">
        <f t="shared" si="78"/>
        <v>0</v>
      </c>
      <c r="AA93">
        <f t="shared" si="78"/>
        <v>0</v>
      </c>
      <c r="AB93">
        <f t="shared" si="78"/>
        <v>0</v>
      </c>
      <c r="AC93">
        <f t="shared" si="78"/>
        <v>0</v>
      </c>
      <c r="AD93">
        <f t="shared" si="78"/>
        <v>0</v>
      </c>
      <c r="AE93">
        <f t="shared" si="78"/>
        <v>0</v>
      </c>
      <c r="AF93">
        <f t="shared" si="78"/>
        <v>0</v>
      </c>
      <c r="AG93">
        <f t="shared" si="78"/>
        <v>0</v>
      </c>
      <c r="AH93">
        <f t="shared" si="78"/>
        <v>0</v>
      </c>
      <c r="AI93">
        <f t="shared" si="78"/>
        <v>0</v>
      </c>
      <c r="AJ93">
        <f t="shared" si="78"/>
        <v>0</v>
      </c>
      <c r="AK93">
        <f t="shared" si="78"/>
        <v>0</v>
      </c>
      <c r="AL93">
        <f t="shared" si="78"/>
        <v>0</v>
      </c>
      <c r="AM93">
        <f t="shared" si="78"/>
        <v>0</v>
      </c>
      <c r="AN93">
        <f t="shared" si="78"/>
        <v>0</v>
      </c>
      <c r="AO93">
        <f t="shared" si="78"/>
        <v>0</v>
      </c>
      <c r="AP93">
        <f t="shared" si="78"/>
        <v>0</v>
      </c>
      <c r="AQ93">
        <f t="shared" si="78"/>
        <v>0</v>
      </c>
      <c r="AR93">
        <f t="shared" si="78"/>
        <v>0</v>
      </c>
      <c r="AS93">
        <f t="shared" si="78"/>
        <v>0</v>
      </c>
      <c r="AT93">
        <f t="shared" si="78"/>
        <v>0</v>
      </c>
      <c r="AU93">
        <f t="shared" si="78"/>
        <v>0</v>
      </c>
      <c r="AV93">
        <f t="shared" si="78"/>
        <v>0</v>
      </c>
      <c r="AW93">
        <f t="shared" si="78"/>
        <v>0</v>
      </c>
      <c r="AX93">
        <f t="shared" si="78"/>
        <v>0</v>
      </c>
      <c r="AY93">
        <f t="shared" si="78"/>
        <v>0</v>
      </c>
      <c r="AZ93">
        <f t="shared" si="78"/>
        <v>0</v>
      </c>
    </row>
    <row r="94" spans="1:52" ht="15.75" customHeight="1">
      <c r="A94" s="362">
        <v>2001</v>
      </c>
      <c r="V94" s="127">
        <v>81.400000000000006</v>
      </c>
      <c r="W94">
        <f t="shared" si="22"/>
        <v>0</v>
      </c>
      <c r="X94">
        <f t="shared" ref="X94:AZ94" si="79">IF(AND(X$37-$A94&gt;$V$25,SUM($W94:W94)&lt;&gt;$V94),$V94,0)</f>
        <v>0</v>
      </c>
      <c r="Y94">
        <f t="shared" si="79"/>
        <v>0</v>
      </c>
      <c r="Z94">
        <f t="shared" si="79"/>
        <v>0</v>
      </c>
      <c r="AA94">
        <f t="shared" si="79"/>
        <v>0</v>
      </c>
      <c r="AB94">
        <f t="shared" si="79"/>
        <v>0</v>
      </c>
      <c r="AC94">
        <f t="shared" si="79"/>
        <v>0</v>
      </c>
      <c r="AD94">
        <f t="shared" si="79"/>
        <v>0</v>
      </c>
      <c r="AE94">
        <f t="shared" si="79"/>
        <v>0</v>
      </c>
      <c r="AF94">
        <f t="shared" si="79"/>
        <v>0</v>
      </c>
      <c r="AG94">
        <f t="shared" si="79"/>
        <v>0</v>
      </c>
      <c r="AH94">
        <f t="shared" si="79"/>
        <v>0</v>
      </c>
      <c r="AI94">
        <f t="shared" si="79"/>
        <v>0</v>
      </c>
      <c r="AJ94">
        <f t="shared" si="79"/>
        <v>0</v>
      </c>
      <c r="AK94">
        <f t="shared" si="79"/>
        <v>0</v>
      </c>
      <c r="AL94">
        <f t="shared" si="79"/>
        <v>0</v>
      </c>
      <c r="AM94">
        <f t="shared" si="79"/>
        <v>0</v>
      </c>
      <c r="AN94">
        <f t="shared" si="79"/>
        <v>0</v>
      </c>
      <c r="AO94">
        <f t="shared" si="79"/>
        <v>0</v>
      </c>
      <c r="AP94">
        <f t="shared" si="79"/>
        <v>0</v>
      </c>
      <c r="AQ94">
        <f t="shared" si="79"/>
        <v>0</v>
      </c>
      <c r="AR94">
        <f t="shared" si="79"/>
        <v>0</v>
      </c>
      <c r="AS94">
        <f t="shared" si="79"/>
        <v>0</v>
      </c>
      <c r="AT94">
        <f t="shared" si="79"/>
        <v>0</v>
      </c>
      <c r="AU94">
        <f t="shared" si="79"/>
        <v>0</v>
      </c>
      <c r="AV94">
        <f t="shared" si="79"/>
        <v>0</v>
      </c>
      <c r="AW94">
        <f t="shared" si="79"/>
        <v>0</v>
      </c>
      <c r="AX94">
        <f t="shared" si="79"/>
        <v>0</v>
      </c>
      <c r="AY94">
        <f t="shared" si="79"/>
        <v>0</v>
      </c>
      <c r="AZ94">
        <f t="shared" si="79"/>
        <v>0</v>
      </c>
    </row>
    <row r="95" spans="1:52" ht="15.75" customHeight="1">
      <c r="A95" s="362">
        <v>2002</v>
      </c>
      <c r="V95" s="127">
        <v>6.9</v>
      </c>
      <c r="W95">
        <f t="shared" si="22"/>
        <v>0</v>
      </c>
      <c r="X95">
        <f t="shared" ref="X95:AZ95" si="80">IF(AND(X$37-$A95&gt;$V$25,SUM($W95:W95)&lt;&gt;$V95),$V95,0)</f>
        <v>0</v>
      </c>
      <c r="Y95">
        <f t="shared" si="80"/>
        <v>0</v>
      </c>
      <c r="Z95">
        <f t="shared" si="80"/>
        <v>0</v>
      </c>
      <c r="AA95">
        <f t="shared" si="80"/>
        <v>0</v>
      </c>
      <c r="AB95">
        <f t="shared" si="80"/>
        <v>0</v>
      </c>
      <c r="AC95">
        <f t="shared" si="80"/>
        <v>0</v>
      </c>
      <c r="AD95">
        <f t="shared" si="80"/>
        <v>0</v>
      </c>
      <c r="AE95">
        <f t="shared" si="80"/>
        <v>0</v>
      </c>
      <c r="AF95">
        <f t="shared" si="80"/>
        <v>0</v>
      </c>
      <c r="AG95">
        <f t="shared" si="80"/>
        <v>0</v>
      </c>
      <c r="AH95">
        <f t="shared" si="80"/>
        <v>0</v>
      </c>
      <c r="AI95">
        <f t="shared" si="80"/>
        <v>0</v>
      </c>
      <c r="AJ95">
        <f t="shared" si="80"/>
        <v>0</v>
      </c>
      <c r="AK95">
        <f t="shared" si="80"/>
        <v>0</v>
      </c>
      <c r="AL95">
        <f t="shared" si="80"/>
        <v>0</v>
      </c>
      <c r="AM95">
        <f t="shared" si="80"/>
        <v>0</v>
      </c>
      <c r="AN95">
        <f t="shared" si="80"/>
        <v>0</v>
      </c>
      <c r="AO95">
        <f t="shared" si="80"/>
        <v>0</v>
      </c>
      <c r="AP95">
        <f t="shared" si="80"/>
        <v>0</v>
      </c>
      <c r="AQ95">
        <f t="shared" si="80"/>
        <v>0</v>
      </c>
      <c r="AR95">
        <f t="shared" si="80"/>
        <v>0</v>
      </c>
      <c r="AS95">
        <f t="shared" si="80"/>
        <v>0</v>
      </c>
      <c r="AT95">
        <f t="shared" si="80"/>
        <v>0</v>
      </c>
      <c r="AU95">
        <f t="shared" si="80"/>
        <v>0</v>
      </c>
      <c r="AV95">
        <f t="shared" si="80"/>
        <v>0</v>
      </c>
      <c r="AW95">
        <f t="shared" si="80"/>
        <v>0</v>
      </c>
      <c r="AX95">
        <f t="shared" si="80"/>
        <v>0</v>
      </c>
      <c r="AY95">
        <f t="shared" si="80"/>
        <v>0</v>
      </c>
      <c r="AZ95">
        <f t="shared" si="80"/>
        <v>0</v>
      </c>
    </row>
    <row r="96" spans="1:52" ht="15.75" customHeight="1">
      <c r="A96" s="362">
        <v>2003</v>
      </c>
      <c r="V96" s="127">
        <v>58.7</v>
      </c>
      <c r="W96">
        <f t="shared" si="22"/>
        <v>0</v>
      </c>
      <c r="X96">
        <f t="shared" ref="X96:AZ96" si="81">IF(AND(X$37-$A96&gt;$V$25,SUM($W96:W96)&lt;&gt;$V96),$V96,0)</f>
        <v>0</v>
      </c>
      <c r="Y96">
        <f t="shared" si="81"/>
        <v>0</v>
      </c>
      <c r="Z96">
        <f t="shared" si="81"/>
        <v>0</v>
      </c>
      <c r="AA96">
        <f t="shared" si="81"/>
        <v>0</v>
      </c>
      <c r="AB96">
        <f t="shared" si="81"/>
        <v>0</v>
      </c>
      <c r="AC96">
        <f t="shared" si="81"/>
        <v>0</v>
      </c>
      <c r="AD96">
        <f t="shared" si="81"/>
        <v>0</v>
      </c>
      <c r="AE96">
        <f t="shared" si="81"/>
        <v>0</v>
      </c>
      <c r="AF96">
        <f t="shared" si="81"/>
        <v>0</v>
      </c>
      <c r="AG96">
        <f t="shared" si="81"/>
        <v>0</v>
      </c>
      <c r="AH96">
        <f t="shared" si="81"/>
        <v>0</v>
      </c>
      <c r="AI96">
        <f t="shared" si="81"/>
        <v>0</v>
      </c>
      <c r="AJ96">
        <f t="shared" si="81"/>
        <v>0</v>
      </c>
      <c r="AK96">
        <f t="shared" si="81"/>
        <v>0</v>
      </c>
      <c r="AL96">
        <f t="shared" si="81"/>
        <v>0</v>
      </c>
      <c r="AM96">
        <f t="shared" si="81"/>
        <v>0</v>
      </c>
      <c r="AN96">
        <f t="shared" si="81"/>
        <v>0</v>
      </c>
      <c r="AO96">
        <f t="shared" si="81"/>
        <v>0</v>
      </c>
      <c r="AP96">
        <f t="shared" si="81"/>
        <v>0</v>
      </c>
      <c r="AQ96">
        <f t="shared" si="81"/>
        <v>0</v>
      </c>
      <c r="AR96">
        <f t="shared" si="81"/>
        <v>0</v>
      </c>
      <c r="AS96">
        <f t="shared" si="81"/>
        <v>0</v>
      </c>
      <c r="AT96">
        <f t="shared" si="81"/>
        <v>0</v>
      </c>
      <c r="AU96">
        <f t="shared" si="81"/>
        <v>0</v>
      </c>
      <c r="AV96">
        <f t="shared" si="81"/>
        <v>0</v>
      </c>
      <c r="AW96">
        <f t="shared" si="81"/>
        <v>0</v>
      </c>
      <c r="AX96">
        <f t="shared" si="81"/>
        <v>0</v>
      </c>
      <c r="AY96">
        <f t="shared" si="81"/>
        <v>0</v>
      </c>
      <c r="AZ96">
        <f t="shared" si="81"/>
        <v>0</v>
      </c>
    </row>
    <row r="97" spans="1:52" ht="15.75" customHeight="1">
      <c r="A97" s="362">
        <v>2004</v>
      </c>
      <c r="V97" s="127">
        <v>57.5</v>
      </c>
      <c r="W97">
        <f t="shared" si="22"/>
        <v>0</v>
      </c>
      <c r="X97">
        <f t="shared" ref="X97:AZ97" si="82">IF(AND(X$37-$A97&gt;$V$25,SUM($W97:W97)&lt;&gt;$V97),$V97,0)</f>
        <v>0</v>
      </c>
      <c r="Y97">
        <f t="shared" si="82"/>
        <v>0</v>
      </c>
      <c r="Z97">
        <f t="shared" si="82"/>
        <v>0</v>
      </c>
      <c r="AA97">
        <f t="shared" si="82"/>
        <v>0</v>
      </c>
      <c r="AB97">
        <f t="shared" si="82"/>
        <v>0</v>
      </c>
      <c r="AC97">
        <f t="shared" si="82"/>
        <v>0</v>
      </c>
      <c r="AD97">
        <f t="shared" si="82"/>
        <v>0</v>
      </c>
      <c r="AE97">
        <f t="shared" si="82"/>
        <v>0</v>
      </c>
      <c r="AF97">
        <f t="shared" si="82"/>
        <v>0</v>
      </c>
      <c r="AG97">
        <f t="shared" si="82"/>
        <v>0</v>
      </c>
      <c r="AH97">
        <f t="shared" si="82"/>
        <v>0</v>
      </c>
      <c r="AI97">
        <f t="shared" si="82"/>
        <v>0</v>
      </c>
      <c r="AJ97">
        <f t="shared" si="82"/>
        <v>0</v>
      </c>
      <c r="AK97">
        <f t="shared" si="82"/>
        <v>0</v>
      </c>
      <c r="AL97">
        <f t="shared" si="82"/>
        <v>0</v>
      </c>
      <c r="AM97">
        <f t="shared" si="82"/>
        <v>0</v>
      </c>
      <c r="AN97">
        <f t="shared" si="82"/>
        <v>0</v>
      </c>
      <c r="AO97">
        <f t="shared" si="82"/>
        <v>0</v>
      </c>
      <c r="AP97">
        <f t="shared" si="82"/>
        <v>0</v>
      </c>
      <c r="AQ97">
        <f t="shared" si="82"/>
        <v>0</v>
      </c>
      <c r="AR97">
        <f t="shared" si="82"/>
        <v>0</v>
      </c>
      <c r="AS97">
        <f t="shared" si="82"/>
        <v>0</v>
      </c>
      <c r="AT97">
        <f t="shared" si="82"/>
        <v>0</v>
      </c>
      <c r="AU97">
        <f t="shared" si="82"/>
        <v>0</v>
      </c>
      <c r="AV97">
        <f t="shared" si="82"/>
        <v>0</v>
      </c>
      <c r="AW97">
        <f t="shared" si="82"/>
        <v>0</v>
      </c>
      <c r="AX97">
        <f t="shared" si="82"/>
        <v>0</v>
      </c>
      <c r="AY97">
        <f t="shared" si="82"/>
        <v>0</v>
      </c>
      <c r="AZ97">
        <f t="shared" si="82"/>
        <v>0</v>
      </c>
    </row>
    <row r="98" spans="1:52" ht="15.75" customHeight="1">
      <c r="A98" s="362">
        <v>2005</v>
      </c>
      <c r="V98" s="127">
        <v>1.8</v>
      </c>
      <c r="W98">
        <f t="shared" si="22"/>
        <v>0</v>
      </c>
      <c r="X98">
        <f t="shared" ref="X98:AZ98" si="83">IF(AND(X$37-$A98&gt;$V$25,SUM($W98:W98)&lt;&gt;$V98),$V98,0)</f>
        <v>0</v>
      </c>
      <c r="Y98">
        <f t="shared" si="83"/>
        <v>0</v>
      </c>
      <c r="Z98">
        <f t="shared" si="83"/>
        <v>0</v>
      </c>
      <c r="AA98">
        <f t="shared" si="83"/>
        <v>0</v>
      </c>
      <c r="AB98">
        <f t="shared" si="83"/>
        <v>0</v>
      </c>
      <c r="AC98">
        <f t="shared" si="83"/>
        <v>0</v>
      </c>
      <c r="AD98">
        <f t="shared" si="83"/>
        <v>0</v>
      </c>
      <c r="AE98">
        <f t="shared" si="83"/>
        <v>0</v>
      </c>
      <c r="AF98">
        <f t="shared" si="83"/>
        <v>0</v>
      </c>
      <c r="AG98">
        <f t="shared" si="83"/>
        <v>0</v>
      </c>
      <c r="AH98">
        <f t="shared" si="83"/>
        <v>0</v>
      </c>
      <c r="AI98">
        <f t="shared" si="83"/>
        <v>0</v>
      </c>
      <c r="AJ98">
        <f t="shared" si="83"/>
        <v>0</v>
      </c>
      <c r="AK98">
        <f t="shared" si="83"/>
        <v>0</v>
      </c>
      <c r="AL98">
        <f t="shared" si="83"/>
        <v>0</v>
      </c>
      <c r="AM98">
        <f t="shared" si="83"/>
        <v>0</v>
      </c>
      <c r="AN98">
        <f t="shared" si="83"/>
        <v>0</v>
      </c>
      <c r="AO98">
        <f t="shared" si="83"/>
        <v>0</v>
      </c>
      <c r="AP98">
        <f t="shared" si="83"/>
        <v>0</v>
      </c>
      <c r="AQ98">
        <f t="shared" si="83"/>
        <v>0</v>
      </c>
      <c r="AR98">
        <f t="shared" si="83"/>
        <v>0</v>
      </c>
      <c r="AS98">
        <f t="shared" si="83"/>
        <v>0</v>
      </c>
      <c r="AT98">
        <f t="shared" si="83"/>
        <v>0</v>
      </c>
      <c r="AU98">
        <f t="shared" si="83"/>
        <v>0</v>
      </c>
      <c r="AV98">
        <f t="shared" si="83"/>
        <v>0</v>
      </c>
      <c r="AW98">
        <f t="shared" si="83"/>
        <v>0</v>
      </c>
      <c r="AX98">
        <f t="shared" si="83"/>
        <v>0</v>
      </c>
      <c r="AY98">
        <f t="shared" si="83"/>
        <v>0</v>
      </c>
      <c r="AZ98">
        <f t="shared" si="83"/>
        <v>0</v>
      </c>
    </row>
    <row r="99" spans="1:52" ht="15.75" customHeight="1">
      <c r="A99" s="362">
        <v>2006</v>
      </c>
      <c r="V99" s="127">
        <v>104</v>
      </c>
      <c r="W99">
        <f t="shared" si="22"/>
        <v>0</v>
      </c>
      <c r="X99">
        <f t="shared" ref="X99:AZ99" si="84">IF(AND(X$37-$A99&gt;$V$25,SUM($W99:W99)&lt;&gt;$V99),$V99,0)</f>
        <v>0</v>
      </c>
      <c r="Y99">
        <f t="shared" si="84"/>
        <v>0</v>
      </c>
      <c r="Z99">
        <f t="shared" si="84"/>
        <v>0</v>
      </c>
      <c r="AA99">
        <f t="shared" si="84"/>
        <v>0</v>
      </c>
      <c r="AB99">
        <f t="shared" si="84"/>
        <v>0</v>
      </c>
      <c r="AC99">
        <f t="shared" si="84"/>
        <v>0</v>
      </c>
      <c r="AD99">
        <f t="shared" si="84"/>
        <v>0</v>
      </c>
      <c r="AE99">
        <f t="shared" si="84"/>
        <v>0</v>
      </c>
      <c r="AF99">
        <f t="shared" si="84"/>
        <v>0</v>
      </c>
      <c r="AG99">
        <f t="shared" si="84"/>
        <v>0</v>
      </c>
      <c r="AH99">
        <f t="shared" si="84"/>
        <v>0</v>
      </c>
      <c r="AI99">
        <f t="shared" si="84"/>
        <v>0</v>
      </c>
      <c r="AJ99">
        <f t="shared" si="84"/>
        <v>0</v>
      </c>
      <c r="AK99">
        <f t="shared" si="84"/>
        <v>0</v>
      </c>
      <c r="AL99">
        <f t="shared" si="84"/>
        <v>0</v>
      </c>
      <c r="AM99">
        <f t="shared" si="84"/>
        <v>0</v>
      </c>
      <c r="AN99">
        <f t="shared" si="84"/>
        <v>0</v>
      </c>
      <c r="AO99">
        <f t="shared" si="84"/>
        <v>0</v>
      </c>
      <c r="AP99">
        <f t="shared" si="84"/>
        <v>0</v>
      </c>
      <c r="AQ99">
        <f t="shared" si="84"/>
        <v>0</v>
      </c>
      <c r="AR99">
        <f t="shared" si="84"/>
        <v>0</v>
      </c>
      <c r="AS99">
        <f t="shared" si="84"/>
        <v>0</v>
      </c>
      <c r="AT99">
        <f t="shared" si="84"/>
        <v>0</v>
      </c>
      <c r="AU99">
        <f t="shared" si="84"/>
        <v>0</v>
      </c>
      <c r="AV99">
        <f t="shared" si="84"/>
        <v>0</v>
      </c>
      <c r="AW99">
        <f t="shared" si="84"/>
        <v>0</v>
      </c>
      <c r="AX99">
        <f t="shared" si="84"/>
        <v>0</v>
      </c>
      <c r="AY99">
        <f t="shared" si="84"/>
        <v>0</v>
      </c>
      <c r="AZ99">
        <f t="shared" si="84"/>
        <v>0</v>
      </c>
    </row>
    <row r="100" spans="1:52" ht="15.75" customHeight="1">
      <c r="A100" s="362">
        <v>2007</v>
      </c>
      <c r="V100" s="127">
        <v>107.9</v>
      </c>
      <c r="W100">
        <f t="shared" si="22"/>
        <v>0</v>
      </c>
      <c r="X100">
        <f t="shared" ref="X100:AZ100" si="85">IF(AND(X$37-$A100&gt;$V$25,SUM($W100:W100)&lt;&gt;$V100),$V100,0)</f>
        <v>0</v>
      </c>
      <c r="Y100">
        <f t="shared" si="85"/>
        <v>0</v>
      </c>
      <c r="Z100">
        <f t="shared" si="85"/>
        <v>0</v>
      </c>
      <c r="AA100">
        <f t="shared" si="85"/>
        <v>0</v>
      </c>
      <c r="AB100">
        <f t="shared" si="85"/>
        <v>0</v>
      </c>
      <c r="AC100">
        <f t="shared" si="85"/>
        <v>0</v>
      </c>
      <c r="AD100">
        <f t="shared" si="85"/>
        <v>0</v>
      </c>
      <c r="AE100">
        <f t="shared" si="85"/>
        <v>0</v>
      </c>
      <c r="AF100">
        <f t="shared" si="85"/>
        <v>0</v>
      </c>
      <c r="AG100">
        <f t="shared" si="85"/>
        <v>0</v>
      </c>
      <c r="AH100">
        <f t="shared" si="85"/>
        <v>0</v>
      </c>
      <c r="AI100">
        <f t="shared" si="85"/>
        <v>0</v>
      </c>
      <c r="AJ100">
        <f t="shared" si="85"/>
        <v>0</v>
      </c>
      <c r="AK100">
        <f t="shared" si="85"/>
        <v>0</v>
      </c>
      <c r="AL100">
        <f t="shared" si="85"/>
        <v>0</v>
      </c>
      <c r="AM100">
        <f t="shared" si="85"/>
        <v>0</v>
      </c>
      <c r="AN100">
        <f t="shared" si="85"/>
        <v>0</v>
      </c>
      <c r="AO100">
        <f t="shared" si="85"/>
        <v>0</v>
      </c>
      <c r="AP100">
        <f t="shared" si="85"/>
        <v>0</v>
      </c>
      <c r="AQ100">
        <f t="shared" si="85"/>
        <v>0</v>
      </c>
      <c r="AR100">
        <f t="shared" si="85"/>
        <v>0</v>
      </c>
      <c r="AS100">
        <f t="shared" si="85"/>
        <v>0</v>
      </c>
      <c r="AT100">
        <f t="shared" si="85"/>
        <v>0</v>
      </c>
      <c r="AU100">
        <f t="shared" si="85"/>
        <v>0</v>
      </c>
      <c r="AV100">
        <f t="shared" si="85"/>
        <v>0</v>
      </c>
      <c r="AW100">
        <f t="shared" si="85"/>
        <v>0</v>
      </c>
      <c r="AX100">
        <f t="shared" si="85"/>
        <v>0</v>
      </c>
      <c r="AY100">
        <f t="shared" si="85"/>
        <v>0</v>
      </c>
      <c r="AZ100">
        <f t="shared" si="85"/>
        <v>0</v>
      </c>
    </row>
    <row r="101" spans="1:52" ht="15.75" customHeight="1">
      <c r="A101" s="362">
        <v>2008</v>
      </c>
      <c r="V101" s="127">
        <v>119.2</v>
      </c>
      <c r="W101">
        <f t="shared" si="22"/>
        <v>0</v>
      </c>
      <c r="X101">
        <f t="shared" ref="X101:AZ101" si="86">IF(AND(X$37-$A101&gt;$V$25,SUM($W101:W101)&lt;&gt;$V101),$V101,0)</f>
        <v>0</v>
      </c>
      <c r="Y101">
        <f t="shared" si="86"/>
        <v>0</v>
      </c>
      <c r="Z101">
        <f t="shared" si="86"/>
        <v>0</v>
      </c>
      <c r="AA101">
        <f t="shared" si="86"/>
        <v>0</v>
      </c>
      <c r="AB101">
        <f t="shared" si="86"/>
        <v>0</v>
      </c>
      <c r="AC101">
        <f t="shared" si="86"/>
        <v>0</v>
      </c>
      <c r="AD101">
        <f t="shared" si="86"/>
        <v>0</v>
      </c>
      <c r="AE101">
        <f t="shared" si="86"/>
        <v>0</v>
      </c>
      <c r="AF101">
        <f t="shared" si="86"/>
        <v>0</v>
      </c>
      <c r="AG101">
        <f t="shared" si="86"/>
        <v>0</v>
      </c>
      <c r="AH101">
        <f t="shared" si="86"/>
        <v>0</v>
      </c>
      <c r="AI101">
        <f t="shared" si="86"/>
        <v>0</v>
      </c>
      <c r="AJ101">
        <f t="shared" si="86"/>
        <v>0</v>
      </c>
      <c r="AK101">
        <f t="shared" si="86"/>
        <v>0</v>
      </c>
      <c r="AL101">
        <f t="shared" si="86"/>
        <v>0</v>
      </c>
      <c r="AM101">
        <f t="shared" si="86"/>
        <v>0</v>
      </c>
      <c r="AN101">
        <f t="shared" si="86"/>
        <v>0</v>
      </c>
      <c r="AO101">
        <f t="shared" si="86"/>
        <v>0</v>
      </c>
      <c r="AP101">
        <f t="shared" si="86"/>
        <v>0</v>
      </c>
      <c r="AQ101">
        <f t="shared" si="86"/>
        <v>0</v>
      </c>
      <c r="AR101">
        <f t="shared" si="86"/>
        <v>0</v>
      </c>
      <c r="AS101">
        <f t="shared" si="86"/>
        <v>0</v>
      </c>
      <c r="AT101">
        <f t="shared" si="86"/>
        <v>0</v>
      </c>
      <c r="AU101">
        <f t="shared" si="86"/>
        <v>0</v>
      </c>
      <c r="AV101">
        <f t="shared" si="86"/>
        <v>0</v>
      </c>
      <c r="AW101">
        <f t="shared" si="86"/>
        <v>0</v>
      </c>
      <c r="AX101">
        <f t="shared" si="86"/>
        <v>0</v>
      </c>
      <c r="AY101">
        <f t="shared" si="86"/>
        <v>0</v>
      </c>
      <c r="AZ101">
        <f t="shared" si="86"/>
        <v>0</v>
      </c>
    </row>
    <row r="102" spans="1:52" ht="15.75" customHeight="1">
      <c r="A102" s="362">
        <v>2009</v>
      </c>
      <c r="V102" s="127">
        <v>124.8</v>
      </c>
      <c r="W102">
        <f t="shared" si="22"/>
        <v>0</v>
      </c>
      <c r="X102">
        <f t="shared" ref="X102:AZ102" si="87">IF(AND(X$37-$A102&gt;$V$25,SUM($W102:W102)&lt;&gt;$V102),$V102,0)</f>
        <v>0</v>
      </c>
      <c r="Y102">
        <f t="shared" si="87"/>
        <v>0</v>
      </c>
      <c r="Z102">
        <f t="shared" si="87"/>
        <v>0</v>
      </c>
      <c r="AA102">
        <f t="shared" si="87"/>
        <v>0</v>
      </c>
      <c r="AB102">
        <f t="shared" si="87"/>
        <v>0</v>
      </c>
      <c r="AC102">
        <f t="shared" si="87"/>
        <v>0</v>
      </c>
      <c r="AD102">
        <f t="shared" si="87"/>
        <v>0</v>
      </c>
      <c r="AE102">
        <f t="shared" si="87"/>
        <v>0</v>
      </c>
      <c r="AF102">
        <f t="shared" si="87"/>
        <v>0</v>
      </c>
      <c r="AG102">
        <f t="shared" si="87"/>
        <v>0</v>
      </c>
      <c r="AH102">
        <f t="shared" si="87"/>
        <v>0</v>
      </c>
      <c r="AI102">
        <f t="shared" si="87"/>
        <v>0</v>
      </c>
      <c r="AJ102">
        <f t="shared" si="87"/>
        <v>0</v>
      </c>
      <c r="AK102">
        <f t="shared" si="87"/>
        <v>0</v>
      </c>
      <c r="AL102">
        <f t="shared" si="87"/>
        <v>0</v>
      </c>
      <c r="AM102">
        <f t="shared" si="87"/>
        <v>0</v>
      </c>
      <c r="AN102">
        <f t="shared" si="87"/>
        <v>0</v>
      </c>
      <c r="AO102">
        <f t="shared" si="87"/>
        <v>0</v>
      </c>
      <c r="AP102">
        <f t="shared" si="87"/>
        <v>0</v>
      </c>
      <c r="AQ102">
        <f t="shared" si="87"/>
        <v>0</v>
      </c>
      <c r="AR102">
        <f t="shared" si="87"/>
        <v>0</v>
      </c>
      <c r="AS102">
        <f t="shared" si="87"/>
        <v>0</v>
      </c>
      <c r="AT102">
        <f t="shared" si="87"/>
        <v>0</v>
      </c>
      <c r="AU102">
        <f t="shared" si="87"/>
        <v>0</v>
      </c>
      <c r="AV102">
        <f t="shared" si="87"/>
        <v>0</v>
      </c>
      <c r="AW102">
        <f t="shared" si="87"/>
        <v>0</v>
      </c>
      <c r="AX102">
        <f t="shared" si="87"/>
        <v>0</v>
      </c>
      <c r="AY102">
        <f t="shared" si="87"/>
        <v>0</v>
      </c>
      <c r="AZ102">
        <f t="shared" si="87"/>
        <v>0</v>
      </c>
    </row>
    <row r="103" spans="1:52" ht="15.75" customHeight="1">
      <c r="A103" s="362">
        <v>2010</v>
      </c>
      <c r="V103" s="127">
        <v>83.3</v>
      </c>
      <c r="W103">
        <f t="shared" si="22"/>
        <v>0</v>
      </c>
      <c r="X103">
        <f t="shared" ref="X103:AZ103" si="88">IF(AND(X$37-$A103&gt;$V$25,SUM($W103:W103)&lt;&gt;$V103),$V103,0)</f>
        <v>0</v>
      </c>
      <c r="Y103">
        <f t="shared" si="88"/>
        <v>0</v>
      </c>
      <c r="Z103">
        <f t="shared" si="88"/>
        <v>0</v>
      </c>
      <c r="AA103">
        <f t="shared" si="88"/>
        <v>0</v>
      </c>
      <c r="AB103">
        <f t="shared" si="88"/>
        <v>0</v>
      </c>
      <c r="AC103">
        <f t="shared" si="88"/>
        <v>0</v>
      </c>
      <c r="AD103">
        <f t="shared" si="88"/>
        <v>0</v>
      </c>
      <c r="AE103">
        <f t="shared" si="88"/>
        <v>0</v>
      </c>
      <c r="AF103">
        <f t="shared" si="88"/>
        <v>0</v>
      </c>
      <c r="AG103">
        <f t="shared" si="88"/>
        <v>0</v>
      </c>
      <c r="AH103">
        <f t="shared" si="88"/>
        <v>0</v>
      </c>
      <c r="AI103">
        <f t="shared" si="88"/>
        <v>0</v>
      </c>
      <c r="AJ103">
        <f t="shared" si="88"/>
        <v>0</v>
      </c>
      <c r="AK103">
        <f t="shared" si="88"/>
        <v>0</v>
      </c>
      <c r="AL103">
        <f t="shared" si="88"/>
        <v>0</v>
      </c>
      <c r="AM103">
        <f t="shared" si="88"/>
        <v>0</v>
      </c>
      <c r="AN103">
        <f t="shared" si="88"/>
        <v>0</v>
      </c>
      <c r="AO103">
        <f t="shared" si="88"/>
        <v>0</v>
      </c>
      <c r="AP103">
        <f t="shared" si="88"/>
        <v>0</v>
      </c>
      <c r="AQ103">
        <f t="shared" si="88"/>
        <v>0</v>
      </c>
      <c r="AR103">
        <f t="shared" si="88"/>
        <v>0</v>
      </c>
      <c r="AS103">
        <f t="shared" si="88"/>
        <v>0</v>
      </c>
      <c r="AT103">
        <f t="shared" si="88"/>
        <v>0</v>
      </c>
      <c r="AU103">
        <f t="shared" si="88"/>
        <v>0</v>
      </c>
      <c r="AV103">
        <f t="shared" si="88"/>
        <v>0</v>
      </c>
      <c r="AW103">
        <f t="shared" si="88"/>
        <v>0</v>
      </c>
      <c r="AX103">
        <f t="shared" si="88"/>
        <v>0</v>
      </c>
      <c r="AY103">
        <f t="shared" si="88"/>
        <v>0</v>
      </c>
      <c r="AZ103">
        <f t="shared" si="88"/>
        <v>0</v>
      </c>
    </row>
    <row r="104" spans="1:52" ht="15.75" customHeight="1">
      <c r="A104" s="362">
        <v>2011</v>
      </c>
      <c r="V104" s="127">
        <v>141.4</v>
      </c>
      <c r="W104">
        <f t="shared" si="22"/>
        <v>0</v>
      </c>
      <c r="X104">
        <f t="shared" ref="X104:AZ104" si="89">IF(AND(X$37-$A104&gt;$V$25,SUM($W104:W104)&lt;&gt;$V104),$V104,0)</f>
        <v>0</v>
      </c>
      <c r="Y104">
        <f t="shared" si="89"/>
        <v>0</v>
      </c>
      <c r="Z104">
        <f t="shared" si="89"/>
        <v>0</v>
      </c>
      <c r="AA104">
        <f t="shared" si="89"/>
        <v>0</v>
      </c>
      <c r="AB104">
        <f t="shared" si="89"/>
        <v>0</v>
      </c>
      <c r="AC104">
        <f t="shared" si="89"/>
        <v>0</v>
      </c>
      <c r="AD104">
        <f t="shared" si="89"/>
        <v>0</v>
      </c>
      <c r="AE104">
        <f t="shared" si="89"/>
        <v>0</v>
      </c>
      <c r="AF104">
        <f t="shared" si="89"/>
        <v>0</v>
      </c>
      <c r="AG104">
        <f t="shared" si="89"/>
        <v>0</v>
      </c>
      <c r="AH104">
        <f t="shared" si="89"/>
        <v>0</v>
      </c>
      <c r="AI104">
        <f t="shared" si="89"/>
        <v>0</v>
      </c>
      <c r="AJ104">
        <f t="shared" si="89"/>
        <v>0</v>
      </c>
      <c r="AK104">
        <f t="shared" si="89"/>
        <v>0</v>
      </c>
      <c r="AL104">
        <f t="shared" si="89"/>
        <v>0</v>
      </c>
      <c r="AM104">
        <f t="shared" si="89"/>
        <v>0</v>
      </c>
      <c r="AN104">
        <f t="shared" si="89"/>
        <v>0</v>
      </c>
      <c r="AO104">
        <f t="shared" si="89"/>
        <v>0</v>
      </c>
      <c r="AP104">
        <f t="shared" si="89"/>
        <v>0</v>
      </c>
      <c r="AQ104">
        <f t="shared" si="89"/>
        <v>0</v>
      </c>
      <c r="AR104">
        <f t="shared" si="89"/>
        <v>0</v>
      </c>
      <c r="AS104">
        <f t="shared" si="89"/>
        <v>0</v>
      </c>
      <c r="AT104">
        <f t="shared" si="89"/>
        <v>0</v>
      </c>
      <c r="AU104">
        <f t="shared" si="89"/>
        <v>0</v>
      </c>
      <c r="AV104">
        <f t="shared" si="89"/>
        <v>0</v>
      </c>
      <c r="AW104">
        <f t="shared" si="89"/>
        <v>0</v>
      </c>
      <c r="AX104">
        <f t="shared" si="89"/>
        <v>0</v>
      </c>
      <c r="AY104">
        <f t="shared" si="89"/>
        <v>0</v>
      </c>
      <c r="AZ104">
        <f t="shared" si="89"/>
        <v>0</v>
      </c>
    </row>
    <row r="105" spans="1:52" ht="15.75" customHeight="1">
      <c r="A105" s="362">
        <v>2012</v>
      </c>
      <c r="V105" s="127">
        <v>185.7</v>
      </c>
      <c r="W105">
        <f t="shared" si="22"/>
        <v>0</v>
      </c>
      <c r="X105">
        <f t="shared" ref="X105:AZ105" si="90">IF(AND(X$37-$A105&gt;$V$25,SUM($W105:W105)&lt;&gt;$V105),$V105,0)</f>
        <v>0</v>
      </c>
      <c r="Y105">
        <f t="shared" si="90"/>
        <v>0</v>
      </c>
      <c r="Z105">
        <f t="shared" si="90"/>
        <v>0</v>
      </c>
      <c r="AA105">
        <f t="shared" si="90"/>
        <v>0</v>
      </c>
      <c r="AB105">
        <f t="shared" si="90"/>
        <v>0</v>
      </c>
      <c r="AC105">
        <f t="shared" si="90"/>
        <v>0</v>
      </c>
      <c r="AD105">
        <f t="shared" si="90"/>
        <v>0</v>
      </c>
      <c r="AE105">
        <f t="shared" si="90"/>
        <v>0</v>
      </c>
      <c r="AF105">
        <f t="shared" si="90"/>
        <v>0</v>
      </c>
      <c r="AG105">
        <f t="shared" si="90"/>
        <v>0</v>
      </c>
      <c r="AH105">
        <f t="shared" si="90"/>
        <v>0</v>
      </c>
      <c r="AI105">
        <f t="shared" si="90"/>
        <v>0</v>
      </c>
      <c r="AJ105">
        <f t="shared" si="90"/>
        <v>0</v>
      </c>
      <c r="AK105">
        <f t="shared" si="90"/>
        <v>0</v>
      </c>
      <c r="AL105">
        <f t="shared" si="90"/>
        <v>0</v>
      </c>
      <c r="AM105">
        <f t="shared" si="90"/>
        <v>0</v>
      </c>
      <c r="AN105">
        <f t="shared" si="90"/>
        <v>0</v>
      </c>
      <c r="AO105">
        <f t="shared" si="90"/>
        <v>0</v>
      </c>
      <c r="AP105">
        <f t="shared" si="90"/>
        <v>0</v>
      </c>
      <c r="AQ105">
        <f t="shared" si="90"/>
        <v>0</v>
      </c>
      <c r="AR105">
        <f t="shared" si="90"/>
        <v>0</v>
      </c>
      <c r="AS105">
        <f t="shared" si="90"/>
        <v>0</v>
      </c>
      <c r="AT105">
        <f t="shared" si="90"/>
        <v>0</v>
      </c>
      <c r="AU105">
        <f t="shared" si="90"/>
        <v>0</v>
      </c>
      <c r="AV105">
        <f t="shared" si="90"/>
        <v>0</v>
      </c>
      <c r="AW105">
        <f t="shared" si="90"/>
        <v>0</v>
      </c>
      <c r="AX105">
        <f t="shared" si="90"/>
        <v>0</v>
      </c>
      <c r="AY105">
        <f t="shared" si="90"/>
        <v>0</v>
      </c>
      <c r="AZ105">
        <f t="shared" si="90"/>
        <v>0</v>
      </c>
    </row>
    <row r="106" spans="1:52" ht="15.75" customHeight="1">
      <c r="A106" s="362">
        <v>2013</v>
      </c>
      <c r="V106" s="127">
        <v>596.29999999999995</v>
      </c>
      <c r="W106">
        <f t="shared" si="22"/>
        <v>0</v>
      </c>
      <c r="X106">
        <f t="shared" ref="X106:AZ106" si="91">IF(AND(X$37-$A106&gt;$V$25,SUM($W106:W106)&lt;&gt;$V106),$V106,0)</f>
        <v>0</v>
      </c>
      <c r="Y106">
        <f t="shared" si="91"/>
        <v>0</v>
      </c>
      <c r="Z106">
        <f t="shared" si="91"/>
        <v>0</v>
      </c>
      <c r="AA106">
        <f t="shared" si="91"/>
        <v>0</v>
      </c>
      <c r="AB106">
        <f t="shared" si="91"/>
        <v>0</v>
      </c>
      <c r="AC106">
        <f t="shared" si="91"/>
        <v>0</v>
      </c>
      <c r="AD106">
        <f t="shared" si="91"/>
        <v>0</v>
      </c>
      <c r="AE106">
        <f t="shared" si="91"/>
        <v>0</v>
      </c>
      <c r="AF106">
        <f t="shared" si="91"/>
        <v>0</v>
      </c>
      <c r="AG106">
        <f t="shared" si="91"/>
        <v>0</v>
      </c>
      <c r="AH106">
        <f t="shared" si="91"/>
        <v>0</v>
      </c>
      <c r="AI106">
        <f t="shared" si="91"/>
        <v>0</v>
      </c>
      <c r="AJ106">
        <f t="shared" si="91"/>
        <v>0</v>
      </c>
      <c r="AK106">
        <f t="shared" si="91"/>
        <v>0</v>
      </c>
      <c r="AL106">
        <f t="shared" si="91"/>
        <v>0</v>
      </c>
      <c r="AM106">
        <f t="shared" si="91"/>
        <v>0</v>
      </c>
      <c r="AN106">
        <f t="shared" si="91"/>
        <v>0</v>
      </c>
      <c r="AO106">
        <f t="shared" si="91"/>
        <v>0</v>
      </c>
      <c r="AP106">
        <f t="shared" si="91"/>
        <v>0</v>
      </c>
      <c r="AQ106">
        <f t="shared" si="91"/>
        <v>0</v>
      </c>
      <c r="AR106">
        <f t="shared" si="91"/>
        <v>0</v>
      </c>
      <c r="AS106">
        <f t="shared" si="91"/>
        <v>0</v>
      </c>
      <c r="AT106">
        <f t="shared" si="91"/>
        <v>0</v>
      </c>
      <c r="AU106">
        <f t="shared" si="91"/>
        <v>0</v>
      </c>
      <c r="AV106">
        <f t="shared" si="91"/>
        <v>0</v>
      </c>
      <c r="AW106">
        <f t="shared" si="91"/>
        <v>0</v>
      </c>
      <c r="AX106">
        <f t="shared" si="91"/>
        <v>0</v>
      </c>
      <c r="AY106">
        <f t="shared" si="91"/>
        <v>0</v>
      </c>
      <c r="AZ106">
        <f t="shared" si="91"/>
        <v>0</v>
      </c>
    </row>
    <row r="107" spans="1:52" ht="15.75" customHeight="1">
      <c r="A107" s="362">
        <v>2014</v>
      </c>
      <c r="V107" s="127">
        <v>128.30000000000001</v>
      </c>
      <c r="W107">
        <f t="shared" si="22"/>
        <v>0</v>
      </c>
      <c r="X107">
        <f t="shared" ref="X107:AZ107" si="92">IF(AND(X$37-$A107&gt;$V$25,SUM($W107:W107)&lt;&gt;$V107),$V107,0)</f>
        <v>0</v>
      </c>
      <c r="Y107">
        <f t="shared" si="92"/>
        <v>0</v>
      </c>
      <c r="Z107">
        <f t="shared" si="92"/>
        <v>0</v>
      </c>
      <c r="AA107">
        <f t="shared" si="92"/>
        <v>0</v>
      </c>
      <c r="AB107">
        <f t="shared" si="92"/>
        <v>0</v>
      </c>
      <c r="AC107">
        <f t="shared" si="92"/>
        <v>0</v>
      </c>
      <c r="AD107">
        <f t="shared" si="92"/>
        <v>0</v>
      </c>
      <c r="AE107">
        <f t="shared" si="92"/>
        <v>0</v>
      </c>
      <c r="AF107">
        <f t="shared" si="92"/>
        <v>0</v>
      </c>
      <c r="AG107">
        <f t="shared" si="92"/>
        <v>0</v>
      </c>
      <c r="AH107">
        <f t="shared" si="92"/>
        <v>0</v>
      </c>
      <c r="AI107">
        <f t="shared" si="92"/>
        <v>0</v>
      </c>
      <c r="AJ107">
        <f t="shared" si="92"/>
        <v>0</v>
      </c>
      <c r="AK107">
        <f t="shared" si="92"/>
        <v>0</v>
      </c>
      <c r="AL107">
        <f t="shared" si="92"/>
        <v>0</v>
      </c>
      <c r="AM107">
        <f t="shared" si="92"/>
        <v>0</v>
      </c>
      <c r="AN107">
        <f t="shared" si="92"/>
        <v>0</v>
      </c>
      <c r="AO107">
        <f t="shared" si="92"/>
        <v>0</v>
      </c>
      <c r="AP107">
        <f t="shared" si="92"/>
        <v>0</v>
      </c>
      <c r="AQ107">
        <f t="shared" si="92"/>
        <v>0</v>
      </c>
      <c r="AR107">
        <f t="shared" si="92"/>
        <v>0</v>
      </c>
      <c r="AS107">
        <f t="shared" si="92"/>
        <v>0</v>
      </c>
      <c r="AT107">
        <f t="shared" si="92"/>
        <v>0</v>
      </c>
      <c r="AU107">
        <f t="shared" si="92"/>
        <v>0</v>
      </c>
      <c r="AV107">
        <f t="shared" si="92"/>
        <v>0</v>
      </c>
      <c r="AW107">
        <f t="shared" si="92"/>
        <v>0</v>
      </c>
      <c r="AX107">
        <f t="shared" si="92"/>
        <v>0</v>
      </c>
      <c r="AY107">
        <f t="shared" si="92"/>
        <v>0</v>
      </c>
      <c r="AZ107">
        <f t="shared" si="92"/>
        <v>0</v>
      </c>
    </row>
    <row r="108" spans="1:52" ht="15.75" customHeight="1">
      <c r="A108" s="362">
        <v>2015</v>
      </c>
      <c r="V108" s="127">
        <v>133.19999999999999</v>
      </c>
      <c r="W108">
        <f t="shared" si="22"/>
        <v>0</v>
      </c>
      <c r="X108">
        <f t="shared" ref="X108:AZ108" si="93">IF(AND(X$37-$A108&gt;$V$25,SUM($W108:W108)&lt;&gt;$V108),$V108,0)</f>
        <v>0</v>
      </c>
      <c r="Y108">
        <f t="shared" si="93"/>
        <v>0</v>
      </c>
      <c r="Z108">
        <f t="shared" si="93"/>
        <v>0</v>
      </c>
      <c r="AA108">
        <f t="shared" si="93"/>
        <v>0</v>
      </c>
      <c r="AB108">
        <f t="shared" si="93"/>
        <v>0</v>
      </c>
      <c r="AC108">
        <f t="shared" si="93"/>
        <v>0</v>
      </c>
      <c r="AD108">
        <f t="shared" si="93"/>
        <v>0</v>
      </c>
      <c r="AE108">
        <f t="shared" si="93"/>
        <v>0</v>
      </c>
      <c r="AF108">
        <f t="shared" si="93"/>
        <v>0</v>
      </c>
      <c r="AG108">
        <f t="shared" si="93"/>
        <v>0</v>
      </c>
      <c r="AH108">
        <f t="shared" si="93"/>
        <v>0</v>
      </c>
      <c r="AI108">
        <f t="shared" si="93"/>
        <v>0</v>
      </c>
      <c r="AJ108">
        <f t="shared" si="93"/>
        <v>0</v>
      </c>
      <c r="AK108">
        <f t="shared" si="93"/>
        <v>0</v>
      </c>
      <c r="AL108">
        <f t="shared" si="93"/>
        <v>0</v>
      </c>
      <c r="AM108">
        <f t="shared" si="93"/>
        <v>0</v>
      </c>
      <c r="AN108">
        <f t="shared" si="93"/>
        <v>0</v>
      </c>
      <c r="AO108">
        <f t="shared" si="93"/>
        <v>0</v>
      </c>
      <c r="AP108">
        <f t="shared" si="93"/>
        <v>0</v>
      </c>
      <c r="AQ108">
        <f t="shared" si="93"/>
        <v>0</v>
      </c>
      <c r="AR108">
        <f t="shared" si="93"/>
        <v>0</v>
      </c>
      <c r="AS108">
        <f t="shared" si="93"/>
        <v>0</v>
      </c>
      <c r="AT108">
        <f t="shared" si="93"/>
        <v>0</v>
      </c>
      <c r="AU108">
        <f t="shared" si="93"/>
        <v>0</v>
      </c>
      <c r="AV108">
        <f t="shared" si="93"/>
        <v>0</v>
      </c>
      <c r="AW108">
        <f t="shared" si="93"/>
        <v>0</v>
      </c>
      <c r="AX108">
        <f t="shared" si="93"/>
        <v>0</v>
      </c>
      <c r="AY108">
        <f t="shared" si="93"/>
        <v>0</v>
      </c>
      <c r="AZ108">
        <f t="shared" si="93"/>
        <v>0</v>
      </c>
    </row>
    <row r="109" spans="1:52" ht="15.75" customHeight="1">
      <c r="A109" s="362">
        <v>2016</v>
      </c>
      <c r="V109" s="127">
        <v>15.4</v>
      </c>
      <c r="W109">
        <f t="shared" si="22"/>
        <v>0</v>
      </c>
      <c r="X109">
        <f t="shared" ref="X109:AZ109" si="94">IF(AND(X$37-$A109&gt;$V$25,SUM($W109:W109)&lt;&gt;$V109),$V109,0)</f>
        <v>0</v>
      </c>
      <c r="Y109">
        <f t="shared" si="94"/>
        <v>0</v>
      </c>
      <c r="Z109">
        <f t="shared" si="94"/>
        <v>0</v>
      </c>
      <c r="AA109">
        <f t="shared" si="94"/>
        <v>0</v>
      </c>
      <c r="AB109">
        <f t="shared" si="94"/>
        <v>0</v>
      </c>
      <c r="AC109">
        <f t="shared" si="94"/>
        <v>0</v>
      </c>
      <c r="AD109">
        <f t="shared" si="94"/>
        <v>0</v>
      </c>
      <c r="AE109">
        <f t="shared" si="94"/>
        <v>0</v>
      </c>
      <c r="AF109">
        <f t="shared" si="94"/>
        <v>0</v>
      </c>
      <c r="AG109">
        <f t="shared" si="94"/>
        <v>0</v>
      </c>
      <c r="AH109">
        <f t="shared" si="94"/>
        <v>0</v>
      </c>
      <c r="AI109">
        <f t="shared" si="94"/>
        <v>0</v>
      </c>
      <c r="AJ109">
        <f t="shared" si="94"/>
        <v>0</v>
      </c>
      <c r="AK109">
        <f t="shared" si="94"/>
        <v>0</v>
      </c>
      <c r="AL109">
        <f t="shared" si="94"/>
        <v>0</v>
      </c>
      <c r="AM109">
        <f t="shared" si="94"/>
        <v>0</v>
      </c>
      <c r="AN109">
        <f t="shared" si="94"/>
        <v>0</v>
      </c>
      <c r="AO109">
        <f t="shared" si="94"/>
        <v>0</v>
      </c>
      <c r="AP109">
        <f t="shared" si="94"/>
        <v>0</v>
      </c>
      <c r="AQ109">
        <f t="shared" si="94"/>
        <v>0</v>
      </c>
      <c r="AR109">
        <f t="shared" si="94"/>
        <v>0</v>
      </c>
      <c r="AS109">
        <f t="shared" si="94"/>
        <v>0</v>
      </c>
      <c r="AT109">
        <f t="shared" si="94"/>
        <v>0</v>
      </c>
      <c r="AU109">
        <f t="shared" si="94"/>
        <v>0</v>
      </c>
      <c r="AV109">
        <f t="shared" si="94"/>
        <v>0</v>
      </c>
      <c r="AW109">
        <f t="shared" si="94"/>
        <v>0</v>
      </c>
      <c r="AX109">
        <f t="shared" si="94"/>
        <v>0</v>
      </c>
      <c r="AY109">
        <f t="shared" si="94"/>
        <v>0</v>
      </c>
      <c r="AZ109">
        <f t="shared" si="94"/>
        <v>0</v>
      </c>
    </row>
    <row r="110" spans="1:52" ht="15.75" customHeight="1">
      <c r="A110" s="362">
        <v>2017</v>
      </c>
      <c r="V110" s="127">
        <v>126.2</v>
      </c>
      <c r="W110">
        <f t="shared" si="22"/>
        <v>0</v>
      </c>
      <c r="X110">
        <f t="shared" ref="X110:AZ110" si="95">IF(AND(X$37-$A110&gt;$V$25,SUM($W110:W110)&lt;&gt;$V110),$V110,0)</f>
        <v>0</v>
      </c>
      <c r="Y110">
        <f t="shared" si="95"/>
        <v>0</v>
      </c>
      <c r="Z110">
        <f t="shared" si="95"/>
        <v>0</v>
      </c>
      <c r="AA110">
        <f t="shared" si="95"/>
        <v>0</v>
      </c>
      <c r="AB110">
        <f t="shared" si="95"/>
        <v>0</v>
      </c>
      <c r="AC110">
        <f t="shared" si="95"/>
        <v>0</v>
      </c>
      <c r="AD110">
        <f t="shared" si="95"/>
        <v>0</v>
      </c>
      <c r="AE110">
        <f t="shared" si="95"/>
        <v>0</v>
      </c>
      <c r="AF110">
        <f t="shared" si="95"/>
        <v>0</v>
      </c>
      <c r="AG110">
        <f t="shared" si="95"/>
        <v>0</v>
      </c>
      <c r="AH110">
        <f t="shared" si="95"/>
        <v>0</v>
      </c>
      <c r="AI110">
        <f t="shared" si="95"/>
        <v>0</v>
      </c>
      <c r="AJ110">
        <f t="shared" si="95"/>
        <v>0</v>
      </c>
      <c r="AK110">
        <f t="shared" si="95"/>
        <v>0</v>
      </c>
      <c r="AL110">
        <f t="shared" si="95"/>
        <v>0</v>
      </c>
      <c r="AM110">
        <f t="shared" si="95"/>
        <v>0</v>
      </c>
      <c r="AN110">
        <f t="shared" si="95"/>
        <v>0</v>
      </c>
      <c r="AO110">
        <f t="shared" si="95"/>
        <v>0</v>
      </c>
      <c r="AP110">
        <f t="shared" si="95"/>
        <v>0</v>
      </c>
      <c r="AQ110">
        <f t="shared" si="95"/>
        <v>0</v>
      </c>
      <c r="AR110">
        <f t="shared" si="95"/>
        <v>0</v>
      </c>
      <c r="AS110">
        <f t="shared" si="95"/>
        <v>0</v>
      </c>
      <c r="AT110">
        <f t="shared" si="95"/>
        <v>0</v>
      </c>
      <c r="AU110">
        <f t="shared" si="95"/>
        <v>0</v>
      </c>
      <c r="AV110">
        <f t="shared" si="95"/>
        <v>0</v>
      </c>
      <c r="AW110">
        <f t="shared" si="95"/>
        <v>0</v>
      </c>
      <c r="AX110">
        <f t="shared" si="95"/>
        <v>0</v>
      </c>
      <c r="AY110">
        <f t="shared" si="95"/>
        <v>0</v>
      </c>
      <c r="AZ110">
        <f t="shared" si="95"/>
        <v>0</v>
      </c>
    </row>
    <row r="111" spans="1:52" ht="15.75" customHeight="1">
      <c r="A111" s="362">
        <v>2018</v>
      </c>
      <c r="V111" s="127">
        <v>9</v>
      </c>
      <c r="W111">
        <f t="shared" si="22"/>
        <v>0</v>
      </c>
      <c r="X111">
        <f t="shared" ref="X111:AZ111" si="96">IF(AND(X$37-$A111&gt;$V$25,SUM($W111:W111)&lt;&gt;$V111),$V111,0)</f>
        <v>0</v>
      </c>
      <c r="Y111">
        <f t="shared" si="96"/>
        <v>0</v>
      </c>
      <c r="Z111">
        <f t="shared" si="96"/>
        <v>0</v>
      </c>
      <c r="AA111">
        <f t="shared" si="96"/>
        <v>0</v>
      </c>
      <c r="AB111">
        <f t="shared" si="96"/>
        <v>0</v>
      </c>
      <c r="AC111">
        <f t="shared" si="96"/>
        <v>0</v>
      </c>
      <c r="AD111">
        <f t="shared" si="96"/>
        <v>0</v>
      </c>
      <c r="AE111">
        <f t="shared" si="96"/>
        <v>0</v>
      </c>
      <c r="AF111">
        <f t="shared" si="96"/>
        <v>0</v>
      </c>
      <c r="AG111">
        <f t="shared" si="96"/>
        <v>0</v>
      </c>
      <c r="AH111">
        <f t="shared" si="96"/>
        <v>0</v>
      </c>
      <c r="AI111">
        <f t="shared" si="96"/>
        <v>0</v>
      </c>
      <c r="AJ111">
        <f t="shared" si="96"/>
        <v>0</v>
      </c>
      <c r="AK111">
        <f t="shared" si="96"/>
        <v>0</v>
      </c>
      <c r="AL111">
        <f t="shared" si="96"/>
        <v>0</v>
      </c>
      <c r="AM111">
        <f t="shared" si="96"/>
        <v>0</v>
      </c>
      <c r="AN111">
        <f t="shared" si="96"/>
        <v>0</v>
      </c>
      <c r="AO111">
        <f t="shared" si="96"/>
        <v>0</v>
      </c>
      <c r="AP111">
        <f t="shared" si="96"/>
        <v>0</v>
      </c>
      <c r="AQ111">
        <f t="shared" si="96"/>
        <v>0</v>
      </c>
      <c r="AR111">
        <f t="shared" si="96"/>
        <v>0</v>
      </c>
      <c r="AS111">
        <f t="shared" si="96"/>
        <v>0</v>
      </c>
      <c r="AT111">
        <f t="shared" si="96"/>
        <v>0</v>
      </c>
      <c r="AU111">
        <f t="shared" si="96"/>
        <v>0</v>
      </c>
      <c r="AV111">
        <f t="shared" si="96"/>
        <v>0</v>
      </c>
      <c r="AW111">
        <f t="shared" si="96"/>
        <v>0</v>
      </c>
      <c r="AX111">
        <f t="shared" si="96"/>
        <v>0</v>
      </c>
      <c r="AY111">
        <f t="shared" si="96"/>
        <v>0</v>
      </c>
      <c r="AZ111">
        <f t="shared" si="96"/>
        <v>0</v>
      </c>
    </row>
    <row r="112" spans="1:5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sheetData>
  <pageMargins left="0.7" right="0.7" top="0.75" bottom="0.75" header="0" footer="0"/>
  <pageSetup orientation="landscape"/>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9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93" t="s">
        <v>70</v>
      </c>
      <c r="B2" s="105">
        <f t="shared" ref="B2:U2" si="0">C2/(1+B34-B3)</f>
        <v>660857.84911211242</v>
      </c>
      <c r="C2" s="105">
        <f t="shared" si="0"/>
        <v>674075.00609435467</v>
      </c>
      <c r="D2" s="105">
        <f t="shared" si="0"/>
        <v>687556.50621624175</v>
      </c>
      <c r="E2" s="105">
        <f t="shared" si="0"/>
        <v>701307.63634056656</v>
      </c>
      <c r="F2" s="105">
        <f t="shared" si="0"/>
        <v>715333.78906737792</v>
      </c>
      <c r="G2" s="105">
        <f t="shared" si="0"/>
        <v>729640.46484872547</v>
      </c>
      <c r="H2" s="105">
        <f t="shared" si="0"/>
        <v>744233.27414570004</v>
      </c>
      <c r="I2" s="105">
        <f t="shared" si="0"/>
        <v>759117.939628614</v>
      </c>
      <c r="J2" s="105">
        <f t="shared" si="0"/>
        <v>774300.29842118628</v>
      </c>
      <c r="K2" s="105">
        <f t="shared" si="0"/>
        <v>789786.30438961007</v>
      </c>
      <c r="L2" s="105">
        <f t="shared" si="0"/>
        <v>805582.03047740227</v>
      </c>
      <c r="M2" s="105">
        <f t="shared" si="0"/>
        <v>821693.67108695034</v>
      </c>
      <c r="N2" s="105">
        <f t="shared" si="0"/>
        <v>838127.54450868932</v>
      </c>
      <c r="O2" s="105">
        <f t="shared" si="0"/>
        <v>854890.09539886308</v>
      </c>
      <c r="P2" s="105">
        <f t="shared" si="0"/>
        <v>871987.8973068404</v>
      </c>
      <c r="Q2" s="105">
        <f t="shared" si="0"/>
        <v>889427.65525297727</v>
      </c>
      <c r="R2" s="105">
        <f t="shared" si="0"/>
        <v>907216.20835803682</v>
      </c>
      <c r="S2" s="105">
        <f t="shared" si="0"/>
        <v>925360.5325251976</v>
      </c>
      <c r="T2" s="105">
        <f t="shared" si="0"/>
        <v>943867.74317570159</v>
      </c>
      <c r="U2" s="105">
        <f t="shared" si="0"/>
        <v>962745.09803921566</v>
      </c>
      <c r="V2" s="360">
        <v>982000</v>
      </c>
      <c r="W2" s="105">
        <f t="shared" ref="W2:AZ2" si="1">V2*(1+V34-V3)</f>
        <v>1001640</v>
      </c>
      <c r="X2" s="105">
        <f t="shared" si="1"/>
        <v>1021672.8</v>
      </c>
      <c r="Y2" s="105">
        <f t="shared" si="1"/>
        <v>1042106.2560000001</v>
      </c>
      <c r="Z2" s="105">
        <f t="shared" si="1"/>
        <v>1062948.38112</v>
      </c>
      <c r="AA2" s="105">
        <f t="shared" si="1"/>
        <v>1084207.3487424001</v>
      </c>
      <c r="AB2" s="105">
        <f t="shared" si="1"/>
        <v>1105891.4957172482</v>
      </c>
      <c r="AC2" s="105">
        <f t="shared" si="1"/>
        <v>1128009.3256315931</v>
      </c>
      <c r="AD2" s="105">
        <f t="shared" si="1"/>
        <v>1150569.512144225</v>
      </c>
      <c r="AE2" s="105">
        <f t="shared" si="1"/>
        <v>1173580.9023871096</v>
      </c>
      <c r="AF2" s="105">
        <f t="shared" si="1"/>
        <v>1197052.5204348518</v>
      </c>
      <c r="AG2" s="105">
        <f t="shared" si="1"/>
        <v>1220993.5708435487</v>
      </c>
      <c r="AH2" s="105">
        <f t="shared" si="1"/>
        <v>1245413.4422604197</v>
      </c>
      <c r="AI2" s="105">
        <f t="shared" si="1"/>
        <v>1270321.7111056282</v>
      </c>
      <c r="AJ2" s="105">
        <f t="shared" si="1"/>
        <v>1295728.1453277408</v>
      </c>
      <c r="AK2" s="105">
        <f t="shared" si="1"/>
        <v>1321642.7082342957</v>
      </c>
      <c r="AL2" s="105">
        <f t="shared" si="1"/>
        <v>1348075.5623989818</v>
      </c>
      <c r="AM2" s="105">
        <f t="shared" si="1"/>
        <v>1375037.0736469615</v>
      </c>
      <c r="AN2" s="105">
        <f t="shared" si="1"/>
        <v>1402537.8151199007</v>
      </c>
      <c r="AO2" s="105">
        <f t="shared" si="1"/>
        <v>1430588.5714222987</v>
      </c>
      <c r="AP2" s="105">
        <f t="shared" si="1"/>
        <v>1459200.3428507447</v>
      </c>
      <c r="AQ2" s="105">
        <f t="shared" si="1"/>
        <v>1488384.3497077597</v>
      </c>
      <c r="AR2" s="105">
        <f t="shared" si="1"/>
        <v>1518152.0367019149</v>
      </c>
      <c r="AS2" s="105">
        <f t="shared" si="1"/>
        <v>1548515.0774359531</v>
      </c>
      <c r="AT2" s="105">
        <f t="shared" si="1"/>
        <v>1579485.3789846723</v>
      </c>
      <c r="AU2" s="105">
        <f t="shared" si="1"/>
        <v>1611075.0865643658</v>
      </c>
      <c r="AV2" s="105">
        <f t="shared" si="1"/>
        <v>1643296.5882956532</v>
      </c>
      <c r="AW2" s="105">
        <f t="shared" si="1"/>
        <v>1676162.5200615663</v>
      </c>
      <c r="AX2" s="105">
        <f t="shared" si="1"/>
        <v>1709685.7704627977</v>
      </c>
      <c r="AY2" s="105">
        <f t="shared" si="1"/>
        <v>1743879.4858720538</v>
      </c>
      <c r="AZ2" s="105">
        <f t="shared" si="1"/>
        <v>1778757.0755894948</v>
      </c>
    </row>
    <row r="3" spans="1:52" ht="15" customHeight="1">
      <c r="A3" s="93" t="s">
        <v>72</v>
      </c>
      <c r="B3" s="330">
        <f t="shared" ref="B3:U3" si="2">C3</f>
        <v>0</v>
      </c>
      <c r="C3" s="330">
        <f t="shared" si="2"/>
        <v>0</v>
      </c>
      <c r="D3" s="330">
        <f t="shared" si="2"/>
        <v>0</v>
      </c>
      <c r="E3" s="330">
        <f t="shared" si="2"/>
        <v>0</v>
      </c>
      <c r="F3" s="330">
        <f t="shared" si="2"/>
        <v>0</v>
      </c>
      <c r="G3" s="330">
        <f t="shared" si="2"/>
        <v>0</v>
      </c>
      <c r="H3" s="330">
        <f t="shared" si="2"/>
        <v>0</v>
      </c>
      <c r="I3" s="330">
        <f t="shared" si="2"/>
        <v>0</v>
      </c>
      <c r="J3" s="330">
        <f t="shared" si="2"/>
        <v>0</v>
      </c>
      <c r="K3" s="330">
        <f t="shared" si="2"/>
        <v>0</v>
      </c>
      <c r="L3" s="330">
        <f t="shared" si="2"/>
        <v>0</v>
      </c>
      <c r="M3" s="330">
        <f t="shared" si="2"/>
        <v>0</v>
      </c>
      <c r="N3" s="330">
        <f t="shared" si="2"/>
        <v>0</v>
      </c>
      <c r="O3" s="330">
        <f t="shared" si="2"/>
        <v>0</v>
      </c>
      <c r="P3" s="330">
        <f t="shared" si="2"/>
        <v>0</v>
      </c>
      <c r="Q3" s="330">
        <f t="shared" si="2"/>
        <v>0</v>
      </c>
      <c r="R3" s="330">
        <f t="shared" si="2"/>
        <v>0</v>
      </c>
      <c r="S3" s="330">
        <f t="shared" si="2"/>
        <v>0</v>
      </c>
      <c r="T3" s="330">
        <f t="shared" si="2"/>
        <v>0</v>
      </c>
      <c r="U3" s="330">
        <f t="shared" si="2"/>
        <v>0</v>
      </c>
      <c r="V3" s="245">
        <v>0</v>
      </c>
      <c r="W3" s="247">
        <f t="shared" ref="W3:AZ3" si="3">V3</f>
        <v>0</v>
      </c>
      <c r="X3" s="247">
        <f t="shared" si="3"/>
        <v>0</v>
      </c>
      <c r="Y3" s="247">
        <f t="shared" si="3"/>
        <v>0</v>
      </c>
      <c r="Z3" s="247">
        <f t="shared" si="3"/>
        <v>0</v>
      </c>
      <c r="AA3" s="247">
        <f t="shared" si="3"/>
        <v>0</v>
      </c>
      <c r="AB3" s="247">
        <f t="shared" si="3"/>
        <v>0</v>
      </c>
      <c r="AC3" s="247">
        <f t="shared" si="3"/>
        <v>0</v>
      </c>
      <c r="AD3" s="247">
        <f t="shared" si="3"/>
        <v>0</v>
      </c>
      <c r="AE3" s="247">
        <f t="shared" si="3"/>
        <v>0</v>
      </c>
      <c r="AF3" s="247">
        <f t="shared" si="3"/>
        <v>0</v>
      </c>
      <c r="AG3" s="247">
        <f t="shared" si="3"/>
        <v>0</v>
      </c>
      <c r="AH3" s="247">
        <f t="shared" si="3"/>
        <v>0</v>
      </c>
      <c r="AI3" s="247">
        <f t="shared" si="3"/>
        <v>0</v>
      </c>
      <c r="AJ3" s="247">
        <f t="shared" si="3"/>
        <v>0</v>
      </c>
      <c r="AK3" s="247">
        <f t="shared" si="3"/>
        <v>0</v>
      </c>
      <c r="AL3" s="247">
        <f t="shared" si="3"/>
        <v>0</v>
      </c>
      <c r="AM3" s="247">
        <f t="shared" si="3"/>
        <v>0</v>
      </c>
      <c r="AN3" s="247">
        <f t="shared" si="3"/>
        <v>0</v>
      </c>
      <c r="AO3" s="247">
        <f t="shared" si="3"/>
        <v>0</v>
      </c>
      <c r="AP3" s="247">
        <f t="shared" si="3"/>
        <v>0</v>
      </c>
      <c r="AQ3" s="247">
        <f t="shared" si="3"/>
        <v>0</v>
      </c>
      <c r="AR3" s="247">
        <f t="shared" si="3"/>
        <v>0</v>
      </c>
      <c r="AS3" s="247">
        <f t="shared" si="3"/>
        <v>0</v>
      </c>
      <c r="AT3" s="247">
        <f t="shared" si="3"/>
        <v>0</v>
      </c>
      <c r="AU3" s="247">
        <f t="shared" si="3"/>
        <v>0</v>
      </c>
      <c r="AV3" s="247">
        <f t="shared" si="3"/>
        <v>0</v>
      </c>
      <c r="AW3" s="247">
        <f t="shared" si="3"/>
        <v>0</v>
      </c>
      <c r="AX3" s="247">
        <f t="shared" si="3"/>
        <v>0</v>
      </c>
      <c r="AY3" s="247">
        <f t="shared" si="3"/>
        <v>0</v>
      </c>
      <c r="AZ3" s="247">
        <f t="shared" si="3"/>
        <v>0</v>
      </c>
    </row>
    <row r="4" spans="1:52" ht="15" customHeight="1">
      <c r="A4" s="93" t="s">
        <v>74</v>
      </c>
      <c r="B4" s="93"/>
      <c r="C4" s="93"/>
      <c r="D4" s="93"/>
      <c r="E4" s="93"/>
      <c r="F4" s="93"/>
      <c r="G4" s="93"/>
      <c r="H4" s="93"/>
      <c r="I4" s="93"/>
      <c r="J4" s="93"/>
      <c r="K4" s="93"/>
      <c r="L4" s="93"/>
      <c r="M4" s="93"/>
      <c r="N4" s="93"/>
      <c r="O4" s="93"/>
      <c r="P4" s="93"/>
      <c r="Q4" s="93"/>
      <c r="R4" s="93"/>
      <c r="S4" s="93"/>
      <c r="T4" s="93"/>
      <c r="U4" s="93"/>
      <c r="V4" s="245">
        <v>0.6</v>
      </c>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row>
    <row r="5" spans="1:52" ht="15" customHeight="1">
      <c r="A5" s="93" t="s">
        <v>76</v>
      </c>
      <c r="B5" s="93"/>
      <c r="C5" s="93"/>
      <c r="D5" s="93"/>
      <c r="E5" s="93"/>
      <c r="F5" s="93"/>
      <c r="G5" s="93"/>
      <c r="H5" s="93"/>
      <c r="I5" s="93"/>
      <c r="J5" s="93"/>
      <c r="K5" s="93"/>
      <c r="L5" s="93"/>
      <c r="M5" s="93"/>
      <c r="N5" s="93"/>
      <c r="O5" s="93"/>
      <c r="P5" s="93"/>
      <c r="Q5" s="93"/>
      <c r="R5" s="93"/>
      <c r="S5" s="93"/>
      <c r="T5" s="93"/>
      <c r="U5" s="93"/>
      <c r="V5" s="245">
        <f>1-V4</f>
        <v>0.4</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78</v>
      </c>
      <c r="B6" s="93"/>
      <c r="C6" s="93"/>
      <c r="D6" s="93"/>
      <c r="E6" s="93"/>
      <c r="F6" s="93"/>
      <c r="G6" s="93"/>
      <c r="H6" s="93"/>
      <c r="I6" s="93"/>
      <c r="J6" s="93"/>
      <c r="K6" s="93"/>
      <c r="L6" s="93"/>
      <c r="M6" s="93"/>
      <c r="N6" s="93"/>
      <c r="O6" s="93"/>
      <c r="P6" s="93"/>
      <c r="Q6" s="93"/>
      <c r="R6" s="93"/>
      <c r="S6" s="93"/>
      <c r="T6" s="93"/>
      <c r="U6" s="93"/>
      <c r="V6" s="245">
        <v>4.7500000000000001E-2</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80</v>
      </c>
      <c r="B7" s="93"/>
      <c r="C7" s="93"/>
      <c r="D7" s="93"/>
      <c r="E7" s="93"/>
      <c r="F7" s="93"/>
      <c r="G7" s="93"/>
      <c r="H7" s="93"/>
      <c r="I7" s="93"/>
      <c r="J7" s="93"/>
      <c r="K7" s="93"/>
      <c r="L7" s="93"/>
      <c r="M7" s="93"/>
      <c r="N7" s="93"/>
      <c r="O7" s="93"/>
      <c r="P7" s="93"/>
      <c r="Q7" s="93"/>
      <c r="R7" s="93"/>
      <c r="S7" s="93"/>
      <c r="T7" s="93"/>
      <c r="U7" s="93"/>
      <c r="V7" s="245">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93" t="s">
        <v>82</v>
      </c>
      <c r="B8" s="93"/>
      <c r="C8" s="93"/>
      <c r="D8" s="93"/>
      <c r="E8" s="93"/>
      <c r="F8" s="93"/>
      <c r="G8" s="93"/>
      <c r="H8" s="93"/>
      <c r="I8" s="93"/>
      <c r="J8" s="93"/>
      <c r="K8" s="93"/>
      <c r="L8" s="93"/>
      <c r="M8" s="93"/>
      <c r="N8" s="93"/>
      <c r="O8" s="93"/>
      <c r="P8" s="93"/>
      <c r="Q8" s="93"/>
      <c r="R8" s="93"/>
      <c r="S8" s="93"/>
      <c r="T8" s="93"/>
      <c r="U8" s="93"/>
      <c r="V8" s="245">
        <f>V4*V6+V5*V7</f>
        <v>6.0499999999999998E-2</v>
      </c>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row>
    <row r="9" spans="1:52" ht="15" customHeight="1">
      <c r="A9" s="93" t="s">
        <v>84</v>
      </c>
      <c r="B9" s="93"/>
      <c r="C9" s="93"/>
      <c r="D9" s="93"/>
      <c r="E9" s="93"/>
      <c r="F9" s="93"/>
      <c r="G9" s="93"/>
      <c r="H9" s="93"/>
      <c r="I9" s="93"/>
      <c r="J9" s="93"/>
      <c r="K9" s="93"/>
      <c r="L9" s="93"/>
      <c r="M9" s="93"/>
      <c r="N9" s="93"/>
      <c r="O9" s="93"/>
      <c r="P9" s="93"/>
      <c r="Q9" s="93"/>
      <c r="R9" s="93"/>
      <c r="S9" s="93"/>
      <c r="T9" s="93"/>
      <c r="U9" s="93"/>
      <c r="V9" s="251">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row>
    <row r="10" spans="1:52" ht="15" customHeight="1">
      <c r="A10" s="93" t="s">
        <v>715</v>
      </c>
      <c r="B10" s="93"/>
      <c r="C10" s="93"/>
      <c r="D10" s="93"/>
      <c r="E10" s="93"/>
      <c r="F10" s="93"/>
      <c r="G10" s="93"/>
      <c r="H10" s="93"/>
      <c r="I10" s="93"/>
      <c r="J10" s="93"/>
      <c r="K10" s="93"/>
      <c r="L10" s="93"/>
      <c r="M10" s="93"/>
      <c r="N10" s="93"/>
      <c r="O10" s="93"/>
      <c r="P10" s="93"/>
      <c r="Q10" s="93"/>
      <c r="R10" s="93"/>
      <c r="S10" s="93"/>
      <c r="T10" s="93"/>
      <c r="U10" s="93"/>
      <c r="V10" s="335">
        <v>0.05</v>
      </c>
      <c r="W10" s="331">
        <v>9.5000000000000001E-2</v>
      </c>
      <c r="X10" s="331">
        <v>8.5500000000000007E-2</v>
      </c>
      <c r="Y10" s="331">
        <v>7.6999999999999999E-2</v>
      </c>
      <c r="Z10" s="331">
        <v>6.93E-2</v>
      </c>
      <c r="AA10" s="331">
        <v>6.2300000000000001E-2</v>
      </c>
      <c r="AB10" s="331">
        <v>5.8999999999999997E-2</v>
      </c>
      <c r="AC10" s="331">
        <v>5.8999999999999997E-2</v>
      </c>
      <c r="AD10" s="331">
        <v>5.91E-2</v>
      </c>
      <c r="AE10" s="331">
        <v>5.8999999999999997E-2</v>
      </c>
      <c r="AF10" s="331">
        <v>5.91E-2</v>
      </c>
      <c r="AG10" s="331">
        <v>5.8999999999999997E-2</v>
      </c>
      <c r="AH10" s="331">
        <v>5.91E-2</v>
      </c>
      <c r="AI10" s="331">
        <v>5.8999999999999997E-2</v>
      </c>
      <c r="AJ10" s="331">
        <v>5.91E-2</v>
      </c>
      <c r="AK10" s="331">
        <v>2.9499999999999998E-2</v>
      </c>
      <c r="AL10" s="331"/>
      <c r="AM10" s="331"/>
      <c r="AN10" s="331"/>
      <c r="AO10" s="331"/>
      <c r="AP10" s="331"/>
      <c r="AQ10" s="331"/>
      <c r="AR10" s="331"/>
      <c r="AS10" s="331"/>
      <c r="AT10" s="331"/>
      <c r="AU10" s="331"/>
      <c r="AV10" s="331"/>
      <c r="AW10" s="331"/>
      <c r="AX10" s="331"/>
      <c r="AY10" s="331"/>
      <c r="AZ10" s="331"/>
    </row>
    <row r="11" spans="1:52" ht="15" customHeight="1">
      <c r="A11" s="93" t="s">
        <v>88</v>
      </c>
      <c r="B11" s="93"/>
      <c r="C11" s="93"/>
      <c r="D11" s="93"/>
      <c r="E11" s="93"/>
      <c r="F11" s="93"/>
      <c r="G11" s="93"/>
      <c r="H11" s="93"/>
      <c r="I11" s="93"/>
      <c r="J11" s="93"/>
      <c r="K11" s="93"/>
      <c r="L11" s="93"/>
      <c r="M11" s="93"/>
      <c r="N11" s="93"/>
      <c r="O11" s="93"/>
      <c r="P11" s="93"/>
      <c r="Q11" s="93"/>
      <c r="R11" s="93"/>
      <c r="S11" s="93"/>
      <c r="T11" s="93"/>
      <c r="U11" s="93"/>
      <c r="V11" s="280">
        <v>600</v>
      </c>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row>
    <row r="12" spans="1:52" ht="15" customHeight="1">
      <c r="A12" s="93" t="s">
        <v>90</v>
      </c>
      <c r="B12" s="93"/>
      <c r="C12" s="93"/>
      <c r="D12" s="93"/>
      <c r="E12" s="93"/>
      <c r="F12" s="93"/>
      <c r="G12" s="93"/>
      <c r="H12" s="93"/>
      <c r="I12" s="93"/>
      <c r="J12" s="93"/>
      <c r="K12" s="93"/>
      <c r="L12" s="93"/>
      <c r="M12" s="93"/>
      <c r="N12" s="93"/>
      <c r="O12" s="93"/>
      <c r="P12" s="93"/>
      <c r="Q12" s="93"/>
      <c r="R12" s="93"/>
      <c r="S12" s="93"/>
      <c r="T12" s="93"/>
      <c r="U12" s="93"/>
      <c r="V12" s="332">
        <v>3</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row>
    <row r="13" spans="1:52" ht="15" customHeight="1">
      <c r="A13" s="93" t="s">
        <v>92</v>
      </c>
      <c r="B13" s="93"/>
      <c r="C13" s="93"/>
      <c r="D13" s="93"/>
      <c r="E13" s="93"/>
      <c r="F13" s="93"/>
      <c r="G13" s="93"/>
      <c r="H13" s="93"/>
      <c r="I13" s="93"/>
      <c r="J13" s="93"/>
      <c r="K13" s="93"/>
      <c r="L13" s="93"/>
      <c r="M13" s="93"/>
      <c r="N13" s="93"/>
      <c r="O13" s="93"/>
      <c r="P13" s="93"/>
      <c r="Q13" s="93"/>
      <c r="R13" s="93"/>
      <c r="S13" s="93"/>
      <c r="T13" s="93"/>
      <c r="U13" s="93"/>
      <c r="V13" s="254">
        <f>1/V12</f>
        <v>0.33333333333333331</v>
      </c>
      <c r="W13" s="250"/>
      <c r="X13" s="250"/>
      <c r="Y13" s="250"/>
      <c r="Z13" s="250"/>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row>
    <row r="14" spans="1:52" ht="15" customHeight="1">
      <c r="A14" s="93" t="s">
        <v>94</v>
      </c>
      <c r="B14" s="93"/>
      <c r="C14" s="93"/>
      <c r="D14" s="93"/>
      <c r="E14" s="93"/>
      <c r="F14" s="93"/>
      <c r="G14" s="93"/>
      <c r="H14" s="93"/>
      <c r="I14" s="93"/>
      <c r="J14" s="93"/>
      <c r="K14" s="93"/>
      <c r="L14" s="93"/>
      <c r="M14" s="93"/>
      <c r="N14" s="93"/>
      <c r="O14" s="93"/>
      <c r="P14" s="93"/>
      <c r="Q14" s="93"/>
      <c r="R14" s="93"/>
      <c r="S14" s="93"/>
      <c r="T14" s="93"/>
      <c r="U14" s="93"/>
      <c r="V14" s="281">
        <v>0.09</v>
      </c>
      <c r="W14" s="102">
        <f t="shared" ref="W14:AZ14" si="4">V14*(1+V16)</f>
        <v>0.09</v>
      </c>
      <c r="X14" s="102">
        <f t="shared" si="4"/>
        <v>0.09</v>
      </c>
      <c r="Y14" s="102">
        <f t="shared" si="4"/>
        <v>0.09</v>
      </c>
      <c r="Z14" s="102">
        <f t="shared" si="4"/>
        <v>0.09</v>
      </c>
      <c r="AA14" s="102">
        <f t="shared" si="4"/>
        <v>0.09</v>
      </c>
      <c r="AB14" s="102">
        <f t="shared" si="4"/>
        <v>0.09</v>
      </c>
      <c r="AC14" s="102">
        <f t="shared" si="4"/>
        <v>0.09</v>
      </c>
      <c r="AD14" s="102">
        <f t="shared" si="4"/>
        <v>0.09</v>
      </c>
      <c r="AE14" s="102">
        <f t="shared" si="4"/>
        <v>0.09</v>
      </c>
      <c r="AF14" s="102">
        <f t="shared" si="4"/>
        <v>0.09</v>
      </c>
      <c r="AG14" s="102">
        <f t="shared" si="4"/>
        <v>0.09</v>
      </c>
      <c r="AH14" s="102">
        <f t="shared" si="4"/>
        <v>0.09</v>
      </c>
      <c r="AI14" s="102">
        <f t="shared" si="4"/>
        <v>0.09</v>
      </c>
      <c r="AJ14" s="102">
        <f t="shared" si="4"/>
        <v>0.09</v>
      </c>
      <c r="AK14" s="102">
        <f t="shared" si="4"/>
        <v>0.09</v>
      </c>
      <c r="AL14" s="102">
        <f t="shared" si="4"/>
        <v>0.09</v>
      </c>
      <c r="AM14" s="102">
        <f t="shared" si="4"/>
        <v>0.09</v>
      </c>
      <c r="AN14" s="102">
        <f t="shared" si="4"/>
        <v>0.09</v>
      </c>
      <c r="AO14" s="102">
        <f t="shared" si="4"/>
        <v>0.09</v>
      </c>
      <c r="AP14" s="102">
        <f t="shared" si="4"/>
        <v>0.09</v>
      </c>
      <c r="AQ14" s="102">
        <f t="shared" si="4"/>
        <v>0.09</v>
      </c>
      <c r="AR14" s="102">
        <f t="shared" si="4"/>
        <v>0.09</v>
      </c>
      <c r="AS14" s="102">
        <f t="shared" si="4"/>
        <v>0.09</v>
      </c>
      <c r="AT14" s="102">
        <f t="shared" si="4"/>
        <v>0.09</v>
      </c>
      <c r="AU14" s="102">
        <f t="shared" si="4"/>
        <v>0.09</v>
      </c>
      <c r="AV14" s="102">
        <f t="shared" si="4"/>
        <v>0.09</v>
      </c>
      <c r="AW14" s="102">
        <f t="shared" si="4"/>
        <v>0.09</v>
      </c>
      <c r="AX14" s="102">
        <f t="shared" si="4"/>
        <v>0.09</v>
      </c>
      <c r="AY14" s="102">
        <f t="shared" si="4"/>
        <v>0.09</v>
      </c>
      <c r="AZ14" s="102">
        <f t="shared" si="4"/>
        <v>0.09</v>
      </c>
    </row>
    <row r="15" spans="1:52" ht="15" customHeight="1">
      <c r="A15" s="93" t="s">
        <v>96</v>
      </c>
      <c r="B15" s="93"/>
      <c r="C15" s="93"/>
      <c r="D15" s="93"/>
      <c r="E15" s="93"/>
      <c r="F15" s="93"/>
      <c r="G15" s="93"/>
      <c r="H15" s="93"/>
      <c r="I15" s="93"/>
      <c r="J15" s="93"/>
      <c r="K15" s="93"/>
      <c r="L15" s="93"/>
      <c r="M15" s="93"/>
      <c r="N15" s="93"/>
      <c r="O15" s="93"/>
      <c r="P15" s="93"/>
      <c r="Q15" s="93"/>
      <c r="R15" s="93"/>
      <c r="S15" s="93"/>
      <c r="T15" s="93"/>
      <c r="U15" s="93"/>
      <c r="V15" s="281">
        <v>0.11</v>
      </c>
      <c r="W15" s="102">
        <f t="shared" ref="W15:AZ15" si="5">V15</f>
        <v>0.11</v>
      </c>
      <c r="X15" s="102">
        <f t="shared" si="5"/>
        <v>0.11</v>
      </c>
      <c r="Y15" s="102">
        <f t="shared" si="5"/>
        <v>0.11</v>
      </c>
      <c r="Z15" s="102">
        <f t="shared" si="5"/>
        <v>0.11</v>
      </c>
      <c r="AA15" s="102">
        <f t="shared" si="5"/>
        <v>0.11</v>
      </c>
      <c r="AB15" s="102">
        <f t="shared" si="5"/>
        <v>0.11</v>
      </c>
      <c r="AC15" s="102">
        <f t="shared" si="5"/>
        <v>0.11</v>
      </c>
      <c r="AD15" s="102">
        <f t="shared" si="5"/>
        <v>0.11</v>
      </c>
      <c r="AE15" s="102">
        <f t="shared" si="5"/>
        <v>0.11</v>
      </c>
      <c r="AF15" s="102">
        <f t="shared" si="5"/>
        <v>0.11</v>
      </c>
      <c r="AG15" s="102">
        <f t="shared" si="5"/>
        <v>0.11</v>
      </c>
      <c r="AH15" s="102">
        <f t="shared" si="5"/>
        <v>0.11</v>
      </c>
      <c r="AI15" s="102">
        <f t="shared" si="5"/>
        <v>0.11</v>
      </c>
      <c r="AJ15" s="102">
        <f t="shared" si="5"/>
        <v>0.11</v>
      </c>
      <c r="AK15" s="102">
        <f t="shared" si="5"/>
        <v>0.11</v>
      </c>
      <c r="AL15" s="102">
        <f t="shared" si="5"/>
        <v>0.11</v>
      </c>
      <c r="AM15" s="102">
        <f t="shared" si="5"/>
        <v>0.11</v>
      </c>
      <c r="AN15" s="102">
        <f t="shared" si="5"/>
        <v>0.11</v>
      </c>
      <c r="AO15" s="102">
        <f t="shared" si="5"/>
        <v>0.11</v>
      </c>
      <c r="AP15" s="102">
        <f t="shared" si="5"/>
        <v>0.11</v>
      </c>
      <c r="AQ15" s="102">
        <f t="shared" si="5"/>
        <v>0.11</v>
      </c>
      <c r="AR15" s="102">
        <f t="shared" si="5"/>
        <v>0.11</v>
      </c>
      <c r="AS15" s="102">
        <f t="shared" si="5"/>
        <v>0.11</v>
      </c>
      <c r="AT15" s="102">
        <f t="shared" si="5"/>
        <v>0.11</v>
      </c>
      <c r="AU15" s="102">
        <f t="shared" si="5"/>
        <v>0.11</v>
      </c>
      <c r="AV15" s="102">
        <f t="shared" si="5"/>
        <v>0.11</v>
      </c>
      <c r="AW15" s="102">
        <f t="shared" si="5"/>
        <v>0.11</v>
      </c>
      <c r="AX15" s="102">
        <f t="shared" si="5"/>
        <v>0.11</v>
      </c>
      <c r="AY15" s="102">
        <f t="shared" si="5"/>
        <v>0.11</v>
      </c>
      <c r="AZ15" s="102">
        <f t="shared" si="5"/>
        <v>0.11</v>
      </c>
    </row>
    <row r="16" spans="1:52" ht="15" customHeight="1">
      <c r="A16" s="93" t="s">
        <v>98</v>
      </c>
      <c r="B16" s="93"/>
      <c r="C16" s="93"/>
      <c r="D16" s="93"/>
      <c r="E16" s="93"/>
      <c r="F16" s="93"/>
      <c r="G16" s="93"/>
      <c r="H16" s="93"/>
      <c r="I16" s="93"/>
      <c r="J16" s="93"/>
      <c r="K16" s="93"/>
      <c r="L16" s="93"/>
      <c r="M16" s="93"/>
      <c r="N16" s="93"/>
      <c r="O16" s="93"/>
      <c r="P16" s="93"/>
      <c r="Q16" s="93"/>
      <c r="R16" s="93"/>
      <c r="S16" s="93"/>
      <c r="T16" s="93"/>
      <c r="U16" s="93"/>
      <c r="V16" s="254">
        <v>0</v>
      </c>
      <c r="W16" s="102">
        <f t="shared" ref="W16:AZ16" si="6">V16</f>
        <v>0</v>
      </c>
      <c r="X16" s="102">
        <f t="shared" si="6"/>
        <v>0</v>
      </c>
      <c r="Y16" s="102">
        <f t="shared" si="6"/>
        <v>0</v>
      </c>
      <c r="Z16" s="102">
        <f t="shared" si="6"/>
        <v>0</v>
      </c>
      <c r="AA16" s="102">
        <f t="shared" si="6"/>
        <v>0</v>
      </c>
      <c r="AB16" s="102">
        <f t="shared" si="6"/>
        <v>0</v>
      </c>
      <c r="AC16" s="102">
        <f t="shared" si="6"/>
        <v>0</v>
      </c>
      <c r="AD16" s="102">
        <f t="shared" si="6"/>
        <v>0</v>
      </c>
      <c r="AE16" s="102">
        <f t="shared" si="6"/>
        <v>0</v>
      </c>
      <c r="AF16" s="102">
        <f t="shared" si="6"/>
        <v>0</v>
      </c>
      <c r="AG16" s="102">
        <f t="shared" si="6"/>
        <v>0</v>
      </c>
      <c r="AH16" s="102">
        <f t="shared" si="6"/>
        <v>0</v>
      </c>
      <c r="AI16" s="102">
        <f t="shared" si="6"/>
        <v>0</v>
      </c>
      <c r="AJ16" s="102">
        <f t="shared" si="6"/>
        <v>0</v>
      </c>
      <c r="AK16" s="102">
        <f t="shared" si="6"/>
        <v>0</v>
      </c>
      <c r="AL16" s="102">
        <f t="shared" si="6"/>
        <v>0</v>
      </c>
      <c r="AM16" s="102">
        <f t="shared" si="6"/>
        <v>0</v>
      </c>
      <c r="AN16" s="102">
        <f t="shared" si="6"/>
        <v>0</v>
      </c>
      <c r="AO16" s="102">
        <f t="shared" si="6"/>
        <v>0</v>
      </c>
      <c r="AP16" s="102">
        <f t="shared" si="6"/>
        <v>0</v>
      </c>
      <c r="AQ16" s="102">
        <f t="shared" si="6"/>
        <v>0</v>
      </c>
      <c r="AR16" s="102">
        <f t="shared" si="6"/>
        <v>0</v>
      </c>
      <c r="AS16" s="102">
        <f t="shared" si="6"/>
        <v>0</v>
      </c>
      <c r="AT16" s="102">
        <f t="shared" si="6"/>
        <v>0</v>
      </c>
      <c r="AU16" s="102">
        <f t="shared" si="6"/>
        <v>0</v>
      </c>
      <c r="AV16" s="102">
        <f t="shared" si="6"/>
        <v>0</v>
      </c>
      <c r="AW16" s="102">
        <f t="shared" si="6"/>
        <v>0</v>
      </c>
      <c r="AX16" s="102">
        <f t="shared" si="6"/>
        <v>0</v>
      </c>
      <c r="AY16" s="102">
        <f t="shared" si="6"/>
        <v>0</v>
      </c>
      <c r="AZ16" s="102">
        <f t="shared" si="6"/>
        <v>0</v>
      </c>
    </row>
    <row r="17" spans="1:52" ht="15" customHeight="1">
      <c r="A17" s="93" t="s">
        <v>100</v>
      </c>
      <c r="B17" s="105">
        <f t="shared" ref="B17:U17" si="7">C17/(1+B34-B20)</f>
        <v>7624.8337489530277</v>
      </c>
      <c r="C17" s="105">
        <f t="shared" si="7"/>
        <v>7769.7055901831363</v>
      </c>
      <c r="D17" s="105">
        <f t="shared" si="7"/>
        <v>7917.3299963966165</v>
      </c>
      <c r="E17" s="105">
        <f t="shared" si="7"/>
        <v>8067.759266328153</v>
      </c>
      <c r="F17" s="105">
        <f t="shared" si="7"/>
        <v>8221.0466923883887</v>
      </c>
      <c r="G17" s="105">
        <f t="shared" si="7"/>
        <v>8377.2465795437693</v>
      </c>
      <c r="H17" s="105">
        <f t="shared" si="7"/>
        <v>8536.4142645551019</v>
      </c>
      <c r="I17" s="105">
        <f t="shared" si="7"/>
        <v>8698.6061355816491</v>
      </c>
      <c r="J17" s="105">
        <f t="shared" si="7"/>
        <v>8863.8796521577024</v>
      </c>
      <c r="K17" s="105">
        <f t="shared" si="7"/>
        <v>9032.2933655486995</v>
      </c>
      <c r="L17" s="105">
        <f t="shared" si="7"/>
        <v>9203.9069394941253</v>
      </c>
      <c r="M17" s="105">
        <f t="shared" si="7"/>
        <v>9378.7811713445153</v>
      </c>
      <c r="N17" s="105">
        <f t="shared" si="7"/>
        <v>9556.9780136000627</v>
      </c>
      <c r="O17" s="105">
        <f t="shared" si="7"/>
        <v>9738.5605958584656</v>
      </c>
      <c r="P17" s="105">
        <f t="shared" si="7"/>
        <v>9923.5932471797769</v>
      </c>
      <c r="Q17" s="105">
        <f t="shared" si="7"/>
        <v>10112.141518876195</v>
      </c>
      <c r="R17" s="105">
        <f t="shared" si="7"/>
        <v>10304.272207734844</v>
      </c>
      <c r="S17" s="105">
        <f t="shared" si="7"/>
        <v>10500.053379681807</v>
      </c>
      <c r="T17" s="105">
        <f t="shared" si="7"/>
        <v>10699.554393895763</v>
      </c>
      <c r="U17" s="105">
        <f t="shared" si="7"/>
        <v>10902.845927379783</v>
      </c>
      <c r="V17" s="360">
        <v>11110</v>
      </c>
      <c r="W17" s="105">
        <f t="shared" ref="W17:AZ17" si="8">V17*(1+V34-V20)</f>
        <v>11321.090000000002</v>
      </c>
      <c r="X17" s="105">
        <f t="shared" si="8"/>
        <v>11536.190710000003</v>
      </c>
      <c r="Y17" s="105">
        <f t="shared" si="8"/>
        <v>11755.378333490004</v>
      </c>
      <c r="Z17" s="105">
        <f t="shared" si="8"/>
        <v>11978.730521826315</v>
      </c>
      <c r="AA17" s="105">
        <f t="shared" si="8"/>
        <v>12206.326401741017</v>
      </c>
      <c r="AB17" s="105">
        <f t="shared" si="8"/>
        <v>12438.246603374097</v>
      </c>
      <c r="AC17" s="105">
        <f t="shared" si="8"/>
        <v>12674.573288838206</v>
      </c>
      <c r="AD17" s="105">
        <f t="shared" si="8"/>
        <v>12915.390181326135</v>
      </c>
      <c r="AE17" s="105">
        <f t="shared" si="8"/>
        <v>13160.782594771334</v>
      </c>
      <c r="AF17" s="105">
        <f t="shared" si="8"/>
        <v>13410.83746407199</v>
      </c>
      <c r="AG17" s="105">
        <f t="shared" si="8"/>
        <v>13665.64337588936</v>
      </c>
      <c r="AH17" s="105">
        <f t="shared" si="8"/>
        <v>13925.29060003126</v>
      </c>
      <c r="AI17" s="105">
        <f t="shared" si="8"/>
        <v>14189.871121431855</v>
      </c>
      <c r="AJ17" s="105">
        <f t="shared" si="8"/>
        <v>14459.478672739062</v>
      </c>
      <c r="AK17" s="105">
        <f t="shared" si="8"/>
        <v>14734.208767521106</v>
      </c>
      <c r="AL17" s="105">
        <f t="shared" si="8"/>
        <v>15014.158734104009</v>
      </c>
      <c r="AM17" s="105">
        <f t="shared" si="8"/>
        <v>15299.427750051987</v>
      </c>
      <c r="AN17" s="105">
        <f t="shared" si="8"/>
        <v>15590.116877302977</v>
      </c>
      <c r="AO17" s="105">
        <f t="shared" si="8"/>
        <v>15886.329097971735</v>
      </c>
      <c r="AP17" s="105">
        <f t="shared" si="8"/>
        <v>16188.169350833199</v>
      </c>
      <c r="AQ17" s="105">
        <f t="shared" si="8"/>
        <v>16495.744568499031</v>
      </c>
      <c r="AR17" s="105">
        <f t="shared" si="8"/>
        <v>16809.163715300514</v>
      </c>
      <c r="AS17" s="105">
        <f t="shared" si="8"/>
        <v>17128.537825891224</v>
      </c>
      <c r="AT17" s="105">
        <f t="shared" si="8"/>
        <v>17453.980044583161</v>
      </c>
      <c r="AU17" s="105">
        <f t="shared" si="8"/>
        <v>17785.605665430245</v>
      </c>
      <c r="AV17" s="105">
        <f t="shared" si="8"/>
        <v>18123.532173073421</v>
      </c>
      <c r="AW17" s="105">
        <f t="shared" si="8"/>
        <v>18467.879284361818</v>
      </c>
      <c r="AX17" s="105">
        <f t="shared" si="8"/>
        <v>18818.768990764693</v>
      </c>
      <c r="AY17" s="105">
        <f t="shared" si="8"/>
        <v>19176.325601589226</v>
      </c>
      <c r="AZ17" s="105">
        <f t="shared" si="8"/>
        <v>19540.675788019424</v>
      </c>
    </row>
    <row r="18" spans="1:52" ht="15" customHeight="1">
      <c r="A18" s="93" t="s">
        <v>802</v>
      </c>
      <c r="B18" s="91">
        <f t="shared" ref="B18:U18" si="9">C18/(1+B34-B20)</f>
        <v>2.4295149839148253</v>
      </c>
      <c r="C18" s="91">
        <f t="shared" si="9"/>
        <v>2.4756757686092072</v>
      </c>
      <c r="D18" s="91">
        <f t="shared" si="9"/>
        <v>2.5227136082127823</v>
      </c>
      <c r="E18" s="91">
        <f t="shared" si="9"/>
        <v>2.5706451667688257</v>
      </c>
      <c r="F18" s="91">
        <f t="shared" si="9"/>
        <v>2.6194874249374336</v>
      </c>
      <c r="G18" s="91">
        <f t="shared" si="9"/>
        <v>2.6692576860112451</v>
      </c>
      <c r="H18" s="91">
        <f t="shared" si="9"/>
        <v>2.7199735820454594</v>
      </c>
      <c r="I18" s="91">
        <f t="shared" si="9"/>
        <v>2.7716530801043233</v>
      </c>
      <c r="J18" s="91">
        <f t="shared" si="9"/>
        <v>2.8243144886263059</v>
      </c>
      <c r="K18" s="91">
        <f t="shared" si="9"/>
        <v>2.8779764639102061</v>
      </c>
      <c r="L18" s="91">
        <f t="shared" si="9"/>
        <v>2.9326580167245004</v>
      </c>
      <c r="M18" s="91">
        <f t="shared" si="9"/>
        <v>2.9883785190422665</v>
      </c>
      <c r="N18" s="91">
        <f t="shared" si="9"/>
        <v>3.0451577109040699</v>
      </c>
      <c r="O18" s="91">
        <f t="shared" si="9"/>
        <v>3.1030157074112479</v>
      </c>
      <c r="P18" s="91">
        <f t="shared" si="9"/>
        <v>3.1619730058520621</v>
      </c>
      <c r="Q18" s="91">
        <f t="shared" si="9"/>
        <v>3.2220504929632519</v>
      </c>
      <c r="R18" s="91">
        <f t="shared" si="9"/>
        <v>3.283269452329554</v>
      </c>
      <c r="S18" s="91">
        <f t="shared" si="9"/>
        <v>3.345651571923816</v>
      </c>
      <c r="T18" s="91">
        <f t="shared" si="9"/>
        <v>3.4092189517903688</v>
      </c>
      <c r="U18" s="91">
        <f t="shared" si="9"/>
        <v>3.4739941118743864</v>
      </c>
      <c r="V18" s="107">
        <v>3.54</v>
      </c>
      <c r="W18" s="91">
        <f t="shared" ref="W18:AZ18" si="10">V18*(1+V34-V20)</f>
        <v>3.6072600000000006</v>
      </c>
      <c r="X18" s="91">
        <f t="shared" si="10"/>
        <v>3.6757979400000012</v>
      </c>
      <c r="Y18" s="91">
        <f t="shared" si="10"/>
        <v>3.7456381008600017</v>
      </c>
      <c r="Z18" s="91">
        <f t="shared" si="10"/>
        <v>3.8168052247763424</v>
      </c>
      <c r="AA18" s="91">
        <f t="shared" si="10"/>
        <v>3.8893245240470935</v>
      </c>
      <c r="AB18" s="91">
        <f t="shared" si="10"/>
        <v>3.9632216900039889</v>
      </c>
      <c r="AC18" s="91">
        <f t="shared" si="10"/>
        <v>4.0385229021140656</v>
      </c>
      <c r="AD18" s="91">
        <f t="shared" si="10"/>
        <v>4.1152548372542332</v>
      </c>
      <c r="AE18" s="91">
        <f t="shared" si="10"/>
        <v>4.1934446791620639</v>
      </c>
      <c r="AF18" s="91">
        <f t="shared" si="10"/>
        <v>4.2731201280661439</v>
      </c>
      <c r="AG18" s="91">
        <f t="shared" si="10"/>
        <v>4.3543094104994013</v>
      </c>
      <c r="AH18" s="91">
        <f t="shared" si="10"/>
        <v>4.4370412892988904</v>
      </c>
      <c r="AI18" s="91">
        <f t="shared" si="10"/>
        <v>4.5213450737955698</v>
      </c>
      <c r="AJ18" s="91">
        <f t="shared" si="10"/>
        <v>4.6072506301976865</v>
      </c>
      <c r="AK18" s="91">
        <f t="shared" si="10"/>
        <v>4.6947883921714428</v>
      </c>
      <c r="AL18" s="91">
        <f t="shared" si="10"/>
        <v>4.7839893716227007</v>
      </c>
      <c r="AM18" s="91">
        <f t="shared" si="10"/>
        <v>4.8748851696835329</v>
      </c>
      <c r="AN18" s="91">
        <f t="shared" si="10"/>
        <v>4.9675079879075206</v>
      </c>
      <c r="AO18" s="91">
        <f t="shared" si="10"/>
        <v>5.0618906396777641</v>
      </c>
      <c r="AP18" s="91">
        <f t="shared" si="10"/>
        <v>5.1580665618316424</v>
      </c>
      <c r="AQ18" s="91">
        <f t="shared" si="10"/>
        <v>5.2560698265064438</v>
      </c>
      <c r="AR18" s="91">
        <f t="shared" si="10"/>
        <v>5.3559351532100665</v>
      </c>
      <c r="AS18" s="91">
        <f t="shared" si="10"/>
        <v>5.4576979211210581</v>
      </c>
      <c r="AT18" s="91">
        <f t="shared" si="10"/>
        <v>5.5613941816223589</v>
      </c>
      <c r="AU18" s="91">
        <f t="shared" si="10"/>
        <v>5.6670606710731848</v>
      </c>
      <c r="AV18" s="91">
        <f t="shared" si="10"/>
        <v>5.7747348238235761</v>
      </c>
      <c r="AW18" s="91">
        <f t="shared" si="10"/>
        <v>5.8844547854762244</v>
      </c>
      <c r="AX18" s="91">
        <f t="shared" si="10"/>
        <v>5.9962594264002735</v>
      </c>
      <c r="AY18" s="91">
        <f t="shared" si="10"/>
        <v>6.1101883555018794</v>
      </c>
      <c r="AZ18" s="91">
        <f t="shared" si="10"/>
        <v>6.2262819342564155</v>
      </c>
    </row>
    <row r="19" spans="1:52" ht="15" customHeight="1">
      <c r="A19" s="93" t="s">
        <v>803</v>
      </c>
      <c r="B19" s="91">
        <f t="shared" ref="B19:U19" si="11">C19/(1+B34-B20)</f>
        <v>12.100790667518357</v>
      </c>
      <c r="C19" s="91">
        <f t="shared" si="11"/>
        <v>12.330705690201206</v>
      </c>
      <c r="D19" s="91">
        <f t="shared" si="11"/>
        <v>12.564989098315031</v>
      </c>
      <c r="E19" s="91">
        <f t="shared" si="11"/>
        <v>12.803723891183019</v>
      </c>
      <c r="F19" s="91">
        <f t="shared" si="11"/>
        <v>13.046994645115499</v>
      </c>
      <c r="G19" s="91">
        <f t="shared" si="11"/>
        <v>13.294887543372695</v>
      </c>
      <c r="H19" s="91">
        <f t="shared" si="11"/>
        <v>13.547490406696779</v>
      </c>
      <c r="I19" s="91">
        <f t="shared" si="11"/>
        <v>13.80489272442402</v>
      </c>
      <c r="J19" s="91">
        <f t="shared" si="11"/>
        <v>14.067185686188079</v>
      </c>
      <c r="K19" s="91">
        <f t="shared" si="11"/>
        <v>14.334462214225654</v>
      </c>
      <c r="L19" s="91">
        <f t="shared" si="11"/>
        <v>14.606816996295944</v>
      </c>
      <c r="M19" s="91">
        <f t="shared" si="11"/>
        <v>14.884346519225568</v>
      </c>
      <c r="N19" s="91">
        <f t="shared" si="11"/>
        <v>15.167149103090855</v>
      </c>
      <c r="O19" s="91">
        <f t="shared" si="11"/>
        <v>15.455324936049584</v>
      </c>
      <c r="P19" s="91">
        <f t="shared" si="11"/>
        <v>15.748976109834528</v>
      </c>
      <c r="Q19" s="91">
        <f t="shared" si="11"/>
        <v>16.048206655921387</v>
      </c>
      <c r="R19" s="91">
        <f t="shared" si="11"/>
        <v>16.353122582383897</v>
      </c>
      <c r="S19" s="91">
        <f t="shared" si="11"/>
        <v>16.663831911449194</v>
      </c>
      <c r="T19" s="91">
        <f t="shared" si="11"/>
        <v>16.98044471776673</v>
      </c>
      <c r="U19" s="91">
        <f t="shared" si="11"/>
        <v>17.3030731674043</v>
      </c>
      <c r="V19" s="97">
        <f>V17*Model!W1555/(V14*Model!W1555*8760)+V18</f>
        <v>17.631831557584984</v>
      </c>
      <c r="W19" s="91">
        <f t="shared" ref="W19:AZ19" si="12">V19*(1+V34-V20)</f>
        <v>17.966836357179101</v>
      </c>
      <c r="X19" s="91">
        <f t="shared" si="12"/>
        <v>18.308206247965508</v>
      </c>
      <c r="Y19" s="91">
        <f t="shared" si="12"/>
        <v>18.656062166676854</v>
      </c>
      <c r="Z19" s="91">
        <f t="shared" si="12"/>
        <v>19.010527347843716</v>
      </c>
      <c r="AA19" s="91">
        <f t="shared" si="12"/>
        <v>19.371727367452749</v>
      </c>
      <c r="AB19" s="91">
        <f t="shared" si="12"/>
        <v>19.739790187434355</v>
      </c>
      <c r="AC19" s="91">
        <f t="shared" si="12"/>
        <v>20.114846200995611</v>
      </c>
      <c r="AD19" s="91">
        <f t="shared" si="12"/>
        <v>20.497028278814529</v>
      </c>
      <c r="AE19" s="91">
        <f t="shared" si="12"/>
        <v>20.886471816112007</v>
      </c>
      <c r="AF19" s="91">
        <f t="shared" si="12"/>
        <v>21.283314780618138</v>
      </c>
      <c r="AG19" s="91">
        <f t="shared" si="12"/>
        <v>21.687697761449886</v>
      </c>
      <c r="AH19" s="91">
        <f t="shared" si="12"/>
        <v>22.099764018917437</v>
      </c>
      <c r="AI19" s="91">
        <f t="shared" si="12"/>
        <v>22.519659535276872</v>
      </c>
      <c r="AJ19" s="91">
        <f t="shared" si="12"/>
        <v>22.947533066447136</v>
      </c>
      <c r="AK19" s="91">
        <f t="shared" si="12"/>
        <v>23.383536194709635</v>
      </c>
      <c r="AL19" s="91">
        <f t="shared" si="12"/>
        <v>23.827823382409122</v>
      </c>
      <c r="AM19" s="91">
        <f t="shared" si="12"/>
        <v>24.280552026674897</v>
      </c>
      <c r="AN19" s="91">
        <f t="shared" si="12"/>
        <v>24.741882515181722</v>
      </c>
      <c r="AO19" s="91">
        <f t="shared" si="12"/>
        <v>25.211978282970179</v>
      </c>
      <c r="AP19" s="91">
        <f t="shared" si="12"/>
        <v>25.691005870346615</v>
      </c>
      <c r="AQ19" s="91">
        <f t="shared" si="12"/>
        <v>26.179134981883205</v>
      </c>
      <c r="AR19" s="91">
        <f t="shared" si="12"/>
        <v>26.676538546538989</v>
      </c>
      <c r="AS19" s="91">
        <f t="shared" si="12"/>
        <v>27.183392778923235</v>
      </c>
      <c r="AT19" s="91">
        <f t="shared" si="12"/>
        <v>27.699877241722781</v>
      </c>
      <c r="AU19" s="91">
        <f t="shared" si="12"/>
        <v>28.226174909315517</v>
      </c>
      <c r="AV19" s="91">
        <f t="shared" si="12"/>
        <v>28.762472232592515</v>
      </c>
      <c r="AW19" s="91">
        <f t="shared" si="12"/>
        <v>29.308959205011778</v>
      </c>
      <c r="AX19" s="91">
        <f t="shared" si="12"/>
        <v>29.865829429907006</v>
      </c>
      <c r="AY19" s="91">
        <f t="shared" si="12"/>
        <v>30.433280189075244</v>
      </c>
      <c r="AZ19" s="91">
        <f t="shared" si="12"/>
        <v>31.011512512667679</v>
      </c>
    </row>
    <row r="20" spans="1:52" ht="15" customHeight="1">
      <c r="A20" s="93" t="s">
        <v>106</v>
      </c>
      <c r="B20" s="330">
        <f t="shared" ref="B20:U20" si="13">C20</f>
        <v>1E-3</v>
      </c>
      <c r="C20" s="330">
        <f t="shared" si="13"/>
        <v>1E-3</v>
      </c>
      <c r="D20" s="330">
        <f t="shared" si="13"/>
        <v>1E-3</v>
      </c>
      <c r="E20" s="330">
        <f t="shared" si="13"/>
        <v>1E-3</v>
      </c>
      <c r="F20" s="330">
        <f t="shared" si="13"/>
        <v>1E-3</v>
      </c>
      <c r="G20" s="330">
        <f t="shared" si="13"/>
        <v>1E-3</v>
      </c>
      <c r="H20" s="330">
        <f t="shared" si="13"/>
        <v>1E-3</v>
      </c>
      <c r="I20" s="330">
        <f t="shared" si="13"/>
        <v>1E-3</v>
      </c>
      <c r="J20" s="330">
        <f t="shared" si="13"/>
        <v>1E-3</v>
      </c>
      <c r="K20" s="330">
        <f t="shared" si="13"/>
        <v>1E-3</v>
      </c>
      <c r="L20" s="330">
        <f t="shared" si="13"/>
        <v>1E-3</v>
      </c>
      <c r="M20" s="330">
        <f t="shared" si="13"/>
        <v>1E-3</v>
      </c>
      <c r="N20" s="330">
        <f t="shared" si="13"/>
        <v>1E-3</v>
      </c>
      <c r="O20" s="330">
        <f t="shared" si="13"/>
        <v>1E-3</v>
      </c>
      <c r="P20" s="330">
        <f t="shared" si="13"/>
        <v>1E-3</v>
      </c>
      <c r="Q20" s="330">
        <f t="shared" si="13"/>
        <v>1E-3</v>
      </c>
      <c r="R20" s="330">
        <f t="shared" si="13"/>
        <v>1E-3</v>
      </c>
      <c r="S20" s="330">
        <f t="shared" si="13"/>
        <v>1E-3</v>
      </c>
      <c r="T20" s="330">
        <f t="shared" si="13"/>
        <v>1E-3</v>
      </c>
      <c r="U20" s="330">
        <f t="shared" si="13"/>
        <v>1E-3</v>
      </c>
      <c r="V20" s="245">
        <v>1E-3</v>
      </c>
      <c r="W20" s="247">
        <f t="shared" ref="W20:AZ20" si="14">V20</f>
        <v>1E-3</v>
      </c>
      <c r="X20" s="247">
        <f t="shared" si="14"/>
        <v>1E-3</v>
      </c>
      <c r="Y20" s="247">
        <f t="shared" si="14"/>
        <v>1E-3</v>
      </c>
      <c r="Z20" s="247">
        <f t="shared" si="14"/>
        <v>1E-3</v>
      </c>
      <c r="AA20" s="247">
        <f t="shared" si="14"/>
        <v>1E-3</v>
      </c>
      <c r="AB20" s="247">
        <f t="shared" si="14"/>
        <v>1E-3</v>
      </c>
      <c r="AC20" s="247">
        <f t="shared" si="14"/>
        <v>1E-3</v>
      </c>
      <c r="AD20" s="247">
        <f t="shared" si="14"/>
        <v>1E-3</v>
      </c>
      <c r="AE20" s="247">
        <f t="shared" si="14"/>
        <v>1E-3</v>
      </c>
      <c r="AF20" s="247">
        <f t="shared" si="14"/>
        <v>1E-3</v>
      </c>
      <c r="AG20" s="247">
        <f t="shared" si="14"/>
        <v>1E-3</v>
      </c>
      <c r="AH20" s="247">
        <f t="shared" si="14"/>
        <v>1E-3</v>
      </c>
      <c r="AI20" s="247">
        <f t="shared" si="14"/>
        <v>1E-3</v>
      </c>
      <c r="AJ20" s="247">
        <f t="shared" si="14"/>
        <v>1E-3</v>
      </c>
      <c r="AK20" s="247">
        <f t="shared" si="14"/>
        <v>1E-3</v>
      </c>
      <c r="AL20" s="247">
        <f t="shared" si="14"/>
        <v>1E-3</v>
      </c>
      <c r="AM20" s="247">
        <f t="shared" si="14"/>
        <v>1E-3</v>
      </c>
      <c r="AN20" s="247">
        <f t="shared" si="14"/>
        <v>1E-3</v>
      </c>
      <c r="AO20" s="247">
        <f t="shared" si="14"/>
        <v>1E-3</v>
      </c>
      <c r="AP20" s="247">
        <f t="shared" si="14"/>
        <v>1E-3</v>
      </c>
      <c r="AQ20" s="247">
        <f t="shared" si="14"/>
        <v>1E-3</v>
      </c>
      <c r="AR20" s="247">
        <f t="shared" si="14"/>
        <v>1E-3</v>
      </c>
      <c r="AS20" s="247">
        <f t="shared" si="14"/>
        <v>1E-3</v>
      </c>
      <c r="AT20" s="247">
        <f t="shared" si="14"/>
        <v>1E-3</v>
      </c>
      <c r="AU20" s="247">
        <f t="shared" si="14"/>
        <v>1E-3</v>
      </c>
      <c r="AV20" s="247">
        <f t="shared" si="14"/>
        <v>1E-3</v>
      </c>
      <c r="AW20" s="247">
        <f t="shared" si="14"/>
        <v>1E-3</v>
      </c>
      <c r="AX20" s="247">
        <f t="shared" si="14"/>
        <v>1E-3</v>
      </c>
      <c r="AY20" s="247">
        <f t="shared" si="14"/>
        <v>1E-3</v>
      </c>
      <c r="AZ20" s="247">
        <f t="shared" si="14"/>
        <v>1E-3</v>
      </c>
    </row>
    <row r="21" spans="1:52" ht="15" customHeight="1">
      <c r="A21" s="93" t="s">
        <v>111</v>
      </c>
      <c r="B21" s="93"/>
      <c r="C21" s="93"/>
      <c r="D21" s="93"/>
      <c r="E21" s="93"/>
      <c r="F21" s="93"/>
      <c r="G21" s="93"/>
      <c r="H21" s="93"/>
      <c r="I21" s="93"/>
      <c r="J21" s="93"/>
      <c r="K21" s="93"/>
      <c r="L21" s="93"/>
      <c r="M21" s="93"/>
      <c r="N21" s="93"/>
      <c r="O21" s="93"/>
      <c r="P21" s="93"/>
      <c r="Q21" s="93"/>
      <c r="R21" s="93"/>
      <c r="S21" s="93"/>
      <c r="T21" s="93"/>
      <c r="U21" s="93"/>
      <c r="V21" s="97"/>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row>
    <row r="22" spans="1:52" ht="15" customHeight="1">
      <c r="A22" s="93" t="s">
        <v>112</v>
      </c>
      <c r="B22" s="253">
        <v>0.35</v>
      </c>
      <c r="C22" s="253">
        <v>0.35</v>
      </c>
      <c r="D22" s="253">
        <v>0.35</v>
      </c>
      <c r="E22" s="253">
        <v>0.35</v>
      </c>
      <c r="F22" s="253">
        <v>0.35</v>
      </c>
      <c r="G22" s="253">
        <v>0.35</v>
      </c>
      <c r="H22" s="253">
        <v>0.35</v>
      </c>
      <c r="I22" s="253">
        <v>0.35</v>
      </c>
      <c r="J22" s="253">
        <v>0.35</v>
      </c>
      <c r="K22" s="253">
        <v>0.35</v>
      </c>
      <c r="L22" s="253">
        <v>0.35</v>
      </c>
      <c r="M22" s="253">
        <v>0.35</v>
      </c>
      <c r="N22" s="253">
        <v>0.35</v>
      </c>
      <c r="O22" s="253">
        <v>0.35</v>
      </c>
      <c r="P22" s="253">
        <v>0.35</v>
      </c>
      <c r="Q22" s="253">
        <v>0.35</v>
      </c>
      <c r="R22" s="253">
        <v>0.35</v>
      </c>
      <c r="S22" s="253">
        <v>0.35</v>
      </c>
      <c r="T22" s="253">
        <v>0.21</v>
      </c>
      <c r="U22" s="253">
        <v>0.21</v>
      </c>
      <c r="V22" s="254">
        <v>0.21</v>
      </c>
      <c r="W22" s="102">
        <f t="shared" ref="W22:AZ22" si="15">V22</f>
        <v>0.21</v>
      </c>
      <c r="X22" s="102">
        <f t="shared" si="15"/>
        <v>0.21</v>
      </c>
      <c r="Y22" s="102">
        <f t="shared" si="15"/>
        <v>0.21</v>
      </c>
      <c r="Z22" s="102">
        <f t="shared" si="15"/>
        <v>0.21</v>
      </c>
      <c r="AA22" s="102">
        <f t="shared" si="15"/>
        <v>0.21</v>
      </c>
      <c r="AB22" s="102">
        <f t="shared" si="15"/>
        <v>0.21</v>
      </c>
      <c r="AC22" s="102">
        <f t="shared" si="15"/>
        <v>0.21</v>
      </c>
      <c r="AD22" s="102">
        <f t="shared" si="15"/>
        <v>0.21</v>
      </c>
      <c r="AE22" s="102">
        <f t="shared" si="15"/>
        <v>0.21</v>
      </c>
      <c r="AF22" s="102">
        <f t="shared" si="15"/>
        <v>0.21</v>
      </c>
      <c r="AG22" s="102">
        <f t="shared" si="15"/>
        <v>0.21</v>
      </c>
      <c r="AH22" s="102">
        <f t="shared" si="15"/>
        <v>0.21</v>
      </c>
      <c r="AI22" s="102">
        <f t="shared" si="15"/>
        <v>0.21</v>
      </c>
      <c r="AJ22" s="102">
        <f t="shared" si="15"/>
        <v>0.21</v>
      </c>
      <c r="AK22" s="102">
        <f t="shared" si="15"/>
        <v>0.21</v>
      </c>
      <c r="AL22" s="102">
        <f t="shared" si="15"/>
        <v>0.21</v>
      </c>
      <c r="AM22" s="102">
        <f t="shared" si="15"/>
        <v>0.21</v>
      </c>
      <c r="AN22" s="102">
        <f t="shared" si="15"/>
        <v>0.21</v>
      </c>
      <c r="AO22" s="102">
        <f t="shared" si="15"/>
        <v>0.21</v>
      </c>
      <c r="AP22" s="102">
        <f t="shared" si="15"/>
        <v>0.21</v>
      </c>
      <c r="AQ22" s="102">
        <f t="shared" si="15"/>
        <v>0.21</v>
      </c>
      <c r="AR22" s="102">
        <f t="shared" si="15"/>
        <v>0.21</v>
      </c>
      <c r="AS22" s="102">
        <f t="shared" si="15"/>
        <v>0.21</v>
      </c>
      <c r="AT22" s="102">
        <f t="shared" si="15"/>
        <v>0.21</v>
      </c>
      <c r="AU22" s="102">
        <f t="shared" si="15"/>
        <v>0.21</v>
      </c>
      <c r="AV22" s="102">
        <f t="shared" si="15"/>
        <v>0.21</v>
      </c>
      <c r="AW22" s="102">
        <f t="shared" si="15"/>
        <v>0.21</v>
      </c>
      <c r="AX22" s="102">
        <f t="shared" si="15"/>
        <v>0.21</v>
      </c>
      <c r="AY22" s="102">
        <f t="shared" si="15"/>
        <v>0.21</v>
      </c>
      <c r="AZ22" s="102">
        <f t="shared" si="15"/>
        <v>0.21</v>
      </c>
    </row>
    <row r="23" spans="1:52" ht="15" customHeight="1">
      <c r="A23" s="93" t="s">
        <v>114</v>
      </c>
      <c r="B23" s="93"/>
      <c r="C23" s="93"/>
      <c r="D23" s="93"/>
      <c r="E23" s="93"/>
      <c r="F23" s="93"/>
      <c r="G23" s="93"/>
      <c r="H23" s="93"/>
      <c r="I23" s="93"/>
      <c r="J23" s="93"/>
      <c r="K23" s="93"/>
      <c r="L23" s="93"/>
      <c r="M23" s="93"/>
      <c r="N23" s="93"/>
      <c r="O23" s="93"/>
      <c r="P23" s="93"/>
      <c r="Q23" s="93"/>
      <c r="R23" s="93"/>
      <c r="S23" s="93"/>
      <c r="T23" s="93"/>
      <c r="U23" s="93"/>
      <c r="V23" s="97">
        <v>0</v>
      </c>
      <c r="W23" s="91">
        <f t="shared" ref="W23:AZ23" si="16">V23*(1+V34)</f>
        <v>0</v>
      </c>
      <c r="X23" s="91">
        <f t="shared" si="16"/>
        <v>0</v>
      </c>
      <c r="Y23" s="91">
        <f t="shared" si="16"/>
        <v>0</v>
      </c>
      <c r="Z23" s="91">
        <f t="shared" si="16"/>
        <v>0</v>
      </c>
      <c r="AA23" s="91">
        <f t="shared" si="16"/>
        <v>0</v>
      </c>
      <c r="AB23" s="91">
        <f t="shared" si="16"/>
        <v>0</v>
      </c>
      <c r="AC23" s="91">
        <f t="shared" si="16"/>
        <v>0</v>
      </c>
      <c r="AD23" s="91">
        <f t="shared" si="16"/>
        <v>0</v>
      </c>
      <c r="AE23" s="91">
        <f t="shared" si="16"/>
        <v>0</v>
      </c>
      <c r="AF23" s="91">
        <f t="shared" si="16"/>
        <v>0</v>
      </c>
      <c r="AG23" s="91">
        <f t="shared" si="16"/>
        <v>0</v>
      </c>
      <c r="AH23" s="91">
        <f t="shared" si="16"/>
        <v>0</v>
      </c>
      <c r="AI23" s="91">
        <f t="shared" si="16"/>
        <v>0</v>
      </c>
      <c r="AJ23" s="91">
        <f t="shared" si="16"/>
        <v>0</v>
      </c>
      <c r="AK23" s="91">
        <f t="shared" si="16"/>
        <v>0</v>
      </c>
      <c r="AL23" s="91">
        <f t="shared" si="16"/>
        <v>0</v>
      </c>
      <c r="AM23" s="91">
        <f t="shared" si="16"/>
        <v>0</v>
      </c>
      <c r="AN23" s="91">
        <f t="shared" si="16"/>
        <v>0</v>
      </c>
      <c r="AO23" s="91">
        <f t="shared" si="16"/>
        <v>0</v>
      </c>
      <c r="AP23" s="91">
        <f t="shared" si="16"/>
        <v>0</v>
      </c>
      <c r="AQ23" s="91">
        <f t="shared" si="16"/>
        <v>0</v>
      </c>
      <c r="AR23" s="91">
        <f t="shared" si="16"/>
        <v>0</v>
      </c>
      <c r="AS23" s="91">
        <f t="shared" si="16"/>
        <v>0</v>
      </c>
      <c r="AT23" s="91">
        <f t="shared" si="16"/>
        <v>0</v>
      </c>
      <c r="AU23" s="91">
        <f t="shared" si="16"/>
        <v>0</v>
      </c>
      <c r="AV23" s="91">
        <f t="shared" si="16"/>
        <v>0</v>
      </c>
      <c r="AW23" s="91">
        <f t="shared" si="16"/>
        <v>0</v>
      </c>
      <c r="AX23" s="91">
        <f t="shared" si="16"/>
        <v>0</v>
      </c>
      <c r="AY23" s="91">
        <f t="shared" si="16"/>
        <v>0</v>
      </c>
      <c r="AZ23" s="91">
        <f t="shared" si="16"/>
        <v>0</v>
      </c>
    </row>
    <row r="24" spans="1:52" ht="15" customHeight="1">
      <c r="A24" s="93" t="s">
        <v>116</v>
      </c>
      <c r="B24" s="93"/>
      <c r="C24" s="93"/>
      <c r="D24" s="93"/>
      <c r="E24" s="93"/>
      <c r="F24" s="93"/>
      <c r="G24" s="93"/>
      <c r="H24" s="93"/>
      <c r="I24" s="93"/>
      <c r="J24" s="93"/>
      <c r="K24" s="93"/>
      <c r="L24" s="93"/>
      <c r="M24" s="93"/>
      <c r="N24" s="93"/>
      <c r="O24" s="93"/>
      <c r="P24" s="93"/>
      <c r="Q24" s="93"/>
      <c r="R24" s="93"/>
      <c r="S24" s="93"/>
      <c r="T24" s="93"/>
      <c r="U24" s="93"/>
      <c r="V24" s="361">
        <v>45</v>
      </c>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row>
    <row r="25" spans="1:52" ht="15" customHeight="1">
      <c r="A25" s="93" t="s">
        <v>119</v>
      </c>
      <c r="B25" s="93"/>
      <c r="C25" s="93"/>
      <c r="D25" s="93"/>
      <c r="E25" s="93"/>
      <c r="F25" s="93"/>
      <c r="G25" s="93"/>
      <c r="H25" s="93"/>
      <c r="I25" s="93"/>
      <c r="J25" s="93"/>
      <c r="K25" s="93"/>
      <c r="L25" s="93"/>
      <c r="M25" s="93"/>
      <c r="N25" s="93"/>
      <c r="O25" s="93"/>
      <c r="P25" s="93"/>
      <c r="Q25" s="93"/>
      <c r="R25" s="93"/>
      <c r="S25" s="93"/>
      <c r="T25" s="93"/>
      <c r="U25" s="93"/>
      <c r="V25" s="361">
        <v>90</v>
      </c>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row>
    <row r="26" spans="1:52" ht="15" customHeight="1">
      <c r="A26" s="93" t="s">
        <v>121</v>
      </c>
      <c r="B26" s="93"/>
      <c r="C26" s="93"/>
      <c r="D26" s="93"/>
      <c r="E26" s="93"/>
      <c r="F26" s="93"/>
      <c r="G26" s="93"/>
      <c r="H26" s="93"/>
      <c r="I26" s="93"/>
      <c r="J26" s="93"/>
      <c r="K26" s="93"/>
      <c r="L26" s="93"/>
      <c r="M26" s="93"/>
      <c r="N26" s="93"/>
      <c r="O26" s="93"/>
      <c r="P26" s="93"/>
      <c r="Q26" s="93"/>
      <c r="R26" s="93"/>
      <c r="S26" s="93"/>
      <c r="T26" s="93"/>
      <c r="U26" s="93"/>
      <c r="V26" s="361">
        <v>4</v>
      </c>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row>
    <row r="27" spans="1:52" ht="15" customHeight="1">
      <c r="A27" s="93" t="s">
        <v>122</v>
      </c>
      <c r="B27" s="93"/>
      <c r="C27" s="93"/>
      <c r="D27" s="93"/>
      <c r="E27" s="93"/>
      <c r="F27" s="93"/>
      <c r="G27" s="93"/>
      <c r="H27" s="93"/>
      <c r="I27" s="93"/>
      <c r="J27" s="93"/>
      <c r="K27" s="93"/>
      <c r="L27" s="93"/>
      <c r="M27" s="93"/>
      <c r="N27" s="93"/>
      <c r="O27" s="93"/>
      <c r="P27" s="93"/>
      <c r="Q27" s="93"/>
      <c r="R27" s="93"/>
      <c r="S27" s="93"/>
      <c r="T27" s="93"/>
      <c r="U27" s="93"/>
      <c r="V27" s="361">
        <v>40</v>
      </c>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row>
    <row r="28" spans="1:52" ht="15" customHeight="1">
      <c r="A28" s="99" t="s">
        <v>123</v>
      </c>
      <c r="B28" s="99"/>
      <c r="C28" s="99"/>
      <c r="D28" s="99"/>
      <c r="E28" s="99"/>
      <c r="F28" s="99"/>
      <c r="G28" s="99"/>
      <c r="H28" s="99"/>
      <c r="I28" s="99"/>
      <c r="J28" s="99"/>
      <c r="K28" s="99"/>
      <c r="L28" s="99"/>
      <c r="M28" s="99"/>
      <c r="N28" s="99"/>
      <c r="O28" s="99"/>
      <c r="P28" s="99"/>
      <c r="Q28" s="99"/>
      <c r="R28" s="99"/>
      <c r="S28" s="99"/>
      <c r="T28" s="99"/>
      <c r="U28" s="99"/>
      <c r="V28" s="329"/>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row>
    <row r="29" spans="1:52" ht="15" customHeight="1">
      <c r="A29" s="93" t="s">
        <v>126</v>
      </c>
      <c r="B29" s="95">
        <f>'Inflation GDP Population'!B2</f>
        <v>96.994687004035995</v>
      </c>
      <c r="C29" s="95">
        <f>'Inflation GDP Population'!C2</f>
        <v>82.561802368421056</v>
      </c>
      <c r="D29" s="95">
        <f>'Inflation GDP Population'!D2</f>
        <v>92.422988832098127</v>
      </c>
      <c r="E29" s="95">
        <f>'Inflation GDP Population'!E2</f>
        <v>85.643902995324368</v>
      </c>
      <c r="F29" s="95">
        <f>'Inflation GDP Population'!F2</f>
        <v>81.324791570560762</v>
      </c>
      <c r="G29" s="95">
        <f>'Inflation GDP Population'!G2</f>
        <v>82.285051583593884</v>
      </c>
      <c r="H29" s="95">
        <f>'Inflation GDP Population'!H2</f>
        <v>73.132352371089056</v>
      </c>
      <c r="I29" s="95">
        <f>'Inflation GDP Population'!I2</f>
        <v>75.178349917306775</v>
      </c>
      <c r="J29" s="95">
        <f>'Inflation GDP Population'!J2</f>
        <v>77.566868947213194</v>
      </c>
      <c r="K29" s="95">
        <f>'Inflation GDP Population'!K2</f>
        <v>67.397054261131927</v>
      </c>
      <c r="L29" s="95">
        <f>'Inflation GDP Population'!L2</f>
        <v>69.359261305247756</v>
      </c>
      <c r="M29" s="95">
        <f>'Inflation GDP Population'!M2</f>
        <v>69.149647376821946</v>
      </c>
      <c r="N29" s="95">
        <f>'Inflation GDP Population'!N2</f>
        <v>66.077410694889281</v>
      </c>
      <c r="O29" s="95">
        <f>'Inflation GDP Population'!O2</f>
        <v>68.667649550254211</v>
      </c>
      <c r="P29" s="95">
        <f>'Inflation GDP Population'!P2</f>
        <v>67.613374485645934</v>
      </c>
      <c r="Q29" s="95">
        <f>'Inflation GDP Population'!Q2</f>
        <v>63.519292757444873</v>
      </c>
      <c r="R29" s="95">
        <f>'Inflation GDP Population'!R2</f>
        <v>65.2</v>
      </c>
      <c r="S29" s="95">
        <f>'Inflation GDP Population'!S2</f>
        <v>62.54</v>
      </c>
      <c r="T29" s="95">
        <f>'Inflation GDP Population'!T2</f>
        <v>62.8</v>
      </c>
      <c r="U29" s="95">
        <f>'Inflation GDP Population'!U2</f>
        <v>62.22</v>
      </c>
      <c r="V29" s="95">
        <f>'Inflation GDP Population'!V2</f>
        <v>63.245459999999994</v>
      </c>
      <c r="W29" s="95">
        <f>'Inflation GDP Population'!W2</f>
        <v>62.18788</v>
      </c>
      <c r="X29" s="95">
        <f>'Inflation GDP Population'!X2</f>
        <v>61.283909999999999</v>
      </c>
      <c r="Y29" s="95">
        <f>'Inflation GDP Population'!Y2</f>
        <v>60.782710000000002</v>
      </c>
      <c r="Z29" s="95">
        <f>'Inflation GDP Population'!Z2</f>
        <v>60.470050000000001</v>
      </c>
      <c r="AA29" s="95">
        <f>'Inflation GDP Population'!AA2</f>
        <v>60.726050000000001</v>
      </c>
      <c r="AB29" s="95">
        <f>'Inflation GDP Population'!AB2</f>
        <v>60.323509999999999</v>
      </c>
      <c r="AC29" s="95">
        <f>'Inflation GDP Population'!AC2</f>
        <v>60.154750000000007</v>
      </c>
      <c r="AD29" s="95">
        <f>'Inflation GDP Population'!AD2</f>
        <v>59.918579999999999</v>
      </c>
      <c r="AE29" s="95">
        <f>'Inflation GDP Population'!AE2</f>
        <v>59.74736</v>
      </c>
      <c r="AF29" s="95">
        <f>'Inflation GDP Population'!AF2</f>
        <v>59.571719999999999</v>
      </c>
      <c r="AG29" s="95">
        <f>'Inflation GDP Population'!AG2</f>
        <v>59.462200000000003</v>
      </c>
      <c r="AH29" s="95">
        <f>'Inflation GDP Population'!AH2</f>
        <v>59.098179999999999</v>
      </c>
      <c r="AI29" s="95">
        <f>'Inflation GDP Population'!AI2</f>
        <v>58.690709999999996</v>
      </c>
      <c r="AJ29" s="95">
        <f>'Inflation GDP Population'!AJ2</f>
        <v>58.279679999999999</v>
      </c>
      <c r="AK29" s="95">
        <f>'Inflation GDP Population'!AK2</f>
        <v>57.945390000000003</v>
      </c>
      <c r="AL29" s="95">
        <f>'Inflation GDP Population'!AL2</f>
        <v>57.822279999999999</v>
      </c>
      <c r="AM29" s="95">
        <f>'Inflation GDP Population'!AM2</f>
        <v>57.639300000000006</v>
      </c>
      <c r="AN29" s="95">
        <f>'Inflation GDP Population'!AN2</f>
        <v>57.618220000000008</v>
      </c>
      <c r="AO29" s="95">
        <f>'Inflation GDP Population'!AO2</f>
        <v>57.583159999999999</v>
      </c>
      <c r="AP29" s="95">
        <f>'Inflation GDP Population'!AP2</f>
        <v>57.428650000000005</v>
      </c>
      <c r="AQ29" s="95">
        <f>'Inflation GDP Population'!AQ2</f>
        <v>57.212560000000003</v>
      </c>
      <c r="AR29" s="95">
        <f>'Inflation GDP Population'!AR2</f>
        <v>56.957370000000004</v>
      </c>
      <c r="AS29" s="95">
        <f>'Inflation GDP Population'!AS2</f>
        <v>56.726020000000005</v>
      </c>
      <c r="AT29" s="95">
        <f>'Inflation GDP Population'!AT2</f>
        <v>56.532699999999998</v>
      </c>
      <c r="AU29" s="95">
        <f>'Inflation GDP Population'!AU2</f>
        <v>56.329940000000001</v>
      </c>
      <c r="AV29" s="95">
        <f>'Inflation GDP Population'!AV2</f>
        <v>56.008069999999996</v>
      </c>
      <c r="AW29" s="95">
        <f>'Inflation GDP Population'!AW2</f>
        <v>55.853279999999998</v>
      </c>
      <c r="AX29" s="95">
        <f>'Inflation GDP Population'!AX2</f>
        <v>56.44464</v>
      </c>
      <c r="AY29" s="95">
        <f>'Inflation GDP Population'!AY2</f>
        <v>56.523910000000001</v>
      </c>
      <c r="AZ29" s="95">
        <f>'Inflation GDP Population'!AZ2</f>
        <v>56.24409</v>
      </c>
    </row>
    <row r="30" spans="1:52" ht="15" customHeight="1">
      <c r="A30" s="93" t="s">
        <v>128</v>
      </c>
      <c r="B30" s="95">
        <f>'Inflation GDP Population'!B3</f>
        <v>66.936599999999999</v>
      </c>
      <c r="C30" s="95">
        <f>'Inflation GDP Population'!C3</f>
        <v>68.562700000000007</v>
      </c>
      <c r="D30" s="95">
        <f>'Inflation GDP Population'!D3</f>
        <v>61.9876</v>
      </c>
      <c r="E30" s="95">
        <f>'Inflation GDP Population'!E3</f>
        <v>75.349900000000005</v>
      </c>
      <c r="F30" s="95">
        <f>'Inflation GDP Population'!F3</f>
        <v>79.167699999999996</v>
      </c>
      <c r="G30" s="95">
        <f>'Inflation GDP Population'!G3</f>
        <v>95.852900000000005</v>
      </c>
      <c r="H30" s="95">
        <f>'Inflation GDP Population'!H3</f>
        <v>86.237700000000004</v>
      </c>
      <c r="I30" s="95">
        <f>'Inflation GDP Population'!I3</f>
        <v>87.651700000000005</v>
      </c>
      <c r="J30" s="95">
        <f>'Inflation GDP Population'!J3</f>
        <v>101.43819999999999</v>
      </c>
      <c r="K30" s="95">
        <f>'Inflation GDP Population'!K3</f>
        <v>70.825099999999992</v>
      </c>
      <c r="L30" s="95">
        <f>'Inflation GDP Population'!L3</f>
        <v>73.228899999999996</v>
      </c>
      <c r="M30" s="95">
        <f>'Inflation GDP Population'!M3</f>
        <v>70.542299999999997</v>
      </c>
      <c r="N30" s="95">
        <f>'Inflation GDP Population'!N3</f>
        <v>60.997799999999998</v>
      </c>
      <c r="O30" s="95">
        <f>'Inflation GDP Population'!O3</f>
        <v>67.714300000000009</v>
      </c>
      <c r="P30" s="95">
        <f>'Inflation GDP Population'!P3</f>
        <v>72.663299999999992</v>
      </c>
      <c r="Q30" s="95">
        <f>'Inflation GDP Population'!Q3</f>
        <v>59.866599999999998</v>
      </c>
      <c r="R30" s="95">
        <f>'Inflation GDP Population'!R3</f>
        <v>64.069999999999993</v>
      </c>
      <c r="S30" s="95">
        <f>'Inflation GDP Population'!S3</f>
        <v>62.54</v>
      </c>
      <c r="T30" s="95">
        <f>'Inflation GDP Population'!T3</f>
        <v>64.2</v>
      </c>
      <c r="U30" s="95">
        <f>'Inflation GDP Population'!U3</f>
        <v>65.09</v>
      </c>
      <c r="V30" s="95">
        <f>'Inflation GDP Population'!V3</f>
        <v>67.893280000000004</v>
      </c>
      <c r="W30" s="95">
        <f>'Inflation GDP Population'!W3</f>
        <v>68.408230000000003</v>
      </c>
      <c r="X30" s="95">
        <f>'Inflation GDP Population'!X3</f>
        <v>69.039839999999998</v>
      </c>
      <c r="Y30" s="95">
        <f>'Inflation GDP Population'!Y3</f>
        <v>70.165930000000003</v>
      </c>
      <c r="Z30" s="95">
        <f>'Inflation GDP Population'!Z3</f>
        <v>71.499539999999996</v>
      </c>
      <c r="AA30" s="95">
        <f>'Inflation GDP Population'!AA3</f>
        <v>73.516589999999994</v>
      </c>
      <c r="AB30" s="95">
        <f>'Inflation GDP Population'!AB3</f>
        <v>74.703620000000001</v>
      </c>
      <c r="AC30" s="95">
        <f>'Inflation GDP Population'!AC3</f>
        <v>76.171610000000001</v>
      </c>
      <c r="AD30" s="95">
        <f>'Inflation GDP Population'!AD3</f>
        <v>77.509479999999996</v>
      </c>
      <c r="AE30" s="95">
        <f>'Inflation GDP Population'!AE3</f>
        <v>78.937030000000007</v>
      </c>
      <c r="AF30" s="95">
        <f>'Inflation GDP Population'!AF3</f>
        <v>80.394760000000005</v>
      </c>
      <c r="AG30" s="95">
        <f>'Inflation GDP Population'!AG3</f>
        <v>81.999220000000008</v>
      </c>
      <c r="AH30" s="95">
        <f>'Inflation GDP Population'!AH3</f>
        <v>83.288150000000002</v>
      </c>
      <c r="AI30" s="95">
        <f>'Inflation GDP Population'!AI3</f>
        <v>84.552180000000007</v>
      </c>
      <c r="AJ30" s="95">
        <f>'Inflation GDP Population'!AJ3</f>
        <v>85.842559999999992</v>
      </c>
      <c r="AK30" s="95">
        <f>'Inflation GDP Population'!AK3</f>
        <v>87.282499999999999</v>
      </c>
      <c r="AL30" s="95">
        <f>'Inflation GDP Population'!AL3</f>
        <v>89.091559999999987</v>
      </c>
      <c r="AM30" s="95">
        <f>'Inflation GDP Population'!AM3</f>
        <v>90.845109999999991</v>
      </c>
      <c r="AN30" s="95">
        <f>'Inflation GDP Population'!AN3</f>
        <v>92.884870000000006</v>
      </c>
      <c r="AO30" s="95">
        <f>'Inflation GDP Population'!AO3</f>
        <v>94.960380000000001</v>
      </c>
      <c r="AP30" s="95">
        <f>'Inflation GDP Population'!AP3</f>
        <v>96.898049999999998</v>
      </c>
      <c r="AQ30" s="95">
        <f>'Inflation GDP Population'!AQ3</f>
        <v>98.792919999999995</v>
      </c>
      <c r="AR30" s="95">
        <f>'Inflation GDP Population'!AR3</f>
        <v>100.67492</v>
      </c>
      <c r="AS30" s="95">
        <f>'Inflation GDP Population'!AS3</f>
        <v>102.66981</v>
      </c>
      <c r="AT30" s="95">
        <f>'Inflation GDP Population'!AT3</f>
        <v>104.79813999999999</v>
      </c>
      <c r="AU30" s="95">
        <f>'Inflation GDP Population'!AU3</f>
        <v>106.98112999999999</v>
      </c>
      <c r="AV30" s="95">
        <f>'Inflation GDP Population'!AV3</f>
        <v>108.97937999999999</v>
      </c>
      <c r="AW30" s="95">
        <f>'Inflation GDP Population'!AW3</f>
        <v>111.37461999999999</v>
      </c>
      <c r="AX30" s="95">
        <f>'Inflation GDP Population'!AX3</f>
        <v>115.38930999999999</v>
      </c>
      <c r="AY30" s="95">
        <f>'Inflation GDP Population'!AY3</f>
        <v>118.46299999999999</v>
      </c>
      <c r="AZ30" s="95">
        <f>'Inflation GDP Population'!AZ3</f>
        <v>120.87941000000001</v>
      </c>
    </row>
    <row r="31" spans="1:52" ht="15" customHeight="1">
      <c r="A31" s="93" t="s">
        <v>200</v>
      </c>
      <c r="B31" s="95">
        <f>'Inflation GDP Population'!B6</f>
        <v>249.42381743242936</v>
      </c>
      <c r="C31" s="95">
        <f>'Inflation GDP Population'!C6</f>
        <v>249.42381743242936</v>
      </c>
      <c r="D31" s="95">
        <f>'Inflation GDP Population'!D6</f>
        <v>212.30935999593964</v>
      </c>
      <c r="E31" s="95">
        <f>'Inflation GDP Population'!E6</f>
        <v>237.66760226833327</v>
      </c>
      <c r="F31" s="95">
        <f>'Inflation GDP Population'!F6</f>
        <v>220.23504466814359</v>
      </c>
      <c r="G31" s="95">
        <f>'Inflation GDP Population'!G6</f>
        <v>209.12836148006616</v>
      </c>
      <c r="H31" s="95">
        <f>'Inflation GDP Population'!H6</f>
        <v>211.59768970387361</v>
      </c>
      <c r="I31" s="95">
        <f>'Inflation GDP Population'!I6</f>
        <v>188.06133685911675</v>
      </c>
      <c r="J31" s="95">
        <f>'Inflation GDP Population'!J6</f>
        <v>193.32266131097848</v>
      </c>
      <c r="K31" s="95">
        <f>'Inflation GDP Population'!K6</f>
        <v>199.4647867495035</v>
      </c>
      <c r="L31" s="95">
        <f>'Inflation GDP Population'!L6</f>
        <v>173.31290070365006</v>
      </c>
      <c r="M31" s="95">
        <f>'Inflation GDP Population'!M6</f>
        <v>178.35875616907168</v>
      </c>
      <c r="N31" s="95">
        <f>'Inflation GDP Population'!N6</f>
        <v>177.8197296736019</v>
      </c>
      <c r="O31" s="95">
        <f>'Inflation GDP Population'!O6</f>
        <v>169.91941033722733</v>
      </c>
      <c r="P31" s="95">
        <f>'Inflation GDP Population'!P6</f>
        <v>176.58026242431168</v>
      </c>
      <c r="Q31" s="95">
        <f>'Inflation GDP Population'!Q6</f>
        <v>173.86917257639584</v>
      </c>
      <c r="R31" s="95">
        <f>'Inflation GDP Population'!R6</f>
        <v>163.34115784620988</v>
      </c>
      <c r="S31" s="95">
        <f>'Inflation GDP Population'!S6</f>
        <v>167.66313082610094</v>
      </c>
      <c r="T31" s="95">
        <f>'Inflation GDP Population'!T6</f>
        <v>160.82288653166182</v>
      </c>
      <c r="U31" s="95">
        <f>'Inflation GDP Population'!U6</f>
        <v>161.49148183863707</v>
      </c>
      <c r="V31" s="95">
        <f>'Inflation GDP Population'!V6</f>
        <v>160</v>
      </c>
      <c r="W31" s="95">
        <f>'Inflation GDP Population'!W6</f>
        <v>157.32450677092081</v>
      </c>
      <c r="X31" s="95">
        <f>'Inflation GDP Population'!X6</f>
        <v>155.03762009162398</v>
      </c>
      <c r="Y31" s="95">
        <f>'Inflation GDP Population'!Y6</f>
        <v>153.76967137245902</v>
      </c>
      <c r="Z31" s="95">
        <f>'Inflation GDP Population'!Z6</f>
        <v>152.9786960202361</v>
      </c>
      <c r="AA31" s="95">
        <f>'Inflation GDP Population'!AA6</f>
        <v>153.62633143944248</v>
      </c>
      <c r="AB31" s="95">
        <f>'Inflation GDP Population'!AB6</f>
        <v>152.60797533925759</v>
      </c>
      <c r="AC31" s="95">
        <f>'Inflation GDP Population'!AC6</f>
        <v>152.18104192775266</v>
      </c>
      <c r="AD31" s="95">
        <f>'Inflation GDP Population'!AD6</f>
        <v>151.5835729552762</v>
      </c>
      <c r="AE31" s="95">
        <f>'Inflation GDP Population'!AE6</f>
        <v>151.15041617216482</v>
      </c>
      <c r="AF31" s="95">
        <f>'Inflation GDP Population'!AF6</f>
        <v>150.7060775587687</v>
      </c>
      <c r="AG31" s="95">
        <f>'Inflation GDP Population'!AG6</f>
        <v>150.42901103098947</v>
      </c>
      <c r="AH31" s="95">
        <f>'Inflation GDP Population'!AH6</f>
        <v>149.50810382278826</v>
      </c>
      <c r="AI31" s="95">
        <f>'Inflation GDP Population'!AI6</f>
        <v>148.47727568113191</v>
      </c>
      <c r="AJ31" s="95">
        <f>'Inflation GDP Population'!AJ6</f>
        <v>147.43744135942725</v>
      </c>
      <c r="AK31" s="95">
        <f>'Inflation GDP Population'!AK6</f>
        <v>146.59174587393312</v>
      </c>
      <c r="AL31" s="95">
        <f>'Inflation GDP Population'!AL6</f>
        <v>146.2802990127671</v>
      </c>
      <c r="AM31" s="95">
        <f>'Inflation GDP Population'!AM6</f>
        <v>145.81739147758594</v>
      </c>
      <c r="AN31" s="95">
        <f>'Inflation GDP Population'!AN6</f>
        <v>145.76406274853568</v>
      </c>
      <c r="AO31" s="95">
        <f>'Inflation GDP Population'!AO6</f>
        <v>145.67536705401466</v>
      </c>
      <c r="AP31" s="95">
        <f>'Inflation GDP Population'!AP6</f>
        <v>145.28448366096166</v>
      </c>
      <c r="AQ31" s="95">
        <f>'Inflation GDP Population'!AQ6</f>
        <v>144.73781359167921</v>
      </c>
      <c r="AR31" s="95">
        <f>'Inflation GDP Population'!AR6</f>
        <v>144.09222733141641</v>
      </c>
      <c r="AS31" s="95">
        <f>'Inflation GDP Population'!AS6</f>
        <v>143.50695211956722</v>
      </c>
      <c r="AT31" s="95">
        <f>'Inflation GDP Population'!AT6</f>
        <v>143.01788618503213</v>
      </c>
      <c r="AU31" s="95">
        <f>'Inflation GDP Population'!AU6</f>
        <v>142.50493869441382</v>
      </c>
      <c r="AV31" s="95">
        <f>'Inflation GDP Population'!AV6</f>
        <v>141.69066364605462</v>
      </c>
      <c r="AW31" s="95">
        <f>'Inflation GDP Population'!AW6</f>
        <v>141.29907190176183</v>
      </c>
      <c r="AX31" s="95">
        <f>'Inflation GDP Population'!AX6</f>
        <v>142.79510972012858</v>
      </c>
      <c r="AY31" s="95">
        <f>'Inflation GDP Population'!AY6</f>
        <v>142.9956490157555</v>
      </c>
      <c r="AZ31" s="95">
        <f>'Inflation GDP Population'!AZ6</f>
        <v>142.28775314465267</v>
      </c>
    </row>
    <row r="32" spans="1:52" ht="15" customHeight="1">
      <c r="A32" s="93" t="s">
        <v>130</v>
      </c>
      <c r="B32" s="95">
        <f>'Inflation GDP Population'!B7</f>
        <v>164.53919188815482</v>
      </c>
      <c r="C32" s="95">
        <f>'Inflation GDP Population'!C7</f>
        <v>164.53919188815482</v>
      </c>
      <c r="D32" s="95">
        <f>'Inflation GDP Population'!D7</f>
        <v>168.53636503303116</v>
      </c>
      <c r="E32" s="95">
        <f>'Inflation GDP Population'!E7</f>
        <v>152.37388231679211</v>
      </c>
      <c r="F32" s="95">
        <f>'Inflation GDP Population'!F7</f>
        <v>185.2202181594715</v>
      </c>
      <c r="G32" s="95">
        <f>'Inflation GDP Population'!G7</f>
        <v>194.60488554309416</v>
      </c>
      <c r="H32" s="95">
        <f>'Inflation GDP Population'!H7</f>
        <v>235.61935781225995</v>
      </c>
      <c r="I32" s="95">
        <f>'Inflation GDP Population'!I7</f>
        <v>211.9838992164695</v>
      </c>
      <c r="J32" s="95">
        <f>'Inflation GDP Population'!J7</f>
        <v>215.45970195114458</v>
      </c>
      <c r="K32" s="95">
        <f>'Inflation GDP Population'!K7</f>
        <v>249.34877861422646</v>
      </c>
      <c r="L32" s="95">
        <f>'Inflation GDP Population'!L7</f>
        <v>174.09764940851127</v>
      </c>
      <c r="M32" s="95">
        <f>'Inflation GDP Population'!M7</f>
        <v>180.0065140574589</v>
      </c>
      <c r="N32" s="95">
        <f>'Inflation GDP Population'!N7</f>
        <v>173.40248886157627</v>
      </c>
      <c r="O32" s="95">
        <f>'Inflation GDP Population'!O7</f>
        <v>149.94082040251959</v>
      </c>
      <c r="P32" s="95">
        <f>'Inflation GDP Population'!P7</f>
        <v>166.45088339222616</v>
      </c>
      <c r="Q32" s="95">
        <f>'Inflation GDP Population'!Q7</f>
        <v>178.61619296358887</v>
      </c>
      <c r="R32" s="95">
        <f>'Inflation GDP Population'!R7</f>
        <v>147.16017821477953</v>
      </c>
      <c r="S32" s="95">
        <f>'Inflation GDP Population'!S7</f>
        <v>157.49270241204485</v>
      </c>
      <c r="T32" s="95">
        <f>'Inflation GDP Population'!T7</f>
        <v>153.73175603011217</v>
      </c>
      <c r="U32" s="95">
        <f>'Inflation GDP Population'!U7</f>
        <v>157.81225994776466</v>
      </c>
      <c r="V32" s="95">
        <f>'Inflation GDP Population'!V7</f>
        <v>160</v>
      </c>
      <c r="W32" s="95">
        <f>'Inflation GDP Population'!W7</f>
        <v>161.21355162101463</v>
      </c>
      <c r="X32" s="95">
        <f>'Inflation GDP Population'!X7</f>
        <v>162.70202883113024</v>
      </c>
      <c r="Y32" s="95">
        <f>'Inflation GDP Population'!Y7</f>
        <v>165.35581724730341</v>
      </c>
      <c r="Z32" s="95">
        <f>'Inflation GDP Population'!Z7</f>
        <v>168.49865553704282</v>
      </c>
      <c r="AA32" s="95">
        <f>'Inflation GDP Population'!AA7</f>
        <v>173.25211567330371</v>
      </c>
      <c r="AB32" s="95">
        <f>'Inflation GDP Population'!AB7</f>
        <v>176.04951771368238</v>
      </c>
      <c r="AC32" s="95">
        <f>'Inflation GDP Population'!AC7</f>
        <v>179.50904124826488</v>
      </c>
      <c r="AD32" s="95">
        <f>'Inflation GDP Population'!AD7</f>
        <v>182.66191882318833</v>
      </c>
      <c r="AE32" s="95">
        <f>'Inflation GDP Population'!AE7</f>
        <v>186.02613984771389</v>
      </c>
      <c r="AF32" s="95">
        <f>'Inflation GDP Population'!AF7</f>
        <v>189.46148425882495</v>
      </c>
      <c r="AG32" s="95">
        <f>'Inflation GDP Population'!AG7</f>
        <v>193.24261841525399</v>
      </c>
      <c r="AH32" s="95">
        <f>'Inflation GDP Population'!AH7</f>
        <v>196.28016204254669</v>
      </c>
      <c r="AI32" s="95">
        <f>'Inflation GDP Population'!AI7</f>
        <v>199.25902534094678</v>
      </c>
      <c r="AJ32" s="95">
        <f>'Inflation GDP Population'!AJ7</f>
        <v>202.29998609582557</v>
      </c>
      <c r="AK32" s="95">
        <f>'Inflation GDP Population'!AK7</f>
        <v>205.69340588641461</v>
      </c>
      <c r="AL32" s="95">
        <f>'Inflation GDP Population'!AL7</f>
        <v>209.95670852844336</v>
      </c>
      <c r="AM32" s="95">
        <f>'Inflation GDP Population'!AM7</f>
        <v>214.08919409991671</v>
      </c>
      <c r="AN32" s="95">
        <f>'Inflation GDP Population'!AN7</f>
        <v>218.89617352409539</v>
      </c>
      <c r="AO32" s="95">
        <f>'Inflation GDP Population'!AO7</f>
        <v>223.78740281806967</v>
      </c>
      <c r="AP32" s="95">
        <f>'Inflation GDP Population'!AP7</f>
        <v>228.35379289378849</v>
      </c>
      <c r="AQ32" s="95">
        <f>'Inflation GDP Population'!AQ7</f>
        <v>232.81931878972398</v>
      </c>
      <c r="AR32" s="95">
        <f>'Inflation GDP Population'!AR7</f>
        <v>237.25451473253304</v>
      </c>
      <c r="AS32" s="95">
        <f>'Inflation GDP Population'!AS7</f>
        <v>241.95575173271919</v>
      </c>
      <c r="AT32" s="95">
        <f>'Inflation GDP Population'!AT7</f>
        <v>246.97145873641676</v>
      </c>
      <c r="AU32" s="95">
        <f>'Inflation GDP Population'!AU7</f>
        <v>252.11597966691241</v>
      </c>
      <c r="AV32" s="95">
        <f>'Inflation GDP Population'!AV7</f>
        <v>256.82513497653952</v>
      </c>
      <c r="AW32" s="95">
        <f>'Inflation GDP Population'!AW7</f>
        <v>262.4698526864513</v>
      </c>
      <c r="AX32" s="95">
        <f>'Inflation GDP Population'!AX7</f>
        <v>271.93103058211346</v>
      </c>
      <c r="AY32" s="95">
        <f>'Inflation GDP Population'!AY7</f>
        <v>279.1746105063711</v>
      </c>
      <c r="AZ32" s="95">
        <f>'Inflation GDP Population'!AZ7</f>
        <v>284.86921827904024</v>
      </c>
    </row>
    <row r="33" spans="1:53" ht="15" customHeight="1">
      <c r="A33" s="100" t="s">
        <v>815</v>
      </c>
      <c r="B33" s="253">
        <v>0</v>
      </c>
      <c r="C33" s="253">
        <v>0</v>
      </c>
      <c r="D33" s="253">
        <v>0</v>
      </c>
      <c r="E33" s="253">
        <v>0</v>
      </c>
      <c r="F33" s="253">
        <v>0</v>
      </c>
      <c r="G33" s="253">
        <v>0</v>
      </c>
      <c r="H33" s="253">
        <v>0</v>
      </c>
      <c r="I33" s="253">
        <f t="shared" ref="I33:U33" si="17">J33</f>
        <v>0</v>
      </c>
      <c r="J33" s="253">
        <f t="shared" si="17"/>
        <v>0</v>
      </c>
      <c r="K33" s="253">
        <f t="shared" si="17"/>
        <v>0</v>
      </c>
      <c r="L33" s="253">
        <f t="shared" si="17"/>
        <v>0</v>
      </c>
      <c r="M33" s="253">
        <f t="shared" si="17"/>
        <v>0</v>
      </c>
      <c r="N33" s="253">
        <f t="shared" si="17"/>
        <v>0</v>
      </c>
      <c r="O33" s="253">
        <f t="shared" si="17"/>
        <v>0</v>
      </c>
      <c r="P33" s="253">
        <f t="shared" si="17"/>
        <v>0</v>
      </c>
      <c r="Q33" s="253">
        <f t="shared" si="17"/>
        <v>0</v>
      </c>
      <c r="R33" s="253">
        <f t="shared" si="17"/>
        <v>0</v>
      </c>
      <c r="S33" s="253">
        <f t="shared" si="17"/>
        <v>0</v>
      </c>
      <c r="T33" s="253">
        <f t="shared" si="17"/>
        <v>0</v>
      </c>
      <c r="U33" s="253">
        <f t="shared" si="17"/>
        <v>0</v>
      </c>
      <c r="V33" s="281">
        <v>0</v>
      </c>
      <c r="W33" s="102">
        <f t="shared" ref="W33:AZ33" si="18">V33</f>
        <v>0</v>
      </c>
      <c r="X33" s="102">
        <f t="shared" si="18"/>
        <v>0</v>
      </c>
      <c r="Y33" s="102">
        <f t="shared" si="18"/>
        <v>0</v>
      </c>
      <c r="Z33" s="102">
        <f t="shared" si="18"/>
        <v>0</v>
      </c>
      <c r="AA33" s="102">
        <f t="shared" si="18"/>
        <v>0</v>
      </c>
      <c r="AB33" s="102">
        <f t="shared" si="18"/>
        <v>0</v>
      </c>
      <c r="AC33" s="102">
        <f t="shared" si="18"/>
        <v>0</v>
      </c>
      <c r="AD33" s="102">
        <f t="shared" si="18"/>
        <v>0</v>
      </c>
      <c r="AE33" s="102">
        <f t="shared" si="18"/>
        <v>0</v>
      </c>
      <c r="AF33" s="102">
        <f t="shared" si="18"/>
        <v>0</v>
      </c>
      <c r="AG33" s="102">
        <f t="shared" si="18"/>
        <v>0</v>
      </c>
      <c r="AH33" s="102">
        <f t="shared" si="18"/>
        <v>0</v>
      </c>
      <c r="AI33" s="102">
        <f t="shared" si="18"/>
        <v>0</v>
      </c>
      <c r="AJ33" s="102">
        <f t="shared" si="18"/>
        <v>0</v>
      </c>
      <c r="AK33" s="102">
        <f t="shared" si="18"/>
        <v>0</v>
      </c>
      <c r="AL33" s="102">
        <f t="shared" si="18"/>
        <v>0</v>
      </c>
      <c r="AM33" s="102">
        <f t="shared" si="18"/>
        <v>0</v>
      </c>
      <c r="AN33" s="102">
        <f t="shared" si="18"/>
        <v>0</v>
      </c>
      <c r="AO33" s="102">
        <f t="shared" si="18"/>
        <v>0</v>
      </c>
      <c r="AP33" s="102">
        <f t="shared" si="18"/>
        <v>0</v>
      </c>
      <c r="AQ33" s="102">
        <f t="shared" si="18"/>
        <v>0</v>
      </c>
      <c r="AR33" s="102">
        <f t="shared" si="18"/>
        <v>0</v>
      </c>
      <c r="AS33" s="102">
        <f t="shared" si="18"/>
        <v>0</v>
      </c>
      <c r="AT33" s="102">
        <f t="shared" si="18"/>
        <v>0</v>
      </c>
      <c r="AU33" s="102">
        <f t="shared" si="18"/>
        <v>0</v>
      </c>
      <c r="AV33" s="102">
        <f t="shared" si="18"/>
        <v>0</v>
      </c>
      <c r="AW33" s="102">
        <f t="shared" si="18"/>
        <v>0</v>
      </c>
      <c r="AX33" s="102">
        <f t="shared" si="18"/>
        <v>0</v>
      </c>
      <c r="AY33" s="102">
        <f t="shared" si="18"/>
        <v>0</v>
      </c>
      <c r="AZ33" s="102">
        <f t="shared" si="18"/>
        <v>0</v>
      </c>
    </row>
    <row r="34" spans="1:53" ht="15.75" customHeight="1">
      <c r="A34" s="93" t="s">
        <v>137</v>
      </c>
      <c r="B34" s="330">
        <f t="shared" ref="B34:U34" si="19">C34</f>
        <v>0.02</v>
      </c>
      <c r="C34" s="330">
        <f t="shared" si="19"/>
        <v>0.02</v>
      </c>
      <c r="D34" s="330">
        <f t="shared" si="19"/>
        <v>0.02</v>
      </c>
      <c r="E34" s="330">
        <f t="shared" si="19"/>
        <v>0.02</v>
      </c>
      <c r="F34" s="330">
        <f t="shared" si="19"/>
        <v>0.02</v>
      </c>
      <c r="G34" s="330">
        <f t="shared" si="19"/>
        <v>0.02</v>
      </c>
      <c r="H34" s="330">
        <f t="shared" si="19"/>
        <v>0.02</v>
      </c>
      <c r="I34" s="330">
        <f t="shared" si="19"/>
        <v>0.02</v>
      </c>
      <c r="J34" s="330">
        <f t="shared" si="19"/>
        <v>0.02</v>
      </c>
      <c r="K34" s="330">
        <f t="shared" si="19"/>
        <v>0.02</v>
      </c>
      <c r="L34" s="330">
        <f t="shared" si="19"/>
        <v>0.02</v>
      </c>
      <c r="M34" s="330">
        <f t="shared" si="19"/>
        <v>0.02</v>
      </c>
      <c r="N34" s="330">
        <f t="shared" si="19"/>
        <v>0.02</v>
      </c>
      <c r="O34" s="330">
        <f t="shared" si="19"/>
        <v>0.02</v>
      </c>
      <c r="P34" s="330">
        <f t="shared" si="19"/>
        <v>0.02</v>
      </c>
      <c r="Q34" s="330">
        <f t="shared" si="19"/>
        <v>0.02</v>
      </c>
      <c r="R34" s="330">
        <f t="shared" si="19"/>
        <v>0.02</v>
      </c>
      <c r="S34" s="330">
        <f t="shared" si="19"/>
        <v>0.02</v>
      </c>
      <c r="T34" s="330">
        <f t="shared" si="19"/>
        <v>0.02</v>
      </c>
      <c r="U34" s="330">
        <f t="shared" si="19"/>
        <v>0.02</v>
      </c>
      <c r="V34" s="252">
        <f>Inputs!B19</f>
        <v>0.02</v>
      </c>
      <c r="W34" s="331">
        <f t="shared" ref="W34:AZ34" si="20">V34</f>
        <v>0.02</v>
      </c>
      <c r="X34" s="331">
        <f t="shared" si="20"/>
        <v>0.02</v>
      </c>
      <c r="Y34" s="331">
        <f t="shared" si="20"/>
        <v>0.02</v>
      </c>
      <c r="Z34" s="331">
        <f t="shared" si="20"/>
        <v>0.02</v>
      </c>
      <c r="AA34" s="331">
        <f t="shared" si="20"/>
        <v>0.02</v>
      </c>
      <c r="AB34" s="331">
        <f t="shared" si="20"/>
        <v>0.02</v>
      </c>
      <c r="AC34" s="331">
        <f t="shared" si="20"/>
        <v>0.02</v>
      </c>
      <c r="AD34" s="331">
        <f t="shared" si="20"/>
        <v>0.02</v>
      </c>
      <c r="AE34" s="331">
        <f t="shared" si="20"/>
        <v>0.02</v>
      </c>
      <c r="AF34" s="331">
        <f t="shared" si="20"/>
        <v>0.02</v>
      </c>
      <c r="AG34" s="331">
        <f t="shared" si="20"/>
        <v>0.02</v>
      </c>
      <c r="AH34" s="331">
        <f t="shared" si="20"/>
        <v>0.02</v>
      </c>
      <c r="AI34" s="331">
        <f t="shared" si="20"/>
        <v>0.02</v>
      </c>
      <c r="AJ34" s="331">
        <f t="shared" si="20"/>
        <v>0.02</v>
      </c>
      <c r="AK34" s="331">
        <f t="shared" si="20"/>
        <v>0.02</v>
      </c>
      <c r="AL34" s="331">
        <f t="shared" si="20"/>
        <v>0.02</v>
      </c>
      <c r="AM34" s="331">
        <f t="shared" si="20"/>
        <v>0.02</v>
      </c>
      <c r="AN34" s="331">
        <f t="shared" si="20"/>
        <v>0.02</v>
      </c>
      <c r="AO34" s="331">
        <f t="shared" si="20"/>
        <v>0.02</v>
      </c>
      <c r="AP34" s="331">
        <f t="shared" si="20"/>
        <v>0.02</v>
      </c>
      <c r="AQ34" s="331">
        <f t="shared" si="20"/>
        <v>0.02</v>
      </c>
      <c r="AR34" s="331">
        <f t="shared" si="20"/>
        <v>0.02</v>
      </c>
      <c r="AS34" s="331">
        <f t="shared" si="20"/>
        <v>0.02</v>
      </c>
      <c r="AT34" s="331">
        <f t="shared" si="20"/>
        <v>0.02</v>
      </c>
      <c r="AU34" s="331">
        <f t="shared" si="20"/>
        <v>0.02</v>
      </c>
      <c r="AV34" s="331">
        <f t="shared" si="20"/>
        <v>0.02</v>
      </c>
      <c r="AW34" s="331">
        <f t="shared" si="20"/>
        <v>0.02</v>
      </c>
      <c r="AX34" s="331">
        <f t="shared" si="20"/>
        <v>0.02</v>
      </c>
      <c r="AY34" s="331">
        <f t="shared" si="20"/>
        <v>0.02</v>
      </c>
      <c r="AZ34" s="331">
        <f t="shared" si="20"/>
        <v>0.02</v>
      </c>
    </row>
    <row r="35" spans="1:53" ht="15.75" customHeight="1">
      <c r="A35" s="93"/>
      <c r="B35" s="93"/>
      <c r="C35" s="93"/>
      <c r="D35" s="93"/>
      <c r="E35" s="93"/>
      <c r="F35" s="93"/>
      <c r="G35" s="93"/>
      <c r="H35" s="93"/>
      <c r="I35" s="93"/>
      <c r="J35" s="93"/>
      <c r="K35" s="93"/>
      <c r="L35" s="93"/>
      <c r="M35" s="93"/>
      <c r="N35" s="93"/>
      <c r="O35" s="93"/>
      <c r="P35" s="93"/>
      <c r="Q35" s="93"/>
      <c r="R35" s="93"/>
      <c r="S35" s="93"/>
      <c r="T35" s="93"/>
      <c r="U35" s="93"/>
      <c r="V35" s="88"/>
      <c r="W35" s="331"/>
      <c r="X35" s="331"/>
      <c r="Y35" s="331"/>
      <c r="Z35" s="331"/>
      <c r="AA35" s="331"/>
      <c r="AB35" s="331"/>
      <c r="AC35" s="331"/>
      <c r="AD35" s="331"/>
      <c r="AE35" s="331"/>
      <c r="AF35" s="331"/>
      <c r="AG35" s="331"/>
      <c r="AH35" s="331"/>
      <c r="AI35" s="331"/>
      <c r="AJ35" s="331"/>
      <c r="AK35" s="331"/>
      <c r="AL35" s="331"/>
      <c r="AM35" s="331"/>
      <c r="AN35" s="331"/>
      <c r="AO35" s="331"/>
      <c r="AP35" s="331"/>
      <c r="AQ35" s="331"/>
      <c r="AR35" s="331"/>
      <c r="AS35" s="331"/>
      <c r="AT35" s="331"/>
      <c r="AU35" s="331"/>
      <c r="AV35" s="331"/>
      <c r="AW35" s="331"/>
      <c r="AX35" s="331"/>
      <c r="AY35" s="331"/>
      <c r="AZ35" s="331"/>
    </row>
    <row r="36" spans="1:53" ht="15.75" customHeight="1">
      <c r="A36" s="93" t="s">
        <v>140</v>
      </c>
      <c r="B36" s="93"/>
      <c r="C36" s="93"/>
      <c r="D36" s="93"/>
      <c r="E36" s="93"/>
      <c r="F36" s="93"/>
      <c r="G36" s="93"/>
      <c r="H36" s="93"/>
      <c r="I36" s="93"/>
      <c r="J36" s="93"/>
      <c r="K36" s="93"/>
      <c r="L36" s="93"/>
      <c r="M36" s="93"/>
      <c r="N36" s="93"/>
      <c r="O36" s="93"/>
      <c r="P36" s="93"/>
      <c r="Q36" s="93"/>
      <c r="R36" s="93"/>
      <c r="S36" s="93"/>
      <c r="T36" s="93"/>
      <c r="U36" s="93"/>
      <c r="W36">
        <f t="shared" ref="W36:BA36" si="21">SUM(W38:W63)</f>
        <v>0.8</v>
      </c>
      <c r="X36">
        <f t="shared" si="21"/>
        <v>1.1000000000000001</v>
      </c>
      <c r="Y36">
        <f t="shared" si="21"/>
        <v>0.6</v>
      </c>
      <c r="Z36">
        <f t="shared" si="21"/>
        <v>0.4</v>
      </c>
      <c r="AA36">
        <f t="shared" si="21"/>
        <v>18</v>
      </c>
      <c r="AB36">
        <f t="shared" si="21"/>
        <v>0.8</v>
      </c>
      <c r="AC36">
        <f t="shared" si="21"/>
        <v>0.2</v>
      </c>
      <c r="AD36">
        <f t="shared" si="21"/>
        <v>2.7</v>
      </c>
      <c r="AE36">
        <f t="shared" si="21"/>
        <v>1.7</v>
      </c>
      <c r="AF36">
        <f t="shared" si="21"/>
        <v>1.9</v>
      </c>
      <c r="AG36">
        <f t="shared" si="21"/>
        <v>4.4000000000000004</v>
      </c>
      <c r="AH36">
        <f t="shared" si="21"/>
        <v>1.8</v>
      </c>
      <c r="AI36">
        <f t="shared" si="21"/>
        <v>1.4</v>
      </c>
      <c r="AJ36">
        <f t="shared" si="21"/>
        <v>4.7</v>
      </c>
      <c r="AK36">
        <f t="shared" si="21"/>
        <v>0</v>
      </c>
      <c r="AL36">
        <f t="shared" si="21"/>
        <v>1.2</v>
      </c>
      <c r="AM36">
        <f t="shared" si="21"/>
        <v>4.8</v>
      </c>
      <c r="AN36">
        <f t="shared" si="21"/>
        <v>7.2</v>
      </c>
      <c r="AO36">
        <f t="shared" si="21"/>
        <v>8.6999999999999993</v>
      </c>
      <c r="AP36">
        <f t="shared" si="21"/>
        <v>20.399999999999999</v>
      </c>
      <c r="AQ36">
        <f t="shared" si="21"/>
        <v>18.7</v>
      </c>
      <c r="AR36">
        <f t="shared" si="21"/>
        <v>21</v>
      </c>
      <c r="AS36">
        <f t="shared" si="21"/>
        <v>16.2</v>
      </c>
      <c r="AT36">
        <f t="shared" si="21"/>
        <v>25</v>
      </c>
      <c r="AU36">
        <f t="shared" si="21"/>
        <v>10.6</v>
      </c>
      <c r="AV36">
        <f t="shared" si="21"/>
        <v>0</v>
      </c>
      <c r="AW36">
        <f t="shared" si="21"/>
        <v>0</v>
      </c>
      <c r="AX36">
        <f t="shared" si="21"/>
        <v>0</v>
      </c>
      <c r="AY36">
        <f t="shared" si="21"/>
        <v>0</v>
      </c>
      <c r="AZ36">
        <f t="shared" si="21"/>
        <v>0</v>
      </c>
      <c r="BA36">
        <f t="shared" si="21"/>
        <v>0</v>
      </c>
    </row>
    <row r="37" spans="1:53" ht="15.75" customHeight="1">
      <c r="A37" s="349" t="s">
        <v>757</v>
      </c>
      <c r="B37" s="349"/>
      <c r="C37" s="349"/>
      <c r="D37" s="349"/>
      <c r="E37" s="349"/>
      <c r="F37" s="349"/>
      <c r="G37" s="349"/>
      <c r="H37" s="349"/>
      <c r="I37" s="349"/>
      <c r="J37" s="349"/>
      <c r="K37" s="349"/>
      <c r="L37" s="349"/>
      <c r="M37" s="349"/>
      <c r="N37" s="349"/>
      <c r="O37" s="349"/>
      <c r="P37" s="349"/>
      <c r="Q37" s="349"/>
      <c r="R37" s="349"/>
      <c r="S37" s="349"/>
      <c r="T37" s="349"/>
      <c r="U37" s="349"/>
      <c r="V37" t="s">
        <v>758</v>
      </c>
      <c r="W37" s="42">
        <v>2020</v>
      </c>
      <c r="X37" s="42">
        <v>2021</v>
      </c>
      <c r="Y37" s="42">
        <v>2022</v>
      </c>
      <c r="Z37" s="42">
        <v>2023</v>
      </c>
      <c r="AA37" s="42">
        <v>2024</v>
      </c>
      <c r="AB37" s="42">
        <v>2025</v>
      </c>
      <c r="AC37" s="42">
        <v>2026</v>
      </c>
      <c r="AD37" s="42">
        <v>2027</v>
      </c>
      <c r="AE37" s="42">
        <v>2028</v>
      </c>
      <c r="AF37" s="42">
        <v>2029</v>
      </c>
      <c r="AG37" s="42">
        <v>2030</v>
      </c>
      <c r="AH37" s="42">
        <v>2031</v>
      </c>
      <c r="AI37" s="42">
        <v>2032</v>
      </c>
      <c r="AJ37" s="42">
        <v>2033</v>
      </c>
      <c r="AK37" s="42">
        <v>2034</v>
      </c>
      <c r="AL37" s="42">
        <v>2035</v>
      </c>
      <c r="AM37" s="42">
        <v>2036</v>
      </c>
      <c r="AN37" s="42">
        <v>2037</v>
      </c>
      <c r="AO37" s="42">
        <v>2038</v>
      </c>
      <c r="AP37" s="42">
        <v>2039</v>
      </c>
      <c r="AQ37" s="42">
        <v>2040</v>
      </c>
      <c r="AR37" s="42">
        <v>2041</v>
      </c>
      <c r="AS37" s="42">
        <v>2042</v>
      </c>
      <c r="AT37" s="42">
        <v>2043</v>
      </c>
      <c r="AU37" s="42">
        <v>2044</v>
      </c>
      <c r="AV37" s="42">
        <v>2045</v>
      </c>
      <c r="AW37" s="42">
        <v>2046</v>
      </c>
      <c r="AX37" s="42">
        <v>2047</v>
      </c>
      <c r="AY37" s="42">
        <v>2048</v>
      </c>
      <c r="AZ37" s="42">
        <v>2049</v>
      </c>
      <c r="BA37" s="42">
        <v>2050</v>
      </c>
    </row>
    <row r="38" spans="1:53" ht="15.75" customHeight="1">
      <c r="A38" s="362">
        <v>1927</v>
      </c>
      <c r="B38" s="350"/>
      <c r="C38" s="350"/>
      <c r="D38" s="350"/>
      <c r="E38" s="350"/>
      <c r="F38" s="350"/>
      <c r="G38" s="350"/>
      <c r="H38" s="350"/>
      <c r="I38" s="350"/>
      <c r="J38" s="350"/>
      <c r="K38" s="350"/>
      <c r="L38" s="350"/>
      <c r="M38" s="350"/>
      <c r="N38" s="350"/>
      <c r="O38" s="350"/>
      <c r="P38" s="350"/>
      <c r="Q38" s="350"/>
      <c r="R38" s="350"/>
      <c r="S38" s="350"/>
      <c r="T38" s="350"/>
      <c r="U38" s="350"/>
      <c r="V38" s="127">
        <v>0.1</v>
      </c>
      <c r="W38">
        <f t="shared" ref="W38:W128" si="22">IF(W$37-$A38&gt;$V$25,$V38,0)</f>
        <v>0.1</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spans="1:53" ht="15.75" customHeight="1">
      <c r="A39" s="362">
        <v>1928</v>
      </c>
      <c r="B39" s="350"/>
      <c r="C39" s="350"/>
      <c r="D39" s="350"/>
      <c r="E39" s="350"/>
      <c r="F39" s="350"/>
      <c r="G39" s="350"/>
      <c r="H39" s="350"/>
      <c r="I39" s="350"/>
      <c r="J39" s="350"/>
      <c r="K39" s="350"/>
      <c r="L39" s="350"/>
      <c r="M39" s="350"/>
      <c r="N39" s="350"/>
      <c r="O39" s="350"/>
      <c r="P39" s="350"/>
      <c r="Q39" s="350"/>
      <c r="R39" s="350"/>
      <c r="S39" s="350"/>
      <c r="T39" s="350"/>
      <c r="U39" s="350"/>
      <c r="V39" s="127">
        <v>0.4</v>
      </c>
      <c r="W39">
        <f t="shared" si="22"/>
        <v>0.4</v>
      </c>
      <c r="X39">
        <f t="shared" ref="X39:BA39" si="24">IF(AND(X$37-$A39&gt;$V$25,SUM($W39:W39)&lt;&gt;$V39),$V39,0)</f>
        <v>0</v>
      </c>
      <c r="Y39">
        <f t="shared" si="24"/>
        <v>0</v>
      </c>
      <c r="Z39">
        <f t="shared" si="24"/>
        <v>0</v>
      </c>
      <c r="AA39">
        <f t="shared" si="24"/>
        <v>0</v>
      </c>
      <c r="AB39">
        <f t="shared" si="24"/>
        <v>0</v>
      </c>
      <c r="AC39">
        <f t="shared" si="24"/>
        <v>0</v>
      </c>
      <c r="AD39">
        <f t="shared" si="24"/>
        <v>0</v>
      </c>
      <c r="AE39">
        <f t="shared" si="24"/>
        <v>0</v>
      </c>
      <c r="AF39">
        <f t="shared" si="24"/>
        <v>0</v>
      </c>
      <c r="AG39">
        <f t="shared" si="24"/>
        <v>0</v>
      </c>
      <c r="AH39">
        <f t="shared" si="24"/>
        <v>0</v>
      </c>
      <c r="AI39">
        <f t="shared" si="24"/>
        <v>0</v>
      </c>
      <c r="AJ39">
        <f t="shared" si="24"/>
        <v>0</v>
      </c>
      <c r="AK39">
        <f t="shared" si="24"/>
        <v>0</v>
      </c>
      <c r="AL39">
        <f t="shared" si="24"/>
        <v>0</v>
      </c>
      <c r="AM39">
        <f t="shared" si="24"/>
        <v>0</v>
      </c>
      <c r="AN39">
        <f t="shared" si="24"/>
        <v>0</v>
      </c>
      <c r="AO39">
        <f t="shared" si="24"/>
        <v>0</v>
      </c>
      <c r="AP39">
        <f t="shared" si="24"/>
        <v>0</v>
      </c>
      <c r="AQ39">
        <f t="shared" si="24"/>
        <v>0</v>
      </c>
      <c r="AR39">
        <f t="shared" si="24"/>
        <v>0</v>
      </c>
      <c r="AS39">
        <f t="shared" si="24"/>
        <v>0</v>
      </c>
      <c r="AT39">
        <f t="shared" si="24"/>
        <v>0</v>
      </c>
      <c r="AU39">
        <f t="shared" si="24"/>
        <v>0</v>
      </c>
      <c r="AV39">
        <f t="shared" si="24"/>
        <v>0</v>
      </c>
      <c r="AW39">
        <f t="shared" si="24"/>
        <v>0</v>
      </c>
      <c r="AX39">
        <f t="shared" si="24"/>
        <v>0</v>
      </c>
      <c r="AY39">
        <f t="shared" si="24"/>
        <v>0</v>
      </c>
      <c r="AZ39">
        <f t="shared" si="24"/>
        <v>0</v>
      </c>
      <c r="BA39">
        <f t="shared" si="24"/>
        <v>0</v>
      </c>
    </row>
    <row r="40" spans="1:53" ht="15.75" customHeight="1">
      <c r="A40" s="362">
        <v>1929</v>
      </c>
      <c r="B40" s="350"/>
      <c r="C40" s="350"/>
      <c r="D40" s="350"/>
      <c r="E40" s="350"/>
      <c r="F40" s="350"/>
      <c r="G40" s="350"/>
      <c r="H40" s="350"/>
      <c r="I40" s="350"/>
      <c r="J40" s="350"/>
      <c r="K40" s="350"/>
      <c r="L40" s="350"/>
      <c r="M40" s="350"/>
      <c r="N40" s="350"/>
      <c r="O40" s="350"/>
      <c r="P40" s="350"/>
      <c r="Q40" s="350"/>
      <c r="R40" s="350"/>
      <c r="S40" s="350"/>
      <c r="T40" s="350"/>
      <c r="U40" s="350"/>
      <c r="V40" s="127">
        <v>0.3</v>
      </c>
      <c r="W40">
        <f t="shared" si="22"/>
        <v>0.3</v>
      </c>
      <c r="X40">
        <f t="shared" ref="X40:BA40" si="25">IF(AND(X$37-$A40&gt;$V$25,SUM($W40:W40)&lt;&gt;$V40),$V40,0)</f>
        <v>0</v>
      </c>
      <c r="Y40">
        <f t="shared" si="25"/>
        <v>0</v>
      </c>
      <c r="Z40">
        <f t="shared" si="25"/>
        <v>0</v>
      </c>
      <c r="AA40">
        <f t="shared" si="25"/>
        <v>0</v>
      </c>
      <c r="AB40">
        <f t="shared" si="25"/>
        <v>0</v>
      </c>
      <c r="AC40">
        <f t="shared" si="25"/>
        <v>0</v>
      </c>
      <c r="AD40">
        <f t="shared" si="25"/>
        <v>0</v>
      </c>
      <c r="AE40">
        <f t="shared" si="25"/>
        <v>0</v>
      </c>
      <c r="AF40">
        <f t="shared" si="25"/>
        <v>0</v>
      </c>
      <c r="AG40">
        <f t="shared" si="25"/>
        <v>0</v>
      </c>
      <c r="AH40">
        <f t="shared" si="25"/>
        <v>0</v>
      </c>
      <c r="AI40">
        <f t="shared" si="25"/>
        <v>0</v>
      </c>
      <c r="AJ40">
        <f t="shared" si="25"/>
        <v>0</v>
      </c>
      <c r="AK40">
        <f t="shared" si="25"/>
        <v>0</v>
      </c>
      <c r="AL40">
        <f t="shared" si="25"/>
        <v>0</v>
      </c>
      <c r="AM40">
        <f t="shared" si="25"/>
        <v>0</v>
      </c>
      <c r="AN40">
        <f t="shared" si="25"/>
        <v>0</v>
      </c>
      <c r="AO40">
        <f t="shared" si="25"/>
        <v>0</v>
      </c>
      <c r="AP40">
        <f t="shared" si="25"/>
        <v>0</v>
      </c>
      <c r="AQ40">
        <f t="shared" si="25"/>
        <v>0</v>
      </c>
      <c r="AR40">
        <f t="shared" si="25"/>
        <v>0</v>
      </c>
      <c r="AS40">
        <f t="shared" si="25"/>
        <v>0</v>
      </c>
      <c r="AT40">
        <f t="shared" si="25"/>
        <v>0</v>
      </c>
      <c r="AU40">
        <f t="shared" si="25"/>
        <v>0</v>
      </c>
      <c r="AV40">
        <f t="shared" si="25"/>
        <v>0</v>
      </c>
      <c r="AW40">
        <f t="shared" si="25"/>
        <v>0</v>
      </c>
      <c r="AX40">
        <f t="shared" si="25"/>
        <v>0</v>
      </c>
      <c r="AY40">
        <f t="shared" si="25"/>
        <v>0</v>
      </c>
      <c r="AZ40">
        <f t="shared" si="25"/>
        <v>0</v>
      </c>
      <c r="BA40">
        <f t="shared" si="25"/>
        <v>0</v>
      </c>
    </row>
    <row r="41" spans="1:53" ht="15.75" customHeight="1">
      <c r="A41" s="362">
        <v>1930</v>
      </c>
      <c r="B41" s="350"/>
      <c r="C41" s="350"/>
      <c r="D41" s="350"/>
      <c r="E41" s="350"/>
      <c r="F41" s="350"/>
      <c r="G41" s="350"/>
      <c r="H41" s="350"/>
      <c r="I41" s="350"/>
      <c r="J41" s="350"/>
      <c r="K41" s="350"/>
      <c r="L41" s="350"/>
      <c r="M41" s="350"/>
      <c r="N41" s="350"/>
      <c r="O41" s="350"/>
      <c r="P41" s="350"/>
      <c r="Q41" s="350"/>
      <c r="R41" s="350"/>
      <c r="S41" s="350"/>
      <c r="T41" s="350"/>
      <c r="U41" s="350"/>
      <c r="V41" s="127">
        <v>1.1000000000000001</v>
      </c>
      <c r="W41">
        <f t="shared" si="22"/>
        <v>0</v>
      </c>
      <c r="X41">
        <f t="shared" ref="X41:BA41" si="26">IF(AND(X$37-$A41&gt;$V$25,SUM($W41:W41)&lt;&gt;$V41),$V41,0)</f>
        <v>1.1000000000000001</v>
      </c>
      <c r="Y41">
        <f t="shared" si="26"/>
        <v>0</v>
      </c>
      <c r="Z41">
        <f t="shared" si="26"/>
        <v>0</v>
      </c>
      <c r="AA41">
        <f t="shared" si="26"/>
        <v>0</v>
      </c>
      <c r="AB41">
        <f t="shared" si="26"/>
        <v>0</v>
      </c>
      <c r="AC41">
        <f t="shared" si="26"/>
        <v>0</v>
      </c>
      <c r="AD41">
        <f t="shared" si="26"/>
        <v>0</v>
      </c>
      <c r="AE41">
        <f t="shared" si="26"/>
        <v>0</v>
      </c>
      <c r="AF41">
        <f t="shared" si="26"/>
        <v>0</v>
      </c>
      <c r="AG41">
        <f t="shared" si="26"/>
        <v>0</v>
      </c>
      <c r="AH41">
        <f t="shared" si="26"/>
        <v>0</v>
      </c>
      <c r="AI41">
        <f t="shared" si="26"/>
        <v>0</v>
      </c>
      <c r="AJ41">
        <f t="shared" si="26"/>
        <v>0</v>
      </c>
      <c r="AK41">
        <f t="shared" si="26"/>
        <v>0</v>
      </c>
      <c r="AL41">
        <f t="shared" si="26"/>
        <v>0</v>
      </c>
      <c r="AM41">
        <f t="shared" si="26"/>
        <v>0</v>
      </c>
      <c r="AN41">
        <f t="shared" si="26"/>
        <v>0</v>
      </c>
      <c r="AO41">
        <f t="shared" si="26"/>
        <v>0</v>
      </c>
      <c r="AP41">
        <f t="shared" si="26"/>
        <v>0</v>
      </c>
      <c r="AQ41">
        <f t="shared" si="26"/>
        <v>0</v>
      </c>
      <c r="AR41">
        <f t="shared" si="26"/>
        <v>0</v>
      </c>
      <c r="AS41">
        <f t="shared" si="26"/>
        <v>0</v>
      </c>
      <c r="AT41">
        <f t="shared" si="26"/>
        <v>0</v>
      </c>
      <c r="AU41">
        <f t="shared" si="26"/>
        <v>0</v>
      </c>
      <c r="AV41">
        <f t="shared" si="26"/>
        <v>0</v>
      </c>
      <c r="AW41">
        <f t="shared" si="26"/>
        <v>0</v>
      </c>
      <c r="AX41">
        <f t="shared" si="26"/>
        <v>0</v>
      </c>
      <c r="AY41">
        <f t="shared" si="26"/>
        <v>0</v>
      </c>
      <c r="AZ41">
        <f t="shared" si="26"/>
        <v>0</v>
      </c>
      <c r="BA41">
        <f t="shared" si="26"/>
        <v>0</v>
      </c>
    </row>
    <row r="42" spans="1:53" ht="15.75" customHeight="1">
      <c r="A42" s="362">
        <v>1931</v>
      </c>
      <c r="B42" s="350"/>
      <c r="C42" s="350"/>
      <c r="D42" s="350"/>
      <c r="E42" s="350"/>
      <c r="F42" s="350"/>
      <c r="G42" s="350"/>
      <c r="H42" s="350"/>
      <c r="I42" s="350"/>
      <c r="J42" s="350"/>
      <c r="K42" s="350"/>
      <c r="L42" s="350"/>
      <c r="M42" s="350"/>
      <c r="N42" s="350"/>
      <c r="O42" s="350"/>
      <c r="P42" s="350"/>
      <c r="Q42" s="350"/>
      <c r="R42" s="350"/>
      <c r="S42" s="350"/>
      <c r="T42" s="350"/>
      <c r="U42" s="350"/>
      <c r="V42" s="127">
        <v>0.6</v>
      </c>
      <c r="W42">
        <f t="shared" si="22"/>
        <v>0</v>
      </c>
      <c r="X42">
        <f t="shared" ref="X42:BA42" si="27">IF(AND(X$37-$A42&gt;$V$25,SUM($W42:W42)&lt;&gt;$V42),$V42,0)</f>
        <v>0</v>
      </c>
      <c r="Y42">
        <f t="shared" si="27"/>
        <v>0.6</v>
      </c>
      <c r="Z42">
        <f t="shared" si="27"/>
        <v>0</v>
      </c>
      <c r="AA42">
        <f t="shared" si="27"/>
        <v>0</v>
      </c>
      <c r="AB42">
        <f t="shared" si="27"/>
        <v>0</v>
      </c>
      <c r="AC42">
        <f t="shared" si="27"/>
        <v>0</v>
      </c>
      <c r="AD42">
        <f t="shared" si="27"/>
        <v>0</v>
      </c>
      <c r="AE42">
        <f t="shared" si="27"/>
        <v>0</v>
      </c>
      <c r="AF42">
        <f t="shared" si="27"/>
        <v>0</v>
      </c>
      <c r="AG42">
        <f t="shared" si="27"/>
        <v>0</v>
      </c>
      <c r="AH42">
        <f t="shared" si="27"/>
        <v>0</v>
      </c>
      <c r="AI42">
        <f t="shared" si="27"/>
        <v>0</v>
      </c>
      <c r="AJ42">
        <f t="shared" si="27"/>
        <v>0</v>
      </c>
      <c r="AK42">
        <f t="shared" si="27"/>
        <v>0</v>
      </c>
      <c r="AL42">
        <f t="shared" si="27"/>
        <v>0</v>
      </c>
      <c r="AM42">
        <f t="shared" si="27"/>
        <v>0</v>
      </c>
      <c r="AN42">
        <f t="shared" si="27"/>
        <v>0</v>
      </c>
      <c r="AO42">
        <f t="shared" si="27"/>
        <v>0</v>
      </c>
      <c r="AP42">
        <f t="shared" si="27"/>
        <v>0</v>
      </c>
      <c r="AQ42">
        <f t="shared" si="27"/>
        <v>0</v>
      </c>
      <c r="AR42">
        <f t="shared" si="27"/>
        <v>0</v>
      </c>
      <c r="AS42">
        <f t="shared" si="27"/>
        <v>0</v>
      </c>
      <c r="AT42">
        <f t="shared" si="27"/>
        <v>0</v>
      </c>
      <c r="AU42">
        <f t="shared" si="27"/>
        <v>0</v>
      </c>
      <c r="AV42">
        <f t="shared" si="27"/>
        <v>0</v>
      </c>
      <c r="AW42">
        <f t="shared" si="27"/>
        <v>0</v>
      </c>
      <c r="AX42">
        <f t="shared" si="27"/>
        <v>0</v>
      </c>
      <c r="AY42">
        <f t="shared" si="27"/>
        <v>0</v>
      </c>
      <c r="AZ42">
        <f t="shared" si="27"/>
        <v>0</v>
      </c>
      <c r="BA42">
        <f t="shared" si="27"/>
        <v>0</v>
      </c>
    </row>
    <row r="43" spans="1:53" ht="15.75" customHeight="1">
      <c r="A43" s="362">
        <v>1932</v>
      </c>
      <c r="B43" s="350"/>
      <c r="C43" s="350"/>
      <c r="D43" s="350"/>
      <c r="E43" s="350"/>
      <c r="F43" s="350"/>
      <c r="G43" s="350"/>
      <c r="H43" s="350"/>
      <c r="I43" s="350"/>
      <c r="J43" s="350"/>
      <c r="K43" s="350"/>
      <c r="L43" s="350"/>
      <c r="M43" s="350"/>
      <c r="N43" s="350"/>
      <c r="O43" s="350"/>
      <c r="P43" s="350"/>
      <c r="Q43" s="350"/>
      <c r="R43" s="350"/>
      <c r="S43" s="350"/>
      <c r="T43" s="350"/>
      <c r="U43" s="350"/>
      <c r="V43" s="127">
        <v>0.4</v>
      </c>
      <c r="W43">
        <f t="shared" si="22"/>
        <v>0</v>
      </c>
      <c r="X43">
        <f t="shared" ref="X43:BA43" si="28">IF(AND(X$37-$A43&gt;$V$25,SUM($W43:W43)&lt;&gt;$V43),$V43,0)</f>
        <v>0</v>
      </c>
      <c r="Y43">
        <f t="shared" si="28"/>
        <v>0</v>
      </c>
      <c r="Z43">
        <f t="shared" si="28"/>
        <v>0.4</v>
      </c>
      <c r="AA43">
        <f t="shared" si="28"/>
        <v>0</v>
      </c>
      <c r="AB43">
        <f t="shared" si="28"/>
        <v>0</v>
      </c>
      <c r="AC43">
        <f t="shared" si="28"/>
        <v>0</v>
      </c>
      <c r="AD43">
        <f t="shared" si="28"/>
        <v>0</v>
      </c>
      <c r="AE43">
        <f t="shared" si="28"/>
        <v>0</v>
      </c>
      <c r="AF43">
        <f t="shared" si="28"/>
        <v>0</v>
      </c>
      <c r="AG43">
        <f t="shared" si="28"/>
        <v>0</v>
      </c>
      <c r="AH43">
        <f t="shared" si="28"/>
        <v>0</v>
      </c>
      <c r="AI43">
        <f t="shared" si="28"/>
        <v>0</v>
      </c>
      <c r="AJ43">
        <f t="shared" si="28"/>
        <v>0</v>
      </c>
      <c r="AK43">
        <f t="shared" si="28"/>
        <v>0</v>
      </c>
      <c r="AL43">
        <f t="shared" si="28"/>
        <v>0</v>
      </c>
      <c r="AM43">
        <f t="shared" si="28"/>
        <v>0</v>
      </c>
      <c r="AN43">
        <f t="shared" si="28"/>
        <v>0</v>
      </c>
      <c r="AO43">
        <f t="shared" si="28"/>
        <v>0</v>
      </c>
      <c r="AP43">
        <f t="shared" si="28"/>
        <v>0</v>
      </c>
      <c r="AQ43">
        <f t="shared" si="28"/>
        <v>0</v>
      </c>
      <c r="AR43">
        <f t="shared" si="28"/>
        <v>0</v>
      </c>
      <c r="AS43">
        <f t="shared" si="28"/>
        <v>0</v>
      </c>
      <c r="AT43">
        <f t="shared" si="28"/>
        <v>0</v>
      </c>
      <c r="AU43">
        <f t="shared" si="28"/>
        <v>0</v>
      </c>
      <c r="AV43">
        <f t="shared" si="28"/>
        <v>0</v>
      </c>
      <c r="AW43">
        <f t="shared" si="28"/>
        <v>0</v>
      </c>
      <c r="AX43">
        <f t="shared" si="28"/>
        <v>0</v>
      </c>
      <c r="AY43">
        <f t="shared" si="28"/>
        <v>0</v>
      </c>
      <c r="AZ43">
        <f t="shared" si="28"/>
        <v>0</v>
      </c>
      <c r="BA43">
        <f t="shared" si="28"/>
        <v>0</v>
      </c>
    </row>
    <row r="44" spans="1:53" ht="15.75" customHeight="1">
      <c r="A44" s="362">
        <v>1933</v>
      </c>
      <c r="B44" s="350"/>
      <c r="C44" s="350"/>
      <c r="D44" s="350"/>
      <c r="E44" s="350"/>
      <c r="F44" s="350"/>
      <c r="G44" s="350"/>
      <c r="H44" s="350"/>
      <c r="I44" s="350"/>
      <c r="J44" s="350"/>
      <c r="K44" s="350"/>
      <c r="L44" s="350"/>
      <c r="M44" s="350"/>
      <c r="N44" s="350"/>
      <c r="O44" s="350"/>
      <c r="P44" s="350"/>
      <c r="Q44" s="350"/>
      <c r="R44" s="350"/>
      <c r="S44" s="350"/>
      <c r="T44" s="350"/>
      <c r="U44" s="350"/>
      <c r="V44" s="127">
        <v>18</v>
      </c>
      <c r="W44">
        <f t="shared" si="22"/>
        <v>0</v>
      </c>
      <c r="X44">
        <f t="shared" ref="X44:BA44" si="29">IF(AND(X$37-$A44&gt;$V$25,SUM($W44:W44)&lt;&gt;$V44),$V44,0)</f>
        <v>0</v>
      </c>
      <c r="Y44">
        <f t="shared" si="29"/>
        <v>0</v>
      </c>
      <c r="Z44">
        <f t="shared" si="29"/>
        <v>0</v>
      </c>
      <c r="AA44">
        <f t="shared" si="29"/>
        <v>18</v>
      </c>
      <c r="AB44">
        <f t="shared" si="29"/>
        <v>0</v>
      </c>
      <c r="AC44">
        <f t="shared" si="29"/>
        <v>0</v>
      </c>
      <c r="AD44">
        <f t="shared" si="29"/>
        <v>0</v>
      </c>
      <c r="AE44">
        <f t="shared" si="29"/>
        <v>0</v>
      </c>
      <c r="AF44">
        <f t="shared" si="29"/>
        <v>0</v>
      </c>
      <c r="AG44">
        <f t="shared" si="29"/>
        <v>0</v>
      </c>
      <c r="AH44">
        <f t="shared" si="29"/>
        <v>0</v>
      </c>
      <c r="AI44">
        <f t="shared" si="29"/>
        <v>0</v>
      </c>
      <c r="AJ44">
        <f t="shared" si="29"/>
        <v>0</v>
      </c>
      <c r="AK44">
        <f t="shared" si="29"/>
        <v>0</v>
      </c>
      <c r="AL44">
        <f t="shared" si="29"/>
        <v>0</v>
      </c>
      <c r="AM44">
        <f t="shared" si="29"/>
        <v>0</v>
      </c>
      <c r="AN44">
        <f t="shared" si="29"/>
        <v>0</v>
      </c>
      <c r="AO44">
        <f t="shared" si="29"/>
        <v>0</v>
      </c>
      <c r="AP44">
        <f t="shared" si="29"/>
        <v>0</v>
      </c>
      <c r="AQ44">
        <f t="shared" si="29"/>
        <v>0</v>
      </c>
      <c r="AR44">
        <f t="shared" si="29"/>
        <v>0</v>
      </c>
      <c r="AS44">
        <f t="shared" si="29"/>
        <v>0</v>
      </c>
      <c r="AT44">
        <f t="shared" si="29"/>
        <v>0</v>
      </c>
      <c r="AU44">
        <f t="shared" si="29"/>
        <v>0</v>
      </c>
      <c r="AV44">
        <f t="shared" si="29"/>
        <v>0</v>
      </c>
      <c r="AW44">
        <f t="shared" si="29"/>
        <v>0</v>
      </c>
      <c r="AX44">
        <f t="shared" si="29"/>
        <v>0</v>
      </c>
      <c r="AY44">
        <f t="shared" si="29"/>
        <v>0</v>
      </c>
      <c r="AZ44">
        <f t="shared" si="29"/>
        <v>0</v>
      </c>
      <c r="BA44">
        <f t="shared" si="29"/>
        <v>0</v>
      </c>
    </row>
    <row r="45" spans="1:53" ht="15.75" customHeight="1">
      <c r="A45" s="362">
        <v>1934</v>
      </c>
      <c r="B45" s="350"/>
      <c r="C45" s="350"/>
      <c r="D45" s="350"/>
      <c r="E45" s="350"/>
      <c r="F45" s="350"/>
      <c r="G45" s="350"/>
      <c r="H45" s="350"/>
      <c r="I45" s="350"/>
      <c r="J45" s="350"/>
      <c r="K45" s="350"/>
      <c r="L45" s="350"/>
      <c r="M45" s="350"/>
      <c r="N45" s="350"/>
      <c r="O45" s="350"/>
      <c r="P45" s="350"/>
      <c r="Q45" s="350"/>
      <c r="R45" s="350"/>
      <c r="S45" s="350"/>
      <c r="T45" s="350"/>
      <c r="U45" s="350"/>
      <c r="V45" s="127">
        <v>0.8</v>
      </c>
      <c r="W45">
        <f t="shared" si="22"/>
        <v>0</v>
      </c>
      <c r="X45">
        <f t="shared" ref="X45:BA45" si="30">IF(AND(X$37-$A45&gt;$V$25,SUM($W45:W45)&lt;&gt;$V45),$V45,0)</f>
        <v>0</v>
      </c>
      <c r="Y45">
        <f t="shared" si="30"/>
        <v>0</v>
      </c>
      <c r="Z45">
        <f t="shared" si="30"/>
        <v>0</v>
      </c>
      <c r="AA45">
        <f t="shared" si="30"/>
        <v>0</v>
      </c>
      <c r="AB45">
        <f t="shared" si="30"/>
        <v>0.8</v>
      </c>
      <c r="AC45">
        <f t="shared" si="30"/>
        <v>0</v>
      </c>
      <c r="AD45">
        <f t="shared" si="30"/>
        <v>0</v>
      </c>
      <c r="AE45">
        <f t="shared" si="30"/>
        <v>0</v>
      </c>
      <c r="AF45">
        <f t="shared" si="30"/>
        <v>0</v>
      </c>
      <c r="AG45">
        <f t="shared" si="30"/>
        <v>0</v>
      </c>
      <c r="AH45">
        <f t="shared" si="30"/>
        <v>0</v>
      </c>
      <c r="AI45">
        <f t="shared" si="30"/>
        <v>0</v>
      </c>
      <c r="AJ45">
        <f t="shared" si="30"/>
        <v>0</v>
      </c>
      <c r="AK45">
        <f t="shared" si="30"/>
        <v>0</v>
      </c>
      <c r="AL45">
        <f t="shared" si="30"/>
        <v>0</v>
      </c>
      <c r="AM45">
        <f t="shared" si="30"/>
        <v>0</v>
      </c>
      <c r="AN45">
        <f t="shared" si="30"/>
        <v>0</v>
      </c>
      <c r="AO45">
        <f t="shared" si="30"/>
        <v>0</v>
      </c>
      <c r="AP45">
        <f t="shared" si="30"/>
        <v>0</v>
      </c>
      <c r="AQ45">
        <f t="shared" si="30"/>
        <v>0</v>
      </c>
      <c r="AR45">
        <f t="shared" si="30"/>
        <v>0</v>
      </c>
      <c r="AS45">
        <f t="shared" si="30"/>
        <v>0</v>
      </c>
      <c r="AT45">
        <f t="shared" si="30"/>
        <v>0</v>
      </c>
      <c r="AU45">
        <f t="shared" si="30"/>
        <v>0</v>
      </c>
      <c r="AV45">
        <f t="shared" si="30"/>
        <v>0</v>
      </c>
      <c r="AW45">
        <f t="shared" si="30"/>
        <v>0</v>
      </c>
      <c r="AX45">
        <f t="shared" si="30"/>
        <v>0</v>
      </c>
      <c r="AY45">
        <f t="shared" si="30"/>
        <v>0</v>
      </c>
      <c r="AZ45">
        <f t="shared" si="30"/>
        <v>0</v>
      </c>
      <c r="BA45">
        <f t="shared" si="30"/>
        <v>0</v>
      </c>
    </row>
    <row r="46" spans="1:53" ht="15.75" customHeight="1">
      <c r="A46" s="362">
        <v>1935</v>
      </c>
      <c r="B46" s="350"/>
      <c r="C46" s="350"/>
      <c r="D46" s="350"/>
      <c r="E46" s="350"/>
      <c r="F46" s="350"/>
      <c r="G46" s="350"/>
      <c r="H46" s="350"/>
      <c r="I46" s="350"/>
      <c r="J46" s="350"/>
      <c r="K46" s="350"/>
      <c r="L46" s="350"/>
      <c r="M46" s="350"/>
      <c r="N46" s="350"/>
      <c r="O46" s="350"/>
      <c r="P46" s="350"/>
      <c r="Q46" s="350"/>
      <c r="R46" s="350"/>
      <c r="S46" s="350"/>
      <c r="T46" s="350"/>
      <c r="U46" s="350"/>
      <c r="V46" s="127">
        <v>0.2</v>
      </c>
      <c r="W46">
        <f t="shared" si="22"/>
        <v>0</v>
      </c>
      <c r="X46">
        <f t="shared" ref="X46:BA46" si="31">IF(AND(X$37-$A46&gt;$V$25,SUM($W46:W46)&lt;&gt;$V46),$V46,0)</f>
        <v>0</v>
      </c>
      <c r="Y46">
        <f t="shared" si="31"/>
        <v>0</v>
      </c>
      <c r="Z46">
        <f t="shared" si="31"/>
        <v>0</v>
      </c>
      <c r="AA46">
        <f t="shared" si="31"/>
        <v>0</v>
      </c>
      <c r="AB46">
        <f t="shared" si="31"/>
        <v>0</v>
      </c>
      <c r="AC46">
        <f t="shared" si="31"/>
        <v>0.2</v>
      </c>
      <c r="AD46">
        <f t="shared" si="31"/>
        <v>0</v>
      </c>
      <c r="AE46">
        <f t="shared" si="31"/>
        <v>0</v>
      </c>
      <c r="AF46">
        <f t="shared" si="31"/>
        <v>0</v>
      </c>
      <c r="AG46">
        <f t="shared" si="31"/>
        <v>0</v>
      </c>
      <c r="AH46">
        <f t="shared" si="31"/>
        <v>0</v>
      </c>
      <c r="AI46">
        <f t="shared" si="31"/>
        <v>0</v>
      </c>
      <c r="AJ46">
        <f t="shared" si="31"/>
        <v>0</v>
      </c>
      <c r="AK46">
        <f t="shared" si="31"/>
        <v>0</v>
      </c>
      <c r="AL46">
        <f t="shared" si="31"/>
        <v>0</v>
      </c>
      <c r="AM46">
        <f t="shared" si="31"/>
        <v>0</v>
      </c>
      <c r="AN46">
        <f t="shared" si="31"/>
        <v>0</v>
      </c>
      <c r="AO46">
        <f t="shared" si="31"/>
        <v>0</v>
      </c>
      <c r="AP46">
        <f t="shared" si="31"/>
        <v>0</v>
      </c>
      <c r="AQ46">
        <f t="shared" si="31"/>
        <v>0</v>
      </c>
      <c r="AR46">
        <f t="shared" si="31"/>
        <v>0</v>
      </c>
      <c r="AS46">
        <f t="shared" si="31"/>
        <v>0</v>
      </c>
      <c r="AT46">
        <f t="shared" si="31"/>
        <v>0</v>
      </c>
      <c r="AU46">
        <f t="shared" si="31"/>
        <v>0</v>
      </c>
      <c r="AV46">
        <f t="shared" si="31"/>
        <v>0</v>
      </c>
      <c r="AW46">
        <f t="shared" si="31"/>
        <v>0</v>
      </c>
      <c r="AX46">
        <f t="shared" si="31"/>
        <v>0</v>
      </c>
      <c r="AY46">
        <f t="shared" si="31"/>
        <v>0</v>
      </c>
      <c r="AZ46">
        <f t="shared" si="31"/>
        <v>0</v>
      </c>
      <c r="BA46">
        <f t="shared" si="31"/>
        <v>0</v>
      </c>
    </row>
    <row r="47" spans="1:53" ht="15.75" customHeight="1">
      <c r="A47" s="362">
        <v>1936</v>
      </c>
      <c r="B47" s="350"/>
      <c r="C47" s="350"/>
      <c r="D47" s="350"/>
      <c r="E47" s="350"/>
      <c r="F47" s="350"/>
      <c r="G47" s="350"/>
      <c r="H47" s="350"/>
      <c r="I47" s="350"/>
      <c r="J47" s="350"/>
      <c r="K47" s="350"/>
      <c r="L47" s="350"/>
      <c r="M47" s="350"/>
      <c r="N47" s="350"/>
      <c r="O47" s="350"/>
      <c r="P47" s="350"/>
      <c r="Q47" s="350"/>
      <c r="R47" s="350"/>
      <c r="S47" s="350"/>
      <c r="T47" s="350"/>
      <c r="U47" s="350"/>
      <c r="V47" s="127">
        <v>2.7</v>
      </c>
      <c r="W47">
        <f t="shared" si="22"/>
        <v>0</v>
      </c>
      <c r="X47">
        <f t="shared" ref="X47:BA47" si="32">IF(AND(X$37-$A47&gt;$V$25,SUM($W47:W47)&lt;&gt;$V47),$V47,0)</f>
        <v>0</v>
      </c>
      <c r="Y47">
        <f t="shared" si="32"/>
        <v>0</v>
      </c>
      <c r="Z47">
        <f t="shared" si="32"/>
        <v>0</v>
      </c>
      <c r="AA47">
        <f t="shared" si="32"/>
        <v>0</v>
      </c>
      <c r="AB47">
        <f t="shared" si="32"/>
        <v>0</v>
      </c>
      <c r="AC47">
        <f t="shared" si="32"/>
        <v>0</v>
      </c>
      <c r="AD47">
        <f t="shared" si="32"/>
        <v>2.7</v>
      </c>
      <c r="AE47">
        <f t="shared" si="32"/>
        <v>0</v>
      </c>
      <c r="AF47">
        <f t="shared" si="32"/>
        <v>0</v>
      </c>
      <c r="AG47">
        <f t="shared" si="32"/>
        <v>0</v>
      </c>
      <c r="AH47">
        <f t="shared" si="32"/>
        <v>0</v>
      </c>
      <c r="AI47">
        <f t="shared" si="32"/>
        <v>0</v>
      </c>
      <c r="AJ47">
        <f t="shared" si="32"/>
        <v>0</v>
      </c>
      <c r="AK47">
        <f t="shared" si="32"/>
        <v>0</v>
      </c>
      <c r="AL47">
        <f t="shared" si="32"/>
        <v>0</v>
      </c>
      <c r="AM47">
        <f t="shared" si="32"/>
        <v>0</v>
      </c>
      <c r="AN47">
        <f t="shared" si="32"/>
        <v>0</v>
      </c>
      <c r="AO47">
        <f t="shared" si="32"/>
        <v>0</v>
      </c>
      <c r="AP47">
        <f t="shared" si="32"/>
        <v>0</v>
      </c>
      <c r="AQ47">
        <f t="shared" si="32"/>
        <v>0</v>
      </c>
      <c r="AR47">
        <f t="shared" si="32"/>
        <v>0</v>
      </c>
      <c r="AS47">
        <f t="shared" si="32"/>
        <v>0</v>
      </c>
      <c r="AT47">
        <f t="shared" si="32"/>
        <v>0</v>
      </c>
      <c r="AU47">
        <f t="shared" si="32"/>
        <v>0</v>
      </c>
      <c r="AV47">
        <f t="shared" si="32"/>
        <v>0</v>
      </c>
      <c r="AW47">
        <f t="shared" si="32"/>
        <v>0</v>
      </c>
      <c r="AX47">
        <f t="shared" si="32"/>
        <v>0</v>
      </c>
      <c r="AY47">
        <f t="shared" si="32"/>
        <v>0</v>
      </c>
      <c r="AZ47">
        <f t="shared" si="32"/>
        <v>0</v>
      </c>
      <c r="BA47">
        <f t="shared" si="32"/>
        <v>0</v>
      </c>
    </row>
    <row r="48" spans="1:53" ht="15.75" customHeight="1">
      <c r="A48" s="362">
        <v>1937</v>
      </c>
      <c r="B48" s="350"/>
      <c r="C48" s="350"/>
      <c r="D48" s="350"/>
      <c r="E48" s="350"/>
      <c r="F48" s="350"/>
      <c r="G48" s="350"/>
      <c r="H48" s="350"/>
      <c r="I48" s="350"/>
      <c r="J48" s="350"/>
      <c r="K48" s="350"/>
      <c r="L48" s="350"/>
      <c r="M48" s="350"/>
      <c r="N48" s="350"/>
      <c r="O48" s="350"/>
      <c r="P48" s="350"/>
      <c r="Q48" s="350"/>
      <c r="R48" s="350"/>
      <c r="S48" s="350"/>
      <c r="T48" s="350"/>
      <c r="U48" s="350"/>
      <c r="V48" s="127">
        <v>1.7</v>
      </c>
      <c r="W48">
        <f t="shared" si="22"/>
        <v>0</v>
      </c>
      <c r="X48">
        <f t="shared" ref="X48:BA48" si="33">IF(AND(X$37-$A48&gt;$V$25,SUM($W48:W48)&lt;&gt;$V48),$V48,0)</f>
        <v>0</v>
      </c>
      <c r="Y48">
        <f t="shared" si="33"/>
        <v>0</v>
      </c>
      <c r="Z48">
        <f t="shared" si="33"/>
        <v>0</v>
      </c>
      <c r="AA48">
        <f t="shared" si="33"/>
        <v>0</v>
      </c>
      <c r="AB48">
        <f t="shared" si="33"/>
        <v>0</v>
      </c>
      <c r="AC48">
        <f t="shared" si="33"/>
        <v>0</v>
      </c>
      <c r="AD48">
        <f t="shared" si="33"/>
        <v>0</v>
      </c>
      <c r="AE48">
        <f t="shared" si="33"/>
        <v>1.7</v>
      </c>
      <c r="AF48">
        <f t="shared" si="33"/>
        <v>0</v>
      </c>
      <c r="AG48">
        <f t="shared" si="33"/>
        <v>0</v>
      </c>
      <c r="AH48">
        <f t="shared" si="33"/>
        <v>0</v>
      </c>
      <c r="AI48">
        <f t="shared" si="33"/>
        <v>0</v>
      </c>
      <c r="AJ48">
        <f t="shared" si="33"/>
        <v>0</v>
      </c>
      <c r="AK48">
        <f t="shared" si="33"/>
        <v>0</v>
      </c>
      <c r="AL48">
        <f t="shared" si="33"/>
        <v>0</v>
      </c>
      <c r="AM48">
        <f t="shared" si="33"/>
        <v>0</v>
      </c>
      <c r="AN48">
        <f t="shared" si="33"/>
        <v>0</v>
      </c>
      <c r="AO48">
        <f t="shared" si="33"/>
        <v>0</v>
      </c>
      <c r="AP48">
        <f t="shared" si="33"/>
        <v>0</v>
      </c>
      <c r="AQ48">
        <f t="shared" si="33"/>
        <v>0</v>
      </c>
      <c r="AR48">
        <f t="shared" si="33"/>
        <v>0</v>
      </c>
      <c r="AS48">
        <f t="shared" si="33"/>
        <v>0</v>
      </c>
      <c r="AT48">
        <f t="shared" si="33"/>
        <v>0</v>
      </c>
      <c r="AU48">
        <f t="shared" si="33"/>
        <v>0</v>
      </c>
      <c r="AV48">
        <f t="shared" si="33"/>
        <v>0</v>
      </c>
      <c r="AW48">
        <f t="shared" si="33"/>
        <v>0</v>
      </c>
      <c r="AX48">
        <f t="shared" si="33"/>
        <v>0</v>
      </c>
      <c r="AY48">
        <f t="shared" si="33"/>
        <v>0</v>
      </c>
      <c r="AZ48">
        <f t="shared" si="33"/>
        <v>0</v>
      </c>
      <c r="BA48">
        <f t="shared" si="33"/>
        <v>0</v>
      </c>
    </row>
    <row r="49" spans="1:53" ht="15.75" customHeight="1">
      <c r="A49" s="362">
        <v>1938</v>
      </c>
      <c r="B49" s="350"/>
      <c r="C49" s="350"/>
      <c r="D49" s="350"/>
      <c r="E49" s="350"/>
      <c r="F49" s="350"/>
      <c r="G49" s="350"/>
      <c r="H49" s="350"/>
      <c r="I49" s="350"/>
      <c r="J49" s="350"/>
      <c r="K49" s="350"/>
      <c r="L49" s="350"/>
      <c r="M49" s="350"/>
      <c r="N49" s="350"/>
      <c r="O49" s="350"/>
      <c r="P49" s="350"/>
      <c r="Q49" s="350"/>
      <c r="R49" s="350"/>
      <c r="S49" s="350"/>
      <c r="T49" s="350"/>
      <c r="U49" s="350"/>
      <c r="V49" s="127">
        <v>1.9</v>
      </c>
      <c r="W49">
        <f t="shared" si="22"/>
        <v>0</v>
      </c>
      <c r="X49">
        <f t="shared" ref="X49:BA49" si="34">IF(AND(X$37-$A49&gt;$V$25,SUM($W49:W49)&lt;&gt;$V49),$V49,0)</f>
        <v>0</v>
      </c>
      <c r="Y49">
        <f t="shared" si="34"/>
        <v>0</v>
      </c>
      <c r="Z49">
        <f t="shared" si="34"/>
        <v>0</v>
      </c>
      <c r="AA49">
        <f t="shared" si="34"/>
        <v>0</v>
      </c>
      <c r="AB49">
        <f t="shared" si="34"/>
        <v>0</v>
      </c>
      <c r="AC49">
        <f t="shared" si="34"/>
        <v>0</v>
      </c>
      <c r="AD49">
        <f t="shared" si="34"/>
        <v>0</v>
      </c>
      <c r="AE49">
        <f t="shared" si="34"/>
        <v>0</v>
      </c>
      <c r="AF49">
        <f t="shared" si="34"/>
        <v>1.9</v>
      </c>
      <c r="AG49">
        <f t="shared" si="34"/>
        <v>0</v>
      </c>
      <c r="AH49">
        <f t="shared" si="34"/>
        <v>0</v>
      </c>
      <c r="AI49">
        <f t="shared" si="34"/>
        <v>0</v>
      </c>
      <c r="AJ49">
        <f t="shared" si="34"/>
        <v>0</v>
      </c>
      <c r="AK49">
        <f t="shared" si="34"/>
        <v>0</v>
      </c>
      <c r="AL49">
        <f t="shared" si="34"/>
        <v>0</v>
      </c>
      <c r="AM49">
        <f t="shared" si="34"/>
        <v>0</v>
      </c>
      <c r="AN49">
        <f t="shared" si="34"/>
        <v>0</v>
      </c>
      <c r="AO49">
        <f t="shared" si="34"/>
        <v>0</v>
      </c>
      <c r="AP49">
        <f t="shared" si="34"/>
        <v>0</v>
      </c>
      <c r="AQ49">
        <f t="shared" si="34"/>
        <v>0</v>
      </c>
      <c r="AR49">
        <f t="shared" si="34"/>
        <v>0</v>
      </c>
      <c r="AS49">
        <f t="shared" si="34"/>
        <v>0</v>
      </c>
      <c r="AT49">
        <f t="shared" si="34"/>
        <v>0</v>
      </c>
      <c r="AU49">
        <f t="shared" si="34"/>
        <v>0</v>
      </c>
      <c r="AV49">
        <f t="shared" si="34"/>
        <v>0</v>
      </c>
      <c r="AW49">
        <f t="shared" si="34"/>
        <v>0</v>
      </c>
      <c r="AX49">
        <f t="shared" si="34"/>
        <v>0</v>
      </c>
      <c r="AY49">
        <f t="shared" si="34"/>
        <v>0</v>
      </c>
      <c r="AZ49">
        <f t="shared" si="34"/>
        <v>0</v>
      </c>
      <c r="BA49">
        <f t="shared" si="34"/>
        <v>0</v>
      </c>
    </row>
    <row r="50" spans="1:53" ht="15.75" customHeight="1">
      <c r="A50" s="362">
        <v>1939</v>
      </c>
      <c r="B50" s="350"/>
      <c r="C50" s="350"/>
      <c r="D50" s="350"/>
      <c r="E50" s="350"/>
      <c r="F50" s="350"/>
      <c r="G50" s="350"/>
      <c r="H50" s="350"/>
      <c r="I50" s="350"/>
      <c r="J50" s="350"/>
      <c r="K50" s="350"/>
      <c r="L50" s="350"/>
      <c r="M50" s="350"/>
      <c r="N50" s="350"/>
      <c r="O50" s="350"/>
      <c r="P50" s="350"/>
      <c r="Q50" s="350"/>
      <c r="R50" s="350"/>
      <c r="S50" s="350"/>
      <c r="T50" s="350"/>
      <c r="U50" s="350"/>
      <c r="V50" s="127">
        <v>4.4000000000000004</v>
      </c>
      <c r="W50">
        <f t="shared" si="22"/>
        <v>0</v>
      </c>
      <c r="X50">
        <f t="shared" ref="X50:BA50" si="35">IF(AND(X$37-$A50&gt;$V$25,SUM($W50:W50)&lt;&gt;$V50),$V50,0)</f>
        <v>0</v>
      </c>
      <c r="Y50">
        <f t="shared" si="35"/>
        <v>0</v>
      </c>
      <c r="Z50">
        <f t="shared" si="35"/>
        <v>0</v>
      </c>
      <c r="AA50">
        <f t="shared" si="35"/>
        <v>0</v>
      </c>
      <c r="AB50">
        <f t="shared" si="35"/>
        <v>0</v>
      </c>
      <c r="AC50">
        <f t="shared" si="35"/>
        <v>0</v>
      </c>
      <c r="AD50">
        <f t="shared" si="35"/>
        <v>0</v>
      </c>
      <c r="AE50">
        <f t="shared" si="35"/>
        <v>0</v>
      </c>
      <c r="AF50">
        <f t="shared" si="35"/>
        <v>0</v>
      </c>
      <c r="AG50">
        <f t="shared" si="35"/>
        <v>4.4000000000000004</v>
      </c>
      <c r="AH50">
        <f t="shared" si="35"/>
        <v>0</v>
      </c>
      <c r="AI50">
        <f t="shared" si="35"/>
        <v>0</v>
      </c>
      <c r="AJ50">
        <f t="shared" si="35"/>
        <v>0</v>
      </c>
      <c r="AK50">
        <f t="shared" si="35"/>
        <v>0</v>
      </c>
      <c r="AL50">
        <f t="shared" si="35"/>
        <v>0</v>
      </c>
      <c r="AM50">
        <f t="shared" si="35"/>
        <v>0</v>
      </c>
      <c r="AN50">
        <f t="shared" si="35"/>
        <v>0</v>
      </c>
      <c r="AO50">
        <f t="shared" si="35"/>
        <v>0</v>
      </c>
      <c r="AP50">
        <f t="shared" si="35"/>
        <v>0</v>
      </c>
      <c r="AQ50">
        <f t="shared" si="35"/>
        <v>0</v>
      </c>
      <c r="AR50">
        <f t="shared" si="35"/>
        <v>0</v>
      </c>
      <c r="AS50">
        <f t="shared" si="35"/>
        <v>0</v>
      </c>
      <c r="AT50">
        <f t="shared" si="35"/>
        <v>0</v>
      </c>
      <c r="AU50">
        <f t="shared" si="35"/>
        <v>0</v>
      </c>
      <c r="AV50">
        <f t="shared" si="35"/>
        <v>0</v>
      </c>
      <c r="AW50">
        <f t="shared" si="35"/>
        <v>0</v>
      </c>
      <c r="AX50">
        <f t="shared" si="35"/>
        <v>0</v>
      </c>
      <c r="AY50">
        <f t="shared" si="35"/>
        <v>0</v>
      </c>
      <c r="AZ50">
        <f t="shared" si="35"/>
        <v>0</v>
      </c>
      <c r="BA50">
        <f t="shared" si="35"/>
        <v>0</v>
      </c>
    </row>
    <row r="51" spans="1:53" ht="15.75" customHeight="1">
      <c r="A51" s="362">
        <v>1940</v>
      </c>
      <c r="B51" s="350"/>
      <c r="C51" s="350"/>
      <c r="D51" s="350"/>
      <c r="E51" s="350"/>
      <c r="F51" s="350"/>
      <c r="G51" s="350"/>
      <c r="H51" s="350"/>
      <c r="I51" s="350"/>
      <c r="J51" s="350"/>
      <c r="K51" s="350"/>
      <c r="L51" s="350"/>
      <c r="M51" s="350"/>
      <c r="N51" s="350"/>
      <c r="O51" s="350"/>
      <c r="P51" s="350"/>
      <c r="Q51" s="350"/>
      <c r="R51" s="350"/>
      <c r="S51" s="350"/>
      <c r="T51" s="350"/>
      <c r="U51" s="350"/>
      <c r="V51" s="127">
        <v>1.8</v>
      </c>
      <c r="W51">
        <f t="shared" si="22"/>
        <v>0</v>
      </c>
      <c r="X51">
        <f t="shared" ref="X51:BA51" si="36">IF(AND(X$37-$A51&gt;$V$25,SUM($W51:W51)&lt;&gt;$V51),$V51,0)</f>
        <v>0</v>
      </c>
      <c r="Y51">
        <f t="shared" si="36"/>
        <v>0</v>
      </c>
      <c r="Z51">
        <f t="shared" si="36"/>
        <v>0</v>
      </c>
      <c r="AA51">
        <f t="shared" si="36"/>
        <v>0</v>
      </c>
      <c r="AB51">
        <f t="shared" si="36"/>
        <v>0</v>
      </c>
      <c r="AC51">
        <f t="shared" si="36"/>
        <v>0</v>
      </c>
      <c r="AD51">
        <f t="shared" si="36"/>
        <v>0</v>
      </c>
      <c r="AE51">
        <f t="shared" si="36"/>
        <v>0</v>
      </c>
      <c r="AF51">
        <f t="shared" si="36"/>
        <v>0</v>
      </c>
      <c r="AG51">
        <f t="shared" si="36"/>
        <v>0</v>
      </c>
      <c r="AH51">
        <f t="shared" si="36"/>
        <v>1.8</v>
      </c>
      <c r="AI51">
        <f t="shared" si="36"/>
        <v>0</v>
      </c>
      <c r="AJ51">
        <f t="shared" si="36"/>
        <v>0</v>
      </c>
      <c r="AK51">
        <f t="shared" si="36"/>
        <v>0</v>
      </c>
      <c r="AL51">
        <f t="shared" si="36"/>
        <v>0</v>
      </c>
      <c r="AM51">
        <f t="shared" si="36"/>
        <v>0</v>
      </c>
      <c r="AN51">
        <f t="shared" si="36"/>
        <v>0</v>
      </c>
      <c r="AO51">
        <f t="shared" si="36"/>
        <v>0</v>
      </c>
      <c r="AP51">
        <f t="shared" si="36"/>
        <v>0</v>
      </c>
      <c r="AQ51">
        <f t="shared" si="36"/>
        <v>0</v>
      </c>
      <c r="AR51">
        <f t="shared" si="36"/>
        <v>0</v>
      </c>
      <c r="AS51">
        <f t="shared" si="36"/>
        <v>0</v>
      </c>
      <c r="AT51">
        <f t="shared" si="36"/>
        <v>0</v>
      </c>
      <c r="AU51">
        <f t="shared" si="36"/>
        <v>0</v>
      </c>
      <c r="AV51">
        <f t="shared" si="36"/>
        <v>0</v>
      </c>
      <c r="AW51">
        <f t="shared" si="36"/>
        <v>0</v>
      </c>
      <c r="AX51">
        <f t="shared" si="36"/>
        <v>0</v>
      </c>
      <c r="AY51">
        <f t="shared" si="36"/>
        <v>0</v>
      </c>
      <c r="AZ51">
        <f t="shared" si="36"/>
        <v>0</v>
      </c>
      <c r="BA51">
        <f t="shared" si="36"/>
        <v>0</v>
      </c>
    </row>
    <row r="52" spans="1:53" ht="15.75" customHeight="1">
      <c r="A52" s="362">
        <v>1941</v>
      </c>
      <c r="B52" s="350"/>
      <c r="C52" s="350"/>
      <c r="D52" s="350"/>
      <c r="E52" s="350"/>
      <c r="F52" s="350"/>
      <c r="G52" s="350"/>
      <c r="H52" s="350"/>
      <c r="I52" s="350"/>
      <c r="J52" s="350"/>
      <c r="K52" s="350"/>
      <c r="L52" s="350"/>
      <c r="M52" s="350"/>
      <c r="N52" s="350"/>
      <c r="O52" s="350"/>
      <c r="P52" s="350"/>
      <c r="Q52" s="350"/>
      <c r="R52" s="350"/>
      <c r="S52" s="350"/>
      <c r="T52" s="350"/>
      <c r="U52" s="350"/>
      <c r="V52" s="127">
        <v>1.4</v>
      </c>
      <c r="W52">
        <f t="shared" si="22"/>
        <v>0</v>
      </c>
      <c r="X52">
        <f t="shared" ref="X52:BA52" si="37">IF(AND(X$37-$A52&gt;$V$25,SUM($W52:W52)&lt;&gt;$V52),$V52,0)</f>
        <v>0</v>
      </c>
      <c r="Y52">
        <f t="shared" si="37"/>
        <v>0</v>
      </c>
      <c r="Z52">
        <f t="shared" si="37"/>
        <v>0</v>
      </c>
      <c r="AA52">
        <f t="shared" si="37"/>
        <v>0</v>
      </c>
      <c r="AB52">
        <f t="shared" si="37"/>
        <v>0</v>
      </c>
      <c r="AC52">
        <f t="shared" si="37"/>
        <v>0</v>
      </c>
      <c r="AD52">
        <f t="shared" si="37"/>
        <v>0</v>
      </c>
      <c r="AE52">
        <f t="shared" si="37"/>
        <v>0</v>
      </c>
      <c r="AF52">
        <f t="shared" si="37"/>
        <v>0</v>
      </c>
      <c r="AG52">
        <f t="shared" si="37"/>
        <v>0</v>
      </c>
      <c r="AH52">
        <f t="shared" si="37"/>
        <v>0</v>
      </c>
      <c r="AI52">
        <f t="shared" si="37"/>
        <v>1.4</v>
      </c>
      <c r="AJ52">
        <f t="shared" si="37"/>
        <v>0</v>
      </c>
      <c r="AK52">
        <f t="shared" si="37"/>
        <v>0</v>
      </c>
      <c r="AL52">
        <f t="shared" si="37"/>
        <v>0</v>
      </c>
      <c r="AM52">
        <f t="shared" si="37"/>
        <v>0</v>
      </c>
      <c r="AN52">
        <f t="shared" si="37"/>
        <v>0</v>
      </c>
      <c r="AO52">
        <f t="shared" si="37"/>
        <v>0</v>
      </c>
      <c r="AP52">
        <f t="shared" si="37"/>
        <v>0</v>
      </c>
      <c r="AQ52">
        <f t="shared" si="37"/>
        <v>0</v>
      </c>
      <c r="AR52">
        <f t="shared" si="37"/>
        <v>0</v>
      </c>
      <c r="AS52">
        <f t="shared" si="37"/>
        <v>0</v>
      </c>
      <c r="AT52">
        <f t="shared" si="37"/>
        <v>0</v>
      </c>
      <c r="AU52">
        <f t="shared" si="37"/>
        <v>0</v>
      </c>
      <c r="AV52">
        <f t="shared" si="37"/>
        <v>0</v>
      </c>
      <c r="AW52">
        <f t="shared" si="37"/>
        <v>0</v>
      </c>
      <c r="AX52">
        <f t="shared" si="37"/>
        <v>0</v>
      </c>
      <c r="AY52">
        <f t="shared" si="37"/>
        <v>0</v>
      </c>
      <c r="AZ52">
        <f t="shared" si="37"/>
        <v>0</v>
      </c>
      <c r="BA52">
        <f t="shared" si="37"/>
        <v>0</v>
      </c>
    </row>
    <row r="53" spans="1:53" ht="15.75" customHeight="1">
      <c r="A53" s="362">
        <v>1942</v>
      </c>
      <c r="B53" s="350"/>
      <c r="C53" s="350"/>
      <c r="D53" s="350"/>
      <c r="E53" s="350"/>
      <c r="F53" s="350"/>
      <c r="G53" s="350"/>
      <c r="H53" s="350"/>
      <c r="I53" s="350"/>
      <c r="J53" s="350"/>
      <c r="K53" s="350"/>
      <c r="L53" s="350"/>
      <c r="M53" s="350"/>
      <c r="N53" s="350"/>
      <c r="O53" s="350"/>
      <c r="P53" s="350"/>
      <c r="Q53" s="350"/>
      <c r="R53" s="350"/>
      <c r="S53" s="350"/>
      <c r="T53" s="350"/>
      <c r="U53" s="350"/>
      <c r="V53" s="127">
        <v>4.7</v>
      </c>
      <c r="W53">
        <f t="shared" si="22"/>
        <v>0</v>
      </c>
      <c r="X53">
        <f t="shared" ref="X53:BA53" si="38">IF(AND(X$37-$A53&gt;$V$25,SUM($W53:W53)&lt;&gt;$V53),$V53,0)</f>
        <v>0</v>
      </c>
      <c r="Y53">
        <f t="shared" si="38"/>
        <v>0</v>
      </c>
      <c r="Z53">
        <f t="shared" si="38"/>
        <v>0</v>
      </c>
      <c r="AA53">
        <f t="shared" si="38"/>
        <v>0</v>
      </c>
      <c r="AB53">
        <f t="shared" si="38"/>
        <v>0</v>
      </c>
      <c r="AC53">
        <f t="shared" si="38"/>
        <v>0</v>
      </c>
      <c r="AD53">
        <f t="shared" si="38"/>
        <v>0</v>
      </c>
      <c r="AE53">
        <f t="shared" si="38"/>
        <v>0</v>
      </c>
      <c r="AF53">
        <f t="shared" si="38"/>
        <v>0</v>
      </c>
      <c r="AG53">
        <f t="shared" si="38"/>
        <v>0</v>
      </c>
      <c r="AH53">
        <f t="shared" si="38"/>
        <v>0</v>
      </c>
      <c r="AI53">
        <f t="shared" si="38"/>
        <v>0</v>
      </c>
      <c r="AJ53">
        <f t="shared" si="38"/>
        <v>4.7</v>
      </c>
      <c r="AK53">
        <f t="shared" si="38"/>
        <v>0</v>
      </c>
      <c r="AL53">
        <f t="shared" si="38"/>
        <v>0</v>
      </c>
      <c r="AM53">
        <f t="shared" si="38"/>
        <v>0</v>
      </c>
      <c r="AN53">
        <f t="shared" si="38"/>
        <v>0</v>
      </c>
      <c r="AO53">
        <f t="shared" si="38"/>
        <v>0</v>
      </c>
      <c r="AP53">
        <f t="shared" si="38"/>
        <v>0</v>
      </c>
      <c r="AQ53">
        <f t="shared" si="38"/>
        <v>0</v>
      </c>
      <c r="AR53">
        <f t="shared" si="38"/>
        <v>0</v>
      </c>
      <c r="AS53">
        <f t="shared" si="38"/>
        <v>0</v>
      </c>
      <c r="AT53">
        <f t="shared" si="38"/>
        <v>0</v>
      </c>
      <c r="AU53">
        <f t="shared" si="38"/>
        <v>0</v>
      </c>
      <c r="AV53">
        <f t="shared" si="38"/>
        <v>0</v>
      </c>
      <c r="AW53">
        <f t="shared" si="38"/>
        <v>0</v>
      </c>
      <c r="AX53">
        <f t="shared" si="38"/>
        <v>0</v>
      </c>
      <c r="AY53">
        <f t="shared" si="38"/>
        <v>0</v>
      </c>
      <c r="AZ53">
        <f t="shared" si="38"/>
        <v>0</v>
      </c>
      <c r="BA53">
        <f t="shared" si="38"/>
        <v>0</v>
      </c>
    </row>
    <row r="54" spans="1:53" ht="15.75" customHeight="1">
      <c r="A54" s="362">
        <v>1944</v>
      </c>
      <c r="B54" s="350"/>
      <c r="C54" s="350"/>
      <c r="D54" s="350"/>
      <c r="E54" s="350"/>
      <c r="F54" s="350"/>
      <c r="G54" s="350"/>
      <c r="H54" s="350"/>
      <c r="I54" s="350"/>
      <c r="J54" s="350"/>
      <c r="K54" s="350"/>
      <c r="L54" s="350"/>
      <c r="M54" s="350"/>
      <c r="N54" s="350"/>
      <c r="O54" s="350"/>
      <c r="P54" s="350"/>
      <c r="Q54" s="350"/>
      <c r="R54" s="350"/>
      <c r="S54" s="350"/>
      <c r="T54" s="350"/>
      <c r="U54" s="350"/>
      <c r="V54" s="127">
        <v>1.2</v>
      </c>
      <c r="W54">
        <f t="shared" si="22"/>
        <v>0</v>
      </c>
      <c r="X54">
        <f t="shared" ref="X54:BA54" si="39">IF(AND(X$37-$A54&gt;$V$25,SUM($W54:W54)&lt;&gt;$V54),$V54,0)</f>
        <v>0</v>
      </c>
      <c r="Y54">
        <f t="shared" si="39"/>
        <v>0</v>
      </c>
      <c r="Z54">
        <f t="shared" si="39"/>
        <v>0</v>
      </c>
      <c r="AA54">
        <f t="shared" si="39"/>
        <v>0</v>
      </c>
      <c r="AB54">
        <f t="shared" si="39"/>
        <v>0</v>
      </c>
      <c r="AC54">
        <f t="shared" si="39"/>
        <v>0</v>
      </c>
      <c r="AD54">
        <f t="shared" si="39"/>
        <v>0</v>
      </c>
      <c r="AE54">
        <f t="shared" si="39"/>
        <v>0</v>
      </c>
      <c r="AF54">
        <f t="shared" si="39"/>
        <v>0</v>
      </c>
      <c r="AG54">
        <f t="shared" si="39"/>
        <v>0</v>
      </c>
      <c r="AH54">
        <f t="shared" si="39"/>
        <v>0</v>
      </c>
      <c r="AI54">
        <f t="shared" si="39"/>
        <v>0</v>
      </c>
      <c r="AJ54">
        <f t="shared" si="39"/>
        <v>0</v>
      </c>
      <c r="AK54">
        <f t="shared" si="39"/>
        <v>0</v>
      </c>
      <c r="AL54">
        <f t="shared" si="39"/>
        <v>1.2</v>
      </c>
      <c r="AM54">
        <f t="shared" si="39"/>
        <v>0</v>
      </c>
      <c r="AN54">
        <f t="shared" si="39"/>
        <v>0</v>
      </c>
      <c r="AO54">
        <f t="shared" si="39"/>
        <v>0</v>
      </c>
      <c r="AP54">
        <f t="shared" si="39"/>
        <v>0</v>
      </c>
      <c r="AQ54">
        <f t="shared" si="39"/>
        <v>0</v>
      </c>
      <c r="AR54">
        <f t="shared" si="39"/>
        <v>0</v>
      </c>
      <c r="AS54">
        <f t="shared" si="39"/>
        <v>0</v>
      </c>
      <c r="AT54">
        <f t="shared" si="39"/>
        <v>0</v>
      </c>
      <c r="AU54">
        <f t="shared" si="39"/>
        <v>0</v>
      </c>
      <c r="AV54">
        <f t="shared" si="39"/>
        <v>0</v>
      </c>
      <c r="AW54">
        <f t="shared" si="39"/>
        <v>0</v>
      </c>
      <c r="AX54">
        <f t="shared" si="39"/>
        <v>0</v>
      </c>
      <c r="AY54">
        <f t="shared" si="39"/>
        <v>0</v>
      </c>
      <c r="AZ54">
        <f t="shared" si="39"/>
        <v>0</v>
      </c>
      <c r="BA54">
        <f t="shared" si="39"/>
        <v>0</v>
      </c>
    </row>
    <row r="55" spans="1:53" ht="15.75" customHeight="1">
      <c r="A55" s="362">
        <v>1945</v>
      </c>
      <c r="B55" s="350"/>
      <c r="C55" s="350"/>
      <c r="D55" s="350"/>
      <c r="E55" s="350"/>
      <c r="F55" s="350"/>
      <c r="G55" s="350"/>
      <c r="H55" s="350"/>
      <c r="I55" s="350"/>
      <c r="J55" s="350"/>
      <c r="K55" s="350"/>
      <c r="L55" s="350"/>
      <c r="M55" s="350"/>
      <c r="N55" s="350"/>
      <c r="O55" s="350"/>
      <c r="P55" s="350"/>
      <c r="Q55" s="350"/>
      <c r="R55" s="350"/>
      <c r="S55" s="350"/>
      <c r="T55" s="350"/>
      <c r="U55" s="350"/>
      <c r="V55" s="127">
        <v>4.8</v>
      </c>
      <c r="W55">
        <f t="shared" si="22"/>
        <v>0</v>
      </c>
      <c r="X55">
        <f t="shared" ref="X55:BA55" si="40">IF(AND(X$37-$A55&gt;$V$25,SUM($W55:W55)&lt;&gt;$V55),$V55,0)</f>
        <v>0</v>
      </c>
      <c r="Y55">
        <f t="shared" si="40"/>
        <v>0</v>
      </c>
      <c r="Z55">
        <f t="shared" si="40"/>
        <v>0</v>
      </c>
      <c r="AA55">
        <f t="shared" si="40"/>
        <v>0</v>
      </c>
      <c r="AB55">
        <f t="shared" si="40"/>
        <v>0</v>
      </c>
      <c r="AC55">
        <f t="shared" si="40"/>
        <v>0</v>
      </c>
      <c r="AD55">
        <f t="shared" si="40"/>
        <v>0</v>
      </c>
      <c r="AE55">
        <f t="shared" si="40"/>
        <v>0</v>
      </c>
      <c r="AF55">
        <f t="shared" si="40"/>
        <v>0</v>
      </c>
      <c r="AG55">
        <f t="shared" si="40"/>
        <v>0</v>
      </c>
      <c r="AH55">
        <f t="shared" si="40"/>
        <v>0</v>
      </c>
      <c r="AI55">
        <f t="shared" si="40"/>
        <v>0</v>
      </c>
      <c r="AJ55">
        <f t="shared" si="40"/>
        <v>0</v>
      </c>
      <c r="AK55">
        <f t="shared" si="40"/>
        <v>0</v>
      </c>
      <c r="AL55">
        <f t="shared" si="40"/>
        <v>0</v>
      </c>
      <c r="AM55">
        <f t="shared" si="40"/>
        <v>4.8</v>
      </c>
      <c r="AN55">
        <f t="shared" si="40"/>
        <v>0</v>
      </c>
      <c r="AO55">
        <f t="shared" si="40"/>
        <v>0</v>
      </c>
      <c r="AP55">
        <f t="shared" si="40"/>
        <v>0</v>
      </c>
      <c r="AQ55">
        <f t="shared" si="40"/>
        <v>0</v>
      </c>
      <c r="AR55">
        <f t="shared" si="40"/>
        <v>0</v>
      </c>
      <c r="AS55">
        <f t="shared" si="40"/>
        <v>0</v>
      </c>
      <c r="AT55">
        <f t="shared" si="40"/>
        <v>0</v>
      </c>
      <c r="AU55">
        <f t="shared" si="40"/>
        <v>0</v>
      </c>
      <c r="AV55">
        <f t="shared" si="40"/>
        <v>0</v>
      </c>
      <c r="AW55">
        <f t="shared" si="40"/>
        <v>0</v>
      </c>
      <c r="AX55">
        <f t="shared" si="40"/>
        <v>0</v>
      </c>
      <c r="AY55">
        <f t="shared" si="40"/>
        <v>0</v>
      </c>
      <c r="AZ55">
        <f t="shared" si="40"/>
        <v>0</v>
      </c>
      <c r="BA55">
        <f t="shared" si="40"/>
        <v>0</v>
      </c>
    </row>
    <row r="56" spans="1:53" ht="15.75" customHeight="1">
      <c r="A56" s="362">
        <v>1946</v>
      </c>
      <c r="B56" s="350"/>
      <c r="C56" s="350"/>
      <c r="D56" s="350"/>
      <c r="E56" s="350"/>
      <c r="F56" s="350"/>
      <c r="G56" s="350"/>
      <c r="H56" s="350"/>
      <c r="I56" s="350"/>
      <c r="J56" s="350"/>
      <c r="K56" s="350"/>
      <c r="L56" s="350"/>
      <c r="M56" s="350"/>
      <c r="N56" s="350"/>
      <c r="O56" s="350"/>
      <c r="P56" s="350"/>
      <c r="Q56" s="350"/>
      <c r="R56" s="350"/>
      <c r="S56" s="350"/>
      <c r="T56" s="350"/>
      <c r="U56" s="350"/>
      <c r="V56" s="127">
        <v>7.2</v>
      </c>
      <c r="W56">
        <f t="shared" si="22"/>
        <v>0</v>
      </c>
      <c r="X56">
        <f t="shared" ref="X56:BA56" si="41">IF(AND(X$37-$A56&gt;$V$25,SUM($W56:W56)&lt;&gt;$V56),$V56,0)</f>
        <v>0</v>
      </c>
      <c r="Y56">
        <f t="shared" si="41"/>
        <v>0</v>
      </c>
      <c r="Z56">
        <f t="shared" si="41"/>
        <v>0</v>
      </c>
      <c r="AA56">
        <f t="shared" si="41"/>
        <v>0</v>
      </c>
      <c r="AB56">
        <f t="shared" si="41"/>
        <v>0</v>
      </c>
      <c r="AC56">
        <f t="shared" si="41"/>
        <v>0</v>
      </c>
      <c r="AD56">
        <f t="shared" si="41"/>
        <v>0</v>
      </c>
      <c r="AE56">
        <f t="shared" si="41"/>
        <v>0</v>
      </c>
      <c r="AF56">
        <f t="shared" si="41"/>
        <v>0</v>
      </c>
      <c r="AG56">
        <f t="shared" si="41"/>
        <v>0</v>
      </c>
      <c r="AH56">
        <f t="shared" si="41"/>
        <v>0</v>
      </c>
      <c r="AI56">
        <f t="shared" si="41"/>
        <v>0</v>
      </c>
      <c r="AJ56">
        <f t="shared" si="41"/>
        <v>0</v>
      </c>
      <c r="AK56">
        <f t="shared" si="41"/>
        <v>0</v>
      </c>
      <c r="AL56">
        <f t="shared" si="41"/>
        <v>0</v>
      </c>
      <c r="AM56">
        <f t="shared" si="41"/>
        <v>0</v>
      </c>
      <c r="AN56">
        <f t="shared" si="41"/>
        <v>7.2</v>
      </c>
      <c r="AO56">
        <f t="shared" si="41"/>
        <v>0</v>
      </c>
      <c r="AP56">
        <f t="shared" si="41"/>
        <v>0</v>
      </c>
      <c r="AQ56">
        <f t="shared" si="41"/>
        <v>0</v>
      </c>
      <c r="AR56">
        <f t="shared" si="41"/>
        <v>0</v>
      </c>
      <c r="AS56">
        <f t="shared" si="41"/>
        <v>0</v>
      </c>
      <c r="AT56">
        <f t="shared" si="41"/>
        <v>0</v>
      </c>
      <c r="AU56">
        <f t="shared" si="41"/>
        <v>0</v>
      </c>
      <c r="AV56">
        <f t="shared" si="41"/>
        <v>0</v>
      </c>
      <c r="AW56">
        <f t="shared" si="41"/>
        <v>0</v>
      </c>
      <c r="AX56">
        <f t="shared" si="41"/>
        <v>0</v>
      </c>
      <c r="AY56">
        <f t="shared" si="41"/>
        <v>0</v>
      </c>
      <c r="AZ56">
        <f t="shared" si="41"/>
        <v>0</v>
      </c>
      <c r="BA56">
        <f t="shared" si="41"/>
        <v>0</v>
      </c>
    </row>
    <row r="57" spans="1:53" ht="15.75" customHeight="1">
      <c r="A57" s="362">
        <v>1947</v>
      </c>
      <c r="B57" s="350"/>
      <c r="C57" s="350"/>
      <c r="D57" s="350"/>
      <c r="E57" s="350"/>
      <c r="F57" s="350"/>
      <c r="G57" s="350"/>
      <c r="H57" s="350"/>
      <c r="I57" s="350"/>
      <c r="J57" s="350"/>
      <c r="K57" s="350"/>
      <c r="L57" s="350"/>
      <c r="M57" s="350"/>
      <c r="N57" s="350"/>
      <c r="O57" s="350"/>
      <c r="P57" s="350"/>
      <c r="Q57" s="350"/>
      <c r="R57" s="350"/>
      <c r="S57" s="350"/>
      <c r="T57" s="350"/>
      <c r="U57" s="350"/>
      <c r="V57" s="127">
        <v>8.6999999999999993</v>
      </c>
      <c r="W57">
        <f t="shared" si="22"/>
        <v>0</v>
      </c>
      <c r="X57">
        <f t="shared" ref="X57:BA57" si="42">IF(AND(X$37-$A57&gt;$V$25,SUM($W57:W57)&lt;&gt;$V57),$V57,0)</f>
        <v>0</v>
      </c>
      <c r="Y57">
        <f t="shared" si="42"/>
        <v>0</v>
      </c>
      <c r="Z57">
        <f t="shared" si="42"/>
        <v>0</v>
      </c>
      <c r="AA57">
        <f t="shared" si="42"/>
        <v>0</v>
      </c>
      <c r="AB57">
        <f t="shared" si="42"/>
        <v>0</v>
      </c>
      <c r="AC57">
        <f t="shared" si="42"/>
        <v>0</v>
      </c>
      <c r="AD57">
        <f t="shared" si="42"/>
        <v>0</v>
      </c>
      <c r="AE57">
        <f t="shared" si="42"/>
        <v>0</v>
      </c>
      <c r="AF57">
        <f t="shared" si="42"/>
        <v>0</v>
      </c>
      <c r="AG57">
        <f t="shared" si="42"/>
        <v>0</v>
      </c>
      <c r="AH57">
        <f t="shared" si="42"/>
        <v>0</v>
      </c>
      <c r="AI57">
        <f t="shared" si="42"/>
        <v>0</v>
      </c>
      <c r="AJ57">
        <f t="shared" si="42"/>
        <v>0</v>
      </c>
      <c r="AK57">
        <f t="shared" si="42"/>
        <v>0</v>
      </c>
      <c r="AL57">
        <f t="shared" si="42"/>
        <v>0</v>
      </c>
      <c r="AM57">
        <f t="shared" si="42"/>
        <v>0</v>
      </c>
      <c r="AN57">
        <f t="shared" si="42"/>
        <v>0</v>
      </c>
      <c r="AO57">
        <f t="shared" si="42"/>
        <v>8.6999999999999993</v>
      </c>
      <c r="AP57">
        <f t="shared" si="42"/>
        <v>0</v>
      </c>
      <c r="AQ57">
        <f t="shared" si="42"/>
        <v>0</v>
      </c>
      <c r="AR57">
        <f t="shared" si="42"/>
        <v>0</v>
      </c>
      <c r="AS57">
        <f t="shared" si="42"/>
        <v>0</v>
      </c>
      <c r="AT57">
        <f t="shared" si="42"/>
        <v>0</v>
      </c>
      <c r="AU57">
        <f t="shared" si="42"/>
        <v>0</v>
      </c>
      <c r="AV57">
        <f t="shared" si="42"/>
        <v>0</v>
      </c>
      <c r="AW57">
        <f t="shared" si="42"/>
        <v>0</v>
      </c>
      <c r="AX57">
        <f t="shared" si="42"/>
        <v>0</v>
      </c>
      <c r="AY57">
        <f t="shared" si="42"/>
        <v>0</v>
      </c>
      <c r="AZ57">
        <f t="shared" si="42"/>
        <v>0</v>
      </c>
      <c r="BA57">
        <f t="shared" si="42"/>
        <v>0</v>
      </c>
    </row>
    <row r="58" spans="1:53" ht="15.75" customHeight="1">
      <c r="A58" s="362">
        <v>1948</v>
      </c>
      <c r="B58" s="350"/>
      <c r="C58" s="350"/>
      <c r="D58" s="350"/>
      <c r="E58" s="350"/>
      <c r="F58" s="350"/>
      <c r="G58" s="350"/>
      <c r="H58" s="350"/>
      <c r="I58" s="350"/>
      <c r="J58" s="350"/>
      <c r="K58" s="350"/>
      <c r="L58" s="350"/>
      <c r="M58" s="350"/>
      <c r="N58" s="350"/>
      <c r="O58" s="350"/>
      <c r="P58" s="350"/>
      <c r="Q58" s="350"/>
      <c r="R58" s="350"/>
      <c r="S58" s="350"/>
      <c r="T58" s="350"/>
      <c r="U58" s="350"/>
      <c r="V58" s="127">
        <v>20.399999999999999</v>
      </c>
      <c r="W58">
        <f t="shared" si="22"/>
        <v>0</v>
      </c>
      <c r="X58">
        <f t="shared" ref="X58:BA58" si="43">IF(AND(X$37-$A58&gt;$V$25,SUM($W58:W58)&lt;&gt;$V58),$V58,0)</f>
        <v>0</v>
      </c>
      <c r="Y58">
        <f t="shared" si="43"/>
        <v>0</v>
      </c>
      <c r="Z58">
        <f t="shared" si="43"/>
        <v>0</v>
      </c>
      <c r="AA58">
        <f t="shared" si="43"/>
        <v>0</v>
      </c>
      <c r="AB58">
        <f t="shared" si="43"/>
        <v>0</v>
      </c>
      <c r="AC58">
        <f t="shared" si="43"/>
        <v>0</v>
      </c>
      <c r="AD58">
        <f t="shared" si="43"/>
        <v>0</v>
      </c>
      <c r="AE58">
        <f t="shared" si="43"/>
        <v>0</v>
      </c>
      <c r="AF58">
        <f t="shared" si="43"/>
        <v>0</v>
      </c>
      <c r="AG58">
        <f t="shared" si="43"/>
        <v>0</v>
      </c>
      <c r="AH58">
        <f t="shared" si="43"/>
        <v>0</v>
      </c>
      <c r="AI58">
        <f t="shared" si="43"/>
        <v>0</v>
      </c>
      <c r="AJ58">
        <f t="shared" si="43"/>
        <v>0</v>
      </c>
      <c r="AK58">
        <f t="shared" si="43"/>
        <v>0</v>
      </c>
      <c r="AL58">
        <f t="shared" si="43"/>
        <v>0</v>
      </c>
      <c r="AM58">
        <f t="shared" si="43"/>
        <v>0</v>
      </c>
      <c r="AN58">
        <f t="shared" si="43"/>
        <v>0</v>
      </c>
      <c r="AO58">
        <f t="shared" si="43"/>
        <v>0</v>
      </c>
      <c r="AP58">
        <f t="shared" si="43"/>
        <v>20.399999999999999</v>
      </c>
      <c r="AQ58">
        <f t="shared" si="43"/>
        <v>0</v>
      </c>
      <c r="AR58">
        <f t="shared" si="43"/>
        <v>0</v>
      </c>
      <c r="AS58">
        <f t="shared" si="43"/>
        <v>0</v>
      </c>
      <c r="AT58">
        <f t="shared" si="43"/>
        <v>0</v>
      </c>
      <c r="AU58">
        <f t="shared" si="43"/>
        <v>0</v>
      </c>
      <c r="AV58">
        <f t="shared" si="43"/>
        <v>0</v>
      </c>
      <c r="AW58">
        <f t="shared" si="43"/>
        <v>0</v>
      </c>
      <c r="AX58">
        <f t="shared" si="43"/>
        <v>0</v>
      </c>
      <c r="AY58">
        <f t="shared" si="43"/>
        <v>0</v>
      </c>
      <c r="AZ58">
        <f t="shared" si="43"/>
        <v>0</v>
      </c>
      <c r="BA58">
        <f t="shared" si="43"/>
        <v>0</v>
      </c>
    </row>
    <row r="59" spans="1:53" ht="15.75" customHeight="1">
      <c r="A59" s="362">
        <v>1949</v>
      </c>
      <c r="B59" s="350"/>
      <c r="C59" s="350"/>
      <c r="D59" s="350"/>
      <c r="E59" s="350"/>
      <c r="F59" s="350"/>
      <c r="G59" s="350"/>
      <c r="H59" s="350"/>
      <c r="I59" s="350"/>
      <c r="J59" s="350"/>
      <c r="K59" s="350"/>
      <c r="L59" s="350"/>
      <c r="M59" s="350"/>
      <c r="N59" s="350"/>
      <c r="O59" s="350"/>
      <c r="P59" s="350"/>
      <c r="Q59" s="350"/>
      <c r="R59" s="350"/>
      <c r="S59" s="350"/>
      <c r="T59" s="350"/>
      <c r="U59" s="350"/>
      <c r="V59" s="127">
        <v>18.7</v>
      </c>
      <c r="W59">
        <f t="shared" si="22"/>
        <v>0</v>
      </c>
      <c r="X59">
        <f t="shared" ref="X59:BA59" si="44">IF(AND(X$37-$A59&gt;$V$25,SUM($W59:W59)&lt;&gt;$V59),$V59,0)</f>
        <v>0</v>
      </c>
      <c r="Y59">
        <f t="shared" si="44"/>
        <v>0</v>
      </c>
      <c r="Z59">
        <f t="shared" si="44"/>
        <v>0</v>
      </c>
      <c r="AA59">
        <f t="shared" si="44"/>
        <v>0</v>
      </c>
      <c r="AB59">
        <f t="shared" si="44"/>
        <v>0</v>
      </c>
      <c r="AC59">
        <f t="shared" si="44"/>
        <v>0</v>
      </c>
      <c r="AD59">
        <f t="shared" si="44"/>
        <v>0</v>
      </c>
      <c r="AE59">
        <f t="shared" si="44"/>
        <v>0</v>
      </c>
      <c r="AF59">
        <f t="shared" si="44"/>
        <v>0</v>
      </c>
      <c r="AG59">
        <f t="shared" si="44"/>
        <v>0</v>
      </c>
      <c r="AH59">
        <f t="shared" si="44"/>
        <v>0</v>
      </c>
      <c r="AI59">
        <f t="shared" si="44"/>
        <v>0</v>
      </c>
      <c r="AJ59">
        <f t="shared" si="44"/>
        <v>0</v>
      </c>
      <c r="AK59">
        <f t="shared" si="44"/>
        <v>0</v>
      </c>
      <c r="AL59">
        <f t="shared" si="44"/>
        <v>0</v>
      </c>
      <c r="AM59">
        <f t="shared" si="44"/>
        <v>0</v>
      </c>
      <c r="AN59">
        <f t="shared" si="44"/>
        <v>0</v>
      </c>
      <c r="AO59">
        <f t="shared" si="44"/>
        <v>0</v>
      </c>
      <c r="AP59">
        <f t="shared" si="44"/>
        <v>0</v>
      </c>
      <c r="AQ59">
        <f t="shared" si="44"/>
        <v>18.7</v>
      </c>
      <c r="AR59">
        <f t="shared" si="44"/>
        <v>0</v>
      </c>
      <c r="AS59">
        <f t="shared" si="44"/>
        <v>0</v>
      </c>
      <c r="AT59">
        <f t="shared" si="44"/>
        <v>0</v>
      </c>
      <c r="AU59">
        <f t="shared" si="44"/>
        <v>0</v>
      </c>
      <c r="AV59">
        <f t="shared" si="44"/>
        <v>0</v>
      </c>
      <c r="AW59">
        <f t="shared" si="44"/>
        <v>0</v>
      </c>
      <c r="AX59">
        <f t="shared" si="44"/>
        <v>0</v>
      </c>
      <c r="AY59">
        <f t="shared" si="44"/>
        <v>0</v>
      </c>
      <c r="AZ59">
        <f t="shared" si="44"/>
        <v>0</v>
      </c>
      <c r="BA59">
        <f t="shared" si="44"/>
        <v>0</v>
      </c>
    </row>
    <row r="60" spans="1:53" ht="15.75" customHeight="1">
      <c r="A60" s="362">
        <v>1950</v>
      </c>
      <c r="B60" s="350"/>
      <c r="C60" s="350"/>
      <c r="D60" s="350"/>
      <c r="E60" s="350"/>
      <c r="F60" s="350"/>
      <c r="G60" s="350"/>
      <c r="H60" s="350"/>
      <c r="I60" s="350"/>
      <c r="J60" s="350"/>
      <c r="K60" s="350"/>
      <c r="L60" s="350"/>
      <c r="M60" s="350"/>
      <c r="N60" s="350"/>
      <c r="O60" s="350"/>
      <c r="P60" s="350"/>
      <c r="Q60" s="350"/>
      <c r="R60" s="350"/>
      <c r="S60" s="350"/>
      <c r="T60" s="350"/>
      <c r="U60" s="350"/>
      <c r="V60" s="127">
        <v>21</v>
      </c>
      <c r="W60">
        <f t="shared" si="22"/>
        <v>0</v>
      </c>
      <c r="X60">
        <f t="shared" ref="X60:BA60" si="45">IF(AND(X$37-$A60&gt;$V$25,SUM($W60:W60)&lt;&gt;$V60),$V60,0)</f>
        <v>0</v>
      </c>
      <c r="Y60">
        <f t="shared" si="45"/>
        <v>0</v>
      </c>
      <c r="Z60">
        <f t="shared" si="45"/>
        <v>0</v>
      </c>
      <c r="AA60">
        <f t="shared" si="45"/>
        <v>0</v>
      </c>
      <c r="AB60">
        <f t="shared" si="45"/>
        <v>0</v>
      </c>
      <c r="AC60">
        <f t="shared" si="45"/>
        <v>0</v>
      </c>
      <c r="AD60">
        <f t="shared" si="45"/>
        <v>0</v>
      </c>
      <c r="AE60">
        <f t="shared" si="45"/>
        <v>0</v>
      </c>
      <c r="AF60">
        <f t="shared" si="45"/>
        <v>0</v>
      </c>
      <c r="AG60">
        <f t="shared" si="45"/>
        <v>0</v>
      </c>
      <c r="AH60">
        <f t="shared" si="45"/>
        <v>0</v>
      </c>
      <c r="AI60">
        <f t="shared" si="45"/>
        <v>0</v>
      </c>
      <c r="AJ60">
        <f t="shared" si="45"/>
        <v>0</v>
      </c>
      <c r="AK60">
        <f t="shared" si="45"/>
        <v>0</v>
      </c>
      <c r="AL60">
        <f t="shared" si="45"/>
        <v>0</v>
      </c>
      <c r="AM60">
        <f t="shared" si="45"/>
        <v>0</v>
      </c>
      <c r="AN60">
        <f t="shared" si="45"/>
        <v>0</v>
      </c>
      <c r="AO60">
        <f t="shared" si="45"/>
        <v>0</v>
      </c>
      <c r="AP60">
        <f t="shared" si="45"/>
        <v>0</v>
      </c>
      <c r="AQ60">
        <f t="shared" si="45"/>
        <v>0</v>
      </c>
      <c r="AR60">
        <f t="shared" si="45"/>
        <v>21</v>
      </c>
      <c r="AS60">
        <f t="shared" si="45"/>
        <v>0</v>
      </c>
      <c r="AT60">
        <f t="shared" si="45"/>
        <v>0</v>
      </c>
      <c r="AU60">
        <f t="shared" si="45"/>
        <v>0</v>
      </c>
      <c r="AV60">
        <f t="shared" si="45"/>
        <v>0</v>
      </c>
      <c r="AW60">
        <f t="shared" si="45"/>
        <v>0</v>
      </c>
      <c r="AX60">
        <f t="shared" si="45"/>
        <v>0</v>
      </c>
      <c r="AY60">
        <f t="shared" si="45"/>
        <v>0</v>
      </c>
      <c r="AZ60">
        <f t="shared" si="45"/>
        <v>0</v>
      </c>
      <c r="BA60">
        <f t="shared" si="45"/>
        <v>0</v>
      </c>
    </row>
    <row r="61" spans="1:53" ht="15.75" customHeight="1">
      <c r="A61" s="362">
        <v>1951</v>
      </c>
      <c r="B61" s="350"/>
      <c r="C61" s="350"/>
      <c r="D61" s="350"/>
      <c r="E61" s="350"/>
      <c r="F61" s="350"/>
      <c r="G61" s="350"/>
      <c r="H61" s="350"/>
      <c r="I61" s="350"/>
      <c r="J61" s="350"/>
      <c r="K61" s="350"/>
      <c r="L61" s="350"/>
      <c r="M61" s="350"/>
      <c r="N61" s="350"/>
      <c r="O61" s="350"/>
      <c r="P61" s="350"/>
      <c r="Q61" s="350"/>
      <c r="R61" s="350"/>
      <c r="S61" s="350"/>
      <c r="T61" s="350"/>
      <c r="U61" s="350"/>
      <c r="V61" s="127">
        <v>16.2</v>
      </c>
      <c r="W61">
        <f t="shared" si="22"/>
        <v>0</v>
      </c>
      <c r="X61">
        <f t="shared" ref="X61:BA61" si="46">IF(AND(X$37-$A61&gt;$V$25,SUM($W61:W61)&lt;&gt;$V61),$V61,0)</f>
        <v>0</v>
      </c>
      <c r="Y61">
        <f t="shared" si="46"/>
        <v>0</v>
      </c>
      <c r="Z61">
        <f t="shared" si="46"/>
        <v>0</v>
      </c>
      <c r="AA61">
        <f t="shared" si="46"/>
        <v>0</v>
      </c>
      <c r="AB61">
        <f t="shared" si="46"/>
        <v>0</v>
      </c>
      <c r="AC61">
        <f t="shared" si="46"/>
        <v>0</v>
      </c>
      <c r="AD61">
        <f t="shared" si="46"/>
        <v>0</v>
      </c>
      <c r="AE61">
        <f t="shared" si="46"/>
        <v>0</v>
      </c>
      <c r="AF61">
        <f t="shared" si="46"/>
        <v>0</v>
      </c>
      <c r="AG61">
        <f t="shared" si="46"/>
        <v>0</v>
      </c>
      <c r="AH61">
        <f t="shared" si="46"/>
        <v>0</v>
      </c>
      <c r="AI61">
        <f t="shared" si="46"/>
        <v>0</v>
      </c>
      <c r="AJ61">
        <f t="shared" si="46"/>
        <v>0</v>
      </c>
      <c r="AK61">
        <f t="shared" si="46"/>
        <v>0</v>
      </c>
      <c r="AL61">
        <f t="shared" si="46"/>
        <v>0</v>
      </c>
      <c r="AM61">
        <f t="shared" si="46"/>
        <v>0</v>
      </c>
      <c r="AN61">
        <f t="shared" si="46"/>
        <v>0</v>
      </c>
      <c r="AO61">
        <f t="shared" si="46"/>
        <v>0</v>
      </c>
      <c r="AP61">
        <f t="shared" si="46"/>
        <v>0</v>
      </c>
      <c r="AQ61">
        <f t="shared" si="46"/>
        <v>0</v>
      </c>
      <c r="AR61">
        <f t="shared" si="46"/>
        <v>0</v>
      </c>
      <c r="AS61">
        <f t="shared" si="46"/>
        <v>16.2</v>
      </c>
      <c r="AT61">
        <f t="shared" si="46"/>
        <v>0</v>
      </c>
      <c r="AU61">
        <f t="shared" si="46"/>
        <v>0</v>
      </c>
      <c r="AV61">
        <f t="shared" si="46"/>
        <v>0</v>
      </c>
      <c r="AW61">
        <f t="shared" si="46"/>
        <v>0</v>
      </c>
      <c r="AX61">
        <f t="shared" si="46"/>
        <v>0</v>
      </c>
      <c r="AY61">
        <f t="shared" si="46"/>
        <v>0</v>
      </c>
      <c r="AZ61">
        <f t="shared" si="46"/>
        <v>0</v>
      </c>
      <c r="BA61">
        <f t="shared" si="46"/>
        <v>0</v>
      </c>
    </row>
    <row r="62" spans="1:53" ht="15.75" customHeight="1">
      <c r="A62" s="362">
        <v>1952</v>
      </c>
      <c r="B62" s="350"/>
      <c r="C62" s="350"/>
      <c r="D62" s="350"/>
      <c r="E62" s="350"/>
      <c r="F62" s="350"/>
      <c r="G62" s="350"/>
      <c r="H62" s="350"/>
      <c r="I62" s="350"/>
      <c r="J62" s="350"/>
      <c r="K62" s="350"/>
      <c r="L62" s="350"/>
      <c r="M62" s="350"/>
      <c r="N62" s="350"/>
      <c r="O62" s="350"/>
      <c r="P62" s="350"/>
      <c r="Q62" s="350"/>
      <c r="R62" s="350"/>
      <c r="S62" s="350"/>
      <c r="T62" s="350"/>
      <c r="U62" s="350"/>
      <c r="V62" s="127">
        <v>25</v>
      </c>
      <c r="W62">
        <f t="shared" si="22"/>
        <v>0</v>
      </c>
      <c r="X62">
        <f t="shared" ref="X62:BA62" si="47">IF(AND(X$37-$A62&gt;$V$25,SUM($W62:W62)&lt;&gt;$V62),$V62,0)</f>
        <v>0</v>
      </c>
      <c r="Y62">
        <f t="shared" si="47"/>
        <v>0</v>
      </c>
      <c r="Z62">
        <f t="shared" si="47"/>
        <v>0</v>
      </c>
      <c r="AA62">
        <f t="shared" si="47"/>
        <v>0</v>
      </c>
      <c r="AB62">
        <f t="shared" si="47"/>
        <v>0</v>
      </c>
      <c r="AC62">
        <f t="shared" si="47"/>
        <v>0</v>
      </c>
      <c r="AD62">
        <f t="shared" si="47"/>
        <v>0</v>
      </c>
      <c r="AE62">
        <f t="shared" si="47"/>
        <v>0</v>
      </c>
      <c r="AF62">
        <f t="shared" si="47"/>
        <v>0</v>
      </c>
      <c r="AG62">
        <f t="shared" si="47"/>
        <v>0</v>
      </c>
      <c r="AH62">
        <f t="shared" si="47"/>
        <v>0</v>
      </c>
      <c r="AI62">
        <f t="shared" si="47"/>
        <v>0</v>
      </c>
      <c r="AJ62">
        <f t="shared" si="47"/>
        <v>0</v>
      </c>
      <c r="AK62">
        <f t="shared" si="47"/>
        <v>0</v>
      </c>
      <c r="AL62">
        <f t="shared" si="47"/>
        <v>0</v>
      </c>
      <c r="AM62">
        <f t="shared" si="47"/>
        <v>0</v>
      </c>
      <c r="AN62">
        <f t="shared" si="47"/>
        <v>0</v>
      </c>
      <c r="AO62">
        <f t="shared" si="47"/>
        <v>0</v>
      </c>
      <c r="AP62">
        <f t="shared" si="47"/>
        <v>0</v>
      </c>
      <c r="AQ62">
        <f t="shared" si="47"/>
        <v>0</v>
      </c>
      <c r="AR62">
        <f t="shared" si="47"/>
        <v>0</v>
      </c>
      <c r="AS62">
        <f t="shared" si="47"/>
        <v>0</v>
      </c>
      <c r="AT62">
        <f t="shared" si="47"/>
        <v>25</v>
      </c>
      <c r="AU62">
        <f t="shared" si="47"/>
        <v>0</v>
      </c>
      <c r="AV62">
        <f t="shared" si="47"/>
        <v>0</v>
      </c>
      <c r="AW62">
        <f t="shared" si="47"/>
        <v>0</v>
      </c>
      <c r="AX62">
        <f t="shared" si="47"/>
        <v>0</v>
      </c>
      <c r="AY62">
        <f t="shared" si="47"/>
        <v>0</v>
      </c>
      <c r="AZ62">
        <f t="shared" si="47"/>
        <v>0</v>
      </c>
      <c r="BA62">
        <f t="shared" si="47"/>
        <v>0</v>
      </c>
    </row>
    <row r="63" spans="1:53" ht="15.75" customHeight="1">
      <c r="A63" s="362">
        <v>1953</v>
      </c>
      <c r="B63" s="350"/>
      <c r="C63" s="350"/>
      <c r="D63" s="350"/>
      <c r="E63" s="350"/>
      <c r="F63" s="350"/>
      <c r="G63" s="350"/>
      <c r="H63" s="350"/>
      <c r="I63" s="350"/>
      <c r="J63" s="350"/>
      <c r="K63" s="350"/>
      <c r="L63" s="350"/>
      <c r="M63" s="350"/>
      <c r="N63" s="350"/>
      <c r="O63" s="350"/>
      <c r="P63" s="350"/>
      <c r="Q63" s="350"/>
      <c r="R63" s="350"/>
      <c r="S63" s="350"/>
      <c r="T63" s="350"/>
      <c r="U63" s="350"/>
      <c r="V63" s="127">
        <v>10.6</v>
      </c>
      <c r="W63">
        <f t="shared" si="22"/>
        <v>0</v>
      </c>
      <c r="X63">
        <f t="shared" ref="X63:AZ63" si="48">IF(AND(X$37-$A63&gt;$V$25,SUM($W63:W63)&lt;&gt;$V63),$V63,0)</f>
        <v>0</v>
      </c>
      <c r="Y63">
        <f t="shared" si="48"/>
        <v>0</v>
      </c>
      <c r="Z63">
        <f t="shared" si="48"/>
        <v>0</v>
      </c>
      <c r="AA63">
        <f t="shared" si="48"/>
        <v>0</v>
      </c>
      <c r="AB63">
        <f t="shared" si="48"/>
        <v>0</v>
      </c>
      <c r="AC63">
        <f t="shared" si="48"/>
        <v>0</v>
      </c>
      <c r="AD63">
        <f t="shared" si="48"/>
        <v>0</v>
      </c>
      <c r="AE63">
        <f t="shared" si="48"/>
        <v>0</v>
      </c>
      <c r="AF63">
        <f t="shared" si="48"/>
        <v>0</v>
      </c>
      <c r="AG63">
        <f t="shared" si="48"/>
        <v>0</v>
      </c>
      <c r="AH63">
        <f t="shared" si="48"/>
        <v>0</v>
      </c>
      <c r="AI63">
        <f t="shared" si="48"/>
        <v>0</v>
      </c>
      <c r="AJ63">
        <f t="shared" si="48"/>
        <v>0</v>
      </c>
      <c r="AK63">
        <f t="shared" si="48"/>
        <v>0</v>
      </c>
      <c r="AL63">
        <f t="shared" si="48"/>
        <v>0</v>
      </c>
      <c r="AM63">
        <f t="shared" si="48"/>
        <v>0</v>
      </c>
      <c r="AN63">
        <f t="shared" si="48"/>
        <v>0</v>
      </c>
      <c r="AO63">
        <f t="shared" si="48"/>
        <v>0</v>
      </c>
      <c r="AP63">
        <f t="shared" si="48"/>
        <v>0</v>
      </c>
      <c r="AQ63">
        <f t="shared" si="48"/>
        <v>0</v>
      </c>
      <c r="AR63">
        <f t="shared" si="48"/>
        <v>0</v>
      </c>
      <c r="AS63">
        <f t="shared" si="48"/>
        <v>0</v>
      </c>
      <c r="AT63">
        <f t="shared" si="48"/>
        <v>0</v>
      </c>
      <c r="AU63">
        <f t="shared" si="48"/>
        <v>10.6</v>
      </c>
      <c r="AV63">
        <f t="shared" si="48"/>
        <v>0</v>
      </c>
      <c r="AW63">
        <f t="shared" si="48"/>
        <v>0</v>
      </c>
      <c r="AX63">
        <f t="shared" si="48"/>
        <v>0</v>
      </c>
      <c r="AY63">
        <f t="shared" si="48"/>
        <v>0</v>
      </c>
      <c r="AZ63">
        <f t="shared" si="48"/>
        <v>0</v>
      </c>
    </row>
    <row r="64" spans="1:53" ht="15.75" customHeight="1">
      <c r="A64" s="362">
        <v>1954</v>
      </c>
      <c r="V64" s="127">
        <v>94.2</v>
      </c>
      <c r="W64">
        <f t="shared" si="22"/>
        <v>0</v>
      </c>
      <c r="X64">
        <f t="shared" ref="X64:AZ64" si="49">IF(AND(X$37-$A64&gt;$V$25,SUM($W64:W64)&lt;&gt;$V64),$V64,0)</f>
        <v>0</v>
      </c>
      <c r="Y64">
        <f t="shared" si="49"/>
        <v>0</v>
      </c>
      <c r="Z64">
        <f t="shared" si="49"/>
        <v>0</v>
      </c>
      <c r="AA64">
        <f t="shared" si="49"/>
        <v>0</v>
      </c>
      <c r="AB64">
        <f t="shared" si="49"/>
        <v>0</v>
      </c>
      <c r="AC64">
        <f t="shared" si="49"/>
        <v>0</v>
      </c>
      <c r="AD64">
        <f t="shared" si="49"/>
        <v>0</v>
      </c>
      <c r="AE64">
        <f t="shared" si="49"/>
        <v>0</v>
      </c>
      <c r="AF64">
        <f t="shared" si="49"/>
        <v>0</v>
      </c>
      <c r="AG64">
        <f t="shared" si="49"/>
        <v>0</v>
      </c>
      <c r="AH64">
        <f t="shared" si="49"/>
        <v>0</v>
      </c>
      <c r="AI64">
        <f t="shared" si="49"/>
        <v>0</v>
      </c>
      <c r="AJ64">
        <f t="shared" si="49"/>
        <v>0</v>
      </c>
      <c r="AK64">
        <f t="shared" si="49"/>
        <v>0</v>
      </c>
      <c r="AL64">
        <f t="shared" si="49"/>
        <v>0</v>
      </c>
      <c r="AM64">
        <f t="shared" si="49"/>
        <v>0</v>
      </c>
      <c r="AN64">
        <f t="shared" si="49"/>
        <v>0</v>
      </c>
      <c r="AO64">
        <f t="shared" si="49"/>
        <v>0</v>
      </c>
      <c r="AP64">
        <f t="shared" si="49"/>
        <v>0</v>
      </c>
      <c r="AQ64">
        <f t="shared" si="49"/>
        <v>0</v>
      </c>
      <c r="AR64">
        <f t="shared" si="49"/>
        <v>0</v>
      </c>
      <c r="AS64">
        <f t="shared" si="49"/>
        <v>0</v>
      </c>
      <c r="AT64">
        <f t="shared" si="49"/>
        <v>0</v>
      </c>
      <c r="AU64">
        <f t="shared" si="49"/>
        <v>0</v>
      </c>
      <c r="AV64">
        <f t="shared" si="49"/>
        <v>94.2</v>
      </c>
      <c r="AW64">
        <f t="shared" si="49"/>
        <v>0</v>
      </c>
      <c r="AX64">
        <f t="shared" si="49"/>
        <v>0</v>
      </c>
      <c r="AY64">
        <f t="shared" si="49"/>
        <v>0</v>
      </c>
      <c r="AZ64">
        <f t="shared" si="49"/>
        <v>0</v>
      </c>
    </row>
    <row r="65" spans="1:52" ht="15.75" customHeight="1">
      <c r="A65" s="362">
        <v>1955</v>
      </c>
      <c r="V65" s="127">
        <v>177.4</v>
      </c>
      <c r="W65">
        <f t="shared" si="22"/>
        <v>0</v>
      </c>
      <c r="X65">
        <f t="shared" ref="X65:AZ65" si="50">IF(AND(X$37-$A65&gt;$V$25,SUM($W65:W65)&lt;&gt;$V65),$V65,0)</f>
        <v>0</v>
      </c>
      <c r="Y65">
        <f t="shared" si="50"/>
        <v>0</v>
      </c>
      <c r="Z65">
        <f t="shared" si="50"/>
        <v>0</v>
      </c>
      <c r="AA65">
        <f t="shared" si="50"/>
        <v>0</v>
      </c>
      <c r="AB65">
        <f t="shared" si="50"/>
        <v>0</v>
      </c>
      <c r="AC65">
        <f t="shared" si="50"/>
        <v>0</v>
      </c>
      <c r="AD65">
        <f t="shared" si="50"/>
        <v>0</v>
      </c>
      <c r="AE65">
        <f t="shared" si="50"/>
        <v>0</v>
      </c>
      <c r="AF65">
        <f t="shared" si="50"/>
        <v>0</v>
      </c>
      <c r="AG65">
        <f t="shared" si="50"/>
        <v>0</v>
      </c>
      <c r="AH65">
        <f t="shared" si="50"/>
        <v>0</v>
      </c>
      <c r="AI65">
        <f t="shared" si="50"/>
        <v>0</v>
      </c>
      <c r="AJ65">
        <f t="shared" si="50"/>
        <v>0</v>
      </c>
      <c r="AK65">
        <f t="shared" si="50"/>
        <v>0</v>
      </c>
      <c r="AL65">
        <f t="shared" si="50"/>
        <v>0</v>
      </c>
      <c r="AM65">
        <f t="shared" si="50"/>
        <v>0</v>
      </c>
      <c r="AN65">
        <f t="shared" si="50"/>
        <v>0</v>
      </c>
      <c r="AO65">
        <f t="shared" si="50"/>
        <v>0</v>
      </c>
      <c r="AP65">
        <f t="shared" si="50"/>
        <v>0</v>
      </c>
      <c r="AQ65">
        <f t="shared" si="50"/>
        <v>0</v>
      </c>
      <c r="AR65">
        <f t="shared" si="50"/>
        <v>0</v>
      </c>
      <c r="AS65">
        <f t="shared" si="50"/>
        <v>0</v>
      </c>
      <c r="AT65">
        <f t="shared" si="50"/>
        <v>0</v>
      </c>
      <c r="AU65">
        <f t="shared" si="50"/>
        <v>0</v>
      </c>
      <c r="AV65">
        <f t="shared" si="50"/>
        <v>0</v>
      </c>
      <c r="AW65">
        <f t="shared" si="50"/>
        <v>177.4</v>
      </c>
      <c r="AX65">
        <f t="shared" si="50"/>
        <v>0</v>
      </c>
      <c r="AY65">
        <f t="shared" si="50"/>
        <v>0</v>
      </c>
      <c r="AZ65">
        <f t="shared" si="50"/>
        <v>0</v>
      </c>
    </row>
    <row r="66" spans="1:52" ht="15.75" customHeight="1">
      <c r="A66" s="362">
        <v>1956</v>
      </c>
      <c r="V66" s="127">
        <v>25.6</v>
      </c>
      <c r="W66">
        <f t="shared" si="22"/>
        <v>0</v>
      </c>
      <c r="X66">
        <f t="shared" ref="X66:AZ66" si="51">IF(AND(X$37-$A66&gt;$V$25,SUM($W66:W66)&lt;&gt;$V66),$V66,0)</f>
        <v>0</v>
      </c>
      <c r="Y66">
        <f t="shared" si="51"/>
        <v>0</v>
      </c>
      <c r="Z66">
        <f t="shared" si="51"/>
        <v>0</v>
      </c>
      <c r="AA66">
        <f t="shared" si="51"/>
        <v>0</v>
      </c>
      <c r="AB66">
        <f t="shared" si="51"/>
        <v>0</v>
      </c>
      <c r="AC66">
        <f t="shared" si="51"/>
        <v>0</v>
      </c>
      <c r="AD66">
        <f t="shared" si="51"/>
        <v>0</v>
      </c>
      <c r="AE66">
        <f t="shared" si="51"/>
        <v>0</v>
      </c>
      <c r="AF66">
        <f t="shared" si="51"/>
        <v>0</v>
      </c>
      <c r="AG66">
        <f t="shared" si="51"/>
        <v>0</v>
      </c>
      <c r="AH66">
        <f t="shared" si="51"/>
        <v>0</v>
      </c>
      <c r="AI66">
        <f t="shared" si="51"/>
        <v>0</v>
      </c>
      <c r="AJ66">
        <f t="shared" si="51"/>
        <v>0</v>
      </c>
      <c r="AK66">
        <f t="shared" si="51"/>
        <v>0</v>
      </c>
      <c r="AL66">
        <f t="shared" si="51"/>
        <v>0</v>
      </c>
      <c r="AM66">
        <f t="shared" si="51"/>
        <v>0</v>
      </c>
      <c r="AN66">
        <f t="shared" si="51"/>
        <v>0</v>
      </c>
      <c r="AO66">
        <f t="shared" si="51"/>
        <v>0</v>
      </c>
      <c r="AP66">
        <f t="shared" si="51"/>
        <v>0</v>
      </c>
      <c r="AQ66">
        <f t="shared" si="51"/>
        <v>0</v>
      </c>
      <c r="AR66">
        <f t="shared" si="51"/>
        <v>0</v>
      </c>
      <c r="AS66">
        <f t="shared" si="51"/>
        <v>0</v>
      </c>
      <c r="AT66">
        <f t="shared" si="51"/>
        <v>0</v>
      </c>
      <c r="AU66">
        <f t="shared" si="51"/>
        <v>0</v>
      </c>
      <c r="AV66">
        <f t="shared" si="51"/>
        <v>0</v>
      </c>
      <c r="AW66">
        <f t="shared" si="51"/>
        <v>0</v>
      </c>
      <c r="AX66">
        <f t="shared" si="51"/>
        <v>25.6</v>
      </c>
      <c r="AY66">
        <f t="shared" si="51"/>
        <v>0</v>
      </c>
      <c r="AZ66">
        <f t="shared" si="51"/>
        <v>0</v>
      </c>
    </row>
    <row r="67" spans="1:52" ht="15.75" customHeight="1">
      <c r="A67" s="362">
        <v>1957</v>
      </c>
      <c r="V67" s="127">
        <v>67.599999999999994</v>
      </c>
      <c r="W67">
        <f t="shared" si="22"/>
        <v>0</v>
      </c>
      <c r="X67">
        <f t="shared" ref="X67:AZ67" si="52">IF(AND(X$37-$A67&gt;$V$25,SUM($W67:W67)&lt;&gt;$V67),$V67,0)</f>
        <v>0</v>
      </c>
      <c r="Y67">
        <f t="shared" si="52"/>
        <v>0</v>
      </c>
      <c r="Z67">
        <f t="shared" si="52"/>
        <v>0</v>
      </c>
      <c r="AA67">
        <f t="shared" si="52"/>
        <v>0</v>
      </c>
      <c r="AB67">
        <f t="shared" si="52"/>
        <v>0</v>
      </c>
      <c r="AC67">
        <f t="shared" si="52"/>
        <v>0</v>
      </c>
      <c r="AD67">
        <f t="shared" si="52"/>
        <v>0</v>
      </c>
      <c r="AE67">
        <f t="shared" si="52"/>
        <v>0</v>
      </c>
      <c r="AF67">
        <f t="shared" si="52"/>
        <v>0</v>
      </c>
      <c r="AG67">
        <f t="shared" si="52"/>
        <v>0</v>
      </c>
      <c r="AH67">
        <f t="shared" si="52"/>
        <v>0</v>
      </c>
      <c r="AI67">
        <f t="shared" si="52"/>
        <v>0</v>
      </c>
      <c r="AJ67">
        <f t="shared" si="52"/>
        <v>0</v>
      </c>
      <c r="AK67">
        <f t="shared" si="52"/>
        <v>0</v>
      </c>
      <c r="AL67">
        <f t="shared" si="52"/>
        <v>0</v>
      </c>
      <c r="AM67">
        <f t="shared" si="52"/>
        <v>0</v>
      </c>
      <c r="AN67">
        <f t="shared" si="52"/>
        <v>0</v>
      </c>
      <c r="AO67">
        <f t="shared" si="52"/>
        <v>0</v>
      </c>
      <c r="AP67">
        <f t="shared" si="52"/>
        <v>0</v>
      </c>
      <c r="AQ67">
        <f t="shared" si="52"/>
        <v>0</v>
      </c>
      <c r="AR67">
        <f t="shared" si="52"/>
        <v>0</v>
      </c>
      <c r="AS67">
        <f t="shared" si="52"/>
        <v>0</v>
      </c>
      <c r="AT67">
        <f t="shared" si="52"/>
        <v>0</v>
      </c>
      <c r="AU67">
        <f t="shared" si="52"/>
        <v>0</v>
      </c>
      <c r="AV67">
        <f t="shared" si="52"/>
        <v>0</v>
      </c>
      <c r="AW67">
        <f t="shared" si="52"/>
        <v>0</v>
      </c>
      <c r="AX67">
        <f t="shared" si="52"/>
        <v>0</v>
      </c>
      <c r="AY67">
        <f t="shared" si="52"/>
        <v>67.599999999999994</v>
      </c>
      <c r="AZ67">
        <f t="shared" si="52"/>
        <v>0</v>
      </c>
    </row>
    <row r="68" spans="1:52" ht="15.75" customHeight="1">
      <c r="A68" s="362">
        <v>1958</v>
      </c>
      <c r="V68" s="127">
        <v>71.599999999999994</v>
      </c>
      <c r="W68">
        <f t="shared" si="22"/>
        <v>0</v>
      </c>
      <c r="X68">
        <f t="shared" ref="X68:AZ68" si="53">IF(AND(X$37-$A68&gt;$V$25,SUM($W68:W68)&lt;&gt;$V68),$V68,0)</f>
        <v>0</v>
      </c>
      <c r="Y68">
        <f t="shared" si="53"/>
        <v>0</v>
      </c>
      <c r="Z68">
        <f t="shared" si="53"/>
        <v>0</v>
      </c>
      <c r="AA68">
        <f t="shared" si="53"/>
        <v>0</v>
      </c>
      <c r="AB68">
        <f t="shared" si="53"/>
        <v>0</v>
      </c>
      <c r="AC68">
        <f t="shared" si="53"/>
        <v>0</v>
      </c>
      <c r="AD68">
        <f t="shared" si="53"/>
        <v>0</v>
      </c>
      <c r="AE68">
        <f t="shared" si="53"/>
        <v>0</v>
      </c>
      <c r="AF68">
        <f t="shared" si="53"/>
        <v>0</v>
      </c>
      <c r="AG68">
        <f t="shared" si="53"/>
        <v>0</v>
      </c>
      <c r="AH68">
        <f t="shared" si="53"/>
        <v>0</v>
      </c>
      <c r="AI68">
        <f t="shared" si="53"/>
        <v>0</v>
      </c>
      <c r="AJ68">
        <f t="shared" si="53"/>
        <v>0</v>
      </c>
      <c r="AK68">
        <f t="shared" si="53"/>
        <v>0</v>
      </c>
      <c r="AL68">
        <f t="shared" si="53"/>
        <v>0</v>
      </c>
      <c r="AM68">
        <f t="shared" si="53"/>
        <v>0</v>
      </c>
      <c r="AN68">
        <f t="shared" si="53"/>
        <v>0</v>
      </c>
      <c r="AO68">
        <f t="shared" si="53"/>
        <v>0</v>
      </c>
      <c r="AP68">
        <f t="shared" si="53"/>
        <v>0</v>
      </c>
      <c r="AQ68">
        <f t="shared" si="53"/>
        <v>0</v>
      </c>
      <c r="AR68">
        <f t="shared" si="53"/>
        <v>0</v>
      </c>
      <c r="AS68">
        <f t="shared" si="53"/>
        <v>0</v>
      </c>
      <c r="AT68">
        <f t="shared" si="53"/>
        <v>0</v>
      </c>
      <c r="AU68">
        <f t="shared" si="53"/>
        <v>0</v>
      </c>
      <c r="AV68">
        <f t="shared" si="53"/>
        <v>0</v>
      </c>
      <c r="AW68">
        <f t="shared" si="53"/>
        <v>0</v>
      </c>
      <c r="AX68">
        <f t="shared" si="53"/>
        <v>0</v>
      </c>
      <c r="AY68">
        <f t="shared" si="53"/>
        <v>0</v>
      </c>
      <c r="AZ68">
        <f t="shared" si="53"/>
        <v>71.599999999999994</v>
      </c>
    </row>
    <row r="69" spans="1:52" ht="15.75" customHeight="1">
      <c r="A69" s="362">
        <v>1959</v>
      </c>
      <c r="V69" s="127">
        <v>225.5</v>
      </c>
      <c r="W69">
        <f t="shared" si="22"/>
        <v>0</v>
      </c>
      <c r="X69">
        <f t="shared" ref="X69:AZ69" si="54">IF(AND(X$37-$A69&gt;$V$25,SUM($W69:W69)&lt;&gt;$V69),$V69,0)</f>
        <v>0</v>
      </c>
      <c r="Y69">
        <f t="shared" si="54"/>
        <v>0</v>
      </c>
      <c r="Z69">
        <f t="shared" si="54"/>
        <v>0</v>
      </c>
      <c r="AA69">
        <f t="shared" si="54"/>
        <v>0</v>
      </c>
      <c r="AB69">
        <f t="shared" si="54"/>
        <v>0</v>
      </c>
      <c r="AC69">
        <f t="shared" si="54"/>
        <v>0</v>
      </c>
      <c r="AD69">
        <f t="shared" si="54"/>
        <v>0</v>
      </c>
      <c r="AE69">
        <f t="shared" si="54"/>
        <v>0</v>
      </c>
      <c r="AF69">
        <f t="shared" si="54"/>
        <v>0</v>
      </c>
      <c r="AG69">
        <f t="shared" si="54"/>
        <v>0</v>
      </c>
      <c r="AH69">
        <f t="shared" si="54"/>
        <v>0</v>
      </c>
      <c r="AI69">
        <f t="shared" si="54"/>
        <v>0</v>
      </c>
      <c r="AJ69">
        <f t="shared" si="54"/>
        <v>0</v>
      </c>
      <c r="AK69">
        <f t="shared" si="54"/>
        <v>0</v>
      </c>
      <c r="AL69">
        <f t="shared" si="54"/>
        <v>0</v>
      </c>
      <c r="AM69">
        <f t="shared" si="54"/>
        <v>0</v>
      </c>
      <c r="AN69">
        <f t="shared" si="54"/>
        <v>0</v>
      </c>
      <c r="AO69">
        <f t="shared" si="54"/>
        <v>0</v>
      </c>
      <c r="AP69">
        <f t="shared" si="54"/>
        <v>0</v>
      </c>
      <c r="AQ69">
        <f t="shared" si="54"/>
        <v>0</v>
      </c>
      <c r="AR69">
        <f t="shared" si="54"/>
        <v>0</v>
      </c>
      <c r="AS69">
        <f t="shared" si="54"/>
        <v>0</v>
      </c>
      <c r="AT69">
        <f t="shared" si="54"/>
        <v>0</v>
      </c>
      <c r="AU69">
        <f t="shared" si="54"/>
        <v>0</v>
      </c>
      <c r="AV69">
        <f t="shared" si="54"/>
        <v>0</v>
      </c>
      <c r="AW69">
        <f t="shared" si="54"/>
        <v>0</v>
      </c>
      <c r="AX69">
        <f t="shared" si="54"/>
        <v>0</v>
      </c>
      <c r="AY69">
        <f t="shared" si="54"/>
        <v>0</v>
      </c>
      <c r="AZ69">
        <f t="shared" si="54"/>
        <v>0</v>
      </c>
    </row>
    <row r="70" spans="1:52" ht="15.75" customHeight="1">
      <c r="A70" s="362">
        <v>1960</v>
      </c>
      <c r="V70" s="127">
        <v>37.299999999999997</v>
      </c>
      <c r="W70">
        <f t="shared" si="22"/>
        <v>0</v>
      </c>
      <c r="X70">
        <f t="shared" ref="X70:AZ70" si="55">IF(AND(X$37-$A70&gt;$V$25,SUM($W70:W70)&lt;&gt;$V70),$V70,0)</f>
        <v>0</v>
      </c>
      <c r="Y70">
        <f t="shared" si="55"/>
        <v>0</v>
      </c>
      <c r="Z70">
        <f t="shared" si="55"/>
        <v>0</v>
      </c>
      <c r="AA70">
        <f t="shared" si="55"/>
        <v>0</v>
      </c>
      <c r="AB70">
        <f t="shared" si="55"/>
        <v>0</v>
      </c>
      <c r="AC70">
        <f t="shared" si="55"/>
        <v>0</v>
      </c>
      <c r="AD70">
        <f t="shared" si="55"/>
        <v>0</v>
      </c>
      <c r="AE70">
        <f t="shared" si="55"/>
        <v>0</v>
      </c>
      <c r="AF70">
        <f t="shared" si="55"/>
        <v>0</v>
      </c>
      <c r="AG70">
        <f t="shared" si="55"/>
        <v>0</v>
      </c>
      <c r="AH70">
        <f t="shared" si="55"/>
        <v>0</v>
      </c>
      <c r="AI70">
        <f t="shared" si="55"/>
        <v>0</v>
      </c>
      <c r="AJ70">
        <f t="shared" si="55"/>
        <v>0</v>
      </c>
      <c r="AK70">
        <f t="shared" si="55"/>
        <v>0</v>
      </c>
      <c r="AL70">
        <f t="shared" si="55"/>
        <v>0</v>
      </c>
      <c r="AM70">
        <f t="shared" si="55"/>
        <v>0</v>
      </c>
      <c r="AN70">
        <f t="shared" si="55"/>
        <v>0</v>
      </c>
      <c r="AO70">
        <f t="shared" si="55"/>
        <v>0</v>
      </c>
      <c r="AP70">
        <f t="shared" si="55"/>
        <v>0</v>
      </c>
      <c r="AQ70">
        <f t="shared" si="55"/>
        <v>0</v>
      </c>
      <c r="AR70">
        <f t="shared" si="55"/>
        <v>0</v>
      </c>
      <c r="AS70">
        <f t="shared" si="55"/>
        <v>0</v>
      </c>
      <c r="AT70">
        <f t="shared" si="55"/>
        <v>0</v>
      </c>
      <c r="AU70">
        <f t="shared" si="55"/>
        <v>0</v>
      </c>
      <c r="AV70">
        <f t="shared" si="55"/>
        <v>0</v>
      </c>
      <c r="AW70">
        <f t="shared" si="55"/>
        <v>0</v>
      </c>
      <c r="AX70">
        <f t="shared" si="55"/>
        <v>0</v>
      </c>
      <c r="AY70">
        <f t="shared" si="55"/>
        <v>0</v>
      </c>
      <c r="AZ70">
        <f t="shared" si="55"/>
        <v>0</v>
      </c>
    </row>
    <row r="71" spans="1:52" ht="15.75" customHeight="1">
      <c r="A71" s="362">
        <v>1961</v>
      </c>
      <c r="V71" s="127">
        <v>29</v>
      </c>
      <c r="W71">
        <f t="shared" si="22"/>
        <v>0</v>
      </c>
      <c r="X71">
        <f t="shared" ref="X71:AZ71" si="56">IF(AND(X$37-$A71&gt;$V$25,SUM($W71:W71)&lt;&gt;$V71),$V71,0)</f>
        <v>0</v>
      </c>
      <c r="Y71">
        <f t="shared" si="56"/>
        <v>0</v>
      </c>
      <c r="Z71">
        <f t="shared" si="56"/>
        <v>0</v>
      </c>
      <c r="AA71">
        <f t="shared" si="56"/>
        <v>0</v>
      </c>
      <c r="AB71">
        <f t="shared" si="56"/>
        <v>0</v>
      </c>
      <c r="AC71">
        <f t="shared" si="56"/>
        <v>0</v>
      </c>
      <c r="AD71">
        <f t="shared" si="56"/>
        <v>0</v>
      </c>
      <c r="AE71">
        <f t="shared" si="56"/>
        <v>0</v>
      </c>
      <c r="AF71">
        <f t="shared" si="56"/>
        <v>0</v>
      </c>
      <c r="AG71">
        <f t="shared" si="56"/>
        <v>0</v>
      </c>
      <c r="AH71">
        <f t="shared" si="56"/>
        <v>0</v>
      </c>
      <c r="AI71">
        <f t="shared" si="56"/>
        <v>0</v>
      </c>
      <c r="AJ71">
        <f t="shared" si="56"/>
        <v>0</v>
      </c>
      <c r="AK71">
        <f t="shared" si="56"/>
        <v>0</v>
      </c>
      <c r="AL71">
        <f t="shared" si="56"/>
        <v>0</v>
      </c>
      <c r="AM71">
        <f t="shared" si="56"/>
        <v>0</v>
      </c>
      <c r="AN71">
        <f t="shared" si="56"/>
        <v>0</v>
      </c>
      <c r="AO71">
        <f t="shared" si="56"/>
        <v>0</v>
      </c>
      <c r="AP71">
        <f t="shared" si="56"/>
        <v>0</v>
      </c>
      <c r="AQ71">
        <f t="shared" si="56"/>
        <v>0</v>
      </c>
      <c r="AR71">
        <f t="shared" si="56"/>
        <v>0</v>
      </c>
      <c r="AS71">
        <f t="shared" si="56"/>
        <v>0</v>
      </c>
      <c r="AT71">
        <f t="shared" si="56"/>
        <v>0</v>
      </c>
      <c r="AU71">
        <f t="shared" si="56"/>
        <v>0</v>
      </c>
      <c r="AV71">
        <f t="shared" si="56"/>
        <v>0</v>
      </c>
      <c r="AW71">
        <f t="shared" si="56"/>
        <v>0</v>
      </c>
      <c r="AX71">
        <f t="shared" si="56"/>
        <v>0</v>
      </c>
      <c r="AY71">
        <f t="shared" si="56"/>
        <v>0</v>
      </c>
      <c r="AZ71">
        <f t="shared" si="56"/>
        <v>0</v>
      </c>
    </row>
    <row r="72" spans="1:52" ht="15.75" customHeight="1">
      <c r="A72" s="362">
        <v>1962</v>
      </c>
      <c r="V72" s="127">
        <v>62.4</v>
      </c>
      <c r="W72">
        <f t="shared" si="22"/>
        <v>0</v>
      </c>
      <c r="X72">
        <f t="shared" ref="X72:AZ72" si="57">IF(AND(X$37-$A72&gt;$V$25,SUM($W72:W72)&lt;&gt;$V72),$V72,0)</f>
        <v>0</v>
      </c>
      <c r="Y72">
        <f t="shared" si="57"/>
        <v>0</v>
      </c>
      <c r="Z72">
        <f t="shared" si="57"/>
        <v>0</v>
      </c>
      <c r="AA72">
        <f t="shared" si="57"/>
        <v>0</v>
      </c>
      <c r="AB72">
        <f t="shared" si="57"/>
        <v>0</v>
      </c>
      <c r="AC72">
        <f t="shared" si="57"/>
        <v>0</v>
      </c>
      <c r="AD72">
        <f t="shared" si="57"/>
        <v>0</v>
      </c>
      <c r="AE72">
        <f t="shared" si="57"/>
        <v>0</v>
      </c>
      <c r="AF72">
        <f t="shared" si="57"/>
        <v>0</v>
      </c>
      <c r="AG72">
        <f t="shared" si="57"/>
        <v>0</v>
      </c>
      <c r="AH72">
        <f t="shared" si="57"/>
        <v>0</v>
      </c>
      <c r="AI72">
        <f t="shared" si="57"/>
        <v>0</v>
      </c>
      <c r="AJ72">
        <f t="shared" si="57"/>
        <v>0</v>
      </c>
      <c r="AK72">
        <f t="shared" si="57"/>
        <v>0</v>
      </c>
      <c r="AL72">
        <f t="shared" si="57"/>
        <v>0</v>
      </c>
      <c r="AM72">
        <f t="shared" si="57"/>
        <v>0</v>
      </c>
      <c r="AN72">
        <f t="shared" si="57"/>
        <v>0</v>
      </c>
      <c r="AO72">
        <f t="shared" si="57"/>
        <v>0</v>
      </c>
      <c r="AP72">
        <f t="shared" si="57"/>
        <v>0</v>
      </c>
      <c r="AQ72">
        <f t="shared" si="57"/>
        <v>0</v>
      </c>
      <c r="AR72">
        <f t="shared" si="57"/>
        <v>0</v>
      </c>
      <c r="AS72">
        <f t="shared" si="57"/>
        <v>0</v>
      </c>
      <c r="AT72">
        <f t="shared" si="57"/>
        <v>0</v>
      </c>
      <c r="AU72">
        <f t="shared" si="57"/>
        <v>0</v>
      </c>
      <c r="AV72">
        <f t="shared" si="57"/>
        <v>0</v>
      </c>
      <c r="AW72">
        <f t="shared" si="57"/>
        <v>0</v>
      </c>
      <c r="AX72">
        <f t="shared" si="57"/>
        <v>0</v>
      </c>
      <c r="AY72">
        <f t="shared" si="57"/>
        <v>0</v>
      </c>
      <c r="AZ72">
        <f t="shared" si="57"/>
        <v>0</v>
      </c>
    </row>
    <row r="73" spans="1:52" ht="15.75" customHeight="1">
      <c r="A73" s="362">
        <v>1963</v>
      </c>
      <c r="V73" s="127">
        <v>84.1</v>
      </c>
      <c r="W73">
        <f t="shared" si="22"/>
        <v>0</v>
      </c>
      <c r="X73">
        <f t="shared" ref="X73:AZ73" si="58">IF(AND(X$37-$A73&gt;$V$25,SUM($W73:W73)&lt;&gt;$V73),$V73,0)</f>
        <v>0</v>
      </c>
      <c r="Y73">
        <f t="shared" si="58"/>
        <v>0</v>
      </c>
      <c r="Z73">
        <f t="shared" si="58"/>
        <v>0</v>
      </c>
      <c r="AA73">
        <f t="shared" si="58"/>
        <v>0</v>
      </c>
      <c r="AB73">
        <f t="shared" si="58"/>
        <v>0</v>
      </c>
      <c r="AC73">
        <f t="shared" si="58"/>
        <v>0</v>
      </c>
      <c r="AD73">
        <f t="shared" si="58"/>
        <v>0</v>
      </c>
      <c r="AE73">
        <f t="shared" si="58"/>
        <v>0</v>
      </c>
      <c r="AF73">
        <f t="shared" si="58"/>
        <v>0</v>
      </c>
      <c r="AG73">
        <f t="shared" si="58"/>
        <v>0</v>
      </c>
      <c r="AH73">
        <f t="shared" si="58"/>
        <v>0</v>
      </c>
      <c r="AI73">
        <f t="shared" si="58"/>
        <v>0</v>
      </c>
      <c r="AJ73">
        <f t="shared" si="58"/>
        <v>0</v>
      </c>
      <c r="AK73">
        <f t="shared" si="58"/>
        <v>0</v>
      </c>
      <c r="AL73">
        <f t="shared" si="58"/>
        <v>0</v>
      </c>
      <c r="AM73">
        <f t="shared" si="58"/>
        <v>0</v>
      </c>
      <c r="AN73">
        <f t="shared" si="58"/>
        <v>0</v>
      </c>
      <c r="AO73">
        <f t="shared" si="58"/>
        <v>0</v>
      </c>
      <c r="AP73">
        <f t="shared" si="58"/>
        <v>0</v>
      </c>
      <c r="AQ73">
        <f t="shared" si="58"/>
        <v>0</v>
      </c>
      <c r="AR73">
        <f t="shared" si="58"/>
        <v>0</v>
      </c>
      <c r="AS73">
        <f t="shared" si="58"/>
        <v>0</v>
      </c>
      <c r="AT73">
        <f t="shared" si="58"/>
        <v>0</v>
      </c>
      <c r="AU73">
        <f t="shared" si="58"/>
        <v>0</v>
      </c>
      <c r="AV73">
        <f t="shared" si="58"/>
        <v>0</v>
      </c>
      <c r="AW73">
        <f t="shared" si="58"/>
        <v>0</v>
      </c>
      <c r="AX73">
        <f t="shared" si="58"/>
        <v>0</v>
      </c>
      <c r="AY73">
        <f t="shared" si="58"/>
        <v>0</v>
      </c>
      <c r="AZ73">
        <f t="shared" si="58"/>
        <v>0</v>
      </c>
    </row>
    <row r="74" spans="1:52" ht="15.75" customHeight="1">
      <c r="A74" s="362">
        <v>1964</v>
      </c>
      <c r="V74" s="127">
        <v>75.2</v>
      </c>
      <c r="W74">
        <f t="shared" si="22"/>
        <v>0</v>
      </c>
      <c r="X74">
        <f t="shared" ref="X74:AZ74" si="59">IF(AND(X$37-$A74&gt;$V$25,SUM($W74:W74)&lt;&gt;$V74),$V74,0)</f>
        <v>0</v>
      </c>
      <c r="Y74">
        <f t="shared" si="59"/>
        <v>0</v>
      </c>
      <c r="Z74">
        <f t="shared" si="59"/>
        <v>0</v>
      </c>
      <c r="AA74">
        <f t="shared" si="59"/>
        <v>0</v>
      </c>
      <c r="AB74">
        <f t="shared" si="59"/>
        <v>0</v>
      </c>
      <c r="AC74">
        <f t="shared" si="59"/>
        <v>0</v>
      </c>
      <c r="AD74">
        <f t="shared" si="59"/>
        <v>0</v>
      </c>
      <c r="AE74">
        <f t="shared" si="59"/>
        <v>0</v>
      </c>
      <c r="AF74">
        <f t="shared" si="59"/>
        <v>0</v>
      </c>
      <c r="AG74">
        <f t="shared" si="59"/>
        <v>0</v>
      </c>
      <c r="AH74">
        <f t="shared" si="59"/>
        <v>0</v>
      </c>
      <c r="AI74">
        <f t="shared" si="59"/>
        <v>0</v>
      </c>
      <c r="AJ74">
        <f t="shared" si="59"/>
        <v>0</v>
      </c>
      <c r="AK74">
        <f t="shared" si="59"/>
        <v>0</v>
      </c>
      <c r="AL74">
        <f t="shared" si="59"/>
        <v>0</v>
      </c>
      <c r="AM74">
        <f t="shared" si="59"/>
        <v>0</v>
      </c>
      <c r="AN74">
        <f t="shared" si="59"/>
        <v>0</v>
      </c>
      <c r="AO74">
        <f t="shared" si="59"/>
        <v>0</v>
      </c>
      <c r="AP74">
        <f t="shared" si="59"/>
        <v>0</v>
      </c>
      <c r="AQ74">
        <f t="shared" si="59"/>
        <v>0</v>
      </c>
      <c r="AR74">
        <f t="shared" si="59"/>
        <v>0</v>
      </c>
      <c r="AS74">
        <f t="shared" si="59"/>
        <v>0</v>
      </c>
      <c r="AT74">
        <f t="shared" si="59"/>
        <v>0</v>
      </c>
      <c r="AU74">
        <f t="shared" si="59"/>
        <v>0</v>
      </c>
      <c r="AV74">
        <f t="shared" si="59"/>
        <v>0</v>
      </c>
      <c r="AW74">
        <f t="shared" si="59"/>
        <v>0</v>
      </c>
      <c r="AX74">
        <f t="shared" si="59"/>
        <v>0</v>
      </c>
      <c r="AY74">
        <f t="shared" si="59"/>
        <v>0</v>
      </c>
      <c r="AZ74">
        <f t="shared" si="59"/>
        <v>0</v>
      </c>
    </row>
    <row r="75" spans="1:52" ht="15.75" customHeight="1">
      <c r="A75" s="362">
        <v>1965</v>
      </c>
      <c r="V75" s="127">
        <v>181.4</v>
      </c>
      <c r="W75">
        <f t="shared" si="22"/>
        <v>0</v>
      </c>
      <c r="X75">
        <f t="shared" ref="X75:AZ75" si="60">IF(AND(X$37-$A75&gt;$V$25,SUM($W75:W75)&lt;&gt;$V75),$V75,0)</f>
        <v>0</v>
      </c>
      <c r="Y75">
        <f t="shared" si="60"/>
        <v>0</v>
      </c>
      <c r="Z75">
        <f t="shared" si="60"/>
        <v>0</v>
      </c>
      <c r="AA75">
        <f t="shared" si="60"/>
        <v>0</v>
      </c>
      <c r="AB75">
        <f t="shared" si="60"/>
        <v>0</v>
      </c>
      <c r="AC75">
        <f t="shared" si="60"/>
        <v>0</v>
      </c>
      <c r="AD75">
        <f t="shared" si="60"/>
        <v>0</v>
      </c>
      <c r="AE75">
        <f t="shared" si="60"/>
        <v>0</v>
      </c>
      <c r="AF75">
        <f t="shared" si="60"/>
        <v>0</v>
      </c>
      <c r="AG75">
        <f t="shared" si="60"/>
        <v>0</v>
      </c>
      <c r="AH75">
        <f t="shared" si="60"/>
        <v>0</v>
      </c>
      <c r="AI75">
        <f t="shared" si="60"/>
        <v>0</v>
      </c>
      <c r="AJ75">
        <f t="shared" si="60"/>
        <v>0</v>
      </c>
      <c r="AK75">
        <f t="shared" si="60"/>
        <v>0</v>
      </c>
      <c r="AL75">
        <f t="shared" si="60"/>
        <v>0</v>
      </c>
      <c r="AM75">
        <f t="shared" si="60"/>
        <v>0</v>
      </c>
      <c r="AN75">
        <f t="shared" si="60"/>
        <v>0</v>
      </c>
      <c r="AO75">
        <f t="shared" si="60"/>
        <v>0</v>
      </c>
      <c r="AP75">
        <f t="shared" si="60"/>
        <v>0</v>
      </c>
      <c r="AQ75">
        <f t="shared" si="60"/>
        <v>0</v>
      </c>
      <c r="AR75">
        <f t="shared" si="60"/>
        <v>0</v>
      </c>
      <c r="AS75">
        <f t="shared" si="60"/>
        <v>0</v>
      </c>
      <c r="AT75">
        <f t="shared" si="60"/>
        <v>0</v>
      </c>
      <c r="AU75">
        <f t="shared" si="60"/>
        <v>0</v>
      </c>
      <c r="AV75">
        <f t="shared" si="60"/>
        <v>0</v>
      </c>
      <c r="AW75">
        <f t="shared" si="60"/>
        <v>0</v>
      </c>
      <c r="AX75">
        <f t="shared" si="60"/>
        <v>0</v>
      </c>
      <c r="AY75">
        <f t="shared" si="60"/>
        <v>0</v>
      </c>
      <c r="AZ75">
        <f t="shared" si="60"/>
        <v>0</v>
      </c>
    </row>
    <row r="76" spans="1:52" ht="15.75" customHeight="1">
      <c r="A76" s="362">
        <v>1966</v>
      </c>
      <c r="V76" s="127">
        <v>239.5</v>
      </c>
      <c r="W76">
        <f t="shared" si="22"/>
        <v>0</v>
      </c>
      <c r="X76">
        <f t="shared" ref="X76:AZ76" si="61">IF(AND(X$37-$A76&gt;$V$25,SUM($W76:W76)&lt;&gt;$V76),$V76,0)</f>
        <v>0</v>
      </c>
      <c r="Y76">
        <f t="shared" si="61"/>
        <v>0</v>
      </c>
      <c r="Z76">
        <f t="shared" si="61"/>
        <v>0</v>
      </c>
      <c r="AA76">
        <f t="shared" si="61"/>
        <v>0</v>
      </c>
      <c r="AB76">
        <f t="shared" si="61"/>
        <v>0</v>
      </c>
      <c r="AC76">
        <f t="shared" si="61"/>
        <v>0</v>
      </c>
      <c r="AD76">
        <f t="shared" si="61"/>
        <v>0</v>
      </c>
      <c r="AE76">
        <f t="shared" si="61"/>
        <v>0</v>
      </c>
      <c r="AF76">
        <f t="shared" si="61"/>
        <v>0</v>
      </c>
      <c r="AG76">
        <f t="shared" si="61"/>
        <v>0</v>
      </c>
      <c r="AH76">
        <f t="shared" si="61"/>
        <v>0</v>
      </c>
      <c r="AI76">
        <f t="shared" si="61"/>
        <v>0</v>
      </c>
      <c r="AJ76">
        <f t="shared" si="61"/>
        <v>0</v>
      </c>
      <c r="AK76">
        <f t="shared" si="61"/>
        <v>0</v>
      </c>
      <c r="AL76">
        <f t="shared" si="61"/>
        <v>0</v>
      </c>
      <c r="AM76">
        <f t="shared" si="61"/>
        <v>0</v>
      </c>
      <c r="AN76">
        <f t="shared" si="61"/>
        <v>0</v>
      </c>
      <c r="AO76">
        <f t="shared" si="61"/>
        <v>0</v>
      </c>
      <c r="AP76">
        <f t="shared" si="61"/>
        <v>0</v>
      </c>
      <c r="AQ76">
        <f t="shared" si="61"/>
        <v>0</v>
      </c>
      <c r="AR76">
        <f t="shared" si="61"/>
        <v>0</v>
      </c>
      <c r="AS76">
        <f t="shared" si="61"/>
        <v>0</v>
      </c>
      <c r="AT76">
        <f t="shared" si="61"/>
        <v>0</v>
      </c>
      <c r="AU76">
        <f t="shared" si="61"/>
        <v>0</v>
      </c>
      <c r="AV76">
        <f t="shared" si="61"/>
        <v>0</v>
      </c>
      <c r="AW76">
        <f t="shared" si="61"/>
        <v>0</v>
      </c>
      <c r="AX76">
        <f t="shared" si="61"/>
        <v>0</v>
      </c>
      <c r="AY76">
        <f t="shared" si="61"/>
        <v>0</v>
      </c>
      <c r="AZ76">
        <f t="shared" si="61"/>
        <v>0</v>
      </c>
    </row>
    <row r="77" spans="1:52" ht="15.75" customHeight="1">
      <c r="A77" s="362">
        <v>1967</v>
      </c>
      <c r="V77" s="127">
        <v>546.29999999999995</v>
      </c>
      <c r="W77">
        <f t="shared" si="22"/>
        <v>0</v>
      </c>
      <c r="X77">
        <f t="shared" ref="X77:AZ77" si="62">IF(AND(X$37-$A77&gt;$V$25,SUM($W77:W77)&lt;&gt;$V77),$V77,0)</f>
        <v>0</v>
      </c>
      <c r="Y77">
        <f t="shared" si="62"/>
        <v>0</v>
      </c>
      <c r="Z77">
        <f t="shared" si="62"/>
        <v>0</v>
      </c>
      <c r="AA77">
        <f t="shared" si="62"/>
        <v>0</v>
      </c>
      <c r="AB77">
        <f t="shared" si="62"/>
        <v>0</v>
      </c>
      <c r="AC77">
        <f t="shared" si="62"/>
        <v>0</v>
      </c>
      <c r="AD77">
        <f t="shared" si="62"/>
        <v>0</v>
      </c>
      <c r="AE77">
        <f t="shared" si="62"/>
        <v>0</v>
      </c>
      <c r="AF77">
        <f t="shared" si="62"/>
        <v>0</v>
      </c>
      <c r="AG77">
        <f t="shared" si="62"/>
        <v>0</v>
      </c>
      <c r="AH77">
        <f t="shared" si="62"/>
        <v>0</v>
      </c>
      <c r="AI77">
        <f t="shared" si="62"/>
        <v>0</v>
      </c>
      <c r="AJ77">
        <f t="shared" si="62"/>
        <v>0</v>
      </c>
      <c r="AK77">
        <f t="shared" si="62"/>
        <v>0</v>
      </c>
      <c r="AL77">
        <f t="shared" si="62"/>
        <v>0</v>
      </c>
      <c r="AM77">
        <f t="shared" si="62"/>
        <v>0</v>
      </c>
      <c r="AN77">
        <f t="shared" si="62"/>
        <v>0</v>
      </c>
      <c r="AO77">
        <f t="shared" si="62"/>
        <v>0</v>
      </c>
      <c r="AP77">
        <f t="shared" si="62"/>
        <v>0</v>
      </c>
      <c r="AQ77">
        <f t="shared" si="62"/>
        <v>0</v>
      </c>
      <c r="AR77">
        <f t="shared" si="62"/>
        <v>0</v>
      </c>
      <c r="AS77">
        <f t="shared" si="62"/>
        <v>0</v>
      </c>
      <c r="AT77">
        <f t="shared" si="62"/>
        <v>0</v>
      </c>
      <c r="AU77">
        <f t="shared" si="62"/>
        <v>0</v>
      </c>
      <c r="AV77">
        <f t="shared" si="62"/>
        <v>0</v>
      </c>
      <c r="AW77">
        <f t="shared" si="62"/>
        <v>0</v>
      </c>
      <c r="AX77">
        <f t="shared" si="62"/>
        <v>0</v>
      </c>
      <c r="AY77">
        <f t="shared" si="62"/>
        <v>0</v>
      </c>
      <c r="AZ77">
        <f t="shared" si="62"/>
        <v>0</v>
      </c>
    </row>
    <row r="78" spans="1:52" ht="15.75" customHeight="1">
      <c r="A78" s="362">
        <v>1968</v>
      </c>
      <c r="V78" s="127">
        <v>1332.9</v>
      </c>
      <c r="W78">
        <f t="shared" si="22"/>
        <v>0</v>
      </c>
      <c r="X78">
        <f t="shared" ref="X78:AZ78" si="63">IF(AND(X$37-$A78&gt;$V$25,SUM($W78:W78)&lt;&gt;$V78),$V78,0)</f>
        <v>0</v>
      </c>
      <c r="Y78">
        <f t="shared" si="63"/>
        <v>0</v>
      </c>
      <c r="Z78">
        <f t="shared" si="63"/>
        <v>0</v>
      </c>
      <c r="AA78">
        <f t="shared" si="63"/>
        <v>0</v>
      </c>
      <c r="AB78">
        <f t="shared" si="63"/>
        <v>0</v>
      </c>
      <c r="AC78">
        <f t="shared" si="63"/>
        <v>0</v>
      </c>
      <c r="AD78">
        <f t="shared" si="63"/>
        <v>0</v>
      </c>
      <c r="AE78">
        <f t="shared" si="63"/>
        <v>0</v>
      </c>
      <c r="AF78">
        <f t="shared" si="63"/>
        <v>0</v>
      </c>
      <c r="AG78">
        <f t="shared" si="63"/>
        <v>0</v>
      </c>
      <c r="AH78">
        <f t="shared" si="63"/>
        <v>0</v>
      </c>
      <c r="AI78">
        <f t="shared" si="63"/>
        <v>0</v>
      </c>
      <c r="AJ78">
        <f t="shared" si="63"/>
        <v>0</v>
      </c>
      <c r="AK78">
        <f t="shared" si="63"/>
        <v>0</v>
      </c>
      <c r="AL78">
        <f t="shared" si="63"/>
        <v>0</v>
      </c>
      <c r="AM78">
        <f t="shared" si="63"/>
        <v>0</v>
      </c>
      <c r="AN78">
        <f t="shared" si="63"/>
        <v>0</v>
      </c>
      <c r="AO78">
        <f t="shared" si="63"/>
        <v>0</v>
      </c>
      <c r="AP78">
        <f t="shared" si="63"/>
        <v>0</v>
      </c>
      <c r="AQ78">
        <f t="shared" si="63"/>
        <v>0</v>
      </c>
      <c r="AR78">
        <f t="shared" si="63"/>
        <v>0</v>
      </c>
      <c r="AS78">
        <f t="shared" si="63"/>
        <v>0</v>
      </c>
      <c r="AT78">
        <f t="shared" si="63"/>
        <v>0</v>
      </c>
      <c r="AU78">
        <f t="shared" si="63"/>
        <v>0</v>
      </c>
      <c r="AV78">
        <f t="shared" si="63"/>
        <v>0</v>
      </c>
      <c r="AW78">
        <f t="shared" si="63"/>
        <v>0</v>
      </c>
      <c r="AX78">
        <f t="shared" si="63"/>
        <v>0</v>
      </c>
      <c r="AY78">
        <f t="shared" si="63"/>
        <v>0</v>
      </c>
      <c r="AZ78">
        <f t="shared" si="63"/>
        <v>0</v>
      </c>
    </row>
    <row r="79" spans="1:52" ht="15.75" customHeight="1">
      <c r="A79" s="362">
        <v>1969</v>
      </c>
      <c r="V79" s="127">
        <v>566</v>
      </c>
      <c r="W79">
        <f t="shared" si="22"/>
        <v>0</v>
      </c>
      <c r="X79">
        <f t="shared" ref="X79:AZ79" si="64">IF(AND(X$37-$A79&gt;$V$25,SUM($W79:W79)&lt;&gt;$V79),$V79,0)</f>
        <v>0</v>
      </c>
      <c r="Y79">
        <f t="shared" si="64"/>
        <v>0</v>
      </c>
      <c r="Z79">
        <f t="shared" si="64"/>
        <v>0</v>
      </c>
      <c r="AA79">
        <f t="shared" si="64"/>
        <v>0</v>
      </c>
      <c r="AB79">
        <f t="shared" si="64"/>
        <v>0</v>
      </c>
      <c r="AC79">
        <f t="shared" si="64"/>
        <v>0</v>
      </c>
      <c r="AD79">
        <f t="shared" si="64"/>
        <v>0</v>
      </c>
      <c r="AE79">
        <f t="shared" si="64"/>
        <v>0</v>
      </c>
      <c r="AF79">
        <f t="shared" si="64"/>
        <v>0</v>
      </c>
      <c r="AG79">
        <f t="shared" si="64"/>
        <v>0</v>
      </c>
      <c r="AH79">
        <f t="shared" si="64"/>
        <v>0</v>
      </c>
      <c r="AI79">
        <f t="shared" si="64"/>
        <v>0</v>
      </c>
      <c r="AJ79">
        <f t="shared" si="64"/>
        <v>0</v>
      </c>
      <c r="AK79">
        <f t="shared" si="64"/>
        <v>0</v>
      </c>
      <c r="AL79">
        <f t="shared" si="64"/>
        <v>0</v>
      </c>
      <c r="AM79">
        <f t="shared" si="64"/>
        <v>0</v>
      </c>
      <c r="AN79">
        <f t="shared" si="64"/>
        <v>0</v>
      </c>
      <c r="AO79">
        <f t="shared" si="64"/>
        <v>0</v>
      </c>
      <c r="AP79">
        <f t="shared" si="64"/>
        <v>0</v>
      </c>
      <c r="AQ79">
        <f t="shared" si="64"/>
        <v>0</v>
      </c>
      <c r="AR79">
        <f t="shared" si="64"/>
        <v>0</v>
      </c>
      <c r="AS79">
        <f t="shared" si="64"/>
        <v>0</v>
      </c>
      <c r="AT79">
        <f t="shared" si="64"/>
        <v>0</v>
      </c>
      <c r="AU79">
        <f t="shared" si="64"/>
        <v>0</v>
      </c>
      <c r="AV79">
        <f t="shared" si="64"/>
        <v>0</v>
      </c>
      <c r="AW79">
        <f t="shared" si="64"/>
        <v>0</v>
      </c>
      <c r="AX79">
        <f t="shared" si="64"/>
        <v>0</v>
      </c>
      <c r="AY79">
        <f t="shared" si="64"/>
        <v>0</v>
      </c>
      <c r="AZ79">
        <f t="shared" si="64"/>
        <v>0</v>
      </c>
    </row>
    <row r="80" spans="1:52" ht="15.75" customHeight="1">
      <c r="A80" s="362">
        <v>1970</v>
      </c>
      <c r="V80" s="127">
        <v>959.5</v>
      </c>
      <c r="W80">
        <f t="shared" si="22"/>
        <v>0</v>
      </c>
      <c r="X80">
        <f t="shared" ref="X80:AZ80" si="65">IF(AND(X$37-$A80&gt;$V$25,SUM($W80:W80)&lt;&gt;$V80),$V80,0)</f>
        <v>0</v>
      </c>
      <c r="Y80">
        <f t="shared" si="65"/>
        <v>0</v>
      </c>
      <c r="Z80">
        <f t="shared" si="65"/>
        <v>0</v>
      </c>
      <c r="AA80">
        <f t="shared" si="65"/>
        <v>0</v>
      </c>
      <c r="AB80">
        <f t="shared" si="65"/>
        <v>0</v>
      </c>
      <c r="AC80">
        <f t="shared" si="65"/>
        <v>0</v>
      </c>
      <c r="AD80">
        <f t="shared" si="65"/>
        <v>0</v>
      </c>
      <c r="AE80">
        <f t="shared" si="65"/>
        <v>0</v>
      </c>
      <c r="AF80">
        <f t="shared" si="65"/>
        <v>0</v>
      </c>
      <c r="AG80">
        <f t="shared" si="65"/>
        <v>0</v>
      </c>
      <c r="AH80">
        <f t="shared" si="65"/>
        <v>0</v>
      </c>
      <c r="AI80">
        <f t="shared" si="65"/>
        <v>0</v>
      </c>
      <c r="AJ80">
        <f t="shared" si="65"/>
        <v>0</v>
      </c>
      <c r="AK80">
        <f t="shared" si="65"/>
        <v>0</v>
      </c>
      <c r="AL80">
        <f t="shared" si="65"/>
        <v>0</v>
      </c>
      <c r="AM80">
        <f t="shared" si="65"/>
        <v>0</v>
      </c>
      <c r="AN80">
        <f t="shared" si="65"/>
        <v>0</v>
      </c>
      <c r="AO80">
        <f t="shared" si="65"/>
        <v>0</v>
      </c>
      <c r="AP80">
        <f t="shared" si="65"/>
        <v>0</v>
      </c>
      <c r="AQ80">
        <f t="shared" si="65"/>
        <v>0</v>
      </c>
      <c r="AR80">
        <f t="shared" si="65"/>
        <v>0</v>
      </c>
      <c r="AS80">
        <f t="shared" si="65"/>
        <v>0</v>
      </c>
      <c r="AT80">
        <f t="shared" si="65"/>
        <v>0</v>
      </c>
      <c r="AU80">
        <f t="shared" si="65"/>
        <v>0</v>
      </c>
      <c r="AV80">
        <f t="shared" si="65"/>
        <v>0</v>
      </c>
      <c r="AW80">
        <f t="shared" si="65"/>
        <v>0</v>
      </c>
      <c r="AX80">
        <f t="shared" si="65"/>
        <v>0</v>
      </c>
      <c r="AY80">
        <f t="shared" si="65"/>
        <v>0</v>
      </c>
      <c r="AZ80">
        <f t="shared" si="65"/>
        <v>0</v>
      </c>
    </row>
    <row r="81" spans="1:52" ht="15.75" customHeight="1">
      <c r="A81" s="362">
        <v>1971</v>
      </c>
      <c r="V81" s="127">
        <v>1553.5</v>
      </c>
      <c r="W81">
        <f t="shared" si="22"/>
        <v>0</v>
      </c>
      <c r="X81">
        <f t="shared" ref="X81:AZ81" si="66">IF(AND(X$37-$A81&gt;$V$25,SUM($W81:W81)&lt;&gt;$V81),$V81,0)</f>
        <v>0</v>
      </c>
      <c r="Y81">
        <f t="shared" si="66"/>
        <v>0</v>
      </c>
      <c r="Z81">
        <f t="shared" si="66"/>
        <v>0</v>
      </c>
      <c r="AA81">
        <f t="shared" si="66"/>
        <v>0</v>
      </c>
      <c r="AB81">
        <f t="shared" si="66"/>
        <v>0</v>
      </c>
      <c r="AC81">
        <f t="shared" si="66"/>
        <v>0</v>
      </c>
      <c r="AD81">
        <f t="shared" si="66"/>
        <v>0</v>
      </c>
      <c r="AE81">
        <f t="shared" si="66"/>
        <v>0</v>
      </c>
      <c r="AF81">
        <f t="shared" si="66"/>
        <v>0</v>
      </c>
      <c r="AG81">
        <f t="shared" si="66"/>
        <v>0</v>
      </c>
      <c r="AH81">
        <f t="shared" si="66"/>
        <v>0</v>
      </c>
      <c r="AI81">
        <f t="shared" si="66"/>
        <v>0</v>
      </c>
      <c r="AJ81">
        <f t="shared" si="66"/>
        <v>0</v>
      </c>
      <c r="AK81">
        <f t="shared" si="66"/>
        <v>0</v>
      </c>
      <c r="AL81">
        <f t="shared" si="66"/>
        <v>0</v>
      </c>
      <c r="AM81">
        <f t="shared" si="66"/>
        <v>0</v>
      </c>
      <c r="AN81">
        <f t="shared" si="66"/>
        <v>0</v>
      </c>
      <c r="AO81">
        <f t="shared" si="66"/>
        <v>0</v>
      </c>
      <c r="AP81">
        <f t="shared" si="66"/>
        <v>0</v>
      </c>
      <c r="AQ81">
        <f t="shared" si="66"/>
        <v>0</v>
      </c>
      <c r="AR81">
        <f t="shared" si="66"/>
        <v>0</v>
      </c>
      <c r="AS81">
        <f t="shared" si="66"/>
        <v>0</v>
      </c>
      <c r="AT81">
        <f t="shared" si="66"/>
        <v>0</v>
      </c>
      <c r="AU81">
        <f t="shared" si="66"/>
        <v>0</v>
      </c>
      <c r="AV81">
        <f t="shared" si="66"/>
        <v>0</v>
      </c>
      <c r="AW81">
        <f t="shared" si="66"/>
        <v>0</v>
      </c>
      <c r="AX81">
        <f t="shared" si="66"/>
        <v>0</v>
      </c>
      <c r="AY81">
        <f t="shared" si="66"/>
        <v>0</v>
      </c>
      <c r="AZ81">
        <f t="shared" si="66"/>
        <v>0</v>
      </c>
    </row>
    <row r="82" spans="1:52" ht="15.75" customHeight="1">
      <c r="A82" s="362">
        <v>1972</v>
      </c>
      <c r="V82" s="127">
        <v>2063.6</v>
      </c>
      <c r="W82">
        <f t="shared" si="22"/>
        <v>0</v>
      </c>
      <c r="X82">
        <f t="shared" ref="X82:AZ82" si="67">IF(AND(X$37-$A82&gt;$V$25,SUM($W82:W82)&lt;&gt;$V82),$V82,0)</f>
        <v>0</v>
      </c>
      <c r="Y82">
        <f t="shared" si="67"/>
        <v>0</v>
      </c>
      <c r="Z82">
        <f t="shared" si="67"/>
        <v>0</v>
      </c>
      <c r="AA82">
        <f t="shared" si="67"/>
        <v>0</v>
      </c>
      <c r="AB82">
        <f t="shared" si="67"/>
        <v>0</v>
      </c>
      <c r="AC82">
        <f t="shared" si="67"/>
        <v>0</v>
      </c>
      <c r="AD82">
        <f t="shared" si="67"/>
        <v>0</v>
      </c>
      <c r="AE82">
        <f t="shared" si="67"/>
        <v>0</v>
      </c>
      <c r="AF82">
        <f t="shared" si="67"/>
        <v>0</v>
      </c>
      <c r="AG82">
        <f t="shared" si="67"/>
        <v>0</v>
      </c>
      <c r="AH82">
        <f t="shared" si="67"/>
        <v>0</v>
      </c>
      <c r="AI82">
        <f t="shared" si="67"/>
        <v>0</v>
      </c>
      <c r="AJ82">
        <f t="shared" si="67"/>
        <v>0</v>
      </c>
      <c r="AK82">
        <f t="shared" si="67"/>
        <v>0</v>
      </c>
      <c r="AL82">
        <f t="shared" si="67"/>
        <v>0</v>
      </c>
      <c r="AM82">
        <f t="shared" si="67"/>
        <v>0</v>
      </c>
      <c r="AN82">
        <f t="shared" si="67"/>
        <v>0</v>
      </c>
      <c r="AO82">
        <f t="shared" si="67"/>
        <v>0</v>
      </c>
      <c r="AP82">
        <f t="shared" si="67"/>
        <v>0</v>
      </c>
      <c r="AQ82">
        <f t="shared" si="67"/>
        <v>0</v>
      </c>
      <c r="AR82">
        <f t="shared" si="67"/>
        <v>0</v>
      </c>
      <c r="AS82">
        <f t="shared" si="67"/>
        <v>0</v>
      </c>
      <c r="AT82">
        <f t="shared" si="67"/>
        <v>0</v>
      </c>
      <c r="AU82">
        <f t="shared" si="67"/>
        <v>0</v>
      </c>
      <c r="AV82">
        <f t="shared" si="67"/>
        <v>0</v>
      </c>
      <c r="AW82">
        <f t="shared" si="67"/>
        <v>0</v>
      </c>
      <c r="AX82">
        <f t="shared" si="67"/>
        <v>0</v>
      </c>
      <c r="AY82">
        <f t="shared" si="67"/>
        <v>0</v>
      </c>
      <c r="AZ82">
        <f t="shared" si="67"/>
        <v>0</v>
      </c>
    </row>
    <row r="83" spans="1:52" ht="15.75" customHeight="1">
      <c r="A83" s="362">
        <v>1973</v>
      </c>
      <c r="V83" s="127">
        <v>1711.4</v>
      </c>
      <c r="W83">
        <f t="shared" si="22"/>
        <v>0</v>
      </c>
      <c r="X83">
        <f t="shared" ref="X83:AZ83" si="68">IF(AND(X$37-$A83&gt;$V$25,SUM($W83:W83)&lt;&gt;$V83),$V83,0)</f>
        <v>0</v>
      </c>
      <c r="Y83">
        <f t="shared" si="68"/>
        <v>0</v>
      </c>
      <c r="Z83">
        <f t="shared" si="68"/>
        <v>0</v>
      </c>
      <c r="AA83">
        <f t="shared" si="68"/>
        <v>0</v>
      </c>
      <c r="AB83">
        <f t="shared" si="68"/>
        <v>0</v>
      </c>
      <c r="AC83">
        <f t="shared" si="68"/>
        <v>0</v>
      </c>
      <c r="AD83">
        <f t="shared" si="68"/>
        <v>0</v>
      </c>
      <c r="AE83">
        <f t="shared" si="68"/>
        <v>0</v>
      </c>
      <c r="AF83">
        <f t="shared" si="68"/>
        <v>0</v>
      </c>
      <c r="AG83">
        <f t="shared" si="68"/>
        <v>0</v>
      </c>
      <c r="AH83">
        <f t="shared" si="68"/>
        <v>0</v>
      </c>
      <c r="AI83">
        <f t="shared" si="68"/>
        <v>0</v>
      </c>
      <c r="AJ83">
        <f t="shared" si="68"/>
        <v>0</v>
      </c>
      <c r="AK83">
        <f t="shared" si="68"/>
        <v>0</v>
      </c>
      <c r="AL83">
        <f t="shared" si="68"/>
        <v>0</v>
      </c>
      <c r="AM83">
        <f t="shared" si="68"/>
        <v>0</v>
      </c>
      <c r="AN83">
        <f t="shared" si="68"/>
        <v>0</v>
      </c>
      <c r="AO83">
        <f t="shared" si="68"/>
        <v>0</v>
      </c>
      <c r="AP83">
        <f t="shared" si="68"/>
        <v>0</v>
      </c>
      <c r="AQ83">
        <f t="shared" si="68"/>
        <v>0</v>
      </c>
      <c r="AR83">
        <f t="shared" si="68"/>
        <v>0</v>
      </c>
      <c r="AS83">
        <f t="shared" si="68"/>
        <v>0</v>
      </c>
      <c r="AT83">
        <f t="shared" si="68"/>
        <v>0</v>
      </c>
      <c r="AU83">
        <f t="shared" si="68"/>
        <v>0</v>
      </c>
      <c r="AV83">
        <f t="shared" si="68"/>
        <v>0</v>
      </c>
      <c r="AW83">
        <f t="shared" si="68"/>
        <v>0</v>
      </c>
      <c r="AX83">
        <f t="shared" si="68"/>
        <v>0</v>
      </c>
      <c r="AY83">
        <f t="shared" si="68"/>
        <v>0</v>
      </c>
      <c r="AZ83">
        <f t="shared" si="68"/>
        <v>0</v>
      </c>
    </row>
    <row r="84" spans="1:52" ht="15.75" customHeight="1">
      <c r="A84" s="362">
        <v>1974</v>
      </c>
      <c r="V84" s="127">
        <v>2934.1</v>
      </c>
      <c r="W84">
        <f t="shared" si="22"/>
        <v>0</v>
      </c>
      <c r="X84">
        <f t="shared" ref="X84:AZ84" si="69">IF(AND(X$37-$A84&gt;$V$25,SUM($W84:W84)&lt;&gt;$V84),$V84,0)</f>
        <v>0</v>
      </c>
      <c r="Y84">
        <f t="shared" si="69"/>
        <v>0</v>
      </c>
      <c r="Z84">
        <f t="shared" si="69"/>
        <v>0</v>
      </c>
      <c r="AA84">
        <f t="shared" si="69"/>
        <v>0</v>
      </c>
      <c r="AB84">
        <f t="shared" si="69"/>
        <v>0</v>
      </c>
      <c r="AC84">
        <f t="shared" si="69"/>
        <v>0</v>
      </c>
      <c r="AD84">
        <f t="shared" si="69"/>
        <v>0</v>
      </c>
      <c r="AE84">
        <f t="shared" si="69"/>
        <v>0</v>
      </c>
      <c r="AF84">
        <f t="shared" si="69"/>
        <v>0</v>
      </c>
      <c r="AG84">
        <f t="shared" si="69"/>
        <v>0</v>
      </c>
      <c r="AH84">
        <f t="shared" si="69"/>
        <v>0</v>
      </c>
      <c r="AI84">
        <f t="shared" si="69"/>
        <v>0</v>
      </c>
      <c r="AJ84">
        <f t="shared" si="69"/>
        <v>0</v>
      </c>
      <c r="AK84">
        <f t="shared" si="69"/>
        <v>0</v>
      </c>
      <c r="AL84">
        <f t="shared" si="69"/>
        <v>0</v>
      </c>
      <c r="AM84">
        <f t="shared" si="69"/>
        <v>0</v>
      </c>
      <c r="AN84">
        <f t="shared" si="69"/>
        <v>0</v>
      </c>
      <c r="AO84">
        <f t="shared" si="69"/>
        <v>0</v>
      </c>
      <c r="AP84">
        <f t="shared" si="69"/>
        <v>0</v>
      </c>
      <c r="AQ84">
        <f t="shared" si="69"/>
        <v>0</v>
      </c>
      <c r="AR84">
        <f t="shared" si="69"/>
        <v>0</v>
      </c>
      <c r="AS84">
        <f t="shared" si="69"/>
        <v>0</v>
      </c>
      <c r="AT84">
        <f t="shared" si="69"/>
        <v>0</v>
      </c>
      <c r="AU84">
        <f t="shared" si="69"/>
        <v>0</v>
      </c>
      <c r="AV84">
        <f t="shared" si="69"/>
        <v>0</v>
      </c>
      <c r="AW84">
        <f t="shared" si="69"/>
        <v>0</v>
      </c>
      <c r="AX84">
        <f t="shared" si="69"/>
        <v>0</v>
      </c>
      <c r="AY84">
        <f t="shared" si="69"/>
        <v>0</v>
      </c>
      <c r="AZ84">
        <f t="shared" si="69"/>
        <v>0</v>
      </c>
    </row>
    <row r="85" spans="1:52" ht="15.75" customHeight="1">
      <c r="A85" s="362">
        <v>1975</v>
      </c>
      <c r="V85" s="127">
        <v>2919.8</v>
      </c>
      <c r="W85">
        <f t="shared" si="22"/>
        <v>0</v>
      </c>
      <c r="X85">
        <f t="shared" ref="X85:AZ85" si="70">IF(AND(X$37-$A85&gt;$V$25,SUM($W85:W85)&lt;&gt;$V85),$V85,0)</f>
        <v>0</v>
      </c>
      <c r="Y85">
        <f t="shared" si="70"/>
        <v>0</v>
      </c>
      <c r="Z85">
        <f t="shared" si="70"/>
        <v>0</v>
      </c>
      <c r="AA85">
        <f t="shared" si="70"/>
        <v>0</v>
      </c>
      <c r="AB85">
        <f t="shared" si="70"/>
        <v>0</v>
      </c>
      <c r="AC85">
        <f t="shared" si="70"/>
        <v>0</v>
      </c>
      <c r="AD85">
        <f t="shared" si="70"/>
        <v>0</v>
      </c>
      <c r="AE85">
        <f t="shared" si="70"/>
        <v>0</v>
      </c>
      <c r="AF85">
        <f t="shared" si="70"/>
        <v>0</v>
      </c>
      <c r="AG85">
        <f t="shared" si="70"/>
        <v>0</v>
      </c>
      <c r="AH85">
        <f t="shared" si="70"/>
        <v>0</v>
      </c>
      <c r="AI85">
        <f t="shared" si="70"/>
        <v>0</v>
      </c>
      <c r="AJ85">
        <f t="shared" si="70"/>
        <v>0</v>
      </c>
      <c r="AK85">
        <f t="shared" si="70"/>
        <v>0</v>
      </c>
      <c r="AL85">
        <f t="shared" si="70"/>
        <v>0</v>
      </c>
      <c r="AM85">
        <f t="shared" si="70"/>
        <v>0</v>
      </c>
      <c r="AN85">
        <f t="shared" si="70"/>
        <v>0</v>
      </c>
      <c r="AO85">
        <f t="shared" si="70"/>
        <v>0</v>
      </c>
      <c r="AP85">
        <f t="shared" si="70"/>
        <v>0</v>
      </c>
      <c r="AQ85">
        <f t="shared" si="70"/>
        <v>0</v>
      </c>
      <c r="AR85">
        <f t="shared" si="70"/>
        <v>0</v>
      </c>
      <c r="AS85">
        <f t="shared" si="70"/>
        <v>0</v>
      </c>
      <c r="AT85">
        <f t="shared" si="70"/>
        <v>0</v>
      </c>
      <c r="AU85">
        <f t="shared" si="70"/>
        <v>0</v>
      </c>
      <c r="AV85">
        <f t="shared" si="70"/>
        <v>0</v>
      </c>
      <c r="AW85">
        <f t="shared" si="70"/>
        <v>0</v>
      </c>
      <c r="AX85">
        <f t="shared" si="70"/>
        <v>0</v>
      </c>
      <c r="AY85">
        <f t="shared" si="70"/>
        <v>0</v>
      </c>
      <c r="AZ85">
        <f t="shared" si="70"/>
        <v>0</v>
      </c>
    </row>
    <row r="86" spans="1:52" ht="15.75" customHeight="1">
      <c r="A86" s="362">
        <v>1976</v>
      </c>
      <c r="V86" s="127">
        <v>1808.3</v>
      </c>
      <c r="W86">
        <f t="shared" si="22"/>
        <v>0</v>
      </c>
      <c r="X86">
        <f t="shared" ref="X86:AZ86" si="71">IF(AND(X$37-$A86&gt;$V$25,SUM($W86:W86)&lt;&gt;$V86),$V86,0)</f>
        <v>0</v>
      </c>
      <c r="Y86">
        <f t="shared" si="71"/>
        <v>0</v>
      </c>
      <c r="Z86">
        <f t="shared" si="71"/>
        <v>0</v>
      </c>
      <c r="AA86">
        <f t="shared" si="71"/>
        <v>0</v>
      </c>
      <c r="AB86">
        <f t="shared" si="71"/>
        <v>0</v>
      </c>
      <c r="AC86">
        <f t="shared" si="71"/>
        <v>0</v>
      </c>
      <c r="AD86">
        <f t="shared" si="71"/>
        <v>0</v>
      </c>
      <c r="AE86">
        <f t="shared" si="71"/>
        <v>0</v>
      </c>
      <c r="AF86">
        <f t="shared" si="71"/>
        <v>0</v>
      </c>
      <c r="AG86">
        <f t="shared" si="71"/>
        <v>0</v>
      </c>
      <c r="AH86">
        <f t="shared" si="71"/>
        <v>0</v>
      </c>
      <c r="AI86">
        <f t="shared" si="71"/>
        <v>0</v>
      </c>
      <c r="AJ86">
        <f t="shared" si="71"/>
        <v>0</v>
      </c>
      <c r="AK86">
        <f t="shared" si="71"/>
        <v>0</v>
      </c>
      <c r="AL86">
        <f t="shared" si="71"/>
        <v>0</v>
      </c>
      <c r="AM86">
        <f t="shared" si="71"/>
        <v>0</v>
      </c>
      <c r="AN86">
        <f t="shared" si="71"/>
        <v>0</v>
      </c>
      <c r="AO86">
        <f t="shared" si="71"/>
        <v>0</v>
      </c>
      <c r="AP86">
        <f t="shared" si="71"/>
        <v>0</v>
      </c>
      <c r="AQ86">
        <f t="shared" si="71"/>
        <v>0</v>
      </c>
      <c r="AR86">
        <f t="shared" si="71"/>
        <v>0</v>
      </c>
      <c r="AS86">
        <f t="shared" si="71"/>
        <v>0</v>
      </c>
      <c r="AT86">
        <f t="shared" si="71"/>
        <v>0</v>
      </c>
      <c r="AU86">
        <f t="shared" si="71"/>
        <v>0</v>
      </c>
      <c r="AV86">
        <f t="shared" si="71"/>
        <v>0</v>
      </c>
      <c r="AW86">
        <f t="shared" si="71"/>
        <v>0</v>
      </c>
      <c r="AX86">
        <f t="shared" si="71"/>
        <v>0</v>
      </c>
      <c r="AY86">
        <f t="shared" si="71"/>
        <v>0</v>
      </c>
      <c r="AZ86">
        <f t="shared" si="71"/>
        <v>0</v>
      </c>
    </row>
    <row r="87" spans="1:52" ht="15.75" customHeight="1">
      <c r="A87" s="362">
        <v>1977</v>
      </c>
      <c r="V87" s="127">
        <v>1094.5</v>
      </c>
      <c r="W87">
        <f t="shared" si="22"/>
        <v>0</v>
      </c>
      <c r="X87">
        <f t="shared" ref="X87:AZ87" si="72">IF(AND(X$37-$A87&gt;$V$25,SUM($W87:W87)&lt;&gt;$V87),$V87,0)</f>
        <v>0</v>
      </c>
      <c r="Y87">
        <f t="shared" si="72"/>
        <v>0</v>
      </c>
      <c r="Z87">
        <f t="shared" si="72"/>
        <v>0</v>
      </c>
      <c r="AA87">
        <f t="shared" si="72"/>
        <v>0</v>
      </c>
      <c r="AB87">
        <f t="shared" si="72"/>
        <v>0</v>
      </c>
      <c r="AC87">
        <f t="shared" si="72"/>
        <v>0</v>
      </c>
      <c r="AD87">
        <f t="shared" si="72"/>
        <v>0</v>
      </c>
      <c r="AE87">
        <f t="shared" si="72"/>
        <v>0</v>
      </c>
      <c r="AF87">
        <f t="shared" si="72"/>
        <v>0</v>
      </c>
      <c r="AG87">
        <f t="shared" si="72"/>
        <v>0</v>
      </c>
      <c r="AH87">
        <f t="shared" si="72"/>
        <v>0</v>
      </c>
      <c r="AI87">
        <f t="shared" si="72"/>
        <v>0</v>
      </c>
      <c r="AJ87">
        <f t="shared" si="72"/>
        <v>0</v>
      </c>
      <c r="AK87">
        <f t="shared" si="72"/>
        <v>0</v>
      </c>
      <c r="AL87">
        <f t="shared" si="72"/>
        <v>0</v>
      </c>
      <c r="AM87">
        <f t="shared" si="72"/>
        <v>0</v>
      </c>
      <c r="AN87">
        <f t="shared" si="72"/>
        <v>0</v>
      </c>
      <c r="AO87">
        <f t="shared" si="72"/>
        <v>0</v>
      </c>
      <c r="AP87">
        <f t="shared" si="72"/>
        <v>0</v>
      </c>
      <c r="AQ87">
        <f t="shared" si="72"/>
        <v>0</v>
      </c>
      <c r="AR87">
        <f t="shared" si="72"/>
        <v>0</v>
      </c>
      <c r="AS87">
        <f t="shared" si="72"/>
        <v>0</v>
      </c>
      <c r="AT87">
        <f t="shared" si="72"/>
        <v>0</v>
      </c>
      <c r="AU87">
        <f t="shared" si="72"/>
        <v>0</v>
      </c>
      <c r="AV87">
        <f t="shared" si="72"/>
        <v>0</v>
      </c>
      <c r="AW87">
        <f t="shared" si="72"/>
        <v>0</v>
      </c>
      <c r="AX87">
        <f t="shared" si="72"/>
        <v>0</v>
      </c>
      <c r="AY87">
        <f t="shared" si="72"/>
        <v>0</v>
      </c>
      <c r="AZ87">
        <f t="shared" si="72"/>
        <v>0</v>
      </c>
    </row>
    <row r="88" spans="1:52" ht="15.75" customHeight="1">
      <c r="A88" s="362">
        <v>1978</v>
      </c>
      <c r="V88" s="127">
        <v>1546.5</v>
      </c>
      <c r="W88">
        <f t="shared" si="22"/>
        <v>0</v>
      </c>
      <c r="X88">
        <f t="shared" ref="X88:AZ88" si="73">IF(AND(X$37-$A88&gt;$V$25,SUM($W88:W88)&lt;&gt;$V88),$V88,0)</f>
        <v>0</v>
      </c>
      <c r="Y88">
        <f t="shared" si="73"/>
        <v>0</v>
      </c>
      <c r="Z88">
        <f t="shared" si="73"/>
        <v>0</v>
      </c>
      <c r="AA88">
        <f t="shared" si="73"/>
        <v>0</v>
      </c>
      <c r="AB88">
        <f t="shared" si="73"/>
        <v>0</v>
      </c>
      <c r="AC88">
        <f t="shared" si="73"/>
        <v>0</v>
      </c>
      <c r="AD88">
        <f t="shared" si="73"/>
        <v>0</v>
      </c>
      <c r="AE88">
        <f t="shared" si="73"/>
        <v>0</v>
      </c>
      <c r="AF88">
        <f t="shared" si="73"/>
        <v>0</v>
      </c>
      <c r="AG88">
        <f t="shared" si="73"/>
        <v>0</v>
      </c>
      <c r="AH88">
        <f t="shared" si="73"/>
        <v>0</v>
      </c>
      <c r="AI88">
        <f t="shared" si="73"/>
        <v>0</v>
      </c>
      <c r="AJ88">
        <f t="shared" si="73"/>
        <v>0</v>
      </c>
      <c r="AK88">
        <f t="shared" si="73"/>
        <v>0</v>
      </c>
      <c r="AL88">
        <f t="shared" si="73"/>
        <v>0</v>
      </c>
      <c r="AM88">
        <f t="shared" si="73"/>
        <v>0</v>
      </c>
      <c r="AN88">
        <f t="shared" si="73"/>
        <v>0</v>
      </c>
      <c r="AO88">
        <f t="shared" si="73"/>
        <v>0</v>
      </c>
      <c r="AP88">
        <f t="shared" si="73"/>
        <v>0</v>
      </c>
      <c r="AQ88">
        <f t="shared" si="73"/>
        <v>0</v>
      </c>
      <c r="AR88">
        <f t="shared" si="73"/>
        <v>0</v>
      </c>
      <c r="AS88">
        <f t="shared" si="73"/>
        <v>0</v>
      </c>
      <c r="AT88">
        <f t="shared" si="73"/>
        <v>0</v>
      </c>
      <c r="AU88">
        <f t="shared" si="73"/>
        <v>0</v>
      </c>
      <c r="AV88">
        <f t="shared" si="73"/>
        <v>0</v>
      </c>
      <c r="AW88">
        <f t="shared" si="73"/>
        <v>0</v>
      </c>
      <c r="AX88">
        <f t="shared" si="73"/>
        <v>0</v>
      </c>
      <c r="AY88">
        <f t="shared" si="73"/>
        <v>0</v>
      </c>
      <c r="AZ88">
        <f t="shared" si="73"/>
        <v>0</v>
      </c>
    </row>
    <row r="89" spans="1:52" ht="15.75" customHeight="1">
      <c r="A89" s="362">
        <v>1979</v>
      </c>
      <c r="V89" s="127">
        <v>968.3</v>
      </c>
      <c r="W89">
        <f t="shared" si="22"/>
        <v>0</v>
      </c>
      <c r="X89">
        <f t="shared" ref="X89:AZ89" si="74">IF(AND(X$37-$A89&gt;$V$25,SUM($W89:W89)&lt;&gt;$V89),$V89,0)</f>
        <v>0</v>
      </c>
      <c r="Y89">
        <f t="shared" si="74"/>
        <v>0</v>
      </c>
      <c r="Z89">
        <f t="shared" si="74"/>
        <v>0</v>
      </c>
      <c r="AA89">
        <f t="shared" si="74"/>
        <v>0</v>
      </c>
      <c r="AB89">
        <f t="shared" si="74"/>
        <v>0</v>
      </c>
      <c r="AC89">
        <f t="shared" si="74"/>
        <v>0</v>
      </c>
      <c r="AD89">
        <f t="shared" si="74"/>
        <v>0</v>
      </c>
      <c r="AE89">
        <f t="shared" si="74"/>
        <v>0</v>
      </c>
      <c r="AF89">
        <f t="shared" si="74"/>
        <v>0</v>
      </c>
      <c r="AG89">
        <f t="shared" si="74"/>
        <v>0</v>
      </c>
      <c r="AH89">
        <f t="shared" si="74"/>
        <v>0</v>
      </c>
      <c r="AI89">
        <f t="shared" si="74"/>
        <v>0</v>
      </c>
      <c r="AJ89">
        <f t="shared" si="74"/>
        <v>0</v>
      </c>
      <c r="AK89">
        <f t="shared" si="74"/>
        <v>0</v>
      </c>
      <c r="AL89">
        <f t="shared" si="74"/>
        <v>0</v>
      </c>
      <c r="AM89">
        <f t="shared" si="74"/>
        <v>0</v>
      </c>
      <c r="AN89">
        <f t="shared" si="74"/>
        <v>0</v>
      </c>
      <c r="AO89">
        <f t="shared" si="74"/>
        <v>0</v>
      </c>
      <c r="AP89">
        <f t="shared" si="74"/>
        <v>0</v>
      </c>
      <c r="AQ89">
        <f t="shared" si="74"/>
        <v>0</v>
      </c>
      <c r="AR89">
        <f t="shared" si="74"/>
        <v>0</v>
      </c>
      <c r="AS89">
        <f t="shared" si="74"/>
        <v>0</v>
      </c>
      <c r="AT89">
        <f t="shared" si="74"/>
        <v>0</v>
      </c>
      <c r="AU89">
        <f t="shared" si="74"/>
        <v>0</v>
      </c>
      <c r="AV89">
        <f t="shared" si="74"/>
        <v>0</v>
      </c>
      <c r="AW89">
        <f t="shared" si="74"/>
        <v>0</v>
      </c>
      <c r="AX89">
        <f t="shared" si="74"/>
        <v>0</v>
      </c>
      <c r="AY89">
        <f t="shared" si="74"/>
        <v>0</v>
      </c>
      <c r="AZ89">
        <f t="shared" si="74"/>
        <v>0</v>
      </c>
    </row>
    <row r="90" spans="1:52" ht="15.75" customHeight="1">
      <c r="A90" s="362">
        <v>1980</v>
      </c>
      <c r="V90" s="127">
        <v>1025.8</v>
      </c>
      <c r="W90">
        <f t="shared" si="22"/>
        <v>0</v>
      </c>
      <c r="X90">
        <f t="shared" ref="X90:AZ90" si="75">IF(AND(X$37-$A90&gt;$V$25,SUM($W90:W90)&lt;&gt;$V90),$V90,0)</f>
        <v>0</v>
      </c>
      <c r="Y90">
        <f t="shared" si="75"/>
        <v>0</v>
      </c>
      <c r="Z90">
        <f t="shared" si="75"/>
        <v>0</v>
      </c>
      <c r="AA90">
        <f t="shared" si="75"/>
        <v>0</v>
      </c>
      <c r="AB90">
        <f t="shared" si="75"/>
        <v>0</v>
      </c>
      <c r="AC90">
        <f t="shared" si="75"/>
        <v>0</v>
      </c>
      <c r="AD90">
        <f t="shared" si="75"/>
        <v>0</v>
      </c>
      <c r="AE90">
        <f t="shared" si="75"/>
        <v>0</v>
      </c>
      <c r="AF90">
        <f t="shared" si="75"/>
        <v>0</v>
      </c>
      <c r="AG90">
        <f t="shared" si="75"/>
        <v>0</v>
      </c>
      <c r="AH90">
        <f t="shared" si="75"/>
        <v>0</v>
      </c>
      <c r="AI90">
        <f t="shared" si="75"/>
        <v>0</v>
      </c>
      <c r="AJ90">
        <f t="shared" si="75"/>
        <v>0</v>
      </c>
      <c r="AK90">
        <f t="shared" si="75"/>
        <v>0</v>
      </c>
      <c r="AL90">
        <f t="shared" si="75"/>
        <v>0</v>
      </c>
      <c r="AM90">
        <f t="shared" si="75"/>
        <v>0</v>
      </c>
      <c r="AN90">
        <f t="shared" si="75"/>
        <v>0</v>
      </c>
      <c r="AO90">
        <f t="shared" si="75"/>
        <v>0</v>
      </c>
      <c r="AP90">
        <f t="shared" si="75"/>
        <v>0</v>
      </c>
      <c r="AQ90">
        <f t="shared" si="75"/>
        <v>0</v>
      </c>
      <c r="AR90">
        <f t="shared" si="75"/>
        <v>0</v>
      </c>
      <c r="AS90">
        <f t="shared" si="75"/>
        <v>0</v>
      </c>
      <c r="AT90">
        <f t="shared" si="75"/>
        <v>0</v>
      </c>
      <c r="AU90">
        <f t="shared" si="75"/>
        <v>0</v>
      </c>
      <c r="AV90">
        <f t="shared" si="75"/>
        <v>0</v>
      </c>
      <c r="AW90">
        <f t="shared" si="75"/>
        <v>0</v>
      </c>
      <c r="AX90">
        <f t="shared" si="75"/>
        <v>0</v>
      </c>
      <c r="AY90">
        <f t="shared" si="75"/>
        <v>0</v>
      </c>
      <c r="AZ90">
        <f t="shared" si="75"/>
        <v>0</v>
      </c>
    </row>
    <row r="91" spans="1:52" ht="15.75" customHeight="1">
      <c r="A91" s="362">
        <v>1981</v>
      </c>
      <c r="V91" s="127">
        <v>1162.9000000000001</v>
      </c>
      <c r="W91">
        <f t="shared" si="22"/>
        <v>0</v>
      </c>
      <c r="X91">
        <f t="shared" ref="X91:AZ91" si="76">IF(AND(X$37-$A91&gt;$V$25,SUM($W91:W91)&lt;&gt;$V91),$V91,0)</f>
        <v>0</v>
      </c>
      <c r="Y91">
        <f t="shared" si="76"/>
        <v>0</v>
      </c>
      <c r="Z91">
        <f t="shared" si="76"/>
        <v>0</v>
      </c>
      <c r="AA91">
        <f t="shared" si="76"/>
        <v>0</v>
      </c>
      <c r="AB91">
        <f t="shared" si="76"/>
        <v>0</v>
      </c>
      <c r="AC91">
        <f t="shared" si="76"/>
        <v>0</v>
      </c>
      <c r="AD91">
        <f t="shared" si="76"/>
        <v>0</v>
      </c>
      <c r="AE91">
        <f t="shared" si="76"/>
        <v>0</v>
      </c>
      <c r="AF91">
        <f t="shared" si="76"/>
        <v>0</v>
      </c>
      <c r="AG91">
        <f t="shared" si="76"/>
        <v>0</v>
      </c>
      <c r="AH91">
        <f t="shared" si="76"/>
        <v>0</v>
      </c>
      <c r="AI91">
        <f t="shared" si="76"/>
        <v>0</v>
      </c>
      <c r="AJ91">
        <f t="shared" si="76"/>
        <v>0</v>
      </c>
      <c r="AK91">
        <f t="shared" si="76"/>
        <v>0</v>
      </c>
      <c r="AL91">
        <f t="shared" si="76"/>
        <v>0</v>
      </c>
      <c r="AM91">
        <f t="shared" si="76"/>
        <v>0</v>
      </c>
      <c r="AN91">
        <f t="shared" si="76"/>
        <v>0</v>
      </c>
      <c r="AO91">
        <f t="shared" si="76"/>
        <v>0</v>
      </c>
      <c r="AP91">
        <f t="shared" si="76"/>
        <v>0</v>
      </c>
      <c r="AQ91">
        <f t="shared" si="76"/>
        <v>0</v>
      </c>
      <c r="AR91">
        <f t="shared" si="76"/>
        <v>0</v>
      </c>
      <c r="AS91">
        <f t="shared" si="76"/>
        <v>0</v>
      </c>
      <c r="AT91">
        <f t="shared" si="76"/>
        <v>0</v>
      </c>
      <c r="AU91">
        <f t="shared" si="76"/>
        <v>0</v>
      </c>
      <c r="AV91">
        <f t="shared" si="76"/>
        <v>0</v>
      </c>
      <c r="AW91">
        <f t="shared" si="76"/>
        <v>0</v>
      </c>
      <c r="AX91">
        <f t="shared" si="76"/>
        <v>0</v>
      </c>
      <c r="AY91">
        <f t="shared" si="76"/>
        <v>0</v>
      </c>
      <c r="AZ91">
        <f t="shared" si="76"/>
        <v>0</v>
      </c>
    </row>
    <row r="92" spans="1:52" ht="15.75" customHeight="1">
      <c r="A92" s="362">
        <v>1982</v>
      </c>
      <c r="V92" s="127">
        <v>146.19999999999999</v>
      </c>
      <c r="W92">
        <f t="shared" si="22"/>
        <v>0</v>
      </c>
      <c r="X92">
        <f t="shared" ref="X92:AZ92" si="77">IF(AND(X$37-$A92&gt;$V$25,SUM($W92:W92)&lt;&gt;$V92),$V92,0)</f>
        <v>0</v>
      </c>
      <c r="Y92">
        <f t="shared" si="77"/>
        <v>0</v>
      </c>
      <c r="Z92">
        <f t="shared" si="77"/>
        <v>0</v>
      </c>
      <c r="AA92">
        <f t="shared" si="77"/>
        <v>0</v>
      </c>
      <c r="AB92">
        <f t="shared" si="77"/>
        <v>0</v>
      </c>
      <c r="AC92">
        <f t="shared" si="77"/>
        <v>0</v>
      </c>
      <c r="AD92">
        <f t="shared" si="77"/>
        <v>0</v>
      </c>
      <c r="AE92">
        <f t="shared" si="77"/>
        <v>0</v>
      </c>
      <c r="AF92">
        <f t="shared" si="77"/>
        <v>0</v>
      </c>
      <c r="AG92">
        <f t="shared" si="77"/>
        <v>0</v>
      </c>
      <c r="AH92">
        <f t="shared" si="77"/>
        <v>0</v>
      </c>
      <c r="AI92">
        <f t="shared" si="77"/>
        <v>0</v>
      </c>
      <c r="AJ92">
        <f t="shared" si="77"/>
        <v>0</v>
      </c>
      <c r="AK92">
        <f t="shared" si="77"/>
        <v>0</v>
      </c>
      <c r="AL92">
        <f t="shared" si="77"/>
        <v>0</v>
      </c>
      <c r="AM92">
        <f t="shared" si="77"/>
        <v>0</v>
      </c>
      <c r="AN92">
        <f t="shared" si="77"/>
        <v>0</v>
      </c>
      <c r="AO92">
        <f t="shared" si="77"/>
        <v>0</v>
      </c>
      <c r="AP92">
        <f t="shared" si="77"/>
        <v>0</v>
      </c>
      <c r="AQ92">
        <f t="shared" si="77"/>
        <v>0</v>
      </c>
      <c r="AR92">
        <f t="shared" si="77"/>
        <v>0</v>
      </c>
      <c r="AS92">
        <f t="shared" si="77"/>
        <v>0</v>
      </c>
      <c r="AT92">
        <f t="shared" si="77"/>
        <v>0</v>
      </c>
      <c r="AU92">
        <f t="shared" si="77"/>
        <v>0</v>
      </c>
      <c r="AV92">
        <f t="shared" si="77"/>
        <v>0</v>
      </c>
      <c r="AW92">
        <f t="shared" si="77"/>
        <v>0</v>
      </c>
      <c r="AX92">
        <f t="shared" si="77"/>
        <v>0</v>
      </c>
      <c r="AY92">
        <f t="shared" si="77"/>
        <v>0</v>
      </c>
      <c r="AZ92">
        <f t="shared" si="77"/>
        <v>0</v>
      </c>
    </row>
    <row r="93" spans="1:52" ht="15.75" customHeight="1">
      <c r="A93" s="362">
        <v>1983</v>
      </c>
      <c r="V93" s="127">
        <v>108.4</v>
      </c>
      <c r="W93">
        <f t="shared" si="22"/>
        <v>0</v>
      </c>
      <c r="X93">
        <f t="shared" ref="X93:AZ93" si="78">IF(AND(X$37-$A93&gt;$V$25,SUM($W93:W93)&lt;&gt;$V93),$V93,0)</f>
        <v>0</v>
      </c>
      <c r="Y93">
        <f t="shared" si="78"/>
        <v>0</v>
      </c>
      <c r="Z93">
        <f t="shared" si="78"/>
        <v>0</v>
      </c>
      <c r="AA93">
        <f t="shared" si="78"/>
        <v>0</v>
      </c>
      <c r="AB93">
        <f t="shared" si="78"/>
        <v>0</v>
      </c>
      <c r="AC93">
        <f t="shared" si="78"/>
        <v>0</v>
      </c>
      <c r="AD93">
        <f t="shared" si="78"/>
        <v>0</v>
      </c>
      <c r="AE93">
        <f t="shared" si="78"/>
        <v>0</v>
      </c>
      <c r="AF93">
        <f t="shared" si="78"/>
        <v>0</v>
      </c>
      <c r="AG93">
        <f t="shared" si="78"/>
        <v>0</v>
      </c>
      <c r="AH93">
        <f t="shared" si="78"/>
        <v>0</v>
      </c>
      <c r="AI93">
        <f t="shared" si="78"/>
        <v>0</v>
      </c>
      <c r="AJ93">
        <f t="shared" si="78"/>
        <v>0</v>
      </c>
      <c r="AK93">
        <f t="shared" si="78"/>
        <v>0</v>
      </c>
      <c r="AL93">
        <f t="shared" si="78"/>
        <v>0</v>
      </c>
      <c r="AM93">
        <f t="shared" si="78"/>
        <v>0</v>
      </c>
      <c r="AN93">
        <f t="shared" si="78"/>
        <v>0</v>
      </c>
      <c r="AO93">
        <f t="shared" si="78"/>
        <v>0</v>
      </c>
      <c r="AP93">
        <f t="shared" si="78"/>
        <v>0</v>
      </c>
      <c r="AQ93">
        <f t="shared" si="78"/>
        <v>0</v>
      </c>
      <c r="AR93">
        <f t="shared" si="78"/>
        <v>0</v>
      </c>
      <c r="AS93">
        <f t="shared" si="78"/>
        <v>0</v>
      </c>
      <c r="AT93">
        <f t="shared" si="78"/>
        <v>0</v>
      </c>
      <c r="AU93">
        <f t="shared" si="78"/>
        <v>0</v>
      </c>
      <c r="AV93">
        <f t="shared" si="78"/>
        <v>0</v>
      </c>
      <c r="AW93">
        <f t="shared" si="78"/>
        <v>0</v>
      </c>
      <c r="AX93">
        <f t="shared" si="78"/>
        <v>0</v>
      </c>
      <c r="AY93">
        <f t="shared" si="78"/>
        <v>0</v>
      </c>
      <c r="AZ93">
        <f t="shared" si="78"/>
        <v>0</v>
      </c>
    </row>
    <row r="94" spans="1:52" ht="15.75" customHeight="1">
      <c r="A94" s="362">
        <v>1984</v>
      </c>
      <c r="V94" s="127">
        <v>18.2</v>
      </c>
      <c r="W94">
        <f t="shared" si="22"/>
        <v>0</v>
      </c>
      <c r="X94">
        <f t="shared" ref="X94:AZ94" si="79">IF(AND(X$37-$A94&gt;$V$25,SUM($W94:W94)&lt;&gt;$V94),$V94,0)</f>
        <v>0</v>
      </c>
      <c r="Y94">
        <f t="shared" si="79"/>
        <v>0</v>
      </c>
      <c r="Z94">
        <f t="shared" si="79"/>
        <v>0</v>
      </c>
      <c r="AA94">
        <f t="shared" si="79"/>
        <v>0</v>
      </c>
      <c r="AB94">
        <f t="shared" si="79"/>
        <v>0</v>
      </c>
      <c r="AC94">
        <f t="shared" si="79"/>
        <v>0</v>
      </c>
      <c r="AD94">
        <f t="shared" si="79"/>
        <v>0</v>
      </c>
      <c r="AE94">
        <f t="shared" si="79"/>
        <v>0</v>
      </c>
      <c r="AF94">
        <f t="shared" si="79"/>
        <v>0</v>
      </c>
      <c r="AG94">
        <f t="shared" si="79"/>
        <v>0</v>
      </c>
      <c r="AH94">
        <f t="shared" si="79"/>
        <v>0</v>
      </c>
      <c r="AI94">
        <f t="shared" si="79"/>
        <v>0</v>
      </c>
      <c r="AJ94">
        <f t="shared" si="79"/>
        <v>0</v>
      </c>
      <c r="AK94">
        <f t="shared" si="79"/>
        <v>0</v>
      </c>
      <c r="AL94">
        <f t="shared" si="79"/>
        <v>0</v>
      </c>
      <c r="AM94">
        <f t="shared" si="79"/>
        <v>0</v>
      </c>
      <c r="AN94">
        <f t="shared" si="79"/>
        <v>0</v>
      </c>
      <c r="AO94">
        <f t="shared" si="79"/>
        <v>0</v>
      </c>
      <c r="AP94">
        <f t="shared" si="79"/>
        <v>0</v>
      </c>
      <c r="AQ94">
        <f t="shared" si="79"/>
        <v>0</v>
      </c>
      <c r="AR94">
        <f t="shared" si="79"/>
        <v>0</v>
      </c>
      <c r="AS94">
        <f t="shared" si="79"/>
        <v>0</v>
      </c>
      <c r="AT94">
        <f t="shared" si="79"/>
        <v>0</v>
      </c>
      <c r="AU94">
        <f t="shared" si="79"/>
        <v>0</v>
      </c>
      <c r="AV94">
        <f t="shared" si="79"/>
        <v>0</v>
      </c>
      <c r="AW94">
        <f t="shared" si="79"/>
        <v>0</v>
      </c>
      <c r="AX94">
        <f t="shared" si="79"/>
        <v>0</v>
      </c>
      <c r="AY94">
        <f t="shared" si="79"/>
        <v>0</v>
      </c>
      <c r="AZ94">
        <f t="shared" si="79"/>
        <v>0</v>
      </c>
    </row>
    <row r="95" spans="1:52" ht="15.75" customHeight="1">
      <c r="A95" s="362">
        <v>1985</v>
      </c>
      <c r="V95" s="127">
        <v>71.5</v>
      </c>
      <c r="W95">
        <f t="shared" si="22"/>
        <v>0</v>
      </c>
      <c r="X95">
        <f t="shared" ref="X95:AZ95" si="80">IF(AND(X$37-$A95&gt;$V$25,SUM($W95:W95)&lt;&gt;$V95),$V95,0)</f>
        <v>0</v>
      </c>
      <c r="Y95">
        <f t="shared" si="80"/>
        <v>0</v>
      </c>
      <c r="Z95">
        <f t="shared" si="80"/>
        <v>0</v>
      </c>
      <c r="AA95">
        <f t="shared" si="80"/>
        <v>0</v>
      </c>
      <c r="AB95">
        <f t="shared" si="80"/>
        <v>0</v>
      </c>
      <c r="AC95">
        <f t="shared" si="80"/>
        <v>0</v>
      </c>
      <c r="AD95">
        <f t="shared" si="80"/>
        <v>0</v>
      </c>
      <c r="AE95">
        <f t="shared" si="80"/>
        <v>0</v>
      </c>
      <c r="AF95">
        <f t="shared" si="80"/>
        <v>0</v>
      </c>
      <c r="AG95">
        <f t="shared" si="80"/>
        <v>0</v>
      </c>
      <c r="AH95">
        <f t="shared" si="80"/>
        <v>0</v>
      </c>
      <c r="AI95">
        <f t="shared" si="80"/>
        <v>0</v>
      </c>
      <c r="AJ95">
        <f t="shared" si="80"/>
        <v>0</v>
      </c>
      <c r="AK95">
        <f t="shared" si="80"/>
        <v>0</v>
      </c>
      <c r="AL95">
        <f t="shared" si="80"/>
        <v>0</v>
      </c>
      <c r="AM95">
        <f t="shared" si="80"/>
        <v>0</v>
      </c>
      <c r="AN95">
        <f t="shared" si="80"/>
        <v>0</v>
      </c>
      <c r="AO95">
        <f t="shared" si="80"/>
        <v>0</v>
      </c>
      <c r="AP95">
        <f t="shared" si="80"/>
        <v>0</v>
      </c>
      <c r="AQ95">
        <f t="shared" si="80"/>
        <v>0</v>
      </c>
      <c r="AR95">
        <f t="shared" si="80"/>
        <v>0</v>
      </c>
      <c r="AS95">
        <f t="shared" si="80"/>
        <v>0</v>
      </c>
      <c r="AT95">
        <f t="shared" si="80"/>
        <v>0</v>
      </c>
      <c r="AU95">
        <f t="shared" si="80"/>
        <v>0</v>
      </c>
      <c r="AV95">
        <f t="shared" si="80"/>
        <v>0</v>
      </c>
      <c r="AW95">
        <f t="shared" si="80"/>
        <v>0</v>
      </c>
      <c r="AX95">
        <f t="shared" si="80"/>
        <v>0</v>
      </c>
      <c r="AY95">
        <f t="shared" si="80"/>
        <v>0</v>
      </c>
      <c r="AZ95">
        <f t="shared" si="80"/>
        <v>0</v>
      </c>
    </row>
    <row r="96" spans="1:52" ht="15.75" customHeight="1">
      <c r="A96" s="362">
        <v>1986</v>
      </c>
      <c r="V96" s="127">
        <v>116</v>
      </c>
      <c r="W96">
        <f t="shared" si="22"/>
        <v>0</v>
      </c>
      <c r="X96">
        <f t="shared" ref="X96:AZ96" si="81">IF(AND(X$37-$A96&gt;$V$25,SUM($W96:W96)&lt;&gt;$V96),$V96,0)</f>
        <v>0</v>
      </c>
      <c r="Y96">
        <f t="shared" si="81"/>
        <v>0</v>
      </c>
      <c r="Z96">
        <f t="shared" si="81"/>
        <v>0</v>
      </c>
      <c r="AA96">
        <f t="shared" si="81"/>
        <v>0</v>
      </c>
      <c r="AB96">
        <f t="shared" si="81"/>
        <v>0</v>
      </c>
      <c r="AC96">
        <f t="shared" si="81"/>
        <v>0</v>
      </c>
      <c r="AD96">
        <f t="shared" si="81"/>
        <v>0</v>
      </c>
      <c r="AE96">
        <f t="shared" si="81"/>
        <v>0</v>
      </c>
      <c r="AF96">
        <f t="shared" si="81"/>
        <v>0</v>
      </c>
      <c r="AG96">
        <f t="shared" si="81"/>
        <v>0</v>
      </c>
      <c r="AH96">
        <f t="shared" si="81"/>
        <v>0</v>
      </c>
      <c r="AI96">
        <f t="shared" si="81"/>
        <v>0</v>
      </c>
      <c r="AJ96">
        <f t="shared" si="81"/>
        <v>0</v>
      </c>
      <c r="AK96">
        <f t="shared" si="81"/>
        <v>0</v>
      </c>
      <c r="AL96">
        <f t="shared" si="81"/>
        <v>0</v>
      </c>
      <c r="AM96">
        <f t="shared" si="81"/>
        <v>0</v>
      </c>
      <c r="AN96">
        <f t="shared" si="81"/>
        <v>0</v>
      </c>
      <c r="AO96">
        <f t="shared" si="81"/>
        <v>0</v>
      </c>
      <c r="AP96">
        <f t="shared" si="81"/>
        <v>0</v>
      </c>
      <c r="AQ96">
        <f t="shared" si="81"/>
        <v>0</v>
      </c>
      <c r="AR96">
        <f t="shared" si="81"/>
        <v>0</v>
      </c>
      <c r="AS96">
        <f t="shared" si="81"/>
        <v>0</v>
      </c>
      <c r="AT96">
        <f t="shared" si="81"/>
        <v>0</v>
      </c>
      <c r="AU96">
        <f t="shared" si="81"/>
        <v>0</v>
      </c>
      <c r="AV96">
        <f t="shared" si="81"/>
        <v>0</v>
      </c>
      <c r="AW96">
        <f t="shared" si="81"/>
        <v>0</v>
      </c>
      <c r="AX96">
        <f t="shared" si="81"/>
        <v>0</v>
      </c>
      <c r="AY96">
        <f t="shared" si="81"/>
        <v>0</v>
      </c>
      <c r="AZ96">
        <f t="shared" si="81"/>
        <v>0</v>
      </c>
    </row>
    <row r="97" spans="1:52" ht="15.75" customHeight="1">
      <c r="A97" s="362">
        <v>1987</v>
      </c>
      <c r="V97" s="127">
        <v>41.6</v>
      </c>
      <c r="W97">
        <f t="shared" si="22"/>
        <v>0</v>
      </c>
      <c r="X97">
        <f t="shared" ref="X97:AZ97" si="82">IF(AND(X$37-$A97&gt;$V$25,SUM($W97:W97)&lt;&gt;$V97),$V97,0)</f>
        <v>0</v>
      </c>
      <c r="Y97">
        <f t="shared" si="82"/>
        <v>0</v>
      </c>
      <c r="Z97">
        <f t="shared" si="82"/>
        <v>0</v>
      </c>
      <c r="AA97">
        <f t="shared" si="82"/>
        <v>0</v>
      </c>
      <c r="AB97">
        <f t="shared" si="82"/>
        <v>0</v>
      </c>
      <c r="AC97">
        <f t="shared" si="82"/>
        <v>0</v>
      </c>
      <c r="AD97">
        <f t="shared" si="82"/>
        <v>0</v>
      </c>
      <c r="AE97">
        <f t="shared" si="82"/>
        <v>0</v>
      </c>
      <c r="AF97">
        <f t="shared" si="82"/>
        <v>0</v>
      </c>
      <c r="AG97">
        <f t="shared" si="82"/>
        <v>0</v>
      </c>
      <c r="AH97">
        <f t="shared" si="82"/>
        <v>0</v>
      </c>
      <c r="AI97">
        <f t="shared" si="82"/>
        <v>0</v>
      </c>
      <c r="AJ97">
        <f t="shared" si="82"/>
        <v>0</v>
      </c>
      <c r="AK97">
        <f t="shared" si="82"/>
        <v>0</v>
      </c>
      <c r="AL97">
        <f t="shared" si="82"/>
        <v>0</v>
      </c>
      <c r="AM97">
        <f t="shared" si="82"/>
        <v>0</v>
      </c>
      <c r="AN97">
        <f t="shared" si="82"/>
        <v>0</v>
      </c>
      <c r="AO97">
        <f t="shared" si="82"/>
        <v>0</v>
      </c>
      <c r="AP97">
        <f t="shared" si="82"/>
        <v>0</v>
      </c>
      <c r="AQ97">
        <f t="shared" si="82"/>
        <v>0</v>
      </c>
      <c r="AR97">
        <f t="shared" si="82"/>
        <v>0</v>
      </c>
      <c r="AS97">
        <f t="shared" si="82"/>
        <v>0</v>
      </c>
      <c r="AT97">
        <f t="shared" si="82"/>
        <v>0</v>
      </c>
      <c r="AU97">
        <f t="shared" si="82"/>
        <v>0</v>
      </c>
      <c r="AV97">
        <f t="shared" si="82"/>
        <v>0</v>
      </c>
      <c r="AW97">
        <f t="shared" si="82"/>
        <v>0</v>
      </c>
      <c r="AX97">
        <f t="shared" si="82"/>
        <v>0</v>
      </c>
      <c r="AY97">
        <f t="shared" si="82"/>
        <v>0</v>
      </c>
      <c r="AZ97">
        <f t="shared" si="82"/>
        <v>0</v>
      </c>
    </row>
    <row r="98" spans="1:52" ht="15.75" customHeight="1">
      <c r="A98" s="362">
        <v>1988</v>
      </c>
      <c r="V98" s="127">
        <v>90</v>
      </c>
      <c r="W98">
        <f t="shared" si="22"/>
        <v>0</v>
      </c>
      <c r="X98">
        <f t="shared" ref="X98:AZ98" si="83">IF(AND(X$37-$A98&gt;$V$25,SUM($W98:W98)&lt;&gt;$V98),$V98,0)</f>
        <v>0</v>
      </c>
      <c r="Y98">
        <f t="shared" si="83"/>
        <v>0</v>
      </c>
      <c r="Z98">
        <f t="shared" si="83"/>
        <v>0</v>
      </c>
      <c r="AA98">
        <f t="shared" si="83"/>
        <v>0</v>
      </c>
      <c r="AB98">
        <f t="shared" si="83"/>
        <v>0</v>
      </c>
      <c r="AC98">
        <f t="shared" si="83"/>
        <v>0</v>
      </c>
      <c r="AD98">
        <f t="shared" si="83"/>
        <v>0</v>
      </c>
      <c r="AE98">
        <f t="shared" si="83"/>
        <v>0</v>
      </c>
      <c r="AF98">
        <f t="shared" si="83"/>
        <v>0</v>
      </c>
      <c r="AG98">
        <f t="shared" si="83"/>
        <v>0</v>
      </c>
      <c r="AH98">
        <f t="shared" si="83"/>
        <v>0</v>
      </c>
      <c r="AI98">
        <f t="shared" si="83"/>
        <v>0</v>
      </c>
      <c r="AJ98">
        <f t="shared" si="83"/>
        <v>0</v>
      </c>
      <c r="AK98">
        <f t="shared" si="83"/>
        <v>0</v>
      </c>
      <c r="AL98">
        <f t="shared" si="83"/>
        <v>0</v>
      </c>
      <c r="AM98">
        <f t="shared" si="83"/>
        <v>0</v>
      </c>
      <c r="AN98">
        <f t="shared" si="83"/>
        <v>0</v>
      </c>
      <c r="AO98">
        <f t="shared" si="83"/>
        <v>0</v>
      </c>
      <c r="AP98">
        <f t="shared" si="83"/>
        <v>0</v>
      </c>
      <c r="AQ98">
        <f t="shared" si="83"/>
        <v>0</v>
      </c>
      <c r="AR98">
        <f t="shared" si="83"/>
        <v>0</v>
      </c>
      <c r="AS98">
        <f t="shared" si="83"/>
        <v>0</v>
      </c>
      <c r="AT98">
        <f t="shared" si="83"/>
        <v>0</v>
      </c>
      <c r="AU98">
        <f t="shared" si="83"/>
        <v>0</v>
      </c>
      <c r="AV98">
        <f t="shared" si="83"/>
        <v>0</v>
      </c>
      <c r="AW98">
        <f t="shared" si="83"/>
        <v>0</v>
      </c>
      <c r="AX98">
        <f t="shared" si="83"/>
        <v>0</v>
      </c>
      <c r="AY98">
        <f t="shared" si="83"/>
        <v>0</v>
      </c>
      <c r="AZ98">
        <f t="shared" si="83"/>
        <v>0</v>
      </c>
    </row>
    <row r="99" spans="1:52" ht="15.75" customHeight="1">
      <c r="A99" s="362">
        <v>1989</v>
      </c>
      <c r="V99" s="127">
        <v>379.4</v>
      </c>
      <c r="W99">
        <f t="shared" si="22"/>
        <v>0</v>
      </c>
      <c r="X99">
        <f t="shared" ref="X99:AZ99" si="84">IF(AND(X$37-$A99&gt;$V$25,SUM($W99:W99)&lt;&gt;$V99),$V99,0)</f>
        <v>0</v>
      </c>
      <c r="Y99">
        <f t="shared" si="84"/>
        <v>0</v>
      </c>
      <c r="Z99">
        <f t="shared" si="84"/>
        <v>0</v>
      </c>
      <c r="AA99">
        <f t="shared" si="84"/>
        <v>0</v>
      </c>
      <c r="AB99">
        <f t="shared" si="84"/>
        <v>0</v>
      </c>
      <c r="AC99">
        <f t="shared" si="84"/>
        <v>0</v>
      </c>
      <c r="AD99">
        <f t="shared" si="84"/>
        <v>0</v>
      </c>
      <c r="AE99">
        <f t="shared" si="84"/>
        <v>0</v>
      </c>
      <c r="AF99">
        <f t="shared" si="84"/>
        <v>0</v>
      </c>
      <c r="AG99">
        <f t="shared" si="84"/>
        <v>0</v>
      </c>
      <c r="AH99">
        <f t="shared" si="84"/>
        <v>0</v>
      </c>
      <c r="AI99">
        <f t="shared" si="84"/>
        <v>0</v>
      </c>
      <c r="AJ99">
        <f t="shared" si="84"/>
        <v>0</v>
      </c>
      <c r="AK99">
        <f t="shared" si="84"/>
        <v>0</v>
      </c>
      <c r="AL99">
        <f t="shared" si="84"/>
        <v>0</v>
      </c>
      <c r="AM99">
        <f t="shared" si="84"/>
        <v>0</v>
      </c>
      <c r="AN99">
        <f t="shared" si="84"/>
        <v>0</v>
      </c>
      <c r="AO99">
        <f t="shared" si="84"/>
        <v>0</v>
      </c>
      <c r="AP99">
        <f t="shared" si="84"/>
        <v>0</v>
      </c>
      <c r="AQ99">
        <f t="shared" si="84"/>
        <v>0</v>
      </c>
      <c r="AR99">
        <f t="shared" si="84"/>
        <v>0</v>
      </c>
      <c r="AS99">
        <f t="shared" si="84"/>
        <v>0</v>
      </c>
      <c r="AT99">
        <f t="shared" si="84"/>
        <v>0</v>
      </c>
      <c r="AU99">
        <f t="shared" si="84"/>
        <v>0</v>
      </c>
      <c r="AV99">
        <f t="shared" si="84"/>
        <v>0</v>
      </c>
      <c r="AW99">
        <f t="shared" si="84"/>
        <v>0</v>
      </c>
      <c r="AX99">
        <f t="shared" si="84"/>
        <v>0</v>
      </c>
      <c r="AY99">
        <f t="shared" si="84"/>
        <v>0</v>
      </c>
      <c r="AZ99">
        <f t="shared" si="84"/>
        <v>0</v>
      </c>
    </row>
    <row r="100" spans="1:52" ht="15.75" customHeight="1">
      <c r="A100" s="362">
        <v>1990</v>
      </c>
      <c r="V100" s="127">
        <v>77.2</v>
      </c>
      <c r="W100">
        <f t="shared" si="22"/>
        <v>0</v>
      </c>
      <c r="X100">
        <f t="shared" ref="X100:AZ100" si="85">IF(AND(X$37-$A100&gt;$V$25,SUM($W100:W100)&lt;&gt;$V100),$V100,0)</f>
        <v>0</v>
      </c>
      <c r="Y100">
        <f t="shared" si="85"/>
        <v>0</v>
      </c>
      <c r="Z100">
        <f t="shared" si="85"/>
        <v>0</v>
      </c>
      <c r="AA100">
        <f t="shared" si="85"/>
        <v>0</v>
      </c>
      <c r="AB100">
        <f t="shared" si="85"/>
        <v>0</v>
      </c>
      <c r="AC100">
        <f t="shared" si="85"/>
        <v>0</v>
      </c>
      <c r="AD100">
        <f t="shared" si="85"/>
        <v>0</v>
      </c>
      <c r="AE100">
        <f t="shared" si="85"/>
        <v>0</v>
      </c>
      <c r="AF100">
        <f t="shared" si="85"/>
        <v>0</v>
      </c>
      <c r="AG100">
        <f t="shared" si="85"/>
        <v>0</v>
      </c>
      <c r="AH100">
        <f t="shared" si="85"/>
        <v>0</v>
      </c>
      <c r="AI100">
        <f t="shared" si="85"/>
        <v>0</v>
      </c>
      <c r="AJ100">
        <f t="shared" si="85"/>
        <v>0</v>
      </c>
      <c r="AK100">
        <f t="shared" si="85"/>
        <v>0</v>
      </c>
      <c r="AL100">
        <f t="shared" si="85"/>
        <v>0</v>
      </c>
      <c r="AM100">
        <f t="shared" si="85"/>
        <v>0</v>
      </c>
      <c r="AN100">
        <f t="shared" si="85"/>
        <v>0</v>
      </c>
      <c r="AO100">
        <f t="shared" si="85"/>
        <v>0</v>
      </c>
      <c r="AP100">
        <f t="shared" si="85"/>
        <v>0</v>
      </c>
      <c r="AQ100">
        <f t="shared" si="85"/>
        <v>0</v>
      </c>
      <c r="AR100">
        <f t="shared" si="85"/>
        <v>0</v>
      </c>
      <c r="AS100">
        <f t="shared" si="85"/>
        <v>0</v>
      </c>
      <c r="AT100">
        <f t="shared" si="85"/>
        <v>0</v>
      </c>
      <c r="AU100">
        <f t="shared" si="85"/>
        <v>0</v>
      </c>
      <c r="AV100">
        <f t="shared" si="85"/>
        <v>0</v>
      </c>
      <c r="AW100">
        <f t="shared" si="85"/>
        <v>0</v>
      </c>
      <c r="AX100">
        <f t="shared" si="85"/>
        <v>0</v>
      </c>
      <c r="AY100">
        <f t="shared" si="85"/>
        <v>0</v>
      </c>
      <c r="AZ100">
        <f t="shared" si="85"/>
        <v>0</v>
      </c>
    </row>
    <row r="101" spans="1:52" ht="15.75" customHeight="1">
      <c r="A101" s="362">
        <v>1991</v>
      </c>
      <c r="V101" s="127">
        <v>144.6</v>
      </c>
      <c r="W101">
        <f t="shared" si="22"/>
        <v>0</v>
      </c>
      <c r="X101">
        <f t="shared" ref="X101:AZ101" si="86">IF(AND(X$37-$A101&gt;$V$25,SUM($W101:W101)&lt;&gt;$V101),$V101,0)</f>
        <v>0</v>
      </c>
      <c r="Y101">
        <f t="shared" si="86"/>
        <v>0</v>
      </c>
      <c r="Z101">
        <f t="shared" si="86"/>
        <v>0</v>
      </c>
      <c r="AA101">
        <f t="shared" si="86"/>
        <v>0</v>
      </c>
      <c r="AB101">
        <f t="shared" si="86"/>
        <v>0</v>
      </c>
      <c r="AC101">
        <f t="shared" si="86"/>
        <v>0</v>
      </c>
      <c r="AD101">
        <f t="shared" si="86"/>
        <v>0</v>
      </c>
      <c r="AE101">
        <f t="shared" si="86"/>
        <v>0</v>
      </c>
      <c r="AF101">
        <f t="shared" si="86"/>
        <v>0</v>
      </c>
      <c r="AG101">
        <f t="shared" si="86"/>
        <v>0</v>
      </c>
      <c r="AH101">
        <f t="shared" si="86"/>
        <v>0</v>
      </c>
      <c r="AI101">
        <f t="shared" si="86"/>
        <v>0</v>
      </c>
      <c r="AJ101">
        <f t="shared" si="86"/>
        <v>0</v>
      </c>
      <c r="AK101">
        <f t="shared" si="86"/>
        <v>0</v>
      </c>
      <c r="AL101">
        <f t="shared" si="86"/>
        <v>0</v>
      </c>
      <c r="AM101">
        <f t="shared" si="86"/>
        <v>0</v>
      </c>
      <c r="AN101">
        <f t="shared" si="86"/>
        <v>0</v>
      </c>
      <c r="AO101">
        <f t="shared" si="86"/>
        <v>0</v>
      </c>
      <c r="AP101">
        <f t="shared" si="86"/>
        <v>0</v>
      </c>
      <c r="AQ101">
        <f t="shared" si="86"/>
        <v>0</v>
      </c>
      <c r="AR101">
        <f t="shared" si="86"/>
        <v>0</v>
      </c>
      <c r="AS101">
        <f t="shared" si="86"/>
        <v>0</v>
      </c>
      <c r="AT101">
        <f t="shared" si="86"/>
        <v>0</v>
      </c>
      <c r="AU101">
        <f t="shared" si="86"/>
        <v>0</v>
      </c>
      <c r="AV101">
        <f t="shared" si="86"/>
        <v>0</v>
      </c>
      <c r="AW101">
        <f t="shared" si="86"/>
        <v>0</v>
      </c>
      <c r="AX101">
        <f t="shared" si="86"/>
        <v>0</v>
      </c>
      <c r="AY101">
        <f t="shared" si="86"/>
        <v>0</v>
      </c>
      <c r="AZ101">
        <f t="shared" si="86"/>
        <v>0</v>
      </c>
    </row>
    <row r="102" spans="1:52" ht="15.75" customHeight="1">
      <c r="A102" s="362">
        <v>1992</v>
      </c>
      <c r="V102" s="127">
        <v>175</v>
      </c>
      <c r="W102">
        <f t="shared" si="22"/>
        <v>0</v>
      </c>
      <c r="X102">
        <f t="shared" ref="X102:AZ102" si="87">IF(AND(X$37-$A102&gt;$V$25,SUM($W102:W102)&lt;&gt;$V102),$V102,0)</f>
        <v>0</v>
      </c>
      <c r="Y102">
        <f t="shared" si="87"/>
        <v>0</v>
      </c>
      <c r="Z102">
        <f t="shared" si="87"/>
        <v>0</v>
      </c>
      <c r="AA102">
        <f t="shared" si="87"/>
        <v>0</v>
      </c>
      <c r="AB102">
        <f t="shared" si="87"/>
        <v>0</v>
      </c>
      <c r="AC102">
        <f t="shared" si="87"/>
        <v>0</v>
      </c>
      <c r="AD102">
        <f t="shared" si="87"/>
        <v>0</v>
      </c>
      <c r="AE102">
        <f t="shared" si="87"/>
        <v>0</v>
      </c>
      <c r="AF102">
        <f t="shared" si="87"/>
        <v>0</v>
      </c>
      <c r="AG102">
        <f t="shared" si="87"/>
        <v>0</v>
      </c>
      <c r="AH102">
        <f t="shared" si="87"/>
        <v>0</v>
      </c>
      <c r="AI102">
        <f t="shared" si="87"/>
        <v>0</v>
      </c>
      <c r="AJ102">
        <f t="shared" si="87"/>
        <v>0</v>
      </c>
      <c r="AK102">
        <f t="shared" si="87"/>
        <v>0</v>
      </c>
      <c r="AL102">
        <f t="shared" si="87"/>
        <v>0</v>
      </c>
      <c r="AM102">
        <f t="shared" si="87"/>
        <v>0</v>
      </c>
      <c r="AN102">
        <f t="shared" si="87"/>
        <v>0</v>
      </c>
      <c r="AO102">
        <f t="shared" si="87"/>
        <v>0</v>
      </c>
      <c r="AP102">
        <f t="shared" si="87"/>
        <v>0</v>
      </c>
      <c r="AQ102">
        <f t="shared" si="87"/>
        <v>0</v>
      </c>
      <c r="AR102">
        <f t="shared" si="87"/>
        <v>0</v>
      </c>
      <c r="AS102">
        <f t="shared" si="87"/>
        <v>0</v>
      </c>
      <c r="AT102">
        <f t="shared" si="87"/>
        <v>0</v>
      </c>
      <c r="AU102">
        <f t="shared" si="87"/>
        <v>0</v>
      </c>
      <c r="AV102">
        <f t="shared" si="87"/>
        <v>0</v>
      </c>
      <c r="AW102">
        <f t="shared" si="87"/>
        <v>0</v>
      </c>
      <c r="AX102">
        <f t="shared" si="87"/>
        <v>0</v>
      </c>
      <c r="AY102">
        <f t="shared" si="87"/>
        <v>0</v>
      </c>
      <c r="AZ102">
        <f t="shared" si="87"/>
        <v>0</v>
      </c>
    </row>
    <row r="103" spans="1:52" ht="15.75" customHeight="1">
      <c r="A103" s="362">
        <v>1993</v>
      </c>
      <c r="V103" s="127">
        <v>71.599999999999994</v>
      </c>
      <c r="W103">
        <f t="shared" si="22"/>
        <v>0</v>
      </c>
      <c r="X103">
        <f t="shared" ref="X103:AZ103" si="88">IF(AND(X$37-$A103&gt;$V$25,SUM($W103:W103)&lt;&gt;$V103),$V103,0)</f>
        <v>0</v>
      </c>
      <c r="Y103">
        <f t="shared" si="88"/>
        <v>0</v>
      </c>
      <c r="Z103">
        <f t="shared" si="88"/>
        <v>0</v>
      </c>
      <c r="AA103">
        <f t="shared" si="88"/>
        <v>0</v>
      </c>
      <c r="AB103">
        <f t="shared" si="88"/>
        <v>0</v>
      </c>
      <c r="AC103">
        <f t="shared" si="88"/>
        <v>0</v>
      </c>
      <c r="AD103">
        <f t="shared" si="88"/>
        <v>0</v>
      </c>
      <c r="AE103">
        <f t="shared" si="88"/>
        <v>0</v>
      </c>
      <c r="AF103">
        <f t="shared" si="88"/>
        <v>0</v>
      </c>
      <c r="AG103">
        <f t="shared" si="88"/>
        <v>0</v>
      </c>
      <c r="AH103">
        <f t="shared" si="88"/>
        <v>0</v>
      </c>
      <c r="AI103">
        <f t="shared" si="88"/>
        <v>0</v>
      </c>
      <c r="AJ103">
        <f t="shared" si="88"/>
        <v>0</v>
      </c>
      <c r="AK103">
        <f t="shared" si="88"/>
        <v>0</v>
      </c>
      <c r="AL103">
        <f t="shared" si="88"/>
        <v>0</v>
      </c>
      <c r="AM103">
        <f t="shared" si="88"/>
        <v>0</v>
      </c>
      <c r="AN103">
        <f t="shared" si="88"/>
        <v>0</v>
      </c>
      <c r="AO103">
        <f t="shared" si="88"/>
        <v>0</v>
      </c>
      <c r="AP103">
        <f t="shared" si="88"/>
        <v>0</v>
      </c>
      <c r="AQ103">
        <f t="shared" si="88"/>
        <v>0</v>
      </c>
      <c r="AR103">
        <f t="shared" si="88"/>
        <v>0</v>
      </c>
      <c r="AS103">
        <f t="shared" si="88"/>
        <v>0</v>
      </c>
      <c r="AT103">
        <f t="shared" si="88"/>
        <v>0</v>
      </c>
      <c r="AU103">
        <f t="shared" si="88"/>
        <v>0</v>
      </c>
      <c r="AV103">
        <f t="shared" si="88"/>
        <v>0</v>
      </c>
      <c r="AW103">
        <f t="shared" si="88"/>
        <v>0</v>
      </c>
      <c r="AX103">
        <f t="shared" si="88"/>
        <v>0</v>
      </c>
      <c r="AY103">
        <f t="shared" si="88"/>
        <v>0</v>
      </c>
      <c r="AZ103">
        <f t="shared" si="88"/>
        <v>0</v>
      </c>
    </row>
    <row r="104" spans="1:52" ht="15.75" customHeight="1">
      <c r="A104" s="362">
        <v>1994</v>
      </c>
      <c r="V104" s="127">
        <v>57.8</v>
      </c>
      <c r="W104">
        <f t="shared" si="22"/>
        <v>0</v>
      </c>
      <c r="X104">
        <f t="shared" ref="X104:AZ104" si="89">IF(AND(X$37-$A104&gt;$V$25,SUM($W104:W104)&lt;&gt;$V104),$V104,0)</f>
        <v>0</v>
      </c>
      <c r="Y104">
        <f t="shared" si="89"/>
        <v>0</v>
      </c>
      <c r="Z104">
        <f t="shared" si="89"/>
        <v>0</v>
      </c>
      <c r="AA104">
        <f t="shared" si="89"/>
        <v>0</v>
      </c>
      <c r="AB104">
        <f t="shared" si="89"/>
        <v>0</v>
      </c>
      <c r="AC104">
        <f t="shared" si="89"/>
        <v>0</v>
      </c>
      <c r="AD104">
        <f t="shared" si="89"/>
        <v>0</v>
      </c>
      <c r="AE104">
        <f t="shared" si="89"/>
        <v>0</v>
      </c>
      <c r="AF104">
        <f t="shared" si="89"/>
        <v>0</v>
      </c>
      <c r="AG104">
        <f t="shared" si="89"/>
        <v>0</v>
      </c>
      <c r="AH104">
        <f t="shared" si="89"/>
        <v>0</v>
      </c>
      <c r="AI104">
        <f t="shared" si="89"/>
        <v>0</v>
      </c>
      <c r="AJ104">
        <f t="shared" si="89"/>
        <v>0</v>
      </c>
      <c r="AK104">
        <f t="shared" si="89"/>
        <v>0</v>
      </c>
      <c r="AL104">
        <f t="shared" si="89"/>
        <v>0</v>
      </c>
      <c r="AM104">
        <f t="shared" si="89"/>
        <v>0</v>
      </c>
      <c r="AN104">
        <f t="shared" si="89"/>
        <v>0</v>
      </c>
      <c r="AO104">
        <f t="shared" si="89"/>
        <v>0</v>
      </c>
      <c r="AP104">
        <f t="shared" si="89"/>
        <v>0</v>
      </c>
      <c r="AQ104">
        <f t="shared" si="89"/>
        <v>0</v>
      </c>
      <c r="AR104">
        <f t="shared" si="89"/>
        <v>0</v>
      </c>
      <c r="AS104">
        <f t="shared" si="89"/>
        <v>0</v>
      </c>
      <c r="AT104">
        <f t="shared" si="89"/>
        <v>0</v>
      </c>
      <c r="AU104">
        <f t="shared" si="89"/>
        <v>0</v>
      </c>
      <c r="AV104">
        <f t="shared" si="89"/>
        <v>0</v>
      </c>
      <c r="AW104">
        <f t="shared" si="89"/>
        <v>0</v>
      </c>
      <c r="AX104">
        <f t="shared" si="89"/>
        <v>0</v>
      </c>
      <c r="AY104">
        <f t="shared" si="89"/>
        <v>0</v>
      </c>
      <c r="AZ104">
        <f t="shared" si="89"/>
        <v>0</v>
      </c>
    </row>
    <row r="105" spans="1:52" ht="15.75" customHeight="1">
      <c r="A105" s="362">
        <v>1995</v>
      </c>
      <c r="V105" s="127">
        <v>152.5</v>
      </c>
      <c r="W105">
        <f t="shared" si="22"/>
        <v>0</v>
      </c>
      <c r="X105">
        <f t="shared" ref="X105:AZ105" si="90">IF(AND(X$37-$A105&gt;$V$25,SUM($W105:W105)&lt;&gt;$V105),$V105,0)</f>
        <v>0</v>
      </c>
      <c r="Y105">
        <f t="shared" si="90"/>
        <v>0</v>
      </c>
      <c r="Z105">
        <f t="shared" si="90"/>
        <v>0</v>
      </c>
      <c r="AA105">
        <f t="shared" si="90"/>
        <v>0</v>
      </c>
      <c r="AB105">
        <f t="shared" si="90"/>
        <v>0</v>
      </c>
      <c r="AC105">
        <f t="shared" si="90"/>
        <v>0</v>
      </c>
      <c r="AD105">
        <f t="shared" si="90"/>
        <v>0</v>
      </c>
      <c r="AE105">
        <f t="shared" si="90"/>
        <v>0</v>
      </c>
      <c r="AF105">
        <f t="shared" si="90"/>
        <v>0</v>
      </c>
      <c r="AG105">
        <f t="shared" si="90"/>
        <v>0</v>
      </c>
      <c r="AH105">
        <f t="shared" si="90"/>
        <v>0</v>
      </c>
      <c r="AI105">
        <f t="shared" si="90"/>
        <v>0</v>
      </c>
      <c r="AJ105">
        <f t="shared" si="90"/>
        <v>0</v>
      </c>
      <c r="AK105">
        <f t="shared" si="90"/>
        <v>0</v>
      </c>
      <c r="AL105">
        <f t="shared" si="90"/>
        <v>0</v>
      </c>
      <c r="AM105">
        <f t="shared" si="90"/>
        <v>0</v>
      </c>
      <c r="AN105">
        <f t="shared" si="90"/>
        <v>0</v>
      </c>
      <c r="AO105">
        <f t="shared" si="90"/>
        <v>0</v>
      </c>
      <c r="AP105">
        <f t="shared" si="90"/>
        <v>0</v>
      </c>
      <c r="AQ105">
        <f t="shared" si="90"/>
        <v>0</v>
      </c>
      <c r="AR105">
        <f t="shared" si="90"/>
        <v>0</v>
      </c>
      <c r="AS105">
        <f t="shared" si="90"/>
        <v>0</v>
      </c>
      <c r="AT105">
        <f t="shared" si="90"/>
        <v>0</v>
      </c>
      <c r="AU105">
        <f t="shared" si="90"/>
        <v>0</v>
      </c>
      <c r="AV105">
        <f t="shared" si="90"/>
        <v>0</v>
      </c>
      <c r="AW105">
        <f t="shared" si="90"/>
        <v>0</v>
      </c>
      <c r="AX105">
        <f t="shared" si="90"/>
        <v>0</v>
      </c>
      <c r="AY105">
        <f t="shared" si="90"/>
        <v>0</v>
      </c>
      <c r="AZ105">
        <f t="shared" si="90"/>
        <v>0</v>
      </c>
    </row>
    <row r="106" spans="1:52" ht="15.75" customHeight="1">
      <c r="A106" s="362">
        <v>1996</v>
      </c>
      <c r="V106" s="127">
        <v>241.9</v>
      </c>
      <c r="W106">
        <f t="shared" si="22"/>
        <v>0</v>
      </c>
      <c r="X106">
        <f t="shared" ref="X106:AZ106" si="91">IF(AND(X$37-$A106&gt;$V$25,SUM($W106:W106)&lt;&gt;$V106),$V106,0)</f>
        <v>0</v>
      </c>
      <c r="Y106">
        <f t="shared" si="91"/>
        <v>0</v>
      </c>
      <c r="Z106">
        <f t="shared" si="91"/>
        <v>0</v>
      </c>
      <c r="AA106">
        <f t="shared" si="91"/>
        <v>0</v>
      </c>
      <c r="AB106">
        <f t="shared" si="91"/>
        <v>0</v>
      </c>
      <c r="AC106">
        <f t="shared" si="91"/>
        <v>0</v>
      </c>
      <c r="AD106">
        <f t="shared" si="91"/>
        <v>0</v>
      </c>
      <c r="AE106">
        <f t="shared" si="91"/>
        <v>0</v>
      </c>
      <c r="AF106">
        <f t="shared" si="91"/>
        <v>0</v>
      </c>
      <c r="AG106">
        <f t="shared" si="91"/>
        <v>0</v>
      </c>
      <c r="AH106">
        <f t="shared" si="91"/>
        <v>0</v>
      </c>
      <c r="AI106">
        <f t="shared" si="91"/>
        <v>0</v>
      </c>
      <c r="AJ106">
        <f t="shared" si="91"/>
        <v>0</v>
      </c>
      <c r="AK106">
        <f t="shared" si="91"/>
        <v>0</v>
      </c>
      <c r="AL106">
        <f t="shared" si="91"/>
        <v>0</v>
      </c>
      <c r="AM106">
        <f t="shared" si="91"/>
        <v>0</v>
      </c>
      <c r="AN106">
        <f t="shared" si="91"/>
        <v>0</v>
      </c>
      <c r="AO106">
        <f t="shared" si="91"/>
        <v>0</v>
      </c>
      <c r="AP106">
        <f t="shared" si="91"/>
        <v>0</v>
      </c>
      <c r="AQ106">
        <f t="shared" si="91"/>
        <v>0</v>
      </c>
      <c r="AR106">
        <f t="shared" si="91"/>
        <v>0</v>
      </c>
      <c r="AS106">
        <f t="shared" si="91"/>
        <v>0</v>
      </c>
      <c r="AT106">
        <f t="shared" si="91"/>
        <v>0</v>
      </c>
      <c r="AU106">
        <f t="shared" si="91"/>
        <v>0</v>
      </c>
      <c r="AV106">
        <f t="shared" si="91"/>
        <v>0</v>
      </c>
      <c r="AW106">
        <f t="shared" si="91"/>
        <v>0</v>
      </c>
      <c r="AX106">
        <f t="shared" si="91"/>
        <v>0</v>
      </c>
      <c r="AY106">
        <f t="shared" si="91"/>
        <v>0</v>
      </c>
      <c r="AZ106">
        <f t="shared" si="91"/>
        <v>0</v>
      </c>
    </row>
    <row r="107" spans="1:52" ht="15.75" customHeight="1">
      <c r="A107" s="362">
        <v>1997</v>
      </c>
      <c r="V107" s="127">
        <v>351.6</v>
      </c>
      <c r="W107">
        <f t="shared" si="22"/>
        <v>0</v>
      </c>
      <c r="X107">
        <f t="shared" ref="X107:AZ107" si="92">IF(AND(X$37-$A107&gt;$V$25,SUM($W107:W107)&lt;&gt;$V107),$V107,0)</f>
        <v>0</v>
      </c>
      <c r="Y107">
        <f t="shared" si="92"/>
        <v>0</v>
      </c>
      <c r="Z107">
        <f t="shared" si="92"/>
        <v>0</v>
      </c>
      <c r="AA107">
        <f t="shared" si="92"/>
        <v>0</v>
      </c>
      <c r="AB107">
        <f t="shared" si="92"/>
        <v>0</v>
      </c>
      <c r="AC107">
        <f t="shared" si="92"/>
        <v>0</v>
      </c>
      <c r="AD107">
        <f t="shared" si="92"/>
        <v>0</v>
      </c>
      <c r="AE107">
        <f t="shared" si="92"/>
        <v>0</v>
      </c>
      <c r="AF107">
        <f t="shared" si="92"/>
        <v>0</v>
      </c>
      <c r="AG107">
        <f t="shared" si="92"/>
        <v>0</v>
      </c>
      <c r="AH107">
        <f t="shared" si="92"/>
        <v>0</v>
      </c>
      <c r="AI107">
        <f t="shared" si="92"/>
        <v>0</v>
      </c>
      <c r="AJ107">
        <f t="shared" si="92"/>
        <v>0</v>
      </c>
      <c r="AK107">
        <f t="shared" si="92"/>
        <v>0</v>
      </c>
      <c r="AL107">
        <f t="shared" si="92"/>
        <v>0</v>
      </c>
      <c r="AM107">
        <f t="shared" si="92"/>
        <v>0</v>
      </c>
      <c r="AN107">
        <f t="shared" si="92"/>
        <v>0</v>
      </c>
      <c r="AO107">
        <f t="shared" si="92"/>
        <v>0</v>
      </c>
      <c r="AP107">
        <f t="shared" si="92"/>
        <v>0</v>
      </c>
      <c r="AQ107">
        <f t="shared" si="92"/>
        <v>0</v>
      </c>
      <c r="AR107">
        <f t="shared" si="92"/>
        <v>0</v>
      </c>
      <c r="AS107">
        <f t="shared" si="92"/>
        <v>0</v>
      </c>
      <c r="AT107">
        <f t="shared" si="92"/>
        <v>0</v>
      </c>
      <c r="AU107">
        <f t="shared" si="92"/>
        <v>0</v>
      </c>
      <c r="AV107">
        <f t="shared" si="92"/>
        <v>0</v>
      </c>
      <c r="AW107">
        <f t="shared" si="92"/>
        <v>0</v>
      </c>
      <c r="AX107">
        <f t="shared" si="92"/>
        <v>0</v>
      </c>
      <c r="AY107">
        <f t="shared" si="92"/>
        <v>0</v>
      </c>
      <c r="AZ107">
        <f t="shared" si="92"/>
        <v>0</v>
      </c>
    </row>
    <row r="108" spans="1:52" ht="15.75" customHeight="1">
      <c r="A108" s="362">
        <v>1998</v>
      </c>
      <c r="V108" s="127">
        <v>128.4</v>
      </c>
      <c r="W108">
        <f t="shared" si="22"/>
        <v>0</v>
      </c>
      <c r="X108">
        <f t="shared" ref="X108:AZ108" si="93">IF(AND(X$37-$A108&gt;$V$25,SUM($W108:W108)&lt;&gt;$V108),$V108,0)</f>
        <v>0</v>
      </c>
      <c r="Y108">
        <f t="shared" si="93"/>
        <v>0</v>
      </c>
      <c r="Z108">
        <f t="shared" si="93"/>
        <v>0</v>
      </c>
      <c r="AA108">
        <f t="shared" si="93"/>
        <v>0</v>
      </c>
      <c r="AB108">
        <f t="shared" si="93"/>
        <v>0</v>
      </c>
      <c r="AC108">
        <f t="shared" si="93"/>
        <v>0</v>
      </c>
      <c r="AD108">
        <f t="shared" si="93"/>
        <v>0</v>
      </c>
      <c r="AE108">
        <f t="shared" si="93"/>
        <v>0</v>
      </c>
      <c r="AF108">
        <f t="shared" si="93"/>
        <v>0</v>
      </c>
      <c r="AG108">
        <f t="shared" si="93"/>
        <v>0</v>
      </c>
      <c r="AH108">
        <f t="shared" si="93"/>
        <v>0</v>
      </c>
      <c r="AI108">
        <f t="shared" si="93"/>
        <v>0</v>
      </c>
      <c r="AJ108">
        <f t="shared" si="93"/>
        <v>0</v>
      </c>
      <c r="AK108">
        <f t="shared" si="93"/>
        <v>0</v>
      </c>
      <c r="AL108">
        <f t="shared" si="93"/>
        <v>0</v>
      </c>
      <c r="AM108">
        <f t="shared" si="93"/>
        <v>0</v>
      </c>
      <c r="AN108">
        <f t="shared" si="93"/>
        <v>0</v>
      </c>
      <c r="AO108">
        <f t="shared" si="93"/>
        <v>0</v>
      </c>
      <c r="AP108">
        <f t="shared" si="93"/>
        <v>0</v>
      </c>
      <c r="AQ108">
        <f t="shared" si="93"/>
        <v>0</v>
      </c>
      <c r="AR108">
        <f t="shared" si="93"/>
        <v>0</v>
      </c>
      <c r="AS108">
        <f t="shared" si="93"/>
        <v>0</v>
      </c>
      <c r="AT108">
        <f t="shared" si="93"/>
        <v>0</v>
      </c>
      <c r="AU108">
        <f t="shared" si="93"/>
        <v>0</v>
      </c>
      <c r="AV108">
        <f t="shared" si="93"/>
        <v>0</v>
      </c>
      <c r="AW108">
        <f t="shared" si="93"/>
        <v>0</v>
      </c>
      <c r="AX108">
        <f t="shared" si="93"/>
        <v>0</v>
      </c>
      <c r="AY108">
        <f t="shared" si="93"/>
        <v>0</v>
      </c>
      <c r="AZ108">
        <f t="shared" si="93"/>
        <v>0</v>
      </c>
    </row>
    <row r="109" spans="1:52" ht="15.75" customHeight="1">
      <c r="A109" s="362">
        <v>1999</v>
      </c>
      <c r="V109" s="127">
        <v>204.3</v>
      </c>
      <c r="W109">
        <f t="shared" si="22"/>
        <v>0</v>
      </c>
      <c r="X109">
        <f t="shared" ref="X109:AZ109" si="94">IF(AND(X$37-$A109&gt;$V$25,SUM($W109:W109)&lt;&gt;$V109),$V109,0)</f>
        <v>0</v>
      </c>
      <c r="Y109">
        <f t="shared" si="94"/>
        <v>0</v>
      </c>
      <c r="Z109">
        <f t="shared" si="94"/>
        <v>0</v>
      </c>
      <c r="AA109">
        <f t="shared" si="94"/>
        <v>0</v>
      </c>
      <c r="AB109">
        <f t="shared" si="94"/>
        <v>0</v>
      </c>
      <c r="AC109">
        <f t="shared" si="94"/>
        <v>0</v>
      </c>
      <c r="AD109">
        <f t="shared" si="94"/>
        <v>0</v>
      </c>
      <c r="AE109">
        <f t="shared" si="94"/>
        <v>0</v>
      </c>
      <c r="AF109">
        <f t="shared" si="94"/>
        <v>0</v>
      </c>
      <c r="AG109">
        <f t="shared" si="94"/>
        <v>0</v>
      </c>
      <c r="AH109">
        <f t="shared" si="94"/>
        <v>0</v>
      </c>
      <c r="AI109">
        <f t="shared" si="94"/>
        <v>0</v>
      </c>
      <c r="AJ109">
        <f t="shared" si="94"/>
        <v>0</v>
      </c>
      <c r="AK109">
        <f t="shared" si="94"/>
        <v>0</v>
      </c>
      <c r="AL109">
        <f t="shared" si="94"/>
        <v>0</v>
      </c>
      <c r="AM109">
        <f t="shared" si="94"/>
        <v>0</v>
      </c>
      <c r="AN109">
        <f t="shared" si="94"/>
        <v>0</v>
      </c>
      <c r="AO109">
        <f t="shared" si="94"/>
        <v>0</v>
      </c>
      <c r="AP109">
        <f t="shared" si="94"/>
        <v>0</v>
      </c>
      <c r="AQ109">
        <f t="shared" si="94"/>
        <v>0</v>
      </c>
      <c r="AR109">
        <f t="shared" si="94"/>
        <v>0</v>
      </c>
      <c r="AS109">
        <f t="shared" si="94"/>
        <v>0</v>
      </c>
      <c r="AT109">
        <f t="shared" si="94"/>
        <v>0</v>
      </c>
      <c r="AU109">
        <f t="shared" si="94"/>
        <v>0</v>
      </c>
      <c r="AV109">
        <f t="shared" si="94"/>
        <v>0</v>
      </c>
      <c r="AW109">
        <f t="shared" si="94"/>
        <v>0</v>
      </c>
      <c r="AX109">
        <f t="shared" si="94"/>
        <v>0</v>
      </c>
      <c r="AY109">
        <f t="shared" si="94"/>
        <v>0</v>
      </c>
      <c r="AZ109">
        <f t="shared" si="94"/>
        <v>0</v>
      </c>
    </row>
    <row r="110" spans="1:52" ht="15.75" customHeight="1">
      <c r="A110" s="362">
        <v>2000</v>
      </c>
      <c r="V110" s="127">
        <v>511.6</v>
      </c>
      <c r="W110">
        <f t="shared" si="22"/>
        <v>0</v>
      </c>
      <c r="X110">
        <f t="shared" ref="X110:AZ110" si="95">IF(AND(X$37-$A110&gt;$V$25,SUM($W110:W110)&lt;&gt;$V110),$V110,0)</f>
        <v>0</v>
      </c>
      <c r="Y110">
        <f t="shared" si="95"/>
        <v>0</v>
      </c>
      <c r="Z110">
        <f t="shared" si="95"/>
        <v>0</v>
      </c>
      <c r="AA110">
        <f t="shared" si="95"/>
        <v>0</v>
      </c>
      <c r="AB110">
        <f t="shared" si="95"/>
        <v>0</v>
      </c>
      <c r="AC110">
        <f t="shared" si="95"/>
        <v>0</v>
      </c>
      <c r="AD110">
        <f t="shared" si="95"/>
        <v>0</v>
      </c>
      <c r="AE110">
        <f t="shared" si="95"/>
        <v>0</v>
      </c>
      <c r="AF110">
        <f t="shared" si="95"/>
        <v>0</v>
      </c>
      <c r="AG110">
        <f t="shared" si="95"/>
        <v>0</v>
      </c>
      <c r="AH110">
        <f t="shared" si="95"/>
        <v>0</v>
      </c>
      <c r="AI110">
        <f t="shared" si="95"/>
        <v>0</v>
      </c>
      <c r="AJ110">
        <f t="shared" si="95"/>
        <v>0</v>
      </c>
      <c r="AK110">
        <f t="shared" si="95"/>
        <v>0</v>
      </c>
      <c r="AL110">
        <f t="shared" si="95"/>
        <v>0</v>
      </c>
      <c r="AM110">
        <f t="shared" si="95"/>
        <v>0</v>
      </c>
      <c r="AN110">
        <f t="shared" si="95"/>
        <v>0</v>
      </c>
      <c r="AO110">
        <f t="shared" si="95"/>
        <v>0</v>
      </c>
      <c r="AP110">
        <f t="shared" si="95"/>
        <v>0</v>
      </c>
      <c r="AQ110">
        <f t="shared" si="95"/>
        <v>0</v>
      </c>
      <c r="AR110">
        <f t="shared" si="95"/>
        <v>0</v>
      </c>
      <c r="AS110">
        <f t="shared" si="95"/>
        <v>0</v>
      </c>
      <c r="AT110">
        <f t="shared" si="95"/>
        <v>0</v>
      </c>
      <c r="AU110">
        <f t="shared" si="95"/>
        <v>0</v>
      </c>
      <c r="AV110">
        <f t="shared" si="95"/>
        <v>0</v>
      </c>
      <c r="AW110">
        <f t="shared" si="95"/>
        <v>0</v>
      </c>
      <c r="AX110">
        <f t="shared" si="95"/>
        <v>0</v>
      </c>
      <c r="AY110">
        <f t="shared" si="95"/>
        <v>0</v>
      </c>
      <c r="AZ110">
        <f t="shared" si="95"/>
        <v>0</v>
      </c>
    </row>
    <row r="111" spans="1:52" ht="15.75" customHeight="1">
      <c r="A111" s="362">
        <v>2001</v>
      </c>
      <c r="V111" s="127">
        <v>507.9</v>
      </c>
      <c r="W111">
        <f t="shared" si="22"/>
        <v>0</v>
      </c>
      <c r="X111">
        <f t="shared" ref="X111:AZ111" si="96">IF(AND(X$37-$A111&gt;$V$25,SUM($W111:W111)&lt;&gt;$V111),$V111,0)</f>
        <v>0</v>
      </c>
      <c r="Y111">
        <f t="shared" si="96"/>
        <v>0</v>
      </c>
      <c r="Z111">
        <f t="shared" si="96"/>
        <v>0</v>
      </c>
      <c r="AA111">
        <f t="shared" si="96"/>
        <v>0</v>
      </c>
      <c r="AB111">
        <f t="shared" si="96"/>
        <v>0</v>
      </c>
      <c r="AC111">
        <f t="shared" si="96"/>
        <v>0</v>
      </c>
      <c r="AD111">
        <f t="shared" si="96"/>
        <v>0</v>
      </c>
      <c r="AE111">
        <f t="shared" si="96"/>
        <v>0</v>
      </c>
      <c r="AF111">
        <f t="shared" si="96"/>
        <v>0</v>
      </c>
      <c r="AG111">
        <f t="shared" si="96"/>
        <v>0</v>
      </c>
      <c r="AH111">
        <f t="shared" si="96"/>
        <v>0</v>
      </c>
      <c r="AI111">
        <f t="shared" si="96"/>
        <v>0</v>
      </c>
      <c r="AJ111">
        <f t="shared" si="96"/>
        <v>0</v>
      </c>
      <c r="AK111">
        <f t="shared" si="96"/>
        <v>0</v>
      </c>
      <c r="AL111">
        <f t="shared" si="96"/>
        <v>0</v>
      </c>
      <c r="AM111">
        <f t="shared" si="96"/>
        <v>0</v>
      </c>
      <c r="AN111">
        <f t="shared" si="96"/>
        <v>0</v>
      </c>
      <c r="AO111">
        <f t="shared" si="96"/>
        <v>0</v>
      </c>
      <c r="AP111">
        <f t="shared" si="96"/>
        <v>0</v>
      </c>
      <c r="AQ111">
        <f t="shared" si="96"/>
        <v>0</v>
      </c>
      <c r="AR111">
        <f t="shared" si="96"/>
        <v>0</v>
      </c>
      <c r="AS111">
        <f t="shared" si="96"/>
        <v>0</v>
      </c>
      <c r="AT111">
        <f t="shared" si="96"/>
        <v>0</v>
      </c>
      <c r="AU111">
        <f t="shared" si="96"/>
        <v>0</v>
      </c>
      <c r="AV111">
        <f t="shared" si="96"/>
        <v>0</v>
      </c>
      <c r="AW111">
        <f t="shared" si="96"/>
        <v>0</v>
      </c>
      <c r="AX111">
        <f t="shared" si="96"/>
        <v>0</v>
      </c>
      <c r="AY111">
        <f t="shared" si="96"/>
        <v>0</v>
      </c>
      <c r="AZ111">
        <f t="shared" si="96"/>
        <v>0</v>
      </c>
    </row>
    <row r="112" spans="1:52" ht="15.75" customHeight="1">
      <c r="A112" s="362">
        <v>2002</v>
      </c>
      <c r="V112" s="127">
        <v>364.5</v>
      </c>
      <c r="W112">
        <f t="shared" si="22"/>
        <v>0</v>
      </c>
      <c r="X112">
        <f t="shared" ref="X112:AZ112" si="97">IF(AND(X$37-$A112&gt;$V$25,SUM($W112:W112)&lt;&gt;$V112),$V112,0)</f>
        <v>0</v>
      </c>
      <c r="Y112">
        <f t="shared" si="97"/>
        <v>0</v>
      </c>
      <c r="Z112">
        <f t="shared" si="97"/>
        <v>0</v>
      </c>
      <c r="AA112">
        <f t="shared" si="97"/>
        <v>0</v>
      </c>
      <c r="AB112">
        <f t="shared" si="97"/>
        <v>0</v>
      </c>
      <c r="AC112">
        <f t="shared" si="97"/>
        <v>0</v>
      </c>
      <c r="AD112">
        <f t="shared" si="97"/>
        <v>0</v>
      </c>
      <c r="AE112">
        <f t="shared" si="97"/>
        <v>0</v>
      </c>
      <c r="AF112">
        <f t="shared" si="97"/>
        <v>0</v>
      </c>
      <c r="AG112">
        <f t="shared" si="97"/>
        <v>0</v>
      </c>
      <c r="AH112">
        <f t="shared" si="97"/>
        <v>0</v>
      </c>
      <c r="AI112">
        <f t="shared" si="97"/>
        <v>0</v>
      </c>
      <c r="AJ112">
        <f t="shared" si="97"/>
        <v>0</v>
      </c>
      <c r="AK112">
        <f t="shared" si="97"/>
        <v>0</v>
      </c>
      <c r="AL112">
        <f t="shared" si="97"/>
        <v>0</v>
      </c>
      <c r="AM112">
        <f t="shared" si="97"/>
        <v>0</v>
      </c>
      <c r="AN112">
        <f t="shared" si="97"/>
        <v>0</v>
      </c>
      <c r="AO112">
        <f t="shared" si="97"/>
        <v>0</v>
      </c>
      <c r="AP112">
        <f t="shared" si="97"/>
        <v>0</v>
      </c>
      <c r="AQ112">
        <f t="shared" si="97"/>
        <v>0</v>
      </c>
      <c r="AR112">
        <f t="shared" si="97"/>
        <v>0</v>
      </c>
      <c r="AS112">
        <f t="shared" si="97"/>
        <v>0</v>
      </c>
      <c r="AT112">
        <f t="shared" si="97"/>
        <v>0</v>
      </c>
      <c r="AU112">
        <f t="shared" si="97"/>
        <v>0</v>
      </c>
      <c r="AV112">
        <f t="shared" si="97"/>
        <v>0</v>
      </c>
      <c r="AW112">
        <f t="shared" si="97"/>
        <v>0</v>
      </c>
      <c r="AX112">
        <f t="shared" si="97"/>
        <v>0</v>
      </c>
      <c r="AY112">
        <f t="shared" si="97"/>
        <v>0</v>
      </c>
      <c r="AZ112">
        <f t="shared" si="97"/>
        <v>0</v>
      </c>
    </row>
    <row r="113" spans="1:52" ht="15.75" customHeight="1">
      <c r="A113" s="362">
        <v>2003</v>
      </c>
      <c r="V113" s="127">
        <v>261.3</v>
      </c>
      <c r="W113">
        <f t="shared" si="22"/>
        <v>0</v>
      </c>
      <c r="X113">
        <f t="shared" ref="X113:AZ113" si="98">IF(AND(X$37-$A113&gt;$V$25,SUM($W113:W113)&lt;&gt;$V113),$V113,0)</f>
        <v>0</v>
      </c>
      <c r="Y113">
        <f t="shared" si="98"/>
        <v>0</v>
      </c>
      <c r="Z113">
        <f t="shared" si="98"/>
        <v>0</v>
      </c>
      <c r="AA113">
        <f t="shared" si="98"/>
        <v>0</v>
      </c>
      <c r="AB113">
        <f t="shared" si="98"/>
        <v>0</v>
      </c>
      <c r="AC113">
        <f t="shared" si="98"/>
        <v>0</v>
      </c>
      <c r="AD113">
        <f t="shared" si="98"/>
        <v>0</v>
      </c>
      <c r="AE113">
        <f t="shared" si="98"/>
        <v>0</v>
      </c>
      <c r="AF113">
        <f t="shared" si="98"/>
        <v>0</v>
      </c>
      <c r="AG113">
        <f t="shared" si="98"/>
        <v>0</v>
      </c>
      <c r="AH113">
        <f t="shared" si="98"/>
        <v>0</v>
      </c>
      <c r="AI113">
        <f t="shared" si="98"/>
        <v>0</v>
      </c>
      <c r="AJ113">
        <f t="shared" si="98"/>
        <v>0</v>
      </c>
      <c r="AK113">
        <f t="shared" si="98"/>
        <v>0</v>
      </c>
      <c r="AL113">
        <f t="shared" si="98"/>
        <v>0</v>
      </c>
      <c r="AM113">
        <f t="shared" si="98"/>
        <v>0</v>
      </c>
      <c r="AN113">
        <f t="shared" si="98"/>
        <v>0</v>
      </c>
      <c r="AO113">
        <f t="shared" si="98"/>
        <v>0</v>
      </c>
      <c r="AP113">
        <f t="shared" si="98"/>
        <v>0</v>
      </c>
      <c r="AQ113">
        <f t="shared" si="98"/>
        <v>0</v>
      </c>
      <c r="AR113">
        <f t="shared" si="98"/>
        <v>0</v>
      </c>
      <c r="AS113">
        <f t="shared" si="98"/>
        <v>0</v>
      </c>
      <c r="AT113">
        <f t="shared" si="98"/>
        <v>0</v>
      </c>
      <c r="AU113">
        <f t="shared" si="98"/>
        <v>0</v>
      </c>
      <c r="AV113">
        <f t="shared" si="98"/>
        <v>0</v>
      </c>
      <c r="AW113">
        <f t="shared" si="98"/>
        <v>0</v>
      </c>
      <c r="AX113">
        <f t="shared" si="98"/>
        <v>0</v>
      </c>
      <c r="AY113">
        <f t="shared" si="98"/>
        <v>0</v>
      </c>
      <c r="AZ113">
        <f t="shared" si="98"/>
        <v>0</v>
      </c>
    </row>
    <row r="114" spans="1:52" ht="15.75" customHeight="1">
      <c r="A114" s="362">
        <v>2004</v>
      </c>
      <c r="V114" s="127">
        <v>208.6</v>
      </c>
      <c r="W114">
        <f t="shared" si="22"/>
        <v>0</v>
      </c>
      <c r="X114">
        <f t="shared" ref="X114:AZ114" si="99">IF(AND(X$37-$A114&gt;$V$25,SUM($W114:W114)&lt;&gt;$V114),$V114,0)</f>
        <v>0</v>
      </c>
      <c r="Y114">
        <f t="shared" si="99"/>
        <v>0</v>
      </c>
      <c r="Z114">
        <f t="shared" si="99"/>
        <v>0</v>
      </c>
      <c r="AA114">
        <f t="shared" si="99"/>
        <v>0</v>
      </c>
      <c r="AB114">
        <f t="shared" si="99"/>
        <v>0</v>
      </c>
      <c r="AC114">
        <f t="shared" si="99"/>
        <v>0</v>
      </c>
      <c r="AD114">
        <f t="shared" si="99"/>
        <v>0</v>
      </c>
      <c r="AE114">
        <f t="shared" si="99"/>
        <v>0</v>
      </c>
      <c r="AF114">
        <f t="shared" si="99"/>
        <v>0</v>
      </c>
      <c r="AG114">
        <f t="shared" si="99"/>
        <v>0</v>
      </c>
      <c r="AH114">
        <f t="shared" si="99"/>
        <v>0</v>
      </c>
      <c r="AI114">
        <f t="shared" si="99"/>
        <v>0</v>
      </c>
      <c r="AJ114">
        <f t="shared" si="99"/>
        <v>0</v>
      </c>
      <c r="AK114">
        <f t="shared" si="99"/>
        <v>0</v>
      </c>
      <c r="AL114">
        <f t="shared" si="99"/>
        <v>0</v>
      </c>
      <c r="AM114">
        <f t="shared" si="99"/>
        <v>0</v>
      </c>
      <c r="AN114">
        <f t="shared" si="99"/>
        <v>0</v>
      </c>
      <c r="AO114">
        <f t="shared" si="99"/>
        <v>0</v>
      </c>
      <c r="AP114">
        <f t="shared" si="99"/>
        <v>0</v>
      </c>
      <c r="AQ114">
        <f t="shared" si="99"/>
        <v>0</v>
      </c>
      <c r="AR114">
        <f t="shared" si="99"/>
        <v>0</v>
      </c>
      <c r="AS114">
        <f t="shared" si="99"/>
        <v>0</v>
      </c>
      <c r="AT114">
        <f t="shared" si="99"/>
        <v>0</v>
      </c>
      <c r="AU114">
        <f t="shared" si="99"/>
        <v>0</v>
      </c>
      <c r="AV114">
        <f t="shared" si="99"/>
        <v>0</v>
      </c>
      <c r="AW114">
        <f t="shared" si="99"/>
        <v>0</v>
      </c>
      <c r="AX114">
        <f t="shared" si="99"/>
        <v>0</v>
      </c>
      <c r="AY114">
        <f t="shared" si="99"/>
        <v>0</v>
      </c>
      <c r="AZ114">
        <f t="shared" si="99"/>
        <v>0</v>
      </c>
    </row>
    <row r="115" spans="1:52" ht="15.75" customHeight="1">
      <c r="A115" s="362">
        <v>2005</v>
      </c>
      <c r="V115" s="127">
        <v>117.4</v>
      </c>
      <c r="W115">
        <f t="shared" si="22"/>
        <v>0</v>
      </c>
      <c r="X115">
        <f t="shared" ref="X115:AZ115" si="100">IF(AND(X$37-$A115&gt;$V$25,SUM($W115:W115)&lt;&gt;$V115),$V115,0)</f>
        <v>0</v>
      </c>
      <c r="Y115">
        <f t="shared" si="100"/>
        <v>0</v>
      </c>
      <c r="Z115">
        <f t="shared" si="100"/>
        <v>0</v>
      </c>
      <c r="AA115">
        <f t="shared" si="100"/>
        <v>0</v>
      </c>
      <c r="AB115">
        <f t="shared" si="100"/>
        <v>0</v>
      </c>
      <c r="AC115">
        <f t="shared" si="100"/>
        <v>0</v>
      </c>
      <c r="AD115">
        <f t="shared" si="100"/>
        <v>0</v>
      </c>
      <c r="AE115">
        <f t="shared" si="100"/>
        <v>0</v>
      </c>
      <c r="AF115">
        <f t="shared" si="100"/>
        <v>0</v>
      </c>
      <c r="AG115">
        <f t="shared" si="100"/>
        <v>0</v>
      </c>
      <c r="AH115">
        <f t="shared" si="100"/>
        <v>0</v>
      </c>
      <c r="AI115">
        <f t="shared" si="100"/>
        <v>0</v>
      </c>
      <c r="AJ115">
        <f t="shared" si="100"/>
        <v>0</v>
      </c>
      <c r="AK115">
        <f t="shared" si="100"/>
        <v>0</v>
      </c>
      <c r="AL115">
        <f t="shared" si="100"/>
        <v>0</v>
      </c>
      <c r="AM115">
        <f t="shared" si="100"/>
        <v>0</v>
      </c>
      <c r="AN115">
        <f t="shared" si="100"/>
        <v>0</v>
      </c>
      <c r="AO115">
        <f t="shared" si="100"/>
        <v>0</v>
      </c>
      <c r="AP115">
        <f t="shared" si="100"/>
        <v>0</v>
      </c>
      <c r="AQ115">
        <f t="shared" si="100"/>
        <v>0</v>
      </c>
      <c r="AR115">
        <f t="shared" si="100"/>
        <v>0</v>
      </c>
      <c r="AS115">
        <f t="shared" si="100"/>
        <v>0</v>
      </c>
      <c r="AT115">
        <f t="shared" si="100"/>
        <v>0</v>
      </c>
      <c r="AU115">
        <f t="shared" si="100"/>
        <v>0</v>
      </c>
      <c r="AV115">
        <f t="shared" si="100"/>
        <v>0</v>
      </c>
      <c r="AW115">
        <f t="shared" si="100"/>
        <v>0</v>
      </c>
      <c r="AX115">
        <f t="shared" si="100"/>
        <v>0</v>
      </c>
      <c r="AY115">
        <f t="shared" si="100"/>
        <v>0</v>
      </c>
      <c r="AZ115">
        <f t="shared" si="100"/>
        <v>0</v>
      </c>
    </row>
    <row r="116" spans="1:52" ht="15.75" customHeight="1">
      <c r="A116" s="362">
        <v>2006</v>
      </c>
      <c r="V116" s="127">
        <v>168.6</v>
      </c>
      <c r="W116">
        <f t="shared" si="22"/>
        <v>0</v>
      </c>
      <c r="X116">
        <f t="shared" ref="X116:AZ116" si="101">IF(AND(X$37-$A116&gt;$V$25,SUM($W116:W116)&lt;&gt;$V116),$V116,0)</f>
        <v>0</v>
      </c>
      <c r="Y116">
        <f t="shared" si="101"/>
        <v>0</v>
      </c>
      <c r="Z116">
        <f t="shared" si="101"/>
        <v>0</v>
      </c>
      <c r="AA116">
        <f t="shared" si="101"/>
        <v>0</v>
      </c>
      <c r="AB116">
        <f t="shared" si="101"/>
        <v>0</v>
      </c>
      <c r="AC116">
        <f t="shared" si="101"/>
        <v>0</v>
      </c>
      <c r="AD116">
        <f t="shared" si="101"/>
        <v>0</v>
      </c>
      <c r="AE116">
        <f t="shared" si="101"/>
        <v>0</v>
      </c>
      <c r="AF116">
        <f t="shared" si="101"/>
        <v>0</v>
      </c>
      <c r="AG116">
        <f t="shared" si="101"/>
        <v>0</v>
      </c>
      <c r="AH116">
        <f t="shared" si="101"/>
        <v>0</v>
      </c>
      <c r="AI116">
        <f t="shared" si="101"/>
        <v>0</v>
      </c>
      <c r="AJ116">
        <f t="shared" si="101"/>
        <v>0</v>
      </c>
      <c r="AK116">
        <f t="shared" si="101"/>
        <v>0</v>
      </c>
      <c r="AL116">
        <f t="shared" si="101"/>
        <v>0</v>
      </c>
      <c r="AM116">
        <f t="shared" si="101"/>
        <v>0</v>
      </c>
      <c r="AN116">
        <f t="shared" si="101"/>
        <v>0</v>
      </c>
      <c r="AO116">
        <f t="shared" si="101"/>
        <v>0</v>
      </c>
      <c r="AP116">
        <f t="shared" si="101"/>
        <v>0</v>
      </c>
      <c r="AQ116">
        <f t="shared" si="101"/>
        <v>0</v>
      </c>
      <c r="AR116">
        <f t="shared" si="101"/>
        <v>0</v>
      </c>
      <c r="AS116">
        <f t="shared" si="101"/>
        <v>0</v>
      </c>
      <c r="AT116">
        <f t="shared" si="101"/>
        <v>0</v>
      </c>
      <c r="AU116">
        <f t="shared" si="101"/>
        <v>0</v>
      </c>
      <c r="AV116">
        <f t="shared" si="101"/>
        <v>0</v>
      </c>
      <c r="AW116">
        <f t="shared" si="101"/>
        <v>0</v>
      </c>
      <c r="AX116">
        <f t="shared" si="101"/>
        <v>0</v>
      </c>
      <c r="AY116">
        <f t="shared" si="101"/>
        <v>0</v>
      </c>
      <c r="AZ116">
        <f t="shared" si="101"/>
        <v>0</v>
      </c>
    </row>
    <row r="117" spans="1:52" ht="15.75" customHeight="1">
      <c r="A117" s="362">
        <v>2007</v>
      </c>
      <c r="V117" s="127">
        <v>239.5</v>
      </c>
      <c r="W117">
        <f t="shared" si="22"/>
        <v>0</v>
      </c>
      <c r="X117">
        <f t="shared" ref="X117:AZ117" si="102">IF(AND(X$37-$A117&gt;$V$25,SUM($W117:W117)&lt;&gt;$V117),$V117,0)</f>
        <v>0</v>
      </c>
      <c r="Y117">
        <f t="shared" si="102"/>
        <v>0</v>
      </c>
      <c r="Z117">
        <f t="shared" si="102"/>
        <v>0</v>
      </c>
      <c r="AA117">
        <f t="shared" si="102"/>
        <v>0</v>
      </c>
      <c r="AB117">
        <f t="shared" si="102"/>
        <v>0</v>
      </c>
      <c r="AC117">
        <f t="shared" si="102"/>
        <v>0</v>
      </c>
      <c r="AD117">
        <f t="shared" si="102"/>
        <v>0</v>
      </c>
      <c r="AE117">
        <f t="shared" si="102"/>
        <v>0</v>
      </c>
      <c r="AF117">
        <f t="shared" si="102"/>
        <v>0</v>
      </c>
      <c r="AG117">
        <f t="shared" si="102"/>
        <v>0</v>
      </c>
      <c r="AH117">
        <f t="shared" si="102"/>
        <v>0</v>
      </c>
      <c r="AI117">
        <f t="shared" si="102"/>
        <v>0</v>
      </c>
      <c r="AJ117">
        <f t="shared" si="102"/>
        <v>0</v>
      </c>
      <c r="AK117">
        <f t="shared" si="102"/>
        <v>0</v>
      </c>
      <c r="AL117">
        <f t="shared" si="102"/>
        <v>0</v>
      </c>
      <c r="AM117">
        <f t="shared" si="102"/>
        <v>0</v>
      </c>
      <c r="AN117">
        <f t="shared" si="102"/>
        <v>0</v>
      </c>
      <c r="AO117">
        <f t="shared" si="102"/>
        <v>0</v>
      </c>
      <c r="AP117">
        <f t="shared" si="102"/>
        <v>0</v>
      </c>
      <c r="AQ117">
        <f t="shared" si="102"/>
        <v>0</v>
      </c>
      <c r="AR117">
        <f t="shared" si="102"/>
        <v>0</v>
      </c>
      <c r="AS117">
        <f t="shared" si="102"/>
        <v>0</v>
      </c>
      <c r="AT117">
        <f t="shared" si="102"/>
        <v>0</v>
      </c>
      <c r="AU117">
        <f t="shared" si="102"/>
        <v>0</v>
      </c>
      <c r="AV117">
        <f t="shared" si="102"/>
        <v>0</v>
      </c>
      <c r="AW117">
        <f t="shared" si="102"/>
        <v>0</v>
      </c>
      <c r="AX117">
        <f t="shared" si="102"/>
        <v>0</v>
      </c>
      <c r="AY117">
        <f t="shared" si="102"/>
        <v>0</v>
      </c>
      <c r="AZ117">
        <f t="shared" si="102"/>
        <v>0</v>
      </c>
    </row>
    <row r="118" spans="1:52" ht="15.75" customHeight="1">
      <c r="A118" s="362">
        <v>2008</v>
      </c>
      <c r="V118" s="127">
        <v>85.7</v>
      </c>
      <c r="W118">
        <f t="shared" si="22"/>
        <v>0</v>
      </c>
      <c r="X118">
        <f t="shared" ref="X118:AZ118" si="103">IF(AND(X$37-$A118&gt;$V$25,SUM($W118:W118)&lt;&gt;$V118),$V118,0)</f>
        <v>0</v>
      </c>
      <c r="Y118">
        <f t="shared" si="103"/>
        <v>0</v>
      </c>
      <c r="Z118">
        <f t="shared" si="103"/>
        <v>0</v>
      </c>
      <c r="AA118">
        <f t="shared" si="103"/>
        <v>0</v>
      </c>
      <c r="AB118">
        <f t="shared" si="103"/>
        <v>0</v>
      </c>
      <c r="AC118">
        <f t="shared" si="103"/>
        <v>0</v>
      </c>
      <c r="AD118">
        <f t="shared" si="103"/>
        <v>0</v>
      </c>
      <c r="AE118">
        <f t="shared" si="103"/>
        <v>0</v>
      </c>
      <c r="AF118">
        <f t="shared" si="103"/>
        <v>0</v>
      </c>
      <c r="AG118">
        <f t="shared" si="103"/>
        <v>0</v>
      </c>
      <c r="AH118">
        <f t="shared" si="103"/>
        <v>0</v>
      </c>
      <c r="AI118">
        <f t="shared" si="103"/>
        <v>0</v>
      </c>
      <c r="AJ118">
        <f t="shared" si="103"/>
        <v>0</v>
      </c>
      <c r="AK118">
        <f t="shared" si="103"/>
        <v>0</v>
      </c>
      <c r="AL118">
        <f t="shared" si="103"/>
        <v>0</v>
      </c>
      <c r="AM118">
        <f t="shared" si="103"/>
        <v>0</v>
      </c>
      <c r="AN118">
        <f t="shared" si="103"/>
        <v>0</v>
      </c>
      <c r="AO118">
        <f t="shared" si="103"/>
        <v>0</v>
      </c>
      <c r="AP118">
        <f t="shared" si="103"/>
        <v>0</v>
      </c>
      <c r="AQ118">
        <f t="shared" si="103"/>
        <v>0</v>
      </c>
      <c r="AR118">
        <f t="shared" si="103"/>
        <v>0</v>
      </c>
      <c r="AS118">
        <f t="shared" si="103"/>
        <v>0</v>
      </c>
      <c r="AT118">
        <f t="shared" si="103"/>
        <v>0</v>
      </c>
      <c r="AU118">
        <f t="shared" si="103"/>
        <v>0</v>
      </c>
      <c r="AV118">
        <f t="shared" si="103"/>
        <v>0</v>
      </c>
      <c r="AW118">
        <f t="shared" si="103"/>
        <v>0</v>
      </c>
      <c r="AX118">
        <f t="shared" si="103"/>
        <v>0</v>
      </c>
      <c r="AY118">
        <f t="shared" si="103"/>
        <v>0</v>
      </c>
      <c r="AZ118">
        <f t="shared" si="103"/>
        <v>0</v>
      </c>
    </row>
    <row r="119" spans="1:52" ht="15.75" customHeight="1">
      <c r="A119" s="362">
        <v>2009</v>
      </c>
      <c r="V119" s="127">
        <v>66.8</v>
      </c>
      <c r="W119">
        <f t="shared" si="22"/>
        <v>0</v>
      </c>
      <c r="X119">
        <f t="shared" ref="X119:AZ119" si="104">IF(AND(X$37-$A119&gt;$V$25,SUM($W119:W119)&lt;&gt;$V119),$V119,0)</f>
        <v>0</v>
      </c>
      <c r="Y119">
        <f t="shared" si="104"/>
        <v>0</v>
      </c>
      <c r="Z119">
        <f t="shared" si="104"/>
        <v>0</v>
      </c>
      <c r="AA119">
        <f t="shared" si="104"/>
        <v>0</v>
      </c>
      <c r="AB119">
        <f t="shared" si="104"/>
        <v>0</v>
      </c>
      <c r="AC119">
        <f t="shared" si="104"/>
        <v>0</v>
      </c>
      <c r="AD119">
        <f t="shared" si="104"/>
        <v>0</v>
      </c>
      <c r="AE119">
        <f t="shared" si="104"/>
        <v>0</v>
      </c>
      <c r="AF119">
        <f t="shared" si="104"/>
        <v>0</v>
      </c>
      <c r="AG119">
        <f t="shared" si="104"/>
        <v>0</v>
      </c>
      <c r="AH119">
        <f t="shared" si="104"/>
        <v>0</v>
      </c>
      <c r="AI119">
        <f t="shared" si="104"/>
        <v>0</v>
      </c>
      <c r="AJ119">
        <f t="shared" si="104"/>
        <v>0</v>
      </c>
      <c r="AK119">
        <f t="shared" si="104"/>
        <v>0</v>
      </c>
      <c r="AL119">
        <f t="shared" si="104"/>
        <v>0</v>
      </c>
      <c r="AM119">
        <f t="shared" si="104"/>
        <v>0</v>
      </c>
      <c r="AN119">
        <f t="shared" si="104"/>
        <v>0</v>
      </c>
      <c r="AO119">
        <f t="shared" si="104"/>
        <v>0</v>
      </c>
      <c r="AP119">
        <f t="shared" si="104"/>
        <v>0</v>
      </c>
      <c r="AQ119">
        <f t="shared" si="104"/>
        <v>0</v>
      </c>
      <c r="AR119">
        <f t="shared" si="104"/>
        <v>0</v>
      </c>
      <c r="AS119">
        <f t="shared" si="104"/>
        <v>0</v>
      </c>
      <c r="AT119">
        <f t="shared" si="104"/>
        <v>0</v>
      </c>
      <c r="AU119">
        <f t="shared" si="104"/>
        <v>0</v>
      </c>
      <c r="AV119">
        <f t="shared" si="104"/>
        <v>0</v>
      </c>
      <c r="AW119">
        <f t="shared" si="104"/>
        <v>0</v>
      </c>
      <c r="AX119">
        <f t="shared" si="104"/>
        <v>0</v>
      </c>
      <c r="AY119">
        <f t="shared" si="104"/>
        <v>0</v>
      </c>
      <c r="AZ119">
        <f t="shared" si="104"/>
        <v>0</v>
      </c>
    </row>
    <row r="120" spans="1:52" ht="15.75" customHeight="1">
      <c r="A120" s="362">
        <v>2010</v>
      </c>
      <c r="V120" s="127">
        <v>910.7</v>
      </c>
      <c r="W120">
        <f t="shared" si="22"/>
        <v>0</v>
      </c>
      <c r="X120">
        <f t="shared" ref="X120:AZ120" si="105">IF(AND(X$37-$A120&gt;$V$25,SUM($W120:W120)&lt;&gt;$V120),$V120,0)</f>
        <v>0</v>
      </c>
      <c r="Y120">
        <f t="shared" si="105"/>
        <v>0</v>
      </c>
      <c r="Z120">
        <f t="shared" si="105"/>
        <v>0</v>
      </c>
      <c r="AA120">
        <f t="shared" si="105"/>
        <v>0</v>
      </c>
      <c r="AB120">
        <f t="shared" si="105"/>
        <v>0</v>
      </c>
      <c r="AC120">
        <f t="shared" si="105"/>
        <v>0</v>
      </c>
      <c r="AD120">
        <f t="shared" si="105"/>
        <v>0</v>
      </c>
      <c r="AE120">
        <f t="shared" si="105"/>
        <v>0</v>
      </c>
      <c r="AF120">
        <f t="shared" si="105"/>
        <v>0</v>
      </c>
      <c r="AG120">
        <f t="shared" si="105"/>
        <v>0</v>
      </c>
      <c r="AH120">
        <f t="shared" si="105"/>
        <v>0</v>
      </c>
      <c r="AI120">
        <f t="shared" si="105"/>
        <v>0</v>
      </c>
      <c r="AJ120">
        <f t="shared" si="105"/>
        <v>0</v>
      </c>
      <c r="AK120">
        <f t="shared" si="105"/>
        <v>0</v>
      </c>
      <c r="AL120">
        <f t="shared" si="105"/>
        <v>0</v>
      </c>
      <c r="AM120">
        <f t="shared" si="105"/>
        <v>0</v>
      </c>
      <c r="AN120">
        <f t="shared" si="105"/>
        <v>0</v>
      </c>
      <c r="AO120">
        <f t="shared" si="105"/>
        <v>0</v>
      </c>
      <c r="AP120">
        <f t="shared" si="105"/>
        <v>0</v>
      </c>
      <c r="AQ120">
        <f t="shared" si="105"/>
        <v>0</v>
      </c>
      <c r="AR120">
        <f t="shared" si="105"/>
        <v>0</v>
      </c>
      <c r="AS120">
        <f t="shared" si="105"/>
        <v>0</v>
      </c>
      <c r="AT120">
        <f t="shared" si="105"/>
        <v>0</v>
      </c>
      <c r="AU120">
        <f t="shared" si="105"/>
        <v>0</v>
      </c>
      <c r="AV120">
        <f t="shared" si="105"/>
        <v>0</v>
      </c>
      <c r="AW120">
        <f t="shared" si="105"/>
        <v>0</v>
      </c>
      <c r="AX120">
        <f t="shared" si="105"/>
        <v>0</v>
      </c>
      <c r="AY120">
        <f t="shared" si="105"/>
        <v>0</v>
      </c>
      <c r="AZ120">
        <f t="shared" si="105"/>
        <v>0</v>
      </c>
    </row>
    <row r="121" spans="1:52" ht="15.75" customHeight="1">
      <c r="A121" s="362">
        <v>2011</v>
      </c>
      <c r="V121" s="127">
        <v>337.8</v>
      </c>
      <c r="W121">
        <f t="shared" si="22"/>
        <v>0</v>
      </c>
      <c r="X121">
        <f t="shared" ref="X121:AZ121" si="106">IF(AND(X$37-$A121&gt;$V$25,SUM($W121:W121)&lt;&gt;$V121),$V121,0)</f>
        <v>0</v>
      </c>
      <c r="Y121">
        <f t="shared" si="106"/>
        <v>0</v>
      </c>
      <c r="Z121">
        <f t="shared" si="106"/>
        <v>0</v>
      </c>
      <c r="AA121">
        <f t="shared" si="106"/>
        <v>0</v>
      </c>
      <c r="AB121">
        <f t="shared" si="106"/>
        <v>0</v>
      </c>
      <c r="AC121">
        <f t="shared" si="106"/>
        <v>0</v>
      </c>
      <c r="AD121">
        <f t="shared" si="106"/>
        <v>0</v>
      </c>
      <c r="AE121">
        <f t="shared" si="106"/>
        <v>0</v>
      </c>
      <c r="AF121">
        <f t="shared" si="106"/>
        <v>0</v>
      </c>
      <c r="AG121">
        <f t="shared" si="106"/>
        <v>0</v>
      </c>
      <c r="AH121">
        <f t="shared" si="106"/>
        <v>0</v>
      </c>
      <c r="AI121">
        <f t="shared" si="106"/>
        <v>0</v>
      </c>
      <c r="AJ121">
        <f t="shared" si="106"/>
        <v>0</v>
      </c>
      <c r="AK121">
        <f t="shared" si="106"/>
        <v>0</v>
      </c>
      <c r="AL121">
        <f t="shared" si="106"/>
        <v>0</v>
      </c>
      <c r="AM121">
        <f t="shared" si="106"/>
        <v>0</v>
      </c>
      <c r="AN121">
        <f t="shared" si="106"/>
        <v>0</v>
      </c>
      <c r="AO121">
        <f t="shared" si="106"/>
        <v>0</v>
      </c>
      <c r="AP121">
        <f t="shared" si="106"/>
        <v>0</v>
      </c>
      <c r="AQ121">
        <f t="shared" si="106"/>
        <v>0</v>
      </c>
      <c r="AR121">
        <f t="shared" si="106"/>
        <v>0</v>
      </c>
      <c r="AS121">
        <f t="shared" si="106"/>
        <v>0</v>
      </c>
      <c r="AT121">
        <f t="shared" si="106"/>
        <v>0</v>
      </c>
      <c r="AU121">
        <f t="shared" si="106"/>
        <v>0</v>
      </c>
      <c r="AV121">
        <f t="shared" si="106"/>
        <v>0</v>
      </c>
      <c r="AW121">
        <f t="shared" si="106"/>
        <v>0</v>
      </c>
      <c r="AX121">
        <f t="shared" si="106"/>
        <v>0</v>
      </c>
      <c r="AY121">
        <f t="shared" si="106"/>
        <v>0</v>
      </c>
      <c r="AZ121">
        <f t="shared" si="106"/>
        <v>0</v>
      </c>
    </row>
    <row r="122" spans="1:52" ht="15.75" customHeight="1">
      <c r="A122" s="362">
        <v>2012</v>
      </c>
      <c r="V122" s="127">
        <v>189.7</v>
      </c>
      <c r="W122">
        <f t="shared" si="22"/>
        <v>0</v>
      </c>
      <c r="X122">
        <f t="shared" ref="X122:AZ122" si="107">IF(AND(X$37-$A122&gt;$V$25,SUM($W122:W122)&lt;&gt;$V122),$V122,0)</f>
        <v>0</v>
      </c>
      <c r="Y122">
        <f t="shared" si="107"/>
        <v>0</v>
      </c>
      <c r="Z122">
        <f t="shared" si="107"/>
        <v>0</v>
      </c>
      <c r="AA122">
        <f t="shared" si="107"/>
        <v>0</v>
      </c>
      <c r="AB122">
        <f t="shared" si="107"/>
        <v>0</v>
      </c>
      <c r="AC122">
        <f t="shared" si="107"/>
        <v>0</v>
      </c>
      <c r="AD122">
        <f t="shared" si="107"/>
        <v>0</v>
      </c>
      <c r="AE122">
        <f t="shared" si="107"/>
        <v>0</v>
      </c>
      <c r="AF122">
        <f t="shared" si="107"/>
        <v>0</v>
      </c>
      <c r="AG122">
        <f t="shared" si="107"/>
        <v>0</v>
      </c>
      <c r="AH122">
        <f t="shared" si="107"/>
        <v>0</v>
      </c>
      <c r="AI122">
        <f t="shared" si="107"/>
        <v>0</v>
      </c>
      <c r="AJ122">
        <f t="shared" si="107"/>
        <v>0</v>
      </c>
      <c r="AK122">
        <f t="shared" si="107"/>
        <v>0</v>
      </c>
      <c r="AL122">
        <f t="shared" si="107"/>
        <v>0</v>
      </c>
      <c r="AM122">
        <f t="shared" si="107"/>
        <v>0</v>
      </c>
      <c r="AN122">
        <f t="shared" si="107"/>
        <v>0</v>
      </c>
      <c r="AO122">
        <f t="shared" si="107"/>
        <v>0</v>
      </c>
      <c r="AP122">
        <f t="shared" si="107"/>
        <v>0</v>
      </c>
      <c r="AQ122">
        <f t="shared" si="107"/>
        <v>0</v>
      </c>
      <c r="AR122">
        <f t="shared" si="107"/>
        <v>0</v>
      </c>
      <c r="AS122">
        <f t="shared" si="107"/>
        <v>0</v>
      </c>
      <c r="AT122">
        <f t="shared" si="107"/>
        <v>0</v>
      </c>
      <c r="AU122">
        <f t="shared" si="107"/>
        <v>0</v>
      </c>
      <c r="AV122">
        <f t="shared" si="107"/>
        <v>0</v>
      </c>
      <c r="AW122">
        <f t="shared" si="107"/>
        <v>0</v>
      </c>
      <c r="AX122">
        <f t="shared" si="107"/>
        <v>0</v>
      </c>
      <c r="AY122">
        <f t="shared" si="107"/>
        <v>0</v>
      </c>
      <c r="AZ122">
        <f t="shared" si="107"/>
        <v>0</v>
      </c>
    </row>
    <row r="123" spans="1:52" ht="15.75" customHeight="1">
      <c r="A123" s="362">
        <v>2013</v>
      </c>
      <c r="V123" s="127">
        <v>57.5</v>
      </c>
      <c r="W123">
        <f t="shared" si="22"/>
        <v>0</v>
      </c>
      <c r="X123">
        <f t="shared" ref="X123:AZ123" si="108">IF(AND(X$37-$A123&gt;$V$25,SUM($W123:W123)&lt;&gt;$V123),$V123,0)</f>
        <v>0</v>
      </c>
      <c r="Y123">
        <f t="shared" si="108"/>
        <v>0</v>
      </c>
      <c r="Z123">
        <f t="shared" si="108"/>
        <v>0</v>
      </c>
      <c r="AA123">
        <f t="shared" si="108"/>
        <v>0</v>
      </c>
      <c r="AB123">
        <f t="shared" si="108"/>
        <v>0</v>
      </c>
      <c r="AC123">
        <f t="shared" si="108"/>
        <v>0</v>
      </c>
      <c r="AD123">
        <f t="shared" si="108"/>
        <v>0</v>
      </c>
      <c r="AE123">
        <f t="shared" si="108"/>
        <v>0</v>
      </c>
      <c r="AF123">
        <f t="shared" si="108"/>
        <v>0</v>
      </c>
      <c r="AG123">
        <f t="shared" si="108"/>
        <v>0</v>
      </c>
      <c r="AH123">
        <f t="shared" si="108"/>
        <v>0</v>
      </c>
      <c r="AI123">
        <f t="shared" si="108"/>
        <v>0</v>
      </c>
      <c r="AJ123">
        <f t="shared" si="108"/>
        <v>0</v>
      </c>
      <c r="AK123">
        <f t="shared" si="108"/>
        <v>0</v>
      </c>
      <c r="AL123">
        <f t="shared" si="108"/>
        <v>0</v>
      </c>
      <c r="AM123">
        <f t="shared" si="108"/>
        <v>0</v>
      </c>
      <c r="AN123">
        <f t="shared" si="108"/>
        <v>0</v>
      </c>
      <c r="AO123">
        <f t="shared" si="108"/>
        <v>0</v>
      </c>
      <c r="AP123">
        <f t="shared" si="108"/>
        <v>0</v>
      </c>
      <c r="AQ123">
        <f t="shared" si="108"/>
        <v>0</v>
      </c>
      <c r="AR123">
        <f t="shared" si="108"/>
        <v>0</v>
      </c>
      <c r="AS123">
        <f t="shared" si="108"/>
        <v>0</v>
      </c>
      <c r="AT123">
        <f t="shared" si="108"/>
        <v>0</v>
      </c>
      <c r="AU123">
        <f t="shared" si="108"/>
        <v>0</v>
      </c>
      <c r="AV123">
        <f t="shared" si="108"/>
        <v>0</v>
      </c>
      <c r="AW123">
        <f t="shared" si="108"/>
        <v>0</v>
      </c>
      <c r="AX123">
        <f t="shared" si="108"/>
        <v>0</v>
      </c>
      <c r="AY123">
        <f t="shared" si="108"/>
        <v>0</v>
      </c>
      <c r="AZ123">
        <f t="shared" si="108"/>
        <v>0</v>
      </c>
    </row>
    <row r="124" spans="1:52" ht="15.75" customHeight="1">
      <c r="A124" s="362">
        <v>2014</v>
      </c>
      <c r="V124" s="127">
        <v>49.2</v>
      </c>
      <c r="W124">
        <f t="shared" si="22"/>
        <v>0</v>
      </c>
      <c r="X124">
        <f t="shared" ref="X124:AZ124" si="109">IF(AND(X$37-$A124&gt;$V$25,SUM($W124:W124)&lt;&gt;$V124),$V124,0)</f>
        <v>0</v>
      </c>
      <c r="Y124">
        <f t="shared" si="109"/>
        <v>0</v>
      </c>
      <c r="Z124">
        <f t="shared" si="109"/>
        <v>0</v>
      </c>
      <c r="AA124">
        <f t="shared" si="109"/>
        <v>0</v>
      </c>
      <c r="AB124">
        <f t="shared" si="109"/>
        <v>0</v>
      </c>
      <c r="AC124">
        <f t="shared" si="109"/>
        <v>0</v>
      </c>
      <c r="AD124">
        <f t="shared" si="109"/>
        <v>0</v>
      </c>
      <c r="AE124">
        <f t="shared" si="109"/>
        <v>0</v>
      </c>
      <c r="AF124">
        <f t="shared" si="109"/>
        <v>0</v>
      </c>
      <c r="AG124">
        <f t="shared" si="109"/>
        <v>0</v>
      </c>
      <c r="AH124">
        <f t="shared" si="109"/>
        <v>0</v>
      </c>
      <c r="AI124">
        <f t="shared" si="109"/>
        <v>0</v>
      </c>
      <c r="AJ124">
        <f t="shared" si="109"/>
        <v>0</v>
      </c>
      <c r="AK124">
        <f t="shared" si="109"/>
        <v>0</v>
      </c>
      <c r="AL124">
        <f t="shared" si="109"/>
        <v>0</v>
      </c>
      <c r="AM124">
        <f t="shared" si="109"/>
        <v>0</v>
      </c>
      <c r="AN124">
        <f t="shared" si="109"/>
        <v>0</v>
      </c>
      <c r="AO124">
        <f t="shared" si="109"/>
        <v>0</v>
      </c>
      <c r="AP124">
        <f t="shared" si="109"/>
        <v>0</v>
      </c>
      <c r="AQ124">
        <f t="shared" si="109"/>
        <v>0</v>
      </c>
      <c r="AR124">
        <f t="shared" si="109"/>
        <v>0</v>
      </c>
      <c r="AS124">
        <f t="shared" si="109"/>
        <v>0</v>
      </c>
      <c r="AT124">
        <f t="shared" si="109"/>
        <v>0</v>
      </c>
      <c r="AU124">
        <f t="shared" si="109"/>
        <v>0</v>
      </c>
      <c r="AV124">
        <f t="shared" si="109"/>
        <v>0</v>
      </c>
      <c r="AW124">
        <f t="shared" si="109"/>
        <v>0</v>
      </c>
      <c r="AX124">
        <f t="shared" si="109"/>
        <v>0</v>
      </c>
      <c r="AY124">
        <f t="shared" si="109"/>
        <v>0</v>
      </c>
      <c r="AZ124">
        <f t="shared" si="109"/>
        <v>0</v>
      </c>
    </row>
    <row r="125" spans="1:52" ht="15.75" customHeight="1">
      <c r="A125" s="362">
        <v>2015</v>
      </c>
      <c r="V125" s="127">
        <v>60.1</v>
      </c>
      <c r="W125">
        <f t="shared" si="22"/>
        <v>0</v>
      </c>
      <c r="X125">
        <f t="shared" ref="X125:AZ125" si="110">IF(AND(X$37-$A125&gt;$V$25,SUM($W125:W125)&lt;&gt;$V125),$V125,0)</f>
        <v>0</v>
      </c>
      <c r="Y125">
        <f t="shared" si="110"/>
        <v>0</v>
      </c>
      <c r="Z125">
        <f t="shared" si="110"/>
        <v>0</v>
      </c>
      <c r="AA125">
        <f t="shared" si="110"/>
        <v>0</v>
      </c>
      <c r="AB125">
        <f t="shared" si="110"/>
        <v>0</v>
      </c>
      <c r="AC125">
        <f t="shared" si="110"/>
        <v>0</v>
      </c>
      <c r="AD125">
        <f t="shared" si="110"/>
        <v>0</v>
      </c>
      <c r="AE125">
        <f t="shared" si="110"/>
        <v>0</v>
      </c>
      <c r="AF125">
        <f t="shared" si="110"/>
        <v>0</v>
      </c>
      <c r="AG125">
        <f t="shared" si="110"/>
        <v>0</v>
      </c>
      <c r="AH125">
        <f t="shared" si="110"/>
        <v>0</v>
      </c>
      <c r="AI125">
        <f t="shared" si="110"/>
        <v>0</v>
      </c>
      <c r="AJ125">
        <f t="shared" si="110"/>
        <v>0</v>
      </c>
      <c r="AK125">
        <f t="shared" si="110"/>
        <v>0</v>
      </c>
      <c r="AL125">
        <f t="shared" si="110"/>
        <v>0</v>
      </c>
      <c r="AM125">
        <f t="shared" si="110"/>
        <v>0</v>
      </c>
      <c r="AN125">
        <f t="shared" si="110"/>
        <v>0</v>
      </c>
      <c r="AO125">
        <f t="shared" si="110"/>
        <v>0</v>
      </c>
      <c r="AP125">
        <f t="shared" si="110"/>
        <v>0</v>
      </c>
      <c r="AQ125">
        <f t="shared" si="110"/>
        <v>0</v>
      </c>
      <c r="AR125">
        <f t="shared" si="110"/>
        <v>0</v>
      </c>
      <c r="AS125">
        <f t="shared" si="110"/>
        <v>0</v>
      </c>
      <c r="AT125">
        <f t="shared" si="110"/>
        <v>0</v>
      </c>
      <c r="AU125">
        <f t="shared" si="110"/>
        <v>0</v>
      </c>
      <c r="AV125">
        <f t="shared" si="110"/>
        <v>0</v>
      </c>
      <c r="AW125">
        <f t="shared" si="110"/>
        <v>0</v>
      </c>
      <c r="AX125">
        <f t="shared" si="110"/>
        <v>0</v>
      </c>
      <c r="AY125">
        <f t="shared" si="110"/>
        <v>0</v>
      </c>
      <c r="AZ125">
        <f t="shared" si="110"/>
        <v>0</v>
      </c>
    </row>
    <row r="126" spans="1:52" ht="15.75" customHeight="1">
      <c r="A126" s="362">
        <v>2016</v>
      </c>
      <c r="V126" s="127">
        <v>34.1</v>
      </c>
      <c r="W126">
        <f t="shared" si="22"/>
        <v>0</v>
      </c>
      <c r="X126">
        <f t="shared" ref="X126:AZ126" si="111">IF(AND(X$37-$A126&gt;$V$25,SUM($W126:W126)&lt;&gt;$V126),$V126,0)</f>
        <v>0</v>
      </c>
      <c r="Y126">
        <f t="shared" si="111"/>
        <v>0</v>
      </c>
      <c r="Z126">
        <f t="shared" si="111"/>
        <v>0</v>
      </c>
      <c r="AA126">
        <f t="shared" si="111"/>
        <v>0</v>
      </c>
      <c r="AB126">
        <f t="shared" si="111"/>
        <v>0</v>
      </c>
      <c r="AC126">
        <f t="shared" si="111"/>
        <v>0</v>
      </c>
      <c r="AD126">
        <f t="shared" si="111"/>
        <v>0</v>
      </c>
      <c r="AE126">
        <f t="shared" si="111"/>
        <v>0</v>
      </c>
      <c r="AF126">
        <f t="shared" si="111"/>
        <v>0</v>
      </c>
      <c r="AG126">
        <f t="shared" si="111"/>
        <v>0</v>
      </c>
      <c r="AH126">
        <f t="shared" si="111"/>
        <v>0</v>
      </c>
      <c r="AI126">
        <f t="shared" si="111"/>
        <v>0</v>
      </c>
      <c r="AJ126">
        <f t="shared" si="111"/>
        <v>0</v>
      </c>
      <c r="AK126">
        <f t="shared" si="111"/>
        <v>0</v>
      </c>
      <c r="AL126">
        <f t="shared" si="111"/>
        <v>0</v>
      </c>
      <c r="AM126">
        <f t="shared" si="111"/>
        <v>0</v>
      </c>
      <c r="AN126">
        <f t="shared" si="111"/>
        <v>0</v>
      </c>
      <c r="AO126">
        <f t="shared" si="111"/>
        <v>0</v>
      </c>
      <c r="AP126">
        <f t="shared" si="111"/>
        <v>0</v>
      </c>
      <c r="AQ126">
        <f t="shared" si="111"/>
        <v>0</v>
      </c>
      <c r="AR126">
        <f t="shared" si="111"/>
        <v>0</v>
      </c>
      <c r="AS126">
        <f t="shared" si="111"/>
        <v>0</v>
      </c>
      <c r="AT126">
        <f t="shared" si="111"/>
        <v>0</v>
      </c>
      <c r="AU126">
        <f t="shared" si="111"/>
        <v>0</v>
      </c>
      <c r="AV126">
        <f t="shared" si="111"/>
        <v>0</v>
      </c>
      <c r="AW126">
        <f t="shared" si="111"/>
        <v>0</v>
      </c>
      <c r="AX126">
        <f t="shared" si="111"/>
        <v>0</v>
      </c>
      <c r="AY126">
        <f t="shared" si="111"/>
        <v>0</v>
      </c>
      <c r="AZ126">
        <f t="shared" si="111"/>
        <v>0</v>
      </c>
    </row>
    <row r="127" spans="1:52" ht="15.75" customHeight="1">
      <c r="A127" s="362">
        <v>2017</v>
      </c>
      <c r="V127" s="127">
        <v>52.2</v>
      </c>
      <c r="W127">
        <f t="shared" si="22"/>
        <v>0</v>
      </c>
      <c r="X127">
        <f t="shared" ref="X127:AZ127" si="112">IF(AND(X$37-$A127&gt;$V$25,SUM($W127:W127)&lt;&gt;$V127),$V127,0)</f>
        <v>0</v>
      </c>
      <c r="Y127">
        <f t="shared" si="112"/>
        <v>0</v>
      </c>
      <c r="Z127">
        <f t="shared" si="112"/>
        <v>0</v>
      </c>
      <c r="AA127">
        <f t="shared" si="112"/>
        <v>0</v>
      </c>
      <c r="AB127">
        <f t="shared" si="112"/>
        <v>0</v>
      </c>
      <c r="AC127">
        <f t="shared" si="112"/>
        <v>0</v>
      </c>
      <c r="AD127">
        <f t="shared" si="112"/>
        <v>0</v>
      </c>
      <c r="AE127">
        <f t="shared" si="112"/>
        <v>0</v>
      </c>
      <c r="AF127">
        <f t="shared" si="112"/>
        <v>0</v>
      </c>
      <c r="AG127">
        <f t="shared" si="112"/>
        <v>0</v>
      </c>
      <c r="AH127">
        <f t="shared" si="112"/>
        <v>0</v>
      </c>
      <c r="AI127">
        <f t="shared" si="112"/>
        <v>0</v>
      </c>
      <c r="AJ127">
        <f t="shared" si="112"/>
        <v>0</v>
      </c>
      <c r="AK127">
        <f t="shared" si="112"/>
        <v>0</v>
      </c>
      <c r="AL127">
        <f t="shared" si="112"/>
        <v>0</v>
      </c>
      <c r="AM127">
        <f t="shared" si="112"/>
        <v>0</v>
      </c>
      <c r="AN127">
        <f t="shared" si="112"/>
        <v>0</v>
      </c>
      <c r="AO127">
        <f t="shared" si="112"/>
        <v>0</v>
      </c>
      <c r="AP127">
        <f t="shared" si="112"/>
        <v>0</v>
      </c>
      <c r="AQ127">
        <f t="shared" si="112"/>
        <v>0</v>
      </c>
      <c r="AR127">
        <f t="shared" si="112"/>
        <v>0</v>
      </c>
      <c r="AS127">
        <f t="shared" si="112"/>
        <v>0</v>
      </c>
      <c r="AT127">
        <f t="shared" si="112"/>
        <v>0</v>
      </c>
      <c r="AU127">
        <f t="shared" si="112"/>
        <v>0</v>
      </c>
      <c r="AV127">
        <f t="shared" si="112"/>
        <v>0</v>
      </c>
      <c r="AW127">
        <f t="shared" si="112"/>
        <v>0</v>
      </c>
      <c r="AX127">
        <f t="shared" si="112"/>
        <v>0</v>
      </c>
      <c r="AY127">
        <f t="shared" si="112"/>
        <v>0</v>
      </c>
      <c r="AZ127">
        <f t="shared" si="112"/>
        <v>0</v>
      </c>
    </row>
    <row r="128" spans="1:52" ht="15.75" customHeight="1">
      <c r="A128" s="362">
        <v>2018</v>
      </c>
      <c r="V128" s="127">
        <v>15.8</v>
      </c>
      <c r="W128">
        <f t="shared" si="22"/>
        <v>0</v>
      </c>
      <c r="X128">
        <f t="shared" ref="X128:AZ128" si="113">IF(AND(X$37-$A128&gt;$V$25,SUM($W128:W128)&lt;&gt;$V128),$V128,0)</f>
        <v>0</v>
      </c>
      <c r="Y128">
        <f t="shared" si="113"/>
        <v>0</v>
      </c>
      <c r="Z128">
        <f t="shared" si="113"/>
        <v>0</v>
      </c>
      <c r="AA128">
        <f t="shared" si="113"/>
        <v>0</v>
      </c>
      <c r="AB128">
        <f t="shared" si="113"/>
        <v>0</v>
      </c>
      <c r="AC128">
        <f t="shared" si="113"/>
        <v>0</v>
      </c>
      <c r="AD128">
        <f t="shared" si="113"/>
        <v>0</v>
      </c>
      <c r="AE128">
        <f t="shared" si="113"/>
        <v>0</v>
      </c>
      <c r="AF128">
        <f t="shared" si="113"/>
        <v>0</v>
      </c>
      <c r="AG128">
        <f t="shared" si="113"/>
        <v>0</v>
      </c>
      <c r="AH128">
        <f t="shared" si="113"/>
        <v>0</v>
      </c>
      <c r="AI128">
        <f t="shared" si="113"/>
        <v>0</v>
      </c>
      <c r="AJ128">
        <f t="shared" si="113"/>
        <v>0</v>
      </c>
      <c r="AK128">
        <f t="shared" si="113"/>
        <v>0</v>
      </c>
      <c r="AL128">
        <f t="shared" si="113"/>
        <v>0</v>
      </c>
      <c r="AM128">
        <f t="shared" si="113"/>
        <v>0</v>
      </c>
      <c r="AN128">
        <f t="shared" si="113"/>
        <v>0</v>
      </c>
      <c r="AO128">
        <f t="shared" si="113"/>
        <v>0</v>
      </c>
      <c r="AP128">
        <f t="shared" si="113"/>
        <v>0</v>
      </c>
      <c r="AQ128">
        <f t="shared" si="113"/>
        <v>0</v>
      </c>
      <c r="AR128">
        <f t="shared" si="113"/>
        <v>0</v>
      </c>
      <c r="AS128">
        <f t="shared" si="113"/>
        <v>0</v>
      </c>
      <c r="AT128">
        <f t="shared" si="113"/>
        <v>0</v>
      </c>
      <c r="AU128">
        <f t="shared" si="113"/>
        <v>0</v>
      </c>
      <c r="AV128">
        <f t="shared" si="113"/>
        <v>0</v>
      </c>
      <c r="AW128">
        <f t="shared" si="113"/>
        <v>0</v>
      </c>
      <c r="AX128">
        <f t="shared" si="113"/>
        <v>0</v>
      </c>
      <c r="AY128">
        <f t="shared" si="113"/>
        <v>0</v>
      </c>
      <c r="AZ128">
        <f t="shared" si="113"/>
        <v>0</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sheetData>
  <pageMargins left="0.7" right="0.7" top="0.75" bottom="0.75" header="0" footer="0"/>
  <pageSetup orientation="landscape"/>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8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609375" defaultRowHeight="15" customHeight="1"/>
  <cols>
    <col min="1" max="1" width="49.4609375" customWidth="1"/>
    <col min="2" max="28" width="11.4609375" customWidth="1"/>
    <col min="29" max="52" width="12.84375" customWidth="1"/>
    <col min="53" max="53" width="8.69140625" customWidth="1"/>
  </cols>
  <sheetData>
    <row r="1" spans="1:52" ht="15" customHeight="1">
      <c r="B1" s="42">
        <v>2000</v>
      </c>
      <c r="C1" s="42">
        <v>2001</v>
      </c>
      <c r="D1" s="42">
        <v>2002</v>
      </c>
      <c r="E1" s="42">
        <v>2003</v>
      </c>
      <c r="F1" s="42">
        <v>2004</v>
      </c>
      <c r="G1" s="42">
        <v>2005</v>
      </c>
      <c r="H1" s="42">
        <v>2006</v>
      </c>
      <c r="I1" s="42">
        <v>2007</v>
      </c>
      <c r="J1" s="42">
        <v>2008</v>
      </c>
      <c r="K1" s="42">
        <v>2009</v>
      </c>
      <c r="L1" s="42">
        <v>2010</v>
      </c>
      <c r="M1" s="42">
        <v>2011</v>
      </c>
      <c r="N1" s="42">
        <v>2012</v>
      </c>
      <c r="O1" s="42">
        <v>2013</v>
      </c>
      <c r="P1" s="42">
        <v>2014</v>
      </c>
      <c r="Q1" s="42">
        <v>2015</v>
      </c>
      <c r="R1" s="42">
        <v>2016</v>
      </c>
      <c r="S1" s="42">
        <v>2017</v>
      </c>
      <c r="T1" s="42">
        <v>2018</v>
      </c>
      <c r="U1" s="42">
        <v>2019</v>
      </c>
      <c r="V1" s="42">
        <v>2020</v>
      </c>
      <c r="W1" s="42">
        <v>2021</v>
      </c>
      <c r="X1" s="42">
        <v>2022</v>
      </c>
      <c r="Y1" s="42">
        <v>2023</v>
      </c>
      <c r="Z1" s="42">
        <v>2024</v>
      </c>
      <c r="AA1" s="42">
        <v>2025</v>
      </c>
      <c r="AB1" s="42">
        <v>2026</v>
      </c>
      <c r="AC1" s="42">
        <v>2027</v>
      </c>
      <c r="AD1" s="42">
        <v>2028</v>
      </c>
      <c r="AE1" s="42">
        <v>2029</v>
      </c>
      <c r="AF1" s="42">
        <v>2030</v>
      </c>
      <c r="AG1" s="42">
        <v>2031</v>
      </c>
      <c r="AH1" s="42">
        <v>2032</v>
      </c>
      <c r="AI1" s="42">
        <v>2033</v>
      </c>
      <c r="AJ1" s="42">
        <v>2034</v>
      </c>
      <c r="AK1" s="42">
        <v>2035</v>
      </c>
      <c r="AL1" s="42">
        <v>2036</v>
      </c>
      <c r="AM1" s="42">
        <v>2037</v>
      </c>
      <c r="AN1" s="42">
        <v>2038</v>
      </c>
      <c r="AO1" s="42">
        <v>2039</v>
      </c>
      <c r="AP1" s="42">
        <v>2040</v>
      </c>
      <c r="AQ1" s="42">
        <v>2041</v>
      </c>
      <c r="AR1" s="42">
        <v>2042</v>
      </c>
      <c r="AS1" s="42">
        <v>2043</v>
      </c>
      <c r="AT1" s="42">
        <v>2044</v>
      </c>
      <c r="AU1" s="42">
        <v>2045</v>
      </c>
      <c r="AV1" s="42">
        <v>2046</v>
      </c>
      <c r="AW1" s="42">
        <v>2047</v>
      </c>
      <c r="AX1" s="42">
        <v>2048</v>
      </c>
      <c r="AY1" s="42">
        <v>2049</v>
      </c>
      <c r="AZ1" s="42">
        <v>2050</v>
      </c>
    </row>
    <row r="2" spans="1:52" ht="15" customHeight="1">
      <c r="A2" s="100" t="s">
        <v>823</v>
      </c>
      <c r="B2" s="105">
        <f t="shared" ref="B2:U2" si="0">C2/(1+B41-B4)</f>
        <v>1117132.412959375</v>
      </c>
      <c r="C2" s="105">
        <f t="shared" si="0"/>
        <v>1139475.0612185625</v>
      </c>
      <c r="D2" s="105">
        <f t="shared" si="0"/>
        <v>1162264.5624429339</v>
      </c>
      <c r="E2" s="105">
        <f t="shared" si="0"/>
        <v>1185509.8536917926</v>
      </c>
      <c r="F2" s="105">
        <f t="shared" si="0"/>
        <v>1209220.0507656285</v>
      </c>
      <c r="G2" s="105">
        <f t="shared" si="0"/>
        <v>1233404.4517809411</v>
      </c>
      <c r="H2" s="105">
        <f t="shared" si="0"/>
        <v>1258072.5408165599</v>
      </c>
      <c r="I2" s="105">
        <f t="shared" si="0"/>
        <v>1283233.9916328911</v>
      </c>
      <c r="J2" s="105">
        <f t="shared" si="0"/>
        <v>1308898.6714655489</v>
      </c>
      <c r="K2" s="105">
        <f t="shared" si="0"/>
        <v>1335076.64489486</v>
      </c>
      <c r="L2" s="105">
        <f t="shared" si="0"/>
        <v>1361778.1777927573</v>
      </c>
      <c r="M2" s="105">
        <f t="shared" si="0"/>
        <v>1389013.7413486124</v>
      </c>
      <c r="N2" s="105">
        <f t="shared" si="0"/>
        <v>1416794.0161755846</v>
      </c>
      <c r="O2" s="105">
        <f t="shared" si="0"/>
        <v>1445129.8964990964</v>
      </c>
      <c r="P2" s="105">
        <f t="shared" si="0"/>
        <v>1474032.4944290784</v>
      </c>
      <c r="Q2" s="105">
        <f t="shared" si="0"/>
        <v>1503513.14431766</v>
      </c>
      <c r="R2" s="105">
        <f t="shared" si="0"/>
        <v>1533583.4072040133</v>
      </c>
      <c r="S2" s="105">
        <f t="shared" si="0"/>
        <v>1564255.0753480936</v>
      </c>
      <c r="T2" s="105">
        <f t="shared" si="0"/>
        <v>1595540.1768550556</v>
      </c>
      <c r="U2" s="105">
        <f t="shared" si="0"/>
        <v>1627450.9803921569</v>
      </c>
      <c r="V2" s="360">
        <v>1660000</v>
      </c>
      <c r="W2" s="105">
        <f t="shared" ref="W2:AZ2" si="1">V2*(1+V41-V4)</f>
        <v>1693200</v>
      </c>
      <c r="X2" s="105">
        <f t="shared" si="1"/>
        <v>1727064</v>
      </c>
      <c r="Y2" s="105">
        <f t="shared" si="1"/>
        <v>1761605.28</v>
      </c>
      <c r="Z2" s="105">
        <f t="shared" si="1"/>
        <v>1796837.3856000002</v>
      </c>
      <c r="AA2" s="105">
        <f t="shared" si="1"/>
        <v>1832774.1333120002</v>
      </c>
      <c r="AB2" s="105">
        <f t="shared" si="1"/>
        <v>1869429.6159782403</v>
      </c>
      <c r="AC2" s="105">
        <f t="shared" si="1"/>
        <v>1906818.2082978052</v>
      </c>
      <c r="AD2" s="105">
        <f t="shared" si="1"/>
        <v>1944954.5724637613</v>
      </c>
      <c r="AE2" s="105">
        <f t="shared" si="1"/>
        <v>1983853.6639130365</v>
      </c>
      <c r="AF2" s="105">
        <f t="shared" si="1"/>
        <v>2023530.7371912971</v>
      </c>
      <c r="AG2" s="105">
        <f t="shared" si="1"/>
        <v>2064001.3519351231</v>
      </c>
      <c r="AH2" s="105">
        <f t="shared" si="1"/>
        <v>2105281.3789738254</v>
      </c>
      <c r="AI2" s="105">
        <f t="shared" si="1"/>
        <v>2147387.0065533021</v>
      </c>
      <c r="AJ2" s="105">
        <f t="shared" si="1"/>
        <v>2190334.7466843682</v>
      </c>
      <c r="AK2" s="105">
        <f t="shared" si="1"/>
        <v>2234141.4416180556</v>
      </c>
      <c r="AL2" s="105">
        <f t="shared" si="1"/>
        <v>2278824.270450417</v>
      </c>
      <c r="AM2" s="105">
        <f t="shared" si="1"/>
        <v>2324400.7558594253</v>
      </c>
      <c r="AN2" s="105">
        <f t="shared" si="1"/>
        <v>2370888.7709766137</v>
      </c>
      <c r="AO2" s="105">
        <f t="shared" si="1"/>
        <v>2418306.5463961461</v>
      </c>
      <c r="AP2" s="105">
        <f t="shared" si="1"/>
        <v>2466672.6773240692</v>
      </c>
      <c r="AQ2" s="105">
        <f t="shared" si="1"/>
        <v>2516006.1308705504</v>
      </c>
      <c r="AR2" s="105">
        <f t="shared" si="1"/>
        <v>2566326.2534879614</v>
      </c>
      <c r="AS2" s="105">
        <f t="shared" si="1"/>
        <v>2617652.7785577206</v>
      </c>
      <c r="AT2" s="105">
        <f t="shared" si="1"/>
        <v>2670005.8341288753</v>
      </c>
      <c r="AU2" s="105">
        <f t="shared" si="1"/>
        <v>2723405.9508114527</v>
      </c>
      <c r="AV2" s="105">
        <f t="shared" si="1"/>
        <v>2777874.0698276819</v>
      </c>
      <c r="AW2" s="105">
        <f t="shared" si="1"/>
        <v>2833431.5512242354</v>
      </c>
      <c r="AX2" s="105">
        <f t="shared" si="1"/>
        <v>2890100.1822487204</v>
      </c>
      <c r="AY2" s="105">
        <f t="shared" si="1"/>
        <v>2947902.1858936949</v>
      </c>
      <c r="AZ2" s="105">
        <f t="shared" si="1"/>
        <v>3006860.2296115686</v>
      </c>
    </row>
    <row r="3" spans="1:52" ht="15" customHeight="1">
      <c r="A3" s="100" t="s">
        <v>824</v>
      </c>
      <c r="B3" s="330"/>
      <c r="C3" s="330"/>
      <c r="D3" s="330"/>
      <c r="E3" s="330"/>
      <c r="F3" s="330"/>
      <c r="G3" s="330"/>
      <c r="H3" s="330"/>
      <c r="I3" s="330"/>
      <c r="J3" s="330"/>
      <c r="K3" s="330"/>
      <c r="L3" s="330"/>
      <c r="M3" s="330"/>
      <c r="N3" s="330"/>
      <c r="O3" s="330"/>
      <c r="P3" s="330"/>
      <c r="Q3" s="330"/>
      <c r="R3" s="330"/>
      <c r="S3" s="330"/>
      <c r="T3" s="330"/>
      <c r="U3" s="330"/>
      <c r="V3" s="245"/>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row>
    <row r="4" spans="1:52" ht="15" customHeight="1">
      <c r="A4" s="93" t="s">
        <v>72</v>
      </c>
      <c r="B4" s="330">
        <f t="shared" ref="B4:U4" si="2">C4</f>
        <v>0</v>
      </c>
      <c r="C4" s="330">
        <f t="shared" si="2"/>
        <v>0</v>
      </c>
      <c r="D4" s="330">
        <f t="shared" si="2"/>
        <v>0</v>
      </c>
      <c r="E4" s="330">
        <f t="shared" si="2"/>
        <v>0</v>
      </c>
      <c r="F4" s="330">
        <f t="shared" si="2"/>
        <v>0</v>
      </c>
      <c r="G4" s="330">
        <f t="shared" si="2"/>
        <v>0</v>
      </c>
      <c r="H4" s="330">
        <f t="shared" si="2"/>
        <v>0</v>
      </c>
      <c r="I4" s="330">
        <f t="shared" si="2"/>
        <v>0</v>
      </c>
      <c r="J4" s="330">
        <f t="shared" si="2"/>
        <v>0</v>
      </c>
      <c r="K4" s="330">
        <f t="shared" si="2"/>
        <v>0</v>
      </c>
      <c r="L4" s="330">
        <f t="shared" si="2"/>
        <v>0</v>
      </c>
      <c r="M4" s="330">
        <f t="shared" si="2"/>
        <v>0</v>
      </c>
      <c r="N4" s="330">
        <f t="shared" si="2"/>
        <v>0</v>
      </c>
      <c r="O4" s="330">
        <f t="shared" si="2"/>
        <v>0</v>
      </c>
      <c r="P4" s="330">
        <f t="shared" si="2"/>
        <v>0</v>
      </c>
      <c r="Q4" s="330">
        <f t="shared" si="2"/>
        <v>0</v>
      </c>
      <c r="R4" s="330">
        <f t="shared" si="2"/>
        <v>0</v>
      </c>
      <c r="S4" s="330">
        <f t="shared" si="2"/>
        <v>0</v>
      </c>
      <c r="T4" s="330">
        <f t="shared" si="2"/>
        <v>0</v>
      </c>
      <c r="U4" s="330">
        <f t="shared" si="2"/>
        <v>0</v>
      </c>
      <c r="V4" s="245">
        <v>0</v>
      </c>
      <c r="W4" s="247">
        <f t="shared" ref="W4:AZ4" si="3">V4</f>
        <v>0</v>
      </c>
      <c r="X4" s="247">
        <f t="shared" si="3"/>
        <v>0</v>
      </c>
      <c r="Y4" s="247">
        <f t="shared" si="3"/>
        <v>0</v>
      </c>
      <c r="Z4" s="247">
        <f t="shared" si="3"/>
        <v>0</v>
      </c>
      <c r="AA4" s="247">
        <f t="shared" si="3"/>
        <v>0</v>
      </c>
      <c r="AB4" s="247">
        <f t="shared" si="3"/>
        <v>0</v>
      </c>
      <c r="AC4" s="247">
        <f t="shared" si="3"/>
        <v>0</v>
      </c>
      <c r="AD4" s="247">
        <f t="shared" si="3"/>
        <v>0</v>
      </c>
      <c r="AE4" s="247">
        <f t="shared" si="3"/>
        <v>0</v>
      </c>
      <c r="AF4" s="247">
        <f t="shared" si="3"/>
        <v>0</v>
      </c>
      <c r="AG4" s="247">
        <f t="shared" si="3"/>
        <v>0</v>
      </c>
      <c r="AH4" s="247">
        <f t="shared" si="3"/>
        <v>0</v>
      </c>
      <c r="AI4" s="247">
        <f t="shared" si="3"/>
        <v>0</v>
      </c>
      <c r="AJ4" s="247">
        <f t="shared" si="3"/>
        <v>0</v>
      </c>
      <c r="AK4" s="247">
        <f t="shared" si="3"/>
        <v>0</v>
      </c>
      <c r="AL4" s="247">
        <f t="shared" si="3"/>
        <v>0</v>
      </c>
      <c r="AM4" s="247">
        <f t="shared" si="3"/>
        <v>0</v>
      </c>
      <c r="AN4" s="247">
        <f t="shared" si="3"/>
        <v>0</v>
      </c>
      <c r="AO4" s="247">
        <f t="shared" si="3"/>
        <v>0</v>
      </c>
      <c r="AP4" s="247">
        <f t="shared" si="3"/>
        <v>0</v>
      </c>
      <c r="AQ4" s="247">
        <f t="shared" si="3"/>
        <v>0</v>
      </c>
      <c r="AR4" s="247">
        <f t="shared" si="3"/>
        <v>0</v>
      </c>
      <c r="AS4" s="247">
        <f t="shared" si="3"/>
        <v>0</v>
      </c>
      <c r="AT4" s="247">
        <f t="shared" si="3"/>
        <v>0</v>
      </c>
      <c r="AU4" s="247">
        <f t="shared" si="3"/>
        <v>0</v>
      </c>
      <c r="AV4" s="247">
        <f t="shared" si="3"/>
        <v>0</v>
      </c>
      <c r="AW4" s="247">
        <f t="shared" si="3"/>
        <v>0</v>
      </c>
      <c r="AX4" s="247">
        <f t="shared" si="3"/>
        <v>0</v>
      </c>
      <c r="AY4" s="247">
        <f t="shared" si="3"/>
        <v>0</v>
      </c>
      <c r="AZ4" s="247">
        <f t="shared" si="3"/>
        <v>0</v>
      </c>
    </row>
    <row r="5" spans="1:52" ht="15" customHeight="1">
      <c r="A5" s="93" t="s">
        <v>74</v>
      </c>
      <c r="B5" s="93"/>
      <c r="C5" s="93"/>
      <c r="D5" s="93"/>
      <c r="E5" s="93"/>
      <c r="F5" s="93"/>
      <c r="G5" s="93"/>
      <c r="H5" s="93"/>
      <c r="I5" s="93"/>
      <c r="J5" s="93"/>
      <c r="K5" s="93"/>
      <c r="L5" s="93"/>
      <c r="M5" s="93"/>
      <c r="N5" s="93"/>
      <c r="O5" s="93"/>
      <c r="P5" s="93"/>
      <c r="Q5" s="93"/>
      <c r="R5" s="93"/>
      <c r="S5" s="93"/>
      <c r="T5" s="93"/>
      <c r="U5" s="93"/>
      <c r="V5" s="279">
        <v>0.2</v>
      </c>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row>
    <row r="6" spans="1:52" ht="15" customHeight="1">
      <c r="A6" s="93" t="s">
        <v>76</v>
      </c>
      <c r="B6" s="93"/>
      <c r="C6" s="93"/>
      <c r="D6" s="93"/>
      <c r="E6" s="93"/>
      <c r="F6" s="93"/>
      <c r="G6" s="93"/>
      <c r="H6" s="93"/>
      <c r="I6" s="93"/>
      <c r="J6" s="93"/>
      <c r="K6" s="93"/>
      <c r="L6" s="93"/>
      <c r="M6" s="93"/>
      <c r="N6" s="93"/>
      <c r="O6" s="93"/>
      <c r="P6" s="93"/>
      <c r="Q6" s="93"/>
      <c r="R6" s="93"/>
      <c r="S6" s="93"/>
      <c r="T6" s="93"/>
      <c r="U6" s="93"/>
      <c r="V6" s="245">
        <f>1-V5</f>
        <v>0.8</v>
      </c>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row>
    <row r="7" spans="1:52" ht="15" customHeight="1">
      <c r="A7" s="93" t="s">
        <v>78</v>
      </c>
      <c r="B7" s="93"/>
      <c r="C7" s="93"/>
      <c r="D7" s="93"/>
      <c r="E7" s="93"/>
      <c r="F7" s="93"/>
      <c r="G7" s="93"/>
      <c r="H7" s="93"/>
      <c r="I7" s="93"/>
      <c r="J7" s="93"/>
      <c r="K7" s="93"/>
      <c r="L7" s="93"/>
      <c r="M7" s="93"/>
      <c r="N7" s="93"/>
      <c r="O7" s="93"/>
      <c r="P7" s="93"/>
      <c r="Q7" s="93"/>
      <c r="R7" s="93"/>
      <c r="S7" s="93"/>
      <c r="T7" s="93"/>
      <c r="U7" s="93"/>
      <c r="V7" s="279">
        <v>0.08</v>
      </c>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row>
    <row r="8" spans="1:52" ht="15" customHeight="1">
      <c r="A8" s="100" t="s">
        <v>825</v>
      </c>
      <c r="B8" s="93"/>
      <c r="C8" s="93"/>
      <c r="D8" s="93"/>
      <c r="E8" s="93"/>
      <c r="F8" s="93"/>
      <c r="G8" s="93"/>
      <c r="H8" s="93"/>
      <c r="I8" s="93"/>
      <c r="J8" s="93"/>
      <c r="K8" s="93"/>
      <c r="L8" s="93"/>
      <c r="M8" s="93"/>
      <c r="N8" s="93"/>
      <c r="O8" s="93"/>
      <c r="P8" s="93"/>
      <c r="Q8" s="93"/>
      <c r="R8" s="93"/>
      <c r="S8" s="93"/>
      <c r="T8" s="93"/>
      <c r="U8" s="93"/>
      <c r="V8" s="279">
        <v>0.12</v>
      </c>
      <c r="W8" s="247"/>
      <c r="X8" s="247"/>
      <c r="Y8" s="247"/>
      <c r="Z8" s="247"/>
      <c r="AA8" s="247"/>
      <c r="AB8" s="247"/>
      <c r="AC8" s="247"/>
      <c r="AD8" s="247"/>
      <c r="AE8" s="247"/>
      <c r="AF8" s="247"/>
      <c r="AG8" s="247"/>
      <c r="AH8" s="247"/>
      <c r="AI8" s="247"/>
      <c r="AJ8" s="247"/>
      <c r="AK8" s="247"/>
      <c r="AL8" s="247"/>
      <c r="AM8" s="247"/>
      <c r="AN8" s="247"/>
      <c r="AO8" s="247"/>
      <c r="AP8" s="247"/>
      <c r="AQ8" s="247"/>
      <c r="AR8" s="247"/>
      <c r="AS8" s="247"/>
      <c r="AT8" s="247"/>
      <c r="AU8" s="247"/>
      <c r="AV8" s="247"/>
      <c r="AW8" s="247"/>
      <c r="AX8" s="247"/>
      <c r="AY8" s="247"/>
      <c r="AZ8" s="247"/>
    </row>
    <row r="9" spans="1:52" ht="15" customHeight="1">
      <c r="A9" s="93" t="s">
        <v>82</v>
      </c>
      <c r="B9" s="93"/>
      <c r="C9" s="93"/>
      <c r="D9" s="93"/>
      <c r="E9" s="93"/>
      <c r="F9" s="93"/>
      <c r="G9" s="93"/>
      <c r="H9" s="93"/>
      <c r="I9" s="93"/>
      <c r="J9" s="93"/>
      <c r="K9" s="93"/>
      <c r="L9" s="93"/>
      <c r="M9" s="93"/>
      <c r="N9" s="93"/>
      <c r="O9" s="93"/>
      <c r="P9" s="93"/>
      <c r="Q9" s="93"/>
      <c r="R9" s="93"/>
      <c r="S9" s="93"/>
      <c r="T9" s="93"/>
      <c r="U9" s="93"/>
      <c r="V9" s="245">
        <f>V5*V7+V6*V8</f>
        <v>0.112</v>
      </c>
      <c r="W9" s="250"/>
      <c r="X9" s="250"/>
      <c r="Y9" s="250"/>
      <c r="Z9" s="250"/>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row>
    <row r="10" spans="1:52" ht="15" customHeight="1">
      <c r="A10" s="93" t="s">
        <v>84</v>
      </c>
      <c r="B10" s="93"/>
      <c r="C10" s="93"/>
      <c r="D10" s="93"/>
      <c r="E10" s="93"/>
      <c r="F10" s="93"/>
      <c r="G10" s="93"/>
      <c r="H10" s="93"/>
      <c r="I10" s="93"/>
      <c r="J10" s="93"/>
      <c r="K10" s="93"/>
      <c r="L10" s="93"/>
      <c r="M10" s="93"/>
      <c r="N10" s="93"/>
      <c r="O10" s="93"/>
      <c r="P10" s="93"/>
      <c r="Q10" s="93"/>
      <c r="R10" s="93"/>
      <c r="S10" s="93"/>
      <c r="T10" s="93"/>
      <c r="U10" s="93"/>
      <c r="V10" s="280">
        <v>10</v>
      </c>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row>
    <row r="11" spans="1:52" ht="15" customHeight="1">
      <c r="A11" s="100" t="s">
        <v>580</v>
      </c>
      <c r="B11" s="93"/>
      <c r="C11" s="93"/>
      <c r="D11" s="93"/>
      <c r="E11" s="93"/>
      <c r="F11" s="93"/>
      <c r="G11" s="93"/>
      <c r="H11" s="93"/>
      <c r="I11" s="93"/>
      <c r="J11" s="93"/>
      <c r="K11" s="93"/>
      <c r="L11" s="93"/>
      <c r="M11" s="93"/>
      <c r="N11" s="93"/>
      <c r="O11" s="93"/>
      <c r="P11" s="93"/>
      <c r="Q11" s="93"/>
      <c r="R11" s="93"/>
      <c r="S11" s="93"/>
      <c r="T11" s="93"/>
      <c r="U11" s="93"/>
      <c r="V11" s="366">
        <v>0.1429</v>
      </c>
      <c r="W11" s="367">
        <v>0.24490000000000001</v>
      </c>
      <c r="X11" s="367">
        <v>0.1749</v>
      </c>
      <c r="Y11" s="367">
        <v>0.1249</v>
      </c>
      <c r="Z11" s="367">
        <v>8.9300000000000004E-2</v>
      </c>
      <c r="AA11" s="367">
        <v>8.9200000000000002E-2</v>
      </c>
      <c r="AB11" s="367">
        <v>8.9300000000000004E-2</v>
      </c>
      <c r="AC11" s="367">
        <v>4.4600000000000001E-2</v>
      </c>
      <c r="AD11" s="331"/>
      <c r="AE11" s="331"/>
      <c r="AF11" s="331"/>
      <c r="AG11" s="331"/>
      <c r="AH11" s="331"/>
      <c r="AI11" s="331"/>
      <c r="AJ11" s="331"/>
      <c r="AK11" s="331"/>
      <c r="AL11" s="331"/>
      <c r="AM11" s="331"/>
      <c r="AN11" s="331"/>
      <c r="AO11" s="331"/>
      <c r="AP11" s="331"/>
      <c r="AQ11" s="331"/>
      <c r="AR11" s="331"/>
      <c r="AS11" s="331"/>
      <c r="AT11" s="331"/>
      <c r="AU11" s="331"/>
      <c r="AV11" s="331"/>
      <c r="AW11" s="331"/>
      <c r="AX11" s="331"/>
      <c r="AY11" s="331"/>
      <c r="AZ11" s="331"/>
    </row>
    <row r="12" spans="1:52" ht="15" customHeight="1">
      <c r="A12" s="93" t="s">
        <v>88</v>
      </c>
      <c r="B12" s="93"/>
      <c r="C12" s="93"/>
      <c r="D12" s="93"/>
      <c r="E12" s="93"/>
      <c r="F12" s="93"/>
      <c r="G12" s="93"/>
      <c r="H12" s="93"/>
      <c r="I12" s="93"/>
      <c r="J12" s="93"/>
      <c r="K12" s="93"/>
      <c r="L12" s="93"/>
      <c r="M12" s="93"/>
      <c r="N12" s="93"/>
      <c r="O12" s="93"/>
      <c r="P12" s="93"/>
      <c r="Q12" s="93"/>
      <c r="R12" s="93"/>
      <c r="S12" s="93"/>
      <c r="T12" s="93"/>
      <c r="U12" s="93"/>
      <c r="V12" s="280"/>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row>
    <row r="13" spans="1:52" ht="15" customHeight="1">
      <c r="A13" s="93" t="s">
        <v>90</v>
      </c>
      <c r="B13" s="93"/>
      <c r="C13" s="93"/>
      <c r="D13" s="93"/>
      <c r="E13" s="93"/>
      <c r="F13" s="93"/>
      <c r="G13" s="93"/>
      <c r="H13" s="93"/>
      <c r="I13" s="93"/>
      <c r="J13" s="93"/>
      <c r="K13" s="93"/>
      <c r="L13" s="93"/>
      <c r="M13" s="93"/>
      <c r="N13" s="93"/>
      <c r="O13" s="93"/>
      <c r="P13" s="93"/>
      <c r="Q13" s="93"/>
      <c r="R13" s="93"/>
      <c r="S13" s="93"/>
      <c r="T13" s="93"/>
      <c r="U13" s="93"/>
      <c r="V13" s="361">
        <v>1</v>
      </c>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row>
    <row r="14" spans="1:52" ht="15" customHeight="1">
      <c r="A14" s="93" t="s">
        <v>92</v>
      </c>
      <c r="B14" s="93"/>
      <c r="C14" s="93"/>
      <c r="D14" s="93"/>
      <c r="E14" s="93"/>
      <c r="F14" s="93"/>
      <c r="G14" s="93"/>
      <c r="H14" s="93"/>
      <c r="I14" s="93"/>
      <c r="J14" s="93"/>
      <c r="K14" s="93"/>
      <c r="L14" s="93"/>
      <c r="M14" s="93"/>
      <c r="N14" s="93"/>
      <c r="O14" s="93"/>
      <c r="P14" s="93"/>
      <c r="Q14" s="93"/>
      <c r="R14" s="93"/>
      <c r="S14" s="93"/>
      <c r="T14" s="93"/>
      <c r="U14" s="93"/>
      <c r="V14" s="254">
        <f>1/V13</f>
        <v>1</v>
      </c>
      <c r="W14" s="250"/>
      <c r="X14" s="250"/>
      <c r="Y14" s="250"/>
      <c r="Z14" s="250"/>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row>
    <row r="15" spans="1:52" ht="15" customHeight="1">
      <c r="A15" s="368" t="s">
        <v>826</v>
      </c>
      <c r="B15" s="93"/>
      <c r="C15" s="93"/>
      <c r="D15" s="93"/>
      <c r="E15" s="93"/>
      <c r="F15" s="93"/>
      <c r="G15" s="93"/>
      <c r="H15" s="93"/>
      <c r="I15" s="93"/>
      <c r="J15" s="349">
        <f t="shared" ref="J15:U15" si="4">K15/(1+J19)</f>
        <v>4</v>
      </c>
      <c r="K15" s="349">
        <f t="shared" si="4"/>
        <v>4</v>
      </c>
      <c r="L15" s="349">
        <f t="shared" si="4"/>
        <v>4</v>
      </c>
      <c r="M15" s="349">
        <f t="shared" si="4"/>
        <v>4</v>
      </c>
      <c r="N15" s="349">
        <f t="shared" si="4"/>
        <v>4</v>
      </c>
      <c r="O15" s="349">
        <f t="shared" si="4"/>
        <v>4</v>
      </c>
      <c r="P15" s="349">
        <f t="shared" si="4"/>
        <v>4</v>
      </c>
      <c r="Q15" s="349">
        <f t="shared" si="4"/>
        <v>4</v>
      </c>
      <c r="R15" s="349">
        <f t="shared" si="4"/>
        <v>4</v>
      </c>
      <c r="S15" s="349">
        <f t="shared" si="4"/>
        <v>4</v>
      </c>
      <c r="T15" s="349">
        <f t="shared" si="4"/>
        <v>4</v>
      </c>
      <c r="U15" s="349">
        <f t="shared" si="4"/>
        <v>4</v>
      </c>
      <c r="V15" s="369">
        <v>4</v>
      </c>
      <c r="W15" s="370">
        <f t="shared" ref="W15:AZ15" si="5">V15*(1+V19)</f>
        <v>4</v>
      </c>
      <c r="X15" s="370">
        <f t="shared" si="5"/>
        <v>4</v>
      </c>
      <c r="Y15" s="370">
        <f t="shared" si="5"/>
        <v>4</v>
      </c>
      <c r="Z15" s="370">
        <f t="shared" si="5"/>
        <v>4</v>
      </c>
      <c r="AA15" s="370">
        <f t="shared" si="5"/>
        <v>4</v>
      </c>
      <c r="AB15" s="370">
        <f t="shared" si="5"/>
        <v>4</v>
      </c>
      <c r="AC15" s="370">
        <f t="shared" si="5"/>
        <v>4</v>
      </c>
      <c r="AD15" s="370">
        <f t="shared" si="5"/>
        <v>4</v>
      </c>
      <c r="AE15" s="370">
        <f t="shared" si="5"/>
        <v>4</v>
      </c>
      <c r="AF15" s="370">
        <f t="shared" si="5"/>
        <v>4</v>
      </c>
      <c r="AG15" s="370">
        <f t="shared" si="5"/>
        <v>4</v>
      </c>
      <c r="AH15" s="370">
        <f t="shared" si="5"/>
        <v>4</v>
      </c>
      <c r="AI15" s="370">
        <f t="shared" si="5"/>
        <v>4</v>
      </c>
      <c r="AJ15" s="370">
        <f t="shared" si="5"/>
        <v>4</v>
      </c>
      <c r="AK15" s="370">
        <f t="shared" si="5"/>
        <v>4</v>
      </c>
      <c r="AL15" s="370">
        <f t="shared" si="5"/>
        <v>4</v>
      </c>
      <c r="AM15" s="370">
        <f t="shared" si="5"/>
        <v>4</v>
      </c>
      <c r="AN15" s="370">
        <f t="shared" si="5"/>
        <v>4</v>
      </c>
      <c r="AO15" s="370">
        <f t="shared" si="5"/>
        <v>4</v>
      </c>
      <c r="AP15" s="370">
        <f t="shared" si="5"/>
        <v>4</v>
      </c>
      <c r="AQ15" s="370">
        <f t="shared" si="5"/>
        <v>4</v>
      </c>
      <c r="AR15" s="370">
        <f t="shared" si="5"/>
        <v>4</v>
      </c>
      <c r="AS15" s="370">
        <f t="shared" si="5"/>
        <v>4</v>
      </c>
      <c r="AT15" s="370">
        <f t="shared" si="5"/>
        <v>4</v>
      </c>
      <c r="AU15" s="370">
        <f t="shared" si="5"/>
        <v>4</v>
      </c>
      <c r="AV15" s="370">
        <f t="shared" si="5"/>
        <v>4</v>
      </c>
      <c r="AW15" s="370">
        <f t="shared" si="5"/>
        <v>4</v>
      </c>
      <c r="AX15" s="370">
        <f t="shared" si="5"/>
        <v>4</v>
      </c>
      <c r="AY15" s="370">
        <f t="shared" si="5"/>
        <v>4</v>
      </c>
      <c r="AZ15" s="370">
        <f t="shared" si="5"/>
        <v>4</v>
      </c>
    </row>
    <row r="16" spans="1:52" ht="15" customHeight="1">
      <c r="A16" s="368" t="s">
        <v>827</v>
      </c>
      <c r="B16" s="93"/>
      <c r="C16" s="93"/>
      <c r="D16" s="93"/>
      <c r="E16" s="93"/>
      <c r="F16" s="93"/>
      <c r="G16" s="93"/>
      <c r="H16" s="93"/>
      <c r="I16" s="93"/>
      <c r="J16" s="339">
        <f t="shared" ref="J16:U16" si="6">K16</f>
        <v>1</v>
      </c>
      <c r="K16" s="339">
        <f t="shared" si="6"/>
        <v>1</v>
      </c>
      <c r="L16" s="339">
        <f t="shared" si="6"/>
        <v>1</v>
      </c>
      <c r="M16" s="339">
        <f t="shared" si="6"/>
        <v>1</v>
      </c>
      <c r="N16" s="339">
        <f t="shared" si="6"/>
        <v>1</v>
      </c>
      <c r="O16" s="339">
        <f t="shared" si="6"/>
        <v>1</v>
      </c>
      <c r="P16" s="339">
        <f t="shared" si="6"/>
        <v>1</v>
      </c>
      <c r="Q16" s="339">
        <f t="shared" si="6"/>
        <v>1</v>
      </c>
      <c r="R16" s="339">
        <f t="shared" si="6"/>
        <v>1</v>
      </c>
      <c r="S16" s="339">
        <f t="shared" si="6"/>
        <v>1</v>
      </c>
      <c r="T16" s="339">
        <f t="shared" si="6"/>
        <v>1</v>
      </c>
      <c r="U16" s="339">
        <f t="shared" si="6"/>
        <v>1</v>
      </c>
      <c r="V16" s="281">
        <v>1</v>
      </c>
      <c r="W16" s="102">
        <f t="shared" ref="W16:AZ16" si="7">V16</f>
        <v>1</v>
      </c>
      <c r="X16" s="102">
        <f t="shared" si="7"/>
        <v>1</v>
      </c>
      <c r="Y16" s="102">
        <f t="shared" si="7"/>
        <v>1</v>
      </c>
      <c r="Z16" s="102">
        <f t="shared" si="7"/>
        <v>1</v>
      </c>
      <c r="AA16" s="102">
        <f t="shared" si="7"/>
        <v>1</v>
      </c>
      <c r="AB16" s="102">
        <f t="shared" si="7"/>
        <v>1</v>
      </c>
      <c r="AC16" s="102">
        <f t="shared" si="7"/>
        <v>1</v>
      </c>
      <c r="AD16" s="102">
        <f t="shared" si="7"/>
        <v>1</v>
      </c>
      <c r="AE16" s="102">
        <f t="shared" si="7"/>
        <v>1</v>
      </c>
      <c r="AF16" s="102">
        <f t="shared" si="7"/>
        <v>1</v>
      </c>
      <c r="AG16" s="102">
        <f t="shared" si="7"/>
        <v>1</v>
      </c>
      <c r="AH16" s="102">
        <f t="shared" si="7"/>
        <v>1</v>
      </c>
      <c r="AI16" s="102">
        <f t="shared" si="7"/>
        <v>1</v>
      </c>
      <c r="AJ16" s="102">
        <f t="shared" si="7"/>
        <v>1</v>
      </c>
      <c r="AK16" s="102">
        <f t="shared" si="7"/>
        <v>1</v>
      </c>
      <c r="AL16" s="102">
        <f t="shared" si="7"/>
        <v>1</v>
      </c>
      <c r="AM16" s="102">
        <f t="shared" si="7"/>
        <v>1</v>
      </c>
      <c r="AN16" s="102">
        <f t="shared" si="7"/>
        <v>1</v>
      </c>
      <c r="AO16" s="102">
        <f t="shared" si="7"/>
        <v>1</v>
      </c>
      <c r="AP16" s="102">
        <f t="shared" si="7"/>
        <v>1</v>
      </c>
      <c r="AQ16" s="102">
        <f t="shared" si="7"/>
        <v>1</v>
      </c>
      <c r="AR16" s="102">
        <f t="shared" si="7"/>
        <v>1</v>
      </c>
      <c r="AS16" s="102">
        <f t="shared" si="7"/>
        <v>1</v>
      </c>
      <c r="AT16" s="102">
        <f t="shared" si="7"/>
        <v>1</v>
      </c>
      <c r="AU16" s="102">
        <f t="shared" si="7"/>
        <v>1</v>
      </c>
      <c r="AV16" s="102">
        <f t="shared" si="7"/>
        <v>1</v>
      </c>
      <c r="AW16" s="102">
        <f t="shared" si="7"/>
        <v>1</v>
      </c>
      <c r="AX16" s="102">
        <f t="shared" si="7"/>
        <v>1</v>
      </c>
      <c r="AY16" s="102">
        <f t="shared" si="7"/>
        <v>1</v>
      </c>
      <c r="AZ16" s="102">
        <f t="shared" si="7"/>
        <v>1</v>
      </c>
    </row>
    <row r="17" spans="1:52" ht="15" customHeight="1">
      <c r="A17" s="368" t="s">
        <v>828</v>
      </c>
      <c r="B17" s="93"/>
      <c r="C17" s="93"/>
      <c r="D17" s="93"/>
      <c r="E17" s="93"/>
      <c r="F17" s="93"/>
      <c r="G17" s="93"/>
      <c r="H17" s="93"/>
      <c r="I17" s="93"/>
      <c r="J17" s="371">
        <f t="shared" ref="J17:U17" si="8">K17</f>
        <v>1</v>
      </c>
      <c r="K17" s="371">
        <f t="shared" si="8"/>
        <v>1</v>
      </c>
      <c r="L17" s="371">
        <f t="shared" si="8"/>
        <v>1</v>
      </c>
      <c r="M17" s="371">
        <f t="shared" si="8"/>
        <v>1</v>
      </c>
      <c r="N17" s="371">
        <f t="shared" si="8"/>
        <v>1</v>
      </c>
      <c r="O17" s="371">
        <f t="shared" si="8"/>
        <v>1</v>
      </c>
      <c r="P17" s="371">
        <f t="shared" si="8"/>
        <v>1</v>
      </c>
      <c r="Q17" s="371">
        <f t="shared" si="8"/>
        <v>1</v>
      </c>
      <c r="R17" s="371">
        <f t="shared" si="8"/>
        <v>1</v>
      </c>
      <c r="S17" s="371">
        <f t="shared" si="8"/>
        <v>1</v>
      </c>
      <c r="T17" s="371">
        <f t="shared" si="8"/>
        <v>1</v>
      </c>
      <c r="U17" s="371">
        <f t="shared" si="8"/>
        <v>1</v>
      </c>
      <c r="V17" s="369">
        <v>1</v>
      </c>
      <c r="W17" s="370">
        <f t="shared" ref="W17:AZ17" si="9">V17</f>
        <v>1</v>
      </c>
      <c r="X17" s="370">
        <f t="shared" si="9"/>
        <v>1</v>
      </c>
      <c r="Y17" s="370">
        <f t="shared" si="9"/>
        <v>1</v>
      </c>
      <c r="Z17" s="370">
        <f t="shared" si="9"/>
        <v>1</v>
      </c>
      <c r="AA17" s="370">
        <f t="shared" si="9"/>
        <v>1</v>
      </c>
      <c r="AB17" s="370">
        <f t="shared" si="9"/>
        <v>1</v>
      </c>
      <c r="AC17" s="370">
        <f t="shared" si="9"/>
        <v>1</v>
      </c>
      <c r="AD17" s="370">
        <f t="shared" si="9"/>
        <v>1</v>
      </c>
      <c r="AE17" s="370">
        <f t="shared" si="9"/>
        <v>1</v>
      </c>
      <c r="AF17" s="370">
        <f t="shared" si="9"/>
        <v>1</v>
      </c>
      <c r="AG17" s="370">
        <f t="shared" si="9"/>
        <v>1</v>
      </c>
      <c r="AH17" s="370">
        <f t="shared" si="9"/>
        <v>1</v>
      </c>
      <c r="AI17" s="370">
        <f t="shared" si="9"/>
        <v>1</v>
      </c>
      <c r="AJ17" s="370">
        <f t="shared" si="9"/>
        <v>1</v>
      </c>
      <c r="AK17" s="370">
        <f t="shared" si="9"/>
        <v>1</v>
      </c>
      <c r="AL17" s="370">
        <f t="shared" si="9"/>
        <v>1</v>
      </c>
      <c r="AM17" s="370">
        <f t="shared" si="9"/>
        <v>1</v>
      </c>
      <c r="AN17" s="370">
        <f t="shared" si="9"/>
        <v>1</v>
      </c>
      <c r="AO17" s="370">
        <f t="shared" si="9"/>
        <v>1</v>
      </c>
      <c r="AP17" s="370">
        <f t="shared" si="9"/>
        <v>1</v>
      </c>
      <c r="AQ17" s="370">
        <f t="shared" si="9"/>
        <v>1</v>
      </c>
      <c r="AR17" s="370">
        <f t="shared" si="9"/>
        <v>1</v>
      </c>
      <c r="AS17" s="370">
        <f t="shared" si="9"/>
        <v>1</v>
      </c>
      <c r="AT17" s="370">
        <f t="shared" si="9"/>
        <v>1</v>
      </c>
      <c r="AU17" s="370">
        <f t="shared" si="9"/>
        <v>1</v>
      </c>
      <c r="AV17" s="370">
        <f t="shared" si="9"/>
        <v>1</v>
      </c>
      <c r="AW17" s="370">
        <f t="shared" si="9"/>
        <v>1</v>
      </c>
      <c r="AX17" s="370">
        <f t="shared" si="9"/>
        <v>1</v>
      </c>
      <c r="AY17" s="370">
        <f t="shared" si="9"/>
        <v>1</v>
      </c>
      <c r="AZ17" s="370">
        <f t="shared" si="9"/>
        <v>1</v>
      </c>
    </row>
    <row r="18" spans="1:52" ht="15" customHeight="1">
      <c r="A18" s="368" t="s">
        <v>829</v>
      </c>
      <c r="B18" s="93"/>
      <c r="C18" s="93"/>
      <c r="D18" s="93"/>
      <c r="E18" s="93"/>
      <c r="F18" s="93"/>
      <c r="G18" s="93"/>
      <c r="H18" s="93"/>
      <c r="I18" s="93"/>
      <c r="J18" s="371">
        <f t="shared" ref="J18:U18" si="10">K18</f>
        <v>350</v>
      </c>
      <c r="K18" s="371">
        <f t="shared" si="10"/>
        <v>350</v>
      </c>
      <c r="L18" s="371">
        <f t="shared" si="10"/>
        <v>350</v>
      </c>
      <c r="M18" s="371">
        <f t="shared" si="10"/>
        <v>350</v>
      </c>
      <c r="N18" s="371">
        <f t="shared" si="10"/>
        <v>350</v>
      </c>
      <c r="O18" s="371">
        <f t="shared" si="10"/>
        <v>350</v>
      </c>
      <c r="P18" s="371">
        <f t="shared" si="10"/>
        <v>350</v>
      </c>
      <c r="Q18" s="371">
        <f t="shared" si="10"/>
        <v>350</v>
      </c>
      <c r="R18" s="371">
        <f t="shared" si="10"/>
        <v>350</v>
      </c>
      <c r="S18" s="371">
        <f t="shared" si="10"/>
        <v>350</v>
      </c>
      <c r="T18" s="371">
        <f t="shared" si="10"/>
        <v>350</v>
      </c>
      <c r="U18" s="371">
        <f t="shared" si="10"/>
        <v>350</v>
      </c>
      <c r="V18" s="369">
        <v>350</v>
      </c>
      <c r="W18" s="370">
        <f t="shared" ref="W18:AZ18" si="11">V18</f>
        <v>350</v>
      </c>
      <c r="X18" s="370">
        <f t="shared" si="11"/>
        <v>350</v>
      </c>
      <c r="Y18" s="370">
        <f t="shared" si="11"/>
        <v>350</v>
      </c>
      <c r="Z18" s="370">
        <f t="shared" si="11"/>
        <v>350</v>
      </c>
      <c r="AA18" s="370">
        <f t="shared" si="11"/>
        <v>350</v>
      </c>
      <c r="AB18" s="370">
        <f t="shared" si="11"/>
        <v>350</v>
      </c>
      <c r="AC18" s="370">
        <f t="shared" si="11"/>
        <v>350</v>
      </c>
      <c r="AD18" s="370">
        <f t="shared" si="11"/>
        <v>350</v>
      </c>
      <c r="AE18" s="370">
        <f t="shared" si="11"/>
        <v>350</v>
      </c>
      <c r="AF18" s="370">
        <f t="shared" si="11"/>
        <v>350</v>
      </c>
      <c r="AG18" s="370">
        <f t="shared" si="11"/>
        <v>350</v>
      </c>
      <c r="AH18" s="370">
        <f t="shared" si="11"/>
        <v>350</v>
      </c>
      <c r="AI18" s="370">
        <f t="shared" si="11"/>
        <v>350</v>
      </c>
      <c r="AJ18" s="370">
        <f t="shared" si="11"/>
        <v>350</v>
      </c>
      <c r="AK18" s="370">
        <f t="shared" si="11"/>
        <v>350</v>
      </c>
      <c r="AL18" s="370">
        <f t="shared" si="11"/>
        <v>350</v>
      </c>
      <c r="AM18" s="370">
        <f t="shared" si="11"/>
        <v>350</v>
      </c>
      <c r="AN18" s="370">
        <f t="shared" si="11"/>
        <v>350</v>
      </c>
      <c r="AO18" s="370">
        <f t="shared" si="11"/>
        <v>350</v>
      </c>
      <c r="AP18" s="370">
        <f t="shared" si="11"/>
        <v>350</v>
      </c>
      <c r="AQ18" s="370">
        <f t="shared" si="11"/>
        <v>350</v>
      </c>
      <c r="AR18" s="370">
        <f t="shared" si="11"/>
        <v>350</v>
      </c>
      <c r="AS18" s="370">
        <f t="shared" si="11"/>
        <v>350</v>
      </c>
      <c r="AT18" s="370">
        <f t="shared" si="11"/>
        <v>350</v>
      </c>
      <c r="AU18" s="370">
        <f t="shared" si="11"/>
        <v>350</v>
      </c>
      <c r="AV18" s="370">
        <f t="shared" si="11"/>
        <v>350</v>
      </c>
      <c r="AW18" s="370">
        <f t="shared" si="11"/>
        <v>350</v>
      </c>
      <c r="AX18" s="370">
        <f t="shared" si="11"/>
        <v>350</v>
      </c>
      <c r="AY18" s="370">
        <f t="shared" si="11"/>
        <v>350</v>
      </c>
      <c r="AZ18" s="370">
        <f t="shared" si="11"/>
        <v>350</v>
      </c>
    </row>
    <row r="19" spans="1:52" ht="15" customHeight="1">
      <c r="A19" s="368" t="s">
        <v>830</v>
      </c>
      <c r="B19" s="93"/>
      <c r="C19" s="93"/>
      <c r="D19" s="93"/>
      <c r="E19" s="93"/>
      <c r="F19" s="93"/>
      <c r="G19" s="93"/>
      <c r="H19" s="93"/>
      <c r="I19" s="93"/>
      <c r="J19" s="339">
        <f t="shared" ref="J19:U19" si="12">K19</f>
        <v>0</v>
      </c>
      <c r="K19" s="339">
        <f t="shared" si="12"/>
        <v>0</v>
      </c>
      <c r="L19" s="339">
        <f t="shared" si="12"/>
        <v>0</v>
      </c>
      <c r="M19" s="339">
        <f t="shared" si="12"/>
        <v>0</v>
      </c>
      <c r="N19" s="339">
        <f t="shared" si="12"/>
        <v>0</v>
      </c>
      <c r="O19" s="339">
        <f t="shared" si="12"/>
        <v>0</v>
      </c>
      <c r="P19" s="339">
        <f t="shared" si="12"/>
        <v>0</v>
      </c>
      <c r="Q19" s="339">
        <f t="shared" si="12"/>
        <v>0</v>
      </c>
      <c r="R19" s="339">
        <f t="shared" si="12"/>
        <v>0</v>
      </c>
      <c r="S19" s="339">
        <f t="shared" si="12"/>
        <v>0</v>
      </c>
      <c r="T19" s="339">
        <f t="shared" si="12"/>
        <v>0</v>
      </c>
      <c r="U19" s="339">
        <f t="shared" si="12"/>
        <v>0</v>
      </c>
      <c r="V19" s="254">
        <v>0</v>
      </c>
      <c r="W19" s="102">
        <f t="shared" ref="W19:AZ19" si="13">V19</f>
        <v>0</v>
      </c>
      <c r="X19" s="102">
        <f t="shared" si="13"/>
        <v>0</v>
      </c>
      <c r="Y19" s="102">
        <f t="shared" si="13"/>
        <v>0</v>
      </c>
      <c r="Z19" s="102">
        <f t="shared" si="13"/>
        <v>0</v>
      </c>
      <c r="AA19" s="102">
        <f t="shared" si="13"/>
        <v>0</v>
      </c>
      <c r="AB19" s="102">
        <f t="shared" si="13"/>
        <v>0</v>
      </c>
      <c r="AC19" s="102">
        <f t="shared" si="13"/>
        <v>0</v>
      </c>
      <c r="AD19" s="102">
        <f t="shared" si="13"/>
        <v>0</v>
      </c>
      <c r="AE19" s="102">
        <f t="shared" si="13"/>
        <v>0</v>
      </c>
      <c r="AF19" s="102">
        <f t="shared" si="13"/>
        <v>0</v>
      </c>
      <c r="AG19" s="102">
        <f t="shared" si="13"/>
        <v>0</v>
      </c>
      <c r="AH19" s="102">
        <f t="shared" si="13"/>
        <v>0</v>
      </c>
      <c r="AI19" s="102">
        <f t="shared" si="13"/>
        <v>0</v>
      </c>
      <c r="AJ19" s="102">
        <f t="shared" si="13"/>
        <v>0</v>
      </c>
      <c r="AK19" s="102">
        <f t="shared" si="13"/>
        <v>0</v>
      </c>
      <c r="AL19" s="102">
        <f t="shared" si="13"/>
        <v>0</v>
      </c>
      <c r="AM19" s="102">
        <f t="shared" si="13"/>
        <v>0</v>
      </c>
      <c r="AN19" s="102">
        <f t="shared" si="13"/>
        <v>0</v>
      </c>
      <c r="AO19" s="102">
        <f t="shared" si="13"/>
        <v>0</v>
      </c>
      <c r="AP19" s="102">
        <f t="shared" si="13"/>
        <v>0</v>
      </c>
      <c r="AQ19" s="102">
        <f t="shared" si="13"/>
        <v>0</v>
      </c>
      <c r="AR19" s="102">
        <f t="shared" si="13"/>
        <v>0</v>
      </c>
      <c r="AS19" s="102">
        <f t="shared" si="13"/>
        <v>0</v>
      </c>
      <c r="AT19" s="102">
        <f t="shared" si="13"/>
        <v>0</v>
      </c>
      <c r="AU19" s="102">
        <f t="shared" si="13"/>
        <v>0</v>
      </c>
      <c r="AV19" s="102">
        <f t="shared" si="13"/>
        <v>0</v>
      </c>
      <c r="AW19" s="102">
        <f t="shared" si="13"/>
        <v>0</v>
      </c>
      <c r="AX19" s="102">
        <f t="shared" si="13"/>
        <v>0</v>
      </c>
      <c r="AY19" s="102">
        <f t="shared" si="13"/>
        <v>0</v>
      </c>
      <c r="AZ19" s="102">
        <f t="shared" si="13"/>
        <v>0</v>
      </c>
    </row>
    <row r="20" spans="1:52" ht="15" customHeight="1">
      <c r="A20" s="372" t="s">
        <v>100</v>
      </c>
      <c r="B20" s="373">
        <f t="shared" ref="B20:U20" si="14">C20/(1+B41-B27)</f>
        <v>24432.410572702767</v>
      </c>
      <c r="C20" s="373">
        <f t="shared" si="14"/>
        <v>24896.626373584124</v>
      </c>
      <c r="D20" s="373">
        <f t="shared" si="14"/>
        <v>25369.662274682225</v>
      </c>
      <c r="E20" s="373">
        <f t="shared" si="14"/>
        <v>25851.68585790119</v>
      </c>
      <c r="F20" s="373">
        <f t="shared" si="14"/>
        <v>26342.867889201316</v>
      </c>
      <c r="G20" s="373">
        <f t="shared" si="14"/>
        <v>26843.382379096143</v>
      </c>
      <c r="H20" s="373">
        <f t="shared" si="14"/>
        <v>27353.406644298975</v>
      </c>
      <c r="I20" s="373">
        <f t="shared" si="14"/>
        <v>27873.121370540659</v>
      </c>
      <c r="J20" s="373">
        <f t="shared" si="14"/>
        <v>28402.710676580937</v>
      </c>
      <c r="K20" s="373">
        <f t="shared" si="14"/>
        <v>28942.362179435979</v>
      </c>
      <c r="L20" s="373">
        <f t="shared" si="14"/>
        <v>29492.267060845264</v>
      </c>
      <c r="M20" s="373">
        <f t="shared" si="14"/>
        <v>30052.620135001329</v>
      </c>
      <c r="N20" s="373">
        <f t="shared" si="14"/>
        <v>30623.619917566357</v>
      </c>
      <c r="O20" s="373">
        <f t="shared" si="14"/>
        <v>31205.46869600012</v>
      </c>
      <c r="P20" s="373">
        <f t="shared" si="14"/>
        <v>31798.372601224128</v>
      </c>
      <c r="Q20" s="373">
        <f t="shared" si="14"/>
        <v>32402.541680647391</v>
      </c>
      <c r="R20" s="373">
        <f t="shared" si="14"/>
        <v>33018.189972579697</v>
      </c>
      <c r="S20" s="373">
        <f t="shared" si="14"/>
        <v>33645.535582058714</v>
      </c>
      <c r="T20" s="373">
        <f t="shared" si="14"/>
        <v>34284.800758117832</v>
      </c>
      <c r="U20" s="373">
        <f t="shared" si="14"/>
        <v>34936.211972522076</v>
      </c>
      <c r="V20" s="374">
        <v>35600</v>
      </c>
      <c r="W20" s="373">
        <f t="shared" ref="W20:AZ20" si="15">V20*(1+V41-V27)</f>
        <v>36276.400000000001</v>
      </c>
      <c r="X20" s="373">
        <f t="shared" si="15"/>
        <v>36965.651600000005</v>
      </c>
      <c r="Y20" s="373">
        <f t="shared" si="15"/>
        <v>37667.998980400007</v>
      </c>
      <c r="Z20" s="373">
        <f t="shared" si="15"/>
        <v>38383.690961027613</v>
      </c>
      <c r="AA20" s="373">
        <f t="shared" si="15"/>
        <v>39112.981089287139</v>
      </c>
      <c r="AB20" s="373">
        <f t="shared" si="15"/>
        <v>39856.1277299836</v>
      </c>
      <c r="AC20" s="373">
        <f t="shared" si="15"/>
        <v>40613.39415685329</v>
      </c>
      <c r="AD20" s="373">
        <f t="shared" si="15"/>
        <v>41385.048645833507</v>
      </c>
      <c r="AE20" s="373">
        <f t="shared" si="15"/>
        <v>42171.36457010435</v>
      </c>
      <c r="AF20" s="373">
        <f t="shared" si="15"/>
        <v>42972.620496936339</v>
      </c>
      <c r="AG20" s="373">
        <f t="shared" si="15"/>
        <v>43789.100286378132</v>
      </c>
      <c r="AH20" s="373">
        <f t="shared" si="15"/>
        <v>44621.093191819324</v>
      </c>
      <c r="AI20" s="373">
        <f t="shared" si="15"/>
        <v>45468.893962463895</v>
      </c>
      <c r="AJ20" s="373">
        <f t="shared" si="15"/>
        <v>46332.802947750715</v>
      </c>
      <c r="AK20" s="373">
        <f t="shared" si="15"/>
        <v>47213.126203757987</v>
      </c>
      <c r="AL20" s="373">
        <f t="shared" si="15"/>
        <v>48110.175601629395</v>
      </c>
      <c r="AM20" s="373">
        <f t="shared" si="15"/>
        <v>49024.268938060362</v>
      </c>
      <c r="AN20" s="373">
        <f t="shared" si="15"/>
        <v>49955.730047883517</v>
      </c>
      <c r="AO20" s="373">
        <f t="shared" si="15"/>
        <v>50904.888918793309</v>
      </c>
      <c r="AP20" s="373">
        <f t="shared" si="15"/>
        <v>51872.08180825039</v>
      </c>
      <c r="AQ20" s="373">
        <f t="shared" si="15"/>
        <v>52857.651362607154</v>
      </c>
      <c r="AR20" s="373">
        <f t="shared" si="15"/>
        <v>53861.946738496699</v>
      </c>
      <c r="AS20" s="373">
        <f t="shared" si="15"/>
        <v>54885.323726528142</v>
      </c>
      <c r="AT20" s="373">
        <f t="shared" si="15"/>
        <v>55928.144877332183</v>
      </c>
      <c r="AU20" s="373">
        <f t="shared" si="15"/>
        <v>56990.779630001503</v>
      </c>
      <c r="AV20" s="373">
        <f t="shared" si="15"/>
        <v>58073.60444297154</v>
      </c>
      <c r="AW20" s="373">
        <f t="shared" si="15"/>
        <v>59177.002927388006</v>
      </c>
      <c r="AX20" s="373">
        <f t="shared" si="15"/>
        <v>60301.365983008385</v>
      </c>
      <c r="AY20" s="373">
        <f t="shared" si="15"/>
        <v>61447.091936685552</v>
      </c>
      <c r="AZ20" s="373">
        <f t="shared" si="15"/>
        <v>62614.586683482587</v>
      </c>
    </row>
    <row r="21" spans="1:52" ht="15" customHeight="1">
      <c r="A21" s="100" t="s">
        <v>831</v>
      </c>
      <c r="B21" s="91">
        <f t="shared" ref="B21:U21" si="16">C21/(1+B41-B27)</f>
        <v>41.178220066352985</v>
      </c>
      <c r="C21" s="91">
        <f t="shared" si="16"/>
        <v>41.960606247613697</v>
      </c>
      <c r="D21" s="91">
        <f t="shared" si="16"/>
        <v>42.757857766318359</v>
      </c>
      <c r="E21" s="91">
        <f t="shared" si="16"/>
        <v>43.570257063878415</v>
      </c>
      <c r="F21" s="91">
        <f t="shared" si="16"/>
        <v>44.398091948092109</v>
      </c>
      <c r="G21" s="91">
        <f t="shared" si="16"/>
        <v>45.241655695105862</v>
      </c>
      <c r="H21" s="91">
        <f t="shared" si="16"/>
        <v>46.101247153312876</v>
      </c>
      <c r="I21" s="91">
        <f t="shared" si="16"/>
        <v>46.977170849225828</v>
      </c>
      <c r="J21" s="91">
        <f t="shared" si="16"/>
        <v>47.869737095361124</v>
      </c>
      <c r="K21" s="91">
        <f t="shared" si="16"/>
        <v>48.779262100172993</v>
      </c>
      <c r="L21" s="91">
        <f t="shared" si="16"/>
        <v>49.706068080076285</v>
      </c>
      <c r="M21" s="91">
        <f t="shared" si="16"/>
        <v>50.650483373597744</v>
      </c>
      <c r="N21" s="91">
        <f t="shared" si="16"/>
        <v>51.612842557696105</v>
      </c>
      <c r="O21" s="91">
        <f t="shared" si="16"/>
        <v>52.593486566292334</v>
      </c>
      <c r="P21" s="91">
        <f t="shared" si="16"/>
        <v>53.592762811051898</v>
      </c>
      <c r="Q21" s="91">
        <f t="shared" si="16"/>
        <v>54.61102530446189</v>
      </c>
      <c r="R21" s="91">
        <f t="shared" si="16"/>
        <v>55.648634785246671</v>
      </c>
      <c r="S21" s="91">
        <f t="shared" si="16"/>
        <v>56.705958846166368</v>
      </c>
      <c r="T21" s="91">
        <f t="shared" si="16"/>
        <v>57.783372064243537</v>
      </c>
      <c r="U21" s="91">
        <f t="shared" si="16"/>
        <v>58.88125613346417</v>
      </c>
      <c r="V21" s="107">
        <v>60</v>
      </c>
      <c r="W21" s="91">
        <f t="shared" ref="W21:AZ21" si="17">V21*(1+V41-V27)</f>
        <v>61.140000000000008</v>
      </c>
      <c r="X21" s="91">
        <f t="shared" si="17"/>
        <v>62.301660000000012</v>
      </c>
      <c r="Y21" s="91">
        <f t="shared" si="17"/>
        <v>63.485391540000023</v>
      </c>
      <c r="Z21" s="91">
        <f t="shared" si="17"/>
        <v>64.691613979260026</v>
      </c>
      <c r="AA21" s="91">
        <f t="shared" si="17"/>
        <v>65.92075464486598</v>
      </c>
      <c r="AB21" s="91">
        <f t="shared" si="17"/>
        <v>67.173248983118441</v>
      </c>
      <c r="AC21" s="91">
        <f t="shared" si="17"/>
        <v>68.449540713797703</v>
      </c>
      <c r="AD21" s="91">
        <f t="shared" si="17"/>
        <v>69.750081987359863</v>
      </c>
      <c r="AE21" s="91">
        <f t="shared" si="17"/>
        <v>71.075333545119705</v>
      </c>
      <c r="AF21" s="91">
        <f t="shared" si="17"/>
        <v>72.425764882476983</v>
      </c>
      <c r="AG21" s="91">
        <f t="shared" si="17"/>
        <v>73.801854415244051</v>
      </c>
      <c r="AH21" s="91">
        <f t="shared" si="17"/>
        <v>75.204089649133692</v>
      </c>
      <c r="AI21" s="91">
        <f t="shared" si="17"/>
        <v>76.632967352467247</v>
      </c>
      <c r="AJ21" s="91">
        <f t="shared" si="17"/>
        <v>78.088993732164141</v>
      </c>
      <c r="AK21" s="91">
        <f t="shared" si="17"/>
        <v>79.572684613075268</v>
      </c>
      <c r="AL21" s="91">
        <f t="shared" si="17"/>
        <v>81.084565620723708</v>
      </c>
      <c r="AM21" s="91">
        <f t="shared" si="17"/>
        <v>82.625172367517465</v>
      </c>
      <c r="AN21" s="91">
        <f t="shared" si="17"/>
        <v>84.195050642500306</v>
      </c>
      <c r="AO21" s="91">
        <f t="shared" si="17"/>
        <v>85.794756604707828</v>
      </c>
      <c r="AP21" s="91">
        <f t="shared" si="17"/>
        <v>87.424856980197291</v>
      </c>
      <c r="AQ21" s="91">
        <f t="shared" si="17"/>
        <v>89.085929262821054</v>
      </c>
      <c r="AR21" s="91">
        <f t="shared" si="17"/>
        <v>90.77856191881466</v>
      </c>
      <c r="AS21" s="91">
        <f t="shared" si="17"/>
        <v>92.503354595272157</v>
      </c>
      <c r="AT21" s="91">
        <f t="shared" si="17"/>
        <v>94.260918332582335</v>
      </c>
      <c r="AU21" s="91">
        <f t="shared" si="17"/>
        <v>96.051875780901412</v>
      </c>
      <c r="AV21" s="91">
        <f t="shared" si="17"/>
        <v>97.87686142073855</v>
      </c>
      <c r="AW21" s="91">
        <f t="shared" si="17"/>
        <v>99.736521787732599</v>
      </c>
      <c r="AX21" s="91">
        <f t="shared" si="17"/>
        <v>101.63151570169953</v>
      </c>
      <c r="AY21" s="91">
        <f t="shared" si="17"/>
        <v>103.56251450003182</v>
      </c>
      <c r="AZ21" s="91">
        <f t="shared" si="17"/>
        <v>105.53020227553245</v>
      </c>
    </row>
    <row r="22" spans="1:52" ht="15" customHeight="1">
      <c r="A22" s="100" t="s">
        <v>832</v>
      </c>
      <c r="B22" s="91"/>
      <c r="C22" s="91"/>
      <c r="D22" s="91"/>
      <c r="E22" s="91"/>
      <c r="F22" s="91"/>
      <c r="G22" s="91"/>
      <c r="H22" s="91"/>
      <c r="I22" s="91"/>
      <c r="J22" s="91">
        <f t="shared" ref="J22:U22" si="18">K22/(1+$V$23)</f>
        <v>30.897905508183229</v>
      </c>
      <c r="K22" s="91">
        <f t="shared" si="18"/>
        <v>31.067843988478238</v>
      </c>
      <c r="L22" s="91">
        <f t="shared" si="18"/>
        <v>31.238717130414869</v>
      </c>
      <c r="M22" s="91">
        <f t="shared" si="18"/>
        <v>31.410530074632153</v>
      </c>
      <c r="N22" s="91">
        <f t="shared" si="18"/>
        <v>31.583287990042631</v>
      </c>
      <c r="O22" s="91">
        <f t="shared" si="18"/>
        <v>31.756996073987867</v>
      </c>
      <c r="P22" s="91">
        <f t="shared" si="18"/>
        <v>31.931659552394802</v>
      </c>
      <c r="Q22" s="91">
        <f t="shared" si="18"/>
        <v>32.107283679932976</v>
      </c>
      <c r="R22" s="91">
        <f t="shared" si="18"/>
        <v>32.283873740172609</v>
      </c>
      <c r="S22" s="91">
        <f t="shared" si="18"/>
        <v>32.461435045743563</v>
      </c>
      <c r="T22" s="91">
        <f t="shared" si="18"/>
        <v>32.639972938495156</v>
      </c>
      <c r="U22" s="91">
        <f t="shared" si="18"/>
        <v>32.819492789656884</v>
      </c>
      <c r="V22" s="107">
        <v>33</v>
      </c>
      <c r="W22" s="91">
        <f t="shared" ref="W22:AZ22" si="19">V22*(1+$V$23)</f>
        <v>33.1815</v>
      </c>
      <c r="X22" s="91">
        <f t="shared" si="19"/>
        <v>33.363998250000002</v>
      </c>
      <c r="Y22" s="91">
        <f t="shared" si="19"/>
        <v>33.547500240375001</v>
      </c>
      <c r="Z22" s="91">
        <f t="shared" si="19"/>
        <v>33.732011491697065</v>
      </c>
      <c r="AA22" s="91">
        <f t="shared" si="19"/>
        <v>33.917537554901401</v>
      </c>
      <c r="AB22" s="91">
        <f t="shared" si="19"/>
        <v>34.104084011453359</v>
      </c>
      <c r="AC22" s="91">
        <f t="shared" si="19"/>
        <v>34.291656473516355</v>
      </c>
      <c r="AD22" s="91">
        <f t="shared" si="19"/>
        <v>34.4802605841207</v>
      </c>
      <c r="AE22" s="91">
        <f t="shared" si="19"/>
        <v>34.669902017333364</v>
      </c>
      <c r="AF22" s="91">
        <f t="shared" si="19"/>
        <v>34.860586478428701</v>
      </c>
      <c r="AG22" s="91">
        <f t="shared" si="19"/>
        <v>35.052319704060061</v>
      </c>
      <c r="AH22" s="91">
        <f t="shared" si="19"/>
        <v>35.245107462432394</v>
      </c>
      <c r="AI22" s="91">
        <f t="shared" si="19"/>
        <v>35.438955553475772</v>
      </c>
      <c r="AJ22" s="91">
        <f t="shared" si="19"/>
        <v>35.633869809019892</v>
      </c>
      <c r="AK22" s="91">
        <f t="shared" si="19"/>
        <v>35.8298560929695</v>
      </c>
      <c r="AL22" s="91">
        <f t="shared" si="19"/>
        <v>36.026920301480835</v>
      </c>
      <c r="AM22" s="91">
        <f t="shared" si="19"/>
        <v>36.22506836313898</v>
      </c>
      <c r="AN22" s="91">
        <f t="shared" si="19"/>
        <v>36.42430623913625</v>
      </c>
      <c r="AO22" s="91">
        <f t="shared" si="19"/>
        <v>36.624639923451504</v>
      </c>
      <c r="AP22" s="91">
        <f t="shared" si="19"/>
        <v>36.82607544303049</v>
      </c>
      <c r="AQ22" s="91">
        <f t="shared" si="19"/>
        <v>37.02861885796716</v>
      </c>
      <c r="AR22" s="91">
        <f t="shared" si="19"/>
        <v>37.232276261685982</v>
      </c>
      <c r="AS22" s="91">
        <f t="shared" si="19"/>
        <v>37.437053781125258</v>
      </c>
      <c r="AT22" s="91">
        <f t="shared" si="19"/>
        <v>37.642957576921447</v>
      </c>
      <c r="AU22" s="91">
        <f t="shared" si="19"/>
        <v>37.849993843594518</v>
      </c>
      <c r="AV22" s="91">
        <f t="shared" si="19"/>
        <v>38.058168809734291</v>
      </c>
      <c r="AW22" s="91">
        <f t="shared" si="19"/>
        <v>38.267488738187829</v>
      </c>
      <c r="AX22" s="91">
        <f t="shared" si="19"/>
        <v>38.477959926247863</v>
      </c>
      <c r="AY22" s="91">
        <f t="shared" si="19"/>
        <v>38.689588705842226</v>
      </c>
      <c r="AZ22" s="91">
        <f t="shared" si="19"/>
        <v>38.902381443724359</v>
      </c>
    </row>
    <row r="23" spans="1:52" ht="15" customHeight="1">
      <c r="A23" s="100" t="s">
        <v>833</v>
      </c>
      <c r="B23" s="91"/>
      <c r="C23" s="91"/>
      <c r="D23" s="91"/>
      <c r="E23" s="91"/>
      <c r="F23" s="91"/>
      <c r="G23" s="91"/>
      <c r="H23" s="91"/>
      <c r="I23" s="91"/>
      <c r="J23" s="91"/>
      <c r="K23" s="91"/>
      <c r="L23" s="91"/>
      <c r="M23" s="91"/>
      <c r="N23" s="91"/>
      <c r="O23" s="91"/>
      <c r="P23" s="91"/>
      <c r="Q23" s="91"/>
      <c r="R23" s="91"/>
      <c r="S23" s="91"/>
      <c r="T23" s="91"/>
      <c r="U23" s="91"/>
      <c r="V23" s="279">
        <v>5.4999999999999997E-3</v>
      </c>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row>
    <row r="24" spans="1:52" ht="15" customHeight="1">
      <c r="A24" s="100" t="s">
        <v>834</v>
      </c>
      <c r="B24" s="91"/>
      <c r="C24" s="91"/>
      <c r="D24" s="91"/>
      <c r="E24" s="91"/>
      <c r="F24" s="91"/>
      <c r="G24" s="91"/>
      <c r="H24" s="91"/>
      <c r="I24" s="91"/>
      <c r="J24" s="102">
        <f t="shared" ref="J24:U24" si="20">K24</f>
        <v>0.88</v>
      </c>
      <c r="K24" s="102">
        <f t="shared" si="20"/>
        <v>0.88</v>
      </c>
      <c r="L24" s="102">
        <f t="shared" si="20"/>
        <v>0.88</v>
      </c>
      <c r="M24" s="102">
        <f t="shared" si="20"/>
        <v>0.88</v>
      </c>
      <c r="N24" s="102">
        <f t="shared" si="20"/>
        <v>0.88</v>
      </c>
      <c r="O24" s="102">
        <f t="shared" si="20"/>
        <v>0.88</v>
      </c>
      <c r="P24" s="102">
        <f t="shared" si="20"/>
        <v>0.88</v>
      </c>
      <c r="Q24" s="102">
        <f t="shared" si="20"/>
        <v>0.88</v>
      </c>
      <c r="R24" s="102">
        <f t="shared" si="20"/>
        <v>0.88</v>
      </c>
      <c r="S24" s="102">
        <f t="shared" si="20"/>
        <v>0.88</v>
      </c>
      <c r="T24" s="102">
        <f t="shared" si="20"/>
        <v>0.88</v>
      </c>
      <c r="U24" s="102">
        <f t="shared" si="20"/>
        <v>0.88</v>
      </c>
      <c r="V24" s="281">
        <v>0.88</v>
      </c>
      <c r="W24" s="102">
        <f t="shared" ref="W24:AZ24" si="21">V24</f>
        <v>0.88</v>
      </c>
      <c r="X24" s="102">
        <f t="shared" si="21"/>
        <v>0.88</v>
      </c>
      <c r="Y24" s="102">
        <f t="shared" si="21"/>
        <v>0.88</v>
      </c>
      <c r="Z24" s="102">
        <f t="shared" si="21"/>
        <v>0.88</v>
      </c>
      <c r="AA24" s="102">
        <f t="shared" si="21"/>
        <v>0.88</v>
      </c>
      <c r="AB24" s="102">
        <f t="shared" si="21"/>
        <v>0.88</v>
      </c>
      <c r="AC24" s="102">
        <f t="shared" si="21"/>
        <v>0.88</v>
      </c>
      <c r="AD24" s="102">
        <f t="shared" si="21"/>
        <v>0.88</v>
      </c>
      <c r="AE24" s="102">
        <f t="shared" si="21"/>
        <v>0.88</v>
      </c>
      <c r="AF24" s="102">
        <f t="shared" si="21"/>
        <v>0.88</v>
      </c>
      <c r="AG24" s="102">
        <f t="shared" si="21"/>
        <v>0.88</v>
      </c>
      <c r="AH24" s="102">
        <f t="shared" si="21"/>
        <v>0.88</v>
      </c>
      <c r="AI24" s="102">
        <f t="shared" si="21"/>
        <v>0.88</v>
      </c>
      <c r="AJ24" s="102">
        <f t="shared" si="21"/>
        <v>0.88</v>
      </c>
      <c r="AK24" s="102">
        <f t="shared" si="21"/>
        <v>0.88</v>
      </c>
      <c r="AL24" s="102">
        <f t="shared" si="21"/>
        <v>0.88</v>
      </c>
      <c r="AM24" s="102">
        <f t="shared" si="21"/>
        <v>0.88</v>
      </c>
      <c r="AN24" s="102">
        <f t="shared" si="21"/>
        <v>0.88</v>
      </c>
      <c r="AO24" s="102">
        <f t="shared" si="21"/>
        <v>0.88</v>
      </c>
      <c r="AP24" s="102">
        <f t="shared" si="21"/>
        <v>0.88</v>
      </c>
      <c r="AQ24" s="102">
        <f t="shared" si="21"/>
        <v>0.88</v>
      </c>
      <c r="AR24" s="102">
        <f t="shared" si="21"/>
        <v>0.88</v>
      </c>
      <c r="AS24" s="102">
        <f t="shared" si="21"/>
        <v>0.88</v>
      </c>
      <c r="AT24" s="102">
        <f t="shared" si="21"/>
        <v>0.88</v>
      </c>
      <c r="AU24" s="102">
        <f t="shared" si="21"/>
        <v>0.88</v>
      </c>
      <c r="AV24" s="102">
        <f t="shared" si="21"/>
        <v>0.88</v>
      </c>
      <c r="AW24" s="102">
        <f t="shared" si="21"/>
        <v>0.88</v>
      </c>
      <c r="AX24" s="102">
        <f t="shared" si="21"/>
        <v>0.88</v>
      </c>
      <c r="AY24" s="102">
        <f t="shared" si="21"/>
        <v>0.88</v>
      </c>
      <c r="AZ24" s="102">
        <f t="shared" si="21"/>
        <v>0.88</v>
      </c>
    </row>
    <row r="25" spans="1:52" ht="15" customHeight="1">
      <c r="A25" s="100" t="s">
        <v>835</v>
      </c>
      <c r="B25" s="91">
        <f t="shared" ref="B25:U25" si="22">C25/(1+B41-B27)</f>
        <v>20.589110033176492</v>
      </c>
      <c r="C25" s="91">
        <f t="shared" si="22"/>
        <v>20.980303123806848</v>
      </c>
      <c r="D25" s="91">
        <f t="shared" si="22"/>
        <v>21.37892888315918</v>
      </c>
      <c r="E25" s="91">
        <f t="shared" si="22"/>
        <v>21.785128531939208</v>
      </c>
      <c r="F25" s="91">
        <f t="shared" si="22"/>
        <v>22.199045974046054</v>
      </c>
      <c r="G25" s="91">
        <f t="shared" si="22"/>
        <v>22.620827847552931</v>
      </c>
      <c r="H25" s="91">
        <f t="shared" si="22"/>
        <v>23.050623576656438</v>
      </c>
      <c r="I25" s="91">
        <f t="shared" si="22"/>
        <v>23.488585424612914</v>
      </c>
      <c r="J25" s="91">
        <f t="shared" si="22"/>
        <v>23.934868547680562</v>
      </c>
      <c r="K25" s="91">
        <f t="shared" si="22"/>
        <v>24.389631050086496</v>
      </c>
      <c r="L25" s="91">
        <f t="shared" si="22"/>
        <v>24.853034040038143</v>
      </c>
      <c r="M25" s="91">
        <f t="shared" si="22"/>
        <v>25.325241686798872</v>
      </c>
      <c r="N25" s="91">
        <f t="shared" si="22"/>
        <v>25.806421278848052</v>
      </c>
      <c r="O25" s="91">
        <f t="shared" si="22"/>
        <v>26.296743283146167</v>
      </c>
      <c r="P25" s="91">
        <f t="shared" si="22"/>
        <v>26.796381405525949</v>
      </c>
      <c r="Q25" s="91">
        <f t="shared" si="22"/>
        <v>27.305512652230945</v>
      </c>
      <c r="R25" s="91">
        <f t="shared" si="22"/>
        <v>27.824317392623335</v>
      </c>
      <c r="S25" s="91">
        <f t="shared" si="22"/>
        <v>28.352979423083184</v>
      </c>
      <c r="T25" s="91">
        <f t="shared" si="22"/>
        <v>28.891686032121768</v>
      </c>
      <c r="U25" s="91">
        <f t="shared" si="22"/>
        <v>29.440628066732085</v>
      </c>
      <c r="V25" s="107">
        <v>30</v>
      </c>
      <c r="W25" s="91">
        <f t="shared" ref="W25:AZ25" si="23">V25*(1+V41-V27)</f>
        <v>30.570000000000004</v>
      </c>
      <c r="X25" s="91">
        <f t="shared" si="23"/>
        <v>31.150830000000006</v>
      </c>
      <c r="Y25" s="91">
        <f t="shared" si="23"/>
        <v>31.742695770000012</v>
      </c>
      <c r="Z25" s="91">
        <f t="shared" si="23"/>
        <v>32.345806989630013</v>
      </c>
      <c r="AA25" s="91">
        <f t="shared" si="23"/>
        <v>32.96037732243299</v>
      </c>
      <c r="AB25" s="91">
        <f t="shared" si="23"/>
        <v>33.58662449155922</v>
      </c>
      <c r="AC25" s="91">
        <f t="shared" si="23"/>
        <v>34.224770356898851</v>
      </c>
      <c r="AD25" s="91">
        <f t="shared" si="23"/>
        <v>34.875040993679931</v>
      </c>
      <c r="AE25" s="91">
        <f t="shared" si="23"/>
        <v>35.537666772559852</v>
      </c>
      <c r="AF25" s="91">
        <f t="shared" si="23"/>
        <v>36.212882441238492</v>
      </c>
      <c r="AG25" s="91">
        <f t="shared" si="23"/>
        <v>36.900927207622026</v>
      </c>
      <c r="AH25" s="91">
        <f t="shared" si="23"/>
        <v>37.602044824566846</v>
      </c>
      <c r="AI25" s="91">
        <f t="shared" si="23"/>
        <v>38.316483676233624</v>
      </c>
      <c r="AJ25" s="91">
        <f t="shared" si="23"/>
        <v>39.044496866082071</v>
      </c>
      <c r="AK25" s="91">
        <f t="shared" si="23"/>
        <v>39.786342306537634</v>
      </c>
      <c r="AL25" s="91">
        <f t="shared" si="23"/>
        <v>40.542282810361854</v>
      </c>
      <c r="AM25" s="91">
        <f t="shared" si="23"/>
        <v>41.312586183758732</v>
      </c>
      <c r="AN25" s="91">
        <f t="shared" si="23"/>
        <v>42.097525321250153</v>
      </c>
      <c r="AO25" s="91">
        <f t="shared" si="23"/>
        <v>42.897378302353914</v>
      </c>
      <c r="AP25" s="91">
        <f t="shared" si="23"/>
        <v>43.712428490098645</v>
      </c>
      <c r="AQ25" s="91">
        <f t="shared" si="23"/>
        <v>44.542964631410527</v>
      </c>
      <c r="AR25" s="91">
        <f t="shared" si="23"/>
        <v>45.38928095940733</v>
      </c>
      <c r="AS25" s="91">
        <f t="shared" si="23"/>
        <v>46.251677297636078</v>
      </c>
      <c r="AT25" s="91">
        <f t="shared" si="23"/>
        <v>47.130459166291168</v>
      </c>
      <c r="AU25" s="91">
        <f t="shared" si="23"/>
        <v>48.025937890450706</v>
      </c>
      <c r="AV25" s="91">
        <f t="shared" si="23"/>
        <v>48.938430710369275</v>
      </c>
      <c r="AW25" s="91">
        <f t="shared" si="23"/>
        <v>49.868260893866299</v>
      </c>
      <c r="AX25" s="91">
        <f t="shared" si="23"/>
        <v>50.815757850849764</v>
      </c>
      <c r="AY25" s="91">
        <f t="shared" si="23"/>
        <v>51.781257250015912</v>
      </c>
      <c r="AZ25" s="91">
        <f t="shared" si="23"/>
        <v>52.765101137766223</v>
      </c>
    </row>
    <row r="26" spans="1:52" ht="15" customHeight="1">
      <c r="A26" s="372" t="s">
        <v>803</v>
      </c>
      <c r="B26" s="375">
        <f t="shared" ref="B26:U26" si="24">C26/(1+B41-B27)</f>
        <v>41.875492057583088</v>
      </c>
      <c r="C26" s="375">
        <f t="shared" si="24"/>
        <v>42.671126406677175</v>
      </c>
      <c r="D26" s="375">
        <f t="shared" si="24"/>
        <v>43.481877808404043</v>
      </c>
      <c r="E26" s="375">
        <f t="shared" si="24"/>
        <v>44.308033486763726</v>
      </c>
      <c r="F26" s="375">
        <f t="shared" si="24"/>
        <v>45.149886123012244</v>
      </c>
      <c r="G26" s="375">
        <f t="shared" si="24"/>
        <v>46.00773395934948</v>
      </c>
      <c r="H26" s="375">
        <f t="shared" si="24"/>
        <v>46.881880904577123</v>
      </c>
      <c r="I26" s="375">
        <f t="shared" si="24"/>
        <v>47.772636641764095</v>
      </c>
      <c r="J26" s="375">
        <f t="shared" si="24"/>
        <v>48.680316737957618</v>
      </c>
      <c r="K26" s="375">
        <f t="shared" si="24"/>
        <v>49.605242755978821</v>
      </c>
      <c r="L26" s="375">
        <f t="shared" si="24"/>
        <v>50.547742368342426</v>
      </c>
      <c r="M26" s="375">
        <f t="shared" si="24"/>
        <v>51.508149473340936</v>
      </c>
      <c r="N26" s="375">
        <f t="shared" si="24"/>
        <v>52.486804313334417</v>
      </c>
      <c r="O26" s="375">
        <f t="shared" si="24"/>
        <v>53.484053595287776</v>
      </c>
      <c r="P26" s="375">
        <f t="shared" si="24"/>
        <v>54.500250613598247</v>
      </c>
      <c r="Q26" s="375">
        <f t="shared" si="24"/>
        <v>55.53575537525662</v>
      </c>
      <c r="R26" s="375">
        <f t="shared" si="24"/>
        <v>56.590934727386504</v>
      </c>
      <c r="S26" s="375">
        <f t="shared" si="24"/>
        <v>57.666162487206854</v>
      </c>
      <c r="T26" s="375">
        <f t="shared" si="24"/>
        <v>58.761819574463793</v>
      </c>
      <c r="U26" s="375">
        <f t="shared" si="24"/>
        <v>59.878294146378614</v>
      </c>
      <c r="V26" s="376">
        <f>V20*Model!W1555/(V15*Model!W1555*8760)+V21</f>
        <v>61.015981735159819</v>
      </c>
      <c r="W26" s="375">
        <f t="shared" ref="W26:AZ26" si="25">V26*(1+V41-V27)</f>
        <v>62.175285388127861</v>
      </c>
      <c r="X26" s="375">
        <f t="shared" si="25"/>
        <v>63.356615810502298</v>
      </c>
      <c r="Y26" s="375">
        <f t="shared" si="25"/>
        <v>64.560391510901852</v>
      </c>
      <c r="Z26" s="375">
        <f t="shared" si="25"/>
        <v>65.787038949608998</v>
      </c>
      <c r="AA26" s="375">
        <f t="shared" si="25"/>
        <v>67.036992689651584</v>
      </c>
      <c r="AB26" s="375">
        <f t="shared" si="25"/>
        <v>68.310695550754971</v>
      </c>
      <c r="AC26" s="375">
        <f t="shared" si="25"/>
        <v>69.60859876621933</v>
      </c>
      <c r="AD26" s="375">
        <f t="shared" si="25"/>
        <v>70.931162142777509</v>
      </c>
      <c r="AE26" s="375">
        <f t="shared" si="25"/>
        <v>72.278854223490285</v>
      </c>
      <c r="AF26" s="375">
        <f t="shared" si="25"/>
        <v>73.652152453736605</v>
      </c>
      <c r="AG26" s="375">
        <f t="shared" si="25"/>
        <v>75.051543350357605</v>
      </c>
      <c r="AH26" s="375">
        <f t="shared" si="25"/>
        <v>76.477522674014409</v>
      </c>
      <c r="AI26" s="375">
        <f t="shared" si="25"/>
        <v>77.930595604820695</v>
      </c>
      <c r="AJ26" s="375">
        <f t="shared" si="25"/>
        <v>79.411276921312293</v>
      </c>
      <c r="AK26" s="375">
        <f t="shared" si="25"/>
        <v>80.920091182817231</v>
      </c>
      <c r="AL26" s="375">
        <f t="shared" si="25"/>
        <v>82.457572915290768</v>
      </c>
      <c r="AM26" s="375">
        <f t="shared" si="25"/>
        <v>84.024266800681303</v>
      </c>
      <c r="AN26" s="375">
        <f t="shared" si="25"/>
        <v>85.620727869894253</v>
      </c>
      <c r="AO26" s="375">
        <f t="shared" si="25"/>
        <v>87.247521699422251</v>
      </c>
      <c r="AP26" s="375">
        <f t="shared" si="25"/>
        <v>88.90522461171129</v>
      </c>
      <c r="AQ26" s="375">
        <f t="shared" si="25"/>
        <v>90.594423879333817</v>
      </c>
      <c r="AR26" s="375">
        <f t="shared" si="25"/>
        <v>92.315717933041171</v>
      </c>
      <c r="AS26" s="375">
        <f t="shared" si="25"/>
        <v>94.069716573768972</v>
      </c>
      <c r="AT26" s="375">
        <f t="shared" si="25"/>
        <v>95.857041188670593</v>
      </c>
      <c r="AU26" s="375">
        <f t="shared" si="25"/>
        <v>97.67832497125535</v>
      </c>
      <c r="AV26" s="375">
        <f t="shared" si="25"/>
        <v>99.534213145709217</v>
      </c>
      <c r="AW26" s="375">
        <f t="shared" si="25"/>
        <v>101.4253631954777</v>
      </c>
      <c r="AX26" s="375">
        <f t="shared" si="25"/>
        <v>103.35244509619179</v>
      </c>
      <c r="AY26" s="375">
        <f t="shared" si="25"/>
        <v>105.31614155301945</v>
      </c>
      <c r="AZ26" s="375">
        <f t="shared" si="25"/>
        <v>107.31714824252683</v>
      </c>
    </row>
    <row r="27" spans="1:52" ht="15" customHeight="1">
      <c r="A27" s="93" t="s">
        <v>106</v>
      </c>
      <c r="B27" s="330">
        <f t="shared" ref="B27:U27" si="26">C27</f>
        <v>1E-3</v>
      </c>
      <c r="C27" s="330">
        <f t="shared" si="26"/>
        <v>1E-3</v>
      </c>
      <c r="D27" s="330">
        <f t="shared" si="26"/>
        <v>1E-3</v>
      </c>
      <c r="E27" s="330">
        <f t="shared" si="26"/>
        <v>1E-3</v>
      </c>
      <c r="F27" s="330">
        <f t="shared" si="26"/>
        <v>1E-3</v>
      </c>
      <c r="G27" s="330">
        <f t="shared" si="26"/>
        <v>1E-3</v>
      </c>
      <c r="H27" s="330">
        <f t="shared" si="26"/>
        <v>1E-3</v>
      </c>
      <c r="I27" s="330">
        <f t="shared" si="26"/>
        <v>1E-3</v>
      </c>
      <c r="J27" s="330">
        <f t="shared" si="26"/>
        <v>1E-3</v>
      </c>
      <c r="K27" s="330">
        <f t="shared" si="26"/>
        <v>1E-3</v>
      </c>
      <c r="L27" s="330">
        <f t="shared" si="26"/>
        <v>1E-3</v>
      </c>
      <c r="M27" s="330">
        <f t="shared" si="26"/>
        <v>1E-3</v>
      </c>
      <c r="N27" s="330">
        <f t="shared" si="26"/>
        <v>1E-3</v>
      </c>
      <c r="O27" s="330">
        <f t="shared" si="26"/>
        <v>1E-3</v>
      </c>
      <c r="P27" s="330">
        <f t="shared" si="26"/>
        <v>1E-3</v>
      </c>
      <c r="Q27" s="330">
        <f t="shared" si="26"/>
        <v>1E-3</v>
      </c>
      <c r="R27" s="330">
        <f t="shared" si="26"/>
        <v>1E-3</v>
      </c>
      <c r="S27" s="330">
        <f t="shared" si="26"/>
        <v>1E-3</v>
      </c>
      <c r="T27" s="330">
        <f t="shared" si="26"/>
        <v>1E-3</v>
      </c>
      <c r="U27" s="330">
        <f t="shared" si="26"/>
        <v>1E-3</v>
      </c>
      <c r="V27" s="245">
        <v>1E-3</v>
      </c>
      <c r="W27" s="247">
        <f t="shared" ref="W27:AZ27" si="27">V27</f>
        <v>1E-3</v>
      </c>
      <c r="X27" s="247">
        <f t="shared" si="27"/>
        <v>1E-3</v>
      </c>
      <c r="Y27" s="247">
        <f t="shared" si="27"/>
        <v>1E-3</v>
      </c>
      <c r="Z27" s="247">
        <f t="shared" si="27"/>
        <v>1E-3</v>
      </c>
      <c r="AA27" s="247">
        <f t="shared" si="27"/>
        <v>1E-3</v>
      </c>
      <c r="AB27" s="247">
        <f t="shared" si="27"/>
        <v>1E-3</v>
      </c>
      <c r="AC27" s="247">
        <f t="shared" si="27"/>
        <v>1E-3</v>
      </c>
      <c r="AD27" s="247">
        <f t="shared" si="27"/>
        <v>1E-3</v>
      </c>
      <c r="AE27" s="247">
        <f t="shared" si="27"/>
        <v>1E-3</v>
      </c>
      <c r="AF27" s="247">
        <f t="shared" si="27"/>
        <v>1E-3</v>
      </c>
      <c r="AG27" s="247">
        <f t="shared" si="27"/>
        <v>1E-3</v>
      </c>
      <c r="AH27" s="247">
        <f t="shared" si="27"/>
        <v>1E-3</v>
      </c>
      <c r="AI27" s="247">
        <f t="shared" si="27"/>
        <v>1E-3</v>
      </c>
      <c r="AJ27" s="247">
        <f t="shared" si="27"/>
        <v>1E-3</v>
      </c>
      <c r="AK27" s="247">
        <f t="shared" si="27"/>
        <v>1E-3</v>
      </c>
      <c r="AL27" s="247">
        <f t="shared" si="27"/>
        <v>1E-3</v>
      </c>
      <c r="AM27" s="247">
        <f t="shared" si="27"/>
        <v>1E-3</v>
      </c>
      <c r="AN27" s="247">
        <f t="shared" si="27"/>
        <v>1E-3</v>
      </c>
      <c r="AO27" s="247">
        <f t="shared" si="27"/>
        <v>1E-3</v>
      </c>
      <c r="AP27" s="247">
        <f t="shared" si="27"/>
        <v>1E-3</v>
      </c>
      <c r="AQ27" s="247">
        <f t="shared" si="27"/>
        <v>1E-3</v>
      </c>
      <c r="AR27" s="247">
        <f t="shared" si="27"/>
        <v>1E-3</v>
      </c>
      <c r="AS27" s="247">
        <f t="shared" si="27"/>
        <v>1E-3</v>
      </c>
      <c r="AT27" s="247">
        <f t="shared" si="27"/>
        <v>1E-3</v>
      </c>
      <c r="AU27" s="247">
        <f t="shared" si="27"/>
        <v>1E-3</v>
      </c>
      <c r="AV27" s="247">
        <f t="shared" si="27"/>
        <v>1E-3</v>
      </c>
      <c r="AW27" s="247">
        <f t="shared" si="27"/>
        <v>1E-3</v>
      </c>
      <c r="AX27" s="247">
        <f t="shared" si="27"/>
        <v>1E-3</v>
      </c>
      <c r="AY27" s="247">
        <f t="shared" si="27"/>
        <v>1E-3</v>
      </c>
      <c r="AZ27" s="247">
        <f t="shared" si="27"/>
        <v>1E-3</v>
      </c>
    </row>
    <row r="28" spans="1:52" ht="15" customHeight="1">
      <c r="A28" s="93" t="s">
        <v>111</v>
      </c>
      <c r="B28" s="93"/>
      <c r="C28" s="93"/>
      <c r="D28" s="93"/>
      <c r="E28" s="93"/>
      <c r="F28" s="93"/>
      <c r="G28" s="93"/>
      <c r="H28" s="93"/>
      <c r="I28" s="93"/>
      <c r="J28" s="93"/>
      <c r="K28" s="93"/>
      <c r="L28" s="93"/>
      <c r="M28" s="93"/>
      <c r="N28" s="93"/>
      <c r="O28" s="93"/>
      <c r="P28" s="93"/>
      <c r="Q28" s="93"/>
      <c r="R28" s="93"/>
      <c r="S28" s="93"/>
      <c r="T28" s="93"/>
      <c r="U28" s="93"/>
      <c r="V28" s="97"/>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row>
    <row r="29" spans="1:52" ht="15" customHeight="1">
      <c r="A29" s="93" t="s">
        <v>112</v>
      </c>
      <c r="B29" s="253">
        <v>0.35</v>
      </c>
      <c r="C29" s="253">
        <v>0.35</v>
      </c>
      <c r="D29" s="253">
        <v>0.35</v>
      </c>
      <c r="E29" s="253">
        <v>0.35</v>
      </c>
      <c r="F29" s="253">
        <v>0.35</v>
      </c>
      <c r="G29" s="253">
        <v>0.35</v>
      </c>
      <c r="H29" s="253">
        <v>0.35</v>
      </c>
      <c r="I29" s="253">
        <v>0.35</v>
      </c>
      <c r="J29" s="253">
        <v>0.35</v>
      </c>
      <c r="K29" s="253">
        <v>0.35</v>
      </c>
      <c r="L29" s="253">
        <v>0.35</v>
      </c>
      <c r="M29" s="253">
        <v>0.35</v>
      </c>
      <c r="N29" s="253">
        <v>0.35</v>
      </c>
      <c r="O29" s="253">
        <v>0.35</v>
      </c>
      <c r="P29" s="253">
        <v>0.35</v>
      </c>
      <c r="Q29" s="253">
        <v>0.35</v>
      </c>
      <c r="R29" s="253">
        <v>0.35</v>
      </c>
      <c r="S29" s="253">
        <v>0.35</v>
      </c>
      <c r="T29" s="253">
        <v>0.21</v>
      </c>
      <c r="U29" s="253">
        <v>0.21</v>
      </c>
      <c r="V29" s="254">
        <v>0.21</v>
      </c>
      <c r="W29" s="102">
        <f t="shared" ref="W29:AZ29" si="28">V29</f>
        <v>0.21</v>
      </c>
      <c r="X29" s="102">
        <f t="shared" si="28"/>
        <v>0.21</v>
      </c>
      <c r="Y29" s="102">
        <f t="shared" si="28"/>
        <v>0.21</v>
      </c>
      <c r="Z29" s="102">
        <f t="shared" si="28"/>
        <v>0.21</v>
      </c>
      <c r="AA29" s="102">
        <f t="shared" si="28"/>
        <v>0.21</v>
      </c>
      <c r="AB29" s="102">
        <f t="shared" si="28"/>
        <v>0.21</v>
      </c>
      <c r="AC29" s="102">
        <f t="shared" si="28"/>
        <v>0.21</v>
      </c>
      <c r="AD29" s="102">
        <f t="shared" si="28"/>
        <v>0.21</v>
      </c>
      <c r="AE29" s="102">
        <f t="shared" si="28"/>
        <v>0.21</v>
      </c>
      <c r="AF29" s="102">
        <f t="shared" si="28"/>
        <v>0.21</v>
      </c>
      <c r="AG29" s="102">
        <f t="shared" si="28"/>
        <v>0.21</v>
      </c>
      <c r="AH29" s="102">
        <f t="shared" si="28"/>
        <v>0.21</v>
      </c>
      <c r="AI29" s="102">
        <f t="shared" si="28"/>
        <v>0.21</v>
      </c>
      <c r="AJ29" s="102">
        <f t="shared" si="28"/>
        <v>0.21</v>
      </c>
      <c r="AK29" s="102">
        <f t="shared" si="28"/>
        <v>0.21</v>
      </c>
      <c r="AL29" s="102">
        <f t="shared" si="28"/>
        <v>0.21</v>
      </c>
      <c r="AM29" s="102">
        <f t="shared" si="28"/>
        <v>0.21</v>
      </c>
      <c r="AN29" s="102">
        <f t="shared" si="28"/>
        <v>0.21</v>
      </c>
      <c r="AO29" s="102">
        <f t="shared" si="28"/>
        <v>0.21</v>
      </c>
      <c r="AP29" s="102">
        <f t="shared" si="28"/>
        <v>0.21</v>
      </c>
      <c r="AQ29" s="102">
        <f t="shared" si="28"/>
        <v>0.21</v>
      </c>
      <c r="AR29" s="102">
        <f t="shared" si="28"/>
        <v>0.21</v>
      </c>
      <c r="AS29" s="102">
        <f t="shared" si="28"/>
        <v>0.21</v>
      </c>
      <c r="AT29" s="102">
        <f t="shared" si="28"/>
        <v>0.21</v>
      </c>
      <c r="AU29" s="102">
        <f t="shared" si="28"/>
        <v>0.21</v>
      </c>
      <c r="AV29" s="102">
        <f t="shared" si="28"/>
        <v>0.21</v>
      </c>
      <c r="AW29" s="102">
        <f t="shared" si="28"/>
        <v>0.21</v>
      </c>
      <c r="AX29" s="102">
        <f t="shared" si="28"/>
        <v>0.21</v>
      </c>
      <c r="AY29" s="102">
        <f t="shared" si="28"/>
        <v>0.21</v>
      </c>
      <c r="AZ29" s="102">
        <f t="shared" si="28"/>
        <v>0.21</v>
      </c>
    </row>
    <row r="30" spans="1:52" ht="15" customHeight="1">
      <c r="A30" s="93" t="s">
        <v>114</v>
      </c>
      <c r="B30" s="93"/>
      <c r="C30" s="93"/>
      <c r="D30" s="93"/>
      <c r="E30" s="93"/>
      <c r="F30" s="93"/>
      <c r="G30" s="93"/>
      <c r="H30" s="93"/>
      <c r="I30" s="93"/>
      <c r="J30" s="93"/>
      <c r="K30" s="93"/>
      <c r="L30" s="93"/>
      <c r="M30" s="93"/>
      <c r="N30" s="93"/>
      <c r="O30" s="93"/>
      <c r="P30" s="93"/>
      <c r="Q30" s="93"/>
      <c r="R30" s="93"/>
      <c r="S30" s="93"/>
      <c r="T30" s="93"/>
      <c r="U30" s="93"/>
      <c r="V30" s="97">
        <v>0</v>
      </c>
      <c r="W30" s="91">
        <f t="shared" ref="W30:AZ30" si="29">V30*(1+V41)</f>
        <v>0</v>
      </c>
      <c r="X30" s="91">
        <f t="shared" si="29"/>
        <v>0</v>
      </c>
      <c r="Y30" s="91">
        <f t="shared" si="29"/>
        <v>0</v>
      </c>
      <c r="Z30" s="91">
        <f t="shared" si="29"/>
        <v>0</v>
      </c>
      <c r="AA30" s="91">
        <f t="shared" si="29"/>
        <v>0</v>
      </c>
      <c r="AB30" s="91">
        <f t="shared" si="29"/>
        <v>0</v>
      </c>
      <c r="AC30" s="91">
        <f t="shared" si="29"/>
        <v>0</v>
      </c>
      <c r="AD30" s="91">
        <f t="shared" si="29"/>
        <v>0</v>
      </c>
      <c r="AE30" s="91">
        <f t="shared" si="29"/>
        <v>0</v>
      </c>
      <c r="AF30" s="91">
        <f t="shared" si="29"/>
        <v>0</v>
      </c>
      <c r="AG30" s="91">
        <f t="shared" si="29"/>
        <v>0</v>
      </c>
      <c r="AH30" s="91">
        <f t="shared" si="29"/>
        <v>0</v>
      </c>
      <c r="AI30" s="91">
        <f t="shared" si="29"/>
        <v>0</v>
      </c>
      <c r="AJ30" s="91">
        <f t="shared" si="29"/>
        <v>0</v>
      </c>
      <c r="AK30" s="91">
        <f t="shared" si="29"/>
        <v>0</v>
      </c>
      <c r="AL30" s="91">
        <f t="shared" si="29"/>
        <v>0</v>
      </c>
      <c r="AM30" s="91">
        <f t="shared" si="29"/>
        <v>0</v>
      </c>
      <c r="AN30" s="91">
        <f t="shared" si="29"/>
        <v>0</v>
      </c>
      <c r="AO30" s="91">
        <f t="shared" si="29"/>
        <v>0</v>
      </c>
      <c r="AP30" s="91">
        <f t="shared" si="29"/>
        <v>0</v>
      </c>
      <c r="AQ30" s="91">
        <f t="shared" si="29"/>
        <v>0</v>
      </c>
      <c r="AR30" s="91">
        <f t="shared" si="29"/>
        <v>0</v>
      </c>
      <c r="AS30" s="91">
        <f t="shared" si="29"/>
        <v>0</v>
      </c>
      <c r="AT30" s="91">
        <f t="shared" si="29"/>
        <v>0</v>
      </c>
      <c r="AU30" s="91">
        <f t="shared" si="29"/>
        <v>0</v>
      </c>
      <c r="AV30" s="91">
        <f t="shared" si="29"/>
        <v>0</v>
      </c>
      <c r="AW30" s="91">
        <f t="shared" si="29"/>
        <v>0</v>
      </c>
      <c r="AX30" s="91">
        <f t="shared" si="29"/>
        <v>0</v>
      </c>
      <c r="AY30" s="91">
        <f t="shared" si="29"/>
        <v>0</v>
      </c>
      <c r="AZ30" s="91">
        <f t="shared" si="29"/>
        <v>0</v>
      </c>
    </row>
    <row r="31" spans="1:52" ht="15" customHeight="1">
      <c r="A31" s="93" t="s">
        <v>116</v>
      </c>
      <c r="B31" s="93"/>
      <c r="C31" s="93"/>
      <c r="D31" s="93"/>
      <c r="E31" s="93"/>
      <c r="F31" s="93"/>
      <c r="G31" s="93"/>
      <c r="H31" s="93"/>
      <c r="I31" s="93"/>
      <c r="J31" s="93"/>
      <c r="K31" s="93"/>
      <c r="L31" s="93"/>
      <c r="M31" s="93"/>
      <c r="N31" s="93"/>
      <c r="O31" s="93"/>
      <c r="P31" s="93"/>
      <c r="Q31" s="93"/>
      <c r="R31" s="93"/>
      <c r="S31" s="93"/>
      <c r="T31" s="93"/>
      <c r="U31" s="93"/>
      <c r="V31" s="361"/>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row>
    <row r="32" spans="1:52" ht="15" customHeight="1">
      <c r="A32" s="93" t="s">
        <v>119</v>
      </c>
      <c r="B32" s="93"/>
      <c r="C32" s="93"/>
      <c r="D32" s="93"/>
      <c r="E32" s="93"/>
      <c r="F32" s="93"/>
      <c r="G32" s="93"/>
      <c r="H32" s="93"/>
      <c r="I32" s="93"/>
      <c r="J32" s="93"/>
      <c r="K32" s="93"/>
      <c r="L32" s="93"/>
      <c r="M32" s="93"/>
      <c r="N32" s="93"/>
      <c r="O32" s="93"/>
      <c r="P32" s="93"/>
      <c r="Q32" s="93"/>
      <c r="R32" s="93"/>
      <c r="S32" s="93"/>
      <c r="T32" s="93"/>
      <c r="U32" s="93"/>
      <c r="V32" s="361"/>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row>
    <row r="33" spans="1:53" ht="15" customHeight="1">
      <c r="A33" s="93" t="s">
        <v>121</v>
      </c>
      <c r="B33" s="93"/>
      <c r="C33" s="93"/>
      <c r="D33" s="93"/>
      <c r="E33" s="93"/>
      <c r="F33" s="93"/>
      <c r="G33" s="93"/>
      <c r="H33" s="93"/>
      <c r="I33" s="93"/>
      <c r="J33" s="93"/>
      <c r="K33" s="93"/>
      <c r="L33" s="93"/>
      <c r="M33" s="93"/>
      <c r="N33" s="93"/>
      <c r="O33" s="93"/>
      <c r="P33" s="93"/>
      <c r="Q33" s="93"/>
      <c r="R33" s="93"/>
      <c r="S33" s="93"/>
      <c r="T33" s="93"/>
      <c r="U33" s="93"/>
      <c r="V33" s="361"/>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row>
    <row r="34" spans="1:53" ht="15" customHeight="1">
      <c r="A34" s="93" t="s">
        <v>122</v>
      </c>
      <c r="B34" s="93"/>
      <c r="C34" s="93"/>
      <c r="D34" s="93"/>
      <c r="E34" s="93"/>
      <c r="F34" s="93"/>
      <c r="G34" s="93"/>
      <c r="H34" s="93"/>
      <c r="I34" s="93"/>
      <c r="J34" s="93"/>
      <c r="K34" s="93"/>
      <c r="L34" s="93"/>
      <c r="M34" s="93"/>
      <c r="N34" s="93"/>
      <c r="O34" s="93"/>
      <c r="P34" s="93"/>
      <c r="Q34" s="93"/>
      <c r="R34" s="93"/>
      <c r="S34" s="93"/>
      <c r="T34" s="93"/>
      <c r="U34" s="93"/>
      <c r="V34" s="361"/>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row>
    <row r="35" spans="1:53" ht="15" customHeight="1">
      <c r="A35" s="99" t="s">
        <v>123</v>
      </c>
      <c r="B35" s="99"/>
      <c r="C35" s="99"/>
      <c r="D35" s="99"/>
      <c r="E35" s="99"/>
      <c r="F35" s="99"/>
      <c r="G35" s="99"/>
      <c r="H35" s="99"/>
      <c r="I35" s="99"/>
      <c r="J35" s="99"/>
      <c r="K35" s="99"/>
      <c r="L35" s="99"/>
      <c r="M35" s="99"/>
      <c r="N35" s="99"/>
      <c r="O35" s="99"/>
      <c r="P35" s="99"/>
      <c r="Q35" s="99"/>
      <c r="R35" s="99"/>
      <c r="S35" s="99"/>
      <c r="T35" s="99"/>
      <c r="U35" s="99"/>
      <c r="V35" s="329"/>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row>
    <row r="36" spans="1:53" ht="15" customHeight="1">
      <c r="A36" s="93" t="s">
        <v>126</v>
      </c>
      <c r="B36" s="95">
        <f>'Inflation GDP Population'!B2</f>
        <v>96.994687004035995</v>
      </c>
      <c r="C36" s="95">
        <f>'Inflation GDP Population'!C2</f>
        <v>82.561802368421056</v>
      </c>
      <c r="D36" s="95">
        <f>'Inflation GDP Population'!D2</f>
        <v>92.422988832098127</v>
      </c>
      <c r="E36" s="95">
        <f>'Inflation GDP Population'!E2</f>
        <v>85.643902995324368</v>
      </c>
      <c r="F36" s="95">
        <f>'Inflation GDP Population'!F2</f>
        <v>81.324791570560762</v>
      </c>
      <c r="G36" s="95">
        <f>'Inflation GDP Population'!G2</f>
        <v>82.285051583593884</v>
      </c>
      <c r="H36" s="95">
        <f>'Inflation GDP Population'!H2</f>
        <v>73.132352371089056</v>
      </c>
      <c r="I36" s="95">
        <f>'Inflation GDP Population'!I2</f>
        <v>75.178349917306775</v>
      </c>
      <c r="J36" s="95">
        <f>'Inflation GDP Population'!J2</f>
        <v>77.566868947213194</v>
      </c>
      <c r="K36" s="95">
        <f>'Inflation GDP Population'!K2</f>
        <v>67.397054261131927</v>
      </c>
      <c r="L36" s="95">
        <f>'Inflation GDP Population'!L2</f>
        <v>69.359261305247756</v>
      </c>
      <c r="M36" s="95">
        <f>'Inflation GDP Population'!M2</f>
        <v>69.149647376821946</v>
      </c>
      <c r="N36" s="95">
        <f>'Inflation GDP Population'!N2</f>
        <v>66.077410694889281</v>
      </c>
      <c r="O36" s="95">
        <f>'Inflation GDP Population'!O2</f>
        <v>68.667649550254211</v>
      </c>
      <c r="P36" s="95">
        <f>'Inflation GDP Population'!P2</f>
        <v>67.613374485645934</v>
      </c>
      <c r="Q36" s="95">
        <f>'Inflation GDP Population'!Q2</f>
        <v>63.519292757444873</v>
      </c>
      <c r="R36" s="95">
        <f>'Inflation GDP Population'!R2</f>
        <v>65.2</v>
      </c>
      <c r="S36" s="95">
        <f>'Inflation GDP Population'!S2</f>
        <v>62.54</v>
      </c>
      <c r="T36" s="95">
        <f>'Inflation GDP Population'!T2</f>
        <v>62.8</v>
      </c>
      <c r="U36" s="95">
        <f>'Inflation GDP Population'!U2</f>
        <v>62.22</v>
      </c>
      <c r="V36" s="95">
        <f>'Inflation GDP Population'!V2</f>
        <v>63.245459999999994</v>
      </c>
      <c r="W36" s="95">
        <f>'Inflation GDP Population'!W2</f>
        <v>62.18788</v>
      </c>
      <c r="X36" s="95">
        <f>'Inflation GDP Population'!X2</f>
        <v>61.283909999999999</v>
      </c>
      <c r="Y36" s="95">
        <f>'Inflation GDP Population'!Y2</f>
        <v>60.782710000000002</v>
      </c>
      <c r="Z36" s="95">
        <f>'Inflation GDP Population'!Z2</f>
        <v>60.470050000000001</v>
      </c>
      <c r="AA36" s="95">
        <f>'Inflation GDP Population'!AA2</f>
        <v>60.726050000000001</v>
      </c>
      <c r="AB36" s="95">
        <f>'Inflation GDP Population'!AB2</f>
        <v>60.323509999999999</v>
      </c>
      <c r="AC36" s="95">
        <f>'Inflation GDP Population'!AC2</f>
        <v>60.154750000000007</v>
      </c>
      <c r="AD36" s="95">
        <f>'Inflation GDP Population'!AD2</f>
        <v>59.918579999999999</v>
      </c>
      <c r="AE36" s="95">
        <f>'Inflation GDP Population'!AE2</f>
        <v>59.74736</v>
      </c>
      <c r="AF36" s="95">
        <f>'Inflation GDP Population'!AF2</f>
        <v>59.571719999999999</v>
      </c>
      <c r="AG36" s="95">
        <f>'Inflation GDP Population'!AG2</f>
        <v>59.462200000000003</v>
      </c>
      <c r="AH36" s="95">
        <f>'Inflation GDP Population'!AH2</f>
        <v>59.098179999999999</v>
      </c>
      <c r="AI36" s="95">
        <f>'Inflation GDP Population'!AI2</f>
        <v>58.690709999999996</v>
      </c>
      <c r="AJ36" s="95">
        <f>'Inflation GDP Population'!AJ2</f>
        <v>58.279679999999999</v>
      </c>
      <c r="AK36" s="95">
        <f>'Inflation GDP Population'!AK2</f>
        <v>57.945390000000003</v>
      </c>
      <c r="AL36" s="95">
        <f>'Inflation GDP Population'!AL2</f>
        <v>57.822279999999999</v>
      </c>
      <c r="AM36" s="95">
        <f>'Inflation GDP Population'!AM2</f>
        <v>57.639300000000006</v>
      </c>
      <c r="AN36" s="95">
        <f>'Inflation GDP Population'!AN2</f>
        <v>57.618220000000008</v>
      </c>
      <c r="AO36" s="95">
        <f>'Inflation GDP Population'!AO2</f>
        <v>57.583159999999999</v>
      </c>
      <c r="AP36" s="95">
        <f>'Inflation GDP Population'!AP2</f>
        <v>57.428650000000005</v>
      </c>
      <c r="AQ36" s="95">
        <f>'Inflation GDP Population'!AQ2</f>
        <v>57.212560000000003</v>
      </c>
      <c r="AR36" s="95">
        <f>'Inflation GDP Population'!AR2</f>
        <v>56.957370000000004</v>
      </c>
      <c r="AS36" s="95">
        <f>'Inflation GDP Population'!AS2</f>
        <v>56.726020000000005</v>
      </c>
      <c r="AT36" s="95">
        <f>'Inflation GDP Population'!AT2</f>
        <v>56.532699999999998</v>
      </c>
      <c r="AU36" s="95">
        <f>'Inflation GDP Population'!AU2</f>
        <v>56.329940000000001</v>
      </c>
      <c r="AV36" s="95">
        <f>'Inflation GDP Population'!AV2</f>
        <v>56.008069999999996</v>
      </c>
      <c r="AW36" s="95">
        <f>'Inflation GDP Population'!AW2</f>
        <v>55.853279999999998</v>
      </c>
      <c r="AX36" s="95">
        <f>'Inflation GDP Population'!AX2</f>
        <v>56.44464</v>
      </c>
      <c r="AY36" s="95">
        <f>'Inflation GDP Population'!AY2</f>
        <v>56.523910000000001</v>
      </c>
      <c r="AZ36" s="95">
        <f>'Inflation GDP Population'!AZ2</f>
        <v>56.24409</v>
      </c>
    </row>
    <row r="37" spans="1:53" ht="15" customHeight="1">
      <c r="A37" s="93" t="s">
        <v>128</v>
      </c>
      <c r="B37" s="95">
        <f>'Inflation GDP Population'!B3</f>
        <v>66.936599999999999</v>
      </c>
      <c r="C37" s="95">
        <f>'Inflation GDP Population'!C3</f>
        <v>68.562700000000007</v>
      </c>
      <c r="D37" s="95">
        <f>'Inflation GDP Population'!D3</f>
        <v>61.9876</v>
      </c>
      <c r="E37" s="95">
        <f>'Inflation GDP Population'!E3</f>
        <v>75.349900000000005</v>
      </c>
      <c r="F37" s="95">
        <f>'Inflation GDP Population'!F3</f>
        <v>79.167699999999996</v>
      </c>
      <c r="G37" s="95">
        <f>'Inflation GDP Population'!G3</f>
        <v>95.852900000000005</v>
      </c>
      <c r="H37" s="95">
        <f>'Inflation GDP Population'!H3</f>
        <v>86.237700000000004</v>
      </c>
      <c r="I37" s="95">
        <f>'Inflation GDP Population'!I3</f>
        <v>87.651700000000005</v>
      </c>
      <c r="J37" s="95">
        <f>'Inflation GDP Population'!J3</f>
        <v>101.43819999999999</v>
      </c>
      <c r="K37" s="95">
        <f>'Inflation GDP Population'!K3</f>
        <v>70.825099999999992</v>
      </c>
      <c r="L37" s="95">
        <f>'Inflation GDP Population'!L3</f>
        <v>73.228899999999996</v>
      </c>
      <c r="M37" s="95">
        <f>'Inflation GDP Population'!M3</f>
        <v>70.542299999999997</v>
      </c>
      <c r="N37" s="95">
        <f>'Inflation GDP Population'!N3</f>
        <v>60.997799999999998</v>
      </c>
      <c r="O37" s="95">
        <f>'Inflation GDP Population'!O3</f>
        <v>67.714300000000009</v>
      </c>
      <c r="P37" s="95">
        <f>'Inflation GDP Population'!P3</f>
        <v>72.663299999999992</v>
      </c>
      <c r="Q37" s="95">
        <f>'Inflation GDP Population'!Q3</f>
        <v>59.866599999999998</v>
      </c>
      <c r="R37" s="95">
        <f>'Inflation GDP Population'!R3</f>
        <v>64.069999999999993</v>
      </c>
      <c r="S37" s="95">
        <f>'Inflation GDP Population'!S3</f>
        <v>62.54</v>
      </c>
      <c r="T37" s="95">
        <f>'Inflation GDP Population'!T3</f>
        <v>64.2</v>
      </c>
      <c r="U37" s="95">
        <f>'Inflation GDP Population'!U3</f>
        <v>65.09</v>
      </c>
      <c r="V37" s="95">
        <f>'Inflation GDP Population'!V3</f>
        <v>67.893280000000004</v>
      </c>
      <c r="W37" s="95">
        <f>'Inflation GDP Population'!W3</f>
        <v>68.408230000000003</v>
      </c>
      <c r="X37" s="95">
        <f>'Inflation GDP Population'!X3</f>
        <v>69.039839999999998</v>
      </c>
      <c r="Y37" s="95">
        <f>'Inflation GDP Population'!Y3</f>
        <v>70.165930000000003</v>
      </c>
      <c r="Z37" s="95">
        <f>'Inflation GDP Population'!Z3</f>
        <v>71.499539999999996</v>
      </c>
      <c r="AA37" s="95">
        <f>'Inflation GDP Population'!AA3</f>
        <v>73.516589999999994</v>
      </c>
      <c r="AB37" s="95">
        <f>'Inflation GDP Population'!AB3</f>
        <v>74.703620000000001</v>
      </c>
      <c r="AC37" s="95">
        <f>'Inflation GDP Population'!AC3</f>
        <v>76.171610000000001</v>
      </c>
      <c r="AD37" s="95">
        <f>'Inflation GDP Population'!AD3</f>
        <v>77.509479999999996</v>
      </c>
      <c r="AE37" s="95">
        <f>'Inflation GDP Population'!AE3</f>
        <v>78.937030000000007</v>
      </c>
      <c r="AF37" s="95">
        <f>'Inflation GDP Population'!AF3</f>
        <v>80.394760000000005</v>
      </c>
      <c r="AG37" s="95">
        <f>'Inflation GDP Population'!AG3</f>
        <v>81.999220000000008</v>
      </c>
      <c r="AH37" s="95">
        <f>'Inflation GDP Population'!AH3</f>
        <v>83.288150000000002</v>
      </c>
      <c r="AI37" s="95">
        <f>'Inflation GDP Population'!AI3</f>
        <v>84.552180000000007</v>
      </c>
      <c r="AJ37" s="95">
        <f>'Inflation GDP Population'!AJ3</f>
        <v>85.842559999999992</v>
      </c>
      <c r="AK37" s="95">
        <f>'Inflation GDP Population'!AK3</f>
        <v>87.282499999999999</v>
      </c>
      <c r="AL37" s="95">
        <f>'Inflation GDP Population'!AL3</f>
        <v>89.091559999999987</v>
      </c>
      <c r="AM37" s="95">
        <f>'Inflation GDP Population'!AM3</f>
        <v>90.845109999999991</v>
      </c>
      <c r="AN37" s="95">
        <f>'Inflation GDP Population'!AN3</f>
        <v>92.884870000000006</v>
      </c>
      <c r="AO37" s="95">
        <f>'Inflation GDP Population'!AO3</f>
        <v>94.960380000000001</v>
      </c>
      <c r="AP37" s="95">
        <f>'Inflation GDP Population'!AP3</f>
        <v>96.898049999999998</v>
      </c>
      <c r="AQ37" s="95">
        <f>'Inflation GDP Population'!AQ3</f>
        <v>98.792919999999995</v>
      </c>
      <c r="AR37" s="95">
        <f>'Inflation GDP Population'!AR3</f>
        <v>100.67492</v>
      </c>
      <c r="AS37" s="95">
        <f>'Inflation GDP Population'!AS3</f>
        <v>102.66981</v>
      </c>
      <c r="AT37" s="95">
        <f>'Inflation GDP Population'!AT3</f>
        <v>104.79813999999999</v>
      </c>
      <c r="AU37" s="95">
        <f>'Inflation GDP Population'!AU3</f>
        <v>106.98112999999999</v>
      </c>
      <c r="AV37" s="95">
        <f>'Inflation GDP Population'!AV3</f>
        <v>108.97937999999999</v>
      </c>
      <c r="AW37" s="95">
        <f>'Inflation GDP Population'!AW3</f>
        <v>111.37461999999999</v>
      </c>
      <c r="AX37" s="95">
        <f>'Inflation GDP Population'!AX3</f>
        <v>115.38930999999999</v>
      </c>
      <c r="AY37" s="95">
        <f>'Inflation GDP Population'!AY3</f>
        <v>118.46299999999999</v>
      </c>
      <c r="AZ37" s="95">
        <f>'Inflation GDP Population'!AZ3</f>
        <v>120.87941000000001</v>
      </c>
    </row>
    <row r="38" spans="1:53" ht="15" customHeight="1">
      <c r="A38" s="93" t="s">
        <v>200</v>
      </c>
      <c r="B38" s="95">
        <f>'Inflation GDP Population'!B6</f>
        <v>249.42381743242936</v>
      </c>
      <c r="C38" s="95">
        <f>'Inflation GDP Population'!C6</f>
        <v>249.42381743242936</v>
      </c>
      <c r="D38" s="95">
        <f>'Inflation GDP Population'!D6</f>
        <v>212.30935999593964</v>
      </c>
      <c r="E38" s="95">
        <f>'Inflation GDP Population'!E6</f>
        <v>237.66760226833327</v>
      </c>
      <c r="F38" s="95">
        <f>'Inflation GDP Population'!F6</f>
        <v>220.23504466814359</v>
      </c>
      <c r="G38" s="95">
        <f>'Inflation GDP Population'!G6</f>
        <v>209.12836148006616</v>
      </c>
      <c r="H38" s="95">
        <f>'Inflation GDP Population'!H6</f>
        <v>211.59768970387361</v>
      </c>
      <c r="I38" s="95">
        <f>'Inflation GDP Population'!I6</f>
        <v>188.06133685911675</v>
      </c>
      <c r="J38" s="95">
        <f>'Inflation GDP Population'!J6</f>
        <v>193.32266131097848</v>
      </c>
      <c r="K38" s="95">
        <f>'Inflation GDP Population'!K6</f>
        <v>199.4647867495035</v>
      </c>
      <c r="L38" s="95">
        <f>'Inflation GDP Population'!L6</f>
        <v>173.31290070365006</v>
      </c>
      <c r="M38" s="95">
        <f>'Inflation GDP Population'!M6</f>
        <v>178.35875616907168</v>
      </c>
      <c r="N38" s="95">
        <f>'Inflation GDP Population'!N6</f>
        <v>177.8197296736019</v>
      </c>
      <c r="O38" s="95">
        <f>'Inflation GDP Population'!O6</f>
        <v>169.91941033722733</v>
      </c>
      <c r="P38" s="95">
        <f>'Inflation GDP Population'!P6</f>
        <v>176.58026242431168</v>
      </c>
      <c r="Q38" s="95">
        <f>'Inflation GDP Population'!Q6</f>
        <v>173.86917257639584</v>
      </c>
      <c r="R38" s="95">
        <f>'Inflation GDP Population'!R6</f>
        <v>163.34115784620988</v>
      </c>
      <c r="S38" s="95">
        <f>'Inflation GDP Population'!S6</f>
        <v>167.66313082610094</v>
      </c>
      <c r="T38" s="95">
        <f>'Inflation GDP Population'!T6</f>
        <v>160.82288653166182</v>
      </c>
      <c r="U38" s="95">
        <f>'Inflation GDP Population'!U6</f>
        <v>161.49148183863707</v>
      </c>
      <c r="V38" s="95">
        <f>'Inflation GDP Population'!V6</f>
        <v>160</v>
      </c>
      <c r="W38" s="95">
        <f>'Inflation GDP Population'!W6</f>
        <v>157.32450677092081</v>
      </c>
      <c r="X38" s="95">
        <f>'Inflation GDP Population'!X6</f>
        <v>155.03762009162398</v>
      </c>
      <c r="Y38" s="95">
        <f>'Inflation GDP Population'!Y6</f>
        <v>153.76967137245902</v>
      </c>
      <c r="Z38" s="95">
        <f>'Inflation GDP Population'!Z6</f>
        <v>152.9786960202361</v>
      </c>
      <c r="AA38" s="95">
        <f>'Inflation GDP Population'!AA6</f>
        <v>153.62633143944248</v>
      </c>
      <c r="AB38" s="95">
        <f>'Inflation GDP Population'!AB6</f>
        <v>152.60797533925759</v>
      </c>
      <c r="AC38" s="95">
        <f>'Inflation GDP Population'!AC6</f>
        <v>152.18104192775266</v>
      </c>
      <c r="AD38" s="95">
        <f>'Inflation GDP Population'!AD6</f>
        <v>151.5835729552762</v>
      </c>
      <c r="AE38" s="95">
        <f>'Inflation GDP Population'!AE6</f>
        <v>151.15041617216482</v>
      </c>
      <c r="AF38" s="95">
        <f>'Inflation GDP Population'!AF6</f>
        <v>150.7060775587687</v>
      </c>
      <c r="AG38" s="95">
        <f>'Inflation GDP Population'!AG6</f>
        <v>150.42901103098947</v>
      </c>
      <c r="AH38" s="95">
        <f>'Inflation GDP Population'!AH6</f>
        <v>149.50810382278826</v>
      </c>
      <c r="AI38" s="95">
        <f>'Inflation GDP Population'!AI6</f>
        <v>148.47727568113191</v>
      </c>
      <c r="AJ38" s="95">
        <f>'Inflation GDP Population'!AJ6</f>
        <v>147.43744135942725</v>
      </c>
      <c r="AK38" s="95">
        <f>'Inflation GDP Population'!AK6</f>
        <v>146.59174587393312</v>
      </c>
      <c r="AL38" s="95">
        <f>'Inflation GDP Population'!AL6</f>
        <v>146.2802990127671</v>
      </c>
      <c r="AM38" s="95">
        <f>'Inflation GDP Population'!AM6</f>
        <v>145.81739147758594</v>
      </c>
      <c r="AN38" s="95">
        <f>'Inflation GDP Population'!AN6</f>
        <v>145.76406274853568</v>
      </c>
      <c r="AO38" s="95">
        <f>'Inflation GDP Population'!AO6</f>
        <v>145.67536705401466</v>
      </c>
      <c r="AP38" s="95">
        <f>'Inflation GDP Population'!AP6</f>
        <v>145.28448366096166</v>
      </c>
      <c r="AQ38" s="95">
        <f>'Inflation GDP Population'!AQ6</f>
        <v>144.73781359167921</v>
      </c>
      <c r="AR38" s="95">
        <f>'Inflation GDP Population'!AR6</f>
        <v>144.09222733141641</v>
      </c>
      <c r="AS38" s="95">
        <f>'Inflation GDP Population'!AS6</f>
        <v>143.50695211956722</v>
      </c>
      <c r="AT38" s="95">
        <f>'Inflation GDP Population'!AT6</f>
        <v>143.01788618503213</v>
      </c>
      <c r="AU38" s="95">
        <f>'Inflation GDP Population'!AU6</f>
        <v>142.50493869441382</v>
      </c>
      <c r="AV38" s="95">
        <f>'Inflation GDP Population'!AV6</f>
        <v>141.69066364605462</v>
      </c>
      <c r="AW38" s="95">
        <f>'Inflation GDP Population'!AW6</f>
        <v>141.29907190176183</v>
      </c>
      <c r="AX38" s="95">
        <f>'Inflation GDP Population'!AX6</f>
        <v>142.79510972012858</v>
      </c>
      <c r="AY38" s="95">
        <f>'Inflation GDP Population'!AY6</f>
        <v>142.9956490157555</v>
      </c>
      <c r="AZ38" s="95">
        <f>'Inflation GDP Population'!AZ6</f>
        <v>142.28775314465267</v>
      </c>
    </row>
    <row r="39" spans="1:53" ht="15" customHeight="1">
      <c r="A39" s="93" t="s">
        <v>130</v>
      </c>
      <c r="B39" s="95">
        <f>'Inflation GDP Population'!B7</f>
        <v>164.53919188815482</v>
      </c>
      <c r="C39" s="95">
        <f>'Inflation GDP Population'!C7</f>
        <v>164.53919188815482</v>
      </c>
      <c r="D39" s="95">
        <f>'Inflation GDP Population'!D7</f>
        <v>168.53636503303116</v>
      </c>
      <c r="E39" s="95">
        <f>'Inflation GDP Population'!E7</f>
        <v>152.37388231679211</v>
      </c>
      <c r="F39" s="95">
        <f>'Inflation GDP Population'!F7</f>
        <v>185.2202181594715</v>
      </c>
      <c r="G39" s="95">
        <f>'Inflation GDP Population'!G7</f>
        <v>194.60488554309416</v>
      </c>
      <c r="H39" s="95">
        <f>'Inflation GDP Population'!H7</f>
        <v>235.61935781225995</v>
      </c>
      <c r="I39" s="95">
        <f>'Inflation GDP Population'!I7</f>
        <v>211.9838992164695</v>
      </c>
      <c r="J39" s="95">
        <f>'Inflation GDP Population'!J7</f>
        <v>215.45970195114458</v>
      </c>
      <c r="K39" s="95">
        <f>'Inflation GDP Population'!K7</f>
        <v>249.34877861422646</v>
      </c>
      <c r="L39" s="95">
        <f>'Inflation GDP Population'!L7</f>
        <v>174.09764940851127</v>
      </c>
      <c r="M39" s="95">
        <f>'Inflation GDP Population'!M7</f>
        <v>180.0065140574589</v>
      </c>
      <c r="N39" s="95">
        <f>'Inflation GDP Population'!N7</f>
        <v>173.40248886157627</v>
      </c>
      <c r="O39" s="95">
        <f>'Inflation GDP Population'!O7</f>
        <v>149.94082040251959</v>
      </c>
      <c r="P39" s="95">
        <f>'Inflation GDP Population'!P7</f>
        <v>166.45088339222616</v>
      </c>
      <c r="Q39" s="95">
        <f>'Inflation GDP Population'!Q7</f>
        <v>178.61619296358887</v>
      </c>
      <c r="R39" s="95">
        <f>'Inflation GDP Population'!R7</f>
        <v>147.16017821477953</v>
      </c>
      <c r="S39" s="95">
        <f>'Inflation GDP Population'!S7</f>
        <v>157.49270241204485</v>
      </c>
      <c r="T39" s="95">
        <f>'Inflation GDP Population'!T7</f>
        <v>153.73175603011217</v>
      </c>
      <c r="U39" s="95">
        <f>'Inflation GDP Population'!U7</f>
        <v>157.81225994776466</v>
      </c>
      <c r="V39" s="95">
        <f>'Inflation GDP Population'!V7</f>
        <v>160</v>
      </c>
      <c r="W39" s="95">
        <f>'Inflation GDP Population'!W7</f>
        <v>161.21355162101463</v>
      </c>
      <c r="X39" s="95">
        <f>'Inflation GDP Population'!X7</f>
        <v>162.70202883113024</v>
      </c>
      <c r="Y39" s="95">
        <f>'Inflation GDP Population'!Y7</f>
        <v>165.35581724730341</v>
      </c>
      <c r="Z39" s="95">
        <f>'Inflation GDP Population'!Z7</f>
        <v>168.49865553704282</v>
      </c>
      <c r="AA39" s="95">
        <f>'Inflation GDP Population'!AA7</f>
        <v>173.25211567330371</v>
      </c>
      <c r="AB39" s="95">
        <f>'Inflation GDP Population'!AB7</f>
        <v>176.04951771368238</v>
      </c>
      <c r="AC39" s="95">
        <f>'Inflation GDP Population'!AC7</f>
        <v>179.50904124826488</v>
      </c>
      <c r="AD39" s="95">
        <f>'Inflation GDP Population'!AD7</f>
        <v>182.66191882318833</v>
      </c>
      <c r="AE39" s="95">
        <f>'Inflation GDP Population'!AE7</f>
        <v>186.02613984771389</v>
      </c>
      <c r="AF39" s="95">
        <f>'Inflation GDP Population'!AF7</f>
        <v>189.46148425882495</v>
      </c>
      <c r="AG39" s="95">
        <f>'Inflation GDP Population'!AG7</f>
        <v>193.24261841525399</v>
      </c>
      <c r="AH39" s="95">
        <f>'Inflation GDP Population'!AH7</f>
        <v>196.28016204254669</v>
      </c>
      <c r="AI39" s="95">
        <f>'Inflation GDP Population'!AI7</f>
        <v>199.25902534094678</v>
      </c>
      <c r="AJ39" s="95">
        <f>'Inflation GDP Population'!AJ7</f>
        <v>202.29998609582557</v>
      </c>
      <c r="AK39" s="95">
        <f>'Inflation GDP Population'!AK7</f>
        <v>205.69340588641461</v>
      </c>
      <c r="AL39" s="95">
        <f>'Inflation GDP Population'!AL7</f>
        <v>209.95670852844336</v>
      </c>
      <c r="AM39" s="95">
        <f>'Inflation GDP Population'!AM7</f>
        <v>214.08919409991671</v>
      </c>
      <c r="AN39" s="95">
        <f>'Inflation GDP Population'!AN7</f>
        <v>218.89617352409539</v>
      </c>
      <c r="AO39" s="95">
        <f>'Inflation GDP Population'!AO7</f>
        <v>223.78740281806967</v>
      </c>
      <c r="AP39" s="95">
        <f>'Inflation GDP Population'!AP7</f>
        <v>228.35379289378849</v>
      </c>
      <c r="AQ39" s="95">
        <f>'Inflation GDP Population'!AQ7</f>
        <v>232.81931878972398</v>
      </c>
      <c r="AR39" s="95">
        <f>'Inflation GDP Population'!AR7</f>
        <v>237.25451473253304</v>
      </c>
      <c r="AS39" s="95">
        <f>'Inflation GDP Population'!AS7</f>
        <v>241.95575173271919</v>
      </c>
      <c r="AT39" s="95">
        <f>'Inflation GDP Population'!AT7</f>
        <v>246.97145873641676</v>
      </c>
      <c r="AU39" s="95">
        <f>'Inflation GDP Population'!AU7</f>
        <v>252.11597966691241</v>
      </c>
      <c r="AV39" s="95">
        <f>'Inflation GDP Population'!AV7</f>
        <v>256.82513497653952</v>
      </c>
      <c r="AW39" s="95">
        <f>'Inflation GDP Population'!AW7</f>
        <v>262.4698526864513</v>
      </c>
      <c r="AX39" s="95">
        <f>'Inflation GDP Population'!AX7</f>
        <v>271.93103058211346</v>
      </c>
      <c r="AY39" s="95">
        <f>'Inflation GDP Population'!AY7</f>
        <v>279.1746105063711</v>
      </c>
      <c r="AZ39" s="95">
        <f>'Inflation GDP Population'!AZ7</f>
        <v>284.86921827904024</v>
      </c>
    </row>
    <row r="40" spans="1:53" ht="15" customHeight="1">
      <c r="A40" s="100" t="s">
        <v>836</v>
      </c>
      <c r="B40" s="253">
        <v>0</v>
      </c>
      <c r="C40" s="253">
        <v>0</v>
      </c>
      <c r="D40" s="253">
        <v>0</v>
      </c>
      <c r="E40" s="253">
        <v>0</v>
      </c>
      <c r="F40" s="253">
        <v>0</v>
      </c>
      <c r="G40" s="253">
        <v>0</v>
      </c>
      <c r="H40" s="253">
        <v>0</v>
      </c>
      <c r="I40" s="253">
        <f t="shared" ref="I40:U40" si="30">J40</f>
        <v>0</v>
      </c>
      <c r="J40" s="253">
        <f t="shared" si="30"/>
        <v>0</v>
      </c>
      <c r="K40" s="253">
        <f t="shared" si="30"/>
        <v>0</v>
      </c>
      <c r="L40" s="253">
        <f t="shared" si="30"/>
        <v>0</v>
      </c>
      <c r="M40" s="253">
        <f t="shared" si="30"/>
        <v>0</v>
      </c>
      <c r="N40" s="253">
        <f t="shared" si="30"/>
        <v>0</v>
      </c>
      <c r="O40" s="253">
        <f t="shared" si="30"/>
        <v>0</v>
      </c>
      <c r="P40" s="253">
        <f t="shared" si="30"/>
        <v>0</v>
      </c>
      <c r="Q40" s="253">
        <f t="shared" si="30"/>
        <v>0</v>
      </c>
      <c r="R40" s="253">
        <f t="shared" si="30"/>
        <v>0</v>
      </c>
      <c r="S40" s="253">
        <f t="shared" si="30"/>
        <v>0</v>
      </c>
      <c r="T40" s="253">
        <f t="shared" si="30"/>
        <v>0</v>
      </c>
      <c r="U40" s="253">
        <f t="shared" si="30"/>
        <v>0</v>
      </c>
      <c r="V40" s="281">
        <v>0</v>
      </c>
      <c r="W40" s="102">
        <f t="shared" ref="W40:AZ40" si="31">V40</f>
        <v>0</v>
      </c>
      <c r="X40" s="102">
        <f t="shared" si="31"/>
        <v>0</v>
      </c>
      <c r="Y40" s="102">
        <f t="shared" si="31"/>
        <v>0</v>
      </c>
      <c r="Z40" s="102">
        <f t="shared" si="31"/>
        <v>0</v>
      </c>
      <c r="AA40" s="102">
        <f t="shared" si="31"/>
        <v>0</v>
      </c>
      <c r="AB40" s="102">
        <f t="shared" si="31"/>
        <v>0</v>
      </c>
      <c r="AC40" s="102">
        <f t="shared" si="31"/>
        <v>0</v>
      </c>
      <c r="AD40" s="102">
        <f t="shared" si="31"/>
        <v>0</v>
      </c>
      <c r="AE40" s="102">
        <f t="shared" si="31"/>
        <v>0</v>
      </c>
      <c r="AF40" s="102">
        <f t="shared" si="31"/>
        <v>0</v>
      </c>
      <c r="AG40" s="102">
        <f t="shared" si="31"/>
        <v>0</v>
      </c>
      <c r="AH40" s="102">
        <f t="shared" si="31"/>
        <v>0</v>
      </c>
      <c r="AI40" s="102">
        <f t="shared" si="31"/>
        <v>0</v>
      </c>
      <c r="AJ40" s="102">
        <f t="shared" si="31"/>
        <v>0</v>
      </c>
      <c r="AK40" s="102">
        <f t="shared" si="31"/>
        <v>0</v>
      </c>
      <c r="AL40" s="102">
        <f t="shared" si="31"/>
        <v>0</v>
      </c>
      <c r="AM40" s="102">
        <f t="shared" si="31"/>
        <v>0</v>
      </c>
      <c r="AN40" s="102">
        <f t="shared" si="31"/>
        <v>0</v>
      </c>
      <c r="AO40" s="102">
        <f t="shared" si="31"/>
        <v>0</v>
      </c>
      <c r="AP40" s="102">
        <f t="shared" si="31"/>
        <v>0</v>
      </c>
      <c r="AQ40" s="102">
        <f t="shared" si="31"/>
        <v>0</v>
      </c>
      <c r="AR40" s="102">
        <f t="shared" si="31"/>
        <v>0</v>
      </c>
      <c r="AS40" s="102">
        <f t="shared" si="31"/>
        <v>0</v>
      </c>
      <c r="AT40" s="102">
        <f t="shared" si="31"/>
        <v>0</v>
      </c>
      <c r="AU40" s="102">
        <f t="shared" si="31"/>
        <v>0</v>
      </c>
      <c r="AV40" s="102">
        <f t="shared" si="31"/>
        <v>0</v>
      </c>
      <c r="AW40" s="102">
        <f t="shared" si="31"/>
        <v>0</v>
      </c>
      <c r="AX40" s="102">
        <f t="shared" si="31"/>
        <v>0</v>
      </c>
      <c r="AY40" s="102">
        <f t="shared" si="31"/>
        <v>0</v>
      </c>
      <c r="AZ40" s="102">
        <f t="shared" si="31"/>
        <v>0</v>
      </c>
    </row>
    <row r="41" spans="1:53" ht="15.75" customHeight="1">
      <c r="A41" s="93" t="s">
        <v>137</v>
      </c>
      <c r="B41" s="330">
        <f t="shared" ref="B41:U41" si="32">C41</f>
        <v>0.02</v>
      </c>
      <c r="C41" s="330">
        <f t="shared" si="32"/>
        <v>0.02</v>
      </c>
      <c r="D41" s="330">
        <f t="shared" si="32"/>
        <v>0.02</v>
      </c>
      <c r="E41" s="330">
        <f t="shared" si="32"/>
        <v>0.02</v>
      </c>
      <c r="F41" s="330">
        <f t="shared" si="32"/>
        <v>0.02</v>
      </c>
      <c r="G41" s="330">
        <f t="shared" si="32"/>
        <v>0.02</v>
      </c>
      <c r="H41" s="330">
        <f t="shared" si="32"/>
        <v>0.02</v>
      </c>
      <c r="I41" s="330">
        <f t="shared" si="32"/>
        <v>0.02</v>
      </c>
      <c r="J41" s="330">
        <f t="shared" si="32"/>
        <v>0.02</v>
      </c>
      <c r="K41" s="330">
        <f t="shared" si="32"/>
        <v>0.02</v>
      </c>
      <c r="L41" s="330">
        <f t="shared" si="32"/>
        <v>0.02</v>
      </c>
      <c r="M41" s="330">
        <f t="shared" si="32"/>
        <v>0.02</v>
      </c>
      <c r="N41" s="330">
        <f t="shared" si="32"/>
        <v>0.02</v>
      </c>
      <c r="O41" s="330">
        <f t="shared" si="32"/>
        <v>0.02</v>
      </c>
      <c r="P41" s="330">
        <f t="shared" si="32"/>
        <v>0.02</v>
      </c>
      <c r="Q41" s="330">
        <f t="shared" si="32"/>
        <v>0.02</v>
      </c>
      <c r="R41" s="330">
        <f t="shared" si="32"/>
        <v>0.02</v>
      </c>
      <c r="S41" s="330">
        <f t="shared" si="32"/>
        <v>0.02</v>
      </c>
      <c r="T41" s="330">
        <f t="shared" si="32"/>
        <v>0.02</v>
      </c>
      <c r="U41" s="330">
        <f t="shared" si="32"/>
        <v>0.02</v>
      </c>
      <c r="V41" s="252">
        <f>Inputs!B19</f>
        <v>0.02</v>
      </c>
      <c r="W41" s="331">
        <f t="shared" ref="W41:AZ41" si="33">V41</f>
        <v>0.02</v>
      </c>
      <c r="X41" s="331">
        <f t="shared" si="33"/>
        <v>0.02</v>
      </c>
      <c r="Y41" s="331">
        <f t="shared" si="33"/>
        <v>0.02</v>
      </c>
      <c r="Z41" s="331">
        <f t="shared" si="33"/>
        <v>0.02</v>
      </c>
      <c r="AA41" s="331">
        <f t="shared" si="33"/>
        <v>0.02</v>
      </c>
      <c r="AB41" s="331">
        <f t="shared" si="33"/>
        <v>0.02</v>
      </c>
      <c r="AC41" s="331">
        <f t="shared" si="33"/>
        <v>0.02</v>
      </c>
      <c r="AD41" s="331">
        <f t="shared" si="33"/>
        <v>0.02</v>
      </c>
      <c r="AE41" s="331">
        <f t="shared" si="33"/>
        <v>0.02</v>
      </c>
      <c r="AF41" s="331">
        <f t="shared" si="33"/>
        <v>0.02</v>
      </c>
      <c r="AG41" s="331">
        <f t="shared" si="33"/>
        <v>0.02</v>
      </c>
      <c r="AH41" s="331">
        <f t="shared" si="33"/>
        <v>0.02</v>
      </c>
      <c r="AI41" s="331">
        <f t="shared" si="33"/>
        <v>0.02</v>
      </c>
      <c r="AJ41" s="331">
        <f t="shared" si="33"/>
        <v>0.02</v>
      </c>
      <c r="AK41" s="331">
        <f t="shared" si="33"/>
        <v>0.02</v>
      </c>
      <c r="AL41" s="331">
        <f t="shared" si="33"/>
        <v>0.02</v>
      </c>
      <c r="AM41" s="331">
        <f t="shared" si="33"/>
        <v>0.02</v>
      </c>
      <c r="AN41" s="331">
        <f t="shared" si="33"/>
        <v>0.02</v>
      </c>
      <c r="AO41" s="331">
        <f t="shared" si="33"/>
        <v>0.02</v>
      </c>
      <c r="AP41" s="331">
        <f t="shared" si="33"/>
        <v>0.02</v>
      </c>
      <c r="AQ41" s="331">
        <f t="shared" si="33"/>
        <v>0.02</v>
      </c>
      <c r="AR41" s="331">
        <f t="shared" si="33"/>
        <v>0.02</v>
      </c>
      <c r="AS41" s="331">
        <f t="shared" si="33"/>
        <v>0.02</v>
      </c>
      <c r="AT41" s="331">
        <f t="shared" si="33"/>
        <v>0.02</v>
      </c>
      <c r="AU41" s="331">
        <f t="shared" si="33"/>
        <v>0.02</v>
      </c>
      <c r="AV41" s="331">
        <f t="shared" si="33"/>
        <v>0.02</v>
      </c>
      <c r="AW41" s="331">
        <f t="shared" si="33"/>
        <v>0.02</v>
      </c>
      <c r="AX41" s="331">
        <f t="shared" si="33"/>
        <v>0.02</v>
      </c>
      <c r="AY41" s="331">
        <f t="shared" si="33"/>
        <v>0.02</v>
      </c>
      <c r="AZ41" s="331">
        <f t="shared" si="33"/>
        <v>0.02</v>
      </c>
    </row>
    <row r="42" spans="1:53" ht="15.75" customHeight="1">
      <c r="A42" s="93"/>
      <c r="B42" s="93"/>
      <c r="C42" s="93"/>
      <c r="D42" s="93"/>
      <c r="E42" s="93"/>
      <c r="F42" s="93"/>
      <c r="G42" s="93"/>
      <c r="H42" s="93"/>
      <c r="I42" s="93"/>
      <c r="J42" s="93"/>
      <c r="K42" s="93"/>
      <c r="L42" s="93"/>
      <c r="M42" s="93"/>
      <c r="N42" s="93"/>
      <c r="O42" s="93"/>
      <c r="P42" s="93"/>
      <c r="Q42" s="93"/>
      <c r="R42" s="93"/>
      <c r="S42" s="93"/>
      <c r="T42" s="93"/>
      <c r="U42" s="93"/>
      <c r="V42" s="88"/>
      <c r="W42" s="331"/>
      <c r="X42" s="331"/>
      <c r="Y42" s="331"/>
      <c r="Z42" s="331"/>
      <c r="AA42" s="331"/>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spans="1:53" ht="15.75" customHeight="1">
      <c r="A43" s="93" t="s">
        <v>140</v>
      </c>
      <c r="B43" s="93"/>
      <c r="C43" s="93"/>
      <c r="D43" s="93"/>
      <c r="E43" s="93"/>
      <c r="F43" s="93"/>
      <c r="G43" s="93"/>
      <c r="H43" s="93"/>
      <c r="I43" s="93"/>
      <c r="J43" s="93"/>
      <c r="K43" s="93"/>
      <c r="L43" s="93"/>
      <c r="M43" s="93"/>
      <c r="N43" s="93"/>
      <c r="O43" s="93"/>
      <c r="P43" s="93"/>
      <c r="Q43" s="93"/>
      <c r="R43" s="93"/>
      <c r="S43" s="93"/>
      <c r="T43" s="93"/>
      <c r="U43" s="93"/>
      <c r="W43" t="e">
        <f t="shared" ref="W43:BA43" si="34">SUM(#REF!)</f>
        <v>#REF!</v>
      </c>
      <c r="X43" t="e">
        <f t="shared" si="34"/>
        <v>#REF!</v>
      </c>
      <c r="Y43" t="e">
        <f t="shared" si="34"/>
        <v>#REF!</v>
      </c>
      <c r="Z43" t="e">
        <f t="shared" si="34"/>
        <v>#REF!</v>
      </c>
      <c r="AA43" t="e">
        <f t="shared" si="34"/>
        <v>#REF!</v>
      </c>
      <c r="AB43" t="e">
        <f t="shared" si="34"/>
        <v>#REF!</v>
      </c>
      <c r="AC43" t="e">
        <f t="shared" si="34"/>
        <v>#REF!</v>
      </c>
      <c r="AD43" t="e">
        <f t="shared" si="34"/>
        <v>#REF!</v>
      </c>
      <c r="AE43" t="e">
        <f t="shared" si="34"/>
        <v>#REF!</v>
      </c>
      <c r="AF43" t="e">
        <f t="shared" si="34"/>
        <v>#REF!</v>
      </c>
      <c r="AG43" t="e">
        <f t="shared" si="34"/>
        <v>#REF!</v>
      </c>
      <c r="AH43" t="e">
        <f t="shared" si="34"/>
        <v>#REF!</v>
      </c>
      <c r="AI43" t="e">
        <f t="shared" si="34"/>
        <v>#REF!</v>
      </c>
      <c r="AJ43" t="e">
        <f t="shared" si="34"/>
        <v>#REF!</v>
      </c>
      <c r="AK43" t="e">
        <f t="shared" si="34"/>
        <v>#REF!</v>
      </c>
      <c r="AL43" t="e">
        <f t="shared" si="34"/>
        <v>#REF!</v>
      </c>
      <c r="AM43" t="e">
        <f t="shared" si="34"/>
        <v>#REF!</v>
      </c>
      <c r="AN43" t="e">
        <f t="shared" si="34"/>
        <v>#REF!</v>
      </c>
      <c r="AO43" t="e">
        <f t="shared" si="34"/>
        <v>#REF!</v>
      </c>
      <c r="AP43" t="e">
        <f t="shared" si="34"/>
        <v>#REF!</v>
      </c>
      <c r="AQ43" t="e">
        <f t="shared" si="34"/>
        <v>#REF!</v>
      </c>
      <c r="AR43" t="e">
        <f t="shared" si="34"/>
        <v>#REF!</v>
      </c>
      <c r="AS43" t="e">
        <f t="shared" si="34"/>
        <v>#REF!</v>
      </c>
      <c r="AT43" t="e">
        <f t="shared" si="34"/>
        <v>#REF!</v>
      </c>
      <c r="AU43" t="e">
        <f t="shared" si="34"/>
        <v>#REF!</v>
      </c>
      <c r="AV43" t="e">
        <f t="shared" si="34"/>
        <v>#REF!</v>
      </c>
      <c r="AW43" t="e">
        <f t="shared" si="34"/>
        <v>#REF!</v>
      </c>
      <c r="AX43" t="e">
        <f t="shared" si="34"/>
        <v>#REF!</v>
      </c>
      <c r="AY43" t="e">
        <f t="shared" si="34"/>
        <v>#REF!</v>
      </c>
      <c r="AZ43" t="e">
        <f t="shared" si="34"/>
        <v>#REF!</v>
      </c>
      <c r="BA43" t="e">
        <f t="shared" si="34"/>
        <v>#REF!</v>
      </c>
    </row>
    <row r="44" spans="1:53" ht="15.75" customHeight="1">
      <c r="A44" s="349" t="s">
        <v>757</v>
      </c>
      <c r="B44" s="349"/>
      <c r="C44" s="349"/>
      <c r="D44" s="349"/>
      <c r="E44" s="349"/>
      <c r="F44" s="349"/>
      <c r="G44" s="349"/>
      <c r="H44" s="349"/>
      <c r="I44" s="349"/>
      <c r="J44" s="349"/>
      <c r="K44" s="349"/>
      <c r="L44" s="349"/>
      <c r="M44" s="349"/>
      <c r="N44" s="349"/>
      <c r="O44" s="349"/>
      <c r="P44" s="349"/>
      <c r="Q44" s="349"/>
      <c r="R44" s="349"/>
      <c r="S44" s="349"/>
      <c r="T44" s="349"/>
      <c r="U44" s="349"/>
      <c r="V44" t="s">
        <v>758</v>
      </c>
      <c r="W44" s="42">
        <v>2020</v>
      </c>
      <c r="X44" s="42">
        <v>2021</v>
      </c>
      <c r="Y44" s="42">
        <v>2022</v>
      </c>
      <c r="Z44" s="42">
        <v>2023</v>
      </c>
      <c r="AA44" s="42">
        <v>2024</v>
      </c>
      <c r="AB44" s="42">
        <v>2025</v>
      </c>
      <c r="AC44" s="42">
        <v>2026</v>
      </c>
      <c r="AD44" s="42">
        <v>2027</v>
      </c>
      <c r="AE44" s="42">
        <v>2028</v>
      </c>
      <c r="AF44" s="42">
        <v>2029</v>
      </c>
      <c r="AG44" s="42">
        <v>2030</v>
      </c>
      <c r="AH44" s="42">
        <v>2031</v>
      </c>
      <c r="AI44" s="42">
        <v>2032</v>
      </c>
      <c r="AJ44" s="42">
        <v>2033</v>
      </c>
      <c r="AK44" s="42">
        <v>2034</v>
      </c>
      <c r="AL44" s="42">
        <v>2035</v>
      </c>
      <c r="AM44" s="42">
        <v>2036</v>
      </c>
      <c r="AN44" s="42">
        <v>2037</v>
      </c>
      <c r="AO44" s="42">
        <v>2038</v>
      </c>
      <c r="AP44" s="42">
        <v>2039</v>
      </c>
      <c r="AQ44" s="42">
        <v>2040</v>
      </c>
      <c r="AR44" s="42">
        <v>2041</v>
      </c>
      <c r="AS44" s="42">
        <v>2042</v>
      </c>
      <c r="AT44" s="42">
        <v>2043</v>
      </c>
      <c r="AU44" s="42">
        <v>2044</v>
      </c>
      <c r="AV44" s="42">
        <v>2045</v>
      </c>
      <c r="AW44" s="42">
        <v>2046</v>
      </c>
      <c r="AX44" s="42">
        <v>2047</v>
      </c>
      <c r="AY44" s="42">
        <v>2048</v>
      </c>
      <c r="AZ44" s="42">
        <v>2049</v>
      </c>
      <c r="BA44" s="42">
        <v>2050</v>
      </c>
    </row>
    <row r="45" spans="1:53" ht="15.75" customHeight="1">
      <c r="A45" s="362">
        <v>2010</v>
      </c>
      <c r="V45" s="127"/>
      <c r="W45">
        <f t="shared" ref="W45:W53" si="35">IF(W$44-$A45&gt;$V$32,$V45,0)</f>
        <v>0</v>
      </c>
      <c r="X45">
        <f t="shared" ref="X45:AZ45" si="36">IF(AND(X$44-$A45&gt;$V$32,SUM($W45:W45)&lt;&gt;$V45),$V45,0)</f>
        <v>0</v>
      </c>
      <c r="Y45">
        <f t="shared" si="36"/>
        <v>0</v>
      </c>
      <c r="Z45">
        <f t="shared" si="36"/>
        <v>0</v>
      </c>
      <c r="AA45">
        <f t="shared" si="36"/>
        <v>0</v>
      </c>
      <c r="AB45">
        <f t="shared" si="36"/>
        <v>0</v>
      </c>
      <c r="AC45">
        <f t="shared" si="36"/>
        <v>0</v>
      </c>
      <c r="AD45">
        <f t="shared" si="36"/>
        <v>0</v>
      </c>
      <c r="AE45">
        <f t="shared" si="36"/>
        <v>0</v>
      </c>
      <c r="AF45">
        <f t="shared" si="36"/>
        <v>0</v>
      </c>
      <c r="AG45">
        <f t="shared" si="36"/>
        <v>0</v>
      </c>
      <c r="AH45">
        <f t="shared" si="36"/>
        <v>0</v>
      </c>
      <c r="AI45">
        <f t="shared" si="36"/>
        <v>0</v>
      </c>
      <c r="AJ45">
        <f t="shared" si="36"/>
        <v>0</v>
      </c>
      <c r="AK45">
        <f t="shared" si="36"/>
        <v>0</v>
      </c>
      <c r="AL45">
        <f t="shared" si="36"/>
        <v>0</v>
      </c>
      <c r="AM45">
        <f t="shared" si="36"/>
        <v>0</v>
      </c>
      <c r="AN45">
        <f t="shared" si="36"/>
        <v>0</v>
      </c>
      <c r="AO45">
        <f t="shared" si="36"/>
        <v>0</v>
      </c>
      <c r="AP45">
        <f t="shared" si="36"/>
        <v>0</v>
      </c>
      <c r="AQ45">
        <f t="shared" si="36"/>
        <v>0</v>
      </c>
      <c r="AR45">
        <f t="shared" si="36"/>
        <v>0</v>
      </c>
      <c r="AS45">
        <f t="shared" si="36"/>
        <v>0</v>
      </c>
      <c r="AT45">
        <f t="shared" si="36"/>
        <v>0</v>
      </c>
      <c r="AU45">
        <f t="shared" si="36"/>
        <v>0</v>
      </c>
      <c r="AV45">
        <f t="shared" si="36"/>
        <v>0</v>
      </c>
      <c r="AW45">
        <f t="shared" si="36"/>
        <v>0</v>
      </c>
      <c r="AX45">
        <f t="shared" si="36"/>
        <v>0</v>
      </c>
      <c r="AY45">
        <f t="shared" si="36"/>
        <v>0</v>
      </c>
      <c r="AZ45">
        <f t="shared" si="36"/>
        <v>0</v>
      </c>
    </row>
    <row r="46" spans="1:53" ht="15.75" customHeight="1">
      <c r="A46" s="362">
        <v>2011</v>
      </c>
      <c r="V46" s="127"/>
      <c r="W46">
        <f t="shared" si="35"/>
        <v>0</v>
      </c>
      <c r="X46">
        <f t="shared" ref="X46:AZ46" si="37">IF(AND(X$44-$A46&gt;$V$32,SUM($W46:W46)&lt;&gt;$V46),$V46,0)</f>
        <v>0</v>
      </c>
      <c r="Y46">
        <f t="shared" si="37"/>
        <v>0</v>
      </c>
      <c r="Z46">
        <f t="shared" si="37"/>
        <v>0</v>
      </c>
      <c r="AA46">
        <f t="shared" si="37"/>
        <v>0</v>
      </c>
      <c r="AB46">
        <f t="shared" si="37"/>
        <v>0</v>
      </c>
      <c r="AC46">
        <f t="shared" si="37"/>
        <v>0</v>
      </c>
      <c r="AD46">
        <f t="shared" si="37"/>
        <v>0</v>
      </c>
      <c r="AE46">
        <f t="shared" si="37"/>
        <v>0</v>
      </c>
      <c r="AF46">
        <f t="shared" si="37"/>
        <v>0</v>
      </c>
      <c r="AG46">
        <f t="shared" si="37"/>
        <v>0</v>
      </c>
      <c r="AH46">
        <f t="shared" si="37"/>
        <v>0</v>
      </c>
      <c r="AI46">
        <f t="shared" si="37"/>
        <v>0</v>
      </c>
      <c r="AJ46">
        <f t="shared" si="37"/>
        <v>0</v>
      </c>
      <c r="AK46">
        <f t="shared" si="37"/>
        <v>0</v>
      </c>
      <c r="AL46">
        <f t="shared" si="37"/>
        <v>0</v>
      </c>
      <c r="AM46">
        <f t="shared" si="37"/>
        <v>0</v>
      </c>
      <c r="AN46">
        <f t="shared" si="37"/>
        <v>0</v>
      </c>
      <c r="AO46">
        <f t="shared" si="37"/>
        <v>0</v>
      </c>
      <c r="AP46">
        <f t="shared" si="37"/>
        <v>0</v>
      </c>
      <c r="AQ46">
        <f t="shared" si="37"/>
        <v>0</v>
      </c>
      <c r="AR46">
        <f t="shared" si="37"/>
        <v>0</v>
      </c>
      <c r="AS46">
        <f t="shared" si="37"/>
        <v>0</v>
      </c>
      <c r="AT46">
        <f t="shared" si="37"/>
        <v>0</v>
      </c>
      <c r="AU46">
        <f t="shared" si="37"/>
        <v>0</v>
      </c>
      <c r="AV46">
        <f t="shared" si="37"/>
        <v>0</v>
      </c>
      <c r="AW46">
        <f t="shared" si="37"/>
        <v>0</v>
      </c>
      <c r="AX46">
        <f t="shared" si="37"/>
        <v>0</v>
      </c>
      <c r="AY46">
        <f t="shared" si="37"/>
        <v>0</v>
      </c>
      <c r="AZ46">
        <f t="shared" si="37"/>
        <v>0</v>
      </c>
    </row>
    <row r="47" spans="1:53" ht="15.75" customHeight="1">
      <c r="A47" s="362">
        <v>2012</v>
      </c>
      <c r="V47" s="127"/>
      <c r="W47">
        <f t="shared" si="35"/>
        <v>0</v>
      </c>
      <c r="X47">
        <f t="shared" ref="X47:AZ47" si="38">IF(AND(X$44-$A47&gt;$V$32,SUM($W47:W47)&lt;&gt;$V47),$V47,0)</f>
        <v>0</v>
      </c>
      <c r="Y47">
        <f t="shared" si="38"/>
        <v>0</v>
      </c>
      <c r="Z47">
        <f t="shared" si="38"/>
        <v>0</v>
      </c>
      <c r="AA47">
        <f t="shared" si="38"/>
        <v>0</v>
      </c>
      <c r="AB47">
        <f t="shared" si="38"/>
        <v>0</v>
      </c>
      <c r="AC47">
        <f t="shared" si="38"/>
        <v>0</v>
      </c>
      <c r="AD47">
        <f t="shared" si="38"/>
        <v>0</v>
      </c>
      <c r="AE47">
        <f t="shared" si="38"/>
        <v>0</v>
      </c>
      <c r="AF47">
        <f t="shared" si="38"/>
        <v>0</v>
      </c>
      <c r="AG47">
        <f t="shared" si="38"/>
        <v>0</v>
      </c>
      <c r="AH47">
        <f t="shared" si="38"/>
        <v>0</v>
      </c>
      <c r="AI47">
        <f t="shared" si="38"/>
        <v>0</v>
      </c>
      <c r="AJ47">
        <f t="shared" si="38"/>
        <v>0</v>
      </c>
      <c r="AK47">
        <f t="shared" si="38"/>
        <v>0</v>
      </c>
      <c r="AL47">
        <f t="shared" si="38"/>
        <v>0</v>
      </c>
      <c r="AM47">
        <f t="shared" si="38"/>
        <v>0</v>
      </c>
      <c r="AN47">
        <f t="shared" si="38"/>
        <v>0</v>
      </c>
      <c r="AO47">
        <f t="shared" si="38"/>
        <v>0</v>
      </c>
      <c r="AP47">
        <f t="shared" si="38"/>
        <v>0</v>
      </c>
      <c r="AQ47">
        <f t="shared" si="38"/>
        <v>0</v>
      </c>
      <c r="AR47">
        <f t="shared" si="38"/>
        <v>0</v>
      </c>
      <c r="AS47">
        <f t="shared" si="38"/>
        <v>0</v>
      </c>
      <c r="AT47">
        <f t="shared" si="38"/>
        <v>0</v>
      </c>
      <c r="AU47">
        <f t="shared" si="38"/>
        <v>0</v>
      </c>
      <c r="AV47">
        <f t="shared" si="38"/>
        <v>0</v>
      </c>
      <c r="AW47">
        <f t="shared" si="38"/>
        <v>0</v>
      </c>
      <c r="AX47">
        <f t="shared" si="38"/>
        <v>0</v>
      </c>
      <c r="AY47">
        <f t="shared" si="38"/>
        <v>0</v>
      </c>
      <c r="AZ47">
        <f t="shared" si="38"/>
        <v>0</v>
      </c>
    </row>
    <row r="48" spans="1:53" ht="15.75" customHeight="1">
      <c r="A48" s="362">
        <v>2013</v>
      </c>
      <c r="V48" s="127"/>
      <c r="W48">
        <f t="shared" si="35"/>
        <v>0</v>
      </c>
      <c r="X48">
        <f t="shared" ref="X48:AZ48" si="39">IF(AND(X$44-$A48&gt;$V$32,SUM($W48:W48)&lt;&gt;$V48),$V48,0)</f>
        <v>0</v>
      </c>
      <c r="Y48">
        <f t="shared" si="39"/>
        <v>0</v>
      </c>
      <c r="Z48">
        <f t="shared" si="39"/>
        <v>0</v>
      </c>
      <c r="AA48">
        <f t="shared" si="39"/>
        <v>0</v>
      </c>
      <c r="AB48">
        <f t="shared" si="39"/>
        <v>0</v>
      </c>
      <c r="AC48">
        <f t="shared" si="39"/>
        <v>0</v>
      </c>
      <c r="AD48">
        <f t="shared" si="39"/>
        <v>0</v>
      </c>
      <c r="AE48">
        <f t="shared" si="39"/>
        <v>0</v>
      </c>
      <c r="AF48">
        <f t="shared" si="39"/>
        <v>0</v>
      </c>
      <c r="AG48">
        <f t="shared" si="39"/>
        <v>0</v>
      </c>
      <c r="AH48">
        <f t="shared" si="39"/>
        <v>0</v>
      </c>
      <c r="AI48">
        <f t="shared" si="39"/>
        <v>0</v>
      </c>
      <c r="AJ48">
        <f t="shared" si="39"/>
        <v>0</v>
      </c>
      <c r="AK48">
        <f t="shared" si="39"/>
        <v>0</v>
      </c>
      <c r="AL48">
        <f t="shared" si="39"/>
        <v>0</v>
      </c>
      <c r="AM48">
        <f t="shared" si="39"/>
        <v>0</v>
      </c>
      <c r="AN48">
        <f t="shared" si="39"/>
        <v>0</v>
      </c>
      <c r="AO48">
        <f t="shared" si="39"/>
        <v>0</v>
      </c>
      <c r="AP48">
        <f t="shared" si="39"/>
        <v>0</v>
      </c>
      <c r="AQ48">
        <f t="shared" si="39"/>
        <v>0</v>
      </c>
      <c r="AR48">
        <f t="shared" si="39"/>
        <v>0</v>
      </c>
      <c r="AS48">
        <f t="shared" si="39"/>
        <v>0</v>
      </c>
      <c r="AT48">
        <f t="shared" si="39"/>
        <v>0</v>
      </c>
      <c r="AU48">
        <f t="shared" si="39"/>
        <v>0</v>
      </c>
      <c r="AV48">
        <f t="shared" si="39"/>
        <v>0</v>
      </c>
      <c r="AW48">
        <f t="shared" si="39"/>
        <v>0</v>
      </c>
      <c r="AX48">
        <f t="shared" si="39"/>
        <v>0</v>
      </c>
      <c r="AY48">
        <f t="shared" si="39"/>
        <v>0</v>
      </c>
      <c r="AZ48">
        <f t="shared" si="39"/>
        <v>0</v>
      </c>
    </row>
    <row r="49" spans="1:52" ht="15.75" customHeight="1">
      <c r="A49" s="362">
        <v>2014</v>
      </c>
      <c r="V49" s="127"/>
      <c r="W49">
        <f t="shared" si="35"/>
        <v>0</v>
      </c>
      <c r="X49">
        <f t="shared" ref="X49:AZ49" si="40">IF(AND(X$44-$A49&gt;$V$32,SUM($W49:W49)&lt;&gt;$V49),$V49,0)</f>
        <v>0</v>
      </c>
      <c r="Y49">
        <f t="shared" si="40"/>
        <v>0</v>
      </c>
      <c r="Z49">
        <f t="shared" si="40"/>
        <v>0</v>
      </c>
      <c r="AA49">
        <f t="shared" si="40"/>
        <v>0</v>
      </c>
      <c r="AB49">
        <f t="shared" si="40"/>
        <v>0</v>
      </c>
      <c r="AC49">
        <f t="shared" si="40"/>
        <v>0</v>
      </c>
      <c r="AD49">
        <f t="shared" si="40"/>
        <v>0</v>
      </c>
      <c r="AE49">
        <f t="shared" si="40"/>
        <v>0</v>
      </c>
      <c r="AF49">
        <f t="shared" si="40"/>
        <v>0</v>
      </c>
      <c r="AG49">
        <f t="shared" si="40"/>
        <v>0</v>
      </c>
      <c r="AH49">
        <f t="shared" si="40"/>
        <v>0</v>
      </c>
      <c r="AI49">
        <f t="shared" si="40"/>
        <v>0</v>
      </c>
      <c r="AJ49">
        <f t="shared" si="40"/>
        <v>0</v>
      </c>
      <c r="AK49">
        <f t="shared" si="40"/>
        <v>0</v>
      </c>
      <c r="AL49">
        <f t="shared" si="40"/>
        <v>0</v>
      </c>
      <c r="AM49">
        <f t="shared" si="40"/>
        <v>0</v>
      </c>
      <c r="AN49">
        <f t="shared" si="40"/>
        <v>0</v>
      </c>
      <c r="AO49">
        <f t="shared" si="40"/>
        <v>0</v>
      </c>
      <c r="AP49">
        <f t="shared" si="40"/>
        <v>0</v>
      </c>
      <c r="AQ49">
        <f t="shared" si="40"/>
        <v>0</v>
      </c>
      <c r="AR49">
        <f t="shared" si="40"/>
        <v>0</v>
      </c>
      <c r="AS49">
        <f t="shared" si="40"/>
        <v>0</v>
      </c>
      <c r="AT49">
        <f t="shared" si="40"/>
        <v>0</v>
      </c>
      <c r="AU49">
        <f t="shared" si="40"/>
        <v>0</v>
      </c>
      <c r="AV49">
        <f t="shared" si="40"/>
        <v>0</v>
      </c>
      <c r="AW49">
        <f t="shared" si="40"/>
        <v>0</v>
      </c>
      <c r="AX49">
        <f t="shared" si="40"/>
        <v>0</v>
      </c>
      <c r="AY49">
        <f t="shared" si="40"/>
        <v>0</v>
      </c>
      <c r="AZ49">
        <f t="shared" si="40"/>
        <v>0</v>
      </c>
    </row>
    <row r="50" spans="1:52" ht="15.75" customHeight="1">
      <c r="A50" s="362">
        <v>2015</v>
      </c>
      <c r="V50" s="127"/>
      <c r="W50">
        <f t="shared" si="35"/>
        <v>0</v>
      </c>
      <c r="X50">
        <f t="shared" ref="X50:AZ50" si="41">IF(AND(X$44-$A50&gt;$V$32,SUM($W50:W50)&lt;&gt;$V50),$V50,0)</f>
        <v>0</v>
      </c>
      <c r="Y50">
        <f t="shared" si="41"/>
        <v>0</v>
      </c>
      <c r="Z50">
        <f t="shared" si="41"/>
        <v>0</v>
      </c>
      <c r="AA50">
        <f t="shared" si="41"/>
        <v>0</v>
      </c>
      <c r="AB50">
        <f t="shared" si="41"/>
        <v>0</v>
      </c>
      <c r="AC50">
        <f t="shared" si="41"/>
        <v>0</v>
      </c>
      <c r="AD50">
        <f t="shared" si="41"/>
        <v>0</v>
      </c>
      <c r="AE50">
        <f t="shared" si="41"/>
        <v>0</v>
      </c>
      <c r="AF50">
        <f t="shared" si="41"/>
        <v>0</v>
      </c>
      <c r="AG50">
        <f t="shared" si="41"/>
        <v>0</v>
      </c>
      <c r="AH50">
        <f t="shared" si="41"/>
        <v>0</v>
      </c>
      <c r="AI50">
        <f t="shared" si="41"/>
        <v>0</v>
      </c>
      <c r="AJ50">
        <f t="shared" si="41"/>
        <v>0</v>
      </c>
      <c r="AK50">
        <f t="shared" si="41"/>
        <v>0</v>
      </c>
      <c r="AL50">
        <f t="shared" si="41"/>
        <v>0</v>
      </c>
      <c r="AM50">
        <f t="shared" si="41"/>
        <v>0</v>
      </c>
      <c r="AN50">
        <f t="shared" si="41"/>
        <v>0</v>
      </c>
      <c r="AO50">
        <f t="shared" si="41"/>
        <v>0</v>
      </c>
      <c r="AP50">
        <f t="shared" si="41"/>
        <v>0</v>
      </c>
      <c r="AQ50">
        <f t="shared" si="41"/>
        <v>0</v>
      </c>
      <c r="AR50">
        <f t="shared" si="41"/>
        <v>0</v>
      </c>
      <c r="AS50">
        <f t="shared" si="41"/>
        <v>0</v>
      </c>
      <c r="AT50">
        <f t="shared" si="41"/>
        <v>0</v>
      </c>
      <c r="AU50">
        <f t="shared" si="41"/>
        <v>0</v>
      </c>
      <c r="AV50">
        <f t="shared" si="41"/>
        <v>0</v>
      </c>
      <c r="AW50">
        <f t="shared" si="41"/>
        <v>0</v>
      </c>
      <c r="AX50">
        <f t="shared" si="41"/>
        <v>0</v>
      </c>
      <c r="AY50">
        <f t="shared" si="41"/>
        <v>0</v>
      </c>
      <c r="AZ50">
        <f t="shared" si="41"/>
        <v>0</v>
      </c>
    </row>
    <row r="51" spans="1:52" ht="15.75" customHeight="1">
      <c r="A51" s="362">
        <v>2016</v>
      </c>
      <c r="V51" s="127"/>
      <c r="W51">
        <f t="shared" si="35"/>
        <v>0</v>
      </c>
      <c r="X51">
        <f t="shared" ref="X51:AZ51" si="42">IF(AND(X$44-$A51&gt;$V$32,SUM($W51:W51)&lt;&gt;$V51),$V51,0)</f>
        <v>0</v>
      </c>
      <c r="Y51">
        <f t="shared" si="42"/>
        <v>0</v>
      </c>
      <c r="Z51">
        <f t="shared" si="42"/>
        <v>0</v>
      </c>
      <c r="AA51">
        <f t="shared" si="42"/>
        <v>0</v>
      </c>
      <c r="AB51">
        <f t="shared" si="42"/>
        <v>0</v>
      </c>
      <c r="AC51">
        <f t="shared" si="42"/>
        <v>0</v>
      </c>
      <c r="AD51">
        <f t="shared" si="42"/>
        <v>0</v>
      </c>
      <c r="AE51">
        <f t="shared" si="42"/>
        <v>0</v>
      </c>
      <c r="AF51">
        <f t="shared" si="42"/>
        <v>0</v>
      </c>
      <c r="AG51">
        <f t="shared" si="42"/>
        <v>0</v>
      </c>
      <c r="AH51">
        <f t="shared" si="42"/>
        <v>0</v>
      </c>
      <c r="AI51">
        <f t="shared" si="42"/>
        <v>0</v>
      </c>
      <c r="AJ51">
        <f t="shared" si="42"/>
        <v>0</v>
      </c>
      <c r="AK51">
        <f t="shared" si="42"/>
        <v>0</v>
      </c>
      <c r="AL51">
        <f t="shared" si="42"/>
        <v>0</v>
      </c>
      <c r="AM51">
        <f t="shared" si="42"/>
        <v>0</v>
      </c>
      <c r="AN51">
        <f t="shared" si="42"/>
        <v>0</v>
      </c>
      <c r="AO51">
        <f t="shared" si="42"/>
        <v>0</v>
      </c>
      <c r="AP51">
        <f t="shared" si="42"/>
        <v>0</v>
      </c>
      <c r="AQ51">
        <f t="shared" si="42"/>
        <v>0</v>
      </c>
      <c r="AR51">
        <f t="shared" si="42"/>
        <v>0</v>
      </c>
      <c r="AS51">
        <f t="shared" si="42"/>
        <v>0</v>
      </c>
      <c r="AT51">
        <f t="shared" si="42"/>
        <v>0</v>
      </c>
      <c r="AU51">
        <f t="shared" si="42"/>
        <v>0</v>
      </c>
      <c r="AV51">
        <f t="shared" si="42"/>
        <v>0</v>
      </c>
      <c r="AW51">
        <f t="shared" si="42"/>
        <v>0</v>
      </c>
      <c r="AX51">
        <f t="shared" si="42"/>
        <v>0</v>
      </c>
      <c r="AY51">
        <f t="shared" si="42"/>
        <v>0</v>
      </c>
      <c r="AZ51">
        <f t="shared" si="42"/>
        <v>0</v>
      </c>
    </row>
    <row r="52" spans="1:52" ht="15.75" customHeight="1">
      <c r="A52" s="362">
        <v>2017</v>
      </c>
      <c r="V52" s="127"/>
      <c r="W52">
        <f t="shared" si="35"/>
        <v>0</v>
      </c>
      <c r="X52">
        <f t="shared" ref="X52:AZ52" si="43">IF(AND(X$44-$A52&gt;$V$32,SUM($W52:W52)&lt;&gt;$V52),$V52,0)</f>
        <v>0</v>
      </c>
      <c r="Y52">
        <f t="shared" si="43"/>
        <v>0</v>
      </c>
      <c r="Z52">
        <f t="shared" si="43"/>
        <v>0</v>
      </c>
      <c r="AA52">
        <f t="shared" si="43"/>
        <v>0</v>
      </c>
      <c r="AB52">
        <f t="shared" si="43"/>
        <v>0</v>
      </c>
      <c r="AC52">
        <f t="shared" si="43"/>
        <v>0</v>
      </c>
      <c r="AD52">
        <f t="shared" si="43"/>
        <v>0</v>
      </c>
      <c r="AE52">
        <f t="shared" si="43"/>
        <v>0</v>
      </c>
      <c r="AF52">
        <f t="shared" si="43"/>
        <v>0</v>
      </c>
      <c r="AG52">
        <f t="shared" si="43"/>
        <v>0</v>
      </c>
      <c r="AH52">
        <f t="shared" si="43"/>
        <v>0</v>
      </c>
      <c r="AI52">
        <f t="shared" si="43"/>
        <v>0</v>
      </c>
      <c r="AJ52">
        <f t="shared" si="43"/>
        <v>0</v>
      </c>
      <c r="AK52">
        <f t="shared" si="43"/>
        <v>0</v>
      </c>
      <c r="AL52">
        <f t="shared" si="43"/>
        <v>0</v>
      </c>
      <c r="AM52">
        <f t="shared" si="43"/>
        <v>0</v>
      </c>
      <c r="AN52">
        <f t="shared" si="43"/>
        <v>0</v>
      </c>
      <c r="AO52">
        <f t="shared" si="43"/>
        <v>0</v>
      </c>
      <c r="AP52">
        <f t="shared" si="43"/>
        <v>0</v>
      </c>
      <c r="AQ52">
        <f t="shared" si="43"/>
        <v>0</v>
      </c>
      <c r="AR52">
        <f t="shared" si="43"/>
        <v>0</v>
      </c>
      <c r="AS52">
        <f t="shared" si="43"/>
        <v>0</v>
      </c>
      <c r="AT52">
        <f t="shared" si="43"/>
        <v>0</v>
      </c>
      <c r="AU52">
        <f t="shared" si="43"/>
        <v>0</v>
      </c>
      <c r="AV52">
        <f t="shared" si="43"/>
        <v>0</v>
      </c>
      <c r="AW52">
        <f t="shared" si="43"/>
        <v>0</v>
      </c>
      <c r="AX52">
        <f t="shared" si="43"/>
        <v>0</v>
      </c>
      <c r="AY52">
        <f t="shared" si="43"/>
        <v>0</v>
      </c>
      <c r="AZ52">
        <f t="shared" si="43"/>
        <v>0</v>
      </c>
    </row>
    <row r="53" spans="1:52" ht="15.75" customHeight="1">
      <c r="A53" s="362">
        <v>2018</v>
      </c>
      <c r="V53" s="127"/>
      <c r="W53">
        <f t="shared" si="35"/>
        <v>0</v>
      </c>
      <c r="X53">
        <f t="shared" ref="X53:AZ53" si="44">IF(AND(X$44-$A53&gt;$V$32,SUM($W53:W53)&lt;&gt;$V53),$V53,0)</f>
        <v>0</v>
      </c>
      <c r="Y53">
        <f t="shared" si="44"/>
        <v>0</v>
      </c>
      <c r="Z53">
        <f t="shared" si="44"/>
        <v>0</v>
      </c>
      <c r="AA53">
        <f t="shared" si="44"/>
        <v>0</v>
      </c>
      <c r="AB53">
        <f t="shared" si="44"/>
        <v>0</v>
      </c>
      <c r="AC53">
        <f t="shared" si="44"/>
        <v>0</v>
      </c>
      <c r="AD53">
        <f t="shared" si="44"/>
        <v>0</v>
      </c>
      <c r="AE53">
        <f t="shared" si="44"/>
        <v>0</v>
      </c>
      <c r="AF53">
        <f t="shared" si="44"/>
        <v>0</v>
      </c>
      <c r="AG53">
        <f t="shared" si="44"/>
        <v>0</v>
      </c>
      <c r="AH53">
        <f t="shared" si="44"/>
        <v>0</v>
      </c>
      <c r="AI53">
        <f t="shared" si="44"/>
        <v>0</v>
      </c>
      <c r="AJ53">
        <f t="shared" si="44"/>
        <v>0</v>
      </c>
      <c r="AK53">
        <f t="shared" si="44"/>
        <v>0</v>
      </c>
      <c r="AL53">
        <f t="shared" si="44"/>
        <v>0</v>
      </c>
      <c r="AM53">
        <f t="shared" si="44"/>
        <v>0</v>
      </c>
      <c r="AN53">
        <f t="shared" si="44"/>
        <v>0</v>
      </c>
      <c r="AO53">
        <f t="shared" si="44"/>
        <v>0</v>
      </c>
      <c r="AP53">
        <f t="shared" si="44"/>
        <v>0</v>
      </c>
      <c r="AQ53">
        <f t="shared" si="44"/>
        <v>0</v>
      </c>
      <c r="AR53">
        <f t="shared" si="44"/>
        <v>0</v>
      </c>
      <c r="AS53">
        <f t="shared" si="44"/>
        <v>0</v>
      </c>
      <c r="AT53">
        <f t="shared" si="44"/>
        <v>0</v>
      </c>
      <c r="AU53">
        <f t="shared" si="44"/>
        <v>0</v>
      </c>
      <c r="AV53">
        <f t="shared" si="44"/>
        <v>0</v>
      </c>
      <c r="AW53">
        <f t="shared" si="44"/>
        <v>0</v>
      </c>
      <c r="AX53">
        <f t="shared" si="44"/>
        <v>0</v>
      </c>
      <c r="AY53">
        <f t="shared" si="44"/>
        <v>0</v>
      </c>
      <c r="AZ53">
        <f t="shared" si="44"/>
        <v>0</v>
      </c>
    </row>
    <row r="54" spans="1:52" ht="15.75" customHeight="1"/>
    <row r="55" spans="1:52" ht="15.75" customHeight="1"/>
    <row r="56" spans="1:52" ht="15.75" customHeight="1"/>
    <row r="57" spans="1:52" ht="15.75" customHeight="1"/>
    <row r="58" spans="1:52" ht="15.75" customHeight="1"/>
    <row r="59" spans="1:52" ht="15.75" customHeight="1"/>
    <row r="60" spans="1:52" ht="15.75" customHeight="1"/>
    <row r="61" spans="1:52" ht="15.75" customHeight="1"/>
    <row r="62" spans="1:52" ht="15.75" customHeight="1"/>
    <row r="63" spans="1:52" ht="15.75" customHeight="1"/>
    <row r="64" spans="1:5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sheetData>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2</vt:i4>
      </vt:variant>
      <vt:variant>
        <vt:lpstr>Named Ranges</vt:lpstr>
      </vt:variant>
      <vt:variant>
        <vt:i4>1</vt:i4>
      </vt:variant>
    </vt:vector>
  </HeadingPairs>
  <TitlesOfParts>
    <vt:vector size="27" baseType="lpstr">
      <vt:lpstr>To Do</vt:lpstr>
      <vt:lpstr>MANUAL</vt:lpstr>
      <vt:lpstr>Input_xlsx</vt:lpstr>
      <vt:lpstr>Inputs</vt:lpstr>
      <vt:lpstr>Dashboard</vt:lpstr>
      <vt:lpstr>Aggregation</vt:lpstr>
      <vt:lpstr>Model</vt:lpstr>
      <vt:lpstr>Inflation GDP Population</vt:lpstr>
      <vt:lpstr>Assumptions (NG Heating)</vt:lpstr>
      <vt:lpstr>Assumptions (T&amp;D)</vt:lpstr>
      <vt:lpstr>Assumptions (O&amp;G Upstream)</vt:lpstr>
      <vt:lpstr>Assumptions (Oil G&amp;T)</vt:lpstr>
      <vt:lpstr>Assumptions (NG Midstream)</vt:lpstr>
      <vt:lpstr>Assumptions (Coal)</vt:lpstr>
      <vt:lpstr>Assumptions (NG)</vt:lpstr>
      <vt:lpstr>Assumptions (Wind)</vt:lpstr>
      <vt:lpstr>Assumptions (Solar)</vt:lpstr>
      <vt:lpstr>Assumptions (Nuclear)</vt:lpstr>
      <vt:lpstr>Assumptions (Hydro)</vt:lpstr>
      <vt:lpstr>Assumptions (Geo)</vt:lpstr>
      <vt:lpstr>Assumptions (MSW)</vt:lpstr>
      <vt:lpstr>Assumptions (Biomass)</vt:lpstr>
      <vt:lpstr>Assumptions (Petroleum)</vt:lpstr>
      <vt:lpstr>Assumptions (Battery)</vt:lpstr>
      <vt:lpstr>NG &amp; WE nom price</vt:lpstr>
      <vt:lpstr>NG &amp; WE real price</vt:lpstr>
      <vt:lpstr>'Assumptions (T&amp;D)'!solver_opt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King, Carey W</cp:lastModifiedBy>
  <dcterms:modified xsi:type="dcterms:W3CDTF">2020-05-12T15:18:34Z</dcterms:modified>
</cp:coreProperties>
</file>